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alal3493/Downloads/"/>
    </mc:Choice>
  </mc:AlternateContent>
  <xr:revisionPtr revIDLastSave="0" documentId="13_ncr:1_{372C4282-A6C3-B941-B924-B2B8D6A33FF4}" xr6:coauthVersionLast="45" xr6:coauthVersionMax="45" xr10:uidLastSave="{00000000-0000-0000-0000-000000000000}"/>
  <bookViews>
    <workbookView xWindow="4660" yWindow="460" windowWidth="20740" windowHeight="14140" xr2:uid="{00000000-000D-0000-FFFF-FFFF00000000}"/>
  </bookViews>
  <sheets>
    <sheet name="Metadata" sheetId="1" r:id="rId1"/>
    <sheet name="Validation" sheetId="2" r:id="rId2"/>
    <sheet name="Data Dictionary" sheetId="3" r:id="rId3"/>
    <sheet name="metadata_schema" sheetId="4" state="hidden" r:id="rId4"/>
    <sheet name="metadata_form" sheetId="5" state="hidden" r:id="rId5"/>
    <sheet name="Instructions" sheetId="6" r:id="rId6"/>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0" i="1" l="1"/>
  <c r="J60" i="1"/>
  <c r="A1" i="6"/>
  <c r="AO1004" i="2" a="1"/>
  <c r="AP1004" i="2"/>
  <c r="AQ1004" i="2"/>
  <c r="AR1004" i="2"/>
  <c r="AS1004" i="2"/>
  <c r="AT1004" i="2"/>
  <c r="AU1004" i="2"/>
  <c r="AV1004" i="2"/>
  <c r="AW1004" i="2"/>
  <c r="AX1004" i="2"/>
  <c r="AY1004" i="2"/>
  <c r="AZ1004" i="2"/>
  <c r="BA1004" i="2"/>
  <c r="BB1004" i="2"/>
  <c r="BC1004" i="2"/>
  <c r="BD1004" i="2"/>
  <c r="BE1004" i="2"/>
  <c r="BF1004" i="2"/>
  <c r="BG1004" i="2"/>
  <c r="BH1004" i="2"/>
  <c r="BI1004" i="2"/>
  <c r="BJ1004" i="2"/>
  <c r="BK1004" i="2"/>
  <c r="BL1004" i="2"/>
  <c r="BM1004" i="2"/>
  <c r="BN1004" i="2"/>
  <c r="BO1004" i="2"/>
  <c r="BP1004" i="2"/>
  <c r="BQ1004" i="2"/>
  <c r="AO1004" i="2"/>
  <c r="BQ1001" i="2"/>
  <c r="BP1001" i="2"/>
  <c r="AB1001" i="1"/>
  <c r="BO1001" i="2"/>
  <c r="AA1001" i="1"/>
  <c r="BN1001" i="2"/>
  <c r="BM1001" i="2"/>
  <c r="BL1001" i="2"/>
  <c r="BK1001" i="2"/>
  <c r="W1001" i="1"/>
  <c r="BJ1001" i="2"/>
  <c r="BI1001" i="2"/>
  <c r="BH1001" i="2"/>
  <c r="T1001" i="1"/>
  <c r="BG1001" i="2"/>
  <c r="BF1001" i="2"/>
  <c r="BE1001" i="2"/>
  <c r="BD1001" i="2"/>
  <c r="BC1001" i="2"/>
  <c r="BB1001" i="2"/>
  <c r="BA1001" i="2"/>
  <c r="AZ1001" i="2"/>
  <c r="AY1001" i="2"/>
  <c r="AX1001" i="2"/>
  <c r="J1001" i="1"/>
  <c r="AW1001" i="2"/>
  <c r="I1001" i="1"/>
  <c r="AV1001" i="2"/>
  <c r="AU1001" i="2"/>
  <c r="AT1001" i="2"/>
  <c r="AS1001" i="2"/>
  <c r="AR1001" i="2"/>
  <c r="AQ1001" i="2"/>
  <c r="AP1001" i="2"/>
  <c r="AO1001" i="2"/>
  <c r="AL1001" i="2"/>
  <c r="AK1001" i="2"/>
  <c r="BQ1000" i="2"/>
  <c r="BP1000" i="2"/>
  <c r="AB1000" i="1"/>
  <c r="BO1000" i="2"/>
  <c r="AA1000" i="1"/>
  <c r="BN1000" i="2"/>
  <c r="BM1000" i="2"/>
  <c r="BL1000" i="2"/>
  <c r="BK1000" i="2"/>
  <c r="W1000" i="1"/>
  <c r="BJ1000" i="2"/>
  <c r="BI1000" i="2"/>
  <c r="BH1000" i="2"/>
  <c r="T1000" i="1"/>
  <c r="BG1000" i="2"/>
  <c r="BF1000" i="2"/>
  <c r="BE1000" i="2"/>
  <c r="BD1000" i="2"/>
  <c r="BC1000" i="2"/>
  <c r="BB1000" i="2"/>
  <c r="BA1000" i="2"/>
  <c r="AZ1000" i="2"/>
  <c r="AY1000" i="2"/>
  <c r="AX1000" i="2"/>
  <c r="J1000" i="1"/>
  <c r="AW1000" i="2"/>
  <c r="I1000" i="1"/>
  <c r="AV1000" i="2"/>
  <c r="AU1000" i="2"/>
  <c r="AT1000" i="2"/>
  <c r="AS1000" i="2"/>
  <c r="AR1000" i="2"/>
  <c r="AQ1000" i="2"/>
  <c r="AP1000" i="2"/>
  <c r="AO1000" i="2"/>
  <c r="AL1000" i="2"/>
  <c r="AK1000" i="2"/>
  <c r="BQ999" i="2"/>
  <c r="BP999" i="2"/>
  <c r="AB999" i="1"/>
  <c r="BO999" i="2"/>
  <c r="AA999" i="1"/>
  <c r="BN999" i="2"/>
  <c r="BM999" i="2"/>
  <c r="BL999" i="2"/>
  <c r="BK999" i="2"/>
  <c r="W999" i="1"/>
  <c r="BJ999" i="2"/>
  <c r="BI999" i="2"/>
  <c r="BH999" i="2"/>
  <c r="T999" i="1"/>
  <c r="BG999" i="2"/>
  <c r="BF999" i="2"/>
  <c r="BE999" i="2"/>
  <c r="BD999" i="2"/>
  <c r="BC999" i="2"/>
  <c r="BB999" i="2"/>
  <c r="BA999" i="2"/>
  <c r="AZ999" i="2"/>
  <c r="AY999" i="2"/>
  <c r="AX999" i="2"/>
  <c r="J999" i="1"/>
  <c r="AW999" i="2"/>
  <c r="I999" i="1"/>
  <c r="AV999" i="2"/>
  <c r="AU999" i="2"/>
  <c r="AT999" i="2"/>
  <c r="AS999" i="2"/>
  <c r="AR999" i="2"/>
  <c r="AQ999" i="2"/>
  <c r="AP999" i="2"/>
  <c r="AO999" i="2"/>
  <c r="AL999" i="2"/>
  <c r="AK999" i="2"/>
  <c r="BQ998" i="2"/>
  <c r="BP998" i="2"/>
  <c r="AB998" i="1"/>
  <c r="BO998" i="2"/>
  <c r="AA998" i="1"/>
  <c r="BN998" i="2"/>
  <c r="BM998" i="2"/>
  <c r="BL998" i="2"/>
  <c r="BK998" i="2"/>
  <c r="W998" i="1"/>
  <c r="BJ998" i="2"/>
  <c r="BI998" i="2"/>
  <c r="BH998" i="2"/>
  <c r="T998" i="1"/>
  <c r="BG998" i="2"/>
  <c r="BF998" i="2"/>
  <c r="BE998" i="2"/>
  <c r="BD998" i="2"/>
  <c r="BC998" i="2"/>
  <c r="BB998" i="2"/>
  <c r="BA998" i="2"/>
  <c r="AZ998" i="2"/>
  <c r="AY998" i="2"/>
  <c r="AX998" i="2"/>
  <c r="J998" i="1"/>
  <c r="AW998" i="2"/>
  <c r="I998" i="1"/>
  <c r="AV998" i="2"/>
  <c r="AU998" i="2"/>
  <c r="AT998" i="2"/>
  <c r="AS998" i="2"/>
  <c r="AR998" i="2"/>
  <c r="AQ998" i="2"/>
  <c r="AP998" i="2"/>
  <c r="AO998" i="2"/>
  <c r="AL998" i="2"/>
  <c r="AK998" i="2"/>
  <c r="BQ997" i="2"/>
  <c r="BP997" i="2"/>
  <c r="AB997" i="1"/>
  <c r="BO997" i="2"/>
  <c r="AA997" i="1"/>
  <c r="BN997" i="2"/>
  <c r="BM997" i="2"/>
  <c r="BL997" i="2"/>
  <c r="BK997" i="2"/>
  <c r="W997" i="1"/>
  <c r="BJ997" i="2"/>
  <c r="BI997" i="2"/>
  <c r="BH997" i="2"/>
  <c r="T997" i="1"/>
  <c r="BG997" i="2"/>
  <c r="BF997" i="2"/>
  <c r="BE997" i="2"/>
  <c r="BD997" i="2"/>
  <c r="BC997" i="2"/>
  <c r="BB997" i="2"/>
  <c r="BA997" i="2"/>
  <c r="AZ997" i="2"/>
  <c r="AY997" i="2"/>
  <c r="AX997" i="2"/>
  <c r="J997" i="1"/>
  <c r="AW997" i="2"/>
  <c r="I997" i="1"/>
  <c r="AV997" i="2"/>
  <c r="AU997" i="2"/>
  <c r="AT997" i="2"/>
  <c r="AS997" i="2"/>
  <c r="AR997" i="2"/>
  <c r="AQ997" i="2"/>
  <c r="AP997" i="2"/>
  <c r="AO997" i="2"/>
  <c r="AL997" i="2"/>
  <c r="AK997" i="2"/>
  <c r="BQ996" i="2"/>
  <c r="BP996" i="2"/>
  <c r="AB996" i="1"/>
  <c r="BO996" i="2"/>
  <c r="AA996" i="1"/>
  <c r="BN996" i="2"/>
  <c r="BM996" i="2"/>
  <c r="BL996" i="2"/>
  <c r="BK996" i="2"/>
  <c r="W996" i="1"/>
  <c r="BJ996" i="2"/>
  <c r="BI996" i="2"/>
  <c r="BH996" i="2"/>
  <c r="T996" i="1"/>
  <c r="BG996" i="2"/>
  <c r="BF996" i="2"/>
  <c r="BE996" i="2"/>
  <c r="BD996" i="2"/>
  <c r="BC996" i="2"/>
  <c r="BB996" i="2"/>
  <c r="BA996" i="2"/>
  <c r="AZ996" i="2"/>
  <c r="AY996" i="2"/>
  <c r="AX996" i="2"/>
  <c r="J996" i="1"/>
  <c r="AW996" i="2"/>
  <c r="I996" i="1"/>
  <c r="AV996" i="2"/>
  <c r="AU996" i="2"/>
  <c r="AT996" i="2"/>
  <c r="AS996" i="2"/>
  <c r="AR996" i="2"/>
  <c r="AQ996" i="2"/>
  <c r="AP996" i="2"/>
  <c r="AO996" i="2"/>
  <c r="AL996" i="2"/>
  <c r="AK996" i="2"/>
  <c r="BQ995" i="2"/>
  <c r="BP995" i="2"/>
  <c r="AB995" i="1"/>
  <c r="BO995" i="2"/>
  <c r="AA995" i="1"/>
  <c r="BN995" i="2"/>
  <c r="BM995" i="2"/>
  <c r="BL995" i="2"/>
  <c r="BK995" i="2"/>
  <c r="W995" i="1"/>
  <c r="BJ995" i="2"/>
  <c r="BI995" i="2"/>
  <c r="BH995" i="2"/>
  <c r="T995" i="1"/>
  <c r="BG995" i="2"/>
  <c r="BF995" i="2"/>
  <c r="BE995" i="2"/>
  <c r="BD995" i="2"/>
  <c r="BC995" i="2"/>
  <c r="BB995" i="2"/>
  <c r="BA995" i="2"/>
  <c r="AZ995" i="2"/>
  <c r="AY995" i="2"/>
  <c r="AX995" i="2"/>
  <c r="J995" i="1"/>
  <c r="AW995" i="2"/>
  <c r="I995" i="1"/>
  <c r="AV995" i="2"/>
  <c r="AU995" i="2"/>
  <c r="AT995" i="2"/>
  <c r="AS995" i="2"/>
  <c r="AR995" i="2"/>
  <c r="AQ995" i="2"/>
  <c r="AP995" i="2"/>
  <c r="AO995" i="2"/>
  <c r="AL995" i="2"/>
  <c r="AK995" i="2"/>
  <c r="BQ994" i="2"/>
  <c r="BP994" i="2"/>
  <c r="AB994" i="1"/>
  <c r="BO994" i="2"/>
  <c r="AA994" i="1"/>
  <c r="BN994" i="2"/>
  <c r="BM994" i="2"/>
  <c r="BL994" i="2"/>
  <c r="BK994" i="2"/>
  <c r="W994" i="1"/>
  <c r="BJ994" i="2"/>
  <c r="BI994" i="2"/>
  <c r="BH994" i="2"/>
  <c r="T994" i="1"/>
  <c r="BG994" i="2"/>
  <c r="BF994" i="2"/>
  <c r="BE994" i="2"/>
  <c r="BD994" i="2"/>
  <c r="BC994" i="2"/>
  <c r="BB994" i="2"/>
  <c r="BA994" i="2"/>
  <c r="AZ994" i="2"/>
  <c r="AY994" i="2"/>
  <c r="AX994" i="2"/>
  <c r="J994" i="1"/>
  <c r="AW994" i="2"/>
  <c r="I994" i="1"/>
  <c r="AV994" i="2"/>
  <c r="AU994" i="2"/>
  <c r="AT994" i="2"/>
  <c r="AS994" i="2"/>
  <c r="AR994" i="2"/>
  <c r="AQ994" i="2"/>
  <c r="AP994" i="2"/>
  <c r="AO994" i="2"/>
  <c r="AL994" i="2"/>
  <c r="AK994" i="2"/>
  <c r="BQ993" i="2"/>
  <c r="BP993" i="2"/>
  <c r="AB993" i="1"/>
  <c r="BO993" i="2"/>
  <c r="AA993" i="1"/>
  <c r="BN993" i="2"/>
  <c r="BM993" i="2"/>
  <c r="BL993" i="2"/>
  <c r="BK993" i="2"/>
  <c r="W993" i="1"/>
  <c r="BJ993" i="2"/>
  <c r="BI993" i="2"/>
  <c r="BH993" i="2"/>
  <c r="T993" i="1"/>
  <c r="BG993" i="2"/>
  <c r="BF993" i="2"/>
  <c r="BE993" i="2"/>
  <c r="BD993" i="2"/>
  <c r="BC993" i="2"/>
  <c r="BB993" i="2"/>
  <c r="BA993" i="2"/>
  <c r="AZ993" i="2"/>
  <c r="AY993" i="2"/>
  <c r="AX993" i="2"/>
  <c r="J993" i="1"/>
  <c r="AW993" i="2"/>
  <c r="I993" i="1"/>
  <c r="AV993" i="2"/>
  <c r="AU993" i="2"/>
  <c r="AT993" i="2"/>
  <c r="AS993" i="2"/>
  <c r="AR993" i="2"/>
  <c r="AQ993" i="2"/>
  <c r="AP993" i="2"/>
  <c r="AO993" i="2"/>
  <c r="AL993" i="2"/>
  <c r="AK993" i="2"/>
  <c r="BQ992" i="2"/>
  <c r="BP992" i="2"/>
  <c r="AB992" i="1"/>
  <c r="BO992" i="2"/>
  <c r="AA992" i="1"/>
  <c r="BN992" i="2"/>
  <c r="BM992" i="2"/>
  <c r="BL992" i="2"/>
  <c r="BK992" i="2"/>
  <c r="W992" i="1"/>
  <c r="BJ992" i="2"/>
  <c r="BI992" i="2"/>
  <c r="BH992" i="2"/>
  <c r="T992" i="1"/>
  <c r="BG992" i="2"/>
  <c r="BF992" i="2"/>
  <c r="BE992" i="2"/>
  <c r="BD992" i="2"/>
  <c r="BC992" i="2"/>
  <c r="BB992" i="2"/>
  <c r="BA992" i="2"/>
  <c r="AZ992" i="2"/>
  <c r="AY992" i="2"/>
  <c r="AX992" i="2"/>
  <c r="J992" i="1"/>
  <c r="AW992" i="2"/>
  <c r="I992" i="1"/>
  <c r="AV992" i="2"/>
  <c r="AU992" i="2"/>
  <c r="AT992" i="2"/>
  <c r="AS992" i="2"/>
  <c r="AR992" i="2"/>
  <c r="AQ992" i="2"/>
  <c r="AP992" i="2"/>
  <c r="AO992" i="2"/>
  <c r="AL992" i="2"/>
  <c r="AK992" i="2"/>
  <c r="BQ991" i="2"/>
  <c r="BP991" i="2"/>
  <c r="AB991" i="1"/>
  <c r="BO991" i="2"/>
  <c r="AA991" i="1"/>
  <c r="BN991" i="2"/>
  <c r="BM991" i="2"/>
  <c r="BL991" i="2"/>
  <c r="BK991" i="2"/>
  <c r="W991" i="1"/>
  <c r="BJ991" i="2"/>
  <c r="BI991" i="2"/>
  <c r="BH991" i="2"/>
  <c r="T991" i="1"/>
  <c r="BG991" i="2"/>
  <c r="BF991" i="2"/>
  <c r="BE991" i="2"/>
  <c r="BD991" i="2"/>
  <c r="BC991" i="2"/>
  <c r="BB991" i="2"/>
  <c r="BA991" i="2"/>
  <c r="AZ991" i="2"/>
  <c r="AY991" i="2"/>
  <c r="AX991" i="2"/>
  <c r="J991" i="1"/>
  <c r="AW991" i="2"/>
  <c r="I991" i="1"/>
  <c r="AV991" i="2"/>
  <c r="AU991" i="2"/>
  <c r="AT991" i="2"/>
  <c r="AS991" i="2"/>
  <c r="AR991" i="2"/>
  <c r="AQ991" i="2"/>
  <c r="AP991" i="2"/>
  <c r="AO991" i="2"/>
  <c r="AL991" i="2"/>
  <c r="AK991" i="2"/>
  <c r="BQ990" i="2"/>
  <c r="BP990" i="2"/>
  <c r="AB990" i="1"/>
  <c r="BO990" i="2"/>
  <c r="AA990" i="1"/>
  <c r="BN990" i="2"/>
  <c r="BM990" i="2"/>
  <c r="BL990" i="2"/>
  <c r="BK990" i="2"/>
  <c r="W990" i="1"/>
  <c r="BJ990" i="2"/>
  <c r="BI990" i="2"/>
  <c r="BH990" i="2"/>
  <c r="T990" i="1"/>
  <c r="BG990" i="2"/>
  <c r="BF990" i="2"/>
  <c r="BE990" i="2"/>
  <c r="BD990" i="2"/>
  <c r="BC990" i="2"/>
  <c r="BB990" i="2"/>
  <c r="BA990" i="2"/>
  <c r="AZ990" i="2"/>
  <c r="AY990" i="2"/>
  <c r="AX990" i="2"/>
  <c r="J990" i="1"/>
  <c r="AW990" i="2"/>
  <c r="I990" i="1"/>
  <c r="AV990" i="2"/>
  <c r="AU990" i="2"/>
  <c r="AT990" i="2"/>
  <c r="AS990" i="2"/>
  <c r="AR990" i="2"/>
  <c r="AQ990" i="2"/>
  <c r="AP990" i="2"/>
  <c r="AO990" i="2"/>
  <c r="AL990" i="2"/>
  <c r="AK990" i="2"/>
  <c r="BQ989" i="2"/>
  <c r="BP989" i="2"/>
  <c r="AB989" i="1"/>
  <c r="BO989" i="2"/>
  <c r="AA989" i="1"/>
  <c r="BN989" i="2"/>
  <c r="BM989" i="2"/>
  <c r="BL989" i="2"/>
  <c r="BK989" i="2"/>
  <c r="W989" i="1"/>
  <c r="BJ989" i="2"/>
  <c r="BI989" i="2"/>
  <c r="BH989" i="2"/>
  <c r="T989" i="1"/>
  <c r="BG989" i="2"/>
  <c r="BF989" i="2"/>
  <c r="BE989" i="2"/>
  <c r="BD989" i="2"/>
  <c r="BC989" i="2"/>
  <c r="BB989" i="2"/>
  <c r="BA989" i="2"/>
  <c r="AZ989" i="2"/>
  <c r="AY989" i="2"/>
  <c r="AX989" i="2"/>
  <c r="J989" i="1"/>
  <c r="AW989" i="2"/>
  <c r="I989" i="1"/>
  <c r="AV989" i="2"/>
  <c r="AU989" i="2"/>
  <c r="AT989" i="2"/>
  <c r="AS989" i="2"/>
  <c r="AR989" i="2"/>
  <c r="AQ989" i="2"/>
  <c r="AP989" i="2"/>
  <c r="AO989" i="2"/>
  <c r="AL989" i="2"/>
  <c r="AK989" i="2"/>
  <c r="BQ988" i="2"/>
  <c r="BP988" i="2"/>
  <c r="AB988" i="1"/>
  <c r="BO988" i="2"/>
  <c r="AA988" i="1"/>
  <c r="BN988" i="2"/>
  <c r="BM988" i="2"/>
  <c r="BL988" i="2"/>
  <c r="BK988" i="2"/>
  <c r="W988" i="1"/>
  <c r="BJ988" i="2"/>
  <c r="BI988" i="2"/>
  <c r="BH988" i="2"/>
  <c r="T988" i="1"/>
  <c r="BG988" i="2"/>
  <c r="BF988" i="2"/>
  <c r="BE988" i="2"/>
  <c r="BD988" i="2"/>
  <c r="BC988" i="2"/>
  <c r="BB988" i="2"/>
  <c r="BA988" i="2"/>
  <c r="AZ988" i="2"/>
  <c r="AY988" i="2"/>
  <c r="AX988" i="2"/>
  <c r="J988" i="1"/>
  <c r="AW988" i="2"/>
  <c r="I988" i="1"/>
  <c r="AV988" i="2"/>
  <c r="AU988" i="2"/>
  <c r="AT988" i="2"/>
  <c r="AS988" i="2"/>
  <c r="AR988" i="2"/>
  <c r="AQ988" i="2"/>
  <c r="AP988" i="2"/>
  <c r="AO988" i="2"/>
  <c r="AL988" i="2"/>
  <c r="AK988" i="2"/>
  <c r="BQ987" i="2"/>
  <c r="BP987" i="2"/>
  <c r="AB987" i="1"/>
  <c r="BO987" i="2"/>
  <c r="AA987" i="1"/>
  <c r="BN987" i="2"/>
  <c r="BM987" i="2"/>
  <c r="BL987" i="2"/>
  <c r="BK987" i="2"/>
  <c r="W987" i="1"/>
  <c r="BJ987" i="2"/>
  <c r="BI987" i="2"/>
  <c r="BH987" i="2"/>
  <c r="T987" i="1"/>
  <c r="BG987" i="2"/>
  <c r="BF987" i="2"/>
  <c r="BE987" i="2"/>
  <c r="BD987" i="2"/>
  <c r="BC987" i="2"/>
  <c r="BB987" i="2"/>
  <c r="BA987" i="2"/>
  <c r="AZ987" i="2"/>
  <c r="AY987" i="2"/>
  <c r="AX987" i="2"/>
  <c r="J987" i="1"/>
  <c r="AW987" i="2"/>
  <c r="I987" i="1"/>
  <c r="AV987" i="2"/>
  <c r="AU987" i="2"/>
  <c r="AT987" i="2"/>
  <c r="AS987" i="2"/>
  <c r="AR987" i="2"/>
  <c r="AQ987" i="2"/>
  <c r="AP987" i="2"/>
  <c r="AO987" i="2"/>
  <c r="AL987" i="2"/>
  <c r="AK987" i="2"/>
  <c r="BQ986" i="2"/>
  <c r="BP986" i="2"/>
  <c r="AB986" i="1"/>
  <c r="BO986" i="2"/>
  <c r="AA986" i="1"/>
  <c r="BN986" i="2"/>
  <c r="BM986" i="2"/>
  <c r="BL986" i="2"/>
  <c r="BK986" i="2"/>
  <c r="W986" i="1"/>
  <c r="BJ986" i="2"/>
  <c r="BI986" i="2"/>
  <c r="BH986" i="2"/>
  <c r="T986" i="1"/>
  <c r="BG986" i="2"/>
  <c r="BF986" i="2"/>
  <c r="BE986" i="2"/>
  <c r="BD986" i="2"/>
  <c r="BC986" i="2"/>
  <c r="BB986" i="2"/>
  <c r="BA986" i="2"/>
  <c r="AZ986" i="2"/>
  <c r="AY986" i="2"/>
  <c r="AX986" i="2"/>
  <c r="J986" i="1"/>
  <c r="AW986" i="2"/>
  <c r="I986" i="1"/>
  <c r="AV986" i="2"/>
  <c r="AU986" i="2"/>
  <c r="AT986" i="2"/>
  <c r="AS986" i="2"/>
  <c r="AR986" i="2"/>
  <c r="AQ986" i="2"/>
  <c r="AP986" i="2"/>
  <c r="AO986" i="2"/>
  <c r="AL986" i="2"/>
  <c r="AK986" i="2"/>
  <c r="BQ985" i="2"/>
  <c r="BP985" i="2"/>
  <c r="AB985" i="1"/>
  <c r="BO985" i="2"/>
  <c r="AA985" i="1"/>
  <c r="BN985" i="2"/>
  <c r="BM985" i="2"/>
  <c r="BL985" i="2"/>
  <c r="BK985" i="2"/>
  <c r="W985" i="1"/>
  <c r="BJ985" i="2"/>
  <c r="BI985" i="2"/>
  <c r="BH985" i="2"/>
  <c r="T985" i="1"/>
  <c r="BG985" i="2"/>
  <c r="BF985" i="2"/>
  <c r="BE985" i="2"/>
  <c r="BD985" i="2"/>
  <c r="BC985" i="2"/>
  <c r="BB985" i="2"/>
  <c r="BA985" i="2"/>
  <c r="AZ985" i="2"/>
  <c r="AY985" i="2"/>
  <c r="AX985" i="2"/>
  <c r="J985" i="1"/>
  <c r="AW985" i="2"/>
  <c r="I985" i="1"/>
  <c r="AV985" i="2"/>
  <c r="AU985" i="2"/>
  <c r="AT985" i="2"/>
  <c r="AS985" i="2"/>
  <c r="AR985" i="2"/>
  <c r="AQ985" i="2"/>
  <c r="AP985" i="2"/>
  <c r="AO985" i="2"/>
  <c r="AL985" i="2"/>
  <c r="AK985" i="2"/>
  <c r="BQ984" i="2"/>
  <c r="BP984" i="2"/>
  <c r="AB984" i="1"/>
  <c r="BO984" i="2"/>
  <c r="AA984" i="1"/>
  <c r="BN984" i="2"/>
  <c r="BM984" i="2"/>
  <c r="BL984" i="2"/>
  <c r="BK984" i="2"/>
  <c r="W984" i="1"/>
  <c r="BJ984" i="2"/>
  <c r="BI984" i="2"/>
  <c r="BH984" i="2"/>
  <c r="T984" i="1"/>
  <c r="BG984" i="2"/>
  <c r="BF984" i="2"/>
  <c r="BE984" i="2"/>
  <c r="BD984" i="2"/>
  <c r="BC984" i="2"/>
  <c r="BB984" i="2"/>
  <c r="BA984" i="2"/>
  <c r="AZ984" i="2"/>
  <c r="AY984" i="2"/>
  <c r="AX984" i="2"/>
  <c r="J984" i="1"/>
  <c r="AW984" i="2"/>
  <c r="I984" i="1"/>
  <c r="AV984" i="2"/>
  <c r="AU984" i="2"/>
  <c r="AT984" i="2"/>
  <c r="AS984" i="2"/>
  <c r="AR984" i="2"/>
  <c r="AQ984" i="2"/>
  <c r="AP984" i="2"/>
  <c r="AO984" i="2"/>
  <c r="AL984" i="2"/>
  <c r="AK984" i="2"/>
  <c r="BQ983" i="2"/>
  <c r="BP983" i="2"/>
  <c r="AB983" i="1"/>
  <c r="BO983" i="2"/>
  <c r="AA983" i="1"/>
  <c r="BN983" i="2"/>
  <c r="BM983" i="2"/>
  <c r="BL983" i="2"/>
  <c r="BK983" i="2"/>
  <c r="W983" i="1"/>
  <c r="BJ983" i="2"/>
  <c r="BI983" i="2"/>
  <c r="BH983" i="2"/>
  <c r="T983" i="1"/>
  <c r="BG983" i="2"/>
  <c r="BF983" i="2"/>
  <c r="BE983" i="2"/>
  <c r="BD983" i="2"/>
  <c r="BC983" i="2"/>
  <c r="BB983" i="2"/>
  <c r="BA983" i="2"/>
  <c r="AZ983" i="2"/>
  <c r="AY983" i="2"/>
  <c r="AX983" i="2"/>
  <c r="J983" i="1"/>
  <c r="AW983" i="2"/>
  <c r="I983" i="1"/>
  <c r="AV983" i="2"/>
  <c r="AU983" i="2"/>
  <c r="AT983" i="2"/>
  <c r="AS983" i="2"/>
  <c r="AR983" i="2"/>
  <c r="AQ983" i="2"/>
  <c r="AP983" i="2"/>
  <c r="AO983" i="2"/>
  <c r="AL983" i="2"/>
  <c r="AK983" i="2"/>
  <c r="BQ982" i="2"/>
  <c r="BP982" i="2"/>
  <c r="AB982" i="1"/>
  <c r="BO982" i="2"/>
  <c r="AA982" i="1"/>
  <c r="BN982" i="2"/>
  <c r="BM982" i="2"/>
  <c r="BL982" i="2"/>
  <c r="BK982" i="2"/>
  <c r="W982" i="1"/>
  <c r="BJ982" i="2"/>
  <c r="BI982" i="2"/>
  <c r="BH982" i="2"/>
  <c r="T982" i="1"/>
  <c r="BG982" i="2"/>
  <c r="BF982" i="2"/>
  <c r="BE982" i="2"/>
  <c r="BD982" i="2"/>
  <c r="BC982" i="2"/>
  <c r="BB982" i="2"/>
  <c r="BA982" i="2"/>
  <c r="AZ982" i="2"/>
  <c r="AY982" i="2"/>
  <c r="AX982" i="2"/>
  <c r="J982" i="1"/>
  <c r="AW982" i="2"/>
  <c r="I982" i="1"/>
  <c r="AV982" i="2"/>
  <c r="AU982" i="2"/>
  <c r="AT982" i="2"/>
  <c r="AS982" i="2"/>
  <c r="AR982" i="2"/>
  <c r="AQ982" i="2"/>
  <c r="AP982" i="2"/>
  <c r="AO982" i="2"/>
  <c r="AL982" i="2"/>
  <c r="AK982" i="2"/>
  <c r="BQ981" i="2"/>
  <c r="BP981" i="2"/>
  <c r="AB981" i="1"/>
  <c r="BO981" i="2"/>
  <c r="AA981" i="1"/>
  <c r="BN981" i="2"/>
  <c r="BM981" i="2"/>
  <c r="BL981" i="2"/>
  <c r="BK981" i="2"/>
  <c r="W981" i="1"/>
  <c r="BJ981" i="2"/>
  <c r="BI981" i="2"/>
  <c r="BH981" i="2"/>
  <c r="T981" i="1"/>
  <c r="BG981" i="2"/>
  <c r="BF981" i="2"/>
  <c r="BE981" i="2"/>
  <c r="BD981" i="2"/>
  <c r="BC981" i="2"/>
  <c r="BB981" i="2"/>
  <c r="BA981" i="2"/>
  <c r="AZ981" i="2"/>
  <c r="AY981" i="2"/>
  <c r="AX981" i="2"/>
  <c r="J981" i="1"/>
  <c r="AW981" i="2"/>
  <c r="I981" i="1"/>
  <c r="AV981" i="2"/>
  <c r="AU981" i="2"/>
  <c r="AT981" i="2"/>
  <c r="AS981" i="2"/>
  <c r="AR981" i="2"/>
  <c r="AQ981" i="2"/>
  <c r="AP981" i="2"/>
  <c r="AO981" i="2"/>
  <c r="AL981" i="2"/>
  <c r="AK981" i="2"/>
  <c r="BQ980" i="2"/>
  <c r="BP980" i="2"/>
  <c r="AB980" i="1"/>
  <c r="BO980" i="2"/>
  <c r="AA980" i="1"/>
  <c r="BN980" i="2"/>
  <c r="BM980" i="2"/>
  <c r="BL980" i="2"/>
  <c r="BK980" i="2"/>
  <c r="W980" i="1"/>
  <c r="BJ980" i="2"/>
  <c r="BI980" i="2"/>
  <c r="BH980" i="2"/>
  <c r="T980" i="1"/>
  <c r="BG980" i="2"/>
  <c r="BF980" i="2"/>
  <c r="BE980" i="2"/>
  <c r="BD980" i="2"/>
  <c r="BC980" i="2"/>
  <c r="BB980" i="2"/>
  <c r="BA980" i="2"/>
  <c r="AZ980" i="2"/>
  <c r="AY980" i="2"/>
  <c r="AX980" i="2"/>
  <c r="J980" i="1"/>
  <c r="AW980" i="2"/>
  <c r="I980" i="1"/>
  <c r="AV980" i="2"/>
  <c r="AU980" i="2"/>
  <c r="AT980" i="2"/>
  <c r="AS980" i="2"/>
  <c r="AR980" i="2"/>
  <c r="AQ980" i="2"/>
  <c r="AP980" i="2"/>
  <c r="AO980" i="2"/>
  <c r="AL980" i="2"/>
  <c r="AK980" i="2"/>
  <c r="BQ979" i="2"/>
  <c r="BP979" i="2"/>
  <c r="AB979" i="1"/>
  <c r="BO979" i="2"/>
  <c r="AA979" i="1"/>
  <c r="BN979" i="2"/>
  <c r="BM979" i="2"/>
  <c r="BL979" i="2"/>
  <c r="BK979" i="2"/>
  <c r="W979" i="1"/>
  <c r="BJ979" i="2"/>
  <c r="BI979" i="2"/>
  <c r="BH979" i="2"/>
  <c r="T979" i="1"/>
  <c r="BG979" i="2"/>
  <c r="BF979" i="2"/>
  <c r="BE979" i="2"/>
  <c r="BD979" i="2"/>
  <c r="BC979" i="2"/>
  <c r="BB979" i="2"/>
  <c r="BA979" i="2"/>
  <c r="AZ979" i="2"/>
  <c r="AY979" i="2"/>
  <c r="AX979" i="2"/>
  <c r="J979" i="1"/>
  <c r="AW979" i="2"/>
  <c r="I979" i="1"/>
  <c r="AV979" i="2"/>
  <c r="AU979" i="2"/>
  <c r="AT979" i="2"/>
  <c r="AS979" i="2"/>
  <c r="AR979" i="2"/>
  <c r="AQ979" i="2"/>
  <c r="AP979" i="2"/>
  <c r="AO979" i="2"/>
  <c r="AL979" i="2"/>
  <c r="AK979" i="2"/>
  <c r="BQ978" i="2"/>
  <c r="BP978" i="2"/>
  <c r="AB978" i="1"/>
  <c r="BO978" i="2"/>
  <c r="AA978" i="1"/>
  <c r="BN978" i="2"/>
  <c r="BM978" i="2"/>
  <c r="BL978" i="2"/>
  <c r="BK978" i="2"/>
  <c r="W978" i="1"/>
  <c r="BJ978" i="2"/>
  <c r="BI978" i="2"/>
  <c r="BH978" i="2"/>
  <c r="T978" i="1"/>
  <c r="BG978" i="2"/>
  <c r="BF978" i="2"/>
  <c r="BE978" i="2"/>
  <c r="BD978" i="2"/>
  <c r="BC978" i="2"/>
  <c r="BB978" i="2"/>
  <c r="BA978" i="2"/>
  <c r="AZ978" i="2"/>
  <c r="AY978" i="2"/>
  <c r="AX978" i="2"/>
  <c r="J978" i="1"/>
  <c r="AW978" i="2"/>
  <c r="I978" i="1"/>
  <c r="AV978" i="2"/>
  <c r="AU978" i="2"/>
  <c r="AT978" i="2"/>
  <c r="AS978" i="2"/>
  <c r="AR978" i="2"/>
  <c r="AQ978" i="2"/>
  <c r="AP978" i="2"/>
  <c r="AO978" i="2"/>
  <c r="AL978" i="2"/>
  <c r="AK978" i="2"/>
  <c r="BQ977" i="2"/>
  <c r="BP977" i="2"/>
  <c r="AB977" i="1"/>
  <c r="BO977" i="2"/>
  <c r="AA977" i="1"/>
  <c r="BN977" i="2"/>
  <c r="BM977" i="2"/>
  <c r="BL977" i="2"/>
  <c r="BK977" i="2"/>
  <c r="W977" i="1"/>
  <c r="BJ977" i="2"/>
  <c r="BI977" i="2"/>
  <c r="BH977" i="2"/>
  <c r="T977" i="1"/>
  <c r="BG977" i="2"/>
  <c r="BF977" i="2"/>
  <c r="BE977" i="2"/>
  <c r="BD977" i="2"/>
  <c r="BC977" i="2"/>
  <c r="BB977" i="2"/>
  <c r="BA977" i="2"/>
  <c r="AZ977" i="2"/>
  <c r="AY977" i="2"/>
  <c r="AX977" i="2"/>
  <c r="J977" i="1"/>
  <c r="AW977" i="2"/>
  <c r="I977" i="1"/>
  <c r="AV977" i="2"/>
  <c r="AU977" i="2"/>
  <c r="AT977" i="2"/>
  <c r="AS977" i="2"/>
  <c r="AR977" i="2"/>
  <c r="AQ977" i="2"/>
  <c r="AP977" i="2"/>
  <c r="AO977" i="2"/>
  <c r="AL977" i="2"/>
  <c r="AK977" i="2"/>
  <c r="BQ976" i="2"/>
  <c r="BP976" i="2"/>
  <c r="AB976" i="1"/>
  <c r="BO976" i="2"/>
  <c r="AA976" i="1"/>
  <c r="BN976" i="2"/>
  <c r="BM976" i="2"/>
  <c r="BL976" i="2"/>
  <c r="BK976" i="2"/>
  <c r="W976" i="1"/>
  <c r="BJ976" i="2"/>
  <c r="BI976" i="2"/>
  <c r="BH976" i="2"/>
  <c r="T976" i="1"/>
  <c r="BG976" i="2"/>
  <c r="BF976" i="2"/>
  <c r="BE976" i="2"/>
  <c r="BD976" i="2"/>
  <c r="BC976" i="2"/>
  <c r="BB976" i="2"/>
  <c r="BA976" i="2"/>
  <c r="AZ976" i="2"/>
  <c r="AY976" i="2"/>
  <c r="AX976" i="2"/>
  <c r="J976" i="1"/>
  <c r="AW976" i="2"/>
  <c r="I976" i="1"/>
  <c r="AV976" i="2"/>
  <c r="AU976" i="2"/>
  <c r="AT976" i="2"/>
  <c r="AS976" i="2"/>
  <c r="AR976" i="2"/>
  <c r="AQ976" i="2"/>
  <c r="AP976" i="2"/>
  <c r="AO976" i="2"/>
  <c r="AL976" i="2"/>
  <c r="AK976" i="2"/>
  <c r="BQ975" i="2"/>
  <c r="BP975" i="2"/>
  <c r="AB975" i="1"/>
  <c r="BO975" i="2"/>
  <c r="AA975" i="1"/>
  <c r="BN975" i="2"/>
  <c r="BM975" i="2"/>
  <c r="BL975" i="2"/>
  <c r="BK975" i="2"/>
  <c r="W975" i="1"/>
  <c r="BJ975" i="2"/>
  <c r="BI975" i="2"/>
  <c r="BH975" i="2"/>
  <c r="T975" i="1"/>
  <c r="BG975" i="2"/>
  <c r="BF975" i="2"/>
  <c r="BE975" i="2"/>
  <c r="BD975" i="2"/>
  <c r="BC975" i="2"/>
  <c r="BB975" i="2"/>
  <c r="BA975" i="2"/>
  <c r="AZ975" i="2"/>
  <c r="AY975" i="2"/>
  <c r="AX975" i="2"/>
  <c r="J975" i="1"/>
  <c r="AW975" i="2"/>
  <c r="I975" i="1"/>
  <c r="AV975" i="2"/>
  <c r="AU975" i="2"/>
  <c r="AT975" i="2"/>
  <c r="AS975" i="2"/>
  <c r="AR975" i="2"/>
  <c r="AQ975" i="2"/>
  <c r="AP975" i="2"/>
  <c r="AO975" i="2"/>
  <c r="AL975" i="2"/>
  <c r="AK975" i="2"/>
  <c r="BQ974" i="2"/>
  <c r="BP974" i="2"/>
  <c r="AB974" i="1"/>
  <c r="BO974" i="2"/>
  <c r="AA974" i="1"/>
  <c r="BN974" i="2"/>
  <c r="BM974" i="2"/>
  <c r="BL974" i="2"/>
  <c r="BK974" i="2"/>
  <c r="W974" i="1"/>
  <c r="BJ974" i="2"/>
  <c r="BI974" i="2"/>
  <c r="BH974" i="2"/>
  <c r="T974" i="1"/>
  <c r="BG974" i="2"/>
  <c r="BF974" i="2"/>
  <c r="BE974" i="2"/>
  <c r="BD974" i="2"/>
  <c r="BC974" i="2"/>
  <c r="BB974" i="2"/>
  <c r="BA974" i="2"/>
  <c r="AZ974" i="2"/>
  <c r="AY974" i="2"/>
  <c r="AX974" i="2"/>
  <c r="J974" i="1"/>
  <c r="AW974" i="2"/>
  <c r="I974" i="1"/>
  <c r="AV974" i="2"/>
  <c r="AU974" i="2"/>
  <c r="AT974" i="2"/>
  <c r="AS974" i="2"/>
  <c r="AR974" i="2"/>
  <c r="AQ974" i="2"/>
  <c r="AP974" i="2"/>
  <c r="AO974" i="2"/>
  <c r="AL974" i="2"/>
  <c r="AK974" i="2"/>
  <c r="BQ973" i="2"/>
  <c r="BP973" i="2"/>
  <c r="AB973" i="1"/>
  <c r="BO973" i="2"/>
  <c r="AA973" i="1"/>
  <c r="BN973" i="2"/>
  <c r="BM973" i="2"/>
  <c r="BL973" i="2"/>
  <c r="BK973" i="2"/>
  <c r="W973" i="1"/>
  <c r="BJ973" i="2"/>
  <c r="BI973" i="2"/>
  <c r="BH973" i="2"/>
  <c r="T973" i="1"/>
  <c r="BG973" i="2"/>
  <c r="BF973" i="2"/>
  <c r="BE973" i="2"/>
  <c r="BD973" i="2"/>
  <c r="BC973" i="2"/>
  <c r="BB973" i="2"/>
  <c r="BA973" i="2"/>
  <c r="AZ973" i="2"/>
  <c r="AY973" i="2"/>
  <c r="AX973" i="2"/>
  <c r="J973" i="1"/>
  <c r="AW973" i="2"/>
  <c r="I973" i="1"/>
  <c r="AV973" i="2"/>
  <c r="AU973" i="2"/>
  <c r="AT973" i="2"/>
  <c r="AS973" i="2"/>
  <c r="AR973" i="2"/>
  <c r="AQ973" i="2"/>
  <c r="AP973" i="2"/>
  <c r="AO973" i="2"/>
  <c r="AL973" i="2"/>
  <c r="AK973" i="2"/>
  <c r="BQ972" i="2"/>
  <c r="BP972" i="2"/>
  <c r="AB972" i="1"/>
  <c r="BO972" i="2"/>
  <c r="AA972" i="1"/>
  <c r="BN972" i="2"/>
  <c r="BM972" i="2"/>
  <c r="BL972" i="2"/>
  <c r="BK972" i="2"/>
  <c r="W972" i="1"/>
  <c r="BJ972" i="2"/>
  <c r="BI972" i="2"/>
  <c r="BH972" i="2"/>
  <c r="T972" i="1"/>
  <c r="BG972" i="2"/>
  <c r="BF972" i="2"/>
  <c r="BE972" i="2"/>
  <c r="BD972" i="2"/>
  <c r="BC972" i="2"/>
  <c r="BB972" i="2"/>
  <c r="BA972" i="2"/>
  <c r="AZ972" i="2"/>
  <c r="AY972" i="2"/>
  <c r="AX972" i="2"/>
  <c r="J972" i="1"/>
  <c r="AW972" i="2"/>
  <c r="I972" i="1"/>
  <c r="AV972" i="2"/>
  <c r="AU972" i="2"/>
  <c r="AT972" i="2"/>
  <c r="AS972" i="2"/>
  <c r="AR972" i="2"/>
  <c r="AQ972" i="2"/>
  <c r="AP972" i="2"/>
  <c r="AO972" i="2"/>
  <c r="AL972" i="2"/>
  <c r="AK972" i="2"/>
  <c r="BQ971" i="2"/>
  <c r="BP971" i="2"/>
  <c r="AB971" i="1"/>
  <c r="BO971" i="2"/>
  <c r="AA971" i="1"/>
  <c r="BN971" i="2"/>
  <c r="BM971" i="2"/>
  <c r="BL971" i="2"/>
  <c r="BK971" i="2"/>
  <c r="W971" i="1"/>
  <c r="BJ971" i="2"/>
  <c r="BI971" i="2"/>
  <c r="BH971" i="2"/>
  <c r="T971" i="1"/>
  <c r="BG971" i="2"/>
  <c r="BF971" i="2"/>
  <c r="BE971" i="2"/>
  <c r="BD971" i="2"/>
  <c r="BC971" i="2"/>
  <c r="BB971" i="2"/>
  <c r="BA971" i="2"/>
  <c r="AZ971" i="2"/>
  <c r="AY971" i="2"/>
  <c r="AX971" i="2"/>
  <c r="J971" i="1"/>
  <c r="AW971" i="2"/>
  <c r="I971" i="1"/>
  <c r="AV971" i="2"/>
  <c r="AU971" i="2"/>
  <c r="AT971" i="2"/>
  <c r="AS971" i="2"/>
  <c r="AR971" i="2"/>
  <c r="AQ971" i="2"/>
  <c r="AP971" i="2"/>
  <c r="AO971" i="2"/>
  <c r="AL971" i="2"/>
  <c r="AK971" i="2"/>
  <c r="BQ970" i="2"/>
  <c r="BP970" i="2"/>
  <c r="AB970" i="1"/>
  <c r="BO970" i="2"/>
  <c r="AA970" i="1"/>
  <c r="BN970" i="2"/>
  <c r="BM970" i="2"/>
  <c r="BL970" i="2"/>
  <c r="BK970" i="2"/>
  <c r="W970" i="1"/>
  <c r="BJ970" i="2"/>
  <c r="BI970" i="2"/>
  <c r="BH970" i="2"/>
  <c r="T970" i="1"/>
  <c r="BG970" i="2"/>
  <c r="BF970" i="2"/>
  <c r="BE970" i="2"/>
  <c r="BD970" i="2"/>
  <c r="BC970" i="2"/>
  <c r="BB970" i="2"/>
  <c r="BA970" i="2"/>
  <c r="AZ970" i="2"/>
  <c r="AY970" i="2"/>
  <c r="AX970" i="2"/>
  <c r="J970" i="1"/>
  <c r="AW970" i="2"/>
  <c r="I970" i="1"/>
  <c r="AV970" i="2"/>
  <c r="AU970" i="2"/>
  <c r="AT970" i="2"/>
  <c r="AS970" i="2"/>
  <c r="AR970" i="2"/>
  <c r="AQ970" i="2"/>
  <c r="AP970" i="2"/>
  <c r="AO970" i="2"/>
  <c r="AL970" i="2"/>
  <c r="AK970" i="2"/>
  <c r="BQ969" i="2"/>
  <c r="BP969" i="2"/>
  <c r="AB969" i="1"/>
  <c r="BO969" i="2"/>
  <c r="AA969" i="1"/>
  <c r="BN969" i="2"/>
  <c r="BM969" i="2"/>
  <c r="BL969" i="2"/>
  <c r="BK969" i="2"/>
  <c r="W969" i="1"/>
  <c r="BJ969" i="2"/>
  <c r="BI969" i="2"/>
  <c r="BH969" i="2"/>
  <c r="T969" i="1"/>
  <c r="BG969" i="2"/>
  <c r="BF969" i="2"/>
  <c r="BE969" i="2"/>
  <c r="BD969" i="2"/>
  <c r="BC969" i="2"/>
  <c r="BB969" i="2"/>
  <c r="BA969" i="2"/>
  <c r="AZ969" i="2"/>
  <c r="AY969" i="2"/>
  <c r="AX969" i="2"/>
  <c r="J969" i="1"/>
  <c r="AW969" i="2"/>
  <c r="I969" i="1"/>
  <c r="AV969" i="2"/>
  <c r="AU969" i="2"/>
  <c r="AT969" i="2"/>
  <c r="AS969" i="2"/>
  <c r="AR969" i="2"/>
  <c r="AQ969" i="2"/>
  <c r="AP969" i="2"/>
  <c r="AO969" i="2"/>
  <c r="AL969" i="2"/>
  <c r="AK969" i="2"/>
  <c r="BQ968" i="2"/>
  <c r="BP968" i="2"/>
  <c r="AB968" i="1"/>
  <c r="BO968" i="2"/>
  <c r="AA968" i="1"/>
  <c r="BN968" i="2"/>
  <c r="BM968" i="2"/>
  <c r="BL968" i="2"/>
  <c r="BK968" i="2"/>
  <c r="W968" i="1"/>
  <c r="BJ968" i="2"/>
  <c r="BI968" i="2"/>
  <c r="BH968" i="2"/>
  <c r="T968" i="1"/>
  <c r="BG968" i="2"/>
  <c r="BF968" i="2"/>
  <c r="BE968" i="2"/>
  <c r="BD968" i="2"/>
  <c r="BC968" i="2"/>
  <c r="BB968" i="2"/>
  <c r="BA968" i="2"/>
  <c r="AZ968" i="2"/>
  <c r="AY968" i="2"/>
  <c r="AX968" i="2"/>
  <c r="J968" i="1"/>
  <c r="AW968" i="2"/>
  <c r="I968" i="1"/>
  <c r="AV968" i="2"/>
  <c r="AU968" i="2"/>
  <c r="AT968" i="2"/>
  <c r="AS968" i="2"/>
  <c r="AR968" i="2"/>
  <c r="AQ968" i="2"/>
  <c r="AP968" i="2"/>
  <c r="AO968" i="2"/>
  <c r="AL968" i="2"/>
  <c r="AK968" i="2"/>
  <c r="BQ967" i="2"/>
  <c r="BP967" i="2"/>
  <c r="AB967" i="1"/>
  <c r="BO967" i="2"/>
  <c r="AA967" i="1"/>
  <c r="BN967" i="2"/>
  <c r="BM967" i="2"/>
  <c r="BL967" i="2"/>
  <c r="BK967" i="2"/>
  <c r="W967" i="1"/>
  <c r="BJ967" i="2"/>
  <c r="BI967" i="2"/>
  <c r="BH967" i="2"/>
  <c r="T967" i="1"/>
  <c r="BG967" i="2"/>
  <c r="BF967" i="2"/>
  <c r="BE967" i="2"/>
  <c r="BD967" i="2"/>
  <c r="BC967" i="2"/>
  <c r="BB967" i="2"/>
  <c r="BA967" i="2"/>
  <c r="AZ967" i="2"/>
  <c r="AY967" i="2"/>
  <c r="AX967" i="2"/>
  <c r="J967" i="1"/>
  <c r="AW967" i="2"/>
  <c r="I967" i="1"/>
  <c r="AV967" i="2"/>
  <c r="AU967" i="2"/>
  <c r="AT967" i="2"/>
  <c r="AS967" i="2"/>
  <c r="AR967" i="2"/>
  <c r="AQ967" i="2"/>
  <c r="AP967" i="2"/>
  <c r="AO967" i="2"/>
  <c r="AL967" i="2"/>
  <c r="AK967" i="2"/>
  <c r="BQ966" i="2"/>
  <c r="BP966" i="2"/>
  <c r="AB966" i="1"/>
  <c r="BO966" i="2"/>
  <c r="AA966" i="1"/>
  <c r="BN966" i="2"/>
  <c r="BM966" i="2"/>
  <c r="BL966" i="2"/>
  <c r="BK966" i="2"/>
  <c r="W966" i="1"/>
  <c r="BJ966" i="2"/>
  <c r="BI966" i="2"/>
  <c r="BH966" i="2"/>
  <c r="T966" i="1"/>
  <c r="BG966" i="2"/>
  <c r="BF966" i="2"/>
  <c r="BE966" i="2"/>
  <c r="BD966" i="2"/>
  <c r="BC966" i="2"/>
  <c r="BB966" i="2"/>
  <c r="BA966" i="2"/>
  <c r="AZ966" i="2"/>
  <c r="AY966" i="2"/>
  <c r="AX966" i="2"/>
  <c r="J966" i="1"/>
  <c r="AW966" i="2"/>
  <c r="I966" i="1"/>
  <c r="AV966" i="2"/>
  <c r="AU966" i="2"/>
  <c r="AT966" i="2"/>
  <c r="AS966" i="2"/>
  <c r="AR966" i="2"/>
  <c r="AQ966" i="2"/>
  <c r="AP966" i="2"/>
  <c r="AO966" i="2"/>
  <c r="AL966" i="2"/>
  <c r="AK966" i="2"/>
  <c r="BQ965" i="2"/>
  <c r="BP965" i="2"/>
  <c r="AB965" i="1"/>
  <c r="BO965" i="2"/>
  <c r="AA965" i="1"/>
  <c r="BN965" i="2"/>
  <c r="BM965" i="2"/>
  <c r="BL965" i="2"/>
  <c r="BK965" i="2"/>
  <c r="W965" i="1"/>
  <c r="BJ965" i="2"/>
  <c r="BI965" i="2"/>
  <c r="BH965" i="2"/>
  <c r="T965" i="1"/>
  <c r="BG965" i="2"/>
  <c r="BF965" i="2"/>
  <c r="BE965" i="2"/>
  <c r="BD965" i="2"/>
  <c r="BC965" i="2"/>
  <c r="BB965" i="2"/>
  <c r="BA965" i="2"/>
  <c r="AZ965" i="2"/>
  <c r="AY965" i="2"/>
  <c r="AX965" i="2"/>
  <c r="J965" i="1"/>
  <c r="AW965" i="2"/>
  <c r="I965" i="1"/>
  <c r="AV965" i="2"/>
  <c r="AU965" i="2"/>
  <c r="AT965" i="2"/>
  <c r="AS965" i="2"/>
  <c r="AR965" i="2"/>
  <c r="AQ965" i="2"/>
  <c r="AP965" i="2"/>
  <c r="AO965" i="2"/>
  <c r="AL965" i="2"/>
  <c r="AK965" i="2"/>
  <c r="BQ964" i="2"/>
  <c r="BP964" i="2"/>
  <c r="AB964" i="1"/>
  <c r="BO964" i="2"/>
  <c r="AA964" i="1"/>
  <c r="BN964" i="2"/>
  <c r="BM964" i="2"/>
  <c r="BL964" i="2"/>
  <c r="BK964" i="2"/>
  <c r="W964" i="1"/>
  <c r="BJ964" i="2"/>
  <c r="BI964" i="2"/>
  <c r="BH964" i="2"/>
  <c r="T964" i="1"/>
  <c r="BG964" i="2"/>
  <c r="BF964" i="2"/>
  <c r="BE964" i="2"/>
  <c r="BD964" i="2"/>
  <c r="BC964" i="2"/>
  <c r="BB964" i="2"/>
  <c r="BA964" i="2"/>
  <c r="AZ964" i="2"/>
  <c r="AY964" i="2"/>
  <c r="AX964" i="2"/>
  <c r="J964" i="1"/>
  <c r="AW964" i="2"/>
  <c r="I964" i="1"/>
  <c r="AV964" i="2"/>
  <c r="AU964" i="2"/>
  <c r="AT964" i="2"/>
  <c r="AS964" i="2"/>
  <c r="AR964" i="2"/>
  <c r="AQ964" i="2"/>
  <c r="AP964" i="2"/>
  <c r="AO964" i="2"/>
  <c r="AL964" i="2"/>
  <c r="AK964" i="2"/>
  <c r="BQ963" i="2"/>
  <c r="BP963" i="2"/>
  <c r="AB963" i="1"/>
  <c r="BO963" i="2"/>
  <c r="AA963" i="1"/>
  <c r="BN963" i="2"/>
  <c r="BM963" i="2"/>
  <c r="BL963" i="2"/>
  <c r="BK963" i="2"/>
  <c r="W963" i="1"/>
  <c r="BJ963" i="2"/>
  <c r="BI963" i="2"/>
  <c r="BH963" i="2"/>
  <c r="T963" i="1"/>
  <c r="BG963" i="2"/>
  <c r="BF963" i="2"/>
  <c r="BE963" i="2"/>
  <c r="BD963" i="2"/>
  <c r="BC963" i="2"/>
  <c r="BB963" i="2"/>
  <c r="BA963" i="2"/>
  <c r="AZ963" i="2"/>
  <c r="AY963" i="2"/>
  <c r="AX963" i="2"/>
  <c r="J963" i="1"/>
  <c r="AW963" i="2"/>
  <c r="I963" i="1"/>
  <c r="AV963" i="2"/>
  <c r="AU963" i="2"/>
  <c r="AT963" i="2"/>
  <c r="AS963" i="2"/>
  <c r="AR963" i="2"/>
  <c r="AQ963" i="2"/>
  <c r="AP963" i="2"/>
  <c r="AO963" i="2"/>
  <c r="AL963" i="2"/>
  <c r="AK963" i="2"/>
  <c r="BQ962" i="2"/>
  <c r="BP962" i="2"/>
  <c r="AB962" i="1"/>
  <c r="BO962" i="2"/>
  <c r="AA962" i="1"/>
  <c r="BN962" i="2"/>
  <c r="BM962" i="2"/>
  <c r="BL962" i="2"/>
  <c r="BK962" i="2"/>
  <c r="W962" i="1"/>
  <c r="BJ962" i="2"/>
  <c r="BI962" i="2"/>
  <c r="BH962" i="2"/>
  <c r="T962" i="1"/>
  <c r="BG962" i="2"/>
  <c r="BF962" i="2"/>
  <c r="BE962" i="2"/>
  <c r="BD962" i="2"/>
  <c r="BC962" i="2"/>
  <c r="BB962" i="2"/>
  <c r="BA962" i="2"/>
  <c r="AZ962" i="2"/>
  <c r="AY962" i="2"/>
  <c r="AX962" i="2"/>
  <c r="J962" i="1"/>
  <c r="AW962" i="2"/>
  <c r="I962" i="1"/>
  <c r="AV962" i="2"/>
  <c r="AU962" i="2"/>
  <c r="AT962" i="2"/>
  <c r="AS962" i="2"/>
  <c r="AR962" i="2"/>
  <c r="AQ962" i="2"/>
  <c r="AP962" i="2"/>
  <c r="AO962" i="2"/>
  <c r="AL962" i="2"/>
  <c r="AK962" i="2"/>
  <c r="BQ961" i="2"/>
  <c r="BP961" i="2"/>
  <c r="AB961" i="1"/>
  <c r="BO961" i="2"/>
  <c r="AA961" i="1"/>
  <c r="BN961" i="2"/>
  <c r="BM961" i="2"/>
  <c r="BL961" i="2"/>
  <c r="BK961" i="2"/>
  <c r="W961" i="1"/>
  <c r="BJ961" i="2"/>
  <c r="BI961" i="2"/>
  <c r="BH961" i="2"/>
  <c r="T961" i="1"/>
  <c r="BG961" i="2"/>
  <c r="BF961" i="2"/>
  <c r="BE961" i="2"/>
  <c r="BD961" i="2"/>
  <c r="BC961" i="2"/>
  <c r="BB961" i="2"/>
  <c r="BA961" i="2"/>
  <c r="AZ961" i="2"/>
  <c r="AY961" i="2"/>
  <c r="AX961" i="2"/>
  <c r="J961" i="1"/>
  <c r="AW961" i="2"/>
  <c r="I961" i="1"/>
  <c r="AV961" i="2"/>
  <c r="AU961" i="2"/>
  <c r="AT961" i="2"/>
  <c r="AS961" i="2"/>
  <c r="AR961" i="2"/>
  <c r="AQ961" i="2"/>
  <c r="AP961" i="2"/>
  <c r="AO961" i="2"/>
  <c r="AL961" i="2"/>
  <c r="AK961" i="2"/>
  <c r="BQ960" i="2"/>
  <c r="BP960" i="2"/>
  <c r="AB960" i="1"/>
  <c r="BO960" i="2"/>
  <c r="AA960" i="1"/>
  <c r="BN960" i="2"/>
  <c r="BM960" i="2"/>
  <c r="BL960" i="2"/>
  <c r="BK960" i="2"/>
  <c r="W960" i="1"/>
  <c r="BJ960" i="2"/>
  <c r="BI960" i="2"/>
  <c r="BH960" i="2"/>
  <c r="T960" i="1"/>
  <c r="BG960" i="2"/>
  <c r="BF960" i="2"/>
  <c r="BE960" i="2"/>
  <c r="BD960" i="2"/>
  <c r="BC960" i="2"/>
  <c r="BB960" i="2"/>
  <c r="BA960" i="2"/>
  <c r="AZ960" i="2"/>
  <c r="AY960" i="2"/>
  <c r="AX960" i="2"/>
  <c r="J960" i="1"/>
  <c r="AW960" i="2"/>
  <c r="I960" i="1"/>
  <c r="AV960" i="2"/>
  <c r="AU960" i="2"/>
  <c r="AT960" i="2"/>
  <c r="AS960" i="2"/>
  <c r="AR960" i="2"/>
  <c r="AQ960" i="2"/>
  <c r="AP960" i="2"/>
  <c r="AO960" i="2"/>
  <c r="AL960" i="2"/>
  <c r="AK960" i="2"/>
  <c r="BQ959" i="2"/>
  <c r="BP959" i="2"/>
  <c r="AB959" i="1"/>
  <c r="BO959" i="2"/>
  <c r="AA959" i="1"/>
  <c r="BN959" i="2"/>
  <c r="BM959" i="2"/>
  <c r="BL959" i="2"/>
  <c r="BK959" i="2"/>
  <c r="W959" i="1"/>
  <c r="BJ959" i="2"/>
  <c r="BI959" i="2"/>
  <c r="BH959" i="2"/>
  <c r="T959" i="1"/>
  <c r="BG959" i="2"/>
  <c r="BF959" i="2"/>
  <c r="BE959" i="2"/>
  <c r="BD959" i="2"/>
  <c r="BC959" i="2"/>
  <c r="BB959" i="2"/>
  <c r="BA959" i="2"/>
  <c r="AZ959" i="2"/>
  <c r="AY959" i="2"/>
  <c r="AX959" i="2"/>
  <c r="J959" i="1"/>
  <c r="AW959" i="2"/>
  <c r="I959" i="1"/>
  <c r="AV959" i="2"/>
  <c r="AU959" i="2"/>
  <c r="AT959" i="2"/>
  <c r="AS959" i="2"/>
  <c r="AR959" i="2"/>
  <c r="AQ959" i="2"/>
  <c r="AP959" i="2"/>
  <c r="AO959" i="2"/>
  <c r="AL959" i="2"/>
  <c r="AK959" i="2"/>
  <c r="BQ958" i="2"/>
  <c r="BP958" i="2"/>
  <c r="AB958" i="1"/>
  <c r="BO958" i="2"/>
  <c r="AA958" i="1"/>
  <c r="BN958" i="2"/>
  <c r="BM958" i="2"/>
  <c r="BL958" i="2"/>
  <c r="BK958" i="2"/>
  <c r="W958" i="1"/>
  <c r="BJ958" i="2"/>
  <c r="BI958" i="2"/>
  <c r="BH958" i="2"/>
  <c r="T958" i="1"/>
  <c r="BG958" i="2"/>
  <c r="BF958" i="2"/>
  <c r="BE958" i="2"/>
  <c r="BD958" i="2"/>
  <c r="BC958" i="2"/>
  <c r="BB958" i="2"/>
  <c r="BA958" i="2"/>
  <c r="AZ958" i="2"/>
  <c r="AY958" i="2"/>
  <c r="AX958" i="2"/>
  <c r="J958" i="1"/>
  <c r="AW958" i="2"/>
  <c r="I958" i="1"/>
  <c r="AV958" i="2"/>
  <c r="AU958" i="2"/>
  <c r="AT958" i="2"/>
  <c r="AS958" i="2"/>
  <c r="AR958" i="2"/>
  <c r="AQ958" i="2"/>
  <c r="AP958" i="2"/>
  <c r="AO958" i="2"/>
  <c r="AL958" i="2"/>
  <c r="AK958" i="2"/>
  <c r="BQ957" i="2"/>
  <c r="BP957" i="2"/>
  <c r="AB957" i="1"/>
  <c r="BO957" i="2"/>
  <c r="AA957" i="1"/>
  <c r="BN957" i="2"/>
  <c r="BM957" i="2"/>
  <c r="BL957" i="2"/>
  <c r="BK957" i="2"/>
  <c r="W957" i="1"/>
  <c r="BJ957" i="2"/>
  <c r="BI957" i="2"/>
  <c r="BH957" i="2"/>
  <c r="T957" i="1"/>
  <c r="BG957" i="2"/>
  <c r="BF957" i="2"/>
  <c r="BE957" i="2"/>
  <c r="BD957" i="2"/>
  <c r="BC957" i="2"/>
  <c r="BB957" i="2"/>
  <c r="BA957" i="2"/>
  <c r="AZ957" i="2"/>
  <c r="AY957" i="2"/>
  <c r="AX957" i="2"/>
  <c r="J957" i="1"/>
  <c r="AW957" i="2"/>
  <c r="I957" i="1"/>
  <c r="AV957" i="2"/>
  <c r="AU957" i="2"/>
  <c r="AT957" i="2"/>
  <c r="AS957" i="2"/>
  <c r="AR957" i="2"/>
  <c r="AQ957" i="2"/>
  <c r="AP957" i="2"/>
  <c r="AO957" i="2"/>
  <c r="AL957" i="2"/>
  <c r="AK957" i="2"/>
  <c r="BQ956" i="2"/>
  <c r="BP956" i="2"/>
  <c r="AB956" i="1"/>
  <c r="BO956" i="2"/>
  <c r="AA956" i="1"/>
  <c r="BN956" i="2"/>
  <c r="BM956" i="2"/>
  <c r="BL956" i="2"/>
  <c r="BK956" i="2"/>
  <c r="W956" i="1"/>
  <c r="BJ956" i="2"/>
  <c r="BI956" i="2"/>
  <c r="BH956" i="2"/>
  <c r="T956" i="1"/>
  <c r="BG956" i="2"/>
  <c r="BF956" i="2"/>
  <c r="BE956" i="2"/>
  <c r="BD956" i="2"/>
  <c r="BC956" i="2"/>
  <c r="BB956" i="2"/>
  <c r="BA956" i="2"/>
  <c r="AZ956" i="2"/>
  <c r="AY956" i="2"/>
  <c r="AX956" i="2"/>
  <c r="J956" i="1"/>
  <c r="AW956" i="2"/>
  <c r="I956" i="1"/>
  <c r="AV956" i="2"/>
  <c r="AU956" i="2"/>
  <c r="AT956" i="2"/>
  <c r="AS956" i="2"/>
  <c r="AR956" i="2"/>
  <c r="AQ956" i="2"/>
  <c r="AP956" i="2"/>
  <c r="AO956" i="2"/>
  <c r="AL956" i="2"/>
  <c r="AK956" i="2"/>
  <c r="BQ955" i="2"/>
  <c r="BP955" i="2"/>
  <c r="AB955" i="1"/>
  <c r="BO955" i="2"/>
  <c r="AA955" i="1"/>
  <c r="BN955" i="2"/>
  <c r="BM955" i="2"/>
  <c r="BL955" i="2"/>
  <c r="BK955" i="2"/>
  <c r="W955" i="1"/>
  <c r="BJ955" i="2"/>
  <c r="BI955" i="2"/>
  <c r="BH955" i="2"/>
  <c r="T955" i="1"/>
  <c r="BG955" i="2"/>
  <c r="BF955" i="2"/>
  <c r="BE955" i="2"/>
  <c r="BD955" i="2"/>
  <c r="BC955" i="2"/>
  <c r="BB955" i="2"/>
  <c r="BA955" i="2"/>
  <c r="AZ955" i="2"/>
  <c r="AY955" i="2"/>
  <c r="AX955" i="2"/>
  <c r="J955" i="1"/>
  <c r="AW955" i="2"/>
  <c r="I955" i="1"/>
  <c r="AV955" i="2"/>
  <c r="AU955" i="2"/>
  <c r="AT955" i="2"/>
  <c r="AS955" i="2"/>
  <c r="AR955" i="2"/>
  <c r="AQ955" i="2"/>
  <c r="AP955" i="2"/>
  <c r="AO955" i="2"/>
  <c r="AL955" i="2"/>
  <c r="AK955" i="2"/>
  <c r="BQ954" i="2"/>
  <c r="BP954" i="2"/>
  <c r="AB954" i="1"/>
  <c r="BO954" i="2"/>
  <c r="AA954" i="1"/>
  <c r="BN954" i="2"/>
  <c r="BM954" i="2"/>
  <c r="BL954" i="2"/>
  <c r="BK954" i="2"/>
  <c r="W954" i="1"/>
  <c r="BJ954" i="2"/>
  <c r="BI954" i="2"/>
  <c r="BH954" i="2"/>
  <c r="T954" i="1"/>
  <c r="BG954" i="2"/>
  <c r="BF954" i="2"/>
  <c r="BE954" i="2"/>
  <c r="BD954" i="2"/>
  <c r="BC954" i="2"/>
  <c r="BB954" i="2"/>
  <c r="BA954" i="2"/>
  <c r="AZ954" i="2"/>
  <c r="AY954" i="2"/>
  <c r="AX954" i="2"/>
  <c r="J954" i="1"/>
  <c r="AW954" i="2"/>
  <c r="I954" i="1"/>
  <c r="AV954" i="2"/>
  <c r="AU954" i="2"/>
  <c r="AT954" i="2"/>
  <c r="AS954" i="2"/>
  <c r="AR954" i="2"/>
  <c r="AQ954" i="2"/>
  <c r="AP954" i="2"/>
  <c r="AO954" i="2"/>
  <c r="AL954" i="2"/>
  <c r="AK954" i="2"/>
  <c r="BQ953" i="2"/>
  <c r="BP953" i="2"/>
  <c r="AB953" i="1"/>
  <c r="BO953" i="2"/>
  <c r="AA953" i="1"/>
  <c r="BN953" i="2"/>
  <c r="BM953" i="2"/>
  <c r="BL953" i="2"/>
  <c r="BK953" i="2"/>
  <c r="W953" i="1"/>
  <c r="BJ953" i="2"/>
  <c r="BI953" i="2"/>
  <c r="BH953" i="2"/>
  <c r="T953" i="1"/>
  <c r="BG953" i="2"/>
  <c r="BF953" i="2"/>
  <c r="BE953" i="2"/>
  <c r="BD953" i="2"/>
  <c r="BC953" i="2"/>
  <c r="BB953" i="2"/>
  <c r="BA953" i="2"/>
  <c r="AZ953" i="2"/>
  <c r="AY953" i="2"/>
  <c r="AX953" i="2"/>
  <c r="J953" i="1"/>
  <c r="AW953" i="2"/>
  <c r="I953" i="1"/>
  <c r="AV953" i="2"/>
  <c r="AU953" i="2"/>
  <c r="AT953" i="2"/>
  <c r="AS953" i="2"/>
  <c r="AR953" i="2"/>
  <c r="AQ953" i="2"/>
  <c r="AP953" i="2"/>
  <c r="AO953" i="2"/>
  <c r="AL953" i="2"/>
  <c r="AK953" i="2"/>
  <c r="BQ952" i="2"/>
  <c r="BP952" i="2"/>
  <c r="AB952" i="1"/>
  <c r="BO952" i="2"/>
  <c r="AA952" i="1"/>
  <c r="BN952" i="2"/>
  <c r="BM952" i="2"/>
  <c r="BL952" i="2"/>
  <c r="BK952" i="2"/>
  <c r="W952" i="1"/>
  <c r="BJ952" i="2"/>
  <c r="BI952" i="2"/>
  <c r="BH952" i="2"/>
  <c r="T952" i="1"/>
  <c r="BG952" i="2"/>
  <c r="BF952" i="2"/>
  <c r="BE952" i="2"/>
  <c r="BD952" i="2"/>
  <c r="BC952" i="2"/>
  <c r="BB952" i="2"/>
  <c r="BA952" i="2"/>
  <c r="AZ952" i="2"/>
  <c r="AY952" i="2"/>
  <c r="AX952" i="2"/>
  <c r="J952" i="1"/>
  <c r="AW952" i="2"/>
  <c r="I952" i="1"/>
  <c r="AV952" i="2"/>
  <c r="AU952" i="2"/>
  <c r="AT952" i="2"/>
  <c r="AS952" i="2"/>
  <c r="AR952" i="2"/>
  <c r="AQ952" i="2"/>
  <c r="AP952" i="2"/>
  <c r="AO952" i="2"/>
  <c r="AL952" i="2"/>
  <c r="AK952" i="2"/>
  <c r="BQ951" i="2"/>
  <c r="BP951" i="2"/>
  <c r="AB951" i="1"/>
  <c r="BO951" i="2"/>
  <c r="AA951" i="1"/>
  <c r="BN951" i="2"/>
  <c r="BM951" i="2"/>
  <c r="BL951" i="2"/>
  <c r="BK951" i="2"/>
  <c r="W951" i="1"/>
  <c r="BJ951" i="2"/>
  <c r="BI951" i="2"/>
  <c r="BH951" i="2"/>
  <c r="T951" i="1"/>
  <c r="BG951" i="2"/>
  <c r="BF951" i="2"/>
  <c r="BE951" i="2"/>
  <c r="BD951" i="2"/>
  <c r="BC951" i="2"/>
  <c r="BB951" i="2"/>
  <c r="BA951" i="2"/>
  <c r="AZ951" i="2"/>
  <c r="AY951" i="2"/>
  <c r="AX951" i="2"/>
  <c r="J951" i="1"/>
  <c r="AW951" i="2"/>
  <c r="I951" i="1"/>
  <c r="AV951" i="2"/>
  <c r="AU951" i="2"/>
  <c r="AT951" i="2"/>
  <c r="AS951" i="2"/>
  <c r="AR951" i="2"/>
  <c r="AQ951" i="2"/>
  <c r="AP951" i="2"/>
  <c r="AO951" i="2"/>
  <c r="AL951" i="2"/>
  <c r="AK951" i="2"/>
  <c r="BQ950" i="2"/>
  <c r="BP950" i="2"/>
  <c r="AB950" i="1"/>
  <c r="BO950" i="2"/>
  <c r="AA950" i="1"/>
  <c r="BN950" i="2"/>
  <c r="BM950" i="2"/>
  <c r="BL950" i="2"/>
  <c r="BK950" i="2"/>
  <c r="W950" i="1"/>
  <c r="BJ950" i="2"/>
  <c r="BI950" i="2"/>
  <c r="BH950" i="2"/>
  <c r="T950" i="1"/>
  <c r="BG950" i="2"/>
  <c r="BF950" i="2"/>
  <c r="BE950" i="2"/>
  <c r="BD950" i="2"/>
  <c r="BC950" i="2"/>
  <c r="BB950" i="2"/>
  <c r="BA950" i="2"/>
  <c r="AZ950" i="2"/>
  <c r="AY950" i="2"/>
  <c r="AX950" i="2"/>
  <c r="J950" i="1"/>
  <c r="AW950" i="2"/>
  <c r="I950" i="1"/>
  <c r="AV950" i="2"/>
  <c r="AU950" i="2"/>
  <c r="AT950" i="2"/>
  <c r="AS950" i="2"/>
  <c r="AR950" i="2"/>
  <c r="AQ950" i="2"/>
  <c r="AP950" i="2"/>
  <c r="AO950" i="2"/>
  <c r="AL950" i="2"/>
  <c r="AK950" i="2"/>
  <c r="BQ949" i="2"/>
  <c r="BP949" i="2"/>
  <c r="AB949" i="1"/>
  <c r="BO949" i="2"/>
  <c r="AA949" i="1"/>
  <c r="BN949" i="2"/>
  <c r="BM949" i="2"/>
  <c r="BL949" i="2"/>
  <c r="BK949" i="2"/>
  <c r="W949" i="1"/>
  <c r="BJ949" i="2"/>
  <c r="BI949" i="2"/>
  <c r="BH949" i="2"/>
  <c r="T949" i="1"/>
  <c r="BG949" i="2"/>
  <c r="BF949" i="2"/>
  <c r="BE949" i="2"/>
  <c r="BD949" i="2"/>
  <c r="BC949" i="2"/>
  <c r="BB949" i="2"/>
  <c r="BA949" i="2"/>
  <c r="AZ949" i="2"/>
  <c r="AY949" i="2"/>
  <c r="AX949" i="2"/>
  <c r="J949" i="1"/>
  <c r="AW949" i="2"/>
  <c r="I949" i="1"/>
  <c r="AV949" i="2"/>
  <c r="AU949" i="2"/>
  <c r="AT949" i="2"/>
  <c r="AS949" i="2"/>
  <c r="AR949" i="2"/>
  <c r="AQ949" i="2"/>
  <c r="AP949" i="2"/>
  <c r="AO949" i="2"/>
  <c r="AL949" i="2"/>
  <c r="AK949" i="2"/>
  <c r="BQ948" i="2"/>
  <c r="BP948" i="2"/>
  <c r="AB948" i="1"/>
  <c r="BO948" i="2"/>
  <c r="AA948" i="1"/>
  <c r="BN948" i="2"/>
  <c r="BM948" i="2"/>
  <c r="BL948" i="2"/>
  <c r="BK948" i="2"/>
  <c r="W948" i="1"/>
  <c r="BJ948" i="2"/>
  <c r="BI948" i="2"/>
  <c r="BH948" i="2"/>
  <c r="T948" i="1"/>
  <c r="BG948" i="2"/>
  <c r="BF948" i="2"/>
  <c r="BE948" i="2"/>
  <c r="BD948" i="2"/>
  <c r="BC948" i="2"/>
  <c r="BB948" i="2"/>
  <c r="BA948" i="2"/>
  <c r="AZ948" i="2"/>
  <c r="AY948" i="2"/>
  <c r="AX948" i="2"/>
  <c r="J948" i="1"/>
  <c r="AW948" i="2"/>
  <c r="I948" i="1"/>
  <c r="AV948" i="2"/>
  <c r="AU948" i="2"/>
  <c r="AT948" i="2"/>
  <c r="AS948" i="2"/>
  <c r="AR948" i="2"/>
  <c r="AQ948" i="2"/>
  <c r="AP948" i="2"/>
  <c r="AO948" i="2"/>
  <c r="AL948" i="2"/>
  <c r="AK948" i="2"/>
  <c r="BQ947" i="2"/>
  <c r="BP947" i="2"/>
  <c r="AB947" i="1"/>
  <c r="BO947" i="2"/>
  <c r="AA947" i="1"/>
  <c r="BN947" i="2"/>
  <c r="BM947" i="2"/>
  <c r="BL947" i="2"/>
  <c r="BK947" i="2"/>
  <c r="W947" i="1"/>
  <c r="BJ947" i="2"/>
  <c r="BI947" i="2"/>
  <c r="BH947" i="2"/>
  <c r="T947" i="1"/>
  <c r="BG947" i="2"/>
  <c r="BF947" i="2"/>
  <c r="BE947" i="2"/>
  <c r="BD947" i="2"/>
  <c r="BC947" i="2"/>
  <c r="BB947" i="2"/>
  <c r="BA947" i="2"/>
  <c r="AZ947" i="2"/>
  <c r="AY947" i="2"/>
  <c r="AX947" i="2"/>
  <c r="J947" i="1"/>
  <c r="AW947" i="2"/>
  <c r="I947" i="1"/>
  <c r="AV947" i="2"/>
  <c r="AU947" i="2"/>
  <c r="AT947" i="2"/>
  <c r="AS947" i="2"/>
  <c r="AR947" i="2"/>
  <c r="AQ947" i="2"/>
  <c r="AP947" i="2"/>
  <c r="AO947" i="2"/>
  <c r="AL947" i="2"/>
  <c r="AK947" i="2"/>
  <c r="BQ946" i="2"/>
  <c r="BP946" i="2"/>
  <c r="AB946" i="1"/>
  <c r="BO946" i="2"/>
  <c r="AA946" i="1"/>
  <c r="BN946" i="2"/>
  <c r="BM946" i="2"/>
  <c r="BL946" i="2"/>
  <c r="BK946" i="2"/>
  <c r="W946" i="1"/>
  <c r="BJ946" i="2"/>
  <c r="BI946" i="2"/>
  <c r="BH946" i="2"/>
  <c r="T946" i="1"/>
  <c r="BG946" i="2"/>
  <c r="BF946" i="2"/>
  <c r="BE946" i="2"/>
  <c r="BD946" i="2"/>
  <c r="BC946" i="2"/>
  <c r="BB946" i="2"/>
  <c r="BA946" i="2"/>
  <c r="AZ946" i="2"/>
  <c r="AY946" i="2"/>
  <c r="AX946" i="2"/>
  <c r="J946" i="1"/>
  <c r="AW946" i="2"/>
  <c r="I946" i="1"/>
  <c r="AV946" i="2"/>
  <c r="AU946" i="2"/>
  <c r="AT946" i="2"/>
  <c r="AS946" i="2"/>
  <c r="AR946" i="2"/>
  <c r="AQ946" i="2"/>
  <c r="AP946" i="2"/>
  <c r="AO946" i="2"/>
  <c r="AL946" i="2"/>
  <c r="AK946" i="2"/>
  <c r="BQ945" i="2"/>
  <c r="BP945" i="2"/>
  <c r="AB945" i="1"/>
  <c r="BO945" i="2"/>
  <c r="AA945" i="1"/>
  <c r="BN945" i="2"/>
  <c r="BM945" i="2"/>
  <c r="BL945" i="2"/>
  <c r="BK945" i="2"/>
  <c r="W945" i="1"/>
  <c r="BJ945" i="2"/>
  <c r="BI945" i="2"/>
  <c r="BH945" i="2"/>
  <c r="T945" i="1"/>
  <c r="BG945" i="2"/>
  <c r="BF945" i="2"/>
  <c r="BE945" i="2"/>
  <c r="BD945" i="2"/>
  <c r="BC945" i="2"/>
  <c r="BB945" i="2"/>
  <c r="BA945" i="2"/>
  <c r="AZ945" i="2"/>
  <c r="AY945" i="2"/>
  <c r="AX945" i="2"/>
  <c r="J945" i="1"/>
  <c r="AW945" i="2"/>
  <c r="I945" i="1"/>
  <c r="AV945" i="2"/>
  <c r="AU945" i="2"/>
  <c r="AT945" i="2"/>
  <c r="AS945" i="2"/>
  <c r="AR945" i="2"/>
  <c r="AQ945" i="2"/>
  <c r="AP945" i="2"/>
  <c r="AO945" i="2"/>
  <c r="AL945" i="2"/>
  <c r="AK945" i="2"/>
  <c r="BQ944" i="2"/>
  <c r="BP944" i="2"/>
  <c r="AB944" i="1"/>
  <c r="BO944" i="2"/>
  <c r="AA944" i="1"/>
  <c r="BN944" i="2"/>
  <c r="BM944" i="2"/>
  <c r="BL944" i="2"/>
  <c r="BK944" i="2"/>
  <c r="W944" i="1"/>
  <c r="BJ944" i="2"/>
  <c r="BI944" i="2"/>
  <c r="BH944" i="2"/>
  <c r="T944" i="1"/>
  <c r="BG944" i="2"/>
  <c r="BF944" i="2"/>
  <c r="BE944" i="2"/>
  <c r="BD944" i="2"/>
  <c r="BC944" i="2"/>
  <c r="BB944" i="2"/>
  <c r="BA944" i="2"/>
  <c r="AZ944" i="2"/>
  <c r="AY944" i="2"/>
  <c r="AX944" i="2"/>
  <c r="J944" i="1"/>
  <c r="AW944" i="2"/>
  <c r="I944" i="1"/>
  <c r="AV944" i="2"/>
  <c r="AU944" i="2"/>
  <c r="AT944" i="2"/>
  <c r="AS944" i="2"/>
  <c r="AR944" i="2"/>
  <c r="AQ944" i="2"/>
  <c r="AP944" i="2"/>
  <c r="AO944" i="2"/>
  <c r="AL944" i="2"/>
  <c r="AK944" i="2"/>
  <c r="BQ943" i="2"/>
  <c r="BP943" i="2"/>
  <c r="AB943" i="1"/>
  <c r="BO943" i="2"/>
  <c r="AA943" i="1"/>
  <c r="BN943" i="2"/>
  <c r="BM943" i="2"/>
  <c r="BL943" i="2"/>
  <c r="BK943" i="2"/>
  <c r="W943" i="1"/>
  <c r="BJ943" i="2"/>
  <c r="BI943" i="2"/>
  <c r="BH943" i="2"/>
  <c r="T943" i="1"/>
  <c r="BG943" i="2"/>
  <c r="BF943" i="2"/>
  <c r="BE943" i="2"/>
  <c r="BD943" i="2"/>
  <c r="BC943" i="2"/>
  <c r="BB943" i="2"/>
  <c r="BA943" i="2"/>
  <c r="AZ943" i="2"/>
  <c r="AY943" i="2"/>
  <c r="AX943" i="2"/>
  <c r="J943" i="1"/>
  <c r="AW943" i="2"/>
  <c r="I943" i="1"/>
  <c r="AV943" i="2"/>
  <c r="AU943" i="2"/>
  <c r="AT943" i="2"/>
  <c r="AS943" i="2"/>
  <c r="AR943" i="2"/>
  <c r="AQ943" i="2"/>
  <c r="AP943" i="2"/>
  <c r="AO943" i="2"/>
  <c r="AL943" i="2"/>
  <c r="AK943" i="2"/>
  <c r="BQ942" i="2"/>
  <c r="BP942" i="2"/>
  <c r="AB942" i="1"/>
  <c r="BO942" i="2"/>
  <c r="AA942" i="1"/>
  <c r="BN942" i="2"/>
  <c r="BM942" i="2"/>
  <c r="BL942" i="2"/>
  <c r="BK942" i="2"/>
  <c r="W942" i="1"/>
  <c r="BJ942" i="2"/>
  <c r="BI942" i="2"/>
  <c r="BH942" i="2"/>
  <c r="T942" i="1"/>
  <c r="BG942" i="2"/>
  <c r="BF942" i="2"/>
  <c r="BE942" i="2"/>
  <c r="BD942" i="2"/>
  <c r="BC942" i="2"/>
  <c r="BB942" i="2"/>
  <c r="BA942" i="2"/>
  <c r="AZ942" i="2"/>
  <c r="AY942" i="2"/>
  <c r="AX942" i="2"/>
  <c r="J942" i="1"/>
  <c r="AW942" i="2"/>
  <c r="I942" i="1"/>
  <c r="AV942" i="2"/>
  <c r="AU942" i="2"/>
  <c r="AT942" i="2"/>
  <c r="AS942" i="2"/>
  <c r="AR942" i="2"/>
  <c r="AQ942" i="2"/>
  <c r="AP942" i="2"/>
  <c r="AO942" i="2"/>
  <c r="AL942" i="2"/>
  <c r="AK942" i="2"/>
  <c r="BQ941" i="2"/>
  <c r="BP941" i="2"/>
  <c r="AB941" i="1"/>
  <c r="BO941" i="2"/>
  <c r="AA941" i="1"/>
  <c r="BN941" i="2"/>
  <c r="BM941" i="2"/>
  <c r="BL941" i="2"/>
  <c r="BK941" i="2"/>
  <c r="W941" i="1"/>
  <c r="BJ941" i="2"/>
  <c r="BI941" i="2"/>
  <c r="BH941" i="2"/>
  <c r="T941" i="1"/>
  <c r="BG941" i="2"/>
  <c r="BF941" i="2"/>
  <c r="BE941" i="2"/>
  <c r="BD941" i="2"/>
  <c r="BC941" i="2"/>
  <c r="BB941" i="2"/>
  <c r="BA941" i="2"/>
  <c r="AZ941" i="2"/>
  <c r="AY941" i="2"/>
  <c r="AX941" i="2"/>
  <c r="J941" i="1"/>
  <c r="AW941" i="2"/>
  <c r="I941" i="1"/>
  <c r="AV941" i="2"/>
  <c r="AU941" i="2"/>
  <c r="AT941" i="2"/>
  <c r="AS941" i="2"/>
  <c r="AR941" i="2"/>
  <c r="AQ941" i="2"/>
  <c r="AP941" i="2"/>
  <c r="AO941" i="2"/>
  <c r="AL941" i="2"/>
  <c r="AK941" i="2"/>
  <c r="BQ940" i="2"/>
  <c r="BP940" i="2"/>
  <c r="AB940" i="1"/>
  <c r="BO940" i="2"/>
  <c r="AA940" i="1"/>
  <c r="BN940" i="2"/>
  <c r="BM940" i="2"/>
  <c r="BL940" i="2"/>
  <c r="BK940" i="2"/>
  <c r="W940" i="1"/>
  <c r="BJ940" i="2"/>
  <c r="BI940" i="2"/>
  <c r="BH940" i="2"/>
  <c r="T940" i="1"/>
  <c r="BG940" i="2"/>
  <c r="BF940" i="2"/>
  <c r="BE940" i="2"/>
  <c r="BD940" i="2"/>
  <c r="BC940" i="2"/>
  <c r="BB940" i="2"/>
  <c r="BA940" i="2"/>
  <c r="AZ940" i="2"/>
  <c r="AY940" i="2"/>
  <c r="AX940" i="2"/>
  <c r="J940" i="1"/>
  <c r="AW940" i="2"/>
  <c r="I940" i="1"/>
  <c r="AV940" i="2"/>
  <c r="AU940" i="2"/>
  <c r="AT940" i="2"/>
  <c r="AS940" i="2"/>
  <c r="AR940" i="2"/>
  <c r="AQ940" i="2"/>
  <c r="AP940" i="2"/>
  <c r="AO940" i="2"/>
  <c r="AL940" i="2"/>
  <c r="AK940" i="2"/>
  <c r="BQ939" i="2"/>
  <c r="BP939" i="2"/>
  <c r="AB939" i="1"/>
  <c r="BO939" i="2"/>
  <c r="AA939" i="1"/>
  <c r="BN939" i="2"/>
  <c r="BM939" i="2"/>
  <c r="BL939" i="2"/>
  <c r="BK939" i="2"/>
  <c r="W939" i="1"/>
  <c r="BJ939" i="2"/>
  <c r="BI939" i="2"/>
  <c r="BH939" i="2"/>
  <c r="T939" i="1"/>
  <c r="BG939" i="2"/>
  <c r="BF939" i="2"/>
  <c r="BE939" i="2"/>
  <c r="BD939" i="2"/>
  <c r="BC939" i="2"/>
  <c r="BB939" i="2"/>
  <c r="BA939" i="2"/>
  <c r="AZ939" i="2"/>
  <c r="AY939" i="2"/>
  <c r="AX939" i="2"/>
  <c r="J939" i="1"/>
  <c r="AW939" i="2"/>
  <c r="I939" i="1"/>
  <c r="AV939" i="2"/>
  <c r="AU939" i="2"/>
  <c r="AT939" i="2"/>
  <c r="AS939" i="2"/>
  <c r="AR939" i="2"/>
  <c r="AQ939" i="2"/>
  <c r="AP939" i="2"/>
  <c r="AO939" i="2"/>
  <c r="AL939" i="2"/>
  <c r="AK939" i="2"/>
  <c r="BQ938" i="2"/>
  <c r="BP938" i="2"/>
  <c r="AB938" i="1"/>
  <c r="BO938" i="2"/>
  <c r="AA938" i="1"/>
  <c r="BN938" i="2"/>
  <c r="BM938" i="2"/>
  <c r="BL938" i="2"/>
  <c r="BK938" i="2"/>
  <c r="W938" i="1"/>
  <c r="BJ938" i="2"/>
  <c r="BI938" i="2"/>
  <c r="BH938" i="2"/>
  <c r="T938" i="1"/>
  <c r="BG938" i="2"/>
  <c r="BF938" i="2"/>
  <c r="BE938" i="2"/>
  <c r="BD938" i="2"/>
  <c r="BC938" i="2"/>
  <c r="BB938" i="2"/>
  <c r="BA938" i="2"/>
  <c r="AZ938" i="2"/>
  <c r="AY938" i="2"/>
  <c r="AX938" i="2"/>
  <c r="J938" i="1"/>
  <c r="AW938" i="2"/>
  <c r="I938" i="1"/>
  <c r="AV938" i="2"/>
  <c r="AU938" i="2"/>
  <c r="AT938" i="2"/>
  <c r="AS938" i="2"/>
  <c r="AR938" i="2"/>
  <c r="AQ938" i="2"/>
  <c r="AP938" i="2"/>
  <c r="AO938" i="2"/>
  <c r="AL938" i="2"/>
  <c r="AK938" i="2"/>
  <c r="BQ937" i="2"/>
  <c r="BP937" i="2"/>
  <c r="AB937" i="1"/>
  <c r="BO937" i="2"/>
  <c r="AA937" i="1"/>
  <c r="BN937" i="2"/>
  <c r="BM937" i="2"/>
  <c r="BL937" i="2"/>
  <c r="BK937" i="2"/>
  <c r="W937" i="1"/>
  <c r="BJ937" i="2"/>
  <c r="BI937" i="2"/>
  <c r="BH937" i="2"/>
  <c r="T937" i="1"/>
  <c r="BG937" i="2"/>
  <c r="BF937" i="2"/>
  <c r="BE937" i="2"/>
  <c r="BD937" i="2"/>
  <c r="BC937" i="2"/>
  <c r="BB937" i="2"/>
  <c r="BA937" i="2"/>
  <c r="AZ937" i="2"/>
  <c r="AY937" i="2"/>
  <c r="AX937" i="2"/>
  <c r="J937" i="1"/>
  <c r="AW937" i="2"/>
  <c r="I937" i="1"/>
  <c r="AV937" i="2"/>
  <c r="AU937" i="2"/>
  <c r="AT937" i="2"/>
  <c r="AS937" i="2"/>
  <c r="AR937" i="2"/>
  <c r="AQ937" i="2"/>
  <c r="AP937" i="2"/>
  <c r="AO937" i="2"/>
  <c r="AL937" i="2"/>
  <c r="AK937" i="2"/>
  <c r="BQ936" i="2"/>
  <c r="BP936" i="2"/>
  <c r="AB936" i="1"/>
  <c r="BO936" i="2"/>
  <c r="AA936" i="1"/>
  <c r="BN936" i="2"/>
  <c r="BM936" i="2"/>
  <c r="BL936" i="2"/>
  <c r="BK936" i="2"/>
  <c r="W936" i="1"/>
  <c r="BJ936" i="2"/>
  <c r="BI936" i="2"/>
  <c r="BH936" i="2"/>
  <c r="T936" i="1"/>
  <c r="BG936" i="2"/>
  <c r="BF936" i="2"/>
  <c r="BE936" i="2"/>
  <c r="BD936" i="2"/>
  <c r="BC936" i="2"/>
  <c r="BB936" i="2"/>
  <c r="BA936" i="2"/>
  <c r="AZ936" i="2"/>
  <c r="AY936" i="2"/>
  <c r="AX936" i="2"/>
  <c r="J936" i="1"/>
  <c r="AW936" i="2"/>
  <c r="I936" i="1"/>
  <c r="AV936" i="2"/>
  <c r="AU936" i="2"/>
  <c r="AT936" i="2"/>
  <c r="AS936" i="2"/>
  <c r="AR936" i="2"/>
  <c r="AQ936" i="2"/>
  <c r="AP936" i="2"/>
  <c r="AO936" i="2"/>
  <c r="AL936" i="2"/>
  <c r="AK936" i="2"/>
  <c r="BQ935" i="2"/>
  <c r="BP935" i="2"/>
  <c r="AB935" i="1"/>
  <c r="BO935" i="2"/>
  <c r="AA935" i="1"/>
  <c r="BN935" i="2"/>
  <c r="BM935" i="2"/>
  <c r="BL935" i="2"/>
  <c r="BK935" i="2"/>
  <c r="W935" i="1"/>
  <c r="BJ935" i="2"/>
  <c r="BI935" i="2"/>
  <c r="BH935" i="2"/>
  <c r="T935" i="1"/>
  <c r="BG935" i="2"/>
  <c r="BF935" i="2"/>
  <c r="BE935" i="2"/>
  <c r="BD935" i="2"/>
  <c r="BC935" i="2"/>
  <c r="BB935" i="2"/>
  <c r="BA935" i="2"/>
  <c r="AZ935" i="2"/>
  <c r="AY935" i="2"/>
  <c r="AX935" i="2"/>
  <c r="J935" i="1"/>
  <c r="AW935" i="2"/>
  <c r="I935" i="1"/>
  <c r="AV935" i="2"/>
  <c r="AU935" i="2"/>
  <c r="AT935" i="2"/>
  <c r="AS935" i="2"/>
  <c r="AR935" i="2"/>
  <c r="AQ935" i="2"/>
  <c r="AP935" i="2"/>
  <c r="AO935" i="2"/>
  <c r="AL935" i="2"/>
  <c r="AK935" i="2"/>
  <c r="BQ934" i="2"/>
  <c r="BP934" i="2"/>
  <c r="AB934" i="1"/>
  <c r="BO934" i="2"/>
  <c r="AA934" i="1"/>
  <c r="BN934" i="2"/>
  <c r="BM934" i="2"/>
  <c r="BL934" i="2"/>
  <c r="BK934" i="2"/>
  <c r="W934" i="1"/>
  <c r="BJ934" i="2"/>
  <c r="BI934" i="2"/>
  <c r="BH934" i="2"/>
  <c r="T934" i="1"/>
  <c r="BG934" i="2"/>
  <c r="BF934" i="2"/>
  <c r="BE934" i="2"/>
  <c r="BD934" i="2"/>
  <c r="BC934" i="2"/>
  <c r="BB934" i="2"/>
  <c r="BA934" i="2"/>
  <c r="AZ934" i="2"/>
  <c r="AY934" i="2"/>
  <c r="AX934" i="2"/>
  <c r="J934" i="1"/>
  <c r="AW934" i="2"/>
  <c r="I934" i="1"/>
  <c r="AV934" i="2"/>
  <c r="AU934" i="2"/>
  <c r="AT934" i="2"/>
  <c r="AS934" i="2"/>
  <c r="AR934" i="2"/>
  <c r="AQ934" i="2"/>
  <c r="AP934" i="2"/>
  <c r="AO934" i="2"/>
  <c r="AL934" i="2"/>
  <c r="AK934" i="2"/>
  <c r="BQ933" i="2"/>
  <c r="BP933" i="2"/>
  <c r="AB933" i="1"/>
  <c r="BO933" i="2"/>
  <c r="AA933" i="1"/>
  <c r="BN933" i="2"/>
  <c r="BM933" i="2"/>
  <c r="BL933" i="2"/>
  <c r="BK933" i="2"/>
  <c r="W933" i="1"/>
  <c r="BJ933" i="2"/>
  <c r="BI933" i="2"/>
  <c r="BH933" i="2"/>
  <c r="T933" i="1"/>
  <c r="BG933" i="2"/>
  <c r="BF933" i="2"/>
  <c r="BE933" i="2"/>
  <c r="BD933" i="2"/>
  <c r="BC933" i="2"/>
  <c r="BB933" i="2"/>
  <c r="BA933" i="2"/>
  <c r="AZ933" i="2"/>
  <c r="AY933" i="2"/>
  <c r="AX933" i="2"/>
  <c r="J933" i="1"/>
  <c r="AW933" i="2"/>
  <c r="I933" i="1"/>
  <c r="AV933" i="2"/>
  <c r="AU933" i="2"/>
  <c r="AT933" i="2"/>
  <c r="AS933" i="2"/>
  <c r="AR933" i="2"/>
  <c r="AQ933" i="2"/>
  <c r="AP933" i="2"/>
  <c r="AO933" i="2"/>
  <c r="AL933" i="2"/>
  <c r="AK933" i="2"/>
  <c r="BQ932" i="2"/>
  <c r="BP932" i="2"/>
  <c r="AB932" i="1"/>
  <c r="BO932" i="2"/>
  <c r="AA932" i="1"/>
  <c r="BN932" i="2"/>
  <c r="BM932" i="2"/>
  <c r="BL932" i="2"/>
  <c r="BK932" i="2"/>
  <c r="W932" i="1"/>
  <c r="BJ932" i="2"/>
  <c r="BI932" i="2"/>
  <c r="BH932" i="2"/>
  <c r="T932" i="1"/>
  <c r="BG932" i="2"/>
  <c r="BF932" i="2"/>
  <c r="BE932" i="2"/>
  <c r="BD932" i="2"/>
  <c r="BC932" i="2"/>
  <c r="BB932" i="2"/>
  <c r="BA932" i="2"/>
  <c r="AZ932" i="2"/>
  <c r="AY932" i="2"/>
  <c r="AX932" i="2"/>
  <c r="J932" i="1"/>
  <c r="AW932" i="2"/>
  <c r="I932" i="1"/>
  <c r="AV932" i="2"/>
  <c r="AU932" i="2"/>
  <c r="AT932" i="2"/>
  <c r="AS932" i="2"/>
  <c r="AR932" i="2"/>
  <c r="AQ932" i="2"/>
  <c r="AP932" i="2"/>
  <c r="AO932" i="2"/>
  <c r="AL932" i="2"/>
  <c r="AK932" i="2"/>
  <c r="BQ931" i="2"/>
  <c r="BP931" i="2"/>
  <c r="AB931" i="1"/>
  <c r="BO931" i="2"/>
  <c r="AA931" i="1"/>
  <c r="BN931" i="2"/>
  <c r="BM931" i="2"/>
  <c r="BL931" i="2"/>
  <c r="BK931" i="2"/>
  <c r="W931" i="1"/>
  <c r="BJ931" i="2"/>
  <c r="BI931" i="2"/>
  <c r="BH931" i="2"/>
  <c r="T931" i="1"/>
  <c r="BG931" i="2"/>
  <c r="BF931" i="2"/>
  <c r="BE931" i="2"/>
  <c r="BD931" i="2"/>
  <c r="BC931" i="2"/>
  <c r="BB931" i="2"/>
  <c r="BA931" i="2"/>
  <c r="AZ931" i="2"/>
  <c r="AY931" i="2"/>
  <c r="AX931" i="2"/>
  <c r="J931" i="1"/>
  <c r="AW931" i="2"/>
  <c r="I931" i="1"/>
  <c r="AV931" i="2"/>
  <c r="AU931" i="2"/>
  <c r="AT931" i="2"/>
  <c r="AS931" i="2"/>
  <c r="AR931" i="2"/>
  <c r="AQ931" i="2"/>
  <c r="AP931" i="2"/>
  <c r="AO931" i="2"/>
  <c r="AL931" i="2"/>
  <c r="AK931" i="2"/>
  <c r="BQ930" i="2"/>
  <c r="BP930" i="2"/>
  <c r="AB930" i="1"/>
  <c r="BO930" i="2"/>
  <c r="AA930" i="1"/>
  <c r="BN930" i="2"/>
  <c r="BM930" i="2"/>
  <c r="BL930" i="2"/>
  <c r="BK930" i="2"/>
  <c r="W930" i="1"/>
  <c r="BJ930" i="2"/>
  <c r="BI930" i="2"/>
  <c r="BH930" i="2"/>
  <c r="T930" i="1"/>
  <c r="BG930" i="2"/>
  <c r="BF930" i="2"/>
  <c r="BE930" i="2"/>
  <c r="BD930" i="2"/>
  <c r="BC930" i="2"/>
  <c r="BB930" i="2"/>
  <c r="BA930" i="2"/>
  <c r="AZ930" i="2"/>
  <c r="AY930" i="2"/>
  <c r="AX930" i="2"/>
  <c r="J930" i="1"/>
  <c r="AW930" i="2"/>
  <c r="I930" i="1"/>
  <c r="AV930" i="2"/>
  <c r="AU930" i="2"/>
  <c r="AT930" i="2"/>
  <c r="AS930" i="2"/>
  <c r="AR930" i="2"/>
  <c r="AQ930" i="2"/>
  <c r="AP930" i="2"/>
  <c r="AO930" i="2"/>
  <c r="AL930" i="2"/>
  <c r="AK930" i="2"/>
  <c r="BQ929" i="2"/>
  <c r="BP929" i="2"/>
  <c r="AB929" i="1"/>
  <c r="BO929" i="2"/>
  <c r="AA929" i="1"/>
  <c r="BN929" i="2"/>
  <c r="BM929" i="2"/>
  <c r="BL929" i="2"/>
  <c r="BK929" i="2"/>
  <c r="W929" i="1"/>
  <c r="BJ929" i="2"/>
  <c r="BI929" i="2"/>
  <c r="BH929" i="2"/>
  <c r="T929" i="1"/>
  <c r="BG929" i="2"/>
  <c r="BF929" i="2"/>
  <c r="BE929" i="2"/>
  <c r="BD929" i="2"/>
  <c r="BC929" i="2"/>
  <c r="BB929" i="2"/>
  <c r="BA929" i="2"/>
  <c r="AZ929" i="2"/>
  <c r="AY929" i="2"/>
  <c r="AX929" i="2"/>
  <c r="J929" i="1"/>
  <c r="AW929" i="2"/>
  <c r="I929" i="1"/>
  <c r="AV929" i="2"/>
  <c r="AU929" i="2"/>
  <c r="AT929" i="2"/>
  <c r="AS929" i="2"/>
  <c r="AR929" i="2"/>
  <c r="AQ929" i="2"/>
  <c r="AP929" i="2"/>
  <c r="AO929" i="2"/>
  <c r="AL929" i="2"/>
  <c r="AK929" i="2"/>
  <c r="BQ928" i="2"/>
  <c r="BP928" i="2"/>
  <c r="AB928" i="1"/>
  <c r="BO928" i="2"/>
  <c r="AA928" i="1"/>
  <c r="BN928" i="2"/>
  <c r="BM928" i="2"/>
  <c r="BL928" i="2"/>
  <c r="BK928" i="2"/>
  <c r="W928" i="1"/>
  <c r="BJ928" i="2"/>
  <c r="BI928" i="2"/>
  <c r="BH928" i="2"/>
  <c r="T928" i="1"/>
  <c r="BG928" i="2"/>
  <c r="BF928" i="2"/>
  <c r="BE928" i="2"/>
  <c r="BD928" i="2"/>
  <c r="BC928" i="2"/>
  <c r="BB928" i="2"/>
  <c r="BA928" i="2"/>
  <c r="AZ928" i="2"/>
  <c r="AY928" i="2"/>
  <c r="AX928" i="2"/>
  <c r="J928" i="1"/>
  <c r="AW928" i="2"/>
  <c r="I928" i="1"/>
  <c r="AV928" i="2"/>
  <c r="AU928" i="2"/>
  <c r="AT928" i="2"/>
  <c r="AS928" i="2"/>
  <c r="AR928" i="2"/>
  <c r="AQ928" i="2"/>
  <c r="AP928" i="2"/>
  <c r="AO928" i="2"/>
  <c r="AL928" i="2"/>
  <c r="AK928" i="2"/>
  <c r="BQ927" i="2"/>
  <c r="BP927" i="2"/>
  <c r="AB927" i="1"/>
  <c r="BO927" i="2"/>
  <c r="AA927" i="1"/>
  <c r="BN927" i="2"/>
  <c r="BM927" i="2"/>
  <c r="BL927" i="2"/>
  <c r="BK927" i="2"/>
  <c r="W927" i="1"/>
  <c r="BJ927" i="2"/>
  <c r="BI927" i="2"/>
  <c r="BH927" i="2"/>
  <c r="T927" i="1"/>
  <c r="BG927" i="2"/>
  <c r="BF927" i="2"/>
  <c r="BE927" i="2"/>
  <c r="BD927" i="2"/>
  <c r="BC927" i="2"/>
  <c r="BB927" i="2"/>
  <c r="BA927" i="2"/>
  <c r="AZ927" i="2"/>
  <c r="AY927" i="2"/>
  <c r="AX927" i="2"/>
  <c r="J927" i="1"/>
  <c r="AW927" i="2"/>
  <c r="I927" i="1"/>
  <c r="AV927" i="2"/>
  <c r="AU927" i="2"/>
  <c r="AT927" i="2"/>
  <c r="AS927" i="2"/>
  <c r="AR927" i="2"/>
  <c r="AQ927" i="2"/>
  <c r="AP927" i="2"/>
  <c r="AO927" i="2"/>
  <c r="AL927" i="2"/>
  <c r="AK927" i="2"/>
  <c r="BQ926" i="2"/>
  <c r="BP926" i="2"/>
  <c r="AB926" i="1"/>
  <c r="BO926" i="2"/>
  <c r="AA926" i="1"/>
  <c r="BN926" i="2"/>
  <c r="BM926" i="2"/>
  <c r="BL926" i="2"/>
  <c r="BK926" i="2"/>
  <c r="W926" i="1"/>
  <c r="BJ926" i="2"/>
  <c r="BI926" i="2"/>
  <c r="BH926" i="2"/>
  <c r="T926" i="1"/>
  <c r="BG926" i="2"/>
  <c r="BF926" i="2"/>
  <c r="BE926" i="2"/>
  <c r="BD926" i="2"/>
  <c r="BC926" i="2"/>
  <c r="BB926" i="2"/>
  <c r="BA926" i="2"/>
  <c r="AZ926" i="2"/>
  <c r="AY926" i="2"/>
  <c r="AX926" i="2"/>
  <c r="J926" i="1"/>
  <c r="AW926" i="2"/>
  <c r="I926" i="1"/>
  <c r="AV926" i="2"/>
  <c r="AU926" i="2"/>
  <c r="AT926" i="2"/>
  <c r="AS926" i="2"/>
  <c r="AR926" i="2"/>
  <c r="AQ926" i="2"/>
  <c r="AP926" i="2"/>
  <c r="AO926" i="2"/>
  <c r="AL926" i="2"/>
  <c r="AK926" i="2"/>
  <c r="BQ925" i="2"/>
  <c r="BP925" i="2"/>
  <c r="AB925" i="1"/>
  <c r="BO925" i="2"/>
  <c r="AA925" i="1"/>
  <c r="BN925" i="2"/>
  <c r="BM925" i="2"/>
  <c r="BL925" i="2"/>
  <c r="BK925" i="2"/>
  <c r="W925" i="1"/>
  <c r="BJ925" i="2"/>
  <c r="BI925" i="2"/>
  <c r="BH925" i="2"/>
  <c r="T925" i="1"/>
  <c r="BG925" i="2"/>
  <c r="BF925" i="2"/>
  <c r="BE925" i="2"/>
  <c r="BD925" i="2"/>
  <c r="BC925" i="2"/>
  <c r="BB925" i="2"/>
  <c r="BA925" i="2"/>
  <c r="AZ925" i="2"/>
  <c r="AY925" i="2"/>
  <c r="AX925" i="2"/>
  <c r="J925" i="1"/>
  <c r="AW925" i="2"/>
  <c r="I925" i="1"/>
  <c r="AV925" i="2"/>
  <c r="AU925" i="2"/>
  <c r="AT925" i="2"/>
  <c r="AS925" i="2"/>
  <c r="AR925" i="2"/>
  <c r="AQ925" i="2"/>
  <c r="AP925" i="2"/>
  <c r="AO925" i="2"/>
  <c r="AL925" i="2"/>
  <c r="AK925" i="2"/>
  <c r="BQ924" i="2"/>
  <c r="BP924" i="2"/>
  <c r="AB924" i="1"/>
  <c r="BO924" i="2"/>
  <c r="AA924" i="1"/>
  <c r="BN924" i="2"/>
  <c r="BM924" i="2"/>
  <c r="BL924" i="2"/>
  <c r="BK924" i="2"/>
  <c r="W924" i="1"/>
  <c r="BJ924" i="2"/>
  <c r="BI924" i="2"/>
  <c r="BH924" i="2"/>
  <c r="T924" i="1"/>
  <c r="BG924" i="2"/>
  <c r="BF924" i="2"/>
  <c r="BE924" i="2"/>
  <c r="BD924" i="2"/>
  <c r="BC924" i="2"/>
  <c r="BB924" i="2"/>
  <c r="BA924" i="2"/>
  <c r="AZ924" i="2"/>
  <c r="AY924" i="2"/>
  <c r="AX924" i="2"/>
  <c r="J924" i="1"/>
  <c r="AW924" i="2"/>
  <c r="I924" i="1"/>
  <c r="AV924" i="2"/>
  <c r="AU924" i="2"/>
  <c r="AT924" i="2"/>
  <c r="AS924" i="2"/>
  <c r="AR924" i="2"/>
  <c r="AQ924" i="2"/>
  <c r="AP924" i="2"/>
  <c r="AO924" i="2"/>
  <c r="AL924" i="2"/>
  <c r="AK924" i="2"/>
  <c r="BQ923" i="2"/>
  <c r="BP923" i="2"/>
  <c r="AB923" i="1"/>
  <c r="BO923" i="2"/>
  <c r="AA923" i="1"/>
  <c r="BN923" i="2"/>
  <c r="BM923" i="2"/>
  <c r="BL923" i="2"/>
  <c r="BK923" i="2"/>
  <c r="W923" i="1"/>
  <c r="BJ923" i="2"/>
  <c r="BI923" i="2"/>
  <c r="BH923" i="2"/>
  <c r="T923" i="1"/>
  <c r="BG923" i="2"/>
  <c r="BF923" i="2"/>
  <c r="BE923" i="2"/>
  <c r="BD923" i="2"/>
  <c r="BC923" i="2"/>
  <c r="BB923" i="2"/>
  <c r="BA923" i="2"/>
  <c r="AZ923" i="2"/>
  <c r="AY923" i="2"/>
  <c r="AX923" i="2"/>
  <c r="J923" i="1"/>
  <c r="AW923" i="2"/>
  <c r="I923" i="1"/>
  <c r="AV923" i="2"/>
  <c r="AU923" i="2"/>
  <c r="AT923" i="2"/>
  <c r="AS923" i="2"/>
  <c r="AR923" i="2"/>
  <c r="AQ923" i="2"/>
  <c r="AP923" i="2"/>
  <c r="AO923" i="2"/>
  <c r="AL923" i="2"/>
  <c r="AK923" i="2"/>
  <c r="BQ922" i="2"/>
  <c r="BP922" i="2"/>
  <c r="AB922" i="1"/>
  <c r="BO922" i="2"/>
  <c r="AA922" i="1"/>
  <c r="BN922" i="2"/>
  <c r="BM922" i="2"/>
  <c r="BL922" i="2"/>
  <c r="BK922" i="2"/>
  <c r="W922" i="1"/>
  <c r="BJ922" i="2"/>
  <c r="BI922" i="2"/>
  <c r="BH922" i="2"/>
  <c r="T922" i="1"/>
  <c r="BG922" i="2"/>
  <c r="BF922" i="2"/>
  <c r="BE922" i="2"/>
  <c r="BD922" i="2"/>
  <c r="BC922" i="2"/>
  <c r="BB922" i="2"/>
  <c r="BA922" i="2"/>
  <c r="AZ922" i="2"/>
  <c r="AY922" i="2"/>
  <c r="AX922" i="2"/>
  <c r="J922" i="1"/>
  <c r="AW922" i="2"/>
  <c r="I922" i="1"/>
  <c r="AV922" i="2"/>
  <c r="AU922" i="2"/>
  <c r="AT922" i="2"/>
  <c r="AS922" i="2"/>
  <c r="AR922" i="2"/>
  <c r="AQ922" i="2"/>
  <c r="AP922" i="2"/>
  <c r="AO922" i="2"/>
  <c r="AL922" i="2"/>
  <c r="AK922" i="2"/>
  <c r="BQ921" i="2"/>
  <c r="BP921" i="2"/>
  <c r="AB921" i="1"/>
  <c r="BO921" i="2"/>
  <c r="AA921" i="1"/>
  <c r="BN921" i="2"/>
  <c r="BM921" i="2"/>
  <c r="BL921" i="2"/>
  <c r="BK921" i="2"/>
  <c r="W921" i="1"/>
  <c r="BJ921" i="2"/>
  <c r="BI921" i="2"/>
  <c r="BH921" i="2"/>
  <c r="T921" i="1"/>
  <c r="BG921" i="2"/>
  <c r="BF921" i="2"/>
  <c r="BE921" i="2"/>
  <c r="BD921" i="2"/>
  <c r="BC921" i="2"/>
  <c r="BB921" i="2"/>
  <c r="BA921" i="2"/>
  <c r="AZ921" i="2"/>
  <c r="AY921" i="2"/>
  <c r="AX921" i="2"/>
  <c r="J921" i="1"/>
  <c r="AW921" i="2"/>
  <c r="I921" i="1"/>
  <c r="AV921" i="2"/>
  <c r="AU921" i="2"/>
  <c r="AT921" i="2"/>
  <c r="AS921" i="2"/>
  <c r="AR921" i="2"/>
  <c r="AQ921" i="2"/>
  <c r="AP921" i="2"/>
  <c r="AO921" i="2"/>
  <c r="AL921" i="2"/>
  <c r="AK921" i="2"/>
  <c r="BQ920" i="2"/>
  <c r="BP920" i="2"/>
  <c r="AB920" i="1"/>
  <c r="BO920" i="2"/>
  <c r="AA920" i="1"/>
  <c r="BN920" i="2"/>
  <c r="BM920" i="2"/>
  <c r="BL920" i="2"/>
  <c r="BK920" i="2"/>
  <c r="W920" i="1"/>
  <c r="BJ920" i="2"/>
  <c r="BI920" i="2"/>
  <c r="BH920" i="2"/>
  <c r="T920" i="1"/>
  <c r="BG920" i="2"/>
  <c r="BF920" i="2"/>
  <c r="BE920" i="2"/>
  <c r="BD920" i="2"/>
  <c r="BC920" i="2"/>
  <c r="BB920" i="2"/>
  <c r="BA920" i="2"/>
  <c r="AZ920" i="2"/>
  <c r="AY920" i="2"/>
  <c r="AX920" i="2"/>
  <c r="J920" i="1"/>
  <c r="AW920" i="2"/>
  <c r="I920" i="1"/>
  <c r="AV920" i="2"/>
  <c r="AU920" i="2"/>
  <c r="AT920" i="2"/>
  <c r="AS920" i="2"/>
  <c r="AR920" i="2"/>
  <c r="AQ920" i="2"/>
  <c r="AP920" i="2"/>
  <c r="AO920" i="2"/>
  <c r="AL920" i="2"/>
  <c r="AK920" i="2"/>
  <c r="BQ919" i="2"/>
  <c r="BP919" i="2"/>
  <c r="AB919" i="1"/>
  <c r="BO919" i="2"/>
  <c r="AA919" i="1"/>
  <c r="BN919" i="2"/>
  <c r="BM919" i="2"/>
  <c r="BL919" i="2"/>
  <c r="BK919" i="2"/>
  <c r="W919" i="1"/>
  <c r="BJ919" i="2"/>
  <c r="BI919" i="2"/>
  <c r="BH919" i="2"/>
  <c r="T919" i="1"/>
  <c r="BG919" i="2"/>
  <c r="BF919" i="2"/>
  <c r="BE919" i="2"/>
  <c r="BD919" i="2"/>
  <c r="BC919" i="2"/>
  <c r="BB919" i="2"/>
  <c r="BA919" i="2"/>
  <c r="AZ919" i="2"/>
  <c r="AY919" i="2"/>
  <c r="AX919" i="2"/>
  <c r="J919" i="1"/>
  <c r="AW919" i="2"/>
  <c r="I919" i="1"/>
  <c r="AV919" i="2"/>
  <c r="AU919" i="2"/>
  <c r="AT919" i="2"/>
  <c r="AS919" i="2"/>
  <c r="AR919" i="2"/>
  <c r="AQ919" i="2"/>
  <c r="AP919" i="2"/>
  <c r="AO919" i="2"/>
  <c r="AL919" i="2"/>
  <c r="AK919" i="2"/>
  <c r="BQ918" i="2"/>
  <c r="BP918" i="2"/>
  <c r="AB918" i="1"/>
  <c r="BO918" i="2"/>
  <c r="AA918" i="1"/>
  <c r="BN918" i="2"/>
  <c r="BM918" i="2"/>
  <c r="BL918" i="2"/>
  <c r="BK918" i="2"/>
  <c r="W918" i="1"/>
  <c r="BJ918" i="2"/>
  <c r="BI918" i="2"/>
  <c r="BH918" i="2"/>
  <c r="T918" i="1"/>
  <c r="BG918" i="2"/>
  <c r="BF918" i="2"/>
  <c r="BE918" i="2"/>
  <c r="BD918" i="2"/>
  <c r="BC918" i="2"/>
  <c r="BB918" i="2"/>
  <c r="BA918" i="2"/>
  <c r="AZ918" i="2"/>
  <c r="AY918" i="2"/>
  <c r="AX918" i="2"/>
  <c r="J918" i="1"/>
  <c r="AW918" i="2"/>
  <c r="I918" i="1"/>
  <c r="AV918" i="2"/>
  <c r="AU918" i="2"/>
  <c r="AT918" i="2"/>
  <c r="AS918" i="2"/>
  <c r="AR918" i="2"/>
  <c r="AQ918" i="2"/>
  <c r="AP918" i="2"/>
  <c r="AO918" i="2"/>
  <c r="AL918" i="2"/>
  <c r="AK918" i="2"/>
  <c r="BQ917" i="2"/>
  <c r="BP917" i="2"/>
  <c r="AB917" i="1"/>
  <c r="BO917" i="2"/>
  <c r="AA917" i="1"/>
  <c r="BN917" i="2"/>
  <c r="BM917" i="2"/>
  <c r="BL917" i="2"/>
  <c r="BK917" i="2"/>
  <c r="W917" i="1"/>
  <c r="BJ917" i="2"/>
  <c r="BI917" i="2"/>
  <c r="BH917" i="2"/>
  <c r="T917" i="1"/>
  <c r="BG917" i="2"/>
  <c r="BF917" i="2"/>
  <c r="BE917" i="2"/>
  <c r="BD917" i="2"/>
  <c r="BC917" i="2"/>
  <c r="BB917" i="2"/>
  <c r="BA917" i="2"/>
  <c r="AZ917" i="2"/>
  <c r="AY917" i="2"/>
  <c r="AX917" i="2"/>
  <c r="J917" i="1"/>
  <c r="AW917" i="2"/>
  <c r="I917" i="1"/>
  <c r="AV917" i="2"/>
  <c r="AU917" i="2"/>
  <c r="AT917" i="2"/>
  <c r="AS917" i="2"/>
  <c r="AR917" i="2"/>
  <c r="AQ917" i="2"/>
  <c r="AP917" i="2"/>
  <c r="AO917" i="2"/>
  <c r="AL917" i="2"/>
  <c r="AK917" i="2"/>
  <c r="BQ916" i="2"/>
  <c r="BP916" i="2"/>
  <c r="AB916" i="1"/>
  <c r="BO916" i="2"/>
  <c r="AA916" i="1"/>
  <c r="BN916" i="2"/>
  <c r="BM916" i="2"/>
  <c r="BL916" i="2"/>
  <c r="BK916" i="2"/>
  <c r="W916" i="1"/>
  <c r="BJ916" i="2"/>
  <c r="BI916" i="2"/>
  <c r="BH916" i="2"/>
  <c r="T916" i="1"/>
  <c r="BG916" i="2"/>
  <c r="BF916" i="2"/>
  <c r="BE916" i="2"/>
  <c r="BD916" i="2"/>
  <c r="BC916" i="2"/>
  <c r="BB916" i="2"/>
  <c r="BA916" i="2"/>
  <c r="AZ916" i="2"/>
  <c r="AY916" i="2"/>
  <c r="AX916" i="2"/>
  <c r="J916" i="1"/>
  <c r="AW916" i="2"/>
  <c r="I916" i="1"/>
  <c r="AV916" i="2"/>
  <c r="AU916" i="2"/>
  <c r="AT916" i="2"/>
  <c r="AS916" i="2"/>
  <c r="AR916" i="2"/>
  <c r="AQ916" i="2"/>
  <c r="AP916" i="2"/>
  <c r="AO916" i="2"/>
  <c r="AL916" i="2"/>
  <c r="AK916" i="2"/>
  <c r="BQ915" i="2"/>
  <c r="BP915" i="2"/>
  <c r="AB915" i="1"/>
  <c r="BO915" i="2"/>
  <c r="AA915" i="1"/>
  <c r="BN915" i="2"/>
  <c r="BM915" i="2"/>
  <c r="BL915" i="2"/>
  <c r="BK915" i="2"/>
  <c r="W915" i="1"/>
  <c r="BJ915" i="2"/>
  <c r="BI915" i="2"/>
  <c r="BH915" i="2"/>
  <c r="T915" i="1"/>
  <c r="BG915" i="2"/>
  <c r="BF915" i="2"/>
  <c r="BE915" i="2"/>
  <c r="BD915" i="2"/>
  <c r="BC915" i="2"/>
  <c r="BB915" i="2"/>
  <c r="BA915" i="2"/>
  <c r="AZ915" i="2"/>
  <c r="AY915" i="2"/>
  <c r="AX915" i="2"/>
  <c r="J915" i="1"/>
  <c r="AW915" i="2"/>
  <c r="I915" i="1"/>
  <c r="AV915" i="2"/>
  <c r="AU915" i="2"/>
  <c r="AT915" i="2"/>
  <c r="AS915" i="2"/>
  <c r="AR915" i="2"/>
  <c r="AQ915" i="2"/>
  <c r="AP915" i="2"/>
  <c r="AO915" i="2"/>
  <c r="AL915" i="2"/>
  <c r="AK915" i="2"/>
  <c r="BQ914" i="2"/>
  <c r="BP914" i="2"/>
  <c r="AB914" i="1"/>
  <c r="BO914" i="2"/>
  <c r="AA914" i="1"/>
  <c r="BN914" i="2"/>
  <c r="BM914" i="2"/>
  <c r="BL914" i="2"/>
  <c r="BK914" i="2"/>
  <c r="W914" i="1"/>
  <c r="BJ914" i="2"/>
  <c r="BI914" i="2"/>
  <c r="BH914" i="2"/>
  <c r="T914" i="1"/>
  <c r="BG914" i="2"/>
  <c r="BF914" i="2"/>
  <c r="BE914" i="2"/>
  <c r="BD914" i="2"/>
  <c r="BC914" i="2"/>
  <c r="BB914" i="2"/>
  <c r="BA914" i="2"/>
  <c r="AZ914" i="2"/>
  <c r="AY914" i="2"/>
  <c r="AX914" i="2"/>
  <c r="J914" i="1"/>
  <c r="AW914" i="2"/>
  <c r="I914" i="1"/>
  <c r="AV914" i="2"/>
  <c r="AU914" i="2"/>
  <c r="AT914" i="2"/>
  <c r="AS914" i="2"/>
  <c r="AR914" i="2"/>
  <c r="AQ914" i="2"/>
  <c r="AP914" i="2"/>
  <c r="AO914" i="2"/>
  <c r="AL914" i="2"/>
  <c r="AK914" i="2"/>
  <c r="BQ913" i="2"/>
  <c r="BP913" i="2"/>
  <c r="AB913" i="1"/>
  <c r="BO913" i="2"/>
  <c r="AA913" i="1"/>
  <c r="BN913" i="2"/>
  <c r="BM913" i="2"/>
  <c r="BL913" i="2"/>
  <c r="BK913" i="2"/>
  <c r="W913" i="1"/>
  <c r="BJ913" i="2"/>
  <c r="BI913" i="2"/>
  <c r="BH913" i="2"/>
  <c r="T913" i="1"/>
  <c r="BG913" i="2"/>
  <c r="BF913" i="2"/>
  <c r="BE913" i="2"/>
  <c r="BD913" i="2"/>
  <c r="BC913" i="2"/>
  <c r="BB913" i="2"/>
  <c r="BA913" i="2"/>
  <c r="AZ913" i="2"/>
  <c r="AY913" i="2"/>
  <c r="AX913" i="2"/>
  <c r="J913" i="1"/>
  <c r="AW913" i="2"/>
  <c r="I913" i="1"/>
  <c r="AV913" i="2"/>
  <c r="AU913" i="2"/>
  <c r="AT913" i="2"/>
  <c r="AS913" i="2"/>
  <c r="AR913" i="2"/>
  <c r="AQ913" i="2"/>
  <c r="AP913" i="2"/>
  <c r="AO913" i="2"/>
  <c r="AL913" i="2"/>
  <c r="AK913" i="2"/>
  <c r="BQ912" i="2"/>
  <c r="BP912" i="2"/>
  <c r="AB912" i="1"/>
  <c r="BO912" i="2"/>
  <c r="AA912" i="1"/>
  <c r="BN912" i="2"/>
  <c r="BM912" i="2"/>
  <c r="BL912" i="2"/>
  <c r="BK912" i="2"/>
  <c r="W912" i="1"/>
  <c r="BJ912" i="2"/>
  <c r="BI912" i="2"/>
  <c r="BH912" i="2"/>
  <c r="T912" i="1"/>
  <c r="BG912" i="2"/>
  <c r="BF912" i="2"/>
  <c r="BE912" i="2"/>
  <c r="BD912" i="2"/>
  <c r="BC912" i="2"/>
  <c r="BB912" i="2"/>
  <c r="BA912" i="2"/>
  <c r="AZ912" i="2"/>
  <c r="AY912" i="2"/>
  <c r="AX912" i="2"/>
  <c r="J912" i="1"/>
  <c r="AW912" i="2"/>
  <c r="I912" i="1"/>
  <c r="AV912" i="2"/>
  <c r="AU912" i="2"/>
  <c r="AT912" i="2"/>
  <c r="AS912" i="2"/>
  <c r="AR912" i="2"/>
  <c r="AQ912" i="2"/>
  <c r="AP912" i="2"/>
  <c r="AO912" i="2"/>
  <c r="AL912" i="2"/>
  <c r="AK912" i="2"/>
  <c r="BQ911" i="2"/>
  <c r="BP911" i="2"/>
  <c r="AB911" i="1"/>
  <c r="BO911" i="2"/>
  <c r="AA911" i="1"/>
  <c r="BN911" i="2"/>
  <c r="BM911" i="2"/>
  <c r="BL911" i="2"/>
  <c r="BK911" i="2"/>
  <c r="W911" i="1"/>
  <c r="BJ911" i="2"/>
  <c r="BI911" i="2"/>
  <c r="BH911" i="2"/>
  <c r="T911" i="1"/>
  <c r="BG911" i="2"/>
  <c r="BF911" i="2"/>
  <c r="BE911" i="2"/>
  <c r="BD911" i="2"/>
  <c r="BC911" i="2"/>
  <c r="BB911" i="2"/>
  <c r="BA911" i="2"/>
  <c r="AZ911" i="2"/>
  <c r="AY911" i="2"/>
  <c r="AX911" i="2"/>
  <c r="J911" i="1"/>
  <c r="AW911" i="2"/>
  <c r="I911" i="1"/>
  <c r="AV911" i="2"/>
  <c r="AU911" i="2"/>
  <c r="AT911" i="2"/>
  <c r="AS911" i="2"/>
  <c r="AR911" i="2"/>
  <c r="AQ911" i="2"/>
  <c r="AP911" i="2"/>
  <c r="AO911" i="2"/>
  <c r="AL911" i="2"/>
  <c r="AK911" i="2"/>
  <c r="BQ910" i="2"/>
  <c r="BP910" i="2"/>
  <c r="AB910" i="1"/>
  <c r="BO910" i="2"/>
  <c r="AA910" i="1"/>
  <c r="BN910" i="2"/>
  <c r="BM910" i="2"/>
  <c r="BL910" i="2"/>
  <c r="BK910" i="2"/>
  <c r="W910" i="1"/>
  <c r="BJ910" i="2"/>
  <c r="BI910" i="2"/>
  <c r="BH910" i="2"/>
  <c r="T910" i="1"/>
  <c r="BG910" i="2"/>
  <c r="BF910" i="2"/>
  <c r="BE910" i="2"/>
  <c r="BD910" i="2"/>
  <c r="BC910" i="2"/>
  <c r="BB910" i="2"/>
  <c r="BA910" i="2"/>
  <c r="AZ910" i="2"/>
  <c r="AY910" i="2"/>
  <c r="AX910" i="2"/>
  <c r="J910" i="1"/>
  <c r="AW910" i="2"/>
  <c r="I910" i="1"/>
  <c r="AV910" i="2"/>
  <c r="AU910" i="2"/>
  <c r="AT910" i="2"/>
  <c r="AS910" i="2"/>
  <c r="AR910" i="2"/>
  <c r="AQ910" i="2"/>
  <c r="AP910" i="2"/>
  <c r="AO910" i="2"/>
  <c r="AL910" i="2"/>
  <c r="AK910" i="2"/>
  <c r="BQ909" i="2"/>
  <c r="BP909" i="2"/>
  <c r="AB909" i="1"/>
  <c r="BO909" i="2"/>
  <c r="AA909" i="1"/>
  <c r="BN909" i="2"/>
  <c r="BM909" i="2"/>
  <c r="BL909" i="2"/>
  <c r="BK909" i="2"/>
  <c r="W909" i="1"/>
  <c r="BJ909" i="2"/>
  <c r="BI909" i="2"/>
  <c r="BH909" i="2"/>
  <c r="T909" i="1"/>
  <c r="BG909" i="2"/>
  <c r="BF909" i="2"/>
  <c r="BE909" i="2"/>
  <c r="BD909" i="2"/>
  <c r="BC909" i="2"/>
  <c r="BB909" i="2"/>
  <c r="BA909" i="2"/>
  <c r="AZ909" i="2"/>
  <c r="AY909" i="2"/>
  <c r="AX909" i="2"/>
  <c r="J909" i="1"/>
  <c r="AW909" i="2"/>
  <c r="I909" i="1"/>
  <c r="AV909" i="2"/>
  <c r="AU909" i="2"/>
  <c r="AT909" i="2"/>
  <c r="AS909" i="2"/>
  <c r="AR909" i="2"/>
  <c r="AQ909" i="2"/>
  <c r="AP909" i="2"/>
  <c r="AO909" i="2"/>
  <c r="AL909" i="2"/>
  <c r="AK909" i="2"/>
  <c r="BQ908" i="2"/>
  <c r="BP908" i="2"/>
  <c r="AB908" i="1"/>
  <c r="BO908" i="2"/>
  <c r="AA908" i="1"/>
  <c r="BN908" i="2"/>
  <c r="BM908" i="2"/>
  <c r="BL908" i="2"/>
  <c r="BK908" i="2"/>
  <c r="W908" i="1"/>
  <c r="BJ908" i="2"/>
  <c r="BI908" i="2"/>
  <c r="BH908" i="2"/>
  <c r="T908" i="1"/>
  <c r="BG908" i="2"/>
  <c r="BF908" i="2"/>
  <c r="BE908" i="2"/>
  <c r="BD908" i="2"/>
  <c r="BC908" i="2"/>
  <c r="BB908" i="2"/>
  <c r="BA908" i="2"/>
  <c r="AZ908" i="2"/>
  <c r="AY908" i="2"/>
  <c r="AX908" i="2"/>
  <c r="J908" i="1"/>
  <c r="AW908" i="2"/>
  <c r="I908" i="1"/>
  <c r="AV908" i="2"/>
  <c r="AU908" i="2"/>
  <c r="AT908" i="2"/>
  <c r="AS908" i="2"/>
  <c r="AR908" i="2"/>
  <c r="AQ908" i="2"/>
  <c r="AP908" i="2"/>
  <c r="AO908" i="2"/>
  <c r="AL908" i="2"/>
  <c r="AK908" i="2"/>
  <c r="BQ907" i="2"/>
  <c r="BP907" i="2"/>
  <c r="AB907" i="1"/>
  <c r="BO907" i="2"/>
  <c r="AA907" i="1"/>
  <c r="BN907" i="2"/>
  <c r="BM907" i="2"/>
  <c r="BL907" i="2"/>
  <c r="BK907" i="2"/>
  <c r="W907" i="1"/>
  <c r="BJ907" i="2"/>
  <c r="BI907" i="2"/>
  <c r="BH907" i="2"/>
  <c r="T907" i="1"/>
  <c r="BG907" i="2"/>
  <c r="BF907" i="2"/>
  <c r="BE907" i="2"/>
  <c r="BD907" i="2"/>
  <c r="BC907" i="2"/>
  <c r="BB907" i="2"/>
  <c r="BA907" i="2"/>
  <c r="AZ907" i="2"/>
  <c r="AY907" i="2"/>
  <c r="AX907" i="2"/>
  <c r="J907" i="1"/>
  <c r="AW907" i="2"/>
  <c r="I907" i="1"/>
  <c r="AV907" i="2"/>
  <c r="AU907" i="2"/>
  <c r="AT907" i="2"/>
  <c r="AS907" i="2"/>
  <c r="AR907" i="2"/>
  <c r="AQ907" i="2"/>
  <c r="AP907" i="2"/>
  <c r="AO907" i="2"/>
  <c r="AL907" i="2"/>
  <c r="AK907" i="2"/>
  <c r="BQ906" i="2"/>
  <c r="BP906" i="2"/>
  <c r="AB906" i="1"/>
  <c r="BO906" i="2"/>
  <c r="AA906" i="1"/>
  <c r="BN906" i="2"/>
  <c r="BM906" i="2"/>
  <c r="BL906" i="2"/>
  <c r="BK906" i="2"/>
  <c r="W906" i="1"/>
  <c r="BJ906" i="2"/>
  <c r="BI906" i="2"/>
  <c r="BH906" i="2"/>
  <c r="T906" i="1"/>
  <c r="BG906" i="2"/>
  <c r="BF906" i="2"/>
  <c r="BE906" i="2"/>
  <c r="BD906" i="2"/>
  <c r="BC906" i="2"/>
  <c r="BB906" i="2"/>
  <c r="BA906" i="2"/>
  <c r="AZ906" i="2"/>
  <c r="AY906" i="2"/>
  <c r="AX906" i="2"/>
  <c r="J906" i="1"/>
  <c r="AW906" i="2"/>
  <c r="I906" i="1"/>
  <c r="AV906" i="2"/>
  <c r="AU906" i="2"/>
  <c r="AT906" i="2"/>
  <c r="AS906" i="2"/>
  <c r="AR906" i="2"/>
  <c r="AQ906" i="2"/>
  <c r="AP906" i="2"/>
  <c r="AO906" i="2"/>
  <c r="AL906" i="2"/>
  <c r="AK906" i="2"/>
  <c r="BQ905" i="2"/>
  <c r="BP905" i="2"/>
  <c r="AB905" i="1"/>
  <c r="BO905" i="2"/>
  <c r="AA905" i="1"/>
  <c r="BN905" i="2"/>
  <c r="BM905" i="2"/>
  <c r="BL905" i="2"/>
  <c r="BK905" i="2"/>
  <c r="W905" i="1"/>
  <c r="BJ905" i="2"/>
  <c r="BI905" i="2"/>
  <c r="BH905" i="2"/>
  <c r="T905" i="1"/>
  <c r="BG905" i="2"/>
  <c r="BF905" i="2"/>
  <c r="BE905" i="2"/>
  <c r="BD905" i="2"/>
  <c r="BC905" i="2"/>
  <c r="BB905" i="2"/>
  <c r="BA905" i="2"/>
  <c r="AZ905" i="2"/>
  <c r="AY905" i="2"/>
  <c r="AX905" i="2"/>
  <c r="J905" i="1"/>
  <c r="AW905" i="2"/>
  <c r="I905" i="1"/>
  <c r="AV905" i="2"/>
  <c r="AU905" i="2"/>
  <c r="AT905" i="2"/>
  <c r="AS905" i="2"/>
  <c r="AR905" i="2"/>
  <c r="AQ905" i="2"/>
  <c r="AP905" i="2"/>
  <c r="AO905" i="2"/>
  <c r="AL905" i="2"/>
  <c r="AK905" i="2"/>
  <c r="BQ904" i="2"/>
  <c r="BP904" i="2"/>
  <c r="AB904" i="1"/>
  <c r="BO904" i="2"/>
  <c r="AA904" i="1"/>
  <c r="BN904" i="2"/>
  <c r="BM904" i="2"/>
  <c r="BL904" i="2"/>
  <c r="BK904" i="2"/>
  <c r="W904" i="1"/>
  <c r="BJ904" i="2"/>
  <c r="BI904" i="2"/>
  <c r="BH904" i="2"/>
  <c r="T904" i="1"/>
  <c r="BG904" i="2"/>
  <c r="BF904" i="2"/>
  <c r="BE904" i="2"/>
  <c r="BD904" i="2"/>
  <c r="BC904" i="2"/>
  <c r="BB904" i="2"/>
  <c r="BA904" i="2"/>
  <c r="AZ904" i="2"/>
  <c r="AY904" i="2"/>
  <c r="AX904" i="2"/>
  <c r="J904" i="1"/>
  <c r="AW904" i="2"/>
  <c r="I904" i="1"/>
  <c r="AV904" i="2"/>
  <c r="AU904" i="2"/>
  <c r="AT904" i="2"/>
  <c r="AS904" i="2"/>
  <c r="AR904" i="2"/>
  <c r="AQ904" i="2"/>
  <c r="AP904" i="2"/>
  <c r="AO904" i="2"/>
  <c r="AL904" i="2"/>
  <c r="AK904" i="2"/>
  <c r="BQ903" i="2"/>
  <c r="BP903" i="2"/>
  <c r="AB903" i="1"/>
  <c r="BO903" i="2"/>
  <c r="AA903" i="1"/>
  <c r="BN903" i="2"/>
  <c r="BM903" i="2"/>
  <c r="BL903" i="2"/>
  <c r="BK903" i="2"/>
  <c r="W903" i="1"/>
  <c r="BJ903" i="2"/>
  <c r="BI903" i="2"/>
  <c r="BH903" i="2"/>
  <c r="T903" i="1"/>
  <c r="BG903" i="2"/>
  <c r="BF903" i="2"/>
  <c r="BE903" i="2"/>
  <c r="BD903" i="2"/>
  <c r="BC903" i="2"/>
  <c r="BB903" i="2"/>
  <c r="BA903" i="2"/>
  <c r="AZ903" i="2"/>
  <c r="AY903" i="2"/>
  <c r="AX903" i="2"/>
  <c r="J903" i="1"/>
  <c r="AW903" i="2"/>
  <c r="I903" i="1"/>
  <c r="AV903" i="2"/>
  <c r="AU903" i="2"/>
  <c r="AT903" i="2"/>
  <c r="AS903" i="2"/>
  <c r="AR903" i="2"/>
  <c r="AQ903" i="2"/>
  <c r="AP903" i="2"/>
  <c r="AO903" i="2"/>
  <c r="AL903" i="2"/>
  <c r="AK903" i="2"/>
  <c r="BQ902" i="2"/>
  <c r="BP902" i="2"/>
  <c r="AB902" i="1"/>
  <c r="BO902" i="2"/>
  <c r="AA902" i="1"/>
  <c r="BN902" i="2"/>
  <c r="BM902" i="2"/>
  <c r="BL902" i="2"/>
  <c r="BK902" i="2"/>
  <c r="W902" i="1"/>
  <c r="BJ902" i="2"/>
  <c r="BI902" i="2"/>
  <c r="BH902" i="2"/>
  <c r="T902" i="1"/>
  <c r="BG902" i="2"/>
  <c r="BF902" i="2"/>
  <c r="BE902" i="2"/>
  <c r="BD902" i="2"/>
  <c r="BC902" i="2"/>
  <c r="BB902" i="2"/>
  <c r="BA902" i="2"/>
  <c r="AZ902" i="2"/>
  <c r="AY902" i="2"/>
  <c r="AX902" i="2"/>
  <c r="J902" i="1"/>
  <c r="AW902" i="2"/>
  <c r="I902" i="1"/>
  <c r="AV902" i="2"/>
  <c r="AU902" i="2"/>
  <c r="AT902" i="2"/>
  <c r="AS902" i="2"/>
  <c r="AR902" i="2"/>
  <c r="AQ902" i="2"/>
  <c r="AP902" i="2"/>
  <c r="AO902" i="2"/>
  <c r="AL902" i="2"/>
  <c r="AK902" i="2"/>
  <c r="BQ901" i="2"/>
  <c r="BP901" i="2"/>
  <c r="AB901" i="1"/>
  <c r="BO901" i="2"/>
  <c r="AA901" i="1"/>
  <c r="BN901" i="2"/>
  <c r="BM901" i="2"/>
  <c r="BL901" i="2"/>
  <c r="BK901" i="2"/>
  <c r="W901" i="1"/>
  <c r="BJ901" i="2"/>
  <c r="BI901" i="2"/>
  <c r="BH901" i="2"/>
  <c r="T901" i="1"/>
  <c r="BG901" i="2"/>
  <c r="BF901" i="2"/>
  <c r="BE901" i="2"/>
  <c r="BD901" i="2"/>
  <c r="BC901" i="2"/>
  <c r="BB901" i="2"/>
  <c r="BA901" i="2"/>
  <c r="AZ901" i="2"/>
  <c r="AY901" i="2"/>
  <c r="AX901" i="2"/>
  <c r="J901" i="1"/>
  <c r="AW901" i="2"/>
  <c r="I901" i="1"/>
  <c r="AV901" i="2"/>
  <c r="AU901" i="2"/>
  <c r="AT901" i="2"/>
  <c r="AS901" i="2"/>
  <c r="AR901" i="2"/>
  <c r="AQ901" i="2"/>
  <c r="AP901" i="2"/>
  <c r="AO901" i="2"/>
  <c r="AL901" i="2"/>
  <c r="AK901" i="2"/>
  <c r="BQ900" i="2"/>
  <c r="BP900" i="2"/>
  <c r="AB900" i="1"/>
  <c r="BO900" i="2"/>
  <c r="AA900" i="1"/>
  <c r="BN900" i="2"/>
  <c r="BM900" i="2"/>
  <c r="BL900" i="2"/>
  <c r="BK900" i="2"/>
  <c r="W900" i="1"/>
  <c r="BJ900" i="2"/>
  <c r="BI900" i="2"/>
  <c r="BH900" i="2"/>
  <c r="T900" i="1"/>
  <c r="BG900" i="2"/>
  <c r="BF900" i="2"/>
  <c r="BE900" i="2"/>
  <c r="BD900" i="2"/>
  <c r="BC900" i="2"/>
  <c r="BB900" i="2"/>
  <c r="BA900" i="2"/>
  <c r="AZ900" i="2"/>
  <c r="AY900" i="2"/>
  <c r="AX900" i="2"/>
  <c r="J900" i="1"/>
  <c r="AW900" i="2"/>
  <c r="I900" i="1"/>
  <c r="AV900" i="2"/>
  <c r="AU900" i="2"/>
  <c r="AT900" i="2"/>
  <c r="AS900" i="2"/>
  <c r="AR900" i="2"/>
  <c r="AQ900" i="2"/>
  <c r="AP900" i="2"/>
  <c r="AO900" i="2"/>
  <c r="AL900" i="2"/>
  <c r="AK900" i="2"/>
  <c r="BQ899" i="2"/>
  <c r="BP899" i="2"/>
  <c r="AB899" i="1"/>
  <c r="BO899" i="2"/>
  <c r="AA899" i="1"/>
  <c r="BN899" i="2"/>
  <c r="BM899" i="2"/>
  <c r="BL899" i="2"/>
  <c r="BK899" i="2"/>
  <c r="W899" i="1"/>
  <c r="BJ899" i="2"/>
  <c r="BI899" i="2"/>
  <c r="BH899" i="2"/>
  <c r="T899" i="1"/>
  <c r="BG899" i="2"/>
  <c r="BF899" i="2"/>
  <c r="BE899" i="2"/>
  <c r="BD899" i="2"/>
  <c r="BC899" i="2"/>
  <c r="BB899" i="2"/>
  <c r="BA899" i="2"/>
  <c r="AZ899" i="2"/>
  <c r="AY899" i="2"/>
  <c r="AX899" i="2"/>
  <c r="J899" i="1"/>
  <c r="AW899" i="2"/>
  <c r="I899" i="1"/>
  <c r="AV899" i="2"/>
  <c r="AU899" i="2"/>
  <c r="AT899" i="2"/>
  <c r="AS899" i="2"/>
  <c r="AR899" i="2"/>
  <c r="AQ899" i="2"/>
  <c r="AP899" i="2"/>
  <c r="AO899" i="2"/>
  <c r="AL899" i="2"/>
  <c r="AK899" i="2"/>
  <c r="BQ898" i="2"/>
  <c r="BP898" i="2"/>
  <c r="AB898" i="1"/>
  <c r="BO898" i="2"/>
  <c r="AA898" i="1"/>
  <c r="BN898" i="2"/>
  <c r="BM898" i="2"/>
  <c r="BL898" i="2"/>
  <c r="BK898" i="2"/>
  <c r="W898" i="1"/>
  <c r="BJ898" i="2"/>
  <c r="BI898" i="2"/>
  <c r="BH898" i="2"/>
  <c r="T898" i="1"/>
  <c r="BG898" i="2"/>
  <c r="BF898" i="2"/>
  <c r="BE898" i="2"/>
  <c r="BD898" i="2"/>
  <c r="BC898" i="2"/>
  <c r="BB898" i="2"/>
  <c r="BA898" i="2"/>
  <c r="AZ898" i="2"/>
  <c r="AY898" i="2"/>
  <c r="AX898" i="2"/>
  <c r="J898" i="1"/>
  <c r="AW898" i="2"/>
  <c r="I898" i="1"/>
  <c r="AV898" i="2"/>
  <c r="AU898" i="2"/>
  <c r="AT898" i="2"/>
  <c r="AS898" i="2"/>
  <c r="AR898" i="2"/>
  <c r="AQ898" i="2"/>
  <c r="AP898" i="2"/>
  <c r="AO898" i="2"/>
  <c r="AL898" i="2"/>
  <c r="AK898" i="2"/>
  <c r="BQ897" i="2"/>
  <c r="BP897" i="2"/>
  <c r="AB897" i="1"/>
  <c r="BO897" i="2"/>
  <c r="AA897" i="1"/>
  <c r="BN897" i="2"/>
  <c r="BM897" i="2"/>
  <c r="BL897" i="2"/>
  <c r="BK897" i="2"/>
  <c r="W897" i="1"/>
  <c r="BJ897" i="2"/>
  <c r="BI897" i="2"/>
  <c r="BH897" i="2"/>
  <c r="T897" i="1"/>
  <c r="BG897" i="2"/>
  <c r="BF897" i="2"/>
  <c r="BE897" i="2"/>
  <c r="BD897" i="2"/>
  <c r="BC897" i="2"/>
  <c r="BB897" i="2"/>
  <c r="BA897" i="2"/>
  <c r="AZ897" i="2"/>
  <c r="AY897" i="2"/>
  <c r="AX897" i="2"/>
  <c r="J897" i="1"/>
  <c r="AW897" i="2"/>
  <c r="I897" i="1"/>
  <c r="AV897" i="2"/>
  <c r="AU897" i="2"/>
  <c r="AT897" i="2"/>
  <c r="AS897" i="2"/>
  <c r="AR897" i="2"/>
  <c r="AQ897" i="2"/>
  <c r="AP897" i="2"/>
  <c r="AO897" i="2"/>
  <c r="AL897" i="2"/>
  <c r="AK897" i="2"/>
  <c r="BQ896" i="2"/>
  <c r="BP896" i="2"/>
  <c r="AB896" i="1"/>
  <c r="BO896" i="2"/>
  <c r="AA896" i="1"/>
  <c r="BN896" i="2"/>
  <c r="BM896" i="2"/>
  <c r="BL896" i="2"/>
  <c r="BK896" i="2"/>
  <c r="W896" i="1"/>
  <c r="BJ896" i="2"/>
  <c r="BI896" i="2"/>
  <c r="BH896" i="2"/>
  <c r="T896" i="1"/>
  <c r="BG896" i="2"/>
  <c r="BF896" i="2"/>
  <c r="BE896" i="2"/>
  <c r="BD896" i="2"/>
  <c r="BC896" i="2"/>
  <c r="BB896" i="2"/>
  <c r="BA896" i="2"/>
  <c r="AZ896" i="2"/>
  <c r="AY896" i="2"/>
  <c r="AX896" i="2"/>
  <c r="J896" i="1"/>
  <c r="AW896" i="2"/>
  <c r="I896" i="1"/>
  <c r="AV896" i="2"/>
  <c r="AU896" i="2"/>
  <c r="AT896" i="2"/>
  <c r="AS896" i="2"/>
  <c r="AR896" i="2"/>
  <c r="AQ896" i="2"/>
  <c r="AP896" i="2"/>
  <c r="AO896" i="2"/>
  <c r="AL896" i="2"/>
  <c r="AK896" i="2"/>
  <c r="BQ895" i="2"/>
  <c r="BP895" i="2"/>
  <c r="AB895" i="1"/>
  <c r="BO895" i="2"/>
  <c r="AA895" i="1"/>
  <c r="BN895" i="2"/>
  <c r="BM895" i="2"/>
  <c r="BL895" i="2"/>
  <c r="BK895" i="2"/>
  <c r="W895" i="1"/>
  <c r="BJ895" i="2"/>
  <c r="BI895" i="2"/>
  <c r="BH895" i="2"/>
  <c r="T895" i="1"/>
  <c r="BG895" i="2"/>
  <c r="BF895" i="2"/>
  <c r="BE895" i="2"/>
  <c r="BD895" i="2"/>
  <c r="BC895" i="2"/>
  <c r="BB895" i="2"/>
  <c r="BA895" i="2"/>
  <c r="AZ895" i="2"/>
  <c r="AY895" i="2"/>
  <c r="AX895" i="2"/>
  <c r="J895" i="1"/>
  <c r="AW895" i="2"/>
  <c r="I895" i="1"/>
  <c r="AV895" i="2"/>
  <c r="AU895" i="2"/>
  <c r="AT895" i="2"/>
  <c r="AS895" i="2"/>
  <c r="AR895" i="2"/>
  <c r="AQ895" i="2"/>
  <c r="AP895" i="2"/>
  <c r="AO895" i="2"/>
  <c r="AL895" i="2"/>
  <c r="AK895" i="2"/>
  <c r="BQ894" i="2"/>
  <c r="BP894" i="2"/>
  <c r="AB894" i="1"/>
  <c r="BO894" i="2"/>
  <c r="AA894" i="1"/>
  <c r="BN894" i="2"/>
  <c r="BM894" i="2"/>
  <c r="BL894" i="2"/>
  <c r="BK894" i="2"/>
  <c r="W894" i="1"/>
  <c r="BJ894" i="2"/>
  <c r="BI894" i="2"/>
  <c r="BH894" i="2"/>
  <c r="T894" i="1"/>
  <c r="BG894" i="2"/>
  <c r="BF894" i="2"/>
  <c r="BE894" i="2"/>
  <c r="BD894" i="2"/>
  <c r="BC894" i="2"/>
  <c r="BB894" i="2"/>
  <c r="BA894" i="2"/>
  <c r="AZ894" i="2"/>
  <c r="AY894" i="2"/>
  <c r="AX894" i="2"/>
  <c r="J894" i="1"/>
  <c r="AW894" i="2"/>
  <c r="I894" i="1"/>
  <c r="AV894" i="2"/>
  <c r="AU894" i="2"/>
  <c r="AT894" i="2"/>
  <c r="AS894" i="2"/>
  <c r="AR894" i="2"/>
  <c r="AQ894" i="2"/>
  <c r="AP894" i="2"/>
  <c r="AO894" i="2"/>
  <c r="AL894" i="2"/>
  <c r="AK894" i="2"/>
  <c r="BQ893" i="2"/>
  <c r="BP893" i="2"/>
  <c r="AB893" i="1"/>
  <c r="BO893" i="2"/>
  <c r="AA893" i="1"/>
  <c r="BN893" i="2"/>
  <c r="BM893" i="2"/>
  <c r="BL893" i="2"/>
  <c r="BK893" i="2"/>
  <c r="W893" i="1"/>
  <c r="BJ893" i="2"/>
  <c r="BI893" i="2"/>
  <c r="BH893" i="2"/>
  <c r="T893" i="1"/>
  <c r="BG893" i="2"/>
  <c r="BF893" i="2"/>
  <c r="BE893" i="2"/>
  <c r="BD893" i="2"/>
  <c r="BC893" i="2"/>
  <c r="BB893" i="2"/>
  <c r="BA893" i="2"/>
  <c r="AZ893" i="2"/>
  <c r="AY893" i="2"/>
  <c r="AX893" i="2"/>
  <c r="J893" i="1"/>
  <c r="AW893" i="2"/>
  <c r="I893" i="1"/>
  <c r="AV893" i="2"/>
  <c r="AU893" i="2"/>
  <c r="AT893" i="2"/>
  <c r="AS893" i="2"/>
  <c r="AR893" i="2"/>
  <c r="AQ893" i="2"/>
  <c r="AP893" i="2"/>
  <c r="AO893" i="2"/>
  <c r="AL893" i="2"/>
  <c r="AK893" i="2"/>
  <c r="BQ892" i="2"/>
  <c r="BP892" i="2"/>
  <c r="AB892" i="1"/>
  <c r="BO892" i="2"/>
  <c r="AA892" i="1"/>
  <c r="BN892" i="2"/>
  <c r="BM892" i="2"/>
  <c r="BL892" i="2"/>
  <c r="BK892" i="2"/>
  <c r="W892" i="1"/>
  <c r="BJ892" i="2"/>
  <c r="BI892" i="2"/>
  <c r="BH892" i="2"/>
  <c r="T892" i="1"/>
  <c r="BG892" i="2"/>
  <c r="BF892" i="2"/>
  <c r="BE892" i="2"/>
  <c r="BD892" i="2"/>
  <c r="BC892" i="2"/>
  <c r="BB892" i="2"/>
  <c r="BA892" i="2"/>
  <c r="AZ892" i="2"/>
  <c r="AY892" i="2"/>
  <c r="AX892" i="2"/>
  <c r="J892" i="1"/>
  <c r="AW892" i="2"/>
  <c r="I892" i="1"/>
  <c r="AV892" i="2"/>
  <c r="AU892" i="2"/>
  <c r="AT892" i="2"/>
  <c r="AS892" i="2"/>
  <c r="AR892" i="2"/>
  <c r="AQ892" i="2"/>
  <c r="AP892" i="2"/>
  <c r="AO892" i="2"/>
  <c r="AL892" i="2"/>
  <c r="AK892" i="2"/>
  <c r="BQ891" i="2"/>
  <c r="BP891" i="2"/>
  <c r="AB891" i="1"/>
  <c r="BO891" i="2"/>
  <c r="AA891" i="1"/>
  <c r="BN891" i="2"/>
  <c r="BM891" i="2"/>
  <c r="BL891" i="2"/>
  <c r="BK891" i="2"/>
  <c r="W891" i="1"/>
  <c r="BJ891" i="2"/>
  <c r="BI891" i="2"/>
  <c r="BH891" i="2"/>
  <c r="T891" i="1"/>
  <c r="BG891" i="2"/>
  <c r="BF891" i="2"/>
  <c r="BE891" i="2"/>
  <c r="BD891" i="2"/>
  <c r="BC891" i="2"/>
  <c r="BB891" i="2"/>
  <c r="BA891" i="2"/>
  <c r="AZ891" i="2"/>
  <c r="AY891" i="2"/>
  <c r="AX891" i="2"/>
  <c r="J891" i="1"/>
  <c r="AW891" i="2"/>
  <c r="I891" i="1"/>
  <c r="AV891" i="2"/>
  <c r="AU891" i="2"/>
  <c r="AT891" i="2"/>
  <c r="AS891" i="2"/>
  <c r="AR891" i="2"/>
  <c r="AQ891" i="2"/>
  <c r="AP891" i="2"/>
  <c r="AO891" i="2"/>
  <c r="AL891" i="2"/>
  <c r="AK891" i="2"/>
  <c r="BQ890" i="2"/>
  <c r="BP890" i="2"/>
  <c r="AB890" i="1"/>
  <c r="BO890" i="2"/>
  <c r="AA890" i="1"/>
  <c r="BN890" i="2"/>
  <c r="BM890" i="2"/>
  <c r="BL890" i="2"/>
  <c r="BK890" i="2"/>
  <c r="W890" i="1"/>
  <c r="BJ890" i="2"/>
  <c r="BI890" i="2"/>
  <c r="BH890" i="2"/>
  <c r="T890" i="1"/>
  <c r="BG890" i="2"/>
  <c r="BF890" i="2"/>
  <c r="BE890" i="2"/>
  <c r="BD890" i="2"/>
  <c r="BC890" i="2"/>
  <c r="BB890" i="2"/>
  <c r="BA890" i="2"/>
  <c r="AZ890" i="2"/>
  <c r="AY890" i="2"/>
  <c r="AX890" i="2"/>
  <c r="J890" i="1"/>
  <c r="AW890" i="2"/>
  <c r="I890" i="1"/>
  <c r="AV890" i="2"/>
  <c r="AU890" i="2"/>
  <c r="AT890" i="2"/>
  <c r="AS890" i="2"/>
  <c r="AR890" i="2"/>
  <c r="AQ890" i="2"/>
  <c r="AP890" i="2"/>
  <c r="AO890" i="2"/>
  <c r="AL890" i="2"/>
  <c r="AK890" i="2"/>
  <c r="BQ889" i="2"/>
  <c r="BP889" i="2"/>
  <c r="AB889" i="1"/>
  <c r="BO889" i="2"/>
  <c r="AA889" i="1"/>
  <c r="BN889" i="2"/>
  <c r="BM889" i="2"/>
  <c r="BL889" i="2"/>
  <c r="BK889" i="2"/>
  <c r="W889" i="1"/>
  <c r="BJ889" i="2"/>
  <c r="BI889" i="2"/>
  <c r="BH889" i="2"/>
  <c r="T889" i="1"/>
  <c r="BG889" i="2"/>
  <c r="BF889" i="2"/>
  <c r="BE889" i="2"/>
  <c r="BD889" i="2"/>
  <c r="BC889" i="2"/>
  <c r="BB889" i="2"/>
  <c r="BA889" i="2"/>
  <c r="AZ889" i="2"/>
  <c r="AY889" i="2"/>
  <c r="AX889" i="2"/>
  <c r="J889" i="1"/>
  <c r="AW889" i="2"/>
  <c r="I889" i="1"/>
  <c r="AV889" i="2"/>
  <c r="AU889" i="2"/>
  <c r="AT889" i="2"/>
  <c r="AS889" i="2"/>
  <c r="AR889" i="2"/>
  <c r="AQ889" i="2"/>
  <c r="AP889" i="2"/>
  <c r="AO889" i="2"/>
  <c r="AL889" i="2"/>
  <c r="AK889" i="2"/>
  <c r="BQ888" i="2"/>
  <c r="BP888" i="2"/>
  <c r="AB888" i="1"/>
  <c r="BO888" i="2"/>
  <c r="AA888" i="1"/>
  <c r="BN888" i="2"/>
  <c r="BM888" i="2"/>
  <c r="BL888" i="2"/>
  <c r="BK888" i="2"/>
  <c r="W888" i="1"/>
  <c r="BJ888" i="2"/>
  <c r="BI888" i="2"/>
  <c r="BH888" i="2"/>
  <c r="T888" i="1"/>
  <c r="BG888" i="2"/>
  <c r="BF888" i="2"/>
  <c r="BE888" i="2"/>
  <c r="BD888" i="2"/>
  <c r="BC888" i="2"/>
  <c r="BB888" i="2"/>
  <c r="BA888" i="2"/>
  <c r="AZ888" i="2"/>
  <c r="AY888" i="2"/>
  <c r="AX888" i="2"/>
  <c r="J888" i="1"/>
  <c r="AW888" i="2"/>
  <c r="I888" i="1"/>
  <c r="AV888" i="2"/>
  <c r="AU888" i="2"/>
  <c r="AT888" i="2"/>
  <c r="AS888" i="2"/>
  <c r="AR888" i="2"/>
  <c r="AQ888" i="2"/>
  <c r="AP888" i="2"/>
  <c r="AO888" i="2"/>
  <c r="AL888" i="2"/>
  <c r="AK888" i="2"/>
  <c r="BQ887" i="2"/>
  <c r="BP887" i="2"/>
  <c r="AB887" i="1"/>
  <c r="BO887" i="2"/>
  <c r="AA887" i="1"/>
  <c r="BN887" i="2"/>
  <c r="BM887" i="2"/>
  <c r="BL887" i="2"/>
  <c r="BK887" i="2"/>
  <c r="W887" i="1"/>
  <c r="BJ887" i="2"/>
  <c r="BI887" i="2"/>
  <c r="BH887" i="2"/>
  <c r="T887" i="1"/>
  <c r="BG887" i="2"/>
  <c r="BF887" i="2"/>
  <c r="BE887" i="2"/>
  <c r="BD887" i="2"/>
  <c r="BC887" i="2"/>
  <c r="BB887" i="2"/>
  <c r="BA887" i="2"/>
  <c r="AZ887" i="2"/>
  <c r="AY887" i="2"/>
  <c r="AX887" i="2"/>
  <c r="J887" i="1"/>
  <c r="AW887" i="2"/>
  <c r="I887" i="1"/>
  <c r="AV887" i="2"/>
  <c r="AU887" i="2"/>
  <c r="AT887" i="2"/>
  <c r="AS887" i="2"/>
  <c r="AR887" i="2"/>
  <c r="AQ887" i="2"/>
  <c r="AP887" i="2"/>
  <c r="AO887" i="2"/>
  <c r="AL887" i="2"/>
  <c r="AK887" i="2"/>
  <c r="BQ886" i="2"/>
  <c r="BP886" i="2"/>
  <c r="AB886" i="1"/>
  <c r="BO886" i="2"/>
  <c r="AA886" i="1"/>
  <c r="BN886" i="2"/>
  <c r="BM886" i="2"/>
  <c r="BL886" i="2"/>
  <c r="BK886" i="2"/>
  <c r="W886" i="1"/>
  <c r="BJ886" i="2"/>
  <c r="BI886" i="2"/>
  <c r="BH886" i="2"/>
  <c r="T886" i="1"/>
  <c r="BG886" i="2"/>
  <c r="BF886" i="2"/>
  <c r="BE886" i="2"/>
  <c r="BD886" i="2"/>
  <c r="BC886" i="2"/>
  <c r="BB886" i="2"/>
  <c r="BA886" i="2"/>
  <c r="AZ886" i="2"/>
  <c r="AY886" i="2"/>
  <c r="AX886" i="2"/>
  <c r="J886" i="1"/>
  <c r="AW886" i="2"/>
  <c r="I886" i="1"/>
  <c r="AV886" i="2"/>
  <c r="AU886" i="2"/>
  <c r="AT886" i="2"/>
  <c r="AS886" i="2"/>
  <c r="AR886" i="2"/>
  <c r="AQ886" i="2"/>
  <c r="AP886" i="2"/>
  <c r="AO886" i="2"/>
  <c r="AL886" i="2"/>
  <c r="AK886" i="2"/>
  <c r="BQ885" i="2"/>
  <c r="BP885" i="2"/>
  <c r="AB885" i="1"/>
  <c r="BO885" i="2"/>
  <c r="AA885" i="1"/>
  <c r="BN885" i="2"/>
  <c r="BM885" i="2"/>
  <c r="BL885" i="2"/>
  <c r="BK885" i="2"/>
  <c r="W885" i="1"/>
  <c r="BJ885" i="2"/>
  <c r="BI885" i="2"/>
  <c r="BH885" i="2"/>
  <c r="T885" i="1"/>
  <c r="BG885" i="2"/>
  <c r="BF885" i="2"/>
  <c r="BE885" i="2"/>
  <c r="BD885" i="2"/>
  <c r="BC885" i="2"/>
  <c r="BB885" i="2"/>
  <c r="BA885" i="2"/>
  <c r="AZ885" i="2"/>
  <c r="AY885" i="2"/>
  <c r="AX885" i="2"/>
  <c r="J885" i="1"/>
  <c r="AW885" i="2"/>
  <c r="I885" i="1"/>
  <c r="AV885" i="2"/>
  <c r="AU885" i="2"/>
  <c r="AT885" i="2"/>
  <c r="AS885" i="2"/>
  <c r="AR885" i="2"/>
  <c r="AQ885" i="2"/>
  <c r="AP885" i="2"/>
  <c r="AO885" i="2"/>
  <c r="AL885" i="2"/>
  <c r="AK885" i="2"/>
  <c r="BQ884" i="2"/>
  <c r="BP884" i="2"/>
  <c r="AB884" i="1"/>
  <c r="BO884" i="2"/>
  <c r="AA884" i="1"/>
  <c r="BN884" i="2"/>
  <c r="BM884" i="2"/>
  <c r="BL884" i="2"/>
  <c r="BK884" i="2"/>
  <c r="W884" i="1"/>
  <c r="BJ884" i="2"/>
  <c r="BI884" i="2"/>
  <c r="BH884" i="2"/>
  <c r="T884" i="1"/>
  <c r="BG884" i="2"/>
  <c r="BF884" i="2"/>
  <c r="BE884" i="2"/>
  <c r="BD884" i="2"/>
  <c r="BC884" i="2"/>
  <c r="BB884" i="2"/>
  <c r="BA884" i="2"/>
  <c r="AZ884" i="2"/>
  <c r="AY884" i="2"/>
  <c r="AX884" i="2"/>
  <c r="J884" i="1"/>
  <c r="AW884" i="2"/>
  <c r="I884" i="1"/>
  <c r="AV884" i="2"/>
  <c r="AU884" i="2"/>
  <c r="AT884" i="2"/>
  <c r="AS884" i="2"/>
  <c r="AR884" i="2"/>
  <c r="AQ884" i="2"/>
  <c r="AP884" i="2"/>
  <c r="AO884" i="2"/>
  <c r="AL884" i="2"/>
  <c r="AK884" i="2"/>
  <c r="BQ883" i="2"/>
  <c r="BP883" i="2"/>
  <c r="AB883" i="1"/>
  <c r="BO883" i="2"/>
  <c r="AA883" i="1"/>
  <c r="BN883" i="2"/>
  <c r="BM883" i="2"/>
  <c r="BL883" i="2"/>
  <c r="BK883" i="2"/>
  <c r="W883" i="1"/>
  <c r="BJ883" i="2"/>
  <c r="BI883" i="2"/>
  <c r="BH883" i="2"/>
  <c r="T883" i="1"/>
  <c r="BG883" i="2"/>
  <c r="BF883" i="2"/>
  <c r="BE883" i="2"/>
  <c r="BD883" i="2"/>
  <c r="BC883" i="2"/>
  <c r="BB883" i="2"/>
  <c r="BA883" i="2"/>
  <c r="AZ883" i="2"/>
  <c r="AY883" i="2"/>
  <c r="AX883" i="2"/>
  <c r="J883" i="1"/>
  <c r="AW883" i="2"/>
  <c r="I883" i="1"/>
  <c r="AV883" i="2"/>
  <c r="AU883" i="2"/>
  <c r="AT883" i="2"/>
  <c r="AS883" i="2"/>
  <c r="AR883" i="2"/>
  <c r="AQ883" i="2"/>
  <c r="AP883" i="2"/>
  <c r="AO883" i="2"/>
  <c r="AL883" i="2"/>
  <c r="AK883" i="2"/>
  <c r="BQ882" i="2"/>
  <c r="BP882" i="2"/>
  <c r="AB882" i="1"/>
  <c r="BO882" i="2"/>
  <c r="AA882" i="1"/>
  <c r="BN882" i="2"/>
  <c r="BM882" i="2"/>
  <c r="BL882" i="2"/>
  <c r="BK882" i="2"/>
  <c r="W882" i="1"/>
  <c r="BJ882" i="2"/>
  <c r="BI882" i="2"/>
  <c r="BH882" i="2"/>
  <c r="T882" i="1"/>
  <c r="BG882" i="2"/>
  <c r="BF882" i="2"/>
  <c r="BE882" i="2"/>
  <c r="BD882" i="2"/>
  <c r="BC882" i="2"/>
  <c r="BB882" i="2"/>
  <c r="BA882" i="2"/>
  <c r="AZ882" i="2"/>
  <c r="AY882" i="2"/>
  <c r="AX882" i="2"/>
  <c r="J882" i="1"/>
  <c r="AW882" i="2"/>
  <c r="I882" i="1"/>
  <c r="AV882" i="2"/>
  <c r="AU882" i="2"/>
  <c r="AT882" i="2"/>
  <c r="AS882" i="2"/>
  <c r="AR882" i="2"/>
  <c r="AQ882" i="2"/>
  <c r="AP882" i="2"/>
  <c r="AO882" i="2"/>
  <c r="AL882" i="2"/>
  <c r="AK882" i="2"/>
  <c r="BQ881" i="2"/>
  <c r="BP881" i="2"/>
  <c r="AB881" i="1"/>
  <c r="BO881" i="2"/>
  <c r="AA881" i="1"/>
  <c r="BN881" i="2"/>
  <c r="BM881" i="2"/>
  <c r="BL881" i="2"/>
  <c r="BK881" i="2"/>
  <c r="W881" i="1"/>
  <c r="BJ881" i="2"/>
  <c r="BI881" i="2"/>
  <c r="BH881" i="2"/>
  <c r="T881" i="1"/>
  <c r="BG881" i="2"/>
  <c r="BF881" i="2"/>
  <c r="BE881" i="2"/>
  <c r="BD881" i="2"/>
  <c r="BC881" i="2"/>
  <c r="BB881" i="2"/>
  <c r="BA881" i="2"/>
  <c r="AZ881" i="2"/>
  <c r="AY881" i="2"/>
  <c r="AX881" i="2"/>
  <c r="J881" i="1"/>
  <c r="AW881" i="2"/>
  <c r="I881" i="1"/>
  <c r="AV881" i="2"/>
  <c r="AU881" i="2"/>
  <c r="AT881" i="2"/>
  <c r="AS881" i="2"/>
  <c r="AR881" i="2"/>
  <c r="AQ881" i="2"/>
  <c r="AP881" i="2"/>
  <c r="AO881" i="2"/>
  <c r="AL881" i="2"/>
  <c r="AK881" i="2"/>
  <c r="BQ880" i="2"/>
  <c r="BP880" i="2"/>
  <c r="AB880" i="1"/>
  <c r="BO880" i="2"/>
  <c r="AA880" i="1"/>
  <c r="BN880" i="2"/>
  <c r="BM880" i="2"/>
  <c r="BL880" i="2"/>
  <c r="BK880" i="2"/>
  <c r="W880" i="1"/>
  <c r="BJ880" i="2"/>
  <c r="BI880" i="2"/>
  <c r="BH880" i="2"/>
  <c r="T880" i="1"/>
  <c r="BG880" i="2"/>
  <c r="BF880" i="2"/>
  <c r="BE880" i="2"/>
  <c r="BD880" i="2"/>
  <c r="BC880" i="2"/>
  <c r="BB880" i="2"/>
  <c r="BA880" i="2"/>
  <c r="AZ880" i="2"/>
  <c r="AY880" i="2"/>
  <c r="AX880" i="2"/>
  <c r="J880" i="1"/>
  <c r="AW880" i="2"/>
  <c r="I880" i="1"/>
  <c r="AV880" i="2"/>
  <c r="AU880" i="2"/>
  <c r="AT880" i="2"/>
  <c r="AS880" i="2"/>
  <c r="AR880" i="2"/>
  <c r="AQ880" i="2"/>
  <c r="AP880" i="2"/>
  <c r="AO880" i="2"/>
  <c r="AL880" i="2"/>
  <c r="AK880" i="2"/>
  <c r="BQ879" i="2"/>
  <c r="BP879" i="2"/>
  <c r="AB879" i="1"/>
  <c r="BO879" i="2"/>
  <c r="AA879" i="1"/>
  <c r="BN879" i="2"/>
  <c r="BM879" i="2"/>
  <c r="BL879" i="2"/>
  <c r="BK879" i="2"/>
  <c r="W879" i="1"/>
  <c r="BJ879" i="2"/>
  <c r="BI879" i="2"/>
  <c r="BH879" i="2"/>
  <c r="T879" i="1"/>
  <c r="BG879" i="2"/>
  <c r="BF879" i="2"/>
  <c r="BE879" i="2"/>
  <c r="BD879" i="2"/>
  <c r="BC879" i="2"/>
  <c r="BB879" i="2"/>
  <c r="BA879" i="2"/>
  <c r="AZ879" i="2"/>
  <c r="AY879" i="2"/>
  <c r="AX879" i="2"/>
  <c r="J879" i="1"/>
  <c r="AW879" i="2"/>
  <c r="I879" i="1"/>
  <c r="AV879" i="2"/>
  <c r="AU879" i="2"/>
  <c r="AT879" i="2"/>
  <c r="AS879" i="2"/>
  <c r="AR879" i="2"/>
  <c r="AQ879" i="2"/>
  <c r="AP879" i="2"/>
  <c r="AO879" i="2"/>
  <c r="AL879" i="2"/>
  <c r="AK879" i="2"/>
  <c r="BQ878" i="2"/>
  <c r="BP878" i="2"/>
  <c r="AB878" i="1"/>
  <c r="BO878" i="2"/>
  <c r="AA878" i="1"/>
  <c r="BN878" i="2"/>
  <c r="BM878" i="2"/>
  <c r="BL878" i="2"/>
  <c r="BK878" i="2"/>
  <c r="W878" i="1"/>
  <c r="BJ878" i="2"/>
  <c r="BI878" i="2"/>
  <c r="BH878" i="2"/>
  <c r="T878" i="1"/>
  <c r="BG878" i="2"/>
  <c r="BF878" i="2"/>
  <c r="BE878" i="2"/>
  <c r="BD878" i="2"/>
  <c r="BC878" i="2"/>
  <c r="BB878" i="2"/>
  <c r="BA878" i="2"/>
  <c r="AZ878" i="2"/>
  <c r="AY878" i="2"/>
  <c r="AX878" i="2"/>
  <c r="J878" i="1"/>
  <c r="AW878" i="2"/>
  <c r="I878" i="1"/>
  <c r="AV878" i="2"/>
  <c r="AU878" i="2"/>
  <c r="AT878" i="2"/>
  <c r="AS878" i="2"/>
  <c r="AR878" i="2"/>
  <c r="AQ878" i="2"/>
  <c r="AP878" i="2"/>
  <c r="AO878" i="2"/>
  <c r="AL878" i="2"/>
  <c r="AK878" i="2"/>
  <c r="BQ877" i="2"/>
  <c r="BP877" i="2"/>
  <c r="AB877" i="1"/>
  <c r="BO877" i="2"/>
  <c r="AA877" i="1"/>
  <c r="BN877" i="2"/>
  <c r="BM877" i="2"/>
  <c r="BL877" i="2"/>
  <c r="BK877" i="2"/>
  <c r="W877" i="1"/>
  <c r="BJ877" i="2"/>
  <c r="BI877" i="2"/>
  <c r="BH877" i="2"/>
  <c r="T877" i="1"/>
  <c r="BG877" i="2"/>
  <c r="BF877" i="2"/>
  <c r="BE877" i="2"/>
  <c r="BD877" i="2"/>
  <c r="BC877" i="2"/>
  <c r="BB877" i="2"/>
  <c r="BA877" i="2"/>
  <c r="AZ877" i="2"/>
  <c r="AY877" i="2"/>
  <c r="AX877" i="2"/>
  <c r="J877" i="1"/>
  <c r="AW877" i="2"/>
  <c r="I877" i="1"/>
  <c r="AV877" i="2"/>
  <c r="AU877" i="2"/>
  <c r="AT877" i="2"/>
  <c r="AS877" i="2"/>
  <c r="AR877" i="2"/>
  <c r="AQ877" i="2"/>
  <c r="AP877" i="2"/>
  <c r="AO877" i="2"/>
  <c r="AL877" i="2"/>
  <c r="AK877" i="2"/>
  <c r="BQ876" i="2"/>
  <c r="BP876" i="2"/>
  <c r="AB876" i="1"/>
  <c r="BO876" i="2"/>
  <c r="AA876" i="1"/>
  <c r="BN876" i="2"/>
  <c r="BM876" i="2"/>
  <c r="BL876" i="2"/>
  <c r="BK876" i="2"/>
  <c r="W876" i="1"/>
  <c r="BJ876" i="2"/>
  <c r="BI876" i="2"/>
  <c r="BH876" i="2"/>
  <c r="T876" i="1"/>
  <c r="BG876" i="2"/>
  <c r="BF876" i="2"/>
  <c r="BE876" i="2"/>
  <c r="BD876" i="2"/>
  <c r="BC876" i="2"/>
  <c r="BB876" i="2"/>
  <c r="BA876" i="2"/>
  <c r="AZ876" i="2"/>
  <c r="AY876" i="2"/>
  <c r="AX876" i="2"/>
  <c r="J876" i="1"/>
  <c r="AW876" i="2"/>
  <c r="I876" i="1"/>
  <c r="AV876" i="2"/>
  <c r="AU876" i="2"/>
  <c r="AT876" i="2"/>
  <c r="AS876" i="2"/>
  <c r="AR876" i="2"/>
  <c r="AQ876" i="2"/>
  <c r="AP876" i="2"/>
  <c r="AO876" i="2"/>
  <c r="AL876" i="2"/>
  <c r="AK876" i="2"/>
  <c r="BQ875" i="2"/>
  <c r="BP875" i="2"/>
  <c r="AB875" i="1"/>
  <c r="BO875" i="2"/>
  <c r="AA875" i="1"/>
  <c r="BN875" i="2"/>
  <c r="BM875" i="2"/>
  <c r="BL875" i="2"/>
  <c r="BK875" i="2"/>
  <c r="W875" i="1"/>
  <c r="BJ875" i="2"/>
  <c r="BI875" i="2"/>
  <c r="BH875" i="2"/>
  <c r="T875" i="1"/>
  <c r="BG875" i="2"/>
  <c r="BF875" i="2"/>
  <c r="BE875" i="2"/>
  <c r="BD875" i="2"/>
  <c r="BC875" i="2"/>
  <c r="BB875" i="2"/>
  <c r="BA875" i="2"/>
  <c r="AZ875" i="2"/>
  <c r="AY875" i="2"/>
  <c r="AX875" i="2"/>
  <c r="J875" i="1"/>
  <c r="AW875" i="2"/>
  <c r="I875" i="1"/>
  <c r="AV875" i="2"/>
  <c r="AU875" i="2"/>
  <c r="AT875" i="2"/>
  <c r="AS875" i="2"/>
  <c r="AR875" i="2"/>
  <c r="AQ875" i="2"/>
  <c r="AP875" i="2"/>
  <c r="AO875" i="2"/>
  <c r="AL875" i="2"/>
  <c r="AK875" i="2"/>
  <c r="BQ874" i="2"/>
  <c r="BP874" i="2"/>
  <c r="AB874" i="1"/>
  <c r="BO874" i="2"/>
  <c r="AA874" i="1"/>
  <c r="BN874" i="2"/>
  <c r="BM874" i="2"/>
  <c r="BL874" i="2"/>
  <c r="BK874" i="2"/>
  <c r="W874" i="1"/>
  <c r="BJ874" i="2"/>
  <c r="BI874" i="2"/>
  <c r="BH874" i="2"/>
  <c r="T874" i="1"/>
  <c r="BG874" i="2"/>
  <c r="BF874" i="2"/>
  <c r="BE874" i="2"/>
  <c r="BD874" i="2"/>
  <c r="BC874" i="2"/>
  <c r="BB874" i="2"/>
  <c r="BA874" i="2"/>
  <c r="AZ874" i="2"/>
  <c r="AY874" i="2"/>
  <c r="AX874" i="2"/>
  <c r="J874" i="1"/>
  <c r="AW874" i="2"/>
  <c r="I874" i="1"/>
  <c r="AV874" i="2"/>
  <c r="AU874" i="2"/>
  <c r="AT874" i="2"/>
  <c r="AS874" i="2"/>
  <c r="AR874" i="2"/>
  <c r="AQ874" i="2"/>
  <c r="AP874" i="2"/>
  <c r="AO874" i="2"/>
  <c r="AL874" i="2"/>
  <c r="AK874" i="2"/>
  <c r="BQ873" i="2"/>
  <c r="BP873" i="2"/>
  <c r="AB873" i="1"/>
  <c r="BO873" i="2"/>
  <c r="AA873" i="1"/>
  <c r="BN873" i="2"/>
  <c r="BM873" i="2"/>
  <c r="BL873" i="2"/>
  <c r="BK873" i="2"/>
  <c r="W873" i="1"/>
  <c r="BJ873" i="2"/>
  <c r="BI873" i="2"/>
  <c r="BH873" i="2"/>
  <c r="T873" i="1"/>
  <c r="BG873" i="2"/>
  <c r="BF873" i="2"/>
  <c r="BE873" i="2"/>
  <c r="BD873" i="2"/>
  <c r="BC873" i="2"/>
  <c r="BB873" i="2"/>
  <c r="BA873" i="2"/>
  <c r="AZ873" i="2"/>
  <c r="AY873" i="2"/>
  <c r="AX873" i="2"/>
  <c r="J873" i="1"/>
  <c r="AW873" i="2"/>
  <c r="I873" i="1"/>
  <c r="AV873" i="2"/>
  <c r="AU873" i="2"/>
  <c r="AT873" i="2"/>
  <c r="AS873" i="2"/>
  <c r="AR873" i="2"/>
  <c r="AQ873" i="2"/>
  <c r="AP873" i="2"/>
  <c r="AO873" i="2"/>
  <c r="AL873" i="2"/>
  <c r="AK873" i="2"/>
  <c r="BQ872" i="2"/>
  <c r="BP872" i="2"/>
  <c r="AB872" i="1"/>
  <c r="BO872" i="2"/>
  <c r="AA872" i="1"/>
  <c r="BN872" i="2"/>
  <c r="BM872" i="2"/>
  <c r="BL872" i="2"/>
  <c r="BK872" i="2"/>
  <c r="W872" i="1"/>
  <c r="BJ872" i="2"/>
  <c r="BI872" i="2"/>
  <c r="BH872" i="2"/>
  <c r="T872" i="1"/>
  <c r="BG872" i="2"/>
  <c r="BF872" i="2"/>
  <c r="BE872" i="2"/>
  <c r="BD872" i="2"/>
  <c r="BC872" i="2"/>
  <c r="BB872" i="2"/>
  <c r="BA872" i="2"/>
  <c r="AZ872" i="2"/>
  <c r="AY872" i="2"/>
  <c r="AX872" i="2"/>
  <c r="J872" i="1"/>
  <c r="AW872" i="2"/>
  <c r="I872" i="1"/>
  <c r="AV872" i="2"/>
  <c r="AU872" i="2"/>
  <c r="AT872" i="2"/>
  <c r="AS872" i="2"/>
  <c r="AR872" i="2"/>
  <c r="AQ872" i="2"/>
  <c r="AP872" i="2"/>
  <c r="AO872" i="2"/>
  <c r="AL872" i="2"/>
  <c r="AK872" i="2"/>
  <c r="BQ871" i="2"/>
  <c r="BP871" i="2"/>
  <c r="AB871" i="1"/>
  <c r="BO871" i="2"/>
  <c r="AA871" i="1"/>
  <c r="BN871" i="2"/>
  <c r="BM871" i="2"/>
  <c r="BL871" i="2"/>
  <c r="BK871" i="2"/>
  <c r="W871" i="1"/>
  <c r="BJ871" i="2"/>
  <c r="BI871" i="2"/>
  <c r="BH871" i="2"/>
  <c r="T871" i="1"/>
  <c r="BG871" i="2"/>
  <c r="BF871" i="2"/>
  <c r="BE871" i="2"/>
  <c r="BD871" i="2"/>
  <c r="BC871" i="2"/>
  <c r="BB871" i="2"/>
  <c r="BA871" i="2"/>
  <c r="AZ871" i="2"/>
  <c r="AY871" i="2"/>
  <c r="AX871" i="2"/>
  <c r="J871" i="1"/>
  <c r="AW871" i="2"/>
  <c r="I871" i="1"/>
  <c r="AV871" i="2"/>
  <c r="AU871" i="2"/>
  <c r="AT871" i="2"/>
  <c r="AS871" i="2"/>
  <c r="AR871" i="2"/>
  <c r="AQ871" i="2"/>
  <c r="AP871" i="2"/>
  <c r="AO871" i="2"/>
  <c r="AL871" i="2"/>
  <c r="AK871" i="2"/>
  <c r="BQ870" i="2"/>
  <c r="BP870" i="2"/>
  <c r="AB870" i="1"/>
  <c r="BO870" i="2"/>
  <c r="AA870" i="1"/>
  <c r="BN870" i="2"/>
  <c r="BM870" i="2"/>
  <c r="BL870" i="2"/>
  <c r="BK870" i="2"/>
  <c r="W870" i="1"/>
  <c r="BJ870" i="2"/>
  <c r="BI870" i="2"/>
  <c r="BH870" i="2"/>
  <c r="T870" i="1"/>
  <c r="BG870" i="2"/>
  <c r="BF870" i="2"/>
  <c r="BE870" i="2"/>
  <c r="BD870" i="2"/>
  <c r="BC870" i="2"/>
  <c r="BB870" i="2"/>
  <c r="BA870" i="2"/>
  <c r="AZ870" i="2"/>
  <c r="AY870" i="2"/>
  <c r="AX870" i="2"/>
  <c r="J870" i="1"/>
  <c r="AW870" i="2"/>
  <c r="I870" i="1"/>
  <c r="AV870" i="2"/>
  <c r="AU870" i="2"/>
  <c r="AT870" i="2"/>
  <c r="AS870" i="2"/>
  <c r="AR870" i="2"/>
  <c r="AQ870" i="2"/>
  <c r="AP870" i="2"/>
  <c r="AO870" i="2"/>
  <c r="AL870" i="2"/>
  <c r="AK870" i="2"/>
  <c r="BQ869" i="2"/>
  <c r="BP869" i="2"/>
  <c r="AB869" i="1"/>
  <c r="BO869" i="2"/>
  <c r="AA869" i="1"/>
  <c r="BN869" i="2"/>
  <c r="BM869" i="2"/>
  <c r="BL869" i="2"/>
  <c r="BK869" i="2"/>
  <c r="W869" i="1"/>
  <c r="BJ869" i="2"/>
  <c r="BI869" i="2"/>
  <c r="BH869" i="2"/>
  <c r="T869" i="1"/>
  <c r="BG869" i="2"/>
  <c r="BF869" i="2"/>
  <c r="BE869" i="2"/>
  <c r="BD869" i="2"/>
  <c r="BC869" i="2"/>
  <c r="BB869" i="2"/>
  <c r="BA869" i="2"/>
  <c r="AZ869" i="2"/>
  <c r="AY869" i="2"/>
  <c r="AX869" i="2"/>
  <c r="J869" i="1"/>
  <c r="AW869" i="2"/>
  <c r="I869" i="1"/>
  <c r="AV869" i="2"/>
  <c r="AU869" i="2"/>
  <c r="AT869" i="2"/>
  <c r="AS869" i="2"/>
  <c r="AR869" i="2"/>
  <c r="AQ869" i="2"/>
  <c r="AP869" i="2"/>
  <c r="AO869" i="2"/>
  <c r="AL869" i="2"/>
  <c r="AK869" i="2"/>
  <c r="BQ868" i="2"/>
  <c r="BP868" i="2"/>
  <c r="AB868" i="1"/>
  <c r="BO868" i="2"/>
  <c r="AA868" i="1"/>
  <c r="BN868" i="2"/>
  <c r="BM868" i="2"/>
  <c r="BL868" i="2"/>
  <c r="BK868" i="2"/>
  <c r="W868" i="1"/>
  <c r="BJ868" i="2"/>
  <c r="BI868" i="2"/>
  <c r="BH868" i="2"/>
  <c r="T868" i="1"/>
  <c r="BG868" i="2"/>
  <c r="BF868" i="2"/>
  <c r="BE868" i="2"/>
  <c r="BD868" i="2"/>
  <c r="BC868" i="2"/>
  <c r="BB868" i="2"/>
  <c r="BA868" i="2"/>
  <c r="AZ868" i="2"/>
  <c r="AY868" i="2"/>
  <c r="AX868" i="2"/>
  <c r="J868" i="1"/>
  <c r="AW868" i="2"/>
  <c r="I868" i="1"/>
  <c r="AV868" i="2"/>
  <c r="AU868" i="2"/>
  <c r="AT868" i="2"/>
  <c r="AS868" i="2"/>
  <c r="AR868" i="2"/>
  <c r="AQ868" i="2"/>
  <c r="AP868" i="2"/>
  <c r="AO868" i="2"/>
  <c r="AL868" i="2"/>
  <c r="AK868" i="2"/>
  <c r="BQ867" i="2"/>
  <c r="BP867" i="2"/>
  <c r="AB867" i="1"/>
  <c r="BO867" i="2"/>
  <c r="AA867" i="1"/>
  <c r="BN867" i="2"/>
  <c r="BM867" i="2"/>
  <c r="BL867" i="2"/>
  <c r="BK867" i="2"/>
  <c r="W867" i="1"/>
  <c r="BJ867" i="2"/>
  <c r="BI867" i="2"/>
  <c r="BH867" i="2"/>
  <c r="T867" i="1"/>
  <c r="BG867" i="2"/>
  <c r="BF867" i="2"/>
  <c r="BE867" i="2"/>
  <c r="BD867" i="2"/>
  <c r="BC867" i="2"/>
  <c r="BB867" i="2"/>
  <c r="BA867" i="2"/>
  <c r="AZ867" i="2"/>
  <c r="AY867" i="2"/>
  <c r="AX867" i="2"/>
  <c r="J867" i="1"/>
  <c r="AW867" i="2"/>
  <c r="I867" i="1"/>
  <c r="AV867" i="2"/>
  <c r="AU867" i="2"/>
  <c r="AT867" i="2"/>
  <c r="AS867" i="2"/>
  <c r="AR867" i="2"/>
  <c r="AQ867" i="2"/>
  <c r="AP867" i="2"/>
  <c r="AO867" i="2"/>
  <c r="AL867" i="2"/>
  <c r="AK867" i="2"/>
  <c r="BQ866" i="2"/>
  <c r="BP866" i="2"/>
  <c r="AB866" i="1"/>
  <c r="BO866" i="2"/>
  <c r="AA866" i="1"/>
  <c r="BN866" i="2"/>
  <c r="BM866" i="2"/>
  <c r="BL866" i="2"/>
  <c r="BK866" i="2"/>
  <c r="W866" i="1"/>
  <c r="BJ866" i="2"/>
  <c r="BI866" i="2"/>
  <c r="BH866" i="2"/>
  <c r="T866" i="1"/>
  <c r="BG866" i="2"/>
  <c r="BF866" i="2"/>
  <c r="BE866" i="2"/>
  <c r="BD866" i="2"/>
  <c r="BC866" i="2"/>
  <c r="BB866" i="2"/>
  <c r="BA866" i="2"/>
  <c r="AZ866" i="2"/>
  <c r="AY866" i="2"/>
  <c r="AX866" i="2"/>
  <c r="J866" i="1"/>
  <c r="AW866" i="2"/>
  <c r="I866" i="1"/>
  <c r="AV866" i="2"/>
  <c r="AU866" i="2"/>
  <c r="AT866" i="2"/>
  <c r="AS866" i="2"/>
  <c r="AR866" i="2"/>
  <c r="AQ866" i="2"/>
  <c r="AP866" i="2"/>
  <c r="AO866" i="2"/>
  <c r="AL866" i="2"/>
  <c r="AK866" i="2"/>
  <c r="BQ865" i="2"/>
  <c r="BP865" i="2"/>
  <c r="AB865" i="1"/>
  <c r="BO865" i="2"/>
  <c r="AA865" i="1"/>
  <c r="BN865" i="2"/>
  <c r="BM865" i="2"/>
  <c r="BL865" i="2"/>
  <c r="BK865" i="2"/>
  <c r="W865" i="1"/>
  <c r="BJ865" i="2"/>
  <c r="BI865" i="2"/>
  <c r="BH865" i="2"/>
  <c r="T865" i="1"/>
  <c r="BG865" i="2"/>
  <c r="BF865" i="2"/>
  <c r="BE865" i="2"/>
  <c r="BD865" i="2"/>
  <c r="BC865" i="2"/>
  <c r="BB865" i="2"/>
  <c r="BA865" i="2"/>
  <c r="AZ865" i="2"/>
  <c r="AY865" i="2"/>
  <c r="AX865" i="2"/>
  <c r="J865" i="1"/>
  <c r="AW865" i="2"/>
  <c r="I865" i="1"/>
  <c r="AV865" i="2"/>
  <c r="AU865" i="2"/>
  <c r="AT865" i="2"/>
  <c r="AS865" i="2"/>
  <c r="AR865" i="2"/>
  <c r="AQ865" i="2"/>
  <c r="AP865" i="2"/>
  <c r="AO865" i="2"/>
  <c r="AL865" i="2"/>
  <c r="AK865" i="2"/>
  <c r="BQ864" i="2"/>
  <c r="BP864" i="2"/>
  <c r="AB864" i="1"/>
  <c r="BO864" i="2"/>
  <c r="AA864" i="1"/>
  <c r="BN864" i="2"/>
  <c r="BM864" i="2"/>
  <c r="BL864" i="2"/>
  <c r="BK864" i="2"/>
  <c r="W864" i="1"/>
  <c r="BJ864" i="2"/>
  <c r="BI864" i="2"/>
  <c r="BH864" i="2"/>
  <c r="T864" i="1"/>
  <c r="BG864" i="2"/>
  <c r="BF864" i="2"/>
  <c r="BE864" i="2"/>
  <c r="BD864" i="2"/>
  <c r="BC864" i="2"/>
  <c r="BB864" i="2"/>
  <c r="BA864" i="2"/>
  <c r="AZ864" i="2"/>
  <c r="AY864" i="2"/>
  <c r="AX864" i="2"/>
  <c r="J864" i="1"/>
  <c r="AW864" i="2"/>
  <c r="I864" i="1"/>
  <c r="AV864" i="2"/>
  <c r="AU864" i="2"/>
  <c r="AT864" i="2"/>
  <c r="AS864" i="2"/>
  <c r="AR864" i="2"/>
  <c r="AQ864" i="2"/>
  <c r="AP864" i="2"/>
  <c r="AO864" i="2"/>
  <c r="AL864" i="2"/>
  <c r="AK864" i="2"/>
  <c r="BQ863" i="2"/>
  <c r="BP863" i="2"/>
  <c r="AB863" i="1"/>
  <c r="BO863" i="2"/>
  <c r="AA863" i="1"/>
  <c r="BN863" i="2"/>
  <c r="BM863" i="2"/>
  <c r="BL863" i="2"/>
  <c r="BK863" i="2"/>
  <c r="W863" i="1"/>
  <c r="BJ863" i="2"/>
  <c r="BI863" i="2"/>
  <c r="BH863" i="2"/>
  <c r="T863" i="1"/>
  <c r="BG863" i="2"/>
  <c r="BF863" i="2"/>
  <c r="BE863" i="2"/>
  <c r="BD863" i="2"/>
  <c r="BC863" i="2"/>
  <c r="BB863" i="2"/>
  <c r="BA863" i="2"/>
  <c r="AZ863" i="2"/>
  <c r="AY863" i="2"/>
  <c r="AX863" i="2"/>
  <c r="J863" i="1"/>
  <c r="AW863" i="2"/>
  <c r="I863" i="1"/>
  <c r="AV863" i="2"/>
  <c r="AU863" i="2"/>
  <c r="AT863" i="2"/>
  <c r="AS863" i="2"/>
  <c r="AR863" i="2"/>
  <c r="AQ863" i="2"/>
  <c r="AP863" i="2"/>
  <c r="AO863" i="2"/>
  <c r="AL863" i="2"/>
  <c r="AK863" i="2"/>
  <c r="BQ862" i="2"/>
  <c r="BP862" i="2"/>
  <c r="AB862" i="1"/>
  <c r="BO862" i="2"/>
  <c r="AA862" i="1"/>
  <c r="BN862" i="2"/>
  <c r="BM862" i="2"/>
  <c r="BL862" i="2"/>
  <c r="BK862" i="2"/>
  <c r="W862" i="1"/>
  <c r="BJ862" i="2"/>
  <c r="BI862" i="2"/>
  <c r="BH862" i="2"/>
  <c r="T862" i="1"/>
  <c r="BG862" i="2"/>
  <c r="BF862" i="2"/>
  <c r="BE862" i="2"/>
  <c r="BD862" i="2"/>
  <c r="BC862" i="2"/>
  <c r="BB862" i="2"/>
  <c r="BA862" i="2"/>
  <c r="AZ862" i="2"/>
  <c r="AY862" i="2"/>
  <c r="AX862" i="2"/>
  <c r="J862" i="1"/>
  <c r="AW862" i="2"/>
  <c r="I862" i="1"/>
  <c r="AV862" i="2"/>
  <c r="AU862" i="2"/>
  <c r="AT862" i="2"/>
  <c r="AS862" i="2"/>
  <c r="AR862" i="2"/>
  <c r="AQ862" i="2"/>
  <c r="AP862" i="2"/>
  <c r="AO862" i="2"/>
  <c r="AL862" i="2"/>
  <c r="AK862" i="2"/>
  <c r="BQ861" i="2"/>
  <c r="BP861" i="2"/>
  <c r="AB861" i="1"/>
  <c r="BO861" i="2"/>
  <c r="AA861" i="1"/>
  <c r="BN861" i="2"/>
  <c r="BM861" i="2"/>
  <c r="BL861" i="2"/>
  <c r="BK861" i="2"/>
  <c r="W861" i="1"/>
  <c r="BJ861" i="2"/>
  <c r="BI861" i="2"/>
  <c r="BH861" i="2"/>
  <c r="T861" i="1"/>
  <c r="BG861" i="2"/>
  <c r="BF861" i="2"/>
  <c r="BE861" i="2"/>
  <c r="BD861" i="2"/>
  <c r="BC861" i="2"/>
  <c r="BB861" i="2"/>
  <c r="BA861" i="2"/>
  <c r="AZ861" i="2"/>
  <c r="AY861" i="2"/>
  <c r="AX861" i="2"/>
  <c r="J861" i="1"/>
  <c r="AW861" i="2"/>
  <c r="I861" i="1"/>
  <c r="AV861" i="2"/>
  <c r="AU861" i="2"/>
  <c r="AT861" i="2"/>
  <c r="AS861" i="2"/>
  <c r="AR861" i="2"/>
  <c r="AQ861" i="2"/>
  <c r="AP861" i="2"/>
  <c r="AO861" i="2"/>
  <c r="AL861" i="2"/>
  <c r="AK861" i="2"/>
  <c r="BQ860" i="2"/>
  <c r="BP860" i="2"/>
  <c r="AB860" i="1"/>
  <c r="BO860" i="2"/>
  <c r="AA860" i="1"/>
  <c r="BN860" i="2"/>
  <c r="BM860" i="2"/>
  <c r="BL860" i="2"/>
  <c r="BK860" i="2"/>
  <c r="W860" i="1"/>
  <c r="BJ860" i="2"/>
  <c r="BI860" i="2"/>
  <c r="BH860" i="2"/>
  <c r="T860" i="1"/>
  <c r="BG860" i="2"/>
  <c r="BF860" i="2"/>
  <c r="BE860" i="2"/>
  <c r="BD860" i="2"/>
  <c r="BC860" i="2"/>
  <c r="BB860" i="2"/>
  <c r="BA860" i="2"/>
  <c r="AZ860" i="2"/>
  <c r="AY860" i="2"/>
  <c r="AX860" i="2"/>
  <c r="J860" i="1"/>
  <c r="AW860" i="2"/>
  <c r="I860" i="1"/>
  <c r="AV860" i="2"/>
  <c r="AU860" i="2"/>
  <c r="AT860" i="2"/>
  <c r="AS860" i="2"/>
  <c r="AR860" i="2"/>
  <c r="AQ860" i="2"/>
  <c r="AP860" i="2"/>
  <c r="AO860" i="2"/>
  <c r="AL860" i="2"/>
  <c r="AK860" i="2"/>
  <c r="BQ859" i="2"/>
  <c r="BP859" i="2"/>
  <c r="AB859" i="1"/>
  <c r="BO859" i="2"/>
  <c r="AA859" i="1"/>
  <c r="BN859" i="2"/>
  <c r="BM859" i="2"/>
  <c r="BL859" i="2"/>
  <c r="BK859" i="2"/>
  <c r="W859" i="1"/>
  <c r="BJ859" i="2"/>
  <c r="BI859" i="2"/>
  <c r="BH859" i="2"/>
  <c r="T859" i="1"/>
  <c r="BG859" i="2"/>
  <c r="BF859" i="2"/>
  <c r="BE859" i="2"/>
  <c r="BD859" i="2"/>
  <c r="BC859" i="2"/>
  <c r="BB859" i="2"/>
  <c r="BA859" i="2"/>
  <c r="AZ859" i="2"/>
  <c r="AY859" i="2"/>
  <c r="AX859" i="2"/>
  <c r="J859" i="1"/>
  <c r="AW859" i="2"/>
  <c r="I859" i="1"/>
  <c r="AV859" i="2"/>
  <c r="AU859" i="2"/>
  <c r="AT859" i="2"/>
  <c r="AS859" i="2"/>
  <c r="AR859" i="2"/>
  <c r="AQ859" i="2"/>
  <c r="AP859" i="2"/>
  <c r="AO859" i="2"/>
  <c r="AL859" i="2"/>
  <c r="AK859" i="2"/>
  <c r="BQ858" i="2"/>
  <c r="BP858" i="2"/>
  <c r="AB858" i="1"/>
  <c r="BO858" i="2"/>
  <c r="AA858" i="1"/>
  <c r="BN858" i="2"/>
  <c r="BM858" i="2"/>
  <c r="BL858" i="2"/>
  <c r="BK858" i="2"/>
  <c r="W858" i="1"/>
  <c r="BJ858" i="2"/>
  <c r="BI858" i="2"/>
  <c r="BH858" i="2"/>
  <c r="T858" i="1"/>
  <c r="BG858" i="2"/>
  <c r="BF858" i="2"/>
  <c r="BE858" i="2"/>
  <c r="BD858" i="2"/>
  <c r="BC858" i="2"/>
  <c r="BB858" i="2"/>
  <c r="BA858" i="2"/>
  <c r="AZ858" i="2"/>
  <c r="AY858" i="2"/>
  <c r="AX858" i="2"/>
  <c r="J858" i="1"/>
  <c r="AW858" i="2"/>
  <c r="I858" i="1"/>
  <c r="AV858" i="2"/>
  <c r="AU858" i="2"/>
  <c r="AT858" i="2"/>
  <c r="AS858" i="2"/>
  <c r="AR858" i="2"/>
  <c r="AQ858" i="2"/>
  <c r="AP858" i="2"/>
  <c r="AO858" i="2"/>
  <c r="AL858" i="2"/>
  <c r="AK858" i="2"/>
  <c r="BQ857" i="2"/>
  <c r="BP857" i="2"/>
  <c r="AB857" i="1"/>
  <c r="BO857" i="2"/>
  <c r="AA857" i="1"/>
  <c r="BN857" i="2"/>
  <c r="BM857" i="2"/>
  <c r="BL857" i="2"/>
  <c r="BK857" i="2"/>
  <c r="W857" i="1"/>
  <c r="BJ857" i="2"/>
  <c r="BI857" i="2"/>
  <c r="BH857" i="2"/>
  <c r="T857" i="1"/>
  <c r="BG857" i="2"/>
  <c r="BF857" i="2"/>
  <c r="BE857" i="2"/>
  <c r="BD857" i="2"/>
  <c r="BC857" i="2"/>
  <c r="BB857" i="2"/>
  <c r="BA857" i="2"/>
  <c r="AZ857" i="2"/>
  <c r="AY857" i="2"/>
  <c r="AX857" i="2"/>
  <c r="J857" i="1"/>
  <c r="AW857" i="2"/>
  <c r="I857" i="1"/>
  <c r="AV857" i="2"/>
  <c r="AU857" i="2"/>
  <c r="AT857" i="2"/>
  <c r="AS857" i="2"/>
  <c r="AR857" i="2"/>
  <c r="AQ857" i="2"/>
  <c r="AP857" i="2"/>
  <c r="AO857" i="2"/>
  <c r="AL857" i="2"/>
  <c r="AK857" i="2"/>
  <c r="BQ856" i="2"/>
  <c r="BP856" i="2"/>
  <c r="AB856" i="1"/>
  <c r="BO856" i="2"/>
  <c r="AA856" i="1"/>
  <c r="BN856" i="2"/>
  <c r="BM856" i="2"/>
  <c r="BL856" i="2"/>
  <c r="BK856" i="2"/>
  <c r="W856" i="1"/>
  <c r="BJ856" i="2"/>
  <c r="BI856" i="2"/>
  <c r="BH856" i="2"/>
  <c r="T856" i="1"/>
  <c r="BG856" i="2"/>
  <c r="BF856" i="2"/>
  <c r="BE856" i="2"/>
  <c r="BD856" i="2"/>
  <c r="BC856" i="2"/>
  <c r="BB856" i="2"/>
  <c r="BA856" i="2"/>
  <c r="AZ856" i="2"/>
  <c r="AY856" i="2"/>
  <c r="AX856" i="2"/>
  <c r="J856" i="1"/>
  <c r="AW856" i="2"/>
  <c r="I856" i="1"/>
  <c r="AV856" i="2"/>
  <c r="AU856" i="2"/>
  <c r="AT856" i="2"/>
  <c r="AS856" i="2"/>
  <c r="AR856" i="2"/>
  <c r="AQ856" i="2"/>
  <c r="AP856" i="2"/>
  <c r="AO856" i="2"/>
  <c r="AL856" i="2"/>
  <c r="AK856" i="2"/>
  <c r="BQ855" i="2"/>
  <c r="BP855" i="2"/>
  <c r="AB855" i="1"/>
  <c r="BO855" i="2"/>
  <c r="AA855" i="1"/>
  <c r="BN855" i="2"/>
  <c r="BM855" i="2"/>
  <c r="BL855" i="2"/>
  <c r="BK855" i="2"/>
  <c r="W855" i="1"/>
  <c r="BJ855" i="2"/>
  <c r="BI855" i="2"/>
  <c r="BH855" i="2"/>
  <c r="T855" i="1"/>
  <c r="BG855" i="2"/>
  <c r="BF855" i="2"/>
  <c r="BE855" i="2"/>
  <c r="BD855" i="2"/>
  <c r="BC855" i="2"/>
  <c r="BB855" i="2"/>
  <c r="BA855" i="2"/>
  <c r="AZ855" i="2"/>
  <c r="AY855" i="2"/>
  <c r="AX855" i="2"/>
  <c r="J855" i="1"/>
  <c r="AW855" i="2"/>
  <c r="I855" i="1"/>
  <c r="AV855" i="2"/>
  <c r="AU855" i="2"/>
  <c r="AT855" i="2"/>
  <c r="AS855" i="2"/>
  <c r="AR855" i="2"/>
  <c r="AQ855" i="2"/>
  <c r="AP855" i="2"/>
  <c r="AO855" i="2"/>
  <c r="AL855" i="2"/>
  <c r="AK855" i="2"/>
  <c r="BQ854" i="2"/>
  <c r="BP854" i="2"/>
  <c r="AB854" i="1"/>
  <c r="BO854" i="2"/>
  <c r="AA854" i="1"/>
  <c r="BN854" i="2"/>
  <c r="BM854" i="2"/>
  <c r="BL854" i="2"/>
  <c r="BK854" i="2"/>
  <c r="W854" i="1"/>
  <c r="BJ854" i="2"/>
  <c r="BI854" i="2"/>
  <c r="BH854" i="2"/>
  <c r="T854" i="1"/>
  <c r="BG854" i="2"/>
  <c r="BF854" i="2"/>
  <c r="BE854" i="2"/>
  <c r="BD854" i="2"/>
  <c r="BC854" i="2"/>
  <c r="BB854" i="2"/>
  <c r="BA854" i="2"/>
  <c r="AZ854" i="2"/>
  <c r="AY854" i="2"/>
  <c r="AX854" i="2"/>
  <c r="J854" i="1"/>
  <c r="AW854" i="2"/>
  <c r="I854" i="1"/>
  <c r="AV854" i="2"/>
  <c r="AU854" i="2"/>
  <c r="AT854" i="2"/>
  <c r="AS854" i="2"/>
  <c r="AR854" i="2"/>
  <c r="AQ854" i="2"/>
  <c r="AP854" i="2"/>
  <c r="AO854" i="2"/>
  <c r="AL854" i="2"/>
  <c r="AK854" i="2"/>
  <c r="BQ853" i="2"/>
  <c r="BP853" i="2"/>
  <c r="AB853" i="1"/>
  <c r="BO853" i="2"/>
  <c r="AA853" i="1"/>
  <c r="BN853" i="2"/>
  <c r="BM853" i="2"/>
  <c r="BL853" i="2"/>
  <c r="BK853" i="2"/>
  <c r="W853" i="1"/>
  <c r="BJ853" i="2"/>
  <c r="BI853" i="2"/>
  <c r="BH853" i="2"/>
  <c r="T853" i="1"/>
  <c r="BG853" i="2"/>
  <c r="BF853" i="2"/>
  <c r="BE853" i="2"/>
  <c r="BD853" i="2"/>
  <c r="BC853" i="2"/>
  <c r="BB853" i="2"/>
  <c r="BA853" i="2"/>
  <c r="AZ853" i="2"/>
  <c r="AY853" i="2"/>
  <c r="AX853" i="2"/>
  <c r="J853" i="1"/>
  <c r="AW853" i="2"/>
  <c r="I853" i="1"/>
  <c r="AV853" i="2"/>
  <c r="AU853" i="2"/>
  <c r="AT853" i="2"/>
  <c r="AS853" i="2"/>
  <c r="AR853" i="2"/>
  <c r="AQ853" i="2"/>
  <c r="AP853" i="2"/>
  <c r="AO853" i="2"/>
  <c r="AL853" i="2"/>
  <c r="AK853" i="2"/>
  <c r="BQ852" i="2"/>
  <c r="BP852" i="2"/>
  <c r="AB852" i="1"/>
  <c r="BO852" i="2"/>
  <c r="AA852" i="1"/>
  <c r="BN852" i="2"/>
  <c r="BM852" i="2"/>
  <c r="BL852" i="2"/>
  <c r="BK852" i="2"/>
  <c r="W852" i="1"/>
  <c r="BJ852" i="2"/>
  <c r="BI852" i="2"/>
  <c r="BH852" i="2"/>
  <c r="T852" i="1"/>
  <c r="BG852" i="2"/>
  <c r="BF852" i="2"/>
  <c r="BE852" i="2"/>
  <c r="BD852" i="2"/>
  <c r="BC852" i="2"/>
  <c r="BB852" i="2"/>
  <c r="BA852" i="2"/>
  <c r="AZ852" i="2"/>
  <c r="AY852" i="2"/>
  <c r="AX852" i="2"/>
  <c r="J852" i="1"/>
  <c r="AW852" i="2"/>
  <c r="I852" i="1"/>
  <c r="AV852" i="2"/>
  <c r="AU852" i="2"/>
  <c r="AT852" i="2"/>
  <c r="AS852" i="2"/>
  <c r="AR852" i="2"/>
  <c r="AQ852" i="2"/>
  <c r="AP852" i="2"/>
  <c r="AO852" i="2"/>
  <c r="AL852" i="2"/>
  <c r="AK852" i="2"/>
  <c r="BQ851" i="2"/>
  <c r="BP851" i="2"/>
  <c r="AB851" i="1"/>
  <c r="BO851" i="2"/>
  <c r="AA851" i="1"/>
  <c r="BN851" i="2"/>
  <c r="BM851" i="2"/>
  <c r="BL851" i="2"/>
  <c r="BK851" i="2"/>
  <c r="W851" i="1"/>
  <c r="BJ851" i="2"/>
  <c r="BI851" i="2"/>
  <c r="BH851" i="2"/>
  <c r="T851" i="1"/>
  <c r="BG851" i="2"/>
  <c r="BF851" i="2"/>
  <c r="BE851" i="2"/>
  <c r="BD851" i="2"/>
  <c r="BC851" i="2"/>
  <c r="BB851" i="2"/>
  <c r="BA851" i="2"/>
  <c r="AZ851" i="2"/>
  <c r="AY851" i="2"/>
  <c r="AX851" i="2"/>
  <c r="J851" i="1"/>
  <c r="AW851" i="2"/>
  <c r="I851" i="1"/>
  <c r="AV851" i="2"/>
  <c r="AU851" i="2"/>
  <c r="AT851" i="2"/>
  <c r="AS851" i="2"/>
  <c r="AR851" i="2"/>
  <c r="AQ851" i="2"/>
  <c r="AP851" i="2"/>
  <c r="AO851" i="2"/>
  <c r="AL851" i="2"/>
  <c r="AK851" i="2"/>
  <c r="BQ850" i="2"/>
  <c r="BP850" i="2"/>
  <c r="AB850" i="1"/>
  <c r="BO850" i="2"/>
  <c r="AA850" i="1"/>
  <c r="BN850" i="2"/>
  <c r="BM850" i="2"/>
  <c r="BL850" i="2"/>
  <c r="BK850" i="2"/>
  <c r="W850" i="1"/>
  <c r="BJ850" i="2"/>
  <c r="BI850" i="2"/>
  <c r="BH850" i="2"/>
  <c r="T850" i="1"/>
  <c r="BG850" i="2"/>
  <c r="BF850" i="2"/>
  <c r="BE850" i="2"/>
  <c r="BD850" i="2"/>
  <c r="BC850" i="2"/>
  <c r="BB850" i="2"/>
  <c r="BA850" i="2"/>
  <c r="AZ850" i="2"/>
  <c r="AY850" i="2"/>
  <c r="AX850" i="2"/>
  <c r="J850" i="1"/>
  <c r="AW850" i="2"/>
  <c r="I850" i="1"/>
  <c r="AV850" i="2"/>
  <c r="AU850" i="2"/>
  <c r="AT850" i="2"/>
  <c r="AS850" i="2"/>
  <c r="AR850" i="2"/>
  <c r="AQ850" i="2"/>
  <c r="AP850" i="2"/>
  <c r="AO850" i="2"/>
  <c r="AL850" i="2"/>
  <c r="AK850" i="2"/>
  <c r="BQ849" i="2"/>
  <c r="BP849" i="2"/>
  <c r="AB849" i="1"/>
  <c r="BO849" i="2"/>
  <c r="AA849" i="1"/>
  <c r="BN849" i="2"/>
  <c r="BM849" i="2"/>
  <c r="BL849" i="2"/>
  <c r="BK849" i="2"/>
  <c r="W849" i="1"/>
  <c r="BJ849" i="2"/>
  <c r="BI849" i="2"/>
  <c r="BH849" i="2"/>
  <c r="T849" i="1"/>
  <c r="BG849" i="2"/>
  <c r="BF849" i="2"/>
  <c r="BE849" i="2"/>
  <c r="BD849" i="2"/>
  <c r="BC849" i="2"/>
  <c r="BB849" i="2"/>
  <c r="BA849" i="2"/>
  <c r="AZ849" i="2"/>
  <c r="AY849" i="2"/>
  <c r="AX849" i="2"/>
  <c r="J849" i="1"/>
  <c r="AW849" i="2"/>
  <c r="I849" i="1"/>
  <c r="AV849" i="2"/>
  <c r="AU849" i="2"/>
  <c r="AT849" i="2"/>
  <c r="AS849" i="2"/>
  <c r="AR849" i="2"/>
  <c r="AQ849" i="2"/>
  <c r="AP849" i="2"/>
  <c r="AO849" i="2"/>
  <c r="AL849" i="2"/>
  <c r="AK849" i="2"/>
  <c r="BQ848" i="2"/>
  <c r="BP848" i="2"/>
  <c r="AB848" i="1"/>
  <c r="BO848" i="2"/>
  <c r="AA848" i="1"/>
  <c r="BN848" i="2"/>
  <c r="BM848" i="2"/>
  <c r="BL848" i="2"/>
  <c r="BK848" i="2"/>
  <c r="W848" i="1"/>
  <c r="BJ848" i="2"/>
  <c r="BI848" i="2"/>
  <c r="BH848" i="2"/>
  <c r="T848" i="1"/>
  <c r="BG848" i="2"/>
  <c r="BF848" i="2"/>
  <c r="BE848" i="2"/>
  <c r="BD848" i="2"/>
  <c r="BC848" i="2"/>
  <c r="BB848" i="2"/>
  <c r="BA848" i="2"/>
  <c r="AZ848" i="2"/>
  <c r="AY848" i="2"/>
  <c r="AX848" i="2"/>
  <c r="J848" i="1"/>
  <c r="AW848" i="2"/>
  <c r="I848" i="1"/>
  <c r="AV848" i="2"/>
  <c r="AU848" i="2"/>
  <c r="AT848" i="2"/>
  <c r="AS848" i="2"/>
  <c r="AR848" i="2"/>
  <c r="AQ848" i="2"/>
  <c r="AP848" i="2"/>
  <c r="AO848" i="2"/>
  <c r="AL848" i="2"/>
  <c r="AK848" i="2"/>
  <c r="BQ847" i="2"/>
  <c r="BP847" i="2"/>
  <c r="AB847" i="1"/>
  <c r="BO847" i="2"/>
  <c r="AA847" i="1"/>
  <c r="BN847" i="2"/>
  <c r="BM847" i="2"/>
  <c r="BL847" i="2"/>
  <c r="BK847" i="2"/>
  <c r="W847" i="1"/>
  <c r="BJ847" i="2"/>
  <c r="BI847" i="2"/>
  <c r="BH847" i="2"/>
  <c r="T847" i="1"/>
  <c r="BG847" i="2"/>
  <c r="BF847" i="2"/>
  <c r="BE847" i="2"/>
  <c r="BD847" i="2"/>
  <c r="BC847" i="2"/>
  <c r="BB847" i="2"/>
  <c r="BA847" i="2"/>
  <c r="AZ847" i="2"/>
  <c r="AY847" i="2"/>
  <c r="AX847" i="2"/>
  <c r="J847" i="1"/>
  <c r="AW847" i="2"/>
  <c r="I847" i="1"/>
  <c r="AV847" i="2"/>
  <c r="AU847" i="2"/>
  <c r="AT847" i="2"/>
  <c r="AS847" i="2"/>
  <c r="AR847" i="2"/>
  <c r="AQ847" i="2"/>
  <c r="AP847" i="2"/>
  <c r="AO847" i="2"/>
  <c r="AL847" i="2"/>
  <c r="AK847" i="2"/>
  <c r="BQ846" i="2"/>
  <c r="BP846" i="2"/>
  <c r="AB846" i="1"/>
  <c r="BO846" i="2"/>
  <c r="AA846" i="1"/>
  <c r="BN846" i="2"/>
  <c r="BM846" i="2"/>
  <c r="BL846" i="2"/>
  <c r="BK846" i="2"/>
  <c r="W846" i="1"/>
  <c r="BJ846" i="2"/>
  <c r="BI846" i="2"/>
  <c r="BH846" i="2"/>
  <c r="T846" i="1"/>
  <c r="BG846" i="2"/>
  <c r="BF846" i="2"/>
  <c r="BE846" i="2"/>
  <c r="BD846" i="2"/>
  <c r="BC846" i="2"/>
  <c r="BB846" i="2"/>
  <c r="BA846" i="2"/>
  <c r="AZ846" i="2"/>
  <c r="AY846" i="2"/>
  <c r="AX846" i="2"/>
  <c r="J846" i="1"/>
  <c r="AW846" i="2"/>
  <c r="I846" i="1"/>
  <c r="AV846" i="2"/>
  <c r="AU846" i="2"/>
  <c r="AT846" i="2"/>
  <c r="AS846" i="2"/>
  <c r="AR846" i="2"/>
  <c r="AQ846" i="2"/>
  <c r="AP846" i="2"/>
  <c r="AO846" i="2"/>
  <c r="AL846" i="2"/>
  <c r="AK846" i="2"/>
  <c r="BQ845" i="2"/>
  <c r="BP845" i="2"/>
  <c r="AB845" i="1"/>
  <c r="BO845" i="2"/>
  <c r="AA845" i="1"/>
  <c r="BN845" i="2"/>
  <c r="BM845" i="2"/>
  <c r="BL845" i="2"/>
  <c r="BK845" i="2"/>
  <c r="W845" i="1"/>
  <c r="BJ845" i="2"/>
  <c r="BI845" i="2"/>
  <c r="BH845" i="2"/>
  <c r="T845" i="1"/>
  <c r="BG845" i="2"/>
  <c r="BF845" i="2"/>
  <c r="BE845" i="2"/>
  <c r="BD845" i="2"/>
  <c r="BC845" i="2"/>
  <c r="BB845" i="2"/>
  <c r="BA845" i="2"/>
  <c r="AZ845" i="2"/>
  <c r="AY845" i="2"/>
  <c r="AX845" i="2"/>
  <c r="J845" i="1"/>
  <c r="AW845" i="2"/>
  <c r="I845" i="1"/>
  <c r="AV845" i="2"/>
  <c r="AU845" i="2"/>
  <c r="AT845" i="2"/>
  <c r="AS845" i="2"/>
  <c r="AR845" i="2"/>
  <c r="AQ845" i="2"/>
  <c r="AP845" i="2"/>
  <c r="AO845" i="2"/>
  <c r="AL845" i="2"/>
  <c r="AK845" i="2"/>
  <c r="BQ844" i="2"/>
  <c r="BP844" i="2"/>
  <c r="AB844" i="1"/>
  <c r="BO844" i="2"/>
  <c r="AA844" i="1"/>
  <c r="BN844" i="2"/>
  <c r="BM844" i="2"/>
  <c r="BL844" i="2"/>
  <c r="BK844" i="2"/>
  <c r="W844" i="1"/>
  <c r="BJ844" i="2"/>
  <c r="BI844" i="2"/>
  <c r="BH844" i="2"/>
  <c r="T844" i="1"/>
  <c r="BG844" i="2"/>
  <c r="BF844" i="2"/>
  <c r="BE844" i="2"/>
  <c r="BD844" i="2"/>
  <c r="BC844" i="2"/>
  <c r="BB844" i="2"/>
  <c r="BA844" i="2"/>
  <c r="AZ844" i="2"/>
  <c r="AY844" i="2"/>
  <c r="AX844" i="2"/>
  <c r="J844" i="1"/>
  <c r="AW844" i="2"/>
  <c r="I844" i="1"/>
  <c r="AV844" i="2"/>
  <c r="AU844" i="2"/>
  <c r="AT844" i="2"/>
  <c r="AS844" i="2"/>
  <c r="AR844" i="2"/>
  <c r="AQ844" i="2"/>
  <c r="AP844" i="2"/>
  <c r="AO844" i="2"/>
  <c r="AL844" i="2"/>
  <c r="AK844" i="2"/>
  <c r="BQ843" i="2"/>
  <c r="BP843" i="2"/>
  <c r="AB843" i="1"/>
  <c r="BO843" i="2"/>
  <c r="AA843" i="1"/>
  <c r="BN843" i="2"/>
  <c r="BM843" i="2"/>
  <c r="BL843" i="2"/>
  <c r="BK843" i="2"/>
  <c r="W843" i="1"/>
  <c r="BJ843" i="2"/>
  <c r="BI843" i="2"/>
  <c r="BH843" i="2"/>
  <c r="T843" i="1"/>
  <c r="BG843" i="2"/>
  <c r="BF843" i="2"/>
  <c r="BE843" i="2"/>
  <c r="BD843" i="2"/>
  <c r="BC843" i="2"/>
  <c r="BB843" i="2"/>
  <c r="BA843" i="2"/>
  <c r="AZ843" i="2"/>
  <c r="AY843" i="2"/>
  <c r="AX843" i="2"/>
  <c r="J843" i="1"/>
  <c r="AW843" i="2"/>
  <c r="I843" i="1"/>
  <c r="AV843" i="2"/>
  <c r="AU843" i="2"/>
  <c r="AT843" i="2"/>
  <c r="AS843" i="2"/>
  <c r="AR843" i="2"/>
  <c r="AQ843" i="2"/>
  <c r="AP843" i="2"/>
  <c r="AO843" i="2"/>
  <c r="AL843" i="2"/>
  <c r="AK843" i="2"/>
  <c r="BQ842" i="2"/>
  <c r="BP842" i="2"/>
  <c r="AB842" i="1"/>
  <c r="BO842" i="2"/>
  <c r="AA842" i="1"/>
  <c r="BN842" i="2"/>
  <c r="BM842" i="2"/>
  <c r="BL842" i="2"/>
  <c r="BK842" i="2"/>
  <c r="W842" i="1"/>
  <c r="BJ842" i="2"/>
  <c r="BI842" i="2"/>
  <c r="BH842" i="2"/>
  <c r="T842" i="1"/>
  <c r="BG842" i="2"/>
  <c r="BF842" i="2"/>
  <c r="BE842" i="2"/>
  <c r="BD842" i="2"/>
  <c r="BC842" i="2"/>
  <c r="BB842" i="2"/>
  <c r="BA842" i="2"/>
  <c r="AZ842" i="2"/>
  <c r="AY842" i="2"/>
  <c r="AX842" i="2"/>
  <c r="J842" i="1"/>
  <c r="AW842" i="2"/>
  <c r="I842" i="1"/>
  <c r="AV842" i="2"/>
  <c r="AU842" i="2"/>
  <c r="AT842" i="2"/>
  <c r="AS842" i="2"/>
  <c r="AR842" i="2"/>
  <c r="AQ842" i="2"/>
  <c r="AP842" i="2"/>
  <c r="AO842" i="2"/>
  <c r="AL842" i="2"/>
  <c r="AK842" i="2"/>
  <c r="BQ841" i="2"/>
  <c r="BP841" i="2"/>
  <c r="AB841" i="1"/>
  <c r="BO841" i="2"/>
  <c r="AA841" i="1"/>
  <c r="BN841" i="2"/>
  <c r="BM841" i="2"/>
  <c r="BL841" i="2"/>
  <c r="BK841" i="2"/>
  <c r="W841" i="1"/>
  <c r="BJ841" i="2"/>
  <c r="BI841" i="2"/>
  <c r="BH841" i="2"/>
  <c r="T841" i="1"/>
  <c r="BG841" i="2"/>
  <c r="BF841" i="2"/>
  <c r="BE841" i="2"/>
  <c r="BD841" i="2"/>
  <c r="BC841" i="2"/>
  <c r="BB841" i="2"/>
  <c r="BA841" i="2"/>
  <c r="AZ841" i="2"/>
  <c r="AY841" i="2"/>
  <c r="AX841" i="2"/>
  <c r="J841" i="1"/>
  <c r="AW841" i="2"/>
  <c r="I841" i="1"/>
  <c r="AV841" i="2"/>
  <c r="AU841" i="2"/>
  <c r="AT841" i="2"/>
  <c r="AS841" i="2"/>
  <c r="AR841" i="2"/>
  <c r="AQ841" i="2"/>
  <c r="AP841" i="2"/>
  <c r="AO841" i="2"/>
  <c r="AL841" i="2"/>
  <c r="AK841" i="2"/>
  <c r="BQ840" i="2"/>
  <c r="BP840" i="2"/>
  <c r="AB840" i="1"/>
  <c r="BO840" i="2"/>
  <c r="AA840" i="1"/>
  <c r="BN840" i="2"/>
  <c r="BM840" i="2"/>
  <c r="BL840" i="2"/>
  <c r="BK840" i="2"/>
  <c r="W840" i="1"/>
  <c r="BJ840" i="2"/>
  <c r="BI840" i="2"/>
  <c r="BH840" i="2"/>
  <c r="T840" i="1"/>
  <c r="BG840" i="2"/>
  <c r="BF840" i="2"/>
  <c r="BE840" i="2"/>
  <c r="BD840" i="2"/>
  <c r="BC840" i="2"/>
  <c r="BB840" i="2"/>
  <c r="BA840" i="2"/>
  <c r="AZ840" i="2"/>
  <c r="AY840" i="2"/>
  <c r="AX840" i="2"/>
  <c r="J840" i="1"/>
  <c r="AW840" i="2"/>
  <c r="I840" i="1"/>
  <c r="AV840" i="2"/>
  <c r="AU840" i="2"/>
  <c r="AT840" i="2"/>
  <c r="AS840" i="2"/>
  <c r="AR840" i="2"/>
  <c r="AQ840" i="2"/>
  <c r="AP840" i="2"/>
  <c r="AO840" i="2"/>
  <c r="AL840" i="2"/>
  <c r="AK840" i="2"/>
  <c r="BQ839" i="2"/>
  <c r="BP839" i="2"/>
  <c r="AB839" i="1"/>
  <c r="BO839" i="2"/>
  <c r="AA839" i="1"/>
  <c r="BN839" i="2"/>
  <c r="BM839" i="2"/>
  <c r="BL839" i="2"/>
  <c r="BK839" i="2"/>
  <c r="W839" i="1"/>
  <c r="BJ839" i="2"/>
  <c r="BI839" i="2"/>
  <c r="BH839" i="2"/>
  <c r="T839" i="1"/>
  <c r="BG839" i="2"/>
  <c r="BF839" i="2"/>
  <c r="BE839" i="2"/>
  <c r="BD839" i="2"/>
  <c r="BC839" i="2"/>
  <c r="BB839" i="2"/>
  <c r="BA839" i="2"/>
  <c r="AZ839" i="2"/>
  <c r="AY839" i="2"/>
  <c r="AX839" i="2"/>
  <c r="J839" i="1"/>
  <c r="AW839" i="2"/>
  <c r="I839" i="1"/>
  <c r="AV839" i="2"/>
  <c r="AU839" i="2"/>
  <c r="AT839" i="2"/>
  <c r="AS839" i="2"/>
  <c r="AR839" i="2"/>
  <c r="AQ839" i="2"/>
  <c r="AP839" i="2"/>
  <c r="AO839" i="2"/>
  <c r="AL839" i="2"/>
  <c r="AK839" i="2"/>
  <c r="BQ838" i="2"/>
  <c r="BP838" i="2"/>
  <c r="AB838" i="1"/>
  <c r="BO838" i="2"/>
  <c r="AA838" i="1"/>
  <c r="BN838" i="2"/>
  <c r="BM838" i="2"/>
  <c r="BL838" i="2"/>
  <c r="BK838" i="2"/>
  <c r="W838" i="1"/>
  <c r="BJ838" i="2"/>
  <c r="BI838" i="2"/>
  <c r="BH838" i="2"/>
  <c r="T838" i="1"/>
  <c r="BG838" i="2"/>
  <c r="BF838" i="2"/>
  <c r="BE838" i="2"/>
  <c r="BD838" i="2"/>
  <c r="BC838" i="2"/>
  <c r="BB838" i="2"/>
  <c r="BA838" i="2"/>
  <c r="AZ838" i="2"/>
  <c r="AY838" i="2"/>
  <c r="AX838" i="2"/>
  <c r="J838" i="1"/>
  <c r="AW838" i="2"/>
  <c r="I838" i="1"/>
  <c r="AV838" i="2"/>
  <c r="AU838" i="2"/>
  <c r="AT838" i="2"/>
  <c r="AS838" i="2"/>
  <c r="AR838" i="2"/>
  <c r="AQ838" i="2"/>
  <c r="AP838" i="2"/>
  <c r="AO838" i="2"/>
  <c r="AL838" i="2"/>
  <c r="AK838" i="2"/>
  <c r="BQ837" i="2"/>
  <c r="BP837" i="2"/>
  <c r="AB837" i="1"/>
  <c r="BO837" i="2"/>
  <c r="AA837" i="1"/>
  <c r="BN837" i="2"/>
  <c r="BM837" i="2"/>
  <c r="BL837" i="2"/>
  <c r="BK837" i="2"/>
  <c r="W837" i="1"/>
  <c r="BJ837" i="2"/>
  <c r="BI837" i="2"/>
  <c r="BH837" i="2"/>
  <c r="T837" i="1"/>
  <c r="BG837" i="2"/>
  <c r="BF837" i="2"/>
  <c r="BE837" i="2"/>
  <c r="BD837" i="2"/>
  <c r="BC837" i="2"/>
  <c r="BB837" i="2"/>
  <c r="BA837" i="2"/>
  <c r="AZ837" i="2"/>
  <c r="AY837" i="2"/>
  <c r="AX837" i="2"/>
  <c r="J837" i="1"/>
  <c r="AW837" i="2"/>
  <c r="I837" i="1"/>
  <c r="AV837" i="2"/>
  <c r="AU837" i="2"/>
  <c r="AT837" i="2"/>
  <c r="AS837" i="2"/>
  <c r="AR837" i="2"/>
  <c r="AQ837" i="2"/>
  <c r="AP837" i="2"/>
  <c r="AO837" i="2"/>
  <c r="AL837" i="2"/>
  <c r="AK837" i="2"/>
  <c r="BQ836" i="2"/>
  <c r="BP836" i="2"/>
  <c r="AB836" i="1"/>
  <c r="BO836" i="2"/>
  <c r="AA836" i="1"/>
  <c r="BN836" i="2"/>
  <c r="BM836" i="2"/>
  <c r="BL836" i="2"/>
  <c r="BK836" i="2"/>
  <c r="W836" i="1"/>
  <c r="BJ836" i="2"/>
  <c r="BI836" i="2"/>
  <c r="BH836" i="2"/>
  <c r="T836" i="1"/>
  <c r="BG836" i="2"/>
  <c r="BF836" i="2"/>
  <c r="BE836" i="2"/>
  <c r="BD836" i="2"/>
  <c r="BC836" i="2"/>
  <c r="BB836" i="2"/>
  <c r="BA836" i="2"/>
  <c r="AZ836" i="2"/>
  <c r="AY836" i="2"/>
  <c r="AX836" i="2"/>
  <c r="J836" i="1"/>
  <c r="AW836" i="2"/>
  <c r="I836" i="1"/>
  <c r="AV836" i="2"/>
  <c r="AU836" i="2"/>
  <c r="AT836" i="2"/>
  <c r="AS836" i="2"/>
  <c r="AR836" i="2"/>
  <c r="AQ836" i="2"/>
  <c r="AP836" i="2"/>
  <c r="AO836" i="2"/>
  <c r="AL836" i="2"/>
  <c r="AK836" i="2"/>
  <c r="BQ835" i="2"/>
  <c r="BP835" i="2"/>
  <c r="AB835" i="1"/>
  <c r="BO835" i="2"/>
  <c r="AA835" i="1"/>
  <c r="BN835" i="2"/>
  <c r="BM835" i="2"/>
  <c r="BL835" i="2"/>
  <c r="BK835" i="2"/>
  <c r="W835" i="1"/>
  <c r="BJ835" i="2"/>
  <c r="BI835" i="2"/>
  <c r="BH835" i="2"/>
  <c r="T835" i="1"/>
  <c r="BG835" i="2"/>
  <c r="BF835" i="2"/>
  <c r="BE835" i="2"/>
  <c r="BD835" i="2"/>
  <c r="BC835" i="2"/>
  <c r="BB835" i="2"/>
  <c r="BA835" i="2"/>
  <c r="AZ835" i="2"/>
  <c r="AY835" i="2"/>
  <c r="AX835" i="2"/>
  <c r="J835" i="1"/>
  <c r="AW835" i="2"/>
  <c r="I835" i="1"/>
  <c r="AV835" i="2"/>
  <c r="AU835" i="2"/>
  <c r="AT835" i="2"/>
  <c r="AS835" i="2"/>
  <c r="AR835" i="2"/>
  <c r="AQ835" i="2"/>
  <c r="AP835" i="2"/>
  <c r="AO835" i="2"/>
  <c r="AL835" i="2"/>
  <c r="AK835" i="2"/>
  <c r="BQ834" i="2"/>
  <c r="BP834" i="2"/>
  <c r="AB834" i="1"/>
  <c r="BO834" i="2"/>
  <c r="AA834" i="1"/>
  <c r="BN834" i="2"/>
  <c r="BM834" i="2"/>
  <c r="BL834" i="2"/>
  <c r="BK834" i="2"/>
  <c r="W834" i="1"/>
  <c r="BJ834" i="2"/>
  <c r="BI834" i="2"/>
  <c r="BH834" i="2"/>
  <c r="T834" i="1"/>
  <c r="BG834" i="2"/>
  <c r="BF834" i="2"/>
  <c r="BE834" i="2"/>
  <c r="BD834" i="2"/>
  <c r="BC834" i="2"/>
  <c r="BB834" i="2"/>
  <c r="BA834" i="2"/>
  <c r="AZ834" i="2"/>
  <c r="AY834" i="2"/>
  <c r="AX834" i="2"/>
  <c r="J834" i="1"/>
  <c r="AW834" i="2"/>
  <c r="I834" i="1"/>
  <c r="AV834" i="2"/>
  <c r="AU834" i="2"/>
  <c r="AT834" i="2"/>
  <c r="AS834" i="2"/>
  <c r="AR834" i="2"/>
  <c r="AQ834" i="2"/>
  <c r="AP834" i="2"/>
  <c r="AO834" i="2"/>
  <c r="AL834" i="2"/>
  <c r="AK834" i="2"/>
  <c r="BQ833" i="2"/>
  <c r="BP833" i="2"/>
  <c r="AB833" i="1"/>
  <c r="BO833" i="2"/>
  <c r="AA833" i="1"/>
  <c r="BN833" i="2"/>
  <c r="BM833" i="2"/>
  <c r="BL833" i="2"/>
  <c r="BK833" i="2"/>
  <c r="W833" i="1"/>
  <c r="BJ833" i="2"/>
  <c r="BI833" i="2"/>
  <c r="BH833" i="2"/>
  <c r="T833" i="1"/>
  <c r="BG833" i="2"/>
  <c r="BF833" i="2"/>
  <c r="BE833" i="2"/>
  <c r="BD833" i="2"/>
  <c r="BC833" i="2"/>
  <c r="BB833" i="2"/>
  <c r="BA833" i="2"/>
  <c r="AZ833" i="2"/>
  <c r="AY833" i="2"/>
  <c r="AX833" i="2"/>
  <c r="J833" i="1"/>
  <c r="AW833" i="2"/>
  <c r="I833" i="1"/>
  <c r="AV833" i="2"/>
  <c r="AU833" i="2"/>
  <c r="AT833" i="2"/>
  <c r="AS833" i="2"/>
  <c r="AR833" i="2"/>
  <c r="AQ833" i="2"/>
  <c r="AP833" i="2"/>
  <c r="AO833" i="2"/>
  <c r="AL833" i="2"/>
  <c r="AK833" i="2"/>
  <c r="BQ832" i="2"/>
  <c r="BP832" i="2"/>
  <c r="AB832" i="1"/>
  <c r="BO832" i="2"/>
  <c r="AA832" i="1"/>
  <c r="BN832" i="2"/>
  <c r="BM832" i="2"/>
  <c r="BL832" i="2"/>
  <c r="BK832" i="2"/>
  <c r="W832" i="1"/>
  <c r="BJ832" i="2"/>
  <c r="BI832" i="2"/>
  <c r="BH832" i="2"/>
  <c r="T832" i="1"/>
  <c r="BG832" i="2"/>
  <c r="BF832" i="2"/>
  <c r="BE832" i="2"/>
  <c r="BD832" i="2"/>
  <c r="BC832" i="2"/>
  <c r="BB832" i="2"/>
  <c r="BA832" i="2"/>
  <c r="AZ832" i="2"/>
  <c r="AY832" i="2"/>
  <c r="AX832" i="2"/>
  <c r="J832" i="1"/>
  <c r="AW832" i="2"/>
  <c r="I832" i="1"/>
  <c r="AV832" i="2"/>
  <c r="AU832" i="2"/>
  <c r="AT832" i="2"/>
  <c r="AS832" i="2"/>
  <c r="AR832" i="2"/>
  <c r="AQ832" i="2"/>
  <c r="AP832" i="2"/>
  <c r="AO832" i="2"/>
  <c r="AL832" i="2"/>
  <c r="AK832" i="2"/>
  <c r="BQ831" i="2"/>
  <c r="BP831" i="2"/>
  <c r="AB831" i="1"/>
  <c r="BO831" i="2"/>
  <c r="AA831" i="1"/>
  <c r="BN831" i="2"/>
  <c r="BM831" i="2"/>
  <c r="BL831" i="2"/>
  <c r="BK831" i="2"/>
  <c r="W831" i="1"/>
  <c r="BJ831" i="2"/>
  <c r="BI831" i="2"/>
  <c r="BH831" i="2"/>
  <c r="T831" i="1"/>
  <c r="BG831" i="2"/>
  <c r="BF831" i="2"/>
  <c r="BE831" i="2"/>
  <c r="BD831" i="2"/>
  <c r="BC831" i="2"/>
  <c r="BB831" i="2"/>
  <c r="BA831" i="2"/>
  <c r="AZ831" i="2"/>
  <c r="AY831" i="2"/>
  <c r="AX831" i="2"/>
  <c r="J831" i="1"/>
  <c r="AW831" i="2"/>
  <c r="I831" i="1"/>
  <c r="AV831" i="2"/>
  <c r="AU831" i="2"/>
  <c r="AT831" i="2"/>
  <c r="AS831" i="2"/>
  <c r="AR831" i="2"/>
  <c r="AQ831" i="2"/>
  <c r="AP831" i="2"/>
  <c r="AO831" i="2"/>
  <c r="AL831" i="2"/>
  <c r="AK831" i="2"/>
  <c r="BQ830" i="2"/>
  <c r="BP830" i="2"/>
  <c r="AB830" i="1"/>
  <c r="BO830" i="2"/>
  <c r="AA830" i="1"/>
  <c r="BN830" i="2"/>
  <c r="BM830" i="2"/>
  <c r="BL830" i="2"/>
  <c r="BK830" i="2"/>
  <c r="W830" i="1"/>
  <c r="BJ830" i="2"/>
  <c r="BI830" i="2"/>
  <c r="BH830" i="2"/>
  <c r="T830" i="1"/>
  <c r="BG830" i="2"/>
  <c r="BF830" i="2"/>
  <c r="BE830" i="2"/>
  <c r="BD830" i="2"/>
  <c r="BC830" i="2"/>
  <c r="BB830" i="2"/>
  <c r="BA830" i="2"/>
  <c r="AZ830" i="2"/>
  <c r="AY830" i="2"/>
  <c r="AX830" i="2"/>
  <c r="J830" i="1"/>
  <c r="AW830" i="2"/>
  <c r="I830" i="1"/>
  <c r="AV830" i="2"/>
  <c r="AU830" i="2"/>
  <c r="AT830" i="2"/>
  <c r="AS830" i="2"/>
  <c r="AR830" i="2"/>
  <c r="AQ830" i="2"/>
  <c r="AP830" i="2"/>
  <c r="AO830" i="2"/>
  <c r="AL830" i="2"/>
  <c r="AK830" i="2"/>
  <c r="BQ829" i="2"/>
  <c r="BP829" i="2"/>
  <c r="AB829" i="1"/>
  <c r="BO829" i="2"/>
  <c r="AA829" i="1"/>
  <c r="BN829" i="2"/>
  <c r="BM829" i="2"/>
  <c r="BL829" i="2"/>
  <c r="BK829" i="2"/>
  <c r="W829" i="1"/>
  <c r="BJ829" i="2"/>
  <c r="BI829" i="2"/>
  <c r="BH829" i="2"/>
  <c r="T829" i="1"/>
  <c r="BG829" i="2"/>
  <c r="BF829" i="2"/>
  <c r="BE829" i="2"/>
  <c r="BD829" i="2"/>
  <c r="BC829" i="2"/>
  <c r="BB829" i="2"/>
  <c r="BA829" i="2"/>
  <c r="AZ829" i="2"/>
  <c r="AY829" i="2"/>
  <c r="AX829" i="2"/>
  <c r="J829" i="1"/>
  <c r="AW829" i="2"/>
  <c r="I829" i="1"/>
  <c r="AV829" i="2"/>
  <c r="AU829" i="2"/>
  <c r="AT829" i="2"/>
  <c r="AS829" i="2"/>
  <c r="AR829" i="2"/>
  <c r="AQ829" i="2"/>
  <c r="AP829" i="2"/>
  <c r="AO829" i="2"/>
  <c r="AL829" i="2"/>
  <c r="AK829" i="2"/>
  <c r="BQ828" i="2"/>
  <c r="BP828" i="2"/>
  <c r="AB828" i="1"/>
  <c r="BO828" i="2"/>
  <c r="AA828" i="1"/>
  <c r="BN828" i="2"/>
  <c r="BM828" i="2"/>
  <c r="BL828" i="2"/>
  <c r="BK828" i="2"/>
  <c r="W828" i="1"/>
  <c r="BJ828" i="2"/>
  <c r="BI828" i="2"/>
  <c r="BH828" i="2"/>
  <c r="T828" i="1"/>
  <c r="BG828" i="2"/>
  <c r="BF828" i="2"/>
  <c r="BE828" i="2"/>
  <c r="BD828" i="2"/>
  <c r="BC828" i="2"/>
  <c r="BB828" i="2"/>
  <c r="BA828" i="2"/>
  <c r="AZ828" i="2"/>
  <c r="AY828" i="2"/>
  <c r="AX828" i="2"/>
  <c r="J828" i="1"/>
  <c r="AW828" i="2"/>
  <c r="I828" i="1"/>
  <c r="AV828" i="2"/>
  <c r="AU828" i="2"/>
  <c r="AT828" i="2"/>
  <c r="AS828" i="2"/>
  <c r="AR828" i="2"/>
  <c r="AQ828" i="2"/>
  <c r="AP828" i="2"/>
  <c r="AO828" i="2"/>
  <c r="AL828" i="2"/>
  <c r="AK828" i="2"/>
  <c r="BQ827" i="2"/>
  <c r="BP827" i="2"/>
  <c r="AB827" i="1"/>
  <c r="BO827" i="2"/>
  <c r="AA827" i="1"/>
  <c r="BN827" i="2"/>
  <c r="BM827" i="2"/>
  <c r="BL827" i="2"/>
  <c r="BK827" i="2"/>
  <c r="W827" i="1"/>
  <c r="BJ827" i="2"/>
  <c r="BI827" i="2"/>
  <c r="BH827" i="2"/>
  <c r="T827" i="1"/>
  <c r="BG827" i="2"/>
  <c r="BF827" i="2"/>
  <c r="BE827" i="2"/>
  <c r="BD827" i="2"/>
  <c r="BC827" i="2"/>
  <c r="BB827" i="2"/>
  <c r="BA827" i="2"/>
  <c r="AZ827" i="2"/>
  <c r="AY827" i="2"/>
  <c r="AX827" i="2"/>
  <c r="J827" i="1"/>
  <c r="AW827" i="2"/>
  <c r="I827" i="1"/>
  <c r="AV827" i="2"/>
  <c r="AU827" i="2"/>
  <c r="AT827" i="2"/>
  <c r="AS827" i="2"/>
  <c r="AR827" i="2"/>
  <c r="AQ827" i="2"/>
  <c r="AP827" i="2"/>
  <c r="AO827" i="2"/>
  <c r="AL827" i="2"/>
  <c r="AK827" i="2"/>
  <c r="BQ826" i="2"/>
  <c r="BP826" i="2"/>
  <c r="AB826" i="1"/>
  <c r="BO826" i="2"/>
  <c r="AA826" i="1"/>
  <c r="BN826" i="2"/>
  <c r="BM826" i="2"/>
  <c r="BL826" i="2"/>
  <c r="BK826" i="2"/>
  <c r="W826" i="1"/>
  <c r="BJ826" i="2"/>
  <c r="BI826" i="2"/>
  <c r="BH826" i="2"/>
  <c r="T826" i="1"/>
  <c r="BG826" i="2"/>
  <c r="BF826" i="2"/>
  <c r="BE826" i="2"/>
  <c r="BD826" i="2"/>
  <c r="BC826" i="2"/>
  <c r="BB826" i="2"/>
  <c r="BA826" i="2"/>
  <c r="AZ826" i="2"/>
  <c r="AY826" i="2"/>
  <c r="AX826" i="2"/>
  <c r="J826" i="1"/>
  <c r="AW826" i="2"/>
  <c r="I826" i="1"/>
  <c r="AV826" i="2"/>
  <c r="AU826" i="2"/>
  <c r="AT826" i="2"/>
  <c r="AS826" i="2"/>
  <c r="AR826" i="2"/>
  <c r="AQ826" i="2"/>
  <c r="AP826" i="2"/>
  <c r="AO826" i="2"/>
  <c r="AL826" i="2"/>
  <c r="AK826" i="2"/>
  <c r="BQ825" i="2"/>
  <c r="BP825" i="2"/>
  <c r="AB825" i="1"/>
  <c r="BO825" i="2"/>
  <c r="AA825" i="1"/>
  <c r="BN825" i="2"/>
  <c r="BM825" i="2"/>
  <c r="BL825" i="2"/>
  <c r="BK825" i="2"/>
  <c r="W825" i="1"/>
  <c r="BJ825" i="2"/>
  <c r="BI825" i="2"/>
  <c r="BH825" i="2"/>
  <c r="T825" i="1"/>
  <c r="BG825" i="2"/>
  <c r="BF825" i="2"/>
  <c r="BE825" i="2"/>
  <c r="BD825" i="2"/>
  <c r="BC825" i="2"/>
  <c r="BB825" i="2"/>
  <c r="BA825" i="2"/>
  <c r="AZ825" i="2"/>
  <c r="AY825" i="2"/>
  <c r="AX825" i="2"/>
  <c r="J825" i="1"/>
  <c r="AW825" i="2"/>
  <c r="I825" i="1"/>
  <c r="AV825" i="2"/>
  <c r="AU825" i="2"/>
  <c r="AT825" i="2"/>
  <c r="AS825" i="2"/>
  <c r="AR825" i="2"/>
  <c r="AQ825" i="2"/>
  <c r="AP825" i="2"/>
  <c r="AO825" i="2"/>
  <c r="AL825" i="2"/>
  <c r="AK825" i="2"/>
  <c r="BQ824" i="2"/>
  <c r="BP824" i="2"/>
  <c r="AB824" i="1"/>
  <c r="BO824" i="2"/>
  <c r="AA824" i="1"/>
  <c r="BN824" i="2"/>
  <c r="BM824" i="2"/>
  <c r="BL824" i="2"/>
  <c r="BK824" i="2"/>
  <c r="W824" i="1"/>
  <c r="BJ824" i="2"/>
  <c r="BI824" i="2"/>
  <c r="BH824" i="2"/>
  <c r="T824" i="1"/>
  <c r="BG824" i="2"/>
  <c r="BF824" i="2"/>
  <c r="BE824" i="2"/>
  <c r="BD824" i="2"/>
  <c r="BC824" i="2"/>
  <c r="BB824" i="2"/>
  <c r="BA824" i="2"/>
  <c r="AZ824" i="2"/>
  <c r="AY824" i="2"/>
  <c r="AX824" i="2"/>
  <c r="J824" i="1"/>
  <c r="AW824" i="2"/>
  <c r="I824" i="1"/>
  <c r="AV824" i="2"/>
  <c r="AU824" i="2"/>
  <c r="AT824" i="2"/>
  <c r="AS824" i="2"/>
  <c r="AR824" i="2"/>
  <c r="AQ824" i="2"/>
  <c r="AP824" i="2"/>
  <c r="AO824" i="2"/>
  <c r="AL824" i="2"/>
  <c r="AK824" i="2"/>
  <c r="BQ823" i="2"/>
  <c r="BP823" i="2"/>
  <c r="AB823" i="1"/>
  <c r="BO823" i="2"/>
  <c r="AA823" i="1"/>
  <c r="BN823" i="2"/>
  <c r="BM823" i="2"/>
  <c r="BL823" i="2"/>
  <c r="BK823" i="2"/>
  <c r="W823" i="1"/>
  <c r="BJ823" i="2"/>
  <c r="BI823" i="2"/>
  <c r="BH823" i="2"/>
  <c r="T823" i="1"/>
  <c r="BG823" i="2"/>
  <c r="BF823" i="2"/>
  <c r="BE823" i="2"/>
  <c r="BD823" i="2"/>
  <c r="BC823" i="2"/>
  <c r="BB823" i="2"/>
  <c r="BA823" i="2"/>
  <c r="AZ823" i="2"/>
  <c r="AY823" i="2"/>
  <c r="AX823" i="2"/>
  <c r="J823" i="1"/>
  <c r="AW823" i="2"/>
  <c r="I823" i="1"/>
  <c r="AV823" i="2"/>
  <c r="AU823" i="2"/>
  <c r="AT823" i="2"/>
  <c r="AS823" i="2"/>
  <c r="AR823" i="2"/>
  <c r="AQ823" i="2"/>
  <c r="AP823" i="2"/>
  <c r="AO823" i="2"/>
  <c r="AL823" i="2"/>
  <c r="AK823" i="2"/>
  <c r="BQ822" i="2"/>
  <c r="BP822" i="2"/>
  <c r="AB822" i="1"/>
  <c r="BO822" i="2"/>
  <c r="AA822" i="1"/>
  <c r="BN822" i="2"/>
  <c r="BM822" i="2"/>
  <c r="BL822" i="2"/>
  <c r="BK822" i="2"/>
  <c r="W822" i="1"/>
  <c r="BJ822" i="2"/>
  <c r="BI822" i="2"/>
  <c r="BH822" i="2"/>
  <c r="T822" i="1"/>
  <c r="BG822" i="2"/>
  <c r="BF822" i="2"/>
  <c r="BE822" i="2"/>
  <c r="BD822" i="2"/>
  <c r="BC822" i="2"/>
  <c r="BB822" i="2"/>
  <c r="BA822" i="2"/>
  <c r="AZ822" i="2"/>
  <c r="AY822" i="2"/>
  <c r="AX822" i="2"/>
  <c r="J822" i="1"/>
  <c r="AW822" i="2"/>
  <c r="I822" i="1"/>
  <c r="AV822" i="2"/>
  <c r="AU822" i="2"/>
  <c r="AT822" i="2"/>
  <c r="AS822" i="2"/>
  <c r="AR822" i="2"/>
  <c r="AQ822" i="2"/>
  <c r="AP822" i="2"/>
  <c r="AO822" i="2"/>
  <c r="AL822" i="2"/>
  <c r="AK822" i="2"/>
  <c r="BQ821" i="2"/>
  <c r="BP821" i="2"/>
  <c r="AB821" i="1"/>
  <c r="BO821" i="2"/>
  <c r="AA821" i="1"/>
  <c r="BN821" i="2"/>
  <c r="BM821" i="2"/>
  <c r="BL821" i="2"/>
  <c r="BK821" i="2"/>
  <c r="W821" i="1"/>
  <c r="BJ821" i="2"/>
  <c r="BI821" i="2"/>
  <c r="BH821" i="2"/>
  <c r="T821" i="1"/>
  <c r="BG821" i="2"/>
  <c r="BF821" i="2"/>
  <c r="BE821" i="2"/>
  <c r="BD821" i="2"/>
  <c r="BC821" i="2"/>
  <c r="BB821" i="2"/>
  <c r="BA821" i="2"/>
  <c r="AZ821" i="2"/>
  <c r="AY821" i="2"/>
  <c r="AX821" i="2"/>
  <c r="J821" i="1"/>
  <c r="AW821" i="2"/>
  <c r="I821" i="1"/>
  <c r="AV821" i="2"/>
  <c r="AU821" i="2"/>
  <c r="AT821" i="2"/>
  <c r="AS821" i="2"/>
  <c r="AR821" i="2"/>
  <c r="AQ821" i="2"/>
  <c r="AP821" i="2"/>
  <c r="AO821" i="2"/>
  <c r="AL821" i="2"/>
  <c r="AK821" i="2"/>
  <c r="BQ820" i="2"/>
  <c r="BP820" i="2"/>
  <c r="AB820" i="1"/>
  <c r="BO820" i="2"/>
  <c r="AA820" i="1"/>
  <c r="BN820" i="2"/>
  <c r="BM820" i="2"/>
  <c r="BL820" i="2"/>
  <c r="BK820" i="2"/>
  <c r="W820" i="1"/>
  <c r="BJ820" i="2"/>
  <c r="BI820" i="2"/>
  <c r="BH820" i="2"/>
  <c r="T820" i="1"/>
  <c r="BG820" i="2"/>
  <c r="BF820" i="2"/>
  <c r="BE820" i="2"/>
  <c r="BD820" i="2"/>
  <c r="BC820" i="2"/>
  <c r="BB820" i="2"/>
  <c r="BA820" i="2"/>
  <c r="AZ820" i="2"/>
  <c r="AY820" i="2"/>
  <c r="AX820" i="2"/>
  <c r="J820" i="1"/>
  <c r="AW820" i="2"/>
  <c r="I820" i="1"/>
  <c r="AV820" i="2"/>
  <c r="AU820" i="2"/>
  <c r="AT820" i="2"/>
  <c r="AS820" i="2"/>
  <c r="AR820" i="2"/>
  <c r="AQ820" i="2"/>
  <c r="AP820" i="2"/>
  <c r="AO820" i="2"/>
  <c r="AL820" i="2"/>
  <c r="AK820" i="2"/>
  <c r="BQ819" i="2"/>
  <c r="BP819" i="2"/>
  <c r="AB819" i="1"/>
  <c r="BO819" i="2"/>
  <c r="AA819" i="1"/>
  <c r="BN819" i="2"/>
  <c r="BM819" i="2"/>
  <c r="BL819" i="2"/>
  <c r="BK819" i="2"/>
  <c r="W819" i="1"/>
  <c r="BJ819" i="2"/>
  <c r="BI819" i="2"/>
  <c r="BH819" i="2"/>
  <c r="T819" i="1"/>
  <c r="BG819" i="2"/>
  <c r="BF819" i="2"/>
  <c r="BE819" i="2"/>
  <c r="BD819" i="2"/>
  <c r="BC819" i="2"/>
  <c r="BB819" i="2"/>
  <c r="BA819" i="2"/>
  <c r="AZ819" i="2"/>
  <c r="AY819" i="2"/>
  <c r="AX819" i="2"/>
  <c r="J819" i="1"/>
  <c r="AW819" i="2"/>
  <c r="I819" i="1"/>
  <c r="AV819" i="2"/>
  <c r="AU819" i="2"/>
  <c r="AT819" i="2"/>
  <c r="AS819" i="2"/>
  <c r="AR819" i="2"/>
  <c r="AQ819" i="2"/>
  <c r="AP819" i="2"/>
  <c r="AO819" i="2"/>
  <c r="AL819" i="2"/>
  <c r="AK819" i="2"/>
  <c r="BQ818" i="2"/>
  <c r="BP818" i="2"/>
  <c r="AB818" i="1"/>
  <c r="BO818" i="2"/>
  <c r="AA818" i="1"/>
  <c r="BN818" i="2"/>
  <c r="BM818" i="2"/>
  <c r="BL818" i="2"/>
  <c r="BK818" i="2"/>
  <c r="W818" i="1"/>
  <c r="BJ818" i="2"/>
  <c r="BI818" i="2"/>
  <c r="BH818" i="2"/>
  <c r="T818" i="1"/>
  <c r="BG818" i="2"/>
  <c r="BF818" i="2"/>
  <c r="BE818" i="2"/>
  <c r="BD818" i="2"/>
  <c r="BC818" i="2"/>
  <c r="BB818" i="2"/>
  <c r="BA818" i="2"/>
  <c r="AZ818" i="2"/>
  <c r="AY818" i="2"/>
  <c r="AX818" i="2"/>
  <c r="J818" i="1"/>
  <c r="AW818" i="2"/>
  <c r="I818" i="1"/>
  <c r="AV818" i="2"/>
  <c r="AU818" i="2"/>
  <c r="AT818" i="2"/>
  <c r="AS818" i="2"/>
  <c r="AR818" i="2"/>
  <c r="AQ818" i="2"/>
  <c r="AP818" i="2"/>
  <c r="AO818" i="2"/>
  <c r="AL818" i="2"/>
  <c r="AK818" i="2"/>
  <c r="BQ817" i="2"/>
  <c r="BP817" i="2"/>
  <c r="AB817" i="1"/>
  <c r="BO817" i="2"/>
  <c r="AA817" i="1"/>
  <c r="BN817" i="2"/>
  <c r="BM817" i="2"/>
  <c r="BL817" i="2"/>
  <c r="BK817" i="2"/>
  <c r="W817" i="1"/>
  <c r="BJ817" i="2"/>
  <c r="BI817" i="2"/>
  <c r="BH817" i="2"/>
  <c r="T817" i="1"/>
  <c r="BG817" i="2"/>
  <c r="BF817" i="2"/>
  <c r="BE817" i="2"/>
  <c r="BD817" i="2"/>
  <c r="BC817" i="2"/>
  <c r="BB817" i="2"/>
  <c r="BA817" i="2"/>
  <c r="AZ817" i="2"/>
  <c r="AY817" i="2"/>
  <c r="AX817" i="2"/>
  <c r="J817" i="1"/>
  <c r="AW817" i="2"/>
  <c r="I817" i="1"/>
  <c r="AV817" i="2"/>
  <c r="AU817" i="2"/>
  <c r="AT817" i="2"/>
  <c r="AS817" i="2"/>
  <c r="AR817" i="2"/>
  <c r="AQ817" i="2"/>
  <c r="AP817" i="2"/>
  <c r="AO817" i="2"/>
  <c r="AL817" i="2"/>
  <c r="AK817" i="2"/>
  <c r="BQ816" i="2"/>
  <c r="BP816" i="2"/>
  <c r="AB816" i="1"/>
  <c r="BO816" i="2"/>
  <c r="AA816" i="1"/>
  <c r="BN816" i="2"/>
  <c r="BM816" i="2"/>
  <c r="BL816" i="2"/>
  <c r="BK816" i="2"/>
  <c r="W816" i="1"/>
  <c r="BJ816" i="2"/>
  <c r="BI816" i="2"/>
  <c r="BH816" i="2"/>
  <c r="T816" i="1"/>
  <c r="BG816" i="2"/>
  <c r="BF816" i="2"/>
  <c r="BE816" i="2"/>
  <c r="BD816" i="2"/>
  <c r="BC816" i="2"/>
  <c r="BB816" i="2"/>
  <c r="BA816" i="2"/>
  <c r="AZ816" i="2"/>
  <c r="AY816" i="2"/>
  <c r="AX816" i="2"/>
  <c r="J816" i="1"/>
  <c r="AW816" i="2"/>
  <c r="I816" i="1"/>
  <c r="AV816" i="2"/>
  <c r="AU816" i="2"/>
  <c r="AT816" i="2"/>
  <c r="AS816" i="2"/>
  <c r="AR816" i="2"/>
  <c r="AQ816" i="2"/>
  <c r="AP816" i="2"/>
  <c r="AO816" i="2"/>
  <c r="AL816" i="2"/>
  <c r="AK816" i="2"/>
  <c r="BQ815" i="2"/>
  <c r="BP815" i="2"/>
  <c r="AB815" i="1"/>
  <c r="BO815" i="2"/>
  <c r="AA815" i="1"/>
  <c r="BN815" i="2"/>
  <c r="BM815" i="2"/>
  <c r="BL815" i="2"/>
  <c r="BK815" i="2"/>
  <c r="W815" i="1"/>
  <c r="BJ815" i="2"/>
  <c r="BI815" i="2"/>
  <c r="BH815" i="2"/>
  <c r="T815" i="1"/>
  <c r="BG815" i="2"/>
  <c r="BF815" i="2"/>
  <c r="BE815" i="2"/>
  <c r="BD815" i="2"/>
  <c r="BC815" i="2"/>
  <c r="BB815" i="2"/>
  <c r="BA815" i="2"/>
  <c r="AZ815" i="2"/>
  <c r="AY815" i="2"/>
  <c r="AX815" i="2"/>
  <c r="J815" i="1"/>
  <c r="AW815" i="2"/>
  <c r="I815" i="1"/>
  <c r="AV815" i="2"/>
  <c r="AU815" i="2"/>
  <c r="AT815" i="2"/>
  <c r="AS815" i="2"/>
  <c r="AR815" i="2"/>
  <c r="AQ815" i="2"/>
  <c r="AP815" i="2"/>
  <c r="AO815" i="2"/>
  <c r="AL815" i="2"/>
  <c r="AK815" i="2"/>
  <c r="BQ814" i="2"/>
  <c r="BP814" i="2"/>
  <c r="AB814" i="1"/>
  <c r="BO814" i="2"/>
  <c r="AA814" i="1"/>
  <c r="BN814" i="2"/>
  <c r="BM814" i="2"/>
  <c r="BL814" i="2"/>
  <c r="BK814" i="2"/>
  <c r="W814" i="1"/>
  <c r="BJ814" i="2"/>
  <c r="BI814" i="2"/>
  <c r="BH814" i="2"/>
  <c r="T814" i="1"/>
  <c r="BG814" i="2"/>
  <c r="BF814" i="2"/>
  <c r="BE814" i="2"/>
  <c r="BD814" i="2"/>
  <c r="BC814" i="2"/>
  <c r="BB814" i="2"/>
  <c r="BA814" i="2"/>
  <c r="AZ814" i="2"/>
  <c r="AY814" i="2"/>
  <c r="AX814" i="2"/>
  <c r="J814" i="1"/>
  <c r="AW814" i="2"/>
  <c r="I814" i="1"/>
  <c r="AV814" i="2"/>
  <c r="AU814" i="2"/>
  <c r="AT814" i="2"/>
  <c r="AS814" i="2"/>
  <c r="AR814" i="2"/>
  <c r="AQ814" i="2"/>
  <c r="AP814" i="2"/>
  <c r="AO814" i="2"/>
  <c r="AL814" i="2"/>
  <c r="AK814" i="2"/>
  <c r="BQ813" i="2"/>
  <c r="BP813" i="2"/>
  <c r="AB813" i="1"/>
  <c r="BO813" i="2"/>
  <c r="AA813" i="1"/>
  <c r="BN813" i="2"/>
  <c r="BM813" i="2"/>
  <c r="BL813" i="2"/>
  <c r="BK813" i="2"/>
  <c r="W813" i="1"/>
  <c r="BJ813" i="2"/>
  <c r="BI813" i="2"/>
  <c r="BH813" i="2"/>
  <c r="T813" i="1"/>
  <c r="BG813" i="2"/>
  <c r="BF813" i="2"/>
  <c r="BE813" i="2"/>
  <c r="BD813" i="2"/>
  <c r="BC813" i="2"/>
  <c r="BB813" i="2"/>
  <c r="BA813" i="2"/>
  <c r="AZ813" i="2"/>
  <c r="AY813" i="2"/>
  <c r="AX813" i="2"/>
  <c r="J813" i="1"/>
  <c r="AW813" i="2"/>
  <c r="I813" i="1"/>
  <c r="AV813" i="2"/>
  <c r="AU813" i="2"/>
  <c r="AT813" i="2"/>
  <c r="AS813" i="2"/>
  <c r="AR813" i="2"/>
  <c r="AQ813" i="2"/>
  <c r="AP813" i="2"/>
  <c r="AO813" i="2"/>
  <c r="AL813" i="2"/>
  <c r="AK813" i="2"/>
  <c r="BQ812" i="2"/>
  <c r="BP812" i="2"/>
  <c r="AB812" i="1"/>
  <c r="BO812" i="2"/>
  <c r="AA812" i="1"/>
  <c r="BN812" i="2"/>
  <c r="BM812" i="2"/>
  <c r="BL812" i="2"/>
  <c r="BK812" i="2"/>
  <c r="W812" i="1"/>
  <c r="BJ812" i="2"/>
  <c r="BI812" i="2"/>
  <c r="BH812" i="2"/>
  <c r="T812" i="1"/>
  <c r="BG812" i="2"/>
  <c r="BF812" i="2"/>
  <c r="BE812" i="2"/>
  <c r="BD812" i="2"/>
  <c r="BC812" i="2"/>
  <c r="BB812" i="2"/>
  <c r="BA812" i="2"/>
  <c r="AZ812" i="2"/>
  <c r="AY812" i="2"/>
  <c r="AX812" i="2"/>
  <c r="J812" i="1"/>
  <c r="AW812" i="2"/>
  <c r="I812" i="1"/>
  <c r="AV812" i="2"/>
  <c r="AU812" i="2"/>
  <c r="AT812" i="2"/>
  <c r="AS812" i="2"/>
  <c r="AR812" i="2"/>
  <c r="AQ812" i="2"/>
  <c r="AP812" i="2"/>
  <c r="AO812" i="2"/>
  <c r="AL812" i="2"/>
  <c r="AK812" i="2"/>
  <c r="BQ811" i="2"/>
  <c r="BP811" i="2"/>
  <c r="AB811" i="1"/>
  <c r="BO811" i="2"/>
  <c r="AA811" i="1"/>
  <c r="BN811" i="2"/>
  <c r="BM811" i="2"/>
  <c r="BL811" i="2"/>
  <c r="BK811" i="2"/>
  <c r="W811" i="1"/>
  <c r="BJ811" i="2"/>
  <c r="BI811" i="2"/>
  <c r="BH811" i="2"/>
  <c r="T811" i="1"/>
  <c r="BG811" i="2"/>
  <c r="BF811" i="2"/>
  <c r="BE811" i="2"/>
  <c r="BD811" i="2"/>
  <c r="BC811" i="2"/>
  <c r="BB811" i="2"/>
  <c r="BA811" i="2"/>
  <c r="AZ811" i="2"/>
  <c r="AY811" i="2"/>
  <c r="AX811" i="2"/>
  <c r="J811" i="1"/>
  <c r="AW811" i="2"/>
  <c r="I811" i="1"/>
  <c r="AV811" i="2"/>
  <c r="AU811" i="2"/>
  <c r="AT811" i="2"/>
  <c r="AS811" i="2"/>
  <c r="AR811" i="2"/>
  <c r="AQ811" i="2"/>
  <c r="AP811" i="2"/>
  <c r="AO811" i="2"/>
  <c r="AL811" i="2"/>
  <c r="AK811" i="2"/>
  <c r="BQ810" i="2"/>
  <c r="BP810" i="2"/>
  <c r="AB810" i="1"/>
  <c r="BO810" i="2"/>
  <c r="AA810" i="1"/>
  <c r="BN810" i="2"/>
  <c r="BM810" i="2"/>
  <c r="BL810" i="2"/>
  <c r="BK810" i="2"/>
  <c r="W810" i="1"/>
  <c r="BJ810" i="2"/>
  <c r="BI810" i="2"/>
  <c r="BH810" i="2"/>
  <c r="T810" i="1"/>
  <c r="BG810" i="2"/>
  <c r="BF810" i="2"/>
  <c r="BE810" i="2"/>
  <c r="BD810" i="2"/>
  <c r="BC810" i="2"/>
  <c r="BB810" i="2"/>
  <c r="BA810" i="2"/>
  <c r="AZ810" i="2"/>
  <c r="AY810" i="2"/>
  <c r="AX810" i="2"/>
  <c r="J810" i="1"/>
  <c r="AW810" i="2"/>
  <c r="I810" i="1"/>
  <c r="AV810" i="2"/>
  <c r="AU810" i="2"/>
  <c r="AT810" i="2"/>
  <c r="AS810" i="2"/>
  <c r="AR810" i="2"/>
  <c r="AQ810" i="2"/>
  <c r="AP810" i="2"/>
  <c r="AO810" i="2"/>
  <c r="AL810" i="2"/>
  <c r="AK810" i="2"/>
  <c r="BQ809" i="2"/>
  <c r="BP809" i="2"/>
  <c r="AB809" i="1"/>
  <c r="BO809" i="2"/>
  <c r="AA809" i="1"/>
  <c r="BN809" i="2"/>
  <c r="BM809" i="2"/>
  <c r="BL809" i="2"/>
  <c r="BK809" i="2"/>
  <c r="W809" i="1"/>
  <c r="BJ809" i="2"/>
  <c r="BI809" i="2"/>
  <c r="BH809" i="2"/>
  <c r="T809" i="1"/>
  <c r="BG809" i="2"/>
  <c r="BF809" i="2"/>
  <c r="BE809" i="2"/>
  <c r="BD809" i="2"/>
  <c r="BC809" i="2"/>
  <c r="BB809" i="2"/>
  <c r="BA809" i="2"/>
  <c r="AZ809" i="2"/>
  <c r="AY809" i="2"/>
  <c r="AX809" i="2"/>
  <c r="J809" i="1"/>
  <c r="AW809" i="2"/>
  <c r="I809" i="1"/>
  <c r="AV809" i="2"/>
  <c r="AU809" i="2"/>
  <c r="AT809" i="2"/>
  <c r="AS809" i="2"/>
  <c r="AR809" i="2"/>
  <c r="AQ809" i="2"/>
  <c r="AP809" i="2"/>
  <c r="AO809" i="2"/>
  <c r="AL809" i="2"/>
  <c r="AK809" i="2"/>
  <c r="BQ808" i="2"/>
  <c r="BP808" i="2"/>
  <c r="AB808" i="1"/>
  <c r="BO808" i="2"/>
  <c r="AA808" i="1"/>
  <c r="BN808" i="2"/>
  <c r="BM808" i="2"/>
  <c r="BL808" i="2"/>
  <c r="BK808" i="2"/>
  <c r="W808" i="1"/>
  <c r="BJ808" i="2"/>
  <c r="BI808" i="2"/>
  <c r="BH808" i="2"/>
  <c r="T808" i="1"/>
  <c r="BG808" i="2"/>
  <c r="BF808" i="2"/>
  <c r="BE808" i="2"/>
  <c r="BD808" i="2"/>
  <c r="BC808" i="2"/>
  <c r="BB808" i="2"/>
  <c r="BA808" i="2"/>
  <c r="AZ808" i="2"/>
  <c r="AY808" i="2"/>
  <c r="AX808" i="2"/>
  <c r="J808" i="1"/>
  <c r="AW808" i="2"/>
  <c r="I808" i="1"/>
  <c r="AV808" i="2"/>
  <c r="AU808" i="2"/>
  <c r="AT808" i="2"/>
  <c r="AS808" i="2"/>
  <c r="AR808" i="2"/>
  <c r="AQ808" i="2"/>
  <c r="AP808" i="2"/>
  <c r="AO808" i="2"/>
  <c r="AL808" i="2"/>
  <c r="AK808" i="2"/>
  <c r="BQ807" i="2"/>
  <c r="BP807" i="2"/>
  <c r="AB807" i="1"/>
  <c r="BO807" i="2"/>
  <c r="AA807" i="1"/>
  <c r="BN807" i="2"/>
  <c r="BM807" i="2"/>
  <c r="BL807" i="2"/>
  <c r="BK807" i="2"/>
  <c r="W807" i="1"/>
  <c r="BJ807" i="2"/>
  <c r="BI807" i="2"/>
  <c r="BH807" i="2"/>
  <c r="T807" i="1"/>
  <c r="BG807" i="2"/>
  <c r="BF807" i="2"/>
  <c r="BE807" i="2"/>
  <c r="BD807" i="2"/>
  <c r="BC807" i="2"/>
  <c r="BB807" i="2"/>
  <c r="BA807" i="2"/>
  <c r="AZ807" i="2"/>
  <c r="AY807" i="2"/>
  <c r="AX807" i="2"/>
  <c r="J807" i="1"/>
  <c r="AW807" i="2"/>
  <c r="I807" i="1"/>
  <c r="AV807" i="2"/>
  <c r="AU807" i="2"/>
  <c r="AT807" i="2"/>
  <c r="AS807" i="2"/>
  <c r="AR807" i="2"/>
  <c r="AQ807" i="2"/>
  <c r="AP807" i="2"/>
  <c r="AO807" i="2"/>
  <c r="AL807" i="2"/>
  <c r="AK807" i="2"/>
  <c r="BQ806" i="2"/>
  <c r="BP806" i="2"/>
  <c r="AB806" i="1"/>
  <c r="BO806" i="2"/>
  <c r="AA806" i="1"/>
  <c r="BN806" i="2"/>
  <c r="BM806" i="2"/>
  <c r="BL806" i="2"/>
  <c r="BK806" i="2"/>
  <c r="W806" i="1"/>
  <c r="BJ806" i="2"/>
  <c r="BI806" i="2"/>
  <c r="BH806" i="2"/>
  <c r="T806" i="1"/>
  <c r="BG806" i="2"/>
  <c r="BF806" i="2"/>
  <c r="BE806" i="2"/>
  <c r="BD806" i="2"/>
  <c r="BC806" i="2"/>
  <c r="BB806" i="2"/>
  <c r="BA806" i="2"/>
  <c r="AZ806" i="2"/>
  <c r="AY806" i="2"/>
  <c r="AX806" i="2"/>
  <c r="J806" i="1"/>
  <c r="AW806" i="2"/>
  <c r="I806" i="1"/>
  <c r="AV806" i="2"/>
  <c r="AU806" i="2"/>
  <c r="AT806" i="2"/>
  <c r="AS806" i="2"/>
  <c r="AR806" i="2"/>
  <c r="AQ806" i="2"/>
  <c r="AP806" i="2"/>
  <c r="AO806" i="2"/>
  <c r="AL806" i="2"/>
  <c r="AK806" i="2"/>
  <c r="BQ805" i="2"/>
  <c r="BP805" i="2"/>
  <c r="AB805" i="1"/>
  <c r="BO805" i="2"/>
  <c r="AA805" i="1"/>
  <c r="BN805" i="2"/>
  <c r="BM805" i="2"/>
  <c r="BL805" i="2"/>
  <c r="BK805" i="2"/>
  <c r="W805" i="1"/>
  <c r="BJ805" i="2"/>
  <c r="BI805" i="2"/>
  <c r="BH805" i="2"/>
  <c r="T805" i="1"/>
  <c r="BG805" i="2"/>
  <c r="BF805" i="2"/>
  <c r="BE805" i="2"/>
  <c r="BD805" i="2"/>
  <c r="BC805" i="2"/>
  <c r="BB805" i="2"/>
  <c r="BA805" i="2"/>
  <c r="AZ805" i="2"/>
  <c r="AY805" i="2"/>
  <c r="AX805" i="2"/>
  <c r="J805" i="1"/>
  <c r="AW805" i="2"/>
  <c r="I805" i="1"/>
  <c r="AV805" i="2"/>
  <c r="AU805" i="2"/>
  <c r="AT805" i="2"/>
  <c r="AS805" i="2"/>
  <c r="AR805" i="2"/>
  <c r="AQ805" i="2"/>
  <c r="AP805" i="2"/>
  <c r="AO805" i="2"/>
  <c r="AL805" i="2"/>
  <c r="AK805" i="2"/>
  <c r="BQ804" i="2"/>
  <c r="BP804" i="2"/>
  <c r="AB804" i="1"/>
  <c r="BO804" i="2"/>
  <c r="AA804" i="1"/>
  <c r="BN804" i="2"/>
  <c r="BM804" i="2"/>
  <c r="BL804" i="2"/>
  <c r="BK804" i="2"/>
  <c r="W804" i="1"/>
  <c r="BJ804" i="2"/>
  <c r="BI804" i="2"/>
  <c r="BH804" i="2"/>
  <c r="T804" i="1"/>
  <c r="BG804" i="2"/>
  <c r="BF804" i="2"/>
  <c r="BE804" i="2"/>
  <c r="BD804" i="2"/>
  <c r="BC804" i="2"/>
  <c r="BB804" i="2"/>
  <c r="BA804" i="2"/>
  <c r="AZ804" i="2"/>
  <c r="AY804" i="2"/>
  <c r="AX804" i="2"/>
  <c r="J804" i="1"/>
  <c r="AW804" i="2"/>
  <c r="I804" i="1"/>
  <c r="AV804" i="2"/>
  <c r="AU804" i="2"/>
  <c r="AT804" i="2"/>
  <c r="AS804" i="2"/>
  <c r="AR804" i="2"/>
  <c r="AQ804" i="2"/>
  <c r="AP804" i="2"/>
  <c r="AO804" i="2"/>
  <c r="AL804" i="2"/>
  <c r="AK804" i="2"/>
  <c r="BQ803" i="2"/>
  <c r="BP803" i="2"/>
  <c r="AB803" i="1"/>
  <c r="BO803" i="2"/>
  <c r="AA803" i="1"/>
  <c r="BN803" i="2"/>
  <c r="BM803" i="2"/>
  <c r="BL803" i="2"/>
  <c r="BK803" i="2"/>
  <c r="W803" i="1"/>
  <c r="BJ803" i="2"/>
  <c r="BI803" i="2"/>
  <c r="BH803" i="2"/>
  <c r="T803" i="1"/>
  <c r="BG803" i="2"/>
  <c r="BF803" i="2"/>
  <c r="BE803" i="2"/>
  <c r="BD803" i="2"/>
  <c r="BC803" i="2"/>
  <c r="BB803" i="2"/>
  <c r="BA803" i="2"/>
  <c r="AZ803" i="2"/>
  <c r="AY803" i="2"/>
  <c r="AX803" i="2"/>
  <c r="J803" i="1"/>
  <c r="AW803" i="2"/>
  <c r="I803" i="1"/>
  <c r="AV803" i="2"/>
  <c r="AU803" i="2"/>
  <c r="AT803" i="2"/>
  <c r="AS803" i="2"/>
  <c r="AR803" i="2"/>
  <c r="AQ803" i="2"/>
  <c r="AP803" i="2"/>
  <c r="AO803" i="2"/>
  <c r="AL803" i="2"/>
  <c r="AK803" i="2"/>
  <c r="BQ802" i="2"/>
  <c r="BP802" i="2"/>
  <c r="AB802" i="1"/>
  <c r="BO802" i="2"/>
  <c r="AA802" i="1"/>
  <c r="BN802" i="2"/>
  <c r="BM802" i="2"/>
  <c r="BL802" i="2"/>
  <c r="BK802" i="2"/>
  <c r="W802" i="1"/>
  <c r="BJ802" i="2"/>
  <c r="BI802" i="2"/>
  <c r="BH802" i="2"/>
  <c r="T802" i="1"/>
  <c r="BG802" i="2"/>
  <c r="BF802" i="2"/>
  <c r="BE802" i="2"/>
  <c r="BD802" i="2"/>
  <c r="BC802" i="2"/>
  <c r="BB802" i="2"/>
  <c r="BA802" i="2"/>
  <c r="AZ802" i="2"/>
  <c r="AY802" i="2"/>
  <c r="AX802" i="2"/>
  <c r="J802" i="1"/>
  <c r="AW802" i="2"/>
  <c r="I802" i="1"/>
  <c r="AV802" i="2"/>
  <c r="AU802" i="2"/>
  <c r="AT802" i="2"/>
  <c r="AS802" i="2"/>
  <c r="AR802" i="2"/>
  <c r="AQ802" i="2"/>
  <c r="AP802" i="2"/>
  <c r="AO802" i="2"/>
  <c r="AL802" i="2"/>
  <c r="AK802" i="2"/>
  <c r="BQ801" i="2"/>
  <c r="BP801" i="2"/>
  <c r="AB801" i="1"/>
  <c r="BO801" i="2"/>
  <c r="AA801" i="1"/>
  <c r="BN801" i="2"/>
  <c r="BM801" i="2"/>
  <c r="BL801" i="2"/>
  <c r="BK801" i="2"/>
  <c r="W801" i="1"/>
  <c r="BJ801" i="2"/>
  <c r="BI801" i="2"/>
  <c r="BH801" i="2"/>
  <c r="T801" i="1"/>
  <c r="BG801" i="2"/>
  <c r="BF801" i="2"/>
  <c r="BE801" i="2"/>
  <c r="BD801" i="2"/>
  <c r="BC801" i="2"/>
  <c r="BB801" i="2"/>
  <c r="BA801" i="2"/>
  <c r="AZ801" i="2"/>
  <c r="AY801" i="2"/>
  <c r="AX801" i="2"/>
  <c r="J801" i="1"/>
  <c r="AW801" i="2"/>
  <c r="I801" i="1"/>
  <c r="AV801" i="2"/>
  <c r="AU801" i="2"/>
  <c r="AT801" i="2"/>
  <c r="AS801" i="2"/>
  <c r="AR801" i="2"/>
  <c r="AQ801" i="2"/>
  <c r="AP801" i="2"/>
  <c r="AO801" i="2"/>
  <c r="AL801" i="2"/>
  <c r="AK801" i="2"/>
  <c r="BQ800" i="2"/>
  <c r="BP800" i="2"/>
  <c r="AB800" i="1"/>
  <c r="BO800" i="2"/>
  <c r="AA800" i="1"/>
  <c r="BN800" i="2"/>
  <c r="BM800" i="2"/>
  <c r="BL800" i="2"/>
  <c r="BK800" i="2"/>
  <c r="W800" i="1"/>
  <c r="BJ800" i="2"/>
  <c r="BI800" i="2"/>
  <c r="BH800" i="2"/>
  <c r="T800" i="1"/>
  <c r="BG800" i="2"/>
  <c r="BF800" i="2"/>
  <c r="BE800" i="2"/>
  <c r="BD800" i="2"/>
  <c r="BC800" i="2"/>
  <c r="BB800" i="2"/>
  <c r="BA800" i="2"/>
  <c r="AZ800" i="2"/>
  <c r="AY800" i="2"/>
  <c r="AX800" i="2"/>
  <c r="J800" i="1"/>
  <c r="AW800" i="2"/>
  <c r="I800" i="1"/>
  <c r="AV800" i="2"/>
  <c r="AU800" i="2"/>
  <c r="AT800" i="2"/>
  <c r="AS800" i="2"/>
  <c r="AR800" i="2"/>
  <c r="AQ800" i="2"/>
  <c r="AP800" i="2"/>
  <c r="AO800" i="2"/>
  <c r="AL800" i="2"/>
  <c r="AK800" i="2"/>
  <c r="BQ799" i="2"/>
  <c r="BP799" i="2"/>
  <c r="AB799" i="1"/>
  <c r="BO799" i="2"/>
  <c r="AA799" i="1"/>
  <c r="BN799" i="2"/>
  <c r="BM799" i="2"/>
  <c r="BL799" i="2"/>
  <c r="BK799" i="2"/>
  <c r="W799" i="1"/>
  <c r="BJ799" i="2"/>
  <c r="BI799" i="2"/>
  <c r="BH799" i="2"/>
  <c r="T799" i="1"/>
  <c r="BG799" i="2"/>
  <c r="BF799" i="2"/>
  <c r="BE799" i="2"/>
  <c r="BD799" i="2"/>
  <c r="BC799" i="2"/>
  <c r="BB799" i="2"/>
  <c r="BA799" i="2"/>
  <c r="AZ799" i="2"/>
  <c r="AY799" i="2"/>
  <c r="AX799" i="2"/>
  <c r="J799" i="1"/>
  <c r="AW799" i="2"/>
  <c r="I799" i="1"/>
  <c r="AV799" i="2"/>
  <c r="AU799" i="2"/>
  <c r="AT799" i="2"/>
  <c r="AS799" i="2"/>
  <c r="AR799" i="2"/>
  <c r="AQ799" i="2"/>
  <c r="AP799" i="2"/>
  <c r="AO799" i="2"/>
  <c r="AL799" i="2"/>
  <c r="AK799" i="2"/>
  <c r="BQ798" i="2"/>
  <c r="BP798" i="2"/>
  <c r="AB798" i="1"/>
  <c r="BO798" i="2"/>
  <c r="AA798" i="1"/>
  <c r="BN798" i="2"/>
  <c r="BM798" i="2"/>
  <c r="BL798" i="2"/>
  <c r="BK798" i="2"/>
  <c r="W798" i="1"/>
  <c r="BJ798" i="2"/>
  <c r="BI798" i="2"/>
  <c r="BH798" i="2"/>
  <c r="T798" i="1"/>
  <c r="BG798" i="2"/>
  <c r="BF798" i="2"/>
  <c r="BE798" i="2"/>
  <c r="BD798" i="2"/>
  <c r="BC798" i="2"/>
  <c r="BB798" i="2"/>
  <c r="BA798" i="2"/>
  <c r="AZ798" i="2"/>
  <c r="AY798" i="2"/>
  <c r="AX798" i="2"/>
  <c r="J798" i="1"/>
  <c r="AW798" i="2"/>
  <c r="I798" i="1"/>
  <c r="AV798" i="2"/>
  <c r="AU798" i="2"/>
  <c r="AT798" i="2"/>
  <c r="AS798" i="2"/>
  <c r="AR798" i="2"/>
  <c r="AQ798" i="2"/>
  <c r="AP798" i="2"/>
  <c r="AO798" i="2"/>
  <c r="AL798" i="2"/>
  <c r="AK798" i="2"/>
  <c r="BQ797" i="2"/>
  <c r="BP797" i="2"/>
  <c r="AB797" i="1"/>
  <c r="BO797" i="2"/>
  <c r="AA797" i="1"/>
  <c r="BN797" i="2"/>
  <c r="BM797" i="2"/>
  <c r="BL797" i="2"/>
  <c r="BK797" i="2"/>
  <c r="W797" i="1"/>
  <c r="BJ797" i="2"/>
  <c r="BI797" i="2"/>
  <c r="BH797" i="2"/>
  <c r="T797" i="1"/>
  <c r="BG797" i="2"/>
  <c r="BF797" i="2"/>
  <c r="BE797" i="2"/>
  <c r="BD797" i="2"/>
  <c r="BC797" i="2"/>
  <c r="BB797" i="2"/>
  <c r="BA797" i="2"/>
  <c r="AZ797" i="2"/>
  <c r="AY797" i="2"/>
  <c r="AX797" i="2"/>
  <c r="J797" i="1"/>
  <c r="AW797" i="2"/>
  <c r="I797" i="1"/>
  <c r="AV797" i="2"/>
  <c r="AU797" i="2"/>
  <c r="AT797" i="2"/>
  <c r="AS797" i="2"/>
  <c r="AR797" i="2"/>
  <c r="AQ797" i="2"/>
  <c r="AP797" i="2"/>
  <c r="AO797" i="2"/>
  <c r="AL797" i="2"/>
  <c r="AK797" i="2"/>
  <c r="BQ796" i="2"/>
  <c r="BP796" i="2"/>
  <c r="AB796" i="1"/>
  <c r="BO796" i="2"/>
  <c r="AA796" i="1"/>
  <c r="BN796" i="2"/>
  <c r="BM796" i="2"/>
  <c r="BL796" i="2"/>
  <c r="BK796" i="2"/>
  <c r="W796" i="1"/>
  <c r="BJ796" i="2"/>
  <c r="BI796" i="2"/>
  <c r="BH796" i="2"/>
  <c r="T796" i="1"/>
  <c r="BG796" i="2"/>
  <c r="BF796" i="2"/>
  <c r="BE796" i="2"/>
  <c r="BD796" i="2"/>
  <c r="BC796" i="2"/>
  <c r="BB796" i="2"/>
  <c r="BA796" i="2"/>
  <c r="AZ796" i="2"/>
  <c r="AY796" i="2"/>
  <c r="AX796" i="2"/>
  <c r="J796" i="1"/>
  <c r="AW796" i="2"/>
  <c r="I796" i="1"/>
  <c r="AV796" i="2"/>
  <c r="AU796" i="2"/>
  <c r="AT796" i="2"/>
  <c r="AS796" i="2"/>
  <c r="AR796" i="2"/>
  <c r="AQ796" i="2"/>
  <c r="AP796" i="2"/>
  <c r="AO796" i="2"/>
  <c r="AL796" i="2"/>
  <c r="AK796" i="2"/>
  <c r="BQ795" i="2"/>
  <c r="BP795" i="2"/>
  <c r="AB795" i="1"/>
  <c r="BO795" i="2"/>
  <c r="AA795" i="1"/>
  <c r="BN795" i="2"/>
  <c r="BM795" i="2"/>
  <c r="BL795" i="2"/>
  <c r="BK795" i="2"/>
  <c r="W795" i="1"/>
  <c r="BJ795" i="2"/>
  <c r="BI795" i="2"/>
  <c r="BH795" i="2"/>
  <c r="T795" i="1"/>
  <c r="BG795" i="2"/>
  <c r="BF795" i="2"/>
  <c r="BE795" i="2"/>
  <c r="BD795" i="2"/>
  <c r="BC795" i="2"/>
  <c r="BB795" i="2"/>
  <c r="BA795" i="2"/>
  <c r="AZ795" i="2"/>
  <c r="AY795" i="2"/>
  <c r="AX795" i="2"/>
  <c r="J795" i="1"/>
  <c r="AW795" i="2"/>
  <c r="I795" i="1"/>
  <c r="AV795" i="2"/>
  <c r="AU795" i="2"/>
  <c r="AT795" i="2"/>
  <c r="AS795" i="2"/>
  <c r="AR795" i="2"/>
  <c r="AQ795" i="2"/>
  <c r="AP795" i="2"/>
  <c r="AO795" i="2"/>
  <c r="AL795" i="2"/>
  <c r="AK795" i="2"/>
  <c r="BQ794" i="2"/>
  <c r="BP794" i="2"/>
  <c r="AB794" i="1"/>
  <c r="BO794" i="2"/>
  <c r="AA794" i="1"/>
  <c r="BN794" i="2"/>
  <c r="BM794" i="2"/>
  <c r="BL794" i="2"/>
  <c r="BK794" i="2"/>
  <c r="W794" i="1"/>
  <c r="BJ794" i="2"/>
  <c r="BI794" i="2"/>
  <c r="BH794" i="2"/>
  <c r="T794" i="1"/>
  <c r="BG794" i="2"/>
  <c r="BF794" i="2"/>
  <c r="BE794" i="2"/>
  <c r="BD794" i="2"/>
  <c r="BC794" i="2"/>
  <c r="BB794" i="2"/>
  <c r="BA794" i="2"/>
  <c r="AZ794" i="2"/>
  <c r="AY794" i="2"/>
  <c r="AX794" i="2"/>
  <c r="J794" i="1"/>
  <c r="AW794" i="2"/>
  <c r="I794" i="1"/>
  <c r="AV794" i="2"/>
  <c r="AU794" i="2"/>
  <c r="AT794" i="2"/>
  <c r="AS794" i="2"/>
  <c r="AR794" i="2"/>
  <c r="AQ794" i="2"/>
  <c r="AP794" i="2"/>
  <c r="AO794" i="2"/>
  <c r="AL794" i="2"/>
  <c r="AK794" i="2"/>
  <c r="BQ793" i="2"/>
  <c r="BP793" i="2"/>
  <c r="AB793" i="1"/>
  <c r="BO793" i="2"/>
  <c r="AA793" i="1"/>
  <c r="BN793" i="2"/>
  <c r="BM793" i="2"/>
  <c r="BL793" i="2"/>
  <c r="BK793" i="2"/>
  <c r="W793" i="1"/>
  <c r="BJ793" i="2"/>
  <c r="BI793" i="2"/>
  <c r="BH793" i="2"/>
  <c r="T793" i="1"/>
  <c r="BG793" i="2"/>
  <c r="BF793" i="2"/>
  <c r="BE793" i="2"/>
  <c r="BD793" i="2"/>
  <c r="BC793" i="2"/>
  <c r="BB793" i="2"/>
  <c r="BA793" i="2"/>
  <c r="AZ793" i="2"/>
  <c r="AY793" i="2"/>
  <c r="AX793" i="2"/>
  <c r="J793" i="1"/>
  <c r="AW793" i="2"/>
  <c r="I793" i="1"/>
  <c r="AV793" i="2"/>
  <c r="AU793" i="2"/>
  <c r="AT793" i="2"/>
  <c r="AS793" i="2"/>
  <c r="AR793" i="2"/>
  <c r="AQ793" i="2"/>
  <c r="AP793" i="2"/>
  <c r="AO793" i="2"/>
  <c r="AL793" i="2"/>
  <c r="AK793" i="2"/>
  <c r="BQ792" i="2"/>
  <c r="BP792" i="2"/>
  <c r="AB792" i="1"/>
  <c r="BO792" i="2"/>
  <c r="AA792" i="1"/>
  <c r="BN792" i="2"/>
  <c r="BM792" i="2"/>
  <c r="BL792" i="2"/>
  <c r="BK792" i="2"/>
  <c r="W792" i="1"/>
  <c r="BJ792" i="2"/>
  <c r="BI792" i="2"/>
  <c r="BH792" i="2"/>
  <c r="T792" i="1"/>
  <c r="BG792" i="2"/>
  <c r="BF792" i="2"/>
  <c r="BE792" i="2"/>
  <c r="BD792" i="2"/>
  <c r="BC792" i="2"/>
  <c r="BB792" i="2"/>
  <c r="BA792" i="2"/>
  <c r="AZ792" i="2"/>
  <c r="AY792" i="2"/>
  <c r="AX792" i="2"/>
  <c r="J792" i="1"/>
  <c r="AW792" i="2"/>
  <c r="I792" i="1"/>
  <c r="AV792" i="2"/>
  <c r="AU792" i="2"/>
  <c r="AT792" i="2"/>
  <c r="AS792" i="2"/>
  <c r="AR792" i="2"/>
  <c r="AQ792" i="2"/>
  <c r="AP792" i="2"/>
  <c r="AO792" i="2"/>
  <c r="AL792" i="2"/>
  <c r="AK792" i="2"/>
  <c r="BQ791" i="2"/>
  <c r="BP791" i="2"/>
  <c r="AB791" i="1"/>
  <c r="BO791" i="2"/>
  <c r="AA791" i="1"/>
  <c r="BN791" i="2"/>
  <c r="BM791" i="2"/>
  <c r="BL791" i="2"/>
  <c r="BK791" i="2"/>
  <c r="W791" i="1"/>
  <c r="BJ791" i="2"/>
  <c r="BI791" i="2"/>
  <c r="BH791" i="2"/>
  <c r="T791" i="1"/>
  <c r="BG791" i="2"/>
  <c r="BF791" i="2"/>
  <c r="BE791" i="2"/>
  <c r="BD791" i="2"/>
  <c r="BC791" i="2"/>
  <c r="BB791" i="2"/>
  <c r="BA791" i="2"/>
  <c r="AZ791" i="2"/>
  <c r="AY791" i="2"/>
  <c r="AX791" i="2"/>
  <c r="J791" i="1"/>
  <c r="AW791" i="2"/>
  <c r="I791" i="1"/>
  <c r="AV791" i="2"/>
  <c r="AU791" i="2"/>
  <c r="AT791" i="2"/>
  <c r="AS791" i="2"/>
  <c r="AR791" i="2"/>
  <c r="AQ791" i="2"/>
  <c r="AP791" i="2"/>
  <c r="AO791" i="2"/>
  <c r="AL791" i="2"/>
  <c r="AK791" i="2"/>
  <c r="BQ790" i="2"/>
  <c r="BP790" i="2"/>
  <c r="AB790" i="1"/>
  <c r="BO790" i="2"/>
  <c r="AA790" i="1"/>
  <c r="BN790" i="2"/>
  <c r="BM790" i="2"/>
  <c r="BL790" i="2"/>
  <c r="BK790" i="2"/>
  <c r="W790" i="1"/>
  <c r="BJ790" i="2"/>
  <c r="BI790" i="2"/>
  <c r="BH790" i="2"/>
  <c r="T790" i="1"/>
  <c r="BG790" i="2"/>
  <c r="BF790" i="2"/>
  <c r="BE790" i="2"/>
  <c r="BD790" i="2"/>
  <c r="BC790" i="2"/>
  <c r="BB790" i="2"/>
  <c r="BA790" i="2"/>
  <c r="AZ790" i="2"/>
  <c r="AY790" i="2"/>
  <c r="AX790" i="2"/>
  <c r="J790" i="1"/>
  <c r="AW790" i="2"/>
  <c r="I790" i="1"/>
  <c r="AV790" i="2"/>
  <c r="AU790" i="2"/>
  <c r="AT790" i="2"/>
  <c r="AS790" i="2"/>
  <c r="AR790" i="2"/>
  <c r="AQ790" i="2"/>
  <c r="AP790" i="2"/>
  <c r="AO790" i="2"/>
  <c r="AL790" i="2"/>
  <c r="AK790" i="2"/>
  <c r="BQ789" i="2"/>
  <c r="BP789" i="2"/>
  <c r="AB789" i="1"/>
  <c r="BO789" i="2"/>
  <c r="AA789" i="1"/>
  <c r="BN789" i="2"/>
  <c r="BM789" i="2"/>
  <c r="BL789" i="2"/>
  <c r="BK789" i="2"/>
  <c r="W789" i="1"/>
  <c r="BJ789" i="2"/>
  <c r="BI789" i="2"/>
  <c r="BH789" i="2"/>
  <c r="T789" i="1"/>
  <c r="BG789" i="2"/>
  <c r="BF789" i="2"/>
  <c r="BE789" i="2"/>
  <c r="BD789" i="2"/>
  <c r="BC789" i="2"/>
  <c r="BB789" i="2"/>
  <c r="BA789" i="2"/>
  <c r="AZ789" i="2"/>
  <c r="AY789" i="2"/>
  <c r="AX789" i="2"/>
  <c r="J789" i="1"/>
  <c r="AW789" i="2"/>
  <c r="I789" i="1"/>
  <c r="AV789" i="2"/>
  <c r="AU789" i="2"/>
  <c r="AT789" i="2"/>
  <c r="AS789" i="2"/>
  <c r="AR789" i="2"/>
  <c r="AQ789" i="2"/>
  <c r="AP789" i="2"/>
  <c r="AO789" i="2"/>
  <c r="AL789" i="2"/>
  <c r="AK789" i="2"/>
  <c r="BQ788" i="2"/>
  <c r="BP788" i="2"/>
  <c r="AB788" i="1"/>
  <c r="BO788" i="2"/>
  <c r="AA788" i="1"/>
  <c r="BN788" i="2"/>
  <c r="BM788" i="2"/>
  <c r="BL788" i="2"/>
  <c r="BK788" i="2"/>
  <c r="W788" i="1"/>
  <c r="BJ788" i="2"/>
  <c r="BI788" i="2"/>
  <c r="BH788" i="2"/>
  <c r="T788" i="1"/>
  <c r="BG788" i="2"/>
  <c r="BF788" i="2"/>
  <c r="BE788" i="2"/>
  <c r="BD788" i="2"/>
  <c r="BC788" i="2"/>
  <c r="BB788" i="2"/>
  <c r="BA788" i="2"/>
  <c r="AZ788" i="2"/>
  <c r="AY788" i="2"/>
  <c r="AX788" i="2"/>
  <c r="J788" i="1"/>
  <c r="AW788" i="2"/>
  <c r="I788" i="1"/>
  <c r="AV788" i="2"/>
  <c r="AU788" i="2"/>
  <c r="AT788" i="2"/>
  <c r="AS788" i="2"/>
  <c r="AR788" i="2"/>
  <c r="AQ788" i="2"/>
  <c r="AP788" i="2"/>
  <c r="AO788" i="2"/>
  <c r="AL788" i="2"/>
  <c r="AK788" i="2"/>
  <c r="BQ787" i="2"/>
  <c r="BP787" i="2"/>
  <c r="AB787" i="1"/>
  <c r="BO787" i="2"/>
  <c r="AA787" i="1"/>
  <c r="BN787" i="2"/>
  <c r="BM787" i="2"/>
  <c r="BL787" i="2"/>
  <c r="BK787" i="2"/>
  <c r="W787" i="1"/>
  <c r="BJ787" i="2"/>
  <c r="BI787" i="2"/>
  <c r="BH787" i="2"/>
  <c r="T787" i="1"/>
  <c r="BG787" i="2"/>
  <c r="BF787" i="2"/>
  <c r="BE787" i="2"/>
  <c r="BD787" i="2"/>
  <c r="BC787" i="2"/>
  <c r="BB787" i="2"/>
  <c r="BA787" i="2"/>
  <c r="AZ787" i="2"/>
  <c r="AY787" i="2"/>
  <c r="AX787" i="2"/>
  <c r="J787" i="1"/>
  <c r="AW787" i="2"/>
  <c r="I787" i="1"/>
  <c r="AV787" i="2"/>
  <c r="AU787" i="2"/>
  <c r="AT787" i="2"/>
  <c r="AS787" i="2"/>
  <c r="AR787" i="2"/>
  <c r="AQ787" i="2"/>
  <c r="AP787" i="2"/>
  <c r="AO787" i="2"/>
  <c r="AL787" i="2"/>
  <c r="AK787" i="2"/>
  <c r="BQ786" i="2"/>
  <c r="BP786" i="2"/>
  <c r="AB786" i="1"/>
  <c r="BO786" i="2"/>
  <c r="AA786" i="1"/>
  <c r="BN786" i="2"/>
  <c r="BM786" i="2"/>
  <c r="BL786" i="2"/>
  <c r="BK786" i="2"/>
  <c r="W786" i="1"/>
  <c r="BJ786" i="2"/>
  <c r="BI786" i="2"/>
  <c r="BH786" i="2"/>
  <c r="T786" i="1"/>
  <c r="BG786" i="2"/>
  <c r="BF786" i="2"/>
  <c r="BE786" i="2"/>
  <c r="BD786" i="2"/>
  <c r="BC786" i="2"/>
  <c r="BB786" i="2"/>
  <c r="BA786" i="2"/>
  <c r="AZ786" i="2"/>
  <c r="AY786" i="2"/>
  <c r="AX786" i="2"/>
  <c r="J786" i="1"/>
  <c r="AW786" i="2"/>
  <c r="I786" i="1"/>
  <c r="AV786" i="2"/>
  <c r="AU786" i="2"/>
  <c r="AT786" i="2"/>
  <c r="AS786" i="2"/>
  <c r="AR786" i="2"/>
  <c r="AQ786" i="2"/>
  <c r="AP786" i="2"/>
  <c r="AO786" i="2"/>
  <c r="AL786" i="2"/>
  <c r="AK786" i="2"/>
  <c r="BQ785" i="2"/>
  <c r="BP785" i="2"/>
  <c r="AB785" i="1"/>
  <c r="BO785" i="2"/>
  <c r="AA785" i="1"/>
  <c r="BN785" i="2"/>
  <c r="BM785" i="2"/>
  <c r="BL785" i="2"/>
  <c r="BK785" i="2"/>
  <c r="W785" i="1"/>
  <c r="BJ785" i="2"/>
  <c r="BI785" i="2"/>
  <c r="BH785" i="2"/>
  <c r="T785" i="1"/>
  <c r="BG785" i="2"/>
  <c r="BF785" i="2"/>
  <c r="BE785" i="2"/>
  <c r="BD785" i="2"/>
  <c r="BC785" i="2"/>
  <c r="BB785" i="2"/>
  <c r="BA785" i="2"/>
  <c r="AZ785" i="2"/>
  <c r="AY785" i="2"/>
  <c r="AX785" i="2"/>
  <c r="J785" i="1"/>
  <c r="AW785" i="2"/>
  <c r="I785" i="1"/>
  <c r="AV785" i="2"/>
  <c r="AU785" i="2"/>
  <c r="AT785" i="2"/>
  <c r="AS785" i="2"/>
  <c r="AR785" i="2"/>
  <c r="AQ785" i="2"/>
  <c r="AP785" i="2"/>
  <c r="AO785" i="2"/>
  <c r="AL785" i="2"/>
  <c r="AK785" i="2"/>
  <c r="BQ784" i="2"/>
  <c r="BP784" i="2"/>
  <c r="AB784" i="1"/>
  <c r="BO784" i="2"/>
  <c r="AA784" i="1"/>
  <c r="BN784" i="2"/>
  <c r="BM784" i="2"/>
  <c r="BL784" i="2"/>
  <c r="BK784" i="2"/>
  <c r="W784" i="1"/>
  <c r="BJ784" i="2"/>
  <c r="BI784" i="2"/>
  <c r="BH784" i="2"/>
  <c r="T784" i="1"/>
  <c r="BG784" i="2"/>
  <c r="BF784" i="2"/>
  <c r="BE784" i="2"/>
  <c r="BD784" i="2"/>
  <c r="BC784" i="2"/>
  <c r="BB784" i="2"/>
  <c r="BA784" i="2"/>
  <c r="AZ784" i="2"/>
  <c r="AY784" i="2"/>
  <c r="AX784" i="2"/>
  <c r="J784" i="1"/>
  <c r="AW784" i="2"/>
  <c r="I784" i="1"/>
  <c r="AV784" i="2"/>
  <c r="AU784" i="2"/>
  <c r="AT784" i="2"/>
  <c r="AS784" i="2"/>
  <c r="AR784" i="2"/>
  <c r="AQ784" i="2"/>
  <c r="AP784" i="2"/>
  <c r="AO784" i="2"/>
  <c r="AL784" i="2"/>
  <c r="AK784" i="2"/>
  <c r="BQ783" i="2"/>
  <c r="BP783" i="2"/>
  <c r="AB783" i="1"/>
  <c r="BO783" i="2"/>
  <c r="AA783" i="1"/>
  <c r="BN783" i="2"/>
  <c r="BM783" i="2"/>
  <c r="BL783" i="2"/>
  <c r="BK783" i="2"/>
  <c r="W783" i="1"/>
  <c r="BJ783" i="2"/>
  <c r="BI783" i="2"/>
  <c r="BH783" i="2"/>
  <c r="T783" i="1"/>
  <c r="BG783" i="2"/>
  <c r="BF783" i="2"/>
  <c r="BE783" i="2"/>
  <c r="BD783" i="2"/>
  <c r="BC783" i="2"/>
  <c r="BB783" i="2"/>
  <c r="BA783" i="2"/>
  <c r="AZ783" i="2"/>
  <c r="AY783" i="2"/>
  <c r="AX783" i="2"/>
  <c r="J783" i="1"/>
  <c r="AW783" i="2"/>
  <c r="I783" i="1"/>
  <c r="AV783" i="2"/>
  <c r="AU783" i="2"/>
  <c r="AT783" i="2"/>
  <c r="AS783" i="2"/>
  <c r="AR783" i="2"/>
  <c r="AQ783" i="2"/>
  <c r="AP783" i="2"/>
  <c r="AO783" i="2"/>
  <c r="AL783" i="2"/>
  <c r="AK783" i="2"/>
  <c r="BQ782" i="2"/>
  <c r="BP782" i="2"/>
  <c r="AB782" i="1"/>
  <c r="BO782" i="2"/>
  <c r="AA782" i="1"/>
  <c r="BN782" i="2"/>
  <c r="BM782" i="2"/>
  <c r="BL782" i="2"/>
  <c r="BK782" i="2"/>
  <c r="W782" i="1"/>
  <c r="BJ782" i="2"/>
  <c r="BI782" i="2"/>
  <c r="BH782" i="2"/>
  <c r="T782" i="1"/>
  <c r="BG782" i="2"/>
  <c r="BF782" i="2"/>
  <c r="BE782" i="2"/>
  <c r="BD782" i="2"/>
  <c r="BC782" i="2"/>
  <c r="BB782" i="2"/>
  <c r="BA782" i="2"/>
  <c r="AZ782" i="2"/>
  <c r="AY782" i="2"/>
  <c r="AX782" i="2"/>
  <c r="J782" i="1"/>
  <c r="AW782" i="2"/>
  <c r="I782" i="1"/>
  <c r="AV782" i="2"/>
  <c r="AU782" i="2"/>
  <c r="AT782" i="2"/>
  <c r="AS782" i="2"/>
  <c r="AR782" i="2"/>
  <c r="AQ782" i="2"/>
  <c r="AP782" i="2"/>
  <c r="AO782" i="2"/>
  <c r="AL782" i="2"/>
  <c r="AK782" i="2"/>
  <c r="BQ781" i="2"/>
  <c r="BP781" i="2"/>
  <c r="AB781" i="1"/>
  <c r="BO781" i="2"/>
  <c r="AA781" i="1"/>
  <c r="BN781" i="2"/>
  <c r="BM781" i="2"/>
  <c r="BL781" i="2"/>
  <c r="BK781" i="2"/>
  <c r="W781" i="1"/>
  <c r="BJ781" i="2"/>
  <c r="BI781" i="2"/>
  <c r="BH781" i="2"/>
  <c r="T781" i="1"/>
  <c r="BG781" i="2"/>
  <c r="BF781" i="2"/>
  <c r="BE781" i="2"/>
  <c r="BD781" i="2"/>
  <c r="BC781" i="2"/>
  <c r="BB781" i="2"/>
  <c r="BA781" i="2"/>
  <c r="AZ781" i="2"/>
  <c r="AY781" i="2"/>
  <c r="AX781" i="2"/>
  <c r="J781" i="1"/>
  <c r="AW781" i="2"/>
  <c r="I781" i="1"/>
  <c r="AV781" i="2"/>
  <c r="AU781" i="2"/>
  <c r="AT781" i="2"/>
  <c r="AS781" i="2"/>
  <c r="AR781" i="2"/>
  <c r="AQ781" i="2"/>
  <c r="AP781" i="2"/>
  <c r="AO781" i="2"/>
  <c r="AL781" i="2"/>
  <c r="AK781" i="2"/>
  <c r="BQ780" i="2"/>
  <c r="BP780" i="2"/>
  <c r="AB780" i="1"/>
  <c r="BO780" i="2"/>
  <c r="AA780" i="1"/>
  <c r="BN780" i="2"/>
  <c r="BM780" i="2"/>
  <c r="BL780" i="2"/>
  <c r="BK780" i="2"/>
  <c r="W780" i="1"/>
  <c r="BJ780" i="2"/>
  <c r="BI780" i="2"/>
  <c r="BH780" i="2"/>
  <c r="T780" i="1"/>
  <c r="BG780" i="2"/>
  <c r="BF780" i="2"/>
  <c r="BE780" i="2"/>
  <c r="BD780" i="2"/>
  <c r="BC780" i="2"/>
  <c r="BB780" i="2"/>
  <c r="BA780" i="2"/>
  <c r="AZ780" i="2"/>
  <c r="AY780" i="2"/>
  <c r="AX780" i="2"/>
  <c r="J780" i="1"/>
  <c r="AW780" i="2"/>
  <c r="I780" i="1"/>
  <c r="AV780" i="2"/>
  <c r="AU780" i="2"/>
  <c r="AT780" i="2"/>
  <c r="AS780" i="2"/>
  <c r="AR780" i="2"/>
  <c r="AQ780" i="2"/>
  <c r="AP780" i="2"/>
  <c r="AO780" i="2"/>
  <c r="AL780" i="2"/>
  <c r="AK780" i="2"/>
  <c r="BQ779" i="2"/>
  <c r="BP779" i="2"/>
  <c r="AB779" i="1"/>
  <c r="BO779" i="2"/>
  <c r="AA779" i="1"/>
  <c r="BN779" i="2"/>
  <c r="BM779" i="2"/>
  <c r="BL779" i="2"/>
  <c r="BK779" i="2"/>
  <c r="W779" i="1"/>
  <c r="BJ779" i="2"/>
  <c r="BI779" i="2"/>
  <c r="BH779" i="2"/>
  <c r="T779" i="1"/>
  <c r="BG779" i="2"/>
  <c r="BF779" i="2"/>
  <c r="BE779" i="2"/>
  <c r="BD779" i="2"/>
  <c r="BC779" i="2"/>
  <c r="BB779" i="2"/>
  <c r="BA779" i="2"/>
  <c r="AZ779" i="2"/>
  <c r="AY779" i="2"/>
  <c r="AX779" i="2"/>
  <c r="J779" i="1"/>
  <c r="AW779" i="2"/>
  <c r="I779" i="1"/>
  <c r="AV779" i="2"/>
  <c r="AU779" i="2"/>
  <c r="AT779" i="2"/>
  <c r="AS779" i="2"/>
  <c r="AR779" i="2"/>
  <c r="AQ779" i="2"/>
  <c r="AP779" i="2"/>
  <c r="AO779" i="2"/>
  <c r="AL779" i="2"/>
  <c r="AK779" i="2"/>
  <c r="BQ778" i="2"/>
  <c r="BP778" i="2"/>
  <c r="AB778" i="1"/>
  <c r="BO778" i="2"/>
  <c r="AA778" i="1"/>
  <c r="BN778" i="2"/>
  <c r="BM778" i="2"/>
  <c r="BL778" i="2"/>
  <c r="BK778" i="2"/>
  <c r="W778" i="1"/>
  <c r="BJ778" i="2"/>
  <c r="BI778" i="2"/>
  <c r="BH778" i="2"/>
  <c r="T778" i="1"/>
  <c r="BG778" i="2"/>
  <c r="BF778" i="2"/>
  <c r="BE778" i="2"/>
  <c r="BD778" i="2"/>
  <c r="BC778" i="2"/>
  <c r="BB778" i="2"/>
  <c r="BA778" i="2"/>
  <c r="AZ778" i="2"/>
  <c r="AY778" i="2"/>
  <c r="AX778" i="2"/>
  <c r="J778" i="1"/>
  <c r="AW778" i="2"/>
  <c r="I778" i="1"/>
  <c r="AV778" i="2"/>
  <c r="AU778" i="2"/>
  <c r="AT778" i="2"/>
  <c r="AS778" i="2"/>
  <c r="AR778" i="2"/>
  <c r="AQ778" i="2"/>
  <c r="AP778" i="2"/>
  <c r="AO778" i="2"/>
  <c r="AL778" i="2"/>
  <c r="AK778" i="2"/>
  <c r="BQ777" i="2"/>
  <c r="BP777" i="2"/>
  <c r="AB777" i="1"/>
  <c r="BO777" i="2"/>
  <c r="AA777" i="1"/>
  <c r="BN777" i="2"/>
  <c r="BM777" i="2"/>
  <c r="BL777" i="2"/>
  <c r="BK777" i="2"/>
  <c r="W777" i="1"/>
  <c r="BJ777" i="2"/>
  <c r="BI777" i="2"/>
  <c r="BH777" i="2"/>
  <c r="T777" i="1"/>
  <c r="BG777" i="2"/>
  <c r="BF777" i="2"/>
  <c r="BE777" i="2"/>
  <c r="BD777" i="2"/>
  <c r="BC777" i="2"/>
  <c r="BB777" i="2"/>
  <c r="BA777" i="2"/>
  <c r="AZ777" i="2"/>
  <c r="AY777" i="2"/>
  <c r="AX777" i="2"/>
  <c r="J777" i="1"/>
  <c r="AW777" i="2"/>
  <c r="I777" i="1"/>
  <c r="AV777" i="2"/>
  <c r="AU777" i="2"/>
  <c r="AT777" i="2"/>
  <c r="AS777" i="2"/>
  <c r="AR777" i="2"/>
  <c r="AQ777" i="2"/>
  <c r="AP777" i="2"/>
  <c r="AO777" i="2"/>
  <c r="AL777" i="2"/>
  <c r="AK777" i="2"/>
  <c r="BQ776" i="2"/>
  <c r="BP776" i="2"/>
  <c r="AB776" i="1"/>
  <c r="BO776" i="2"/>
  <c r="AA776" i="1"/>
  <c r="BN776" i="2"/>
  <c r="BM776" i="2"/>
  <c r="BL776" i="2"/>
  <c r="BK776" i="2"/>
  <c r="W776" i="1"/>
  <c r="BJ776" i="2"/>
  <c r="BI776" i="2"/>
  <c r="BH776" i="2"/>
  <c r="T776" i="1"/>
  <c r="BG776" i="2"/>
  <c r="BF776" i="2"/>
  <c r="BE776" i="2"/>
  <c r="BD776" i="2"/>
  <c r="BC776" i="2"/>
  <c r="BB776" i="2"/>
  <c r="BA776" i="2"/>
  <c r="AZ776" i="2"/>
  <c r="AY776" i="2"/>
  <c r="AX776" i="2"/>
  <c r="J776" i="1"/>
  <c r="AW776" i="2"/>
  <c r="I776" i="1"/>
  <c r="AV776" i="2"/>
  <c r="AU776" i="2"/>
  <c r="AT776" i="2"/>
  <c r="AS776" i="2"/>
  <c r="AR776" i="2"/>
  <c r="AQ776" i="2"/>
  <c r="AP776" i="2"/>
  <c r="AO776" i="2"/>
  <c r="AL776" i="2"/>
  <c r="AK776" i="2"/>
  <c r="BQ775" i="2"/>
  <c r="BP775" i="2"/>
  <c r="AB775" i="1"/>
  <c r="BO775" i="2"/>
  <c r="AA775" i="1"/>
  <c r="BN775" i="2"/>
  <c r="BM775" i="2"/>
  <c r="BL775" i="2"/>
  <c r="BK775" i="2"/>
  <c r="W775" i="1"/>
  <c r="BJ775" i="2"/>
  <c r="BI775" i="2"/>
  <c r="BH775" i="2"/>
  <c r="T775" i="1"/>
  <c r="BG775" i="2"/>
  <c r="BF775" i="2"/>
  <c r="BE775" i="2"/>
  <c r="BD775" i="2"/>
  <c r="BC775" i="2"/>
  <c r="BB775" i="2"/>
  <c r="BA775" i="2"/>
  <c r="AZ775" i="2"/>
  <c r="AY775" i="2"/>
  <c r="AX775" i="2"/>
  <c r="J775" i="1"/>
  <c r="AW775" i="2"/>
  <c r="I775" i="1"/>
  <c r="AV775" i="2"/>
  <c r="AU775" i="2"/>
  <c r="AT775" i="2"/>
  <c r="AS775" i="2"/>
  <c r="AR775" i="2"/>
  <c r="AQ775" i="2"/>
  <c r="AP775" i="2"/>
  <c r="AO775" i="2"/>
  <c r="AL775" i="2"/>
  <c r="AK775" i="2"/>
  <c r="BQ774" i="2"/>
  <c r="BP774" i="2"/>
  <c r="AB774" i="1"/>
  <c r="BO774" i="2"/>
  <c r="AA774" i="1"/>
  <c r="BN774" i="2"/>
  <c r="BM774" i="2"/>
  <c r="BL774" i="2"/>
  <c r="BK774" i="2"/>
  <c r="W774" i="1"/>
  <c r="BJ774" i="2"/>
  <c r="BI774" i="2"/>
  <c r="BH774" i="2"/>
  <c r="T774" i="1"/>
  <c r="BG774" i="2"/>
  <c r="BF774" i="2"/>
  <c r="BE774" i="2"/>
  <c r="BD774" i="2"/>
  <c r="BC774" i="2"/>
  <c r="BB774" i="2"/>
  <c r="BA774" i="2"/>
  <c r="AZ774" i="2"/>
  <c r="AY774" i="2"/>
  <c r="AX774" i="2"/>
  <c r="J774" i="1"/>
  <c r="AW774" i="2"/>
  <c r="I774" i="1"/>
  <c r="AV774" i="2"/>
  <c r="AU774" i="2"/>
  <c r="AT774" i="2"/>
  <c r="AS774" i="2"/>
  <c r="AR774" i="2"/>
  <c r="AQ774" i="2"/>
  <c r="AP774" i="2"/>
  <c r="AO774" i="2"/>
  <c r="AL774" i="2"/>
  <c r="AK774" i="2"/>
  <c r="BQ773" i="2"/>
  <c r="BP773" i="2"/>
  <c r="AB773" i="1"/>
  <c r="BO773" i="2"/>
  <c r="AA773" i="1"/>
  <c r="BN773" i="2"/>
  <c r="BM773" i="2"/>
  <c r="BL773" i="2"/>
  <c r="BK773" i="2"/>
  <c r="W773" i="1"/>
  <c r="BJ773" i="2"/>
  <c r="BI773" i="2"/>
  <c r="BH773" i="2"/>
  <c r="T773" i="1"/>
  <c r="BG773" i="2"/>
  <c r="BF773" i="2"/>
  <c r="BE773" i="2"/>
  <c r="BD773" i="2"/>
  <c r="BC773" i="2"/>
  <c r="BB773" i="2"/>
  <c r="BA773" i="2"/>
  <c r="AZ773" i="2"/>
  <c r="AY773" i="2"/>
  <c r="AX773" i="2"/>
  <c r="J773" i="1"/>
  <c r="AW773" i="2"/>
  <c r="I773" i="1"/>
  <c r="AV773" i="2"/>
  <c r="AU773" i="2"/>
  <c r="AT773" i="2"/>
  <c r="AS773" i="2"/>
  <c r="AR773" i="2"/>
  <c r="AQ773" i="2"/>
  <c r="AP773" i="2"/>
  <c r="AO773" i="2"/>
  <c r="AL773" i="2"/>
  <c r="AK773" i="2"/>
  <c r="BQ772" i="2"/>
  <c r="BP772" i="2"/>
  <c r="AB772" i="1"/>
  <c r="BO772" i="2"/>
  <c r="AA772" i="1"/>
  <c r="BN772" i="2"/>
  <c r="BM772" i="2"/>
  <c r="BL772" i="2"/>
  <c r="BK772" i="2"/>
  <c r="W772" i="1"/>
  <c r="BJ772" i="2"/>
  <c r="BI772" i="2"/>
  <c r="BH772" i="2"/>
  <c r="T772" i="1"/>
  <c r="BG772" i="2"/>
  <c r="BF772" i="2"/>
  <c r="BE772" i="2"/>
  <c r="BD772" i="2"/>
  <c r="BC772" i="2"/>
  <c r="BB772" i="2"/>
  <c r="BA772" i="2"/>
  <c r="AZ772" i="2"/>
  <c r="AY772" i="2"/>
  <c r="AX772" i="2"/>
  <c r="J772" i="1"/>
  <c r="AW772" i="2"/>
  <c r="I772" i="1"/>
  <c r="AV772" i="2"/>
  <c r="AU772" i="2"/>
  <c r="AT772" i="2"/>
  <c r="AS772" i="2"/>
  <c r="AR772" i="2"/>
  <c r="AQ772" i="2"/>
  <c r="AP772" i="2"/>
  <c r="AO772" i="2"/>
  <c r="AL772" i="2"/>
  <c r="AK772" i="2"/>
  <c r="BQ771" i="2"/>
  <c r="BP771" i="2"/>
  <c r="AB771" i="1"/>
  <c r="BO771" i="2"/>
  <c r="AA771" i="1"/>
  <c r="BN771" i="2"/>
  <c r="BM771" i="2"/>
  <c r="BL771" i="2"/>
  <c r="BK771" i="2"/>
  <c r="W771" i="1"/>
  <c r="BJ771" i="2"/>
  <c r="BI771" i="2"/>
  <c r="BH771" i="2"/>
  <c r="T771" i="1"/>
  <c r="BG771" i="2"/>
  <c r="BF771" i="2"/>
  <c r="BE771" i="2"/>
  <c r="BD771" i="2"/>
  <c r="BC771" i="2"/>
  <c r="BB771" i="2"/>
  <c r="BA771" i="2"/>
  <c r="AZ771" i="2"/>
  <c r="AY771" i="2"/>
  <c r="AX771" i="2"/>
  <c r="J771" i="1"/>
  <c r="AW771" i="2"/>
  <c r="I771" i="1"/>
  <c r="AV771" i="2"/>
  <c r="AU771" i="2"/>
  <c r="AT771" i="2"/>
  <c r="AS771" i="2"/>
  <c r="AR771" i="2"/>
  <c r="AQ771" i="2"/>
  <c r="AP771" i="2"/>
  <c r="AO771" i="2"/>
  <c r="AL771" i="2"/>
  <c r="AK771" i="2"/>
  <c r="BQ770" i="2"/>
  <c r="BP770" i="2"/>
  <c r="AB770" i="1"/>
  <c r="BO770" i="2"/>
  <c r="AA770" i="1"/>
  <c r="BN770" i="2"/>
  <c r="BM770" i="2"/>
  <c r="BL770" i="2"/>
  <c r="BK770" i="2"/>
  <c r="W770" i="1"/>
  <c r="BJ770" i="2"/>
  <c r="BI770" i="2"/>
  <c r="BH770" i="2"/>
  <c r="T770" i="1"/>
  <c r="BG770" i="2"/>
  <c r="BF770" i="2"/>
  <c r="BE770" i="2"/>
  <c r="BD770" i="2"/>
  <c r="BC770" i="2"/>
  <c r="BB770" i="2"/>
  <c r="BA770" i="2"/>
  <c r="AZ770" i="2"/>
  <c r="AY770" i="2"/>
  <c r="AX770" i="2"/>
  <c r="J770" i="1"/>
  <c r="AW770" i="2"/>
  <c r="I770" i="1"/>
  <c r="AV770" i="2"/>
  <c r="AU770" i="2"/>
  <c r="AT770" i="2"/>
  <c r="AS770" i="2"/>
  <c r="AR770" i="2"/>
  <c r="AQ770" i="2"/>
  <c r="AP770" i="2"/>
  <c r="AO770" i="2"/>
  <c r="AL770" i="2"/>
  <c r="AK770" i="2"/>
  <c r="BQ769" i="2"/>
  <c r="BP769" i="2"/>
  <c r="AB769" i="1"/>
  <c r="BO769" i="2"/>
  <c r="AA769" i="1"/>
  <c r="BN769" i="2"/>
  <c r="BM769" i="2"/>
  <c r="BL769" i="2"/>
  <c r="BK769" i="2"/>
  <c r="W769" i="1"/>
  <c r="BJ769" i="2"/>
  <c r="BI769" i="2"/>
  <c r="BH769" i="2"/>
  <c r="T769" i="1"/>
  <c r="BG769" i="2"/>
  <c r="BF769" i="2"/>
  <c r="BE769" i="2"/>
  <c r="BD769" i="2"/>
  <c r="BC769" i="2"/>
  <c r="BB769" i="2"/>
  <c r="BA769" i="2"/>
  <c r="AZ769" i="2"/>
  <c r="AY769" i="2"/>
  <c r="AX769" i="2"/>
  <c r="J769" i="1"/>
  <c r="AW769" i="2"/>
  <c r="I769" i="1"/>
  <c r="AV769" i="2"/>
  <c r="AU769" i="2"/>
  <c r="AT769" i="2"/>
  <c r="AS769" i="2"/>
  <c r="AR769" i="2"/>
  <c r="AQ769" i="2"/>
  <c r="AP769" i="2"/>
  <c r="AO769" i="2"/>
  <c r="AL769" i="2"/>
  <c r="AK769" i="2"/>
  <c r="BQ768" i="2"/>
  <c r="BP768" i="2"/>
  <c r="AB768" i="1"/>
  <c r="BO768" i="2"/>
  <c r="AA768" i="1"/>
  <c r="BN768" i="2"/>
  <c r="BM768" i="2"/>
  <c r="BL768" i="2"/>
  <c r="BK768" i="2"/>
  <c r="W768" i="1"/>
  <c r="BJ768" i="2"/>
  <c r="BI768" i="2"/>
  <c r="BH768" i="2"/>
  <c r="T768" i="1"/>
  <c r="BG768" i="2"/>
  <c r="BF768" i="2"/>
  <c r="BE768" i="2"/>
  <c r="BD768" i="2"/>
  <c r="BC768" i="2"/>
  <c r="BB768" i="2"/>
  <c r="BA768" i="2"/>
  <c r="AZ768" i="2"/>
  <c r="AY768" i="2"/>
  <c r="AX768" i="2"/>
  <c r="J768" i="1"/>
  <c r="AW768" i="2"/>
  <c r="I768" i="1"/>
  <c r="AV768" i="2"/>
  <c r="AU768" i="2"/>
  <c r="AT768" i="2"/>
  <c r="AS768" i="2"/>
  <c r="AR768" i="2"/>
  <c r="AQ768" i="2"/>
  <c r="AP768" i="2"/>
  <c r="AO768" i="2"/>
  <c r="AL768" i="2"/>
  <c r="AK768" i="2"/>
  <c r="BQ767" i="2"/>
  <c r="BP767" i="2"/>
  <c r="AB767" i="1"/>
  <c r="BO767" i="2"/>
  <c r="AA767" i="1"/>
  <c r="BN767" i="2"/>
  <c r="BM767" i="2"/>
  <c r="BL767" i="2"/>
  <c r="BK767" i="2"/>
  <c r="W767" i="1"/>
  <c r="BJ767" i="2"/>
  <c r="BI767" i="2"/>
  <c r="BH767" i="2"/>
  <c r="T767" i="1"/>
  <c r="BG767" i="2"/>
  <c r="BF767" i="2"/>
  <c r="BE767" i="2"/>
  <c r="BD767" i="2"/>
  <c r="BC767" i="2"/>
  <c r="BB767" i="2"/>
  <c r="BA767" i="2"/>
  <c r="AZ767" i="2"/>
  <c r="AY767" i="2"/>
  <c r="AX767" i="2"/>
  <c r="J767" i="1"/>
  <c r="AW767" i="2"/>
  <c r="I767" i="1"/>
  <c r="AV767" i="2"/>
  <c r="AU767" i="2"/>
  <c r="AT767" i="2"/>
  <c r="AS767" i="2"/>
  <c r="AR767" i="2"/>
  <c r="AQ767" i="2"/>
  <c r="AP767" i="2"/>
  <c r="AO767" i="2"/>
  <c r="AL767" i="2"/>
  <c r="AK767" i="2"/>
  <c r="BQ766" i="2"/>
  <c r="BP766" i="2"/>
  <c r="AB766" i="1"/>
  <c r="BO766" i="2"/>
  <c r="AA766" i="1"/>
  <c r="BN766" i="2"/>
  <c r="BM766" i="2"/>
  <c r="BL766" i="2"/>
  <c r="BK766" i="2"/>
  <c r="W766" i="1"/>
  <c r="BJ766" i="2"/>
  <c r="BI766" i="2"/>
  <c r="BH766" i="2"/>
  <c r="T766" i="1"/>
  <c r="BG766" i="2"/>
  <c r="BF766" i="2"/>
  <c r="BE766" i="2"/>
  <c r="BD766" i="2"/>
  <c r="BC766" i="2"/>
  <c r="BB766" i="2"/>
  <c r="BA766" i="2"/>
  <c r="AZ766" i="2"/>
  <c r="AY766" i="2"/>
  <c r="AX766" i="2"/>
  <c r="J766" i="1"/>
  <c r="AW766" i="2"/>
  <c r="I766" i="1"/>
  <c r="AV766" i="2"/>
  <c r="AU766" i="2"/>
  <c r="AT766" i="2"/>
  <c r="AS766" i="2"/>
  <c r="AR766" i="2"/>
  <c r="AQ766" i="2"/>
  <c r="AP766" i="2"/>
  <c r="AO766" i="2"/>
  <c r="AL766" i="2"/>
  <c r="AK766" i="2"/>
  <c r="BQ765" i="2"/>
  <c r="BP765" i="2"/>
  <c r="AB765" i="1"/>
  <c r="BO765" i="2"/>
  <c r="AA765" i="1"/>
  <c r="BN765" i="2"/>
  <c r="BM765" i="2"/>
  <c r="BL765" i="2"/>
  <c r="BK765" i="2"/>
  <c r="W765" i="1"/>
  <c r="BJ765" i="2"/>
  <c r="BI765" i="2"/>
  <c r="BH765" i="2"/>
  <c r="T765" i="1"/>
  <c r="BG765" i="2"/>
  <c r="BF765" i="2"/>
  <c r="BE765" i="2"/>
  <c r="BD765" i="2"/>
  <c r="BC765" i="2"/>
  <c r="BB765" i="2"/>
  <c r="BA765" i="2"/>
  <c r="AZ765" i="2"/>
  <c r="AY765" i="2"/>
  <c r="AX765" i="2"/>
  <c r="J765" i="1"/>
  <c r="AW765" i="2"/>
  <c r="I765" i="1"/>
  <c r="AV765" i="2"/>
  <c r="AU765" i="2"/>
  <c r="AT765" i="2"/>
  <c r="AS765" i="2"/>
  <c r="AR765" i="2"/>
  <c r="AQ765" i="2"/>
  <c r="AP765" i="2"/>
  <c r="AO765" i="2"/>
  <c r="AL765" i="2"/>
  <c r="AK765" i="2"/>
  <c r="BQ764" i="2"/>
  <c r="BP764" i="2"/>
  <c r="AB764" i="1"/>
  <c r="BO764" i="2"/>
  <c r="AA764" i="1"/>
  <c r="BN764" i="2"/>
  <c r="BM764" i="2"/>
  <c r="BL764" i="2"/>
  <c r="BK764" i="2"/>
  <c r="W764" i="1"/>
  <c r="BJ764" i="2"/>
  <c r="BI764" i="2"/>
  <c r="BH764" i="2"/>
  <c r="T764" i="1"/>
  <c r="BG764" i="2"/>
  <c r="BF764" i="2"/>
  <c r="BE764" i="2"/>
  <c r="BD764" i="2"/>
  <c r="BC764" i="2"/>
  <c r="BB764" i="2"/>
  <c r="BA764" i="2"/>
  <c r="AZ764" i="2"/>
  <c r="AY764" i="2"/>
  <c r="AX764" i="2"/>
  <c r="J764" i="1"/>
  <c r="AW764" i="2"/>
  <c r="I764" i="1"/>
  <c r="AV764" i="2"/>
  <c r="AU764" i="2"/>
  <c r="AT764" i="2"/>
  <c r="AS764" i="2"/>
  <c r="AR764" i="2"/>
  <c r="AQ764" i="2"/>
  <c r="AP764" i="2"/>
  <c r="AO764" i="2"/>
  <c r="AL764" i="2"/>
  <c r="AK764" i="2"/>
  <c r="BQ763" i="2"/>
  <c r="BP763" i="2"/>
  <c r="AB763" i="1"/>
  <c r="BO763" i="2"/>
  <c r="AA763" i="1"/>
  <c r="BN763" i="2"/>
  <c r="BM763" i="2"/>
  <c r="BL763" i="2"/>
  <c r="BK763" i="2"/>
  <c r="W763" i="1"/>
  <c r="BJ763" i="2"/>
  <c r="BI763" i="2"/>
  <c r="BH763" i="2"/>
  <c r="T763" i="1"/>
  <c r="BG763" i="2"/>
  <c r="BF763" i="2"/>
  <c r="BE763" i="2"/>
  <c r="BD763" i="2"/>
  <c r="BC763" i="2"/>
  <c r="BB763" i="2"/>
  <c r="BA763" i="2"/>
  <c r="AZ763" i="2"/>
  <c r="AY763" i="2"/>
  <c r="AX763" i="2"/>
  <c r="J763" i="1"/>
  <c r="AW763" i="2"/>
  <c r="I763" i="1"/>
  <c r="AV763" i="2"/>
  <c r="AU763" i="2"/>
  <c r="AT763" i="2"/>
  <c r="AS763" i="2"/>
  <c r="AR763" i="2"/>
  <c r="AQ763" i="2"/>
  <c r="AP763" i="2"/>
  <c r="AO763" i="2"/>
  <c r="AL763" i="2"/>
  <c r="AK763" i="2"/>
  <c r="BQ762" i="2"/>
  <c r="BP762" i="2"/>
  <c r="AB762" i="1"/>
  <c r="BO762" i="2"/>
  <c r="AA762" i="1"/>
  <c r="BN762" i="2"/>
  <c r="BM762" i="2"/>
  <c r="BL762" i="2"/>
  <c r="BK762" i="2"/>
  <c r="W762" i="1"/>
  <c r="BJ762" i="2"/>
  <c r="BI762" i="2"/>
  <c r="BH762" i="2"/>
  <c r="T762" i="1"/>
  <c r="BG762" i="2"/>
  <c r="BF762" i="2"/>
  <c r="BE762" i="2"/>
  <c r="BD762" i="2"/>
  <c r="BC762" i="2"/>
  <c r="BB762" i="2"/>
  <c r="BA762" i="2"/>
  <c r="AZ762" i="2"/>
  <c r="AY762" i="2"/>
  <c r="AX762" i="2"/>
  <c r="J762" i="1"/>
  <c r="AW762" i="2"/>
  <c r="I762" i="1"/>
  <c r="AV762" i="2"/>
  <c r="AU762" i="2"/>
  <c r="AT762" i="2"/>
  <c r="AS762" i="2"/>
  <c r="AR762" i="2"/>
  <c r="AQ762" i="2"/>
  <c r="AP762" i="2"/>
  <c r="AO762" i="2"/>
  <c r="AL762" i="2"/>
  <c r="AK762" i="2"/>
  <c r="BQ761" i="2"/>
  <c r="BP761" i="2"/>
  <c r="AB761" i="1"/>
  <c r="BO761" i="2"/>
  <c r="AA761" i="1"/>
  <c r="BN761" i="2"/>
  <c r="BM761" i="2"/>
  <c r="BL761" i="2"/>
  <c r="BK761" i="2"/>
  <c r="W761" i="1"/>
  <c r="BJ761" i="2"/>
  <c r="BI761" i="2"/>
  <c r="BH761" i="2"/>
  <c r="T761" i="1"/>
  <c r="BG761" i="2"/>
  <c r="BF761" i="2"/>
  <c r="BE761" i="2"/>
  <c r="BD761" i="2"/>
  <c r="BC761" i="2"/>
  <c r="BB761" i="2"/>
  <c r="BA761" i="2"/>
  <c r="AZ761" i="2"/>
  <c r="AY761" i="2"/>
  <c r="AX761" i="2"/>
  <c r="J761" i="1"/>
  <c r="AW761" i="2"/>
  <c r="I761" i="1"/>
  <c r="AV761" i="2"/>
  <c r="AU761" i="2"/>
  <c r="AT761" i="2"/>
  <c r="AS761" i="2"/>
  <c r="AR761" i="2"/>
  <c r="AQ761" i="2"/>
  <c r="AP761" i="2"/>
  <c r="AO761" i="2"/>
  <c r="AL761" i="2"/>
  <c r="AK761" i="2"/>
  <c r="BQ760" i="2"/>
  <c r="BP760" i="2"/>
  <c r="AB760" i="1"/>
  <c r="BO760" i="2"/>
  <c r="AA760" i="1"/>
  <c r="BN760" i="2"/>
  <c r="BM760" i="2"/>
  <c r="BL760" i="2"/>
  <c r="BK760" i="2"/>
  <c r="W760" i="1"/>
  <c r="BJ760" i="2"/>
  <c r="BI760" i="2"/>
  <c r="BH760" i="2"/>
  <c r="T760" i="1"/>
  <c r="BG760" i="2"/>
  <c r="BF760" i="2"/>
  <c r="BE760" i="2"/>
  <c r="BD760" i="2"/>
  <c r="BC760" i="2"/>
  <c r="BB760" i="2"/>
  <c r="BA760" i="2"/>
  <c r="AZ760" i="2"/>
  <c r="AY760" i="2"/>
  <c r="AX760" i="2"/>
  <c r="J760" i="1"/>
  <c r="AW760" i="2"/>
  <c r="I760" i="1"/>
  <c r="AV760" i="2"/>
  <c r="AU760" i="2"/>
  <c r="AT760" i="2"/>
  <c r="AS760" i="2"/>
  <c r="AR760" i="2"/>
  <c r="AQ760" i="2"/>
  <c r="AP760" i="2"/>
  <c r="AO760" i="2"/>
  <c r="AL760" i="2"/>
  <c r="AK760" i="2"/>
  <c r="BQ759" i="2"/>
  <c r="BP759" i="2"/>
  <c r="AB759" i="1"/>
  <c r="BO759" i="2"/>
  <c r="AA759" i="1"/>
  <c r="BN759" i="2"/>
  <c r="BM759" i="2"/>
  <c r="BL759" i="2"/>
  <c r="BK759" i="2"/>
  <c r="W759" i="1"/>
  <c r="BJ759" i="2"/>
  <c r="BI759" i="2"/>
  <c r="BH759" i="2"/>
  <c r="T759" i="1"/>
  <c r="BG759" i="2"/>
  <c r="BF759" i="2"/>
  <c r="BE759" i="2"/>
  <c r="BD759" i="2"/>
  <c r="BC759" i="2"/>
  <c r="BB759" i="2"/>
  <c r="BA759" i="2"/>
  <c r="AZ759" i="2"/>
  <c r="AY759" i="2"/>
  <c r="AX759" i="2"/>
  <c r="J759" i="1"/>
  <c r="AW759" i="2"/>
  <c r="I759" i="1"/>
  <c r="AV759" i="2"/>
  <c r="AU759" i="2"/>
  <c r="AT759" i="2"/>
  <c r="AS759" i="2"/>
  <c r="AR759" i="2"/>
  <c r="AQ759" i="2"/>
  <c r="AP759" i="2"/>
  <c r="AO759" i="2"/>
  <c r="AL759" i="2"/>
  <c r="AK759" i="2"/>
  <c r="BQ758" i="2"/>
  <c r="BP758" i="2"/>
  <c r="AB758" i="1"/>
  <c r="BO758" i="2"/>
  <c r="AA758" i="1"/>
  <c r="BN758" i="2"/>
  <c r="BM758" i="2"/>
  <c r="BL758" i="2"/>
  <c r="BK758" i="2"/>
  <c r="W758" i="1"/>
  <c r="BJ758" i="2"/>
  <c r="BI758" i="2"/>
  <c r="BH758" i="2"/>
  <c r="T758" i="1"/>
  <c r="BG758" i="2"/>
  <c r="BF758" i="2"/>
  <c r="BE758" i="2"/>
  <c r="BD758" i="2"/>
  <c r="BC758" i="2"/>
  <c r="BB758" i="2"/>
  <c r="BA758" i="2"/>
  <c r="AZ758" i="2"/>
  <c r="AY758" i="2"/>
  <c r="AX758" i="2"/>
  <c r="J758" i="1"/>
  <c r="AW758" i="2"/>
  <c r="I758" i="1"/>
  <c r="AV758" i="2"/>
  <c r="AU758" i="2"/>
  <c r="AT758" i="2"/>
  <c r="AS758" i="2"/>
  <c r="AR758" i="2"/>
  <c r="AQ758" i="2"/>
  <c r="AP758" i="2"/>
  <c r="AO758" i="2"/>
  <c r="AL758" i="2"/>
  <c r="AK758" i="2"/>
  <c r="BQ757" i="2"/>
  <c r="BP757" i="2"/>
  <c r="AB757" i="1"/>
  <c r="BO757" i="2"/>
  <c r="AA757" i="1"/>
  <c r="BN757" i="2"/>
  <c r="BM757" i="2"/>
  <c r="BL757" i="2"/>
  <c r="BK757" i="2"/>
  <c r="W757" i="1"/>
  <c r="BJ757" i="2"/>
  <c r="BI757" i="2"/>
  <c r="BH757" i="2"/>
  <c r="T757" i="1"/>
  <c r="BG757" i="2"/>
  <c r="BF757" i="2"/>
  <c r="BE757" i="2"/>
  <c r="BD757" i="2"/>
  <c r="BC757" i="2"/>
  <c r="BB757" i="2"/>
  <c r="BA757" i="2"/>
  <c r="AZ757" i="2"/>
  <c r="AY757" i="2"/>
  <c r="AX757" i="2"/>
  <c r="J757" i="1"/>
  <c r="AW757" i="2"/>
  <c r="I757" i="1"/>
  <c r="AV757" i="2"/>
  <c r="AU757" i="2"/>
  <c r="AT757" i="2"/>
  <c r="AS757" i="2"/>
  <c r="AR757" i="2"/>
  <c r="AQ757" i="2"/>
  <c r="AP757" i="2"/>
  <c r="AO757" i="2"/>
  <c r="AL757" i="2"/>
  <c r="AK757" i="2"/>
  <c r="BQ756" i="2"/>
  <c r="BP756" i="2"/>
  <c r="AB756" i="1"/>
  <c r="BO756" i="2"/>
  <c r="AA756" i="1"/>
  <c r="BN756" i="2"/>
  <c r="BM756" i="2"/>
  <c r="BL756" i="2"/>
  <c r="BK756" i="2"/>
  <c r="W756" i="1"/>
  <c r="BJ756" i="2"/>
  <c r="BI756" i="2"/>
  <c r="BH756" i="2"/>
  <c r="T756" i="1"/>
  <c r="BG756" i="2"/>
  <c r="BF756" i="2"/>
  <c r="BE756" i="2"/>
  <c r="BD756" i="2"/>
  <c r="BC756" i="2"/>
  <c r="BB756" i="2"/>
  <c r="BA756" i="2"/>
  <c r="AZ756" i="2"/>
  <c r="AY756" i="2"/>
  <c r="AX756" i="2"/>
  <c r="J756" i="1"/>
  <c r="AW756" i="2"/>
  <c r="I756" i="1"/>
  <c r="AV756" i="2"/>
  <c r="AU756" i="2"/>
  <c r="AT756" i="2"/>
  <c r="AS756" i="2"/>
  <c r="AR756" i="2"/>
  <c r="AQ756" i="2"/>
  <c r="AP756" i="2"/>
  <c r="AO756" i="2"/>
  <c r="AL756" i="2"/>
  <c r="AK756" i="2"/>
  <c r="BQ755" i="2"/>
  <c r="BP755" i="2"/>
  <c r="AB755" i="1"/>
  <c r="BO755" i="2"/>
  <c r="AA755" i="1"/>
  <c r="BN755" i="2"/>
  <c r="BM755" i="2"/>
  <c r="BL755" i="2"/>
  <c r="BK755" i="2"/>
  <c r="W755" i="1"/>
  <c r="BJ755" i="2"/>
  <c r="BI755" i="2"/>
  <c r="BH755" i="2"/>
  <c r="T755" i="1"/>
  <c r="BG755" i="2"/>
  <c r="BF755" i="2"/>
  <c r="BE755" i="2"/>
  <c r="BD755" i="2"/>
  <c r="BC755" i="2"/>
  <c r="BB755" i="2"/>
  <c r="BA755" i="2"/>
  <c r="AZ755" i="2"/>
  <c r="AY755" i="2"/>
  <c r="AX755" i="2"/>
  <c r="J755" i="1"/>
  <c r="AW755" i="2"/>
  <c r="I755" i="1"/>
  <c r="AV755" i="2"/>
  <c r="AU755" i="2"/>
  <c r="AT755" i="2"/>
  <c r="AS755" i="2"/>
  <c r="AR755" i="2"/>
  <c r="AQ755" i="2"/>
  <c r="AP755" i="2"/>
  <c r="AO755" i="2"/>
  <c r="AL755" i="2"/>
  <c r="AK755" i="2"/>
  <c r="BQ754" i="2"/>
  <c r="BP754" i="2"/>
  <c r="AB754" i="1"/>
  <c r="BO754" i="2"/>
  <c r="AA754" i="1"/>
  <c r="BN754" i="2"/>
  <c r="BM754" i="2"/>
  <c r="BL754" i="2"/>
  <c r="BK754" i="2"/>
  <c r="W754" i="1"/>
  <c r="BJ754" i="2"/>
  <c r="BI754" i="2"/>
  <c r="BH754" i="2"/>
  <c r="T754" i="1"/>
  <c r="BG754" i="2"/>
  <c r="BF754" i="2"/>
  <c r="BE754" i="2"/>
  <c r="BD754" i="2"/>
  <c r="BC754" i="2"/>
  <c r="BB754" i="2"/>
  <c r="BA754" i="2"/>
  <c r="AZ754" i="2"/>
  <c r="AY754" i="2"/>
  <c r="AX754" i="2"/>
  <c r="J754" i="1"/>
  <c r="AW754" i="2"/>
  <c r="I754" i="1"/>
  <c r="AV754" i="2"/>
  <c r="AU754" i="2"/>
  <c r="AT754" i="2"/>
  <c r="AS754" i="2"/>
  <c r="AR754" i="2"/>
  <c r="AQ754" i="2"/>
  <c r="AP754" i="2"/>
  <c r="AO754" i="2"/>
  <c r="AL754" i="2"/>
  <c r="AK754" i="2"/>
  <c r="BQ753" i="2"/>
  <c r="BP753" i="2"/>
  <c r="AB753" i="1"/>
  <c r="BO753" i="2"/>
  <c r="AA753" i="1"/>
  <c r="BN753" i="2"/>
  <c r="BM753" i="2"/>
  <c r="BL753" i="2"/>
  <c r="BK753" i="2"/>
  <c r="W753" i="1"/>
  <c r="BJ753" i="2"/>
  <c r="BI753" i="2"/>
  <c r="BH753" i="2"/>
  <c r="T753" i="1"/>
  <c r="BG753" i="2"/>
  <c r="BF753" i="2"/>
  <c r="BE753" i="2"/>
  <c r="BD753" i="2"/>
  <c r="BC753" i="2"/>
  <c r="BB753" i="2"/>
  <c r="BA753" i="2"/>
  <c r="AZ753" i="2"/>
  <c r="AY753" i="2"/>
  <c r="AX753" i="2"/>
  <c r="J753" i="1"/>
  <c r="AW753" i="2"/>
  <c r="I753" i="1"/>
  <c r="AV753" i="2"/>
  <c r="AU753" i="2"/>
  <c r="AT753" i="2"/>
  <c r="AS753" i="2"/>
  <c r="AR753" i="2"/>
  <c r="AQ753" i="2"/>
  <c r="AP753" i="2"/>
  <c r="AO753" i="2"/>
  <c r="AL753" i="2"/>
  <c r="AK753" i="2"/>
  <c r="BQ752" i="2"/>
  <c r="BP752" i="2"/>
  <c r="AB752" i="1"/>
  <c r="BO752" i="2"/>
  <c r="AA752" i="1"/>
  <c r="BN752" i="2"/>
  <c r="BM752" i="2"/>
  <c r="BL752" i="2"/>
  <c r="BK752" i="2"/>
  <c r="W752" i="1"/>
  <c r="BJ752" i="2"/>
  <c r="BI752" i="2"/>
  <c r="BH752" i="2"/>
  <c r="T752" i="1"/>
  <c r="BG752" i="2"/>
  <c r="BF752" i="2"/>
  <c r="BE752" i="2"/>
  <c r="BD752" i="2"/>
  <c r="BC752" i="2"/>
  <c r="BB752" i="2"/>
  <c r="BA752" i="2"/>
  <c r="AZ752" i="2"/>
  <c r="AY752" i="2"/>
  <c r="AX752" i="2"/>
  <c r="J752" i="1"/>
  <c r="AW752" i="2"/>
  <c r="I752" i="1"/>
  <c r="AV752" i="2"/>
  <c r="AU752" i="2"/>
  <c r="AT752" i="2"/>
  <c r="AS752" i="2"/>
  <c r="AR752" i="2"/>
  <c r="AQ752" i="2"/>
  <c r="AP752" i="2"/>
  <c r="AO752" i="2"/>
  <c r="AL752" i="2"/>
  <c r="AK752" i="2"/>
  <c r="BQ751" i="2"/>
  <c r="BP751" i="2"/>
  <c r="AB751" i="1"/>
  <c r="BO751" i="2"/>
  <c r="AA751" i="1"/>
  <c r="BN751" i="2"/>
  <c r="BM751" i="2"/>
  <c r="BL751" i="2"/>
  <c r="BK751" i="2"/>
  <c r="W751" i="1"/>
  <c r="BJ751" i="2"/>
  <c r="BI751" i="2"/>
  <c r="BH751" i="2"/>
  <c r="T751" i="1"/>
  <c r="BG751" i="2"/>
  <c r="BF751" i="2"/>
  <c r="BE751" i="2"/>
  <c r="BD751" i="2"/>
  <c r="BC751" i="2"/>
  <c r="BB751" i="2"/>
  <c r="BA751" i="2"/>
  <c r="AZ751" i="2"/>
  <c r="AY751" i="2"/>
  <c r="AX751" i="2"/>
  <c r="J751" i="1"/>
  <c r="AW751" i="2"/>
  <c r="I751" i="1"/>
  <c r="AV751" i="2"/>
  <c r="AU751" i="2"/>
  <c r="AT751" i="2"/>
  <c r="AS751" i="2"/>
  <c r="AR751" i="2"/>
  <c r="AQ751" i="2"/>
  <c r="AP751" i="2"/>
  <c r="AO751" i="2"/>
  <c r="AL751" i="2"/>
  <c r="AK751" i="2"/>
  <c r="BQ750" i="2"/>
  <c r="BP750" i="2"/>
  <c r="AB750" i="1"/>
  <c r="BO750" i="2"/>
  <c r="AA750" i="1"/>
  <c r="BN750" i="2"/>
  <c r="BM750" i="2"/>
  <c r="BL750" i="2"/>
  <c r="BK750" i="2"/>
  <c r="W750" i="1"/>
  <c r="BJ750" i="2"/>
  <c r="BI750" i="2"/>
  <c r="BH750" i="2"/>
  <c r="T750" i="1"/>
  <c r="BG750" i="2"/>
  <c r="BF750" i="2"/>
  <c r="BE750" i="2"/>
  <c r="BD750" i="2"/>
  <c r="BC750" i="2"/>
  <c r="BB750" i="2"/>
  <c r="BA750" i="2"/>
  <c r="AZ750" i="2"/>
  <c r="AY750" i="2"/>
  <c r="AX750" i="2"/>
  <c r="J750" i="1"/>
  <c r="AW750" i="2"/>
  <c r="I750" i="1"/>
  <c r="AV750" i="2"/>
  <c r="AU750" i="2"/>
  <c r="AT750" i="2"/>
  <c r="AS750" i="2"/>
  <c r="AR750" i="2"/>
  <c r="AQ750" i="2"/>
  <c r="AP750" i="2"/>
  <c r="AO750" i="2"/>
  <c r="AL750" i="2"/>
  <c r="AK750" i="2"/>
  <c r="BQ749" i="2"/>
  <c r="BP749" i="2"/>
  <c r="AB749" i="1"/>
  <c r="BO749" i="2"/>
  <c r="AA749" i="1"/>
  <c r="BN749" i="2"/>
  <c r="BM749" i="2"/>
  <c r="BL749" i="2"/>
  <c r="BK749" i="2"/>
  <c r="W749" i="1"/>
  <c r="BJ749" i="2"/>
  <c r="BI749" i="2"/>
  <c r="BH749" i="2"/>
  <c r="T749" i="1"/>
  <c r="BG749" i="2"/>
  <c r="BF749" i="2"/>
  <c r="BE749" i="2"/>
  <c r="BD749" i="2"/>
  <c r="BC749" i="2"/>
  <c r="BB749" i="2"/>
  <c r="BA749" i="2"/>
  <c r="AZ749" i="2"/>
  <c r="AY749" i="2"/>
  <c r="AX749" i="2"/>
  <c r="J749" i="1"/>
  <c r="AW749" i="2"/>
  <c r="I749" i="1"/>
  <c r="AV749" i="2"/>
  <c r="AU749" i="2"/>
  <c r="AT749" i="2"/>
  <c r="AS749" i="2"/>
  <c r="AR749" i="2"/>
  <c r="AQ749" i="2"/>
  <c r="AP749" i="2"/>
  <c r="AO749" i="2"/>
  <c r="AL749" i="2"/>
  <c r="AK749" i="2"/>
  <c r="BQ748" i="2"/>
  <c r="BP748" i="2"/>
  <c r="AB748" i="1"/>
  <c r="BO748" i="2"/>
  <c r="AA748" i="1"/>
  <c r="BN748" i="2"/>
  <c r="BM748" i="2"/>
  <c r="BL748" i="2"/>
  <c r="BK748" i="2"/>
  <c r="W748" i="1"/>
  <c r="BJ748" i="2"/>
  <c r="BI748" i="2"/>
  <c r="BH748" i="2"/>
  <c r="T748" i="1"/>
  <c r="BG748" i="2"/>
  <c r="BF748" i="2"/>
  <c r="BE748" i="2"/>
  <c r="BD748" i="2"/>
  <c r="BC748" i="2"/>
  <c r="BB748" i="2"/>
  <c r="BA748" i="2"/>
  <c r="AZ748" i="2"/>
  <c r="AY748" i="2"/>
  <c r="AX748" i="2"/>
  <c r="J748" i="1"/>
  <c r="AW748" i="2"/>
  <c r="I748" i="1"/>
  <c r="AV748" i="2"/>
  <c r="AU748" i="2"/>
  <c r="AT748" i="2"/>
  <c r="AS748" i="2"/>
  <c r="AR748" i="2"/>
  <c r="AQ748" i="2"/>
  <c r="AP748" i="2"/>
  <c r="AO748" i="2"/>
  <c r="AL748" i="2"/>
  <c r="AK748" i="2"/>
  <c r="BQ747" i="2"/>
  <c r="BP747" i="2"/>
  <c r="AB747" i="1"/>
  <c r="BO747" i="2"/>
  <c r="AA747" i="1"/>
  <c r="BN747" i="2"/>
  <c r="BM747" i="2"/>
  <c r="BL747" i="2"/>
  <c r="BK747" i="2"/>
  <c r="W747" i="1"/>
  <c r="BJ747" i="2"/>
  <c r="BI747" i="2"/>
  <c r="BH747" i="2"/>
  <c r="T747" i="1"/>
  <c r="BG747" i="2"/>
  <c r="BF747" i="2"/>
  <c r="BE747" i="2"/>
  <c r="BD747" i="2"/>
  <c r="BC747" i="2"/>
  <c r="BB747" i="2"/>
  <c r="BA747" i="2"/>
  <c r="AZ747" i="2"/>
  <c r="AY747" i="2"/>
  <c r="AX747" i="2"/>
  <c r="J747" i="1"/>
  <c r="AW747" i="2"/>
  <c r="I747" i="1"/>
  <c r="AV747" i="2"/>
  <c r="AU747" i="2"/>
  <c r="AT747" i="2"/>
  <c r="AS747" i="2"/>
  <c r="AR747" i="2"/>
  <c r="AQ747" i="2"/>
  <c r="AP747" i="2"/>
  <c r="AO747" i="2"/>
  <c r="AL747" i="2"/>
  <c r="AK747" i="2"/>
  <c r="BQ746" i="2"/>
  <c r="BP746" i="2"/>
  <c r="AB746" i="1"/>
  <c r="BO746" i="2"/>
  <c r="AA746" i="1"/>
  <c r="BN746" i="2"/>
  <c r="BM746" i="2"/>
  <c r="BL746" i="2"/>
  <c r="BK746" i="2"/>
  <c r="W746" i="1"/>
  <c r="BJ746" i="2"/>
  <c r="BI746" i="2"/>
  <c r="BH746" i="2"/>
  <c r="T746" i="1"/>
  <c r="BG746" i="2"/>
  <c r="BF746" i="2"/>
  <c r="BE746" i="2"/>
  <c r="BD746" i="2"/>
  <c r="BC746" i="2"/>
  <c r="BB746" i="2"/>
  <c r="BA746" i="2"/>
  <c r="AZ746" i="2"/>
  <c r="AY746" i="2"/>
  <c r="AX746" i="2"/>
  <c r="J746" i="1"/>
  <c r="AW746" i="2"/>
  <c r="I746" i="1"/>
  <c r="AV746" i="2"/>
  <c r="AU746" i="2"/>
  <c r="AT746" i="2"/>
  <c r="AS746" i="2"/>
  <c r="AR746" i="2"/>
  <c r="AQ746" i="2"/>
  <c r="AP746" i="2"/>
  <c r="AO746" i="2"/>
  <c r="AL746" i="2"/>
  <c r="AK746" i="2"/>
  <c r="BQ745" i="2"/>
  <c r="BP745" i="2"/>
  <c r="AB745" i="1"/>
  <c r="BO745" i="2"/>
  <c r="AA745" i="1"/>
  <c r="BN745" i="2"/>
  <c r="BM745" i="2"/>
  <c r="BL745" i="2"/>
  <c r="BK745" i="2"/>
  <c r="W745" i="1"/>
  <c r="BJ745" i="2"/>
  <c r="BI745" i="2"/>
  <c r="BH745" i="2"/>
  <c r="T745" i="1"/>
  <c r="BG745" i="2"/>
  <c r="BF745" i="2"/>
  <c r="BE745" i="2"/>
  <c r="BD745" i="2"/>
  <c r="BC745" i="2"/>
  <c r="BB745" i="2"/>
  <c r="BA745" i="2"/>
  <c r="AZ745" i="2"/>
  <c r="AY745" i="2"/>
  <c r="AX745" i="2"/>
  <c r="J745" i="1"/>
  <c r="AW745" i="2"/>
  <c r="I745" i="1"/>
  <c r="AV745" i="2"/>
  <c r="AU745" i="2"/>
  <c r="AT745" i="2"/>
  <c r="AS745" i="2"/>
  <c r="AR745" i="2"/>
  <c r="AQ745" i="2"/>
  <c r="AP745" i="2"/>
  <c r="AO745" i="2"/>
  <c r="AL745" i="2"/>
  <c r="AK745" i="2"/>
  <c r="BQ744" i="2"/>
  <c r="BP744" i="2"/>
  <c r="AB744" i="1"/>
  <c r="BO744" i="2"/>
  <c r="AA744" i="1"/>
  <c r="BN744" i="2"/>
  <c r="BM744" i="2"/>
  <c r="BL744" i="2"/>
  <c r="BK744" i="2"/>
  <c r="W744" i="1"/>
  <c r="BJ744" i="2"/>
  <c r="BI744" i="2"/>
  <c r="BH744" i="2"/>
  <c r="T744" i="1"/>
  <c r="BG744" i="2"/>
  <c r="BF744" i="2"/>
  <c r="BE744" i="2"/>
  <c r="BD744" i="2"/>
  <c r="BC744" i="2"/>
  <c r="BB744" i="2"/>
  <c r="BA744" i="2"/>
  <c r="AZ744" i="2"/>
  <c r="AY744" i="2"/>
  <c r="AX744" i="2"/>
  <c r="J744" i="1"/>
  <c r="AW744" i="2"/>
  <c r="I744" i="1"/>
  <c r="AV744" i="2"/>
  <c r="AU744" i="2"/>
  <c r="AT744" i="2"/>
  <c r="AS744" i="2"/>
  <c r="AR744" i="2"/>
  <c r="AQ744" i="2"/>
  <c r="AP744" i="2"/>
  <c r="AO744" i="2"/>
  <c r="AL744" i="2"/>
  <c r="AK744" i="2"/>
  <c r="BQ743" i="2"/>
  <c r="BP743" i="2"/>
  <c r="AB743" i="1"/>
  <c r="BO743" i="2"/>
  <c r="AA743" i="1"/>
  <c r="BN743" i="2"/>
  <c r="BM743" i="2"/>
  <c r="BL743" i="2"/>
  <c r="BK743" i="2"/>
  <c r="W743" i="1"/>
  <c r="BJ743" i="2"/>
  <c r="BI743" i="2"/>
  <c r="BH743" i="2"/>
  <c r="T743" i="1"/>
  <c r="BG743" i="2"/>
  <c r="BF743" i="2"/>
  <c r="BE743" i="2"/>
  <c r="BD743" i="2"/>
  <c r="BC743" i="2"/>
  <c r="BB743" i="2"/>
  <c r="BA743" i="2"/>
  <c r="AZ743" i="2"/>
  <c r="AY743" i="2"/>
  <c r="AX743" i="2"/>
  <c r="J743" i="1"/>
  <c r="AW743" i="2"/>
  <c r="I743" i="1"/>
  <c r="AV743" i="2"/>
  <c r="AU743" i="2"/>
  <c r="AT743" i="2"/>
  <c r="AS743" i="2"/>
  <c r="AR743" i="2"/>
  <c r="AQ743" i="2"/>
  <c r="AP743" i="2"/>
  <c r="AO743" i="2"/>
  <c r="AL743" i="2"/>
  <c r="AK743" i="2"/>
  <c r="BQ742" i="2"/>
  <c r="BP742" i="2"/>
  <c r="AB742" i="1"/>
  <c r="BO742" i="2"/>
  <c r="AA742" i="1"/>
  <c r="BN742" i="2"/>
  <c r="BM742" i="2"/>
  <c r="BL742" i="2"/>
  <c r="BK742" i="2"/>
  <c r="W742" i="1"/>
  <c r="BJ742" i="2"/>
  <c r="BI742" i="2"/>
  <c r="BH742" i="2"/>
  <c r="T742" i="1"/>
  <c r="BG742" i="2"/>
  <c r="BF742" i="2"/>
  <c r="BE742" i="2"/>
  <c r="BD742" i="2"/>
  <c r="BC742" i="2"/>
  <c r="BB742" i="2"/>
  <c r="BA742" i="2"/>
  <c r="AZ742" i="2"/>
  <c r="AY742" i="2"/>
  <c r="AX742" i="2"/>
  <c r="J742" i="1"/>
  <c r="AW742" i="2"/>
  <c r="I742" i="1"/>
  <c r="AV742" i="2"/>
  <c r="AU742" i="2"/>
  <c r="AT742" i="2"/>
  <c r="AS742" i="2"/>
  <c r="AR742" i="2"/>
  <c r="AQ742" i="2"/>
  <c r="AP742" i="2"/>
  <c r="AO742" i="2"/>
  <c r="AL742" i="2"/>
  <c r="AK742" i="2"/>
  <c r="BQ741" i="2"/>
  <c r="BP741" i="2"/>
  <c r="AB741" i="1"/>
  <c r="BO741" i="2"/>
  <c r="AA741" i="1"/>
  <c r="BN741" i="2"/>
  <c r="BM741" i="2"/>
  <c r="BL741" i="2"/>
  <c r="BK741" i="2"/>
  <c r="W741" i="1"/>
  <c r="BJ741" i="2"/>
  <c r="BI741" i="2"/>
  <c r="BH741" i="2"/>
  <c r="T741" i="1"/>
  <c r="BG741" i="2"/>
  <c r="BF741" i="2"/>
  <c r="BE741" i="2"/>
  <c r="BD741" i="2"/>
  <c r="BC741" i="2"/>
  <c r="BB741" i="2"/>
  <c r="BA741" i="2"/>
  <c r="AZ741" i="2"/>
  <c r="AY741" i="2"/>
  <c r="AX741" i="2"/>
  <c r="J741" i="1"/>
  <c r="AW741" i="2"/>
  <c r="I741" i="1"/>
  <c r="AV741" i="2"/>
  <c r="AU741" i="2"/>
  <c r="AT741" i="2"/>
  <c r="AS741" i="2"/>
  <c r="AR741" i="2"/>
  <c r="AQ741" i="2"/>
  <c r="AP741" i="2"/>
  <c r="AO741" i="2"/>
  <c r="AL741" i="2"/>
  <c r="AK741" i="2"/>
  <c r="BQ740" i="2"/>
  <c r="BP740" i="2"/>
  <c r="AB740" i="1"/>
  <c r="BO740" i="2"/>
  <c r="AA740" i="1"/>
  <c r="BN740" i="2"/>
  <c r="BM740" i="2"/>
  <c r="BL740" i="2"/>
  <c r="BK740" i="2"/>
  <c r="W740" i="1"/>
  <c r="BJ740" i="2"/>
  <c r="BI740" i="2"/>
  <c r="BH740" i="2"/>
  <c r="T740" i="1"/>
  <c r="BG740" i="2"/>
  <c r="BF740" i="2"/>
  <c r="BE740" i="2"/>
  <c r="BD740" i="2"/>
  <c r="BC740" i="2"/>
  <c r="BB740" i="2"/>
  <c r="BA740" i="2"/>
  <c r="AZ740" i="2"/>
  <c r="AY740" i="2"/>
  <c r="AX740" i="2"/>
  <c r="J740" i="1"/>
  <c r="AW740" i="2"/>
  <c r="I740" i="1"/>
  <c r="AV740" i="2"/>
  <c r="AU740" i="2"/>
  <c r="AT740" i="2"/>
  <c r="AS740" i="2"/>
  <c r="AR740" i="2"/>
  <c r="AQ740" i="2"/>
  <c r="AP740" i="2"/>
  <c r="AO740" i="2"/>
  <c r="AL740" i="2"/>
  <c r="AK740" i="2"/>
  <c r="BQ739" i="2"/>
  <c r="BP739" i="2"/>
  <c r="AB739" i="1"/>
  <c r="BO739" i="2"/>
  <c r="AA739" i="1"/>
  <c r="BN739" i="2"/>
  <c r="BM739" i="2"/>
  <c r="BL739" i="2"/>
  <c r="BK739" i="2"/>
  <c r="W739" i="1"/>
  <c r="BJ739" i="2"/>
  <c r="BI739" i="2"/>
  <c r="BH739" i="2"/>
  <c r="T739" i="1"/>
  <c r="BG739" i="2"/>
  <c r="BF739" i="2"/>
  <c r="BE739" i="2"/>
  <c r="BD739" i="2"/>
  <c r="BC739" i="2"/>
  <c r="BB739" i="2"/>
  <c r="BA739" i="2"/>
  <c r="AZ739" i="2"/>
  <c r="AY739" i="2"/>
  <c r="AX739" i="2"/>
  <c r="J739" i="1"/>
  <c r="AW739" i="2"/>
  <c r="I739" i="1"/>
  <c r="AV739" i="2"/>
  <c r="AU739" i="2"/>
  <c r="AT739" i="2"/>
  <c r="AS739" i="2"/>
  <c r="AR739" i="2"/>
  <c r="AQ739" i="2"/>
  <c r="AP739" i="2"/>
  <c r="AO739" i="2"/>
  <c r="AL739" i="2"/>
  <c r="AK739" i="2"/>
  <c r="BQ738" i="2"/>
  <c r="BP738" i="2"/>
  <c r="AB738" i="1"/>
  <c r="BO738" i="2"/>
  <c r="AA738" i="1"/>
  <c r="BN738" i="2"/>
  <c r="BM738" i="2"/>
  <c r="BL738" i="2"/>
  <c r="BK738" i="2"/>
  <c r="W738" i="1"/>
  <c r="BJ738" i="2"/>
  <c r="BI738" i="2"/>
  <c r="BH738" i="2"/>
  <c r="T738" i="1"/>
  <c r="BG738" i="2"/>
  <c r="BF738" i="2"/>
  <c r="BE738" i="2"/>
  <c r="BD738" i="2"/>
  <c r="BC738" i="2"/>
  <c r="BB738" i="2"/>
  <c r="BA738" i="2"/>
  <c r="AZ738" i="2"/>
  <c r="AY738" i="2"/>
  <c r="AX738" i="2"/>
  <c r="J738" i="1"/>
  <c r="AW738" i="2"/>
  <c r="I738" i="1"/>
  <c r="AV738" i="2"/>
  <c r="AU738" i="2"/>
  <c r="AT738" i="2"/>
  <c r="AS738" i="2"/>
  <c r="AR738" i="2"/>
  <c r="AQ738" i="2"/>
  <c r="AP738" i="2"/>
  <c r="AO738" i="2"/>
  <c r="AL738" i="2"/>
  <c r="AK738" i="2"/>
  <c r="BQ737" i="2"/>
  <c r="BP737" i="2"/>
  <c r="AB737" i="1"/>
  <c r="BO737" i="2"/>
  <c r="AA737" i="1"/>
  <c r="BN737" i="2"/>
  <c r="BM737" i="2"/>
  <c r="BL737" i="2"/>
  <c r="BK737" i="2"/>
  <c r="W737" i="1"/>
  <c r="BJ737" i="2"/>
  <c r="BI737" i="2"/>
  <c r="BH737" i="2"/>
  <c r="T737" i="1"/>
  <c r="BG737" i="2"/>
  <c r="BF737" i="2"/>
  <c r="BE737" i="2"/>
  <c r="BD737" i="2"/>
  <c r="BC737" i="2"/>
  <c r="BB737" i="2"/>
  <c r="BA737" i="2"/>
  <c r="AZ737" i="2"/>
  <c r="AY737" i="2"/>
  <c r="AX737" i="2"/>
  <c r="J737" i="1"/>
  <c r="AW737" i="2"/>
  <c r="I737" i="1"/>
  <c r="AV737" i="2"/>
  <c r="AU737" i="2"/>
  <c r="AT737" i="2"/>
  <c r="AS737" i="2"/>
  <c r="AR737" i="2"/>
  <c r="AQ737" i="2"/>
  <c r="AP737" i="2"/>
  <c r="AO737" i="2"/>
  <c r="AL737" i="2"/>
  <c r="AK737" i="2"/>
  <c r="BQ736" i="2"/>
  <c r="BP736" i="2"/>
  <c r="AB736" i="1"/>
  <c r="BO736" i="2"/>
  <c r="AA736" i="1"/>
  <c r="BN736" i="2"/>
  <c r="BM736" i="2"/>
  <c r="BL736" i="2"/>
  <c r="BK736" i="2"/>
  <c r="W736" i="1"/>
  <c r="BJ736" i="2"/>
  <c r="BI736" i="2"/>
  <c r="BH736" i="2"/>
  <c r="T736" i="1"/>
  <c r="BG736" i="2"/>
  <c r="BF736" i="2"/>
  <c r="BE736" i="2"/>
  <c r="BD736" i="2"/>
  <c r="BC736" i="2"/>
  <c r="BB736" i="2"/>
  <c r="BA736" i="2"/>
  <c r="AZ736" i="2"/>
  <c r="AY736" i="2"/>
  <c r="AX736" i="2"/>
  <c r="J736" i="1"/>
  <c r="AW736" i="2"/>
  <c r="I736" i="1"/>
  <c r="AV736" i="2"/>
  <c r="AU736" i="2"/>
  <c r="AT736" i="2"/>
  <c r="AS736" i="2"/>
  <c r="AR736" i="2"/>
  <c r="AQ736" i="2"/>
  <c r="AP736" i="2"/>
  <c r="AO736" i="2"/>
  <c r="AL736" i="2"/>
  <c r="AK736" i="2"/>
  <c r="BQ735" i="2"/>
  <c r="BP735" i="2"/>
  <c r="AB735" i="1"/>
  <c r="BO735" i="2"/>
  <c r="AA735" i="1"/>
  <c r="BN735" i="2"/>
  <c r="BM735" i="2"/>
  <c r="BL735" i="2"/>
  <c r="BK735" i="2"/>
  <c r="W735" i="1"/>
  <c r="BJ735" i="2"/>
  <c r="BI735" i="2"/>
  <c r="BH735" i="2"/>
  <c r="T735" i="1"/>
  <c r="BG735" i="2"/>
  <c r="BF735" i="2"/>
  <c r="BE735" i="2"/>
  <c r="BD735" i="2"/>
  <c r="BC735" i="2"/>
  <c r="BB735" i="2"/>
  <c r="BA735" i="2"/>
  <c r="AZ735" i="2"/>
  <c r="AY735" i="2"/>
  <c r="AX735" i="2"/>
  <c r="J735" i="1"/>
  <c r="AW735" i="2"/>
  <c r="I735" i="1"/>
  <c r="AV735" i="2"/>
  <c r="AU735" i="2"/>
  <c r="AT735" i="2"/>
  <c r="AS735" i="2"/>
  <c r="AR735" i="2"/>
  <c r="AQ735" i="2"/>
  <c r="AP735" i="2"/>
  <c r="AO735" i="2"/>
  <c r="AL735" i="2"/>
  <c r="AK735" i="2"/>
  <c r="BQ734" i="2"/>
  <c r="BP734" i="2"/>
  <c r="AB734" i="1"/>
  <c r="BO734" i="2"/>
  <c r="AA734" i="1"/>
  <c r="BN734" i="2"/>
  <c r="BM734" i="2"/>
  <c r="BL734" i="2"/>
  <c r="BK734" i="2"/>
  <c r="W734" i="1"/>
  <c r="BJ734" i="2"/>
  <c r="BI734" i="2"/>
  <c r="BH734" i="2"/>
  <c r="T734" i="1"/>
  <c r="BG734" i="2"/>
  <c r="BF734" i="2"/>
  <c r="BE734" i="2"/>
  <c r="BD734" i="2"/>
  <c r="BC734" i="2"/>
  <c r="BB734" i="2"/>
  <c r="BA734" i="2"/>
  <c r="AZ734" i="2"/>
  <c r="AY734" i="2"/>
  <c r="AX734" i="2"/>
  <c r="J734" i="1"/>
  <c r="AW734" i="2"/>
  <c r="I734" i="1"/>
  <c r="AV734" i="2"/>
  <c r="AU734" i="2"/>
  <c r="AT734" i="2"/>
  <c r="AS734" i="2"/>
  <c r="AR734" i="2"/>
  <c r="AQ734" i="2"/>
  <c r="AP734" i="2"/>
  <c r="AO734" i="2"/>
  <c r="AL734" i="2"/>
  <c r="AK734" i="2"/>
  <c r="BQ733" i="2"/>
  <c r="BP733" i="2"/>
  <c r="AB733" i="1"/>
  <c r="BO733" i="2"/>
  <c r="AA733" i="1"/>
  <c r="BN733" i="2"/>
  <c r="BM733" i="2"/>
  <c r="BL733" i="2"/>
  <c r="BK733" i="2"/>
  <c r="W733" i="1"/>
  <c r="BJ733" i="2"/>
  <c r="BI733" i="2"/>
  <c r="BH733" i="2"/>
  <c r="T733" i="1"/>
  <c r="BG733" i="2"/>
  <c r="BF733" i="2"/>
  <c r="BE733" i="2"/>
  <c r="BD733" i="2"/>
  <c r="BC733" i="2"/>
  <c r="BB733" i="2"/>
  <c r="BA733" i="2"/>
  <c r="AZ733" i="2"/>
  <c r="AY733" i="2"/>
  <c r="AX733" i="2"/>
  <c r="J733" i="1"/>
  <c r="AW733" i="2"/>
  <c r="I733" i="1"/>
  <c r="AV733" i="2"/>
  <c r="AU733" i="2"/>
  <c r="AT733" i="2"/>
  <c r="AS733" i="2"/>
  <c r="AR733" i="2"/>
  <c r="AQ733" i="2"/>
  <c r="AP733" i="2"/>
  <c r="AO733" i="2"/>
  <c r="AL733" i="2"/>
  <c r="AK733" i="2"/>
  <c r="BQ732" i="2"/>
  <c r="BP732" i="2"/>
  <c r="AB732" i="1"/>
  <c r="BO732" i="2"/>
  <c r="AA732" i="1"/>
  <c r="BN732" i="2"/>
  <c r="BM732" i="2"/>
  <c r="BL732" i="2"/>
  <c r="BK732" i="2"/>
  <c r="W732" i="1"/>
  <c r="BJ732" i="2"/>
  <c r="BI732" i="2"/>
  <c r="BH732" i="2"/>
  <c r="T732" i="1"/>
  <c r="BG732" i="2"/>
  <c r="BF732" i="2"/>
  <c r="BE732" i="2"/>
  <c r="BD732" i="2"/>
  <c r="BC732" i="2"/>
  <c r="BB732" i="2"/>
  <c r="BA732" i="2"/>
  <c r="AZ732" i="2"/>
  <c r="AY732" i="2"/>
  <c r="AX732" i="2"/>
  <c r="J732" i="1"/>
  <c r="AW732" i="2"/>
  <c r="I732" i="1"/>
  <c r="AV732" i="2"/>
  <c r="AU732" i="2"/>
  <c r="AT732" i="2"/>
  <c r="AS732" i="2"/>
  <c r="AR732" i="2"/>
  <c r="AQ732" i="2"/>
  <c r="AP732" i="2"/>
  <c r="AO732" i="2"/>
  <c r="AL732" i="2"/>
  <c r="AK732" i="2"/>
  <c r="BQ731" i="2"/>
  <c r="BP731" i="2"/>
  <c r="AB731" i="1"/>
  <c r="BO731" i="2"/>
  <c r="AA731" i="1"/>
  <c r="BN731" i="2"/>
  <c r="BM731" i="2"/>
  <c r="BL731" i="2"/>
  <c r="BK731" i="2"/>
  <c r="W731" i="1"/>
  <c r="BJ731" i="2"/>
  <c r="BI731" i="2"/>
  <c r="BH731" i="2"/>
  <c r="T731" i="1"/>
  <c r="BG731" i="2"/>
  <c r="BF731" i="2"/>
  <c r="BE731" i="2"/>
  <c r="BD731" i="2"/>
  <c r="BC731" i="2"/>
  <c r="BB731" i="2"/>
  <c r="BA731" i="2"/>
  <c r="AZ731" i="2"/>
  <c r="AY731" i="2"/>
  <c r="AX731" i="2"/>
  <c r="J731" i="1"/>
  <c r="AW731" i="2"/>
  <c r="I731" i="1"/>
  <c r="AV731" i="2"/>
  <c r="AU731" i="2"/>
  <c r="AT731" i="2"/>
  <c r="AS731" i="2"/>
  <c r="AR731" i="2"/>
  <c r="AQ731" i="2"/>
  <c r="AP731" i="2"/>
  <c r="AO731" i="2"/>
  <c r="AL731" i="2"/>
  <c r="AK731" i="2"/>
  <c r="BQ730" i="2"/>
  <c r="BP730" i="2"/>
  <c r="AB730" i="1"/>
  <c r="BO730" i="2"/>
  <c r="AA730" i="1"/>
  <c r="BN730" i="2"/>
  <c r="BM730" i="2"/>
  <c r="BL730" i="2"/>
  <c r="BK730" i="2"/>
  <c r="W730" i="1"/>
  <c r="BJ730" i="2"/>
  <c r="BI730" i="2"/>
  <c r="BH730" i="2"/>
  <c r="T730" i="1"/>
  <c r="BG730" i="2"/>
  <c r="BF730" i="2"/>
  <c r="BE730" i="2"/>
  <c r="BD730" i="2"/>
  <c r="BC730" i="2"/>
  <c r="BB730" i="2"/>
  <c r="BA730" i="2"/>
  <c r="AZ730" i="2"/>
  <c r="AY730" i="2"/>
  <c r="AX730" i="2"/>
  <c r="J730" i="1"/>
  <c r="AW730" i="2"/>
  <c r="I730" i="1"/>
  <c r="AV730" i="2"/>
  <c r="AU730" i="2"/>
  <c r="AT730" i="2"/>
  <c r="AS730" i="2"/>
  <c r="AR730" i="2"/>
  <c r="AQ730" i="2"/>
  <c r="AP730" i="2"/>
  <c r="AO730" i="2"/>
  <c r="AL730" i="2"/>
  <c r="AK730" i="2"/>
  <c r="BQ729" i="2"/>
  <c r="BP729" i="2"/>
  <c r="AB729" i="1"/>
  <c r="BO729" i="2"/>
  <c r="AA729" i="1"/>
  <c r="BN729" i="2"/>
  <c r="BM729" i="2"/>
  <c r="BL729" i="2"/>
  <c r="BK729" i="2"/>
  <c r="W729" i="1"/>
  <c r="BJ729" i="2"/>
  <c r="BI729" i="2"/>
  <c r="BH729" i="2"/>
  <c r="T729" i="1"/>
  <c r="BG729" i="2"/>
  <c r="BF729" i="2"/>
  <c r="BE729" i="2"/>
  <c r="BD729" i="2"/>
  <c r="BC729" i="2"/>
  <c r="BB729" i="2"/>
  <c r="BA729" i="2"/>
  <c r="AZ729" i="2"/>
  <c r="AY729" i="2"/>
  <c r="AX729" i="2"/>
  <c r="J729" i="1"/>
  <c r="AW729" i="2"/>
  <c r="I729" i="1"/>
  <c r="AV729" i="2"/>
  <c r="AU729" i="2"/>
  <c r="AT729" i="2"/>
  <c r="AS729" i="2"/>
  <c r="AR729" i="2"/>
  <c r="AQ729" i="2"/>
  <c r="AP729" i="2"/>
  <c r="AO729" i="2"/>
  <c r="AL729" i="2"/>
  <c r="AK729" i="2"/>
  <c r="BQ728" i="2"/>
  <c r="BP728" i="2"/>
  <c r="AB728" i="1"/>
  <c r="BO728" i="2"/>
  <c r="AA728" i="1"/>
  <c r="BN728" i="2"/>
  <c r="BM728" i="2"/>
  <c r="BL728" i="2"/>
  <c r="BK728" i="2"/>
  <c r="W728" i="1"/>
  <c r="BJ728" i="2"/>
  <c r="BI728" i="2"/>
  <c r="BH728" i="2"/>
  <c r="T728" i="1"/>
  <c r="BG728" i="2"/>
  <c r="BF728" i="2"/>
  <c r="BE728" i="2"/>
  <c r="BD728" i="2"/>
  <c r="BC728" i="2"/>
  <c r="BB728" i="2"/>
  <c r="BA728" i="2"/>
  <c r="AZ728" i="2"/>
  <c r="AY728" i="2"/>
  <c r="AX728" i="2"/>
  <c r="J728" i="1"/>
  <c r="AW728" i="2"/>
  <c r="I728" i="1"/>
  <c r="AV728" i="2"/>
  <c r="AU728" i="2"/>
  <c r="AT728" i="2"/>
  <c r="AS728" i="2"/>
  <c r="AR728" i="2"/>
  <c r="AQ728" i="2"/>
  <c r="AP728" i="2"/>
  <c r="AO728" i="2"/>
  <c r="AL728" i="2"/>
  <c r="AK728" i="2"/>
  <c r="BQ727" i="2"/>
  <c r="BP727" i="2"/>
  <c r="AB727" i="1"/>
  <c r="BO727" i="2"/>
  <c r="AA727" i="1"/>
  <c r="BN727" i="2"/>
  <c r="BM727" i="2"/>
  <c r="BL727" i="2"/>
  <c r="BK727" i="2"/>
  <c r="W727" i="1"/>
  <c r="BJ727" i="2"/>
  <c r="BI727" i="2"/>
  <c r="BH727" i="2"/>
  <c r="T727" i="1"/>
  <c r="BG727" i="2"/>
  <c r="BF727" i="2"/>
  <c r="BE727" i="2"/>
  <c r="BD727" i="2"/>
  <c r="BC727" i="2"/>
  <c r="BB727" i="2"/>
  <c r="BA727" i="2"/>
  <c r="AZ727" i="2"/>
  <c r="AY727" i="2"/>
  <c r="AX727" i="2"/>
  <c r="J727" i="1"/>
  <c r="AW727" i="2"/>
  <c r="I727" i="1"/>
  <c r="AV727" i="2"/>
  <c r="AU727" i="2"/>
  <c r="AT727" i="2"/>
  <c r="AS727" i="2"/>
  <c r="AR727" i="2"/>
  <c r="AQ727" i="2"/>
  <c r="AP727" i="2"/>
  <c r="AO727" i="2"/>
  <c r="AL727" i="2"/>
  <c r="AK727" i="2"/>
  <c r="BQ726" i="2"/>
  <c r="BP726" i="2"/>
  <c r="AB726" i="1"/>
  <c r="BO726" i="2"/>
  <c r="AA726" i="1"/>
  <c r="BN726" i="2"/>
  <c r="BM726" i="2"/>
  <c r="BL726" i="2"/>
  <c r="BK726" i="2"/>
  <c r="W726" i="1"/>
  <c r="BJ726" i="2"/>
  <c r="BI726" i="2"/>
  <c r="BH726" i="2"/>
  <c r="T726" i="1"/>
  <c r="BG726" i="2"/>
  <c r="BF726" i="2"/>
  <c r="BE726" i="2"/>
  <c r="BD726" i="2"/>
  <c r="BC726" i="2"/>
  <c r="BB726" i="2"/>
  <c r="BA726" i="2"/>
  <c r="AZ726" i="2"/>
  <c r="AY726" i="2"/>
  <c r="AX726" i="2"/>
  <c r="J726" i="1"/>
  <c r="AW726" i="2"/>
  <c r="I726" i="1"/>
  <c r="AV726" i="2"/>
  <c r="AU726" i="2"/>
  <c r="AT726" i="2"/>
  <c r="AS726" i="2"/>
  <c r="AR726" i="2"/>
  <c r="AQ726" i="2"/>
  <c r="AP726" i="2"/>
  <c r="AO726" i="2"/>
  <c r="AL726" i="2"/>
  <c r="AK726" i="2"/>
  <c r="BQ725" i="2"/>
  <c r="BP725" i="2"/>
  <c r="AB725" i="1"/>
  <c r="BO725" i="2"/>
  <c r="AA725" i="1"/>
  <c r="BN725" i="2"/>
  <c r="BM725" i="2"/>
  <c r="BL725" i="2"/>
  <c r="BK725" i="2"/>
  <c r="W725" i="1"/>
  <c r="BJ725" i="2"/>
  <c r="BI725" i="2"/>
  <c r="BH725" i="2"/>
  <c r="T725" i="1"/>
  <c r="BG725" i="2"/>
  <c r="BF725" i="2"/>
  <c r="BE725" i="2"/>
  <c r="BD725" i="2"/>
  <c r="BC725" i="2"/>
  <c r="BB725" i="2"/>
  <c r="BA725" i="2"/>
  <c r="AZ725" i="2"/>
  <c r="AY725" i="2"/>
  <c r="AX725" i="2"/>
  <c r="J725" i="1"/>
  <c r="AW725" i="2"/>
  <c r="I725" i="1"/>
  <c r="AV725" i="2"/>
  <c r="AU725" i="2"/>
  <c r="AT725" i="2"/>
  <c r="AS725" i="2"/>
  <c r="AR725" i="2"/>
  <c r="AQ725" i="2"/>
  <c r="AP725" i="2"/>
  <c r="AO725" i="2"/>
  <c r="AL725" i="2"/>
  <c r="AK725" i="2"/>
  <c r="BQ724" i="2"/>
  <c r="BP724" i="2"/>
  <c r="AB724" i="1"/>
  <c r="BO724" i="2"/>
  <c r="AA724" i="1"/>
  <c r="BN724" i="2"/>
  <c r="BM724" i="2"/>
  <c r="BL724" i="2"/>
  <c r="BK724" i="2"/>
  <c r="W724" i="1"/>
  <c r="BJ724" i="2"/>
  <c r="BI724" i="2"/>
  <c r="BH724" i="2"/>
  <c r="T724" i="1"/>
  <c r="BG724" i="2"/>
  <c r="BF724" i="2"/>
  <c r="BE724" i="2"/>
  <c r="BD724" i="2"/>
  <c r="BC724" i="2"/>
  <c r="BB724" i="2"/>
  <c r="BA724" i="2"/>
  <c r="AZ724" i="2"/>
  <c r="AY724" i="2"/>
  <c r="AX724" i="2"/>
  <c r="J724" i="1"/>
  <c r="AW724" i="2"/>
  <c r="I724" i="1"/>
  <c r="AV724" i="2"/>
  <c r="AU724" i="2"/>
  <c r="AT724" i="2"/>
  <c r="AS724" i="2"/>
  <c r="AR724" i="2"/>
  <c r="AQ724" i="2"/>
  <c r="AP724" i="2"/>
  <c r="AO724" i="2"/>
  <c r="AL724" i="2"/>
  <c r="AK724" i="2"/>
  <c r="BQ723" i="2"/>
  <c r="BP723" i="2"/>
  <c r="AB723" i="1"/>
  <c r="BO723" i="2"/>
  <c r="AA723" i="1"/>
  <c r="BN723" i="2"/>
  <c r="BM723" i="2"/>
  <c r="BL723" i="2"/>
  <c r="BK723" i="2"/>
  <c r="W723" i="1"/>
  <c r="BJ723" i="2"/>
  <c r="BI723" i="2"/>
  <c r="BH723" i="2"/>
  <c r="T723" i="1"/>
  <c r="BG723" i="2"/>
  <c r="BF723" i="2"/>
  <c r="BE723" i="2"/>
  <c r="BD723" i="2"/>
  <c r="BC723" i="2"/>
  <c r="BB723" i="2"/>
  <c r="BA723" i="2"/>
  <c r="AZ723" i="2"/>
  <c r="AY723" i="2"/>
  <c r="AX723" i="2"/>
  <c r="J723" i="1"/>
  <c r="AW723" i="2"/>
  <c r="I723" i="1"/>
  <c r="AV723" i="2"/>
  <c r="AU723" i="2"/>
  <c r="AT723" i="2"/>
  <c r="AS723" i="2"/>
  <c r="AR723" i="2"/>
  <c r="AQ723" i="2"/>
  <c r="AP723" i="2"/>
  <c r="AO723" i="2"/>
  <c r="AL723" i="2"/>
  <c r="AK723" i="2"/>
  <c r="BQ722" i="2"/>
  <c r="BP722" i="2"/>
  <c r="AB722" i="1"/>
  <c r="BO722" i="2"/>
  <c r="AA722" i="1"/>
  <c r="BN722" i="2"/>
  <c r="BM722" i="2"/>
  <c r="BL722" i="2"/>
  <c r="BK722" i="2"/>
  <c r="W722" i="1"/>
  <c r="BJ722" i="2"/>
  <c r="BI722" i="2"/>
  <c r="BH722" i="2"/>
  <c r="T722" i="1"/>
  <c r="BG722" i="2"/>
  <c r="BF722" i="2"/>
  <c r="BE722" i="2"/>
  <c r="BD722" i="2"/>
  <c r="BC722" i="2"/>
  <c r="BB722" i="2"/>
  <c r="BA722" i="2"/>
  <c r="AZ722" i="2"/>
  <c r="AY722" i="2"/>
  <c r="AX722" i="2"/>
  <c r="J722" i="1"/>
  <c r="AW722" i="2"/>
  <c r="I722" i="1"/>
  <c r="AV722" i="2"/>
  <c r="AU722" i="2"/>
  <c r="AT722" i="2"/>
  <c r="AS722" i="2"/>
  <c r="AR722" i="2"/>
  <c r="AQ722" i="2"/>
  <c r="AP722" i="2"/>
  <c r="AO722" i="2"/>
  <c r="AL722" i="2"/>
  <c r="AK722" i="2"/>
  <c r="BQ721" i="2"/>
  <c r="BP721" i="2"/>
  <c r="AB721" i="1"/>
  <c r="BO721" i="2"/>
  <c r="AA721" i="1"/>
  <c r="BN721" i="2"/>
  <c r="BM721" i="2"/>
  <c r="BL721" i="2"/>
  <c r="BK721" i="2"/>
  <c r="W721" i="1"/>
  <c r="BJ721" i="2"/>
  <c r="BI721" i="2"/>
  <c r="BH721" i="2"/>
  <c r="T721" i="1"/>
  <c r="BG721" i="2"/>
  <c r="BF721" i="2"/>
  <c r="BE721" i="2"/>
  <c r="BD721" i="2"/>
  <c r="BC721" i="2"/>
  <c r="BB721" i="2"/>
  <c r="BA721" i="2"/>
  <c r="AZ721" i="2"/>
  <c r="AY721" i="2"/>
  <c r="AX721" i="2"/>
  <c r="J721" i="1"/>
  <c r="AW721" i="2"/>
  <c r="I721" i="1"/>
  <c r="AV721" i="2"/>
  <c r="AU721" i="2"/>
  <c r="AT721" i="2"/>
  <c r="AS721" i="2"/>
  <c r="AR721" i="2"/>
  <c r="AQ721" i="2"/>
  <c r="AP721" i="2"/>
  <c r="AO721" i="2"/>
  <c r="AL721" i="2"/>
  <c r="AK721" i="2"/>
  <c r="BQ720" i="2"/>
  <c r="BP720" i="2"/>
  <c r="AB720" i="1"/>
  <c r="BO720" i="2"/>
  <c r="AA720" i="1"/>
  <c r="BN720" i="2"/>
  <c r="BM720" i="2"/>
  <c r="BL720" i="2"/>
  <c r="BK720" i="2"/>
  <c r="W720" i="1"/>
  <c r="BJ720" i="2"/>
  <c r="BI720" i="2"/>
  <c r="BH720" i="2"/>
  <c r="T720" i="1"/>
  <c r="BG720" i="2"/>
  <c r="BF720" i="2"/>
  <c r="BE720" i="2"/>
  <c r="BD720" i="2"/>
  <c r="BC720" i="2"/>
  <c r="BB720" i="2"/>
  <c r="BA720" i="2"/>
  <c r="AZ720" i="2"/>
  <c r="AY720" i="2"/>
  <c r="AX720" i="2"/>
  <c r="J720" i="1"/>
  <c r="AW720" i="2"/>
  <c r="I720" i="1"/>
  <c r="AV720" i="2"/>
  <c r="AU720" i="2"/>
  <c r="AT720" i="2"/>
  <c r="AS720" i="2"/>
  <c r="AR720" i="2"/>
  <c r="AQ720" i="2"/>
  <c r="AP720" i="2"/>
  <c r="AO720" i="2"/>
  <c r="AL720" i="2"/>
  <c r="AK720" i="2"/>
  <c r="BQ719" i="2"/>
  <c r="BP719" i="2"/>
  <c r="AB719" i="1"/>
  <c r="BO719" i="2"/>
  <c r="AA719" i="1"/>
  <c r="BN719" i="2"/>
  <c r="BM719" i="2"/>
  <c r="BL719" i="2"/>
  <c r="BK719" i="2"/>
  <c r="W719" i="1"/>
  <c r="BJ719" i="2"/>
  <c r="BI719" i="2"/>
  <c r="BH719" i="2"/>
  <c r="T719" i="1"/>
  <c r="BG719" i="2"/>
  <c r="BF719" i="2"/>
  <c r="BE719" i="2"/>
  <c r="BD719" i="2"/>
  <c r="BC719" i="2"/>
  <c r="BB719" i="2"/>
  <c r="BA719" i="2"/>
  <c r="AZ719" i="2"/>
  <c r="AY719" i="2"/>
  <c r="AX719" i="2"/>
  <c r="J719" i="1"/>
  <c r="AW719" i="2"/>
  <c r="I719" i="1"/>
  <c r="AV719" i="2"/>
  <c r="AU719" i="2"/>
  <c r="AT719" i="2"/>
  <c r="AS719" i="2"/>
  <c r="AR719" i="2"/>
  <c r="AQ719" i="2"/>
  <c r="AP719" i="2"/>
  <c r="AO719" i="2"/>
  <c r="AL719" i="2"/>
  <c r="AK719" i="2"/>
  <c r="BQ718" i="2"/>
  <c r="BP718" i="2"/>
  <c r="AB718" i="1"/>
  <c r="BO718" i="2"/>
  <c r="AA718" i="1"/>
  <c r="BN718" i="2"/>
  <c r="BM718" i="2"/>
  <c r="BL718" i="2"/>
  <c r="BK718" i="2"/>
  <c r="W718" i="1"/>
  <c r="BJ718" i="2"/>
  <c r="BI718" i="2"/>
  <c r="BH718" i="2"/>
  <c r="T718" i="1"/>
  <c r="BG718" i="2"/>
  <c r="BF718" i="2"/>
  <c r="BE718" i="2"/>
  <c r="BD718" i="2"/>
  <c r="BC718" i="2"/>
  <c r="BB718" i="2"/>
  <c r="BA718" i="2"/>
  <c r="AZ718" i="2"/>
  <c r="AY718" i="2"/>
  <c r="AX718" i="2"/>
  <c r="J718" i="1"/>
  <c r="AW718" i="2"/>
  <c r="I718" i="1"/>
  <c r="AV718" i="2"/>
  <c r="AU718" i="2"/>
  <c r="AT718" i="2"/>
  <c r="AS718" i="2"/>
  <c r="AR718" i="2"/>
  <c r="AQ718" i="2"/>
  <c r="AP718" i="2"/>
  <c r="AO718" i="2"/>
  <c r="AL718" i="2"/>
  <c r="AK718" i="2"/>
  <c r="BQ717" i="2"/>
  <c r="BP717" i="2"/>
  <c r="AB717" i="1"/>
  <c r="BO717" i="2"/>
  <c r="AA717" i="1"/>
  <c r="BN717" i="2"/>
  <c r="BM717" i="2"/>
  <c r="BL717" i="2"/>
  <c r="BK717" i="2"/>
  <c r="W717" i="1"/>
  <c r="BJ717" i="2"/>
  <c r="BI717" i="2"/>
  <c r="BH717" i="2"/>
  <c r="T717" i="1"/>
  <c r="BG717" i="2"/>
  <c r="BF717" i="2"/>
  <c r="BE717" i="2"/>
  <c r="BD717" i="2"/>
  <c r="BC717" i="2"/>
  <c r="BB717" i="2"/>
  <c r="BA717" i="2"/>
  <c r="AZ717" i="2"/>
  <c r="AY717" i="2"/>
  <c r="AX717" i="2"/>
  <c r="J717" i="1"/>
  <c r="AW717" i="2"/>
  <c r="I717" i="1"/>
  <c r="AV717" i="2"/>
  <c r="AU717" i="2"/>
  <c r="AT717" i="2"/>
  <c r="AS717" i="2"/>
  <c r="AR717" i="2"/>
  <c r="AQ717" i="2"/>
  <c r="AP717" i="2"/>
  <c r="AO717" i="2"/>
  <c r="AL717" i="2"/>
  <c r="AK717" i="2"/>
  <c r="BQ716" i="2"/>
  <c r="BP716" i="2"/>
  <c r="AB716" i="1"/>
  <c r="BO716" i="2"/>
  <c r="AA716" i="1"/>
  <c r="BN716" i="2"/>
  <c r="BM716" i="2"/>
  <c r="BL716" i="2"/>
  <c r="BK716" i="2"/>
  <c r="W716" i="1"/>
  <c r="BJ716" i="2"/>
  <c r="BI716" i="2"/>
  <c r="BH716" i="2"/>
  <c r="T716" i="1"/>
  <c r="BG716" i="2"/>
  <c r="BF716" i="2"/>
  <c r="BE716" i="2"/>
  <c r="BD716" i="2"/>
  <c r="BC716" i="2"/>
  <c r="BB716" i="2"/>
  <c r="BA716" i="2"/>
  <c r="AZ716" i="2"/>
  <c r="AY716" i="2"/>
  <c r="AX716" i="2"/>
  <c r="J716" i="1"/>
  <c r="AW716" i="2"/>
  <c r="I716" i="1"/>
  <c r="AV716" i="2"/>
  <c r="AU716" i="2"/>
  <c r="AT716" i="2"/>
  <c r="AS716" i="2"/>
  <c r="AR716" i="2"/>
  <c r="AQ716" i="2"/>
  <c r="AP716" i="2"/>
  <c r="AO716" i="2"/>
  <c r="AL716" i="2"/>
  <c r="AK716" i="2"/>
  <c r="BQ715" i="2"/>
  <c r="BP715" i="2"/>
  <c r="AB715" i="1"/>
  <c r="BO715" i="2"/>
  <c r="AA715" i="1"/>
  <c r="BN715" i="2"/>
  <c r="BM715" i="2"/>
  <c r="BL715" i="2"/>
  <c r="BK715" i="2"/>
  <c r="W715" i="1"/>
  <c r="BJ715" i="2"/>
  <c r="BI715" i="2"/>
  <c r="BH715" i="2"/>
  <c r="T715" i="1"/>
  <c r="BG715" i="2"/>
  <c r="BF715" i="2"/>
  <c r="BE715" i="2"/>
  <c r="BD715" i="2"/>
  <c r="BC715" i="2"/>
  <c r="BB715" i="2"/>
  <c r="BA715" i="2"/>
  <c r="AZ715" i="2"/>
  <c r="AY715" i="2"/>
  <c r="AX715" i="2"/>
  <c r="J715" i="1"/>
  <c r="AW715" i="2"/>
  <c r="I715" i="1"/>
  <c r="AV715" i="2"/>
  <c r="AU715" i="2"/>
  <c r="AT715" i="2"/>
  <c r="AS715" i="2"/>
  <c r="AR715" i="2"/>
  <c r="AQ715" i="2"/>
  <c r="AP715" i="2"/>
  <c r="AO715" i="2"/>
  <c r="AL715" i="2"/>
  <c r="AK715" i="2"/>
  <c r="BQ714" i="2"/>
  <c r="BP714" i="2"/>
  <c r="AB714" i="1"/>
  <c r="BO714" i="2"/>
  <c r="AA714" i="1"/>
  <c r="BN714" i="2"/>
  <c r="BM714" i="2"/>
  <c r="BL714" i="2"/>
  <c r="BK714" i="2"/>
  <c r="W714" i="1"/>
  <c r="BJ714" i="2"/>
  <c r="BI714" i="2"/>
  <c r="BH714" i="2"/>
  <c r="T714" i="1"/>
  <c r="BG714" i="2"/>
  <c r="BF714" i="2"/>
  <c r="BE714" i="2"/>
  <c r="BD714" i="2"/>
  <c r="BC714" i="2"/>
  <c r="BB714" i="2"/>
  <c r="BA714" i="2"/>
  <c r="AZ714" i="2"/>
  <c r="AY714" i="2"/>
  <c r="AX714" i="2"/>
  <c r="J714" i="1"/>
  <c r="AW714" i="2"/>
  <c r="I714" i="1"/>
  <c r="AV714" i="2"/>
  <c r="AU714" i="2"/>
  <c r="AT714" i="2"/>
  <c r="AS714" i="2"/>
  <c r="AR714" i="2"/>
  <c r="AQ714" i="2"/>
  <c r="AP714" i="2"/>
  <c r="AO714" i="2"/>
  <c r="AL714" i="2"/>
  <c r="AK714" i="2"/>
  <c r="BQ713" i="2"/>
  <c r="BP713" i="2"/>
  <c r="AB713" i="1"/>
  <c r="BO713" i="2"/>
  <c r="AA713" i="1"/>
  <c r="BN713" i="2"/>
  <c r="BM713" i="2"/>
  <c r="BL713" i="2"/>
  <c r="BK713" i="2"/>
  <c r="W713" i="1"/>
  <c r="BJ713" i="2"/>
  <c r="BI713" i="2"/>
  <c r="BH713" i="2"/>
  <c r="T713" i="1"/>
  <c r="BG713" i="2"/>
  <c r="BF713" i="2"/>
  <c r="BE713" i="2"/>
  <c r="BD713" i="2"/>
  <c r="BC713" i="2"/>
  <c r="BB713" i="2"/>
  <c r="BA713" i="2"/>
  <c r="AZ713" i="2"/>
  <c r="AY713" i="2"/>
  <c r="AX713" i="2"/>
  <c r="J713" i="1"/>
  <c r="AW713" i="2"/>
  <c r="I713" i="1"/>
  <c r="AV713" i="2"/>
  <c r="AU713" i="2"/>
  <c r="AT713" i="2"/>
  <c r="AS713" i="2"/>
  <c r="AR713" i="2"/>
  <c r="AQ713" i="2"/>
  <c r="AP713" i="2"/>
  <c r="AO713" i="2"/>
  <c r="AL713" i="2"/>
  <c r="AK713" i="2"/>
  <c r="BQ712" i="2"/>
  <c r="BP712" i="2"/>
  <c r="AB712" i="1"/>
  <c r="BO712" i="2"/>
  <c r="AA712" i="1"/>
  <c r="BN712" i="2"/>
  <c r="BM712" i="2"/>
  <c r="BL712" i="2"/>
  <c r="BK712" i="2"/>
  <c r="W712" i="1"/>
  <c r="BJ712" i="2"/>
  <c r="BI712" i="2"/>
  <c r="BH712" i="2"/>
  <c r="T712" i="1"/>
  <c r="BG712" i="2"/>
  <c r="BF712" i="2"/>
  <c r="BE712" i="2"/>
  <c r="BD712" i="2"/>
  <c r="BC712" i="2"/>
  <c r="BB712" i="2"/>
  <c r="BA712" i="2"/>
  <c r="AZ712" i="2"/>
  <c r="AY712" i="2"/>
  <c r="AX712" i="2"/>
  <c r="J712" i="1"/>
  <c r="AW712" i="2"/>
  <c r="I712" i="1"/>
  <c r="AV712" i="2"/>
  <c r="AU712" i="2"/>
  <c r="AT712" i="2"/>
  <c r="AS712" i="2"/>
  <c r="AR712" i="2"/>
  <c r="AQ712" i="2"/>
  <c r="AP712" i="2"/>
  <c r="AO712" i="2"/>
  <c r="AL712" i="2"/>
  <c r="AK712" i="2"/>
  <c r="BQ711" i="2"/>
  <c r="BP711" i="2"/>
  <c r="AB711" i="1"/>
  <c r="BO711" i="2"/>
  <c r="AA711" i="1"/>
  <c r="BN711" i="2"/>
  <c r="BM711" i="2"/>
  <c r="BL711" i="2"/>
  <c r="BK711" i="2"/>
  <c r="W711" i="1"/>
  <c r="BJ711" i="2"/>
  <c r="BI711" i="2"/>
  <c r="BH711" i="2"/>
  <c r="T711" i="1"/>
  <c r="BG711" i="2"/>
  <c r="BF711" i="2"/>
  <c r="BE711" i="2"/>
  <c r="BD711" i="2"/>
  <c r="BC711" i="2"/>
  <c r="BB711" i="2"/>
  <c r="BA711" i="2"/>
  <c r="AZ711" i="2"/>
  <c r="AY711" i="2"/>
  <c r="AX711" i="2"/>
  <c r="J711" i="1"/>
  <c r="AW711" i="2"/>
  <c r="I711" i="1"/>
  <c r="AV711" i="2"/>
  <c r="AU711" i="2"/>
  <c r="AT711" i="2"/>
  <c r="AS711" i="2"/>
  <c r="AR711" i="2"/>
  <c r="AQ711" i="2"/>
  <c r="AP711" i="2"/>
  <c r="AO711" i="2"/>
  <c r="AL711" i="2"/>
  <c r="AK711" i="2"/>
  <c r="BQ710" i="2"/>
  <c r="BP710" i="2"/>
  <c r="AB710" i="1"/>
  <c r="BO710" i="2"/>
  <c r="AA710" i="1"/>
  <c r="BN710" i="2"/>
  <c r="BM710" i="2"/>
  <c r="BL710" i="2"/>
  <c r="BK710" i="2"/>
  <c r="W710" i="1"/>
  <c r="BJ710" i="2"/>
  <c r="BI710" i="2"/>
  <c r="BH710" i="2"/>
  <c r="T710" i="1"/>
  <c r="BG710" i="2"/>
  <c r="BF710" i="2"/>
  <c r="BE710" i="2"/>
  <c r="BD710" i="2"/>
  <c r="BC710" i="2"/>
  <c r="BB710" i="2"/>
  <c r="BA710" i="2"/>
  <c r="AZ710" i="2"/>
  <c r="AY710" i="2"/>
  <c r="AX710" i="2"/>
  <c r="J710" i="1"/>
  <c r="AW710" i="2"/>
  <c r="I710" i="1"/>
  <c r="AV710" i="2"/>
  <c r="AU710" i="2"/>
  <c r="AT710" i="2"/>
  <c r="AS710" i="2"/>
  <c r="AR710" i="2"/>
  <c r="AQ710" i="2"/>
  <c r="AP710" i="2"/>
  <c r="AO710" i="2"/>
  <c r="AL710" i="2"/>
  <c r="AK710" i="2"/>
  <c r="BQ709" i="2"/>
  <c r="BP709" i="2"/>
  <c r="AB709" i="1"/>
  <c r="BO709" i="2"/>
  <c r="AA709" i="1"/>
  <c r="BN709" i="2"/>
  <c r="BM709" i="2"/>
  <c r="BL709" i="2"/>
  <c r="BK709" i="2"/>
  <c r="W709" i="1"/>
  <c r="BJ709" i="2"/>
  <c r="BI709" i="2"/>
  <c r="BH709" i="2"/>
  <c r="T709" i="1"/>
  <c r="BG709" i="2"/>
  <c r="BF709" i="2"/>
  <c r="BE709" i="2"/>
  <c r="BD709" i="2"/>
  <c r="BC709" i="2"/>
  <c r="BB709" i="2"/>
  <c r="BA709" i="2"/>
  <c r="AZ709" i="2"/>
  <c r="AY709" i="2"/>
  <c r="AX709" i="2"/>
  <c r="J709" i="1"/>
  <c r="AW709" i="2"/>
  <c r="I709" i="1"/>
  <c r="AV709" i="2"/>
  <c r="AU709" i="2"/>
  <c r="AT709" i="2"/>
  <c r="AS709" i="2"/>
  <c r="AR709" i="2"/>
  <c r="AQ709" i="2"/>
  <c r="AP709" i="2"/>
  <c r="AO709" i="2"/>
  <c r="AL709" i="2"/>
  <c r="AK709" i="2"/>
  <c r="BQ708" i="2"/>
  <c r="BP708" i="2"/>
  <c r="AB708" i="1"/>
  <c r="BO708" i="2"/>
  <c r="AA708" i="1"/>
  <c r="BN708" i="2"/>
  <c r="BM708" i="2"/>
  <c r="BL708" i="2"/>
  <c r="BK708" i="2"/>
  <c r="W708" i="1"/>
  <c r="BJ708" i="2"/>
  <c r="BI708" i="2"/>
  <c r="BH708" i="2"/>
  <c r="T708" i="1"/>
  <c r="BG708" i="2"/>
  <c r="BF708" i="2"/>
  <c r="BE708" i="2"/>
  <c r="BD708" i="2"/>
  <c r="BC708" i="2"/>
  <c r="BB708" i="2"/>
  <c r="BA708" i="2"/>
  <c r="AZ708" i="2"/>
  <c r="AY708" i="2"/>
  <c r="AX708" i="2"/>
  <c r="J708" i="1"/>
  <c r="AW708" i="2"/>
  <c r="I708" i="1"/>
  <c r="AV708" i="2"/>
  <c r="AU708" i="2"/>
  <c r="AT708" i="2"/>
  <c r="AS708" i="2"/>
  <c r="AR708" i="2"/>
  <c r="AQ708" i="2"/>
  <c r="AP708" i="2"/>
  <c r="AO708" i="2"/>
  <c r="AL708" i="2"/>
  <c r="AK708" i="2"/>
  <c r="BQ707" i="2"/>
  <c r="BP707" i="2"/>
  <c r="AB707" i="1"/>
  <c r="BO707" i="2"/>
  <c r="AA707" i="1"/>
  <c r="BN707" i="2"/>
  <c r="BM707" i="2"/>
  <c r="BL707" i="2"/>
  <c r="BK707" i="2"/>
  <c r="W707" i="1"/>
  <c r="BJ707" i="2"/>
  <c r="BI707" i="2"/>
  <c r="BH707" i="2"/>
  <c r="T707" i="1"/>
  <c r="BG707" i="2"/>
  <c r="BF707" i="2"/>
  <c r="BE707" i="2"/>
  <c r="BD707" i="2"/>
  <c r="BC707" i="2"/>
  <c r="BB707" i="2"/>
  <c r="BA707" i="2"/>
  <c r="AZ707" i="2"/>
  <c r="AY707" i="2"/>
  <c r="AX707" i="2"/>
  <c r="J707" i="1"/>
  <c r="AW707" i="2"/>
  <c r="I707" i="1"/>
  <c r="AV707" i="2"/>
  <c r="AU707" i="2"/>
  <c r="AT707" i="2"/>
  <c r="AS707" i="2"/>
  <c r="AR707" i="2"/>
  <c r="AQ707" i="2"/>
  <c r="AP707" i="2"/>
  <c r="AO707" i="2"/>
  <c r="AL707" i="2"/>
  <c r="AK707" i="2"/>
  <c r="BQ706" i="2"/>
  <c r="BP706" i="2"/>
  <c r="AB706" i="1"/>
  <c r="BO706" i="2"/>
  <c r="AA706" i="1"/>
  <c r="BN706" i="2"/>
  <c r="BM706" i="2"/>
  <c r="BL706" i="2"/>
  <c r="BK706" i="2"/>
  <c r="W706" i="1"/>
  <c r="BJ706" i="2"/>
  <c r="BI706" i="2"/>
  <c r="BH706" i="2"/>
  <c r="T706" i="1"/>
  <c r="BG706" i="2"/>
  <c r="BF706" i="2"/>
  <c r="BE706" i="2"/>
  <c r="BD706" i="2"/>
  <c r="BC706" i="2"/>
  <c r="BB706" i="2"/>
  <c r="BA706" i="2"/>
  <c r="AZ706" i="2"/>
  <c r="AY706" i="2"/>
  <c r="AX706" i="2"/>
  <c r="J706" i="1"/>
  <c r="AW706" i="2"/>
  <c r="I706" i="1"/>
  <c r="AV706" i="2"/>
  <c r="AU706" i="2"/>
  <c r="AT706" i="2"/>
  <c r="AS706" i="2"/>
  <c r="AR706" i="2"/>
  <c r="AQ706" i="2"/>
  <c r="AP706" i="2"/>
  <c r="AO706" i="2"/>
  <c r="AL706" i="2"/>
  <c r="AK706" i="2"/>
  <c r="BQ705" i="2"/>
  <c r="BP705" i="2"/>
  <c r="AB705" i="1"/>
  <c r="BO705" i="2"/>
  <c r="AA705" i="1"/>
  <c r="BN705" i="2"/>
  <c r="BM705" i="2"/>
  <c r="BL705" i="2"/>
  <c r="BK705" i="2"/>
  <c r="W705" i="1"/>
  <c r="BJ705" i="2"/>
  <c r="BI705" i="2"/>
  <c r="BH705" i="2"/>
  <c r="T705" i="1"/>
  <c r="BG705" i="2"/>
  <c r="BF705" i="2"/>
  <c r="BE705" i="2"/>
  <c r="BD705" i="2"/>
  <c r="BC705" i="2"/>
  <c r="BB705" i="2"/>
  <c r="BA705" i="2"/>
  <c r="AZ705" i="2"/>
  <c r="AY705" i="2"/>
  <c r="AX705" i="2"/>
  <c r="J705" i="1"/>
  <c r="AW705" i="2"/>
  <c r="I705" i="1"/>
  <c r="AV705" i="2"/>
  <c r="AU705" i="2"/>
  <c r="AT705" i="2"/>
  <c r="AS705" i="2"/>
  <c r="AR705" i="2"/>
  <c r="AQ705" i="2"/>
  <c r="AP705" i="2"/>
  <c r="AO705" i="2"/>
  <c r="AL705" i="2"/>
  <c r="AK705" i="2"/>
  <c r="BQ704" i="2"/>
  <c r="BP704" i="2"/>
  <c r="AB704" i="1"/>
  <c r="BO704" i="2"/>
  <c r="AA704" i="1"/>
  <c r="BN704" i="2"/>
  <c r="BM704" i="2"/>
  <c r="BL704" i="2"/>
  <c r="BK704" i="2"/>
  <c r="W704" i="1"/>
  <c r="BJ704" i="2"/>
  <c r="BI704" i="2"/>
  <c r="BH704" i="2"/>
  <c r="T704" i="1"/>
  <c r="BG704" i="2"/>
  <c r="BF704" i="2"/>
  <c r="BE704" i="2"/>
  <c r="BD704" i="2"/>
  <c r="BC704" i="2"/>
  <c r="BB704" i="2"/>
  <c r="BA704" i="2"/>
  <c r="AZ704" i="2"/>
  <c r="AY704" i="2"/>
  <c r="AX704" i="2"/>
  <c r="J704" i="1"/>
  <c r="AW704" i="2"/>
  <c r="I704" i="1"/>
  <c r="AV704" i="2"/>
  <c r="AU704" i="2"/>
  <c r="AT704" i="2"/>
  <c r="AS704" i="2"/>
  <c r="AR704" i="2"/>
  <c r="AQ704" i="2"/>
  <c r="AP704" i="2"/>
  <c r="AO704" i="2"/>
  <c r="AL704" i="2"/>
  <c r="AK704" i="2"/>
  <c r="BQ703" i="2"/>
  <c r="BP703" i="2"/>
  <c r="AB703" i="1"/>
  <c r="BO703" i="2"/>
  <c r="AA703" i="1"/>
  <c r="BN703" i="2"/>
  <c r="BM703" i="2"/>
  <c r="BL703" i="2"/>
  <c r="BK703" i="2"/>
  <c r="W703" i="1"/>
  <c r="BJ703" i="2"/>
  <c r="BI703" i="2"/>
  <c r="BH703" i="2"/>
  <c r="T703" i="1"/>
  <c r="BG703" i="2"/>
  <c r="BF703" i="2"/>
  <c r="BE703" i="2"/>
  <c r="BD703" i="2"/>
  <c r="BC703" i="2"/>
  <c r="BB703" i="2"/>
  <c r="BA703" i="2"/>
  <c r="AZ703" i="2"/>
  <c r="AY703" i="2"/>
  <c r="AX703" i="2"/>
  <c r="J703" i="1"/>
  <c r="AW703" i="2"/>
  <c r="I703" i="1"/>
  <c r="AV703" i="2"/>
  <c r="AU703" i="2"/>
  <c r="AT703" i="2"/>
  <c r="AS703" i="2"/>
  <c r="AR703" i="2"/>
  <c r="AQ703" i="2"/>
  <c r="AP703" i="2"/>
  <c r="AO703" i="2"/>
  <c r="AL703" i="2"/>
  <c r="AK703" i="2"/>
  <c r="BQ702" i="2"/>
  <c r="BP702" i="2"/>
  <c r="AB702" i="1"/>
  <c r="BO702" i="2"/>
  <c r="AA702" i="1"/>
  <c r="BN702" i="2"/>
  <c r="BM702" i="2"/>
  <c r="BL702" i="2"/>
  <c r="BK702" i="2"/>
  <c r="W702" i="1"/>
  <c r="BJ702" i="2"/>
  <c r="BI702" i="2"/>
  <c r="BH702" i="2"/>
  <c r="T702" i="1"/>
  <c r="BG702" i="2"/>
  <c r="BF702" i="2"/>
  <c r="BE702" i="2"/>
  <c r="BD702" i="2"/>
  <c r="BC702" i="2"/>
  <c r="BB702" i="2"/>
  <c r="BA702" i="2"/>
  <c r="AZ702" i="2"/>
  <c r="AY702" i="2"/>
  <c r="AX702" i="2"/>
  <c r="J702" i="1"/>
  <c r="AW702" i="2"/>
  <c r="I702" i="1"/>
  <c r="AV702" i="2"/>
  <c r="AU702" i="2"/>
  <c r="AT702" i="2"/>
  <c r="AS702" i="2"/>
  <c r="AR702" i="2"/>
  <c r="AQ702" i="2"/>
  <c r="AP702" i="2"/>
  <c r="AO702" i="2"/>
  <c r="AL702" i="2"/>
  <c r="AK702" i="2"/>
  <c r="BQ701" i="2"/>
  <c r="BP701" i="2"/>
  <c r="AB701" i="1"/>
  <c r="BO701" i="2"/>
  <c r="AA701" i="1"/>
  <c r="BN701" i="2"/>
  <c r="BM701" i="2"/>
  <c r="BL701" i="2"/>
  <c r="BK701" i="2"/>
  <c r="W701" i="1"/>
  <c r="BJ701" i="2"/>
  <c r="BI701" i="2"/>
  <c r="BH701" i="2"/>
  <c r="T701" i="1"/>
  <c r="BG701" i="2"/>
  <c r="BF701" i="2"/>
  <c r="BE701" i="2"/>
  <c r="BD701" i="2"/>
  <c r="BC701" i="2"/>
  <c r="BB701" i="2"/>
  <c r="BA701" i="2"/>
  <c r="AZ701" i="2"/>
  <c r="AY701" i="2"/>
  <c r="AX701" i="2"/>
  <c r="J701" i="1"/>
  <c r="AW701" i="2"/>
  <c r="I701" i="1"/>
  <c r="AV701" i="2"/>
  <c r="AU701" i="2"/>
  <c r="AT701" i="2"/>
  <c r="AS701" i="2"/>
  <c r="AR701" i="2"/>
  <c r="AQ701" i="2"/>
  <c r="AP701" i="2"/>
  <c r="AO701" i="2"/>
  <c r="AL701" i="2"/>
  <c r="AK701" i="2"/>
  <c r="BQ700" i="2"/>
  <c r="BP700" i="2"/>
  <c r="AB700" i="1"/>
  <c r="BO700" i="2"/>
  <c r="AA700" i="1"/>
  <c r="BN700" i="2"/>
  <c r="BM700" i="2"/>
  <c r="BL700" i="2"/>
  <c r="BK700" i="2"/>
  <c r="W700" i="1"/>
  <c r="BJ700" i="2"/>
  <c r="BI700" i="2"/>
  <c r="BH700" i="2"/>
  <c r="T700" i="1"/>
  <c r="BG700" i="2"/>
  <c r="BF700" i="2"/>
  <c r="BE700" i="2"/>
  <c r="BD700" i="2"/>
  <c r="BC700" i="2"/>
  <c r="BB700" i="2"/>
  <c r="BA700" i="2"/>
  <c r="AZ700" i="2"/>
  <c r="AY700" i="2"/>
  <c r="AX700" i="2"/>
  <c r="J700" i="1"/>
  <c r="AW700" i="2"/>
  <c r="I700" i="1"/>
  <c r="AV700" i="2"/>
  <c r="AU700" i="2"/>
  <c r="AT700" i="2"/>
  <c r="AS700" i="2"/>
  <c r="AR700" i="2"/>
  <c r="AQ700" i="2"/>
  <c r="AP700" i="2"/>
  <c r="AO700" i="2"/>
  <c r="AL700" i="2"/>
  <c r="AK700" i="2"/>
  <c r="BQ699" i="2"/>
  <c r="BP699" i="2"/>
  <c r="AB699" i="1"/>
  <c r="BO699" i="2"/>
  <c r="AA699" i="1"/>
  <c r="BN699" i="2"/>
  <c r="BM699" i="2"/>
  <c r="BL699" i="2"/>
  <c r="BK699" i="2"/>
  <c r="W699" i="1"/>
  <c r="BJ699" i="2"/>
  <c r="BI699" i="2"/>
  <c r="BH699" i="2"/>
  <c r="T699" i="1"/>
  <c r="BG699" i="2"/>
  <c r="BF699" i="2"/>
  <c r="BE699" i="2"/>
  <c r="BD699" i="2"/>
  <c r="BC699" i="2"/>
  <c r="BB699" i="2"/>
  <c r="BA699" i="2"/>
  <c r="AZ699" i="2"/>
  <c r="AY699" i="2"/>
  <c r="AX699" i="2"/>
  <c r="J699" i="1"/>
  <c r="AW699" i="2"/>
  <c r="I699" i="1"/>
  <c r="AV699" i="2"/>
  <c r="AU699" i="2"/>
  <c r="AT699" i="2"/>
  <c r="AS699" i="2"/>
  <c r="AR699" i="2"/>
  <c r="AQ699" i="2"/>
  <c r="AP699" i="2"/>
  <c r="AO699" i="2"/>
  <c r="AL699" i="2"/>
  <c r="AK699" i="2"/>
  <c r="BQ698" i="2"/>
  <c r="BP698" i="2"/>
  <c r="AB698" i="1"/>
  <c r="BO698" i="2"/>
  <c r="AA698" i="1"/>
  <c r="BN698" i="2"/>
  <c r="BM698" i="2"/>
  <c r="BL698" i="2"/>
  <c r="BK698" i="2"/>
  <c r="W698" i="1"/>
  <c r="BJ698" i="2"/>
  <c r="BI698" i="2"/>
  <c r="BH698" i="2"/>
  <c r="T698" i="1"/>
  <c r="BG698" i="2"/>
  <c r="BF698" i="2"/>
  <c r="BE698" i="2"/>
  <c r="BD698" i="2"/>
  <c r="BC698" i="2"/>
  <c r="BB698" i="2"/>
  <c r="BA698" i="2"/>
  <c r="AZ698" i="2"/>
  <c r="AY698" i="2"/>
  <c r="AX698" i="2"/>
  <c r="J698" i="1"/>
  <c r="AW698" i="2"/>
  <c r="I698" i="1"/>
  <c r="AV698" i="2"/>
  <c r="AU698" i="2"/>
  <c r="AT698" i="2"/>
  <c r="AS698" i="2"/>
  <c r="AR698" i="2"/>
  <c r="AQ698" i="2"/>
  <c r="AP698" i="2"/>
  <c r="AO698" i="2"/>
  <c r="AL698" i="2"/>
  <c r="AK698" i="2"/>
  <c r="BQ697" i="2"/>
  <c r="BP697" i="2"/>
  <c r="AB697" i="1"/>
  <c r="BO697" i="2"/>
  <c r="AA697" i="1"/>
  <c r="BN697" i="2"/>
  <c r="BM697" i="2"/>
  <c r="BL697" i="2"/>
  <c r="BK697" i="2"/>
  <c r="W697" i="1"/>
  <c r="BJ697" i="2"/>
  <c r="BI697" i="2"/>
  <c r="BH697" i="2"/>
  <c r="T697" i="1"/>
  <c r="BG697" i="2"/>
  <c r="BF697" i="2"/>
  <c r="BE697" i="2"/>
  <c r="BD697" i="2"/>
  <c r="BC697" i="2"/>
  <c r="BB697" i="2"/>
  <c r="BA697" i="2"/>
  <c r="AZ697" i="2"/>
  <c r="AY697" i="2"/>
  <c r="AX697" i="2"/>
  <c r="J697" i="1"/>
  <c r="AW697" i="2"/>
  <c r="I697" i="1"/>
  <c r="AV697" i="2"/>
  <c r="AU697" i="2"/>
  <c r="AT697" i="2"/>
  <c r="AS697" i="2"/>
  <c r="AR697" i="2"/>
  <c r="AQ697" i="2"/>
  <c r="AP697" i="2"/>
  <c r="AO697" i="2"/>
  <c r="AL697" i="2"/>
  <c r="AK697" i="2"/>
  <c r="BQ696" i="2"/>
  <c r="BP696" i="2"/>
  <c r="AB696" i="1"/>
  <c r="BO696" i="2"/>
  <c r="AA696" i="1"/>
  <c r="BN696" i="2"/>
  <c r="BM696" i="2"/>
  <c r="BL696" i="2"/>
  <c r="BK696" i="2"/>
  <c r="W696" i="1"/>
  <c r="BJ696" i="2"/>
  <c r="BI696" i="2"/>
  <c r="BH696" i="2"/>
  <c r="T696" i="1"/>
  <c r="BG696" i="2"/>
  <c r="BF696" i="2"/>
  <c r="BE696" i="2"/>
  <c r="BD696" i="2"/>
  <c r="BC696" i="2"/>
  <c r="BB696" i="2"/>
  <c r="BA696" i="2"/>
  <c r="AZ696" i="2"/>
  <c r="AY696" i="2"/>
  <c r="AX696" i="2"/>
  <c r="J696" i="1"/>
  <c r="AW696" i="2"/>
  <c r="I696" i="1"/>
  <c r="AV696" i="2"/>
  <c r="AU696" i="2"/>
  <c r="AT696" i="2"/>
  <c r="AS696" i="2"/>
  <c r="AR696" i="2"/>
  <c r="AQ696" i="2"/>
  <c r="AP696" i="2"/>
  <c r="AO696" i="2"/>
  <c r="AL696" i="2"/>
  <c r="AK696" i="2"/>
  <c r="BQ695" i="2"/>
  <c r="BP695" i="2"/>
  <c r="AB695" i="1"/>
  <c r="BO695" i="2"/>
  <c r="AA695" i="1"/>
  <c r="BN695" i="2"/>
  <c r="BM695" i="2"/>
  <c r="BL695" i="2"/>
  <c r="BK695" i="2"/>
  <c r="W695" i="1"/>
  <c r="BJ695" i="2"/>
  <c r="BI695" i="2"/>
  <c r="BH695" i="2"/>
  <c r="T695" i="1"/>
  <c r="BG695" i="2"/>
  <c r="BF695" i="2"/>
  <c r="BE695" i="2"/>
  <c r="BD695" i="2"/>
  <c r="BC695" i="2"/>
  <c r="BB695" i="2"/>
  <c r="BA695" i="2"/>
  <c r="AZ695" i="2"/>
  <c r="AY695" i="2"/>
  <c r="AX695" i="2"/>
  <c r="J695" i="1"/>
  <c r="AW695" i="2"/>
  <c r="I695" i="1"/>
  <c r="AV695" i="2"/>
  <c r="AU695" i="2"/>
  <c r="AT695" i="2"/>
  <c r="AS695" i="2"/>
  <c r="AR695" i="2"/>
  <c r="AQ695" i="2"/>
  <c r="AP695" i="2"/>
  <c r="AO695" i="2"/>
  <c r="AL695" i="2"/>
  <c r="AK695" i="2"/>
  <c r="BQ694" i="2"/>
  <c r="BP694" i="2"/>
  <c r="AB694" i="1"/>
  <c r="BO694" i="2"/>
  <c r="AA694" i="1"/>
  <c r="BN694" i="2"/>
  <c r="BM694" i="2"/>
  <c r="BL694" i="2"/>
  <c r="BK694" i="2"/>
  <c r="W694" i="1"/>
  <c r="BJ694" i="2"/>
  <c r="BI694" i="2"/>
  <c r="BH694" i="2"/>
  <c r="T694" i="1"/>
  <c r="BG694" i="2"/>
  <c r="BF694" i="2"/>
  <c r="BE694" i="2"/>
  <c r="BD694" i="2"/>
  <c r="BC694" i="2"/>
  <c r="BB694" i="2"/>
  <c r="BA694" i="2"/>
  <c r="AZ694" i="2"/>
  <c r="AY694" i="2"/>
  <c r="AX694" i="2"/>
  <c r="J694" i="1"/>
  <c r="AW694" i="2"/>
  <c r="I694" i="1"/>
  <c r="AV694" i="2"/>
  <c r="AU694" i="2"/>
  <c r="AT694" i="2"/>
  <c r="AS694" i="2"/>
  <c r="AR694" i="2"/>
  <c r="AQ694" i="2"/>
  <c r="AP694" i="2"/>
  <c r="AO694" i="2"/>
  <c r="AL694" i="2"/>
  <c r="AK694" i="2"/>
  <c r="BQ693" i="2"/>
  <c r="BP693" i="2"/>
  <c r="AB693" i="1"/>
  <c r="BO693" i="2"/>
  <c r="AA693" i="1"/>
  <c r="BN693" i="2"/>
  <c r="BM693" i="2"/>
  <c r="BL693" i="2"/>
  <c r="BK693" i="2"/>
  <c r="W693" i="1"/>
  <c r="BJ693" i="2"/>
  <c r="BI693" i="2"/>
  <c r="BH693" i="2"/>
  <c r="T693" i="1"/>
  <c r="BG693" i="2"/>
  <c r="BF693" i="2"/>
  <c r="BE693" i="2"/>
  <c r="BD693" i="2"/>
  <c r="BC693" i="2"/>
  <c r="BB693" i="2"/>
  <c r="BA693" i="2"/>
  <c r="AZ693" i="2"/>
  <c r="AY693" i="2"/>
  <c r="AX693" i="2"/>
  <c r="J693" i="1"/>
  <c r="AW693" i="2"/>
  <c r="I693" i="1"/>
  <c r="AV693" i="2"/>
  <c r="AU693" i="2"/>
  <c r="AT693" i="2"/>
  <c r="AS693" i="2"/>
  <c r="AR693" i="2"/>
  <c r="AQ693" i="2"/>
  <c r="AP693" i="2"/>
  <c r="AO693" i="2"/>
  <c r="AL693" i="2"/>
  <c r="AK693" i="2"/>
  <c r="BQ692" i="2"/>
  <c r="BP692" i="2"/>
  <c r="AB692" i="1"/>
  <c r="BO692" i="2"/>
  <c r="AA692" i="1"/>
  <c r="BN692" i="2"/>
  <c r="BM692" i="2"/>
  <c r="BL692" i="2"/>
  <c r="BK692" i="2"/>
  <c r="W692" i="1"/>
  <c r="BJ692" i="2"/>
  <c r="BI692" i="2"/>
  <c r="BH692" i="2"/>
  <c r="T692" i="1"/>
  <c r="BG692" i="2"/>
  <c r="BF692" i="2"/>
  <c r="BE692" i="2"/>
  <c r="BD692" i="2"/>
  <c r="BC692" i="2"/>
  <c r="BB692" i="2"/>
  <c r="BA692" i="2"/>
  <c r="AZ692" i="2"/>
  <c r="AY692" i="2"/>
  <c r="AX692" i="2"/>
  <c r="J692" i="1"/>
  <c r="AW692" i="2"/>
  <c r="I692" i="1"/>
  <c r="AV692" i="2"/>
  <c r="AU692" i="2"/>
  <c r="AT692" i="2"/>
  <c r="AS692" i="2"/>
  <c r="AR692" i="2"/>
  <c r="AQ692" i="2"/>
  <c r="AP692" i="2"/>
  <c r="AO692" i="2"/>
  <c r="AL692" i="2"/>
  <c r="AK692" i="2"/>
  <c r="BQ691" i="2"/>
  <c r="BP691" i="2"/>
  <c r="AB691" i="1"/>
  <c r="BO691" i="2"/>
  <c r="AA691" i="1"/>
  <c r="BN691" i="2"/>
  <c r="BM691" i="2"/>
  <c r="BL691" i="2"/>
  <c r="BK691" i="2"/>
  <c r="W691" i="1"/>
  <c r="BJ691" i="2"/>
  <c r="BI691" i="2"/>
  <c r="BH691" i="2"/>
  <c r="T691" i="1"/>
  <c r="BG691" i="2"/>
  <c r="BF691" i="2"/>
  <c r="BE691" i="2"/>
  <c r="BD691" i="2"/>
  <c r="BC691" i="2"/>
  <c r="BB691" i="2"/>
  <c r="BA691" i="2"/>
  <c r="AZ691" i="2"/>
  <c r="AY691" i="2"/>
  <c r="AX691" i="2"/>
  <c r="J691" i="1"/>
  <c r="AW691" i="2"/>
  <c r="I691" i="1"/>
  <c r="AV691" i="2"/>
  <c r="AU691" i="2"/>
  <c r="AT691" i="2"/>
  <c r="AS691" i="2"/>
  <c r="AR691" i="2"/>
  <c r="AQ691" i="2"/>
  <c r="AP691" i="2"/>
  <c r="AO691" i="2"/>
  <c r="AL691" i="2"/>
  <c r="AK691" i="2"/>
  <c r="BQ690" i="2"/>
  <c r="BP690" i="2"/>
  <c r="AB690" i="1"/>
  <c r="BO690" i="2"/>
  <c r="AA690" i="1"/>
  <c r="BN690" i="2"/>
  <c r="BM690" i="2"/>
  <c r="BL690" i="2"/>
  <c r="BK690" i="2"/>
  <c r="W690" i="1"/>
  <c r="BJ690" i="2"/>
  <c r="BI690" i="2"/>
  <c r="BH690" i="2"/>
  <c r="T690" i="1"/>
  <c r="BG690" i="2"/>
  <c r="BF690" i="2"/>
  <c r="BE690" i="2"/>
  <c r="BD690" i="2"/>
  <c r="BC690" i="2"/>
  <c r="BB690" i="2"/>
  <c r="BA690" i="2"/>
  <c r="AZ690" i="2"/>
  <c r="AY690" i="2"/>
  <c r="AX690" i="2"/>
  <c r="J690" i="1"/>
  <c r="AW690" i="2"/>
  <c r="I690" i="1"/>
  <c r="AV690" i="2"/>
  <c r="AU690" i="2"/>
  <c r="AT690" i="2"/>
  <c r="AS690" i="2"/>
  <c r="AR690" i="2"/>
  <c r="AQ690" i="2"/>
  <c r="AP690" i="2"/>
  <c r="AO690" i="2"/>
  <c r="AL690" i="2"/>
  <c r="AK690" i="2"/>
  <c r="BQ689" i="2"/>
  <c r="BP689" i="2"/>
  <c r="AB689" i="1"/>
  <c r="BO689" i="2"/>
  <c r="AA689" i="1"/>
  <c r="BN689" i="2"/>
  <c r="BM689" i="2"/>
  <c r="BL689" i="2"/>
  <c r="BK689" i="2"/>
  <c r="W689" i="1"/>
  <c r="BJ689" i="2"/>
  <c r="BI689" i="2"/>
  <c r="BH689" i="2"/>
  <c r="T689" i="1"/>
  <c r="BG689" i="2"/>
  <c r="BF689" i="2"/>
  <c r="BE689" i="2"/>
  <c r="BD689" i="2"/>
  <c r="BC689" i="2"/>
  <c r="BB689" i="2"/>
  <c r="BA689" i="2"/>
  <c r="AZ689" i="2"/>
  <c r="AY689" i="2"/>
  <c r="AX689" i="2"/>
  <c r="J689" i="1"/>
  <c r="AW689" i="2"/>
  <c r="I689" i="1"/>
  <c r="AV689" i="2"/>
  <c r="AU689" i="2"/>
  <c r="AT689" i="2"/>
  <c r="AS689" i="2"/>
  <c r="AR689" i="2"/>
  <c r="AQ689" i="2"/>
  <c r="AP689" i="2"/>
  <c r="AO689" i="2"/>
  <c r="AL689" i="2"/>
  <c r="AK689" i="2"/>
  <c r="BQ688" i="2"/>
  <c r="BP688" i="2"/>
  <c r="AB688" i="1"/>
  <c r="BO688" i="2"/>
  <c r="AA688" i="1"/>
  <c r="BN688" i="2"/>
  <c r="BM688" i="2"/>
  <c r="BL688" i="2"/>
  <c r="BK688" i="2"/>
  <c r="W688" i="1"/>
  <c r="BJ688" i="2"/>
  <c r="BI688" i="2"/>
  <c r="BH688" i="2"/>
  <c r="T688" i="1"/>
  <c r="BG688" i="2"/>
  <c r="BF688" i="2"/>
  <c r="BE688" i="2"/>
  <c r="BD688" i="2"/>
  <c r="BC688" i="2"/>
  <c r="BB688" i="2"/>
  <c r="BA688" i="2"/>
  <c r="AZ688" i="2"/>
  <c r="AY688" i="2"/>
  <c r="AX688" i="2"/>
  <c r="J688" i="1"/>
  <c r="AW688" i="2"/>
  <c r="I688" i="1"/>
  <c r="AV688" i="2"/>
  <c r="AU688" i="2"/>
  <c r="AT688" i="2"/>
  <c r="AS688" i="2"/>
  <c r="AR688" i="2"/>
  <c r="AQ688" i="2"/>
  <c r="AP688" i="2"/>
  <c r="AO688" i="2"/>
  <c r="AL688" i="2"/>
  <c r="AK688" i="2"/>
  <c r="BQ687" i="2"/>
  <c r="BP687" i="2"/>
  <c r="AB687" i="1"/>
  <c r="BO687" i="2"/>
  <c r="AA687" i="1"/>
  <c r="BN687" i="2"/>
  <c r="BM687" i="2"/>
  <c r="BL687" i="2"/>
  <c r="BK687" i="2"/>
  <c r="W687" i="1"/>
  <c r="BJ687" i="2"/>
  <c r="BI687" i="2"/>
  <c r="BH687" i="2"/>
  <c r="T687" i="1"/>
  <c r="BG687" i="2"/>
  <c r="BF687" i="2"/>
  <c r="BE687" i="2"/>
  <c r="BD687" i="2"/>
  <c r="BC687" i="2"/>
  <c r="BB687" i="2"/>
  <c r="BA687" i="2"/>
  <c r="AZ687" i="2"/>
  <c r="AY687" i="2"/>
  <c r="AX687" i="2"/>
  <c r="J687" i="1"/>
  <c r="AW687" i="2"/>
  <c r="I687" i="1"/>
  <c r="AV687" i="2"/>
  <c r="AU687" i="2"/>
  <c r="AT687" i="2"/>
  <c r="AS687" i="2"/>
  <c r="AR687" i="2"/>
  <c r="AQ687" i="2"/>
  <c r="AP687" i="2"/>
  <c r="AO687" i="2"/>
  <c r="AL687" i="2"/>
  <c r="AK687" i="2"/>
  <c r="BQ686" i="2"/>
  <c r="BP686" i="2"/>
  <c r="AB686" i="1"/>
  <c r="BO686" i="2"/>
  <c r="AA686" i="1"/>
  <c r="BN686" i="2"/>
  <c r="BM686" i="2"/>
  <c r="BL686" i="2"/>
  <c r="BK686" i="2"/>
  <c r="W686" i="1"/>
  <c r="BJ686" i="2"/>
  <c r="BI686" i="2"/>
  <c r="BH686" i="2"/>
  <c r="T686" i="1"/>
  <c r="BG686" i="2"/>
  <c r="BF686" i="2"/>
  <c r="BE686" i="2"/>
  <c r="BD686" i="2"/>
  <c r="BC686" i="2"/>
  <c r="BB686" i="2"/>
  <c r="BA686" i="2"/>
  <c r="AZ686" i="2"/>
  <c r="AY686" i="2"/>
  <c r="AX686" i="2"/>
  <c r="J686" i="1"/>
  <c r="AW686" i="2"/>
  <c r="I686" i="1"/>
  <c r="AV686" i="2"/>
  <c r="AU686" i="2"/>
  <c r="AT686" i="2"/>
  <c r="AS686" i="2"/>
  <c r="AR686" i="2"/>
  <c r="AQ686" i="2"/>
  <c r="AP686" i="2"/>
  <c r="AO686" i="2"/>
  <c r="AL686" i="2"/>
  <c r="AK686" i="2"/>
  <c r="BQ685" i="2"/>
  <c r="BP685" i="2"/>
  <c r="AB685" i="1"/>
  <c r="BO685" i="2"/>
  <c r="AA685" i="1"/>
  <c r="BN685" i="2"/>
  <c r="BM685" i="2"/>
  <c r="BL685" i="2"/>
  <c r="BK685" i="2"/>
  <c r="W685" i="1"/>
  <c r="BJ685" i="2"/>
  <c r="BI685" i="2"/>
  <c r="BH685" i="2"/>
  <c r="T685" i="1"/>
  <c r="BG685" i="2"/>
  <c r="BF685" i="2"/>
  <c r="BE685" i="2"/>
  <c r="BD685" i="2"/>
  <c r="BC685" i="2"/>
  <c r="BB685" i="2"/>
  <c r="BA685" i="2"/>
  <c r="AZ685" i="2"/>
  <c r="AY685" i="2"/>
  <c r="AX685" i="2"/>
  <c r="J685" i="1"/>
  <c r="AW685" i="2"/>
  <c r="I685" i="1"/>
  <c r="AV685" i="2"/>
  <c r="AU685" i="2"/>
  <c r="AT685" i="2"/>
  <c r="AS685" i="2"/>
  <c r="AR685" i="2"/>
  <c r="AQ685" i="2"/>
  <c r="AP685" i="2"/>
  <c r="AO685" i="2"/>
  <c r="AL685" i="2"/>
  <c r="AK685" i="2"/>
  <c r="BQ684" i="2"/>
  <c r="BP684" i="2"/>
  <c r="AB684" i="1"/>
  <c r="BO684" i="2"/>
  <c r="AA684" i="1"/>
  <c r="BN684" i="2"/>
  <c r="BM684" i="2"/>
  <c r="BL684" i="2"/>
  <c r="BK684" i="2"/>
  <c r="W684" i="1"/>
  <c r="BJ684" i="2"/>
  <c r="BI684" i="2"/>
  <c r="BH684" i="2"/>
  <c r="T684" i="1"/>
  <c r="BG684" i="2"/>
  <c r="BF684" i="2"/>
  <c r="BE684" i="2"/>
  <c r="BD684" i="2"/>
  <c r="BC684" i="2"/>
  <c r="BB684" i="2"/>
  <c r="BA684" i="2"/>
  <c r="AZ684" i="2"/>
  <c r="AY684" i="2"/>
  <c r="AX684" i="2"/>
  <c r="J684" i="1"/>
  <c r="AW684" i="2"/>
  <c r="I684" i="1"/>
  <c r="AV684" i="2"/>
  <c r="AU684" i="2"/>
  <c r="AT684" i="2"/>
  <c r="AS684" i="2"/>
  <c r="AR684" i="2"/>
  <c r="AQ684" i="2"/>
  <c r="AP684" i="2"/>
  <c r="AO684" i="2"/>
  <c r="AL684" i="2"/>
  <c r="AK684" i="2"/>
  <c r="BQ683" i="2"/>
  <c r="BP683" i="2"/>
  <c r="AB683" i="1"/>
  <c r="BO683" i="2"/>
  <c r="AA683" i="1"/>
  <c r="BN683" i="2"/>
  <c r="BM683" i="2"/>
  <c r="BL683" i="2"/>
  <c r="BK683" i="2"/>
  <c r="W683" i="1"/>
  <c r="BJ683" i="2"/>
  <c r="BI683" i="2"/>
  <c r="BH683" i="2"/>
  <c r="T683" i="1"/>
  <c r="BG683" i="2"/>
  <c r="BF683" i="2"/>
  <c r="BE683" i="2"/>
  <c r="BD683" i="2"/>
  <c r="BC683" i="2"/>
  <c r="BB683" i="2"/>
  <c r="BA683" i="2"/>
  <c r="AZ683" i="2"/>
  <c r="AY683" i="2"/>
  <c r="AX683" i="2"/>
  <c r="J683" i="1"/>
  <c r="AW683" i="2"/>
  <c r="I683" i="1"/>
  <c r="AV683" i="2"/>
  <c r="AU683" i="2"/>
  <c r="AT683" i="2"/>
  <c r="AS683" i="2"/>
  <c r="AR683" i="2"/>
  <c r="AQ683" i="2"/>
  <c r="AP683" i="2"/>
  <c r="AO683" i="2"/>
  <c r="AL683" i="2"/>
  <c r="AK683" i="2"/>
  <c r="BQ682" i="2"/>
  <c r="BP682" i="2"/>
  <c r="AB682" i="1"/>
  <c r="BO682" i="2"/>
  <c r="AA682" i="1"/>
  <c r="BN682" i="2"/>
  <c r="BM682" i="2"/>
  <c r="BL682" i="2"/>
  <c r="BK682" i="2"/>
  <c r="W682" i="1"/>
  <c r="BJ682" i="2"/>
  <c r="BI682" i="2"/>
  <c r="BH682" i="2"/>
  <c r="T682" i="1"/>
  <c r="BG682" i="2"/>
  <c r="BF682" i="2"/>
  <c r="BE682" i="2"/>
  <c r="BD682" i="2"/>
  <c r="BC682" i="2"/>
  <c r="BB682" i="2"/>
  <c r="BA682" i="2"/>
  <c r="AZ682" i="2"/>
  <c r="AY682" i="2"/>
  <c r="AX682" i="2"/>
  <c r="J682" i="1"/>
  <c r="AW682" i="2"/>
  <c r="I682" i="1"/>
  <c r="AV682" i="2"/>
  <c r="AU682" i="2"/>
  <c r="AT682" i="2"/>
  <c r="AS682" i="2"/>
  <c r="AR682" i="2"/>
  <c r="AQ682" i="2"/>
  <c r="AP682" i="2"/>
  <c r="AO682" i="2"/>
  <c r="AL682" i="2"/>
  <c r="AK682" i="2"/>
  <c r="BQ681" i="2"/>
  <c r="BP681" i="2"/>
  <c r="AB681" i="1"/>
  <c r="BO681" i="2"/>
  <c r="AA681" i="1"/>
  <c r="BN681" i="2"/>
  <c r="BM681" i="2"/>
  <c r="BL681" i="2"/>
  <c r="BK681" i="2"/>
  <c r="W681" i="1"/>
  <c r="BJ681" i="2"/>
  <c r="BI681" i="2"/>
  <c r="BH681" i="2"/>
  <c r="T681" i="1"/>
  <c r="BG681" i="2"/>
  <c r="BF681" i="2"/>
  <c r="BE681" i="2"/>
  <c r="BD681" i="2"/>
  <c r="BC681" i="2"/>
  <c r="BB681" i="2"/>
  <c r="BA681" i="2"/>
  <c r="AZ681" i="2"/>
  <c r="AY681" i="2"/>
  <c r="AX681" i="2"/>
  <c r="J681" i="1"/>
  <c r="AW681" i="2"/>
  <c r="I681" i="1"/>
  <c r="AV681" i="2"/>
  <c r="AU681" i="2"/>
  <c r="AT681" i="2"/>
  <c r="AS681" i="2"/>
  <c r="AR681" i="2"/>
  <c r="AQ681" i="2"/>
  <c r="AP681" i="2"/>
  <c r="AO681" i="2"/>
  <c r="AL681" i="2"/>
  <c r="AK681" i="2"/>
  <c r="BQ680" i="2"/>
  <c r="BP680" i="2"/>
  <c r="AB680" i="1"/>
  <c r="BO680" i="2"/>
  <c r="AA680" i="1"/>
  <c r="BN680" i="2"/>
  <c r="BM680" i="2"/>
  <c r="BL680" i="2"/>
  <c r="BK680" i="2"/>
  <c r="W680" i="1"/>
  <c r="BJ680" i="2"/>
  <c r="BI680" i="2"/>
  <c r="BH680" i="2"/>
  <c r="T680" i="1"/>
  <c r="BG680" i="2"/>
  <c r="BF680" i="2"/>
  <c r="BE680" i="2"/>
  <c r="BD680" i="2"/>
  <c r="BC680" i="2"/>
  <c r="BB680" i="2"/>
  <c r="BA680" i="2"/>
  <c r="AZ680" i="2"/>
  <c r="AY680" i="2"/>
  <c r="AX680" i="2"/>
  <c r="J680" i="1"/>
  <c r="AW680" i="2"/>
  <c r="I680" i="1"/>
  <c r="AV680" i="2"/>
  <c r="AU680" i="2"/>
  <c r="AT680" i="2"/>
  <c r="AS680" i="2"/>
  <c r="AR680" i="2"/>
  <c r="AQ680" i="2"/>
  <c r="AP680" i="2"/>
  <c r="AO680" i="2"/>
  <c r="AL680" i="2"/>
  <c r="AK680" i="2"/>
  <c r="BQ679" i="2"/>
  <c r="BP679" i="2"/>
  <c r="AB679" i="1"/>
  <c r="BO679" i="2"/>
  <c r="AA679" i="1"/>
  <c r="BN679" i="2"/>
  <c r="BM679" i="2"/>
  <c r="BL679" i="2"/>
  <c r="BK679" i="2"/>
  <c r="W679" i="1"/>
  <c r="BJ679" i="2"/>
  <c r="BI679" i="2"/>
  <c r="BH679" i="2"/>
  <c r="T679" i="1"/>
  <c r="BG679" i="2"/>
  <c r="BF679" i="2"/>
  <c r="BE679" i="2"/>
  <c r="BD679" i="2"/>
  <c r="BC679" i="2"/>
  <c r="BB679" i="2"/>
  <c r="BA679" i="2"/>
  <c r="AZ679" i="2"/>
  <c r="AY679" i="2"/>
  <c r="AX679" i="2"/>
  <c r="J679" i="1"/>
  <c r="AW679" i="2"/>
  <c r="I679" i="1"/>
  <c r="AV679" i="2"/>
  <c r="AU679" i="2"/>
  <c r="AT679" i="2"/>
  <c r="AS679" i="2"/>
  <c r="AR679" i="2"/>
  <c r="AQ679" i="2"/>
  <c r="AP679" i="2"/>
  <c r="AO679" i="2"/>
  <c r="AL679" i="2"/>
  <c r="AK679" i="2"/>
  <c r="BQ678" i="2"/>
  <c r="BP678" i="2"/>
  <c r="AB678" i="1"/>
  <c r="BO678" i="2"/>
  <c r="AA678" i="1"/>
  <c r="BN678" i="2"/>
  <c r="BM678" i="2"/>
  <c r="BL678" i="2"/>
  <c r="BK678" i="2"/>
  <c r="W678" i="1"/>
  <c r="BJ678" i="2"/>
  <c r="BI678" i="2"/>
  <c r="BH678" i="2"/>
  <c r="T678" i="1"/>
  <c r="BG678" i="2"/>
  <c r="BF678" i="2"/>
  <c r="BE678" i="2"/>
  <c r="BD678" i="2"/>
  <c r="BC678" i="2"/>
  <c r="BB678" i="2"/>
  <c r="BA678" i="2"/>
  <c r="AZ678" i="2"/>
  <c r="AY678" i="2"/>
  <c r="AX678" i="2"/>
  <c r="J678" i="1"/>
  <c r="AW678" i="2"/>
  <c r="I678" i="1"/>
  <c r="AV678" i="2"/>
  <c r="AU678" i="2"/>
  <c r="AT678" i="2"/>
  <c r="AS678" i="2"/>
  <c r="AR678" i="2"/>
  <c r="AQ678" i="2"/>
  <c r="AP678" i="2"/>
  <c r="AO678" i="2"/>
  <c r="AL678" i="2"/>
  <c r="AK678" i="2"/>
  <c r="BQ677" i="2"/>
  <c r="BP677" i="2"/>
  <c r="AB677" i="1"/>
  <c r="BO677" i="2"/>
  <c r="AA677" i="1"/>
  <c r="BN677" i="2"/>
  <c r="BM677" i="2"/>
  <c r="BL677" i="2"/>
  <c r="BK677" i="2"/>
  <c r="W677" i="1"/>
  <c r="BJ677" i="2"/>
  <c r="BI677" i="2"/>
  <c r="BH677" i="2"/>
  <c r="T677" i="1"/>
  <c r="BG677" i="2"/>
  <c r="BF677" i="2"/>
  <c r="BE677" i="2"/>
  <c r="BD677" i="2"/>
  <c r="BC677" i="2"/>
  <c r="BB677" i="2"/>
  <c r="BA677" i="2"/>
  <c r="AZ677" i="2"/>
  <c r="AY677" i="2"/>
  <c r="AX677" i="2"/>
  <c r="J677" i="1"/>
  <c r="AW677" i="2"/>
  <c r="I677" i="1"/>
  <c r="AV677" i="2"/>
  <c r="AU677" i="2"/>
  <c r="AT677" i="2"/>
  <c r="AS677" i="2"/>
  <c r="AR677" i="2"/>
  <c r="AQ677" i="2"/>
  <c r="AP677" i="2"/>
  <c r="AO677" i="2"/>
  <c r="AL677" i="2"/>
  <c r="AK677" i="2"/>
  <c r="BQ676" i="2"/>
  <c r="BP676" i="2"/>
  <c r="AB676" i="1"/>
  <c r="BO676" i="2"/>
  <c r="AA676" i="1"/>
  <c r="BN676" i="2"/>
  <c r="BM676" i="2"/>
  <c r="BL676" i="2"/>
  <c r="BK676" i="2"/>
  <c r="W676" i="1"/>
  <c r="BJ676" i="2"/>
  <c r="BI676" i="2"/>
  <c r="BH676" i="2"/>
  <c r="T676" i="1"/>
  <c r="BG676" i="2"/>
  <c r="BF676" i="2"/>
  <c r="BE676" i="2"/>
  <c r="BD676" i="2"/>
  <c r="BC676" i="2"/>
  <c r="BB676" i="2"/>
  <c r="BA676" i="2"/>
  <c r="AZ676" i="2"/>
  <c r="AY676" i="2"/>
  <c r="AX676" i="2"/>
  <c r="J676" i="1"/>
  <c r="AW676" i="2"/>
  <c r="I676" i="1"/>
  <c r="AV676" i="2"/>
  <c r="AU676" i="2"/>
  <c r="AT676" i="2"/>
  <c r="AS676" i="2"/>
  <c r="AR676" i="2"/>
  <c r="AQ676" i="2"/>
  <c r="AP676" i="2"/>
  <c r="AO676" i="2"/>
  <c r="AL676" i="2"/>
  <c r="AK676" i="2"/>
  <c r="BQ675" i="2"/>
  <c r="BP675" i="2"/>
  <c r="AB675" i="1"/>
  <c r="BO675" i="2"/>
  <c r="AA675" i="1"/>
  <c r="BN675" i="2"/>
  <c r="BM675" i="2"/>
  <c r="BL675" i="2"/>
  <c r="BK675" i="2"/>
  <c r="W675" i="1"/>
  <c r="BJ675" i="2"/>
  <c r="BI675" i="2"/>
  <c r="BH675" i="2"/>
  <c r="T675" i="1"/>
  <c r="BG675" i="2"/>
  <c r="BF675" i="2"/>
  <c r="BE675" i="2"/>
  <c r="BD675" i="2"/>
  <c r="BC675" i="2"/>
  <c r="BB675" i="2"/>
  <c r="BA675" i="2"/>
  <c r="AZ675" i="2"/>
  <c r="AY675" i="2"/>
  <c r="AX675" i="2"/>
  <c r="J675" i="1"/>
  <c r="AW675" i="2"/>
  <c r="I675" i="1"/>
  <c r="AV675" i="2"/>
  <c r="AU675" i="2"/>
  <c r="AT675" i="2"/>
  <c r="AS675" i="2"/>
  <c r="AR675" i="2"/>
  <c r="AQ675" i="2"/>
  <c r="AP675" i="2"/>
  <c r="AO675" i="2"/>
  <c r="AL675" i="2"/>
  <c r="AK675" i="2"/>
  <c r="BQ674" i="2"/>
  <c r="BP674" i="2"/>
  <c r="AB674" i="1"/>
  <c r="BO674" i="2"/>
  <c r="AA674" i="1"/>
  <c r="BN674" i="2"/>
  <c r="BM674" i="2"/>
  <c r="BL674" i="2"/>
  <c r="BK674" i="2"/>
  <c r="W674" i="1"/>
  <c r="BJ674" i="2"/>
  <c r="BI674" i="2"/>
  <c r="BH674" i="2"/>
  <c r="T674" i="1"/>
  <c r="BG674" i="2"/>
  <c r="BF674" i="2"/>
  <c r="BE674" i="2"/>
  <c r="BD674" i="2"/>
  <c r="BC674" i="2"/>
  <c r="BB674" i="2"/>
  <c r="BA674" i="2"/>
  <c r="AZ674" i="2"/>
  <c r="AY674" i="2"/>
  <c r="AX674" i="2"/>
  <c r="J674" i="1"/>
  <c r="AW674" i="2"/>
  <c r="I674" i="1"/>
  <c r="AV674" i="2"/>
  <c r="AU674" i="2"/>
  <c r="AT674" i="2"/>
  <c r="AS674" i="2"/>
  <c r="AR674" i="2"/>
  <c r="AQ674" i="2"/>
  <c r="AP674" i="2"/>
  <c r="AO674" i="2"/>
  <c r="AL674" i="2"/>
  <c r="AK674" i="2"/>
  <c r="BQ673" i="2"/>
  <c r="BP673" i="2"/>
  <c r="AB673" i="1"/>
  <c r="BO673" i="2"/>
  <c r="AA673" i="1"/>
  <c r="BN673" i="2"/>
  <c r="BM673" i="2"/>
  <c r="BL673" i="2"/>
  <c r="BK673" i="2"/>
  <c r="W673" i="1"/>
  <c r="BJ673" i="2"/>
  <c r="BI673" i="2"/>
  <c r="BH673" i="2"/>
  <c r="T673" i="1"/>
  <c r="BG673" i="2"/>
  <c r="BF673" i="2"/>
  <c r="BE673" i="2"/>
  <c r="BD673" i="2"/>
  <c r="BC673" i="2"/>
  <c r="BB673" i="2"/>
  <c r="BA673" i="2"/>
  <c r="AZ673" i="2"/>
  <c r="AY673" i="2"/>
  <c r="AX673" i="2"/>
  <c r="J673" i="1"/>
  <c r="AW673" i="2"/>
  <c r="I673" i="1"/>
  <c r="AV673" i="2"/>
  <c r="AU673" i="2"/>
  <c r="AT673" i="2"/>
  <c r="AS673" i="2"/>
  <c r="AR673" i="2"/>
  <c r="AQ673" i="2"/>
  <c r="AP673" i="2"/>
  <c r="AO673" i="2"/>
  <c r="AL673" i="2"/>
  <c r="AK673" i="2"/>
  <c r="BQ672" i="2"/>
  <c r="BP672" i="2"/>
  <c r="AB672" i="1"/>
  <c r="BO672" i="2"/>
  <c r="AA672" i="1"/>
  <c r="BN672" i="2"/>
  <c r="BM672" i="2"/>
  <c r="BL672" i="2"/>
  <c r="BK672" i="2"/>
  <c r="W672" i="1"/>
  <c r="BJ672" i="2"/>
  <c r="BI672" i="2"/>
  <c r="BH672" i="2"/>
  <c r="T672" i="1"/>
  <c r="BG672" i="2"/>
  <c r="BF672" i="2"/>
  <c r="BE672" i="2"/>
  <c r="BD672" i="2"/>
  <c r="BC672" i="2"/>
  <c r="BB672" i="2"/>
  <c r="BA672" i="2"/>
  <c r="AZ672" i="2"/>
  <c r="AY672" i="2"/>
  <c r="AX672" i="2"/>
  <c r="J672" i="1"/>
  <c r="AW672" i="2"/>
  <c r="I672" i="1"/>
  <c r="AV672" i="2"/>
  <c r="AU672" i="2"/>
  <c r="AT672" i="2"/>
  <c r="AS672" i="2"/>
  <c r="AR672" i="2"/>
  <c r="AQ672" i="2"/>
  <c r="AP672" i="2"/>
  <c r="AO672" i="2"/>
  <c r="AL672" i="2"/>
  <c r="AK672" i="2"/>
  <c r="BQ671" i="2"/>
  <c r="BP671" i="2"/>
  <c r="AB671" i="1"/>
  <c r="BO671" i="2"/>
  <c r="AA671" i="1"/>
  <c r="BN671" i="2"/>
  <c r="BM671" i="2"/>
  <c r="BL671" i="2"/>
  <c r="BK671" i="2"/>
  <c r="W671" i="1"/>
  <c r="BJ671" i="2"/>
  <c r="BI671" i="2"/>
  <c r="BH671" i="2"/>
  <c r="T671" i="1"/>
  <c r="BG671" i="2"/>
  <c r="BF671" i="2"/>
  <c r="BE671" i="2"/>
  <c r="BD671" i="2"/>
  <c r="BC671" i="2"/>
  <c r="BB671" i="2"/>
  <c r="BA671" i="2"/>
  <c r="AZ671" i="2"/>
  <c r="AY671" i="2"/>
  <c r="AX671" i="2"/>
  <c r="J671" i="1"/>
  <c r="AW671" i="2"/>
  <c r="I671" i="1"/>
  <c r="AV671" i="2"/>
  <c r="AU671" i="2"/>
  <c r="AT671" i="2"/>
  <c r="AS671" i="2"/>
  <c r="AR671" i="2"/>
  <c r="AQ671" i="2"/>
  <c r="AP671" i="2"/>
  <c r="AO671" i="2"/>
  <c r="AL671" i="2"/>
  <c r="AK671" i="2"/>
  <c r="BQ670" i="2"/>
  <c r="BP670" i="2"/>
  <c r="AB670" i="1"/>
  <c r="BO670" i="2"/>
  <c r="AA670" i="1"/>
  <c r="BN670" i="2"/>
  <c r="BM670" i="2"/>
  <c r="BL670" i="2"/>
  <c r="BK670" i="2"/>
  <c r="W670" i="1"/>
  <c r="BJ670" i="2"/>
  <c r="BI670" i="2"/>
  <c r="BH670" i="2"/>
  <c r="T670" i="1"/>
  <c r="BG670" i="2"/>
  <c r="BF670" i="2"/>
  <c r="BE670" i="2"/>
  <c r="BD670" i="2"/>
  <c r="BC670" i="2"/>
  <c r="BB670" i="2"/>
  <c r="BA670" i="2"/>
  <c r="AZ670" i="2"/>
  <c r="AY670" i="2"/>
  <c r="AX670" i="2"/>
  <c r="J670" i="1"/>
  <c r="AW670" i="2"/>
  <c r="I670" i="1"/>
  <c r="AV670" i="2"/>
  <c r="AU670" i="2"/>
  <c r="AT670" i="2"/>
  <c r="AS670" i="2"/>
  <c r="AR670" i="2"/>
  <c r="AQ670" i="2"/>
  <c r="AP670" i="2"/>
  <c r="AO670" i="2"/>
  <c r="AL670" i="2"/>
  <c r="AK670" i="2"/>
  <c r="BQ669" i="2"/>
  <c r="BP669" i="2"/>
  <c r="AB669" i="1"/>
  <c r="BO669" i="2"/>
  <c r="AA669" i="1"/>
  <c r="BN669" i="2"/>
  <c r="BM669" i="2"/>
  <c r="BL669" i="2"/>
  <c r="BK669" i="2"/>
  <c r="W669" i="1"/>
  <c r="BJ669" i="2"/>
  <c r="BI669" i="2"/>
  <c r="BH669" i="2"/>
  <c r="T669" i="1"/>
  <c r="BG669" i="2"/>
  <c r="BF669" i="2"/>
  <c r="BE669" i="2"/>
  <c r="BD669" i="2"/>
  <c r="BC669" i="2"/>
  <c r="BB669" i="2"/>
  <c r="BA669" i="2"/>
  <c r="AZ669" i="2"/>
  <c r="AY669" i="2"/>
  <c r="AX669" i="2"/>
  <c r="J669" i="1"/>
  <c r="AW669" i="2"/>
  <c r="I669" i="1"/>
  <c r="AV669" i="2"/>
  <c r="AU669" i="2"/>
  <c r="AT669" i="2"/>
  <c r="AS669" i="2"/>
  <c r="AR669" i="2"/>
  <c r="AQ669" i="2"/>
  <c r="AP669" i="2"/>
  <c r="AO669" i="2"/>
  <c r="AL669" i="2"/>
  <c r="AK669" i="2"/>
  <c r="BQ668" i="2"/>
  <c r="BP668" i="2"/>
  <c r="AB668" i="1"/>
  <c r="BO668" i="2"/>
  <c r="AA668" i="1"/>
  <c r="BN668" i="2"/>
  <c r="BM668" i="2"/>
  <c r="BL668" i="2"/>
  <c r="BK668" i="2"/>
  <c r="W668" i="1"/>
  <c r="BJ668" i="2"/>
  <c r="BI668" i="2"/>
  <c r="BH668" i="2"/>
  <c r="T668" i="1"/>
  <c r="BG668" i="2"/>
  <c r="BF668" i="2"/>
  <c r="BE668" i="2"/>
  <c r="BD668" i="2"/>
  <c r="BC668" i="2"/>
  <c r="BB668" i="2"/>
  <c r="BA668" i="2"/>
  <c r="AZ668" i="2"/>
  <c r="AY668" i="2"/>
  <c r="AX668" i="2"/>
  <c r="J668" i="1"/>
  <c r="AW668" i="2"/>
  <c r="I668" i="1"/>
  <c r="AV668" i="2"/>
  <c r="AU668" i="2"/>
  <c r="AT668" i="2"/>
  <c r="AS668" i="2"/>
  <c r="AR668" i="2"/>
  <c r="AQ668" i="2"/>
  <c r="AP668" i="2"/>
  <c r="AO668" i="2"/>
  <c r="AL668" i="2"/>
  <c r="AK668" i="2"/>
  <c r="BQ667" i="2"/>
  <c r="BP667" i="2"/>
  <c r="AB667" i="1"/>
  <c r="BO667" i="2"/>
  <c r="AA667" i="1"/>
  <c r="BN667" i="2"/>
  <c r="BM667" i="2"/>
  <c r="BL667" i="2"/>
  <c r="BK667" i="2"/>
  <c r="W667" i="1"/>
  <c r="BJ667" i="2"/>
  <c r="BI667" i="2"/>
  <c r="BH667" i="2"/>
  <c r="T667" i="1"/>
  <c r="BG667" i="2"/>
  <c r="BF667" i="2"/>
  <c r="BE667" i="2"/>
  <c r="BD667" i="2"/>
  <c r="BC667" i="2"/>
  <c r="BB667" i="2"/>
  <c r="BA667" i="2"/>
  <c r="AZ667" i="2"/>
  <c r="AY667" i="2"/>
  <c r="AX667" i="2"/>
  <c r="J667" i="1"/>
  <c r="AW667" i="2"/>
  <c r="I667" i="1"/>
  <c r="AV667" i="2"/>
  <c r="AU667" i="2"/>
  <c r="AT667" i="2"/>
  <c r="AS667" i="2"/>
  <c r="AR667" i="2"/>
  <c r="AQ667" i="2"/>
  <c r="AP667" i="2"/>
  <c r="AO667" i="2"/>
  <c r="AL667" i="2"/>
  <c r="AK667" i="2"/>
  <c r="BQ666" i="2"/>
  <c r="BP666" i="2"/>
  <c r="AB666" i="1"/>
  <c r="BO666" i="2"/>
  <c r="AA666" i="1"/>
  <c r="BN666" i="2"/>
  <c r="BM666" i="2"/>
  <c r="BL666" i="2"/>
  <c r="BK666" i="2"/>
  <c r="W666" i="1"/>
  <c r="BJ666" i="2"/>
  <c r="BI666" i="2"/>
  <c r="BH666" i="2"/>
  <c r="T666" i="1"/>
  <c r="BG666" i="2"/>
  <c r="BF666" i="2"/>
  <c r="BE666" i="2"/>
  <c r="BD666" i="2"/>
  <c r="BC666" i="2"/>
  <c r="BB666" i="2"/>
  <c r="BA666" i="2"/>
  <c r="AZ666" i="2"/>
  <c r="AY666" i="2"/>
  <c r="AX666" i="2"/>
  <c r="J666" i="1"/>
  <c r="AW666" i="2"/>
  <c r="I666" i="1"/>
  <c r="AV666" i="2"/>
  <c r="AU666" i="2"/>
  <c r="AT666" i="2"/>
  <c r="AS666" i="2"/>
  <c r="AR666" i="2"/>
  <c r="AQ666" i="2"/>
  <c r="AP666" i="2"/>
  <c r="AO666" i="2"/>
  <c r="AL666" i="2"/>
  <c r="AK666" i="2"/>
  <c r="BQ665" i="2"/>
  <c r="BP665" i="2"/>
  <c r="AB665" i="1"/>
  <c r="BO665" i="2"/>
  <c r="AA665" i="1"/>
  <c r="BN665" i="2"/>
  <c r="BM665" i="2"/>
  <c r="BL665" i="2"/>
  <c r="BK665" i="2"/>
  <c r="W665" i="1"/>
  <c r="BJ665" i="2"/>
  <c r="BI665" i="2"/>
  <c r="BH665" i="2"/>
  <c r="T665" i="1"/>
  <c r="BG665" i="2"/>
  <c r="BF665" i="2"/>
  <c r="BE665" i="2"/>
  <c r="BD665" i="2"/>
  <c r="BC665" i="2"/>
  <c r="BB665" i="2"/>
  <c r="BA665" i="2"/>
  <c r="AZ665" i="2"/>
  <c r="AY665" i="2"/>
  <c r="AX665" i="2"/>
  <c r="J665" i="1"/>
  <c r="AW665" i="2"/>
  <c r="I665" i="1"/>
  <c r="AV665" i="2"/>
  <c r="AU665" i="2"/>
  <c r="AT665" i="2"/>
  <c r="AS665" i="2"/>
  <c r="AR665" i="2"/>
  <c r="AQ665" i="2"/>
  <c r="AP665" i="2"/>
  <c r="AO665" i="2"/>
  <c r="AL665" i="2"/>
  <c r="AK665" i="2"/>
  <c r="BQ664" i="2"/>
  <c r="BP664" i="2"/>
  <c r="AB664" i="1"/>
  <c r="BO664" i="2"/>
  <c r="AA664" i="1"/>
  <c r="BN664" i="2"/>
  <c r="BM664" i="2"/>
  <c r="BL664" i="2"/>
  <c r="BK664" i="2"/>
  <c r="W664" i="1"/>
  <c r="BJ664" i="2"/>
  <c r="BI664" i="2"/>
  <c r="BH664" i="2"/>
  <c r="T664" i="1"/>
  <c r="BG664" i="2"/>
  <c r="BF664" i="2"/>
  <c r="BE664" i="2"/>
  <c r="BD664" i="2"/>
  <c r="BC664" i="2"/>
  <c r="BB664" i="2"/>
  <c r="BA664" i="2"/>
  <c r="AZ664" i="2"/>
  <c r="AY664" i="2"/>
  <c r="AX664" i="2"/>
  <c r="J664" i="1"/>
  <c r="AW664" i="2"/>
  <c r="I664" i="1"/>
  <c r="AV664" i="2"/>
  <c r="AU664" i="2"/>
  <c r="AT664" i="2"/>
  <c r="AS664" i="2"/>
  <c r="AR664" i="2"/>
  <c r="AQ664" i="2"/>
  <c r="AP664" i="2"/>
  <c r="AO664" i="2"/>
  <c r="AL664" i="2"/>
  <c r="AK664" i="2"/>
  <c r="BQ663" i="2"/>
  <c r="BP663" i="2"/>
  <c r="AB663" i="1"/>
  <c r="BO663" i="2"/>
  <c r="AA663" i="1"/>
  <c r="BN663" i="2"/>
  <c r="BM663" i="2"/>
  <c r="BL663" i="2"/>
  <c r="BK663" i="2"/>
  <c r="W663" i="1"/>
  <c r="BJ663" i="2"/>
  <c r="BI663" i="2"/>
  <c r="BH663" i="2"/>
  <c r="T663" i="1"/>
  <c r="BG663" i="2"/>
  <c r="BF663" i="2"/>
  <c r="BE663" i="2"/>
  <c r="BD663" i="2"/>
  <c r="BC663" i="2"/>
  <c r="BB663" i="2"/>
  <c r="BA663" i="2"/>
  <c r="AZ663" i="2"/>
  <c r="AY663" i="2"/>
  <c r="AX663" i="2"/>
  <c r="J663" i="1"/>
  <c r="AW663" i="2"/>
  <c r="I663" i="1"/>
  <c r="AV663" i="2"/>
  <c r="AU663" i="2"/>
  <c r="AT663" i="2"/>
  <c r="AS663" i="2"/>
  <c r="AR663" i="2"/>
  <c r="AQ663" i="2"/>
  <c r="AP663" i="2"/>
  <c r="AO663" i="2"/>
  <c r="AL663" i="2"/>
  <c r="AK663" i="2"/>
  <c r="BQ662" i="2"/>
  <c r="BP662" i="2"/>
  <c r="AB662" i="1"/>
  <c r="BO662" i="2"/>
  <c r="AA662" i="1"/>
  <c r="BN662" i="2"/>
  <c r="BM662" i="2"/>
  <c r="BL662" i="2"/>
  <c r="BK662" i="2"/>
  <c r="W662" i="1"/>
  <c r="BJ662" i="2"/>
  <c r="BI662" i="2"/>
  <c r="BH662" i="2"/>
  <c r="T662" i="1"/>
  <c r="BG662" i="2"/>
  <c r="BF662" i="2"/>
  <c r="BE662" i="2"/>
  <c r="BD662" i="2"/>
  <c r="BC662" i="2"/>
  <c r="BB662" i="2"/>
  <c r="BA662" i="2"/>
  <c r="AZ662" i="2"/>
  <c r="AY662" i="2"/>
  <c r="AX662" i="2"/>
  <c r="J662" i="1"/>
  <c r="AW662" i="2"/>
  <c r="I662" i="1"/>
  <c r="AV662" i="2"/>
  <c r="AU662" i="2"/>
  <c r="AT662" i="2"/>
  <c r="AS662" i="2"/>
  <c r="AR662" i="2"/>
  <c r="AQ662" i="2"/>
  <c r="AP662" i="2"/>
  <c r="AO662" i="2"/>
  <c r="AL662" i="2"/>
  <c r="AK662" i="2"/>
  <c r="BQ661" i="2"/>
  <c r="BP661" i="2"/>
  <c r="AB661" i="1"/>
  <c r="BO661" i="2"/>
  <c r="AA661" i="1"/>
  <c r="BN661" i="2"/>
  <c r="BM661" i="2"/>
  <c r="BL661" i="2"/>
  <c r="BK661" i="2"/>
  <c r="W661" i="1"/>
  <c r="BJ661" i="2"/>
  <c r="BI661" i="2"/>
  <c r="BH661" i="2"/>
  <c r="T661" i="1"/>
  <c r="BG661" i="2"/>
  <c r="BF661" i="2"/>
  <c r="BE661" i="2"/>
  <c r="BD661" i="2"/>
  <c r="BC661" i="2"/>
  <c r="BB661" i="2"/>
  <c r="BA661" i="2"/>
  <c r="AZ661" i="2"/>
  <c r="AY661" i="2"/>
  <c r="AX661" i="2"/>
  <c r="J661" i="1"/>
  <c r="AW661" i="2"/>
  <c r="I661" i="1"/>
  <c r="AV661" i="2"/>
  <c r="AU661" i="2"/>
  <c r="AT661" i="2"/>
  <c r="AS661" i="2"/>
  <c r="AR661" i="2"/>
  <c r="AQ661" i="2"/>
  <c r="AP661" i="2"/>
  <c r="AO661" i="2"/>
  <c r="AL661" i="2"/>
  <c r="AK661" i="2"/>
  <c r="BQ660" i="2"/>
  <c r="BP660" i="2"/>
  <c r="AB660" i="1"/>
  <c r="BO660" i="2"/>
  <c r="AA660" i="1"/>
  <c r="BN660" i="2"/>
  <c r="BM660" i="2"/>
  <c r="BL660" i="2"/>
  <c r="BK660" i="2"/>
  <c r="W660" i="1"/>
  <c r="BJ660" i="2"/>
  <c r="BI660" i="2"/>
  <c r="BH660" i="2"/>
  <c r="T660" i="1"/>
  <c r="BG660" i="2"/>
  <c r="BF660" i="2"/>
  <c r="BE660" i="2"/>
  <c r="BD660" i="2"/>
  <c r="BC660" i="2"/>
  <c r="BB660" i="2"/>
  <c r="BA660" i="2"/>
  <c r="AZ660" i="2"/>
  <c r="AY660" i="2"/>
  <c r="AX660" i="2"/>
  <c r="J660" i="1"/>
  <c r="AW660" i="2"/>
  <c r="I660" i="1"/>
  <c r="AV660" i="2"/>
  <c r="AU660" i="2"/>
  <c r="AT660" i="2"/>
  <c r="AS660" i="2"/>
  <c r="AR660" i="2"/>
  <c r="AQ660" i="2"/>
  <c r="AP660" i="2"/>
  <c r="AO660" i="2"/>
  <c r="AL660" i="2"/>
  <c r="AK660" i="2"/>
  <c r="BQ659" i="2"/>
  <c r="BP659" i="2"/>
  <c r="AB659" i="1"/>
  <c r="BO659" i="2"/>
  <c r="AA659" i="1"/>
  <c r="BN659" i="2"/>
  <c r="BM659" i="2"/>
  <c r="BL659" i="2"/>
  <c r="BK659" i="2"/>
  <c r="W659" i="1"/>
  <c r="BJ659" i="2"/>
  <c r="BI659" i="2"/>
  <c r="BH659" i="2"/>
  <c r="T659" i="1"/>
  <c r="BG659" i="2"/>
  <c r="BF659" i="2"/>
  <c r="BE659" i="2"/>
  <c r="BD659" i="2"/>
  <c r="BC659" i="2"/>
  <c r="BB659" i="2"/>
  <c r="BA659" i="2"/>
  <c r="AZ659" i="2"/>
  <c r="AY659" i="2"/>
  <c r="AX659" i="2"/>
  <c r="J659" i="1"/>
  <c r="AW659" i="2"/>
  <c r="I659" i="1"/>
  <c r="AV659" i="2"/>
  <c r="AU659" i="2"/>
  <c r="AT659" i="2"/>
  <c r="AS659" i="2"/>
  <c r="AR659" i="2"/>
  <c r="AQ659" i="2"/>
  <c r="AP659" i="2"/>
  <c r="AO659" i="2"/>
  <c r="AL659" i="2"/>
  <c r="AK659" i="2"/>
  <c r="BQ658" i="2"/>
  <c r="BP658" i="2"/>
  <c r="AB658" i="1"/>
  <c r="BO658" i="2"/>
  <c r="AA658" i="1"/>
  <c r="BN658" i="2"/>
  <c r="BM658" i="2"/>
  <c r="BL658" i="2"/>
  <c r="BK658" i="2"/>
  <c r="W658" i="1"/>
  <c r="BJ658" i="2"/>
  <c r="BI658" i="2"/>
  <c r="BH658" i="2"/>
  <c r="T658" i="1"/>
  <c r="BG658" i="2"/>
  <c r="BF658" i="2"/>
  <c r="BE658" i="2"/>
  <c r="BD658" i="2"/>
  <c r="BC658" i="2"/>
  <c r="BB658" i="2"/>
  <c r="BA658" i="2"/>
  <c r="AZ658" i="2"/>
  <c r="AY658" i="2"/>
  <c r="AX658" i="2"/>
  <c r="J658" i="1"/>
  <c r="AW658" i="2"/>
  <c r="I658" i="1"/>
  <c r="AV658" i="2"/>
  <c r="AU658" i="2"/>
  <c r="AT658" i="2"/>
  <c r="AS658" i="2"/>
  <c r="AR658" i="2"/>
  <c r="AQ658" i="2"/>
  <c r="AP658" i="2"/>
  <c r="AO658" i="2"/>
  <c r="AL658" i="2"/>
  <c r="AK658" i="2"/>
  <c r="BQ657" i="2"/>
  <c r="BP657" i="2"/>
  <c r="AB657" i="1"/>
  <c r="BO657" i="2"/>
  <c r="AA657" i="1"/>
  <c r="BN657" i="2"/>
  <c r="BM657" i="2"/>
  <c r="BL657" i="2"/>
  <c r="BK657" i="2"/>
  <c r="W657" i="1"/>
  <c r="BJ657" i="2"/>
  <c r="BI657" i="2"/>
  <c r="BH657" i="2"/>
  <c r="T657" i="1"/>
  <c r="BG657" i="2"/>
  <c r="BF657" i="2"/>
  <c r="BE657" i="2"/>
  <c r="BD657" i="2"/>
  <c r="BC657" i="2"/>
  <c r="BB657" i="2"/>
  <c r="BA657" i="2"/>
  <c r="AZ657" i="2"/>
  <c r="AY657" i="2"/>
  <c r="AX657" i="2"/>
  <c r="J657" i="1"/>
  <c r="AW657" i="2"/>
  <c r="I657" i="1"/>
  <c r="AV657" i="2"/>
  <c r="AU657" i="2"/>
  <c r="AT657" i="2"/>
  <c r="AS657" i="2"/>
  <c r="AR657" i="2"/>
  <c r="AQ657" i="2"/>
  <c r="AP657" i="2"/>
  <c r="AO657" i="2"/>
  <c r="AL657" i="2"/>
  <c r="AK657" i="2"/>
  <c r="BQ656" i="2"/>
  <c r="BP656" i="2"/>
  <c r="AB656" i="1"/>
  <c r="BO656" i="2"/>
  <c r="AA656" i="1"/>
  <c r="BN656" i="2"/>
  <c r="BM656" i="2"/>
  <c r="BL656" i="2"/>
  <c r="BK656" i="2"/>
  <c r="W656" i="1"/>
  <c r="BJ656" i="2"/>
  <c r="BI656" i="2"/>
  <c r="BH656" i="2"/>
  <c r="T656" i="1"/>
  <c r="BG656" i="2"/>
  <c r="BF656" i="2"/>
  <c r="BE656" i="2"/>
  <c r="BD656" i="2"/>
  <c r="BC656" i="2"/>
  <c r="BB656" i="2"/>
  <c r="BA656" i="2"/>
  <c r="AZ656" i="2"/>
  <c r="AY656" i="2"/>
  <c r="AX656" i="2"/>
  <c r="J656" i="1"/>
  <c r="AW656" i="2"/>
  <c r="I656" i="1"/>
  <c r="AV656" i="2"/>
  <c r="AU656" i="2"/>
  <c r="AT656" i="2"/>
  <c r="AS656" i="2"/>
  <c r="AR656" i="2"/>
  <c r="AQ656" i="2"/>
  <c r="AP656" i="2"/>
  <c r="AO656" i="2"/>
  <c r="AL656" i="2"/>
  <c r="AK656" i="2"/>
  <c r="BQ655" i="2"/>
  <c r="BP655" i="2"/>
  <c r="AB655" i="1"/>
  <c r="BO655" i="2"/>
  <c r="AA655" i="1"/>
  <c r="BN655" i="2"/>
  <c r="BM655" i="2"/>
  <c r="BL655" i="2"/>
  <c r="BK655" i="2"/>
  <c r="W655" i="1"/>
  <c r="BJ655" i="2"/>
  <c r="BI655" i="2"/>
  <c r="BH655" i="2"/>
  <c r="T655" i="1"/>
  <c r="BG655" i="2"/>
  <c r="BF655" i="2"/>
  <c r="BE655" i="2"/>
  <c r="BD655" i="2"/>
  <c r="BC655" i="2"/>
  <c r="BB655" i="2"/>
  <c r="BA655" i="2"/>
  <c r="AZ655" i="2"/>
  <c r="AY655" i="2"/>
  <c r="AX655" i="2"/>
  <c r="J655" i="1"/>
  <c r="AW655" i="2"/>
  <c r="I655" i="1"/>
  <c r="AV655" i="2"/>
  <c r="AU655" i="2"/>
  <c r="AT655" i="2"/>
  <c r="AS655" i="2"/>
  <c r="AR655" i="2"/>
  <c r="AQ655" i="2"/>
  <c r="AP655" i="2"/>
  <c r="AO655" i="2"/>
  <c r="AL655" i="2"/>
  <c r="AK655" i="2"/>
  <c r="BQ654" i="2"/>
  <c r="BP654" i="2"/>
  <c r="AB654" i="1"/>
  <c r="BO654" i="2"/>
  <c r="AA654" i="1"/>
  <c r="BN654" i="2"/>
  <c r="BM654" i="2"/>
  <c r="BL654" i="2"/>
  <c r="BK654" i="2"/>
  <c r="W654" i="1"/>
  <c r="BJ654" i="2"/>
  <c r="BI654" i="2"/>
  <c r="BH654" i="2"/>
  <c r="T654" i="1"/>
  <c r="BG654" i="2"/>
  <c r="BF654" i="2"/>
  <c r="BE654" i="2"/>
  <c r="BD654" i="2"/>
  <c r="BC654" i="2"/>
  <c r="BB654" i="2"/>
  <c r="BA654" i="2"/>
  <c r="AZ654" i="2"/>
  <c r="AY654" i="2"/>
  <c r="AX654" i="2"/>
  <c r="J654" i="1"/>
  <c r="AW654" i="2"/>
  <c r="I654" i="1"/>
  <c r="AV654" i="2"/>
  <c r="AU654" i="2"/>
  <c r="AT654" i="2"/>
  <c r="AS654" i="2"/>
  <c r="AR654" i="2"/>
  <c r="AQ654" i="2"/>
  <c r="AP654" i="2"/>
  <c r="AO654" i="2"/>
  <c r="AL654" i="2"/>
  <c r="AK654" i="2"/>
  <c r="BQ653" i="2"/>
  <c r="BP653" i="2"/>
  <c r="AB653" i="1"/>
  <c r="BO653" i="2"/>
  <c r="AA653" i="1"/>
  <c r="BN653" i="2"/>
  <c r="BM653" i="2"/>
  <c r="BL653" i="2"/>
  <c r="BK653" i="2"/>
  <c r="W653" i="1"/>
  <c r="BJ653" i="2"/>
  <c r="BI653" i="2"/>
  <c r="BH653" i="2"/>
  <c r="T653" i="1"/>
  <c r="BG653" i="2"/>
  <c r="BF653" i="2"/>
  <c r="BE653" i="2"/>
  <c r="BD653" i="2"/>
  <c r="BC653" i="2"/>
  <c r="BB653" i="2"/>
  <c r="BA653" i="2"/>
  <c r="AZ653" i="2"/>
  <c r="AY653" i="2"/>
  <c r="AX653" i="2"/>
  <c r="J653" i="1"/>
  <c r="AW653" i="2"/>
  <c r="I653" i="1"/>
  <c r="AV653" i="2"/>
  <c r="AU653" i="2"/>
  <c r="AT653" i="2"/>
  <c r="AS653" i="2"/>
  <c r="AR653" i="2"/>
  <c r="AQ653" i="2"/>
  <c r="AP653" i="2"/>
  <c r="AO653" i="2"/>
  <c r="AL653" i="2"/>
  <c r="AK653" i="2"/>
  <c r="BQ652" i="2"/>
  <c r="BP652" i="2"/>
  <c r="AB652" i="1"/>
  <c r="BO652" i="2"/>
  <c r="AA652" i="1"/>
  <c r="BN652" i="2"/>
  <c r="BM652" i="2"/>
  <c r="BL652" i="2"/>
  <c r="BK652" i="2"/>
  <c r="W652" i="1"/>
  <c r="BJ652" i="2"/>
  <c r="BI652" i="2"/>
  <c r="BH652" i="2"/>
  <c r="T652" i="1"/>
  <c r="BG652" i="2"/>
  <c r="BF652" i="2"/>
  <c r="BE652" i="2"/>
  <c r="BD652" i="2"/>
  <c r="BC652" i="2"/>
  <c r="BB652" i="2"/>
  <c r="BA652" i="2"/>
  <c r="AZ652" i="2"/>
  <c r="AY652" i="2"/>
  <c r="AX652" i="2"/>
  <c r="J652" i="1"/>
  <c r="AW652" i="2"/>
  <c r="I652" i="1"/>
  <c r="AV652" i="2"/>
  <c r="AU652" i="2"/>
  <c r="AT652" i="2"/>
  <c r="AS652" i="2"/>
  <c r="AR652" i="2"/>
  <c r="AQ652" i="2"/>
  <c r="AP652" i="2"/>
  <c r="AO652" i="2"/>
  <c r="AL652" i="2"/>
  <c r="AK652" i="2"/>
  <c r="BQ651" i="2"/>
  <c r="BP651" i="2"/>
  <c r="AB651" i="1"/>
  <c r="BO651" i="2"/>
  <c r="AA651" i="1"/>
  <c r="BN651" i="2"/>
  <c r="BM651" i="2"/>
  <c r="BL651" i="2"/>
  <c r="BK651" i="2"/>
  <c r="W651" i="1"/>
  <c r="BJ651" i="2"/>
  <c r="BI651" i="2"/>
  <c r="BH651" i="2"/>
  <c r="T651" i="1"/>
  <c r="BG651" i="2"/>
  <c r="BF651" i="2"/>
  <c r="BE651" i="2"/>
  <c r="BD651" i="2"/>
  <c r="BC651" i="2"/>
  <c r="BB651" i="2"/>
  <c r="BA651" i="2"/>
  <c r="AZ651" i="2"/>
  <c r="AY651" i="2"/>
  <c r="AX651" i="2"/>
  <c r="J651" i="1"/>
  <c r="AW651" i="2"/>
  <c r="I651" i="1"/>
  <c r="AV651" i="2"/>
  <c r="AU651" i="2"/>
  <c r="AT651" i="2"/>
  <c r="AS651" i="2"/>
  <c r="AR651" i="2"/>
  <c r="AQ651" i="2"/>
  <c r="AP651" i="2"/>
  <c r="AO651" i="2"/>
  <c r="AL651" i="2"/>
  <c r="AK651" i="2"/>
  <c r="BQ650" i="2"/>
  <c r="BP650" i="2"/>
  <c r="AB650" i="1"/>
  <c r="BO650" i="2"/>
  <c r="AA650" i="1"/>
  <c r="BN650" i="2"/>
  <c r="BM650" i="2"/>
  <c r="BL650" i="2"/>
  <c r="BK650" i="2"/>
  <c r="W650" i="1"/>
  <c r="BJ650" i="2"/>
  <c r="BI650" i="2"/>
  <c r="BH650" i="2"/>
  <c r="T650" i="1"/>
  <c r="BG650" i="2"/>
  <c r="BF650" i="2"/>
  <c r="BE650" i="2"/>
  <c r="BD650" i="2"/>
  <c r="BC650" i="2"/>
  <c r="BB650" i="2"/>
  <c r="BA650" i="2"/>
  <c r="AZ650" i="2"/>
  <c r="AY650" i="2"/>
  <c r="AX650" i="2"/>
  <c r="J650" i="1"/>
  <c r="AW650" i="2"/>
  <c r="I650" i="1"/>
  <c r="AV650" i="2"/>
  <c r="AU650" i="2"/>
  <c r="AT650" i="2"/>
  <c r="AS650" i="2"/>
  <c r="AR650" i="2"/>
  <c r="AQ650" i="2"/>
  <c r="AP650" i="2"/>
  <c r="AO650" i="2"/>
  <c r="AL650" i="2"/>
  <c r="AK650" i="2"/>
  <c r="BQ649" i="2"/>
  <c r="BP649" i="2"/>
  <c r="AB649" i="1"/>
  <c r="BO649" i="2"/>
  <c r="AA649" i="1"/>
  <c r="BN649" i="2"/>
  <c r="BM649" i="2"/>
  <c r="BL649" i="2"/>
  <c r="BK649" i="2"/>
  <c r="W649" i="1"/>
  <c r="BJ649" i="2"/>
  <c r="BI649" i="2"/>
  <c r="BH649" i="2"/>
  <c r="T649" i="1"/>
  <c r="BG649" i="2"/>
  <c r="BF649" i="2"/>
  <c r="BE649" i="2"/>
  <c r="BD649" i="2"/>
  <c r="BC649" i="2"/>
  <c r="BB649" i="2"/>
  <c r="BA649" i="2"/>
  <c r="AZ649" i="2"/>
  <c r="AY649" i="2"/>
  <c r="AX649" i="2"/>
  <c r="J649" i="1"/>
  <c r="AW649" i="2"/>
  <c r="I649" i="1"/>
  <c r="AV649" i="2"/>
  <c r="AU649" i="2"/>
  <c r="AT649" i="2"/>
  <c r="AS649" i="2"/>
  <c r="AR649" i="2"/>
  <c r="AQ649" i="2"/>
  <c r="AP649" i="2"/>
  <c r="AO649" i="2"/>
  <c r="AL649" i="2"/>
  <c r="AK649" i="2"/>
  <c r="BQ648" i="2"/>
  <c r="BP648" i="2"/>
  <c r="AB648" i="1"/>
  <c r="BO648" i="2"/>
  <c r="AA648" i="1"/>
  <c r="BN648" i="2"/>
  <c r="BM648" i="2"/>
  <c r="BL648" i="2"/>
  <c r="BK648" i="2"/>
  <c r="W648" i="1"/>
  <c r="BJ648" i="2"/>
  <c r="BI648" i="2"/>
  <c r="BH648" i="2"/>
  <c r="T648" i="1"/>
  <c r="BG648" i="2"/>
  <c r="BF648" i="2"/>
  <c r="BE648" i="2"/>
  <c r="BD648" i="2"/>
  <c r="BC648" i="2"/>
  <c r="BB648" i="2"/>
  <c r="BA648" i="2"/>
  <c r="AZ648" i="2"/>
  <c r="AY648" i="2"/>
  <c r="AX648" i="2"/>
  <c r="J648" i="1"/>
  <c r="AW648" i="2"/>
  <c r="I648" i="1"/>
  <c r="AV648" i="2"/>
  <c r="AU648" i="2"/>
  <c r="AT648" i="2"/>
  <c r="AS648" i="2"/>
  <c r="AR648" i="2"/>
  <c r="AQ648" i="2"/>
  <c r="AP648" i="2"/>
  <c r="AO648" i="2"/>
  <c r="AL648" i="2"/>
  <c r="AK648" i="2"/>
  <c r="BQ647" i="2"/>
  <c r="BP647" i="2"/>
  <c r="AB647" i="1"/>
  <c r="BO647" i="2"/>
  <c r="AA647" i="1"/>
  <c r="BN647" i="2"/>
  <c r="BM647" i="2"/>
  <c r="BL647" i="2"/>
  <c r="BK647" i="2"/>
  <c r="W647" i="1"/>
  <c r="BJ647" i="2"/>
  <c r="BI647" i="2"/>
  <c r="BH647" i="2"/>
  <c r="T647" i="1"/>
  <c r="BG647" i="2"/>
  <c r="BF647" i="2"/>
  <c r="BE647" i="2"/>
  <c r="BD647" i="2"/>
  <c r="BC647" i="2"/>
  <c r="BB647" i="2"/>
  <c r="BA647" i="2"/>
  <c r="AZ647" i="2"/>
  <c r="AY647" i="2"/>
  <c r="AX647" i="2"/>
  <c r="J647" i="1"/>
  <c r="AW647" i="2"/>
  <c r="I647" i="1"/>
  <c r="AV647" i="2"/>
  <c r="AU647" i="2"/>
  <c r="AT647" i="2"/>
  <c r="AS647" i="2"/>
  <c r="AR647" i="2"/>
  <c r="AQ647" i="2"/>
  <c r="AP647" i="2"/>
  <c r="AO647" i="2"/>
  <c r="AL647" i="2"/>
  <c r="AK647" i="2"/>
  <c r="BQ646" i="2"/>
  <c r="BP646" i="2"/>
  <c r="AB646" i="1"/>
  <c r="BO646" i="2"/>
  <c r="AA646" i="1"/>
  <c r="BN646" i="2"/>
  <c r="BM646" i="2"/>
  <c r="BL646" i="2"/>
  <c r="BK646" i="2"/>
  <c r="W646" i="1"/>
  <c r="BJ646" i="2"/>
  <c r="BI646" i="2"/>
  <c r="BH646" i="2"/>
  <c r="T646" i="1"/>
  <c r="BG646" i="2"/>
  <c r="BF646" i="2"/>
  <c r="BE646" i="2"/>
  <c r="BD646" i="2"/>
  <c r="BC646" i="2"/>
  <c r="BB646" i="2"/>
  <c r="BA646" i="2"/>
  <c r="AZ646" i="2"/>
  <c r="AY646" i="2"/>
  <c r="AX646" i="2"/>
  <c r="J646" i="1"/>
  <c r="AW646" i="2"/>
  <c r="I646" i="1"/>
  <c r="AV646" i="2"/>
  <c r="AU646" i="2"/>
  <c r="AT646" i="2"/>
  <c r="AS646" i="2"/>
  <c r="AR646" i="2"/>
  <c r="AQ646" i="2"/>
  <c r="AP646" i="2"/>
  <c r="AO646" i="2"/>
  <c r="AL646" i="2"/>
  <c r="AK646" i="2"/>
  <c r="BQ645" i="2"/>
  <c r="BP645" i="2"/>
  <c r="AB645" i="1"/>
  <c r="BO645" i="2"/>
  <c r="AA645" i="1"/>
  <c r="BN645" i="2"/>
  <c r="BM645" i="2"/>
  <c r="BL645" i="2"/>
  <c r="BK645" i="2"/>
  <c r="W645" i="1"/>
  <c r="BJ645" i="2"/>
  <c r="BI645" i="2"/>
  <c r="BH645" i="2"/>
  <c r="T645" i="1"/>
  <c r="BG645" i="2"/>
  <c r="BF645" i="2"/>
  <c r="BE645" i="2"/>
  <c r="BD645" i="2"/>
  <c r="BC645" i="2"/>
  <c r="BB645" i="2"/>
  <c r="BA645" i="2"/>
  <c r="AZ645" i="2"/>
  <c r="AY645" i="2"/>
  <c r="AX645" i="2"/>
  <c r="J645" i="1"/>
  <c r="AW645" i="2"/>
  <c r="I645" i="1"/>
  <c r="AV645" i="2"/>
  <c r="AU645" i="2"/>
  <c r="AT645" i="2"/>
  <c r="AS645" i="2"/>
  <c r="AR645" i="2"/>
  <c r="AQ645" i="2"/>
  <c r="AP645" i="2"/>
  <c r="AO645" i="2"/>
  <c r="AL645" i="2"/>
  <c r="AK645" i="2"/>
  <c r="BQ644" i="2"/>
  <c r="BP644" i="2"/>
  <c r="AB644" i="1"/>
  <c r="BO644" i="2"/>
  <c r="AA644" i="1"/>
  <c r="BN644" i="2"/>
  <c r="BM644" i="2"/>
  <c r="BL644" i="2"/>
  <c r="BK644" i="2"/>
  <c r="W644" i="1"/>
  <c r="BJ644" i="2"/>
  <c r="BI644" i="2"/>
  <c r="BH644" i="2"/>
  <c r="T644" i="1"/>
  <c r="BG644" i="2"/>
  <c r="BF644" i="2"/>
  <c r="BE644" i="2"/>
  <c r="BD644" i="2"/>
  <c r="BC644" i="2"/>
  <c r="BB644" i="2"/>
  <c r="BA644" i="2"/>
  <c r="AZ644" i="2"/>
  <c r="AY644" i="2"/>
  <c r="AX644" i="2"/>
  <c r="J644" i="1"/>
  <c r="AW644" i="2"/>
  <c r="I644" i="1"/>
  <c r="AV644" i="2"/>
  <c r="AU644" i="2"/>
  <c r="AT644" i="2"/>
  <c r="AS644" i="2"/>
  <c r="AR644" i="2"/>
  <c r="AQ644" i="2"/>
  <c r="AP644" i="2"/>
  <c r="AO644" i="2"/>
  <c r="AL644" i="2"/>
  <c r="AK644" i="2"/>
  <c r="BQ643" i="2"/>
  <c r="BP643" i="2"/>
  <c r="AB643" i="1"/>
  <c r="BO643" i="2"/>
  <c r="AA643" i="1"/>
  <c r="BN643" i="2"/>
  <c r="BM643" i="2"/>
  <c r="BL643" i="2"/>
  <c r="BK643" i="2"/>
  <c r="W643" i="1"/>
  <c r="BJ643" i="2"/>
  <c r="BI643" i="2"/>
  <c r="BH643" i="2"/>
  <c r="T643" i="1"/>
  <c r="BG643" i="2"/>
  <c r="BF643" i="2"/>
  <c r="BE643" i="2"/>
  <c r="BD643" i="2"/>
  <c r="BC643" i="2"/>
  <c r="BB643" i="2"/>
  <c r="BA643" i="2"/>
  <c r="AZ643" i="2"/>
  <c r="AY643" i="2"/>
  <c r="AX643" i="2"/>
  <c r="J643" i="1"/>
  <c r="AW643" i="2"/>
  <c r="I643" i="1"/>
  <c r="AV643" i="2"/>
  <c r="AU643" i="2"/>
  <c r="AT643" i="2"/>
  <c r="AS643" i="2"/>
  <c r="AR643" i="2"/>
  <c r="AQ643" i="2"/>
  <c r="AP643" i="2"/>
  <c r="AO643" i="2"/>
  <c r="AL643" i="2"/>
  <c r="AK643" i="2"/>
  <c r="BQ642" i="2"/>
  <c r="BP642" i="2"/>
  <c r="AB642" i="1"/>
  <c r="BO642" i="2"/>
  <c r="AA642" i="1"/>
  <c r="BN642" i="2"/>
  <c r="BM642" i="2"/>
  <c r="BL642" i="2"/>
  <c r="BK642" i="2"/>
  <c r="W642" i="1"/>
  <c r="BJ642" i="2"/>
  <c r="BI642" i="2"/>
  <c r="BH642" i="2"/>
  <c r="T642" i="1"/>
  <c r="BG642" i="2"/>
  <c r="BF642" i="2"/>
  <c r="BE642" i="2"/>
  <c r="BD642" i="2"/>
  <c r="BC642" i="2"/>
  <c r="BB642" i="2"/>
  <c r="BA642" i="2"/>
  <c r="AZ642" i="2"/>
  <c r="AY642" i="2"/>
  <c r="AX642" i="2"/>
  <c r="J642" i="1"/>
  <c r="AW642" i="2"/>
  <c r="I642" i="1"/>
  <c r="AV642" i="2"/>
  <c r="AU642" i="2"/>
  <c r="AT642" i="2"/>
  <c r="AS642" i="2"/>
  <c r="AR642" i="2"/>
  <c r="AQ642" i="2"/>
  <c r="AP642" i="2"/>
  <c r="AO642" i="2"/>
  <c r="AL642" i="2"/>
  <c r="AK642" i="2"/>
  <c r="BQ641" i="2"/>
  <c r="BP641" i="2"/>
  <c r="AB641" i="1"/>
  <c r="BO641" i="2"/>
  <c r="AA641" i="1"/>
  <c r="BN641" i="2"/>
  <c r="BM641" i="2"/>
  <c r="BL641" i="2"/>
  <c r="BK641" i="2"/>
  <c r="W641" i="1"/>
  <c r="BJ641" i="2"/>
  <c r="BI641" i="2"/>
  <c r="BH641" i="2"/>
  <c r="T641" i="1"/>
  <c r="BG641" i="2"/>
  <c r="BF641" i="2"/>
  <c r="BE641" i="2"/>
  <c r="BD641" i="2"/>
  <c r="BC641" i="2"/>
  <c r="BB641" i="2"/>
  <c r="BA641" i="2"/>
  <c r="AZ641" i="2"/>
  <c r="AY641" i="2"/>
  <c r="AX641" i="2"/>
  <c r="J641" i="1"/>
  <c r="AW641" i="2"/>
  <c r="I641" i="1"/>
  <c r="AV641" i="2"/>
  <c r="AU641" i="2"/>
  <c r="AT641" i="2"/>
  <c r="AS641" i="2"/>
  <c r="AR641" i="2"/>
  <c r="AQ641" i="2"/>
  <c r="AP641" i="2"/>
  <c r="AO641" i="2"/>
  <c r="AL641" i="2"/>
  <c r="AK641" i="2"/>
  <c r="BQ640" i="2"/>
  <c r="BP640" i="2"/>
  <c r="AB640" i="1"/>
  <c r="BO640" i="2"/>
  <c r="AA640" i="1"/>
  <c r="BN640" i="2"/>
  <c r="BM640" i="2"/>
  <c r="BL640" i="2"/>
  <c r="BK640" i="2"/>
  <c r="W640" i="1"/>
  <c r="BJ640" i="2"/>
  <c r="BI640" i="2"/>
  <c r="BH640" i="2"/>
  <c r="T640" i="1"/>
  <c r="BG640" i="2"/>
  <c r="BF640" i="2"/>
  <c r="BE640" i="2"/>
  <c r="BD640" i="2"/>
  <c r="BC640" i="2"/>
  <c r="BB640" i="2"/>
  <c r="BA640" i="2"/>
  <c r="AZ640" i="2"/>
  <c r="AY640" i="2"/>
  <c r="AX640" i="2"/>
  <c r="J640" i="1"/>
  <c r="AW640" i="2"/>
  <c r="I640" i="1"/>
  <c r="AV640" i="2"/>
  <c r="AU640" i="2"/>
  <c r="AT640" i="2"/>
  <c r="AS640" i="2"/>
  <c r="AR640" i="2"/>
  <c r="AQ640" i="2"/>
  <c r="AP640" i="2"/>
  <c r="AO640" i="2"/>
  <c r="AL640" i="2"/>
  <c r="AK640" i="2"/>
  <c r="BQ639" i="2"/>
  <c r="BP639" i="2"/>
  <c r="AB639" i="1"/>
  <c r="BO639" i="2"/>
  <c r="AA639" i="1"/>
  <c r="BN639" i="2"/>
  <c r="BM639" i="2"/>
  <c r="BL639" i="2"/>
  <c r="BK639" i="2"/>
  <c r="W639" i="1"/>
  <c r="BJ639" i="2"/>
  <c r="BI639" i="2"/>
  <c r="BH639" i="2"/>
  <c r="T639" i="1"/>
  <c r="BG639" i="2"/>
  <c r="BF639" i="2"/>
  <c r="BE639" i="2"/>
  <c r="BD639" i="2"/>
  <c r="BC639" i="2"/>
  <c r="BB639" i="2"/>
  <c r="BA639" i="2"/>
  <c r="AZ639" i="2"/>
  <c r="AY639" i="2"/>
  <c r="AX639" i="2"/>
  <c r="J639" i="1"/>
  <c r="AW639" i="2"/>
  <c r="I639" i="1"/>
  <c r="AV639" i="2"/>
  <c r="AU639" i="2"/>
  <c r="AT639" i="2"/>
  <c r="AS639" i="2"/>
  <c r="AR639" i="2"/>
  <c r="AQ639" i="2"/>
  <c r="AP639" i="2"/>
  <c r="AO639" i="2"/>
  <c r="AL639" i="2"/>
  <c r="AK639" i="2"/>
  <c r="BQ638" i="2"/>
  <c r="BP638" i="2"/>
  <c r="AB638" i="1"/>
  <c r="BO638" i="2"/>
  <c r="AA638" i="1"/>
  <c r="BN638" i="2"/>
  <c r="BM638" i="2"/>
  <c r="BL638" i="2"/>
  <c r="BK638" i="2"/>
  <c r="W638" i="1"/>
  <c r="BJ638" i="2"/>
  <c r="BI638" i="2"/>
  <c r="BH638" i="2"/>
  <c r="T638" i="1"/>
  <c r="BG638" i="2"/>
  <c r="BF638" i="2"/>
  <c r="BE638" i="2"/>
  <c r="BD638" i="2"/>
  <c r="BC638" i="2"/>
  <c r="BB638" i="2"/>
  <c r="BA638" i="2"/>
  <c r="AZ638" i="2"/>
  <c r="AY638" i="2"/>
  <c r="AX638" i="2"/>
  <c r="J638" i="1"/>
  <c r="AW638" i="2"/>
  <c r="I638" i="1"/>
  <c r="AV638" i="2"/>
  <c r="AU638" i="2"/>
  <c r="AT638" i="2"/>
  <c r="AS638" i="2"/>
  <c r="AR638" i="2"/>
  <c r="AQ638" i="2"/>
  <c r="AP638" i="2"/>
  <c r="AO638" i="2"/>
  <c r="AL638" i="2"/>
  <c r="AK638" i="2"/>
  <c r="BQ637" i="2"/>
  <c r="BP637" i="2"/>
  <c r="AB637" i="1"/>
  <c r="BO637" i="2"/>
  <c r="AA637" i="1"/>
  <c r="BN637" i="2"/>
  <c r="BM637" i="2"/>
  <c r="BL637" i="2"/>
  <c r="BK637" i="2"/>
  <c r="W637" i="1"/>
  <c r="BJ637" i="2"/>
  <c r="BI637" i="2"/>
  <c r="BH637" i="2"/>
  <c r="T637" i="1"/>
  <c r="BG637" i="2"/>
  <c r="BF637" i="2"/>
  <c r="BE637" i="2"/>
  <c r="BD637" i="2"/>
  <c r="BC637" i="2"/>
  <c r="BB637" i="2"/>
  <c r="BA637" i="2"/>
  <c r="AZ637" i="2"/>
  <c r="AY637" i="2"/>
  <c r="AX637" i="2"/>
  <c r="J637" i="1"/>
  <c r="AW637" i="2"/>
  <c r="I637" i="1"/>
  <c r="AV637" i="2"/>
  <c r="AU637" i="2"/>
  <c r="AT637" i="2"/>
  <c r="AS637" i="2"/>
  <c r="AR637" i="2"/>
  <c r="AQ637" i="2"/>
  <c r="AP637" i="2"/>
  <c r="AO637" i="2"/>
  <c r="AL637" i="2"/>
  <c r="AK637" i="2"/>
  <c r="BQ636" i="2"/>
  <c r="BP636" i="2"/>
  <c r="AB636" i="1"/>
  <c r="BO636" i="2"/>
  <c r="AA636" i="1"/>
  <c r="BN636" i="2"/>
  <c r="BM636" i="2"/>
  <c r="BL636" i="2"/>
  <c r="BK636" i="2"/>
  <c r="W636" i="1"/>
  <c r="BJ636" i="2"/>
  <c r="BI636" i="2"/>
  <c r="BH636" i="2"/>
  <c r="T636" i="1"/>
  <c r="BG636" i="2"/>
  <c r="BF636" i="2"/>
  <c r="BE636" i="2"/>
  <c r="BD636" i="2"/>
  <c r="BC636" i="2"/>
  <c r="BB636" i="2"/>
  <c r="BA636" i="2"/>
  <c r="AZ636" i="2"/>
  <c r="AY636" i="2"/>
  <c r="AX636" i="2"/>
  <c r="J636" i="1"/>
  <c r="AW636" i="2"/>
  <c r="I636" i="1"/>
  <c r="AV636" i="2"/>
  <c r="AU636" i="2"/>
  <c r="AT636" i="2"/>
  <c r="AS636" i="2"/>
  <c r="AR636" i="2"/>
  <c r="AQ636" i="2"/>
  <c r="AP636" i="2"/>
  <c r="AO636" i="2"/>
  <c r="AL636" i="2"/>
  <c r="AK636" i="2"/>
  <c r="BQ635" i="2"/>
  <c r="BP635" i="2"/>
  <c r="AB635" i="1"/>
  <c r="BO635" i="2"/>
  <c r="AA635" i="1"/>
  <c r="BN635" i="2"/>
  <c r="BM635" i="2"/>
  <c r="BL635" i="2"/>
  <c r="BK635" i="2"/>
  <c r="W635" i="1"/>
  <c r="BJ635" i="2"/>
  <c r="BI635" i="2"/>
  <c r="BH635" i="2"/>
  <c r="T635" i="1"/>
  <c r="BG635" i="2"/>
  <c r="BF635" i="2"/>
  <c r="BE635" i="2"/>
  <c r="BD635" i="2"/>
  <c r="BC635" i="2"/>
  <c r="BB635" i="2"/>
  <c r="BA635" i="2"/>
  <c r="AZ635" i="2"/>
  <c r="AY635" i="2"/>
  <c r="AX635" i="2"/>
  <c r="J635" i="1"/>
  <c r="AW635" i="2"/>
  <c r="I635" i="1"/>
  <c r="AV635" i="2"/>
  <c r="AU635" i="2"/>
  <c r="AT635" i="2"/>
  <c r="AS635" i="2"/>
  <c r="AR635" i="2"/>
  <c r="AQ635" i="2"/>
  <c r="AP635" i="2"/>
  <c r="AO635" i="2"/>
  <c r="AL635" i="2"/>
  <c r="AK635" i="2"/>
  <c r="BQ634" i="2"/>
  <c r="BP634" i="2"/>
  <c r="AB634" i="1"/>
  <c r="BO634" i="2"/>
  <c r="AA634" i="1"/>
  <c r="BN634" i="2"/>
  <c r="BM634" i="2"/>
  <c r="BL634" i="2"/>
  <c r="BK634" i="2"/>
  <c r="W634" i="1"/>
  <c r="BJ634" i="2"/>
  <c r="BI634" i="2"/>
  <c r="BH634" i="2"/>
  <c r="T634" i="1"/>
  <c r="BG634" i="2"/>
  <c r="BF634" i="2"/>
  <c r="BE634" i="2"/>
  <c r="BD634" i="2"/>
  <c r="BC634" i="2"/>
  <c r="BB634" i="2"/>
  <c r="BA634" i="2"/>
  <c r="AZ634" i="2"/>
  <c r="AY634" i="2"/>
  <c r="AX634" i="2"/>
  <c r="J634" i="1"/>
  <c r="AW634" i="2"/>
  <c r="I634" i="1"/>
  <c r="AV634" i="2"/>
  <c r="AU634" i="2"/>
  <c r="AT634" i="2"/>
  <c r="AS634" i="2"/>
  <c r="AR634" i="2"/>
  <c r="AQ634" i="2"/>
  <c r="AP634" i="2"/>
  <c r="AO634" i="2"/>
  <c r="AL634" i="2"/>
  <c r="AK634" i="2"/>
  <c r="BQ633" i="2"/>
  <c r="BP633" i="2"/>
  <c r="AB633" i="1"/>
  <c r="BO633" i="2"/>
  <c r="AA633" i="1"/>
  <c r="BN633" i="2"/>
  <c r="BM633" i="2"/>
  <c r="BL633" i="2"/>
  <c r="BK633" i="2"/>
  <c r="W633" i="1"/>
  <c r="BJ633" i="2"/>
  <c r="BI633" i="2"/>
  <c r="BH633" i="2"/>
  <c r="T633" i="1"/>
  <c r="BG633" i="2"/>
  <c r="BF633" i="2"/>
  <c r="BE633" i="2"/>
  <c r="BD633" i="2"/>
  <c r="BC633" i="2"/>
  <c r="BB633" i="2"/>
  <c r="BA633" i="2"/>
  <c r="AZ633" i="2"/>
  <c r="AY633" i="2"/>
  <c r="AX633" i="2"/>
  <c r="J633" i="1"/>
  <c r="AW633" i="2"/>
  <c r="I633" i="1"/>
  <c r="AV633" i="2"/>
  <c r="AU633" i="2"/>
  <c r="AT633" i="2"/>
  <c r="AS633" i="2"/>
  <c r="AR633" i="2"/>
  <c r="AQ633" i="2"/>
  <c r="AP633" i="2"/>
  <c r="AO633" i="2"/>
  <c r="AL633" i="2"/>
  <c r="AK633" i="2"/>
  <c r="BQ632" i="2"/>
  <c r="BP632" i="2"/>
  <c r="AB632" i="1"/>
  <c r="BO632" i="2"/>
  <c r="AA632" i="1"/>
  <c r="BN632" i="2"/>
  <c r="BM632" i="2"/>
  <c r="BL632" i="2"/>
  <c r="BK632" i="2"/>
  <c r="W632" i="1"/>
  <c r="BJ632" i="2"/>
  <c r="BI632" i="2"/>
  <c r="BH632" i="2"/>
  <c r="T632" i="1"/>
  <c r="BG632" i="2"/>
  <c r="BF632" i="2"/>
  <c r="BE632" i="2"/>
  <c r="BD632" i="2"/>
  <c r="BC632" i="2"/>
  <c r="BB632" i="2"/>
  <c r="BA632" i="2"/>
  <c r="AZ632" i="2"/>
  <c r="AY632" i="2"/>
  <c r="AX632" i="2"/>
  <c r="J632" i="1"/>
  <c r="AW632" i="2"/>
  <c r="I632" i="1"/>
  <c r="AV632" i="2"/>
  <c r="AU632" i="2"/>
  <c r="AT632" i="2"/>
  <c r="AS632" i="2"/>
  <c r="AR632" i="2"/>
  <c r="AQ632" i="2"/>
  <c r="AP632" i="2"/>
  <c r="AO632" i="2"/>
  <c r="AL632" i="2"/>
  <c r="AK632" i="2"/>
  <c r="BQ631" i="2"/>
  <c r="BP631" i="2"/>
  <c r="AB631" i="1"/>
  <c r="BO631" i="2"/>
  <c r="AA631" i="1"/>
  <c r="BN631" i="2"/>
  <c r="BM631" i="2"/>
  <c r="BL631" i="2"/>
  <c r="BK631" i="2"/>
  <c r="W631" i="1"/>
  <c r="BJ631" i="2"/>
  <c r="BI631" i="2"/>
  <c r="BH631" i="2"/>
  <c r="T631" i="1"/>
  <c r="BG631" i="2"/>
  <c r="BF631" i="2"/>
  <c r="BE631" i="2"/>
  <c r="BD631" i="2"/>
  <c r="BC631" i="2"/>
  <c r="BB631" i="2"/>
  <c r="BA631" i="2"/>
  <c r="AZ631" i="2"/>
  <c r="AY631" i="2"/>
  <c r="AX631" i="2"/>
  <c r="J631" i="1"/>
  <c r="AW631" i="2"/>
  <c r="I631" i="1"/>
  <c r="AV631" i="2"/>
  <c r="AU631" i="2"/>
  <c r="AT631" i="2"/>
  <c r="AS631" i="2"/>
  <c r="AR631" i="2"/>
  <c r="AQ631" i="2"/>
  <c r="AP631" i="2"/>
  <c r="AO631" i="2"/>
  <c r="AL631" i="2"/>
  <c r="AK631" i="2"/>
  <c r="BQ630" i="2"/>
  <c r="BP630" i="2"/>
  <c r="AB630" i="1"/>
  <c r="BO630" i="2"/>
  <c r="AA630" i="1"/>
  <c r="BN630" i="2"/>
  <c r="BM630" i="2"/>
  <c r="BL630" i="2"/>
  <c r="BK630" i="2"/>
  <c r="W630" i="1"/>
  <c r="BJ630" i="2"/>
  <c r="BI630" i="2"/>
  <c r="BH630" i="2"/>
  <c r="T630" i="1"/>
  <c r="BG630" i="2"/>
  <c r="BF630" i="2"/>
  <c r="BE630" i="2"/>
  <c r="BD630" i="2"/>
  <c r="BC630" i="2"/>
  <c r="BB630" i="2"/>
  <c r="BA630" i="2"/>
  <c r="AZ630" i="2"/>
  <c r="AY630" i="2"/>
  <c r="AX630" i="2"/>
  <c r="J630" i="1"/>
  <c r="AW630" i="2"/>
  <c r="I630" i="1"/>
  <c r="AV630" i="2"/>
  <c r="AU630" i="2"/>
  <c r="AT630" i="2"/>
  <c r="AS630" i="2"/>
  <c r="AR630" i="2"/>
  <c r="AQ630" i="2"/>
  <c r="AP630" i="2"/>
  <c r="AO630" i="2"/>
  <c r="AL630" i="2"/>
  <c r="AK630" i="2"/>
  <c r="BQ629" i="2"/>
  <c r="BP629" i="2"/>
  <c r="AB629" i="1"/>
  <c r="BO629" i="2"/>
  <c r="AA629" i="1"/>
  <c r="BN629" i="2"/>
  <c r="BM629" i="2"/>
  <c r="BL629" i="2"/>
  <c r="BK629" i="2"/>
  <c r="W629" i="1"/>
  <c r="BJ629" i="2"/>
  <c r="BI629" i="2"/>
  <c r="BH629" i="2"/>
  <c r="T629" i="1"/>
  <c r="BG629" i="2"/>
  <c r="BF629" i="2"/>
  <c r="BE629" i="2"/>
  <c r="BD629" i="2"/>
  <c r="BC629" i="2"/>
  <c r="BB629" i="2"/>
  <c r="BA629" i="2"/>
  <c r="AZ629" i="2"/>
  <c r="AY629" i="2"/>
  <c r="AX629" i="2"/>
  <c r="J629" i="1"/>
  <c r="AW629" i="2"/>
  <c r="I629" i="1"/>
  <c r="AV629" i="2"/>
  <c r="AU629" i="2"/>
  <c r="AT629" i="2"/>
  <c r="AS629" i="2"/>
  <c r="AR629" i="2"/>
  <c r="AQ629" i="2"/>
  <c r="AP629" i="2"/>
  <c r="AO629" i="2"/>
  <c r="AL629" i="2"/>
  <c r="AK629" i="2"/>
  <c r="BQ628" i="2"/>
  <c r="BP628" i="2"/>
  <c r="AB628" i="1"/>
  <c r="BO628" i="2"/>
  <c r="AA628" i="1"/>
  <c r="BN628" i="2"/>
  <c r="BM628" i="2"/>
  <c r="BL628" i="2"/>
  <c r="BK628" i="2"/>
  <c r="W628" i="1"/>
  <c r="BJ628" i="2"/>
  <c r="BI628" i="2"/>
  <c r="BH628" i="2"/>
  <c r="T628" i="1"/>
  <c r="BG628" i="2"/>
  <c r="BF628" i="2"/>
  <c r="BE628" i="2"/>
  <c r="BD628" i="2"/>
  <c r="BC628" i="2"/>
  <c r="BB628" i="2"/>
  <c r="BA628" i="2"/>
  <c r="AZ628" i="2"/>
  <c r="AY628" i="2"/>
  <c r="AX628" i="2"/>
  <c r="J628" i="1"/>
  <c r="AW628" i="2"/>
  <c r="I628" i="1"/>
  <c r="AV628" i="2"/>
  <c r="AU628" i="2"/>
  <c r="AT628" i="2"/>
  <c r="AS628" i="2"/>
  <c r="AR628" i="2"/>
  <c r="AQ628" i="2"/>
  <c r="AP628" i="2"/>
  <c r="AO628" i="2"/>
  <c r="AL628" i="2"/>
  <c r="AK628" i="2"/>
  <c r="BQ627" i="2"/>
  <c r="BP627" i="2"/>
  <c r="AB627" i="1"/>
  <c r="BO627" i="2"/>
  <c r="AA627" i="1"/>
  <c r="BN627" i="2"/>
  <c r="BM627" i="2"/>
  <c r="BL627" i="2"/>
  <c r="BK627" i="2"/>
  <c r="W627" i="1"/>
  <c r="BJ627" i="2"/>
  <c r="BI627" i="2"/>
  <c r="BH627" i="2"/>
  <c r="T627" i="1"/>
  <c r="BG627" i="2"/>
  <c r="BF627" i="2"/>
  <c r="BE627" i="2"/>
  <c r="BD627" i="2"/>
  <c r="BC627" i="2"/>
  <c r="BB627" i="2"/>
  <c r="BA627" i="2"/>
  <c r="AZ627" i="2"/>
  <c r="AY627" i="2"/>
  <c r="AX627" i="2"/>
  <c r="J627" i="1"/>
  <c r="AW627" i="2"/>
  <c r="I627" i="1"/>
  <c r="AV627" i="2"/>
  <c r="AU627" i="2"/>
  <c r="AT627" i="2"/>
  <c r="AS627" i="2"/>
  <c r="AR627" i="2"/>
  <c r="AQ627" i="2"/>
  <c r="AP627" i="2"/>
  <c r="AO627" i="2"/>
  <c r="AL627" i="2"/>
  <c r="AK627" i="2"/>
  <c r="BQ626" i="2"/>
  <c r="BP626" i="2"/>
  <c r="AB626" i="1"/>
  <c r="BO626" i="2"/>
  <c r="AA626" i="1"/>
  <c r="BN626" i="2"/>
  <c r="BM626" i="2"/>
  <c r="BL626" i="2"/>
  <c r="BK626" i="2"/>
  <c r="W626" i="1"/>
  <c r="BJ626" i="2"/>
  <c r="BI626" i="2"/>
  <c r="BH626" i="2"/>
  <c r="T626" i="1"/>
  <c r="BG626" i="2"/>
  <c r="BF626" i="2"/>
  <c r="BE626" i="2"/>
  <c r="BD626" i="2"/>
  <c r="BC626" i="2"/>
  <c r="BB626" i="2"/>
  <c r="BA626" i="2"/>
  <c r="AZ626" i="2"/>
  <c r="AY626" i="2"/>
  <c r="AX626" i="2"/>
  <c r="J626" i="1"/>
  <c r="AW626" i="2"/>
  <c r="I626" i="1"/>
  <c r="AV626" i="2"/>
  <c r="AU626" i="2"/>
  <c r="AT626" i="2"/>
  <c r="AS626" i="2"/>
  <c r="AR626" i="2"/>
  <c r="AQ626" i="2"/>
  <c r="AP626" i="2"/>
  <c r="AO626" i="2"/>
  <c r="AL626" i="2"/>
  <c r="AK626" i="2"/>
  <c r="BQ625" i="2"/>
  <c r="BP625" i="2"/>
  <c r="AB625" i="1"/>
  <c r="BO625" i="2"/>
  <c r="AA625" i="1"/>
  <c r="BN625" i="2"/>
  <c r="BM625" i="2"/>
  <c r="BL625" i="2"/>
  <c r="BK625" i="2"/>
  <c r="W625" i="1"/>
  <c r="BJ625" i="2"/>
  <c r="BI625" i="2"/>
  <c r="BH625" i="2"/>
  <c r="T625" i="1"/>
  <c r="BG625" i="2"/>
  <c r="BF625" i="2"/>
  <c r="BE625" i="2"/>
  <c r="BD625" i="2"/>
  <c r="BC625" i="2"/>
  <c r="BB625" i="2"/>
  <c r="BA625" i="2"/>
  <c r="AZ625" i="2"/>
  <c r="AY625" i="2"/>
  <c r="AX625" i="2"/>
  <c r="J625" i="1"/>
  <c r="AW625" i="2"/>
  <c r="I625" i="1"/>
  <c r="AV625" i="2"/>
  <c r="AU625" i="2"/>
  <c r="AT625" i="2"/>
  <c r="AS625" i="2"/>
  <c r="AR625" i="2"/>
  <c r="AQ625" i="2"/>
  <c r="AP625" i="2"/>
  <c r="AO625" i="2"/>
  <c r="AL625" i="2"/>
  <c r="AK625" i="2"/>
  <c r="BQ624" i="2"/>
  <c r="BP624" i="2"/>
  <c r="AB624" i="1"/>
  <c r="BO624" i="2"/>
  <c r="AA624" i="1"/>
  <c r="BN624" i="2"/>
  <c r="BM624" i="2"/>
  <c r="BL624" i="2"/>
  <c r="BK624" i="2"/>
  <c r="W624" i="1"/>
  <c r="BJ624" i="2"/>
  <c r="BI624" i="2"/>
  <c r="BH624" i="2"/>
  <c r="T624" i="1"/>
  <c r="BG624" i="2"/>
  <c r="BF624" i="2"/>
  <c r="BE624" i="2"/>
  <c r="BD624" i="2"/>
  <c r="BC624" i="2"/>
  <c r="BB624" i="2"/>
  <c r="BA624" i="2"/>
  <c r="AZ624" i="2"/>
  <c r="AY624" i="2"/>
  <c r="AX624" i="2"/>
  <c r="J624" i="1"/>
  <c r="AW624" i="2"/>
  <c r="I624" i="1"/>
  <c r="AV624" i="2"/>
  <c r="AU624" i="2"/>
  <c r="AT624" i="2"/>
  <c r="AS624" i="2"/>
  <c r="AR624" i="2"/>
  <c r="AQ624" i="2"/>
  <c r="AP624" i="2"/>
  <c r="AO624" i="2"/>
  <c r="AL624" i="2"/>
  <c r="AK624" i="2"/>
  <c r="BQ623" i="2"/>
  <c r="BP623" i="2"/>
  <c r="AB623" i="1"/>
  <c r="BO623" i="2"/>
  <c r="AA623" i="1"/>
  <c r="BN623" i="2"/>
  <c r="BM623" i="2"/>
  <c r="BL623" i="2"/>
  <c r="BK623" i="2"/>
  <c r="W623" i="1"/>
  <c r="BJ623" i="2"/>
  <c r="BI623" i="2"/>
  <c r="BH623" i="2"/>
  <c r="T623" i="1"/>
  <c r="BG623" i="2"/>
  <c r="BF623" i="2"/>
  <c r="BE623" i="2"/>
  <c r="BD623" i="2"/>
  <c r="BC623" i="2"/>
  <c r="BB623" i="2"/>
  <c r="BA623" i="2"/>
  <c r="AZ623" i="2"/>
  <c r="AY623" i="2"/>
  <c r="AX623" i="2"/>
  <c r="J623" i="1"/>
  <c r="AW623" i="2"/>
  <c r="I623" i="1"/>
  <c r="AV623" i="2"/>
  <c r="AU623" i="2"/>
  <c r="AT623" i="2"/>
  <c r="AS623" i="2"/>
  <c r="AR623" i="2"/>
  <c r="AQ623" i="2"/>
  <c r="AP623" i="2"/>
  <c r="AO623" i="2"/>
  <c r="AL623" i="2"/>
  <c r="AK623" i="2"/>
  <c r="BQ622" i="2"/>
  <c r="BP622" i="2"/>
  <c r="AB622" i="1"/>
  <c r="BO622" i="2"/>
  <c r="AA622" i="1"/>
  <c r="BN622" i="2"/>
  <c r="BM622" i="2"/>
  <c r="BL622" i="2"/>
  <c r="BK622" i="2"/>
  <c r="W622" i="1"/>
  <c r="BJ622" i="2"/>
  <c r="BI622" i="2"/>
  <c r="BH622" i="2"/>
  <c r="T622" i="1"/>
  <c r="BG622" i="2"/>
  <c r="BF622" i="2"/>
  <c r="BE622" i="2"/>
  <c r="BD622" i="2"/>
  <c r="BC622" i="2"/>
  <c r="BB622" i="2"/>
  <c r="BA622" i="2"/>
  <c r="AZ622" i="2"/>
  <c r="AY622" i="2"/>
  <c r="AX622" i="2"/>
  <c r="J622" i="1"/>
  <c r="AW622" i="2"/>
  <c r="I622" i="1"/>
  <c r="AV622" i="2"/>
  <c r="AU622" i="2"/>
  <c r="AT622" i="2"/>
  <c r="AS622" i="2"/>
  <c r="AR622" i="2"/>
  <c r="AQ622" i="2"/>
  <c r="AP622" i="2"/>
  <c r="AO622" i="2"/>
  <c r="AL622" i="2"/>
  <c r="AK622" i="2"/>
  <c r="BQ621" i="2"/>
  <c r="BP621" i="2"/>
  <c r="AB621" i="1"/>
  <c r="BO621" i="2"/>
  <c r="AA621" i="1"/>
  <c r="BN621" i="2"/>
  <c r="BM621" i="2"/>
  <c r="BL621" i="2"/>
  <c r="BK621" i="2"/>
  <c r="W621" i="1"/>
  <c r="BJ621" i="2"/>
  <c r="BI621" i="2"/>
  <c r="BH621" i="2"/>
  <c r="T621" i="1"/>
  <c r="BG621" i="2"/>
  <c r="BF621" i="2"/>
  <c r="BE621" i="2"/>
  <c r="BD621" i="2"/>
  <c r="BC621" i="2"/>
  <c r="BB621" i="2"/>
  <c r="BA621" i="2"/>
  <c r="AZ621" i="2"/>
  <c r="AY621" i="2"/>
  <c r="AX621" i="2"/>
  <c r="J621" i="1"/>
  <c r="AW621" i="2"/>
  <c r="I621" i="1"/>
  <c r="AV621" i="2"/>
  <c r="AU621" i="2"/>
  <c r="AT621" i="2"/>
  <c r="AS621" i="2"/>
  <c r="AR621" i="2"/>
  <c r="AQ621" i="2"/>
  <c r="AP621" i="2"/>
  <c r="AO621" i="2"/>
  <c r="AL621" i="2"/>
  <c r="AK621" i="2"/>
  <c r="BQ620" i="2"/>
  <c r="BP620" i="2"/>
  <c r="AB620" i="1"/>
  <c r="BO620" i="2"/>
  <c r="AA620" i="1"/>
  <c r="BN620" i="2"/>
  <c r="BM620" i="2"/>
  <c r="BL620" i="2"/>
  <c r="BK620" i="2"/>
  <c r="W620" i="1"/>
  <c r="BJ620" i="2"/>
  <c r="BI620" i="2"/>
  <c r="BH620" i="2"/>
  <c r="T620" i="1"/>
  <c r="BG620" i="2"/>
  <c r="BF620" i="2"/>
  <c r="BE620" i="2"/>
  <c r="BD620" i="2"/>
  <c r="BC620" i="2"/>
  <c r="BB620" i="2"/>
  <c r="BA620" i="2"/>
  <c r="AZ620" i="2"/>
  <c r="AY620" i="2"/>
  <c r="AX620" i="2"/>
  <c r="J620" i="1"/>
  <c r="AW620" i="2"/>
  <c r="I620" i="1"/>
  <c r="AV620" i="2"/>
  <c r="AU620" i="2"/>
  <c r="AT620" i="2"/>
  <c r="AS620" i="2"/>
  <c r="AR620" i="2"/>
  <c r="AQ620" i="2"/>
  <c r="AP620" i="2"/>
  <c r="AO620" i="2"/>
  <c r="AL620" i="2"/>
  <c r="AK620" i="2"/>
  <c r="BQ619" i="2"/>
  <c r="BP619" i="2"/>
  <c r="AB619" i="1"/>
  <c r="BO619" i="2"/>
  <c r="AA619" i="1"/>
  <c r="BN619" i="2"/>
  <c r="BM619" i="2"/>
  <c r="BL619" i="2"/>
  <c r="BK619" i="2"/>
  <c r="W619" i="1"/>
  <c r="BJ619" i="2"/>
  <c r="BI619" i="2"/>
  <c r="BH619" i="2"/>
  <c r="T619" i="1"/>
  <c r="BG619" i="2"/>
  <c r="BF619" i="2"/>
  <c r="BE619" i="2"/>
  <c r="BD619" i="2"/>
  <c r="BC619" i="2"/>
  <c r="BB619" i="2"/>
  <c r="BA619" i="2"/>
  <c r="AZ619" i="2"/>
  <c r="AY619" i="2"/>
  <c r="AX619" i="2"/>
  <c r="J619" i="1"/>
  <c r="AW619" i="2"/>
  <c r="I619" i="1"/>
  <c r="AV619" i="2"/>
  <c r="AU619" i="2"/>
  <c r="AT619" i="2"/>
  <c r="AS619" i="2"/>
  <c r="AR619" i="2"/>
  <c r="AQ619" i="2"/>
  <c r="AP619" i="2"/>
  <c r="AO619" i="2"/>
  <c r="AL619" i="2"/>
  <c r="AK619" i="2"/>
  <c r="BQ618" i="2"/>
  <c r="BP618" i="2"/>
  <c r="AB618" i="1"/>
  <c r="BO618" i="2"/>
  <c r="AA618" i="1"/>
  <c r="BN618" i="2"/>
  <c r="BM618" i="2"/>
  <c r="BL618" i="2"/>
  <c r="BK618" i="2"/>
  <c r="W618" i="1"/>
  <c r="BJ618" i="2"/>
  <c r="BI618" i="2"/>
  <c r="BH618" i="2"/>
  <c r="T618" i="1"/>
  <c r="BG618" i="2"/>
  <c r="BF618" i="2"/>
  <c r="BE618" i="2"/>
  <c r="BD618" i="2"/>
  <c r="BC618" i="2"/>
  <c r="BB618" i="2"/>
  <c r="BA618" i="2"/>
  <c r="AZ618" i="2"/>
  <c r="AY618" i="2"/>
  <c r="AX618" i="2"/>
  <c r="J618" i="1"/>
  <c r="AW618" i="2"/>
  <c r="I618" i="1"/>
  <c r="AV618" i="2"/>
  <c r="AU618" i="2"/>
  <c r="AT618" i="2"/>
  <c r="AS618" i="2"/>
  <c r="AR618" i="2"/>
  <c r="AQ618" i="2"/>
  <c r="AP618" i="2"/>
  <c r="AO618" i="2"/>
  <c r="AL618" i="2"/>
  <c r="AK618" i="2"/>
  <c r="BQ617" i="2"/>
  <c r="BP617" i="2"/>
  <c r="AB617" i="1"/>
  <c r="BO617" i="2"/>
  <c r="AA617" i="1"/>
  <c r="BN617" i="2"/>
  <c r="BM617" i="2"/>
  <c r="BL617" i="2"/>
  <c r="BK617" i="2"/>
  <c r="W617" i="1"/>
  <c r="BJ617" i="2"/>
  <c r="BI617" i="2"/>
  <c r="BH617" i="2"/>
  <c r="T617" i="1"/>
  <c r="BG617" i="2"/>
  <c r="BF617" i="2"/>
  <c r="BE617" i="2"/>
  <c r="BD617" i="2"/>
  <c r="BC617" i="2"/>
  <c r="BB617" i="2"/>
  <c r="BA617" i="2"/>
  <c r="AZ617" i="2"/>
  <c r="AY617" i="2"/>
  <c r="AX617" i="2"/>
  <c r="J617" i="1"/>
  <c r="AW617" i="2"/>
  <c r="I617" i="1"/>
  <c r="AV617" i="2"/>
  <c r="AU617" i="2"/>
  <c r="AT617" i="2"/>
  <c r="AS617" i="2"/>
  <c r="AR617" i="2"/>
  <c r="AQ617" i="2"/>
  <c r="AP617" i="2"/>
  <c r="AO617" i="2"/>
  <c r="AL617" i="2"/>
  <c r="AK617" i="2"/>
  <c r="BQ616" i="2"/>
  <c r="BP616" i="2"/>
  <c r="AB616" i="1"/>
  <c r="BO616" i="2"/>
  <c r="AA616" i="1"/>
  <c r="BN616" i="2"/>
  <c r="BM616" i="2"/>
  <c r="BL616" i="2"/>
  <c r="BK616" i="2"/>
  <c r="W616" i="1"/>
  <c r="BJ616" i="2"/>
  <c r="BI616" i="2"/>
  <c r="BH616" i="2"/>
  <c r="T616" i="1"/>
  <c r="BG616" i="2"/>
  <c r="BF616" i="2"/>
  <c r="BE616" i="2"/>
  <c r="BD616" i="2"/>
  <c r="BC616" i="2"/>
  <c r="BB616" i="2"/>
  <c r="BA616" i="2"/>
  <c r="AZ616" i="2"/>
  <c r="AY616" i="2"/>
  <c r="AX616" i="2"/>
  <c r="J616" i="1"/>
  <c r="AW616" i="2"/>
  <c r="I616" i="1"/>
  <c r="AV616" i="2"/>
  <c r="AU616" i="2"/>
  <c r="AT616" i="2"/>
  <c r="AS616" i="2"/>
  <c r="AR616" i="2"/>
  <c r="AQ616" i="2"/>
  <c r="AP616" i="2"/>
  <c r="AO616" i="2"/>
  <c r="AL616" i="2"/>
  <c r="AK616" i="2"/>
  <c r="BQ615" i="2"/>
  <c r="BP615" i="2"/>
  <c r="AB615" i="1"/>
  <c r="BO615" i="2"/>
  <c r="AA615" i="1"/>
  <c r="BN615" i="2"/>
  <c r="BM615" i="2"/>
  <c r="BL615" i="2"/>
  <c r="BK615" i="2"/>
  <c r="W615" i="1"/>
  <c r="BJ615" i="2"/>
  <c r="BI615" i="2"/>
  <c r="BH615" i="2"/>
  <c r="T615" i="1"/>
  <c r="BG615" i="2"/>
  <c r="BF615" i="2"/>
  <c r="BE615" i="2"/>
  <c r="BD615" i="2"/>
  <c r="BC615" i="2"/>
  <c r="BB615" i="2"/>
  <c r="BA615" i="2"/>
  <c r="AZ615" i="2"/>
  <c r="AY615" i="2"/>
  <c r="AX615" i="2"/>
  <c r="J615" i="1"/>
  <c r="AW615" i="2"/>
  <c r="I615" i="1"/>
  <c r="AV615" i="2"/>
  <c r="AU615" i="2"/>
  <c r="AT615" i="2"/>
  <c r="AS615" i="2"/>
  <c r="AR615" i="2"/>
  <c r="AQ615" i="2"/>
  <c r="AP615" i="2"/>
  <c r="AO615" i="2"/>
  <c r="AL615" i="2"/>
  <c r="AK615" i="2"/>
  <c r="BQ614" i="2"/>
  <c r="BP614" i="2"/>
  <c r="AB614" i="1"/>
  <c r="BO614" i="2"/>
  <c r="AA614" i="1"/>
  <c r="BN614" i="2"/>
  <c r="BM614" i="2"/>
  <c r="BL614" i="2"/>
  <c r="BK614" i="2"/>
  <c r="W614" i="1"/>
  <c r="BJ614" i="2"/>
  <c r="BI614" i="2"/>
  <c r="BH614" i="2"/>
  <c r="T614" i="1"/>
  <c r="BG614" i="2"/>
  <c r="BF614" i="2"/>
  <c r="BE614" i="2"/>
  <c r="BD614" i="2"/>
  <c r="BC614" i="2"/>
  <c r="BB614" i="2"/>
  <c r="BA614" i="2"/>
  <c r="AZ614" i="2"/>
  <c r="AY614" i="2"/>
  <c r="AX614" i="2"/>
  <c r="J614" i="1"/>
  <c r="AW614" i="2"/>
  <c r="I614" i="1"/>
  <c r="AV614" i="2"/>
  <c r="AU614" i="2"/>
  <c r="AT614" i="2"/>
  <c r="AS614" i="2"/>
  <c r="AR614" i="2"/>
  <c r="AQ614" i="2"/>
  <c r="AP614" i="2"/>
  <c r="AO614" i="2"/>
  <c r="AL614" i="2"/>
  <c r="AK614" i="2"/>
  <c r="BQ613" i="2"/>
  <c r="BP613" i="2"/>
  <c r="AB613" i="1"/>
  <c r="BO613" i="2"/>
  <c r="AA613" i="1"/>
  <c r="BN613" i="2"/>
  <c r="BM613" i="2"/>
  <c r="BL613" i="2"/>
  <c r="BK613" i="2"/>
  <c r="W613" i="1"/>
  <c r="BJ613" i="2"/>
  <c r="BI613" i="2"/>
  <c r="BH613" i="2"/>
  <c r="T613" i="1"/>
  <c r="BG613" i="2"/>
  <c r="BF613" i="2"/>
  <c r="BE613" i="2"/>
  <c r="BD613" i="2"/>
  <c r="BC613" i="2"/>
  <c r="BB613" i="2"/>
  <c r="BA613" i="2"/>
  <c r="AZ613" i="2"/>
  <c r="AY613" i="2"/>
  <c r="AX613" i="2"/>
  <c r="J613" i="1"/>
  <c r="AW613" i="2"/>
  <c r="I613" i="1"/>
  <c r="AV613" i="2"/>
  <c r="AU613" i="2"/>
  <c r="AT613" i="2"/>
  <c r="AS613" i="2"/>
  <c r="AR613" i="2"/>
  <c r="AQ613" i="2"/>
  <c r="AP613" i="2"/>
  <c r="AO613" i="2"/>
  <c r="AL613" i="2"/>
  <c r="AK613" i="2"/>
  <c r="BQ612" i="2"/>
  <c r="BP612" i="2"/>
  <c r="AB612" i="1"/>
  <c r="BO612" i="2"/>
  <c r="AA612" i="1"/>
  <c r="BN612" i="2"/>
  <c r="BM612" i="2"/>
  <c r="BL612" i="2"/>
  <c r="BK612" i="2"/>
  <c r="W612" i="1"/>
  <c r="BJ612" i="2"/>
  <c r="BI612" i="2"/>
  <c r="BH612" i="2"/>
  <c r="T612" i="1"/>
  <c r="BG612" i="2"/>
  <c r="BF612" i="2"/>
  <c r="BE612" i="2"/>
  <c r="BD612" i="2"/>
  <c r="BC612" i="2"/>
  <c r="BB612" i="2"/>
  <c r="BA612" i="2"/>
  <c r="AZ612" i="2"/>
  <c r="AY612" i="2"/>
  <c r="AX612" i="2"/>
  <c r="J612" i="1"/>
  <c r="AW612" i="2"/>
  <c r="I612" i="1"/>
  <c r="AV612" i="2"/>
  <c r="AU612" i="2"/>
  <c r="AT612" i="2"/>
  <c r="AS612" i="2"/>
  <c r="AR612" i="2"/>
  <c r="AQ612" i="2"/>
  <c r="AP612" i="2"/>
  <c r="AO612" i="2"/>
  <c r="AL612" i="2"/>
  <c r="AK612" i="2"/>
  <c r="BQ611" i="2"/>
  <c r="BP611" i="2"/>
  <c r="AB611" i="1"/>
  <c r="BO611" i="2"/>
  <c r="AA611" i="1"/>
  <c r="BN611" i="2"/>
  <c r="BM611" i="2"/>
  <c r="BL611" i="2"/>
  <c r="BK611" i="2"/>
  <c r="W611" i="1"/>
  <c r="BJ611" i="2"/>
  <c r="BI611" i="2"/>
  <c r="BH611" i="2"/>
  <c r="T611" i="1"/>
  <c r="BG611" i="2"/>
  <c r="BF611" i="2"/>
  <c r="BE611" i="2"/>
  <c r="BD611" i="2"/>
  <c r="BC611" i="2"/>
  <c r="BB611" i="2"/>
  <c r="BA611" i="2"/>
  <c r="AZ611" i="2"/>
  <c r="AY611" i="2"/>
  <c r="AX611" i="2"/>
  <c r="J611" i="1"/>
  <c r="AW611" i="2"/>
  <c r="I611" i="1"/>
  <c r="AV611" i="2"/>
  <c r="AU611" i="2"/>
  <c r="AT611" i="2"/>
  <c r="AS611" i="2"/>
  <c r="AR611" i="2"/>
  <c r="AQ611" i="2"/>
  <c r="AP611" i="2"/>
  <c r="AO611" i="2"/>
  <c r="AL611" i="2"/>
  <c r="AK611" i="2"/>
  <c r="BQ610" i="2"/>
  <c r="BP610" i="2"/>
  <c r="AB610" i="1"/>
  <c r="BO610" i="2"/>
  <c r="AA610" i="1"/>
  <c r="BN610" i="2"/>
  <c r="BM610" i="2"/>
  <c r="BL610" i="2"/>
  <c r="BK610" i="2"/>
  <c r="W610" i="1"/>
  <c r="BJ610" i="2"/>
  <c r="BI610" i="2"/>
  <c r="BH610" i="2"/>
  <c r="T610" i="1"/>
  <c r="BG610" i="2"/>
  <c r="BF610" i="2"/>
  <c r="BE610" i="2"/>
  <c r="BD610" i="2"/>
  <c r="BC610" i="2"/>
  <c r="BB610" i="2"/>
  <c r="BA610" i="2"/>
  <c r="AZ610" i="2"/>
  <c r="AY610" i="2"/>
  <c r="AX610" i="2"/>
  <c r="J610" i="1"/>
  <c r="AW610" i="2"/>
  <c r="I610" i="1"/>
  <c r="AV610" i="2"/>
  <c r="AU610" i="2"/>
  <c r="AT610" i="2"/>
  <c r="AS610" i="2"/>
  <c r="AR610" i="2"/>
  <c r="AQ610" i="2"/>
  <c r="AP610" i="2"/>
  <c r="AO610" i="2"/>
  <c r="AL610" i="2"/>
  <c r="AK610" i="2"/>
  <c r="BQ609" i="2"/>
  <c r="BP609" i="2"/>
  <c r="AB609" i="1"/>
  <c r="BO609" i="2"/>
  <c r="AA609" i="1"/>
  <c r="BN609" i="2"/>
  <c r="BM609" i="2"/>
  <c r="BL609" i="2"/>
  <c r="BK609" i="2"/>
  <c r="W609" i="1"/>
  <c r="BJ609" i="2"/>
  <c r="BI609" i="2"/>
  <c r="BH609" i="2"/>
  <c r="T609" i="1"/>
  <c r="BG609" i="2"/>
  <c r="BF609" i="2"/>
  <c r="BE609" i="2"/>
  <c r="BD609" i="2"/>
  <c r="BC609" i="2"/>
  <c r="BB609" i="2"/>
  <c r="BA609" i="2"/>
  <c r="AZ609" i="2"/>
  <c r="AY609" i="2"/>
  <c r="AX609" i="2"/>
  <c r="J609" i="1"/>
  <c r="AW609" i="2"/>
  <c r="I609" i="1"/>
  <c r="AV609" i="2"/>
  <c r="AU609" i="2"/>
  <c r="AT609" i="2"/>
  <c r="AS609" i="2"/>
  <c r="AR609" i="2"/>
  <c r="AQ609" i="2"/>
  <c r="AP609" i="2"/>
  <c r="AO609" i="2"/>
  <c r="AL609" i="2"/>
  <c r="AK609" i="2"/>
  <c r="BQ608" i="2"/>
  <c r="BP608" i="2"/>
  <c r="AB608" i="1"/>
  <c r="BO608" i="2"/>
  <c r="AA608" i="1"/>
  <c r="BN608" i="2"/>
  <c r="BM608" i="2"/>
  <c r="BL608" i="2"/>
  <c r="BK608" i="2"/>
  <c r="W608" i="1"/>
  <c r="BJ608" i="2"/>
  <c r="BI608" i="2"/>
  <c r="BH608" i="2"/>
  <c r="T608" i="1"/>
  <c r="BG608" i="2"/>
  <c r="BF608" i="2"/>
  <c r="BE608" i="2"/>
  <c r="BD608" i="2"/>
  <c r="BC608" i="2"/>
  <c r="BB608" i="2"/>
  <c r="BA608" i="2"/>
  <c r="AZ608" i="2"/>
  <c r="AY608" i="2"/>
  <c r="AX608" i="2"/>
  <c r="J608" i="1"/>
  <c r="AW608" i="2"/>
  <c r="I608" i="1"/>
  <c r="AV608" i="2"/>
  <c r="AU608" i="2"/>
  <c r="AT608" i="2"/>
  <c r="AS608" i="2"/>
  <c r="AR608" i="2"/>
  <c r="AQ608" i="2"/>
  <c r="AP608" i="2"/>
  <c r="AO608" i="2"/>
  <c r="AL608" i="2"/>
  <c r="AK608" i="2"/>
  <c r="BQ607" i="2"/>
  <c r="BP607" i="2"/>
  <c r="AB607" i="1"/>
  <c r="BO607" i="2"/>
  <c r="AA607" i="1"/>
  <c r="BN607" i="2"/>
  <c r="BM607" i="2"/>
  <c r="BL607" i="2"/>
  <c r="BK607" i="2"/>
  <c r="W607" i="1"/>
  <c r="BJ607" i="2"/>
  <c r="BI607" i="2"/>
  <c r="BH607" i="2"/>
  <c r="T607" i="1"/>
  <c r="BG607" i="2"/>
  <c r="BF607" i="2"/>
  <c r="BE607" i="2"/>
  <c r="BD607" i="2"/>
  <c r="BC607" i="2"/>
  <c r="BB607" i="2"/>
  <c r="BA607" i="2"/>
  <c r="AZ607" i="2"/>
  <c r="AY607" i="2"/>
  <c r="AX607" i="2"/>
  <c r="J607" i="1"/>
  <c r="AW607" i="2"/>
  <c r="I607" i="1"/>
  <c r="AV607" i="2"/>
  <c r="AU607" i="2"/>
  <c r="AT607" i="2"/>
  <c r="AS607" i="2"/>
  <c r="AR607" i="2"/>
  <c r="AQ607" i="2"/>
  <c r="AP607" i="2"/>
  <c r="AO607" i="2"/>
  <c r="AL607" i="2"/>
  <c r="AK607" i="2"/>
  <c r="BQ606" i="2"/>
  <c r="BP606" i="2"/>
  <c r="AB606" i="1"/>
  <c r="BO606" i="2"/>
  <c r="AA606" i="1"/>
  <c r="BN606" i="2"/>
  <c r="BM606" i="2"/>
  <c r="BL606" i="2"/>
  <c r="BK606" i="2"/>
  <c r="W606" i="1"/>
  <c r="BJ606" i="2"/>
  <c r="BI606" i="2"/>
  <c r="BH606" i="2"/>
  <c r="T606" i="1"/>
  <c r="BG606" i="2"/>
  <c r="BF606" i="2"/>
  <c r="BE606" i="2"/>
  <c r="BD606" i="2"/>
  <c r="BC606" i="2"/>
  <c r="BB606" i="2"/>
  <c r="BA606" i="2"/>
  <c r="AZ606" i="2"/>
  <c r="AY606" i="2"/>
  <c r="AX606" i="2"/>
  <c r="J606" i="1"/>
  <c r="AW606" i="2"/>
  <c r="I606" i="1"/>
  <c r="AV606" i="2"/>
  <c r="AU606" i="2"/>
  <c r="AT606" i="2"/>
  <c r="AS606" i="2"/>
  <c r="AR606" i="2"/>
  <c r="AQ606" i="2"/>
  <c r="AP606" i="2"/>
  <c r="AO606" i="2"/>
  <c r="AL606" i="2"/>
  <c r="AK606" i="2"/>
  <c r="BQ605" i="2"/>
  <c r="BP605" i="2"/>
  <c r="AB605" i="1"/>
  <c r="BO605" i="2"/>
  <c r="AA605" i="1"/>
  <c r="BN605" i="2"/>
  <c r="BM605" i="2"/>
  <c r="BL605" i="2"/>
  <c r="BK605" i="2"/>
  <c r="W605" i="1"/>
  <c r="BJ605" i="2"/>
  <c r="BI605" i="2"/>
  <c r="BH605" i="2"/>
  <c r="T605" i="1"/>
  <c r="BG605" i="2"/>
  <c r="BF605" i="2"/>
  <c r="BE605" i="2"/>
  <c r="BD605" i="2"/>
  <c r="BC605" i="2"/>
  <c r="BB605" i="2"/>
  <c r="BA605" i="2"/>
  <c r="AZ605" i="2"/>
  <c r="AY605" i="2"/>
  <c r="AX605" i="2"/>
  <c r="J605" i="1"/>
  <c r="AW605" i="2"/>
  <c r="I605" i="1"/>
  <c r="AV605" i="2"/>
  <c r="AU605" i="2"/>
  <c r="AT605" i="2"/>
  <c r="AS605" i="2"/>
  <c r="AR605" i="2"/>
  <c r="AQ605" i="2"/>
  <c r="AP605" i="2"/>
  <c r="AO605" i="2"/>
  <c r="AL605" i="2"/>
  <c r="AK605" i="2"/>
  <c r="BQ604" i="2"/>
  <c r="BP604" i="2"/>
  <c r="AB604" i="1"/>
  <c r="BO604" i="2"/>
  <c r="AA604" i="1"/>
  <c r="BN604" i="2"/>
  <c r="BM604" i="2"/>
  <c r="BL604" i="2"/>
  <c r="BK604" i="2"/>
  <c r="W604" i="1"/>
  <c r="BJ604" i="2"/>
  <c r="BI604" i="2"/>
  <c r="BH604" i="2"/>
  <c r="T604" i="1"/>
  <c r="BG604" i="2"/>
  <c r="BF604" i="2"/>
  <c r="BE604" i="2"/>
  <c r="BD604" i="2"/>
  <c r="BC604" i="2"/>
  <c r="BB604" i="2"/>
  <c r="BA604" i="2"/>
  <c r="AZ604" i="2"/>
  <c r="AY604" i="2"/>
  <c r="AX604" i="2"/>
  <c r="J604" i="1"/>
  <c r="AW604" i="2"/>
  <c r="I604" i="1"/>
  <c r="AV604" i="2"/>
  <c r="AU604" i="2"/>
  <c r="AT604" i="2"/>
  <c r="AS604" i="2"/>
  <c r="AR604" i="2"/>
  <c r="AQ604" i="2"/>
  <c r="AP604" i="2"/>
  <c r="AO604" i="2"/>
  <c r="AL604" i="2"/>
  <c r="AK604" i="2"/>
  <c r="BQ603" i="2"/>
  <c r="BP603" i="2"/>
  <c r="AB603" i="1"/>
  <c r="BO603" i="2"/>
  <c r="AA603" i="1"/>
  <c r="BN603" i="2"/>
  <c r="BM603" i="2"/>
  <c r="BL603" i="2"/>
  <c r="BK603" i="2"/>
  <c r="W603" i="1"/>
  <c r="BJ603" i="2"/>
  <c r="BI603" i="2"/>
  <c r="BH603" i="2"/>
  <c r="T603" i="1"/>
  <c r="BG603" i="2"/>
  <c r="BF603" i="2"/>
  <c r="BE603" i="2"/>
  <c r="BD603" i="2"/>
  <c r="BC603" i="2"/>
  <c r="BB603" i="2"/>
  <c r="BA603" i="2"/>
  <c r="AZ603" i="2"/>
  <c r="AY603" i="2"/>
  <c r="AX603" i="2"/>
  <c r="J603" i="1"/>
  <c r="AW603" i="2"/>
  <c r="I603" i="1"/>
  <c r="AV603" i="2"/>
  <c r="AU603" i="2"/>
  <c r="AT603" i="2"/>
  <c r="AS603" i="2"/>
  <c r="AR603" i="2"/>
  <c r="AQ603" i="2"/>
  <c r="AP603" i="2"/>
  <c r="AO603" i="2"/>
  <c r="AL603" i="2"/>
  <c r="AK603" i="2"/>
  <c r="BQ602" i="2"/>
  <c r="BP602" i="2"/>
  <c r="AB602" i="1"/>
  <c r="BO602" i="2"/>
  <c r="AA602" i="1"/>
  <c r="BN602" i="2"/>
  <c r="BM602" i="2"/>
  <c r="BL602" i="2"/>
  <c r="BK602" i="2"/>
  <c r="W602" i="1"/>
  <c r="BJ602" i="2"/>
  <c r="BI602" i="2"/>
  <c r="BH602" i="2"/>
  <c r="T602" i="1"/>
  <c r="BG602" i="2"/>
  <c r="BF602" i="2"/>
  <c r="BE602" i="2"/>
  <c r="BD602" i="2"/>
  <c r="BC602" i="2"/>
  <c r="BB602" i="2"/>
  <c r="BA602" i="2"/>
  <c r="AZ602" i="2"/>
  <c r="AY602" i="2"/>
  <c r="AX602" i="2"/>
  <c r="J602" i="1"/>
  <c r="AW602" i="2"/>
  <c r="I602" i="1"/>
  <c r="AV602" i="2"/>
  <c r="AU602" i="2"/>
  <c r="AT602" i="2"/>
  <c r="AS602" i="2"/>
  <c r="AR602" i="2"/>
  <c r="AQ602" i="2"/>
  <c r="AP602" i="2"/>
  <c r="AO602" i="2"/>
  <c r="AL602" i="2"/>
  <c r="AK602" i="2"/>
  <c r="BQ601" i="2"/>
  <c r="BP601" i="2"/>
  <c r="AB601" i="1"/>
  <c r="BO601" i="2"/>
  <c r="AA601" i="1"/>
  <c r="BN601" i="2"/>
  <c r="BM601" i="2"/>
  <c r="BL601" i="2"/>
  <c r="BK601" i="2"/>
  <c r="W601" i="1"/>
  <c r="BJ601" i="2"/>
  <c r="BI601" i="2"/>
  <c r="BH601" i="2"/>
  <c r="T601" i="1"/>
  <c r="BG601" i="2"/>
  <c r="BF601" i="2"/>
  <c r="BE601" i="2"/>
  <c r="BD601" i="2"/>
  <c r="BC601" i="2"/>
  <c r="BB601" i="2"/>
  <c r="BA601" i="2"/>
  <c r="AZ601" i="2"/>
  <c r="AY601" i="2"/>
  <c r="AX601" i="2"/>
  <c r="J601" i="1"/>
  <c r="AW601" i="2"/>
  <c r="I601" i="1"/>
  <c r="AV601" i="2"/>
  <c r="AU601" i="2"/>
  <c r="AT601" i="2"/>
  <c r="AS601" i="2"/>
  <c r="AR601" i="2"/>
  <c r="AQ601" i="2"/>
  <c r="AP601" i="2"/>
  <c r="AO601" i="2"/>
  <c r="AL601" i="2"/>
  <c r="AK601" i="2"/>
  <c r="BQ600" i="2"/>
  <c r="BP600" i="2"/>
  <c r="AB600" i="1"/>
  <c r="BO600" i="2"/>
  <c r="AA600" i="1"/>
  <c r="BN600" i="2"/>
  <c r="BM600" i="2"/>
  <c r="BL600" i="2"/>
  <c r="BK600" i="2"/>
  <c r="W600" i="1"/>
  <c r="BJ600" i="2"/>
  <c r="BI600" i="2"/>
  <c r="BH600" i="2"/>
  <c r="T600" i="1"/>
  <c r="BG600" i="2"/>
  <c r="BF600" i="2"/>
  <c r="BE600" i="2"/>
  <c r="BD600" i="2"/>
  <c r="BC600" i="2"/>
  <c r="BB600" i="2"/>
  <c r="BA600" i="2"/>
  <c r="AZ600" i="2"/>
  <c r="AY600" i="2"/>
  <c r="AX600" i="2"/>
  <c r="J600" i="1"/>
  <c r="AW600" i="2"/>
  <c r="I600" i="1"/>
  <c r="AV600" i="2"/>
  <c r="AU600" i="2"/>
  <c r="AT600" i="2"/>
  <c r="AS600" i="2"/>
  <c r="AR600" i="2"/>
  <c r="AQ600" i="2"/>
  <c r="AP600" i="2"/>
  <c r="AO600" i="2"/>
  <c r="AL600" i="2"/>
  <c r="AK600" i="2"/>
  <c r="BQ599" i="2"/>
  <c r="BP599" i="2"/>
  <c r="AB599" i="1"/>
  <c r="BO599" i="2"/>
  <c r="AA599" i="1"/>
  <c r="BN599" i="2"/>
  <c r="BM599" i="2"/>
  <c r="BL599" i="2"/>
  <c r="BK599" i="2"/>
  <c r="W599" i="1"/>
  <c r="BJ599" i="2"/>
  <c r="BI599" i="2"/>
  <c r="BH599" i="2"/>
  <c r="T599" i="1"/>
  <c r="BG599" i="2"/>
  <c r="BF599" i="2"/>
  <c r="BE599" i="2"/>
  <c r="BD599" i="2"/>
  <c r="BC599" i="2"/>
  <c r="BB599" i="2"/>
  <c r="BA599" i="2"/>
  <c r="AZ599" i="2"/>
  <c r="AY599" i="2"/>
  <c r="AX599" i="2"/>
  <c r="J599" i="1"/>
  <c r="AW599" i="2"/>
  <c r="I599" i="1"/>
  <c r="AV599" i="2"/>
  <c r="AU599" i="2"/>
  <c r="AT599" i="2"/>
  <c r="AS599" i="2"/>
  <c r="AR599" i="2"/>
  <c r="AQ599" i="2"/>
  <c r="AP599" i="2"/>
  <c r="AO599" i="2"/>
  <c r="AL599" i="2"/>
  <c r="AK599" i="2"/>
  <c r="BQ598" i="2"/>
  <c r="BP598" i="2"/>
  <c r="AB598" i="1"/>
  <c r="BO598" i="2"/>
  <c r="AA598" i="1"/>
  <c r="BN598" i="2"/>
  <c r="BM598" i="2"/>
  <c r="BL598" i="2"/>
  <c r="BK598" i="2"/>
  <c r="W598" i="1"/>
  <c r="BJ598" i="2"/>
  <c r="BI598" i="2"/>
  <c r="BH598" i="2"/>
  <c r="T598" i="1"/>
  <c r="BG598" i="2"/>
  <c r="BF598" i="2"/>
  <c r="BE598" i="2"/>
  <c r="BD598" i="2"/>
  <c r="BC598" i="2"/>
  <c r="BB598" i="2"/>
  <c r="BA598" i="2"/>
  <c r="AZ598" i="2"/>
  <c r="AY598" i="2"/>
  <c r="AX598" i="2"/>
  <c r="J598" i="1"/>
  <c r="AW598" i="2"/>
  <c r="I598" i="1"/>
  <c r="AV598" i="2"/>
  <c r="AU598" i="2"/>
  <c r="AT598" i="2"/>
  <c r="AS598" i="2"/>
  <c r="AR598" i="2"/>
  <c r="AQ598" i="2"/>
  <c r="AP598" i="2"/>
  <c r="AO598" i="2"/>
  <c r="AL598" i="2"/>
  <c r="AK598" i="2"/>
  <c r="BQ597" i="2"/>
  <c r="BP597" i="2"/>
  <c r="AB597" i="1"/>
  <c r="BO597" i="2"/>
  <c r="AA597" i="1"/>
  <c r="BN597" i="2"/>
  <c r="BM597" i="2"/>
  <c r="BL597" i="2"/>
  <c r="BK597" i="2"/>
  <c r="W597" i="1"/>
  <c r="BJ597" i="2"/>
  <c r="BI597" i="2"/>
  <c r="BH597" i="2"/>
  <c r="T597" i="1"/>
  <c r="BG597" i="2"/>
  <c r="BF597" i="2"/>
  <c r="BE597" i="2"/>
  <c r="BD597" i="2"/>
  <c r="BC597" i="2"/>
  <c r="BB597" i="2"/>
  <c r="BA597" i="2"/>
  <c r="AZ597" i="2"/>
  <c r="AY597" i="2"/>
  <c r="AX597" i="2"/>
  <c r="J597" i="1"/>
  <c r="AW597" i="2"/>
  <c r="I597" i="1"/>
  <c r="AV597" i="2"/>
  <c r="AU597" i="2"/>
  <c r="AT597" i="2"/>
  <c r="AS597" i="2"/>
  <c r="AR597" i="2"/>
  <c r="AQ597" i="2"/>
  <c r="AP597" i="2"/>
  <c r="AO597" i="2"/>
  <c r="AL597" i="2"/>
  <c r="AK597" i="2"/>
  <c r="BQ596" i="2"/>
  <c r="BP596" i="2"/>
  <c r="AB596" i="1"/>
  <c r="BO596" i="2"/>
  <c r="AA596" i="1"/>
  <c r="BN596" i="2"/>
  <c r="BM596" i="2"/>
  <c r="BL596" i="2"/>
  <c r="BK596" i="2"/>
  <c r="W596" i="1"/>
  <c r="BJ596" i="2"/>
  <c r="BI596" i="2"/>
  <c r="BH596" i="2"/>
  <c r="T596" i="1"/>
  <c r="BG596" i="2"/>
  <c r="BF596" i="2"/>
  <c r="BE596" i="2"/>
  <c r="BD596" i="2"/>
  <c r="BC596" i="2"/>
  <c r="BB596" i="2"/>
  <c r="BA596" i="2"/>
  <c r="AZ596" i="2"/>
  <c r="AY596" i="2"/>
  <c r="AX596" i="2"/>
  <c r="J596" i="1"/>
  <c r="AW596" i="2"/>
  <c r="I596" i="1"/>
  <c r="AV596" i="2"/>
  <c r="AU596" i="2"/>
  <c r="AT596" i="2"/>
  <c r="AS596" i="2"/>
  <c r="AR596" i="2"/>
  <c r="AQ596" i="2"/>
  <c r="AP596" i="2"/>
  <c r="AO596" i="2"/>
  <c r="AL596" i="2"/>
  <c r="AK596" i="2"/>
  <c r="BQ595" i="2"/>
  <c r="BP595" i="2"/>
  <c r="AB595" i="1"/>
  <c r="BO595" i="2"/>
  <c r="AA595" i="1"/>
  <c r="BN595" i="2"/>
  <c r="BM595" i="2"/>
  <c r="BL595" i="2"/>
  <c r="BK595" i="2"/>
  <c r="W595" i="1"/>
  <c r="BJ595" i="2"/>
  <c r="BI595" i="2"/>
  <c r="BH595" i="2"/>
  <c r="T595" i="1"/>
  <c r="BG595" i="2"/>
  <c r="BF595" i="2"/>
  <c r="BE595" i="2"/>
  <c r="BD595" i="2"/>
  <c r="BC595" i="2"/>
  <c r="BB595" i="2"/>
  <c r="BA595" i="2"/>
  <c r="AZ595" i="2"/>
  <c r="AY595" i="2"/>
  <c r="AX595" i="2"/>
  <c r="J595" i="1"/>
  <c r="AW595" i="2"/>
  <c r="I595" i="1"/>
  <c r="AV595" i="2"/>
  <c r="AU595" i="2"/>
  <c r="AT595" i="2"/>
  <c r="AS595" i="2"/>
  <c r="AR595" i="2"/>
  <c r="AQ595" i="2"/>
  <c r="AP595" i="2"/>
  <c r="AO595" i="2"/>
  <c r="AL595" i="2"/>
  <c r="AK595" i="2"/>
  <c r="BQ594" i="2"/>
  <c r="BP594" i="2"/>
  <c r="AB594" i="1"/>
  <c r="BO594" i="2"/>
  <c r="AA594" i="1"/>
  <c r="BN594" i="2"/>
  <c r="BM594" i="2"/>
  <c r="BL594" i="2"/>
  <c r="BK594" i="2"/>
  <c r="W594" i="1"/>
  <c r="BJ594" i="2"/>
  <c r="BI594" i="2"/>
  <c r="BH594" i="2"/>
  <c r="T594" i="1"/>
  <c r="BG594" i="2"/>
  <c r="BF594" i="2"/>
  <c r="BE594" i="2"/>
  <c r="BD594" i="2"/>
  <c r="BC594" i="2"/>
  <c r="BB594" i="2"/>
  <c r="BA594" i="2"/>
  <c r="AZ594" i="2"/>
  <c r="AY594" i="2"/>
  <c r="AX594" i="2"/>
  <c r="J594" i="1"/>
  <c r="AW594" i="2"/>
  <c r="I594" i="1"/>
  <c r="AV594" i="2"/>
  <c r="AU594" i="2"/>
  <c r="AT594" i="2"/>
  <c r="AS594" i="2"/>
  <c r="AR594" i="2"/>
  <c r="AQ594" i="2"/>
  <c r="AP594" i="2"/>
  <c r="AO594" i="2"/>
  <c r="AL594" i="2"/>
  <c r="AK594" i="2"/>
  <c r="BQ593" i="2"/>
  <c r="BP593" i="2"/>
  <c r="AB593" i="1"/>
  <c r="BO593" i="2"/>
  <c r="AA593" i="1"/>
  <c r="BN593" i="2"/>
  <c r="BM593" i="2"/>
  <c r="BL593" i="2"/>
  <c r="BK593" i="2"/>
  <c r="W593" i="1"/>
  <c r="BJ593" i="2"/>
  <c r="BI593" i="2"/>
  <c r="BH593" i="2"/>
  <c r="T593" i="1"/>
  <c r="BG593" i="2"/>
  <c r="BF593" i="2"/>
  <c r="BE593" i="2"/>
  <c r="BD593" i="2"/>
  <c r="BC593" i="2"/>
  <c r="BB593" i="2"/>
  <c r="BA593" i="2"/>
  <c r="AZ593" i="2"/>
  <c r="AY593" i="2"/>
  <c r="AX593" i="2"/>
  <c r="J593" i="1"/>
  <c r="AW593" i="2"/>
  <c r="I593" i="1"/>
  <c r="AV593" i="2"/>
  <c r="AU593" i="2"/>
  <c r="AT593" i="2"/>
  <c r="AS593" i="2"/>
  <c r="AR593" i="2"/>
  <c r="AQ593" i="2"/>
  <c r="AP593" i="2"/>
  <c r="AO593" i="2"/>
  <c r="AL593" i="2"/>
  <c r="AK593" i="2"/>
  <c r="BQ592" i="2"/>
  <c r="BP592" i="2"/>
  <c r="AB592" i="1"/>
  <c r="BO592" i="2"/>
  <c r="AA592" i="1"/>
  <c r="BN592" i="2"/>
  <c r="BM592" i="2"/>
  <c r="BL592" i="2"/>
  <c r="BK592" i="2"/>
  <c r="W592" i="1"/>
  <c r="BJ592" i="2"/>
  <c r="BI592" i="2"/>
  <c r="BH592" i="2"/>
  <c r="T592" i="1"/>
  <c r="BG592" i="2"/>
  <c r="BF592" i="2"/>
  <c r="BE592" i="2"/>
  <c r="BD592" i="2"/>
  <c r="BC592" i="2"/>
  <c r="BB592" i="2"/>
  <c r="BA592" i="2"/>
  <c r="AZ592" i="2"/>
  <c r="AY592" i="2"/>
  <c r="AX592" i="2"/>
  <c r="J592" i="1"/>
  <c r="AW592" i="2"/>
  <c r="I592" i="1"/>
  <c r="AV592" i="2"/>
  <c r="AU592" i="2"/>
  <c r="AT592" i="2"/>
  <c r="AS592" i="2"/>
  <c r="AR592" i="2"/>
  <c r="AQ592" i="2"/>
  <c r="AP592" i="2"/>
  <c r="AO592" i="2"/>
  <c r="AL592" i="2"/>
  <c r="AK592" i="2"/>
  <c r="BQ591" i="2"/>
  <c r="BP591" i="2"/>
  <c r="AB591" i="1"/>
  <c r="BO591" i="2"/>
  <c r="AA591" i="1"/>
  <c r="BN591" i="2"/>
  <c r="BM591" i="2"/>
  <c r="BL591" i="2"/>
  <c r="BK591" i="2"/>
  <c r="W591" i="1"/>
  <c r="BJ591" i="2"/>
  <c r="BI591" i="2"/>
  <c r="BH591" i="2"/>
  <c r="T591" i="1"/>
  <c r="BG591" i="2"/>
  <c r="BF591" i="2"/>
  <c r="BE591" i="2"/>
  <c r="BD591" i="2"/>
  <c r="BC591" i="2"/>
  <c r="BB591" i="2"/>
  <c r="BA591" i="2"/>
  <c r="AZ591" i="2"/>
  <c r="AY591" i="2"/>
  <c r="AX591" i="2"/>
  <c r="J591" i="1"/>
  <c r="AW591" i="2"/>
  <c r="I591" i="1"/>
  <c r="AV591" i="2"/>
  <c r="AU591" i="2"/>
  <c r="AT591" i="2"/>
  <c r="AS591" i="2"/>
  <c r="AR591" i="2"/>
  <c r="AQ591" i="2"/>
  <c r="AP591" i="2"/>
  <c r="AO591" i="2"/>
  <c r="AL591" i="2"/>
  <c r="AK591" i="2"/>
  <c r="BQ590" i="2"/>
  <c r="BP590" i="2"/>
  <c r="AB590" i="1"/>
  <c r="BO590" i="2"/>
  <c r="AA590" i="1"/>
  <c r="BN590" i="2"/>
  <c r="BM590" i="2"/>
  <c r="BL590" i="2"/>
  <c r="BK590" i="2"/>
  <c r="W590" i="1"/>
  <c r="BJ590" i="2"/>
  <c r="BI590" i="2"/>
  <c r="BH590" i="2"/>
  <c r="T590" i="1"/>
  <c r="BG590" i="2"/>
  <c r="BF590" i="2"/>
  <c r="BE590" i="2"/>
  <c r="BD590" i="2"/>
  <c r="BC590" i="2"/>
  <c r="BB590" i="2"/>
  <c r="BA590" i="2"/>
  <c r="AZ590" i="2"/>
  <c r="AY590" i="2"/>
  <c r="AX590" i="2"/>
  <c r="J590" i="1"/>
  <c r="AW590" i="2"/>
  <c r="I590" i="1"/>
  <c r="AV590" i="2"/>
  <c r="AU590" i="2"/>
  <c r="AT590" i="2"/>
  <c r="AS590" i="2"/>
  <c r="AR590" i="2"/>
  <c r="AQ590" i="2"/>
  <c r="AP590" i="2"/>
  <c r="AO590" i="2"/>
  <c r="AL590" i="2"/>
  <c r="AK590" i="2"/>
  <c r="BQ589" i="2"/>
  <c r="BP589" i="2"/>
  <c r="AB589" i="1"/>
  <c r="BO589" i="2"/>
  <c r="AA589" i="1"/>
  <c r="BN589" i="2"/>
  <c r="BM589" i="2"/>
  <c r="BL589" i="2"/>
  <c r="BK589" i="2"/>
  <c r="W589" i="1"/>
  <c r="BJ589" i="2"/>
  <c r="BI589" i="2"/>
  <c r="BH589" i="2"/>
  <c r="T589" i="1"/>
  <c r="BG589" i="2"/>
  <c r="BF589" i="2"/>
  <c r="BE589" i="2"/>
  <c r="BD589" i="2"/>
  <c r="BC589" i="2"/>
  <c r="BB589" i="2"/>
  <c r="BA589" i="2"/>
  <c r="AZ589" i="2"/>
  <c r="AY589" i="2"/>
  <c r="AX589" i="2"/>
  <c r="J589" i="1"/>
  <c r="AW589" i="2"/>
  <c r="I589" i="1"/>
  <c r="AV589" i="2"/>
  <c r="AU589" i="2"/>
  <c r="AT589" i="2"/>
  <c r="AS589" i="2"/>
  <c r="AR589" i="2"/>
  <c r="AQ589" i="2"/>
  <c r="AP589" i="2"/>
  <c r="AO589" i="2"/>
  <c r="AL589" i="2"/>
  <c r="AK589" i="2"/>
  <c r="BQ588" i="2"/>
  <c r="BP588" i="2"/>
  <c r="AB588" i="1"/>
  <c r="BO588" i="2"/>
  <c r="AA588" i="1"/>
  <c r="BN588" i="2"/>
  <c r="BM588" i="2"/>
  <c r="BL588" i="2"/>
  <c r="BK588" i="2"/>
  <c r="W588" i="1"/>
  <c r="BJ588" i="2"/>
  <c r="BI588" i="2"/>
  <c r="BH588" i="2"/>
  <c r="T588" i="1"/>
  <c r="BG588" i="2"/>
  <c r="BF588" i="2"/>
  <c r="BE588" i="2"/>
  <c r="BD588" i="2"/>
  <c r="BC588" i="2"/>
  <c r="BB588" i="2"/>
  <c r="BA588" i="2"/>
  <c r="AZ588" i="2"/>
  <c r="AY588" i="2"/>
  <c r="AX588" i="2"/>
  <c r="J588" i="1"/>
  <c r="AW588" i="2"/>
  <c r="I588" i="1"/>
  <c r="AV588" i="2"/>
  <c r="AU588" i="2"/>
  <c r="AT588" i="2"/>
  <c r="AS588" i="2"/>
  <c r="AR588" i="2"/>
  <c r="AQ588" i="2"/>
  <c r="AP588" i="2"/>
  <c r="AO588" i="2"/>
  <c r="AL588" i="2"/>
  <c r="AK588" i="2"/>
  <c r="BQ587" i="2"/>
  <c r="BP587" i="2"/>
  <c r="AB587" i="1"/>
  <c r="BO587" i="2"/>
  <c r="AA587" i="1"/>
  <c r="BN587" i="2"/>
  <c r="BM587" i="2"/>
  <c r="BL587" i="2"/>
  <c r="BK587" i="2"/>
  <c r="W587" i="1"/>
  <c r="BJ587" i="2"/>
  <c r="BI587" i="2"/>
  <c r="BH587" i="2"/>
  <c r="T587" i="1"/>
  <c r="BG587" i="2"/>
  <c r="BF587" i="2"/>
  <c r="BE587" i="2"/>
  <c r="BD587" i="2"/>
  <c r="BC587" i="2"/>
  <c r="BB587" i="2"/>
  <c r="BA587" i="2"/>
  <c r="AZ587" i="2"/>
  <c r="AY587" i="2"/>
  <c r="AX587" i="2"/>
  <c r="J587" i="1"/>
  <c r="AW587" i="2"/>
  <c r="I587" i="1"/>
  <c r="AV587" i="2"/>
  <c r="AU587" i="2"/>
  <c r="AT587" i="2"/>
  <c r="AS587" i="2"/>
  <c r="AR587" i="2"/>
  <c r="AQ587" i="2"/>
  <c r="AP587" i="2"/>
  <c r="AO587" i="2"/>
  <c r="AL587" i="2"/>
  <c r="AK587" i="2"/>
  <c r="BQ586" i="2"/>
  <c r="BP586" i="2"/>
  <c r="AB586" i="1"/>
  <c r="BO586" i="2"/>
  <c r="AA586" i="1"/>
  <c r="BN586" i="2"/>
  <c r="BM586" i="2"/>
  <c r="BL586" i="2"/>
  <c r="BK586" i="2"/>
  <c r="W586" i="1"/>
  <c r="BJ586" i="2"/>
  <c r="BI586" i="2"/>
  <c r="BH586" i="2"/>
  <c r="T586" i="1"/>
  <c r="BG586" i="2"/>
  <c r="BF586" i="2"/>
  <c r="BE586" i="2"/>
  <c r="BD586" i="2"/>
  <c r="BC586" i="2"/>
  <c r="BB586" i="2"/>
  <c r="BA586" i="2"/>
  <c r="AZ586" i="2"/>
  <c r="AY586" i="2"/>
  <c r="AX586" i="2"/>
  <c r="J586" i="1"/>
  <c r="AW586" i="2"/>
  <c r="I586" i="1"/>
  <c r="AV586" i="2"/>
  <c r="AU586" i="2"/>
  <c r="AT586" i="2"/>
  <c r="AS586" i="2"/>
  <c r="AR586" i="2"/>
  <c r="AQ586" i="2"/>
  <c r="AP586" i="2"/>
  <c r="AO586" i="2"/>
  <c r="AL586" i="2"/>
  <c r="AK586" i="2"/>
  <c r="BQ585" i="2"/>
  <c r="BP585" i="2"/>
  <c r="AB585" i="1"/>
  <c r="BO585" i="2"/>
  <c r="AA585" i="1"/>
  <c r="BN585" i="2"/>
  <c r="BM585" i="2"/>
  <c r="BL585" i="2"/>
  <c r="BK585" i="2"/>
  <c r="W585" i="1"/>
  <c r="BJ585" i="2"/>
  <c r="BI585" i="2"/>
  <c r="BH585" i="2"/>
  <c r="T585" i="1"/>
  <c r="BG585" i="2"/>
  <c r="BF585" i="2"/>
  <c r="BE585" i="2"/>
  <c r="BD585" i="2"/>
  <c r="BC585" i="2"/>
  <c r="BB585" i="2"/>
  <c r="BA585" i="2"/>
  <c r="AZ585" i="2"/>
  <c r="AY585" i="2"/>
  <c r="AX585" i="2"/>
  <c r="J585" i="1"/>
  <c r="AW585" i="2"/>
  <c r="I585" i="1"/>
  <c r="AV585" i="2"/>
  <c r="AU585" i="2"/>
  <c r="AT585" i="2"/>
  <c r="AS585" i="2"/>
  <c r="AR585" i="2"/>
  <c r="AQ585" i="2"/>
  <c r="AP585" i="2"/>
  <c r="AO585" i="2"/>
  <c r="AL585" i="2"/>
  <c r="AK585" i="2"/>
  <c r="BQ584" i="2"/>
  <c r="BP584" i="2"/>
  <c r="AB584" i="1"/>
  <c r="BO584" i="2"/>
  <c r="AA584" i="1"/>
  <c r="BN584" i="2"/>
  <c r="BM584" i="2"/>
  <c r="BL584" i="2"/>
  <c r="BK584" i="2"/>
  <c r="W584" i="1"/>
  <c r="BJ584" i="2"/>
  <c r="BI584" i="2"/>
  <c r="BH584" i="2"/>
  <c r="T584" i="1"/>
  <c r="BG584" i="2"/>
  <c r="BF584" i="2"/>
  <c r="BE584" i="2"/>
  <c r="BD584" i="2"/>
  <c r="BC584" i="2"/>
  <c r="BB584" i="2"/>
  <c r="BA584" i="2"/>
  <c r="AZ584" i="2"/>
  <c r="AY584" i="2"/>
  <c r="AX584" i="2"/>
  <c r="J584" i="1"/>
  <c r="AW584" i="2"/>
  <c r="I584" i="1"/>
  <c r="AV584" i="2"/>
  <c r="AU584" i="2"/>
  <c r="AT584" i="2"/>
  <c r="AS584" i="2"/>
  <c r="AR584" i="2"/>
  <c r="AQ584" i="2"/>
  <c r="AP584" i="2"/>
  <c r="AO584" i="2"/>
  <c r="AL584" i="2"/>
  <c r="AK584" i="2"/>
  <c r="BQ583" i="2"/>
  <c r="BP583" i="2"/>
  <c r="AB583" i="1"/>
  <c r="BO583" i="2"/>
  <c r="AA583" i="1"/>
  <c r="BN583" i="2"/>
  <c r="BM583" i="2"/>
  <c r="BL583" i="2"/>
  <c r="BK583" i="2"/>
  <c r="W583" i="1"/>
  <c r="BJ583" i="2"/>
  <c r="BI583" i="2"/>
  <c r="BH583" i="2"/>
  <c r="T583" i="1"/>
  <c r="BG583" i="2"/>
  <c r="BF583" i="2"/>
  <c r="BE583" i="2"/>
  <c r="BD583" i="2"/>
  <c r="BC583" i="2"/>
  <c r="BB583" i="2"/>
  <c r="BA583" i="2"/>
  <c r="AZ583" i="2"/>
  <c r="AY583" i="2"/>
  <c r="AX583" i="2"/>
  <c r="J583" i="1"/>
  <c r="AW583" i="2"/>
  <c r="I583" i="1"/>
  <c r="AV583" i="2"/>
  <c r="AU583" i="2"/>
  <c r="AT583" i="2"/>
  <c r="AS583" i="2"/>
  <c r="AR583" i="2"/>
  <c r="AQ583" i="2"/>
  <c r="AP583" i="2"/>
  <c r="AO583" i="2"/>
  <c r="AL583" i="2"/>
  <c r="AK583" i="2"/>
  <c r="BQ582" i="2"/>
  <c r="BP582" i="2"/>
  <c r="AB582" i="1"/>
  <c r="BO582" i="2"/>
  <c r="AA582" i="1"/>
  <c r="BN582" i="2"/>
  <c r="BM582" i="2"/>
  <c r="BL582" i="2"/>
  <c r="BK582" i="2"/>
  <c r="W582" i="1"/>
  <c r="BJ582" i="2"/>
  <c r="BI582" i="2"/>
  <c r="BH582" i="2"/>
  <c r="T582" i="1"/>
  <c r="BG582" i="2"/>
  <c r="BF582" i="2"/>
  <c r="BE582" i="2"/>
  <c r="BD582" i="2"/>
  <c r="BC582" i="2"/>
  <c r="BB582" i="2"/>
  <c r="BA582" i="2"/>
  <c r="AZ582" i="2"/>
  <c r="AY582" i="2"/>
  <c r="AX582" i="2"/>
  <c r="J582" i="1"/>
  <c r="AW582" i="2"/>
  <c r="I582" i="1"/>
  <c r="AV582" i="2"/>
  <c r="AU582" i="2"/>
  <c r="AT582" i="2"/>
  <c r="AS582" i="2"/>
  <c r="AR582" i="2"/>
  <c r="AQ582" i="2"/>
  <c r="AP582" i="2"/>
  <c r="AO582" i="2"/>
  <c r="AL582" i="2"/>
  <c r="AK582" i="2"/>
  <c r="BQ581" i="2"/>
  <c r="BP581" i="2"/>
  <c r="AB581" i="1"/>
  <c r="BO581" i="2"/>
  <c r="AA581" i="1"/>
  <c r="BN581" i="2"/>
  <c r="BM581" i="2"/>
  <c r="BL581" i="2"/>
  <c r="BK581" i="2"/>
  <c r="W581" i="1"/>
  <c r="BJ581" i="2"/>
  <c r="BI581" i="2"/>
  <c r="BH581" i="2"/>
  <c r="T581" i="1"/>
  <c r="BG581" i="2"/>
  <c r="BF581" i="2"/>
  <c r="BE581" i="2"/>
  <c r="BD581" i="2"/>
  <c r="BC581" i="2"/>
  <c r="BB581" i="2"/>
  <c r="BA581" i="2"/>
  <c r="AZ581" i="2"/>
  <c r="AY581" i="2"/>
  <c r="AX581" i="2"/>
  <c r="J581" i="1"/>
  <c r="AW581" i="2"/>
  <c r="I581" i="1"/>
  <c r="AV581" i="2"/>
  <c r="AU581" i="2"/>
  <c r="AT581" i="2"/>
  <c r="AS581" i="2"/>
  <c r="AR581" i="2"/>
  <c r="AQ581" i="2"/>
  <c r="AP581" i="2"/>
  <c r="AO581" i="2"/>
  <c r="AL581" i="2"/>
  <c r="AK581" i="2"/>
  <c r="BQ580" i="2"/>
  <c r="BP580" i="2"/>
  <c r="AB580" i="1"/>
  <c r="BO580" i="2"/>
  <c r="AA580" i="1"/>
  <c r="BN580" i="2"/>
  <c r="BM580" i="2"/>
  <c r="BL580" i="2"/>
  <c r="BK580" i="2"/>
  <c r="W580" i="1"/>
  <c r="BJ580" i="2"/>
  <c r="BI580" i="2"/>
  <c r="BH580" i="2"/>
  <c r="T580" i="1"/>
  <c r="BG580" i="2"/>
  <c r="BF580" i="2"/>
  <c r="BE580" i="2"/>
  <c r="BD580" i="2"/>
  <c r="BC580" i="2"/>
  <c r="BB580" i="2"/>
  <c r="BA580" i="2"/>
  <c r="AZ580" i="2"/>
  <c r="AY580" i="2"/>
  <c r="AX580" i="2"/>
  <c r="J580" i="1"/>
  <c r="AW580" i="2"/>
  <c r="I580" i="1"/>
  <c r="AV580" i="2"/>
  <c r="AU580" i="2"/>
  <c r="AT580" i="2"/>
  <c r="AS580" i="2"/>
  <c r="AR580" i="2"/>
  <c r="AQ580" i="2"/>
  <c r="AP580" i="2"/>
  <c r="AO580" i="2"/>
  <c r="AL580" i="2"/>
  <c r="AK580" i="2"/>
  <c r="BQ579" i="2"/>
  <c r="BP579" i="2"/>
  <c r="AB579" i="1"/>
  <c r="BO579" i="2"/>
  <c r="AA579" i="1"/>
  <c r="BN579" i="2"/>
  <c r="BM579" i="2"/>
  <c r="BL579" i="2"/>
  <c r="BK579" i="2"/>
  <c r="W579" i="1"/>
  <c r="BJ579" i="2"/>
  <c r="BI579" i="2"/>
  <c r="BH579" i="2"/>
  <c r="T579" i="1"/>
  <c r="BG579" i="2"/>
  <c r="BF579" i="2"/>
  <c r="BE579" i="2"/>
  <c r="BD579" i="2"/>
  <c r="BC579" i="2"/>
  <c r="BB579" i="2"/>
  <c r="BA579" i="2"/>
  <c r="AZ579" i="2"/>
  <c r="AY579" i="2"/>
  <c r="AX579" i="2"/>
  <c r="J579" i="1"/>
  <c r="AW579" i="2"/>
  <c r="I579" i="1"/>
  <c r="AV579" i="2"/>
  <c r="AU579" i="2"/>
  <c r="AT579" i="2"/>
  <c r="AS579" i="2"/>
  <c r="AR579" i="2"/>
  <c r="AQ579" i="2"/>
  <c r="AP579" i="2"/>
  <c r="AO579" i="2"/>
  <c r="AL579" i="2"/>
  <c r="AK579" i="2"/>
  <c r="BQ578" i="2"/>
  <c r="BP578" i="2"/>
  <c r="AB578" i="1"/>
  <c r="BO578" i="2"/>
  <c r="AA578" i="1"/>
  <c r="BN578" i="2"/>
  <c r="BM578" i="2"/>
  <c r="BL578" i="2"/>
  <c r="BK578" i="2"/>
  <c r="W578" i="1"/>
  <c r="BJ578" i="2"/>
  <c r="BI578" i="2"/>
  <c r="BH578" i="2"/>
  <c r="T578" i="1"/>
  <c r="BG578" i="2"/>
  <c r="BF578" i="2"/>
  <c r="BE578" i="2"/>
  <c r="BD578" i="2"/>
  <c r="BC578" i="2"/>
  <c r="BB578" i="2"/>
  <c r="BA578" i="2"/>
  <c r="AZ578" i="2"/>
  <c r="AY578" i="2"/>
  <c r="AX578" i="2"/>
  <c r="J578" i="1"/>
  <c r="AW578" i="2"/>
  <c r="I578" i="1"/>
  <c r="AV578" i="2"/>
  <c r="AU578" i="2"/>
  <c r="AT578" i="2"/>
  <c r="AS578" i="2"/>
  <c r="AR578" i="2"/>
  <c r="AQ578" i="2"/>
  <c r="AP578" i="2"/>
  <c r="AO578" i="2"/>
  <c r="AL578" i="2"/>
  <c r="AK578" i="2"/>
  <c r="BQ577" i="2"/>
  <c r="BP577" i="2"/>
  <c r="AB577" i="1"/>
  <c r="BO577" i="2"/>
  <c r="AA577" i="1"/>
  <c r="BN577" i="2"/>
  <c r="BM577" i="2"/>
  <c r="BL577" i="2"/>
  <c r="BK577" i="2"/>
  <c r="W577" i="1"/>
  <c r="BJ577" i="2"/>
  <c r="BI577" i="2"/>
  <c r="BH577" i="2"/>
  <c r="T577" i="1"/>
  <c r="BG577" i="2"/>
  <c r="BF577" i="2"/>
  <c r="BE577" i="2"/>
  <c r="BD577" i="2"/>
  <c r="BC577" i="2"/>
  <c r="BB577" i="2"/>
  <c r="BA577" i="2"/>
  <c r="AZ577" i="2"/>
  <c r="AY577" i="2"/>
  <c r="AX577" i="2"/>
  <c r="J577" i="1"/>
  <c r="AW577" i="2"/>
  <c r="I577" i="1"/>
  <c r="AV577" i="2"/>
  <c r="AU577" i="2"/>
  <c r="AT577" i="2"/>
  <c r="AS577" i="2"/>
  <c r="AR577" i="2"/>
  <c r="AQ577" i="2"/>
  <c r="AP577" i="2"/>
  <c r="AO577" i="2"/>
  <c r="AL577" i="2"/>
  <c r="AK577" i="2"/>
  <c r="BQ576" i="2"/>
  <c r="BP576" i="2"/>
  <c r="AB576" i="1"/>
  <c r="BO576" i="2"/>
  <c r="AA576" i="1"/>
  <c r="BN576" i="2"/>
  <c r="BM576" i="2"/>
  <c r="BL576" i="2"/>
  <c r="BK576" i="2"/>
  <c r="W576" i="1"/>
  <c r="BJ576" i="2"/>
  <c r="BI576" i="2"/>
  <c r="BH576" i="2"/>
  <c r="T576" i="1"/>
  <c r="BG576" i="2"/>
  <c r="BF576" i="2"/>
  <c r="BE576" i="2"/>
  <c r="BD576" i="2"/>
  <c r="BC576" i="2"/>
  <c r="BB576" i="2"/>
  <c r="BA576" i="2"/>
  <c r="AZ576" i="2"/>
  <c r="AY576" i="2"/>
  <c r="AX576" i="2"/>
  <c r="J576" i="1"/>
  <c r="AW576" i="2"/>
  <c r="I576" i="1"/>
  <c r="AV576" i="2"/>
  <c r="AU576" i="2"/>
  <c r="AT576" i="2"/>
  <c r="AS576" i="2"/>
  <c r="AR576" i="2"/>
  <c r="AQ576" i="2"/>
  <c r="AP576" i="2"/>
  <c r="AO576" i="2"/>
  <c r="AL576" i="2"/>
  <c r="AK576" i="2"/>
  <c r="BQ575" i="2"/>
  <c r="BP575" i="2"/>
  <c r="AB575" i="1"/>
  <c r="BO575" i="2"/>
  <c r="AA575" i="1"/>
  <c r="BN575" i="2"/>
  <c r="BM575" i="2"/>
  <c r="BL575" i="2"/>
  <c r="BK575" i="2"/>
  <c r="W575" i="1"/>
  <c r="BJ575" i="2"/>
  <c r="BI575" i="2"/>
  <c r="BH575" i="2"/>
  <c r="T575" i="1"/>
  <c r="BG575" i="2"/>
  <c r="BF575" i="2"/>
  <c r="BE575" i="2"/>
  <c r="BD575" i="2"/>
  <c r="BC575" i="2"/>
  <c r="BB575" i="2"/>
  <c r="BA575" i="2"/>
  <c r="AZ575" i="2"/>
  <c r="AY575" i="2"/>
  <c r="AX575" i="2"/>
  <c r="J575" i="1"/>
  <c r="AW575" i="2"/>
  <c r="I575" i="1"/>
  <c r="AV575" i="2"/>
  <c r="AU575" i="2"/>
  <c r="AT575" i="2"/>
  <c r="AS575" i="2"/>
  <c r="AR575" i="2"/>
  <c r="AQ575" i="2"/>
  <c r="AP575" i="2"/>
  <c r="AO575" i="2"/>
  <c r="AL575" i="2"/>
  <c r="AK575" i="2"/>
  <c r="BQ574" i="2"/>
  <c r="BP574" i="2"/>
  <c r="AB574" i="1"/>
  <c r="BO574" i="2"/>
  <c r="AA574" i="1"/>
  <c r="BN574" i="2"/>
  <c r="BM574" i="2"/>
  <c r="BL574" i="2"/>
  <c r="BK574" i="2"/>
  <c r="W574" i="1"/>
  <c r="BJ574" i="2"/>
  <c r="BI574" i="2"/>
  <c r="BH574" i="2"/>
  <c r="T574" i="1"/>
  <c r="BG574" i="2"/>
  <c r="BF574" i="2"/>
  <c r="BE574" i="2"/>
  <c r="BD574" i="2"/>
  <c r="BC574" i="2"/>
  <c r="BB574" i="2"/>
  <c r="BA574" i="2"/>
  <c r="AZ574" i="2"/>
  <c r="AY574" i="2"/>
  <c r="AX574" i="2"/>
  <c r="J574" i="1"/>
  <c r="AW574" i="2"/>
  <c r="I574" i="1"/>
  <c r="AV574" i="2"/>
  <c r="AU574" i="2"/>
  <c r="AT574" i="2"/>
  <c r="AS574" i="2"/>
  <c r="AR574" i="2"/>
  <c r="AQ574" i="2"/>
  <c r="AP574" i="2"/>
  <c r="AO574" i="2"/>
  <c r="AL574" i="2"/>
  <c r="AK574" i="2"/>
  <c r="BQ573" i="2"/>
  <c r="BP573" i="2"/>
  <c r="AB573" i="1"/>
  <c r="BO573" i="2"/>
  <c r="AA573" i="1"/>
  <c r="BN573" i="2"/>
  <c r="BM573" i="2"/>
  <c r="BL573" i="2"/>
  <c r="BK573" i="2"/>
  <c r="W573" i="1"/>
  <c r="BJ573" i="2"/>
  <c r="BI573" i="2"/>
  <c r="BH573" i="2"/>
  <c r="T573" i="1"/>
  <c r="BG573" i="2"/>
  <c r="BF573" i="2"/>
  <c r="BE573" i="2"/>
  <c r="BD573" i="2"/>
  <c r="BC573" i="2"/>
  <c r="BB573" i="2"/>
  <c r="BA573" i="2"/>
  <c r="AZ573" i="2"/>
  <c r="AY573" i="2"/>
  <c r="AX573" i="2"/>
  <c r="J573" i="1"/>
  <c r="AW573" i="2"/>
  <c r="I573" i="1"/>
  <c r="AV573" i="2"/>
  <c r="AU573" i="2"/>
  <c r="AT573" i="2"/>
  <c r="AS573" i="2"/>
  <c r="AR573" i="2"/>
  <c r="AQ573" i="2"/>
  <c r="AP573" i="2"/>
  <c r="AO573" i="2"/>
  <c r="AL573" i="2"/>
  <c r="AK573" i="2"/>
  <c r="BQ572" i="2"/>
  <c r="BP572" i="2"/>
  <c r="AB572" i="1"/>
  <c r="BO572" i="2"/>
  <c r="AA572" i="1"/>
  <c r="BN572" i="2"/>
  <c r="BM572" i="2"/>
  <c r="BL572" i="2"/>
  <c r="BK572" i="2"/>
  <c r="W572" i="1"/>
  <c r="BJ572" i="2"/>
  <c r="BI572" i="2"/>
  <c r="BH572" i="2"/>
  <c r="T572" i="1"/>
  <c r="BG572" i="2"/>
  <c r="BF572" i="2"/>
  <c r="BE572" i="2"/>
  <c r="BD572" i="2"/>
  <c r="BC572" i="2"/>
  <c r="BB572" i="2"/>
  <c r="BA572" i="2"/>
  <c r="AZ572" i="2"/>
  <c r="AY572" i="2"/>
  <c r="AX572" i="2"/>
  <c r="J572" i="1"/>
  <c r="AW572" i="2"/>
  <c r="I572" i="1"/>
  <c r="AV572" i="2"/>
  <c r="AU572" i="2"/>
  <c r="AT572" i="2"/>
  <c r="AS572" i="2"/>
  <c r="AR572" i="2"/>
  <c r="AQ572" i="2"/>
  <c r="AP572" i="2"/>
  <c r="AO572" i="2"/>
  <c r="AL572" i="2"/>
  <c r="AK572" i="2"/>
  <c r="BQ571" i="2"/>
  <c r="BP571" i="2"/>
  <c r="AB571" i="1"/>
  <c r="BO571" i="2"/>
  <c r="AA571" i="1"/>
  <c r="BN571" i="2"/>
  <c r="BM571" i="2"/>
  <c r="BL571" i="2"/>
  <c r="BK571" i="2"/>
  <c r="W571" i="1"/>
  <c r="BJ571" i="2"/>
  <c r="BI571" i="2"/>
  <c r="BH571" i="2"/>
  <c r="T571" i="1"/>
  <c r="BG571" i="2"/>
  <c r="BF571" i="2"/>
  <c r="BE571" i="2"/>
  <c r="BD571" i="2"/>
  <c r="BC571" i="2"/>
  <c r="BB571" i="2"/>
  <c r="BA571" i="2"/>
  <c r="AZ571" i="2"/>
  <c r="AY571" i="2"/>
  <c r="AX571" i="2"/>
  <c r="J571" i="1"/>
  <c r="AW571" i="2"/>
  <c r="I571" i="1"/>
  <c r="AV571" i="2"/>
  <c r="AU571" i="2"/>
  <c r="AT571" i="2"/>
  <c r="AS571" i="2"/>
  <c r="AR571" i="2"/>
  <c r="AQ571" i="2"/>
  <c r="AP571" i="2"/>
  <c r="AO571" i="2"/>
  <c r="AL571" i="2"/>
  <c r="AK571" i="2"/>
  <c r="BQ570" i="2"/>
  <c r="BP570" i="2"/>
  <c r="AB570" i="1"/>
  <c r="BO570" i="2"/>
  <c r="AA570" i="1"/>
  <c r="BN570" i="2"/>
  <c r="BM570" i="2"/>
  <c r="BL570" i="2"/>
  <c r="BK570" i="2"/>
  <c r="W570" i="1"/>
  <c r="BJ570" i="2"/>
  <c r="BI570" i="2"/>
  <c r="BH570" i="2"/>
  <c r="T570" i="1"/>
  <c r="BG570" i="2"/>
  <c r="BF570" i="2"/>
  <c r="BE570" i="2"/>
  <c r="BD570" i="2"/>
  <c r="BC570" i="2"/>
  <c r="BB570" i="2"/>
  <c r="BA570" i="2"/>
  <c r="AZ570" i="2"/>
  <c r="AY570" i="2"/>
  <c r="AX570" i="2"/>
  <c r="J570" i="1"/>
  <c r="AW570" i="2"/>
  <c r="I570" i="1"/>
  <c r="AV570" i="2"/>
  <c r="AU570" i="2"/>
  <c r="AT570" i="2"/>
  <c r="AS570" i="2"/>
  <c r="AR570" i="2"/>
  <c r="AQ570" i="2"/>
  <c r="AP570" i="2"/>
  <c r="AO570" i="2"/>
  <c r="AL570" i="2"/>
  <c r="AK570" i="2"/>
  <c r="BQ569" i="2"/>
  <c r="BP569" i="2"/>
  <c r="AB569" i="1"/>
  <c r="BO569" i="2"/>
  <c r="AA569" i="1"/>
  <c r="BN569" i="2"/>
  <c r="BM569" i="2"/>
  <c r="BL569" i="2"/>
  <c r="BK569" i="2"/>
  <c r="W569" i="1"/>
  <c r="BJ569" i="2"/>
  <c r="BI569" i="2"/>
  <c r="BH569" i="2"/>
  <c r="T569" i="1"/>
  <c r="BG569" i="2"/>
  <c r="BF569" i="2"/>
  <c r="BE569" i="2"/>
  <c r="BD569" i="2"/>
  <c r="BC569" i="2"/>
  <c r="BB569" i="2"/>
  <c r="BA569" i="2"/>
  <c r="AZ569" i="2"/>
  <c r="AY569" i="2"/>
  <c r="AX569" i="2"/>
  <c r="J569" i="1"/>
  <c r="AW569" i="2"/>
  <c r="I569" i="1"/>
  <c r="AV569" i="2"/>
  <c r="AU569" i="2"/>
  <c r="AT569" i="2"/>
  <c r="AS569" i="2"/>
  <c r="AR569" i="2"/>
  <c r="AQ569" i="2"/>
  <c r="AP569" i="2"/>
  <c r="AO569" i="2"/>
  <c r="AL569" i="2"/>
  <c r="AK569" i="2"/>
  <c r="BQ568" i="2"/>
  <c r="BP568" i="2"/>
  <c r="AB568" i="1"/>
  <c r="BO568" i="2"/>
  <c r="AA568" i="1"/>
  <c r="BN568" i="2"/>
  <c r="BM568" i="2"/>
  <c r="BL568" i="2"/>
  <c r="BK568" i="2"/>
  <c r="W568" i="1"/>
  <c r="BJ568" i="2"/>
  <c r="BI568" i="2"/>
  <c r="BH568" i="2"/>
  <c r="T568" i="1"/>
  <c r="BG568" i="2"/>
  <c r="BF568" i="2"/>
  <c r="BE568" i="2"/>
  <c r="BD568" i="2"/>
  <c r="BC568" i="2"/>
  <c r="BB568" i="2"/>
  <c r="BA568" i="2"/>
  <c r="AZ568" i="2"/>
  <c r="AY568" i="2"/>
  <c r="AX568" i="2"/>
  <c r="J568" i="1"/>
  <c r="AW568" i="2"/>
  <c r="I568" i="1"/>
  <c r="AV568" i="2"/>
  <c r="AU568" i="2"/>
  <c r="AT568" i="2"/>
  <c r="AS568" i="2"/>
  <c r="AR568" i="2"/>
  <c r="AQ568" i="2"/>
  <c r="AP568" i="2"/>
  <c r="AO568" i="2"/>
  <c r="AL568" i="2"/>
  <c r="AK568" i="2"/>
  <c r="BQ567" i="2"/>
  <c r="BP567" i="2"/>
  <c r="AB567" i="1"/>
  <c r="BO567" i="2"/>
  <c r="AA567" i="1"/>
  <c r="BN567" i="2"/>
  <c r="BM567" i="2"/>
  <c r="BL567" i="2"/>
  <c r="BK567" i="2"/>
  <c r="W567" i="1"/>
  <c r="BJ567" i="2"/>
  <c r="BI567" i="2"/>
  <c r="BH567" i="2"/>
  <c r="T567" i="1"/>
  <c r="BG567" i="2"/>
  <c r="BF567" i="2"/>
  <c r="BE567" i="2"/>
  <c r="BD567" i="2"/>
  <c r="BC567" i="2"/>
  <c r="BB567" i="2"/>
  <c r="BA567" i="2"/>
  <c r="AZ567" i="2"/>
  <c r="AY567" i="2"/>
  <c r="AX567" i="2"/>
  <c r="J567" i="1"/>
  <c r="AW567" i="2"/>
  <c r="I567" i="1"/>
  <c r="AV567" i="2"/>
  <c r="AU567" i="2"/>
  <c r="AT567" i="2"/>
  <c r="AS567" i="2"/>
  <c r="AR567" i="2"/>
  <c r="AQ567" i="2"/>
  <c r="AP567" i="2"/>
  <c r="AO567" i="2"/>
  <c r="AL567" i="2"/>
  <c r="AK567" i="2"/>
  <c r="BQ566" i="2"/>
  <c r="BP566" i="2"/>
  <c r="AB566" i="1"/>
  <c r="BO566" i="2"/>
  <c r="AA566" i="1"/>
  <c r="BN566" i="2"/>
  <c r="BM566" i="2"/>
  <c r="BL566" i="2"/>
  <c r="BK566" i="2"/>
  <c r="W566" i="1"/>
  <c r="BJ566" i="2"/>
  <c r="BI566" i="2"/>
  <c r="BH566" i="2"/>
  <c r="T566" i="1"/>
  <c r="BG566" i="2"/>
  <c r="BF566" i="2"/>
  <c r="BE566" i="2"/>
  <c r="BD566" i="2"/>
  <c r="BC566" i="2"/>
  <c r="BB566" i="2"/>
  <c r="BA566" i="2"/>
  <c r="AZ566" i="2"/>
  <c r="AY566" i="2"/>
  <c r="AX566" i="2"/>
  <c r="J566" i="1"/>
  <c r="AW566" i="2"/>
  <c r="I566" i="1"/>
  <c r="AV566" i="2"/>
  <c r="AU566" i="2"/>
  <c r="AT566" i="2"/>
  <c r="AS566" i="2"/>
  <c r="AR566" i="2"/>
  <c r="AQ566" i="2"/>
  <c r="AP566" i="2"/>
  <c r="AO566" i="2"/>
  <c r="AL566" i="2"/>
  <c r="AK566" i="2"/>
  <c r="BQ565" i="2"/>
  <c r="BP565" i="2"/>
  <c r="AB565" i="1"/>
  <c r="BO565" i="2"/>
  <c r="AA565" i="1"/>
  <c r="BN565" i="2"/>
  <c r="BM565" i="2"/>
  <c r="BL565" i="2"/>
  <c r="BK565" i="2"/>
  <c r="W565" i="1"/>
  <c r="BJ565" i="2"/>
  <c r="BI565" i="2"/>
  <c r="BH565" i="2"/>
  <c r="T565" i="1"/>
  <c r="BG565" i="2"/>
  <c r="BF565" i="2"/>
  <c r="BE565" i="2"/>
  <c r="BD565" i="2"/>
  <c r="BC565" i="2"/>
  <c r="BB565" i="2"/>
  <c r="BA565" i="2"/>
  <c r="AZ565" i="2"/>
  <c r="AY565" i="2"/>
  <c r="AX565" i="2"/>
  <c r="J565" i="1"/>
  <c r="AW565" i="2"/>
  <c r="I565" i="1"/>
  <c r="AV565" i="2"/>
  <c r="AU565" i="2"/>
  <c r="AT565" i="2"/>
  <c r="AS565" i="2"/>
  <c r="AR565" i="2"/>
  <c r="AQ565" i="2"/>
  <c r="AP565" i="2"/>
  <c r="AO565" i="2"/>
  <c r="AL565" i="2"/>
  <c r="AK565" i="2"/>
  <c r="BQ564" i="2"/>
  <c r="BP564" i="2"/>
  <c r="AB564" i="1"/>
  <c r="BO564" i="2"/>
  <c r="AA564" i="1"/>
  <c r="BN564" i="2"/>
  <c r="BM564" i="2"/>
  <c r="BL564" i="2"/>
  <c r="BK564" i="2"/>
  <c r="W564" i="1"/>
  <c r="BJ564" i="2"/>
  <c r="BI564" i="2"/>
  <c r="BH564" i="2"/>
  <c r="T564" i="1"/>
  <c r="BG564" i="2"/>
  <c r="BF564" i="2"/>
  <c r="BE564" i="2"/>
  <c r="BD564" i="2"/>
  <c r="BC564" i="2"/>
  <c r="BB564" i="2"/>
  <c r="BA564" i="2"/>
  <c r="AZ564" i="2"/>
  <c r="AY564" i="2"/>
  <c r="AX564" i="2"/>
  <c r="J564" i="1"/>
  <c r="AW564" i="2"/>
  <c r="I564" i="1"/>
  <c r="AV564" i="2"/>
  <c r="AU564" i="2"/>
  <c r="AT564" i="2"/>
  <c r="AS564" i="2"/>
  <c r="AR564" i="2"/>
  <c r="AQ564" i="2"/>
  <c r="AP564" i="2"/>
  <c r="AO564" i="2"/>
  <c r="AL564" i="2"/>
  <c r="AK564" i="2"/>
  <c r="BQ563" i="2"/>
  <c r="BP563" i="2"/>
  <c r="AB563" i="1"/>
  <c r="BO563" i="2"/>
  <c r="AA563" i="1"/>
  <c r="BN563" i="2"/>
  <c r="BM563" i="2"/>
  <c r="BL563" i="2"/>
  <c r="BK563" i="2"/>
  <c r="W563" i="1"/>
  <c r="BJ563" i="2"/>
  <c r="BI563" i="2"/>
  <c r="BH563" i="2"/>
  <c r="T563" i="1"/>
  <c r="BG563" i="2"/>
  <c r="BF563" i="2"/>
  <c r="BE563" i="2"/>
  <c r="BD563" i="2"/>
  <c r="BC563" i="2"/>
  <c r="BB563" i="2"/>
  <c r="BA563" i="2"/>
  <c r="AZ563" i="2"/>
  <c r="AY563" i="2"/>
  <c r="AX563" i="2"/>
  <c r="J563" i="1"/>
  <c r="AW563" i="2"/>
  <c r="I563" i="1"/>
  <c r="AV563" i="2"/>
  <c r="AU563" i="2"/>
  <c r="AT563" i="2"/>
  <c r="AS563" i="2"/>
  <c r="AR563" i="2"/>
  <c r="AQ563" i="2"/>
  <c r="AP563" i="2"/>
  <c r="AO563" i="2"/>
  <c r="AL563" i="2"/>
  <c r="AK563" i="2"/>
  <c r="BQ562" i="2"/>
  <c r="BP562" i="2"/>
  <c r="AB562" i="1"/>
  <c r="BO562" i="2"/>
  <c r="AA562" i="1"/>
  <c r="BN562" i="2"/>
  <c r="BM562" i="2"/>
  <c r="BL562" i="2"/>
  <c r="BK562" i="2"/>
  <c r="W562" i="1"/>
  <c r="BJ562" i="2"/>
  <c r="BI562" i="2"/>
  <c r="BH562" i="2"/>
  <c r="T562" i="1"/>
  <c r="BG562" i="2"/>
  <c r="BF562" i="2"/>
  <c r="BE562" i="2"/>
  <c r="BD562" i="2"/>
  <c r="BC562" i="2"/>
  <c r="BB562" i="2"/>
  <c r="BA562" i="2"/>
  <c r="AZ562" i="2"/>
  <c r="AY562" i="2"/>
  <c r="AX562" i="2"/>
  <c r="J562" i="1"/>
  <c r="AW562" i="2"/>
  <c r="I562" i="1"/>
  <c r="AV562" i="2"/>
  <c r="AU562" i="2"/>
  <c r="AT562" i="2"/>
  <c r="AS562" i="2"/>
  <c r="AR562" i="2"/>
  <c r="AQ562" i="2"/>
  <c r="AP562" i="2"/>
  <c r="AO562" i="2"/>
  <c r="AL562" i="2"/>
  <c r="AK562" i="2"/>
  <c r="BQ561" i="2"/>
  <c r="BP561" i="2"/>
  <c r="AB561" i="1"/>
  <c r="BO561" i="2"/>
  <c r="AA561" i="1"/>
  <c r="BN561" i="2"/>
  <c r="BM561" i="2"/>
  <c r="BL561" i="2"/>
  <c r="BK561" i="2"/>
  <c r="W561" i="1"/>
  <c r="BJ561" i="2"/>
  <c r="BI561" i="2"/>
  <c r="BH561" i="2"/>
  <c r="T561" i="1"/>
  <c r="BG561" i="2"/>
  <c r="BF561" i="2"/>
  <c r="BE561" i="2"/>
  <c r="BD561" i="2"/>
  <c r="BC561" i="2"/>
  <c r="BB561" i="2"/>
  <c r="BA561" i="2"/>
  <c r="AZ561" i="2"/>
  <c r="AY561" i="2"/>
  <c r="AX561" i="2"/>
  <c r="J561" i="1"/>
  <c r="AW561" i="2"/>
  <c r="I561" i="1"/>
  <c r="AV561" i="2"/>
  <c r="AU561" i="2"/>
  <c r="AT561" i="2"/>
  <c r="AS561" i="2"/>
  <c r="AR561" i="2"/>
  <c r="AQ561" i="2"/>
  <c r="AP561" i="2"/>
  <c r="AO561" i="2"/>
  <c r="AL561" i="2"/>
  <c r="AK561" i="2"/>
  <c r="BQ560" i="2"/>
  <c r="BP560" i="2"/>
  <c r="AB560" i="1"/>
  <c r="BO560" i="2"/>
  <c r="AA560" i="1"/>
  <c r="BN560" i="2"/>
  <c r="BM560" i="2"/>
  <c r="BL560" i="2"/>
  <c r="BK560" i="2"/>
  <c r="W560" i="1"/>
  <c r="BJ560" i="2"/>
  <c r="BI560" i="2"/>
  <c r="BH560" i="2"/>
  <c r="T560" i="1"/>
  <c r="BG560" i="2"/>
  <c r="BF560" i="2"/>
  <c r="BE560" i="2"/>
  <c r="BD560" i="2"/>
  <c r="BC560" i="2"/>
  <c r="BB560" i="2"/>
  <c r="BA560" i="2"/>
  <c r="AZ560" i="2"/>
  <c r="AY560" i="2"/>
  <c r="AX560" i="2"/>
  <c r="J560" i="1"/>
  <c r="AW560" i="2"/>
  <c r="I560" i="1"/>
  <c r="AV560" i="2"/>
  <c r="AU560" i="2"/>
  <c r="AT560" i="2"/>
  <c r="AS560" i="2"/>
  <c r="AR560" i="2"/>
  <c r="AQ560" i="2"/>
  <c r="AP560" i="2"/>
  <c r="AO560" i="2"/>
  <c r="AL560" i="2"/>
  <c r="AK560" i="2"/>
  <c r="BQ559" i="2"/>
  <c r="BP559" i="2"/>
  <c r="AB559" i="1"/>
  <c r="BO559" i="2"/>
  <c r="AA559" i="1"/>
  <c r="BN559" i="2"/>
  <c r="BM559" i="2"/>
  <c r="BL559" i="2"/>
  <c r="BK559" i="2"/>
  <c r="W559" i="1"/>
  <c r="BJ559" i="2"/>
  <c r="BI559" i="2"/>
  <c r="BH559" i="2"/>
  <c r="T559" i="1"/>
  <c r="BG559" i="2"/>
  <c r="BF559" i="2"/>
  <c r="BE559" i="2"/>
  <c r="BD559" i="2"/>
  <c r="BC559" i="2"/>
  <c r="BB559" i="2"/>
  <c r="BA559" i="2"/>
  <c r="AZ559" i="2"/>
  <c r="AY559" i="2"/>
  <c r="AX559" i="2"/>
  <c r="J559" i="1"/>
  <c r="AW559" i="2"/>
  <c r="I559" i="1"/>
  <c r="AV559" i="2"/>
  <c r="AU559" i="2"/>
  <c r="AT559" i="2"/>
  <c r="AS559" i="2"/>
  <c r="AR559" i="2"/>
  <c r="AQ559" i="2"/>
  <c r="AP559" i="2"/>
  <c r="AO559" i="2"/>
  <c r="AL559" i="2"/>
  <c r="AK559" i="2"/>
  <c r="BQ558" i="2"/>
  <c r="BP558" i="2"/>
  <c r="AB558" i="1"/>
  <c r="BO558" i="2"/>
  <c r="AA558" i="1"/>
  <c r="BN558" i="2"/>
  <c r="BM558" i="2"/>
  <c r="BL558" i="2"/>
  <c r="BK558" i="2"/>
  <c r="W558" i="1"/>
  <c r="BJ558" i="2"/>
  <c r="BI558" i="2"/>
  <c r="BH558" i="2"/>
  <c r="T558" i="1"/>
  <c r="BG558" i="2"/>
  <c r="BF558" i="2"/>
  <c r="BE558" i="2"/>
  <c r="BD558" i="2"/>
  <c r="BC558" i="2"/>
  <c r="BB558" i="2"/>
  <c r="BA558" i="2"/>
  <c r="AZ558" i="2"/>
  <c r="AY558" i="2"/>
  <c r="AX558" i="2"/>
  <c r="J558" i="1"/>
  <c r="AW558" i="2"/>
  <c r="I558" i="1"/>
  <c r="AV558" i="2"/>
  <c r="AU558" i="2"/>
  <c r="AT558" i="2"/>
  <c r="AS558" i="2"/>
  <c r="AR558" i="2"/>
  <c r="AQ558" i="2"/>
  <c r="AP558" i="2"/>
  <c r="AO558" i="2"/>
  <c r="AL558" i="2"/>
  <c r="AK558" i="2"/>
  <c r="BQ557" i="2"/>
  <c r="BP557" i="2"/>
  <c r="AB557" i="1"/>
  <c r="BO557" i="2"/>
  <c r="AA557" i="1"/>
  <c r="BN557" i="2"/>
  <c r="BM557" i="2"/>
  <c r="BL557" i="2"/>
  <c r="BK557" i="2"/>
  <c r="W557" i="1"/>
  <c r="BJ557" i="2"/>
  <c r="BI557" i="2"/>
  <c r="BH557" i="2"/>
  <c r="T557" i="1"/>
  <c r="BG557" i="2"/>
  <c r="BF557" i="2"/>
  <c r="BE557" i="2"/>
  <c r="BD557" i="2"/>
  <c r="BC557" i="2"/>
  <c r="BB557" i="2"/>
  <c r="BA557" i="2"/>
  <c r="AZ557" i="2"/>
  <c r="AY557" i="2"/>
  <c r="AX557" i="2"/>
  <c r="J557" i="1"/>
  <c r="AW557" i="2"/>
  <c r="I557" i="1"/>
  <c r="AV557" i="2"/>
  <c r="AU557" i="2"/>
  <c r="AT557" i="2"/>
  <c r="AS557" i="2"/>
  <c r="AR557" i="2"/>
  <c r="AQ557" i="2"/>
  <c r="AP557" i="2"/>
  <c r="AO557" i="2"/>
  <c r="AL557" i="2"/>
  <c r="AK557" i="2"/>
  <c r="BQ556" i="2"/>
  <c r="BP556" i="2"/>
  <c r="AB556" i="1"/>
  <c r="BO556" i="2"/>
  <c r="AA556" i="1"/>
  <c r="BN556" i="2"/>
  <c r="BM556" i="2"/>
  <c r="BL556" i="2"/>
  <c r="BK556" i="2"/>
  <c r="W556" i="1"/>
  <c r="BJ556" i="2"/>
  <c r="BI556" i="2"/>
  <c r="BH556" i="2"/>
  <c r="T556" i="1"/>
  <c r="BG556" i="2"/>
  <c r="BF556" i="2"/>
  <c r="BE556" i="2"/>
  <c r="BD556" i="2"/>
  <c r="BC556" i="2"/>
  <c r="BB556" i="2"/>
  <c r="BA556" i="2"/>
  <c r="AZ556" i="2"/>
  <c r="AY556" i="2"/>
  <c r="AX556" i="2"/>
  <c r="J556" i="1"/>
  <c r="AW556" i="2"/>
  <c r="I556" i="1"/>
  <c r="AV556" i="2"/>
  <c r="AU556" i="2"/>
  <c r="AT556" i="2"/>
  <c r="AS556" i="2"/>
  <c r="AR556" i="2"/>
  <c r="AQ556" i="2"/>
  <c r="AP556" i="2"/>
  <c r="AO556" i="2"/>
  <c r="AL556" i="2"/>
  <c r="AK556" i="2"/>
  <c r="BQ555" i="2"/>
  <c r="BP555" i="2"/>
  <c r="AB555" i="1"/>
  <c r="BO555" i="2"/>
  <c r="AA555" i="1"/>
  <c r="BN555" i="2"/>
  <c r="BM555" i="2"/>
  <c r="BL555" i="2"/>
  <c r="BK555" i="2"/>
  <c r="W555" i="1"/>
  <c r="BJ555" i="2"/>
  <c r="BI555" i="2"/>
  <c r="BH555" i="2"/>
  <c r="T555" i="1"/>
  <c r="BG555" i="2"/>
  <c r="BF555" i="2"/>
  <c r="BE555" i="2"/>
  <c r="BD555" i="2"/>
  <c r="BC555" i="2"/>
  <c r="BB555" i="2"/>
  <c r="BA555" i="2"/>
  <c r="AZ555" i="2"/>
  <c r="AY555" i="2"/>
  <c r="AX555" i="2"/>
  <c r="J555" i="1"/>
  <c r="AW555" i="2"/>
  <c r="I555" i="1"/>
  <c r="AV555" i="2"/>
  <c r="AU555" i="2"/>
  <c r="AT555" i="2"/>
  <c r="AS555" i="2"/>
  <c r="AR555" i="2"/>
  <c r="AQ555" i="2"/>
  <c r="AP555" i="2"/>
  <c r="AO555" i="2"/>
  <c r="AL555" i="2"/>
  <c r="AK555" i="2"/>
  <c r="BQ554" i="2"/>
  <c r="BP554" i="2"/>
  <c r="AB554" i="1"/>
  <c r="BO554" i="2"/>
  <c r="AA554" i="1"/>
  <c r="BN554" i="2"/>
  <c r="BM554" i="2"/>
  <c r="BL554" i="2"/>
  <c r="BK554" i="2"/>
  <c r="W554" i="1"/>
  <c r="BJ554" i="2"/>
  <c r="BI554" i="2"/>
  <c r="BH554" i="2"/>
  <c r="T554" i="1"/>
  <c r="BG554" i="2"/>
  <c r="BF554" i="2"/>
  <c r="BE554" i="2"/>
  <c r="BD554" i="2"/>
  <c r="BC554" i="2"/>
  <c r="BB554" i="2"/>
  <c r="BA554" i="2"/>
  <c r="AZ554" i="2"/>
  <c r="AY554" i="2"/>
  <c r="AX554" i="2"/>
  <c r="J554" i="1"/>
  <c r="AW554" i="2"/>
  <c r="I554" i="1"/>
  <c r="AV554" i="2"/>
  <c r="AU554" i="2"/>
  <c r="AT554" i="2"/>
  <c r="AS554" i="2"/>
  <c r="AR554" i="2"/>
  <c r="AQ554" i="2"/>
  <c r="AP554" i="2"/>
  <c r="AO554" i="2"/>
  <c r="AL554" i="2"/>
  <c r="AK554" i="2"/>
  <c r="BQ553" i="2"/>
  <c r="BP553" i="2"/>
  <c r="AB553" i="1"/>
  <c r="BO553" i="2"/>
  <c r="AA553" i="1"/>
  <c r="BN553" i="2"/>
  <c r="BM553" i="2"/>
  <c r="BL553" i="2"/>
  <c r="BK553" i="2"/>
  <c r="W553" i="1"/>
  <c r="BJ553" i="2"/>
  <c r="BI553" i="2"/>
  <c r="BH553" i="2"/>
  <c r="T553" i="1"/>
  <c r="BG553" i="2"/>
  <c r="BF553" i="2"/>
  <c r="BE553" i="2"/>
  <c r="BD553" i="2"/>
  <c r="BC553" i="2"/>
  <c r="BB553" i="2"/>
  <c r="BA553" i="2"/>
  <c r="AZ553" i="2"/>
  <c r="AY553" i="2"/>
  <c r="AX553" i="2"/>
  <c r="J553" i="1"/>
  <c r="AW553" i="2"/>
  <c r="I553" i="1"/>
  <c r="AV553" i="2"/>
  <c r="AU553" i="2"/>
  <c r="AT553" i="2"/>
  <c r="AS553" i="2"/>
  <c r="AR553" i="2"/>
  <c r="AQ553" i="2"/>
  <c r="AP553" i="2"/>
  <c r="AO553" i="2"/>
  <c r="AL553" i="2"/>
  <c r="AK553" i="2"/>
  <c r="BQ552" i="2"/>
  <c r="BP552" i="2"/>
  <c r="AB552" i="1"/>
  <c r="BO552" i="2"/>
  <c r="AA552" i="1"/>
  <c r="BN552" i="2"/>
  <c r="BM552" i="2"/>
  <c r="BL552" i="2"/>
  <c r="BK552" i="2"/>
  <c r="W552" i="1"/>
  <c r="BJ552" i="2"/>
  <c r="BI552" i="2"/>
  <c r="BH552" i="2"/>
  <c r="T552" i="1"/>
  <c r="BG552" i="2"/>
  <c r="BF552" i="2"/>
  <c r="BE552" i="2"/>
  <c r="BD552" i="2"/>
  <c r="BC552" i="2"/>
  <c r="BB552" i="2"/>
  <c r="BA552" i="2"/>
  <c r="AZ552" i="2"/>
  <c r="AY552" i="2"/>
  <c r="AX552" i="2"/>
  <c r="J552" i="1"/>
  <c r="AW552" i="2"/>
  <c r="I552" i="1"/>
  <c r="AV552" i="2"/>
  <c r="AU552" i="2"/>
  <c r="AT552" i="2"/>
  <c r="AS552" i="2"/>
  <c r="AR552" i="2"/>
  <c r="AQ552" i="2"/>
  <c r="AP552" i="2"/>
  <c r="AO552" i="2"/>
  <c r="AL552" i="2"/>
  <c r="AK552" i="2"/>
  <c r="BQ551" i="2"/>
  <c r="BP551" i="2"/>
  <c r="AB551" i="1"/>
  <c r="BO551" i="2"/>
  <c r="AA551" i="1"/>
  <c r="BN551" i="2"/>
  <c r="BM551" i="2"/>
  <c r="BL551" i="2"/>
  <c r="BK551" i="2"/>
  <c r="W551" i="1"/>
  <c r="BJ551" i="2"/>
  <c r="BI551" i="2"/>
  <c r="BH551" i="2"/>
  <c r="T551" i="1"/>
  <c r="BG551" i="2"/>
  <c r="BF551" i="2"/>
  <c r="BE551" i="2"/>
  <c r="BD551" i="2"/>
  <c r="BC551" i="2"/>
  <c r="BB551" i="2"/>
  <c r="BA551" i="2"/>
  <c r="AZ551" i="2"/>
  <c r="AY551" i="2"/>
  <c r="AX551" i="2"/>
  <c r="J551" i="1"/>
  <c r="AW551" i="2"/>
  <c r="I551" i="1"/>
  <c r="AV551" i="2"/>
  <c r="AU551" i="2"/>
  <c r="AT551" i="2"/>
  <c r="AS551" i="2"/>
  <c r="AR551" i="2"/>
  <c r="AQ551" i="2"/>
  <c r="AP551" i="2"/>
  <c r="AO551" i="2"/>
  <c r="AL551" i="2"/>
  <c r="AK551" i="2"/>
  <c r="BQ550" i="2"/>
  <c r="BP550" i="2"/>
  <c r="AB550" i="1"/>
  <c r="BO550" i="2"/>
  <c r="AA550" i="1"/>
  <c r="BN550" i="2"/>
  <c r="BM550" i="2"/>
  <c r="BL550" i="2"/>
  <c r="BK550" i="2"/>
  <c r="W550" i="1"/>
  <c r="BJ550" i="2"/>
  <c r="BI550" i="2"/>
  <c r="BH550" i="2"/>
  <c r="T550" i="1"/>
  <c r="BG550" i="2"/>
  <c r="BF550" i="2"/>
  <c r="BE550" i="2"/>
  <c r="BD550" i="2"/>
  <c r="BC550" i="2"/>
  <c r="BB550" i="2"/>
  <c r="BA550" i="2"/>
  <c r="AZ550" i="2"/>
  <c r="AY550" i="2"/>
  <c r="AX550" i="2"/>
  <c r="J550" i="1"/>
  <c r="AW550" i="2"/>
  <c r="I550" i="1"/>
  <c r="AV550" i="2"/>
  <c r="AU550" i="2"/>
  <c r="AT550" i="2"/>
  <c r="AS550" i="2"/>
  <c r="AR550" i="2"/>
  <c r="AQ550" i="2"/>
  <c r="AP550" i="2"/>
  <c r="AO550" i="2"/>
  <c r="AL550" i="2"/>
  <c r="AK550" i="2"/>
  <c r="BQ549" i="2"/>
  <c r="BP549" i="2"/>
  <c r="AB549" i="1"/>
  <c r="BO549" i="2"/>
  <c r="AA549" i="1"/>
  <c r="BN549" i="2"/>
  <c r="BM549" i="2"/>
  <c r="BL549" i="2"/>
  <c r="BK549" i="2"/>
  <c r="W549" i="1"/>
  <c r="BJ549" i="2"/>
  <c r="BI549" i="2"/>
  <c r="BH549" i="2"/>
  <c r="T549" i="1"/>
  <c r="BG549" i="2"/>
  <c r="BF549" i="2"/>
  <c r="BE549" i="2"/>
  <c r="BD549" i="2"/>
  <c r="BC549" i="2"/>
  <c r="BB549" i="2"/>
  <c r="BA549" i="2"/>
  <c r="AZ549" i="2"/>
  <c r="AY549" i="2"/>
  <c r="AX549" i="2"/>
  <c r="J549" i="1"/>
  <c r="AW549" i="2"/>
  <c r="I549" i="1"/>
  <c r="AV549" i="2"/>
  <c r="AU549" i="2"/>
  <c r="AT549" i="2"/>
  <c r="AS549" i="2"/>
  <c r="AR549" i="2"/>
  <c r="AQ549" i="2"/>
  <c r="AP549" i="2"/>
  <c r="AO549" i="2"/>
  <c r="AL549" i="2"/>
  <c r="AK549" i="2"/>
  <c r="BQ548" i="2"/>
  <c r="BP548" i="2"/>
  <c r="AB548" i="1"/>
  <c r="BO548" i="2"/>
  <c r="AA548" i="1"/>
  <c r="BN548" i="2"/>
  <c r="BM548" i="2"/>
  <c r="BL548" i="2"/>
  <c r="BK548" i="2"/>
  <c r="W548" i="1"/>
  <c r="BJ548" i="2"/>
  <c r="BI548" i="2"/>
  <c r="BH548" i="2"/>
  <c r="T548" i="1"/>
  <c r="BG548" i="2"/>
  <c r="BF548" i="2"/>
  <c r="BE548" i="2"/>
  <c r="BD548" i="2"/>
  <c r="BC548" i="2"/>
  <c r="BB548" i="2"/>
  <c r="BA548" i="2"/>
  <c r="AZ548" i="2"/>
  <c r="AY548" i="2"/>
  <c r="AX548" i="2"/>
  <c r="J548" i="1"/>
  <c r="AW548" i="2"/>
  <c r="I548" i="1"/>
  <c r="AV548" i="2"/>
  <c r="AU548" i="2"/>
  <c r="AT548" i="2"/>
  <c r="AS548" i="2"/>
  <c r="AR548" i="2"/>
  <c r="AQ548" i="2"/>
  <c r="AP548" i="2"/>
  <c r="AO548" i="2"/>
  <c r="AL548" i="2"/>
  <c r="AK548" i="2"/>
  <c r="BQ547" i="2"/>
  <c r="BP547" i="2"/>
  <c r="AB547" i="1"/>
  <c r="BO547" i="2"/>
  <c r="AA547" i="1"/>
  <c r="BN547" i="2"/>
  <c r="BM547" i="2"/>
  <c r="BL547" i="2"/>
  <c r="BK547" i="2"/>
  <c r="W547" i="1"/>
  <c r="BJ547" i="2"/>
  <c r="BI547" i="2"/>
  <c r="BH547" i="2"/>
  <c r="T547" i="1"/>
  <c r="BG547" i="2"/>
  <c r="BF547" i="2"/>
  <c r="BE547" i="2"/>
  <c r="BD547" i="2"/>
  <c r="BC547" i="2"/>
  <c r="BB547" i="2"/>
  <c r="BA547" i="2"/>
  <c r="AZ547" i="2"/>
  <c r="AY547" i="2"/>
  <c r="AX547" i="2"/>
  <c r="J547" i="1"/>
  <c r="AW547" i="2"/>
  <c r="I547" i="1"/>
  <c r="AV547" i="2"/>
  <c r="AU547" i="2"/>
  <c r="AT547" i="2"/>
  <c r="AS547" i="2"/>
  <c r="AR547" i="2"/>
  <c r="AQ547" i="2"/>
  <c r="AP547" i="2"/>
  <c r="AO547" i="2"/>
  <c r="AL547" i="2"/>
  <c r="AK547" i="2"/>
  <c r="BQ546" i="2"/>
  <c r="BP546" i="2"/>
  <c r="AB546" i="1"/>
  <c r="BO546" i="2"/>
  <c r="AA546" i="1"/>
  <c r="BN546" i="2"/>
  <c r="BM546" i="2"/>
  <c r="BL546" i="2"/>
  <c r="BK546" i="2"/>
  <c r="W546" i="1"/>
  <c r="BJ546" i="2"/>
  <c r="BI546" i="2"/>
  <c r="BH546" i="2"/>
  <c r="T546" i="1"/>
  <c r="BG546" i="2"/>
  <c r="BF546" i="2"/>
  <c r="BE546" i="2"/>
  <c r="BD546" i="2"/>
  <c r="BC546" i="2"/>
  <c r="BB546" i="2"/>
  <c r="BA546" i="2"/>
  <c r="AZ546" i="2"/>
  <c r="AY546" i="2"/>
  <c r="AX546" i="2"/>
  <c r="J546" i="1"/>
  <c r="AW546" i="2"/>
  <c r="I546" i="1"/>
  <c r="AV546" i="2"/>
  <c r="AU546" i="2"/>
  <c r="AT546" i="2"/>
  <c r="AS546" i="2"/>
  <c r="AR546" i="2"/>
  <c r="AQ546" i="2"/>
  <c r="AP546" i="2"/>
  <c r="AO546" i="2"/>
  <c r="AL546" i="2"/>
  <c r="AK546" i="2"/>
  <c r="BQ545" i="2"/>
  <c r="BP545" i="2"/>
  <c r="AB545" i="1"/>
  <c r="BO545" i="2"/>
  <c r="AA545" i="1"/>
  <c r="BN545" i="2"/>
  <c r="BM545" i="2"/>
  <c r="BL545" i="2"/>
  <c r="BK545" i="2"/>
  <c r="W545" i="1"/>
  <c r="BJ545" i="2"/>
  <c r="BI545" i="2"/>
  <c r="BH545" i="2"/>
  <c r="T545" i="1"/>
  <c r="BG545" i="2"/>
  <c r="BF545" i="2"/>
  <c r="BE545" i="2"/>
  <c r="BD545" i="2"/>
  <c r="BC545" i="2"/>
  <c r="BB545" i="2"/>
  <c r="BA545" i="2"/>
  <c r="AZ545" i="2"/>
  <c r="AY545" i="2"/>
  <c r="AX545" i="2"/>
  <c r="J545" i="1"/>
  <c r="AW545" i="2"/>
  <c r="I545" i="1"/>
  <c r="AV545" i="2"/>
  <c r="AU545" i="2"/>
  <c r="AT545" i="2"/>
  <c r="AS545" i="2"/>
  <c r="AR545" i="2"/>
  <c r="AQ545" i="2"/>
  <c r="AP545" i="2"/>
  <c r="AO545" i="2"/>
  <c r="AL545" i="2"/>
  <c r="AK545" i="2"/>
  <c r="BQ544" i="2"/>
  <c r="BP544" i="2"/>
  <c r="AB544" i="1"/>
  <c r="BO544" i="2"/>
  <c r="AA544" i="1"/>
  <c r="BN544" i="2"/>
  <c r="BM544" i="2"/>
  <c r="BL544" i="2"/>
  <c r="BK544" i="2"/>
  <c r="W544" i="1"/>
  <c r="BJ544" i="2"/>
  <c r="BI544" i="2"/>
  <c r="BH544" i="2"/>
  <c r="T544" i="1"/>
  <c r="BG544" i="2"/>
  <c r="BF544" i="2"/>
  <c r="BE544" i="2"/>
  <c r="BD544" i="2"/>
  <c r="BC544" i="2"/>
  <c r="BB544" i="2"/>
  <c r="BA544" i="2"/>
  <c r="AZ544" i="2"/>
  <c r="AY544" i="2"/>
  <c r="AX544" i="2"/>
  <c r="J544" i="1"/>
  <c r="AW544" i="2"/>
  <c r="I544" i="1"/>
  <c r="AV544" i="2"/>
  <c r="AU544" i="2"/>
  <c r="AT544" i="2"/>
  <c r="AS544" i="2"/>
  <c r="AR544" i="2"/>
  <c r="AQ544" i="2"/>
  <c r="AP544" i="2"/>
  <c r="AO544" i="2"/>
  <c r="AL544" i="2"/>
  <c r="AK544" i="2"/>
  <c r="BQ543" i="2"/>
  <c r="BP543" i="2"/>
  <c r="AB543" i="1"/>
  <c r="BO543" i="2"/>
  <c r="AA543" i="1"/>
  <c r="BN543" i="2"/>
  <c r="BM543" i="2"/>
  <c r="BL543" i="2"/>
  <c r="BK543" i="2"/>
  <c r="W543" i="1"/>
  <c r="BJ543" i="2"/>
  <c r="BI543" i="2"/>
  <c r="BH543" i="2"/>
  <c r="T543" i="1"/>
  <c r="BG543" i="2"/>
  <c r="BF543" i="2"/>
  <c r="BE543" i="2"/>
  <c r="BD543" i="2"/>
  <c r="BC543" i="2"/>
  <c r="BB543" i="2"/>
  <c r="BA543" i="2"/>
  <c r="AZ543" i="2"/>
  <c r="AY543" i="2"/>
  <c r="AX543" i="2"/>
  <c r="J543" i="1"/>
  <c r="AW543" i="2"/>
  <c r="I543" i="1"/>
  <c r="AV543" i="2"/>
  <c r="AU543" i="2"/>
  <c r="AT543" i="2"/>
  <c r="AS543" i="2"/>
  <c r="AR543" i="2"/>
  <c r="AQ543" i="2"/>
  <c r="AP543" i="2"/>
  <c r="AO543" i="2"/>
  <c r="AL543" i="2"/>
  <c r="AK543" i="2"/>
  <c r="BQ542" i="2"/>
  <c r="BP542" i="2"/>
  <c r="AB542" i="1"/>
  <c r="BO542" i="2"/>
  <c r="AA542" i="1"/>
  <c r="BN542" i="2"/>
  <c r="BM542" i="2"/>
  <c r="BL542" i="2"/>
  <c r="BK542" i="2"/>
  <c r="W542" i="1"/>
  <c r="BJ542" i="2"/>
  <c r="BI542" i="2"/>
  <c r="BH542" i="2"/>
  <c r="T542" i="1"/>
  <c r="BG542" i="2"/>
  <c r="BF542" i="2"/>
  <c r="BE542" i="2"/>
  <c r="BD542" i="2"/>
  <c r="BC542" i="2"/>
  <c r="BB542" i="2"/>
  <c r="BA542" i="2"/>
  <c r="AZ542" i="2"/>
  <c r="AY542" i="2"/>
  <c r="AX542" i="2"/>
  <c r="J542" i="1"/>
  <c r="AW542" i="2"/>
  <c r="I542" i="1"/>
  <c r="AV542" i="2"/>
  <c r="AU542" i="2"/>
  <c r="AT542" i="2"/>
  <c r="AS542" i="2"/>
  <c r="AR542" i="2"/>
  <c r="AQ542" i="2"/>
  <c r="AP542" i="2"/>
  <c r="AO542" i="2"/>
  <c r="AL542" i="2"/>
  <c r="AK542" i="2"/>
  <c r="BQ541" i="2"/>
  <c r="BP541" i="2"/>
  <c r="AB541" i="1"/>
  <c r="BO541" i="2"/>
  <c r="AA541" i="1"/>
  <c r="BN541" i="2"/>
  <c r="BM541" i="2"/>
  <c r="BL541" i="2"/>
  <c r="BK541" i="2"/>
  <c r="W541" i="1"/>
  <c r="BJ541" i="2"/>
  <c r="BI541" i="2"/>
  <c r="BH541" i="2"/>
  <c r="T541" i="1"/>
  <c r="BG541" i="2"/>
  <c r="BF541" i="2"/>
  <c r="BE541" i="2"/>
  <c r="BD541" i="2"/>
  <c r="BC541" i="2"/>
  <c r="BB541" i="2"/>
  <c r="BA541" i="2"/>
  <c r="AZ541" i="2"/>
  <c r="AY541" i="2"/>
  <c r="AX541" i="2"/>
  <c r="J541" i="1"/>
  <c r="AW541" i="2"/>
  <c r="I541" i="1"/>
  <c r="AV541" i="2"/>
  <c r="AU541" i="2"/>
  <c r="AT541" i="2"/>
  <c r="AS541" i="2"/>
  <c r="AR541" i="2"/>
  <c r="AQ541" i="2"/>
  <c r="AP541" i="2"/>
  <c r="AO541" i="2"/>
  <c r="AL541" i="2"/>
  <c r="AK541" i="2"/>
  <c r="BQ540" i="2"/>
  <c r="BP540" i="2"/>
  <c r="AB540" i="1"/>
  <c r="BO540" i="2"/>
  <c r="AA540" i="1"/>
  <c r="BN540" i="2"/>
  <c r="BM540" i="2"/>
  <c r="BL540" i="2"/>
  <c r="BK540" i="2"/>
  <c r="W540" i="1"/>
  <c r="BJ540" i="2"/>
  <c r="BI540" i="2"/>
  <c r="BH540" i="2"/>
  <c r="T540" i="1"/>
  <c r="BG540" i="2"/>
  <c r="BF540" i="2"/>
  <c r="BE540" i="2"/>
  <c r="BD540" i="2"/>
  <c r="BC540" i="2"/>
  <c r="BB540" i="2"/>
  <c r="BA540" i="2"/>
  <c r="AZ540" i="2"/>
  <c r="AY540" i="2"/>
  <c r="AX540" i="2"/>
  <c r="J540" i="1"/>
  <c r="AW540" i="2"/>
  <c r="I540" i="1"/>
  <c r="AV540" i="2"/>
  <c r="AU540" i="2"/>
  <c r="AT540" i="2"/>
  <c r="AS540" i="2"/>
  <c r="AR540" i="2"/>
  <c r="AQ540" i="2"/>
  <c r="AP540" i="2"/>
  <c r="AO540" i="2"/>
  <c r="AL540" i="2"/>
  <c r="AK540" i="2"/>
  <c r="BQ539" i="2"/>
  <c r="BP539" i="2"/>
  <c r="AB539" i="1"/>
  <c r="BO539" i="2"/>
  <c r="AA539" i="1"/>
  <c r="BN539" i="2"/>
  <c r="BM539" i="2"/>
  <c r="BL539" i="2"/>
  <c r="BK539" i="2"/>
  <c r="W539" i="1"/>
  <c r="BJ539" i="2"/>
  <c r="BI539" i="2"/>
  <c r="BH539" i="2"/>
  <c r="T539" i="1"/>
  <c r="BG539" i="2"/>
  <c r="BF539" i="2"/>
  <c r="BE539" i="2"/>
  <c r="BD539" i="2"/>
  <c r="BC539" i="2"/>
  <c r="BB539" i="2"/>
  <c r="BA539" i="2"/>
  <c r="AZ539" i="2"/>
  <c r="AY539" i="2"/>
  <c r="AX539" i="2"/>
  <c r="J539" i="1"/>
  <c r="AW539" i="2"/>
  <c r="I539" i="1"/>
  <c r="AV539" i="2"/>
  <c r="AU539" i="2"/>
  <c r="AT539" i="2"/>
  <c r="AS539" i="2"/>
  <c r="AR539" i="2"/>
  <c r="AQ539" i="2"/>
  <c r="AP539" i="2"/>
  <c r="AO539" i="2"/>
  <c r="AL539" i="2"/>
  <c r="AK539" i="2"/>
  <c r="BQ538" i="2"/>
  <c r="BP538" i="2"/>
  <c r="AB538" i="1"/>
  <c r="BO538" i="2"/>
  <c r="AA538" i="1"/>
  <c r="BN538" i="2"/>
  <c r="BM538" i="2"/>
  <c r="BL538" i="2"/>
  <c r="BK538" i="2"/>
  <c r="W538" i="1"/>
  <c r="BJ538" i="2"/>
  <c r="BI538" i="2"/>
  <c r="BH538" i="2"/>
  <c r="T538" i="1"/>
  <c r="BG538" i="2"/>
  <c r="BF538" i="2"/>
  <c r="BE538" i="2"/>
  <c r="BD538" i="2"/>
  <c r="BC538" i="2"/>
  <c r="BB538" i="2"/>
  <c r="BA538" i="2"/>
  <c r="AZ538" i="2"/>
  <c r="AY538" i="2"/>
  <c r="AX538" i="2"/>
  <c r="J538" i="1"/>
  <c r="AW538" i="2"/>
  <c r="I538" i="1"/>
  <c r="AV538" i="2"/>
  <c r="AU538" i="2"/>
  <c r="AT538" i="2"/>
  <c r="AS538" i="2"/>
  <c r="AR538" i="2"/>
  <c r="AQ538" i="2"/>
  <c r="AP538" i="2"/>
  <c r="AO538" i="2"/>
  <c r="AL538" i="2"/>
  <c r="AK538" i="2"/>
  <c r="BQ537" i="2"/>
  <c r="BP537" i="2"/>
  <c r="AB537" i="1"/>
  <c r="BO537" i="2"/>
  <c r="AA537" i="1"/>
  <c r="BN537" i="2"/>
  <c r="BM537" i="2"/>
  <c r="BL537" i="2"/>
  <c r="BK537" i="2"/>
  <c r="W537" i="1"/>
  <c r="BJ537" i="2"/>
  <c r="BI537" i="2"/>
  <c r="BH537" i="2"/>
  <c r="T537" i="1"/>
  <c r="BG537" i="2"/>
  <c r="BF537" i="2"/>
  <c r="BE537" i="2"/>
  <c r="BD537" i="2"/>
  <c r="BC537" i="2"/>
  <c r="BB537" i="2"/>
  <c r="BA537" i="2"/>
  <c r="AZ537" i="2"/>
  <c r="AY537" i="2"/>
  <c r="AX537" i="2"/>
  <c r="J537" i="1"/>
  <c r="AW537" i="2"/>
  <c r="I537" i="1"/>
  <c r="AV537" i="2"/>
  <c r="AU537" i="2"/>
  <c r="AT537" i="2"/>
  <c r="AS537" i="2"/>
  <c r="AR537" i="2"/>
  <c r="AQ537" i="2"/>
  <c r="AP537" i="2"/>
  <c r="AO537" i="2"/>
  <c r="AL537" i="2"/>
  <c r="AK537" i="2"/>
  <c r="BQ536" i="2"/>
  <c r="BP536" i="2"/>
  <c r="AB536" i="1"/>
  <c r="BO536" i="2"/>
  <c r="AA536" i="1"/>
  <c r="BN536" i="2"/>
  <c r="BM536" i="2"/>
  <c r="BL536" i="2"/>
  <c r="BK536" i="2"/>
  <c r="W536" i="1"/>
  <c r="BJ536" i="2"/>
  <c r="BI536" i="2"/>
  <c r="BH536" i="2"/>
  <c r="T536" i="1"/>
  <c r="BG536" i="2"/>
  <c r="BF536" i="2"/>
  <c r="BE536" i="2"/>
  <c r="BD536" i="2"/>
  <c r="BC536" i="2"/>
  <c r="BB536" i="2"/>
  <c r="BA536" i="2"/>
  <c r="AZ536" i="2"/>
  <c r="AY536" i="2"/>
  <c r="AX536" i="2"/>
  <c r="J536" i="1"/>
  <c r="AW536" i="2"/>
  <c r="I536" i="1"/>
  <c r="AV536" i="2"/>
  <c r="AU536" i="2"/>
  <c r="AT536" i="2"/>
  <c r="AS536" i="2"/>
  <c r="AR536" i="2"/>
  <c r="AQ536" i="2"/>
  <c r="AP536" i="2"/>
  <c r="AO536" i="2"/>
  <c r="AL536" i="2"/>
  <c r="AK536" i="2"/>
  <c r="BQ535" i="2"/>
  <c r="BP535" i="2"/>
  <c r="AB535" i="1"/>
  <c r="BO535" i="2"/>
  <c r="AA535" i="1"/>
  <c r="BN535" i="2"/>
  <c r="BM535" i="2"/>
  <c r="BL535" i="2"/>
  <c r="BK535" i="2"/>
  <c r="W535" i="1"/>
  <c r="BJ535" i="2"/>
  <c r="BI535" i="2"/>
  <c r="BH535" i="2"/>
  <c r="T535" i="1"/>
  <c r="BG535" i="2"/>
  <c r="BF535" i="2"/>
  <c r="BE535" i="2"/>
  <c r="BD535" i="2"/>
  <c r="BC535" i="2"/>
  <c r="BB535" i="2"/>
  <c r="BA535" i="2"/>
  <c r="AZ535" i="2"/>
  <c r="AY535" i="2"/>
  <c r="AX535" i="2"/>
  <c r="J535" i="1"/>
  <c r="AW535" i="2"/>
  <c r="I535" i="1"/>
  <c r="AV535" i="2"/>
  <c r="AU535" i="2"/>
  <c r="AT535" i="2"/>
  <c r="AS535" i="2"/>
  <c r="AR535" i="2"/>
  <c r="AQ535" i="2"/>
  <c r="AP535" i="2"/>
  <c r="AO535" i="2"/>
  <c r="AL535" i="2"/>
  <c r="AK535" i="2"/>
  <c r="BQ534" i="2"/>
  <c r="BP534" i="2"/>
  <c r="AB534" i="1"/>
  <c r="BO534" i="2"/>
  <c r="AA534" i="1"/>
  <c r="BN534" i="2"/>
  <c r="BM534" i="2"/>
  <c r="BL534" i="2"/>
  <c r="BK534" i="2"/>
  <c r="W534" i="1"/>
  <c r="BJ534" i="2"/>
  <c r="BI534" i="2"/>
  <c r="BH534" i="2"/>
  <c r="T534" i="1"/>
  <c r="BG534" i="2"/>
  <c r="BF534" i="2"/>
  <c r="BE534" i="2"/>
  <c r="BD534" i="2"/>
  <c r="BC534" i="2"/>
  <c r="BB534" i="2"/>
  <c r="BA534" i="2"/>
  <c r="AZ534" i="2"/>
  <c r="AY534" i="2"/>
  <c r="AX534" i="2"/>
  <c r="J534" i="1"/>
  <c r="AW534" i="2"/>
  <c r="I534" i="1"/>
  <c r="AV534" i="2"/>
  <c r="AU534" i="2"/>
  <c r="AT534" i="2"/>
  <c r="AS534" i="2"/>
  <c r="AR534" i="2"/>
  <c r="AQ534" i="2"/>
  <c r="AP534" i="2"/>
  <c r="AO534" i="2"/>
  <c r="AL534" i="2"/>
  <c r="AK534" i="2"/>
  <c r="BQ533" i="2"/>
  <c r="BP533" i="2"/>
  <c r="AB533" i="1"/>
  <c r="BO533" i="2"/>
  <c r="AA533" i="1"/>
  <c r="BN533" i="2"/>
  <c r="BM533" i="2"/>
  <c r="BL533" i="2"/>
  <c r="BK533" i="2"/>
  <c r="W533" i="1"/>
  <c r="BJ533" i="2"/>
  <c r="BI533" i="2"/>
  <c r="BH533" i="2"/>
  <c r="T533" i="1"/>
  <c r="BG533" i="2"/>
  <c r="BF533" i="2"/>
  <c r="BE533" i="2"/>
  <c r="BD533" i="2"/>
  <c r="BC533" i="2"/>
  <c r="BB533" i="2"/>
  <c r="BA533" i="2"/>
  <c r="AZ533" i="2"/>
  <c r="AY533" i="2"/>
  <c r="AX533" i="2"/>
  <c r="J533" i="1"/>
  <c r="AW533" i="2"/>
  <c r="I533" i="1"/>
  <c r="AV533" i="2"/>
  <c r="AU533" i="2"/>
  <c r="AT533" i="2"/>
  <c r="AS533" i="2"/>
  <c r="AR533" i="2"/>
  <c r="AQ533" i="2"/>
  <c r="AP533" i="2"/>
  <c r="AO533" i="2"/>
  <c r="AL533" i="2"/>
  <c r="AK533" i="2"/>
  <c r="BQ532" i="2"/>
  <c r="BP532" i="2"/>
  <c r="AB532" i="1"/>
  <c r="BO532" i="2"/>
  <c r="AA532" i="1"/>
  <c r="BN532" i="2"/>
  <c r="BM532" i="2"/>
  <c r="BL532" i="2"/>
  <c r="BK532" i="2"/>
  <c r="W532" i="1"/>
  <c r="BJ532" i="2"/>
  <c r="BI532" i="2"/>
  <c r="BH532" i="2"/>
  <c r="T532" i="1"/>
  <c r="BG532" i="2"/>
  <c r="BF532" i="2"/>
  <c r="BE532" i="2"/>
  <c r="BD532" i="2"/>
  <c r="BC532" i="2"/>
  <c r="BB532" i="2"/>
  <c r="BA532" i="2"/>
  <c r="AZ532" i="2"/>
  <c r="AY532" i="2"/>
  <c r="AX532" i="2"/>
  <c r="J532" i="1"/>
  <c r="AW532" i="2"/>
  <c r="I532" i="1"/>
  <c r="AV532" i="2"/>
  <c r="AU532" i="2"/>
  <c r="AT532" i="2"/>
  <c r="AS532" i="2"/>
  <c r="AR532" i="2"/>
  <c r="AQ532" i="2"/>
  <c r="AP532" i="2"/>
  <c r="AO532" i="2"/>
  <c r="AL532" i="2"/>
  <c r="AK532" i="2"/>
  <c r="BQ531" i="2"/>
  <c r="BP531" i="2"/>
  <c r="AB531" i="1"/>
  <c r="BO531" i="2"/>
  <c r="AA531" i="1"/>
  <c r="BN531" i="2"/>
  <c r="BM531" i="2"/>
  <c r="BL531" i="2"/>
  <c r="BK531" i="2"/>
  <c r="W531" i="1"/>
  <c r="BJ531" i="2"/>
  <c r="BI531" i="2"/>
  <c r="BH531" i="2"/>
  <c r="T531" i="1"/>
  <c r="BG531" i="2"/>
  <c r="BF531" i="2"/>
  <c r="BE531" i="2"/>
  <c r="BD531" i="2"/>
  <c r="BC531" i="2"/>
  <c r="BB531" i="2"/>
  <c r="BA531" i="2"/>
  <c r="AZ531" i="2"/>
  <c r="AY531" i="2"/>
  <c r="AX531" i="2"/>
  <c r="J531" i="1"/>
  <c r="AW531" i="2"/>
  <c r="I531" i="1"/>
  <c r="AV531" i="2"/>
  <c r="AU531" i="2"/>
  <c r="AT531" i="2"/>
  <c r="AS531" i="2"/>
  <c r="AR531" i="2"/>
  <c r="AQ531" i="2"/>
  <c r="AP531" i="2"/>
  <c r="AO531" i="2"/>
  <c r="AL531" i="2"/>
  <c r="AK531" i="2"/>
  <c r="BQ530" i="2"/>
  <c r="BP530" i="2"/>
  <c r="AB530" i="1"/>
  <c r="BO530" i="2"/>
  <c r="AA530" i="1"/>
  <c r="BN530" i="2"/>
  <c r="BM530" i="2"/>
  <c r="BL530" i="2"/>
  <c r="BK530" i="2"/>
  <c r="W530" i="1"/>
  <c r="BJ530" i="2"/>
  <c r="BI530" i="2"/>
  <c r="BH530" i="2"/>
  <c r="T530" i="1"/>
  <c r="BG530" i="2"/>
  <c r="BF530" i="2"/>
  <c r="BE530" i="2"/>
  <c r="BD530" i="2"/>
  <c r="BC530" i="2"/>
  <c r="BB530" i="2"/>
  <c r="BA530" i="2"/>
  <c r="AZ530" i="2"/>
  <c r="AY530" i="2"/>
  <c r="AX530" i="2"/>
  <c r="J530" i="1"/>
  <c r="AW530" i="2"/>
  <c r="I530" i="1"/>
  <c r="AV530" i="2"/>
  <c r="AU530" i="2"/>
  <c r="AT530" i="2"/>
  <c r="AS530" i="2"/>
  <c r="AR530" i="2"/>
  <c r="AQ530" i="2"/>
  <c r="AP530" i="2"/>
  <c r="AO530" i="2"/>
  <c r="AL530" i="2"/>
  <c r="AK530" i="2"/>
  <c r="BQ529" i="2"/>
  <c r="BP529" i="2"/>
  <c r="AB529" i="1"/>
  <c r="BO529" i="2"/>
  <c r="AA529" i="1"/>
  <c r="BN529" i="2"/>
  <c r="BM529" i="2"/>
  <c r="BL529" i="2"/>
  <c r="BK529" i="2"/>
  <c r="W529" i="1"/>
  <c r="BJ529" i="2"/>
  <c r="BI529" i="2"/>
  <c r="BH529" i="2"/>
  <c r="T529" i="1"/>
  <c r="BG529" i="2"/>
  <c r="BF529" i="2"/>
  <c r="BE529" i="2"/>
  <c r="BD529" i="2"/>
  <c r="BC529" i="2"/>
  <c r="BB529" i="2"/>
  <c r="BA529" i="2"/>
  <c r="AZ529" i="2"/>
  <c r="AY529" i="2"/>
  <c r="AX529" i="2"/>
  <c r="J529" i="1"/>
  <c r="AW529" i="2"/>
  <c r="I529" i="1"/>
  <c r="AV529" i="2"/>
  <c r="AU529" i="2"/>
  <c r="AT529" i="2"/>
  <c r="AS529" i="2"/>
  <c r="AR529" i="2"/>
  <c r="AQ529" i="2"/>
  <c r="AP529" i="2"/>
  <c r="AO529" i="2"/>
  <c r="AL529" i="2"/>
  <c r="AK529" i="2"/>
  <c r="BQ528" i="2"/>
  <c r="BP528" i="2"/>
  <c r="AB528" i="1"/>
  <c r="BO528" i="2"/>
  <c r="AA528" i="1"/>
  <c r="BN528" i="2"/>
  <c r="BM528" i="2"/>
  <c r="BL528" i="2"/>
  <c r="BK528" i="2"/>
  <c r="W528" i="1"/>
  <c r="BJ528" i="2"/>
  <c r="BI528" i="2"/>
  <c r="BH528" i="2"/>
  <c r="T528" i="1"/>
  <c r="BG528" i="2"/>
  <c r="BF528" i="2"/>
  <c r="BE528" i="2"/>
  <c r="BD528" i="2"/>
  <c r="BC528" i="2"/>
  <c r="BB528" i="2"/>
  <c r="BA528" i="2"/>
  <c r="AZ528" i="2"/>
  <c r="AY528" i="2"/>
  <c r="AX528" i="2"/>
  <c r="J528" i="1"/>
  <c r="AW528" i="2"/>
  <c r="I528" i="1"/>
  <c r="AV528" i="2"/>
  <c r="AU528" i="2"/>
  <c r="AT528" i="2"/>
  <c r="AS528" i="2"/>
  <c r="AR528" i="2"/>
  <c r="AQ528" i="2"/>
  <c r="AP528" i="2"/>
  <c r="AO528" i="2"/>
  <c r="AL528" i="2"/>
  <c r="AK528" i="2"/>
  <c r="BQ527" i="2"/>
  <c r="BP527" i="2"/>
  <c r="AB527" i="1"/>
  <c r="BO527" i="2"/>
  <c r="AA527" i="1"/>
  <c r="BN527" i="2"/>
  <c r="BM527" i="2"/>
  <c r="BL527" i="2"/>
  <c r="BK527" i="2"/>
  <c r="W527" i="1"/>
  <c r="BJ527" i="2"/>
  <c r="BI527" i="2"/>
  <c r="BH527" i="2"/>
  <c r="T527" i="1"/>
  <c r="BG527" i="2"/>
  <c r="BF527" i="2"/>
  <c r="BE527" i="2"/>
  <c r="BD527" i="2"/>
  <c r="BC527" i="2"/>
  <c r="BB527" i="2"/>
  <c r="BA527" i="2"/>
  <c r="AZ527" i="2"/>
  <c r="AY527" i="2"/>
  <c r="AX527" i="2"/>
  <c r="J527" i="1"/>
  <c r="AW527" i="2"/>
  <c r="I527" i="1"/>
  <c r="AV527" i="2"/>
  <c r="AU527" i="2"/>
  <c r="AT527" i="2"/>
  <c r="AS527" i="2"/>
  <c r="AR527" i="2"/>
  <c r="AQ527" i="2"/>
  <c r="AP527" i="2"/>
  <c r="AO527" i="2"/>
  <c r="AL527" i="2"/>
  <c r="AK527" i="2"/>
  <c r="BQ526" i="2"/>
  <c r="BP526" i="2"/>
  <c r="AB526" i="1"/>
  <c r="BO526" i="2"/>
  <c r="AA526" i="1"/>
  <c r="BN526" i="2"/>
  <c r="BM526" i="2"/>
  <c r="BL526" i="2"/>
  <c r="BK526" i="2"/>
  <c r="W526" i="1"/>
  <c r="BJ526" i="2"/>
  <c r="BI526" i="2"/>
  <c r="BH526" i="2"/>
  <c r="T526" i="1"/>
  <c r="BG526" i="2"/>
  <c r="BF526" i="2"/>
  <c r="BE526" i="2"/>
  <c r="BD526" i="2"/>
  <c r="BC526" i="2"/>
  <c r="BB526" i="2"/>
  <c r="BA526" i="2"/>
  <c r="AZ526" i="2"/>
  <c r="AY526" i="2"/>
  <c r="AX526" i="2"/>
  <c r="J526" i="1"/>
  <c r="AW526" i="2"/>
  <c r="I526" i="1"/>
  <c r="AV526" i="2"/>
  <c r="AU526" i="2"/>
  <c r="AT526" i="2"/>
  <c r="AS526" i="2"/>
  <c r="AR526" i="2"/>
  <c r="AQ526" i="2"/>
  <c r="AP526" i="2"/>
  <c r="AO526" i="2"/>
  <c r="AL526" i="2"/>
  <c r="AK526" i="2"/>
  <c r="BQ525" i="2"/>
  <c r="BP525" i="2"/>
  <c r="AB525" i="1"/>
  <c r="BO525" i="2"/>
  <c r="AA525" i="1"/>
  <c r="BN525" i="2"/>
  <c r="BM525" i="2"/>
  <c r="BL525" i="2"/>
  <c r="BK525" i="2"/>
  <c r="W525" i="1"/>
  <c r="BJ525" i="2"/>
  <c r="BI525" i="2"/>
  <c r="BH525" i="2"/>
  <c r="T525" i="1"/>
  <c r="BG525" i="2"/>
  <c r="BF525" i="2"/>
  <c r="BE525" i="2"/>
  <c r="BD525" i="2"/>
  <c r="BC525" i="2"/>
  <c r="BB525" i="2"/>
  <c r="BA525" i="2"/>
  <c r="AZ525" i="2"/>
  <c r="AY525" i="2"/>
  <c r="AX525" i="2"/>
  <c r="J525" i="1"/>
  <c r="AW525" i="2"/>
  <c r="I525" i="1"/>
  <c r="AV525" i="2"/>
  <c r="AU525" i="2"/>
  <c r="AT525" i="2"/>
  <c r="AS525" i="2"/>
  <c r="AR525" i="2"/>
  <c r="AQ525" i="2"/>
  <c r="AP525" i="2"/>
  <c r="AO525" i="2"/>
  <c r="AL525" i="2"/>
  <c r="AK525" i="2"/>
  <c r="BQ524" i="2"/>
  <c r="BP524" i="2"/>
  <c r="AB524" i="1"/>
  <c r="BO524" i="2"/>
  <c r="AA524" i="1"/>
  <c r="BN524" i="2"/>
  <c r="BM524" i="2"/>
  <c r="BL524" i="2"/>
  <c r="BK524" i="2"/>
  <c r="W524" i="1"/>
  <c r="BJ524" i="2"/>
  <c r="BI524" i="2"/>
  <c r="BH524" i="2"/>
  <c r="T524" i="1"/>
  <c r="BG524" i="2"/>
  <c r="BF524" i="2"/>
  <c r="BE524" i="2"/>
  <c r="BD524" i="2"/>
  <c r="BC524" i="2"/>
  <c r="BB524" i="2"/>
  <c r="BA524" i="2"/>
  <c r="AZ524" i="2"/>
  <c r="AY524" i="2"/>
  <c r="AX524" i="2"/>
  <c r="J524" i="1"/>
  <c r="AW524" i="2"/>
  <c r="I524" i="1"/>
  <c r="AV524" i="2"/>
  <c r="AU524" i="2"/>
  <c r="AT524" i="2"/>
  <c r="AS524" i="2"/>
  <c r="AR524" i="2"/>
  <c r="AQ524" i="2"/>
  <c r="AP524" i="2"/>
  <c r="AO524" i="2"/>
  <c r="AL524" i="2"/>
  <c r="AK524" i="2"/>
  <c r="BQ523" i="2"/>
  <c r="BP523" i="2"/>
  <c r="AB523" i="1"/>
  <c r="BO523" i="2"/>
  <c r="AA523" i="1"/>
  <c r="BN523" i="2"/>
  <c r="BM523" i="2"/>
  <c r="BL523" i="2"/>
  <c r="BK523" i="2"/>
  <c r="W523" i="1"/>
  <c r="BJ523" i="2"/>
  <c r="BI523" i="2"/>
  <c r="BH523" i="2"/>
  <c r="T523" i="1"/>
  <c r="BG523" i="2"/>
  <c r="BF523" i="2"/>
  <c r="BE523" i="2"/>
  <c r="BD523" i="2"/>
  <c r="BC523" i="2"/>
  <c r="BB523" i="2"/>
  <c r="BA523" i="2"/>
  <c r="AZ523" i="2"/>
  <c r="AY523" i="2"/>
  <c r="AX523" i="2"/>
  <c r="J523" i="1"/>
  <c r="AW523" i="2"/>
  <c r="I523" i="1"/>
  <c r="AV523" i="2"/>
  <c r="AU523" i="2"/>
  <c r="AT523" i="2"/>
  <c r="AS523" i="2"/>
  <c r="AR523" i="2"/>
  <c r="AQ523" i="2"/>
  <c r="AP523" i="2"/>
  <c r="AO523" i="2"/>
  <c r="AL523" i="2"/>
  <c r="AK523" i="2"/>
  <c r="BQ522" i="2"/>
  <c r="BP522" i="2"/>
  <c r="AB522" i="1"/>
  <c r="BO522" i="2"/>
  <c r="AA522" i="1"/>
  <c r="BN522" i="2"/>
  <c r="BM522" i="2"/>
  <c r="BL522" i="2"/>
  <c r="BK522" i="2"/>
  <c r="W522" i="1"/>
  <c r="BJ522" i="2"/>
  <c r="BI522" i="2"/>
  <c r="BH522" i="2"/>
  <c r="T522" i="1"/>
  <c r="BG522" i="2"/>
  <c r="BF522" i="2"/>
  <c r="BE522" i="2"/>
  <c r="BD522" i="2"/>
  <c r="BC522" i="2"/>
  <c r="BB522" i="2"/>
  <c r="BA522" i="2"/>
  <c r="AZ522" i="2"/>
  <c r="AY522" i="2"/>
  <c r="AX522" i="2"/>
  <c r="J522" i="1"/>
  <c r="AW522" i="2"/>
  <c r="I522" i="1"/>
  <c r="AV522" i="2"/>
  <c r="AU522" i="2"/>
  <c r="AT522" i="2"/>
  <c r="AS522" i="2"/>
  <c r="AR522" i="2"/>
  <c r="AQ522" i="2"/>
  <c r="AP522" i="2"/>
  <c r="AO522" i="2"/>
  <c r="AL522" i="2"/>
  <c r="AK522" i="2"/>
  <c r="BQ521" i="2"/>
  <c r="BP521" i="2"/>
  <c r="AB521" i="1"/>
  <c r="BO521" i="2"/>
  <c r="AA521" i="1"/>
  <c r="BN521" i="2"/>
  <c r="BM521" i="2"/>
  <c r="BL521" i="2"/>
  <c r="BK521" i="2"/>
  <c r="W521" i="1"/>
  <c r="BJ521" i="2"/>
  <c r="BI521" i="2"/>
  <c r="BH521" i="2"/>
  <c r="T521" i="1"/>
  <c r="BG521" i="2"/>
  <c r="BF521" i="2"/>
  <c r="BE521" i="2"/>
  <c r="BD521" i="2"/>
  <c r="BC521" i="2"/>
  <c r="BB521" i="2"/>
  <c r="BA521" i="2"/>
  <c r="AZ521" i="2"/>
  <c r="AY521" i="2"/>
  <c r="AX521" i="2"/>
  <c r="J521" i="1"/>
  <c r="AW521" i="2"/>
  <c r="I521" i="1"/>
  <c r="AV521" i="2"/>
  <c r="AU521" i="2"/>
  <c r="AT521" i="2"/>
  <c r="AS521" i="2"/>
  <c r="AR521" i="2"/>
  <c r="AQ521" i="2"/>
  <c r="AP521" i="2"/>
  <c r="AO521" i="2"/>
  <c r="AL521" i="2"/>
  <c r="AK521" i="2"/>
  <c r="BQ520" i="2"/>
  <c r="BP520" i="2"/>
  <c r="AB520" i="1"/>
  <c r="BO520" i="2"/>
  <c r="AA520" i="1"/>
  <c r="BN520" i="2"/>
  <c r="BM520" i="2"/>
  <c r="BL520" i="2"/>
  <c r="BK520" i="2"/>
  <c r="W520" i="1"/>
  <c r="BJ520" i="2"/>
  <c r="BI520" i="2"/>
  <c r="BH520" i="2"/>
  <c r="T520" i="1"/>
  <c r="BG520" i="2"/>
  <c r="BF520" i="2"/>
  <c r="BE520" i="2"/>
  <c r="BD520" i="2"/>
  <c r="BC520" i="2"/>
  <c r="BB520" i="2"/>
  <c r="BA520" i="2"/>
  <c r="AZ520" i="2"/>
  <c r="AY520" i="2"/>
  <c r="AX520" i="2"/>
  <c r="J520" i="1"/>
  <c r="AW520" i="2"/>
  <c r="I520" i="1"/>
  <c r="AV520" i="2"/>
  <c r="AU520" i="2"/>
  <c r="AT520" i="2"/>
  <c r="AS520" i="2"/>
  <c r="AR520" i="2"/>
  <c r="AQ520" i="2"/>
  <c r="AP520" i="2"/>
  <c r="AO520" i="2"/>
  <c r="AL520" i="2"/>
  <c r="AK520" i="2"/>
  <c r="BQ519" i="2"/>
  <c r="BP519" i="2"/>
  <c r="AB519" i="1"/>
  <c r="BO519" i="2"/>
  <c r="AA519" i="1"/>
  <c r="BN519" i="2"/>
  <c r="BM519" i="2"/>
  <c r="BL519" i="2"/>
  <c r="BK519" i="2"/>
  <c r="W519" i="1"/>
  <c r="BJ519" i="2"/>
  <c r="BI519" i="2"/>
  <c r="BH519" i="2"/>
  <c r="T519" i="1"/>
  <c r="BG519" i="2"/>
  <c r="BF519" i="2"/>
  <c r="BE519" i="2"/>
  <c r="BD519" i="2"/>
  <c r="BC519" i="2"/>
  <c r="BB519" i="2"/>
  <c r="BA519" i="2"/>
  <c r="AZ519" i="2"/>
  <c r="AY519" i="2"/>
  <c r="AX519" i="2"/>
  <c r="J519" i="1"/>
  <c r="AW519" i="2"/>
  <c r="I519" i="1"/>
  <c r="AV519" i="2"/>
  <c r="AU519" i="2"/>
  <c r="AT519" i="2"/>
  <c r="AS519" i="2"/>
  <c r="AR519" i="2"/>
  <c r="AQ519" i="2"/>
  <c r="AP519" i="2"/>
  <c r="AO519" i="2"/>
  <c r="AL519" i="2"/>
  <c r="AK519" i="2"/>
  <c r="BQ518" i="2"/>
  <c r="BP518" i="2"/>
  <c r="AB518" i="1"/>
  <c r="BO518" i="2"/>
  <c r="AA518" i="1"/>
  <c r="BN518" i="2"/>
  <c r="BM518" i="2"/>
  <c r="BL518" i="2"/>
  <c r="BK518" i="2"/>
  <c r="W518" i="1"/>
  <c r="BJ518" i="2"/>
  <c r="BI518" i="2"/>
  <c r="BH518" i="2"/>
  <c r="T518" i="1"/>
  <c r="BG518" i="2"/>
  <c r="BF518" i="2"/>
  <c r="BE518" i="2"/>
  <c r="BD518" i="2"/>
  <c r="BC518" i="2"/>
  <c r="BB518" i="2"/>
  <c r="BA518" i="2"/>
  <c r="AZ518" i="2"/>
  <c r="AY518" i="2"/>
  <c r="AX518" i="2"/>
  <c r="J518" i="1"/>
  <c r="AW518" i="2"/>
  <c r="I518" i="1"/>
  <c r="AV518" i="2"/>
  <c r="AU518" i="2"/>
  <c r="AT518" i="2"/>
  <c r="AS518" i="2"/>
  <c r="AR518" i="2"/>
  <c r="AQ518" i="2"/>
  <c r="AP518" i="2"/>
  <c r="AO518" i="2"/>
  <c r="AL518" i="2"/>
  <c r="AK518" i="2"/>
  <c r="BQ517" i="2"/>
  <c r="BP517" i="2"/>
  <c r="AB517" i="1"/>
  <c r="BO517" i="2"/>
  <c r="AA517" i="1"/>
  <c r="BN517" i="2"/>
  <c r="BM517" i="2"/>
  <c r="BL517" i="2"/>
  <c r="BK517" i="2"/>
  <c r="W517" i="1"/>
  <c r="BJ517" i="2"/>
  <c r="BI517" i="2"/>
  <c r="BH517" i="2"/>
  <c r="T517" i="1"/>
  <c r="BG517" i="2"/>
  <c r="BF517" i="2"/>
  <c r="BE517" i="2"/>
  <c r="BD517" i="2"/>
  <c r="BC517" i="2"/>
  <c r="BB517" i="2"/>
  <c r="BA517" i="2"/>
  <c r="AZ517" i="2"/>
  <c r="AY517" i="2"/>
  <c r="AX517" i="2"/>
  <c r="J517" i="1"/>
  <c r="AW517" i="2"/>
  <c r="I517" i="1"/>
  <c r="AV517" i="2"/>
  <c r="AU517" i="2"/>
  <c r="AT517" i="2"/>
  <c r="AS517" i="2"/>
  <c r="AR517" i="2"/>
  <c r="AQ517" i="2"/>
  <c r="AP517" i="2"/>
  <c r="AO517" i="2"/>
  <c r="AL517" i="2"/>
  <c r="AK517" i="2"/>
  <c r="BQ516" i="2"/>
  <c r="BP516" i="2"/>
  <c r="AB516" i="1"/>
  <c r="BO516" i="2"/>
  <c r="AA516" i="1"/>
  <c r="BN516" i="2"/>
  <c r="BM516" i="2"/>
  <c r="BL516" i="2"/>
  <c r="BK516" i="2"/>
  <c r="W516" i="1"/>
  <c r="BJ516" i="2"/>
  <c r="BI516" i="2"/>
  <c r="BH516" i="2"/>
  <c r="T516" i="1"/>
  <c r="BG516" i="2"/>
  <c r="BF516" i="2"/>
  <c r="BE516" i="2"/>
  <c r="BD516" i="2"/>
  <c r="BC516" i="2"/>
  <c r="BB516" i="2"/>
  <c r="BA516" i="2"/>
  <c r="AZ516" i="2"/>
  <c r="AY516" i="2"/>
  <c r="AX516" i="2"/>
  <c r="J516" i="1"/>
  <c r="AW516" i="2"/>
  <c r="I516" i="1"/>
  <c r="AV516" i="2"/>
  <c r="AU516" i="2"/>
  <c r="AT516" i="2"/>
  <c r="AS516" i="2"/>
  <c r="AR516" i="2"/>
  <c r="AQ516" i="2"/>
  <c r="AP516" i="2"/>
  <c r="AO516" i="2"/>
  <c r="AL516" i="2"/>
  <c r="AK516" i="2"/>
  <c r="BQ515" i="2"/>
  <c r="BP515" i="2"/>
  <c r="AB515" i="1"/>
  <c r="BO515" i="2"/>
  <c r="AA515" i="1"/>
  <c r="BN515" i="2"/>
  <c r="BM515" i="2"/>
  <c r="BL515" i="2"/>
  <c r="BK515" i="2"/>
  <c r="W515" i="1"/>
  <c r="BJ515" i="2"/>
  <c r="BI515" i="2"/>
  <c r="BH515" i="2"/>
  <c r="T515" i="1"/>
  <c r="BG515" i="2"/>
  <c r="BF515" i="2"/>
  <c r="BE515" i="2"/>
  <c r="BD515" i="2"/>
  <c r="BC515" i="2"/>
  <c r="BB515" i="2"/>
  <c r="BA515" i="2"/>
  <c r="AZ515" i="2"/>
  <c r="AY515" i="2"/>
  <c r="AX515" i="2"/>
  <c r="J515" i="1"/>
  <c r="AW515" i="2"/>
  <c r="I515" i="1"/>
  <c r="AV515" i="2"/>
  <c r="AU515" i="2"/>
  <c r="AT515" i="2"/>
  <c r="AS515" i="2"/>
  <c r="AR515" i="2"/>
  <c r="AQ515" i="2"/>
  <c r="AP515" i="2"/>
  <c r="AO515" i="2"/>
  <c r="AL515" i="2"/>
  <c r="AK515" i="2"/>
  <c r="BQ514" i="2"/>
  <c r="BP514" i="2"/>
  <c r="AB514" i="1"/>
  <c r="BO514" i="2"/>
  <c r="AA514" i="1"/>
  <c r="BN514" i="2"/>
  <c r="BM514" i="2"/>
  <c r="BL514" i="2"/>
  <c r="BK514" i="2"/>
  <c r="W514" i="1"/>
  <c r="BJ514" i="2"/>
  <c r="BI514" i="2"/>
  <c r="BH514" i="2"/>
  <c r="T514" i="1"/>
  <c r="BG514" i="2"/>
  <c r="BF514" i="2"/>
  <c r="BE514" i="2"/>
  <c r="BD514" i="2"/>
  <c r="BC514" i="2"/>
  <c r="BB514" i="2"/>
  <c r="BA514" i="2"/>
  <c r="AZ514" i="2"/>
  <c r="AY514" i="2"/>
  <c r="AX514" i="2"/>
  <c r="J514" i="1"/>
  <c r="AW514" i="2"/>
  <c r="I514" i="1"/>
  <c r="AV514" i="2"/>
  <c r="AU514" i="2"/>
  <c r="AT514" i="2"/>
  <c r="AS514" i="2"/>
  <c r="AR514" i="2"/>
  <c r="AQ514" i="2"/>
  <c r="AP514" i="2"/>
  <c r="AO514" i="2"/>
  <c r="AL514" i="2"/>
  <c r="AK514" i="2"/>
  <c r="BQ513" i="2"/>
  <c r="BP513" i="2"/>
  <c r="AB513" i="1"/>
  <c r="BO513" i="2"/>
  <c r="AA513" i="1"/>
  <c r="BN513" i="2"/>
  <c r="BM513" i="2"/>
  <c r="BL513" i="2"/>
  <c r="BK513" i="2"/>
  <c r="W513" i="1"/>
  <c r="BJ513" i="2"/>
  <c r="BI513" i="2"/>
  <c r="BH513" i="2"/>
  <c r="T513" i="1"/>
  <c r="BG513" i="2"/>
  <c r="BF513" i="2"/>
  <c r="BE513" i="2"/>
  <c r="BD513" i="2"/>
  <c r="BC513" i="2"/>
  <c r="BB513" i="2"/>
  <c r="BA513" i="2"/>
  <c r="AZ513" i="2"/>
  <c r="AY513" i="2"/>
  <c r="AX513" i="2"/>
  <c r="J513" i="1"/>
  <c r="AW513" i="2"/>
  <c r="I513" i="1"/>
  <c r="AV513" i="2"/>
  <c r="AU513" i="2"/>
  <c r="AT513" i="2"/>
  <c r="AS513" i="2"/>
  <c r="AR513" i="2"/>
  <c r="AQ513" i="2"/>
  <c r="AP513" i="2"/>
  <c r="AO513" i="2"/>
  <c r="AL513" i="2"/>
  <c r="AK513" i="2"/>
  <c r="BQ512" i="2"/>
  <c r="BP512" i="2"/>
  <c r="AB512" i="1"/>
  <c r="BO512" i="2"/>
  <c r="AA512" i="1"/>
  <c r="BN512" i="2"/>
  <c r="BM512" i="2"/>
  <c r="BL512" i="2"/>
  <c r="BK512" i="2"/>
  <c r="W512" i="1"/>
  <c r="BJ512" i="2"/>
  <c r="BI512" i="2"/>
  <c r="BH512" i="2"/>
  <c r="T512" i="1"/>
  <c r="BG512" i="2"/>
  <c r="BF512" i="2"/>
  <c r="BE512" i="2"/>
  <c r="BD512" i="2"/>
  <c r="BC512" i="2"/>
  <c r="BB512" i="2"/>
  <c r="BA512" i="2"/>
  <c r="AZ512" i="2"/>
  <c r="AY512" i="2"/>
  <c r="AX512" i="2"/>
  <c r="J512" i="1"/>
  <c r="AW512" i="2"/>
  <c r="I512" i="1"/>
  <c r="AV512" i="2"/>
  <c r="AU512" i="2"/>
  <c r="AT512" i="2"/>
  <c r="AS512" i="2"/>
  <c r="AR512" i="2"/>
  <c r="AQ512" i="2"/>
  <c r="AP512" i="2"/>
  <c r="AO512" i="2"/>
  <c r="AL512" i="2"/>
  <c r="AK512" i="2"/>
  <c r="BQ511" i="2"/>
  <c r="BP511" i="2"/>
  <c r="AB511" i="1"/>
  <c r="BO511" i="2"/>
  <c r="AA511" i="1"/>
  <c r="BN511" i="2"/>
  <c r="BM511" i="2"/>
  <c r="BL511" i="2"/>
  <c r="BK511" i="2"/>
  <c r="W511" i="1"/>
  <c r="BJ511" i="2"/>
  <c r="BI511" i="2"/>
  <c r="BH511" i="2"/>
  <c r="T511" i="1"/>
  <c r="BG511" i="2"/>
  <c r="BF511" i="2"/>
  <c r="BE511" i="2"/>
  <c r="BD511" i="2"/>
  <c r="BC511" i="2"/>
  <c r="BB511" i="2"/>
  <c r="BA511" i="2"/>
  <c r="AZ511" i="2"/>
  <c r="AY511" i="2"/>
  <c r="AX511" i="2"/>
  <c r="J511" i="1"/>
  <c r="AW511" i="2"/>
  <c r="I511" i="1"/>
  <c r="AV511" i="2"/>
  <c r="AU511" i="2"/>
  <c r="AT511" i="2"/>
  <c r="AS511" i="2"/>
  <c r="AR511" i="2"/>
  <c r="AQ511" i="2"/>
  <c r="AP511" i="2"/>
  <c r="AO511" i="2"/>
  <c r="AL511" i="2"/>
  <c r="AK511" i="2"/>
  <c r="BQ510" i="2"/>
  <c r="BP510" i="2"/>
  <c r="AB510" i="1"/>
  <c r="BO510" i="2"/>
  <c r="AA510" i="1"/>
  <c r="BN510" i="2"/>
  <c r="BM510" i="2"/>
  <c r="BL510" i="2"/>
  <c r="BK510" i="2"/>
  <c r="W510" i="1"/>
  <c r="BJ510" i="2"/>
  <c r="BI510" i="2"/>
  <c r="BH510" i="2"/>
  <c r="T510" i="1"/>
  <c r="BG510" i="2"/>
  <c r="BF510" i="2"/>
  <c r="BE510" i="2"/>
  <c r="BD510" i="2"/>
  <c r="BC510" i="2"/>
  <c r="BB510" i="2"/>
  <c r="BA510" i="2"/>
  <c r="AZ510" i="2"/>
  <c r="AY510" i="2"/>
  <c r="AX510" i="2"/>
  <c r="J510" i="1"/>
  <c r="AW510" i="2"/>
  <c r="I510" i="1"/>
  <c r="AV510" i="2"/>
  <c r="AU510" i="2"/>
  <c r="AT510" i="2"/>
  <c r="AS510" i="2"/>
  <c r="AR510" i="2"/>
  <c r="AQ510" i="2"/>
  <c r="AP510" i="2"/>
  <c r="AO510" i="2"/>
  <c r="AL510" i="2"/>
  <c r="AK510" i="2"/>
  <c r="BQ509" i="2"/>
  <c r="BP509" i="2"/>
  <c r="AB509" i="1"/>
  <c r="BO509" i="2"/>
  <c r="AA509" i="1"/>
  <c r="BN509" i="2"/>
  <c r="BM509" i="2"/>
  <c r="BL509" i="2"/>
  <c r="BK509" i="2"/>
  <c r="W509" i="1"/>
  <c r="BJ509" i="2"/>
  <c r="BI509" i="2"/>
  <c r="BH509" i="2"/>
  <c r="T509" i="1"/>
  <c r="BG509" i="2"/>
  <c r="BF509" i="2"/>
  <c r="BE509" i="2"/>
  <c r="BD509" i="2"/>
  <c r="BC509" i="2"/>
  <c r="BB509" i="2"/>
  <c r="BA509" i="2"/>
  <c r="AZ509" i="2"/>
  <c r="AY509" i="2"/>
  <c r="AX509" i="2"/>
  <c r="J509" i="1"/>
  <c r="AW509" i="2"/>
  <c r="I509" i="1"/>
  <c r="AV509" i="2"/>
  <c r="AU509" i="2"/>
  <c r="AT509" i="2"/>
  <c r="AS509" i="2"/>
  <c r="AR509" i="2"/>
  <c r="AQ509" i="2"/>
  <c r="AP509" i="2"/>
  <c r="AO509" i="2"/>
  <c r="AL509" i="2"/>
  <c r="AK509" i="2"/>
  <c r="BQ508" i="2"/>
  <c r="BP508" i="2"/>
  <c r="AB508" i="1"/>
  <c r="BO508" i="2"/>
  <c r="AA508" i="1"/>
  <c r="BN508" i="2"/>
  <c r="BM508" i="2"/>
  <c r="BL508" i="2"/>
  <c r="BK508" i="2"/>
  <c r="W508" i="1"/>
  <c r="BJ508" i="2"/>
  <c r="BI508" i="2"/>
  <c r="BH508" i="2"/>
  <c r="T508" i="1"/>
  <c r="BG508" i="2"/>
  <c r="BF508" i="2"/>
  <c r="BE508" i="2"/>
  <c r="BD508" i="2"/>
  <c r="BC508" i="2"/>
  <c r="BB508" i="2"/>
  <c r="BA508" i="2"/>
  <c r="AZ508" i="2"/>
  <c r="AY508" i="2"/>
  <c r="AX508" i="2"/>
  <c r="J508" i="1"/>
  <c r="AW508" i="2"/>
  <c r="I508" i="1"/>
  <c r="AV508" i="2"/>
  <c r="AU508" i="2"/>
  <c r="AT508" i="2"/>
  <c r="AS508" i="2"/>
  <c r="AR508" i="2"/>
  <c r="AQ508" i="2"/>
  <c r="AP508" i="2"/>
  <c r="AO508" i="2"/>
  <c r="AL508" i="2"/>
  <c r="AK508" i="2"/>
  <c r="BQ507" i="2"/>
  <c r="BP507" i="2"/>
  <c r="AB507" i="1"/>
  <c r="BO507" i="2"/>
  <c r="AA507" i="1"/>
  <c r="BN507" i="2"/>
  <c r="BM507" i="2"/>
  <c r="BL507" i="2"/>
  <c r="BK507" i="2"/>
  <c r="W507" i="1"/>
  <c r="BJ507" i="2"/>
  <c r="BI507" i="2"/>
  <c r="BH507" i="2"/>
  <c r="T507" i="1"/>
  <c r="BG507" i="2"/>
  <c r="BF507" i="2"/>
  <c r="BE507" i="2"/>
  <c r="BD507" i="2"/>
  <c r="BC507" i="2"/>
  <c r="BB507" i="2"/>
  <c r="BA507" i="2"/>
  <c r="AZ507" i="2"/>
  <c r="AY507" i="2"/>
  <c r="AX507" i="2"/>
  <c r="J507" i="1"/>
  <c r="AW507" i="2"/>
  <c r="I507" i="1"/>
  <c r="AV507" i="2"/>
  <c r="AU507" i="2"/>
  <c r="AT507" i="2"/>
  <c r="AS507" i="2"/>
  <c r="AR507" i="2"/>
  <c r="AQ507" i="2"/>
  <c r="AP507" i="2"/>
  <c r="AO507" i="2"/>
  <c r="AL507" i="2"/>
  <c r="AK507" i="2"/>
  <c r="BQ506" i="2"/>
  <c r="BP506" i="2"/>
  <c r="AB506" i="1"/>
  <c r="BO506" i="2"/>
  <c r="AA506" i="1"/>
  <c r="BN506" i="2"/>
  <c r="BM506" i="2"/>
  <c r="BL506" i="2"/>
  <c r="BK506" i="2"/>
  <c r="W506" i="1"/>
  <c r="BJ506" i="2"/>
  <c r="BI506" i="2"/>
  <c r="BH506" i="2"/>
  <c r="T506" i="1"/>
  <c r="BG506" i="2"/>
  <c r="BF506" i="2"/>
  <c r="BE506" i="2"/>
  <c r="BD506" i="2"/>
  <c r="BC506" i="2"/>
  <c r="BB506" i="2"/>
  <c r="BA506" i="2"/>
  <c r="AZ506" i="2"/>
  <c r="AY506" i="2"/>
  <c r="AX506" i="2"/>
  <c r="J506" i="1"/>
  <c r="AW506" i="2"/>
  <c r="I506" i="1"/>
  <c r="AV506" i="2"/>
  <c r="AU506" i="2"/>
  <c r="AT506" i="2"/>
  <c r="AS506" i="2"/>
  <c r="AR506" i="2"/>
  <c r="AQ506" i="2"/>
  <c r="AP506" i="2"/>
  <c r="AO506" i="2"/>
  <c r="AL506" i="2"/>
  <c r="AK506" i="2"/>
  <c r="BQ505" i="2"/>
  <c r="BP505" i="2"/>
  <c r="AB505" i="1"/>
  <c r="BO505" i="2"/>
  <c r="AA505" i="1"/>
  <c r="BN505" i="2"/>
  <c r="BM505" i="2"/>
  <c r="BL505" i="2"/>
  <c r="BK505" i="2"/>
  <c r="W505" i="1"/>
  <c r="BJ505" i="2"/>
  <c r="BI505" i="2"/>
  <c r="BH505" i="2"/>
  <c r="T505" i="1"/>
  <c r="BG505" i="2"/>
  <c r="BF505" i="2"/>
  <c r="BE505" i="2"/>
  <c r="BD505" i="2"/>
  <c r="BC505" i="2"/>
  <c r="BB505" i="2"/>
  <c r="BA505" i="2"/>
  <c r="AZ505" i="2"/>
  <c r="AY505" i="2"/>
  <c r="AX505" i="2"/>
  <c r="J505" i="1"/>
  <c r="AW505" i="2"/>
  <c r="I505" i="1"/>
  <c r="AV505" i="2"/>
  <c r="AU505" i="2"/>
  <c r="AT505" i="2"/>
  <c r="AS505" i="2"/>
  <c r="AR505" i="2"/>
  <c r="AQ505" i="2"/>
  <c r="AP505" i="2"/>
  <c r="AO505" i="2"/>
  <c r="AL505" i="2"/>
  <c r="AK505" i="2"/>
  <c r="BQ504" i="2"/>
  <c r="BP504" i="2"/>
  <c r="AB504" i="1"/>
  <c r="BO504" i="2"/>
  <c r="AA504" i="1"/>
  <c r="BN504" i="2"/>
  <c r="BM504" i="2"/>
  <c r="BL504" i="2"/>
  <c r="BK504" i="2"/>
  <c r="W504" i="1"/>
  <c r="BJ504" i="2"/>
  <c r="BI504" i="2"/>
  <c r="BH504" i="2"/>
  <c r="T504" i="1"/>
  <c r="BG504" i="2"/>
  <c r="BF504" i="2"/>
  <c r="BE504" i="2"/>
  <c r="BD504" i="2"/>
  <c r="BC504" i="2"/>
  <c r="BB504" i="2"/>
  <c r="BA504" i="2"/>
  <c r="AZ504" i="2"/>
  <c r="AY504" i="2"/>
  <c r="AX504" i="2"/>
  <c r="J504" i="1"/>
  <c r="AW504" i="2"/>
  <c r="I504" i="1"/>
  <c r="AV504" i="2"/>
  <c r="AU504" i="2"/>
  <c r="AT504" i="2"/>
  <c r="AS504" i="2"/>
  <c r="AR504" i="2"/>
  <c r="AQ504" i="2"/>
  <c r="AP504" i="2"/>
  <c r="AO504" i="2"/>
  <c r="AL504" i="2"/>
  <c r="AK504" i="2"/>
  <c r="BQ503" i="2"/>
  <c r="BP503" i="2"/>
  <c r="AB503" i="1"/>
  <c r="BO503" i="2"/>
  <c r="AA503" i="1"/>
  <c r="BN503" i="2"/>
  <c r="BM503" i="2"/>
  <c r="BL503" i="2"/>
  <c r="BK503" i="2"/>
  <c r="W503" i="1"/>
  <c r="BJ503" i="2"/>
  <c r="BI503" i="2"/>
  <c r="BH503" i="2"/>
  <c r="T503" i="1"/>
  <c r="BG503" i="2"/>
  <c r="BF503" i="2"/>
  <c r="BE503" i="2"/>
  <c r="BD503" i="2"/>
  <c r="BC503" i="2"/>
  <c r="BB503" i="2"/>
  <c r="BA503" i="2"/>
  <c r="AZ503" i="2"/>
  <c r="AY503" i="2"/>
  <c r="AX503" i="2"/>
  <c r="J503" i="1"/>
  <c r="AW503" i="2"/>
  <c r="I503" i="1"/>
  <c r="AV503" i="2"/>
  <c r="AU503" i="2"/>
  <c r="AT503" i="2"/>
  <c r="AS503" i="2"/>
  <c r="AR503" i="2"/>
  <c r="AQ503" i="2"/>
  <c r="AP503" i="2"/>
  <c r="AO503" i="2"/>
  <c r="AL503" i="2"/>
  <c r="AK503" i="2"/>
  <c r="BQ502" i="2"/>
  <c r="BP502" i="2"/>
  <c r="AB502" i="1"/>
  <c r="BO502" i="2"/>
  <c r="AA502" i="1"/>
  <c r="BN502" i="2"/>
  <c r="BM502" i="2"/>
  <c r="BL502" i="2"/>
  <c r="BK502" i="2"/>
  <c r="W502" i="1"/>
  <c r="BJ502" i="2"/>
  <c r="BI502" i="2"/>
  <c r="BH502" i="2"/>
  <c r="T502" i="1"/>
  <c r="BG502" i="2"/>
  <c r="BF502" i="2"/>
  <c r="BE502" i="2"/>
  <c r="BD502" i="2"/>
  <c r="BC502" i="2"/>
  <c r="BB502" i="2"/>
  <c r="BA502" i="2"/>
  <c r="AZ502" i="2"/>
  <c r="AY502" i="2"/>
  <c r="AX502" i="2"/>
  <c r="J502" i="1"/>
  <c r="AW502" i="2"/>
  <c r="I502" i="1"/>
  <c r="AV502" i="2"/>
  <c r="AU502" i="2"/>
  <c r="AT502" i="2"/>
  <c r="AS502" i="2"/>
  <c r="AR502" i="2"/>
  <c r="AQ502" i="2"/>
  <c r="AP502" i="2"/>
  <c r="AO502" i="2"/>
  <c r="AL502" i="2"/>
  <c r="AK502" i="2"/>
  <c r="BQ501" i="2"/>
  <c r="BP501" i="2"/>
  <c r="AB501" i="1"/>
  <c r="BO501" i="2"/>
  <c r="AA501" i="1"/>
  <c r="BN501" i="2"/>
  <c r="BM501" i="2"/>
  <c r="BL501" i="2"/>
  <c r="BK501" i="2"/>
  <c r="W501" i="1"/>
  <c r="BJ501" i="2"/>
  <c r="BI501" i="2"/>
  <c r="BH501" i="2"/>
  <c r="T501" i="1"/>
  <c r="BG501" i="2"/>
  <c r="BF501" i="2"/>
  <c r="BE501" i="2"/>
  <c r="BD501" i="2"/>
  <c r="BC501" i="2"/>
  <c r="BB501" i="2"/>
  <c r="BA501" i="2"/>
  <c r="AZ501" i="2"/>
  <c r="AY501" i="2"/>
  <c r="AX501" i="2"/>
  <c r="J501" i="1"/>
  <c r="AW501" i="2"/>
  <c r="I501" i="1"/>
  <c r="AV501" i="2"/>
  <c r="AU501" i="2"/>
  <c r="AT501" i="2"/>
  <c r="AS501" i="2"/>
  <c r="AR501" i="2"/>
  <c r="AQ501" i="2"/>
  <c r="AP501" i="2"/>
  <c r="AO501" i="2"/>
  <c r="AL501" i="2"/>
  <c r="AK501" i="2"/>
  <c r="BQ500" i="2"/>
  <c r="BP500" i="2"/>
  <c r="AB500" i="1"/>
  <c r="BO500" i="2"/>
  <c r="AA500" i="1"/>
  <c r="BN500" i="2"/>
  <c r="BM500" i="2"/>
  <c r="BL500" i="2"/>
  <c r="BK500" i="2"/>
  <c r="W500" i="1"/>
  <c r="BJ500" i="2"/>
  <c r="BI500" i="2"/>
  <c r="BH500" i="2"/>
  <c r="T500" i="1"/>
  <c r="BG500" i="2"/>
  <c r="BF500" i="2"/>
  <c r="BE500" i="2"/>
  <c r="BD500" i="2"/>
  <c r="BC500" i="2"/>
  <c r="BB500" i="2"/>
  <c r="BA500" i="2"/>
  <c r="AZ500" i="2"/>
  <c r="AY500" i="2"/>
  <c r="AX500" i="2"/>
  <c r="J500" i="1"/>
  <c r="AW500" i="2"/>
  <c r="I500" i="1"/>
  <c r="AV500" i="2"/>
  <c r="AU500" i="2"/>
  <c r="AT500" i="2"/>
  <c r="AS500" i="2"/>
  <c r="AR500" i="2"/>
  <c r="AQ500" i="2"/>
  <c r="AP500" i="2"/>
  <c r="AO500" i="2"/>
  <c r="AL500" i="2"/>
  <c r="AK500" i="2"/>
  <c r="BQ499" i="2"/>
  <c r="BP499" i="2"/>
  <c r="AB499" i="1"/>
  <c r="BO499" i="2"/>
  <c r="AA499" i="1"/>
  <c r="BN499" i="2"/>
  <c r="BM499" i="2"/>
  <c r="BL499" i="2"/>
  <c r="BK499" i="2"/>
  <c r="W499" i="1"/>
  <c r="BJ499" i="2"/>
  <c r="BI499" i="2"/>
  <c r="BH499" i="2"/>
  <c r="T499" i="1"/>
  <c r="BG499" i="2"/>
  <c r="BF499" i="2"/>
  <c r="BE499" i="2"/>
  <c r="BD499" i="2"/>
  <c r="BC499" i="2"/>
  <c r="BB499" i="2"/>
  <c r="BA499" i="2"/>
  <c r="AZ499" i="2"/>
  <c r="AY499" i="2"/>
  <c r="AX499" i="2"/>
  <c r="J499" i="1"/>
  <c r="AW499" i="2"/>
  <c r="I499" i="1"/>
  <c r="AV499" i="2"/>
  <c r="AU499" i="2"/>
  <c r="AT499" i="2"/>
  <c r="AS499" i="2"/>
  <c r="AR499" i="2"/>
  <c r="AQ499" i="2"/>
  <c r="AP499" i="2"/>
  <c r="AO499" i="2"/>
  <c r="AL499" i="2"/>
  <c r="AK499" i="2"/>
  <c r="BQ498" i="2"/>
  <c r="BP498" i="2"/>
  <c r="AB498" i="1"/>
  <c r="BO498" i="2"/>
  <c r="AA498" i="1"/>
  <c r="BN498" i="2"/>
  <c r="BM498" i="2"/>
  <c r="BL498" i="2"/>
  <c r="BK498" i="2"/>
  <c r="W498" i="1"/>
  <c r="BJ498" i="2"/>
  <c r="BI498" i="2"/>
  <c r="BH498" i="2"/>
  <c r="T498" i="1"/>
  <c r="BG498" i="2"/>
  <c r="BF498" i="2"/>
  <c r="BE498" i="2"/>
  <c r="BD498" i="2"/>
  <c r="BC498" i="2"/>
  <c r="BB498" i="2"/>
  <c r="BA498" i="2"/>
  <c r="AZ498" i="2"/>
  <c r="AY498" i="2"/>
  <c r="AX498" i="2"/>
  <c r="J498" i="1"/>
  <c r="AW498" i="2"/>
  <c r="I498" i="1"/>
  <c r="AV498" i="2"/>
  <c r="AU498" i="2"/>
  <c r="AT498" i="2"/>
  <c r="AS498" i="2"/>
  <c r="AR498" i="2"/>
  <c r="AQ498" i="2"/>
  <c r="AP498" i="2"/>
  <c r="AO498" i="2"/>
  <c r="AL498" i="2"/>
  <c r="AK498" i="2"/>
  <c r="BQ497" i="2"/>
  <c r="BP497" i="2"/>
  <c r="AB497" i="1"/>
  <c r="BO497" i="2"/>
  <c r="AA497" i="1"/>
  <c r="BN497" i="2"/>
  <c r="BM497" i="2"/>
  <c r="BL497" i="2"/>
  <c r="BK497" i="2"/>
  <c r="W497" i="1"/>
  <c r="BJ497" i="2"/>
  <c r="BI497" i="2"/>
  <c r="BH497" i="2"/>
  <c r="T497" i="1"/>
  <c r="BG497" i="2"/>
  <c r="BF497" i="2"/>
  <c r="BE497" i="2"/>
  <c r="BD497" i="2"/>
  <c r="BC497" i="2"/>
  <c r="BB497" i="2"/>
  <c r="BA497" i="2"/>
  <c r="AZ497" i="2"/>
  <c r="AY497" i="2"/>
  <c r="AX497" i="2"/>
  <c r="J497" i="1"/>
  <c r="AW497" i="2"/>
  <c r="I497" i="1"/>
  <c r="AV497" i="2"/>
  <c r="AU497" i="2"/>
  <c r="AT497" i="2"/>
  <c r="AS497" i="2"/>
  <c r="AR497" i="2"/>
  <c r="AQ497" i="2"/>
  <c r="AP497" i="2"/>
  <c r="AO497" i="2"/>
  <c r="AL497" i="2"/>
  <c r="AK497" i="2"/>
  <c r="BQ496" i="2"/>
  <c r="BP496" i="2"/>
  <c r="AB496" i="1"/>
  <c r="BO496" i="2"/>
  <c r="AA496" i="1"/>
  <c r="BN496" i="2"/>
  <c r="BM496" i="2"/>
  <c r="BL496" i="2"/>
  <c r="BK496" i="2"/>
  <c r="W496" i="1"/>
  <c r="BJ496" i="2"/>
  <c r="BI496" i="2"/>
  <c r="BH496" i="2"/>
  <c r="T496" i="1"/>
  <c r="BG496" i="2"/>
  <c r="BF496" i="2"/>
  <c r="BE496" i="2"/>
  <c r="BD496" i="2"/>
  <c r="BC496" i="2"/>
  <c r="BB496" i="2"/>
  <c r="BA496" i="2"/>
  <c r="AZ496" i="2"/>
  <c r="AY496" i="2"/>
  <c r="AX496" i="2"/>
  <c r="J496" i="1"/>
  <c r="AW496" i="2"/>
  <c r="I496" i="1"/>
  <c r="AV496" i="2"/>
  <c r="AU496" i="2"/>
  <c r="AT496" i="2"/>
  <c r="AS496" i="2"/>
  <c r="AR496" i="2"/>
  <c r="AQ496" i="2"/>
  <c r="AP496" i="2"/>
  <c r="AO496" i="2"/>
  <c r="AL496" i="2"/>
  <c r="AK496" i="2"/>
  <c r="BQ495" i="2"/>
  <c r="BP495" i="2"/>
  <c r="AB495" i="1"/>
  <c r="BO495" i="2"/>
  <c r="AA495" i="1"/>
  <c r="BN495" i="2"/>
  <c r="BM495" i="2"/>
  <c r="BL495" i="2"/>
  <c r="BK495" i="2"/>
  <c r="W495" i="1"/>
  <c r="BJ495" i="2"/>
  <c r="BI495" i="2"/>
  <c r="BH495" i="2"/>
  <c r="T495" i="1"/>
  <c r="BG495" i="2"/>
  <c r="BF495" i="2"/>
  <c r="BE495" i="2"/>
  <c r="BD495" i="2"/>
  <c r="BC495" i="2"/>
  <c r="BB495" i="2"/>
  <c r="BA495" i="2"/>
  <c r="AZ495" i="2"/>
  <c r="AY495" i="2"/>
  <c r="AX495" i="2"/>
  <c r="J495" i="1"/>
  <c r="AW495" i="2"/>
  <c r="I495" i="1"/>
  <c r="AV495" i="2"/>
  <c r="AU495" i="2"/>
  <c r="AT495" i="2"/>
  <c r="AS495" i="2"/>
  <c r="AR495" i="2"/>
  <c r="AQ495" i="2"/>
  <c r="AP495" i="2"/>
  <c r="AO495" i="2"/>
  <c r="AL495" i="2"/>
  <c r="AK495" i="2"/>
  <c r="BQ494" i="2"/>
  <c r="BP494" i="2"/>
  <c r="AB494" i="1"/>
  <c r="BO494" i="2"/>
  <c r="AA494" i="1"/>
  <c r="BN494" i="2"/>
  <c r="BM494" i="2"/>
  <c r="BL494" i="2"/>
  <c r="BK494" i="2"/>
  <c r="W494" i="1"/>
  <c r="BJ494" i="2"/>
  <c r="BI494" i="2"/>
  <c r="BH494" i="2"/>
  <c r="T494" i="1"/>
  <c r="BG494" i="2"/>
  <c r="BF494" i="2"/>
  <c r="BE494" i="2"/>
  <c r="BD494" i="2"/>
  <c r="BC494" i="2"/>
  <c r="BB494" i="2"/>
  <c r="BA494" i="2"/>
  <c r="AZ494" i="2"/>
  <c r="AY494" i="2"/>
  <c r="AX494" i="2"/>
  <c r="J494" i="1"/>
  <c r="AW494" i="2"/>
  <c r="I494" i="1"/>
  <c r="AV494" i="2"/>
  <c r="AU494" i="2"/>
  <c r="AT494" i="2"/>
  <c r="AS494" i="2"/>
  <c r="AR494" i="2"/>
  <c r="AQ494" i="2"/>
  <c r="AP494" i="2"/>
  <c r="AO494" i="2"/>
  <c r="AL494" i="2"/>
  <c r="AK494" i="2"/>
  <c r="BQ493" i="2"/>
  <c r="BP493" i="2"/>
  <c r="AB493" i="1"/>
  <c r="BO493" i="2"/>
  <c r="AA493" i="1"/>
  <c r="BN493" i="2"/>
  <c r="BM493" i="2"/>
  <c r="BL493" i="2"/>
  <c r="BK493" i="2"/>
  <c r="W493" i="1"/>
  <c r="BJ493" i="2"/>
  <c r="BI493" i="2"/>
  <c r="BH493" i="2"/>
  <c r="T493" i="1"/>
  <c r="BG493" i="2"/>
  <c r="BF493" i="2"/>
  <c r="BE493" i="2"/>
  <c r="BD493" i="2"/>
  <c r="BC493" i="2"/>
  <c r="BB493" i="2"/>
  <c r="BA493" i="2"/>
  <c r="AZ493" i="2"/>
  <c r="AY493" i="2"/>
  <c r="AX493" i="2"/>
  <c r="J493" i="1"/>
  <c r="AW493" i="2"/>
  <c r="I493" i="1"/>
  <c r="AV493" i="2"/>
  <c r="AU493" i="2"/>
  <c r="AT493" i="2"/>
  <c r="AS493" i="2"/>
  <c r="AR493" i="2"/>
  <c r="AQ493" i="2"/>
  <c r="AP493" i="2"/>
  <c r="AO493" i="2"/>
  <c r="AL493" i="2"/>
  <c r="AK493" i="2"/>
  <c r="BQ492" i="2"/>
  <c r="BP492" i="2"/>
  <c r="AB492" i="1"/>
  <c r="BO492" i="2"/>
  <c r="AA492" i="1"/>
  <c r="BN492" i="2"/>
  <c r="BM492" i="2"/>
  <c r="BL492" i="2"/>
  <c r="BK492" i="2"/>
  <c r="W492" i="1"/>
  <c r="BJ492" i="2"/>
  <c r="BI492" i="2"/>
  <c r="BH492" i="2"/>
  <c r="T492" i="1"/>
  <c r="BG492" i="2"/>
  <c r="BF492" i="2"/>
  <c r="BE492" i="2"/>
  <c r="BD492" i="2"/>
  <c r="BC492" i="2"/>
  <c r="BB492" i="2"/>
  <c r="BA492" i="2"/>
  <c r="AZ492" i="2"/>
  <c r="AY492" i="2"/>
  <c r="AX492" i="2"/>
  <c r="J492" i="1"/>
  <c r="AW492" i="2"/>
  <c r="I492" i="1"/>
  <c r="AV492" i="2"/>
  <c r="AU492" i="2"/>
  <c r="AT492" i="2"/>
  <c r="AS492" i="2"/>
  <c r="AR492" i="2"/>
  <c r="AQ492" i="2"/>
  <c r="AP492" i="2"/>
  <c r="AO492" i="2"/>
  <c r="AL492" i="2"/>
  <c r="AK492" i="2"/>
  <c r="BQ491" i="2"/>
  <c r="BP491" i="2"/>
  <c r="AB491" i="1"/>
  <c r="BO491" i="2"/>
  <c r="AA491" i="1"/>
  <c r="BN491" i="2"/>
  <c r="BM491" i="2"/>
  <c r="BL491" i="2"/>
  <c r="BK491" i="2"/>
  <c r="W491" i="1"/>
  <c r="BJ491" i="2"/>
  <c r="BI491" i="2"/>
  <c r="BH491" i="2"/>
  <c r="T491" i="1"/>
  <c r="BG491" i="2"/>
  <c r="BF491" i="2"/>
  <c r="BE491" i="2"/>
  <c r="BD491" i="2"/>
  <c r="BC491" i="2"/>
  <c r="BB491" i="2"/>
  <c r="BA491" i="2"/>
  <c r="AZ491" i="2"/>
  <c r="AY491" i="2"/>
  <c r="AX491" i="2"/>
  <c r="J491" i="1"/>
  <c r="AW491" i="2"/>
  <c r="I491" i="1"/>
  <c r="AV491" i="2"/>
  <c r="AU491" i="2"/>
  <c r="AT491" i="2"/>
  <c r="AS491" i="2"/>
  <c r="AR491" i="2"/>
  <c r="AQ491" i="2"/>
  <c r="AP491" i="2"/>
  <c r="AO491" i="2"/>
  <c r="AL491" i="2"/>
  <c r="AK491" i="2"/>
  <c r="BQ490" i="2"/>
  <c r="BP490" i="2"/>
  <c r="AB490" i="1"/>
  <c r="BO490" i="2"/>
  <c r="AA490" i="1"/>
  <c r="BN490" i="2"/>
  <c r="BM490" i="2"/>
  <c r="BL490" i="2"/>
  <c r="BK490" i="2"/>
  <c r="W490" i="1"/>
  <c r="BJ490" i="2"/>
  <c r="BI490" i="2"/>
  <c r="BH490" i="2"/>
  <c r="T490" i="1"/>
  <c r="BG490" i="2"/>
  <c r="BF490" i="2"/>
  <c r="BE490" i="2"/>
  <c r="BD490" i="2"/>
  <c r="BC490" i="2"/>
  <c r="BB490" i="2"/>
  <c r="BA490" i="2"/>
  <c r="AZ490" i="2"/>
  <c r="AY490" i="2"/>
  <c r="AX490" i="2"/>
  <c r="J490" i="1"/>
  <c r="AW490" i="2"/>
  <c r="I490" i="1"/>
  <c r="AV490" i="2"/>
  <c r="AU490" i="2"/>
  <c r="AT490" i="2"/>
  <c r="AS490" i="2"/>
  <c r="AR490" i="2"/>
  <c r="AQ490" i="2"/>
  <c r="AP490" i="2"/>
  <c r="AO490" i="2"/>
  <c r="AL490" i="2"/>
  <c r="AK490" i="2"/>
  <c r="BQ489" i="2"/>
  <c r="BP489" i="2"/>
  <c r="AB489" i="1"/>
  <c r="BO489" i="2"/>
  <c r="AA489" i="1"/>
  <c r="BN489" i="2"/>
  <c r="BM489" i="2"/>
  <c r="BL489" i="2"/>
  <c r="BK489" i="2"/>
  <c r="W489" i="1"/>
  <c r="BJ489" i="2"/>
  <c r="BI489" i="2"/>
  <c r="BH489" i="2"/>
  <c r="T489" i="1"/>
  <c r="BG489" i="2"/>
  <c r="BF489" i="2"/>
  <c r="BE489" i="2"/>
  <c r="BD489" i="2"/>
  <c r="BC489" i="2"/>
  <c r="BB489" i="2"/>
  <c r="BA489" i="2"/>
  <c r="AZ489" i="2"/>
  <c r="AY489" i="2"/>
  <c r="AX489" i="2"/>
  <c r="J489" i="1"/>
  <c r="AW489" i="2"/>
  <c r="I489" i="1"/>
  <c r="AV489" i="2"/>
  <c r="AU489" i="2"/>
  <c r="AT489" i="2"/>
  <c r="AS489" i="2"/>
  <c r="AR489" i="2"/>
  <c r="AQ489" i="2"/>
  <c r="AP489" i="2"/>
  <c r="AO489" i="2"/>
  <c r="AL489" i="2"/>
  <c r="AK489" i="2"/>
  <c r="BQ488" i="2"/>
  <c r="BP488" i="2"/>
  <c r="AB488" i="1"/>
  <c r="BO488" i="2"/>
  <c r="AA488" i="1"/>
  <c r="BN488" i="2"/>
  <c r="BM488" i="2"/>
  <c r="BL488" i="2"/>
  <c r="BK488" i="2"/>
  <c r="W488" i="1"/>
  <c r="BJ488" i="2"/>
  <c r="BI488" i="2"/>
  <c r="BH488" i="2"/>
  <c r="T488" i="1"/>
  <c r="BG488" i="2"/>
  <c r="BF488" i="2"/>
  <c r="BE488" i="2"/>
  <c r="BD488" i="2"/>
  <c r="BC488" i="2"/>
  <c r="BB488" i="2"/>
  <c r="BA488" i="2"/>
  <c r="AZ488" i="2"/>
  <c r="AY488" i="2"/>
  <c r="AX488" i="2"/>
  <c r="J488" i="1"/>
  <c r="AW488" i="2"/>
  <c r="I488" i="1"/>
  <c r="AV488" i="2"/>
  <c r="AU488" i="2"/>
  <c r="AT488" i="2"/>
  <c r="AS488" i="2"/>
  <c r="AR488" i="2"/>
  <c r="AQ488" i="2"/>
  <c r="AP488" i="2"/>
  <c r="AO488" i="2"/>
  <c r="AL488" i="2"/>
  <c r="AK488" i="2"/>
  <c r="BQ487" i="2"/>
  <c r="BP487" i="2"/>
  <c r="AB487" i="1"/>
  <c r="BO487" i="2"/>
  <c r="AA487" i="1"/>
  <c r="BN487" i="2"/>
  <c r="BM487" i="2"/>
  <c r="BL487" i="2"/>
  <c r="BK487" i="2"/>
  <c r="W487" i="1"/>
  <c r="BJ487" i="2"/>
  <c r="BI487" i="2"/>
  <c r="BH487" i="2"/>
  <c r="T487" i="1"/>
  <c r="BG487" i="2"/>
  <c r="BF487" i="2"/>
  <c r="BE487" i="2"/>
  <c r="BD487" i="2"/>
  <c r="BC487" i="2"/>
  <c r="BB487" i="2"/>
  <c r="BA487" i="2"/>
  <c r="AZ487" i="2"/>
  <c r="AY487" i="2"/>
  <c r="AX487" i="2"/>
  <c r="J487" i="1"/>
  <c r="AW487" i="2"/>
  <c r="I487" i="1"/>
  <c r="AV487" i="2"/>
  <c r="AU487" i="2"/>
  <c r="AT487" i="2"/>
  <c r="AS487" i="2"/>
  <c r="AR487" i="2"/>
  <c r="AQ487" i="2"/>
  <c r="AP487" i="2"/>
  <c r="AO487" i="2"/>
  <c r="AL487" i="2"/>
  <c r="AK487" i="2"/>
  <c r="BQ486" i="2"/>
  <c r="BP486" i="2"/>
  <c r="AB486" i="1"/>
  <c r="BO486" i="2"/>
  <c r="AA486" i="1"/>
  <c r="BN486" i="2"/>
  <c r="BM486" i="2"/>
  <c r="BL486" i="2"/>
  <c r="BK486" i="2"/>
  <c r="W486" i="1"/>
  <c r="BJ486" i="2"/>
  <c r="BI486" i="2"/>
  <c r="BH486" i="2"/>
  <c r="T486" i="1"/>
  <c r="BG486" i="2"/>
  <c r="BF486" i="2"/>
  <c r="BE486" i="2"/>
  <c r="BD486" i="2"/>
  <c r="BC486" i="2"/>
  <c r="BB486" i="2"/>
  <c r="BA486" i="2"/>
  <c r="AZ486" i="2"/>
  <c r="AY486" i="2"/>
  <c r="AX486" i="2"/>
  <c r="J486" i="1"/>
  <c r="AW486" i="2"/>
  <c r="I486" i="1"/>
  <c r="AV486" i="2"/>
  <c r="AU486" i="2"/>
  <c r="AT486" i="2"/>
  <c r="AS486" i="2"/>
  <c r="AR486" i="2"/>
  <c r="AQ486" i="2"/>
  <c r="AP486" i="2"/>
  <c r="AO486" i="2"/>
  <c r="AL486" i="2"/>
  <c r="AK486" i="2"/>
  <c r="BQ485" i="2"/>
  <c r="BP485" i="2"/>
  <c r="AB485" i="1"/>
  <c r="BO485" i="2"/>
  <c r="AA485" i="1"/>
  <c r="BN485" i="2"/>
  <c r="BM485" i="2"/>
  <c r="BL485" i="2"/>
  <c r="BK485" i="2"/>
  <c r="W485" i="1"/>
  <c r="BJ485" i="2"/>
  <c r="BI485" i="2"/>
  <c r="BH485" i="2"/>
  <c r="T485" i="1"/>
  <c r="BG485" i="2"/>
  <c r="BF485" i="2"/>
  <c r="BE485" i="2"/>
  <c r="BD485" i="2"/>
  <c r="BC485" i="2"/>
  <c r="BB485" i="2"/>
  <c r="BA485" i="2"/>
  <c r="AZ485" i="2"/>
  <c r="AY485" i="2"/>
  <c r="AX485" i="2"/>
  <c r="J485" i="1"/>
  <c r="AW485" i="2"/>
  <c r="I485" i="1"/>
  <c r="AV485" i="2"/>
  <c r="AU485" i="2"/>
  <c r="AT485" i="2"/>
  <c r="AS485" i="2"/>
  <c r="AR485" i="2"/>
  <c r="AQ485" i="2"/>
  <c r="AP485" i="2"/>
  <c r="AO485" i="2"/>
  <c r="AL485" i="2"/>
  <c r="AK485" i="2"/>
  <c r="BQ484" i="2"/>
  <c r="BP484" i="2"/>
  <c r="AB484" i="1"/>
  <c r="BO484" i="2"/>
  <c r="AA484" i="1"/>
  <c r="BN484" i="2"/>
  <c r="BM484" i="2"/>
  <c r="BL484" i="2"/>
  <c r="BK484" i="2"/>
  <c r="W484" i="1"/>
  <c r="BJ484" i="2"/>
  <c r="BI484" i="2"/>
  <c r="BH484" i="2"/>
  <c r="T484" i="1"/>
  <c r="BG484" i="2"/>
  <c r="BF484" i="2"/>
  <c r="BE484" i="2"/>
  <c r="BD484" i="2"/>
  <c r="BC484" i="2"/>
  <c r="BB484" i="2"/>
  <c r="BA484" i="2"/>
  <c r="AZ484" i="2"/>
  <c r="AY484" i="2"/>
  <c r="AX484" i="2"/>
  <c r="J484" i="1"/>
  <c r="AW484" i="2"/>
  <c r="I484" i="1"/>
  <c r="AV484" i="2"/>
  <c r="AU484" i="2"/>
  <c r="AT484" i="2"/>
  <c r="AS484" i="2"/>
  <c r="AR484" i="2"/>
  <c r="AQ484" i="2"/>
  <c r="AP484" i="2"/>
  <c r="AO484" i="2"/>
  <c r="AL484" i="2"/>
  <c r="AK484" i="2"/>
  <c r="BQ483" i="2"/>
  <c r="BP483" i="2"/>
  <c r="AB483" i="1"/>
  <c r="BO483" i="2"/>
  <c r="AA483" i="1"/>
  <c r="BN483" i="2"/>
  <c r="BM483" i="2"/>
  <c r="BL483" i="2"/>
  <c r="BK483" i="2"/>
  <c r="W483" i="1"/>
  <c r="BJ483" i="2"/>
  <c r="BI483" i="2"/>
  <c r="BH483" i="2"/>
  <c r="T483" i="1"/>
  <c r="BG483" i="2"/>
  <c r="BF483" i="2"/>
  <c r="BE483" i="2"/>
  <c r="BD483" i="2"/>
  <c r="BC483" i="2"/>
  <c r="BB483" i="2"/>
  <c r="BA483" i="2"/>
  <c r="AZ483" i="2"/>
  <c r="AY483" i="2"/>
  <c r="AX483" i="2"/>
  <c r="J483" i="1"/>
  <c r="AW483" i="2"/>
  <c r="I483" i="1"/>
  <c r="AV483" i="2"/>
  <c r="AU483" i="2"/>
  <c r="AT483" i="2"/>
  <c r="AS483" i="2"/>
  <c r="AR483" i="2"/>
  <c r="AQ483" i="2"/>
  <c r="AP483" i="2"/>
  <c r="AO483" i="2"/>
  <c r="AL483" i="2"/>
  <c r="AK483" i="2"/>
  <c r="BQ482" i="2"/>
  <c r="BP482" i="2"/>
  <c r="AB482" i="1"/>
  <c r="BO482" i="2"/>
  <c r="AA482" i="1"/>
  <c r="BN482" i="2"/>
  <c r="BM482" i="2"/>
  <c r="BL482" i="2"/>
  <c r="BK482" i="2"/>
  <c r="W482" i="1"/>
  <c r="BJ482" i="2"/>
  <c r="BI482" i="2"/>
  <c r="BH482" i="2"/>
  <c r="T482" i="1"/>
  <c r="BG482" i="2"/>
  <c r="BF482" i="2"/>
  <c r="BE482" i="2"/>
  <c r="BD482" i="2"/>
  <c r="BC482" i="2"/>
  <c r="BB482" i="2"/>
  <c r="BA482" i="2"/>
  <c r="AZ482" i="2"/>
  <c r="AY482" i="2"/>
  <c r="AX482" i="2"/>
  <c r="J482" i="1"/>
  <c r="AW482" i="2"/>
  <c r="I482" i="1"/>
  <c r="AV482" i="2"/>
  <c r="AU482" i="2"/>
  <c r="AT482" i="2"/>
  <c r="AS482" i="2"/>
  <c r="AR482" i="2"/>
  <c r="AQ482" i="2"/>
  <c r="AP482" i="2"/>
  <c r="AO482" i="2"/>
  <c r="AL482" i="2"/>
  <c r="AK482" i="2"/>
  <c r="BQ481" i="2"/>
  <c r="BP481" i="2"/>
  <c r="AB481" i="1"/>
  <c r="BO481" i="2"/>
  <c r="AA481" i="1"/>
  <c r="BN481" i="2"/>
  <c r="BM481" i="2"/>
  <c r="BL481" i="2"/>
  <c r="BK481" i="2"/>
  <c r="W481" i="1"/>
  <c r="BJ481" i="2"/>
  <c r="BI481" i="2"/>
  <c r="BH481" i="2"/>
  <c r="T481" i="1"/>
  <c r="BG481" i="2"/>
  <c r="BF481" i="2"/>
  <c r="BE481" i="2"/>
  <c r="BD481" i="2"/>
  <c r="BC481" i="2"/>
  <c r="BB481" i="2"/>
  <c r="BA481" i="2"/>
  <c r="AZ481" i="2"/>
  <c r="AY481" i="2"/>
  <c r="AX481" i="2"/>
  <c r="J481" i="1"/>
  <c r="AW481" i="2"/>
  <c r="I481" i="1"/>
  <c r="AV481" i="2"/>
  <c r="AU481" i="2"/>
  <c r="AT481" i="2"/>
  <c r="AS481" i="2"/>
  <c r="AR481" i="2"/>
  <c r="AQ481" i="2"/>
  <c r="AP481" i="2"/>
  <c r="AO481" i="2"/>
  <c r="AL481" i="2"/>
  <c r="AK481" i="2"/>
  <c r="BQ480" i="2"/>
  <c r="BP480" i="2"/>
  <c r="AB480" i="1"/>
  <c r="BO480" i="2"/>
  <c r="AA480" i="1"/>
  <c r="BN480" i="2"/>
  <c r="BM480" i="2"/>
  <c r="BL480" i="2"/>
  <c r="BK480" i="2"/>
  <c r="W480" i="1"/>
  <c r="BJ480" i="2"/>
  <c r="BI480" i="2"/>
  <c r="BH480" i="2"/>
  <c r="T480" i="1"/>
  <c r="BG480" i="2"/>
  <c r="BF480" i="2"/>
  <c r="BE480" i="2"/>
  <c r="BD480" i="2"/>
  <c r="BC480" i="2"/>
  <c r="BB480" i="2"/>
  <c r="BA480" i="2"/>
  <c r="AZ480" i="2"/>
  <c r="AY480" i="2"/>
  <c r="AX480" i="2"/>
  <c r="J480" i="1"/>
  <c r="AW480" i="2"/>
  <c r="I480" i="1"/>
  <c r="AV480" i="2"/>
  <c r="AU480" i="2"/>
  <c r="AT480" i="2"/>
  <c r="AS480" i="2"/>
  <c r="AR480" i="2"/>
  <c r="AQ480" i="2"/>
  <c r="AP480" i="2"/>
  <c r="AO480" i="2"/>
  <c r="AL480" i="2"/>
  <c r="AK480" i="2"/>
  <c r="BQ479" i="2"/>
  <c r="BP479" i="2"/>
  <c r="AB479" i="1"/>
  <c r="BO479" i="2"/>
  <c r="AA479" i="1"/>
  <c r="BN479" i="2"/>
  <c r="BM479" i="2"/>
  <c r="BL479" i="2"/>
  <c r="BK479" i="2"/>
  <c r="W479" i="1"/>
  <c r="BJ479" i="2"/>
  <c r="BI479" i="2"/>
  <c r="BH479" i="2"/>
  <c r="T479" i="1"/>
  <c r="BG479" i="2"/>
  <c r="BF479" i="2"/>
  <c r="BE479" i="2"/>
  <c r="BD479" i="2"/>
  <c r="BC479" i="2"/>
  <c r="BB479" i="2"/>
  <c r="BA479" i="2"/>
  <c r="AZ479" i="2"/>
  <c r="AY479" i="2"/>
  <c r="AX479" i="2"/>
  <c r="J479" i="1"/>
  <c r="AW479" i="2"/>
  <c r="I479" i="1"/>
  <c r="AV479" i="2"/>
  <c r="AU479" i="2"/>
  <c r="AT479" i="2"/>
  <c r="AS479" i="2"/>
  <c r="AR479" i="2"/>
  <c r="AQ479" i="2"/>
  <c r="AP479" i="2"/>
  <c r="AO479" i="2"/>
  <c r="AL479" i="2"/>
  <c r="AK479" i="2"/>
  <c r="BQ478" i="2"/>
  <c r="BP478" i="2"/>
  <c r="AB478" i="1"/>
  <c r="BO478" i="2"/>
  <c r="AA478" i="1"/>
  <c r="BN478" i="2"/>
  <c r="BM478" i="2"/>
  <c r="BL478" i="2"/>
  <c r="BK478" i="2"/>
  <c r="W478" i="1"/>
  <c r="BJ478" i="2"/>
  <c r="BI478" i="2"/>
  <c r="BH478" i="2"/>
  <c r="T478" i="1"/>
  <c r="BG478" i="2"/>
  <c r="BF478" i="2"/>
  <c r="BE478" i="2"/>
  <c r="BD478" i="2"/>
  <c r="BC478" i="2"/>
  <c r="BB478" i="2"/>
  <c r="BA478" i="2"/>
  <c r="AZ478" i="2"/>
  <c r="AY478" i="2"/>
  <c r="AX478" i="2"/>
  <c r="J478" i="1"/>
  <c r="AW478" i="2"/>
  <c r="I478" i="1"/>
  <c r="AV478" i="2"/>
  <c r="AU478" i="2"/>
  <c r="AT478" i="2"/>
  <c r="AS478" i="2"/>
  <c r="AR478" i="2"/>
  <c r="AQ478" i="2"/>
  <c r="AP478" i="2"/>
  <c r="AO478" i="2"/>
  <c r="AL478" i="2"/>
  <c r="AK478" i="2"/>
  <c r="BQ477" i="2"/>
  <c r="BP477" i="2"/>
  <c r="AB477" i="1"/>
  <c r="BO477" i="2"/>
  <c r="AA477" i="1"/>
  <c r="BN477" i="2"/>
  <c r="BM477" i="2"/>
  <c r="BL477" i="2"/>
  <c r="BK477" i="2"/>
  <c r="W477" i="1"/>
  <c r="BJ477" i="2"/>
  <c r="BI477" i="2"/>
  <c r="BH477" i="2"/>
  <c r="T477" i="1"/>
  <c r="BG477" i="2"/>
  <c r="BF477" i="2"/>
  <c r="BE477" i="2"/>
  <c r="BD477" i="2"/>
  <c r="BC477" i="2"/>
  <c r="BB477" i="2"/>
  <c r="BA477" i="2"/>
  <c r="AZ477" i="2"/>
  <c r="AY477" i="2"/>
  <c r="AX477" i="2"/>
  <c r="J477" i="1"/>
  <c r="AW477" i="2"/>
  <c r="I477" i="1"/>
  <c r="AV477" i="2"/>
  <c r="AU477" i="2"/>
  <c r="AT477" i="2"/>
  <c r="AS477" i="2"/>
  <c r="AR477" i="2"/>
  <c r="AQ477" i="2"/>
  <c r="AP477" i="2"/>
  <c r="AO477" i="2"/>
  <c r="AL477" i="2"/>
  <c r="AK477" i="2"/>
  <c r="BQ476" i="2"/>
  <c r="BP476" i="2"/>
  <c r="AB476" i="1"/>
  <c r="BO476" i="2"/>
  <c r="AA476" i="1"/>
  <c r="BN476" i="2"/>
  <c r="BM476" i="2"/>
  <c r="BL476" i="2"/>
  <c r="BK476" i="2"/>
  <c r="W476" i="1"/>
  <c r="BJ476" i="2"/>
  <c r="BI476" i="2"/>
  <c r="BH476" i="2"/>
  <c r="T476" i="1"/>
  <c r="BG476" i="2"/>
  <c r="BF476" i="2"/>
  <c r="BE476" i="2"/>
  <c r="BD476" i="2"/>
  <c r="BC476" i="2"/>
  <c r="BB476" i="2"/>
  <c r="BA476" i="2"/>
  <c r="AZ476" i="2"/>
  <c r="AY476" i="2"/>
  <c r="AX476" i="2"/>
  <c r="J476" i="1"/>
  <c r="AW476" i="2"/>
  <c r="I476" i="1"/>
  <c r="AV476" i="2"/>
  <c r="AU476" i="2"/>
  <c r="AT476" i="2"/>
  <c r="AS476" i="2"/>
  <c r="AR476" i="2"/>
  <c r="AQ476" i="2"/>
  <c r="AP476" i="2"/>
  <c r="AO476" i="2"/>
  <c r="AL476" i="2"/>
  <c r="AK476" i="2"/>
  <c r="BQ475" i="2"/>
  <c r="BP475" i="2"/>
  <c r="AB475" i="1"/>
  <c r="BO475" i="2"/>
  <c r="AA475" i="1"/>
  <c r="BN475" i="2"/>
  <c r="BM475" i="2"/>
  <c r="BL475" i="2"/>
  <c r="BK475" i="2"/>
  <c r="W475" i="1"/>
  <c r="BJ475" i="2"/>
  <c r="BI475" i="2"/>
  <c r="BH475" i="2"/>
  <c r="T475" i="1"/>
  <c r="BG475" i="2"/>
  <c r="BF475" i="2"/>
  <c r="BE475" i="2"/>
  <c r="BD475" i="2"/>
  <c r="BC475" i="2"/>
  <c r="BB475" i="2"/>
  <c r="BA475" i="2"/>
  <c r="AZ475" i="2"/>
  <c r="AY475" i="2"/>
  <c r="AX475" i="2"/>
  <c r="J475" i="1"/>
  <c r="AW475" i="2"/>
  <c r="I475" i="1"/>
  <c r="AV475" i="2"/>
  <c r="AU475" i="2"/>
  <c r="AT475" i="2"/>
  <c r="AS475" i="2"/>
  <c r="AR475" i="2"/>
  <c r="AQ475" i="2"/>
  <c r="AP475" i="2"/>
  <c r="AO475" i="2"/>
  <c r="AL475" i="2"/>
  <c r="AK475" i="2"/>
  <c r="BQ474" i="2"/>
  <c r="BP474" i="2"/>
  <c r="AB474" i="1"/>
  <c r="BO474" i="2"/>
  <c r="AA474" i="1"/>
  <c r="BN474" i="2"/>
  <c r="BM474" i="2"/>
  <c r="BL474" i="2"/>
  <c r="BK474" i="2"/>
  <c r="W474" i="1"/>
  <c r="BJ474" i="2"/>
  <c r="BI474" i="2"/>
  <c r="BH474" i="2"/>
  <c r="T474" i="1"/>
  <c r="BG474" i="2"/>
  <c r="BF474" i="2"/>
  <c r="BE474" i="2"/>
  <c r="BD474" i="2"/>
  <c r="BC474" i="2"/>
  <c r="BB474" i="2"/>
  <c r="BA474" i="2"/>
  <c r="AZ474" i="2"/>
  <c r="AY474" i="2"/>
  <c r="AX474" i="2"/>
  <c r="J474" i="1"/>
  <c r="AW474" i="2"/>
  <c r="I474" i="1"/>
  <c r="AV474" i="2"/>
  <c r="AU474" i="2"/>
  <c r="AT474" i="2"/>
  <c r="AS474" i="2"/>
  <c r="AR474" i="2"/>
  <c r="AQ474" i="2"/>
  <c r="AP474" i="2"/>
  <c r="AO474" i="2"/>
  <c r="AL474" i="2"/>
  <c r="AK474" i="2"/>
  <c r="BQ473" i="2"/>
  <c r="BP473" i="2"/>
  <c r="AB473" i="1"/>
  <c r="BO473" i="2"/>
  <c r="AA473" i="1"/>
  <c r="BN473" i="2"/>
  <c r="BM473" i="2"/>
  <c r="BL473" i="2"/>
  <c r="BK473" i="2"/>
  <c r="W473" i="1"/>
  <c r="BJ473" i="2"/>
  <c r="BI473" i="2"/>
  <c r="BH473" i="2"/>
  <c r="T473" i="1"/>
  <c r="BG473" i="2"/>
  <c r="BF473" i="2"/>
  <c r="BE473" i="2"/>
  <c r="BD473" i="2"/>
  <c r="BC473" i="2"/>
  <c r="BB473" i="2"/>
  <c r="BA473" i="2"/>
  <c r="AZ473" i="2"/>
  <c r="AY473" i="2"/>
  <c r="AX473" i="2"/>
  <c r="J473" i="1"/>
  <c r="AW473" i="2"/>
  <c r="I473" i="1"/>
  <c r="AV473" i="2"/>
  <c r="AU473" i="2"/>
  <c r="AT473" i="2"/>
  <c r="AS473" i="2"/>
  <c r="AR473" i="2"/>
  <c r="AQ473" i="2"/>
  <c r="AP473" i="2"/>
  <c r="AO473" i="2"/>
  <c r="AL473" i="2"/>
  <c r="AK473" i="2"/>
  <c r="BQ472" i="2"/>
  <c r="BP472" i="2"/>
  <c r="AB472" i="1"/>
  <c r="BO472" i="2"/>
  <c r="AA472" i="1"/>
  <c r="BN472" i="2"/>
  <c r="BM472" i="2"/>
  <c r="BL472" i="2"/>
  <c r="BK472" i="2"/>
  <c r="W472" i="1"/>
  <c r="BJ472" i="2"/>
  <c r="BI472" i="2"/>
  <c r="BH472" i="2"/>
  <c r="T472" i="1"/>
  <c r="BG472" i="2"/>
  <c r="BF472" i="2"/>
  <c r="BE472" i="2"/>
  <c r="BD472" i="2"/>
  <c r="BC472" i="2"/>
  <c r="BB472" i="2"/>
  <c r="BA472" i="2"/>
  <c r="AZ472" i="2"/>
  <c r="AY472" i="2"/>
  <c r="AX472" i="2"/>
  <c r="J472" i="1"/>
  <c r="AW472" i="2"/>
  <c r="I472" i="1"/>
  <c r="AV472" i="2"/>
  <c r="AU472" i="2"/>
  <c r="AT472" i="2"/>
  <c r="AS472" i="2"/>
  <c r="AR472" i="2"/>
  <c r="AQ472" i="2"/>
  <c r="AP472" i="2"/>
  <c r="AO472" i="2"/>
  <c r="AL472" i="2"/>
  <c r="AK472" i="2"/>
  <c r="BQ471" i="2"/>
  <c r="BP471" i="2"/>
  <c r="AB471" i="1"/>
  <c r="BO471" i="2"/>
  <c r="AA471" i="1"/>
  <c r="BN471" i="2"/>
  <c r="BM471" i="2"/>
  <c r="BL471" i="2"/>
  <c r="BK471" i="2"/>
  <c r="W471" i="1"/>
  <c r="BJ471" i="2"/>
  <c r="BI471" i="2"/>
  <c r="BH471" i="2"/>
  <c r="T471" i="1"/>
  <c r="BG471" i="2"/>
  <c r="BF471" i="2"/>
  <c r="BE471" i="2"/>
  <c r="BD471" i="2"/>
  <c r="BC471" i="2"/>
  <c r="BB471" i="2"/>
  <c r="BA471" i="2"/>
  <c r="AZ471" i="2"/>
  <c r="AY471" i="2"/>
  <c r="AX471" i="2"/>
  <c r="J471" i="1"/>
  <c r="AW471" i="2"/>
  <c r="I471" i="1"/>
  <c r="AV471" i="2"/>
  <c r="AU471" i="2"/>
  <c r="AT471" i="2"/>
  <c r="AS471" i="2"/>
  <c r="AR471" i="2"/>
  <c r="AQ471" i="2"/>
  <c r="AP471" i="2"/>
  <c r="AO471" i="2"/>
  <c r="AL471" i="2"/>
  <c r="AK471" i="2"/>
  <c r="BQ470" i="2"/>
  <c r="BP470" i="2"/>
  <c r="AB470" i="1"/>
  <c r="BO470" i="2"/>
  <c r="AA470" i="1"/>
  <c r="BN470" i="2"/>
  <c r="BM470" i="2"/>
  <c r="BL470" i="2"/>
  <c r="BK470" i="2"/>
  <c r="W470" i="1"/>
  <c r="BJ470" i="2"/>
  <c r="BI470" i="2"/>
  <c r="BH470" i="2"/>
  <c r="T470" i="1"/>
  <c r="BG470" i="2"/>
  <c r="BF470" i="2"/>
  <c r="BE470" i="2"/>
  <c r="BD470" i="2"/>
  <c r="BC470" i="2"/>
  <c r="BB470" i="2"/>
  <c r="BA470" i="2"/>
  <c r="AZ470" i="2"/>
  <c r="AY470" i="2"/>
  <c r="AX470" i="2"/>
  <c r="J470" i="1"/>
  <c r="AW470" i="2"/>
  <c r="I470" i="1"/>
  <c r="AV470" i="2"/>
  <c r="AU470" i="2"/>
  <c r="AT470" i="2"/>
  <c r="AS470" i="2"/>
  <c r="AR470" i="2"/>
  <c r="AQ470" i="2"/>
  <c r="AP470" i="2"/>
  <c r="AO470" i="2"/>
  <c r="AL470" i="2"/>
  <c r="AK470" i="2"/>
  <c r="BQ469" i="2"/>
  <c r="BP469" i="2"/>
  <c r="AB469" i="1"/>
  <c r="BO469" i="2"/>
  <c r="AA469" i="1"/>
  <c r="BN469" i="2"/>
  <c r="BM469" i="2"/>
  <c r="BL469" i="2"/>
  <c r="BK469" i="2"/>
  <c r="W469" i="1"/>
  <c r="BJ469" i="2"/>
  <c r="BI469" i="2"/>
  <c r="BH469" i="2"/>
  <c r="T469" i="1"/>
  <c r="BG469" i="2"/>
  <c r="BF469" i="2"/>
  <c r="BE469" i="2"/>
  <c r="BD469" i="2"/>
  <c r="BC469" i="2"/>
  <c r="BB469" i="2"/>
  <c r="BA469" i="2"/>
  <c r="AZ469" i="2"/>
  <c r="AY469" i="2"/>
  <c r="AX469" i="2"/>
  <c r="J469" i="1"/>
  <c r="AW469" i="2"/>
  <c r="I469" i="1"/>
  <c r="AV469" i="2"/>
  <c r="AU469" i="2"/>
  <c r="AT469" i="2"/>
  <c r="AS469" i="2"/>
  <c r="AR469" i="2"/>
  <c r="AQ469" i="2"/>
  <c r="AP469" i="2"/>
  <c r="AO469" i="2"/>
  <c r="AL469" i="2"/>
  <c r="AK469" i="2"/>
  <c r="BQ468" i="2"/>
  <c r="BP468" i="2"/>
  <c r="AB468" i="1"/>
  <c r="BO468" i="2"/>
  <c r="AA468" i="1"/>
  <c r="BN468" i="2"/>
  <c r="BM468" i="2"/>
  <c r="BL468" i="2"/>
  <c r="BK468" i="2"/>
  <c r="W468" i="1"/>
  <c r="BJ468" i="2"/>
  <c r="BI468" i="2"/>
  <c r="BH468" i="2"/>
  <c r="T468" i="1"/>
  <c r="BG468" i="2"/>
  <c r="BF468" i="2"/>
  <c r="BE468" i="2"/>
  <c r="BD468" i="2"/>
  <c r="BC468" i="2"/>
  <c r="BB468" i="2"/>
  <c r="BA468" i="2"/>
  <c r="AZ468" i="2"/>
  <c r="AY468" i="2"/>
  <c r="AX468" i="2"/>
  <c r="J468" i="1"/>
  <c r="AW468" i="2"/>
  <c r="I468" i="1"/>
  <c r="AV468" i="2"/>
  <c r="AU468" i="2"/>
  <c r="AT468" i="2"/>
  <c r="AS468" i="2"/>
  <c r="AR468" i="2"/>
  <c r="AQ468" i="2"/>
  <c r="AP468" i="2"/>
  <c r="AO468" i="2"/>
  <c r="AL468" i="2"/>
  <c r="AK468" i="2"/>
  <c r="BQ467" i="2"/>
  <c r="BP467" i="2"/>
  <c r="AB467" i="1"/>
  <c r="BO467" i="2"/>
  <c r="AA467" i="1"/>
  <c r="BN467" i="2"/>
  <c r="BM467" i="2"/>
  <c r="BL467" i="2"/>
  <c r="BK467" i="2"/>
  <c r="W467" i="1"/>
  <c r="BJ467" i="2"/>
  <c r="BI467" i="2"/>
  <c r="BH467" i="2"/>
  <c r="T467" i="1"/>
  <c r="BG467" i="2"/>
  <c r="BF467" i="2"/>
  <c r="BE467" i="2"/>
  <c r="BD467" i="2"/>
  <c r="BC467" i="2"/>
  <c r="BB467" i="2"/>
  <c r="BA467" i="2"/>
  <c r="AZ467" i="2"/>
  <c r="AY467" i="2"/>
  <c r="AX467" i="2"/>
  <c r="J467" i="1"/>
  <c r="AW467" i="2"/>
  <c r="I467" i="1"/>
  <c r="AV467" i="2"/>
  <c r="AU467" i="2"/>
  <c r="AT467" i="2"/>
  <c r="AS467" i="2"/>
  <c r="AR467" i="2"/>
  <c r="AQ467" i="2"/>
  <c r="AP467" i="2"/>
  <c r="AO467" i="2"/>
  <c r="AL467" i="2"/>
  <c r="AK467" i="2"/>
  <c r="BQ466" i="2"/>
  <c r="BP466" i="2"/>
  <c r="AB466" i="1"/>
  <c r="BO466" i="2"/>
  <c r="AA466" i="1"/>
  <c r="BN466" i="2"/>
  <c r="BM466" i="2"/>
  <c r="BL466" i="2"/>
  <c r="BK466" i="2"/>
  <c r="W466" i="1"/>
  <c r="BJ466" i="2"/>
  <c r="BI466" i="2"/>
  <c r="BH466" i="2"/>
  <c r="T466" i="1"/>
  <c r="BG466" i="2"/>
  <c r="BF466" i="2"/>
  <c r="BE466" i="2"/>
  <c r="BD466" i="2"/>
  <c r="BC466" i="2"/>
  <c r="BB466" i="2"/>
  <c r="BA466" i="2"/>
  <c r="AZ466" i="2"/>
  <c r="AY466" i="2"/>
  <c r="AX466" i="2"/>
  <c r="J466" i="1"/>
  <c r="AW466" i="2"/>
  <c r="I466" i="1"/>
  <c r="AV466" i="2"/>
  <c r="AU466" i="2"/>
  <c r="AT466" i="2"/>
  <c r="AS466" i="2"/>
  <c r="AR466" i="2"/>
  <c r="AQ466" i="2"/>
  <c r="AP466" i="2"/>
  <c r="AO466" i="2"/>
  <c r="AL466" i="2"/>
  <c r="AK466" i="2"/>
  <c r="BQ465" i="2"/>
  <c r="BP465" i="2"/>
  <c r="AB465" i="1"/>
  <c r="BO465" i="2"/>
  <c r="AA465" i="1"/>
  <c r="BN465" i="2"/>
  <c r="BM465" i="2"/>
  <c r="BL465" i="2"/>
  <c r="BK465" i="2"/>
  <c r="W465" i="1"/>
  <c r="BJ465" i="2"/>
  <c r="BI465" i="2"/>
  <c r="BH465" i="2"/>
  <c r="T465" i="1"/>
  <c r="BG465" i="2"/>
  <c r="BF465" i="2"/>
  <c r="BE465" i="2"/>
  <c r="BD465" i="2"/>
  <c r="BC465" i="2"/>
  <c r="BB465" i="2"/>
  <c r="BA465" i="2"/>
  <c r="AZ465" i="2"/>
  <c r="AY465" i="2"/>
  <c r="AX465" i="2"/>
  <c r="J465" i="1"/>
  <c r="AW465" i="2"/>
  <c r="I465" i="1"/>
  <c r="AV465" i="2"/>
  <c r="AU465" i="2"/>
  <c r="AT465" i="2"/>
  <c r="AS465" i="2"/>
  <c r="AR465" i="2"/>
  <c r="AQ465" i="2"/>
  <c r="AP465" i="2"/>
  <c r="AO465" i="2"/>
  <c r="AL465" i="2"/>
  <c r="AK465" i="2"/>
  <c r="BQ464" i="2"/>
  <c r="BP464" i="2"/>
  <c r="AB464" i="1"/>
  <c r="BO464" i="2"/>
  <c r="AA464" i="1"/>
  <c r="BN464" i="2"/>
  <c r="BM464" i="2"/>
  <c r="BL464" i="2"/>
  <c r="BK464" i="2"/>
  <c r="W464" i="1"/>
  <c r="BJ464" i="2"/>
  <c r="BI464" i="2"/>
  <c r="BH464" i="2"/>
  <c r="T464" i="1"/>
  <c r="BG464" i="2"/>
  <c r="BF464" i="2"/>
  <c r="BE464" i="2"/>
  <c r="BD464" i="2"/>
  <c r="BC464" i="2"/>
  <c r="BB464" i="2"/>
  <c r="BA464" i="2"/>
  <c r="AZ464" i="2"/>
  <c r="AY464" i="2"/>
  <c r="AX464" i="2"/>
  <c r="J464" i="1"/>
  <c r="AW464" i="2"/>
  <c r="I464" i="1"/>
  <c r="AV464" i="2"/>
  <c r="AU464" i="2"/>
  <c r="AT464" i="2"/>
  <c r="AS464" i="2"/>
  <c r="AR464" i="2"/>
  <c r="AQ464" i="2"/>
  <c r="AP464" i="2"/>
  <c r="AO464" i="2"/>
  <c r="AL464" i="2"/>
  <c r="AK464" i="2"/>
  <c r="BQ463" i="2"/>
  <c r="BP463" i="2"/>
  <c r="AB463" i="1"/>
  <c r="BO463" i="2"/>
  <c r="AA463" i="1"/>
  <c r="BN463" i="2"/>
  <c r="BM463" i="2"/>
  <c r="BL463" i="2"/>
  <c r="BK463" i="2"/>
  <c r="W463" i="1"/>
  <c r="BJ463" i="2"/>
  <c r="BI463" i="2"/>
  <c r="BH463" i="2"/>
  <c r="T463" i="1"/>
  <c r="BG463" i="2"/>
  <c r="BF463" i="2"/>
  <c r="BE463" i="2"/>
  <c r="BD463" i="2"/>
  <c r="BC463" i="2"/>
  <c r="BB463" i="2"/>
  <c r="BA463" i="2"/>
  <c r="AZ463" i="2"/>
  <c r="AY463" i="2"/>
  <c r="AX463" i="2"/>
  <c r="J463" i="1"/>
  <c r="AW463" i="2"/>
  <c r="I463" i="1"/>
  <c r="AV463" i="2"/>
  <c r="AU463" i="2"/>
  <c r="AT463" i="2"/>
  <c r="AS463" i="2"/>
  <c r="AR463" i="2"/>
  <c r="AQ463" i="2"/>
  <c r="AP463" i="2"/>
  <c r="AO463" i="2"/>
  <c r="AL463" i="2"/>
  <c r="AK463" i="2"/>
  <c r="BQ462" i="2"/>
  <c r="BP462" i="2"/>
  <c r="AB462" i="1"/>
  <c r="BO462" i="2"/>
  <c r="AA462" i="1"/>
  <c r="BN462" i="2"/>
  <c r="BM462" i="2"/>
  <c r="BL462" i="2"/>
  <c r="BK462" i="2"/>
  <c r="W462" i="1"/>
  <c r="BJ462" i="2"/>
  <c r="BI462" i="2"/>
  <c r="BH462" i="2"/>
  <c r="T462" i="1"/>
  <c r="BG462" i="2"/>
  <c r="BF462" i="2"/>
  <c r="BE462" i="2"/>
  <c r="BD462" i="2"/>
  <c r="BC462" i="2"/>
  <c r="BB462" i="2"/>
  <c r="BA462" i="2"/>
  <c r="AZ462" i="2"/>
  <c r="AY462" i="2"/>
  <c r="AX462" i="2"/>
  <c r="J462" i="1"/>
  <c r="AW462" i="2"/>
  <c r="I462" i="1"/>
  <c r="AV462" i="2"/>
  <c r="AU462" i="2"/>
  <c r="AT462" i="2"/>
  <c r="AS462" i="2"/>
  <c r="AR462" i="2"/>
  <c r="AQ462" i="2"/>
  <c r="AP462" i="2"/>
  <c r="AO462" i="2"/>
  <c r="AL462" i="2"/>
  <c r="AK462" i="2"/>
  <c r="BQ461" i="2"/>
  <c r="BP461" i="2"/>
  <c r="AB461" i="1"/>
  <c r="BO461" i="2"/>
  <c r="AA461" i="1"/>
  <c r="BN461" i="2"/>
  <c r="BM461" i="2"/>
  <c r="BL461" i="2"/>
  <c r="BK461" i="2"/>
  <c r="W461" i="1"/>
  <c r="BJ461" i="2"/>
  <c r="BI461" i="2"/>
  <c r="BH461" i="2"/>
  <c r="T461" i="1"/>
  <c r="BG461" i="2"/>
  <c r="BF461" i="2"/>
  <c r="BE461" i="2"/>
  <c r="BD461" i="2"/>
  <c r="BC461" i="2"/>
  <c r="BB461" i="2"/>
  <c r="BA461" i="2"/>
  <c r="AZ461" i="2"/>
  <c r="AY461" i="2"/>
  <c r="AX461" i="2"/>
  <c r="J461" i="1"/>
  <c r="AW461" i="2"/>
  <c r="I461" i="1"/>
  <c r="AV461" i="2"/>
  <c r="AU461" i="2"/>
  <c r="AT461" i="2"/>
  <c r="AS461" i="2"/>
  <c r="AR461" i="2"/>
  <c r="AQ461" i="2"/>
  <c r="AP461" i="2"/>
  <c r="AO461" i="2"/>
  <c r="AL461" i="2"/>
  <c r="AK461" i="2"/>
  <c r="BQ460" i="2"/>
  <c r="BP460" i="2"/>
  <c r="AB460" i="1"/>
  <c r="BO460" i="2"/>
  <c r="AA460" i="1"/>
  <c r="BN460" i="2"/>
  <c r="BM460" i="2"/>
  <c r="BL460" i="2"/>
  <c r="BK460" i="2"/>
  <c r="W460" i="1"/>
  <c r="BJ460" i="2"/>
  <c r="BI460" i="2"/>
  <c r="BH460" i="2"/>
  <c r="T460" i="1"/>
  <c r="BG460" i="2"/>
  <c r="BF460" i="2"/>
  <c r="BE460" i="2"/>
  <c r="BD460" i="2"/>
  <c r="BC460" i="2"/>
  <c r="BB460" i="2"/>
  <c r="BA460" i="2"/>
  <c r="AZ460" i="2"/>
  <c r="AY460" i="2"/>
  <c r="AX460" i="2"/>
  <c r="J460" i="1"/>
  <c r="AW460" i="2"/>
  <c r="I460" i="1"/>
  <c r="AV460" i="2"/>
  <c r="AU460" i="2"/>
  <c r="AT460" i="2"/>
  <c r="AS460" i="2"/>
  <c r="AR460" i="2"/>
  <c r="AQ460" i="2"/>
  <c r="AP460" i="2"/>
  <c r="AO460" i="2"/>
  <c r="AL460" i="2"/>
  <c r="AK460" i="2"/>
  <c r="BQ459" i="2"/>
  <c r="BP459" i="2"/>
  <c r="AB459" i="1"/>
  <c r="BO459" i="2"/>
  <c r="AA459" i="1"/>
  <c r="BN459" i="2"/>
  <c r="BM459" i="2"/>
  <c r="BL459" i="2"/>
  <c r="BK459" i="2"/>
  <c r="W459" i="1"/>
  <c r="BJ459" i="2"/>
  <c r="BI459" i="2"/>
  <c r="BH459" i="2"/>
  <c r="T459" i="1"/>
  <c r="BG459" i="2"/>
  <c r="BF459" i="2"/>
  <c r="BE459" i="2"/>
  <c r="BD459" i="2"/>
  <c r="BC459" i="2"/>
  <c r="BB459" i="2"/>
  <c r="BA459" i="2"/>
  <c r="AZ459" i="2"/>
  <c r="AY459" i="2"/>
  <c r="AX459" i="2"/>
  <c r="J459" i="1"/>
  <c r="AW459" i="2"/>
  <c r="I459" i="1"/>
  <c r="AV459" i="2"/>
  <c r="AU459" i="2"/>
  <c r="AT459" i="2"/>
  <c r="AS459" i="2"/>
  <c r="AR459" i="2"/>
  <c r="AQ459" i="2"/>
  <c r="AP459" i="2"/>
  <c r="AO459" i="2"/>
  <c r="AL459" i="2"/>
  <c r="AK459" i="2"/>
  <c r="BQ458" i="2"/>
  <c r="BP458" i="2"/>
  <c r="AB458" i="1"/>
  <c r="BO458" i="2"/>
  <c r="AA458" i="1"/>
  <c r="BN458" i="2"/>
  <c r="BM458" i="2"/>
  <c r="BL458" i="2"/>
  <c r="BK458" i="2"/>
  <c r="W458" i="1"/>
  <c r="BJ458" i="2"/>
  <c r="BI458" i="2"/>
  <c r="BH458" i="2"/>
  <c r="T458" i="1"/>
  <c r="BG458" i="2"/>
  <c r="BF458" i="2"/>
  <c r="BE458" i="2"/>
  <c r="BD458" i="2"/>
  <c r="BC458" i="2"/>
  <c r="BB458" i="2"/>
  <c r="BA458" i="2"/>
  <c r="AZ458" i="2"/>
  <c r="AY458" i="2"/>
  <c r="AX458" i="2"/>
  <c r="J458" i="1"/>
  <c r="AW458" i="2"/>
  <c r="I458" i="1"/>
  <c r="AV458" i="2"/>
  <c r="AU458" i="2"/>
  <c r="AT458" i="2"/>
  <c r="AS458" i="2"/>
  <c r="AR458" i="2"/>
  <c r="AQ458" i="2"/>
  <c r="AP458" i="2"/>
  <c r="AO458" i="2"/>
  <c r="AL458" i="2"/>
  <c r="AK458" i="2"/>
  <c r="BQ457" i="2"/>
  <c r="BP457" i="2"/>
  <c r="AB457" i="1"/>
  <c r="BO457" i="2"/>
  <c r="AA457" i="1"/>
  <c r="BN457" i="2"/>
  <c r="BM457" i="2"/>
  <c r="BL457" i="2"/>
  <c r="BK457" i="2"/>
  <c r="W457" i="1"/>
  <c r="BJ457" i="2"/>
  <c r="BI457" i="2"/>
  <c r="BH457" i="2"/>
  <c r="T457" i="1"/>
  <c r="BG457" i="2"/>
  <c r="BF457" i="2"/>
  <c r="BE457" i="2"/>
  <c r="BD457" i="2"/>
  <c r="BC457" i="2"/>
  <c r="BB457" i="2"/>
  <c r="BA457" i="2"/>
  <c r="AZ457" i="2"/>
  <c r="AY457" i="2"/>
  <c r="AX457" i="2"/>
  <c r="J457" i="1"/>
  <c r="AW457" i="2"/>
  <c r="I457" i="1"/>
  <c r="AV457" i="2"/>
  <c r="AU457" i="2"/>
  <c r="AT457" i="2"/>
  <c r="AS457" i="2"/>
  <c r="AR457" i="2"/>
  <c r="AQ457" i="2"/>
  <c r="AP457" i="2"/>
  <c r="AO457" i="2"/>
  <c r="AL457" i="2"/>
  <c r="AK457" i="2"/>
  <c r="BQ456" i="2"/>
  <c r="BP456" i="2"/>
  <c r="AB456" i="1"/>
  <c r="BO456" i="2"/>
  <c r="AA456" i="1"/>
  <c r="BN456" i="2"/>
  <c r="BM456" i="2"/>
  <c r="BL456" i="2"/>
  <c r="BK456" i="2"/>
  <c r="W456" i="1"/>
  <c r="BJ456" i="2"/>
  <c r="BI456" i="2"/>
  <c r="BH456" i="2"/>
  <c r="T456" i="1"/>
  <c r="BG456" i="2"/>
  <c r="BF456" i="2"/>
  <c r="BE456" i="2"/>
  <c r="BD456" i="2"/>
  <c r="BC456" i="2"/>
  <c r="BB456" i="2"/>
  <c r="BA456" i="2"/>
  <c r="AZ456" i="2"/>
  <c r="AY456" i="2"/>
  <c r="AX456" i="2"/>
  <c r="J456" i="1"/>
  <c r="AW456" i="2"/>
  <c r="I456" i="1"/>
  <c r="AV456" i="2"/>
  <c r="AU456" i="2"/>
  <c r="AT456" i="2"/>
  <c r="AS456" i="2"/>
  <c r="AR456" i="2"/>
  <c r="AQ456" i="2"/>
  <c r="AP456" i="2"/>
  <c r="AO456" i="2"/>
  <c r="AL456" i="2"/>
  <c r="AK456" i="2"/>
  <c r="BQ455" i="2"/>
  <c r="BP455" i="2"/>
  <c r="AB455" i="1"/>
  <c r="BO455" i="2"/>
  <c r="AA455" i="1"/>
  <c r="BN455" i="2"/>
  <c r="BM455" i="2"/>
  <c r="BL455" i="2"/>
  <c r="BK455" i="2"/>
  <c r="W455" i="1"/>
  <c r="BJ455" i="2"/>
  <c r="BI455" i="2"/>
  <c r="BH455" i="2"/>
  <c r="T455" i="1"/>
  <c r="BG455" i="2"/>
  <c r="BF455" i="2"/>
  <c r="BE455" i="2"/>
  <c r="BD455" i="2"/>
  <c r="BC455" i="2"/>
  <c r="BB455" i="2"/>
  <c r="BA455" i="2"/>
  <c r="AZ455" i="2"/>
  <c r="AY455" i="2"/>
  <c r="AX455" i="2"/>
  <c r="J455" i="1"/>
  <c r="AW455" i="2"/>
  <c r="I455" i="1"/>
  <c r="AV455" i="2"/>
  <c r="AU455" i="2"/>
  <c r="AT455" i="2"/>
  <c r="AS455" i="2"/>
  <c r="AR455" i="2"/>
  <c r="AQ455" i="2"/>
  <c r="AP455" i="2"/>
  <c r="AO455" i="2"/>
  <c r="AL455" i="2"/>
  <c r="AK455" i="2"/>
  <c r="BQ454" i="2"/>
  <c r="BP454" i="2"/>
  <c r="AB454" i="1"/>
  <c r="BO454" i="2"/>
  <c r="AA454" i="1"/>
  <c r="BN454" i="2"/>
  <c r="BM454" i="2"/>
  <c r="BL454" i="2"/>
  <c r="BK454" i="2"/>
  <c r="W454" i="1"/>
  <c r="BJ454" i="2"/>
  <c r="BI454" i="2"/>
  <c r="BH454" i="2"/>
  <c r="T454" i="1"/>
  <c r="BG454" i="2"/>
  <c r="BF454" i="2"/>
  <c r="BE454" i="2"/>
  <c r="BD454" i="2"/>
  <c r="BC454" i="2"/>
  <c r="BB454" i="2"/>
  <c r="BA454" i="2"/>
  <c r="AZ454" i="2"/>
  <c r="AY454" i="2"/>
  <c r="AX454" i="2"/>
  <c r="J454" i="1"/>
  <c r="AW454" i="2"/>
  <c r="I454" i="1"/>
  <c r="AV454" i="2"/>
  <c r="AU454" i="2"/>
  <c r="AT454" i="2"/>
  <c r="AS454" i="2"/>
  <c r="AR454" i="2"/>
  <c r="AQ454" i="2"/>
  <c r="AP454" i="2"/>
  <c r="AO454" i="2"/>
  <c r="AL454" i="2"/>
  <c r="AK454" i="2"/>
  <c r="BQ453" i="2"/>
  <c r="BP453" i="2"/>
  <c r="AB453" i="1"/>
  <c r="BO453" i="2"/>
  <c r="AA453" i="1"/>
  <c r="BN453" i="2"/>
  <c r="BM453" i="2"/>
  <c r="BL453" i="2"/>
  <c r="BK453" i="2"/>
  <c r="W453" i="1"/>
  <c r="BJ453" i="2"/>
  <c r="BI453" i="2"/>
  <c r="BH453" i="2"/>
  <c r="T453" i="1"/>
  <c r="BG453" i="2"/>
  <c r="BF453" i="2"/>
  <c r="BE453" i="2"/>
  <c r="BD453" i="2"/>
  <c r="BC453" i="2"/>
  <c r="BB453" i="2"/>
  <c r="BA453" i="2"/>
  <c r="AZ453" i="2"/>
  <c r="AY453" i="2"/>
  <c r="AX453" i="2"/>
  <c r="J453" i="1"/>
  <c r="AW453" i="2"/>
  <c r="I453" i="1"/>
  <c r="AV453" i="2"/>
  <c r="AU453" i="2"/>
  <c r="AT453" i="2"/>
  <c r="AS453" i="2"/>
  <c r="AR453" i="2"/>
  <c r="AQ453" i="2"/>
  <c r="AP453" i="2"/>
  <c r="AO453" i="2"/>
  <c r="AL453" i="2"/>
  <c r="AK453" i="2"/>
  <c r="BQ452" i="2"/>
  <c r="BP452" i="2"/>
  <c r="AB452" i="1"/>
  <c r="BO452" i="2"/>
  <c r="AA452" i="1"/>
  <c r="BN452" i="2"/>
  <c r="BM452" i="2"/>
  <c r="BL452" i="2"/>
  <c r="BK452" i="2"/>
  <c r="W452" i="1"/>
  <c r="BJ452" i="2"/>
  <c r="BI452" i="2"/>
  <c r="BH452" i="2"/>
  <c r="T452" i="1"/>
  <c r="BG452" i="2"/>
  <c r="BF452" i="2"/>
  <c r="BE452" i="2"/>
  <c r="BD452" i="2"/>
  <c r="BC452" i="2"/>
  <c r="BB452" i="2"/>
  <c r="BA452" i="2"/>
  <c r="AZ452" i="2"/>
  <c r="AY452" i="2"/>
  <c r="AX452" i="2"/>
  <c r="J452" i="1"/>
  <c r="AW452" i="2"/>
  <c r="I452" i="1"/>
  <c r="AV452" i="2"/>
  <c r="AU452" i="2"/>
  <c r="AT452" i="2"/>
  <c r="AS452" i="2"/>
  <c r="AR452" i="2"/>
  <c r="AQ452" i="2"/>
  <c r="AP452" i="2"/>
  <c r="AO452" i="2"/>
  <c r="AL452" i="2"/>
  <c r="AK452" i="2"/>
  <c r="BQ451" i="2"/>
  <c r="BP451" i="2"/>
  <c r="AB451" i="1"/>
  <c r="BO451" i="2"/>
  <c r="AA451" i="1"/>
  <c r="BN451" i="2"/>
  <c r="BM451" i="2"/>
  <c r="BL451" i="2"/>
  <c r="BK451" i="2"/>
  <c r="W451" i="1"/>
  <c r="BJ451" i="2"/>
  <c r="BI451" i="2"/>
  <c r="BH451" i="2"/>
  <c r="T451" i="1"/>
  <c r="BG451" i="2"/>
  <c r="BF451" i="2"/>
  <c r="BE451" i="2"/>
  <c r="BD451" i="2"/>
  <c r="BC451" i="2"/>
  <c r="BB451" i="2"/>
  <c r="BA451" i="2"/>
  <c r="AZ451" i="2"/>
  <c r="AY451" i="2"/>
  <c r="AX451" i="2"/>
  <c r="J451" i="1"/>
  <c r="AW451" i="2"/>
  <c r="I451" i="1"/>
  <c r="AV451" i="2"/>
  <c r="AU451" i="2"/>
  <c r="AT451" i="2"/>
  <c r="AS451" i="2"/>
  <c r="AR451" i="2"/>
  <c r="AQ451" i="2"/>
  <c r="AP451" i="2"/>
  <c r="AO451" i="2"/>
  <c r="AL451" i="2"/>
  <c r="AK451" i="2"/>
  <c r="BQ450" i="2"/>
  <c r="BP450" i="2"/>
  <c r="AB450" i="1"/>
  <c r="BO450" i="2"/>
  <c r="AA450" i="1"/>
  <c r="BN450" i="2"/>
  <c r="BM450" i="2"/>
  <c r="BL450" i="2"/>
  <c r="BK450" i="2"/>
  <c r="W450" i="1"/>
  <c r="BJ450" i="2"/>
  <c r="BI450" i="2"/>
  <c r="BH450" i="2"/>
  <c r="T450" i="1"/>
  <c r="BG450" i="2"/>
  <c r="BF450" i="2"/>
  <c r="BE450" i="2"/>
  <c r="BD450" i="2"/>
  <c r="BC450" i="2"/>
  <c r="BB450" i="2"/>
  <c r="BA450" i="2"/>
  <c r="AZ450" i="2"/>
  <c r="AY450" i="2"/>
  <c r="AX450" i="2"/>
  <c r="J450" i="1"/>
  <c r="AW450" i="2"/>
  <c r="I450" i="1"/>
  <c r="AV450" i="2"/>
  <c r="AU450" i="2"/>
  <c r="AT450" i="2"/>
  <c r="AS450" i="2"/>
  <c r="AR450" i="2"/>
  <c r="AQ450" i="2"/>
  <c r="AP450" i="2"/>
  <c r="AO450" i="2"/>
  <c r="AL450" i="2"/>
  <c r="AK450" i="2"/>
  <c r="BQ449" i="2"/>
  <c r="BP449" i="2"/>
  <c r="AB449" i="1"/>
  <c r="BO449" i="2"/>
  <c r="AA449" i="1"/>
  <c r="BN449" i="2"/>
  <c r="BM449" i="2"/>
  <c r="BL449" i="2"/>
  <c r="BK449" i="2"/>
  <c r="W449" i="1"/>
  <c r="BJ449" i="2"/>
  <c r="BI449" i="2"/>
  <c r="BH449" i="2"/>
  <c r="T449" i="1"/>
  <c r="BG449" i="2"/>
  <c r="BF449" i="2"/>
  <c r="BE449" i="2"/>
  <c r="BD449" i="2"/>
  <c r="BC449" i="2"/>
  <c r="BB449" i="2"/>
  <c r="BA449" i="2"/>
  <c r="AZ449" i="2"/>
  <c r="AY449" i="2"/>
  <c r="AX449" i="2"/>
  <c r="J449" i="1"/>
  <c r="AW449" i="2"/>
  <c r="I449" i="1"/>
  <c r="AV449" i="2"/>
  <c r="AU449" i="2"/>
  <c r="AT449" i="2"/>
  <c r="AS449" i="2"/>
  <c r="AR449" i="2"/>
  <c r="AQ449" i="2"/>
  <c r="AP449" i="2"/>
  <c r="AO449" i="2"/>
  <c r="AL449" i="2"/>
  <c r="AK449" i="2"/>
  <c r="BQ448" i="2"/>
  <c r="BP448" i="2"/>
  <c r="AB448" i="1"/>
  <c r="BO448" i="2"/>
  <c r="AA448" i="1"/>
  <c r="BN448" i="2"/>
  <c r="BM448" i="2"/>
  <c r="BL448" i="2"/>
  <c r="BK448" i="2"/>
  <c r="W448" i="1"/>
  <c r="BJ448" i="2"/>
  <c r="BI448" i="2"/>
  <c r="BH448" i="2"/>
  <c r="T448" i="1"/>
  <c r="BG448" i="2"/>
  <c r="BF448" i="2"/>
  <c r="BE448" i="2"/>
  <c r="BD448" i="2"/>
  <c r="BC448" i="2"/>
  <c r="BB448" i="2"/>
  <c r="BA448" i="2"/>
  <c r="AZ448" i="2"/>
  <c r="AY448" i="2"/>
  <c r="AX448" i="2"/>
  <c r="J448" i="1"/>
  <c r="AW448" i="2"/>
  <c r="I448" i="1"/>
  <c r="AV448" i="2"/>
  <c r="AU448" i="2"/>
  <c r="AT448" i="2"/>
  <c r="AS448" i="2"/>
  <c r="AR448" i="2"/>
  <c r="AQ448" i="2"/>
  <c r="AP448" i="2"/>
  <c r="AO448" i="2"/>
  <c r="AL448" i="2"/>
  <c r="AK448" i="2"/>
  <c r="BQ447" i="2"/>
  <c r="BP447" i="2"/>
  <c r="AB447" i="1"/>
  <c r="BO447" i="2"/>
  <c r="AA447" i="1"/>
  <c r="BN447" i="2"/>
  <c r="BM447" i="2"/>
  <c r="BL447" i="2"/>
  <c r="BK447" i="2"/>
  <c r="W447" i="1"/>
  <c r="BJ447" i="2"/>
  <c r="BI447" i="2"/>
  <c r="BH447" i="2"/>
  <c r="T447" i="1"/>
  <c r="BG447" i="2"/>
  <c r="BF447" i="2"/>
  <c r="BE447" i="2"/>
  <c r="BD447" i="2"/>
  <c r="BC447" i="2"/>
  <c r="BB447" i="2"/>
  <c r="BA447" i="2"/>
  <c r="AZ447" i="2"/>
  <c r="AY447" i="2"/>
  <c r="AX447" i="2"/>
  <c r="J447" i="1"/>
  <c r="AW447" i="2"/>
  <c r="I447" i="1"/>
  <c r="AV447" i="2"/>
  <c r="AU447" i="2"/>
  <c r="AT447" i="2"/>
  <c r="AS447" i="2"/>
  <c r="AR447" i="2"/>
  <c r="AQ447" i="2"/>
  <c r="AP447" i="2"/>
  <c r="AO447" i="2"/>
  <c r="AL447" i="2"/>
  <c r="AK447" i="2"/>
  <c r="BQ446" i="2"/>
  <c r="BP446" i="2"/>
  <c r="AB446" i="1"/>
  <c r="BO446" i="2"/>
  <c r="AA446" i="1"/>
  <c r="BN446" i="2"/>
  <c r="BM446" i="2"/>
  <c r="BL446" i="2"/>
  <c r="BK446" i="2"/>
  <c r="W446" i="1"/>
  <c r="BJ446" i="2"/>
  <c r="BI446" i="2"/>
  <c r="BH446" i="2"/>
  <c r="T446" i="1"/>
  <c r="BG446" i="2"/>
  <c r="BF446" i="2"/>
  <c r="BE446" i="2"/>
  <c r="BD446" i="2"/>
  <c r="BC446" i="2"/>
  <c r="BB446" i="2"/>
  <c r="BA446" i="2"/>
  <c r="AZ446" i="2"/>
  <c r="AY446" i="2"/>
  <c r="AX446" i="2"/>
  <c r="J446" i="1"/>
  <c r="AW446" i="2"/>
  <c r="I446" i="1"/>
  <c r="AV446" i="2"/>
  <c r="AU446" i="2"/>
  <c r="AT446" i="2"/>
  <c r="AS446" i="2"/>
  <c r="AR446" i="2"/>
  <c r="AQ446" i="2"/>
  <c r="AP446" i="2"/>
  <c r="AO446" i="2"/>
  <c r="AL446" i="2"/>
  <c r="AK446" i="2"/>
  <c r="BQ445" i="2"/>
  <c r="BP445" i="2"/>
  <c r="AB445" i="1"/>
  <c r="BO445" i="2"/>
  <c r="AA445" i="1"/>
  <c r="BN445" i="2"/>
  <c r="BM445" i="2"/>
  <c r="BL445" i="2"/>
  <c r="BK445" i="2"/>
  <c r="W445" i="1"/>
  <c r="BJ445" i="2"/>
  <c r="BI445" i="2"/>
  <c r="BH445" i="2"/>
  <c r="T445" i="1"/>
  <c r="BG445" i="2"/>
  <c r="BF445" i="2"/>
  <c r="BE445" i="2"/>
  <c r="BD445" i="2"/>
  <c r="BC445" i="2"/>
  <c r="BB445" i="2"/>
  <c r="BA445" i="2"/>
  <c r="AZ445" i="2"/>
  <c r="AY445" i="2"/>
  <c r="AX445" i="2"/>
  <c r="J445" i="1"/>
  <c r="AW445" i="2"/>
  <c r="I445" i="1"/>
  <c r="AV445" i="2"/>
  <c r="AU445" i="2"/>
  <c r="AT445" i="2"/>
  <c r="AS445" i="2"/>
  <c r="AR445" i="2"/>
  <c r="AQ445" i="2"/>
  <c r="AP445" i="2"/>
  <c r="AO445" i="2"/>
  <c r="AL445" i="2"/>
  <c r="AK445" i="2"/>
  <c r="BQ444" i="2"/>
  <c r="BP444" i="2"/>
  <c r="AB444" i="1"/>
  <c r="BO444" i="2"/>
  <c r="AA444" i="1"/>
  <c r="BN444" i="2"/>
  <c r="BM444" i="2"/>
  <c r="BL444" i="2"/>
  <c r="BK444" i="2"/>
  <c r="W444" i="1"/>
  <c r="BJ444" i="2"/>
  <c r="BI444" i="2"/>
  <c r="BH444" i="2"/>
  <c r="T444" i="1"/>
  <c r="BG444" i="2"/>
  <c r="BF444" i="2"/>
  <c r="BE444" i="2"/>
  <c r="BD444" i="2"/>
  <c r="BC444" i="2"/>
  <c r="BB444" i="2"/>
  <c r="BA444" i="2"/>
  <c r="AZ444" i="2"/>
  <c r="AY444" i="2"/>
  <c r="AX444" i="2"/>
  <c r="J444" i="1"/>
  <c r="AW444" i="2"/>
  <c r="I444" i="1"/>
  <c r="AV444" i="2"/>
  <c r="AU444" i="2"/>
  <c r="AT444" i="2"/>
  <c r="AS444" i="2"/>
  <c r="AR444" i="2"/>
  <c r="AQ444" i="2"/>
  <c r="AP444" i="2"/>
  <c r="AO444" i="2"/>
  <c r="AL444" i="2"/>
  <c r="AK444" i="2"/>
  <c r="BQ443" i="2"/>
  <c r="BP443" i="2"/>
  <c r="AB443" i="1"/>
  <c r="BO443" i="2"/>
  <c r="AA443" i="1"/>
  <c r="BN443" i="2"/>
  <c r="BM443" i="2"/>
  <c r="BL443" i="2"/>
  <c r="BK443" i="2"/>
  <c r="W443" i="1"/>
  <c r="BJ443" i="2"/>
  <c r="BI443" i="2"/>
  <c r="BH443" i="2"/>
  <c r="T443" i="1"/>
  <c r="BG443" i="2"/>
  <c r="BF443" i="2"/>
  <c r="BE443" i="2"/>
  <c r="BD443" i="2"/>
  <c r="BC443" i="2"/>
  <c r="BB443" i="2"/>
  <c r="BA443" i="2"/>
  <c r="AZ443" i="2"/>
  <c r="AY443" i="2"/>
  <c r="AX443" i="2"/>
  <c r="J443" i="1"/>
  <c r="AW443" i="2"/>
  <c r="I443" i="1"/>
  <c r="AV443" i="2"/>
  <c r="AU443" i="2"/>
  <c r="AT443" i="2"/>
  <c r="AS443" i="2"/>
  <c r="AR443" i="2"/>
  <c r="AQ443" i="2"/>
  <c r="AP443" i="2"/>
  <c r="AO443" i="2"/>
  <c r="AL443" i="2"/>
  <c r="AK443" i="2"/>
  <c r="BQ442" i="2"/>
  <c r="BP442" i="2"/>
  <c r="AB442" i="1"/>
  <c r="BO442" i="2"/>
  <c r="AA442" i="1"/>
  <c r="BN442" i="2"/>
  <c r="BM442" i="2"/>
  <c r="BL442" i="2"/>
  <c r="BK442" i="2"/>
  <c r="W442" i="1"/>
  <c r="BJ442" i="2"/>
  <c r="BI442" i="2"/>
  <c r="BH442" i="2"/>
  <c r="T442" i="1"/>
  <c r="BG442" i="2"/>
  <c r="BF442" i="2"/>
  <c r="BE442" i="2"/>
  <c r="BD442" i="2"/>
  <c r="BC442" i="2"/>
  <c r="BB442" i="2"/>
  <c r="BA442" i="2"/>
  <c r="AZ442" i="2"/>
  <c r="AY442" i="2"/>
  <c r="AX442" i="2"/>
  <c r="J442" i="1"/>
  <c r="AW442" i="2"/>
  <c r="I442" i="1"/>
  <c r="AV442" i="2"/>
  <c r="AU442" i="2"/>
  <c r="AT442" i="2"/>
  <c r="AS442" i="2"/>
  <c r="AR442" i="2"/>
  <c r="AQ442" i="2"/>
  <c r="AP442" i="2"/>
  <c r="AO442" i="2"/>
  <c r="AL442" i="2"/>
  <c r="AK442" i="2"/>
  <c r="BQ441" i="2"/>
  <c r="BP441" i="2"/>
  <c r="AB441" i="1"/>
  <c r="BO441" i="2"/>
  <c r="AA441" i="1"/>
  <c r="BN441" i="2"/>
  <c r="BM441" i="2"/>
  <c r="BL441" i="2"/>
  <c r="BK441" i="2"/>
  <c r="W441" i="1"/>
  <c r="BJ441" i="2"/>
  <c r="BI441" i="2"/>
  <c r="BH441" i="2"/>
  <c r="T441" i="1"/>
  <c r="BG441" i="2"/>
  <c r="BF441" i="2"/>
  <c r="BE441" i="2"/>
  <c r="BD441" i="2"/>
  <c r="BC441" i="2"/>
  <c r="BB441" i="2"/>
  <c r="BA441" i="2"/>
  <c r="AZ441" i="2"/>
  <c r="AY441" i="2"/>
  <c r="AX441" i="2"/>
  <c r="J441" i="1"/>
  <c r="AW441" i="2"/>
  <c r="I441" i="1"/>
  <c r="AV441" i="2"/>
  <c r="AU441" i="2"/>
  <c r="AT441" i="2"/>
  <c r="AS441" i="2"/>
  <c r="AR441" i="2"/>
  <c r="AQ441" i="2"/>
  <c r="AP441" i="2"/>
  <c r="AO441" i="2"/>
  <c r="AL441" i="2"/>
  <c r="AK441" i="2"/>
  <c r="BQ440" i="2"/>
  <c r="BP440" i="2"/>
  <c r="AB440" i="1"/>
  <c r="BO440" i="2"/>
  <c r="AA440" i="1"/>
  <c r="BN440" i="2"/>
  <c r="BM440" i="2"/>
  <c r="BL440" i="2"/>
  <c r="BK440" i="2"/>
  <c r="W440" i="1"/>
  <c r="BJ440" i="2"/>
  <c r="BI440" i="2"/>
  <c r="BH440" i="2"/>
  <c r="T440" i="1"/>
  <c r="BG440" i="2"/>
  <c r="BF440" i="2"/>
  <c r="BE440" i="2"/>
  <c r="BD440" i="2"/>
  <c r="BC440" i="2"/>
  <c r="BB440" i="2"/>
  <c r="BA440" i="2"/>
  <c r="AZ440" i="2"/>
  <c r="AY440" i="2"/>
  <c r="AX440" i="2"/>
  <c r="J440" i="1"/>
  <c r="AW440" i="2"/>
  <c r="I440" i="1"/>
  <c r="AV440" i="2"/>
  <c r="AU440" i="2"/>
  <c r="AT440" i="2"/>
  <c r="AS440" i="2"/>
  <c r="AR440" i="2"/>
  <c r="AQ440" i="2"/>
  <c r="AP440" i="2"/>
  <c r="AO440" i="2"/>
  <c r="AL440" i="2"/>
  <c r="AK440" i="2"/>
  <c r="BQ439" i="2"/>
  <c r="BP439" i="2"/>
  <c r="AB439" i="1"/>
  <c r="BO439" i="2"/>
  <c r="AA439" i="1"/>
  <c r="BN439" i="2"/>
  <c r="BM439" i="2"/>
  <c r="BL439" i="2"/>
  <c r="BK439" i="2"/>
  <c r="W439" i="1"/>
  <c r="BJ439" i="2"/>
  <c r="BI439" i="2"/>
  <c r="BH439" i="2"/>
  <c r="T439" i="1"/>
  <c r="BG439" i="2"/>
  <c r="BF439" i="2"/>
  <c r="BE439" i="2"/>
  <c r="BD439" i="2"/>
  <c r="BC439" i="2"/>
  <c r="BB439" i="2"/>
  <c r="BA439" i="2"/>
  <c r="AZ439" i="2"/>
  <c r="AY439" i="2"/>
  <c r="AX439" i="2"/>
  <c r="J439" i="1"/>
  <c r="AW439" i="2"/>
  <c r="I439" i="1"/>
  <c r="AV439" i="2"/>
  <c r="AU439" i="2"/>
  <c r="AT439" i="2"/>
  <c r="AS439" i="2"/>
  <c r="AR439" i="2"/>
  <c r="AQ439" i="2"/>
  <c r="AP439" i="2"/>
  <c r="AO439" i="2"/>
  <c r="AL439" i="2"/>
  <c r="AK439" i="2"/>
  <c r="BQ438" i="2"/>
  <c r="BP438" i="2"/>
  <c r="AB438" i="1"/>
  <c r="BO438" i="2"/>
  <c r="AA438" i="1"/>
  <c r="BN438" i="2"/>
  <c r="BM438" i="2"/>
  <c r="BL438" i="2"/>
  <c r="BK438" i="2"/>
  <c r="W438" i="1"/>
  <c r="BJ438" i="2"/>
  <c r="BI438" i="2"/>
  <c r="BH438" i="2"/>
  <c r="T438" i="1"/>
  <c r="BG438" i="2"/>
  <c r="BF438" i="2"/>
  <c r="BE438" i="2"/>
  <c r="BD438" i="2"/>
  <c r="BC438" i="2"/>
  <c r="BB438" i="2"/>
  <c r="BA438" i="2"/>
  <c r="AZ438" i="2"/>
  <c r="AY438" i="2"/>
  <c r="AX438" i="2"/>
  <c r="J438" i="1"/>
  <c r="AW438" i="2"/>
  <c r="I438" i="1"/>
  <c r="AV438" i="2"/>
  <c r="AU438" i="2"/>
  <c r="AT438" i="2"/>
  <c r="AS438" i="2"/>
  <c r="AR438" i="2"/>
  <c r="AQ438" i="2"/>
  <c r="AP438" i="2"/>
  <c r="AO438" i="2"/>
  <c r="AL438" i="2"/>
  <c r="AK438" i="2"/>
  <c r="BQ437" i="2"/>
  <c r="BP437" i="2"/>
  <c r="AB437" i="1"/>
  <c r="BO437" i="2"/>
  <c r="AA437" i="1"/>
  <c r="BN437" i="2"/>
  <c r="BM437" i="2"/>
  <c r="BL437" i="2"/>
  <c r="BK437" i="2"/>
  <c r="W437" i="1"/>
  <c r="BJ437" i="2"/>
  <c r="BI437" i="2"/>
  <c r="BH437" i="2"/>
  <c r="T437" i="1"/>
  <c r="BG437" i="2"/>
  <c r="BF437" i="2"/>
  <c r="BE437" i="2"/>
  <c r="BD437" i="2"/>
  <c r="BC437" i="2"/>
  <c r="BB437" i="2"/>
  <c r="BA437" i="2"/>
  <c r="AZ437" i="2"/>
  <c r="AY437" i="2"/>
  <c r="AX437" i="2"/>
  <c r="J437" i="1"/>
  <c r="AW437" i="2"/>
  <c r="I437" i="1"/>
  <c r="AV437" i="2"/>
  <c r="AU437" i="2"/>
  <c r="AT437" i="2"/>
  <c r="AS437" i="2"/>
  <c r="AR437" i="2"/>
  <c r="AQ437" i="2"/>
  <c r="AP437" i="2"/>
  <c r="AO437" i="2"/>
  <c r="AL437" i="2"/>
  <c r="AK437" i="2"/>
  <c r="BQ436" i="2"/>
  <c r="BP436" i="2"/>
  <c r="AB436" i="1"/>
  <c r="BO436" i="2"/>
  <c r="AA436" i="1"/>
  <c r="BN436" i="2"/>
  <c r="BM436" i="2"/>
  <c r="BL436" i="2"/>
  <c r="BK436" i="2"/>
  <c r="W436" i="1"/>
  <c r="BJ436" i="2"/>
  <c r="BI436" i="2"/>
  <c r="BH436" i="2"/>
  <c r="T436" i="1"/>
  <c r="BG436" i="2"/>
  <c r="BF436" i="2"/>
  <c r="BE436" i="2"/>
  <c r="BD436" i="2"/>
  <c r="BC436" i="2"/>
  <c r="BB436" i="2"/>
  <c r="BA436" i="2"/>
  <c r="AZ436" i="2"/>
  <c r="AY436" i="2"/>
  <c r="AX436" i="2"/>
  <c r="J436" i="1"/>
  <c r="AW436" i="2"/>
  <c r="I436" i="1"/>
  <c r="AV436" i="2"/>
  <c r="AU436" i="2"/>
  <c r="AT436" i="2"/>
  <c r="AS436" i="2"/>
  <c r="AR436" i="2"/>
  <c r="AQ436" i="2"/>
  <c r="AP436" i="2"/>
  <c r="AO436" i="2"/>
  <c r="AL436" i="2"/>
  <c r="AK436" i="2"/>
  <c r="BQ435" i="2"/>
  <c r="BP435" i="2"/>
  <c r="AB435" i="1"/>
  <c r="BO435" i="2"/>
  <c r="AA435" i="1"/>
  <c r="BN435" i="2"/>
  <c r="BM435" i="2"/>
  <c r="BL435" i="2"/>
  <c r="BK435" i="2"/>
  <c r="W435" i="1"/>
  <c r="BJ435" i="2"/>
  <c r="BI435" i="2"/>
  <c r="BH435" i="2"/>
  <c r="T435" i="1"/>
  <c r="BG435" i="2"/>
  <c r="BF435" i="2"/>
  <c r="BE435" i="2"/>
  <c r="BD435" i="2"/>
  <c r="BC435" i="2"/>
  <c r="BB435" i="2"/>
  <c r="BA435" i="2"/>
  <c r="AZ435" i="2"/>
  <c r="AY435" i="2"/>
  <c r="AX435" i="2"/>
  <c r="J435" i="1"/>
  <c r="AW435" i="2"/>
  <c r="I435" i="1"/>
  <c r="AV435" i="2"/>
  <c r="AU435" i="2"/>
  <c r="AT435" i="2"/>
  <c r="AS435" i="2"/>
  <c r="AR435" i="2"/>
  <c r="AQ435" i="2"/>
  <c r="AP435" i="2"/>
  <c r="AO435" i="2"/>
  <c r="AL435" i="2"/>
  <c r="AK435" i="2"/>
  <c r="BQ434" i="2"/>
  <c r="BP434" i="2"/>
  <c r="AB434" i="1"/>
  <c r="BO434" i="2"/>
  <c r="AA434" i="1"/>
  <c r="BN434" i="2"/>
  <c r="BM434" i="2"/>
  <c r="BL434" i="2"/>
  <c r="BK434" i="2"/>
  <c r="W434" i="1"/>
  <c r="BJ434" i="2"/>
  <c r="BI434" i="2"/>
  <c r="BH434" i="2"/>
  <c r="T434" i="1"/>
  <c r="BG434" i="2"/>
  <c r="BF434" i="2"/>
  <c r="BE434" i="2"/>
  <c r="BD434" i="2"/>
  <c r="BC434" i="2"/>
  <c r="BB434" i="2"/>
  <c r="BA434" i="2"/>
  <c r="AZ434" i="2"/>
  <c r="AY434" i="2"/>
  <c r="AX434" i="2"/>
  <c r="J434" i="1"/>
  <c r="AW434" i="2"/>
  <c r="I434" i="1"/>
  <c r="AV434" i="2"/>
  <c r="AU434" i="2"/>
  <c r="AT434" i="2"/>
  <c r="AS434" i="2"/>
  <c r="AR434" i="2"/>
  <c r="AQ434" i="2"/>
  <c r="AP434" i="2"/>
  <c r="AO434" i="2"/>
  <c r="AL434" i="2"/>
  <c r="AK434" i="2"/>
  <c r="BQ433" i="2"/>
  <c r="BP433" i="2"/>
  <c r="AB433" i="1"/>
  <c r="BO433" i="2"/>
  <c r="AA433" i="1"/>
  <c r="BN433" i="2"/>
  <c r="BM433" i="2"/>
  <c r="BL433" i="2"/>
  <c r="BK433" i="2"/>
  <c r="W433" i="1"/>
  <c r="BJ433" i="2"/>
  <c r="BI433" i="2"/>
  <c r="BH433" i="2"/>
  <c r="T433" i="1"/>
  <c r="BG433" i="2"/>
  <c r="BF433" i="2"/>
  <c r="BE433" i="2"/>
  <c r="BD433" i="2"/>
  <c r="BC433" i="2"/>
  <c r="BB433" i="2"/>
  <c r="BA433" i="2"/>
  <c r="AZ433" i="2"/>
  <c r="AY433" i="2"/>
  <c r="AX433" i="2"/>
  <c r="J433" i="1"/>
  <c r="AW433" i="2"/>
  <c r="I433" i="1"/>
  <c r="AV433" i="2"/>
  <c r="AU433" i="2"/>
  <c r="AT433" i="2"/>
  <c r="AS433" i="2"/>
  <c r="AR433" i="2"/>
  <c r="AQ433" i="2"/>
  <c r="AP433" i="2"/>
  <c r="AO433" i="2"/>
  <c r="AL433" i="2"/>
  <c r="AK433" i="2"/>
  <c r="BQ432" i="2"/>
  <c r="BP432" i="2"/>
  <c r="AB432" i="1"/>
  <c r="BO432" i="2"/>
  <c r="AA432" i="1"/>
  <c r="BN432" i="2"/>
  <c r="BM432" i="2"/>
  <c r="BL432" i="2"/>
  <c r="BK432" i="2"/>
  <c r="W432" i="1"/>
  <c r="BJ432" i="2"/>
  <c r="BI432" i="2"/>
  <c r="BH432" i="2"/>
  <c r="T432" i="1"/>
  <c r="BG432" i="2"/>
  <c r="BF432" i="2"/>
  <c r="BE432" i="2"/>
  <c r="BD432" i="2"/>
  <c r="BC432" i="2"/>
  <c r="BB432" i="2"/>
  <c r="BA432" i="2"/>
  <c r="AZ432" i="2"/>
  <c r="AY432" i="2"/>
  <c r="AX432" i="2"/>
  <c r="J432" i="1"/>
  <c r="AW432" i="2"/>
  <c r="I432" i="1"/>
  <c r="AV432" i="2"/>
  <c r="AU432" i="2"/>
  <c r="AT432" i="2"/>
  <c r="AS432" i="2"/>
  <c r="AR432" i="2"/>
  <c r="AQ432" i="2"/>
  <c r="AP432" i="2"/>
  <c r="AO432" i="2"/>
  <c r="AL432" i="2"/>
  <c r="AK432" i="2"/>
  <c r="BQ431" i="2"/>
  <c r="BP431" i="2"/>
  <c r="AB431" i="1"/>
  <c r="BO431" i="2"/>
  <c r="AA431" i="1"/>
  <c r="BN431" i="2"/>
  <c r="BM431" i="2"/>
  <c r="BL431" i="2"/>
  <c r="BK431" i="2"/>
  <c r="W431" i="1"/>
  <c r="BJ431" i="2"/>
  <c r="BI431" i="2"/>
  <c r="BH431" i="2"/>
  <c r="T431" i="1"/>
  <c r="BG431" i="2"/>
  <c r="BF431" i="2"/>
  <c r="BE431" i="2"/>
  <c r="BD431" i="2"/>
  <c r="BC431" i="2"/>
  <c r="BB431" i="2"/>
  <c r="BA431" i="2"/>
  <c r="AZ431" i="2"/>
  <c r="AY431" i="2"/>
  <c r="AX431" i="2"/>
  <c r="J431" i="1"/>
  <c r="AW431" i="2"/>
  <c r="I431" i="1"/>
  <c r="AV431" i="2"/>
  <c r="AU431" i="2"/>
  <c r="AT431" i="2"/>
  <c r="AS431" i="2"/>
  <c r="AR431" i="2"/>
  <c r="AQ431" i="2"/>
  <c r="AP431" i="2"/>
  <c r="AO431" i="2"/>
  <c r="AL431" i="2"/>
  <c r="AK431" i="2"/>
  <c r="BQ430" i="2"/>
  <c r="BP430" i="2"/>
  <c r="AB430" i="1"/>
  <c r="BO430" i="2"/>
  <c r="AA430" i="1"/>
  <c r="BN430" i="2"/>
  <c r="BM430" i="2"/>
  <c r="BL430" i="2"/>
  <c r="BK430" i="2"/>
  <c r="W430" i="1"/>
  <c r="BJ430" i="2"/>
  <c r="BI430" i="2"/>
  <c r="BH430" i="2"/>
  <c r="T430" i="1"/>
  <c r="BG430" i="2"/>
  <c r="BF430" i="2"/>
  <c r="BE430" i="2"/>
  <c r="BD430" i="2"/>
  <c r="BC430" i="2"/>
  <c r="BB430" i="2"/>
  <c r="BA430" i="2"/>
  <c r="AZ430" i="2"/>
  <c r="AY430" i="2"/>
  <c r="AX430" i="2"/>
  <c r="J430" i="1"/>
  <c r="AW430" i="2"/>
  <c r="I430" i="1"/>
  <c r="AV430" i="2"/>
  <c r="AU430" i="2"/>
  <c r="AT430" i="2"/>
  <c r="AS430" i="2"/>
  <c r="AR430" i="2"/>
  <c r="AQ430" i="2"/>
  <c r="AP430" i="2"/>
  <c r="AO430" i="2"/>
  <c r="AL430" i="2"/>
  <c r="AK430" i="2"/>
  <c r="BQ429" i="2"/>
  <c r="BP429" i="2"/>
  <c r="AB429" i="1"/>
  <c r="BO429" i="2"/>
  <c r="AA429" i="1"/>
  <c r="BN429" i="2"/>
  <c r="BM429" i="2"/>
  <c r="BL429" i="2"/>
  <c r="BK429" i="2"/>
  <c r="W429" i="1"/>
  <c r="BJ429" i="2"/>
  <c r="BI429" i="2"/>
  <c r="BH429" i="2"/>
  <c r="T429" i="1"/>
  <c r="BG429" i="2"/>
  <c r="BF429" i="2"/>
  <c r="BE429" i="2"/>
  <c r="BD429" i="2"/>
  <c r="BC429" i="2"/>
  <c r="BB429" i="2"/>
  <c r="BA429" i="2"/>
  <c r="AZ429" i="2"/>
  <c r="AY429" i="2"/>
  <c r="AX429" i="2"/>
  <c r="J429" i="1"/>
  <c r="AW429" i="2"/>
  <c r="I429" i="1"/>
  <c r="AV429" i="2"/>
  <c r="AU429" i="2"/>
  <c r="AT429" i="2"/>
  <c r="AS429" i="2"/>
  <c r="AR429" i="2"/>
  <c r="AQ429" i="2"/>
  <c r="AP429" i="2"/>
  <c r="AO429" i="2"/>
  <c r="AL429" i="2"/>
  <c r="AK429" i="2"/>
  <c r="BQ428" i="2"/>
  <c r="BP428" i="2"/>
  <c r="AB428" i="1"/>
  <c r="BO428" i="2"/>
  <c r="AA428" i="1"/>
  <c r="BN428" i="2"/>
  <c r="BM428" i="2"/>
  <c r="BL428" i="2"/>
  <c r="BK428" i="2"/>
  <c r="W428" i="1"/>
  <c r="BJ428" i="2"/>
  <c r="BI428" i="2"/>
  <c r="BH428" i="2"/>
  <c r="T428" i="1"/>
  <c r="BG428" i="2"/>
  <c r="BF428" i="2"/>
  <c r="BE428" i="2"/>
  <c r="BD428" i="2"/>
  <c r="BC428" i="2"/>
  <c r="BB428" i="2"/>
  <c r="BA428" i="2"/>
  <c r="AZ428" i="2"/>
  <c r="AY428" i="2"/>
  <c r="AX428" i="2"/>
  <c r="J428" i="1"/>
  <c r="AW428" i="2"/>
  <c r="I428" i="1"/>
  <c r="AV428" i="2"/>
  <c r="AU428" i="2"/>
  <c r="AT428" i="2"/>
  <c r="AS428" i="2"/>
  <c r="AR428" i="2"/>
  <c r="AQ428" i="2"/>
  <c r="AP428" i="2"/>
  <c r="AO428" i="2"/>
  <c r="AL428" i="2"/>
  <c r="AK428" i="2"/>
  <c r="BQ427" i="2"/>
  <c r="BP427" i="2"/>
  <c r="AB427" i="1"/>
  <c r="BO427" i="2"/>
  <c r="AA427" i="1"/>
  <c r="BN427" i="2"/>
  <c r="BM427" i="2"/>
  <c r="BL427" i="2"/>
  <c r="BK427" i="2"/>
  <c r="W427" i="1"/>
  <c r="BJ427" i="2"/>
  <c r="BI427" i="2"/>
  <c r="BH427" i="2"/>
  <c r="T427" i="1"/>
  <c r="BG427" i="2"/>
  <c r="BF427" i="2"/>
  <c r="BE427" i="2"/>
  <c r="BD427" i="2"/>
  <c r="BC427" i="2"/>
  <c r="BB427" i="2"/>
  <c r="BA427" i="2"/>
  <c r="AZ427" i="2"/>
  <c r="AY427" i="2"/>
  <c r="AX427" i="2"/>
  <c r="J427" i="1"/>
  <c r="AW427" i="2"/>
  <c r="I427" i="1"/>
  <c r="AV427" i="2"/>
  <c r="AU427" i="2"/>
  <c r="AT427" i="2"/>
  <c r="AS427" i="2"/>
  <c r="AR427" i="2"/>
  <c r="AQ427" i="2"/>
  <c r="AP427" i="2"/>
  <c r="AO427" i="2"/>
  <c r="AL427" i="2"/>
  <c r="AK427" i="2"/>
  <c r="BQ426" i="2"/>
  <c r="BP426" i="2"/>
  <c r="AB426" i="1"/>
  <c r="BO426" i="2"/>
  <c r="AA426" i="1"/>
  <c r="BN426" i="2"/>
  <c r="BM426" i="2"/>
  <c r="BL426" i="2"/>
  <c r="BK426" i="2"/>
  <c r="W426" i="1"/>
  <c r="BJ426" i="2"/>
  <c r="BI426" i="2"/>
  <c r="BH426" i="2"/>
  <c r="T426" i="1"/>
  <c r="BG426" i="2"/>
  <c r="BF426" i="2"/>
  <c r="BE426" i="2"/>
  <c r="BD426" i="2"/>
  <c r="BC426" i="2"/>
  <c r="BB426" i="2"/>
  <c r="BA426" i="2"/>
  <c r="AZ426" i="2"/>
  <c r="AY426" i="2"/>
  <c r="AX426" i="2"/>
  <c r="J426" i="1"/>
  <c r="AW426" i="2"/>
  <c r="I426" i="1"/>
  <c r="AV426" i="2"/>
  <c r="AU426" i="2"/>
  <c r="AT426" i="2"/>
  <c r="AS426" i="2"/>
  <c r="AR426" i="2"/>
  <c r="AQ426" i="2"/>
  <c r="AP426" i="2"/>
  <c r="AO426" i="2"/>
  <c r="AL426" i="2"/>
  <c r="AK426" i="2"/>
  <c r="BQ425" i="2"/>
  <c r="BP425" i="2"/>
  <c r="AB425" i="1"/>
  <c r="BO425" i="2"/>
  <c r="AA425" i="1"/>
  <c r="BN425" i="2"/>
  <c r="BM425" i="2"/>
  <c r="BL425" i="2"/>
  <c r="BK425" i="2"/>
  <c r="W425" i="1"/>
  <c r="BJ425" i="2"/>
  <c r="BI425" i="2"/>
  <c r="BH425" i="2"/>
  <c r="T425" i="1"/>
  <c r="BG425" i="2"/>
  <c r="BF425" i="2"/>
  <c r="BE425" i="2"/>
  <c r="BD425" i="2"/>
  <c r="BC425" i="2"/>
  <c r="BB425" i="2"/>
  <c r="BA425" i="2"/>
  <c r="AZ425" i="2"/>
  <c r="AY425" i="2"/>
  <c r="AX425" i="2"/>
  <c r="J425" i="1"/>
  <c r="AW425" i="2"/>
  <c r="I425" i="1"/>
  <c r="AV425" i="2"/>
  <c r="AU425" i="2"/>
  <c r="AT425" i="2"/>
  <c r="AS425" i="2"/>
  <c r="AR425" i="2"/>
  <c r="AQ425" i="2"/>
  <c r="AP425" i="2"/>
  <c r="AO425" i="2"/>
  <c r="AL425" i="2"/>
  <c r="AK425" i="2"/>
  <c r="BQ424" i="2"/>
  <c r="BP424" i="2"/>
  <c r="AB424" i="1"/>
  <c r="BO424" i="2"/>
  <c r="AA424" i="1"/>
  <c r="BN424" i="2"/>
  <c r="BM424" i="2"/>
  <c r="BL424" i="2"/>
  <c r="BK424" i="2"/>
  <c r="W424" i="1"/>
  <c r="BJ424" i="2"/>
  <c r="BI424" i="2"/>
  <c r="BH424" i="2"/>
  <c r="T424" i="1"/>
  <c r="BG424" i="2"/>
  <c r="BF424" i="2"/>
  <c r="BE424" i="2"/>
  <c r="BD424" i="2"/>
  <c r="BC424" i="2"/>
  <c r="BB424" i="2"/>
  <c r="BA424" i="2"/>
  <c r="AZ424" i="2"/>
  <c r="AY424" i="2"/>
  <c r="AX424" i="2"/>
  <c r="J424" i="1"/>
  <c r="AW424" i="2"/>
  <c r="I424" i="1"/>
  <c r="AV424" i="2"/>
  <c r="AU424" i="2"/>
  <c r="AT424" i="2"/>
  <c r="AS424" i="2"/>
  <c r="AR424" i="2"/>
  <c r="AQ424" i="2"/>
  <c r="AP424" i="2"/>
  <c r="AO424" i="2"/>
  <c r="AL424" i="2"/>
  <c r="AK424" i="2"/>
  <c r="BQ423" i="2"/>
  <c r="BP423" i="2"/>
  <c r="AB423" i="1"/>
  <c r="BO423" i="2"/>
  <c r="AA423" i="1"/>
  <c r="BN423" i="2"/>
  <c r="BM423" i="2"/>
  <c r="BL423" i="2"/>
  <c r="BK423" i="2"/>
  <c r="W423" i="1"/>
  <c r="BJ423" i="2"/>
  <c r="BI423" i="2"/>
  <c r="BH423" i="2"/>
  <c r="T423" i="1"/>
  <c r="BG423" i="2"/>
  <c r="BF423" i="2"/>
  <c r="BE423" i="2"/>
  <c r="BD423" i="2"/>
  <c r="BC423" i="2"/>
  <c r="BB423" i="2"/>
  <c r="BA423" i="2"/>
  <c r="AZ423" i="2"/>
  <c r="AY423" i="2"/>
  <c r="AX423" i="2"/>
  <c r="J423" i="1"/>
  <c r="AW423" i="2"/>
  <c r="I423" i="1"/>
  <c r="AV423" i="2"/>
  <c r="AU423" i="2"/>
  <c r="AT423" i="2"/>
  <c r="AS423" i="2"/>
  <c r="AR423" i="2"/>
  <c r="AQ423" i="2"/>
  <c r="AP423" i="2"/>
  <c r="AO423" i="2"/>
  <c r="AL423" i="2"/>
  <c r="AK423" i="2"/>
  <c r="BQ422" i="2"/>
  <c r="BP422" i="2"/>
  <c r="AB422" i="1"/>
  <c r="BO422" i="2"/>
  <c r="AA422" i="1"/>
  <c r="BN422" i="2"/>
  <c r="BM422" i="2"/>
  <c r="BL422" i="2"/>
  <c r="BK422" i="2"/>
  <c r="W422" i="1"/>
  <c r="BJ422" i="2"/>
  <c r="BI422" i="2"/>
  <c r="BH422" i="2"/>
  <c r="T422" i="1"/>
  <c r="BG422" i="2"/>
  <c r="BF422" i="2"/>
  <c r="BE422" i="2"/>
  <c r="BD422" i="2"/>
  <c r="BC422" i="2"/>
  <c r="BB422" i="2"/>
  <c r="BA422" i="2"/>
  <c r="AZ422" i="2"/>
  <c r="AY422" i="2"/>
  <c r="AX422" i="2"/>
  <c r="J422" i="1"/>
  <c r="AW422" i="2"/>
  <c r="I422" i="1"/>
  <c r="AV422" i="2"/>
  <c r="AU422" i="2"/>
  <c r="AT422" i="2"/>
  <c r="AS422" i="2"/>
  <c r="AR422" i="2"/>
  <c r="AQ422" i="2"/>
  <c r="AP422" i="2"/>
  <c r="AO422" i="2"/>
  <c r="AL422" i="2"/>
  <c r="AK422" i="2"/>
  <c r="BQ421" i="2"/>
  <c r="BP421" i="2"/>
  <c r="AB421" i="1"/>
  <c r="BO421" i="2"/>
  <c r="AA421" i="1"/>
  <c r="BN421" i="2"/>
  <c r="BM421" i="2"/>
  <c r="BL421" i="2"/>
  <c r="BK421" i="2"/>
  <c r="W421" i="1"/>
  <c r="BJ421" i="2"/>
  <c r="BI421" i="2"/>
  <c r="BH421" i="2"/>
  <c r="T421" i="1"/>
  <c r="BG421" i="2"/>
  <c r="BF421" i="2"/>
  <c r="BE421" i="2"/>
  <c r="BD421" i="2"/>
  <c r="BC421" i="2"/>
  <c r="BB421" i="2"/>
  <c r="BA421" i="2"/>
  <c r="AZ421" i="2"/>
  <c r="AY421" i="2"/>
  <c r="AX421" i="2"/>
  <c r="J421" i="1"/>
  <c r="AW421" i="2"/>
  <c r="I421" i="1"/>
  <c r="AV421" i="2"/>
  <c r="AU421" i="2"/>
  <c r="AT421" i="2"/>
  <c r="AS421" i="2"/>
  <c r="AR421" i="2"/>
  <c r="AQ421" i="2"/>
  <c r="AP421" i="2"/>
  <c r="AO421" i="2"/>
  <c r="AL421" i="2"/>
  <c r="AK421" i="2"/>
  <c r="BQ420" i="2"/>
  <c r="BP420" i="2"/>
  <c r="AB420" i="1"/>
  <c r="BO420" i="2"/>
  <c r="AA420" i="1"/>
  <c r="BN420" i="2"/>
  <c r="BM420" i="2"/>
  <c r="BL420" i="2"/>
  <c r="BK420" i="2"/>
  <c r="W420" i="1"/>
  <c r="BJ420" i="2"/>
  <c r="BI420" i="2"/>
  <c r="BH420" i="2"/>
  <c r="T420" i="1"/>
  <c r="BG420" i="2"/>
  <c r="BF420" i="2"/>
  <c r="BE420" i="2"/>
  <c r="BD420" i="2"/>
  <c r="BC420" i="2"/>
  <c r="BB420" i="2"/>
  <c r="BA420" i="2"/>
  <c r="AZ420" i="2"/>
  <c r="AY420" i="2"/>
  <c r="AX420" i="2"/>
  <c r="J420" i="1"/>
  <c r="AW420" i="2"/>
  <c r="I420" i="1"/>
  <c r="AV420" i="2"/>
  <c r="AU420" i="2"/>
  <c r="AT420" i="2"/>
  <c r="AS420" i="2"/>
  <c r="AR420" i="2"/>
  <c r="AQ420" i="2"/>
  <c r="AP420" i="2"/>
  <c r="AO420" i="2"/>
  <c r="AL420" i="2"/>
  <c r="AK420" i="2"/>
  <c r="BQ419" i="2"/>
  <c r="BP419" i="2"/>
  <c r="AB419" i="1"/>
  <c r="BO419" i="2"/>
  <c r="AA419" i="1"/>
  <c r="BN419" i="2"/>
  <c r="BM419" i="2"/>
  <c r="BL419" i="2"/>
  <c r="BK419" i="2"/>
  <c r="W419" i="1"/>
  <c r="BJ419" i="2"/>
  <c r="BI419" i="2"/>
  <c r="BH419" i="2"/>
  <c r="T419" i="1"/>
  <c r="BG419" i="2"/>
  <c r="BF419" i="2"/>
  <c r="BE419" i="2"/>
  <c r="BD419" i="2"/>
  <c r="BC419" i="2"/>
  <c r="BB419" i="2"/>
  <c r="BA419" i="2"/>
  <c r="AZ419" i="2"/>
  <c r="AY419" i="2"/>
  <c r="AX419" i="2"/>
  <c r="J419" i="1"/>
  <c r="AW419" i="2"/>
  <c r="I419" i="1"/>
  <c r="AV419" i="2"/>
  <c r="AU419" i="2"/>
  <c r="AT419" i="2"/>
  <c r="AS419" i="2"/>
  <c r="AR419" i="2"/>
  <c r="AQ419" i="2"/>
  <c r="AP419" i="2"/>
  <c r="AO419" i="2"/>
  <c r="AL419" i="2"/>
  <c r="AK419" i="2"/>
  <c r="BQ418" i="2"/>
  <c r="BP418" i="2"/>
  <c r="AB418" i="1"/>
  <c r="BO418" i="2"/>
  <c r="AA418" i="1"/>
  <c r="BN418" i="2"/>
  <c r="BM418" i="2"/>
  <c r="BL418" i="2"/>
  <c r="BK418" i="2"/>
  <c r="W418" i="1"/>
  <c r="BJ418" i="2"/>
  <c r="BI418" i="2"/>
  <c r="BH418" i="2"/>
  <c r="T418" i="1"/>
  <c r="BG418" i="2"/>
  <c r="BF418" i="2"/>
  <c r="BE418" i="2"/>
  <c r="BD418" i="2"/>
  <c r="BC418" i="2"/>
  <c r="BB418" i="2"/>
  <c r="BA418" i="2"/>
  <c r="AZ418" i="2"/>
  <c r="AY418" i="2"/>
  <c r="AX418" i="2"/>
  <c r="J418" i="1"/>
  <c r="AW418" i="2"/>
  <c r="I418" i="1"/>
  <c r="AV418" i="2"/>
  <c r="AU418" i="2"/>
  <c r="AT418" i="2"/>
  <c r="AS418" i="2"/>
  <c r="AR418" i="2"/>
  <c r="AQ418" i="2"/>
  <c r="AP418" i="2"/>
  <c r="AO418" i="2"/>
  <c r="AL418" i="2"/>
  <c r="AK418" i="2"/>
  <c r="BQ417" i="2"/>
  <c r="BP417" i="2"/>
  <c r="AB417" i="1"/>
  <c r="BO417" i="2"/>
  <c r="AA417" i="1"/>
  <c r="BN417" i="2"/>
  <c r="BM417" i="2"/>
  <c r="BL417" i="2"/>
  <c r="BK417" i="2"/>
  <c r="W417" i="1"/>
  <c r="BJ417" i="2"/>
  <c r="BI417" i="2"/>
  <c r="BH417" i="2"/>
  <c r="T417" i="1"/>
  <c r="BG417" i="2"/>
  <c r="BF417" i="2"/>
  <c r="BE417" i="2"/>
  <c r="BD417" i="2"/>
  <c r="BC417" i="2"/>
  <c r="BB417" i="2"/>
  <c r="BA417" i="2"/>
  <c r="AZ417" i="2"/>
  <c r="AY417" i="2"/>
  <c r="AX417" i="2"/>
  <c r="J417" i="1"/>
  <c r="AW417" i="2"/>
  <c r="I417" i="1"/>
  <c r="AV417" i="2"/>
  <c r="AU417" i="2"/>
  <c r="AT417" i="2"/>
  <c r="AS417" i="2"/>
  <c r="AR417" i="2"/>
  <c r="AQ417" i="2"/>
  <c r="AP417" i="2"/>
  <c r="AO417" i="2"/>
  <c r="AL417" i="2"/>
  <c r="AK417" i="2"/>
  <c r="BQ416" i="2"/>
  <c r="BP416" i="2"/>
  <c r="AB416" i="1"/>
  <c r="BO416" i="2"/>
  <c r="AA416" i="1"/>
  <c r="BN416" i="2"/>
  <c r="BM416" i="2"/>
  <c r="BL416" i="2"/>
  <c r="BK416" i="2"/>
  <c r="W416" i="1"/>
  <c r="BJ416" i="2"/>
  <c r="BI416" i="2"/>
  <c r="BH416" i="2"/>
  <c r="T416" i="1"/>
  <c r="BG416" i="2"/>
  <c r="BF416" i="2"/>
  <c r="BE416" i="2"/>
  <c r="BD416" i="2"/>
  <c r="BC416" i="2"/>
  <c r="BB416" i="2"/>
  <c r="BA416" i="2"/>
  <c r="AZ416" i="2"/>
  <c r="AY416" i="2"/>
  <c r="AX416" i="2"/>
  <c r="J416" i="1"/>
  <c r="AW416" i="2"/>
  <c r="I416" i="1"/>
  <c r="AV416" i="2"/>
  <c r="AU416" i="2"/>
  <c r="AT416" i="2"/>
  <c r="AS416" i="2"/>
  <c r="AR416" i="2"/>
  <c r="AQ416" i="2"/>
  <c r="AP416" i="2"/>
  <c r="AO416" i="2"/>
  <c r="AL416" i="2"/>
  <c r="AK416" i="2"/>
  <c r="BQ415" i="2"/>
  <c r="BP415" i="2"/>
  <c r="AB415" i="1"/>
  <c r="BO415" i="2"/>
  <c r="AA415" i="1"/>
  <c r="BN415" i="2"/>
  <c r="BM415" i="2"/>
  <c r="BL415" i="2"/>
  <c r="BK415" i="2"/>
  <c r="W415" i="1"/>
  <c r="BJ415" i="2"/>
  <c r="BI415" i="2"/>
  <c r="BH415" i="2"/>
  <c r="T415" i="1"/>
  <c r="BG415" i="2"/>
  <c r="BF415" i="2"/>
  <c r="BE415" i="2"/>
  <c r="BD415" i="2"/>
  <c r="BC415" i="2"/>
  <c r="BB415" i="2"/>
  <c r="BA415" i="2"/>
  <c r="AZ415" i="2"/>
  <c r="AY415" i="2"/>
  <c r="AX415" i="2"/>
  <c r="J415" i="1"/>
  <c r="AW415" i="2"/>
  <c r="I415" i="1"/>
  <c r="AV415" i="2"/>
  <c r="AU415" i="2"/>
  <c r="AT415" i="2"/>
  <c r="AS415" i="2"/>
  <c r="AR415" i="2"/>
  <c r="AQ415" i="2"/>
  <c r="AP415" i="2"/>
  <c r="AO415" i="2"/>
  <c r="AL415" i="2"/>
  <c r="AK415" i="2"/>
  <c r="BQ414" i="2"/>
  <c r="BP414" i="2"/>
  <c r="AB414" i="1"/>
  <c r="BO414" i="2"/>
  <c r="AA414" i="1"/>
  <c r="BN414" i="2"/>
  <c r="BM414" i="2"/>
  <c r="BL414" i="2"/>
  <c r="BK414" i="2"/>
  <c r="W414" i="1"/>
  <c r="BJ414" i="2"/>
  <c r="BI414" i="2"/>
  <c r="BH414" i="2"/>
  <c r="T414" i="1"/>
  <c r="BG414" i="2"/>
  <c r="BF414" i="2"/>
  <c r="BE414" i="2"/>
  <c r="BD414" i="2"/>
  <c r="BC414" i="2"/>
  <c r="BB414" i="2"/>
  <c r="BA414" i="2"/>
  <c r="AZ414" i="2"/>
  <c r="AY414" i="2"/>
  <c r="AX414" i="2"/>
  <c r="J414" i="1"/>
  <c r="AW414" i="2"/>
  <c r="I414" i="1"/>
  <c r="AV414" i="2"/>
  <c r="AU414" i="2"/>
  <c r="AT414" i="2"/>
  <c r="AS414" i="2"/>
  <c r="AR414" i="2"/>
  <c r="AQ414" i="2"/>
  <c r="AP414" i="2"/>
  <c r="AO414" i="2"/>
  <c r="AL414" i="2"/>
  <c r="AK414" i="2"/>
  <c r="BQ413" i="2"/>
  <c r="BP413" i="2"/>
  <c r="AB413" i="1"/>
  <c r="BO413" i="2"/>
  <c r="AA413" i="1"/>
  <c r="BN413" i="2"/>
  <c r="BM413" i="2"/>
  <c r="BL413" i="2"/>
  <c r="BK413" i="2"/>
  <c r="W413" i="1"/>
  <c r="BJ413" i="2"/>
  <c r="BI413" i="2"/>
  <c r="BH413" i="2"/>
  <c r="T413" i="1"/>
  <c r="BG413" i="2"/>
  <c r="BF413" i="2"/>
  <c r="BE413" i="2"/>
  <c r="BD413" i="2"/>
  <c r="BC413" i="2"/>
  <c r="BB413" i="2"/>
  <c r="BA413" i="2"/>
  <c r="AZ413" i="2"/>
  <c r="AY413" i="2"/>
  <c r="AX413" i="2"/>
  <c r="J413" i="1"/>
  <c r="AW413" i="2"/>
  <c r="I413" i="1"/>
  <c r="AV413" i="2"/>
  <c r="AU413" i="2"/>
  <c r="AT413" i="2"/>
  <c r="AS413" i="2"/>
  <c r="AR413" i="2"/>
  <c r="AQ413" i="2"/>
  <c r="AP413" i="2"/>
  <c r="AO413" i="2"/>
  <c r="AL413" i="2"/>
  <c r="AK413" i="2"/>
  <c r="BQ412" i="2"/>
  <c r="BP412" i="2"/>
  <c r="AB412" i="1"/>
  <c r="BO412" i="2"/>
  <c r="AA412" i="1"/>
  <c r="BN412" i="2"/>
  <c r="BM412" i="2"/>
  <c r="BL412" i="2"/>
  <c r="BK412" i="2"/>
  <c r="W412" i="1"/>
  <c r="BJ412" i="2"/>
  <c r="BI412" i="2"/>
  <c r="BH412" i="2"/>
  <c r="T412" i="1"/>
  <c r="BG412" i="2"/>
  <c r="BF412" i="2"/>
  <c r="BE412" i="2"/>
  <c r="BD412" i="2"/>
  <c r="BC412" i="2"/>
  <c r="BB412" i="2"/>
  <c r="BA412" i="2"/>
  <c r="AZ412" i="2"/>
  <c r="AY412" i="2"/>
  <c r="AX412" i="2"/>
  <c r="J412" i="1"/>
  <c r="AW412" i="2"/>
  <c r="I412" i="1"/>
  <c r="AV412" i="2"/>
  <c r="AU412" i="2"/>
  <c r="AT412" i="2"/>
  <c r="AS412" i="2"/>
  <c r="AR412" i="2"/>
  <c r="AQ412" i="2"/>
  <c r="AP412" i="2"/>
  <c r="AO412" i="2"/>
  <c r="AL412" i="2"/>
  <c r="AK412" i="2"/>
  <c r="BQ411" i="2"/>
  <c r="BP411" i="2"/>
  <c r="AB411" i="1"/>
  <c r="BO411" i="2"/>
  <c r="AA411" i="1"/>
  <c r="BN411" i="2"/>
  <c r="BM411" i="2"/>
  <c r="BL411" i="2"/>
  <c r="BK411" i="2"/>
  <c r="W411" i="1"/>
  <c r="BJ411" i="2"/>
  <c r="BI411" i="2"/>
  <c r="BH411" i="2"/>
  <c r="T411" i="1"/>
  <c r="BG411" i="2"/>
  <c r="BF411" i="2"/>
  <c r="BE411" i="2"/>
  <c r="BD411" i="2"/>
  <c r="BC411" i="2"/>
  <c r="BB411" i="2"/>
  <c r="BA411" i="2"/>
  <c r="AZ411" i="2"/>
  <c r="AY411" i="2"/>
  <c r="AX411" i="2"/>
  <c r="J411" i="1"/>
  <c r="AW411" i="2"/>
  <c r="I411" i="1"/>
  <c r="AV411" i="2"/>
  <c r="AU411" i="2"/>
  <c r="AT411" i="2"/>
  <c r="AS411" i="2"/>
  <c r="AR411" i="2"/>
  <c r="AQ411" i="2"/>
  <c r="AP411" i="2"/>
  <c r="AO411" i="2"/>
  <c r="AL411" i="2"/>
  <c r="AK411" i="2"/>
  <c r="BQ410" i="2"/>
  <c r="BP410" i="2"/>
  <c r="AB410" i="1"/>
  <c r="BO410" i="2"/>
  <c r="AA410" i="1"/>
  <c r="BN410" i="2"/>
  <c r="BM410" i="2"/>
  <c r="BL410" i="2"/>
  <c r="BK410" i="2"/>
  <c r="W410" i="1"/>
  <c r="BJ410" i="2"/>
  <c r="BI410" i="2"/>
  <c r="BH410" i="2"/>
  <c r="T410" i="1"/>
  <c r="BG410" i="2"/>
  <c r="BF410" i="2"/>
  <c r="BE410" i="2"/>
  <c r="BD410" i="2"/>
  <c r="BC410" i="2"/>
  <c r="BB410" i="2"/>
  <c r="BA410" i="2"/>
  <c r="AZ410" i="2"/>
  <c r="AY410" i="2"/>
  <c r="AX410" i="2"/>
  <c r="J410" i="1"/>
  <c r="AW410" i="2"/>
  <c r="I410" i="1"/>
  <c r="AV410" i="2"/>
  <c r="AU410" i="2"/>
  <c r="AT410" i="2"/>
  <c r="AS410" i="2"/>
  <c r="AR410" i="2"/>
  <c r="AQ410" i="2"/>
  <c r="AP410" i="2"/>
  <c r="AO410" i="2"/>
  <c r="AL410" i="2"/>
  <c r="AK410" i="2"/>
  <c r="BQ409" i="2"/>
  <c r="BP409" i="2"/>
  <c r="AB409" i="1"/>
  <c r="BO409" i="2"/>
  <c r="AA409" i="1"/>
  <c r="BN409" i="2"/>
  <c r="BM409" i="2"/>
  <c r="BL409" i="2"/>
  <c r="BK409" i="2"/>
  <c r="W409" i="1"/>
  <c r="BJ409" i="2"/>
  <c r="BI409" i="2"/>
  <c r="BH409" i="2"/>
  <c r="T409" i="1"/>
  <c r="BG409" i="2"/>
  <c r="BF409" i="2"/>
  <c r="BE409" i="2"/>
  <c r="BD409" i="2"/>
  <c r="BC409" i="2"/>
  <c r="BB409" i="2"/>
  <c r="BA409" i="2"/>
  <c r="AZ409" i="2"/>
  <c r="AY409" i="2"/>
  <c r="AX409" i="2"/>
  <c r="J409" i="1"/>
  <c r="AW409" i="2"/>
  <c r="I409" i="1"/>
  <c r="AV409" i="2"/>
  <c r="AU409" i="2"/>
  <c r="AT409" i="2"/>
  <c r="AS409" i="2"/>
  <c r="AR409" i="2"/>
  <c r="AQ409" i="2"/>
  <c r="AP409" i="2"/>
  <c r="AO409" i="2"/>
  <c r="AL409" i="2"/>
  <c r="AK409" i="2"/>
  <c r="BQ408" i="2"/>
  <c r="BP408" i="2"/>
  <c r="AB408" i="1"/>
  <c r="BO408" i="2"/>
  <c r="AA408" i="1"/>
  <c r="BN408" i="2"/>
  <c r="BM408" i="2"/>
  <c r="BL408" i="2"/>
  <c r="BK408" i="2"/>
  <c r="W408" i="1"/>
  <c r="BJ408" i="2"/>
  <c r="BI408" i="2"/>
  <c r="BH408" i="2"/>
  <c r="T408" i="1"/>
  <c r="BG408" i="2"/>
  <c r="BF408" i="2"/>
  <c r="BE408" i="2"/>
  <c r="BD408" i="2"/>
  <c r="BC408" i="2"/>
  <c r="BB408" i="2"/>
  <c r="BA408" i="2"/>
  <c r="AZ408" i="2"/>
  <c r="AY408" i="2"/>
  <c r="AX408" i="2"/>
  <c r="J408" i="1"/>
  <c r="AW408" i="2"/>
  <c r="I408" i="1"/>
  <c r="AV408" i="2"/>
  <c r="AU408" i="2"/>
  <c r="AT408" i="2"/>
  <c r="AS408" i="2"/>
  <c r="AR408" i="2"/>
  <c r="AQ408" i="2"/>
  <c r="AP408" i="2"/>
  <c r="AO408" i="2"/>
  <c r="AL408" i="2"/>
  <c r="AK408" i="2"/>
  <c r="BQ407" i="2"/>
  <c r="BP407" i="2"/>
  <c r="AB407" i="1"/>
  <c r="BO407" i="2"/>
  <c r="AA407" i="1"/>
  <c r="BN407" i="2"/>
  <c r="BM407" i="2"/>
  <c r="BL407" i="2"/>
  <c r="BK407" i="2"/>
  <c r="W407" i="1"/>
  <c r="BJ407" i="2"/>
  <c r="BI407" i="2"/>
  <c r="BH407" i="2"/>
  <c r="T407" i="1"/>
  <c r="BG407" i="2"/>
  <c r="BF407" i="2"/>
  <c r="BE407" i="2"/>
  <c r="BD407" i="2"/>
  <c r="BC407" i="2"/>
  <c r="BB407" i="2"/>
  <c r="BA407" i="2"/>
  <c r="AZ407" i="2"/>
  <c r="AY407" i="2"/>
  <c r="AX407" i="2"/>
  <c r="J407" i="1"/>
  <c r="AW407" i="2"/>
  <c r="I407" i="1"/>
  <c r="AV407" i="2"/>
  <c r="AU407" i="2"/>
  <c r="AT407" i="2"/>
  <c r="AS407" i="2"/>
  <c r="AR407" i="2"/>
  <c r="AQ407" i="2"/>
  <c r="AP407" i="2"/>
  <c r="AO407" i="2"/>
  <c r="AL407" i="2"/>
  <c r="AK407" i="2"/>
  <c r="BQ406" i="2"/>
  <c r="BP406" i="2"/>
  <c r="AB406" i="1"/>
  <c r="BO406" i="2"/>
  <c r="AA406" i="1"/>
  <c r="BN406" i="2"/>
  <c r="BM406" i="2"/>
  <c r="BL406" i="2"/>
  <c r="BK406" i="2"/>
  <c r="W406" i="1"/>
  <c r="BJ406" i="2"/>
  <c r="BI406" i="2"/>
  <c r="BH406" i="2"/>
  <c r="T406" i="1"/>
  <c r="BG406" i="2"/>
  <c r="BF406" i="2"/>
  <c r="BE406" i="2"/>
  <c r="BD406" i="2"/>
  <c r="BC406" i="2"/>
  <c r="BB406" i="2"/>
  <c r="BA406" i="2"/>
  <c r="AZ406" i="2"/>
  <c r="AY406" i="2"/>
  <c r="AX406" i="2"/>
  <c r="J406" i="1"/>
  <c r="AW406" i="2"/>
  <c r="I406" i="1"/>
  <c r="AV406" i="2"/>
  <c r="AU406" i="2"/>
  <c r="AT406" i="2"/>
  <c r="AS406" i="2"/>
  <c r="AR406" i="2"/>
  <c r="AQ406" i="2"/>
  <c r="AP406" i="2"/>
  <c r="AO406" i="2"/>
  <c r="AL406" i="2"/>
  <c r="AK406" i="2"/>
  <c r="BQ405" i="2"/>
  <c r="BP405" i="2"/>
  <c r="AB405" i="1"/>
  <c r="BO405" i="2"/>
  <c r="AA405" i="1"/>
  <c r="BN405" i="2"/>
  <c r="BM405" i="2"/>
  <c r="BL405" i="2"/>
  <c r="BK405" i="2"/>
  <c r="W405" i="1"/>
  <c r="BJ405" i="2"/>
  <c r="BI405" i="2"/>
  <c r="BH405" i="2"/>
  <c r="T405" i="1"/>
  <c r="BG405" i="2"/>
  <c r="BF405" i="2"/>
  <c r="BE405" i="2"/>
  <c r="BD405" i="2"/>
  <c r="BC405" i="2"/>
  <c r="BB405" i="2"/>
  <c r="BA405" i="2"/>
  <c r="AZ405" i="2"/>
  <c r="AY405" i="2"/>
  <c r="AX405" i="2"/>
  <c r="J405" i="1"/>
  <c r="AW405" i="2"/>
  <c r="I405" i="1"/>
  <c r="AV405" i="2"/>
  <c r="AU405" i="2"/>
  <c r="AT405" i="2"/>
  <c r="AS405" i="2"/>
  <c r="AR405" i="2"/>
  <c r="AQ405" i="2"/>
  <c r="AP405" i="2"/>
  <c r="AO405" i="2"/>
  <c r="AL405" i="2"/>
  <c r="AK405" i="2"/>
  <c r="BQ404" i="2"/>
  <c r="BP404" i="2"/>
  <c r="AB404" i="1"/>
  <c r="BO404" i="2"/>
  <c r="AA404" i="1"/>
  <c r="BN404" i="2"/>
  <c r="BM404" i="2"/>
  <c r="BL404" i="2"/>
  <c r="BK404" i="2"/>
  <c r="W404" i="1"/>
  <c r="BJ404" i="2"/>
  <c r="BI404" i="2"/>
  <c r="BH404" i="2"/>
  <c r="T404" i="1"/>
  <c r="BG404" i="2"/>
  <c r="BF404" i="2"/>
  <c r="BE404" i="2"/>
  <c r="BD404" i="2"/>
  <c r="BC404" i="2"/>
  <c r="BB404" i="2"/>
  <c r="BA404" i="2"/>
  <c r="AZ404" i="2"/>
  <c r="AY404" i="2"/>
  <c r="AX404" i="2"/>
  <c r="J404" i="1"/>
  <c r="AW404" i="2"/>
  <c r="I404" i="1"/>
  <c r="AV404" i="2"/>
  <c r="AU404" i="2"/>
  <c r="AT404" i="2"/>
  <c r="AS404" i="2"/>
  <c r="AR404" i="2"/>
  <c r="AQ404" i="2"/>
  <c r="AP404" i="2"/>
  <c r="AO404" i="2"/>
  <c r="AL404" i="2"/>
  <c r="AK404" i="2"/>
  <c r="BQ403" i="2"/>
  <c r="BP403" i="2"/>
  <c r="AB403" i="1"/>
  <c r="BO403" i="2"/>
  <c r="AA403" i="1"/>
  <c r="BN403" i="2"/>
  <c r="BM403" i="2"/>
  <c r="BL403" i="2"/>
  <c r="BK403" i="2"/>
  <c r="W403" i="1"/>
  <c r="BJ403" i="2"/>
  <c r="BI403" i="2"/>
  <c r="BH403" i="2"/>
  <c r="T403" i="1"/>
  <c r="BG403" i="2"/>
  <c r="BF403" i="2"/>
  <c r="BE403" i="2"/>
  <c r="BD403" i="2"/>
  <c r="BC403" i="2"/>
  <c r="BB403" i="2"/>
  <c r="BA403" i="2"/>
  <c r="AZ403" i="2"/>
  <c r="AY403" i="2"/>
  <c r="AX403" i="2"/>
  <c r="J403" i="1"/>
  <c r="AW403" i="2"/>
  <c r="I403" i="1"/>
  <c r="AV403" i="2"/>
  <c r="AU403" i="2"/>
  <c r="AT403" i="2"/>
  <c r="AS403" i="2"/>
  <c r="AR403" i="2"/>
  <c r="AQ403" i="2"/>
  <c r="AP403" i="2"/>
  <c r="AO403" i="2"/>
  <c r="AL403" i="2"/>
  <c r="AK403" i="2"/>
  <c r="BQ402" i="2"/>
  <c r="BP402" i="2"/>
  <c r="AB402" i="1"/>
  <c r="BO402" i="2"/>
  <c r="AA402" i="1"/>
  <c r="BN402" i="2"/>
  <c r="BM402" i="2"/>
  <c r="BL402" i="2"/>
  <c r="BK402" i="2"/>
  <c r="W402" i="1"/>
  <c r="BJ402" i="2"/>
  <c r="BI402" i="2"/>
  <c r="BH402" i="2"/>
  <c r="T402" i="1"/>
  <c r="BG402" i="2"/>
  <c r="BF402" i="2"/>
  <c r="BE402" i="2"/>
  <c r="BD402" i="2"/>
  <c r="BC402" i="2"/>
  <c r="BB402" i="2"/>
  <c r="BA402" i="2"/>
  <c r="AZ402" i="2"/>
  <c r="AY402" i="2"/>
  <c r="AX402" i="2"/>
  <c r="J402" i="1"/>
  <c r="AW402" i="2"/>
  <c r="I402" i="1"/>
  <c r="AV402" i="2"/>
  <c r="AU402" i="2"/>
  <c r="AT402" i="2"/>
  <c r="AS402" i="2"/>
  <c r="AR402" i="2"/>
  <c r="AQ402" i="2"/>
  <c r="AP402" i="2"/>
  <c r="AO402" i="2"/>
  <c r="AL402" i="2"/>
  <c r="AK402" i="2"/>
  <c r="BQ401" i="2"/>
  <c r="BP401" i="2"/>
  <c r="AB401" i="1"/>
  <c r="BO401" i="2"/>
  <c r="AA401" i="1"/>
  <c r="BN401" i="2"/>
  <c r="BM401" i="2"/>
  <c r="BL401" i="2"/>
  <c r="BK401" i="2"/>
  <c r="W401" i="1"/>
  <c r="BJ401" i="2"/>
  <c r="BI401" i="2"/>
  <c r="BH401" i="2"/>
  <c r="T401" i="1"/>
  <c r="BG401" i="2"/>
  <c r="BF401" i="2"/>
  <c r="BE401" i="2"/>
  <c r="BD401" i="2"/>
  <c r="BC401" i="2"/>
  <c r="BB401" i="2"/>
  <c r="BA401" i="2"/>
  <c r="AZ401" i="2"/>
  <c r="AY401" i="2"/>
  <c r="AX401" i="2"/>
  <c r="J401" i="1"/>
  <c r="AW401" i="2"/>
  <c r="I401" i="1"/>
  <c r="AV401" i="2"/>
  <c r="AU401" i="2"/>
  <c r="AT401" i="2"/>
  <c r="AS401" i="2"/>
  <c r="AR401" i="2"/>
  <c r="AQ401" i="2"/>
  <c r="AP401" i="2"/>
  <c r="AO401" i="2"/>
  <c r="AL401" i="2"/>
  <c r="AK401" i="2"/>
  <c r="BQ400" i="2"/>
  <c r="BP400" i="2"/>
  <c r="AB400" i="1"/>
  <c r="BO400" i="2"/>
  <c r="AA400" i="1"/>
  <c r="BN400" i="2"/>
  <c r="BM400" i="2"/>
  <c r="BL400" i="2"/>
  <c r="BK400" i="2"/>
  <c r="W400" i="1"/>
  <c r="BJ400" i="2"/>
  <c r="BI400" i="2"/>
  <c r="BH400" i="2"/>
  <c r="T400" i="1"/>
  <c r="BG400" i="2"/>
  <c r="BF400" i="2"/>
  <c r="BE400" i="2"/>
  <c r="BD400" i="2"/>
  <c r="BC400" i="2"/>
  <c r="BB400" i="2"/>
  <c r="BA400" i="2"/>
  <c r="AZ400" i="2"/>
  <c r="AY400" i="2"/>
  <c r="AX400" i="2"/>
  <c r="J400" i="1"/>
  <c r="AW400" i="2"/>
  <c r="I400" i="1"/>
  <c r="AV400" i="2"/>
  <c r="AU400" i="2"/>
  <c r="AT400" i="2"/>
  <c r="AS400" i="2"/>
  <c r="AR400" i="2"/>
  <c r="AQ400" i="2"/>
  <c r="AP400" i="2"/>
  <c r="AO400" i="2"/>
  <c r="AL400" i="2"/>
  <c r="AK400" i="2"/>
  <c r="BQ399" i="2"/>
  <c r="BP399" i="2"/>
  <c r="AB399" i="1"/>
  <c r="BO399" i="2"/>
  <c r="AA399" i="1"/>
  <c r="BN399" i="2"/>
  <c r="BM399" i="2"/>
  <c r="BL399" i="2"/>
  <c r="BK399" i="2"/>
  <c r="W399" i="1"/>
  <c r="BJ399" i="2"/>
  <c r="BI399" i="2"/>
  <c r="BH399" i="2"/>
  <c r="T399" i="1"/>
  <c r="BG399" i="2"/>
  <c r="BF399" i="2"/>
  <c r="BE399" i="2"/>
  <c r="BD399" i="2"/>
  <c r="BC399" i="2"/>
  <c r="BB399" i="2"/>
  <c r="BA399" i="2"/>
  <c r="AZ399" i="2"/>
  <c r="AY399" i="2"/>
  <c r="AX399" i="2"/>
  <c r="J399" i="1"/>
  <c r="AW399" i="2"/>
  <c r="I399" i="1"/>
  <c r="AV399" i="2"/>
  <c r="AU399" i="2"/>
  <c r="AT399" i="2"/>
  <c r="AS399" i="2"/>
  <c r="AR399" i="2"/>
  <c r="AQ399" i="2"/>
  <c r="AP399" i="2"/>
  <c r="AO399" i="2"/>
  <c r="AL399" i="2"/>
  <c r="AK399" i="2"/>
  <c r="BQ398" i="2"/>
  <c r="BP398" i="2"/>
  <c r="AB398" i="1"/>
  <c r="BO398" i="2"/>
  <c r="AA398" i="1"/>
  <c r="BN398" i="2"/>
  <c r="BM398" i="2"/>
  <c r="BL398" i="2"/>
  <c r="BK398" i="2"/>
  <c r="W398" i="1"/>
  <c r="BJ398" i="2"/>
  <c r="BI398" i="2"/>
  <c r="BH398" i="2"/>
  <c r="T398" i="1"/>
  <c r="BG398" i="2"/>
  <c r="BF398" i="2"/>
  <c r="BE398" i="2"/>
  <c r="BD398" i="2"/>
  <c r="BC398" i="2"/>
  <c r="BB398" i="2"/>
  <c r="BA398" i="2"/>
  <c r="AZ398" i="2"/>
  <c r="AY398" i="2"/>
  <c r="AX398" i="2"/>
  <c r="J398" i="1"/>
  <c r="AW398" i="2"/>
  <c r="I398" i="1"/>
  <c r="AV398" i="2"/>
  <c r="AU398" i="2"/>
  <c r="AT398" i="2"/>
  <c r="AS398" i="2"/>
  <c r="AR398" i="2"/>
  <c r="AQ398" i="2"/>
  <c r="AP398" i="2"/>
  <c r="AO398" i="2"/>
  <c r="AL398" i="2"/>
  <c r="AK398" i="2"/>
  <c r="BQ397" i="2"/>
  <c r="BP397" i="2"/>
  <c r="AB397" i="1"/>
  <c r="BO397" i="2"/>
  <c r="AA397" i="1"/>
  <c r="BN397" i="2"/>
  <c r="BM397" i="2"/>
  <c r="BL397" i="2"/>
  <c r="BK397" i="2"/>
  <c r="W397" i="1"/>
  <c r="BJ397" i="2"/>
  <c r="BI397" i="2"/>
  <c r="BH397" i="2"/>
  <c r="T397" i="1"/>
  <c r="BG397" i="2"/>
  <c r="BF397" i="2"/>
  <c r="BE397" i="2"/>
  <c r="BD397" i="2"/>
  <c r="BC397" i="2"/>
  <c r="BB397" i="2"/>
  <c r="BA397" i="2"/>
  <c r="AZ397" i="2"/>
  <c r="AY397" i="2"/>
  <c r="AX397" i="2"/>
  <c r="J397" i="1"/>
  <c r="AW397" i="2"/>
  <c r="I397" i="1"/>
  <c r="AV397" i="2"/>
  <c r="AU397" i="2"/>
  <c r="AT397" i="2"/>
  <c r="AS397" i="2"/>
  <c r="AR397" i="2"/>
  <c r="AQ397" i="2"/>
  <c r="AP397" i="2"/>
  <c r="AO397" i="2"/>
  <c r="AL397" i="2"/>
  <c r="AK397" i="2"/>
  <c r="BQ396" i="2"/>
  <c r="BP396" i="2"/>
  <c r="AB396" i="1"/>
  <c r="BO396" i="2"/>
  <c r="AA396" i="1"/>
  <c r="BN396" i="2"/>
  <c r="BM396" i="2"/>
  <c r="BL396" i="2"/>
  <c r="BK396" i="2"/>
  <c r="W396" i="1"/>
  <c r="BJ396" i="2"/>
  <c r="BI396" i="2"/>
  <c r="BH396" i="2"/>
  <c r="T396" i="1"/>
  <c r="BG396" i="2"/>
  <c r="BF396" i="2"/>
  <c r="BE396" i="2"/>
  <c r="BD396" i="2"/>
  <c r="BC396" i="2"/>
  <c r="BB396" i="2"/>
  <c r="BA396" i="2"/>
  <c r="AZ396" i="2"/>
  <c r="AY396" i="2"/>
  <c r="AX396" i="2"/>
  <c r="J396" i="1"/>
  <c r="AW396" i="2"/>
  <c r="I396" i="1"/>
  <c r="AV396" i="2"/>
  <c r="AU396" i="2"/>
  <c r="AT396" i="2"/>
  <c r="AS396" i="2"/>
  <c r="AR396" i="2"/>
  <c r="AQ396" i="2"/>
  <c r="AP396" i="2"/>
  <c r="AO396" i="2"/>
  <c r="AL396" i="2"/>
  <c r="AK396" i="2"/>
  <c r="BQ395" i="2"/>
  <c r="BP395" i="2"/>
  <c r="AB395" i="1"/>
  <c r="BO395" i="2"/>
  <c r="AA395" i="1"/>
  <c r="BN395" i="2"/>
  <c r="BM395" i="2"/>
  <c r="BL395" i="2"/>
  <c r="BK395" i="2"/>
  <c r="W395" i="1"/>
  <c r="BJ395" i="2"/>
  <c r="BI395" i="2"/>
  <c r="BH395" i="2"/>
  <c r="T395" i="1"/>
  <c r="BG395" i="2"/>
  <c r="BF395" i="2"/>
  <c r="BE395" i="2"/>
  <c r="BD395" i="2"/>
  <c r="BC395" i="2"/>
  <c r="BB395" i="2"/>
  <c r="BA395" i="2"/>
  <c r="AZ395" i="2"/>
  <c r="AY395" i="2"/>
  <c r="AX395" i="2"/>
  <c r="J395" i="1"/>
  <c r="AW395" i="2"/>
  <c r="I395" i="1"/>
  <c r="AV395" i="2"/>
  <c r="AU395" i="2"/>
  <c r="AT395" i="2"/>
  <c r="AS395" i="2"/>
  <c r="AR395" i="2"/>
  <c r="AQ395" i="2"/>
  <c r="AP395" i="2"/>
  <c r="AO395" i="2"/>
  <c r="AL395" i="2"/>
  <c r="AK395" i="2"/>
  <c r="BQ394" i="2"/>
  <c r="BP394" i="2"/>
  <c r="AB394" i="1"/>
  <c r="BO394" i="2"/>
  <c r="AA394" i="1"/>
  <c r="BN394" i="2"/>
  <c r="BM394" i="2"/>
  <c r="BL394" i="2"/>
  <c r="BK394" i="2"/>
  <c r="W394" i="1"/>
  <c r="BJ394" i="2"/>
  <c r="BI394" i="2"/>
  <c r="BH394" i="2"/>
  <c r="T394" i="1"/>
  <c r="BG394" i="2"/>
  <c r="BF394" i="2"/>
  <c r="BE394" i="2"/>
  <c r="BD394" i="2"/>
  <c r="BC394" i="2"/>
  <c r="BB394" i="2"/>
  <c r="BA394" i="2"/>
  <c r="AZ394" i="2"/>
  <c r="AY394" i="2"/>
  <c r="AX394" i="2"/>
  <c r="J394" i="1"/>
  <c r="AW394" i="2"/>
  <c r="I394" i="1"/>
  <c r="AV394" i="2"/>
  <c r="AU394" i="2"/>
  <c r="AT394" i="2"/>
  <c r="AS394" i="2"/>
  <c r="AR394" i="2"/>
  <c r="AQ394" i="2"/>
  <c r="AP394" i="2"/>
  <c r="AO394" i="2"/>
  <c r="AL394" i="2"/>
  <c r="AK394" i="2"/>
  <c r="BQ393" i="2"/>
  <c r="BP393" i="2"/>
  <c r="AB393" i="1"/>
  <c r="BO393" i="2"/>
  <c r="AA393" i="1"/>
  <c r="BN393" i="2"/>
  <c r="BM393" i="2"/>
  <c r="BL393" i="2"/>
  <c r="BK393" i="2"/>
  <c r="W393" i="1"/>
  <c r="BJ393" i="2"/>
  <c r="BI393" i="2"/>
  <c r="BH393" i="2"/>
  <c r="T393" i="1"/>
  <c r="BG393" i="2"/>
  <c r="BF393" i="2"/>
  <c r="BE393" i="2"/>
  <c r="BD393" i="2"/>
  <c r="BC393" i="2"/>
  <c r="BB393" i="2"/>
  <c r="BA393" i="2"/>
  <c r="AZ393" i="2"/>
  <c r="AY393" i="2"/>
  <c r="AX393" i="2"/>
  <c r="J393" i="1"/>
  <c r="AW393" i="2"/>
  <c r="I393" i="1"/>
  <c r="AV393" i="2"/>
  <c r="AU393" i="2"/>
  <c r="AT393" i="2"/>
  <c r="AS393" i="2"/>
  <c r="AR393" i="2"/>
  <c r="AQ393" i="2"/>
  <c r="AP393" i="2"/>
  <c r="AO393" i="2"/>
  <c r="AL393" i="2"/>
  <c r="AK393" i="2"/>
  <c r="BQ392" i="2"/>
  <c r="BP392" i="2"/>
  <c r="AB392" i="1"/>
  <c r="BO392" i="2"/>
  <c r="AA392" i="1"/>
  <c r="BN392" i="2"/>
  <c r="BM392" i="2"/>
  <c r="BL392" i="2"/>
  <c r="BK392" i="2"/>
  <c r="W392" i="1"/>
  <c r="BJ392" i="2"/>
  <c r="BI392" i="2"/>
  <c r="BH392" i="2"/>
  <c r="T392" i="1"/>
  <c r="BG392" i="2"/>
  <c r="BF392" i="2"/>
  <c r="BE392" i="2"/>
  <c r="BD392" i="2"/>
  <c r="BC392" i="2"/>
  <c r="BB392" i="2"/>
  <c r="BA392" i="2"/>
  <c r="AZ392" i="2"/>
  <c r="AY392" i="2"/>
  <c r="AX392" i="2"/>
  <c r="J392" i="1"/>
  <c r="AW392" i="2"/>
  <c r="I392" i="1"/>
  <c r="AV392" i="2"/>
  <c r="AU392" i="2"/>
  <c r="AT392" i="2"/>
  <c r="AS392" i="2"/>
  <c r="AR392" i="2"/>
  <c r="AQ392" i="2"/>
  <c r="AP392" i="2"/>
  <c r="AO392" i="2"/>
  <c r="AL392" i="2"/>
  <c r="AK392" i="2"/>
  <c r="BQ391" i="2"/>
  <c r="BP391" i="2"/>
  <c r="AB391" i="1"/>
  <c r="BO391" i="2"/>
  <c r="AA391" i="1"/>
  <c r="BN391" i="2"/>
  <c r="BM391" i="2"/>
  <c r="BL391" i="2"/>
  <c r="BK391" i="2"/>
  <c r="W391" i="1"/>
  <c r="BJ391" i="2"/>
  <c r="BI391" i="2"/>
  <c r="BH391" i="2"/>
  <c r="T391" i="1"/>
  <c r="BG391" i="2"/>
  <c r="BF391" i="2"/>
  <c r="BE391" i="2"/>
  <c r="BD391" i="2"/>
  <c r="BC391" i="2"/>
  <c r="BB391" i="2"/>
  <c r="BA391" i="2"/>
  <c r="AZ391" i="2"/>
  <c r="AY391" i="2"/>
  <c r="AX391" i="2"/>
  <c r="J391" i="1"/>
  <c r="AW391" i="2"/>
  <c r="I391" i="1"/>
  <c r="AV391" i="2"/>
  <c r="AU391" i="2"/>
  <c r="AT391" i="2"/>
  <c r="AS391" i="2"/>
  <c r="AR391" i="2"/>
  <c r="AQ391" i="2"/>
  <c r="AP391" i="2"/>
  <c r="AO391" i="2"/>
  <c r="AL391" i="2"/>
  <c r="AK391" i="2"/>
  <c r="BQ390" i="2"/>
  <c r="BP390" i="2"/>
  <c r="AB390" i="1"/>
  <c r="BO390" i="2"/>
  <c r="AA390" i="1"/>
  <c r="BN390" i="2"/>
  <c r="BM390" i="2"/>
  <c r="BL390" i="2"/>
  <c r="BK390" i="2"/>
  <c r="W390" i="1"/>
  <c r="BJ390" i="2"/>
  <c r="BI390" i="2"/>
  <c r="BH390" i="2"/>
  <c r="T390" i="1"/>
  <c r="BG390" i="2"/>
  <c r="BF390" i="2"/>
  <c r="BE390" i="2"/>
  <c r="BD390" i="2"/>
  <c r="BC390" i="2"/>
  <c r="BB390" i="2"/>
  <c r="BA390" i="2"/>
  <c r="AZ390" i="2"/>
  <c r="AY390" i="2"/>
  <c r="AX390" i="2"/>
  <c r="J390" i="1"/>
  <c r="AW390" i="2"/>
  <c r="I390" i="1"/>
  <c r="AV390" i="2"/>
  <c r="AU390" i="2"/>
  <c r="AT390" i="2"/>
  <c r="AS390" i="2"/>
  <c r="AR390" i="2"/>
  <c r="AQ390" i="2"/>
  <c r="AP390" i="2"/>
  <c r="AO390" i="2"/>
  <c r="AL390" i="2"/>
  <c r="AK390" i="2"/>
  <c r="BQ389" i="2"/>
  <c r="BP389" i="2"/>
  <c r="AB389" i="1"/>
  <c r="BO389" i="2"/>
  <c r="AA389" i="1"/>
  <c r="BN389" i="2"/>
  <c r="BM389" i="2"/>
  <c r="BL389" i="2"/>
  <c r="BK389" i="2"/>
  <c r="W389" i="1"/>
  <c r="BJ389" i="2"/>
  <c r="BI389" i="2"/>
  <c r="BH389" i="2"/>
  <c r="T389" i="1"/>
  <c r="BG389" i="2"/>
  <c r="BF389" i="2"/>
  <c r="BE389" i="2"/>
  <c r="BD389" i="2"/>
  <c r="BC389" i="2"/>
  <c r="BB389" i="2"/>
  <c r="BA389" i="2"/>
  <c r="AZ389" i="2"/>
  <c r="AY389" i="2"/>
  <c r="AX389" i="2"/>
  <c r="J389" i="1"/>
  <c r="AW389" i="2"/>
  <c r="I389" i="1"/>
  <c r="AV389" i="2"/>
  <c r="AU389" i="2"/>
  <c r="AT389" i="2"/>
  <c r="AS389" i="2"/>
  <c r="AR389" i="2"/>
  <c r="AQ389" i="2"/>
  <c r="AP389" i="2"/>
  <c r="AO389" i="2"/>
  <c r="AL389" i="2"/>
  <c r="AK389" i="2"/>
  <c r="BQ388" i="2"/>
  <c r="BP388" i="2"/>
  <c r="AB388" i="1"/>
  <c r="BO388" i="2"/>
  <c r="AA388" i="1"/>
  <c r="BN388" i="2"/>
  <c r="BM388" i="2"/>
  <c r="BL388" i="2"/>
  <c r="BK388" i="2"/>
  <c r="W388" i="1"/>
  <c r="BJ388" i="2"/>
  <c r="BI388" i="2"/>
  <c r="BH388" i="2"/>
  <c r="T388" i="1"/>
  <c r="BG388" i="2"/>
  <c r="BF388" i="2"/>
  <c r="BE388" i="2"/>
  <c r="BD388" i="2"/>
  <c r="BC388" i="2"/>
  <c r="BB388" i="2"/>
  <c r="BA388" i="2"/>
  <c r="AZ388" i="2"/>
  <c r="AY388" i="2"/>
  <c r="AX388" i="2"/>
  <c r="J388" i="1"/>
  <c r="AW388" i="2"/>
  <c r="I388" i="1"/>
  <c r="AV388" i="2"/>
  <c r="AU388" i="2"/>
  <c r="AT388" i="2"/>
  <c r="AS388" i="2"/>
  <c r="AR388" i="2"/>
  <c r="AQ388" i="2"/>
  <c r="AP388" i="2"/>
  <c r="AO388" i="2"/>
  <c r="AL388" i="2"/>
  <c r="AK388" i="2"/>
  <c r="BQ387" i="2"/>
  <c r="BP387" i="2"/>
  <c r="AB387" i="1"/>
  <c r="BO387" i="2"/>
  <c r="AA387" i="1"/>
  <c r="BN387" i="2"/>
  <c r="BM387" i="2"/>
  <c r="BL387" i="2"/>
  <c r="BK387" i="2"/>
  <c r="W387" i="1"/>
  <c r="BJ387" i="2"/>
  <c r="BI387" i="2"/>
  <c r="BH387" i="2"/>
  <c r="T387" i="1"/>
  <c r="BG387" i="2"/>
  <c r="BF387" i="2"/>
  <c r="BE387" i="2"/>
  <c r="BD387" i="2"/>
  <c r="BC387" i="2"/>
  <c r="BB387" i="2"/>
  <c r="BA387" i="2"/>
  <c r="AZ387" i="2"/>
  <c r="AY387" i="2"/>
  <c r="AX387" i="2"/>
  <c r="J387" i="1"/>
  <c r="AW387" i="2"/>
  <c r="I387" i="1"/>
  <c r="AV387" i="2"/>
  <c r="AU387" i="2"/>
  <c r="AT387" i="2"/>
  <c r="AS387" i="2"/>
  <c r="AR387" i="2"/>
  <c r="AQ387" i="2"/>
  <c r="AP387" i="2"/>
  <c r="AO387" i="2"/>
  <c r="AL387" i="2"/>
  <c r="AK387" i="2"/>
  <c r="BQ386" i="2"/>
  <c r="BP386" i="2"/>
  <c r="AB386" i="1"/>
  <c r="BO386" i="2"/>
  <c r="AA386" i="1"/>
  <c r="BN386" i="2"/>
  <c r="BM386" i="2"/>
  <c r="BL386" i="2"/>
  <c r="BK386" i="2"/>
  <c r="W386" i="1"/>
  <c r="BJ386" i="2"/>
  <c r="BI386" i="2"/>
  <c r="BH386" i="2"/>
  <c r="T386" i="1"/>
  <c r="BG386" i="2"/>
  <c r="BF386" i="2"/>
  <c r="BE386" i="2"/>
  <c r="BD386" i="2"/>
  <c r="BC386" i="2"/>
  <c r="BB386" i="2"/>
  <c r="BA386" i="2"/>
  <c r="AZ386" i="2"/>
  <c r="AY386" i="2"/>
  <c r="AX386" i="2"/>
  <c r="J386" i="1"/>
  <c r="AW386" i="2"/>
  <c r="I386" i="1"/>
  <c r="AV386" i="2"/>
  <c r="AU386" i="2"/>
  <c r="AT386" i="2"/>
  <c r="AS386" i="2"/>
  <c r="AR386" i="2"/>
  <c r="AQ386" i="2"/>
  <c r="AP386" i="2"/>
  <c r="AO386" i="2"/>
  <c r="AL386" i="2"/>
  <c r="AK386" i="2"/>
  <c r="BQ385" i="2"/>
  <c r="BP385" i="2"/>
  <c r="AB385" i="1"/>
  <c r="BO385" i="2"/>
  <c r="AA385" i="1"/>
  <c r="BN385" i="2"/>
  <c r="BM385" i="2"/>
  <c r="BL385" i="2"/>
  <c r="BK385" i="2"/>
  <c r="W385" i="1"/>
  <c r="BJ385" i="2"/>
  <c r="BI385" i="2"/>
  <c r="BH385" i="2"/>
  <c r="T385" i="1"/>
  <c r="BG385" i="2"/>
  <c r="BF385" i="2"/>
  <c r="BE385" i="2"/>
  <c r="BD385" i="2"/>
  <c r="BC385" i="2"/>
  <c r="BB385" i="2"/>
  <c r="BA385" i="2"/>
  <c r="AZ385" i="2"/>
  <c r="AY385" i="2"/>
  <c r="AX385" i="2"/>
  <c r="J385" i="1"/>
  <c r="AW385" i="2"/>
  <c r="I385" i="1"/>
  <c r="AV385" i="2"/>
  <c r="AU385" i="2"/>
  <c r="AT385" i="2"/>
  <c r="AS385" i="2"/>
  <c r="AR385" i="2"/>
  <c r="AQ385" i="2"/>
  <c r="AP385" i="2"/>
  <c r="AO385" i="2"/>
  <c r="AL385" i="2"/>
  <c r="AK385" i="2"/>
  <c r="BQ384" i="2"/>
  <c r="BP384" i="2"/>
  <c r="AB384" i="1"/>
  <c r="BO384" i="2"/>
  <c r="AA384" i="1"/>
  <c r="BN384" i="2"/>
  <c r="BM384" i="2"/>
  <c r="BL384" i="2"/>
  <c r="BK384" i="2"/>
  <c r="W384" i="1"/>
  <c r="BJ384" i="2"/>
  <c r="BI384" i="2"/>
  <c r="BH384" i="2"/>
  <c r="T384" i="1"/>
  <c r="BG384" i="2"/>
  <c r="BF384" i="2"/>
  <c r="BE384" i="2"/>
  <c r="BD384" i="2"/>
  <c r="BC384" i="2"/>
  <c r="BB384" i="2"/>
  <c r="BA384" i="2"/>
  <c r="AZ384" i="2"/>
  <c r="AY384" i="2"/>
  <c r="AX384" i="2"/>
  <c r="J384" i="1"/>
  <c r="AW384" i="2"/>
  <c r="I384" i="1"/>
  <c r="AV384" i="2"/>
  <c r="AU384" i="2"/>
  <c r="AT384" i="2"/>
  <c r="AS384" i="2"/>
  <c r="AR384" i="2"/>
  <c r="AQ384" i="2"/>
  <c r="AP384" i="2"/>
  <c r="AO384" i="2"/>
  <c r="AL384" i="2"/>
  <c r="AK384" i="2"/>
  <c r="BQ383" i="2"/>
  <c r="BP383" i="2"/>
  <c r="AB383" i="1"/>
  <c r="BO383" i="2"/>
  <c r="AA383" i="1"/>
  <c r="BN383" i="2"/>
  <c r="BM383" i="2"/>
  <c r="BL383" i="2"/>
  <c r="BK383" i="2"/>
  <c r="W383" i="1"/>
  <c r="BJ383" i="2"/>
  <c r="BI383" i="2"/>
  <c r="BH383" i="2"/>
  <c r="T383" i="1"/>
  <c r="BG383" i="2"/>
  <c r="BF383" i="2"/>
  <c r="BE383" i="2"/>
  <c r="BD383" i="2"/>
  <c r="BC383" i="2"/>
  <c r="BB383" i="2"/>
  <c r="BA383" i="2"/>
  <c r="AZ383" i="2"/>
  <c r="AY383" i="2"/>
  <c r="AX383" i="2"/>
  <c r="J383" i="1"/>
  <c r="AW383" i="2"/>
  <c r="I383" i="1"/>
  <c r="AV383" i="2"/>
  <c r="AU383" i="2"/>
  <c r="AT383" i="2"/>
  <c r="AS383" i="2"/>
  <c r="AR383" i="2"/>
  <c r="AQ383" i="2"/>
  <c r="AP383" i="2"/>
  <c r="AO383" i="2"/>
  <c r="AL383" i="2"/>
  <c r="AK383" i="2"/>
  <c r="BQ382" i="2"/>
  <c r="BP382" i="2"/>
  <c r="AB382" i="1"/>
  <c r="BO382" i="2"/>
  <c r="AA382" i="1"/>
  <c r="BN382" i="2"/>
  <c r="BM382" i="2"/>
  <c r="BL382" i="2"/>
  <c r="BK382" i="2"/>
  <c r="W382" i="1"/>
  <c r="BJ382" i="2"/>
  <c r="BI382" i="2"/>
  <c r="BH382" i="2"/>
  <c r="T382" i="1"/>
  <c r="BG382" i="2"/>
  <c r="BF382" i="2"/>
  <c r="BE382" i="2"/>
  <c r="BD382" i="2"/>
  <c r="BC382" i="2"/>
  <c r="BB382" i="2"/>
  <c r="BA382" i="2"/>
  <c r="AZ382" i="2"/>
  <c r="AY382" i="2"/>
  <c r="AX382" i="2"/>
  <c r="J382" i="1"/>
  <c r="AW382" i="2"/>
  <c r="I382" i="1"/>
  <c r="AV382" i="2"/>
  <c r="AU382" i="2"/>
  <c r="AT382" i="2"/>
  <c r="AS382" i="2"/>
  <c r="AR382" i="2"/>
  <c r="AQ382" i="2"/>
  <c r="AP382" i="2"/>
  <c r="AO382" i="2"/>
  <c r="AL382" i="2"/>
  <c r="AK382" i="2"/>
  <c r="BQ381" i="2"/>
  <c r="BP381" i="2"/>
  <c r="AB381" i="1"/>
  <c r="BO381" i="2"/>
  <c r="AA381" i="1"/>
  <c r="BN381" i="2"/>
  <c r="BM381" i="2"/>
  <c r="BL381" i="2"/>
  <c r="BK381" i="2"/>
  <c r="W381" i="1"/>
  <c r="BJ381" i="2"/>
  <c r="BI381" i="2"/>
  <c r="BH381" i="2"/>
  <c r="T381" i="1"/>
  <c r="BG381" i="2"/>
  <c r="BF381" i="2"/>
  <c r="BE381" i="2"/>
  <c r="BD381" i="2"/>
  <c r="BC381" i="2"/>
  <c r="BB381" i="2"/>
  <c r="BA381" i="2"/>
  <c r="AZ381" i="2"/>
  <c r="AY381" i="2"/>
  <c r="AX381" i="2"/>
  <c r="J381" i="1"/>
  <c r="AW381" i="2"/>
  <c r="I381" i="1"/>
  <c r="AV381" i="2"/>
  <c r="AU381" i="2"/>
  <c r="AT381" i="2"/>
  <c r="AS381" i="2"/>
  <c r="AR381" i="2"/>
  <c r="AQ381" i="2"/>
  <c r="AP381" i="2"/>
  <c r="AO381" i="2"/>
  <c r="AL381" i="2"/>
  <c r="AK381" i="2"/>
  <c r="BQ380" i="2"/>
  <c r="BP380" i="2"/>
  <c r="AB380" i="1"/>
  <c r="BO380" i="2"/>
  <c r="AA380" i="1"/>
  <c r="BN380" i="2"/>
  <c r="BM380" i="2"/>
  <c r="BL380" i="2"/>
  <c r="BK380" i="2"/>
  <c r="W380" i="1"/>
  <c r="BJ380" i="2"/>
  <c r="BI380" i="2"/>
  <c r="BH380" i="2"/>
  <c r="T380" i="1"/>
  <c r="BG380" i="2"/>
  <c r="BF380" i="2"/>
  <c r="BE380" i="2"/>
  <c r="BD380" i="2"/>
  <c r="BC380" i="2"/>
  <c r="BB380" i="2"/>
  <c r="BA380" i="2"/>
  <c r="AZ380" i="2"/>
  <c r="AY380" i="2"/>
  <c r="AX380" i="2"/>
  <c r="J380" i="1"/>
  <c r="AW380" i="2"/>
  <c r="I380" i="1"/>
  <c r="AV380" i="2"/>
  <c r="AU380" i="2"/>
  <c r="AT380" i="2"/>
  <c r="AS380" i="2"/>
  <c r="AR380" i="2"/>
  <c r="AQ380" i="2"/>
  <c r="AP380" i="2"/>
  <c r="AO380" i="2"/>
  <c r="AL380" i="2"/>
  <c r="AK380" i="2"/>
  <c r="BQ379" i="2"/>
  <c r="BP379" i="2"/>
  <c r="AB379" i="1"/>
  <c r="BO379" i="2"/>
  <c r="AA379" i="1"/>
  <c r="BN379" i="2"/>
  <c r="BM379" i="2"/>
  <c r="BL379" i="2"/>
  <c r="BK379" i="2"/>
  <c r="W379" i="1"/>
  <c r="BJ379" i="2"/>
  <c r="BI379" i="2"/>
  <c r="BH379" i="2"/>
  <c r="T379" i="1"/>
  <c r="BG379" i="2"/>
  <c r="BF379" i="2"/>
  <c r="BE379" i="2"/>
  <c r="BD379" i="2"/>
  <c r="BC379" i="2"/>
  <c r="BB379" i="2"/>
  <c r="BA379" i="2"/>
  <c r="AZ379" i="2"/>
  <c r="AY379" i="2"/>
  <c r="AX379" i="2"/>
  <c r="J379" i="1"/>
  <c r="AW379" i="2"/>
  <c r="I379" i="1"/>
  <c r="AV379" i="2"/>
  <c r="AU379" i="2"/>
  <c r="AT379" i="2"/>
  <c r="AS379" i="2"/>
  <c r="AR379" i="2"/>
  <c r="AQ379" i="2"/>
  <c r="AP379" i="2"/>
  <c r="AO379" i="2"/>
  <c r="AL379" i="2"/>
  <c r="AK379" i="2"/>
  <c r="BQ378" i="2"/>
  <c r="BP378" i="2"/>
  <c r="AB378" i="1"/>
  <c r="BO378" i="2"/>
  <c r="AA378" i="1"/>
  <c r="BN378" i="2"/>
  <c r="BM378" i="2"/>
  <c r="BL378" i="2"/>
  <c r="BK378" i="2"/>
  <c r="W378" i="1"/>
  <c r="BJ378" i="2"/>
  <c r="BI378" i="2"/>
  <c r="BH378" i="2"/>
  <c r="T378" i="1"/>
  <c r="BG378" i="2"/>
  <c r="BF378" i="2"/>
  <c r="BE378" i="2"/>
  <c r="BD378" i="2"/>
  <c r="BC378" i="2"/>
  <c r="BB378" i="2"/>
  <c r="BA378" i="2"/>
  <c r="AZ378" i="2"/>
  <c r="AY378" i="2"/>
  <c r="AX378" i="2"/>
  <c r="J378" i="1"/>
  <c r="AW378" i="2"/>
  <c r="I378" i="1"/>
  <c r="AV378" i="2"/>
  <c r="AU378" i="2"/>
  <c r="AT378" i="2"/>
  <c r="AS378" i="2"/>
  <c r="AR378" i="2"/>
  <c r="AQ378" i="2"/>
  <c r="AP378" i="2"/>
  <c r="AO378" i="2"/>
  <c r="AL378" i="2"/>
  <c r="AK378" i="2"/>
  <c r="BQ377" i="2"/>
  <c r="BP377" i="2"/>
  <c r="AB377" i="1"/>
  <c r="BO377" i="2"/>
  <c r="AA377" i="1"/>
  <c r="BN377" i="2"/>
  <c r="BM377" i="2"/>
  <c r="BL377" i="2"/>
  <c r="BK377" i="2"/>
  <c r="W377" i="1"/>
  <c r="BJ377" i="2"/>
  <c r="BI377" i="2"/>
  <c r="BH377" i="2"/>
  <c r="T377" i="1"/>
  <c r="BG377" i="2"/>
  <c r="BF377" i="2"/>
  <c r="BE377" i="2"/>
  <c r="BD377" i="2"/>
  <c r="BC377" i="2"/>
  <c r="BB377" i="2"/>
  <c r="BA377" i="2"/>
  <c r="AZ377" i="2"/>
  <c r="AY377" i="2"/>
  <c r="AX377" i="2"/>
  <c r="J377" i="1"/>
  <c r="AW377" i="2"/>
  <c r="I377" i="1"/>
  <c r="AV377" i="2"/>
  <c r="AU377" i="2"/>
  <c r="AT377" i="2"/>
  <c r="AS377" i="2"/>
  <c r="AR377" i="2"/>
  <c r="AQ377" i="2"/>
  <c r="AP377" i="2"/>
  <c r="AO377" i="2"/>
  <c r="AL377" i="2"/>
  <c r="AK377" i="2"/>
  <c r="BQ376" i="2"/>
  <c r="BP376" i="2"/>
  <c r="AB376" i="1"/>
  <c r="BO376" i="2"/>
  <c r="AA376" i="1"/>
  <c r="BN376" i="2"/>
  <c r="BM376" i="2"/>
  <c r="BL376" i="2"/>
  <c r="BK376" i="2"/>
  <c r="W376" i="1"/>
  <c r="BJ376" i="2"/>
  <c r="BI376" i="2"/>
  <c r="BH376" i="2"/>
  <c r="T376" i="1"/>
  <c r="BG376" i="2"/>
  <c r="BF376" i="2"/>
  <c r="BE376" i="2"/>
  <c r="BD376" i="2"/>
  <c r="BC376" i="2"/>
  <c r="BB376" i="2"/>
  <c r="BA376" i="2"/>
  <c r="AZ376" i="2"/>
  <c r="AY376" i="2"/>
  <c r="AX376" i="2"/>
  <c r="J376" i="1"/>
  <c r="AW376" i="2"/>
  <c r="I376" i="1"/>
  <c r="AV376" i="2"/>
  <c r="AU376" i="2"/>
  <c r="AT376" i="2"/>
  <c r="AS376" i="2"/>
  <c r="AR376" i="2"/>
  <c r="AQ376" i="2"/>
  <c r="AP376" i="2"/>
  <c r="AO376" i="2"/>
  <c r="AL376" i="2"/>
  <c r="AK376" i="2"/>
  <c r="BQ375" i="2"/>
  <c r="BP375" i="2"/>
  <c r="AB375" i="1"/>
  <c r="BO375" i="2"/>
  <c r="AA375" i="1"/>
  <c r="BN375" i="2"/>
  <c r="BM375" i="2"/>
  <c r="BL375" i="2"/>
  <c r="BK375" i="2"/>
  <c r="W375" i="1"/>
  <c r="BJ375" i="2"/>
  <c r="BI375" i="2"/>
  <c r="BH375" i="2"/>
  <c r="T375" i="1"/>
  <c r="BG375" i="2"/>
  <c r="BF375" i="2"/>
  <c r="BE375" i="2"/>
  <c r="BD375" i="2"/>
  <c r="BC375" i="2"/>
  <c r="BB375" i="2"/>
  <c r="BA375" i="2"/>
  <c r="AZ375" i="2"/>
  <c r="AY375" i="2"/>
  <c r="AX375" i="2"/>
  <c r="J375" i="1"/>
  <c r="AW375" i="2"/>
  <c r="I375" i="1"/>
  <c r="AV375" i="2"/>
  <c r="AU375" i="2"/>
  <c r="AT375" i="2"/>
  <c r="AS375" i="2"/>
  <c r="AR375" i="2"/>
  <c r="AQ375" i="2"/>
  <c r="AP375" i="2"/>
  <c r="AO375" i="2"/>
  <c r="AL375" i="2"/>
  <c r="AK375" i="2"/>
  <c r="BQ374" i="2"/>
  <c r="BP374" i="2"/>
  <c r="AB374" i="1"/>
  <c r="BO374" i="2"/>
  <c r="AA374" i="1"/>
  <c r="BN374" i="2"/>
  <c r="BM374" i="2"/>
  <c r="BL374" i="2"/>
  <c r="BK374" i="2"/>
  <c r="W374" i="1"/>
  <c r="BJ374" i="2"/>
  <c r="BI374" i="2"/>
  <c r="BH374" i="2"/>
  <c r="T374" i="1"/>
  <c r="BG374" i="2"/>
  <c r="BF374" i="2"/>
  <c r="BE374" i="2"/>
  <c r="BD374" i="2"/>
  <c r="BC374" i="2"/>
  <c r="BB374" i="2"/>
  <c r="BA374" i="2"/>
  <c r="AZ374" i="2"/>
  <c r="AY374" i="2"/>
  <c r="AX374" i="2"/>
  <c r="J374" i="1"/>
  <c r="AW374" i="2"/>
  <c r="I374" i="1"/>
  <c r="AV374" i="2"/>
  <c r="AU374" i="2"/>
  <c r="AT374" i="2"/>
  <c r="AS374" i="2"/>
  <c r="AR374" i="2"/>
  <c r="AQ374" i="2"/>
  <c r="AP374" i="2"/>
  <c r="AO374" i="2"/>
  <c r="AL374" i="2"/>
  <c r="AK374" i="2"/>
  <c r="BQ373" i="2"/>
  <c r="BP373" i="2"/>
  <c r="AB373" i="1"/>
  <c r="BO373" i="2"/>
  <c r="AA373" i="1"/>
  <c r="BN373" i="2"/>
  <c r="BM373" i="2"/>
  <c r="BL373" i="2"/>
  <c r="BK373" i="2"/>
  <c r="W373" i="1"/>
  <c r="BJ373" i="2"/>
  <c r="BI373" i="2"/>
  <c r="BH373" i="2"/>
  <c r="T373" i="1"/>
  <c r="BG373" i="2"/>
  <c r="BF373" i="2"/>
  <c r="BE373" i="2"/>
  <c r="BD373" i="2"/>
  <c r="BC373" i="2"/>
  <c r="BB373" i="2"/>
  <c r="BA373" i="2"/>
  <c r="AZ373" i="2"/>
  <c r="AY373" i="2"/>
  <c r="AX373" i="2"/>
  <c r="J373" i="1"/>
  <c r="AW373" i="2"/>
  <c r="I373" i="1"/>
  <c r="AV373" i="2"/>
  <c r="AU373" i="2"/>
  <c r="AT373" i="2"/>
  <c r="AS373" i="2"/>
  <c r="AR373" i="2"/>
  <c r="AQ373" i="2"/>
  <c r="AP373" i="2"/>
  <c r="AO373" i="2"/>
  <c r="AL373" i="2"/>
  <c r="AK373" i="2"/>
  <c r="BQ372" i="2"/>
  <c r="BP372" i="2"/>
  <c r="AB372" i="1"/>
  <c r="BO372" i="2"/>
  <c r="AA372" i="1"/>
  <c r="BN372" i="2"/>
  <c r="BM372" i="2"/>
  <c r="BL372" i="2"/>
  <c r="BK372" i="2"/>
  <c r="W372" i="1"/>
  <c r="BJ372" i="2"/>
  <c r="BI372" i="2"/>
  <c r="BH372" i="2"/>
  <c r="T372" i="1"/>
  <c r="BG372" i="2"/>
  <c r="BF372" i="2"/>
  <c r="BE372" i="2"/>
  <c r="BD372" i="2"/>
  <c r="BC372" i="2"/>
  <c r="BB372" i="2"/>
  <c r="BA372" i="2"/>
  <c r="AZ372" i="2"/>
  <c r="AY372" i="2"/>
  <c r="AX372" i="2"/>
  <c r="J372" i="1"/>
  <c r="AW372" i="2"/>
  <c r="I372" i="1"/>
  <c r="AV372" i="2"/>
  <c r="AU372" i="2"/>
  <c r="AT372" i="2"/>
  <c r="AS372" i="2"/>
  <c r="AR372" i="2"/>
  <c r="AQ372" i="2"/>
  <c r="AP372" i="2"/>
  <c r="AO372" i="2"/>
  <c r="AL372" i="2"/>
  <c r="AK372" i="2"/>
  <c r="BQ371" i="2"/>
  <c r="BP371" i="2"/>
  <c r="AB371" i="1"/>
  <c r="BO371" i="2"/>
  <c r="AA371" i="1"/>
  <c r="BN371" i="2"/>
  <c r="BM371" i="2"/>
  <c r="BL371" i="2"/>
  <c r="BK371" i="2"/>
  <c r="W371" i="1"/>
  <c r="BJ371" i="2"/>
  <c r="BI371" i="2"/>
  <c r="BH371" i="2"/>
  <c r="T371" i="1"/>
  <c r="BG371" i="2"/>
  <c r="BF371" i="2"/>
  <c r="BE371" i="2"/>
  <c r="BD371" i="2"/>
  <c r="BC371" i="2"/>
  <c r="BB371" i="2"/>
  <c r="BA371" i="2"/>
  <c r="AZ371" i="2"/>
  <c r="AY371" i="2"/>
  <c r="AX371" i="2"/>
  <c r="J371" i="1"/>
  <c r="AW371" i="2"/>
  <c r="I371" i="1"/>
  <c r="AV371" i="2"/>
  <c r="AU371" i="2"/>
  <c r="AT371" i="2"/>
  <c r="AS371" i="2"/>
  <c r="AR371" i="2"/>
  <c r="AQ371" i="2"/>
  <c r="AP371" i="2"/>
  <c r="AO371" i="2"/>
  <c r="AL371" i="2"/>
  <c r="AK371" i="2"/>
  <c r="BQ370" i="2"/>
  <c r="BP370" i="2"/>
  <c r="AB370" i="1"/>
  <c r="BO370" i="2"/>
  <c r="AA370" i="1"/>
  <c r="BN370" i="2"/>
  <c r="BM370" i="2"/>
  <c r="BL370" i="2"/>
  <c r="BK370" i="2"/>
  <c r="W370" i="1"/>
  <c r="BJ370" i="2"/>
  <c r="BI370" i="2"/>
  <c r="BH370" i="2"/>
  <c r="T370" i="1"/>
  <c r="BG370" i="2"/>
  <c r="BF370" i="2"/>
  <c r="BE370" i="2"/>
  <c r="BD370" i="2"/>
  <c r="BC370" i="2"/>
  <c r="BB370" i="2"/>
  <c r="BA370" i="2"/>
  <c r="AZ370" i="2"/>
  <c r="AY370" i="2"/>
  <c r="AX370" i="2"/>
  <c r="J370" i="1"/>
  <c r="AW370" i="2"/>
  <c r="I370" i="1"/>
  <c r="AV370" i="2"/>
  <c r="AU370" i="2"/>
  <c r="AT370" i="2"/>
  <c r="AS370" i="2"/>
  <c r="AR370" i="2"/>
  <c r="AQ370" i="2"/>
  <c r="AP370" i="2"/>
  <c r="AO370" i="2"/>
  <c r="AL370" i="2"/>
  <c r="AK370" i="2"/>
  <c r="BQ369" i="2"/>
  <c r="BP369" i="2"/>
  <c r="AB369" i="1"/>
  <c r="BO369" i="2"/>
  <c r="AA369" i="1"/>
  <c r="BN369" i="2"/>
  <c r="BM369" i="2"/>
  <c r="BL369" i="2"/>
  <c r="BK369" i="2"/>
  <c r="W369" i="1"/>
  <c r="BJ369" i="2"/>
  <c r="BI369" i="2"/>
  <c r="BH369" i="2"/>
  <c r="T369" i="1"/>
  <c r="BG369" i="2"/>
  <c r="BF369" i="2"/>
  <c r="BE369" i="2"/>
  <c r="BD369" i="2"/>
  <c r="BC369" i="2"/>
  <c r="BB369" i="2"/>
  <c r="BA369" i="2"/>
  <c r="AZ369" i="2"/>
  <c r="AY369" i="2"/>
  <c r="AX369" i="2"/>
  <c r="J369" i="1"/>
  <c r="AW369" i="2"/>
  <c r="I369" i="1"/>
  <c r="AV369" i="2"/>
  <c r="AU369" i="2"/>
  <c r="AT369" i="2"/>
  <c r="AS369" i="2"/>
  <c r="AR369" i="2"/>
  <c r="AQ369" i="2"/>
  <c r="AP369" i="2"/>
  <c r="AO369" i="2"/>
  <c r="AL369" i="2"/>
  <c r="AK369" i="2"/>
  <c r="BQ368" i="2"/>
  <c r="BP368" i="2"/>
  <c r="AB368" i="1"/>
  <c r="BO368" i="2"/>
  <c r="AA368" i="1"/>
  <c r="BN368" i="2"/>
  <c r="BM368" i="2"/>
  <c r="BL368" i="2"/>
  <c r="BK368" i="2"/>
  <c r="W368" i="1"/>
  <c r="BJ368" i="2"/>
  <c r="BI368" i="2"/>
  <c r="BH368" i="2"/>
  <c r="T368" i="1"/>
  <c r="BG368" i="2"/>
  <c r="BF368" i="2"/>
  <c r="BE368" i="2"/>
  <c r="BD368" i="2"/>
  <c r="BC368" i="2"/>
  <c r="BB368" i="2"/>
  <c r="BA368" i="2"/>
  <c r="AZ368" i="2"/>
  <c r="AY368" i="2"/>
  <c r="AX368" i="2"/>
  <c r="J368" i="1"/>
  <c r="AW368" i="2"/>
  <c r="I368" i="1"/>
  <c r="AV368" i="2"/>
  <c r="AU368" i="2"/>
  <c r="AT368" i="2"/>
  <c r="AS368" i="2"/>
  <c r="AR368" i="2"/>
  <c r="AQ368" i="2"/>
  <c r="AP368" i="2"/>
  <c r="AO368" i="2"/>
  <c r="AL368" i="2"/>
  <c r="AK368" i="2"/>
  <c r="BQ367" i="2"/>
  <c r="BP367" i="2"/>
  <c r="AB367" i="1"/>
  <c r="BO367" i="2"/>
  <c r="AA367" i="1"/>
  <c r="BN367" i="2"/>
  <c r="BM367" i="2"/>
  <c r="BL367" i="2"/>
  <c r="BK367" i="2"/>
  <c r="W367" i="1"/>
  <c r="BJ367" i="2"/>
  <c r="BI367" i="2"/>
  <c r="BH367" i="2"/>
  <c r="T367" i="1"/>
  <c r="BG367" i="2"/>
  <c r="BF367" i="2"/>
  <c r="BE367" i="2"/>
  <c r="BD367" i="2"/>
  <c r="BC367" i="2"/>
  <c r="BB367" i="2"/>
  <c r="BA367" i="2"/>
  <c r="AZ367" i="2"/>
  <c r="AY367" i="2"/>
  <c r="AX367" i="2"/>
  <c r="J367" i="1"/>
  <c r="AW367" i="2"/>
  <c r="I367" i="1"/>
  <c r="AV367" i="2"/>
  <c r="AU367" i="2"/>
  <c r="AT367" i="2"/>
  <c r="AS367" i="2"/>
  <c r="AR367" i="2"/>
  <c r="AQ367" i="2"/>
  <c r="AP367" i="2"/>
  <c r="AO367" i="2"/>
  <c r="AL367" i="2"/>
  <c r="AK367" i="2"/>
  <c r="BQ366" i="2"/>
  <c r="BP366" i="2"/>
  <c r="AB366" i="1"/>
  <c r="BO366" i="2"/>
  <c r="AA366" i="1"/>
  <c r="BN366" i="2"/>
  <c r="BM366" i="2"/>
  <c r="BL366" i="2"/>
  <c r="BK366" i="2"/>
  <c r="W366" i="1"/>
  <c r="BJ366" i="2"/>
  <c r="BI366" i="2"/>
  <c r="BH366" i="2"/>
  <c r="T366" i="1"/>
  <c r="BG366" i="2"/>
  <c r="BF366" i="2"/>
  <c r="BE366" i="2"/>
  <c r="BD366" i="2"/>
  <c r="BC366" i="2"/>
  <c r="BB366" i="2"/>
  <c r="BA366" i="2"/>
  <c r="AZ366" i="2"/>
  <c r="AY366" i="2"/>
  <c r="AX366" i="2"/>
  <c r="J366" i="1"/>
  <c r="AW366" i="2"/>
  <c r="I366" i="1"/>
  <c r="AV366" i="2"/>
  <c r="AU366" i="2"/>
  <c r="AT366" i="2"/>
  <c r="AS366" i="2"/>
  <c r="AR366" i="2"/>
  <c r="AQ366" i="2"/>
  <c r="AP366" i="2"/>
  <c r="AO366" i="2"/>
  <c r="AL366" i="2"/>
  <c r="AK366" i="2"/>
  <c r="BQ365" i="2"/>
  <c r="BP365" i="2"/>
  <c r="AB365" i="1"/>
  <c r="BO365" i="2"/>
  <c r="AA365" i="1"/>
  <c r="BN365" i="2"/>
  <c r="BM365" i="2"/>
  <c r="BL365" i="2"/>
  <c r="BK365" i="2"/>
  <c r="W365" i="1"/>
  <c r="BJ365" i="2"/>
  <c r="BI365" i="2"/>
  <c r="BH365" i="2"/>
  <c r="T365" i="1"/>
  <c r="BG365" i="2"/>
  <c r="BF365" i="2"/>
  <c r="BE365" i="2"/>
  <c r="BD365" i="2"/>
  <c r="BC365" i="2"/>
  <c r="BB365" i="2"/>
  <c r="BA365" i="2"/>
  <c r="AZ365" i="2"/>
  <c r="AY365" i="2"/>
  <c r="AX365" i="2"/>
  <c r="J365" i="1"/>
  <c r="AW365" i="2"/>
  <c r="I365" i="1"/>
  <c r="AV365" i="2"/>
  <c r="AU365" i="2"/>
  <c r="AT365" i="2"/>
  <c r="AS365" i="2"/>
  <c r="AR365" i="2"/>
  <c r="AQ365" i="2"/>
  <c r="AP365" i="2"/>
  <c r="AO365" i="2"/>
  <c r="AL365" i="2"/>
  <c r="AK365" i="2"/>
  <c r="BQ364" i="2"/>
  <c r="BP364" i="2"/>
  <c r="AB364" i="1"/>
  <c r="BO364" i="2"/>
  <c r="AA364" i="1"/>
  <c r="BN364" i="2"/>
  <c r="BM364" i="2"/>
  <c r="BL364" i="2"/>
  <c r="BK364" i="2"/>
  <c r="W364" i="1"/>
  <c r="BJ364" i="2"/>
  <c r="BI364" i="2"/>
  <c r="BH364" i="2"/>
  <c r="T364" i="1"/>
  <c r="BG364" i="2"/>
  <c r="BF364" i="2"/>
  <c r="BE364" i="2"/>
  <c r="BD364" i="2"/>
  <c r="BC364" i="2"/>
  <c r="BB364" i="2"/>
  <c r="BA364" i="2"/>
  <c r="AZ364" i="2"/>
  <c r="AY364" i="2"/>
  <c r="AX364" i="2"/>
  <c r="J364" i="1"/>
  <c r="AW364" i="2"/>
  <c r="I364" i="1"/>
  <c r="AV364" i="2"/>
  <c r="AU364" i="2"/>
  <c r="AT364" i="2"/>
  <c r="AS364" i="2"/>
  <c r="AR364" i="2"/>
  <c r="AQ364" i="2"/>
  <c r="AP364" i="2"/>
  <c r="AO364" i="2"/>
  <c r="AL364" i="2"/>
  <c r="AK364" i="2"/>
  <c r="BQ363" i="2"/>
  <c r="BP363" i="2"/>
  <c r="AB363" i="1"/>
  <c r="BO363" i="2"/>
  <c r="AA363" i="1"/>
  <c r="BN363" i="2"/>
  <c r="BM363" i="2"/>
  <c r="BL363" i="2"/>
  <c r="BK363" i="2"/>
  <c r="W363" i="1"/>
  <c r="BJ363" i="2"/>
  <c r="BI363" i="2"/>
  <c r="BH363" i="2"/>
  <c r="T363" i="1"/>
  <c r="BG363" i="2"/>
  <c r="BF363" i="2"/>
  <c r="BE363" i="2"/>
  <c r="BD363" i="2"/>
  <c r="BC363" i="2"/>
  <c r="BB363" i="2"/>
  <c r="BA363" i="2"/>
  <c r="AZ363" i="2"/>
  <c r="AY363" i="2"/>
  <c r="AX363" i="2"/>
  <c r="J363" i="1"/>
  <c r="AW363" i="2"/>
  <c r="I363" i="1"/>
  <c r="AV363" i="2"/>
  <c r="AU363" i="2"/>
  <c r="AT363" i="2"/>
  <c r="AS363" i="2"/>
  <c r="AR363" i="2"/>
  <c r="AQ363" i="2"/>
  <c r="AP363" i="2"/>
  <c r="AO363" i="2"/>
  <c r="AL363" i="2"/>
  <c r="AK363" i="2"/>
  <c r="BQ362" i="2"/>
  <c r="BP362" i="2"/>
  <c r="AB362" i="1"/>
  <c r="BO362" i="2"/>
  <c r="AA362" i="1"/>
  <c r="BN362" i="2"/>
  <c r="BM362" i="2"/>
  <c r="BL362" i="2"/>
  <c r="BK362" i="2"/>
  <c r="W362" i="1"/>
  <c r="BJ362" i="2"/>
  <c r="BI362" i="2"/>
  <c r="BH362" i="2"/>
  <c r="T362" i="1"/>
  <c r="BG362" i="2"/>
  <c r="BF362" i="2"/>
  <c r="BE362" i="2"/>
  <c r="BD362" i="2"/>
  <c r="BC362" i="2"/>
  <c r="BB362" i="2"/>
  <c r="BA362" i="2"/>
  <c r="AZ362" i="2"/>
  <c r="AY362" i="2"/>
  <c r="AX362" i="2"/>
  <c r="J362" i="1"/>
  <c r="AW362" i="2"/>
  <c r="I362" i="1"/>
  <c r="AV362" i="2"/>
  <c r="AU362" i="2"/>
  <c r="AT362" i="2"/>
  <c r="AS362" i="2"/>
  <c r="AR362" i="2"/>
  <c r="AQ362" i="2"/>
  <c r="AP362" i="2"/>
  <c r="AO362" i="2"/>
  <c r="AL362" i="2"/>
  <c r="AK362" i="2"/>
  <c r="BQ361" i="2"/>
  <c r="BP361" i="2"/>
  <c r="AB361" i="1"/>
  <c r="BO361" i="2"/>
  <c r="AA361" i="1"/>
  <c r="BN361" i="2"/>
  <c r="BM361" i="2"/>
  <c r="BL361" i="2"/>
  <c r="BK361" i="2"/>
  <c r="W361" i="1"/>
  <c r="BJ361" i="2"/>
  <c r="BI361" i="2"/>
  <c r="BH361" i="2"/>
  <c r="T361" i="1"/>
  <c r="BG361" i="2"/>
  <c r="BF361" i="2"/>
  <c r="BE361" i="2"/>
  <c r="BD361" i="2"/>
  <c r="BC361" i="2"/>
  <c r="BB361" i="2"/>
  <c r="BA361" i="2"/>
  <c r="AZ361" i="2"/>
  <c r="AY361" i="2"/>
  <c r="AX361" i="2"/>
  <c r="J361" i="1"/>
  <c r="AW361" i="2"/>
  <c r="I361" i="1"/>
  <c r="AV361" i="2"/>
  <c r="AU361" i="2"/>
  <c r="AT361" i="2"/>
  <c r="AS361" i="2"/>
  <c r="AR361" i="2"/>
  <c r="AQ361" i="2"/>
  <c r="AP361" i="2"/>
  <c r="AO361" i="2"/>
  <c r="AL361" i="2"/>
  <c r="AK361" i="2"/>
  <c r="BQ360" i="2"/>
  <c r="BP360" i="2"/>
  <c r="AB360" i="1"/>
  <c r="BO360" i="2"/>
  <c r="AA360" i="1"/>
  <c r="BN360" i="2"/>
  <c r="BM360" i="2"/>
  <c r="BL360" i="2"/>
  <c r="BK360" i="2"/>
  <c r="W360" i="1"/>
  <c r="BJ360" i="2"/>
  <c r="BI360" i="2"/>
  <c r="BH360" i="2"/>
  <c r="T360" i="1"/>
  <c r="BG360" i="2"/>
  <c r="BF360" i="2"/>
  <c r="BE360" i="2"/>
  <c r="BD360" i="2"/>
  <c r="BC360" i="2"/>
  <c r="BB360" i="2"/>
  <c r="BA360" i="2"/>
  <c r="AZ360" i="2"/>
  <c r="AY360" i="2"/>
  <c r="AX360" i="2"/>
  <c r="J360" i="1"/>
  <c r="AW360" i="2"/>
  <c r="I360" i="1"/>
  <c r="AV360" i="2"/>
  <c r="AU360" i="2"/>
  <c r="AT360" i="2"/>
  <c r="AS360" i="2"/>
  <c r="AR360" i="2"/>
  <c r="AQ360" i="2"/>
  <c r="AP360" i="2"/>
  <c r="AO360" i="2"/>
  <c r="AL360" i="2"/>
  <c r="AK360" i="2"/>
  <c r="BQ359" i="2"/>
  <c r="BP359" i="2"/>
  <c r="AB359" i="1"/>
  <c r="BO359" i="2"/>
  <c r="AA359" i="1"/>
  <c r="BN359" i="2"/>
  <c r="BM359" i="2"/>
  <c r="BL359" i="2"/>
  <c r="BK359" i="2"/>
  <c r="W359" i="1"/>
  <c r="BJ359" i="2"/>
  <c r="BI359" i="2"/>
  <c r="BH359" i="2"/>
  <c r="T359" i="1"/>
  <c r="BG359" i="2"/>
  <c r="BF359" i="2"/>
  <c r="BE359" i="2"/>
  <c r="BD359" i="2"/>
  <c r="BC359" i="2"/>
  <c r="BB359" i="2"/>
  <c r="BA359" i="2"/>
  <c r="AZ359" i="2"/>
  <c r="AY359" i="2"/>
  <c r="AX359" i="2"/>
  <c r="J359" i="1"/>
  <c r="AW359" i="2"/>
  <c r="I359" i="1"/>
  <c r="AV359" i="2"/>
  <c r="AU359" i="2"/>
  <c r="AT359" i="2"/>
  <c r="AS359" i="2"/>
  <c r="AR359" i="2"/>
  <c r="AQ359" i="2"/>
  <c r="AP359" i="2"/>
  <c r="AO359" i="2"/>
  <c r="AL359" i="2"/>
  <c r="AK359" i="2"/>
  <c r="BQ358" i="2"/>
  <c r="BP358" i="2"/>
  <c r="AB358" i="1"/>
  <c r="BO358" i="2"/>
  <c r="AA358" i="1"/>
  <c r="BN358" i="2"/>
  <c r="BM358" i="2"/>
  <c r="BL358" i="2"/>
  <c r="BK358" i="2"/>
  <c r="W358" i="1"/>
  <c r="BJ358" i="2"/>
  <c r="BI358" i="2"/>
  <c r="BH358" i="2"/>
  <c r="T358" i="1"/>
  <c r="BG358" i="2"/>
  <c r="BF358" i="2"/>
  <c r="BE358" i="2"/>
  <c r="BD358" i="2"/>
  <c r="BC358" i="2"/>
  <c r="BB358" i="2"/>
  <c r="BA358" i="2"/>
  <c r="AZ358" i="2"/>
  <c r="AY358" i="2"/>
  <c r="AX358" i="2"/>
  <c r="J358" i="1"/>
  <c r="AW358" i="2"/>
  <c r="I358" i="1"/>
  <c r="AV358" i="2"/>
  <c r="AU358" i="2"/>
  <c r="AT358" i="2"/>
  <c r="AS358" i="2"/>
  <c r="AR358" i="2"/>
  <c r="AQ358" i="2"/>
  <c r="AP358" i="2"/>
  <c r="AO358" i="2"/>
  <c r="AL358" i="2"/>
  <c r="AK358" i="2"/>
  <c r="BQ357" i="2"/>
  <c r="BP357" i="2"/>
  <c r="AB357" i="1"/>
  <c r="BO357" i="2"/>
  <c r="AA357" i="1"/>
  <c r="BN357" i="2"/>
  <c r="BM357" i="2"/>
  <c r="BL357" i="2"/>
  <c r="BK357" i="2"/>
  <c r="W357" i="1"/>
  <c r="BJ357" i="2"/>
  <c r="BI357" i="2"/>
  <c r="BH357" i="2"/>
  <c r="T357" i="1"/>
  <c r="BG357" i="2"/>
  <c r="BF357" i="2"/>
  <c r="BE357" i="2"/>
  <c r="BD357" i="2"/>
  <c r="BC357" i="2"/>
  <c r="BB357" i="2"/>
  <c r="BA357" i="2"/>
  <c r="AZ357" i="2"/>
  <c r="AY357" i="2"/>
  <c r="AX357" i="2"/>
  <c r="J357" i="1"/>
  <c r="AW357" i="2"/>
  <c r="I357" i="1"/>
  <c r="AV357" i="2"/>
  <c r="AU357" i="2"/>
  <c r="AT357" i="2"/>
  <c r="AS357" i="2"/>
  <c r="AR357" i="2"/>
  <c r="AQ357" i="2"/>
  <c r="AP357" i="2"/>
  <c r="AO357" i="2"/>
  <c r="AL357" i="2"/>
  <c r="AK357" i="2"/>
  <c r="BQ356" i="2"/>
  <c r="BP356" i="2"/>
  <c r="AB356" i="1"/>
  <c r="BO356" i="2"/>
  <c r="AA356" i="1"/>
  <c r="BN356" i="2"/>
  <c r="BM356" i="2"/>
  <c r="BL356" i="2"/>
  <c r="BK356" i="2"/>
  <c r="W356" i="1"/>
  <c r="BJ356" i="2"/>
  <c r="BI356" i="2"/>
  <c r="BH356" i="2"/>
  <c r="T356" i="1"/>
  <c r="BG356" i="2"/>
  <c r="BF356" i="2"/>
  <c r="BE356" i="2"/>
  <c r="BD356" i="2"/>
  <c r="BC356" i="2"/>
  <c r="BB356" i="2"/>
  <c r="BA356" i="2"/>
  <c r="AZ356" i="2"/>
  <c r="AY356" i="2"/>
  <c r="AX356" i="2"/>
  <c r="J356" i="1"/>
  <c r="AW356" i="2"/>
  <c r="I356" i="1"/>
  <c r="AV356" i="2"/>
  <c r="AU356" i="2"/>
  <c r="AT356" i="2"/>
  <c r="AS356" i="2"/>
  <c r="AR356" i="2"/>
  <c r="AQ356" i="2"/>
  <c r="AP356" i="2"/>
  <c r="AO356" i="2"/>
  <c r="AL356" i="2"/>
  <c r="AK356" i="2"/>
  <c r="BQ355" i="2"/>
  <c r="BP355" i="2"/>
  <c r="AB355" i="1"/>
  <c r="BO355" i="2"/>
  <c r="AA355" i="1"/>
  <c r="BN355" i="2"/>
  <c r="BM355" i="2"/>
  <c r="BL355" i="2"/>
  <c r="BK355" i="2"/>
  <c r="W355" i="1"/>
  <c r="BJ355" i="2"/>
  <c r="BI355" i="2"/>
  <c r="BH355" i="2"/>
  <c r="T355" i="1"/>
  <c r="BG355" i="2"/>
  <c r="BF355" i="2"/>
  <c r="BE355" i="2"/>
  <c r="BD355" i="2"/>
  <c r="BC355" i="2"/>
  <c r="BB355" i="2"/>
  <c r="BA355" i="2"/>
  <c r="AZ355" i="2"/>
  <c r="AY355" i="2"/>
  <c r="AX355" i="2"/>
  <c r="J355" i="1"/>
  <c r="AW355" i="2"/>
  <c r="I355" i="1"/>
  <c r="AV355" i="2"/>
  <c r="AU355" i="2"/>
  <c r="AT355" i="2"/>
  <c r="AS355" i="2"/>
  <c r="AR355" i="2"/>
  <c r="AQ355" i="2"/>
  <c r="AP355" i="2"/>
  <c r="AO355" i="2"/>
  <c r="AL355" i="2"/>
  <c r="AK355" i="2"/>
  <c r="BQ354" i="2"/>
  <c r="BP354" i="2"/>
  <c r="AB354" i="1"/>
  <c r="BO354" i="2"/>
  <c r="AA354" i="1"/>
  <c r="BN354" i="2"/>
  <c r="BM354" i="2"/>
  <c r="BL354" i="2"/>
  <c r="BK354" i="2"/>
  <c r="W354" i="1"/>
  <c r="BJ354" i="2"/>
  <c r="BI354" i="2"/>
  <c r="BH354" i="2"/>
  <c r="T354" i="1"/>
  <c r="BG354" i="2"/>
  <c r="BF354" i="2"/>
  <c r="BE354" i="2"/>
  <c r="BD354" i="2"/>
  <c r="BC354" i="2"/>
  <c r="BB354" i="2"/>
  <c r="BA354" i="2"/>
  <c r="AZ354" i="2"/>
  <c r="AY354" i="2"/>
  <c r="AX354" i="2"/>
  <c r="J354" i="1"/>
  <c r="AW354" i="2"/>
  <c r="I354" i="1"/>
  <c r="AV354" i="2"/>
  <c r="AU354" i="2"/>
  <c r="AT354" i="2"/>
  <c r="AS354" i="2"/>
  <c r="AR354" i="2"/>
  <c r="AQ354" i="2"/>
  <c r="AP354" i="2"/>
  <c r="AO354" i="2"/>
  <c r="AL354" i="2"/>
  <c r="AK354" i="2"/>
  <c r="BQ353" i="2"/>
  <c r="BP353" i="2"/>
  <c r="AB353" i="1"/>
  <c r="BO353" i="2"/>
  <c r="AA353" i="1"/>
  <c r="BN353" i="2"/>
  <c r="BM353" i="2"/>
  <c r="BL353" i="2"/>
  <c r="BK353" i="2"/>
  <c r="W353" i="1"/>
  <c r="BJ353" i="2"/>
  <c r="BI353" i="2"/>
  <c r="BH353" i="2"/>
  <c r="T353" i="1"/>
  <c r="BG353" i="2"/>
  <c r="BF353" i="2"/>
  <c r="BE353" i="2"/>
  <c r="BD353" i="2"/>
  <c r="BC353" i="2"/>
  <c r="BB353" i="2"/>
  <c r="BA353" i="2"/>
  <c r="AZ353" i="2"/>
  <c r="AY353" i="2"/>
  <c r="AX353" i="2"/>
  <c r="J353" i="1"/>
  <c r="AW353" i="2"/>
  <c r="I353" i="1"/>
  <c r="AV353" i="2"/>
  <c r="AU353" i="2"/>
  <c r="AT353" i="2"/>
  <c r="AS353" i="2"/>
  <c r="AR353" i="2"/>
  <c r="AQ353" i="2"/>
  <c r="AP353" i="2"/>
  <c r="AO353" i="2"/>
  <c r="AL353" i="2"/>
  <c r="AK353" i="2"/>
  <c r="BQ352" i="2"/>
  <c r="BP352" i="2"/>
  <c r="AB352" i="1"/>
  <c r="BO352" i="2"/>
  <c r="AA352" i="1"/>
  <c r="BN352" i="2"/>
  <c r="BM352" i="2"/>
  <c r="BL352" i="2"/>
  <c r="BK352" i="2"/>
  <c r="W352" i="1"/>
  <c r="BJ352" i="2"/>
  <c r="BI352" i="2"/>
  <c r="BH352" i="2"/>
  <c r="T352" i="1"/>
  <c r="BG352" i="2"/>
  <c r="BF352" i="2"/>
  <c r="BE352" i="2"/>
  <c r="BD352" i="2"/>
  <c r="BC352" i="2"/>
  <c r="BB352" i="2"/>
  <c r="BA352" i="2"/>
  <c r="AZ352" i="2"/>
  <c r="AY352" i="2"/>
  <c r="AX352" i="2"/>
  <c r="J352" i="1"/>
  <c r="AW352" i="2"/>
  <c r="I352" i="1"/>
  <c r="AV352" i="2"/>
  <c r="AU352" i="2"/>
  <c r="AT352" i="2"/>
  <c r="AS352" i="2"/>
  <c r="AR352" i="2"/>
  <c r="AQ352" i="2"/>
  <c r="AP352" i="2"/>
  <c r="AO352" i="2"/>
  <c r="AL352" i="2"/>
  <c r="AK352" i="2"/>
  <c r="BQ351" i="2"/>
  <c r="BP351" i="2"/>
  <c r="AB351" i="1"/>
  <c r="BO351" i="2"/>
  <c r="AA351" i="1"/>
  <c r="BN351" i="2"/>
  <c r="BM351" i="2"/>
  <c r="BL351" i="2"/>
  <c r="BK351" i="2"/>
  <c r="W351" i="1"/>
  <c r="BJ351" i="2"/>
  <c r="BI351" i="2"/>
  <c r="BH351" i="2"/>
  <c r="T351" i="1"/>
  <c r="BG351" i="2"/>
  <c r="BF351" i="2"/>
  <c r="BE351" i="2"/>
  <c r="BD351" i="2"/>
  <c r="BC351" i="2"/>
  <c r="BB351" i="2"/>
  <c r="BA351" i="2"/>
  <c r="AZ351" i="2"/>
  <c r="AY351" i="2"/>
  <c r="AX351" i="2"/>
  <c r="J351" i="1"/>
  <c r="AW351" i="2"/>
  <c r="I351" i="1"/>
  <c r="AV351" i="2"/>
  <c r="AU351" i="2"/>
  <c r="AT351" i="2"/>
  <c r="AS351" i="2"/>
  <c r="AR351" i="2"/>
  <c r="AQ351" i="2"/>
  <c r="AP351" i="2"/>
  <c r="AO351" i="2"/>
  <c r="AL351" i="2"/>
  <c r="AK351" i="2"/>
  <c r="BQ350" i="2"/>
  <c r="BP350" i="2"/>
  <c r="AB350" i="1"/>
  <c r="BO350" i="2"/>
  <c r="AA350" i="1"/>
  <c r="BN350" i="2"/>
  <c r="BM350" i="2"/>
  <c r="BL350" i="2"/>
  <c r="BK350" i="2"/>
  <c r="W350" i="1"/>
  <c r="BJ350" i="2"/>
  <c r="BI350" i="2"/>
  <c r="BH350" i="2"/>
  <c r="T350" i="1"/>
  <c r="BG350" i="2"/>
  <c r="BF350" i="2"/>
  <c r="BE350" i="2"/>
  <c r="BD350" i="2"/>
  <c r="BC350" i="2"/>
  <c r="BB350" i="2"/>
  <c r="BA350" i="2"/>
  <c r="AZ350" i="2"/>
  <c r="AY350" i="2"/>
  <c r="AX350" i="2"/>
  <c r="J350" i="1"/>
  <c r="AW350" i="2"/>
  <c r="I350" i="1"/>
  <c r="AV350" i="2"/>
  <c r="AU350" i="2"/>
  <c r="AT350" i="2"/>
  <c r="AS350" i="2"/>
  <c r="AR350" i="2"/>
  <c r="AQ350" i="2"/>
  <c r="AP350" i="2"/>
  <c r="AO350" i="2"/>
  <c r="AL350" i="2"/>
  <c r="AK350" i="2"/>
  <c r="BQ349" i="2"/>
  <c r="BP349" i="2"/>
  <c r="AB349" i="1"/>
  <c r="BO349" i="2"/>
  <c r="AA349" i="1"/>
  <c r="BN349" i="2"/>
  <c r="BM349" i="2"/>
  <c r="BL349" i="2"/>
  <c r="BK349" i="2"/>
  <c r="W349" i="1"/>
  <c r="BJ349" i="2"/>
  <c r="BI349" i="2"/>
  <c r="BH349" i="2"/>
  <c r="T349" i="1"/>
  <c r="BG349" i="2"/>
  <c r="BF349" i="2"/>
  <c r="BE349" i="2"/>
  <c r="BD349" i="2"/>
  <c r="BC349" i="2"/>
  <c r="BB349" i="2"/>
  <c r="BA349" i="2"/>
  <c r="AZ349" i="2"/>
  <c r="AY349" i="2"/>
  <c r="AX349" i="2"/>
  <c r="J349" i="1"/>
  <c r="AW349" i="2"/>
  <c r="I349" i="1"/>
  <c r="AV349" i="2"/>
  <c r="AU349" i="2"/>
  <c r="AT349" i="2"/>
  <c r="AS349" i="2"/>
  <c r="AR349" i="2"/>
  <c r="AQ349" i="2"/>
  <c r="AP349" i="2"/>
  <c r="AO349" i="2"/>
  <c r="AL349" i="2"/>
  <c r="AK349" i="2"/>
  <c r="BQ348" i="2"/>
  <c r="BP348" i="2"/>
  <c r="AB348" i="1"/>
  <c r="BO348" i="2"/>
  <c r="AA348" i="1"/>
  <c r="BN348" i="2"/>
  <c r="BM348" i="2"/>
  <c r="BL348" i="2"/>
  <c r="BK348" i="2"/>
  <c r="W348" i="1"/>
  <c r="BJ348" i="2"/>
  <c r="BI348" i="2"/>
  <c r="BH348" i="2"/>
  <c r="T348" i="1"/>
  <c r="BG348" i="2"/>
  <c r="BF348" i="2"/>
  <c r="BE348" i="2"/>
  <c r="BD348" i="2"/>
  <c r="BC348" i="2"/>
  <c r="BB348" i="2"/>
  <c r="BA348" i="2"/>
  <c r="AZ348" i="2"/>
  <c r="AY348" i="2"/>
  <c r="AX348" i="2"/>
  <c r="J348" i="1"/>
  <c r="AW348" i="2"/>
  <c r="I348" i="1"/>
  <c r="AV348" i="2"/>
  <c r="AU348" i="2"/>
  <c r="AT348" i="2"/>
  <c r="AS348" i="2"/>
  <c r="AR348" i="2"/>
  <c r="AQ348" i="2"/>
  <c r="AP348" i="2"/>
  <c r="AO348" i="2"/>
  <c r="AL348" i="2"/>
  <c r="AK348" i="2"/>
  <c r="BQ347" i="2"/>
  <c r="BP347" i="2"/>
  <c r="AB347" i="1"/>
  <c r="BO347" i="2"/>
  <c r="AA347" i="1"/>
  <c r="BN347" i="2"/>
  <c r="BM347" i="2"/>
  <c r="BL347" i="2"/>
  <c r="BK347" i="2"/>
  <c r="W347" i="1"/>
  <c r="BJ347" i="2"/>
  <c r="BI347" i="2"/>
  <c r="BH347" i="2"/>
  <c r="T347" i="1"/>
  <c r="BG347" i="2"/>
  <c r="BF347" i="2"/>
  <c r="BE347" i="2"/>
  <c r="BD347" i="2"/>
  <c r="BC347" i="2"/>
  <c r="BB347" i="2"/>
  <c r="BA347" i="2"/>
  <c r="AZ347" i="2"/>
  <c r="AY347" i="2"/>
  <c r="AX347" i="2"/>
  <c r="J347" i="1"/>
  <c r="AW347" i="2"/>
  <c r="I347" i="1"/>
  <c r="AV347" i="2"/>
  <c r="AU347" i="2"/>
  <c r="AT347" i="2"/>
  <c r="AS347" i="2"/>
  <c r="AR347" i="2"/>
  <c r="AQ347" i="2"/>
  <c r="AP347" i="2"/>
  <c r="AO347" i="2"/>
  <c r="AL347" i="2"/>
  <c r="AK347" i="2"/>
  <c r="BQ346" i="2"/>
  <c r="BP346" i="2"/>
  <c r="AB346" i="1"/>
  <c r="BO346" i="2"/>
  <c r="AA346" i="1"/>
  <c r="BN346" i="2"/>
  <c r="BM346" i="2"/>
  <c r="BL346" i="2"/>
  <c r="BK346" i="2"/>
  <c r="W346" i="1"/>
  <c r="BJ346" i="2"/>
  <c r="BI346" i="2"/>
  <c r="BH346" i="2"/>
  <c r="T346" i="1"/>
  <c r="BG346" i="2"/>
  <c r="BF346" i="2"/>
  <c r="BE346" i="2"/>
  <c r="BD346" i="2"/>
  <c r="BC346" i="2"/>
  <c r="BB346" i="2"/>
  <c r="BA346" i="2"/>
  <c r="AZ346" i="2"/>
  <c r="AY346" i="2"/>
  <c r="AX346" i="2"/>
  <c r="J346" i="1"/>
  <c r="AW346" i="2"/>
  <c r="I346" i="1"/>
  <c r="AV346" i="2"/>
  <c r="AU346" i="2"/>
  <c r="AT346" i="2"/>
  <c r="AS346" i="2"/>
  <c r="AR346" i="2"/>
  <c r="AQ346" i="2"/>
  <c r="AP346" i="2"/>
  <c r="AO346" i="2"/>
  <c r="AL346" i="2"/>
  <c r="AK346" i="2"/>
  <c r="BQ345" i="2"/>
  <c r="BP345" i="2"/>
  <c r="AB345" i="1"/>
  <c r="BO345" i="2"/>
  <c r="AA345" i="1"/>
  <c r="BN345" i="2"/>
  <c r="BM345" i="2"/>
  <c r="BL345" i="2"/>
  <c r="BK345" i="2"/>
  <c r="W345" i="1"/>
  <c r="BJ345" i="2"/>
  <c r="BI345" i="2"/>
  <c r="BH345" i="2"/>
  <c r="T345" i="1"/>
  <c r="BG345" i="2"/>
  <c r="BF345" i="2"/>
  <c r="BE345" i="2"/>
  <c r="BD345" i="2"/>
  <c r="BC345" i="2"/>
  <c r="BB345" i="2"/>
  <c r="BA345" i="2"/>
  <c r="AZ345" i="2"/>
  <c r="AY345" i="2"/>
  <c r="AX345" i="2"/>
  <c r="J345" i="1"/>
  <c r="AW345" i="2"/>
  <c r="I345" i="1"/>
  <c r="AV345" i="2"/>
  <c r="AU345" i="2"/>
  <c r="AT345" i="2"/>
  <c r="AS345" i="2"/>
  <c r="AR345" i="2"/>
  <c r="AQ345" i="2"/>
  <c r="AP345" i="2"/>
  <c r="AO345" i="2"/>
  <c r="AL345" i="2"/>
  <c r="AK345" i="2"/>
  <c r="BQ344" i="2"/>
  <c r="BP344" i="2"/>
  <c r="AB344" i="1"/>
  <c r="BO344" i="2"/>
  <c r="AA344" i="1"/>
  <c r="BN344" i="2"/>
  <c r="BM344" i="2"/>
  <c r="BL344" i="2"/>
  <c r="BK344" i="2"/>
  <c r="W344" i="1"/>
  <c r="BJ344" i="2"/>
  <c r="BI344" i="2"/>
  <c r="BH344" i="2"/>
  <c r="T344" i="1"/>
  <c r="BG344" i="2"/>
  <c r="BF344" i="2"/>
  <c r="BE344" i="2"/>
  <c r="BD344" i="2"/>
  <c r="BC344" i="2"/>
  <c r="BB344" i="2"/>
  <c r="BA344" i="2"/>
  <c r="AZ344" i="2"/>
  <c r="AY344" i="2"/>
  <c r="AX344" i="2"/>
  <c r="J344" i="1"/>
  <c r="AW344" i="2"/>
  <c r="I344" i="1"/>
  <c r="AV344" i="2"/>
  <c r="AU344" i="2"/>
  <c r="AT344" i="2"/>
  <c r="AS344" i="2"/>
  <c r="AR344" i="2"/>
  <c r="AQ344" i="2"/>
  <c r="AP344" i="2"/>
  <c r="AO344" i="2"/>
  <c r="AL344" i="2"/>
  <c r="AK344" i="2"/>
  <c r="BQ343" i="2"/>
  <c r="BP343" i="2"/>
  <c r="AB343" i="1"/>
  <c r="BO343" i="2"/>
  <c r="AA343" i="1"/>
  <c r="BN343" i="2"/>
  <c r="BM343" i="2"/>
  <c r="BL343" i="2"/>
  <c r="BK343" i="2"/>
  <c r="W343" i="1"/>
  <c r="BJ343" i="2"/>
  <c r="BI343" i="2"/>
  <c r="BH343" i="2"/>
  <c r="T343" i="1"/>
  <c r="BG343" i="2"/>
  <c r="BF343" i="2"/>
  <c r="BE343" i="2"/>
  <c r="BD343" i="2"/>
  <c r="BC343" i="2"/>
  <c r="BB343" i="2"/>
  <c r="BA343" i="2"/>
  <c r="AZ343" i="2"/>
  <c r="AY343" i="2"/>
  <c r="AX343" i="2"/>
  <c r="J343" i="1"/>
  <c r="AW343" i="2"/>
  <c r="I343" i="1"/>
  <c r="AV343" i="2"/>
  <c r="AU343" i="2"/>
  <c r="AT343" i="2"/>
  <c r="AS343" i="2"/>
  <c r="AR343" i="2"/>
  <c r="AQ343" i="2"/>
  <c r="AP343" i="2"/>
  <c r="AO343" i="2"/>
  <c r="AL343" i="2"/>
  <c r="AK343" i="2"/>
  <c r="BQ342" i="2"/>
  <c r="BP342" i="2"/>
  <c r="AB342" i="1"/>
  <c r="BO342" i="2"/>
  <c r="AA342" i="1"/>
  <c r="BN342" i="2"/>
  <c r="BM342" i="2"/>
  <c r="BL342" i="2"/>
  <c r="BK342" i="2"/>
  <c r="W342" i="1"/>
  <c r="BJ342" i="2"/>
  <c r="BI342" i="2"/>
  <c r="BH342" i="2"/>
  <c r="T342" i="1"/>
  <c r="BG342" i="2"/>
  <c r="BF342" i="2"/>
  <c r="BE342" i="2"/>
  <c r="BD342" i="2"/>
  <c r="BC342" i="2"/>
  <c r="BB342" i="2"/>
  <c r="BA342" i="2"/>
  <c r="AZ342" i="2"/>
  <c r="AY342" i="2"/>
  <c r="AX342" i="2"/>
  <c r="J342" i="1"/>
  <c r="AW342" i="2"/>
  <c r="I342" i="1"/>
  <c r="AV342" i="2"/>
  <c r="AU342" i="2"/>
  <c r="AT342" i="2"/>
  <c r="AS342" i="2"/>
  <c r="AR342" i="2"/>
  <c r="AQ342" i="2"/>
  <c r="AP342" i="2"/>
  <c r="AO342" i="2"/>
  <c r="AL342" i="2"/>
  <c r="AK342" i="2"/>
  <c r="BQ341" i="2"/>
  <c r="BP341" i="2"/>
  <c r="AB341" i="1"/>
  <c r="BO341" i="2"/>
  <c r="AA341" i="1"/>
  <c r="BN341" i="2"/>
  <c r="BM341" i="2"/>
  <c r="BL341" i="2"/>
  <c r="BK341" i="2"/>
  <c r="W341" i="1"/>
  <c r="BJ341" i="2"/>
  <c r="BI341" i="2"/>
  <c r="BH341" i="2"/>
  <c r="T341" i="1"/>
  <c r="BG341" i="2"/>
  <c r="BF341" i="2"/>
  <c r="BE341" i="2"/>
  <c r="BD341" i="2"/>
  <c r="BC341" i="2"/>
  <c r="BB341" i="2"/>
  <c r="BA341" i="2"/>
  <c r="AZ341" i="2"/>
  <c r="AY341" i="2"/>
  <c r="AX341" i="2"/>
  <c r="J341" i="1"/>
  <c r="AW341" i="2"/>
  <c r="I341" i="1"/>
  <c r="AV341" i="2"/>
  <c r="AU341" i="2"/>
  <c r="AT341" i="2"/>
  <c r="AS341" i="2"/>
  <c r="AR341" i="2"/>
  <c r="AQ341" i="2"/>
  <c r="AP341" i="2"/>
  <c r="AO341" i="2"/>
  <c r="AL341" i="2"/>
  <c r="AK341" i="2"/>
  <c r="BQ340" i="2"/>
  <c r="BP340" i="2"/>
  <c r="AB340" i="1"/>
  <c r="BO340" i="2"/>
  <c r="AA340" i="1"/>
  <c r="BN340" i="2"/>
  <c r="BM340" i="2"/>
  <c r="BL340" i="2"/>
  <c r="BK340" i="2"/>
  <c r="W340" i="1"/>
  <c r="BJ340" i="2"/>
  <c r="BI340" i="2"/>
  <c r="BH340" i="2"/>
  <c r="T340" i="1"/>
  <c r="BG340" i="2"/>
  <c r="BF340" i="2"/>
  <c r="BE340" i="2"/>
  <c r="BD340" i="2"/>
  <c r="BC340" i="2"/>
  <c r="BB340" i="2"/>
  <c r="BA340" i="2"/>
  <c r="AZ340" i="2"/>
  <c r="AY340" i="2"/>
  <c r="AX340" i="2"/>
  <c r="J340" i="1"/>
  <c r="AW340" i="2"/>
  <c r="I340" i="1"/>
  <c r="AV340" i="2"/>
  <c r="AU340" i="2"/>
  <c r="AT340" i="2"/>
  <c r="AS340" i="2"/>
  <c r="AR340" i="2"/>
  <c r="AQ340" i="2"/>
  <c r="AP340" i="2"/>
  <c r="AO340" i="2"/>
  <c r="AL340" i="2"/>
  <c r="AK340" i="2"/>
  <c r="BQ339" i="2"/>
  <c r="BP339" i="2"/>
  <c r="AB339" i="1"/>
  <c r="BO339" i="2"/>
  <c r="AA339" i="1"/>
  <c r="BN339" i="2"/>
  <c r="BM339" i="2"/>
  <c r="BL339" i="2"/>
  <c r="BK339" i="2"/>
  <c r="W339" i="1"/>
  <c r="BJ339" i="2"/>
  <c r="BI339" i="2"/>
  <c r="BH339" i="2"/>
  <c r="T339" i="1"/>
  <c r="BG339" i="2"/>
  <c r="BF339" i="2"/>
  <c r="BE339" i="2"/>
  <c r="BD339" i="2"/>
  <c r="BC339" i="2"/>
  <c r="BB339" i="2"/>
  <c r="BA339" i="2"/>
  <c r="AZ339" i="2"/>
  <c r="AY339" i="2"/>
  <c r="AX339" i="2"/>
  <c r="J339" i="1"/>
  <c r="AW339" i="2"/>
  <c r="I339" i="1"/>
  <c r="AV339" i="2"/>
  <c r="AU339" i="2"/>
  <c r="AT339" i="2"/>
  <c r="AS339" i="2"/>
  <c r="AR339" i="2"/>
  <c r="AQ339" i="2"/>
  <c r="AP339" i="2"/>
  <c r="AO339" i="2"/>
  <c r="AL339" i="2"/>
  <c r="AK339" i="2"/>
  <c r="BQ338" i="2"/>
  <c r="BP338" i="2"/>
  <c r="AB338" i="1"/>
  <c r="BO338" i="2"/>
  <c r="AA338" i="1"/>
  <c r="BN338" i="2"/>
  <c r="BM338" i="2"/>
  <c r="BL338" i="2"/>
  <c r="BK338" i="2"/>
  <c r="W338" i="1"/>
  <c r="BJ338" i="2"/>
  <c r="BI338" i="2"/>
  <c r="BH338" i="2"/>
  <c r="T338" i="1"/>
  <c r="BG338" i="2"/>
  <c r="BF338" i="2"/>
  <c r="BE338" i="2"/>
  <c r="BD338" i="2"/>
  <c r="BC338" i="2"/>
  <c r="BB338" i="2"/>
  <c r="BA338" i="2"/>
  <c r="AZ338" i="2"/>
  <c r="AY338" i="2"/>
  <c r="AX338" i="2"/>
  <c r="J338" i="1"/>
  <c r="AW338" i="2"/>
  <c r="I338" i="1"/>
  <c r="AV338" i="2"/>
  <c r="AU338" i="2"/>
  <c r="AT338" i="2"/>
  <c r="AS338" i="2"/>
  <c r="AR338" i="2"/>
  <c r="AQ338" i="2"/>
  <c r="AP338" i="2"/>
  <c r="AO338" i="2"/>
  <c r="AL338" i="2"/>
  <c r="AK338" i="2"/>
  <c r="BQ337" i="2"/>
  <c r="BP337" i="2"/>
  <c r="AB337" i="1"/>
  <c r="BO337" i="2"/>
  <c r="AA337" i="1"/>
  <c r="BN337" i="2"/>
  <c r="BM337" i="2"/>
  <c r="BL337" i="2"/>
  <c r="BK337" i="2"/>
  <c r="W337" i="1"/>
  <c r="BJ337" i="2"/>
  <c r="BI337" i="2"/>
  <c r="BH337" i="2"/>
  <c r="T337" i="1"/>
  <c r="BG337" i="2"/>
  <c r="BF337" i="2"/>
  <c r="BE337" i="2"/>
  <c r="BD337" i="2"/>
  <c r="BC337" i="2"/>
  <c r="BB337" i="2"/>
  <c r="BA337" i="2"/>
  <c r="AZ337" i="2"/>
  <c r="AY337" i="2"/>
  <c r="AX337" i="2"/>
  <c r="J337" i="1"/>
  <c r="AW337" i="2"/>
  <c r="I337" i="1"/>
  <c r="AV337" i="2"/>
  <c r="AU337" i="2"/>
  <c r="AT337" i="2"/>
  <c r="AS337" i="2"/>
  <c r="AR337" i="2"/>
  <c r="AQ337" i="2"/>
  <c r="AP337" i="2"/>
  <c r="AO337" i="2"/>
  <c r="AL337" i="2"/>
  <c r="AK337" i="2"/>
  <c r="BQ336" i="2"/>
  <c r="BP336" i="2"/>
  <c r="AB336" i="1"/>
  <c r="BO336" i="2"/>
  <c r="AA336" i="1"/>
  <c r="BN336" i="2"/>
  <c r="BM336" i="2"/>
  <c r="BL336" i="2"/>
  <c r="BK336" i="2"/>
  <c r="W336" i="1"/>
  <c r="BJ336" i="2"/>
  <c r="BI336" i="2"/>
  <c r="BH336" i="2"/>
  <c r="T336" i="1"/>
  <c r="BG336" i="2"/>
  <c r="BF336" i="2"/>
  <c r="BE336" i="2"/>
  <c r="BD336" i="2"/>
  <c r="BC336" i="2"/>
  <c r="BB336" i="2"/>
  <c r="BA336" i="2"/>
  <c r="AZ336" i="2"/>
  <c r="AY336" i="2"/>
  <c r="AX336" i="2"/>
  <c r="J336" i="1"/>
  <c r="AW336" i="2"/>
  <c r="I336" i="1"/>
  <c r="AV336" i="2"/>
  <c r="AU336" i="2"/>
  <c r="AT336" i="2"/>
  <c r="AS336" i="2"/>
  <c r="AR336" i="2"/>
  <c r="AQ336" i="2"/>
  <c r="AP336" i="2"/>
  <c r="AO336" i="2"/>
  <c r="AL336" i="2"/>
  <c r="AK336" i="2"/>
  <c r="BQ335" i="2"/>
  <c r="BP335" i="2"/>
  <c r="AB335" i="1"/>
  <c r="BO335" i="2"/>
  <c r="AA335" i="1"/>
  <c r="BN335" i="2"/>
  <c r="BM335" i="2"/>
  <c r="BL335" i="2"/>
  <c r="BK335" i="2"/>
  <c r="W335" i="1"/>
  <c r="BJ335" i="2"/>
  <c r="BI335" i="2"/>
  <c r="BH335" i="2"/>
  <c r="T335" i="1"/>
  <c r="BG335" i="2"/>
  <c r="BF335" i="2"/>
  <c r="BE335" i="2"/>
  <c r="BD335" i="2"/>
  <c r="BC335" i="2"/>
  <c r="BB335" i="2"/>
  <c r="BA335" i="2"/>
  <c r="AZ335" i="2"/>
  <c r="AY335" i="2"/>
  <c r="AX335" i="2"/>
  <c r="J335" i="1"/>
  <c r="AW335" i="2"/>
  <c r="I335" i="1"/>
  <c r="AV335" i="2"/>
  <c r="AU335" i="2"/>
  <c r="AT335" i="2"/>
  <c r="AS335" i="2"/>
  <c r="AR335" i="2"/>
  <c r="AQ335" i="2"/>
  <c r="AP335" i="2"/>
  <c r="AO335" i="2"/>
  <c r="AL335" i="2"/>
  <c r="AK335" i="2"/>
  <c r="BQ334" i="2"/>
  <c r="BP334" i="2"/>
  <c r="AB334" i="1"/>
  <c r="BO334" i="2"/>
  <c r="AA334" i="1"/>
  <c r="BN334" i="2"/>
  <c r="BM334" i="2"/>
  <c r="BL334" i="2"/>
  <c r="BK334" i="2"/>
  <c r="W334" i="1"/>
  <c r="BJ334" i="2"/>
  <c r="BI334" i="2"/>
  <c r="BH334" i="2"/>
  <c r="T334" i="1"/>
  <c r="BG334" i="2"/>
  <c r="BF334" i="2"/>
  <c r="BE334" i="2"/>
  <c r="BD334" i="2"/>
  <c r="BC334" i="2"/>
  <c r="BB334" i="2"/>
  <c r="BA334" i="2"/>
  <c r="AZ334" i="2"/>
  <c r="AY334" i="2"/>
  <c r="AX334" i="2"/>
  <c r="J334" i="1"/>
  <c r="AW334" i="2"/>
  <c r="I334" i="1"/>
  <c r="AV334" i="2"/>
  <c r="AU334" i="2"/>
  <c r="AT334" i="2"/>
  <c r="AS334" i="2"/>
  <c r="AR334" i="2"/>
  <c r="AQ334" i="2"/>
  <c r="AP334" i="2"/>
  <c r="AO334" i="2"/>
  <c r="AL334" i="2"/>
  <c r="AK334" i="2"/>
  <c r="BQ333" i="2"/>
  <c r="BP333" i="2"/>
  <c r="AB333" i="1"/>
  <c r="BO333" i="2"/>
  <c r="AA333" i="1"/>
  <c r="BN333" i="2"/>
  <c r="BM333" i="2"/>
  <c r="BL333" i="2"/>
  <c r="BK333" i="2"/>
  <c r="W333" i="1"/>
  <c r="BJ333" i="2"/>
  <c r="BI333" i="2"/>
  <c r="BH333" i="2"/>
  <c r="T333" i="1"/>
  <c r="BG333" i="2"/>
  <c r="BF333" i="2"/>
  <c r="BE333" i="2"/>
  <c r="BD333" i="2"/>
  <c r="BC333" i="2"/>
  <c r="BB333" i="2"/>
  <c r="BA333" i="2"/>
  <c r="AZ333" i="2"/>
  <c r="AY333" i="2"/>
  <c r="AX333" i="2"/>
  <c r="J333" i="1"/>
  <c r="AW333" i="2"/>
  <c r="I333" i="1"/>
  <c r="AV333" i="2"/>
  <c r="AU333" i="2"/>
  <c r="AT333" i="2"/>
  <c r="AS333" i="2"/>
  <c r="AR333" i="2"/>
  <c r="AQ333" i="2"/>
  <c r="AP333" i="2"/>
  <c r="AO333" i="2"/>
  <c r="AL333" i="2"/>
  <c r="AK333" i="2"/>
  <c r="BQ332" i="2"/>
  <c r="BP332" i="2"/>
  <c r="AB332" i="1"/>
  <c r="BO332" i="2"/>
  <c r="AA332" i="1"/>
  <c r="BN332" i="2"/>
  <c r="BM332" i="2"/>
  <c r="BL332" i="2"/>
  <c r="BK332" i="2"/>
  <c r="W332" i="1"/>
  <c r="BJ332" i="2"/>
  <c r="BI332" i="2"/>
  <c r="BH332" i="2"/>
  <c r="T332" i="1"/>
  <c r="BG332" i="2"/>
  <c r="BF332" i="2"/>
  <c r="BE332" i="2"/>
  <c r="BD332" i="2"/>
  <c r="BC332" i="2"/>
  <c r="BB332" i="2"/>
  <c r="BA332" i="2"/>
  <c r="AZ332" i="2"/>
  <c r="AY332" i="2"/>
  <c r="AX332" i="2"/>
  <c r="J332" i="1"/>
  <c r="AW332" i="2"/>
  <c r="I332" i="1"/>
  <c r="AV332" i="2"/>
  <c r="AU332" i="2"/>
  <c r="AT332" i="2"/>
  <c r="AS332" i="2"/>
  <c r="AR332" i="2"/>
  <c r="AQ332" i="2"/>
  <c r="AP332" i="2"/>
  <c r="AO332" i="2"/>
  <c r="AL332" i="2"/>
  <c r="AK332" i="2"/>
  <c r="BQ331" i="2"/>
  <c r="BP331" i="2"/>
  <c r="AB331" i="1"/>
  <c r="BO331" i="2"/>
  <c r="AA331" i="1"/>
  <c r="BN331" i="2"/>
  <c r="BM331" i="2"/>
  <c r="BL331" i="2"/>
  <c r="BK331" i="2"/>
  <c r="W331" i="1"/>
  <c r="BJ331" i="2"/>
  <c r="BI331" i="2"/>
  <c r="BH331" i="2"/>
  <c r="T331" i="1"/>
  <c r="BG331" i="2"/>
  <c r="BF331" i="2"/>
  <c r="BE331" i="2"/>
  <c r="BD331" i="2"/>
  <c r="BC331" i="2"/>
  <c r="BB331" i="2"/>
  <c r="BA331" i="2"/>
  <c r="AZ331" i="2"/>
  <c r="AY331" i="2"/>
  <c r="AX331" i="2"/>
  <c r="J331" i="1"/>
  <c r="AW331" i="2"/>
  <c r="I331" i="1"/>
  <c r="AV331" i="2"/>
  <c r="AU331" i="2"/>
  <c r="AT331" i="2"/>
  <c r="AS331" i="2"/>
  <c r="AR331" i="2"/>
  <c r="AQ331" i="2"/>
  <c r="AP331" i="2"/>
  <c r="AO331" i="2"/>
  <c r="AL331" i="2"/>
  <c r="AK331" i="2"/>
  <c r="BQ330" i="2"/>
  <c r="BP330" i="2"/>
  <c r="AB330" i="1"/>
  <c r="BO330" i="2"/>
  <c r="AA330" i="1"/>
  <c r="BN330" i="2"/>
  <c r="BM330" i="2"/>
  <c r="BL330" i="2"/>
  <c r="BK330" i="2"/>
  <c r="W330" i="1"/>
  <c r="BJ330" i="2"/>
  <c r="BI330" i="2"/>
  <c r="BH330" i="2"/>
  <c r="T330" i="1"/>
  <c r="BG330" i="2"/>
  <c r="BF330" i="2"/>
  <c r="BE330" i="2"/>
  <c r="BD330" i="2"/>
  <c r="BC330" i="2"/>
  <c r="BB330" i="2"/>
  <c r="BA330" i="2"/>
  <c r="AZ330" i="2"/>
  <c r="AY330" i="2"/>
  <c r="AX330" i="2"/>
  <c r="J330" i="1"/>
  <c r="AW330" i="2"/>
  <c r="I330" i="1"/>
  <c r="AV330" i="2"/>
  <c r="AU330" i="2"/>
  <c r="AT330" i="2"/>
  <c r="AS330" i="2"/>
  <c r="AR330" i="2"/>
  <c r="AQ330" i="2"/>
  <c r="AP330" i="2"/>
  <c r="AO330" i="2"/>
  <c r="AL330" i="2"/>
  <c r="AK330" i="2"/>
  <c r="BQ329" i="2"/>
  <c r="BP329" i="2"/>
  <c r="AB329" i="1"/>
  <c r="BO329" i="2"/>
  <c r="AA329" i="1"/>
  <c r="BN329" i="2"/>
  <c r="BM329" i="2"/>
  <c r="BL329" i="2"/>
  <c r="BK329" i="2"/>
  <c r="W329" i="1"/>
  <c r="BJ329" i="2"/>
  <c r="BI329" i="2"/>
  <c r="BH329" i="2"/>
  <c r="T329" i="1"/>
  <c r="BG329" i="2"/>
  <c r="BF329" i="2"/>
  <c r="BE329" i="2"/>
  <c r="BD329" i="2"/>
  <c r="BC329" i="2"/>
  <c r="BB329" i="2"/>
  <c r="BA329" i="2"/>
  <c r="AZ329" i="2"/>
  <c r="AY329" i="2"/>
  <c r="AX329" i="2"/>
  <c r="J329" i="1"/>
  <c r="AW329" i="2"/>
  <c r="I329" i="1"/>
  <c r="AV329" i="2"/>
  <c r="AU329" i="2"/>
  <c r="AT329" i="2"/>
  <c r="AS329" i="2"/>
  <c r="AR329" i="2"/>
  <c r="AQ329" i="2"/>
  <c r="AP329" i="2"/>
  <c r="AO329" i="2"/>
  <c r="AL329" i="2"/>
  <c r="AK329" i="2"/>
  <c r="BQ328" i="2"/>
  <c r="BP328" i="2"/>
  <c r="AB328" i="1"/>
  <c r="BO328" i="2"/>
  <c r="AA328" i="1"/>
  <c r="BN328" i="2"/>
  <c r="BM328" i="2"/>
  <c r="BL328" i="2"/>
  <c r="BK328" i="2"/>
  <c r="W328" i="1"/>
  <c r="BJ328" i="2"/>
  <c r="BI328" i="2"/>
  <c r="BH328" i="2"/>
  <c r="T328" i="1"/>
  <c r="BG328" i="2"/>
  <c r="BF328" i="2"/>
  <c r="BE328" i="2"/>
  <c r="BD328" i="2"/>
  <c r="BC328" i="2"/>
  <c r="BB328" i="2"/>
  <c r="BA328" i="2"/>
  <c r="AZ328" i="2"/>
  <c r="AY328" i="2"/>
  <c r="AX328" i="2"/>
  <c r="J328" i="1"/>
  <c r="AW328" i="2"/>
  <c r="I328" i="1"/>
  <c r="AV328" i="2"/>
  <c r="AU328" i="2"/>
  <c r="AT328" i="2"/>
  <c r="AS328" i="2"/>
  <c r="AR328" i="2"/>
  <c r="AQ328" i="2"/>
  <c r="AP328" i="2"/>
  <c r="AO328" i="2"/>
  <c r="AL328" i="2"/>
  <c r="AK328" i="2"/>
  <c r="BQ327" i="2"/>
  <c r="BP327" i="2"/>
  <c r="AB327" i="1"/>
  <c r="BO327" i="2"/>
  <c r="AA327" i="1"/>
  <c r="BN327" i="2"/>
  <c r="BM327" i="2"/>
  <c r="BL327" i="2"/>
  <c r="BK327" i="2"/>
  <c r="W327" i="1"/>
  <c r="BJ327" i="2"/>
  <c r="BI327" i="2"/>
  <c r="BH327" i="2"/>
  <c r="T327" i="1"/>
  <c r="BG327" i="2"/>
  <c r="BF327" i="2"/>
  <c r="BE327" i="2"/>
  <c r="BD327" i="2"/>
  <c r="BC327" i="2"/>
  <c r="BB327" i="2"/>
  <c r="BA327" i="2"/>
  <c r="AZ327" i="2"/>
  <c r="AY327" i="2"/>
  <c r="AX327" i="2"/>
  <c r="J327" i="1"/>
  <c r="AW327" i="2"/>
  <c r="I327" i="1"/>
  <c r="AV327" i="2"/>
  <c r="AU327" i="2"/>
  <c r="AT327" i="2"/>
  <c r="AS327" i="2"/>
  <c r="AR327" i="2"/>
  <c r="AQ327" i="2"/>
  <c r="AP327" i="2"/>
  <c r="AO327" i="2"/>
  <c r="AL327" i="2"/>
  <c r="AK327" i="2"/>
  <c r="BQ326" i="2"/>
  <c r="BP326" i="2"/>
  <c r="AB326" i="1"/>
  <c r="BO326" i="2"/>
  <c r="AA326" i="1"/>
  <c r="BN326" i="2"/>
  <c r="BM326" i="2"/>
  <c r="BL326" i="2"/>
  <c r="BK326" i="2"/>
  <c r="W326" i="1"/>
  <c r="BJ326" i="2"/>
  <c r="BI326" i="2"/>
  <c r="BH326" i="2"/>
  <c r="T326" i="1"/>
  <c r="BG326" i="2"/>
  <c r="BF326" i="2"/>
  <c r="BE326" i="2"/>
  <c r="BD326" i="2"/>
  <c r="BC326" i="2"/>
  <c r="BB326" i="2"/>
  <c r="BA326" i="2"/>
  <c r="AZ326" i="2"/>
  <c r="AY326" i="2"/>
  <c r="AX326" i="2"/>
  <c r="J326" i="1"/>
  <c r="AW326" i="2"/>
  <c r="I326" i="1"/>
  <c r="AV326" i="2"/>
  <c r="AU326" i="2"/>
  <c r="AT326" i="2"/>
  <c r="AS326" i="2"/>
  <c r="AR326" i="2"/>
  <c r="AQ326" i="2"/>
  <c r="AP326" i="2"/>
  <c r="AO326" i="2"/>
  <c r="AL326" i="2"/>
  <c r="AK326" i="2"/>
  <c r="BQ325" i="2"/>
  <c r="BP325" i="2"/>
  <c r="AB325" i="1"/>
  <c r="BO325" i="2"/>
  <c r="AA325" i="1"/>
  <c r="BN325" i="2"/>
  <c r="BM325" i="2"/>
  <c r="BL325" i="2"/>
  <c r="BK325" i="2"/>
  <c r="W325" i="1"/>
  <c r="BJ325" i="2"/>
  <c r="BI325" i="2"/>
  <c r="BH325" i="2"/>
  <c r="T325" i="1"/>
  <c r="BG325" i="2"/>
  <c r="BF325" i="2"/>
  <c r="BE325" i="2"/>
  <c r="BD325" i="2"/>
  <c r="BC325" i="2"/>
  <c r="BB325" i="2"/>
  <c r="BA325" i="2"/>
  <c r="AZ325" i="2"/>
  <c r="AY325" i="2"/>
  <c r="AX325" i="2"/>
  <c r="J325" i="1"/>
  <c r="AW325" i="2"/>
  <c r="I325" i="1"/>
  <c r="AV325" i="2"/>
  <c r="AU325" i="2"/>
  <c r="AT325" i="2"/>
  <c r="AS325" i="2"/>
  <c r="AR325" i="2"/>
  <c r="AQ325" i="2"/>
  <c r="AP325" i="2"/>
  <c r="AO325" i="2"/>
  <c r="AL325" i="2"/>
  <c r="AK325" i="2"/>
  <c r="BQ324" i="2"/>
  <c r="BP324" i="2"/>
  <c r="AB324" i="1"/>
  <c r="BO324" i="2"/>
  <c r="AA324" i="1"/>
  <c r="BN324" i="2"/>
  <c r="BM324" i="2"/>
  <c r="BL324" i="2"/>
  <c r="BK324" i="2"/>
  <c r="W324" i="1"/>
  <c r="BJ324" i="2"/>
  <c r="BI324" i="2"/>
  <c r="BH324" i="2"/>
  <c r="T324" i="1"/>
  <c r="BG324" i="2"/>
  <c r="BF324" i="2"/>
  <c r="BE324" i="2"/>
  <c r="BD324" i="2"/>
  <c r="BC324" i="2"/>
  <c r="BB324" i="2"/>
  <c r="BA324" i="2"/>
  <c r="AZ324" i="2"/>
  <c r="AY324" i="2"/>
  <c r="AX324" i="2"/>
  <c r="J324" i="1"/>
  <c r="AW324" i="2"/>
  <c r="I324" i="1"/>
  <c r="AV324" i="2"/>
  <c r="AU324" i="2"/>
  <c r="AT324" i="2"/>
  <c r="AS324" i="2"/>
  <c r="AR324" i="2"/>
  <c r="AQ324" i="2"/>
  <c r="AP324" i="2"/>
  <c r="AO324" i="2"/>
  <c r="AL324" i="2"/>
  <c r="AK324" i="2"/>
  <c r="BQ323" i="2"/>
  <c r="BP323" i="2"/>
  <c r="AB323" i="1"/>
  <c r="BO323" i="2"/>
  <c r="AA323" i="1"/>
  <c r="BN323" i="2"/>
  <c r="BM323" i="2"/>
  <c r="BL323" i="2"/>
  <c r="BK323" i="2"/>
  <c r="W323" i="1"/>
  <c r="BJ323" i="2"/>
  <c r="BI323" i="2"/>
  <c r="BH323" i="2"/>
  <c r="T323" i="1"/>
  <c r="BG323" i="2"/>
  <c r="BF323" i="2"/>
  <c r="BE323" i="2"/>
  <c r="BD323" i="2"/>
  <c r="BC323" i="2"/>
  <c r="BB323" i="2"/>
  <c r="BA323" i="2"/>
  <c r="AZ323" i="2"/>
  <c r="AY323" i="2"/>
  <c r="AX323" i="2"/>
  <c r="J323" i="1"/>
  <c r="AW323" i="2"/>
  <c r="I323" i="1"/>
  <c r="AV323" i="2"/>
  <c r="AU323" i="2"/>
  <c r="AT323" i="2"/>
  <c r="AS323" i="2"/>
  <c r="AR323" i="2"/>
  <c r="AQ323" i="2"/>
  <c r="AP323" i="2"/>
  <c r="AO323" i="2"/>
  <c r="AL323" i="2"/>
  <c r="AK323" i="2"/>
  <c r="BQ322" i="2"/>
  <c r="BP322" i="2"/>
  <c r="AB322" i="1"/>
  <c r="BO322" i="2"/>
  <c r="AA322" i="1"/>
  <c r="BN322" i="2"/>
  <c r="BM322" i="2"/>
  <c r="BL322" i="2"/>
  <c r="BK322" i="2"/>
  <c r="W322" i="1"/>
  <c r="BJ322" i="2"/>
  <c r="BI322" i="2"/>
  <c r="BH322" i="2"/>
  <c r="T322" i="1"/>
  <c r="BG322" i="2"/>
  <c r="BF322" i="2"/>
  <c r="BE322" i="2"/>
  <c r="BD322" i="2"/>
  <c r="BC322" i="2"/>
  <c r="BB322" i="2"/>
  <c r="BA322" i="2"/>
  <c r="AZ322" i="2"/>
  <c r="AY322" i="2"/>
  <c r="AX322" i="2"/>
  <c r="J322" i="1"/>
  <c r="AW322" i="2"/>
  <c r="I322" i="1"/>
  <c r="AV322" i="2"/>
  <c r="AU322" i="2"/>
  <c r="AT322" i="2"/>
  <c r="AS322" i="2"/>
  <c r="AR322" i="2"/>
  <c r="AQ322" i="2"/>
  <c r="AP322" i="2"/>
  <c r="AO322" i="2"/>
  <c r="AL322" i="2"/>
  <c r="AK322" i="2"/>
  <c r="BQ321" i="2"/>
  <c r="BP321" i="2"/>
  <c r="AB321" i="1"/>
  <c r="BO321" i="2"/>
  <c r="AA321" i="1"/>
  <c r="BN321" i="2"/>
  <c r="BM321" i="2"/>
  <c r="BL321" i="2"/>
  <c r="BK321" i="2"/>
  <c r="W321" i="1"/>
  <c r="BJ321" i="2"/>
  <c r="BI321" i="2"/>
  <c r="BH321" i="2"/>
  <c r="T321" i="1"/>
  <c r="BG321" i="2"/>
  <c r="BF321" i="2"/>
  <c r="BE321" i="2"/>
  <c r="BD321" i="2"/>
  <c r="BC321" i="2"/>
  <c r="BB321" i="2"/>
  <c r="BA321" i="2"/>
  <c r="AZ321" i="2"/>
  <c r="AY321" i="2"/>
  <c r="AX321" i="2"/>
  <c r="J321" i="1"/>
  <c r="AW321" i="2"/>
  <c r="I321" i="1"/>
  <c r="AV321" i="2"/>
  <c r="AU321" i="2"/>
  <c r="AT321" i="2"/>
  <c r="AS321" i="2"/>
  <c r="AR321" i="2"/>
  <c r="AQ321" i="2"/>
  <c r="AP321" i="2"/>
  <c r="AO321" i="2"/>
  <c r="AL321" i="2"/>
  <c r="AK321" i="2"/>
  <c r="BQ320" i="2"/>
  <c r="BP320" i="2"/>
  <c r="AB320" i="1"/>
  <c r="BO320" i="2"/>
  <c r="AA320" i="1"/>
  <c r="BN320" i="2"/>
  <c r="BM320" i="2"/>
  <c r="BL320" i="2"/>
  <c r="BK320" i="2"/>
  <c r="W320" i="1"/>
  <c r="BJ320" i="2"/>
  <c r="BI320" i="2"/>
  <c r="BH320" i="2"/>
  <c r="T320" i="1"/>
  <c r="BG320" i="2"/>
  <c r="BF320" i="2"/>
  <c r="BE320" i="2"/>
  <c r="BD320" i="2"/>
  <c r="BC320" i="2"/>
  <c r="BB320" i="2"/>
  <c r="BA320" i="2"/>
  <c r="AZ320" i="2"/>
  <c r="AY320" i="2"/>
  <c r="AX320" i="2"/>
  <c r="J320" i="1"/>
  <c r="AW320" i="2"/>
  <c r="I320" i="1"/>
  <c r="AV320" i="2"/>
  <c r="AU320" i="2"/>
  <c r="AT320" i="2"/>
  <c r="AS320" i="2"/>
  <c r="AR320" i="2"/>
  <c r="AQ320" i="2"/>
  <c r="AP320" i="2"/>
  <c r="AO320" i="2"/>
  <c r="AL320" i="2"/>
  <c r="AK320" i="2"/>
  <c r="BQ319" i="2"/>
  <c r="BP319" i="2"/>
  <c r="AB319" i="1"/>
  <c r="BO319" i="2"/>
  <c r="AA319" i="1"/>
  <c r="BN319" i="2"/>
  <c r="BM319" i="2"/>
  <c r="BL319" i="2"/>
  <c r="BK319" i="2"/>
  <c r="W319" i="1"/>
  <c r="BJ319" i="2"/>
  <c r="BI319" i="2"/>
  <c r="BH319" i="2"/>
  <c r="T319" i="1"/>
  <c r="BG319" i="2"/>
  <c r="BF319" i="2"/>
  <c r="BE319" i="2"/>
  <c r="BD319" i="2"/>
  <c r="BC319" i="2"/>
  <c r="BB319" i="2"/>
  <c r="BA319" i="2"/>
  <c r="AZ319" i="2"/>
  <c r="AY319" i="2"/>
  <c r="AX319" i="2"/>
  <c r="J319" i="1"/>
  <c r="AW319" i="2"/>
  <c r="I319" i="1"/>
  <c r="AV319" i="2"/>
  <c r="AU319" i="2"/>
  <c r="AT319" i="2"/>
  <c r="AS319" i="2"/>
  <c r="AR319" i="2"/>
  <c r="AQ319" i="2"/>
  <c r="AP319" i="2"/>
  <c r="AO319" i="2"/>
  <c r="AL319" i="2"/>
  <c r="AK319" i="2"/>
  <c r="BQ318" i="2"/>
  <c r="BP318" i="2"/>
  <c r="AB318" i="1"/>
  <c r="BO318" i="2"/>
  <c r="AA318" i="1"/>
  <c r="BN318" i="2"/>
  <c r="BM318" i="2"/>
  <c r="BL318" i="2"/>
  <c r="BK318" i="2"/>
  <c r="W318" i="1"/>
  <c r="BJ318" i="2"/>
  <c r="BI318" i="2"/>
  <c r="BH318" i="2"/>
  <c r="T318" i="1"/>
  <c r="BG318" i="2"/>
  <c r="BF318" i="2"/>
  <c r="BE318" i="2"/>
  <c r="BD318" i="2"/>
  <c r="BC318" i="2"/>
  <c r="BB318" i="2"/>
  <c r="BA318" i="2"/>
  <c r="AZ318" i="2"/>
  <c r="AY318" i="2"/>
  <c r="AX318" i="2"/>
  <c r="J318" i="1"/>
  <c r="AW318" i="2"/>
  <c r="I318" i="1"/>
  <c r="AV318" i="2"/>
  <c r="AU318" i="2"/>
  <c r="AT318" i="2"/>
  <c r="AS318" i="2"/>
  <c r="AR318" i="2"/>
  <c r="AQ318" i="2"/>
  <c r="AP318" i="2"/>
  <c r="AO318" i="2"/>
  <c r="AL318" i="2"/>
  <c r="AK318" i="2"/>
  <c r="BQ317" i="2"/>
  <c r="BP317" i="2"/>
  <c r="AB317" i="1"/>
  <c r="BO317" i="2"/>
  <c r="AA317" i="1"/>
  <c r="BN317" i="2"/>
  <c r="BM317" i="2"/>
  <c r="BL317" i="2"/>
  <c r="BK317" i="2"/>
  <c r="W317" i="1"/>
  <c r="BJ317" i="2"/>
  <c r="BI317" i="2"/>
  <c r="BH317" i="2"/>
  <c r="T317" i="1"/>
  <c r="BG317" i="2"/>
  <c r="BF317" i="2"/>
  <c r="BE317" i="2"/>
  <c r="BD317" i="2"/>
  <c r="BC317" i="2"/>
  <c r="BB317" i="2"/>
  <c r="BA317" i="2"/>
  <c r="AZ317" i="2"/>
  <c r="AY317" i="2"/>
  <c r="AX317" i="2"/>
  <c r="J317" i="1"/>
  <c r="AW317" i="2"/>
  <c r="I317" i="1"/>
  <c r="AV317" i="2"/>
  <c r="AU317" i="2"/>
  <c r="AT317" i="2"/>
  <c r="AS317" i="2"/>
  <c r="AR317" i="2"/>
  <c r="AQ317" i="2"/>
  <c r="AP317" i="2"/>
  <c r="AO317" i="2"/>
  <c r="AL317" i="2"/>
  <c r="AK317" i="2"/>
  <c r="BQ316" i="2"/>
  <c r="BP316" i="2"/>
  <c r="AB316" i="1"/>
  <c r="BO316" i="2"/>
  <c r="AA316" i="1"/>
  <c r="BN316" i="2"/>
  <c r="BM316" i="2"/>
  <c r="BL316" i="2"/>
  <c r="BK316" i="2"/>
  <c r="W316" i="1"/>
  <c r="BJ316" i="2"/>
  <c r="BI316" i="2"/>
  <c r="BH316" i="2"/>
  <c r="T316" i="1"/>
  <c r="BG316" i="2"/>
  <c r="BF316" i="2"/>
  <c r="BE316" i="2"/>
  <c r="BD316" i="2"/>
  <c r="BC316" i="2"/>
  <c r="BB316" i="2"/>
  <c r="BA316" i="2"/>
  <c r="AZ316" i="2"/>
  <c r="AY316" i="2"/>
  <c r="AX316" i="2"/>
  <c r="J316" i="1"/>
  <c r="AW316" i="2"/>
  <c r="I316" i="1"/>
  <c r="AV316" i="2"/>
  <c r="AU316" i="2"/>
  <c r="AT316" i="2"/>
  <c r="AS316" i="2"/>
  <c r="AR316" i="2"/>
  <c r="AQ316" i="2"/>
  <c r="AP316" i="2"/>
  <c r="AO316" i="2"/>
  <c r="AL316" i="2"/>
  <c r="AK316" i="2"/>
  <c r="BQ315" i="2"/>
  <c r="BP315" i="2"/>
  <c r="AB315" i="1"/>
  <c r="BO315" i="2"/>
  <c r="AA315" i="1"/>
  <c r="BN315" i="2"/>
  <c r="BM315" i="2"/>
  <c r="BL315" i="2"/>
  <c r="BK315" i="2"/>
  <c r="W315" i="1"/>
  <c r="BJ315" i="2"/>
  <c r="BI315" i="2"/>
  <c r="BH315" i="2"/>
  <c r="T315" i="1"/>
  <c r="BG315" i="2"/>
  <c r="BF315" i="2"/>
  <c r="BE315" i="2"/>
  <c r="BD315" i="2"/>
  <c r="BC315" i="2"/>
  <c r="BB315" i="2"/>
  <c r="BA315" i="2"/>
  <c r="AZ315" i="2"/>
  <c r="AY315" i="2"/>
  <c r="AX315" i="2"/>
  <c r="J315" i="1"/>
  <c r="AW315" i="2"/>
  <c r="I315" i="1"/>
  <c r="AV315" i="2"/>
  <c r="AU315" i="2"/>
  <c r="AT315" i="2"/>
  <c r="AS315" i="2"/>
  <c r="AR315" i="2"/>
  <c r="AQ315" i="2"/>
  <c r="AP315" i="2"/>
  <c r="AO315" i="2"/>
  <c r="AL315" i="2"/>
  <c r="AK315" i="2"/>
  <c r="BQ314" i="2"/>
  <c r="BP314" i="2"/>
  <c r="AB314" i="1"/>
  <c r="BO314" i="2"/>
  <c r="AA314" i="1"/>
  <c r="BN314" i="2"/>
  <c r="BM314" i="2"/>
  <c r="BL314" i="2"/>
  <c r="BK314" i="2"/>
  <c r="W314" i="1"/>
  <c r="BJ314" i="2"/>
  <c r="BI314" i="2"/>
  <c r="BH314" i="2"/>
  <c r="T314" i="1"/>
  <c r="BG314" i="2"/>
  <c r="BF314" i="2"/>
  <c r="BE314" i="2"/>
  <c r="BD314" i="2"/>
  <c r="BC314" i="2"/>
  <c r="BB314" i="2"/>
  <c r="BA314" i="2"/>
  <c r="AZ314" i="2"/>
  <c r="AY314" i="2"/>
  <c r="AX314" i="2"/>
  <c r="J314" i="1"/>
  <c r="AW314" i="2"/>
  <c r="I314" i="1"/>
  <c r="AV314" i="2"/>
  <c r="AU314" i="2"/>
  <c r="AT314" i="2"/>
  <c r="AS314" i="2"/>
  <c r="AR314" i="2"/>
  <c r="AQ314" i="2"/>
  <c r="AP314" i="2"/>
  <c r="AO314" i="2"/>
  <c r="AL314" i="2"/>
  <c r="AK314" i="2"/>
  <c r="BQ313" i="2"/>
  <c r="BP313" i="2"/>
  <c r="AB313" i="1"/>
  <c r="BO313" i="2"/>
  <c r="AA313" i="1"/>
  <c r="BN313" i="2"/>
  <c r="BM313" i="2"/>
  <c r="BL313" i="2"/>
  <c r="BK313" i="2"/>
  <c r="W313" i="1"/>
  <c r="BJ313" i="2"/>
  <c r="BI313" i="2"/>
  <c r="BH313" i="2"/>
  <c r="T313" i="1"/>
  <c r="BG313" i="2"/>
  <c r="BF313" i="2"/>
  <c r="BE313" i="2"/>
  <c r="BD313" i="2"/>
  <c r="BC313" i="2"/>
  <c r="BB313" i="2"/>
  <c r="BA313" i="2"/>
  <c r="AZ313" i="2"/>
  <c r="AY313" i="2"/>
  <c r="AX313" i="2"/>
  <c r="J313" i="1"/>
  <c r="AW313" i="2"/>
  <c r="I313" i="1"/>
  <c r="AV313" i="2"/>
  <c r="AU313" i="2"/>
  <c r="AT313" i="2"/>
  <c r="AS313" i="2"/>
  <c r="AR313" i="2"/>
  <c r="AQ313" i="2"/>
  <c r="AP313" i="2"/>
  <c r="AO313" i="2"/>
  <c r="AL313" i="2"/>
  <c r="AK313" i="2"/>
  <c r="BQ312" i="2"/>
  <c r="BP312" i="2"/>
  <c r="AB312" i="1"/>
  <c r="BO312" i="2"/>
  <c r="AA312" i="1"/>
  <c r="BN312" i="2"/>
  <c r="BM312" i="2"/>
  <c r="BL312" i="2"/>
  <c r="BK312" i="2"/>
  <c r="W312" i="1"/>
  <c r="BJ312" i="2"/>
  <c r="BI312" i="2"/>
  <c r="BH312" i="2"/>
  <c r="T312" i="1"/>
  <c r="BG312" i="2"/>
  <c r="BF312" i="2"/>
  <c r="BE312" i="2"/>
  <c r="BD312" i="2"/>
  <c r="BC312" i="2"/>
  <c r="BB312" i="2"/>
  <c r="BA312" i="2"/>
  <c r="AZ312" i="2"/>
  <c r="AY312" i="2"/>
  <c r="AX312" i="2"/>
  <c r="J312" i="1"/>
  <c r="AW312" i="2"/>
  <c r="I312" i="1"/>
  <c r="AV312" i="2"/>
  <c r="AU312" i="2"/>
  <c r="AT312" i="2"/>
  <c r="AS312" i="2"/>
  <c r="AR312" i="2"/>
  <c r="AQ312" i="2"/>
  <c r="AP312" i="2"/>
  <c r="AO312" i="2"/>
  <c r="AL312" i="2"/>
  <c r="AK312" i="2"/>
  <c r="BQ311" i="2"/>
  <c r="BP311" i="2"/>
  <c r="AB311" i="1"/>
  <c r="BO311" i="2"/>
  <c r="AA311" i="1"/>
  <c r="BN311" i="2"/>
  <c r="BM311" i="2"/>
  <c r="BL311" i="2"/>
  <c r="BK311" i="2"/>
  <c r="W311" i="1"/>
  <c r="BJ311" i="2"/>
  <c r="BI311" i="2"/>
  <c r="BH311" i="2"/>
  <c r="T311" i="1"/>
  <c r="BG311" i="2"/>
  <c r="BF311" i="2"/>
  <c r="BE311" i="2"/>
  <c r="BD311" i="2"/>
  <c r="BC311" i="2"/>
  <c r="BB311" i="2"/>
  <c r="BA311" i="2"/>
  <c r="AZ311" i="2"/>
  <c r="AY311" i="2"/>
  <c r="AX311" i="2"/>
  <c r="J311" i="1"/>
  <c r="AW311" i="2"/>
  <c r="I311" i="1"/>
  <c r="AV311" i="2"/>
  <c r="AU311" i="2"/>
  <c r="AT311" i="2"/>
  <c r="AS311" i="2"/>
  <c r="AR311" i="2"/>
  <c r="AQ311" i="2"/>
  <c r="AP311" i="2"/>
  <c r="AO311" i="2"/>
  <c r="AL311" i="2"/>
  <c r="AK311" i="2"/>
  <c r="BQ310" i="2"/>
  <c r="BP310" i="2"/>
  <c r="AB310" i="1"/>
  <c r="BO310" i="2"/>
  <c r="AA310" i="1"/>
  <c r="BN310" i="2"/>
  <c r="BM310" i="2"/>
  <c r="BL310" i="2"/>
  <c r="BK310" i="2"/>
  <c r="W310" i="1"/>
  <c r="BJ310" i="2"/>
  <c r="BI310" i="2"/>
  <c r="BH310" i="2"/>
  <c r="T310" i="1"/>
  <c r="BG310" i="2"/>
  <c r="BF310" i="2"/>
  <c r="BE310" i="2"/>
  <c r="BD310" i="2"/>
  <c r="BC310" i="2"/>
  <c r="BB310" i="2"/>
  <c r="BA310" i="2"/>
  <c r="AZ310" i="2"/>
  <c r="AY310" i="2"/>
  <c r="AX310" i="2"/>
  <c r="J310" i="1"/>
  <c r="AW310" i="2"/>
  <c r="I310" i="1"/>
  <c r="AV310" i="2"/>
  <c r="AU310" i="2"/>
  <c r="AT310" i="2"/>
  <c r="AS310" i="2"/>
  <c r="AR310" i="2"/>
  <c r="AQ310" i="2"/>
  <c r="AP310" i="2"/>
  <c r="AO310" i="2"/>
  <c r="AL310" i="2"/>
  <c r="AK310" i="2"/>
  <c r="BQ309" i="2"/>
  <c r="BP309" i="2"/>
  <c r="AB309" i="1"/>
  <c r="BO309" i="2"/>
  <c r="AA309" i="1"/>
  <c r="BN309" i="2"/>
  <c r="BM309" i="2"/>
  <c r="BL309" i="2"/>
  <c r="BK309" i="2"/>
  <c r="W309" i="1"/>
  <c r="BJ309" i="2"/>
  <c r="BI309" i="2"/>
  <c r="BH309" i="2"/>
  <c r="T309" i="1"/>
  <c r="BG309" i="2"/>
  <c r="BF309" i="2"/>
  <c r="BE309" i="2"/>
  <c r="BD309" i="2"/>
  <c r="BC309" i="2"/>
  <c r="BB309" i="2"/>
  <c r="BA309" i="2"/>
  <c r="AZ309" i="2"/>
  <c r="AY309" i="2"/>
  <c r="AX309" i="2"/>
  <c r="J309" i="1"/>
  <c r="AW309" i="2"/>
  <c r="I309" i="1"/>
  <c r="AV309" i="2"/>
  <c r="AU309" i="2"/>
  <c r="AT309" i="2"/>
  <c r="AS309" i="2"/>
  <c r="AR309" i="2"/>
  <c r="AQ309" i="2"/>
  <c r="AP309" i="2"/>
  <c r="AO309" i="2"/>
  <c r="AL309" i="2"/>
  <c r="AK309" i="2"/>
  <c r="BQ308" i="2"/>
  <c r="BP308" i="2"/>
  <c r="AB308" i="1"/>
  <c r="BO308" i="2"/>
  <c r="AA308" i="1"/>
  <c r="BN308" i="2"/>
  <c r="BM308" i="2"/>
  <c r="BL308" i="2"/>
  <c r="BK308" i="2"/>
  <c r="W308" i="1"/>
  <c r="BJ308" i="2"/>
  <c r="BI308" i="2"/>
  <c r="BH308" i="2"/>
  <c r="T308" i="1"/>
  <c r="BG308" i="2"/>
  <c r="BF308" i="2"/>
  <c r="BE308" i="2"/>
  <c r="BD308" i="2"/>
  <c r="BC308" i="2"/>
  <c r="BB308" i="2"/>
  <c r="BA308" i="2"/>
  <c r="AZ308" i="2"/>
  <c r="AY308" i="2"/>
  <c r="AX308" i="2"/>
  <c r="J308" i="1"/>
  <c r="AW308" i="2"/>
  <c r="I308" i="1"/>
  <c r="AV308" i="2"/>
  <c r="AU308" i="2"/>
  <c r="AT308" i="2"/>
  <c r="AS308" i="2"/>
  <c r="AR308" i="2"/>
  <c r="AQ308" i="2"/>
  <c r="AP308" i="2"/>
  <c r="AO308" i="2"/>
  <c r="AL308" i="2"/>
  <c r="AK308" i="2"/>
  <c r="BQ307" i="2"/>
  <c r="BP307" i="2"/>
  <c r="AB307" i="1"/>
  <c r="BO307" i="2"/>
  <c r="AA307" i="1"/>
  <c r="BN307" i="2"/>
  <c r="BM307" i="2"/>
  <c r="BL307" i="2"/>
  <c r="BK307" i="2"/>
  <c r="W307" i="1"/>
  <c r="BJ307" i="2"/>
  <c r="BI307" i="2"/>
  <c r="BH307" i="2"/>
  <c r="T307" i="1"/>
  <c r="BG307" i="2"/>
  <c r="BF307" i="2"/>
  <c r="BE307" i="2"/>
  <c r="BD307" i="2"/>
  <c r="BC307" i="2"/>
  <c r="BB307" i="2"/>
  <c r="BA307" i="2"/>
  <c r="AZ307" i="2"/>
  <c r="AY307" i="2"/>
  <c r="AX307" i="2"/>
  <c r="J307" i="1"/>
  <c r="AW307" i="2"/>
  <c r="I307" i="1"/>
  <c r="AV307" i="2"/>
  <c r="AU307" i="2"/>
  <c r="AT307" i="2"/>
  <c r="AS307" i="2"/>
  <c r="AR307" i="2"/>
  <c r="AQ307" i="2"/>
  <c r="AP307" i="2"/>
  <c r="AO307" i="2"/>
  <c r="AL307" i="2"/>
  <c r="AK307" i="2"/>
  <c r="BQ306" i="2"/>
  <c r="BP306" i="2"/>
  <c r="AB306" i="1"/>
  <c r="BO306" i="2"/>
  <c r="AA306" i="1"/>
  <c r="BN306" i="2"/>
  <c r="BM306" i="2"/>
  <c r="BL306" i="2"/>
  <c r="BK306" i="2"/>
  <c r="W306" i="1"/>
  <c r="BJ306" i="2"/>
  <c r="BI306" i="2"/>
  <c r="BH306" i="2"/>
  <c r="T306" i="1"/>
  <c r="BG306" i="2"/>
  <c r="BF306" i="2"/>
  <c r="BE306" i="2"/>
  <c r="BD306" i="2"/>
  <c r="BC306" i="2"/>
  <c r="BB306" i="2"/>
  <c r="BA306" i="2"/>
  <c r="AZ306" i="2"/>
  <c r="AY306" i="2"/>
  <c r="AX306" i="2"/>
  <c r="J306" i="1"/>
  <c r="AW306" i="2"/>
  <c r="I306" i="1"/>
  <c r="AV306" i="2"/>
  <c r="AU306" i="2"/>
  <c r="AT306" i="2"/>
  <c r="AS306" i="2"/>
  <c r="AR306" i="2"/>
  <c r="AQ306" i="2"/>
  <c r="AP306" i="2"/>
  <c r="AO306" i="2"/>
  <c r="AL306" i="2"/>
  <c r="AK306" i="2"/>
  <c r="BQ305" i="2"/>
  <c r="BP305" i="2"/>
  <c r="AB305" i="1"/>
  <c r="BO305" i="2"/>
  <c r="AA305" i="1"/>
  <c r="BN305" i="2"/>
  <c r="BM305" i="2"/>
  <c r="BL305" i="2"/>
  <c r="BK305" i="2"/>
  <c r="W305" i="1"/>
  <c r="BJ305" i="2"/>
  <c r="BI305" i="2"/>
  <c r="BH305" i="2"/>
  <c r="T305" i="1"/>
  <c r="BG305" i="2"/>
  <c r="BF305" i="2"/>
  <c r="BE305" i="2"/>
  <c r="BD305" i="2"/>
  <c r="BC305" i="2"/>
  <c r="BB305" i="2"/>
  <c r="BA305" i="2"/>
  <c r="AZ305" i="2"/>
  <c r="AY305" i="2"/>
  <c r="AX305" i="2"/>
  <c r="J305" i="1"/>
  <c r="AW305" i="2"/>
  <c r="I305" i="1"/>
  <c r="AV305" i="2"/>
  <c r="AU305" i="2"/>
  <c r="AT305" i="2"/>
  <c r="AS305" i="2"/>
  <c r="AR305" i="2"/>
  <c r="AQ305" i="2"/>
  <c r="AP305" i="2"/>
  <c r="AO305" i="2"/>
  <c r="AL305" i="2"/>
  <c r="AK305" i="2"/>
  <c r="BQ304" i="2"/>
  <c r="BP304" i="2"/>
  <c r="AB304" i="1"/>
  <c r="BO304" i="2"/>
  <c r="AA304" i="1"/>
  <c r="BN304" i="2"/>
  <c r="BM304" i="2"/>
  <c r="BL304" i="2"/>
  <c r="BK304" i="2"/>
  <c r="W304" i="1"/>
  <c r="BJ304" i="2"/>
  <c r="BI304" i="2"/>
  <c r="BH304" i="2"/>
  <c r="T304" i="1"/>
  <c r="BG304" i="2"/>
  <c r="BF304" i="2"/>
  <c r="BE304" i="2"/>
  <c r="BD304" i="2"/>
  <c r="BC304" i="2"/>
  <c r="BB304" i="2"/>
  <c r="BA304" i="2"/>
  <c r="AZ304" i="2"/>
  <c r="AY304" i="2"/>
  <c r="AX304" i="2"/>
  <c r="J304" i="1"/>
  <c r="AW304" i="2"/>
  <c r="I304" i="1"/>
  <c r="AV304" i="2"/>
  <c r="AU304" i="2"/>
  <c r="AT304" i="2"/>
  <c r="AS304" i="2"/>
  <c r="AR304" i="2"/>
  <c r="AQ304" i="2"/>
  <c r="AP304" i="2"/>
  <c r="AO304" i="2"/>
  <c r="AL304" i="2"/>
  <c r="AK304" i="2"/>
  <c r="BQ303" i="2"/>
  <c r="BP303" i="2"/>
  <c r="AB303" i="1"/>
  <c r="BO303" i="2"/>
  <c r="AA303" i="1"/>
  <c r="BN303" i="2"/>
  <c r="BM303" i="2"/>
  <c r="BL303" i="2"/>
  <c r="BK303" i="2"/>
  <c r="W303" i="1"/>
  <c r="BJ303" i="2"/>
  <c r="BI303" i="2"/>
  <c r="BH303" i="2"/>
  <c r="T303" i="1"/>
  <c r="BG303" i="2"/>
  <c r="BF303" i="2"/>
  <c r="BE303" i="2"/>
  <c r="BD303" i="2"/>
  <c r="BC303" i="2"/>
  <c r="BB303" i="2"/>
  <c r="BA303" i="2"/>
  <c r="AZ303" i="2"/>
  <c r="AY303" i="2"/>
  <c r="AX303" i="2"/>
  <c r="J303" i="1"/>
  <c r="AW303" i="2"/>
  <c r="I303" i="1"/>
  <c r="AV303" i="2"/>
  <c r="AU303" i="2"/>
  <c r="AT303" i="2"/>
  <c r="AS303" i="2"/>
  <c r="AR303" i="2"/>
  <c r="AQ303" i="2"/>
  <c r="AP303" i="2"/>
  <c r="AO303" i="2"/>
  <c r="AL303" i="2"/>
  <c r="AK303" i="2"/>
  <c r="BQ302" i="2"/>
  <c r="BP302" i="2"/>
  <c r="AB302" i="1"/>
  <c r="BO302" i="2"/>
  <c r="AA302" i="1"/>
  <c r="BN302" i="2"/>
  <c r="BM302" i="2"/>
  <c r="BL302" i="2"/>
  <c r="BK302" i="2"/>
  <c r="W302" i="1"/>
  <c r="BJ302" i="2"/>
  <c r="BI302" i="2"/>
  <c r="BH302" i="2"/>
  <c r="T302" i="1"/>
  <c r="BG302" i="2"/>
  <c r="BF302" i="2"/>
  <c r="BE302" i="2"/>
  <c r="BD302" i="2"/>
  <c r="BC302" i="2"/>
  <c r="BB302" i="2"/>
  <c r="BA302" i="2"/>
  <c r="AZ302" i="2"/>
  <c r="AY302" i="2"/>
  <c r="AX302" i="2"/>
  <c r="J302" i="1"/>
  <c r="AW302" i="2"/>
  <c r="I302" i="1"/>
  <c r="AV302" i="2"/>
  <c r="AU302" i="2"/>
  <c r="AT302" i="2"/>
  <c r="AS302" i="2"/>
  <c r="AR302" i="2"/>
  <c r="AQ302" i="2"/>
  <c r="AP302" i="2"/>
  <c r="AO302" i="2"/>
  <c r="AL302" i="2"/>
  <c r="AK302" i="2"/>
  <c r="BQ301" i="2"/>
  <c r="BP301" i="2"/>
  <c r="AB301" i="1"/>
  <c r="BO301" i="2"/>
  <c r="AA301" i="1"/>
  <c r="BN301" i="2"/>
  <c r="BM301" i="2"/>
  <c r="BL301" i="2"/>
  <c r="BK301" i="2"/>
  <c r="W301" i="1"/>
  <c r="BJ301" i="2"/>
  <c r="BI301" i="2"/>
  <c r="BH301" i="2"/>
  <c r="T301" i="1"/>
  <c r="BG301" i="2"/>
  <c r="BF301" i="2"/>
  <c r="BE301" i="2"/>
  <c r="BD301" i="2"/>
  <c r="BC301" i="2"/>
  <c r="BB301" i="2"/>
  <c r="BA301" i="2"/>
  <c r="AZ301" i="2"/>
  <c r="AY301" i="2"/>
  <c r="AX301" i="2"/>
  <c r="J301" i="1"/>
  <c r="AW301" i="2"/>
  <c r="I301" i="1"/>
  <c r="AV301" i="2"/>
  <c r="AU301" i="2"/>
  <c r="AT301" i="2"/>
  <c r="AS301" i="2"/>
  <c r="AR301" i="2"/>
  <c r="AQ301" i="2"/>
  <c r="AP301" i="2"/>
  <c r="AO301" i="2"/>
  <c r="AL301" i="2"/>
  <c r="AK301" i="2"/>
  <c r="BQ300" i="2"/>
  <c r="BP300" i="2"/>
  <c r="AB300" i="1"/>
  <c r="BO300" i="2"/>
  <c r="AA300" i="1"/>
  <c r="BN300" i="2"/>
  <c r="BM300" i="2"/>
  <c r="BL300" i="2"/>
  <c r="BK300" i="2"/>
  <c r="W300" i="1"/>
  <c r="BJ300" i="2"/>
  <c r="BI300" i="2"/>
  <c r="BH300" i="2"/>
  <c r="T300" i="1"/>
  <c r="BG300" i="2"/>
  <c r="BF300" i="2"/>
  <c r="BE300" i="2"/>
  <c r="BD300" i="2"/>
  <c r="BC300" i="2"/>
  <c r="BB300" i="2"/>
  <c r="BA300" i="2"/>
  <c r="AZ300" i="2"/>
  <c r="AY300" i="2"/>
  <c r="AX300" i="2"/>
  <c r="J300" i="1"/>
  <c r="AW300" i="2"/>
  <c r="I300" i="1"/>
  <c r="AV300" i="2"/>
  <c r="AU300" i="2"/>
  <c r="AT300" i="2"/>
  <c r="AS300" i="2"/>
  <c r="AR300" i="2"/>
  <c r="AQ300" i="2"/>
  <c r="AP300" i="2"/>
  <c r="AO300" i="2"/>
  <c r="AL300" i="2"/>
  <c r="AK300" i="2"/>
  <c r="BQ299" i="2"/>
  <c r="BP299" i="2"/>
  <c r="AB299" i="1"/>
  <c r="BO299" i="2"/>
  <c r="AA299" i="1"/>
  <c r="BN299" i="2"/>
  <c r="BM299" i="2"/>
  <c r="BL299" i="2"/>
  <c r="BK299" i="2"/>
  <c r="W299" i="1"/>
  <c r="BJ299" i="2"/>
  <c r="BI299" i="2"/>
  <c r="BH299" i="2"/>
  <c r="T299" i="1"/>
  <c r="BG299" i="2"/>
  <c r="BF299" i="2"/>
  <c r="BE299" i="2"/>
  <c r="BD299" i="2"/>
  <c r="BC299" i="2"/>
  <c r="BB299" i="2"/>
  <c r="BA299" i="2"/>
  <c r="AZ299" i="2"/>
  <c r="AY299" i="2"/>
  <c r="AX299" i="2"/>
  <c r="J299" i="1"/>
  <c r="AW299" i="2"/>
  <c r="I299" i="1"/>
  <c r="AV299" i="2"/>
  <c r="AU299" i="2"/>
  <c r="AT299" i="2"/>
  <c r="AS299" i="2"/>
  <c r="AR299" i="2"/>
  <c r="AQ299" i="2"/>
  <c r="AP299" i="2"/>
  <c r="AO299" i="2"/>
  <c r="AL299" i="2"/>
  <c r="AK299" i="2"/>
  <c r="BQ298" i="2"/>
  <c r="BP298" i="2"/>
  <c r="AB298" i="1"/>
  <c r="BO298" i="2"/>
  <c r="AA298" i="1"/>
  <c r="BN298" i="2"/>
  <c r="BM298" i="2"/>
  <c r="BL298" i="2"/>
  <c r="BK298" i="2"/>
  <c r="W298" i="1"/>
  <c r="BJ298" i="2"/>
  <c r="BI298" i="2"/>
  <c r="BH298" i="2"/>
  <c r="T298" i="1"/>
  <c r="BG298" i="2"/>
  <c r="BF298" i="2"/>
  <c r="BE298" i="2"/>
  <c r="BD298" i="2"/>
  <c r="BC298" i="2"/>
  <c r="BB298" i="2"/>
  <c r="BA298" i="2"/>
  <c r="AZ298" i="2"/>
  <c r="AY298" i="2"/>
  <c r="AX298" i="2"/>
  <c r="J298" i="1"/>
  <c r="AW298" i="2"/>
  <c r="I298" i="1"/>
  <c r="AV298" i="2"/>
  <c r="AU298" i="2"/>
  <c r="AT298" i="2"/>
  <c r="AS298" i="2"/>
  <c r="AR298" i="2"/>
  <c r="AQ298" i="2"/>
  <c r="AP298" i="2"/>
  <c r="AO298" i="2"/>
  <c r="AL298" i="2"/>
  <c r="AK298" i="2"/>
  <c r="BQ297" i="2"/>
  <c r="BP297" i="2"/>
  <c r="AB297" i="1"/>
  <c r="BO297" i="2"/>
  <c r="AA297" i="1"/>
  <c r="BN297" i="2"/>
  <c r="BM297" i="2"/>
  <c r="BL297" i="2"/>
  <c r="BK297" i="2"/>
  <c r="W297" i="1"/>
  <c r="BJ297" i="2"/>
  <c r="BI297" i="2"/>
  <c r="BH297" i="2"/>
  <c r="T297" i="1"/>
  <c r="BG297" i="2"/>
  <c r="BF297" i="2"/>
  <c r="BE297" i="2"/>
  <c r="BD297" i="2"/>
  <c r="BC297" i="2"/>
  <c r="BB297" i="2"/>
  <c r="BA297" i="2"/>
  <c r="AZ297" i="2"/>
  <c r="AY297" i="2"/>
  <c r="AX297" i="2"/>
  <c r="J297" i="1"/>
  <c r="AW297" i="2"/>
  <c r="I297" i="1"/>
  <c r="AV297" i="2"/>
  <c r="AU297" i="2"/>
  <c r="AT297" i="2"/>
  <c r="AS297" i="2"/>
  <c r="AR297" i="2"/>
  <c r="AQ297" i="2"/>
  <c r="AP297" i="2"/>
  <c r="AO297" i="2"/>
  <c r="AL297" i="2"/>
  <c r="AK297" i="2"/>
  <c r="BQ296" i="2"/>
  <c r="BP296" i="2"/>
  <c r="AB296" i="1"/>
  <c r="BO296" i="2"/>
  <c r="AA296" i="1"/>
  <c r="BN296" i="2"/>
  <c r="BM296" i="2"/>
  <c r="BL296" i="2"/>
  <c r="BK296" i="2"/>
  <c r="W296" i="1"/>
  <c r="BJ296" i="2"/>
  <c r="BI296" i="2"/>
  <c r="BH296" i="2"/>
  <c r="T296" i="1"/>
  <c r="BG296" i="2"/>
  <c r="BF296" i="2"/>
  <c r="BE296" i="2"/>
  <c r="BD296" i="2"/>
  <c r="BC296" i="2"/>
  <c r="BB296" i="2"/>
  <c r="BA296" i="2"/>
  <c r="AZ296" i="2"/>
  <c r="AY296" i="2"/>
  <c r="AX296" i="2"/>
  <c r="J296" i="1"/>
  <c r="AW296" i="2"/>
  <c r="I296" i="1"/>
  <c r="AV296" i="2"/>
  <c r="AU296" i="2"/>
  <c r="AT296" i="2"/>
  <c r="AS296" i="2"/>
  <c r="AR296" i="2"/>
  <c r="AQ296" i="2"/>
  <c r="AP296" i="2"/>
  <c r="AO296" i="2"/>
  <c r="AL296" i="2"/>
  <c r="AK296" i="2"/>
  <c r="BQ295" i="2"/>
  <c r="BP295" i="2"/>
  <c r="AB295" i="1"/>
  <c r="BO295" i="2"/>
  <c r="AA295" i="1"/>
  <c r="BN295" i="2"/>
  <c r="BM295" i="2"/>
  <c r="BL295" i="2"/>
  <c r="BK295" i="2"/>
  <c r="W295" i="1"/>
  <c r="BJ295" i="2"/>
  <c r="BI295" i="2"/>
  <c r="BH295" i="2"/>
  <c r="T295" i="1"/>
  <c r="BG295" i="2"/>
  <c r="BF295" i="2"/>
  <c r="BE295" i="2"/>
  <c r="BD295" i="2"/>
  <c r="BC295" i="2"/>
  <c r="BB295" i="2"/>
  <c r="BA295" i="2"/>
  <c r="AZ295" i="2"/>
  <c r="AY295" i="2"/>
  <c r="AX295" i="2"/>
  <c r="J295" i="1"/>
  <c r="AW295" i="2"/>
  <c r="I295" i="1"/>
  <c r="AV295" i="2"/>
  <c r="AU295" i="2"/>
  <c r="AT295" i="2"/>
  <c r="AS295" i="2"/>
  <c r="AR295" i="2"/>
  <c r="AQ295" i="2"/>
  <c r="AP295" i="2"/>
  <c r="AO295" i="2"/>
  <c r="AL295" i="2"/>
  <c r="AK295" i="2"/>
  <c r="BQ294" i="2"/>
  <c r="BP294" i="2"/>
  <c r="AB294" i="1"/>
  <c r="BO294" i="2"/>
  <c r="AA294" i="1"/>
  <c r="BN294" i="2"/>
  <c r="BM294" i="2"/>
  <c r="BL294" i="2"/>
  <c r="BK294" i="2"/>
  <c r="W294" i="1"/>
  <c r="BJ294" i="2"/>
  <c r="BI294" i="2"/>
  <c r="BH294" i="2"/>
  <c r="T294" i="1"/>
  <c r="BG294" i="2"/>
  <c r="BF294" i="2"/>
  <c r="BE294" i="2"/>
  <c r="BD294" i="2"/>
  <c r="BC294" i="2"/>
  <c r="BB294" i="2"/>
  <c r="BA294" i="2"/>
  <c r="AZ294" i="2"/>
  <c r="AY294" i="2"/>
  <c r="AX294" i="2"/>
  <c r="J294" i="1"/>
  <c r="AW294" i="2"/>
  <c r="I294" i="1"/>
  <c r="AV294" i="2"/>
  <c r="AU294" i="2"/>
  <c r="AT294" i="2"/>
  <c r="AS294" i="2"/>
  <c r="AR294" i="2"/>
  <c r="AQ294" i="2"/>
  <c r="AP294" i="2"/>
  <c r="AO294" i="2"/>
  <c r="AL294" i="2"/>
  <c r="AK294" i="2"/>
  <c r="BQ293" i="2"/>
  <c r="BP293" i="2"/>
  <c r="AB293" i="1"/>
  <c r="BO293" i="2"/>
  <c r="AA293" i="1"/>
  <c r="BN293" i="2"/>
  <c r="BM293" i="2"/>
  <c r="BL293" i="2"/>
  <c r="BK293" i="2"/>
  <c r="W293" i="1"/>
  <c r="BJ293" i="2"/>
  <c r="BI293" i="2"/>
  <c r="BH293" i="2"/>
  <c r="T293" i="1"/>
  <c r="BG293" i="2"/>
  <c r="BF293" i="2"/>
  <c r="BE293" i="2"/>
  <c r="BD293" i="2"/>
  <c r="BC293" i="2"/>
  <c r="BB293" i="2"/>
  <c r="BA293" i="2"/>
  <c r="AZ293" i="2"/>
  <c r="AY293" i="2"/>
  <c r="AX293" i="2"/>
  <c r="J293" i="1"/>
  <c r="AW293" i="2"/>
  <c r="I293" i="1"/>
  <c r="AV293" i="2"/>
  <c r="AU293" i="2"/>
  <c r="AT293" i="2"/>
  <c r="AS293" i="2"/>
  <c r="AR293" i="2"/>
  <c r="AQ293" i="2"/>
  <c r="AP293" i="2"/>
  <c r="AO293" i="2"/>
  <c r="AL293" i="2"/>
  <c r="AK293" i="2"/>
  <c r="BQ292" i="2"/>
  <c r="BP292" i="2"/>
  <c r="AB292" i="1"/>
  <c r="BO292" i="2"/>
  <c r="AA292" i="1"/>
  <c r="BN292" i="2"/>
  <c r="BM292" i="2"/>
  <c r="BL292" i="2"/>
  <c r="BK292" i="2"/>
  <c r="W292" i="1"/>
  <c r="BJ292" i="2"/>
  <c r="BI292" i="2"/>
  <c r="BH292" i="2"/>
  <c r="T292" i="1"/>
  <c r="BG292" i="2"/>
  <c r="BF292" i="2"/>
  <c r="BE292" i="2"/>
  <c r="BD292" i="2"/>
  <c r="BC292" i="2"/>
  <c r="BB292" i="2"/>
  <c r="BA292" i="2"/>
  <c r="AZ292" i="2"/>
  <c r="AY292" i="2"/>
  <c r="AX292" i="2"/>
  <c r="J292" i="1"/>
  <c r="AW292" i="2"/>
  <c r="I292" i="1"/>
  <c r="AV292" i="2"/>
  <c r="AU292" i="2"/>
  <c r="AT292" i="2"/>
  <c r="AS292" i="2"/>
  <c r="AR292" i="2"/>
  <c r="AQ292" i="2"/>
  <c r="AP292" i="2"/>
  <c r="AO292" i="2"/>
  <c r="AL292" i="2"/>
  <c r="AK292" i="2"/>
  <c r="BQ291" i="2"/>
  <c r="BP291" i="2"/>
  <c r="AB291" i="1"/>
  <c r="BO291" i="2"/>
  <c r="AA291" i="1"/>
  <c r="BN291" i="2"/>
  <c r="BM291" i="2"/>
  <c r="BL291" i="2"/>
  <c r="BK291" i="2"/>
  <c r="W291" i="1"/>
  <c r="BJ291" i="2"/>
  <c r="BI291" i="2"/>
  <c r="BH291" i="2"/>
  <c r="T291" i="1"/>
  <c r="BG291" i="2"/>
  <c r="BF291" i="2"/>
  <c r="BE291" i="2"/>
  <c r="BD291" i="2"/>
  <c r="BC291" i="2"/>
  <c r="BB291" i="2"/>
  <c r="BA291" i="2"/>
  <c r="AZ291" i="2"/>
  <c r="AY291" i="2"/>
  <c r="AX291" i="2"/>
  <c r="J291" i="1"/>
  <c r="AW291" i="2"/>
  <c r="I291" i="1"/>
  <c r="AV291" i="2"/>
  <c r="AU291" i="2"/>
  <c r="AT291" i="2"/>
  <c r="AS291" i="2"/>
  <c r="AR291" i="2"/>
  <c r="AQ291" i="2"/>
  <c r="AP291" i="2"/>
  <c r="AO291" i="2"/>
  <c r="AL291" i="2"/>
  <c r="AK291" i="2"/>
  <c r="BQ290" i="2"/>
  <c r="BP290" i="2"/>
  <c r="AB290" i="1"/>
  <c r="BO290" i="2"/>
  <c r="AA290" i="1"/>
  <c r="BN290" i="2"/>
  <c r="BM290" i="2"/>
  <c r="BL290" i="2"/>
  <c r="BK290" i="2"/>
  <c r="W290" i="1"/>
  <c r="BJ290" i="2"/>
  <c r="BI290" i="2"/>
  <c r="BH290" i="2"/>
  <c r="T290" i="1"/>
  <c r="BG290" i="2"/>
  <c r="BF290" i="2"/>
  <c r="BE290" i="2"/>
  <c r="BD290" i="2"/>
  <c r="BC290" i="2"/>
  <c r="BB290" i="2"/>
  <c r="BA290" i="2"/>
  <c r="AZ290" i="2"/>
  <c r="AY290" i="2"/>
  <c r="AX290" i="2"/>
  <c r="J290" i="1"/>
  <c r="AW290" i="2"/>
  <c r="I290" i="1"/>
  <c r="AV290" i="2"/>
  <c r="AU290" i="2"/>
  <c r="AT290" i="2"/>
  <c r="AS290" i="2"/>
  <c r="AR290" i="2"/>
  <c r="AQ290" i="2"/>
  <c r="AP290" i="2"/>
  <c r="AO290" i="2"/>
  <c r="AL290" i="2"/>
  <c r="AK290" i="2"/>
  <c r="BQ289" i="2"/>
  <c r="BP289" i="2"/>
  <c r="AB289" i="1"/>
  <c r="BO289" i="2"/>
  <c r="AA289" i="1"/>
  <c r="BN289" i="2"/>
  <c r="BM289" i="2"/>
  <c r="BL289" i="2"/>
  <c r="BK289" i="2"/>
  <c r="W289" i="1"/>
  <c r="BJ289" i="2"/>
  <c r="BI289" i="2"/>
  <c r="BH289" i="2"/>
  <c r="T289" i="1"/>
  <c r="BG289" i="2"/>
  <c r="BF289" i="2"/>
  <c r="BE289" i="2"/>
  <c r="BD289" i="2"/>
  <c r="BC289" i="2"/>
  <c r="BB289" i="2"/>
  <c r="BA289" i="2"/>
  <c r="AZ289" i="2"/>
  <c r="AY289" i="2"/>
  <c r="AX289" i="2"/>
  <c r="J289" i="1"/>
  <c r="AW289" i="2"/>
  <c r="I289" i="1"/>
  <c r="AV289" i="2"/>
  <c r="AU289" i="2"/>
  <c r="AT289" i="2"/>
  <c r="AS289" i="2"/>
  <c r="AR289" i="2"/>
  <c r="AQ289" i="2"/>
  <c r="AP289" i="2"/>
  <c r="AO289" i="2"/>
  <c r="AL289" i="2"/>
  <c r="AK289" i="2"/>
  <c r="BQ288" i="2"/>
  <c r="BP288" i="2"/>
  <c r="AB288" i="1"/>
  <c r="BO288" i="2"/>
  <c r="AA288" i="1"/>
  <c r="BN288" i="2"/>
  <c r="BM288" i="2"/>
  <c r="BL288" i="2"/>
  <c r="BK288" i="2"/>
  <c r="W288" i="1"/>
  <c r="BJ288" i="2"/>
  <c r="BI288" i="2"/>
  <c r="BH288" i="2"/>
  <c r="T288" i="1"/>
  <c r="BG288" i="2"/>
  <c r="BF288" i="2"/>
  <c r="BE288" i="2"/>
  <c r="BD288" i="2"/>
  <c r="BC288" i="2"/>
  <c r="BB288" i="2"/>
  <c r="BA288" i="2"/>
  <c r="AZ288" i="2"/>
  <c r="AY288" i="2"/>
  <c r="AX288" i="2"/>
  <c r="J288" i="1"/>
  <c r="AW288" i="2"/>
  <c r="I288" i="1"/>
  <c r="AV288" i="2"/>
  <c r="AU288" i="2"/>
  <c r="AT288" i="2"/>
  <c r="AS288" i="2"/>
  <c r="AR288" i="2"/>
  <c r="AQ288" i="2"/>
  <c r="AP288" i="2"/>
  <c r="AO288" i="2"/>
  <c r="AL288" i="2"/>
  <c r="AK288" i="2"/>
  <c r="BQ287" i="2"/>
  <c r="BP287" i="2"/>
  <c r="AB287" i="1"/>
  <c r="BO287" i="2"/>
  <c r="AA287" i="1"/>
  <c r="BN287" i="2"/>
  <c r="BM287" i="2"/>
  <c r="BL287" i="2"/>
  <c r="BK287" i="2"/>
  <c r="W287" i="1"/>
  <c r="BJ287" i="2"/>
  <c r="BI287" i="2"/>
  <c r="BH287" i="2"/>
  <c r="T287" i="1"/>
  <c r="BG287" i="2"/>
  <c r="BF287" i="2"/>
  <c r="BE287" i="2"/>
  <c r="BD287" i="2"/>
  <c r="BC287" i="2"/>
  <c r="BB287" i="2"/>
  <c r="BA287" i="2"/>
  <c r="AZ287" i="2"/>
  <c r="AY287" i="2"/>
  <c r="AX287" i="2"/>
  <c r="J287" i="1"/>
  <c r="AW287" i="2"/>
  <c r="I287" i="1"/>
  <c r="AV287" i="2"/>
  <c r="AU287" i="2"/>
  <c r="AT287" i="2"/>
  <c r="AS287" i="2"/>
  <c r="AR287" i="2"/>
  <c r="AQ287" i="2"/>
  <c r="AP287" i="2"/>
  <c r="AO287" i="2"/>
  <c r="AL287" i="2"/>
  <c r="AK287" i="2"/>
  <c r="BQ286" i="2"/>
  <c r="BP286" i="2"/>
  <c r="AB286" i="1"/>
  <c r="BO286" i="2"/>
  <c r="AA286" i="1"/>
  <c r="BN286" i="2"/>
  <c r="BM286" i="2"/>
  <c r="BL286" i="2"/>
  <c r="BK286" i="2"/>
  <c r="W286" i="1"/>
  <c r="BJ286" i="2"/>
  <c r="BI286" i="2"/>
  <c r="BH286" i="2"/>
  <c r="T286" i="1"/>
  <c r="BG286" i="2"/>
  <c r="BF286" i="2"/>
  <c r="BE286" i="2"/>
  <c r="BD286" i="2"/>
  <c r="BC286" i="2"/>
  <c r="BB286" i="2"/>
  <c r="BA286" i="2"/>
  <c r="AZ286" i="2"/>
  <c r="AY286" i="2"/>
  <c r="AX286" i="2"/>
  <c r="J286" i="1"/>
  <c r="AW286" i="2"/>
  <c r="I286" i="1"/>
  <c r="AV286" i="2"/>
  <c r="AU286" i="2"/>
  <c r="AT286" i="2"/>
  <c r="AS286" i="2"/>
  <c r="AR286" i="2"/>
  <c r="AQ286" i="2"/>
  <c r="AP286" i="2"/>
  <c r="AO286" i="2"/>
  <c r="AL286" i="2"/>
  <c r="AK286" i="2"/>
  <c r="BQ285" i="2"/>
  <c r="BP285" i="2"/>
  <c r="AB285" i="1"/>
  <c r="BO285" i="2"/>
  <c r="AA285" i="1"/>
  <c r="BN285" i="2"/>
  <c r="BM285" i="2"/>
  <c r="BL285" i="2"/>
  <c r="BK285" i="2"/>
  <c r="W285" i="1"/>
  <c r="BJ285" i="2"/>
  <c r="BI285" i="2"/>
  <c r="BH285" i="2"/>
  <c r="T285" i="1"/>
  <c r="BG285" i="2"/>
  <c r="BF285" i="2"/>
  <c r="BE285" i="2"/>
  <c r="BD285" i="2"/>
  <c r="BC285" i="2"/>
  <c r="BB285" i="2"/>
  <c r="BA285" i="2"/>
  <c r="AZ285" i="2"/>
  <c r="AY285" i="2"/>
  <c r="AX285" i="2"/>
  <c r="J285" i="1"/>
  <c r="AW285" i="2"/>
  <c r="I285" i="1"/>
  <c r="AV285" i="2"/>
  <c r="AU285" i="2"/>
  <c r="AT285" i="2"/>
  <c r="AS285" i="2"/>
  <c r="AR285" i="2"/>
  <c r="AQ285" i="2"/>
  <c r="AP285" i="2"/>
  <c r="AO285" i="2"/>
  <c r="AL285" i="2"/>
  <c r="AK285" i="2"/>
  <c r="BQ284" i="2"/>
  <c r="BP284" i="2"/>
  <c r="AB284" i="1"/>
  <c r="BO284" i="2"/>
  <c r="AA284" i="1"/>
  <c r="BN284" i="2"/>
  <c r="BM284" i="2"/>
  <c r="BL284" i="2"/>
  <c r="BK284" i="2"/>
  <c r="W284" i="1"/>
  <c r="BJ284" i="2"/>
  <c r="BI284" i="2"/>
  <c r="BH284" i="2"/>
  <c r="T284" i="1"/>
  <c r="BG284" i="2"/>
  <c r="BF284" i="2"/>
  <c r="BE284" i="2"/>
  <c r="BD284" i="2"/>
  <c r="BC284" i="2"/>
  <c r="BB284" i="2"/>
  <c r="BA284" i="2"/>
  <c r="AZ284" i="2"/>
  <c r="AY284" i="2"/>
  <c r="AX284" i="2"/>
  <c r="J284" i="1"/>
  <c r="AW284" i="2"/>
  <c r="I284" i="1"/>
  <c r="AV284" i="2"/>
  <c r="AU284" i="2"/>
  <c r="AT284" i="2"/>
  <c r="AS284" i="2"/>
  <c r="AR284" i="2"/>
  <c r="AQ284" i="2"/>
  <c r="AP284" i="2"/>
  <c r="AO284" i="2"/>
  <c r="AL284" i="2"/>
  <c r="AK284" i="2"/>
  <c r="BQ283" i="2"/>
  <c r="BP283" i="2"/>
  <c r="AB283" i="1"/>
  <c r="BO283" i="2"/>
  <c r="AA283" i="1"/>
  <c r="BN283" i="2"/>
  <c r="BM283" i="2"/>
  <c r="BL283" i="2"/>
  <c r="BK283" i="2"/>
  <c r="W283" i="1"/>
  <c r="BJ283" i="2"/>
  <c r="BI283" i="2"/>
  <c r="BH283" i="2"/>
  <c r="T283" i="1"/>
  <c r="BG283" i="2"/>
  <c r="BF283" i="2"/>
  <c r="BE283" i="2"/>
  <c r="BD283" i="2"/>
  <c r="BC283" i="2"/>
  <c r="BB283" i="2"/>
  <c r="BA283" i="2"/>
  <c r="AZ283" i="2"/>
  <c r="AY283" i="2"/>
  <c r="AX283" i="2"/>
  <c r="J283" i="1"/>
  <c r="AW283" i="2"/>
  <c r="I283" i="1"/>
  <c r="AV283" i="2"/>
  <c r="AU283" i="2"/>
  <c r="AT283" i="2"/>
  <c r="AS283" i="2"/>
  <c r="AR283" i="2"/>
  <c r="AQ283" i="2"/>
  <c r="AP283" i="2"/>
  <c r="AO283" i="2"/>
  <c r="AL283" i="2"/>
  <c r="AK283" i="2"/>
  <c r="BQ282" i="2"/>
  <c r="BP282" i="2"/>
  <c r="AB282" i="1"/>
  <c r="BO282" i="2"/>
  <c r="AA282" i="1"/>
  <c r="BN282" i="2"/>
  <c r="BM282" i="2"/>
  <c r="BL282" i="2"/>
  <c r="BK282" i="2"/>
  <c r="W282" i="1"/>
  <c r="BJ282" i="2"/>
  <c r="BI282" i="2"/>
  <c r="BH282" i="2"/>
  <c r="T282" i="1"/>
  <c r="BG282" i="2"/>
  <c r="BF282" i="2"/>
  <c r="BE282" i="2"/>
  <c r="BD282" i="2"/>
  <c r="BC282" i="2"/>
  <c r="BB282" i="2"/>
  <c r="BA282" i="2"/>
  <c r="AZ282" i="2"/>
  <c r="AY282" i="2"/>
  <c r="AX282" i="2"/>
  <c r="J282" i="1"/>
  <c r="AW282" i="2"/>
  <c r="I282" i="1"/>
  <c r="AV282" i="2"/>
  <c r="AU282" i="2"/>
  <c r="AT282" i="2"/>
  <c r="AS282" i="2"/>
  <c r="AR282" i="2"/>
  <c r="AQ282" i="2"/>
  <c r="AP282" i="2"/>
  <c r="AO282" i="2"/>
  <c r="AL282" i="2"/>
  <c r="AK282" i="2"/>
  <c r="BQ281" i="2"/>
  <c r="BP281" i="2"/>
  <c r="AB281" i="1"/>
  <c r="BO281" i="2"/>
  <c r="AA281" i="1"/>
  <c r="BN281" i="2"/>
  <c r="BM281" i="2"/>
  <c r="BL281" i="2"/>
  <c r="BK281" i="2"/>
  <c r="W281" i="1"/>
  <c r="BJ281" i="2"/>
  <c r="BI281" i="2"/>
  <c r="BH281" i="2"/>
  <c r="T281" i="1"/>
  <c r="BG281" i="2"/>
  <c r="BF281" i="2"/>
  <c r="BE281" i="2"/>
  <c r="BD281" i="2"/>
  <c r="BC281" i="2"/>
  <c r="BB281" i="2"/>
  <c r="BA281" i="2"/>
  <c r="AZ281" i="2"/>
  <c r="AY281" i="2"/>
  <c r="AX281" i="2"/>
  <c r="J281" i="1"/>
  <c r="AW281" i="2"/>
  <c r="I281" i="1"/>
  <c r="AV281" i="2"/>
  <c r="AU281" i="2"/>
  <c r="AT281" i="2"/>
  <c r="AS281" i="2"/>
  <c r="AR281" i="2"/>
  <c r="AQ281" i="2"/>
  <c r="AP281" i="2"/>
  <c r="AO281" i="2"/>
  <c r="AL281" i="2"/>
  <c r="AK281" i="2"/>
  <c r="BQ280" i="2"/>
  <c r="BP280" i="2"/>
  <c r="AB280" i="1"/>
  <c r="BO280" i="2"/>
  <c r="AA280" i="1"/>
  <c r="BN280" i="2"/>
  <c r="BM280" i="2"/>
  <c r="BL280" i="2"/>
  <c r="BK280" i="2"/>
  <c r="W280" i="1"/>
  <c r="BJ280" i="2"/>
  <c r="BI280" i="2"/>
  <c r="BH280" i="2"/>
  <c r="T280" i="1"/>
  <c r="BG280" i="2"/>
  <c r="BF280" i="2"/>
  <c r="BE280" i="2"/>
  <c r="BD280" i="2"/>
  <c r="BC280" i="2"/>
  <c r="BB280" i="2"/>
  <c r="BA280" i="2"/>
  <c r="AZ280" i="2"/>
  <c r="AY280" i="2"/>
  <c r="AX280" i="2"/>
  <c r="J280" i="1"/>
  <c r="AW280" i="2"/>
  <c r="I280" i="1"/>
  <c r="AV280" i="2"/>
  <c r="AU280" i="2"/>
  <c r="AT280" i="2"/>
  <c r="AS280" i="2"/>
  <c r="AR280" i="2"/>
  <c r="AQ280" i="2"/>
  <c r="AP280" i="2"/>
  <c r="AO280" i="2"/>
  <c r="AL280" i="2"/>
  <c r="AK280" i="2"/>
  <c r="BQ279" i="2"/>
  <c r="BP279" i="2"/>
  <c r="AB279" i="1"/>
  <c r="BO279" i="2"/>
  <c r="AA279" i="1"/>
  <c r="BN279" i="2"/>
  <c r="BM279" i="2"/>
  <c r="BL279" i="2"/>
  <c r="BK279" i="2"/>
  <c r="W279" i="1"/>
  <c r="BJ279" i="2"/>
  <c r="BI279" i="2"/>
  <c r="BH279" i="2"/>
  <c r="T279" i="1"/>
  <c r="BG279" i="2"/>
  <c r="BF279" i="2"/>
  <c r="BE279" i="2"/>
  <c r="BD279" i="2"/>
  <c r="BC279" i="2"/>
  <c r="BB279" i="2"/>
  <c r="BA279" i="2"/>
  <c r="AZ279" i="2"/>
  <c r="AY279" i="2"/>
  <c r="AX279" i="2"/>
  <c r="J279" i="1"/>
  <c r="AW279" i="2"/>
  <c r="I279" i="1"/>
  <c r="AV279" i="2"/>
  <c r="AU279" i="2"/>
  <c r="AT279" i="2"/>
  <c r="AS279" i="2"/>
  <c r="AR279" i="2"/>
  <c r="AQ279" i="2"/>
  <c r="AP279" i="2"/>
  <c r="AO279" i="2"/>
  <c r="AL279" i="2"/>
  <c r="AK279" i="2"/>
  <c r="BQ278" i="2"/>
  <c r="BP278" i="2"/>
  <c r="AB278" i="1"/>
  <c r="BO278" i="2"/>
  <c r="AA278" i="1"/>
  <c r="BN278" i="2"/>
  <c r="BM278" i="2"/>
  <c r="BL278" i="2"/>
  <c r="BK278" i="2"/>
  <c r="W278" i="1"/>
  <c r="BJ278" i="2"/>
  <c r="BI278" i="2"/>
  <c r="BH278" i="2"/>
  <c r="T278" i="1"/>
  <c r="BG278" i="2"/>
  <c r="BF278" i="2"/>
  <c r="BE278" i="2"/>
  <c r="BD278" i="2"/>
  <c r="BC278" i="2"/>
  <c r="BB278" i="2"/>
  <c r="BA278" i="2"/>
  <c r="AZ278" i="2"/>
  <c r="AY278" i="2"/>
  <c r="AX278" i="2"/>
  <c r="J278" i="1"/>
  <c r="AW278" i="2"/>
  <c r="I278" i="1"/>
  <c r="AV278" i="2"/>
  <c r="AU278" i="2"/>
  <c r="AT278" i="2"/>
  <c r="AS278" i="2"/>
  <c r="AR278" i="2"/>
  <c r="AQ278" i="2"/>
  <c r="AP278" i="2"/>
  <c r="AO278" i="2"/>
  <c r="AL278" i="2"/>
  <c r="AK278" i="2"/>
  <c r="BQ277" i="2"/>
  <c r="BP277" i="2"/>
  <c r="AB277" i="1"/>
  <c r="BO277" i="2"/>
  <c r="AA277" i="1"/>
  <c r="BN277" i="2"/>
  <c r="BM277" i="2"/>
  <c r="BL277" i="2"/>
  <c r="BK277" i="2"/>
  <c r="W277" i="1"/>
  <c r="BJ277" i="2"/>
  <c r="BI277" i="2"/>
  <c r="BH277" i="2"/>
  <c r="T277" i="1"/>
  <c r="BG277" i="2"/>
  <c r="BF277" i="2"/>
  <c r="BE277" i="2"/>
  <c r="BD277" i="2"/>
  <c r="BC277" i="2"/>
  <c r="BB277" i="2"/>
  <c r="BA277" i="2"/>
  <c r="AZ277" i="2"/>
  <c r="AY277" i="2"/>
  <c r="AX277" i="2"/>
  <c r="J277" i="1"/>
  <c r="AW277" i="2"/>
  <c r="I277" i="1"/>
  <c r="AV277" i="2"/>
  <c r="AU277" i="2"/>
  <c r="AT277" i="2"/>
  <c r="AS277" i="2"/>
  <c r="AR277" i="2"/>
  <c r="AQ277" i="2"/>
  <c r="AP277" i="2"/>
  <c r="AO277" i="2"/>
  <c r="AL277" i="2"/>
  <c r="AK277" i="2"/>
  <c r="BQ276" i="2"/>
  <c r="BP276" i="2"/>
  <c r="AB276" i="1"/>
  <c r="BO276" i="2"/>
  <c r="AA276" i="1"/>
  <c r="BN276" i="2"/>
  <c r="BM276" i="2"/>
  <c r="BL276" i="2"/>
  <c r="BK276" i="2"/>
  <c r="W276" i="1"/>
  <c r="BJ276" i="2"/>
  <c r="BI276" i="2"/>
  <c r="BH276" i="2"/>
  <c r="T276" i="1"/>
  <c r="BG276" i="2"/>
  <c r="BF276" i="2"/>
  <c r="BE276" i="2"/>
  <c r="BD276" i="2"/>
  <c r="BC276" i="2"/>
  <c r="BB276" i="2"/>
  <c r="BA276" i="2"/>
  <c r="AZ276" i="2"/>
  <c r="AY276" i="2"/>
  <c r="AX276" i="2"/>
  <c r="J276" i="1"/>
  <c r="AW276" i="2"/>
  <c r="I276" i="1"/>
  <c r="AV276" i="2"/>
  <c r="AU276" i="2"/>
  <c r="AT276" i="2"/>
  <c r="AS276" i="2"/>
  <c r="AR276" i="2"/>
  <c r="AQ276" i="2"/>
  <c r="AP276" i="2"/>
  <c r="AO276" i="2"/>
  <c r="AL276" i="2"/>
  <c r="AK276" i="2"/>
  <c r="BQ275" i="2"/>
  <c r="BP275" i="2"/>
  <c r="AB275" i="1"/>
  <c r="BO275" i="2"/>
  <c r="AA275" i="1"/>
  <c r="BN275" i="2"/>
  <c r="BM275" i="2"/>
  <c r="BL275" i="2"/>
  <c r="BK275" i="2"/>
  <c r="W275" i="1"/>
  <c r="BJ275" i="2"/>
  <c r="BI275" i="2"/>
  <c r="BH275" i="2"/>
  <c r="T275" i="1"/>
  <c r="BG275" i="2"/>
  <c r="BF275" i="2"/>
  <c r="BE275" i="2"/>
  <c r="BD275" i="2"/>
  <c r="BC275" i="2"/>
  <c r="BB275" i="2"/>
  <c r="BA275" i="2"/>
  <c r="AZ275" i="2"/>
  <c r="AY275" i="2"/>
  <c r="AX275" i="2"/>
  <c r="J275" i="1"/>
  <c r="AW275" i="2"/>
  <c r="I275" i="1"/>
  <c r="AV275" i="2"/>
  <c r="AU275" i="2"/>
  <c r="AT275" i="2"/>
  <c r="AS275" i="2"/>
  <c r="AR275" i="2"/>
  <c r="AQ275" i="2"/>
  <c r="AP275" i="2"/>
  <c r="AO275" i="2"/>
  <c r="AL275" i="2"/>
  <c r="AK275" i="2"/>
  <c r="BQ274" i="2"/>
  <c r="BP274" i="2"/>
  <c r="AB274" i="1"/>
  <c r="BO274" i="2"/>
  <c r="AA274" i="1"/>
  <c r="BN274" i="2"/>
  <c r="BM274" i="2"/>
  <c r="BL274" i="2"/>
  <c r="BK274" i="2"/>
  <c r="W274" i="1"/>
  <c r="BJ274" i="2"/>
  <c r="BI274" i="2"/>
  <c r="BH274" i="2"/>
  <c r="T274" i="1"/>
  <c r="BG274" i="2"/>
  <c r="BF274" i="2"/>
  <c r="BE274" i="2"/>
  <c r="BD274" i="2"/>
  <c r="BC274" i="2"/>
  <c r="BB274" i="2"/>
  <c r="BA274" i="2"/>
  <c r="AZ274" i="2"/>
  <c r="AY274" i="2"/>
  <c r="AX274" i="2"/>
  <c r="J274" i="1"/>
  <c r="AW274" i="2"/>
  <c r="I274" i="1"/>
  <c r="AV274" i="2"/>
  <c r="AU274" i="2"/>
  <c r="AT274" i="2"/>
  <c r="AS274" i="2"/>
  <c r="AR274" i="2"/>
  <c r="AQ274" i="2"/>
  <c r="AP274" i="2"/>
  <c r="AO274" i="2"/>
  <c r="AL274" i="2"/>
  <c r="AK274" i="2"/>
  <c r="BQ273" i="2"/>
  <c r="BP273" i="2"/>
  <c r="AB273" i="1"/>
  <c r="BO273" i="2"/>
  <c r="AA273" i="1"/>
  <c r="BN273" i="2"/>
  <c r="BM273" i="2"/>
  <c r="BL273" i="2"/>
  <c r="BK273" i="2"/>
  <c r="W273" i="1"/>
  <c r="BJ273" i="2"/>
  <c r="BI273" i="2"/>
  <c r="BH273" i="2"/>
  <c r="T273" i="1"/>
  <c r="BG273" i="2"/>
  <c r="BF273" i="2"/>
  <c r="BE273" i="2"/>
  <c r="BD273" i="2"/>
  <c r="BC273" i="2"/>
  <c r="BB273" i="2"/>
  <c r="BA273" i="2"/>
  <c r="AZ273" i="2"/>
  <c r="AY273" i="2"/>
  <c r="AX273" i="2"/>
  <c r="J273" i="1"/>
  <c r="AW273" i="2"/>
  <c r="I273" i="1"/>
  <c r="AV273" i="2"/>
  <c r="AU273" i="2"/>
  <c r="AT273" i="2"/>
  <c r="AS273" i="2"/>
  <c r="AR273" i="2"/>
  <c r="AQ273" i="2"/>
  <c r="AP273" i="2"/>
  <c r="AO273" i="2"/>
  <c r="AL273" i="2"/>
  <c r="AK273" i="2"/>
  <c r="BQ272" i="2"/>
  <c r="BP272" i="2"/>
  <c r="AB272" i="1"/>
  <c r="BO272" i="2"/>
  <c r="AA272" i="1"/>
  <c r="BN272" i="2"/>
  <c r="BM272" i="2"/>
  <c r="BL272" i="2"/>
  <c r="BK272" i="2"/>
  <c r="W272" i="1"/>
  <c r="BJ272" i="2"/>
  <c r="BI272" i="2"/>
  <c r="BH272" i="2"/>
  <c r="T272" i="1"/>
  <c r="BG272" i="2"/>
  <c r="BF272" i="2"/>
  <c r="BE272" i="2"/>
  <c r="BD272" i="2"/>
  <c r="BC272" i="2"/>
  <c r="BB272" i="2"/>
  <c r="BA272" i="2"/>
  <c r="AZ272" i="2"/>
  <c r="AY272" i="2"/>
  <c r="AX272" i="2"/>
  <c r="J272" i="1"/>
  <c r="AW272" i="2"/>
  <c r="I272" i="1"/>
  <c r="AV272" i="2"/>
  <c r="AU272" i="2"/>
  <c r="AT272" i="2"/>
  <c r="AS272" i="2"/>
  <c r="AR272" i="2"/>
  <c r="AQ272" i="2"/>
  <c r="AP272" i="2"/>
  <c r="AO272" i="2"/>
  <c r="AL272" i="2"/>
  <c r="AK272" i="2"/>
  <c r="BQ271" i="2"/>
  <c r="BP271" i="2"/>
  <c r="AB271" i="1"/>
  <c r="BO271" i="2"/>
  <c r="AA271" i="1"/>
  <c r="BN271" i="2"/>
  <c r="BM271" i="2"/>
  <c r="BL271" i="2"/>
  <c r="BK271" i="2"/>
  <c r="W271" i="1"/>
  <c r="BJ271" i="2"/>
  <c r="BI271" i="2"/>
  <c r="BH271" i="2"/>
  <c r="T271" i="1"/>
  <c r="BG271" i="2"/>
  <c r="BF271" i="2"/>
  <c r="BE271" i="2"/>
  <c r="BD271" i="2"/>
  <c r="BC271" i="2"/>
  <c r="BB271" i="2"/>
  <c r="BA271" i="2"/>
  <c r="AZ271" i="2"/>
  <c r="AY271" i="2"/>
  <c r="AX271" i="2"/>
  <c r="J271" i="1"/>
  <c r="AW271" i="2"/>
  <c r="I271" i="1"/>
  <c r="AV271" i="2"/>
  <c r="AU271" i="2"/>
  <c r="AT271" i="2"/>
  <c r="AS271" i="2"/>
  <c r="AR271" i="2"/>
  <c r="AQ271" i="2"/>
  <c r="AP271" i="2"/>
  <c r="AO271" i="2"/>
  <c r="AL271" i="2"/>
  <c r="AK271" i="2"/>
  <c r="BQ270" i="2"/>
  <c r="BP270" i="2"/>
  <c r="AB270" i="1"/>
  <c r="BO270" i="2"/>
  <c r="AA270" i="1"/>
  <c r="BN270" i="2"/>
  <c r="BM270" i="2"/>
  <c r="BL270" i="2"/>
  <c r="BK270" i="2"/>
  <c r="W270" i="1"/>
  <c r="BJ270" i="2"/>
  <c r="BI270" i="2"/>
  <c r="BH270" i="2"/>
  <c r="T270" i="1"/>
  <c r="BG270" i="2"/>
  <c r="BF270" i="2"/>
  <c r="BE270" i="2"/>
  <c r="BD270" i="2"/>
  <c r="BC270" i="2"/>
  <c r="BB270" i="2"/>
  <c r="BA270" i="2"/>
  <c r="AZ270" i="2"/>
  <c r="AY270" i="2"/>
  <c r="AX270" i="2"/>
  <c r="J270" i="1"/>
  <c r="AW270" i="2"/>
  <c r="I270" i="1"/>
  <c r="AV270" i="2"/>
  <c r="AU270" i="2"/>
  <c r="AT270" i="2"/>
  <c r="AS270" i="2"/>
  <c r="AR270" i="2"/>
  <c r="AQ270" i="2"/>
  <c r="AP270" i="2"/>
  <c r="AO270" i="2"/>
  <c r="AL270" i="2"/>
  <c r="AK270" i="2"/>
  <c r="BQ269" i="2"/>
  <c r="BP269" i="2"/>
  <c r="AB269" i="1"/>
  <c r="BO269" i="2"/>
  <c r="AA269" i="1"/>
  <c r="BN269" i="2"/>
  <c r="BM269" i="2"/>
  <c r="BL269" i="2"/>
  <c r="BK269" i="2"/>
  <c r="W269" i="1"/>
  <c r="BJ269" i="2"/>
  <c r="BI269" i="2"/>
  <c r="BH269" i="2"/>
  <c r="T269" i="1"/>
  <c r="BG269" i="2"/>
  <c r="BF269" i="2"/>
  <c r="BE269" i="2"/>
  <c r="BD269" i="2"/>
  <c r="BC269" i="2"/>
  <c r="BB269" i="2"/>
  <c r="BA269" i="2"/>
  <c r="AZ269" i="2"/>
  <c r="AY269" i="2"/>
  <c r="AX269" i="2"/>
  <c r="J269" i="1"/>
  <c r="AW269" i="2"/>
  <c r="I269" i="1"/>
  <c r="AV269" i="2"/>
  <c r="AU269" i="2"/>
  <c r="AT269" i="2"/>
  <c r="AS269" i="2"/>
  <c r="AR269" i="2"/>
  <c r="AQ269" i="2"/>
  <c r="AP269" i="2"/>
  <c r="AO269" i="2"/>
  <c r="AL269" i="2"/>
  <c r="AK269" i="2"/>
  <c r="BQ268" i="2"/>
  <c r="BP268" i="2"/>
  <c r="AB268" i="1"/>
  <c r="BO268" i="2"/>
  <c r="AA268" i="1"/>
  <c r="BN268" i="2"/>
  <c r="BM268" i="2"/>
  <c r="BL268" i="2"/>
  <c r="BK268" i="2"/>
  <c r="W268" i="1"/>
  <c r="BJ268" i="2"/>
  <c r="BI268" i="2"/>
  <c r="BH268" i="2"/>
  <c r="T268" i="1"/>
  <c r="BG268" i="2"/>
  <c r="BF268" i="2"/>
  <c r="BE268" i="2"/>
  <c r="BD268" i="2"/>
  <c r="BC268" i="2"/>
  <c r="BB268" i="2"/>
  <c r="BA268" i="2"/>
  <c r="AZ268" i="2"/>
  <c r="AY268" i="2"/>
  <c r="AX268" i="2"/>
  <c r="J268" i="1"/>
  <c r="AW268" i="2"/>
  <c r="I268" i="1"/>
  <c r="AV268" i="2"/>
  <c r="AU268" i="2"/>
  <c r="AT268" i="2"/>
  <c r="AS268" i="2"/>
  <c r="AR268" i="2"/>
  <c r="AQ268" i="2"/>
  <c r="AP268" i="2"/>
  <c r="AO268" i="2"/>
  <c r="AL268" i="2"/>
  <c r="AK268" i="2"/>
  <c r="BQ267" i="2"/>
  <c r="BP267" i="2"/>
  <c r="AB267" i="1"/>
  <c r="BO267" i="2"/>
  <c r="AA267" i="1"/>
  <c r="BN267" i="2"/>
  <c r="BM267" i="2"/>
  <c r="BL267" i="2"/>
  <c r="BK267" i="2"/>
  <c r="W267" i="1"/>
  <c r="BJ267" i="2"/>
  <c r="BI267" i="2"/>
  <c r="BH267" i="2"/>
  <c r="T267" i="1"/>
  <c r="BG267" i="2"/>
  <c r="BF267" i="2"/>
  <c r="BE267" i="2"/>
  <c r="BD267" i="2"/>
  <c r="BC267" i="2"/>
  <c r="BB267" i="2"/>
  <c r="BA267" i="2"/>
  <c r="AZ267" i="2"/>
  <c r="AY267" i="2"/>
  <c r="AX267" i="2"/>
  <c r="J267" i="1"/>
  <c r="AW267" i="2"/>
  <c r="I267" i="1"/>
  <c r="AV267" i="2"/>
  <c r="AU267" i="2"/>
  <c r="AT267" i="2"/>
  <c r="AS267" i="2"/>
  <c r="AR267" i="2"/>
  <c r="AQ267" i="2"/>
  <c r="AP267" i="2"/>
  <c r="AO267" i="2"/>
  <c r="AL267" i="2"/>
  <c r="AK267" i="2"/>
  <c r="BQ266" i="2"/>
  <c r="BP266" i="2"/>
  <c r="AB266" i="1"/>
  <c r="BO266" i="2"/>
  <c r="AA266" i="1"/>
  <c r="BN266" i="2"/>
  <c r="BM266" i="2"/>
  <c r="BL266" i="2"/>
  <c r="BK266" i="2"/>
  <c r="W266" i="1"/>
  <c r="BJ266" i="2"/>
  <c r="BI266" i="2"/>
  <c r="BH266" i="2"/>
  <c r="T266" i="1"/>
  <c r="BG266" i="2"/>
  <c r="BF266" i="2"/>
  <c r="BE266" i="2"/>
  <c r="BD266" i="2"/>
  <c r="BC266" i="2"/>
  <c r="BB266" i="2"/>
  <c r="BA266" i="2"/>
  <c r="AZ266" i="2"/>
  <c r="AY266" i="2"/>
  <c r="AX266" i="2"/>
  <c r="J266" i="1"/>
  <c r="AW266" i="2"/>
  <c r="I266" i="1"/>
  <c r="AV266" i="2"/>
  <c r="AU266" i="2"/>
  <c r="AT266" i="2"/>
  <c r="AS266" i="2"/>
  <c r="AR266" i="2"/>
  <c r="AQ266" i="2"/>
  <c r="AP266" i="2"/>
  <c r="AO266" i="2"/>
  <c r="AL266" i="2"/>
  <c r="AK266" i="2"/>
  <c r="BQ265" i="2"/>
  <c r="BP265" i="2"/>
  <c r="AB265" i="1"/>
  <c r="BO265" i="2"/>
  <c r="AA265" i="1"/>
  <c r="BN265" i="2"/>
  <c r="BM265" i="2"/>
  <c r="BL265" i="2"/>
  <c r="BK265" i="2"/>
  <c r="W265" i="1"/>
  <c r="BJ265" i="2"/>
  <c r="BI265" i="2"/>
  <c r="BH265" i="2"/>
  <c r="T265" i="1"/>
  <c r="BG265" i="2"/>
  <c r="BF265" i="2"/>
  <c r="BE265" i="2"/>
  <c r="BD265" i="2"/>
  <c r="BC265" i="2"/>
  <c r="BB265" i="2"/>
  <c r="BA265" i="2"/>
  <c r="AZ265" i="2"/>
  <c r="AY265" i="2"/>
  <c r="AX265" i="2"/>
  <c r="J265" i="1"/>
  <c r="AW265" i="2"/>
  <c r="I265" i="1"/>
  <c r="AV265" i="2"/>
  <c r="AU265" i="2"/>
  <c r="AT265" i="2"/>
  <c r="AS265" i="2"/>
  <c r="AR265" i="2"/>
  <c r="AQ265" i="2"/>
  <c r="AP265" i="2"/>
  <c r="AO265" i="2"/>
  <c r="AL265" i="2"/>
  <c r="AK265" i="2"/>
  <c r="BQ264" i="2"/>
  <c r="BP264" i="2"/>
  <c r="AB264" i="1"/>
  <c r="BO264" i="2"/>
  <c r="AA264" i="1"/>
  <c r="BN264" i="2"/>
  <c r="BM264" i="2"/>
  <c r="BL264" i="2"/>
  <c r="BK264" i="2"/>
  <c r="W264" i="1"/>
  <c r="BJ264" i="2"/>
  <c r="BI264" i="2"/>
  <c r="BH264" i="2"/>
  <c r="T264" i="1"/>
  <c r="BG264" i="2"/>
  <c r="BF264" i="2"/>
  <c r="BE264" i="2"/>
  <c r="BD264" i="2"/>
  <c r="BC264" i="2"/>
  <c r="BB264" i="2"/>
  <c r="BA264" i="2"/>
  <c r="AZ264" i="2"/>
  <c r="AY264" i="2"/>
  <c r="AX264" i="2"/>
  <c r="J264" i="1"/>
  <c r="AW264" i="2"/>
  <c r="I264" i="1"/>
  <c r="AV264" i="2"/>
  <c r="AU264" i="2"/>
  <c r="AT264" i="2"/>
  <c r="AS264" i="2"/>
  <c r="AR264" i="2"/>
  <c r="AQ264" i="2"/>
  <c r="AP264" i="2"/>
  <c r="AO264" i="2"/>
  <c r="AL264" i="2"/>
  <c r="AK264" i="2"/>
  <c r="BQ263" i="2"/>
  <c r="BP263" i="2"/>
  <c r="AB263" i="1"/>
  <c r="BO263" i="2"/>
  <c r="AA263" i="1"/>
  <c r="BN263" i="2"/>
  <c r="BM263" i="2"/>
  <c r="BL263" i="2"/>
  <c r="BK263" i="2"/>
  <c r="W263" i="1"/>
  <c r="BJ263" i="2"/>
  <c r="BI263" i="2"/>
  <c r="BH263" i="2"/>
  <c r="T263" i="1"/>
  <c r="BG263" i="2"/>
  <c r="BF263" i="2"/>
  <c r="BE263" i="2"/>
  <c r="BD263" i="2"/>
  <c r="BC263" i="2"/>
  <c r="BB263" i="2"/>
  <c r="BA263" i="2"/>
  <c r="AZ263" i="2"/>
  <c r="AY263" i="2"/>
  <c r="AX263" i="2"/>
  <c r="J263" i="1"/>
  <c r="AW263" i="2"/>
  <c r="I263" i="1"/>
  <c r="AV263" i="2"/>
  <c r="AU263" i="2"/>
  <c r="AT263" i="2"/>
  <c r="AS263" i="2"/>
  <c r="AR263" i="2"/>
  <c r="AQ263" i="2"/>
  <c r="AP263" i="2"/>
  <c r="AO263" i="2"/>
  <c r="AL263" i="2"/>
  <c r="AK263" i="2"/>
  <c r="BQ262" i="2"/>
  <c r="BP262" i="2"/>
  <c r="AB262" i="1"/>
  <c r="BO262" i="2"/>
  <c r="AA262" i="1"/>
  <c r="BN262" i="2"/>
  <c r="BM262" i="2"/>
  <c r="BL262" i="2"/>
  <c r="BK262" i="2"/>
  <c r="W262" i="1"/>
  <c r="BJ262" i="2"/>
  <c r="BI262" i="2"/>
  <c r="BH262" i="2"/>
  <c r="T262" i="1"/>
  <c r="BG262" i="2"/>
  <c r="BF262" i="2"/>
  <c r="BE262" i="2"/>
  <c r="BD262" i="2"/>
  <c r="BC262" i="2"/>
  <c r="BB262" i="2"/>
  <c r="BA262" i="2"/>
  <c r="AZ262" i="2"/>
  <c r="AY262" i="2"/>
  <c r="AX262" i="2"/>
  <c r="J262" i="1"/>
  <c r="AW262" i="2"/>
  <c r="I262" i="1"/>
  <c r="AV262" i="2"/>
  <c r="AU262" i="2"/>
  <c r="AT262" i="2"/>
  <c r="AS262" i="2"/>
  <c r="AR262" i="2"/>
  <c r="AQ262" i="2"/>
  <c r="AP262" i="2"/>
  <c r="AO262" i="2"/>
  <c r="AL262" i="2"/>
  <c r="AK262" i="2"/>
  <c r="BQ261" i="2"/>
  <c r="BP261" i="2"/>
  <c r="AB261" i="1"/>
  <c r="BO261" i="2"/>
  <c r="AA261" i="1"/>
  <c r="BN261" i="2"/>
  <c r="BM261" i="2"/>
  <c r="BL261" i="2"/>
  <c r="BK261" i="2"/>
  <c r="W261" i="1"/>
  <c r="BJ261" i="2"/>
  <c r="BI261" i="2"/>
  <c r="BH261" i="2"/>
  <c r="T261" i="1"/>
  <c r="BG261" i="2"/>
  <c r="BF261" i="2"/>
  <c r="BE261" i="2"/>
  <c r="BD261" i="2"/>
  <c r="BC261" i="2"/>
  <c r="BB261" i="2"/>
  <c r="BA261" i="2"/>
  <c r="AZ261" i="2"/>
  <c r="AY261" i="2"/>
  <c r="AX261" i="2"/>
  <c r="J261" i="1"/>
  <c r="AW261" i="2"/>
  <c r="I261" i="1"/>
  <c r="AV261" i="2"/>
  <c r="AU261" i="2"/>
  <c r="AT261" i="2"/>
  <c r="AS261" i="2"/>
  <c r="AR261" i="2"/>
  <c r="AQ261" i="2"/>
  <c r="AP261" i="2"/>
  <c r="AO261" i="2"/>
  <c r="AL261" i="2"/>
  <c r="AK261" i="2"/>
  <c r="BQ260" i="2"/>
  <c r="BP260" i="2"/>
  <c r="AB260" i="1"/>
  <c r="BO260" i="2"/>
  <c r="AA260" i="1"/>
  <c r="BN260" i="2"/>
  <c r="BM260" i="2"/>
  <c r="BL260" i="2"/>
  <c r="BK260" i="2"/>
  <c r="W260" i="1"/>
  <c r="BJ260" i="2"/>
  <c r="BI260" i="2"/>
  <c r="BH260" i="2"/>
  <c r="T260" i="1"/>
  <c r="BG260" i="2"/>
  <c r="BF260" i="2"/>
  <c r="BE260" i="2"/>
  <c r="BD260" i="2"/>
  <c r="BC260" i="2"/>
  <c r="BB260" i="2"/>
  <c r="BA260" i="2"/>
  <c r="AZ260" i="2"/>
  <c r="AY260" i="2"/>
  <c r="AX260" i="2"/>
  <c r="J260" i="1"/>
  <c r="AW260" i="2"/>
  <c r="I260" i="1"/>
  <c r="AV260" i="2"/>
  <c r="AU260" i="2"/>
  <c r="AT260" i="2"/>
  <c r="AS260" i="2"/>
  <c r="AR260" i="2"/>
  <c r="AQ260" i="2"/>
  <c r="AP260" i="2"/>
  <c r="AO260" i="2"/>
  <c r="AL260" i="2"/>
  <c r="AK260" i="2"/>
  <c r="BQ259" i="2"/>
  <c r="BP259" i="2"/>
  <c r="AB259" i="1"/>
  <c r="BO259" i="2"/>
  <c r="AA259" i="1"/>
  <c r="BN259" i="2"/>
  <c r="BM259" i="2"/>
  <c r="BL259" i="2"/>
  <c r="BK259" i="2"/>
  <c r="W259" i="1"/>
  <c r="BJ259" i="2"/>
  <c r="BI259" i="2"/>
  <c r="BH259" i="2"/>
  <c r="T259" i="1"/>
  <c r="BG259" i="2"/>
  <c r="BF259" i="2"/>
  <c r="BE259" i="2"/>
  <c r="BD259" i="2"/>
  <c r="BC259" i="2"/>
  <c r="BB259" i="2"/>
  <c r="BA259" i="2"/>
  <c r="AZ259" i="2"/>
  <c r="AY259" i="2"/>
  <c r="AX259" i="2"/>
  <c r="J259" i="1"/>
  <c r="AW259" i="2"/>
  <c r="I259" i="1"/>
  <c r="AV259" i="2"/>
  <c r="AU259" i="2"/>
  <c r="AT259" i="2"/>
  <c r="AS259" i="2"/>
  <c r="AR259" i="2"/>
  <c r="AQ259" i="2"/>
  <c r="AP259" i="2"/>
  <c r="AO259" i="2"/>
  <c r="AL259" i="2"/>
  <c r="AK259" i="2"/>
  <c r="BQ258" i="2"/>
  <c r="BP258" i="2"/>
  <c r="AB258" i="1"/>
  <c r="BO258" i="2"/>
  <c r="AA258" i="1"/>
  <c r="BN258" i="2"/>
  <c r="BM258" i="2"/>
  <c r="BL258" i="2"/>
  <c r="BK258" i="2"/>
  <c r="W258" i="1"/>
  <c r="BJ258" i="2"/>
  <c r="BI258" i="2"/>
  <c r="BH258" i="2"/>
  <c r="T258" i="1"/>
  <c r="BG258" i="2"/>
  <c r="BF258" i="2"/>
  <c r="BE258" i="2"/>
  <c r="BD258" i="2"/>
  <c r="BC258" i="2"/>
  <c r="BB258" i="2"/>
  <c r="BA258" i="2"/>
  <c r="AZ258" i="2"/>
  <c r="AY258" i="2"/>
  <c r="AX258" i="2"/>
  <c r="J258" i="1"/>
  <c r="AW258" i="2"/>
  <c r="I258" i="1"/>
  <c r="AV258" i="2"/>
  <c r="AU258" i="2"/>
  <c r="AT258" i="2"/>
  <c r="AS258" i="2"/>
  <c r="AR258" i="2"/>
  <c r="AQ258" i="2"/>
  <c r="AP258" i="2"/>
  <c r="AO258" i="2"/>
  <c r="AL258" i="2"/>
  <c r="AK258" i="2"/>
  <c r="BQ257" i="2"/>
  <c r="BP257" i="2"/>
  <c r="AB257" i="1"/>
  <c r="BO257" i="2"/>
  <c r="AA257" i="1"/>
  <c r="BN257" i="2"/>
  <c r="BM257" i="2"/>
  <c r="BL257" i="2"/>
  <c r="BK257" i="2"/>
  <c r="W257" i="1"/>
  <c r="BJ257" i="2"/>
  <c r="BI257" i="2"/>
  <c r="BH257" i="2"/>
  <c r="T257" i="1"/>
  <c r="BG257" i="2"/>
  <c r="BF257" i="2"/>
  <c r="BE257" i="2"/>
  <c r="BD257" i="2"/>
  <c r="BC257" i="2"/>
  <c r="BB257" i="2"/>
  <c r="BA257" i="2"/>
  <c r="AZ257" i="2"/>
  <c r="AY257" i="2"/>
  <c r="AX257" i="2"/>
  <c r="J257" i="1"/>
  <c r="AW257" i="2"/>
  <c r="I257" i="1"/>
  <c r="AV257" i="2"/>
  <c r="AU257" i="2"/>
  <c r="AT257" i="2"/>
  <c r="AS257" i="2"/>
  <c r="AR257" i="2"/>
  <c r="AQ257" i="2"/>
  <c r="AP257" i="2"/>
  <c r="AO257" i="2"/>
  <c r="AL257" i="2"/>
  <c r="AK257" i="2"/>
  <c r="BQ256" i="2"/>
  <c r="BP256" i="2"/>
  <c r="AB256" i="1"/>
  <c r="BO256" i="2"/>
  <c r="AA256" i="1"/>
  <c r="BN256" i="2"/>
  <c r="BM256" i="2"/>
  <c r="BL256" i="2"/>
  <c r="BK256" i="2"/>
  <c r="W256" i="1"/>
  <c r="BJ256" i="2"/>
  <c r="BI256" i="2"/>
  <c r="BH256" i="2"/>
  <c r="T256" i="1"/>
  <c r="BG256" i="2"/>
  <c r="BF256" i="2"/>
  <c r="BE256" i="2"/>
  <c r="BD256" i="2"/>
  <c r="BC256" i="2"/>
  <c r="BB256" i="2"/>
  <c r="BA256" i="2"/>
  <c r="AZ256" i="2"/>
  <c r="AY256" i="2"/>
  <c r="AX256" i="2"/>
  <c r="J256" i="1"/>
  <c r="AW256" i="2"/>
  <c r="I256" i="1"/>
  <c r="AV256" i="2"/>
  <c r="AU256" i="2"/>
  <c r="AT256" i="2"/>
  <c r="AS256" i="2"/>
  <c r="AR256" i="2"/>
  <c r="AQ256" i="2"/>
  <c r="AP256" i="2"/>
  <c r="AO256" i="2"/>
  <c r="AL256" i="2"/>
  <c r="AK256" i="2"/>
  <c r="BQ255" i="2"/>
  <c r="BP255" i="2"/>
  <c r="AB255" i="1"/>
  <c r="BO255" i="2"/>
  <c r="AA255" i="1"/>
  <c r="BN255" i="2"/>
  <c r="BM255" i="2"/>
  <c r="BL255" i="2"/>
  <c r="BK255" i="2"/>
  <c r="W255" i="1"/>
  <c r="BJ255" i="2"/>
  <c r="BI255" i="2"/>
  <c r="BH255" i="2"/>
  <c r="T255" i="1"/>
  <c r="BG255" i="2"/>
  <c r="BF255" i="2"/>
  <c r="BE255" i="2"/>
  <c r="BD255" i="2"/>
  <c r="BC255" i="2"/>
  <c r="BB255" i="2"/>
  <c r="BA255" i="2"/>
  <c r="AZ255" i="2"/>
  <c r="AY255" i="2"/>
  <c r="AX255" i="2"/>
  <c r="J255" i="1"/>
  <c r="AW255" i="2"/>
  <c r="I255" i="1"/>
  <c r="AV255" i="2"/>
  <c r="AU255" i="2"/>
  <c r="AT255" i="2"/>
  <c r="AS255" i="2"/>
  <c r="AR255" i="2"/>
  <c r="AQ255" i="2"/>
  <c r="AP255" i="2"/>
  <c r="AO255" i="2"/>
  <c r="AL255" i="2"/>
  <c r="AK255" i="2"/>
  <c r="BQ254" i="2"/>
  <c r="BP254" i="2"/>
  <c r="AB254" i="1"/>
  <c r="BO254" i="2"/>
  <c r="AA254" i="1"/>
  <c r="BN254" i="2"/>
  <c r="BM254" i="2"/>
  <c r="BL254" i="2"/>
  <c r="BK254" i="2"/>
  <c r="W254" i="1"/>
  <c r="BJ254" i="2"/>
  <c r="BI254" i="2"/>
  <c r="BH254" i="2"/>
  <c r="T254" i="1"/>
  <c r="BG254" i="2"/>
  <c r="BF254" i="2"/>
  <c r="BE254" i="2"/>
  <c r="BD254" i="2"/>
  <c r="BC254" i="2"/>
  <c r="BB254" i="2"/>
  <c r="BA254" i="2"/>
  <c r="AZ254" i="2"/>
  <c r="AY254" i="2"/>
  <c r="AX254" i="2"/>
  <c r="J254" i="1"/>
  <c r="AW254" i="2"/>
  <c r="I254" i="1"/>
  <c r="AV254" i="2"/>
  <c r="AU254" i="2"/>
  <c r="AT254" i="2"/>
  <c r="AS254" i="2"/>
  <c r="AR254" i="2"/>
  <c r="AQ254" i="2"/>
  <c r="AP254" i="2"/>
  <c r="AO254" i="2"/>
  <c r="AL254" i="2"/>
  <c r="AK254" i="2"/>
  <c r="BQ253" i="2"/>
  <c r="BP253" i="2"/>
  <c r="AB253" i="1"/>
  <c r="BO253" i="2"/>
  <c r="AA253" i="1"/>
  <c r="BN253" i="2"/>
  <c r="BM253" i="2"/>
  <c r="BL253" i="2"/>
  <c r="BK253" i="2"/>
  <c r="W253" i="1"/>
  <c r="BJ253" i="2"/>
  <c r="BI253" i="2"/>
  <c r="BH253" i="2"/>
  <c r="T253" i="1"/>
  <c r="BG253" i="2"/>
  <c r="BF253" i="2"/>
  <c r="BE253" i="2"/>
  <c r="BD253" i="2"/>
  <c r="BC253" i="2"/>
  <c r="BB253" i="2"/>
  <c r="BA253" i="2"/>
  <c r="AZ253" i="2"/>
  <c r="AY253" i="2"/>
  <c r="AX253" i="2"/>
  <c r="J253" i="1"/>
  <c r="AW253" i="2"/>
  <c r="I253" i="1"/>
  <c r="AV253" i="2"/>
  <c r="AU253" i="2"/>
  <c r="AT253" i="2"/>
  <c r="AS253" i="2"/>
  <c r="AR253" i="2"/>
  <c r="AQ253" i="2"/>
  <c r="AP253" i="2"/>
  <c r="AO253" i="2"/>
  <c r="AL253" i="2"/>
  <c r="AK253" i="2"/>
  <c r="BQ252" i="2"/>
  <c r="BP252" i="2"/>
  <c r="AB252" i="1"/>
  <c r="BO252" i="2"/>
  <c r="AA252" i="1"/>
  <c r="BN252" i="2"/>
  <c r="BM252" i="2"/>
  <c r="BL252" i="2"/>
  <c r="BK252" i="2"/>
  <c r="W252" i="1"/>
  <c r="BJ252" i="2"/>
  <c r="BI252" i="2"/>
  <c r="BH252" i="2"/>
  <c r="T252" i="1"/>
  <c r="BG252" i="2"/>
  <c r="BF252" i="2"/>
  <c r="BE252" i="2"/>
  <c r="BD252" i="2"/>
  <c r="BC252" i="2"/>
  <c r="BB252" i="2"/>
  <c r="BA252" i="2"/>
  <c r="AZ252" i="2"/>
  <c r="AY252" i="2"/>
  <c r="AX252" i="2"/>
  <c r="J252" i="1"/>
  <c r="AW252" i="2"/>
  <c r="I252" i="1"/>
  <c r="AV252" i="2"/>
  <c r="AU252" i="2"/>
  <c r="AT252" i="2"/>
  <c r="AS252" i="2"/>
  <c r="AR252" i="2"/>
  <c r="AQ252" i="2"/>
  <c r="AP252" i="2"/>
  <c r="AO252" i="2"/>
  <c r="AL252" i="2"/>
  <c r="AK252" i="2"/>
  <c r="BQ251" i="2"/>
  <c r="BP251" i="2"/>
  <c r="AB251" i="1"/>
  <c r="BO251" i="2"/>
  <c r="AA251" i="1"/>
  <c r="BN251" i="2"/>
  <c r="BM251" i="2"/>
  <c r="BL251" i="2"/>
  <c r="BK251" i="2"/>
  <c r="W251" i="1"/>
  <c r="BJ251" i="2"/>
  <c r="BI251" i="2"/>
  <c r="BH251" i="2"/>
  <c r="T251" i="1"/>
  <c r="BG251" i="2"/>
  <c r="BF251" i="2"/>
  <c r="BE251" i="2"/>
  <c r="BD251" i="2"/>
  <c r="BC251" i="2"/>
  <c r="BB251" i="2"/>
  <c r="BA251" i="2"/>
  <c r="AZ251" i="2"/>
  <c r="AY251" i="2"/>
  <c r="AX251" i="2"/>
  <c r="J251" i="1"/>
  <c r="AW251" i="2"/>
  <c r="I251" i="1"/>
  <c r="AV251" i="2"/>
  <c r="AU251" i="2"/>
  <c r="AT251" i="2"/>
  <c r="AS251" i="2"/>
  <c r="AR251" i="2"/>
  <c r="AQ251" i="2"/>
  <c r="AP251" i="2"/>
  <c r="AO251" i="2"/>
  <c r="AL251" i="2"/>
  <c r="AK251" i="2"/>
  <c r="BQ250" i="2"/>
  <c r="BP250" i="2"/>
  <c r="AB250" i="1"/>
  <c r="BO250" i="2"/>
  <c r="AA250" i="1"/>
  <c r="BN250" i="2"/>
  <c r="BM250" i="2"/>
  <c r="BL250" i="2"/>
  <c r="BK250" i="2"/>
  <c r="W250" i="1"/>
  <c r="BJ250" i="2"/>
  <c r="BI250" i="2"/>
  <c r="BH250" i="2"/>
  <c r="T250" i="1"/>
  <c r="BG250" i="2"/>
  <c r="BF250" i="2"/>
  <c r="BE250" i="2"/>
  <c r="BD250" i="2"/>
  <c r="BC250" i="2"/>
  <c r="BB250" i="2"/>
  <c r="BA250" i="2"/>
  <c r="AZ250" i="2"/>
  <c r="AY250" i="2"/>
  <c r="AX250" i="2"/>
  <c r="J250" i="1"/>
  <c r="AW250" i="2"/>
  <c r="I250" i="1"/>
  <c r="AV250" i="2"/>
  <c r="AU250" i="2"/>
  <c r="AT250" i="2"/>
  <c r="AS250" i="2"/>
  <c r="AR250" i="2"/>
  <c r="AQ250" i="2"/>
  <c r="AP250" i="2"/>
  <c r="AO250" i="2"/>
  <c r="AL250" i="2"/>
  <c r="AK250" i="2"/>
  <c r="BQ249" i="2"/>
  <c r="BP249" i="2"/>
  <c r="AB249" i="1"/>
  <c r="BO249" i="2"/>
  <c r="AA249" i="1"/>
  <c r="BN249" i="2"/>
  <c r="BM249" i="2"/>
  <c r="BL249" i="2"/>
  <c r="BK249" i="2"/>
  <c r="W249" i="1"/>
  <c r="BJ249" i="2"/>
  <c r="BI249" i="2"/>
  <c r="BH249" i="2"/>
  <c r="T249" i="1"/>
  <c r="BG249" i="2"/>
  <c r="BF249" i="2"/>
  <c r="BE249" i="2"/>
  <c r="BD249" i="2"/>
  <c r="BC249" i="2"/>
  <c r="BB249" i="2"/>
  <c r="BA249" i="2"/>
  <c r="AZ249" i="2"/>
  <c r="AY249" i="2"/>
  <c r="AX249" i="2"/>
  <c r="J249" i="1"/>
  <c r="AW249" i="2"/>
  <c r="I249" i="1"/>
  <c r="AV249" i="2"/>
  <c r="AU249" i="2"/>
  <c r="AT249" i="2"/>
  <c r="AS249" i="2"/>
  <c r="AR249" i="2"/>
  <c r="AQ249" i="2"/>
  <c r="AP249" i="2"/>
  <c r="AO249" i="2"/>
  <c r="AL249" i="2"/>
  <c r="AK249" i="2"/>
  <c r="BQ248" i="2"/>
  <c r="BP248" i="2"/>
  <c r="AB248" i="1"/>
  <c r="BO248" i="2"/>
  <c r="AA248" i="1"/>
  <c r="BN248" i="2"/>
  <c r="BM248" i="2"/>
  <c r="BL248" i="2"/>
  <c r="BK248" i="2"/>
  <c r="W248" i="1"/>
  <c r="BJ248" i="2"/>
  <c r="BI248" i="2"/>
  <c r="BH248" i="2"/>
  <c r="T248" i="1"/>
  <c r="BG248" i="2"/>
  <c r="BF248" i="2"/>
  <c r="BE248" i="2"/>
  <c r="BD248" i="2"/>
  <c r="BC248" i="2"/>
  <c r="BB248" i="2"/>
  <c r="BA248" i="2"/>
  <c r="AZ248" i="2"/>
  <c r="AY248" i="2"/>
  <c r="AX248" i="2"/>
  <c r="J248" i="1"/>
  <c r="AW248" i="2"/>
  <c r="I248" i="1"/>
  <c r="AV248" i="2"/>
  <c r="AU248" i="2"/>
  <c r="AT248" i="2"/>
  <c r="AS248" i="2"/>
  <c r="AR248" i="2"/>
  <c r="AQ248" i="2"/>
  <c r="AP248" i="2"/>
  <c r="AO248" i="2"/>
  <c r="AL248" i="2"/>
  <c r="AK248" i="2"/>
  <c r="BQ247" i="2"/>
  <c r="BP247" i="2"/>
  <c r="AB247" i="1"/>
  <c r="BO247" i="2"/>
  <c r="AA247" i="1"/>
  <c r="BN247" i="2"/>
  <c r="BM247" i="2"/>
  <c r="BL247" i="2"/>
  <c r="BK247" i="2"/>
  <c r="W247" i="1"/>
  <c r="BJ247" i="2"/>
  <c r="BI247" i="2"/>
  <c r="BH247" i="2"/>
  <c r="T247" i="1"/>
  <c r="BG247" i="2"/>
  <c r="BF247" i="2"/>
  <c r="BE247" i="2"/>
  <c r="BD247" i="2"/>
  <c r="BC247" i="2"/>
  <c r="BB247" i="2"/>
  <c r="BA247" i="2"/>
  <c r="AZ247" i="2"/>
  <c r="AY247" i="2"/>
  <c r="AX247" i="2"/>
  <c r="J247" i="1"/>
  <c r="AW247" i="2"/>
  <c r="I247" i="1"/>
  <c r="AV247" i="2"/>
  <c r="AU247" i="2"/>
  <c r="AT247" i="2"/>
  <c r="AS247" i="2"/>
  <c r="AR247" i="2"/>
  <c r="AQ247" i="2"/>
  <c r="AP247" i="2"/>
  <c r="AO247" i="2"/>
  <c r="AL247" i="2"/>
  <c r="AK247" i="2"/>
  <c r="BQ246" i="2"/>
  <c r="BP246" i="2"/>
  <c r="AB246" i="1"/>
  <c r="BO246" i="2"/>
  <c r="AA246" i="1"/>
  <c r="BN246" i="2"/>
  <c r="BM246" i="2"/>
  <c r="BL246" i="2"/>
  <c r="BK246" i="2"/>
  <c r="W246" i="1"/>
  <c r="BJ246" i="2"/>
  <c r="BI246" i="2"/>
  <c r="BH246" i="2"/>
  <c r="T246" i="1"/>
  <c r="BG246" i="2"/>
  <c r="BF246" i="2"/>
  <c r="BE246" i="2"/>
  <c r="BD246" i="2"/>
  <c r="BC246" i="2"/>
  <c r="BB246" i="2"/>
  <c r="BA246" i="2"/>
  <c r="AZ246" i="2"/>
  <c r="AY246" i="2"/>
  <c r="AX246" i="2"/>
  <c r="J246" i="1"/>
  <c r="AW246" i="2"/>
  <c r="I246" i="1"/>
  <c r="AV246" i="2"/>
  <c r="AU246" i="2"/>
  <c r="AT246" i="2"/>
  <c r="AS246" i="2"/>
  <c r="AR246" i="2"/>
  <c r="AQ246" i="2"/>
  <c r="AP246" i="2"/>
  <c r="AO246" i="2"/>
  <c r="AL246" i="2"/>
  <c r="AK246" i="2"/>
  <c r="BQ245" i="2"/>
  <c r="BP245" i="2"/>
  <c r="AB245" i="1"/>
  <c r="BO245" i="2"/>
  <c r="AA245" i="1"/>
  <c r="BN245" i="2"/>
  <c r="BM245" i="2"/>
  <c r="BL245" i="2"/>
  <c r="BK245" i="2"/>
  <c r="W245" i="1"/>
  <c r="BJ245" i="2"/>
  <c r="BI245" i="2"/>
  <c r="BH245" i="2"/>
  <c r="T245" i="1"/>
  <c r="BG245" i="2"/>
  <c r="BF245" i="2"/>
  <c r="BE245" i="2"/>
  <c r="BD245" i="2"/>
  <c r="BC245" i="2"/>
  <c r="BB245" i="2"/>
  <c r="BA245" i="2"/>
  <c r="AZ245" i="2"/>
  <c r="AY245" i="2"/>
  <c r="AX245" i="2"/>
  <c r="J245" i="1"/>
  <c r="AW245" i="2"/>
  <c r="I245" i="1"/>
  <c r="AV245" i="2"/>
  <c r="AU245" i="2"/>
  <c r="AT245" i="2"/>
  <c r="AS245" i="2"/>
  <c r="AR245" i="2"/>
  <c r="AQ245" i="2"/>
  <c r="AP245" i="2"/>
  <c r="AO245" i="2"/>
  <c r="AL245" i="2"/>
  <c r="AK245" i="2"/>
  <c r="BQ244" i="2"/>
  <c r="BP244" i="2"/>
  <c r="AB244" i="1"/>
  <c r="BO244" i="2"/>
  <c r="AA244" i="1"/>
  <c r="BN244" i="2"/>
  <c r="BM244" i="2"/>
  <c r="BL244" i="2"/>
  <c r="BK244" i="2"/>
  <c r="W244" i="1"/>
  <c r="BJ244" i="2"/>
  <c r="BI244" i="2"/>
  <c r="BH244" i="2"/>
  <c r="T244" i="1"/>
  <c r="BG244" i="2"/>
  <c r="BF244" i="2"/>
  <c r="BE244" i="2"/>
  <c r="BD244" i="2"/>
  <c r="BC244" i="2"/>
  <c r="BB244" i="2"/>
  <c r="BA244" i="2"/>
  <c r="AZ244" i="2"/>
  <c r="AY244" i="2"/>
  <c r="AX244" i="2"/>
  <c r="J244" i="1"/>
  <c r="AW244" i="2"/>
  <c r="I244" i="1"/>
  <c r="AV244" i="2"/>
  <c r="AU244" i="2"/>
  <c r="AT244" i="2"/>
  <c r="AS244" i="2"/>
  <c r="AR244" i="2"/>
  <c r="AQ244" i="2"/>
  <c r="AP244" i="2"/>
  <c r="AO244" i="2"/>
  <c r="AL244" i="2"/>
  <c r="AK244" i="2"/>
  <c r="BQ243" i="2"/>
  <c r="BP243" i="2"/>
  <c r="AB243" i="1"/>
  <c r="BO243" i="2"/>
  <c r="AA243" i="1"/>
  <c r="BN243" i="2"/>
  <c r="BM243" i="2"/>
  <c r="BL243" i="2"/>
  <c r="BK243" i="2"/>
  <c r="W243" i="1"/>
  <c r="BJ243" i="2"/>
  <c r="BI243" i="2"/>
  <c r="BH243" i="2"/>
  <c r="T243" i="1"/>
  <c r="BG243" i="2"/>
  <c r="BF243" i="2"/>
  <c r="BE243" i="2"/>
  <c r="BD243" i="2"/>
  <c r="BC243" i="2"/>
  <c r="BB243" i="2"/>
  <c r="BA243" i="2"/>
  <c r="AZ243" i="2"/>
  <c r="AY243" i="2"/>
  <c r="AX243" i="2"/>
  <c r="J243" i="1"/>
  <c r="AW243" i="2"/>
  <c r="I243" i="1"/>
  <c r="AV243" i="2"/>
  <c r="AU243" i="2"/>
  <c r="AT243" i="2"/>
  <c r="AS243" i="2"/>
  <c r="AR243" i="2"/>
  <c r="AQ243" i="2"/>
  <c r="AP243" i="2"/>
  <c r="AO243" i="2"/>
  <c r="AL243" i="2"/>
  <c r="AK243" i="2"/>
  <c r="BQ242" i="2"/>
  <c r="BP242" i="2"/>
  <c r="AB242" i="1"/>
  <c r="BO242" i="2"/>
  <c r="AA242" i="1"/>
  <c r="BN242" i="2"/>
  <c r="BM242" i="2"/>
  <c r="BL242" i="2"/>
  <c r="BK242" i="2"/>
  <c r="W242" i="1"/>
  <c r="BJ242" i="2"/>
  <c r="BI242" i="2"/>
  <c r="BH242" i="2"/>
  <c r="T242" i="1"/>
  <c r="BG242" i="2"/>
  <c r="BF242" i="2"/>
  <c r="BE242" i="2"/>
  <c r="BD242" i="2"/>
  <c r="BC242" i="2"/>
  <c r="BB242" i="2"/>
  <c r="BA242" i="2"/>
  <c r="AZ242" i="2"/>
  <c r="AY242" i="2"/>
  <c r="AX242" i="2"/>
  <c r="J242" i="1"/>
  <c r="AW242" i="2"/>
  <c r="I242" i="1"/>
  <c r="AV242" i="2"/>
  <c r="AU242" i="2"/>
  <c r="AT242" i="2"/>
  <c r="AS242" i="2"/>
  <c r="AR242" i="2"/>
  <c r="AQ242" i="2"/>
  <c r="AP242" i="2"/>
  <c r="AO242" i="2"/>
  <c r="AL242" i="2"/>
  <c r="AK242" i="2"/>
  <c r="BQ241" i="2"/>
  <c r="BP241" i="2"/>
  <c r="AB241" i="1"/>
  <c r="BO241" i="2"/>
  <c r="AA241" i="1"/>
  <c r="BN241" i="2"/>
  <c r="BM241" i="2"/>
  <c r="BL241" i="2"/>
  <c r="BK241" i="2"/>
  <c r="W241" i="1"/>
  <c r="BJ241" i="2"/>
  <c r="BI241" i="2"/>
  <c r="BH241" i="2"/>
  <c r="T241" i="1"/>
  <c r="BG241" i="2"/>
  <c r="BF241" i="2"/>
  <c r="BE241" i="2"/>
  <c r="BD241" i="2"/>
  <c r="BC241" i="2"/>
  <c r="BB241" i="2"/>
  <c r="BA241" i="2"/>
  <c r="AZ241" i="2"/>
  <c r="AY241" i="2"/>
  <c r="AX241" i="2"/>
  <c r="J241" i="1"/>
  <c r="AW241" i="2"/>
  <c r="I241" i="1"/>
  <c r="AV241" i="2"/>
  <c r="AU241" i="2"/>
  <c r="AT241" i="2"/>
  <c r="AS241" i="2"/>
  <c r="AR241" i="2"/>
  <c r="AQ241" i="2"/>
  <c r="AP241" i="2"/>
  <c r="AO241" i="2"/>
  <c r="AL241" i="2"/>
  <c r="AK241" i="2"/>
  <c r="BQ240" i="2"/>
  <c r="BP240" i="2"/>
  <c r="AB240" i="1"/>
  <c r="BO240" i="2"/>
  <c r="AA240" i="1"/>
  <c r="BN240" i="2"/>
  <c r="BM240" i="2"/>
  <c r="BL240" i="2"/>
  <c r="BK240" i="2"/>
  <c r="W240" i="1"/>
  <c r="BJ240" i="2"/>
  <c r="BI240" i="2"/>
  <c r="BH240" i="2"/>
  <c r="T240" i="1"/>
  <c r="BG240" i="2"/>
  <c r="BF240" i="2"/>
  <c r="BE240" i="2"/>
  <c r="BD240" i="2"/>
  <c r="BC240" i="2"/>
  <c r="BB240" i="2"/>
  <c r="BA240" i="2"/>
  <c r="AZ240" i="2"/>
  <c r="AY240" i="2"/>
  <c r="AX240" i="2"/>
  <c r="J240" i="1"/>
  <c r="AW240" i="2"/>
  <c r="I240" i="1"/>
  <c r="AV240" i="2"/>
  <c r="AU240" i="2"/>
  <c r="AT240" i="2"/>
  <c r="AS240" i="2"/>
  <c r="AR240" i="2"/>
  <c r="AQ240" i="2"/>
  <c r="AP240" i="2"/>
  <c r="AO240" i="2"/>
  <c r="AL240" i="2"/>
  <c r="AK240" i="2"/>
  <c r="BQ239" i="2"/>
  <c r="BP239" i="2"/>
  <c r="AB239" i="1"/>
  <c r="BO239" i="2"/>
  <c r="AA239" i="1"/>
  <c r="BN239" i="2"/>
  <c r="BM239" i="2"/>
  <c r="BL239" i="2"/>
  <c r="BK239" i="2"/>
  <c r="W239" i="1"/>
  <c r="BJ239" i="2"/>
  <c r="BI239" i="2"/>
  <c r="BH239" i="2"/>
  <c r="T239" i="1"/>
  <c r="BG239" i="2"/>
  <c r="BF239" i="2"/>
  <c r="BE239" i="2"/>
  <c r="BD239" i="2"/>
  <c r="BC239" i="2"/>
  <c r="BB239" i="2"/>
  <c r="BA239" i="2"/>
  <c r="AZ239" i="2"/>
  <c r="AY239" i="2"/>
  <c r="AX239" i="2"/>
  <c r="J239" i="1"/>
  <c r="AW239" i="2"/>
  <c r="I239" i="1"/>
  <c r="AV239" i="2"/>
  <c r="AU239" i="2"/>
  <c r="AT239" i="2"/>
  <c r="AS239" i="2"/>
  <c r="AR239" i="2"/>
  <c r="AQ239" i="2"/>
  <c r="AP239" i="2"/>
  <c r="AO239" i="2"/>
  <c r="AL239" i="2"/>
  <c r="AK239" i="2"/>
  <c r="BQ238" i="2"/>
  <c r="BP238" i="2"/>
  <c r="AB238" i="1"/>
  <c r="BO238" i="2"/>
  <c r="AA238" i="1"/>
  <c r="BN238" i="2"/>
  <c r="BM238" i="2"/>
  <c r="BL238" i="2"/>
  <c r="BK238" i="2"/>
  <c r="W238" i="1"/>
  <c r="BJ238" i="2"/>
  <c r="BI238" i="2"/>
  <c r="BH238" i="2"/>
  <c r="T238" i="1"/>
  <c r="BG238" i="2"/>
  <c r="BF238" i="2"/>
  <c r="BE238" i="2"/>
  <c r="BD238" i="2"/>
  <c r="BC238" i="2"/>
  <c r="BB238" i="2"/>
  <c r="BA238" i="2"/>
  <c r="AZ238" i="2"/>
  <c r="AY238" i="2"/>
  <c r="AX238" i="2"/>
  <c r="J238" i="1"/>
  <c r="AW238" i="2"/>
  <c r="I238" i="1"/>
  <c r="AV238" i="2"/>
  <c r="AU238" i="2"/>
  <c r="AT238" i="2"/>
  <c r="AS238" i="2"/>
  <c r="AR238" i="2"/>
  <c r="AQ238" i="2"/>
  <c r="AP238" i="2"/>
  <c r="AO238" i="2"/>
  <c r="AL238" i="2"/>
  <c r="AK238" i="2"/>
  <c r="BQ237" i="2"/>
  <c r="BP237" i="2"/>
  <c r="AB237" i="1"/>
  <c r="BO237" i="2"/>
  <c r="AA237" i="1"/>
  <c r="BN237" i="2"/>
  <c r="BM237" i="2"/>
  <c r="BL237" i="2"/>
  <c r="BK237" i="2"/>
  <c r="W237" i="1"/>
  <c r="BJ237" i="2"/>
  <c r="BI237" i="2"/>
  <c r="BH237" i="2"/>
  <c r="T237" i="1"/>
  <c r="BG237" i="2"/>
  <c r="BF237" i="2"/>
  <c r="BE237" i="2"/>
  <c r="BD237" i="2"/>
  <c r="BC237" i="2"/>
  <c r="BB237" i="2"/>
  <c r="BA237" i="2"/>
  <c r="AZ237" i="2"/>
  <c r="AY237" i="2"/>
  <c r="AX237" i="2"/>
  <c r="J237" i="1"/>
  <c r="AW237" i="2"/>
  <c r="I237" i="1"/>
  <c r="AV237" i="2"/>
  <c r="AU237" i="2"/>
  <c r="AT237" i="2"/>
  <c r="AS237" i="2"/>
  <c r="AR237" i="2"/>
  <c r="AQ237" i="2"/>
  <c r="AP237" i="2"/>
  <c r="AO237" i="2"/>
  <c r="AL237" i="2"/>
  <c r="AK237" i="2"/>
  <c r="BQ236" i="2"/>
  <c r="BP236" i="2"/>
  <c r="AB236" i="1"/>
  <c r="BO236" i="2"/>
  <c r="AA236" i="1"/>
  <c r="BN236" i="2"/>
  <c r="BM236" i="2"/>
  <c r="BL236" i="2"/>
  <c r="BK236" i="2"/>
  <c r="W236" i="1"/>
  <c r="BJ236" i="2"/>
  <c r="BI236" i="2"/>
  <c r="BH236" i="2"/>
  <c r="T236" i="1"/>
  <c r="BG236" i="2"/>
  <c r="BF236" i="2"/>
  <c r="BE236" i="2"/>
  <c r="BD236" i="2"/>
  <c r="BC236" i="2"/>
  <c r="BB236" i="2"/>
  <c r="BA236" i="2"/>
  <c r="AZ236" i="2"/>
  <c r="AY236" i="2"/>
  <c r="AX236" i="2"/>
  <c r="J236" i="1"/>
  <c r="AW236" i="2"/>
  <c r="I236" i="1"/>
  <c r="AV236" i="2"/>
  <c r="AU236" i="2"/>
  <c r="AT236" i="2"/>
  <c r="AS236" i="2"/>
  <c r="AR236" i="2"/>
  <c r="AQ236" i="2"/>
  <c r="AP236" i="2"/>
  <c r="AO236" i="2"/>
  <c r="AL236" i="2"/>
  <c r="AK236" i="2"/>
  <c r="BQ235" i="2"/>
  <c r="BP235" i="2"/>
  <c r="AB235" i="1"/>
  <c r="BO235" i="2"/>
  <c r="AA235" i="1"/>
  <c r="BN235" i="2"/>
  <c r="BM235" i="2"/>
  <c r="BL235" i="2"/>
  <c r="BK235" i="2"/>
  <c r="W235" i="1"/>
  <c r="BJ235" i="2"/>
  <c r="BI235" i="2"/>
  <c r="BH235" i="2"/>
  <c r="T235" i="1"/>
  <c r="BG235" i="2"/>
  <c r="BF235" i="2"/>
  <c r="BE235" i="2"/>
  <c r="BD235" i="2"/>
  <c r="BC235" i="2"/>
  <c r="BB235" i="2"/>
  <c r="BA235" i="2"/>
  <c r="AZ235" i="2"/>
  <c r="AY235" i="2"/>
  <c r="AX235" i="2"/>
  <c r="J235" i="1"/>
  <c r="AW235" i="2"/>
  <c r="I235" i="1"/>
  <c r="AV235" i="2"/>
  <c r="AU235" i="2"/>
  <c r="AT235" i="2"/>
  <c r="AS235" i="2"/>
  <c r="AR235" i="2"/>
  <c r="AQ235" i="2"/>
  <c r="AP235" i="2"/>
  <c r="AO235" i="2"/>
  <c r="AL235" i="2"/>
  <c r="AK235" i="2"/>
  <c r="BQ234" i="2"/>
  <c r="BP234" i="2"/>
  <c r="AB234" i="1"/>
  <c r="BO234" i="2"/>
  <c r="AA234" i="1"/>
  <c r="BN234" i="2"/>
  <c r="BM234" i="2"/>
  <c r="BL234" i="2"/>
  <c r="BK234" i="2"/>
  <c r="W234" i="1"/>
  <c r="BJ234" i="2"/>
  <c r="BI234" i="2"/>
  <c r="BH234" i="2"/>
  <c r="T234" i="1"/>
  <c r="BG234" i="2"/>
  <c r="BF234" i="2"/>
  <c r="BE234" i="2"/>
  <c r="BD234" i="2"/>
  <c r="BC234" i="2"/>
  <c r="BB234" i="2"/>
  <c r="BA234" i="2"/>
  <c r="AZ234" i="2"/>
  <c r="AY234" i="2"/>
  <c r="AX234" i="2"/>
  <c r="J234" i="1"/>
  <c r="AW234" i="2"/>
  <c r="I234" i="1"/>
  <c r="AV234" i="2"/>
  <c r="AU234" i="2"/>
  <c r="AT234" i="2"/>
  <c r="AS234" i="2"/>
  <c r="AR234" i="2"/>
  <c r="AQ234" i="2"/>
  <c r="AP234" i="2"/>
  <c r="AO234" i="2"/>
  <c r="AL234" i="2"/>
  <c r="AK234" i="2"/>
  <c r="BQ233" i="2"/>
  <c r="BP233" i="2"/>
  <c r="AB233" i="1"/>
  <c r="BO233" i="2"/>
  <c r="AA233" i="1"/>
  <c r="BN233" i="2"/>
  <c r="BM233" i="2"/>
  <c r="BL233" i="2"/>
  <c r="BK233" i="2"/>
  <c r="W233" i="1"/>
  <c r="BJ233" i="2"/>
  <c r="BI233" i="2"/>
  <c r="BH233" i="2"/>
  <c r="T233" i="1"/>
  <c r="BG233" i="2"/>
  <c r="BF233" i="2"/>
  <c r="BE233" i="2"/>
  <c r="BD233" i="2"/>
  <c r="BC233" i="2"/>
  <c r="BB233" i="2"/>
  <c r="BA233" i="2"/>
  <c r="AZ233" i="2"/>
  <c r="AY233" i="2"/>
  <c r="AX233" i="2"/>
  <c r="J233" i="1"/>
  <c r="AW233" i="2"/>
  <c r="I233" i="1"/>
  <c r="AV233" i="2"/>
  <c r="AU233" i="2"/>
  <c r="AT233" i="2"/>
  <c r="AS233" i="2"/>
  <c r="AR233" i="2"/>
  <c r="AQ233" i="2"/>
  <c r="AP233" i="2"/>
  <c r="AO233" i="2"/>
  <c r="AL233" i="2"/>
  <c r="AK233" i="2"/>
  <c r="BQ232" i="2"/>
  <c r="BP232" i="2"/>
  <c r="AB232" i="1"/>
  <c r="BO232" i="2"/>
  <c r="AA232" i="1"/>
  <c r="BN232" i="2"/>
  <c r="BM232" i="2"/>
  <c r="BL232" i="2"/>
  <c r="BK232" i="2"/>
  <c r="W232" i="1"/>
  <c r="BJ232" i="2"/>
  <c r="BI232" i="2"/>
  <c r="BH232" i="2"/>
  <c r="T232" i="1"/>
  <c r="BG232" i="2"/>
  <c r="BF232" i="2"/>
  <c r="BE232" i="2"/>
  <c r="BD232" i="2"/>
  <c r="BC232" i="2"/>
  <c r="BB232" i="2"/>
  <c r="BA232" i="2"/>
  <c r="AZ232" i="2"/>
  <c r="AY232" i="2"/>
  <c r="AX232" i="2"/>
  <c r="J232" i="1"/>
  <c r="AW232" i="2"/>
  <c r="I232" i="1"/>
  <c r="AV232" i="2"/>
  <c r="AU232" i="2"/>
  <c r="AT232" i="2"/>
  <c r="AS232" i="2"/>
  <c r="AR232" i="2"/>
  <c r="AQ232" i="2"/>
  <c r="AP232" i="2"/>
  <c r="AO232" i="2"/>
  <c r="AL232" i="2"/>
  <c r="AK232" i="2"/>
  <c r="BQ231" i="2"/>
  <c r="BP231" i="2"/>
  <c r="AB231" i="1"/>
  <c r="BO231" i="2"/>
  <c r="AA231" i="1"/>
  <c r="BN231" i="2"/>
  <c r="BM231" i="2"/>
  <c r="BL231" i="2"/>
  <c r="BK231" i="2"/>
  <c r="W231" i="1"/>
  <c r="BJ231" i="2"/>
  <c r="BI231" i="2"/>
  <c r="BH231" i="2"/>
  <c r="T231" i="1"/>
  <c r="BG231" i="2"/>
  <c r="BF231" i="2"/>
  <c r="BE231" i="2"/>
  <c r="BD231" i="2"/>
  <c r="BC231" i="2"/>
  <c r="BB231" i="2"/>
  <c r="BA231" i="2"/>
  <c r="AZ231" i="2"/>
  <c r="AY231" i="2"/>
  <c r="AX231" i="2"/>
  <c r="J231" i="1"/>
  <c r="AW231" i="2"/>
  <c r="I231" i="1"/>
  <c r="AV231" i="2"/>
  <c r="AU231" i="2"/>
  <c r="AT231" i="2"/>
  <c r="AS231" i="2"/>
  <c r="AR231" i="2"/>
  <c r="AQ231" i="2"/>
  <c r="AP231" i="2"/>
  <c r="AO231" i="2"/>
  <c r="AL231" i="2"/>
  <c r="AK231" i="2"/>
  <c r="BQ230" i="2"/>
  <c r="BP230" i="2"/>
  <c r="AB230" i="1"/>
  <c r="BO230" i="2"/>
  <c r="AA230" i="1"/>
  <c r="BN230" i="2"/>
  <c r="BM230" i="2"/>
  <c r="BL230" i="2"/>
  <c r="BK230" i="2"/>
  <c r="W230" i="1"/>
  <c r="BJ230" i="2"/>
  <c r="BI230" i="2"/>
  <c r="BH230" i="2"/>
  <c r="T230" i="1"/>
  <c r="BG230" i="2"/>
  <c r="BF230" i="2"/>
  <c r="BE230" i="2"/>
  <c r="BD230" i="2"/>
  <c r="BC230" i="2"/>
  <c r="BB230" i="2"/>
  <c r="BA230" i="2"/>
  <c r="AZ230" i="2"/>
  <c r="AY230" i="2"/>
  <c r="AX230" i="2"/>
  <c r="J230" i="1"/>
  <c r="AW230" i="2"/>
  <c r="I230" i="1"/>
  <c r="AV230" i="2"/>
  <c r="AU230" i="2"/>
  <c r="AT230" i="2"/>
  <c r="AS230" i="2"/>
  <c r="AR230" i="2"/>
  <c r="AQ230" i="2"/>
  <c r="AP230" i="2"/>
  <c r="AO230" i="2"/>
  <c r="AL230" i="2"/>
  <c r="AK230" i="2"/>
  <c r="BQ229" i="2"/>
  <c r="BP229" i="2"/>
  <c r="AB229" i="1"/>
  <c r="BO229" i="2"/>
  <c r="AA229" i="1"/>
  <c r="BN229" i="2"/>
  <c r="BM229" i="2"/>
  <c r="BL229" i="2"/>
  <c r="BK229" i="2"/>
  <c r="W229" i="1"/>
  <c r="BJ229" i="2"/>
  <c r="BI229" i="2"/>
  <c r="BH229" i="2"/>
  <c r="T229" i="1"/>
  <c r="BG229" i="2"/>
  <c r="BF229" i="2"/>
  <c r="BE229" i="2"/>
  <c r="BD229" i="2"/>
  <c r="BC229" i="2"/>
  <c r="BB229" i="2"/>
  <c r="BA229" i="2"/>
  <c r="AZ229" i="2"/>
  <c r="AY229" i="2"/>
  <c r="AX229" i="2"/>
  <c r="J229" i="1"/>
  <c r="AW229" i="2"/>
  <c r="I229" i="1"/>
  <c r="AV229" i="2"/>
  <c r="AU229" i="2"/>
  <c r="AT229" i="2"/>
  <c r="AS229" i="2"/>
  <c r="AR229" i="2"/>
  <c r="AQ229" i="2"/>
  <c r="AP229" i="2"/>
  <c r="AO229" i="2"/>
  <c r="AL229" i="2"/>
  <c r="AK229" i="2"/>
  <c r="BQ228" i="2"/>
  <c r="BP228" i="2"/>
  <c r="AB228" i="1"/>
  <c r="BO228" i="2"/>
  <c r="AA228" i="1"/>
  <c r="BN228" i="2"/>
  <c r="BM228" i="2"/>
  <c r="BL228" i="2"/>
  <c r="BK228" i="2"/>
  <c r="W228" i="1"/>
  <c r="BJ228" i="2"/>
  <c r="BI228" i="2"/>
  <c r="BH228" i="2"/>
  <c r="T228" i="1"/>
  <c r="BG228" i="2"/>
  <c r="BF228" i="2"/>
  <c r="BE228" i="2"/>
  <c r="BD228" i="2"/>
  <c r="BC228" i="2"/>
  <c r="BB228" i="2"/>
  <c r="BA228" i="2"/>
  <c r="AZ228" i="2"/>
  <c r="AY228" i="2"/>
  <c r="AX228" i="2"/>
  <c r="J228" i="1"/>
  <c r="AW228" i="2"/>
  <c r="I228" i="1"/>
  <c r="AV228" i="2"/>
  <c r="AU228" i="2"/>
  <c r="AT228" i="2"/>
  <c r="AS228" i="2"/>
  <c r="AR228" i="2"/>
  <c r="AQ228" i="2"/>
  <c r="AP228" i="2"/>
  <c r="AO228" i="2"/>
  <c r="AL228" i="2"/>
  <c r="AK228" i="2"/>
  <c r="BQ227" i="2"/>
  <c r="BP227" i="2"/>
  <c r="AB227" i="1"/>
  <c r="BO227" i="2"/>
  <c r="AA227" i="1"/>
  <c r="BN227" i="2"/>
  <c r="BM227" i="2"/>
  <c r="BL227" i="2"/>
  <c r="BK227" i="2"/>
  <c r="W227" i="1"/>
  <c r="BJ227" i="2"/>
  <c r="BI227" i="2"/>
  <c r="BH227" i="2"/>
  <c r="T227" i="1"/>
  <c r="BG227" i="2"/>
  <c r="BF227" i="2"/>
  <c r="BE227" i="2"/>
  <c r="BD227" i="2"/>
  <c r="BC227" i="2"/>
  <c r="BB227" i="2"/>
  <c r="BA227" i="2"/>
  <c r="AZ227" i="2"/>
  <c r="AY227" i="2"/>
  <c r="AX227" i="2"/>
  <c r="J227" i="1"/>
  <c r="AW227" i="2"/>
  <c r="I227" i="1"/>
  <c r="AV227" i="2"/>
  <c r="AU227" i="2"/>
  <c r="AT227" i="2"/>
  <c r="AS227" i="2"/>
  <c r="AR227" i="2"/>
  <c r="AQ227" i="2"/>
  <c r="AP227" i="2"/>
  <c r="AO227" i="2"/>
  <c r="AL227" i="2"/>
  <c r="AK227" i="2"/>
  <c r="BQ226" i="2"/>
  <c r="BP226" i="2"/>
  <c r="AB226" i="1"/>
  <c r="BO226" i="2"/>
  <c r="AA226" i="1"/>
  <c r="BN226" i="2"/>
  <c r="BM226" i="2"/>
  <c r="BL226" i="2"/>
  <c r="BK226" i="2"/>
  <c r="W226" i="1"/>
  <c r="BJ226" i="2"/>
  <c r="BI226" i="2"/>
  <c r="BH226" i="2"/>
  <c r="T226" i="1"/>
  <c r="BG226" i="2"/>
  <c r="BF226" i="2"/>
  <c r="BE226" i="2"/>
  <c r="BD226" i="2"/>
  <c r="BC226" i="2"/>
  <c r="BB226" i="2"/>
  <c r="BA226" i="2"/>
  <c r="AZ226" i="2"/>
  <c r="AY226" i="2"/>
  <c r="AX226" i="2"/>
  <c r="J226" i="1"/>
  <c r="AW226" i="2"/>
  <c r="I226" i="1"/>
  <c r="AV226" i="2"/>
  <c r="AU226" i="2"/>
  <c r="AT226" i="2"/>
  <c r="AS226" i="2"/>
  <c r="AR226" i="2"/>
  <c r="AQ226" i="2"/>
  <c r="AP226" i="2"/>
  <c r="AO226" i="2"/>
  <c r="AL226" i="2"/>
  <c r="AK226" i="2"/>
  <c r="BQ225" i="2"/>
  <c r="BP225" i="2"/>
  <c r="AB225" i="1"/>
  <c r="BO225" i="2"/>
  <c r="AA225" i="1"/>
  <c r="BN225" i="2"/>
  <c r="BM225" i="2"/>
  <c r="BL225" i="2"/>
  <c r="BK225" i="2"/>
  <c r="W225" i="1"/>
  <c r="BJ225" i="2"/>
  <c r="BI225" i="2"/>
  <c r="BH225" i="2"/>
  <c r="T225" i="1"/>
  <c r="BG225" i="2"/>
  <c r="BF225" i="2"/>
  <c r="BE225" i="2"/>
  <c r="BD225" i="2"/>
  <c r="BC225" i="2"/>
  <c r="BB225" i="2"/>
  <c r="BA225" i="2"/>
  <c r="AZ225" i="2"/>
  <c r="AY225" i="2"/>
  <c r="AX225" i="2"/>
  <c r="J225" i="1"/>
  <c r="AW225" i="2"/>
  <c r="I225" i="1"/>
  <c r="AV225" i="2"/>
  <c r="AU225" i="2"/>
  <c r="AT225" i="2"/>
  <c r="AS225" i="2"/>
  <c r="AR225" i="2"/>
  <c r="AQ225" i="2"/>
  <c r="AP225" i="2"/>
  <c r="AO225" i="2"/>
  <c r="AL225" i="2"/>
  <c r="AK225" i="2"/>
  <c r="BQ224" i="2"/>
  <c r="BP224" i="2"/>
  <c r="AB224" i="1"/>
  <c r="BO224" i="2"/>
  <c r="AA224" i="1"/>
  <c r="BN224" i="2"/>
  <c r="BM224" i="2"/>
  <c r="BL224" i="2"/>
  <c r="BK224" i="2"/>
  <c r="W224" i="1"/>
  <c r="BJ224" i="2"/>
  <c r="BI224" i="2"/>
  <c r="BH224" i="2"/>
  <c r="T224" i="1"/>
  <c r="BG224" i="2"/>
  <c r="BF224" i="2"/>
  <c r="BE224" i="2"/>
  <c r="BD224" i="2"/>
  <c r="BC224" i="2"/>
  <c r="BB224" i="2"/>
  <c r="BA224" i="2"/>
  <c r="AZ224" i="2"/>
  <c r="AY224" i="2"/>
  <c r="AX224" i="2"/>
  <c r="J224" i="1"/>
  <c r="AW224" i="2"/>
  <c r="I224" i="1"/>
  <c r="AV224" i="2"/>
  <c r="AU224" i="2"/>
  <c r="AT224" i="2"/>
  <c r="AS224" i="2"/>
  <c r="AR224" i="2"/>
  <c r="AQ224" i="2"/>
  <c r="AP224" i="2"/>
  <c r="AO224" i="2"/>
  <c r="AL224" i="2"/>
  <c r="AK224" i="2"/>
  <c r="BQ223" i="2"/>
  <c r="BP223" i="2"/>
  <c r="AB223" i="1"/>
  <c r="BO223" i="2"/>
  <c r="AA223" i="1"/>
  <c r="BN223" i="2"/>
  <c r="BM223" i="2"/>
  <c r="BL223" i="2"/>
  <c r="BK223" i="2"/>
  <c r="W223" i="1"/>
  <c r="BJ223" i="2"/>
  <c r="BI223" i="2"/>
  <c r="BH223" i="2"/>
  <c r="T223" i="1"/>
  <c r="BG223" i="2"/>
  <c r="BF223" i="2"/>
  <c r="BE223" i="2"/>
  <c r="BD223" i="2"/>
  <c r="BC223" i="2"/>
  <c r="BB223" i="2"/>
  <c r="BA223" i="2"/>
  <c r="AZ223" i="2"/>
  <c r="AY223" i="2"/>
  <c r="AX223" i="2"/>
  <c r="J223" i="1"/>
  <c r="AW223" i="2"/>
  <c r="I223" i="1"/>
  <c r="AV223" i="2"/>
  <c r="AU223" i="2"/>
  <c r="AT223" i="2"/>
  <c r="AS223" i="2"/>
  <c r="AR223" i="2"/>
  <c r="AQ223" i="2"/>
  <c r="AP223" i="2"/>
  <c r="AO223" i="2"/>
  <c r="AL223" i="2"/>
  <c r="AK223" i="2"/>
  <c r="BQ222" i="2"/>
  <c r="BP222" i="2"/>
  <c r="AB222" i="1"/>
  <c r="BO222" i="2"/>
  <c r="AA222" i="1"/>
  <c r="BN222" i="2"/>
  <c r="BM222" i="2"/>
  <c r="BL222" i="2"/>
  <c r="BK222" i="2"/>
  <c r="W222" i="1"/>
  <c r="BJ222" i="2"/>
  <c r="BI222" i="2"/>
  <c r="BH222" i="2"/>
  <c r="T222" i="1"/>
  <c r="BG222" i="2"/>
  <c r="BF222" i="2"/>
  <c r="BE222" i="2"/>
  <c r="BD222" i="2"/>
  <c r="BC222" i="2"/>
  <c r="BB222" i="2"/>
  <c r="BA222" i="2"/>
  <c r="AZ222" i="2"/>
  <c r="AY222" i="2"/>
  <c r="AX222" i="2"/>
  <c r="J222" i="1"/>
  <c r="AW222" i="2"/>
  <c r="I222" i="1"/>
  <c r="AV222" i="2"/>
  <c r="AU222" i="2"/>
  <c r="AT222" i="2"/>
  <c r="AS222" i="2"/>
  <c r="AR222" i="2"/>
  <c r="AQ222" i="2"/>
  <c r="AP222" i="2"/>
  <c r="AO222" i="2"/>
  <c r="AL222" i="2"/>
  <c r="AK222" i="2"/>
  <c r="BQ221" i="2"/>
  <c r="BP221" i="2"/>
  <c r="AB221" i="1"/>
  <c r="BO221" i="2"/>
  <c r="AA221" i="1"/>
  <c r="BN221" i="2"/>
  <c r="BM221" i="2"/>
  <c r="BL221" i="2"/>
  <c r="BK221" i="2"/>
  <c r="W221" i="1"/>
  <c r="BJ221" i="2"/>
  <c r="BI221" i="2"/>
  <c r="BH221" i="2"/>
  <c r="T221" i="1"/>
  <c r="BG221" i="2"/>
  <c r="BF221" i="2"/>
  <c r="BE221" i="2"/>
  <c r="BD221" i="2"/>
  <c r="BC221" i="2"/>
  <c r="BB221" i="2"/>
  <c r="BA221" i="2"/>
  <c r="AZ221" i="2"/>
  <c r="AY221" i="2"/>
  <c r="AX221" i="2"/>
  <c r="J221" i="1"/>
  <c r="AW221" i="2"/>
  <c r="I221" i="1"/>
  <c r="AV221" i="2"/>
  <c r="AU221" i="2"/>
  <c r="AT221" i="2"/>
  <c r="AS221" i="2"/>
  <c r="AR221" i="2"/>
  <c r="AQ221" i="2"/>
  <c r="AP221" i="2"/>
  <c r="AO221" i="2"/>
  <c r="AL221" i="2"/>
  <c r="AK221" i="2"/>
  <c r="BQ220" i="2"/>
  <c r="BP220" i="2"/>
  <c r="AB220" i="1"/>
  <c r="BO220" i="2"/>
  <c r="AA220" i="1"/>
  <c r="BN220" i="2"/>
  <c r="BM220" i="2"/>
  <c r="BL220" i="2"/>
  <c r="BK220" i="2"/>
  <c r="W220" i="1"/>
  <c r="BJ220" i="2"/>
  <c r="BI220" i="2"/>
  <c r="BH220" i="2"/>
  <c r="T220" i="1"/>
  <c r="BG220" i="2"/>
  <c r="BF220" i="2"/>
  <c r="BE220" i="2"/>
  <c r="BD220" i="2"/>
  <c r="BC220" i="2"/>
  <c r="BB220" i="2"/>
  <c r="BA220" i="2"/>
  <c r="AZ220" i="2"/>
  <c r="AY220" i="2"/>
  <c r="AX220" i="2"/>
  <c r="J220" i="1"/>
  <c r="AW220" i="2"/>
  <c r="I220" i="1"/>
  <c r="AV220" i="2"/>
  <c r="AU220" i="2"/>
  <c r="AT220" i="2"/>
  <c r="AS220" i="2"/>
  <c r="AR220" i="2"/>
  <c r="AQ220" i="2"/>
  <c r="AP220" i="2"/>
  <c r="AO220" i="2"/>
  <c r="AL220" i="2"/>
  <c r="AK220" i="2"/>
  <c r="BQ219" i="2"/>
  <c r="BP219" i="2"/>
  <c r="AB219" i="1"/>
  <c r="BO219" i="2"/>
  <c r="AA219" i="1"/>
  <c r="BN219" i="2"/>
  <c r="BM219" i="2"/>
  <c r="BL219" i="2"/>
  <c r="BK219" i="2"/>
  <c r="W219" i="1"/>
  <c r="BJ219" i="2"/>
  <c r="BI219" i="2"/>
  <c r="BH219" i="2"/>
  <c r="T219" i="1"/>
  <c r="BG219" i="2"/>
  <c r="BF219" i="2"/>
  <c r="BE219" i="2"/>
  <c r="BD219" i="2"/>
  <c r="BC219" i="2"/>
  <c r="BB219" i="2"/>
  <c r="BA219" i="2"/>
  <c r="AZ219" i="2"/>
  <c r="AY219" i="2"/>
  <c r="AX219" i="2"/>
  <c r="J219" i="1"/>
  <c r="AW219" i="2"/>
  <c r="I219" i="1"/>
  <c r="AV219" i="2"/>
  <c r="AU219" i="2"/>
  <c r="AT219" i="2"/>
  <c r="AS219" i="2"/>
  <c r="AR219" i="2"/>
  <c r="AQ219" i="2"/>
  <c r="AP219" i="2"/>
  <c r="AO219" i="2"/>
  <c r="AL219" i="2"/>
  <c r="AK219" i="2"/>
  <c r="BQ218" i="2"/>
  <c r="BP218" i="2"/>
  <c r="AB218" i="1"/>
  <c r="BO218" i="2"/>
  <c r="AA218" i="1"/>
  <c r="BN218" i="2"/>
  <c r="BM218" i="2"/>
  <c r="BL218" i="2"/>
  <c r="BK218" i="2"/>
  <c r="W218" i="1"/>
  <c r="BJ218" i="2"/>
  <c r="BI218" i="2"/>
  <c r="BH218" i="2"/>
  <c r="T218" i="1"/>
  <c r="BG218" i="2"/>
  <c r="BF218" i="2"/>
  <c r="BE218" i="2"/>
  <c r="BD218" i="2"/>
  <c r="BC218" i="2"/>
  <c r="BB218" i="2"/>
  <c r="BA218" i="2"/>
  <c r="AZ218" i="2"/>
  <c r="AY218" i="2"/>
  <c r="AX218" i="2"/>
  <c r="J218" i="1"/>
  <c r="AW218" i="2"/>
  <c r="I218" i="1"/>
  <c r="AV218" i="2"/>
  <c r="AU218" i="2"/>
  <c r="AT218" i="2"/>
  <c r="AS218" i="2"/>
  <c r="AR218" i="2"/>
  <c r="AQ218" i="2"/>
  <c r="AP218" i="2"/>
  <c r="AO218" i="2"/>
  <c r="AL218" i="2"/>
  <c r="AK218" i="2"/>
  <c r="BQ217" i="2"/>
  <c r="BP217" i="2"/>
  <c r="AB217" i="1"/>
  <c r="BO217" i="2"/>
  <c r="AA217" i="1"/>
  <c r="BN217" i="2"/>
  <c r="BM217" i="2"/>
  <c r="BL217" i="2"/>
  <c r="BK217" i="2"/>
  <c r="W217" i="1"/>
  <c r="BJ217" i="2"/>
  <c r="BI217" i="2"/>
  <c r="BH217" i="2"/>
  <c r="T217" i="1"/>
  <c r="BG217" i="2"/>
  <c r="BF217" i="2"/>
  <c r="BE217" i="2"/>
  <c r="BD217" i="2"/>
  <c r="BC217" i="2"/>
  <c r="BB217" i="2"/>
  <c r="BA217" i="2"/>
  <c r="AZ217" i="2"/>
  <c r="AY217" i="2"/>
  <c r="AX217" i="2"/>
  <c r="J217" i="1"/>
  <c r="AW217" i="2"/>
  <c r="I217" i="1"/>
  <c r="AV217" i="2"/>
  <c r="AU217" i="2"/>
  <c r="AT217" i="2"/>
  <c r="AS217" i="2"/>
  <c r="AR217" i="2"/>
  <c r="AQ217" i="2"/>
  <c r="AP217" i="2"/>
  <c r="AO217" i="2"/>
  <c r="AL217" i="2"/>
  <c r="AK217" i="2"/>
  <c r="BQ216" i="2"/>
  <c r="BP216" i="2"/>
  <c r="AB216" i="1"/>
  <c r="BO216" i="2"/>
  <c r="AA216" i="1"/>
  <c r="BN216" i="2"/>
  <c r="BM216" i="2"/>
  <c r="BL216" i="2"/>
  <c r="BK216" i="2"/>
  <c r="W216" i="1"/>
  <c r="BJ216" i="2"/>
  <c r="BI216" i="2"/>
  <c r="BH216" i="2"/>
  <c r="T216" i="1"/>
  <c r="BG216" i="2"/>
  <c r="BF216" i="2"/>
  <c r="BE216" i="2"/>
  <c r="BD216" i="2"/>
  <c r="BC216" i="2"/>
  <c r="BB216" i="2"/>
  <c r="BA216" i="2"/>
  <c r="AZ216" i="2"/>
  <c r="AY216" i="2"/>
  <c r="AX216" i="2"/>
  <c r="J216" i="1"/>
  <c r="AW216" i="2"/>
  <c r="I216" i="1"/>
  <c r="AV216" i="2"/>
  <c r="AU216" i="2"/>
  <c r="AT216" i="2"/>
  <c r="AS216" i="2"/>
  <c r="AR216" i="2"/>
  <c r="AQ216" i="2"/>
  <c r="AP216" i="2"/>
  <c r="AO216" i="2"/>
  <c r="AL216" i="2"/>
  <c r="AK216" i="2"/>
  <c r="BQ215" i="2"/>
  <c r="BP215" i="2"/>
  <c r="AB215" i="1"/>
  <c r="BO215" i="2"/>
  <c r="AA215" i="1"/>
  <c r="BN215" i="2"/>
  <c r="BM215" i="2"/>
  <c r="BL215" i="2"/>
  <c r="BK215" i="2"/>
  <c r="W215" i="1"/>
  <c r="BJ215" i="2"/>
  <c r="BI215" i="2"/>
  <c r="BH215" i="2"/>
  <c r="T215" i="1"/>
  <c r="BG215" i="2"/>
  <c r="BF215" i="2"/>
  <c r="BE215" i="2"/>
  <c r="BD215" i="2"/>
  <c r="BC215" i="2"/>
  <c r="BB215" i="2"/>
  <c r="BA215" i="2"/>
  <c r="AZ215" i="2"/>
  <c r="AY215" i="2"/>
  <c r="AX215" i="2"/>
  <c r="J215" i="1"/>
  <c r="AW215" i="2"/>
  <c r="I215" i="1"/>
  <c r="AV215" i="2"/>
  <c r="AU215" i="2"/>
  <c r="AT215" i="2"/>
  <c r="AS215" i="2"/>
  <c r="AR215" i="2"/>
  <c r="AQ215" i="2"/>
  <c r="AP215" i="2"/>
  <c r="AO215" i="2"/>
  <c r="AL215" i="2"/>
  <c r="AK215" i="2"/>
  <c r="BQ214" i="2"/>
  <c r="BP214" i="2"/>
  <c r="AB214" i="1"/>
  <c r="BO214" i="2"/>
  <c r="AA214" i="1"/>
  <c r="BN214" i="2"/>
  <c r="BM214" i="2"/>
  <c r="BL214" i="2"/>
  <c r="BK214" i="2"/>
  <c r="W214" i="1"/>
  <c r="BJ214" i="2"/>
  <c r="BI214" i="2"/>
  <c r="BH214" i="2"/>
  <c r="T214" i="1"/>
  <c r="BG214" i="2"/>
  <c r="BF214" i="2"/>
  <c r="BE214" i="2"/>
  <c r="BD214" i="2"/>
  <c r="BC214" i="2"/>
  <c r="BB214" i="2"/>
  <c r="BA214" i="2"/>
  <c r="AZ214" i="2"/>
  <c r="AY214" i="2"/>
  <c r="AX214" i="2"/>
  <c r="J214" i="1"/>
  <c r="AW214" i="2"/>
  <c r="I214" i="1"/>
  <c r="AV214" i="2"/>
  <c r="AU214" i="2"/>
  <c r="AT214" i="2"/>
  <c r="AS214" i="2"/>
  <c r="AR214" i="2"/>
  <c r="AQ214" i="2"/>
  <c r="AP214" i="2"/>
  <c r="AO214" i="2"/>
  <c r="AL214" i="2"/>
  <c r="AK214" i="2"/>
  <c r="BQ213" i="2"/>
  <c r="BP213" i="2"/>
  <c r="AB213" i="1"/>
  <c r="BO213" i="2"/>
  <c r="AA213" i="1"/>
  <c r="BN213" i="2"/>
  <c r="BM213" i="2"/>
  <c r="BL213" i="2"/>
  <c r="BK213" i="2"/>
  <c r="W213" i="1"/>
  <c r="BJ213" i="2"/>
  <c r="BI213" i="2"/>
  <c r="BH213" i="2"/>
  <c r="T213" i="1"/>
  <c r="BG213" i="2"/>
  <c r="BF213" i="2"/>
  <c r="BE213" i="2"/>
  <c r="BD213" i="2"/>
  <c r="BC213" i="2"/>
  <c r="BB213" i="2"/>
  <c r="BA213" i="2"/>
  <c r="AZ213" i="2"/>
  <c r="AY213" i="2"/>
  <c r="AX213" i="2"/>
  <c r="J213" i="1"/>
  <c r="AW213" i="2"/>
  <c r="I213" i="1"/>
  <c r="AV213" i="2"/>
  <c r="AU213" i="2"/>
  <c r="AT213" i="2"/>
  <c r="AS213" i="2"/>
  <c r="AR213" i="2"/>
  <c r="AQ213" i="2"/>
  <c r="AP213" i="2"/>
  <c r="AO213" i="2"/>
  <c r="AL213" i="2"/>
  <c r="AK213" i="2"/>
  <c r="BQ212" i="2"/>
  <c r="BP212" i="2"/>
  <c r="AB212" i="1"/>
  <c r="BO212" i="2"/>
  <c r="AA212" i="1"/>
  <c r="BN212" i="2"/>
  <c r="BM212" i="2"/>
  <c r="BL212" i="2"/>
  <c r="BK212" i="2"/>
  <c r="W212" i="1"/>
  <c r="BJ212" i="2"/>
  <c r="BI212" i="2"/>
  <c r="BH212" i="2"/>
  <c r="T212" i="1"/>
  <c r="BG212" i="2"/>
  <c r="BF212" i="2"/>
  <c r="BE212" i="2"/>
  <c r="BD212" i="2"/>
  <c r="BC212" i="2"/>
  <c r="BB212" i="2"/>
  <c r="BA212" i="2"/>
  <c r="AZ212" i="2"/>
  <c r="AY212" i="2"/>
  <c r="AX212" i="2"/>
  <c r="J212" i="1"/>
  <c r="AW212" i="2"/>
  <c r="I212" i="1"/>
  <c r="AV212" i="2"/>
  <c r="AU212" i="2"/>
  <c r="AT212" i="2"/>
  <c r="AS212" i="2"/>
  <c r="AR212" i="2"/>
  <c r="AQ212" i="2"/>
  <c r="AP212" i="2"/>
  <c r="AO212" i="2"/>
  <c r="AL212" i="2"/>
  <c r="AK212" i="2"/>
  <c r="BQ211" i="2"/>
  <c r="BP211" i="2"/>
  <c r="AB211" i="1"/>
  <c r="BO211" i="2"/>
  <c r="AA211" i="1"/>
  <c r="BN211" i="2"/>
  <c r="BM211" i="2"/>
  <c r="BL211" i="2"/>
  <c r="BK211" i="2"/>
  <c r="W211" i="1"/>
  <c r="BJ211" i="2"/>
  <c r="BI211" i="2"/>
  <c r="BH211" i="2"/>
  <c r="T211" i="1"/>
  <c r="BG211" i="2"/>
  <c r="BF211" i="2"/>
  <c r="BE211" i="2"/>
  <c r="BD211" i="2"/>
  <c r="BC211" i="2"/>
  <c r="BB211" i="2"/>
  <c r="BA211" i="2"/>
  <c r="AZ211" i="2"/>
  <c r="AY211" i="2"/>
  <c r="AX211" i="2"/>
  <c r="J211" i="1"/>
  <c r="AW211" i="2"/>
  <c r="I211" i="1"/>
  <c r="AV211" i="2"/>
  <c r="AU211" i="2"/>
  <c r="AT211" i="2"/>
  <c r="AS211" i="2"/>
  <c r="AR211" i="2"/>
  <c r="AQ211" i="2"/>
  <c r="AP211" i="2"/>
  <c r="AO211" i="2"/>
  <c r="AL211" i="2"/>
  <c r="AK211" i="2"/>
  <c r="BQ210" i="2"/>
  <c r="BP210" i="2"/>
  <c r="AB210" i="1"/>
  <c r="BO210" i="2"/>
  <c r="AA210" i="1"/>
  <c r="BN210" i="2"/>
  <c r="BM210" i="2"/>
  <c r="BL210" i="2"/>
  <c r="BK210" i="2"/>
  <c r="W210" i="1"/>
  <c r="BJ210" i="2"/>
  <c r="BI210" i="2"/>
  <c r="BH210" i="2"/>
  <c r="T210" i="1"/>
  <c r="BG210" i="2"/>
  <c r="BF210" i="2"/>
  <c r="BE210" i="2"/>
  <c r="BD210" i="2"/>
  <c r="BC210" i="2"/>
  <c r="BB210" i="2"/>
  <c r="BA210" i="2"/>
  <c r="AZ210" i="2"/>
  <c r="AY210" i="2"/>
  <c r="AX210" i="2"/>
  <c r="J210" i="1"/>
  <c r="AW210" i="2"/>
  <c r="I210" i="1"/>
  <c r="AV210" i="2"/>
  <c r="AU210" i="2"/>
  <c r="AT210" i="2"/>
  <c r="AS210" i="2"/>
  <c r="AR210" i="2"/>
  <c r="AQ210" i="2"/>
  <c r="AP210" i="2"/>
  <c r="AO210" i="2"/>
  <c r="AL210" i="2"/>
  <c r="AK210" i="2"/>
  <c r="BQ209" i="2"/>
  <c r="BP209" i="2"/>
  <c r="AB209" i="1"/>
  <c r="BO209" i="2"/>
  <c r="AA209" i="1"/>
  <c r="BN209" i="2"/>
  <c r="BM209" i="2"/>
  <c r="BL209" i="2"/>
  <c r="BK209" i="2"/>
  <c r="W209" i="1"/>
  <c r="BJ209" i="2"/>
  <c r="BI209" i="2"/>
  <c r="BH209" i="2"/>
  <c r="T209" i="1"/>
  <c r="BG209" i="2"/>
  <c r="BF209" i="2"/>
  <c r="BE209" i="2"/>
  <c r="BD209" i="2"/>
  <c r="BC209" i="2"/>
  <c r="BB209" i="2"/>
  <c r="BA209" i="2"/>
  <c r="AZ209" i="2"/>
  <c r="AY209" i="2"/>
  <c r="AX209" i="2"/>
  <c r="J209" i="1"/>
  <c r="AW209" i="2"/>
  <c r="I209" i="1"/>
  <c r="AV209" i="2"/>
  <c r="AU209" i="2"/>
  <c r="AT209" i="2"/>
  <c r="AS209" i="2"/>
  <c r="AR209" i="2"/>
  <c r="AQ209" i="2"/>
  <c r="AP209" i="2"/>
  <c r="AO209" i="2"/>
  <c r="AL209" i="2"/>
  <c r="AK209" i="2"/>
  <c r="BQ208" i="2"/>
  <c r="BP208" i="2"/>
  <c r="AB208" i="1"/>
  <c r="BO208" i="2"/>
  <c r="AA208" i="1"/>
  <c r="BN208" i="2"/>
  <c r="BM208" i="2"/>
  <c r="BL208" i="2"/>
  <c r="BK208" i="2"/>
  <c r="W208" i="1"/>
  <c r="BJ208" i="2"/>
  <c r="BI208" i="2"/>
  <c r="BH208" i="2"/>
  <c r="T208" i="1"/>
  <c r="BG208" i="2"/>
  <c r="BF208" i="2"/>
  <c r="BE208" i="2"/>
  <c r="BD208" i="2"/>
  <c r="BC208" i="2"/>
  <c r="BB208" i="2"/>
  <c r="BA208" i="2"/>
  <c r="AZ208" i="2"/>
  <c r="AY208" i="2"/>
  <c r="AX208" i="2"/>
  <c r="J208" i="1"/>
  <c r="AW208" i="2"/>
  <c r="I208" i="1"/>
  <c r="AV208" i="2"/>
  <c r="AU208" i="2"/>
  <c r="AT208" i="2"/>
  <c r="AS208" i="2"/>
  <c r="AR208" i="2"/>
  <c r="AQ208" i="2"/>
  <c r="AP208" i="2"/>
  <c r="AO208" i="2"/>
  <c r="AL208" i="2"/>
  <c r="AK208" i="2"/>
  <c r="BQ207" i="2"/>
  <c r="BP207" i="2"/>
  <c r="AB207" i="1"/>
  <c r="BO207" i="2"/>
  <c r="AA207" i="1"/>
  <c r="BN207" i="2"/>
  <c r="BM207" i="2"/>
  <c r="BL207" i="2"/>
  <c r="BK207" i="2"/>
  <c r="W207" i="1"/>
  <c r="BJ207" i="2"/>
  <c r="BI207" i="2"/>
  <c r="BH207" i="2"/>
  <c r="T207" i="1"/>
  <c r="BG207" i="2"/>
  <c r="BF207" i="2"/>
  <c r="BE207" i="2"/>
  <c r="BD207" i="2"/>
  <c r="BC207" i="2"/>
  <c r="BB207" i="2"/>
  <c r="BA207" i="2"/>
  <c r="AZ207" i="2"/>
  <c r="AY207" i="2"/>
  <c r="AX207" i="2"/>
  <c r="J207" i="1"/>
  <c r="AW207" i="2"/>
  <c r="I207" i="1"/>
  <c r="AV207" i="2"/>
  <c r="AU207" i="2"/>
  <c r="AT207" i="2"/>
  <c r="AS207" i="2"/>
  <c r="AR207" i="2"/>
  <c r="AQ207" i="2"/>
  <c r="AP207" i="2"/>
  <c r="AO207" i="2"/>
  <c r="AL207" i="2"/>
  <c r="AK207" i="2"/>
  <c r="BQ206" i="2"/>
  <c r="BP206" i="2"/>
  <c r="AB206" i="1"/>
  <c r="BO206" i="2"/>
  <c r="AA206" i="1"/>
  <c r="BN206" i="2"/>
  <c r="BM206" i="2"/>
  <c r="BL206" i="2"/>
  <c r="BK206" i="2"/>
  <c r="W206" i="1"/>
  <c r="BJ206" i="2"/>
  <c r="BI206" i="2"/>
  <c r="BH206" i="2"/>
  <c r="T206" i="1"/>
  <c r="BG206" i="2"/>
  <c r="BF206" i="2"/>
  <c r="BE206" i="2"/>
  <c r="BD206" i="2"/>
  <c r="BC206" i="2"/>
  <c r="BB206" i="2"/>
  <c r="BA206" i="2"/>
  <c r="AZ206" i="2"/>
  <c r="AY206" i="2"/>
  <c r="AX206" i="2"/>
  <c r="J206" i="1"/>
  <c r="AW206" i="2"/>
  <c r="I206" i="1"/>
  <c r="AV206" i="2"/>
  <c r="AU206" i="2"/>
  <c r="AT206" i="2"/>
  <c r="AS206" i="2"/>
  <c r="AR206" i="2"/>
  <c r="AQ206" i="2"/>
  <c r="AP206" i="2"/>
  <c r="AO206" i="2"/>
  <c r="AL206" i="2"/>
  <c r="AK206" i="2"/>
  <c r="BQ205" i="2"/>
  <c r="BP205" i="2"/>
  <c r="AB205" i="1"/>
  <c r="BO205" i="2"/>
  <c r="AA205" i="1"/>
  <c r="BN205" i="2"/>
  <c r="BM205" i="2"/>
  <c r="BL205" i="2"/>
  <c r="BK205" i="2"/>
  <c r="W205" i="1"/>
  <c r="BJ205" i="2"/>
  <c r="BI205" i="2"/>
  <c r="BH205" i="2"/>
  <c r="T205" i="1"/>
  <c r="BG205" i="2"/>
  <c r="BF205" i="2"/>
  <c r="BE205" i="2"/>
  <c r="BD205" i="2"/>
  <c r="BC205" i="2"/>
  <c r="BB205" i="2"/>
  <c r="BA205" i="2"/>
  <c r="AZ205" i="2"/>
  <c r="AY205" i="2"/>
  <c r="AX205" i="2"/>
  <c r="J205" i="1"/>
  <c r="AW205" i="2"/>
  <c r="I205" i="1"/>
  <c r="AV205" i="2"/>
  <c r="AU205" i="2"/>
  <c r="AT205" i="2"/>
  <c r="AS205" i="2"/>
  <c r="AR205" i="2"/>
  <c r="AQ205" i="2"/>
  <c r="AP205" i="2"/>
  <c r="AO205" i="2"/>
  <c r="AL205" i="2"/>
  <c r="AK205" i="2"/>
  <c r="BQ204" i="2"/>
  <c r="BP204" i="2"/>
  <c r="AB204" i="1"/>
  <c r="BO204" i="2"/>
  <c r="AA204" i="1"/>
  <c r="BN204" i="2"/>
  <c r="BM204" i="2"/>
  <c r="BL204" i="2"/>
  <c r="BK204" i="2"/>
  <c r="W204" i="1"/>
  <c r="BJ204" i="2"/>
  <c r="BI204" i="2"/>
  <c r="BH204" i="2"/>
  <c r="T204" i="1"/>
  <c r="BG204" i="2"/>
  <c r="BF204" i="2"/>
  <c r="BE204" i="2"/>
  <c r="BD204" i="2"/>
  <c r="BC204" i="2"/>
  <c r="BB204" i="2"/>
  <c r="BA204" i="2"/>
  <c r="AZ204" i="2"/>
  <c r="AY204" i="2"/>
  <c r="AX204" i="2"/>
  <c r="J204" i="1"/>
  <c r="AW204" i="2"/>
  <c r="I204" i="1"/>
  <c r="AV204" i="2"/>
  <c r="AU204" i="2"/>
  <c r="AT204" i="2"/>
  <c r="AS204" i="2"/>
  <c r="AR204" i="2"/>
  <c r="AQ204" i="2"/>
  <c r="AP204" i="2"/>
  <c r="AO204" i="2"/>
  <c r="AL204" i="2"/>
  <c r="AK204" i="2"/>
  <c r="BQ203" i="2"/>
  <c r="BP203" i="2"/>
  <c r="AB203" i="1"/>
  <c r="BO203" i="2"/>
  <c r="AA203" i="1"/>
  <c r="BN203" i="2"/>
  <c r="BM203" i="2"/>
  <c r="BL203" i="2"/>
  <c r="BK203" i="2"/>
  <c r="W203" i="1"/>
  <c r="BJ203" i="2"/>
  <c r="BI203" i="2"/>
  <c r="BH203" i="2"/>
  <c r="T203" i="1"/>
  <c r="BG203" i="2"/>
  <c r="BF203" i="2"/>
  <c r="BE203" i="2"/>
  <c r="BD203" i="2"/>
  <c r="BC203" i="2"/>
  <c r="BB203" i="2"/>
  <c r="BA203" i="2"/>
  <c r="AZ203" i="2"/>
  <c r="AY203" i="2"/>
  <c r="AX203" i="2"/>
  <c r="J203" i="1"/>
  <c r="AW203" i="2"/>
  <c r="I203" i="1"/>
  <c r="AV203" i="2"/>
  <c r="AU203" i="2"/>
  <c r="AT203" i="2"/>
  <c r="AS203" i="2"/>
  <c r="AR203" i="2"/>
  <c r="AQ203" i="2"/>
  <c r="AP203" i="2"/>
  <c r="AO203" i="2"/>
  <c r="AL203" i="2"/>
  <c r="AK203" i="2"/>
  <c r="BQ202" i="2"/>
  <c r="BP202" i="2"/>
  <c r="AB202" i="1"/>
  <c r="BO202" i="2"/>
  <c r="AA202" i="1"/>
  <c r="BN202" i="2"/>
  <c r="BM202" i="2"/>
  <c r="BL202" i="2"/>
  <c r="BK202" i="2"/>
  <c r="W202" i="1"/>
  <c r="BJ202" i="2"/>
  <c r="BI202" i="2"/>
  <c r="BH202" i="2"/>
  <c r="T202" i="1"/>
  <c r="BG202" i="2"/>
  <c r="BF202" i="2"/>
  <c r="BE202" i="2"/>
  <c r="BD202" i="2"/>
  <c r="BC202" i="2"/>
  <c r="BB202" i="2"/>
  <c r="BA202" i="2"/>
  <c r="AZ202" i="2"/>
  <c r="AY202" i="2"/>
  <c r="AX202" i="2"/>
  <c r="J202" i="1"/>
  <c r="AW202" i="2"/>
  <c r="I202" i="1"/>
  <c r="AV202" i="2"/>
  <c r="AU202" i="2"/>
  <c r="AT202" i="2"/>
  <c r="AS202" i="2"/>
  <c r="AR202" i="2"/>
  <c r="AQ202" i="2"/>
  <c r="AP202" i="2"/>
  <c r="AO202" i="2"/>
  <c r="AL202" i="2"/>
  <c r="AK202" i="2"/>
  <c r="BQ201" i="2"/>
  <c r="BP201" i="2"/>
  <c r="AB201" i="1"/>
  <c r="BO201" i="2"/>
  <c r="AA201" i="1"/>
  <c r="BN201" i="2"/>
  <c r="BM201" i="2"/>
  <c r="BL201" i="2"/>
  <c r="BK201" i="2"/>
  <c r="W201" i="1"/>
  <c r="BJ201" i="2"/>
  <c r="BI201" i="2"/>
  <c r="BH201" i="2"/>
  <c r="T201" i="1"/>
  <c r="BG201" i="2"/>
  <c r="BF201" i="2"/>
  <c r="BE201" i="2"/>
  <c r="BD201" i="2"/>
  <c r="BC201" i="2"/>
  <c r="BB201" i="2"/>
  <c r="BA201" i="2"/>
  <c r="AZ201" i="2"/>
  <c r="AY201" i="2"/>
  <c r="AX201" i="2"/>
  <c r="J201" i="1"/>
  <c r="AW201" i="2"/>
  <c r="I201" i="1"/>
  <c r="AV201" i="2"/>
  <c r="AU201" i="2"/>
  <c r="AT201" i="2"/>
  <c r="AS201" i="2"/>
  <c r="AR201" i="2"/>
  <c r="AQ201" i="2"/>
  <c r="AP201" i="2"/>
  <c r="AO201" i="2"/>
  <c r="AL201" i="2"/>
  <c r="AK201" i="2"/>
  <c r="BQ200" i="2"/>
  <c r="BP200" i="2"/>
  <c r="AB200" i="1"/>
  <c r="BO200" i="2"/>
  <c r="AA200" i="1"/>
  <c r="BN200" i="2"/>
  <c r="BM200" i="2"/>
  <c r="BL200" i="2"/>
  <c r="BK200" i="2"/>
  <c r="W200" i="1"/>
  <c r="BJ200" i="2"/>
  <c r="BI200" i="2"/>
  <c r="BH200" i="2"/>
  <c r="T200" i="1"/>
  <c r="BG200" i="2"/>
  <c r="BF200" i="2"/>
  <c r="BE200" i="2"/>
  <c r="BD200" i="2"/>
  <c r="BC200" i="2"/>
  <c r="BB200" i="2"/>
  <c r="BA200" i="2"/>
  <c r="AZ200" i="2"/>
  <c r="AY200" i="2"/>
  <c r="AX200" i="2"/>
  <c r="J200" i="1"/>
  <c r="AW200" i="2"/>
  <c r="I200" i="1"/>
  <c r="AV200" i="2"/>
  <c r="AU200" i="2"/>
  <c r="AT200" i="2"/>
  <c r="AS200" i="2"/>
  <c r="AR200" i="2"/>
  <c r="AQ200" i="2"/>
  <c r="AP200" i="2"/>
  <c r="AO200" i="2"/>
  <c r="AL200" i="2"/>
  <c r="AK200" i="2"/>
  <c r="BQ199" i="2"/>
  <c r="BP199" i="2"/>
  <c r="AB199" i="1"/>
  <c r="BO199" i="2"/>
  <c r="AA199" i="1"/>
  <c r="BN199" i="2"/>
  <c r="BM199" i="2"/>
  <c r="BL199" i="2"/>
  <c r="BK199" i="2"/>
  <c r="W199" i="1"/>
  <c r="BJ199" i="2"/>
  <c r="BI199" i="2"/>
  <c r="BH199" i="2"/>
  <c r="T199" i="1"/>
  <c r="BG199" i="2"/>
  <c r="BF199" i="2"/>
  <c r="BE199" i="2"/>
  <c r="BD199" i="2"/>
  <c r="BC199" i="2"/>
  <c r="BB199" i="2"/>
  <c r="BA199" i="2"/>
  <c r="AZ199" i="2"/>
  <c r="AY199" i="2"/>
  <c r="AX199" i="2"/>
  <c r="J199" i="1"/>
  <c r="AW199" i="2"/>
  <c r="I199" i="1"/>
  <c r="AV199" i="2"/>
  <c r="AU199" i="2"/>
  <c r="AT199" i="2"/>
  <c r="AS199" i="2"/>
  <c r="AR199" i="2"/>
  <c r="AQ199" i="2"/>
  <c r="AP199" i="2"/>
  <c r="AO199" i="2"/>
  <c r="AL199" i="2"/>
  <c r="AK199" i="2"/>
  <c r="BQ198" i="2"/>
  <c r="BP198" i="2"/>
  <c r="AB198" i="1"/>
  <c r="BO198" i="2"/>
  <c r="AA198" i="1"/>
  <c r="BN198" i="2"/>
  <c r="BM198" i="2"/>
  <c r="BL198" i="2"/>
  <c r="BK198" i="2"/>
  <c r="W198" i="1"/>
  <c r="BJ198" i="2"/>
  <c r="BI198" i="2"/>
  <c r="BH198" i="2"/>
  <c r="T198" i="1"/>
  <c r="BG198" i="2"/>
  <c r="BF198" i="2"/>
  <c r="BE198" i="2"/>
  <c r="BD198" i="2"/>
  <c r="BC198" i="2"/>
  <c r="BB198" i="2"/>
  <c r="BA198" i="2"/>
  <c r="AZ198" i="2"/>
  <c r="AY198" i="2"/>
  <c r="AX198" i="2"/>
  <c r="J198" i="1"/>
  <c r="AW198" i="2"/>
  <c r="I198" i="1"/>
  <c r="AV198" i="2"/>
  <c r="AU198" i="2"/>
  <c r="AT198" i="2"/>
  <c r="AS198" i="2"/>
  <c r="AR198" i="2"/>
  <c r="AQ198" i="2"/>
  <c r="AP198" i="2"/>
  <c r="AO198" i="2"/>
  <c r="AL198" i="2"/>
  <c r="AK198" i="2"/>
  <c r="BQ197" i="2"/>
  <c r="BP197" i="2"/>
  <c r="AB197" i="1"/>
  <c r="BO197" i="2"/>
  <c r="AA197" i="1"/>
  <c r="BN197" i="2"/>
  <c r="BM197" i="2"/>
  <c r="BL197" i="2"/>
  <c r="BK197" i="2"/>
  <c r="W197" i="1"/>
  <c r="BJ197" i="2"/>
  <c r="BI197" i="2"/>
  <c r="BH197" i="2"/>
  <c r="T197" i="1"/>
  <c r="BG197" i="2"/>
  <c r="BF197" i="2"/>
  <c r="BE197" i="2"/>
  <c r="BD197" i="2"/>
  <c r="BC197" i="2"/>
  <c r="BB197" i="2"/>
  <c r="BA197" i="2"/>
  <c r="AZ197" i="2"/>
  <c r="AY197" i="2"/>
  <c r="AX197" i="2"/>
  <c r="J197" i="1"/>
  <c r="AW197" i="2"/>
  <c r="I197" i="1"/>
  <c r="AV197" i="2"/>
  <c r="AU197" i="2"/>
  <c r="AT197" i="2"/>
  <c r="AS197" i="2"/>
  <c r="AR197" i="2"/>
  <c r="AQ197" i="2"/>
  <c r="AP197" i="2"/>
  <c r="AO197" i="2"/>
  <c r="AL197" i="2"/>
  <c r="AK197" i="2"/>
  <c r="BQ196" i="2"/>
  <c r="BP196" i="2"/>
  <c r="AB196" i="1"/>
  <c r="BO196" i="2"/>
  <c r="AA196" i="1"/>
  <c r="BN196" i="2"/>
  <c r="BM196" i="2"/>
  <c r="BL196" i="2"/>
  <c r="BK196" i="2"/>
  <c r="W196" i="1"/>
  <c r="BJ196" i="2"/>
  <c r="BI196" i="2"/>
  <c r="BH196" i="2"/>
  <c r="T196" i="1"/>
  <c r="BG196" i="2"/>
  <c r="BF196" i="2"/>
  <c r="BE196" i="2"/>
  <c r="BD196" i="2"/>
  <c r="BC196" i="2"/>
  <c r="BB196" i="2"/>
  <c r="BA196" i="2"/>
  <c r="AZ196" i="2"/>
  <c r="AY196" i="2"/>
  <c r="AX196" i="2"/>
  <c r="J196" i="1"/>
  <c r="AW196" i="2"/>
  <c r="I196" i="1"/>
  <c r="AV196" i="2"/>
  <c r="AU196" i="2"/>
  <c r="AT196" i="2"/>
  <c r="AS196" i="2"/>
  <c r="AR196" i="2"/>
  <c r="AQ196" i="2"/>
  <c r="AP196" i="2"/>
  <c r="AO196" i="2"/>
  <c r="AL196" i="2"/>
  <c r="AK196" i="2"/>
  <c r="BQ195" i="2"/>
  <c r="BP195" i="2"/>
  <c r="AB195" i="1"/>
  <c r="BO195" i="2"/>
  <c r="AA195" i="1"/>
  <c r="BN195" i="2"/>
  <c r="BM195" i="2"/>
  <c r="BL195" i="2"/>
  <c r="BK195" i="2"/>
  <c r="W195" i="1"/>
  <c r="BJ195" i="2"/>
  <c r="BI195" i="2"/>
  <c r="BH195" i="2"/>
  <c r="T195" i="1"/>
  <c r="BG195" i="2"/>
  <c r="BF195" i="2"/>
  <c r="BE195" i="2"/>
  <c r="BD195" i="2"/>
  <c r="BC195" i="2"/>
  <c r="BB195" i="2"/>
  <c r="BA195" i="2"/>
  <c r="AZ195" i="2"/>
  <c r="AY195" i="2"/>
  <c r="AX195" i="2"/>
  <c r="J195" i="1"/>
  <c r="AW195" i="2"/>
  <c r="I195" i="1"/>
  <c r="AV195" i="2"/>
  <c r="AU195" i="2"/>
  <c r="AT195" i="2"/>
  <c r="AS195" i="2"/>
  <c r="AR195" i="2"/>
  <c r="AQ195" i="2"/>
  <c r="AP195" i="2"/>
  <c r="AO195" i="2"/>
  <c r="AL195" i="2"/>
  <c r="AK195" i="2"/>
  <c r="BQ194" i="2"/>
  <c r="BP194" i="2"/>
  <c r="AB194" i="1"/>
  <c r="BO194" i="2"/>
  <c r="AA194" i="1"/>
  <c r="BN194" i="2"/>
  <c r="BM194" i="2"/>
  <c r="BL194" i="2"/>
  <c r="BK194" i="2"/>
  <c r="W194" i="1"/>
  <c r="BJ194" i="2"/>
  <c r="BI194" i="2"/>
  <c r="BH194" i="2"/>
  <c r="T194" i="1"/>
  <c r="BG194" i="2"/>
  <c r="BF194" i="2"/>
  <c r="BE194" i="2"/>
  <c r="BD194" i="2"/>
  <c r="BC194" i="2"/>
  <c r="BB194" i="2"/>
  <c r="BA194" i="2"/>
  <c r="AZ194" i="2"/>
  <c r="AY194" i="2"/>
  <c r="AX194" i="2"/>
  <c r="J194" i="1"/>
  <c r="AW194" i="2"/>
  <c r="I194" i="1"/>
  <c r="AV194" i="2"/>
  <c r="AU194" i="2"/>
  <c r="AT194" i="2"/>
  <c r="AS194" i="2"/>
  <c r="AR194" i="2"/>
  <c r="AQ194" i="2"/>
  <c r="AP194" i="2"/>
  <c r="AO194" i="2"/>
  <c r="AL194" i="2"/>
  <c r="AK194" i="2"/>
  <c r="BQ193" i="2"/>
  <c r="BP193" i="2"/>
  <c r="AB193" i="1"/>
  <c r="BO193" i="2"/>
  <c r="AA193" i="1"/>
  <c r="BN193" i="2"/>
  <c r="BM193" i="2"/>
  <c r="BL193" i="2"/>
  <c r="BK193" i="2"/>
  <c r="W193" i="1"/>
  <c r="BJ193" i="2"/>
  <c r="BI193" i="2"/>
  <c r="BH193" i="2"/>
  <c r="T193" i="1"/>
  <c r="BG193" i="2"/>
  <c r="BF193" i="2"/>
  <c r="BE193" i="2"/>
  <c r="BD193" i="2"/>
  <c r="BC193" i="2"/>
  <c r="BB193" i="2"/>
  <c r="BA193" i="2"/>
  <c r="AZ193" i="2"/>
  <c r="AY193" i="2"/>
  <c r="AX193" i="2"/>
  <c r="J193" i="1"/>
  <c r="AW193" i="2"/>
  <c r="I193" i="1"/>
  <c r="AV193" i="2"/>
  <c r="AU193" i="2"/>
  <c r="AT193" i="2"/>
  <c r="AS193" i="2"/>
  <c r="AR193" i="2"/>
  <c r="AQ193" i="2"/>
  <c r="AP193" i="2"/>
  <c r="AO193" i="2"/>
  <c r="AL193" i="2"/>
  <c r="AK193" i="2"/>
  <c r="BQ192" i="2"/>
  <c r="BP192" i="2"/>
  <c r="AB192" i="1"/>
  <c r="BO192" i="2"/>
  <c r="AA192" i="1"/>
  <c r="BN192" i="2"/>
  <c r="BM192" i="2"/>
  <c r="BL192" i="2"/>
  <c r="BK192" i="2"/>
  <c r="W192" i="1"/>
  <c r="BJ192" i="2"/>
  <c r="BI192" i="2"/>
  <c r="BH192" i="2"/>
  <c r="T192" i="1"/>
  <c r="BG192" i="2"/>
  <c r="BF192" i="2"/>
  <c r="BE192" i="2"/>
  <c r="BD192" i="2"/>
  <c r="BC192" i="2"/>
  <c r="BB192" i="2"/>
  <c r="BA192" i="2"/>
  <c r="AZ192" i="2"/>
  <c r="AY192" i="2"/>
  <c r="AX192" i="2"/>
  <c r="J192" i="1"/>
  <c r="AW192" i="2"/>
  <c r="I192" i="1"/>
  <c r="AV192" i="2"/>
  <c r="AU192" i="2"/>
  <c r="AT192" i="2"/>
  <c r="AS192" i="2"/>
  <c r="AR192" i="2"/>
  <c r="AQ192" i="2"/>
  <c r="AP192" i="2"/>
  <c r="AO192" i="2"/>
  <c r="AL192" i="2"/>
  <c r="AK192" i="2"/>
  <c r="BQ191" i="2"/>
  <c r="BP191" i="2"/>
  <c r="AB191" i="1"/>
  <c r="BO191" i="2"/>
  <c r="AA191" i="1"/>
  <c r="BN191" i="2"/>
  <c r="BM191" i="2"/>
  <c r="BL191" i="2"/>
  <c r="BK191" i="2"/>
  <c r="W191" i="1"/>
  <c r="BJ191" i="2"/>
  <c r="BI191" i="2"/>
  <c r="BH191" i="2"/>
  <c r="T191" i="1"/>
  <c r="BG191" i="2"/>
  <c r="BF191" i="2"/>
  <c r="BE191" i="2"/>
  <c r="BD191" i="2"/>
  <c r="BC191" i="2"/>
  <c r="BB191" i="2"/>
  <c r="BA191" i="2"/>
  <c r="AZ191" i="2"/>
  <c r="AY191" i="2"/>
  <c r="AX191" i="2"/>
  <c r="J191" i="1"/>
  <c r="AW191" i="2"/>
  <c r="I191" i="1"/>
  <c r="AV191" i="2"/>
  <c r="AU191" i="2"/>
  <c r="AT191" i="2"/>
  <c r="AS191" i="2"/>
  <c r="AR191" i="2"/>
  <c r="AQ191" i="2"/>
  <c r="AP191" i="2"/>
  <c r="AO191" i="2"/>
  <c r="AL191" i="2"/>
  <c r="AK191" i="2"/>
  <c r="BQ190" i="2"/>
  <c r="BP190" i="2"/>
  <c r="AB190" i="1"/>
  <c r="BO190" i="2"/>
  <c r="AA190" i="1"/>
  <c r="BN190" i="2"/>
  <c r="BM190" i="2"/>
  <c r="BL190" i="2"/>
  <c r="BK190" i="2"/>
  <c r="W190" i="1"/>
  <c r="BJ190" i="2"/>
  <c r="BI190" i="2"/>
  <c r="BH190" i="2"/>
  <c r="T190" i="1"/>
  <c r="BG190" i="2"/>
  <c r="BF190" i="2"/>
  <c r="BE190" i="2"/>
  <c r="BD190" i="2"/>
  <c r="BC190" i="2"/>
  <c r="BB190" i="2"/>
  <c r="BA190" i="2"/>
  <c r="AZ190" i="2"/>
  <c r="AY190" i="2"/>
  <c r="AX190" i="2"/>
  <c r="J190" i="1"/>
  <c r="AW190" i="2"/>
  <c r="I190" i="1"/>
  <c r="AV190" i="2"/>
  <c r="AU190" i="2"/>
  <c r="AT190" i="2"/>
  <c r="AS190" i="2"/>
  <c r="AR190" i="2"/>
  <c r="AQ190" i="2"/>
  <c r="AP190" i="2"/>
  <c r="AO190" i="2"/>
  <c r="AL190" i="2"/>
  <c r="AK190" i="2"/>
  <c r="BQ189" i="2"/>
  <c r="BP189" i="2"/>
  <c r="AB189" i="1"/>
  <c r="BO189" i="2"/>
  <c r="AA189" i="1"/>
  <c r="BN189" i="2"/>
  <c r="BM189" i="2"/>
  <c r="BL189" i="2"/>
  <c r="BK189" i="2"/>
  <c r="W189" i="1"/>
  <c r="BJ189" i="2"/>
  <c r="BI189" i="2"/>
  <c r="BH189" i="2"/>
  <c r="T189" i="1"/>
  <c r="BG189" i="2"/>
  <c r="BF189" i="2"/>
  <c r="BE189" i="2"/>
  <c r="BD189" i="2"/>
  <c r="BC189" i="2"/>
  <c r="BB189" i="2"/>
  <c r="BA189" i="2"/>
  <c r="AZ189" i="2"/>
  <c r="AY189" i="2"/>
  <c r="AX189" i="2"/>
  <c r="J189" i="1"/>
  <c r="AW189" i="2"/>
  <c r="I189" i="1"/>
  <c r="AV189" i="2"/>
  <c r="AU189" i="2"/>
  <c r="AT189" i="2"/>
  <c r="AS189" i="2"/>
  <c r="AR189" i="2"/>
  <c r="AQ189" i="2"/>
  <c r="AP189" i="2"/>
  <c r="AO189" i="2"/>
  <c r="AL189" i="2"/>
  <c r="AK189" i="2"/>
  <c r="BQ188" i="2"/>
  <c r="BP188" i="2"/>
  <c r="AB188" i="1"/>
  <c r="BO188" i="2"/>
  <c r="AA188" i="1"/>
  <c r="BN188" i="2"/>
  <c r="BM188" i="2"/>
  <c r="BL188" i="2"/>
  <c r="BK188" i="2"/>
  <c r="W188" i="1"/>
  <c r="BJ188" i="2"/>
  <c r="BI188" i="2"/>
  <c r="BH188" i="2"/>
  <c r="T188" i="1"/>
  <c r="BG188" i="2"/>
  <c r="BF188" i="2"/>
  <c r="BE188" i="2"/>
  <c r="BD188" i="2"/>
  <c r="BC188" i="2"/>
  <c r="BB188" i="2"/>
  <c r="BA188" i="2"/>
  <c r="AZ188" i="2"/>
  <c r="AY188" i="2"/>
  <c r="AX188" i="2"/>
  <c r="J188" i="1"/>
  <c r="AW188" i="2"/>
  <c r="I188" i="1"/>
  <c r="AV188" i="2"/>
  <c r="AU188" i="2"/>
  <c r="AT188" i="2"/>
  <c r="AS188" i="2"/>
  <c r="AR188" i="2"/>
  <c r="AQ188" i="2"/>
  <c r="AP188" i="2"/>
  <c r="AO188" i="2"/>
  <c r="AL188" i="2"/>
  <c r="AK188" i="2"/>
  <c r="BQ187" i="2"/>
  <c r="BP187" i="2"/>
  <c r="AB187" i="1"/>
  <c r="BO187" i="2"/>
  <c r="AA187" i="1"/>
  <c r="BN187" i="2"/>
  <c r="BM187" i="2"/>
  <c r="BL187" i="2"/>
  <c r="BK187" i="2"/>
  <c r="W187" i="1"/>
  <c r="BJ187" i="2"/>
  <c r="BI187" i="2"/>
  <c r="BH187" i="2"/>
  <c r="T187" i="1"/>
  <c r="BG187" i="2"/>
  <c r="BF187" i="2"/>
  <c r="BE187" i="2"/>
  <c r="BD187" i="2"/>
  <c r="BC187" i="2"/>
  <c r="BB187" i="2"/>
  <c r="BA187" i="2"/>
  <c r="AZ187" i="2"/>
  <c r="AY187" i="2"/>
  <c r="AX187" i="2"/>
  <c r="J187" i="1"/>
  <c r="AW187" i="2"/>
  <c r="I187" i="1"/>
  <c r="AV187" i="2"/>
  <c r="AU187" i="2"/>
  <c r="AT187" i="2"/>
  <c r="AS187" i="2"/>
  <c r="AR187" i="2"/>
  <c r="AQ187" i="2"/>
  <c r="AP187" i="2"/>
  <c r="AO187" i="2"/>
  <c r="AL187" i="2"/>
  <c r="AK187" i="2"/>
  <c r="BQ186" i="2"/>
  <c r="BP186" i="2"/>
  <c r="AB186" i="1"/>
  <c r="BO186" i="2"/>
  <c r="AA186" i="1"/>
  <c r="BN186" i="2"/>
  <c r="BM186" i="2"/>
  <c r="BL186" i="2"/>
  <c r="BK186" i="2"/>
  <c r="W186" i="1"/>
  <c r="BJ186" i="2"/>
  <c r="BI186" i="2"/>
  <c r="BH186" i="2"/>
  <c r="T186" i="1"/>
  <c r="BG186" i="2"/>
  <c r="BF186" i="2"/>
  <c r="BE186" i="2"/>
  <c r="BD186" i="2"/>
  <c r="BC186" i="2"/>
  <c r="BB186" i="2"/>
  <c r="BA186" i="2"/>
  <c r="AZ186" i="2"/>
  <c r="AY186" i="2"/>
  <c r="AX186" i="2"/>
  <c r="J186" i="1"/>
  <c r="AW186" i="2"/>
  <c r="I186" i="1"/>
  <c r="AV186" i="2"/>
  <c r="AU186" i="2"/>
  <c r="AT186" i="2"/>
  <c r="AS186" i="2"/>
  <c r="AR186" i="2"/>
  <c r="AQ186" i="2"/>
  <c r="AP186" i="2"/>
  <c r="AO186" i="2"/>
  <c r="AL186" i="2"/>
  <c r="AK186" i="2"/>
  <c r="BQ185" i="2"/>
  <c r="BP185" i="2"/>
  <c r="AB185" i="1"/>
  <c r="BO185" i="2"/>
  <c r="AA185" i="1"/>
  <c r="BN185" i="2"/>
  <c r="BM185" i="2"/>
  <c r="BL185" i="2"/>
  <c r="BK185" i="2"/>
  <c r="W185" i="1"/>
  <c r="BJ185" i="2"/>
  <c r="BI185" i="2"/>
  <c r="BH185" i="2"/>
  <c r="T185" i="1"/>
  <c r="BG185" i="2"/>
  <c r="BF185" i="2"/>
  <c r="BE185" i="2"/>
  <c r="BD185" i="2"/>
  <c r="BC185" i="2"/>
  <c r="BB185" i="2"/>
  <c r="BA185" i="2"/>
  <c r="AZ185" i="2"/>
  <c r="AY185" i="2"/>
  <c r="AX185" i="2"/>
  <c r="J185" i="1"/>
  <c r="AW185" i="2"/>
  <c r="I185" i="1"/>
  <c r="AV185" i="2"/>
  <c r="AU185" i="2"/>
  <c r="AT185" i="2"/>
  <c r="AS185" i="2"/>
  <c r="AR185" i="2"/>
  <c r="AQ185" i="2"/>
  <c r="AP185" i="2"/>
  <c r="AO185" i="2"/>
  <c r="AL185" i="2"/>
  <c r="AK185" i="2"/>
  <c r="BQ184" i="2"/>
  <c r="BP184" i="2"/>
  <c r="AB184" i="1"/>
  <c r="BO184" i="2"/>
  <c r="AA184" i="1"/>
  <c r="BN184" i="2"/>
  <c r="BM184" i="2"/>
  <c r="BL184" i="2"/>
  <c r="BK184" i="2"/>
  <c r="W184" i="1"/>
  <c r="BJ184" i="2"/>
  <c r="BI184" i="2"/>
  <c r="BH184" i="2"/>
  <c r="T184" i="1"/>
  <c r="BG184" i="2"/>
  <c r="BF184" i="2"/>
  <c r="BE184" i="2"/>
  <c r="BD184" i="2"/>
  <c r="BC184" i="2"/>
  <c r="BB184" i="2"/>
  <c r="BA184" i="2"/>
  <c r="AZ184" i="2"/>
  <c r="AY184" i="2"/>
  <c r="AX184" i="2"/>
  <c r="J184" i="1"/>
  <c r="AW184" i="2"/>
  <c r="I184" i="1"/>
  <c r="AV184" i="2"/>
  <c r="AU184" i="2"/>
  <c r="AT184" i="2"/>
  <c r="AS184" i="2"/>
  <c r="AR184" i="2"/>
  <c r="AQ184" i="2"/>
  <c r="AP184" i="2"/>
  <c r="AO184" i="2"/>
  <c r="AL184" i="2"/>
  <c r="AK184" i="2"/>
  <c r="BQ183" i="2"/>
  <c r="BP183" i="2"/>
  <c r="AB183" i="1"/>
  <c r="BO183" i="2"/>
  <c r="AA183" i="1"/>
  <c r="BN183" i="2"/>
  <c r="BM183" i="2"/>
  <c r="BL183" i="2"/>
  <c r="BK183" i="2"/>
  <c r="W183" i="1"/>
  <c r="BJ183" i="2"/>
  <c r="BI183" i="2"/>
  <c r="BH183" i="2"/>
  <c r="T183" i="1"/>
  <c r="BG183" i="2"/>
  <c r="BF183" i="2"/>
  <c r="BE183" i="2"/>
  <c r="BD183" i="2"/>
  <c r="BC183" i="2"/>
  <c r="BB183" i="2"/>
  <c r="BA183" i="2"/>
  <c r="AZ183" i="2"/>
  <c r="AY183" i="2"/>
  <c r="AX183" i="2"/>
  <c r="J183" i="1"/>
  <c r="AW183" i="2"/>
  <c r="I183" i="1"/>
  <c r="AV183" i="2"/>
  <c r="AU183" i="2"/>
  <c r="AT183" i="2"/>
  <c r="AS183" i="2"/>
  <c r="AR183" i="2"/>
  <c r="AQ183" i="2"/>
  <c r="AP183" i="2"/>
  <c r="AO183" i="2"/>
  <c r="AL183" i="2"/>
  <c r="AK183" i="2"/>
  <c r="BQ182" i="2"/>
  <c r="BP182" i="2"/>
  <c r="AB182" i="1"/>
  <c r="BO182" i="2"/>
  <c r="AA182" i="1"/>
  <c r="BN182" i="2"/>
  <c r="BM182" i="2"/>
  <c r="BL182" i="2"/>
  <c r="BK182" i="2"/>
  <c r="W182" i="1"/>
  <c r="BJ182" i="2"/>
  <c r="BI182" i="2"/>
  <c r="BH182" i="2"/>
  <c r="T182" i="1"/>
  <c r="BG182" i="2"/>
  <c r="BF182" i="2"/>
  <c r="BE182" i="2"/>
  <c r="BD182" i="2"/>
  <c r="BC182" i="2"/>
  <c r="BB182" i="2"/>
  <c r="BA182" i="2"/>
  <c r="AZ182" i="2"/>
  <c r="AY182" i="2"/>
  <c r="AX182" i="2"/>
  <c r="J182" i="1"/>
  <c r="AW182" i="2"/>
  <c r="I182" i="1"/>
  <c r="AV182" i="2"/>
  <c r="AU182" i="2"/>
  <c r="AT182" i="2"/>
  <c r="AS182" i="2"/>
  <c r="AR182" i="2"/>
  <c r="AQ182" i="2"/>
  <c r="AP182" i="2"/>
  <c r="AO182" i="2"/>
  <c r="AL182" i="2"/>
  <c r="AK182" i="2"/>
  <c r="BQ181" i="2"/>
  <c r="BP181" i="2"/>
  <c r="AB181" i="1"/>
  <c r="BO181" i="2"/>
  <c r="AA181" i="1"/>
  <c r="BN181" i="2"/>
  <c r="BM181" i="2"/>
  <c r="BL181" i="2"/>
  <c r="BK181" i="2"/>
  <c r="W181" i="1"/>
  <c r="BJ181" i="2"/>
  <c r="BI181" i="2"/>
  <c r="BH181" i="2"/>
  <c r="T181" i="1"/>
  <c r="BG181" i="2"/>
  <c r="BF181" i="2"/>
  <c r="BE181" i="2"/>
  <c r="BD181" i="2"/>
  <c r="BC181" i="2"/>
  <c r="BB181" i="2"/>
  <c r="BA181" i="2"/>
  <c r="AZ181" i="2"/>
  <c r="AY181" i="2"/>
  <c r="AX181" i="2"/>
  <c r="J181" i="1"/>
  <c r="AW181" i="2"/>
  <c r="I181" i="1"/>
  <c r="AV181" i="2"/>
  <c r="AU181" i="2"/>
  <c r="AT181" i="2"/>
  <c r="AS181" i="2"/>
  <c r="AR181" i="2"/>
  <c r="AQ181" i="2"/>
  <c r="AP181" i="2"/>
  <c r="AO181" i="2"/>
  <c r="AL181" i="2"/>
  <c r="AK181" i="2"/>
  <c r="BQ180" i="2"/>
  <c r="BP180" i="2"/>
  <c r="AB180" i="1"/>
  <c r="BO180" i="2"/>
  <c r="AA180" i="1"/>
  <c r="BN180" i="2"/>
  <c r="BM180" i="2"/>
  <c r="BL180" i="2"/>
  <c r="BK180" i="2"/>
  <c r="W180" i="1"/>
  <c r="BJ180" i="2"/>
  <c r="BI180" i="2"/>
  <c r="BH180" i="2"/>
  <c r="T180" i="1"/>
  <c r="BG180" i="2"/>
  <c r="BF180" i="2"/>
  <c r="BE180" i="2"/>
  <c r="BD180" i="2"/>
  <c r="BC180" i="2"/>
  <c r="BB180" i="2"/>
  <c r="BA180" i="2"/>
  <c r="AZ180" i="2"/>
  <c r="AY180" i="2"/>
  <c r="AX180" i="2"/>
  <c r="J180" i="1"/>
  <c r="AW180" i="2"/>
  <c r="I180" i="1"/>
  <c r="AV180" i="2"/>
  <c r="AU180" i="2"/>
  <c r="AT180" i="2"/>
  <c r="AS180" i="2"/>
  <c r="AR180" i="2"/>
  <c r="AQ180" i="2"/>
  <c r="AP180" i="2"/>
  <c r="AO180" i="2"/>
  <c r="AL180" i="2"/>
  <c r="AK180" i="2"/>
  <c r="BQ179" i="2"/>
  <c r="BP179" i="2"/>
  <c r="AB179" i="1"/>
  <c r="BO179" i="2"/>
  <c r="AA179" i="1"/>
  <c r="BN179" i="2"/>
  <c r="BM179" i="2"/>
  <c r="BL179" i="2"/>
  <c r="BK179" i="2"/>
  <c r="W179" i="1"/>
  <c r="BJ179" i="2"/>
  <c r="BI179" i="2"/>
  <c r="BH179" i="2"/>
  <c r="T179" i="1"/>
  <c r="BG179" i="2"/>
  <c r="BF179" i="2"/>
  <c r="BE179" i="2"/>
  <c r="BD179" i="2"/>
  <c r="BC179" i="2"/>
  <c r="BB179" i="2"/>
  <c r="BA179" i="2"/>
  <c r="AZ179" i="2"/>
  <c r="AY179" i="2"/>
  <c r="AX179" i="2"/>
  <c r="J179" i="1"/>
  <c r="AW179" i="2"/>
  <c r="I179" i="1"/>
  <c r="AV179" i="2"/>
  <c r="AU179" i="2"/>
  <c r="AT179" i="2"/>
  <c r="AS179" i="2"/>
  <c r="AR179" i="2"/>
  <c r="AQ179" i="2"/>
  <c r="AP179" i="2"/>
  <c r="AO179" i="2"/>
  <c r="AL179" i="2"/>
  <c r="AK179" i="2"/>
  <c r="BQ178" i="2"/>
  <c r="BP178" i="2"/>
  <c r="AB178" i="1"/>
  <c r="BO178" i="2"/>
  <c r="AA178" i="1"/>
  <c r="BN178" i="2"/>
  <c r="BM178" i="2"/>
  <c r="BL178" i="2"/>
  <c r="BK178" i="2"/>
  <c r="W178" i="1"/>
  <c r="BJ178" i="2"/>
  <c r="BI178" i="2"/>
  <c r="BH178" i="2"/>
  <c r="T178" i="1"/>
  <c r="BG178" i="2"/>
  <c r="BF178" i="2"/>
  <c r="BE178" i="2"/>
  <c r="BD178" i="2"/>
  <c r="BC178" i="2"/>
  <c r="BB178" i="2"/>
  <c r="BA178" i="2"/>
  <c r="AZ178" i="2"/>
  <c r="AY178" i="2"/>
  <c r="AX178" i="2"/>
  <c r="J178" i="1"/>
  <c r="AW178" i="2"/>
  <c r="I178" i="1"/>
  <c r="AV178" i="2"/>
  <c r="AU178" i="2"/>
  <c r="AT178" i="2"/>
  <c r="AS178" i="2"/>
  <c r="AR178" i="2"/>
  <c r="AQ178" i="2"/>
  <c r="AP178" i="2"/>
  <c r="AO178" i="2"/>
  <c r="AL178" i="2"/>
  <c r="AK178" i="2"/>
  <c r="BQ177" i="2"/>
  <c r="BP177" i="2"/>
  <c r="AB177" i="1"/>
  <c r="BO177" i="2"/>
  <c r="AA177" i="1"/>
  <c r="BN177" i="2"/>
  <c r="BM177" i="2"/>
  <c r="BL177" i="2"/>
  <c r="BK177" i="2"/>
  <c r="W177" i="1"/>
  <c r="BJ177" i="2"/>
  <c r="BI177" i="2"/>
  <c r="BH177" i="2"/>
  <c r="T177" i="1"/>
  <c r="BG177" i="2"/>
  <c r="BF177" i="2"/>
  <c r="BE177" i="2"/>
  <c r="BD177" i="2"/>
  <c r="BC177" i="2"/>
  <c r="BB177" i="2"/>
  <c r="BA177" i="2"/>
  <c r="AZ177" i="2"/>
  <c r="AY177" i="2"/>
  <c r="AX177" i="2"/>
  <c r="J177" i="1"/>
  <c r="AW177" i="2"/>
  <c r="I177" i="1"/>
  <c r="AV177" i="2"/>
  <c r="AU177" i="2"/>
  <c r="AT177" i="2"/>
  <c r="AS177" i="2"/>
  <c r="AR177" i="2"/>
  <c r="AQ177" i="2"/>
  <c r="AP177" i="2"/>
  <c r="AO177" i="2"/>
  <c r="AL177" i="2"/>
  <c r="AK177" i="2"/>
  <c r="BQ176" i="2"/>
  <c r="BP176" i="2"/>
  <c r="AB176" i="1"/>
  <c r="BO176" i="2"/>
  <c r="AA176" i="1"/>
  <c r="BN176" i="2"/>
  <c r="BM176" i="2"/>
  <c r="BL176" i="2"/>
  <c r="BK176" i="2"/>
  <c r="W176" i="1"/>
  <c r="BJ176" i="2"/>
  <c r="BI176" i="2"/>
  <c r="BH176" i="2"/>
  <c r="T176" i="1"/>
  <c r="BG176" i="2"/>
  <c r="BF176" i="2"/>
  <c r="BE176" i="2"/>
  <c r="BD176" i="2"/>
  <c r="BC176" i="2"/>
  <c r="BB176" i="2"/>
  <c r="BA176" i="2"/>
  <c r="AZ176" i="2"/>
  <c r="AY176" i="2"/>
  <c r="AX176" i="2"/>
  <c r="J176" i="1"/>
  <c r="AW176" i="2"/>
  <c r="I176" i="1"/>
  <c r="AV176" i="2"/>
  <c r="AU176" i="2"/>
  <c r="AT176" i="2"/>
  <c r="AS176" i="2"/>
  <c r="AR176" i="2"/>
  <c r="AQ176" i="2"/>
  <c r="AP176" i="2"/>
  <c r="AO176" i="2"/>
  <c r="AL176" i="2"/>
  <c r="AK176" i="2"/>
  <c r="BQ175" i="2"/>
  <c r="BP175" i="2"/>
  <c r="AB175" i="1"/>
  <c r="BO175" i="2"/>
  <c r="AA175" i="1"/>
  <c r="BN175" i="2"/>
  <c r="BM175" i="2"/>
  <c r="BL175" i="2"/>
  <c r="BK175" i="2"/>
  <c r="W175" i="1"/>
  <c r="BJ175" i="2"/>
  <c r="BI175" i="2"/>
  <c r="BH175" i="2"/>
  <c r="T175" i="1"/>
  <c r="BG175" i="2"/>
  <c r="BF175" i="2"/>
  <c r="BE175" i="2"/>
  <c r="BD175" i="2"/>
  <c r="BC175" i="2"/>
  <c r="BB175" i="2"/>
  <c r="BA175" i="2"/>
  <c r="AZ175" i="2"/>
  <c r="AY175" i="2"/>
  <c r="AX175" i="2"/>
  <c r="J175" i="1"/>
  <c r="AW175" i="2"/>
  <c r="I175" i="1"/>
  <c r="AV175" i="2"/>
  <c r="AU175" i="2"/>
  <c r="AT175" i="2"/>
  <c r="AS175" i="2"/>
  <c r="AR175" i="2"/>
  <c r="AQ175" i="2"/>
  <c r="AP175" i="2"/>
  <c r="AO175" i="2"/>
  <c r="AL175" i="2"/>
  <c r="AK175" i="2"/>
  <c r="BQ174" i="2"/>
  <c r="BP174" i="2"/>
  <c r="AB174" i="1"/>
  <c r="BO174" i="2"/>
  <c r="AA174" i="1"/>
  <c r="BN174" i="2"/>
  <c r="BM174" i="2"/>
  <c r="BL174" i="2"/>
  <c r="BK174" i="2"/>
  <c r="W174" i="1"/>
  <c r="BJ174" i="2"/>
  <c r="BI174" i="2"/>
  <c r="BH174" i="2"/>
  <c r="T174" i="1"/>
  <c r="BG174" i="2"/>
  <c r="BF174" i="2"/>
  <c r="BE174" i="2"/>
  <c r="BD174" i="2"/>
  <c r="BC174" i="2"/>
  <c r="BB174" i="2"/>
  <c r="BA174" i="2"/>
  <c r="AZ174" i="2"/>
  <c r="AY174" i="2"/>
  <c r="AX174" i="2"/>
  <c r="J174" i="1"/>
  <c r="AW174" i="2"/>
  <c r="I174" i="1"/>
  <c r="AV174" i="2"/>
  <c r="AU174" i="2"/>
  <c r="AT174" i="2"/>
  <c r="AS174" i="2"/>
  <c r="AR174" i="2"/>
  <c r="AQ174" i="2"/>
  <c r="AP174" i="2"/>
  <c r="AO174" i="2"/>
  <c r="AL174" i="2"/>
  <c r="AK174" i="2"/>
  <c r="BQ173" i="2"/>
  <c r="BP173" i="2"/>
  <c r="AB173" i="1"/>
  <c r="BO173" i="2"/>
  <c r="AA173" i="1"/>
  <c r="BN173" i="2"/>
  <c r="BM173" i="2"/>
  <c r="BL173" i="2"/>
  <c r="BK173" i="2"/>
  <c r="W173" i="1"/>
  <c r="BJ173" i="2"/>
  <c r="BI173" i="2"/>
  <c r="BH173" i="2"/>
  <c r="T173" i="1"/>
  <c r="BG173" i="2"/>
  <c r="BF173" i="2"/>
  <c r="BE173" i="2"/>
  <c r="BD173" i="2"/>
  <c r="BC173" i="2"/>
  <c r="BB173" i="2"/>
  <c r="BA173" i="2"/>
  <c r="AZ173" i="2"/>
  <c r="AY173" i="2"/>
  <c r="AX173" i="2"/>
  <c r="J173" i="1"/>
  <c r="AW173" i="2"/>
  <c r="I173" i="1"/>
  <c r="AV173" i="2"/>
  <c r="AU173" i="2"/>
  <c r="AT173" i="2"/>
  <c r="AS173" i="2"/>
  <c r="AR173" i="2"/>
  <c r="AQ173" i="2"/>
  <c r="AP173" i="2"/>
  <c r="AO173" i="2"/>
  <c r="AL173" i="2"/>
  <c r="AK173" i="2"/>
  <c r="BQ172" i="2"/>
  <c r="BP172" i="2"/>
  <c r="AB172" i="1"/>
  <c r="BO172" i="2"/>
  <c r="AA172" i="1"/>
  <c r="BN172" i="2"/>
  <c r="BM172" i="2"/>
  <c r="BL172" i="2"/>
  <c r="BK172" i="2"/>
  <c r="W172" i="1"/>
  <c r="BJ172" i="2"/>
  <c r="BI172" i="2"/>
  <c r="BH172" i="2"/>
  <c r="T172" i="1"/>
  <c r="BG172" i="2"/>
  <c r="BF172" i="2"/>
  <c r="BE172" i="2"/>
  <c r="BD172" i="2"/>
  <c r="BC172" i="2"/>
  <c r="BB172" i="2"/>
  <c r="BA172" i="2"/>
  <c r="AZ172" i="2"/>
  <c r="AY172" i="2"/>
  <c r="AX172" i="2"/>
  <c r="J172" i="1"/>
  <c r="AW172" i="2"/>
  <c r="I172" i="1"/>
  <c r="AV172" i="2"/>
  <c r="AU172" i="2"/>
  <c r="AT172" i="2"/>
  <c r="AS172" i="2"/>
  <c r="AR172" i="2"/>
  <c r="AQ172" i="2"/>
  <c r="AP172" i="2"/>
  <c r="AO172" i="2"/>
  <c r="AL172" i="2"/>
  <c r="AK172" i="2"/>
  <c r="BQ171" i="2"/>
  <c r="BP171" i="2"/>
  <c r="AB171" i="1"/>
  <c r="BO171" i="2"/>
  <c r="AA171" i="1"/>
  <c r="BN171" i="2"/>
  <c r="BM171" i="2"/>
  <c r="BL171" i="2"/>
  <c r="BK171" i="2"/>
  <c r="W171" i="1"/>
  <c r="BJ171" i="2"/>
  <c r="BI171" i="2"/>
  <c r="BH171" i="2"/>
  <c r="T171" i="1"/>
  <c r="BG171" i="2"/>
  <c r="BF171" i="2"/>
  <c r="BE171" i="2"/>
  <c r="BD171" i="2"/>
  <c r="BC171" i="2"/>
  <c r="BB171" i="2"/>
  <c r="BA171" i="2"/>
  <c r="AZ171" i="2"/>
  <c r="AY171" i="2"/>
  <c r="AX171" i="2"/>
  <c r="J171" i="1"/>
  <c r="AW171" i="2"/>
  <c r="I171" i="1"/>
  <c r="AV171" i="2"/>
  <c r="AU171" i="2"/>
  <c r="AT171" i="2"/>
  <c r="AS171" i="2"/>
  <c r="AR171" i="2"/>
  <c r="AQ171" i="2"/>
  <c r="AP171" i="2"/>
  <c r="AO171" i="2"/>
  <c r="AL171" i="2"/>
  <c r="AK171" i="2"/>
  <c r="BQ170" i="2"/>
  <c r="BP170" i="2"/>
  <c r="AB170" i="1"/>
  <c r="BO170" i="2"/>
  <c r="AA170" i="1"/>
  <c r="BN170" i="2"/>
  <c r="BM170" i="2"/>
  <c r="BL170" i="2"/>
  <c r="BK170" i="2"/>
  <c r="W170" i="1"/>
  <c r="BJ170" i="2"/>
  <c r="BI170" i="2"/>
  <c r="BH170" i="2"/>
  <c r="T170" i="1"/>
  <c r="BG170" i="2"/>
  <c r="BF170" i="2"/>
  <c r="BE170" i="2"/>
  <c r="BD170" i="2"/>
  <c r="BC170" i="2"/>
  <c r="BB170" i="2"/>
  <c r="BA170" i="2"/>
  <c r="AZ170" i="2"/>
  <c r="AY170" i="2"/>
  <c r="AX170" i="2"/>
  <c r="J170" i="1"/>
  <c r="AW170" i="2"/>
  <c r="I170" i="1"/>
  <c r="AV170" i="2"/>
  <c r="AU170" i="2"/>
  <c r="AT170" i="2"/>
  <c r="AS170" i="2"/>
  <c r="AR170" i="2"/>
  <c r="AQ170" i="2"/>
  <c r="AP170" i="2"/>
  <c r="AO170" i="2"/>
  <c r="AL170" i="2"/>
  <c r="AK170" i="2"/>
  <c r="BQ169" i="2"/>
  <c r="BP169" i="2"/>
  <c r="AB169" i="1"/>
  <c r="BO169" i="2"/>
  <c r="AA169" i="1"/>
  <c r="BN169" i="2"/>
  <c r="BM169" i="2"/>
  <c r="BL169" i="2"/>
  <c r="BK169" i="2"/>
  <c r="W169" i="1"/>
  <c r="BJ169" i="2"/>
  <c r="BI169" i="2"/>
  <c r="BH169" i="2"/>
  <c r="T169" i="1"/>
  <c r="BG169" i="2"/>
  <c r="BF169" i="2"/>
  <c r="BE169" i="2"/>
  <c r="BD169" i="2"/>
  <c r="BC169" i="2"/>
  <c r="BB169" i="2"/>
  <c r="BA169" i="2"/>
  <c r="AZ169" i="2"/>
  <c r="AY169" i="2"/>
  <c r="AX169" i="2"/>
  <c r="J169" i="1"/>
  <c r="AW169" i="2"/>
  <c r="I169" i="1"/>
  <c r="AV169" i="2"/>
  <c r="AU169" i="2"/>
  <c r="AT169" i="2"/>
  <c r="AS169" i="2"/>
  <c r="AR169" i="2"/>
  <c r="AQ169" i="2"/>
  <c r="AP169" i="2"/>
  <c r="AO169" i="2"/>
  <c r="AL169" i="2"/>
  <c r="AK169" i="2"/>
  <c r="BQ168" i="2"/>
  <c r="BP168" i="2"/>
  <c r="AB168" i="1"/>
  <c r="BO168" i="2"/>
  <c r="AA168" i="1"/>
  <c r="BN168" i="2"/>
  <c r="BM168" i="2"/>
  <c r="BL168" i="2"/>
  <c r="BK168" i="2"/>
  <c r="W168" i="1"/>
  <c r="BJ168" i="2"/>
  <c r="BI168" i="2"/>
  <c r="BH168" i="2"/>
  <c r="T168" i="1"/>
  <c r="BG168" i="2"/>
  <c r="BF168" i="2"/>
  <c r="BE168" i="2"/>
  <c r="BD168" i="2"/>
  <c r="BC168" i="2"/>
  <c r="BB168" i="2"/>
  <c r="BA168" i="2"/>
  <c r="AZ168" i="2"/>
  <c r="AY168" i="2"/>
  <c r="AX168" i="2"/>
  <c r="J168" i="1"/>
  <c r="AW168" i="2"/>
  <c r="I168" i="1"/>
  <c r="AV168" i="2"/>
  <c r="AU168" i="2"/>
  <c r="AT168" i="2"/>
  <c r="AS168" i="2"/>
  <c r="AR168" i="2"/>
  <c r="AQ168" i="2"/>
  <c r="AP168" i="2"/>
  <c r="AO168" i="2"/>
  <c r="AL168" i="2"/>
  <c r="AK168" i="2"/>
  <c r="BQ167" i="2"/>
  <c r="BP167" i="2"/>
  <c r="AB167" i="1"/>
  <c r="BO167" i="2"/>
  <c r="AA167" i="1"/>
  <c r="BN167" i="2"/>
  <c r="BM167" i="2"/>
  <c r="BL167" i="2"/>
  <c r="BK167" i="2"/>
  <c r="W167" i="1"/>
  <c r="BJ167" i="2"/>
  <c r="BI167" i="2"/>
  <c r="BH167" i="2"/>
  <c r="T167" i="1"/>
  <c r="BG167" i="2"/>
  <c r="BF167" i="2"/>
  <c r="BE167" i="2"/>
  <c r="BD167" i="2"/>
  <c r="BC167" i="2"/>
  <c r="BB167" i="2"/>
  <c r="BA167" i="2"/>
  <c r="AZ167" i="2"/>
  <c r="AY167" i="2"/>
  <c r="AX167" i="2"/>
  <c r="J167" i="1"/>
  <c r="AW167" i="2"/>
  <c r="I167" i="1"/>
  <c r="AV167" i="2"/>
  <c r="AU167" i="2"/>
  <c r="AT167" i="2"/>
  <c r="AS167" i="2"/>
  <c r="AR167" i="2"/>
  <c r="AQ167" i="2"/>
  <c r="AP167" i="2"/>
  <c r="AO167" i="2"/>
  <c r="AL167" i="2"/>
  <c r="AK167" i="2"/>
  <c r="BQ166" i="2"/>
  <c r="BP166" i="2"/>
  <c r="AB166" i="1"/>
  <c r="BO166" i="2"/>
  <c r="AA166" i="1"/>
  <c r="BN166" i="2"/>
  <c r="BM166" i="2"/>
  <c r="BL166" i="2"/>
  <c r="BK166" i="2"/>
  <c r="W166" i="1"/>
  <c r="BJ166" i="2"/>
  <c r="BI166" i="2"/>
  <c r="BH166" i="2"/>
  <c r="T166" i="1"/>
  <c r="BG166" i="2"/>
  <c r="BF166" i="2"/>
  <c r="BE166" i="2"/>
  <c r="BD166" i="2"/>
  <c r="BC166" i="2"/>
  <c r="BB166" i="2"/>
  <c r="BA166" i="2"/>
  <c r="AZ166" i="2"/>
  <c r="AY166" i="2"/>
  <c r="AX166" i="2"/>
  <c r="J166" i="1"/>
  <c r="AW166" i="2"/>
  <c r="I166" i="1"/>
  <c r="AV166" i="2"/>
  <c r="AU166" i="2"/>
  <c r="AT166" i="2"/>
  <c r="AS166" i="2"/>
  <c r="AR166" i="2"/>
  <c r="AQ166" i="2"/>
  <c r="AP166" i="2"/>
  <c r="AO166" i="2"/>
  <c r="AL166" i="2"/>
  <c r="AK166" i="2"/>
  <c r="BQ165" i="2"/>
  <c r="BP165" i="2"/>
  <c r="AB165" i="1"/>
  <c r="BO165" i="2"/>
  <c r="AA165" i="1"/>
  <c r="BN165" i="2"/>
  <c r="BM165" i="2"/>
  <c r="BL165" i="2"/>
  <c r="BK165" i="2"/>
  <c r="W165" i="1"/>
  <c r="BJ165" i="2"/>
  <c r="BI165" i="2"/>
  <c r="BH165" i="2"/>
  <c r="T165" i="1"/>
  <c r="BG165" i="2"/>
  <c r="BF165" i="2"/>
  <c r="BE165" i="2"/>
  <c r="BD165" i="2"/>
  <c r="BC165" i="2"/>
  <c r="BB165" i="2"/>
  <c r="BA165" i="2"/>
  <c r="AZ165" i="2"/>
  <c r="AY165" i="2"/>
  <c r="AX165" i="2"/>
  <c r="J165" i="1"/>
  <c r="AW165" i="2"/>
  <c r="I165" i="1"/>
  <c r="AV165" i="2"/>
  <c r="AU165" i="2"/>
  <c r="AT165" i="2"/>
  <c r="AS165" i="2"/>
  <c r="AR165" i="2"/>
  <c r="AQ165" i="2"/>
  <c r="AP165" i="2"/>
  <c r="AO165" i="2"/>
  <c r="AL165" i="2"/>
  <c r="AK165" i="2"/>
  <c r="BQ164" i="2"/>
  <c r="BP164" i="2"/>
  <c r="AB164" i="1"/>
  <c r="BO164" i="2"/>
  <c r="AA164" i="1"/>
  <c r="BN164" i="2"/>
  <c r="BM164" i="2"/>
  <c r="BL164" i="2"/>
  <c r="BK164" i="2"/>
  <c r="W164" i="1"/>
  <c r="BJ164" i="2"/>
  <c r="BI164" i="2"/>
  <c r="BH164" i="2"/>
  <c r="T164" i="1"/>
  <c r="BG164" i="2"/>
  <c r="BF164" i="2"/>
  <c r="BE164" i="2"/>
  <c r="BD164" i="2"/>
  <c r="BC164" i="2"/>
  <c r="BB164" i="2"/>
  <c r="BA164" i="2"/>
  <c r="AZ164" i="2"/>
  <c r="AY164" i="2"/>
  <c r="AX164" i="2"/>
  <c r="J164" i="1"/>
  <c r="AW164" i="2"/>
  <c r="I164" i="1"/>
  <c r="AV164" i="2"/>
  <c r="AU164" i="2"/>
  <c r="AT164" i="2"/>
  <c r="AS164" i="2"/>
  <c r="AR164" i="2"/>
  <c r="AQ164" i="2"/>
  <c r="AP164" i="2"/>
  <c r="AO164" i="2"/>
  <c r="AL164" i="2"/>
  <c r="AK164" i="2"/>
  <c r="BQ163" i="2"/>
  <c r="BP163" i="2"/>
  <c r="AB163" i="1"/>
  <c r="BO163" i="2"/>
  <c r="AA163" i="1"/>
  <c r="BN163" i="2"/>
  <c r="BM163" i="2"/>
  <c r="BL163" i="2"/>
  <c r="BK163" i="2"/>
  <c r="W163" i="1"/>
  <c r="BJ163" i="2"/>
  <c r="BI163" i="2"/>
  <c r="BH163" i="2"/>
  <c r="T163" i="1"/>
  <c r="BG163" i="2"/>
  <c r="BF163" i="2"/>
  <c r="BE163" i="2"/>
  <c r="BD163" i="2"/>
  <c r="BC163" i="2"/>
  <c r="BB163" i="2"/>
  <c r="BA163" i="2"/>
  <c r="AZ163" i="2"/>
  <c r="AY163" i="2"/>
  <c r="AX163" i="2"/>
  <c r="J163" i="1"/>
  <c r="AW163" i="2"/>
  <c r="I163" i="1"/>
  <c r="AV163" i="2"/>
  <c r="AU163" i="2"/>
  <c r="AT163" i="2"/>
  <c r="AS163" i="2"/>
  <c r="AR163" i="2"/>
  <c r="AQ163" i="2"/>
  <c r="AP163" i="2"/>
  <c r="AO163" i="2"/>
  <c r="AL163" i="2"/>
  <c r="AK163" i="2"/>
  <c r="BQ162" i="2"/>
  <c r="BP162" i="2"/>
  <c r="AB162" i="1"/>
  <c r="BO162" i="2"/>
  <c r="AA162" i="1"/>
  <c r="BN162" i="2"/>
  <c r="BM162" i="2"/>
  <c r="BL162" i="2"/>
  <c r="BK162" i="2"/>
  <c r="W162" i="1"/>
  <c r="BJ162" i="2"/>
  <c r="BI162" i="2"/>
  <c r="BH162" i="2"/>
  <c r="T162" i="1"/>
  <c r="BG162" i="2"/>
  <c r="BF162" i="2"/>
  <c r="BE162" i="2"/>
  <c r="BD162" i="2"/>
  <c r="BC162" i="2"/>
  <c r="BB162" i="2"/>
  <c r="BA162" i="2"/>
  <c r="AZ162" i="2"/>
  <c r="AY162" i="2"/>
  <c r="AX162" i="2"/>
  <c r="J162" i="1"/>
  <c r="AW162" i="2"/>
  <c r="I162" i="1"/>
  <c r="AV162" i="2"/>
  <c r="AU162" i="2"/>
  <c r="AT162" i="2"/>
  <c r="AS162" i="2"/>
  <c r="AR162" i="2"/>
  <c r="AQ162" i="2"/>
  <c r="AP162" i="2"/>
  <c r="AO162" i="2"/>
  <c r="AL162" i="2"/>
  <c r="AK162" i="2"/>
  <c r="BQ161" i="2"/>
  <c r="BP161" i="2"/>
  <c r="AB161" i="1"/>
  <c r="BO161" i="2"/>
  <c r="AA161" i="1"/>
  <c r="BN161" i="2"/>
  <c r="BM161" i="2"/>
  <c r="BL161" i="2"/>
  <c r="BK161" i="2"/>
  <c r="W161" i="1"/>
  <c r="BJ161" i="2"/>
  <c r="BI161" i="2"/>
  <c r="BH161" i="2"/>
  <c r="T161" i="1"/>
  <c r="BG161" i="2"/>
  <c r="BF161" i="2"/>
  <c r="BE161" i="2"/>
  <c r="BD161" i="2"/>
  <c r="BC161" i="2"/>
  <c r="BB161" i="2"/>
  <c r="BA161" i="2"/>
  <c r="AZ161" i="2"/>
  <c r="AY161" i="2"/>
  <c r="AX161" i="2"/>
  <c r="J161" i="1"/>
  <c r="AW161" i="2"/>
  <c r="I161" i="1"/>
  <c r="AV161" i="2"/>
  <c r="AU161" i="2"/>
  <c r="AT161" i="2"/>
  <c r="AS161" i="2"/>
  <c r="AR161" i="2"/>
  <c r="AQ161" i="2"/>
  <c r="AP161" i="2"/>
  <c r="AO161" i="2"/>
  <c r="AL161" i="2"/>
  <c r="AK161" i="2"/>
  <c r="BQ160" i="2"/>
  <c r="BP160" i="2"/>
  <c r="AB160" i="1"/>
  <c r="BO160" i="2"/>
  <c r="AA160" i="1"/>
  <c r="BN160" i="2"/>
  <c r="BM160" i="2"/>
  <c r="BL160" i="2"/>
  <c r="BK160" i="2"/>
  <c r="W160" i="1"/>
  <c r="BJ160" i="2"/>
  <c r="BI160" i="2"/>
  <c r="BH160" i="2"/>
  <c r="T160" i="1"/>
  <c r="BG160" i="2"/>
  <c r="BF160" i="2"/>
  <c r="BE160" i="2"/>
  <c r="BD160" i="2"/>
  <c r="BC160" i="2"/>
  <c r="BB160" i="2"/>
  <c r="BA160" i="2"/>
  <c r="AZ160" i="2"/>
  <c r="AY160" i="2"/>
  <c r="AX160" i="2"/>
  <c r="J160" i="1"/>
  <c r="AW160" i="2"/>
  <c r="I160" i="1"/>
  <c r="AV160" i="2"/>
  <c r="AU160" i="2"/>
  <c r="AT160" i="2"/>
  <c r="AS160" i="2"/>
  <c r="AR160" i="2"/>
  <c r="AQ160" i="2"/>
  <c r="AP160" i="2"/>
  <c r="AO160" i="2"/>
  <c r="AL160" i="2"/>
  <c r="AK160" i="2"/>
  <c r="BQ159" i="2"/>
  <c r="BP159" i="2"/>
  <c r="AB159" i="1"/>
  <c r="BO159" i="2"/>
  <c r="AA159" i="1"/>
  <c r="BN159" i="2"/>
  <c r="BM159" i="2"/>
  <c r="BL159" i="2"/>
  <c r="BK159" i="2"/>
  <c r="W159" i="1"/>
  <c r="BJ159" i="2"/>
  <c r="BI159" i="2"/>
  <c r="BH159" i="2"/>
  <c r="T159" i="1"/>
  <c r="BG159" i="2"/>
  <c r="BF159" i="2"/>
  <c r="BE159" i="2"/>
  <c r="BD159" i="2"/>
  <c r="BC159" i="2"/>
  <c r="BB159" i="2"/>
  <c r="BA159" i="2"/>
  <c r="AZ159" i="2"/>
  <c r="AY159" i="2"/>
  <c r="AX159" i="2"/>
  <c r="J159" i="1"/>
  <c r="AW159" i="2"/>
  <c r="I159" i="1"/>
  <c r="AV159" i="2"/>
  <c r="AU159" i="2"/>
  <c r="AT159" i="2"/>
  <c r="AS159" i="2"/>
  <c r="AR159" i="2"/>
  <c r="AQ159" i="2"/>
  <c r="AP159" i="2"/>
  <c r="AO159" i="2"/>
  <c r="AL159" i="2"/>
  <c r="AK159" i="2"/>
  <c r="BQ158" i="2"/>
  <c r="BP158" i="2"/>
  <c r="AB158" i="1"/>
  <c r="BO158" i="2"/>
  <c r="AA158" i="1"/>
  <c r="BN158" i="2"/>
  <c r="BM158" i="2"/>
  <c r="BL158" i="2"/>
  <c r="BK158" i="2"/>
  <c r="W158" i="1"/>
  <c r="BJ158" i="2"/>
  <c r="BI158" i="2"/>
  <c r="BH158" i="2"/>
  <c r="T158" i="1"/>
  <c r="BG158" i="2"/>
  <c r="BF158" i="2"/>
  <c r="BE158" i="2"/>
  <c r="BD158" i="2"/>
  <c r="BC158" i="2"/>
  <c r="BB158" i="2"/>
  <c r="BA158" i="2"/>
  <c r="AZ158" i="2"/>
  <c r="AY158" i="2"/>
  <c r="AX158" i="2"/>
  <c r="J158" i="1"/>
  <c r="AW158" i="2"/>
  <c r="I158" i="1"/>
  <c r="AV158" i="2"/>
  <c r="AU158" i="2"/>
  <c r="AT158" i="2"/>
  <c r="AS158" i="2"/>
  <c r="AR158" i="2"/>
  <c r="AQ158" i="2"/>
  <c r="AP158" i="2"/>
  <c r="AO158" i="2"/>
  <c r="AL158" i="2"/>
  <c r="AK158" i="2"/>
  <c r="BQ157" i="2"/>
  <c r="BP157" i="2"/>
  <c r="AB157" i="1"/>
  <c r="BO157" i="2"/>
  <c r="AA157" i="1"/>
  <c r="BN157" i="2"/>
  <c r="BM157" i="2"/>
  <c r="BL157" i="2"/>
  <c r="BK157" i="2"/>
  <c r="W157" i="1"/>
  <c r="BJ157" i="2"/>
  <c r="BI157" i="2"/>
  <c r="BH157" i="2"/>
  <c r="T157" i="1"/>
  <c r="BG157" i="2"/>
  <c r="BF157" i="2"/>
  <c r="BE157" i="2"/>
  <c r="BD157" i="2"/>
  <c r="BC157" i="2"/>
  <c r="BB157" i="2"/>
  <c r="BA157" i="2"/>
  <c r="AZ157" i="2"/>
  <c r="AY157" i="2"/>
  <c r="AX157" i="2"/>
  <c r="J157" i="1"/>
  <c r="AW157" i="2"/>
  <c r="I157" i="1"/>
  <c r="AV157" i="2"/>
  <c r="AU157" i="2"/>
  <c r="AT157" i="2"/>
  <c r="AS157" i="2"/>
  <c r="AR157" i="2"/>
  <c r="AQ157" i="2"/>
  <c r="AP157" i="2"/>
  <c r="AO157" i="2"/>
  <c r="AL157" i="2"/>
  <c r="AK157" i="2"/>
  <c r="BQ156" i="2"/>
  <c r="BP156" i="2"/>
  <c r="AB156" i="1"/>
  <c r="BO156" i="2"/>
  <c r="AA156" i="1"/>
  <c r="BN156" i="2"/>
  <c r="BM156" i="2"/>
  <c r="BL156" i="2"/>
  <c r="BK156" i="2"/>
  <c r="W156" i="1"/>
  <c r="BJ156" i="2"/>
  <c r="BI156" i="2"/>
  <c r="BH156" i="2"/>
  <c r="T156" i="1"/>
  <c r="BG156" i="2"/>
  <c r="BF156" i="2"/>
  <c r="BE156" i="2"/>
  <c r="BD156" i="2"/>
  <c r="BC156" i="2"/>
  <c r="BB156" i="2"/>
  <c r="BA156" i="2"/>
  <c r="AZ156" i="2"/>
  <c r="AY156" i="2"/>
  <c r="AX156" i="2"/>
  <c r="J156" i="1"/>
  <c r="AW156" i="2"/>
  <c r="I156" i="1"/>
  <c r="AV156" i="2"/>
  <c r="AU156" i="2"/>
  <c r="AT156" i="2"/>
  <c r="AS156" i="2"/>
  <c r="AR156" i="2"/>
  <c r="AQ156" i="2"/>
  <c r="AP156" i="2"/>
  <c r="AO156" i="2"/>
  <c r="AL156" i="2"/>
  <c r="AK156" i="2"/>
  <c r="BQ155" i="2"/>
  <c r="BP155" i="2"/>
  <c r="AB155" i="1"/>
  <c r="BO155" i="2"/>
  <c r="AA155" i="1"/>
  <c r="BN155" i="2"/>
  <c r="BM155" i="2"/>
  <c r="BL155" i="2"/>
  <c r="BK155" i="2"/>
  <c r="W155" i="1"/>
  <c r="BJ155" i="2"/>
  <c r="BI155" i="2"/>
  <c r="BH155" i="2"/>
  <c r="T155" i="1"/>
  <c r="BG155" i="2"/>
  <c r="BF155" i="2"/>
  <c r="BE155" i="2"/>
  <c r="BD155" i="2"/>
  <c r="BC155" i="2"/>
  <c r="BB155" i="2"/>
  <c r="BA155" i="2"/>
  <c r="AZ155" i="2"/>
  <c r="AY155" i="2"/>
  <c r="AX155" i="2"/>
  <c r="J155" i="1"/>
  <c r="AW155" i="2"/>
  <c r="I155" i="1"/>
  <c r="AV155" i="2"/>
  <c r="AU155" i="2"/>
  <c r="AT155" i="2"/>
  <c r="AS155" i="2"/>
  <c r="AR155" i="2"/>
  <c r="AQ155" i="2"/>
  <c r="AP155" i="2"/>
  <c r="AO155" i="2"/>
  <c r="AL155" i="2"/>
  <c r="AK155" i="2"/>
  <c r="BQ154" i="2"/>
  <c r="BP154" i="2"/>
  <c r="AB154" i="1"/>
  <c r="BO154" i="2"/>
  <c r="AA154" i="1"/>
  <c r="BN154" i="2"/>
  <c r="BM154" i="2"/>
  <c r="BL154" i="2"/>
  <c r="BK154" i="2"/>
  <c r="W154" i="1"/>
  <c r="BJ154" i="2"/>
  <c r="BI154" i="2"/>
  <c r="BH154" i="2"/>
  <c r="T154" i="1"/>
  <c r="BG154" i="2"/>
  <c r="BF154" i="2"/>
  <c r="BE154" i="2"/>
  <c r="BD154" i="2"/>
  <c r="BC154" i="2"/>
  <c r="BB154" i="2"/>
  <c r="BA154" i="2"/>
  <c r="AZ154" i="2"/>
  <c r="AY154" i="2"/>
  <c r="AX154" i="2"/>
  <c r="J154" i="1"/>
  <c r="AW154" i="2"/>
  <c r="I154" i="1"/>
  <c r="AV154" i="2"/>
  <c r="AU154" i="2"/>
  <c r="AT154" i="2"/>
  <c r="AS154" i="2"/>
  <c r="AR154" i="2"/>
  <c r="AQ154" i="2"/>
  <c r="AP154" i="2"/>
  <c r="AO154" i="2"/>
  <c r="AL154" i="2"/>
  <c r="AK154" i="2"/>
  <c r="BQ153" i="2"/>
  <c r="BP153" i="2"/>
  <c r="AB153" i="1"/>
  <c r="BO153" i="2"/>
  <c r="AA153" i="1"/>
  <c r="BN153" i="2"/>
  <c r="BM153" i="2"/>
  <c r="BL153" i="2"/>
  <c r="BK153" i="2"/>
  <c r="W153" i="1"/>
  <c r="BJ153" i="2"/>
  <c r="BI153" i="2"/>
  <c r="BH153" i="2"/>
  <c r="T153" i="1"/>
  <c r="BG153" i="2"/>
  <c r="BF153" i="2"/>
  <c r="BE153" i="2"/>
  <c r="BD153" i="2"/>
  <c r="BC153" i="2"/>
  <c r="BB153" i="2"/>
  <c r="BA153" i="2"/>
  <c r="AZ153" i="2"/>
  <c r="AY153" i="2"/>
  <c r="AX153" i="2"/>
  <c r="J153" i="1"/>
  <c r="AW153" i="2"/>
  <c r="I153" i="1"/>
  <c r="AV153" i="2"/>
  <c r="AU153" i="2"/>
  <c r="AT153" i="2"/>
  <c r="AS153" i="2"/>
  <c r="AR153" i="2"/>
  <c r="AQ153" i="2"/>
  <c r="AP153" i="2"/>
  <c r="AO153" i="2"/>
  <c r="AL153" i="2"/>
  <c r="AK153" i="2"/>
  <c r="BQ152" i="2"/>
  <c r="BP152" i="2"/>
  <c r="AB152" i="1"/>
  <c r="BO152" i="2"/>
  <c r="AA152" i="1"/>
  <c r="BN152" i="2"/>
  <c r="BM152" i="2"/>
  <c r="BL152" i="2"/>
  <c r="BK152" i="2"/>
  <c r="W152" i="1"/>
  <c r="BJ152" i="2"/>
  <c r="BI152" i="2"/>
  <c r="BH152" i="2"/>
  <c r="T152" i="1"/>
  <c r="BG152" i="2"/>
  <c r="BF152" i="2"/>
  <c r="BE152" i="2"/>
  <c r="BD152" i="2"/>
  <c r="BC152" i="2"/>
  <c r="BB152" i="2"/>
  <c r="BA152" i="2"/>
  <c r="AZ152" i="2"/>
  <c r="AY152" i="2"/>
  <c r="AX152" i="2"/>
  <c r="J152" i="1"/>
  <c r="AW152" i="2"/>
  <c r="I152" i="1"/>
  <c r="AV152" i="2"/>
  <c r="AU152" i="2"/>
  <c r="AT152" i="2"/>
  <c r="AS152" i="2"/>
  <c r="AR152" i="2"/>
  <c r="AQ152" i="2"/>
  <c r="AP152" i="2"/>
  <c r="AO152" i="2"/>
  <c r="AL152" i="2"/>
  <c r="AK152" i="2"/>
  <c r="BQ151" i="2"/>
  <c r="BP151" i="2"/>
  <c r="AB151" i="1"/>
  <c r="BO151" i="2"/>
  <c r="AA151" i="1"/>
  <c r="BN151" i="2"/>
  <c r="BM151" i="2"/>
  <c r="BL151" i="2"/>
  <c r="BK151" i="2"/>
  <c r="W151" i="1"/>
  <c r="BJ151" i="2"/>
  <c r="BI151" i="2"/>
  <c r="BH151" i="2"/>
  <c r="T151" i="1"/>
  <c r="BG151" i="2"/>
  <c r="BF151" i="2"/>
  <c r="BE151" i="2"/>
  <c r="BD151" i="2"/>
  <c r="BC151" i="2"/>
  <c r="BB151" i="2"/>
  <c r="BA151" i="2"/>
  <c r="AZ151" i="2"/>
  <c r="AY151" i="2"/>
  <c r="AX151" i="2"/>
  <c r="J151" i="1"/>
  <c r="AW151" i="2"/>
  <c r="I151" i="1"/>
  <c r="AV151" i="2"/>
  <c r="AU151" i="2"/>
  <c r="AT151" i="2"/>
  <c r="AS151" i="2"/>
  <c r="AR151" i="2"/>
  <c r="AQ151" i="2"/>
  <c r="AP151" i="2"/>
  <c r="AO151" i="2"/>
  <c r="AL151" i="2"/>
  <c r="AK151" i="2"/>
  <c r="BQ150" i="2"/>
  <c r="BP150" i="2"/>
  <c r="AB150" i="1"/>
  <c r="BO150" i="2"/>
  <c r="AA150" i="1"/>
  <c r="BN150" i="2"/>
  <c r="BM150" i="2"/>
  <c r="BL150" i="2"/>
  <c r="BK150" i="2"/>
  <c r="W150" i="1"/>
  <c r="BJ150" i="2"/>
  <c r="BI150" i="2"/>
  <c r="BH150" i="2"/>
  <c r="T150" i="1"/>
  <c r="BG150" i="2"/>
  <c r="BF150" i="2"/>
  <c r="BE150" i="2"/>
  <c r="BD150" i="2"/>
  <c r="BC150" i="2"/>
  <c r="BB150" i="2"/>
  <c r="BA150" i="2"/>
  <c r="AZ150" i="2"/>
  <c r="AY150" i="2"/>
  <c r="AX150" i="2"/>
  <c r="J150" i="1"/>
  <c r="AW150" i="2"/>
  <c r="I150" i="1"/>
  <c r="AV150" i="2"/>
  <c r="AU150" i="2"/>
  <c r="AT150" i="2"/>
  <c r="AS150" i="2"/>
  <c r="AR150" i="2"/>
  <c r="AQ150" i="2"/>
  <c r="AP150" i="2"/>
  <c r="AO150" i="2"/>
  <c r="AL150" i="2"/>
  <c r="AK150" i="2"/>
  <c r="BQ149" i="2"/>
  <c r="BP149" i="2"/>
  <c r="AB149" i="1"/>
  <c r="BO149" i="2"/>
  <c r="AA149" i="1"/>
  <c r="BN149" i="2"/>
  <c r="BM149" i="2"/>
  <c r="BL149" i="2"/>
  <c r="BK149" i="2"/>
  <c r="W149" i="1"/>
  <c r="BJ149" i="2"/>
  <c r="BI149" i="2"/>
  <c r="BH149" i="2"/>
  <c r="T149" i="1"/>
  <c r="BG149" i="2"/>
  <c r="BF149" i="2"/>
  <c r="BE149" i="2"/>
  <c r="BD149" i="2"/>
  <c r="BC149" i="2"/>
  <c r="BB149" i="2"/>
  <c r="BA149" i="2"/>
  <c r="AZ149" i="2"/>
  <c r="AY149" i="2"/>
  <c r="AX149" i="2"/>
  <c r="J149" i="1"/>
  <c r="AW149" i="2"/>
  <c r="I149" i="1"/>
  <c r="AV149" i="2"/>
  <c r="AU149" i="2"/>
  <c r="AT149" i="2"/>
  <c r="AS149" i="2"/>
  <c r="AR149" i="2"/>
  <c r="AQ149" i="2"/>
  <c r="AP149" i="2"/>
  <c r="AO149" i="2"/>
  <c r="AL149" i="2"/>
  <c r="AK149" i="2"/>
  <c r="BQ148" i="2"/>
  <c r="BP148" i="2"/>
  <c r="AB148" i="1"/>
  <c r="BO148" i="2"/>
  <c r="AA148" i="1"/>
  <c r="BN148" i="2"/>
  <c r="BM148" i="2"/>
  <c r="BL148" i="2"/>
  <c r="BK148" i="2"/>
  <c r="W148" i="1"/>
  <c r="BJ148" i="2"/>
  <c r="BI148" i="2"/>
  <c r="BH148" i="2"/>
  <c r="T148" i="1"/>
  <c r="BG148" i="2"/>
  <c r="BF148" i="2"/>
  <c r="BE148" i="2"/>
  <c r="BD148" i="2"/>
  <c r="BC148" i="2"/>
  <c r="BB148" i="2"/>
  <c r="BA148" i="2"/>
  <c r="AZ148" i="2"/>
  <c r="AY148" i="2"/>
  <c r="AX148" i="2"/>
  <c r="J148" i="1"/>
  <c r="AW148" i="2"/>
  <c r="I148" i="1"/>
  <c r="AV148" i="2"/>
  <c r="AU148" i="2"/>
  <c r="AT148" i="2"/>
  <c r="AS148" i="2"/>
  <c r="AR148" i="2"/>
  <c r="AQ148" i="2"/>
  <c r="AP148" i="2"/>
  <c r="AO148" i="2"/>
  <c r="AL148" i="2"/>
  <c r="AK148" i="2"/>
  <c r="BQ147" i="2"/>
  <c r="BP147" i="2"/>
  <c r="AB147" i="1"/>
  <c r="BO147" i="2"/>
  <c r="AA147" i="1"/>
  <c r="BN147" i="2"/>
  <c r="BM147" i="2"/>
  <c r="BL147" i="2"/>
  <c r="BK147" i="2"/>
  <c r="W147" i="1"/>
  <c r="BJ147" i="2"/>
  <c r="BI147" i="2"/>
  <c r="BH147" i="2"/>
  <c r="T147" i="1"/>
  <c r="BG147" i="2"/>
  <c r="BF147" i="2"/>
  <c r="BE147" i="2"/>
  <c r="BD147" i="2"/>
  <c r="BC147" i="2"/>
  <c r="BB147" i="2"/>
  <c r="BA147" i="2"/>
  <c r="AZ147" i="2"/>
  <c r="AY147" i="2"/>
  <c r="AX147" i="2"/>
  <c r="J147" i="1"/>
  <c r="AW147" i="2"/>
  <c r="I147" i="1"/>
  <c r="AV147" i="2"/>
  <c r="AU147" i="2"/>
  <c r="AT147" i="2"/>
  <c r="AS147" i="2"/>
  <c r="AR147" i="2"/>
  <c r="AQ147" i="2"/>
  <c r="AP147" i="2"/>
  <c r="AO147" i="2"/>
  <c r="AL147" i="2"/>
  <c r="AK147" i="2"/>
  <c r="BQ146" i="2"/>
  <c r="BP146" i="2"/>
  <c r="AB146" i="1"/>
  <c r="BO146" i="2"/>
  <c r="AA146" i="1"/>
  <c r="BN146" i="2"/>
  <c r="BM146" i="2"/>
  <c r="BL146" i="2"/>
  <c r="BK146" i="2"/>
  <c r="W146" i="1"/>
  <c r="BJ146" i="2"/>
  <c r="BI146" i="2"/>
  <c r="BH146" i="2"/>
  <c r="T146" i="1"/>
  <c r="BG146" i="2"/>
  <c r="BF146" i="2"/>
  <c r="BE146" i="2"/>
  <c r="BD146" i="2"/>
  <c r="BC146" i="2"/>
  <c r="BB146" i="2"/>
  <c r="BA146" i="2"/>
  <c r="AZ146" i="2"/>
  <c r="AY146" i="2"/>
  <c r="AX146" i="2"/>
  <c r="J146" i="1"/>
  <c r="AW146" i="2"/>
  <c r="I146" i="1"/>
  <c r="AV146" i="2"/>
  <c r="AU146" i="2"/>
  <c r="AT146" i="2"/>
  <c r="AS146" i="2"/>
  <c r="AR146" i="2"/>
  <c r="AQ146" i="2"/>
  <c r="AP146" i="2"/>
  <c r="AO146" i="2"/>
  <c r="AL146" i="2"/>
  <c r="AK146" i="2"/>
  <c r="BQ145" i="2"/>
  <c r="BP145" i="2"/>
  <c r="AB145" i="1"/>
  <c r="BO145" i="2"/>
  <c r="AA145" i="1"/>
  <c r="BN145" i="2"/>
  <c r="BM145" i="2"/>
  <c r="BL145" i="2"/>
  <c r="BK145" i="2"/>
  <c r="W145" i="1"/>
  <c r="BJ145" i="2"/>
  <c r="BI145" i="2"/>
  <c r="BH145" i="2"/>
  <c r="T145" i="1"/>
  <c r="BG145" i="2"/>
  <c r="BF145" i="2"/>
  <c r="BE145" i="2"/>
  <c r="BD145" i="2"/>
  <c r="BC145" i="2"/>
  <c r="BB145" i="2"/>
  <c r="BA145" i="2"/>
  <c r="AZ145" i="2"/>
  <c r="AY145" i="2"/>
  <c r="AX145" i="2"/>
  <c r="J145" i="1"/>
  <c r="AW145" i="2"/>
  <c r="I145" i="1"/>
  <c r="AV145" i="2"/>
  <c r="AU145" i="2"/>
  <c r="AT145" i="2"/>
  <c r="AS145" i="2"/>
  <c r="AR145" i="2"/>
  <c r="AQ145" i="2"/>
  <c r="AP145" i="2"/>
  <c r="AO145" i="2"/>
  <c r="AL145" i="2"/>
  <c r="AK145" i="2"/>
  <c r="BQ144" i="2"/>
  <c r="BP144" i="2"/>
  <c r="AB144" i="1"/>
  <c r="BO144" i="2"/>
  <c r="AA144" i="1"/>
  <c r="BN144" i="2"/>
  <c r="BM144" i="2"/>
  <c r="BL144" i="2"/>
  <c r="BK144" i="2"/>
  <c r="W144" i="1"/>
  <c r="BJ144" i="2"/>
  <c r="BI144" i="2"/>
  <c r="BH144" i="2"/>
  <c r="T144" i="1"/>
  <c r="BG144" i="2"/>
  <c r="BF144" i="2"/>
  <c r="BE144" i="2"/>
  <c r="BD144" i="2"/>
  <c r="BC144" i="2"/>
  <c r="BB144" i="2"/>
  <c r="BA144" i="2"/>
  <c r="AZ144" i="2"/>
  <c r="AY144" i="2"/>
  <c r="AX144" i="2"/>
  <c r="J144" i="1"/>
  <c r="AW144" i="2"/>
  <c r="I144" i="1"/>
  <c r="AV144" i="2"/>
  <c r="AU144" i="2"/>
  <c r="AT144" i="2"/>
  <c r="AS144" i="2"/>
  <c r="AR144" i="2"/>
  <c r="AQ144" i="2"/>
  <c r="AP144" i="2"/>
  <c r="AO144" i="2"/>
  <c r="AL144" i="2"/>
  <c r="AK144" i="2"/>
  <c r="BQ143" i="2"/>
  <c r="BP143" i="2"/>
  <c r="AB143" i="1"/>
  <c r="BO143" i="2"/>
  <c r="AA143" i="1"/>
  <c r="BN143" i="2"/>
  <c r="BM143" i="2"/>
  <c r="BL143" i="2"/>
  <c r="BK143" i="2"/>
  <c r="W143" i="1"/>
  <c r="BJ143" i="2"/>
  <c r="BI143" i="2"/>
  <c r="BH143" i="2"/>
  <c r="T143" i="1"/>
  <c r="BG143" i="2"/>
  <c r="BF143" i="2"/>
  <c r="BE143" i="2"/>
  <c r="BD143" i="2"/>
  <c r="BC143" i="2"/>
  <c r="BB143" i="2"/>
  <c r="BA143" i="2"/>
  <c r="AZ143" i="2"/>
  <c r="AY143" i="2"/>
  <c r="AX143" i="2"/>
  <c r="J143" i="1"/>
  <c r="AW143" i="2"/>
  <c r="I143" i="1"/>
  <c r="AV143" i="2"/>
  <c r="AU143" i="2"/>
  <c r="AT143" i="2"/>
  <c r="AS143" i="2"/>
  <c r="AR143" i="2"/>
  <c r="AQ143" i="2"/>
  <c r="AP143" i="2"/>
  <c r="AO143" i="2"/>
  <c r="AL143" i="2"/>
  <c r="AK143" i="2"/>
  <c r="BQ142" i="2"/>
  <c r="BP142" i="2"/>
  <c r="AB142" i="1"/>
  <c r="BO142" i="2"/>
  <c r="AA142" i="1"/>
  <c r="BN142" i="2"/>
  <c r="BM142" i="2"/>
  <c r="BL142" i="2"/>
  <c r="BK142" i="2"/>
  <c r="W142" i="1"/>
  <c r="BJ142" i="2"/>
  <c r="BI142" i="2"/>
  <c r="BH142" i="2"/>
  <c r="T142" i="1"/>
  <c r="BG142" i="2"/>
  <c r="BF142" i="2"/>
  <c r="BE142" i="2"/>
  <c r="BD142" i="2"/>
  <c r="BC142" i="2"/>
  <c r="BB142" i="2"/>
  <c r="BA142" i="2"/>
  <c r="AZ142" i="2"/>
  <c r="AY142" i="2"/>
  <c r="AX142" i="2"/>
  <c r="J142" i="1"/>
  <c r="AW142" i="2"/>
  <c r="I142" i="1"/>
  <c r="AV142" i="2"/>
  <c r="AU142" i="2"/>
  <c r="AT142" i="2"/>
  <c r="AS142" i="2"/>
  <c r="AR142" i="2"/>
  <c r="AQ142" i="2"/>
  <c r="AP142" i="2"/>
  <c r="AO142" i="2"/>
  <c r="AL142" i="2"/>
  <c r="AK142" i="2"/>
  <c r="BQ141" i="2"/>
  <c r="BP141" i="2"/>
  <c r="AB141" i="1"/>
  <c r="BO141" i="2"/>
  <c r="AA141" i="1"/>
  <c r="BN141" i="2"/>
  <c r="BM141" i="2"/>
  <c r="BL141" i="2"/>
  <c r="BK141" i="2"/>
  <c r="W141" i="1"/>
  <c r="BJ141" i="2"/>
  <c r="BI141" i="2"/>
  <c r="BH141" i="2"/>
  <c r="T141" i="1"/>
  <c r="BG141" i="2"/>
  <c r="BF141" i="2"/>
  <c r="BE141" i="2"/>
  <c r="BD141" i="2"/>
  <c r="BC141" i="2"/>
  <c r="BB141" i="2"/>
  <c r="BA141" i="2"/>
  <c r="AZ141" i="2"/>
  <c r="AY141" i="2"/>
  <c r="AX141" i="2"/>
  <c r="J141" i="1"/>
  <c r="AW141" i="2"/>
  <c r="I141" i="1"/>
  <c r="AV141" i="2"/>
  <c r="AU141" i="2"/>
  <c r="AT141" i="2"/>
  <c r="AS141" i="2"/>
  <c r="AR141" i="2"/>
  <c r="AQ141" i="2"/>
  <c r="AP141" i="2"/>
  <c r="AO141" i="2"/>
  <c r="AL141" i="2"/>
  <c r="AK141" i="2"/>
  <c r="BQ140" i="2"/>
  <c r="BP140" i="2"/>
  <c r="AB140" i="1"/>
  <c r="BO140" i="2"/>
  <c r="AA140" i="1"/>
  <c r="BN140" i="2"/>
  <c r="BM140" i="2"/>
  <c r="BL140" i="2"/>
  <c r="BK140" i="2"/>
  <c r="W140" i="1"/>
  <c r="BJ140" i="2"/>
  <c r="BI140" i="2"/>
  <c r="BH140" i="2"/>
  <c r="T140" i="1"/>
  <c r="BG140" i="2"/>
  <c r="BF140" i="2"/>
  <c r="BE140" i="2"/>
  <c r="BD140" i="2"/>
  <c r="BC140" i="2"/>
  <c r="BB140" i="2"/>
  <c r="BA140" i="2"/>
  <c r="AZ140" i="2"/>
  <c r="AY140" i="2"/>
  <c r="AX140" i="2"/>
  <c r="J140" i="1"/>
  <c r="AW140" i="2"/>
  <c r="I140" i="1"/>
  <c r="AV140" i="2"/>
  <c r="AU140" i="2"/>
  <c r="AT140" i="2"/>
  <c r="AS140" i="2"/>
  <c r="AR140" i="2"/>
  <c r="AQ140" i="2"/>
  <c r="AP140" i="2"/>
  <c r="AO140" i="2"/>
  <c r="AL140" i="2"/>
  <c r="AK140" i="2"/>
  <c r="BQ139" i="2"/>
  <c r="BP139" i="2"/>
  <c r="AB139" i="1"/>
  <c r="BO139" i="2"/>
  <c r="AA139" i="1"/>
  <c r="BN139" i="2"/>
  <c r="BM139" i="2"/>
  <c r="BL139" i="2"/>
  <c r="BK139" i="2"/>
  <c r="W139" i="1"/>
  <c r="BJ139" i="2"/>
  <c r="BI139" i="2"/>
  <c r="BH139" i="2"/>
  <c r="T139" i="1"/>
  <c r="BG139" i="2"/>
  <c r="BF139" i="2"/>
  <c r="BE139" i="2"/>
  <c r="BD139" i="2"/>
  <c r="BC139" i="2"/>
  <c r="BB139" i="2"/>
  <c r="BA139" i="2"/>
  <c r="AZ139" i="2"/>
  <c r="AY139" i="2"/>
  <c r="AX139" i="2"/>
  <c r="J139" i="1"/>
  <c r="AW139" i="2"/>
  <c r="I139" i="1"/>
  <c r="AV139" i="2"/>
  <c r="AU139" i="2"/>
  <c r="AT139" i="2"/>
  <c r="AS139" i="2"/>
  <c r="AR139" i="2"/>
  <c r="AQ139" i="2"/>
  <c r="AP139" i="2"/>
  <c r="AO139" i="2"/>
  <c r="AL139" i="2"/>
  <c r="AK139" i="2"/>
  <c r="BQ138" i="2"/>
  <c r="BP138" i="2"/>
  <c r="AB138" i="1"/>
  <c r="BO138" i="2"/>
  <c r="AA138" i="1"/>
  <c r="BN138" i="2"/>
  <c r="BM138" i="2"/>
  <c r="BL138" i="2"/>
  <c r="BK138" i="2"/>
  <c r="W138" i="1"/>
  <c r="BJ138" i="2"/>
  <c r="BI138" i="2"/>
  <c r="BH138" i="2"/>
  <c r="T138" i="1"/>
  <c r="BG138" i="2"/>
  <c r="BF138" i="2"/>
  <c r="BE138" i="2"/>
  <c r="BD138" i="2"/>
  <c r="BC138" i="2"/>
  <c r="BB138" i="2"/>
  <c r="BA138" i="2"/>
  <c r="AZ138" i="2"/>
  <c r="AY138" i="2"/>
  <c r="AX138" i="2"/>
  <c r="J138" i="1"/>
  <c r="AW138" i="2"/>
  <c r="I138" i="1"/>
  <c r="AV138" i="2"/>
  <c r="AU138" i="2"/>
  <c r="AT138" i="2"/>
  <c r="AS138" i="2"/>
  <c r="AR138" i="2"/>
  <c r="AQ138" i="2"/>
  <c r="AP138" i="2"/>
  <c r="AO138" i="2"/>
  <c r="AL138" i="2"/>
  <c r="AK138" i="2"/>
  <c r="BQ137" i="2"/>
  <c r="BP137" i="2"/>
  <c r="AB137" i="1"/>
  <c r="BO137" i="2"/>
  <c r="AA137" i="1"/>
  <c r="BN137" i="2"/>
  <c r="BM137" i="2"/>
  <c r="BL137" i="2"/>
  <c r="BK137" i="2"/>
  <c r="W137" i="1"/>
  <c r="BJ137" i="2"/>
  <c r="BI137" i="2"/>
  <c r="BH137" i="2"/>
  <c r="T137" i="1"/>
  <c r="BG137" i="2"/>
  <c r="BF137" i="2"/>
  <c r="BE137" i="2"/>
  <c r="BD137" i="2"/>
  <c r="BC137" i="2"/>
  <c r="BB137" i="2"/>
  <c r="BA137" i="2"/>
  <c r="AZ137" i="2"/>
  <c r="AY137" i="2"/>
  <c r="AX137" i="2"/>
  <c r="J137" i="1"/>
  <c r="AW137" i="2"/>
  <c r="I137" i="1"/>
  <c r="AV137" i="2"/>
  <c r="AU137" i="2"/>
  <c r="AT137" i="2"/>
  <c r="AS137" i="2"/>
  <c r="AR137" i="2"/>
  <c r="AQ137" i="2"/>
  <c r="AP137" i="2"/>
  <c r="AO137" i="2"/>
  <c r="AL137" i="2"/>
  <c r="AK137" i="2"/>
  <c r="BQ136" i="2"/>
  <c r="BP136" i="2"/>
  <c r="AB136" i="1"/>
  <c r="BO136" i="2"/>
  <c r="AA136" i="1"/>
  <c r="BN136" i="2"/>
  <c r="BM136" i="2"/>
  <c r="BL136" i="2"/>
  <c r="BK136" i="2"/>
  <c r="W136" i="1"/>
  <c r="BJ136" i="2"/>
  <c r="BI136" i="2"/>
  <c r="BH136" i="2"/>
  <c r="T136" i="1"/>
  <c r="BG136" i="2"/>
  <c r="BF136" i="2"/>
  <c r="BE136" i="2"/>
  <c r="BD136" i="2"/>
  <c r="BC136" i="2"/>
  <c r="BB136" i="2"/>
  <c r="BA136" i="2"/>
  <c r="AZ136" i="2"/>
  <c r="AY136" i="2"/>
  <c r="AX136" i="2"/>
  <c r="J136" i="1"/>
  <c r="AW136" i="2"/>
  <c r="I136" i="1"/>
  <c r="AV136" i="2"/>
  <c r="AU136" i="2"/>
  <c r="AT136" i="2"/>
  <c r="AS136" i="2"/>
  <c r="AR136" i="2"/>
  <c r="AQ136" i="2"/>
  <c r="AP136" i="2"/>
  <c r="AO136" i="2"/>
  <c r="AL136" i="2"/>
  <c r="AK136" i="2"/>
  <c r="BQ135" i="2"/>
  <c r="BP135" i="2"/>
  <c r="AB135" i="1"/>
  <c r="BO135" i="2"/>
  <c r="AA135" i="1"/>
  <c r="BN135" i="2"/>
  <c r="BM135" i="2"/>
  <c r="BL135" i="2"/>
  <c r="BK135" i="2"/>
  <c r="W135" i="1"/>
  <c r="BJ135" i="2"/>
  <c r="BI135" i="2"/>
  <c r="BH135" i="2"/>
  <c r="T135" i="1"/>
  <c r="BG135" i="2"/>
  <c r="BF135" i="2"/>
  <c r="BE135" i="2"/>
  <c r="BD135" i="2"/>
  <c r="BC135" i="2"/>
  <c r="BB135" i="2"/>
  <c r="BA135" i="2"/>
  <c r="AZ135" i="2"/>
  <c r="AY135" i="2"/>
  <c r="AX135" i="2"/>
  <c r="J135" i="1"/>
  <c r="AW135" i="2"/>
  <c r="I135" i="1"/>
  <c r="AV135" i="2"/>
  <c r="AU135" i="2"/>
  <c r="AT135" i="2"/>
  <c r="AS135" i="2"/>
  <c r="AR135" i="2"/>
  <c r="AQ135" i="2"/>
  <c r="AP135" i="2"/>
  <c r="AO135" i="2"/>
  <c r="AL135" i="2"/>
  <c r="AK135" i="2"/>
  <c r="BQ134" i="2"/>
  <c r="BP134" i="2"/>
  <c r="AB134" i="1"/>
  <c r="BO134" i="2"/>
  <c r="AA134" i="1"/>
  <c r="BN134" i="2"/>
  <c r="BM134" i="2"/>
  <c r="BL134" i="2"/>
  <c r="BK134" i="2"/>
  <c r="W134" i="1"/>
  <c r="BJ134" i="2"/>
  <c r="BI134" i="2"/>
  <c r="BH134" i="2"/>
  <c r="T134" i="1"/>
  <c r="BG134" i="2"/>
  <c r="BF134" i="2"/>
  <c r="BE134" i="2"/>
  <c r="BD134" i="2"/>
  <c r="BC134" i="2"/>
  <c r="BB134" i="2"/>
  <c r="BA134" i="2"/>
  <c r="AZ134" i="2"/>
  <c r="AY134" i="2"/>
  <c r="AX134" i="2"/>
  <c r="J134" i="1"/>
  <c r="AW134" i="2"/>
  <c r="I134" i="1"/>
  <c r="AV134" i="2"/>
  <c r="AU134" i="2"/>
  <c r="AT134" i="2"/>
  <c r="AS134" i="2"/>
  <c r="AR134" i="2"/>
  <c r="AQ134" i="2"/>
  <c r="AP134" i="2"/>
  <c r="AO134" i="2"/>
  <c r="AL134" i="2"/>
  <c r="AK134" i="2"/>
  <c r="BQ133" i="2"/>
  <c r="BP133" i="2"/>
  <c r="AB133" i="1"/>
  <c r="BO133" i="2"/>
  <c r="AA133" i="1"/>
  <c r="BN133" i="2"/>
  <c r="BM133" i="2"/>
  <c r="BL133" i="2"/>
  <c r="BK133" i="2"/>
  <c r="W133" i="1"/>
  <c r="BJ133" i="2"/>
  <c r="BI133" i="2"/>
  <c r="BH133" i="2"/>
  <c r="T133" i="1"/>
  <c r="BG133" i="2"/>
  <c r="BF133" i="2"/>
  <c r="BE133" i="2"/>
  <c r="BD133" i="2"/>
  <c r="BC133" i="2"/>
  <c r="BB133" i="2"/>
  <c r="BA133" i="2"/>
  <c r="AZ133" i="2"/>
  <c r="AY133" i="2"/>
  <c r="AX133" i="2"/>
  <c r="J133" i="1"/>
  <c r="AW133" i="2"/>
  <c r="I133" i="1"/>
  <c r="AV133" i="2"/>
  <c r="AU133" i="2"/>
  <c r="AT133" i="2"/>
  <c r="AS133" i="2"/>
  <c r="AR133" i="2"/>
  <c r="AQ133" i="2"/>
  <c r="AP133" i="2"/>
  <c r="AO133" i="2"/>
  <c r="AL133" i="2"/>
  <c r="AK133" i="2"/>
  <c r="BQ132" i="2"/>
  <c r="BP132" i="2"/>
  <c r="AB132" i="1"/>
  <c r="BO132" i="2"/>
  <c r="AA132" i="1"/>
  <c r="BN132" i="2"/>
  <c r="BM132" i="2"/>
  <c r="BL132" i="2"/>
  <c r="BK132" i="2"/>
  <c r="W132" i="1"/>
  <c r="BJ132" i="2"/>
  <c r="BI132" i="2"/>
  <c r="BH132" i="2"/>
  <c r="T132" i="1"/>
  <c r="BG132" i="2"/>
  <c r="BF132" i="2"/>
  <c r="BE132" i="2"/>
  <c r="BD132" i="2"/>
  <c r="BC132" i="2"/>
  <c r="BB132" i="2"/>
  <c r="BA132" i="2"/>
  <c r="AZ132" i="2"/>
  <c r="AY132" i="2"/>
  <c r="AX132" i="2"/>
  <c r="J132" i="1"/>
  <c r="AW132" i="2"/>
  <c r="I132" i="1"/>
  <c r="AV132" i="2"/>
  <c r="AU132" i="2"/>
  <c r="AT132" i="2"/>
  <c r="AS132" i="2"/>
  <c r="AR132" i="2"/>
  <c r="AQ132" i="2"/>
  <c r="AP132" i="2"/>
  <c r="AO132" i="2"/>
  <c r="AL132" i="2"/>
  <c r="AK132" i="2"/>
  <c r="BQ131" i="2"/>
  <c r="BP131" i="2"/>
  <c r="AB131" i="1"/>
  <c r="BO131" i="2"/>
  <c r="AA131" i="1"/>
  <c r="BN131" i="2"/>
  <c r="BM131" i="2"/>
  <c r="BL131" i="2"/>
  <c r="BK131" i="2"/>
  <c r="W131" i="1"/>
  <c r="BJ131" i="2"/>
  <c r="BI131" i="2"/>
  <c r="BH131" i="2"/>
  <c r="T131" i="1"/>
  <c r="BG131" i="2"/>
  <c r="BF131" i="2"/>
  <c r="BE131" i="2"/>
  <c r="BD131" i="2"/>
  <c r="BC131" i="2"/>
  <c r="BB131" i="2"/>
  <c r="BA131" i="2"/>
  <c r="AZ131" i="2"/>
  <c r="AY131" i="2"/>
  <c r="AX131" i="2"/>
  <c r="J131" i="1"/>
  <c r="AW131" i="2"/>
  <c r="I131" i="1"/>
  <c r="AV131" i="2"/>
  <c r="AU131" i="2"/>
  <c r="AT131" i="2"/>
  <c r="AS131" i="2"/>
  <c r="AR131" i="2"/>
  <c r="AQ131" i="2"/>
  <c r="AP131" i="2"/>
  <c r="AO131" i="2"/>
  <c r="AL131" i="2"/>
  <c r="AK131" i="2"/>
  <c r="BQ130" i="2"/>
  <c r="BP130" i="2"/>
  <c r="AB130" i="1"/>
  <c r="BO130" i="2"/>
  <c r="AA130" i="1"/>
  <c r="BN130" i="2"/>
  <c r="BM130" i="2"/>
  <c r="BL130" i="2"/>
  <c r="BK130" i="2"/>
  <c r="W130" i="1"/>
  <c r="BJ130" i="2"/>
  <c r="BI130" i="2"/>
  <c r="BH130" i="2"/>
  <c r="T130" i="1"/>
  <c r="BG130" i="2"/>
  <c r="BF130" i="2"/>
  <c r="BE130" i="2"/>
  <c r="BD130" i="2"/>
  <c r="BC130" i="2"/>
  <c r="BB130" i="2"/>
  <c r="BA130" i="2"/>
  <c r="AZ130" i="2"/>
  <c r="AY130" i="2"/>
  <c r="AX130" i="2"/>
  <c r="J130" i="1"/>
  <c r="AW130" i="2"/>
  <c r="I130" i="1"/>
  <c r="AV130" i="2"/>
  <c r="AU130" i="2"/>
  <c r="AT130" i="2"/>
  <c r="AS130" i="2"/>
  <c r="AR130" i="2"/>
  <c r="AQ130" i="2"/>
  <c r="AP130" i="2"/>
  <c r="AO130" i="2"/>
  <c r="AL130" i="2"/>
  <c r="AK130" i="2"/>
  <c r="BQ129" i="2"/>
  <c r="BP129" i="2"/>
  <c r="AB129" i="1"/>
  <c r="BO129" i="2"/>
  <c r="AA129" i="1"/>
  <c r="BN129" i="2"/>
  <c r="BM129" i="2"/>
  <c r="BL129" i="2"/>
  <c r="BK129" i="2"/>
  <c r="W129" i="1"/>
  <c r="BJ129" i="2"/>
  <c r="BI129" i="2"/>
  <c r="BH129" i="2"/>
  <c r="T129" i="1"/>
  <c r="BG129" i="2"/>
  <c r="BF129" i="2"/>
  <c r="BE129" i="2"/>
  <c r="BD129" i="2"/>
  <c r="BC129" i="2"/>
  <c r="BB129" i="2"/>
  <c r="BA129" i="2"/>
  <c r="AZ129" i="2"/>
  <c r="AY129" i="2"/>
  <c r="AX129" i="2"/>
  <c r="J129" i="1"/>
  <c r="AW129" i="2"/>
  <c r="I129" i="1"/>
  <c r="AV129" i="2"/>
  <c r="AU129" i="2"/>
  <c r="AT129" i="2"/>
  <c r="AS129" i="2"/>
  <c r="AR129" i="2"/>
  <c r="AQ129" i="2"/>
  <c r="AP129" i="2"/>
  <c r="AO129" i="2"/>
  <c r="AL129" i="2"/>
  <c r="AK129" i="2"/>
  <c r="BQ128" i="2"/>
  <c r="BP128" i="2"/>
  <c r="AB128" i="1"/>
  <c r="BO128" i="2"/>
  <c r="AA128" i="1"/>
  <c r="BN128" i="2"/>
  <c r="BM128" i="2"/>
  <c r="BL128" i="2"/>
  <c r="BK128" i="2"/>
  <c r="W128" i="1"/>
  <c r="BJ128" i="2"/>
  <c r="BI128" i="2"/>
  <c r="BH128" i="2"/>
  <c r="T128" i="1"/>
  <c r="BG128" i="2"/>
  <c r="BF128" i="2"/>
  <c r="BE128" i="2"/>
  <c r="BD128" i="2"/>
  <c r="BC128" i="2"/>
  <c r="BB128" i="2"/>
  <c r="BA128" i="2"/>
  <c r="AZ128" i="2"/>
  <c r="AY128" i="2"/>
  <c r="AX128" i="2"/>
  <c r="J128" i="1"/>
  <c r="AW128" i="2"/>
  <c r="I128" i="1"/>
  <c r="AV128" i="2"/>
  <c r="AU128" i="2"/>
  <c r="AT128" i="2"/>
  <c r="AS128" i="2"/>
  <c r="AR128" i="2"/>
  <c r="AQ128" i="2"/>
  <c r="AP128" i="2"/>
  <c r="AO128" i="2"/>
  <c r="AL128" i="2"/>
  <c r="AK128" i="2"/>
  <c r="BQ127" i="2"/>
  <c r="BP127" i="2"/>
  <c r="AB127" i="1"/>
  <c r="BO127" i="2"/>
  <c r="AA127" i="1"/>
  <c r="BN127" i="2"/>
  <c r="BM127" i="2"/>
  <c r="BL127" i="2"/>
  <c r="BK127" i="2"/>
  <c r="W127" i="1"/>
  <c r="BJ127" i="2"/>
  <c r="BI127" i="2"/>
  <c r="BH127" i="2"/>
  <c r="T127" i="1"/>
  <c r="BG127" i="2"/>
  <c r="BF127" i="2"/>
  <c r="BE127" i="2"/>
  <c r="BD127" i="2"/>
  <c r="BC127" i="2"/>
  <c r="BB127" i="2"/>
  <c r="BA127" i="2"/>
  <c r="AZ127" i="2"/>
  <c r="AY127" i="2"/>
  <c r="AX127" i="2"/>
  <c r="J127" i="1"/>
  <c r="AW127" i="2"/>
  <c r="I127" i="1"/>
  <c r="AV127" i="2"/>
  <c r="AU127" i="2"/>
  <c r="AT127" i="2"/>
  <c r="AS127" i="2"/>
  <c r="AR127" i="2"/>
  <c r="AQ127" i="2"/>
  <c r="AP127" i="2"/>
  <c r="AO127" i="2"/>
  <c r="AL127" i="2"/>
  <c r="AK127" i="2"/>
  <c r="BQ126" i="2"/>
  <c r="BP126" i="2"/>
  <c r="AB126" i="1"/>
  <c r="BO126" i="2"/>
  <c r="AA126" i="1"/>
  <c r="BN126" i="2"/>
  <c r="BM126" i="2"/>
  <c r="BL126" i="2"/>
  <c r="BK126" i="2"/>
  <c r="W126" i="1"/>
  <c r="BJ126" i="2"/>
  <c r="BI126" i="2"/>
  <c r="BH126" i="2"/>
  <c r="T126" i="1"/>
  <c r="BG126" i="2"/>
  <c r="BF126" i="2"/>
  <c r="BE126" i="2"/>
  <c r="BD126" i="2"/>
  <c r="BC126" i="2"/>
  <c r="BB126" i="2"/>
  <c r="BA126" i="2"/>
  <c r="AZ126" i="2"/>
  <c r="AY126" i="2"/>
  <c r="AX126" i="2"/>
  <c r="J126" i="1"/>
  <c r="AW126" i="2"/>
  <c r="I126" i="1"/>
  <c r="AV126" i="2"/>
  <c r="AU126" i="2"/>
  <c r="AT126" i="2"/>
  <c r="AS126" i="2"/>
  <c r="AR126" i="2"/>
  <c r="AQ126" i="2"/>
  <c r="AP126" i="2"/>
  <c r="AO126" i="2"/>
  <c r="AL126" i="2"/>
  <c r="AK126" i="2"/>
  <c r="BQ125" i="2"/>
  <c r="BP125" i="2"/>
  <c r="AB125" i="1"/>
  <c r="BO125" i="2"/>
  <c r="AA125" i="1"/>
  <c r="BN125" i="2"/>
  <c r="BM125" i="2"/>
  <c r="BL125" i="2"/>
  <c r="BK125" i="2"/>
  <c r="W125" i="1"/>
  <c r="BJ125" i="2"/>
  <c r="BI125" i="2"/>
  <c r="BH125" i="2"/>
  <c r="T125" i="1"/>
  <c r="BG125" i="2"/>
  <c r="BF125" i="2"/>
  <c r="BE125" i="2"/>
  <c r="BD125" i="2"/>
  <c r="BC125" i="2"/>
  <c r="BB125" i="2"/>
  <c r="BA125" i="2"/>
  <c r="AZ125" i="2"/>
  <c r="AY125" i="2"/>
  <c r="AX125" i="2"/>
  <c r="J125" i="1"/>
  <c r="AW125" i="2"/>
  <c r="I125" i="1"/>
  <c r="AV125" i="2"/>
  <c r="AU125" i="2"/>
  <c r="AT125" i="2"/>
  <c r="AS125" i="2"/>
  <c r="AR125" i="2"/>
  <c r="AQ125" i="2"/>
  <c r="AP125" i="2"/>
  <c r="AO125" i="2"/>
  <c r="AL125" i="2"/>
  <c r="AK125" i="2"/>
  <c r="BQ124" i="2"/>
  <c r="BP124" i="2"/>
  <c r="AB124" i="1"/>
  <c r="BO124" i="2"/>
  <c r="AA124" i="1"/>
  <c r="BN124" i="2"/>
  <c r="BM124" i="2"/>
  <c r="BL124" i="2"/>
  <c r="BK124" i="2"/>
  <c r="W124" i="1"/>
  <c r="BJ124" i="2"/>
  <c r="BI124" i="2"/>
  <c r="BH124" i="2"/>
  <c r="T124" i="1"/>
  <c r="BG124" i="2"/>
  <c r="BF124" i="2"/>
  <c r="BE124" i="2"/>
  <c r="BD124" i="2"/>
  <c r="BC124" i="2"/>
  <c r="BB124" i="2"/>
  <c r="BA124" i="2"/>
  <c r="AZ124" i="2"/>
  <c r="AY124" i="2"/>
  <c r="AX124" i="2"/>
  <c r="J124" i="1"/>
  <c r="AW124" i="2"/>
  <c r="I124" i="1"/>
  <c r="AV124" i="2"/>
  <c r="AU124" i="2"/>
  <c r="AT124" i="2"/>
  <c r="AS124" i="2"/>
  <c r="AR124" i="2"/>
  <c r="AQ124" i="2"/>
  <c r="AP124" i="2"/>
  <c r="AO124" i="2"/>
  <c r="AL124" i="2"/>
  <c r="AK124" i="2"/>
  <c r="BQ123" i="2"/>
  <c r="BP123" i="2"/>
  <c r="AB123" i="1"/>
  <c r="BO123" i="2"/>
  <c r="AA123" i="1"/>
  <c r="BN123" i="2"/>
  <c r="BM123" i="2"/>
  <c r="BL123" i="2"/>
  <c r="BK123" i="2"/>
  <c r="W123" i="1"/>
  <c r="BJ123" i="2"/>
  <c r="BI123" i="2"/>
  <c r="BH123" i="2"/>
  <c r="T123" i="1"/>
  <c r="BG123" i="2"/>
  <c r="BF123" i="2"/>
  <c r="BE123" i="2"/>
  <c r="BD123" i="2"/>
  <c r="BC123" i="2"/>
  <c r="BB123" i="2"/>
  <c r="BA123" i="2"/>
  <c r="AZ123" i="2"/>
  <c r="AY123" i="2"/>
  <c r="AX123" i="2"/>
  <c r="J123" i="1"/>
  <c r="AW123" i="2"/>
  <c r="I123" i="1"/>
  <c r="AV123" i="2"/>
  <c r="AU123" i="2"/>
  <c r="AT123" i="2"/>
  <c r="AS123" i="2"/>
  <c r="AR123" i="2"/>
  <c r="AQ123" i="2"/>
  <c r="AP123" i="2"/>
  <c r="AO123" i="2"/>
  <c r="AL123" i="2"/>
  <c r="AK123" i="2"/>
  <c r="BQ122" i="2"/>
  <c r="BP122" i="2"/>
  <c r="AB122" i="1"/>
  <c r="BO122" i="2"/>
  <c r="AA122" i="1"/>
  <c r="BN122" i="2"/>
  <c r="BM122" i="2"/>
  <c r="BL122" i="2"/>
  <c r="BK122" i="2"/>
  <c r="W122" i="1"/>
  <c r="BJ122" i="2"/>
  <c r="BI122" i="2"/>
  <c r="BH122" i="2"/>
  <c r="T122" i="1"/>
  <c r="BG122" i="2"/>
  <c r="BF122" i="2"/>
  <c r="BE122" i="2"/>
  <c r="BD122" i="2"/>
  <c r="BC122" i="2"/>
  <c r="BB122" i="2"/>
  <c r="BA122" i="2"/>
  <c r="AZ122" i="2"/>
  <c r="AY122" i="2"/>
  <c r="AX122" i="2"/>
  <c r="J122" i="1"/>
  <c r="AW122" i="2"/>
  <c r="I122" i="1"/>
  <c r="AV122" i="2"/>
  <c r="AU122" i="2"/>
  <c r="AT122" i="2"/>
  <c r="AS122" i="2"/>
  <c r="AR122" i="2"/>
  <c r="AQ122" i="2"/>
  <c r="AP122" i="2"/>
  <c r="AO122" i="2"/>
  <c r="AL122" i="2"/>
  <c r="AK122" i="2"/>
  <c r="BQ121" i="2"/>
  <c r="BP121" i="2"/>
  <c r="AB121" i="1"/>
  <c r="BO121" i="2"/>
  <c r="AA121" i="1"/>
  <c r="BN121" i="2"/>
  <c r="BM121" i="2"/>
  <c r="BL121" i="2"/>
  <c r="BK121" i="2"/>
  <c r="W121" i="1"/>
  <c r="BJ121" i="2"/>
  <c r="BI121" i="2"/>
  <c r="BH121" i="2"/>
  <c r="T121" i="1"/>
  <c r="BG121" i="2"/>
  <c r="BF121" i="2"/>
  <c r="BE121" i="2"/>
  <c r="BD121" i="2"/>
  <c r="BC121" i="2"/>
  <c r="BB121" i="2"/>
  <c r="BA121" i="2"/>
  <c r="AZ121" i="2"/>
  <c r="AY121" i="2"/>
  <c r="AX121" i="2"/>
  <c r="J121" i="1"/>
  <c r="AW121" i="2"/>
  <c r="I121" i="1"/>
  <c r="AV121" i="2"/>
  <c r="AU121" i="2"/>
  <c r="AT121" i="2"/>
  <c r="AS121" i="2"/>
  <c r="AR121" i="2"/>
  <c r="AQ121" i="2"/>
  <c r="AP121" i="2"/>
  <c r="AO121" i="2"/>
  <c r="AL121" i="2"/>
  <c r="AK121" i="2"/>
  <c r="BQ120" i="2"/>
  <c r="BP120" i="2"/>
  <c r="AB120" i="1"/>
  <c r="BO120" i="2"/>
  <c r="AA120" i="1"/>
  <c r="BN120" i="2"/>
  <c r="BM120" i="2"/>
  <c r="BL120" i="2"/>
  <c r="BK120" i="2"/>
  <c r="W120" i="1"/>
  <c r="BJ120" i="2"/>
  <c r="BI120" i="2"/>
  <c r="BH120" i="2"/>
  <c r="T120" i="1"/>
  <c r="BG120" i="2"/>
  <c r="BF120" i="2"/>
  <c r="BE120" i="2"/>
  <c r="BD120" i="2"/>
  <c r="BC120" i="2"/>
  <c r="BB120" i="2"/>
  <c r="BA120" i="2"/>
  <c r="AZ120" i="2"/>
  <c r="AY120" i="2"/>
  <c r="AX120" i="2"/>
  <c r="J120" i="1"/>
  <c r="AW120" i="2"/>
  <c r="I120" i="1"/>
  <c r="AV120" i="2"/>
  <c r="AU120" i="2"/>
  <c r="AT120" i="2"/>
  <c r="AS120" i="2"/>
  <c r="AR120" i="2"/>
  <c r="AQ120" i="2"/>
  <c r="AP120" i="2"/>
  <c r="AO120" i="2"/>
  <c r="AL120" i="2"/>
  <c r="AK120" i="2"/>
  <c r="BQ119" i="2"/>
  <c r="BP119" i="2"/>
  <c r="AB119" i="1"/>
  <c r="BO119" i="2"/>
  <c r="AA119" i="1"/>
  <c r="BN119" i="2"/>
  <c r="BM119" i="2"/>
  <c r="BL119" i="2"/>
  <c r="BK119" i="2"/>
  <c r="W119" i="1"/>
  <c r="BJ119" i="2"/>
  <c r="BI119" i="2"/>
  <c r="BH119" i="2"/>
  <c r="T119" i="1"/>
  <c r="BG119" i="2"/>
  <c r="BF119" i="2"/>
  <c r="BE119" i="2"/>
  <c r="BD119" i="2"/>
  <c r="BC119" i="2"/>
  <c r="BB119" i="2"/>
  <c r="BA119" i="2"/>
  <c r="AZ119" i="2"/>
  <c r="AY119" i="2"/>
  <c r="AX119" i="2"/>
  <c r="J119" i="1"/>
  <c r="AW119" i="2"/>
  <c r="I119" i="1"/>
  <c r="AV119" i="2"/>
  <c r="AU119" i="2"/>
  <c r="AT119" i="2"/>
  <c r="AS119" i="2"/>
  <c r="AR119" i="2"/>
  <c r="AQ119" i="2"/>
  <c r="AP119" i="2"/>
  <c r="AO119" i="2"/>
  <c r="AL119" i="2"/>
  <c r="AK119" i="2"/>
  <c r="BQ118" i="2"/>
  <c r="BP118" i="2"/>
  <c r="AB118" i="1"/>
  <c r="BO118" i="2"/>
  <c r="AA118" i="1"/>
  <c r="BN118" i="2"/>
  <c r="BM118" i="2"/>
  <c r="BL118" i="2"/>
  <c r="BK118" i="2"/>
  <c r="W118" i="1"/>
  <c r="BJ118" i="2"/>
  <c r="BI118" i="2"/>
  <c r="BH118" i="2"/>
  <c r="T118" i="1"/>
  <c r="BG118" i="2"/>
  <c r="BF118" i="2"/>
  <c r="BE118" i="2"/>
  <c r="BD118" i="2"/>
  <c r="BC118" i="2"/>
  <c r="BB118" i="2"/>
  <c r="BA118" i="2"/>
  <c r="AZ118" i="2"/>
  <c r="AY118" i="2"/>
  <c r="AX118" i="2"/>
  <c r="J118" i="1"/>
  <c r="AW118" i="2"/>
  <c r="I118" i="1"/>
  <c r="AV118" i="2"/>
  <c r="AU118" i="2"/>
  <c r="AT118" i="2"/>
  <c r="AS118" i="2"/>
  <c r="AR118" i="2"/>
  <c r="AQ118" i="2"/>
  <c r="AP118" i="2"/>
  <c r="AO118" i="2"/>
  <c r="AL118" i="2"/>
  <c r="AK118" i="2"/>
  <c r="BQ117" i="2"/>
  <c r="BP117" i="2"/>
  <c r="AB117" i="1"/>
  <c r="BO117" i="2"/>
  <c r="AA117" i="1"/>
  <c r="BN117" i="2"/>
  <c r="BM117" i="2"/>
  <c r="BL117" i="2"/>
  <c r="BK117" i="2"/>
  <c r="W117" i="1"/>
  <c r="BJ117" i="2"/>
  <c r="BI117" i="2"/>
  <c r="BH117" i="2"/>
  <c r="T117" i="1"/>
  <c r="BG117" i="2"/>
  <c r="BF117" i="2"/>
  <c r="BE117" i="2"/>
  <c r="BD117" i="2"/>
  <c r="BC117" i="2"/>
  <c r="BB117" i="2"/>
  <c r="BA117" i="2"/>
  <c r="AZ117" i="2"/>
  <c r="AY117" i="2"/>
  <c r="AX117" i="2"/>
  <c r="J117" i="1"/>
  <c r="AW117" i="2"/>
  <c r="I117" i="1"/>
  <c r="AV117" i="2"/>
  <c r="AU117" i="2"/>
  <c r="AT117" i="2"/>
  <c r="AS117" i="2"/>
  <c r="AR117" i="2"/>
  <c r="AQ117" i="2"/>
  <c r="AP117" i="2"/>
  <c r="AO117" i="2"/>
  <c r="AL117" i="2"/>
  <c r="AK117" i="2"/>
  <c r="BQ116" i="2"/>
  <c r="BP116" i="2"/>
  <c r="AB116" i="1"/>
  <c r="BO116" i="2"/>
  <c r="AA116" i="1"/>
  <c r="BN116" i="2"/>
  <c r="BM116" i="2"/>
  <c r="BL116" i="2"/>
  <c r="BK116" i="2"/>
  <c r="W116" i="1"/>
  <c r="BJ116" i="2"/>
  <c r="BI116" i="2"/>
  <c r="BH116" i="2"/>
  <c r="T116" i="1"/>
  <c r="BG116" i="2"/>
  <c r="BF116" i="2"/>
  <c r="BE116" i="2"/>
  <c r="BD116" i="2"/>
  <c r="BC116" i="2"/>
  <c r="BB116" i="2"/>
  <c r="BA116" i="2"/>
  <c r="AZ116" i="2"/>
  <c r="AY116" i="2"/>
  <c r="AX116" i="2"/>
  <c r="J116" i="1"/>
  <c r="AW116" i="2"/>
  <c r="I116" i="1"/>
  <c r="AV116" i="2"/>
  <c r="AU116" i="2"/>
  <c r="AT116" i="2"/>
  <c r="AS116" i="2"/>
  <c r="AR116" i="2"/>
  <c r="AQ116" i="2"/>
  <c r="AP116" i="2"/>
  <c r="AO116" i="2"/>
  <c r="AL116" i="2"/>
  <c r="AK116" i="2"/>
  <c r="BQ115" i="2"/>
  <c r="BP115" i="2"/>
  <c r="AB115" i="1"/>
  <c r="BO115" i="2"/>
  <c r="AA115" i="1"/>
  <c r="BN115" i="2"/>
  <c r="BM115" i="2"/>
  <c r="BL115" i="2"/>
  <c r="BK115" i="2"/>
  <c r="W115" i="1"/>
  <c r="BJ115" i="2"/>
  <c r="BI115" i="2"/>
  <c r="BH115" i="2"/>
  <c r="T115" i="1"/>
  <c r="BG115" i="2"/>
  <c r="BF115" i="2"/>
  <c r="BE115" i="2"/>
  <c r="BD115" i="2"/>
  <c r="BC115" i="2"/>
  <c r="BB115" i="2"/>
  <c r="BA115" i="2"/>
  <c r="AZ115" i="2"/>
  <c r="AY115" i="2"/>
  <c r="AX115" i="2"/>
  <c r="J115" i="1"/>
  <c r="AW115" i="2"/>
  <c r="I115" i="1"/>
  <c r="AV115" i="2"/>
  <c r="AU115" i="2"/>
  <c r="AT115" i="2"/>
  <c r="AS115" i="2"/>
  <c r="AR115" i="2"/>
  <c r="AQ115" i="2"/>
  <c r="AP115" i="2"/>
  <c r="AO115" i="2"/>
  <c r="AL115" i="2"/>
  <c r="AK115" i="2"/>
  <c r="BQ114" i="2"/>
  <c r="BP114" i="2"/>
  <c r="AB114" i="1"/>
  <c r="BO114" i="2"/>
  <c r="AA114" i="1"/>
  <c r="BN114" i="2"/>
  <c r="BM114" i="2"/>
  <c r="BL114" i="2"/>
  <c r="BK114" i="2"/>
  <c r="W114" i="1"/>
  <c r="BJ114" i="2"/>
  <c r="BI114" i="2"/>
  <c r="BH114" i="2"/>
  <c r="T114" i="1"/>
  <c r="BG114" i="2"/>
  <c r="BF114" i="2"/>
  <c r="BE114" i="2"/>
  <c r="BD114" i="2"/>
  <c r="BC114" i="2"/>
  <c r="BB114" i="2"/>
  <c r="BA114" i="2"/>
  <c r="AZ114" i="2"/>
  <c r="AY114" i="2"/>
  <c r="AX114" i="2"/>
  <c r="J114" i="1"/>
  <c r="AW114" i="2"/>
  <c r="I114" i="1"/>
  <c r="AV114" i="2"/>
  <c r="AU114" i="2"/>
  <c r="AT114" i="2"/>
  <c r="AS114" i="2"/>
  <c r="AR114" i="2"/>
  <c r="AQ114" i="2"/>
  <c r="AP114" i="2"/>
  <c r="AO114" i="2"/>
  <c r="AL114" i="2"/>
  <c r="AK114" i="2"/>
  <c r="BQ113" i="2"/>
  <c r="BP113" i="2"/>
  <c r="AB113" i="1"/>
  <c r="BO113" i="2"/>
  <c r="AA113" i="1"/>
  <c r="BN113" i="2"/>
  <c r="BM113" i="2"/>
  <c r="BL113" i="2"/>
  <c r="BK113" i="2"/>
  <c r="W113" i="1"/>
  <c r="BJ113" i="2"/>
  <c r="BI113" i="2"/>
  <c r="BH113" i="2"/>
  <c r="T113" i="1"/>
  <c r="BG113" i="2"/>
  <c r="BF113" i="2"/>
  <c r="BE113" i="2"/>
  <c r="BD113" i="2"/>
  <c r="BC113" i="2"/>
  <c r="BB113" i="2"/>
  <c r="BA113" i="2"/>
  <c r="AZ113" i="2"/>
  <c r="AY113" i="2"/>
  <c r="AX113" i="2"/>
  <c r="J113" i="1"/>
  <c r="AW113" i="2"/>
  <c r="I113" i="1"/>
  <c r="AV113" i="2"/>
  <c r="AU113" i="2"/>
  <c r="AT113" i="2"/>
  <c r="AS113" i="2"/>
  <c r="AR113" i="2"/>
  <c r="AQ113" i="2"/>
  <c r="AP113" i="2"/>
  <c r="AO113" i="2"/>
  <c r="AL113" i="2"/>
  <c r="AK113" i="2"/>
  <c r="BQ112" i="2"/>
  <c r="BP112" i="2"/>
  <c r="AB112" i="1"/>
  <c r="BO112" i="2"/>
  <c r="AA112" i="1"/>
  <c r="BN112" i="2"/>
  <c r="BM112" i="2"/>
  <c r="BL112" i="2"/>
  <c r="BK112" i="2"/>
  <c r="W112" i="1"/>
  <c r="BJ112" i="2"/>
  <c r="BI112" i="2"/>
  <c r="BH112" i="2"/>
  <c r="T112" i="1"/>
  <c r="BG112" i="2"/>
  <c r="BF112" i="2"/>
  <c r="BE112" i="2"/>
  <c r="BD112" i="2"/>
  <c r="BC112" i="2"/>
  <c r="BB112" i="2"/>
  <c r="BA112" i="2"/>
  <c r="AZ112" i="2"/>
  <c r="AY112" i="2"/>
  <c r="AX112" i="2"/>
  <c r="J112" i="1"/>
  <c r="AW112" i="2"/>
  <c r="I112" i="1"/>
  <c r="AV112" i="2"/>
  <c r="AU112" i="2"/>
  <c r="AT112" i="2"/>
  <c r="AS112" i="2"/>
  <c r="AR112" i="2"/>
  <c r="AQ112" i="2"/>
  <c r="AP112" i="2"/>
  <c r="AO112" i="2"/>
  <c r="AL112" i="2"/>
  <c r="AK112" i="2"/>
  <c r="BQ111" i="2"/>
  <c r="BP111" i="2"/>
  <c r="AB111" i="1"/>
  <c r="BO111" i="2"/>
  <c r="AA111" i="1"/>
  <c r="BN111" i="2"/>
  <c r="BM111" i="2"/>
  <c r="BL111" i="2"/>
  <c r="BK111" i="2"/>
  <c r="W111" i="1"/>
  <c r="BJ111" i="2"/>
  <c r="BI111" i="2"/>
  <c r="BH111" i="2"/>
  <c r="T111" i="1"/>
  <c r="BG111" i="2"/>
  <c r="BF111" i="2"/>
  <c r="BE111" i="2"/>
  <c r="BD111" i="2"/>
  <c r="BC111" i="2"/>
  <c r="BB111" i="2"/>
  <c r="BA111" i="2"/>
  <c r="AZ111" i="2"/>
  <c r="AY111" i="2"/>
  <c r="AX111" i="2"/>
  <c r="J111" i="1"/>
  <c r="AW111" i="2"/>
  <c r="I111" i="1"/>
  <c r="AV111" i="2"/>
  <c r="AU111" i="2"/>
  <c r="AT111" i="2"/>
  <c r="AS111" i="2"/>
  <c r="AR111" i="2"/>
  <c r="AQ111" i="2"/>
  <c r="AP111" i="2"/>
  <c r="AO111" i="2"/>
  <c r="AL111" i="2"/>
  <c r="AK111" i="2"/>
  <c r="BQ110" i="2"/>
  <c r="BP110" i="2"/>
  <c r="AB110" i="1"/>
  <c r="BO110" i="2"/>
  <c r="AA110" i="1"/>
  <c r="BN110" i="2"/>
  <c r="BM110" i="2"/>
  <c r="BL110" i="2"/>
  <c r="BK110" i="2"/>
  <c r="W110" i="1"/>
  <c r="BJ110" i="2"/>
  <c r="BI110" i="2"/>
  <c r="BH110" i="2"/>
  <c r="T110" i="1"/>
  <c r="BG110" i="2"/>
  <c r="BF110" i="2"/>
  <c r="BE110" i="2"/>
  <c r="BD110" i="2"/>
  <c r="BC110" i="2"/>
  <c r="BB110" i="2"/>
  <c r="BA110" i="2"/>
  <c r="AZ110" i="2"/>
  <c r="AY110" i="2"/>
  <c r="AX110" i="2"/>
  <c r="J110" i="1"/>
  <c r="AW110" i="2"/>
  <c r="I110" i="1"/>
  <c r="AV110" i="2"/>
  <c r="AU110" i="2"/>
  <c r="AT110" i="2"/>
  <c r="AS110" i="2"/>
  <c r="AR110" i="2"/>
  <c r="AQ110" i="2"/>
  <c r="AP110" i="2"/>
  <c r="AO110" i="2"/>
  <c r="AL110" i="2"/>
  <c r="AK110" i="2"/>
  <c r="BQ109" i="2"/>
  <c r="BP109" i="2"/>
  <c r="AB109" i="1"/>
  <c r="BO109" i="2"/>
  <c r="AA109" i="1"/>
  <c r="BN109" i="2"/>
  <c r="BM109" i="2"/>
  <c r="BL109" i="2"/>
  <c r="BK109" i="2"/>
  <c r="W109" i="1"/>
  <c r="BJ109" i="2"/>
  <c r="BI109" i="2"/>
  <c r="BH109" i="2"/>
  <c r="T109" i="1"/>
  <c r="BG109" i="2"/>
  <c r="BF109" i="2"/>
  <c r="BE109" i="2"/>
  <c r="BD109" i="2"/>
  <c r="BC109" i="2"/>
  <c r="BB109" i="2"/>
  <c r="BA109" i="2"/>
  <c r="AZ109" i="2"/>
  <c r="AY109" i="2"/>
  <c r="AX109" i="2"/>
  <c r="J109" i="1"/>
  <c r="AW109" i="2"/>
  <c r="I109" i="1"/>
  <c r="AV109" i="2"/>
  <c r="AU109" i="2"/>
  <c r="AT109" i="2"/>
  <c r="AS109" i="2"/>
  <c r="AR109" i="2"/>
  <c r="AQ109" i="2"/>
  <c r="AP109" i="2"/>
  <c r="AO109" i="2"/>
  <c r="AL109" i="2"/>
  <c r="AK109" i="2"/>
  <c r="BQ108" i="2"/>
  <c r="BP108" i="2"/>
  <c r="AB108" i="1"/>
  <c r="BO108" i="2"/>
  <c r="AA108" i="1"/>
  <c r="BN108" i="2"/>
  <c r="BM108" i="2"/>
  <c r="BL108" i="2"/>
  <c r="BK108" i="2"/>
  <c r="W108" i="1"/>
  <c r="BJ108" i="2"/>
  <c r="BI108" i="2"/>
  <c r="BH108" i="2"/>
  <c r="T108" i="1"/>
  <c r="BG108" i="2"/>
  <c r="BF108" i="2"/>
  <c r="BE108" i="2"/>
  <c r="BD108" i="2"/>
  <c r="BC108" i="2"/>
  <c r="BB108" i="2"/>
  <c r="BA108" i="2"/>
  <c r="AZ108" i="2"/>
  <c r="AY108" i="2"/>
  <c r="AX108" i="2"/>
  <c r="J108" i="1"/>
  <c r="AW108" i="2"/>
  <c r="I108" i="1"/>
  <c r="AV108" i="2"/>
  <c r="AU108" i="2"/>
  <c r="AT108" i="2"/>
  <c r="AS108" i="2"/>
  <c r="AR108" i="2"/>
  <c r="AQ108" i="2"/>
  <c r="AP108" i="2"/>
  <c r="AO108" i="2"/>
  <c r="AL108" i="2"/>
  <c r="AK108" i="2"/>
  <c r="BQ107" i="2"/>
  <c r="BP107" i="2"/>
  <c r="AB107" i="1"/>
  <c r="BO107" i="2"/>
  <c r="AA107" i="1"/>
  <c r="BN107" i="2"/>
  <c r="BM107" i="2"/>
  <c r="BL107" i="2"/>
  <c r="BK107" i="2"/>
  <c r="W107" i="1"/>
  <c r="BJ107" i="2"/>
  <c r="BI107" i="2"/>
  <c r="BH107" i="2"/>
  <c r="T107" i="1"/>
  <c r="BG107" i="2"/>
  <c r="BF107" i="2"/>
  <c r="BE107" i="2"/>
  <c r="BD107" i="2"/>
  <c r="BC107" i="2"/>
  <c r="BB107" i="2"/>
  <c r="BA107" i="2"/>
  <c r="AZ107" i="2"/>
  <c r="AY107" i="2"/>
  <c r="AX107" i="2"/>
  <c r="J107" i="1"/>
  <c r="AW107" i="2"/>
  <c r="I107" i="1"/>
  <c r="AV107" i="2"/>
  <c r="AU107" i="2"/>
  <c r="AT107" i="2"/>
  <c r="AS107" i="2"/>
  <c r="AR107" i="2"/>
  <c r="AQ107" i="2"/>
  <c r="AP107" i="2"/>
  <c r="AO107" i="2"/>
  <c r="AL107" i="2"/>
  <c r="AK107" i="2"/>
  <c r="BQ106" i="2"/>
  <c r="BP106" i="2"/>
  <c r="AB106" i="1"/>
  <c r="BO106" i="2"/>
  <c r="AA106" i="1"/>
  <c r="BN106" i="2"/>
  <c r="BM106" i="2"/>
  <c r="BL106" i="2"/>
  <c r="BK106" i="2"/>
  <c r="W106" i="1"/>
  <c r="BJ106" i="2"/>
  <c r="BI106" i="2"/>
  <c r="BH106" i="2"/>
  <c r="T106" i="1"/>
  <c r="BG106" i="2"/>
  <c r="BF106" i="2"/>
  <c r="BE106" i="2"/>
  <c r="BD106" i="2"/>
  <c r="BC106" i="2"/>
  <c r="BB106" i="2"/>
  <c r="BA106" i="2"/>
  <c r="AZ106" i="2"/>
  <c r="AY106" i="2"/>
  <c r="AX106" i="2"/>
  <c r="J106" i="1"/>
  <c r="AW106" i="2"/>
  <c r="I106" i="1"/>
  <c r="AV106" i="2"/>
  <c r="AU106" i="2"/>
  <c r="AT106" i="2"/>
  <c r="AS106" i="2"/>
  <c r="AR106" i="2"/>
  <c r="AQ106" i="2"/>
  <c r="AP106" i="2"/>
  <c r="AO106" i="2"/>
  <c r="AL106" i="2"/>
  <c r="AK106" i="2"/>
  <c r="BQ105" i="2"/>
  <c r="BP105" i="2"/>
  <c r="AB105" i="1"/>
  <c r="BO105" i="2"/>
  <c r="AA105" i="1"/>
  <c r="BN105" i="2"/>
  <c r="BM105" i="2"/>
  <c r="BL105" i="2"/>
  <c r="BK105" i="2"/>
  <c r="W105" i="1"/>
  <c r="BJ105" i="2"/>
  <c r="BI105" i="2"/>
  <c r="BH105" i="2"/>
  <c r="T105" i="1"/>
  <c r="BG105" i="2"/>
  <c r="BF105" i="2"/>
  <c r="BE105" i="2"/>
  <c r="BD105" i="2"/>
  <c r="BC105" i="2"/>
  <c r="BB105" i="2"/>
  <c r="BA105" i="2"/>
  <c r="AZ105" i="2"/>
  <c r="AY105" i="2"/>
  <c r="AX105" i="2"/>
  <c r="J105" i="1"/>
  <c r="AW105" i="2"/>
  <c r="I105" i="1"/>
  <c r="AV105" i="2"/>
  <c r="AU105" i="2"/>
  <c r="AT105" i="2"/>
  <c r="AS105" i="2"/>
  <c r="AR105" i="2"/>
  <c r="AQ105" i="2"/>
  <c r="AP105" i="2"/>
  <c r="AO105" i="2"/>
  <c r="AL105" i="2"/>
  <c r="AK105" i="2"/>
  <c r="BQ104" i="2"/>
  <c r="BP104" i="2"/>
  <c r="AB104" i="1"/>
  <c r="BO104" i="2"/>
  <c r="AA104" i="1"/>
  <c r="BN104" i="2"/>
  <c r="BM104" i="2"/>
  <c r="BL104" i="2"/>
  <c r="BK104" i="2"/>
  <c r="W104" i="1"/>
  <c r="BJ104" i="2"/>
  <c r="BI104" i="2"/>
  <c r="BH104" i="2"/>
  <c r="T104" i="1"/>
  <c r="BG104" i="2"/>
  <c r="BF104" i="2"/>
  <c r="BE104" i="2"/>
  <c r="BD104" i="2"/>
  <c r="BC104" i="2"/>
  <c r="BB104" i="2"/>
  <c r="BA104" i="2"/>
  <c r="AZ104" i="2"/>
  <c r="AY104" i="2"/>
  <c r="AX104" i="2"/>
  <c r="J104" i="1"/>
  <c r="AW104" i="2"/>
  <c r="I104" i="1"/>
  <c r="AV104" i="2"/>
  <c r="AU104" i="2"/>
  <c r="AT104" i="2"/>
  <c r="AS104" i="2"/>
  <c r="AR104" i="2"/>
  <c r="AQ104" i="2"/>
  <c r="AP104" i="2"/>
  <c r="AO104" i="2"/>
  <c r="AL104" i="2"/>
  <c r="AK104" i="2"/>
  <c r="BQ103" i="2"/>
  <c r="BP103" i="2"/>
  <c r="AB103" i="1"/>
  <c r="BO103" i="2"/>
  <c r="AA103" i="1"/>
  <c r="BN103" i="2"/>
  <c r="BM103" i="2"/>
  <c r="BL103" i="2"/>
  <c r="BK103" i="2"/>
  <c r="W103" i="1"/>
  <c r="BJ103" i="2"/>
  <c r="BI103" i="2"/>
  <c r="BH103" i="2"/>
  <c r="T103" i="1"/>
  <c r="BG103" i="2"/>
  <c r="BF103" i="2"/>
  <c r="BE103" i="2"/>
  <c r="BD103" i="2"/>
  <c r="BC103" i="2"/>
  <c r="BB103" i="2"/>
  <c r="BA103" i="2"/>
  <c r="AZ103" i="2"/>
  <c r="AY103" i="2"/>
  <c r="AX103" i="2"/>
  <c r="J103" i="1"/>
  <c r="AW103" i="2"/>
  <c r="I103" i="1"/>
  <c r="AV103" i="2"/>
  <c r="AU103" i="2"/>
  <c r="AT103" i="2"/>
  <c r="AS103" i="2"/>
  <c r="AR103" i="2"/>
  <c r="AQ103" i="2"/>
  <c r="AP103" i="2"/>
  <c r="AO103" i="2"/>
  <c r="AL103" i="2"/>
  <c r="AK103" i="2"/>
  <c r="BQ102" i="2"/>
  <c r="BP102" i="2"/>
  <c r="AB102" i="1"/>
  <c r="BO102" i="2"/>
  <c r="AA102" i="1"/>
  <c r="BN102" i="2"/>
  <c r="BM102" i="2"/>
  <c r="BL102" i="2"/>
  <c r="BK102" i="2"/>
  <c r="W102" i="1"/>
  <c r="BJ102" i="2"/>
  <c r="BI102" i="2"/>
  <c r="BH102" i="2"/>
  <c r="T102" i="1"/>
  <c r="BG102" i="2"/>
  <c r="BF102" i="2"/>
  <c r="BE102" i="2"/>
  <c r="BD102" i="2"/>
  <c r="BC102" i="2"/>
  <c r="BB102" i="2"/>
  <c r="BA102" i="2"/>
  <c r="AZ102" i="2"/>
  <c r="AY102" i="2"/>
  <c r="AX102" i="2"/>
  <c r="J102" i="1"/>
  <c r="AW102" i="2"/>
  <c r="I102" i="1"/>
  <c r="AV102" i="2"/>
  <c r="AU102" i="2"/>
  <c r="AT102" i="2"/>
  <c r="AS102" i="2"/>
  <c r="AR102" i="2"/>
  <c r="AQ102" i="2"/>
  <c r="AP102" i="2"/>
  <c r="AO102" i="2"/>
  <c r="AL102" i="2"/>
  <c r="AK102" i="2"/>
  <c r="BQ101" i="2"/>
  <c r="BP101" i="2"/>
  <c r="AB101" i="1"/>
  <c r="BO101" i="2"/>
  <c r="AA101" i="1"/>
  <c r="BN101" i="2"/>
  <c r="BM101" i="2"/>
  <c r="BL101" i="2"/>
  <c r="BK101" i="2"/>
  <c r="W101" i="1"/>
  <c r="BJ101" i="2"/>
  <c r="BI101" i="2"/>
  <c r="BH101" i="2"/>
  <c r="T101" i="1"/>
  <c r="BG101" i="2"/>
  <c r="BF101" i="2"/>
  <c r="BE101" i="2"/>
  <c r="BD101" i="2"/>
  <c r="BC101" i="2"/>
  <c r="BB101" i="2"/>
  <c r="BA101" i="2"/>
  <c r="AZ101" i="2"/>
  <c r="AY101" i="2"/>
  <c r="AX101" i="2"/>
  <c r="J101" i="1"/>
  <c r="AW101" i="2"/>
  <c r="I101" i="1"/>
  <c r="AV101" i="2"/>
  <c r="AU101" i="2"/>
  <c r="AT101" i="2"/>
  <c r="AS101" i="2"/>
  <c r="AR101" i="2"/>
  <c r="AQ101" i="2"/>
  <c r="AP101" i="2"/>
  <c r="AO101" i="2"/>
  <c r="AL101" i="2"/>
  <c r="AK101" i="2"/>
  <c r="BQ100" i="2"/>
  <c r="BP100" i="2"/>
  <c r="AB100" i="1"/>
  <c r="BO100" i="2"/>
  <c r="AA100" i="1"/>
  <c r="BN100" i="2"/>
  <c r="BM100" i="2"/>
  <c r="BL100" i="2"/>
  <c r="BK100" i="2"/>
  <c r="W100" i="1"/>
  <c r="BJ100" i="2"/>
  <c r="BI100" i="2"/>
  <c r="BH100" i="2"/>
  <c r="T100" i="1"/>
  <c r="BG100" i="2"/>
  <c r="BF100" i="2"/>
  <c r="BE100" i="2"/>
  <c r="BD100" i="2"/>
  <c r="BC100" i="2"/>
  <c r="BB100" i="2"/>
  <c r="BA100" i="2"/>
  <c r="AZ100" i="2"/>
  <c r="AY100" i="2"/>
  <c r="AX100" i="2"/>
  <c r="J100" i="1"/>
  <c r="AW100" i="2"/>
  <c r="I100" i="1"/>
  <c r="AV100" i="2"/>
  <c r="AU100" i="2"/>
  <c r="AT100" i="2"/>
  <c r="AS100" i="2"/>
  <c r="AR100" i="2"/>
  <c r="AQ100" i="2"/>
  <c r="AP100" i="2"/>
  <c r="AO100" i="2"/>
  <c r="AL100" i="2"/>
  <c r="AK100" i="2"/>
  <c r="BQ99" i="2"/>
  <c r="BP99" i="2"/>
  <c r="AB99" i="1"/>
  <c r="BO99" i="2"/>
  <c r="AA99" i="1"/>
  <c r="BN99" i="2"/>
  <c r="BM99" i="2"/>
  <c r="BL99" i="2"/>
  <c r="BK99" i="2"/>
  <c r="W99" i="1"/>
  <c r="BJ99" i="2"/>
  <c r="BI99" i="2"/>
  <c r="BH99" i="2"/>
  <c r="T99" i="1"/>
  <c r="BG99" i="2"/>
  <c r="BF99" i="2"/>
  <c r="BE99" i="2"/>
  <c r="BD99" i="2"/>
  <c r="BC99" i="2"/>
  <c r="BB99" i="2"/>
  <c r="BA99" i="2"/>
  <c r="AZ99" i="2"/>
  <c r="AY99" i="2"/>
  <c r="AX99" i="2"/>
  <c r="J99" i="1"/>
  <c r="AW99" i="2"/>
  <c r="I99" i="1"/>
  <c r="AV99" i="2"/>
  <c r="AU99" i="2"/>
  <c r="AT99" i="2"/>
  <c r="AS99" i="2"/>
  <c r="AR99" i="2"/>
  <c r="AQ99" i="2"/>
  <c r="AP99" i="2"/>
  <c r="AO99" i="2"/>
  <c r="AL99" i="2"/>
  <c r="AK99" i="2"/>
  <c r="BQ98" i="2"/>
  <c r="BP98" i="2"/>
  <c r="AB98" i="1"/>
  <c r="BO98" i="2"/>
  <c r="AA98" i="1"/>
  <c r="BN98" i="2"/>
  <c r="BM98" i="2"/>
  <c r="BL98" i="2"/>
  <c r="BK98" i="2"/>
  <c r="W98" i="1"/>
  <c r="BJ98" i="2"/>
  <c r="BI98" i="2"/>
  <c r="BH98" i="2"/>
  <c r="T98" i="1"/>
  <c r="BG98" i="2"/>
  <c r="BF98" i="2"/>
  <c r="BE98" i="2"/>
  <c r="BD98" i="2"/>
  <c r="BC98" i="2"/>
  <c r="BB98" i="2"/>
  <c r="BA98" i="2"/>
  <c r="AZ98" i="2"/>
  <c r="AY98" i="2"/>
  <c r="AX98" i="2"/>
  <c r="J98" i="1"/>
  <c r="AW98" i="2"/>
  <c r="I98" i="1"/>
  <c r="AV98" i="2"/>
  <c r="AU98" i="2"/>
  <c r="AT98" i="2"/>
  <c r="AS98" i="2"/>
  <c r="AR98" i="2"/>
  <c r="AQ98" i="2"/>
  <c r="AP98" i="2"/>
  <c r="AO98" i="2"/>
  <c r="AL98" i="2"/>
  <c r="AK98" i="2"/>
  <c r="BQ97" i="2"/>
  <c r="BP97" i="2"/>
  <c r="AB97" i="1"/>
  <c r="BO97" i="2"/>
  <c r="AA97" i="1"/>
  <c r="BN97" i="2"/>
  <c r="BM97" i="2"/>
  <c r="BL97" i="2"/>
  <c r="BK97" i="2"/>
  <c r="W97" i="1"/>
  <c r="BJ97" i="2"/>
  <c r="BI97" i="2"/>
  <c r="BH97" i="2"/>
  <c r="T97" i="1"/>
  <c r="BG97" i="2"/>
  <c r="BF97" i="2"/>
  <c r="BE97" i="2"/>
  <c r="BD97" i="2"/>
  <c r="BC97" i="2"/>
  <c r="BB97" i="2"/>
  <c r="BA97" i="2"/>
  <c r="AZ97" i="2"/>
  <c r="AY97" i="2"/>
  <c r="AX97" i="2"/>
  <c r="J97" i="1"/>
  <c r="AW97" i="2"/>
  <c r="I97" i="1"/>
  <c r="AV97" i="2"/>
  <c r="AU97" i="2"/>
  <c r="AT97" i="2"/>
  <c r="AS97" i="2"/>
  <c r="AR97" i="2"/>
  <c r="AQ97" i="2"/>
  <c r="AP97" i="2"/>
  <c r="AO97" i="2"/>
  <c r="AL97" i="2"/>
  <c r="AK97" i="2"/>
  <c r="BQ96" i="2"/>
  <c r="BP96" i="2"/>
  <c r="AB96" i="1"/>
  <c r="BO96" i="2"/>
  <c r="AA96" i="1"/>
  <c r="BN96" i="2"/>
  <c r="BM96" i="2"/>
  <c r="BL96" i="2"/>
  <c r="BK96" i="2"/>
  <c r="W96" i="1"/>
  <c r="BJ96" i="2"/>
  <c r="BI96" i="2"/>
  <c r="BH96" i="2"/>
  <c r="T96" i="1"/>
  <c r="BG96" i="2"/>
  <c r="BF96" i="2"/>
  <c r="BE96" i="2"/>
  <c r="BD96" i="2"/>
  <c r="BC96" i="2"/>
  <c r="BB96" i="2"/>
  <c r="BA96" i="2"/>
  <c r="AZ96" i="2"/>
  <c r="AY96" i="2"/>
  <c r="AX96" i="2"/>
  <c r="J96" i="1"/>
  <c r="AW96" i="2"/>
  <c r="I96" i="1"/>
  <c r="AV96" i="2"/>
  <c r="AU96" i="2"/>
  <c r="AT96" i="2"/>
  <c r="AS96" i="2"/>
  <c r="AR96" i="2"/>
  <c r="AQ96" i="2"/>
  <c r="AP96" i="2"/>
  <c r="AO96" i="2"/>
  <c r="AL96" i="2"/>
  <c r="AK96" i="2"/>
  <c r="BQ95" i="2"/>
  <c r="BP95" i="2"/>
  <c r="AB95" i="1"/>
  <c r="BO95" i="2"/>
  <c r="AA95" i="1"/>
  <c r="BN95" i="2"/>
  <c r="BM95" i="2"/>
  <c r="BL95" i="2"/>
  <c r="BK95" i="2"/>
  <c r="W95" i="1"/>
  <c r="BJ95" i="2"/>
  <c r="BI95" i="2"/>
  <c r="BH95" i="2"/>
  <c r="T95" i="1"/>
  <c r="BG95" i="2"/>
  <c r="BF95" i="2"/>
  <c r="BE95" i="2"/>
  <c r="BD95" i="2"/>
  <c r="BC95" i="2"/>
  <c r="BB95" i="2"/>
  <c r="BA95" i="2"/>
  <c r="AZ95" i="2"/>
  <c r="AY95" i="2"/>
  <c r="AX95" i="2"/>
  <c r="J95" i="1"/>
  <c r="AW95" i="2"/>
  <c r="I95" i="1"/>
  <c r="AV95" i="2"/>
  <c r="AU95" i="2"/>
  <c r="AT95" i="2"/>
  <c r="AS95" i="2"/>
  <c r="AR95" i="2"/>
  <c r="AQ95" i="2"/>
  <c r="AP95" i="2"/>
  <c r="AO95" i="2"/>
  <c r="AL95" i="2"/>
  <c r="AK95" i="2"/>
  <c r="BQ94" i="2"/>
  <c r="BP94" i="2"/>
  <c r="AB94" i="1"/>
  <c r="BO94" i="2"/>
  <c r="AA94" i="1"/>
  <c r="BN94" i="2"/>
  <c r="BM94" i="2"/>
  <c r="BL94" i="2"/>
  <c r="BK94" i="2"/>
  <c r="W94" i="1"/>
  <c r="BJ94" i="2"/>
  <c r="BI94" i="2"/>
  <c r="BH94" i="2"/>
  <c r="T94" i="1"/>
  <c r="BG94" i="2"/>
  <c r="BF94" i="2"/>
  <c r="BE94" i="2"/>
  <c r="BD94" i="2"/>
  <c r="BC94" i="2"/>
  <c r="BB94" i="2"/>
  <c r="BA94" i="2"/>
  <c r="AZ94" i="2"/>
  <c r="AY94" i="2"/>
  <c r="AX94" i="2"/>
  <c r="J94" i="1"/>
  <c r="AW94" i="2"/>
  <c r="I94" i="1"/>
  <c r="AV94" i="2"/>
  <c r="AU94" i="2"/>
  <c r="AT94" i="2"/>
  <c r="AS94" i="2"/>
  <c r="AR94" i="2"/>
  <c r="AQ94" i="2"/>
  <c r="AP94" i="2"/>
  <c r="AO94" i="2"/>
  <c r="AL94" i="2"/>
  <c r="AK94" i="2"/>
  <c r="BQ93" i="2"/>
  <c r="BP93" i="2"/>
  <c r="AB93" i="1"/>
  <c r="BO93" i="2"/>
  <c r="AA93" i="1"/>
  <c r="BN93" i="2"/>
  <c r="BM93" i="2"/>
  <c r="BL93" i="2"/>
  <c r="BK93" i="2"/>
  <c r="W93" i="1"/>
  <c r="BJ93" i="2"/>
  <c r="BI93" i="2"/>
  <c r="BH93" i="2"/>
  <c r="T93" i="1"/>
  <c r="BG93" i="2"/>
  <c r="BF93" i="2"/>
  <c r="BE93" i="2"/>
  <c r="BD93" i="2"/>
  <c r="BC93" i="2"/>
  <c r="BB93" i="2"/>
  <c r="BA93" i="2"/>
  <c r="AZ93" i="2"/>
  <c r="AY93" i="2"/>
  <c r="AX93" i="2"/>
  <c r="J93" i="1"/>
  <c r="AW93" i="2"/>
  <c r="I93" i="1"/>
  <c r="AV93" i="2"/>
  <c r="AU93" i="2"/>
  <c r="AT93" i="2"/>
  <c r="AS93" i="2"/>
  <c r="AR93" i="2"/>
  <c r="AQ93" i="2"/>
  <c r="AP93" i="2"/>
  <c r="AO93" i="2"/>
  <c r="AL93" i="2"/>
  <c r="AK93" i="2"/>
  <c r="BQ92" i="2"/>
  <c r="BP92" i="2"/>
  <c r="AB92" i="1"/>
  <c r="BO92" i="2"/>
  <c r="AA92" i="1"/>
  <c r="BN92" i="2"/>
  <c r="BM92" i="2"/>
  <c r="BL92" i="2"/>
  <c r="BK92" i="2"/>
  <c r="W92" i="1"/>
  <c r="BJ92" i="2"/>
  <c r="BI92" i="2"/>
  <c r="BH92" i="2"/>
  <c r="T92" i="1"/>
  <c r="BG92" i="2"/>
  <c r="BF92" i="2"/>
  <c r="BE92" i="2"/>
  <c r="BD92" i="2"/>
  <c r="BC92" i="2"/>
  <c r="BB92" i="2"/>
  <c r="BA92" i="2"/>
  <c r="AZ92" i="2"/>
  <c r="AY92" i="2"/>
  <c r="AX92" i="2"/>
  <c r="J92" i="1"/>
  <c r="AW92" i="2"/>
  <c r="I92" i="1"/>
  <c r="AV92" i="2"/>
  <c r="AU92" i="2"/>
  <c r="AT92" i="2"/>
  <c r="AS92" i="2"/>
  <c r="AR92" i="2"/>
  <c r="AQ92" i="2"/>
  <c r="AP92" i="2"/>
  <c r="AO92" i="2"/>
  <c r="AL92" i="2"/>
  <c r="AK92" i="2"/>
  <c r="BQ91" i="2"/>
  <c r="BP91" i="2"/>
  <c r="AB91" i="1"/>
  <c r="BO91" i="2"/>
  <c r="AA91" i="1"/>
  <c r="BN91" i="2"/>
  <c r="BM91" i="2"/>
  <c r="BL91" i="2"/>
  <c r="BK91" i="2"/>
  <c r="W91" i="1"/>
  <c r="BJ91" i="2"/>
  <c r="BI91" i="2"/>
  <c r="BH91" i="2"/>
  <c r="T91" i="1"/>
  <c r="BG91" i="2"/>
  <c r="BF91" i="2"/>
  <c r="BE91" i="2"/>
  <c r="BD91" i="2"/>
  <c r="BC91" i="2"/>
  <c r="BB91" i="2"/>
  <c r="BA91" i="2"/>
  <c r="AZ91" i="2"/>
  <c r="AY91" i="2"/>
  <c r="AX91" i="2"/>
  <c r="J91" i="1"/>
  <c r="AW91" i="2"/>
  <c r="I91" i="1"/>
  <c r="AV91" i="2"/>
  <c r="AU91" i="2"/>
  <c r="AT91" i="2"/>
  <c r="AS91" i="2"/>
  <c r="AR91" i="2"/>
  <c r="AQ91" i="2"/>
  <c r="AP91" i="2"/>
  <c r="AO91" i="2"/>
  <c r="AL91" i="2"/>
  <c r="AK91" i="2"/>
  <c r="BQ90" i="2"/>
  <c r="BP90" i="2"/>
  <c r="AB90" i="1"/>
  <c r="BO90" i="2"/>
  <c r="AA90" i="1"/>
  <c r="BN90" i="2"/>
  <c r="BM90" i="2"/>
  <c r="BL90" i="2"/>
  <c r="BK90" i="2"/>
  <c r="W90" i="1"/>
  <c r="BJ90" i="2"/>
  <c r="BI90" i="2"/>
  <c r="BH90" i="2"/>
  <c r="T90" i="1"/>
  <c r="BG90" i="2"/>
  <c r="BF90" i="2"/>
  <c r="BE90" i="2"/>
  <c r="BD90" i="2"/>
  <c r="BC90" i="2"/>
  <c r="BB90" i="2"/>
  <c r="BA90" i="2"/>
  <c r="AZ90" i="2"/>
  <c r="AY90" i="2"/>
  <c r="AX90" i="2"/>
  <c r="J90" i="1"/>
  <c r="AW90" i="2"/>
  <c r="I90" i="1"/>
  <c r="AV90" i="2"/>
  <c r="AU90" i="2"/>
  <c r="AT90" i="2"/>
  <c r="AS90" i="2"/>
  <c r="AR90" i="2"/>
  <c r="AQ90" i="2"/>
  <c r="AP90" i="2"/>
  <c r="AO90" i="2"/>
  <c r="AL90" i="2"/>
  <c r="AK90" i="2"/>
  <c r="BQ89" i="2"/>
  <c r="BP89" i="2"/>
  <c r="AB89" i="1"/>
  <c r="BO89" i="2"/>
  <c r="AA89" i="1"/>
  <c r="BN89" i="2"/>
  <c r="BM89" i="2"/>
  <c r="BL89" i="2"/>
  <c r="BK89" i="2"/>
  <c r="W89" i="1"/>
  <c r="BJ89" i="2"/>
  <c r="BI89" i="2"/>
  <c r="BH89" i="2"/>
  <c r="T89" i="1"/>
  <c r="BG89" i="2"/>
  <c r="BF89" i="2"/>
  <c r="BE89" i="2"/>
  <c r="BD89" i="2"/>
  <c r="BC89" i="2"/>
  <c r="BB89" i="2"/>
  <c r="BA89" i="2"/>
  <c r="AZ89" i="2"/>
  <c r="AY89" i="2"/>
  <c r="AX89" i="2"/>
  <c r="J89" i="1"/>
  <c r="AW89" i="2"/>
  <c r="I89" i="1"/>
  <c r="AV89" i="2"/>
  <c r="AU89" i="2"/>
  <c r="AT89" i="2"/>
  <c r="AS89" i="2"/>
  <c r="AR89" i="2"/>
  <c r="AQ89" i="2"/>
  <c r="AP89" i="2"/>
  <c r="AO89" i="2"/>
  <c r="AL89" i="2"/>
  <c r="AK89" i="2"/>
  <c r="BQ88" i="2"/>
  <c r="BP88" i="2"/>
  <c r="AB88" i="1"/>
  <c r="BO88" i="2"/>
  <c r="AA88" i="1"/>
  <c r="BN88" i="2"/>
  <c r="BM88" i="2"/>
  <c r="BL88" i="2"/>
  <c r="BK88" i="2"/>
  <c r="W88" i="1"/>
  <c r="BJ88" i="2"/>
  <c r="BI88" i="2"/>
  <c r="BH88" i="2"/>
  <c r="T88" i="1"/>
  <c r="BG88" i="2"/>
  <c r="BF88" i="2"/>
  <c r="BE88" i="2"/>
  <c r="BD88" i="2"/>
  <c r="BC88" i="2"/>
  <c r="BB88" i="2"/>
  <c r="BA88" i="2"/>
  <c r="AZ88" i="2"/>
  <c r="AY88" i="2"/>
  <c r="AX88" i="2"/>
  <c r="J88" i="1"/>
  <c r="AW88" i="2"/>
  <c r="I88" i="1"/>
  <c r="AV88" i="2"/>
  <c r="AU88" i="2"/>
  <c r="AT88" i="2"/>
  <c r="AS88" i="2"/>
  <c r="AR88" i="2"/>
  <c r="AQ88" i="2"/>
  <c r="AP88" i="2"/>
  <c r="AO88" i="2"/>
  <c r="AL88" i="2"/>
  <c r="AK88" i="2"/>
  <c r="BQ87" i="2"/>
  <c r="BP87" i="2"/>
  <c r="AB87" i="1"/>
  <c r="BO87" i="2"/>
  <c r="AA87" i="1"/>
  <c r="BN87" i="2"/>
  <c r="BM87" i="2"/>
  <c r="BL87" i="2"/>
  <c r="BK87" i="2"/>
  <c r="W87" i="1"/>
  <c r="BJ87" i="2"/>
  <c r="BI87" i="2"/>
  <c r="BH87" i="2"/>
  <c r="T87" i="1"/>
  <c r="BG87" i="2"/>
  <c r="BF87" i="2"/>
  <c r="BE87" i="2"/>
  <c r="BD87" i="2"/>
  <c r="BC87" i="2"/>
  <c r="BB87" i="2"/>
  <c r="BA87" i="2"/>
  <c r="AZ87" i="2"/>
  <c r="AY87" i="2"/>
  <c r="AX87" i="2"/>
  <c r="J87" i="1"/>
  <c r="AW87" i="2"/>
  <c r="I87" i="1"/>
  <c r="AV87" i="2"/>
  <c r="AU87" i="2"/>
  <c r="AT87" i="2"/>
  <c r="AS87" i="2"/>
  <c r="AR87" i="2"/>
  <c r="AQ87" i="2"/>
  <c r="AP87" i="2"/>
  <c r="AO87" i="2"/>
  <c r="AL87" i="2"/>
  <c r="AK87" i="2"/>
  <c r="BQ86" i="2"/>
  <c r="BP86" i="2"/>
  <c r="AB86" i="1"/>
  <c r="BO86" i="2"/>
  <c r="AA86" i="1"/>
  <c r="BN86" i="2"/>
  <c r="BM86" i="2"/>
  <c r="BL86" i="2"/>
  <c r="BK86" i="2"/>
  <c r="W86" i="1"/>
  <c r="BJ86" i="2"/>
  <c r="BI86" i="2"/>
  <c r="BH86" i="2"/>
  <c r="T86" i="1"/>
  <c r="BG86" i="2"/>
  <c r="BF86" i="2"/>
  <c r="BE86" i="2"/>
  <c r="BD86" i="2"/>
  <c r="BC86" i="2"/>
  <c r="BB86" i="2"/>
  <c r="BA86" i="2"/>
  <c r="AZ86" i="2"/>
  <c r="AY86" i="2"/>
  <c r="AX86" i="2"/>
  <c r="J86" i="1"/>
  <c r="AW86" i="2"/>
  <c r="I86" i="1"/>
  <c r="AV86" i="2"/>
  <c r="AU86" i="2"/>
  <c r="AT86" i="2"/>
  <c r="AS86" i="2"/>
  <c r="AR86" i="2"/>
  <c r="AQ86" i="2"/>
  <c r="AP86" i="2"/>
  <c r="AO86" i="2"/>
  <c r="AL86" i="2"/>
  <c r="AK86" i="2"/>
  <c r="BQ85" i="2"/>
  <c r="BP85" i="2"/>
  <c r="AB85" i="1"/>
  <c r="BO85" i="2"/>
  <c r="AA85" i="1"/>
  <c r="BN85" i="2"/>
  <c r="BM85" i="2"/>
  <c r="BL85" i="2"/>
  <c r="BK85" i="2"/>
  <c r="W85" i="1"/>
  <c r="BJ85" i="2"/>
  <c r="BI85" i="2"/>
  <c r="BH85" i="2"/>
  <c r="T85" i="1"/>
  <c r="BG85" i="2"/>
  <c r="BF85" i="2"/>
  <c r="BE85" i="2"/>
  <c r="BD85" i="2"/>
  <c r="BC85" i="2"/>
  <c r="BB85" i="2"/>
  <c r="BA85" i="2"/>
  <c r="AZ85" i="2"/>
  <c r="AY85" i="2"/>
  <c r="AX85" i="2"/>
  <c r="J85" i="1"/>
  <c r="AW85" i="2"/>
  <c r="I85" i="1"/>
  <c r="AV85" i="2"/>
  <c r="AU85" i="2"/>
  <c r="AT85" i="2"/>
  <c r="AS85" i="2"/>
  <c r="AR85" i="2"/>
  <c r="AQ85" i="2"/>
  <c r="AP85" i="2"/>
  <c r="AO85" i="2"/>
  <c r="AL85" i="2"/>
  <c r="AK85" i="2"/>
  <c r="BQ84" i="2"/>
  <c r="BP84" i="2"/>
  <c r="AB84" i="1"/>
  <c r="BO84" i="2"/>
  <c r="AA84" i="1"/>
  <c r="BN84" i="2"/>
  <c r="BM84" i="2"/>
  <c r="BL84" i="2"/>
  <c r="BK84" i="2"/>
  <c r="W84" i="1"/>
  <c r="BJ84" i="2"/>
  <c r="BI84" i="2"/>
  <c r="BH84" i="2"/>
  <c r="T84" i="1"/>
  <c r="BG84" i="2"/>
  <c r="BF84" i="2"/>
  <c r="BE84" i="2"/>
  <c r="BD84" i="2"/>
  <c r="BC84" i="2"/>
  <c r="BB84" i="2"/>
  <c r="BA84" i="2"/>
  <c r="AZ84" i="2"/>
  <c r="AY84" i="2"/>
  <c r="AX84" i="2"/>
  <c r="J84" i="1"/>
  <c r="AW84" i="2"/>
  <c r="I84" i="1"/>
  <c r="AV84" i="2"/>
  <c r="AU84" i="2"/>
  <c r="AT84" i="2"/>
  <c r="AS84" i="2"/>
  <c r="AR84" i="2"/>
  <c r="AQ84" i="2"/>
  <c r="AP84" i="2"/>
  <c r="AO84" i="2"/>
  <c r="AL84" i="2"/>
  <c r="AK84" i="2"/>
  <c r="BQ83" i="2"/>
  <c r="BP83" i="2"/>
  <c r="AB83" i="1"/>
  <c r="BO83" i="2"/>
  <c r="AA83" i="1"/>
  <c r="BN83" i="2"/>
  <c r="BM83" i="2"/>
  <c r="BL83" i="2"/>
  <c r="BK83" i="2"/>
  <c r="W83" i="1"/>
  <c r="BJ83" i="2"/>
  <c r="BI83" i="2"/>
  <c r="BH83" i="2"/>
  <c r="T83" i="1"/>
  <c r="BG83" i="2"/>
  <c r="BF83" i="2"/>
  <c r="BE83" i="2"/>
  <c r="BD83" i="2"/>
  <c r="BC83" i="2"/>
  <c r="BB83" i="2"/>
  <c r="BA83" i="2"/>
  <c r="AZ83" i="2"/>
  <c r="AY83" i="2"/>
  <c r="AX83" i="2"/>
  <c r="J83" i="1"/>
  <c r="AW83" i="2"/>
  <c r="I83" i="1"/>
  <c r="AV83" i="2"/>
  <c r="AU83" i="2"/>
  <c r="AT83" i="2"/>
  <c r="AS83" i="2"/>
  <c r="AR83" i="2"/>
  <c r="AQ83" i="2"/>
  <c r="AP83" i="2"/>
  <c r="AO83" i="2"/>
  <c r="AL83" i="2"/>
  <c r="AK83" i="2"/>
  <c r="BQ82" i="2"/>
  <c r="BP82" i="2"/>
  <c r="AB82" i="1"/>
  <c r="BO82" i="2"/>
  <c r="AA82" i="1"/>
  <c r="BN82" i="2"/>
  <c r="BM82" i="2"/>
  <c r="BL82" i="2"/>
  <c r="BK82" i="2"/>
  <c r="W82" i="1"/>
  <c r="BJ82" i="2"/>
  <c r="BI82" i="2"/>
  <c r="BH82" i="2"/>
  <c r="T82" i="1"/>
  <c r="BG82" i="2"/>
  <c r="BF82" i="2"/>
  <c r="BE82" i="2"/>
  <c r="BD82" i="2"/>
  <c r="BC82" i="2"/>
  <c r="BB82" i="2"/>
  <c r="BA82" i="2"/>
  <c r="AZ82" i="2"/>
  <c r="AY82" i="2"/>
  <c r="AX82" i="2"/>
  <c r="J82" i="1"/>
  <c r="AW82" i="2"/>
  <c r="I82" i="1"/>
  <c r="AV82" i="2"/>
  <c r="AU82" i="2"/>
  <c r="AT82" i="2"/>
  <c r="AS82" i="2"/>
  <c r="AR82" i="2"/>
  <c r="AQ82" i="2"/>
  <c r="AP82" i="2"/>
  <c r="AO82" i="2"/>
  <c r="AL82" i="2"/>
  <c r="AK82" i="2"/>
  <c r="BQ81" i="2"/>
  <c r="BP81" i="2"/>
  <c r="AB81" i="1"/>
  <c r="BO81" i="2"/>
  <c r="AA81" i="1"/>
  <c r="BN81" i="2"/>
  <c r="BM81" i="2"/>
  <c r="BL81" i="2"/>
  <c r="BK81" i="2"/>
  <c r="W81" i="1"/>
  <c r="BJ81" i="2"/>
  <c r="BI81" i="2"/>
  <c r="BH81" i="2"/>
  <c r="T81" i="1"/>
  <c r="BG81" i="2"/>
  <c r="BF81" i="2"/>
  <c r="BE81" i="2"/>
  <c r="BD81" i="2"/>
  <c r="BC81" i="2"/>
  <c r="BB81" i="2"/>
  <c r="BA81" i="2"/>
  <c r="AZ81" i="2"/>
  <c r="AY81" i="2"/>
  <c r="AX81" i="2"/>
  <c r="J81" i="1"/>
  <c r="AW81" i="2"/>
  <c r="I81" i="1"/>
  <c r="AV81" i="2"/>
  <c r="AU81" i="2"/>
  <c r="AT81" i="2"/>
  <c r="AS81" i="2"/>
  <c r="AR81" i="2"/>
  <c r="AQ81" i="2"/>
  <c r="AP81" i="2"/>
  <c r="AO81" i="2"/>
  <c r="AL81" i="2"/>
  <c r="AK81" i="2"/>
  <c r="BQ80" i="2"/>
  <c r="BP80" i="2"/>
  <c r="AB80" i="1"/>
  <c r="BO80" i="2"/>
  <c r="AA80" i="1"/>
  <c r="BN80" i="2"/>
  <c r="BM80" i="2"/>
  <c r="BL80" i="2"/>
  <c r="BK80" i="2"/>
  <c r="W80" i="1"/>
  <c r="BJ80" i="2"/>
  <c r="BI80" i="2"/>
  <c r="BH80" i="2"/>
  <c r="T80" i="1"/>
  <c r="BG80" i="2"/>
  <c r="BF80" i="2"/>
  <c r="BE80" i="2"/>
  <c r="BD80" i="2"/>
  <c r="BC80" i="2"/>
  <c r="BB80" i="2"/>
  <c r="BA80" i="2"/>
  <c r="AZ80" i="2"/>
  <c r="AY80" i="2"/>
  <c r="AX80" i="2"/>
  <c r="J80" i="1"/>
  <c r="AW80" i="2"/>
  <c r="I80" i="1"/>
  <c r="AV80" i="2"/>
  <c r="AU80" i="2"/>
  <c r="AT80" i="2"/>
  <c r="AS80" i="2"/>
  <c r="AR80" i="2"/>
  <c r="AQ80" i="2"/>
  <c r="AP80" i="2"/>
  <c r="AO80" i="2"/>
  <c r="AL80" i="2"/>
  <c r="AK80" i="2"/>
  <c r="BQ79" i="2"/>
  <c r="BP79" i="2"/>
  <c r="AB79" i="1"/>
  <c r="BO79" i="2"/>
  <c r="AA79" i="1"/>
  <c r="BN79" i="2"/>
  <c r="BM79" i="2"/>
  <c r="BL79" i="2"/>
  <c r="BK79" i="2"/>
  <c r="W79" i="1"/>
  <c r="BJ79" i="2"/>
  <c r="BI79" i="2"/>
  <c r="BH79" i="2"/>
  <c r="T79" i="1"/>
  <c r="BG79" i="2"/>
  <c r="BF79" i="2"/>
  <c r="BE79" i="2"/>
  <c r="BD79" i="2"/>
  <c r="BC79" i="2"/>
  <c r="BB79" i="2"/>
  <c r="BA79" i="2"/>
  <c r="AZ79" i="2"/>
  <c r="AY79" i="2"/>
  <c r="AX79" i="2"/>
  <c r="J79" i="1"/>
  <c r="AW79" i="2"/>
  <c r="I79" i="1"/>
  <c r="AV79" i="2"/>
  <c r="AU79" i="2"/>
  <c r="AT79" i="2"/>
  <c r="AS79" i="2"/>
  <c r="AR79" i="2"/>
  <c r="AQ79" i="2"/>
  <c r="AP79" i="2"/>
  <c r="AO79" i="2"/>
  <c r="AL79" i="2"/>
  <c r="AK79" i="2"/>
  <c r="BQ78" i="2"/>
  <c r="BP78" i="2"/>
  <c r="AB78" i="1"/>
  <c r="BO78" i="2"/>
  <c r="AA78" i="1"/>
  <c r="BN78" i="2"/>
  <c r="BM78" i="2"/>
  <c r="BL78" i="2"/>
  <c r="BK78" i="2"/>
  <c r="W78" i="1"/>
  <c r="BJ78" i="2"/>
  <c r="BI78" i="2"/>
  <c r="BH78" i="2"/>
  <c r="T78" i="1"/>
  <c r="BG78" i="2"/>
  <c r="BF78" i="2"/>
  <c r="BE78" i="2"/>
  <c r="BD78" i="2"/>
  <c r="BC78" i="2"/>
  <c r="BB78" i="2"/>
  <c r="BA78" i="2"/>
  <c r="AZ78" i="2"/>
  <c r="AY78" i="2"/>
  <c r="AX78" i="2"/>
  <c r="J78" i="1"/>
  <c r="AW78" i="2"/>
  <c r="I78" i="1"/>
  <c r="AV78" i="2"/>
  <c r="AU78" i="2"/>
  <c r="AT78" i="2"/>
  <c r="AS78" i="2"/>
  <c r="AR78" i="2"/>
  <c r="AQ78" i="2"/>
  <c r="AP78" i="2"/>
  <c r="AO78" i="2"/>
  <c r="AL78" i="2"/>
  <c r="AK78" i="2"/>
  <c r="BQ77" i="2"/>
  <c r="BP77" i="2"/>
  <c r="AB77" i="1"/>
  <c r="BO77" i="2"/>
  <c r="AA77" i="1"/>
  <c r="BN77" i="2"/>
  <c r="BM77" i="2"/>
  <c r="BL77" i="2"/>
  <c r="BK77" i="2"/>
  <c r="W77" i="1"/>
  <c r="BJ77" i="2"/>
  <c r="BI77" i="2"/>
  <c r="BH77" i="2"/>
  <c r="T77" i="1"/>
  <c r="BG77" i="2"/>
  <c r="BF77" i="2"/>
  <c r="BE77" i="2"/>
  <c r="BD77" i="2"/>
  <c r="BC77" i="2"/>
  <c r="BB77" i="2"/>
  <c r="BA77" i="2"/>
  <c r="AZ77" i="2"/>
  <c r="AY77" i="2"/>
  <c r="AX77" i="2"/>
  <c r="J77" i="1"/>
  <c r="AW77" i="2"/>
  <c r="I77" i="1"/>
  <c r="AV77" i="2"/>
  <c r="AU77" i="2"/>
  <c r="AT77" i="2"/>
  <c r="AS77" i="2"/>
  <c r="AR77" i="2"/>
  <c r="AQ77" i="2"/>
  <c r="AP77" i="2"/>
  <c r="AO77" i="2"/>
  <c r="AL77" i="2"/>
  <c r="AK77" i="2"/>
  <c r="BQ76" i="2"/>
  <c r="BP76" i="2"/>
  <c r="AB76" i="1"/>
  <c r="BO76" i="2"/>
  <c r="AA76" i="1"/>
  <c r="BN76" i="2"/>
  <c r="BM76" i="2"/>
  <c r="BL76" i="2"/>
  <c r="BK76" i="2"/>
  <c r="W76" i="1"/>
  <c r="BJ76" i="2"/>
  <c r="BI76" i="2"/>
  <c r="BH76" i="2"/>
  <c r="T76" i="1"/>
  <c r="BG76" i="2"/>
  <c r="BF76" i="2"/>
  <c r="BE76" i="2"/>
  <c r="BD76" i="2"/>
  <c r="BC76" i="2"/>
  <c r="BB76" i="2"/>
  <c r="BA76" i="2"/>
  <c r="AZ76" i="2"/>
  <c r="AY76" i="2"/>
  <c r="AX76" i="2"/>
  <c r="J76" i="1"/>
  <c r="AW76" i="2"/>
  <c r="I76" i="1"/>
  <c r="AV76" i="2"/>
  <c r="AU76" i="2"/>
  <c r="AT76" i="2"/>
  <c r="AS76" i="2"/>
  <c r="AR76" i="2"/>
  <c r="AQ76" i="2"/>
  <c r="AP76" i="2"/>
  <c r="AO76" i="2"/>
  <c r="AL76" i="2"/>
  <c r="AK76" i="2"/>
  <c r="BQ75" i="2"/>
  <c r="BP75" i="2"/>
  <c r="AB75" i="1"/>
  <c r="BO75" i="2"/>
  <c r="AA75" i="1"/>
  <c r="BN75" i="2"/>
  <c r="BM75" i="2"/>
  <c r="BL75" i="2"/>
  <c r="BK75" i="2"/>
  <c r="W75" i="1"/>
  <c r="BJ75" i="2"/>
  <c r="BI75" i="2"/>
  <c r="BH75" i="2"/>
  <c r="T75" i="1"/>
  <c r="BG75" i="2"/>
  <c r="BF75" i="2"/>
  <c r="BE75" i="2"/>
  <c r="BD75" i="2"/>
  <c r="BC75" i="2"/>
  <c r="BB75" i="2"/>
  <c r="BA75" i="2"/>
  <c r="AZ75" i="2"/>
  <c r="AY75" i="2"/>
  <c r="AX75" i="2"/>
  <c r="J75" i="1"/>
  <c r="AW75" i="2"/>
  <c r="I75" i="1"/>
  <c r="AV75" i="2"/>
  <c r="AU75" i="2"/>
  <c r="AT75" i="2"/>
  <c r="AS75" i="2"/>
  <c r="AR75" i="2"/>
  <c r="AQ75" i="2"/>
  <c r="AP75" i="2"/>
  <c r="AO75" i="2"/>
  <c r="AL75" i="2"/>
  <c r="AK75" i="2"/>
  <c r="BQ74" i="2"/>
  <c r="BP74" i="2"/>
  <c r="AB74" i="1"/>
  <c r="BO74" i="2"/>
  <c r="AA74" i="1"/>
  <c r="BN74" i="2"/>
  <c r="BM74" i="2"/>
  <c r="BL74" i="2"/>
  <c r="BK74" i="2"/>
  <c r="W74" i="1"/>
  <c r="BJ74" i="2"/>
  <c r="BI74" i="2"/>
  <c r="BH74" i="2"/>
  <c r="T74" i="1"/>
  <c r="BG74" i="2"/>
  <c r="BF74" i="2"/>
  <c r="BE74" i="2"/>
  <c r="BD74" i="2"/>
  <c r="BC74" i="2"/>
  <c r="BB74" i="2"/>
  <c r="BA74" i="2"/>
  <c r="AZ74" i="2"/>
  <c r="AY74" i="2"/>
  <c r="AX74" i="2"/>
  <c r="J74" i="1"/>
  <c r="AW74" i="2"/>
  <c r="I74" i="1"/>
  <c r="AV74" i="2"/>
  <c r="AU74" i="2"/>
  <c r="AT74" i="2"/>
  <c r="AS74" i="2"/>
  <c r="AR74" i="2"/>
  <c r="AQ74" i="2"/>
  <c r="AP74" i="2"/>
  <c r="AO74" i="2"/>
  <c r="AL74" i="2"/>
  <c r="AK74" i="2"/>
  <c r="BQ73" i="2"/>
  <c r="BP73" i="2"/>
  <c r="AB73" i="1"/>
  <c r="BO73" i="2"/>
  <c r="AA73" i="1"/>
  <c r="BN73" i="2"/>
  <c r="BM73" i="2"/>
  <c r="BL73" i="2"/>
  <c r="BK73" i="2"/>
  <c r="W73" i="1"/>
  <c r="BJ73" i="2"/>
  <c r="BI73" i="2"/>
  <c r="BH73" i="2"/>
  <c r="T73" i="1"/>
  <c r="BG73" i="2"/>
  <c r="BF73" i="2"/>
  <c r="BE73" i="2"/>
  <c r="BD73" i="2"/>
  <c r="BC73" i="2"/>
  <c r="BB73" i="2"/>
  <c r="BA73" i="2"/>
  <c r="AZ73" i="2"/>
  <c r="AY73" i="2"/>
  <c r="AX73" i="2"/>
  <c r="J73" i="1"/>
  <c r="AW73" i="2"/>
  <c r="I73" i="1"/>
  <c r="AV73" i="2"/>
  <c r="AU73" i="2"/>
  <c r="AT73" i="2"/>
  <c r="AS73" i="2"/>
  <c r="AR73" i="2"/>
  <c r="AQ73" i="2"/>
  <c r="AP73" i="2"/>
  <c r="AO73" i="2"/>
  <c r="AL73" i="2"/>
  <c r="AK73" i="2"/>
  <c r="BQ72" i="2"/>
  <c r="BP72" i="2"/>
  <c r="AB72" i="1"/>
  <c r="BO72" i="2"/>
  <c r="AA72" i="1"/>
  <c r="BN72" i="2"/>
  <c r="BM72" i="2"/>
  <c r="BL72" i="2"/>
  <c r="BK72" i="2"/>
  <c r="W72" i="1"/>
  <c r="BJ72" i="2"/>
  <c r="BI72" i="2"/>
  <c r="BH72" i="2"/>
  <c r="T72" i="1"/>
  <c r="BG72" i="2"/>
  <c r="BF72" i="2"/>
  <c r="BE72" i="2"/>
  <c r="BD72" i="2"/>
  <c r="BC72" i="2"/>
  <c r="BB72" i="2"/>
  <c r="BA72" i="2"/>
  <c r="AZ72" i="2"/>
  <c r="AY72" i="2"/>
  <c r="AX72" i="2"/>
  <c r="J72" i="1"/>
  <c r="AW72" i="2"/>
  <c r="I72" i="1"/>
  <c r="AV72" i="2"/>
  <c r="AU72" i="2"/>
  <c r="AT72" i="2"/>
  <c r="AS72" i="2"/>
  <c r="AR72" i="2"/>
  <c r="AQ72" i="2"/>
  <c r="AP72" i="2"/>
  <c r="AO72" i="2"/>
  <c r="AL72" i="2"/>
  <c r="AK72" i="2"/>
  <c r="BQ71" i="2"/>
  <c r="BP71" i="2"/>
  <c r="AB71" i="1"/>
  <c r="BO71" i="2"/>
  <c r="AA71" i="1"/>
  <c r="BN71" i="2"/>
  <c r="BM71" i="2"/>
  <c r="BL71" i="2"/>
  <c r="BK71" i="2"/>
  <c r="W71" i="1"/>
  <c r="BJ71" i="2"/>
  <c r="BI71" i="2"/>
  <c r="BH71" i="2"/>
  <c r="T71" i="1"/>
  <c r="BG71" i="2"/>
  <c r="BF71" i="2"/>
  <c r="BE71" i="2"/>
  <c r="BD71" i="2"/>
  <c r="BC71" i="2"/>
  <c r="BB71" i="2"/>
  <c r="BA71" i="2"/>
  <c r="AZ71" i="2"/>
  <c r="AY71" i="2"/>
  <c r="AX71" i="2"/>
  <c r="J71" i="1"/>
  <c r="AW71" i="2"/>
  <c r="I71" i="1"/>
  <c r="AV71" i="2"/>
  <c r="AU71" i="2"/>
  <c r="AT71" i="2"/>
  <c r="AS71" i="2"/>
  <c r="AR71" i="2"/>
  <c r="AQ71" i="2"/>
  <c r="AP71" i="2"/>
  <c r="AO71" i="2"/>
  <c r="AL71" i="2"/>
  <c r="AK71" i="2"/>
  <c r="BQ70" i="2"/>
  <c r="BP70" i="2"/>
  <c r="AB70" i="1"/>
  <c r="BO70" i="2"/>
  <c r="AA70" i="1"/>
  <c r="BN70" i="2"/>
  <c r="BM70" i="2"/>
  <c r="BL70" i="2"/>
  <c r="BK70" i="2"/>
  <c r="W70" i="1"/>
  <c r="BJ70" i="2"/>
  <c r="BI70" i="2"/>
  <c r="BH70" i="2"/>
  <c r="T70" i="1"/>
  <c r="BG70" i="2"/>
  <c r="BF70" i="2"/>
  <c r="BE70" i="2"/>
  <c r="BD70" i="2"/>
  <c r="BC70" i="2"/>
  <c r="BB70" i="2"/>
  <c r="BA70" i="2"/>
  <c r="AZ70" i="2"/>
  <c r="AY70" i="2"/>
  <c r="AX70" i="2"/>
  <c r="J70" i="1"/>
  <c r="AW70" i="2"/>
  <c r="I70" i="1"/>
  <c r="AV70" i="2"/>
  <c r="AU70" i="2"/>
  <c r="AT70" i="2"/>
  <c r="AS70" i="2"/>
  <c r="AR70" i="2"/>
  <c r="AQ70" i="2"/>
  <c r="AP70" i="2"/>
  <c r="AO70" i="2"/>
  <c r="AL70" i="2"/>
  <c r="AK70" i="2"/>
  <c r="BQ69" i="2"/>
  <c r="BP69" i="2"/>
  <c r="AB69" i="1"/>
  <c r="BO69" i="2"/>
  <c r="AA69" i="1"/>
  <c r="BN69" i="2"/>
  <c r="BM69" i="2"/>
  <c r="BL69" i="2"/>
  <c r="BK69" i="2"/>
  <c r="W69" i="1"/>
  <c r="BJ69" i="2"/>
  <c r="BI69" i="2"/>
  <c r="BH69" i="2"/>
  <c r="T69" i="1"/>
  <c r="BG69" i="2"/>
  <c r="BF69" i="2"/>
  <c r="BE69" i="2"/>
  <c r="BD69" i="2"/>
  <c r="BC69" i="2"/>
  <c r="BB69" i="2"/>
  <c r="BA69" i="2"/>
  <c r="AZ69" i="2"/>
  <c r="AY69" i="2"/>
  <c r="AX69" i="2"/>
  <c r="J69" i="1"/>
  <c r="AW69" i="2"/>
  <c r="I69" i="1"/>
  <c r="AV69" i="2"/>
  <c r="AU69" i="2"/>
  <c r="AT69" i="2"/>
  <c r="AS69" i="2"/>
  <c r="AR69" i="2"/>
  <c r="AQ69" i="2"/>
  <c r="AP69" i="2"/>
  <c r="AO69" i="2"/>
  <c r="AL69" i="2"/>
  <c r="AK69" i="2"/>
  <c r="BQ68" i="2"/>
  <c r="BP68" i="2"/>
  <c r="AB68" i="1"/>
  <c r="BO68" i="2"/>
  <c r="AA68" i="1"/>
  <c r="BN68" i="2"/>
  <c r="BM68" i="2"/>
  <c r="BL68" i="2"/>
  <c r="BK68" i="2"/>
  <c r="W68" i="1"/>
  <c r="BJ68" i="2"/>
  <c r="BI68" i="2"/>
  <c r="BH68" i="2"/>
  <c r="T68" i="1"/>
  <c r="BG68" i="2"/>
  <c r="BF68" i="2"/>
  <c r="BE68" i="2"/>
  <c r="BD68" i="2"/>
  <c r="BC68" i="2"/>
  <c r="BB68" i="2"/>
  <c r="BA68" i="2"/>
  <c r="AZ68" i="2"/>
  <c r="AY68" i="2"/>
  <c r="AX68" i="2"/>
  <c r="J68" i="1"/>
  <c r="AW68" i="2"/>
  <c r="I68" i="1"/>
  <c r="AV68" i="2"/>
  <c r="AU68" i="2"/>
  <c r="AT68" i="2"/>
  <c r="AS68" i="2"/>
  <c r="AR68" i="2"/>
  <c r="AQ68" i="2"/>
  <c r="AP68" i="2"/>
  <c r="AO68" i="2"/>
  <c r="AL68" i="2"/>
  <c r="AK68" i="2"/>
  <c r="BQ67" i="2"/>
  <c r="BP67" i="2"/>
  <c r="AB67" i="1"/>
  <c r="BO67" i="2"/>
  <c r="AA67" i="1"/>
  <c r="BN67" i="2"/>
  <c r="BM67" i="2"/>
  <c r="BL67" i="2"/>
  <c r="BK67" i="2"/>
  <c r="W67" i="1"/>
  <c r="BJ67" i="2"/>
  <c r="BI67" i="2"/>
  <c r="BH67" i="2"/>
  <c r="T67" i="1"/>
  <c r="BG67" i="2"/>
  <c r="BF67" i="2"/>
  <c r="BE67" i="2"/>
  <c r="BD67" i="2"/>
  <c r="BC67" i="2"/>
  <c r="BB67" i="2"/>
  <c r="BA67" i="2"/>
  <c r="AZ67" i="2"/>
  <c r="AY67" i="2"/>
  <c r="AX67" i="2"/>
  <c r="J67" i="1"/>
  <c r="AW67" i="2"/>
  <c r="I67" i="1"/>
  <c r="AV67" i="2"/>
  <c r="AU67" i="2"/>
  <c r="AT67" i="2"/>
  <c r="AS67" i="2"/>
  <c r="AR67" i="2"/>
  <c r="AQ67" i="2"/>
  <c r="AP67" i="2"/>
  <c r="AO67" i="2"/>
  <c r="AL67" i="2"/>
  <c r="AK67" i="2"/>
  <c r="BQ66" i="2"/>
  <c r="BP66" i="2"/>
  <c r="AB66" i="1"/>
  <c r="BO66" i="2"/>
  <c r="AA66" i="1"/>
  <c r="BN66" i="2"/>
  <c r="BM66" i="2"/>
  <c r="BL66" i="2"/>
  <c r="BK66" i="2"/>
  <c r="W66" i="1"/>
  <c r="BJ66" i="2"/>
  <c r="BI66" i="2"/>
  <c r="BH66" i="2"/>
  <c r="T66" i="1"/>
  <c r="BG66" i="2"/>
  <c r="BF66" i="2"/>
  <c r="BE66" i="2"/>
  <c r="BD66" i="2"/>
  <c r="BC66" i="2"/>
  <c r="BB66" i="2"/>
  <c r="BA66" i="2"/>
  <c r="AZ66" i="2"/>
  <c r="AY66" i="2"/>
  <c r="AX66" i="2"/>
  <c r="J66" i="1"/>
  <c r="AW66" i="2"/>
  <c r="I66" i="1"/>
  <c r="AV66" i="2"/>
  <c r="AU66" i="2"/>
  <c r="AT66" i="2"/>
  <c r="AS66" i="2"/>
  <c r="AR66" i="2"/>
  <c r="AQ66" i="2"/>
  <c r="AP66" i="2"/>
  <c r="AO66" i="2"/>
  <c r="AL66" i="2"/>
  <c r="AK66" i="2"/>
  <c r="BQ65" i="2"/>
  <c r="BP65" i="2"/>
  <c r="AB65" i="1"/>
  <c r="BO65" i="2"/>
  <c r="AA65" i="1"/>
  <c r="BN65" i="2"/>
  <c r="BM65" i="2"/>
  <c r="BL65" i="2"/>
  <c r="BK65" i="2"/>
  <c r="W65" i="1"/>
  <c r="BJ65" i="2"/>
  <c r="BI65" i="2"/>
  <c r="BH65" i="2"/>
  <c r="T65" i="1"/>
  <c r="BG65" i="2"/>
  <c r="BF65" i="2"/>
  <c r="BE65" i="2"/>
  <c r="BD65" i="2"/>
  <c r="BC65" i="2"/>
  <c r="BB65" i="2"/>
  <c r="BA65" i="2"/>
  <c r="AZ65" i="2"/>
  <c r="AY65" i="2"/>
  <c r="AX65" i="2"/>
  <c r="J65" i="1"/>
  <c r="AW65" i="2"/>
  <c r="I65" i="1"/>
  <c r="AV65" i="2"/>
  <c r="AU65" i="2"/>
  <c r="AT65" i="2"/>
  <c r="AS65" i="2"/>
  <c r="AR65" i="2"/>
  <c r="AQ65" i="2"/>
  <c r="AP65" i="2"/>
  <c r="AO65" i="2"/>
  <c r="AL65" i="2"/>
  <c r="AK65" i="2"/>
  <c r="BQ64" i="2"/>
  <c r="BP64" i="2"/>
  <c r="AB64" i="1"/>
  <c r="BO64" i="2"/>
  <c r="AA64" i="1"/>
  <c r="BN64" i="2"/>
  <c r="BM64" i="2"/>
  <c r="BL64" i="2"/>
  <c r="BK64" i="2"/>
  <c r="W64" i="1"/>
  <c r="BJ64" i="2"/>
  <c r="BI64" i="2"/>
  <c r="BH64" i="2"/>
  <c r="T64" i="1"/>
  <c r="BG64" i="2"/>
  <c r="BF64" i="2"/>
  <c r="BE64" i="2"/>
  <c r="BD64" i="2"/>
  <c r="BC64" i="2"/>
  <c r="BB64" i="2"/>
  <c r="BA64" i="2"/>
  <c r="AZ64" i="2"/>
  <c r="AY64" i="2"/>
  <c r="AX64" i="2"/>
  <c r="J64" i="1"/>
  <c r="AW64" i="2"/>
  <c r="I64" i="1"/>
  <c r="AV64" i="2"/>
  <c r="AU64" i="2"/>
  <c r="AT64" i="2"/>
  <c r="AS64" i="2"/>
  <c r="AR64" i="2"/>
  <c r="AQ64" i="2"/>
  <c r="AP64" i="2"/>
  <c r="AO64" i="2"/>
  <c r="AL64" i="2"/>
  <c r="AK64" i="2"/>
  <c r="BQ63" i="2"/>
  <c r="BP63" i="2"/>
  <c r="AB63" i="1"/>
  <c r="BO63" i="2"/>
  <c r="AA63" i="1"/>
  <c r="BN63" i="2"/>
  <c r="BM63" i="2"/>
  <c r="BL63" i="2"/>
  <c r="BK63" i="2"/>
  <c r="W63" i="1"/>
  <c r="BJ63" i="2"/>
  <c r="BI63" i="2"/>
  <c r="BH63" i="2"/>
  <c r="T63" i="1"/>
  <c r="BG63" i="2"/>
  <c r="BF63" i="2"/>
  <c r="BE63" i="2"/>
  <c r="BD63" i="2"/>
  <c r="BC63" i="2"/>
  <c r="BB63" i="2"/>
  <c r="BA63" i="2"/>
  <c r="AZ63" i="2"/>
  <c r="AY63" i="2"/>
  <c r="AX63" i="2"/>
  <c r="J63" i="1"/>
  <c r="AW63" i="2"/>
  <c r="I63" i="1"/>
  <c r="AV63" i="2"/>
  <c r="AU63" i="2"/>
  <c r="AT63" i="2"/>
  <c r="AS63" i="2"/>
  <c r="AR63" i="2"/>
  <c r="AQ63" i="2"/>
  <c r="AP63" i="2"/>
  <c r="AO63" i="2"/>
  <c r="AL63" i="2"/>
  <c r="AK63" i="2"/>
  <c r="BQ62" i="2"/>
  <c r="BP62" i="2"/>
  <c r="AB62" i="1"/>
  <c r="BO62" i="2"/>
  <c r="AA62" i="1"/>
  <c r="BN62" i="2"/>
  <c r="BM62" i="2"/>
  <c r="BL62" i="2"/>
  <c r="BK62" i="2"/>
  <c r="W62" i="1"/>
  <c r="BJ62" i="2"/>
  <c r="BI62" i="2"/>
  <c r="BH62" i="2"/>
  <c r="T62" i="1"/>
  <c r="BG62" i="2"/>
  <c r="BF62" i="2"/>
  <c r="BE62" i="2"/>
  <c r="BD62" i="2"/>
  <c r="BC62" i="2"/>
  <c r="BB62" i="2"/>
  <c r="BA62" i="2"/>
  <c r="AZ62" i="2"/>
  <c r="AY62" i="2"/>
  <c r="AX62" i="2"/>
  <c r="J62" i="1"/>
  <c r="AW62" i="2"/>
  <c r="I62" i="1"/>
  <c r="AV62" i="2"/>
  <c r="AU62" i="2"/>
  <c r="AT62" i="2"/>
  <c r="AS62" i="2"/>
  <c r="AR62" i="2"/>
  <c r="AQ62" i="2"/>
  <c r="AP62" i="2"/>
  <c r="AO62" i="2"/>
  <c r="AL62" i="2"/>
  <c r="AK62" i="2"/>
  <c r="BQ61" i="2"/>
  <c r="BP61" i="2"/>
  <c r="AB60" i="1"/>
  <c r="BO61" i="2"/>
  <c r="AA60" i="1"/>
  <c r="BN61" i="2"/>
  <c r="BM61" i="2"/>
  <c r="BL61" i="2"/>
  <c r="BK61" i="2"/>
  <c r="W60" i="1"/>
  <c r="BJ61" i="2"/>
  <c r="BI61" i="2"/>
  <c r="BH61" i="2"/>
  <c r="T60" i="1"/>
  <c r="BG61" i="2"/>
  <c r="BF61" i="2"/>
  <c r="BE61" i="2"/>
  <c r="BD61" i="2"/>
  <c r="BC61" i="2"/>
  <c r="BB61" i="2"/>
  <c r="BA61" i="2"/>
  <c r="AZ61" i="2"/>
  <c r="AY61" i="2"/>
  <c r="AX61" i="2"/>
  <c r="AW61" i="2"/>
  <c r="AV61" i="2"/>
  <c r="AU61" i="2"/>
  <c r="AT61" i="2"/>
  <c r="AS61" i="2"/>
  <c r="AR61" i="2"/>
  <c r="AQ61" i="2"/>
  <c r="AP61" i="2"/>
  <c r="AO61" i="2"/>
  <c r="AL61" i="2"/>
  <c r="AK61" i="2"/>
  <c r="BQ60" i="2"/>
  <c r="BP60" i="2"/>
  <c r="AB59" i="1"/>
  <c r="BO60" i="2"/>
  <c r="AA59" i="1"/>
  <c r="BN60" i="2"/>
  <c r="BM60" i="2"/>
  <c r="BL60" i="2"/>
  <c r="BK60" i="2"/>
  <c r="W59" i="1"/>
  <c r="BJ60" i="2"/>
  <c r="BI60" i="2"/>
  <c r="BH60" i="2"/>
  <c r="T59" i="1"/>
  <c r="BG60" i="2"/>
  <c r="BF60" i="2"/>
  <c r="BE60" i="2"/>
  <c r="BD60" i="2"/>
  <c r="BC60" i="2"/>
  <c r="BB60" i="2"/>
  <c r="BA60" i="2"/>
  <c r="AZ60" i="2"/>
  <c r="AY60" i="2"/>
  <c r="AX60" i="2"/>
  <c r="J59" i="1"/>
  <c r="AW60" i="2"/>
  <c r="I59" i="1"/>
  <c r="AV60" i="2"/>
  <c r="AU60" i="2"/>
  <c r="AT60" i="2"/>
  <c r="AS60" i="2"/>
  <c r="AR60" i="2"/>
  <c r="AQ60" i="2"/>
  <c r="AP60" i="2"/>
  <c r="AO60" i="2"/>
  <c r="AL60" i="2"/>
  <c r="AK60" i="2"/>
  <c r="BQ59" i="2"/>
  <c r="BP59" i="2"/>
  <c r="AB58" i="1"/>
  <c r="BO59" i="2"/>
  <c r="AA58" i="1"/>
  <c r="BN59" i="2"/>
  <c r="BM59" i="2"/>
  <c r="BL59" i="2"/>
  <c r="BK59" i="2"/>
  <c r="W58" i="1"/>
  <c r="BJ59" i="2"/>
  <c r="BI59" i="2"/>
  <c r="BH59" i="2"/>
  <c r="T58" i="1"/>
  <c r="BG59" i="2"/>
  <c r="BF59" i="2"/>
  <c r="BE59" i="2"/>
  <c r="BD59" i="2"/>
  <c r="BC59" i="2"/>
  <c r="BB59" i="2"/>
  <c r="BA59" i="2"/>
  <c r="AZ59" i="2"/>
  <c r="AY59" i="2"/>
  <c r="AX59" i="2"/>
  <c r="J58" i="1"/>
  <c r="AW59" i="2"/>
  <c r="I58" i="1"/>
  <c r="AV59" i="2"/>
  <c r="AU59" i="2"/>
  <c r="AT59" i="2"/>
  <c r="AS59" i="2"/>
  <c r="AR59" i="2"/>
  <c r="AQ59" i="2"/>
  <c r="AP59" i="2"/>
  <c r="AO59" i="2"/>
  <c r="AL59" i="2"/>
  <c r="AK59" i="2"/>
  <c r="BQ58" i="2"/>
  <c r="BP58" i="2"/>
  <c r="AB57" i="1"/>
  <c r="BO58" i="2"/>
  <c r="AA57" i="1"/>
  <c r="BN58" i="2"/>
  <c r="BM58" i="2"/>
  <c r="BL58" i="2"/>
  <c r="BK58" i="2"/>
  <c r="W57" i="1"/>
  <c r="BJ58" i="2"/>
  <c r="BI58" i="2"/>
  <c r="BH58" i="2"/>
  <c r="T57" i="1"/>
  <c r="BG58" i="2"/>
  <c r="BF58" i="2"/>
  <c r="BE58" i="2"/>
  <c r="BD58" i="2"/>
  <c r="BC58" i="2"/>
  <c r="BB58" i="2"/>
  <c r="BA58" i="2"/>
  <c r="AZ58" i="2"/>
  <c r="AY58" i="2"/>
  <c r="AX58" i="2"/>
  <c r="J57" i="1"/>
  <c r="AW58" i="2"/>
  <c r="I57" i="1"/>
  <c r="AV58" i="2"/>
  <c r="AU58" i="2"/>
  <c r="AT58" i="2"/>
  <c r="AS58" i="2"/>
  <c r="AR58" i="2"/>
  <c r="AQ58" i="2"/>
  <c r="AP58" i="2"/>
  <c r="AO58" i="2"/>
  <c r="AL58" i="2"/>
  <c r="AK58" i="2"/>
  <c r="BQ57" i="2"/>
  <c r="BP57" i="2"/>
  <c r="AB56" i="1"/>
  <c r="BO57" i="2"/>
  <c r="AA56" i="1"/>
  <c r="BN57" i="2"/>
  <c r="BM57" i="2"/>
  <c r="BL57" i="2"/>
  <c r="BK57" i="2"/>
  <c r="W56" i="1"/>
  <c r="BJ57" i="2"/>
  <c r="BI57" i="2"/>
  <c r="BH57" i="2"/>
  <c r="T56" i="1"/>
  <c r="BG57" i="2"/>
  <c r="BF57" i="2"/>
  <c r="BE57" i="2"/>
  <c r="BD57" i="2"/>
  <c r="BC57" i="2"/>
  <c r="BB57" i="2"/>
  <c r="BA57" i="2"/>
  <c r="AZ57" i="2"/>
  <c r="AY57" i="2"/>
  <c r="AX57" i="2"/>
  <c r="J56" i="1"/>
  <c r="AW57" i="2"/>
  <c r="I56" i="1"/>
  <c r="AV57" i="2"/>
  <c r="AU57" i="2"/>
  <c r="AT57" i="2"/>
  <c r="AS57" i="2"/>
  <c r="AR57" i="2"/>
  <c r="AQ57" i="2"/>
  <c r="AP57" i="2"/>
  <c r="AO57" i="2"/>
  <c r="AL57" i="2"/>
  <c r="AK57" i="2"/>
  <c r="BQ56" i="2"/>
  <c r="BP56" i="2"/>
  <c r="AB55" i="1"/>
  <c r="BO56" i="2"/>
  <c r="AA55" i="1"/>
  <c r="BN56" i="2"/>
  <c r="BM56" i="2"/>
  <c r="BL56" i="2"/>
  <c r="BK56" i="2"/>
  <c r="W55" i="1"/>
  <c r="BJ56" i="2"/>
  <c r="BI56" i="2"/>
  <c r="BH56" i="2"/>
  <c r="T55" i="1"/>
  <c r="BG56" i="2"/>
  <c r="BF56" i="2"/>
  <c r="BE56" i="2"/>
  <c r="BD56" i="2"/>
  <c r="BC56" i="2"/>
  <c r="BB56" i="2"/>
  <c r="BA56" i="2"/>
  <c r="AZ56" i="2"/>
  <c r="AY56" i="2"/>
  <c r="AX56" i="2"/>
  <c r="J55" i="1"/>
  <c r="AW56" i="2"/>
  <c r="I55" i="1"/>
  <c r="AV56" i="2"/>
  <c r="AU56" i="2"/>
  <c r="AT56" i="2"/>
  <c r="AS56" i="2"/>
  <c r="AR56" i="2"/>
  <c r="AQ56" i="2"/>
  <c r="AP56" i="2"/>
  <c r="AO56" i="2"/>
  <c r="AL56" i="2"/>
  <c r="AK56" i="2"/>
  <c r="BQ55" i="2"/>
  <c r="BP55" i="2"/>
  <c r="AB54" i="1"/>
  <c r="BO55" i="2"/>
  <c r="AA54" i="1"/>
  <c r="BN55" i="2"/>
  <c r="BM55" i="2"/>
  <c r="BL55" i="2"/>
  <c r="BK55" i="2"/>
  <c r="W54" i="1"/>
  <c r="BJ55" i="2"/>
  <c r="BI55" i="2"/>
  <c r="BH55" i="2"/>
  <c r="T54" i="1"/>
  <c r="BG55" i="2"/>
  <c r="BF55" i="2"/>
  <c r="BE55" i="2"/>
  <c r="BD55" i="2"/>
  <c r="BC55" i="2"/>
  <c r="BB55" i="2"/>
  <c r="BA55" i="2"/>
  <c r="AZ55" i="2"/>
  <c r="AY55" i="2"/>
  <c r="AX55" i="2"/>
  <c r="J54" i="1"/>
  <c r="AW55" i="2"/>
  <c r="I54" i="1"/>
  <c r="AV55" i="2"/>
  <c r="AU55" i="2"/>
  <c r="AT55" i="2"/>
  <c r="AS55" i="2"/>
  <c r="AR55" i="2"/>
  <c r="AQ55" i="2"/>
  <c r="AP55" i="2"/>
  <c r="AO55" i="2"/>
  <c r="AL55" i="2"/>
  <c r="AK55" i="2"/>
  <c r="BQ54" i="2"/>
  <c r="BP54" i="2"/>
  <c r="AB53" i="1"/>
  <c r="BO54" i="2"/>
  <c r="AA53" i="1"/>
  <c r="BN54" i="2"/>
  <c r="BM54" i="2"/>
  <c r="BL54" i="2"/>
  <c r="BK54" i="2"/>
  <c r="W53" i="1"/>
  <c r="BJ54" i="2"/>
  <c r="BI54" i="2"/>
  <c r="BH54" i="2"/>
  <c r="T53" i="1"/>
  <c r="BG54" i="2"/>
  <c r="BF54" i="2"/>
  <c r="BE54" i="2"/>
  <c r="BD54" i="2"/>
  <c r="BC54" i="2"/>
  <c r="BB54" i="2"/>
  <c r="BA54" i="2"/>
  <c r="AZ54" i="2"/>
  <c r="AY54" i="2"/>
  <c r="AX54" i="2"/>
  <c r="J53" i="1"/>
  <c r="AW54" i="2"/>
  <c r="I53" i="1"/>
  <c r="AV54" i="2"/>
  <c r="AU54" i="2"/>
  <c r="AT54" i="2"/>
  <c r="AS54" i="2"/>
  <c r="AR54" i="2"/>
  <c r="AQ54" i="2"/>
  <c r="AP54" i="2"/>
  <c r="AO54" i="2"/>
  <c r="AL54" i="2"/>
  <c r="AK54" i="2"/>
  <c r="BQ53" i="2"/>
  <c r="BP53" i="2"/>
  <c r="AB52" i="1"/>
  <c r="BO53" i="2"/>
  <c r="AA52" i="1"/>
  <c r="BN53" i="2"/>
  <c r="BM53" i="2"/>
  <c r="BL53" i="2"/>
  <c r="BK53" i="2"/>
  <c r="W52" i="1"/>
  <c r="BJ53" i="2"/>
  <c r="BI53" i="2"/>
  <c r="BH53" i="2"/>
  <c r="T52" i="1"/>
  <c r="BG53" i="2"/>
  <c r="BF53" i="2"/>
  <c r="BE53" i="2"/>
  <c r="BD53" i="2"/>
  <c r="BC53" i="2"/>
  <c r="BB53" i="2"/>
  <c r="BA53" i="2"/>
  <c r="AZ53" i="2"/>
  <c r="AY53" i="2"/>
  <c r="AX53" i="2"/>
  <c r="J52" i="1"/>
  <c r="AW53" i="2"/>
  <c r="I52" i="1"/>
  <c r="AV53" i="2"/>
  <c r="AU53" i="2"/>
  <c r="AT53" i="2"/>
  <c r="AS53" i="2"/>
  <c r="AR53" i="2"/>
  <c r="AQ53" i="2"/>
  <c r="AP53" i="2"/>
  <c r="AO53" i="2"/>
  <c r="AL53" i="2"/>
  <c r="AK53" i="2"/>
  <c r="BQ52" i="2"/>
  <c r="BP52" i="2"/>
  <c r="AB51" i="1"/>
  <c r="BO52" i="2"/>
  <c r="AA51" i="1"/>
  <c r="BN52" i="2"/>
  <c r="BM52" i="2"/>
  <c r="BL52" i="2"/>
  <c r="BK52" i="2"/>
  <c r="W51" i="1"/>
  <c r="BJ52" i="2"/>
  <c r="BI52" i="2"/>
  <c r="BH52" i="2"/>
  <c r="T51" i="1"/>
  <c r="BG52" i="2"/>
  <c r="BF52" i="2"/>
  <c r="BE52" i="2"/>
  <c r="BD52" i="2"/>
  <c r="BC52" i="2"/>
  <c r="BB52" i="2"/>
  <c r="BA52" i="2"/>
  <c r="AZ52" i="2"/>
  <c r="AY52" i="2"/>
  <c r="AX52" i="2"/>
  <c r="J51" i="1"/>
  <c r="AW52" i="2"/>
  <c r="I51" i="1"/>
  <c r="AV52" i="2"/>
  <c r="AU52" i="2"/>
  <c r="AT52" i="2"/>
  <c r="AS52" i="2"/>
  <c r="AR52" i="2"/>
  <c r="AQ52" i="2"/>
  <c r="AP52" i="2"/>
  <c r="AO52" i="2"/>
  <c r="AL52" i="2"/>
  <c r="AK52" i="2"/>
  <c r="BQ51" i="2"/>
  <c r="BP51" i="2"/>
  <c r="AB50" i="1"/>
  <c r="BO51" i="2"/>
  <c r="AA50" i="1"/>
  <c r="BN51" i="2"/>
  <c r="BM51" i="2"/>
  <c r="BL51" i="2"/>
  <c r="BK51" i="2"/>
  <c r="W50" i="1"/>
  <c r="BJ51" i="2"/>
  <c r="BI51" i="2"/>
  <c r="BH51" i="2"/>
  <c r="T50" i="1"/>
  <c r="BG51" i="2"/>
  <c r="BF51" i="2"/>
  <c r="BE51" i="2"/>
  <c r="BD51" i="2"/>
  <c r="BC51" i="2"/>
  <c r="BB51" i="2"/>
  <c r="BA51" i="2"/>
  <c r="AZ51" i="2"/>
  <c r="AY51" i="2"/>
  <c r="AX51" i="2"/>
  <c r="J50" i="1"/>
  <c r="AW51" i="2"/>
  <c r="I50" i="1"/>
  <c r="AV51" i="2"/>
  <c r="AU51" i="2"/>
  <c r="AT51" i="2"/>
  <c r="AS51" i="2"/>
  <c r="AR51" i="2"/>
  <c r="AQ51" i="2"/>
  <c r="AP51" i="2"/>
  <c r="AO51" i="2"/>
  <c r="AL51" i="2"/>
  <c r="AK51" i="2"/>
  <c r="BQ50" i="2"/>
  <c r="BP50" i="2"/>
  <c r="AB49" i="1"/>
  <c r="BO50" i="2"/>
  <c r="AA49" i="1"/>
  <c r="BN50" i="2"/>
  <c r="BM50" i="2"/>
  <c r="BL50" i="2"/>
  <c r="BK50" i="2"/>
  <c r="W49" i="1"/>
  <c r="BJ50" i="2"/>
  <c r="BI50" i="2"/>
  <c r="BH50" i="2"/>
  <c r="T49" i="1"/>
  <c r="BG50" i="2"/>
  <c r="BF50" i="2"/>
  <c r="BE50" i="2"/>
  <c r="BD50" i="2"/>
  <c r="BC50" i="2"/>
  <c r="BB50" i="2"/>
  <c r="BA50" i="2"/>
  <c r="AZ50" i="2"/>
  <c r="AY50" i="2"/>
  <c r="AX50" i="2"/>
  <c r="J49" i="1"/>
  <c r="AW50" i="2"/>
  <c r="I49" i="1"/>
  <c r="AV50" i="2"/>
  <c r="AU50" i="2"/>
  <c r="AT50" i="2"/>
  <c r="AS50" i="2"/>
  <c r="AR50" i="2"/>
  <c r="AQ50" i="2"/>
  <c r="AP50" i="2"/>
  <c r="AO50" i="2"/>
  <c r="AL50" i="2"/>
  <c r="AK50" i="2"/>
  <c r="BQ49" i="2"/>
  <c r="BP49" i="2"/>
  <c r="AB48" i="1"/>
  <c r="BO49" i="2"/>
  <c r="AA48" i="1"/>
  <c r="BN49" i="2"/>
  <c r="BM49" i="2"/>
  <c r="BL49" i="2"/>
  <c r="BK49" i="2"/>
  <c r="W48" i="1"/>
  <c r="BJ49" i="2"/>
  <c r="BI49" i="2"/>
  <c r="BH49" i="2"/>
  <c r="T48" i="1"/>
  <c r="BG49" i="2"/>
  <c r="BF49" i="2"/>
  <c r="BE49" i="2"/>
  <c r="BD49" i="2"/>
  <c r="BC49" i="2"/>
  <c r="BB49" i="2"/>
  <c r="BA49" i="2"/>
  <c r="AZ49" i="2"/>
  <c r="AY49" i="2"/>
  <c r="AX49" i="2"/>
  <c r="J48" i="1"/>
  <c r="AW49" i="2"/>
  <c r="I48" i="1"/>
  <c r="AV49" i="2"/>
  <c r="AU49" i="2"/>
  <c r="AT49" i="2"/>
  <c r="AS49" i="2"/>
  <c r="AR49" i="2"/>
  <c r="AQ49" i="2"/>
  <c r="AP49" i="2"/>
  <c r="AO49" i="2"/>
  <c r="AL49" i="2"/>
  <c r="AK49" i="2"/>
  <c r="BQ48" i="2"/>
  <c r="BP48" i="2"/>
  <c r="AB47" i="1"/>
  <c r="BO48" i="2"/>
  <c r="AA47" i="1"/>
  <c r="BN48" i="2"/>
  <c r="BM48" i="2"/>
  <c r="BL48" i="2"/>
  <c r="BK48" i="2"/>
  <c r="W47" i="1"/>
  <c r="BJ48" i="2"/>
  <c r="BI48" i="2"/>
  <c r="BH48" i="2"/>
  <c r="T47" i="1"/>
  <c r="BG48" i="2"/>
  <c r="BF48" i="2"/>
  <c r="BE48" i="2"/>
  <c r="BD48" i="2"/>
  <c r="BC48" i="2"/>
  <c r="BB48" i="2"/>
  <c r="BA48" i="2"/>
  <c r="AZ48" i="2"/>
  <c r="AY48" i="2"/>
  <c r="AX48" i="2"/>
  <c r="J47" i="1"/>
  <c r="AW48" i="2"/>
  <c r="I47" i="1"/>
  <c r="AV48" i="2"/>
  <c r="AU48" i="2"/>
  <c r="AT48" i="2"/>
  <c r="AS48" i="2"/>
  <c r="AR48" i="2"/>
  <c r="AQ48" i="2"/>
  <c r="AP48" i="2"/>
  <c r="AO48" i="2"/>
  <c r="AL48" i="2"/>
  <c r="AK48" i="2"/>
  <c r="BQ47" i="2"/>
  <c r="BP47" i="2"/>
  <c r="AB46" i="1"/>
  <c r="BO47" i="2"/>
  <c r="AA46" i="1"/>
  <c r="BN47" i="2"/>
  <c r="BM47" i="2"/>
  <c r="BL47" i="2"/>
  <c r="BK47" i="2"/>
  <c r="W46" i="1"/>
  <c r="BJ47" i="2"/>
  <c r="BI47" i="2"/>
  <c r="BH47" i="2"/>
  <c r="T46" i="1"/>
  <c r="BG47" i="2"/>
  <c r="BF47" i="2"/>
  <c r="BE47" i="2"/>
  <c r="BD47" i="2"/>
  <c r="BC47" i="2"/>
  <c r="BB47" i="2"/>
  <c r="BA47" i="2"/>
  <c r="AZ47" i="2"/>
  <c r="AY47" i="2"/>
  <c r="AX47" i="2"/>
  <c r="J46" i="1"/>
  <c r="AW47" i="2"/>
  <c r="I46" i="1"/>
  <c r="AV47" i="2"/>
  <c r="AU47" i="2"/>
  <c r="AT47" i="2"/>
  <c r="AS47" i="2"/>
  <c r="AR47" i="2"/>
  <c r="AQ47" i="2"/>
  <c r="AP47" i="2"/>
  <c r="AO47" i="2"/>
  <c r="AL47" i="2"/>
  <c r="AK47" i="2"/>
  <c r="BQ46" i="2"/>
  <c r="BP46" i="2"/>
  <c r="AB45" i="1"/>
  <c r="BO46" i="2"/>
  <c r="AA45" i="1"/>
  <c r="BN46" i="2"/>
  <c r="BM46" i="2"/>
  <c r="BL46" i="2"/>
  <c r="BK46" i="2"/>
  <c r="W45" i="1"/>
  <c r="BJ46" i="2"/>
  <c r="BI46" i="2"/>
  <c r="BH46" i="2"/>
  <c r="T45" i="1"/>
  <c r="BG46" i="2"/>
  <c r="BF46" i="2"/>
  <c r="BE46" i="2"/>
  <c r="BD46" i="2"/>
  <c r="BC46" i="2"/>
  <c r="BB46" i="2"/>
  <c r="BA46" i="2"/>
  <c r="AZ46" i="2"/>
  <c r="AY46" i="2"/>
  <c r="AX46" i="2"/>
  <c r="J45" i="1"/>
  <c r="AW46" i="2"/>
  <c r="I45" i="1"/>
  <c r="AV46" i="2"/>
  <c r="AU46" i="2"/>
  <c r="AT46" i="2"/>
  <c r="AS46" i="2"/>
  <c r="AR46" i="2"/>
  <c r="AQ46" i="2"/>
  <c r="AP46" i="2"/>
  <c r="AO46" i="2"/>
  <c r="AL46" i="2"/>
  <c r="AK46" i="2"/>
  <c r="BQ45" i="2"/>
  <c r="BP45" i="2"/>
  <c r="AB44" i="1"/>
  <c r="BO45" i="2"/>
  <c r="AA44" i="1"/>
  <c r="BN45" i="2"/>
  <c r="BM45" i="2"/>
  <c r="BL45" i="2"/>
  <c r="BK45" i="2"/>
  <c r="W44" i="1"/>
  <c r="BJ45" i="2"/>
  <c r="BI45" i="2"/>
  <c r="BH45" i="2"/>
  <c r="T44" i="1"/>
  <c r="BG45" i="2"/>
  <c r="BF45" i="2"/>
  <c r="BE45" i="2"/>
  <c r="BD45" i="2"/>
  <c r="BC45" i="2"/>
  <c r="BB45" i="2"/>
  <c r="BA45" i="2"/>
  <c r="AZ45" i="2"/>
  <c r="AY45" i="2"/>
  <c r="AX45" i="2"/>
  <c r="J44" i="1"/>
  <c r="AW45" i="2"/>
  <c r="I44" i="1"/>
  <c r="AV45" i="2"/>
  <c r="AU45" i="2"/>
  <c r="AT45" i="2"/>
  <c r="AS45" i="2"/>
  <c r="AR45" i="2"/>
  <c r="AQ45" i="2"/>
  <c r="AP45" i="2"/>
  <c r="AO45" i="2"/>
  <c r="AL45" i="2"/>
  <c r="AK45" i="2"/>
  <c r="BQ44" i="2"/>
  <c r="BP44" i="2"/>
  <c r="AB43" i="1"/>
  <c r="BO44" i="2"/>
  <c r="AA43" i="1"/>
  <c r="BN44" i="2"/>
  <c r="BM44" i="2"/>
  <c r="BL44" i="2"/>
  <c r="BK44" i="2"/>
  <c r="W43" i="1"/>
  <c r="BJ44" i="2"/>
  <c r="BI44" i="2"/>
  <c r="BH44" i="2"/>
  <c r="T43" i="1"/>
  <c r="BG44" i="2"/>
  <c r="BF44" i="2"/>
  <c r="BE44" i="2"/>
  <c r="BD44" i="2"/>
  <c r="BC44" i="2"/>
  <c r="BB44" i="2"/>
  <c r="BA44" i="2"/>
  <c r="AZ44" i="2"/>
  <c r="AY44" i="2"/>
  <c r="AX44" i="2"/>
  <c r="J43" i="1"/>
  <c r="AW44" i="2"/>
  <c r="I43" i="1"/>
  <c r="AV44" i="2"/>
  <c r="AU44" i="2"/>
  <c r="AT44" i="2"/>
  <c r="AS44" i="2"/>
  <c r="AR44" i="2"/>
  <c r="AQ44" i="2"/>
  <c r="AP44" i="2"/>
  <c r="AO44" i="2"/>
  <c r="AL44" i="2"/>
  <c r="AK44" i="2"/>
  <c r="BQ43" i="2"/>
  <c r="BP43" i="2"/>
  <c r="AB42" i="1"/>
  <c r="BO43" i="2"/>
  <c r="AA42" i="1"/>
  <c r="BN43" i="2"/>
  <c r="BM43" i="2"/>
  <c r="BL43" i="2"/>
  <c r="BK43" i="2"/>
  <c r="W42" i="1"/>
  <c r="BJ43" i="2"/>
  <c r="BI43" i="2"/>
  <c r="BH43" i="2"/>
  <c r="T42" i="1"/>
  <c r="BG43" i="2"/>
  <c r="BF43" i="2"/>
  <c r="BE43" i="2"/>
  <c r="BD43" i="2"/>
  <c r="BC43" i="2"/>
  <c r="BB43" i="2"/>
  <c r="BA43" i="2"/>
  <c r="AZ43" i="2"/>
  <c r="AY43" i="2"/>
  <c r="AX43" i="2"/>
  <c r="J42" i="1"/>
  <c r="AW43" i="2"/>
  <c r="I42" i="1"/>
  <c r="AV43" i="2"/>
  <c r="AU43" i="2"/>
  <c r="AT43" i="2"/>
  <c r="AS43" i="2"/>
  <c r="AR43" i="2"/>
  <c r="AQ43" i="2"/>
  <c r="AP43" i="2"/>
  <c r="AO43" i="2"/>
  <c r="AL43" i="2"/>
  <c r="AK43" i="2"/>
  <c r="BQ42" i="2"/>
  <c r="BP42" i="2"/>
  <c r="AB41" i="1"/>
  <c r="BO42" i="2"/>
  <c r="AA41" i="1"/>
  <c r="BN42" i="2"/>
  <c r="BM42" i="2"/>
  <c r="BL42" i="2"/>
  <c r="BK42" i="2"/>
  <c r="W41" i="1"/>
  <c r="BJ42" i="2"/>
  <c r="BI42" i="2"/>
  <c r="BH42" i="2"/>
  <c r="T41" i="1"/>
  <c r="BG42" i="2"/>
  <c r="BF42" i="2"/>
  <c r="BE42" i="2"/>
  <c r="BD42" i="2"/>
  <c r="BC42" i="2"/>
  <c r="BB42" i="2"/>
  <c r="BA42" i="2"/>
  <c r="AZ42" i="2"/>
  <c r="AY42" i="2"/>
  <c r="AX42" i="2"/>
  <c r="J41" i="1"/>
  <c r="AW42" i="2"/>
  <c r="I41" i="1"/>
  <c r="AV42" i="2"/>
  <c r="AU42" i="2"/>
  <c r="AT42" i="2"/>
  <c r="AS42" i="2"/>
  <c r="AR42" i="2"/>
  <c r="AQ42" i="2"/>
  <c r="AP42" i="2"/>
  <c r="AO42" i="2"/>
  <c r="AL42" i="2"/>
  <c r="AK42" i="2"/>
  <c r="BQ41" i="2"/>
  <c r="BP41" i="2"/>
  <c r="AB40" i="1"/>
  <c r="BO41" i="2"/>
  <c r="AA40" i="1"/>
  <c r="BN41" i="2"/>
  <c r="BM41" i="2"/>
  <c r="BL41" i="2"/>
  <c r="BK41" i="2"/>
  <c r="W40" i="1"/>
  <c r="BJ41" i="2"/>
  <c r="BI41" i="2"/>
  <c r="BH41" i="2"/>
  <c r="T40" i="1"/>
  <c r="BG41" i="2"/>
  <c r="BF41" i="2"/>
  <c r="BE41" i="2"/>
  <c r="BD41" i="2"/>
  <c r="BC41" i="2"/>
  <c r="BB41" i="2"/>
  <c r="BA41" i="2"/>
  <c r="AZ41" i="2"/>
  <c r="AY41" i="2"/>
  <c r="AX41" i="2"/>
  <c r="J40" i="1"/>
  <c r="AW41" i="2"/>
  <c r="I40" i="1"/>
  <c r="AV41" i="2"/>
  <c r="AU41" i="2"/>
  <c r="AT41" i="2"/>
  <c r="AS41" i="2"/>
  <c r="AR41" i="2"/>
  <c r="AQ41" i="2"/>
  <c r="AP41" i="2"/>
  <c r="AO41" i="2"/>
  <c r="AL41" i="2"/>
  <c r="AK41" i="2"/>
  <c r="BQ40" i="2"/>
  <c r="BP40" i="2"/>
  <c r="AB39" i="1"/>
  <c r="BO40" i="2"/>
  <c r="AA39" i="1"/>
  <c r="BN40" i="2"/>
  <c r="BM40" i="2"/>
  <c r="BL40" i="2"/>
  <c r="BK40" i="2"/>
  <c r="W39" i="1"/>
  <c r="BJ40" i="2"/>
  <c r="BI40" i="2"/>
  <c r="BH40" i="2"/>
  <c r="T39" i="1"/>
  <c r="BG40" i="2"/>
  <c r="BF40" i="2"/>
  <c r="BE40" i="2"/>
  <c r="BD40" i="2"/>
  <c r="BC40" i="2"/>
  <c r="BB40" i="2"/>
  <c r="BA40" i="2"/>
  <c r="AZ40" i="2"/>
  <c r="AY40" i="2"/>
  <c r="AX40" i="2"/>
  <c r="J39" i="1"/>
  <c r="AW40" i="2"/>
  <c r="I39" i="1"/>
  <c r="AV40" i="2"/>
  <c r="AU40" i="2"/>
  <c r="AT40" i="2"/>
  <c r="AS40" i="2"/>
  <c r="AR40" i="2"/>
  <c r="AQ40" i="2"/>
  <c r="AP40" i="2"/>
  <c r="AO40" i="2"/>
  <c r="AL40" i="2"/>
  <c r="AK40" i="2"/>
  <c r="BQ39" i="2"/>
  <c r="BP39" i="2"/>
  <c r="AB38" i="1"/>
  <c r="BO39" i="2"/>
  <c r="AA38" i="1"/>
  <c r="BN39" i="2"/>
  <c r="BM39" i="2"/>
  <c r="BL39" i="2"/>
  <c r="BK39" i="2"/>
  <c r="W38" i="1"/>
  <c r="BJ39" i="2"/>
  <c r="BI39" i="2"/>
  <c r="BH39" i="2"/>
  <c r="T38" i="1"/>
  <c r="BG39" i="2"/>
  <c r="BF39" i="2"/>
  <c r="BE39" i="2"/>
  <c r="BD39" i="2"/>
  <c r="BC39" i="2"/>
  <c r="BB39" i="2"/>
  <c r="BA39" i="2"/>
  <c r="AZ39" i="2"/>
  <c r="AY39" i="2"/>
  <c r="AX39" i="2"/>
  <c r="J38" i="1"/>
  <c r="AW39" i="2"/>
  <c r="I38" i="1"/>
  <c r="AV39" i="2"/>
  <c r="AU39" i="2"/>
  <c r="AT39" i="2"/>
  <c r="AS39" i="2"/>
  <c r="AR39" i="2"/>
  <c r="AQ39" i="2"/>
  <c r="AP39" i="2"/>
  <c r="AO39" i="2"/>
  <c r="AL39" i="2"/>
  <c r="AK39" i="2"/>
  <c r="BQ38" i="2"/>
  <c r="BP38" i="2"/>
  <c r="AB37" i="1"/>
  <c r="BO38" i="2"/>
  <c r="AA37" i="1"/>
  <c r="BN38" i="2"/>
  <c r="BM38" i="2"/>
  <c r="BL38" i="2"/>
  <c r="BK38" i="2"/>
  <c r="W37" i="1"/>
  <c r="BJ38" i="2"/>
  <c r="BI38" i="2"/>
  <c r="BH38" i="2"/>
  <c r="T37" i="1"/>
  <c r="BG38" i="2"/>
  <c r="BF38" i="2"/>
  <c r="BE38" i="2"/>
  <c r="BD38" i="2"/>
  <c r="BC38" i="2"/>
  <c r="BB38" i="2"/>
  <c r="BA38" i="2"/>
  <c r="AZ38" i="2"/>
  <c r="AY38" i="2"/>
  <c r="AX38" i="2"/>
  <c r="J37" i="1"/>
  <c r="AW38" i="2"/>
  <c r="I37" i="1"/>
  <c r="AV38" i="2"/>
  <c r="AU38" i="2"/>
  <c r="AT38" i="2"/>
  <c r="AS38" i="2"/>
  <c r="AR38" i="2"/>
  <c r="AQ38" i="2"/>
  <c r="AP38" i="2"/>
  <c r="AO38" i="2"/>
  <c r="AL38" i="2"/>
  <c r="AK38" i="2"/>
  <c r="BQ37" i="2"/>
  <c r="BP37" i="2"/>
  <c r="AB36" i="1"/>
  <c r="BO37" i="2"/>
  <c r="AA36" i="1"/>
  <c r="BN37" i="2"/>
  <c r="BM37" i="2"/>
  <c r="BL37" i="2"/>
  <c r="BK37" i="2"/>
  <c r="W36" i="1"/>
  <c r="BJ37" i="2"/>
  <c r="BI37" i="2"/>
  <c r="BH37" i="2"/>
  <c r="T36" i="1"/>
  <c r="BG37" i="2"/>
  <c r="BF37" i="2"/>
  <c r="BE37" i="2"/>
  <c r="BD37" i="2"/>
  <c r="BC37" i="2"/>
  <c r="BB37" i="2"/>
  <c r="BA37" i="2"/>
  <c r="AZ37" i="2"/>
  <c r="AY37" i="2"/>
  <c r="AX37" i="2"/>
  <c r="J36" i="1"/>
  <c r="AW37" i="2"/>
  <c r="I36" i="1"/>
  <c r="AV37" i="2"/>
  <c r="AU37" i="2"/>
  <c r="AT37" i="2"/>
  <c r="AS37" i="2"/>
  <c r="AR37" i="2"/>
  <c r="AQ37" i="2"/>
  <c r="AP37" i="2"/>
  <c r="AO37" i="2"/>
  <c r="AL37" i="2"/>
  <c r="AK37" i="2"/>
  <c r="BQ36" i="2"/>
  <c r="BP36" i="2"/>
  <c r="AB35" i="1"/>
  <c r="BO36" i="2"/>
  <c r="AA35" i="1"/>
  <c r="BN36" i="2"/>
  <c r="BM36" i="2"/>
  <c r="BL36" i="2"/>
  <c r="BK36" i="2"/>
  <c r="W35" i="1"/>
  <c r="BJ36" i="2"/>
  <c r="BI36" i="2"/>
  <c r="BH36" i="2"/>
  <c r="T35" i="1"/>
  <c r="BG36" i="2"/>
  <c r="BF36" i="2"/>
  <c r="BE36" i="2"/>
  <c r="BD36" i="2"/>
  <c r="BC36" i="2"/>
  <c r="BB36" i="2"/>
  <c r="BA36" i="2"/>
  <c r="AZ36" i="2"/>
  <c r="AY36" i="2"/>
  <c r="AX36" i="2"/>
  <c r="J35" i="1"/>
  <c r="AW36" i="2"/>
  <c r="I35" i="1"/>
  <c r="AV36" i="2"/>
  <c r="AU36" i="2"/>
  <c r="AT36" i="2"/>
  <c r="AS36" i="2"/>
  <c r="AR36" i="2"/>
  <c r="AQ36" i="2"/>
  <c r="AP36" i="2"/>
  <c r="AO36" i="2"/>
  <c r="AL36" i="2"/>
  <c r="AK36" i="2"/>
  <c r="BQ35" i="2"/>
  <c r="BP35" i="2"/>
  <c r="AB34" i="1"/>
  <c r="BO35" i="2"/>
  <c r="AA34" i="1"/>
  <c r="BN35" i="2"/>
  <c r="BM35" i="2"/>
  <c r="BL35" i="2"/>
  <c r="BK35" i="2"/>
  <c r="W34" i="1"/>
  <c r="BJ35" i="2"/>
  <c r="BI35" i="2"/>
  <c r="BH35" i="2"/>
  <c r="T34" i="1"/>
  <c r="BG35" i="2"/>
  <c r="BF35" i="2"/>
  <c r="BE35" i="2"/>
  <c r="BD35" i="2"/>
  <c r="BC35" i="2"/>
  <c r="BB35" i="2"/>
  <c r="BA35" i="2"/>
  <c r="AZ35" i="2"/>
  <c r="AY35" i="2"/>
  <c r="AX35" i="2"/>
  <c r="J34" i="1"/>
  <c r="AW35" i="2"/>
  <c r="I34" i="1"/>
  <c r="AV35" i="2"/>
  <c r="AU35" i="2"/>
  <c r="AT35" i="2"/>
  <c r="AS35" i="2"/>
  <c r="AR35" i="2"/>
  <c r="AQ35" i="2"/>
  <c r="AP35" i="2"/>
  <c r="AO35" i="2"/>
  <c r="AL35" i="2"/>
  <c r="AK35" i="2"/>
  <c r="BQ34" i="2"/>
  <c r="BP34" i="2"/>
  <c r="AB33" i="1"/>
  <c r="BO34" i="2"/>
  <c r="AA33" i="1"/>
  <c r="BN34" i="2"/>
  <c r="BM34" i="2"/>
  <c r="BL34" i="2"/>
  <c r="BK34" i="2"/>
  <c r="W33" i="1"/>
  <c r="BJ34" i="2"/>
  <c r="BI34" i="2"/>
  <c r="BH34" i="2"/>
  <c r="T33" i="1"/>
  <c r="BG34" i="2"/>
  <c r="BF34" i="2"/>
  <c r="BE34" i="2"/>
  <c r="BD34" i="2"/>
  <c r="BC34" i="2"/>
  <c r="BB34" i="2"/>
  <c r="BA34" i="2"/>
  <c r="AZ34" i="2"/>
  <c r="AY34" i="2"/>
  <c r="AX34" i="2"/>
  <c r="J33" i="1"/>
  <c r="AW34" i="2"/>
  <c r="I33" i="1"/>
  <c r="AV34" i="2"/>
  <c r="AU34" i="2"/>
  <c r="AT34" i="2"/>
  <c r="AS34" i="2"/>
  <c r="AR34" i="2"/>
  <c r="AQ34" i="2"/>
  <c r="AP34" i="2"/>
  <c r="AO34" i="2"/>
  <c r="AL34" i="2"/>
  <c r="AK34" i="2"/>
  <c r="BQ33" i="2"/>
  <c r="BP33" i="2"/>
  <c r="AB32" i="1"/>
  <c r="BO33" i="2"/>
  <c r="AA32" i="1"/>
  <c r="BN33" i="2"/>
  <c r="BM33" i="2"/>
  <c r="BL33" i="2"/>
  <c r="BK33" i="2"/>
  <c r="W32" i="1"/>
  <c r="BJ33" i="2"/>
  <c r="BI33" i="2"/>
  <c r="BH33" i="2"/>
  <c r="T32" i="1"/>
  <c r="BG33" i="2"/>
  <c r="BF33" i="2"/>
  <c r="BE33" i="2"/>
  <c r="BD33" i="2"/>
  <c r="BC33" i="2"/>
  <c r="BB33" i="2"/>
  <c r="BA33" i="2"/>
  <c r="AZ33" i="2"/>
  <c r="AY33" i="2"/>
  <c r="AX33" i="2"/>
  <c r="J32" i="1"/>
  <c r="AW33" i="2"/>
  <c r="I32" i="1"/>
  <c r="AV33" i="2"/>
  <c r="AU33" i="2"/>
  <c r="AT33" i="2"/>
  <c r="AS33" i="2"/>
  <c r="AR33" i="2"/>
  <c r="AQ33" i="2"/>
  <c r="AP33" i="2"/>
  <c r="AO33" i="2"/>
  <c r="AL33" i="2"/>
  <c r="AK33" i="2"/>
  <c r="BQ32" i="2"/>
  <c r="BP32" i="2"/>
  <c r="AB31" i="1"/>
  <c r="BO32" i="2"/>
  <c r="AA31" i="1"/>
  <c r="BN32" i="2"/>
  <c r="BM32" i="2"/>
  <c r="BL32" i="2"/>
  <c r="BK32" i="2"/>
  <c r="W31" i="1"/>
  <c r="BJ32" i="2"/>
  <c r="BI32" i="2"/>
  <c r="BH32" i="2"/>
  <c r="T31" i="1"/>
  <c r="BG32" i="2"/>
  <c r="BF32" i="2"/>
  <c r="BE32" i="2"/>
  <c r="BD32" i="2"/>
  <c r="BC32" i="2"/>
  <c r="BB32" i="2"/>
  <c r="BA32" i="2"/>
  <c r="AZ32" i="2"/>
  <c r="AY32" i="2"/>
  <c r="AX32" i="2"/>
  <c r="J31" i="1"/>
  <c r="AW32" i="2"/>
  <c r="I31" i="1"/>
  <c r="AV32" i="2"/>
  <c r="AU32" i="2"/>
  <c r="AT32" i="2"/>
  <c r="AS32" i="2"/>
  <c r="AR32" i="2"/>
  <c r="AQ32" i="2"/>
  <c r="AP32" i="2"/>
  <c r="AO32" i="2"/>
  <c r="AL32" i="2"/>
  <c r="AK32" i="2"/>
  <c r="BQ31" i="2"/>
  <c r="BP31" i="2"/>
  <c r="AB30" i="1"/>
  <c r="BO31" i="2"/>
  <c r="AA30" i="1"/>
  <c r="BN31" i="2"/>
  <c r="BM31" i="2"/>
  <c r="BL31" i="2"/>
  <c r="BK31" i="2"/>
  <c r="W30" i="1"/>
  <c r="BJ31" i="2"/>
  <c r="BI31" i="2"/>
  <c r="BH31" i="2"/>
  <c r="T30" i="1"/>
  <c r="BG31" i="2"/>
  <c r="BF31" i="2"/>
  <c r="BE31" i="2"/>
  <c r="BD31" i="2"/>
  <c r="BC31" i="2"/>
  <c r="BB31" i="2"/>
  <c r="BA31" i="2"/>
  <c r="AZ31" i="2"/>
  <c r="AY31" i="2"/>
  <c r="AX31" i="2"/>
  <c r="J30" i="1"/>
  <c r="AW31" i="2"/>
  <c r="I30" i="1"/>
  <c r="AV31" i="2"/>
  <c r="AU31" i="2"/>
  <c r="AT31" i="2"/>
  <c r="AS31" i="2"/>
  <c r="AR31" i="2"/>
  <c r="AQ31" i="2"/>
  <c r="AP31" i="2"/>
  <c r="AO31" i="2"/>
  <c r="AL31" i="2"/>
  <c r="AK31" i="2"/>
  <c r="BQ30" i="2"/>
  <c r="BP30" i="2"/>
  <c r="AB29" i="1"/>
  <c r="BO30" i="2"/>
  <c r="AA29" i="1"/>
  <c r="BN30" i="2"/>
  <c r="BM30" i="2"/>
  <c r="BL30" i="2"/>
  <c r="BK30" i="2"/>
  <c r="W29" i="1"/>
  <c r="BJ30" i="2"/>
  <c r="BI30" i="2"/>
  <c r="BH30" i="2"/>
  <c r="T29" i="1"/>
  <c r="BG30" i="2"/>
  <c r="BF30" i="2"/>
  <c r="BE30" i="2"/>
  <c r="BD30" i="2"/>
  <c r="BC30" i="2"/>
  <c r="BB30" i="2"/>
  <c r="BA30" i="2"/>
  <c r="AZ30" i="2"/>
  <c r="AY30" i="2"/>
  <c r="AX30" i="2"/>
  <c r="J29" i="1"/>
  <c r="AW30" i="2"/>
  <c r="I29" i="1"/>
  <c r="AV30" i="2"/>
  <c r="AU30" i="2"/>
  <c r="AT30" i="2"/>
  <c r="AS30" i="2"/>
  <c r="AR30" i="2"/>
  <c r="AQ30" i="2"/>
  <c r="AP30" i="2"/>
  <c r="AO30" i="2"/>
  <c r="AL30" i="2"/>
  <c r="AK30" i="2"/>
  <c r="BQ29" i="2"/>
  <c r="BP29" i="2"/>
  <c r="AB28" i="1"/>
  <c r="BO29" i="2"/>
  <c r="AA28" i="1"/>
  <c r="BN29" i="2"/>
  <c r="BM29" i="2"/>
  <c r="BL29" i="2"/>
  <c r="BK29" i="2"/>
  <c r="W28" i="1"/>
  <c r="BJ29" i="2"/>
  <c r="BI29" i="2"/>
  <c r="BH29" i="2"/>
  <c r="T28" i="1"/>
  <c r="BG29" i="2"/>
  <c r="BF29" i="2"/>
  <c r="BE29" i="2"/>
  <c r="BD29" i="2"/>
  <c r="BC29" i="2"/>
  <c r="BB29" i="2"/>
  <c r="BA29" i="2"/>
  <c r="AZ29" i="2"/>
  <c r="AY29" i="2"/>
  <c r="AX29" i="2"/>
  <c r="J28" i="1"/>
  <c r="AW29" i="2"/>
  <c r="I28" i="1"/>
  <c r="AV29" i="2"/>
  <c r="AU29" i="2"/>
  <c r="AT29" i="2"/>
  <c r="AS29" i="2"/>
  <c r="AR29" i="2"/>
  <c r="AQ29" i="2"/>
  <c r="AP29" i="2"/>
  <c r="AO29" i="2"/>
  <c r="AL29" i="2"/>
  <c r="AK29" i="2"/>
  <c r="BQ28" i="2"/>
  <c r="BP28" i="2"/>
  <c r="AB27" i="1"/>
  <c r="BO28" i="2"/>
  <c r="AA27" i="1"/>
  <c r="BN28" i="2"/>
  <c r="BM28" i="2"/>
  <c r="BL28" i="2"/>
  <c r="BK28" i="2"/>
  <c r="W27" i="1"/>
  <c r="BJ28" i="2"/>
  <c r="BI28" i="2"/>
  <c r="BH28" i="2"/>
  <c r="T27" i="1"/>
  <c r="BG28" i="2"/>
  <c r="BF28" i="2"/>
  <c r="BE28" i="2"/>
  <c r="BD28" i="2"/>
  <c r="BC28" i="2"/>
  <c r="BB28" i="2"/>
  <c r="BA28" i="2"/>
  <c r="AZ28" i="2"/>
  <c r="AY28" i="2"/>
  <c r="AX28" i="2"/>
  <c r="J27" i="1"/>
  <c r="AW28" i="2"/>
  <c r="I27" i="1"/>
  <c r="AV28" i="2"/>
  <c r="AU28" i="2"/>
  <c r="AT28" i="2"/>
  <c r="AS28" i="2"/>
  <c r="AR28" i="2"/>
  <c r="AQ28" i="2"/>
  <c r="AP28" i="2"/>
  <c r="AO28" i="2"/>
  <c r="AL28" i="2"/>
  <c r="AK28" i="2"/>
  <c r="BQ27" i="2"/>
  <c r="BP27" i="2"/>
  <c r="AB26" i="1"/>
  <c r="BO27" i="2"/>
  <c r="AA26" i="1"/>
  <c r="BN27" i="2"/>
  <c r="BM27" i="2"/>
  <c r="BL27" i="2"/>
  <c r="BK27" i="2"/>
  <c r="W26" i="1"/>
  <c r="BJ27" i="2"/>
  <c r="BI27" i="2"/>
  <c r="BH27" i="2"/>
  <c r="T26" i="1"/>
  <c r="BG27" i="2"/>
  <c r="BF27" i="2"/>
  <c r="BE27" i="2"/>
  <c r="BD27" i="2"/>
  <c r="BC27" i="2"/>
  <c r="BB27" i="2"/>
  <c r="BA27" i="2"/>
  <c r="AZ27" i="2"/>
  <c r="AY27" i="2"/>
  <c r="AX27" i="2"/>
  <c r="J26" i="1"/>
  <c r="AW27" i="2"/>
  <c r="I26" i="1"/>
  <c r="AV27" i="2"/>
  <c r="AU27" i="2"/>
  <c r="AT27" i="2"/>
  <c r="AS27" i="2"/>
  <c r="AR27" i="2"/>
  <c r="AQ27" i="2"/>
  <c r="AP27" i="2"/>
  <c r="AO27" i="2"/>
  <c r="AL27" i="2"/>
  <c r="AK27" i="2"/>
  <c r="BQ26" i="2"/>
  <c r="BP26" i="2"/>
  <c r="AB25" i="1"/>
  <c r="BO26" i="2"/>
  <c r="AA25" i="1"/>
  <c r="BN26" i="2"/>
  <c r="BM26" i="2"/>
  <c r="BL26" i="2"/>
  <c r="BK26" i="2"/>
  <c r="W25" i="1"/>
  <c r="BJ26" i="2"/>
  <c r="BI26" i="2"/>
  <c r="BH26" i="2"/>
  <c r="T25" i="1"/>
  <c r="BG26" i="2"/>
  <c r="BF26" i="2"/>
  <c r="BE26" i="2"/>
  <c r="BD26" i="2"/>
  <c r="BC26" i="2"/>
  <c r="BB26" i="2"/>
  <c r="BA26" i="2"/>
  <c r="AZ26" i="2"/>
  <c r="AY26" i="2"/>
  <c r="AX26" i="2"/>
  <c r="J25" i="1"/>
  <c r="AW26" i="2"/>
  <c r="I25" i="1"/>
  <c r="AV26" i="2"/>
  <c r="AU26" i="2"/>
  <c r="AT26" i="2"/>
  <c r="AS26" i="2"/>
  <c r="AR26" i="2"/>
  <c r="AQ26" i="2"/>
  <c r="AP26" i="2"/>
  <c r="AO26" i="2"/>
  <c r="AL26" i="2"/>
  <c r="AK26" i="2"/>
  <c r="BQ25" i="2"/>
  <c r="BP25" i="2"/>
  <c r="AB24" i="1"/>
  <c r="BO25" i="2"/>
  <c r="AA24" i="1"/>
  <c r="BN25" i="2"/>
  <c r="BM25" i="2"/>
  <c r="BL25" i="2"/>
  <c r="BK25" i="2"/>
  <c r="W24" i="1"/>
  <c r="BJ25" i="2"/>
  <c r="BI25" i="2"/>
  <c r="BH25" i="2"/>
  <c r="T24" i="1"/>
  <c r="BG25" i="2"/>
  <c r="BF25" i="2"/>
  <c r="BE25" i="2"/>
  <c r="BD25" i="2"/>
  <c r="BC25" i="2"/>
  <c r="BB25" i="2"/>
  <c r="BA25" i="2"/>
  <c r="AZ25" i="2"/>
  <c r="AY25" i="2"/>
  <c r="AX25" i="2"/>
  <c r="J24" i="1"/>
  <c r="AW25" i="2"/>
  <c r="I24" i="1"/>
  <c r="AV25" i="2"/>
  <c r="AU25" i="2"/>
  <c r="AT25" i="2"/>
  <c r="AS25" i="2"/>
  <c r="AR25" i="2"/>
  <c r="AQ25" i="2"/>
  <c r="AP25" i="2"/>
  <c r="AO25" i="2"/>
  <c r="AL25" i="2"/>
  <c r="AK25" i="2"/>
  <c r="BQ24" i="2"/>
  <c r="BP24" i="2"/>
  <c r="AB23" i="1"/>
  <c r="BO24" i="2"/>
  <c r="AA23" i="1"/>
  <c r="BN24" i="2"/>
  <c r="BM24" i="2"/>
  <c r="BL24" i="2"/>
  <c r="BK24" i="2"/>
  <c r="W23" i="1"/>
  <c r="BJ24" i="2"/>
  <c r="BI24" i="2"/>
  <c r="BH24" i="2"/>
  <c r="T23" i="1"/>
  <c r="BG24" i="2"/>
  <c r="BF24" i="2"/>
  <c r="BE24" i="2"/>
  <c r="BD24" i="2"/>
  <c r="BC24" i="2"/>
  <c r="BB24" i="2"/>
  <c r="BA24" i="2"/>
  <c r="AZ24" i="2"/>
  <c r="AY24" i="2"/>
  <c r="AX24" i="2"/>
  <c r="J23" i="1"/>
  <c r="AW24" i="2"/>
  <c r="I23" i="1"/>
  <c r="AV24" i="2"/>
  <c r="AU24" i="2"/>
  <c r="AT24" i="2"/>
  <c r="AS24" i="2"/>
  <c r="AR24" i="2"/>
  <c r="AQ24" i="2"/>
  <c r="AP24" i="2"/>
  <c r="AO24" i="2"/>
  <c r="AL24" i="2"/>
  <c r="AK24" i="2"/>
  <c r="BQ23" i="2"/>
  <c r="BP23" i="2"/>
  <c r="AB22" i="1"/>
  <c r="BO23" i="2"/>
  <c r="AA22" i="1"/>
  <c r="BN23" i="2"/>
  <c r="BM23" i="2"/>
  <c r="BL23" i="2"/>
  <c r="BK23" i="2"/>
  <c r="W22" i="1"/>
  <c r="BJ23" i="2"/>
  <c r="BI23" i="2"/>
  <c r="BH23" i="2"/>
  <c r="T22" i="1"/>
  <c r="BG23" i="2"/>
  <c r="BF23" i="2"/>
  <c r="BE23" i="2"/>
  <c r="BD23" i="2"/>
  <c r="BC23" i="2"/>
  <c r="BB23" i="2"/>
  <c r="BA23" i="2"/>
  <c r="AZ23" i="2"/>
  <c r="AY23" i="2"/>
  <c r="AX23" i="2"/>
  <c r="J22" i="1"/>
  <c r="AW23" i="2"/>
  <c r="I22" i="1"/>
  <c r="AV23" i="2"/>
  <c r="AU23" i="2"/>
  <c r="AT23" i="2"/>
  <c r="AS23" i="2"/>
  <c r="AR23" i="2"/>
  <c r="AQ23" i="2"/>
  <c r="AP23" i="2"/>
  <c r="AO23" i="2"/>
  <c r="AL23" i="2"/>
  <c r="AK23" i="2"/>
  <c r="BQ22" i="2"/>
  <c r="BP22" i="2"/>
  <c r="AB21" i="1"/>
  <c r="BO22" i="2"/>
  <c r="AA21" i="1"/>
  <c r="BN22" i="2"/>
  <c r="BM22" i="2"/>
  <c r="BL22" i="2"/>
  <c r="BK22" i="2"/>
  <c r="W21" i="1"/>
  <c r="BJ22" i="2"/>
  <c r="BI22" i="2"/>
  <c r="BH22" i="2"/>
  <c r="T21" i="1"/>
  <c r="BG22" i="2"/>
  <c r="BF22" i="2"/>
  <c r="BE22" i="2"/>
  <c r="BD22" i="2"/>
  <c r="BC22" i="2"/>
  <c r="BB22" i="2"/>
  <c r="BA22" i="2"/>
  <c r="AZ22" i="2"/>
  <c r="AY22" i="2"/>
  <c r="AX22" i="2"/>
  <c r="J21" i="1"/>
  <c r="AW22" i="2"/>
  <c r="I21" i="1"/>
  <c r="AV22" i="2"/>
  <c r="AU22" i="2"/>
  <c r="AT22" i="2"/>
  <c r="AS22" i="2"/>
  <c r="AR22" i="2"/>
  <c r="AQ22" i="2"/>
  <c r="AP22" i="2"/>
  <c r="AO22" i="2"/>
  <c r="AL22" i="2"/>
  <c r="AK22" i="2"/>
  <c r="BQ21" i="2"/>
  <c r="BP21" i="2"/>
  <c r="AB20" i="1"/>
  <c r="BO21" i="2"/>
  <c r="AA20" i="1"/>
  <c r="BN21" i="2"/>
  <c r="BM21" i="2"/>
  <c r="BL21" i="2"/>
  <c r="BK21" i="2"/>
  <c r="W20" i="1"/>
  <c r="BJ21" i="2"/>
  <c r="BI21" i="2"/>
  <c r="BH21" i="2"/>
  <c r="T20" i="1"/>
  <c r="BG21" i="2"/>
  <c r="BF21" i="2"/>
  <c r="BE21" i="2"/>
  <c r="BD21" i="2"/>
  <c r="BC21" i="2"/>
  <c r="BB21" i="2"/>
  <c r="BA21" i="2"/>
  <c r="AZ21" i="2"/>
  <c r="AY21" i="2"/>
  <c r="AX21" i="2"/>
  <c r="J20" i="1"/>
  <c r="AW21" i="2"/>
  <c r="I20" i="1"/>
  <c r="AV21" i="2"/>
  <c r="AU21" i="2"/>
  <c r="AT21" i="2"/>
  <c r="AS21" i="2"/>
  <c r="AR21" i="2"/>
  <c r="AQ21" i="2"/>
  <c r="AP21" i="2"/>
  <c r="AO21" i="2"/>
  <c r="AL21" i="2"/>
  <c r="AK21" i="2"/>
  <c r="BQ20" i="2"/>
  <c r="BP20" i="2"/>
  <c r="AB19" i="1"/>
  <c r="BO20" i="2"/>
  <c r="AA19" i="1"/>
  <c r="BN20" i="2"/>
  <c r="BM20" i="2"/>
  <c r="BL20" i="2"/>
  <c r="BK20" i="2"/>
  <c r="W19" i="1"/>
  <c r="BJ20" i="2"/>
  <c r="BI20" i="2"/>
  <c r="BH20" i="2"/>
  <c r="T19" i="1"/>
  <c r="BG20" i="2"/>
  <c r="BF20" i="2"/>
  <c r="BE20" i="2"/>
  <c r="BD20" i="2"/>
  <c r="BC20" i="2"/>
  <c r="BB20" i="2"/>
  <c r="BA20" i="2"/>
  <c r="AZ20" i="2"/>
  <c r="AY20" i="2"/>
  <c r="AX20" i="2"/>
  <c r="J19" i="1"/>
  <c r="AW20" i="2"/>
  <c r="I19" i="1"/>
  <c r="AV20" i="2"/>
  <c r="AU20" i="2"/>
  <c r="AT20" i="2"/>
  <c r="AS20" i="2"/>
  <c r="AR20" i="2"/>
  <c r="AQ20" i="2"/>
  <c r="AP20" i="2"/>
  <c r="AO20" i="2"/>
  <c r="AL20" i="2"/>
  <c r="AK20" i="2"/>
  <c r="BQ19" i="2"/>
  <c r="BP19" i="2"/>
  <c r="AB18" i="1"/>
  <c r="BO19" i="2"/>
  <c r="AA18" i="1"/>
  <c r="BN19" i="2"/>
  <c r="BM19" i="2"/>
  <c r="BL19" i="2"/>
  <c r="BK19" i="2"/>
  <c r="W18" i="1"/>
  <c r="BJ19" i="2"/>
  <c r="BI19" i="2"/>
  <c r="BH19" i="2"/>
  <c r="T18" i="1"/>
  <c r="BG19" i="2"/>
  <c r="BF19" i="2"/>
  <c r="BE19" i="2"/>
  <c r="BD19" i="2"/>
  <c r="BC19" i="2"/>
  <c r="BB19" i="2"/>
  <c r="BA19" i="2"/>
  <c r="AZ19" i="2"/>
  <c r="AY19" i="2"/>
  <c r="AX19" i="2"/>
  <c r="J18" i="1"/>
  <c r="AW19" i="2"/>
  <c r="I18" i="1"/>
  <c r="AV19" i="2"/>
  <c r="AU19" i="2"/>
  <c r="AT19" i="2"/>
  <c r="AS19" i="2"/>
  <c r="AR19" i="2"/>
  <c r="AQ19" i="2"/>
  <c r="AP19" i="2"/>
  <c r="AO19" i="2"/>
  <c r="AL19" i="2"/>
  <c r="AK19" i="2"/>
  <c r="BQ18" i="2"/>
  <c r="BP18" i="2"/>
  <c r="AB17" i="1"/>
  <c r="BO18" i="2"/>
  <c r="AA17" i="1"/>
  <c r="BN18" i="2"/>
  <c r="BM18" i="2"/>
  <c r="BL18" i="2"/>
  <c r="BK18" i="2"/>
  <c r="W17" i="1"/>
  <c r="BJ18" i="2"/>
  <c r="BI18" i="2"/>
  <c r="BH18" i="2"/>
  <c r="T17" i="1"/>
  <c r="BG18" i="2"/>
  <c r="BF18" i="2"/>
  <c r="BE18" i="2"/>
  <c r="BD18" i="2"/>
  <c r="BC18" i="2"/>
  <c r="BB18" i="2"/>
  <c r="BA18" i="2"/>
  <c r="AZ18" i="2"/>
  <c r="AY18" i="2"/>
  <c r="AX18" i="2"/>
  <c r="J17" i="1"/>
  <c r="AW18" i="2"/>
  <c r="I17" i="1"/>
  <c r="AV18" i="2"/>
  <c r="AU18" i="2"/>
  <c r="AT18" i="2"/>
  <c r="AS18" i="2"/>
  <c r="AR18" i="2"/>
  <c r="AQ18" i="2"/>
  <c r="AP18" i="2"/>
  <c r="AO18" i="2"/>
  <c r="AL18" i="2"/>
  <c r="AK18" i="2"/>
  <c r="BQ17" i="2"/>
  <c r="BP17" i="2"/>
  <c r="AB16" i="1"/>
  <c r="BO17" i="2"/>
  <c r="AA16" i="1"/>
  <c r="BN17" i="2"/>
  <c r="BM17" i="2"/>
  <c r="BL17" i="2"/>
  <c r="BK17" i="2"/>
  <c r="W16" i="1"/>
  <c r="BJ17" i="2"/>
  <c r="BI17" i="2"/>
  <c r="BH17" i="2"/>
  <c r="T16" i="1"/>
  <c r="BG17" i="2"/>
  <c r="BF17" i="2"/>
  <c r="BE17" i="2"/>
  <c r="BD17" i="2"/>
  <c r="BC17" i="2"/>
  <c r="BB17" i="2"/>
  <c r="BA17" i="2"/>
  <c r="AZ17" i="2"/>
  <c r="AY17" i="2"/>
  <c r="AX17" i="2"/>
  <c r="J16" i="1"/>
  <c r="AW17" i="2"/>
  <c r="I16" i="1"/>
  <c r="AV17" i="2"/>
  <c r="AU17" i="2"/>
  <c r="AT17" i="2"/>
  <c r="AS17" i="2"/>
  <c r="AR17" i="2"/>
  <c r="AQ17" i="2"/>
  <c r="AP17" i="2"/>
  <c r="AO17" i="2"/>
  <c r="AL17" i="2"/>
  <c r="AK17" i="2"/>
  <c r="BQ16" i="2"/>
  <c r="BP16" i="2"/>
  <c r="AB15" i="1"/>
  <c r="BO16" i="2"/>
  <c r="AA15" i="1"/>
  <c r="BN16" i="2"/>
  <c r="BM16" i="2"/>
  <c r="BL16" i="2"/>
  <c r="BK16" i="2"/>
  <c r="W15" i="1"/>
  <c r="BJ16" i="2"/>
  <c r="BI16" i="2"/>
  <c r="BH16" i="2"/>
  <c r="T15" i="1"/>
  <c r="BG16" i="2"/>
  <c r="BF16" i="2"/>
  <c r="BE16" i="2"/>
  <c r="BD16" i="2"/>
  <c r="BC16" i="2"/>
  <c r="BB16" i="2"/>
  <c r="BA16" i="2"/>
  <c r="AZ16" i="2"/>
  <c r="AY16" i="2"/>
  <c r="AX16" i="2"/>
  <c r="J15" i="1"/>
  <c r="AW16" i="2"/>
  <c r="I15" i="1"/>
  <c r="AV16" i="2"/>
  <c r="AU16" i="2"/>
  <c r="AT16" i="2"/>
  <c r="AS16" i="2"/>
  <c r="AR16" i="2"/>
  <c r="AQ16" i="2"/>
  <c r="AP16" i="2"/>
  <c r="AO16" i="2"/>
  <c r="AL16" i="2"/>
  <c r="AK16" i="2"/>
  <c r="BQ15" i="2"/>
  <c r="BP15" i="2"/>
  <c r="AB14" i="1"/>
  <c r="BO15" i="2"/>
  <c r="AA14" i="1"/>
  <c r="BN15" i="2"/>
  <c r="BM15" i="2"/>
  <c r="BL15" i="2"/>
  <c r="BK15" i="2"/>
  <c r="W14" i="1"/>
  <c r="BJ15" i="2"/>
  <c r="BI15" i="2"/>
  <c r="BH15" i="2"/>
  <c r="T14" i="1"/>
  <c r="BG15" i="2"/>
  <c r="BF15" i="2"/>
  <c r="BE15" i="2"/>
  <c r="BD15" i="2"/>
  <c r="BC15" i="2"/>
  <c r="BB15" i="2"/>
  <c r="BA15" i="2"/>
  <c r="AZ15" i="2"/>
  <c r="AY15" i="2"/>
  <c r="AX15" i="2"/>
  <c r="J14" i="1"/>
  <c r="AW15" i="2"/>
  <c r="I14" i="1"/>
  <c r="AV15" i="2"/>
  <c r="AU15" i="2"/>
  <c r="AT15" i="2"/>
  <c r="AS15" i="2"/>
  <c r="AR15" i="2"/>
  <c r="AQ15" i="2"/>
  <c r="AP15" i="2"/>
  <c r="AO15" i="2"/>
  <c r="AL15" i="2"/>
  <c r="AK15" i="2"/>
  <c r="BQ14" i="2"/>
  <c r="BP14" i="2"/>
  <c r="AB13" i="1"/>
  <c r="BO14" i="2"/>
  <c r="AA13" i="1"/>
  <c r="BN14" i="2"/>
  <c r="BM14" i="2"/>
  <c r="BL14" i="2"/>
  <c r="BK14" i="2"/>
  <c r="W13" i="1"/>
  <c r="BJ14" i="2"/>
  <c r="BI14" i="2"/>
  <c r="BH14" i="2"/>
  <c r="T13" i="1"/>
  <c r="BG14" i="2"/>
  <c r="BF14" i="2"/>
  <c r="BE14" i="2"/>
  <c r="BD14" i="2"/>
  <c r="BC14" i="2"/>
  <c r="BB14" i="2"/>
  <c r="BA14" i="2"/>
  <c r="AZ14" i="2"/>
  <c r="AY14" i="2"/>
  <c r="AX14" i="2"/>
  <c r="J13" i="1"/>
  <c r="AW14" i="2"/>
  <c r="I13" i="1"/>
  <c r="AV14" i="2"/>
  <c r="AU14" i="2"/>
  <c r="AT14" i="2"/>
  <c r="AS14" i="2"/>
  <c r="AR14" i="2"/>
  <c r="AQ14" i="2"/>
  <c r="AP14" i="2"/>
  <c r="AO14" i="2"/>
  <c r="AL14" i="2"/>
  <c r="AK14" i="2"/>
  <c r="BQ13" i="2"/>
  <c r="BP13" i="2"/>
  <c r="AB12" i="1"/>
  <c r="BO13" i="2"/>
  <c r="AA12" i="1"/>
  <c r="BN13" i="2"/>
  <c r="BM13" i="2"/>
  <c r="BL13" i="2"/>
  <c r="BK13" i="2"/>
  <c r="W12" i="1"/>
  <c r="BJ13" i="2"/>
  <c r="BI13" i="2"/>
  <c r="BH13" i="2"/>
  <c r="T12" i="1"/>
  <c r="BG13" i="2"/>
  <c r="BF13" i="2"/>
  <c r="BE13" i="2"/>
  <c r="BD13" i="2"/>
  <c r="BC13" i="2"/>
  <c r="BB13" i="2"/>
  <c r="BA13" i="2"/>
  <c r="AZ13" i="2"/>
  <c r="AY13" i="2"/>
  <c r="AX13" i="2"/>
  <c r="J12" i="1"/>
  <c r="AW13" i="2"/>
  <c r="I12" i="1"/>
  <c r="AV13" i="2"/>
  <c r="AU13" i="2"/>
  <c r="AT13" i="2"/>
  <c r="AS13" i="2"/>
  <c r="AR13" i="2"/>
  <c r="AQ13" i="2"/>
  <c r="AP13" i="2"/>
  <c r="AO13" i="2"/>
  <c r="AL13" i="2"/>
  <c r="AK13" i="2"/>
  <c r="BQ12" i="2"/>
  <c r="BP12" i="2"/>
  <c r="AB11" i="1"/>
  <c r="BO12" i="2"/>
  <c r="AA11" i="1"/>
  <c r="BN12" i="2"/>
  <c r="BM12" i="2"/>
  <c r="BL12" i="2"/>
  <c r="BK12" i="2"/>
  <c r="W11" i="1"/>
  <c r="BJ12" i="2"/>
  <c r="BI12" i="2"/>
  <c r="BH12" i="2"/>
  <c r="T11" i="1"/>
  <c r="BG12" i="2"/>
  <c r="BF12" i="2"/>
  <c r="BE12" i="2"/>
  <c r="BD12" i="2"/>
  <c r="BC12" i="2"/>
  <c r="BB12" i="2"/>
  <c r="BA12" i="2"/>
  <c r="AZ12" i="2"/>
  <c r="AY12" i="2"/>
  <c r="AX12" i="2"/>
  <c r="J11" i="1"/>
  <c r="AW12" i="2"/>
  <c r="I11" i="1"/>
  <c r="AV12" i="2"/>
  <c r="AU12" i="2"/>
  <c r="AT12" i="2"/>
  <c r="AS12" i="2"/>
  <c r="AR12" i="2"/>
  <c r="AQ12" i="2"/>
  <c r="AP12" i="2"/>
  <c r="AO12" i="2"/>
  <c r="AL12" i="2"/>
  <c r="AK12" i="2"/>
  <c r="BQ11" i="2"/>
  <c r="BP11" i="2"/>
  <c r="AB10" i="1"/>
  <c r="BO11" i="2"/>
  <c r="AA10" i="1"/>
  <c r="BN11" i="2"/>
  <c r="BM11" i="2"/>
  <c r="BL11" i="2"/>
  <c r="BK11" i="2"/>
  <c r="W10" i="1"/>
  <c r="BJ11" i="2"/>
  <c r="BI11" i="2"/>
  <c r="BH11" i="2"/>
  <c r="T10" i="1"/>
  <c r="BG11" i="2"/>
  <c r="BF11" i="2"/>
  <c r="BE11" i="2"/>
  <c r="BD11" i="2"/>
  <c r="BC11" i="2"/>
  <c r="BB11" i="2"/>
  <c r="BA11" i="2"/>
  <c r="AZ11" i="2"/>
  <c r="AY11" i="2"/>
  <c r="AX11" i="2"/>
  <c r="J10" i="1"/>
  <c r="AW11" i="2"/>
  <c r="I10" i="1"/>
  <c r="AV11" i="2"/>
  <c r="AU11" i="2"/>
  <c r="AT11" i="2"/>
  <c r="AS11" i="2"/>
  <c r="AR11" i="2"/>
  <c r="AQ11" i="2"/>
  <c r="AP11" i="2"/>
  <c r="AO11" i="2"/>
  <c r="AL11" i="2"/>
  <c r="AK11" i="2"/>
  <c r="BQ10" i="2"/>
  <c r="BP10" i="2"/>
  <c r="AB9" i="1"/>
  <c r="BO10" i="2"/>
  <c r="AA9" i="1"/>
  <c r="BN10" i="2"/>
  <c r="BM10" i="2"/>
  <c r="BL10" i="2"/>
  <c r="BK10" i="2"/>
  <c r="W9" i="1"/>
  <c r="BJ10" i="2"/>
  <c r="BI10" i="2"/>
  <c r="BH10" i="2"/>
  <c r="T9" i="1"/>
  <c r="BG10" i="2"/>
  <c r="BF10" i="2"/>
  <c r="BE10" i="2"/>
  <c r="BD10" i="2"/>
  <c r="BC10" i="2"/>
  <c r="BB10" i="2"/>
  <c r="BA10" i="2"/>
  <c r="AZ10" i="2"/>
  <c r="AY10" i="2"/>
  <c r="AX10" i="2"/>
  <c r="J9" i="1"/>
  <c r="AW10" i="2"/>
  <c r="I9" i="1"/>
  <c r="AV10" i="2"/>
  <c r="AU10" i="2"/>
  <c r="AT10" i="2"/>
  <c r="AS10" i="2"/>
  <c r="AR10" i="2"/>
  <c r="AQ10" i="2"/>
  <c r="AP10" i="2"/>
  <c r="AO10" i="2"/>
  <c r="AL10" i="2"/>
  <c r="AK10" i="2"/>
  <c r="BQ9" i="2"/>
  <c r="BP9" i="2"/>
  <c r="AB8" i="1"/>
  <c r="BO9" i="2"/>
  <c r="AA8" i="1"/>
  <c r="BN9" i="2"/>
  <c r="BM9" i="2"/>
  <c r="BL9" i="2"/>
  <c r="BK9" i="2"/>
  <c r="W8" i="1"/>
  <c r="BJ9" i="2"/>
  <c r="BI9" i="2"/>
  <c r="BH9" i="2"/>
  <c r="T8" i="1"/>
  <c r="BG9" i="2"/>
  <c r="BF9" i="2"/>
  <c r="BE9" i="2"/>
  <c r="BD9" i="2"/>
  <c r="BC9" i="2"/>
  <c r="BB9" i="2"/>
  <c r="BA9" i="2"/>
  <c r="AZ9" i="2"/>
  <c r="AY9" i="2"/>
  <c r="AX9" i="2"/>
  <c r="J8" i="1"/>
  <c r="AW9" i="2"/>
  <c r="I8" i="1"/>
  <c r="AV9" i="2"/>
  <c r="AU9" i="2"/>
  <c r="AT9" i="2"/>
  <c r="AS9" i="2"/>
  <c r="AR9" i="2"/>
  <c r="AQ9" i="2"/>
  <c r="AP9" i="2"/>
  <c r="AO9" i="2"/>
  <c r="AL9" i="2"/>
  <c r="AK9" i="2"/>
  <c r="BQ8" i="2"/>
  <c r="BP8" i="2"/>
  <c r="AB7" i="1"/>
  <c r="BO8" i="2"/>
  <c r="AA7" i="1"/>
  <c r="BN8" i="2"/>
  <c r="BM8" i="2"/>
  <c r="BL8" i="2"/>
  <c r="BK8" i="2"/>
  <c r="W7" i="1"/>
  <c r="BJ8" i="2"/>
  <c r="BI8" i="2"/>
  <c r="BH8" i="2"/>
  <c r="T7" i="1"/>
  <c r="BG8" i="2"/>
  <c r="BF8" i="2"/>
  <c r="BE8" i="2"/>
  <c r="BD8" i="2"/>
  <c r="BC8" i="2"/>
  <c r="BB8" i="2"/>
  <c r="BA8" i="2"/>
  <c r="AZ8" i="2"/>
  <c r="AY8" i="2"/>
  <c r="AX8" i="2"/>
  <c r="J7" i="1"/>
  <c r="AW8" i="2"/>
  <c r="I7" i="1"/>
  <c r="AV8" i="2"/>
  <c r="AU8" i="2"/>
  <c r="AT8" i="2"/>
  <c r="AS8" i="2"/>
  <c r="AR8" i="2"/>
  <c r="AQ8" i="2"/>
  <c r="AP8" i="2"/>
  <c r="AO8" i="2"/>
  <c r="AL8" i="2"/>
  <c r="AK8" i="2"/>
  <c r="BQ7" i="2"/>
  <c r="BP7" i="2"/>
  <c r="AB6" i="1"/>
  <c r="BO7" i="2"/>
  <c r="AA6" i="1"/>
  <c r="BN7" i="2"/>
  <c r="BM7" i="2"/>
  <c r="BL7" i="2"/>
  <c r="BK7" i="2"/>
  <c r="W6" i="1"/>
  <c r="BJ7" i="2"/>
  <c r="BI7" i="2"/>
  <c r="BH7" i="2"/>
  <c r="T6" i="1"/>
  <c r="BG7" i="2"/>
  <c r="BF7" i="2"/>
  <c r="BE7" i="2"/>
  <c r="BD7" i="2"/>
  <c r="BC7" i="2"/>
  <c r="BB7" i="2"/>
  <c r="BA7" i="2"/>
  <c r="AZ7" i="2"/>
  <c r="AY7" i="2"/>
  <c r="AX7" i="2"/>
  <c r="J6" i="1"/>
  <c r="AW7" i="2"/>
  <c r="I6" i="1"/>
  <c r="AV7" i="2"/>
  <c r="AU7" i="2"/>
  <c r="AT7" i="2"/>
  <c r="AS7" i="2"/>
  <c r="AR7" i="2"/>
  <c r="AQ7" i="2"/>
  <c r="AP7" i="2"/>
  <c r="AO7" i="2"/>
  <c r="AL7" i="2"/>
  <c r="AK7" i="2"/>
  <c r="BQ6" i="2"/>
  <c r="BP6" i="2"/>
  <c r="AB5" i="1"/>
  <c r="BO6" i="2"/>
  <c r="AA5" i="1"/>
  <c r="BN6" i="2"/>
  <c r="BM6" i="2"/>
  <c r="BL6" i="2"/>
  <c r="BK6" i="2"/>
  <c r="W5" i="1"/>
  <c r="BJ6" i="2"/>
  <c r="BI6" i="2"/>
  <c r="BH6" i="2"/>
  <c r="T5" i="1"/>
  <c r="BG6" i="2"/>
  <c r="BF6" i="2"/>
  <c r="BE6" i="2"/>
  <c r="BD6" i="2"/>
  <c r="BC6" i="2"/>
  <c r="BB6" i="2"/>
  <c r="BA6" i="2"/>
  <c r="AZ6" i="2"/>
  <c r="AY6" i="2"/>
  <c r="AX6" i="2"/>
  <c r="J5" i="1"/>
  <c r="AW6" i="2"/>
  <c r="I5" i="1"/>
  <c r="AV6" i="2"/>
  <c r="AU6" i="2"/>
  <c r="AT6" i="2"/>
  <c r="AS6" i="2"/>
  <c r="AR6" i="2"/>
  <c r="AQ6" i="2"/>
  <c r="AP6" i="2"/>
  <c r="AO6" i="2"/>
  <c r="AL6" i="2"/>
  <c r="AK6" i="2"/>
  <c r="BQ5" i="2"/>
  <c r="BP5" i="2"/>
  <c r="AB4" i="1"/>
  <c r="BO5" i="2"/>
  <c r="AA4" i="1"/>
  <c r="BN5" i="2"/>
  <c r="BM5" i="2"/>
  <c r="BL5" i="2"/>
  <c r="BK5" i="2"/>
  <c r="W4" i="1"/>
  <c r="BJ5" i="2"/>
  <c r="BI5" i="2"/>
  <c r="BH5" i="2"/>
  <c r="T4" i="1"/>
  <c r="BG5" i="2"/>
  <c r="BF5" i="2"/>
  <c r="BE5" i="2"/>
  <c r="BD5" i="2"/>
  <c r="BC5" i="2"/>
  <c r="BB5" i="2"/>
  <c r="BA5" i="2"/>
  <c r="AZ5" i="2"/>
  <c r="AY5" i="2"/>
  <c r="AX5" i="2"/>
  <c r="J4" i="1"/>
  <c r="AW5" i="2"/>
  <c r="I4" i="1"/>
  <c r="AV5" i="2"/>
  <c r="AU5" i="2"/>
  <c r="AT5" i="2"/>
  <c r="AS5" i="2"/>
  <c r="AR5" i="2"/>
  <c r="AQ5" i="2"/>
  <c r="AP5" i="2"/>
  <c r="AO5" i="2"/>
  <c r="AL5" i="2"/>
  <c r="AK5" i="2"/>
  <c r="BQ4" i="2"/>
  <c r="BP4" i="2"/>
  <c r="AB3" i="1"/>
  <c r="BO4" i="2"/>
  <c r="AA3" i="1"/>
  <c r="BN4" i="2"/>
  <c r="BM4" i="2"/>
  <c r="BL4" i="2"/>
  <c r="BK4" i="2"/>
  <c r="W3" i="1"/>
  <c r="BJ4" i="2"/>
  <c r="BI4" i="2"/>
  <c r="BH4" i="2"/>
  <c r="T3" i="1"/>
  <c r="BG4" i="2"/>
  <c r="BF4" i="2"/>
  <c r="BE4" i="2"/>
  <c r="BD4" i="2"/>
  <c r="BC4" i="2"/>
  <c r="BB4" i="2"/>
  <c r="BA4" i="2"/>
  <c r="AZ4" i="2"/>
  <c r="AY4" i="2"/>
  <c r="AX4" i="2"/>
  <c r="J3" i="1"/>
  <c r="AW4" i="2"/>
  <c r="I3" i="1"/>
  <c r="AV4" i="2"/>
  <c r="AU4" i="2"/>
  <c r="AT4" i="2"/>
  <c r="AS4" i="2"/>
  <c r="AR4" i="2"/>
  <c r="AQ4" i="2"/>
  <c r="AP4" i="2"/>
  <c r="AO4" i="2"/>
  <c r="AL4" i="2"/>
  <c r="AK4" i="2"/>
  <c r="BQ3" i="2"/>
  <c r="BP3" i="2"/>
  <c r="AB2" i="1"/>
  <c r="BO3" i="2"/>
  <c r="AA2" i="1"/>
  <c r="BN3" i="2"/>
  <c r="BM3" i="2"/>
  <c r="BL3" i="2"/>
  <c r="BK3" i="2"/>
  <c r="W2" i="1"/>
  <c r="BJ3" i="2"/>
  <c r="BI3" i="2"/>
  <c r="BH3" i="2"/>
  <c r="T2" i="1"/>
  <c r="BG3" i="2"/>
  <c r="BF3" i="2"/>
  <c r="BE3" i="2"/>
  <c r="BD3" i="2"/>
  <c r="BC3" i="2"/>
  <c r="BB3" i="2"/>
  <c r="BA3" i="2"/>
  <c r="AZ3" i="2"/>
  <c r="AY3" i="2"/>
  <c r="AX3" i="2"/>
  <c r="J2" i="1"/>
  <c r="AW3" i="2"/>
  <c r="I2" i="1"/>
  <c r="AV3" i="2"/>
  <c r="AU3" i="2"/>
  <c r="AT3" i="2"/>
  <c r="AS3" i="2"/>
  <c r="AR3" i="2"/>
  <c r="AQ3" i="2"/>
  <c r="AP3" i="2"/>
  <c r="AO3" i="2"/>
  <c r="AL3" i="2"/>
  <c r="AK3" i="2"/>
  <c r="BQ2" i="2"/>
  <c r="BP2" i="2"/>
  <c r="BO2" i="2"/>
  <c r="BN2" i="2"/>
  <c r="BM2" i="2"/>
  <c r="BL2" i="2"/>
  <c r="BK2" i="2"/>
  <c r="BJ2" i="2"/>
  <c r="BI2" i="2"/>
  <c r="BH2" i="2"/>
  <c r="BG2" i="2"/>
  <c r="BF2" i="2"/>
  <c r="BE2" i="2"/>
  <c r="BD2" i="2"/>
  <c r="BC2" i="2"/>
  <c r="BB2" i="2"/>
  <c r="BA2" i="2"/>
  <c r="AZ2" i="2"/>
  <c r="AY2" i="2"/>
  <c r="AX2" i="2"/>
  <c r="AW2" i="2"/>
  <c r="AV2" i="2"/>
  <c r="AU2" i="2"/>
  <c r="AT2" i="2"/>
  <c r="AS2" i="2"/>
  <c r="AR2" i="2"/>
  <c r="AQ2" i="2"/>
  <c r="AP2" i="2"/>
  <c r="AO2" i="2"/>
  <c r="AM2" i="2" a="1"/>
  <c r="AM3" i="2"/>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M241" i="2"/>
  <c r="AM242" i="2"/>
  <c r="AM243" i="2"/>
  <c r="AM244" i="2"/>
  <c r="AM245" i="2"/>
  <c r="AM246" i="2"/>
  <c r="AM247" i="2"/>
  <c r="AM248" i="2"/>
  <c r="AM249" i="2"/>
  <c r="AM250" i="2"/>
  <c r="AM251" i="2"/>
  <c r="AM252" i="2"/>
  <c r="AM253" i="2"/>
  <c r="AM254" i="2"/>
  <c r="AM255" i="2"/>
  <c r="AM256" i="2"/>
  <c r="AM257" i="2"/>
  <c r="AM258" i="2"/>
  <c r="AM259" i="2"/>
  <c r="AM260" i="2"/>
  <c r="AM261" i="2"/>
  <c r="AM262" i="2"/>
  <c r="AM263" i="2"/>
  <c r="AM264" i="2"/>
  <c r="AM265" i="2"/>
  <c r="AM266" i="2"/>
  <c r="AM267" i="2"/>
  <c r="AM268" i="2"/>
  <c r="AM269" i="2"/>
  <c r="AM270" i="2"/>
  <c r="AM271" i="2"/>
  <c r="AM272" i="2"/>
  <c r="AM273" i="2"/>
  <c r="AM274" i="2"/>
  <c r="AM275" i="2"/>
  <c r="AM276" i="2"/>
  <c r="AM277" i="2"/>
  <c r="AM278" i="2"/>
  <c r="AM279" i="2"/>
  <c r="AM280" i="2"/>
  <c r="AM281" i="2"/>
  <c r="AM282" i="2"/>
  <c r="AM283" i="2"/>
  <c r="AM284" i="2"/>
  <c r="AM285" i="2"/>
  <c r="AM286" i="2"/>
  <c r="AM287" i="2"/>
  <c r="AM288" i="2"/>
  <c r="AM289" i="2"/>
  <c r="AM290" i="2"/>
  <c r="AM291" i="2"/>
  <c r="AM292" i="2"/>
  <c r="AM293" i="2"/>
  <c r="AM294" i="2"/>
  <c r="AM295" i="2"/>
  <c r="AM296" i="2"/>
  <c r="AM297" i="2"/>
  <c r="AM298" i="2"/>
  <c r="AM299" i="2"/>
  <c r="AM300" i="2"/>
  <c r="AM301" i="2"/>
  <c r="AM302" i="2"/>
  <c r="AM303" i="2"/>
  <c r="AM304" i="2"/>
  <c r="AM305" i="2"/>
  <c r="AM306" i="2"/>
  <c r="AM307" i="2"/>
  <c r="AM308" i="2"/>
  <c r="AM309" i="2"/>
  <c r="AM310" i="2"/>
  <c r="AM311" i="2"/>
  <c r="AM312" i="2"/>
  <c r="AM313" i="2"/>
  <c r="AM314" i="2"/>
  <c r="AM315" i="2"/>
  <c r="AM316" i="2"/>
  <c r="AM317" i="2"/>
  <c r="AM318" i="2"/>
  <c r="AM319" i="2"/>
  <c r="AM320" i="2"/>
  <c r="AM321" i="2"/>
  <c r="AM322" i="2"/>
  <c r="AM323" i="2"/>
  <c r="AM324" i="2"/>
  <c r="AM325" i="2"/>
  <c r="AM326" i="2"/>
  <c r="AM327" i="2"/>
  <c r="AM328" i="2"/>
  <c r="AM329" i="2"/>
  <c r="AM330" i="2"/>
  <c r="AM331" i="2"/>
  <c r="AM332" i="2"/>
  <c r="AM333" i="2"/>
  <c r="AM334" i="2"/>
  <c r="AM335" i="2"/>
  <c r="AM336" i="2"/>
  <c r="AM337" i="2"/>
  <c r="AM338" i="2"/>
  <c r="AM339" i="2"/>
  <c r="AM340" i="2"/>
  <c r="AM341" i="2"/>
  <c r="AM342" i="2"/>
  <c r="AM343" i="2"/>
  <c r="AM344" i="2"/>
  <c r="AM345" i="2"/>
  <c r="AM346" i="2"/>
  <c r="AM347" i="2"/>
  <c r="AM348" i="2"/>
  <c r="AM349" i="2"/>
  <c r="AM350" i="2"/>
  <c r="AM351" i="2"/>
  <c r="AM352" i="2"/>
  <c r="AM353" i="2"/>
  <c r="AM354" i="2"/>
  <c r="AM355" i="2"/>
  <c r="AM356" i="2"/>
  <c r="AM357" i="2"/>
  <c r="AM358" i="2"/>
  <c r="AM359" i="2"/>
  <c r="AM360" i="2"/>
  <c r="AM361" i="2"/>
  <c r="AM362" i="2"/>
  <c r="AM363" i="2"/>
  <c r="AM364" i="2"/>
  <c r="AM365" i="2"/>
  <c r="AM366" i="2"/>
  <c r="AM367" i="2"/>
  <c r="AM368" i="2"/>
  <c r="AM369" i="2"/>
  <c r="AM370" i="2"/>
  <c r="AM371" i="2"/>
  <c r="AM372" i="2"/>
  <c r="AM373" i="2"/>
  <c r="AM374" i="2"/>
  <c r="AM375" i="2"/>
  <c r="AM376" i="2"/>
  <c r="AM377" i="2"/>
  <c r="AM378" i="2"/>
  <c r="AM379" i="2"/>
  <c r="AM380" i="2"/>
  <c r="AM381" i="2"/>
  <c r="AM382" i="2"/>
  <c r="AM383" i="2"/>
  <c r="AM384" i="2"/>
  <c r="AM385" i="2"/>
  <c r="AM386" i="2"/>
  <c r="AM387" i="2"/>
  <c r="AM388" i="2"/>
  <c r="AM389" i="2"/>
  <c r="AM390" i="2"/>
  <c r="AM391" i="2"/>
  <c r="AM392" i="2"/>
  <c r="AM393" i="2"/>
  <c r="AM394" i="2"/>
  <c r="AM395" i="2"/>
  <c r="AM396" i="2"/>
  <c r="AM397" i="2"/>
  <c r="AM398" i="2"/>
  <c r="AM399" i="2"/>
  <c r="AM400" i="2"/>
  <c r="AM401" i="2"/>
  <c r="AM402" i="2"/>
  <c r="AM403" i="2"/>
  <c r="AM404" i="2"/>
  <c r="AM405" i="2"/>
  <c r="AM406" i="2"/>
  <c r="AM407" i="2"/>
  <c r="AM408" i="2"/>
  <c r="AM409" i="2"/>
  <c r="AM410" i="2"/>
  <c r="AM411" i="2"/>
  <c r="AM412" i="2"/>
  <c r="AM413" i="2"/>
  <c r="AM414" i="2"/>
  <c r="AM415" i="2"/>
  <c r="AM416" i="2"/>
  <c r="AM417" i="2"/>
  <c r="AM418" i="2"/>
  <c r="AM419" i="2"/>
  <c r="AM420" i="2"/>
  <c r="AM421" i="2"/>
  <c r="AM422" i="2"/>
  <c r="AM423" i="2"/>
  <c r="AM424" i="2"/>
  <c r="AM425" i="2"/>
  <c r="AM426" i="2"/>
  <c r="AM427" i="2"/>
  <c r="AM428" i="2"/>
  <c r="AM429" i="2"/>
  <c r="AM430" i="2"/>
  <c r="AM431" i="2"/>
  <c r="AM432" i="2"/>
  <c r="AM433" i="2"/>
  <c r="AM434" i="2"/>
  <c r="AM435" i="2"/>
  <c r="AM436" i="2"/>
  <c r="AM437" i="2"/>
  <c r="AM438" i="2"/>
  <c r="AM439" i="2"/>
  <c r="AM440" i="2"/>
  <c r="AM441" i="2"/>
  <c r="AM442" i="2"/>
  <c r="AM443" i="2"/>
  <c r="AM444" i="2"/>
  <c r="AM445" i="2"/>
  <c r="AM446" i="2"/>
  <c r="AM447" i="2"/>
  <c r="AM448" i="2"/>
  <c r="AM449" i="2"/>
  <c r="AM450" i="2"/>
  <c r="AM451" i="2"/>
  <c r="AM452" i="2"/>
  <c r="AM453" i="2"/>
  <c r="AM454" i="2"/>
  <c r="AM455" i="2"/>
  <c r="AM456" i="2"/>
  <c r="AM457" i="2"/>
  <c r="AM458" i="2"/>
  <c r="AM459" i="2"/>
  <c r="AM460" i="2"/>
  <c r="AM461" i="2"/>
  <c r="AM462" i="2"/>
  <c r="AM463" i="2"/>
  <c r="AM464" i="2"/>
  <c r="AM465" i="2"/>
  <c r="AM466" i="2"/>
  <c r="AM467" i="2"/>
  <c r="AM468" i="2"/>
  <c r="AM469" i="2"/>
  <c r="AM470" i="2"/>
  <c r="AM471" i="2"/>
  <c r="AM472" i="2"/>
  <c r="AM473" i="2"/>
  <c r="AM474" i="2"/>
  <c r="AM475" i="2"/>
  <c r="AM476" i="2"/>
  <c r="AM477" i="2"/>
  <c r="AM478" i="2"/>
  <c r="AM479" i="2"/>
  <c r="AM480" i="2"/>
  <c r="AM481" i="2"/>
  <c r="AM482" i="2"/>
  <c r="AM483" i="2"/>
  <c r="AM484" i="2"/>
  <c r="AM485" i="2"/>
  <c r="AM486" i="2"/>
  <c r="AM487" i="2"/>
  <c r="AM488" i="2"/>
  <c r="AM489" i="2"/>
  <c r="AM490" i="2"/>
  <c r="AM491" i="2"/>
  <c r="AM492" i="2"/>
  <c r="AM493" i="2"/>
  <c r="AM494" i="2"/>
  <c r="AM495" i="2"/>
  <c r="AM496" i="2"/>
  <c r="AM497" i="2"/>
  <c r="AM498" i="2"/>
  <c r="AM499" i="2"/>
  <c r="AM500" i="2"/>
  <c r="AM501" i="2"/>
  <c r="AM502" i="2"/>
  <c r="AM503" i="2"/>
  <c r="AM504" i="2"/>
  <c r="AM505" i="2"/>
  <c r="AM506" i="2"/>
  <c r="AM507" i="2"/>
  <c r="AM508" i="2"/>
  <c r="AM509" i="2"/>
  <c r="AM510" i="2"/>
  <c r="AM511" i="2"/>
  <c r="AM512" i="2"/>
  <c r="AM513" i="2"/>
  <c r="AM514" i="2"/>
  <c r="AM515" i="2"/>
  <c r="AM516" i="2"/>
  <c r="AM517" i="2"/>
  <c r="AM518" i="2"/>
  <c r="AM519" i="2"/>
  <c r="AM520" i="2"/>
  <c r="AM521" i="2"/>
  <c r="AM522" i="2"/>
  <c r="AM523" i="2"/>
  <c r="AM524" i="2"/>
  <c r="AM525" i="2"/>
  <c r="AM526" i="2"/>
  <c r="AM527" i="2"/>
  <c r="AM528" i="2"/>
  <c r="AM529" i="2"/>
  <c r="AM530" i="2"/>
  <c r="AM531" i="2"/>
  <c r="AM532" i="2"/>
  <c r="AM533" i="2"/>
  <c r="AM534" i="2"/>
  <c r="AM535" i="2"/>
  <c r="AM536" i="2"/>
  <c r="AM537" i="2"/>
  <c r="AM538" i="2"/>
  <c r="AM539" i="2"/>
  <c r="AM540" i="2"/>
  <c r="AM541" i="2"/>
  <c r="AM542" i="2"/>
  <c r="AM543" i="2"/>
  <c r="AM544" i="2"/>
  <c r="AM545" i="2"/>
  <c r="AM546" i="2"/>
  <c r="AM547" i="2"/>
  <c r="AM548" i="2"/>
  <c r="AM549" i="2"/>
  <c r="AM550" i="2"/>
  <c r="AM551" i="2"/>
  <c r="AM552" i="2"/>
  <c r="AM553" i="2"/>
  <c r="AM554" i="2"/>
  <c r="AM555" i="2"/>
  <c r="AM556" i="2"/>
  <c r="AM557" i="2"/>
  <c r="AM558" i="2"/>
  <c r="AM559" i="2"/>
  <c r="AM560" i="2"/>
  <c r="AM561" i="2"/>
  <c r="AM562" i="2"/>
  <c r="AM563" i="2"/>
  <c r="AM564" i="2"/>
  <c r="AM565" i="2"/>
  <c r="AM566" i="2"/>
  <c r="AM567" i="2"/>
  <c r="AM568" i="2"/>
  <c r="AM569" i="2"/>
  <c r="AM570" i="2"/>
  <c r="AM571" i="2"/>
  <c r="AM572" i="2"/>
  <c r="AM573" i="2"/>
  <c r="AM574" i="2"/>
  <c r="AM575" i="2"/>
  <c r="AM576" i="2"/>
  <c r="AM577" i="2"/>
  <c r="AM578" i="2"/>
  <c r="AM579" i="2"/>
  <c r="AM580" i="2"/>
  <c r="AM581" i="2"/>
  <c r="AM582" i="2"/>
  <c r="AM583" i="2"/>
  <c r="AM584" i="2"/>
  <c r="AM585" i="2"/>
  <c r="AM586" i="2"/>
  <c r="AM587" i="2"/>
  <c r="AM588" i="2"/>
  <c r="AM589" i="2"/>
  <c r="AM590" i="2"/>
  <c r="AM591" i="2"/>
  <c r="AM592" i="2"/>
  <c r="AM593" i="2"/>
  <c r="AM594" i="2"/>
  <c r="AM595" i="2"/>
  <c r="AM596" i="2"/>
  <c r="AM597" i="2"/>
  <c r="AM598" i="2"/>
  <c r="AM599" i="2"/>
  <c r="AM600" i="2"/>
  <c r="AM601" i="2"/>
  <c r="AM602" i="2"/>
  <c r="AM603" i="2"/>
  <c r="AM604" i="2"/>
  <c r="AM605" i="2"/>
  <c r="AM606" i="2"/>
  <c r="AM607" i="2"/>
  <c r="AM608" i="2"/>
  <c r="AM609" i="2"/>
  <c r="AM610" i="2"/>
  <c r="AM611" i="2"/>
  <c r="AM612" i="2"/>
  <c r="AM613" i="2"/>
  <c r="AM614" i="2"/>
  <c r="AM615" i="2"/>
  <c r="AM616" i="2"/>
  <c r="AM617" i="2"/>
  <c r="AM618" i="2"/>
  <c r="AM619" i="2"/>
  <c r="AM620" i="2"/>
  <c r="AM621" i="2"/>
  <c r="AM622" i="2"/>
  <c r="AM623" i="2"/>
  <c r="AM624" i="2"/>
  <c r="AM625" i="2"/>
  <c r="AM626" i="2"/>
  <c r="AM627" i="2"/>
  <c r="AM628" i="2"/>
  <c r="AM629" i="2"/>
  <c r="AM630" i="2"/>
  <c r="AM631" i="2"/>
  <c r="AM632" i="2"/>
  <c r="AM633" i="2"/>
  <c r="AM634" i="2"/>
  <c r="AM635" i="2"/>
  <c r="AM636" i="2"/>
  <c r="AM637" i="2"/>
  <c r="AM638" i="2"/>
  <c r="AM639" i="2"/>
  <c r="AM640" i="2"/>
  <c r="AM641" i="2"/>
  <c r="AM642" i="2"/>
  <c r="AM643" i="2"/>
  <c r="AM644" i="2"/>
  <c r="AM645" i="2"/>
  <c r="AM646" i="2"/>
  <c r="AM647" i="2"/>
  <c r="AM648" i="2"/>
  <c r="AM649" i="2"/>
  <c r="AM650" i="2"/>
  <c r="AM651" i="2"/>
  <c r="AM652" i="2"/>
  <c r="AM653" i="2"/>
  <c r="AM654" i="2"/>
  <c r="AM655" i="2"/>
  <c r="AM656" i="2"/>
  <c r="AM657" i="2"/>
  <c r="AM658" i="2"/>
  <c r="AM659" i="2"/>
  <c r="AM660" i="2"/>
  <c r="AM661" i="2"/>
  <c r="AM662" i="2"/>
  <c r="AM663" i="2"/>
  <c r="AM664" i="2"/>
  <c r="AM665" i="2"/>
  <c r="AM666" i="2"/>
  <c r="AM667" i="2"/>
  <c r="AM668" i="2"/>
  <c r="AM669" i="2"/>
  <c r="AM670" i="2"/>
  <c r="AM671" i="2"/>
  <c r="AM672" i="2"/>
  <c r="AM673" i="2"/>
  <c r="AM674" i="2"/>
  <c r="AM675" i="2"/>
  <c r="AM676" i="2"/>
  <c r="AM677" i="2"/>
  <c r="AM678" i="2"/>
  <c r="AM679" i="2"/>
  <c r="AM680" i="2"/>
  <c r="AM681" i="2"/>
  <c r="AM682" i="2"/>
  <c r="AM683" i="2"/>
  <c r="AM684" i="2"/>
  <c r="AM685" i="2"/>
  <c r="AM686" i="2"/>
  <c r="AM687" i="2"/>
  <c r="AM688" i="2"/>
  <c r="AM689" i="2"/>
  <c r="AM690" i="2"/>
  <c r="AM691" i="2"/>
  <c r="AM692" i="2"/>
  <c r="AM693" i="2"/>
  <c r="AM694" i="2"/>
  <c r="AM695" i="2"/>
  <c r="AM696" i="2"/>
  <c r="AM697" i="2"/>
  <c r="AM698" i="2"/>
  <c r="AM699" i="2"/>
  <c r="AM700" i="2"/>
  <c r="AM701" i="2"/>
  <c r="AM702" i="2"/>
  <c r="AM703" i="2"/>
  <c r="AM704" i="2"/>
  <c r="AM705" i="2"/>
  <c r="AM706" i="2"/>
  <c r="AM707" i="2"/>
  <c r="AM708" i="2"/>
  <c r="AM709" i="2"/>
  <c r="AM710" i="2"/>
  <c r="AM711" i="2"/>
  <c r="AM712" i="2"/>
  <c r="AM713" i="2"/>
  <c r="AM714" i="2"/>
  <c r="AM715" i="2"/>
  <c r="AM716" i="2"/>
  <c r="AM717" i="2"/>
  <c r="AM718" i="2"/>
  <c r="AM719" i="2"/>
  <c r="AM720" i="2"/>
  <c r="AM721" i="2"/>
  <c r="AM722" i="2"/>
  <c r="AM723" i="2"/>
  <c r="AM724" i="2"/>
  <c r="AM725" i="2"/>
  <c r="AM726" i="2"/>
  <c r="AM727" i="2"/>
  <c r="AM728" i="2"/>
  <c r="AM729" i="2"/>
  <c r="AM730" i="2"/>
  <c r="AM731" i="2"/>
  <c r="AM732" i="2"/>
  <c r="AM733" i="2"/>
  <c r="AM734" i="2"/>
  <c r="AM735" i="2"/>
  <c r="AM736" i="2"/>
  <c r="AM737" i="2"/>
  <c r="AM738" i="2"/>
  <c r="AM739" i="2"/>
  <c r="AM740" i="2"/>
  <c r="AM741" i="2"/>
  <c r="AM742" i="2"/>
  <c r="AM743" i="2"/>
  <c r="AM744" i="2"/>
  <c r="AM745" i="2"/>
  <c r="AM746" i="2"/>
  <c r="AM747" i="2"/>
  <c r="AM748" i="2"/>
  <c r="AM749" i="2"/>
  <c r="AM750" i="2"/>
  <c r="AM751" i="2"/>
  <c r="AM752" i="2"/>
  <c r="AM753" i="2"/>
  <c r="AM754" i="2"/>
  <c r="AM755" i="2"/>
  <c r="AM756" i="2"/>
  <c r="AM757" i="2"/>
  <c r="AM758" i="2"/>
  <c r="AM759" i="2"/>
  <c r="AM760" i="2"/>
  <c r="AM761" i="2"/>
  <c r="AM762" i="2"/>
  <c r="AM763" i="2"/>
  <c r="AM764" i="2"/>
  <c r="AM765" i="2"/>
  <c r="AM766" i="2"/>
  <c r="AM767" i="2"/>
  <c r="AM768" i="2"/>
  <c r="AM769" i="2"/>
  <c r="AM770" i="2"/>
  <c r="AM771" i="2"/>
  <c r="AM772" i="2"/>
  <c r="AM773" i="2"/>
  <c r="AM774" i="2"/>
  <c r="AM775" i="2"/>
  <c r="AM776" i="2"/>
  <c r="AM777" i="2"/>
  <c r="AM778" i="2"/>
  <c r="AM779" i="2"/>
  <c r="AM780" i="2"/>
  <c r="AM781" i="2"/>
  <c r="AM782" i="2"/>
  <c r="AM783" i="2"/>
  <c r="AM784" i="2"/>
  <c r="AM785" i="2"/>
  <c r="AM786" i="2"/>
  <c r="AM787" i="2"/>
  <c r="AM788" i="2"/>
  <c r="AM789" i="2"/>
  <c r="AM790" i="2"/>
  <c r="AM791" i="2"/>
  <c r="AM792" i="2"/>
  <c r="AM793" i="2"/>
  <c r="AM794" i="2"/>
  <c r="AM795" i="2"/>
  <c r="AM796" i="2"/>
  <c r="AM797" i="2"/>
  <c r="AM798" i="2"/>
  <c r="AM799" i="2"/>
  <c r="AM800" i="2"/>
  <c r="AM801" i="2"/>
  <c r="AM802" i="2"/>
  <c r="AM803" i="2"/>
  <c r="AM804" i="2"/>
  <c r="AM805" i="2"/>
  <c r="AM806" i="2"/>
  <c r="AM807" i="2"/>
  <c r="AM808" i="2"/>
  <c r="AM809" i="2"/>
  <c r="AM810" i="2"/>
  <c r="AM811" i="2"/>
  <c r="AM812" i="2"/>
  <c r="AM813" i="2"/>
  <c r="AM814" i="2"/>
  <c r="AM815" i="2"/>
  <c r="AM816" i="2"/>
  <c r="AM817" i="2"/>
  <c r="AM818" i="2"/>
  <c r="AM819" i="2"/>
  <c r="AM820" i="2"/>
  <c r="AM821" i="2"/>
  <c r="AM822" i="2"/>
  <c r="AM823" i="2"/>
  <c r="AM824" i="2"/>
  <c r="AM825" i="2"/>
  <c r="AM826" i="2"/>
  <c r="AM827" i="2"/>
  <c r="AM828" i="2"/>
  <c r="AM829" i="2"/>
  <c r="AM830" i="2"/>
  <c r="AM831" i="2"/>
  <c r="AM832" i="2"/>
  <c r="AM833" i="2"/>
  <c r="AM834" i="2"/>
  <c r="AM835" i="2"/>
  <c r="AM836" i="2"/>
  <c r="AM837" i="2"/>
  <c r="AM838" i="2"/>
  <c r="AM839" i="2"/>
  <c r="AM840" i="2"/>
  <c r="AM841" i="2"/>
  <c r="AM842" i="2"/>
  <c r="AM843" i="2"/>
  <c r="AM844" i="2"/>
  <c r="AM845" i="2"/>
  <c r="AM846" i="2"/>
  <c r="AM847" i="2"/>
  <c r="AM848" i="2"/>
  <c r="AM849" i="2"/>
  <c r="AM850" i="2"/>
  <c r="AM851" i="2"/>
  <c r="AM852" i="2"/>
  <c r="AM853" i="2"/>
  <c r="AM854" i="2"/>
  <c r="AM855" i="2"/>
  <c r="AM856" i="2"/>
  <c r="AM857" i="2"/>
  <c r="AM858" i="2"/>
  <c r="AM859" i="2"/>
  <c r="AM860" i="2"/>
  <c r="AM861" i="2"/>
  <c r="AM862" i="2"/>
  <c r="AM863" i="2"/>
  <c r="AM864" i="2"/>
  <c r="AM865" i="2"/>
  <c r="AM866" i="2"/>
  <c r="AM867" i="2"/>
  <c r="AM868" i="2"/>
  <c r="AM869" i="2"/>
  <c r="AM870" i="2"/>
  <c r="AM871" i="2"/>
  <c r="AM872" i="2"/>
  <c r="AM873" i="2"/>
  <c r="AM874" i="2"/>
  <c r="AM875" i="2"/>
  <c r="AM876" i="2"/>
  <c r="AM877" i="2"/>
  <c r="AM878" i="2"/>
  <c r="AM879" i="2"/>
  <c r="AM880" i="2"/>
  <c r="AM881" i="2"/>
  <c r="AM882" i="2"/>
  <c r="AM883" i="2"/>
  <c r="AM884" i="2"/>
  <c r="AM885" i="2"/>
  <c r="AM886" i="2"/>
  <c r="AM887" i="2"/>
  <c r="AM888" i="2"/>
  <c r="AM889" i="2"/>
  <c r="AM890" i="2"/>
  <c r="AM891" i="2"/>
  <c r="AM892" i="2"/>
  <c r="AM893" i="2"/>
  <c r="AM894" i="2"/>
  <c r="AM895" i="2"/>
  <c r="AM896" i="2"/>
  <c r="AM897" i="2"/>
  <c r="AM898" i="2"/>
  <c r="AM899" i="2"/>
  <c r="AM900" i="2"/>
  <c r="AM901" i="2"/>
  <c r="AM902" i="2"/>
  <c r="AM903" i="2"/>
  <c r="AM904" i="2"/>
  <c r="AM905" i="2"/>
  <c r="AM906" i="2"/>
  <c r="AM907" i="2"/>
  <c r="AM908" i="2"/>
  <c r="AM909" i="2"/>
  <c r="AM910" i="2"/>
  <c r="AM911" i="2"/>
  <c r="AM912" i="2"/>
  <c r="AM913" i="2"/>
  <c r="AM914" i="2"/>
  <c r="AM915" i="2"/>
  <c r="AM916" i="2"/>
  <c r="AM917" i="2"/>
  <c r="AM918" i="2"/>
  <c r="AM919" i="2"/>
  <c r="AM920" i="2"/>
  <c r="AM921" i="2"/>
  <c r="AM922" i="2"/>
  <c r="AM923" i="2"/>
  <c r="AM924" i="2"/>
  <c r="AM925" i="2"/>
  <c r="AM926" i="2"/>
  <c r="AM927" i="2"/>
  <c r="AM928" i="2"/>
  <c r="AM929" i="2"/>
  <c r="AM930" i="2"/>
  <c r="AM931" i="2"/>
  <c r="AM932" i="2"/>
  <c r="AM933" i="2"/>
  <c r="AM934" i="2"/>
  <c r="AM935" i="2"/>
  <c r="AM936" i="2"/>
  <c r="AM937" i="2"/>
  <c r="AM938" i="2"/>
  <c r="AM939" i="2"/>
  <c r="AM940" i="2"/>
  <c r="AM941" i="2"/>
  <c r="AM942" i="2"/>
  <c r="AM943" i="2"/>
  <c r="AM944" i="2"/>
  <c r="AM945" i="2"/>
  <c r="AM946" i="2"/>
  <c r="AM947" i="2"/>
  <c r="AM948" i="2"/>
  <c r="AM949" i="2"/>
  <c r="AM950" i="2"/>
  <c r="AM951" i="2"/>
  <c r="AM952" i="2"/>
  <c r="AM953" i="2"/>
  <c r="AM954" i="2"/>
  <c r="AM955" i="2"/>
  <c r="AM956" i="2"/>
  <c r="AM957" i="2"/>
  <c r="AM958" i="2"/>
  <c r="AM959" i="2"/>
  <c r="AM960" i="2"/>
  <c r="AM961" i="2"/>
  <c r="AM962" i="2"/>
  <c r="AM963" i="2"/>
  <c r="AM964" i="2"/>
  <c r="AM965" i="2"/>
  <c r="AM966" i="2"/>
  <c r="AM967" i="2"/>
  <c r="AM968" i="2"/>
  <c r="AM969" i="2"/>
  <c r="AM970" i="2"/>
  <c r="AM971" i="2"/>
  <c r="AM972" i="2"/>
  <c r="AM973" i="2"/>
  <c r="AM974" i="2"/>
  <c r="AM975" i="2"/>
  <c r="AM976" i="2"/>
  <c r="AM977" i="2"/>
  <c r="AM978" i="2"/>
  <c r="AM979" i="2"/>
  <c r="AM980" i="2"/>
  <c r="AM981" i="2"/>
  <c r="AM982" i="2"/>
  <c r="AM983" i="2"/>
  <c r="AM984" i="2"/>
  <c r="AM985" i="2"/>
  <c r="AM986" i="2"/>
  <c r="AM987" i="2"/>
  <c r="AM988" i="2"/>
  <c r="AM989" i="2"/>
  <c r="AM990" i="2"/>
  <c r="AM991" i="2"/>
  <c r="AM992" i="2"/>
  <c r="AM993" i="2"/>
  <c r="AM994" i="2"/>
  <c r="AM995" i="2"/>
  <c r="AM996" i="2"/>
  <c r="AM997" i="2"/>
  <c r="AM998" i="2"/>
  <c r="AM999" i="2"/>
  <c r="AM1000" i="2"/>
  <c r="AM1001" i="2"/>
  <c r="AM2" i="2"/>
  <c r="AL2" i="2"/>
  <c r="AK2" i="2"/>
  <c r="AJ2" i="2" a="1"/>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684" i="2"/>
  <c r="AJ685" i="2"/>
  <c r="AJ686" i="2"/>
  <c r="AJ687" i="2"/>
  <c r="AJ688" i="2"/>
  <c r="AJ689" i="2"/>
  <c r="AJ690" i="2"/>
  <c r="AJ691" i="2"/>
  <c r="AJ692" i="2"/>
  <c r="AJ693" i="2"/>
  <c r="AJ694" i="2"/>
  <c r="AJ695" i="2"/>
  <c r="AJ696" i="2"/>
  <c r="AJ697" i="2"/>
  <c r="AJ698" i="2"/>
  <c r="AJ699" i="2"/>
  <c r="AJ700" i="2"/>
  <c r="AJ701" i="2"/>
  <c r="AJ702" i="2"/>
  <c r="AJ703" i="2"/>
  <c r="AJ704" i="2"/>
  <c r="AJ705" i="2"/>
  <c r="AJ706" i="2"/>
  <c r="AJ707" i="2"/>
  <c r="AJ708" i="2"/>
  <c r="AJ709" i="2"/>
  <c r="AJ710" i="2"/>
  <c r="AJ711" i="2"/>
  <c r="AJ712" i="2"/>
  <c r="AJ713" i="2"/>
  <c r="AJ714" i="2"/>
  <c r="AJ715" i="2"/>
  <c r="AJ716" i="2"/>
  <c r="AJ717" i="2"/>
  <c r="AJ718" i="2"/>
  <c r="AJ719" i="2"/>
  <c r="AJ720" i="2"/>
  <c r="AJ721" i="2"/>
  <c r="AJ722" i="2"/>
  <c r="AJ723" i="2"/>
  <c r="AJ724" i="2"/>
  <c r="AJ725" i="2"/>
  <c r="AJ726" i="2"/>
  <c r="AJ727" i="2"/>
  <c r="AJ728" i="2"/>
  <c r="AJ729" i="2"/>
  <c r="AJ730" i="2"/>
  <c r="AJ731" i="2"/>
  <c r="AJ732" i="2"/>
  <c r="AJ733" i="2"/>
  <c r="AJ734" i="2"/>
  <c r="AJ735" i="2"/>
  <c r="AJ736" i="2"/>
  <c r="AJ737" i="2"/>
  <c r="AJ738" i="2"/>
  <c r="AJ739" i="2"/>
  <c r="AJ740" i="2"/>
  <c r="AJ741" i="2"/>
  <c r="AJ742" i="2"/>
  <c r="AJ743" i="2"/>
  <c r="AJ744" i="2"/>
  <c r="AJ745" i="2"/>
  <c r="AJ746" i="2"/>
  <c r="AJ747" i="2"/>
  <c r="AJ748" i="2"/>
  <c r="AJ749" i="2"/>
  <c r="AJ750" i="2"/>
  <c r="AJ751" i="2"/>
  <c r="AJ752" i="2"/>
  <c r="AJ753" i="2"/>
  <c r="AJ754" i="2"/>
  <c r="AJ755" i="2"/>
  <c r="AJ756" i="2"/>
  <c r="AJ757" i="2"/>
  <c r="AJ758" i="2"/>
  <c r="AJ759" i="2"/>
  <c r="AJ760" i="2"/>
  <c r="AJ761" i="2"/>
  <c r="AJ762" i="2"/>
  <c r="AJ763" i="2"/>
  <c r="AJ764" i="2"/>
  <c r="AJ765" i="2"/>
  <c r="AJ766" i="2"/>
  <c r="AJ767" i="2"/>
  <c r="AJ768" i="2"/>
  <c r="AJ769" i="2"/>
  <c r="AJ770" i="2"/>
  <c r="AJ771" i="2"/>
  <c r="AJ772" i="2"/>
  <c r="AJ773" i="2"/>
  <c r="AJ774" i="2"/>
  <c r="AJ775" i="2"/>
  <c r="AJ776" i="2"/>
  <c r="AJ777" i="2"/>
  <c r="AJ778" i="2"/>
  <c r="AJ779" i="2"/>
  <c r="AJ780" i="2"/>
  <c r="AJ781" i="2"/>
  <c r="AJ782" i="2"/>
  <c r="AJ783" i="2"/>
  <c r="AJ784" i="2"/>
  <c r="AJ785" i="2"/>
  <c r="AJ786" i="2"/>
  <c r="AJ787" i="2"/>
  <c r="AJ788" i="2"/>
  <c r="AJ789" i="2"/>
  <c r="AJ790" i="2"/>
  <c r="AJ791" i="2"/>
  <c r="AJ792" i="2"/>
  <c r="AJ793" i="2"/>
  <c r="AJ794" i="2"/>
  <c r="AJ795" i="2"/>
  <c r="AJ796" i="2"/>
  <c r="AJ797" i="2"/>
  <c r="AJ798" i="2"/>
  <c r="AJ799" i="2"/>
  <c r="AJ800" i="2"/>
  <c r="AJ801" i="2"/>
  <c r="AJ802" i="2"/>
  <c r="AJ803" i="2"/>
  <c r="AJ804" i="2"/>
  <c r="AJ805" i="2"/>
  <c r="AJ806" i="2"/>
  <c r="AJ807" i="2"/>
  <c r="AJ808" i="2"/>
  <c r="AJ809" i="2"/>
  <c r="AJ810" i="2"/>
  <c r="AJ811" i="2"/>
  <c r="AJ812" i="2"/>
  <c r="AJ813" i="2"/>
  <c r="AJ814" i="2"/>
  <c r="AJ815" i="2"/>
  <c r="AJ816" i="2"/>
  <c r="AJ817" i="2"/>
  <c r="AJ818" i="2"/>
  <c r="AJ819" i="2"/>
  <c r="AJ820" i="2"/>
  <c r="AJ821" i="2"/>
  <c r="AJ822" i="2"/>
  <c r="AJ823" i="2"/>
  <c r="AJ824" i="2"/>
  <c r="AJ825" i="2"/>
  <c r="AJ826" i="2"/>
  <c r="AJ827" i="2"/>
  <c r="AJ828" i="2"/>
  <c r="AJ829" i="2"/>
  <c r="AJ830" i="2"/>
  <c r="AJ831" i="2"/>
  <c r="AJ832" i="2"/>
  <c r="AJ833" i="2"/>
  <c r="AJ834" i="2"/>
  <c r="AJ835" i="2"/>
  <c r="AJ836" i="2"/>
  <c r="AJ837" i="2"/>
  <c r="AJ838" i="2"/>
  <c r="AJ839" i="2"/>
  <c r="AJ840" i="2"/>
  <c r="AJ841" i="2"/>
  <c r="AJ842" i="2"/>
  <c r="AJ843" i="2"/>
  <c r="AJ844" i="2"/>
  <c r="AJ845" i="2"/>
  <c r="AJ846" i="2"/>
  <c r="AJ847" i="2"/>
  <c r="AJ848" i="2"/>
  <c r="AJ849" i="2"/>
  <c r="AJ850" i="2"/>
  <c r="AJ851" i="2"/>
  <c r="AJ852" i="2"/>
  <c r="AJ853" i="2"/>
  <c r="AJ854" i="2"/>
  <c r="AJ855" i="2"/>
  <c r="AJ856" i="2"/>
  <c r="AJ857" i="2"/>
  <c r="AJ858" i="2"/>
  <c r="AJ859" i="2"/>
  <c r="AJ860" i="2"/>
  <c r="AJ861" i="2"/>
  <c r="AJ862" i="2"/>
  <c r="AJ863" i="2"/>
  <c r="AJ864" i="2"/>
  <c r="AJ865" i="2"/>
  <c r="AJ866" i="2"/>
  <c r="AJ867" i="2"/>
  <c r="AJ868" i="2"/>
  <c r="AJ869" i="2"/>
  <c r="AJ870" i="2"/>
  <c r="AJ871" i="2"/>
  <c r="AJ872" i="2"/>
  <c r="AJ873" i="2"/>
  <c r="AJ874" i="2"/>
  <c r="AJ875" i="2"/>
  <c r="AJ876" i="2"/>
  <c r="AJ877" i="2"/>
  <c r="AJ878" i="2"/>
  <c r="AJ879" i="2"/>
  <c r="AJ880" i="2"/>
  <c r="AJ881" i="2"/>
  <c r="AJ882" i="2"/>
  <c r="AJ883" i="2"/>
  <c r="AJ884" i="2"/>
  <c r="AJ885" i="2"/>
  <c r="AJ886" i="2"/>
  <c r="AJ887" i="2"/>
  <c r="AJ888" i="2"/>
  <c r="AJ889" i="2"/>
  <c r="AJ890" i="2"/>
  <c r="AJ891" i="2"/>
  <c r="AJ892" i="2"/>
  <c r="AJ893" i="2"/>
  <c r="AJ894" i="2"/>
  <c r="AJ895" i="2"/>
  <c r="AJ896" i="2"/>
  <c r="AJ897" i="2"/>
  <c r="AJ898" i="2"/>
  <c r="AJ899" i="2"/>
  <c r="AJ900" i="2"/>
  <c r="AJ901" i="2"/>
  <c r="AJ902" i="2"/>
  <c r="AJ903" i="2"/>
  <c r="AJ904" i="2"/>
  <c r="AJ905" i="2"/>
  <c r="AJ906" i="2"/>
  <c r="AJ907" i="2"/>
  <c r="AJ908" i="2"/>
  <c r="AJ909" i="2"/>
  <c r="AJ910" i="2"/>
  <c r="AJ911" i="2"/>
  <c r="AJ912" i="2"/>
  <c r="AJ913" i="2"/>
  <c r="AJ914" i="2"/>
  <c r="AJ915" i="2"/>
  <c r="AJ916" i="2"/>
  <c r="AJ917" i="2"/>
  <c r="AJ918" i="2"/>
  <c r="AJ919" i="2"/>
  <c r="AJ920" i="2"/>
  <c r="AJ921" i="2"/>
  <c r="AJ922" i="2"/>
  <c r="AJ923" i="2"/>
  <c r="AJ924" i="2"/>
  <c r="AJ925" i="2"/>
  <c r="AJ926" i="2"/>
  <c r="AJ927" i="2"/>
  <c r="AJ928" i="2"/>
  <c r="AJ929" i="2"/>
  <c r="AJ930" i="2"/>
  <c r="AJ931" i="2"/>
  <c r="AJ932" i="2"/>
  <c r="AJ933" i="2"/>
  <c r="AJ934" i="2"/>
  <c r="AJ935" i="2"/>
  <c r="AJ936" i="2"/>
  <c r="AJ937" i="2"/>
  <c r="AJ938" i="2"/>
  <c r="AJ939" i="2"/>
  <c r="AJ940" i="2"/>
  <c r="AJ941" i="2"/>
  <c r="AJ942" i="2"/>
  <c r="AJ943" i="2"/>
  <c r="AJ944" i="2"/>
  <c r="AJ945" i="2"/>
  <c r="AJ946" i="2"/>
  <c r="AJ947" i="2"/>
  <c r="AJ948" i="2"/>
  <c r="AJ949" i="2"/>
  <c r="AJ950" i="2"/>
  <c r="AJ951" i="2"/>
  <c r="AJ952" i="2"/>
  <c r="AJ953" i="2"/>
  <c r="AJ954" i="2"/>
  <c r="AJ955" i="2"/>
  <c r="AJ956" i="2"/>
  <c r="AJ957" i="2"/>
  <c r="AJ958" i="2"/>
  <c r="AJ959" i="2"/>
  <c r="AJ960" i="2"/>
  <c r="AJ961" i="2"/>
  <c r="AJ962" i="2"/>
  <c r="AJ963" i="2"/>
  <c r="AJ964" i="2"/>
  <c r="AJ965" i="2"/>
  <c r="AJ966" i="2"/>
  <c r="AJ967" i="2"/>
  <c r="AJ968" i="2"/>
  <c r="AJ969" i="2"/>
  <c r="AJ970" i="2"/>
  <c r="AJ971" i="2"/>
  <c r="AJ972" i="2"/>
  <c r="AJ973" i="2"/>
  <c r="AJ974" i="2"/>
  <c r="AJ975" i="2"/>
  <c r="AJ976" i="2"/>
  <c r="AJ977" i="2"/>
  <c r="AJ978" i="2"/>
  <c r="AJ979" i="2"/>
  <c r="AJ980" i="2"/>
  <c r="AJ981" i="2"/>
  <c r="AJ982" i="2"/>
  <c r="AJ983" i="2"/>
  <c r="AJ984" i="2"/>
  <c r="AJ985" i="2"/>
  <c r="AJ986" i="2"/>
  <c r="AJ987" i="2"/>
  <c r="AJ988" i="2"/>
  <c r="AJ989" i="2"/>
  <c r="AJ990" i="2"/>
  <c r="AJ991" i="2"/>
  <c r="AJ992" i="2"/>
  <c r="AJ993" i="2"/>
  <c r="AJ994" i="2"/>
  <c r="AJ995" i="2"/>
  <c r="AJ996" i="2"/>
  <c r="AJ997" i="2"/>
  <c r="AJ998" i="2"/>
  <c r="AJ999" i="2"/>
  <c r="AJ1000" i="2"/>
  <c r="AJ1001" i="2"/>
  <c r="AJ2" i="2"/>
  <c r="AI2" i="2" a="1"/>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2" i="2"/>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AH2" i="2" a="1"/>
  <c r="AH2" i="2"/>
  <c r="AH3" i="2"/>
  <c r="AH4" i="2"/>
  <c r="AH5" i="2"/>
  <c r="AH6" i="2"/>
  <c r="AH7" i="2"/>
  <c r="AH8" i="2"/>
  <c r="AH9" i="2"/>
  <c r="AH10" i="2"/>
  <c r="AH11" i="2"/>
  <c r="AH12" i="2"/>
  <c r="AH13" i="2"/>
  <c r="AH14" i="2"/>
  <c r="AH15" i="2"/>
  <c r="AH16" i="2"/>
  <c r="AH17" i="2"/>
  <c r="AH18" i="2"/>
  <c r="AH19" i="2"/>
  <c r="AH20" i="2"/>
  <c r="AH21" i="2"/>
  <c r="AH22" i="2"/>
  <c r="AH23" i="2"/>
  <c r="AH24" i="2"/>
  <c r="AH25" i="2"/>
  <c r="AH26" i="2"/>
  <c r="AH27" i="2"/>
  <c r="AH28" i="2"/>
  <c r="AH29" i="2"/>
  <c r="AH30" i="2"/>
  <c r="AH31" i="2"/>
  <c r="AH32" i="2"/>
  <c r="AH33" i="2"/>
  <c r="AH34" i="2"/>
  <c r="AH35" i="2"/>
  <c r="AH36" i="2"/>
  <c r="AH37" i="2"/>
  <c r="AH38" i="2"/>
  <c r="AH39" i="2"/>
  <c r="AH40" i="2"/>
  <c r="AH41" i="2"/>
  <c r="AH42" i="2"/>
  <c r="AH43" i="2"/>
  <c r="AH44" i="2"/>
  <c r="AH45" i="2"/>
  <c r="AH46" i="2"/>
  <c r="AH47" i="2"/>
  <c r="AH48" i="2"/>
  <c r="AH49" i="2"/>
  <c r="AH50" i="2"/>
  <c r="AH51" i="2"/>
  <c r="AH52" i="2"/>
  <c r="AH53" i="2"/>
  <c r="AH54" i="2"/>
  <c r="AH55" i="2"/>
  <c r="AH56" i="2"/>
  <c r="AH57" i="2"/>
  <c r="AH58" i="2"/>
  <c r="AH59" i="2"/>
  <c r="AH60" i="2"/>
  <c r="AH61" i="2"/>
  <c r="AH62" i="2"/>
  <c r="AH63" i="2"/>
  <c r="AH64" i="2"/>
  <c r="AH65" i="2"/>
  <c r="AH66" i="2"/>
  <c r="AH67" i="2"/>
  <c r="AH68" i="2"/>
  <c r="AH69" i="2"/>
  <c r="AH70" i="2"/>
  <c r="AH71" i="2"/>
  <c r="AH72" i="2"/>
  <c r="AH73" i="2"/>
  <c r="AH74" i="2"/>
  <c r="AH75" i="2"/>
  <c r="AH76" i="2"/>
  <c r="AH77" i="2"/>
  <c r="AH78" i="2"/>
  <c r="AH79" i="2"/>
  <c r="AH80" i="2"/>
  <c r="AH81" i="2"/>
  <c r="AH82" i="2"/>
  <c r="AH83" i="2"/>
  <c r="AH84" i="2"/>
  <c r="AH85" i="2"/>
  <c r="AH86" i="2"/>
  <c r="AH87" i="2"/>
  <c r="AH88" i="2"/>
  <c r="AH89" i="2"/>
  <c r="AH90" i="2"/>
  <c r="AH91" i="2"/>
  <c r="AH92" i="2"/>
  <c r="AH93" i="2"/>
  <c r="AH94" i="2"/>
  <c r="AH95" i="2"/>
  <c r="AH96" i="2"/>
  <c r="AH97" i="2"/>
  <c r="AH98" i="2"/>
  <c r="AH99" i="2"/>
  <c r="AH100" i="2"/>
  <c r="AH101" i="2"/>
  <c r="AH102" i="2"/>
  <c r="AH103" i="2"/>
  <c r="AH104" i="2"/>
  <c r="AH105" i="2"/>
  <c r="AH106" i="2"/>
  <c r="AH107" i="2"/>
  <c r="AH108" i="2"/>
  <c r="AH109" i="2"/>
  <c r="AH110" i="2"/>
  <c r="AH111" i="2"/>
  <c r="AH112" i="2"/>
  <c r="AH113" i="2"/>
  <c r="AH114" i="2"/>
  <c r="AH115" i="2"/>
  <c r="AH116" i="2"/>
  <c r="AH117" i="2"/>
  <c r="AH118" i="2"/>
  <c r="AH119" i="2"/>
  <c r="AH120" i="2"/>
  <c r="AH121" i="2"/>
  <c r="AH122" i="2"/>
  <c r="AH123" i="2"/>
  <c r="AH124" i="2"/>
  <c r="AH125" i="2"/>
  <c r="AH126" i="2"/>
  <c r="AH127" i="2"/>
  <c r="AH128" i="2"/>
  <c r="AH129" i="2"/>
  <c r="AH130" i="2"/>
  <c r="AH131" i="2"/>
  <c r="AH132" i="2"/>
  <c r="AH133" i="2"/>
  <c r="AH134" i="2"/>
  <c r="AH135" i="2"/>
  <c r="AH136" i="2"/>
  <c r="AH137" i="2"/>
  <c r="AH138" i="2"/>
  <c r="AH139" i="2"/>
  <c r="AH140" i="2"/>
  <c r="AH141" i="2"/>
  <c r="AH142" i="2"/>
  <c r="AH143" i="2"/>
  <c r="AH144" i="2"/>
  <c r="AH145" i="2"/>
  <c r="AH146" i="2"/>
  <c r="AH147" i="2"/>
  <c r="AH148" i="2"/>
  <c r="AH149" i="2"/>
  <c r="AH150" i="2"/>
  <c r="AH151" i="2"/>
  <c r="AH152" i="2"/>
  <c r="AH153" i="2"/>
  <c r="AH154" i="2"/>
  <c r="AH155" i="2"/>
  <c r="AH156" i="2"/>
  <c r="AH157" i="2"/>
  <c r="AH158" i="2"/>
  <c r="AH159" i="2"/>
  <c r="AH160" i="2"/>
  <c r="AH161" i="2"/>
  <c r="AH162" i="2"/>
  <c r="AH163" i="2"/>
  <c r="AH164" i="2"/>
  <c r="AH165" i="2"/>
  <c r="AH166" i="2"/>
  <c r="AH167" i="2"/>
  <c r="AH168" i="2"/>
  <c r="AH169" i="2"/>
  <c r="AH170" i="2"/>
  <c r="AH171" i="2"/>
  <c r="AH172" i="2"/>
  <c r="AH173" i="2"/>
  <c r="AH174" i="2"/>
  <c r="AH175" i="2"/>
  <c r="AH176" i="2"/>
  <c r="AH177" i="2"/>
  <c r="AH178" i="2"/>
  <c r="AH179" i="2"/>
  <c r="AH180" i="2"/>
  <c r="AH181" i="2"/>
  <c r="AH182" i="2"/>
  <c r="AH183" i="2"/>
  <c r="AH184" i="2"/>
  <c r="AH185" i="2"/>
  <c r="AH186" i="2"/>
  <c r="AH187" i="2"/>
  <c r="AH188" i="2"/>
  <c r="AH189" i="2"/>
  <c r="AH190" i="2"/>
  <c r="AH191" i="2"/>
  <c r="AH192" i="2"/>
  <c r="AH193" i="2"/>
  <c r="AH194" i="2"/>
  <c r="AH195" i="2"/>
  <c r="AH196" i="2"/>
  <c r="AH197" i="2"/>
  <c r="AH198" i="2"/>
  <c r="AH199" i="2"/>
  <c r="AH200" i="2"/>
  <c r="AH201" i="2"/>
  <c r="AH202" i="2"/>
  <c r="AH203" i="2"/>
  <c r="AH204" i="2"/>
  <c r="AH205" i="2"/>
  <c r="AH206" i="2"/>
  <c r="AH207" i="2"/>
  <c r="AH208" i="2"/>
  <c r="AH209" i="2"/>
  <c r="AH210" i="2"/>
  <c r="AH211" i="2"/>
  <c r="AH212" i="2"/>
  <c r="AH213" i="2"/>
  <c r="AH214" i="2"/>
  <c r="AH215" i="2"/>
  <c r="AH216" i="2"/>
  <c r="AH217" i="2"/>
  <c r="AH218" i="2"/>
  <c r="AH219" i="2"/>
  <c r="AH220" i="2"/>
  <c r="AH221" i="2"/>
  <c r="AH222" i="2"/>
  <c r="AH223" i="2"/>
  <c r="AH224" i="2"/>
  <c r="AH225" i="2"/>
  <c r="AH226" i="2"/>
  <c r="AH227" i="2"/>
  <c r="AH228" i="2"/>
  <c r="AH229" i="2"/>
  <c r="AH230" i="2"/>
  <c r="AH231" i="2"/>
  <c r="AH232" i="2"/>
  <c r="AH233" i="2"/>
  <c r="AH234" i="2"/>
  <c r="AH235" i="2"/>
  <c r="AH236" i="2"/>
  <c r="AH237" i="2"/>
  <c r="AH238" i="2"/>
  <c r="AH239" i="2"/>
  <c r="AH240" i="2"/>
  <c r="AH241" i="2"/>
  <c r="AH242" i="2"/>
  <c r="AH243" i="2"/>
  <c r="AH244" i="2"/>
  <c r="AH245" i="2"/>
  <c r="AH246" i="2"/>
  <c r="AH247" i="2"/>
  <c r="AH248" i="2"/>
  <c r="AH249" i="2"/>
  <c r="AH250" i="2"/>
  <c r="AH251" i="2"/>
  <c r="AH252" i="2"/>
  <c r="AH253" i="2"/>
  <c r="AH254" i="2"/>
  <c r="AH255" i="2"/>
  <c r="AH256" i="2"/>
  <c r="AH257" i="2"/>
  <c r="AH258" i="2"/>
  <c r="AH259" i="2"/>
  <c r="AH260" i="2"/>
  <c r="AH261" i="2"/>
  <c r="AH262" i="2"/>
  <c r="AH263" i="2"/>
  <c r="AH264" i="2"/>
  <c r="AH265" i="2"/>
  <c r="AH266" i="2"/>
  <c r="AH267" i="2"/>
  <c r="AH268" i="2"/>
  <c r="AH269" i="2"/>
  <c r="AH270" i="2"/>
  <c r="AH271" i="2"/>
  <c r="AH272" i="2"/>
  <c r="AH273" i="2"/>
  <c r="AH274" i="2"/>
  <c r="AH275" i="2"/>
  <c r="AH276" i="2"/>
  <c r="AH277" i="2"/>
  <c r="AH278" i="2"/>
  <c r="AH279" i="2"/>
  <c r="AH280" i="2"/>
  <c r="AH281" i="2"/>
  <c r="AH282" i="2"/>
  <c r="AH283" i="2"/>
  <c r="AH284" i="2"/>
  <c r="AH285" i="2"/>
  <c r="AH286" i="2"/>
  <c r="AH287" i="2"/>
  <c r="AH288" i="2"/>
  <c r="AH289" i="2"/>
  <c r="AH290" i="2"/>
  <c r="AH291" i="2"/>
  <c r="AH292" i="2"/>
  <c r="AH293" i="2"/>
  <c r="AH294" i="2"/>
  <c r="AH295" i="2"/>
  <c r="AH296" i="2"/>
  <c r="AH297" i="2"/>
  <c r="AH298" i="2"/>
  <c r="AH299" i="2"/>
  <c r="AH300" i="2"/>
  <c r="AH301" i="2"/>
  <c r="AH302" i="2"/>
  <c r="AH303" i="2"/>
  <c r="AH304" i="2"/>
  <c r="AH305" i="2"/>
  <c r="AH306" i="2"/>
  <c r="AH307" i="2"/>
  <c r="AH308" i="2"/>
  <c r="AH309" i="2"/>
  <c r="AH310" i="2"/>
  <c r="AH311" i="2"/>
  <c r="AH312" i="2"/>
  <c r="AH313" i="2"/>
  <c r="AH314" i="2"/>
  <c r="AH315" i="2"/>
  <c r="AH316" i="2"/>
  <c r="AH317" i="2"/>
  <c r="AH318" i="2"/>
  <c r="AH319" i="2"/>
  <c r="AH320" i="2"/>
  <c r="AH321" i="2"/>
  <c r="AH322" i="2"/>
  <c r="AH323" i="2"/>
  <c r="AH324" i="2"/>
  <c r="AH325" i="2"/>
  <c r="AH326" i="2"/>
  <c r="AH327" i="2"/>
  <c r="AH328" i="2"/>
  <c r="AH329" i="2"/>
  <c r="AH330" i="2"/>
  <c r="AH331" i="2"/>
  <c r="AH332" i="2"/>
  <c r="AH333" i="2"/>
  <c r="AH334" i="2"/>
  <c r="AH335" i="2"/>
  <c r="AH336" i="2"/>
  <c r="AH337" i="2"/>
  <c r="AH338" i="2"/>
  <c r="AH339" i="2"/>
  <c r="AH340" i="2"/>
  <c r="AH341" i="2"/>
  <c r="AH342" i="2"/>
  <c r="AH343" i="2"/>
  <c r="AH344" i="2"/>
  <c r="AH345" i="2"/>
  <c r="AH346" i="2"/>
  <c r="AH347" i="2"/>
  <c r="AH348" i="2"/>
  <c r="AH349" i="2"/>
  <c r="AH350" i="2"/>
  <c r="AH351" i="2"/>
  <c r="AH352" i="2"/>
  <c r="AH353" i="2"/>
  <c r="AH354" i="2"/>
  <c r="AH355" i="2"/>
  <c r="AH356" i="2"/>
  <c r="AH357" i="2"/>
  <c r="AH358" i="2"/>
  <c r="AH359" i="2"/>
  <c r="AH360" i="2"/>
  <c r="AH361" i="2"/>
  <c r="AH362" i="2"/>
  <c r="AH363" i="2"/>
  <c r="AH364" i="2"/>
  <c r="AH365" i="2"/>
  <c r="AH366" i="2"/>
  <c r="AH367" i="2"/>
  <c r="AH368" i="2"/>
  <c r="AH369" i="2"/>
  <c r="AH370" i="2"/>
  <c r="AH371" i="2"/>
  <c r="AH372" i="2"/>
  <c r="AH373" i="2"/>
  <c r="AH374" i="2"/>
  <c r="AH375" i="2"/>
  <c r="AH376" i="2"/>
  <c r="AH377" i="2"/>
  <c r="AH378" i="2"/>
  <c r="AH379" i="2"/>
  <c r="AH380" i="2"/>
  <c r="AH381" i="2"/>
  <c r="AH382" i="2"/>
  <c r="AH383" i="2"/>
  <c r="AH384" i="2"/>
  <c r="AH385" i="2"/>
  <c r="AH386" i="2"/>
  <c r="AH387" i="2"/>
  <c r="AH388" i="2"/>
  <c r="AH389" i="2"/>
  <c r="AH390" i="2"/>
  <c r="AH391" i="2"/>
  <c r="AH392" i="2"/>
  <c r="AH393" i="2"/>
  <c r="AH394" i="2"/>
  <c r="AH395" i="2"/>
  <c r="AH396" i="2"/>
  <c r="AH397" i="2"/>
  <c r="AH398" i="2"/>
  <c r="AH399" i="2"/>
  <c r="AH400" i="2"/>
  <c r="AH401" i="2"/>
  <c r="AH402" i="2"/>
  <c r="AH403" i="2"/>
  <c r="AH404" i="2"/>
  <c r="AH405" i="2"/>
  <c r="AH406" i="2"/>
  <c r="AH407" i="2"/>
  <c r="AH408" i="2"/>
  <c r="AH409" i="2"/>
  <c r="AH410" i="2"/>
  <c r="AH411" i="2"/>
  <c r="AH412" i="2"/>
  <c r="AH413" i="2"/>
  <c r="AH414" i="2"/>
  <c r="AH415" i="2"/>
  <c r="AH416" i="2"/>
  <c r="AH417" i="2"/>
  <c r="AH418" i="2"/>
  <c r="AH419" i="2"/>
  <c r="AH420" i="2"/>
  <c r="AH421" i="2"/>
  <c r="AH422" i="2"/>
  <c r="AH423" i="2"/>
  <c r="AH424" i="2"/>
  <c r="AH425" i="2"/>
  <c r="AH426" i="2"/>
  <c r="AH427" i="2"/>
  <c r="AH428" i="2"/>
  <c r="AH429" i="2"/>
  <c r="AH430" i="2"/>
  <c r="AH431" i="2"/>
  <c r="AH432" i="2"/>
  <c r="AH433" i="2"/>
  <c r="AH434" i="2"/>
  <c r="AH435" i="2"/>
  <c r="AH436" i="2"/>
  <c r="AH437" i="2"/>
  <c r="AH438" i="2"/>
  <c r="AH439" i="2"/>
  <c r="AH440" i="2"/>
  <c r="AH441" i="2"/>
  <c r="AH442" i="2"/>
  <c r="AH443" i="2"/>
  <c r="AH444" i="2"/>
  <c r="AH445" i="2"/>
  <c r="AH446" i="2"/>
  <c r="AH447" i="2"/>
  <c r="AH448" i="2"/>
  <c r="AH449" i="2"/>
  <c r="AH450" i="2"/>
  <c r="AH451" i="2"/>
  <c r="AH452" i="2"/>
  <c r="AH453" i="2"/>
  <c r="AH454" i="2"/>
  <c r="AH455" i="2"/>
  <c r="AH456" i="2"/>
  <c r="AH457" i="2"/>
  <c r="AH458" i="2"/>
  <c r="AH459" i="2"/>
  <c r="AH460" i="2"/>
  <c r="AH461" i="2"/>
  <c r="AH462" i="2"/>
  <c r="AH463" i="2"/>
  <c r="AH464" i="2"/>
  <c r="AH465" i="2"/>
  <c r="AH466" i="2"/>
  <c r="AH467" i="2"/>
  <c r="AH468" i="2"/>
  <c r="AH469" i="2"/>
  <c r="AH470" i="2"/>
  <c r="AH471" i="2"/>
  <c r="AH472" i="2"/>
  <c r="AH473" i="2"/>
  <c r="AH474" i="2"/>
  <c r="AH475" i="2"/>
  <c r="AH476" i="2"/>
  <c r="AH477" i="2"/>
  <c r="AH478" i="2"/>
  <c r="AH479" i="2"/>
  <c r="AH480" i="2"/>
  <c r="AH481" i="2"/>
  <c r="AH482" i="2"/>
  <c r="AH483" i="2"/>
  <c r="AH484" i="2"/>
  <c r="AH485" i="2"/>
  <c r="AH486" i="2"/>
  <c r="AH487" i="2"/>
  <c r="AH488" i="2"/>
  <c r="AH489" i="2"/>
  <c r="AH490" i="2"/>
  <c r="AH491" i="2"/>
  <c r="AH492" i="2"/>
  <c r="AH493" i="2"/>
  <c r="AH494" i="2"/>
  <c r="AH495" i="2"/>
  <c r="AH496" i="2"/>
  <c r="AH497" i="2"/>
  <c r="AH498" i="2"/>
  <c r="AH499" i="2"/>
  <c r="AH500" i="2"/>
  <c r="AH501" i="2"/>
  <c r="AH502" i="2"/>
  <c r="AH503" i="2"/>
  <c r="AH504" i="2"/>
  <c r="AH505" i="2"/>
  <c r="AH506" i="2"/>
  <c r="AH507" i="2"/>
  <c r="AH508" i="2"/>
  <c r="AH509" i="2"/>
  <c r="AH510" i="2"/>
  <c r="AH511" i="2"/>
  <c r="AH512" i="2"/>
  <c r="AH513" i="2"/>
  <c r="AH514" i="2"/>
  <c r="AH515" i="2"/>
  <c r="AH516" i="2"/>
  <c r="AH517" i="2"/>
  <c r="AH518" i="2"/>
  <c r="AH519" i="2"/>
  <c r="AH520" i="2"/>
  <c r="AH521" i="2"/>
  <c r="AH522" i="2"/>
  <c r="AH523" i="2"/>
  <c r="AH524" i="2"/>
  <c r="AH525" i="2"/>
  <c r="AH526" i="2"/>
  <c r="AH527" i="2"/>
  <c r="AH528" i="2"/>
  <c r="AH529" i="2"/>
  <c r="AH530" i="2"/>
  <c r="AH531" i="2"/>
  <c r="AH532" i="2"/>
  <c r="AH533" i="2"/>
  <c r="AH534" i="2"/>
  <c r="AH535" i="2"/>
  <c r="AH536" i="2"/>
  <c r="AH537" i="2"/>
  <c r="AH538" i="2"/>
  <c r="AH539" i="2"/>
  <c r="AH540" i="2"/>
  <c r="AH541" i="2"/>
  <c r="AH542" i="2"/>
  <c r="AH543" i="2"/>
  <c r="AH544" i="2"/>
  <c r="AH545" i="2"/>
  <c r="AH546" i="2"/>
  <c r="AH547" i="2"/>
  <c r="AH548" i="2"/>
  <c r="AH549" i="2"/>
  <c r="AH550" i="2"/>
  <c r="AH551" i="2"/>
  <c r="AH552" i="2"/>
  <c r="AH553" i="2"/>
  <c r="AH554" i="2"/>
  <c r="AH555" i="2"/>
  <c r="AH556" i="2"/>
  <c r="AH557" i="2"/>
  <c r="AH558" i="2"/>
  <c r="AH559" i="2"/>
  <c r="AH560" i="2"/>
  <c r="AH561" i="2"/>
  <c r="AH562" i="2"/>
  <c r="AH563" i="2"/>
  <c r="AH564" i="2"/>
  <c r="AH565" i="2"/>
  <c r="AH566" i="2"/>
  <c r="AH567" i="2"/>
  <c r="AH568" i="2"/>
  <c r="AH569" i="2"/>
  <c r="AH570" i="2"/>
  <c r="AH571" i="2"/>
  <c r="AH572" i="2"/>
  <c r="AH573" i="2"/>
  <c r="AH574" i="2"/>
  <c r="AH575" i="2"/>
  <c r="AH576" i="2"/>
  <c r="AH577" i="2"/>
  <c r="AH578" i="2"/>
  <c r="AH579" i="2"/>
  <c r="AH580" i="2"/>
  <c r="AH581" i="2"/>
  <c r="AH582" i="2"/>
  <c r="AH583" i="2"/>
  <c r="AH584" i="2"/>
  <c r="AH585" i="2"/>
  <c r="AH586" i="2"/>
  <c r="AH587" i="2"/>
  <c r="AH588" i="2"/>
  <c r="AH589" i="2"/>
  <c r="AH590" i="2"/>
  <c r="AH591" i="2"/>
  <c r="AH592" i="2"/>
  <c r="AH593" i="2"/>
  <c r="AH594" i="2"/>
  <c r="AH595" i="2"/>
  <c r="AH596" i="2"/>
  <c r="AH597" i="2"/>
  <c r="AH598" i="2"/>
  <c r="AH599" i="2"/>
  <c r="AH600" i="2"/>
  <c r="AH601" i="2"/>
  <c r="AH602" i="2"/>
  <c r="AH603" i="2"/>
  <c r="AH604" i="2"/>
  <c r="AH605" i="2"/>
  <c r="AH606" i="2"/>
  <c r="AH607" i="2"/>
  <c r="AH608" i="2"/>
  <c r="AH609" i="2"/>
  <c r="AH610" i="2"/>
  <c r="AH611" i="2"/>
  <c r="AH612" i="2"/>
  <c r="AH613" i="2"/>
  <c r="AH614" i="2"/>
  <c r="AH615" i="2"/>
  <c r="AH616" i="2"/>
  <c r="AH617" i="2"/>
  <c r="AH618" i="2"/>
  <c r="AH619" i="2"/>
  <c r="AH620" i="2"/>
  <c r="AH621" i="2"/>
  <c r="AH622" i="2"/>
  <c r="AH623" i="2"/>
  <c r="AH624" i="2"/>
  <c r="AH625" i="2"/>
  <c r="AH626" i="2"/>
  <c r="AH627" i="2"/>
  <c r="AH628" i="2"/>
  <c r="AH629" i="2"/>
  <c r="AH630" i="2"/>
  <c r="AH631" i="2"/>
  <c r="AH632" i="2"/>
  <c r="AH633" i="2"/>
  <c r="AH634" i="2"/>
  <c r="AH635" i="2"/>
  <c r="AH636" i="2"/>
  <c r="AH637" i="2"/>
  <c r="AH638" i="2"/>
  <c r="AH639" i="2"/>
  <c r="AH640" i="2"/>
  <c r="AH641" i="2"/>
  <c r="AH642" i="2"/>
  <c r="AH643" i="2"/>
  <c r="AH644" i="2"/>
  <c r="AH645" i="2"/>
  <c r="AH646" i="2"/>
  <c r="AH647" i="2"/>
  <c r="AH648" i="2"/>
  <c r="AH649" i="2"/>
  <c r="AH650" i="2"/>
  <c r="AH651" i="2"/>
  <c r="AH652" i="2"/>
  <c r="AH653" i="2"/>
  <c r="AH654" i="2"/>
  <c r="AH655" i="2"/>
  <c r="AH656" i="2"/>
  <c r="AH657" i="2"/>
  <c r="AH658" i="2"/>
  <c r="AH659" i="2"/>
  <c r="AH660" i="2"/>
  <c r="AH661" i="2"/>
  <c r="AH662" i="2"/>
  <c r="AH663" i="2"/>
  <c r="AH664" i="2"/>
  <c r="AH665" i="2"/>
  <c r="AH666" i="2"/>
  <c r="AH667" i="2"/>
  <c r="AH668" i="2"/>
  <c r="AH669" i="2"/>
  <c r="AH670" i="2"/>
  <c r="AH671" i="2"/>
  <c r="AH672" i="2"/>
  <c r="AH673" i="2"/>
  <c r="AH674" i="2"/>
  <c r="AH675" i="2"/>
  <c r="AH676" i="2"/>
  <c r="AH677" i="2"/>
  <c r="AH678" i="2"/>
  <c r="AH679" i="2"/>
  <c r="AH680" i="2"/>
  <c r="AH681" i="2"/>
  <c r="AH682" i="2"/>
  <c r="AH683" i="2"/>
  <c r="AH684" i="2"/>
  <c r="AH685" i="2"/>
  <c r="AH686" i="2"/>
  <c r="AH687" i="2"/>
  <c r="AH688" i="2"/>
  <c r="AH689" i="2"/>
  <c r="AH690" i="2"/>
  <c r="AH691" i="2"/>
  <c r="AH692" i="2"/>
  <c r="AH693" i="2"/>
  <c r="AH694" i="2"/>
  <c r="AH695" i="2"/>
  <c r="AH696" i="2"/>
  <c r="AH697" i="2"/>
  <c r="AH698" i="2"/>
  <c r="AH699" i="2"/>
  <c r="AH700" i="2"/>
  <c r="AH701" i="2"/>
  <c r="AH702" i="2"/>
  <c r="AH703" i="2"/>
  <c r="AH704" i="2"/>
  <c r="AH705" i="2"/>
  <c r="AH706" i="2"/>
  <c r="AH707" i="2"/>
  <c r="AH708" i="2"/>
  <c r="AH709" i="2"/>
  <c r="AH710" i="2"/>
  <c r="AH711" i="2"/>
  <c r="AH712" i="2"/>
  <c r="AH713" i="2"/>
  <c r="AH714" i="2"/>
  <c r="AH715" i="2"/>
  <c r="AH716" i="2"/>
  <c r="AH717" i="2"/>
  <c r="AH718" i="2"/>
  <c r="AH719" i="2"/>
  <c r="AH720" i="2"/>
  <c r="AH721" i="2"/>
  <c r="AH722" i="2"/>
  <c r="AH723" i="2"/>
  <c r="AH724" i="2"/>
  <c r="AH725" i="2"/>
  <c r="AH726" i="2"/>
  <c r="AH727" i="2"/>
  <c r="AH728" i="2"/>
  <c r="AH729" i="2"/>
  <c r="AH730" i="2"/>
  <c r="AH731" i="2"/>
  <c r="AH732" i="2"/>
  <c r="AH733" i="2"/>
  <c r="AH734" i="2"/>
  <c r="AH735" i="2"/>
  <c r="AH736" i="2"/>
  <c r="AH737" i="2"/>
  <c r="AH738" i="2"/>
  <c r="AH739" i="2"/>
  <c r="AH740" i="2"/>
  <c r="AH741" i="2"/>
  <c r="AH742" i="2"/>
  <c r="AH743" i="2"/>
  <c r="AH744" i="2"/>
  <c r="AH745" i="2"/>
  <c r="AH746" i="2"/>
  <c r="AH747" i="2"/>
  <c r="AH748" i="2"/>
  <c r="AH749" i="2"/>
  <c r="AH750" i="2"/>
  <c r="AH751" i="2"/>
  <c r="AH752" i="2"/>
  <c r="AH753" i="2"/>
  <c r="AH754" i="2"/>
  <c r="AH755" i="2"/>
  <c r="AH756" i="2"/>
  <c r="AH757" i="2"/>
  <c r="AH758" i="2"/>
  <c r="AH759" i="2"/>
  <c r="AH760" i="2"/>
  <c r="AH761" i="2"/>
  <c r="AH762" i="2"/>
  <c r="AH763" i="2"/>
  <c r="AH764" i="2"/>
  <c r="AH765" i="2"/>
  <c r="AH766" i="2"/>
  <c r="AH767" i="2"/>
  <c r="AH768" i="2"/>
  <c r="AH769" i="2"/>
  <c r="AH770" i="2"/>
  <c r="AH771" i="2"/>
  <c r="AH772" i="2"/>
  <c r="AH773" i="2"/>
  <c r="AH774" i="2"/>
  <c r="AH775" i="2"/>
  <c r="AH776" i="2"/>
  <c r="AH777" i="2"/>
  <c r="AH778" i="2"/>
  <c r="AH779" i="2"/>
  <c r="AH780" i="2"/>
  <c r="AH781" i="2"/>
  <c r="AH782" i="2"/>
  <c r="AH783" i="2"/>
  <c r="AH784" i="2"/>
  <c r="AH785" i="2"/>
  <c r="AH786" i="2"/>
  <c r="AH787" i="2"/>
  <c r="AH788" i="2"/>
  <c r="AH789" i="2"/>
  <c r="AH790" i="2"/>
  <c r="AH791" i="2"/>
  <c r="AH792" i="2"/>
  <c r="AH793" i="2"/>
  <c r="AH794" i="2"/>
  <c r="AH795" i="2"/>
  <c r="AH796" i="2"/>
  <c r="AH797" i="2"/>
  <c r="AH798" i="2"/>
  <c r="AH799" i="2"/>
  <c r="AH800" i="2"/>
  <c r="AH801" i="2"/>
  <c r="AH802" i="2"/>
  <c r="AH803" i="2"/>
  <c r="AH804" i="2"/>
  <c r="AH805" i="2"/>
  <c r="AH806" i="2"/>
  <c r="AH807" i="2"/>
  <c r="AH808" i="2"/>
  <c r="AH809" i="2"/>
  <c r="AH810" i="2"/>
  <c r="AH811" i="2"/>
  <c r="AH812" i="2"/>
  <c r="AH813" i="2"/>
  <c r="AH814" i="2"/>
  <c r="AH815" i="2"/>
  <c r="AH816" i="2"/>
  <c r="AH817" i="2"/>
  <c r="AH818" i="2"/>
  <c r="AH819" i="2"/>
  <c r="AH820" i="2"/>
  <c r="AH821" i="2"/>
  <c r="AH822" i="2"/>
  <c r="AH823" i="2"/>
  <c r="AH824" i="2"/>
  <c r="AH825" i="2"/>
  <c r="AH826" i="2"/>
  <c r="AH827" i="2"/>
  <c r="AH828" i="2"/>
  <c r="AH829" i="2"/>
  <c r="AH830" i="2"/>
  <c r="AH831" i="2"/>
  <c r="AH832" i="2"/>
  <c r="AH833" i="2"/>
  <c r="AH834" i="2"/>
  <c r="AH835" i="2"/>
  <c r="AH836" i="2"/>
  <c r="AH837" i="2"/>
  <c r="AH838" i="2"/>
  <c r="AH839" i="2"/>
  <c r="AH840" i="2"/>
  <c r="AH841" i="2"/>
  <c r="AH842" i="2"/>
  <c r="AH843" i="2"/>
  <c r="AH844" i="2"/>
  <c r="AH845" i="2"/>
  <c r="AH846" i="2"/>
  <c r="AH847" i="2"/>
  <c r="AH848" i="2"/>
  <c r="AH849" i="2"/>
  <c r="AH850" i="2"/>
  <c r="AH851" i="2"/>
  <c r="AH852" i="2"/>
  <c r="AH853" i="2"/>
  <c r="AH854" i="2"/>
  <c r="AH855" i="2"/>
  <c r="AH856" i="2"/>
  <c r="AH857" i="2"/>
  <c r="AH858" i="2"/>
  <c r="AH859" i="2"/>
  <c r="AH860" i="2"/>
  <c r="AH861" i="2"/>
  <c r="AH862" i="2"/>
  <c r="AH863" i="2"/>
  <c r="AH864" i="2"/>
  <c r="AH865" i="2"/>
  <c r="AH866" i="2"/>
  <c r="AH867" i="2"/>
  <c r="AH868" i="2"/>
  <c r="AH869" i="2"/>
  <c r="AH870" i="2"/>
  <c r="AH871" i="2"/>
  <c r="AH872" i="2"/>
  <c r="AH873" i="2"/>
  <c r="AH874" i="2"/>
  <c r="AH875" i="2"/>
  <c r="AH876" i="2"/>
  <c r="AH877" i="2"/>
  <c r="AH878" i="2"/>
  <c r="AH879" i="2"/>
  <c r="AH880" i="2"/>
  <c r="AH881" i="2"/>
  <c r="AH882" i="2"/>
  <c r="AH883" i="2"/>
  <c r="AH884" i="2"/>
  <c r="AH885" i="2"/>
  <c r="AH886" i="2"/>
  <c r="AH887" i="2"/>
  <c r="AH888" i="2"/>
  <c r="AH889" i="2"/>
  <c r="AH890" i="2"/>
  <c r="AH891" i="2"/>
  <c r="AH892" i="2"/>
  <c r="AH893" i="2"/>
  <c r="AH894" i="2"/>
  <c r="AH895" i="2"/>
  <c r="AH896" i="2"/>
  <c r="AH897" i="2"/>
  <c r="AH898" i="2"/>
  <c r="AH899" i="2"/>
  <c r="AH900" i="2"/>
  <c r="AH901" i="2"/>
  <c r="AH902" i="2"/>
  <c r="AH903" i="2"/>
  <c r="AH904" i="2"/>
  <c r="AH905" i="2"/>
  <c r="AH906" i="2"/>
  <c r="AH907" i="2"/>
  <c r="AH908" i="2"/>
  <c r="AH909" i="2"/>
  <c r="AH910" i="2"/>
  <c r="AH911" i="2"/>
  <c r="AH912" i="2"/>
  <c r="AH913" i="2"/>
  <c r="AH914" i="2"/>
  <c r="AH915" i="2"/>
  <c r="AH916" i="2"/>
  <c r="AH917" i="2"/>
  <c r="AH918" i="2"/>
  <c r="AH919" i="2"/>
  <c r="AH920" i="2"/>
  <c r="AH921" i="2"/>
  <c r="AH922" i="2"/>
  <c r="AH923" i="2"/>
  <c r="AH924" i="2"/>
  <c r="AH925" i="2"/>
  <c r="AH926" i="2"/>
  <c r="AH927" i="2"/>
  <c r="AH928" i="2"/>
  <c r="AH929" i="2"/>
  <c r="AH930" i="2"/>
  <c r="AH931" i="2"/>
  <c r="AH932" i="2"/>
  <c r="AH933" i="2"/>
  <c r="AH934" i="2"/>
  <c r="AH935" i="2"/>
  <c r="AH936" i="2"/>
  <c r="AH937" i="2"/>
  <c r="AH938" i="2"/>
  <c r="AH939" i="2"/>
  <c r="AH940" i="2"/>
  <c r="AH941" i="2"/>
  <c r="AH942" i="2"/>
  <c r="AH943" i="2"/>
  <c r="AH944" i="2"/>
  <c r="AH945" i="2"/>
  <c r="AH946" i="2"/>
  <c r="AH947" i="2"/>
  <c r="AH948" i="2"/>
  <c r="AH949" i="2"/>
  <c r="AH950" i="2"/>
  <c r="AH951" i="2"/>
  <c r="AH952" i="2"/>
  <c r="AH953" i="2"/>
  <c r="AH954" i="2"/>
  <c r="AH955" i="2"/>
  <c r="AH956" i="2"/>
  <c r="AH957" i="2"/>
  <c r="AH958" i="2"/>
  <c r="AH959" i="2"/>
  <c r="AH960" i="2"/>
  <c r="AH961" i="2"/>
  <c r="AH962" i="2"/>
  <c r="AH963" i="2"/>
  <c r="AH964" i="2"/>
  <c r="AH965" i="2"/>
  <c r="AH966" i="2"/>
  <c r="AH967" i="2"/>
  <c r="AH968" i="2"/>
  <c r="AH969" i="2"/>
  <c r="AH970" i="2"/>
  <c r="AH971" i="2"/>
  <c r="AH972" i="2"/>
  <c r="AH973" i="2"/>
  <c r="AH974" i="2"/>
  <c r="AH975" i="2"/>
  <c r="AH976" i="2"/>
  <c r="AH977" i="2"/>
  <c r="AH978" i="2"/>
  <c r="AH979" i="2"/>
  <c r="AH980" i="2"/>
  <c r="AH981" i="2"/>
  <c r="AH982" i="2"/>
  <c r="AH983" i="2"/>
  <c r="AH984" i="2"/>
  <c r="AH985" i="2"/>
  <c r="AH986" i="2"/>
  <c r="AH987" i="2"/>
  <c r="AH988" i="2"/>
  <c r="AH989" i="2"/>
  <c r="AH990" i="2"/>
  <c r="AH991" i="2"/>
  <c r="AH992" i="2"/>
  <c r="AH993" i="2"/>
  <c r="AH994" i="2"/>
  <c r="AH995" i="2"/>
  <c r="AH996" i="2"/>
  <c r="AH997" i="2"/>
  <c r="AH998" i="2"/>
  <c r="AH999" i="2"/>
  <c r="AH1000" i="2"/>
  <c r="AH1001" i="2"/>
  <c r="AO1003" i="2" a="1"/>
  <c r="AO1003" i="2"/>
  <c r="AP1003" i="2" a="1"/>
  <c r="AP1003" i="2"/>
  <c r="AQ1003" i="2" a="1"/>
  <c r="AQ1003" i="2"/>
  <c r="AR1003" i="2" a="1"/>
  <c r="AR1003" i="2"/>
  <c r="AS1003" i="2" a="1"/>
  <c r="AS1003" i="2"/>
  <c r="AT1003" i="2" a="1"/>
  <c r="AT1003" i="2"/>
  <c r="AU1003" i="2" a="1"/>
  <c r="AU1003" i="2"/>
  <c r="AV1003" i="2" a="1"/>
  <c r="AV1003" i="2"/>
  <c r="AW1003" i="2" a="1"/>
  <c r="AW1003" i="2"/>
  <c r="AX1003" i="2" a="1"/>
  <c r="AX1003" i="2"/>
  <c r="AY1003" i="2" a="1"/>
  <c r="AY1003" i="2"/>
  <c r="AZ1003" i="2" a="1"/>
  <c r="AZ1003" i="2"/>
  <c r="BA1003" i="2" a="1"/>
  <c r="BA1003" i="2"/>
  <c r="BB1003" i="2" a="1"/>
  <c r="BB1003" i="2"/>
  <c r="BC1003" i="2" a="1"/>
  <c r="BC1003" i="2"/>
  <c r="BD1003" i="2" a="1"/>
  <c r="BD1003" i="2"/>
  <c r="BE1003" i="2" a="1"/>
  <c r="BE1003" i="2"/>
  <c r="BF1003" i="2" a="1"/>
  <c r="BF1003" i="2"/>
  <c r="BG1003" i="2" a="1"/>
  <c r="BG1003" i="2"/>
  <c r="BH1003" i="2" a="1"/>
  <c r="BH1003" i="2"/>
  <c r="BI1003" i="2" a="1"/>
  <c r="BI1003" i="2"/>
  <c r="BJ1003" i="2" a="1"/>
  <c r="BJ1003" i="2"/>
  <c r="BK1003" i="2" a="1"/>
  <c r="BK1003" i="2"/>
  <c r="BL1003" i="2" a="1"/>
  <c r="BL1003" i="2"/>
  <c r="BM1003" i="2" a="1"/>
  <c r="BM1003" i="2"/>
  <c r="BN1003" i="2" a="1"/>
  <c r="BN1003" i="2"/>
  <c r="BO1003" i="2" a="1"/>
  <c r="BO1003" i="2"/>
  <c r="BP1003" i="2" a="1"/>
  <c r="BP1003" i="2"/>
  <c r="BQ1003" i="2" a="1"/>
  <c r="BQ1003" i="2"/>
  <c r="AO1005" i="2" a="1"/>
  <c r="AP1005" i="2"/>
  <c r="AQ1005" i="2"/>
  <c r="AR1005" i="2"/>
  <c r="AS1005" i="2"/>
  <c r="AT1005" i="2"/>
  <c r="AU1005" i="2"/>
  <c r="AV1005" i="2"/>
  <c r="AW1005" i="2"/>
  <c r="AX1005" i="2"/>
  <c r="AY1005" i="2"/>
  <c r="AZ1005" i="2"/>
  <c r="BA1005" i="2"/>
  <c r="BB1005" i="2"/>
  <c r="BC1005" i="2"/>
  <c r="BD1005" i="2"/>
  <c r="BE1005" i="2"/>
  <c r="BF1005" i="2"/>
  <c r="BG1005" i="2"/>
  <c r="BH1005" i="2"/>
  <c r="BI1005" i="2"/>
  <c r="BJ1005" i="2"/>
  <c r="BK1005" i="2"/>
  <c r="BL1005" i="2"/>
  <c r="BM1005" i="2"/>
  <c r="BN1005" i="2"/>
  <c r="BO1005" i="2"/>
  <c r="BP1005" i="2"/>
  <c r="BQ1005" i="2"/>
  <c r="AO1005" i="2"/>
  <c r="AO1006" i="2" a="1"/>
  <c r="AO1006" i="2"/>
  <c r="AP1006" i="2"/>
  <c r="AQ1006" i="2"/>
  <c r="AR1006" i="2"/>
  <c r="AS1006" i="2"/>
  <c r="AT1006" i="2"/>
  <c r="AU1006" i="2"/>
  <c r="AV1006" i="2"/>
  <c r="AW1006" i="2"/>
  <c r="AX1006" i="2"/>
  <c r="AY1006" i="2"/>
  <c r="AZ1006" i="2"/>
  <c r="BA1006" i="2"/>
  <c r="BB1006" i="2"/>
  <c r="BC1006" i="2"/>
  <c r="BD1006" i="2"/>
  <c r="BE1006" i="2"/>
  <c r="BF1006" i="2"/>
  <c r="BG1006" i="2"/>
  <c r="BH1006" i="2"/>
  <c r="BI1006" i="2"/>
  <c r="BJ1006" i="2"/>
  <c r="BK1006" i="2"/>
  <c r="BL1006" i="2"/>
  <c r="BM1006" i="2"/>
  <c r="BN1006" i="2"/>
  <c r="BO1006" i="2"/>
  <c r="BP1006" i="2"/>
  <c r="BQ1006" i="2"/>
  <c r="AD1001" i="2"/>
  <c r="AC1001" i="2"/>
  <c r="AB1001" i="2"/>
  <c r="AA1001" i="2"/>
  <c r="Z1001" i="2"/>
  <c r="Y1001" i="2"/>
  <c r="X1001" i="2"/>
  <c r="W1001" i="2"/>
  <c r="V1001" i="2"/>
  <c r="U1001" i="2"/>
  <c r="T1001" i="2"/>
  <c r="S1001" i="2"/>
  <c r="R1001" i="2"/>
  <c r="Q1001" i="2"/>
  <c r="P1001" i="2"/>
  <c r="O1001" i="2"/>
  <c r="N1001" i="2"/>
  <c r="M1001" i="2"/>
  <c r="L1001" i="2"/>
  <c r="K1001" i="2"/>
  <c r="J1001" i="2"/>
  <c r="I1001" i="2"/>
  <c r="H1001" i="2"/>
  <c r="G1001" i="2"/>
  <c r="F1001" i="2"/>
  <c r="E1001" i="2"/>
  <c r="D1001" i="2"/>
  <c r="C1001" i="2"/>
  <c r="B1001" i="2"/>
  <c r="A1001" i="2"/>
  <c r="AD1000" i="2"/>
  <c r="AC1000" i="2"/>
  <c r="AB1000" i="2"/>
  <c r="AA1000" i="2"/>
  <c r="Z1000" i="2"/>
  <c r="Y1000" i="2"/>
  <c r="X1000" i="2"/>
  <c r="W1000" i="2"/>
  <c r="V1000" i="2"/>
  <c r="U1000" i="2"/>
  <c r="T1000" i="2"/>
  <c r="S1000" i="2"/>
  <c r="R1000" i="2"/>
  <c r="Q1000" i="2"/>
  <c r="P1000" i="2"/>
  <c r="O1000" i="2"/>
  <c r="N1000" i="2"/>
  <c r="M1000" i="2"/>
  <c r="L1000" i="2"/>
  <c r="K1000" i="2"/>
  <c r="J1000" i="2"/>
  <c r="I1000" i="2"/>
  <c r="H1000" i="2"/>
  <c r="G1000" i="2"/>
  <c r="F1000" i="2"/>
  <c r="E1000" i="2"/>
  <c r="D1000" i="2"/>
  <c r="C1000" i="2"/>
  <c r="B1000" i="2"/>
  <c r="A1000" i="2"/>
  <c r="AD999" i="2"/>
  <c r="AC999" i="2"/>
  <c r="AB999" i="2"/>
  <c r="AA999" i="2"/>
  <c r="Z999" i="2"/>
  <c r="Y999" i="2"/>
  <c r="X999" i="2"/>
  <c r="W999" i="2"/>
  <c r="V999" i="2"/>
  <c r="U999" i="2"/>
  <c r="T999" i="2"/>
  <c r="S999" i="2"/>
  <c r="R999" i="2"/>
  <c r="Q999" i="2"/>
  <c r="P999" i="2"/>
  <c r="O999" i="2"/>
  <c r="N999" i="2"/>
  <c r="M999" i="2"/>
  <c r="L999" i="2"/>
  <c r="K999" i="2"/>
  <c r="J999" i="2"/>
  <c r="I999" i="2"/>
  <c r="H999" i="2"/>
  <c r="G999" i="2"/>
  <c r="F999" i="2"/>
  <c r="E999" i="2"/>
  <c r="D999" i="2"/>
  <c r="C999" i="2"/>
  <c r="B999" i="2"/>
  <c r="A999" i="2"/>
  <c r="AD998" i="2"/>
  <c r="AC998" i="2"/>
  <c r="AB998" i="2"/>
  <c r="AA998" i="2"/>
  <c r="Z998" i="2"/>
  <c r="Y998" i="2"/>
  <c r="X998" i="2"/>
  <c r="W998" i="2"/>
  <c r="V998" i="2"/>
  <c r="U998" i="2"/>
  <c r="T998" i="2"/>
  <c r="S998" i="2"/>
  <c r="R998" i="2"/>
  <c r="Q998" i="2"/>
  <c r="P998" i="2"/>
  <c r="O998" i="2"/>
  <c r="N998" i="2"/>
  <c r="M998" i="2"/>
  <c r="L998" i="2"/>
  <c r="K998" i="2"/>
  <c r="J998" i="2"/>
  <c r="I998" i="2"/>
  <c r="H998" i="2"/>
  <c r="G998" i="2"/>
  <c r="F998" i="2"/>
  <c r="E998" i="2"/>
  <c r="D998" i="2"/>
  <c r="C998" i="2"/>
  <c r="B998" i="2"/>
  <c r="A998" i="2"/>
  <c r="AD997" i="2"/>
  <c r="AC997" i="2"/>
  <c r="AB997" i="2"/>
  <c r="AA997" i="2"/>
  <c r="Z997" i="2"/>
  <c r="Y997" i="2"/>
  <c r="X997" i="2"/>
  <c r="W997" i="2"/>
  <c r="V997" i="2"/>
  <c r="U997" i="2"/>
  <c r="T997" i="2"/>
  <c r="S997" i="2"/>
  <c r="R997" i="2"/>
  <c r="Q997" i="2"/>
  <c r="P997" i="2"/>
  <c r="O997" i="2"/>
  <c r="N997" i="2"/>
  <c r="M997" i="2"/>
  <c r="L997" i="2"/>
  <c r="K997" i="2"/>
  <c r="J997" i="2"/>
  <c r="I997" i="2"/>
  <c r="H997" i="2"/>
  <c r="G997" i="2"/>
  <c r="F997" i="2"/>
  <c r="E997" i="2"/>
  <c r="D997" i="2"/>
  <c r="C997" i="2"/>
  <c r="B997" i="2"/>
  <c r="A997" i="2"/>
  <c r="AD996" i="2"/>
  <c r="AC996" i="2"/>
  <c r="AB996" i="2"/>
  <c r="AA996" i="2"/>
  <c r="Z996" i="2"/>
  <c r="Y996" i="2"/>
  <c r="X996" i="2"/>
  <c r="W996" i="2"/>
  <c r="V996" i="2"/>
  <c r="U996" i="2"/>
  <c r="T996" i="2"/>
  <c r="S996" i="2"/>
  <c r="R996" i="2"/>
  <c r="Q996" i="2"/>
  <c r="P996" i="2"/>
  <c r="O996" i="2"/>
  <c r="N996" i="2"/>
  <c r="M996" i="2"/>
  <c r="L996" i="2"/>
  <c r="K996" i="2"/>
  <c r="J996" i="2"/>
  <c r="I996" i="2"/>
  <c r="H996" i="2"/>
  <c r="G996" i="2"/>
  <c r="F996" i="2"/>
  <c r="E996" i="2"/>
  <c r="D996" i="2"/>
  <c r="C996" i="2"/>
  <c r="B996" i="2"/>
  <c r="A996" i="2"/>
  <c r="AD995" i="2"/>
  <c r="AC995" i="2"/>
  <c r="AB995" i="2"/>
  <c r="AA995" i="2"/>
  <c r="Z995" i="2"/>
  <c r="Y995" i="2"/>
  <c r="X995" i="2"/>
  <c r="W995" i="2"/>
  <c r="V995" i="2"/>
  <c r="U995" i="2"/>
  <c r="T995" i="2"/>
  <c r="S995" i="2"/>
  <c r="R995" i="2"/>
  <c r="Q995" i="2"/>
  <c r="P995" i="2"/>
  <c r="O995" i="2"/>
  <c r="N995" i="2"/>
  <c r="M995" i="2"/>
  <c r="L995" i="2"/>
  <c r="K995" i="2"/>
  <c r="J995" i="2"/>
  <c r="I995" i="2"/>
  <c r="H995" i="2"/>
  <c r="G995" i="2"/>
  <c r="F995" i="2"/>
  <c r="E995" i="2"/>
  <c r="D995" i="2"/>
  <c r="C995" i="2"/>
  <c r="B995" i="2"/>
  <c r="A995" i="2"/>
  <c r="AD994" i="2"/>
  <c r="AC994" i="2"/>
  <c r="AB994" i="2"/>
  <c r="AA994" i="2"/>
  <c r="Z994" i="2"/>
  <c r="Y994" i="2"/>
  <c r="X994" i="2"/>
  <c r="W994" i="2"/>
  <c r="V994" i="2"/>
  <c r="U994" i="2"/>
  <c r="T994" i="2"/>
  <c r="S994" i="2"/>
  <c r="R994" i="2"/>
  <c r="Q994" i="2"/>
  <c r="P994" i="2"/>
  <c r="O994" i="2"/>
  <c r="N994" i="2"/>
  <c r="M994" i="2"/>
  <c r="L994" i="2"/>
  <c r="K994" i="2"/>
  <c r="J994" i="2"/>
  <c r="I994" i="2"/>
  <c r="H994" i="2"/>
  <c r="G994" i="2"/>
  <c r="F994" i="2"/>
  <c r="E994" i="2"/>
  <c r="D994" i="2"/>
  <c r="C994" i="2"/>
  <c r="B994" i="2"/>
  <c r="A994" i="2"/>
  <c r="AD993" i="2"/>
  <c r="AC993" i="2"/>
  <c r="AB993" i="2"/>
  <c r="AA993" i="2"/>
  <c r="Z993" i="2"/>
  <c r="Y993" i="2"/>
  <c r="X993" i="2"/>
  <c r="W993" i="2"/>
  <c r="V993" i="2"/>
  <c r="U993" i="2"/>
  <c r="T993" i="2"/>
  <c r="S993" i="2"/>
  <c r="R993" i="2"/>
  <c r="Q993" i="2"/>
  <c r="P993" i="2"/>
  <c r="O993" i="2"/>
  <c r="N993" i="2"/>
  <c r="M993" i="2"/>
  <c r="L993" i="2"/>
  <c r="K993" i="2"/>
  <c r="J993" i="2"/>
  <c r="I993" i="2"/>
  <c r="H993" i="2"/>
  <c r="G993" i="2"/>
  <c r="F993" i="2"/>
  <c r="E993" i="2"/>
  <c r="D993" i="2"/>
  <c r="C993" i="2"/>
  <c r="B993" i="2"/>
  <c r="A993" i="2"/>
  <c r="AD992" i="2"/>
  <c r="AC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D991" i="2"/>
  <c r="AC991" i="2"/>
  <c r="AB991" i="2"/>
  <c r="AA991" i="2"/>
  <c r="Z991" i="2"/>
  <c r="Y991" i="2"/>
  <c r="X991" i="2"/>
  <c r="W991" i="2"/>
  <c r="V991" i="2"/>
  <c r="U991" i="2"/>
  <c r="T991" i="2"/>
  <c r="S991" i="2"/>
  <c r="R991" i="2"/>
  <c r="Q991" i="2"/>
  <c r="P991" i="2"/>
  <c r="O991" i="2"/>
  <c r="N991" i="2"/>
  <c r="M991" i="2"/>
  <c r="L991" i="2"/>
  <c r="K991" i="2"/>
  <c r="J991" i="2"/>
  <c r="I991" i="2"/>
  <c r="H991" i="2"/>
  <c r="G991" i="2"/>
  <c r="F991" i="2"/>
  <c r="E991" i="2"/>
  <c r="D991" i="2"/>
  <c r="C991" i="2"/>
  <c r="B991" i="2"/>
  <c r="A991" i="2"/>
  <c r="AD990" i="2"/>
  <c r="AC990" i="2"/>
  <c r="AB990" i="2"/>
  <c r="AA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D989" i="2"/>
  <c r="AC989"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AD988" i="2"/>
  <c r="AC988" i="2"/>
  <c r="AB988" i="2"/>
  <c r="AA988" i="2"/>
  <c r="Z988" i="2"/>
  <c r="Y988" i="2"/>
  <c r="X988" i="2"/>
  <c r="W988" i="2"/>
  <c r="V988" i="2"/>
  <c r="U988" i="2"/>
  <c r="T988" i="2"/>
  <c r="S988" i="2"/>
  <c r="R988" i="2"/>
  <c r="Q988" i="2"/>
  <c r="P988" i="2"/>
  <c r="O988" i="2"/>
  <c r="N988" i="2"/>
  <c r="M988" i="2"/>
  <c r="L988" i="2"/>
  <c r="K988" i="2"/>
  <c r="J988" i="2"/>
  <c r="I988" i="2"/>
  <c r="H988" i="2"/>
  <c r="G988" i="2"/>
  <c r="F988" i="2"/>
  <c r="E988" i="2"/>
  <c r="D988" i="2"/>
  <c r="C988" i="2"/>
  <c r="B988" i="2"/>
  <c r="A988" i="2"/>
  <c r="AD987" i="2"/>
  <c r="AC987" i="2"/>
  <c r="AB987" i="2"/>
  <c r="AA987" i="2"/>
  <c r="Z987" i="2"/>
  <c r="Y987" i="2"/>
  <c r="X987" i="2"/>
  <c r="W987" i="2"/>
  <c r="V987" i="2"/>
  <c r="U987" i="2"/>
  <c r="T987" i="2"/>
  <c r="S987" i="2"/>
  <c r="R987" i="2"/>
  <c r="Q987" i="2"/>
  <c r="P987" i="2"/>
  <c r="O987" i="2"/>
  <c r="N987" i="2"/>
  <c r="M987" i="2"/>
  <c r="L987" i="2"/>
  <c r="K987" i="2"/>
  <c r="J987" i="2"/>
  <c r="I987" i="2"/>
  <c r="H987" i="2"/>
  <c r="G987" i="2"/>
  <c r="F987" i="2"/>
  <c r="E987" i="2"/>
  <c r="D987" i="2"/>
  <c r="C987" i="2"/>
  <c r="B987" i="2"/>
  <c r="A987" i="2"/>
  <c r="AD986" i="2"/>
  <c r="AC986" i="2"/>
  <c r="AB986" i="2"/>
  <c r="AA986" i="2"/>
  <c r="Z986" i="2"/>
  <c r="Y986" i="2"/>
  <c r="X986" i="2"/>
  <c r="W986" i="2"/>
  <c r="V986" i="2"/>
  <c r="U986" i="2"/>
  <c r="T986" i="2"/>
  <c r="S986" i="2"/>
  <c r="R986" i="2"/>
  <c r="Q986" i="2"/>
  <c r="P986" i="2"/>
  <c r="O986" i="2"/>
  <c r="N986" i="2"/>
  <c r="M986" i="2"/>
  <c r="L986" i="2"/>
  <c r="K986" i="2"/>
  <c r="J986" i="2"/>
  <c r="I986" i="2"/>
  <c r="H986" i="2"/>
  <c r="G986" i="2"/>
  <c r="F986" i="2"/>
  <c r="E986" i="2"/>
  <c r="D986" i="2"/>
  <c r="C986" i="2"/>
  <c r="B986" i="2"/>
  <c r="A986" i="2"/>
  <c r="AD985" i="2"/>
  <c r="AC985" i="2"/>
  <c r="AB985" i="2"/>
  <c r="AA985" i="2"/>
  <c r="Z985" i="2"/>
  <c r="Y985" i="2"/>
  <c r="X985" i="2"/>
  <c r="W985" i="2"/>
  <c r="V985" i="2"/>
  <c r="U985" i="2"/>
  <c r="T985" i="2"/>
  <c r="S985" i="2"/>
  <c r="R985" i="2"/>
  <c r="Q985" i="2"/>
  <c r="P985" i="2"/>
  <c r="O985" i="2"/>
  <c r="N985" i="2"/>
  <c r="M985" i="2"/>
  <c r="L985" i="2"/>
  <c r="K985" i="2"/>
  <c r="J985" i="2"/>
  <c r="I985" i="2"/>
  <c r="H985" i="2"/>
  <c r="G985" i="2"/>
  <c r="F985" i="2"/>
  <c r="E985" i="2"/>
  <c r="D985" i="2"/>
  <c r="C985" i="2"/>
  <c r="B985" i="2"/>
  <c r="A985" i="2"/>
  <c r="AD984" i="2"/>
  <c r="AC984" i="2"/>
  <c r="AB984" i="2"/>
  <c r="AA984" i="2"/>
  <c r="Z984" i="2"/>
  <c r="Y984" i="2"/>
  <c r="X984" i="2"/>
  <c r="W984" i="2"/>
  <c r="V984" i="2"/>
  <c r="U984" i="2"/>
  <c r="T984" i="2"/>
  <c r="S984" i="2"/>
  <c r="R984" i="2"/>
  <c r="Q984" i="2"/>
  <c r="P984" i="2"/>
  <c r="O984" i="2"/>
  <c r="N984" i="2"/>
  <c r="M984" i="2"/>
  <c r="L984" i="2"/>
  <c r="K984" i="2"/>
  <c r="J984" i="2"/>
  <c r="I984" i="2"/>
  <c r="H984" i="2"/>
  <c r="G984" i="2"/>
  <c r="F984" i="2"/>
  <c r="E984" i="2"/>
  <c r="D984" i="2"/>
  <c r="C984" i="2"/>
  <c r="B984" i="2"/>
  <c r="A984" i="2"/>
  <c r="AD983" i="2"/>
  <c r="AC983" i="2"/>
  <c r="AB983" i="2"/>
  <c r="AA983" i="2"/>
  <c r="Z983" i="2"/>
  <c r="Y983" i="2"/>
  <c r="X983" i="2"/>
  <c r="W983" i="2"/>
  <c r="V983" i="2"/>
  <c r="U983" i="2"/>
  <c r="T983" i="2"/>
  <c r="S983" i="2"/>
  <c r="R983" i="2"/>
  <c r="Q983" i="2"/>
  <c r="P983" i="2"/>
  <c r="O983" i="2"/>
  <c r="N983" i="2"/>
  <c r="M983" i="2"/>
  <c r="L983" i="2"/>
  <c r="K983" i="2"/>
  <c r="J983" i="2"/>
  <c r="I983" i="2"/>
  <c r="H983" i="2"/>
  <c r="G983" i="2"/>
  <c r="F983" i="2"/>
  <c r="E983" i="2"/>
  <c r="D983" i="2"/>
  <c r="C983" i="2"/>
  <c r="B983" i="2"/>
  <c r="A983" i="2"/>
  <c r="AD982" i="2"/>
  <c r="AC982" i="2"/>
  <c r="AB982" i="2"/>
  <c r="AA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AD981" i="2"/>
  <c r="AC981" i="2"/>
  <c r="AB981" i="2"/>
  <c r="AA981" i="2"/>
  <c r="Z981" i="2"/>
  <c r="Y981" i="2"/>
  <c r="X981" i="2"/>
  <c r="W981" i="2"/>
  <c r="V981" i="2"/>
  <c r="U981" i="2"/>
  <c r="T981" i="2"/>
  <c r="S981" i="2"/>
  <c r="R981" i="2"/>
  <c r="Q981" i="2"/>
  <c r="P981" i="2"/>
  <c r="O981" i="2"/>
  <c r="N981" i="2"/>
  <c r="M981" i="2"/>
  <c r="L981" i="2"/>
  <c r="K981" i="2"/>
  <c r="J981" i="2"/>
  <c r="I981" i="2"/>
  <c r="H981" i="2"/>
  <c r="G981" i="2"/>
  <c r="F981" i="2"/>
  <c r="E981" i="2"/>
  <c r="D981" i="2"/>
  <c r="C981" i="2"/>
  <c r="B981" i="2"/>
  <c r="A981" i="2"/>
  <c r="AD980" i="2"/>
  <c r="AC980" i="2"/>
  <c r="AB980" i="2"/>
  <c r="AA980" i="2"/>
  <c r="Z980" i="2"/>
  <c r="Y980" i="2"/>
  <c r="X980" i="2"/>
  <c r="W980" i="2"/>
  <c r="V980" i="2"/>
  <c r="U980" i="2"/>
  <c r="T980" i="2"/>
  <c r="S980" i="2"/>
  <c r="R980" i="2"/>
  <c r="Q980" i="2"/>
  <c r="P980" i="2"/>
  <c r="O980" i="2"/>
  <c r="N980" i="2"/>
  <c r="M980" i="2"/>
  <c r="L980" i="2"/>
  <c r="K980" i="2"/>
  <c r="J980" i="2"/>
  <c r="I980" i="2"/>
  <c r="H980" i="2"/>
  <c r="G980" i="2"/>
  <c r="F980" i="2"/>
  <c r="E980" i="2"/>
  <c r="D980" i="2"/>
  <c r="C980" i="2"/>
  <c r="B980" i="2"/>
  <c r="A980" i="2"/>
  <c r="AD979" i="2"/>
  <c r="AC979" i="2"/>
  <c r="AB979" i="2"/>
  <c r="AA979" i="2"/>
  <c r="Z979" i="2"/>
  <c r="Y979" i="2"/>
  <c r="X979" i="2"/>
  <c r="W979" i="2"/>
  <c r="V979" i="2"/>
  <c r="U979" i="2"/>
  <c r="T979" i="2"/>
  <c r="S979" i="2"/>
  <c r="R979" i="2"/>
  <c r="Q979" i="2"/>
  <c r="P979" i="2"/>
  <c r="O979" i="2"/>
  <c r="N979" i="2"/>
  <c r="M979" i="2"/>
  <c r="L979" i="2"/>
  <c r="K979" i="2"/>
  <c r="J979" i="2"/>
  <c r="I979" i="2"/>
  <c r="H979" i="2"/>
  <c r="G979" i="2"/>
  <c r="F979" i="2"/>
  <c r="E979" i="2"/>
  <c r="D979" i="2"/>
  <c r="C979" i="2"/>
  <c r="B979" i="2"/>
  <c r="A979" i="2"/>
  <c r="AD978" i="2"/>
  <c r="AC978" i="2"/>
  <c r="AB978" i="2"/>
  <c r="AA978" i="2"/>
  <c r="Z978" i="2"/>
  <c r="Y978" i="2"/>
  <c r="X978" i="2"/>
  <c r="W978" i="2"/>
  <c r="V978" i="2"/>
  <c r="U978" i="2"/>
  <c r="T978" i="2"/>
  <c r="S978" i="2"/>
  <c r="R978" i="2"/>
  <c r="Q978" i="2"/>
  <c r="P978" i="2"/>
  <c r="O978" i="2"/>
  <c r="N978" i="2"/>
  <c r="M978" i="2"/>
  <c r="L978" i="2"/>
  <c r="K978" i="2"/>
  <c r="J978" i="2"/>
  <c r="I978" i="2"/>
  <c r="H978" i="2"/>
  <c r="G978" i="2"/>
  <c r="F978" i="2"/>
  <c r="E978" i="2"/>
  <c r="D978" i="2"/>
  <c r="C978" i="2"/>
  <c r="B978" i="2"/>
  <c r="A978" i="2"/>
  <c r="AD977" i="2"/>
  <c r="AC977" i="2"/>
  <c r="AB977" i="2"/>
  <c r="AA977" i="2"/>
  <c r="Z977" i="2"/>
  <c r="Y977" i="2"/>
  <c r="X977" i="2"/>
  <c r="W977" i="2"/>
  <c r="V977" i="2"/>
  <c r="U977" i="2"/>
  <c r="T977" i="2"/>
  <c r="S977" i="2"/>
  <c r="R977" i="2"/>
  <c r="Q977" i="2"/>
  <c r="P977" i="2"/>
  <c r="O977" i="2"/>
  <c r="N977" i="2"/>
  <c r="M977" i="2"/>
  <c r="L977" i="2"/>
  <c r="K977" i="2"/>
  <c r="J977" i="2"/>
  <c r="I977" i="2"/>
  <c r="H977" i="2"/>
  <c r="G977" i="2"/>
  <c r="F977" i="2"/>
  <c r="E977" i="2"/>
  <c r="D977" i="2"/>
  <c r="C977" i="2"/>
  <c r="B977" i="2"/>
  <c r="A977" i="2"/>
  <c r="AD976" i="2"/>
  <c r="AC976" i="2"/>
  <c r="AB976" i="2"/>
  <c r="AA976" i="2"/>
  <c r="Z976" i="2"/>
  <c r="Y976" i="2"/>
  <c r="X976" i="2"/>
  <c r="W976" i="2"/>
  <c r="V976" i="2"/>
  <c r="U976" i="2"/>
  <c r="T976" i="2"/>
  <c r="S976" i="2"/>
  <c r="R976" i="2"/>
  <c r="Q976" i="2"/>
  <c r="P976" i="2"/>
  <c r="O976" i="2"/>
  <c r="N976" i="2"/>
  <c r="M976" i="2"/>
  <c r="L976" i="2"/>
  <c r="K976" i="2"/>
  <c r="J976" i="2"/>
  <c r="I976" i="2"/>
  <c r="H976" i="2"/>
  <c r="G976" i="2"/>
  <c r="F976" i="2"/>
  <c r="E976" i="2"/>
  <c r="D976" i="2"/>
  <c r="C976" i="2"/>
  <c r="B976" i="2"/>
  <c r="A976" i="2"/>
  <c r="AD975" i="2"/>
  <c r="AC975" i="2"/>
  <c r="AB975" i="2"/>
  <c r="AA975" i="2"/>
  <c r="Z975" i="2"/>
  <c r="Y975" i="2"/>
  <c r="X975" i="2"/>
  <c r="W975" i="2"/>
  <c r="V975" i="2"/>
  <c r="U975" i="2"/>
  <c r="T975" i="2"/>
  <c r="S975" i="2"/>
  <c r="R975" i="2"/>
  <c r="Q975" i="2"/>
  <c r="P975" i="2"/>
  <c r="O975" i="2"/>
  <c r="N975" i="2"/>
  <c r="M975" i="2"/>
  <c r="L975" i="2"/>
  <c r="K975" i="2"/>
  <c r="J975" i="2"/>
  <c r="I975" i="2"/>
  <c r="H975" i="2"/>
  <c r="G975" i="2"/>
  <c r="F975" i="2"/>
  <c r="E975" i="2"/>
  <c r="D975" i="2"/>
  <c r="C975" i="2"/>
  <c r="B975" i="2"/>
  <c r="A975" i="2"/>
  <c r="AD974" i="2"/>
  <c r="AC974" i="2"/>
  <c r="AB974" i="2"/>
  <c r="AA974" i="2"/>
  <c r="Z974" i="2"/>
  <c r="Y974" i="2"/>
  <c r="X974" i="2"/>
  <c r="W974" i="2"/>
  <c r="V974" i="2"/>
  <c r="U974" i="2"/>
  <c r="T974" i="2"/>
  <c r="S974" i="2"/>
  <c r="R974" i="2"/>
  <c r="Q974" i="2"/>
  <c r="P974" i="2"/>
  <c r="O974" i="2"/>
  <c r="N974" i="2"/>
  <c r="M974" i="2"/>
  <c r="L974" i="2"/>
  <c r="K974" i="2"/>
  <c r="J974" i="2"/>
  <c r="I974" i="2"/>
  <c r="H974" i="2"/>
  <c r="G974" i="2"/>
  <c r="F974" i="2"/>
  <c r="E974" i="2"/>
  <c r="D974" i="2"/>
  <c r="C974" i="2"/>
  <c r="B974" i="2"/>
  <c r="A974" i="2"/>
  <c r="AD973" i="2"/>
  <c r="AC973" i="2"/>
  <c r="AB973" i="2"/>
  <c r="AA973" i="2"/>
  <c r="Z973" i="2"/>
  <c r="Y973" i="2"/>
  <c r="X973" i="2"/>
  <c r="W973" i="2"/>
  <c r="V973" i="2"/>
  <c r="U973" i="2"/>
  <c r="T973" i="2"/>
  <c r="S973" i="2"/>
  <c r="R973" i="2"/>
  <c r="Q973" i="2"/>
  <c r="P973" i="2"/>
  <c r="O973" i="2"/>
  <c r="N973" i="2"/>
  <c r="M973" i="2"/>
  <c r="L973" i="2"/>
  <c r="K973" i="2"/>
  <c r="J973" i="2"/>
  <c r="I973" i="2"/>
  <c r="H973" i="2"/>
  <c r="G973" i="2"/>
  <c r="F973" i="2"/>
  <c r="E973" i="2"/>
  <c r="D973" i="2"/>
  <c r="C973" i="2"/>
  <c r="B973" i="2"/>
  <c r="A973" i="2"/>
  <c r="AD972" i="2"/>
  <c r="AC972" i="2"/>
  <c r="AB972" i="2"/>
  <c r="AA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D971" i="2"/>
  <c r="AC971" i="2"/>
  <c r="AB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AD970" i="2"/>
  <c r="AC970" i="2"/>
  <c r="AB970" i="2"/>
  <c r="AA970" i="2"/>
  <c r="Z970" i="2"/>
  <c r="Y970" i="2"/>
  <c r="X970" i="2"/>
  <c r="W970" i="2"/>
  <c r="V970" i="2"/>
  <c r="U970" i="2"/>
  <c r="T970" i="2"/>
  <c r="S970" i="2"/>
  <c r="R970" i="2"/>
  <c r="Q970" i="2"/>
  <c r="P970" i="2"/>
  <c r="O970" i="2"/>
  <c r="N970" i="2"/>
  <c r="M970" i="2"/>
  <c r="L970" i="2"/>
  <c r="K970" i="2"/>
  <c r="J970" i="2"/>
  <c r="I970" i="2"/>
  <c r="H970" i="2"/>
  <c r="G970" i="2"/>
  <c r="F970" i="2"/>
  <c r="E970" i="2"/>
  <c r="D970" i="2"/>
  <c r="C970" i="2"/>
  <c r="B970" i="2"/>
  <c r="A970" i="2"/>
  <c r="AD969" i="2"/>
  <c r="AC969" i="2"/>
  <c r="AB969" i="2"/>
  <c r="AA969" i="2"/>
  <c r="Z969" i="2"/>
  <c r="Y969" i="2"/>
  <c r="X969" i="2"/>
  <c r="W969" i="2"/>
  <c r="V969" i="2"/>
  <c r="U969" i="2"/>
  <c r="T969" i="2"/>
  <c r="S969" i="2"/>
  <c r="R969" i="2"/>
  <c r="Q969" i="2"/>
  <c r="P969" i="2"/>
  <c r="O969" i="2"/>
  <c r="N969" i="2"/>
  <c r="M969" i="2"/>
  <c r="L969" i="2"/>
  <c r="K969" i="2"/>
  <c r="J969" i="2"/>
  <c r="I969" i="2"/>
  <c r="H969" i="2"/>
  <c r="G969" i="2"/>
  <c r="F969" i="2"/>
  <c r="E969" i="2"/>
  <c r="D969" i="2"/>
  <c r="C969" i="2"/>
  <c r="B969" i="2"/>
  <c r="A969" i="2"/>
  <c r="AD968" i="2"/>
  <c r="AC968" i="2"/>
  <c r="AB968" i="2"/>
  <c r="AA968" i="2"/>
  <c r="Z968" i="2"/>
  <c r="Y968" i="2"/>
  <c r="X968" i="2"/>
  <c r="W968" i="2"/>
  <c r="V968" i="2"/>
  <c r="U968" i="2"/>
  <c r="T968" i="2"/>
  <c r="S968" i="2"/>
  <c r="R968" i="2"/>
  <c r="Q968" i="2"/>
  <c r="P968" i="2"/>
  <c r="O968" i="2"/>
  <c r="N968" i="2"/>
  <c r="M968" i="2"/>
  <c r="L968" i="2"/>
  <c r="K968" i="2"/>
  <c r="J968" i="2"/>
  <c r="I968" i="2"/>
  <c r="H968" i="2"/>
  <c r="G968" i="2"/>
  <c r="F968" i="2"/>
  <c r="E968" i="2"/>
  <c r="D968" i="2"/>
  <c r="C968" i="2"/>
  <c r="B968" i="2"/>
  <c r="A968" i="2"/>
  <c r="AD967" i="2"/>
  <c r="AC967" i="2"/>
  <c r="AB967" i="2"/>
  <c r="AA967" i="2"/>
  <c r="Z967" i="2"/>
  <c r="Y967" i="2"/>
  <c r="X967" i="2"/>
  <c r="W967" i="2"/>
  <c r="V967" i="2"/>
  <c r="U967" i="2"/>
  <c r="T967" i="2"/>
  <c r="S967" i="2"/>
  <c r="R967" i="2"/>
  <c r="Q967" i="2"/>
  <c r="P967" i="2"/>
  <c r="O967" i="2"/>
  <c r="N967" i="2"/>
  <c r="M967" i="2"/>
  <c r="L967" i="2"/>
  <c r="K967" i="2"/>
  <c r="J967" i="2"/>
  <c r="I967" i="2"/>
  <c r="H967" i="2"/>
  <c r="G967" i="2"/>
  <c r="F967" i="2"/>
  <c r="E967" i="2"/>
  <c r="D967" i="2"/>
  <c r="C967" i="2"/>
  <c r="B967" i="2"/>
  <c r="A967" i="2"/>
  <c r="AD966" i="2"/>
  <c r="AC966" i="2"/>
  <c r="AB966" i="2"/>
  <c r="AA966" i="2"/>
  <c r="Z966" i="2"/>
  <c r="Y966" i="2"/>
  <c r="X966" i="2"/>
  <c r="W966" i="2"/>
  <c r="V966" i="2"/>
  <c r="U966" i="2"/>
  <c r="T966" i="2"/>
  <c r="S966" i="2"/>
  <c r="R966" i="2"/>
  <c r="Q966" i="2"/>
  <c r="P966" i="2"/>
  <c r="O966" i="2"/>
  <c r="N966" i="2"/>
  <c r="M966" i="2"/>
  <c r="L966" i="2"/>
  <c r="K966" i="2"/>
  <c r="J966" i="2"/>
  <c r="I966" i="2"/>
  <c r="H966" i="2"/>
  <c r="G966" i="2"/>
  <c r="F966" i="2"/>
  <c r="E966" i="2"/>
  <c r="D966" i="2"/>
  <c r="C966" i="2"/>
  <c r="B966" i="2"/>
  <c r="A966" i="2"/>
  <c r="AD965" i="2"/>
  <c r="AC965" i="2"/>
  <c r="AB965" i="2"/>
  <c r="AA965" i="2"/>
  <c r="Z965" i="2"/>
  <c r="Y965" i="2"/>
  <c r="X965" i="2"/>
  <c r="W965" i="2"/>
  <c r="V965" i="2"/>
  <c r="U965" i="2"/>
  <c r="T965" i="2"/>
  <c r="S965" i="2"/>
  <c r="R965" i="2"/>
  <c r="Q965" i="2"/>
  <c r="P965" i="2"/>
  <c r="O965" i="2"/>
  <c r="N965" i="2"/>
  <c r="M965" i="2"/>
  <c r="L965" i="2"/>
  <c r="K965" i="2"/>
  <c r="J965" i="2"/>
  <c r="I965" i="2"/>
  <c r="H965" i="2"/>
  <c r="G965" i="2"/>
  <c r="F965" i="2"/>
  <c r="E965" i="2"/>
  <c r="D965" i="2"/>
  <c r="C965" i="2"/>
  <c r="B965" i="2"/>
  <c r="A965" i="2"/>
  <c r="AD964" i="2"/>
  <c r="AC964" i="2"/>
  <c r="AB964" i="2"/>
  <c r="AA964" i="2"/>
  <c r="Z964" i="2"/>
  <c r="Y964" i="2"/>
  <c r="X964" i="2"/>
  <c r="W964" i="2"/>
  <c r="V964" i="2"/>
  <c r="U964" i="2"/>
  <c r="T964" i="2"/>
  <c r="S964" i="2"/>
  <c r="R964" i="2"/>
  <c r="Q964" i="2"/>
  <c r="P964" i="2"/>
  <c r="O964" i="2"/>
  <c r="N964" i="2"/>
  <c r="M964" i="2"/>
  <c r="L964" i="2"/>
  <c r="K964" i="2"/>
  <c r="J964" i="2"/>
  <c r="I964" i="2"/>
  <c r="H964" i="2"/>
  <c r="G964" i="2"/>
  <c r="F964" i="2"/>
  <c r="E964" i="2"/>
  <c r="D964" i="2"/>
  <c r="C964" i="2"/>
  <c r="B964" i="2"/>
  <c r="A964" i="2"/>
  <c r="AD963" i="2"/>
  <c r="AC963" i="2"/>
  <c r="AB963" i="2"/>
  <c r="AA963" i="2"/>
  <c r="Z963" i="2"/>
  <c r="Y963" i="2"/>
  <c r="X963" i="2"/>
  <c r="W963" i="2"/>
  <c r="V963" i="2"/>
  <c r="U963" i="2"/>
  <c r="T963" i="2"/>
  <c r="S963" i="2"/>
  <c r="R963" i="2"/>
  <c r="Q963" i="2"/>
  <c r="P963" i="2"/>
  <c r="O963" i="2"/>
  <c r="N963" i="2"/>
  <c r="M963" i="2"/>
  <c r="L963" i="2"/>
  <c r="K963" i="2"/>
  <c r="J963" i="2"/>
  <c r="I963" i="2"/>
  <c r="H963" i="2"/>
  <c r="G963" i="2"/>
  <c r="F963" i="2"/>
  <c r="E963" i="2"/>
  <c r="D963" i="2"/>
  <c r="C963" i="2"/>
  <c r="B963" i="2"/>
  <c r="A963" i="2"/>
  <c r="AD962" i="2"/>
  <c r="AC962"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AD961" i="2"/>
  <c r="AC961" i="2"/>
  <c r="AB961" i="2"/>
  <c r="AA961" i="2"/>
  <c r="Z961" i="2"/>
  <c r="Y961" i="2"/>
  <c r="X961" i="2"/>
  <c r="W961" i="2"/>
  <c r="V961" i="2"/>
  <c r="U961" i="2"/>
  <c r="T961" i="2"/>
  <c r="S961" i="2"/>
  <c r="R961" i="2"/>
  <c r="Q961" i="2"/>
  <c r="P961" i="2"/>
  <c r="O961" i="2"/>
  <c r="N961" i="2"/>
  <c r="M961" i="2"/>
  <c r="L961" i="2"/>
  <c r="K961" i="2"/>
  <c r="J961" i="2"/>
  <c r="I961" i="2"/>
  <c r="H961" i="2"/>
  <c r="G961" i="2"/>
  <c r="F961" i="2"/>
  <c r="E961" i="2"/>
  <c r="D961" i="2"/>
  <c r="C961" i="2"/>
  <c r="B961" i="2"/>
  <c r="A961" i="2"/>
  <c r="AD960" i="2"/>
  <c r="AC960" i="2"/>
  <c r="AB960" i="2"/>
  <c r="AA960" i="2"/>
  <c r="Z960" i="2"/>
  <c r="Y960" i="2"/>
  <c r="X960" i="2"/>
  <c r="W960" i="2"/>
  <c r="V960" i="2"/>
  <c r="U960" i="2"/>
  <c r="T960" i="2"/>
  <c r="S960" i="2"/>
  <c r="R960" i="2"/>
  <c r="Q960" i="2"/>
  <c r="P960" i="2"/>
  <c r="O960" i="2"/>
  <c r="N960" i="2"/>
  <c r="M960" i="2"/>
  <c r="L960" i="2"/>
  <c r="K960" i="2"/>
  <c r="J960" i="2"/>
  <c r="I960" i="2"/>
  <c r="H960" i="2"/>
  <c r="G960" i="2"/>
  <c r="F960" i="2"/>
  <c r="E960" i="2"/>
  <c r="D960" i="2"/>
  <c r="C960" i="2"/>
  <c r="B960" i="2"/>
  <c r="A960" i="2"/>
  <c r="AD959" i="2"/>
  <c r="AC959" i="2"/>
  <c r="AB959" i="2"/>
  <c r="AA959" i="2"/>
  <c r="Z959" i="2"/>
  <c r="Y959" i="2"/>
  <c r="X959" i="2"/>
  <c r="W959" i="2"/>
  <c r="V959" i="2"/>
  <c r="U959" i="2"/>
  <c r="T959" i="2"/>
  <c r="S959" i="2"/>
  <c r="R959" i="2"/>
  <c r="Q959" i="2"/>
  <c r="P959" i="2"/>
  <c r="O959" i="2"/>
  <c r="N959" i="2"/>
  <c r="M959" i="2"/>
  <c r="L959" i="2"/>
  <c r="K959" i="2"/>
  <c r="J959" i="2"/>
  <c r="I959" i="2"/>
  <c r="H959" i="2"/>
  <c r="G959" i="2"/>
  <c r="F959" i="2"/>
  <c r="E959" i="2"/>
  <c r="D959" i="2"/>
  <c r="C959" i="2"/>
  <c r="B959" i="2"/>
  <c r="A959" i="2"/>
  <c r="AD958" i="2"/>
  <c r="AC958" i="2"/>
  <c r="AB958" i="2"/>
  <c r="AA958" i="2"/>
  <c r="Z958" i="2"/>
  <c r="Y958" i="2"/>
  <c r="X958" i="2"/>
  <c r="W958" i="2"/>
  <c r="V958" i="2"/>
  <c r="U958" i="2"/>
  <c r="T958" i="2"/>
  <c r="S958" i="2"/>
  <c r="R958" i="2"/>
  <c r="Q958" i="2"/>
  <c r="P958" i="2"/>
  <c r="O958" i="2"/>
  <c r="N958" i="2"/>
  <c r="M958" i="2"/>
  <c r="L958" i="2"/>
  <c r="K958" i="2"/>
  <c r="J958" i="2"/>
  <c r="I958" i="2"/>
  <c r="H958" i="2"/>
  <c r="G958" i="2"/>
  <c r="F958" i="2"/>
  <c r="E958" i="2"/>
  <c r="D958" i="2"/>
  <c r="C958" i="2"/>
  <c r="B958" i="2"/>
  <c r="A958" i="2"/>
  <c r="AD957" i="2"/>
  <c r="AC957" i="2"/>
  <c r="AB957" i="2"/>
  <c r="AA957" i="2"/>
  <c r="Z957" i="2"/>
  <c r="Y957" i="2"/>
  <c r="X957" i="2"/>
  <c r="W957" i="2"/>
  <c r="V957" i="2"/>
  <c r="U957" i="2"/>
  <c r="T957" i="2"/>
  <c r="S957" i="2"/>
  <c r="R957" i="2"/>
  <c r="Q957" i="2"/>
  <c r="P957" i="2"/>
  <c r="O957" i="2"/>
  <c r="N957" i="2"/>
  <c r="M957" i="2"/>
  <c r="L957" i="2"/>
  <c r="K957" i="2"/>
  <c r="J957" i="2"/>
  <c r="I957" i="2"/>
  <c r="H957" i="2"/>
  <c r="G957" i="2"/>
  <c r="F957" i="2"/>
  <c r="E957" i="2"/>
  <c r="D957" i="2"/>
  <c r="C957" i="2"/>
  <c r="B957" i="2"/>
  <c r="A957" i="2"/>
  <c r="AD956" i="2"/>
  <c r="AC956" i="2"/>
  <c r="AB956" i="2"/>
  <c r="AA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AD955" i="2"/>
  <c r="AC955" i="2"/>
  <c r="AB955" i="2"/>
  <c r="AA955" i="2"/>
  <c r="Z955" i="2"/>
  <c r="Y955" i="2"/>
  <c r="X955" i="2"/>
  <c r="W955" i="2"/>
  <c r="V955" i="2"/>
  <c r="U955" i="2"/>
  <c r="T955" i="2"/>
  <c r="S955" i="2"/>
  <c r="R955" i="2"/>
  <c r="Q955" i="2"/>
  <c r="P955" i="2"/>
  <c r="O955" i="2"/>
  <c r="N955" i="2"/>
  <c r="M955" i="2"/>
  <c r="L955" i="2"/>
  <c r="K955" i="2"/>
  <c r="J955" i="2"/>
  <c r="I955" i="2"/>
  <c r="H955" i="2"/>
  <c r="G955" i="2"/>
  <c r="F955" i="2"/>
  <c r="E955" i="2"/>
  <c r="D955" i="2"/>
  <c r="C955" i="2"/>
  <c r="B955" i="2"/>
  <c r="A955" i="2"/>
  <c r="AD954" i="2"/>
  <c r="AC954" i="2"/>
  <c r="AB954" i="2"/>
  <c r="AA954" i="2"/>
  <c r="Z954" i="2"/>
  <c r="Y954" i="2"/>
  <c r="X954" i="2"/>
  <c r="W954" i="2"/>
  <c r="V954" i="2"/>
  <c r="U954" i="2"/>
  <c r="T954" i="2"/>
  <c r="S954" i="2"/>
  <c r="R954" i="2"/>
  <c r="Q954" i="2"/>
  <c r="P954" i="2"/>
  <c r="O954" i="2"/>
  <c r="N954" i="2"/>
  <c r="M954" i="2"/>
  <c r="L954" i="2"/>
  <c r="K954" i="2"/>
  <c r="J954" i="2"/>
  <c r="I954" i="2"/>
  <c r="H954" i="2"/>
  <c r="G954" i="2"/>
  <c r="F954" i="2"/>
  <c r="E954" i="2"/>
  <c r="D954" i="2"/>
  <c r="C954" i="2"/>
  <c r="B954" i="2"/>
  <c r="A954" i="2"/>
  <c r="AD953" i="2"/>
  <c r="AC953" i="2"/>
  <c r="AB953" i="2"/>
  <c r="AA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AD952" i="2"/>
  <c r="AC952" i="2"/>
  <c r="AB952" i="2"/>
  <c r="AA952" i="2"/>
  <c r="Z952" i="2"/>
  <c r="Y952" i="2"/>
  <c r="X952" i="2"/>
  <c r="W952" i="2"/>
  <c r="V952" i="2"/>
  <c r="U952" i="2"/>
  <c r="T952" i="2"/>
  <c r="S952" i="2"/>
  <c r="R952" i="2"/>
  <c r="Q952" i="2"/>
  <c r="P952" i="2"/>
  <c r="O952" i="2"/>
  <c r="N952" i="2"/>
  <c r="M952" i="2"/>
  <c r="L952" i="2"/>
  <c r="K952" i="2"/>
  <c r="J952" i="2"/>
  <c r="I952" i="2"/>
  <c r="H952" i="2"/>
  <c r="G952" i="2"/>
  <c r="F952" i="2"/>
  <c r="E952" i="2"/>
  <c r="D952" i="2"/>
  <c r="C952" i="2"/>
  <c r="B952" i="2"/>
  <c r="A952" i="2"/>
  <c r="AD951" i="2"/>
  <c r="AC951"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D950" i="2"/>
  <c r="AC950" i="2"/>
  <c r="AB950" i="2"/>
  <c r="AA950" i="2"/>
  <c r="Z950" i="2"/>
  <c r="Y950" i="2"/>
  <c r="X950" i="2"/>
  <c r="W950" i="2"/>
  <c r="V950" i="2"/>
  <c r="U950" i="2"/>
  <c r="T950" i="2"/>
  <c r="S950" i="2"/>
  <c r="R950" i="2"/>
  <c r="Q950" i="2"/>
  <c r="P950" i="2"/>
  <c r="O950" i="2"/>
  <c r="N950" i="2"/>
  <c r="M950" i="2"/>
  <c r="L950" i="2"/>
  <c r="K950" i="2"/>
  <c r="J950" i="2"/>
  <c r="I950" i="2"/>
  <c r="H950" i="2"/>
  <c r="G950" i="2"/>
  <c r="F950" i="2"/>
  <c r="E950" i="2"/>
  <c r="D950" i="2"/>
  <c r="C950" i="2"/>
  <c r="B950" i="2"/>
  <c r="A950" i="2"/>
  <c r="AD949" i="2"/>
  <c r="AC949" i="2"/>
  <c r="AB949" i="2"/>
  <c r="AA949" i="2"/>
  <c r="Z949" i="2"/>
  <c r="Y949" i="2"/>
  <c r="X949" i="2"/>
  <c r="W949" i="2"/>
  <c r="V949" i="2"/>
  <c r="U949" i="2"/>
  <c r="T949" i="2"/>
  <c r="S949" i="2"/>
  <c r="R949" i="2"/>
  <c r="Q949" i="2"/>
  <c r="P949" i="2"/>
  <c r="O949" i="2"/>
  <c r="N949" i="2"/>
  <c r="M949" i="2"/>
  <c r="L949" i="2"/>
  <c r="K949" i="2"/>
  <c r="J949" i="2"/>
  <c r="I949" i="2"/>
  <c r="H949" i="2"/>
  <c r="G949" i="2"/>
  <c r="F949" i="2"/>
  <c r="E949" i="2"/>
  <c r="D949" i="2"/>
  <c r="C949" i="2"/>
  <c r="B949" i="2"/>
  <c r="A949" i="2"/>
  <c r="AD948" i="2"/>
  <c r="AC948" i="2"/>
  <c r="AB948" i="2"/>
  <c r="AA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D947" i="2"/>
  <c r="AC947" i="2"/>
  <c r="AB947" i="2"/>
  <c r="AA947" i="2"/>
  <c r="Z947" i="2"/>
  <c r="Y947" i="2"/>
  <c r="X947" i="2"/>
  <c r="W947" i="2"/>
  <c r="V947" i="2"/>
  <c r="U947" i="2"/>
  <c r="T947" i="2"/>
  <c r="S947" i="2"/>
  <c r="R947" i="2"/>
  <c r="Q947" i="2"/>
  <c r="P947" i="2"/>
  <c r="O947" i="2"/>
  <c r="N947" i="2"/>
  <c r="M947" i="2"/>
  <c r="L947" i="2"/>
  <c r="K947" i="2"/>
  <c r="J947" i="2"/>
  <c r="I947" i="2"/>
  <c r="H947" i="2"/>
  <c r="G947" i="2"/>
  <c r="F947" i="2"/>
  <c r="E947" i="2"/>
  <c r="D947" i="2"/>
  <c r="C947" i="2"/>
  <c r="B947" i="2"/>
  <c r="A947" i="2"/>
  <c r="AD946" i="2"/>
  <c r="AC946" i="2"/>
  <c r="AB946" i="2"/>
  <c r="AA946" i="2"/>
  <c r="Z946" i="2"/>
  <c r="Y946" i="2"/>
  <c r="X946" i="2"/>
  <c r="W946" i="2"/>
  <c r="V946" i="2"/>
  <c r="U946" i="2"/>
  <c r="T946" i="2"/>
  <c r="S946" i="2"/>
  <c r="R946" i="2"/>
  <c r="Q946" i="2"/>
  <c r="P946" i="2"/>
  <c r="O946" i="2"/>
  <c r="N946" i="2"/>
  <c r="M946" i="2"/>
  <c r="L946" i="2"/>
  <c r="K946" i="2"/>
  <c r="J946" i="2"/>
  <c r="I946" i="2"/>
  <c r="H946" i="2"/>
  <c r="G946" i="2"/>
  <c r="F946" i="2"/>
  <c r="E946" i="2"/>
  <c r="D946" i="2"/>
  <c r="C946" i="2"/>
  <c r="B946" i="2"/>
  <c r="A946" i="2"/>
  <c r="AD945" i="2"/>
  <c r="AC945" i="2"/>
  <c r="AB945" i="2"/>
  <c r="AA945" i="2"/>
  <c r="Z945" i="2"/>
  <c r="Y945" i="2"/>
  <c r="X945" i="2"/>
  <c r="W945" i="2"/>
  <c r="V945" i="2"/>
  <c r="U945" i="2"/>
  <c r="T945" i="2"/>
  <c r="S945" i="2"/>
  <c r="R945" i="2"/>
  <c r="Q945" i="2"/>
  <c r="P945" i="2"/>
  <c r="O945" i="2"/>
  <c r="N945" i="2"/>
  <c r="M945" i="2"/>
  <c r="L945" i="2"/>
  <c r="K945" i="2"/>
  <c r="J945" i="2"/>
  <c r="I945" i="2"/>
  <c r="H945" i="2"/>
  <c r="G945" i="2"/>
  <c r="F945" i="2"/>
  <c r="E945" i="2"/>
  <c r="D945" i="2"/>
  <c r="C945" i="2"/>
  <c r="B945" i="2"/>
  <c r="A945" i="2"/>
  <c r="AD944" i="2"/>
  <c r="AC944" i="2"/>
  <c r="AB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D943" i="2"/>
  <c r="AC943" i="2"/>
  <c r="AB943" i="2"/>
  <c r="AA943" i="2"/>
  <c r="Z943" i="2"/>
  <c r="Y943" i="2"/>
  <c r="X943" i="2"/>
  <c r="W943" i="2"/>
  <c r="V943" i="2"/>
  <c r="U943" i="2"/>
  <c r="T943" i="2"/>
  <c r="S943" i="2"/>
  <c r="R943" i="2"/>
  <c r="Q943" i="2"/>
  <c r="P943" i="2"/>
  <c r="O943" i="2"/>
  <c r="N943" i="2"/>
  <c r="M943" i="2"/>
  <c r="L943" i="2"/>
  <c r="K943" i="2"/>
  <c r="J943" i="2"/>
  <c r="I943" i="2"/>
  <c r="H943" i="2"/>
  <c r="G943" i="2"/>
  <c r="F943" i="2"/>
  <c r="E943" i="2"/>
  <c r="D943" i="2"/>
  <c r="C943" i="2"/>
  <c r="B943" i="2"/>
  <c r="A943" i="2"/>
  <c r="AD942" i="2"/>
  <c r="AC942" i="2"/>
  <c r="AB942" i="2"/>
  <c r="AA942" i="2"/>
  <c r="Z942" i="2"/>
  <c r="Y942" i="2"/>
  <c r="X942" i="2"/>
  <c r="W942" i="2"/>
  <c r="V942" i="2"/>
  <c r="U942" i="2"/>
  <c r="T942" i="2"/>
  <c r="S942" i="2"/>
  <c r="R942" i="2"/>
  <c r="Q942" i="2"/>
  <c r="P942" i="2"/>
  <c r="O942" i="2"/>
  <c r="N942" i="2"/>
  <c r="M942" i="2"/>
  <c r="L942" i="2"/>
  <c r="K942" i="2"/>
  <c r="J942" i="2"/>
  <c r="I942" i="2"/>
  <c r="H942" i="2"/>
  <c r="G942" i="2"/>
  <c r="F942" i="2"/>
  <c r="E942" i="2"/>
  <c r="D942" i="2"/>
  <c r="C942" i="2"/>
  <c r="B942" i="2"/>
  <c r="A942" i="2"/>
  <c r="AD941" i="2"/>
  <c r="AC941" i="2"/>
  <c r="AB941" i="2"/>
  <c r="AA941" i="2"/>
  <c r="Z941" i="2"/>
  <c r="Y941" i="2"/>
  <c r="X941" i="2"/>
  <c r="W941" i="2"/>
  <c r="V941" i="2"/>
  <c r="U941" i="2"/>
  <c r="T941" i="2"/>
  <c r="S941" i="2"/>
  <c r="R941" i="2"/>
  <c r="Q941" i="2"/>
  <c r="P941" i="2"/>
  <c r="O941" i="2"/>
  <c r="N941" i="2"/>
  <c r="M941" i="2"/>
  <c r="L941" i="2"/>
  <c r="K941" i="2"/>
  <c r="J941" i="2"/>
  <c r="I941" i="2"/>
  <c r="H941" i="2"/>
  <c r="G941" i="2"/>
  <c r="F941" i="2"/>
  <c r="E941" i="2"/>
  <c r="D941" i="2"/>
  <c r="C941" i="2"/>
  <c r="B941" i="2"/>
  <c r="A941" i="2"/>
  <c r="AD940" i="2"/>
  <c r="AC940" i="2"/>
  <c r="AB940" i="2"/>
  <c r="AA940" i="2"/>
  <c r="Z940" i="2"/>
  <c r="Y940" i="2"/>
  <c r="X940" i="2"/>
  <c r="W940" i="2"/>
  <c r="V940" i="2"/>
  <c r="U940" i="2"/>
  <c r="T940" i="2"/>
  <c r="S940" i="2"/>
  <c r="R940" i="2"/>
  <c r="Q940" i="2"/>
  <c r="P940" i="2"/>
  <c r="O940" i="2"/>
  <c r="N940" i="2"/>
  <c r="M940" i="2"/>
  <c r="L940" i="2"/>
  <c r="K940" i="2"/>
  <c r="J940" i="2"/>
  <c r="I940" i="2"/>
  <c r="H940" i="2"/>
  <c r="G940" i="2"/>
  <c r="F940" i="2"/>
  <c r="E940" i="2"/>
  <c r="D940" i="2"/>
  <c r="C940" i="2"/>
  <c r="B940" i="2"/>
  <c r="A940" i="2"/>
  <c r="AD939" i="2"/>
  <c r="AC939" i="2"/>
  <c r="AB939" i="2"/>
  <c r="AA939" i="2"/>
  <c r="Z939" i="2"/>
  <c r="Y939" i="2"/>
  <c r="X939" i="2"/>
  <c r="W939" i="2"/>
  <c r="V939" i="2"/>
  <c r="U939" i="2"/>
  <c r="T939" i="2"/>
  <c r="S939" i="2"/>
  <c r="R939" i="2"/>
  <c r="Q939" i="2"/>
  <c r="P939" i="2"/>
  <c r="O939" i="2"/>
  <c r="N939" i="2"/>
  <c r="M939" i="2"/>
  <c r="L939" i="2"/>
  <c r="K939" i="2"/>
  <c r="J939" i="2"/>
  <c r="I939" i="2"/>
  <c r="H939" i="2"/>
  <c r="G939" i="2"/>
  <c r="F939" i="2"/>
  <c r="E939" i="2"/>
  <c r="D939" i="2"/>
  <c r="C939" i="2"/>
  <c r="B939" i="2"/>
  <c r="A939" i="2"/>
  <c r="AD938" i="2"/>
  <c r="AC938" i="2"/>
  <c r="AB938" i="2"/>
  <c r="AA938" i="2"/>
  <c r="Z938" i="2"/>
  <c r="Y938" i="2"/>
  <c r="X938" i="2"/>
  <c r="W938" i="2"/>
  <c r="V938" i="2"/>
  <c r="U938" i="2"/>
  <c r="T938" i="2"/>
  <c r="S938" i="2"/>
  <c r="R938" i="2"/>
  <c r="Q938" i="2"/>
  <c r="P938" i="2"/>
  <c r="O938" i="2"/>
  <c r="N938" i="2"/>
  <c r="M938" i="2"/>
  <c r="L938" i="2"/>
  <c r="K938" i="2"/>
  <c r="J938" i="2"/>
  <c r="I938" i="2"/>
  <c r="H938" i="2"/>
  <c r="G938" i="2"/>
  <c r="F938" i="2"/>
  <c r="E938" i="2"/>
  <c r="D938" i="2"/>
  <c r="C938" i="2"/>
  <c r="B938" i="2"/>
  <c r="A938" i="2"/>
  <c r="AD937" i="2"/>
  <c r="AC937" i="2"/>
  <c r="AB937" i="2"/>
  <c r="AA937" i="2"/>
  <c r="Z937" i="2"/>
  <c r="Y937" i="2"/>
  <c r="X937" i="2"/>
  <c r="W937" i="2"/>
  <c r="V937" i="2"/>
  <c r="U937" i="2"/>
  <c r="T937" i="2"/>
  <c r="S937" i="2"/>
  <c r="R937" i="2"/>
  <c r="Q937" i="2"/>
  <c r="P937" i="2"/>
  <c r="O937" i="2"/>
  <c r="N937" i="2"/>
  <c r="M937" i="2"/>
  <c r="L937" i="2"/>
  <c r="K937" i="2"/>
  <c r="J937" i="2"/>
  <c r="I937" i="2"/>
  <c r="H937" i="2"/>
  <c r="G937" i="2"/>
  <c r="F937" i="2"/>
  <c r="E937" i="2"/>
  <c r="D937" i="2"/>
  <c r="C937" i="2"/>
  <c r="B937" i="2"/>
  <c r="A937" i="2"/>
  <c r="AD936" i="2"/>
  <c r="AC936" i="2"/>
  <c r="AB936" i="2"/>
  <c r="AA936" i="2"/>
  <c r="Z936" i="2"/>
  <c r="Y936" i="2"/>
  <c r="X936" i="2"/>
  <c r="W936" i="2"/>
  <c r="V936" i="2"/>
  <c r="U936" i="2"/>
  <c r="T936" i="2"/>
  <c r="S936" i="2"/>
  <c r="R936" i="2"/>
  <c r="Q936" i="2"/>
  <c r="P936" i="2"/>
  <c r="O936" i="2"/>
  <c r="N936" i="2"/>
  <c r="M936" i="2"/>
  <c r="L936" i="2"/>
  <c r="K936" i="2"/>
  <c r="J936" i="2"/>
  <c r="I936" i="2"/>
  <c r="H936" i="2"/>
  <c r="G936" i="2"/>
  <c r="F936" i="2"/>
  <c r="E936" i="2"/>
  <c r="D936" i="2"/>
  <c r="C936" i="2"/>
  <c r="B936" i="2"/>
  <c r="A936" i="2"/>
  <c r="AD935" i="2"/>
  <c r="AC935" i="2"/>
  <c r="AB935" i="2"/>
  <c r="AA935" i="2"/>
  <c r="Z935" i="2"/>
  <c r="Y935" i="2"/>
  <c r="X935" i="2"/>
  <c r="W935" i="2"/>
  <c r="V935" i="2"/>
  <c r="U935" i="2"/>
  <c r="T935" i="2"/>
  <c r="S935" i="2"/>
  <c r="R935" i="2"/>
  <c r="Q935" i="2"/>
  <c r="P935" i="2"/>
  <c r="O935" i="2"/>
  <c r="N935" i="2"/>
  <c r="M935" i="2"/>
  <c r="L935" i="2"/>
  <c r="K935" i="2"/>
  <c r="J935" i="2"/>
  <c r="I935" i="2"/>
  <c r="H935" i="2"/>
  <c r="G935" i="2"/>
  <c r="F935" i="2"/>
  <c r="E935" i="2"/>
  <c r="D935" i="2"/>
  <c r="C935" i="2"/>
  <c r="B935" i="2"/>
  <c r="A935" i="2"/>
  <c r="AD934" i="2"/>
  <c r="AC934" i="2"/>
  <c r="AB934" i="2"/>
  <c r="AA934" i="2"/>
  <c r="Z934" i="2"/>
  <c r="Y934" i="2"/>
  <c r="X934" i="2"/>
  <c r="W934" i="2"/>
  <c r="V934" i="2"/>
  <c r="U934" i="2"/>
  <c r="T934" i="2"/>
  <c r="S934" i="2"/>
  <c r="R934" i="2"/>
  <c r="Q934" i="2"/>
  <c r="P934" i="2"/>
  <c r="O934" i="2"/>
  <c r="N934" i="2"/>
  <c r="M934" i="2"/>
  <c r="L934" i="2"/>
  <c r="K934" i="2"/>
  <c r="J934" i="2"/>
  <c r="I934" i="2"/>
  <c r="H934" i="2"/>
  <c r="G934" i="2"/>
  <c r="F934" i="2"/>
  <c r="E934" i="2"/>
  <c r="D934" i="2"/>
  <c r="C934" i="2"/>
  <c r="B934" i="2"/>
  <c r="A934" i="2"/>
  <c r="AD933" i="2"/>
  <c r="AC933" i="2"/>
  <c r="AB933" i="2"/>
  <c r="AA933" i="2"/>
  <c r="Z933" i="2"/>
  <c r="Y933" i="2"/>
  <c r="X933" i="2"/>
  <c r="W933" i="2"/>
  <c r="V933" i="2"/>
  <c r="U933" i="2"/>
  <c r="T933" i="2"/>
  <c r="S933" i="2"/>
  <c r="R933" i="2"/>
  <c r="Q933" i="2"/>
  <c r="P933" i="2"/>
  <c r="O933" i="2"/>
  <c r="N933" i="2"/>
  <c r="M933" i="2"/>
  <c r="L933" i="2"/>
  <c r="K933" i="2"/>
  <c r="J933" i="2"/>
  <c r="I933" i="2"/>
  <c r="H933" i="2"/>
  <c r="G933" i="2"/>
  <c r="F933" i="2"/>
  <c r="E933" i="2"/>
  <c r="D933" i="2"/>
  <c r="C933" i="2"/>
  <c r="B933" i="2"/>
  <c r="A933" i="2"/>
  <c r="AD932" i="2"/>
  <c r="AC932" i="2"/>
  <c r="AB932" i="2"/>
  <c r="AA932" i="2"/>
  <c r="Z932" i="2"/>
  <c r="Y932" i="2"/>
  <c r="X932" i="2"/>
  <c r="W932" i="2"/>
  <c r="V932" i="2"/>
  <c r="U932" i="2"/>
  <c r="T932" i="2"/>
  <c r="S932" i="2"/>
  <c r="R932" i="2"/>
  <c r="Q932" i="2"/>
  <c r="P932" i="2"/>
  <c r="O932" i="2"/>
  <c r="N932" i="2"/>
  <c r="M932" i="2"/>
  <c r="L932" i="2"/>
  <c r="K932" i="2"/>
  <c r="J932" i="2"/>
  <c r="I932" i="2"/>
  <c r="H932" i="2"/>
  <c r="G932" i="2"/>
  <c r="F932" i="2"/>
  <c r="E932" i="2"/>
  <c r="D932" i="2"/>
  <c r="C932" i="2"/>
  <c r="B932" i="2"/>
  <c r="A932" i="2"/>
  <c r="AD931" i="2"/>
  <c r="AC931" i="2"/>
  <c r="AB931" i="2"/>
  <c r="AA931" i="2"/>
  <c r="Z931" i="2"/>
  <c r="Y931" i="2"/>
  <c r="X931" i="2"/>
  <c r="W931" i="2"/>
  <c r="V931" i="2"/>
  <c r="U931" i="2"/>
  <c r="T931" i="2"/>
  <c r="S931" i="2"/>
  <c r="R931" i="2"/>
  <c r="Q931" i="2"/>
  <c r="P931" i="2"/>
  <c r="O931" i="2"/>
  <c r="N931" i="2"/>
  <c r="M931" i="2"/>
  <c r="L931" i="2"/>
  <c r="K931" i="2"/>
  <c r="J931" i="2"/>
  <c r="I931" i="2"/>
  <c r="H931" i="2"/>
  <c r="G931" i="2"/>
  <c r="F931" i="2"/>
  <c r="E931" i="2"/>
  <c r="D931" i="2"/>
  <c r="C931" i="2"/>
  <c r="B931" i="2"/>
  <c r="A931" i="2"/>
  <c r="AD930" i="2"/>
  <c r="AC930" i="2"/>
  <c r="AB930" i="2"/>
  <c r="AA930" i="2"/>
  <c r="Z930" i="2"/>
  <c r="Y930" i="2"/>
  <c r="X930" i="2"/>
  <c r="W930" i="2"/>
  <c r="V930" i="2"/>
  <c r="U930" i="2"/>
  <c r="T930" i="2"/>
  <c r="S930" i="2"/>
  <c r="R930" i="2"/>
  <c r="Q930" i="2"/>
  <c r="P930" i="2"/>
  <c r="O930" i="2"/>
  <c r="N930" i="2"/>
  <c r="M930" i="2"/>
  <c r="L930" i="2"/>
  <c r="K930" i="2"/>
  <c r="J930" i="2"/>
  <c r="I930" i="2"/>
  <c r="H930" i="2"/>
  <c r="G930" i="2"/>
  <c r="F930" i="2"/>
  <c r="E930" i="2"/>
  <c r="D930" i="2"/>
  <c r="C930" i="2"/>
  <c r="B930" i="2"/>
  <c r="A930" i="2"/>
  <c r="AD929" i="2"/>
  <c r="AC929" i="2"/>
  <c r="AB929" i="2"/>
  <c r="AA929" i="2"/>
  <c r="Z929" i="2"/>
  <c r="Y929" i="2"/>
  <c r="X929" i="2"/>
  <c r="W929" i="2"/>
  <c r="V929" i="2"/>
  <c r="U929" i="2"/>
  <c r="T929" i="2"/>
  <c r="S929" i="2"/>
  <c r="R929" i="2"/>
  <c r="Q929" i="2"/>
  <c r="P929" i="2"/>
  <c r="O929" i="2"/>
  <c r="N929" i="2"/>
  <c r="M929" i="2"/>
  <c r="L929" i="2"/>
  <c r="K929" i="2"/>
  <c r="J929" i="2"/>
  <c r="I929" i="2"/>
  <c r="H929" i="2"/>
  <c r="G929" i="2"/>
  <c r="F929" i="2"/>
  <c r="E929" i="2"/>
  <c r="D929" i="2"/>
  <c r="C929" i="2"/>
  <c r="B929" i="2"/>
  <c r="A929" i="2"/>
  <c r="AD928" i="2"/>
  <c r="AC928" i="2"/>
  <c r="AB928" i="2"/>
  <c r="AA928" i="2"/>
  <c r="Z928" i="2"/>
  <c r="Y928" i="2"/>
  <c r="X928" i="2"/>
  <c r="W928" i="2"/>
  <c r="V928" i="2"/>
  <c r="U928" i="2"/>
  <c r="T928" i="2"/>
  <c r="S928" i="2"/>
  <c r="R928" i="2"/>
  <c r="Q928" i="2"/>
  <c r="P928" i="2"/>
  <c r="O928" i="2"/>
  <c r="N928" i="2"/>
  <c r="M928" i="2"/>
  <c r="L928" i="2"/>
  <c r="K928" i="2"/>
  <c r="J928" i="2"/>
  <c r="I928" i="2"/>
  <c r="H928" i="2"/>
  <c r="G928" i="2"/>
  <c r="F928" i="2"/>
  <c r="E928" i="2"/>
  <c r="D928" i="2"/>
  <c r="C928" i="2"/>
  <c r="B928" i="2"/>
  <c r="A928" i="2"/>
  <c r="AD927" i="2"/>
  <c r="AC927" i="2"/>
  <c r="AB927" i="2"/>
  <c r="AA927" i="2"/>
  <c r="Z927" i="2"/>
  <c r="Y927" i="2"/>
  <c r="X927" i="2"/>
  <c r="W927" i="2"/>
  <c r="V927" i="2"/>
  <c r="U927" i="2"/>
  <c r="T927" i="2"/>
  <c r="S927" i="2"/>
  <c r="R927" i="2"/>
  <c r="Q927" i="2"/>
  <c r="P927" i="2"/>
  <c r="O927" i="2"/>
  <c r="N927" i="2"/>
  <c r="M927" i="2"/>
  <c r="L927" i="2"/>
  <c r="K927" i="2"/>
  <c r="J927" i="2"/>
  <c r="I927" i="2"/>
  <c r="H927" i="2"/>
  <c r="G927" i="2"/>
  <c r="F927" i="2"/>
  <c r="E927" i="2"/>
  <c r="D927" i="2"/>
  <c r="C927" i="2"/>
  <c r="B927" i="2"/>
  <c r="A927" i="2"/>
  <c r="AD926" i="2"/>
  <c r="AC926" i="2"/>
  <c r="AB926" i="2"/>
  <c r="AA926" i="2"/>
  <c r="Z926" i="2"/>
  <c r="Y926" i="2"/>
  <c r="X926" i="2"/>
  <c r="W926" i="2"/>
  <c r="V926" i="2"/>
  <c r="U926" i="2"/>
  <c r="T926" i="2"/>
  <c r="S926" i="2"/>
  <c r="R926" i="2"/>
  <c r="Q926" i="2"/>
  <c r="P926" i="2"/>
  <c r="O926" i="2"/>
  <c r="N926" i="2"/>
  <c r="M926" i="2"/>
  <c r="L926" i="2"/>
  <c r="K926" i="2"/>
  <c r="J926" i="2"/>
  <c r="I926" i="2"/>
  <c r="H926" i="2"/>
  <c r="G926" i="2"/>
  <c r="F926" i="2"/>
  <c r="E926" i="2"/>
  <c r="D926" i="2"/>
  <c r="C926" i="2"/>
  <c r="B926" i="2"/>
  <c r="A926" i="2"/>
  <c r="AD925" i="2"/>
  <c r="AC925" i="2"/>
  <c r="AB925" i="2"/>
  <c r="AA925" i="2"/>
  <c r="Z925" i="2"/>
  <c r="Y925" i="2"/>
  <c r="X925" i="2"/>
  <c r="W925" i="2"/>
  <c r="V925" i="2"/>
  <c r="U925" i="2"/>
  <c r="T925" i="2"/>
  <c r="S925" i="2"/>
  <c r="R925" i="2"/>
  <c r="Q925" i="2"/>
  <c r="P925" i="2"/>
  <c r="O925" i="2"/>
  <c r="N925" i="2"/>
  <c r="M925" i="2"/>
  <c r="L925" i="2"/>
  <c r="K925" i="2"/>
  <c r="J925" i="2"/>
  <c r="I925" i="2"/>
  <c r="H925" i="2"/>
  <c r="G925" i="2"/>
  <c r="F925" i="2"/>
  <c r="E925" i="2"/>
  <c r="D925" i="2"/>
  <c r="C925" i="2"/>
  <c r="B925" i="2"/>
  <c r="A925" i="2"/>
  <c r="AD924" i="2"/>
  <c r="AC924" i="2"/>
  <c r="AB924" i="2"/>
  <c r="AA924" i="2"/>
  <c r="Z924" i="2"/>
  <c r="Y924" i="2"/>
  <c r="X924" i="2"/>
  <c r="W924" i="2"/>
  <c r="V924" i="2"/>
  <c r="U924" i="2"/>
  <c r="T924" i="2"/>
  <c r="S924" i="2"/>
  <c r="R924" i="2"/>
  <c r="Q924" i="2"/>
  <c r="P924" i="2"/>
  <c r="O924" i="2"/>
  <c r="N924" i="2"/>
  <c r="M924" i="2"/>
  <c r="L924" i="2"/>
  <c r="K924" i="2"/>
  <c r="J924" i="2"/>
  <c r="I924" i="2"/>
  <c r="H924" i="2"/>
  <c r="G924" i="2"/>
  <c r="F924" i="2"/>
  <c r="E924" i="2"/>
  <c r="D924" i="2"/>
  <c r="C924" i="2"/>
  <c r="B924" i="2"/>
  <c r="A924" i="2"/>
  <c r="AD923" i="2"/>
  <c r="AC923" i="2"/>
  <c r="AB923" i="2"/>
  <c r="AA923" i="2"/>
  <c r="Z923" i="2"/>
  <c r="Y923" i="2"/>
  <c r="X923" i="2"/>
  <c r="W923" i="2"/>
  <c r="V923" i="2"/>
  <c r="U923" i="2"/>
  <c r="T923" i="2"/>
  <c r="S923" i="2"/>
  <c r="R923" i="2"/>
  <c r="Q923" i="2"/>
  <c r="P923" i="2"/>
  <c r="O923" i="2"/>
  <c r="N923" i="2"/>
  <c r="M923" i="2"/>
  <c r="L923" i="2"/>
  <c r="K923" i="2"/>
  <c r="J923" i="2"/>
  <c r="I923" i="2"/>
  <c r="H923" i="2"/>
  <c r="G923" i="2"/>
  <c r="F923" i="2"/>
  <c r="E923" i="2"/>
  <c r="D923" i="2"/>
  <c r="C923" i="2"/>
  <c r="B923" i="2"/>
  <c r="A923" i="2"/>
  <c r="AD922" i="2"/>
  <c r="AC922" i="2"/>
  <c r="AB922" i="2"/>
  <c r="AA922" i="2"/>
  <c r="Z922" i="2"/>
  <c r="Y922" i="2"/>
  <c r="X922" i="2"/>
  <c r="W922" i="2"/>
  <c r="V922" i="2"/>
  <c r="U922" i="2"/>
  <c r="T922" i="2"/>
  <c r="S922" i="2"/>
  <c r="R922" i="2"/>
  <c r="Q922" i="2"/>
  <c r="P922" i="2"/>
  <c r="O922" i="2"/>
  <c r="N922" i="2"/>
  <c r="M922" i="2"/>
  <c r="L922" i="2"/>
  <c r="K922" i="2"/>
  <c r="J922" i="2"/>
  <c r="I922" i="2"/>
  <c r="H922" i="2"/>
  <c r="G922" i="2"/>
  <c r="F922" i="2"/>
  <c r="E922" i="2"/>
  <c r="D922" i="2"/>
  <c r="C922" i="2"/>
  <c r="B922" i="2"/>
  <c r="A922" i="2"/>
  <c r="AD921" i="2"/>
  <c r="AC921" i="2"/>
  <c r="AB921" i="2"/>
  <c r="AA921" i="2"/>
  <c r="Z921" i="2"/>
  <c r="Y921" i="2"/>
  <c r="X921" i="2"/>
  <c r="W921" i="2"/>
  <c r="V921" i="2"/>
  <c r="U921" i="2"/>
  <c r="T921" i="2"/>
  <c r="S921" i="2"/>
  <c r="R921" i="2"/>
  <c r="Q921" i="2"/>
  <c r="P921" i="2"/>
  <c r="O921" i="2"/>
  <c r="N921" i="2"/>
  <c r="M921" i="2"/>
  <c r="L921" i="2"/>
  <c r="K921" i="2"/>
  <c r="J921" i="2"/>
  <c r="I921" i="2"/>
  <c r="H921" i="2"/>
  <c r="G921" i="2"/>
  <c r="F921" i="2"/>
  <c r="E921" i="2"/>
  <c r="D921" i="2"/>
  <c r="C921" i="2"/>
  <c r="B921" i="2"/>
  <c r="A921" i="2"/>
  <c r="AD920" i="2"/>
  <c r="AC920" i="2"/>
  <c r="AB920" i="2"/>
  <c r="AA920" i="2"/>
  <c r="Z920" i="2"/>
  <c r="Y920" i="2"/>
  <c r="X920" i="2"/>
  <c r="W920" i="2"/>
  <c r="V920" i="2"/>
  <c r="U920" i="2"/>
  <c r="T920" i="2"/>
  <c r="S920" i="2"/>
  <c r="R920" i="2"/>
  <c r="Q920" i="2"/>
  <c r="P920" i="2"/>
  <c r="O920" i="2"/>
  <c r="N920" i="2"/>
  <c r="M920" i="2"/>
  <c r="L920" i="2"/>
  <c r="K920" i="2"/>
  <c r="J920" i="2"/>
  <c r="I920" i="2"/>
  <c r="H920" i="2"/>
  <c r="G920" i="2"/>
  <c r="F920" i="2"/>
  <c r="E920" i="2"/>
  <c r="D920" i="2"/>
  <c r="C920" i="2"/>
  <c r="B920" i="2"/>
  <c r="A920" i="2"/>
  <c r="AD919" i="2"/>
  <c r="AC919" i="2"/>
  <c r="AB919" i="2"/>
  <c r="AA919" i="2"/>
  <c r="Z919" i="2"/>
  <c r="Y919" i="2"/>
  <c r="X919" i="2"/>
  <c r="W919" i="2"/>
  <c r="V919" i="2"/>
  <c r="U919" i="2"/>
  <c r="T919" i="2"/>
  <c r="S919" i="2"/>
  <c r="R919" i="2"/>
  <c r="Q919" i="2"/>
  <c r="P919" i="2"/>
  <c r="O919" i="2"/>
  <c r="N919" i="2"/>
  <c r="M919" i="2"/>
  <c r="L919" i="2"/>
  <c r="K919" i="2"/>
  <c r="J919" i="2"/>
  <c r="I919" i="2"/>
  <c r="H919" i="2"/>
  <c r="G919" i="2"/>
  <c r="F919" i="2"/>
  <c r="E919" i="2"/>
  <c r="D919" i="2"/>
  <c r="C919" i="2"/>
  <c r="B919" i="2"/>
  <c r="A919" i="2"/>
  <c r="AD918" i="2"/>
  <c r="AC918" i="2"/>
  <c r="AB918" i="2"/>
  <c r="AA918" i="2"/>
  <c r="Z918" i="2"/>
  <c r="Y918" i="2"/>
  <c r="X918" i="2"/>
  <c r="W918" i="2"/>
  <c r="V918" i="2"/>
  <c r="U918" i="2"/>
  <c r="T918" i="2"/>
  <c r="S918" i="2"/>
  <c r="R918" i="2"/>
  <c r="Q918" i="2"/>
  <c r="P918" i="2"/>
  <c r="O918" i="2"/>
  <c r="N918" i="2"/>
  <c r="M918" i="2"/>
  <c r="L918" i="2"/>
  <c r="K918" i="2"/>
  <c r="J918" i="2"/>
  <c r="I918" i="2"/>
  <c r="H918" i="2"/>
  <c r="G918" i="2"/>
  <c r="F918" i="2"/>
  <c r="E918" i="2"/>
  <c r="D918" i="2"/>
  <c r="C918" i="2"/>
  <c r="B918" i="2"/>
  <c r="A918" i="2"/>
  <c r="AD917" i="2"/>
  <c r="AC917" i="2"/>
  <c r="AB917" i="2"/>
  <c r="AA917" i="2"/>
  <c r="Z917" i="2"/>
  <c r="Y917" i="2"/>
  <c r="X917" i="2"/>
  <c r="W917" i="2"/>
  <c r="V917" i="2"/>
  <c r="U917" i="2"/>
  <c r="T917" i="2"/>
  <c r="S917" i="2"/>
  <c r="R917" i="2"/>
  <c r="Q917" i="2"/>
  <c r="P917" i="2"/>
  <c r="O917" i="2"/>
  <c r="N917" i="2"/>
  <c r="M917" i="2"/>
  <c r="L917" i="2"/>
  <c r="K917" i="2"/>
  <c r="J917" i="2"/>
  <c r="I917" i="2"/>
  <c r="H917" i="2"/>
  <c r="G917" i="2"/>
  <c r="F917" i="2"/>
  <c r="E917" i="2"/>
  <c r="D917" i="2"/>
  <c r="C917" i="2"/>
  <c r="B917" i="2"/>
  <c r="A917" i="2"/>
  <c r="AD916" i="2"/>
  <c r="AC916" i="2"/>
  <c r="AB916" i="2"/>
  <c r="AA916" i="2"/>
  <c r="Z916" i="2"/>
  <c r="Y916" i="2"/>
  <c r="X916" i="2"/>
  <c r="W916" i="2"/>
  <c r="V916" i="2"/>
  <c r="U916" i="2"/>
  <c r="T916" i="2"/>
  <c r="S916" i="2"/>
  <c r="R916" i="2"/>
  <c r="Q916" i="2"/>
  <c r="P916" i="2"/>
  <c r="O916" i="2"/>
  <c r="N916" i="2"/>
  <c r="M916" i="2"/>
  <c r="L916" i="2"/>
  <c r="K916" i="2"/>
  <c r="J916" i="2"/>
  <c r="I916" i="2"/>
  <c r="H916" i="2"/>
  <c r="G916" i="2"/>
  <c r="F916" i="2"/>
  <c r="E916" i="2"/>
  <c r="D916" i="2"/>
  <c r="C916" i="2"/>
  <c r="B916" i="2"/>
  <c r="A916" i="2"/>
  <c r="AD915" i="2"/>
  <c r="AC915" i="2"/>
  <c r="AB915" i="2"/>
  <c r="AA915" i="2"/>
  <c r="Z915" i="2"/>
  <c r="Y915" i="2"/>
  <c r="X915" i="2"/>
  <c r="W915" i="2"/>
  <c r="V915" i="2"/>
  <c r="U915" i="2"/>
  <c r="T915" i="2"/>
  <c r="S915" i="2"/>
  <c r="R915" i="2"/>
  <c r="Q915" i="2"/>
  <c r="P915" i="2"/>
  <c r="O915" i="2"/>
  <c r="N915" i="2"/>
  <c r="M915" i="2"/>
  <c r="L915" i="2"/>
  <c r="K915" i="2"/>
  <c r="J915" i="2"/>
  <c r="I915" i="2"/>
  <c r="H915" i="2"/>
  <c r="G915" i="2"/>
  <c r="F915" i="2"/>
  <c r="E915" i="2"/>
  <c r="D915" i="2"/>
  <c r="C915" i="2"/>
  <c r="B915" i="2"/>
  <c r="A915" i="2"/>
  <c r="AD914" i="2"/>
  <c r="AC914" i="2"/>
  <c r="AB914" i="2"/>
  <c r="AA914" i="2"/>
  <c r="Z914" i="2"/>
  <c r="Y914" i="2"/>
  <c r="X914" i="2"/>
  <c r="W914" i="2"/>
  <c r="V914" i="2"/>
  <c r="U914" i="2"/>
  <c r="T914" i="2"/>
  <c r="S914" i="2"/>
  <c r="R914" i="2"/>
  <c r="Q914" i="2"/>
  <c r="P914" i="2"/>
  <c r="O914" i="2"/>
  <c r="N914" i="2"/>
  <c r="M914" i="2"/>
  <c r="L914" i="2"/>
  <c r="K914" i="2"/>
  <c r="J914" i="2"/>
  <c r="I914" i="2"/>
  <c r="H914" i="2"/>
  <c r="G914" i="2"/>
  <c r="F914" i="2"/>
  <c r="E914" i="2"/>
  <c r="D914" i="2"/>
  <c r="C914" i="2"/>
  <c r="B914" i="2"/>
  <c r="A914" i="2"/>
  <c r="AD913" i="2"/>
  <c r="AC913" i="2"/>
  <c r="AB913" i="2"/>
  <c r="AA913" i="2"/>
  <c r="Z913" i="2"/>
  <c r="Y913" i="2"/>
  <c r="X913" i="2"/>
  <c r="W913" i="2"/>
  <c r="V913" i="2"/>
  <c r="U913" i="2"/>
  <c r="T913" i="2"/>
  <c r="S913" i="2"/>
  <c r="R913" i="2"/>
  <c r="Q913" i="2"/>
  <c r="P913" i="2"/>
  <c r="O913" i="2"/>
  <c r="N913" i="2"/>
  <c r="M913" i="2"/>
  <c r="L913" i="2"/>
  <c r="K913" i="2"/>
  <c r="J913" i="2"/>
  <c r="I913" i="2"/>
  <c r="H913" i="2"/>
  <c r="G913" i="2"/>
  <c r="F913" i="2"/>
  <c r="E913" i="2"/>
  <c r="D913" i="2"/>
  <c r="C913" i="2"/>
  <c r="B913" i="2"/>
  <c r="A913" i="2"/>
  <c r="AD912" i="2"/>
  <c r="AC912" i="2"/>
  <c r="AB912" i="2"/>
  <c r="AA912" i="2"/>
  <c r="Z912" i="2"/>
  <c r="Y912" i="2"/>
  <c r="X912" i="2"/>
  <c r="W912" i="2"/>
  <c r="V912" i="2"/>
  <c r="U912" i="2"/>
  <c r="T912" i="2"/>
  <c r="S912" i="2"/>
  <c r="R912" i="2"/>
  <c r="Q912" i="2"/>
  <c r="P912" i="2"/>
  <c r="O912" i="2"/>
  <c r="N912" i="2"/>
  <c r="M912" i="2"/>
  <c r="L912" i="2"/>
  <c r="K912" i="2"/>
  <c r="J912" i="2"/>
  <c r="I912" i="2"/>
  <c r="H912" i="2"/>
  <c r="G912" i="2"/>
  <c r="F912" i="2"/>
  <c r="E912" i="2"/>
  <c r="D912" i="2"/>
  <c r="C912" i="2"/>
  <c r="B912" i="2"/>
  <c r="A912" i="2"/>
  <c r="AD911" i="2"/>
  <c r="AC911" i="2"/>
  <c r="AB911" i="2"/>
  <c r="AA911" i="2"/>
  <c r="Z911" i="2"/>
  <c r="Y911" i="2"/>
  <c r="X911" i="2"/>
  <c r="W911" i="2"/>
  <c r="V911" i="2"/>
  <c r="U911" i="2"/>
  <c r="T911" i="2"/>
  <c r="S911" i="2"/>
  <c r="R911" i="2"/>
  <c r="Q911" i="2"/>
  <c r="P911" i="2"/>
  <c r="O911" i="2"/>
  <c r="N911" i="2"/>
  <c r="M911" i="2"/>
  <c r="L911" i="2"/>
  <c r="K911" i="2"/>
  <c r="J911" i="2"/>
  <c r="I911" i="2"/>
  <c r="H911" i="2"/>
  <c r="G911" i="2"/>
  <c r="F911" i="2"/>
  <c r="E911" i="2"/>
  <c r="D911" i="2"/>
  <c r="C911" i="2"/>
  <c r="B911" i="2"/>
  <c r="A911" i="2"/>
  <c r="AD910" i="2"/>
  <c r="AC910" i="2"/>
  <c r="AB910" i="2"/>
  <c r="AA910" i="2"/>
  <c r="Z910" i="2"/>
  <c r="Y910" i="2"/>
  <c r="X910" i="2"/>
  <c r="W910" i="2"/>
  <c r="V910" i="2"/>
  <c r="U910" i="2"/>
  <c r="T910" i="2"/>
  <c r="S910" i="2"/>
  <c r="R910" i="2"/>
  <c r="Q910" i="2"/>
  <c r="P910" i="2"/>
  <c r="O910" i="2"/>
  <c r="N910" i="2"/>
  <c r="M910" i="2"/>
  <c r="L910" i="2"/>
  <c r="K910" i="2"/>
  <c r="J910" i="2"/>
  <c r="I910" i="2"/>
  <c r="H910" i="2"/>
  <c r="G910" i="2"/>
  <c r="F910" i="2"/>
  <c r="E910" i="2"/>
  <c r="D910" i="2"/>
  <c r="C910" i="2"/>
  <c r="B910" i="2"/>
  <c r="A910" i="2"/>
  <c r="AD909" i="2"/>
  <c r="AC909" i="2"/>
  <c r="AB909" i="2"/>
  <c r="AA909" i="2"/>
  <c r="Z909" i="2"/>
  <c r="Y909" i="2"/>
  <c r="X909" i="2"/>
  <c r="W909" i="2"/>
  <c r="V909" i="2"/>
  <c r="U909" i="2"/>
  <c r="T909" i="2"/>
  <c r="S909" i="2"/>
  <c r="R909" i="2"/>
  <c r="Q909" i="2"/>
  <c r="P909" i="2"/>
  <c r="O909" i="2"/>
  <c r="N909" i="2"/>
  <c r="M909" i="2"/>
  <c r="L909" i="2"/>
  <c r="K909" i="2"/>
  <c r="J909" i="2"/>
  <c r="I909" i="2"/>
  <c r="H909" i="2"/>
  <c r="G909" i="2"/>
  <c r="F909" i="2"/>
  <c r="E909" i="2"/>
  <c r="D909" i="2"/>
  <c r="C909" i="2"/>
  <c r="B909" i="2"/>
  <c r="A909" i="2"/>
  <c r="AD908" i="2"/>
  <c r="AC908" i="2"/>
  <c r="AB908" i="2"/>
  <c r="AA908" i="2"/>
  <c r="Z908" i="2"/>
  <c r="Y908" i="2"/>
  <c r="X908" i="2"/>
  <c r="W908" i="2"/>
  <c r="V908" i="2"/>
  <c r="U908" i="2"/>
  <c r="T908" i="2"/>
  <c r="S908" i="2"/>
  <c r="R908" i="2"/>
  <c r="Q908" i="2"/>
  <c r="P908" i="2"/>
  <c r="O908" i="2"/>
  <c r="N908" i="2"/>
  <c r="M908" i="2"/>
  <c r="L908" i="2"/>
  <c r="K908" i="2"/>
  <c r="J908" i="2"/>
  <c r="I908" i="2"/>
  <c r="H908" i="2"/>
  <c r="G908" i="2"/>
  <c r="F908" i="2"/>
  <c r="E908" i="2"/>
  <c r="D908" i="2"/>
  <c r="C908" i="2"/>
  <c r="B908" i="2"/>
  <c r="A908" i="2"/>
  <c r="AD907" i="2"/>
  <c r="AC907" i="2"/>
  <c r="AB907" i="2"/>
  <c r="AA907" i="2"/>
  <c r="Z907" i="2"/>
  <c r="Y907" i="2"/>
  <c r="X907" i="2"/>
  <c r="W907" i="2"/>
  <c r="V907" i="2"/>
  <c r="U907" i="2"/>
  <c r="T907" i="2"/>
  <c r="S907" i="2"/>
  <c r="R907" i="2"/>
  <c r="Q907" i="2"/>
  <c r="P907" i="2"/>
  <c r="O907" i="2"/>
  <c r="N907" i="2"/>
  <c r="M907" i="2"/>
  <c r="L907" i="2"/>
  <c r="K907" i="2"/>
  <c r="J907" i="2"/>
  <c r="I907" i="2"/>
  <c r="H907" i="2"/>
  <c r="G907" i="2"/>
  <c r="F907" i="2"/>
  <c r="E907" i="2"/>
  <c r="D907" i="2"/>
  <c r="C907" i="2"/>
  <c r="B907" i="2"/>
  <c r="A907" i="2"/>
  <c r="AD906" i="2"/>
  <c r="AC906" i="2"/>
  <c r="AB906" i="2"/>
  <c r="AA906" i="2"/>
  <c r="Z906" i="2"/>
  <c r="Y906" i="2"/>
  <c r="X906" i="2"/>
  <c r="W906" i="2"/>
  <c r="V906" i="2"/>
  <c r="U906" i="2"/>
  <c r="T906" i="2"/>
  <c r="S906" i="2"/>
  <c r="R906" i="2"/>
  <c r="Q906" i="2"/>
  <c r="P906" i="2"/>
  <c r="O906" i="2"/>
  <c r="N906" i="2"/>
  <c r="M906" i="2"/>
  <c r="L906" i="2"/>
  <c r="K906" i="2"/>
  <c r="J906" i="2"/>
  <c r="I906" i="2"/>
  <c r="H906" i="2"/>
  <c r="G906" i="2"/>
  <c r="F906" i="2"/>
  <c r="E906" i="2"/>
  <c r="D906" i="2"/>
  <c r="C906" i="2"/>
  <c r="B906" i="2"/>
  <c r="A906" i="2"/>
  <c r="AD905" i="2"/>
  <c r="AC905" i="2"/>
  <c r="AB905" i="2"/>
  <c r="AA905" i="2"/>
  <c r="Z905" i="2"/>
  <c r="Y905" i="2"/>
  <c r="X905" i="2"/>
  <c r="W905" i="2"/>
  <c r="V905" i="2"/>
  <c r="U905" i="2"/>
  <c r="T905" i="2"/>
  <c r="S905" i="2"/>
  <c r="R905" i="2"/>
  <c r="Q905" i="2"/>
  <c r="P905" i="2"/>
  <c r="O905" i="2"/>
  <c r="N905" i="2"/>
  <c r="M905" i="2"/>
  <c r="L905" i="2"/>
  <c r="K905" i="2"/>
  <c r="J905" i="2"/>
  <c r="I905" i="2"/>
  <c r="H905" i="2"/>
  <c r="G905" i="2"/>
  <c r="F905" i="2"/>
  <c r="E905" i="2"/>
  <c r="D905" i="2"/>
  <c r="C905" i="2"/>
  <c r="B905" i="2"/>
  <c r="A905" i="2"/>
  <c r="AD904" i="2"/>
  <c r="AC904" i="2"/>
  <c r="AB904" i="2"/>
  <c r="AA904" i="2"/>
  <c r="Z904" i="2"/>
  <c r="Y904" i="2"/>
  <c r="X904" i="2"/>
  <c r="W904" i="2"/>
  <c r="V904" i="2"/>
  <c r="U904" i="2"/>
  <c r="T904" i="2"/>
  <c r="S904" i="2"/>
  <c r="R904" i="2"/>
  <c r="Q904" i="2"/>
  <c r="P904" i="2"/>
  <c r="O904" i="2"/>
  <c r="N904" i="2"/>
  <c r="M904" i="2"/>
  <c r="L904" i="2"/>
  <c r="K904" i="2"/>
  <c r="J904" i="2"/>
  <c r="I904" i="2"/>
  <c r="H904" i="2"/>
  <c r="G904" i="2"/>
  <c r="F904" i="2"/>
  <c r="E904" i="2"/>
  <c r="D904" i="2"/>
  <c r="C904" i="2"/>
  <c r="B904" i="2"/>
  <c r="A904" i="2"/>
  <c r="AD903" i="2"/>
  <c r="AC903" i="2"/>
  <c r="AB903" i="2"/>
  <c r="AA903" i="2"/>
  <c r="Z903" i="2"/>
  <c r="Y903" i="2"/>
  <c r="X903" i="2"/>
  <c r="W903" i="2"/>
  <c r="V903" i="2"/>
  <c r="U903" i="2"/>
  <c r="T903" i="2"/>
  <c r="S903" i="2"/>
  <c r="R903" i="2"/>
  <c r="Q903" i="2"/>
  <c r="P903" i="2"/>
  <c r="O903" i="2"/>
  <c r="N903" i="2"/>
  <c r="M903" i="2"/>
  <c r="L903" i="2"/>
  <c r="K903" i="2"/>
  <c r="J903" i="2"/>
  <c r="I903" i="2"/>
  <c r="H903" i="2"/>
  <c r="G903" i="2"/>
  <c r="F903" i="2"/>
  <c r="E903" i="2"/>
  <c r="D903" i="2"/>
  <c r="C903" i="2"/>
  <c r="B903" i="2"/>
  <c r="A903" i="2"/>
  <c r="AD902" i="2"/>
  <c r="AC902" i="2"/>
  <c r="AB902" i="2"/>
  <c r="AA902" i="2"/>
  <c r="Z902" i="2"/>
  <c r="Y902" i="2"/>
  <c r="X902" i="2"/>
  <c r="W902" i="2"/>
  <c r="V902" i="2"/>
  <c r="U902" i="2"/>
  <c r="T902" i="2"/>
  <c r="S902" i="2"/>
  <c r="R902" i="2"/>
  <c r="Q902" i="2"/>
  <c r="P902" i="2"/>
  <c r="O902" i="2"/>
  <c r="N902" i="2"/>
  <c r="M902" i="2"/>
  <c r="L902" i="2"/>
  <c r="K902" i="2"/>
  <c r="J902" i="2"/>
  <c r="I902" i="2"/>
  <c r="H902" i="2"/>
  <c r="G902" i="2"/>
  <c r="F902" i="2"/>
  <c r="E902" i="2"/>
  <c r="D902" i="2"/>
  <c r="C902" i="2"/>
  <c r="B902" i="2"/>
  <c r="A902" i="2"/>
  <c r="AD901" i="2"/>
  <c r="AC901" i="2"/>
  <c r="AB901" i="2"/>
  <c r="AA901" i="2"/>
  <c r="Z901" i="2"/>
  <c r="Y901" i="2"/>
  <c r="X901" i="2"/>
  <c r="W901" i="2"/>
  <c r="V901" i="2"/>
  <c r="U901" i="2"/>
  <c r="T901" i="2"/>
  <c r="S901" i="2"/>
  <c r="R901" i="2"/>
  <c r="Q901" i="2"/>
  <c r="P901" i="2"/>
  <c r="O901" i="2"/>
  <c r="N901" i="2"/>
  <c r="M901" i="2"/>
  <c r="L901" i="2"/>
  <c r="K901" i="2"/>
  <c r="J901" i="2"/>
  <c r="I901" i="2"/>
  <c r="H901" i="2"/>
  <c r="G901" i="2"/>
  <c r="F901" i="2"/>
  <c r="E901" i="2"/>
  <c r="D901" i="2"/>
  <c r="C901" i="2"/>
  <c r="B901" i="2"/>
  <c r="A901" i="2"/>
  <c r="AD900" i="2"/>
  <c r="AC900" i="2"/>
  <c r="AB900" i="2"/>
  <c r="AA900" i="2"/>
  <c r="Z900" i="2"/>
  <c r="Y900" i="2"/>
  <c r="X900" i="2"/>
  <c r="W900" i="2"/>
  <c r="V900" i="2"/>
  <c r="U900" i="2"/>
  <c r="T900" i="2"/>
  <c r="S900" i="2"/>
  <c r="R900" i="2"/>
  <c r="Q900" i="2"/>
  <c r="P900" i="2"/>
  <c r="O900" i="2"/>
  <c r="N900" i="2"/>
  <c r="M900" i="2"/>
  <c r="L900" i="2"/>
  <c r="K900" i="2"/>
  <c r="J900" i="2"/>
  <c r="I900" i="2"/>
  <c r="H900" i="2"/>
  <c r="G900" i="2"/>
  <c r="F900" i="2"/>
  <c r="E900" i="2"/>
  <c r="D900" i="2"/>
  <c r="C900" i="2"/>
  <c r="B900" i="2"/>
  <c r="A900" i="2"/>
  <c r="AD899" i="2"/>
  <c r="AC899" i="2"/>
  <c r="AB899" i="2"/>
  <c r="AA899" i="2"/>
  <c r="Z899" i="2"/>
  <c r="Y899" i="2"/>
  <c r="X899" i="2"/>
  <c r="W899" i="2"/>
  <c r="V899" i="2"/>
  <c r="U899" i="2"/>
  <c r="T899" i="2"/>
  <c r="S899" i="2"/>
  <c r="R899" i="2"/>
  <c r="Q899" i="2"/>
  <c r="P899" i="2"/>
  <c r="O899" i="2"/>
  <c r="N899" i="2"/>
  <c r="M899" i="2"/>
  <c r="L899" i="2"/>
  <c r="K899" i="2"/>
  <c r="J899" i="2"/>
  <c r="I899" i="2"/>
  <c r="H899" i="2"/>
  <c r="G899" i="2"/>
  <c r="F899" i="2"/>
  <c r="E899" i="2"/>
  <c r="D899" i="2"/>
  <c r="C899" i="2"/>
  <c r="B899" i="2"/>
  <c r="A899" i="2"/>
  <c r="AD898" i="2"/>
  <c r="AC898" i="2"/>
  <c r="AB898" i="2"/>
  <c r="AA898" i="2"/>
  <c r="Z898" i="2"/>
  <c r="Y898" i="2"/>
  <c r="X898" i="2"/>
  <c r="W898" i="2"/>
  <c r="V898" i="2"/>
  <c r="U898" i="2"/>
  <c r="T898" i="2"/>
  <c r="S898" i="2"/>
  <c r="R898" i="2"/>
  <c r="Q898" i="2"/>
  <c r="P898" i="2"/>
  <c r="O898" i="2"/>
  <c r="N898" i="2"/>
  <c r="M898" i="2"/>
  <c r="L898" i="2"/>
  <c r="K898" i="2"/>
  <c r="J898" i="2"/>
  <c r="I898" i="2"/>
  <c r="H898" i="2"/>
  <c r="G898" i="2"/>
  <c r="F898" i="2"/>
  <c r="E898" i="2"/>
  <c r="D898" i="2"/>
  <c r="C898" i="2"/>
  <c r="B898" i="2"/>
  <c r="A898" i="2"/>
  <c r="AD897" i="2"/>
  <c r="AC897" i="2"/>
  <c r="AB897" i="2"/>
  <c r="AA897" i="2"/>
  <c r="Z897" i="2"/>
  <c r="Y897" i="2"/>
  <c r="X897" i="2"/>
  <c r="W897" i="2"/>
  <c r="V897" i="2"/>
  <c r="U897" i="2"/>
  <c r="T897" i="2"/>
  <c r="S897" i="2"/>
  <c r="R897" i="2"/>
  <c r="Q897" i="2"/>
  <c r="P897" i="2"/>
  <c r="O897" i="2"/>
  <c r="N897" i="2"/>
  <c r="M897" i="2"/>
  <c r="L897" i="2"/>
  <c r="K897" i="2"/>
  <c r="J897" i="2"/>
  <c r="I897" i="2"/>
  <c r="H897" i="2"/>
  <c r="G897" i="2"/>
  <c r="F897" i="2"/>
  <c r="E897" i="2"/>
  <c r="D897" i="2"/>
  <c r="C897" i="2"/>
  <c r="B897" i="2"/>
  <c r="A897" i="2"/>
  <c r="AD896" i="2"/>
  <c r="AC896" i="2"/>
  <c r="AB896" i="2"/>
  <c r="AA896" i="2"/>
  <c r="Z896" i="2"/>
  <c r="Y896" i="2"/>
  <c r="X896" i="2"/>
  <c r="W896" i="2"/>
  <c r="V896" i="2"/>
  <c r="U896" i="2"/>
  <c r="T896" i="2"/>
  <c r="S896" i="2"/>
  <c r="R896" i="2"/>
  <c r="Q896" i="2"/>
  <c r="P896" i="2"/>
  <c r="O896" i="2"/>
  <c r="N896" i="2"/>
  <c r="M896" i="2"/>
  <c r="L896" i="2"/>
  <c r="K896" i="2"/>
  <c r="J896" i="2"/>
  <c r="I896" i="2"/>
  <c r="H896" i="2"/>
  <c r="G896" i="2"/>
  <c r="F896" i="2"/>
  <c r="E896" i="2"/>
  <c r="D896" i="2"/>
  <c r="C896" i="2"/>
  <c r="B896" i="2"/>
  <c r="A896" i="2"/>
  <c r="AD895" i="2"/>
  <c r="AC895" i="2"/>
  <c r="AB895" i="2"/>
  <c r="AA895" i="2"/>
  <c r="Z895" i="2"/>
  <c r="Y895" i="2"/>
  <c r="X895" i="2"/>
  <c r="W895" i="2"/>
  <c r="V895" i="2"/>
  <c r="U895" i="2"/>
  <c r="T895" i="2"/>
  <c r="S895" i="2"/>
  <c r="R895" i="2"/>
  <c r="Q895" i="2"/>
  <c r="P895" i="2"/>
  <c r="O895" i="2"/>
  <c r="N895" i="2"/>
  <c r="M895" i="2"/>
  <c r="L895" i="2"/>
  <c r="K895" i="2"/>
  <c r="J895" i="2"/>
  <c r="I895" i="2"/>
  <c r="H895" i="2"/>
  <c r="G895" i="2"/>
  <c r="F895" i="2"/>
  <c r="E895" i="2"/>
  <c r="D895" i="2"/>
  <c r="C895" i="2"/>
  <c r="B895" i="2"/>
  <c r="A895" i="2"/>
  <c r="AD894" i="2"/>
  <c r="AC894" i="2"/>
  <c r="AB894" i="2"/>
  <c r="AA894" i="2"/>
  <c r="Z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D893" i="2"/>
  <c r="AC893" i="2"/>
  <c r="AB893" i="2"/>
  <c r="AA893" i="2"/>
  <c r="Z893" i="2"/>
  <c r="Y893" i="2"/>
  <c r="X893" i="2"/>
  <c r="W893" i="2"/>
  <c r="V893" i="2"/>
  <c r="U893" i="2"/>
  <c r="T893" i="2"/>
  <c r="S893" i="2"/>
  <c r="R893" i="2"/>
  <c r="Q893" i="2"/>
  <c r="P893" i="2"/>
  <c r="O893" i="2"/>
  <c r="N893" i="2"/>
  <c r="M893" i="2"/>
  <c r="L893" i="2"/>
  <c r="K893" i="2"/>
  <c r="J893" i="2"/>
  <c r="I893" i="2"/>
  <c r="H893" i="2"/>
  <c r="G893" i="2"/>
  <c r="F893" i="2"/>
  <c r="E893" i="2"/>
  <c r="D893" i="2"/>
  <c r="C893" i="2"/>
  <c r="B893" i="2"/>
  <c r="A893" i="2"/>
  <c r="AD892" i="2"/>
  <c r="AC892" i="2"/>
  <c r="AB892" i="2"/>
  <c r="AA892" i="2"/>
  <c r="Z892" i="2"/>
  <c r="Y892" i="2"/>
  <c r="X892" i="2"/>
  <c r="W892" i="2"/>
  <c r="V892" i="2"/>
  <c r="U892" i="2"/>
  <c r="T892" i="2"/>
  <c r="S892" i="2"/>
  <c r="R892" i="2"/>
  <c r="Q892" i="2"/>
  <c r="P892" i="2"/>
  <c r="O892" i="2"/>
  <c r="N892" i="2"/>
  <c r="M892" i="2"/>
  <c r="L892" i="2"/>
  <c r="K892" i="2"/>
  <c r="J892" i="2"/>
  <c r="I892" i="2"/>
  <c r="H892" i="2"/>
  <c r="G892" i="2"/>
  <c r="F892" i="2"/>
  <c r="E892" i="2"/>
  <c r="D892" i="2"/>
  <c r="C892" i="2"/>
  <c r="B892" i="2"/>
  <c r="A892" i="2"/>
  <c r="AD891" i="2"/>
  <c r="AC891" i="2"/>
  <c r="AB891" i="2"/>
  <c r="AA891" i="2"/>
  <c r="Z891" i="2"/>
  <c r="Y891" i="2"/>
  <c r="X891" i="2"/>
  <c r="W891" i="2"/>
  <c r="V891" i="2"/>
  <c r="U891" i="2"/>
  <c r="T891" i="2"/>
  <c r="S891" i="2"/>
  <c r="R891" i="2"/>
  <c r="Q891" i="2"/>
  <c r="P891" i="2"/>
  <c r="O891" i="2"/>
  <c r="N891" i="2"/>
  <c r="M891" i="2"/>
  <c r="L891" i="2"/>
  <c r="K891" i="2"/>
  <c r="J891" i="2"/>
  <c r="I891" i="2"/>
  <c r="H891" i="2"/>
  <c r="G891" i="2"/>
  <c r="F891" i="2"/>
  <c r="E891" i="2"/>
  <c r="D891" i="2"/>
  <c r="C891" i="2"/>
  <c r="B891" i="2"/>
  <c r="A891" i="2"/>
  <c r="AD890" i="2"/>
  <c r="AC890" i="2"/>
  <c r="AB890" i="2"/>
  <c r="AA890" i="2"/>
  <c r="Z890" i="2"/>
  <c r="Y890" i="2"/>
  <c r="X890" i="2"/>
  <c r="W890" i="2"/>
  <c r="V890" i="2"/>
  <c r="U890" i="2"/>
  <c r="T890" i="2"/>
  <c r="S890" i="2"/>
  <c r="R890" i="2"/>
  <c r="Q890" i="2"/>
  <c r="P890" i="2"/>
  <c r="O890" i="2"/>
  <c r="N890" i="2"/>
  <c r="M890" i="2"/>
  <c r="L890" i="2"/>
  <c r="K890" i="2"/>
  <c r="J890" i="2"/>
  <c r="I890" i="2"/>
  <c r="H890" i="2"/>
  <c r="G890" i="2"/>
  <c r="F890" i="2"/>
  <c r="E890" i="2"/>
  <c r="D890" i="2"/>
  <c r="C890" i="2"/>
  <c r="B890" i="2"/>
  <c r="A890" i="2"/>
  <c r="AD889" i="2"/>
  <c r="AC889" i="2"/>
  <c r="AB889" i="2"/>
  <c r="AA889" i="2"/>
  <c r="Z889" i="2"/>
  <c r="Y889" i="2"/>
  <c r="X889" i="2"/>
  <c r="W889" i="2"/>
  <c r="V889" i="2"/>
  <c r="U889" i="2"/>
  <c r="T889" i="2"/>
  <c r="S889" i="2"/>
  <c r="R889" i="2"/>
  <c r="Q889" i="2"/>
  <c r="P889" i="2"/>
  <c r="O889" i="2"/>
  <c r="N889" i="2"/>
  <c r="M889" i="2"/>
  <c r="L889" i="2"/>
  <c r="K889" i="2"/>
  <c r="J889" i="2"/>
  <c r="I889" i="2"/>
  <c r="H889" i="2"/>
  <c r="G889" i="2"/>
  <c r="F889" i="2"/>
  <c r="E889" i="2"/>
  <c r="D889" i="2"/>
  <c r="C889" i="2"/>
  <c r="B889" i="2"/>
  <c r="A889" i="2"/>
  <c r="AD888" i="2"/>
  <c r="AC888" i="2"/>
  <c r="AB888" i="2"/>
  <c r="AA888" i="2"/>
  <c r="Z888" i="2"/>
  <c r="Y888" i="2"/>
  <c r="X888" i="2"/>
  <c r="W888" i="2"/>
  <c r="V888" i="2"/>
  <c r="U888" i="2"/>
  <c r="T888" i="2"/>
  <c r="S888" i="2"/>
  <c r="R888" i="2"/>
  <c r="Q888" i="2"/>
  <c r="P888" i="2"/>
  <c r="O888" i="2"/>
  <c r="N888" i="2"/>
  <c r="M888" i="2"/>
  <c r="L888" i="2"/>
  <c r="K888" i="2"/>
  <c r="J888" i="2"/>
  <c r="I888" i="2"/>
  <c r="H888" i="2"/>
  <c r="G888" i="2"/>
  <c r="F888" i="2"/>
  <c r="E888" i="2"/>
  <c r="D888" i="2"/>
  <c r="C888" i="2"/>
  <c r="B888" i="2"/>
  <c r="A888" i="2"/>
  <c r="AD887" i="2"/>
  <c r="AC887" i="2"/>
  <c r="AB887" i="2"/>
  <c r="AA887" i="2"/>
  <c r="Z887" i="2"/>
  <c r="Y887" i="2"/>
  <c r="X887" i="2"/>
  <c r="W887" i="2"/>
  <c r="V887" i="2"/>
  <c r="U887" i="2"/>
  <c r="T887" i="2"/>
  <c r="S887" i="2"/>
  <c r="R887" i="2"/>
  <c r="Q887" i="2"/>
  <c r="P887" i="2"/>
  <c r="O887" i="2"/>
  <c r="N887" i="2"/>
  <c r="M887" i="2"/>
  <c r="L887" i="2"/>
  <c r="K887" i="2"/>
  <c r="J887" i="2"/>
  <c r="I887" i="2"/>
  <c r="H887" i="2"/>
  <c r="G887" i="2"/>
  <c r="F887" i="2"/>
  <c r="E887" i="2"/>
  <c r="D887" i="2"/>
  <c r="C887" i="2"/>
  <c r="B887" i="2"/>
  <c r="A887" i="2"/>
  <c r="AD886" i="2"/>
  <c r="AC886" i="2"/>
  <c r="AB886" i="2"/>
  <c r="AA886" i="2"/>
  <c r="Z886" i="2"/>
  <c r="Y886" i="2"/>
  <c r="X886" i="2"/>
  <c r="W886" i="2"/>
  <c r="V886" i="2"/>
  <c r="U886" i="2"/>
  <c r="T886" i="2"/>
  <c r="S886" i="2"/>
  <c r="R886" i="2"/>
  <c r="Q886" i="2"/>
  <c r="P886" i="2"/>
  <c r="O886" i="2"/>
  <c r="N886" i="2"/>
  <c r="M886" i="2"/>
  <c r="L886" i="2"/>
  <c r="K886" i="2"/>
  <c r="J886" i="2"/>
  <c r="I886" i="2"/>
  <c r="H886" i="2"/>
  <c r="G886" i="2"/>
  <c r="F886" i="2"/>
  <c r="E886" i="2"/>
  <c r="D886" i="2"/>
  <c r="C886" i="2"/>
  <c r="B886" i="2"/>
  <c r="A886" i="2"/>
  <c r="AD885" i="2"/>
  <c r="AC885" i="2"/>
  <c r="AB885" i="2"/>
  <c r="AA885" i="2"/>
  <c r="Z885" i="2"/>
  <c r="Y885" i="2"/>
  <c r="X885" i="2"/>
  <c r="W885" i="2"/>
  <c r="V885" i="2"/>
  <c r="U885" i="2"/>
  <c r="T885" i="2"/>
  <c r="S885" i="2"/>
  <c r="R885" i="2"/>
  <c r="Q885" i="2"/>
  <c r="P885" i="2"/>
  <c r="O885" i="2"/>
  <c r="N885" i="2"/>
  <c r="M885" i="2"/>
  <c r="L885" i="2"/>
  <c r="K885" i="2"/>
  <c r="J885" i="2"/>
  <c r="I885" i="2"/>
  <c r="H885" i="2"/>
  <c r="G885" i="2"/>
  <c r="F885" i="2"/>
  <c r="E885" i="2"/>
  <c r="D885" i="2"/>
  <c r="C885" i="2"/>
  <c r="B885" i="2"/>
  <c r="A885" i="2"/>
  <c r="AD884" i="2"/>
  <c r="AC884" i="2"/>
  <c r="AB884" i="2"/>
  <c r="AA884" i="2"/>
  <c r="Z884" i="2"/>
  <c r="Y884" i="2"/>
  <c r="X884" i="2"/>
  <c r="W884" i="2"/>
  <c r="V884" i="2"/>
  <c r="U884" i="2"/>
  <c r="T884" i="2"/>
  <c r="S884" i="2"/>
  <c r="R884" i="2"/>
  <c r="Q884" i="2"/>
  <c r="P884" i="2"/>
  <c r="O884" i="2"/>
  <c r="N884" i="2"/>
  <c r="M884" i="2"/>
  <c r="L884" i="2"/>
  <c r="K884" i="2"/>
  <c r="J884" i="2"/>
  <c r="I884" i="2"/>
  <c r="H884" i="2"/>
  <c r="G884" i="2"/>
  <c r="F884" i="2"/>
  <c r="E884" i="2"/>
  <c r="D884" i="2"/>
  <c r="C884" i="2"/>
  <c r="B884" i="2"/>
  <c r="A884" i="2"/>
  <c r="AD883" i="2"/>
  <c r="AC883" i="2"/>
  <c r="AB883" i="2"/>
  <c r="AA883" i="2"/>
  <c r="Z883" i="2"/>
  <c r="Y883" i="2"/>
  <c r="X883" i="2"/>
  <c r="W883" i="2"/>
  <c r="V883" i="2"/>
  <c r="U883" i="2"/>
  <c r="T883" i="2"/>
  <c r="S883" i="2"/>
  <c r="R883" i="2"/>
  <c r="Q883" i="2"/>
  <c r="P883" i="2"/>
  <c r="O883" i="2"/>
  <c r="N883" i="2"/>
  <c r="M883" i="2"/>
  <c r="L883" i="2"/>
  <c r="K883" i="2"/>
  <c r="J883" i="2"/>
  <c r="I883" i="2"/>
  <c r="H883" i="2"/>
  <c r="G883" i="2"/>
  <c r="F883" i="2"/>
  <c r="E883" i="2"/>
  <c r="D883" i="2"/>
  <c r="C883" i="2"/>
  <c r="B883" i="2"/>
  <c r="A883" i="2"/>
  <c r="AD882" i="2"/>
  <c r="AC882" i="2"/>
  <c r="AB882" i="2"/>
  <c r="AA882" i="2"/>
  <c r="Z882" i="2"/>
  <c r="Y882" i="2"/>
  <c r="X882" i="2"/>
  <c r="W882" i="2"/>
  <c r="V882" i="2"/>
  <c r="U882" i="2"/>
  <c r="T882" i="2"/>
  <c r="S882" i="2"/>
  <c r="R882" i="2"/>
  <c r="Q882" i="2"/>
  <c r="P882" i="2"/>
  <c r="O882" i="2"/>
  <c r="N882" i="2"/>
  <c r="M882" i="2"/>
  <c r="L882" i="2"/>
  <c r="K882" i="2"/>
  <c r="J882" i="2"/>
  <c r="I882" i="2"/>
  <c r="H882" i="2"/>
  <c r="G882" i="2"/>
  <c r="F882" i="2"/>
  <c r="E882" i="2"/>
  <c r="D882" i="2"/>
  <c r="C882" i="2"/>
  <c r="B882" i="2"/>
  <c r="A882" i="2"/>
  <c r="AD881" i="2"/>
  <c r="AC881" i="2"/>
  <c r="AB881" i="2"/>
  <c r="AA881" i="2"/>
  <c r="Z881" i="2"/>
  <c r="Y881" i="2"/>
  <c r="X881" i="2"/>
  <c r="W881" i="2"/>
  <c r="V881" i="2"/>
  <c r="U881" i="2"/>
  <c r="T881" i="2"/>
  <c r="S881" i="2"/>
  <c r="R881" i="2"/>
  <c r="Q881" i="2"/>
  <c r="P881" i="2"/>
  <c r="O881" i="2"/>
  <c r="N881" i="2"/>
  <c r="M881" i="2"/>
  <c r="L881" i="2"/>
  <c r="K881" i="2"/>
  <c r="J881" i="2"/>
  <c r="I881" i="2"/>
  <c r="H881" i="2"/>
  <c r="G881" i="2"/>
  <c r="F881" i="2"/>
  <c r="E881" i="2"/>
  <c r="D881" i="2"/>
  <c r="C881" i="2"/>
  <c r="B881" i="2"/>
  <c r="A881" i="2"/>
  <c r="AD880" i="2"/>
  <c r="AC880" i="2"/>
  <c r="AB880" i="2"/>
  <c r="AA880" i="2"/>
  <c r="Z880" i="2"/>
  <c r="Y880" i="2"/>
  <c r="X880" i="2"/>
  <c r="W880" i="2"/>
  <c r="V880" i="2"/>
  <c r="U880" i="2"/>
  <c r="T880" i="2"/>
  <c r="S880" i="2"/>
  <c r="R880" i="2"/>
  <c r="Q880" i="2"/>
  <c r="P880" i="2"/>
  <c r="O880" i="2"/>
  <c r="N880" i="2"/>
  <c r="M880" i="2"/>
  <c r="L880" i="2"/>
  <c r="K880" i="2"/>
  <c r="J880" i="2"/>
  <c r="I880" i="2"/>
  <c r="H880" i="2"/>
  <c r="G880" i="2"/>
  <c r="F880" i="2"/>
  <c r="E880" i="2"/>
  <c r="D880" i="2"/>
  <c r="C880" i="2"/>
  <c r="B880" i="2"/>
  <c r="A880" i="2"/>
  <c r="AD879" i="2"/>
  <c r="AC879" i="2"/>
  <c r="AB879" i="2"/>
  <c r="AA879" i="2"/>
  <c r="Z879" i="2"/>
  <c r="Y879" i="2"/>
  <c r="X879" i="2"/>
  <c r="W879" i="2"/>
  <c r="V879" i="2"/>
  <c r="U879" i="2"/>
  <c r="T879" i="2"/>
  <c r="S879" i="2"/>
  <c r="R879" i="2"/>
  <c r="Q879" i="2"/>
  <c r="P879" i="2"/>
  <c r="O879" i="2"/>
  <c r="N879" i="2"/>
  <c r="M879" i="2"/>
  <c r="L879" i="2"/>
  <c r="K879" i="2"/>
  <c r="J879" i="2"/>
  <c r="I879" i="2"/>
  <c r="H879" i="2"/>
  <c r="G879" i="2"/>
  <c r="F879" i="2"/>
  <c r="E879" i="2"/>
  <c r="D879" i="2"/>
  <c r="C879" i="2"/>
  <c r="B879" i="2"/>
  <c r="A879" i="2"/>
  <c r="AD878" i="2"/>
  <c r="AC878" i="2"/>
  <c r="AB878" i="2"/>
  <c r="AA878" i="2"/>
  <c r="Z878" i="2"/>
  <c r="Y878" i="2"/>
  <c r="X878" i="2"/>
  <c r="W878" i="2"/>
  <c r="V878" i="2"/>
  <c r="U878" i="2"/>
  <c r="T878" i="2"/>
  <c r="S878" i="2"/>
  <c r="R878" i="2"/>
  <c r="Q878" i="2"/>
  <c r="P878" i="2"/>
  <c r="O878" i="2"/>
  <c r="N878" i="2"/>
  <c r="M878" i="2"/>
  <c r="L878" i="2"/>
  <c r="K878" i="2"/>
  <c r="J878" i="2"/>
  <c r="I878" i="2"/>
  <c r="H878" i="2"/>
  <c r="G878" i="2"/>
  <c r="F878" i="2"/>
  <c r="E878" i="2"/>
  <c r="D878" i="2"/>
  <c r="C878" i="2"/>
  <c r="B878" i="2"/>
  <c r="A878" i="2"/>
  <c r="AD877" i="2"/>
  <c r="AC877" i="2"/>
  <c r="AB877" i="2"/>
  <c r="AA877" i="2"/>
  <c r="Z877" i="2"/>
  <c r="Y877" i="2"/>
  <c r="X877" i="2"/>
  <c r="W877" i="2"/>
  <c r="V877" i="2"/>
  <c r="U877" i="2"/>
  <c r="T877" i="2"/>
  <c r="S877" i="2"/>
  <c r="R877" i="2"/>
  <c r="Q877" i="2"/>
  <c r="P877" i="2"/>
  <c r="O877" i="2"/>
  <c r="N877" i="2"/>
  <c r="M877" i="2"/>
  <c r="L877" i="2"/>
  <c r="K877" i="2"/>
  <c r="J877" i="2"/>
  <c r="I877" i="2"/>
  <c r="H877" i="2"/>
  <c r="G877" i="2"/>
  <c r="F877" i="2"/>
  <c r="E877" i="2"/>
  <c r="D877" i="2"/>
  <c r="C877" i="2"/>
  <c r="B877" i="2"/>
  <c r="A877" i="2"/>
  <c r="AD876" i="2"/>
  <c r="AC876" i="2"/>
  <c r="AB876" i="2"/>
  <c r="AA876" i="2"/>
  <c r="Z876" i="2"/>
  <c r="Y876" i="2"/>
  <c r="X876" i="2"/>
  <c r="W876" i="2"/>
  <c r="V876" i="2"/>
  <c r="U876" i="2"/>
  <c r="T876" i="2"/>
  <c r="S876" i="2"/>
  <c r="R876" i="2"/>
  <c r="Q876" i="2"/>
  <c r="P876" i="2"/>
  <c r="O876" i="2"/>
  <c r="N876" i="2"/>
  <c r="M876" i="2"/>
  <c r="L876" i="2"/>
  <c r="K876" i="2"/>
  <c r="J876" i="2"/>
  <c r="I876" i="2"/>
  <c r="H876" i="2"/>
  <c r="G876" i="2"/>
  <c r="F876" i="2"/>
  <c r="E876" i="2"/>
  <c r="D876" i="2"/>
  <c r="C876" i="2"/>
  <c r="B876" i="2"/>
  <c r="A876" i="2"/>
  <c r="AD875" i="2"/>
  <c r="AC875" i="2"/>
  <c r="AB875" i="2"/>
  <c r="AA875" i="2"/>
  <c r="Z875" i="2"/>
  <c r="Y875" i="2"/>
  <c r="X875" i="2"/>
  <c r="W875" i="2"/>
  <c r="V875" i="2"/>
  <c r="U875" i="2"/>
  <c r="T875" i="2"/>
  <c r="S875" i="2"/>
  <c r="R875" i="2"/>
  <c r="Q875" i="2"/>
  <c r="P875" i="2"/>
  <c r="O875" i="2"/>
  <c r="N875" i="2"/>
  <c r="M875" i="2"/>
  <c r="L875" i="2"/>
  <c r="K875" i="2"/>
  <c r="J875" i="2"/>
  <c r="I875" i="2"/>
  <c r="H875" i="2"/>
  <c r="G875" i="2"/>
  <c r="F875" i="2"/>
  <c r="E875" i="2"/>
  <c r="D875" i="2"/>
  <c r="C875" i="2"/>
  <c r="B875" i="2"/>
  <c r="A875" i="2"/>
  <c r="AD874" i="2"/>
  <c r="AC874" i="2"/>
  <c r="AB874" i="2"/>
  <c r="AA874" i="2"/>
  <c r="Z874" i="2"/>
  <c r="Y874" i="2"/>
  <c r="X874" i="2"/>
  <c r="W874" i="2"/>
  <c r="V874" i="2"/>
  <c r="U874" i="2"/>
  <c r="T874" i="2"/>
  <c r="S874" i="2"/>
  <c r="R874" i="2"/>
  <c r="Q874" i="2"/>
  <c r="P874" i="2"/>
  <c r="O874" i="2"/>
  <c r="N874" i="2"/>
  <c r="M874" i="2"/>
  <c r="L874" i="2"/>
  <c r="K874" i="2"/>
  <c r="J874" i="2"/>
  <c r="I874" i="2"/>
  <c r="H874" i="2"/>
  <c r="G874" i="2"/>
  <c r="F874" i="2"/>
  <c r="E874" i="2"/>
  <c r="D874" i="2"/>
  <c r="C874" i="2"/>
  <c r="B874" i="2"/>
  <c r="A874" i="2"/>
  <c r="AD873" i="2"/>
  <c r="AC873" i="2"/>
  <c r="AB873" i="2"/>
  <c r="AA873" i="2"/>
  <c r="Z873" i="2"/>
  <c r="Y873" i="2"/>
  <c r="X873" i="2"/>
  <c r="W873" i="2"/>
  <c r="V873" i="2"/>
  <c r="U873" i="2"/>
  <c r="T873" i="2"/>
  <c r="S873" i="2"/>
  <c r="R873" i="2"/>
  <c r="Q873" i="2"/>
  <c r="P873" i="2"/>
  <c r="O873" i="2"/>
  <c r="N873" i="2"/>
  <c r="M873" i="2"/>
  <c r="L873" i="2"/>
  <c r="K873" i="2"/>
  <c r="J873" i="2"/>
  <c r="I873" i="2"/>
  <c r="H873" i="2"/>
  <c r="G873" i="2"/>
  <c r="F873" i="2"/>
  <c r="E873" i="2"/>
  <c r="D873" i="2"/>
  <c r="C873" i="2"/>
  <c r="B873" i="2"/>
  <c r="A873" i="2"/>
  <c r="AD872" i="2"/>
  <c r="AC872" i="2"/>
  <c r="AB872" i="2"/>
  <c r="AA872" i="2"/>
  <c r="Z872" i="2"/>
  <c r="Y872" i="2"/>
  <c r="X872" i="2"/>
  <c r="W872" i="2"/>
  <c r="V872" i="2"/>
  <c r="U872" i="2"/>
  <c r="T872" i="2"/>
  <c r="S872" i="2"/>
  <c r="R872" i="2"/>
  <c r="Q872" i="2"/>
  <c r="P872" i="2"/>
  <c r="O872" i="2"/>
  <c r="N872" i="2"/>
  <c r="M872" i="2"/>
  <c r="L872" i="2"/>
  <c r="K872" i="2"/>
  <c r="J872" i="2"/>
  <c r="I872" i="2"/>
  <c r="H872" i="2"/>
  <c r="G872" i="2"/>
  <c r="F872" i="2"/>
  <c r="E872" i="2"/>
  <c r="D872" i="2"/>
  <c r="C872" i="2"/>
  <c r="B872" i="2"/>
  <c r="A872" i="2"/>
  <c r="AD871" i="2"/>
  <c r="AC871" i="2"/>
  <c r="AB871" i="2"/>
  <c r="AA871" i="2"/>
  <c r="Z871" i="2"/>
  <c r="Y871" i="2"/>
  <c r="X871" i="2"/>
  <c r="W871" i="2"/>
  <c r="V871" i="2"/>
  <c r="U871" i="2"/>
  <c r="T871" i="2"/>
  <c r="S871" i="2"/>
  <c r="R871" i="2"/>
  <c r="Q871" i="2"/>
  <c r="P871" i="2"/>
  <c r="O871" i="2"/>
  <c r="N871" i="2"/>
  <c r="M871" i="2"/>
  <c r="L871" i="2"/>
  <c r="K871" i="2"/>
  <c r="J871" i="2"/>
  <c r="I871" i="2"/>
  <c r="H871" i="2"/>
  <c r="G871" i="2"/>
  <c r="F871" i="2"/>
  <c r="E871" i="2"/>
  <c r="D871" i="2"/>
  <c r="C871" i="2"/>
  <c r="B871" i="2"/>
  <c r="A871" i="2"/>
  <c r="AD870" i="2"/>
  <c r="AC870" i="2"/>
  <c r="AB870" i="2"/>
  <c r="AA870" i="2"/>
  <c r="Z870" i="2"/>
  <c r="Y870" i="2"/>
  <c r="X870" i="2"/>
  <c r="W870" i="2"/>
  <c r="V870" i="2"/>
  <c r="U870" i="2"/>
  <c r="T870" i="2"/>
  <c r="S870" i="2"/>
  <c r="R870" i="2"/>
  <c r="Q870" i="2"/>
  <c r="P870" i="2"/>
  <c r="O870" i="2"/>
  <c r="N870" i="2"/>
  <c r="M870" i="2"/>
  <c r="L870" i="2"/>
  <c r="K870" i="2"/>
  <c r="J870" i="2"/>
  <c r="I870" i="2"/>
  <c r="H870" i="2"/>
  <c r="G870" i="2"/>
  <c r="F870" i="2"/>
  <c r="E870" i="2"/>
  <c r="D870" i="2"/>
  <c r="C870" i="2"/>
  <c r="B870" i="2"/>
  <c r="A870" i="2"/>
  <c r="AD869" i="2"/>
  <c r="AC869" i="2"/>
  <c r="AB869" i="2"/>
  <c r="AA869" i="2"/>
  <c r="Z869" i="2"/>
  <c r="Y869" i="2"/>
  <c r="X869" i="2"/>
  <c r="W869" i="2"/>
  <c r="V869" i="2"/>
  <c r="U869" i="2"/>
  <c r="T869" i="2"/>
  <c r="S869" i="2"/>
  <c r="R869" i="2"/>
  <c r="Q869" i="2"/>
  <c r="P869" i="2"/>
  <c r="O869" i="2"/>
  <c r="N869" i="2"/>
  <c r="M869" i="2"/>
  <c r="L869" i="2"/>
  <c r="K869" i="2"/>
  <c r="J869" i="2"/>
  <c r="I869" i="2"/>
  <c r="H869" i="2"/>
  <c r="G869" i="2"/>
  <c r="F869" i="2"/>
  <c r="E869" i="2"/>
  <c r="D869" i="2"/>
  <c r="C869" i="2"/>
  <c r="B869" i="2"/>
  <c r="A869" i="2"/>
  <c r="AD868" i="2"/>
  <c r="AC868" i="2"/>
  <c r="AB868" i="2"/>
  <c r="AA868" i="2"/>
  <c r="Z868" i="2"/>
  <c r="Y868" i="2"/>
  <c r="X868" i="2"/>
  <c r="W868" i="2"/>
  <c r="V868" i="2"/>
  <c r="U868" i="2"/>
  <c r="T868" i="2"/>
  <c r="S868" i="2"/>
  <c r="R868" i="2"/>
  <c r="Q868" i="2"/>
  <c r="P868" i="2"/>
  <c r="O868" i="2"/>
  <c r="N868" i="2"/>
  <c r="M868" i="2"/>
  <c r="L868" i="2"/>
  <c r="K868" i="2"/>
  <c r="J868" i="2"/>
  <c r="I868" i="2"/>
  <c r="H868" i="2"/>
  <c r="G868" i="2"/>
  <c r="F868" i="2"/>
  <c r="E868" i="2"/>
  <c r="D868" i="2"/>
  <c r="C868" i="2"/>
  <c r="B868" i="2"/>
  <c r="A868" i="2"/>
  <c r="AD867" i="2"/>
  <c r="AC867" i="2"/>
  <c r="AB867" i="2"/>
  <c r="AA867" i="2"/>
  <c r="Z867" i="2"/>
  <c r="Y867" i="2"/>
  <c r="X867" i="2"/>
  <c r="W867" i="2"/>
  <c r="V867" i="2"/>
  <c r="U867" i="2"/>
  <c r="T867" i="2"/>
  <c r="S867" i="2"/>
  <c r="R867" i="2"/>
  <c r="Q867" i="2"/>
  <c r="P867" i="2"/>
  <c r="O867" i="2"/>
  <c r="N867" i="2"/>
  <c r="M867" i="2"/>
  <c r="L867" i="2"/>
  <c r="K867" i="2"/>
  <c r="J867" i="2"/>
  <c r="I867" i="2"/>
  <c r="H867" i="2"/>
  <c r="G867" i="2"/>
  <c r="F867" i="2"/>
  <c r="E867" i="2"/>
  <c r="D867" i="2"/>
  <c r="C867" i="2"/>
  <c r="B867" i="2"/>
  <c r="A867" i="2"/>
  <c r="AD866" i="2"/>
  <c r="AC866" i="2"/>
  <c r="AB866" i="2"/>
  <c r="AA866" i="2"/>
  <c r="Z866" i="2"/>
  <c r="Y866" i="2"/>
  <c r="X866" i="2"/>
  <c r="W866" i="2"/>
  <c r="V866" i="2"/>
  <c r="U866" i="2"/>
  <c r="T866" i="2"/>
  <c r="S866" i="2"/>
  <c r="R866" i="2"/>
  <c r="Q866" i="2"/>
  <c r="P866" i="2"/>
  <c r="O866" i="2"/>
  <c r="N866" i="2"/>
  <c r="M866" i="2"/>
  <c r="L866" i="2"/>
  <c r="K866" i="2"/>
  <c r="J866" i="2"/>
  <c r="I866" i="2"/>
  <c r="H866" i="2"/>
  <c r="G866" i="2"/>
  <c r="F866" i="2"/>
  <c r="E866" i="2"/>
  <c r="D866" i="2"/>
  <c r="C866" i="2"/>
  <c r="B866" i="2"/>
  <c r="A866" i="2"/>
  <c r="AD865" i="2"/>
  <c r="AC865" i="2"/>
  <c r="AB865" i="2"/>
  <c r="AA865" i="2"/>
  <c r="Z865" i="2"/>
  <c r="Y865" i="2"/>
  <c r="X865" i="2"/>
  <c r="W865" i="2"/>
  <c r="V865" i="2"/>
  <c r="U865" i="2"/>
  <c r="T865" i="2"/>
  <c r="S865" i="2"/>
  <c r="R865" i="2"/>
  <c r="Q865" i="2"/>
  <c r="P865" i="2"/>
  <c r="O865" i="2"/>
  <c r="N865" i="2"/>
  <c r="M865" i="2"/>
  <c r="L865" i="2"/>
  <c r="K865" i="2"/>
  <c r="J865" i="2"/>
  <c r="I865" i="2"/>
  <c r="H865" i="2"/>
  <c r="G865" i="2"/>
  <c r="F865" i="2"/>
  <c r="E865" i="2"/>
  <c r="D865" i="2"/>
  <c r="C865" i="2"/>
  <c r="B865" i="2"/>
  <c r="A865" i="2"/>
  <c r="AD864" i="2"/>
  <c r="AC864" i="2"/>
  <c r="AB864" i="2"/>
  <c r="AA864" i="2"/>
  <c r="Z864" i="2"/>
  <c r="Y864" i="2"/>
  <c r="X864" i="2"/>
  <c r="W864" i="2"/>
  <c r="V864" i="2"/>
  <c r="U864" i="2"/>
  <c r="T864" i="2"/>
  <c r="S864" i="2"/>
  <c r="R864" i="2"/>
  <c r="Q864" i="2"/>
  <c r="P864" i="2"/>
  <c r="O864" i="2"/>
  <c r="N864" i="2"/>
  <c r="M864" i="2"/>
  <c r="L864" i="2"/>
  <c r="K864" i="2"/>
  <c r="J864" i="2"/>
  <c r="I864" i="2"/>
  <c r="H864" i="2"/>
  <c r="G864" i="2"/>
  <c r="F864" i="2"/>
  <c r="E864" i="2"/>
  <c r="D864" i="2"/>
  <c r="C864" i="2"/>
  <c r="B864" i="2"/>
  <c r="A864" i="2"/>
  <c r="AD863" i="2"/>
  <c r="AC863" i="2"/>
  <c r="AB863" i="2"/>
  <c r="AA863" i="2"/>
  <c r="Z863" i="2"/>
  <c r="Y863" i="2"/>
  <c r="X863" i="2"/>
  <c r="W863" i="2"/>
  <c r="V863" i="2"/>
  <c r="U863" i="2"/>
  <c r="T863" i="2"/>
  <c r="S863" i="2"/>
  <c r="R863" i="2"/>
  <c r="Q863" i="2"/>
  <c r="P863" i="2"/>
  <c r="O863" i="2"/>
  <c r="N863" i="2"/>
  <c r="M863" i="2"/>
  <c r="L863" i="2"/>
  <c r="K863" i="2"/>
  <c r="J863" i="2"/>
  <c r="I863" i="2"/>
  <c r="H863" i="2"/>
  <c r="G863" i="2"/>
  <c r="F863" i="2"/>
  <c r="E863" i="2"/>
  <c r="D863" i="2"/>
  <c r="C863" i="2"/>
  <c r="B863" i="2"/>
  <c r="A863" i="2"/>
  <c r="AD862" i="2"/>
  <c r="AC862" i="2"/>
  <c r="AB862" i="2"/>
  <c r="AA862" i="2"/>
  <c r="Z862" i="2"/>
  <c r="Y862" i="2"/>
  <c r="X862" i="2"/>
  <c r="W862" i="2"/>
  <c r="V862" i="2"/>
  <c r="U862" i="2"/>
  <c r="T862" i="2"/>
  <c r="S862" i="2"/>
  <c r="R862" i="2"/>
  <c r="Q862" i="2"/>
  <c r="P862" i="2"/>
  <c r="O862" i="2"/>
  <c r="N862" i="2"/>
  <c r="M862" i="2"/>
  <c r="L862" i="2"/>
  <c r="K862" i="2"/>
  <c r="J862" i="2"/>
  <c r="I862" i="2"/>
  <c r="H862" i="2"/>
  <c r="G862" i="2"/>
  <c r="F862" i="2"/>
  <c r="E862" i="2"/>
  <c r="D862" i="2"/>
  <c r="C862" i="2"/>
  <c r="B862" i="2"/>
  <c r="A862" i="2"/>
  <c r="AD861" i="2"/>
  <c r="AC861" i="2"/>
  <c r="AB861" i="2"/>
  <c r="AA861" i="2"/>
  <c r="Z861" i="2"/>
  <c r="Y861" i="2"/>
  <c r="X861" i="2"/>
  <c r="W861" i="2"/>
  <c r="V861" i="2"/>
  <c r="U861" i="2"/>
  <c r="T861" i="2"/>
  <c r="S861" i="2"/>
  <c r="R861" i="2"/>
  <c r="Q861" i="2"/>
  <c r="P861" i="2"/>
  <c r="O861" i="2"/>
  <c r="N861" i="2"/>
  <c r="M861" i="2"/>
  <c r="L861" i="2"/>
  <c r="K861" i="2"/>
  <c r="J861" i="2"/>
  <c r="I861" i="2"/>
  <c r="H861" i="2"/>
  <c r="G861" i="2"/>
  <c r="F861" i="2"/>
  <c r="E861" i="2"/>
  <c r="D861" i="2"/>
  <c r="C861" i="2"/>
  <c r="B861" i="2"/>
  <c r="A861" i="2"/>
  <c r="AD860" i="2"/>
  <c r="AC860" i="2"/>
  <c r="AB860" i="2"/>
  <c r="AA860" i="2"/>
  <c r="Z860" i="2"/>
  <c r="Y860" i="2"/>
  <c r="X860" i="2"/>
  <c r="W860" i="2"/>
  <c r="V860" i="2"/>
  <c r="U860" i="2"/>
  <c r="T860" i="2"/>
  <c r="S860" i="2"/>
  <c r="R860" i="2"/>
  <c r="Q860" i="2"/>
  <c r="P860" i="2"/>
  <c r="O860" i="2"/>
  <c r="N860" i="2"/>
  <c r="M860" i="2"/>
  <c r="L860" i="2"/>
  <c r="K860" i="2"/>
  <c r="J860" i="2"/>
  <c r="I860" i="2"/>
  <c r="H860" i="2"/>
  <c r="G860" i="2"/>
  <c r="F860" i="2"/>
  <c r="E860" i="2"/>
  <c r="D860" i="2"/>
  <c r="C860" i="2"/>
  <c r="B860" i="2"/>
  <c r="A860" i="2"/>
  <c r="AD859" i="2"/>
  <c r="AC859" i="2"/>
  <c r="AB859" i="2"/>
  <c r="AA859" i="2"/>
  <c r="Z859" i="2"/>
  <c r="Y859" i="2"/>
  <c r="X859" i="2"/>
  <c r="W859" i="2"/>
  <c r="V859" i="2"/>
  <c r="U859" i="2"/>
  <c r="T859" i="2"/>
  <c r="S859" i="2"/>
  <c r="R859" i="2"/>
  <c r="Q859" i="2"/>
  <c r="P859" i="2"/>
  <c r="O859" i="2"/>
  <c r="N859" i="2"/>
  <c r="M859" i="2"/>
  <c r="L859" i="2"/>
  <c r="K859" i="2"/>
  <c r="J859" i="2"/>
  <c r="I859" i="2"/>
  <c r="H859" i="2"/>
  <c r="G859" i="2"/>
  <c r="F859" i="2"/>
  <c r="E859" i="2"/>
  <c r="D859" i="2"/>
  <c r="C859" i="2"/>
  <c r="B859" i="2"/>
  <c r="A859" i="2"/>
  <c r="AD858" i="2"/>
  <c r="AC858" i="2"/>
  <c r="AB858" i="2"/>
  <c r="AA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D857" i="2"/>
  <c r="AC857" i="2"/>
  <c r="AB857" i="2"/>
  <c r="AA857" i="2"/>
  <c r="Z857" i="2"/>
  <c r="Y857" i="2"/>
  <c r="X857" i="2"/>
  <c r="W857" i="2"/>
  <c r="V857" i="2"/>
  <c r="U857" i="2"/>
  <c r="T857" i="2"/>
  <c r="S857" i="2"/>
  <c r="R857" i="2"/>
  <c r="Q857" i="2"/>
  <c r="P857" i="2"/>
  <c r="O857" i="2"/>
  <c r="N857" i="2"/>
  <c r="M857" i="2"/>
  <c r="L857" i="2"/>
  <c r="K857" i="2"/>
  <c r="J857" i="2"/>
  <c r="I857" i="2"/>
  <c r="H857" i="2"/>
  <c r="G857" i="2"/>
  <c r="F857" i="2"/>
  <c r="E857" i="2"/>
  <c r="D857" i="2"/>
  <c r="C857" i="2"/>
  <c r="B857" i="2"/>
  <c r="A857" i="2"/>
  <c r="AD856" i="2"/>
  <c r="AC856" i="2"/>
  <c r="AB856" i="2"/>
  <c r="AA856" i="2"/>
  <c r="Z856" i="2"/>
  <c r="Y856" i="2"/>
  <c r="X856" i="2"/>
  <c r="W856" i="2"/>
  <c r="V856" i="2"/>
  <c r="U856" i="2"/>
  <c r="T856" i="2"/>
  <c r="S856" i="2"/>
  <c r="R856" i="2"/>
  <c r="Q856" i="2"/>
  <c r="P856" i="2"/>
  <c r="O856" i="2"/>
  <c r="N856" i="2"/>
  <c r="M856" i="2"/>
  <c r="L856" i="2"/>
  <c r="K856" i="2"/>
  <c r="J856" i="2"/>
  <c r="I856" i="2"/>
  <c r="H856" i="2"/>
  <c r="G856" i="2"/>
  <c r="F856" i="2"/>
  <c r="E856" i="2"/>
  <c r="D856" i="2"/>
  <c r="C856" i="2"/>
  <c r="B856" i="2"/>
  <c r="A856" i="2"/>
  <c r="AD855" i="2"/>
  <c r="AC855" i="2"/>
  <c r="AB855" i="2"/>
  <c r="AA855" i="2"/>
  <c r="Z855" i="2"/>
  <c r="Y855" i="2"/>
  <c r="X855" i="2"/>
  <c r="W855" i="2"/>
  <c r="V855" i="2"/>
  <c r="U855" i="2"/>
  <c r="T855" i="2"/>
  <c r="S855" i="2"/>
  <c r="R855" i="2"/>
  <c r="Q855" i="2"/>
  <c r="P855" i="2"/>
  <c r="O855" i="2"/>
  <c r="N855" i="2"/>
  <c r="M855" i="2"/>
  <c r="L855" i="2"/>
  <c r="K855" i="2"/>
  <c r="J855" i="2"/>
  <c r="I855" i="2"/>
  <c r="H855" i="2"/>
  <c r="G855" i="2"/>
  <c r="F855" i="2"/>
  <c r="E855" i="2"/>
  <c r="D855" i="2"/>
  <c r="C855" i="2"/>
  <c r="B855" i="2"/>
  <c r="A855" i="2"/>
  <c r="AD854" i="2"/>
  <c r="AC854" i="2"/>
  <c r="AB854" i="2"/>
  <c r="AA854" i="2"/>
  <c r="Z854" i="2"/>
  <c r="Y854" i="2"/>
  <c r="X854" i="2"/>
  <c r="W854" i="2"/>
  <c r="V854" i="2"/>
  <c r="U854" i="2"/>
  <c r="T854" i="2"/>
  <c r="S854" i="2"/>
  <c r="R854" i="2"/>
  <c r="Q854" i="2"/>
  <c r="P854" i="2"/>
  <c r="O854" i="2"/>
  <c r="N854" i="2"/>
  <c r="M854" i="2"/>
  <c r="L854" i="2"/>
  <c r="K854" i="2"/>
  <c r="J854" i="2"/>
  <c r="I854" i="2"/>
  <c r="H854" i="2"/>
  <c r="G854" i="2"/>
  <c r="F854" i="2"/>
  <c r="E854" i="2"/>
  <c r="D854" i="2"/>
  <c r="C854" i="2"/>
  <c r="B854" i="2"/>
  <c r="A854" i="2"/>
  <c r="AD853" i="2"/>
  <c r="AC853" i="2"/>
  <c r="AB853" i="2"/>
  <c r="AA853" i="2"/>
  <c r="Z853" i="2"/>
  <c r="Y853" i="2"/>
  <c r="X853" i="2"/>
  <c r="W853" i="2"/>
  <c r="V853" i="2"/>
  <c r="U853" i="2"/>
  <c r="T853" i="2"/>
  <c r="S853" i="2"/>
  <c r="R853" i="2"/>
  <c r="Q853" i="2"/>
  <c r="P853" i="2"/>
  <c r="O853" i="2"/>
  <c r="N853" i="2"/>
  <c r="M853" i="2"/>
  <c r="L853" i="2"/>
  <c r="K853" i="2"/>
  <c r="J853" i="2"/>
  <c r="I853" i="2"/>
  <c r="H853" i="2"/>
  <c r="G853" i="2"/>
  <c r="F853" i="2"/>
  <c r="E853" i="2"/>
  <c r="D853" i="2"/>
  <c r="C853" i="2"/>
  <c r="B853" i="2"/>
  <c r="A853" i="2"/>
  <c r="AD852" i="2"/>
  <c r="AC852" i="2"/>
  <c r="AB852" i="2"/>
  <c r="AA852" i="2"/>
  <c r="Z852" i="2"/>
  <c r="Y852" i="2"/>
  <c r="X852" i="2"/>
  <c r="W852" i="2"/>
  <c r="V852" i="2"/>
  <c r="U852" i="2"/>
  <c r="T852" i="2"/>
  <c r="S852" i="2"/>
  <c r="R852" i="2"/>
  <c r="Q852" i="2"/>
  <c r="P852" i="2"/>
  <c r="O852" i="2"/>
  <c r="N852" i="2"/>
  <c r="M852" i="2"/>
  <c r="L852" i="2"/>
  <c r="K852" i="2"/>
  <c r="J852" i="2"/>
  <c r="I852" i="2"/>
  <c r="H852" i="2"/>
  <c r="G852" i="2"/>
  <c r="F852" i="2"/>
  <c r="E852" i="2"/>
  <c r="D852" i="2"/>
  <c r="C852" i="2"/>
  <c r="B852" i="2"/>
  <c r="A852" i="2"/>
  <c r="AD851" i="2"/>
  <c r="AC851" i="2"/>
  <c r="AB851" i="2"/>
  <c r="AA851" i="2"/>
  <c r="Z851" i="2"/>
  <c r="Y851" i="2"/>
  <c r="X851" i="2"/>
  <c r="W851" i="2"/>
  <c r="V851" i="2"/>
  <c r="U851" i="2"/>
  <c r="T851" i="2"/>
  <c r="S851" i="2"/>
  <c r="R851" i="2"/>
  <c r="Q851" i="2"/>
  <c r="P851" i="2"/>
  <c r="O851" i="2"/>
  <c r="N851" i="2"/>
  <c r="M851" i="2"/>
  <c r="L851" i="2"/>
  <c r="K851" i="2"/>
  <c r="J851" i="2"/>
  <c r="I851" i="2"/>
  <c r="H851" i="2"/>
  <c r="G851" i="2"/>
  <c r="F851" i="2"/>
  <c r="E851" i="2"/>
  <c r="D851" i="2"/>
  <c r="C851" i="2"/>
  <c r="B851" i="2"/>
  <c r="A851" i="2"/>
  <c r="AD850" i="2"/>
  <c r="AC850" i="2"/>
  <c r="AB850" i="2"/>
  <c r="AA850" i="2"/>
  <c r="Z850" i="2"/>
  <c r="Y850" i="2"/>
  <c r="X850" i="2"/>
  <c r="W850" i="2"/>
  <c r="V850" i="2"/>
  <c r="U850" i="2"/>
  <c r="T850" i="2"/>
  <c r="S850" i="2"/>
  <c r="R850" i="2"/>
  <c r="Q850" i="2"/>
  <c r="P850" i="2"/>
  <c r="O850" i="2"/>
  <c r="N850" i="2"/>
  <c r="M850" i="2"/>
  <c r="L850" i="2"/>
  <c r="K850" i="2"/>
  <c r="J850" i="2"/>
  <c r="I850" i="2"/>
  <c r="H850" i="2"/>
  <c r="G850" i="2"/>
  <c r="F850" i="2"/>
  <c r="E850" i="2"/>
  <c r="D850" i="2"/>
  <c r="C850" i="2"/>
  <c r="B850" i="2"/>
  <c r="A850" i="2"/>
  <c r="AD849" i="2"/>
  <c r="AC849" i="2"/>
  <c r="AB849" i="2"/>
  <c r="AA849" i="2"/>
  <c r="Z849" i="2"/>
  <c r="Y849" i="2"/>
  <c r="X849" i="2"/>
  <c r="W849" i="2"/>
  <c r="V849" i="2"/>
  <c r="U849" i="2"/>
  <c r="T849" i="2"/>
  <c r="S849" i="2"/>
  <c r="R849" i="2"/>
  <c r="Q849" i="2"/>
  <c r="P849" i="2"/>
  <c r="O849" i="2"/>
  <c r="N849" i="2"/>
  <c r="M849" i="2"/>
  <c r="L849" i="2"/>
  <c r="K849" i="2"/>
  <c r="J849" i="2"/>
  <c r="I849" i="2"/>
  <c r="H849" i="2"/>
  <c r="G849" i="2"/>
  <c r="F849" i="2"/>
  <c r="E849" i="2"/>
  <c r="D849" i="2"/>
  <c r="C849" i="2"/>
  <c r="B849" i="2"/>
  <c r="A849" i="2"/>
  <c r="AD848" i="2"/>
  <c r="AC848" i="2"/>
  <c r="AB848" i="2"/>
  <c r="AA848" i="2"/>
  <c r="Z848" i="2"/>
  <c r="Y848" i="2"/>
  <c r="X848" i="2"/>
  <c r="W848" i="2"/>
  <c r="V848" i="2"/>
  <c r="U848" i="2"/>
  <c r="T848" i="2"/>
  <c r="S848" i="2"/>
  <c r="R848" i="2"/>
  <c r="Q848" i="2"/>
  <c r="P848" i="2"/>
  <c r="O848" i="2"/>
  <c r="N848" i="2"/>
  <c r="M848" i="2"/>
  <c r="L848" i="2"/>
  <c r="K848" i="2"/>
  <c r="J848" i="2"/>
  <c r="I848" i="2"/>
  <c r="H848" i="2"/>
  <c r="G848" i="2"/>
  <c r="F848" i="2"/>
  <c r="E848" i="2"/>
  <c r="D848" i="2"/>
  <c r="C848" i="2"/>
  <c r="B848" i="2"/>
  <c r="A848" i="2"/>
  <c r="AD847" i="2"/>
  <c r="AC847" i="2"/>
  <c r="AB847" i="2"/>
  <c r="AA847" i="2"/>
  <c r="Z847" i="2"/>
  <c r="Y847" i="2"/>
  <c r="X847" i="2"/>
  <c r="W847" i="2"/>
  <c r="V847" i="2"/>
  <c r="U847" i="2"/>
  <c r="T847" i="2"/>
  <c r="S847" i="2"/>
  <c r="R847" i="2"/>
  <c r="Q847" i="2"/>
  <c r="P847" i="2"/>
  <c r="O847" i="2"/>
  <c r="N847" i="2"/>
  <c r="M847" i="2"/>
  <c r="L847" i="2"/>
  <c r="K847" i="2"/>
  <c r="J847" i="2"/>
  <c r="I847" i="2"/>
  <c r="H847" i="2"/>
  <c r="G847" i="2"/>
  <c r="F847" i="2"/>
  <c r="E847" i="2"/>
  <c r="D847" i="2"/>
  <c r="C847" i="2"/>
  <c r="B847" i="2"/>
  <c r="A847" i="2"/>
  <c r="AD846" i="2"/>
  <c r="AC846" i="2"/>
  <c r="AB846" i="2"/>
  <c r="AA846" i="2"/>
  <c r="Z846" i="2"/>
  <c r="Y846" i="2"/>
  <c r="X846" i="2"/>
  <c r="W846" i="2"/>
  <c r="V846" i="2"/>
  <c r="U846" i="2"/>
  <c r="T846" i="2"/>
  <c r="S846" i="2"/>
  <c r="R846" i="2"/>
  <c r="Q846" i="2"/>
  <c r="P846" i="2"/>
  <c r="O846" i="2"/>
  <c r="N846" i="2"/>
  <c r="M846" i="2"/>
  <c r="L846" i="2"/>
  <c r="K846" i="2"/>
  <c r="J846" i="2"/>
  <c r="I846" i="2"/>
  <c r="H846" i="2"/>
  <c r="G846" i="2"/>
  <c r="F846" i="2"/>
  <c r="E846" i="2"/>
  <c r="D846" i="2"/>
  <c r="C846" i="2"/>
  <c r="B846" i="2"/>
  <c r="A846" i="2"/>
  <c r="AD845" i="2"/>
  <c r="AC845" i="2"/>
  <c r="AB845" i="2"/>
  <c r="AA845" i="2"/>
  <c r="Z845" i="2"/>
  <c r="Y845" i="2"/>
  <c r="X845" i="2"/>
  <c r="W845" i="2"/>
  <c r="V845" i="2"/>
  <c r="U845" i="2"/>
  <c r="T845" i="2"/>
  <c r="S845" i="2"/>
  <c r="R845" i="2"/>
  <c r="Q845" i="2"/>
  <c r="P845" i="2"/>
  <c r="O845" i="2"/>
  <c r="N845" i="2"/>
  <c r="M845" i="2"/>
  <c r="L845" i="2"/>
  <c r="K845" i="2"/>
  <c r="J845" i="2"/>
  <c r="I845" i="2"/>
  <c r="H845" i="2"/>
  <c r="G845" i="2"/>
  <c r="F845" i="2"/>
  <c r="E845" i="2"/>
  <c r="D845" i="2"/>
  <c r="C845" i="2"/>
  <c r="B845" i="2"/>
  <c r="A845" i="2"/>
  <c r="AD844" i="2"/>
  <c r="AC844" i="2"/>
  <c r="AB844" i="2"/>
  <c r="AA844" i="2"/>
  <c r="Z844" i="2"/>
  <c r="Y844" i="2"/>
  <c r="X844" i="2"/>
  <c r="W844" i="2"/>
  <c r="V844" i="2"/>
  <c r="U844" i="2"/>
  <c r="T844" i="2"/>
  <c r="S844" i="2"/>
  <c r="R844" i="2"/>
  <c r="Q844" i="2"/>
  <c r="P844" i="2"/>
  <c r="O844" i="2"/>
  <c r="N844" i="2"/>
  <c r="M844" i="2"/>
  <c r="L844" i="2"/>
  <c r="K844" i="2"/>
  <c r="J844" i="2"/>
  <c r="I844" i="2"/>
  <c r="H844" i="2"/>
  <c r="G844" i="2"/>
  <c r="F844" i="2"/>
  <c r="E844" i="2"/>
  <c r="D844" i="2"/>
  <c r="C844" i="2"/>
  <c r="B844" i="2"/>
  <c r="A844" i="2"/>
  <c r="AD843" i="2"/>
  <c r="AC843" i="2"/>
  <c r="AB843" i="2"/>
  <c r="AA843" i="2"/>
  <c r="Z843" i="2"/>
  <c r="Y843" i="2"/>
  <c r="X843" i="2"/>
  <c r="W843" i="2"/>
  <c r="V843" i="2"/>
  <c r="U843" i="2"/>
  <c r="T843" i="2"/>
  <c r="S843" i="2"/>
  <c r="R843" i="2"/>
  <c r="Q843" i="2"/>
  <c r="P843" i="2"/>
  <c r="O843" i="2"/>
  <c r="N843" i="2"/>
  <c r="M843" i="2"/>
  <c r="L843" i="2"/>
  <c r="K843" i="2"/>
  <c r="J843" i="2"/>
  <c r="I843" i="2"/>
  <c r="H843" i="2"/>
  <c r="G843" i="2"/>
  <c r="F843" i="2"/>
  <c r="E843" i="2"/>
  <c r="D843" i="2"/>
  <c r="C843" i="2"/>
  <c r="B843" i="2"/>
  <c r="A843" i="2"/>
  <c r="AD842" i="2"/>
  <c r="AC842" i="2"/>
  <c r="AB842" i="2"/>
  <c r="AA842" i="2"/>
  <c r="Z842" i="2"/>
  <c r="Y842" i="2"/>
  <c r="X842" i="2"/>
  <c r="W842" i="2"/>
  <c r="V842" i="2"/>
  <c r="U842" i="2"/>
  <c r="T842" i="2"/>
  <c r="S842" i="2"/>
  <c r="R842" i="2"/>
  <c r="Q842" i="2"/>
  <c r="P842" i="2"/>
  <c r="O842" i="2"/>
  <c r="N842" i="2"/>
  <c r="M842" i="2"/>
  <c r="L842" i="2"/>
  <c r="K842" i="2"/>
  <c r="J842" i="2"/>
  <c r="I842" i="2"/>
  <c r="H842" i="2"/>
  <c r="G842" i="2"/>
  <c r="F842" i="2"/>
  <c r="E842" i="2"/>
  <c r="D842" i="2"/>
  <c r="C842" i="2"/>
  <c r="B842" i="2"/>
  <c r="A842" i="2"/>
  <c r="AD841" i="2"/>
  <c r="AC841" i="2"/>
  <c r="AB841" i="2"/>
  <c r="AA841" i="2"/>
  <c r="Z841" i="2"/>
  <c r="Y841" i="2"/>
  <c r="X841" i="2"/>
  <c r="W841" i="2"/>
  <c r="V841" i="2"/>
  <c r="U841" i="2"/>
  <c r="T841" i="2"/>
  <c r="S841" i="2"/>
  <c r="R841" i="2"/>
  <c r="Q841" i="2"/>
  <c r="P841" i="2"/>
  <c r="O841" i="2"/>
  <c r="N841" i="2"/>
  <c r="M841" i="2"/>
  <c r="L841" i="2"/>
  <c r="K841" i="2"/>
  <c r="J841" i="2"/>
  <c r="I841" i="2"/>
  <c r="H841" i="2"/>
  <c r="G841" i="2"/>
  <c r="F841" i="2"/>
  <c r="E841" i="2"/>
  <c r="D841" i="2"/>
  <c r="C841" i="2"/>
  <c r="B841" i="2"/>
  <c r="A841" i="2"/>
  <c r="AD840" i="2"/>
  <c r="AC840" i="2"/>
  <c r="AB840" i="2"/>
  <c r="AA840" i="2"/>
  <c r="Z840" i="2"/>
  <c r="Y840" i="2"/>
  <c r="X840" i="2"/>
  <c r="W840" i="2"/>
  <c r="V840" i="2"/>
  <c r="U840" i="2"/>
  <c r="T840" i="2"/>
  <c r="S840" i="2"/>
  <c r="R840" i="2"/>
  <c r="Q840" i="2"/>
  <c r="P840" i="2"/>
  <c r="O840" i="2"/>
  <c r="N840" i="2"/>
  <c r="M840" i="2"/>
  <c r="L840" i="2"/>
  <c r="K840" i="2"/>
  <c r="J840" i="2"/>
  <c r="I840" i="2"/>
  <c r="H840" i="2"/>
  <c r="G840" i="2"/>
  <c r="F840" i="2"/>
  <c r="E840" i="2"/>
  <c r="D840" i="2"/>
  <c r="C840" i="2"/>
  <c r="B840" i="2"/>
  <c r="A840" i="2"/>
  <c r="AD839" i="2"/>
  <c r="AC839" i="2"/>
  <c r="AB839" i="2"/>
  <c r="AA839" i="2"/>
  <c r="Z839" i="2"/>
  <c r="Y839" i="2"/>
  <c r="X839" i="2"/>
  <c r="W839" i="2"/>
  <c r="V839" i="2"/>
  <c r="U839" i="2"/>
  <c r="T839" i="2"/>
  <c r="S839" i="2"/>
  <c r="R839" i="2"/>
  <c r="Q839" i="2"/>
  <c r="P839" i="2"/>
  <c r="O839" i="2"/>
  <c r="N839" i="2"/>
  <c r="M839" i="2"/>
  <c r="L839" i="2"/>
  <c r="K839" i="2"/>
  <c r="J839" i="2"/>
  <c r="I839" i="2"/>
  <c r="H839" i="2"/>
  <c r="G839" i="2"/>
  <c r="F839" i="2"/>
  <c r="E839" i="2"/>
  <c r="D839" i="2"/>
  <c r="C839" i="2"/>
  <c r="B839" i="2"/>
  <c r="A839" i="2"/>
  <c r="AD838" i="2"/>
  <c r="AC838" i="2"/>
  <c r="AB838" i="2"/>
  <c r="AA838" i="2"/>
  <c r="Z838" i="2"/>
  <c r="Y838" i="2"/>
  <c r="X838" i="2"/>
  <c r="W838" i="2"/>
  <c r="V838" i="2"/>
  <c r="U838" i="2"/>
  <c r="T838" i="2"/>
  <c r="S838" i="2"/>
  <c r="R838" i="2"/>
  <c r="Q838" i="2"/>
  <c r="P838" i="2"/>
  <c r="O838" i="2"/>
  <c r="N838" i="2"/>
  <c r="M838" i="2"/>
  <c r="L838" i="2"/>
  <c r="K838" i="2"/>
  <c r="J838" i="2"/>
  <c r="I838" i="2"/>
  <c r="H838" i="2"/>
  <c r="G838" i="2"/>
  <c r="F838" i="2"/>
  <c r="E838" i="2"/>
  <c r="D838" i="2"/>
  <c r="C838" i="2"/>
  <c r="B838" i="2"/>
  <c r="A838" i="2"/>
  <c r="AD837" i="2"/>
  <c r="AC837" i="2"/>
  <c r="AB837" i="2"/>
  <c r="AA837" i="2"/>
  <c r="Z837" i="2"/>
  <c r="Y837" i="2"/>
  <c r="X837" i="2"/>
  <c r="W837" i="2"/>
  <c r="V837" i="2"/>
  <c r="U837" i="2"/>
  <c r="T837" i="2"/>
  <c r="S837" i="2"/>
  <c r="R837" i="2"/>
  <c r="Q837" i="2"/>
  <c r="P837" i="2"/>
  <c r="O837" i="2"/>
  <c r="N837" i="2"/>
  <c r="M837" i="2"/>
  <c r="L837" i="2"/>
  <c r="K837" i="2"/>
  <c r="J837" i="2"/>
  <c r="I837" i="2"/>
  <c r="H837" i="2"/>
  <c r="G837" i="2"/>
  <c r="F837" i="2"/>
  <c r="E837" i="2"/>
  <c r="D837" i="2"/>
  <c r="C837" i="2"/>
  <c r="B837" i="2"/>
  <c r="A837" i="2"/>
  <c r="AD836" i="2"/>
  <c r="AC836" i="2"/>
  <c r="AB836" i="2"/>
  <c r="AA836" i="2"/>
  <c r="Z836" i="2"/>
  <c r="Y836" i="2"/>
  <c r="X836" i="2"/>
  <c r="W836" i="2"/>
  <c r="V836" i="2"/>
  <c r="U836" i="2"/>
  <c r="T836" i="2"/>
  <c r="S836" i="2"/>
  <c r="R836" i="2"/>
  <c r="Q836" i="2"/>
  <c r="P836" i="2"/>
  <c r="O836" i="2"/>
  <c r="N836" i="2"/>
  <c r="M836" i="2"/>
  <c r="L836" i="2"/>
  <c r="K836" i="2"/>
  <c r="J836" i="2"/>
  <c r="I836" i="2"/>
  <c r="H836" i="2"/>
  <c r="G836" i="2"/>
  <c r="F836" i="2"/>
  <c r="E836" i="2"/>
  <c r="D836" i="2"/>
  <c r="C836" i="2"/>
  <c r="B836" i="2"/>
  <c r="A836" i="2"/>
  <c r="AD835" i="2"/>
  <c r="AC835" i="2"/>
  <c r="AB835" i="2"/>
  <c r="AA835" i="2"/>
  <c r="Z835" i="2"/>
  <c r="Y835" i="2"/>
  <c r="X835" i="2"/>
  <c r="W835" i="2"/>
  <c r="V835" i="2"/>
  <c r="U835" i="2"/>
  <c r="T835" i="2"/>
  <c r="S835" i="2"/>
  <c r="R835" i="2"/>
  <c r="Q835" i="2"/>
  <c r="P835" i="2"/>
  <c r="O835" i="2"/>
  <c r="N835" i="2"/>
  <c r="M835" i="2"/>
  <c r="L835" i="2"/>
  <c r="K835" i="2"/>
  <c r="J835" i="2"/>
  <c r="I835" i="2"/>
  <c r="H835" i="2"/>
  <c r="G835" i="2"/>
  <c r="F835" i="2"/>
  <c r="E835" i="2"/>
  <c r="D835" i="2"/>
  <c r="C835" i="2"/>
  <c r="B835" i="2"/>
  <c r="A835" i="2"/>
  <c r="AD834" i="2"/>
  <c r="AC834" i="2"/>
  <c r="AB834" i="2"/>
  <c r="AA834" i="2"/>
  <c r="Z834" i="2"/>
  <c r="Y834" i="2"/>
  <c r="X834" i="2"/>
  <c r="W834" i="2"/>
  <c r="V834" i="2"/>
  <c r="U834" i="2"/>
  <c r="T834" i="2"/>
  <c r="S834" i="2"/>
  <c r="R834" i="2"/>
  <c r="Q834" i="2"/>
  <c r="P834" i="2"/>
  <c r="O834" i="2"/>
  <c r="N834" i="2"/>
  <c r="M834" i="2"/>
  <c r="L834" i="2"/>
  <c r="K834" i="2"/>
  <c r="J834" i="2"/>
  <c r="I834" i="2"/>
  <c r="H834" i="2"/>
  <c r="G834" i="2"/>
  <c r="F834" i="2"/>
  <c r="E834" i="2"/>
  <c r="D834" i="2"/>
  <c r="C834" i="2"/>
  <c r="B834" i="2"/>
  <c r="A834" i="2"/>
  <c r="AD833" i="2"/>
  <c r="AC833" i="2"/>
  <c r="AB833" i="2"/>
  <c r="AA833" i="2"/>
  <c r="Z833" i="2"/>
  <c r="Y833" i="2"/>
  <c r="X833" i="2"/>
  <c r="W833" i="2"/>
  <c r="V833" i="2"/>
  <c r="U833" i="2"/>
  <c r="T833" i="2"/>
  <c r="S833" i="2"/>
  <c r="R833" i="2"/>
  <c r="Q833" i="2"/>
  <c r="P833" i="2"/>
  <c r="O833" i="2"/>
  <c r="N833" i="2"/>
  <c r="M833" i="2"/>
  <c r="L833" i="2"/>
  <c r="K833" i="2"/>
  <c r="J833" i="2"/>
  <c r="I833" i="2"/>
  <c r="H833" i="2"/>
  <c r="G833" i="2"/>
  <c r="F833" i="2"/>
  <c r="E833" i="2"/>
  <c r="D833" i="2"/>
  <c r="C833" i="2"/>
  <c r="B833" i="2"/>
  <c r="A833" i="2"/>
  <c r="AD832" i="2"/>
  <c r="AC832" i="2"/>
  <c r="AB832" i="2"/>
  <c r="AA832" i="2"/>
  <c r="Z832" i="2"/>
  <c r="Y832" i="2"/>
  <c r="X832" i="2"/>
  <c r="W832" i="2"/>
  <c r="V832" i="2"/>
  <c r="U832" i="2"/>
  <c r="T832" i="2"/>
  <c r="S832" i="2"/>
  <c r="R832" i="2"/>
  <c r="Q832" i="2"/>
  <c r="P832" i="2"/>
  <c r="O832" i="2"/>
  <c r="N832" i="2"/>
  <c r="M832" i="2"/>
  <c r="L832" i="2"/>
  <c r="K832" i="2"/>
  <c r="J832" i="2"/>
  <c r="I832" i="2"/>
  <c r="H832" i="2"/>
  <c r="G832" i="2"/>
  <c r="F832" i="2"/>
  <c r="E832" i="2"/>
  <c r="D832" i="2"/>
  <c r="C832" i="2"/>
  <c r="B832" i="2"/>
  <c r="A832" i="2"/>
  <c r="AD831" i="2"/>
  <c r="AC831" i="2"/>
  <c r="AB831" i="2"/>
  <c r="AA831" i="2"/>
  <c r="Z831" i="2"/>
  <c r="Y831" i="2"/>
  <c r="X831" i="2"/>
  <c r="W831" i="2"/>
  <c r="V831" i="2"/>
  <c r="U831" i="2"/>
  <c r="T831" i="2"/>
  <c r="S831" i="2"/>
  <c r="R831" i="2"/>
  <c r="Q831" i="2"/>
  <c r="P831" i="2"/>
  <c r="O831" i="2"/>
  <c r="N831" i="2"/>
  <c r="M831" i="2"/>
  <c r="L831" i="2"/>
  <c r="K831" i="2"/>
  <c r="J831" i="2"/>
  <c r="I831" i="2"/>
  <c r="H831" i="2"/>
  <c r="G831" i="2"/>
  <c r="F831" i="2"/>
  <c r="E831" i="2"/>
  <c r="D831" i="2"/>
  <c r="C831" i="2"/>
  <c r="B831" i="2"/>
  <c r="A831" i="2"/>
  <c r="AD830" i="2"/>
  <c r="AC830" i="2"/>
  <c r="AB830" i="2"/>
  <c r="AA830" i="2"/>
  <c r="Z830" i="2"/>
  <c r="Y830" i="2"/>
  <c r="X830" i="2"/>
  <c r="W830" i="2"/>
  <c r="V830" i="2"/>
  <c r="U830" i="2"/>
  <c r="T830" i="2"/>
  <c r="S830" i="2"/>
  <c r="R830" i="2"/>
  <c r="Q830" i="2"/>
  <c r="P830" i="2"/>
  <c r="O830" i="2"/>
  <c r="N830" i="2"/>
  <c r="M830" i="2"/>
  <c r="L830" i="2"/>
  <c r="K830" i="2"/>
  <c r="J830" i="2"/>
  <c r="I830" i="2"/>
  <c r="H830" i="2"/>
  <c r="G830" i="2"/>
  <c r="F830" i="2"/>
  <c r="E830" i="2"/>
  <c r="D830" i="2"/>
  <c r="C830" i="2"/>
  <c r="B830" i="2"/>
  <c r="A830" i="2"/>
  <c r="AD829" i="2"/>
  <c r="AC829" i="2"/>
  <c r="AB829" i="2"/>
  <c r="AA829" i="2"/>
  <c r="Z829" i="2"/>
  <c r="Y829" i="2"/>
  <c r="X829" i="2"/>
  <c r="W829" i="2"/>
  <c r="V829" i="2"/>
  <c r="U829" i="2"/>
  <c r="T829" i="2"/>
  <c r="S829" i="2"/>
  <c r="R829" i="2"/>
  <c r="Q829" i="2"/>
  <c r="P829" i="2"/>
  <c r="O829" i="2"/>
  <c r="N829" i="2"/>
  <c r="M829" i="2"/>
  <c r="L829" i="2"/>
  <c r="K829" i="2"/>
  <c r="J829" i="2"/>
  <c r="I829" i="2"/>
  <c r="H829" i="2"/>
  <c r="G829" i="2"/>
  <c r="F829" i="2"/>
  <c r="E829" i="2"/>
  <c r="D829" i="2"/>
  <c r="C829" i="2"/>
  <c r="B829" i="2"/>
  <c r="A829" i="2"/>
  <c r="AD828" i="2"/>
  <c r="AC828" i="2"/>
  <c r="AB828" i="2"/>
  <c r="AA828" i="2"/>
  <c r="Z828" i="2"/>
  <c r="Y828" i="2"/>
  <c r="X828" i="2"/>
  <c r="W828" i="2"/>
  <c r="V828" i="2"/>
  <c r="U828" i="2"/>
  <c r="T828" i="2"/>
  <c r="S828" i="2"/>
  <c r="R828" i="2"/>
  <c r="Q828" i="2"/>
  <c r="P828" i="2"/>
  <c r="O828" i="2"/>
  <c r="N828" i="2"/>
  <c r="M828" i="2"/>
  <c r="L828" i="2"/>
  <c r="K828" i="2"/>
  <c r="J828" i="2"/>
  <c r="I828" i="2"/>
  <c r="H828" i="2"/>
  <c r="G828" i="2"/>
  <c r="F828" i="2"/>
  <c r="E828" i="2"/>
  <c r="D828" i="2"/>
  <c r="C828" i="2"/>
  <c r="B828" i="2"/>
  <c r="A828" i="2"/>
  <c r="AD827" i="2"/>
  <c r="AC827" i="2"/>
  <c r="AB827" i="2"/>
  <c r="AA827" i="2"/>
  <c r="Z827" i="2"/>
  <c r="Y827" i="2"/>
  <c r="X827" i="2"/>
  <c r="W827" i="2"/>
  <c r="V827" i="2"/>
  <c r="U827" i="2"/>
  <c r="T827" i="2"/>
  <c r="S827" i="2"/>
  <c r="R827" i="2"/>
  <c r="Q827" i="2"/>
  <c r="P827" i="2"/>
  <c r="O827" i="2"/>
  <c r="N827" i="2"/>
  <c r="M827" i="2"/>
  <c r="L827" i="2"/>
  <c r="K827" i="2"/>
  <c r="J827" i="2"/>
  <c r="I827" i="2"/>
  <c r="H827" i="2"/>
  <c r="G827" i="2"/>
  <c r="F827" i="2"/>
  <c r="E827" i="2"/>
  <c r="D827" i="2"/>
  <c r="C827" i="2"/>
  <c r="B827" i="2"/>
  <c r="A827" i="2"/>
  <c r="AD826" i="2"/>
  <c r="AC826" i="2"/>
  <c r="AB826" i="2"/>
  <c r="AA826" i="2"/>
  <c r="Z826" i="2"/>
  <c r="Y826" i="2"/>
  <c r="X826" i="2"/>
  <c r="W826" i="2"/>
  <c r="V826" i="2"/>
  <c r="U826" i="2"/>
  <c r="T826" i="2"/>
  <c r="S826" i="2"/>
  <c r="R826" i="2"/>
  <c r="Q826" i="2"/>
  <c r="P826" i="2"/>
  <c r="O826" i="2"/>
  <c r="N826" i="2"/>
  <c r="M826" i="2"/>
  <c r="L826" i="2"/>
  <c r="K826" i="2"/>
  <c r="J826" i="2"/>
  <c r="I826" i="2"/>
  <c r="H826" i="2"/>
  <c r="G826" i="2"/>
  <c r="F826" i="2"/>
  <c r="E826" i="2"/>
  <c r="D826" i="2"/>
  <c r="C826" i="2"/>
  <c r="B826" i="2"/>
  <c r="A826" i="2"/>
  <c r="AD825" i="2"/>
  <c r="AC825" i="2"/>
  <c r="AB825" i="2"/>
  <c r="AA825" i="2"/>
  <c r="Z825" i="2"/>
  <c r="Y825" i="2"/>
  <c r="X825" i="2"/>
  <c r="W825" i="2"/>
  <c r="V825" i="2"/>
  <c r="U825" i="2"/>
  <c r="T825" i="2"/>
  <c r="S825" i="2"/>
  <c r="R825" i="2"/>
  <c r="Q825" i="2"/>
  <c r="P825" i="2"/>
  <c r="O825" i="2"/>
  <c r="N825" i="2"/>
  <c r="M825" i="2"/>
  <c r="L825" i="2"/>
  <c r="K825" i="2"/>
  <c r="J825" i="2"/>
  <c r="I825" i="2"/>
  <c r="H825" i="2"/>
  <c r="G825" i="2"/>
  <c r="F825" i="2"/>
  <c r="E825" i="2"/>
  <c r="D825" i="2"/>
  <c r="C825" i="2"/>
  <c r="B825" i="2"/>
  <c r="A825" i="2"/>
  <c r="AD824" i="2"/>
  <c r="AC824" i="2"/>
  <c r="AB824" i="2"/>
  <c r="AA824" i="2"/>
  <c r="Z824" i="2"/>
  <c r="Y824" i="2"/>
  <c r="X824" i="2"/>
  <c r="W824" i="2"/>
  <c r="V824" i="2"/>
  <c r="U824" i="2"/>
  <c r="T824" i="2"/>
  <c r="S824" i="2"/>
  <c r="R824" i="2"/>
  <c r="Q824" i="2"/>
  <c r="P824" i="2"/>
  <c r="O824" i="2"/>
  <c r="N824" i="2"/>
  <c r="M824" i="2"/>
  <c r="L824" i="2"/>
  <c r="K824" i="2"/>
  <c r="J824" i="2"/>
  <c r="I824" i="2"/>
  <c r="H824" i="2"/>
  <c r="G824" i="2"/>
  <c r="F824" i="2"/>
  <c r="E824" i="2"/>
  <c r="D824" i="2"/>
  <c r="C824" i="2"/>
  <c r="B824" i="2"/>
  <c r="A824" i="2"/>
  <c r="AD823" i="2"/>
  <c r="AC823" i="2"/>
  <c r="AB823" i="2"/>
  <c r="AA823" i="2"/>
  <c r="Z823" i="2"/>
  <c r="Y823" i="2"/>
  <c r="X823" i="2"/>
  <c r="W823" i="2"/>
  <c r="V823" i="2"/>
  <c r="U823" i="2"/>
  <c r="T823" i="2"/>
  <c r="S823" i="2"/>
  <c r="R823" i="2"/>
  <c r="Q823" i="2"/>
  <c r="P823" i="2"/>
  <c r="O823" i="2"/>
  <c r="N823" i="2"/>
  <c r="M823" i="2"/>
  <c r="L823" i="2"/>
  <c r="K823" i="2"/>
  <c r="J823" i="2"/>
  <c r="I823" i="2"/>
  <c r="H823" i="2"/>
  <c r="G823" i="2"/>
  <c r="F823" i="2"/>
  <c r="E823" i="2"/>
  <c r="D823" i="2"/>
  <c r="C823" i="2"/>
  <c r="B823" i="2"/>
  <c r="A823" i="2"/>
  <c r="AD822" i="2"/>
  <c r="AC822" i="2"/>
  <c r="AB822" i="2"/>
  <c r="AA822" i="2"/>
  <c r="Z822" i="2"/>
  <c r="Y822" i="2"/>
  <c r="X822" i="2"/>
  <c r="W822" i="2"/>
  <c r="V822" i="2"/>
  <c r="U822" i="2"/>
  <c r="T822" i="2"/>
  <c r="S822" i="2"/>
  <c r="R822" i="2"/>
  <c r="Q822" i="2"/>
  <c r="P822" i="2"/>
  <c r="O822" i="2"/>
  <c r="N822" i="2"/>
  <c r="M822" i="2"/>
  <c r="L822" i="2"/>
  <c r="K822" i="2"/>
  <c r="J822" i="2"/>
  <c r="I822" i="2"/>
  <c r="H822" i="2"/>
  <c r="G822" i="2"/>
  <c r="F822" i="2"/>
  <c r="E822" i="2"/>
  <c r="D822" i="2"/>
  <c r="C822" i="2"/>
  <c r="B822" i="2"/>
  <c r="A822" i="2"/>
  <c r="AD821" i="2"/>
  <c r="AC821" i="2"/>
  <c r="AB821" i="2"/>
  <c r="AA821" i="2"/>
  <c r="Z821" i="2"/>
  <c r="Y821" i="2"/>
  <c r="X821" i="2"/>
  <c r="W821" i="2"/>
  <c r="V821" i="2"/>
  <c r="U821" i="2"/>
  <c r="T821" i="2"/>
  <c r="S821" i="2"/>
  <c r="R821" i="2"/>
  <c r="Q821" i="2"/>
  <c r="P821" i="2"/>
  <c r="O821" i="2"/>
  <c r="N821" i="2"/>
  <c r="M821" i="2"/>
  <c r="L821" i="2"/>
  <c r="K821" i="2"/>
  <c r="J821" i="2"/>
  <c r="I821" i="2"/>
  <c r="H821" i="2"/>
  <c r="G821" i="2"/>
  <c r="F821" i="2"/>
  <c r="E821" i="2"/>
  <c r="D821" i="2"/>
  <c r="C821" i="2"/>
  <c r="B821" i="2"/>
  <c r="A821" i="2"/>
  <c r="AD820" i="2"/>
  <c r="AC820" i="2"/>
  <c r="AB820" i="2"/>
  <c r="AA820" i="2"/>
  <c r="Z820" i="2"/>
  <c r="Y820" i="2"/>
  <c r="X820" i="2"/>
  <c r="W820" i="2"/>
  <c r="V820" i="2"/>
  <c r="U820" i="2"/>
  <c r="T820" i="2"/>
  <c r="S820" i="2"/>
  <c r="R820" i="2"/>
  <c r="Q820" i="2"/>
  <c r="P820" i="2"/>
  <c r="O820" i="2"/>
  <c r="N820" i="2"/>
  <c r="M820" i="2"/>
  <c r="L820" i="2"/>
  <c r="K820" i="2"/>
  <c r="J820" i="2"/>
  <c r="I820" i="2"/>
  <c r="H820" i="2"/>
  <c r="G820" i="2"/>
  <c r="F820" i="2"/>
  <c r="E820" i="2"/>
  <c r="D820" i="2"/>
  <c r="C820" i="2"/>
  <c r="B820" i="2"/>
  <c r="A820" i="2"/>
  <c r="AD819" i="2"/>
  <c r="AC819" i="2"/>
  <c r="AB819" i="2"/>
  <c r="AA819" i="2"/>
  <c r="Z819" i="2"/>
  <c r="Y819" i="2"/>
  <c r="X819" i="2"/>
  <c r="W819" i="2"/>
  <c r="V819" i="2"/>
  <c r="U819" i="2"/>
  <c r="T819" i="2"/>
  <c r="S819" i="2"/>
  <c r="R819" i="2"/>
  <c r="Q819" i="2"/>
  <c r="P819" i="2"/>
  <c r="O819" i="2"/>
  <c r="N819" i="2"/>
  <c r="M819" i="2"/>
  <c r="L819" i="2"/>
  <c r="K819" i="2"/>
  <c r="J819" i="2"/>
  <c r="I819" i="2"/>
  <c r="H819" i="2"/>
  <c r="G819" i="2"/>
  <c r="F819" i="2"/>
  <c r="E819" i="2"/>
  <c r="D819" i="2"/>
  <c r="C819" i="2"/>
  <c r="B819" i="2"/>
  <c r="A819" i="2"/>
  <c r="AD818" i="2"/>
  <c r="AC818" i="2"/>
  <c r="AB818" i="2"/>
  <c r="AA818" i="2"/>
  <c r="Z818" i="2"/>
  <c r="Y818" i="2"/>
  <c r="X818" i="2"/>
  <c r="W818" i="2"/>
  <c r="V818" i="2"/>
  <c r="U818" i="2"/>
  <c r="T818" i="2"/>
  <c r="S818" i="2"/>
  <c r="R818" i="2"/>
  <c r="Q818" i="2"/>
  <c r="P818" i="2"/>
  <c r="O818" i="2"/>
  <c r="N818" i="2"/>
  <c r="M818" i="2"/>
  <c r="L818" i="2"/>
  <c r="K818" i="2"/>
  <c r="J818" i="2"/>
  <c r="I818" i="2"/>
  <c r="H818" i="2"/>
  <c r="G818" i="2"/>
  <c r="F818" i="2"/>
  <c r="E818" i="2"/>
  <c r="D818" i="2"/>
  <c r="C818" i="2"/>
  <c r="B818" i="2"/>
  <c r="A818" i="2"/>
  <c r="AD817" i="2"/>
  <c r="AC817" i="2"/>
  <c r="AB817" i="2"/>
  <c r="AA817" i="2"/>
  <c r="Z817" i="2"/>
  <c r="Y817" i="2"/>
  <c r="X817" i="2"/>
  <c r="W817" i="2"/>
  <c r="V817" i="2"/>
  <c r="U817" i="2"/>
  <c r="T817" i="2"/>
  <c r="S817" i="2"/>
  <c r="R817" i="2"/>
  <c r="Q817" i="2"/>
  <c r="P817" i="2"/>
  <c r="O817" i="2"/>
  <c r="N817" i="2"/>
  <c r="M817" i="2"/>
  <c r="L817" i="2"/>
  <c r="K817" i="2"/>
  <c r="J817" i="2"/>
  <c r="I817" i="2"/>
  <c r="H817" i="2"/>
  <c r="G817" i="2"/>
  <c r="F817" i="2"/>
  <c r="E817" i="2"/>
  <c r="D817" i="2"/>
  <c r="C817" i="2"/>
  <c r="B817" i="2"/>
  <c r="A817" i="2"/>
  <c r="AD816" i="2"/>
  <c r="AC816" i="2"/>
  <c r="AB816" i="2"/>
  <c r="AA816" i="2"/>
  <c r="Z816" i="2"/>
  <c r="Y816" i="2"/>
  <c r="X816" i="2"/>
  <c r="W816" i="2"/>
  <c r="V816" i="2"/>
  <c r="U816" i="2"/>
  <c r="T816" i="2"/>
  <c r="S816" i="2"/>
  <c r="R816" i="2"/>
  <c r="Q816" i="2"/>
  <c r="P816" i="2"/>
  <c r="O816" i="2"/>
  <c r="N816" i="2"/>
  <c r="M816" i="2"/>
  <c r="L816" i="2"/>
  <c r="K816" i="2"/>
  <c r="J816" i="2"/>
  <c r="I816" i="2"/>
  <c r="H816" i="2"/>
  <c r="G816" i="2"/>
  <c r="F816" i="2"/>
  <c r="E816" i="2"/>
  <c r="D816" i="2"/>
  <c r="C816" i="2"/>
  <c r="B816" i="2"/>
  <c r="A816" i="2"/>
  <c r="AD815" i="2"/>
  <c r="AC815" i="2"/>
  <c r="AB815" i="2"/>
  <c r="AA815" i="2"/>
  <c r="Z815" i="2"/>
  <c r="Y815" i="2"/>
  <c r="X815" i="2"/>
  <c r="W815" i="2"/>
  <c r="V815" i="2"/>
  <c r="U815" i="2"/>
  <c r="T815" i="2"/>
  <c r="S815" i="2"/>
  <c r="R815" i="2"/>
  <c r="Q815" i="2"/>
  <c r="P815" i="2"/>
  <c r="O815" i="2"/>
  <c r="N815" i="2"/>
  <c r="M815" i="2"/>
  <c r="L815" i="2"/>
  <c r="K815" i="2"/>
  <c r="J815" i="2"/>
  <c r="I815" i="2"/>
  <c r="H815" i="2"/>
  <c r="G815" i="2"/>
  <c r="F815" i="2"/>
  <c r="E815" i="2"/>
  <c r="D815" i="2"/>
  <c r="C815" i="2"/>
  <c r="B815" i="2"/>
  <c r="A815" i="2"/>
  <c r="AD814" i="2"/>
  <c r="AC814" i="2"/>
  <c r="AB814" i="2"/>
  <c r="AA814" i="2"/>
  <c r="Z814" i="2"/>
  <c r="Y814" i="2"/>
  <c r="X814" i="2"/>
  <c r="W814" i="2"/>
  <c r="V814" i="2"/>
  <c r="U814" i="2"/>
  <c r="T814" i="2"/>
  <c r="S814" i="2"/>
  <c r="R814" i="2"/>
  <c r="Q814" i="2"/>
  <c r="P814" i="2"/>
  <c r="O814" i="2"/>
  <c r="N814" i="2"/>
  <c r="M814" i="2"/>
  <c r="L814" i="2"/>
  <c r="K814" i="2"/>
  <c r="J814" i="2"/>
  <c r="I814" i="2"/>
  <c r="H814" i="2"/>
  <c r="G814" i="2"/>
  <c r="F814" i="2"/>
  <c r="E814" i="2"/>
  <c r="D814" i="2"/>
  <c r="C814" i="2"/>
  <c r="B814" i="2"/>
  <c r="A814" i="2"/>
  <c r="AD813" i="2"/>
  <c r="AC813" i="2"/>
  <c r="AB813" i="2"/>
  <c r="AA813" i="2"/>
  <c r="Z813" i="2"/>
  <c r="Y813" i="2"/>
  <c r="X813" i="2"/>
  <c r="W813" i="2"/>
  <c r="V813" i="2"/>
  <c r="U813" i="2"/>
  <c r="T813" i="2"/>
  <c r="S813" i="2"/>
  <c r="R813" i="2"/>
  <c r="Q813" i="2"/>
  <c r="P813" i="2"/>
  <c r="O813" i="2"/>
  <c r="N813" i="2"/>
  <c r="M813" i="2"/>
  <c r="L813" i="2"/>
  <c r="K813" i="2"/>
  <c r="J813" i="2"/>
  <c r="I813" i="2"/>
  <c r="H813" i="2"/>
  <c r="G813" i="2"/>
  <c r="F813" i="2"/>
  <c r="E813" i="2"/>
  <c r="D813" i="2"/>
  <c r="C813" i="2"/>
  <c r="B813" i="2"/>
  <c r="A813" i="2"/>
  <c r="AD812" i="2"/>
  <c r="AC812" i="2"/>
  <c r="AB812" i="2"/>
  <c r="AA812" i="2"/>
  <c r="Z812" i="2"/>
  <c r="Y812" i="2"/>
  <c r="X812" i="2"/>
  <c r="W812" i="2"/>
  <c r="V812" i="2"/>
  <c r="U812" i="2"/>
  <c r="T812" i="2"/>
  <c r="S812" i="2"/>
  <c r="R812" i="2"/>
  <c r="Q812" i="2"/>
  <c r="P812" i="2"/>
  <c r="O812" i="2"/>
  <c r="N812" i="2"/>
  <c r="M812" i="2"/>
  <c r="L812" i="2"/>
  <c r="K812" i="2"/>
  <c r="J812" i="2"/>
  <c r="I812" i="2"/>
  <c r="H812" i="2"/>
  <c r="G812" i="2"/>
  <c r="F812" i="2"/>
  <c r="E812" i="2"/>
  <c r="D812" i="2"/>
  <c r="C812" i="2"/>
  <c r="B812" i="2"/>
  <c r="A812" i="2"/>
  <c r="AD811" i="2"/>
  <c r="AC811" i="2"/>
  <c r="AB811" i="2"/>
  <c r="AA811" i="2"/>
  <c r="Z811" i="2"/>
  <c r="Y811" i="2"/>
  <c r="X811" i="2"/>
  <c r="W811" i="2"/>
  <c r="V811" i="2"/>
  <c r="U811" i="2"/>
  <c r="T811" i="2"/>
  <c r="S811" i="2"/>
  <c r="R811" i="2"/>
  <c r="Q811" i="2"/>
  <c r="P811" i="2"/>
  <c r="O811" i="2"/>
  <c r="N811" i="2"/>
  <c r="M811" i="2"/>
  <c r="L811" i="2"/>
  <c r="K811" i="2"/>
  <c r="J811" i="2"/>
  <c r="I811" i="2"/>
  <c r="H811" i="2"/>
  <c r="G811" i="2"/>
  <c r="F811" i="2"/>
  <c r="E811" i="2"/>
  <c r="D811" i="2"/>
  <c r="C811" i="2"/>
  <c r="B811" i="2"/>
  <c r="A811" i="2"/>
  <c r="AD810" i="2"/>
  <c r="AC810" i="2"/>
  <c r="AB810" i="2"/>
  <c r="AA810" i="2"/>
  <c r="Z810" i="2"/>
  <c r="Y810" i="2"/>
  <c r="X810" i="2"/>
  <c r="W810" i="2"/>
  <c r="V810" i="2"/>
  <c r="U810" i="2"/>
  <c r="T810" i="2"/>
  <c r="S810" i="2"/>
  <c r="R810" i="2"/>
  <c r="Q810" i="2"/>
  <c r="P810" i="2"/>
  <c r="O810" i="2"/>
  <c r="N810" i="2"/>
  <c r="M810" i="2"/>
  <c r="L810" i="2"/>
  <c r="K810" i="2"/>
  <c r="J810" i="2"/>
  <c r="I810" i="2"/>
  <c r="H810" i="2"/>
  <c r="G810" i="2"/>
  <c r="F810" i="2"/>
  <c r="E810" i="2"/>
  <c r="D810" i="2"/>
  <c r="C810" i="2"/>
  <c r="B810" i="2"/>
  <c r="A810" i="2"/>
  <c r="AD809" i="2"/>
  <c r="AC809" i="2"/>
  <c r="AB809" i="2"/>
  <c r="AA809" i="2"/>
  <c r="Z809" i="2"/>
  <c r="Y809" i="2"/>
  <c r="X809" i="2"/>
  <c r="W809" i="2"/>
  <c r="V809" i="2"/>
  <c r="U809" i="2"/>
  <c r="T809" i="2"/>
  <c r="S809" i="2"/>
  <c r="R809" i="2"/>
  <c r="Q809" i="2"/>
  <c r="P809" i="2"/>
  <c r="O809" i="2"/>
  <c r="N809" i="2"/>
  <c r="M809" i="2"/>
  <c r="L809" i="2"/>
  <c r="K809" i="2"/>
  <c r="J809" i="2"/>
  <c r="I809" i="2"/>
  <c r="H809" i="2"/>
  <c r="G809" i="2"/>
  <c r="F809" i="2"/>
  <c r="E809" i="2"/>
  <c r="D809" i="2"/>
  <c r="C809" i="2"/>
  <c r="B809" i="2"/>
  <c r="A809" i="2"/>
  <c r="AD808" i="2"/>
  <c r="AC808" i="2"/>
  <c r="AB808" i="2"/>
  <c r="AA808" i="2"/>
  <c r="Z808" i="2"/>
  <c r="Y808" i="2"/>
  <c r="X808" i="2"/>
  <c r="W808" i="2"/>
  <c r="V808" i="2"/>
  <c r="U808" i="2"/>
  <c r="T808" i="2"/>
  <c r="S808" i="2"/>
  <c r="R808" i="2"/>
  <c r="Q808" i="2"/>
  <c r="P808" i="2"/>
  <c r="O808" i="2"/>
  <c r="N808" i="2"/>
  <c r="M808" i="2"/>
  <c r="L808" i="2"/>
  <c r="K808" i="2"/>
  <c r="J808" i="2"/>
  <c r="I808" i="2"/>
  <c r="H808" i="2"/>
  <c r="G808" i="2"/>
  <c r="F808" i="2"/>
  <c r="E808" i="2"/>
  <c r="D808" i="2"/>
  <c r="C808" i="2"/>
  <c r="B808" i="2"/>
  <c r="A808" i="2"/>
  <c r="AD807" i="2"/>
  <c r="AC807" i="2"/>
  <c r="AB807" i="2"/>
  <c r="AA807" i="2"/>
  <c r="Z807" i="2"/>
  <c r="Y807" i="2"/>
  <c r="X807" i="2"/>
  <c r="W807" i="2"/>
  <c r="V807" i="2"/>
  <c r="U807" i="2"/>
  <c r="T807" i="2"/>
  <c r="S807" i="2"/>
  <c r="R807" i="2"/>
  <c r="Q807" i="2"/>
  <c r="P807" i="2"/>
  <c r="O807" i="2"/>
  <c r="N807" i="2"/>
  <c r="M807" i="2"/>
  <c r="L807" i="2"/>
  <c r="K807" i="2"/>
  <c r="J807" i="2"/>
  <c r="I807" i="2"/>
  <c r="H807" i="2"/>
  <c r="G807" i="2"/>
  <c r="F807" i="2"/>
  <c r="E807" i="2"/>
  <c r="D807" i="2"/>
  <c r="C807" i="2"/>
  <c r="B807" i="2"/>
  <c r="A807" i="2"/>
  <c r="AD806" i="2"/>
  <c r="AC806" i="2"/>
  <c r="AB806" i="2"/>
  <c r="AA806" i="2"/>
  <c r="Z806" i="2"/>
  <c r="Y806" i="2"/>
  <c r="X806" i="2"/>
  <c r="W806" i="2"/>
  <c r="V806" i="2"/>
  <c r="U806" i="2"/>
  <c r="T806" i="2"/>
  <c r="S806" i="2"/>
  <c r="R806" i="2"/>
  <c r="Q806" i="2"/>
  <c r="P806" i="2"/>
  <c r="O806" i="2"/>
  <c r="N806" i="2"/>
  <c r="M806" i="2"/>
  <c r="L806" i="2"/>
  <c r="K806" i="2"/>
  <c r="J806" i="2"/>
  <c r="I806" i="2"/>
  <c r="H806" i="2"/>
  <c r="G806" i="2"/>
  <c r="F806" i="2"/>
  <c r="E806" i="2"/>
  <c r="D806" i="2"/>
  <c r="C806" i="2"/>
  <c r="B806" i="2"/>
  <c r="A806" i="2"/>
  <c r="AD805" i="2"/>
  <c r="AC805" i="2"/>
  <c r="AB805" i="2"/>
  <c r="AA805" i="2"/>
  <c r="Z805" i="2"/>
  <c r="Y805" i="2"/>
  <c r="X805" i="2"/>
  <c r="W805" i="2"/>
  <c r="V805" i="2"/>
  <c r="U805" i="2"/>
  <c r="T805" i="2"/>
  <c r="S805" i="2"/>
  <c r="R805" i="2"/>
  <c r="Q805" i="2"/>
  <c r="P805" i="2"/>
  <c r="O805" i="2"/>
  <c r="N805" i="2"/>
  <c r="M805" i="2"/>
  <c r="L805" i="2"/>
  <c r="K805" i="2"/>
  <c r="J805" i="2"/>
  <c r="I805" i="2"/>
  <c r="H805" i="2"/>
  <c r="G805" i="2"/>
  <c r="F805" i="2"/>
  <c r="E805" i="2"/>
  <c r="D805" i="2"/>
  <c r="C805" i="2"/>
  <c r="B805" i="2"/>
  <c r="A805" i="2"/>
  <c r="AD804" i="2"/>
  <c r="AC804" i="2"/>
  <c r="AB804" i="2"/>
  <c r="AA804" i="2"/>
  <c r="Z804" i="2"/>
  <c r="Y804" i="2"/>
  <c r="X804" i="2"/>
  <c r="W804" i="2"/>
  <c r="V804" i="2"/>
  <c r="U804" i="2"/>
  <c r="T804" i="2"/>
  <c r="S804" i="2"/>
  <c r="R804" i="2"/>
  <c r="Q804" i="2"/>
  <c r="P804" i="2"/>
  <c r="O804" i="2"/>
  <c r="N804" i="2"/>
  <c r="M804" i="2"/>
  <c r="L804" i="2"/>
  <c r="K804" i="2"/>
  <c r="J804" i="2"/>
  <c r="I804" i="2"/>
  <c r="H804" i="2"/>
  <c r="G804" i="2"/>
  <c r="F804" i="2"/>
  <c r="E804" i="2"/>
  <c r="D804" i="2"/>
  <c r="C804" i="2"/>
  <c r="B804" i="2"/>
  <c r="A804" i="2"/>
  <c r="AD803" i="2"/>
  <c r="AC803" i="2"/>
  <c r="AB803" i="2"/>
  <c r="AA803" i="2"/>
  <c r="Z803" i="2"/>
  <c r="Y803" i="2"/>
  <c r="X803" i="2"/>
  <c r="W803" i="2"/>
  <c r="V803" i="2"/>
  <c r="U803" i="2"/>
  <c r="T803" i="2"/>
  <c r="S803" i="2"/>
  <c r="R803" i="2"/>
  <c r="Q803" i="2"/>
  <c r="P803" i="2"/>
  <c r="O803" i="2"/>
  <c r="N803" i="2"/>
  <c r="M803" i="2"/>
  <c r="L803" i="2"/>
  <c r="K803" i="2"/>
  <c r="J803" i="2"/>
  <c r="I803" i="2"/>
  <c r="H803" i="2"/>
  <c r="G803" i="2"/>
  <c r="F803" i="2"/>
  <c r="E803" i="2"/>
  <c r="D803" i="2"/>
  <c r="C803" i="2"/>
  <c r="B803" i="2"/>
  <c r="A803" i="2"/>
  <c r="AD802" i="2"/>
  <c r="AC802" i="2"/>
  <c r="AB802" i="2"/>
  <c r="AA802" i="2"/>
  <c r="Z802" i="2"/>
  <c r="Y802" i="2"/>
  <c r="X802" i="2"/>
  <c r="W802" i="2"/>
  <c r="V802" i="2"/>
  <c r="U802" i="2"/>
  <c r="T802" i="2"/>
  <c r="S802" i="2"/>
  <c r="R802" i="2"/>
  <c r="Q802" i="2"/>
  <c r="P802" i="2"/>
  <c r="O802" i="2"/>
  <c r="N802" i="2"/>
  <c r="M802" i="2"/>
  <c r="L802" i="2"/>
  <c r="K802" i="2"/>
  <c r="J802" i="2"/>
  <c r="I802" i="2"/>
  <c r="H802" i="2"/>
  <c r="G802" i="2"/>
  <c r="F802" i="2"/>
  <c r="E802" i="2"/>
  <c r="D802" i="2"/>
  <c r="C802" i="2"/>
  <c r="B802" i="2"/>
  <c r="A802" i="2"/>
  <c r="AD801" i="2"/>
  <c r="AC801" i="2"/>
  <c r="AB801" i="2"/>
  <c r="AA801" i="2"/>
  <c r="Z801" i="2"/>
  <c r="Y801" i="2"/>
  <c r="X801" i="2"/>
  <c r="W801" i="2"/>
  <c r="V801" i="2"/>
  <c r="U801" i="2"/>
  <c r="T801" i="2"/>
  <c r="S801" i="2"/>
  <c r="R801" i="2"/>
  <c r="Q801" i="2"/>
  <c r="P801" i="2"/>
  <c r="O801" i="2"/>
  <c r="N801" i="2"/>
  <c r="M801" i="2"/>
  <c r="L801" i="2"/>
  <c r="K801" i="2"/>
  <c r="J801" i="2"/>
  <c r="I801" i="2"/>
  <c r="H801" i="2"/>
  <c r="G801" i="2"/>
  <c r="F801" i="2"/>
  <c r="E801" i="2"/>
  <c r="D801" i="2"/>
  <c r="C801" i="2"/>
  <c r="B801" i="2"/>
  <c r="A801" i="2"/>
  <c r="AD800" i="2"/>
  <c r="AC800" i="2"/>
  <c r="AB800" i="2"/>
  <c r="AA800" i="2"/>
  <c r="Z800" i="2"/>
  <c r="Y800" i="2"/>
  <c r="X800" i="2"/>
  <c r="W800" i="2"/>
  <c r="V800" i="2"/>
  <c r="U800" i="2"/>
  <c r="T800" i="2"/>
  <c r="S800" i="2"/>
  <c r="R800" i="2"/>
  <c r="Q800" i="2"/>
  <c r="P800" i="2"/>
  <c r="O800" i="2"/>
  <c r="N800" i="2"/>
  <c r="M800" i="2"/>
  <c r="L800" i="2"/>
  <c r="K800" i="2"/>
  <c r="J800" i="2"/>
  <c r="I800" i="2"/>
  <c r="H800" i="2"/>
  <c r="G800" i="2"/>
  <c r="F800" i="2"/>
  <c r="E800" i="2"/>
  <c r="D800" i="2"/>
  <c r="C800" i="2"/>
  <c r="B800" i="2"/>
  <c r="A800" i="2"/>
  <c r="AD799" i="2"/>
  <c r="AC799" i="2"/>
  <c r="AB799" i="2"/>
  <c r="AA799" i="2"/>
  <c r="Z799" i="2"/>
  <c r="Y799" i="2"/>
  <c r="X799" i="2"/>
  <c r="W799" i="2"/>
  <c r="V799" i="2"/>
  <c r="U799" i="2"/>
  <c r="T799" i="2"/>
  <c r="S799" i="2"/>
  <c r="R799" i="2"/>
  <c r="Q799" i="2"/>
  <c r="P799" i="2"/>
  <c r="O799" i="2"/>
  <c r="N799" i="2"/>
  <c r="M799" i="2"/>
  <c r="L799" i="2"/>
  <c r="K799" i="2"/>
  <c r="J799" i="2"/>
  <c r="I799" i="2"/>
  <c r="H799" i="2"/>
  <c r="G799" i="2"/>
  <c r="F799" i="2"/>
  <c r="E799" i="2"/>
  <c r="D799" i="2"/>
  <c r="C799" i="2"/>
  <c r="B799" i="2"/>
  <c r="A799" i="2"/>
  <c r="AD798" i="2"/>
  <c r="AC798" i="2"/>
  <c r="AB798" i="2"/>
  <c r="AA798" i="2"/>
  <c r="Z798" i="2"/>
  <c r="Y798" i="2"/>
  <c r="X798" i="2"/>
  <c r="W798" i="2"/>
  <c r="V798" i="2"/>
  <c r="U798" i="2"/>
  <c r="T798" i="2"/>
  <c r="S798" i="2"/>
  <c r="R798" i="2"/>
  <c r="Q798" i="2"/>
  <c r="P798" i="2"/>
  <c r="O798" i="2"/>
  <c r="N798" i="2"/>
  <c r="M798" i="2"/>
  <c r="L798" i="2"/>
  <c r="K798" i="2"/>
  <c r="J798" i="2"/>
  <c r="I798" i="2"/>
  <c r="H798" i="2"/>
  <c r="G798" i="2"/>
  <c r="F798" i="2"/>
  <c r="E798" i="2"/>
  <c r="D798" i="2"/>
  <c r="C798" i="2"/>
  <c r="B798" i="2"/>
  <c r="A798" i="2"/>
  <c r="AD797" i="2"/>
  <c r="AC797" i="2"/>
  <c r="AB797" i="2"/>
  <c r="AA797" i="2"/>
  <c r="Z797" i="2"/>
  <c r="Y797" i="2"/>
  <c r="X797" i="2"/>
  <c r="W797" i="2"/>
  <c r="V797" i="2"/>
  <c r="U797" i="2"/>
  <c r="T797" i="2"/>
  <c r="S797" i="2"/>
  <c r="R797" i="2"/>
  <c r="Q797" i="2"/>
  <c r="P797" i="2"/>
  <c r="O797" i="2"/>
  <c r="N797" i="2"/>
  <c r="M797" i="2"/>
  <c r="L797" i="2"/>
  <c r="K797" i="2"/>
  <c r="J797" i="2"/>
  <c r="I797" i="2"/>
  <c r="H797" i="2"/>
  <c r="G797" i="2"/>
  <c r="F797" i="2"/>
  <c r="E797" i="2"/>
  <c r="D797" i="2"/>
  <c r="C797" i="2"/>
  <c r="B797" i="2"/>
  <c r="A797" i="2"/>
  <c r="AD796" i="2"/>
  <c r="AC796" i="2"/>
  <c r="AB796" i="2"/>
  <c r="AA796" i="2"/>
  <c r="Z796" i="2"/>
  <c r="Y796" i="2"/>
  <c r="X796" i="2"/>
  <c r="W796" i="2"/>
  <c r="V796" i="2"/>
  <c r="U796" i="2"/>
  <c r="T796" i="2"/>
  <c r="S796" i="2"/>
  <c r="R796" i="2"/>
  <c r="Q796" i="2"/>
  <c r="P796" i="2"/>
  <c r="O796" i="2"/>
  <c r="N796" i="2"/>
  <c r="M796" i="2"/>
  <c r="L796" i="2"/>
  <c r="K796" i="2"/>
  <c r="J796" i="2"/>
  <c r="I796" i="2"/>
  <c r="H796" i="2"/>
  <c r="G796" i="2"/>
  <c r="F796" i="2"/>
  <c r="E796" i="2"/>
  <c r="D796" i="2"/>
  <c r="C796" i="2"/>
  <c r="B796" i="2"/>
  <c r="A796" i="2"/>
  <c r="AD795" i="2"/>
  <c r="AC795" i="2"/>
  <c r="AB795" i="2"/>
  <c r="AA795" i="2"/>
  <c r="Z795" i="2"/>
  <c r="Y795" i="2"/>
  <c r="X795" i="2"/>
  <c r="W795" i="2"/>
  <c r="V795" i="2"/>
  <c r="U795" i="2"/>
  <c r="T795" i="2"/>
  <c r="S795" i="2"/>
  <c r="R795" i="2"/>
  <c r="Q795" i="2"/>
  <c r="P795" i="2"/>
  <c r="O795" i="2"/>
  <c r="N795" i="2"/>
  <c r="M795" i="2"/>
  <c r="L795" i="2"/>
  <c r="K795" i="2"/>
  <c r="J795" i="2"/>
  <c r="I795" i="2"/>
  <c r="H795" i="2"/>
  <c r="G795" i="2"/>
  <c r="F795" i="2"/>
  <c r="E795" i="2"/>
  <c r="D795" i="2"/>
  <c r="C795" i="2"/>
  <c r="B795" i="2"/>
  <c r="A795" i="2"/>
  <c r="AD794" i="2"/>
  <c r="AC794" i="2"/>
  <c r="AB794" i="2"/>
  <c r="AA794" i="2"/>
  <c r="Z794" i="2"/>
  <c r="Y794" i="2"/>
  <c r="X794" i="2"/>
  <c r="W794" i="2"/>
  <c r="V794" i="2"/>
  <c r="U794" i="2"/>
  <c r="T794" i="2"/>
  <c r="S794" i="2"/>
  <c r="R794" i="2"/>
  <c r="Q794" i="2"/>
  <c r="P794" i="2"/>
  <c r="O794" i="2"/>
  <c r="N794" i="2"/>
  <c r="M794" i="2"/>
  <c r="L794" i="2"/>
  <c r="K794" i="2"/>
  <c r="J794" i="2"/>
  <c r="I794" i="2"/>
  <c r="H794" i="2"/>
  <c r="G794" i="2"/>
  <c r="F794" i="2"/>
  <c r="E794" i="2"/>
  <c r="D794" i="2"/>
  <c r="C794" i="2"/>
  <c r="B794" i="2"/>
  <c r="A794" i="2"/>
  <c r="AD793" i="2"/>
  <c r="AC793" i="2"/>
  <c r="AB793" i="2"/>
  <c r="AA793" i="2"/>
  <c r="Z793" i="2"/>
  <c r="Y793" i="2"/>
  <c r="X793" i="2"/>
  <c r="W793" i="2"/>
  <c r="V793" i="2"/>
  <c r="U793" i="2"/>
  <c r="T793" i="2"/>
  <c r="S793" i="2"/>
  <c r="R793" i="2"/>
  <c r="Q793" i="2"/>
  <c r="P793" i="2"/>
  <c r="O793" i="2"/>
  <c r="N793" i="2"/>
  <c r="M793" i="2"/>
  <c r="L793" i="2"/>
  <c r="K793" i="2"/>
  <c r="J793" i="2"/>
  <c r="I793" i="2"/>
  <c r="H793" i="2"/>
  <c r="G793" i="2"/>
  <c r="F793" i="2"/>
  <c r="E793" i="2"/>
  <c r="D793" i="2"/>
  <c r="C793" i="2"/>
  <c r="B793" i="2"/>
  <c r="A793" i="2"/>
  <c r="AD792" i="2"/>
  <c r="AC792" i="2"/>
  <c r="AB792" i="2"/>
  <c r="AA792" i="2"/>
  <c r="Z792" i="2"/>
  <c r="Y792" i="2"/>
  <c r="X792" i="2"/>
  <c r="W792" i="2"/>
  <c r="V792" i="2"/>
  <c r="U792" i="2"/>
  <c r="T792" i="2"/>
  <c r="S792" i="2"/>
  <c r="R792" i="2"/>
  <c r="Q792" i="2"/>
  <c r="P792" i="2"/>
  <c r="O792" i="2"/>
  <c r="N792" i="2"/>
  <c r="M792" i="2"/>
  <c r="L792" i="2"/>
  <c r="K792" i="2"/>
  <c r="J792" i="2"/>
  <c r="I792" i="2"/>
  <c r="H792" i="2"/>
  <c r="G792" i="2"/>
  <c r="F792" i="2"/>
  <c r="E792" i="2"/>
  <c r="D792" i="2"/>
  <c r="C792" i="2"/>
  <c r="B792" i="2"/>
  <c r="A792" i="2"/>
  <c r="AD791" i="2"/>
  <c r="AC791" i="2"/>
  <c r="AB791" i="2"/>
  <c r="AA791" i="2"/>
  <c r="Z791" i="2"/>
  <c r="Y791" i="2"/>
  <c r="X791" i="2"/>
  <c r="W791" i="2"/>
  <c r="V791" i="2"/>
  <c r="U791" i="2"/>
  <c r="T791" i="2"/>
  <c r="S791" i="2"/>
  <c r="R791" i="2"/>
  <c r="Q791" i="2"/>
  <c r="P791" i="2"/>
  <c r="O791" i="2"/>
  <c r="N791" i="2"/>
  <c r="M791" i="2"/>
  <c r="L791" i="2"/>
  <c r="K791" i="2"/>
  <c r="J791" i="2"/>
  <c r="I791" i="2"/>
  <c r="H791" i="2"/>
  <c r="G791" i="2"/>
  <c r="F791" i="2"/>
  <c r="E791" i="2"/>
  <c r="D791" i="2"/>
  <c r="C791" i="2"/>
  <c r="B791" i="2"/>
  <c r="A791" i="2"/>
  <c r="AD790" i="2"/>
  <c r="AC790" i="2"/>
  <c r="AB790" i="2"/>
  <c r="AA790" i="2"/>
  <c r="Z790" i="2"/>
  <c r="Y790" i="2"/>
  <c r="X790" i="2"/>
  <c r="W790" i="2"/>
  <c r="V790" i="2"/>
  <c r="U790" i="2"/>
  <c r="T790" i="2"/>
  <c r="S790" i="2"/>
  <c r="R790" i="2"/>
  <c r="Q790" i="2"/>
  <c r="P790" i="2"/>
  <c r="O790" i="2"/>
  <c r="N790" i="2"/>
  <c r="M790" i="2"/>
  <c r="L790" i="2"/>
  <c r="K790" i="2"/>
  <c r="J790" i="2"/>
  <c r="I790" i="2"/>
  <c r="H790" i="2"/>
  <c r="G790" i="2"/>
  <c r="F790" i="2"/>
  <c r="E790" i="2"/>
  <c r="D790" i="2"/>
  <c r="C790" i="2"/>
  <c r="B790" i="2"/>
  <c r="A790" i="2"/>
  <c r="AD789" i="2"/>
  <c r="AC789" i="2"/>
  <c r="AB789" i="2"/>
  <c r="AA789" i="2"/>
  <c r="Z789" i="2"/>
  <c r="Y789" i="2"/>
  <c r="X789" i="2"/>
  <c r="W789" i="2"/>
  <c r="V789" i="2"/>
  <c r="U789" i="2"/>
  <c r="T789" i="2"/>
  <c r="S789" i="2"/>
  <c r="R789" i="2"/>
  <c r="Q789" i="2"/>
  <c r="P789" i="2"/>
  <c r="O789" i="2"/>
  <c r="N789" i="2"/>
  <c r="M789" i="2"/>
  <c r="L789" i="2"/>
  <c r="K789" i="2"/>
  <c r="J789" i="2"/>
  <c r="I789" i="2"/>
  <c r="H789" i="2"/>
  <c r="G789" i="2"/>
  <c r="F789" i="2"/>
  <c r="E789" i="2"/>
  <c r="D789" i="2"/>
  <c r="C789" i="2"/>
  <c r="B789" i="2"/>
  <c r="A789" i="2"/>
  <c r="AD788" i="2"/>
  <c r="AC788" i="2"/>
  <c r="AB788" i="2"/>
  <c r="AA788" i="2"/>
  <c r="Z788" i="2"/>
  <c r="Y788" i="2"/>
  <c r="X788" i="2"/>
  <c r="W788" i="2"/>
  <c r="V788" i="2"/>
  <c r="U788" i="2"/>
  <c r="T788" i="2"/>
  <c r="S788" i="2"/>
  <c r="R788" i="2"/>
  <c r="Q788" i="2"/>
  <c r="P788" i="2"/>
  <c r="O788" i="2"/>
  <c r="N788" i="2"/>
  <c r="M788" i="2"/>
  <c r="L788" i="2"/>
  <c r="K788" i="2"/>
  <c r="J788" i="2"/>
  <c r="I788" i="2"/>
  <c r="H788" i="2"/>
  <c r="G788" i="2"/>
  <c r="F788" i="2"/>
  <c r="E788" i="2"/>
  <c r="D788" i="2"/>
  <c r="C788" i="2"/>
  <c r="B788" i="2"/>
  <c r="A788" i="2"/>
  <c r="AD787" i="2"/>
  <c r="AC787" i="2"/>
  <c r="AB787" i="2"/>
  <c r="AA787" i="2"/>
  <c r="Z787" i="2"/>
  <c r="Y787" i="2"/>
  <c r="X787" i="2"/>
  <c r="W787" i="2"/>
  <c r="V787" i="2"/>
  <c r="U787" i="2"/>
  <c r="T787" i="2"/>
  <c r="S787" i="2"/>
  <c r="R787" i="2"/>
  <c r="Q787" i="2"/>
  <c r="P787" i="2"/>
  <c r="O787" i="2"/>
  <c r="N787" i="2"/>
  <c r="M787" i="2"/>
  <c r="L787" i="2"/>
  <c r="K787" i="2"/>
  <c r="J787" i="2"/>
  <c r="I787" i="2"/>
  <c r="H787" i="2"/>
  <c r="G787" i="2"/>
  <c r="F787" i="2"/>
  <c r="E787" i="2"/>
  <c r="D787" i="2"/>
  <c r="C787" i="2"/>
  <c r="B787" i="2"/>
  <c r="A787" i="2"/>
  <c r="AD786" i="2"/>
  <c r="AC786" i="2"/>
  <c r="AB786" i="2"/>
  <c r="AA786" i="2"/>
  <c r="Z786" i="2"/>
  <c r="Y786" i="2"/>
  <c r="X786" i="2"/>
  <c r="W786" i="2"/>
  <c r="V786" i="2"/>
  <c r="U786" i="2"/>
  <c r="T786" i="2"/>
  <c r="S786" i="2"/>
  <c r="R786" i="2"/>
  <c r="Q786" i="2"/>
  <c r="P786" i="2"/>
  <c r="O786" i="2"/>
  <c r="N786" i="2"/>
  <c r="M786" i="2"/>
  <c r="L786" i="2"/>
  <c r="K786" i="2"/>
  <c r="J786" i="2"/>
  <c r="I786" i="2"/>
  <c r="H786" i="2"/>
  <c r="G786" i="2"/>
  <c r="F786" i="2"/>
  <c r="E786" i="2"/>
  <c r="D786" i="2"/>
  <c r="C786" i="2"/>
  <c r="B786" i="2"/>
  <c r="A786" i="2"/>
  <c r="AD785" i="2"/>
  <c r="AC785" i="2"/>
  <c r="AB785" i="2"/>
  <c r="AA785" i="2"/>
  <c r="Z785" i="2"/>
  <c r="Y785" i="2"/>
  <c r="X785" i="2"/>
  <c r="W785" i="2"/>
  <c r="V785" i="2"/>
  <c r="U785" i="2"/>
  <c r="T785" i="2"/>
  <c r="S785" i="2"/>
  <c r="R785" i="2"/>
  <c r="Q785" i="2"/>
  <c r="P785" i="2"/>
  <c r="O785" i="2"/>
  <c r="N785" i="2"/>
  <c r="M785" i="2"/>
  <c r="L785" i="2"/>
  <c r="K785" i="2"/>
  <c r="J785" i="2"/>
  <c r="I785" i="2"/>
  <c r="H785" i="2"/>
  <c r="G785" i="2"/>
  <c r="F785" i="2"/>
  <c r="E785" i="2"/>
  <c r="D785" i="2"/>
  <c r="C785" i="2"/>
  <c r="B785" i="2"/>
  <c r="A785" i="2"/>
  <c r="AD784" i="2"/>
  <c r="AC784" i="2"/>
  <c r="AB784" i="2"/>
  <c r="AA784" i="2"/>
  <c r="Z784" i="2"/>
  <c r="Y784" i="2"/>
  <c r="X784" i="2"/>
  <c r="W784" i="2"/>
  <c r="V784" i="2"/>
  <c r="U784" i="2"/>
  <c r="T784" i="2"/>
  <c r="S784" i="2"/>
  <c r="R784" i="2"/>
  <c r="Q784" i="2"/>
  <c r="P784" i="2"/>
  <c r="O784" i="2"/>
  <c r="N784" i="2"/>
  <c r="M784" i="2"/>
  <c r="L784" i="2"/>
  <c r="K784" i="2"/>
  <c r="J784" i="2"/>
  <c r="I784" i="2"/>
  <c r="H784" i="2"/>
  <c r="G784" i="2"/>
  <c r="F784" i="2"/>
  <c r="E784" i="2"/>
  <c r="D784" i="2"/>
  <c r="C784" i="2"/>
  <c r="B784" i="2"/>
  <c r="A784" i="2"/>
  <c r="AD783" i="2"/>
  <c r="AC783" i="2"/>
  <c r="AB783" i="2"/>
  <c r="AA783" i="2"/>
  <c r="Z783" i="2"/>
  <c r="Y783" i="2"/>
  <c r="X783" i="2"/>
  <c r="W783" i="2"/>
  <c r="V783" i="2"/>
  <c r="U783" i="2"/>
  <c r="T783" i="2"/>
  <c r="S783" i="2"/>
  <c r="R783" i="2"/>
  <c r="Q783" i="2"/>
  <c r="P783" i="2"/>
  <c r="O783" i="2"/>
  <c r="N783" i="2"/>
  <c r="M783" i="2"/>
  <c r="L783" i="2"/>
  <c r="K783" i="2"/>
  <c r="J783" i="2"/>
  <c r="I783" i="2"/>
  <c r="H783" i="2"/>
  <c r="G783" i="2"/>
  <c r="F783" i="2"/>
  <c r="E783" i="2"/>
  <c r="D783" i="2"/>
  <c r="C783" i="2"/>
  <c r="B783" i="2"/>
  <c r="A783" i="2"/>
  <c r="AD782" i="2"/>
  <c r="AC782" i="2"/>
  <c r="AB782" i="2"/>
  <c r="AA782" i="2"/>
  <c r="Z782" i="2"/>
  <c r="Y782" i="2"/>
  <c r="X782" i="2"/>
  <c r="W782" i="2"/>
  <c r="V782" i="2"/>
  <c r="U782" i="2"/>
  <c r="T782" i="2"/>
  <c r="S782" i="2"/>
  <c r="R782" i="2"/>
  <c r="Q782" i="2"/>
  <c r="P782" i="2"/>
  <c r="O782" i="2"/>
  <c r="N782" i="2"/>
  <c r="M782" i="2"/>
  <c r="L782" i="2"/>
  <c r="K782" i="2"/>
  <c r="J782" i="2"/>
  <c r="I782" i="2"/>
  <c r="H782" i="2"/>
  <c r="G782" i="2"/>
  <c r="F782" i="2"/>
  <c r="E782" i="2"/>
  <c r="D782" i="2"/>
  <c r="C782" i="2"/>
  <c r="B782" i="2"/>
  <c r="A782" i="2"/>
  <c r="AD781" i="2"/>
  <c r="AC781" i="2"/>
  <c r="AB781" i="2"/>
  <c r="AA781" i="2"/>
  <c r="Z781" i="2"/>
  <c r="Y781" i="2"/>
  <c r="X781" i="2"/>
  <c r="W781" i="2"/>
  <c r="V781" i="2"/>
  <c r="U781" i="2"/>
  <c r="T781" i="2"/>
  <c r="S781" i="2"/>
  <c r="R781" i="2"/>
  <c r="Q781" i="2"/>
  <c r="P781" i="2"/>
  <c r="O781" i="2"/>
  <c r="N781" i="2"/>
  <c r="M781" i="2"/>
  <c r="L781" i="2"/>
  <c r="K781" i="2"/>
  <c r="J781" i="2"/>
  <c r="I781" i="2"/>
  <c r="H781" i="2"/>
  <c r="G781" i="2"/>
  <c r="F781" i="2"/>
  <c r="E781" i="2"/>
  <c r="D781" i="2"/>
  <c r="C781" i="2"/>
  <c r="B781" i="2"/>
  <c r="A781" i="2"/>
  <c r="AD780" i="2"/>
  <c r="AC780" i="2"/>
  <c r="AB780" i="2"/>
  <c r="AA780" i="2"/>
  <c r="Z780" i="2"/>
  <c r="Y780" i="2"/>
  <c r="X780" i="2"/>
  <c r="W780" i="2"/>
  <c r="V780" i="2"/>
  <c r="U780" i="2"/>
  <c r="T780" i="2"/>
  <c r="S780" i="2"/>
  <c r="R780" i="2"/>
  <c r="Q780" i="2"/>
  <c r="P780" i="2"/>
  <c r="O780" i="2"/>
  <c r="N780" i="2"/>
  <c r="M780" i="2"/>
  <c r="L780" i="2"/>
  <c r="K780" i="2"/>
  <c r="J780" i="2"/>
  <c r="I780" i="2"/>
  <c r="H780" i="2"/>
  <c r="G780" i="2"/>
  <c r="F780" i="2"/>
  <c r="E780" i="2"/>
  <c r="D780" i="2"/>
  <c r="C780" i="2"/>
  <c r="B780" i="2"/>
  <c r="A780" i="2"/>
  <c r="AD779" i="2"/>
  <c r="AC779" i="2"/>
  <c r="AB779" i="2"/>
  <c r="AA779" i="2"/>
  <c r="Z779" i="2"/>
  <c r="Y779" i="2"/>
  <c r="X779" i="2"/>
  <c r="W779" i="2"/>
  <c r="V779" i="2"/>
  <c r="U779" i="2"/>
  <c r="T779" i="2"/>
  <c r="S779" i="2"/>
  <c r="R779" i="2"/>
  <c r="Q779" i="2"/>
  <c r="P779" i="2"/>
  <c r="O779" i="2"/>
  <c r="N779" i="2"/>
  <c r="M779" i="2"/>
  <c r="L779" i="2"/>
  <c r="K779" i="2"/>
  <c r="J779" i="2"/>
  <c r="I779" i="2"/>
  <c r="H779" i="2"/>
  <c r="G779" i="2"/>
  <c r="F779" i="2"/>
  <c r="E779" i="2"/>
  <c r="D779" i="2"/>
  <c r="C779" i="2"/>
  <c r="B779" i="2"/>
  <c r="A779" i="2"/>
  <c r="AD778" i="2"/>
  <c r="AC778" i="2"/>
  <c r="AB778" i="2"/>
  <c r="AA778" i="2"/>
  <c r="Z778" i="2"/>
  <c r="Y778" i="2"/>
  <c r="X778" i="2"/>
  <c r="W778" i="2"/>
  <c r="V778" i="2"/>
  <c r="U778" i="2"/>
  <c r="T778" i="2"/>
  <c r="S778" i="2"/>
  <c r="R778" i="2"/>
  <c r="Q778" i="2"/>
  <c r="P778" i="2"/>
  <c r="O778" i="2"/>
  <c r="N778" i="2"/>
  <c r="M778" i="2"/>
  <c r="L778" i="2"/>
  <c r="K778" i="2"/>
  <c r="J778" i="2"/>
  <c r="I778" i="2"/>
  <c r="H778" i="2"/>
  <c r="G778" i="2"/>
  <c r="F778" i="2"/>
  <c r="E778" i="2"/>
  <c r="D778" i="2"/>
  <c r="C778" i="2"/>
  <c r="B778" i="2"/>
  <c r="A778" i="2"/>
  <c r="AD777" i="2"/>
  <c r="AC777" i="2"/>
  <c r="AB777" i="2"/>
  <c r="AA777" i="2"/>
  <c r="Z777" i="2"/>
  <c r="Y777" i="2"/>
  <c r="X777" i="2"/>
  <c r="W777" i="2"/>
  <c r="V777" i="2"/>
  <c r="U777" i="2"/>
  <c r="T777" i="2"/>
  <c r="S777" i="2"/>
  <c r="R777" i="2"/>
  <c r="Q777" i="2"/>
  <c r="P777" i="2"/>
  <c r="O777" i="2"/>
  <c r="N777" i="2"/>
  <c r="M777" i="2"/>
  <c r="L777" i="2"/>
  <c r="K777" i="2"/>
  <c r="J777" i="2"/>
  <c r="I777" i="2"/>
  <c r="H777" i="2"/>
  <c r="G777" i="2"/>
  <c r="F777" i="2"/>
  <c r="E777" i="2"/>
  <c r="D777" i="2"/>
  <c r="C777" i="2"/>
  <c r="B777" i="2"/>
  <c r="A777" i="2"/>
  <c r="AD776" i="2"/>
  <c r="AC776" i="2"/>
  <c r="AB776" i="2"/>
  <c r="AA776" i="2"/>
  <c r="Z776" i="2"/>
  <c r="Y776" i="2"/>
  <c r="X776" i="2"/>
  <c r="W776" i="2"/>
  <c r="V776" i="2"/>
  <c r="U776" i="2"/>
  <c r="T776" i="2"/>
  <c r="S776" i="2"/>
  <c r="R776" i="2"/>
  <c r="Q776" i="2"/>
  <c r="P776" i="2"/>
  <c r="O776" i="2"/>
  <c r="N776" i="2"/>
  <c r="M776" i="2"/>
  <c r="L776" i="2"/>
  <c r="K776" i="2"/>
  <c r="J776" i="2"/>
  <c r="I776" i="2"/>
  <c r="H776" i="2"/>
  <c r="G776" i="2"/>
  <c r="F776" i="2"/>
  <c r="E776" i="2"/>
  <c r="D776" i="2"/>
  <c r="C776" i="2"/>
  <c r="B776" i="2"/>
  <c r="A776" i="2"/>
  <c r="AD775" i="2"/>
  <c r="AC775" i="2"/>
  <c r="AB775" i="2"/>
  <c r="AA775" i="2"/>
  <c r="Z775" i="2"/>
  <c r="Y775" i="2"/>
  <c r="X775" i="2"/>
  <c r="W775" i="2"/>
  <c r="V775" i="2"/>
  <c r="U775" i="2"/>
  <c r="T775" i="2"/>
  <c r="S775" i="2"/>
  <c r="R775" i="2"/>
  <c r="Q775" i="2"/>
  <c r="P775" i="2"/>
  <c r="O775" i="2"/>
  <c r="N775" i="2"/>
  <c r="M775" i="2"/>
  <c r="L775" i="2"/>
  <c r="K775" i="2"/>
  <c r="J775" i="2"/>
  <c r="I775" i="2"/>
  <c r="H775" i="2"/>
  <c r="G775" i="2"/>
  <c r="F775" i="2"/>
  <c r="E775" i="2"/>
  <c r="D775" i="2"/>
  <c r="C775" i="2"/>
  <c r="B775" i="2"/>
  <c r="A775" i="2"/>
  <c r="AD774" i="2"/>
  <c r="AC774" i="2"/>
  <c r="AB774" i="2"/>
  <c r="AA774" i="2"/>
  <c r="Z774" i="2"/>
  <c r="Y774" i="2"/>
  <c r="X774" i="2"/>
  <c r="W774" i="2"/>
  <c r="V774" i="2"/>
  <c r="U774" i="2"/>
  <c r="T774" i="2"/>
  <c r="S774" i="2"/>
  <c r="R774" i="2"/>
  <c r="Q774" i="2"/>
  <c r="P774" i="2"/>
  <c r="O774" i="2"/>
  <c r="N774" i="2"/>
  <c r="M774" i="2"/>
  <c r="L774" i="2"/>
  <c r="K774" i="2"/>
  <c r="J774" i="2"/>
  <c r="I774" i="2"/>
  <c r="H774" i="2"/>
  <c r="G774" i="2"/>
  <c r="F774" i="2"/>
  <c r="E774" i="2"/>
  <c r="D774" i="2"/>
  <c r="C774" i="2"/>
  <c r="B774" i="2"/>
  <c r="A774" i="2"/>
  <c r="AD773" i="2"/>
  <c r="AC773" i="2"/>
  <c r="AB773" i="2"/>
  <c r="AA773" i="2"/>
  <c r="Z773" i="2"/>
  <c r="Y773" i="2"/>
  <c r="X773" i="2"/>
  <c r="W773" i="2"/>
  <c r="V773" i="2"/>
  <c r="U773" i="2"/>
  <c r="T773" i="2"/>
  <c r="S773" i="2"/>
  <c r="R773" i="2"/>
  <c r="Q773" i="2"/>
  <c r="P773" i="2"/>
  <c r="O773" i="2"/>
  <c r="N773" i="2"/>
  <c r="M773" i="2"/>
  <c r="L773" i="2"/>
  <c r="K773" i="2"/>
  <c r="J773" i="2"/>
  <c r="I773" i="2"/>
  <c r="H773" i="2"/>
  <c r="G773" i="2"/>
  <c r="F773" i="2"/>
  <c r="E773" i="2"/>
  <c r="D773" i="2"/>
  <c r="C773" i="2"/>
  <c r="B773" i="2"/>
  <c r="A773" i="2"/>
  <c r="AD772" i="2"/>
  <c r="AC772" i="2"/>
  <c r="AB772" i="2"/>
  <c r="AA772" i="2"/>
  <c r="Z772" i="2"/>
  <c r="Y772" i="2"/>
  <c r="X772" i="2"/>
  <c r="W772" i="2"/>
  <c r="V772" i="2"/>
  <c r="U772" i="2"/>
  <c r="T772" i="2"/>
  <c r="S772" i="2"/>
  <c r="R772" i="2"/>
  <c r="Q772" i="2"/>
  <c r="P772" i="2"/>
  <c r="O772" i="2"/>
  <c r="N772" i="2"/>
  <c r="M772" i="2"/>
  <c r="L772" i="2"/>
  <c r="K772" i="2"/>
  <c r="J772" i="2"/>
  <c r="I772" i="2"/>
  <c r="H772" i="2"/>
  <c r="G772" i="2"/>
  <c r="F772" i="2"/>
  <c r="E772" i="2"/>
  <c r="D772" i="2"/>
  <c r="C772" i="2"/>
  <c r="B772" i="2"/>
  <c r="A772" i="2"/>
  <c r="AD771" i="2"/>
  <c r="AC771" i="2"/>
  <c r="AB771" i="2"/>
  <c r="AA771" i="2"/>
  <c r="Z771" i="2"/>
  <c r="Y771" i="2"/>
  <c r="X771" i="2"/>
  <c r="W771" i="2"/>
  <c r="V771" i="2"/>
  <c r="U771" i="2"/>
  <c r="T771" i="2"/>
  <c r="S771" i="2"/>
  <c r="R771" i="2"/>
  <c r="Q771" i="2"/>
  <c r="P771" i="2"/>
  <c r="O771" i="2"/>
  <c r="N771" i="2"/>
  <c r="M771" i="2"/>
  <c r="L771" i="2"/>
  <c r="K771" i="2"/>
  <c r="J771" i="2"/>
  <c r="I771" i="2"/>
  <c r="H771" i="2"/>
  <c r="G771" i="2"/>
  <c r="F771" i="2"/>
  <c r="E771" i="2"/>
  <c r="D771" i="2"/>
  <c r="C771" i="2"/>
  <c r="B771" i="2"/>
  <c r="A771" i="2"/>
  <c r="AD770" i="2"/>
  <c r="AC770" i="2"/>
  <c r="AB770" i="2"/>
  <c r="AA770" i="2"/>
  <c r="Z770" i="2"/>
  <c r="Y770" i="2"/>
  <c r="X770" i="2"/>
  <c r="W770" i="2"/>
  <c r="V770" i="2"/>
  <c r="U770" i="2"/>
  <c r="T770" i="2"/>
  <c r="S770" i="2"/>
  <c r="R770" i="2"/>
  <c r="Q770" i="2"/>
  <c r="P770" i="2"/>
  <c r="O770" i="2"/>
  <c r="N770" i="2"/>
  <c r="M770" i="2"/>
  <c r="L770" i="2"/>
  <c r="K770" i="2"/>
  <c r="J770" i="2"/>
  <c r="I770" i="2"/>
  <c r="H770" i="2"/>
  <c r="G770" i="2"/>
  <c r="F770" i="2"/>
  <c r="E770" i="2"/>
  <c r="D770" i="2"/>
  <c r="C770" i="2"/>
  <c r="B770" i="2"/>
  <c r="A770" i="2"/>
  <c r="AD769" i="2"/>
  <c r="AC769" i="2"/>
  <c r="AB769" i="2"/>
  <c r="AA769" i="2"/>
  <c r="Z769" i="2"/>
  <c r="Y769" i="2"/>
  <c r="X769" i="2"/>
  <c r="W769" i="2"/>
  <c r="V769" i="2"/>
  <c r="U769" i="2"/>
  <c r="T769" i="2"/>
  <c r="S769" i="2"/>
  <c r="R769" i="2"/>
  <c r="Q769" i="2"/>
  <c r="P769" i="2"/>
  <c r="O769" i="2"/>
  <c r="N769" i="2"/>
  <c r="M769" i="2"/>
  <c r="L769" i="2"/>
  <c r="K769" i="2"/>
  <c r="J769" i="2"/>
  <c r="I769" i="2"/>
  <c r="H769" i="2"/>
  <c r="G769" i="2"/>
  <c r="F769" i="2"/>
  <c r="E769" i="2"/>
  <c r="D769" i="2"/>
  <c r="C769" i="2"/>
  <c r="B769" i="2"/>
  <c r="A769" i="2"/>
  <c r="AD768" i="2"/>
  <c r="AC768" i="2"/>
  <c r="AB768" i="2"/>
  <c r="AA768" i="2"/>
  <c r="Z768" i="2"/>
  <c r="Y768" i="2"/>
  <c r="X768" i="2"/>
  <c r="W768" i="2"/>
  <c r="V768" i="2"/>
  <c r="U768" i="2"/>
  <c r="T768" i="2"/>
  <c r="S768" i="2"/>
  <c r="R768" i="2"/>
  <c r="Q768" i="2"/>
  <c r="P768" i="2"/>
  <c r="O768" i="2"/>
  <c r="N768" i="2"/>
  <c r="M768" i="2"/>
  <c r="L768" i="2"/>
  <c r="K768" i="2"/>
  <c r="J768" i="2"/>
  <c r="I768" i="2"/>
  <c r="H768" i="2"/>
  <c r="G768" i="2"/>
  <c r="F768" i="2"/>
  <c r="E768" i="2"/>
  <c r="D768" i="2"/>
  <c r="C768" i="2"/>
  <c r="B768" i="2"/>
  <c r="A768" i="2"/>
  <c r="AD767" i="2"/>
  <c r="AC767" i="2"/>
  <c r="AB767" i="2"/>
  <c r="AA767" i="2"/>
  <c r="Z767" i="2"/>
  <c r="Y767" i="2"/>
  <c r="X767" i="2"/>
  <c r="W767" i="2"/>
  <c r="V767" i="2"/>
  <c r="U767" i="2"/>
  <c r="T767" i="2"/>
  <c r="S767" i="2"/>
  <c r="R767" i="2"/>
  <c r="Q767" i="2"/>
  <c r="P767" i="2"/>
  <c r="O767" i="2"/>
  <c r="N767" i="2"/>
  <c r="M767" i="2"/>
  <c r="L767" i="2"/>
  <c r="K767" i="2"/>
  <c r="J767" i="2"/>
  <c r="I767" i="2"/>
  <c r="H767" i="2"/>
  <c r="G767" i="2"/>
  <c r="F767" i="2"/>
  <c r="E767" i="2"/>
  <c r="D767" i="2"/>
  <c r="C767" i="2"/>
  <c r="B767" i="2"/>
  <c r="A767" i="2"/>
  <c r="AD766" i="2"/>
  <c r="AC766" i="2"/>
  <c r="AB766" i="2"/>
  <c r="AA766" i="2"/>
  <c r="Z766" i="2"/>
  <c r="Y766" i="2"/>
  <c r="X766" i="2"/>
  <c r="W766" i="2"/>
  <c r="V766" i="2"/>
  <c r="U766" i="2"/>
  <c r="T766" i="2"/>
  <c r="S766" i="2"/>
  <c r="R766" i="2"/>
  <c r="Q766" i="2"/>
  <c r="P766" i="2"/>
  <c r="O766" i="2"/>
  <c r="N766" i="2"/>
  <c r="M766" i="2"/>
  <c r="L766" i="2"/>
  <c r="K766" i="2"/>
  <c r="J766" i="2"/>
  <c r="I766" i="2"/>
  <c r="H766" i="2"/>
  <c r="G766" i="2"/>
  <c r="F766" i="2"/>
  <c r="E766" i="2"/>
  <c r="D766" i="2"/>
  <c r="C766" i="2"/>
  <c r="B766" i="2"/>
  <c r="A766" i="2"/>
  <c r="AD765" i="2"/>
  <c r="AC765" i="2"/>
  <c r="AB765" i="2"/>
  <c r="AA765" i="2"/>
  <c r="Z765" i="2"/>
  <c r="Y765" i="2"/>
  <c r="X765" i="2"/>
  <c r="W765" i="2"/>
  <c r="V765" i="2"/>
  <c r="U765" i="2"/>
  <c r="T765" i="2"/>
  <c r="S765" i="2"/>
  <c r="R765" i="2"/>
  <c r="Q765" i="2"/>
  <c r="P765" i="2"/>
  <c r="O765" i="2"/>
  <c r="N765" i="2"/>
  <c r="M765" i="2"/>
  <c r="L765" i="2"/>
  <c r="K765" i="2"/>
  <c r="J765" i="2"/>
  <c r="I765" i="2"/>
  <c r="H765" i="2"/>
  <c r="G765" i="2"/>
  <c r="F765" i="2"/>
  <c r="E765" i="2"/>
  <c r="D765" i="2"/>
  <c r="C765" i="2"/>
  <c r="B765" i="2"/>
  <c r="A765" i="2"/>
  <c r="AD764" i="2"/>
  <c r="AC764" i="2"/>
  <c r="AB764" i="2"/>
  <c r="AA764" i="2"/>
  <c r="Z764" i="2"/>
  <c r="Y764" i="2"/>
  <c r="X764" i="2"/>
  <c r="W764" i="2"/>
  <c r="V764" i="2"/>
  <c r="U764" i="2"/>
  <c r="T764" i="2"/>
  <c r="S764" i="2"/>
  <c r="R764" i="2"/>
  <c r="Q764" i="2"/>
  <c r="P764" i="2"/>
  <c r="O764" i="2"/>
  <c r="N764" i="2"/>
  <c r="M764" i="2"/>
  <c r="L764" i="2"/>
  <c r="K764" i="2"/>
  <c r="J764" i="2"/>
  <c r="I764" i="2"/>
  <c r="H764" i="2"/>
  <c r="G764" i="2"/>
  <c r="F764" i="2"/>
  <c r="E764" i="2"/>
  <c r="D764" i="2"/>
  <c r="C764" i="2"/>
  <c r="B764" i="2"/>
  <c r="A764" i="2"/>
  <c r="AD763" i="2"/>
  <c r="AC763" i="2"/>
  <c r="AB763" i="2"/>
  <c r="AA763" i="2"/>
  <c r="Z763" i="2"/>
  <c r="Y763" i="2"/>
  <c r="X763" i="2"/>
  <c r="W763" i="2"/>
  <c r="V763" i="2"/>
  <c r="U763" i="2"/>
  <c r="T763" i="2"/>
  <c r="S763" i="2"/>
  <c r="R763" i="2"/>
  <c r="Q763" i="2"/>
  <c r="P763" i="2"/>
  <c r="O763" i="2"/>
  <c r="N763" i="2"/>
  <c r="M763" i="2"/>
  <c r="L763" i="2"/>
  <c r="K763" i="2"/>
  <c r="J763" i="2"/>
  <c r="I763" i="2"/>
  <c r="H763" i="2"/>
  <c r="G763" i="2"/>
  <c r="F763" i="2"/>
  <c r="E763" i="2"/>
  <c r="D763" i="2"/>
  <c r="C763" i="2"/>
  <c r="B763" i="2"/>
  <c r="A763" i="2"/>
  <c r="AD762" i="2"/>
  <c r="AC762" i="2"/>
  <c r="AB762" i="2"/>
  <c r="AA762" i="2"/>
  <c r="Z762" i="2"/>
  <c r="Y762" i="2"/>
  <c r="X762" i="2"/>
  <c r="W762" i="2"/>
  <c r="V762" i="2"/>
  <c r="U762" i="2"/>
  <c r="T762" i="2"/>
  <c r="S762" i="2"/>
  <c r="R762" i="2"/>
  <c r="Q762" i="2"/>
  <c r="P762" i="2"/>
  <c r="O762" i="2"/>
  <c r="N762" i="2"/>
  <c r="M762" i="2"/>
  <c r="L762" i="2"/>
  <c r="K762" i="2"/>
  <c r="J762" i="2"/>
  <c r="I762" i="2"/>
  <c r="H762" i="2"/>
  <c r="G762" i="2"/>
  <c r="F762" i="2"/>
  <c r="E762" i="2"/>
  <c r="D762" i="2"/>
  <c r="C762" i="2"/>
  <c r="B762" i="2"/>
  <c r="A762" i="2"/>
  <c r="AD761" i="2"/>
  <c r="AC761" i="2"/>
  <c r="AB761" i="2"/>
  <c r="AA761" i="2"/>
  <c r="Z761" i="2"/>
  <c r="Y761" i="2"/>
  <c r="X761" i="2"/>
  <c r="W761" i="2"/>
  <c r="V761" i="2"/>
  <c r="U761" i="2"/>
  <c r="T761" i="2"/>
  <c r="S761" i="2"/>
  <c r="R761" i="2"/>
  <c r="Q761" i="2"/>
  <c r="P761" i="2"/>
  <c r="O761" i="2"/>
  <c r="N761" i="2"/>
  <c r="M761" i="2"/>
  <c r="L761" i="2"/>
  <c r="K761" i="2"/>
  <c r="J761" i="2"/>
  <c r="I761" i="2"/>
  <c r="H761" i="2"/>
  <c r="G761" i="2"/>
  <c r="F761" i="2"/>
  <c r="E761" i="2"/>
  <c r="D761" i="2"/>
  <c r="C761" i="2"/>
  <c r="B761" i="2"/>
  <c r="A761" i="2"/>
  <c r="AD760" i="2"/>
  <c r="AC760" i="2"/>
  <c r="AB760" i="2"/>
  <c r="AA760" i="2"/>
  <c r="Z760" i="2"/>
  <c r="Y760" i="2"/>
  <c r="X760" i="2"/>
  <c r="W760" i="2"/>
  <c r="V760" i="2"/>
  <c r="U760" i="2"/>
  <c r="T760" i="2"/>
  <c r="S760" i="2"/>
  <c r="R760" i="2"/>
  <c r="Q760" i="2"/>
  <c r="P760" i="2"/>
  <c r="O760" i="2"/>
  <c r="N760" i="2"/>
  <c r="M760" i="2"/>
  <c r="L760" i="2"/>
  <c r="K760" i="2"/>
  <c r="J760" i="2"/>
  <c r="I760" i="2"/>
  <c r="H760" i="2"/>
  <c r="G760" i="2"/>
  <c r="F760" i="2"/>
  <c r="E760" i="2"/>
  <c r="D760" i="2"/>
  <c r="C760" i="2"/>
  <c r="B760" i="2"/>
  <c r="A760" i="2"/>
  <c r="AD759" i="2"/>
  <c r="AC759" i="2"/>
  <c r="AB759" i="2"/>
  <c r="AA759" i="2"/>
  <c r="Z759" i="2"/>
  <c r="Y759" i="2"/>
  <c r="X759" i="2"/>
  <c r="W759" i="2"/>
  <c r="V759" i="2"/>
  <c r="U759" i="2"/>
  <c r="T759" i="2"/>
  <c r="S759" i="2"/>
  <c r="R759" i="2"/>
  <c r="Q759" i="2"/>
  <c r="P759" i="2"/>
  <c r="O759" i="2"/>
  <c r="N759" i="2"/>
  <c r="M759" i="2"/>
  <c r="L759" i="2"/>
  <c r="K759" i="2"/>
  <c r="J759" i="2"/>
  <c r="I759" i="2"/>
  <c r="H759" i="2"/>
  <c r="G759" i="2"/>
  <c r="F759" i="2"/>
  <c r="E759" i="2"/>
  <c r="D759" i="2"/>
  <c r="C759" i="2"/>
  <c r="B759" i="2"/>
  <c r="A759" i="2"/>
  <c r="AD758" i="2"/>
  <c r="AC758" i="2"/>
  <c r="AB758" i="2"/>
  <c r="AA758" i="2"/>
  <c r="Z758" i="2"/>
  <c r="Y758" i="2"/>
  <c r="X758" i="2"/>
  <c r="W758" i="2"/>
  <c r="V758" i="2"/>
  <c r="U758" i="2"/>
  <c r="T758" i="2"/>
  <c r="S758" i="2"/>
  <c r="R758" i="2"/>
  <c r="Q758" i="2"/>
  <c r="P758" i="2"/>
  <c r="O758" i="2"/>
  <c r="N758" i="2"/>
  <c r="M758" i="2"/>
  <c r="L758" i="2"/>
  <c r="K758" i="2"/>
  <c r="J758" i="2"/>
  <c r="I758" i="2"/>
  <c r="H758" i="2"/>
  <c r="G758" i="2"/>
  <c r="F758" i="2"/>
  <c r="E758" i="2"/>
  <c r="D758" i="2"/>
  <c r="C758" i="2"/>
  <c r="B758" i="2"/>
  <c r="A758" i="2"/>
  <c r="AD757" i="2"/>
  <c r="AC757" i="2"/>
  <c r="AB757" i="2"/>
  <c r="AA757" i="2"/>
  <c r="Z757" i="2"/>
  <c r="Y757" i="2"/>
  <c r="X757" i="2"/>
  <c r="W757" i="2"/>
  <c r="V757" i="2"/>
  <c r="U757" i="2"/>
  <c r="T757" i="2"/>
  <c r="S757" i="2"/>
  <c r="R757" i="2"/>
  <c r="Q757" i="2"/>
  <c r="P757" i="2"/>
  <c r="O757" i="2"/>
  <c r="N757" i="2"/>
  <c r="M757" i="2"/>
  <c r="L757" i="2"/>
  <c r="K757" i="2"/>
  <c r="J757" i="2"/>
  <c r="I757" i="2"/>
  <c r="H757" i="2"/>
  <c r="G757" i="2"/>
  <c r="F757" i="2"/>
  <c r="E757" i="2"/>
  <c r="D757" i="2"/>
  <c r="C757" i="2"/>
  <c r="B757" i="2"/>
  <c r="A757" i="2"/>
  <c r="AD756" i="2"/>
  <c r="AC756" i="2"/>
  <c r="AB756" i="2"/>
  <c r="AA756" i="2"/>
  <c r="Z756" i="2"/>
  <c r="Y756" i="2"/>
  <c r="X756" i="2"/>
  <c r="W756" i="2"/>
  <c r="V756" i="2"/>
  <c r="U756" i="2"/>
  <c r="T756" i="2"/>
  <c r="S756" i="2"/>
  <c r="R756" i="2"/>
  <c r="Q756" i="2"/>
  <c r="P756" i="2"/>
  <c r="O756" i="2"/>
  <c r="N756" i="2"/>
  <c r="M756" i="2"/>
  <c r="L756" i="2"/>
  <c r="K756" i="2"/>
  <c r="J756" i="2"/>
  <c r="I756" i="2"/>
  <c r="H756" i="2"/>
  <c r="G756" i="2"/>
  <c r="F756" i="2"/>
  <c r="E756" i="2"/>
  <c r="D756" i="2"/>
  <c r="C756" i="2"/>
  <c r="B756" i="2"/>
  <c r="A756" i="2"/>
  <c r="AD755" i="2"/>
  <c r="AC755" i="2"/>
  <c r="AB755" i="2"/>
  <c r="AA755" i="2"/>
  <c r="Z755" i="2"/>
  <c r="Y755" i="2"/>
  <c r="X755" i="2"/>
  <c r="W755" i="2"/>
  <c r="V755" i="2"/>
  <c r="U755" i="2"/>
  <c r="T755" i="2"/>
  <c r="S755" i="2"/>
  <c r="R755" i="2"/>
  <c r="Q755" i="2"/>
  <c r="P755" i="2"/>
  <c r="O755" i="2"/>
  <c r="N755" i="2"/>
  <c r="M755" i="2"/>
  <c r="L755" i="2"/>
  <c r="K755" i="2"/>
  <c r="J755" i="2"/>
  <c r="I755" i="2"/>
  <c r="H755" i="2"/>
  <c r="G755" i="2"/>
  <c r="F755" i="2"/>
  <c r="E755" i="2"/>
  <c r="D755" i="2"/>
  <c r="C755" i="2"/>
  <c r="B755" i="2"/>
  <c r="A755" i="2"/>
  <c r="AD754" i="2"/>
  <c r="AC754" i="2"/>
  <c r="AB754" i="2"/>
  <c r="AA754" i="2"/>
  <c r="Z754" i="2"/>
  <c r="Y754" i="2"/>
  <c r="X754" i="2"/>
  <c r="W754" i="2"/>
  <c r="V754" i="2"/>
  <c r="U754" i="2"/>
  <c r="T754" i="2"/>
  <c r="S754" i="2"/>
  <c r="R754" i="2"/>
  <c r="Q754" i="2"/>
  <c r="P754" i="2"/>
  <c r="O754" i="2"/>
  <c r="N754" i="2"/>
  <c r="M754" i="2"/>
  <c r="L754" i="2"/>
  <c r="K754" i="2"/>
  <c r="J754" i="2"/>
  <c r="I754" i="2"/>
  <c r="H754" i="2"/>
  <c r="G754" i="2"/>
  <c r="F754" i="2"/>
  <c r="E754" i="2"/>
  <c r="D754" i="2"/>
  <c r="C754" i="2"/>
  <c r="B754" i="2"/>
  <c r="A754" i="2"/>
  <c r="AD753" i="2"/>
  <c r="AC753" i="2"/>
  <c r="AB753" i="2"/>
  <c r="AA753" i="2"/>
  <c r="Z753" i="2"/>
  <c r="Y753" i="2"/>
  <c r="X753" i="2"/>
  <c r="W753" i="2"/>
  <c r="V753" i="2"/>
  <c r="U753" i="2"/>
  <c r="T753" i="2"/>
  <c r="S753" i="2"/>
  <c r="R753" i="2"/>
  <c r="Q753" i="2"/>
  <c r="P753" i="2"/>
  <c r="O753" i="2"/>
  <c r="N753" i="2"/>
  <c r="M753" i="2"/>
  <c r="L753" i="2"/>
  <c r="K753" i="2"/>
  <c r="J753" i="2"/>
  <c r="I753" i="2"/>
  <c r="H753" i="2"/>
  <c r="G753" i="2"/>
  <c r="F753" i="2"/>
  <c r="E753" i="2"/>
  <c r="D753" i="2"/>
  <c r="C753" i="2"/>
  <c r="B753" i="2"/>
  <c r="A753" i="2"/>
  <c r="AD752" i="2"/>
  <c r="AC752" i="2"/>
  <c r="AB752" i="2"/>
  <c r="AA752" i="2"/>
  <c r="Z752" i="2"/>
  <c r="Y752" i="2"/>
  <c r="X752" i="2"/>
  <c r="W752" i="2"/>
  <c r="V752" i="2"/>
  <c r="U752" i="2"/>
  <c r="T752" i="2"/>
  <c r="S752" i="2"/>
  <c r="R752" i="2"/>
  <c r="Q752" i="2"/>
  <c r="P752" i="2"/>
  <c r="O752" i="2"/>
  <c r="N752" i="2"/>
  <c r="M752" i="2"/>
  <c r="L752" i="2"/>
  <c r="K752" i="2"/>
  <c r="J752" i="2"/>
  <c r="I752" i="2"/>
  <c r="H752" i="2"/>
  <c r="G752" i="2"/>
  <c r="F752" i="2"/>
  <c r="E752" i="2"/>
  <c r="D752" i="2"/>
  <c r="C752" i="2"/>
  <c r="B752" i="2"/>
  <c r="A752" i="2"/>
  <c r="AD751" i="2"/>
  <c r="AC751" i="2"/>
  <c r="AB751" i="2"/>
  <c r="AA751" i="2"/>
  <c r="Z751" i="2"/>
  <c r="Y751" i="2"/>
  <c r="X751" i="2"/>
  <c r="W751" i="2"/>
  <c r="V751" i="2"/>
  <c r="U751" i="2"/>
  <c r="T751" i="2"/>
  <c r="S751" i="2"/>
  <c r="R751" i="2"/>
  <c r="Q751" i="2"/>
  <c r="P751" i="2"/>
  <c r="O751" i="2"/>
  <c r="N751" i="2"/>
  <c r="M751" i="2"/>
  <c r="L751" i="2"/>
  <c r="K751" i="2"/>
  <c r="J751" i="2"/>
  <c r="I751" i="2"/>
  <c r="H751" i="2"/>
  <c r="G751" i="2"/>
  <c r="F751" i="2"/>
  <c r="E751" i="2"/>
  <c r="D751" i="2"/>
  <c r="C751" i="2"/>
  <c r="B751" i="2"/>
  <c r="A751" i="2"/>
  <c r="AD750" i="2"/>
  <c r="AC750" i="2"/>
  <c r="AB750" i="2"/>
  <c r="AA750" i="2"/>
  <c r="Z750" i="2"/>
  <c r="Y750" i="2"/>
  <c r="X750" i="2"/>
  <c r="W750" i="2"/>
  <c r="V750" i="2"/>
  <c r="U750" i="2"/>
  <c r="T750" i="2"/>
  <c r="S750" i="2"/>
  <c r="R750" i="2"/>
  <c r="Q750" i="2"/>
  <c r="P750" i="2"/>
  <c r="O750" i="2"/>
  <c r="N750" i="2"/>
  <c r="M750" i="2"/>
  <c r="L750" i="2"/>
  <c r="K750" i="2"/>
  <c r="J750" i="2"/>
  <c r="I750" i="2"/>
  <c r="H750" i="2"/>
  <c r="G750" i="2"/>
  <c r="F750" i="2"/>
  <c r="E750" i="2"/>
  <c r="D750" i="2"/>
  <c r="C750" i="2"/>
  <c r="B750" i="2"/>
  <c r="A750" i="2"/>
  <c r="AD749" i="2"/>
  <c r="AC749" i="2"/>
  <c r="AB749" i="2"/>
  <c r="AA749" i="2"/>
  <c r="Z749" i="2"/>
  <c r="Y749" i="2"/>
  <c r="X749" i="2"/>
  <c r="W749" i="2"/>
  <c r="V749" i="2"/>
  <c r="U749" i="2"/>
  <c r="T749" i="2"/>
  <c r="S749" i="2"/>
  <c r="R749" i="2"/>
  <c r="Q749" i="2"/>
  <c r="P749" i="2"/>
  <c r="O749" i="2"/>
  <c r="N749" i="2"/>
  <c r="M749" i="2"/>
  <c r="L749" i="2"/>
  <c r="K749" i="2"/>
  <c r="J749" i="2"/>
  <c r="I749" i="2"/>
  <c r="H749" i="2"/>
  <c r="G749" i="2"/>
  <c r="F749" i="2"/>
  <c r="E749" i="2"/>
  <c r="D749" i="2"/>
  <c r="C749" i="2"/>
  <c r="B749" i="2"/>
  <c r="A749" i="2"/>
  <c r="AD748" i="2"/>
  <c r="AC748" i="2"/>
  <c r="AB748" i="2"/>
  <c r="AA748" i="2"/>
  <c r="Z748" i="2"/>
  <c r="Y748" i="2"/>
  <c r="X748" i="2"/>
  <c r="W748" i="2"/>
  <c r="V748" i="2"/>
  <c r="U748" i="2"/>
  <c r="T748" i="2"/>
  <c r="S748" i="2"/>
  <c r="R748" i="2"/>
  <c r="Q748" i="2"/>
  <c r="P748" i="2"/>
  <c r="O748" i="2"/>
  <c r="N748" i="2"/>
  <c r="M748" i="2"/>
  <c r="L748" i="2"/>
  <c r="K748" i="2"/>
  <c r="J748" i="2"/>
  <c r="I748" i="2"/>
  <c r="H748" i="2"/>
  <c r="G748" i="2"/>
  <c r="F748" i="2"/>
  <c r="E748" i="2"/>
  <c r="D748" i="2"/>
  <c r="C748" i="2"/>
  <c r="B748" i="2"/>
  <c r="A748" i="2"/>
  <c r="AD747" i="2"/>
  <c r="AC747"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D746" i="2"/>
  <c r="AC746" i="2"/>
  <c r="AB746" i="2"/>
  <c r="AA746" i="2"/>
  <c r="Z746" i="2"/>
  <c r="Y746" i="2"/>
  <c r="X746" i="2"/>
  <c r="W746" i="2"/>
  <c r="V746" i="2"/>
  <c r="U746" i="2"/>
  <c r="T746" i="2"/>
  <c r="S746" i="2"/>
  <c r="R746" i="2"/>
  <c r="Q746" i="2"/>
  <c r="P746" i="2"/>
  <c r="O746" i="2"/>
  <c r="N746" i="2"/>
  <c r="M746" i="2"/>
  <c r="L746" i="2"/>
  <c r="K746" i="2"/>
  <c r="J746" i="2"/>
  <c r="I746" i="2"/>
  <c r="H746" i="2"/>
  <c r="G746" i="2"/>
  <c r="F746" i="2"/>
  <c r="E746" i="2"/>
  <c r="D746" i="2"/>
  <c r="C746" i="2"/>
  <c r="B746" i="2"/>
  <c r="A746" i="2"/>
  <c r="AD745" i="2"/>
  <c r="AC745" i="2"/>
  <c r="AB745" i="2"/>
  <c r="AA745" i="2"/>
  <c r="Z745" i="2"/>
  <c r="Y745" i="2"/>
  <c r="X745" i="2"/>
  <c r="W745" i="2"/>
  <c r="V745" i="2"/>
  <c r="U745" i="2"/>
  <c r="T745" i="2"/>
  <c r="S745" i="2"/>
  <c r="R745" i="2"/>
  <c r="Q745" i="2"/>
  <c r="P745" i="2"/>
  <c r="O745" i="2"/>
  <c r="N745" i="2"/>
  <c r="M745" i="2"/>
  <c r="L745" i="2"/>
  <c r="K745" i="2"/>
  <c r="J745" i="2"/>
  <c r="I745" i="2"/>
  <c r="H745" i="2"/>
  <c r="G745" i="2"/>
  <c r="F745" i="2"/>
  <c r="E745" i="2"/>
  <c r="D745" i="2"/>
  <c r="C745" i="2"/>
  <c r="B745" i="2"/>
  <c r="A745" i="2"/>
  <c r="AD744" i="2"/>
  <c r="AC744" i="2"/>
  <c r="AB744" i="2"/>
  <c r="AA744" i="2"/>
  <c r="Z744" i="2"/>
  <c r="Y744" i="2"/>
  <c r="X744" i="2"/>
  <c r="W744" i="2"/>
  <c r="V744" i="2"/>
  <c r="U744" i="2"/>
  <c r="T744" i="2"/>
  <c r="S744" i="2"/>
  <c r="R744" i="2"/>
  <c r="Q744" i="2"/>
  <c r="P744" i="2"/>
  <c r="O744" i="2"/>
  <c r="N744" i="2"/>
  <c r="M744" i="2"/>
  <c r="L744" i="2"/>
  <c r="K744" i="2"/>
  <c r="J744" i="2"/>
  <c r="I744" i="2"/>
  <c r="H744" i="2"/>
  <c r="G744" i="2"/>
  <c r="F744" i="2"/>
  <c r="E744" i="2"/>
  <c r="D744" i="2"/>
  <c r="C744" i="2"/>
  <c r="B744" i="2"/>
  <c r="A744" i="2"/>
  <c r="AD743" i="2"/>
  <c r="AC743" i="2"/>
  <c r="AB743" i="2"/>
  <c r="AA743" i="2"/>
  <c r="Z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D742" i="2"/>
  <c r="AC742" i="2"/>
  <c r="AB742" i="2"/>
  <c r="AA742" i="2"/>
  <c r="Z742" i="2"/>
  <c r="Y742" i="2"/>
  <c r="X742" i="2"/>
  <c r="W742" i="2"/>
  <c r="V742" i="2"/>
  <c r="U742" i="2"/>
  <c r="T742" i="2"/>
  <c r="S742" i="2"/>
  <c r="R742" i="2"/>
  <c r="Q742" i="2"/>
  <c r="P742" i="2"/>
  <c r="O742" i="2"/>
  <c r="N742" i="2"/>
  <c r="M742" i="2"/>
  <c r="L742" i="2"/>
  <c r="K742" i="2"/>
  <c r="J742" i="2"/>
  <c r="I742" i="2"/>
  <c r="H742" i="2"/>
  <c r="G742" i="2"/>
  <c r="F742" i="2"/>
  <c r="E742" i="2"/>
  <c r="D742" i="2"/>
  <c r="C742" i="2"/>
  <c r="B742" i="2"/>
  <c r="A742" i="2"/>
  <c r="AD741" i="2"/>
  <c r="AC741" i="2"/>
  <c r="AB741" i="2"/>
  <c r="AA741" i="2"/>
  <c r="Z741" i="2"/>
  <c r="Y741" i="2"/>
  <c r="X741" i="2"/>
  <c r="W741" i="2"/>
  <c r="V741" i="2"/>
  <c r="U741" i="2"/>
  <c r="T741" i="2"/>
  <c r="S741" i="2"/>
  <c r="R741" i="2"/>
  <c r="Q741" i="2"/>
  <c r="P741" i="2"/>
  <c r="O741" i="2"/>
  <c r="N741" i="2"/>
  <c r="M741" i="2"/>
  <c r="L741" i="2"/>
  <c r="K741" i="2"/>
  <c r="J741" i="2"/>
  <c r="I741" i="2"/>
  <c r="H741" i="2"/>
  <c r="G741" i="2"/>
  <c r="F741" i="2"/>
  <c r="E741" i="2"/>
  <c r="D741" i="2"/>
  <c r="C741" i="2"/>
  <c r="B741" i="2"/>
  <c r="A741" i="2"/>
  <c r="AD740" i="2"/>
  <c r="AC740" i="2"/>
  <c r="AB740" i="2"/>
  <c r="AA740" i="2"/>
  <c r="Z740" i="2"/>
  <c r="Y740" i="2"/>
  <c r="X740" i="2"/>
  <c r="W740" i="2"/>
  <c r="V740" i="2"/>
  <c r="U740" i="2"/>
  <c r="T740" i="2"/>
  <c r="S740" i="2"/>
  <c r="R740" i="2"/>
  <c r="Q740" i="2"/>
  <c r="P740" i="2"/>
  <c r="O740" i="2"/>
  <c r="N740" i="2"/>
  <c r="M740" i="2"/>
  <c r="L740" i="2"/>
  <c r="K740" i="2"/>
  <c r="J740" i="2"/>
  <c r="I740" i="2"/>
  <c r="H740" i="2"/>
  <c r="G740" i="2"/>
  <c r="F740" i="2"/>
  <c r="E740" i="2"/>
  <c r="D740" i="2"/>
  <c r="C740" i="2"/>
  <c r="B740" i="2"/>
  <c r="A740" i="2"/>
  <c r="AD739" i="2"/>
  <c r="AC739" i="2"/>
  <c r="AB739" i="2"/>
  <c r="AA739" i="2"/>
  <c r="Z739" i="2"/>
  <c r="Y739" i="2"/>
  <c r="X739" i="2"/>
  <c r="W739" i="2"/>
  <c r="V739" i="2"/>
  <c r="U739" i="2"/>
  <c r="T739" i="2"/>
  <c r="S739" i="2"/>
  <c r="R739" i="2"/>
  <c r="Q739" i="2"/>
  <c r="P739" i="2"/>
  <c r="O739" i="2"/>
  <c r="N739" i="2"/>
  <c r="M739" i="2"/>
  <c r="L739" i="2"/>
  <c r="K739" i="2"/>
  <c r="J739" i="2"/>
  <c r="I739" i="2"/>
  <c r="H739" i="2"/>
  <c r="G739" i="2"/>
  <c r="F739" i="2"/>
  <c r="E739" i="2"/>
  <c r="D739" i="2"/>
  <c r="C739" i="2"/>
  <c r="B739" i="2"/>
  <c r="A739" i="2"/>
  <c r="AD738" i="2"/>
  <c r="AC738" i="2"/>
  <c r="AB738" i="2"/>
  <c r="AA738" i="2"/>
  <c r="Z738" i="2"/>
  <c r="Y738" i="2"/>
  <c r="X738" i="2"/>
  <c r="W738" i="2"/>
  <c r="V738" i="2"/>
  <c r="U738" i="2"/>
  <c r="T738" i="2"/>
  <c r="S738" i="2"/>
  <c r="R738" i="2"/>
  <c r="Q738" i="2"/>
  <c r="P738" i="2"/>
  <c r="O738" i="2"/>
  <c r="N738" i="2"/>
  <c r="M738" i="2"/>
  <c r="L738" i="2"/>
  <c r="K738" i="2"/>
  <c r="J738" i="2"/>
  <c r="I738" i="2"/>
  <c r="H738" i="2"/>
  <c r="G738" i="2"/>
  <c r="F738" i="2"/>
  <c r="E738" i="2"/>
  <c r="D738" i="2"/>
  <c r="C738" i="2"/>
  <c r="B738" i="2"/>
  <c r="A738" i="2"/>
  <c r="AD737" i="2"/>
  <c r="AC737" i="2"/>
  <c r="AB737" i="2"/>
  <c r="AA737" i="2"/>
  <c r="Z737" i="2"/>
  <c r="Y737" i="2"/>
  <c r="X737" i="2"/>
  <c r="W737" i="2"/>
  <c r="V737" i="2"/>
  <c r="U737" i="2"/>
  <c r="T737" i="2"/>
  <c r="S737" i="2"/>
  <c r="R737" i="2"/>
  <c r="Q737" i="2"/>
  <c r="P737" i="2"/>
  <c r="O737" i="2"/>
  <c r="N737" i="2"/>
  <c r="M737" i="2"/>
  <c r="L737" i="2"/>
  <c r="K737" i="2"/>
  <c r="J737" i="2"/>
  <c r="I737" i="2"/>
  <c r="H737" i="2"/>
  <c r="G737" i="2"/>
  <c r="F737" i="2"/>
  <c r="E737" i="2"/>
  <c r="D737" i="2"/>
  <c r="C737" i="2"/>
  <c r="B737" i="2"/>
  <c r="A737" i="2"/>
  <c r="AD736" i="2"/>
  <c r="AC736" i="2"/>
  <c r="AB736" i="2"/>
  <c r="AA736" i="2"/>
  <c r="Z736" i="2"/>
  <c r="Y736" i="2"/>
  <c r="X736" i="2"/>
  <c r="W736" i="2"/>
  <c r="V736" i="2"/>
  <c r="U736" i="2"/>
  <c r="T736" i="2"/>
  <c r="S736" i="2"/>
  <c r="R736" i="2"/>
  <c r="Q736" i="2"/>
  <c r="P736" i="2"/>
  <c r="O736" i="2"/>
  <c r="N736" i="2"/>
  <c r="M736" i="2"/>
  <c r="L736" i="2"/>
  <c r="K736" i="2"/>
  <c r="J736" i="2"/>
  <c r="I736" i="2"/>
  <c r="H736" i="2"/>
  <c r="G736" i="2"/>
  <c r="F736" i="2"/>
  <c r="E736" i="2"/>
  <c r="D736" i="2"/>
  <c r="C736" i="2"/>
  <c r="B736" i="2"/>
  <c r="A736" i="2"/>
  <c r="AD735" i="2"/>
  <c r="AC735" i="2"/>
  <c r="AB735" i="2"/>
  <c r="AA735" i="2"/>
  <c r="Z735" i="2"/>
  <c r="Y735" i="2"/>
  <c r="X735" i="2"/>
  <c r="W735" i="2"/>
  <c r="V735" i="2"/>
  <c r="U735" i="2"/>
  <c r="T735" i="2"/>
  <c r="S735" i="2"/>
  <c r="R735" i="2"/>
  <c r="Q735" i="2"/>
  <c r="P735" i="2"/>
  <c r="O735" i="2"/>
  <c r="N735" i="2"/>
  <c r="M735" i="2"/>
  <c r="L735" i="2"/>
  <c r="K735" i="2"/>
  <c r="J735" i="2"/>
  <c r="I735" i="2"/>
  <c r="H735" i="2"/>
  <c r="G735" i="2"/>
  <c r="F735" i="2"/>
  <c r="E735" i="2"/>
  <c r="D735" i="2"/>
  <c r="C735" i="2"/>
  <c r="B735" i="2"/>
  <c r="A735" i="2"/>
  <c r="AD734" i="2"/>
  <c r="AC734" i="2"/>
  <c r="AB734" i="2"/>
  <c r="AA734" i="2"/>
  <c r="Z734" i="2"/>
  <c r="Y734" i="2"/>
  <c r="X734" i="2"/>
  <c r="W734" i="2"/>
  <c r="V734" i="2"/>
  <c r="U734" i="2"/>
  <c r="T734" i="2"/>
  <c r="S734" i="2"/>
  <c r="R734" i="2"/>
  <c r="Q734" i="2"/>
  <c r="P734" i="2"/>
  <c r="O734" i="2"/>
  <c r="N734" i="2"/>
  <c r="M734" i="2"/>
  <c r="L734" i="2"/>
  <c r="K734" i="2"/>
  <c r="J734" i="2"/>
  <c r="I734" i="2"/>
  <c r="H734" i="2"/>
  <c r="G734" i="2"/>
  <c r="F734" i="2"/>
  <c r="E734" i="2"/>
  <c r="D734" i="2"/>
  <c r="C734" i="2"/>
  <c r="B734" i="2"/>
  <c r="A734" i="2"/>
  <c r="AD733" i="2"/>
  <c r="AC733" i="2"/>
  <c r="AB733" i="2"/>
  <c r="AA733" i="2"/>
  <c r="Z733" i="2"/>
  <c r="Y733" i="2"/>
  <c r="X733" i="2"/>
  <c r="W733" i="2"/>
  <c r="V733" i="2"/>
  <c r="U733" i="2"/>
  <c r="T733" i="2"/>
  <c r="S733" i="2"/>
  <c r="R733" i="2"/>
  <c r="Q733" i="2"/>
  <c r="P733" i="2"/>
  <c r="O733" i="2"/>
  <c r="N733" i="2"/>
  <c r="M733" i="2"/>
  <c r="L733" i="2"/>
  <c r="K733" i="2"/>
  <c r="J733" i="2"/>
  <c r="I733" i="2"/>
  <c r="H733" i="2"/>
  <c r="G733" i="2"/>
  <c r="F733" i="2"/>
  <c r="E733" i="2"/>
  <c r="D733" i="2"/>
  <c r="C733" i="2"/>
  <c r="B733" i="2"/>
  <c r="A733" i="2"/>
  <c r="AD732" i="2"/>
  <c r="AC732" i="2"/>
  <c r="AB732" i="2"/>
  <c r="AA732" i="2"/>
  <c r="Z732" i="2"/>
  <c r="Y732" i="2"/>
  <c r="X732" i="2"/>
  <c r="W732" i="2"/>
  <c r="V732" i="2"/>
  <c r="U732" i="2"/>
  <c r="T732" i="2"/>
  <c r="S732" i="2"/>
  <c r="R732" i="2"/>
  <c r="Q732" i="2"/>
  <c r="P732" i="2"/>
  <c r="O732" i="2"/>
  <c r="N732" i="2"/>
  <c r="M732" i="2"/>
  <c r="L732" i="2"/>
  <c r="K732" i="2"/>
  <c r="J732" i="2"/>
  <c r="I732" i="2"/>
  <c r="H732" i="2"/>
  <c r="G732" i="2"/>
  <c r="F732" i="2"/>
  <c r="E732" i="2"/>
  <c r="D732" i="2"/>
  <c r="C732" i="2"/>
  <c r="B732" i="2"/>
  <c r="A732" i="2"/>
  <c r="AD731" i="2"/>
  <c r="AC731" i="2"/>
  <c r="AB731" i="2"/>
  <c r="AA731" i="2"/>
  <c r="Z731" i="2"/>
  <c r="Y731" i="2"/>
  <c r="X731" i="2"/>
  <c r="W731" i="2"/>
  <c r="V731" i="2"/>
  <c r="U731" i="2"/>
  <c r="T731" i="2"/>
  <c r="S731" i="2"/>
  <c r="R731" i="2"/>
  <c r="Q731" i="2"/>
  <c r="P731" i="2"/>
  <c r="O731" i="2"/>
  <c r="N731" i="2"/>
  <c r="M731" i="2"/>
  <c r="L731" i="2"/>
  <c r="K731" i="2"/>
  <c r="J731" i="2"/>
  <c r="I731" i="2"/>
  <c r="H731" i="2"/>
  <c r="G731" i="2"/>
  <c r="F731" i="2"/>
  <c r="E731" i="2"/>
  <c r="D731" i="2"/>
  <c r="C731" i="2"/>
  <c r="B731" i="2"/>
  <c r="A731" i="2"/>
  <c r="AD730" i="2"/>
  <c r="AC730" i="2"/>
  <c r="AB730" i="2"/>
  <c r="AA730" i="2"/>
  <c r="Z730" i="2"/>
  <c r="Y730" i="2"/>
  <c r="X730" i="2"/>
  <c r="W730" i="2"/>
  <c r="V730" i="2"/>
  <c r="U730" i="2"/>
  <c r="T730" i="2"/>
  <c r="S730" i="2"/>
  <c r="R730" i="2"/>
  <c r="Q730" i="2"/>
  <c r="P730" i="2"/>
  <c r="O730" i="2"/>
  <c r="N730" i="2"/>
  <c r="M730" i="2"/>
  <c r="L730" i="2"/>
  <c r="K730" i="2"/>
  <c r="J730" i="2"/>
  <c r="I730" i="2"/>
  <c r="H730" i="2"/>
  <c r="G730" i="2"/>
  <c r="F730" i="2"/>
  <c r="E730" i="2"/>
  <c r="D730" i="2"/>
  <c r="C730" i="2"/>
  <c r="B730" i="2"/>
  <c r="A730" i="2"/>
  <c r="AD729" i="2"/>
  <c r="AC729" i="2"/>
  <c r="AB729" i="2"/>
  <c r="AA729" i="2"/>
  <c r="Z729" i="2"/>
  <c r="Y729" i="2"/>
  <c r="X729" i="2"/>
  <c r="W729" i="2"/>
  <c r="V729" i="2"/>
  <c r="U729" i="2"/>
  <c r="T729" i="2"/>
  <c r="S729" i="2"/>
  <c r="R729" i="2"/>
  <c r="Q729" i="2"/>
  <c r="P729" i="2"/>
  <c r="O729" i="2"/>
  <c r="N729" i="2"/>
  <c r="M729" i="2"/>
  <c r="L729" i="2"/>
  <c r="K729" i="2"/>
  <c r="J729" i="2"/>
  <c r="I729" i="2"/>
  <c r="H729" i="2"/>
  <c r="G729" i="2"/>
  <c r="F729" i="2"/>
  <c r="E729" i="2"/>
  <c r="D729" i="2"/>
  <c r="C729" i="2"/>
  <c r="B729" i="2"/>
  <c r="A729" i="2"/>
  <c r="AD728" i="2"/>
  <c r="AC728" i="2"/>
  <c r="AB728" i="2"/>
  <c r="AA728" i="2"/>
  <c r="Z728" i="2"/>
  <c r="Y728" i="2"/>
  <c r="X728" i="2"/>
  <c r="W728" i="2"/>
  <c r="V728" i="2"/>
  <c r="U728" i="2"/>
  <c r="T728" i="2"/>
  <c r="S728" i="2"/>
  <c r="R728" i="2"/>
  <c r="Q728" i="2"/>
  <c r="P728" i="2"/>
  <c r="O728" i="2"/>
  <c r="N728" i="2"/>
  <c r="M728" i="2"/>
  <c r="L728" i="2"/>
  <c r="K728" i="2"/>
  <c r="J728" i="2"/>
  <c r="I728" i="2"/>
  <c r="H728" i="2"/>
  <c r="G728" i="2"/>
  <c r="F728" i="2"/>
  <c r="E728" i="2"/>
  <c r="D728" i="2"/>
  <c r="C728" i="2"/>
  <c r="B728" i="2"/>
  <c r="A728" i="2"/>
  <c r="AD727" i="2"/>
  <c r="AC727" i="2"/>
  <c r="AB727" i="2"/>
  <c r="AA727" i="2"/>
  <c r="Z727" i="2"/>
  <c r="Y727" i="2"/>
  <c r="X727" i="2"/>
  <c r="W727" i="2"/>
  <c r="V727" i="2"/>
  <c r="U727" i="2"/>
  <c r="T727" i="2"/>
  <c r="S727" i="2"/>
  <c r="R727" i="2"/>
  <c r="Q727" i="2"/>
  <c r="P727" i="2"/>
  <c r="O727" i="2"/>
  <c r="N727" i="2"/>
  <c r="M727" i="2"/>
  <c r="L727" i="2"/>
  <c r="K727" i="2"/>
  <c r="J727" i="2"/>
  <c r="I727" i="2"/>
  <c r="H727" i="2"/>
  <c r="G727" i="2"/>
  <c r="F727" i="2"/>
  <c r="E727" i="2"/>
  <c r="D727" i="2"/>
  <c r="C727" i="2"/>
  <c r="B727" i="2"/>
  <c r="A727" i="2"/>
  <c r="AD726" i="2"/>
  <c r="AC726" i="2"/>
  <c r="AB726" i="2"/>
  <c r="AA726" i="2"/>
  <c r="Z726" i="2"/>
  <c r="Y726" i="2"/>
  <c r="X726" i="2"/>
  <c r="W726" i="2"/>
  <c r="V726" i="2"/>
  <c r="U726" i="2"/>
  <c r="T726" i="2"/>
  <c r="S726" i="2"/>
  <c r="R726" i="2"/>
  <c r="Q726" i="2"/>
  <c r="P726" i="2"/>
  <c r="O726" i="2"/>
  <c r="N726" i="2"/>
  <c r="M726" i="2"/>
  <c r="L726" i="2"/>
  <c r="K726" i="2"/>
  <c r="J726" i="2"/>
  <c r="I726" i="2"/>
  <c r="H726" i="2"/>
  <c r="G726" i="2"/>
  <c r="F726" i="2"/>
  <c r="E726" i="2"/>
  <c r="D726" i="2"/>
  <c r="C726" i="2"/>
  <c r="B726" i="2"/>
  <c r="A726" i="2"/>
  <c r="AD725" i="2"/>
  <c r="AC725" i="2"/>
  <c r="AB725" i="2"/>
  <c r="AA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D724" i="2"/>
  <c r="AC724" i="2"/>
  <c r="AB724" i="2"/>
  <c r="AA724" i="2"/>
  <c r="Z724" i="2"/>
  <c r="Y724" i="2"/>
  <c r="X724" i="2"/>
  <c r="W724" i="2"/>
  <c r="V724" i="2"/>
  <c r="U724" i="2"/>
  <c r="T724" i="2"/>
  <c r="S724" i="2"/>
  <c r="R724" i="2"/>
  <c r="Q724" i="2"/>
  <c r="P724" i="2"/>
  <c r="O724" i="2"/>
  <c r="N724" i="2"/>
  <c r="M724" i="2"/>
  <c r="L724" i="2"/>
  <c r="K724" i="2"/>
  <c r="J724" i="2"/>
  <c r="I724" i="2"/>
  <c r="H724" i="2"/>
  <c r="G724" i="2"/>
  <c r="F724" i="2"/>
  <c r="E724" i="2"/>
  <c r="D724" i="2"/>
  <c r="C724" i="2"/>
  <c r="B724" i="2"/>
  <c r="A724" i="2"/>
  <c r="AD723" i="2"/>
  <c r="AC723" i="2"/>
  <c r="AB723" i="2"/>
  <c r="AA723" i="2"/>
  <c r="Z723" i="2"/>
  <c r="Y723" i="2"/>
  <c r="X723" i="2"/>
  <c r="W723" i="2"/>
  <c r="V723" i="2"/>
  <c r="U723" i="2"/>
  <c r="T723" i="2"/>
  <c r="S723" i="2"/>
  <c r="R723" i="2"/>
  <c r="Q723" i="2"/>
  <c r="P723" i="2"/>
  <c r="O723" i="2"/>
  <c r="N723" i="2"/>
  <c r="M723" i="2"/>
  <c r="L723" i="2"/>
  <c r="K723" i="2"/>
  <c r="J723" i="2"/>
  <c r="I723" i="2"/>
  <c r="H723" i="2"/>
  <c r="G723" i="2"/>
  <c r="F723" i="2"/>
  <c r="E723" i="2"/>
  <c r="D723" i="2"/>
  <c r="C723" i="2"/>
  <c r="B723" i="2"/>
  <c r="A723" i="2"/>
  <c r="AD722" i="2"/>
  <c r="AC722" i="2"/>
  <c r="AB722" i="2"/>
  <c r="AA722" i="2"/>
  <c r="Z722" i="2"/>
  <c r="Y722" i="2"/>
  <c r="X722" i="2"/>
  <c r="W722" i="2"/>
  <c r="V722" i="2"/>
  <c r="U722" i="2"/>
  <c r="T722" i="2"/>
  <c r="S722" i="2"/>
  <c r="R722" i="2"/>
  <c r="Q722" i="2"/>
  <c r="P722" i="2"/>
  <c r="O722" i="2"/>
  <c r="N722" i="2"/>
  <c r="M722" i="2"/>
  <c r="L722" i="2"/>
  <c r="K722" i="2"/>
  <c r="J722" i="2"/>
  <c r="I722" i="2"/>
  <c r="H722" i="2"/>
  <c r="G722" i="2"/>
  <c r="F722" i="2"/>
  <c r="E722" i="2"/>
  <c r="D722" i="2"/>
  <c r="C722" i="2"/>
  <c r="B722" i="2"/>
  <c r="A722" i="2"/>
  <c r="AD721" i="2"/>
  <c r="AC721" i="2"/>
  <c r="AB721" i="2"/>
  <c r="AA721" i="2"/>
  <c r="Z721" i="2"/>
  <c r="Y721" i="2"/>
  <c r="X721" i="2"/>
  <c r="W721" i="2"/>
  <c r="V721" i="2"/>
  <c r="U721" i="2"/>
  <c r="T721" i="2"/>
  <c r="S721" i="2"/>
  <c r="R721" i="2"/>
  <c r="Q721" i="2"/>
  <c r="P721" i="2"/>
  <c r="O721" i="2"/>
  <c r="N721" i="2"/>
  <c r="M721" i="2"/>
  <c r="L721" i="2"/>
  <c r="K721" i="2"/>
  <c r="J721" i="2"/>
  <c r="I721" i="2"/>
  <c r="H721" i="2"/>
  <c r="G721" i="2"/>
  <c r="F721" i="2"/>
  <c r="E721" i="2"/>
  <c r="D721" i="2"/>
  <c r="C721" i="2"/>
  <c r="B721" i="2"/>
  <c r="A721" i="2"/>
  <c r="AD720" i="2"/>
  <c r="AC720" i="2"/>
  <c r="AB720" i="2"/>
  <c r="AA720" i="2"/>
  <c r="Z720" i="2"/>
  <c r="Y720" i="2"/>
  <c r="X720" i="2"/>
  <c r="W720" i="2"/>
  <c r="V720" i="2"/>
  <c r="U720" i="2"/>
  <c r="T720" i="2"/>
  <c r="S720" i="2"/>
  <c r="R720" i="2"/>
  <c r="Q720" i="2"/>
  <c r="P720" i="2"/>
  <c r="O720" i="2"/>
  <c r="N720" i="2"/>
  <c r="M720" i="2"/>
  <c r="L720" i="2"/>
  <c r="K720" i="2"/>
  <c r="J720" i="2"/>
  <c r="I720" i="2"/>
  <c r="H720" i="2"/>
  <c r="G720" i="2"/>
  <c r="F720" i="2"/>
  <c r="E720" i="2"/>
  <c r="D720" i="2"/>
  <c r="C720" i="2"/>
  <c r="B720" i="2"/>
  <c r="A720" i="2"/>
  <c r="AD719" i="2"/>
  <c r="AC719" i="2"/>
  <c r="AB719" i="2"/>
  <c r="AA719" i="2"/>
  <c r="Z719" i="2"/>
  <c r="Y719" i="2"/>
  <c r="X719" i="2"/>
  <c r="W719" i="2"/>
  <c r="V719" i="2"/>
  <c r="U719" i="2"/>
  <c r="T719" i="2"/>
  <c r="S719" i="2"/>
  <c r="R719" i="2"/>
  <c r="Q719" i="2"/>
  <c r="P719" i="2"/>
  <c r="O719" i="2"/>
  <c r="N719" i="2"/>
  <c r="M719" i="2"/>
  <c r="L719" i="2"/>
  <c r="K719" i="2"/>
  <c r="J719" i="2"/>
  <c r="I719" i="2"/>
  <c r="H719" i="2"/>
  <c r="G719" i="2"/>
  <c r="F719" i="2"/>
  <c r="E719" i="2"/>
  <c r="D719" i="2"/>
  <c r="C719" i="2"/>
  <c r="B719" i="2"/>
  <c r="A719" i="2"/>
  <c r="AD718" i="2"/>
  <c r="AC718" i="2"/>
  <c r="AB718" i="2"/>
  <c r="AA718" i="2"/>
  <c r="Z718" i="2"/>
  <c r="Y718" i="2"/>
  <c r="X718" i="2"/>
  <c r="W718" i="2"/>
  <c r="V718" i="2"/>
  <c r="U718" i="2"/>
  <c r="T718" i="2"/>
  <c r="S718" i="2"/>
  <c r="R718" i="2"/>
  <c r="Q718" i="2"/>
  <c r="P718" i="2"/>
  <c r="O718" i="2"/>
  <c r="N718" i="2"/>
  <c r="M718" i="2"/>
  <c r="L718" i="2"/>
  <c r="K718" i="2"/>
  <c r="J718" i="2"/>
  <c r="I718" i="2"/>
  <c r="H718" i="2"/>
  <c r="G718" i="2"/>
  <c r="F718" i="2"/>
  <c r="E718" i="2"/>
  <c r="D718" i="2"/>
  <c r="C718" i="2"/>
  <c r="B718" i="2"/>
  <c r="A718" i="2"/>
  <c r="AD717" i="2"/>
  <c r="AC717" i="2"/>
  <c r="AB717" i="2"/>
  <c r="AA717" i="2"/>
  <c r="Z717" i="2"/>
  <c r="Y717" i="2"/>
  <c r="X717" i="2"/>
  <c r="W717" i="2"/>
  <c r="V717" i="2"/>
  <c r="U717" i="2"/>
  <c r="T717" i="2"/>
  <c r="S717" i="2"/>
  <c r="R717" i="2"/>
  <c r="Q717" i="2"/>
  <c r="P717" i="2"/>
  <c r="O717" i="2"/>
  <c r="N717" i="2"/>
  <c r="M717" i="2"/>
  <c r="L717" i="2"/>
  <c r="K717" i="2"/>
  <c r="J717" i="2"/>
  <c r="I717" i="2"/>
  <c r="H717" i="2"/>
  <c r="G717" i="2"/>
  <c r="F717" i="2"/>
  <c r="E717" i="2"/>
  <c r="D717" i="2"/>
  <c r="C717" i="2"/>
  <c r="B717" i="2"/>
  <c r="A717" i="2"/>
  <c r="AD716" i="2"/>
  <c r="AC716" i="2"/>
  <c r="AB716" i="2"/>
  <c r="AA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D715" i="2"/>
  <c r="AC715" i="2"/>
  <c r="AB715" i="2"/>
  <c r="AA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D714" i="2"/>
  <c r="AC714" i="2"/>
  <c r="AB714" i="2"/>
  <c r="AA714" i="2"/>
  <c r="Z714" i="2"/>
  <c r="Y714" i="2"/>
  <c r="X714" i="2"/>
  <c r="W714" i="2"/>
  <c r="V714" i="2"/>
  <c r="U714" i="2"/>
  <c r="T714" i="2"/>
  <c r="S714" i="2"/>
  <c r="R714" i="2"/>
  <c r="Q714" i="2"/>
  <c r="P714" i="2"/>
  <c r="O714" i="2"/>
  <c r="N714" i="2"/>
  <c r="M714" i="2"/>
  <c r="L714" i="2"/>
  <c r="K714" i="2"/>
  <c r="J714" i="2"/>
  <c r="I714" i="2"/>
  <c r="H714" i="2"/>
  <c r="G714" i="2"/>
  <c r="F714" i="2"/>
  <c r="E714" i="2"/>
  <c r="D714" i="2"/>
  <c r="C714" i="2"/>
  <c r="B714" i="2"/>
  <c r="A714" i="2"/>
  <c r="AD713" i="2"/>
  <c r="AC713" i="2"/>
  <c r="AB713" i="2"/>
  <c r="AA713" i="2"/>
  <c r="Z713" i="2"/>
  <c r="Y713" i="2"/>
  <c r="X713" i="2"/>
  <c r="W713" i="2"/>
  <c r="V713" i="2"/>
  <c r="U713" i="2"/>
  <c r="T713" i="2"/>
  <c r="S713" i="2"/>
  <c r="R713" i="2"/>
  <c r="Q713" i="2"/>
  <c r="P713" i="2"/>
  <c r="O713" i="2"/>
  <c r="N713" i="2"/>
  <c r="M713" i="2"/>
  <c r="L713" i="2"/>
  <c r="K713" i="2"/>
  <c r="J713" i="2"/>
  <c r="I713" i="2"/>
  <c r="H713" i="2"/>
  <c r="G713" i="2"/>
  <c r="F713" i="2"/>
  <c r="E713" i="2"/>
  <c r="D713" i="2"/>
  <c r="C713" i="2"/>
  <c r="B713" i="2"/>
  <c r="A713" i="2"/>
  <c r="AD712" i="2"/>
  <c r="AC712" i="2"/>
  <c r="AB712" i="2"/>
  <c r="AA712" i="2"/>
  <c r="Z712" i="2"/>
  <c r="Y712" i="2"/>
  <c r="X712" i="2"/>
  <c r="W712" i="2"/>
  <c r="V712" i="2"/>
  <c r="U712" i="2"/>
  <c r="T712" i="2"/>
  <c r="S712" i="2"/>
  <c r="R712" i="2"/>
  <c r="Q712" i="2"/>
  <c r="P712" i="2"/>
  <c r="O712" i="2"/>
  <c r="N712" i="2"/>
  <c r="M712" i="2"/>
  <c r="L712" i="2"/>
  <c r="K712" i="2"/>
  <c r="J712" i="2"/>
  <c r="I712" i="2"/>
  <c r="H712" i="2"/>
  <c r="G712" i="2"/>
  <c r="F712" i="2"/>
  <c r="E712" i="2"/>
  <c r="D712" i="2"/>
  <c r="C712" i="2"/>
  <c r="B712" i="2"/>
  <c r="A712" i="2"/>
  <c r="AD711" i="2"/>
  <c r="AC711" i="2"/>
  <c r="AB711" i="2"/>
  <c r="AA711" i="2"/>
  <c r="Z711" i="2"/>
  <c r="Y711" i="2"/>
  <c r="X711" i="2"/>
  <c r="W711" i="2"/>
  <c r="V711" i="2"/>
  <c r="U711" i="2"/>
  <c r="T711" i="2"/>
  <c r="S711" i="2"/>
  <c r="R711" i="2"/>
  <c r="Q711" i="2"/>
  <c r="P711" i="2"/>
  <c r="O711" i="2"/>
  <c r="N711" i="2"/>
  <c r="M711" i="2"/>
  <c r="L711" i="2"/>
  <c r="K711" i="2"/>
  <c r="J711" i="2"/>
  <c r="I711" i="2"/>
  <c r="H711" i="2"/>
  <c r="G711" i="2"/>
  <c r="F711" i="2"/>
  <c r="E711" i="2"/>
  <c r="D711" i="2"/>
  <c r="C711" i="2"/>
  <c r="B711" i="2"/>
  <c r="A711" i="2"/>
  <c r="AD710" i="2"/>
  <c r="AC710" i="2"/>
  <c r="AB710" i="2"/>
  <c r="AA710" i="2"/>
  <c r="Z710" i="2"/>
  <c r="Y710" i="2"/>
  <c r="X710" i="2"/>
  <c r="W710" i="2"/>
  <c r="V710" i="2"/>
  <c r="U710" i="2"/>
  <c r="T710" i="2"/>
  <c r="S710" i="2"/>
  <c r="R710" i="2"/>
  <c r="Q710" i="2"/>
  <c r="P710" i="2"/>
  <c r="O710" i="2"/>
  <c r="N710" i="2"/>
  <c r="M710" i="2"/>
  <c r="L710" i="2"/>
  <c r="K710" i="2"/>
  <c r="J710" i="2"/>
  <c r="I710" i="2"/>
  <c r="H710" i="2"/>
  <c r="G710" i="2"/>
  <c r="F710" i="2"/>
  <c r="E710" i="2"/>
  <c r="D710" i="2"/>
  <c r="C710" i="2"/>
  <c r="B710" i="2"/>
  <c r="A710" i="2"/>
  <c r="AD709" i="2"/>
  <c r="AC709" i="2"/>
  <c r="AB709" i="2"/>
  <c r="AA709" i="2"/>
  <c r="Z709" i="2"/>
  <c r="Y709" i="2"/>
  <c r="X709" i="2"/>
  <c r="W709" i="2"/>
  <c r="V709" i="2"/>
  <c r="U709" i="2"/>
  <c r="T709" i="2"/>
  <c r="S709" i="2"/>
  <c r="R709" i="2"/>
  <c r="Q709" i="2"/>
  <c r="P709" i="2"/>
  <c r="O709" i="2"/>
  <c r="N709" i="2"/>
  <c r="M709" i="2"/>
  <c r="L709" i="2"/>
  <c r="K709" i="2"/>
  <c r="J709" i="2"/>
  <c r="I709" i="2"/>
  <c r="H709" i="2"/>
  <c r="G709" i="2"/>
  <c r="F709" i="2"/>
  <c r="E709" i="2"/>
  <c r="D709" i="2"/>
  <c r="C709" i="2"/>
  <c r="B709" i="2"/>
  <c r="A709" i="2"/>
  <c r="AD708" i="2"/>
  <c r="AC708"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D707" i="2"/>
  <c r="AC707" i="2"/>
  <c r="AB707" i="2"/>
  <c r="AA707" i="2"/>
  <c r="Z707" i="2"/>
  <c r="Y707" i="2"/>
  <c r="X707" i="2"/>
  <c r="W707" i="2"/>
  <c r="V707" i="2"/>
  <c r="U707" i="2"/>
  <c r="T707" i="2"/>
  <c r="S707" i="2"/>
  <c r="R707" i="2"/>
  <c r="Q707" i="2"/>
  <c r="P707" i="2"/>
  <c r="O707" i="2"/>
  <c r="N707" i="2"/>
  <c r="M707" i="2"/>
  <c r="L707" i="2"/>
  <c r="K707" i="2"/>
  <c r="J707" i="2"/>
  <c r="I707" i="2"/>
  <c r="H707" i="2"/>
  <c r="G707" i="2"/>
  <c r="F707" i="2"/>
  <c r="E707" i="2"/>
  <c r="D707" i="2"/>
  <c r="C707" i="2"/>
  <c r="B707" i="2"/>
  <c r="A707" i="2"/>
  <c r="AD706" i="2"/>
  <c r="AC706"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D705" i="2"/>
  <c r="AC705" i="2"/>
  <c r="AB705" i="2"/>
  <c r="AA705" i="2"/>
  <c r="Z705" i="2"/>
  <c r="Y705" i="2"/>
  <c r="X705" i="2"/>
  <c r="W705" i="2"/>
  <c r="V705" i="2"/>
  <c r="U705" i="2"/>
  <c r="T705" i="2"/>
  <c r="S705" i="2"/>
  <c r="R705" i="2"/>
  <c r="Q705" i="2"/>
  <c r="P705" i="2"/>
  <c r="O705" i="2"/>
  <c r="N705" i="2"/>
  <c r="M705" i="2"/>
  <c r="L705" i="2"/>
  <c r="K705" i="2"/>
  <c r="J705" i="2"/>
  <c r="I705" i="2"/>
  <c r="H705" i="2"/>
  <c r="G705" i="2"/>
  <c r="F705" i="2"/>
  <c r="E705" i="2"/>
  <c r="D705" i="2"/>
  <c r="C705" i="2"/>
  <c r="B705" i="2"/>
  <c r="A705" i="2"/>
  <c r="AD704" i="2"/>
  <c r="AC704" i="2"/>
  <c r="AB704" i="2"/>
  <c r="AA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D703" i="2"/>
  <c r="AC703" i="2"/>
  <c r="AB703" i="2"/>
  <c r="AA703" i="2"/>
  <c r="Z703" i="2"/>
  <c r="Y703" i="2"/>
  <c r="X703" i="2"/>
  <c r="W703" i="2"/>
  <c r="V703" i="2"/>
  <c r="U703" i="2"/>
  <c r="T703" i="2"/>
  <c r="S703" i="2"/>
  <c r="R703" i="2"/>
  <c r="Q703" i="2"/>
  <c r="P703" i="2"/>
  <c r="O703" i="2"/>
  <c r="N703" i="2"/>
  <c r="M703" i="2"/>
  <c r="L703" i="2"/>
  <c r="K703" i="2"/>
  <c r="J703" i="2"/>
  <c r="I703" i="2"/>
  <c r="H703" i="2"/>
  <c r="G703" i="2"/>
  <c r="F703" i="2"/>
  <c r="E703" i="2"/>
  <c r="D703" i="2"/>
  <c r="C703" i="2"/>
  <c r="B703" i="2"/>
  <c r="A703" i="2"/>
  <c r="AD702" i="2"/>
  <c r="AC702" i="2"/>
  <c r="AB702" i="2"/>
  <c r="AA702" i="2"/>
  <c r="Z702" i="2"/>
  <c r="Y702" i="2"/>
  <c r="X702" i="2"/>
  <c r="W702" i="2"/>
  <c r="V702" i="2"/>
  <c r="U702" i="2"/>
  <c r="T702" i="2"/>
  <c r="S702" i="2"/>
  <c r="R702" i="2"/>
  <c r="Q702" i="2"/>
  <c r="P702" i="2"/>
  <c r="O702" i="2"/>
  <c r="N702" i="2"/>
  <c r="M702" i="2"/>
  <c r="L702" i="2"/>
  <c r="K702" i="2"/>
  <c r="J702" i="2"/>
  <c r="I702" i="2"/>
  <c r="H702" i="2"/>
  <c r="G702" i="2"/>
  <c r="F702" i="2"/>
  <c r="E702" i="2"/>
  <c r="D702" i="2"/>
  <c r="C702" i="2"/>
  <c r="B702" i="2"/>
  <c r="A702" i="2"/>
  <c r="AD701" i="2"/>
  <c r="AC701" i="2"/>
  <c r="AB701" i="2"/>
  <c r="AA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D700" i="2"/>
  <c r="AC700" i="2"/>
  <c r="AB700" i="2"/>
  <c r="AA700" i="2"/>
  <c r="Z700" i="2"/>
  <c r="Y700" i="2"/>
  <c r="X700" i="2"/>
  <c r="W700" i="2"/>
  <c r="V700" i="2"/>
  <c r="U700" i="2"/>
  <c r="T700" i="2"/>
  <c r="S700" i="2"/>
  <c r="R700" i="2"/>
  <c r="Q700" i="2"/>
  <c r="P700" i="2"/>
  <c r="O700" i="2"/>
  <c r="N700" i="2"/>
  <c r="M700" i="2"/>
  <c r="L700" i="2"/>
  <c r="K700" i="2"/>
  <c r="J700" i="2"/>
  <c r="I700" i="2"/>
  <c r="H700" i="2"/>
  <c r="G700" i="2"/>
  <c r="F700" i="2"/>
  <c r="E700" i="2"/>
  <c r="D700" i="2"/>
  <c r="C700" i="2"/>
  <c r="B700" i="2"/>
  <c r="A700" i="2"/>
  <c r="AD699" i="2"/>
  <c r="AC699" i="2"/>
  <c r="AB699" i="2"/>
  <c r="AA699" i="2"/>
  <c r="Z699" i="2"/>
  <c r="Y699" i="2"/>
  <c r="X699" i="2"/>
  <c r="W699" i="2"/>
  <c r="V699" i="2"/>
  <c r="U699" i="2"/>
  <c r="T699" i="2"/>
  <c r="S699" i="2"/>
  <c r="R699" i="2"/>
  <c r="Q699" i="2"/>
  <c r="P699" i="2"/>
  <c r="O699" i="2"/>
  <c r="N699" i="2"/>
  <c r="M699" i="2"/>
  <c r="L699" i="2"/>
  <c r="K699" i="2"/>
  <c r="J699" i="2"/>
  <c r="I699" i="2"/>
  <c r="H699" i="2"/>
  <c r="G699" i="2"/>
  <c r="F699" i="2"/>
  <c r="E699" i="2"/>
  <c r="D699" i="2"/>
  <c r="C699" i="2"/>
  <c r="B699" i="2"/>
  <c r="A699" i="2"/>
  <c r="AD698" i="2"/>
  <c r="AC698" i="2"/>
  <c r="AB698" i="2"/>
  <c r="AA698" i="2"/>
  <c r="Z698" i="2"/>
  <c r="Y698" i="2"/>
  <c r="X698" i="2"/>
  <c r="W698" i="2"/>
  <c r="V698" i="2"/>
  <c r="U698" i="2"/>
  <c r="T698" i="2"/>
  <c r="S698" i="2"/>
  <c r="R698" i="2"/>
  <c r="Q698" i="2"/>
  <c r="P698" i="2"/>
  <c r="O698" i="2"/>
  <c r="N698" i="2"/>
  <c r="M698" i="2"/>
  <c r="L698" i="2"/>
  <c r="K698" i="2"/>
  <c r="J698" i="2"/>
  <c r="I698" i="2"/>
  <c r="H698" i="2"/>
  <c r="G698" i="2"/>
  <c r="F698" i="2"/>
  <c r="E698" i="2"/>
  <c r="D698" i="2"/>
  <c r="C698" i="2"/>
  <c r="B698" i="2"/>
  <c r="A698" i="2"/>
  <c r="AD697" i="2"/>
  <c r="AC697" i="2"/>
  <c r="AB697" i="2"/>
  <c r="AA697" i="2"/>
  <c r="Z697" i="2"/>
  <c r="Y697" i="2"/>
  <c r="X697" i="2"/>
  <c r="W697" i="2"/>
  <c r="V697" i="2"/>
  <c r="U697" i="2"/>
  <c r="T697" i="2"/>
  <c r="S697" i="2"/>
  <c r="R697" i="2"/>
  <c r="Q697" i="2"/>
  <c r="P697" i="2"/>
  <c r="O697" i="2"/>
  <c r="N697" i="2"/>
  <c r="M697" i="2"/>
  <c r="L697" i="2"/>
  <c r="K697" i="2"/>
  <c r="J697" i="2"/>
  <c r="I697" i="2"/>
  <c r="H697" i="2"/>
  <c r="G697" i="2"/>
  <c r="F697" i="2"/>
  <c r="E697" i="2"/>
  <c r="D697" i="2"/>
  <c r="C697" i="2"/>
  <c r="B697" i="2"/>
  <c r="A697" i="2"/>
  <c r="AD696" i="2"/>
  <c r="AC696" i="2"/>
  <c r="AB696" i="2"/>
  <c r="AA696" i="2"/>
  <c r="Z696" i="2"/>
  <c r="Y696" i="2"/>
  <c r="X696" i="2"/>
  <c r="W696" i="2"/>
  <c r="V696" i="2"/>
  <c r="U696" i="2"/>
  <c r="T696" i="2"/>
  <c r="S696" i="2"/>
  <c r="R696" i="2"/>
  <c r="Q696" i="2"/>
  <c r="P696" i="2"/>
  <c r="O696" i="2"/>
  <c r="N696" i="2"/>
  <c r="M696" i="2"/>
  <c r="L696" i="2"/>
  <c r="K696" i="2"/>
  <c r="J696" i="2"/>
  <c r="I696" i="2"/>
  <c r="H696" i="2"/>
  <c r="G696" i="2"/>
  <c r="F696" i="2"/>
  <c r="E696" i="2"/>
  <c r="D696" i="2"/>
  <c r="C696" i="2"/>
  <c r="B696" i="2"/>
  <c r="A696" i="2"/>
  <c r="AD695" i="2"/>
  <c r="AC695" i="2"/>
  <c r="AB695" i="2"/>
  <c r="AA695" i="2"/>
  <c r="Z695" i="2"/>
  <c r="Y695" i="2"/>
  <c r="X695" i="2"/>
  <c r="W695" i="2"/>
  <c r="V695" i="2"/>
  <c r="U695" i="2"/>
  <c r="T695" i="2"/>
  <c r="S695" i="2"/>
  <c r="R695" i="2"/>
  <c r="Q695" i="2"/>
  <c r="P695" i="2"/>
  <c r="O695" i="2"/>
  <c r="N695" i="2"/>
  <c r="M695" i="2"/>
  <c r="L695" i="2"/>
  <c r="K695" i="2"/>
  <c r="J695" i="2"/>
  <c r="I695" i="2"/>
  <c r="H695" i="2"/>
  <c r="G695" i="2"/>
  <c r="F695" i="2"/>
  <c r="E695" i="2"/>
  <c r="D695" i="2"/>
  <c r="C695" i="2"/>
  <c r="B695" i="2"/>
  <c r="A695" i="2"/>
  <c r="AD694" i="2"/>
  <c r="AC694" i="2"/>
  <c r="AB694" i="2"/>
  <c r="AA694" i="2"/>
  <c r="Z694" i="2"/>
  <c r="Y694" i="2"/>
  <c r="X694" i="2"/>
  <c r="W694" i="2"/>
  <c r="V694" i="2"/>
  <c r="U694" i="2"/>
  <c r="T694" i="2"/>
  <c r="S694" i="2"/>
  <c r="R694" i="2"/>
  <c r="Q694" i="2"/>
  <c r="P694" i="2"/>
  <c r="O694" i="2"/>
  <c r="N694" i="2"/>
  <c r="M694" i="2"/>
  <c r="L694" i="2"/>
  <c r="K694" i="2"/>
  <c r="J694" i="2"/>
  <c r="I694" i="2"/>
  <c r="H694" i="2"/>
  <c r="G694" i="2"/>
  <c r="F694" i="2"/>
  <c r="E694" i="2"/>
  <c r="D694" i="2"/>
  <c r="C694" i="2"/>
  <c r="B694" i="2"/>
  <c r="A694" i="2"/>
  <c r="AD693" i="2"/>
  <c r="AC693"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D692" i="2"/>
  <c r="AC692" i="2"/>
  <c r="AB692" i="2"/>
  <c r="AA692" i="2"/>
  <c r="Z692" i="2"/>
  <c r="Y692" i="2"/>
  <c r="X692" i="2"/>
  <c r="W692" i="2"/>
  <c r="V692" i="2"/>
  <c r="U692" i="2"/>
  <c r="T692" i="2"/>
  <c r="S692" i="2"/>
  <c r="R692" i="2"/>
  <c r="Q692" i="2"/>
  <c r="P692" i="2"/>
  <c r="O692" i="2"/>
  <c r="N692" i="2"/>
  <c r="M692" i="2"/>
  <c r="L692" i="2"/>
  <c r="K692" i="2"/>
  <c r="J692" i="2"/>
  <c r="I692" i="2"/>
  <c r="H692" i="2"/>
  <c r="G692" i="2"/>
  <c r="F692" i="2"/>
  <c r="E692" i="2"/>
  <c r="D692" i="2"/>
  <c r="C692" i="2"/>
  <c r="B692" i="2"/>
  <c r="A692" i="2"/>
  <c r="AD691" i="2"/>
  <c r="AC691" i="2"/>
  <c r="AB691" i="2"/>
  <c r="AA691" i="2"/>
  <c r="Z691" i="2"/>
  <c r="Y691" i="2"/>
  <c r="X691" i="2"/>
  <c r="W691" i="2"/>
  <c r="V691" i="2"/>
  <c r="U691" i="2"/>
  <c r="T691" i="2"/>
  <c r="S691" i="2"/>
  <c r="R691" i="2"/>
  <c r="Q691" i="2"/>
  <c r="P691" i="2"/>
  <c r="O691" i="2"/>
  <c r="N691" i="2"/>
  <c r="M691" i="2"/>
  <c r="L691" i="2"/>
  <c r="K691" i="2"/>
  <c r="J691" i="2"/>
  <c r="I691" i="2"/>
  <c r="H691" i="2"/>
  <c r="G691" i="2"/>
  <c r="F691" i="2"/>
  <c r="E691" i="2"/>
  <c r="D691" i="2"/>
  <c r="C691" i="2"/>
  <c r="B691" i="2"/>
  <c r="A691" i="2"/>
  <c r="AD690" i="2"/>
  <c r="AC690" i="2"/>
  <c r="AB690" i="2"/>
  <c r="AA690" i="2"/>
  <c r="Z690" i="2"/>
  <c r="Y690" i="2"/>
  <c r="X690" i="2"/>
  <c r="W690" i="2"/>
  <c r="V690" i="2"/>
  <c r="U690" i="2"/>
  <c r="T690" i="2"/>
  <c r="S690" i="2"/>
  <c r="R690" i="2"/>
  <c r="Q690" i="2"/>
  <c r="P690" i="2"/>
  <c r="O690" i="2"/>
  <c r="N690" i="2"/>
  <c r="M690" i="2"/>
  <c r="L690" i="2"/>
  <c r="K690" i="2"/>
  <c r="J690" i="2"/>
  <c r="I690" i="2"/>
  <c r="H690" i="2"/>
  <c r="G690" i="2"/>
  <c r="F690" i="2"/>
  <c r="E690" i="2"/>
  <c r="D690" i="2"/>
  <c r="C690" i="2"/>
  <c r="B690" i="2"/>
  <c r="A690" i="2"/>
  <c r="AD689" i="2"/>
  <c r="AC689" i="2"/>
  <c r="AB689" i="2"/>
  <c r="AA689" i="2"/>
  <c r="Z689" i="2"/>
  <c r="Y689" i="2"/>
  <c r="X689" i="2"/>
  <c r="W689" i="2"/>
  <c r="V689" i="2"/>
  <c r="U689" i="2"/>
  <c r="T689" i="2"/>
  <c r="S689" i="2"/>
  <c r="R689" i="2"/>
  <c r="Q689" i="2"/>
  <c r="P689" i="2"/>
  <c r="O689" i="2"/>
  <c r="N689" i="2"/>
  <c r="M689" i="2"/>
  <c r="L689" i="2"/>
  <c r="K689" i="2"/>
  <c r="J689" i="2"/>
  <c r="I689" i="2"/>
  <c r="H689" i="2"/>
  <c r="G689" i="2"/>
  <c r="F689" i="2"/>
  <c r="E689" i="2"/>
  <c r="D689" i="2"/>
  <c r="C689" i="2"/>
  <c r="B689" i="2"/>
  <c r="A689" i="2"/>
  <c r="AD688" i="2"/>
  <c r="AC688" i="2"/>
  <c r="AB688" i="2"/>
  <c r="AA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D687" i="2"/>
  <c r="AC687" i="2"/>
  <c r="AB687" i="2"/>
  <c r="AA687" i="2"/>
  <c r="Z687" i="2"/>
  <c r="Y687" i="2"/>
  <c r="X687" i="2"/>
  <c r="W687" i="2"/>
  <c r="V687" i="2"/>
  <c r="U687" i="2"/>
  <c r="T687" i="2"/>
  <c r="S687" i="2"/>
  <c r="R687" i="2"/>
  <c r="Q687" i="2"/>
  <c r="P687" i="2"/>
  <c r="O687" i="2"/>
  <c r="N687" i="2"/>
  <c r="M687" i="2"/>
  <c r="L687" i="2"/>
  <c r="K687" i="2"/>
  <c r="J687" i="2"/>
  <c r="I687" i="2"/>
  <c r="H687" i="2"/>
  <c r="G687" i="2"/>
  <c r="F687" i="2"/>
  <c r="E687" i="2"/>
  <c r="D687" i="2"/>
  <c r="C687" i="2"/>
  <c r="B687" i="2"/>
  <c r="A687" i="2"/>
  <c r="AD686" i="2"/>
  <c r="AC686" i="2"/>
  <c r="AB686" i="2"/>
  <c r="AA686" i="2"/>
  <c r="Z686" i="2"/>
  <c r="Y686" i="2"/>
  <c r="X686" i="2"/>
  <c r="W686" i="2"/>
  <c r="V686" i="2"/>
  <c r="U686" i="2"/>
  <c r="T686" i="2"/>
  <c r="S686" i="2"/>
  <c r="R686" i="2"/>
  <c r="Q686" i="2"/>
  <c r="P686" i="2"/>
  <c r="O686" i="2"/>
  <c r="N686" i="2"/>
  <c r="M686" i="2"/>
  <c r="L686" i="2"/>
  <c r="K686" i="2"/>
  <c r="J686" i="2"/>
  <c r="I686" i="2"/>
  <c r="H686" i="2"/>
  <c r="G686" i="2"/>
  <c r="F686" i="2"/>
  <c r="E686" i="2"/>
  <c r="D686" i="2"/>
  <c r="C686" i="2"/>
  <c r="B686" i="2"/>
  <c r="A686" i="2"/>
  <c r="AD685" i="2"/>
  <c r="AC685" i="2"/>
  <c r="AB685" i="2"/>
  <c r="AA685" i="2"/>
  <c r="Z685" i="2"/>
  <c r="Y685" i="2"/>
  <c r="X685" i="2"/>
  <c r="W685" i="2"/>
  <c r="V685" i="2"/>
  <c r="U685" i="2"/>
  <c r="T685" i="2"/>
  <c r="S685" i="2"/>
  <c r="R685" i="2"/>
  <c r="Q685" i="2"/>
  <c r="P685" i="2"/>
  <c r="O685" i="2"/>
  <c r="N685" i="2"/>
  <c r="M685" i="2"/>
  <c r="L685" i="2"/>
  <c r="K685" i="2"/>
  <c r="J685" i="2"/>
  <c r="I685" i="2"/>
  <c r="H685" i="2"/>
  <c r="G685" i="2"/>
  <c r="F685" i="2"/>
  <c r="E685" i="2"/>
  <c r="D685" i="2"/>
  <c r="C685" i="2"/>
  <c r="B685" i="2"/>
  <c r="A685" i="2"/>
  <c r="AD684" i="2"/>
  <c r="AC684" i="2"/>
  <c r="AB684" i="2"/>
  <c r="AA684" i="2"/>
  <c r="Z684" i="2"/>
  <c r="Y684" i="2"/>
  <c r="X684" i="2"/>
  <c r="W684" i="2"/>
  <c r="V684" i="2"/>
  <c r="U684" i="2"/>
  <c r="T684" i="2"/>
  <c r="S684" i="2"/>
  <c r="R684" i="2"/>
  <c r="Q684" i="2"/>
  <c r="P684" i="2"/>
  <c r="O684" i="2"/>
  <c r="N684" i="2"/>
  <c r="M684" i="2"/>
  <c r="L684" i="2"/>
  <c r="K684" i="2"/>
  <c r="J684" i="2"/>
  <c r="I684" i="2"/>
  <c r="H684" i="2"/>
  <c r="G684" i="2"/>
  <c r="F684" i="2"/>
  <c r="E684" i="2"/>
  <c r="D684" i="2"/>
  <c r="C684" i="2"/>
  <c r="B684" i="2"/>
  <c r="A684" i="2"/>
  <c r="AD683" i="2"/>
  <c r="AC683" i="2"/>
  <c r="AB683" i="2"/>
  <c r="AA683" i="2"/>
  <c r="Z683" i="2"/>
  <c r="Y683" i="2"/>
  <c r="X683" i="2"/>
  <c r="W683" i="2"/>
  <c r="V683" i="2"/>
  <c r="U683" i="2"/>
  <c r="T683" i="2"/>
  <c r="S683" i="2"/>
  <c r="R683" i="2"/>
  <c r="Q683" i="2"/>
  <c r="P683" i="2"/>
  <c r="O683" i="2"/>
  <c r="N683" i="2"/>
  <c r="M683" i="2"/>
  <c r="L683" i="2"/>
  <c r="K683" i="2"/>
  <c r="J683" i="2"/>
  <c r="I683" i="2"/>
  <c r="H683" i="2"/>
  <c r="G683" i="2"/>
  <c r="F683" i="2"/>
  <c r="E683" i="2"/>
  <c r="D683" i="2"/>
  <c r="C683" i="2"/>
  <c r="B683" i="2"/>
  <c r="A683" i="2"/>
  <c r="AD682" i="2"/>
  <c r="AC682" i="2"/>
  <c r="AB682" i="2"/>
  <c r="AA682" i="2"/>
  <c r="Z682" i="2"/>
  <c r="Y682" i="2"/>
  <c r="X682" i="2"/>
  <c r="W682" i="2"/>
  <c r="V682" i="2"/>
  <c r="U682" i="2"/>
  <c r="T682" i="2"/>
  <c r="S682" i="2"/>
  <c r="R682" i="2"/>
  <c r="Q682" i="2"/>
  <c r="P682" i="2"/>
  <c r="O682" i="2"/>
  <c r="N682" i="2"/>
  <c r="M682" i="2"/>
  <c r="L682" i="2"/>
  <c r="K682" i="2"/>
  <c r="J682" i="2"/>
  <c r="I682" i="2"/>
  <c r="H682" i="2"/>
  <c r="G682" i="2"/>
  <c r="F682" i="2"/>
  <c r="E682" i="2"/>
  <c r="D682" i="2"/>
  <c r="C682" i="2"/>
  <c r="B682" i="2"/>
  <c r="A682" i="2"/>
  <c r="AD681" i="2"/>
  <c r="AC681" i="2"/>
  <c r="AB681" i="2"/>
  <c r="AA681" i="2"/>
  <c r="Z681" i="2"/>
  <c r="Y681" i="2"/>
  <c r="X681" i="2"/>
  <c r="W681" i="2"/>
  <c r="V681" i="2"/>
  <c r="U681" i="2"/>
  <c r="T681" i="2"/>
  <c r="S681" i="2"/>
  <c r="R681" i="2"/>
  <c r="Q681" i="2"/>
  <c r="P681" i="2"/>
  <c r="O681" i="2"/>
  <c r="N681" i="2"/>
  <c r="M681" i="2"/>
  <c r="L681" i="2"/>
  <c r="K681" i="2"/>
  <c r="J681" i="2"/>
  <c r="I681" i="2"/>
  <c r="H681" i="2"/>
  <c r="G681" i="2"/>
  <c r="F681" i="2"/>
  <c r="E681" i="2"/>
  <c r="D681" i="2"/>
  <c r="C681" i="2"/>
  <c r="B681" i="2"/>
  <c r="A681" i="2"/>
  <c r="AD680" i="2"/>
  <c r="AC680" i="2"/>
  <c r="AB680" i="2"/>
  <c r="AA680" i="2"/>
  <c r="Z680" i="2"/>
  <c r="Y680" i="2"/>
  <c r="X680" i="2"/>
  <c r="W680" i="2"/>
  <c r="V680" i="2"/>
  <c r="U680" i="2"/>
  <c r="T680" i="2"/>
  <c r="S680" i="2"/>
  <c r="R680" i="2"/>
  <c r="Q680" i="2"/>
  <c r="P680" i="2"/>
  <c r="O680" i="2"/>
  <c r="N680" i="2"/>
  <c r="M680" i="2"/>
  <c r="L680" i="2"/>
  <c r="K680" i="2"/>
  <c r="J680" i="2"/>
  <c r="I680" i="2"/>
  <c r="H680" i="2"/>
  <c r="G680" i="2"/>
  <c r="F680" i="2"/>
  <c r="E680" i="2"/>
  <c r="D680" i="2"/>
  <c r="C680" i="2"/>
  <c r="B680" i="2"/>
  <c r="A680" i="2"/>
  <c r="AD679" i="2"/>
  <c r="AC679" i="2"/>
  <c r="AB679" i="2"/>
  <c r="AA679" i="2"/>
  <c r="Z679" i="2"/>
  <c r="Y679" i="2"/>
  <c r="X679" i="2"/>
  <c r="W679" i="2"/>
  <c r="V679" i="2"/>
  <c r="U679" i="2"/>
  <c r="T679" i="2"/>
  <c r="S679" i="2"/>
  <c r="R679" i="2"/>
  <c r="Q679" i="2"/>
  <c r="P679" i="2"/>
  <c r="O679" i="2"/>
  <c r="N679" i="2"/>
  <c r="M679" i="2"/>
  <c r="L679" i="2"/>
  <c r="K679" i="2"/>
  <c r="J679" i="2"/>
  <c r="I679" i="2"/>
  <c r="H679" i="2"/>
  <c r="G679" i="2"/>
  <c r="F679" i="2"/>
  <c r="E679" i="2"/>
  <c r="D679" i="2"/>
  <c r="C679" i="2"/>
  <c r="B679" i="2"/>
  <c r="A679" i="2"/>
  <c r="AD678" i="2"/>
  <c r="AC678" i="2"/>
  <c r="AB678" i="2"/>
  <c r="AA678" i="2"/>
  <c r="Z678" i="2"/>
  <c r="Y678" i="2"/>
  <c r="X678" i="2"/>
  <c r="W678" i="2"/>
  <c r="V678" i="2"/>
  <c r="U678" i="2"/>
  <c r="T678" i="2"/>
  <c r="S678" i="2"/>
  <c r="R678" i="2"/>
  <c r="Q678" i="2"/>
  <c r="P678" i="2"/>
  <c r="O678" i="2"/>
  <c r="N678" i="2"/>
  <c r="M678" i="2"/>
  <c r="L678" i="2"/>
  <c r="K678" i="2"/>
  <c r="J678" i="2"/>
  <c r="I678" i="2"/>
  <c r="H678" i="2"/>
  <c r="G678" i="2"/>
  <c r="F678" i="2"/>
  <c r="E678" i="2"/>
  <c r="D678" i="2"/>
  <c r="C678" i="2"/>
  <c r="B678" i="2"/>
  <c r="A678" i="2"/>
  <c r="AD677" i="2"/>
  <c r="AC677" i="2"/>
  <c r="AB677" i="2"/>
  <c r="AA677" i="2"/>
  <c r="Z677" i="2"/>
  <c r="Y677" i="2"/>
  <c r="X677" i="2"/>
  <c r="W677" i="2"/>
  <c r="V677" i="2"/>
  <c r="U677" i="2"/>
  <c r="T677" i="2"/>
  <c r="S677" i="2"/>
  <c r="R677" i="2"/>
  <c r="Q677" i="2"/>
  <c r="P677" i="2"/>
  <c r="O677" i="2"/>
  <c r="N677" i="2"/>
  <c r="M677" i="2"/>
  <c r="L677" i="2"/>
  <c r="K677" i="2"/>
  <c r="J677" i="2"/>
  <c r="I677" i="2"/>
  <c r="H677" i="2"/>
  <c r="G677" i="2"/>
  <c r="F677" i="2"/>
  <c r="E677" i="2"/>
  <c r="D677" i="2"/>
  <c r="C677" i="2"/>
  <c r="B677" i="2"/>
  <c r="A677" i="2"/>
  <c r="AD676" i="2"/>
  <c r="AC676" i="2"/>
  <c r="AB676" i="2"/>
  <c r="AA676" i="2"/>
  <c r="Z676" i="2"/>
  <c r="Y676" i="2"/>
  <c r="X676" i="2"/>
  <c r="W676" i="2"/>
  <c r="V676" i="2"/>
  <c r="U676" i="2"/>
  <c r="T676" i="2"/>
  <c r="S676" i="2"/>
  <c r="R676" i="2"/>
  <c r="Q676" i="2"/>
  <c r="P676" i="2"/>
  <c r="O676" i="2"/>
  <c r="N676" i="2"/>
  <c r="M676" i="2"/>
  <c r="L676" i="2"/>
  <c r="K676" i="2"/>
  <c r="J676" i="2"/>
  <c r="I676" i="2"/>
  <c r="H676" i="2"/>
  <c r="G676" i="2"/>
  <c r="F676" i="2"/>
  <c r="E676" i="2"/>
  <c r="D676" i="2"/>
  <c r="C676" i="2"/>
  <c r="B676" i="2"/>
  <c r="A676" i="2"/>
  <c r="AD675" i="2"/>
  <c r="AC675" i="2"/>
  <c r="AB675" i="2"/>
  <c r="AA675" i="2"/>
  <c r="Z675" i="2"/>
  <c r="Y675" i="2"/>
  <c r="X675" i="2"/>
  <c r="W675" i="2"/>
  <c r="V675" i="2"/>
  <c r="U675" i="2"/>
  <c r="T675" i="2"/>
  <c r="S675" i="2"/>
  <c r="R675" i="2"/>
  <c r="Q675" i="2"/>
  <c r="P675" i="2"/>
  <c r="O675" i="2"/>
  <c r="N675" i="2"/>
  <c r="M675" i="2"/>
  <c r="L675" i="2"/>
  <c r="K675" i="2"/>
  <c r="J675" i="2"/>
  <c r="I675" i="2"/>
  <c r="H675" i="2"/>
  <c r="G675" i="2"/>
  <c r="F675" i="2"/>
  <c r="E675" i="2"/>
  <c r="D675" i="2"/>
  <c r="C675" i="2"/>
  <c r="B675" i="2"/>
  <c r="A675" i="2"/>
  <c r="AD674" i="2"/>
  <c r="AC674" i="2"/>
  <c r="AB674" i="2"/>
  <c r="AA674" i="2"/>
  <c r="Z674" i="2"/>
  <c r="Y674" i="2"/>
  <c r="X674" i="2"/>
  <c r="W674" i="2"/>
  <c r="V674" i="2"/>
  <c r="U674" i="2"/>
  <c r="T674" i="2"/>
  <c r="S674" i="2"/>
  <c r="R674" i="2"/>
  <c r="Q674" i="2"/>
  <c r="P674" i="2"/>
  <c r="O674" i="2"/>
  <c r="N674" i="2"/>
  <c r="M674" i="2"/>
  <c r="L674" i="2"/>
  <c r="K674" i="2"/>
  <c r="J674" i="2"/>
  <c r="I674" i="2"/>
  <c r="H674" i="2"/>
  <c r="G674" i="2"/>
  <c r="F674" i="2"/>
  <c r="E674" i="2"/>
  <c r="D674" i="2"/>
  <c r="C674" i="2"/>
  <c r="B674" i="2"/>
  <c r="A674" i="2"/>
  <c r="AD673" i="2"/>
  <c r="AC673" i="2"/>
  <c r="AB673" i="2"/>
  <c r="AA673" i="2"/>
  <c r="Z673" i="2"/>
  <c r="Y673" i="2"/>
  <c r="X673" i="2"/>
  <c r="W673" i="2"/>
  <c r="V673" i="2"/>
  <c r="U673" i="2"/>
  <c r="T673" i="2"/>
  <c r="S673" i="2"/>
  <c r="R673" i="2"/>
  <c r="Q673" i="2"/>
  <c r="P673" i="2"/>
  <c r="O673" i="2"/>
  <c r="N673" i="2"/>
  <c r="M673" i="2"/>
  <c r="L673" i="2"/>
  <c r="K673" i="2"/>
  <c r="J673" i="2"/>
  <c r="I673" i="2"/>
  <c r="H673" i="2"/>
  <c r="G673" i="2"/>
  <c r="F673" i="2"/>
  <c r="E673" i="2"/>
  <c r="D673" i="2"/>
  <c r="C673" i="2"/>
  <c r="B673" i="2"/>
  <c r="A673" i="2"/>
  <c r="AD672" i="2"/>
  <c r="AC672" i="2"/>
  <c r="AB672" i="2"/>
  <c r="AA672" i="2"/>
  <c r="Z672" i="2"/>
  <c r="Y672" i="2"/>
  <c r="X672" i="2"/>
  <c r="W672" i="2"/>
  <c r="V672" i="2"/>
  <c r="U672" i="2"/>
  <c r="T672" i="2"/>
  <c r="S672" i="2"/>
  <c r="R672" i="2"/>
  <c r="Q672" i="2"/>
  <c r="P672" i="2"/>
  <c r="O672" i="2"/>
  <c r="N672" i="2"/>
  <c r="M672" i="2"/>
  <c r="L672" i="2"/>
  <c r="K672" i="2"/>
  <c r="J672" i="2"/>
  <c r="I672" i="2"/>
  <c r="H672" i="2"/>
  <c r="G672" i="2"/>
  <c r="F672" i="2"/>
  <c r="E672" i="2"/>
  <c r="D672" i="2"/>
  <c r="C672" i="2"/>
  <c r="B672" i="2"/>
  <c r="A672" i="2"/>
  <c r="AD671" i="2"/>
  <c r="AC671" i="2"/>
  <c r="AB671" i="2"/>
  <c r="AA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D670" i="2"/>
  <c r="AC670" i="2"/>
  <c r="AB670" i="2"/>
  <c r="AA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D669" i="2"/>
  <c r="AC669" i="2"/>
  <c r="AB669" i="2"/>
  <c r="AA669" i="2"/>
  <c r="Z669" i="2"/>
  <c r="Y669" i="2"/>
  <c r="X669" i="2"/>
  <c r="W669" i="2"/>
  <c r="V669" i="2"/>
  <c r="U669" i="2"/>
  <c r="T669" i="2"/>
  <c r="S669" i="2"/>
  <c r="R669" i="2"/>
  <c r="Q669" i="2"/>
  <c r="P669" i="2"/>
  <c r="O669" i="2"/>
  <c r="N669" i="2"/>
  <c r="M669" i="2"/>
  <c r="L669" i="2"/>
  <c r="K669" i="2"/>
  <c r="J669" i="2"/>
  <c r="I669" i="2"/>
  <c r="H669" i="2"/>
  <c r="G669" i="2"/>
  <c r="F669" i="2"/>
  <c r="E669" i="2"/>
  <c r="D669" i="2"/>
  <c r="C669" i="2"/>
  <c r="B669" i="2"/>
  <c r="A669" i="2"/>
  <c r="AD668" i="2"/>
  <c r="AC668" i="2"/>
  <c r="AB668" i="2"/>
  <c r="AA668" i="2"/>
  <c r="Z668" i="2"/>
  <c r="Y668" i="2"/>
  <c r="X668" i="2"/>
  <c r="W668" i="2"/>
  <c r="V668" i="2"/>
  <c r="U668" i="2"/>
  <c r="T668" i="2"/>
  <c r="S668" i="2"/>
  <c r="R668" i="2"/>
  <c r="Q668" i="2"/>
  <c r="P668" i="2"/>
  <c r="O668" i="2"/>
  <c r="N668" i="2"/>
  <c r="M668" i="2"/>
  <c r="L668" i="2"/>
  <c r="K668" i="2"/>
  <c r="J668" i="2"/>
  <c r="I668" i="2"/>
  <c r="H668" i="2"/>
  <c r="G668" i="2"/>
  <c r="F668" i="2"/>
  <c r="E668" i="2"/>
  <c r="D668" i="2"/>
  <c r="C668" i="2"/>
  <c r="B668" i="2"/>
  <c r="A668" i="2"/>
  <c r="AD667" i="2"/>
  <c r="AC667" i="2"/>
  <c r="AB667" i="2"/>
  <c r="AA667" i="2"/>
  <c r="Z667" i="2"/>
  <c r="Y667" i="2"/>
  <c r="X667" i="2"/>
  <c r="W667" i="2"/>
  <c r="V667" i="2"/>
  <c r="U667" i="2"/>
  <c r="T667" i="2"/>
  <c r="S667" i="2"/>
  <c r="R667" i="2"/>
  <c r="Q667" i="2"/>
  <c r="P667" i="2"/>
  <c r="O667" i="2"/>
  <c r="N667" i="2"/>
  <c r="M667" i="2"/>
  <c r="L667" i="2"/>
  <c r="K667" i="2"/>
  <c r="J667" i="2"/>
  <c r="I667" i="2"/>
  <c r="H667" i="2"/>
  <c r="G667" i="2"/>
  <c r="F667" i="2"/>
  <c r="E667" i="2"/>
  <c r="D667" i="2"/>
  <c r="C667" i="2"/>
  <c r="B667" i="2"/>
  <c r="A667" i="2"/>
  <c r="AD666" i="2"/>
  <c r="AC666" i="2"/>
  <c r="AB666" i="2"/>
  <c r="AA666" i="2"/>
  <c r="Z666" i="2"/>
  <c r="Y666" i="2"/>
  <c r="X666" i="2"/>
  <c r="W666" i="2"/>
  <c r="V666" i="2"/>
  <c r="U666" i="2"/>
  <c r="T666" i="2"/>
  <c r="S666" i="2"/>
  <c r="R666" i="2"/>
  <c r="Q666" i="2"/>
  <c r="P666" i="2"/>
  <c r="O666" i="2"/>
  <c r="N666" i="2"/>
  <c r="M666" i="2"/>
  <c r="L666" i="2"/>
  <c r="K666" i="2"/>
  <c r="J666" i="2"/>
  <c r="I666" i="2"/>
  <c r="H666" i="2"/>
  <c r="G666" i="2"/>
  <c r="F666" i="2"/>
  <c r="E666" i="2"/>
  <c r="D666" i="2"/>
  <c r="C666" i="2"/>
  <c r="B666" i="2"/>
  <c r="A666" i="2"/>
  <c r="AD665" i="2"/>
  <c r="AC665"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D664" i="2"/>
  <c r="AC664" i="2"/>
  <c r="AB664" i="2"/>
  <c r="AA664" i="2"/>
  <c r="Z664" i="2"/>
  <c r="Y664" i="2"/>
  <c r="X664" i="2"/>
  <c r="W664" i="2"/>
  <c r="V664" i="2"/>
  <c r="U664" i="2"/>
  <c r="T664" i="2"/>
  <c r="S664" i="2"/>
  <c r="R664" i="2"/>
  <c r="Q664" i="2"/>
  <c r="P664" i="2"/>
  <c r="O664" i="2"/>
  <c r="N664" i="2"/>
  <c r="M664" i="2"/>
  <c r="L664" i="2"/>
  <c r="K664" i="2"/>
  <c r="J664" i="2"/>
  <c r="I664" i="2"/>
  <c r="H664" i="2"/>
  <c r="G664" i="2"/>
  <c r="F664" i="2"/>
  <c r="E664" i="2"/>
  <c r="D664" i="2"/>
  <c r="C664" i="2"/>
  <c r="B664" i="2"/>
  <c r="A664" i="2"/>
  <c r="AD663" i="2"/>
  <c r="AC663" i="2"/>
  <c r="AB663" i="2"/>
  <c r="AA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D662" i="2"/>
  <c r="AC662" i="2"/>
  <c r="AB662" i="2"/>
  <c r="AA662" i="2"/>
  <c r="Z662" i="2"/>
  <c r="Y662" i="2"/>
  <c r="X662" i="2"/>
  <c r="W662" i="2"/>
  <c r="V662" i="2"/>
  <c r="U662" i="2"/>
  <c r="T662" i="2"/>
  <c r="S662" i="2"/>
  <c r="R662" i="2"/>
  <c r="Q662" i="2"/>
  <c r="P662" i="2"/>
  <c r="O662" i="2"/>
  <c r="N662" i="2"/>
  <c r="M662" i="2"/>
  <c r="L662" i="2"/>
  <c r="K662" i="2"/>
  <c r="J662" i="2"/>
  <c r="I662" i="2"/>
  <c r="H662" i="2"/>
  <c r="G662" i="2"/>
  <c r="F662" i="2"/>
  <c r="E662" i="2"/>
  <c r="D662" i="2"/>
  <c r="C662" i="2"/>
  <c r="B662" i="2"/>
  <c r="A662" i="2"/>
  <c r="AD661" i="2"/>
  <c r="AC661" i="2"/>
  <c r="AB661" i="2"/>
  <c r="AA661" i="2"/>
  <c r="Z661" i="2"/>
  <c r="Y661" i="2"/>
  <c r="X661" i="2"/>
  <c r="W661" i="2"/>
  <c r="V661" i="2"/>
  <c r="U661" i="2"/>
  <c r="T661" i="2"/>
  <c r="S661" i="2"/>
  <c r="R661" i="2"/>
  <c r="Q661" i="2"/>
  <c r="P661" i="2"/>
  <c r="O661" i="2"/>
  <c r="N661" i="2"/>
  <c r="M661" i="2"/>
  <c r="L661" i="2"/>
  <c r="K661" i="2"/>
  <c r="J661" i="2"/>
  <c r="I661" i="2"/>
  <c r="H661" i="2"/>
  <c r="G661" i="2"/>
  <c r="F661" i="2"/>
  <c r="E661" i="2"/>
  <c r="D661" i="2"/>
  <c r="C661" i="2"/>
  <c r="B661" i="2"/>
  <c r="A661" i="2"/>
  <c r="AD660" i="2"/>
  <c r="AC660" i="2"/>
  <c r="AB660" i="2"/>
  <c r="AA660" i="2"/>
  <c r="Z660" i="2"/>
  <c r="Y660" i="2"/>
  <c r="X660" i="2"/>
  <c r="W660" i="2"/>
  <c r="V660" i="2"/>
  <c r="U660" i="2"/>
  <c r="T660" i="2"/>
  <c r="S660" i="2"/>
  <c r="R660" i="2"/>
  <c r="Q660" i="2"/>
  <c r="P660" i="2"/>
  <c r="O660" i="2"/>
  <c r="N660" i="2"/>
  <c r="M660" i="2"/>
  <c r="L660" i="2"/>
  <c r="K660" i="2"/>
  <c r="J660" i="2"/>
  <c r="I660" i="2"/>
  <c r="H660" i="2"/>
  <c r="G660" i="2"/>
  <c r="F660" i="2"/>
  <c r="E660" i="2"/>
  <c r="D660" i="2"/>
  <c r="C660" i="2"/>
  <c r="B660" i="2"/>
  <c r="A660" i="2"/>
  <c r="AD659" i="2"/>
  <c r="AC659" i="2"/>
  <c r="AB659" i="2"/>
  <c r="AA659" i="2"/>
  <c r="Z659" i="2"/>
  <c r="Y659" i="2"/>
  <c r="X659" i="2"/>
  <c r="W659" i="2"/>
  <c r="V659" i="2"/>
  <c r="U659" i="2"/>
  <c r="T659" i="2"/>
  <c r="S659" i="2"/>
  <c r="R659" i="2"/>
  <c r="Q659" i="2"/>
  <c r="P659" i="2"/>
  <c r="O659" i="2"/>
  <c r="N659" i="2"/>
  <c r="M659" i="2"/>
  <c r="L659" i="2"/>
  <c r="K659" i="2"/>
  <c r="J659" i="2"/>
  <c r="I659" i="2"/>
  <c r="H659" i="2"/>
  <c r="G659" i="2"/>
  <c r="F659" i="2"/>
  <c r="E659" i="2"/>
  <c r="D659" i="2"/>
  <c r="C659" i="2"/>
  <c r="B659" i="2"/>
  <c r="A659" i="2"/>
  <c r="AD658" i="2"/>
  <c r="AC658" i="2"/>
  <c r="AB658" i="2"/>
  <c r="AA658" i="2"/>
  <c r="Z658" i="2"/>
  <c r="Y658" i="2"/>
  <c r="X658" i="2"/>
  <c r="W658" i="2"/>
  <c r="V658" i="2"/>
  <c r="U658" i="2"/>
  <c r="T658" i="2"/>
  <c r="S658" i="2"/>
  <c r="R658" i="2"/>
  <c r="Q658" i="2"/>
  <c r="P658" i="2"/>
  <c r="O658" i="2"/>
  <c r="N658" i="2"/>
  <c r="M658" i="2"/>
  <c r="L658" i="2"/>
  <c r="K658" i="2"/>
  <c r="J658" i="2"/>
  <c r="I658" i="2"/>
  <c r="H658" i="2"/>
  <c r="G658" i="2"/>
  <c r="F658" i="2"/>
  <c r="E658" i="2"/>
  <c r="D658" i="2"/>
  <c r="C658" i="2"/>
  <c r="B658" i="2"/>
  <c r="A658" i="2"/>
  <c r="AD657" i="2"/>
  <c r="AC657" i="2"/>
  <c r="AB657" i="2"/>
  <c r="AA657" i="2"/>
  <c r="Z657" i="2"/>
  <c r="Y657" i="2"/>
  <c r="X657" i="2"/>
  <c r="W657" i="2"/>
  <c r="V657" i="2"/>
  <c r="U657" i="2"/>
  <c r="T657" i="2"/>
  <c r="S657" i="2"/>
  <c r="R657" i="2"/>
  <c r="Q657" i="2"/>
  <c r="P657" i="2"/>
  <c r="O657" i="2"/>
  <c r="N657" i="2"/>
  <c r="M657" i="2"/>
  <c r="L657" i="2"/>
  <c r="K657" i="2"/>
  <c r="J657" i="2"/>
  <c r="I657" i="2"/>
  <c r="H657" i="2"/>
  <c r="G657" i="2"/>
  <c r="F657" i="2"/>
  <c r="E657" i="2"/>
  <c r="D657" i="2"/>
  <c r="C657" i="2"/>
  <c r="B657" i="2"/>
  <c r="A657" i="2"/>
  <c r="AD656" i="2"/>
  <c r="AC656" i="2"/>
  <c r="AB656" i="2"/>
  <c r="AA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D655" i="2"/>
  <c r="AC655" i="2"/>
  <c r="AB655" i="2"/>
  <c r="AA655" i="2"/>
  <c r="Z655" i="2"/>
  <c r="Y655" i="2"/>
  <c r="X655" i="2"/>
  <c r="W655" i="2"/>
  <c r="V655" i="2"/>
  <c r="U655" i="2"/>
  <c r="T655" i="2"/>
  <c r="S655" i="2"/>
  <c r="R655" i="2"/>
  <c r="Q655" i="2"/>
  <c r="P655" i="2"/>
  <c r="O655" i="2"/>
  <c r="N655" i="2"/>
  <c r="M655" i="2"/>
  <c r="L655" i="2"/>
  <c r="K655" i="2"/>
  <c r="J655" i="2"/>
  <c r="I655" i="2"/>
  <c r="H655" i="2"/>
  <c r="G655" i="2"/>
  <c r="F655" i="2"/>
  <c r="E655" i="2"/>
  <c r="D655" i="2"/>
  <c r="C655" i="2"/>
  <c r="B655" i="2"/>
  <c r="A655" i="2"/>
  <c r="AD654" i="2"/>
  <c r="AC654" i="2"/>
  <c r="AB654" i="2"/>
  <c r="AA654" i="2"/>
  <c r="Z654" i="2"/>
  <c r="Y654" i="2"/>
  <c r="X654" i="2"/>
  <c r="W654" i="2"/>
  <c r="V654" i="2"/>
  <c r="U654" i="2"/>
  <c r="T654" i="2"/>
  <c r="S654" i="2"/>
  <c r="R654" i="2"/>
  <c r="Q654" i="2"/>
  <c r="P654" i="2"/>
  <c r="O654" i="2"/>
  <c r="N654" i="2"/>
  <c r="M654" i="2"/>
  <c r="L654" i="2"/>
  <c r="K654" i="2"/>
  <c r="J654" i="2"/>
  <c r="I654" i="2"/>
  <c r="H654" i="2"/>
  <c r="G654" i="2"/>
  <c r="F654" i="2"/>
  <c r="E654" i="2"/>
  <c r="D654" i="2"/>
  <c r="C654" i="2"/>
  <c r="B654" i="2"/>
  <c r="A654" i="2"/>
  <c r="AD653" i="2"/>
  <c r="AC653" i="2"/>
  <c r="AB653" i="2"/>
  <c r="AA653" i="2"/>
  <c r="Z653" i="2"/>
  <c r="Y653" i="2"/>
  <c r="X653" i="2"/>
  <c r="W653" i="2"/>
  <c r="V653" i="2"/>
  <c r="U653" i="2"/>
  <c r="T653" i="2"/>
  <c r="S653" i="2"/>
  <c r="R653" i="2"/>
  <c r="Q653" i="2"/>
  <c r="P653" i="2"/>
  <c r="O653" i="2"/>
  <c r="N653" i="2"/>
  <c r="M653" i="2"/>
  <c r="L653" i="2"/>
  <c r="K653" i="2"/>
  <c r="J653" i="2"/>
  <c r="I653" i="2"/>
  <c r="H653" i="2"/>
  <c r="G653" i="2"/>
  <c r="F653" i="2"/>
  <c r="E653" i="2"/>
  <c r="D653" i="2"/>
  <c r="C653" i="2"/>
  <c r="B653" i="2"/>
  <c r="A653" i="2"/>
  <c r="AD652" i="2"/>
  <c r="AC652" i="2"/>
  <c r="AB652" i="2"/>
  <c r="AA652" i="2"/>
  <c r="Z652" i="2"/>
  <c r="Y652" i="2"/>
  <c r="X652" i="2"/>
  <c r="W652" i="2"/>
  <c r="V652" i="2"/>
  <c r="U652" i="2"/>
  <c r="T652" i="2"/>
  <c r="S652" i="2"/>
  <c r="R652" i="2"/>
  <c r="Q652" i="2"/>
  <c r="P652" i="2"/>
  <c r="O652" i="2"/>
  <c r="N652" i="2"/>
  <c r="M652" i="2"/>
  <c r="L652" i="2"/>
  <c r="K652" i="2"/>
  <c r="J652" i="2"/>
  <c r="I652" i="2"/>
  <c r="H652" i="2"/>
  <c r="G652" i="2"/>
  <c r="F652" i="2"/>
  <c r="E652" i="2"/>
  <c r="D652" i="2"/>
  <c r="C652" i="2"/>
  <c r="B652" i="2"/>
  <c r="A652" i="2"/>
  <c r="AD651" i="2"/>
  <c r="AC651" i="2"/>
  <c r="AB651" i="2"/>
  <c r="AA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D650" i="2"/>
  <c r="AC650" i="2"/>
  <c r="AB650" i="2"/>
  <c r="AA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D649" i="2"/>
  <c r="AC649" i="2"/>
  <c r="AB649" i="2"/>
  <c r="AA649" i="2"/>
  <c r="Z649" i="2"/>
  <c r="Y649" i="2"/>
  <c r="X649" i="2"/>
  <c r="W649" i="2"/>
  <c r="V649" i="2"/>
  <c r="U649" i="2"/>
  <c r="T649" i="2"/>
  <c r="S649" i="2"/>
  <c r="R649" i="2"/>
  <c r="Q649" i="2"/>
  <c r="P649" i="2"/>
  <c r="O649" i="2"/>
  <c r="N649" i="2"/>
  <c r="M649" i="2"/>
  <c r="L649" i="2"/>
  <c r="K649" i="2"/>
  <c r="J649" i="2"/>
  <c r="I649" i="2"/>
  <c r="H649" i="2"/>
  <c r="G649" i="2"/>
  <c r="F649" i="2"/>
  <c r="E649" i="2"/>
  <c r="D649" i="2"/>
  <c r="C649" i="2"/>
  <c r="B649" i="2"/>
  <c r="A649" i="2"/>
  <c r="AD648" i="2"/>
  <c r="AC648" i="2"/>
  <c r="AB648" i="2"/>
  <c r="AA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D647" i="2"/>
  <c r="AC647" i="2"/>
  <c r="AB647" i="2"/>
  <c r="AA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D646" i="2"/>
  <c r="AC646" i="2"/>
  <c r="AB646" i="2"/>
  <c r="AA646" i="2"/>
  <c r="Z646" i="2"/>
  <c r="Y646" i="2"/>
  <c r="X646" i="2"/>
  <c r="W646" i="2"/>
  <c r="V646" i="2"/>
  <c r="U646" i="2"/>
  <c r="T646" i="2"/>
  <c r="S646" i="2"/>
  <c r="R646" i="2"/>
  <c r="Q646" i="2"/>
  <c r="P646" i="2"/>
  <c r="O646" i="2"/>
  <c r="N646" i="2"/>
  <c r="M646" i="2"/>
  <c r="L646" i="2"/>
  <c r="K646" i="2"/>
  <c r="J646" i="2"/>
  <c r="I646" i="2"/>
  <c r="H646" i="2"/>
  <c r="G646" i="2"/>
  <c r="F646" i="2"/>
  <c r="E646" i="2"/>
  <c r="D646" i="2"/>
  <c r="C646" i="2"/>
  <c r="B646" i="2"/>
  <c r="A646" i="2"/>
  <c r="AD645" i="2"/>
  <c r="AC645" i="2"/>
  <c r="AB645" i="2"/>
  <c r="AA645" i="2"/>
  <c r="Z645" i="2"/>
  <c r="Y645" i="2"/>
  <c r="X645" i="2"/>
  <c r="W645" i="2"/>
  <c r="V645" i="2"/>
  <c r="U645" i="2"/>
  <c r="T645" i="2"/>
  <c r="S645" i="2"/>
  <c r="R645" i="2"/>
  <c r="Q645" i="2"/>
  <c r="P645" i="2"/>
  <c r="O645" i="2"/>
  <c r="N645" i="2"/>
  <c r="M645" i="2"/>
  <c r="L645" i="2"/>
  <c r="K645" i="2"/>
  <c r="J645" i="2"/>
  <c r="I645" i="2"/>
  <c r="H645" i="2"/>
  <c r="G645" i="2"/>
  <c r="F645" i="2"/>
  <c r="E645" i="2"/>
  <c r="D645" i="2"/>
  <c r="C645" i="2"/>
  <c r="B645" i="2"/>
  <c r="A645" i="2"/>
  <c r="AD644" i="2"/>
  <c r="AC644" i="2"/>
  <c r="AB644" i="2"/>
  <c r="AA644" i="2"/>
  <c r="Z644" i="2"/>
  <c r="Y644" i="2"/>
  <c r="X644" i="2"/>
  <c r="W644" i="2"/>
  <c r="V644" i="2"/>
  <c r="U644" i="2"/>
  <c r="T644" i="2"/>
  <c r="S644" i="2"/>
  <c r="R644" i="2"/>
  <c r="Q644" i="2"/>
  <c r="P644" i="2"/>
  <c r="O644" i="2"/>
  <c r="N644" i="2"/>
  <c r="M644" i="2"/>
  <c r="L644" i="2"/>
  <c r="K644" i="2"/>
  <c r="J644" i="2"/>
  <c r="I644" i="2"/>
  <c r="H644" i="2"/>
  <c r="G644" i="2"/>
  <c r="F644" i="2"/>
  <c r="E644" i="2"/>
  <c r="D644" i="2"/>
  <c r="C644" i="2"/>
  <c r="B644" i="2"/>
  <c r="A644" i="2"/>
  <c r="AD643" i="2"/>
  <c r="AC643" i="2"/>
  <c r="AB643" i="2"/>
  <c r="AA643" i="2"/>
  <c r="Z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D642" i="2"/>
  <c r="AC642" i="2"/>
  <c r="AB642" i="2"/>
  <c r="AA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D641" i="2"/>
  <c r="AC641" i="2"/>
  <c r="AB641" i="2"/>
  <c r="AA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D640" i="2"/>
  <c r="AC640" i="2"/>
  <c r="AB640" i="2"/>
  <c r="AA640" i="2"/>
  <c r="Z640" i="2"/>
  <c r="Y640" i="2"/>
  <c r="X640" i="2"/>
  <c r="W640" i="2"/>
  <c r="V640" i="2"/>
  <c r="U640" i="2"/>
  <c r="T640" i="2"/>
  <c r="S640" i="2"/>
  <c r="R640" i="2"/>
  <c r="Q640" i="2"/>
  <c r="P640" i="2"/>
  <c r="O640" i="2"/>
  <c r="N640" i="2"/>
  <c r="M640" i="2"/>
  <c r="L640" i="2"/>
  <c r="K640" i="2"/>
  <c r="J640" i="2"/>
  <c r="I640" i="2"/>
  <c r="H640" i="2"/>
  <c r="G640" i="2"/>
  <c r="F640" i="2"/>
  <c r="E640" i="2"/>
  <c r="D640" i="2"/>
  <c r="C640" i="2"/>
  <c r="B640" i="2"/>
  <c r="A640" i="2"/>
  <c r="AD639" i="2"/>
  <c r="AC639" i="2"/>
  <c r="AB639" i="2"/>
  <c r="AA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D638" i="2"/>
  <c r="AC638" i="2"/>
  <c r="AB638" i="2"/>
  <c r="AA638" i="2"/>
  <c r="Z638" i="2"/>
  <c r="Y638" i="2"/>
  <c r="X638" i="2"/>
  <c r="W638" i="2"/>
  <c r="V638" i="2"/>
  <c r="U638" i="2"/>
  <c r="T638" i="2"/>
  <c r="S638" i="2"/>
  <c r="R638" i="2"/>
  <c r="Q638" i="2"/>
  <c r="P638" i="2"/>
  <c r="O638" i="2"/>
  <c r="N638" i="2"/>
  <c r="M638" i="2"/>
  <c r="L638" i="2"/>
  <c r="K638" i="2"/>
  <c r="J638" i="2"/>
  <c r="I638" i="2"/>
  <c r="H638" i="2"/>
  <c r="G638" i="2"/>
  <c r="F638" i="2"/>
  <c r="E638" i="2"/>
  <c r="D638" i="2"/>
  <c r="C638" i="2"/>
  <c r="B638" i="2"/>
  <c r="A638" i="2"/>
  <c r="AD637" i="2"/>
  <c r="AC637" i="2"/>
  <c r="AB637" i="2"/>
  <c r="AA637" i="2"/>
  <c r="Z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D636" i="2"/>
  <c r="AC636" i="2"/>
  <c r="AB636" i="2"/>
  <c r="AA636" i="2"/>
  <c r="Z636" i="2"/>
  <c r="Y636" i="2"/>
  <c r="X636" i="2"/>
  <c r="W636" i="2"/>
  <c r="V636" i="2"/>
  <c r="U636" i="2"/>
  <c r="T636" i="2"/>
  <c r="S636" i="2"/>
  <c r="R636" i="2"/>
  <c r="Q636" i="2"/>
  <c r="P636" i="2"/>
  <c r="O636" i="2"/>
  <c r="N636" i="2"/>
  <c r="M636" i="2"/>
  <c r="L636" i="2"/>
  <c r="K636" i="2"/>
  <c r="J636" i="2"/>
  <c r="I636" i="2"/>
  <c r="H636" i="2"/>
  <c r="G636" i="2"/>
  <c r="F636" i="2"/>
  <c r="E636" i="2"/>
  <c r="D636" i="2"/>
  <c r="C636" i="2"/>
  <c r="B636" i="2"/>
  <c r="A636" i="2"/>
  <c r="AD635" i="2"/>
  <c r="AC635" i="2"/>
  <c r="AB635" i="2"/>
  <c r="AA635" i="2"/>
  <c r="Z635" i="2"/>
  <c r="Y635" i="2"/>
  <c r="X635" i="2"/>
  <c r="W635" i="2"/>
  <c r="V635" i="2"/>
  <c r="U635" i="2"/>
  <c r="T635" i="2"/>
  <c r="S635" i="2"/>
  <c r="R635" i="2"/>
  <c r="Q635" i="2"/>
  <c r="P635" i="2"/>
  <c r="O635" i="2"/>
  <c r="N635" i="2"/>
  <c r="M635" i="2"/>
  <c r="L635" i="2"/>
  <c r="K635" i="2"/>
  <c r="J635" i="2"/>
  <c r="I635" i="2"/>
  <c r="H635" i="2"/>
  <c r="G635" i="2"/>
  <c r="F635" i="2"/>
  <c r="E635" i="2"/>
  <c r="D635" i="2"/>
  <c r="C635" i="2"/>
  <c r="B635" i="2"/>
  <c r="A635" i="2"/>
  <c r="AD634" i="2"/>
  <c r="AC634"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D633" i="2"/>
  <c r="AC633" i="2"/>
  <c r="AB633" i="2"/>
  <c r="AA633" i="2"/>
  <c r="Z633" i="2"/>
  <c r="Y633" i="2"/>
  <c r="X633" i="2"/>
  <c r="W633" i="2"/>
  <c r="V633" i="2"/>
  <c r="U633" i="2"/>
  <c r="T633" i="2"/>
  <c r="S633" i="2"/>
  <c r="R633" i="2"/>
  <c r="Q633" i="2"/>
  <c r="P633" i="2"/>
  <c r="O633" i="2"/>
  <c r="N633" i="2"/>
  <c r="M633" i="2"/>
  <c r="L633" i="2"/>
  <c r="K633" i="2"/>
  <c r="J633" i="2"/>
  <c r="I633" i="2"/>
  <c r="H633" i="2"/>
  <c r="G633" i="2"/>
  <c r="F633" i="2"/>
  <c r="E633" i="2"/>
  <c r="D633" i="2"/>
  <c r="C633" i="2"/>
  <c r="B633" i="2"/>
  <c r="A633" i="2"/>
  <c r="AD632" i="2"/>
  <c r="AC632"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D631" i="2"/>
  <c r="AC631" i="2"/>
  <c r="AB631" i="2"/>
  <c r="AA631" i="2"/>
  <c r="Z631" i="2"/>
  <c r="Y631" i="2"/>
  <c r="X631" i="2"/>
  <c r="W631" i="2"/>
  <c r="V631" i="2"/>
  <c r="U631" i="2"/>
  <c r="T631" i="2"/>
  <c r="S631" i="2"/>
  <c r="R631" i="2"/>
  <c r="Q631" i="2"/>
  <c r="P631" i="2"/>
  <c r="O631" i="2"/>
  <c r="N631" i="2"/>
  <c r="M631" i="2"/>
  <c r="L631" i="2"/>
  <c r="K631" i="2"/>
  <c r="J631" i="2"/>
  <c r="I631" i="2"/>
  <c r="H631" i="2"/>
  <c r="G631" i="2"/>
  <c r="F631" i="2"/>
  <c r="E631" i="2"/>
  <c r="D631" i="2"/>
  <c r="C631" i="2"/>
  <c r="B631" i="2"/>
  <c r="A631" i="2"/>
  <c r="AD630" i="2"/>
  <c r="AC630" i="2"/>
  <c r="AB630" i="2"/>
  <c r="AA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D629" i="2"/>
  <c r="AC629" i="2"/>
  <c r="AB629" i="2"/>
  <c r="AA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D628" i="2"/>
  <c r="AC628" i="2"/>
  <c r="AB628" i="2"/>
  <c r="AA628" i="2"/>
  <c r="Z628" i="2"/>
  <c r="Y628" i="2"/>
  <c r="X628" i="2"/>
  <c r="W628" i="2"/>
  <c r="V628" i="2"/>
  <c r="U628" i="2"/>
  <c r="T628" i="2"/>
  <c r="S628" i="2"/>
  <c r="R628" i="2"/>
  <c r="Q628" i="2"/>
  <c r="P628" i="2"/>
  <c r="O628" i="2"/>
  <c r="N628" i="2"/>
  <c r="M628" i="2"/>
  <c r="L628" i="2"/>
  <c r="K628" i="2"/>
  <c r="J628" i="2"/>
  <c r="I628" i="2"/>
  <c r="H628" i="2"/>
  <c r="G628" i="2"/>
  <c r="F628" i="2"/>
  <c r="E628" i="2"/>
  <c r="D628" i="2"/>
  <c r="C628" i="2"/>
  <c r="B628" i="2"/>
  <c r="A628" i="2"/>
  <c r="AD627" i="2"/>
  <c r="AC627" i="2"/>
  <c r="AB627" i="2"/>
  <c r="AA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D626" i="2"/>
  <c r="AC626"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D625" i="2"/>
  <c r="AC625" i="2"/>
  <c r="AB625" i="2"/>
  <c r="AA625" i="2"/>
  <c r="Z625" i="2"/>
  <c r="Y625" i="2"/>
  <c r="X625" i="2"/>
  <c r="W625" i="2"/>
  <c r="V625" i="2"/>
  <c r="U625" i="2"/>
  <c r="T625" i="2"/>
  <c r="S625" i="2"/>
  <c r="R625" i="2"/>
  <c r="Q625" i="2"/>
  <c r="P625" i="2"/>
  <c r="O625" i="2"/>
  <c r="N625" i="2"/>
  <c r="M625" i="2"/>
  <c r="L625" i="2"/>
  <c r="K625" i="2"/>
  <c r="J625" i="2"/>
  <c r="I625" i="2"/>
  <c r="H625" i="2"/>
  <c r="G625" i="2"/>
  <c r="F625" i="2"/>
  <c r="E625" i="2"/>
  <c r="D625" i="2"/>
  <c r="C625" i="2"/>
  <c r="B625" i="2"/>
  <c r="A625" i="2"/>
  <c r="AD624" i="2"/>
  <c r="AC624"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D623" i="2"/>
  <c r="AC623" i="2"/>
  <c r="AB623" i="2"/>
  <c r="AA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D622" i="2"/>
  <c r="AC622" i="2"/>
  <c r="AB622" i="2"/>
  <c r="AA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D621" i="2"/>
  <c r="AC621" i="2"/>
  <c r="AB621" i="2"/>
  <c r="AA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D620" i="2"/>
  <c r="AC620" i="2"/>
  <c r="AB620" i="2"/>
  <c r="AA620" i="2"/>
  <c r="Z620" i="2"/>
  <c r="Y620" i="2"/>
  <c r="X620" i="2"/>
  <c r="W620" i="2"/>
  <c r="V620" i="2"/>
  <c r="U620" i="2"/>
  <c r="T620" i="2"/>
  <c r="S620" i="2"/>
  <c r="R620" i="2"/>
  <c r="Q620" i="2"/>
  <c r="P620" i="2"/>
  <c r="O620" i="2"/>
  <c r="N620" i="2"/>
  <c r="M620" i="2"/>
  <c r="L620" i="2"/>
  <c r="K620" i="2"/>
  <c r="J620" i="2"/>
  <c r="I620" i="2"/>
  <c r="H620" i="2"/>
  <c r="G620" i="2"/>
  <c r="F620" i="2"/>
  <c r="E620" i="2"/>
  <c r="D620" i="2"/>
  <c r="C620" i="2"/>
  <c r="B620" i="2"/>
  <c r="A620" i="2"/>
  <c r="AD619" i="2"/>
  <c r="AC619" i="2"/>
  <c r="AB619" i="2"/>
  <c r="AA619" i="2"/>
  <c r="Z619" i="2"/>
  <c r="Y619" i="2"/>
  <c r="X619" i="2"/>
  <c r="W619" i="2"/>
  <c r="V619" i="2"/>
  <c r="U619" i="2"/>
  <c r="T619" i="2"/>
  <c r="S619" i="2"/>
  <c r="R619" i="2"/>
  <c r="Q619" i="2"/>
  <c r="P619" i="2"/>
  <c r="O619" i="2"/>
  <c r="N619" i="2"/>
  <c r="M619" i="2"/>
  <c r="L619" i="2"/>
  <c r="K619" i="2"/>
  <c r="J619" i="2"/>
  <c r="I619" i="2"/>
  <c r="H619" i="2"/>
  <c r="G619" i="2"/>
  <c r="F619" i="2"/>
  <c r="E619" i="2"/>
  <c r="D619" i="2"/>
  <c r="C619" i="2"/>
  <c r="B619" i="2"/>
  <c r="A619" i="2"/>
  <c r="AD618" i="2"/>
  <c r="AC618" i="2"/>
  <c r="AB618" i="2"/>
  <c r="AA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D617" i="2"/>
  <c r="AC617" i="2"/>
  <c r="AB617" i="2"/>
  <c r="AA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D616" i="2"/>
  <c r="AC616" i="2"/>
  <c r="AB616" i="2"/>
  <c r="AA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D615" i="2"/>
  <c r="AC615"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D614" i="2"/>
  <c r="AC614" i="2"/>
  <c r="AB614" i="2"/>
  <c r="AA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D613" i="2"/>
  <c r="AC613" i="2"/>
  <c r="AB613" i="2"/>
  <c r="AA613" i="2"/>
  <c r="Z613" i="2"/>
  <c r="Y613" i="2"/>
  <c r="X613" i="2"/>
  <c r="W613" i="2"/>
  <c r="V613" i="2"/>
  <c r="U613" i="2"/>
  <c r="T613" i="2"/>
  <c r="S613" i="2"/>
  <c r="R613" i="2"/>
  <c r="Q613" i="2"/>
  <c r="P613" i="2"/>
  <c r="O613" i="2"/>
  <c r="N613" i="2"/>
  <c r="M613" i="2"/>
  <c r="L613" i="2"/>
  <c r="K613" i="2"/>
  <c r="J613" i="2"/>
  <c r="I613" i="2"/>
  <c r="H613" i="2"/>
  <c r="G613" i="2"/>
  <c r="F613" i="2"/>
  <c r="E613" i="2"/>
  <c r="D613" i="2"/>
  <c r="C613" i="2"/>
  <c r="B613" i="2"/>
  <c r="A613" i="2"/>
  <c r="AD612" i="2"/>
  <c r="AC612"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D611" i="2"/>
  <c r="AC611" i="2"/>
  <c r="AB611" i="2"/>
  <c r="AA611" i="2"/>
  <c r="Z611" i="2"/>
  <c r="Y611" i="2"/>
  <c r="X611" i="2"/>
  <c r="W611" i="2"/>
  <c r="V611" i="2"/>
  <c r="U611" i="2"/>
  <c r="T611" i="2"/>
  <c r="S611" i="2"/>
  <c r="R611" i="2"/>
  <c r="Q611" i="2"/>
  <c r="P611" i="2"/>
  <c r="O611" i="2"/>
  <c r="N611" i="2"/>
  <c r="M611" i="2"/>
  <c r="L611" i="2"/>
  <c r="K611" i="2"/>
  <c r="J611" i="2"/>
  <c r="I611" i="2"/>
  <c r="H611" i="2"/>
  <c r="G611" i="2"/>
  <c r="F611" i="2"/>
  <c r="E611" i="2"/>
  <c r="D611" i="2"/>
  <c r="C611" i="2"/>
  <c r="B611" i="2"/>
  <c r="A611" i="2"/>
  <c r="AD610" i="2"/>
  <c r="AC610"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D609" i="2"/>
  <c r="AC609"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D608" i="2"/>
  <c r="AC608"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D607" i="2"/>
  <c r="AC607"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D606" i="2"/>
  <c r="AC606" i="2"/>
  <c r="AB606" i="2"/>
  <c r="AA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D605" i="2"/>
  <c r="AC605" i="2"/>
  <c r="AB605" i="2"/>
  <c r="AA605" i="2"/>
  <c r="Z605" i="2"/>
  <c r="Y605" i="2"/>
  <c r="X605" i="2"/>
  <c r="W605" i="2"/>
  <c r="V605" i="2"/>
  <c r="U605" i="2"/>
  <c r="T605" i="2"/>
  <c r="S605" i="2"/>
  <c r="R605" i="2"/>
  <c r="Q605" i="2"/>
  <c r="P605" i="2"/>
  <c r="O605" i="2"/>
  <c r="N605" i="2"/>
  <c r="M605" i="2"/>
  <c r="L605" i="2"/>
  <c r="K605" i="2"/>
  <c r="J605" i="2"/>
  <c r="I605" i="2"/>
  <c r="H605" i="2"/>
  <c r="G605" i="2"/>
  <c r="F605" i="2"/>
  <c r="E605" i="2"/>
  <c r="D605" i="2"/>
  <c r="C605" i="2"/>
  <c r="B605" i="2"/>
  <c r="A605" i="2"/>
  <c r="AD604" i="2"/>
  <c r="AC604" i="2"/>
  <c r="AB604" i="2"/>
  <c r="AA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D603" i="2"/>
  <c r="AC603" i="2"/>
  <c r="AB603" i="2"/>
  <c r="AA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D602" i="2"/>
  <c r="AC602" i="2"/>
  <c r="AB602" i="2"/>
  <c r="AA602" i="2"/>
  <c r="Z602" i="2"/>
  <c r="Y602" i="2"/>
  <c r="X602" i="2"/>
  <c r="W602" i="2"/>
  <c r="V602" i="2"/>
  <c r="U602" i="2"/>
  <c r="T602" i="2"/>
  <c r="S602" i="2"/>
  <c r="R602" i="2"/>
  <c r="Q602" i="2"/>
  <c r="P602" i="2"/>
  <c r="O602" i="2"/>
  <c r="N602" i="2"/>
  <c r="M602" i="2"/>
  <c r="L602" i="2"/>
  <c r="K602" i="2"/>
  <c r="J602" i="2"/>
  <c r="I602" i="2"/>
  <c r="H602" i="2"/>
  <c r="G602" i="2"/>
  <c r="F602" i="2"/>
  <c r="E602" i="2"/>
  <c r="D602" i="2"/>
  <c r="C602" i="2"/>
  <c r="B602" i="2"/>
  <c r="A602" i="2"/>
  <c r="AD601" i="2"/>
  <c r="AC601"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D600" i="2"/>
  <c r="AC600"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D599" i="2"/>
  <c r="AC599"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D598" i="2"/>
  <c r="AC598" i="2"/>
  <c r="AB598" i="2"/>
  <c r="AA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D597" i="2"/>
  <c r="AC597" i="2"/>
  <c r="AB597" i="2"/>
  <c r="AA597" i="2"/>
  <c r="Z597" i="2"/>
  <c r="Y597" i="2"/>
  <c r="X597" i="2"/>
  <c r="W597" i="2"/>
  <c r="V597" i="2"/>
  <c r="U597" i="2"/>
  <c r="T597" i="2"/>
  <c r="S597" i="2"/>
  <c r="R597" i="2"/>
  <c r="Q597" i="2"/>
  <c r="P597" i="2"/>
  <c r="O597" i="2"/>
  <c r="N597" i="2"/>
  <c r="M597" i="2"/>
  <c r="L597" i="2"/>
  <c r="K597" i="2"/>
  <c r="J597" i="2"/>
  <c r="I597" i="2"/>
  <c r="H597" i="2"/>
  <c r="G597" i="2"/>
  <c r="F597" i="2"/>
  <c r="E597" i="2"/>
  <c r="D597" i="2"/>
  <c r="C597" i="2"/>
  <c r="B597" i="2"/>
  <c r="A597" i="2"/>
  <c r="AD596" i="2"/>
  <c r="AC596" i="2"/>
  <c r="AB596" i="2"/>
  <c r="AA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D595" i="2"/>
  <c r="AC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D594" i="2"/>
  <c r="AC594" i="2"/>
  <c r="AB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D593" i="2"/>
  <c r="AC593" i="2"/>
  <c r="AB593" i="2"/>
  <c r="AA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D592" i="2"/>
  <c r="AC592"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D591" i="2"/>
  <c r="AC591" i="2"/>
  <c r="AB591" i="2"/>
  <c r="AA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D590" i="2"/>
  <c r="AC590"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D589" i="2"/>
  <c r="AC589" i="2"/>
  <c r="AB589" i="2"/>
  <c r="AA589" i="2"/>
  <c r="Z589" i="2"/>
  <c r="Y589" i="2"/>
  <c r="X589" i="2"/>
  <c r="W589" i="2"/>
  <c r="V589" i="2"/>
  <c r="U589" i="2"/>
  <c r="T589" i="2"/>
  <c r="S589" i="2"/>
  <c r="R589" i="2"/>
  <c r="Q589" i="2"/>
  <c r="P589" i="2"/>
  <c r="O589" i="2"/>
  <c r="N589" i="2"/>
  <c r="M589" i="2"/>
  <c r="L589" i="2"/>
  <c r="K589" i="2"/>
  <c r="J589" i="2"/>
  <c r="I589" i="2"/>
  <c r="H589" i="2"/>
  <c r="G589" i="2"/>
  <c r="F589" i="2"/>
  <c r="E589" i="2"/>
  <c r="D589" i="2"/>
  <c r="C589" i="2"/>
  <c r="B589" i="2"/>
  <c r="A589" i="2"/>
  <c r="AD588" i="2"/>
  <c r="AC588" i="2"/>
  <c r="AB588" i="2"/>
  <c r="AA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D587" i="2"/>
  <c r="AC587" i="2"/>
  <c r="AB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D586" i="2"/>
  <c r="AC586" i="2"/>
  <c r="AB586" i="2"/>
  <c r="AA586" i="2"/>
  <c r="Z586" i="2"/>
  <c r="Y586" i="2"/>
  <c r="X586" i="2"/>
  <c r="W586" i="2"/>
  <c r="V586" i="2"/>
  <c r="U586" i="2"/>
  <c r="T586" i="2"/>
  <c r="S586" i="2"/>
  <c r="R586" i="2"/>
  <c r="Q586" i="2"/>
  <c r="P586" i="2"/>
  <c r="O586" i="2"/>
  <c r="N586" i="2"/>
  <c r="M586" i="2"/>
  <c r="L586" i="2"/>
  <c r="K586" i="2"/>
  <c r="J586" i="2"/>
  <c r="I586" i="2"/>
  <c r="H586" i="2"/>
  <c r="G586" i="2"/>
  <c r="F586" i="2"/>
  <c r="E586" i="2"/>
  <c r="D586" i="2"/>
  <c r="C586" i="2"/>
  <c r="B586" i="2"/>
  <c r="A586" i="2"/>
  <c r="AD585" i="2"/>
  <c r="AC585"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D584" i="2"/>
  <c r="AC584" i="2"/>
  <c r="AB584" i="2"/>
  <c r="AA584" i="2"/>
  <c r="Z584" i="2"/>
  <c r="Y584" i="2"/>
  <c r="X584" i="2"/>
  <c r="W584" i="2"/>
  <c r="V584" i="2"/>
  <c r="U584" i="2"/>
  <c r="T584" i="2"/>
  <c r="S584" i="2"/>
  <c r="R584" i="2"/>
  <c r="Q584" i="2"/>
  <c r="P584" i="2"/>
  <c r="O584" i="2"/>
  <c r="N584" i="2"/>
  <c r="M584" i="2"/>
  <c r="L584" i="2"/>
  <c r="K584" i="2"/>
  <c r="J584" i="2"/>
  <c r="I584" i="2"/>
  <c r="H584" i="2"/>
  <c r="G584" i="2"/>
  <c r="F584" i="2"/>
  <c r="E584" i="2"/>
  <c r="D584" i="2"/>
  <c r="C584" i="2"/>
  <c r="B584" i="2"/>
  <c r="A584" i="2"/>
  <c r="AD583" i="2"/>
  <c r="AC583" i="2"/>
  <c r="AB583" i="2"/>
  <c r="AA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D582" i="2"/>
  <c r="AC582" i="2"/>
  <c r="AB582" i="2"/>
  <c r="AA582" i="2"/>
  <c r="Z582" i="2"/>
  <c r="Y582" i="2"/>
  <c r="X582" i="2"/>
  <c r="W582" i="2"/>
  <c r="V582" i="2"/>
  <c r="U582" i="2"/>
  <c r="T582" i="2"/>
  <c r="S582" i="2"/>
  <c r="R582" i="2"/>
  <c r="Q582" i="2"/>
  <c r="P582" i="2"/>
  <c r="O582" i="2"/>
  <c r="N582" i="2"/>
  <c r="M582" i="2"/>
  <c r="L582" i="2"/>
  <c r="K582" i="2"/>
  <c r="J582" i="2"/>
  <c r="I582" i="2"/>
  <c r="H582" i="2"/>
  <c r="G582" i="2"/>
  <c r="F582" i="2"/>
  <c r="E582" i="2"/>
  <c r="D582" i="2"/>
  <c r="C582" i="2"/>
  <c r="B582" i="2"/>
  <c r="A582" i="2"/>
  <c r="AD581" i="2"/>
  <c r="AC581" i="2"/>
  <c r="AB581" i="2"/>
  <c r="AA581" i="2"/>
  <c r="Z581" i="2"/>
  <c r="Y581" i="2"/>
  <c r="X581" i="2"/>
  <c r="W581" i="2"/>
  <c r="V581" i="2"/>
  <c r="U581" i="2"/>
  <c r="T581" i="2"/>
  <c r="S581" i="2"/>
  <c r="R581" i="2"/>
  <c r="Q581" i="2"/>
  <c r="P581" i="2"/>
  <c r="O581" i="2"/>
  <c r="N581" i="2"/>
  <c r="M581" i="2"/>
  <c r="L581" i="2"/>
  <c r="K581" i="2"/>
  <c r="J581" i="2"/>
  <c r="I581" i="2"/>
  <c r="H581" i="2"/>
  <c r="G581" i="2"/>
  <c r="F581" i="2"/>
  <c r="E581" i="2"/>
  <c r="D581" i="2"/>
  <c r="C581" i="2"/>
  <c r="B581" i="2"/>
  <c r="A581" i="2"/>
  <c r="AD580" i="2"/>
  <c r="AC580" i="2"/>
  <c r="AB580" i="2"/>
  <c r="AA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D579" i="2"/>
  <c r="AC579" i="2"/>
  <c r="AB579" i="2"/>
  <c r="AA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D578" i="2"/>
  <c r="AC578" i="2"/>
  <c r="AB578" i="2"/>
  <c r="AA578" i="2"/>
  <c r="Z578" i="2"/>
  <c r="Y578" i="2"/>
  <c r="X578" i="2"/>
  <c r="W578" i="2"/>
  <c r="V578" i="2"/>
  <c r="U578" i="2"/>
  <c r="T578" i="2"/>
  <c r="S578" i="2"/>
  <c r="R578" i="2"/>
  <c r="Q578" i="2"/>
  <c r="P578" i="2"/>
  <c r="O578" i="2"/>
  <c r="N578" i="2"/>
  <c r="M578" i="2"/>
  <c r="L578" i="2"/>
  <c r="K578" i="2"/>
  <c r="J578" i="2"/>
  <c r="I578" i="2"/>
  <c r="H578" i="2"/>
  <c r="G578" i="2"/>
  <c r="F578" i="2"/>
  <c r="E578" i="2"/>
  <c r="D578" i="2"/>
  <c r="C578" i="2"/>
  <c r="B578" i="2"/>
  <c r="A578" i="2"/>
  <c r="AD577" i="2"/>
  <c r="AC577" i="2"/>
  <c r="AB577" i="2"/>
  <c r="AA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D576" i="2"/>
  <c r="AC576" i="2"/>
  <c r="AB576" i="2"/>
  <c r="AA576" i="2"/>
  <c r="Z576" i="2"/>
  <c r="Y576" i="2"/>
  <c r="X576" i="2"/>
  <c r="W576" i="2"/>
  <c r="V576" i="2"/>
  <c r="U576" i="2"/>
  <c r="T576" i="2"/>
  <c r="S576" i="2"/>
  <c r="R576" i="2"/>
  <c r="Q576" i="2"/>
  <c r="P576" i="2"/>
  <c r="O576" i="2"/>
  <c r="N576" i="2"/>
  <c r="M576" i="2"/>
  <c r="L576" i="2"/>
  <c r="K576" i="2"/>
  <c r="J576" i="2"/>
  <c r="I576" i="2"/>
  <c r="H576" i="2"/>
  <c r="G576" i="2"/>
  <c r="F576" i="2"/>
  <c r="E576" i="2"/>
  <c r="D576" i="2"/>
  <c r="C576" i="2"/>
  <c r="B576" i="2"/>
  <c r="A576" i="2"/>
  <c r="AD575" i="2"/>
  <c r="AC575"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D574" i="2"/>
  <c r="AC574" i="2"/>
  <c r="AB574" i="2"/>
  <c r="AA574" i="2"/>
  <c r="Z574" i="2"/>
  <c r="Y574" i="2"/>
  <c r="X574" i="2"/>
  <c r="W574" i="2"/>
  <c r="V574" i="2"/>
  <c r="U574" i="2"/>
  <c r="T574" i="2"/>
  <c r="S574" i="2"/>
  <c r="R574" i="2"/>
  <c r="Q574" i="2"/>
  <c r="P574" i="2"/>
  <c r="O574" i="2"/>
  <c r="N574" i="2"/>
  <c r="M574" i="2"/>
  <c r="L574" i="2"/>
  <c r="K574" i="2"/>
  <c r="J574" i="2"/>
  <c r="I574" i="2"/>
  <c r="H574" i="2"/>
  <c r="G574" i="2"/>
  <c r="F574" i="2"/>
  <c r="E574" i="2"/>
  <c r="D574" i="2"/>
  <c r="C574" i="2"/>
  <c r="B574" i="2"/>
  <c r="A574" i="2"/>
  <c r="AD573" i="2"/>
  <c r="AC573" i="2"/>
  <c r="AB573" i="2"/>
  <c r="AA573" i="2"/>
  <c r="Z573" i="2"/>
  <c r="Y573" i="2"/>
  <c r="X573" i="2"/>
  <c r="W573" i="2"/>
  <c r="V573" i="2"/>
  <c r="U573" i="2"/>
  <c r="T573" i="2"/>
  <c r="S573" i="2"/>
  <c r="R573" i="2"/>
  <c r="Q573" i="2"/>
  <c r="P573" i="2"/>
  <c r="O573" i="2"/>
  <c r="N573" i="2"/>
  <c r="M573" i="2"/>
  <c r="L573" i="2"/>
  <c r="K573" i="2"/>
  <c r="J573" i="2"/>
  <c r="I573" i="2"/>
  <c r="H573" i="2"/>
  <c r="G573" i="2"/>
  <c r="F573" i="2"/>
  <c r="E573" i="2"/>
  <c r="D573" i="2"/>
  <c r="C573" i="2"/>
  <c r="B573" i="2"/>
  <c r="A573" i="2"/>
  <c r="AD572" i="2"/>
  <c r="AC572" i="2"/>
  <c r="AB572" i="2"/>
  <c r="AA572" i="2"/>
  <c r="Z572" i="2"/>
  <c r="Y572" i="2"/>
  <c r="X572" i="2"/>
  <c r="W572" i="2"/>
  <c r="V572" i="2"/>
  <c r="U572" i="2"/>
  <c r="T572" i="2"/>
  <c r="S572" i="2"/>
  <c r="R572" i="2"/>
  <c r="Q572" i="2"/>
  <c r="P572" i="2"/>
  <c r="O572" i="2"/>
  <c r="N572" i="2"/>
  <c r="M572" i="2"/>
  <c r="L572" i="2"/>
  <c r="K572" i="2"/>
  <c r="J572" i="2"/>
  <c r="I572" i="2"/>
  <c r="H572" i="2"/>
  <c r="G572" i="2"/>
  <c r="F572" i="2"/>
  <c r="E572" i="2"/>
  <c r="D572" i="2"/>
  <c r="C572" i="2"/>
  <c r="B572" i="2"/>
  <c r="A572" i="2"/>
  <c r="AD571" i="2"/>
  <c r="AC571" i="2"/>
  <c r="AB571" i="2"/>
  <c r="AA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D570" i="2"/>
  <c r="AC570"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D569" i="2"/>
  <c r="AC569" i="2"/>
  <c r="AB569" i="2"/>
  <c r="AA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D568" i="2"/>
  <c r="AC568" i="2"/>
  <c r="AB568" i="2"/>
  <c r="AA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D567" i="2"/>
  <c r="AC567" i="2"/>
  <c r="AB567" i="2"/>
  <c r="AA567" i="2"/>
  <c r="Z567" i="2"/>
  <c r="Y567" i="2"/>
  <c r="X567" i="2"/>
  <c r="W567" i="2"/>
  <c r="V567" i="2"/>
  <c r="U567" i="2"/>
  <c r="T567" i="2"/>
  <c r="S567" i="2"/>
  <c r="R567" i="2"/>
  <c r="Q567" i="2"/>
  <c r="P567" i="2"/>
  <c r="O567" i="2"/>
  <c r="N567" i="2"/>
  <c r="M567" i="2"/>
  <c r="L567" i="2"/>
  <c r="K567" i="2"/>
  <c r="J567" i="2"/>
  <c r="I567" i="2"/>
  <c r="H567" i="2"/>
  <c r="G567" i="2"/>
  <c r="F567" i="2"/>
  <c r="E567" i="2"/>
  <c r="D567" i="2"/>
  <c r="C567" i="2"/>
  <c r="B567" i="2"/>
  <c r="A567" i="2"/>
  <c r="AD566" i="2"/>
  <c r="AC566" i="2"/>
  <c r="AB566" i="2"/>
  <c r="AA566" i="2"/>
  <c r="Z566" i="2"/>
  <c r="Y566" i="2"/>
  <c r="X566" i="2"/>
  <c r="W566" i="2"/>
  <c r="V566" i="2"/>
  <c r="U566" i="2"/>
  <c r="T566" i="2"/>
  <c r="S566" i="2"/>
  <c r="R566" i="2"/>
  <c r="Q566" i="2"/>
  <c r="P566" i="2"/>
  <c r="O566" i="2"/>
  <c r="N566" i="2"/>
  <c r="M566" i="2"/>
  <c r="L566" i="2"/>
  <c r="K566" i="2"/>
  <c r="J566" i="2"/>
  <c r="I566" i="2"/>
  <c r="H566" i="2"/>
  <c r="G566" i="2"/>
  <c r="F566" i="2"/>
  <c r="E566" i="2"/>
  <c r="D566" i="2"/>
  <c r="C566" i="2"/>
  <c r="B566" i="2"/>
  <c r="A566" i="2"/>
  <c r="AD565" i="2"/>
  <c r="AC565"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D564" i="2"/>
  <c r="AC564" i="2"/>
  <c r="AB564" i="2"/>
  <c r="AA564" i="2"/>
  <c r="Z564" i="2"/>
  <c r="Y564" i="2"/>
  <c r="X564" i="2"/>
  <c r="W564" i="2"/>
  <c r="V564" i="2"/>
  <c r="U564" i="2"/>
  <c r="T564" i="2"/>
  <c r="S564" i="2"/>
  <c r="R564" i="2"/>
  <c r="Q564" i="2"/>
  <c r="P564" i="2"/>
  <c r="O564" i="2"/>
  <c r="N564" i="2"/>
  <c r="M564" i="2"/>
  <c r="L564" i="2"/>
  <c r="K564" i="2"/>
  <c r="J564" i="2"/>
  <c r="I564" i="2"/>
  <c r="H564" i="2"/>
  <c r="G564" i="2"/>
  <c r="F564" i="2"/>
  <c r="E564" i="2"/>
  <c r="D564" i="2"/>
  <c r="C564" i="2"/>
  <c r="B564" i="2"/>
  <c r="A564" i="2"/>
  <c r="AD563" i="2"/>
  <c r="AC563" i="2"/>
  <c r="AB563" i="2"/>
  <c r="AA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D562" i="2"/>
  <c r="AC562" i="2"/>
  <c r="AB562" i="2"/>
  <c r="AA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D561" i="2"/>
  <c r="AC561" i="2"/>
  <c r="AB561" i="2"/>
  <c r="AA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D560" i="2"/>
  <c r="AC560" i="2"/>
  <c r="AB560" i="2"/>
  <c r="AA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D559" i="2"/>
  <c r="AC559" i="2"/>
  <c r="AB559" i="2"/>
  <c r="AA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D558" i="2"/>
  <c r="AC558" i="2"/>
  <c r="AB558" i="2"/>
  <c r="AA558" i="2"/>
  <c r="Z558" i="2"/>
  <c r="Y558" i="2"/>
  <c r="X558" i="2"/>
  <c r="W558" i="2"/>
  <c r="V558" i="2"/>
  <c r="U558" i="2"/>
  <c r="T558" i="2"/>
  <c r="S558" i="2"/>
  <c r="R558" i="2"/>
  <c r="Q558" i="2"/>
  <c r="P558" i="2"/>
  <c r="O558" i="2"/>
  <c r="N558" i="2"/>
  <c r="M558" i="2"/>
  <c r="L558" i="2"/>
  <c r="K558" i="2"/>
  <c r="J558" i="2"/>
  <c r="I558" i="2"/>
  <c r="H558" i="2"/>
  <c r="G558" i="2"/>
  <c r="F558" i="2"/>
  <c r="E558" i="2"/>
  <c r="D558" i="2"/>
  <c r="C558" i="2"/>
  <c r="B558" i="2"/>
  <c r="A558" i="2"/>
  <c r="AD557" i="2"/>
  <c r="AC557"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D556" i="2"/>
  <c r="AC556"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C556" i="2"/>
  <c r="B556" i="2"/>
  <c r="A556" i="2"/>
  <c r="AD555" i="2"/>
  <c r="AC555"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D554" i="2"/>
  <c r="AC554"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D553" i="2"/>
  <c r="AC553" i="2"/>
  <c r="AB553" i="2"/>
  <c r="AA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D552" i="2"/>
  <c r="AC552" i="2"/>
  <c r="AB552" i="2"/>
  <c r="AA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D551" i="2"/>
  <c r="AC551" i="2"/>
  <c r="AB551" i="2"/>
  <c r="AA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D550" i="2"/>
  <c r="AC550" i="2"/>
  <c r="AB550" i="2"/>
  <c r="AA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D549" i="2"/>
  <c r="AC549"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D548" i="2"/>
  <c r="AC548"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D547" i="2"/>
  <c r="AC547" i="2"/>
  <c r="AB547" i="2"/>
  <c r="AA547" i="2"/>
  <c r="Z547" i="2"/>
  <c r="Y547" i="2"/>
  <c r="X547" i="2"/>
  <c r="W547" i="2"/>
  <c r="V547" i="2"/>
  <c r="U547" i="2"/>
  <c r="T547" i="2"/>
  <c r="S547" i="2"/>
  <c r="R547" i="2"/>
  <c r="Q547" i="2"/>
  <c r="P547" i="2"/>
  <c r="O547" i="2"/>
  <c r="N547" i="2"/>
  <c r="M547" i="2"/>
  <c r="L547" i="2"/>
  <c r="K547" i="2"/>
  <c r="J547" i="2"/>
  <c r="I547" i="2"/>
  <c r="H547" i="2"/>
  <c r="G547" i="2"/>
  <c r="F547" i="2"/>
  <c r="E547" i="2"/>
  <c r="D547" i="2"/>
  <c r="C547" i="2"/>
  <c r="B547" i="2"/>
  <c r="A547" i="2"/>
  <c r="AD546" i="2"/>
  <c r="AC546" i="2"/>
  <c r="AB546" i="2"/>
  <c r="AA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D545" i="2"/>
  <c r="AC545" i="2"/>
  <c r="AB545" i="2"/>
  <c r="AA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D544" i="2"/>
  <c r="AC544"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D543" i="2"/>
  <c r="AC543" i="2"/>
  <c r="AB543" i="2"/>
  <c r="AA543" i="2"/>
  <c r="Z543" i="2"/>
  <c r="Y543" i="2"/>
  <c r="X543" i="2"/>
  <c r="W543" i="2"/>
  <c r="V543" i="2"/>
  <c r="U543" i="2"/>
  <c r="T543" i="2"/>
  <c r="S543" i="2"/>
  <c r="R543" i="2"/>
  <c r="Q543" i="2"/>
  <c r="P543" i="2"/>
  <c r="O543" i="2"/>
  <c r="N543" i="2"/>
  <c r="M543" i="2"/>
  <c r="L543" i="2"/>
  <c r="K543" i="2"/>
  <c r="J543" i="2"/>
  <c r="I543" i="2"/>
  <c r="H543" i="2"/>
  <c r="G543" i="2"/>
  <c r="F543" i="2"/>
  <c r="E543" i="2"/>
  <c r="D543" i="2"/>
  <c r="C543" i="2"/>
  <c r="B543" i="2"/>
  <c r="A543" i="2"/>
  <c r="AD542" i="2"/>
  <c r="AC542" i="2"/>
  <c r="AB542" i="2"/>
  <c r="AA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D541" i="2"/>
  <c r="AC541" i="2"/>
  <c r="AB541" i="2"/>
  <c r="AA541" i="2"/>
  <c r="Z541" i="2"/>
  <c r="Y541" i="2"/>
  <c r="X541" i="2"/>
  <c r="W541" i="2"/>
  <c r="V541" i="2"/>
  <c r="U541" i="2"/>
  <c r="T541" i="2"/>
  <c r="S541" i="2"/>
  <c r="R541" i="2"/>
  <c r="Q541" i="2"/>
  <c r="P541" i="2"/>
  <c r="O541" i="2"/>
  <c r="N541" i="2"/>
  <c r="M541" i="2"/>
  <c r="L541" i="2"/>
  <c r="K541" i="2"/>
  <c r="J541" i="2"/>
  <c r="I541" i="2"/>
  <c r="H541" i="2"/>
  <c r="G541" i="2"/>
  <c r="F541" i="2"/>
  <c r="E541" i="2"/>
  <c r="D541" i="2"/>
  <c r="C541" i="2"/>
  <c r="B541" i="2"/>
  <c r="A541" i="2"/>
  <c r="AD540" i="2"/>
  <c r="AC540" i="2"/>
  <c r="AB540" i="2"/>
  <c r="AA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D539" i="2"/>
  <c r="AC539"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D538" i="2"/>
  <c r="AC538" i="2"/>
  <c r="AB538" i="2"/>
  <c r="AA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D537" i="2"/>
  <c r="AC537" i="2"/>
  <c r="AB537" i="2"/>
  <c r="AA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D536" i="2"/>
  <c r="AC536" i="2"/>
  <c r="AB536" i="2"/>
  <c r="AA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D535" i="2"/>
  <c r="AC535" i="2"/>
  <c r="AB535" i="2"/>
  <c r="AA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D534" i="2"/>
  <c r="AC534"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D533" i="2"/>
  <c r="AC533" i="2"/>
  <c r="AB533" i="2"/>
  <c r="AA533" i="2"/>
  <c r="Z533" i="2"/>
  <c r="Y533" i="2"/>
  <c r="X533" i="2"/>
  <c r="W533" i="2"/>
  <c r="V533" i="2"/>
  <c r="U533" i="2"/>
  <c r="T533" i="2"/>
  <c r="S533" i="2"/>
  <c r="R533" i="2"/>
  <c r="Q533" i="2"/>
  <c r="P533" i="2"/>
  <c r="O533" i="2"/>
  <c r="N533" i="2"/>
  <c r="M533" i="2"/>
  <c r="L533" i="2"/>
  <c r="K533" i="2"/>
  <c r="J533" i="2"/>
  <c r="I533" i="2"/>
  <c r="H533" i="2"/>
  <c r="G533" i="2"/>
  <c r="F533" i="2"/>
  <c r="E533" i="2"/>
  <c r="D533" i="2"/>
  <c r="C533" i="2"/>
  <c r="B533" i="2"/>
  <c r="A533" i="2"/>
  <c r="AD532" i="2"/>
  <c r="AC532" i="2"/>
  <c r="AB532" i="2"/>
  <c r="AA532" i="2"/>
  <c r="Z532" i="2"/>
  <c r="Y532" i="2"/>
  <c r="X532" i="2"/>
  <c r="W532" i="2"/>
  <c r="V532" i="2"/>
  <c r="U532" i="2"/>
  <c r="T532" i="2"/>
  <c r="S532" i="2"/>
  <c r="R532" i="2"/>
  <c r="Q532" i="2"/>
  <c r="P532" i="2"/>
  <c r="O532" i="2"/>
  <c r="N532" i="2"/>
  <c r="M532" i="2"/>
  <c r="L532" i="2"/>
  <c r="K532" i="2"/>
  <c r="J532" i="2"/>
  <c r="I532" i="2"/>
  <c r="H532" i="2"/>
  <c r="G532" i="2"/>
  <c r="F532" i="2"/>
  <c r="E532" i="2"/>
  <c r="D532" i="2"/>
  <c r="C532" i="2"/>
  <c r="B532" i="2"/>
  <c r="A532" i="2"/>
  <c r="AD531" i="2"/>
  <c r="AC531" i="2"/>
  <c r="AB531" i="2"/>
  <c r="AA531" i="2"/>
  <c r="Z531" i="2"/>
  <c r="Y531" i="2"/>
  <c r="X531" i="2"/>
  <c r="W531" i="2"/>
  <c r="V531" i="2"/>
  <c r="U531" i="2"/>
  <c r="T531" i="2"/>
  <c r="S531" i="2"/>
  <c r="R531" i="2"/>
  <c r="Q531" i="2"/>
  <c r="P531" i="2"/>
  <c r="O531" i="2"/>
  <c r="N531" i="2"/>
  <c r="M531" i="2"/>
  <c r="L531" i="2"/>
  <c r="K531" i="2"/>
  <c r="J531" i="2"/>
  <c r="I531" i="2"/>
  <c r="H531" i="2"/>
  <c r="G531" i="2"/>
  <c r="F531" i="2"/>
  <c r="E531" i="2"/>
  <c r="D531" i="2"/>
  <c r="C531" i="2"/>
  <c r="B531" i="2"/>
  <c r="A531" i="2"/>
  <c r="AD530" i="2"/>
  <c r="AC530" i="2"/>
  <c r="AB530" i="2"/>
  <c r="AA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D529" i="2"/>
  <c r="AC529"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D528" i="2"/>
  <c r="AC528" i="2"/>
  <c r="AB528" i="2"/>
  <c r="AA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D527" i="2"/>
  <c r="AC527" i="2"/>
  <c r="AB527" i="2"/>
  <c r="AA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D526" i="2"/>
  <c r="AC526" i="2"/>
  <c r="AB526" i="2"/>
  <c r="AA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D525" i="2"/>
  <c r="AC525" i="2"/>
  <c r="AB525" i="2"/>
  <c r="AA525" i="2"/>
  <c r="Z525" i="2"/>
  <c r="Y525" i="2"/>
  <c r="X525" i="2"/>
  <c r="W525" i="2"/>
  <c r="V525" i="2"/>
  <c r="U525" i="2"/>
  <c r="T525" i="2"/>
  <c r="S525" i="2"/>
  <c r="R525" i="2"/>
  <c r="Q525" i="2"/>
  <c r="P525" i="2"/>
  <c r="O525" i="2"/>
  <c r="N525" i="2"/>
  <c r="M525" i="2"/>
  <c r="L525" i="2"/>
  <c r="K525" i="2"/>
  <c r="J525" i="2"/>
  <c r="I525" i="2"/>
  <c r="H525" i="2"/>
  <c r="G525" i="2"/>
  <c r="F525" i="2"/>
  <c r="E525" i="2"/>
  <c r="D525" i="2"/>
  <c r="C525" i="2"/>
  <c r="B525" i="2"/>
  <c r="A525" i="2"/>
  <c r="AD524" i="2"/>
  <c r="AC524" i="2"/>
  <c r="AB524" i="2"/>
  <c r="AA524" i="2"/>
  <c r="Z524" i="2"/>
  <c r="Y524" i="2"/>
  <c r="X524" i="2"/>
  <c r="W524" i="2"/>
  <c r="V524" i="2"/>
  <c r="U524" i="2"/>
  <c r="T524" i="2"/>
  <c r="S524" i="2"/>
  <c r="R524" i="2"/>
  <c r="Q524" i="2"/>
  <c r="P524" i="2"/>
  <c r="O524" i="2"/>
  <c r="N524" i="2"/>
  <c r="M524" i="2"/>
  <c r="L524" i="2"/>
  <c r="K524" i="2"/>
  <c r="J524" i="2"/>
  <c r="I524" i="2"/>
  <c r="H524" i="2"/>
  <c r="G524" i="2"/>
  <c r="F524" i="2"/>
  <c r="E524" i="2"/>
  <c r="D524" i="2"/>
  <c r="C524" i="2"/>
  <c r="B524" i="2"/>
  <c r="A524" i="2"/>
  <c r="AD523" i="2"/>
  <c r="AC523" i="2"/>
  <c r="AB523" i="2"/>
  <c r="AA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D522" i="2"/>
  <c r="AC522" i="2"/>
  <c r="AB522" i="2"/>
  <c r="AA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D521" i="2"/>
  <c r="AC521" i="2"/>
  <c r="AB521" i="2"/>
  <c r="AA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D520" i="2"/>
  <c r="AC520" i="2"/>
  <c r="AB520" i="2"/>
  <c r="AA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D519" i="2"/>
  <c r="AC519"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D518" i="2"/>
  <c r="AC518" i="2"/>
  <c r="AB518" i="2"/>
  <c r="AA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D517" i="2"/>
  <c r="AC517" i="2"/>
  <c r="AB517" i="2"/>
  <c r="AA517" i="2"/>
  <c r="Z517" i="2"/>
  <c r="Y517" i="2"/>
  <c r="X517" i="2"/>
  <c r="W517" i="2"/>
  <c r="V517" i="2"/>
  <c r="U517" i="2"/>
  <c r="T517" i="2"/>
  <c r="S517" i="2"/>
  <c r="R517" i="2"/>
  <c r="Q517" i="2"/>
  <c r="P517" i="2"/>
  <c r="O517" i="2"/>
  <c r="N517" i="2"/>
  <c r="M517" i="2"/>
  <c r="L517" i="2"/>
  <c r="K517" i="2"/>
  <c r="J517" i="2"/>
  <c r="I517" i="2"/>
  <c r="H517" i="2"/>
  <c r="G517" i="2"/>
  <c r="F517" i="2"/>
  <c r="E517" i="2"/>
  <c r="D517" i="2"/>
  <c r="C517" i="2"/>
  <c r="B517" i="2"/>
  <c r="A517" i="2"/>
  <c r="AD516" i="2"/>
  <c r="AC516" i="2"/>
  <c r="AB516" i="2"/>
  <c r="AA516" i="2"/>
  <c r="Z516" i="2"/>
  <c r="Y516" i="2"/>
  <c r="X516" i="2"/>
  <c r="W516" i="2"/>
  <c r="V516" i="2"/>
  <c r="U516" i="2"/>
  <c r="T516" i="2"/>
  <c r="S516" i="2"/>
  <c r="R516" i="2"/>
  <c r="Q516" i="2"/>
  <c r="P516" i="2"/>
  <c r="O516" i="2"/>
  <c r="N516" i="2"/>
  <c r="M516" i="2"/>
  <c r="L516" i="2"/>
  <c r="K516" i="2"/>
  <c r="J516" i="2"/>
  <c r="I516" i="2"/>
  <c r="H516" i="2"/>
  <c r="G516" i="2"/>
  <c r="F516" i="2"/>
  <c r="E516" i="2"/>
  <c r="D516" i="2"/>
  <c r="C516" i="2"/>
  <c r="B516" i="2"/>
  <c r="A516" i="2"/>
  <c r="AD515" i="2"/>
  <c r="AC515"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D514" i="2"/>
  <c r="AC514" i="2"/>
  <c r="AB514" i="2"/>
  <c r="AA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D513" i="2"/>
  <c r="AC513"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D512" i="2"/>
  <c r="AC512" i="2"/>
  <c r="AB512" i="2"/>
  <c r="AA512" i="2"/>
  <c r="Z512" i="2"/>
  <c r="Y512" i="2"/>
  <c r="X512" i="2"/>
  <c r="W512" i="2"/>
  <c r="V512" i="2"/>
  <c r="U512" i="2"/>
  <c r="T512" i="2"/>
  <c r="S512" i="2"/>
  <c r="R512" i="2"/>
  <c r="Q512" i="2"/>
  <c r="P512" i="2"/>
  <c r="O512" i="2"/>
  <c r="N512" i="2"/>
  <c r="M512" i="2"/>
  <c r="L512" i="2"/>
  <c r="K512" i="2"/>
  <c r="J512" i="2"/>
  <c r="I512" i="2"/>
  <c r="H512" i="2"/>
  <c r="G512" i="2"/>
  <c r="F512" i="2"/>
  <c r="E512" i="2"/>
  <c r="D512" i="2"/>
  <c r="C512" i="2"/>
  <c r="B512" i="2"/>
  <c r="A512" i="2"/>
  <c r="AD511" i="2"/>
  <c r="AC511" i="2"/>
  <c r="AB511" i="2"/>
  <c r="AA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D510" i="2"/>
  <c r="AC510"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D509" i="2"/>
  <c r="AC509"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D508" i="2"/>
  <c r="AC508" i="2"/>
  <c r="AB508" i="2"/>
  <c r="AA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D507" i="2"/>
  <c r="AC507" i="2"/>
  <c r="AB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D506" i="2"/>
  <c r="AC506" i="2"/>
  <c r="AB506" i="2"/>
  <c r="AA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D505" i="2"/>
  <c r="AC505"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D504" i="2"/>
  <c r="AC504" i="2"/>
  <c r="AB504" i="2"/>
  <c r="AA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D503" i="2"/>
  <c r="AC503" i="2"/>
  <c r="AB503" i="2"/>
  <c r="AA503" i="2"/>
  <c r="Z503" i="2"/>
  <c r="Y503" i="2"/>
  <c r="X503" i="2"/>
  <c r="W503" i="2"/>
  <c r="V503" i="2"/>
  <c r="U503" i="2"/>
  <c r="T503" i="2"/>
  <c r="S503" i="2"/>
  <c r="R503" i="2"/>
  <c r="Q503" i="2"/>
  <c r="P503" i="2"/>
  <c r="O503" i="2"/>
  <c r="N503" i="2"/>
  <c r="M503" i="2"/>
  <c r="L503" i="2"/>
  <c r="K503" i="2"/>
  <c r="J503" i="2"/>
  <c r="I503" i="2"/>
  <c r="H503" i="2"/>
  <c r="G503" i="2"/>
  <c r="F503" i="2"/>
  <c r="E503" i="2"/>
  <c r="D503" i="2"/>
  <c r="C503" i="2"/>
  <c r="B503" i="2"/>
  <c r="A503" i="2"/>
  <c r="AD502" i="2"/>
  <c r="AC502" i="2"/>
  <c r="AB502" i="2"/>
  <c r="AA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D501" i="2"/>
  <c r="AC501" i="2"/>
  <c r="AB501" i="2"/>
  <c r="AA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D500" i="2"/>
  <c r="AC500" i="2"/>
  <c r="AB500" i="2"/>
  <c r="AA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D499" i="2"/>
  <c r="AC499" i="2"/>
  <c r="AB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D498" i="2"/>
  <c r="AC498" i="2"/>
  <c r="AB498" i="2"/>
  <c r="AA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D497" i="2"/>
  <c r="AC497"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D496" i="2"/>
  <c r="AC496" i="2"/>
  <c r="AB496" i="2"/>
  <c r="AA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D495" i="2"/>
  <c r="AC495" i="2"/>
  <c r="AB495" i="2"/>
  <c r="AA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D494" i="2"/>
  <c r="AC494"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D493" i="2"/>
  <c r="AC493" i="2"/>
  <c r="AB493" i="2"/>
  <c r="AA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D492" i="2"/>
  <c r="AC492" i="2"/>
  <c r="AB492" i="2"/>
  <c r="AA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D491" i="2"/>
  <c r="AC491"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D490" i="2"/>
  <c r="AC490" i="2"/>
  <c r="AB490" i="2"/>
  <c r="AA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D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D488" i="2"/>
  <c r="AC488" i="2"/>
  <c r="AB488" i="2"/>
  <c r="AA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D487" i="2"/>
  <c r="AC487"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D486" i="2"/>
  <c r="AC486"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D485" i="2"/>
  <c r="AC485" i="2"/>
  <c r="AB485" i="2"/>
  <c r="AA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D484" i="2"/>
  <c r="AC484" i="2"/>
  <c r="AB484" i="2"/>
  <c r="AA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D483" i="2"/>
  <c r="AC483" i="2"/>
  <c r="AB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D482" i="2"/>
  <c r="AC482" i="2"/>
  <c r="AB482" i="2"/>
  <c r="AA482" i="2"/>
  <c r="Z482" i="2"/>
  <c r="Y482" i="2"/>
  <c r="X482" i="2"/>
  <c r="W482" i="2"/>
  <c r="V482" i="2"/>
  <c r="U482" i="2"/>
  <c r="T482" i="2"/>
  <c r="S482" i="2"/>
  <c r="R482" i="2"/>
  <c r="Q482" i="2"/>
  <c r="P482" i="2"/>
  <c r="O482" i="2"/>
  <c r="N482" i="2"/>
  <c r="M482" i="2"/>
  <c r="L482" i="2"/>
  <c r="K482" i="2"/>
  <c r="J482" i="2"/>
  <c r="I482" i="2"/>
  <c r="H482" i="2"/>
  <c r="G482" i="2"/>
  <c r="F482" i="2"/>
  <c r="E482" i="2"/>
  <c r="D482" i="2"/>
  <c r="C482" i="2"/>
  <c r="B482" i="2"/>
  <c r="A482" i="2"/>
  <c r="AD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D480" i="2"/>
  <c r="AC480" i="2"/>
  <c r="AB480" i="2"/>
  <c r="AA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D479" i="2"/>
  <c r="AC479"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D478" i="2"/>
  <c r="AC478" i="2"/>
  <c r="AB478" i="2"/>
  <c r="AA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D477" i="2"/>
  <c r="AC477" i="2"/>
  <c r="AB477" i="2"/>
  <c r="AA477" i="2"/>
  <c r="Z477" i="2"/>
  <c r="Y477" i="2"/>
  <c r="X477" i="2"/>
  <c r="W477" i="2"/>
  <c r="V477" i="2"/>
  <c r="U477" i="2"/>
  <c r="T477" i="2"/>
  <c r="S477" i="2"/>
  <c r="R477" i="2"/>
  <c r="Q477" i="2"/>
  <c r="P477" i="2"/>
  <c r="O477" i="2"/>
  <c r="N477" i="2"/>
  <c r="M477" i="2"/>
  <c r="L477" i="2"/>
  <c r="K477" i="2"/>
  <c r="J477" i="2"/>
  <c r="I477" i="2"/>
  <c r="H477" i="2"/>
  <c r="G477" i="2"/>
  <c r="F477" i="2"/>
  <c r="E477" i="2"/>
  <c r="D477" i="2"/>
  <c r="C477" i="2"/>
  <c r="B477" i="2"/>
  <c r="A477" i="2"/>
  <c r="AD476" i="2"/>
  <c r="AC476" i="2"/>
  <c r="AB476" i="2"/>
  <c r="AA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D475" i="2"/>
  <c r="AC475" i="2"/>
  <c r="AB475" i="2"/>
  <c r="AA475" i="2"/>
  <c r="Z475" i="2"/>
  <c r="Y475" i="2"/>
  <c r="X475" i="2"/>
  <c r="W475" i="2"/>
  <c r="V475" i="2"/>
  <c r="U475" i="2"/>
  <c r="T475" i="2"/>
  <c r="S475" i="2"/>
  <c r="R475" i="2"/>
  <c r="Q475" i="2"/>
  <c r="P475" i="2"/>
  <c r="O475" i="2"/>
  <c r="N475" i="2"/>
  <c r="M475" i="2"/>
  <c r="L475" i="2"/>
  <c r="K475" i="2"/>
  <c r="J475" i="2"/>
  <c r="I475" i="2"/>
  <c r="H475" i="2"/>
  <c r="G475" i="2"/>
  <c r="F475" i="2"/>
  <c r="E475" i="2"/>
  <c r="D475" i="2"/>
  <c r="C475" i="2"/>
  <c r="B475" i="2"/>
  <c r="A475" i="2"/>
  <c r="AD474" i="2"/>
  <c r="AC474"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C474" i="2"/>
  <c r="B474" i="2"/>
  <c r="A474" i="2"/>
  <c r="AD473" i="2"/>
  <c r="AC473" i="2"/>
  <c r="AB473" i="2"/>
  <c r="AA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D472" i="2"/>
  <c r="AC472" i="2"/>
  <c r="AB472" i="2"/>
  <c r="AA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D471" i="2"/>
  <c r="AC471"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D470" i="2"/>
  <c r="AC470"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D469" i="2"/>
  <c r="AC469" i="2"/>
  <c r="AB469" i="2"/>
  <c r="AA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D468" i="2"/>
  <c r="AC468" i="2"/>
  <c r="AB468" i="2"/>
  <c r="AA468" i="2"/>
  <c r="Z468" i="2"/>
  <c r="Y468" i="2"/>
  <c r="X468" i="2"/>
  <c r="W468" i="2"/>
  <c r="V468" i="2"/>
  <c r="U468" i="2"/>
  <c r="T468" i="2"/>
  <c r="S468" i="2"/>
  <c r="R468" i="2"/>
  <c r="Q468" i="2"/>
  <c r="P468" i="2"/>
  <c r="O468" i="2"/>
  <c r="N468" i="2"/>
  <c r="M468" i="2"/>
  <c r="L468" i="2"/>
  <c r="K468" i="2"/>
  <c r="J468" i="2"/>
  <c r="I468" i="2"/>
  <c r="H468" i="2"/>
  <c r="G468" i="2"/>
  <c r="F468" i="2"/>
  <c r="E468" i="2"/>
  <c r="D468" i="2"/>
  <c r="C468" i="2"/>
  <c r="B468" i="2"/>
  <c r="A468" i="2"/>
  <c r="AD467" i="2"/>
  <c r="AC467" i="2"/>
  <c r="AB467" i="2"/>
  <c r="AA467" i="2"/>
  <c r="Z467" i="2"/>
  <c r="Y467" i="2"/>
  <c r="X467" i="2"/>
  <c r="W467" i="2"/>
  <c r="V467" i="2"/>
  <c r="U467" i="2"/>
  <c r="T467" i="2"/>
  <c r="S467" i="2"/>
  <c r="R467" i="2"/>
  <c r="Q467" i="2"/>
  <c r="P467" i="2"/>
  <c r="O467" i="2"/>
  <c r="N467" i="2"/>
  <c r="M467" i="2"/>
  <c r="L467" i="2"/>
  <c r="K467" i="2"/>
  <c r="J467" i="2"/>
  <c r="I467" i="2"/>
  <c r="H467" i="2"/>
  <c r="G467" i="2"/>
  <c r="F467" i="2"/>
  <c r="E467" i="2"/>
  <c r="D467" i="2"/>
  <c r="C467" i="2"/>
  <c r="B467" i="2"/>
  <c r="A467" i="2"/>
  <c r="AD466" i="2"/>
  <c r="AC466" i="2"/>
  <c r="AB466" i="2"/>
  <c r="AA466" i="2"/>
  <c r="Z466" i="2"/>
  <c r="Y466" i="2"/>
  <c r="X466" i="2"/>
  <c r="W466" i="2"/>
  <c r="V466" i="2"/>
  <c r="U466" i="2"/>
  <c r="T466" i="2"/>
  <c r="S466" i="2"/>
  <c r="R466" i="2"/>
  <c r="Q466" i="2"/>
  <c r="P466" i="2"/>
  <c r="O466" i="2"/>
  <c r="N466" i="2"/>
  <c r="M466" i="2"/>
  <c r="L466" i="2"/>
  <c r="K466" i="2"/>
  <c r="J466" i="2"/>
  <c r="I466" i="2"/>
  <c r="H466" i="2"/>
  <c r="G466" i="2"/>
  <c r="F466" i="2"/>
  <c r="E466" i="2"/>
  <c r="D466" i="2"/>
  <c r="C466" i="2"/>
  <c r="B466" i="2"/>
  <c r="A466" i="2"/>
  <c r="AD465" i="2"/>
  <c r="AC465" i="2"/>
  <c r="AB465" i="2"/>
  <c r="AA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D464" i="2"/>
  <c r="AC464" i="2"/>
  <c r="AB464" i="2"/>
  <c r="AA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D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D462" i="2"/>
  <c r="AC462" i="2"/>
  <c r="AB462" i="2"/>
  <c r="AA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D461" i="2"/>
  <c r="AC461"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D460" i="2"/>
  <c r="AC460"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D459" i="2"/>
  <c r="AC459" i="2"/>
  <c r="AB459" i="2"/>
  <c r="AA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D458" i="2"/>
  <c r="AC458" i="2"/>
  <c r="AB458" i="2"/>
  <c r="AA458" i="2"/>
  <c r="Z458" i="2"/>
  <c r="Y458" i="2"/>
  <c r="X458" i="2"/>
  <c r="W458" i="2"/>
  <c r="V458" i="2"/>
  <c r="U458" i="2"/>
  <c r="T458" i="2"/>
  <c r="S458" i="2"/>
  <c r="R458" i="2"/>
  <c r="Q458" i="2"/>
  <c r="P458" i="2"/>
  <c r="O458" i="2"/>
  <c r="N458" i="2"/>
  <c r="M458" i="2"/>
  <c r="L458" i="2"/>
  <c r="K458" i="2"/>
  <c r="J458" i="2"/>
  <c r="I458" i="2"/>
  <c r="H458" i="2"/>
  <c r="G458" i="2"/>
  <c r="F458" i="2"/>
  <c r="E458" i="2"/>
  <c r="D458" i="2"/>
  <c r="C458" i="2"/>
  <c r="B458" i="2"/>
  <c r="A458" i="2"/>
  <c r="AD457" i="2"/>
  <c r="AC457"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D456" i="2"/>
  <c r="AC456" i="2"/>
  <c r="AB456" i="2"/>
  <c r="AA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D455" i="2"/>
  <c r="AC455" i="2"/>
  <c r="AB455" i="2"/>
  <c r="AA455" i="2"/>
  <c r="Z455" i="2"/>
  <c r="Y455" i="2"/>
  <c r="X455" i="2"/>
  <c r="W455" i="2"/>
  <c r="V455" i="2"/>
  <c r="U455" i="2"/>
  <c r="T455" i="2"/>
  <c r="S455" i="2"/>
  <c r="R455" i="2"/>
  <c r="Q455" i="2"/>
  <c r="P455" i="2"/>
  <c r="O455" i="2"/>
  <c r="N455" i="2"/>
  <c r="M455" i="2"/>
  <c r="L455" i="2"/>
  <c r="K455" i="2"/>
  <c r="J455" i="2"/>
  <c r="I455" i="2"/>
  <c r="H455" i="2"/>
  <c r="G455" i="2"/>
  <c r="F455" i="2"/>
  <c r="E455" i="2"/>
  <c r="D455" i="2"/>
  <c r="C455" i="2"/>
  <c r="B455" i="2"/>
  <c r="A455" i="2"/>
  <c r="AD454" i="2"/>
  <c r="AC454" i="2"/>
  <c r="AB454" i="2"/>
  <c r="AA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D453" i="2"/>
  <c r="AC453" i="2"/>
  <c r="AB453" i="2"/>
  <c r="AA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D452" i="2"/>
  <c r="AC452"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D451" i="2"/>
  <c r="AC451" i="2"/>
  <c r="AB451" i="2"/>
  <c r="AA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D450" i="2"/>
  <c r="AC450"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D449" i="2"/>
  <c r="AC449"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D448" i="2"/>
  <c r="AC448" i="2"/>
  <c r="AB448" i="2"/>
  <c r="AA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D447" i="2"/>
  <c r="AC447" i="2"/>
  <c r="AB447" i="2"/>
  <c r="AA447" i="2"/>
  <c r="Z447" i="2"/>
  <c r="Y447" i="2"/>
  <c r="X447" i="2"/>
  <c r="W447" i="2"/>
  <c r="V447" i="2"/>
  <c r="U447" i="2"/>
  <c r="T447" i="2"/>
  <c r="S447" i="2"/>
  <c r="R447" i="2"/>
  <c r="Q447" i="2"/>
  <c r="P447" i="2"/>
  <c r="O447" i="2"/>
  <c r="N447" i="2"/>
  <c r="M447" i="2"/>
  <c r="L447" i="2"/>
  <c r="K447" i="2"/>
  <c r="J447" i="2"/>
  <c r="I447" i="2"/>
  <c r="H447" i="2"/>
  <c r="G447" i="2"/>
  <c r="F447" i="2"/>
  <c r="E447" i="2"/>
  <c r="D447" i="2"/>
  <c r="C447" i="2"/>
  <c r="B447" i="2"/>
  <c r="A447" i="2"/>
  <c r="AD446" i="2"/>
  <c r="AC446" i="2"/>
  <c r="AB446" i="2"/>
  <c r="AA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D445" i="2"/>
  <c r="AC445" i="2"/>
  <c r="AB445" i="2"/>
  <c r="AA445" i="2"/>
  <c r="Z445" i="2"/>
  <c r="Y445" i="2"/>
  <c r="X445" i="2"/>
  <c r="W445" i="2"/>
  <c r="V445" i="2"/>
  <c r="U445" i="2"/>
  <c r="T445" i="2"/>
  <c r="S445" i="2"/>
  <c r="R445" i="2"/>
  <c r="Q445" i="2"/>
  <c r="P445" i="2"/>
  <c r="O445" i="2"/>
  <c r="N445" i="2"/>
  <c r="M445" i="2"/>
  <c r="L445" i="2"/>
  <c r="K445" i="2"/>
  <c r="J445" i="2"/>
  <c r="I445" i="2"/>
  <c r="H445" i="2"/>
  <c r="G445" i="2"/>
  <c r="F445" i="2"/>
  <c r="E445" i="2"/>
  <c r="D445" i="2"/>
  <c r="C445" i="2"/>
  <c r="B445" i="2"/>
  <c r="A445" i="2"/>
  <c r="AD444" i="2"/>
  <c r="AC444" i="2"/>
  <c r="AB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D443" i="2"/>
  <c r="AC443"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D442" i="2"/>
  <c r="AC442"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D441" i="2"/>
  <c r="AC441" i="2"/>
  <c r="AB441" i="2"/>
  <c r="AA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D440" i="2"/>
  <c r="AC440" i="2"/>
  <c r="AB440" i="2"/>
  <c r="AA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D439" i="2"/>
  <c r="AC439" i="2"/>
  <c r="AB439" i="2"/>
  <c r="AA439" i="2"/>
  <c r="Z439" i="2"/>
  <c r="Y439" i="2"/>
  <c r="X439" i="2"/>
  <c r="W439" i="2"/>
  <c r="V439" i="2"/>
  <c r="U439" i="2"/>
  <c r="T439" i="2"/>
  <c r="S439" i="2"/>
  <c r="R439" i="2"/>
  <c r="Q439" i="2"/>
  <c r="P439" i="2"/>
  <c r="O439" i="2"/>
  <c r="N439" i="2"/>
  <c r="M439" i="2"/>
  <c r="L439" i="2"/>
  <c r="K439" i="2"/>
  <c r="J439" i="2"/>
  <c r="I439" i="2"/>
  <c r="H439" i="2"/>
  <c r="G439" i="2"/>
  <c r="F439" i="2"/>
  <c r="E439" i="2"/>
  <c r="D439" i="2"/>
  <c r="C439" i="2"/>
  <c r="B439" i="2"/>
  <c r="A439" i="2"/>
  <c r="AD438" i="2"/>
  <c r="AC438" i="2"/>
  <c r="AB438" i="2"/>
  <c r="AA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D437" i="2"/>
  <c r="AC437" i="2"/>
  <c r="AB437" i="2"/>
  <c r="AA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D436" i="2"/>
  <c r="AC436" i="2"/>
  <c r="AB436" i="2"/>
  <c r="AA436" i="2"/>
  <c r="Z436" i="2"/>
  <c r="Y436" i="2"/>
  <c r="X436" i="2"/>
  <c r="W436" i="2"/>
  <c r="V436" i="2"/>
  <c r="U436" i="2"/>
  <c r="T436" i="2"/>
  <c r="S436" i="2"/>
  <c r="R436" i="2"/>
  <c r="Q436" i="2"/>
  <c r="P436" i="2"/>
  <c r="O436" i="2"/>
  <c r="N436" i="2"/>
  <c r="M436" i="2"/>
  <c r="L436" i="2"/>
  <c r="K436" i="2"/>
  <c r="J436" i="2"/>
  <c r="I436" i="2"/>
  <c r="H436" i="2"/>
  <c r="G436" i="2"/>
  <c r="F436" i="2"/>
  <c r="E436" i="2"/>
  <c r="D436" i="2"/>
  <c r="C436" i="2"/>
  <c r="B436" i="2"/>
  <c r="A436" i="2"/>
  <c r="AD435" i="2"/>
  <c r="AC435" i="2"/>
  <c r="AB435" i="2"/>
  <c r="AA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D434" i="2"/>
  <c r="AC434"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D433" i="2"/>
  <c r="AC433" i="2"/>
  <c r="AB433" i="2"/>
  <c r="AA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D432" i="2"/>
  <c r="AC432" i="2"/>
  <c r="AB432" i="2"/>
  <c r="AA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D431" i="2"/>
  <c r="AC431" i="2"/>
  <c r="AB431" i="2"/>
  <c r="AA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D430" i="2"/>
  <c r="AC430" i="2"/>
  <c r="AB430" i="2"/>
  <c r="AA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D429" i="2"/>
  <c r="AC429" i="2"/>
  <c r="AB429" i="2"/>
  <c r="AA429" i="2"/>
  <c r="Z429" i="2"/>
  <c r="Y429" i="2"/>
  <c r="X429" i="2"/>
  <c r="W429" i="2"/>
  <c r="V429" i="2"/>
  <c r="U429" i="2"/>
  <c r="T429" i="2"/>
  <c r="S429" i="2"/>
  <c r="R429" i="2"/>
  <c r="Q429" i="2"/>
  <c r="P429" i="2"/>
  <c r="O429" i="2"/>
  <c r="N429" i="2"/>
  <c r="M429" i="2"/>
  <c r="L429" i="2"/>
  <c r="K429" i="2"/>
  <c r="J429" i="2"/>
  <c r="I429" i="2"/>
  <c r="H429" i="2"/>
  <c r="G429" i="2"/>
  <c r="F429" i="2"/>
  <c r="E429" i="2"/>
  <c r="D429" i="2"/>
  <c r="C429" i="2"/>
  <c r="B429" i="2"/>
  <c r="A429" i="2"/>
  <c r="AD428" i="2"/>
  <c r="AC428"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D427" i="2"/>
  <c r="AC427" i="2"/>
  <c r="AB427" i="2"/>
  <c r="AA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D426" i="2"/>
  <c r="AC426" i="2"/>
  <c r="AB426" i="2"/>
  <c r="AA426" i="2"/>
  <c r="Z426" i="2"/>
  <c r="Y426" i="2"/>
  <c r="X426" i="2"/>
  <c r="W426" i="2"/>
  <c r="V426" i="2"/>
  <c r="U426" i="2"/>
  <c r="T426" i="2"/>
  <c r="S426" i="2"/>
  <c r="R426" i="2"/>
  <c r="Q426" i="2"/>
  <c r="P426" i="2"/>
  <c r="O426" i="2"/>
  <c r="N426" i="2"/>
  <c r="M426" i="2"/>
  <c r="L426" i="2"/>
  <c r="K426" i="2"/>
  <c r="J426" i="2"/>
  <c r="I426" i="2"/>
  <c r="H426" i="2"/>
  <c r="G426" i="2"/>
  <c r="F426" i="2"/>
  <c r="E426" i="2"/>
  <c r="D426" i="2"/>
  <c r="C426" i="2"/>
  <c r="B426" i="2"/>
  <c r="A426" i="2"/>
  <c r="AD425" i="2"/>
  <c r="AC425" i="2"/>
  <c r="AB425" i="2"/>
  <c r="AA425" i="2"/>
  <c r="Z425" i="2"/>
  <c r="Y425" i="2"/>
  <c r="X425" i="2"/>
  <c r="W425" i="2"/>
  <c r="V425" i="2"/>
  <c r="U425" i="2"/>
  <c r="T425" i="2"/>
  <c r="S425" i="2"/>
  <c r="R425" i="2"/>
  <c r="Q425" i="2"/>
  <c r="P425" i="2"/>
  <c r="O425" i="2"/>
  <c r="N425" i="2"/>
  <c r="M425" i="2"/>
  <c r="L425" i="2"/>
  <c r="K425" i="2"/>
  <c r="J425" i="2"/>
  <c r="I425" i="2"/>
  <c r="H425" i="2"/>
  <c r="G425" i="2"/>
  <c r="F425" i="2"/>
  <c r="E425" i="2"/>
  <c r="D425" i="2"/>
  <c r="C425" i="2"/>
  <c r="B425" i="2"/>
  <c r="A425" i="2"/>
  <c r="AD424" i="2"/>
  <c r="AC424" i="2"/>
  <c r="AB424" i="2"/>
  <c r="AA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D423" i="2"/>
  <c r="AC423" i="2"/>
  <c r="AB423" i="2"/>
  <c r="AA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D422" i="2"/>
  <c r="AC422" i="2"/>
  <c r="AB422" i="2"/>
  <c r="AA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D421" i="2"/>
  <c r="AC421" i="2"/>
  <c r="AB421" i="2"/>
  <c r="AA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D420" i="2"/>
  <c r="AC420" i="2"/>
  <c r="AB420" i="2"/>
  <c r="AA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D419" i="2"/>
  <c r="AC419" i="2"/>
  <c r="AB419" i="2"/>
  <c r="AA419" i="2"/>
  <c r="Z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D418" i="2"/>
  <c r="AC418" i="2"/>
  <c r="AB418" i="2"/>
  <c r="AA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D417" i="2"/>
  <c r="AC417" i="2"/>
  <c r="AB417" i="2"/>
  <c r="AA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D416" i="2"/>
  <c r="AC416" i="2"/>
  <c r="AB416" i="2"/>
  <c r="AA416" i="2"/>
  <c r="Z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D415" i="2"/>
  <c r="AC415"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D414" i="2"/>
  <c r="AC414" i="2"/>
  <c r="AB414" i="2"/>
  <c r="AA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D413" i="2"/>
  <c r="AC413"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D412" i="2"/>
  <c r="AC412" i="2"/>
  <c r="AB412" i="2"/>
  <c r="AA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D411" i="2"/>
  <c r="AC411" i="2"/>
  <c r="AB411" i="2"/>
  <c r="AA411" i="2"/>
  <c r="Z411" i="2"/>
  <c r="Y411" i="2"/>
  <c r="X411" i="2"/>
  <c r="W411" i="2"/>
  <c r="V411" i="2"/>
  <c r="U411" i="2"/>
  <c r="T411" i="2"/>
  <c r="S411" i="2"/>
  <c r="R411" i="2"/>
  <c r="Q411" i="2"/>
  <c r="P411" i="2"/>
  <c r="O411" i="2"/>
  <c r="N411" i="2"/>
  <c r="M411" i="2"/>
  <c r="L411" i="2"/>
  <c r="K411" i="2"/>
  <c r="J411" i="2"/>
  <c r="I411" i="2"/>
  <c r="H411" i="2"/>
  <c r="G411" i="2"/>
  <c r="F411" i="2"/>
  <c r="E411" i="2"/>
  <c r="D411" i="2"/>
  <c r="C411" i="2"/>
  <c r="B411" i="2"/>
  <c r="A411" i="2"/>
  <c r="AD410" i="2"/>
  <c r="AC410"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D409" i="2"/>
  <c r="AC409" i="2"/>
  <c r="AB409" i="2"/>
  <c r="AA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D408" i="2"/>
  <c r="AC408" i="2"/>
  <c r="AB408" i="2"/>
  <c r="AA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D407" i="2"/>
  <c r="AC407" i="2"/>
  <c r="AB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D406" i="2"/>
  <c r="AC406" i="2"/>
  <c r="AB406" i="2"/>
  <c r="AA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D405" i="2"/>
  <c r="AC405"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D404" i="2"/>
  <c r="AC404"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D403" i="2"/>
  <c r="AC403"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D402" i="2"/>
  <c r="AC402" i="2"/>
  <c r="AB402" i="2"/>
  <c r="AA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D401" i="2"/>
  <c r="AC401"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D400" i="2"/>
  <c r="AC400" i="2"/>
  <c r="AB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D399" i="2"/>
  <c r="AC399"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D398" i="2"/>
  <c r="AC398" i="2"/>
  <c r="AB398" i="2"/>
  <c r="AA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D397" i="2"/>
  <c r="AC397"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D396" i="2"/>
  <c r="AC396" i="2"/>
  <c r="AB396" i="2"/>
  <c r="AA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D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D394" i="2"/>
  <c r="AC394" i="2"/>
  <c r="AB394" i="2"/>
  <c r="AA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D393" i="2"/>
  <c r="AC393"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D392" i="2"/>
  <c r="AC392" i="2"/>
  <c r="AB392" i="2"/>
  <c r="AA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D391" i="2"/>
  <c r="AC391" i="2"/>
  <c r="AB391" i="2"/>
  <c r="AA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D390" i="2"/>
  <c r="AC390" i="2"/>
  <c r="AB390" i="2"/>
  <c r="AA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D389" i="2"/>
  <c r="AC389" i="2"/>
  <c r="AB389" i="2"/>
  <c r="AA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D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D387" i="2"/>
  <c r="AC387"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D386" i="2"/>
  <c r="AC386" i="2"/>
  <c r="AB386" i="2"/>
  <c r="AA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D385" i="2"/>
  <c r="AC385" i="2"/>
  <c r="AB385" i="2"/>
  <c r="AA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D384" i="2"/>
  <c r="AC384" i="2"/>
  <c r="AB384" i="2"/>
  <c r="AA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D383" i="2"/>
  <c r="AC383" i="2"/>
  <c r="AB383" i="2"/>
  <c r="AA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D382" i="2"/>
  <c r="AC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D381" i="2"/>
  <c r="AC381" i="2"/>
  <c r="AB381" i="2"/>
  <c r="AA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D380" i="2"/>
  <c r="AC380"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D379" i="2"/>
  <c r="AC379" i="2"/>
  <c r="AB379" i="2"/>
  <c r="AA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D378" i="2"/>
  <c r="AC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D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D376" i="2"/>
  <c r="AC376" i="2"/>
  <c r="AB376" i="2"/>
  <c r="AA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D375" i="2"/>
  <c r="AC375"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D374" i="2"/>
  <c r="AC374" i="2"/>
  <c r="AB374" i="2"/>
  <c r="AA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D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D372" i="2"/>
  <c r="AC372" i="2"/>
  <c r="AB372" i="2"/>
  <c r="AA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D371" i="2"/>
  <c r="AC371" i="2"/>
  <c r="AB371" i="2"/>
  <c r="AA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D370" i="2"/>
  <c r="AC370" i="2"/>
  <c r="AB370" i="2"/>
  <c r="AA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D369" i="2"/>
  <c r="AC369"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D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D367" i="2"/>
  <c r="AC367" i="2"/>
  <c r="AB367" i="2"/>
  <c r="AA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D366" i="2"/>
  <c r="AC366" i="2"/>
  <c r="AB366" i="2"/>
  <c r="AA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D365" i="2"/>
  <c r="AC365"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D364" i="2"/>
  <c r="AC364" i="2"/>
  <c r="AB364" i="2"/>
  <c r="AA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D363" i="2"/>
  <c r="AC363" i="2"/>
  <c r="AB363" i="2"/>
  <c r="AA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D362" i="2"/>
  <c r="AC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D361" i="2"/>
  <c r="AC361" i="2"/>
  <c r="AB361" i="2"/>
  <c r="AA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D360" i="2"/>
  <c r="AC360"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D359" i="2"/>
  <c r="AC359" i="2"/>
  <c r="AB359" i="2"/>
  <c r="AA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D358" i="2"/>
  <c r="AC358"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D357" i="2"/>
  <c r="AC357" i="2"/>
  <c r="AB357" i="2"/>
  <c r="AA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D356" i="2"/>
  <c r="AC356" i="2"/>
  <c r="AB356" i="2"/>
  <c r="AA356" i="2"/>
  <c r="Z356" i="2"/>
  <c r="Y356" i="2"/>
  <c r="X356" i="2"/>
  <c r="W356" i="2"/>
  <c r="V356" i="2"/>
  <c r="U356" i="2"/>
  <c r="T356" i="2"/>
  <c r="S356" i="2"/>
  <c r="R356" i="2"/>
  <c r="Q356" i="2"/>
  <c r="P356" i="2"/>
  <c r="O356" i="2"/>
  <c r="N356" i="2"/>
  <c r="M356" i="2"/>
  <c r="L356" i="2"/>
  <c r="K356" i="2"/>
  <c r="J356" i="2"/>
  <c r="I356" i="2"/>
  <c r="H356" i="2"/>
  <c r="G356" i="2"/>
  <c r="F356" i="2"/>
  <c r="E356" i="2"/>
  <c r="D356" i="2"/>
  <c r="C356" i="2"/>
  <c r="B356" i="2"/>
  <c r="A356" i="2"/>
  <c r="AD355" i="2"/>
  <c r="AC355"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D354" i="2"/>
  <c r="AC354" i="2"/>
  <c r="AB354" i="2"/>
  <c r="AA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D353" i="2"/>
  <c r="AC353" i="2"/>
  <c r="AB353" i="2"/>
  <c r="AA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D352" i="2"/>
  <c r="AC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D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D350" i="2"/>
  <c r="AC350" i="2"/>
  <c r="AB350" i="2"/>
  <c r="AA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D349" i="2"/>
  <c r="AC349" i="2"/>
  <c r="AB349" i="2"/>
  <c r="AA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D348" i="2"/>
  <c r="AC348" i="2"/>
  <c r="AB348" i="2"/>
  <c r="AA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D347" i="2"/>
  <c r="AC347" i="2"/>
  <c r="AB347" i="2"/>
  <c r="AA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D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D345" i="2"/>
  <c r="AC345" i="2"/>
  <c r="AB345" i="2"/>
  <c r="AA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D344" i="2"/>
  <c r="AC344" i="2"/>
  <c r="AB344" i="2"/>
  <c r="AA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D343" i="2"/>
  <c r="AC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D342" i="2"/>
  <c r="AC342" i="2"/>
  <c r="AB342" i="2"/>
  <c r="AA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D341" i="2"/>
  <c r="AC341" i="2"/>
  <c r="AB341" i="2"/>
  <c r="AA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D340" i="2"/>
  <c r="AC340" i="2"/>
  <c r="AB340" i="2"/>
  <c r="AA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D339" i="2"/>
  <c r="AC339" i="2"/>
  <c r="AB339" i="2"/>
  <c r="AA339" i="2"/>
  <c r="Z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D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D337" i="2"/>
  <c r="AC337" i="2"/>
  <c r="AB337" i="2"/>
  <c r="AA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D336" i="2"/>
  <c r="AC336" i="2"/>
  <c r="AB336" i="2"/>
  <c r="AA336" i="2"/>
  <c r="Z336" i="2"/>
  <c r="Y336" i="2"/>
  <c r="X336" i="2"/>
  <c r="W336" i="2"/>
  <c r="V336" i="2"/>
  <c r="U336" i="2"/>
  <c r="T336" i="2"/>
  <c r="S336" i="2"/>
  <c r="R336" i="2"/>
  <c r="Q336" i="2"/>
  <c r="P336" i="2"/>
  <c r="O336" i="2"/>
  <c r="N336" i="2"/>
  <c r="M336" i="2"/>
  <c r="L336" i="2"/>
  <c r="K336" i="2"/>
  <c r="J336" i="2"/>
  <c r="I336" i="2"/>
  <c r="H336" i="2"/>
  <c r="G336" i="2"/>
  <c r="F336" i="2"/>
  <c r="E336" i="2"/>
  <c r="D336" i="2"/>
  <c r="C336" i="2"/>
  <c r="B336" i="2"/>
  <c r="A336" i="2"/>
  <c r="AD335" i="2"/>
  <c r="AC335" i="2"/>
  <c r="AB335" i="2"/>
  <c r="AA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D334" i="2"/>
  <c r="AC334" i="2"/>
  <c r="AB334" i="2"/>
  <c r="AA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D333" i="2"/>
  <c r="AC333" i="2"/>
  <c r="AB333" i="2"/>
  <c r="AA333" i="2"/>
  <c r="Z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D332" i="2"/>
  <c r="AC332" i="2"/>
  <c r="AB332" i="2"/>
  <c r="AA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D331" i="2"/>
  <c r="AC331" i="2"/>
  <c r="AB331" i="2"/>
  <c r="AA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D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D329" i="2"/>
  <c r="AC329" i="2"/>
  <c r="AB329" i="2"/>
  <c r="AA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D328" i="2"/>
  <c r="AC328" i="2"/>
  <c r="AB328" i="2"/>
  <c r="AA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D327" i="2"/>
  <c r="AC327" i="2"/>
  <c r="AB327" i="2"/>
  <c r="AA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D326" i="2"/>
  <c r="AC326" i="2"/>
  <c r="AB326" i="2"/>
  <c r="AA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D325" i="2"/>
  <c r="AC325" i="2"/>
  <c r="AB325" i="2"/>
  <c r="AA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D324" i="2"/>
  <c r="AC324" i="2"/>
  <c r="AB324" i="2"/>
  <c r="AA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D323" i="2"/>
  <c r="AC323" i="2"/>
  <c r="AB323" i="2"/>
  <c r="AA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D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D321" i="2"/>
  <c r="AC321" i="2"/>
  <c r="AB321" i="2"/>
  <c r="AA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D320" i="2"/>
  <c r="AC320" i="2"/>
  <c r="AB320" i="2"/>
  <c r="AA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D319" i="2"/>
  <c r="AC319" i="2"/>
  <c r="AB319" i="2"/>
  <c r="AA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D318" i="2"/>
  <c r="AC318" i="2"/>
  <c r="AB318" i="2"/>
  <c r="AA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D317" i="2"/>
  <c r="AC317"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D316" i="2"/>
  <c r="AC316" i="2"/>
  <c r="AB316" i="2"/>
  <c r="AA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D315" i="2"/>
  <c r="AC315" i="2"/>
  <c r="AB315" i="2"/>
  <c r="AA315" i="2"/>
  <c r="Z315" i="2"/>
  <c r="Y315" i="2"/>
  <c r="X315" i="2"/>
  <c r="W315" i="2"/>
  <c r="V315" i="2"/>
  <c r="U315" i="2"/>
  <c r="T315" i="2"/>
  <c r="S315" i="2"/>
  <c r="R315" i="2"/>
  <c r="Q315" i="2"/>
  <c r="P315" i="2"/>
  <c r="O315" i="2"/>
  <c r="N315" i="2"/>
  <c r="M315" i="2"/>
  <c r="L315" i="2"/>
  <c r="K315" i="2"/>
  <c r="J315" i="2"/>
  <c r="I315" i="2"/>
  <c r="H315" i="2"/>
  <c r="G315" i="2"/>
  <c r="F315" i="2"/>
  <c r="E315" i="2"/>
  <c r="D315" i="2"/>
  <c r="C315" i="2"/>
  <c r="B315" i="2"/>
  <c r="A315" i="2"/>
  <c r="AD314" i="2"/>
  <c r="AC314" i="2"/>
  <c r="AB314" i="2"/>
  <c r="AA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D313" i="2"/>
  <c r="AC313" i="2"/>
  <c r="AB313" i="2"/>
  <c r="AA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D312" i="2"/>
  <c r="AC312" i="2"/>
  <c r="AB312" i="2"/>
  <c r="AA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D311" i="2"/>
  <c r="AC311" i="2"/>
  <c r="AB311" i="2"/>
  <c r="AA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D310" i="2"/>
  <c r="AC310" i="2"/>
  <c r="AB310" i="2"/>
  <c r="AA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D309" i="2"/>
  <c r="AC309" i="2"/>
  <c r="AB309" i="2"/>
  <c r="AA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D308" i="2"/>
  <c r="AC308" i="2"/>
  <c r="AB308" i="2"/>
  <c r="AA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D307" i="2"/>
  <c r="AC307" i="2"/>
  <c r="AB307" i="2"/>
  <c r="AA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D306" i="2"/>
  <c r="AC306" i="2"/>
  <c r="AB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D305" i="2"/>
  <c r="AC305" i="2"/>
  <c r="AB305" i="2"/>
  <c r="AA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D304" i="2"/>
  <c r="AC304" i="2"/>
  <c r="AB304" i="2"/>
  <c r="AA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D303" i="2"/>
  <c r="AC303" i="2"/>
  <c r="AB303" i="2"/>
  <c r="AA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D302" i="2"/>
  <c r="AC302" i="2"/>
  <c r="AB302" i="2"/>
  <c r="AA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D301" i="2"/>
  <c r="AC301" i="2"/>
  <c r="AB301" i="2"/>
  <c r="AA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D300" i="2"/>
  <c r="AC300" i="2"/>
  <c r="AB300" i="2"/>
  <c r="AA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D299" i="2"/>
  <c r="AC299" i="2"/>
  <c r="AB299" i="2"/>
  <c r="AA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D298" i="2"/>
  <c r="AC298" i="2"/>
  <c r="AB298" i="2"/>
  <c r="AA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D297" i="2"/>
  <c r="AC297"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D296" i="2"/>
  <c r="AC296" i="2"/>
  <c r="AB296" i="2"/>
  <c r="AA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D295" i="2"/>
  <c r="AC295" i="2"/>
  <c r="AB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D294" i="2"/>
  <c r="AC294" i="2"/>
  <c r="AB294" i="2"/>
  <c r="AA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D293" i="2"/>
  <c r="AC293" i="2"/>
  <c r="AB293" i="2"/>
  <c r="AA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D292" i="2"/>
  <c r="AC292"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D291" i="2"/>
  <c r="AC291"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D290" i="2"/>
  <c r="AC290" i="2"/>
  <c r="AB290" i="2"/>
  <c r="AA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D289" i="2"/>
  <c r="AC289"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D288" i="2"/>
  <c r="AC288" i="2"/>
  <c r="AB288" i="2"/>
  <c r="AA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D287" i="2"/>
  <c r="AC287"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D286" i="2"/>
  <c r="AC286" i="2"/>
  <c r="AB286" i="2"/>
  <c r="AA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D285" i="2"/>
  <c r="AC285" i="2"/>
  <c r="AB285" i="2"/>
  <c r="AA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D284" i="2"/>
  <c r="AC284" i="2"/>
  <c r="AB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D283" i="2"/>
  <c r="AC283"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D282" i="2"/>
  <c r="AC282" i="2"/>
  <c r="AB282" i="2"/>
  <c r="AA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D281" i="2"/>
  <c r="AC281" i="2"/>
  <c r="AB281" i="2"/>
  <c r="AA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D280" i="2"/>
  <c r="AC280" i="2"/>
  <c r="AB280" i="2"/>
  <c r="AA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D279" i="2"/>
  <c r="AC279" i="2"/>
  <c r="AB279" i="2"/>
  <c r="AA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D278" i="2"/>
  <c r="AC278" i="2"/>
  <c r="AB278" i="2"/>
  <c r="AA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D277" i="2"/>
  <c r="AC277" i="2"/>
  <c r="AB277" i="2"/>
  <c r="AA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D276" i="2"/>
  <c r="AC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D275" i="2"/>
  <c r="AC275"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D274" i="2"/>
  <c r="AC274" i="2"/>
  <c r="AB274" i="2"/>
  <c r="AA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D273" i="2"/>
  <c r="AC273" i="2"/>
  <c r="AB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D272" i="2"/>
  <c r="AC272" i="2"/>
  <c r="AB272" i="2"/>
  <c r="AA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D271" i="2"/>
  <c r="AC271" i="2"/>
  <c r="AB271" i="2"/>
  <c r="AA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D270" i="2"/>
  <c r="AC270" i="2"/>
  <c r="AB270" i="2"/>
  <c r="AA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D269" i="2"/>
  <c r="AC269" i="2"/>
  <c r="AB269" i="2"/>
  <c r="AA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D268" i="2"/>
  <c r="AC268" i="2"/>
  <c r="AB268" i="2"/>
  <c r="AA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D267" i="2"/>
  <c r="AC267"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D266" i="2"/>
  <c r="AC266" i="2"/>
  <c r="AB266" i="2"/>
  <c r="AA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D265" i="2"/>
  <c r="AC265" i="2"/>
  <c r="AB265" i="2"/>
  <c r="AA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D264" i="2"/>
  <c r="AC264" i="2"/>
  <c r="AB264" i="2"/>
  <c r="AA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D263" i="2"/>
  <c r="AC263" i="2"/>
  <c r="AB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D262" i="2"/>
  <c r="AC262" i="2"/>
  <c r="AB262" i="2"/>
  <c r="AA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D261" i="2"/>
  <c r="AC261" i="2"/>
  <c r="AB261" i="2"/>
  <c r="AA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D260" i="2"/>
  <c r="AC260" i="2"/>
  <c r="AB260" i="2"/>
  <c r="AA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D259" i="2"/>
  <c r="AC259" i="2"/>
  <c r="AB259" i="2"/>
  <c r="AA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D258" i="2"/>
  <c r="AC258" i="2"/>
  <c r="AB258" i="2"/>
  <c r="AA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D257" i="2"/>
  <c r="AC257"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D256" i="2"/>
  <c r="AC256" i="2"/>
  <c r="AB256" i="2"/>
  <c r="AA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D255" i="2"/>
  <c r="AC255" i="2"/>
  <c r="AB255" i="2"/>
  <c r="AA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D254" i="2"/>
  <c r="AC254" i="2"/>
  <c r="AB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D253" i="2"/>
  <c r="AC253" i="2"/>
  <c r="AB253" i="2"/>
  <c r="AA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D252" i="2"/>
  <c r="AC252" i="2"/>
  <c r="AB252" i="2"/>
  <c r="AA252" i="2"/>
  <c r="Z252" i="2"/>
  <c r="Y252" i="2"/>
  <c r="X252" i="2"/>
  <c r="W252" i="2"/>
  <c r="V252" i="2"/>
  <c r="U252" i="2"/>
  <c r="T252" i="2"/>
  <c r="S252" i="2"/>
  <c r="R252" i="2"/>
  <c r="Q252" i="2"/>
  <c r="P252" i="2"/>
  <c r="O252" i="2"/>
  <c r="N252" i="2"/>
  <c r="M252" i="2"/>
  <c r="L252" i="2"/>
  <c r="K252" i="2"/>
  <c r="J252" i="2"/>
  <c r="I252" i="2"/>
  <c r="H252" i="2"/>
  <c r="G252" i="2"/>
  <c r="F252" i="2"/>
  <c r="E252" i="2"/>
  <c r="D252" i="2"/>
  <c r="C252" i="2"/>
  <c r="B252" i="2"/>
  <c r="A252" i="2"/>
  <c r="AD251" i="2"/>
  <c r="AC251" i="2"/>
  <c r="AB251" i="2"/>
  <c r="AA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D250" i="2"/>
  <c r="AC250" i="2"/>
  <c r="AB250" i="2"/>
  <c r="AA250" i="2"/>
  <c r="Z250" i="2"/>
  <c r="Y250" i="2"/>
  <c r="X250" i="2"/>
  <c r="W250" i="2"/>
  <c r="V250" i="2"/>
  <c r="U250" i="2"/>
  <c r="T250" i="2"/>
  <c r="S250" i="2"/>
  <c r="R250" i="2"/>
  <c r="Q250" i="2"/>
  <c r="P250" i="2"/>
  <c r="O250" i="2"/>
  <c r="N250" i="2"/>
  <c r="M250" i="2"/>
  <c r="L250" i="2"/>
  <c r="K250" i="2"/>
  <c r="J250" i="2"/>
  <c r="I250" i="2"/>
  <c r="H250" i="2"/>
  <c r="G250" i="2"/>
  <c r="F250" i="2"/>
  <c r="E250" i="2"/>
  <c r="D250" i="2"/>
  <c r="C250" i="2"/>
  <c r="B250" i="2"/>
  <c r="A250" i="2"/>
  <c r="AD249" i="2"/>
  <c r="AC249" i="2"/>
  <c r="AB249" i="2"/>
  <c r="AA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D248" i="2"/>
  <c r="AC248" i="2"/>
  <c r="AB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D247" i="2"/>
  <c r="AC247" i="2"/>
  <c r="AB247" i="2"/>
  <c r="AA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D246" i="2"/>
  <c r="AC246" i="2"/>
  <c r="AB246" i="2"/>
  <c r="AA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D245" i="2"/>
  <c r="AC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D244" i="2"/>
  <c r="AC244" i="2"/>
  <c r="AB244" i="2"/>
  <c r="AA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D243" i="2"/>
  <c r="AC243" i="2"/>
  <c r="AB243" i="2"/>
  <c r="AA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D242" i="2"/>
  <c r="AC242" i="2"/>
  <c r="AB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D241" i="2"/>
  <c r="AC241"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D240" i="2"/>
  <c r="AC240" i="2"/>
  <c r="AB240" i="2"/>
  <c r="AA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D239" i="2"/>
  <c r="AC239" i="2"/>
  <c r="AB239" i="2"/>
  <c r="AA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D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D237" i="2"/>
  <c r="AC237" i="2"/>
  <c r="AB237" i="2"/>
  <c r="AA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D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D235" i="2"/>
  <c r="AC235" i="2"/>
  <c r="AB235" i="2"/>
  <c r="AA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D234" i="2"/>
  <c r="AC234"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D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D232" i="2"/>
  <c r="AC232" i="2"/>
  <c r="AB232" i="2"/>
  <c r="AA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D231" i="2"/>
  <c r="AC231" i="2"/>
  <c r="AB231" i="2"/>
  <c r="AA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D230" i="2"/>
  <c r="AC230"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D229" i="2"/>
  <c r="AC229" i="2"/>
  <c r="AB229" i="2"/>
  <c r="AA229" i="2"/>
  <c r="Z229" i="2"/>
  <c r="Y229" i="2"/>
  <c r="X229" i="2"/>
  <c r="W229" i="2"/>
  <c r="V229" i="2"/>
  <c r="U229" i="2"/>
  <c r="T229" i="2"/>
  <c r="S229" i="2"/>
  <c r="R229" i="2"/>
  <c r="Q229" i="2"/>
  <c r="P229" i="2"/>
  <c r="O229" i="2"/>
  <c r="N229" i="2"/>
  <c r="M229" i="2"/>
  <c r="L229" i="2"/>
  <c r="K229" i="2"/>
  <c r="J229" i="2"/>
  <c r="I229" i="2"/>
  <c r="H229" i="2"/>
  <c r="G229" i="2"/>
  <c r="F229" i="2"/>
  <c r="E229" i="2"/>
  <c r="D229" i="2"/>
  <c r="C229" i="2"/>
  <c r="B229" i="2"/>
  <c r="A229" i="2"/>
  <c r="AD228" i="2"/>
  <c r="AC228" i="2"/>
  <c r="AB228" i="2"/>
  <c r="AA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D227" i="2"/>
  <c r="AC227" i="2"/>
  <c r="AB227" i="2"/>
  <c r="AA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D226" i="2"/>
  <c r="AC226" i="2"/>
  <c r="AB226" i="2"/>
  <c r="AA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D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D224" i="2"/>
  <c r="AC224" i="2"/>
  <c r="AB224" i="2"/>
  <c r="AA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B223" i="2"/>
  <c r="A223" i="2"/>
  <c r="AD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D221" i="2"/>
  <c r="AC221" i="2"/>
  <c r="AB221" i="2"/>
  <c r="AA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D220" i="2"/>
  <c r="AC220" i="2"/>
  <c r="AB220" i="2"/>
  <c r="AA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D219" i="2"/>
  <c r="AC219" i="2"/>
  <c r="AB219" i="2"/>
  <c r="AA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D218" i="2"/>
  <c r="AC218" i="2"/>
  <c r="AB218" i="2"/>
  <c r="AA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D217" i="2"/>
  <c r="AC217" i="2"/>
  <c r="AB217" i="2"/>
  <c r="AA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D216" i="2"/>
  <c r="AC216"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D215" i="2"/>
  <c r="AC215"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D214" i="2"/>
  <c r="AC214" i="2"/>
  <c r="AB214" i="2"/>
  <c r="AA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D213" i="2"/>
  <c r="AC213" i="2"/>
  <c r="AB213" i="2"/>
  <c r="AA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D212" i="2"/>
  <c r="AC212" i="2"/>
  <c r="AB212" i="2"/>
  <c r="AA212" i="2"/>
  <c r="Z212" i="2"/>
  <c r="Y212" i="2"/>
  <c r="X212" i="2"/>
  <c r="W212" i="2"/>
  <c r="V212" i="2"/>
  <c r="U212" i="2"/>
  <c r="T212" i="2"/>
  <c r="S212" i="2"/>
  <c r="R212" i="2"/>
  <c r="Q212" i="2"/>
  <c r="P212" i="2"/>
  <c r="O212" i="2"/>
  <c r="N212" i="2"/>
  <c r="M212" i="2"/>
  <c r="L212" i="2"/>
  <c r="K212" i="2"/>
  <c r="J212" i="2"/>
  <c r="I212" i="2"/>
  <c r="H212" i="2"/>
  <c r="G212" i="2"/>
  <c r="F212" i="2"/>
  <c r="E212" i="2"/>
  <c r="D212" i="2"/>
  <c r="C212" i="2"/>
  <c r="B212" i="2"/>
  <c r="A212" i="2"/>
  <c r="AD211" i="2"/>
  <c r="AC211" i="2"/>
  <c r="AB211" i="2"/>
  <c r="AA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D210" i="2"/>
  <c r="AC210" i="2"/>
  <c r="AB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D209" i="2"/>
  <c r="AC209" i="2"/>
  <c r="AB209" i="2"/>
  <c r="AA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D208" i="2"/>
  <c r="AC208" i="2"/>
  <c r="AB208" i="2"/>
  <c r="AA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D207" i="2"/>
  <c r="AC207" i="2"/>
  <c r="AB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D206" i="2"/>
  <c r="AC206" i="2"/>
  <c r="AB206" i="2"/>
  <c r="AA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D205" i="2"/>
  <c r="AC205" i="2"/>
  <c r="AB205" i="2"/>
  <c r="AA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D204" i="2"/>
  <c r="AC204" i="2"/>
  <c r="AB204" i="2"/>
  <c r="AA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D203" i="2"/>
  <c r="AC203" i="2"/>
  <c r="AB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D202" i="2"/>
  <c r="AC202" i="2"/>
  <c r="AB202" i="2"/>
  <c r="AA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D201" i="2"/>
  <c r="AC201" i="2"/>
  <c r="AB201" i="2"/>
  <c r="AA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D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D199" i="2"/>
  <c r="AC199" i="2"/>
  <c r="AB199" i="2"/>
  <c r="AA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D198" i="2"/>
  <c r="AC198" i="2"/>
  <c r="AB198" i="2"/>
  <c r="AA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D197" i="2"/>
  <c r="AC197" i="2"/>
  <c r="AB197" i="2"/>
  <c r="AA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D196" i="2"/>
  <c r="AC196"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D195" i="2"/>
  <c r="AC195" i="2"/>
  <c r="AB195" i="2"/>
  <c r="AA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D194" i="2"/>
  <c r="AC194" i="2"/>
  <c r="AB194" i="2"/>
  <c r="AA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D193" i="2"/>
  <c r="AC193" i="2"/>
  <c r="AB193" i="2"/>
  <c r="AA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D191" i="2"/>
  <c r="AC191" i="2"/>
  <c r="AB191" i="2"/>
  <c r="AA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D190" i="2"/>
  <c r="AC190" i="2"/>
  <c r="AB190" i="2"/>
  <c r="AA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D189" i="2"/>
  <c r="AC189" i="2"/>
  <c r="AB189" i="2"/>
  <c r="AA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D188" i="2"/>
  <c r="AC188" i="2"/>
  <c r="AB188" i="2"/>
  <c r="AA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D187" i="2"/>
  <c r="AC187" i="2"/>
  <c r="AB187" i="2"/>
  <c r="AA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D186" i="2"/>
  <c r="AC186" i="2"/>
  <c r="AB186" i="2"/>
  <c r="AA186" i="2"/>
  <c r="Z186" i="2"/>
  <c r="Y186" i="2"/>
  <c r="X186" i="2"/>
  <c r="W186" i="2"/>
  <c r="V186" i="2"/>
  <c r="U186" i="2"/>
  <c r="T186" i="2"/>
  <c r="S186" i="2"/>
  <c r="R186" i="2"/>
  <c r="Q186" i="2"/>
  <c r="P186" i="2"/>
  <c r="O186" i="2"/>
  <c r="N186" i="2"/>
  <c r="M186" i="2"/>
  <c r="L186" i="2"/>
  <c r="K186" i="2"/>
  <c r="J186" i="2"/>
  <c r="I186" i="2"/>
  <c r="H186" i="2"/>
  <c r="G186" i="2"/>
  <c r="F186" i="2"/>
  <c r="E186" i="2"/>
  <c r="D186" i="2"/>
  <c r="C186" i="2"/>
  <c r="B186" i="2"/>
  <c r="A186" i="2"/>
  <c r="AD185" i="2"/>
  <c r="AC185" i="2"/>
  <c r="AB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D184" i="2"/>
  <c r="AC184" i="2"/>
  <c r="AB184" i="2"/>
  <c r="AA184" i="2"/>
  <c r="Z184" i="2"/>
  <c r="Y184" i="2"/>
  <c r="X184" i="2"/>
  <c r="W184" i="2"/>
  <c r="V184" i="2"/>
  <c r="U184" i="2"/>
  <c r="T184" i="2"/>
  <c r="S184" i="2"/>
  <c r="R184" i="2"/>
  <c r="Q184" i="2"/>
  <c r="P184" i="2"/>
  <c r="O184" i="2"/>
  <c r="N184" i="2"/>
  <c r="M184" i="2"/>
  <c r="L184" i="2"/>
  <c r="K184" i="2"/>
  <c r="J184" i="2"/>
  <c r="I184" i="2"/>
  <c r="H184" i="2"/>
  <c r="G184" i="2"/>
  <c r="F184" i="2"/>
  <c r="E184" i="2"/>
  <c r="D184" i="2"/>
  <c r="C184" i="2"/>
  <c r="B184" i="2"/>
  <c r="A184" i="2"/>
  <c r="AD183" i="2"/>
  <c r="AC183" i="2"/>
  <c r="AB183" i="2"/>
  <c r="AA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D182" i="2"/>
  <c r="AC182" i="2"/>
  <c r="AB182" i="2"/>
  <c r="AA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D181" i="2"/>
  <c r="AC181" i="2"/>
  <c r="AB181" i="2"/>
  <c r="AA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D180" i="2"/>
  <c r="AC180" i="2"/>
  <c r="AB180" i="2"/>
  <c r="AA180" i="2"/>
  <c r="Z180" i="2"/>
  <c r="Y180" i="2"/>
  <c r="X180" i="2"/>
  <c r="W180" i="2"/>
  <c r="V180" i="2"/>
  <c r="U180" i="2"/>
  <c r="T180" i="2"/>
  <c r="S180" i="2"/>
  <c r="R180" i="2"/>
  <c r="Q180" i="2"/>
  <c r="P180" i="2"/>
  <c r="O180" i="2"/>
  <c r="N180" i="2"/>
  <c r="M180" i="2"/>
  <c r="L180" i="2"/>
  <c r="K180" i="2"/>
  <c r="J180" i="2"/>
  <c r="I180" i="2"/>
  <c r="H180" i="2"/>
  <c r="G180" i="2"/>
  <c r="F180" i="2"/>
  <c r="E180" i="2"/>
  <c r="D180" i="2"/>
  <c r="C180" i="2"/>
  <c r="B180" i="2"/>
  <c r="A180" i="2"/>
  <c r="AD179" i="2"/>
  <c r="AC179" i="2"/>
  <c r="AB179" i="2"/>
  <c r="AA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D178" i="2"/>
  <c r="AC178" i="2"/>
  <c r="AB178" i="2"/>
  <c r="AA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D177" i="2"/>
  <c r="AC177" i="2"/>
  <c r="AB177" i="2"/>
  <c r="AA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D176" i="2"/>
  <c r="AC176" i="2"/>
  <c r="AB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D175" i="2"/>
  <c r="AC175"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D174" i="2"/>
  <c r="AC174" i="2"/>
  <c r="AB174" i="2"/>
  <c r="AA174" i="2"/>
  <c r="Z174" i="2"/>
  <c r="Y174" i="2"/>
  <c r="X174" i="2"/>
  <c r="W174" i="2"/>
  <c r="V174" i="2"/>
  <c r="U174" i="2"/>
  <c r="T174" i="2"/>
  <c r="S174" i="2"/>
  <c r="R174" i="2"/>
  <c r="Q174" i="2"/>
  <c r="P174" i="2"/>
  <c r="O174" i="2"/>
  <c r="N174" i="2"/>
  <c r="M174" i="2"/>
  <c r="L174" i="2"/>
  <c r="K174" i="2"/>
  <c r="J174" i="2"/>
  <c r="I174" i="2"/>
  <c r="H174" i="2"/>
  <c r="G174" i="2"/>
  <c r="F174" i="2"/>
  <c r="E174" i="2"/>
  <c r="D174" i="2"/>
  <c r="C174" i="2"/>
  <c r="B174" i="2"/>
  <c r="A174" i="2"/>
  <c r="AD173" i="2"/>
  <c r="AC173"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D172" i="2"/>
  <c r="AC172" i="2"/>
  <c r="AB172" i="2"/>
  <c r="AA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D171" i="2"/>
  <c r="AC171" i="2"/>
  <c r="AB171" i="2"/>
  <c r="AA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D170" i="2"/>
  <c r="AC170" i="2"/>
  <c r="AB170" i="2"/>
  <c r="AA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D169" i="2"/>
  <c r="AC169" i="2"/>
  <c r="AB169" i="2"/>
  <c r="AA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D168" i="2"/>
  <c r="AC168" i="2"/>
  <c r="AB168" i="2"/>
  <c r="AA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D167" i="2"/>
  <c r="AC167" i="2"/>
  <c r="AB167" i="2"/>
  <c r="AA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D166" i="2"/>
  <c r="AC166" i="2"/>
  <c r="AB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D165" i="2"/>
  <c r="AC165" i="2"/>
  <c r="AB165" i="2"/>
  <c r="AA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D164" i="2"/>
  <c r="AC164" i="2"/>
  <c r="AB164" i="2"/>
  <c r="AA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D163" i="2"/>
  <c r="AC163"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D162" i="2"/>
  <c r="AC162" i="2"/>
  <c r="AB162" i="2"/>
  <c r="AA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D161" i="2"/>
  <c r="AC161" i="2"/>
  <c r="AB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D160" i="2"/>
  <c r="AC160" i="2"/>
  <c r="AB160" i="2"/>
  <c r="AA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D159" i="2"/>
  <c r="AC159" i="2"/>
  <c r="AB159" i="2"/>
  <c r="AA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D158" i="2"/>
  <c r="AC158" i="2"/>
  <c r="AB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D157" i="2"/>
  <c r="AC157" i="2"/>
  <c r="AB157" i="2"/>
  <c r="AA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D156" i="2"/>
  <c r="AC156" i="2"/>
  <c r="AB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D155" i="2"/>
  <c r="AC155" i="2"/>
  <c r="AB155" i="2"/>
  <c r="AA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D154" i="2"/>
  <c r="AC154" i="2"/>
  <c r="AB154" i="2"/>
  <c r="AA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D153" i="2"/>
  <c r="AC153" i="2"/>
  <c r="AB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D152" i="2"/>
  <c r="AC152" i="2"/>
  <c r="AB152" i="2"/>
  <c r="AA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D151" i="2"/>
  <c r="AC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D150" i="2"/>
  <c r="AC150" i="2"/>
  <c r="AB150" i="2"/>
  <c r="AA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D149" i="2"/>
  <c r="AC149" i="2"/>
  <c r="AB149" i="2"/>
  <c r="AA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D148" i="2"/>
  <c r="AC148" i="2"/>
  <c r="AB148" i="2"/>
  <c r="AA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D147" i="2"/>
  <c r="AC147" i="2"/>
  <c r="AB147" i="2"/>
  <c r="AA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D146" i="2"/>
  <c r="AC146" i="2"/>
  <c r="AB146" i="2"/>
  <c r="AA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D145" i="2"/>
  <c r="AC145" i="2"/>
  <c r="AB145" i="2"/>
  <c r="AA145" i="2"/>
  <c r="Z145" i="2"/>
  <c r="Y145" i="2"/>
  <c r="X145" i="2"/>
  <c r="W145" i="2"/>
  <c r="V145" i="2"/>
  <c r="U145" i="2"/>
  <c r="T145" i="2"/>
  <c r="S145" i="2"/>
  <c r="R145" i="2"/>
  <c r="Q145" i="2"/>
  <c r="P145" i="2"/>
  <c r="O145" i="2"/>
  <c r="N145" i="2"/>
  <c r="M145" i="2"/>
  <c r="L145" i="2"/>
  <c r="K145" i="2"/>
  <c r="J145" i="2"/>
  <c r="I145" i="2"/>
  <c r="H145" i="2"/>
  <c r="G145" i="2"/>
  <c r="F145" i="2"/>
  <c r="E145" i="2"/>
  <c r="D145" i="2"/>
  <c r="C145" i="2"/>
  <c r="B145" i="2"/>
  <c r="A145" i="2"/>
  <c r="AD144" i="2"/>
  <c r="AC144" i="2"/>
  <c r="AB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D143" i="2"/>
  <c r="AC143"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D142" i="2"/>
  <c r="AC142" i="2"/>
  <c r="AB142" i="2"/>
  <c r="AA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D141" i="2"/>
  <c r="AC141" i="2"/>
  <c r="AB141" i="2"/>
  <c r="AA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D140" i="2"/>
  <c r="AC140" i="2"/>
  <c r="AB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D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D138" i="2"/>
  <c r="AC138"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D137" i="2"/>
  <c r="AC137" i="2"/>
  <c r="AB137" i="2"/>
  <c r="AA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D136" i="2"/>
  <c r="AC136"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D135" i="2"/>
  <c r="AC135" i="2"/>
  <c r="AB135" i="2"/>
  <c r="AA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D134" i="2"/>
  <c r="AC134" i="2"/>
  <c r="AB134" i="2"/>
  <c r="AA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D133" i="2"/>
  <c r="AC133" i="2"/>
  <c r="AB133" i="2"/>
  <c r="AA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D132" i="2"/>
  <c r="AC132" i="2"/>
  <c r="AB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D131" i="2"/>
  <c r="AC131" i="2"/>
  <c r="AB131" i="2"/>
  <c r="AA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D130" i="2"/>
  <c r="AC130"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D129" i="2"/>
  <c r="AC129"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D128" i="2"/>
  <c r="AC128" i="2"/>
  <c r="AB128" i="2"/>
  <c r="AA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D127" i="2"/>
  <c r="AC127" i="2"/>
  <c r="AB127" i="2"/>
  <c r="AA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D126" i="2"/>
  <c r="AC126" i="2"/>
  <c r="AB126" i="2"/>
  <c r="AA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D125" i="2"/>
  <c r="AC125" i="2"/>
  <c r="AB125" i="2"/>
  <c r="AA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D124" i="2"/>
  <c r="AC124"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D123" i="2"/>
  <c r="AC123" i="2"/>
  <c r="AB123" i="2"/>
  <c r="AA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D122" i="2"/>
  <c r="AC122" i="2"/>
  <c r="AB122" i="2"/>
  <c r="AA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D121" i="2"/>
  <c r="AC121" i="2"/>
  <c r="AB121" i="2"/>
  <c r="AA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D120" i="2"/>
  <c r="AC120" i="2"/>
  <c r="AB120" i="2"/>
  <c r="AA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D119" i="2"/>
  <c r="AC119" i="2"/>
  <c r="AB119" i="2"/>
  <c r="AA119" i="2"/>
  <c r="Z119" i="2"/>
  <c r="Y119" i="2"/>
  <c r="X119" i="2"/>
  <c r="W119" i="2"/>
  <c r="V119" i="2"/>
  <c r="U119" i="2"/>
  <c r="T119" i="2"/>
  <c r="S119" i="2"/>
  <c r="R119" i="2"/>
  <c r="Q119" i="2"/>
  <c r="P119" i="2"/>
  <c r="O119" i="2"/>
  <c r="N119" i="2"/>
  <c r="M119" i="2"/>
  <c r="L119" i="2"/>
  <c r="K119" i="2"/>
  <c r="J119" i="2"/>
  <c r="I119" i="2"/>
  <c r="H119" i="2"/>
  <c r="G119" i="2"/>
  <c r="F119" i="2"/>
  <c r="E119" i="2"/>
  <c r="D119" i="2"/>
  <c r="C119" i="2"/>
  <c r="B119" i="2"/>
  <c r="A119" i="2"/>
  <c r="AD118" i="2"/>
  <c r="AC118" i="2"/>
  <c r="AB118" i="2"/>
  <c r="AA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D117" i="2"/>
  <c r="AC117" i="2"/>
  <c r="AB117" i="2"/>
  <c r="AA117" i="2"/>
  <c r="Z117" i="2"/>
  <c r="Y117" i="2"/>
  <c r="X117" i="2"/>
  <c r="W117" i="2"/>
  <c r="V117" i="2"/>
  <c r="U117" i="2"/>
  <c r="T117" i="2"/>
  <c r="S117" i="2"/>
  <c r="R117" i="2"/>
  <c r="Q117" i="2"/>
  <c r="P117" i="2"/>
  <c r="O117" i="2"/>
  <c r="N117" i="2"/>
  <c r="M117" i="2"/>
  <c r="L117" i="2"/>
  <c r="K117" i="2"/>
  <c r="J117" i="2"/>
  <c r="I117" i="2"/>
  <c r="H117" i="2"/>
  <c r="G117" i="2"/>
  <c r="F117" i="2"/>
  <c r="E117" i="2"/>
  <c r="D117" i="2"/>
  <c r="C117" i="2"/>
  <c r="B117" i="2"/>
  <c r="A117" i="2"/>
  <c r="AD116" i="2"/>
  <c r="AC116" i="2"/>
  <c r="AB116" i="2"/>
  <c r="AA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D115" i="2"/>
  <c r="AC115" i="2"/>
  <c r="AB115" i="2"/>
  <c r="AA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D114" i="2"/>
  <c r="AC114" i="2"/>
  <c r="AB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D113" i="2"/>
  <c r="AC113" i="2"/>
  <c r="AB113" i="2"/>
  <c r="AA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D112" i="2"/>
  <c r="AC112" i="2"/>
  <c r="AB112" i="2"/>
  <c r="AA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D111" i="2"/>
  <c r="AC111" i="2"/>
  <c r="AB111" i="2"/>
  <c r="AA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D110" i="2"/>
  <c r="AC110" i="2"/>
  <c r="AB110" i="2"/>
  <c r="AA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D109" i="2"/>
  <c r="AC109" i="2"/>
  <c r="AB109" i="2"/>
  <c r="AA109" i="2"/>
  <c r="Z109" i="2"/>
  <c r="Y109" i="2"/>
  <c r="X109" i="2"/>
  <c r="W109" i="2"/>
  <c r="V109" i="2"/>
  <c r="U109" i="2"/>
  <c r="T109" i="2"/>
  <c r="S109" i="2"/>
  <c r="R109" i="2"/>
  <c r="Q109" i="2"/>
  <c r="P109" i="2"/>
  <c r="O109" i="2"/>
  <c r="N109" i="2"/>
  <c r="M109" i="2"/>
  <c r="L109" i="2"/>
  <c r="K109" i="2"/>
  <c r="J109" i="2"/>
  <c r="I109" i="2"/>
  <c r="H109" i="2"/>
  <c r="G109" i="2"/>
  <c r="F109" i="2"/>
  <c r="E109" i="2"/>
  <c r="D109" i="2"/>
  <c r="C109" i="2"/>
  <c r="B109" i="2"/>
  <c r="A109" i="2"/>
  <c r="AD108" i="2"/>
  <c r="AC108" i="2"/>
  <c r="AB108" i="2"/>
  <c r="AA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D107" i="2"/>
  <c r="AC107" i="2"/>
  <c r="AB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D106" i="2"/>
  <c r="AC106" i="2"/>
  <c r="AB106" i="2"/>
  <c r="AA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D105" i="2"/>
  <c r="AC105" i="2"/>
  <c r="AB105" i="2"/>
  <c r="AA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D104" i="2"/>
  <c r="AC104" i="2"/>
  <c r="AB104" i="2"/>
  <c r="AA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D103" i="2"/>
  <c r="AC103" i="2"/>
  <c r="AB103" i="2"/>
  <c r="AA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D102" i="2"/>
  <c r="AC102" i="2"/>
  <c r="AB102" i="2"/>
  <c r="AA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D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D100" i="2"/>
  <c r="AC100" i="2"/>
  <c r="AB100" i="2"/>
  <c r="AA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D99" i="2"/>
  <c r="AC99" i="2"/>
  <c r="AB99" i="2"/>
  <c r="AA99" i="2"/>
  <c r="Z99" i="2"/>
  <c r="Y99" i="2"/>
  <c r="X99" i="2"/>
  <c r="W99" i="2"/>
  <c r="V99" i="2"/>
  <c r="U99" i="2"/>
  <c r="T99" i="2"/>
  <c r="S99" i="2"/>
  <c r="R99" i="2"/>
  <c r="Q99" i="2"/>
  <c r="P99" i="2"/>
  <c r="O99" i="2"/>
  <c r="N99" i="2"/>
  <c r="M99" i="2"/>
  <c r="L99" i="2"/>
  <c r="K99" i="2"/>
  <c r="J99" i="2"/>
  <c r="I99" i="2"/>
  <c r="H99" i="2"/>
  <c r="G99" i="2"/>
  <c r="F99" i="2"/>
  <c r="E99" i="2"/>
  <c r="D99" i="2"/>
  <c r="C99" i="2"/>
  <c r="B99" i="2"/>
  <c r="A99" i="2"/>
  <c r="AD98" i="2"/>
  <c r="AC98" i="2"/>
  <c r="AB98" i="2"/>
  <c r="AA98" i="2"/>
  <c r="Z98" i="2"/>
  <c r="Y98" i="2"/>
  <c r="X98" i="2"/>
  <c r="W98" i="2"/>
  <c r="V98" i="2"/>
  <c r="U98" i="2"/>
  <c r="T98" i="2"/>
  <c r="S98" i="2"/>
  <c r="R98" i="2"/>
  <c r="Q98" i="2"/>
  <c r="P98" i="2"/>
  <c r="O98" i="2"/>
  <c r="N98" i="2"/>
  <c r="M98" i="2"/>
  <c r="L98" i="2"/>
  <c r="K98" i="2"/>
  <c r="J98" i="2"/>
  <c r="I98" i="2"/>
  <c r="H98" i="2"/>
  <c r="G98" i="2"/>
  <c r="F98" i="2"/>
  <c r="E98" i="2"/>
  <c r="D98" i="2"/>
  <c r="C98" i="2"/>
  <c r="B98" i="2"/>
  <c r="A98" i="2"/>
  <c r="AD97" i="2"/>
  <c r="AC97" i="2"/>
  <c r="AB97" i="2"/>
  <c r="AA97" i="2"/>
  <c r="Z97" i="2"/>
  <c r="Y97" i="2"/>
  <c r="X97" i="2"/>
  <c r="W97" i="2"/>
  <c r="V97" i="2"/>
  <c r="U97" i="2"/>
  <c r="T97" i="2"/>
  <c r="S97" i="2"/>
  <c r="R97" i="2"/>
  <c r="Q97" i="2"/>
  <c r="P97" i="2"/>
  <c r="O97" i="2"/>
  <c r="N97" i="2"/>
  <c r="M97" i="2"/>
  <c r="L97" i="2"/>
  <c r="K97" i="2"/>
  <c r="J97" i="2"/>
  <c r="I97" i="2"/>
  <c r="H97" i="2"/>
  <c r="G97" i="2"/>
  <c r="F97" i="2"/>
  <c r="E97" i="2"/>
  <c r="D97" i="2"/>
  <c r="C97" i="2"/>
  <c r="B97" i="2"/>
  <c r="A97" i="2"/>
  <c r="AD96" i="2"/>
  <c r="AC96" i="2"/>
  <c r="AB96" i="2"/>
  <c r="AA96" i="2"/>
  <c r="Z96" i="2"/>
  <c r="Y96" i="2"/>
  <c r="X96" i="2"/>
  <c r="W96" i="2"/>
  <c r="V96" i="2"/>
  <c r="U96" i="2"/>
  <c r="T96" i="2"/>
  <c r="S96" i="2"/>
  <c r="R96" i="2"/>
  <c r="Q96" i="2"/>
  <c r="P96" i="2"/>
  <c r="O96" i="2"/>
  <c r="N96" i="2"/>
  <c r="M96" i="2"/>
  <c r="L96" i="2"/>
  <c r="K96" i="2"/>
  <c r="J96" i="2"/>
  <c r="I96" i="2"/>
  <c r="H96" i="2"/>
  <c r="G96" i="2"/>
  <c r="F96" i="2"/>
  <c r="E96" i="2"/>
  <c r="D96" i="2"/>
  <c r="C96" i="2"/>
  <c r="B96" i="2"/>
  <c r="A96" i="2"/>
  <c r="AD95" i="2"/>
  <c r="AC95" i="2"/>
  <c r="AB95" i="2"/>
  <c r="AA95" i="2"/>
  <c r="Z95" i="2"/>
  <c r="Y95" i="2"/>
  <c r="X95" i="2"/>
  <c r="W95" i="2"/>
  <c r="V95" i="2"/>
  <c r="U95" i="2"/>
  <c r="T95" i="2"/>
  <c r="S95" i="2"/>
  <c r="R95" i="2"/>
  <c r="Q95" i="2"/>
  <c r="P95" i="2"/>
  <c r="O95" i="2"/>
  <c r="N95" i="2"/>
  <c r="M95" i="2"/>
  <c r="L95" i="2"/>
  <c r="K95" i="2"/>
  <c r="J95" i="2"/>
  <c r="I95" i="2"/>
  <c r="H95" i="2"/>
  <c r="G95" i="2"/>
  <c r="F95" i="2"/>
  <c r="E95" i="2"/>
  <c r="D95" i="2"/>
  <c r="C95" i="2"/>
  <c r="B95" i="2"/>
  <c r="A95" i="2"/>
  <c r="AD94" i="2"/>
  <c r="AC94" i="2"/>
  <c r="AB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D93" i="2"/>
  <c r="AC93"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D92" i="2"/>
  <c r="AC92" i="2"/>
  <c r="AB92" i="2"/>
  <c r="AA92" i="2"/>
  <c r="Z92" i="2"/>
  <c r="Y92" i="2"/>
  <c r="X92" i="2"/>
  <c r="W92" i="2"/>
  <c r="V92" i="2"/>
  <c r="U92" i="2"/>
  <c r="T92" i="2"/>
  <c r="S92" i="2"/>
  <c r="R92" i="2"/>
  <c r="Q92" i="2"/>
  <c r="P92" i="2"/>
  <c r="O92" i="2"/>
  <c r="N92" i="2"/>
  <c r="M92" i="2"/>
  <c r="L92" i="2"/>
  <c r="K92" i="2"/>
  <c r="J92" i="2"/>
  <c r="I92" i="2"/>
  <c r="H92" i="2"/>
  <c r="G92" i="2"/>
  <c r="F92" i="2"/>
  <c r="E92" i="2"/>
  <c r="D92" i="2"/>
  <c r="C92" i="2"/>
  <c r="B92" i="2"/>
  <c r="A92" i="2"/>
  <c r="AD91" i="2"/>
  <c r="AC91" i="2"/>
  <c r="AB91" i="2"/>
  <c r="AA91" i="2"/>
  <c r="Z91" i="2"/>
  <c r="Y91" i="2"/>
  <c r="X91" i="2"/>
  <c r="W91" i="2"/>
  <c r="V91" i="2"/>
  <c r="U91" i="2"/>
  <c r="T91" i="2"/>
  <c r="S91" i="2"/>
  <c r="R91" i="2"/>
  <c r="Q91" i="2"/>
  <c r="P91" i="2"/>
  <c r="O91" i="2"/>
  <c r="N91" i="2"/>
  <c r="M91" i="2"/>
  <c r="L91" i="2"/>
  <c r="K91" i="2"/>
  <c r="J91" i="2"/>
  <c r="I91" i="2"/>
  <c r="H91" i="2"/>
  <c r="G91" i="2"/>
  <c r="F91" i="2"/>
  <c r="E91" i="2"/>
  <c r="D91" i="2"/>
  <c r="C91" i="2"/>
  <c r="B91" i="2"/>
  <c r="A91" i="2"/>
  <c r="AD90" i="2"/>
  <c r="AC90" i="2"/>
  <c r="AB90" i="2"/>
  <c r="AA90" i="2"/>
  <c r="Z90" i="2"/>
  <c r="Y90" i="2"/>
  <c r="X90" i="2"/>
  <c r="W90" i="2"/>
  <c r="V90" i="2"/>
  <c r="U90" i="2"/>
  <c r="T90" i="2"/>
  <c r="S90" i="2"/>
  <c r="R90" i="2"/>
  <c r="Q90" i="2"/>
  <c r="P90" i="2"/>
  <c r="O90" i="2"/>
  <c r="N90" i="2"/>
  <c r="M90" i="2"/>
  <c r="L90" i="2"/>
  <c r="K90" i="2"/>
  <c r="J90" i="2"/>
  <c r="I90" i="2"/>
  <c r="H90" i="2"/>
  <c r="G90" i="2"/>
  <c r="F90" i="2"/>
  <c r="E90" i="2"/>
  <c r="D90" i="2"/>
  <c r="C90" i="2"/>
  <c r="B90" i="2"/>
  <c r="A90" i="2"/>
  <c r="AD89" i="2"/>
  <c r="AC89" i="2"/>
  <c r="AB89" i="2"/>
  <c r="AA89" i="2"/>
  <c r="Z89" i="2"/>
  <c r="Y89" i="2"/>
  <c r="X89" i="2"/>
  <c r="W89" i="2"/>
  <c r="V89" i="2"/>
  <c r="U89" i="2"/>
  <c r="T89" i="2"/>
  <c r="S89" i="2"/>
  <c r="R89" i="2"/>
  <c r="Q89" i="2"/>
  <c r="P89" i="2"/>
  <c r="O89" i="2"/>
  <c r="N89" i="2"/>
  <c r="M89" i="2"/>
  <c r="L89" i="2"/>
  <c r="K89" i="2"/>
  <c r="J89" i="2"/>
  <c r="I89" i="2"/>
  <c r="H89" i="2"/>
  <c r="G89" i="2"/>
  <c r="F89" i="2"/>
  <c r="E89" i="2"/>
  <c r="D89" i="2"/>
  <c r="C89" i="2"/>
  <c r="B89" i="2"/>
  <c r="A89" i="2"/>
  <c r="AD88" i="2"/>
  <c r="AC88" i="2"/>
  <c r="AB88" i="2"/>
  <c r="AA88" i="2"/>
  <c r="Z88" i="2"/>
  <c r="Y88" i="2"/>
  <c r="X88" i="2"/>
  <c r="W88" i="2"/>
  <c r="V88" i="2"/>
  <c r="U88" i="2"/>
  <c r="T88" i="2"/>
  <c r="S88" i="2"/>
  <c r="R88" i="2"/>
  <c r="Q88" i="2"/>
  <c r="P88" i="2"/>
  <c r="O88" i="2"/>
  <c r="N88" i="2"/>
  <c r="M88" i="2"/>
  <c r="L88" i="2"/>
  <c r="K88" i="2"/>
  <c r="J88" i="2"/>
  <c r="I88" i="2"/>
  <c r="H88" i="2"/>
  <c r="G88" i="2"/>
  <c r="F88" i="2"/>
  <c r="E88" i="2"/>
  <c r="D88" i="2"/>
  <c r="C88" i="2"/>
  <c r="B88" i="2"/>
  <c r="A88" i="2"/>
  <c r="AD87" i="2"/>
  <c r="AC87" i="2"/>
  <c r="AB87" i="2"/>
  <c r="AA87" i="2"/>
  <c r="Z87" i="2"/>
  <c r="Y87" i="2"/>
  <c r="X87" i="2"/>
  <c r="W87" i="2"/>
  <c r="V87" i="2"/>
  <c r="U87" i="2"/>
  <c r="T87" i="2"/>
  <c r="S87" i="2"/>
  <c r="R87" i="2"/>
  <c r="Q87" i="2"/>
  <c r="P87" i="2"/>
  <c r="O87" i="2"/>
  <c r="N87" i="2"/>
  <c r="M87" i="2"/>
  <c r="L87" i="2"/>
  <c r="K87" i="2"/>
  <c r="J87" i="2"/>
  <c r="I87" i="2"/>
  <c r="H87" i="2"/>
  <c r="G87" i="2"/>
  <c r="F87" i="2"/>
  <c r="E87" i="2"/>
  <c r="D87" i="2"/>
  <c r="C87" i="2"/>
  <c r="B87" i="2"/>
  <c r="A87" i="2"/>
  <c r="AD86" i="2"/>
  <c r="AC86" i="2"/>
  <c r="AB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D85" i="2"/>
  <c r="AC85" i="2"/>
  <c r="AB85" i="2"/>
  <c r="AA85" i="2"/>
  <c r="Z85" i="2"/>
  <c r="Y85" i="2"/>
  <c r="X85" i="2"/>
  <c r="W85" i="2"/>
  <c r="V85" i="2"/>
  <c r="U85" i="2"/>
  <c r="T85" i="2"/>
  <c r="S85" i="2"/>
  <c r="R85" i="2"/>
  <c r="Q85" i="2"/>
  <c r="P85" i="2"/>
  <c r="O85" i="2"/>
  <c r="N85" i="2"/>
  <c r="M85" i="2"/>
  <c r="L85" i="2"/>
  <c r="K85" i="2"/>
  <c r="J85" i="2"/>
  <c r="I85" i="2"/>
  <c r="H85" i="2"/>
  <c r="G85" i="2"/>
  <c r="F85" i="2"/>
  <c r="E85" i="2"/>
  <c r="D85" i="2"/>
  <c r="C85" i="2"/>
  <c r="B85" i="2"/>
  <c r="A85" i="2"/>
  <c r="AD84" i="2"/>
  <c r="AC84" i="2"/>
  <c r="AB84" i="2"/>
  <c r="AA84" i="2"/>
  <c r="Z84" i="2"/>
  <c r="Y84" i="2"/>
  <c r="X84" i="2"/>
  <c r="W84" i="2"/>
  <c r="V84" i="2"/>
  <c r="U84" i="2"/>
  <c r="T84" i="2"/>
  <c r="S84" i="2"/>
  <c r="R84" i="2"/>
  <c r="Q84" i="2"/>
  <c r="P84" i="2"/>
  <c r="O84" i="2"/>
  <c r="N84" i="2"/>
  <c r="M84" i="2"/>
  <c r="L84" i="2"/>
  <c r="K84" i="2"/>
  <c r="J84" i="2"/>
  <c r="I84" i="2"/>
  <c r="H84" i="2"/>
  <c r="G84" i="2"/>
  <c r="F84" i="2"/>
  <c r="E84" i="2"/>
  <c r="D84" i="2"/>
  <c r="C84" i="2"/>
  <c r="B84" i="2"/>
  <c r="A84" i="2"/>
  <c r="AD83" i="2"/>
  <c r="AC83" i="2"/>
  <c r="AB83" i="2"/>
  <c r="AA83" i="2"/>
  <c r="Z83" i="2"/>
  <c r="Y83" i="2"/>
  <c r="X83" i="2"/>
  <c r="W83" i="2"/>
  <c r="V83" i="2"/>
  <c r="U83" i="2"/>
  <c r="T83" i="2"/>
  <c r="S83" i="2"/>
  <c r="R83" i="2"/>
  <c r="Q83" i="2"/>
  <c r="P83" i="2"/>
  <c r="O83" i="2"/>
  <c r="N83" i="2"/>
  <c r="M83" i="2"/>
  <c r="L83" i="2"/>
  <c r="K83" i="2"/>
  <c r="J83" i="2"/>
  <c r="I83" i="2"/>
  <c r="H83" i="2"/>
  <c r="G83" i="2"/>
  <c r="F83" i="2"/>
  <c r="E83" i="2"/>
  <c r="D83" i="2"/>
  <c r="C83" i="2"/>
  <c r="B83" i="2"/>
  <c r="A83" i="2"/>
  <c r="AD82" i="2"/>
  <c r="AC82" i="2"/>
  <c r="AB82" i="2"/>
  <c r="AA82" i="2"/>
  <c r="Z82" i="2"/>
  <c r="Y82" i="2"/>
  <c r="X82" i="2"/>
  <c r="W82" i="2"/>
  <c r="V82" i="2"/>
  <c r="U82" i="2"/>
  <c r="T82" i="2"/>
  <c r="S82" i="2"/>
  <c r="R82" i="2"/>
  <c r="Q82" i="2"/>
  <c r="P82" i="2"/>
  <c r="O82" i="2"/>
  <c r="N82" i="2"/>
  <c r="M82" i="2"/>
  <c r="L82" i="2"/>
  <c r="K82" i="2"/>
  <c r="J82" i="2"/>
  <c r="I82" i="2"/>
  <c r="H82" i="2"/>
  <c r="G82" i="2"/>
  <c r="F82" i="2"/>
  <c r="E82" i="2"/>
  <c r="D82" i="2"/>
  <c r="C82" i="2"/>
  <c r="B82" i="2"/>
  <c r="A82" i="2"/>
  <c r="AD81" i="2"/>
  <c r="AC81" i="2"/>
  <c r="AB81" i="2"/>
  <c r="AA81" i="2"/>
  <c r="Z81" i="2"/>
  <c r="Y81" i="2"/>
  <c r="X81" i="2"/>
  <c r="W81" i="2"/>
  <c r="V81" i="2"/>
  <c r="U81" i="2"/>
  <c r="T81" i="2"/>
  <c r="S81" i="2"/>
  <c r="R81" i="2"/>
  <c r="Q81" i="2"/>
  <c r="P81" i="2"/>
  <c r="O81" i="2"/>
  <c r="N81" i="2"/>
  <c r="M81" i="2"/>
  <c r="L81" i="2"/>
  <c r="K81" i="2"/>
  <c r="J81" i="2"/>
  <c r="I81" i="2"/>
  <c r="H81" i="2"/>
  <c r="G81" i="2"/>
  <c r="F81" i="2"/>
  <c r="E81" i="2"/>
  <c r="D81" i="2"/>
  <c r="C81" i="2"/>
  <c r="B81" i="2"/>
  <c r="A81" i="2"/>
  <c r="AD80" i="2"/>
  <c r="AC80" i="2"/>
  <c r="AB80" i="2"/>
  <c r="AA80" i="2"/>
  <c r="Z80" i="2"/>
  <c r="Y80" i="2"/>
  <c r="X80" i="2"/>
  <c r="W80" i="2"/>
  <c r="V80" i="2"/>
  <c r="U80" i="2"/>
  <c r="T80" i="2"/>
  <c r="S80" i="2"/>
  <c r="R80" i="2"/>
  <c r="Q80" i="2"/>
  <c r="P80" i="2"/>
  <c r="O80" i="2"/>
  <c r="N80" i="2"/>
  <c r="M80" i="2"/>
  <c r="L80" i="2"/>
  <c r="K80" i="2"/>
  <c r="J80" i="2"/>
  <c r="I80" i="2"/>
  <c r="H80" i="2"/>
  <c r="G80" i="2"/>
  <c r="F80" i="2"/>
  <c r="E80" i="2"/>
  <c r="D80" i="2"/>
  <c r="C80" i="2"/>
  <c r="B80" i="2"/>
  <c r="A80" i="2"/>
  <c r="AD79" i="2"/>
  <c r="AC79" i="2"/>
  <c r="AB79" i="2"/>
  <c r="AA79" i="2"/>
  <c r="Z79" i="2"/>
  <c r="Y79" i="2"/>
  <c r="X79" i="2"/>
  <c r="W79" i="2"/>
  <c r="V79" i="2"/>
  <c r="U79" i="2"/>
  <c r="T79" i="2"/>
  <c r="S79" i="2"/>
  <c r="R79" i="2"/>
  <c r="Q79" i="2"/>
  <c r="P79" i="2"/>
  <c r="O79" i="2"/>
  <c r="N79" i="2"/>
  <c r="M79" i="2"/>
  <c r="L79" i="2"/>
  <c r="K79" i="2"/>
  <c r="J79" i="2"/>
  <c r="I79" i="2"/>
  <c r="H79" i="2"/>
  <c r="G79" i="2"/>
  <c r="F79" i="2"/>
  <c r="E79" i="2"/>
  <c r="D79" i="2"/>
  <c r="C79" i="2"/>
  <c r="B79" i="2"/>
  <c r="A79" i="2"/>
  <c r="AD78" i="2"/>
  <c r="AC78" i="2"/>
  <c r="AB78" i="2"/>
  <c r="AA78" i="2"/>
  <c r="Z78" i="2"/>
  <c r="Y78" i="2"/>
  <c r="X78" i="2"/>
  <c r="W78" i="2"/>
  <c r="V78" i="2"/>
  <c r="U78" i="2"/>
  <c r="T78" i="2"/>
  <c r="S78" i="2"/>
  <c r="R78" i="2"/>
  <c r="Q78" i="2"/>
  <c r="P78" i="2"/>
  <c r="O78" i="2"/>
  <c r="N78" i="2"/>
  <c r="M78" i="2"/>
  <c r="L78" i="2"/>
  <c r="K78" i="2"/>
  <c r="J78" i="2"/>
  <c r="I78" i="2"/>
  <c r="H78" i="2"/>
  <c r="G78" i="2"/>
  <c r="F78" i="2"/>
  <c r="E78" i="2"/>
  <c r="D78" i="2"/>
  <c r="C78" i="2"/>
  <c r="B78" i="2"/>
  <c r="A78" i="2"/>
  <c r="AD77" i="2"/>
  <c r="AC77" i="2"/>
  <c r="AB77" i="2"/>
  <c r="AA77" i="2"/>
  <c r="Z77" i="2"/>
  <c r="Y77" i="2"/>
  <c r="X77" i="2"/>
  <c r="W77" i="2"/>
  <c r="V77" i="2"/>
  <c r="U77" i="2"/>
  <c r="T77" i="2"/>
  <c r="S77" i="2"/>
  <c r="R77" i="2"/>
  <c r="Q77" i="2"/>
  <c r="P77" i="2"/>
  <c r="O77" i="2"/>
  <c r="N77" i="2"/>
  <c r="M77" i="2"/>
  <c r="L77" i="2"/>
  <c r="K77" i="2"/>
  <c r="J77" i="2"/>
  <c r="I77" i="2"/>
  <c r="H77" i="2"/>
  <c r="G77" i="2"/>
  <c r="F77" i="2"/>
  <c r="E77" i="2"/>
  <c r="D77" i="2"/>
  <c r="C77" i="2"/>
  <c r="B77" i="2"/>
  <c r="A77" i="2"/>
  <c r="AD76" i="2"/>
  <c r="AC76" i="2"/>
  <c r="AB76" i="2"/>
  <c r="AA76" i="2"/>
  <c r="Z76" i="2"/>
  <c r="Y76" i="2"/>
  <c r="X76" i="2"/>
  <c r="W76" i="2"/>
  <c r="V76" i="2"/>
  <c r="U76" i="2"/>
  <c r="T76" i="2"/>
  <c r="S76" i="2"/>
  <c r="R76" i="2"/>
  <c r="Q76" i="2"/>
  <c r="P76" i="2"/>
  <c r="O76" i="2"/>
  <c r="N76" i="2"/>
  <c r="M76" i="2"/>
  <c r="L76" i="2"/>
  <c r="K76" i="2"/>
  <c r="J76" i="2"/>
  <c r="I76" i="2"/>
  <c r="H76" i="2"/>
  <c r="G76" i="2"/>
  <c r="F76" i="2"/>
  <c r="E76" i="2"/>
  <c r="D76" i="2"/>
  <c r="C76" i="2"/>
  <c r="B76" i="2"/>
  <c r="A76" i="2"/>
  <c r="AD75" i="2"/>
  <c r="AC75" i="2"/>
  <c r="AB75" i="2"/>
  <c r="AA75" i="2"/>
  <c r="Z75" i="2"/>
  <c r="Y75" i="2"/>
  <c r="X75" i="2"/>
  <c r="W75" i="2"/>
  <c r="V75" i="2"/>
  <c r="U75" i="2"/>
  <c r="T75" i="2"/>
  <c r="S75" i="2"/>
  <c r="R75" i="2"/>
  <c r="Q75" i="2"/>
  <c r="P75" i="2"/>
  <c r="O75" i="2"/>
  <c r="N75" i="2"/>
  <c r="M75" i="2"/>
  <c r="L75" i="2"/>
  <c r="K75" i="2"/>
  <c r="J75" i="2"/>
  <c r="I75" i="2"/>
  <c r="H75" i="2"/>
  <c r="G75" i="2"/>
  <c r="F75" i="2"/>
  <c r="E75" i="2"/>
  <c r="D75" i="2"/>
  <c r="C75" i="2"/>
  <c r="B75" i="2"/>
  <c r="A75" i="2"/>
  <c r="AD74" i="2"/>
  <c r="AC74" i="2"/>
  <c r="AB74" i="2"/>
  <c r="AA74" i="2"/>
  <c r="Z74" i="2"/>
  <c r="Y74" i="2"/>
  <c r="X74" i="2"/>
  <c r="W74" i="2"/>
  <c r="V74" i="2"/>
  <c r="U74" i="2"/>
  <c r="T74" i="2"/>
  <c r="S74" i="2"/>
  <c r="R74" i="2"/>
  <c r="Q74" i="2"/>
  <c r="P74" i="2"/>
  <c r="O74" i="2"/>
  <c r="N74" i="2"/>
  <c r="M74" i="2"/>
  <c r="L74" i="2"/>
  <c r="K74" i="2"/>
  <c r="J74" i="2"/>
  <c r="I74" i="2"/>
  <c r="H74" i="2"/>
  <c r="G74" i="2"/>
  <c r="F74" i="2"/>
  <c r="E74" i="2"/>
  <c r="D74" i="2"/>
  <c r="C74" i="2"/>
  <c r="B74" i="2"/>
  <c r="A74" i="2"/>
  <c r="AD73" i="2"/>
  <c r="AC73" i="2"/>
  <c r="AB73" i="2"/>
  <c r="AA73" i="2"/>
  <c r="Z73" i="2"/>
  <c r="Y73" i="2"/>
  <c r="X73" i="2"/>
  <c r="W73" i="2"/>
  <c r="V73" i="2"/>
  <c r="U73" i="2"/>
  <c r="T73" i="2"/>
  <c r="S73" i="2"/>
  <c r="R73" i="2"/>
  <c r="Q73" i="2"/>
  <c r="P73" i="2"/>
  <c r="O73" i="2"/>
  <c r="N73" i="2"/>
  <c r="M73" i="2"/>
  <c r="L73" i="2"/>
  <c r="K73" i="2"/>
  <c r="J73" i="2"/>
  <c r="I73" i="2"/>
  <c r="H73" i="2"/>
  <c r="G73" i="2"/>
  <c r="F73" i="2"/>
  <c r="E73" i="2"/>
  <c r="D73" i="2"/>
  <c r="C73" i="2"/>
  <c r="B73" i="2"/>
  <c r="A73" i="2"/>
  <c r="AD72" i="2"/>
  <c r="AC72" i="2"/>
  <c r="AB72" i="2"/>
  <c r="AA72" i="2"/>
  <c r="Z72" i="2"/>
  <c r="Y72" i="2"/>
  <c r="X72" i="2"/>
  <c r="W72" i="2"/>
  <c r="V72" i="2"/>
  <c r="U72" i="2"/>
  <c r="T72" i="2"/>
  <c r="S72" i="2"/>
  <c r="R72" i="2"/>
  <c r="Q72" i="2"/>
  <c r="P72" i="2"/>
  <c r="O72" i="2"/>
  <c r="N72" i="2"/>
  <c r="M72" i="2"/>
  <c r="L72" i="2"/>
  <c r="K72" i="2"/>
  <c r="J72" i="2"/>
  <c r="I72" i="2"/>
  <c r="H72" i="2"/>
  <c r="G72" i="2"/>
  <c r="F72" i="2"/>
  <c r="E72" i="2"/>
  <c r="D72" i="2"/>
  <c r="C72" i="2"/>
  <c r="B72" i="2"/>
  <c r="A72" i="2"/>
  <c r="AD71" i="2"/>
  <c r="AC71" i="2"/>
  <c r="AB71" i="2"/>
  <c r="AA71" i="2"/>
  <c r="Z71" i="2"/>
  <c r="Y71" i="2"/>
  <c r="X71" i="2"/>
  <c r="W71" i="2"/>
  <c r="V71" i="2"/>
  <c r="U71" i="2"/>
  <c r="T71" i="2"/>
  <c r="S71" i="2"/>
  <c r="R71" i="2"/>
  <c r="Q71" i="2"/>
  <c r="P71" i="2"/>
  <c r="O71" i="2"/>
  <c r="N71" i="2"/>
  <c r="M71" i="2"/>
  <c r="L71" i="2"/>
  <c r="K71" i="2"/>
  <c r="J71" i="2"/>
  <c r="I71" i="2"/>
  <c r="H71" i="2"/>
  <c r="G71" i="2"/>
  <c r="F71" i="2"/>
  <c r="E71" i="2"/>
  <c r="D71" i="2"/>
  <c r="C71" i="2"/>
  <c r="B71" i="2"/>
  <c r="A71" i="2"/>
  <c r="AD70" i="2"/>
  <c r="AC70" i="2"/>
  <c r="AB70" i="2"/>
  <c r="AA70" i="2"/>
  <c r="Z70" i="2"/>
  <c r="Y70" i="2"/>
  <c r="X70" i="2"/>
  <c r="W70" i="2"/>
  <c r="V70" i="2"/>
  <c r="U70" i="2"/>
  <c r="T70" i="2"/>
  <c r="S70" i="2"/>
  <c r="R70" i="2"/>
  <c r="Q70" i="2"/>
  <c r="P70" i="2"/>
  <c r="O70" i="2"/>
  <c r="N70" i="2"/>
  <c r="M70" i="2"/>
  <c r="L70" i="2"/>
  <c r="K70" i="2"/>
  <c r="J70" i="2"/>
  <c r="I70" i="2"/>
  <c r="H70" i="2"/>
  <c r="G70" i="2"/>
  <c r="F70" i="2"/>
  <c r="E70" i="2"/>
  <c r="D70" i="2"/>
  <c r="C70" i="2"/>
  <c r="B70" i="2"/>
  <c r="A70" i="2"/>
  <c r="AD69" i="2"/>
  <c r="AC69" i="2"/>
  <c r="AB69" i="2"/>
  <c r="AA69" i="2"/>
  <c r="Z69" i="2"/>
  <c r="Y69" i="2"/>
  <c r="X69" i="2"/>
  <c r="W69" i="2"/>
  <c r="V69" i="2"/>
  <c r="U69" i="2"/>
  <c r="T69" i="2"/>
  <c r="S69" i="2"/>
  <c r="R69" i="2"/>
  <c r="Q69" i="2"/>
  <c r="P69" i="2"/>
  <c r="O69" i="2"/>
  <c r="N69" i="2"/>
  <c r="M69" i="2"/>
  <c r="L69" i="2"/>
  <c r="K69" i="2"/>
  <c r="J69" i="2"/>
  <c r="I69" i="2"/>
  <c r="H69" i="2"/>
  <c r="G69" i="2"/>
  <c r="F69" i="2"/>
  <c r="E69" i="2"/>
  <c r="D69" i="2"/>
  <c r="C69" i="2"/>
  <c r="B69" i="2"/>
  <c r="A69" i="2"/>
  <c r="AD68" i="2"/>
  <c r="AC68"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D67" i="2"/>
  <c r="AC67" i="2"/>
  <c r="AB67" i="2"/>
  <c r="AA67" i="2"/>
  <c r="Z67" i="2"/>
  <c r="Y67" i="2"/>
  <c r="X67" i="2"/>
  <c r="W67" i="2"/>
  <c r="V67" i="2"/>
  <c r="U67" i="2"/>
  <c r="T67" i="2"/>
  <c r="S67" i="2"/>
  <c r="R67" i="2"/>
  <c r="Q67" i="2"/>
  <c r="P67" i="2"/>
  <c r="O67" i="2"/>
  <c r="N67" i="2"/>
  <c r="M67" i="2"/>
  <c r="L67" i="2"/>
  <c r="K67" i="2"/>
  <c r="J67" i="2"/>
  <c r="I67" i="2"/>
  <c r="H67" i="2"/>
  <c r="G67" i="2"/>
  <c r="F67" i="2"/>
  <c r="E67" i="2"/>
  <c r="D67" i="2"/>
  <c r="C67" i="2"/>
  <c r="B67" i="2"/>
  <c r="A67" i="2"/>
  <c r="AD66" i="2"/>
  <c r="AC66" i="2"/>
  <c r="AB66" i="2"/>
  <c r="AA66" i="2"/>
  <c r="Z66" i="2"/>
  <c r="Y66" i="2"/>
  <c r="X66" i="2"/>
  <c r="W66" i="2"/>
  <c r="V66" i="2"/>
  <c r="U66" i="2"/>
  <c r="T66" i="2"/>
  <c r="S66" i="2"/>
  <c r="R66" i="2"/>
  <c r="Q66" i="2"/>
  <c r="P66" i="2"/>
  <c r="O66" i="2"/>
  <c r="N66" i="2"/>
  <c r="M66" i="2"/>
  <c r="L66" i="2"/>
  <c r="K66" i="2"/>
  <c r="J66" i="2"/>
  <c r="I66" i="2"/>
  <c r="H66" i="2"/>
  <c r="G66" i="2"/>
  <c r="F66" i="2"/>
  <c r="E66" i="2"/>
  <c r="D66" i="2"/>
  <c r="C66" i="2"/>
  <c r="B66" i="2"/>
  <c r="A66" i="2"/>
  <c r="AD65" i="2"/>
  <c r="AC65" i="2"/>
  <c r="AB65" i="2"/>
  <c r="AA65" i="2"/>
  <c r="Z65" i="2"/>
  <c r="Y65" i="2"/>
  <c r="X65" i="2"/>
  <c r="W65" i="2"/>
  <c r="V65" i="2"/>
  <c r="U65" i="2"/>
  <c r="T65" i="2"/>
  <c r="S65" i="2"/>
  <c r="R65" i="2"/>
  <c r="Q65" i="2"/>
  <c r="P65" i="2"/>
  <c r="O65" i="2"/>
  <c r="N65" i="2"/>
  <c r="M65" i="2"/>
  <c r="L65" i="2"/>
  <c r="K65" i="2"/>
  <c r="J65" i="2"/>
  <c r="I65" i="2"/>
  <c r="H65" i="2"/>
  <c r="G65" i="2"/>
  <c r="F65" i="2"/>
  <c r="E65" i="2"/>
  <c r="D65" i="2"/>
  <c r="C65" i="2"/>
  <c r="B65" i="2"/>
  <c r="A65" i="2"/>
  <c r="AD64" i="2"/>
  <c r="AC64" i="2"/>
  <c r="AB64" i="2"/>
  <c r="AA64" i="2"/>
  <c r="Z64" i="2"/>
  <c r="Y64" i="2"/>
  <c r="X64" i="2"/>
  <c r="W64" i="2"/>
  <c r="V64" i="2"/>
  <c r="U64" i="2"/>
  <c r="T64" i="2"/>
  <c r="S64" i="2"/>
  <c r="R64" i="2"/>
  <c r="Q64" i="2"/>
  <c r="P64" i="2"/>
  <c r="O64" i="2"/>
  <c r="N64" i="2"/>
  <c r="M64" i="2"/>
  <c r="L64" i="2"/>
  <c r="K64" i="2"/>
  <c r="J64" i="2"/>
  <c r="I64" i="2"/>
  <c r="H64" i="2"/>
  <c r="G64" i="2"/>
  <c r="F64" i="2"/>
  <c r="E64" i="2"/>
  <c r="D64" i="2"/>
  <c r="C64" i="2"/>
  <c r="B64" i="2"/>
  <c r="A64" i="2"/>
  <c r="AD63" i="2"/>
  <c r="AC63"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D62" i="2"/>
  <c r="AC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D61" i="2"/>
  <c r="AC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D60" i="2"/>
  <c r="AC60" i="2"/>
  <c r="AB60" i="2"/>
  <c r="AA60" i="2"/>
  <c r="Z60" i="2"/>
  <c r="Y60" i="2"/>
  <c r="X60" i="2"/>
  <c r="W60" i="2"/>
  <c r="V60" i="2"/>
  <c r="U60" i="2"/>
  <c r="T60" i="2"/>
  <c r="S60" i="2"/>
  <c r="R60" i="2"/>
  <c r="Q60" i="2"/>
  <c r="P60" i="2"/>
  <c r="O60" i="2"/>
  <c r="N60" i="2"/>
  <c r="M60" i="2"/>
  <c r="L60" i="2"/>
  <c r="K60" i="2"/>
  <c r="J60" i="2"/>
  <c r="I60" i="2"/>
  <c r="H60" i="2"/>
  <c r="G60" i="2"/>
  <c r="F60" i="2"/>
  <c r="E60" i="2"/>
  <c r="D60" i="2"/>
  <c r="C60" i="2"/>
  <c r="B60" i="2"/>
  <c r="A60" i="2"/>
  <c r="AD59" i="2"/>
  <c r="AC59" i="2"/>
  <c r="AB59" i="2"/>
  <c r="AA59" i="2"/>
  <c r="Z59" i="2"/>
  <c r="Y59" i="2"/>
  <c r="X59" i="2"/>
  <c r="W59" i="2"/>
  <c r="V59" i="2"/>
  <c r="U59" i="2"/>
  <c r="T59" i="2"/>
  <c r="S59" i="2"/>
  <c r="R59" i="2"/>
  <c r="Q59" i="2"/>
  <c r="P59" i="2"/>
  <c r="O59" i="2"/>
  <c r="N59" i="2"/>
  <c r="M59" i="2"/>
  <c r="L59" i="2"/>
  <c r="K59" i="2"/>
  <c r="J59" i="2"/>
  <c r="I59" i="2"/>
  <c r="H59" i="2"/>
  <c r="G59" i="2"/>
  <c r="F59" i="2"/>
  <c r="E59" i="2"/>
  <c r="D59" i="2"/>
  <c r="C59" i="2"/>
  <c r="B59" i="2"/>
  <c r="A59" i="2"/>
  <c r="AD58" i="2"/>
  <c r="AC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D57" i="2"/>
  <c r="AC57" i="2"/>
  <c r="AB57" i="2"/>
  <c r="AA57" i="2"/>
  <c r="Z57" i="2"/>
  <c r="Y57" i="2"/>
  <c r="X57" i="2"/>
  <c r="W57" i="2"/>
  <c r="V57" i="2"/>
  <c r="U57" i="2"/>
  <c r="T57" i="2"/>
  <c r="S57" i="2"/>
  <c r="R57" i="2"/>
  <c r="Q57" i="2"/>
  <c r="P57" i="2"/>
  <c r="O57" i="2"/>
  <c r="N57" i="2"/>
  <c r="M57" i="2"/>
  <c r="L57" i="2"/>
  <c r="K57" i="2"/>
  <c r="J57" i="2"/>
  <c r="I57" i="2"/>
  <c r="H57" i="2"/>
  <c r="G57" i="2"/>
  <c r="F57" i="2"/>
  <c r="E57" i="2"/>
  <c r="D57" i="2"/>
  <c r="C57" i="2"/>
  <c r="B57" i="2"/>
  <c r="A57" i="2"/>
  <c r="AD56" i="2"/>
  <c r="AC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56" i="2"/>
  <c r="AD55" i="2"/>
  <c r="AC55" i="2"/>
  <c r="AB55" i="2"/>
  <c r="AA55" i="2"/>
  <c r="Z55" i="2"/>
  <c r="Y55" i="2"/>
  <c r="X55" i="2"/>
  <c r="W55" i="2"/>
  <c r="V55" i="2"/>
  <c r="U55" i="2"/>
  <c r="T55" i="2"/>
  <c r="S55" i="2"/>
  <c r="R55" i="2"/>
  <c r="Q55" i="2"/>
  <c r="P55" i="2"/>
  <c r="O55" i="2"/>
  <c r="N55" i="2"/>
  <c r="M55" i="2"/>
  <c r="L55" i="2"/>
  <c r="K55" i="2"/>
  <c r="J55" i="2"/>
  <c r="I55" i="2"/>
  <c r="H55" i="2"/>
  <c r="G55" i="2"/>
  <c r="F55" i="2"/>
  <c r="E55" i="2"/>
  <c r="D55" i="2"/>
  <c r="C55" i="2"/>
  <c r="B55" i="2"/>
  <c r="A55" i="2"/>
  <c r="AD54" i="2"/>
  <c r="AC54" i="2"/>
  <c r="AB54" i="2"/>
  <c r="AA54" i="2"/>
  <c r="Z54" i="2"/>
  <c r="Y54" i="2"/>
  <c r="X54" i="2"/>
  <c r="W54" i="2"/>
  <c r="V54" i="2"/>
  <c r="U54" i="2"/>
  <c r="T54" i="2"/>
  <c r="S54" i="2"/>
  <c r="R54" i="2"/>
  <c r="Q54" i="2"/>
  <c r="P54" i="2"/>
  <c r="O54" i="2"/>
  <c r="N54" i="2"/>
  <c r="M54" i="2"/>
  <c r="L54" i="2"/>
  <c r="K54" i="2"/>
  <c r="J54" i="2"/>
  <c r="I54" i="2"/>
  <c r="H54" i="2"/>
  <c r="G54" i="2"/>
  <c r="F54" i="2"/>
  <c r="E54" i="2"/>
  <c r="D54" i="2"/>
  <c r="C54" i="2"/>
  <c r="B54" i="2"/>
  <c r="A54" i="2"/>
  <c r="AD53" i="2"/>
  <c r="AC53" i="2"/>
  <c r="AB53" i="2"/>
  <c r="AA53" i="2"/>
  <c r="Z53" i="2"/>
  <c r="Y53" i="2"/>
  <c r="X53" i="2"/>
  <c r="W53" i="2"/>
  <c r="V53" i="2"/>
  <c r="U53" i="2"/>
  <c r="T53" i="2"/>
  <c r="S53" i="2"/>
  <c r="R53" i="2"/>
  <c r="Q53" i="2"/>
  <c r="P53" i="2"/>
  <c r="O53" i="2"/>
  <c r="N53" i="2"/>
  <c r="M53" i="2"/>
  <c r="L53" i="2"/>
  <c r="K53" i="2"/>
  <c r="J53" i="2"/>
  <c r="I53" i="2"/>
  <c r="H53" i="2"/>
  <c r="G53" i="2"/>
  <c r="F53" i="2"/>
  <c r="E53" i="2"/>
  <c r="D53" i="2"/>
  <c r="C53" i="2"/>
  <c r="B53" i="2"/>
  <c r="A53" i="2"/>
  <c r="AD52" i="2"/>
  <c r="AC52" i="2"/>
  <c r="AB52" i="2"/>
  <c r="AA52" i="2"/>
  <c r="Z52" i="2"/>
  <c r="Y52" i="2"/>
  <c r="X52" i="2"/>
  <c r="W52" i="2"/>
  <c r="V52" i="2"/>
  <c r="U52" i="2"/>
  <c r="T52" i="2"/>
  <c r="S52" i="2"/>
  <c r="R52" i="2"/>
  <c r="Q52" i="2"/>
  <c r="P52" i="2"/>
  <c r="O52" i="2"/>
  <c r="N52" i="2"/>
  <c r="M52" i="2"/>
  <c r="L52" i="2"/>
  <c r="K52" i="2"/>
  <c r="J52" i="2"/>
  <c r="I52" i="2"/>
  <c r="H52" i="2"/>
  <c r="G52" i="2"/>
  <c r="F52" i="2"/>
  <c r="E52" i="2"/>
  <c r="D52" i="2"/>
  <c r="C52" i="2"/>
  <c r="B52" i="2"/>
  <c r="A52" i="2"/>
  <c r="AD51" i="2"/>
  <c r="AC51" i="2"/>
  <c r="AB51" i="2"/>
  <c r="AA51" i="2"/>
  <c r="Z51" i="2"/>
  <c r="Y51" i="2"/>
  <c r="X51" i="2"/>
  <c r="W51" i="2"/>
  <c r="V51" i="2"/>
  <c r="U51" i="2"/>
  <c r="T51" i="2"/>
  <c r="S51" i="2"/>
  <c r="R51" i="2"/>
  <c r="Q51" i="2"/>
  <c r="P51" i="2"/>
  <c r="O51" i="2"/>
  <c r="N51" i="2"/>
  <c r="M51" i="2"/>
  <c r="L51" i="2"/>
  <c r="K51" i="2"/>
  <c r="J51" i="2"/>
  <c r="I51" i="2"/>
  <c r="H51" i="2"/>
  <c r="G51" i="2"/>
  <c r="F51" i="2"/>
  <c r="E51" i="2"/>
  <c r="D51" i="2"/>
  <c r="C51" i="2"/>
  <c r="B51" i="2"/>
  <c r="A51" i="2"/>
  <c r="AD50" i="2"/>
  <c r="AC50" i="2"/>
  <c r="AB50" i="2"/>
  <c r="AA50" i="2"/>
  <c r="Z50" i="2"/>
  <c r="Y50" i="2"/>
  <c r="X50" i="2"/>
  <c r="W50" i="2"/>
  <c r="V50" i="2"/>
  <c r="U50" i="2"/>
  <c r="T50" i="2"/>
  <c r="S50" i="2"/>
  <c r="R50" i="2"/>
  <c r="Q50" i="2"/>
  <c r="P50" i="2"/>
  <c r="O50" i="2"/>
  <c r="N50" i="2"/>
  <c r="M50" i="2"/>
  <c r="L50" i="2"/>
  <c r="K50" i="2"/>
  <c r="J50" i="2"/>
  <c r="I50" i="2"/>
  <c r="H50" i="2"/>
  <c r="G50" i="2"/>
  <c r="F50" i="2"/>
  <c r="E50" i="2"/>
  <c r="D50" i="2"/>
  <c r="C50" i="2"/>
  <c r="B50" i="2"/>
  <c r="A50" i="2"/>
  <c r="AD49" i="2"/>
  <c r="AC49" i="2"/>
  <c r="AB49" i="2"/>
  <c r="AA49" i="2"/>
  <c r="Z49" i="2"/>
  <c r="Y49" i="2"/>
  <c r="X49" i="2"/>
  <c r="W49" i="2"/>
  <c r="V49" i="2"/>
  <c r="U49" i="2"/>
  <c r="T49" i="2"/>
  <c r="S49" i="2"/>
  <c r="R49" i="2"/>
  <c r="Q49" i="2"/>
  <c r="P49" i="2"/>
  <c r="O49" i="2"/>
  <c r="N49" i="2"/>
  <c r="M49" i="2"/>
  <c r="L49" i="2"/>
  <c r="K49" i="2"/>
  <c r="J49" i="2"/>
  <c r="I49" i="2"/>
  <c r="H49" i="2"/>
  <c r="G49" i="2"/>
  <c r="F49" i="2"/>
  <c r="E49" i="2"/>
  <c r="D49" i="2"/>
  <c r="C49" i="2"/>
  <c r="B49" i="2"/>
  <c r="A49" i="2"/>
  <c r="AD48" i="2"/>
  <c r="AC48" i="2"/>
  <c r="AB48" i="2"/>
  <c r="AA48" i="2"/>
  <c r="Z48" i="2"/>
  <c r="Y48" i="2"/>
  <c r="X48" i="2"/>
  <c r="W48" i="2"/>
  <c r="V48" i="2"/>
  <c r="U48" i="2"/>
  <c r="T48" i="2"/>
  <c r="S48" i="2"/>
  <c r="R48" i="2"/>
  <c r="Q48" i="2"/>
  <c r="P48" i="2"/>
  <c r="O48" i="2"/>
  <c r="N48" i="2"/>
  <c r="M48" i="2"/>
  <c r="L48" i="2"/>
  <c r="K48" i="2"/>
  <c r="J48" i="2"/>
  <c r="I48" i="2"/>
  <c r="H48" i="2"/>
  <c r="G48" i="2"/>
  <c r="F48" i="2"/>
  <c r="E48" i="2"/>
  <c r="D48" i="2"/>
  <c r="C48" i="2"/>
  <c r="B48" i="2"/>
  <c r="A48" i="2"/>
  <c r="AD47" i="2"/>
  <c r="AC47" i="2"/>
  <c r="AB47" i="2"/>
  <c r="AA47" i="2"/>
  <c r="Z47" i="2"/>
  <c r="Y47" i="2"/>
  <c r="X47" i="2"/>
  <c r="W47" i="2"/>
  <c r="V47" i="2"/>
  <c r="U47" i="2"/>
  <c r="T47" i="2"/>
  <c r="S47" i="2"/>
  <c r="R47" i="2"/>
  <c r="Q47" i="2"/>
  <c r="P47" i="2"/>
  <c r="O47" i="2"/>
  <c r="N47" i="2"/>
  <c r="M47" i="2"/>
  <c r="L47" i="2"/>
  <c r="K47" i="2"/>
  <c r="J47" i="2"/>
  <c r="I47" i="2"/>
  <c r="H47" i="2"/>
  <c r="G47" i="2"/>
  <c r="F47" i="2"/>
  <c r="E47" i="2"/>
  <c r="D47" i="2"/>
  <c r="C47" i="2"/>
  <c r="B47" i="2"/>
  <c r="A47" i="2"/>
  <c r="AD46" i="2"/>
  <c r="AC46" i="2"/>
  <c r="AB46" i="2"/>
  <c r="AA46" i="2"/>
  <c r="Z46" i="2"/>
  <c r="Y46" i="2"/>
  <c r="X46" i="2"/>
  <c r="W46" i="2"/>
  <c r="V46" i="2"/>
  <c r="U46" i="2"/>
  <c r="T46" i="2"/>
  <c r="S46" i="2"/>
  <c r="R46" i="2"/>
  <c r="Q46" i="2"/>
  <c r="P46" i="2"/>
  <c r="O46" i="2"/>
  <c r="N46" i="2"/>
  <c r="M46" i="2"/>
  <c r="L46" i="2"/>
  <c r="K46" i="2"/>
  <c r="J46" i="2"/>
  <c r="I46" i="2"/>
  <c r="H46" i="2"/>
  <c r="G46" i="2"/>
  <c r="F46" i="2"/>
  <c r="E46" i="2"/>
  <c r="D46" i="2"/>
  <c r="C46" i="2"/>
  <c r="B46" i="2"/>
  <c r="A46" i="2"/>
  <c r="AD45" i="2"/>
  <c r="AC45" i="2"/>
  <c r="AB45" i="2"/>
  <c r="AA45" i="2"/>
  <c r="Z45" i="2"/>
  <c r="Y45" i="2"/>
  <c r="X45" i="2"/>
  <c r="W45" i="2"/>
  <c r="V45" i="2"/>
  <c r="U45" i="2"/>
  <c r="T45" i="2"/>
  <c r="S45" i="2"/>
  <c r="R45" i="2"/>
  <c r="Q45" i="2"/>
  <c r="P45" i="2"/>
  <c r="O45" i="2"/>
  <c r="N45" i="2"/>
  <c r="M45" i="2"/>
  <c r="L45" i="2"/>
  <c r="K45" i="2"/>
  <c r="J45" i="2"/>
  <c r="I45" i="2"/>
  <c r="H45" i="2"/>
  <c r="G45" i="2"/>
  <c r="F45" i="2"/>
  <c r="E45" i="2"/>
  <c r="D45" i="2"/>
  <c r="C45" i="2"/>
  <c r="B45" i="2"/>
  <c r="A45" i="2"/>
  <c r="AD44" i="2"/>
  <c r="AC44" i="2"/>
  <c r="AB44" i="2"/>
  <c r="AA44" i="2"/>
  <c r="Z44" i="2"/>
  <c r="Y44" i="2"/>
  <c r="X44" i="2"/>
  <c r="W44" i="2"/>
  <c r="V44" i="2"/>
  <c r="U44" i="2"/>
  <c r="T44" i="2"/>
  <c r="S44" i="2"/>
  <c r="R44" i="2"/>
  <c r="Q44" i="2"/>
  <c r="P44" i="2"/>
  <c r="O44" i="2"/>
  <c r="N44" i="2"/>
  <c r="M44" i="2"/>
  <c r="L44" i="2"/>
  <c r="K44" i="2"/>
  <c r="J44" i="2"/>
  <c r="I44" i="2"/>
  <c r="H44" i="2"/>
  <c r="G44" i="2"/>
  <c r="F44" i="2"/>
  <c r="E44" i="2"/>
  <c r="D44" i="2"/>
  <c r="C44" i="2"/>
  <c r="B44" i="2"/>
  <c r="A44" i="2"/>
  <c r="AD43" i="2"/>
  <c r="AC43"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D42" i="2"/>
  <c r="AC42" i="2"/>
  <c r="AB42" i="2"/>
  <c r="AA42" i="2"/>
  <c r="Z42" i="2"/>
  <c r="Y42" i="2"/>
  <c r="X42" i="2"/>
  <c r="W42" i="2"/>
  <c r="V42" i="2"/>
  <c r="U42" i="2"/>
  <c r="T42" i="2"/>
  <c r="S42" i="2"/>
  <c r="R42" i="2"/>
  <c r="Q42" i="2"/>
  <c r="P42" i="2"/>
  <c r="O42" i="2"/>
  <c r="N42" i="2"/>
  <c r="M42" i="2"/>
  <c r="L42" i="2"/>
  <c r="K42" i="2"/>
  <c r="J42" i="2"/>
  <c r="I42" i="2"/>
  <c r="H42" i="2"/>
  <c r="G42" i="2"/>
  <c r="F42" i="2"/>
  <c r="E42" i="2"/>
  <c r="D42" i="2"/>
  <c r="C42" i="2"/>
  <c r="B42" i="2"/>
  <c r="A42" i="2"/>
  <c r="AD41" i="2"/>
  <c r="AC41" i="2"/>
  <c r="AB41" i="2"/>
  <c r="AA41" i="2"/>
  <c r="Z41" i="2"/>
  <c r="Y41" i="2"/>
  <c r="X41" i="2"/>
  <c r="W41" i="2"/>
  <c r="V41" i="2"/>
  <c r="U41" i="2"/>
  <c r="T41" i="2"/>
  <c r="S41" i="2"/>
  <c r="R41" i="2"/>
  <c r="Q41" i="2"/>
  <c r="P41" i="2"/>
  <c r="O41" i="2"/>
  <c r="N41" i="2"/>
  <c r="M41" i="2"/>
  <c r="L41" i="2"/>
  <c r="K41" i="2"/>
  <c r="J41" i="2"/>
  <c r="I41" i="2"/>
  <c r="H41" i="2"/>
  <c r="G41" i="2"/>
  <c r="F41" i="2"/>
  <c r="E41" i="2"/>
  <c r="D41" i="2"/>
  <c r="C41" i="2"/>
  <c r="B41" i="2"/>
  <c r="A41" i="2"/>
  <c r="AD40" i="2"/>
  <c r="AC40" i="2"/>
  <c r="AB40" i="2"/>
  <c r="AA40" i="2"/>
  <c r="Z40" i="2"/>
  <c r="Y40" i="2"/>
  <c r="X40" i="2"/>
  <c r="W40" i="2"/>
  <c r="V40" i="2"/>
  <c r="U40" i="2"/>
  <c r="T40" i="2"/>
  <c r="S40" i="2"/>
  <c r="R40" i="2"/>
  <c r="Q40" i="2"/>
  <c r="P40" i="2"/>
  <c r="O40" i="2"/>
  <c r="N40" i="2"/>
  <c r="M40" i="2"/>
  <c r="L40" i="2"/>
  <c r="K40" i="2"/>
  <c r="J40" i="2"/>
  <c r="I40" i="2"/>
  <c r="H40" i="2"/>
  <c r="G40" i="2"/>
  <c r="F40" i="2"/>
  <c r="E40" i="2"/>
  <c r="D40" i="2"/>
  <c r="C40" i="2"/>
  <c r="B40" i="2"/>
  <c r="A40" i="2"/>
  <c r="AD39" i="2"/>
  <c r="AC39" i="2"/>
  <c r="AB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D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A38" i="2"/>
  <c r="AD37" i="2"/>
  <c r="AC37" i="2"/>
  <c r="AB37" i="2"/>
  <c r="AA37" i="2"/>
  <c r="Z37" i="2"/>
  <c r="Y37" i="2"/>
  <c r="X37" i="2"/>
  <c r="W37" i="2"/>
  <c r="V37" i="2"/>
  <c r="U37" i="2"/>
  <c r="T37" i="2"/>
  <c r="S37" i="2"/>
  <c r="R37" i="2"/>
  <c r="Q37" i="2"/>
  <c r="P37" i="2"/>
  <c r="O37" i="2"/>
  <c r="N37" i="2"/>
  <c r="M37" i="2"/>
  <c r="L37" i="2"/>
  <c r="K37" i="2"/>
  <c r="J37" i="2"/>
  <c r="I37" i="2"/>
  <c r="H37" i="2"/>
  <c r="G37" i="2"/>
  <c r="F37" i="2"/>
  <c r="E37" i="2"/>
  <c r="D37" i="2"/>
  <c r="C37" i="2"/>
  <c r="B37" i="2"/>
  <c r="A37" i="2"/>
  <c r="AD36" i="2"/>
  <c r="AC36" i="2"/>
  <c r="AB36" i="2"/>
  <c r="AA36" i="2"/>
  <c r="Z36" i="2"/>
  <c r="Y36" i="2"/>
  <c r="X36" i="2"/>
  <c r="W36" i="2"/>
  <c r="V36" i="2"/>
  <c r="U36" i="2"/>
  <c r="T36" i="2"/>
  <c r="S36" i="2"/>
  <c r="R36" i="2"/>
  <c r="Q36" i="2"/>
  <c r="P36" i="2"/>
  <c r="O36" i="2"/>
  <c r="N36" i="2"/>
  <c r="M36" i="2"/>
  <c r="L36" i="2"/>
  <c r="K36" i="2"/>
  <c r="J36" i="2"/>
  <c r="I36" i="2"/>
  <c r="H36" i="2"/>
  <c r="G36" i="2"/>
  <c r="F36" i="2"/>
  <c r="E36" i="2"/>
  <c r="D36" i="2"/>
  <c r="C36" i="2"/>
  <c r="B36" i="2"/>
  <c r="A36" i="2"/>
  <c r="AD35" i="2"/>
  <c r="AC35" i="2"/>
  <c r="AB35" i="2"/>
  <c r="AA35" i="2"/>
  <c r="Z35" i="2"/>
  <c r="Y35" i="2"/>
  <c r="X35" i="2"/>
  <c r="W35" i="2"/>
  <c r="V35" i="2"/>
  <c r="U35" i="2"/>
  <c r="T35" i="2"/>
  <c r="S35" i="2"/>
  <c r="R35" i="2"/>
  <c r="Q35" i="2"/>
  <c r="P35" i="2"/>
  <c r="O35" i="2"/>
  <c r="N35" i="2"/>
  <c r="M35" i="2"/>
  <c r="L35" i="2"/>
  <c r="K35" i="2"/>
  <c r="J35" i="2"/>
  <c r="I35" i="2"/>
  <c r="H35" i="2"/>
  <c r="G35" i="2"/>
  <c r="F35" i="2"/>
  <c r="E35" i="2"/>
  <c r="D35" i="2"/>
  <c r="C35" i="2"/>
  <c r="B35" i="2"/>
  <c r="A35" i="2"/>
  <c r="AD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D33" i="2"/>
  <c r="AC33" i="2"/>
  <c r="AB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D32"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B32" i="2"/>
  <c r="A32" i="2"/>
  <c r="AD31" i="2"/>
  <c r="AC31" i="2"/>
  <c r="AB31" i="2"/>
  <c r="AA31" i="2"/>
  <c r="Z31" i="2"/>
  <c r="Y31" i="2"/>
  <c r="X31" i="2"/>
  <c r="W31" i="2"/>
  <c r="V31" i="2"/>
  <c r="U31" i="2"/>
  <c r="T31" i="2"/>
  <c r="S31" i="2"/>
  <c r="R31" i="2"/>
  <c r="Q31" i="2"/>
  <c r="P31" i="2"/>
  <c r="O31" i="2"/>
  <c r="N31" i="2"/>
  <c r="M31" i="2"/>
  <c r="L31" i="2"/>
  <c r="K31" i="2"/>
  <c r="J31" i="2"/>
  <c r="I31" i="2"/>
  <c r="H31" i="2"/>
  <c r="G31" i="2"/>
  <c r="F31" i="2"/>
  <c r="E31" i="2"/>
  <c r="D31" i="2"/>
  <c r="C31" i="2"/>
  <c r="B31" i="2"/>
  <c r="A31" i="2"/>
  <c r="AD30" i="2"/>
  <c r="AC30" i="2"/>
  <c r="AB30" i="2"/>
  <c r="AA30" i="2"/>
  <c r="Z30" i="2"/>
  <c r="Y30" i="2"/>
  <c r="X30" i="2"/>
  <c r="W30" i="2"/>
  <c r="V30" i="2"/>
  <c r="U30" i="2"/>
  <c r="T30" i="2"/>
  <c r="S30" i="2"/>
  <c r="R30" i="2"/>
  <c r="Q30" i="2"/>
  <c r="P30" i="2"/>
  <c r="O30" i="2"/>
  <c r="N30" i="2"/>
  <c r="M30" i="2"/>
  <c r="L30" i="2"/>
  <c r="K30" i="2"/>
  <c r="J30" i="2"/>
  <c r="I30" i="2"/>
  <c r="H30" i="2"/>
  <c r="G30" i="2"/>
  <c r="F30" i="2"/>
  <c r="E30" i="2"/>
  <c r="D30" i="2"/>
  <c r="C30" i="2"/>
  <c r="B30" i="2"/>
  <c r="A30" i="2"/>
  <c r="AD29" i="2"/>
  <c r="AC29" i="2"/>
  <c r="AB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D28" i="2"/>
  <c r="AC28" i="2"/>
  <c r="AB28" i="2"/>
  <c r="AA28" i="2"/>
  <c r="Z28" i="2"/>
  <c r="Y28" i="2"/>
  <c r="X28" i="2"/>
  <c r="W28" i="2"/>
  <c r="V28" i="2"/>
  <c r="U28" i="2"/>
  <c r="T28" i="2"/>
  <c r="S28" i="2"/>
  <c r="R28" i="2"/>
  <c r="Q28" i="2"/>
  <c r="P28" i="2"/>
  <c r="O28" i="2"/>
  <c r="N28" i="2"/>
  <c r="M28" i="2"/>
  <c r="L28" i="2"/>
  <c r="K28" i="2"/>
  <c r="J28" i="2"/>
  <c r="I28" i="2"/>
  <c r="H28" i="2"/>
  <c r="G28" i="2"/>
  <c r="F28" i="2"/>
  <c r="E28" i="2"/>
  <c r="D28" i="2"/>
  <c r="C28" i="2"/>
  <c r="B28" i="2"/>
  <c r="A28" i="2"/>
  <c r="AD27" i="2"/>
  <c r="AC27" i="2"/>
  <c r="AB27" i="2"/>
  <c r="AA27" i="2"/>
  <c r="Z27" i="2"/>
  <c r="Y27" i="2"/>
  <c r="X27" i="2"/>
  <c r="W27" i="2"/>
  <c r="V27" i="2"/>
  <c r="U27" i="2"/>
  <c r="T27" i="2"/>
  <c r="S27" i="2"/>
  <c r="R27" i="2"/>
  <c r="Q27" i="2"/>
  <c r="P27" i="2"/>
  <c r="O27" i="2"/>
  <c r="N27" i="2"/>
  <c r="M27" i="2"/>
  <c r="L27" i="2"/>
  <c r="K27" i="2"/>
  <c r="J27" i="2"/>
  <c r="I27" i="2"/>
  <c r="H27" i="2"/>
  <c r="G27" i="2"/>
  <c r="F27" i="2"/>
  <c r="E27" i="2"/>
  <c r="D27" i="2"/>
  <c r="C27" i="2"/>
  <c r="B27" i="2"/>
  <c r="A27" i="2"/>
  <c r="AD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D25" i="2"/>
  <c r="AC25" i="2"/>
  <c r="AB25" i="2"/>
  <c r="AA25" i="2"/>
  <c r="Z25" i="2"/>
  <c r="Y25" i="2"/>
  <c r="X25" i="2"/>
  <c r="W25" i="2"/>
  <c r="V25" i="2"/>
  <c r="U25" i="2"/>
  <c r="T25" i="2"/>
  <c r="S25" i="2"/>
  <c r="R25" i="2"/>
  <c r="Q25" i="2"/>
  <c r="P25" i="2"/>
  <c r="O25" i="2"/>
  <c r="N25" i="2"/>
  <c r="M25" i="2"/>
  <c r="L25" i="2"/>
  <c r="K25" i="2"/>
  <c r="J25" i="2"/>
  <c r="I25" i="2"/>
  <c r="H25" i="2"/>
  <c r="G25" i="2"/>
  <c r="F25" i="2"/>
  <c r="E25" i="2"/>
  <c r="D25" i="2"/>
  <c r="C25" i="2"/>
  <c r="B25" i="2"/>
  <c r="A25" i="2"/>
  <c r="AD24" i="2"/>
  <c r="AC24" i="2"/>
  <c r="AB24" i="2"/>
  <c r="AA24" i="2"/>
  <c r="Z24" i="2"/>
  <c r="Y24" i="2"/>
  <c r="X24" i="2"/>
  <c r="W24" i="2"/>
  <c r="V24" i="2"/>
  <c r="U24" i="2"/>
  <c r="T24" i="2"/>
  <c r="S24" i="2"/>
  <c r="R24" i="2"/>
  <c r="Q24" i="2"/>
  <c r="P24" i="2"/>
  <c r="O24" i="2"/>
  <c r="N24" i="2"/>
  <c r="M24" i="2"/>
  <c r="L24" i="2"/>
  <c r="K24" i="2"/>
  <c r="J24" i="2"/>
  <c r="I24" i="2"/>
  <c r="H24" i="2"/>
  <c r="G24" i="2"/>
  <c r="F24" i="2"/>
  <c r="E24" i="2"/>
  <c r="D24" i="2"/>
  <c r="C24" i="2"/>
  <c r="B24" i="2"/>
  <c r="A24" i="2"/>
  <c r="AD23" i="2"/>
  <c r="AC23" i="2"/>
  <c r="AB23" i="2"/>
  <c r="AA23" i="2"/>
  <c r="Z23" i="2"/>
  <c r="Y23" i="2"/>
  <c r="X23" i="2"/>
  <c r="W23" i="2"/>
  <c r="V23" i="2"/>
  <c r="U23" i="2"/>
  <c r="T23" i="2"/>
  <c r="S23" i="2"/>
  <c r="R23" i="2"/>
  <c r="Q23" i="2"/>
  <c r="P23" i="2"/>
  <c r="O23" i="2"/>
  <c r="N23" i="2"/>
  <c r="M23" i="2"/>
  <c r="L23" i="2"/>
  <c r="K23" i="2"/>
  <c r="J23" i="2"/>
  <c r="I23" i="2"/>
  <c r="H23" i="2"/>
  <c r="G23" i="2"/>
  <c r="F23" i="2"/>
  <c r="E23" i="2"/>
  <c r="D23" i="2"/>
  <c r="C23" i="2"/>
  <c r="B23" i="2"/>
  <c r="A23" i="2"/>
  <c r="AD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D21" i="2"/>
  <c r="AC21" i="2"/>
  <c r="AB21" i="2"/>
  <c r="AA21" i="2"/>
  <c r="Z21" i="2"/>
  <c r="Y21" i="2"/>
  <c r="X21" i="2"/>
  <c r="W21" i="2"/>
  <c r="V21" i="2"/>
  <c r="U21" i="2"/>
  <c r="T21" i="2"/>
  <c r="S21" i="2"/>
  <c r="R21" i="2"/>
  <c r="Q21" i="2"/>
  <c r="P21" i="2"/>
  <c r="O21" i="2"/>
  <c r="N21" i="2"/>
  <c r="M21" i="2"/>
  <c r="L21" i="2"/>
  <c r="K21" i="2"/>
  <c r="J21" i="2"/>
  <c r="I21" i="2"/>
  <c r="H21" i="2"/>
  <c r="G21" i="2"/>
  <c r="F21" i="2"/>
  <c r="E21" i="2"/>
  <c r="D21" i="2"/>
  <c r="C21" i="2"/>
  <c r="B21" i="2"/>
  <c r="A21" i="2"/>
  <c r="AD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D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D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D17" i="2"/>
  <c r="AC17" i="2"/>
  <c r="AB17" i="2"/>
  <c r="AA17" i="2"/>
  <c r="Z17" i="2"/>
  <c r="Y17" i="2"/>
  <c r="X17" i="2"/>
  <c r="W17" i="2"/>
  <c r="V17" i="2"/>
  <c r="U17" i="2"/>
  <c r="T17" i="2"/>
  <c r="S17" i="2"/>
  <c r="R17" i="2"/>
  <c r="Q17" i="2"/>
  <c r="P17" i="2"/>
  <c r="O17" i="2"/>
  <c r="N17" i="2"/>
  <c r="M17" i="2"/>
  <c r="L17" i="2"/>
  <c r="K17" i="2"/>
  <c r="J17" i="2"/>
  <c r="I17" i="2"/>
  <c r="H17" i="2"/>
  <c r="G17" i="2"/>
  <c r="F17" i="2"/>
  <c r="E17" i="2"/>
  <c r="D17" i="2"/>
  <c r="C17" i="2"/>
  <c r="B17" i="2"/>
  <c r="A17" i="2"/>
  <c r="AD16" i="2"/>
  <c r="AC16" i="2"/>
  <c r="AB16" i="2"/>
  <c r="AA16" i="2"/>
  <c r="Z16" i="2"/>
  <c r="Y16" i="2"/>
  <c r="X16" i="2"/>
  <c r="W16" i="2"/>
  <c r="V16" i="2"/>
  <c r="U16" i="2"/>
  <c r="T16" i="2"/>
  <c r="S16" i="2"/>
  <c r="R16" i="2"/>
  <c r="Q16" i="2"/>
  <c r="P16" i="2"/>
  <c r="O16" i="2"/>
  <c r="N16" i="2"/>
  <c r="M16" i="2"/>
  <c r="L16" i="2"/>
  <c r="K16" i="2"/>
  <c r="J16" i="2"/>
  <c r="I16" i="2"/>
  <c r="H16" i="2"/>
  <c r="G16" i="2"/>
  <c r="F16" i="2"/>
  <c r="E16" i="2"/>
  <c r="D16" i="2"/>
  <c r="C16" i="2"/>
  <c r="B16" i="2"/>
  <c r="A16" i="2"/>
  <c r="AD15" i="2"/>
  <c r="AC15" i="2"/>
  <c r="AB15" i="2"/>
  <c r="AA15" i="2"/>
  <c r="Z15" i="2"/>
  <c r="Y15" i="2"/>
  <c r="X15" i="2"/>
  <c r="W15" i="2"/>
  <c r="V15" i="2"/>
  <c r="U15" i="2"/>
  <c r="T15" i="2"/>
  <c r="S15" i="2"/>
  <c r="R15" i="2"/>
  <c r="Q15" i="2"/>
  <c r="P15" i="2"/>
  <c r="O15" i="2"/>
  <c r="N15" i="2"/>
  <c r="M15" i="2"/>
  <c r="L15" i="2"/>
  <c r="K15" i="2"/>
  <c r="J15" i="2"/>
  <c r="I15" i="2"/>
  <c r="H15" i="2"/>
  <c r="G15" i="2"/>
  <c r="F15" i="2"/>
  <c r="E15" i="2"/>
  <c r="D15" i="2"/>
  <c r="C15" i="2"/>
  <c r="B15" i="2"/>
  <c r="A15"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D13" i="2"/>
  <c r="AC13" i="2"/>
  <c r="AB13" i="2"/>
  <c r="AA13" i="2"/>
  <c r="Z13" i="2"/>
  <c r="Y13" i="2"/>
  <c r="X13" i="2"/>
  <c r="W13" i="2"/>
  <c r="V13" i="2"/>
  <c r="U13" i="2"/>
  <c r="T13" i="2"/>
  <c r="S13" i="2"/>
  <c r="R13" i="2"/>
  <c r="Q13" i="2"/>
  <c r="P13" i="2"/>
  <c r="O13" i="2"/>
  <c r="N13" i="2"/>
  <c r="M13" i="2"/>
  <c r="L13" i="2"/>
  <c r="K13" i="2"/>
  <c r="J13" i="2"/>
  <c r="I13" i="2"/>
  <c r="H13" i="2"/>
  <c r="G13" i="2"/>
  <c r="F13" i="2"/>
  <c r="E13" i="2"/>
  <c r="D13" i="2"/>
  <c r="C13" i="2"/>
  <c r="B13" i="2"/>
  <c r="A13" i="2"/>
  <c r="AD12" i="2"/>
  <c r="AC12" i="2"/>
  <c r="AB12" i="2"/>
  <c r="AA12" i="2"/>
  <c r="Z12" i="2"/>
  <c r="Y12" i="2"/>
  <c r="X12" i="2"/>
  <c r="W12" i="2"/>
  <c r="V12" i="2"/>
  <c r="U12" i="2"/>
  <c r="T12" i="2"/>
  <c r="S12" i="2"/>
  <c r="R12" i="2"/>
  <c r="Q12" i="2"/>
  <c r="P12" i="2"/>
  <c r="O12" i="2"/>
  <c r="N12" i="2"/>
  <c r="M12" i="2"/>
  <c r="L12" i="2"/>
  <c r="K12" i="2"/>
  <c r="J12" i="2"/>
  <c r="I12" i="2"/>
  <c r="H12" i="2"/>
  <c r="G12" i="2"/>
  <c r="F12" i="2"/>
  <c r="E12" i="2"/>
  <c r="D12" i="2"/>
  <c r="C12" i="2"/>
  <c r="B12" i="2"/>
  <c r="A12" i="2"/>
  <c r="AD11" i="2"/>
  <c r="AC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D10" i="2"/>
  <c r="AC10" i="2"/>
  <c r="AB10" i="2"/>
  <c r="AA10" i="2"/>
  <c r="Z10" i="2"/>
  <c r="Y10" i="2"/>
  <c r="X10" i="2"/>
  <c r="W10" i="2"/>
  <c r="V10" i="2"/>
  <c r="U10" i="2"/>
  <c r="T10" i="2"/>
  <c r="S10" i="2"/>
  <c r="R10" i="2"/>
  <c r="Q10" i="2"/>
  <c r="P10" i="2"/>
  <c r="O10" i="2"/>
  <c r="N10" i="2"/>
  <c r="M10" i="2"/>
  <c r="L10" i="2"/>
  <c r="K10" i="2"/>
  <c r="J10" i="2"/>
  <c r="I10" i="2"/>
  <c r="H10" i="2"/>
  <c r="G10" i="2"/>
  <c r="F10" i="2"/>
  <c r="E10" i="2"/>
  <c r="D10" i="2"/>
  <c r="C10" i="2"/>
  <c r="B10" i="2"/>
  <c r="A10" i="2"/>
  <c r="AD9" i="2"/>
  <c r="AC9" i="2"/>
  <c r="AB9" i="2"/>
  <c r="AA9" i="2"/>
  <c r="Z9" i="2"/>
  <c r="Y9" i="2"/>
  <c r="X9" i="2"/>
  <c r="W9" i="2"/>
  <c r="V9" i="2"/>
  <c r="U9" i="2"/>
  <c r="T9" i="2"/>
  <c r="S9" i="2"/>
  <c r="R9" i="2"/>
  <c r="Q9" i="2"/>
  <c r="P9" i="2"/>
  <c r="O9" i="2"/>
  <c r="N9" i="2"/>
  <c r="M9" i="2"/>
  <c r="L9" i="2"/>
  <c r="K9" i="2"/>
  <c r="J9" i="2"/>
  <c r="I9" i="2"/>
  <c r="H9" i="2"/>
  <c r="G9" i="2"/>
  <c r="F9" i="2"/>
  <c r="E9" i="2"/>
  <c r="D9" i="2"/>
  <c r="C9" i="2"/>
  <c r="B9" i="2"/>
  <c r="A9" i="2"/>
  <c r="AD8" i="2"/>
  <c r="AC8" i="2"/>
  <c r="AB8" i="2"/>
  <c r="AA8" i="2"/>
  <c r="Z8" i="2"/>
  <c r="Y8" i="2"/>
  <c r="X8" i="2"/>
  <c r="W8" i="2"/>
  <c r="V8" i="2"/>
  <c r="U8" i="2"/>
  <c r="T8" i="2"/>
  <c r="S8" i="2"/>
  <c r="R8" i="2"/>
  <c r="Q8" i="2"/>
  <c r="P8" i="2"/>
  <c r="O8" i="2"/>
  <c r="N8" i="2"/>
  <c r="M8" i="2"/>
  <c r="L8" i="2"/>
  <c r="K8" i="2"/>
  <c r="J8" i="2"/>
  <c r="I8" i="2"/>
  <c r="H8" i="2"/>
  <c r="G8" i="2"/>
  <c r="F8" i="2"/>
  <c r="E8" i="2"/>
  <c r="D8" i="2"/>
  <c r="C8" i="2"/>
  <c r="B8" i="2"/>
  <c r="A8" i="2"/>
  <c r="AD7" i="2"/>
  <c r="AC7" i="2"/>
  <c r="AB7" i="2"/>
  <c r="AA7" i="2"/>
  <c r="Z7" i="2"/>
  <c r="Y7" i="2"/>
  <c r="X7" i="2"/>
  <c r="W7" i="2"/>
  <c r="V7" i="2"/>
  <c r="U7" i="2"/>
  <c r="T7" i="2"/>
  <c r="S7" i="2"/>
  <c r="R7" i="2"/>
  <c r="Q7" i="2"/>
  <c r="P7" i="2"/>
  <c r="O7" i="2"/>
  <c r="N7" i="2"/>
  <c r="M7" i="2"/>
  <c r="L7" i="2"/>
  <c r="K7" i="2"/>
  <c r="J7" i="2"/>
  <c r="I7" i="2"/>
  <c r="H7" i="2"/>
  <c r="G7" i="2"/>
  <c r="F7" i="2"/>
  <c r="E7" i="2"/>
  <c r="D7" i="2"/>
  <c r="C7" i="2"/>
  <c r="B7" i="2"/>
  <c r="A7" i="2"/>
  <c r="AD6" i="2"/>
  <c r="AC6" i="2"/>
  <c r="AB6" i="2"/>
  <c r="AA6" i="2"/>
  <c r="Z6" i="2"/>
  <c r="Y6" i="2"/>
  <c r="X6" i="2"/>
  <c r="W6" i="2"/>
  <c r="V6" i="2"/>
  <c r="U6" i="2"/>
  <c r="T6" i="2"/>
  <c r="S6" i="2"/>
  <c r="R6" i="2"/>
  <c r="Q6" i="2"/>
  <c r="P6" i="2"/>
  <c r="O6" i="2"/>
  <c r="N6" i="2"/>
  <c r="M6" i="2"/>
  <c r="L6" i="2"/>
  <c r="K6" i="2"/>
  <c r="J6" i="2"/>
  <c r="I6" i="2"/>
  <c r="H6" i="2"/>
  <c r="G6" i="2"/>
  <c r="F6" i="2"/>
  <c r="E6" i="2"/>
  <c r="D6" i="2"/>
  <c r="C6" i="2"/>
  <c r="B6" i="2"/>
  <c r="A6" i="2"/>
  <c r="AD5" i="2"/>
  <c r="AC5" i="2"/>
  <c r="AB5" i="2"/>
  <c r="AA5" i="2"/>
  <c r="Z5" i="2"/>
  <c r="Y5" i="2"/>
  <c r="X5" i="2"/>
  <c r="W5" i="2"/>
  <c r="V5" i="2"/>
  <c r="U5" i="2"/>
  <c r="T5" i="2"/>
  <c r="S5" i="2"/>
  <c r="R5" i="2"/>
  <c r="Q5" i="2"/>
  <c r="P5" i="2"/>
  <c r="O5" i="2"/>
  <c r="N5" i="2"/>
  <c r="M5" i="2"/>
  <c r="L5" i="2"/>
  <c r="K5" i="2"/>
  <c r="J5" i="2"/>
  <c r="I5" i="2"/>
  <c r="H5" i="2"/>
  <c r="G5" i="2"/>
  <c r="F5" i="2"/>
  <c r="E5" i="2"/>
  <c r="D5" i="2"/>
  <c r="C5" i="2"/>
  <c r="B5" i="2"/>
  <c r="A5" i="2"/>
  <c r="AD4" i="2"/>
  <c r="AC4" i="2"/>
  <c r="AB4" i="2"/>
  <c r="AA4" i="2"/>
  <c r="Z4" i="2"/>
  <c r="Y4" i="2"/>
  <c r="X4" i="2"/>
  <c r="W4" i="2"/>
  <c r="V4" i="2"/>
  <c r="U4" i="2"/>
  <c r="T4" i="2"/>
  <c r="S4" i="2"/>
  <c r="R4" i="2"/>
  <c r="Q4" i="2"/>
  <c r="P4" i="2"/>
  <c r="O4" i="2"/>
  <c r="N4" i="2"/>
  <c r="M4" i="2"/>
  <c r="L4" i="2"/>
  <c r="K4" i="2"/>
  <c r="J4" i="2"/>
  <c r="I4" i="2"/>
  <c r="H4" i="2"/>
  <c r="G4" i="2"/>
  <c r="F4" i="2"/>
  <c r="E4" i="2"/>
  <c r="D4" i="2"/>
  <c r="C4" i="2"/>
  <c r="B4" i="2"/>
  <c r="A4" i="2"/>
  <c r="AD3" i="2"/>
  <c r="AC3" i="2"/>
  <c r="AB3" i="2"/>
  <c r="AA3" i="2"/>
  <c r="Z3" i="2"/>
  <c r="Y3" i="2"/>
  <c r="X3" i="2"/>
  <c r="W3" i="2"/>
  <c r="V3" i="2"/>
  <c r="U3" i="2"/>
  <c r="T3" i="2"/>
  <c r="S3" i="2"/>
  <c r="R3" i="2"/>
  <c r="Q3" i="2"/>
  <c r="P3" i="2"/>
  <c r="O3" i="2"/>
  <c r="N3" i="2"/>
  <c r="M3" i="2"/>
  <c r="L3" i="2"/>
  <c r="K3" i="2"/>
  <c r="J3" i="2"/>
  <c r="I3" i="2"/>
  <c r="H3" i="2"/>
  <c r="G3" i="2"/>
  <c r="F3" i="2"/>
  <c r="E3" i="2"/>
  <c r="D3" i="2"/>
  <c r="C3" i="2"/>
  <c r="B3" i="2"/>
  <c r="A3" i="2"/>
  <c r="B2" i="2"/>
  <c r="A2" i="2"/>
  <c r="AD2" i="2"/>
  <c r="AD1" i="2"/>
  <c r="AC2" i="2"/>
  <c r="AC1" i="2"/>
  <c r="AB2" i="2"/>
  <c r="AB1" i="2"/>
  <c r="AA2" i="2"/>
  <c r="AA1" i="2"/>
  <c r="Z2" i="2"/>
  <c r="Z1" i="2"/>
  <c r="Y2" i="2"/>
  <c r="Y1" i="2"/>
  <c r="X2" i="2"/>
  <c r="X1" i="2"/>
  <c r="W2" i="2"/>
  <c r="W1" i="2"/>
  <c r="V2" i="2"/>
  <c r="V1" i="2"/>
  <c r="U2" i="2"/>
  <c r="U1" i="2"/>
  <c r="T2" i="2"/>
  <c r="T1" i="2"/>
  <c r="S2" i="2"/>
  <c r="S1" i="2"/>
  <c r="R2" i="2"/>
  <c r="R1" i="2"/>
  <c r="Q2" i="2"/>
  <c r="Q1" i="2"/>
  <c r="P2" i="2"/>
  <c r="P1" i="2"/>
  <c r="O2" i="2"/>
  <c r="O1" i="2"/>
  <c r="N2" i="2"/>
  <c r="N1" i="2"/>
  <c r="M2" i="2"/>
  <c r="M1" i="2"/>
  <c r="L2" i="2"/>
  <c r="L1" i="2"/>
  <c r="K2" i="2"/>
  <c r="K1" i="2"/>
  <c r="J2" i="2"/>
  <c r="J1" i="2"/>
  <c r="I2" i="2"/>
  <c r="I1" i="2"/>
  <c r="H2" i="2"/>
  <c r="H1" i="2"/>
  <c r="G2" i="2"/>
  <c r="G1" i="2"/>
  <c r="F2" i="2"/>
  <c r="F1" i="2"/>
  <c r="E2" i="2"/>
  <c r="E1" i="2"/>
  <c r="D2" i="2"/>
  <c r="D1" i="2"/>
  <c r="C2" i="2"/>
  <c r="C1" i="2"/>
  <c r="B1" i="2"/>
</calcChain>
</file>

<file path=xl/sharedStrings.xml><?xml version="1.0" encoding="utf-8"?>
<sst xmlns="http://schemas.openxmlformats.org/spreadsheetml/2006/main" count="1258" uniqueCount="222">
  <si>
    <t>sample_id</t>
  </si>
  <si>
    <t>sample_name</t>
  </si>
  <si>
    <t>No more than 1000 samples can be entered in this worksheet.  If you need to submit metadata for &gt;1000 samples, please contact CMI directly.</t>
  </si>
  <si>
    <t>collection_device</t>
  </si>
  <si>
    <t>collection_method</t>
  </si>
  <si>
    <t>collection_timestamp</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</si>
  <si>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</si>
  <si>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</si>
  <si>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</si>
  <si>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</si>
  <si>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</si>
  <si>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</si>
  <si>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</si>
  <si>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</si>
  <si>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</si>
  <si>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</si>
  <si>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</si>
  <si>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</si>
  <si>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</si>
  <si>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</si>
  <si>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</si>
  <si>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location_name</t>
  </si>
  <si>
    <t>longitude</t>
  </si>
  <si>
    <t>longitude_units</t>
  </si>
  <si>
    <t>physical_specimen_location</t>
  </si>
  <si>
    <t>physical_specimen_remaining</t>
  </si>
  <si>
    <t>sample_type</t>
  </si>
  <si>
    <t>scientific_name</t>
  </si>
  <si>
    <t>taxon_id</t>
  </si>
  <si>
    <t>title</t>
  </si>
  <si>
    <t>tube_id</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</si>
  <si>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</si>
  <si>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</si>
  <si>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</si>
  <si>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</si>
  <si>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</si>
  <si>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</si>
  <si>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</si>
  <si>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</si>
  <si>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</si>
  <si>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</si>
  <si>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</si>
  <si>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</si>
  <si>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value must be a string.</t>
  </si>
  <si>
    <t>The day and time of sampling as a single point in time expressed in 24-hour time format, e.g. 2016-11-22. The value must be a string and must equal "not collected" or must equal "not provided" or must equal "restricted access" or the value must be a datetime and the value must be a valid timestamp in one of these formats: YYYY or YYYY-MM or YYYY-MM-DD or YYYY-MM-DD hh or YYYY-MM-DD hh:mm or YYYY-MM-DD hh:mm:ss.</t>
  </si>
  <si>
    <t>A description of the sample that can include site, subject, and sample material. The value must be a string.</t>
  </si>
  <si>
    <t>Whether the DNA been extracted from the sample. The value must be a string and must equal "not collected" or must equal "not provided" or the value must be a string and must equal "TRUE" or must equal "FALSE".</t>
  </si>
  <si>
    <t>Height of land above sea level in meters at the sampling site. The value must be a string and must equal "not collected" or must equal "not provided" or must equal "restricted access" or the value must be a number and &gt;=-413.0.</t>
  </si>
  <si>
    <t>The value must be a string and must equal "meters". The default value is meters.</t>
  </si>
  <si>
    <t>The value must be a string and must equal "free-living". The default value is free-living.</t>
  </si>
  <si>
    <t>The value must be a string and must equal "saline" or must equal "non-saline".</t>
  </si>
  <si>
    <t>The value must be a string and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</si>
  <si>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</si>
  <si>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</si>
  <si>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</si>
  <si>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"air" or must equal "microbial mat/biofilm" or must equal "misc environment"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</si>
  <si>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</si>
  <si>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</si>
  <si>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"not collected" or must equal "not provided" or must equal "restricted access" or the value must be a number and &gt;=-90.00 and &lt;=90.00.</t>
  </si>
  <si>
    <t>The value must be a string and must equal "Decimal degrees". The default value is Decimal degrees.</t>
  </si>
  <si>
    <t>Name of the drainage we collected samples at. The value must be a string and must equal "not applicable" or must equal "not collected" or the value must be a string.</t>
  </si>
  <si>
    <t>Location of the sample site by longitude in decimal degrees, e.g. -117.16 for San Diego, USA. The value must be a string and must equal "not collected" or must equal "not provided" or must equal "restricted access" or the value must be a number and &gt;=-180.00 and &lt;=180.00.</t>
  </si>
  <si>
    <t>Where the sample is stored (if there is any left). The value must be a string.</t>
  </si>
  <si>
    <t>Whether there is any raw specimen left to sample. The value must be a string and must equal "not collected" or must equal "not provided" or must equal "restricted access" or the value must be a string and must equal "TRUE" or must equal "FALSE".</t>
  </si>
  <si>
    <t>The value must be a string and must equal "not applicable" or the value must be a string and must equal "beer" or must equal "cheese" or must equal "fresh water" or must equal "marine sediment" or must equal "sea water" or must equal "sediment" or must equal "soil" or must equal "waste water".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</si>
  <si>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 and must equal "metagenome". The default value is metagenome.</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</si>
  <si>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"256318". The default value is 256318.</t>
  </si>
  <si>
    <t>Title of study. The value must be a string.</t>
  </si>
  <si>
    <t>The identification of the tube containing the sample. The value must be a string.</t>
  </si>
  <si>
    <t xml:space="preserve">collection_device:
  empty: false
  is_phi: false
  required: true
  type: string
collection_method:
  empty: false
  is_phi: false
  required: true
  type: string
collection_timestamp:
  anyof:
  - allowed:
    - not collected
    - not provided
    - restricted access
    type: string
  - regex: '^([0-9]{4})(?:-([0-1][0-2])(?:-([0-3][0-9])(?: ([0-2][0-9])(?::([0-5][0-9])(?::([0-5][0-9]))?)?)?)?)?$'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not collected
    - not provided
    type: string
  - allowed:
    - 'TRUE'
    - 'FALSE'
    type: string
  empty: false
  field_desc: Whether the DNA been extracted from the sample.
  is_phi: false
  required: true
elevation:
  anyof:
  - allowed:
    - not collected
    - not provided
    - restricted access
    type: string
  - min: '-413.0'
    type: number
  empty: false
  field_desc: Height of land above sea level in meters at the sampling site
  is_phi: false
  required: true
  units: elevation_units
elevation_units:
  allowed:
  - meters
  default: meters
  empty: false
  is_phi: false
  required: true
  type: string
empo_1:
  allowed:
  - free-living
  default: free-living
  empty: false
  is_phi: false
  required: true
  type: string
empo_2:
  allowed:
  - saline
  - non-saline
  empty: false
  is_phi: false
  required: true
  type: string
empo_3:
  allowed: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allowed:
  - air
  - microbial mat/biofilm
  - misc environment
  - sediment
  - soil
  - wastewater/sludge
  - water
  empty: false
  field_desc: Environment where the sample was obtained.
  is_phi: false
  required: true
  type: string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not collected
    - not provided
    - restricted access
    type: string
  - max: '90.00'
    min: '-90.00'
    type: number
  empty: false
  field_desc: Location of the sample site by latitude in decimal degrees, e.g. 32.72
    for San Diego, USA.
  is_phi: false
  required: true
  units: latitude_units
latitude_units:
  allowed:
  - Decimal degrees
  default: Decimal degrees
  empty: false
  is_phi: false
  required: true
  type: string
location_name:
  anyof:
  - allowed:
    - not applicable
    - not collected
    type: string
  - type: string
  empty: false
  field_desc: name of the drainage we collected samples at
  is_phi: false
  required: true
longitude:
  anyof:
  - allowed:
    - not collected
    - not provided
    - restricted access
    type: string
  - max: '180.00'
    min: '-180.00'
    type: number
  empty: false
  field_desc: Location of the sample site by longitude in decimal degrees, e.g. -117.16
    for San Diego, USA.
  is_phi: false
  required: true
  units: longitude_units
longitude_units:
  allowed:
  - Decimal degrees
  default: Decimal degrees
  empty: false
  is_phi: false
  required: true
  type: string
physical_specimen_location:
  empty: false
  field_desc: Where the sample is stored (if there is any left).
  is_phi: false
  required: true
  type: string
physical_specimen_remaining:
  anyof:
  - allowed:
    - not collected
    - not provided
    - restricted access
    type: string
  - allowed:
    - 'TRUE'
    - 'FALSE'
    type: string
  empty: false
  field_desc: Whether there is any raw specimen left to sample.
  is_phi: false
  required: true
sample_name:
  empty: false
  is_phi: false
  regex: ^[a-zA-Z0-9\.]+$
  required: true
  type: string
  unique: true
sample_type:
  anyof:
  - allowed:
    - not applicable
    type: string
  - allowed:
    - beer
    - cheese
    - fresh water
    - marine sediment
    - sea water
    - sediment
    - soil
    - waste water
    type: string
  empty: false
  is_phi: false
  required: true
scientific_name:
  allowed:
  - metagenome
  default: metagenome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allowed:
  - '256318'
  default: '256318'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type: string
title:
  empty: false
  field_desc: Title of study.
  is_phi: false
  required: true
  type: string
tube_id:
  empty: false
  field_desc: The identification of the tube containing the sample.
  is_phi: false
  required: true
  type: string
</t>
  </si>
  <si>
    <t xml:space="preserve">0:
  allowed_missing_vals[]:
  - ebi_not_applicable
  - ebi_not_collected
  default_value: no_default
  field_desc: name of the drainage we collected samples at
  field_name: location_name
  field_type: string
</t>
  </si>
  <si>
    <t>This file was created by QIIMP v0.3 at 2019-12-12 13:05:40.</t>
  </si>
  <si>
    <t>swab</t>
  </si>
  <si>
    <t>TRUE</t>
  </si>
  <si>
    <t>non-saline</t>
  </si>
  <si>
    <t>Anaxyrus.boreas.Sediment.BTP.10.1Sediment</t>
  </si>
  <si>
    <t>Anaxyrus.boreas.Sediment.BTP.10.4Skin</t>
  </si>
  <si>
    <t>Environment.Sediment.BTP.36.4Sediment</t>
  </si>
  <si>
    <t>Environment.Sediment.BTP.36.3Sediment</t>
  </si>
  <si>
    <t>Anaxyrus.boreas.Sediment.BTP.59Sediment</t>
  </si>
  <si>
    <t>Anaxyrus.boreas.Sediment.BTP.60Sediment</t>
  </si>
  <si>
    <t>Environment.Sediment.BTP.93Side.1</t>
  </si>
  <si>
    <t>Environment.Sediment.BTP.94Side.2</t>
  </si>
  <si>
    <t>Environment.Sediment.BTP.120Side.1</t>
  </si>
  <si>
    <t>Environment.Sediment.BTP.121Side.2</t>
  </si>
  <si>
    <t>Environment.Sediment.BTP.135Side.1</t>
  </si>
  <si>
    <t>Environment.Sediment.BTP.136Side.2</t>
  </si>
  <si>
    <t>Environment.Sediment.3.BTP.175Sediment</t>
  </si>
  <si>
    <t>Environment.Sediment.2.BTP.176Sediment</t>
  </si>
  <si>
    <t>Environment.Sediment.1.BTP.177Sediment</t>
  </si>
  <si>
    <t>Environment.Aquatic.Sediment.2.BTP.218Sediment</t>
  </si>
  <si>
    <t>Environment.Aquatic.Sediment.1.BTP.219Sediment</t>
  </si>
  <si>
    <t>Environment.Aquatic.Sediment.3.BTP.217Sediment</t>
  </si>
  <si>
    <t>Environment.Sediment.BTP.242Sediment</t>
  </si>
  <si>
    <t>Environment.Sediment.BTP.243Sediment</t>
  </si>
  <si>
    <t>Environment.Sediment.BTP.234Sediment</t>
  </si>
  <si>
    <t>Environment.Side.1.BTP.252Sediment</t>
  </si>
  <si>
    <t>Environment.Side.2.BTP.253Sediment</t>
  </si>
  <si>
    <t>Environment.Side.1.BTP.258Sediment</t>
  </si>
  <si>
    <t>Environment.Side.2.BTP.259Sediment</t>
  </si>
  <si>
    <t>Environment.Sterile.water.BTP.119Sterile.water</t>
  </si>
  <si>
    <t>Environment.Side.1.BTP.256Sterile.water</t>
  </si>
  <si>
    <t>Environment.Side.2.BTP.257Sterile.water</t>
  </si>
  <si>
    <t>swab 1 g of sediment from top 2 cm of sediment at bottom of pond</t>
  </si>
  <si>
    <t>swab submered in sterile water container</t>
  </si>
  <si>
    <t>sediment (non-saline)</t>
  </si>
  <si>
    <t>water (non-saline)</t>
  </si>
  <si>
    <t>USA:CO:Chaffee County</t>
  </si>
  <si>
    <t>BTP_10.1</t>
  </si>
  <si>
    <t>BTP_10.4</t>
  </si>
  <si>
    <t>BTP_30</t>
  </si>
  <si>
    <t>BTP_29</t>
  </si>
  <si>
    <t>BTP_36.4</t>
  </si>
  <si>
    <t>BTP_36.3</t>
  </si>
  <si>
    <t>BTP_59</t>
  </si>
  <si>
    <t>BTP_60</t>
  </si>
  <si>
    <t>BTP_93</t>
  </si>
  <si>
    <t>BTP_94</t>
  </si>
  <si>
    <t>BTP_120</t>
  </si>
  <si>
    <t>BTP_121</t>
  </si>
  <si>
    <t>BTP_135</t>
  </si>
  <si>
    <t>BTP_136</t>
  </si>
  <si>
    <t>BTP_175</t>
  </si>
  <si>
    <t>BTP_176</t>
  </si>
  <si>
    <t>BTP_177</t>
  </si>
  <si>
    <t>BTP_218</t>
  </si>
  <si>
    <t>BTP_219</t>
  </si>
  <si>
    <t>BTP_217</t>
  </si>
  <si>
    <t>BTP_242</t>
  </si>
  <si>
    <t>BTP_243</t>
  </si>
  <si>
    <t>BTP_234</t>
  </si>
  <si>
    <t>BTP_252</t>
  </si>
  <si>
    <t>BTP_253</t>
  </si>
  <si>
    <t>BTP_258</t>
  </si>
  <si>
    <t>BTP_259</t>
  </si>
  <si>
    <t>BTP_119</t>
  </si>
  <si>
    <t>BTP_256</t>
  </si>
  <si>
    <t>BTP_257</t>
  </si>
  <si>
    <t>4_Mile</t>
  </si>
  <si>
    <t>Dennys_Creek</t>
  </si>
  <si>
    <t>Collegiate_Peaks</t>
  </si>
  <si>
    <t>South_Cottonwood</t>
  </si>
  <si>
    <t>not applicable</t>
  </si>
  <si>
    <t>FALSE</t>
  </si>
  <si>
    <t>sediment</t>
  </si>
  <si>
    <t>Separating host associated symbiont fungi from transient fungi in an amphibian host system</t>
  </si>
  <si>
    <t>Anaxyrus.boreas.Lake.water.BTP.10.2Lake.water</t>
  </si>
  <si>
    <t>Environment.Creek.water.BTP.30.1Water</t>
  </si>
  <si>
    <t>Environment.Egg.water.BTP.30.2Water</t>
  </si>
  <si>
    <t>Environment.Creek.Water.BTP.27Water</t>
  </si>
  <si>
    <t>Environment.Egg.Water.BTP.28Water</t>
  </si>
  <si>
    <t>Environment.Lake.water.BTP.36.5Lake.water</t>
  </si>
  <si>
    <t>Environment.Lake.water.BTP.36.6Lake.water</t>
  </si>
  <si>
    <t>Anaxyrus.boreas.Water.BTP.58Water</t>
  </si>
  <si>
    <t>Anaxyrus.boreas.Water.BTP.57Water</t>
  </si>
  <si>
    <t>Environment.Water.BTP.91Side.1</t>
  </si>
  <si>
    <t>Environment.Water.BTP.92Side.2</t>
  </si>
  <si>
    <t>Environment.Lake.water.BTP.122Side.1</t>
  </si>
  <si>
    <t>Environment.Side.2.BTP.123Lake.water</t>
  </si>
  <si>
    <t>Environment.Lake.water.BTP.137Side.1</t>
  </si>
  <si>
    <t>Environment.Lake.water.BTP.138Side.2</t>
  </si>
  <si>
    <t>Environment.Water.3.BTP.178Water</t>
  </si>
  <si>
    <t>Environment.Water.2.BTP.179Water</t>
  </si>
  <si>
    <t>Environment.Water.1.BTP.180Water</t>
  </si>
  <si>
    <t>Environment.Water.3.BTP.220Water</t>
  </si>
  <si>
    <t>Environment.Water.2.BTP.221Water</t>
  </si>
  <si>
    <t>Environment.Water.1.BTP.222Water</t>
  </si>
  <si>
    <t>Environment.Side.1.BTP.244Water</t>
  </si>
  <si>
    <t>Environment.Side.2.BTP.235Lake.water</t>
  </si>
  <si>
    <t>Environment.Side.2.BTP.245Water</t>
  </si>
  <si>
    <t>Environment.Side.1.BTP.254Lake.water</t>
  </si>
  <si>
    <t>Environment.Side.2.BTP.255Lake.water</t>
  </si>
  <si>
    <t>lifted top 2 cm of soil and swabbed 1 g of soil</t>
  </si>
  <si>
    <t>swab swirled in top 5 cm of water for 5 seconds</t>
  </si>
  <si>
    <t>not collected</t>
  </si>
  <si>
    <t>BTP_223</t>
  </si>
  <si>
    <t>BTP_224</t>
  </si>
  <si>
    <t>BTP_225</t>
  </si>
  <si>
    <t>BTP_10.2</t>
  </si>
  <si>
    <t>BTP_30.1</t>
  </si>
  <si>
    <t>BTP_30.2</t>
  </si>
  <si>
    <t>BTP_27</t>
  </si>
  <si>
    <t>BTP_28</t>
  </si>
  <si>
    <t>BTP_36.5</t>
  </si>
  <si>
    <t>BTP_36.6</t>
  </si>
  <si>
    <t>BTP_58</t>
  </si>
  <si>
    <t>BTP_57</t>
  </si>
  <si>
    <t>BTP_91</t>
  </si>
  <si>
    <t>BTP_92</t>
  </si>
  <si>
    <t>BTP_122</t>
  </si>
  <si>
    <t>BTP_123</t>
  </si>
  <si>
    <t>BTP_137</t>
  </si>
  <si>
    <t>BTP_138</t>
  </si>
  <si>
    <t>BTP_178</t>
  </si>
  <si>
    <t>BTP_179</t>
  </si>
  <si>
    <t>BTP_180</t>
  </si>
  <si>
    <t>BTP_220</t>
  </si>
  <si>
    <t>BTP_221</t>
  </si>
  <si>
    <t>BTP_222</t>
  </si>
  <si>
    <t>BTP_244</t>
  </si>
  <si>
    <t>BTP_235</t>
  </si>
  <si>
    <t>BTP_245</t>
  </si>
  <si>
    <t>BTP_254</t>
  </si>
  <si>
    <t>BTP_255</t>
  </si>
  <si>
    <t>soil</t>
  </si>
  <si>
    <t>Environment.Upland.soil.3.BTP.223</t>
  </si>
  <si>
    <t>Environment.Upland.soil.2.BTP.224</t>
  </si>
  <si>
    <t>Environment.Upland.soil.1.BTP.225</t>
  </si>
  <si>
    <t>fresh water</t>
  </si>
  <si>
    <t>Environment.Egg.Sediment.BTP.30</t>
  </si>
  <si>
    <t>Environment.Egg.Sediment.BTP.29</t>
  </si>
  <si>
    <t>soil (non-saline)</t>
  </si>
  <si>
    <t>non-saline sediment environment</t>
  </si>
  <si>
    <t>soil environment</t>
  </si>
  <si>
    <t>sterile water environment</t>
  </si>
  <si>
    <t>freshwater environment</t>
  </si>
  <si>
    <t>alpine soil</t>
  </si>
  <si>
    <t>sediment permeated by freshwater</t>
  </si>
  <si>
    <t>pond water</t>
  </si>
  <si>
    <t>sterile water</t>
  </si>
  <si>
    <t>microbial feature</t>
  </si>
  <si>
    <t>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</si>
</sst>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5" x14ac:knownFonts="1">
    <font>
      <sz val="11"/>
      <color theme="1"/>
      <name val="Calibri"/>
      <family val="2"/>
      <scheme val="minor"/>
    </font>
    <font>
      <sz val="11"/>
      <color theme="1"/>
      <name val="Cambria"/>
      <family val="2"/>
    </font>
    <font>
      <b/>
      <sz val="11"/>
      <color theme="1"/>
      <name val="Cambria"/>
      <family val="2"/>
    </font>
    <font>
      <u/>
      <sz val="11"/>
      <color rgb="FF0000FF"/>
      <name val="Cambria"/>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49" fontId="1" fillId="0" borderId="0" xfId="0" applyNumberFormat="1" applyFont="1" applyProtection="1">
      <protection locked="0" hidden="1"/>
    </xf>
    <xf numFmtId="0" fontId="1" fillId="0" borderId="0" xfId="0" applyFont="1" applyProtection="1">
      <protection locked="0" hidden="1"/>
    </xf>
    <xf numFmtId="0" fontId="2" fillId="0" borderId="0" xfId="0" applyFont="1" applyAlignment="1" applyProtection="1">
      <alignment wrapText="1"/>
      <protection hidden="1"/>
    </xf>
    <xf numFmtId="0" fontId="3" fillId="0" borderId="0" xfId="0" applyFont="1" applyProtection="1">
      <protection hidden="1"/>
    </xf>
    <xf numFmtId="0" fontId="1" fillId="0" borderId="0" xfId="0" applyFont="1" applyAlignment="1" applyProtection="1">
      <alignment horizontal="center"/>
      <protection hidden="1"/>
    </xf>
    <xf numFmtId="0" fontId="0" fillId="0" borderId="0" xfId="0" applyAlignment="1">
      <alignment horizontal="left" vertical="top" wrapText="1"/>
    </xf>
    <xf numFmtId="0" fontId="0" fillId="0" borderId="0" xfId="0" applyProtection="1">
      <protection locked="0"/>
    </xf>
    <xf numFmtId="164" fontId="0" fillId="0" borderId="0" xfId="0" applyNumberFormat="1" applyProtection="1">
      <protection locked="0"/>
    </xf>
  </cellXfs>
  <cellStyles count="1">
    <cellStyle name="Normal" xfId="0" builtinId="0"/>
  </cellStyles>
  <dxfs count="2">
    <dxf>
      <font>
        <u/>
        <color rgb="FF9C0006"/>
      </font>
      <fill>
        <patternFill>
          <bgColor rgb="FFFFC7CE"/>
        </patternFill>
      </fill>
    </dxf>
    <dxf>
      <font>
        <color rgb="FFC6EFCE"/>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02"/>
  <sheetViews>
    <sheetView tabSelected="1" workbookViewId="0">
      <pane xSplit="2" ySplit="1" topLeftCell="Z2" activePane="bottomRight" state="frozen"/>
      <selection pane="topRight" activeCell="C1" sqref="C1"/>
      <selection pane="bottomLeft" activeCell="A2" sqref="A2"/>
      <selection pane="bottomRight" activeCell="AC2" sqref="AC2"/>
    </sheetView>
  </sheetViews>
  <sheetFormatPr baseColWidth="10" defaultColWidth="8.83203125" defaultRowHeight="15" zeroHeight="1" x14ac:dyDescent="0.2"/>
  <cols>
    <col min="1" max="1" width="0" hidden="1" customWidth="1"/>
    <col min="2" max="2" width="44.1640625" style="1" customWidth="1"/>
    <col min="3" max="5" width="25.6640625" style="1" customWidth="1"/>
    <col min="6" max="6" width="40.33203125" style="1" customWidth="1"/>
    <col min="7" max="7" width="25.6640625" style="1" customWidth="1"/>
    <col min="8" max="8" width="25.6640625" style="2" customWidth="1"/>
    <col min="9" max="12" width="25.6640625" style="1" customWidth="1"/>
    <col min="13" max="13" width="28" style="1" customWidth="1"/>
    <col min="14" max="14" width="25.6640625" style="1" customWidth="1"/>
    <col min="15" max="15" width="28.1640625" style="1" customWidth="1"/>
    <col min="16" max="18" width="25.6640625" style="1" customWidth="1"/>
    <col min="19" max="19" width="25.6640625" style="2" customWidth="1"/>
    <col min="20" max="21" width="25.6640625" style="1" customWidth="1"/>
    <col min="22" max="22" width="25.6640625" style="2" customWidth="1"/>
    <col min="23" max="30" width="25.6640625" style="1" customWidth="1"/>
  </cols>
  <sheetData>
    <row r="1" spans="1:30" ht="31" x14ac:dyDescent="0.2">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c r="AD1" s="3" t="s">
        <v>30</v>
      </c>
    </row>
    <row r="2" spans="1:30" x14ac:dyDescent="0.2">
      <c r="A2">
        <f>IF(COUNTBLANK(B2:AD2)&lt;&gt;COLUMNS(B2:AD2),1,"")</f>
        <v>1</v>
      </c>
      <c r="B2" s="7" t="s">
        <v>75</v>
      </c>
      <c r="C2" s="1" t="s">
        <v>72</v>
      </c>
      <c r="D2" s="1" t="s">
        <v>103</v>
      </c>
      <c r="E2" s="8">
        <v>42166</v>
      </c>
      <c r="F2" s="7" t="s">
        <v>75</v>
      </c>
      <c r="G2" s="1" t="s">
        <v>73</v>
      </c>
      <c r="I2" s="1" t="str">
        <f>IF(B2="", "", "meters")</f>
        <v>meters</v>
      </c>
      <c r="J2" s="1" t="str">
        <f>IF(B2="", "", "free-living")</f>
        <v>free-living</v>
      </c>
      <c r="K2" s="1" t="s">
        <v>74</v>
      </c>
      <c r="L2" s="1" t="s">
        <v>105</v>
      </c>
      <c r="M2" s="1" t="s">
        <v>212</v>
      </c>
      <c r="N2" s="1" t="s">
        <v>220</v>
      </c>
      <c r="O2" s="1" t="s">
        <v>217</v>
      </c>
      <c r="P2" s="1" t="s">
        <v>144</v>
      </c>
      <c r="Q2" s="1" t="s">
        <v>107</v>
      </c>
      <c r="R2" s="7" t="s">
        <v>108</v>
      </c>
      <c r="T2" s="1" t="str">
        <f>IF(B2="", "", "Decimal degrees")</f>
        <v>Decimal degrees</v>
      </c>
      <c r="U2" s="7" t="s">
        <v>138</v>
      </c>
      <c r="W2" s="1" t="str">
        <f>IF(B2="", "", "Decimal degrees")</f>
        <v>Decimal degrees</v>
      </c>
      <c r="X2" s="1" t="s">
        <v>142</v>
      </c>
      <c r="Y2" s="1" t="s">
        <v>143</v>
      </c>
      <c r="Z2" s="1" t="s">
        <v>144</v>
      </c>
      <c r="AA2" s="1" t="str">
        <f>IF(B2="", "", "metagenome")</f>
        <v>metagenome</v>
      </c>
      <c r="AB2" s="1" t="str">
        <f>IF(B2="", "", "256318")</f>
        <v>256318</v>
      </c>
      <c r="AC2" s="1" t="s">
        <v>145</v>
      </c>
      <c r="AD2" s="7" t="s">
        <v>108</v>
      </c>
    </row>
    <row r="3" spans="1:30" x14ac:dyDescent="0.2">
      <c r="A3">
        <f>IF(COUNTBLANK(B3:AD3)&lt;&gt;COLUMNS(B3:AD3),2,"")</f>
        <v>2</v>
      </c>
      <c r="B3" s="7" t="s">
        <v>76</v>
      </c>
      <c r="C3" s="1" t="s">
        <v>72</v>
      </c>
      <c r="D3" s="1" t="s">
        <v>103</v>
      </c>
      <c r="E3" s="8">
        <v>42166</v>
      </c>
      <c r="F3" s="7" t="s">
        <v>76</v>
      </c>
      <c r="G3" s="1" t="s">
        <v>73</v>
      </c>
      <c r="I3" s="1" t="str">
        <f>IF(B3="", "", "meters")</f>
        <v>meters</v>
      </c>
      <c r="J3" s="1" t="str">
        <f>IF(B3="", "", "free-living")</f>
        <v>free-living</v>
      </c>
      <c r="K3" s="1" t="s">
        <v>74</v>
      </c>
      <c r="L3" s="1" t="s">
        <v>105</v>
      </c>
      <c r="M3" s="1" t="s">
        <v>212</v>
      </c>
      <c r="N3" s="1" t="s">
        <v>220</v>
      </c>
      <c r="O3" s="1" t="s">
        <v>217</v>
      </c>
      <c r="P3" s="1" t="s">
        <v>144</v>
      </c>
      <c r="Q3" s="1" t="s">
        <v>107</v>
      </c>
      <c r="R3" s="7" t="s">
        <v>109</v>
      </c>
      <c r="T3" s="1" t="str">
        <f>IF(B3="", "", "Decimal degrees")</f>
        <v>Decimal degrees</v>
      </c>
      <c r="U3" s="7" t="s">
        <v>138</v>
      </c>
      <c r="W3" s="1" t="str">
        <f>IF(B3="", "", "Decimal degrees")</f>
        <v>Decimal degrees</v>
      </c>
      <c r="X3" s="1" t="s">
        <v>142</v>
      </c>
      <c r="Y3" s="1" t="s">
        <v>143</v>
      </c>
      <c r="Z3" s="1" t="s">
        <v>144</v>
      </c>
      <c r="AA3" s="1" t="str">
        <f>IF(B3="", "", "metagenome")</f>
        <v>metagenome</v>
      </c>
      <c r="AB3" s="1" t="str">
        <f>IF(B3="", "", "256318")</f>
        <v>256318</v>
      </c>
      <c r="AC3" s="1" t="s">
        <v>145</v>
      </c>
      <c r="AD3" s="7" t="s">
        <v>109</v>
      </c>
    </row>
    <row r="4" spans="1:30" x14ac:dyDescent="0.2">
      <c r="A4">
        <f>IF(COUNTBLANK(B4:AD4)&lt;&gt;COLUMNS(B4:AD4),3,"")</f>
        <v>3</v>
      </c>
      <c r="B4" s="7" t="s">
        <v>209</v>
      </c>
      <c r="C4" s="1" t="s">
        <v>72</v>
      </c>
      <c r="D4" s="1" t="s">
        <v>103</v>
      </c>
      <c r="E4" s="8">
        <v>42166</v>
      </c>
      <c r="F4" s="7" t="s">
        <v>209</v>
      </c>
      <c r="G4" s="1" t="s">
        <v>73</v>
      </c>
      <c r="I4" s="1" t="str">
        <f>IF(B4="", "", "meters")</f>
        <v>meters</v>
      </c>
      <c r="J4" s="1" t="str">
        <f>IF(B4="", "", "free-living")</f>
        <v>free-living</v>
      </c>
      <c r="K4" s="1" t="s">
        <v>74</v>
      </c>
      <c r="L4" s="1" t="s">
        <v>105</v>
      </c>
      <c r="M4" s="1" t="s">
        <v>212</v>
      </c>
      <c r="N4" s="1" t="s">
        <v>220</v>
      </c>
      <c r="O4" s="1" t="s">
        <v>217</v>
      </c>
      <c r="P4" s="1" t="s">
        <v>144</v>
      </c>
      <c r="Q4" s="1" t="s">
        <v>107</v>
      </c>
      <c r="R4" s="7" t="s">
        <v>110</v>
      </c>
      <c r="T4" s="1" t="str">
        <f>IF(B4="", "", "Decimal degrees")</f>
        <v>Decimal degrees</v>
      </c>
      <c r="U4" s="7" t="s">
        <v>139</v>
      </c>
      <c r="W4" s="1" t="str">
        <f>IF(B4="", "", "Decimal degrees")</f>
        <v>Decimal degrees</v>
      </c>
      <c r="X4" s="1" t="s">
        <v>142</v>
      </c>
      <c r="Y4" s="1" t="s">
        <v>143</v>
      </c>
      <c r="Z4" s="1" t="s">
        <v>144</v>
      </c>
      <c r="AA4" s="1" t="str">
        <f>IF(B4="", "", "metagenome")</f>
        <v>metagenome</v>
      </c>
      <c r="AB4" s="1" t="str">
        <f>IF(B4="", "", "256318")</f>
        <v>256318</v>
      </c>
      <c r="AC4" s="1" t="s">
        <v>145</v>
      </c>
      <c r="AD4" s="7" t="s">
        <v>110</v>
      </c>
    </row>
    <row r="5" spans="1:30" x14ac:dyDescent="0.2">
      <c r="A5">
        <f>IF(COUNTBLANK(B5:AD5)&lt;&gt;COLUMNS(B5:AD5),4,"")</f>
        <v>4</v>
      </c>
      <c r="B5" s="7" t="s">
        <v>210</v>
      </c>
      <c r="C5" s="1" t="s">
        <v>72</v>
      </c>
      <c r="D5" s="1" t="s">
        <v>103</v>
      </c>
      <c r="E5" s="8">
        <v>42166</v>
      </c>
      <c r="F5" s="7" t="s">
        <v>210</v>
      </c>
      <c r="G5" s="1" t="s">
        <v>73</v>
      </c>
      <c r="I5" s="1" t="str">
        <f>IF(B5="", "", "meters")</f>
        <v>meters</v>
      </c>
      <c r="J5" s="1" t="str">
        <f>IF(B5="", "", "free-living")</f>
        <v>free-living</v>
      </c>
      <c r="K5" s="1" t="s">
        <v>74</v>
      </c>
      <c r="L5" s="1" t="s">
        <v>105</v>
      </c>
      <c r="M5" s="1" t="s">
        <v>212</v>
      </c>
      <c r="N5" s="1" t="s">
        <v>220</v>
      </c>
      <c r="O5" s="1" t="s">
        <v>217</v>
      </c>
      <c r="P5" s="1" t="s">
        <v>144</v>
      </c>
      <c r="Q5" s="1" t="s">
        <v>107</v>
      </c>
      <c r="R5" s="7" t="s">
        <v>111</v>
      </c>
      <c r="T5" s="1" t="str">
        <f>IF(B5="", "", "Decimal degrees")</f>
        <v>Decimal degrees</v>
      </c>
      <c r="U5" s="7" t="s">
        <v>139</v>
      </c>
      <c r="W5" s="1" t="str">
        <f>IF(B5="", "", "Decimal degrees")</f>
        <v>Decimal degrees</v>
      </c>
      <c r="X5" s="1" t="s">
        <v>142</v>
      </c>
      <c r="Y5" s="1" t="s">
        <v>143</v>
      </c>
      <c r="Z5" s="1" t="s">
        <v>144</v>
      </c>
      <c r="AA5" s="1" t="str">
        <f>IF(B5="", "", "metagenome")</f>
        <v>metagenome</v>
      </c>
      <c r="AB5" s="1" t="str">
        <f>IF(B5="", "", "256318")</f>
        <v>256318</v>
      </c>
      <c r="AC5" s="1" t="s">
        <v>145</v>
      </c>
      <c r="AD5" s="7" t="s">
        <v>111</v>
      </c>
    </row>
    <row r="6" spans="1:30" x14ac:dyDescent="0.2">
      <c r="A6">
        <f>IF(COUNTBLANK(B6:AD6)&lt;&gt;COLUMNS(B6:AD6),5,"")</f>
        <v>5</v>
      </c>
      <c r="B6" s="7" t="s">
        <v>77</v>
      </c>
      <c r="C6" s="1" t="s">
        <v>72</v>
      </c>
      <c r="D6" s="1" t="s">
        <v>103</v>
      </c>
      <c r="E6" s="8">
        <v>42167</v>
      </c>
      <c r="F6" s="7" t="s">
        <v>77</v>
      </c>
      <c r="G6" s="1" t="s">
        <v>73</v>
      </c>
      <c r="I6" s="1" t="str">
        <f>IF(B6="", "", "meters")</f>
        <v>meters</v>
      </c>
      <c r="J6" s="1" t="str">
        <f>IF(B6="", "", "free-living")</f>
        <v>free-living</v>
      </c>
      <c r="K6" s="1" t="s">
        <v>74</v>
      </c>
      <c r="L6" s="1" t="s">
        <v>105</v>
      </c>
      <c r="M6" s="1" t="s">
        <v>212</v>
      </c>
      <c r="N6" s="1" t="s">
        <v>220</v>
      </c>
      <c r="O6" s="1" t="s">
        <v>217</v>
      </c>
      <c r="P6" s="1" t="s">
        <v>144</v>
      </c>
      <c r="Q6" s="1" t="s">
        <v>107</v>
      </c>
      <c r="R6" s="7" t="s">
        <v>112</v>
      </c>
      <c r="T6" s="1" t="str">
        <f>IF(B6="", "", "Decimal degrees")</f>
        <v>Decimal degrees</v>
      </c>
      <c r="U6" s="7" t="s">
        <v>140</v>
      </c>
      <c r="W6" s="1" t="str">
        <f>IF(B6="", "", "Decimal degrees")</f>
        <v>Decimal degrees</v>
      </c>
      <c r="X6" s="1" t="s">
        <v>142</v>
      </c>
      <c r="Y6" s="1" t="s">
        <v>143</v>
      </c>
      <c r="Z6" s="1" t="s">
        <v>144</v>
      </c>
      <c r="AA6" s="1" t="str">
        <f>IF(B6="", "", "metagenome")</f>
        <v>metagenome</v>
      </c>
      <c r="AB6" s="1" t="str">
        <f>IF(B6="", "", "256318")</f>
        <v>256318</v>
      </c>
      <c r="AC6" s="1" t="s">
        <v>145</v>
      </c>
      <c r="AD6" s="7" t="s">
        <v>112</v>
      </c>
    </row>
    <row r="7" spans="1:30" x14ac:dyDescent="0.2">
      <c r="A7">
        <f>IF(COUNTBLANK(B7:AD7)&lt;&gt;COLUMNS(B7:AD7),6,"")</f>
        <v>6</v>
      </c>
      <c r="B7" s="7" t="s">
        <v>78</v>
      </c>
      <c r="C7" s="1" t="s">
        <v>72</v>
      </c>
      <c r="D7" s="1" t="s">
        <v>103</v>
      </c>
      <c r="E7" s="8">
        <v>42167</v>
      </c>
      <c r="F7" s="7" t="s">
        <v>78</v>
      </c>
      <c r="G7" s="1" t="s">
        <v>73</v>
      </c>
      <c r="I7" s="1" t="str">
        <f>IF(B7="", "", "meters")</f>
        <v>meters</v>
      </c>
      <c r="J7" s="1" t="str">
        <f>IF(B7="", "", "free-living")</f>
        <v>free-living</v>
      </c>
      <c r="K7" s="1" t="s">
        <v>74</v>
      </c>
      <c r="L7" s="1" t="s">
        <v>105</v>
      </c>
      <c r="M7" s="1" t="s">
        <v>212</v>
      </c>
      <c r="N7" s="1" t="s">
        <v>220</v>
      </c>
      <c r="O7" s="1" t="s">
        <v>217</v>
      </c>
      <c r="P7" s="1" t="s">
        <v>144</v>
      </c>
      <c r="Q7" s="1" t="s">
        <v>107</v>
      </c>
      <c r="R7" s="7" t="s">
        <v>113</v>
      </c>
      <c r="T7" s="1" t="str">
        <f>IF(B7="", "", "Decimal degrees")</f>
        <v>Decimal degrees</v>
      </c>
      <c r="U7" s="7" t="s">
        <v>140</v>
      </c>
      <c r="W7" s="1" t="str">
        <f>IF(B7="", "", "Decimal degrees")</f>
        <v>Decimal degrees</v>
      </c>
      <c r="X7" s="1" t="s">
        <v>142</v>
      </c>
      <c r="Y7" s="1" t="s">
        <v>143</v>
      </c>
      <c r="Z7" s="1" t="s">
        <v>144</v>
      </c>
      <c r="AA7" s="1" t="str">
        <f>IF(B7="", "", "metagenome")</f>
        <v>metagenome</v>
      </c>
      <c r="AB7" s="1" t="str">
        <f>IF(B7="", "", "256318")</f>
        <v>256318</v>
      </c>
      <c r="AC7" s="1" t="s">
        <v>145</v>
      </c>
      <c r="AD7" s="7" t="s">
        <v>113</v>
      </c>
    </row>
    <row r="8" spans="1:30" x14ac:dyDescent="0.2">
      <c r="A8">
        <f>IF(COUNTBLANK(B8:AD8)&lt;&gt;COLUMNS(B8:AD8),7,"")</f>
        <v>7</v>
      </c>
      <c r="B8" s="7" t="s">
        <v>79</v>
      </c>
      <c r="C8" s="1" t="s">
        <v>72</v>
      </c>
      <c r="D8" s="1" t="s">
        <v>103</v>
      </c>
      <c r="E8" s="8">
        <v>42177</v>
      </c>
      <c r="F8" s="7" t="s">
        <v>79</v>
      </c>
      <c r="G8" s="1" t="s">
        <v>73</v>
      </c>
      <c r="I8" s="1" t="str">
        <f>IF(B8="", "", "meters")</f>
        <v>meters</v>
      </c>
      <c r="J8" s="1" t="str">
        <f>IF(B8="", "", "free-living")</f>
        <v>free-living</v>
      </c>
      <c r="K8" s="1" t="s">
        <v>74</v>
      </c>
      <c r="L8" s="1" t="s">
        <v>105</v>
      </c>
      <c r="M8" s="1" t="s">
        <v>212</v>
      </c>
      <c r="N8" s="1" t="s">
        <v>220</v>
      </c>
      <c r="O8" s="1" t="s">
        <v>217</v>
      </c>
      <c r="P8" s="1" t="s">
        <v>144</v>
      </c>
      <c r="Q8" s="1" t="s">
        <v>107</v>
      </c>
      <c r="R8" s="7" t="s">
        <v>114</v>
      </c>
      <c r="T8" s="1" t="str">
        <f>IF(B8="", "", "Decimal degrees")</f>
        <v>Decimal degrees</v>
      </c>
      <c r="U8" s="7" t="s">
        <v>138</v>
      </c>
      <c r="W8" s="1" t="str">
        <f>IF(B8="", "", "Decimal degrees")</f>
        <v>Decimal degrees</v>
      </c>
      <c r="X8" s="1" t="s">
        <v>142</v>
      </c>
      <c r="Y8" s="1" t="s">
        <v>143</v>
      </c>
      <c r="Z8" s="1" t="s">
        <v>144</v>
      </c>
      <c r="AA8" s="1" t="str">
        <f>IF(B8="", "", "metagenome")</f>
        <v>metagenome</v>
      </c>
      <c r="AB8" s="1" t="str">
        <f>IF(B8="", "", "256318")</f>
        <v>256318</v>
      </c>
      <c r="AC8" s="1" t="s">
        <v>145</v>
      </c>
      <c r="AD8" s="7" t="s">
        <v>114</v>
      </c>
    </row>
    <row r="9" spans="1:30" x14ac:dyDescent="0.2">
      <c r="A9">
        <f>IF(COUNTBLANK(B9:AD9)&lt;&gt;COLUMNS(B9:AD9),8,"")</f>
        <v>8</v>
      </c>
      <c r="B9" s="7" t="s">
        <v>80</v>
      </c>
      <c r="C9" s="1" t="s">
        <v>72</v>
      </c>
      <c r="D9" s="1" t="s">
        <v>103</v>
      </c>
      <c r="E9" s="8">
        <v>42177</v>
      </c>
      <c r="F9" s="7" t="s">
        <v>80</v>
      </c>
      <c r="G9" s="1" t="s">
        <v>73</v>
      </c>
      <c r="I9" s="1" t="str">
        <f>IF(B9="", "", "meters")</f>
        <v>meters</v>
      </c>
      <c r="J9" s="1" t="str">
        <f>IF(B9="", "", "free-living")</f>
        <v>free-living</v>
      </c>
      <c r="K9" s="1" t="s">
        <v>74</v>
      </c>
      <c r="L9" s="1" t="s">
        <v>105</v>
      </c>
      <c r="M9" s="1" t="s">
        <v>212</v>
      </c>
      <c r="N9" s="1" t="s">
        <v>220</v>
      </c>
      <c r="O9" s="1" t="s">
        <v>217</v>
      </c>
      <c r="P9" s="1" t="s">
        <v>144</v>
      </c>
      <c r="Q9" s="1" t="s">
        <v>107</v>
      </c>
      <c r="R9" s="7" t="s">
        <v>115</v>
      </c>
      <c r="T9" s="1" t="str">
        <f>IF(B9="", "", "Decimal degrees")</f>
        <v>Decimal degrees</v>
      </c>
      <c r="U9" s="7" t="s">
        <v>138</v>
      </c>
      <c r="W9" s="1" t="str">
        <f>IF(B9="", "", "Decimal degrees")</f>
        <v>Decimal degrees</v>
      </c>
      <c r="X9" s="1" t="s">
        <v>142</v>
      </c>
      <c r="Y9" s="1" t="s">
        <v>143</v>
      </c>
      <c r="Z9" s="1" t="s">
        <v>144</v>
      </c>
      <c r="AA9" s="1" t="str">
        <f>IF(B9="", "", "metagenome")</f>
        <v>metagenome</v>
      </c>
      <c r="AB9" s="1" t="str">
        <f>IF(B9="", "", "256318")</f>
        <v>256318</v>
      </c>
      <c r="AC9" s="1" t="s">
        <v>145</v>
      </c>
      <c r="AD9" s="7" t="s">
        <v>115</v>
      </c>
    </row>
    <row r="10" spans="1:30" x14ac:dyDescent="0.2">
      <c r="A10">
        <f>IF(COUNTBLANK(B10:AD10)&lt;&gt;COLUMNS(B10:AD10),9,"")</f>
        <v>9</v>
      </c>
      <c r="B10" s="7" t="s">
        <v>81</v>
      </c>
      <c r="C10" s="1" t="s">
        <v>72</v>
      </c>
      <c r="D10" s="1" t="s">
        <v>103</v>
      </c>
      <c r="E10" s="8">
        <v>42196</v>
      </c>
      <c r="F10" s="7" t="s">
        <v>81</v>
      </c>
      <c r="G10" s="1" t="s">
        <v>73</v>
      </c>
      <c r="I10" s="1" t="str">
        <f>IF(B10="", "", "meters")</f>
        <v>meters</v>
      </c>
      <c r="J10" s="1" t="str">
        <f>IF(B10="", "", "free-living")</f>
        <v>free-living</v>
      </c>
      <c r="K10" s="1" t="s">
        <v>74</v>
      </c>
      <c r="L10" s="1" t="s">
        <v>105</v>
      </c>
      <c r="M10" s="1" t="s">
        <v>212</v>
      </c>
      <c r="N10" s="1" t="s">
        <v>220</v>
      </c>
      <c r="O10" s="1" t="s">
        <v>217</v>
      </c>
      <c r="P10" s="1" t="s">
        <v>144</v>
      </c>
      <c r="Q10" s="1" t="s">
        <v>107</v>
      </c>
      <c r="R10" s="7" t="s">
        <v>116</v>
      </c>
      <c r="T10" s="1" t="str">
        <f>IF(B10="", "", "Decimal degrees")</f>
        <v>Decimal degrees</v>
      </c>
      <c r="U10" s="7" t="s">
        <v>141</v>
      </c>
      <c r="W10" s="1" t="str">
        <f>IF(B10="", "", "Decimal degrees")</f>
        <v>Decimal degrees</v>
      </c>
      <c r="X10" s="1" t="s">
        <v>142</v>
      </c>
      <c r="Y10" s="1" t="s">
        <v>143</v>
      </c>
      <c r="Z10" s="1" t="s">
        <v>144</v>
      </c>
      <c r="AA10" s="1" t="str">
        <f>IF(B10="", "", "metagenome")</f>
        <v>metagenome</v>
      </c>
      <c r="AB10" s="1" t="str">
        <f>IF(B10="", "", "256318")</f>
        <v>256318</v>
      </c>
      <c r="AC10" s="1" t="s">
        <v>145</v>
      </c>
      <c r="AD10" s="7" t="s">
        <v>116</v>
      </c>
    </row>
    <row r="11" spans="1:30" x14ac:dyDescent="0.2">
      <c r="A11">
        <f>IF(COUNTBLANK(B11:AD11)&lt;&gt;COLUMNS(B11:AD11),10,"")</f>
        <v>10</v>
      </c>
      <c r="B11" s="7" t="s">
        <v>82</v>
      </c>
      <c r="C11" s="1" t="s">
        <v>72</v>
      </c>
      <c r="D11" s="1" t="s">
        <v>103</v>
      </c>
      <c r="E11" s="8">
        <v>42196</v>
      </c>
      <c r="F11" s="7" t="s">
        <v>82</v>
      </c>
      <c r="G11" s="1" t="s">
        <v>73</v>
      </c>
      <c r="I11" s="1" t="str">
        <f>IF(B11="", "", "meters")</f>
        <v>meters</v>
      </c>
      <c r="J11" s="1" t="str">
        <f>IF(B11="", "", "free-living")</f>
        <v>free-living</v>
      </c>
      <c r="K11" s="1" t="s">
        <v>74</v>
      </c>
      <c r="L11" s="1" t="s">
        <v>105</v>
      </c>
      <c r="M11" s="1" t="s">
        <v>212</v>
      </c>
      <c r="N11" s="1" t="s">
        <v>220</v>
      </c>
      <c r="O11" s="1" t="s">
        <v>217</v>
      </c>
      <c r="P11" s="1" t="s">
        <v>144</v>
      </c>
      <c r="Q11" s="1" t="s">
        <v>107</v>
      </c>
      <c r="R11" s="7" t="s">
        <v>117</v>
      </c>
      <c r="T11" s="1" t="str">
        <f>IF(B11="", "", "Decimal degrees")</f>
        <v>Decimal degrees</v>
      </c>
      <c r="U11" s="7" t="s">
        <v>141</v>
      </c>
      <c r="W11" s="1" t="str">
        <f>IF(B11="", "", "Decimal degrees")</f>
        <v>Decimal degrees</v>
      </c>
      <c r="X11" s="1" t="s">
        <v>142</v>
      </c>
      <c r="Y11" s="1" t="s">
        <v>143</v>
      </c>
      <c r="Z11" s="1" t="s">
        <v>144</v>
      </c>
      <c r="AA11" s="1" t="str">
        <f>IF(B11="", "", "metagenome")</f>
        <v>metagenome</v>
      </c>
      <c r="AB11" s="1" t="str">
        <f>IF(B11="", "", "256318")</f>
        <v>256318</v>
      </c>
      <c r="AC11" s="1" t="s">
        <v>145</v>
      </c>
      <c r="AD11" s="7" t="s">
        <v>117</v>
      </c>
    </row>
    <row r="12" spans="1:30" x14ac:dyDescent="0.2">
      <c r="A12">
        <f>IF(COUNTBLANK(B12:AD12)&lt;&gt;COLUMNS(B12:AD12),11,"")</f>
        <v>11</v>
      </c>
      <c r="B12" s="7" t="s">
        <v>83</v>
      </c>
      <c r="C12" s="1" t="s">
        <v>72</v>
      </c>
      <c r="D12" s="1" t="s">
        <v>103</v>
      </c>
      <c r="E12" s="8">
        <v>42196</v>
      </c>
      <c r="F12" s="7" t="s">
        <v>83</v>
      </c>
      <c r="G12" s="1" t="s">
        <v>73</v>
      </c>
      <c r="I12" s="1" t="str">
        <f>IF(B12="", "", "meters")</f>
        <v>meters</v>
      </c>
      <c r="J12" s="1" t="str">
        <f>IF(B12="", "", "free-living")</f>
        <v>free-living</v>
      </c>
      <c r="K12" s="1" t="s">
        <v>74</v>
      </c>
      <c r="L12" s="1" t="s">
        <v>105</v>
      </c>
      <c r="M12" s="1" t="s">
        <v>212</v>
      </c>
      <c r="N12" s="1" t="s">
        <v>220</v>
      </c>
      <c r="O12" s="1" t="s">
        <v>217</v>
      </c>
      <c r="P12" s="1" t="s">
        <v>144</v>
      </c>
      <c r="Q12" s="1" t="s">
        <v>107</v>
      </c>
      <c r="R12" s="7" t="s">
        <v>118</v>
      </c>
      <c r="T12" s="1" t="str">
        <f>IF(B12="", "", "Decimal degrees")</f>
        <v>Decimal degrees</v>
      </c>
      <c r="U12" s="7" t="s">
        <v>139</v>
      </c>
      <c r="W12" s="1" t="str">
        <f>IF(B12="", "", "Decimal degrees")</f>
        <v>Decimal degrees</v>
      </c>
      <c r="X12" s="1" t="s">
        <v>142</v>
      </c>
      <c r="Y12" s="1" t="s">
        <v>143</v>
      </c>
      <c r="Z12" s="1" t="s">
        <v>144</v>
      </c>
      <c r="AA12" s="1" t="str">
        <f>IF(B12="", "", "metagenome")</f>
        <v>metagenome</v>
      </c>
      <c r="AB12" s="1" t="str">
        <f>IF(B12="", "", "256318")</f>
        <v>256318</v>
      </c>
      <c r="AC12" s="1" t="s">
        <v>145</v>
      </c>
      <c r="AD12" s="7" t="s">
        <v>118</v>
      </c>
    </row>
    <row r="13" spans="1:30" x14ac:dyDescent="0.2">
      <c r="A13">
        <f>IF(COUNTBLANK(B13:AD13)&lt;&gt;COLUMNS(B13:AD13),12,"")</f>
        <v>12</v>
      </c>
      <c r="B13" s="7" t="s">
        <v>84</v>
      </c>
      <c r="C13" s="1" t="s">
        <v>72</v>
      </c>
      <c r="D13" s="1" t="s">
        <v>103</v>
      </c>
      <c r="E13" s="8">
        <v>42196</v>
      </c>
      <c r="F13" s="7" t="s">
        <v>84</v>
      </c>
      <c r="G13" s="1" t="s">
        <v>73</v>
      </c>
      <c r="I13" s="1" t="str">
        <f>IF(B13="", "", "meters")</f>
        <v>meters</v>
      </c>
      <c r="J13" s="1" t="str">
        <f>IF(B13="", "", "free-living")</f>
        <v>free-living</v>
      </c>
      <c r="K13" s="1" t="s">
        <v>74</v>
      </c>
      <c r="L13" s="1" t="s">
        <v>105</v>
      </c>
      <c r="M13" s="1" t="s">
        <v>212</v>
      </c>
      <c r="N13" s="1" t="s">
        <v>220</v>
      </c>
      <c r="O13" s="1" t="s">
        <v>217</v>
      </c>
      <c r="P13" s="1" t="s">
        <v>144</v>
      </c>
      <c r="Q13" s="1" t="s">
        <v>107</v>
      </c>
      <c r="R13" s="7" t="s">
        <v>119</v>
      </c>
      <c r="T13" s="1" t="str">
        <f>IF(B13="", "", "Decimal degrees")</f>
        <v>Decimal degrees</v>
      </c>
      <c r="U13" s="7" t="s">
        <v>139</v>
      </c>
      <c r="W13" s="1" t="str">
        <f>IF(B13="", "", "Decimal degrees")</f>
        <v>Decimal degrees</v>
      </c>
      <c r="X13" s="1" t="s">
        <v>142</v>
      </c>
      <c r="Y13" s="1" t="s">
        <v>143</v>
      </c>
      <c r="Z13" s="1" t="s">
        <v>144</v>
      </c>
      <c r="AA13" s="1" t="str">
        <f>IF(B13="", "", "metagenome")</f>
        <v>metagenome</v>
      </c>
      <c r="AB13" s="1" t="str">
        <f>IF(B13="", "", "256318")</f>
        <v>256318</v>
      </c>
      <c r="AC13" s="1" t="s">
        <v>145</v>
      </c>
      <c r="AD13" s="7" t="s">
        <v>119</v>
      </c>
    </row>
    <row r="14" spans="1:30" x14ac:dyDescent="0.2">
      <c r="A14">
        <f>IF(COUNTBLANK(B14:AD14)&lt;&gt;COLUMNS(B14:AD14),13,"")</f>
        <v>13</v>
      </c>
      <c r="B14" s="7" t="s">
        <v>85</v>
      </c>
      <c r="C14" s="1" t="s">
        <v>72</v>
      </c>
      <c r="D14" s="1" t="s">
        <v>103</v>
      </c>
      <c r="E14" s="8">
        <v>42197</v>
      </c>
      <c r="F14" s="7" t="s">
        <v>85</v>
      </c>
      <c r="G14" s="1" t="s">
        <v>73</v>
      </c>
      <c r="I14" s="1" t="str">
        <f>IF(B14="", "", "meters")</f>
        <v>meters</v>
      </c>
      <c r="J14" s="1" t="str">
        <f>IF(B14="", "", "free-living")</f>
        <v>free-living</v>
      </c>
      <c r="K14" s="1" t="s">
        <v>74</v>
      </c>
      <c r="L14" s="1" t="s">
        <v>105</v>
      </c>
      <c r="M14" s="1" t="s">
        <v>212</v>
      </c>
      <c r="N14" s="1" t="s">
        <v>220</v>
      </c>
      <c r="O14" s="1" t="s">
        <v>217</v>
      </c>
      <c r="P14" s="1" t="s">
        <v>144</v>
      </c>
      <c r="Q14" s="1" t="s">
        <v>107</v>
      </c>
      <c r="R14" s="7" t="s">
        <v>120</v>
      </c>
      <c r="T14" s="1" t="str">
        <f>IF(B14="", "", "Decimal degrees")</f>
        <v>Decimal degrees</v>
      </c>
      <c r="U14" s="7" t="s">
        <v>138</v>
      </c>
      <c r="W14" s="1" t="str">
        <f>IF(B14="", "", "Decimal degrees")</f>
        <v>Decimal degrees</v>
      </c>
      <c r="X14" s="1" t="s">
        <v>142</v>
      </c>
      <c r="Y14" s="1" t="s">
        <v>143</v>
      </c>
      <c r="Z14" s="1" t="s">
        <v>144</v>
      </c>
      <c r="AA14" s="1" t="str">
        <f>IF(B14="", "", "metagenome")</f>
        <v>metagenome</v>
      </c>
      <c r="AB14" s="1" t="str">
        <f>IF(B14="", "", "256318")</f>
        <v>256318</v>
      </c>
      <c r="AC14" s="1" t="s">
        <v>145</v>
      </c>
      <c r="AD14" s="7" t="s">
        <v>120</v>
      </c>
    </row>
    <row r="15" spans="1:30" x14ac:dyDescent="0.2">
      <c r="A15">
        <f>IF(COUNTBLANK(B15:AD15)&lt;&gt;COLUMNS(B15:AD15),14,"")</f>
        <v>14</v>
      </c>
      <c r="B15" s="7" t="s">
        <v>86</v>
      </c>
      <c r="C15" s="1" t="s">
        <v>72</v>
      </c>
      <c r="D15" s="1" t="s">
        <v>103</v>
      </c>
      <c r="E15" s="8">
        <v>42197</v>
      </c>
      <c r="F15" s="7" t="s">
        <v>86</v>
      </c>
      <c r="G15" s="1" t="s">
        <v>73</v>
      </c>
      <c r="I15" s="1" t="str">
        <f>IF(B15="", "", "meters")</f>
        <v>meters</v>
      </c>
      <c r="J15" s="1" t="str">
        <f>IF(B15="", "", "free-living")</f>
        <v>free-living</v>
      </c>
      <c r="K15" s="1" t="s">
        <v>74</v>
      </c>
      <c r="L15" s="1" t="s">
        <v>105</v>
      </c>
      <c r="M15" s="1" t="s">
        <v>212</v>
      </c>
      <c r="N15" s="1" t="s">
        <v>220</v>
      </c>
      <c r="O15" s="1" t="s">
        <v>217</v>
      </c>
      <c r="P15" s="1" t="s">
        <v>144</v>
      </c>
      <c r="Q15" s="1" t="s">
        <v>107</v>
      </c>
      <c r="R15" s="7" t="s">
        <v>121</v>
      </c>
      <c r="T15" s="1" t="str">
        <f>IF(B15="", "", "Decimal degrees")</f>
        <v>Decimal degrees</v>
      </c>
      <c r="U15" s="7" t="s">
        <v>138</v>
      </c>
      <c r="W15" s="1" t="str">
        <f>IF(B15="", "", "Decimal degrees")</f>
        <v>Decimal degrees</v>
      </c>
      <c r="X15" s="1" t="s">
        <v>142</v>
      </c>
      <c r="Y15" s="1" t="s">
        <v>143</v>
      </c>
      <c r="Z15" s="1" t="s">
        <v>144</v>
      </c>
      <c r="AA15" s="1" t="str">
        <f>IF(B15="", "", "metagenome")</f>
        <v>metagenome</v>
      </c>
      <c r="AB15" s="1" t="str">
        <f>IF(B15="", "", "256318")</f>
        <v>256318</v>
      </c>
      <c r="AC15" s="1" t="s">
        <v>145</v>
      </c>
      <c r="AD15" s="7" t="s">
        <v>121</v>
      </c>
    </row>
    <row r="16" spans="1:30" x14ac:dyDescent="0.2">
      <c r="A16">
        <f>IF(COUNTBLANK(B16:AD16)&lt;&gt;COLUMNS(B16:AD16),15,"")</f>
        <v>15</v>
      </c>
      <c r="B16" s="7" t="s">
        <v>87</v>
      </c>
      <c r="C16" s="1" t="s">
        <v>72</v>
      </c>
      <c r="D16" s="1" t="s">
        <v>103</v>
      </c>
      <c r="E16" s="8">
        <v>42245</v>
      </c>
      <c r="F16" s="7" t="s">
        <v>87</v>
      </c>
      <c r="G16" s="1" t="s">
        <v>73</v>
      </c>
      <c r="I16" s="1" t="str">
        <f>IF(B16="", "", "meters")</f>
        <v>meters</v>
      </c>
      <c r="J16" s="1" t="str">
        <f>IF(B16="", "", "free-living")</f>
        <v>free-living</v>
      </c>
      <c r="K16" s="1" t="s">
        <v>74</v>
      </c>
      <c r="L16" s="1" t="s">
        <v>105</v>
      </c>
      <c r="M16" s="1" t="s">
        <v>212</v>
      </c>
      <c r="N16" s="1" t="s">
        <v>220</v>
      </c>
      <c r="O16" s="1" t="s">
        <v>217</v>
      </c>
      <c r="P16" s="1" t="s">
        <v>144</v>
      </c>
      <c r="Q16" s="1" t="s">
        <v>107</v>
      </c>
      <c r="R16" s="7" t="s">
        <v>122</v>
      </c>
      <c r="T16" s="1" t="str">
        <f>IF(B16="", "", "Decimal degrees")</f>
        <v>Decimal degrees</v>
      </c>
      <c r="U16" s="7" t="s">
        <v>139</v>
      </c>
      <c r="W16" s="1" t="str">
        <f>IF(B16="", "", "Decimal degrees")</f>
        <v>Decimal degrees</v>
      </c>
      <c r="X16" s="1" t="s">
        <v>142</v>
      </c>
      <c r="Y16" s="1" t="s">
        <v>143</v>
      </c>
      <c r="Z16" s="1" t="s">
        <v>144</v>
      </c>
      <c r="AA16" s="1" t="str">
        <f>IF(B16="", "", "metagenome")</f>
        <v>metagenome</v>
      </c>
      <c r="AB16" s="1" t="str">
        <f>IF(B16="", "", "256318")</f>
        <v>256318</v>
      </c>
      <c r="AC16" s="1" t="s">
        <v>145</v>
      </c>
      <c r="AD16" s="7" t="s">
        <v>122</v>
      </c>
    </row>
    <row r="17" spans="1:30" x14ac:dyDescent="0.2">
      <c r="A17">
        <f>IF(COUNTBLANK(B17:AD17)&lt;&gt;COLUMNS(B17:AD17),16,"")</f>
        <v>16</v>
      </c>
      <c r="B17" s="7" t="s">
        <v>88</v>
      </c>
      <c r="C17" s="1" t="s">
        <v>72</v>
      </c>
      <c r="D17" s="1" t="s">
        <v>103</v>
      </c>
      <c r="E17" s="8">
        <v>42245</v>
      </c>
      <c r="F17" s="7" t="s">
        <v>88</v>
      </c>
      <c r="G17" s="1" t="s">
        <v>73</v>
      </c>
      <c r="I17" s="1" t="str">
        <f>IF(B17="", "", "meters")</f>
        <v>meters</v>
      </c>
      <c r="J17" s="1" t="str">
        <f>IF(B17="", "", "free-living")</f>
        <v>free-living</v>
      </c>
      <c r="K17" s="1" t="s">
        <v>74</v>
      </c>
      <c r="L17" s="1" t="s">
        <v>105</v>
      </c>
      <c r="M17" s="1" t="s">
        <v>212</v>
      </c>
      <c r="N17" s="1" t="s">
        <v>220</v>
      </c>
      <c r="O17" s="1" t="s">
        <v>217</v>
      </c>
      <c r="P17" s="1" t="s">
        <v>144</v>
      </c>
      <c r="Q17" s="1" t="s">
        <v>107</v>
      </c>
      <c r="R17" s="7" t="s">
        <v>123</v>
      </c>
      <c r="T17" s="1" t="str">
        <f>IF(B17="", "", "Decimal degrees")</f>
        <v>Decimal degrees</v>
      </c>
      <c r="U17" s="7" t="s">
        <v>139</v>
      </c>
      <c r="W17" s="1" t="str">
        <f>IF(B17="", "", "Decimal degrees")</f>
        <v>Decimal degrees</v>
      </c>
      <c r="X17" s="1" t="s">
        <v>142</v>
      </c>
      <c r="Y17" s="1" t="s">
        <v>143</v>
      </c>
      <c r="Z17" s="1" t="s">
        <v>144</v>
      </c>
      <c r="AA17" s="1" t="str">
        <f>IF(B17="", "", "metagenome")</f>
        <v>metagenome</v>
      </c>
      <c r="AB17" s="1" t="str">
        <f>IF(B17="", "", "256318")</f>
        <v>256318</v>
      </c>
      <c r="AC17" s="1" t="s">
        <v>145</v>
      </c>
      <c r="AD17" s="7" t="s">
        <v>123</v>
      </c>
    </row>
    <row r="18" spans="1:30" x14ac:dyDescent="0.2">
      <c r="A18">
        <f>IF(COUNTBLANK(B18:AD18)&lt;&gt;COLUMNS(B18:AD18),17,"")</f>
        <v>17</v>
      </c>
      <c r="B18" s="7" t="s">
        <v>89</v>
      </c>
      <c r="C18" s="1" t="s">
        <v>72</v>
      </c>
      <c r="D18" s="1" t="s">
        <v>103</v>
      </c>
      <c r="E18" s="8">
        <v>42245</v>
      </c>
      <c r="F18" s="7" t="s">
        <v>89</v>
      </c>
      <c r="G18" s="1" t="s">
        <v>73</v>
      </c>
      <c r="I18" s="1" t="str">
        <f>IF(B18="", "", "meters")</f>
        <v>meters</v>
      </c>
      <c r="J18" s="1" t="str">
        <f>IF(B18="", "", "free-living")</f>
        <v>free-living</v>
      </c>
      <c r="K18" s="1" t="s">
        <v>74</v>
      </c>
      <c r="L18" s="1" t="s">
        <v>105</v>
      </c>
      <c r="M18" s="1" t="s">
        <v>212</v>
      </c>
      <c r="N18" s="1" t="s">
        <v>220</v>
      </c>
      <c r="O18" s="1" t="s">
        <v>217</v>
      </c>
      <c r="P18" s="1" t="s">
        <v>144</v>
      </c>
      <c r="Q18" s="1" t="s">
        <v>107</v>
      </c>
      <c r="R18" s="7" t="s">
        <v>124</v>
      </c>
      <c r="T18" s="1" t="str">
        <f>IF(B18="", "", "Decimal degrees")</f>
        <v>Decimal degrees</v>
      </c>
      <c r="U18" s="7" t="s">
        <v>139</v>
      </c>
      <c r="W18" s="1" t="str">
        <f>IF(B18="", "", "Decimal degrees")</f>
        <v>Decimal degrees</v>
      </c>
      <c r="X18" s="1" t="s">
        <v>142</v>
      </c>
      <c r="Y18" s="1" t="s">
        <v>143</v>
      </c>
      <c r="Z18" s="1" t="s">
        <v>144</v>
      </c>
      <c r="AA18" s="1" t="str">
        <f>IF(B18="", "", "metagenome")</f>
        <v>metagenome</v>
      </c>
      <c r="AB18" s="1" t="str">
        <f>IF(B18="", "", "256318")</f>
        <v>256318</v>
      </c>
      <c r="AC18" s="1" t="s">
        <v>145</v>
      </c>
      <c r="AD18" s="7" t="s">
        <v>124</v>
      </c>
    </row>
    <row r="19" spans="1:30" x14ac:dyDescent="0.2">
      <c r="A19">
        <f>IF(COUNTBLANK(B19:AD19)&lt;&gt;COLUMNS(B19:AD19),18,"")</f>
        <v>18</v>
      </c>
      <c r="B19" s="7" t="s">
        <v>90</v>
      </c>
      <c r="C19" s="1" t="s">
        <v>72</v>
      </c>
      <c r="D19" s="1" t="s">
        <v>103</v>
      </c>
      <c r="E19" s="8">
        <v>42246</v>
      </c>
      <c r="F19" s="7" t="s">
        <v>90</v>
      </c>
      <c r="G19" s="1" t="s">
        <v>73</v>
      </c>
      <c r="I19" s="1" t="str">
        <f>IF(B19="", "", "meters")</f>
        <v>meters</v>
      </c>
      <c r="J19" s="1" t="str">
        <f>IF(B19="", "", "free-living")</f>
        <v>free-living</v>
      </c>
      <c r="K19" s="1" t="s">
        <v>74</v>
      </c>
      <c r="L19" s="1" t="s">
        <v>105</v>
      </c>
      <c r="M19" s="1" t="s">
        <v>212</v>
      </c>
      <c r="N19" s="1" t="s">
        <v>220</v>
      </c>
      <c r="O19" s="1" t="s">
        <v>217</v>
      </c>
      <c r="P19" s="1" t="s">
        <v>144</v>
      </c>
      <c r="Q19" s="1" t="s">
        <v>107</v>
      </c>
      <c r="R19" s="7" t="s">
        <v>125</v>
      </c>
      <c r="T19" s="1" t="str">
        <f>IF(B19="", "", "Decimal degrees")</f>
        <v>Decimal degrees</v>
      </c>
      <c r="U19" s="7" t="s">
        <v>141</v>
      </c>
      <c r="W19" s="1" t="str">
        <f>IF(B19="", "", "Decimal degrees")</f>
        <v>Decimal degrees</v>
      </c>
      <c r="X19" s="1" t="s">
        <v>142</v>
      </c>
      <c r="Y19" s="1" t="s">
        <v>143</v>
      </c>
      <c r="Z19" s="1" t="s">
        <v>144</v>
      </c>
      <c r="AA19" s="1" t="str">
        <f>IF(B19="", "", "metagenome")</f>
        <v>metagenome</v>
      </c>
      <c r="AB19" s="1" t="str">
        <f>IF(B19="", "", "256318")</f>
        <v>256318</v>
      </c>
      <c r="AC19" s="1" t="s">
        <v>145</v>
      </c>
      <c r="AD19" s="7" t="s">
        <v>125</v>
      </c>
    </row>
    <row r="20" spans="1:30" x14ac:dyDescent="0.2">
      <c r="A20">
        <f>IF(COUNTBLANK(B20:AD20)&lt;&gt;COLUMNS(B20:AD20),19,"")</f>
        <v>19</v>
      </c>
      <c r="B20" s="7" t="s">
        <v>91</v>
      </c>
      <c r="C20" s="1" t="s">
        <v>72</v>
      </c>
      <c r="D20" s="1" t="s">
        <v>103</v>
      </c>
      <c r="E20" s="8">
        <v>42246</v>
      </c>
      <c r="F20" s="7" t="s">
        <v>91</v>
      </c>
      <c r="G20" s="1" t="s">
        <v>73</v>
      </c>
      <c r="I20" s="1" t="str">
        <f>IF(B20="", "", "meters")</f>
        <v>meters</v>
      </c>
      <c r="J20" s="1" t="str">
        <f>IF(B20="", "", "free-living")</f>
        <v>free-living</v>
      </c>
      <c r="K20" s="1" t="s">
        <v>74</v>
      </c>
      <c r="L20" s="1" t="s">
        <v>105</v>
      </c>
      <c r="M20" s="1" t="s">
        <v>212</v>
      </c>
      <c r="N20" s="1" t="s">
        <v>220</v>
      </c>
      <c r="O20" s="1" t="s">
        <v>217</v>
      </c>
      <c r="P20" s="1" t="s">
        <v>144</v>
      </c>
      <c r="Q20" s="1" t="s">
        <v>107</v>
      </c>
      <c r="R20" s="7" t="s">
        <v>126</v>
      </c>
      <c r="T20" s="1" t="str">
        <f>IF(B20="", "", "Decimal degrees")</f>
        <v>Decimal degrees</v>
      </c>
      <c r="U20" s="7" t="s">
        <v>141</v>
      </c>
      <c r="W20" s="1" t="str">
        <f>IF(B20="", "", "Decimal degrees")</f>
        <v>Decimal degrees</v>
      </c>
      <c r="X20" s="1" t="s">
        <v>142</v>
      </c>
      <c r="Y20" s="1" t="s">
        <v>143</v>
      </c>
      <c r="Z20" s="1" t="s">
        <v>144</v>
      </c>
      <c r="AA20" s="1" t="str">
        <f>IF(B20="", "", "metagenome")</f>
        <v>metagenome</v>
      </c>
      <c r="AB20" s="1" t="str">
        <f>IF(B20="", "", "256318")</f>
        <v>256318</v>
      </c>
      <c r="AC20" s="1" t="s">
        <v>145</v>
      </c>
      <c r="AD20" s="7" t="s">
        <v>126</v>
      </c>
    </row>
    <row r="21" spans="1:30" x14ac:dyDescent="0.2">
      <c r="A21">
        <f>IF(COUNTBLANK(B21:AD21)&lt;&gt;COLUMNS(B21:AD21),20,"")</f>
        <v>20</v>
      </c>
      <c r="B21" s="7" t="s">
        <v>92</v>
      </c>
      <c r="C21" s="1" t="s">
        <v>72</v>
      </c>
      <c r="D21" s="1" t="s">
        <v>103</v>
      </c>
      <c r="E21" s="8">
        <v>42246</v>
      </c>
      <c r="F21" s="7" t="s">
        <v>92</v>
      </c>
      <c r="G21" s="1" t="s">
        <v>73</v>
      </c>
      <c r="I21" s="1" t="str">
        <f>IF(B21="", "", "meters")</f>
        <v>meters</v>
      </c>
      <c r="J21" s="1" t="str">
        <f>IF(B21="", "", "free-living")</f>
        <v>free-living</v>
      </c>
      <c r="K21" s="1" t="s">
        <v>74</v>
      </c>
      <c r="L21" s="1" t="s">
        <v>105</v>
      </c>
      <c r="M21" s="1" t="s">
        <v>212</v>
      </c>
      <c r="N21" s="1" t="s">
        <v>220</v>
      </c>
      <c r="O21" s="1" t="s">
        <v>217</v>
      </c>
      <c r="P21" s="1" t="s">
        <v>144</v>
      </c>
      <c r="Q21" s="1" t="s">
        <v>107</v>
      </c>
      <c r="R21" s="7" t="s">
        <v>127</v>
      </c>
      <c r="T21" s="1" t="str">
        <f>IF(B21="", "", "Decimal degrees")</f>
        <v>Decimal degrees</v>
      </c>
      <c r="U21" s="7" t="s">
        <v>141</v>
      </c>
      <c r="W21" s="1" t="str">
        <f>IF(B21="", "", "Decimal degrees")</f>
        <v>Decimal degrees</v>
      </c>
      <c r="X21" s="1" t="s">
        <v>142</v>
      </c>
      <c r="Y21" s="1" t="s">
        <v>143</v>
      </c>
      <c r="Z21" s="1" t="s">
        <v>144</v>
      </c>
      <c r="AA21" s="1" t="str">
        <f>IF(B21="", "", "metagenome")</f>
        <v>metagenome</v>
      </c>
      <c r="AB21" s="1" t="str">
        <f>IF(B21="", "", "256318")</f>
        <v>256318</v>
      </c>
      <c r="AC21" s="1" t="s">
        <v>145</v>
      </c>
      <c r="AD21" s="7" t="s">
        <v>127</v>
      </c>
    </row>
    <row r="22" spans="1:30" x14ac:dyDescent="0.2">
      <c r="A22">
        <f>IF(COUNTBLANK(B22:AD22)&lt;&gt;COLUMNS(B22:AD22),21,"")</f>
        <v>21</v>
      </c>
      <c r="B22" s="7" t="s">
        <v>93</v>
      </c>
      <c r="C22" s="1" t="s">
        <v>72</v>
      </c>
      <c r="D22" s="1" t="s">
        <v>103</v>
      </c>
      <c r="E22" s="8">
        <v>42246</v>
      </c>
      <c r="F22" s="7" t="s">
        <v>93</v>
      </c>
      <c r="G22" s="1" t="s">
        <v>73</v>
      </c>
      <c r="I22" s="1" t="str">
        <f>IF(B22="", "", "meters")</f>
        <v>meters</v>
      </c>
      <c r="J22" s="1" t="str">
        <f>IF(B22="", "", "free-living")</f>
        <v>free-living</v>
      </c>
      <c r="K22" s="1" t="s">
        <v>74</v>
      </c>
      <c r="L22" s="1" t="s">
        <v>105</v>
      </c>
      <c r="M22" s="1" t="s">
        <v>212</v>
      </c>
      <c r="N22" s="1" t="s">
        <v>220</v>
      </c>
      <c r="O22" s="1" t="s">
        <v>217</v>
      </c>
      <c r="P22" s="1" t="s">
        <v>144</v>
      </c>
      <c r="Q22" s="1" t="s">
        <v>107</v>
      </c>
      <c r="R22" s="7" t="s">
        <v>128</v>
      </c>
      <c r="T22" s="1" t="str">
        <f>IF(B22="", "", "Decimal degrees")</f>
        <v>Decimal degrees</v>
      </c>
      <c r="U22" s="7" t="s">
        <v>141</v>
      </c>
      <c r="W22" s="1" t="str">
        <f>IF(B22="", "", "Decimal degrees")</f>
        <v>Decimal degrees</v>
      </c>
      <c r="X22" s="1" t="s">
        <v>142</v>
      </c>
      <c r="Y22" s="1" t="s">
        <v>143</v>
      </c>
      <c r="Z22" s="1" t="s">
        <v>144</v>
      </c>
      <c r="AA22" s="1" t="str">
        <f>IF(B22="", "", "metagenome")</f>
        <v>metagenome</v>
      </c>
      <c r="AB22" s="1" t="str">
        <f>IF(B22="", "", "256318")</f>
        <v>256318</v>
      </c>
      <c r="AC22" s="1" t="s">
        <v>145</v>
      </c>
      <c r="AD22" s="7" t="s">
        <v>128</v>
      </c>
    </row>
    <row r="23" spans="1:30" x14ac:dyDescent="0.2">
      <c r="A23">
        <f>IF(COUNTBLANK(B23:AD23)&lt;&gt;COLUMNS(B23:AD23),22,"")</f>
        <v>22</v>
      </c>
      <c r="B23" s="7" t="s">
        <v>94</v>
      </c>
      <c r="C23" s="1" t="s">
        <v>72</v>
      </c>
      <c r="D23" s="1" t="s">
        <v>103</v>
      </c>
      <c r="E23" s="8">
        <v>42246</v>
      </c>
      <c r="F23" s="7" t="s">
        <v>94</v>
      </c>
      <c r="G23" s="1" t="s">
        <v>73</v>
      </c>
      <c r="I23" s="1" t="str">
        <f>IF(B23="", "", "meters")</f>
        <v>meters</v>
      </c>
      <c r="J23" s="1" t="str">
        <f>IF(B23="", "", "free-living")</f>
        <v>free-living</v>
      </c>
      <c r="K23" s="1" t="s">
        <v>74</v>
      </c>
      <c r="L23" s="1" t="s">
        <v>105</v>
      </c>
      <c r="M23" s="1" t="s">
        <v>212</v>
      </c>
      <c r="N23" s="1" t="s">
        <v>220</v>
      </c>
      <c r="O23" s="1" t="s">
        <v>217</v>
      </c>
      <c r="P23" s="1" t="s">
        <v>144</v>
      </c>
      <c r="Q23" s="1" t="s">
        <v>107</v>
      </c>
      <c r="R23" s="7" t="s">
        <v>129</v>
      </c>
      <c r="T23" s="1" t="str">
        <f>IF(B23="", "", "Decimal degrees")</f>
        <v>Decimal degrees</v>
      </c>
      <c r="U23" s="7" t="s">
        <v>141</v>
      </c>
      <c r="W23" s="1" t="str">
        <f>IF(B23="", "", "Decimal degrees")</f>
        <v>Decimal degrees</v>
      </c>
      <c r="X23" s="1" t="s">
        <v>142</v>
      </c>
      <c r="Y23" s="1" t="s">
        <v>143</v>
      </c>
      <c r="Z23" s="1" t="s">
        <v>144</v>
      </c>
      <c r="AA23" s="1" t="str">
        <f>IF(B23="", "", "metagenome")</f>
        <v>metagenome</v>
      </c>
      <c r="AB23" s="1" t="str">
        <f>IF(B23="", "", "256318")</f>
        <v>256318</v>
      </c>
      <c r="AC23" s="1" t="s">
        <v>145</v>
      </c>
      <c r="AD23" s="7" t="s">
        <v>129</v>
      </c>
    </row>
    <row r="24" spans="1:30" x14ac:dyDescent="0.2">
      <c r="A24">
        <f>IF(COUNTBLANK(B24:AD24)&lt;&gt;COLUMNS(B24:AD24),23,"")</f>
        <v>23</v>
      </c>
      <c r="B24" s="7" t="s">
        <v>95</v>
      </c>
      <c r="C24" s="1" t="s">
        <v>72</v>
      </c>
      <c r="D24" s="1" t="s">
        <v>103</v>
      </c>
      <c r="E24" s="8">
        <v>42246</v>
      </c>
      <c r="F24" s="7" t="s">
        <v>95</v>
      </c>
      <c r="G24" s="1" t="s">
        <v>73</v>
      </c>
      <c r="I24" s="1" t="str">
        <f>IF(B24="", "", "meters")</f>
        <v>meters</v>
      </c>
      <c r="J24" s="1" t="str">
        <f>IF(B24="", "", "free-living")</f>
        <v>free-living</v>
      </c>
      <c r="K24" s="1" t="s">
        <v>74</v>
      </c>
      <c r="L24" s="1" t="s">
        <v>105</v>
      </c>
      <c r="M24" s="1" t="s">
        <v>212</v>
      </c>
      <c r="N24" s="1" t="s">
        <v>220</v>
      </c>
      <c r="O24" s="1" t="s">
        <v>217</v>
      </c>
      <c r="P24" s="1" t="s">
        <v>144</v>
      </c>
      <c r="Q24" s="1" t="s">
        <v>107</v>
      </c>
      <c r="R24" s="7" t="s">
        <v>130</v>
      </c>
      <c r="T24" s="1" t="str">
        <f>IF(B24="", "", "Decimal degrees")</f>
        <v>Decimal degrees</v>
      </c>
      <c r="U24" s="7" t="s">
        <v>141</v>
      </c>
      <c r="W24" s="1" t="str">
        <f>IF(B24="", "", "Decimal degrees")</f>
        <v>Decimal degrees</v>
      </c>
      <c r="X24" s="1" t="s">
        <v>142</v>
      </c>
      <c r="Y24" s="1" t="s">
        <v>143</v>
      </c>
      <c r="Z24" s="1" t="s">
        <v>144</v>
      </c>
      <c r="AA24" s="1" t="str">
        <f>IF(B24="", "", "metagenome")</f>
        <v>metagenome</v>
      </c>
      <c r="AB24" s="1" t="str">
        <f>IF(B24="", "", "256318")</f>
        <v>256318</v>
      </c>
      <c r="AC24" s="1" t="s">
        <v>145</v>
      </c>
      <c r="AD24" s="7" t="s">
        <v>130</v>
      </c>
    </row>
    <row r="25" spans="1:30" x14ac:dyDescent="0.2">
      <c r="A25">
        <f>IF(COUNTBLANK(B25:AD25)&lt;&gt;COLUMNS(B25:AD25),24,"")</f>
        <v>24</v>
      </c>
      <c r="B25" s="7" t="s">
        <v>96</v>
      </c>
      <c r="C25" s="1" t="s">
        <v>72</v>
      </c>
      <c r="D25" s="1" t="s">
        <v>103</v>
      </c>
      <c r="E25" s="8">
        <v>42246</v>
      </c>
      <c r="F25" s="7" t="s">
        <v>96</v>
      </c>
      <c r="G25" s="1" t="s">
        <v>73</v>
      </c>
      <c r="I25" s="1" t="str">
        <f>IF(B25="", "", "meters")</f>
        <v>meters</v>
      </c>
      <c r="J25" s="1" t="str">
        <f>IF(B25="", "", "free-living")</f>
        <v>free-living</v>
      </c>
      <c r="K25" s="1" t="s">
        <v>74</v>
      </c>
      <c r="L25" s="1" t="s">
        <v>105</v>
      </c>
      <c r="M25" s="1" t="s">
        <v>212</v>
      </c>
      <c r="N25" s="1" t="s">
        <v>220</v>
      </c>
      <c r="O25" s="1" t="s">
        <v>217</v>
      </c>
      <c r="P25" s="1" t="s">
        <v>144</v>
      </c>
      <c r="Q25" s="1" t="s">
        <v>107</v>
      </c>
      <c r="R25" s="7" t="s">
        <v>131</v>
      </c>
      <c r="T25" s="1" t="str">
        <f>IF(B25="", "", "Decimal degrees")</f>
        <v>Decimal degrees</v>
      </c>
      <c r="U25" s="7" t="s">
        <v>141</v>
      </c>
      <c r="W25" s="1" t="str">
        <f>IF(B25="", "", "Decimal degrees")</f>
        <v>Decimal degrees</v>
      </c>
      <c r="X25" s="1" t="s">
        <v>142</v>
      </c>
      <c r="Y25" s="1" t="s">
        <v>143</v>
      </c>
      <c r="Z25" s="1" t="s">
        <v>144</v>
      </c>
      <c r="AA25" s="1" t="str">
        <f>IF(B25="", "", "metagenome")</f>
        <v>metagenome</v>
      </c>
      <c r="AB25" s="1" t="str">
        <f>IF(B25="", "", "256318")</f>
        <v>256318</v>
      </c>
      <c r="AC25" s="1" t="s">
        <v>145</v>
      </c>
      <c r="AD25" s="7" t="s">
        <v>131</v>
      </c>
    </row>
    <row r="26" spans="1:30" x14ac:dyDescent="0.2">
      <c r="A26">
        <f>IF(COUNTBLANK(B26:AD26)&lt;&gt;COLUMNS(B26:AD26),25,"")</f>
        <v>25</v>
      </c>
      <c r="B26" s="7" t="s">
        <v>97</v>
      </c>
      <c r="C26" s="1" t="s">
        <v>72</v>
      </c>
      <c r="D26" s="1" t="s">
        <v>103</v>
      </c>
      <c r="E26" s="8">
        <v>42246</v>
      </c>
      <c r="F26" s="7" t="s">
        <v>97</v>
      </c>
      <c r="G26" s="1" t="s">
        <v>73</v>
      </c>
      <c r="I26" s="1" t="str">
        <f>IF(B26="", "", "meters")</f>
        <v>meters</v>
      </c>
      <c r="J26" s="1" t="str">
        <f>IF(B26="", "", "free-living")</f>
        <v>free-living</v>
      </c>
      <c r="K26" s="1" t="s">
        <v>74</v>
      </c>
      <c r="L26" s="1" t="s">
        <v>105</v>
      </c>
      <c r="M26" s="1" t="s">
        <v>212</v>
      </c>
      <c r="N26" s="1" t="s">
        <v>220</v>
      </c>
      <c r="O26" s="1" t="s">
        <v>217</v>
      </c>
      <c r="P26" s="1" t="s">
        <v>144</v>
      </c>
      <c r="Q26" s="1" t="s">
        <v>107</v>
      </c>
      <c r="R26" s="7" t="s">
        <v>132</v>
      </c>
      <c r="T26" s="1" t="str">
        <f>IF(B26="", "", "Decimal degrees")</f>
        <v>Decimal degrees</v>
      </c>
      <c r="U26" s="7" t="s">
        <v>141</v>
      </c>
      <c r="W26" s="1" t="str">
        <f>IF(B26="", "", "Decimal degrees")</f>
        <v>Decimal degrees</v>
      </c>
      <c r="X26" s="1" t="s">
        <v>142</v>
      </c>
      <c r="Y26" s="1" t="s">
        <v>143</v>
      </c>
      <c r="Z26" s="1" t="s">
        <v>144</v>
      </c>
      <c r="AA26" s="1" t="str">
        <f>IF(B26="", "", "metagenome")</f>
        <v>metagenome</v>
      </c>
      <c r="AB26" s="1" t="str">
        <f>IF(B26="", "", "256318")</f>
        <v>256318</v>
      </c>
      <c r="AC26" s="1" t="s">
        <v>145</v>
      </c>
      <c r="AD26" s="7" t="s">
        <v>132</v>
      </c>
    </row>
    <row r="27" spans="1:30" x14ac:dyDescent="0.2">
      <c r="A27">
        <f>IF(COUNTBLANK(B27:AD27)&lt;&gt;COLUMNS(B27:AD27),26,"")</f>
        <v>26</v>
      </c>
      <c r="B27" s="7" t="s">
        <v>98</v>
      </c>
      <c r="C27" s="1" t="s">
        <v>72</v>
      </c>
      <c r="D27" s="1" t="s">
        <v>103</v>
      </c>
      <c r="E27" s="8">
        <v>42246</v>
      </c>
      <c r="F27" s="7" t="s">
        <v>98</v>
      </c>
      <c r="G27" s="1" t="s">
        <v>73</v>
      </c>
      <c r="I27" s="1" t="str">
        <f>IF(B27="", "", "meters")</f>
        <v>meters</v>
      </c>
      <c r="J27" s="1" t="str">
        <f>IF(B27="", "", "free-living")</f>
        <v>free-living</v>
      </c>
      <c r="K27" s="1" t="s">
        <v>74</v>
      </c>
      <c r="L27" s="1" t="s">
        <v>105</v>
      </c>
      <c r="M27" s="1" t="s">
        <v>212</v>
      </c>
      <c r="N27" s="1" t="s">
        <v>220</v>
      </c>
      <c r="O27" s="1" t="s">
        <v>217</v>
      </c>
      <c r="P27" s="1" t="s">
        <v>144</v>
      </c>
      <c r="Q27" s="1" t="s">
        <v>107</v>
      </c>
      <c r="R27" s="7" t="s">
        <v>133</v>
      </c>
      <c r="T27" s="1" t="str">
        <f>IF(B27="", "", "Decimal degrees")</f>
        <v>Decimal degrees</v>
      </c>
      <c r="U27" s="7" t="s">
        <v>141</v>
      </c>
      <c r="W27" s="1" t="str">
        <f>IF(B27="", "", "Decimal degrees")</f>
        <v>Decimal degrees</v>
      </c>
      <c r="X27" s="1" t="s">
        <v>142</v>
      </c>
      <c r="Y27" s="1" t="s">
        <v>143</v>
      </c>
      <c r="Z27" s="1" t="s">
        <v>144</v>
      </c>
      <c r="AA27" s="1" t="str">
        <f>IF(B27="", "", "metagenome")</f>
        <v>metagenome</v>
      </c>
      <c r="AB27" s="1" t="str">
        <f>IF(B27="", "", "256318")</f>
        <v>256318</v>
      </c>
      <c r="AC27" s="1" t="s">
        <v>145</v>
      </c>
      <c r="AD27" s="7" t="s">
        <v>133</v>
      </c>
    </row>
    <row r="28" spans="1:30" x14ac:dyDescent="0.2">
      <c r="A28">
        <f>IF(COUNTBLANK(B28:AD28)&lt;&gt;COLUMNS(B28:AD28),27,"")</f>
        <v>27</v>
      </c>
      <c r="B28" s="7" t="s">
        <v>99</v>
      </c>
      <c r="C28" s="1" t="s">
        <v>72</v>
      </c>
      <c r="D28" s="1" t="s">
        <v>103</v>
      </c>
      <c r="E28" s="8">
        <v>42246</v>
      </c>
      <c r="F28" s="7" t="s">
        <v>99</v>
      </c>
      <c r="G28" s="1" t="s">
        <v>73</v>
      </c>
      <c r="I28" s="1" t="str">
        <f>IF(B28="", "", "meters")</f>
        <v>meters</v>
      </c>
      <c r="J28" s="1" t="str">
        <f>IF(B28="", "", "free-living")</f>
        <v>free-living</v>
      </c>
      <c r="K28" s="1" t="s">
        <v>74</v>
      </c>
      <c r="L28" s="1" t="s">
        <v>105</v>
      </c>
      <c r="M28" s="1" t="s">
        <v>212</v>
      </c>
      <c r="N28" s="1" t="s">
        <v>220</v>
      </c>
      <c r="O28" s="1" t="s">
        <v>217</v>
      </c>
      <c r="P28" s="1" t="s">
        <v>144</v>
      </c>
      <c r="Q28" s="1" t="s">
        <v>107</v>
      </c>
      <c r="R28" s="7" t="s">
        <v>134</v>
      </c>
      <c r="T28" s="1" t="str">
        <f>IF(B28="", "", "Decimal degrees")</f>
        <v>Decimal degrees</v>
      </c>
      <c r="U28" s="7" t="s">
        <v>141</v>
      </c>
      <c r="W28" s="1" t="str">
        <f>IF(B28="", "", "Decimal degrees")</f>
        <v>Decimal degrees</v>
      </c>
      <c r="X28" s="1" t="s">
        <v>142</v>
      </c>
      <c r="Y28" s="1" t="s">
        <v>143</v>
      </c>
      <c r="Z28" s="1" t="s">
        <v>144</v>
      </c>
      <c r="AA28" s="1" t="str">
        <f>IF(B28="", "", "metagenome")</f>
        <v>metagenome</v>
      </c>
      <c r="AB28" s="1" t="str">
        <f>IF(B28="", "", "256318")</f>
        <v>256318</v>
      </c>
      <c r="AC28" s="1" t="s">
        <v>145</v>
      </c>
      <c r="AD28" s="7" t="s">
        <v>134</v>
      </c>
    </row>
    <row r="29" spans="1:30" x14ac:dyDescent="0.2">
      <c r="A29">
        <f>IF(COUNTBLANK(B29:AD29)&lt;&gt;COLUMNS(B29:AD29),28,"")</f>
        <v>28</v>
      </c>
      <c r="B29" s="7" t="s">
        <v>100</v>
      </c>
      <c r="C29" s="1" t="s">
        <v>72</v>
      </c>
      <c r="D29" s="1" t="s">
        <v>104</v>
      </c>
      <c r="E29" s="8">
        <v>42196</v>
      </c>
      <c r="F29" s="7" t="s">
        <v>100</v>
      </c>
      <c r="G29" s="1" t="s">
        <v>73</v>
      </c>
      <c r="I29" s="1" t="str">
        <f>IF(B29="", "", "meters")</f>
        <v>meters</v>
      </c>
      <c r="J29" s="1" t="str">
        <f>IF(B29="", "", "free-living")</f>
        <v>free-living</v>
      </c>
      <c r="K29" s="1" t="s">
        <v>74</v>
      </c>
      <c r="L29" s="1" t="s">
        <v>106</v>
      </c>
      <c r="M29" s="1" t="s">
        <v>214</v>
      </c>
      <c r="N29" s="1" t="s">
        <v>220</v>
      </c>
      <c r="O29" s="1" t="s">
        <v>219</v>
      </c>
      <c r="P29" s="1" t="s">
        <v>221</v>
      </c>
      <c r="Q29" s="1" t="s">
        <v>107</v>
      </c>
      <c r="R29" s="7" t="s">
        <v>135</v>
      </c>
      <c r="T29" s="1" t="str">
        <f>IF(B29="", "", "Decimal degrees")</f>
        <v>Decimal degrees</v>
      </c>
      <c r="U29" s="7" t="s">
        <v>139</v>
      </c>
      <c r="W29" s="1" t="str">
        <f>IF(B29="", "", "Decimal degrees")</f>
        <v>Decimal degrees</v>
      </c>
      <c r="X29" s="1" t="s">
        <v>142</v>
      </c>
      <c r="Y29" s="1" t="s">
        <v>143</v>
      </c>
      <c r="Z29" s="1" t="s">
        <v>142</v>
      </c>
      <c r="AA29" s="1" t="str">
        <f>IF(B29="", "", "metagenome")</f>
        <v>metagenome</v>
      </c>
      <c r="AB29" s="1" t="str">
        <f>IF(B29="", "", "256318")</f>
        <v>256318</v>
      </c>
      <c r="AC29" s="1" t="s">
        <v>145</v>
      </c>
      <c r="AD29" s="7" t="s">
        <v>135</v>
      </c>
    </row>
    <row r="30" spans="1:30" x14ac:dyDescent="0.2">
      <c r="A30">
        <f>IF(COUNTBLANK(B30:AD30)&lt;&gt;COLUMNS(B30:AD30),29,"")</f>
        <v>29</v>
      </c>
      <c r="B30" s="7" t="s">
        <v>101</v>
      </c>
      <c r="C30" s="1" t="s">
        <v>72</v>
      </c>
      <c r="D30" s="1" t="s">
        <v>104</v>
      </c>
      <c r="E30" s="8">
        <v>42246</v>
      </c>
      <c r="F30" s="7" t="s">
        <v>101</v>
      </c>
      <c r="G30" s="1" t="s">
        <v>73</v>
      </c>
      <c r="I30" s="1" t="str">
        <f>IF(B30="", "", "meters")</f>
        <v>meters</v>
      </c>
      <c r="J30" s="1" t="str">
        <f>IF(B30="", "", "free-living")</f>
        <v>free-living</v>
      </c>
      <c r="K30" s="1" t="s">
        <v>74</v>
      </c>
      <c r="L30" s="1" t="s">
        <v>106</v>
      </c>
      <c r="M30" s="1" t="s">
        <v>214</v>
      </c>
      <c r="N30" s="1" t="s">
        <v>220</v>
      </c>
      <c r="O30" s="1" t="s">
        <v>219</v>
      </c>
      <c r="P30" s="1" t="s">
        <v>221</v>
      </c>
      <c r="Q30" s="1" t="s">
        <v>107</v>
      </c>
      <c r="R30" s="7" t="s">
        <v>136</v>
      </c>
      <c r="T30" s="1" t="str">
        <f>IF(B30="", "", "Decimal degrees")</f>
        <v>Decimal degrees</v>
      </c>
      <c r="U30" s="7" t="s">
        <v>141</v>
      </c>
      <c r="W30" s="1" t="str">
        <f>IF(B30="", "", "Decimal degrees")</f>
        <v>Decimal degrees</v>
      </c>
      <c r="X30" s="1" t="s">
        <v>142</v>
      </c>
      <c r="Y30" s="1" t="s">
        <v>143</v>
      </c>
      <c r="Z30" s="1" t="s">
        <v>142</v>
      </c>
      <c r="AA30" s="1" t="str">
        <f>IF(B30="", "", "metagenome")</f>
        <v>metagenome</v>
      </c>
      <c r="AB30" s="1" t="str">
        <f>IF(B30="", "", "256318")</f>
        <v>256318</v>
      </c>
      <c r="AC30" s="1" t="s">
        <v>145</v>
      </c>
      <c r="AD30" s="7" t="s">
        <v>136</v>
      </c>
    </row>
    <row r="31" spans="1:30" x14ac:dyDescent="0.2">
      <c r="A31">
        <f>IF(COUNTBLANK(B31:AD31)&lt;&gt;COLUMNS(B31:AD31),30,"")</f>
        <v>30</v>
      </c>
      <c r="B31" s="7" t="s">
        <v>102</v>
      </c>
      <c r="C31" s="1" t="s">
        <v>72</v>
      </c>
      <c r="D31" s="1" t="s">
        <v>104</v>
      </c>
      <c r="E31" s="8">
        <v>42246</v>
      </c>
      <c r="F31" s="7" t="s">
        <v>102</v>
      </c>
      <c r="G31" s="1" t="s">
        <v>73</v>
      </c>
      <c r="I31" s="1" t="str">
        <f>IF(B31="", "", "meters")</f>
        <v>meters</v>
      </c>
      <c r="J31" s="1" t="str">
        <f>IF(B31="", "", "free-living")</f>
        <v>free-living</v>
      </c>
      <c r="K31" s="1" t="s">
        <v>74</v>
      </c>
      <c r="L31" s="1" t="s">
        <v>106</v>
      </c>
      <c r="M31" s="1" t="s">
        <v>214</v>
      </c>
      <c r="N31" s="1" t="s">
        <v>220</v>
      </c>
      <c r="O31" s="1" t="s">
        <v>219</v>
      </c>
      <c r="P31" s="1" t="s">
        <v>221</v>
      </c>
      <c r="Q31" s="1" t="s">
        <v>107</v>
      </c>
      <c r="R31" s="7" t="s">
        <v>137</v>
      </c>
      <c r="T31" s="1" t="str">
        <f>IF(B31="", "", "Decimal degrees")</f>
        <v>Decimal degrees</v>
      </c>
      <c r="U31" s="7" t="s">
        <v>141</v>
      </c>
      <c r="W31" s="1" t="str">
        <f>IF(B31="", "", "Decimal degrees")</f>
        <v>Decimal degrees</v>
      </c>
      <c r="X31" s="1" t="s">
        <v>142</v>
      </c>
      <c r="Y31" s="1" t="s">
        <v>143</v>
      </c>
      <c r="Z31" s="1" t="s">
        <v>142</v>
      </c>
      <c r="AA31" s="1" t="str">
        <f>IF(B31="", "", "metagenome")</f>
        <v>metagenome</v>
      </c>
      <c r="AB31" s="1" t="str">
        <f>IF(B31="", "", "256318")</f>
        <v>256318</v>
      </c>
      <c r="AC31" s="1" t="s">
        <v>145</v>
      </c>
      <c r="AD31" s="7" t="s">
        <v>137</v>
      </c>
    </row>
    <row r="32" spans="1:30" x14ac:dyDescent="0.2">
      <c r="A32">
        <f>IF(COUNTBLANK(B32:AD32)&lt;&gt;COLUMNS(B32:AD32),31,"")</f>
        <v>31</v>
      </c>
      <c r="B32" s="7" t="s">
        <v>205</v>
      </c>
      <c r="C32" s="1" t="s">
        <v>72</v>
      </c>
      <c r="D32" s="1" t="s">
        <v>172</v>
      </c>
      <c r="E32" s="8">
        <v>42246</v>
      </c>
      <c r="F32" s="7" t="s">
        <v>205</v>
      </c>
      <c r="G32" s="1" t="s">
        <v>73</v>
      </c>
      <c r="I32" s="1" t="str">
        <f>IF(B32="", "", "meters")</f>
        <v>meters</v>
      </c>
      <c r="J32" s="1" t="str">
        <f>IF(B32="", "", "free-living")</f>
        <v>free-living</v>
      </c>
      <c r="K32" s="1" t="s">
        <v>74</v>
      </c>
      <c r="L32" s="1" t="s">
        <v>211</v>
      </c>
      <c r="M32" s="1" t="s">
        <v>213</v>
      </c>
      <c r="N32" s="1" t="s">
        <v>220</v>
      </c>
      <c r="O32" s="1" t="s">
        <v>216</v>
      </c>
      <c r="P32" s="1" t="s">
        <v>204</v>
      </c>
      <c r="Q32" s="1" t="s">
        <v>107</v>
      </c>
      <c r="R32" s="7" t="s">
        <v>175</v>
      </c>
      <c r="T32" s="1" t="str">
        <f>IF(B32="", "", "Decimal degrees")</f>
        <v>Decimal degrees</v>
      </c>
      <c r="U32" s="7" t="s">
        <v>141</v>
      </c>
      <c r="W32" s="1" t="str">
        <f>IF(B32="", "", "Decimal degrees")</f>
        <v>Decimal degrees</v>
      </c>
      <c r="X32" s="1" t="s">
        <v>142</v>
      </c>
      <c r="Y32" s="1" t="s">
        <v>143</v>
      </c>
      <c r="Z32" s="1" t="s">
        <v>204</v>
      </c>
      <c r="AA32" s="1" t="str">
        <f>IF(B32="", "", "metagenome")</f>
        <v>metagenome</v>
      </c>
      <c r="AB32" s="1" t="str">
        <f>IF(B32="", "", "256318")</f>
        <v>256318</v>
      </c>
      <c r="AC32" s="1" t="s">
        <v>145</v>
      </c>
      <c r="AD32" s="7" t="s">
        <v>175</v>
      </c>
    </row>
    <row r="33" spans="1:30" x14ac:dyDescent="0.2">
      <c r="A33">
        <f>IF(COUNTBLANK(B33:AD33)&lt;&gt;COLUMNS(B33:AD33),32,"")</f>
        <v>32</v>
      </c>
      <c r="B33" s="7" t="s">
        <v>206</v>
      </c>
      <c r="C33" s="1" t="s">
        <v>72</v>
      </c>
      <c r="D33" s="1" t="s">
        <v>172</v>
      </c>
      <c r="E33" s="8">
        <v>42246</v>
      </c>
      <c r="F33" s="7" t="s">
        <v>206</v>
      </c>
      <c r="G33" s="1" t="s">
        <v>73</v>
      </c>
      <c r="I33" s="1" t="str">
        <f>IF(B33="", "", "meters")</f>
        <v>meters</v>
      </c>
      <c r="J33" s="1" t="str">
        <f>IF(B33="", "", "free-living")</f>
        <v>free-living</v>
      </c>
      <c r="K33" s="1" t="s">
        <v>74</v>
      </c>
      <c r="L33" s="1" t="s">
        <v>211</v>
      </c>
      <c r="M33" s="1" t="s">
        <v>213</v>
      </c>
      <c r="N33" s="1" t="s">
        <v>220</v>
      </c>
      <c r="O33" s="1" t="s">
        <v>216</v>
      </c>
      <c r="P33" s="1" t="s">
        <v>204</v>
      </c>
      <c r="Q33" s="1" t="s">
        <v>107</v>
      </c>
      <c r="R33" s="7" t="s">
        <v>176</v>
      </c>
      <c r="T33" s="1" t="str">
        <f>IF(B33="", "", "Decimal degrees")</f>
        <v>Decimal degrees</v>
      </c>
      <c r="U33" s="7" t="s">
        <v>141</v>
      </c>
      <c r="W33" s="1" t="str">
        <f>IF(B33="", "", "Decimal degrees")</f>
        <v>Decimal degrees</v>
      </c>
      <c r="X33" s="1" t="s">
        <v>142</v>
      </c>
      <c r="Y33" s="1" t="s">
        <v>143</v>
      </c>
      <c r="Z33" s="1" t="s">
        <v>204</v>
      </c>
      <c r="AA33" s="1" t="str">
        <f>IF(B33="", "", "metagenome")</f>
        <v>metagenome</v>
      </c>
      <c r="AB33" s="1" t="str">
        <f>IF(B33="", "", "256318")</f>
        <v>256318</v>
      </c>
      <c r="AC33" s="1" t="s">
        <v>145</v>
      </c>
      <c r="AD33" s="7" t="s">
        <v>176</v>
      </c>
    </row>
    <row r="34" spans="1:30" x14ac:dyDescent="0.2">
      <c r="A34">
        <f>IF(COUNTBLANK(B34:AD34)&lt;&gt;COLUMNS(B34:AD34),33,"")</f>
        <v>33</v>
      </c>
      <c r="B34" s="7" t="s">
        <v>207</v>
      </c>
      <c r="C34" s="1" t="s">
        <v>72</v>
      </c>
      <c r="D34" s="1" t="s">
        <v>172</v>
      </c>
      <c r="E34" s="8">
        <v>42246</v>
      </c>
      <c r="F34" s="7" t="s">
        <v>207</v>
      </c>
      <c r="G34" s="1" t="s">
        <v>73</v>
      </c>
      <c r="I34" s="1" t="str">
        <f>IF(B34="", "", "meters")</f>
        <v>meters</v>
      </c>
      <c r="J34" s="1" t="str">
        <f>IF(B34="", "", "free-living")</f>
        <v>free-living</v>
      </c>
      <c r="K34" s="1" t="s">
        <v>74</v>
      </c>
      <c r="L34" s="1" t="s">
        <v>211</v>
      </c>
      <c r="M34" s="1" t="s">
        <v>213</v>
      </c>
      <c r="N34" s="1" t="s">
        <v>220</v>
      </c>
      <c r="O34" s="1" t="s">
        <v>216</v>
      </c>
      <c r="P34" s="1" t="s">
        <v>204</v>
      </c>
      <c r="Q34" s="1" t="s">
        <v>107</v>
      </c>
      <c r="R34" s="7" t="s">
        <v>177</v>
      </c>
      <c r="T34" s="1" t="str">
        <f>IF(B34="", "", "Decimal degrees")</f>
        <v>Decimal degrees</v>
      </c>
      <c r="U34" s="7" t="s">
        <v>141</v>
      </c>
      <c r="W34" s="1" t="str">
        <f>IF(B34="", "", "Decimal degrees")</f>
        <v>Decimal degrees</v>
      </c>
      <c r="X34" s="1" t="s">
        <v>142</v>
      </c>
      <c r="Y34" s="1" t="s">
        <v>143</v>
      </c>
      <c r="Z34" s="1" t="s">
        <v>204</v>
      </c>
      <c r="AA34" s="1" t="str">
        <f>IF(B34="", "", "metagenome")</f>
        <v>metagenome</v>
      </c>
      <c r="AB34" s="1" t="str">
        <f>IF(B34="", "", "256318")</f>
        <v>256318</v>
      </c>
      <c r="AC34" s="1" t="s">
        <v>145</v>
      </c>
      <c r="AD34" s="7" t="s">
        <v>177</v>
      </c>
    </row>
    <row r="35" spans="1:30" x14ac:dyDescent="0.2">
      <c r="A35">
        <f>IF(COUNTBLANK(B35:AD35)&lt;&gt;COLUMNS(B35:AD35),34,"")</f>
        <v>34</v>
      </c>
      <c r="B35" s="7" t="s">
        <v>146</v>
      </c>
      <c r="C35" s="1" t="s">
        <v>72</v>
      </c>
      <c r="D35" s="1" t="s">
        <v>173</v>
      </c>
      <c r="E35" s="8">
        <v>42166</v>
      </c>
      <c r="F35" s="7" t="s">
        <v>146</v>
      </c>
      <c r="G35" s="1" t="s">
        <v>73</v>
      </c>
      <c r="I35" s="1" t="str">
        <f>IF(B35="", "", "meters")</f>
        <v>meters</v>
      </c>
      <c r="J35" s="1" t="str">
        <f>IF(B35="", "", "free-living")</f>
        <v>free-living</v>
      </c>
      <c r="K35" s="1" t="s">
        <v>74</v>
      </c>
      <c r="L35" s="1" t="s">
        <v>106</v>
      </c>
      <c r="M35" s="1" t="s">
        <v>215</v>
      </c>
      <c r="N35" s="1" t="s">
        <v>220</v>
      </c>
      <c r="O35" s="1" t="s">
        <v>218</v>
      </c>
      <c r="P35" s="1" t="s">
        <v>221</v>
      </c>
      <c r="Q35" s="1" t="s">
        <v>107</v>
      </c>
      <c r="R35" s="7" t="s">
        <v>178</v>
      </c>
      <c r="T35" s="1" t="str">
        <f>IF(B35="", "", "Decimal degrees")</f>
        <v>Decimal degrees</v>
      </c>
      <c r="U35" s="7" t="s">
        <v>138</v>
      </c>
      <c r="W35" s="1" t="str">
        <f>IF(B35="", "", "Decimal degrees")</f>
        <v>Decimal degrees</v>
      </c>
      <c r="X35" s="1" t="s">
        <v>142</v>
      </c>
      <c r="Y35" s="1" t="s">
        <v>143</v>
      </c>
      <c r="Z35" s="1" t="s">
        <v>208</v>
      </c>
      <c r="AA35" s="1" t="str">
        <f>IF(B35="", "", "metagenome")</f>
        <v>metagenome</v>
      </c>
      <c r="AB35" s="1" t="str">
        <f>IF(B35="", "", "256318")</f>
        <v>256318</v>
      </c>
      <c r="AC35" s="1" t="s">
        <v>145</v>
      </c>
      <c r="AD35" s="7" t="s">
        <v>178</v>
      </c>
    </row>
    <row r="36" spans="1:30" x14ac:dyDescent="0.2">
      <c r="A36">
        <f>IF(COUNTBLANK(B36:AD36)&lt;&gt;COLUMNS(B36:AD36),35,"")</f>
        <v>35</v>
      </c>
      <c r="B36" s="7" t="s">
        <v>147</v>
      </c>
      <c r="C36" s="1" t="s">
        <v>72</v>
      </c>
      <c r="D36" s="1" t="s">
        <v>173</v>
      </c>
      <c r="E36" s="8">
        <v>42166</v>
      </c>
      <c r="F36" s="7" t="s">
        <v>147</v>
      </c>
      <c r="G36" s="1" t="s">
        <v>73</v>
      </c>
      <c r="I36" s="1" t="str">
        <f>IF(B36="", "", "meters")</f>
        <v>meters</v>
      </c>
      <c r="J36" s="1" t="str">
        <f>IF(B36="", "", "free-living")</f>
        <v>free-living</v>
      </c>
      <c r="K36" s="1" t="s">
        <v>74</v>
      </c>
      <c r="L36" s="1" t="s">
        <v>106</v>
      </c>
      <c r="M36" s="1" t="s">
        <v>215</v>
      </c>
      <c r="N36" s="1" t="s">
        <v>220</v>
      </c>
      <c r="O36" s="1" t="s">
        <v>218</v>
      </c>
      <c r="P36" s="1" t="s">
        <v>221</v>
      </c>
      <c r="Q36" s="1" t="s">
        <v>107</v>
      </c>
      <c r="R36" s="7" t="s">
        <v>179</v>
      </c>
      <c r="T36" s="1" t="str">
        <f>IF(B36="", "", "Decimal degrees")</f>
        <v>Decimal degrees</v>
      </c>
      <c r="U36" s="7" t="s">
        <v>139</v>
      </c>
      <c r="W36" s="1" t="str">
        <f>IF(B36="", "", "Decimal degrees")</f>
        <v>Decimal degrees</v>
      </c>
      <c r="X36" s="1" t="s">
        <v>142</v>
      </c>
      <c r="Y36" s="1" t="s">
        <v>143</v>
      </c>
      <c r="Z36" s="1" t="s">
        <v>208</v>
      </c>
      <c r="AA36" s="1" t="str">
        <f>IF(B36="", "", "metagenome")</f>
        <v>metagenome</v>
      </c>
      <c r="AB36" s="1" t="str">
        <f>IF(B36="", "", "256318")</f>
        <v>256318</v>
      </c>
      <c r="AC36" s="1" t="s">
        <v>145</v>
      </c>
      <c r="AD36" s="7" t="s">
        <v>179</v>
      </c>
    </row>
    <row r="37" spans="1:30" x14ac:dyDescent="0.2">
      <c r="A37">
        <f>IF(COUNTBLANK(B37:AD37)&lt;&gt;COLUMNS(B37:AD37),36,"")</f>
        <v>36</v>
      </c>
      <c r="B37" s="7" t="s">
        <v>148</v>
      </c>
      <c r="C37" s="1" t="s">
        <v>72</v>
      </c>
      <c r="D37" s="1" t="s">
        <v>173</v>
      </c>
      <c r="E37" s="8">
        <v>42166</v>
      </c>
      <c r="F37" s="7" t="s">
        <v>148</v>
      </c>
      <c r="G37" s="1" t="s">
        <v>73</v>
      </c>
      <c r="I37" s="1" t="str">
        <f>IF(B37="", "", "meters")</f>
        <v>meters</v>
      </c>
      <c r="J37" s="1" t="str">
        <f>IF(B37="", "", "free-living")</f>
        <v>free-living</v>
      </c>
      <c r="K37" s="1" t="s">
        <v>74</v>
      </c>
      <c r="L37" s="1" t="s">
        <v>106</v>
      </c>
      <c r="M37" s="1" t="s">
        <v>215</v>
      </c>
      <c r="N37" s="1" t="s">
        <v>220</v>
      </c>
      <c r="O37" s="1" t="s">
        <v>218</v>
      </c>
      <c r="P37" s="1" t="s">
        <v>221</v>
      </c>
      <c r="Q37" s="1" t="s">
        <v>107</v>
      </c>
      <c r="R37" s="7" t="s">
        <v>180</v>
      </c>
      <c r="T37" s="1" t="str">
        <f>IF(B37="", "", "Decimal degrees")</f>
        <v>Decimal degrees</v>
      </c>
      <c r="U37" s="7" t="s">
        <v>139</v>
      </c>
      <c r="W37" s="1" t="str">
        <f>IF(B37="", "", "Decimal degrees")</f>
        <v>Decimal degrees</v>
      </c>
      <c r="X37" s="1" t="s">
        <v>142</v>
      </c>
      <c r="Y37" s="1" t="s">
        <v>143</v>
      </c>
      <c r="Z37" s="1" t="s">
        <v>208</v>
      </c>
      <c r="AA37" s="1" t="str">
        <f>IF(B37="", "", "metagenome")</f>
        <v>metagenome</v>
      </c>
      <c r="AB37" s="1" t="str">
        <f>IF(B37="", "", "256318")</f>
        <v>256318</v>
      </c>
      <c r="AC37" s="1" t="s">
        <v>145</v>
      </c>
      <c r="AD37" s="7" t="s">
        <v>180</v>
      </c>
    </row>
    <row r="38" spans="1:30" x14ac:dyDescent="0.2">
      <c r="A38">
        <f>IF(COUNTBLANK(B38:AD38)&lt;&gt;COLUMNS(B38:AD38),37,"")</f>
        <v>37</v>
      </c>
      <c r="B38" s="7" t="s">
        <v>149</v>
      </c>
      <c r="C38" s="1" t="s">
        <v>72</v>
      </c>
      <c r="D38" s="1" t="s">
        <v>173</v>
      </c>
      <c r="E38" s="8">
        <v>42166</v>
      </c>
      <c r="F38" s="7" t="s">
        <v>149</v>
      </c>
      <c r="G38" s="1" t="s">
        <v>73</v>
      </c>
      <c r="I38" s="1" t="str">
        <f>IF(B38="", "", "meters")</f>
        <v>meters</v>
      </c>
      <c r="J38" s="1" t="str">
        <f>IF(B38="", "", "free-living")</f>
        <v>free-living</v>
      </c>
      <c r="K38" s="1" t="s">
        <v>74</v>
      </c>
      <c r="L38" s="1" t="s">
        <v>106</v>
      </c>
      <c r="M38" s="1" t="s">
        <v>215</v>
      </c>
      <c r="N38" s="1" t="s">
        <v>220</v>
      </c>
      <c r="O38" s="1" t="s">
        <v>218</v>
      </c>
      <c r="P38" s="1" t="s">
        <v>221</v>
      </c>
      <c r="Q38" s="1" t="s">
        <v>107</v>
      </c>
      <c r="R38" s="7" t="s">
        <v>181</v>
      </c>
      <c r="T38" s="1" t="str">
        <f>IF(B38="", "", "Decimal degrees")</f>
        <v>Decimal degrees</v>
      </c>
      <c r="U38" s="7" t="s">
        <v>139</v>
      </c>
      <c r="W38" s="1" t="str">
        <f>IF(B38="", "", "Decimal degrees")</f>
        <v>Decimal degrees</v>
      </c>
      <c r="X38" s="1" t="s">
        <v>142</v>
      </c>
      <c r="Y38" s="1" t="s">
        <v>143</v>
      </c>
      <c r="Z38" s="1" t="s">
        <v>208</v>
      </c>
      <c r="AA38" s="1" t="str">
        <f>IF(B38="", "", "metagenome")</f>
        <v>metagenome</v>
      </c>
      <c r="AB38" s="1" t="str">
        <f>IF(B38="", "", "256318")</f>
        <v>256318</v>
      </c>
      <c r="AC38" s="1" t="s">
        <v>145</v>
      </c>
      <c r="AD38" s="7" t="s">
        <v>181</v>
      </c>
    </row>
    <row r="39" spans="1:30" x14ac:dyDescent="0.2">
      <c r="A39">
        <f>IF(COUNTBLANK(B39:AD39)&lt;&gt;COLUMNS(B39:AD39),38,"")</f>
        <v>38</v>
      </c>
      <c r="B39" s="7" t="s">
        <v>150</v>
      </c>
      <c r="C39" s="1" t="s">
        <v>72</v>
      </c>
      <c r="D39" s="1" t="s">
        <v>173</v>
      </c>
      <c r="E39" s="8">
        <v>42166</v>
      </c>
      <c r="F39" s="7" t="s">
        <v>150</v>
      </c>
      <c r="G39" s="1" t="s">
        <v>73</v>
      </c>
      <c r="I39" s="1" t="str">
        <f>IF(B39="", "", "meters")</f>
        <v>meters</v>
      </c>
      <c r="J39" s="1" t="str">
        <f>IF(B39="", "", "free-living")</f>
        <v>free-living</v>
      </c>
      <c r="K39" s="1" t="s">
        <v>74</v>
      </c>
      <c r="L39" s="1" t="s">
        <v>106</v>
      </c>
      <c r="M39" s="1" t="s">
        <v>215</v>
      </c>
      <c r="N39" s="1" t="s">
        <v>220</v>
      </c>
      <c r="O39" s="1" t="s">
        <v>218</v>
      </c>
      <c r="P39" s="1" t="s">
        <v>221</v>
      </c>
      <c r="Q39" s="1" t="s">
        <v>107</v>
      </c>
      <c r="R39" s="7" t="s">
        <v>182</v>
      </c>
      <c r="T39" s="1" t="str">
        <f>IF(B39="", "", "Decimal degrees")</f>
        <v>Decimal degrees</v>
      </c>
      <c r="U39" s="7" t="s">
        <v>139</v>
      </c>
      <c r="W39" s="1" t="str">
        <f>IF(B39="", "", "Decimal degrees")</f>
        <v>Decimal degrees</v>
      </c>
      <c r="X39" s="1" t="s">
        <v>142</v>
      </c>
      <c r="Y39" s="1" t="s">
        <v>143</v>
      </c>
      <c r="Z39" s="1" t="s">
        <v>208</v>
      </c>
      <c r="AA39" s="1" t="str">
        <f>IF(B39="", "", "metagenome")</f>
        <v>metagenome</v>
      </c>
      <c r="AB39" s="1" t="str">
        <f>IF(B39="", "", "256318")</f>
        <v>256318</v>
      </c>
      <c r="AC39" s="1" t="s">
        <v>145</v>
      </c>
      <c r="AD39" s="7" t="s">
        <v>182</v>
      </c>
    </row>
    <row r="40" spans="1:30" x14ac:dyDescent="0.2">
      <c r="A40">
        <f>IF(COUNTBLANK(B40:AD40)&lt;&gt;COLUMNS(B40:AD40),39,"")</f>
        <v>39</v>
      </c>
      <c r="B40" s="7" t="s">
        <v>151</v>
      </c>
      <c r="C40" s="1" t="s">
        <v>72</v>
      </c>
      <c r="D40" s="1" t="s">
        <v>173</v>
      </c>
      <c r="E40" s="8">
        <v>42167</v>
      </c>
      <c r="F40" s="7" t="s">
        <v>151</v>
      </c>
      <c r="G40" s="1" t="s">
        <v>73</v>
      </c>
      <c r="I40" s="1" t="str">
        <f>IF(B40="", "", "meters")</f>
        <v>meters</v>
      </c>
      <c r="J40" s="1" t="str">
        <f>IF(B40="", "", "free-living")</f>
        <v>free-living</v>
      </c>
      <c r="K40" s="1" t="s">
        <v>74</v>
      </c>
      <c r="L40" s="1" t="s">
        <v>106</v>
      </c>
      <c r="M40" s="1" t="s">
        <v>215</v>
      </c>
      <c r="N40" s="1" t="s">
        <v>220</v>
      </c>
      <c r="O40" s="1" t="s">
        <v>218</v>
      </c>
      <c r="P40" s="1" t="s">
        <v>221</v>
      </c>
      <c r="Q40" s="1" t="s">
        <v>107</v>
      </c>
      <c r="R40" s="7" t="s">
        <v>183</v>
      </c>
      <c r="T40" s="1" t="str">
        <f>IF(B40="", "", "Decimal degrees")</f>
        <v>Decimal degrees</v>
      </c>
      <c r="U40" s="7" t="s">
        <v>140</v>
      </c>
      <c r="W40" s="1" t="str">
        <f>IF(B40="", "", "Decimal degrees")</f>
        <v>Decimal degrees</v>
      </c>
      <c r="X40" s="1" t="s">
        <v>142</v>
      </c>
      <c r="Y40" s="1" t="s">
        <v>143</v>
      </c>
      <c r="Z40" s="1" t="s">
        <v>208</v>
      </c>
      <c r="AA40" s="1" t="str">
        <f>IF(B40="", "", "metagenome")</f>
        <v>metagenome</v>
      </c>
      <c r="AB40" s="1" t="str">
        <f>IF(B40="", "", "256318")</f>
        <v>256318</v>
      </c>
      <c r="AC40" s="1" t="s">
        <v>145</v>
      </c>
      <c r="AD40" s="7" t="s">
        <v>183</v>
      </c>
    </row>
    <row r="41" spans="1:30" x14ac:dyDescent="0.2">
      <c r="A41">
        <f>IF(COUNTBLANK(B41:AD41)&lt;&gt;COLUMNS(B41:AD41),40,"")</f>
        <v>40</v>
      </c>
      <c r="B41" s="7" t="s">
        <v>152</v>
      </c>
      <c r="C41" s="1" t="s">
        <v>72</v>
      </c>
      <c r="D41" s="1" t="s">
        <v>173</v>
      </c>
      <c r="E41" s="8">
        <v>42167</v>
      </c>
      <c r="F41" s="7" t="s">
        <v>152</v>
      </c>
      <c r="G41" s="1" t="s">
        <v>73</v>
      </c>
      <c r="I41" s="1" t="str">
        <f>IF(B41="", "", "meters")</f>
        <v>meters</v>
      </c>
      <c r="J41" s="1" t="str">
        <f>IF(B41="", "", "free-living")</f>
        <v>free-living</v>
      </c>
      <c r="K41" s="1" t="s">
        <v>74</v>
      </c>
      <c r="L41" s="1" t="s">
        <v>106</v>
      </c>
      <c r="M41" s="1" t="s">
        <v>215</v>
      </c>
      <c r="N41" s="1" t="s">
        <v>220</v>
      </c>
      <c r="O41" s="1" t="s">
        <v>218</v>
      </c>
      <c r="P41" s="1" t="s">
        <v>221</v>
      </c>
      <c r="Q41" s="1" t="s">
        <v>107</v>
      </c>
      <c r="R41" s="7" t="s">
        <v>184</v>
      </c>
      <c r="T41" s="1" t="str">
        <f>IF(B41="", "", "Decimal degrees")</f>
        <v>Decimal degrees</v>
      </c>
      <c r="U41" s="7" t="s">
        <v>140</v>
      </c>
      <c r="W41" s="1" t="str">
        <f>IF(B41="", "", "Decimal degrees")</f>
        <v>Decimal degrees</v>
      </c>
      <c r="X41" s="1" t="s">
        <v>142</v>
      </c>
      <c r="Y41" s="1" t="s">
        <v>143</v>
      </c>
      <c r="Z41" s="1" t="s">
        <v>208</v>
      </c>
      <c r="AA41" s="1" t="str">
        <f>IF(B41="", "", "metagenome")</f>
        <v>metagenome</v>
      </c>
      <c r="AB41" s="1" t="str">
        <f>IF(B41="", "", "256318")</f>
        <v>256318</v>
      </c>
      <c r="AC41" s="1" t="s">
        <v>145</v>
      </c>
      <c r="AD41" s="7" t="s">
        <v>184</v>
      </c>
    </row>
    <row r="42" spans="1:30" x14ac:dyDescent="0.2">
      <c r="A42">
        <f>IF(COUNTBLANK(B42:AD42)&lt;&gt;COLUMNS(B42:AD42),41,"")</f>
        <v>41</v>
      </c>
      <c r="B42" s="7" t="s">
        <v>153</v>
      </c>
      <c r="C42" s="1" t="s">
        <v>72</v>
      </c>
      <c r="D42" s="1" t="s">
        <v>173</v>
      </c>
      <c r="E42" s="8">
        <v>42177</v>
      </c>
      <c r="F42" s="7" t="s">
        <v>153</v>
      </c>
      <c r="G42" s="1" t="s">
        <v>73</v>
      </c>
      <c r="I42" s="1" t="str">
        <f>IF(B42="", "", "meters")</f>
        <v>meters</v>
      </c>
      <c r="J42" s="1" t="str">
        <f>IF(B42="", "", "free-living")</f>
        <v>free-living</v>
      </c>
      <c r="K42" s="1" t="s">
        <v>74</v>
      </c>
      <c r="L42" s="1" t="s">
        <v>106</v>
      </c>
      <c r="M42" s="1" t="s">
        <v>215</v>
      </c>
      <c r="N42" s="1" t="s">
        <v>220</v>
      </c>
      <c r="O42" s="1" t="s">
        <v>218</v>
      </c>
      <c r="P42" s="1" t="s">
        <v>221</v>
      </c>
      <c r="Q42" s="1" t="s">
        <v>107</v>
      </c>
      <c r="R42" s="7" t="s">
        <v>185</v>
      </c>
      <c r="T42" s="1" t="str">
        <f>IF(B42="", "", "Decimal degrees")</f>
        <v>Decimal degrees</v>
      </c>
      <c r="U42" s="7" t="s">
        <v>138</v>
      </c>
      <c r="W42" s="1" t="str">
        <f>IF(B42="", "", "Decimal degrees")</f>
        <v>Decimal degrees</v>
      </c>
      <c r="X42" s="1" t="s">
        <v>142</v>
      </c>
      <c r="Y42" s="1" t="s">
        <v>143</v>
      </c>
      <c r="Z42" s="1" t="s">
        <v>208</v>
      </c>
      <c r="AA42" s="1" t="str">
        <f>IF(B42="", "", "metagenome")</f>
        <v>metagenome</v>
      </c>
      <c r="AB42" s="1" t="str">
        <f>IF(B42="", "", "256318")</f>
        <v>256318</v>
      </c>
      <c r="AC42" s="1" t="s">
        <v>145</v>
      </c>
      <c r="AD42" s="7" t="s">
        <v>185</v>
      </c>
    </row>
    <row r="43" spans="1:30" x14ac:dyDescent="0.2">
      <c r="A43">
        <f>IF(COUNTBLANK(B43:AD43)&lt;&gt;COLUMNS(B43:AD43),42,"")</f>
        <v>42</v>
      </c>
      <c r="B43" s="7" t="s">
        <v>154</v>
      </c>
      <c r="C43" s="1" t="s">
        <v>72</v>
      </c>
      <c r="D43" s="1" t="s">
        <v>173</v>
      </c>
      <c r="E43" s="8">
        <v>42177</v>
      </c>
      <c r="F43" s="7" t="s">
        <v>154</v>
      </c>
      <c r="G43" s="1" t="s">
        <v>73</v>
      </c>
      <c r="I43" s="1" t="str">
        <f>IF(B43="", "", "meters")</f>
        <v>meters</v>
      </c>
      <c r="J43" s="1" t="str">
        <f>IF(B43="", "", "free-living")</f>
        <v>free-living</v>
      </c>
      <c r="K43" s="1" t="s">
        <v>74</v>
      </c>
      <c r="L43" s="1" t="s">
        <v>106</v>
      </c>
      <c r="M43" s="1" t="s">
        <v>215</v>
      </c>
      <c r="N43" s="1" t="s">
        <v>220</v>
      </c>
      <c r="O43" s="1" t="s">
        <v>218</v>
      </c>
      <c r="P43" s="1" t="s">
        <v>221</v>
      </c>
      <c r="Q43" s="1" t="s">
        <v>107</v>
      </c>
      <c r="R43" s="7" t="s">
        <v>186</v>
      </c>
      <c r="T43" s="1" t="str">
        <f>IF(B43="", "", "Decimal degrees")</f>
        <v>Decimal degrees</v>
      </c>
      <c r="U43" s="7" t="s">
        <v>138</v>
      </c>
      <c r="W43" s="1" t="str">
        <f>IF(B43="", "", "Decimal degrees")</f>
        <v>Decimal degrees</v>
      </c>
      <c r="X43" s="1" t="s">
        <v>142</v>
      </c>
      <c r="Y43" s="1" t="s">
        <v>143</v>
      </c>
      <c r="Z43" s="1" t="s">
        <v>208</v>
      </c>
      <c r="AA43" s="1" t="str">
        <f>IF(B43="", "", "metagenome")</f>
        <v>metagenome</v>
      </c>
      <c r="AB43" s="1" t="str">
        <f>IF(B43="", "", "256318")</f>
        <v>256318</v>
      </c>
      <c r="AC43" s="1" t="s">
        <v>145</v>
      </c>
      <c r="AD43" s="7" t="s">
        <v>186</v>
      </c>
    </row>
    <row r="44" spans="1:30" x14ac:dyDescent="0.2">
      <c r="A44">
        <f>IF(COUNTBLANK(B44:AD44)&lt;&gt;COLUMNS(B44:AD44),43,"")</f>
        <v>43</v>
      </c>
      <c r="B44" s="7" t="s">
        <v>155</v>
      </c>
      <c r="C44" s="1" t="s">
        <v>72</v>
      </c>
      <c r="D44" s="1" t="s">
        <v>173</v>
      </c>
      <c r="E44" s="8">
        <v>42196</v>
      </c>
      <c r="F44" s="7" t="s">
        <v>155</v>
      </c>
      <c r="G44" s="1" t="s">
        <v>73</v>
      </c>
      <c r="I44" s="1" t="str">
        <f>IF(B44="", "", "meters")</f>
        <v>meters</v>
      </c>
      <c r="J44" s="1" t="str">
        <f>IF(B44="", "", "free-living")</f>
        <v>free-living</v>
      </c>
      <c r="K44" s="1" t="s">
        <v>74</v>
      </c>
      <c r="L44" s="1" t="s">
        <v>106</v>
      </c>
      <c r="M44" s="1" t="s">
        <v>215</v>
      </c>
      <c r="N44" s="1" t="s">
        <v>220</v>
      </c>
      <c r="O44" s="1" t="s">
        <v>218</v>
      </c>
      <c r="P44" s="1" t="s">
        <v>221</v>
      </c>
      <c r="Q44" s="1" t="s">
        <v>107</v>
      </c>
      <c r="R44" s="7" t="s">
        <v>187</v>
      </c>
      <c r="T44" s="1" t="str">
        <f>IF(B44="", "", "Decimal degrees")</f>
        <v>Decimal degrees</v>
      </c>
      <c r="U44" s="7" t="s">
        <v>141</v>
      </c>
      <c r="W44" s="1" t="str">
        <f>IF(B44="", "", "Decimal degrees")</f>
        <v>Decimal degrees</v>
      </c>
      <c r="X44" s="1" t="s">
        <v>142</v>
      </c>
      <c r="Y44" s="1" t="s">
        <v>143</v>
      </c>
      <c r="Z44" s="1" t="s">
        <v>208</v>
      </c>
      <c r="AA44" s="1" t="str">
        <f>IF(B44="", "", "metagenome")</f>
        <v>metagenome</v>
      </c>
      <c r="AB44" s="1" t="str">
        <f>IF(B44="", "", "256318")</f>
        <v>256318</v>
      </c>
      <c r="AC44" s="1" t="s">
        <v>145</v>
      </c>
      <c r="AD44" s="7" t="s">
        <v>187</v>
      </c>
    </row>
    <row r="45" spans="1:30" x14ac:dyDescent="0.2">
      <c r="A45">
        <f>IF(COUNTBLANK(B45:AD45)&lt;&gt;COLUMNS(B45:AD45),44,"")</f>
        <v>44</v>
      </c>
      <c r="B45" s="7" t="s">
        <v>156</v>
      </c>
      <c r="C45" s="1" t="s">
        <v>72</v>
      </c>
      <c r="D45" s="1" t="s">
        <v>173</v>
      </c>
      <c r="E45" s="8">
        <v>42196</v>
      </c>
      <c r="F45" s="7" t="s">
        <v>156</v>
      </c>
      <c r="G45" s="1" t="s">
        <v>73</v>
      </c>
      <c r="I45" s="1" t="str">
        <f>IF(B45="", "", "meters")</f>
        <v>meters</v>
      </c>
      <c r="J45" s="1" t="str">
        <f>IF(B45="", "", "free-living")</f>
        <v>free-living</v>
      </c>
      <c r="K45" s="1" t="s">
        <v>74</v>
      </c>
      <c r="L45" s="1" t="s">
        <v>106</v>
      </c>
      <c r="M45" s="1" t="s">
        <v>215</v>
      </c>
      <c r="N45" s="1" t="s">
        <v>220</v>
      </c>
      <c r="O45" s="1" t="s">
        <v>218</v>
      </c>
      <c r="P45" s="1" t="s">
        <v>221</v>
      </c>
      <c r="Q45" s="1" t="s">
        <v>107</v>
      </c>
      <c r="R45" s="7" t="s">
        <v>188</v>
      </c>
      <c r="T45" s="1" t="str">
        <f>IF(B45="", "", "Decimal degrees")</f>
        <v>Decimal degrees</v>
      </c>
      <c r="U45" s="7" t="s">
        <v>141</v>
      </c>
      <c r="W45" s="1" t="str">
        <f>IF(B45="", "", "Decimal degrees")</f>
        <v>Decimal degrees</v>
      </c>
      <c r="X45" s="1" t="s">
        <v>142</v>
      </c>
      <c r="Y45" s="1" t="s">
        <v>143</v>
      </c>
      <c r="Z45" s="1" t="s">
        <v>208</v>
      </c>
      <c r="AA45" s="1" t="str">
        <f>IF(B45="", "", "metagenome")</f>
        <v>metagenome</v>
      </c>
      <c r="AB45" s="1" t="str">
        <f>IF(B45="", "", "256318")</f>
        <v>256318</v>
      </c>
      <c r="AC45" s="1" t="s">
        <v>145</v>
      </c>
      <c r="AD45" s="7" t="s">
        <v>188</v>
      </c>
    </row>
    <row r="46" spans="1:30" x14ac:dyDescent="0.2">
      <c r="A46">
        <f>IF(COUNTBLANK(B46:AD46)&lt;&gt;COLUMNS(B46:AD46),45,"")</f>
        <v>45</v>
      </c>
      <c r="B46" s="7" t="s">
        <v>157</v>
      </c>
      <c r="C46" s="1" t="s">
        <v>72</v>
      </c>
      <c r="D46" s="1" t="s">
        <v>173</v>
      </c>
      <c r="E46" s="8">
        <v>42196</v>
      </c>
      <c r="F46" s="7" t="s">
        <v>157</v>
      </c>
      <c r="G46" s="1" t="s">
        <v>73</v>
      </c>
      <c r="I46" s="1" t="str">
        <f>IF(B46="", "", "meters")</f>
        <v>meters</v>
      </c>
      <c r="J46" s="1" t="str">
        <f>IF(B46="", "", "free-living")</f>
        <v>free-living</v>
      </c>
      <c r="K46" s="1" t="s">
        <v>74</v>
      </c>
      <c r="L46" s="1" t="s">
        <v>106</v>
      </c>
      <c r="M46" s="1" t="s">
        <v>215</v>
      </c>
      <c r="N46" s="1" t="s">
        <v>220</v>
      </c>
      <c r="O46" s="1" t="s">
        <v>218</v>
      </c>
      <c r="P46" s="1" t="s">
        <v>221</v>
      </c>
      <c r="Q46" s="1" t="s">
        <v>107</v>
      </c>
      <c r="R46" s="7" t="s">
        <v>189</v>
      </c>
      <c r="T46" s="1" t="str">
        <f>IF(B46="", "", "Decimal degrees")</f>
        <v>Decimal degrees</v>
      </c>
      <c r="U46" s="7" t="s">
        <v>139</v>
      </c>
      <c r="W46" s="1" t="str">
        <f>IF(B46="", "", "Decimal degrees")</f>
        <v>Decimal degrees</v>
      </c>
      <c r="X46" s="1" t="s">
        <v>142</v>
      </c>
      <c r="Y46" s="1" t="s">
        <v>143</v>
      </c>
      <c r="Z46" s="1" t="s">
        <v>208</v>
      </c>
      <c r="AA46" s="1" t="str">
        <f>IF(B46="", "", "metagenome")</f>
        <v>metagenome</v>
      </c>
      <c r="AB46" s="1" t="str">
        <f>IF(B46="", "", "256318")</f>
        <v>256318</v>
      </c>
      <c r="AC46" s="1" t="s">
        <v>145</v>
      </c>
      <c r="AD46" s="7" t="s">
        <v>189</v>
      </c>
    </row>
    <row r="47" spans="1:30" x14ac:dyDescent="0.2">
      <c r="A47">
        <f>IF(COUNTBLANK(B47:AD47)&lt;&gt;COLUMNS(B47:AD47),46,"")</f>
        <v>46</v>
      </c>
      <c r="B47" s="7" t="s">
        <v>158</v>
      </c>
      <c r="C47" s="1" t="s">
        <v>72</v>
      </c>
      <c r="D47" s="1" t="s">
        <v>173</v>
      </c>
      <c r="E47" s="8" t="s">
        <v>174</v>
      </c>
      <c r="F47" s="7" t="s">
        <v>158</v>
      </c>
      <c r="G47" s="1" t="s">
        <v>73</v>
      </c>
      <c r="I47" s="1" t="str">
        <f>IF(B47="", "", "meters")</f>
        <v>meters</v>
      </c>
      <c r="J47" s="1" t="str">
        <f>IF(B47="", "", "free-living")</f>
        <v>free-living</v>
      </c>
      <c r="K47" s="1" t="s">
        <v>74</v>
      </c>
      <c r="L47" s="1" t="s">
        <v>106</v>
      </c>
      <c r="M47" s="1" t="s">
        <v>215</v>
      </c>
      <c r="N47" s="1" t="s">
        <v>220</v>
      </c>
      <c r="O47" s="1" t="s">
        <v>218</v>
      </c>
      <c r="P47" s="1" t="s">
        <v>221</v>
      </c>
      <c r="Q47" s="1" t="s">
        <v>107</v>
      </c>
      <c r="R47" s="7" t="s">
        <v>190</v>
      </c>
      <c r="T47" s="1" t="str">
        <f>IF(B47="", "", "Decimal degrees")</f>
        <v>Decimal degrees</v>
      </c>
      <c r="U47" s="7" t="s">
        <v>139</v>
      </c>
      <c r="W47" s="1" t="str">
        <f>IF(B47="", "", "Decimal degrees")</f>
        <v>Decimal degrees</v>
      </c>
      <c r="X47" s="1" t="s">
        <v>142</v>
      </c>
      <c r="Y47" s="1" t="s">
        <v>143</v>
      </c>
      <c r="Z47" s="1" t="s">
        <v>208</v>
      </c>
      <c r="AA47" s="1" t="str">
        <f>IF(B47="", "", "metagenome")</f>
        <v>metagenome</v>
      </c>
      <c r="AB47" s="1" t="str">
        <f>IF(B47="", "", "256318")</f>
        <v>256318</v>
      </c>
      <c r="AC47" s="1" t="s">
        <v>145</v>
      </c>
      <c r="AD47" s="7" t="s">
        <v>190</v>
      </c>
    </row>
    <row r="48" spans="1:30" x14ac:dyDescent="0.2">
      <c r="A48">
        <f>IF(COUNTBLANK(B48:AD48)&lt;&gt;COLUMNS(B48:AD48),47,"")</f>
        <v>47</v>
      </c>
      <c r="B48" s="7" t="s">
        <v>159</v>
      </c>
      <c r="C48" s="1" t="s">
        <v>72</v>
      </c>
      <c r="D48" s="1" t="s">
        <v>173</v>
      </c>
      <c r="E48" s="8">
        <v>42197</v>
      </c>
      <c r="F48" s="7" t="s">
        <v>159</v>
      </c>
      <c r="G48" s="1" t="s">
        <v>73</v>
      </c>
      <c r="I48" s="1" t="str">
        <f>IF(B48="", "", "meters")</f>
        <v>meters</v>
      </c>
      <c r="J48" s="1" t="str">
        <f>IF(B48="", "", "free-living")</f>
        <v>free-living</v>
      </c>
      <c r="K48" s="1" t="s">
        <v>74</v>
      </c>
      <c r="L48" s="1" t="s">
        <v>106</v>
      </c>
      <c r="M48" s="1" t="s">
        <v>215</v>
      </c>
      <c r="N48" s="1" t="s">
        <v>220</v>
      </c>
      <c r="O48" s="1" t="s">
        <v>218</v>
      </c>
      <c r="P48" s="1" t="s">
        <v>221</v>
      </c>
      <c r="Q48" s="1" t="s">
        <v>107</v>
      </c>
      <c r="R48" s="7" t="s">
        <v>191</v>
      </c>
      <c r="T48" s="1" t="str">
        <f>IF(B48="", "", "Decimal degrees")</f>
        <v>Decimal degrees</v>
      </c>
      <c r="U48" s="7" t="s">
        <v>138</v>
      </c>
      <c r="W48" s="1" t="str">
        <f>IF(B48="", "", "Decimal degrees")</f>
        <v>Decimal degrees</v>
      </c>
      <c r="X48" s="1" t="s">
        <v>142</v>
      </c>
      <c r="Y48" s="1" t="s">
        <v>143</v>
      </c>
      <c r="Z48" s="1" t="s">
        <v>208</v>
      </c>
      <c r="AA48" s="1" t="str">
        <f>IF(B48="", "", "metagenome")</f>
        <v>metagenome</v>
      </c>
      <c r="AB48" s="1" t="str">
        <f>IF(B48="", "", "256318")</f>
        <v>256318</v>
      </c>
      <c r="AC48" s="1" t="s">
        <v>145</v>
      </c>
      <c r="AD48" s="7" t="s">
        <v>191</v>
      </c>
    </row>
    <row r="49" spans="1:30" x14ac:dyDescent="0.2">
      <c r="A49">
        <f>IF(COUNTBLANK(B49:AD49)&lt;&gt;COLUMNS(B49:AD49),48,"")</f>
        <v>48</v>
      </c>
      <c r="B49" s="7" t="s">
        <v>160</v>
      </c>
      <c r="C49" s="1" t="s">
        <v>72</v>
      </c>
      <c r="D49" s="1" t="s">
        <v>173</v>
      </c>
      <c r="E49" s="8">
        <v>42197</v>
      </c>
      <c r="F49" s="7" t="s">
        <v>160</v>
      </c>
      <c r="G49" s="1" t="s">
        <v>73</v>
      </c>
      <c r="I49" s="1" t="str">
        <f>IF(B49="", "", "meters")</f>
        <v>meters</v>
      </c>
      <c r="J49" s="1" t="str">
        <f>IF(B49="", "", "free-living")</f>
        <v>free-living</v>
      </c>
      <c r="K49" s="1" t="s">
        <v>74</v>
      </c>
      <c r="L49" s="1" t="s">
        <v>106</v>
      </c>
      <c r="M49" s="1" t="s">
        <v>215</v>
      </c>
      <c r="N49" s="1" t="s">
        <v>220</v>
      </c>
      <c r="O49" s="1" t="s">
        <v>218</v>
      </c>
      <c r="P49" s="1" t="s">
        <v>221</v>
      </c>
      <c r="Q49" s="1" t="s">
        <v>107</v>
      </c>
      <c r="R49" s="7" t="s">
        <v>192</v>
      </c>
      <c r="T49" s="1" t="str">
        <f>IF(B49="", "", "Decimal degrees")</f>
        <v>Decimal degrees</v>
      </c>
      <c r="U49" s="7" t="s">
        <v>138</v>
      </c>
      <c r="W49" s="1" t="str">
        <f>IF(B49="", "", "Decimal degrees")</f>
        <v>Decimal degrees</v>
      </c>
      <c r="X49" s="1" t="s">
        <v>142</v>
      </c>
      <c r="Y49" s="1" t="s">
        <v>143</v>
      </c>
      <c r="Z49" s="1" t="s">
        <v>208</v>
      </c>
      <c r="AA49" s="1" t="str">
        <f>IF(B49="", "", "metagenome")</f>
        <v>metagenome</v>
      </c>
      <c r="AB49" s="1" t="str">
        <f>IF(B49="", "", "256318")</f>
        <v>256318</v>
      </c>
      <c r="AC49" s="1" t="s">
        <v>145</v>
      </c>
      <c r="AD49" s="7" t="s">
        <v>192</v>
      </c>
    </row>
    <row r="50" spans="1:30" x14ac:dyDescent="0.2">
      <c r="A50">
        <f>IF(COUNTBLANK(B50:AD50)&lt;&gt;COLUMNS(B50:AD50),49,"")</f>
        <v>49</v>
      </c>
      <c r="B50" s="7" t="s">
        <v>161</v>
      </c>
      <c r="C50" s="1" t="s">
        <v>72</v>
      </c>
      <c r="D50" s="1" t="s">
        <v>173</v>
      </c>
      <c r="E50" s="8">
        <v>42245</v>
      </c>
      <c r="F50" s="7" t="s">
        <v>161</v>
      </c>
      <c r="G50" s="1" t="s">
        <v>73</v>
      </c>
      <c r="I50" s="1" t="str">
        <f>IF(B50="", "", "meters")</f>
        <v>meters</v>
      </c>
      <c r="J50" s="1" t="str">
        <f>IF(B50="", "", "free-living")</f>
        <v>free-living</v>
      </c>
      <c r="K50" s="1" t="s">
        <v>74</v>
      </c>
      <c r="L50" s="1" t="s">
        <v>106</v>
      </c>
      <c r="M50" s="1" t="s">
        <v>215</v>
      </c>
      <c r="N50" s="1" t="s">
        <v>220</v>
      </c>
      <c r="O50" s="1" t="s">
        <v>218</v>
      </c>
      <c r="P50" s="1" t="s">
        <v>221</v>
      </c>
      <c r="Q50" s="1" t="s">
        <v>107</v>
      </c>
      <c r="R50" s="7" t="s">
        <v>193</v>
      </c>
      <c r="T50" s="1" t="str">
        <f>IF(B50="", "", "Decimal degrees")</f>
        <v>Decimal degrees</v>
      </c>
      <c r="U50" s="7" t="s">
        <v>139</v>
      </c>
      <c r="W50" s="1" t="str">
        <f>IF(B50="", "", "Decimal degrees")</f>
        <v>Decimal degrees</v>
      </c>
      <c r="X50" s="1" t="s">
        <v>142</v>
      </c>
      <c r="Y50" s="1" t="s">
        <v>143</v>
      </c>
      <c r="Z50" s="1" t="s">
        <v>208</v>
      </c>
      <c r="AA50" s="1" t="str">
        <f>IF(B50="", "", "metagenome")</f>
        <v>metagenome</v>
      </c>
      <c r="AB50" s="1" t="str">
        <f>IF(B50="", "", "256318")</f>
        <v>256318</v>
      </c>
      <c r="AC50" s="1" t="s">
        <v>145</v>
      </c>
      <c r="AD50" s="7" t="s">
        <v>193</v>
      </c>
    </row>
    <row r="51" spans="1:30" x14ac:dyDescent="0.2">
      <c r="A51">
        <f>IF(COUNTBLANK(B51:AD51)&lt;&gt;COLUMNS(B51:AD51),50,"")</f>
        <v>50</v>
      </c>
      <c r="B51" s="7" t="s">
        <v>162</v>
      </c>
      <c r="C51" s="1" t="s">
        <v>72</v>
      </c>
      <c r="D51" s="1" t="s">
        <v>173</v>
      </c>
      <c r="E51" s="8">
        <v>42245</v>
      </c>
      <c r="F51" s="7" t="s">
        <v>162</v>
      </c>
      <c r="G51" s="1" t="s">
        <v>73</v>
      </c>
      <c r="I51" s="1" t="str">
        <f>IF(B51="", "", "meters")</f>
        <v>meters</v>
      </c>
      <c r="J51" s="1" t="str">
        <f>IF(B51="", "", "free-living")</f>
        <v>free-living</v>
      </c>
      <c r="K51" s="1" t="s">
        <v>74</v>
      </c>
      <c r="L51" s="1" t="s">
        <v>106</v>
      </c>
      <c r="M51" s="1" t="s">
        <v>215</v>
      </c>
      <c r="N51" s="1" t="s">
        <v>220</v>
      </c>
      <c r="O51" s="1" t="s">
        <v>218</v>
      </c>
      <c r="P51" s="1" t="s">
        <v>221</v>
      </c>
      <c r="Q51" s="1" t="s">
        <v>107</v>
      </c>
      <c r="R51" s="7" t="s">
        <v>194</v>
      </c>
      <c r="T51" s="1" t="str">
        <f>IF(B51="", "", "Decimal degrees")</f>
        <v>Decimal degrees</v>
      </c>
      <c r="U51" s="7" t="s">
        <v>139</v>
      </c>
      <c r="W51" s="1" t="str">
        <f>IF(B51="", "", "Decimal degrees")</f>
        <v>Decimal degrees</v>
      </c>
      <c r="X51" s="1" t="s">
        <v>142</v>
      </c>
      <c r="Y51" s="1" t="s">
        <v>143</v>
      </c>
      <c r="Z51" s="1" t="s">
        <v>208</v>
      </c>
      <c r="AA51" s="1" t="str">
        <f>IF(B51="", "", "metagenome")</f>
        <v>metagenome</v>
      </c>
      <c r="AB51" s="1" t="str">
        <f>IF(B51="", "", "256318")</f>
        <v>256318</v>
      </c>
      <c r="AC51" s="1" t="s">
        <v>145</v>
      </c>
      <c r="AD51" s="7" t="s">
        <v>194</v>
      </c>
    </row>
    <row r="52" spans="1:30" x14ac:dyDescent="0.2">
      <c r="A52">
        <f>IF(COUNTBLANK(B52:AD52)&lt;&gt;COLUMNS(B52:AD52),51,"")</f>
        <v>51</v>
      </c>
      <c r="B52" s="7" t="s">
        <v>163</v>
      </c>
      <c r="C52" s="1" t="s">
        <v>72</v>
      </c>
      <c r="D52" s="1" t="s">
        <v>173</v>
      </c>
      <c r="E52" s="8">
        <v>42245</v>
      </c>
      <c r="F52" s="7" t="s">
        <v>163</v>
      </c>
      <c r="G52" s="1" t="s">
        <v>73</v>
      </c>
      <c r="I52" s="1" t="str">
        <f>IF(B52="", "", "meters")</f>
        <v>meters</v>
      </c>
      <c r="J52" s="1" t="str">
        <f>IF(B52="", "", "free-living")</f>
        <v>free-living</v>
      </c>
      <c r="K52" s="1" t="s">
        <v>74</v>
      </c>
      <c r="L52" s="1" t="s">
        <v>106</v>
      </c>
      <c r="M52" s="1" t="s">
        <v>215</v>
      </c>
      <c r="N52" s="1" t="s">
        <v>220</v>
      </c>
      <c r="O52" s="1" t="s">
        <v>218</v>
      </c>
      <c r="P52" s="1" t="s">
        <v>221</v>
      </c>
      <c r="Q52" s="1" t="s">
        <v>107</v>
      </c>
      <c r="R52" s="7" t="s">
        <v>195</v>
      </c>
      <c r="T52" s="1" t="str">
        <f>IF(B52="", "", "Decimal degrees")</f>
        <v>Decimal degrees</v>
      </c>
      <c r="U52" s="7" t="s">
        <v>139</v>
      </c>
      <c r="W52" s="1" t="str">
        <f>IF(B52="", "", "Decimal degrees")</f>
        <v>Decimal degrees</v>
      </c>
      <c r="X52" s="1" t="s">
        <v>142</v>
      </c>
      <c r="Y52" s="1" t="s">
        <v>143</v>
      </c>
      <c r="Z52" s="1" t="s">
        <v>208</v>
      </c>
      <c r="AA52" s="1" t="str">
        <f>IF(B52="", "", "metagenome")</f>
        <v>metagenome</v>
      </c>
      <c r="AB52" s="1" t="str">
        <f>IF(B52="", "", "256318")</f>
        <v>256318</v>
      </c>
      <c r="AC52" s="1" t="s">
        <v>145</v>
      </c>
      <c r="AD52" s="7" t="s">
        <v>195</v>
      </c>
    </row>
    <row r="53" spans="1:30" x14ac:dyDescent="0.2">
      <c r="A53">
        <f>IF(COUNTBLANK(B53:AD53)&lt;&gt;COLUMNS(B53:AD53),52,"")</f>
        <v>52</v>
      </c>
      <c r="B53" s="7" t="s">
        <v>164</v>
      </c>
      <c r="C53" s="1" t="s">
        <v>72</v>
      </c>
      <c r="D53" s="1" t="s">
        <v>173</v>
      </c>
      <c r="E53" s="8">
        <v>42246</v>
      </c>
      <c r="F53" s="7" t="s">
        <v>164</v>
      </c>
      <c r="G53" s="1" t="s">
        <v>73</v>
      </c>
      <c r="I53" s="1" t="str">
        <f>IF(B53="", "", "meters")</f>
        <v>meters</v>
      </c>
      <c r="J53" s="1" t="str">
        <f>IF(B53="", "", "free-living")</f>
        <v>free-living</v>
      </c>
      <c r="K53" s="1" t="s">
        <v>74</v>
      </c>
      <c r="L53" s="1" t="s">
        <v>106</v>
      </c>
      <c r="M53" s="1" t="s">
        <v>215</v>
      </c>
      <c r="N53" s="1" t="s">
        <v>220</v>
      </c>
      <c r="O53" s="1" t="s">
        <v>218</v>
      </c>
      <c r="P53" s="1" t="s">
        <v>221</v>
      </c>
      <c r="Q53" s="1" t="s">
        <v>107</v>
      </c>
      <c r="R53" s="7" t="s">
        <v>196</v>
      </c>
      <c r="T53" s="1" t="str">
        <f>IF(B53="", "", "Decimal degrees")</f>
        <v>Decimal degrees</v>
      </c>
      <c r="U53" s="7" t="s">
        <v>141</v>
      </c>
      <c r="W53" s="1" t="str">
        <f>IF(B53="", "", "Decimal degrees")</f>
        <v>Decimal degrees</v>
      </c>
      <c r="X53" s="1" t="s">
        <v>142</v>
      </c>
      <c r="Y53" s="1" t="s">
        <v>143</v>
      </c>
      <c r="Z53" s="1" t="s">
        <v>208</v>
      </c>
      <c r="AA53" s="1" t="str">
        <f>IF(B53="", "", "metagenome")</f>
        <v>metagenome</v>
      </c>
      <c r="AB53" s="1" t="str">
        <f>IF(B53="", "", "256318")</f>
        <v>256318</v>
      </c>
      <c r="AC53" s="1" t="s">
        <v>145</v>
      </c>
      <c r="AD53" s="7" t="s">
        <v>196</v>
      </c>
    </row>
    <row r="54" spans="1:30" x14ac:dyDescent="0.2">
      <c r="A54">
        <f>IF(COUNTBLANK(B54:AD54)&lt;&gt;COLUMNS(B54:AD54),53,"")</f>
        <v>53</v>
      </c>
      <c r="B54" s="7" t="s">
        <v>165</v>
      </c>
      <c r="C54" s="1" t="s">
        <v>72</v>
      </c>
      <c r="D54" s="1" t="s">
        <v>173</v>
      </c>
      <c r="E54" s="8" t="s">
        <v>174</v>
      </c>
      <c r="F54" s="7" t="s">
        <v>165</v>
      </c>
      <c r="G54" s="1" t="s">
        <v>73</v>
      </c>
      <c r="I54" s="1" t="str">
        <f>IF(B54="", "", "meters")</f>
        <v>meters</v>
      </c>
      <c r="J54" s="1" t="str">
        <f>IF(B54="", "", "free-living")</f>
        <v>free-living</v>
      </c>
      <c r="K54" s="1" t="s">
        <v>74</v>
      </c>
      <c r="L54" s="1" t="s">
        <v>106</v>
      </c>
      <c r="M54" s="1" t="s">
        <v>215</v>
      </c>
      <c r="N54" s="1" t="s">
        <v>220</v>
      </c>
      <c r="O54" s="1" t="s">
        <v>218</v>
      </c>
      <c r="P54" s="1" t="s">
        <v>221</v>
      </c>
      <c r="Q54" s="1" t="s">
        <v>107</v>
      </c>
      <c r="R54" s="7" t="s">
        <v>197</v>
      </c>
      <c r="T54" s="1" t="str">
        <f>IF(B54="", "", "Decimal degrees")</f>
        <v>Decimal degrees</v>
      </c>
      <c r="U54" s="7" t="s">
        <v>141</v>
      </c>
      <c r="W54" s="1" t="str">
        <f>IF(B54="", "", "Decimal degrees")</f>
        <v>Decimal degrees</v>
      </c>
      <c r="X54" s="1" t="s">
        <v>142</v>
      </c>
      <c r="Y54" s="1" t="s">
        <v>143</v>
      </c>
      <c r="Z54" s="1" t="s">
        <v>208</v>
      </c>
      <c r="AA54" s="1" t="str">
        <f>IF(B54="", "", "metagenome")</f>
        <v>metagenome</v>
      </c>
      <c r="AB54" s="1" t="str">
        <f>IF(B54="", "", "256318")</f>
        <v>256318</v>
      </c>
      <c r="AC54" s="1" t="s">
        <v>145</v>
      </c>
      <c r="AD54" s="7" t="s">
        <v>197</v>
      </c>
    </row>
    <row r="55" spans="1:30" x14ac:dyDescent="0.2">
      <c r="A55">
        <f>IF(COUNTBLANK(B55:AD55)&lt;&gt;COLUMNS(B55:AD55),54,"")</f>
        <v>54</v>
      </c>
      <c r="B55" s="7" t="s">
        <v>166</v>
      </c>
      <c r="C55" s="1" t="s">
        <v>72</v>
      </c>
      <c r="D55" s="1" t="s">
        <v>173</v>
      </c>
      <c r="E55" s="8">
        <v>42246</v>
      </c>
      <c r="F55" s="7" t="s">
        <v>166</v>
      </c>
      <c r="G55" s="1" t="s">
        <v>73</v>
      </c>
      <c r="I55" s="1" t="str">
        <f>IF(B55="", "", "meters")</f>
        <v>meters</v>
      </c>
      <c r="J55" s="1" t="str">
        <f>IF(B55="", "", "free-living")</f>
        <v>free-living</v>
      </c>
      <c r="K55" s="1" t="s">
        <v>74</v>
      </c>
      <c r="L55" s="1" t="s">
        <v>106</v>
      </c>
      <c r="M55" s="1" t="s">
        <v>215</v>
      </c>
      <c r="N55" s="1" t="s">
        <v>220</v>
      </c>
      <c r="O55" s="1" t="s">
        <v>218</v>
      </c>
      <c r="P55" s="1" t="s">
        <v>221</v>
      </c>
      <c r="Q55" s="1" t="s">
        <v>107</v>
      </c>
      <c r="R55" s="7" t="s">
        <v>198</v>
      </c>
      <c r="T55" s="1" t="str">
        <f>IF(B55="", "", "Decimal degrees")</f>
        <v>Decimal degrees</v>
      </c>
      <c r="U55" s="7" t="s">
        <v>141</v>
      </c>
      <c r="W55" s="1" t="str">
        <f>IF(B55="", "", "Decimal degrees")</f>
        <v>Decimal degrees</v>
      </c>
      <c r="X55" s="1" t="s">
        <v>142</v>
      </c>
      <c r="Y55" s="1" t="s">
        <v>143</v>
      </c>
      <c r="Z55" s="1" t="s">
        <v>208</v>
      </c>
      <c r="AA55" s="1" t="str">
        <f>IF(B55="", "", "metagenome")</f>
        <v>metagenome</v>
      </c>
      <c r="AB55" s="1" t="str">
        <f>IF(B55="", "", "256318")</f>
        <v>256318</v>
      </c>
      <c r="AC55" s="1" t="s">
        <v>145</v>
      </c>
      <c r="AD55" s="7" t="s">
        <v>198</v>
      </c>
    </row>
    <row r="56" spans="1:30" x14ac:dyDescent="0.2">
      <c r="A56">
        <f>IF(COUNTBLANK(B56:AD56)&lt;&gt;COLUMNS(B56:AD56),55,"")</f>
        <v>55</v>
      </c>
      <c r="B56" s="7" t="s">
        <v>167</v>
      </c>
      <c r="C56" s="1" t="s">
        <v>72</v>
      </c>
      <c r="D56" s="1" t="s">
        <v>173</v>
      </c>
      <c r="E56" s="8">
        <v>42246</v>
      </c>
      <c r="F56" s="7" t="s">
        <v>167</v>
      </c>
      <c r="G56" s="1" t="s">
        <v>73</v>
      </c>
      <c r="I56" s="1" t="str">
        <f>IF(B56="", "", "meters")</f>
        <v>meters</v>
      </c>
      <c r="J56" s="1" t="str">
        <f>IF(B56="", "", "free-living")</f>
        <v>free-living</v>
      </c>
      <c r="K56" s="1" t="s">
        <v>74</v>
      </c>
      <c r="L56" s="1" t="s">
        <v>106</v>
      </c>
      <c r="M56" s="1" t="s">
        <v>215</v>
      </c>
      <c r="N56" s="1" t="s">
        <v>220</v>
      </c>
      <c r="O56" s="1" t="s">
        <v>218</v>
      </c>
      <c r="P56" s="1" t="s">
        <v>221</v>
      </c>
      <c r="Q56" s="1" t="s">
        <v>107</v>
      </c>
      <c r="R56" s="7" t="s">
        <v>199</v>
      </c>
      <c r="T56" s="1" t="str">
        <f>IF(B56="", "", "Decimal degrees")</f>
        <v>Decimal degrees</v>
      </c>
      <c r="U56" s="7" t="s">
        <v>141</v>
      </c>
      <c r="W56" s="1" t="str">
        <f>IF(B56="", "", "Decimal degrees")</f>
        <v>Decimal degrees</v>
      </c>
      <c r="X56" s="1" t="s">
        <v>142</v>
      </c>
      <c r="Y56" s="1" t="s">
        <v>143</v>
      </c>
      <c r="Z56" s="1" t="s">
        <v>208</v>
      </c>
      <c r="AA56" s="1" t="str">
        <f>IF(B56="", "", "metagenome")</f>
        <v>metagenome</v>
      </c>
      <c r="AB56" s="1" t="str">
        <f>IF(B56="", "", "256318")</f>
        <v>256318</v>
      </c>
      <c r="AC56" s="1" t="s">
        <v>145</v>
      </c>
      <c r="AD56" s="7" t="s">
        <v>199</v>
      </c>
    </row>
    <row r="57" spans="1:30" x14ac:dyDescent="0.2">
      <c r="A57">
        <f>IF(COUNTBLANK(B57:AD57)&lt;&gt;COLUMNS(B57:AD57),56,"")</f>
        <v>56</v>
      </c>
      <c r="B57" s="7" t="s">
        <v>168</v>
      </c>
      <c r="C57" s="1" t="s">
        <v>72</v>
      </c>
      <c r="D57" s="1" t="s">
        <v>173</v>
      </c>
      <c r="E57" s="8" t="s">
        <v>174</v>
      </c>
      <c r="F57" s="7" t="s">
        <v>168</v>
      </c>
      <c r="G57" s="1" t="s">
        <v>73</v>
      </c>
      <c r="I57" s="1" t="str">
        <f>IF(B57="", "", "meters")</f>
        <v>meters</v>
      </c>
      <c r="J57" s="1" t="str">
        <f>IF(B57="", "", "free-living")</f>
        <v>free-living</v>
      </c>
      <c r="K57" s="1" t="s">
        <v>74</v>
      </c>
      <c r="L57" s="1" t="s">
        <v>106</v>
      </c>
      <c r="M57" s="1" t="s">
        <v>215</v>
      </c>
      <c r="N57" s="1" t="s">
        <v>220</v>
      </c>
      <c r="O57" s="1" t="s">
        <v>218</v>
      </c>
      <c r="P57" s="1" t="s">
        <v>221</v>
      </c>
      <c r="Q57" s="1" t="s">
        <v>107</v>
      </c>
      <c r="R57" s="7" t="s">
        <v>200</v>
      </c>
      <c r="T57" s="1" t="str">
        <f>IF(B57="", "", "Decimal degrees")</f>
        <v>Decimal degrees</v>
      </c>
      <c r="U57" s="7" t="s">
        <v>141</v>
      </c>
      <c r="W57" s="1" t="str">
        <f>IF(B57="", "", "Decimal degrees")</f>
        <v>Decimal degrees</v>
      </c>
      <c r="X57" s="1" t="s">
        <v>142</v>
      </c>
      <c r="Y57" s="1" t="s">
        <v>143</v>
      </c>
      <c r="Z57" s="1" t="s">
        <v>208</v>
      </c>
      <c r="AA57" s="1" t="str">
        <f>IF(B57="", "", "metagenome")</f>
        <v>metagenome</v>
      </c>
      <c r="AB57" s="1" t="str">
        <f>IF(B57="", "", "256318")</f>
        <v>256318</v>
      </c>
      <c r="AC57" s="1" t="s">
        <v>145</v>
      </c>
      <c r="AD57" s="7" t="s">
        <v>200</v>
      </c>
    </row>
    <row r="58" spans="1:30" x14ac:dyDescent="0.2">
      <c r="A58">
        <f>IF(COUNTBLANK(B58:AD58)&lt;&gt;COLUMNS(B58:AD58),57,"")</f>
        <v>57</v>
      </c>
      <c r="B58" s="7" t="s">
        <v>169</v>
      </c>
      <c r="C58" s="1" t="s">
        <v>72</v>
      </c>
      <c r="D58" s="1" t="s">
        <v>173</v>
      </c>
      <c r="E58" s="8">
        <v>42246</v>
      </c>
      <c r="F58" s="7" t="s">
        <v>169</v>
      </c>
      <c r="G58" s="1" t="s">
        <v>73</v>
      </c>
      <c r="I58" s="1" t="str">
        <f>IF(B58="", "", "meters")</f>
        <v>meters</v>
      </c>
      <c r="J58" s="1" t="str">
        <f>IF(B58="", "", "free-living")</f>
        <v>free-living</v>
      </c>
      <c r="K58" s="1" t="s">
        <v>74</v>
      </c>
      <c r="L58" s="1" t="s">
        <v>106</v>
      </c>
      <c r="M58" s="1" t="s">
        <v>215</v>
      </c>
      <c r="N58" s="1" t="s">
        <v>220</v>
      </c>
      <c r="O58" s="1" t="s">
        <v>218</v>
      </c>
      <c r="P58" s="1" t="s">
        <v>221</v>
      </c>
      <c r="Q58" s="1" t="s">
        <v>107</v>
      </c>
      <c r="R58" s="7" t="s">
        <v>201</v>
      </c>
      <c r="T58" s="1" t="str">
        <f>IF(B58="", "", "Decimal degrees")</f>
        <v>Decimal degrees</v>
      </c>
      <c r="U58" s="7" t="s">
        <v>141</v>
      </c>
      <c r="W58" s="1" t="str">
        <f>IF(B58="", "", "Decimal degrees")</f>
        <v>Decimal degrees</v>
      </c>
      <c r="X58" s="1" t="s">
        <v>142</v>
      </c>
      <c r="Y58" s="1" t="s">
        <v>143</v>
      </c>
      <c r="Z58" s="1" t="s">
        <v>208</v>
      </c>
      <c r="AA58" s="1" t="str">
        <f>IF(B58="", "", "metagenome")</f>
        <v>metagenome</v>
      </c>
      <c r="AB58" s="1" t="str">
        <f>IF(B58="", "", "256318")</f>
        <v>256318</v>
      </c>
      <c r="AC58" s="1" t="s">
        <v>145</v>
      </c>
      <c r="AD58" s="7" t="s">
        <v>201</v>
      </c>
    </row>
    <row r="59" spans="1:30" x14ac:dyDescent="0.2">
      <c r="A59">
        <f>IF(COUNTBLANK(B59:AD59)&lt;&gt;COLUMNS(B59:AD59),58,"")</f>
        <v>58</v>
      </c>
      <c r="B59" s="7" t="s">
        <v>170</v>
      </c>
      <c r="C59" s="1" t="s">
        <v>72</v>
      </c>
      <c r="D59" s="1" t="s">
        <v>173</v>
      </c>
      <c r="E59" s="8">
        <v>42246</v>
      </c>
      <c r="F59" s="7" t="s">
        <v>170</v>
      </c>
      <c r="G59" s="1" t="s">
        <v>73</v>
      </c>
      <c r="I59" s="1" t="str">
        <f>IF(B59="", "", "meters")</f>
        <v>meters</v>
      </c>
      <c r="J59" s="1" t="str">
        <f>IF(B59="", "", "free-living")</f>
        <v>free-living</v>
      </c>
      <c r="K59" s="1" t="s">
        <v>74</v>
      </c>
      <c r="L59" s="1" t="s">
        <v>106</v>
      </c>
      <c r="M59" s="1" t="s">
        <v>215</v>
      </c>
      <c r="N59" s="1" t="s">
        <v>220</v>
      </c>
      <c r="O59" s="1" t="s">
        <v>218</v>
      </c>
      <c r="P59" s="1" t="s">
        <v>221</v>
      </c>
      <c r="Q59" s="1" t="s">
        <v>107</v>
      </c>
      <c r="R59" s="7" t="s">
        <v>202</v>
      </c>
      <c r="T59" s="1" t="str">
        <f>IF(B59="", "", "Decimal degrees")</f>
        <v>Decimal degrees</v>
      </c>
      <c r="U59" s="7" t="s">
        <v>141</v>
      </c>
      <c r="W59" s="1" t="str">
        <f>IF(B59="", "", "Decimal degrees")</f>
        <v>Decimal degrees</v>
      </c>
      <c r="X59" s="1" t="s">
        <v>142</v>
      </c>
      <c r="Y59" s="1" t="s">
        <v>143</v>
      </c>
      <c r="Z59" s="1" t="s">
        <v>208</v>
      </c>
      <c r="AA59" s="1" t="str">
        <f>IF(B59="", "", "metagenome")</f>
        <v>metagenome</v>
      </c>
      <c r="AB59" s="1" t="str">
        <f>IF(B59="", "", "256318")</f>
        <v>256318</v>
      </c>
      <c r="AC59" s="1" t="s">
        <v>145</v>
      </c>
      <c r="AD59" s="7" t="s">
        <v>202</v>
      </c>
    </row>
    <row r="60" spans="1:30" x14ac:dyDescent="0.2">
      <c r="A60">
        <f>IF(COUNTBLANK(B60:AD60)&lt;&gt;COLUMNS(B60:AD60),59,"")</f>
        <v>59</v>
      </c>
      <c r="B60" s="7" t="s">
        <v>171</v>
      </c>
      <c r="C60" s="1" t="s">
        <v>72</v>
      </c>
      <c r="D60" s="1" t="s">
        <v>173</v>
      </c>
      <c r="E60" s="8">
        <v>42246</v>
      </c>
      <c r="F60" s="7" t="s">
        <v>171</v>
      </c>
      <c r="G60" s="1" t="s">
        <v>73</v>
      </c>
      <c r="I60" s="1" t="str">
        <f>IF(B60="", "", "meters")</f>
        <v>meters</v>
      </c>
      <c r="J60" s="1" t="str">
        <f>IF(B60="", "", "free-living")</f>
        <v>free-living</v>
      </c>
      <c r="K60" s="1" t="s">
        <v>74</v>
      </c>
      <c r="L60" s="1" t="s">
        <v>106</v>
      </c>
      <c r="M60" s="1" t="s">
        <v>215</v>
      </c>
      <c r="N60" s="1" t="s">
        <v>220</v>
      </c>
      <c r="O60" s="1" t="s">
        <v>218</v>
      </c>
      <c r="P60" s="1" t="s">
        <v>221</v>
      </c>
      <c r="Q60" s="1" t="s">
        <v>107</v>
      </c>
      <c r="R60" s="7" t="s">
        <v>203</v>
      </c>
      <c r="T60" s="1" t="str">
        <f>IF(B60="", "", "Decimal degrees")</f>
        <v>Decimal degrees</v>
      </c>
      <c r="U60" s="7" t="s">
        <v>141</v>
      </c>
      <c r="W60" s="1" t="str">
        <f>IF(B60="", "", "Decimal degrees")</f>
        <v>Decimal degrees</v>
      </c>
      <c r="X60" s="1" t="s">
        <v>142</v>
      </c>
      <c r="Y60" s="1" t="s">
        <v>143</v>
      </c>
      <c r="Z60" s="1" t="s">
        <v>208</v>
      </c>
      <c r="AA60" s="1" t="str">
        <f>IF(B60="", "", "metagenome")</f>
        <v>metagenome</v>
      </c>
      <c r="AB60" s="1" t="str">
        <f>IF(B60="", "", "256318")</f>
        <v>256318</v>
      </c>
      <c r="AC60" s="1" t="s">
        <v>145</v>
      </c>
      <c r="AD60" s="7" t="s">
        <v>203</v>
      </c>
    </row>
    <row r="61" spans="1:30" x14ac:dyDescent="0.2">
      <c r="A61" t="str">
        <f>IF(COUNTBLANK(B61:AD61)&lt;&gt;COLUMNS(B61:AD61),60,"")</f>
        <v/>
      </c>
    </row>
    <row r="62" spans="1:30" x14ac:dyDescent="0.2">
      <c r="A62" t="str">
        <f>IF(COUNTBLANK(B62:AD62)&lt;&gt;COLUMNS(B62:AD62),61,"")</f>
        <v/>
      </c>
      <c r="I62" s="1" t="str">
        <f t="shared" ref="I62:I65" si="0">IF(B62="", "", "meters")</f>
        <v/>
      </c>
      <c r="J62" s="1" t="str">
        <f t="shared" ref="J62:J65" si="1">IF(B62="", "", "free-living")</f>
        <v/>
      </c>
      <c r="T62" s="1" t="str">
        <f t="shared" ref="T62:T65" si="2">IF(B62="", "", "Decimal degrees")</f>
        <v/>
      </c>
      <c r="W62" s="1" t="str">
        <f t="shared" ref="W62:W65" si="3">IF(B62="", "", "Decimal degrees")</f>
        <v/>
      </c>
      <c r="AA62" s="1" t="str">
        <f t="shared" ref="AA62:AA65" si="4">IF(B62="", "", "metagenome")</f>
        <v/>
      </c>
      <c r="AB62" s="1" t="str">
        <f t="shared" ref="AB62:AB65" si="5">IF(B62="", "", "256318")</f>
        <v/>
      </c>
    </row>
    <row r="63" spans="1:30" x14ac:dyDescent="0.2">
      <c r="A63" t="str">
        <f>IF(COUNTBLANK(B63:AD63)&lt;&gt;COLUMNS(B63:AD63),62,"")</f>
        <v/>
      </c>
      <c r="I63" s="1" t="str">
        <f t="shared" si="0"/>
        <v/>
      </c>
      <c r="J63" s="1" t="str">
        <f t="shared" si="1"/>
        <v/>
      </c>
      <c r="T63" s="1" t="str">
        <f t="shared" si="2"/>
        <v/>
      </c>
      <c r="W63" s="1" t="str">
        <f t="shared" si="3"/>
        <v/>
      </c>
      <c r="AA63" s="1" t="str">
        <f t="shared" si="4"/>
        <v/>
      </c>
      <c r="AB63" s="1" t="str">
        <f t="shared" si="5"/>
        <v/>
      </c>
    </row>
    <row r="64" spans="1:30" x14ac:dyDescent="0.2">
      <c r="A64" t="str">
        <f>IF(COUNTBLANK(B64:AD64)&lt;&gt;COLUMNS(B64:AD64),63,"")</f>
        <v/>
      </c>
      <c r="I64" s="1" t="str">
        <f t="shared" si="0"/>
        <v/>
      </c>
      <c r="J64" s="1" t="str">
        <f t="shared" si="1"/>
        <v/>
      </c>
      <c r="T64" s="1" t="str">
        <f t="shared" si="2"/>
        <v/>
      </c>
      <c r="W64" s="1" t="str">
        <f t="shared" si="3"/>
        <v/>
      </c>
      <c r="AA64" s="1" t="str">
        <f t="shared" si="4"/>
        <v/>
      </c>
      <c r="AB64" s="1" t="str">
        <f t="shared" si="5"/>
        <v/>
      </c>
    </row>
    <row r="65" spans="1:28" x14ac:dyDescent="0.2">
      <c r="A65" t="str">
        <f>IF(COUNTBLANK(B65:AD65)&lt;&gt;COLUMNS(B65:AD65),64,"")</f>
        <v/>
      </c>
      <c r="I65" s="1" t="str">
        <f t="shared" si="0"/>
        <v/>
      </c>
      <c r="J65" s="1" t="str">
        <f t="shared" si="1"/>
        <v/>
      </c>
      <c r="T65" s="1" t="str">
        <f t="shared" si="2"/>
        <v/>
      </c>
      <c r="W65" s="1" t="str">
        <f t="shared" si="3"/>
        <v/>
      </c>
      <c r="AA65" s="1" t="str">
        <f t="shared" si="4"/>
        <v/>
      </c>
      <c r="AB65" s="1" t="str">
        <f t="shared" si="5"/>
        <v/>
      </c>
    </row>
    <row r="66" spans="1:28" x14ac:dyDescent="0.2">
      <c r="A66" t="str">
        <f>IF(COUNTBLANK(B66:AD66)&lt;&gt;COLUMNS(B66:AD66),65,"")</f>
        <v/>
      </c>
      <c r="I66" s="1" t="str">
        <f t="shared" ref="I66:I129" si="6">IF(B66="", "", "meters")</f>
        <v/>
      </c>
      <c r="J66" s="1" t="str">
        <f t="shared" ref="J66:J129" si="7">IF(B66="", "", "free-living")</f>
        <v/>
      </c>
      <c r="T66" s="1" t="str">
        <f t="shared" ref="T66:T129" si="8">IF(B66="", "", "Decimal degrees")</f>
        <v/>
      </c>
      <c r="W66" s="1" t="str">
        <f t="shared" ref="W66:W129" si="9">IF(B66="", "", "Decimal degrees")</f>
        <v/>
      </c>
      <c r="AA66" s="1" t="str">
        <f t="shared" ref="AA66:AA129" si="10">IF(B66="", "", "metagenome")</f>
        <v/>
      </c>
      <c r="AB66" s="1" t="str">
        <f t="shared" ref="AB66:AB129" si="11">IF(B66="", "", "256318")</f>
        <v/>
      </c>
    </row>
    <row r="67" spans="1:28" x14ac:dyDescent="0.2">
      <c r="A67" t="str">
        <f>IF(COUNTBLANK(B67:AD67)&lt;&gt;COLUMNS(B67:AD67),66,"")</f>
        <v/>
      </c>
      <c r="I67" s="1" t="str">
        <f t="shared" si="6"/>
        <v/>
      </c>
      <c r="J67" s="1" t="str">
        <f t="shared" si="7"/>
        <v/>
      </c>
      <c r="T67" s="1" t="str">
        <f t="shared" si="8"/>
        <v/>
      </c>
      <c r="W67" s="1" t="str">
        <f t="shared" si="9"/>
        <v/>
      </c>
      <c r="AA67" s="1" t="str">
        <f t="shared" si="10"/>
        <v/>
      </c>
      <c r="AB67" s="1" t="str">
        <f t="shared" si="11"/>
        <v/>
      </c>
    </row>
    <row r="68" spans="1:28" x14ac:dyDescent="0.2">
      <c r="A68" t="str">
        <f>IF(COUNTBLANK(B68:AD68)&lt;&gt;COLUMNS(B68:AD68),67,"")</f>
        <v/>
      </c>
      <c r="I68" s="1" t="str">
        <f t="shared" si="6"/>
        <v/>
      </c>
      <c r="J68" s="1" t="str">
        <f t="shared" si="7"/>
        <v/>
      </c>
      <c r="T68" s="1" t="str">
        <f t="shared" si="8"/>
        <v/>
      </c>
      <c r="W68" s="1" t="str">
        <f t="shared" si="9"/>
        <v/>
      </c>
      <c r="AA68" s="1" t="str">
        <f t="shared" si="10"/>
        <v/>
      </c>
      <c r="AB68" s="1" t="str">
        <f t="shared" si="11"/>
        <v/>
      </c>
    </row>
    <row r="69" spans="1:28" x14ac:dyDescent="0.2">
      <c r="A69" t="str">
        <f>IF(COUNTBLANK(B69:AD69)&lt;&gt;COLUMNS(B69:AD69),68,"")</f>
        <v/>
      </c>
      <c r="I69" s="1" t="str">
        <f t="shared" si="6"/>
        <v/>
      </c>
      <c r="J69" s="1" t="str">
        <f t="shared" si="7"/>
        <v/>
      </c>
      <c r="T69" s="1" t="str">
        <f t="shared" si="8"/>
        <v/>
      </c>
      <c r="W69" s="1" t="str">
        <f t="shared" si="9"/>
        <v/>
      </c>
      <c r="AA69" s="1" t="str">
        <f t="shared" si="10"/>
        <v/>
      </c>
      <c r="AB69" s="1" t="str">
        <f t="shared" si="11"/>
        <v/>
      </c>
    </row>
    <row r="70" spans="1:28" x14ac:dyDescent="0.2">
      <c r="A70" t="str">
        <f>IF(COUNTBLANK(B70:AD70)&lt;&gt;COLUMNS(B70:AD70),69,"")</f>
        <v/>
      </c>
      <c r="I70" s="1" t="str">
        <f t="shared" si="6"/>
        <v/>
      </c>
      <c r="J70" s="1" t="str">
        <f t="shared" si="7"/>
        <v/>
      </c>
      <c r="T70" s="1" t="str">
        <f t="shared" si="8"/>
        <v/>
      </c>
      <c r="W70" s="1" t="str">
        <f t="shared" si="9"/>
        <v/>
      </c>
      <c r="AA70" s="1" t="str">
        <f t="shared" si="10"/>
        <v/>
      </c>
      <c r="AB70" s="1" t="str">
        <f t="shared" si="11"/>
        <v/>
      </c>
    </row>
    <row r="71" spans="1:28" x14ac:dyDescent="0.2">
      <c r="A71" t="str">
        <f>IF(COUNTBLANK(B71:AD71)&lt;&gt;COLUMNS(B71:AD71),70,"")</f>
        <v/>
      </c>
      <c r="I71" s="1" t="str">
        <f t="shared" si="6"/>
        <v/>
      </c>
      <c r="J71" s="1" t="str">
        <f t="shared" si="7"/>
        <v/>
      </c>
      <c r="T71" s="1" t="str">
        <f t="shared" si="8"/>
        <v/>
      </c>
      <c r="W71" s="1" t="str">
        <f t="shared" si="9"/>
        <v/>
      </c>
      <c r="AA71" s="1" t="str">
        <f t="shared" si="10"/>
        <v/>
      </c>
      <c r="AB71" s="1" t="str">
        <f t="shared" si="11"/>
        <v/>
      </c>
    </row>
    <row r="72" spans="1:28" x14ac:dyDescent="0.2">
      <c r="A72" t="str">
        <f>IF(COUNTBLANK(B72:AD72)&lt;&gt;COLUMNS(B72:AD72),71,"")</f>
        <v/>
      </c>
      <c r="I72" s="1" t="str">
        <f t="shared" si="6"/>
        <v/>
      </c>
      <c r="J72" s="1" t="str">
        <f t="shared" si="7"/>
        <v/>
      </c>
      <c r="T72" s="1" t="str">
        <f t="shared" si="8"/>
        <v/>
      </c>
      <c r="W72" s="1" t="str">
        <f t="shared" si="9"/>
        <v/>
      </c>
      <c r="AA72" s="1" t="str">
        <f t="shared" si="10"/>
        <v/>
      </c>
      <c r="AB72" s="1" t="str">
        <f t="shared" si="11"/>
        <v/>
      </c>
    </row>
    <row r="73" spans="1:28" x14ac:dyDescent="0.2">
      <c r="A73" t="str">
        <f>IF(COUNTBLANK(B73:AD73)&lt;&gt;COLUMNS(B73:AD73),72,"")</f>
        <v/>
      </c>
      <c r="I73" s="1" t="str">
        <f t="shared" si="6"/>
        <v/>
      </c>
      <c r="J73" s="1" t="str">
        <f t="shared" si="7"/>
        <v/>
      </c>
      <c r="T73" s="1" t="str">
        <f t="shared" si="8"/>
        <v/>
      </c>
      <c r="W73" s="1" t="str">
        <f t="shared" si="9"/>
        <v/>
      </c>
      <c r="AA73" s="1" t="str">
        <f t="shared" si="10"/>
        <v/>
      </c>
      <c r="AB73" s="1" t="str">
        <f t="shared" si="11"/>
        <v/>
      </c>
    </row>
    <row r="74" spans="1:28" x14ac:dyDescent="0.2">
      <c r="A74" t="str">
        <f>IF(COUNTBLANK(B74:AD74)&lt;&gt;COLUMNS(B74:AD74),73,"")</f>
        <v/>
      </c>
      <c r="I74" s="1" t="str">
        <f t="shared" si="6"/>
        <v/>
      </c>
      <c r="J74" s="1" t="str">
        <f t="shared" si="7"/>
        <v/>
      </c>
      <c r="T74" s="1" t="str">
        <f t="shared" si="8"/>
        <v/>
      </c>
      <c r="W74" s="1" t="str">
        <f t="shared" si="9"/>
        <v/>
      </c>
      <c r="AA74" s="1" t="str">
        <f t="shared" si="10"/>
        <v/>
      </c>
      <c r="AB74" s="1" t="str">
        <f t="shared" si="11"/>
        <v/>
      </c>
    </row>
    <row r="75" spans="1:28" x14ac:dyDescent="0.2">
      <c r="A75" t="str">
        <f>IF(COUNTBLANK(B75:AD75)&lt;&gt;COLUMNS(B75:AD75),74,"")</f>
        <v/>
      </c>
      <c r="I75" s="1" t="str">
        <f t="shared" si="6"/>
        <v/>
      </c>
      <c r="J75" s="1" t="str">
        <f t="shared" si="7"/>
        <v/>
      </c>
      <c r="T75" s="1" t="str">
        <f t="shared" si="8"/>
        <v/>
      </c>
      <c r="W75" s="1" t="str">
        <f t="shared" si="9"/>
        <v/>
      </c>
      <c r="AA75" s="1" t="str">
        <f t="shared" si="10"/>
        <v/>
      </c>
      <c r="AB75" s="1" t="str">
        <f t="shared" si="11"/>
        <v/>
      </c>
    </row>
    <row r="76" spans="1:28" x14ac:dyDescent="0.2">
      <c r="A76" t="str">
        <f>IF(COUNTBLANK(B76:AD76)&lt;&gt;COLUMNS(B76:AD76),75,"")</f>
        <v/>
      </c>
      <c r="I76" s="1" t="str">
        <f t="shared" si="6"/>
        <v/>
      </c>
      <c r="J76" s="1" t="str">
        <f t="shared" si="7"/>
        <v/>
      </c>
      <c r="T76" s="1" t="str">
        <f t="shared" si="8"/>
        <v/>
      </c>
      <c r="W76" s="1" t="str">
        <f t="shared" si="9"/>
        <v/>
      </c>
      <c r="AA76" s="1" t="str">
        <f t="shared" si="10"/>
        <v/>
      </c>
      <c r="AB76" s="1" t="str">
        <f t="shared" si="11"/>
        <v/>
      </c>
    </row>
    <row r="77" spans="1:28" x14ac:dyDescent="0.2">
      <c r="A77" t="str">
        <f>IF(COUNTBLANK(B77:AD77)&lt;&gt;COLUMNS(B77:AD77),76,"")</f>
        <v/>
      </c>
      <c r="I77" s="1" t="str">
        <f t="shared" si="6"/>
        <v/>
      </c>
      <c r="J77" s="1" t="str">
        <f t="shared" si="7"/>
        <v/>
      </c>
      <c r="T77" s="1" t="str">
        <f t="shared" si="8"/>
        <v/>
      </c>
      <c r="W77" s="1" t="str">
        <f t="shared" si="9"/>
        <v/>
      </c>
      <c r="AA77" s="1" t="str">
        <f t="shared" si="10"/>
        <v/>
      </c>
      <c r="AB77" s="1" t="str">
        <f t="shared" si="11"/>
        <v/>
      </c>
    </row>
    <row r="78" spans="1:28" x14ac:dyDescent="0.2">
      <c r="A78" t="str">
        <f>IF(COUNTBLANK(B78:AD78)&lt;&gt;COLUMNS(B78:AD78),77,"")</f>
        <v/>
      </c>
      <c r="I78" s="1" t="str">
        <f t="shared" si="6"/>
        <v/>
      </c>
      <c r="J78" s="1" t="str">
        <f t="shared" si="7"/>
        <v/>
      </c>
      <c r="T78" s="1" t="str">
        <f t="shared" si="8"/>
        <v/>
      </c>
      <c r="W78" s="1" t="str">
        <f t="shared" si="9"/>
        <v/>
      </c>
      <c r="AA78" s="1" t="str">
        <f t="shared" si="10"/>
        <v/>
      </c>
      <c r="AB78" s="1" t="str">
        <f t="shared" si="11"/>
        <v/>
      </c>
    </row>
    <row r="79" spans="1:28" x14ac:dyDescent="0.2">
      <c r="A79" t="str">
        <f>IF(COUNTBLANK(B79:AD79)&lt;&gt;COLUMNS(B79:AD79),78,"")</f>
        <v/>
      </c>
      <c r="I79" s="1" t="str">
        <f t="shared" si="6"/>
        <v/>
      </c>
      <c r="J79" s="1" t="str">
        <f t="shared" si="7"/>
        <v/>
      </c>
      <c r="T79" s="1" t="str">
        <f t="shared" si="8"/>
        <v/>
      </c>
      <c r="W79" s="1" t="str">
        <f t="shared" si="9"/>
        <v/>
      </c>
      <c r="AA79" s="1" t="str">
        <f t="shared" si="10"/>
        <v/>
      </c>
      <c r="AB79" s="1" t="str">
        <f t="shared" si="11"/>
        <v/>
      </c>
    </row>
    <row r="80" spans="1:28" x14ac:dyDescent="0.2">
      <c r="A80" t="str">
        <f>IF(COUNTBLANK(B80:AD80)&lt;&gt;COLUMNS(B80:AD80),79,"")</f>
        <v/>
      </c>
      <c r="I80" s="1" t="str">
        <f t="shared" si="6"/>
        <v/>
      </c>
      <c r="J80" s="1" t="str">
        <f t="shared" si="7"/>
        <v/>
      </c>
      <c r="T80" s="1" t="str">
        <f t="shared" si="8"/>
        <v/>
      </c>
      <c r="W80" s="1" t="str">
        <f t="shared" si="9"/>
        <v/>
      </c>
      <c r="AA80" s="1" t="str">
        <f t="shared" si="10"/>
        <v/>
      </c>
      <c r="AB80" s="1" t="str">
        <f t="shared" si="11"/>
        <v/>
      </c>
    </row>
    <row r="81" spans="1:28" x14ac:dyDescent="0.2">
      <c r="A81" t="str">
        <f>IF(COUNTBLANK(B81:AD81)&lt;&gt;COLUMNS(B81:AD81),80,"")</f>
        <v/>
      </c>
      <c r="I81" s="1" t="str">
        <f t="shared" si="6"/>
        <v/>
      </c>
      <c r="J81" s="1" t="str">
        <f t="shared" si="7"/>
        <v/>
      </c>
      <c r="T81" s="1" t="str">
        <f t="shared" si="8"/>
        <v/>
      </c>
      <c r="W81" s="1" t="str">
        <f t="shared" si="9"/>
        <v/>
      </c>
      <c r="AA81" s="1" t="str">
        <f t="shared" si="10"/>
        <v/>
      </c>
      <c r="AB81" s="1" t="str">
        <f t="shared" si="11"/>
        <v/>
      </c>
    </row>
    <row r="82" spans="1:28" x14ac:dyDescent="0.2">
      <c r="A82" t="str">
        <f>IF(COUNTBLANK(B82:AD82)&lt;&gt;COLUMNS(B82:AD82),81,"")</f>
        <v/>
      </c>
      <c r="I82" s="1" t="str">
        <f t="shared" si="6"/>
        <v/>
      </c>
      <c r="J82" s="1" t="str">
        <f t="shared" si="7"/>
        <v/>
      </c>
      <c r="T82" s="1" t="str">
        <f t="shared" si="8"/>
        <v/>
      </c>
      <c r="W82" s="1" t="str">
        <f t="shared" si="9"/>
        <v/>
      </c>
      <c r="AA82" s="1" t="str">
        <f t="shared" si="10"/>
        <v/>
      </c>
      <c r="AB82" s="1" t="str">
        <f t="shared" si="11"/>
        <v/>
      </c>
    </row>
    <row r="83" spans="1:28" x14ac:dyDescent="0.2">
      <c r="A83" t="str">
        <f>IF(COUNTBLANK(B83:AD83)&lt;&gt;COLUMNS(B83:AD83),82,"")</f>
        <v/>
      </c>
      <c r="I83" s="1" t="str">
        <f t="shared" si="6"/>
        <v/>
      </c>
      <c r="J83" s="1" t="str">
        <f t="shared" si="7"/>
        <v/>
      </c>
      <c r="T83" s="1" t="str">
        <f t="shared" si="8"/>
        <v/>
      </c>
      <c r="W83" s="1" t="str">
        <f t="shared" si="9"/>
        <v/>
      </c>
      <c r="AA83" s="1" t="str">
        <f t="shared" si="10"/>
        <v/>
      </c>
      <c r="AB83" s="1" t="str">
        <f t="shared" si="11"/>
        <v/>
      </c>
    </row>
    <row r="84" spans="1:28" x14ac:dyDescent="0.2">
      <c r="A84" t="str">
        <f>IF(COUNTBLANK(B84:AD84)&lt;&gt;COLUMNS(B84:AD84),83,"")</f>
        <v/>
      </c>
      <c r="I84" s="1" t="str">
        <f t="shared" si="6"/>
        <v/>
      </c>
      <c r="J84" s="1" t="str">
        <f t="shared" si="7"/>
        <v/>
      </c>
      <c r="T84" s="1" t="str">
        <f t="shared" si="8"/>
        <v/>
      </c>
      <c r="W84" s="1" t="str">
        <f t="shared" si="9"/>
        <v/>
      </c>
      <c r="AA84" s="1" t="str">
        <f t="shared" si="10"/>
        <v/>
      </c>
      <c r="AB84" s="1" t="str">
        <f t="shared" si="11"/>
        <v/>
      </c>
    </row>
    <row r="85" spans="1:28" x14ac:dyDescent="0.2">
      <c r="A85" t="str">
        <f>IF(COUNTBLANK(B85:AD85)&lt;&gt;COLUMNS(B85:AD85),84,"")</f>
        <v/>
      </c>
      <c r="I85" s="1" t="str">
        <f t="shared" si="6"/>
        <v/>
      </c>
      <c r="J85" s="1" t="str">
        <f t="shared" si="7"/>
        <v/>
      </c>
      <c r="T85" s="1" t="str">
        <f t="shared" si="8"/>
        <v/>
      </c>
      <c r="W85" s="1" t="str">
        <f t="shared" si="9"/>
        <v/>
      </c>
      <c r="AA85" s="1" t="str">
        <f t="shared" si="10"/>
        <v/>
      </c>
      <c r="AB85" s="1" t="str">
        <f t="shared" si="11"/>
        <v/>
      </c>
    </row>
    <row r="86" spans="1:28" x14ac:dyDescent="0.2">
      <c r="A86" t="str">
        <f>IF(COUNTBLANK(B86:AD86)&lt;&gt;COLUMNS(B86:AD86),85,"")</f>
        <v/>
      </c>
      <c r="I86" s="1" t="str">
        <f t="shared" si="6"/>
        <v/>
      </c>
      <c r="J86" s="1" t="str">
        <f t="shared" si="7"/>
        <v/>
      </c>
      <c r="T86" s="1" t="str">
        <f t="shared" si="8"/>
        <v/>
      </c>
      <c r="W86" s="1" t="str">
        <f t="shared" si="9"/>
        <v/>
      </c>
      <c r="AA86" s="1" t="str">
        <f t="shared" si="10"/>
        <v/>
      </c>
      <c r="AB86" s="1" t="str">
        <f t="shared" si="11"/>
        <v/>
      </c>
    </row>
    <row r="87" spans="1:28" x14ac:dyDescent="0.2">
      <c r="A87" t="str">
        <f>IF(COUNTBLANK(B87:AD87)&lt;&gt;COLUMNS(B87:AD87),86,"")</f>
        <v/>
      </c>
      <c r="I87" s="1" t="str">
        <f t="shared" si="6"/>
        <v/>
      </c>
      <c r="J87" s="1" t="str">
        <f t="shared" si="7"/>
        <v/>
      </c>
      <c r="T87" s="1" t="str">
        <f t="shared" si="8"/>
        <v/>
      </c>
      <c r="W87" s="1" t="str">
        <f t="shared" si="9"/>
        <v/>
      </c>
      <c r="AA87" s="1" t="str">
        <f t="shared" si="10"/>
        <v/>
      </c>
      <c r="AB87" s="1" t="str">
        <f t="shared" si="11"/>
        <v/>
      </c>
    </row>
    <row r="88" spans="1:28" x14ac:dyDescent="0.2">
      <c r="A88" t="str">
        <f>IF(COUNTBLANK(B88:AD88)&lt;&gt;COLUMNS(B88:AD88),87,"")</f>
        <v/>
      </c>
      <c r="I88" s="1" t="str">
        <f t="shared" si="6"/>
        <v/>
      </c>
      <c r="J88" s="1" t="str">
        <f t="shared" si="7"/>
        <v/>
      </c>
      <c r="T88" s="1" t="str">
        <f t="shared" si="8"/>
        <v/>
      </c>
      <c r="W88" s="1" t="str">
        <f t="shared" si="9"/>
        <v/>
      </c>
      <c r="AA88" s="1" t="str">
        <f t="shared" si="10"/>
        <v/>
      </c>
      <c r="AB88" s="1" t="str">
        <f t="shared" si="11"/>
        <v/>
      </c>
    </row>
    <row r="89" spans="1:28" x14ac:dyDescent="0.2">
      <c r="A89" t="str">
        <f>IF(COUNTBLANK(B89:AD89)&lt;&gt;COLUMNS(B89:AD89),88,"")</f>
        <v/>
      </c>
      <c r="I89" s="1" t="str">
        <f t="shared" si="6"/>
        <v/>
      </c>
      <c r="J89" s="1" t="str">
        <f t="shared" si="7"/>
        <v/>
      </c>
      <c r="T89" s="1" t="str">
        <f t="shared" si="8"/>
        <v/>
      </c>
      <c r="W89" s="1" t="str">
        <f t="shared" si="9"/>
        <v/>
      </c>
      <c r="AA89" s="1" t="str">
        <f t="shared" si="10"/>
        <v/>
      </c>
      <c r="AB89" s="1" t="str">
        <f t="shared" si="11"/>
        <v/>
      </c>
    </row>
    <row r="90" spans="1:28" x14ac:dyDescent="0.2">
      <c r="A90" t="str">
        <f>IF(COUNTBLANK(B90:AD90)&lt;&gt;COLUMNS(B90:AD90),89,"")</f>
        <v/>
      </c>
      <c r="I90" s="1" t="str">
        <f t="shared" si="6"/>
        <v/>
      </c>
      <c r="J90" s="1" t="str">
        <f t="shared" si="7"/>
        <v/>
      </c>
      <c r="T90" s="1" t="str">
        <f t="shared" si="8"/>
        <v/>
      </c>
      <c r="W90" s="1" t="str">
        <f t="shared" si="9"/>
        <v/>
      </c>
      <c r="AA90" s="1" t="str">
        <f t="shared" si="10"/>
        <v/>
      </c>
      <c r="AB90" s="1" t="str">
        <f t="shared" si="11"/>
        <v/>
      </c>
    </row>
    <row r="91" spans="1:28" x14ac:dyDescent="0.2">
      <c r="A91" t="str">
        <f>IF(COUNTBLANK(B91:AD91)&lt;&gt;COLUMNS(B91:AD91),90,"")</f>
        <v/>
      </c>
      <c r="I91" s="1" t="str">
        <f t="shared" si="6"/>
        <v/>
      </c>
      <c r="J91" s="1" t="str">
        <f t="shared" si="7"/>
        <v/>
      </c>
      <c r="T91" s="1" t="str">
        <f t="shared" si="8"/>
        <v/>
      </c>
      <c r="W91" s="1" t="str">
        <f t="shared" si="9"/>
        <v/>
      </c>
      <c r="AA91" s="1" t="str">
        <f t="shared" si="10"/>
        <v/>
      </c>
      <c r="AB91" s="1" t="str">
        <f t="shared" si="11"/>
        <v/>
      </c>
    </row>
    <row r="92" spans="1:28" x14ac:dyDescent="0.2">
      <c r="A92" t="str">
        <f>IF(COUNTBLANK(B92:AD92)&lt;&gt;COLUMNS(B92:AD92),91,"")</f>
        <v/>
      </c>
      <c r="I92" s="1" t="str">
        <f t="shared" si="6"/>
        <v/>
      </c>
      <c r="J92" s="1" t="str">
        <f t="shared" si="7"/>
        <v/>
      </c>
      <c r="T92" s="1" t="str">
        <f t="shared" si="8"/>
        <v/>
      </c>
      <c r="W92" s="1" t="str">
        <f t="shared" si="9"/>
        <v/>
      </c>
      <c r="AA92" s="1" t="str">
        <f t="shared" si="10"/>
        <v/>
      </c>
      <c r="AB92" s="1" t="str">
        <f t="shared" si="11"/>
        <v/>
      </c>
    </row>
    <row r="93" spans="1:28" x14ac:dyDescent="0.2">
      <c r="A93" t="str">
        <f>IF(COUNTBLANK(B93:AD93)&lt;&gt;COLUMNS(B93:AD93),92,"")</f>
        <v/>
      </c>
      <c r="I93" s="1" t="str">
        <f t="shared" si="6"/>
        <v/>
      </c>
      <c r="J93" s="1" t="str">
        <f t="shared" si="7"/>
        <v/>
      </c>
      <c r="T93" s="1" t="str">
        <f t="shared" si="8"/>
        <v/>
      </c>
      <c r="W93" s="1" t="str">
        <f t="shared" si="9"/>
        <v/>
      </c>
      <c r="AA93" s="1" t="str">
        <f t="shared" si="10"/>
        <v/>
      </c>
      <c r="AB93" s="1" t="str">
        <f t="shared" si="11"/>
        <v/>
      </c>
    </row>
    <row r="94" spans="1:28" x14ac:dyDescent="0.2">
      <c r="A94" t="str">
        <f>IF(COUNTBLANK(B94:AD94)&lt;&gt;COLUMNS(B94:AD94),93,"")</f>
        <v/>
      </c>
      <c r="I94" s="1" t="str">
        <f t="shared" si="6"/>
        <v/>
      </c>
      <c r="J94" s="1" t="str">
        <f t="shared" si="7"/>
        <v/>
      </c>
      <c r="T94" s="1" t="str">
        <f t="shared" si="8"/>
        <v/>
      </c>
      <c r="W94" s="1" t="str">
        <f t="shared" si="9"/>
        <v/>
      </c>
      <c r="AA94" s="1" t="str">
        <f t="shared" si="10"/>
        <v/>
      </c>
      <c r="AB94" s="1" t="str">
        <f t="shared" si="11"/>
        <v/>
      </c>
    </row>
    <row r="95" spans="1:28" x14ac:dyDescent="0.2">
      <c r="A95" t="str">
        <f>IF(COUNTBLANK(B95:AD95)&lt;&gt;COLUMNS(B95:AD95),94,"")</f>
        <v/>
      </c>
      <c r="I95" s="1" t="str">
        <f t="shared" si="6"/>
        <v/>
      </c>
      <c r="J95" s="1" t="str">
        <f t="shared" si="7"/>
        <v/>
      </c>
      <c r="T95" s="1" t="str">
        <f t="shared" si="8"/>
        <v/>
      </c>
      <c r="W95" s="1" t="str">
        <f t="shared" si="9"/>
        <v/>
      </c>
      <c r="AA95" s="1" t="str">
        <f t="shared" si="10"/>
        <v/>
      </c>
      <c r="AB95" s="1" t="str">
        <f t="shared" si="11"/>
        <v/>
      </c>
    </row>
    <row r="96" spans="1:28" x14ac:dyDescent="0.2">
      <c r="A96" t="str">
        <f>IF(COUNTBLANK(B96:AD96)&lt;&gt;COLUMNS(B96:AD96),95,"")</f>
        <v/>
      </c>
      <c r="I96" s="1" t="str">
        <f t="shared" si="6"/>
        <v/>
      </c>
      <c r="J96" s="1" t="str">
        <f t="shared" si="7"/>
        <v/>
      </c>
      <c r="T96" s="1" t="str">
        <f t="shared" si="8"/>
        <v/>
      </c>
      <c r="W96" s="1" t="str">
        <f t="shared" si="9"/>
        <v/>
      </c>
      <c r="AA96" s="1" t="str">
        <f t="shared" si="10"/>
        <v/>
      </c>
      <c r="AB96" s="1" t="str">
        <f t="shared" si="11"/>
        <v/>
      </c>
    </row>
    <row r="97" spans="1:28" x14ac:dyDescent="0.2">
      <c r="A97" t="str">
        <f>IF(COUNTBLANK(B97:AD97)&lt;&gt;COLUMNS(B97:AD97),96,"")</f>
        <v/>
      </c>
      <c r="I97" s="1" t="str">
        <f t="shared" si="6"/>
        <v/>
      </c>
      <c r="J97" s="1" t="str">
        <f t="shared" si="7"/>
        <v/>
      </c>
      <c r="T97" s="1" t="str">
        <f t="shared" si="8"/>
        <v/>
      </c>
      <c r="W97" s="1" t="str">
        <f t="shared" si="9"/>
        <v/>
      </c>
      <c r="AA97" s="1" t="str">
        <f t="shared" si="10"/>
        <v/>
      </c>
      <c r="AB97" s="1" t="str">
        <f t="shared" si="11"/>
        <v/>
      </c>
    </row>
    <row r="98" spans="1:28" x14ac:dyDescent="0.2">
      <c r="A98" t="str">
        <f>IF(COUNTBLANK(B98:AD98)&lt;&gt;COLUMNS(B98:AD98),97,"")</f>
        <v/>
      </c>
      <c r="I98" s="1" t="str">
        <f t="shared" si="6"/>
        <v/>
      </c>
      <c r="J98" s="1" t="str">
        <f t="shared" si="7"/>
        <v/>
      </c>
      <c r="T98" s="1" t="str">
        <f t="shared" si="8"/>
        <v/>
      </c>
      <c r="W98" s="1" t="str">
        <f t="shared" si="9"/>
        <v/>
      </c>
      <c r="AA98" s="1" t="str">
        <f t="shared" si="10"/>
        <v/>
      </c>
      <c r="AB98" s="1" t="str">
        <f t="shared" si="11"/>
        <v/>
      </c>
    </row>
    <row r="99" spans="1:28" x14ac:dyDescent="0.2">
      <c r="A99" t="str">
        <f>IF(COUNTBLANK(B99:AD99)&lt;&gt;COLUMNS(B99:AD99),98,"")</f>
        <v/>
      </c>
      <c r="I99" s="1" t="str">
        <f t="shared" si="6"/>
        <v/>
      </c>
      <c r="J99" s="1" t="str">
        <f t="shared" si="7"/>
        <v/>
      </c>
      <c r="T99" s="1" t="str">
        <f t="shared" si="8"/>
        <v/>
      </c>
      <c r="W99" s="1" t="str">
        <f t="shared" si="9"/>
        <v/>
      </c>
      <c r="AA99" s="1" t="str">
        <f t="shared" si="10"/>
        <v/>
      </c>
      <c r="AB99" s="1" t="str">
        <f t="shared" si="11"/>
        <v/>
      </c>
    </row>
    <row r="100" spans="1:28" x14ac:dyDescent="0.2">
      <c r="A100" t="str">
        <f>IF(COUNTBLANK(B100:AD100)&lt;&gt;COLUMNS(B100:AD100),99,"")</f>
        <v/>
      </c>
      <c r="I100" s="1" t="str">
        <f t="shared" si="6"/>
        <v/>
      </c>
      <c r="J100" s="1" t="str">
        <f t="shared" si="7"/>
        <v/>
      </c>
      <c r="T100" s="1" t="str">
        <f t="shared" si="8"/>
        <v/>
      </c>
      <c r="W100" s="1" t="str">
        <f t="shared" si="9"/>
        <v/>
      </c>
      <c r="AA100" s="1" t="str">
        <f t="shared" si="10"/>
        <v/>
      </c>
      <c r="AB100" s="1" t="str">
        <f t="shared" si="11"/>
        <v/>
      </c>
    </row>
    <row r="101" spans="1:28" x14ac:dyDescent="0.2">
      <c r="A101" t="str">
        <f>IF(COUNTBLANK(B101:AD101)&lt;&gt;COLUMNS(B101:AD101),100,"")</f>
        <v/>
      </c>
      <c r="I101" s="1" t="str">
        <f t="shared" si="6"/>
        <v/>
      </c>
      <c r="J101" s="1" t="str">
        <f t="shared" si="7"/>
        <v/>
      </c>
      <c r="T101" s="1" t="str">
        <f t="shared" si="8"/>
        <v/>
      </c>
      <c r="W101" s="1" t="str">
        <f t="shared" si="9"/>
        <v/>
      </c>
      <c r="AA101" s="1" t="str">
        <f t="shared" si="10"/>
        <v/>
      </c>
      <c r="AB101" s="1" t="str">
        <f t="shared" si="11"/>
        <v/>
      </c>
    </row>
    <row r="102" spans="1:28" x14ac:dyDescent="0.2">
      <c r="A102" t="str">
        <f>IF(COUNTBLANK(B102:AD102)&lt;&gt;COLUMNS(B102:AD102),101,"")</f>
        <v/>
      </c>
      <c r="I102" s="1" t="str">
        <f t="shared" si="6"/>
        <v/>
      </c>
      <c r="J102" s="1" t="str">
        <f t="shared" si="7"/>
        <v/>
      </c>
      <c r="T102" s="1" t="str">
        <f t="shared" si="8"/>
        <v/>
      </c>
      <c r="W102" s="1" t="str">
        <f t="shared" si="9"/>
        <v/>
      </c>
      <c r="AA102" s="1" t="str">
        <f t="shared" si="10"/>
        <v/>
      </c>
      <c r="AB102" s="1" t="str">
        <f t="shared" si="11"/>
        <v/>
      </c>
    </row>
    <row r="103" spans="1:28" x14ac:dyDescent="0.2">
      <c r="A103" t="str">
        <f>IF(COUNTBLANK(B103:AD103)&lt;&gt;COLUMNS(B103:AD103),102,"")</f>
        <v/>
      </c>
      <c r="I103" s="1" t="str">
        <f t="shared" si="6"/>
        <v/>
      </c>
      <c r="J103" s="1" t="str">
        <f t="shared" si="7"/>
        <v/>
      </c>
      <c r="T103" s="1" t="str">
        <f t="shared" si="8"/>
        <v/>
      </c>
      <c r="W103" s="1" t="str">
        <f t="shared" si="9"/>
        <v/>
      </c>
      <c r="AA103" s="1" t="str">
        <f t="shared" si="10"/>
        <v/>
      </c>
      <c r="AB103" s="1" t="str">
        <f t="shared" si="11"/>
        <v/>
      </c>
    </row>
    <row r="104" spans="1:28" x14ac:dyDescent="0.2">
      <c r="A104" t="str">
        <f>IF(COUNTBLANK(B104:AD104)&lt;&gt;COLUMNS(B104:AD104),103,"")</f>
        <v/>
      </c>
      <c r="I104" s="1" t="str">
        <f t="shared" si="6"/>
        <v/>
      </c>
      <c r="J104" s="1" t="str">
        <f t="shared" si="7"/>
        <v/>
      </c>
      <c r="T104" s="1" t="str">
        <f t="shared" si="8"/>
        <v/>
      </c>
      <c r="W104" s="1" t="str">
        <f t="shared" si="9"/>
        <v/>
      </c>
      <c r="AA104" s="1" t="str">
        <f t="shared" si="10"/>
        <v/>
      </c>
      <c r="AB104" s="1" t="str">
        <f t="shared" si="11"/>
        <v/>
      </c>
    </row>
    <row r="105" spans="1:28" x14ac:dyDescent="0.2">
      <c r="A105" t="str">
        <f>IF(COUNTBLANK(B105:AD105)&lt;&gt;COLUMNS(B105:AD105),104,"")</f>
        <v/>
      </c>
      <c r="I105" s="1" t="str">
        <f t="shared" si="6"/>
        <v/>
      </c>
      <c r="J105" s="1" t="str">
        <f t="shared" si="7"/>
        <v/>
      </c>
      <c r="T105" s="1" t="str">
        <f t="shared" si="8"/>
        <v/>
      </c>
      <c r="W105" s="1" t="str">
        <f t="shared" si="9"/>
        <v/>
      </c>
      <c r="AA105" s="1" t="str">
        <f t="shared" si="10"/>
        <v/>
      </c>
      <c r="AB105" s="1" t="str">
        <f t="shared" si="11"/>
        <v/>
      </c>
    </row>
    <row r="106" spans="1:28" x14ac:dyDescent="0.2">
      <c r="A106" t="str">
        <f>IF(COUNTBLANK(B106:AD106)&lt;&gt;COLUMNS(B106:AD106),105,"")</f>
        <v/>
      </c>
      <c r="I106" s="1" t="str">
        <f t="shared" si="6"/>
        <v/>
      </c>
      <c r="J106" s="1" t="str">
        <f t="shared" si="7"/>
        <v/>
      </c>
      <c r="T106" s="1" t="str">
        <f t="shared" si="8"/>
        <v/>
      </c>
      <c r="W106" s="1" t="str">
        <f t="shared" si="9"/>
        <v/>
      </c>
      <c r="AA106" s="1" t="str">
        <f t="shared" si="10"/>
        <v/>
      </c>
      <c r="AB106" s="1" t="str">
        <f t="shared" si="11"/>
        <v/>
      </c>
    </row>
    <row r="107" spans="1:28" x14ac:dyDescent="0.2">
      <c r="A107" t="str">
        <f>IF(COUNTBLANK(B107:AD107)&lt;&gt;COLUMNS(B107:AD107),106,"")</f>
        <v/>
      </c>
      <c r="I107" s="1" t="str">
        <f t="shared" si="6"/>
        <v/>
      </c>
      <c r="J107" s="1" t="str">
        <f t="shared" si="7"/>
        <v/>
      </c>
      <c r="T107" s="1" t="str">
        <f t="shared" si="8"/>
        <v/>
      </c>
      <c r="W107" s="1" t="str">
        <f t="shared" si="9"/>
        <v/>
      </c>
      <c r="AA107" s="1" t="str">
        <f t="shared" si="10"/>
        <v/>
      </c>
      <c r="AB107" s="1" t="str">
        <f t="shared" si="11"/>
        <v/>
      </c>
    </row>
    <row r="108" spans="1:28" x14ac:dyDescent="0.2">
      <c r="A108" t="str">
        <f>IF(COUNTBLANK(B108:AD108)&lt;&gt;COLUMNS(B108:AD108),107,"")</f>
        <v/>
      </c>
      <c r="I108" s="1" t="str">
        <f t="shared" si="6"/>
        <v/>
      </c>
      <c r="J108" s="1" t="str">
        <f t="shared" si="7"/>
        <v/>
      </c>
      <c r="T108" s="1" t="str">
        <f t="shared" si="8"/>
        <v/>
      </c>
      <c r="W108" s="1" t="str">
        <f t="shared" si="9"/>
        <v/>
      </c>
      <c r="AA108" s="1" t="str">
        <f t="shared" si="10"/>
        <v/>
      </c>
      <c r="AB108" s="1" t="str">
        <f t="shared" si="11"/>
        <v/>
      </c>
    </row>
    <row r="109" spans="1:28" x14ac:dyDescent="0.2">
      <c r="A109" t="str">
        <f>IF(COUNTBLANK(B109:AD109)&lt;&gt;COLUMNS(B109:AD109),108,"")</f>
        <v/>
      </c>
      <c r="I109" s="1" t="str">
        <f t="shared" si="6"/>
        <v/>
      </c>
      <c r="J109" s="1" t="str">
        <f t="shared" si="7"/>
        <v/>
      </c>
      <c r="T109" s="1" t="str">
        <f t="shared" si="8"/>
        <v/>
      </c>
      <c r="W109" s="1" t="str">
        <f t="shared" si="9"/>
        <v/>
      </c>
      <c r="AA109" s="1" t="str">
        <f t="shared" si="10"/>
        <v/>
      </c>
      <c r="AB109" s="1" t="str">
        <f t="shared" si="11"/>
        <v/>
      </c>
    </row>
    <row r="110" spans="1:28" x14ac:dyDescent="0.2">
      <c r="A110" t="str">
        <f>IF(COUNTBLANK(B110:AD110)&lt;&gt;COLUMNS(B110:AD110),109,"")</f>
        <v/>
      </c>
      <c r="I110" s="1" t="str">
        <f t="shared" si="6"/>
        <v/>
      </c>
      <c r="J110" s="1" t="str">
        <f t="shared" si="7"/>
        <v/>
      </c>
      <c r="T110" s="1" t="str">
        <f t="shared" si="8"/>
        <v/>
      </c>
      <c r="W110" s="1" t="str">
        <f t="shared" si="9"/>
        <v/>
      </c>
      <c r="AA110" s="1" t="str">
        <f t="shared" si="10"/>
        <v/>
      </c>
      <c r="AB110" s="1" t="str">
        <f t="shared" si="11"/>
        <v/>
      </c>
    </row>
    <row r="111" spans="1:28" x14ac:dyDescent="0.2">
      <c r="A111" t="str">
        <f>IF(COUNTBLANK(B111:AD111)&lt;&gt;COLUMNS(B111:AD111),110,"")</f>
        <v/>
      </c>
      <c r="I111" s="1" t="str">
        <f t="shared" si="6"/>
        <v/>
      </c>
      <c r="J111" s="1" t="str">
        <f t="shared" si="7"/>
        <v/>
      </c>
      <c r="T111" s="1" t="str">
        <f t="shared" si="8"/>
        <v/>
      </c>
      <c r="W111" s="1" t="str">
        <f t="shared" si="9"/>
        <v/>
      </c>
      <c r="AA111" s="1" t="str">
        <f t="shared" si="10"/>
        <v/>
      </c>
      <c r="AB111" s="1" t="str">
        <f t="shared" si="11"/>
        <v/>
      </c>
    </row>
    <row r="112" spans="1:28" x14ac:dyDescent="0.2">
      <c r="A112" t="str">
        <f>IF(COUNTBLANK(B112:AD112)&lt;&gt;COLUMNS(B112:AD112),111,"")</f>
        <v/>
      </c>
      <c r="I112" s="1" t="str">
        <f t="shared" si="6"/>
        <v/>
      </c>
      <c r="J112" s="1" t="str">
        <f t="shared" si="7"/>
        <v/>
      </c>
      <c r="T112" s="1" t="str">
        <f t="shared" si="8"/>
        <v/>
      </c>
      <c r="W112" s="1" t="str">
        <f t="shared" si="9"/>
        <v/>
      </c>
      <c r="AA112" s="1" t="str">
        <f t="shared" si="10"/>
        <v/>
      </c>
      <c r="AB112" s="1" t="str">
        <f t="shared" si="11"/>
        <v/>
      </c>
    </row>
    <row r="113" spans="1:28" x14ac:dyDescent="0.2">
      <c r="A113" t="str">
        <f>IF(COUNTBLANK(B113:AD113)&lt;&gt;COLUMNS(B113:AD113),112,"")</f>
        <v/>
      </c>
      <c r="I113" s="1" t="str">
        <f t="shared" si="6"/>
        <v/>
      </c>
      <c r="J113" s="1" t="str">
        <f t="shared" si="7"/>
        <v/>
      </c>
      <c r="T113" s="1" t="str">
        <f t="shared" si="8"/>
        <v/>
      </c>
      <c r="W113" s="1" t="str">
        <f t="shared" si="9"/>
        <v/>
      </c>
      <c r="AA113" s="1" t="str">
        <f t="shared" si="10"/>
        <v/>
      </c>
      <c r="AB113" s="1" t="str">
        <f t="shared" si="11"/>
        <v/>
      </c>
    </row>
    <row r="114" spans="1:28" x14ac:dyDescent="0.2">
      <c r="A114" t="str">
        <f>IF(COUNTBLANK(B114:AD114)&lt;&gt;COLUMNS(B114:AD114),113,"")</f>
        <v/>
      </c>
      <c r="I114" s="1" t="str">
        <f t="shared" si="6"/>
        <v/>
      </c>
      <c r="J114" s="1" t="str">
        <f t="shared" si="7"/>
        <v/>
      </c>
      <c r="T114" s="1" t="str">
        <f t="shared" si="8"/>
        <v/>
      </c>
      <c r="W114" s="1" t="str">
        <f t="shared" si="9"/>
        <v/>
      </c>
      <c r="AA114" s="1" t="str">
        <f t="shared" si="10"/>
        <v/>
      </c>
      <c r="AB114" s="1" t="str">
        <f t="shared" si="11"/>
        <v/>
      </c>
    </row>
    <row r="115" spans="1:28" x14ac:dyDescent="0.2">
      <c r="A115" t="str">
        <f>IF(COUNTBLANK(B115:AD115)&lt;&gt;COLUMNS(B115:AD115),114,"")</f>
        <v/>
      </c>
      <c r="I115" s="1" t="str">
        <f t="shared" si="6"/>
        <v/>
      </c>
      <c r="J115" s="1" t="str">
        <f t="shared" si="7"/>
        <v/>
      </c>
      <c r="T115" s="1" t="str">
        <f t="shared" si="8"/>
        <v/>
      </c>
      <c r="W115" s="1" t="str">
        <f t="shared" si="9"/>
        <v/>
      </c>
      <c r="AA115" s="1" t="str">
        <f t="shared" si="10"/>
        <v/>
      </c>
      <c r="AB115" s="1" t="str">
        <f t="shared" si="11"/>
        <v/>
      </c>
    </row>
    <row r="116" spans="1:28" x14ac:dyDescent="0.2">
      <c r="A116" t="str">
        <f>IF(COUNTBLANK(B116:AD116)&lt;&gt;COLUMNS(B116:AD116),115,"")</f>
        <v/>
      </c>
      <c r="I116" s="1" t="str">
        <f t="shared" si="6"/>
        <v/>
      </c>
      <c r="J116" s="1" t="str">
        <f t="shared" si="7"/>
        <v/>
      </c>
      <c r="T116" s="1" t="str">
        <f t="shared" si="8"/>
        <v/>
      </c>
      <c r="W116" s="1" t="str">
        <f t="shared" si="9"/>
        <v/>
      </c>
      <c r="AA116" s="1" t="str">
        <f t="shared" si="10"/>
        <v/>
      </c>
      <c r="AB116" s="1" t="str">
        <f t="shared" si="11"/>
        <v/>
      </c>
    </row>
    <row r="117" spans="1:28" x14ac:dyDescent="0.2">
      <c r="A117" t="str">
        <f>IF(COUNTBLANK(B117:AD117)&lt;&gt;COLUMNS(B117:AD117),116,"")</f>
        <v/>
      </c>
      <c r="I117" s="1" t="str">
        <f t="shared" si="6"/>
        <v/>
      </c>
      <c r="J117" s="1" t="str">
        <f t="shared" si="7"/>
        <v/>
      </c>
      <c r="T117" s="1" t="str">
        <f t="shared" si="8"/>
        <v/>
      </c>
      <c r="W117" s="1" t="str">
        <f t="shared" si="9"/>
        <v/>
      </c>
      <c r="AA117" s="1" t="str">
        <f t="shared" si="10"/>
        <v/>
      </c>
      <c r="AB117" s="1" t="str">
        <f t="shared" si="11"/>
        <v/>
      </c>
    </row>
    <row r="118" spans="1:28" x14ac:dyDescent="0.2">
      <c r="A118" t="str">
        <f>IF(COUNTBLANK(B118:AD118)&lt;&gt;COLUMNS(B118:AD118),117,"")</f>
        <v/>
      </c>
      <c r="I118" s="1" t="str">
        <f t="shared" si="6"/>
        <v/>
      </c>
      <c r="J118" s="1" t="str">
        <f t="shared" si="7"/>
        <v/>
      </c>
      <c r="T118" s="1" t="str">
        <f t="shared" si="8"/>
        <v/>
      </c>
      <c r="W118" s="1" t="str">
        <f t="shared" si="9"/>
        <v/>
      </c>
      <c r="AA118" s="1" t="str">
        <f t="shared" si="10"/>
        <v/>
      </c>
      <c r="AB118" s="1" t="str">
        <f t="shared" si="11"/>
        <v/>
      </c>
    </row>
    <row r="119" spans="1:28" x14ac:dyDescent="0.2">
      <c r="A119" t="str">
        <f>IF(COUNTBLANK(B119:AD119)&lt;&gt;COLUMNS(B119:AD119),118,"")</f>
        <v/>
      </c>
      <c r="I119" s="1" t="str">
        <f t="shared" si="6"/>
        <v/>
      </c>
      <c r="J119" s="1" t="str">
        <f t="shared" si="7"/>
        <v/>
      </c>
      <c r="T119" s="1" t="str">
        <f t="shared" si="8"/>
        <v/>
      </c>
      <c r="W119" s="1" t="str">
        <f t="shared" si="9"/>
        <v/>
      </c>
      <c r="AA119" s="1" t="str">
        <f t="shared" si="10"/>
        <v/>
      </c>
      <c r="AB119" s="1" t="str">
        <f t="shared" si="11"/>
        <v/>
      </c>
    </row>
    <row r="120" spans="1:28" x14ac:dyDescent="0.2">
      <c r="A120" t="str">
        <f>IF(COUNTBLANK(B120:AD120)&lt;&gt;COLUMNS(B120:AD120),119,"")</f>
        <v/>
      </c>
      <c r="I120" s="1" t="str">
        <f t="shared" si="6"/>
        <v/>
      </c>
      <c r="J120" s="1" t="str">
        <f t="shared" si="7"/>
        <v/>
      </c>
      <c r="T120" s="1" t="str">
        <f t="shared" si="8"/>
        <v/>
      </c>
      <c r="W120" s="1" t="str">
        <f t="shared" si="9"/>
        <v/>
      </c>
      <c r="AA120" s="1" t="str">
        <f t="shared" si="10"/>
        <v/>
      </c>
      <c r="AB120" s="1" t="str">
        <f t="shared" si="11"/>
        <v/>
      </c>
    </row>
    <row r="121" spans="1:28" x14ac:dyDescent="0.2">
      <c r="A121" t="str">
        <f>IF(COUNTBLANK(B121:AD121)&lt;&gt;COLUMNS(B121:AD121),120,"")</f>
        <v/>
      </c>
      <c r="I121" s="1" t="str">
        <f t="shared" si="6"/>
        <v/>
      </c>
      <c r="J121" s="1" t="str">
        <f t="shared" si="7"/>
        <v/>
      </c>
      <c r="T121" s="1" t="str">
        <f t="shared" si="8"/>
        <v/>
      </c>
      <c r="W121" s="1" t="str">
        <f t="shared" si="9"/>
        <v/>
      </c>
      <c r="AA121" s="1" t="str">
        <f t="shared" si="10"/>
        <v/>
      </c>
      <c r="AB121" s="1" t="str">
        <f t="shared" si="11"/>
        <v/>
      </c>
    </row>
    <row r="122" spans="1:28" x14ac:dyDescent="0.2">
      <c r="A122" t="str">
        <f>IF(COUNTBLANK(B122:AD122)&lt;&gt;COLUMNS(B122:AD122),121,"")</f>
        <v/>
      </c>
      <c r="I122" s="1" t="str">
        <f t="shared" si="6"/>
        <v/>
      </c>
      <c r="J122" s="1" t="str">
        <f t="shared" si="7"/>
        <v/>
      </c>
      <c r="T122" s="1" t="str">
        <f t="shared" si="8"/>
        <v/>
      </c>
      <c r="W122" s="1" t="str">
        <f t="shared" si="9"/>
        <v/>
      </c>
      <c r="AA122" s="1" t="str">
        <f t="shared" si="10"/>
        <v/>
      </c>
      <c r="AB122" s="1" t="str">
        <f t="shared" si="11"/>
        <v/>
      </c>
    </row>
    <row r="123" spans="1:28" x14ac:dyDescent="0.2">
      <c r="A123" t="str">
        <f>IF(COUNTBLANK(B123:AD123)&lt;&gt;COLUMNS(B123:AD123),122,"")</f>
        <v/>
      </c>
      <c r="I123" s="1" t="str">
        <f t="shared" si="6"/>
        <v/>
      </c>
      <c r="J123" s="1" t="str">
        <f t="shared" si="7"/>
        <v/>
      </c>
      <c r="T123" s="1" t="str">
        <f t="shared" si="8"/>
        <v/>
      </c>
      <c r="W123" s="1" t="str">
        <f t="shared" si="9"/>
        <v/>
      </c>
      <c r="AA123" s="1" t="str">
        <f t="shared" si="10"/>
        <v/>
      </c>
      <c r="AB123" s="1" t="str">
        <f t="shared" si="11"/>
        <v/>
      </c>
    </row>
    <row r="124" spans="1:28" x14ac:dyDescent="0.2">
      <c r="A124" t="str">
        <f>IF(COUNTBLANK(B124:AD124)&lt;&gt;COLUMNS(B124:AD124),123,"")</f>
        <v/>
      </c>
      <c r="I124" s="1" t="str">
        <f t="shared" si="6"/>
        <v/>
      </c>
      <c r="J124" s="1" t="str">
        <f t="shared" si="7"/>
        <v/>
      </c>
      <c r="T124" s="1" t="str">
        <f t="shared" si="8"/>
        <v/>
      </c>
      <c r="W124" s="1" t="str">
        <f t="shared" si="9"/>
        <v/>
      </c>
      <c r="AA124" s="1" t="str">
        <f t="shared" si="10"/>
        <v/>
      </c>
      <c r="AB124" s="1" t="str">
        <f t="shared" si="11"/>
        <v/>
      </c>
    </row>
    <row r="125" spans="1:28" x14ac:dyDescent="0.2">
      <c r="A125" t="str">
        <f>IF(COUNTBLANK(B125:AD125)&lt;&gt;COLUMNS(B125:AD125),124,"")</f>
        <v/>
      </c>
      <c r="I125" s="1" t="str">
        <f t="shared" si="6"/>
        <v/>
      </c>
      <c r="J125" s="1" t="str">
        <f t="shared" si="7"/>
        <v/>
      </c>
      <c r="T125" s="1" t="str">
        <f t="shared" si="8"/>
        <v/>
      </c>
      <c r="W125" s="1" t="str">
        <f t="shared" si="9"/>
        <v/>
      </c>
      <c r="AA125" s="1" t="str">
        <f t="shared" si="10"/>
        <v/>
      </c>
      <c r="AB125" s="1" t="str">
        <f t="shared" si="11"/>
        <v/>
      </c>
    </row>
    <row r="126" spans="1:28" x14ac:dyDescent="0.2">
      <c r="A126" t="str">
        <f>IF(COUNTBLANK(B126:AD126)&lt;&gt;COLUMNS(B126:AD126),125,"")</f>
        <v/>
      </c>
      <c r="I126" s="1" t="str">
        <f t="shared" si="6"/>
        <v/>
      </c>
      <c r="J126" s="1" t="str">
        <f t="shared" si="7"/>
        <v/>
      </c>
      <c r="T126" s="1" t="str">
        <f t="shared" si="8"/>
        <v/>
      </c>
      <c r="W126" s="1" t="str">
        <f t="shared" si="9"/>
        <v/>
      </c>
      <c r="AA126" s="1" t="str">
        <f t="shared" si="10"/>
        <v/>
      </c>
      <c r="AB126" s="1" t="str">
        <f t="shared" si="11"/>
        <v/>
      </c>
    </row>
    <row r="127" spans="1:28" x14ac:dyDescent="0.2">
      <c r="A127" t="str">
        <f>IF(COUNTBLANK(B127:AD127)&lt;&gt;COLUMNS(B127:AD127),126,"")</f>
        <v/>
      </c>
      <c r="I127" s="1" t="str">
        <f t="shared" si="6"/>
        <v/>
      </c>
      <c r="J127" s="1" t="str">
        <f t="shared" si="7"/>
        <v/>
      </c>
      <c r="T127" s="1" t="str">
        <f t="shared" si="8"/>
        <v/>
      </c>
      <c r="W127" s="1" t="str">
        <f t="shared" si="9"/>
        <v/>
      </c>
      <c r="AA127" s="1" t="str">
        <f t="shared" si="10"/>
        <v/>
      </c>
      <c r="AB127" s="1" t="str">
        <f t="shared" si="11"/>
        <v/>
      </c>
    </row>
    <row r="128" spans="1:28" x14ac:dyDescent="0.2">
      <c r="A128" t="str">
        <f>IF(COUNTBLANK(B128:AD128)&lt;&gt;COLUMNS(B128:AD128),127,"")</f>
        <v/>
      </c>
      <c r="I128" s="1" t="str">
        <f t="shared" si="6"/>
        <v/>
      </c>
      <c r="J128" s="1" t="str">
        <f t="shared" si="7"/>
        <v/>
      </c>
      <c r="T128" s="1" t="str">
        <f t="shared" si="8"/>
        <v/>
      </c>
      <c r="W128" s="1" t="str">
        <f t="shared" si="9"/>
        <v/>
      </c>
      <c r="AA128" s="1" t="str">
        <f t="shared" si="10"/>
        <v/>
      </c>
      <c r="AB128" s="1" t="str">
        <f t="shared" si="11"/>
        <v/>
      </c>
    </row>
    <row r="129" spans="1:28" x14ac:dyDescent="0.2">
      <c r="A129" t="str">
        <f>IF(COUNTBLANK(B129:AD129)&lt;&gt;COLUMNS(B129:AD129),128,"")</f>
        <v/>
      </c>
      <c r="I129" s="1" t="str">
        <f t="shared" si="6"/>
        <v/>
      </c>
      <c r="J129" s="1" t="str">
        <f t="shared" si="7"/>
        <v/>
      </c>
      <c r="T129" s="1" t="str">
        <f t="shared" si="8"/>
        <v/>
      </c>
      <c r="W129" s="1" t="str">
        <f t="shared" si="9"/>
        <v/>
      </c>
      <c r="AA129" s="1" t="str">
        <f t="shared" si="10"/>
        <v/>
      </c>
      <c r="AB129" s="1" t="str">
        <f t="shared" si="11"/>
        <v/>
      </c>
    </row>
    <row r="130" spans="1:28" x14ac:dyDescent="0.2">
      <c r="A130" t="str">
        <f>IF(COUNTBLANK(B130:AD130)&lt;&gt;COLUMNS(B130:AD130),129,"")</f>
        <v/>
      </c>
      <c r="I130" s="1" t="str">
        <f t="shared" ref="I130:I193" si="12">IF(B130="", "", "meters")</f>
        <v/>
      </c>
      <c r="J130" s="1" t="str">
        <f t="shared" ref="J130:J193" si="13">IF(B130="", "", "free-living")</f>
        <v/>
      </c>
      <c r="T130" s="1" t="str">
        <f t="shared" ref="T130:T193" si="14">IF(B130="", "", "Decimal degrees")</f>
        <v/>
      </c>
      <c r="W130" s="1" t="str">
        <f t="shared" ref="W130:W193" si="15">IF(B130="", "", "Decimal degrees")</f>
        <v/>
      </c>
      <c r="AA130" s="1" t="str">
        <f t="shared" ref="AA130:AA193" si="16">IF(B130="", "", "metagenome")</f>
        <v/>
      </c>
      <c r="AB130" s="1" t="str">
        <f t="shared" ref="AB130:AB193" si="17">IF(B130="", "", "256318")</f>
        <v/>
      </c>
    </row>
    <row r="131" spans="1:28" x14ac:dyDescent="0.2">
      <c r="A131" t="str">
        <f>IF(COUNTBLANK(B131:AD131)&lt;&gt;COLUMNS(B131:AD131),130,"")</f>
        <v/>
      </c>
      <c r="I131" s="1" t="str">
        <f t="shared" si="12"/>
        <v/>
      </c>
      <c r="J131" s="1" t="str">
        <f t="shared" si="13"/>
        <v/>
      </c>
      <c r="T131" s="1" t="str">
        <f t="shared" si="14"/>
        <v/>
      </c>
      <c r="W131" s="1" t="str">
        <f t="shared" si="15"/>
        <v/>
      </c>
      <c r="AA131" s="1" t="str">
        <f t="shared" si="16"/>
        <v/>
      </c>
      <c r="AB131" s="1" t="str">
        <f t="shared" si="17"/>
        <v/>
      </c>
    </row>
    <row r="132" spans="1:28" x14ac:dyDescent="0.2">
      <c r="A132" t="str">
        <f>IF(COUNTBLANK(B132:AD132)&lt;&gt;COLUMNS(B132:AD132),131,"")</f>
        <v/>
      </c>
      <c r="I132" s="1" t="str">
        <f t="shared" si="12"/>
        <v/>
      </c>
      <c r="J132" s="1" t="str">
        <f t="shared" si="13"/>
        <v/>
      </c>
      <c r="T132" s="1" t="str">
        <f t="shared" si="14"/>
        <v/>
      </c>
      <c r="W132" s="1" t="str">
        <f t="shared" si="15"/>
        <v/>
      </c>
      <c r="AA132" s="1" t="str">
        <f t="shared" si="16"/>
        <v/>
      </c>
      <c r="AB132" s="1" t="str">
        <f t="shared" si="17"/>
        <v/>
      </c>
    </row>
    <row r="133" spans="1:28" x14ac:dyDescent="0.2">
      <c r="A133" t="str">
        <f>IF(COUNTBLANK(B133:AD133)&lt;&gt;COLUMNS(B133:AD133),132,"")</f>
        <v/>
      </c>
      <c r="I133" s="1" t="str">
        <f t="shared" si="12"/>
        <v/>
      </c>
      <c r="J133" s="1" t="str">
        <f t="shared" si="13"/>
        <v/>
      </c>
      <c r="T133" s="1" t="str">
        <f t="shared" si="14"/>
        <v/>
      </c>
      <c r="W133" s="1" t="str">
        <f t="shared" si="15"/>
        <v/>
      </c>
      <c r="AA133" s="1" t="str">
        <f t="shared" si="16"/>
        <v/>
      </c>
      <c r="AB133" s="1" t="str">
        <f t="shared" si="17"/>
        <v/>
      </c>
    </row>
    <row r="134" spans="1:28" x14ac:dyDescent="0.2">
      <c r="A134" t="str">
        <f>IF(COUNTBLANK(B134:AD134)&lt;&gt;COLUMNS(B134:AD134),133,"")</f>
        <v/>
      </c>
      <c r="I134" s="1" t="str">
        <f t="shared" si="12"/>
        <v/>
      </c>
      <c r="J134" s="1" t="str">
        <f t="shared" si="13"/>
        <v/>
      </c>
      <c r="T134" s="1" t="str">
        <f t="shared" si="14"/>
        <v/>
      </c>
      <c r="W134" s="1" t="str">
        <f t="shared" si="15"/>
        <v/>
      </c>
      <c r="AA134" s="1" t="str">
        <f t="shared" si="16"/>
        <v/>
      </c>
      <c r="AB134" s="1" t="str">
        <f t="shared" si="17"/>
        <v/>
      </c>
    </row>
    <row r="135" spans="1:28" x14ac:dyDescent="0.2">
      <c r="A135" t="str">
        <f>IF(COUNTBLANK(B135:AD135)&lt;&gt;COLUMNS(B135:AD135),134,"")</f>
        <v/>
      </c>
      <c r="I135" s="1" t="str">
        <f t="shared" si="12"/>
        <v/>
      </c>
      <c r="J135" s="1" t="str">
        <f t="shared" si="13"/>
        <v/>
      </c>
      <c r="T135" s="1" t="str">
        <f t="shared" si="14"/>
        <v/>
      </c>
      <c r="W135" s="1" t="str">
        <f t="shared" si="15"/>
        <v/>
      </c>
      <c r="AA135" s="1" t="str">
        <f t="shared" si="16"/>
        <v/>
      </c>
      <c r="AB135" s="1" t="str">
        <f t="shared" si="17"/>
        <v/>
      </c>
    </row>
    <row r="136" spans="1:28" x14ac:dyDescent="0.2">
      <c r="A136" t="str">
        <f>IF(COUNTBLANK(B136:AD136)&lt;&gt;COLUMNS(B136:AD136),135,"")</f>
        <v/>
      </c>
      <c r="I136" s="1" t="str">
        <f t="shared" si="12"/>
        <v/>
      </c>
      <c r="J136" s="1" t="str">
        <f t="shared" si="13"/>
        <v/>
      </c>
      <c r="T136" s="1" t="str">
        <f t="shared" si="14"/>
        <v/>
      </c>
      <c r="W136" s="1" t="str">
        <f t="shared" si="15"/>
        <v/>
      </c>
      <c r="AA136" s="1" t="str">
        <f t="shared" si="16"/>
        <v/>
      </c>
      <c r="AB136" s="1" t="str">
        <f t="shared" si="17"/>
        <v/>
      </c>
    </row>
    <row r="137" spans="1:28" x14ac:dyDescent="0.2">
      <c r="A137" t="str">
        <f>IF(COUNTBLANK(B137:AD137)&lt;&gt;COLUMNS(B137:AD137),136,"")</f>
        <v/>
      </c>
      <c r="I137" s="1" t="str">
        <f t="shared" si="12"/>
        <v/>
      </c>
      <c r="J137" s="1" t="str">
        <f t="shared" si="13"/>
        <v/>
      </c>
      <c r="T137" s="1" t="str">
        <f t="shared" si="14"/>
        <v/>
      </c>
      <c r="W137" s="1" t="str">
        <f t="shared" si="15"/>
        <v/>
      </c>
      <c r="AA137" s="1" t="str">
        <f t="shared" si="16"/>
        <v/>
      </c>
      <c r="AB137" s="1" t="str">
        <f t="shared" si="17"/>
        <v/>
      </c>
    </row>
    <row r="138" spans="1:28" x14ac:dyDescent="0.2">
      <c r="A138" t="str">
        <f>IF(COUNTBLANK(B138:AD138)&lt;&gt;COLUMNS(B138:AD138),137,"")</f>
        <v/>
      </c>
      <c r="I138" s="1" t="str">
        <f t="shared" si="12"/>
        <v/>
      </c>
      <c r="J138" s="1" t="str">
        <f t="shared" si="13"/>
        <v/>
      </c>
      <c r="T138" s="1" t="str">
        <f t="shared" si="14"/>
        <v/>
      </c>
      <c r="W138" s="1" t="str">
        <f t="shared" si="15"/>
        <v/>
      </c>
      <c r="AA138" s="1" t="str">
        <f t="shared" si="16"/>
        <v/>
      </c>
      <c r="AB138" s="1" t="str">
        <f t="shared" si="17"/>
        <v/>
      </c>
    </row>
    <row r="139" spans="1:28" x14ac:dyDescent="0.2">
      <c r="A139" t="str">
        <f>IF(COUNTBLANK(B139:AD139)&lt;&gt;COLUMNS(B139:AD139),138,"")</f>
        <v/>
      </c>
      <c r="I139" s="1" t="str">
        <f t="shared" si="12"/>
        <v/>
      </c>
      <c r="J139" s="1" t="str">
        <f t="shared" si="13"/>
        <v/>
      </c>
      <c r="T139" s="1" t="str">
        <f t="shared" si="14"/>
        <v/>
      </c>
      <c r="W139" s="1" t="str">
        <f t="shared" si="15"/>
        <v/>
      </c>
      <c r="AA139" s="1" t="str">
        <f t="shared" si="16"/>
        <v/>
      </c>
      <c r="AB139" s="1" t="str">
        <f t="shared" si="17"/>
        <v/>
      </c>
    </row>
    <row r="140" spans="1:28" x14ac:dyDescent="0.2">
      <c r="A140" t="str">
        <f>IF(COUNTBLANK(B140:AD140)&lt;&gt;COLUMNS(B140:AD140),139,"")</f>
        <v/>
      </c>
      <c r="I140" s="1" t="str">
        <f t="shared" si="12"/>
        <v/>
      </c>
      <c r="J140" s="1" t="str">
        <f t="shared" si="13"/>
        <v/>
      </c>
      <c r="T140" s="1" t="str">
        <f t="shared" si="14"/>
        <v/>
      </c>
      <c r="W140" s="1" t="str">
        <f t="shared" si="15"/>
        <v/>
      </c>
      <c r="AA140" s="1" t="str">
        <f t="shared" si="16"/>
        <v/>
      </c>
      <c r="AB140" s="1" t="str">
        <f t="shared" si="17"/>
        <v/>
      </c>
    </row>
    <row r="141" spans="1:28" x14ac:dyDescent="0.2">
      <c r="A141" t="str">
        <f>IF(COUNTBLANK(B141:AD141)&lt;&gt;COLUMNS(B141:AD141),140,"")</f>
        <v/>
      </c>
      <c r="I141" s="1" t="str">
        <f t="shared" si="12"/>
        <v/>
      </c>
      <c r="J141" s="1" t="str">
        <f t="shared" si="13"/>
        <v/>
      </c>
      <c r="T141" s="1" t="str">
        <f t="shared" si="14"/>
        <v/>
      </c>
      <c r="W141" s="1" t="str">
        <f t="shared" si="15"/>
        <v/>
      </c>
      <c r="AA141" s="1" t="str">
        <f t="shared" si="16"/>
        <v/>
      </c>
      <c r="AB141" s="1" t="str">
        <f t="shared" si="17"/>
        <v/>
      </c>
    </row>
    <row r="142" spans="1:28" x14ac:dyDescent="0.2">
      <c r="A142" t="str">
        <f>IF(COUNTBLANK(B142:AD142)&lt;&gt;COLUMNS(B142:AD142),141,"")</f>
        <v/>
      </c>
      <c r="I142" s="1" t="str">
        <f t="shared" si="12"/>
        <v/>
      </c>
      <c r="J142" s="1" t="str">
        <f t="shared" si="13"/>
        <v/>
      </c>
      <c r="T142" s="1" t="str">
        <f t="shared" si="14"/>
        <v/>
      </c>
      <c r="W142" s="1" t="str">
        <f t="shared" si="15"/>
        <v/>
      </c>
      <c r="AA142" s="1" t="str">
        <f t="shared" si="16"/>
        <v/>
      </c>
      <c r="AB142" s="1" t="str">
        <f t="shared" si="17"/>
        <v/>
      </c>
    </row>
    <row r="143" spans="1:28" x14ac:dyDescent="0.2">
      <c r="A143" t="str">
        <f>IF(COUNTBLANK(B143:AD143)&lt;&gt;COLUMNS(B143:AD143),142,"")</f>
        <v/>
      </c>
      <c r="I143" s="1" t="str">
        <f t="shared" si="12"/>
        <v/>
      </c>
      <c r="J143" s="1" t="str">
        <f t="shared" si="13"/>
        <v/>
      </c>
      <c r="T143" s="1" t="str">
        <f t="shared" si="14"/>
        <v/>
      </c>
      <c r="W143" s="1" t="str">
        <f t="shared" si="15"/>
        <v/>
      </c>
      <c r="AA143" s="1" t="str">
        <f t="shared" si="16"/>
        <v/>
      </c>
      <c r="AB143" s="1" t="str">
        <f t="shared" si="17"/>
        <v/>
      </c>
    </row>
    <row r="144" spans="1:28" x14ac:dyDescent="0.2">
      <c r="A144" t="str">
        <f>IF(COUNTBLANK(B144:AD144)&lt;&gt;COLUMNS(B144:AD144),143,"")</f>
        <v/>
      </c>
      <c r="I144" s="1" t="str">
        <f t="shared" si="12"/>
        <v/>
      </c>
      <c r="J144" s="1" t="str">
        <f t="shared" si="13"/>
        <v/>
      </c>
      <c r="T144" s="1" t="str">
        <f t="shared" si="14"/>
        <v/>
      </c>
      <c r="W144" s="1" t="str">
        <f t="shared" si="15"/>
        <v/>
      </c>
      <c r="AA144" s="1" t="str">
        <f t="shared" si="16"/>
        <v/>
      </c>
      <c r="AB144" s="1" t="str">
        <f t="shared" si="17"/>
        <v/>
      </c>
    </row>
    <row r="145" spans="1:28" x14ac:dyDescent="0.2">
      <c r="A145" t="str">
        <f>IF(COUNTBLANK(B145:AD145)&lt;&gt;COLUMNS(B145:AD145),144,"")</f>
        <v/>
      </c>
      <c r="I145" s="1" t="str">
        <f t="shared" si="12"/>
        <v/>
      </c>
      <c r="J145" s="1" t="str">
        <f t="shared" si="13"/>
        <v/>
      </c>
      <c r="T145" s="1" t="str">
        <f t="shared" si="14"/>
        <v/>
      </c>
      <c r="W145" s="1" t="str">
        <f t="shared" si="15"/>
        <v/>
      </c>
      <c r="AA145" s="1" t="str">
        <f t="shared" si="16"/>
        <v/>
      </c>
      <c r="AB145" s="1" t="str">
        <f t="shared" si="17"/>
        <v/>
      </c>
    </row>
    <row r="146" spans="1:28" x14ac:dyDescent="0.2">
      <c r="A146" t="str">
        <f>IF(COUNTBLANK(B146:AD146)&lt;&gt;COLUMNS(B146:AD146),145,"")</f>
        <v/>
      </c>
      <c r="I146" s="1" t="str">
        <f t="shared" si="12"/>
        <v/>
      </c>
      <c r="J146" s="1" t="str">
        <f t="shared" si="13"/>
        <v/>
      </c>
      <c r="T146" s="1" t="str">
        <f t="shared" si="14"/>
        <v/>
      </c>
      <c r="W146" s="1" t="str">
        <f t="shared" si="15"/>
        <v/>
      </c>
      <c r="AA146" s="1" t="str">
        <f t="shared" si="16"/>
        <v/>
      </c>
      <c r="AB146" s="1" t="str">
        <f t="shared" si="17"/>
        <v/>
      </c>
    </row>
    <row r="147" spans="1:28" x14ac:dyDescent="0.2">
      <c r="A147" t="str">
        <f>IF(COUNTBLANK(B147:AD147)&lt;&gt;COLUMNS(B147:AD147),146,"")</f>
        <v/>
      </c>
      <c r="I147" s="1" t="str">
        <f t="shared" si="12"/>
        <v/>
      </c>
      <c r="J147" s="1" t="str">
        <f t="shared" si="13"/>
        <v/>
      </c>
      <c r="T147" s="1" t="str">
        <f t="shared" si="14"/>
        <v/>
      </c>
      <c r="W147" s="1" t="str">
        <f t="shared" si="15"/>
        <v/>
      </c>
      <c r="AA147" s="1" t="str">
        <f t="shared" si="16"/>
        <v/>
      </c>
      <c r="AB147" s="1" t="str">
        <f t="shared" si="17"/>
        <v/>
      </c>
    </row>
    <row r="148" spans="1:28" x14ac:dyDescent="0.2">
      <c r="A148" t="str">
        <f>IF(COUNTBLANK(B148:AD148)&lt;&gt;COLUMNS(B148:AD148),147,"")</f>
        <v/>
      </c>
      <c r="I148" s="1" t="str">
        <f t="shared" si="12"/>
        <v/>
      </c>
      <c r="J148" s="1" t="str">
        <f t="shared" si="13"/>
        <v/>
      </c>
      <c r="T148" s="1" t="str">
        <f t="shared" si="14"/>
        <v/>
      </c>
      <c r="W148" s="1" t="str">
        <f t="shared" si="15"/>
        <v/>
      </c>
      <c r="AA148" s="1" t="str">
        <f t="shared" si="16"/>
        <v/>
      </c>
      <c r="AB148" s="1" t="str">
        <f t="shared" si="17"/>
        <v/>
      </c>
    </row>
    <row r="149" spans="1:28" x14ac:dyDescent="0.2">
      <c r="A149" t="str">
        <f>IF(COUNTBLANK(B149:AD149)&lt;&gt;COLUMNS(B149:AD149),148,"")</f>
        <v/>
      </c>
      <c r="I149" s="1" t="str">
        <f t="shared" si="12"/>
        <v/>
      </c>
      <c r="J149" s="1" t="str">
        <f t="shared" si="13"/>
        <v/>
      </c>
      <c r="T149" s="1" t="str">
        <f t="shared" si="14"/>
        <v/>
      </c>
      <c r="W149" s="1" t="str">
        <f t="shared" si="15"/>
        <v/>
      </c>
      <c r="AA149" s="1" t="str">
        <f t="shared" si="16"/>
        <v/>
      </c>
      <c r="AB149" s="1" t="str">
        <f t="shared" si="17"/>
        <v/>
      </c>
    </row>
    <row r="150" spans="1:28" x14ac:dyDescent="0.2">
      <c r="A150" t="str">
        <f>IF(COUNTBLANK(B150:AD150)&lt;&gt;COLUMNS(B150:AD150),149,"")</f>
        <v/>
      </c>
      <c r="I150" s="1" t="str">
        <f t="shared" si="12"/>
        <v/>
      </c>
      <c r="J150" s="1" t="str">
        <f t="shared" si="13"/>
        <v/>
      </c>
      <c r="T150" s="1" t="str">
        <f t="shared" si="14"/>
        <v/>
      </c>
      <c r="W150" s="1" t="str">
        <f t="shared" si="15"/>
        <v/>
      </c>
      <c r="AA150" s="1" t="str">
        <f t="shared" si="16"/>
        <v/>
      </c>
      <c r="AB150" s="1" t="str">
        <f t="shared" si="17"/>
        <v/>
      </c>
    </row>
    <row r="151" spans="1:28" x14ac:dyDescent="0.2">
      <c r="A151" t="str">
        <f>IF(COUNTBLANK(B151:AD151)&lt;&gt;COLUMNS(B151:AD151),150,"")</f>
        <v/>
      </c>
      <c r="I151" s="1" t="str">
        <f t="shared" si="12"/>
        <v/>
      </c>
      <c r="J151" s="1" t="str">
        <f t="shared" si="13"/>
        <v/>
      </c>
      <c r="T151" s="1" t="str">
        <f t="shared" si="14"/>
        <v/>
      </c>
      <c r="W151" s="1" t="str">
        <f t="shared" si="15"/>
        <v/>
      </c>
      <c r="AA151" s="1" t="str">
        <f t="shared" si="16"/>
        <v/>
      </c>
      <c r="AB151" s="1" t="str">
        <f t="shared" si="17"/>
        <v/>
      </c>
    </row>
    <row r="152" spans="1:28" x14ac:dyDescent="0.2">
      <c r="A152" t="str">
        <f>IF(COUNTBLANK(B152:AD152)&lt;&gt;COLUMNS(B152:AD152),151,"")</f>
        <v/>
      </c>
      <c r="I152" s="1" t="str">
        <f t="shared" si="12"/>
        <v/>
      </c>
      <c r="J152" s="1" t="str">
        <f t="shared" si="13"/>
        <v/>
      </c>
      <c r="T152" s="1" t="str">
        <f t="shared" si="14"/>
        <v/>
      </c>
      <c r="W152" s="1" t="str">
        <f t="shared" si="15"/>
        <v/>
      </c>
      <c r="AA152" s="1" t="str">
        <f t="shared" si="16"/>
        <v/>
      </c>
      <c r="AB152" s="1" t="str">
        <f t="shared" si="17"/>
        <v/>
      </c>
    </row>
    <row r="153" spans="1:28" x14ac:dyDescent="0.2">
      <c r="A153" t="str">
        <f>IF(COUNTBLANK(B153:AD153)&lt;&gt;COLUMNS(B153:AD153),152,"")</f>
        <v/>
      </c>
      <c r="I153" s="1" t="str">
        <f t="shared" si="12"/>
        <v/>
      </c>
      <c r="J153" s="1" t="str">
        <f t="shared" si="13"/>
        <v/>
      </c>
      <c r="T153" s="1" t="str">
        <f t="shared" si="14"/>
        <v/>
      </c>
      <c r="W153" s="1" t="str">
        <f t="shared" si="15"/>
        <v/>
      </c>
      <c r="AA153" s="1" t="str">
        <f t="shared" si="16"/>
        <v/>
      </c>
      <c r="AB153" s="1" t="str">
        <f t="shared" si="17"/>
        <v/>
      </c>
    </row>
    <row r="154" spans="1:28" x14ac:dyDescent="0.2">
      <c r="A154" t="str">
        <f>IF(COUNTBLANK(B154:AD154)&lt;&gt;COLUMNS(B154:AD154),153,"")</f>
        <v/>
      </c>
      <c r="I154" s="1" t="str">
        <f t="shared" si="12"/>
        <v/>
      </c>
      <c r="J154" s="1" t="str">
        <f t="shared" si="13"/>
        <v/>
      </c>
      <c r="T154" s="1" t="str">
        <f t="shared" si="14"/>
        <v/>
      </c>
      <c r="W154" s="1" t="str">
        <f t="shared" si="15"/>
        <v/>
      </c>
      <c r="AA154" s="1" t="str">
        <f t="shared" si="16"/>
        <v/>
      </c>
      <c r="AB154" s="1" t="str">
        <f t="shared" si="17"/>
        <v/>
      </c>
    </row>
    <row r="155" spans="1:28" x14ac:dyDescent="0.2">
      <c r="A155" t="str">
        <f>IF(COUNTBLANK(B155:AD155)&lt;&gt;COLUMNS(B155:AD155),154,"")</f>
        <v/>
      </c>
      <c r="I155" s="1" t="str">
        <f t="shared" si="12"/>
        <v/>
      </c>
      <c r="J155" s="1" t="str">
        <f t="shared" si="13"/>
        <v/>
      </c>
      <c r="T155" s="1" t="str">
        <f t="shared" si="14"/>
        <v/>
      </c>
      <c r="W155" s="1" t="str">
        <f t="shared" si="15"/>
        <v/>
      </c>
      <c r="AA155" s="1" t="str">
        <f t="shared" si="16"/>
        <v/>
      </c>
      <c r="AB155" s="1" t="str">
        <f t="shared" si="17"/>
        <v/>
      </c>
    </row>
    <row r="156" spans="1:28" x14ac:dyDescent="0.2">
      <c r="A156" t="str">
        <f>IF(COUNTBLANK(B156:AD156)&lt;&gt;COLUMNS(B156:AD156),155,"")</f>
        <v/>
      </c>
      <c r="I156" s="1" t="str">
        <f t="shared" si="12"/>
        <v/>
      </c>
      <c r="J156" s="1" t="str">
        <f t="shared" si="13"/>
        <v/>
      </c>
      <c r="T156" s="1" t="str">
        <f t="shared" si="14"/>
        <v/>
      </c>
      <c r="W156" s="1" t="str">
        <f t="shared" si="15"/>
        <v/>
      </c>
      <c r="AA156" s="1" t="str">
        <f t="shared" si="16"/>
        <v/>
      </c>
      <c r="AB156" s="1" t="str">
        <f t="shared" si="17"/>
        <v/>
      </c>
    </row>
    <row r="157" spans="1:28" x14ac:dyDescent="0.2">
      <c r="A157" t="str">
        <f>IF(COUNTBLANK(B157:AD157)&lt;&gt;COLUMNS(B157:AD157),156,"")</f>
        <v/>
      </c>
      <c r="I157" s="1" t="str">
        <f t="shared" si="12"/>
        <v/>
      </c>
      <c r="J157" s="1" t="str">
        <f t="shared" si="13"/>
        <v/>
      </c>
      <c r="T157" s="1" t="str">
        <f t="shared" si="14"/>
        <v/>
      </c>
      <c r="W157" s="1" t="str">
        <f t="shared" si="15"/>
        <v/>
      </c>
      <c r="AA157" s="1" t="str">
        <f t="shared" si="16"/>
        <v/>
      </c>
      <c r="AB157" s="1" t="str">
        <f t="shared" si="17"/>
        <v/>
      </c>
    </row>
    <row r="158" spans="1:28" x14ac:dyDescent="0.2">
      <c r="A158" t="str">
        <f>IF(COUNTBLANK(B158:AD158)&lt;&gt;COLUMNS(B158:AD158),157,"")</f>
        <v/>
      </c>
      <c r="I158" s="1" t="str">
        <f t="shared" si="12"/>
        <v/>
      </c>
      <c r="J158" s="1" t="str">
        <f t="shared" si="13"/>
        <v/>
      </c>
      <c r="T158" s="1" t="str">
        <f t="shared" si="14"/>
        <v/>
      </c>
      <c r="W158" s="1" t="str">
        <f t="shared" si="15"/>
        <v/>
      </c>
      <c r="AA158" s="1" t="str">
        <f t="shared" si="16"/>
        <v/>
      </c>
      <c r="AB158" s="1" t="str">
        <f t="shared" si="17"/>
        <v/>
      </c>
    </row>
    <row r="159" spans="1:28" x14ac:dyDescent="0.2">
      <c r="A159" t="str">
        <f>IF(COUNTBLANK(B159:AD159)&lt;&gt;COLUMNS(B159:AD159),158,"")</f>
        <v/>
      </c>
      <c r="I159" s="1" t="str">
        <f t="shared" si="12"/>
        <v/>
      </c>
      <c r="J159" s="1" t="str">
        <f t="shared" si="13"/>
        <v/>
      </c>
      <c r="T159" s="1" t="str">
        <f t="shared" si="14"/>
        <v/>
      </c>
      <c r="W159" s="1" t="str">
        <f t="shared" si="15"/>
        <v/>
      </c>
      <c r="AA159" s="1" t="str">
        <f t="shared" si="16"/>
        <v/>
      </c>
      <c r="AB159" s="1" t="str">
        <f t="shared" si="17"/>
        <v/>
      </c>
    </row>
    <row r="160" spans="1:28" x14ac:dyDescent="0.2">
      <c r="A160" t="str">
        <f>IF(COUNTBLANK(B160:AD160)&lt;&gt;COLUMNS(B160:AD160),159,"")</f>
        <v/>
      </c>
      <c r="I160" s="1" t="str">
        <f t="shared" si="12"/>
        <v/>
      </c>
      <c r="J160" s="1" t="str">
        <f t="shared" si="13"/>
        <v/>
      </c>
      <c r="T160" s="1" t="str">
        <f t="shared" si="14"/>
        <v/>
      </c>
      <c r="W160" s="1" t="str">
        <f t="shared" si="15"/>
        <v/>
      </c>
      <c r="AA160" s="1" t="str">
        <f t="shared" si="16"/>
        <v/>
      </c>
      <c r="AB160" s="1" t="str">
        <f t="shared" si="17"/>
        <v/>
      </c>
    </row>
    <row r="161" spans="1:28" x14ac:dyDescent="0.2">
      <c r="A161" t="str">
        <f>IF(COUNTBLANK(B161:AD161)&lt;&gt;COLUMNS(B161:AD161),160,"")</f>
        <v/>
      </c>
      <c r="I161" s="1" t="str">
        <f t="shared" si="12"/>
        <v/>
      </c>
      <c r="J161" s="1" t="str">
        <f t="shared" si="13"/>
        <v/>
      </c>
      <c r="T161" s="1" t="str">
        <f t="shared" si="14"/>
        <v/>
      </c>
      <c r="W161" s="1" t="str">
        <f t="shared" si="15"/>
        <v/>
      </c>
      <c r="AA161" s="1" t="str">
        <f t="shared" si="16"/>
        <v/>
      </c>
      <c r="AB161" s="1" t="str">
        <f t="shared" si="17"/>
        <v/>
      </c>
    </row>
    <row r="162" spans="1:28" x14ac:dyDescent="0.2">
      <c r="A162" t="str">
        <f>IF(COUNTBLANK(B162:AD162)&lt;&gt;COLUMNS(B162:AD162),161,"")</f>
        <v/>
      </c>
      <c r="I162" s="1" t="str">
        <f t="shared" si="12"/>
        <v/>
      </c>
      <c r="J162" s="1" t="str">
        <f t="shared" si="13"/>
        <v/>
      </c>
      <c r="T162" s="1" t="str">
        <f t="shared" si="14"/>
        <v/>
      </c>
      <c r="W162" s="1" t="str">
        <f t="shared" si="15"/>
        <v/>
      </c>
      <c r="AA162" s="1" t="str">
        <f t="shared" si="16"/>
        <v/>
      </c>
      <c r="AB162" s="1" t="str">
        <f t="shared" si="17"/>
        <v/>
      </c>
    </row>
    <row r="163" spans="1:28" x14ac:dyDescent="0.2">
      <c r="A163" t="str">
        <f>IF(COUNTBLANK(B163:AD163)&lt;&gt;COLUMNS(B163:AD163),162,"")</f>
        <v/>
      </c>
      <c r="I163" s="1" t="str">
        <f t="shared" si="12"/>
        <v/>
      </c>
      <c r="J163" s="1" t="str">
        <f t="shared" si="13"/>
        <v/>
      </c>
      <c r="T163" s="1" t="str">
        <f t="shared" si="14"/>
        <v/>
      </c>
      <c r="W163" s="1" t="str">
        <f t="shared" si="15"/>
        <v/>
      </c>
      <c r="AA163" s="1" t="str">
        <f t="shared" si="16"/>
        <v/>
      </c>
      <c r="AB163" s="1" t="str">
        <f t="shared" si="17"/>
        <v/>
      </c>
    </row>
    <row r="164" spans="1:28" x14ac:dyDescent="0.2">
      <c r="A164" t="str">
        <f>IF(COUNTBLANK(B164:AD164)&lt;&gt;COLUMNS(B164:AD164),163,"")</f>
        <v/>
      </c>
      <c r="I164" s="1" t="str">
        <f t="shared" si="12"/>
        <v/>
      </c>
      <c r="J164" s="1" t="str">
        <f t="shared" si="13"/>
        <v/>
      </c>
      <c r="T164" s="1" t="str">
        <f t="shared" si="14"/>
        <v/>
      </c>
      <c r="W164" s="1" t="str">
        <f t="shared" si="15"/>
        <v/>
      </c>
      <c r="AA164" s="1" t="str">
        <f t="shared" si="16"/>
        <v/>
      </c>
      <c r="AB164" s="1" t="str">
        <f t="shared" si="17"/>
        <v/>
      </c>
    </row>
    <row r="165" spans="1:28" x14ac:dyDescent="0.2">
      <c r="A165" t="str">
        <f>IF(COUNTBLANK(B165:AD165)&lt;&gt;COLUMNS(B165:AD165),164,"")</f>
        <v/>
      </c>
      <c r="I165" s="1" t="str">
        <f t="shared" si="12"/>
        <v/>
      </c>
      <c r="J165" s="1" t="str">
        <f t="shared" si="13"/>
        <v/>
      </c>
      <c r="T165" s="1" t="str">
        <f t="shared" si="14"/>
        <v/>
      </c>
      <c r="W165" s="1" t="str">
        <f t="shared" si="15"/>
        <v/>
      </c>
      <c r="AA165" s="1" t="str">
        <f t="shared" si="16"/>
        <v/>
      </c>
      <c r="AB165" s="1" t="str">
        <f t="shared" si="17"/>
        <v/>
      </c>
    </row>
    <row r="166" spans="1:28" x14ac:dyDescent="0.2">
      <c r="A166" t="str">
        <f>IF(COUNTBLANK(B166:AD166)&lt;&gt;COLUMNS(B166:AD166),165,"")</f>
        <v/>
      </c>
      <c r="I166" s="1" t="str">
        <f t="shared" si="12"/>
        <v/>
      </c>
      <c r="J166" s="1" t="str">
        <f t="shared" si="13"/>
        <v/>
      </c>
      <c r="T166" s="1" t="str">
        <f t="shared" si="14"/>
        <v/>
      </c>
      <c r="W166" s="1" t="str">
        <f t="shared" si="15"/>
        <v/>
      </c>
      <c r="AA166" s="1" t="str">
        <f t="shared" si="16"/>
        <v/>
      </c>
      <c r="AB166" s="1" t="str">
        <f t="shared" si="17"/>
        <v/>
      </c>
    </row>
    <row r="167" spans="1:28" x14ac:dyDescent="0.2">
      <c r="A167" t="str">
        <f>IF(COUNTBLANK(B167:AD167)&lt;&gt;COLUMNS(B167:AD167),166,"")</f>
        <v/>
      </c>
      <c r="I167" s="1" t="str">
        <f t="shared" si="12"/>
        <v/>
      </c>
      <c r="J167" s="1" t="str">
        <f t="shared" si="13"/>
        <v/>
      </c>
      <c r="T167" s="1" t="str">
        <f t="shared" si="14"/>
        <v/>
      </c>
      <c r="W167" s="1" t="str">
        <f t="shared" si="15"/>
        <v/>
      </c>
      <c r="AA167" s="1" t="str">
        <f t="shared" si="16"/>
        <v/>
      </c>
      <c r="AB167" s="1" t="str">
        <f t="shared" si="17"/>
        <v/>
      </c>
    </row>
    <row r="168" spans="1:28" x14ac:dyDescent="0.2">
      <c r="A168" t="str">
        <f>IF(COUNTBLANK(B168:AD168)&lt;&gt;COLUMNS(B168:AD168),167,"")</f>
        <v/>
      </c>
      <c r="I168" s="1" t="str">
        <f t="shared" si="12"/>
        <v/>
      </c>
      <c r="J168" s="1" t="str">
        <f t="shared" si="13"/>
        <v/>
      </c>
      <c r="T168" s="1" t="str">
        <f t="shared" si="14"/>
        <v/>
      </c>
      <c r="W168" s="1" t="str">
        <f t="shared" si="15"/>
        <v/>
      </c>
      <c r="AA168" s="1" t="str">
        <f t="shared" si="16"/>
        <v/>
      </c>
      <c r="AB168" s="1" t="str">
        <f t="shared" si="17"/>
        <v/>
      </c>
    </row>
    <row r="169" spans="1:28" x14ac:dyDescent="0.2">
      <c r="A169" t="str">
        <f>IF(COUNTBLANK(B169:AD169)&lt;&gt;COLUMNS(B169:AD169),168,"")</f>
        <v/>
      </c>
      <c r="I169" s="1" t="str">
        <f t="shared" si="12"/>
        <v/>
      </c>
      <c r="J169" s="1" t="str">
        <f t="shared" si="13"/>
        <v/>
      </c>
      <c r="T169" s="1" t="str">
        <f t="shared" si="14"/>
        <v/>
      </c>
      <c r="W169" s="1" t="str">
        <f t="shared" si="15"/>
        <v/>
      </c>
      <c r="AA169" s="1" t="str">
        <f t="shared" si="16"/>
        <v/>
      </c>
      <c r="AB169" s="1" t="str">
        <f t="shared" si="17"/>
        <v/>
      </c>
    </row>
    <row r="170" spans="1:28" x14ac:dyDescent="0.2">
      <c r="A170" t="str">
        <f>IF(COUNTBLANK(B170:AD170)&lt;&gt;COLUMNS(B170:AD170),169,"")</f>
        <v/>
      </c>
      <c r="I170" s="1" t="str">
        <f t="shared" si="12"/>
        <v/>
      </c>
      <c r="J170" s="1" t="str">
        <f t="shared" si="13"/>
        <v/>
      </c>
      <c r="T170" s="1" t="str">
        <f t="shared" si="14"/>
        <v/>
      </c>
      <c r="W170" s="1" t="str">
        <f t="shared" si="15"/>
        <v/>
      </c>
      <c r="AA170" s="1" t="str">
        <f t="shared" si="16"/>
        <v/>
      </c>
      <c r="AB170" s="1" t="str">
        <f t="shared" si="17"/>
        <v/>
      </c>
    </row>
    <row r="171" spans="1:28" x14ac:dyDescent="0.2">
      <c r="A171" t="str">
        <f>IF(COUNTBLANK(B171:AD171)&lt;&gt;COLUMNS(B171:AD171),170,"")</f>
        <v/>
      </c>
      <c r="I171" s="1" t="str">
        <f t="shared" si="12"/>
        <v/>
      </c>
      <c r="J171" s="1" t="str">
        <f t="shared" si="13"/>
        <v/>
      </c>
      <c r="T171" s="1" t="str">
        <f t="shared" si="14"/>
        <v/>
      </c>
      <c r="W171" s="1" t="str">
        <f t="shared" si="15"/>
        <v/>
      </c>
      <c r="AA171" s="1" t="str">
        <f t="shared" si="16"/>
        <v/>
      </c>
      <c r="AB171" s="1" t="str">
        <f t="shared" si="17"/>
        <v/>
      </c>
    </row>
    <row r="172" spans="1:28" x14ac:dyDescent="0.2">
      <c r="A172" t="str">
        <f>IF(COUNTBLANK(B172:AD172)&lt;&gt;COLUMNS(B172:AD172),171,"")</f>
        <v/>
      </c>
      <c r="I172" s="1" t="str">
        <f t="shared" si="12"/>
        <v/>
      </c>
      <c r="J172" s="1" t="str">
        <f t="shared" si="13"/>
        <v/>
      </c>
      <c r="T172" s="1" t="str">
        <f t="shared" si="14"/>
        <v/>
      </c>
      <c r="W172" s="1" t="str">
        <f t="shared" si="15"/>
        <v/>
      </c>
      <c r="AA172" s="1" t="str">
        <f t="shared" si="16"/>
        <v/>
      </c>
      <c r="AB172" s="1" t="str">
        <f t="shared" si="17"/>
        <v/>
      </c>
    </row>
    <row r="173" spans="1:28" x14ac:dyDescent="0.2">
      <c r="A173" t="str">
        <f>IF(COUNTBLANK(B173:AD173)&lt;&gt;COLUMNS(B173:AD173),172,"")</f>
        <v/>
      </c>
      <c r="I173" s="1" t="str">
        <f t="shared" si="12"/>
        <v/>
      </c>
      <c r="J173" s="1" t="str">
        <f t="shared" si="13"/>
        <v/>
      </c>
      <c r="T173" s="1" t="str">
        <f t="shared" si="14"/>
        <v/>
      </c>
      <c r="W173" s="1" t="str">
        <f t="shared" si="15"/>
        <v/>
      </c>
      <c r="AA173" s="1" t="str">
        <f t="shared" si="16"/>
        <v/>
      </c>
      <c r="AB173" s="1" t="str">
        <f t="shared" si="17"/>
        <v/>
      </c>
    </row>
    <row r="174" spans="1:28" x14ac:dyDescent="0.2">
      <c r="A174" t="str">
        <f>IF(COUNTBLANK(B174:AD174)&lt;&gt;COLUMNS(B174:AD174),173,"")</f>
        <v/>
      </c>
      <c r="I174" s="1" t="str">
        <f t="shared" si="12"/>
        <v/>
      </c>
      <c r="J174" s="1" t="str">
        <f t="shared" si="13"/>
        <v/>
      </c>
      <c r="T174" s="1" t="str">
        <f t="shared" si="14"/>
        <v/>
      </c>
      <c r="W174" s="1" t="str">
        <f t="shared" si="15"/>
        <v/>
      </c>
      <c r="AA174" s="1" t="str">
        <f t="shared" si="16"/>
        <v/>
      </c>
      <c r="AB174" s="1" t="str">
        <f t="shared" si="17"/>
        <v/>
      </c>
    </row>
    <row r="175" spans="1:28" x14ac:dyDescent="0.2">
      <c r="A175" t="str">
        <f>IF(COUNTBLANK(B175:AD175)&lt;&gt;COLUMNS(B175:AD175),174,"")</f>
        <v/>
      </c>
      <c r="I175" s="1" t="str">
        <f t="shared" si="12"/>
        <v/>
      </c>
      <c r="J175" s="1" t="str">
        <f t="shared" si="13"/>
        <v/>
      </c>
      <c r="T175" s="1" t="str">
        <f t="shared" si="14"/>
        <v/>
      </c>
      <c r="W175" s="1" t="str">
        <f t="shared" si="15"/>
        <v/>
      </c>
      <c r="AA175" s="1" t="str">
        <f t="shared" si="16"/>
        <v/>
      </c>
      <c r="AB175" s="1" t="str">
        <f t="shared" si="17"/>
        <v/>
      </c>
    </row>
    <row r="176" spans="1:28" x14ac:dyDescent="0.2">
      <c r="A176" t="str">
        <f>IF(COUNTBLANK(B176:AD176)&lt;&gt;COLUMNS(B176:AD176),175,"")</f>
        <v/>
      </c>
      <c r="I176" s="1" t="str">
        <f t="shared" si="12"/>
        <v/>
      </c>
      <c r="J176" s="1" t="str">
        <f t="shared" si="13"/>
        <v/>
      </c>
      <c r="T176" s="1" t="str">
        <f t="shared" si="14"/>
        <v/>
      </c>
      <c r="W176" s="1" t="str">
        <f t="shared" si="15"/>
        <v/>
      </c>
      <c r="AA176" s="1" t="str">
        <f t="shared" si="16"/>
        <v/>
      </c>
      <c r="AB176" s="1" t="str">
        <f t="shared" si="17"/>
        <v/>
      </c>
    </row>
    <row r="177" spans="1:28" x14ac:dyDescent="0.2">
      <c r="A177" t="str">
        <f>IF(COUNTBLANK(B177:AD177)&lt;&gt;COLUMNS(B177:AD177),176,"")</f>
        <v/>
      </c>
      <c r="I177" s="1" t="str">
        <f t="shared" si="12"/>
        <v/>
      </c>
      <c r="J177" s="1" t="str">
        <f t="shared" si="13"/>
        <v/>
      </c>
      <c r="T177" s="1" t="str">
        <f t="shared" si="14"/>
        <v/>
      </c>
      <c r="W177" s="1" t="str">
        <f t="shared" si="15"/>
        <v/>
      </c>
      <c r="AA177" s="1" t="str">
        <f t="shared" si="16"/>
        <v/>
      </c>
      <c r="AB177" s="1" t="str">
        <f t="shared" si="17"/>
        <v/>
      </c>
    </row>
    <row r="178" spans="1:28" x14ac:dyDescent="0.2">
      <c r="A178" t="str">
        <f>IF(COUNTBLANK(B178:AD178)&lt;&gt;COLUMNS(B178:AD178),177,"")</f>
        <v/>
      </c>
      <c r="I178" s="1" t="str">
        <f t="shared" si="12"/>
        <v/>
      </c>
      <c r="J178" s="1" t="str">
        <f t="shared" si="13"/>
        <v/>
      </c>
      <c r="T178" s="1" t="str">
        <f t="shared" si="14"/>
        <v/>
      </c>
      <c r="W178" s="1" t="str">
        <f t="shared" si="15"/>
        <v/>
      </c>
      <c r="AA178" s="1" t="str">
        <f t="shared" si="16"/>
        <v/>
      </c>
      <c r="AB178" s="1" t="str">
        <f t="shared" si="17"/>
        <v/>
      </c>
    </row>
    <row r="179" spans="1:28" x14ac:dyDescent="0.2">
      <c r="A179" t="str">
        <f>IF(COUNTBLANK(B179:AD179)&lt;&gt;COLUMNS(B179:AD179),178,"")</f>
        <v/>
      </c>
      <c r="I179" s="1" t="str">
        <f t="shared" si="12"/>
        <v/>
      </c>
      <c r="J179" s="1" t="str">
        <f t="shared" si="13"/>
        <v/>
      </c>
      <c r="T179" s="1" t="str">
        <f t="shared" si="14"/>
        <v/>
      </c>
      <c r="W179" s="1" t="str">
        <f t="shared" si="15"/>
        <v/>
      </c>
      <c r="AA179" s="1" t="str">
        <f t="shared" si="16"/>
        <v/>
      </c>
      <c r="AB179" s="1" t="str">
        <f t="shared" si="17"/>
        <v/>
      </c>
    </row>
    <row r="180" spans="1:28" x14ac:dyDescent="0.2">
      <c r="A180" t="str">
        <f>IF(COUNTBLANK(B180:AD180)&lt;&gt;COLUMNS(B180:AD180),179,"")</f>
        <v/>
      </c>
      <c r="I180" s="1" t="str">
        <f t="shared" si="12"/>
        <v/>
      </c>
      <c r="J180" s="1" t="str">
        <f t="shared" si="13"/>
        <v/>
      </c>
      <c r="T180" s="1" t="str">
        <f t="shared" si="14"/>
        <v/>
      </c>
      <c r="W180" s="1" t="str">
        <f t="shared" si="15"/>
        <v/>
      </c>
      <c r="AA180" s="1" t="str">
        <f t="shared" si="16"/>
        <v/>
      </c>
      <c r="AB180" s="1" t="str">
        <f t="shared" si="17"/>
        <v/>
      </c>
    </row>
    <row r="181" spans="1:28" x14ac:dyDescent="0.2">
      <c r="A181" t="str">
        <f>IF(COUNTBLANK(B181:AD181)&lt;&gt;COLUMNS(B181:AD181),180,"")</f>
        <v/>
      </c>
      <c r="I181" s="1" t="str">
        <f t="shared" si="12"/>
        <v/>
      </c>
      <c r="J181" s="1" t="str">
        <f t="shared" si="13"/>
        <v/>
      </c>
      <c r="T181" s="1" t="str">
        <f t="shared" si="14"/>
        <v/>
      </c>
      <c r="W181" s="1" t="str">
        <f t="shared" si="15"/>
        <v/>
      </c>
      <c r="AA181" s="1" t="str">
        <f t="shared" si="16"/>
        <v/>
      </c>
      <c r="AB181" s="1" t="str">
        <f t="shared" si="17"/>
        <v/>
      </c>
    </row>
    <row r="182" spans="1:28" x14ac:dyDescent="0.2">
      <c r="A182" t="str">
        <f>IF(COUNTBLANK(B182:AD182)&lt;&gt;COLUMNS(B182:AD182),181,"")</f>
        <v/>
      </c>
      <c r="I182" s="1" t="str">
        <f t="shared" si="12"/>
        <v/>
      </c>
      <c r="J182" s="1" t="str">
        <f t="shared" si="13"/>
        <v/>
      </c>
      <c r="T182" s="1" t="str">
        <f t="shared" si="14"/>
        <v/>
      </c>
      <c r="W182" s="1" t="str">
        <f t="shared" si="15"/>
        <v/>
      </c>
      <c r="AA182" s="1" t="str">
        <f t="shared" si="16"/>
        <v/>
      </c>
      <c r="AB182" s="1" t="str">
        <f t="shared" si="17"/>
        <v/>
      </c>
    </row>
    <row r="183" spans="1:28" x14ac:dyDescent="0.2">
      <c r="A183" t="str">
        <f>IF(COUNTBLANK(B183:AD183)&lt;&gt;COLUMNS(B183:AD183),182,"")</f>
        <v/>
      </c>
      <c r="I183" s="1" t="str">
        <f t="shared" si="12"/>
        <v/>
      </c>
      <c r="J183" s="1" t="str">
        <f t="shared" si="13"/>
        <v/>
      </c>
      <c r="T183" s="1" t="str">
        <f t="shared" si="14"/>
        <v/>
      </c>
      <c r="W183" s="1" t="str">
        <f t="shared" si="15"/>
        <v/>
      </c>
      <c r="AA183" s="1" t="str">
        <f t="shared" si="16"/>
        <v/>
      </c>
      <c r="AB183" s="1" t="str">
        <f t="shared" si="17"/>
        <v/>
      </c>
    </row>
    <row r="184" spans="1:28" x14ac:dyDescent="0.2">
      <c r="A184" t="str">
        <f>IF(COUNTBLANK(B184:AD184)&lt;&gt;COLUMNS(B184:AD184),183,"")</f>
        <v/>
      </c>
      <c r="I184" s="1" t="str">
        <f t="shared" si="12"/>
        <v/>
      </c>
      <c r="J184" s="1" t="str">
        <f t="shared" si="13"/>
        <v/>
      </c>
      <c r="T184" s="1" t="str">
        <f t="shared" si="14"/>
        <v/>
      </c>
      <c r="W184" s="1" t="str">
        <f t="shared" si="15"/>
        <v/>
      </c>
      <c r="AA184" s="1" t="str">
        <f t="shared" si="16"/>
        <v/>
      </c>
      <c r="AB184" s="1" t="str">
        <f t="shared" si="17"/>
        <v/>
      </c>
    </row>
    <row r="185" spans="1:28" x14ac:dyDescent="0.2">
      <c r="A185" t="str">
        <f>IF(COUNTBLANK(B185:AD185)&lt;&gt;COLUMNS(B185:AD185),184,"")</f>
        <v/>
      </c>
      <c r="I185" s="1" t="str">
        <f t="shared" si="12"/>
        <v/>
      </c>
      <c r="J185" s="1" t="str">
        <f t="shared" si="13"/>
        <v/>
      </c>
      <c r="T185" s="1" t="str">
        <f t="shared" si="14"/>
        <v/>
      </c>
      <c r="W185" s="1" t="str">
        <f t="shared" si="15"/>
        <v/>
      </c>
      <c r="AA185" s="1" t="str">
        <f t="shared" si="16"/>
        <v/>
      </c>
      <c r="AB185" s="1" t="str">
        <f t="shared" si="17"/>
        <v/>
      </c>
    </row>
    <row r="186" spans="1:28" x14ac:dyDescent="0.2">
      <c r="A186" t="str">
        <f>IF(COUNTBLANK(B186:AD186)&lt;&gt;COLUMNS(B186:AD186),185,"")</f>
        <v/>
      </c>
      <c r="I186" s="1" t="str">
        <f t="shared" si="12"/>
        <v/>
      </c>
      <c r="J186" s="1" t="str">
        <f t="shared" si="13"/>
        <v/>
      </c>
      <c r="T186" s="1" t="str">
        <f t="shared" si="14"/>
        <v/>
      </c>
      <c r="W186" s="1" t="str">
        <f t="shared" si="15"/>
        <v/>
      </c>
      <c r="AA186" s="1" t="str">
        <f t="shared" si="16"/>
        <v/>
      </c>
      <c r="AB186" s="1" t="str">
        <f t="shared" si="17"/>
        <v/>
      </c>
    </row>
    <row r="187" spans="1:28" x14ac:dyDescent="0.2">
      <c r="A187" t="str">
        <f>IF(COUNTBLANK(B187:AD187)&lt;&gt;COLUMNS(B187:AD187),186,"")</f>
        <v/>
      </c>
      <c r="I187" s="1" t="str">
        <f t="shared" si="12"/>
        <v/>
      </c>
      <c r="J187" s="1" t="str">
        <f t="shared" si="13"/>
        <v/>
      </c>
      <c r="T187" s="1" t="str">
        <f t="shared" si="14"/>
        <v/>
      </c>
      <c r="W187" s="1" t="str">
        <f t="shared" si="15"/>
        <v/>
      </c>
      <c r="AA187" s="1" t="str">
        <f t="shared" si="16"/>
        <v/>
      </c>
      <c r="AB187" s="1" t="str">
        <f t="shared" si="17"/>
        <v/>
      </c>
    </row>
    <row r="188" spans="1:28" x14ac:dyDescent="0.2">
      <c r="A188" t="str">
        <f>IF(COUNTBLANK(B188:AD188)&lt;&gt;COLUMNS(B188:AD188),187,"")</f>
        <v/>
      </c>
      <c r="I188" s="1" t="str">
        <f t="shared" si="12"/>
        <v/>
      </c>
      <c r="J188" s="1" t="str">
        <f t="shared" si="13"/>
        <v/>
      </c>
      <c r="T188" s="1" t="str">
        <f t="shared" si="14"/>
        <v/>
      </c>
      <c r="W188" s="1" t="str">
        <f t="shared" si="15"/>
        <v/>
      </c>
      <c r="AA188" s="1" t="str">
        <f t="shared" si="16"/>
        <v/>
      </c>
      <c r="AB188" s="1" t="str">
        <f t="shared" si="17"/>
        <v/>
      </c>
    </row>
    <row r="189" spans="1:28" x14ac:dyDescent="0.2">
      <c r="A189" t="str">
        <f>IF(COUNTBLANK(B189:AD189)&lt;&gt;COLUMNS(B189:AD189),188,"")</f>
        <v/>
      </c>
      <c r="I189" s="1" t="str">
        <f t="shared" si="12"/>
        <v/>
      </c>
      <c r="J189" s="1" t="str">
        <f t="shared" si="13"/>
        <v/>
      </c>
      <c r="T189" s="1" t="str">
        <f t="shared" si="14"/>
        <v/>
      </c>
      <c r="W189" s="1" t="str">
        <f t="shared" si="15"/>
        <v/>
      </c>
      <c r="AA189" s="1" t="str">
        <f t="shared" si="16"/>
        <v/>
      </c>
      <c r="AB189" s="1" t="str">
        <f t="shared" si="17"/>
        <v/>
      </c>
    </row>
    <row r="190" spans="1:28" x14ac:dyDescent="0.2">
      <c r="A190" t="str">
        <f>IF(COUNTBLANK(B190:AD190)&lt;&gt;COLUMNS(B190:AD190),189,"")</f>
        <v/>
      </c>
      <c r="I190" s="1" t="str">
        <f t="shared" si="12"/>
        <v/>
      </c>
      <c r="J190" s="1" t="str">
        <f t="shared" si="13"/>
        <v/>
      </c>
      <c r="T190" s="1" t="str">
        <f t="shared" si="14"/>
        <v/>
      </c>
      <c r="W190" s="1" t="str">
        <f t="shared" si="15"/>
        <v/>
      </c>
      <c r="AA190" s="1" t="str">
        <f t="shared" si="16"/>
        <v/>
      </c>
      <c r="AB190" s="1" t="str">
        <f t="shared" si="17"/>
        <v/>
      </c>
    </row>
    <row r="191" spans="1:28" x14ac:dyDescent="0.2">
      <c r="A191" t="str">
        <f>IF(COUNTBLANK(B191:AD191)&lt;&gt;COLUMNS(B191:AD191),190,"")</f>
        <v/>
      </c>
      <c r="I191" s="1" t="str">
        <f t="shared" si="12"/>
        <v/>
      </c>
      <c r="J191" s="1" t="str">
        <f t="shared" si="13"/>
        <v/>
      </c>
      <c r="T191" s="1" t="str">
        <f t="shared" si="14"/>
        <v/>
      </c>
      <c r="W191" s="1" t="str">
        <f t="shared" si="15"/>
        <v/>
      </c>
      <c r="AA191" s="1" t="str">
        <f t="shared" si="16"/>
        <v/>
      </c>
      <c r="AB191" s="1" t="str">
        <f t="shared" si="17"/>
        <v/>
      </c>
    </row>
    <row r="192" spans="1:28" x14ac:dyDescent="0.2">
      <c r="A192" t="str">
        <f>IF(COUNTBLANK(B192:AD192)&lt;&gt;COLUMNS(B192:AD192),191,"")</f>
        <v/>
      </c>
      <c r="I192" s="1" t="str">
        <f t="shared" si="12"/>
        <v/>
      </c>
      <c r="J192" s="1" t="str">
        <f t="shared" si="13"/>
        <v/>
      </c>
      <c r="T192" s="1" t="str">
        <f t="shared" si="14"/>
        <v/>
      </c>
      <c r="W192" s="1" t="str">
        <f t="shared" si="15"/>
        <v/>
      </c>
      <c r="AA192" s="1" t="str">
        <f t="shared" si="16"/>
        <v/>
      </c>
      <c r="AB192" s="1" t="str">
        <f t="shared" si="17"/>
        <v/>
      </c>
    </row>
    <row r="193" spans="1:28" x14ac:dyDescent="0.2">
      <c r="A193" t="str">
        <f>IF(COUNTBLANK(B193:AD193)&lt;&gt;COLUMNS(B193:AD193),192,"")</f>
        <v/>
      </c>
      <c r="I193" s="1" t="str">
        <f t="shared" si="12"/>
        <v/>
      </c>
      <c r="J193" s="1" t="str">
        <f t="shared" si="13"/>
        <v/>
      </c>
      <c r="T193" s="1" t="str">
        <f t="shared" si="14"/>
        <v/>
      </c>
      <c r="W193" s="1" t="str">
        <f t="shared" si="15"/>
        <v/>
      </c>
      <c r="AA193" s="1" t="str">
        <f t="shared" si="16"/>
        <v/>
      </c>
      <c r="AB193" s="1" t="str">
        <f t="shared" si="17"/>
        <v/>
      </c>
    </row>
    <row r="194" spans="1:28" x14ac:dyDescent="0.2">
      <c r="A194" t="str">
        <f>IF(COUNTBLANK(B194:AD194)&lt;&gt;COLUMNS(B194:AD194),193,"")</f>
        <v/>
      </c>
      <c r="I194" s="1" t="str">
        <f t="shared" ref="I194:I257" si="18">IF(B194="", "", "meters")</f>
        <v/>
      </c>
      <c r="J194" s="1" t="str">
        <f t="shared" ref="J194:J257" si="19">IF(B194="", "", "free-living")</f>
        <v/>
      </c>
      <c r="T194" s="1" t="str">
        <f t="shared" ref="T194:T257" si="20">IF(B194="", "", "Decimal degrees")</f>
        <v/>
      </c>
      <c r="W194" s="1" t="str">
        <f t="shared" ref="W194:W257" si="21">IF(B194="", "", "Decimal degrees")</f>
        <v/>
      </c>
      <c r="AA194" s="1" t="str">
        <f t="shared" ref="AA194:AA257" si="22">IF(B194="", "", "metagenome")</f>
        <v/>
      </c>
      <c r="AB194" s="1" t="str">
        <f t="shared" ref="AB194:AB257" si="23">IF(B194="", "", "256318")</f>
        <v/>
      </c>
    </row>
    <row r="195" spans="1:28" x14ac:dyDescent="0.2">
      <c r="A195" t="str">
        <f>IF(COUNTBLANK(B195:AD195)&lt;&gt;COLUMNS(B195:AD195),194,"")</f>
        <v/>
      </c>
      <c r="I195" s="1" t="str">
        <f t="shared" si="18"/>
        <v/>
      </c>
      <c r="J195" s="1" t="str">
        <f t="shared" si="19"/>
        <v/>
      </c>
      <c r="T195" s="1" t="str">
        <f t="shared" si="20"/>
        <v/>
      </c>
      <c r="W195" s="1" t="str">
        <f t="shared" si="21"/>
        <v/>
      </c>
      <c r="AA195" s="1" t="str">
        <f t="shared" si="22"/>
        <v/>
      </c>
      <c r="AB195" s="1" t="str">
        <f t="shared" si="23"/>
        <v/>
      </c>
    </row>
    <row r="196" spans="1:28" x14ac:dyDescent="0.2">
      <c r="A196" t="str">
        <f>IF(COUNTBLANK(B196:AD196)&lt;&gt;COLUMNS(B196:AD196),195,"")</f>
        <v/>
      </c>
      <c r="I196" s="1" t="str">
        <f t="shared" si="18"/>
        <v/>
      </c>
      <c r="J196" s="1" t="str">
        <f t="shared" si="19"/>
        <v/>
      </c>
      <c r="T196" s="1" t="str">
        <f t="shared" si="20"/>
        <v/>
      </c>
      <c r="W196" s="1" t="str">
        <f t="shared" si="21"/>
        <v/>
      </c>
      <c r="AA196" s="1" t="str">
        <f t="shared" si="22"/>
        <v/>
      </c>
      <c r="AB196" s="1" t="str">
        <f t="shared" si="23"/>
        <v/>
      </c>
    </row>
    <row r="197" spans="1:28" x14ac:dyDescent="0.2">
      <c r="A197" t="str">
        <f>IF(COUNTBLANK(B197:AD197)&lt;&gt;COLUMNS(B197:AD197),196,"")</f>
        <v/>
      </c>
      <c r="I197" s="1" t="str">
        <f t="shared" si="18"/>
        <v/>
      </c>
      <c r="J197" s="1" t="str">
        <f t="shared" si="19"/>
        <v/>
      </c>
      <c r="T197" s="1" t="str">
        <f t="shared" si="20"/>
        <v/>
      </c>
      <c r="W197" s="1" t="str">
        <f t="shared" si="21"/>
        <v/>
      </c>
      <c r="AA197" s="1" t="str">
        <f t="shared" si="22"/>
        <v/>
      </c>
      <c r="AB197" s="1" t="str">
        <f t="shared" si="23"/>
        <v/>
      </c>
    </row>
    <row r="198" spans="1:28" x14ac:dyDescent="0.2">
      <c r="A198" t="str">
        <f>IF(COUNTBLANK(B198:AD198)&lt;&gt;COLUMNS(B198:AD198),197,"")</f>
        <v/>
      </c>
      <c r="I198" s="1" t="str">
        <f t="shared" si="18"/>
        <v/>
      </c>
      <c r="J198" s="1" t="str">
        <f t="shared" si="19"/>
        <v/>
      </c>
      <c r="T198" s="1" t="str">
        <f t="shared" si="20"/>
        <v/>
      </c>
      <c r="W198" s="1" t="str">
        <f t="shared" si="21"/>
        <v/>
      </c>
      <c r="AA198" s="1" t="str">
        <f t="shared" si="22"/>
        <v/>
      </c>
      <c r="AB198" s="1" t="str">
        <f t="shared" si="23"/>
        <v/>
      </c>
    </row>
    <row r="199" spans="1:28" x14ac:dyDescent="0.2">
      <c r="A199" t="str">
        <f>IF(COUNTBLANK(B199:AD199)&lt;&gt;COLUMNS(B199:AD199),198,"")</f>
        <v/>
      </c>
      <c r="I199" s="1" t="str">
        <f t="shared" si="18"/>
        <v/>
      </c>
      <c r="J199" s="1" t="str">
        <f t="shared" si="19"/>
        <v/>
      </c>
      <c r="T199" s="1" t="str">
        <f t="shared" si="20"/>
        <v/>
      </c>
      <c r="W199" s="1" t="str">
        <f t="shared" si="21"/>
        <v/>
      </c>
      <c r="AA199" s="1" t="str">
        <f t="shared" si="22"/>
        <v/>
      </c>
      <c r="AB199" s="1" t="str">
        <f t="shared" si="23"/>
        <v/>
      </c>
    </row>
    <row r="200" spans="1:28" x14ac:dyDescent="0.2">
      <c r="A200" t="str">
        <f>IF(COUNTBLANK(B200:AD200)&lt;&gt;COLUMNS(B200:AD200),199,"")</f>
        <v/>
      </c>
      <c r="I200" s="1" t="str">
        <f t="shared" si="18"/>
        <v/>
      </c>
      <c r="J200" s="1" t="str">
        <f t="shared" si="19"/>
        <v/>
      </c>
      <c r="T200" s="1" t="str">
        <f t="shared" si="20"/>
        <v/>
      </c>
      <c r="W200" s="1" t="str">
        <f t="shared" si="21"/>
        <v/>
      </c>
      <c r="AA200" s="1" t="str">
        <f t="shared" si="22"/>
        <v/>
      </c>
      <c r="AB200" s="1" t="str">
        <f t="shared" si="23"/>
        <v/>
      </c>
    </row>
    <row r="201" spans="1:28" x14ac:dyDescent="0.2">
      <c r="A201" t="str">
        <f>IF(COUNTBLANK(B201:AD201)&lt;&gt;COLUMNS(B201:AD201),200,"")</f>
        <v/>
      </c>
      <c r="I201" s="1" t="str">
        <f t="shared" si="18"/>
        <v/>
      </c>
      <c r="J201" s="1" t="str">
        <f t="shared" si="19"/>
        <v/>
      </c>
      <c r="T201" s="1" t="str">
        <f t="shared" si="20"/>
        <v/>
      </c>
      <c r="W201" s="1" t="str">
        <f t="shared" si="21"/>
        <v/>
      </c>
      <c r="AA201" s="1" t="str">
        <f t="shared" si="22"/>
        <v/>
      </c>
      <c r="AB201" s="1" t="str">
        <f t="shared" si="23"/>
        <v/>
      </c>
    </row>
    <row r="202" spans="1:28" x14ac:dyDescent="0.2">
      <c r="A202" t="str">
        <f>IF(COUNTBLANK(B202:AD202)&lt;&gt;COLUMNS(B202:AD202),201,"")</f>
        <v/>
      </c>
      <c r="I202" s="1" t="str">
        <f t="shared" si="18"/>
        <v/>
      </c>
      <c r="J202" s="1" t="str">
        <f t="shared" si="19"/>
        <v/>
      </c>
      <c r="T202" s="1" t="str">
        <f t="shared" si="20"/>
        <v/>
      </c>
      <c r="W202" s="1" t="str">
        <f t="shared" si="21"/>
        <v/>
      </c>
      <c r="AA202" s="1" t="str">
        <f t="shared" si="22"/>
        <v/>
      </c>
      <c r="AB202" s="1" t="str">
        <f t="shared" si="23"/>
        <v/>
      </c>
    </row>
    <row r="203" spans="1:28" x14ac:dyDescent="0.2">
      <c r="A203" t="str">
        <f>IF(COUNTBLANK(B203:AD203)&lt;&gt;COLUMNS(B203:AD203),202,"")</f>
        <v/>
      </c>
      <c r="I203" s="1" t="str">
        <f t="shared" si="18"/>
        <v/>
      </c>
      <c r="J203" s="1" t="str">
        <f t="shared" si="19"/>
        <v/>
      </c>
      <c r="T203" s="1" t="str">
        <f t="shared" si="20"/>
        <v/>
      </c>
      <c r="W203" s="1" t="str">
        <f t="shared" si="21"/>
        <v/>
      </c>
      <c r="AA203" s="1" t="str">
        <f t="shared" si="22"/>
        <v/>
      </c>
      <c r="AB203" s="1" t="str">
        <f t="shared" si="23"/>
        <v/>
      </c>
    </row>
    <row r="204" spans="1:28" x14ac:dyDescent="0.2">
      <c r="A204" t="str">
        <f>IF(COUNTBLANK(B204:AD204)&lt;&gt;COLUMNS(B204:AD204),203,"")</f>
        <v/>
      </c>
      <c r="I204" s="1" t="str">
        <f t="shared" si="18"/>
        <v/>
      </c>
      <c r="J204" s="1" t="str">
        <f t="shared" si="19"/>
        <v/>
      </c>
      <c r="T204" s="1" t="str">
        <f t="shared" si="20"/>
        <v/>
      </c>
      <c r="W204" s="1" t="str">
        <f t="shared" si="21"/>
        <v/>
      </c>
      <c r="AA204" s="1" t="str">
        <f t="shared" si="22"/>
        <v/>
      </c>
      <c r="AB204" s="1" t="str">
        <f t="shared" si="23"/>
        <v/>
      </c>
    </row>
    <row r="205" spans="1:28" x14ac:dyDescent="0.2">
      <c r="A205" t="str">
        <f>IF(COUNTBLANK(B205:AD205)&lt;&gt;COLUMNS(B205:AD205),204,"")</f>
        <v/>
      </c>
      <c r="I205" s="1" t="str">
        <f t="shared" si="18"/>
        <v/>
      </c>
      <c r="J205" s="1" t="str">
        <f t="shared" si="19"/>
        <v/>
      </c>
      <c r="T205" s="1" t="str">
        <f t="shared" si="20"/>
        <v/>
      </c>
      <c r="W205" s="1" t="str">
        <f t="shared" si="21"/>
        <v/>
      </c>
      <c r="AA205" s="1" t="str">
        <f t="shared" si="22"/>
        <v/>
      </c>
      <c r="AB205" s="1" t="str">
        <f t="shared" si="23"/>
        <v/>
      </c>
    </row>
    <row r="206" spans="1:28" x14ac:dyDescent="0.2">
      <c r="A206" t="str">
        <f>IF(COUNTBLANK(B206:AD206)&lt;&gt;COLUMNS(B206:AD206),205,"")</f>
        <v/>
      </c>
      <c r="I206" s="1" t="str">
        <f t="shared" si="18"/>
        <v/>
      </c>
      <c r="J206" s="1" t="str">
        <f t="shared" si="19"/>
        <v/>
      </c>
      <c r="T206" s="1" t="str">
        <f t="shared" si="20"/>
        <v/>
      </c>
      <c r="W206" s="1" t="str">
        <f t="shared" si="21"/>
        <v/>
      </c>
      <c r="AA206" s="1" t="str">
        <f t="shared" si="22"/>
        <v/>
      </c>
      <c r="AB206" s="1" t="str">
        <f t="shared" si="23"/>
        <v/>
      </c>
    </row>
    <row r="207" spans="1:28" x14ac:dyDescent="0.2">
      <c r="A207" t="str">
        <f>IF(COUNTBLANK(B207:AD207)&lt;&gt;COLUMNS(B207:AD207),206,"")</f>
        <v/>
      </c>
      <c r="I207" s="1" t="str">
        <f t="shared" si="18"/>
        <v/>
      </c>
      <c r="J207" s="1" t="str">
        <f t="shared" si="19"/>
        <v/>
      </c>
      <c r="T207" s="1" t="str">
        <f t="shared" si="20"/>
        <v/>
      </c>
      <c r="W207" s="1" t="str">
        <f t="shared" si="21"/>
        <v/>
      </c>
      <c r="AA207" s="1" t="str">
        <f t="shared" si="22"/>
        <v/>
      </c>
      <c r="AB207" s="1" t="str">
        <f t="shared" si="23"/>
        <v/>
      </c>
    </row>
    <row r="208" spans="1:28" x14ac:dyDescent="0.2">
      <c r="A208" t="str">
        <f>IF(COUNTBLANK(B208:AD208)&lt;&gt;COLUMNS(B208:AD208),207,"")</f>
        <v/>
      </c>
      <c r="I208" s="1" t="str">
        <f t="shared" si="18"/>
        <v/>
      </c>
      <c r="J208" s="1" t="str">
        <f t="shared" si="19"/>
        <v/>
      </c>
      <c r="T208" s="1" t="str">
        <f t="shared" si="20"/>
        <v/>
      </c>
      <c r="W208" s="1" t="str">
        <f t="shared" si="21"/>
        <v/>
      </c>
      <c r="AA208" s="1" t="str">
        <f t="shared" si="22"/>
        <v/>
      </c>
      <c r="AB208" s="1" t="str">
        <f t="shared" si="23"/>
        <v/>
      </c>
    </row>
    <row r="209" spans="1:28" x14ac:dyDescent="0.2">
      <c r="A209" t="str">
        <f>IF(COUNTBLANK(B209:AD209)&lt;&gt;COLUMNS(B209:AD209),208,"")</f>
        <v/>
      </c>
      <c r="I209" s="1" t="str">
        <f t="shared" si="18"/>
        <v/>
      </c>
      <c r="J209" s="1" t="str">
        <f t="shared" si="19"/>
        <v/>
      </c>
      <c r="T209" s="1" t="str">
        <f t="shared" si="20"/>
        <v/>
      </c>
      <c r="W209" s="1" t="str">
        <f t="shared" si="21"/>
        <v/>
      </c>
      <c r="AA209" s="1" t="str">
        <f t="shared" si="22"/>
        <v/>
      </c>
      <c r="AB209" s="1" t="str">
        <f t="shared" si="23"/>
        <v/>
      </c>
    </row>
    <row r="210" spans="1:28" x14ac:dyDescent="0.2">
      <c r="A210" t="str">
        <f>IF(COUNTBLANK(B210:AD210)&lt;&gt;COLUMNS(B210:AD210),209,"")</f>
        <v/>
      </c>
      <c r="I210" s="1" t="str">
        <f t="shared" si="18"/>
        <v/>
      </c>
      <c r="J210" s="1" t="str">
        <f t="shared" si="19"/>
        <v/>
      </c>
      <c r="T210" s="1" t="str">
        <f t="shared" si="20"/>
        <v/>
      </c>
      <c r="W210" s="1" t="str">
        <f t="shared" si="21"/>
        <v/>
      </c>
      <c r="AA210" s="1" t="str">
        <f t="shared" si="22"/>
        <v/>
      </c>
      <c r="AB210" s="1" t="str">
        <f t="shared" si="23"/>
        <v/>
      </c>
    </row>
    <row r="211" spans="1:28" x14ac:dyDescent="0.2">
      <c r="A211" t="str">
        <f>IF(COUNTBLANK(B211:AD211)&lt;&gt;COLUMNS(B211:AD211),210,"")</f>
        <v/>
      </c>
      <c r="I211" s="1" t="str">
        <f t="shared" si="18"/>
        <v/>
      </c>
      <c r="J211" s="1" t="str">
        <f t="shared" si="19"/>
        <v/>
      </c>
      <c r="T211" s="1" t="str">
        <f t="shared" si="20"/>
        <v/>
      </c>
      <c r="W211" s="1" t="str">
        <f t="shared" si="21"/>
        <v/>
      </c>
      <c r="AA211" s="1" t="str">
        <f t="shared" si="22"/>
        <v/>
      </c>
      <c r="AB211" s="1" t="str">
        <f t="shared" si="23"/>
        <v/>
      </c>
    </row>
    <row r="212" spans="1:28" x14ac:dyDescent="0.2">
      <c r="A212" t="str">
        <f>IF(COUNTBLANK(B212:AD212)&lt;&gt;COLUMNS(B212:AD212),211,"")</f>
        <v/>
      </c>
      <c r="I212" s="1" t="str">
        <f t="shared" si="18"/>
        <v/>
      </c>
      <c r="J212" s="1" t="str">
        <f t="shared" si="19"/>
        <v/>
      </c>
      <c r="T212" s="1" t="str">
        <f t="shared" si="20"/>
        <v/>
      </c>
      <c r="W212" s="1" t="str">
        <f t="shared" si="21"/>
        <v/>
      </c>
      <c r="AA212" s="1" t="str">
        <f t="shared" si="22"/>
        <v/>
      </c>
      <c r="AB212" s="1" t="str">
        <f t="shared" si="23"/>
        <v/>
      </c>
    </row>
    <row r="213" spans="1:28" x14ac:dyDescent="0.2">
      <c r="A213" t="str">
        <f>IF(COUNTBLANK(B213:AD213)&lt;&gt;COLUMNS(B213:AD213),212,"")</f>
        <v/>
      </c>
      <c r="I213" s="1" t="str">
        <f t="shared" si="18"/>
        <v/>
      </c>
      <c r="J213" s="1" t="str">
        <f t="shared" si="19"/>
        <v/>
      </c>
      <c r="T213" s="1" t="str">
        <f t="shared" si="20"/>
        <v/>
      </c>
      <c r="W213" s="1" t="str">
        <f t="shared" si="21"/>
        <v/>
      </c>
      <c r="AA213" s="1" t="str">
        <f t="shared" si="22"/>
        <v/>
      </c>
      <c r="AB213" s="1" t="str">
        <f t="shared" si="23"/>
        <v/>
      </c>
    </row>
    <row r="214" spans="1:28" x14ac:dyDescent="0.2">
      <c r="A214" t="str">
        <f>IF(COUNTBLANK(B214:AD214)&lt;&gt;COLUMNS(B214:AD214),213,"")</f>
        <v/>
      </c>
      <c r="I214" s="1" t="str">
        <f t="shared" si="18"/>
        <v/>
      </c>
      <c r="J214" s="1" t="str">
        <f t="shared" si="19"/>
        <v/>
      </c>
      <c r="T214" s="1" t="str">
        <f t="shared" si="20"/>
        <v/>
      </c>
      <c r="W214" s="1" t="str">
        <f t="shared" si="21"/>
        <v/>
      </c>
      <c r="AA214" s="1" t="str">
        <f t="shared" si="22"/>
        <v/>
      </c>
      <c r="AB214" s="1" t="str">
        <f t="shared" si="23"/>
        <v/>
      </c>
    </row>
    <row r="215" spans="1:28" x14ac:dyDescent="0.2">
      <c r="A215" t="str">
        <f>IF(COUNTBLANK(B215:AD215)&lt;&gt;COLUMNS(B215:AD215),214,"")</f>
        <v/>
      </c>
      <c r="I215" s="1" t="str">
        <f t="shared" si="18"/>
        <v/>
      </c>
      <c r="J215" s="1" t="str">
        <f t="shared" si="19"/>
        <v/>
      </c>
      <c r="T215" s="1" t="str">
        <f t="shared" si="20"/>
        <v/>
      </c>
      <c r="W215" s="1" t="str">
        <f t="shared" si="21"/>
        <v/>
      </c>
      <c r="AA215" s="1" t="str">
        <f t="shared" si="22"/>
        <v/>
      </c>
      <c r="AB215" s="1" t="str">
        <f t="shared" si="23"/>
        <v/>
      </c>
    </row>
    <row r="216" spans="1:28" x14ac:dyDescent="0.2">
      <c r="A216" t="str">
        <f>IF(COUNTBLANK(B216:AD216)&lt;&gt;COLUMNS(B216:AD216),215,"")</f>
        <v/>
      </c>
      <c r="I216" s="1" t="str">
        <f t="shared" si="18"/>
        <v/>
      </c>
      <c r="J216" s="1" t="str">
        <f t="shared" si="19"/>
        <v/>
      </c>
      <c r="T216" s="1" t="str">
        <f t="shared" si="20"/>
        <v/>
      </c>
      <c r="W216" s="1" t="str">
        <f t="shared" si="21"/>
        <v/>
      </c>
      <c r="AA216" s="1" t="str">
        <f t="shared" si="22"/>
        <v/>
      </c>
      <c r="AB216" s="1" t="str">
        <f t="shared" si="23"/>
        <v/>
      </c>
    </row>
    <row r="217" spans="1:28" x14ac:dyDescent="0.2">
      <c r="A217" t="str">
        <f>IF(COUNTBLANK(B217:AD217)&lt;&gt;COLUMNS(B217:AD217),216,"")</f>
        <v/>
      </c>
      <c r="I217" s="1" t="str">
        <f t="shared" si="18"/>
        <v/>
      </c>
      <c r="J217" s="1" t="str">
        <f t="shared" si="19"/>
        <v/>
      </c>
      <c r="T217" s="1" t="str">
        <f t="shared" si="20"/>
        <v/>
      </c>
      <c r="W217" s="1" t="str">
        <f t="shared" si="21"/>
        <v/>
      </c>
      <c r="AA217" s="1" t="str">
        <f t="shared" si="22"/>
        <v/>
      </c>
      <c r="AB217" s="1" t="str">
        <f t="shared" si="23"/>
        <v/>
      </c>
    </row>
    <row r="218" spans="1:28" x14ac:dyDescent="0.2">
      <c r="A218" t="str">
        <f>IF(COUNTBLANK(B218:AD218)&lt;&gt;COLUMNS(B218:AD218),217,"")</f>
        <v/>
      </c>
      <c r="I218" s="1" t="str">
        <f t="shared" si="18"/>
        <v/>
      </c>
      <c r="J218" s="1" t="str">
        <f t="shared" si="19"/>
        <v/>
      </c>
      <c r="T218" s="1" t="str">
        <f t="shared" si="20"/>
        <v/>
      </c>
      <c r="W218" s="1" t="str">
        <f t="shared" si="21"/>
        <v/>
      </c>
      <c r="AA218" s="1" t="str">
        <f t="shared" si="22"/>
        <v/>
      </c>
      <c r="AB218" s="1" t="str">
        <f t="shared" si="23"/>
        <v/>
      </c>
    </row>
    <row r="219" spans="1:28" x14ac:dyDescent="0.2">
      <c r="A219" t="str">
        <f>IF(COUNTBLANK(B219:AD219)&lt;&gt;COLUMNS(B219:AD219),218,"")</f>
        <v/>
      </c>
      <c r="I219" s="1" t="str">
        <f t="shared" si="18"/>
        <v/>
      </c>
      <c r="J219" s="1" t="str">
        <f t="shared" si="19"/>
        <v/>
      </c>
      <c r="T219" s="1" t="str">
        <f t="shared" si="20"/>
        <v/>
      </c>
      <c r="W219" s="1" t="str">
        <f t="shared" si="21"/>
        <v/>
      </c>
      <c r="AA219" s="1" t="str">
        <f t="shared" si="22"/>
        <v/>
      </c>
      <c r="AB219" s="1" t="str">
        <f t="shared" si="23"/>
        <v/>
      </c>
    </row>
    <row r="220" spans="1:28" x14ac:dyDescent="0.2">
      <c r="A220" t="str">
        <f>IF(COUNTBLANK(B220:AD220)&lt;&gt;COLUMNS(B220:AD220),219,"")</f>
        <v/>
      </c>
      <c r="I220" s="1" t="str">
        <f t="shared" si="18"/>
        <v/>
      </c>
      <c r="J220" s="1" t="str">
        <f t="shared" si="19"/>
        <v/>
      </c>
      <c r="T220" s="1" t="str">
        <f t="shared" si="20"/>
        <v/>
      </c>
      <c r="W220" s="1" t="str">
        <f t="shared" si="21"/>
        <v/>
      </c>
      <c r="AA220" s="1" t="str">
        <f t="shared" si="22"/>
        <v/>
      </c>
      <c r="AB220" s="1" t="str">
        <f t="shared" si="23"/>
        <v/>
      </c>
    </row>
    <row r="221" spans="1:28" x14ac:dyDescent="0.2">
      <c r="A221" t="str">
        <f>IF(COUNTBLANK(B221:AD221)&lt;&gt;COLUMNS(B221:AD221),220,"")</f>
        <v/>
      </c>
      <c r="I221" s="1" t="str">
        <f t="shared" si="18"/>
        <v/>
      </c>
      <c r="J221" s="1" t="str">
        <f t="shared" si="19"/>
        <v/>
      </c>
      <c r="T221" s="1" t="str">
        <f t="shared" si="20"/>
        <v/>
      </c>
      <c r="W221" s="1" t="str">
        <f t="shared" si="21"/>
        <v/>
      </c>
      <c r="AA221" s="1" t="str">
        <f t="shared" si="22"/>
        <v/>
      </c>
      <c r="AB221" s="1" t="str">
        <f t="shared" si="23"/>
        <v/>
      </c>
    </row>
    <row r="222" spans="1:28" x14ac:dyDescent="0.2">
      <c r="A222" t="str">
        <f>IF(COUNTBLANK(B222:AD222)&lt;&gt;COLUMNS(B222:AD222),221,"")</f>
        <v/>
      </c>
      <c r="I222" s="1" t="str">
        <f t="shared" si="18"/>
        <v/>
      </c>
      <c r="J222" s="1" t="str">
        <f t="shared" si="19"/>
        <v/>
      </c>
      <c r="T222" s="1" t="str">
        <f t="shared" si="20"/>
        <v/>
      </c>
      <c r="W222" s="1" t="str">
        <f t="shared" si="21"/>
        <v/>
      </c>
      <c r="AA222" s="1" t="str">
        <f t="shared" si="22"/>
        <v/>
      </c>
      <c r="AB222" s="1" t="str">
        <f t="shared" si="23"/>
        <v/>
      </c>
    </row>
    <row r="223" spans="1:28" x14ac:dyDescent="0.2">
      <c r="A223" t="str">
        <f>IF(COUNTBLANK(B223:AD223)&lt;&gt;COLUMNS(B223:AD223),222,"")</f>
        <v/>
      </c>
      <c r="I223" s="1" t="str">
        <f t="shared" si="18"/>
        <v/>
      </c>
      <c r="J223" s="1" t="str">
        <f t="shared" si="19"/>
        <v/>
      </c>
      <c r="T223" s="1" t="str">
        <f t="shared" si="20"/>
        <v/>
      </c>
      <c r="W223" s="1" t="str">
        <f t="shared" si="21"/>
        <v/>
      </c>
      <c r="AA223" s="1" t="str">
        <f t="shared" si="22"/>
        <v/>
      </c>
      <c r="AB223" s="1" t="str">
        <f t="shared" si="23"/>
        <v/>
      </c>
    </row>
    <row r="224" spans="1:28" x14ac:dyDescent="0.2">
      <c r="A224" t="str">
        <f>IF(COUNTBLANK(B224:AD224)&lt;&gt;COLUMNS(B224:AD224),223,"")</f>
        <v/>
      </c>
      <c r="I224" s="1" t="str">
        <f t="shared" si="18"/>
        <v/>
      </c>
      <c r="J224" s="1" t="str">
        <f t="shared" si="19"/>
        <v/>
      </c>
      <c r="T224" s="1" t="str">
        <f t="shared" si="20"/>
        <v/>
      </c>
      <c r="W224" s="1" t="str">
        <f t="shared" si="21"/>
        <v/>
      </c>
      <c r="AA224" s="1" t="str">
        <f t="shared" si="22"/>
        <v/>
      </c>
      <c r="AB224" s="1" t="str">
        <f t="shared" si="23"/>
        <v/>
      </c>
    </row>
    <row r="225" spans="1:28" x14ac:dyDescent="0.2">
      <c r="A225" t="str">
        <f>IF(COUNTBLANK(B225:AD225)&lt;&gt;COLUMNS(B225:AD225),224,"")</f>
        <v/>
      </c>
      <c r="I225" s="1" t="str">
        <f t="shared" si="18"/>
        <v/>
      </c>
      <c r="J225" s="1" t="str">
        <f t="shared" si="19"/>
        <v/>
      </c>
      <c r="T225" s="1" t="str">
        <f t="shared" si="20"/>
        <v/>
      </c>
      <c r="W225" s="1" t="str">
        <f t="shared" si="21"/>
        <v/>
      </c>
      <c r="AA225" s="1" t="str">
        <f t="shared" si="22"/>
        <v/>
      </c>
      <c r="AB225" s="1" t="str">
        <f t="shared" si="23"/>
        <v/>
      </c>
    </row>
    <row r="226" spans="1:28" x14ac:dyDescent="0.2">
      <c r="A226" t="str">
        <f>IF(COUNTBLANK(B226:AD226)&lt;&gt;COLUMNS(B226:AD226),225,"")</f>
        <v/>
      </c>
      <c r="I226" s="1" t="str">
        <f t="shared" si="18"/>
        <v/>
      </c>
      <c r="J226" s="1" t="str">
        <f t="shared" si="19"/>
        <v/>
      </c>
      <c r="T226" s="1" t="str">
        <f t="shared" si="20"/>
        <v/>
      </c>
      <c r="W226" s="1" t="str">
        <f t="shared" si="21"/>
        <v/>
      </c>
      <c r="AA226" s="1" t="str">
        <f t="shared" si="22"/>
        <v/>
      </c>
      <c r="AB226" s="1" t="str">
        <f t="shared" si="23"/>
        <v/>
      </c>
    </row>
    <row r="227" spans="1:28" x14ac:dyDescent="0.2">
      <c r="A227" t="str">
        <f>IF(COUNTBLANK(B227:AD227)&lt;&gt;COLUMNS(B227:AD227),226,"")</f>
        <v/>
      </c>
      <c r="I227" s="1" t="str">
        <f t="shared" si="18"/>
        <v/>
      </c>
      <c r="J227" s="1" t="str">
        <f t="shared" si="19"/>
        <v/>
      </c>
      <c r="T227" s="1" t="str">
        <f t="shared" si="20"/>
        <v/>
      </c>
      <c r="W227" s="1" t="str">
        <f t="shared" si="21"/>
        <v/>
      </c>
      <c r="AA227" s="1" t="str">
        <f t="shared" si="22"/>
        <v/>
      </c>
      <c r="AB227" s="1" t="str">
        <f t="shared" si="23"/>
        <v/>
      </c>
    </row>
    <row r="228" spans="1:28" x14ac:dyDescent="0.2">
      <c r="A228" t="str">
        <f>IF(COUNTBLANK(B228:AD228)&lt;&gt;COLUMNS(B228:AD228),227,"")</f>
        <v/>
      </c>
      <c r="I228" s="1" t="str">
        <f t="shared" si="18"/>
        <v/>
      </c>
      <c r="J228" s="1" t="str">
        <f t="shared" si="19"/>
        <v/>
      </c>
      <c r="T228" s="1" t="str">
        <f t="shared" si="20"/>
        <v/>
      </c>
      <c r="W228" s="1" t="str">
        <f t="shared" si="21"/>
        <v/>
      </c>
      <c r="AA228" s="1" t="str">
        <f t="shared" si="22"/>
        <v/>
      </c>
      <c r="AB228" s="1" t="str">
        <f t="shared" si="23"/>
        <v/>
      </c>
    </row>
    <row r="229" spans="1:28" x14ac:dyDescent="0.2">
      <c r="A229" t="str">
        <f>IF(COUNTBLANK(B229:AD229)&lt;&gt;COLUMNS(B229:AD229),228,"")</f>
        <v/>
      </c>
      <c r="I229" s="1" t="str">
        <f t="shared" si="18"/>
        <v/>
      </c>
      <c r="J229" s="1" t="str">
        <f t="shared" si="19"/>
        <v/>
      </c>
      <c r="T229" s="1" t="str">
        <f t="shared" si="20"/>
        <v/>
      </c>
      <c r="W229" s="1" t="str">
        <f t="shared" si="21"/>
        <v/>
      </c>
      <c r="AA229" s="1" t="str">
        <f t="shared" si="22"/>
        <v/>
      </c>
      <c r="AB229" s="1" t="str">
        <f t="shared" si="23"/>
        <v/>
      </c>
    </row>
    <row r="230" spans="1:28" x14ac:dyDescent="0.2">
      <c r="A230" t="str">
        <f>IF(COUNTBLANK(B230:AD230)&lt;&gt;COLUMNS(B230:AD230),229,"")</f>
        <v/>
      </c>
      <c r="I230" s="1" t="str">
        <f t="shared" si="18"/>
        <v/>
      </c>
      <c r="J230" s="1" t="str">
        <f t="shared" si="19"/>
        <v/>
      </c>
      <c r="T230" s="1" t="str">
        <f t="shared" si="20"/>
        <v/>
      </c>
      <c r="W230" s="1" t="str">
        <f t="shared" si="21"/>
        <v/>
      </c>
      <c r="AA230" s="1" t="str">
        <f t="shared" si="22"/>
        <v/>
      </c>
      <c r="AB230" s="1" t="str">
        <f t="shared" si="23"/>
        <v/>
      </c>
    </row>
    <row r="231" spans="1:28" x14ac:dyDescent="0.2">
      <c r="A231" t="str">
        <f>IF(COUNTBLANK(B231:AD231)&lt;&gt;COLUMNS(B231:AD231),230,"")</f>
        <v/>
      </c>
      <c r="I231" s="1" t="str">
        <f t="shared" si="18"/>
        <v/>
      </c>
      <c r="J231" s="1" t="str">
        <f t="shared" si="19"/>
        <v/>
      </c>
      <c r="T231" s="1" t="str">
        <f t="shared" si="20"/>
        <v/>
      </c>
      <c r="W231" s="1" t="str">
        <f t="shared" si="21"/>
        <v/>
      </c>
      <c r="AA231" s="1" t="str">
        <f t="shared" si="22"/>
        <v/>
      </c>
      <c r="AB231" s="1" t="str">
        <f t="shared" si="23"/>
        <v/>
      </c>
    </row>
    <row r="232" spans="1:28" x14ac:dyDescent="0.2">
      <c r="A232" t="str">
        <f>IF(COUNTBLANK(B232:AD232)&lt;&gt;COLUMNS(B232:AD232),231,"")</f>
        <v/>
      </c>
      <c r="I232" s="1" t="str">
        <f t="shared" si="18"/>
        <v/>
      </c>
      <c r="J232" s="1" t="str">
        <f t="shared" si="19"/>
        <v/>
      </c>
      <c r="T232" s="1" t="str">
        <f t="shared" si="20"/>
        <v/>
      </c>
      <c r="W232" s="1" t="str">
        <f t="shared" si="21"/>
        <v/>
      </c>
      <c r="AA232" s="1" t="str">
        <f t="shared" si="22"/>
        <v/>
      </c>
      <c r="AB232" s="1" t="str">
        <f t="shared" si="23"/>
        <v/>
      </c>
    </row>
    <row r="233" spans="1:28" x14ac:dyDescent="0.2">
      <c r="A233" t="str">
        <f>IF(COUNTBLANK(B233:AD233)&lt;&gt;COLUMNS(B233:AD233),232,"")</f>
        <v/>
      </c>
      <c r="I233" s="1" t="str">
        <f t="shared" si="18"/>
        <v/>
      </c>
      <c r="J233" s="1" t="str">
        <f t="shared" si="19"/>
        <v/>
      </c>
      <c r="T233" s="1" t="str">
        <f t="shared" si="20"/>
        <v/>
      </c>
      <c r="W233" s="1" t="str">
        <f t="shared" si="21"/>
        <v/>
      </c>
      <c r="AA233" s="1" t="str">
        <f t="shared" si="22"/>
        <v/>
      </c>
      <c r="AB233" s="1" t="str">
        <f t="shared" si="23"/>
        <v/>
      </c>
    </row>
    <row r="234" spans="1:28" x14ac:dyDescent="0.2">
      <c r="A234" t="str">
        <f>IF(COUNTBLANK(B234:AD234)&lt;&gt;COLUMNS(B234:AD234),233,"")</f>
        <v/>
      </c>
      <c r="I234" s="1" t="str">
        <f t="shared" si="18"/>
        <v/>
      </c>
      <c r="J234" s="1" t="str">
        <f t="shared" si="19"/>
        <v/>
      </c>
      <c r="T234" s="1" t="str">
        <f t="shared" si="20"/>
        <v/>
      </c>
      <c r="W234" s="1" t="str">
        <f t="shared" si="21"/>
        <v/>
      </c>
      <c r="AA234" s="1" t="str">
        <f t="shared" si="22"/>
        <v/>
      </c>
      <c r="AB234" s="1" t="str">
        <f t="shared" si="23"/>
        <v/>
      </c>
    </row>
    <row r="235" spans="1:28" x14ac:dyDescent="0.2">
      <c r="A235" t="str">
        <f>IF(COUNTBLANK(B235:AD235)&lt;&gt;COLUMNS(B235:AD235),234,"")</f>
        <v/>
      </c>
      <c r="I235" s="1" t="str">
        <f t="shared" si="18"/>
        <v/>
      </c>
      <c r="J235" s="1" t="str">
        <f t="shared" si="19"/>
        <v/>
      </c>
      <c r="T235" s="1" t="str">
        <f t="shared" si="20"/>
        <v/>
      </c>
      <c r="W235" s="1" t="str">
        <f t="shared" si="21"/>
        <v/>
      </c>
      <c r="AA235" s="1" t="str">
        <f t="shared" si="22"/>
        <v/>
      </c>
      <c r="AB235" s="1" t="str">
        <f t="shared" si="23"/>
        <v/>
      </c>
    </row>
    <row r="236" spans="1:28" x14ac:dyDescent="0.2">
      <c r="A236" t="str">
        <f>IF(COUNTBLANK(B236:AD236)&lt;&gt;COLUMNS(B236:AD236),235,"")</f>
        <v/>
      </c>
      <c r="I236" s="1" t="str">
        <f t="shared" si="18"/>
        <v/>
      </c>
      <c r="J236" s="1" t="str">
        <f t="shared" si="19"/>
        <v/>
      </c>
      <c r="T236" s="1" t="str">
        <f t="shared" si="20"/>
        <v/>
      </c>
      <c r="W236" s="1" t="str">
        <f t="shared" si="21"/>
        <v/>
      </c>
      <c r="AA236" s="1" t="str">
        <f t="shared" si="22"/>
        <v/>
      </c>
      <c r="AB236" s="1" t="str">
        <f t="shared" si="23"/>
        <v/>
      </c>
    </row>
    <row r="237" spans="1:28" x14ac:dyDescent="0.2">
      <c r="A237" t="str">
        <f>IF(COUNTBLANK(B237:AD237)&lt;&gt;COLUMNS(B237:AD237),236,"")</f>
        <v/>
      </c>
      <c r="I237" s="1" t="str">
        <f t="shared" si="18"/>
        <v/>
      </c>
      <c r="J237" s="1" t="str">
        <f t="shared" si="19"/>
        <v/>
      </c>
      <c r="T237" s="1" t="str">
        <f t="shared" si="20"/>
        <v/>
      </c>
      <c r="W237" s="1" t="str">
        <f t="shared" si="21"/>
        <v/>
      </c>
      <c r="AA237" s="1" t="str">
        <f t="shared" si="22"/>
        <v/>
      </c>
      <c r="AB237" s="1" t="str">
        <f t="shared" si="23"/>
        <v/>
      </c>
    </row>
    <row r="238" spans="1:28" x14ac:dyDescent="0.2">
      <c r="A238" t="str">
        <f>IF(COUNTBLANK(B238:AD238)&lt;&gt;COLUMNS(B238:AD238),237,"")</f>
        <v/>
      </c>
      <c r="I238" s="1" t="str">
        <f t="shared" si="18"/>
        <v/>
      </c>
      <c r="J238" s="1" t="str">
        <f t="shared" si="19"/>
        <v/>
      </c>
      <c r="T238" s="1" t="str">
        <f t="shared" si="20"/>
        <v/>
      </c>
      <c r="W238" s="1" t="str">
        <f t="shared" si="21"/>
        <v/>
      </c>
      <c r="AA238" s="1" t="str">
        <f t="shared" si="22"/>
        <v/>
      </c>
      <c r="AB238" s="1" t="str">
        <f t="shared" si="23"/>
        <v/>
      </c>
    </row>
    <row r="239" spans="1:28" x14ac:dyDescent="0.2">
      <c r="A239" t="str">
        <f>IF(COUNTBLANK(B239:AD239)&lt;&gt;COLUMNS(B239:AD239),238,"")</f>
        <v/>
      </c>
      <c r="I239" s="1" t="str">
        <f t="shared" si="18"/>
        <v/>
      </c>
      <c r="J239" s="1" t="str">
        <f t="shared" si="19"/>
        <v/>
      </c>
      <c r="T239" s="1" t="str">
        <f t="shared" si="20"/>
        <v/>
      </c>
      <c r="W239" s="1" t="str">
        <f t="shared" si="21"/>
        <v/>
      </c>
      <c r="AA239" s="1" t="str">
        <f t="shared" si="22"/>
        <v/>
      </c>
      <c r="AB239" s="1" t="str">
        <f t="shared" si="23"/>
        <v/>
      </c>
    </row>
    <row r="240" spans="1:28" x14ac:dyDescent="0.2">
      <c r="A240" t="str">
        <f>IF(COUNTBLANK(B240:AD240)&lt;&gt;COLUMNS(B240:AD240),239,"")</f>
        <v/>
      </c>
      <c r="I240" s="1" t="str">
        <f t="shared" si="18"/>
        <v/>
      </c>
      <c r="J240" s="1" t="str">
        <f t="shared" si="19"/>
        <v/>
      </c>
      <c r="T240" s="1" t="str">
        <f t="shared" si="20"/>
        <v/>
      </c>
      <c r="W240" s="1" t="str">
        <f t="shared" si="21"/>
        <v/>
      </c>
      <c r="AA240" s="1" t="str">
        <f t="shared" si="22"/>
        <v/>
      </c>
      <c r="AB240" s="1" t="str">
        <f t="shared" si="23"/>
        <v/>
      </c>
    </row>
    <row r="241" spans="1:28" x14ac:dyDescent="0.2">
      <c r="A241" t="str">
        <f>IF(COUNTBLANK(B241:AD241)&lt;&gt;COLUMNS(B241:AD241),240,"")</f>
        <v/>
      </c>
      <c r="I241" s="1" t="str">
        <f t="shared" si="18"/>
        <v/>
      </c>
      <c r="J241" s="1" t="str">
        <f t="shared" si="19"/>
        <v/>
      </c>
      <c r="T241" s="1" t="str">
        <f t="shared" si="20"/>
        <v/>
      </c>
      <c r="W241" s="1" t="str">
        <f t="shared" si="21"/>
        <v/>
      </c>
      <c r="AA241" s="1" t="str">
        <f t="shared" si="22"/>
        <v/>
      </c>
      <c r="AB241" s="1" t="str">
        <f t="shared" si="23"/>
        <v/>
      </c>
    </row>
    <row r="242" spans="1:28" x14ac:dyDescent="0.2">
      <c r="A242" t="str">
        <f>IF(COUNTBLANK(B242:AD242)&lt;&gt;COLUMNS(B242:AD242),241,"")</f>
        <v/>
      </c>
      <c r="I242" s="1" t="str">
        <f t="shared" si="18"/>
        <v/>
      </c>
      <c r="J242" s="1" t="str">
        <f t="shared" si="19"/>
        <v/>
      </c>
      <c r="T242" s="1" t="str">
        <f t="shared" si="20"/>
        <v/>
      </c>
      <c r="W242" s="1" t="str">
        <f t="shared" si="21"/>
        <v/>
      </c>
      <c r="AA242" s="1" t="str">
        <f t="shared" si="22"/>
        <v/>
      </c>
      <c r="AB242" s="1" t="str">
        <f t="shared" si="23"/>
        <v/>
      </c>
    </row>
    <row r="243" spans="1:28" x14ac:dyDescent="0.2">
      <c r="A243" t="str">
        <f>IF(COUNTBLANK(B243:AD243)&lt;&gt;COLUMNS(B243:AD243),242,"")</f>
        <v/>
      </c>
      <c r="I243" s="1" t="str">
        <f t="shared" si="18"/>
        <v/>
      </c>
      <c r="J243" s="1" t="str">
        <f t="shared" si="19"/>
        <v/>
      </c>
      <c r="T243" s="1" t="str">
        <f t="shared" si="20"/>
        <v/>
      </c>
      <c r="W243" s="1" t="str">
        <f t="shared" si="21"/>
        <v/>
      </c>
      <c r="AA243" s="1" t="str">
        <f t="shared" si="22"/>
        <v/>
      </c>
      <c r="AB243" s="1" t="str">
        <f t="shared" si="23"/>
        <v/>
      </c>
    </row>
    <row r="244" spans="1:28" x14ac:dyDescent="0.2">
      <c r="A244" t="str">
        <f>IF(COUNTBLANK(B244:AD244)&lt;&gt;COLUMNS(B244:AD244),243,"")</f>
        <v/>
      </c>
      <c r="I244" s="1" t="str">
        <f t="shared" si="18"/>
        <v/>
      </c>
      <c r="J244" s="1" t="str">
        <f t="shared" si="19"/>
        <v/>
      </c>
      <c r="T244" s="1" t="str">
        <f t="shared" si="20"/>
        <v/>
      </c>
      <c r="W244" s="1" t="str">
        <f t="shared" si="21"/>
        <v/>
      </c>
      <c r="AA244" s="1" t="str">
        <f t="shared" si="22"/>
        <v/>
      </c>
      <c r="AB244" s="1" t="str">
        <f t="shared" si="23"/>
        <v/>
      </c>
    </row>
    <row r="245" spans="1:28" x14ac:dyDescent="0.2">
      <c r="A245" t="str">
        <f>IF(COUNTBLANK(B245:AD245)&lt;&gt;COLUMNS(B245:AD245),244,"")</f>
        <v/>
      </c>
      <c r="I245" s="1" t="str">
        <f t="shared" si="18"/>
        <v/>
      </c>
      <c r="J245" s="1" t="str">
        <f t="shared" si="19"/>
        <v/>
      </c>
      <c r="T245" s="1" t="str">
        <f t="shared" si="20"/>
        <v/>
      </c>
      <c r="W245" s="1" t="str">
        <f t="shared" si="21"/>
        <v/>
      </c>
      <c r="AA245" s="1" t="str">
        <f t="shared" si="22"/>
        <v/>
      </c>
      <c r="AB245" s="1" t="str">
        <f t="shared" si="23"/>
        <v/>
      </c>
    </row>
    <row r="246" spans="1:28" x14ac:dyDescent="0.2">
      <c r="A246" t="str">
        <f>IF(COUNTBLANK(B246:AD246)&lt;&gt;COLUMNS(B246:AD246),245,"")</f>
        <v/>
      </c>
      <c r="I246" s="1" t="str">
        <f t="shared" si="18"/>
        <v/>
      </c>
      <c r="J246" s="1" t="str">
        <f t="shared" si="19"/>
        <v/>
      </c>
      <c r="T246" s="1" t="str">
        <f t="shared" si="20"/>
        <v/>
      </c>
      <c r="W246" s="1" t="str">
        <f t="shared" si="21"/>
        <v/>
      </c>
      <c r="AA246" s="1" t="str">
        <f t="shared" si="22"/>
        <v/>
      </c>
      <c r="AB246" s="1" t="str">
        <f t="shared" si="23"/>
        <v/>
      </c>
    </row>
    <row r="247" spans="1:28" x14ac:dyDescent="0.2">
      <c r="A247" t="str">
        <f>IF(COUNTBLANK(B247:AD247)&lt;&gt;COLUMNS(B247:AD247),246,"")</f>
        <v/>
      </c>
      <c r="I247" s="1" t="str">
        <f t="shared" si="18"/>
        <v/>
      </c>
      <c r="J247" s="1" t="str">
        <f t="shared" si="19"/>
        <v/>
      </c>
      <c r="T247" s="1" t="str">
        <f t="shared" si="20"/>
        <v/>
      </c>
      <c r="W247" s="1" t="str">
        <f t="shared" si="21"/>
        <v/>
      </c>
      <c r="AA247" s="1" t="str">
        <f t="shared" si="22"/>
        <v/>
      </c>
      <c r="AB247" s="1" t="str">
        <f t="shared" si="23"/>
        <v/>
      </c>
    </row>
    <row r="248" spans="1:28" x14ac:dyDescent="0.2">
      <c r="A248" t="str">
        <f>IF(COUNTBLANK(B248:AD248)&lt;&gt;COLUMNS(B248:AD248),247,"")</f>
        <v/>
      </c>
      <c r="I248" s="1" t="str">
        <f t="shared" si="18"/>
        <v/>
      </c>
      <c r="J248" s="1" t="str">
        <f t="shared" si="19"/>
        <v/>
      </c>
      <c r="T248" s="1" t="str">
        <f t="shared" si="20"/>
        <v/>
      </c>
      <c r="W248" s="1" t="str">
        <f t="shared" si="21"/>
        <v/>
      </c>
      <c r="AA248" s="1" t="str">
        <f t="shared" si="22"/>
        <v/>
      </c>
      <c r="AB248" s="1" t="str">
        <f t="shared" si="23"/>
        <v/>
      </c>
    </row>
    <row r="249" spans="1:28" x14ac:dyDescent="0.2">
      <c r="A249" t="str">
        <f>IF(COUNTBLANK(B249:AD249)&lt;&gt;COLUMNS(B249:AD249),248,"")</f>
        <v/>
      </c>
      <c r="I249" s="1" t="str">
        <f t="shared" si="18"/>
        <v/>
      </c>
      <c r="J249" s="1" t="str">
        <f t="shared" si="19"/>
        <v/>
      </c>
      <c r="T249" s="1" t="str">
        <f t="shared" si="20"/>
        <v/>
      </c>
      <c r="W249" s="1" t="str">
        <f t="shared" si="21"/>
        <v/>
      </c>
      <c r="AA249" s="1" t="str">
        <f t="shared" si="22"/>
        <v/>
      </c>
      <c r="AB249" s="1" t="str">
        <f t="shared" si="23"/>
        <v/>
      </c>
    </row>
    <row r="250" spans="1:28" x14ac:dyDescent="0.2">
      <c r="A250" t="str">
        <f>IF(COUNTBLANK(B250:AD250)&lt;&gt;COLUMNS(B250:AD250),249,"")</f>
        <v/>
      </c>
      <c r="I250" s="1" t="str">
        <f t="shared" si="18"/>
        <v/>
      </c>
      <c r="J250" s="1" t="str">
        <f t="shared" si="19"/>
        <v/>
      </c>
      <c r="T250" s="1" t="str">
        <f t="shared" si="20"/>
        <v/>
      </c>
      <c r="W250" s="1" t="str">
        <f t="shared" si="21"/>
        <v/>
      </c>
      <c r="AA250" s="1" t="str">
        <f t="shared" si="22"/>
        <v/>
      </c>
      <c r="AB250" s="1" t="str">
        <f t="shared" si="23"/>
        <v/>
      </c>
    </row>
    <row r="251" spans="1:28" x14ac:dyDescent="0.2">
      <c r="A251" t="str">
        <f>IF(COUNTBLANK(B251:AD251)&lt;&gt;COLUMNS(B251:AD251),250,"")</f>
        <v/>
      </c>
      <c r="I251" s="1" t="str">
        <f t="shared" si="18"/>
        <v/>
      </c>
      <c r="J251" s="1" t="str">
        <f t="shared" si="19"/>
        <v/>
      </c>
      <c r="T251" s="1" t="str">
        <f t="shared" si="20"/>
        <v/>
      </c>
      <c r="W251" s="1" t="str">
        <f t="shared" si="21"/>
        <v/>
      </c>
      <c r="AA251" s="1" t="str">
        <f t="shared" si="22"/>
        <v/>
      </c>
      <c r="AB251" s="1" t="str">
        <f t="shared" si="23"/>
        <v/>
      </c>
    </row>
    <row r="252" spans="1:28" x14ac:dyDescent="0.2">
      <c r="A252" t="str">
        <f>IF(COUNTBLANK(B252:AD252)&lt;&gt;COLUMNS(B252:AD252),251,"")</f>
        <v/>
      </c>
      <c r="I252" s="1" t="str">
        <f t="shared" si="18"/>
        <v/>
      </c>
      <c r="J252" s="1" t="str">
        <f t="shared" si="19"/>
        <v/>
      </c>
      <c r="T252" s="1" t="str">
        <f t="shared" si="20"/>
        <v/>
      </c>
      <c r="W252" s="1" t="str">
        <f t="shared" si="21"/>
        <v/>
      </c>
      <c r="AA252" s="1" t="str">
        <f t="shared" si="22"/>
        <v/>
      </c>
      <c r="AB252" s="1" t="str">
        <f t="shared" si="23"/>
        <v/>
      </c>
    </row>
    <row r="253" spans="1:28" x14ac:dyDescent="0.2">
      <c r="A253" t="str">
        <f>IF(COUNTBLANK(B253:AD253)&lt;&gt;COLUMNS(B253:AD253),252,"")</f>
        <v/>
      </c>
      <c r="I253" s="1" t="str">
        <f t="shared" si="18"/>
        <v/>
      </c>
      <c r="J253" s="1" t="str">
        <f t="shared" si="19"/>
        <v/>
      </c>
      <c r="T253" s="1" t="str">
        <f t="shared" si="20"/>
        <v/>
      </c>
      <c r="W253" s="1" t="str">
        <f t="shared" si="21"/>
        <v/>
      </c>
      <c r="AA253" s="1" t="str">
        <f t="shared" si="22"/>
        <v/>
      </c>
      <c r="AB253" s="1" t="str">
        <f t="shared" si="23"/>
        <v/>
      </c>
    </row>
    <row r="254" spans="1:28" x14ac:dyDescent="0.2">
      <c r="A254" t="str">
        <f>IF(COUNTBLANK(B254:AD254)&lt;&gt;COLUMNS(B254:AD254),253,"")</f>
        <v/>
      </c>
      <c r="I254" s="1" t="str">
        <f t="shared" si="18"/>
        <v/>
      </c>
      <c r="J254" s="1" t="str">
        <f t="shared" si="19"/>
        <v/>
      </c>
      <c r="T254" s="1" t="str">
        <f t="shared" si="20"/>
        <v/>
      </c>
      <c r="W254" s="1" t="str">
        <f t="shared" si="21"/>
        <v/>
      </c>
      <c r="AA254" s="1" t="str">
        <f t="shared" si="22"/>
        <v/>
      </c>
      <c r="AB254" s="1" t="str">
        <f t="shared" si="23"/>
        <v/>
      </c>
    </row>
    <row r="255" spans="1:28" x14ac:dyDescent="0.2">
      <c r="A255" t="str">
        <f>IF(COUNTBLANK(B255:AD255)&lt;&gt;COLUMNS(B255:AD255),254,"")</f>
        <v/>
      </c>
      <c r="I255" s="1" t="str">
        <f t="shared" si="18"/>
        <v/>
      </c>
      <c r="J255" s="1" t="str">
        <f t="shared" si="19"/>
        <v/>
      </c>
      <c r="T255" s="1" t="str">
        <f t="shared" si="20"/>
        <v/>
      </c>
      <c r="W255" s="1" t="str">
        <f t="shared" si="21"/>
        <v/>
      </c>
      <c r="AA255" s="1" t="str">
        <f t="shared" si="22"/>
        <v/>
      </c>
      <c r="AB255" s="1" t="str">
        <f t="shared" si="23"/>
        <v/>
      </c>
    </row>
    <row r="256" spans="1:28" x14ac:dyDescent="0.2">
      <c r="A256" t="str">
        <f>IF(COUNTBLANK(B256:AD256)&lt;&gt;COLUMNS(B256:AD256),255,"")</f>
        <v/>
      </c>
      <c r="I256" s="1" t="str">
        <f t="shared" si="18"/>
        <v/>
      </c>
      <c r="J256" s="1" t="str">
        <f t="shared" si="19"/>
        <v/>
      </c>
      <c r="T256" s="1" t="str">
        <f t="shared" si="20"/>
        <v/>
      </c>
      <c r="W256" s="1" t="str">
        <f t="shared" si="21"/>
        <v/>
      </c>
      <c r="AA256" s="1" t="str">
        <f t="shared" si="22"/>
        <v/>
      </c>
      <c r="AB256" s="1" t="str">
        <f t="shared" si="23"/>
        <v/>
      </c>
    </row>
    <row r="257" spans="1:28" x14ac:dyDescent="0.2">
      <c r="A257" t="str">
        <f>IF(COUNTBLANK(B257:AD257)&lt;&gt;COLUMNS(B257:AD257),256,"")</f>
        <v/>
      </c>
      <c r="I257" s="1" t="str">
        <f t="shared" si="18"/>
        <v/>
      </c>
      <c r="J257" s="1" t="str">
        <f t="shared" si="19"/>
        <v/>
      </c>
      <c r="T257" s="1" t="str">
        <f t="shared" si="20"/>
        <v/>
      </c>
      <c r="W257" s="1" t="str">
        <f t="shared" si="21"/>
        <v/>
      </c>
      <c r="AA257" s="1" t="str">
        <f t="shared" si="22"/>
        <v/>
      </c>
      <c r="AB257" s="1" t="str">
        <f t="shared" si="23"/>
        <v/>
      </c>
    </row>
    <row r="258" spans="1:28" x14ac:dyDescent="0.2">
      <c r="A258" t="str">
        <f>IF(COUNTBLANK(B258:AD258)&lt;&gt;COLUMNS(B258:AD258),257,"")</f>
        <v/>
      </c>
      <c r="I258" s="1" t="str">
        <f t="shared" ref="I258:I321" si="24">IF(B258="", "", "meters")</f>
        <v/>
      </c>
      <c r="J258" s="1" t="str">
        <f t="shared" ref="J258:J321" si="25">IF(B258="", "", "free-living")</f>
        <v/>
      </c>
      <c r="T258" s="1" t="str">
        <f t="shared" ref="T258:T321" si="26">IF(B258="", "", "Decimal degrees")</f>
        <v/>
      </c>
      <c r="W258" s="1" t="str">
        <f t="shared" ref="W258:W321" si="27">IF(B258="", "", "Decimal degrees")</f>
        <v/>
      </c>
      <c r="AA258" s="1" t="str">
        <f t="shared" ref="AA258:AA321" si="28">IF(B258="", "", "metagenome")</f>
        <v/>
      </c>
      <c r="AB258" s="1" t="str">
        <f t="shared" ref="AB258:AB321" si="29">IF(B258="", "", "256318")</f>
        <v/>
      </c>
    </row>
    <row r="259" spans="1:28" x14ac:dyDescent="0.2">
      <c r="A259" t="str">
        <f>IF(COUNTBLANK(B259:AD259)&lt;&gt;COLUMNS(B259:AD259),258,"")</f>
        <v/>
      </c>
      <c r="I259" s="1" t="str">
        <f t="shared" si="24"/>
        <v/>
      </c>
      <c r="J259" s="1" t="str">
        <f t="shared" si="25"/>
        <v/>
      </c>
      <c r="T259" s="1" t="str">
        <f t="shared" si="26"/>
        <v/>
      </c>
      <c r="W259" s="1" t="str">
        <f t="shared" si="27"/>
        <v/>
      </c>
      <c r="AA259" s="1" t="str">
        <f t="shared" si="28"/>
        <v/>
      </c>
      <c r="AB259" s="1" t="str">
        <f t="shared" si="29"/>
        <v/>
      </c>
    </row>
    <row r="260" spans="1:28" x14ac:dyDescent="0.2">
      <c r="A260" t="str">
        <f>IF(COUNTBLANK(B260:AD260)&lt;&gt;COLUMNS(B260:AD260),259,"")</f>
        <v/>
      </c>
      <c r="I260" s="1" t="str">
        <f t="shared" si="24"/>
        <v/>
      </c>
      <c r="J260" s="1" t="str">
        <f t="shared" si="25"/>
        <v/>
      </c>
      <c r="T260" s="1" t="str">
        <f t="shared" si="26"/>
        <v/>
      </c>
      <c r="W260" s="1" t="str">
        <f t="shared" si="27"/>
        <v/>
      </c>
      <c r="AA260" s="1" t="str">
        <f t="shared" si="28"/>
        <v/>
      </c>
      <c r="AB260" s="1" t="str">
        <f t="shared" si="29"/>
        <v/>
      </c>
    </row>
    <row r="261" spans="1:28" x14ac:dyDescent="0.2">
      <c r="A261" t="str">
        <f>IF(COUNTBLANK(B261:AD261)&lt;&gt;COLUMNS(B261:AD261),260,"")</f>
        <v/>
      </c>
      <c r="I261" s="1" t="str">
        <f t="shared" si="24"/>
        <v/>
      </c>
      <c r="J261" s="1" t="str">
        <f t="shared" si="25"/>
        <v/>
      </c>
      <c r="T261" s="1" t="str">
        <f t="shared" si="26"/>
        <v/>
      </c>
      <c r="W261" s="1" t="str">
        <f t="shared" si="27"/>
        <v/>
      </c>
      <c r="AA261" s="1" t="str">
        <f t="shared" si="28"/>
        <v/>
      </c>
      <c r="AB261" s="1" t="str">
        <f t="shared" si="29"/>
        <v/>
      </c>
    </row>
    <row r="262" spans="1:28" x14ac:dyDescent="0.2">
      <c r="A262" t="str">
        <f>IF(COUNTBLANK(B262:AD262)&lt;&gt;COLUMNS(B262:AD262),261,"")</f>
        <v/>
      </c>
      <c r="I262" s="1" t="str">
        <f t="shared" si="24"/>
        <v/>
      </c>
      <c r="J262" s="1" t="str">
        <f t="shared" si="25"/>
        <v/>
      </c>
      <c r="T262" s="1" t="str">
        <f t="shared" si="26"/>
        <v/>
      </c>
      <c r="W262" s="1" t="str">
        <f t="shared" si="27"/>
        <v/>
      </c>
      <c r="AA262" s="1" t="str">
        <f t="shared" si="28"/>
        <v/>
      </c>
      <c r="AB262" s="1" t="str">
        <f t="shared" si="29"/>
        <v/>
      </c>
    </row>
    <row r="263" spans="1:28" x14ac:dyDescent="0.2">
      <c r="A263" t="str">
        <f>IF(COUNTBLANK(B263:AD263)&lt;&gt;COLUMNS(B263:AD263),262,"")</f>
        <v/>
      </c>
      <c r="I263" s="1" t="str">
        <f t="shared" si="24"/>
        <v/>
      </c>
      <c r="J263" s="1" t="str">
        <f t="shared" si="25"/>
        <v/>
      </c>
      <c r="T263" s="1" t="str">
        <f t="shared" si="26"/>
        <v/>
      </c>
      <c r="W263" s="1" t="str">
        <f t="shared" si="27"/>
        <v/>
      </c>
      <c r="AA263" s="1" t="str">
        <f t="shared" si="28"/>
        <v/>
      </c>
      <c r="AB263" s="1" t="str">
        <f t="shared" si="29"/>
        <v/>
      </c>
    </row>
    <row r="264" spans="1:28" x14ac:dyDescent="0.2">
      <c r="A264" t="str">
        <f>IF(COUNTBLANK(B264:AD264)&lt;&gt;COLUMNS(B264:AD264),263,"")</f>
        <v/>
      </c>
      <c r="I264" s="1" t="str">
        <f t="shared" si="24"/>
        <v/>
      </c>
      <c r="J264" s="1" t="str">
        <f t="shared" si="25"/>
        <v/>
      </c>
      <c r="T264" s="1" t="str">
        <f t="shared" si="26"/>
        <v/>
      </c>
      <c r="W264" s="1" t="str">
        <f t="shared" si="27"/>
        <v/>
      </c>
      <c r="AA264" s="1" t="str">
        <f t="shared" si="28"/>
        <v/>
      </c>
      <c r="AB264" s="1" t="str">
        <f t="shared" si="29"/>
        <v/>
      </c>
    </row>
    <row r="265" spans="1:28" x14ac:dyDescent="0.2">
      <c r="A265" t="str">
        <f>IF(COUNTBLANK(B265:AD265)&lt;&gt;COLUMNS(B265:AD265),264,"")</f>
        <v/>
      </c>
      <c r="I265" s="1" t="str">
        <f t="shared" si="24"/>
        <v/>
      </c>
      <c r="J265" s="1" t="str">
        <f t="shared" si="25"/>
        <v/>
      </c>
      <c r="T265" s="1" t="str">
        <f t="shared" si="26"/>
        <v/>
      </c>
      <c r="W265" s="1" t="str">
        <f t="shared" si="27"/>
        <v/>
      </c>
      <c r="AA265" s="1" t="str">
        <f t="shared" si="28"/>
        <v/>
      </c>
      <c r="AB265" s="1" t="str">
        <f t="shared" si="29"/>
        <v/>
      </c>
    </row>
    <row r="266" spans="1:28" x14ac:dyDescent="0.2">
      <c r="A266" t="str">
        <f>IF(COUNTBLANK(B266:AD266)&lt;&gt;COLUMNS(B266:AD266),265,"")</f>
        <v/>
      </c>
      <c r="I266" s="1" t="str">
        <f t="shared" si="24"/>
        <v/>
      </c>
      <c r="J266" s="1" t="str">
        <f t="shared" si="25"/>
        <v/>
      </c>
      <c r="T266" s="1" t="str">
        <f t="shared" si="26"/>
        <v/>
      </c>
      <c r="W266" s="1" t="str">
        <f t="shared" si="27"/>
        <v/>
      </c>
      <c r="AA266" s="1" t="str">
        <f t="shared" si="28"/>
        <v/>
      </c>
      <c r="AB266" s="1" t="str">
        <f t="shared" si="29"/>
        <v/>
      </c>
    </row>
    <row r="267" spans="1:28" x14ac:dyDescent="0.2">
      <c r="A267" t="str">
        <f>IF(COUNTBLANK(B267:AD267)&lt;&gt;COLUMNS(B267:AD267),266,"")</f>
        <v/>
      </c>
      <c r="I267" s="1" t="str">
        <f t="shared" si="24"/>
        <v/>
      </c>
      <c r="J267" s="1" t="str">
        <f t="shared" si="25"/>
        <v/>
      </c>
      <c r="T267" s="1" t="str">
        <f t="shared" si="26"/>
        <v/>
      </c>
      <c r="W267" s="1" t="str">
        <f t="shared" si="27"/>
        <v/>
      </c>
      <c r="AA267" s="1" t="str">
        <f t="shared" si="28"/>
        <v/>
      </c>
      <c r="AB267" s="1" t="str">
        <f t="shared" si="29"/>
        <v/>
      </c>
    </row>
    <row r="268" spans="1:28" x14ac:dyDescent="0.2">
      <c r="A268" t="str">
        <f>IF(COUNTBLANK(B268:AD268)&lt;&gt;COLUMNS(B268:AD268),267,"")</f>
        <v/>
      </c>
      <c r="I268" s="1" t="str">
        <f t="shared" si="24"/>
        <v/>
      </c>
      <c r="J268" s="1" t="str">
        <f t="shared" si="25"/>
        <v/>
      </c>
      <c r="T268" s="1" t="str">
        <f t="shared" si="26"/>
        <v/>
      </c>
      <c r="W268" s="1" t="str">
        <f t="shared" si="27"/>
        <v/>
      </c>
      <c r="AA268" s="1" t="str">
        <f t="shared" si="28"/>
        <v/>
      </c>
      <c r="AB268" s="1" t="str">
        <f t="shared" si="29"/>
        <v/>
      </c>
    </row>
    <row r="269" spans="1:28" x14ac:dyDescent="0.2">
      <c r="A269" t="str">
        <f>IF(COUNTBLANK(B269:AD269)&lt;&gt;COLUMNS(B269:AD269),268,"")</f>
        <v/>
      </c>
      <c r="I269" s="1" t="str">
        <f t="shared" si="24"/>
        <v/>
      </c>
      <c r="J269" s="1" t="str">
        <f t="shared" si="25"/>
        <v/>
      </c>
      <c r="T269" s="1" t="str">
        <f t="shared" si="26"/>
        <v/>
      </c>
      <c r="W269" s="1" t="str">
        <f t="shared" si="27"/>
        <v/>
      </c>
      <c r="AA269" s="1" t="str">
        <f t="shared" si="28"/>
        <v/>
      </c>
      <c r="AB269" s="1" t="str">
        <f t="shared" si="29"/>
        <v/>
      </c>
    </row>
    <row r="270" spans="1:28" x14ac:dyDescent="0.2">
      <c r="A270" t="str">
        <f>IF(COUNTBLANK(B270:AD270)&lt;&gt;COLUMNS(B270:AD270),269,"")</f>
        <v/>
      </c>
      <c r="I270" s="1" t="str">
        <f t="shared" si="24"/>
        <v/>
      </c>
      <c r="J270" s="1" t="str">
        <f t="shared" si="25"/>
        <v/>
      </c>
      <c r="T270" s="1" t="str">
        <f t="shared" si="26"/>
        <v/>
      </c>
      <c r="W270" s="1" t="str">
        <f t="shared" si="27"/>
        <v/>
      </c>
      <c r="AA270" s="1" t="str">
        <f t="shared" si="28"/>
        <v/>
      </c>
      <c r="AB270" s="1" t="str">
        <f t="shared" si="29"/>
        <v/>
      </c>
    </row>
    <row r="271" spans="1:28" x14ac:dyDescent="0.2">
      <c r="A271" t="str">
        <f>IF(COUNTBLANK(B271:AD271)&lt;&gt;COLUMNS(B271:AD271),270,"")</f>
        <v/>
      </c>
      <c r="I271" s="1" t="str">
        <f t="shared" si="24"/>
        <v/>
      </c>
      <c r="J271" s="1" t="str">
        <f t="shared" si="25"/>
        <v/>
      </c>
      <c r="T271" s="1" t="str">
        <f t="shared" si="26"/>
        <v/>
      </c>
      <c r="W271" s="1" t="str">
        <f t="shared" si="27"/>
        <v/>
      </c>
      <c r="AA271" s="1" t="str">
        <f t="shared" si="28"/>
        <v/>
      </c>
      <c r="AB271" s="1" t="str">
        <f t="shared" si="29"/>
        <v/>
      </c>
    </row>
    <row r="272" spans="1:28" x14ac:dyDescent="0.2">
      <c r="A272" t="str">
        <f>IF(COUNTBLANK(B272:AD272)&lt;&gt;COLUMNS(B272:AD272),271,"")</f>
        <v/>
      </c>
      <c r="I272" s="1" t="str">
        <f t="shared" si="24"/>
        <v/>
      </c>
      <c r="J272" s="1" t="str">
        <f t="shared" si="25"/>
        <v/>
      </c>
      <c r="T272" s="1" t="str">
        <f t="shared" si="26"/>
        <v/>
      </c>
      <c r="W272" s="1" t="str">
        <f t="shared" si="27"/>
        <v/>
      </c>
      <c r="AA272" s="1" t="str">
        <f t="shared" si="28"/>
        <v/>
      </c>
      <c r="AB272" s="1" t="str">
        <f t="shared" si="29"/>
        <v/>
      </c>
    </row>
    <row r="273" spans="1:28" x14ac:dyDescent="0.2">
      <c r="A273" t="str">
        <f>IF(COUNTBLANK(B273:AD273)&lt;&gt;COLUMNS(B273:AD273),272,"")</f>
        <v/>
      </c>
      <c r="I273" s="1" t="str">
        <f t="shared" si="24"/>
        <v/>
      </c>
      <c r="J273" s="1" t="str">
        <f t="shared" si="25"/>
        <v/>
      </c>
      <c r="T273" s="1" t="str">
        <f t="shared" si="26"/>
        <v/>
      </c>
      <c r="W273" s="1" t="str">
        <f t="shared" si="27"/>
        <v/>
      </c>
      <c r="AA273" s="1" t="str">
        <f t="shared" si="28"/>
        <v/>
      </c>
      <c r="AB273" s="1" t="str">
        <f t="shared" si="29"/>
        <v/>
      </c>
    </row>
    <row r="274" spans="1:28" x14ac:dyDescent="0.2">
      <c r="A274" t="str">
        <f>IF(COUNTBLANK(B274:AD274)&lt;&gt;COLUMNS(B274:AD274),273,"")</f>
        <v/>
      </c>
      <c r="I274" s="1" t="str">
        <f t="shared" si="24"/>
        <v/>
      </c>
      <c r="J274" s="1" t="str">
        <f t="shared" si="25"/>
        <v/>
      </c>
      <c r="T274" s="1" t="str">
        <f t="shared" si="26"/>
        <v/>
      </c>
      <c r="W274" s="1" t="str">
        <f t="shared" si="27"/>
        <v/>
      </c>
      <c r="AA274" s="1" t="str">
        <f t="shared" si="28"/>
        <v/>
      </c>
      <c r="AB274" s="1" t="str">
        <f t="shared" si="29"/>
        <v/>
      </c>
    </row>
    <row r="275" spans="1:28" x14ac:dyDescent="0.2">
      <c r="A275" t="str">
        <f>IF(COUNTBLANK(B275:AD275)&lt;&gt;COLUMNS(B275:AD275),274,"")</f>
        <v/>
      </c>
      <c r="I275" s="1" t="str">
        <f t="shared" si="24"/>
        <v/>
      </c>
      <c r="J275" s="1" t="str">
        <f t="shared" si="25"/>
        <v/>
      </c>
      <c r="T275" s="1" t="str">
        <f t="shared" si="26"/>
        <v/>
      </c>
      <c r="W275" s="1" t="str">
        <f t="shared" si="27"/>
        <v/>
      </c>
      <c r="AA275" s="1" t="str">
        <f t="shared" si="28"/>
        <v/>
      </c>
      <c r="AB275" s="1" t="str">
        <f t="shared" si="29"/>
        <v/>
      </c>
    </row>
    <row r="276" spans="1:28" x14ac:dyDescent="0.2">
      <c r="A276" t="str">
        <f>IF(COUNTBLANK(B276:AD276)&lt;&gt;COLUMNS(B276:AD276),275,"")</f>
        <v/>
      </c>
      <c r="I276" s="1" t="str">
        <f t="shared" si="24"/>
        <v/>
      </c>
      <c r="J276" s="1" t="str">
        <f t="shared" si="25"/>
        <v/>
      </c>
      <c r="T276" s="1" t="str">
        <f t="shared" si="26"/>
        <v/>
      </c>
      <c r="W276" s="1" t="str">
        <f t="shared" si="27"/>
        <v/>
      </c>
      <c r="AA276" s="1" t="str">
        <f t="shared" si="28"/>
        <v/>
      </c>
      <c r="AB276" s="1" t="str">
        <f t="shared" si="29"/>
        <v/>
      </c>
    </row>
    <row r="277" spans="1:28" x14ac:dyDescent="0.2">
      <c r="A277" t="str">
        <f>IF(COUNTBLANK(B277:AD277)&lt;&gt;COLUMNS(B277:AD277),276,"")</f>
        <v/>
      </c>
      <c r="I277" s="1" t="str">
        <f t="shared" si="24"/>
        <v/>
      </c>
      <c r="J277" s="1" t="str">
        <f t="shared" si="25"/>
        <v/>
      </c>
      <c r="T277" s="1" t="str">
        <f t="shared" si="26"/>
        <v/>
      </c>
      <c r="W277" s="1" t="str">
        <f t="shared" si="27"/>
        <v/>
      </c>
      <c r="AA277" s="1" t="str">
        <f t="shared" si="28"/>
        <v/>
      </c>
      <c r="AB277" s="1" t="str">
        <f t="shared" si="29"/>
        <v/>
      </c>
    </row>
    <row r="278" spans="1:28" x14ac:dyDescent="0.2">
      <c r="A278" t="str">
        <f>IF(COUNTBLANK(B278:AD278)&lt;&gt;COLUMNS(B278:AD278),277,"")</f>
        <v/>
      </c>
      <c r="I278" s="1" t="str">
        <f t="shared" si="24"/>
        <v/>
      </c>
      <c r="J278" s="1" t="str">
        <f t="shared" si="25"/>
        <v/>
      </c>
      <c r="T278" s="1" t="str">
        <f t="shared" si="26"/>
        <v/>
      </c>
      <c r="W278" s="1" t="str">
        <f t="shared" si="27"/>
        <v/>
      </c>
      <c r="AA278" s="1" t="str">
        <f t="shared" si="28"/>
        <v/>
      </c>
      <c r="AB278" s="1" t="str">
        <f t="shared" si="29"/>
        <v/>
      </c>
    </row>
    <row r="279" spans="1:28" x14ac:dyDescent="0.2">
      <c r="A279" t="str">
        <f>IF(COUNTBLANK(B279:AD279)&lt;&gt;COLUMNS(B279:AD279),278,"")</f>
        <v/>
      </c>
      <c r="I279" s="1" t="str">
        <f t="shared" si="24"/>
        <v/>
      </c>
      <c r="J279" s="1" t="str">
        <f t="shared" si="25"/>
        <v/>
      </c>
      <c r="T279" s="1" t="str">
        <f t="shared" si="26"/>
        <v/>
      </c>
      <c r="W279" s="1" t="str">
        <f t="shared" si="27"/>
        <v/>
      </c>
      <c r="AA279" s="1" t="str">
        <f t="shared" si="28"/>
        <v/>
      </c>
      <c r="AB279" s="1" t="str">
        <f t="shared" si="29"/>
        <v/>
      </c>
    </row>
    <row r="280" spans="1:28" x14ac:dyDescent="0.2">
      <c r="A280" t="str">
        <f>IF(COUNTBLANK(B280:AD280)&lt;&gt;COLUMNS(B280:AD280),279,"")</f>
        <v/>
      </c>
      <c r="I280" s="1" t="str">
        <f t="shared" si="24"/>
        <v/>
      </c>
      <c r="J280" s="1" t="str">
        <f t="shared" si="25"/>
        <v/>
      </c>
      <c r="T280" s="1" t="str">
        <f t="shared" si="26"/>
        <v/>
      </c>
      <c r="W280" s="1" t="str">
        <f t="shared" si="27"/>
        <v/>
      </c>
      <c r="AA280" s="1" t="str">
        <f t="shared" si="28"/>
        <v/>
      </c>
      <c r="AB280" s="1" t="str">
        <f t="shared" si="29"/>
        <v/>
      </c>
    </row>
    <row r="281" spans="1:28" x14ac:dyDescent="0.2">
      <c r="A281" t="str">
        <f>IF(COUNTBLANK(B281:AD281)&lt;&gt;COLUMNS(B281:AD281),280,"")</f>
        <v/>
      </c>
      <c r="I281" s="1" t="str">
        <f t="shared" si="24"/>
        <v/>
      </c>
      <c r="J281" s="1" t="str">
        <f t="shared" si="25"/>
        <v/>
      </c>
      <c r="T281" s="1" t="str">
        <f t="shared" si="26"/>
        <v/>
      </c>
      <c r="W281" s="1" t="str">
        <f t="shared" si="27"/>
        <v/>
      </c>
      <c r="AA281" s="1" t="str">
        <f t="shared" si="28"/>
        <v/>
      </c>
      <c r="AB281" s="1" t="str">
        <f t="shared" si="29"/>
        <v/>
      </c>
    </row>
    <row r="282" spans="1:28" x14ac:dyDescent="0.2">
      <c r="A282" t="str">
        <f>IF(COUNTBLANK(B282:AD282)&lt;&gt;COLUMNS(B282:AD282),281,"")</f>
        <v/>
      </c>
      <c r="I282" s="1" t="str">
        <f t="shared" si="24"/>
        <v/>
      </c>
      <c r="J282" s="1" t="str">
        <f t="shared" si="25"/>
        <v/>
      </c>
      <c r="T282" s="1" t="str">
        <f t="shared" si="26"/>
        <v/>
      </c>
      <c r="W282" s="1" t="str">
        <f t="shared" si="27"/>
        <v/>
      </c>
      <c r="AA282" s="1" t="str">
        <f t="shared" si="28"/>
        <v/>
      </c>
      <c r="AB282" s="1" t="str">
        <f t="shared" si="29"/>
        <v/>
      </c>
    </row>
    <row r="283" spans="1:28" x14ac:dyDescent="0.2">
      <c r="A283" t="str">
        <f>IF(COUNTBLANK(B283:AD283)&lt;&gt;COLUMNS(B283:AD283),282,"")</f>
        <v/>
      </c>
      <c r="I283" s="1" t="str">
        <f t="shared" si="24"/>
        <v/>
      </c>
      <c r="J283" s="1" t="str">
        <f t="shared" si="25"/>
        <v/>
      </c>
      <c r="T283" s="1" t="str">
        <f t="shared" si="26"/>
        <v/>
      </c>
      <c r="W283" s="1" t="str">
        <f t="shared" si="27"/>
        <v/>
      </c>
      <c r="AA283" s="1" t="str">
        <f t="shared" si="28"/>
        <v/>
      </c>
      <c r="AB283" s="1" t="str">
        <f t="shared" si="29"/>
        <v/>
      </c>
    </row>
    <row r="284" spans="1:28" x14ac:dyDescent="0.2">
      <c r="A284" t="str">
        <f>IF(COUNTBLANK(B284:AD284)&lt;&gt;COLUMNS(B284:AD284),283,"")</f>
        <v/>
      </c>
      <c r="I284" s="1" t="str">
        <f t="shared" si="24"/>
        <v/>
      </c>
      <c r="J284" s="1" t="str">
        <f t="shared" si="25"/>
        <v/>
      </c>
      <c r="T284" s="1" t="str">
        <f t="shared" si="26"/>
        <v/>
      </c>
      <c r="W284" s="1" t="str">
        <f t="shared" si="27"/>
        <v/>
      </c>
      <c r="AA284" s="1" t="str">
        <f t="shared" si="28"/>
        <v/>
      </c>
      <c r="AB284" s="1" t="str">
        <f t="shared" si="29"/>
        <v/>
      </c>
    </row>
    <row r="285" spans="1:28" x14ac:dyDescent="0.2">
      <c r="A285" t="str">
        <f>IF(COUNTBLANK(B285:AD285)&lt;&gt;COLUMNS(B285:AD285),284,"")</f>
        <v/>
      </c>
      <c r="I285" s="1" t="str">
        <f t="shared" si="24"/>
        <v/>
      </c>
      <c r="J285" s="1" t="str">
        <f t="shared" si="25"/>
        <v/>
      </c>
      <c r="T285" s="1" t="str">
        <f t="shared" si="26"/>
        <v/>
      </c>
      <c r="W285" s="1" t="str">
        <f t="shared" si="27"/>
        <v/>
      </c>
      <c r="AA285" s="1" t="str">
        <f t="shared" si="28"/>
        <v/>
      </c>
      <c r="AB285" s="1" t="str">
        <f t="shared" si="29"/>
        <v/>
      </c>
    </row>
    <row r="286" spans="1:28" x14ac:dyDescent="0.2">
      <c r="A286" t="str">
        <f>IF(COUNTBLANK(B286:AD286)&lt;&gt;COLUMNS(B286:AD286),285,"")</f>
        <v/>
      </c>
      <c r="I286" s="1" t="str">
        <f t="shared" si="24"/>
        <v/>
      </c>
      <c r="J286" s="1" t="str">
        <f t="shared" si="25"/>
        <v/>
      </c>
      <c r="T286" s="1" t="str">
        <f t="shared" si="26"/>
        <v/>
      </c>
      <c r="W286" s="1" t="str">
        <f t="shared" si="27"/>
        <v/>
      </c>
      <c r="AA286" s="1" t="str">
        <f t="shared" si="28"/>
        <v/>
      </c>
      <c r="AB286" s="1" t="str">
        <f t="shared" si="29"/>
        <v/>
      </c>
    </row>
    <row r="287" spans="1:28" x14ac:dyDescent="0.2">
      <c r="A287" t="str">
        <f>IF(COUNTBLANK(B287:AD287)&lt;&gt;COLUMNS(B287:AD287),286,"")</f>
        <v/>
      </c>
      <c r="I287" s="1" t="str">
        <f t="shared" si="24"/>
        <v/>
      </c>
      <c r="J287" s="1" t="str">
        <f t="shared" si="25"/>
        <v/>
      </c>
      <c r="T287" s="1" t="str">
        <f t="shared" si="26"/>
        <v/>
      </c>
      <c r="W287" s="1" t="str">
        <f t="shared" si="27"/>
        <v/>
      </c>
      <c r="AA287" s="1" t="str">
        <f t="shared" si="28"/>
        <v/>
      </c>
      <c r="AB287" s="1" t="str">
        <f t="shared" si="29"/>
        <v/>
      </c>
    </row>
    <row r="288" spans="1:28" x14ac:dyDescent="0.2">
      <c r="A288" t="str">
        <f>IF(COUNTBLANK(B288:AD288)&lt;&gt;COLUMNS(B288:AD288),287,"")</f>
        <v/>
      </c>
      <c r="I288" s="1" t="str">
        <f t="shared" si="24"/>
        <v/>
      </c>
      <c r="J288" s="1" t="str">
        <f t="shared" si="25"/>
        <v/>
      </c>
      <c r="T288" s="1" t="str">
        <f t="shared" si="26"/>
        <v/>
      </c>
      <c r="W288" s="1" t="str">
        <f t="shared" si="27"/>
        <v/>
      </c>
      <c r="AA288" s="1" t="str">
        <f t="shared" si="28"/>
        <v/>
      </c>
      <c r="AB288" s="1" t="str">
        <f t="shared" si="29"/>
        <v/>
      </c>
    </row>
    <row r="289" spans="1:28" x14ac:dyDescent="0.2">
      <c r="A289" t="str">
        <f>IF(COUNTBLANK(B289:AD289)&lt;&gt;COLUMNS(B289:AD289),288,"")</f>
        <v/>
      </c>
      <c r="I289" s="1" t="str">
        <f t="shared" si="24"/>
        <v/>
      </c>
      <c r="J289" s="1" t="str">
        <f t="shared" si="25"/>
        <v/>
      </c>
      <c r="T289" s="1" t="str">
        <f t="shared" si="26"/>
        <v/>
      </c>
      <c r="W289" s="1" t="str">
        <f t="shared" si="27"/>
        <v/>
      </c>
      <c r="AA289" s="1" t="str">
        <f t="shared" si="28"/>
        <v/>
      </c>
      <c r="AB289" s="1" t="str">
        <f t="shared" si="29"/>
        <v/>
      </c>
    </row>
    <row r="290" spans="1:28" x14ac:dyDescent="0.2">
      <c r="A290" t="str">
        <f>IF(COUNTBLANK(B290:AD290)&lt;&gt;COLUMNS(B290:AD290),289,"")</f>
        <v/>
      </c>
      <c r="I290" s="1" t="str">
        <f t="shared" si="24"/>
        <v/>
      </c>
      <c r="J290" s="1" t="str">
        <f t="shared" si="25"/>
        <v/>
      </c>
      <c r="T290" s="1" t="str">
        <f t="shared" si="26"/>
        <v/>
      </c>
      <c r="W290" s="1" t="str">
        <f t="shared" si="27"/>
        <v/>
      </c>
      <c r="AA290" s="1" t="str">
        <f t="shared" si="28"/>
        <v/>
      </c>
      <c r="AB290" s="1" t="str">
        <f t="shared" si="29"/>
        <v/>
      </c>
    </row>
    <row r="291" spans="1:28" x14ac:dyDescent="0.2">
      <c r="A291" t="str">
        <f>IF(COUNTBLANK(B291:AD291)&lt;&gt;COLUMNS(B291:AD291),290,"")</f>
        <v/>
      </c>
      <c r="I291" s="1" t="str">
        <f t="shared" si="24"/>
        <v/>
      </c>
      <c r="J291" s="1" t="str">
        <f t="shared" si="25"/>
        <v/>
      </c>
      <c r="T291" s="1" t="str">
        <f t="shared" si="26"/>
        <v/>
      </c>
      <c r="W291" s="1" t="str">
        <f t="shared" si="27"/>
        <v/>
      </c>
      <c r="AA291" s="1" t="str">
        <f t="shared" si="28"/>
        <v/>
      </c>
      <c r="AB291" s="1" t="str">
        <f t="shared" si="29"/>
        <v/>
      </c>
    </row>
    <row r="292" spans="1:28" x14ac:dyDescent="0.2">
      <c r="A292" t="str">
        <f>IF(COUNTBLANK(B292:AD292)&lt;&gt;COLUMNS(B292:AD292),291,"")</f>
        <v/>
      </c>
      <c r="I292" s="1" t="str">
        <f t="shared" si="24"/>
        <v/>
      </c>
      <c r="J292" s="1" t="str">
        <f t="shared" si="25"/>
        <v/>
      </c>
      <c r="T292" s="1" t="str">
        <f t="shared" si="26"/>
        <v/>
      </c>
      <c r="W292" s="1" t="str">
        <f t="shared" si="27"/>
        <v/>
      </c>
      <c r="AA292" s="1" t="str">
        <f t="shared" si="28"/>
        <v/>
      </c>
      <c r="AB292" s="1" t="str">
        <f t="shared" si="29"/>
        <v/>
      </c>
    </row>
    <row r="293" spans="1:28" x14ac:dyDescent="0.2">
      <c r="A293" t="str">
        <f>IF(COUNTBLANK(B293:AD293)&lt;&gt;COLUMNS(B293:AD293),292,"")</f>
        <v/>
      </c>
      <c r="I293" s="1" t="str">
        <f t="shared" si="24"/>
        <v/>
      </c>
      <c r="J293" s="1" t="str">
        <f t="shared" si="25"/>
        <v/>
      </c>
      <c r="T293" s="1" t="str">
        <f t="shared" si="26"/>
        <v/>
      </c>
      <c r="W293" s="1" t="str">
        <f t="shared" si="27"/>
        <v/>
      </c>
      <c r="AA293" s="1" t="str">
        <f t="shared" si="28"/>
        <v/>
      </c>
      <c r="AB293" s="1" t="str">
        <f t="shared" si="29"/>
        <v/>
      </c>
    </row>
    <row r="294" spans="1:28" x14ac:dyDescent="0.2">
      <c r="A294" t="str">
        <f>IF(COUNTBLANK(B294:AD294)&lt;&gt;COLUMNS(B294:AD294),293,"")</f>
        <v/>
      </c>
      <c r="I294" s="1" t="str">
        <f t="shared" si="24"/>
        <v/>
      </c>
      <c r="J294" s="1" t="str">
        <f t="shared" si="25"/>
        <v/>
      </c>
      <c r="T294" s="1" t="str">
        <f t="shared" si="26"/>
        <v/>
      </c>
      <c r="W294" s="1" t="str">
        <f t="shared" si="27"/>
        <v/>
      </c>
      <c r="AA294" s="1" t="str">
        <f t="shared" si="28"/>
        <v/>
      </c>
      <c r="AB294" s="1" t="str">
        <f t="shared" si="29"/>
        <v/>
      </c>
    </row>
    <row r="295" spans="1:28" x14ac:dyDescent="0.2">
      <c r="A295" t="str">
        <f>IF(COUNTBLANK(B295:AD295)&lt;&gt;COLUMNS(B295:AD295),294,"")</f>
        <v/>
      </c>
      <c r="I295" s="1" t="str">
        <f t="shared" si="24"/>
        <v/>
      </c>
      <c r="J295" s="1" t="str">
        <f t="shared" si="25"/>
        <v/>
      </c>
      <c r="T295" s="1" t="str">
        <f t="shared" si="26"/>
        <v/>
      </c>
      <c r="W295" s="1" t="str">
        <f t="shared" si="27"/>
        <v/>
      </c>
      <c r="AA295" s="1" t="str">
        <f t="shared" si="28"/>
        <v/>
      </c>
      <c r="AB295" s="1" t="str">
        <f t="shared" si="29"/>
        <v/>
      </c>
    </row>
    <row r="296" spans="1:28" x14ac:dyDescent="0.2">
      <c r="A296" t="str">
        <f>IF(COUNTBLANK(B296:AD296)&lt;&gt;COLUMNS(B296:AD296),295,"")</f>
        <v/>
      </c>
      <c r="I296" s="1" t="str">
        <f t="shared" si="24"/>
        <v/>
      </c>
      <c r="J296" s="1" t="str">
        <f t="shared" si="25"/>
        <v/>
      </c>
      <c r="T296" s="1" t="str">
        <f t="shared" si="26"/>
        <v/>
      </c>
      <c r="W296" s="1" t="str">
        <f t="shared" si="27"/>
        <v/>
      </c>
      <c r="AA296" s="1" t="str">
        <f t="shared" si="28"/>
        <v/>
      </c>
      <c r="AB296" s="1" t="str">
        <f t="shared" si="29"/>
        <v/>
      </c>
    </row>
    <row r="297" spans="1:28" x14ac:dyDescent="0.2">
      <c r="A297" t="str">
        <f>IF(COUNTBLANK(B297:AD297)&lt;&gt;COLUMNS(B297:AD297),296,"")</f>
        <v/>
      </c>
      <c r="I297" s="1" t="str">
        <f t="shared" si="24"/>
        <v/>
      </c>
      <c r="J297" s="1" t="str">
        <f t="shared" si="25"/>
        <v/>
      </c>
      <c r="T297" s="1" t="str">
        <f t="shared" si="26"/>
        <v/>
      </c>
      <c r="W297" s="1" t="str">
        <f t="shared" si="27"/>
        <v/>
      </c>
      <c r="AA297" s="1" t="str">
        <f t="shared" si="28"/>
        <v/>
      </c>
      <c r="AB297" s="1" t="str">
        <f t="shared" si="29"/>
        <v/>
      </c>
    </row>
    <row r="298" spans="1:28" x14ac:dyDescent="0.2">
      <c r="A298" t="str">
        <f>IF(COUNTBLANK(B298:AD298)&lt;&gt;COLUMNS(B298:AD298),297,"")</f>
        <v/>
      </c>
      <c r="I298" s="1" t="str">
        <f t="shared" si="24"/>
        <v/>
      </c>
      <c r="J298" s="1" t="str">
        <f t="shared" si="25"/>
        <v/>
      </c>
      <c r="T298" s="1" t="str">
        <f t="shared" si="26"/>
        <v/>
      </c>
      <c r="W298" s="1" t="str">
        <f t="shared" si="27"/>
        <v/>
      </c>
      <c r="AA298" s="1" t="str">
        <f t="shared" si="28"/>
        <v/>
      </c>
      <c r="AB298" s="1" t="str">
        <f t="shared" si="29"/>
        <v/>
      </c>
    </row>
    <row r="299" spans="1:28" x14ac:dyDescent="0.2">
      <c r="A299" t="str">
        <f>IF(COUNTBLANK(B299:AD299)&lt;&gt;COLUMNS(B299:AD299),298,"")</f>
        <v/>
      </c>
      <c r="I299" s="1" t="str">
        <f t="shared" si="24"/>
        <v/>
      </c>
      <c r="J299" s="1" t="str">
        <f t="shared" si="25"/>
        <v/>
      </c>
      <c r="T299" s="1" t="str">
        <f t="shared" si="26"/>
        <v/>
      </c>
      <c r="W299" s="1" t="str">
        <f t="shared" si="27"/>
        <v/>
      </c>
      <c r="AA299" s="1" t="str">
        <f t="shared" si="28"/>
        <v/>
      </c>
      <c r="AB299" s="1" t="str">
        <f t="shared" si="29"/>
        <v/>
      </c>
    </row>
    <row r="300" spans="1:28" x14ac:dyDescent="0.2">
      <c r="A300" t="str">
        <f>IF(COUNTBLANK(B300:AD300)&lt;&gt;COLUMNS(B300:AD300),299,"")</f>
        <v/>
      </c>
      <c r="I300" s="1" t="str">
        <f t="shared" si="24"/>
        <v/>
      </c>
      <c r="J300" s="1" t="str">
        <f t="shared" si="25"/>
        <v/>
      </c>
      <c r="T300" s="1" t="str">
        <f t="shared" si="26"/>
        <v/>
      </c>
      <c r="W300" s="1" t="str">
        <f t="shared" si="27"/>
        <v/>
      </c>
      <c r="AA300" s="1" t="str">
        <f t="shared" si="28"/>
        <v/>
      </c>
      <c r="AB300" s="1" t="str">
        <f t="shared" si="29"/>
        <v/>
      </c>
    </row>
    <row r="301" spans="1:28" x14ac:dyDescent="0.2">
      <c r="A301" t="str">
        <f>IF(COUNTBLANK(B301:AD301)&lt;&gt;COLUMNS(B301:AD301),300,"")</f>
        <v/>
      </c>
      <c r="I301" s="1" t="str">
        <f t="shared" si="24"/>
        <v/>
      </c>
      <c r="J301" s="1" t="str">
        <f t="shared" si="25"/>
        <v/>
      </c>
      <c r="T301" s="1" t="str">
        <f t="shared" si="26"/>
        <v/>
      </c>
      <c r="W301" s="1" t="str">
        <f t="shared" si="27"/>
        <v/>
      </c>
      <c r="AA301" s="1" t="str">
        <f t="shared" si="28"/>
        <v/>
      </c>
      <c r="AB301" s="1" t="str">
        <f t="shared" si="29"/>
        <v/>
      </c>
    </row>
    <row r="302" spans="1:28" x14ac:dyDescent="0.2">
      <c r="A302" t="str">
        <f>IF(COUNTBLANK(B302:AD302)&lt;&gt;COLUMNS(B302:AD302),301,"")</f>
        <v/>
      </c>
      <c r="I302" s="1" t="str">
        <f t="shared" si="24"/>
        <v/>
      </c>
      <c r="J302" s="1" t="str">
        <f t="shared" si="25"/>
        <v/>
      </c>
      <c r="T302" s="1" t="str">
        <f t="shared" si="26"/>
        <v/>
      </c>
      <c r="W302" s="1" t="str">
        <f t="shared" si="27"/>
        <v/>
      </c>
      <c r="AA302" s="1" t="str">
        <f t="shared" si="28"/>
        <v/>
      </c>
      <c r="AB302" s="1" t="str">
        <f t="shared" si="29"/>
        <v/>
      </c>
    </row>
    <row r="303" spans="1:28" x14ac:dyDescent="0.2">
      <c r="A303" t="str">
        <f>IF(COUNTBLANK(B303:AD303)&lt;&gt;COLUMNS(B303:AD303),302,"")</f>
        <v/>
      </c>
      <c r="I303" s="1" t="str">
        <f t="shared" si="24"/>
        <v/>
      </c>
      <c r="J303" s="1" t="str">
        <f t="shared" si="25"/>
        <v/>
      </c>
      <c r="T303" s="1" t="str">
        <f t="shared" si="26"/>
        <v/>
      </c>
      <c r="W303" s="1" t="str">
        <f t="shared" si="27"/>
        <v/>
      </c>
      <c r="AA303" s="1" t="str">
        <f t="shared" si="28"/>
        <v/>
      </c>
      <c r="AB303" s="1" t="str">
        <f t="shared" si="29"/>
        <v/>
      </c>
    </row>
    <row r="304" spans="1:28" x14ac:dyDescent="0.2">
      <c r="A304" t="str">
        <f>IF(COUNTBLANK(B304:AD304)&lt;&gt;COLUMNS(B304:AD304),303,"")</f>
        <v/>
      </c>
      <c r="I304" s="1" t="str">
        <f t="shared" si="24"/>
        <v/>
      </c>
      <c r="J304" s="1" t="str">
        <f t="shared" si="25"/>
        <v/>
      </c>
      <c r="T304" s="1" t="str">
        <f t="shared" si="26"/>
        <v/>
      </c>
      <c r="W304" s="1" t="str">
        <f t="shared" si="27"/>
        <v/>
      </c>
      <c r="AA304" s="1" t="str">
        <f t="shared" si="28"/>
        <v/>
      </c>
      <c r="AB304" s="1" t="str">
        <f t="shared" si="29"/>
        <v/>
      </c>
    </row>
    <row r="305" spans="1:28" x14ac:dyDescent="0.2">
      <c r="A305" t="str">
        <f>IF(COUNTBLANK(B305:AD305)&lt;&gt;COLUMNS(B305:AD305),304,"")</f>
        <v/>
      </c>
      <c r="I305" s="1" t="str">
        <f t="shared" si="24"/>
        <v/>
      </c>
      <c r="J305" s="1" t="str">
        <f t="shared" si="25"/>
        <v/>
      </c>
      <c r="T305" s="1" t="str">
        <f t="shared" si="26"/>
        <v/>
      </c>
      <c r="W305" s="1" t="str">
        <f t="shared" si="27"/>
        <v/>
      </c>
      <c r="AA305" s="1" t="str">
        <f t="shared" si="28"/>
        <v/>
      </c>
      <c r="AB305" s="1" t="str">
        <f t="shared" si="29"/>
        <v/>
      </c>
    </row>
    <row r="306" spans="1:28" x14ac:dyDescent="0.2">
      <c r="A306" t="str">
        <f>IF(COUNTBLANK(B306:AD306)&lt;&gt;COLUMNS(B306:AD306),305,"")</f>
        <v/>
      </c>
      <c r="I306" s="1" t="str">
        <f t="shared" si="24"/>
        <v/>
      </c>
      <c r="J306" s="1" t="str">
        <f t="shared" si="25"/>
        <v/>
      </c>
      <c r="T306" s="1" t="str">
        <f t="shared" si="26"/>
        <v/>
      </c>
      <c r="W306" s="1" t="str">
        <f t="shared" si="27"/>
        <v/>
      </c>
      <c r="AA306" s="1" t="str">
        <f t="shared" si="28"/>
        <v/>
      </c>
      <c r="AB306" s="1" t="str">
        <f t="shared" si="29"/>
        <v/>
      </c>
    </row>
    <row r="307" spans="1:28" x14ac:dyDescent="0.2">
      <c r="A307" t="str">
        <f>IF(COUNTBLANK(B307:AD307)&lt;&gt;COLUMNS(B307:AD307),306,"")</f>
        <v/>
      </c>
      <c r="I307" s="1" t="str">
        <f t="shared" si="24"/>
        <v/>
      </c>
      <c r="J307" s="1" t="str">
        <f t="shared" si="25"/>
        <v/>
      </c>
      <c r="T307" s="1" t="str">
        <f t="shared" si="26"/>
        <v/>
      </c>
      <c r="W307" s="1" t="str">
        <f t="shared" si="27"/>
        <v/>
      </c>
      <c r="AA307" s="1" t="str">
        <f t="shared" si="28"/>
        <v/>
      </c>
      <c r="AB307" s="1" t="str">
        <f t="shared" si="29"/>
        <v/>
      </c>
    </row>
    <row r="308" spans="1:28" x14ac:dyDescent="0.2">
      <c r="A308" t="str">
        <f>IF(COUNTBLANK(B308:AD308)&lt;&gt;COLUMNS(B308:AD308),307,"")</f>
        <v/>
      </c>
      <c r="I308" s="1" t="str">
        <f t="shared" si="24"/>
        <v/>
      </c>
      <c r="J308" s="1" t="str">
        <f t="shared" si="25"/>
        <v/>
      </c>
      <c r="T308" s="1" t="str">
        <f t="shared" si="26"/>
        <v/>
      </c>
      <c r="W308" s="1" t="str">
        <f t="shared" si="27"/>
        <v/>
      </c>
      <c r="AA308" s="1" t="str">
        <f t="shared" si="28"/>
        <v/>
      </c>
      <c r="AB308" s="1" t="str">
        <f t="shared" si="29"/>
        <v/>
      </c>
    </row>
    <row r="309" spans="1:28" x14ac:dyDescent="0.2">
      <c r="A309" t="str">
        <f>IF(COUNTBLANK(B309:AD309)&lt;&gt;COLUMNS(B309:AD309),308,"")</f>
        <v/>
      </c>
      <c r="I309" s="1" t="str">
        <f t="shared" si="24"/>
        <v/>
      </c>
      <c r="J309" s="1" t="str">
        <f t="shared" si="25"/>
        <v/>
      </c>
      <c r="T309" s="1" t="str">
        <f t="shared" si="26"/>
        <v/>
      </c>
      <c r="W309" s="1" t="str">
        <f t="shared" si="27"/>
        <v/>
      </c>
      <c r="AA309" s="1" t="str">
        <f t="shared" si="28"/>
        <v/>
      </c>
      <c r="AB309" s="1" t="str">
        <f t="shared" si="29"/>
        <v/>
      </c>
    </row>
    <row r="310" spans="1:28" x14ac:dyDescent="0.2">
      <c r="A310" t="str">
        <f>IF(COUNTBLANK(B310:AD310)&lt;&gt;COLUMNS(B310:AD310),309,"")</f>
        <v/>
      </c>
      <c r="I310" s="1" t="str">
        <f t="shared" si="24"/>
        <v/>
      </c>
      <c r="J310" s="1" t="str">
        <f t="shared" si="25"/>
        <v/>
      </c>
      <c r="T310" s="1" t="str">
        <f t="shared" si="26"/>
        <v/>
      </c>
      <c r="W310" s="1" t="str">
        <f t="shared" si="27"/>
        <v/>
      </c>
      <c r="AA310" s="1" t="str">
        <f t="shared" si="28"/>
        <v/>
      </c>
      <c r="AB310" s="1" t="str">
        <f t="shared" si="29"/>
        <v/>
      </c>
    </row>
    <row r="311" spans="1:28" x14ac:dyDescent="0.2">
      <c r="A311" t="str">
        <f>IF(COUNTBLANK(B311:AD311)&lt;&gt;COLUMNS(B311:AD311),310,"")</f>
        <v/>
      </c>
      <c r="I311" s="1" t="str">
        <f t="shared" si="24"/>
        <v/>
      </c>
      <c r="J311" s="1" t="str">
        <f t="shared" si="25"/>
        <v/>
      </c>
      <c r="T311" s="1" t="str">
        <f t="shared" si="26"/>
        <v/>
      </c>
      <c r="W311" s="1" t="str">
        <f t="shared" si="27"/>
        <v/>
      </c>
      <c r="AA311" s="1" t="str">
        <f t="shared" si="28"/>
        <v/>
      </c>
      <c r="AB311" s="1" t="str">
        <f t="shared" si="29"/>
        <v/>
      </c>
    </row>
    <row r="312" spans="1:28" x14ac:dyDescent="0.2">
      <c r="A312" t="str">
        <f>IF(COUNTBLANK(B312:AD312)&lt;&gt;COLUMNS(B312:AD312),311,"")</f>
        <v/>
      </c>
      <c r="I312" s="1" t="str">
        <f t="shared" si="24"/>
        <v/>
      </c>
      <c r="J312" s="1" t="str">
        <f t="shared" si="25"/>
        <v/>
      </c>
      <c r="T312" s="1" t="str">
        <f t="shared" si="26"/>
        <v/>
      </c>
      <c r="W312" s="1" t="str">
        <f t="shared" si="27"/>
        <v/>
      </c>
      <c r="AA312" s="1" t="str">
        <f t="shared" si="28"/>
        <v/>
      </c>
      <c r="AB312" s="1" t="str">
        <f t="shared" si="29"/>
        <v/>
      </c>
    </row>
    <row r="313" spans="1:28" x14ac:dyDescent="0.2">
      <c r="A313" t="str">
        <f>IF(COUNTBLANK(B313:AD313)&lt;&gt;COLUMNS(B313:AD313),312,"")</f>
        <v/>
      </c>
      <c r="I313" s="1" t="str">
        <f t="shared" si="24"/>
        <v/>
      </c>
      <c r="J313" s="1" t="str">
        <f t="shared" si="25"/>
        <v/>
      </c>
      <c r="T313" s="1" t="str">
        <f t="shared" si="26"/>
        <v/>
      </c>
      <c r="W313" s="1" t="str">
        <f t="shared" si="27"/>
        <v/>
      </c>
      <c r="AA313" s="1" t="str">
        <f t="shared" si="28"/>
        <v/>
      </c>
      <c r="AB313" s="1" t="str">
        <f t="shared" si="29"/>
        <v/>
      </c>
    </row>
    <row r="314" spans="1:28" x14ac:dyDescent="0.2">
      <c r="A314" t="str">
        <f>IF(COUNTBLANK(B314:AD314)&lt;&gt;COLUMNS(B314:AD314),313,"")</f>
        <v/>
      </c>
      <c r="I314" s="1" t="str">
        <f t="shared" si="24"/>
        <v/>
      </c>
      <c r="J314" s="1" t="str">
        <f t="shared" si="25"/>
        <v/>
      </c>
      <c r="T314" s="1" t="str">
        <f t="shared" si="26"/>
        <v/>
      </c>
      <c r="W314" s="1" t="str">
        <f t="shared" si="27"/>
        <v/>
      </c>
      <c r="AA314" s="1" t="str">
        <f t="shared" si="28"/>
        <v/>
      </c>
      <c r="AB314" s="1" t="str">
        <f t="shared" si="29"/>
        <v/>
      </c>
    </row>
    <row r="315" spans="1:28" x14ac:dyDescent="0.2">
      <c r="A315" t="str">
        <f>IF(COUNTBLANK(B315:AD315)&lt;&gt;COLUMNS(B315:AD315),314,"")</f>
        <v/>
      </c>
      <c r="I315" s="1" t="str">
        <f t="shared" si="24"/>
        <v/>
      </c>
      <c r="J315" s="1" t="str">
        <f t="shared" si="25"/>
        <v/>
      </c>
      <c r="T315" s="1" t="str">
        <f t="shared" si="26"/>
        <v/>
      </c>
      <c r="W315" s="1" t="str">
        <f t="shared" si="27"/>
        <v/>
      </c>
      <c r="AA315" s="1" t="str">
        <f t="shared" si="28"/>
        <v/>
      </c>
      <c r="AB315" s="1" t="str">
        <f t="shared" si="29"/>
        <v/>
      </c>
    </row>
    <row r="316" spans="1:28" x14ac:dyDescent="0.2">
      <c r="A316" t="str">
        <f>IF(COUNTBLANK(B316:AD316)&lt;&gt;COLUMNS(B316:AD316),315,"")</f>
        <v/>
      </c>
      <c r="I316" s="1" t="str">
        <f t="shared" si="24"/>
        <v/>
      </c>
      <c r="J316" s="1" t="str">
        <f t="shared" si="25"/>
        <v/>
      </c>
      <c r="T316" s="1" t="str">
        <f t="shared" si="26"/>
        <v/>
      </c>
      <c r="W316" s="1" t="str">
        <f t="shared" si="27"/>
        <v/>
      </c>
      <c r="AA316" s="1" t="str">
        <f t="shared" si="28"/>
        <v/>
      </c>
      <c r="AB316" s="1" t="str">
        <f t="shared" si="29"/>
        <v/>
      </c>
    </row>
    <row r="317" spans="1:28" x14ac:dyDescent="0.2">
      <c r="A317" t="str">
        <f>IF(COUNTBLANK(B317:AD317)&lt;&gt;COLUMNS(B317:AD317),316,"")</f>
        <v/>
      </c>
      <c r="I317" s="1" t="str">
        <f t="shared" si="24"/>
        <v/>
      </c>
      <c r="J317" s="1" t="str">
        <f t="shared" si="25"/>
        <v/>
      </c>
      <c r="T317" s="1" t="str">
        <f t="shared" si="26"/>
        <v/>
      </c>
      <c r="W317" s="1" t="str">
        <f t="shared" si="27"/>
        <v/>
      </c>
      <c r="AA317" s="1" t="str">
        <f t="shared" si="28"/>
        <v/>
      </c>
      <c r="AB317" s="1" t="str">
        <f t="shared" si="29"/>
        <v/>
      </c>
    </row>
    <row r="318" spans="1:28" x14ac:dyDescent="0.2">
      <c r="A318" t="str">
        <f>IF(COUNTBLANK(B318:AD318)&lt;&gt;COLUMNS(B318:AD318),317,"")</f>
        <v/>
      </c>
      <c r="I318" s="1" t="str">
        <f t="shared" si="24"/>
        <v/>
      </c>
      <c r="J318" s="1" t="str">
        <f t="shared" si="25"/>
        <v/>
      </c>
      <c r="T318" s="1" t="str">
        <f t="shared" si="26"/>
        <v/>
      </c>
      <c r="W318" s="1" t="str">
        <f t="shared" si="27"/>
        <v/>
      </c>
      <c r="AA318" s="1" t="str">
        <f t="shared" si="28"/>
        <v/>
      </c>
      <c r="AB318" s="1" t="str">
        <f t="shared" si="29"/>
        <v/>
      </c>
    </row>
    <row r="319" spans="1:28" x14ac:dyDescent="0.2">
      <c r="A319" t="str">
        <f>IF(COUNTBLANK(B319:AD319)&lt;&gt;COLUMNS(B319:AD319),318,"")</f>
        <v/>
      </c>
      <c r="I319" s="1" t="str">
        <f t="shared" si="24"/>
        <v/>
      </c>
      <c r="J319" s="1" t="str">
        <f t="shared" si="25"/>
        <v/>
      </c>
      <c r="T319" s="1" t="str">
        <f t="shared" si="26"/>
        <v/>
      </c>
      <c r="W319" s="1" t="str">
        <f t="shared" si="27"/>
        <v/>
      </c>
      <c r="AA319" s="1" t="str">
        <f t="shared" si="28"/>
        <v/>
      </c>
      <c r="AB319" s="1" t="str">
        <f t="shared" si="29"/>
        <v/>
      </c>
    </row>
    <row r="320" spans="1:28" x14ac:dyDescent="0.2">
      <c r="A320" t="str">
        <f>IF(COUNTBLANK(B320:AD320)&lt;&gt;COLUMNS(B320:AD320),319,"")</f>
        <v/>
      </c>
      <c r="I320" s="1" t="str">
        <f t="shared" si="24"/>
        <v/>
      </c>
      <c r="J320" s="1" t="str">
        <f t="shared" si="25"/>
        <v/>
      </c>
      <c r="T320" s="1" t="str">
        <f t="shared" si="26"/>
        <v/>
      </c>
      <c r="W320" s="1" t="str">
        <f t="shared" si="27"/>
        <v/>
      </c>
      <c r="AA320" s="1" t="str">
        <f t="shared" si="28"/>
        <v/>
      </c>
      <c r="AB320" s="1" t="str">
        <f t="shared" si="29"/>
        <v/>
      </c>
    </row>
    <row r="321" spans="1:28" x14ac:dyDescent="0.2">
      <c r="A321" t="str">
        <f>IF(COUNTBLANK(B321:AD321)&lt;&gt;COLUMNS(B321:AD321),320,"")</f>
        <v/>
      </c>
      <c r="I321" s="1" t="str">
        <f t="shared" si="24"/>
        <v/>
      </c>
      <c r="J321" s="1" t="str">
        <f t="shared" si="25"/>
        <v/>
      </c>
      <c r="T321" s="1" t="str">
        <f t="shared" si="26"/>
        <v/>
      </c>
      <c r="W321" s="1" t="str">
        <f t="shared" si="27"/>
        <v/>
      </c>
      <c r="AA321" s="1" t="str">
        <f t="shared" si="28"/>
        <v/>
      </c>
      <c r="AB321" s="1" t="str">
        <f t="shared" si="29"/>
        <v/>
      </c>
    </row>
    <row r="322" spans="1:28" x14ac:dyDescent="0.2">
      <c r="A322" t="str">
        <f>IF(COUNTBLANK(B322:AD322)&lt;&gt;COLUMNS(B322:AD322),321,"")</f>
        <v/>
      </c>
      <c r="I322" s="1" t="str">
        <f t="shared" ref="I322:I385" si="30">IF(B322="", "", "meters")</f>
        <v/>
      </c>
      <c r="J322" s="1" t="str">
        <f t="shared" ref="J322:J385" si="31">IF(B322="", "", "free-living")</f>
        <v/>
      </c>
      <c r="T322" s="1" t="str">
        <f t="shared" ref="T322:T385" si="32">IF(B322="", "", "Decimal degrees")</f>
        <v/>
      </c>
      <c r="W322" s="1" t="str">
        <f t="shared" ref="W322:W385" si="33">IF(B322="", "", "Decimal degrees")</f>
        <v/>
      </c>
      <c r="AA322" s="1" t="str">
        <f t="shared" ref="AA322:AA385" si="34">IF(B322="", "", "metagenome")</f>
        <v/>
      </c>
      <c r="AB322" s="1" t="str">
        <f t="shared" ref="AB322:AB385" si="35">IF(B322="", "", "256318")</f>
        <v/>
      </c>
    </row>
    <row r="323" spans="1:28" x14ac:dyDescent="0.2">
      <c r="A323" t="str">
        <f>IF(COUNTBLANK(B323:AD323)&lt;&gt;COLUMNS(B323:AD323),322,"")</f>
        <v/>
      </c>
      <c r="I323" s="1" t="str">
        <f t="shared" si="30"/>
        <v/>
      </c>
      <c r="J323" s="1" t="str">
        <f t="shared" si="31"/>
        <v/>
      </c>
      <c r="T323" s="1" t="str">
        <f t="shared" si="32"/>
        <v/>
      </c>
      <c r="W323" s="1" t="str">
        <f t="shared" si="33"/>
        <v/>
      </c>
      <c r="AA323" s="1" t="str">
        <f t="shared" si="34"/>
        <v/>
      </c>
      <c r="AB323" s="1" t="str">
        <f t="shared" si="35"/>
        <v/>
      </c>
    </row>
    <row r="324" spans="1:28" x14ac:dyDescent="0.2">
      <c r="A324" t="str">
        <f>IF(COUNTBLANK(B324:AD324)&lt;&gt;COLUMNS(B324:AD324),323,"")</f>
        <v/>
      </c>
      <c r="I324" s="1" t="str">
        <f t="shared" si="30"/>
        <v/>
      </c>
      <c r="J324" s="1" t="str">
        <f t="shared" si="31"/>
        <v/>
      </c>
      <c r="T324" s="1" t="str">
        <f t="shared" si="32"/>
        <v/>
      </c>
      <c r="W324" s="1" t="str">
        <f t="shared" si="33"/>
        <v/>
      </c>
      <c r="AA324" s="1" t="str">
        <f t="shared" si="34"/>
        <v/>
      </c>
      <c r="AB324" s="1" t="str">
        <f t="shared" si="35"/>
        <v/>
      </c>
    </row>
    <row r="325" spans="1:28" x14ac:dyDescent="0.2">
      <c r="A325" t="str">
        <f>IF(COUNTBLANK(B325:AD325)&lt;&gt;COLUMNS(B325:AD325),324,"")</f>
        <v/>
      </c>
      <c r="I325" s="1" t="str">
        <f t="shared" si="30"/>
        <v/>
      </c>
      <c r="J325" s="1" t="str">
        <f t="shared" si="31"/>
        <v/>
      </c>
      <c r="T325" s="1" t="str">
        <f t="shared" si="32"/>
        <v/>
      </c>
      <c r="W325" s="1" t="str">
        <f t="shared" si="33"/>
        <v/>
      </c>
      <c r="AA325" s="1" t="str">
        <f t="shared" si="34"/>
        <v/>
      </c>
      <c r="AB325" s="1" t="str">
        <f t="shared" si="35"/>
        <v/>
      </c>
    </row>
    <row r="326" spans="1:28" x14ac:dyDescent="0.2">
      <c r="A326" t="str">
        <f>IF(COUNTBLANK(B326:AD326)&lt;&gt;COLUMNS(B326:AD326),325,"")</f>
        <v/>
      </c>
      <c r="I326" s="1" t="str">
        <f t="shared" si="30"/>
        <v/>
      </c>
      <c r="J326" s="1" t="str">
        <f t="shared" si="31"/>
        <v/>
      </c>
      <c r="T326" s="1" t="str">
        <f t="shared" si="32"/>
        <v/>
      </c>
      <c r="W326" s="1" t="str">
        <f t="shared" si="33"/>
        <v/>
      </c>
      <c r="AA326" s="1" t="str">
        <f t="shared" si="34"/>
        <v/>
      </c>
      <c r="AB326" s="1" t="str">
        <f t="shared" si="35"/>
        <v/>
      </c>
    </row>
    <row r="327" spans="1:28" x14ac:dyDescent="0.2">
      <c r="A327" t="str">
        <f>IF(COUNTBLANK(B327:AD327)&lt;&gt;COLUMNS(B327:AD327),326,"")</f>
        <v/>
      </c>
      <c r="I327" s="1" t="str">
        <f t="shared" si="30"/>
        <v/>
      </c>
      <c r="J327" s="1" t="str">
        <f t="shared" si="31"/>
        <v/>
      </c>
      <c r="T327" s="1" t="str">
        <f t="shared" si="32"/>
        <v/>
      </c>
      <c r="W327" s="1" t="str">
        <f t="shared" si="33"/>
        <v/>
      </c>
      <c r="AA327" s="1" t="str">
        <f t="shared" si="34"/>
        <v/>
      </c>
      <c r="AB327" s="1" t="str">
        <f t="shared" si="35"/>
        <v/>
      </c>
    </row>
    <row r="328" spans="1:28" x14ac:dyDescent="0.2">
      <c r="A328" t="str">
        <f>IF(COUNTBLANK(B328:AD328)&lt;&gt;COLUMNS(B328:AD328),327,"")</f>
        <v/>
      </c>
      <c r="I328" s="1" t="str">
        <f t="shared" si="30"/>
        <v/>
      </c>
      <c r="J328" s="1" t="str">
        <f t="shared" si="31"/>
        <v/>
      </c>
      <c r="T328" s="1" t="str">
        <f t="shared" si="32"/>
        <v/>
      </c>
      <c r="W328" s="1" t="str">
        <f t="shared" si="33"/>
        <v/>
      </c>
      <c r="AA328" s="1" t="str">
        <f t="shared" si="34"/>
        <v/>
      </c>
      <c r="AB328" s="1" t="str">
        <f t="shared" si="35"/>
        <v/>
      </c>
    </row>
    <row r="329" spans="1:28" x14ac:dyDescent="0.2">
      <c r="A329" t="str">
        <f>IF(COUNTBLANK(B329:AD329)&lt;&gt;COLUMNS(B329:AD329),328,"")</f>
        <v/>
      </c>
      <c r="I329" s="1" t="str">
        <f t="shared" si="30"/>
        <v/>
      </c>
      <c r="J329" s="1" t="str">
        <f t="shared" si="31"/>
        <v/>
      </c>
      <c r="T329" s="1" t="str">
        <f t="shared" si="32"/>
        <v/>
      </c>
      <c r="W329" s="1" t="str">
        <f t="shared" si="33"/>
        <v/>
      </c>
      <c r="AA329" s="1" t="str">
        <f t="shared" si="34"/>
        <v/>
      </c>
      <c r="AB329" s="1" t="str">
        <f t="shared" si="35"/>
        <v/>
      </c>
    </row>
    <row r="330" spans="1:28" x14ac:dyDescent="0.2">
      <c r="A330" t="str">
        <f>IF(COUNTBLANK(B330:AD330)&lt;&gt;COLUMNS(B330:AD330),329,"")</f>
        <v/>
      </c>
      <c r="I330" s="1" t="str">
        <f t="shared" si="30"/>
        <v/>
      </c>
      <c r="J330" s="1" t="str">
        <f t="shared" si="31"/>
        <v/>
      </c>
      <c r="T330" s="1" t="str">
        <f t="shared" si="32"/>
        <v/>
      </c>
      <c r="W330" s="1" t="str">
        <f t="shared" si="33"/>
        <v/>
      </c>
      <c r="AA330" s="1" t="str">
        <f t="shared" si="34"/>
        <v/>
      </c>
      <c r="AB330" s="1" t="str">
        <f t="shared" si="35"/>
        <v/>
      </c>
    </row>
    <row r="331" spans="1:28" x14ac:dyDescent="0.2">
      <c r="A331" t="str">
        <f>IF(COUNTBLANK(B331:AD331)&lt;&gt;COLUMNS(B331:AD331),330,"")</f>
        <v/>
      </c>
      <c r="I331" s="1" t="str">
        <f t="shared" si="30"/>
        <v/>
      </c>
      <c r="J331" s="1" t="str">
        <f t="shared" si="31"/>
        <v/>
      </c>
      <c r="T331" s="1" t="str">
        <f t="shared" si="32"/>
        <v/>
      </c>
      <c r="W331" s="1" t="str">
        <f t="shared" si="33"/>
        <v/>
      </c>
      <c r="AA331" s="1" t="str">
        <f t="shared" si="34"/>
        <v/>
      </c>
      <c r="AB331" s="1" t="str">
        <f t="shared" si="35"/>
        <v/>
      </c>
    </row>
    <row r="332" spans="1:28" x14ac:dyDescent="0.2">
      <c r="A332" t="str">
        <f>IF(COUNTBLANK(B332:AD332)&lt;&gt;COLUMNS(B332:AD332),331,"")</f>
        <v/>
      </c>
      <c r="I332" s="1" t="str">
        <f t="shared" si="30"/>
        <v/>
      </c>
      <c r="J332" s="1" t="str">
        <f t="shared" si="31"/>
        <v/>
      </c>
      <c r="T332" s="1" t="str">
        <f t="shared" si="32"/>
        <v/>
      </c>
      <c r="W332" s="1" t="str">
        <f t="shared" si="33"/>
        <v/>
      </c>
      <c r="AA332" s="1" t="str">
        <f t="shared" si="34"/>
        <v/>
      </c>
      <c r="AB332" s="1" t="str">
        <f t="shared" si="35"/>
        <v/>
      </c>
    </row>
    <row r="333" spans="1:28" x14ac:dyDescent="0.2">
      <c r="A333" t="str">
        <f>IF(COUNTBLANK(B333:AD333)&lt;&gt;COLUMNS(B333:AD333),332,"")</f>
        <v/>
      </c>
      <c r="I333" s="1" t="str">
        <f t="shared" si="30"/>
        <v/>
      </c>
      <c r="J333" s="1" t="str">
        <f t="shared" si="31"/>
        <v/>
      </c>
      <c r="T333" s="1" t="str">
        <f t="shared" si="32"/>
        <v/>
      </c>
      <c r="W333" s="1" t="str">
        <f t="shared" si="33"/>
        <v/>
      </c>
      <c r="AA333" s="1" t="str">
        <f t="shared" si="34"/>
        <v/>
      </c>
      <c r="AB333" s="1" t="str">
        <f t="shared" si="35"/>
        <v/>
      </c>
    </row>
    <row r="334" spans="1:28" x14ac:dyDescent="0.2">
      <c r="A334" t="str">
        <f>IF(COUNTBLANK(B334:AD334)&lt;&gt;COLUMNS(B334:AD334),333,"")</f>
        <v/>
      </c>
      <c r="I334" s="1" t="str">
        <f t="shared" si="30"/>
        <v/>
      </c>
      <c r="J334" s="1" t="str">
        <f t="shared" si="31"/>
        <v/>
      </c>
      <c r="T334" s="1" t="str">
        <f t="shared" si="32"/>
        <v/>
      </c>
      <c r="W334" s="1" t="str">
        <f t="shared" si="33"/>
        <v/>
      </c>
      <c r="AA334" s="1" t="str">
        <f t="shared" si="34"/>
        <v/>
      </c>
      <c r="AB334" s="1" t="str">
        <f t="shared" si="35"/>
        <v/>
      </c>
    </row>
    <row r="335" spans="1:28" x14ac:dyDescent="0.2">
      <c r="A335" t="str">
        <f>IF(COUNTBLANK(B335:AD335)&lt;&gt;COLUMNS(B335:AD335),334,"")</f>
        <v/>
      </c>
      <c r="I335" s="1" t="str">
        <f t="shared" si="30"/>
        <v/>
      </c>
      <c r="J335" s="1" t="str">
        <f t="shared" si="31"/>
        <v/>
      </c>
      <c r="T335" s="1" t="str">
        <f t="shared" si="32"/>
        <v/>
      </c>
      <c r="W335" s="1" t="str">
        <f t="shared" si="33"/>
        <v/>
      </c>
      <c r="AA335" s="1" t="str">
        <f t="shared" si="34"/>
        <v/>
      </c>
      <c r="AB335" s="1" t="str">
        <f t="shared" si="35"/>
        <v/>
      </c>
    </row>
    <row r="336" spans="1:28" x14ac:dyDescent="0.2">
      <c r="A336" t="str">
        <f>IF(COUNTBLANK(B336:AD336)&lt;&gt;COLUMNS(B336:AD336),335,"")</f>
        <v/>
      </c>
      <c r="I336" s="1" t="str">
        <f t="shared" si="30"/>
        <v/>
      </c>
      <c r="J336" s="1" t="str">
        <f t="shared" si="31"/>
        <v/>
      </c>
      <c r="T336" s="1" t="str">
        <f t="shared" si="32"/>
        <v/>
      </c>
      <c r="W336" s="1" t="str">
        <f t="shared" si="33"/>
        <v/>
      </c>
      <c r="AA336" s="1" t="str">
        <f t="shared" si="34"/>
        <v/>
      </c>
      <c r="AB336" s="1" t="str">
        <f t="shared" si="35"/>
        <v/>
      </c>
    </row>
    <row r="337" spans="1:28" x14ac:dyDescent="0.2">
      <c r="A337" t="str">
        <f>IF(COUNTBLANK(B337:AD337)&lt;&gt;COLUMNS(B337:AD337),336,"")</f>
        <v/>
      </c>
      <c r="I337" s="1" t="str">
        <f t="shared" si="30"/>
        <v/>
      </c>
      <c r="J337" s="1" t="str">
        <f t="shared" si="31"/>
        <v/>
      </c>
      <c r="T337" s="1" t="str">
        <f t="shared" si="32"/>
        <v/>
      </c>
      <c r="W337" s="1" t="str">
        <f t="shared" si="33"/>
        <v/>
      </c>
      <c r="AA337" s="1" t="str">
        <f t="shared" si="34"/>
        <v/>
      </c>
      <c r="AB337" s="1" t="str">
        <f t="shared" si="35"/>
        <v/>
      </c>
    </row>
    <row r="338" spans="1:28" x14ac:dyDescent="0.2">
      <c r="A338" t="str">
        <f>IF(COUNTBLANK(B338:AD338)&lt;&gt;COLUMNS(B338:AD338),337,"")</f>
        <v/>
      </c>
      <c r="I338" s="1" t="str">
        <f t="shared" si="30"/>
        <v/>
      </c>
      <c r="J338" s="1" t="str">
        <f t="shared" si="31"/>
        <v/>
      </c>
      <c r="T338" s="1" t="str">
        <f t="shared" si="32"/>
        <v/>
      </c>
      <c r="W338" s="1" t="str">
        <f t="shared" si="33"/>
        <v/>
      </c>
      <c r="AA338" s="1" t="str">
        <f t="shared" si="34"/>
        <v/>
      </c>
      <c r="AB338" s="1" t="str">
        <f t="shared" si="35"/>
        <v/>
      </c>
    </row>
    <row r="339" spans="1:28" x14ac:dyDescent="0.2">
      <c r="A339" t="str">
        <f>IF(COUNTBLANK(B339:AD339)&lt;&gt;COLUMNS(B339:AD339),338,"")</f>
        <v/>
      </c>
      <c r="I339" s="1" t="str">
        <f t="shared" si="30"/>
        <v/>
      </c>
      <c r="J339" s="1" t="str">
        <f t="shared" si="31"/>
        <v/>
      </c>
      <c r="T339" s="1" t="str">
        <f t="shared" si="32"/>
        <v/>
      </c>
      <c r="W339" s="1" t="str">
        <f t="shared" si="33"/>
        <v/>
      </c>
      <c r="AA339" s="1" t="str">
        <f t="shared" si="34"/>
        <v/>
      </c>
      <c r="AB339" s="1" t="str">
        <f t="shared" si="35"/>
        <v/>
      </c>
    </row>
    <row r="340" spans="1:28" x14ac:dyDescent="0.2">
      <c r="A340" t="str">
        <f>IF(COUNTBLANK(B340:AD340)&lt;&gt;COLUMNS(B340:AD340),339,"")</f>
        <v/>
      </c>
      <c r="I340" s="1" t="str">
        <f t="shared" si="30"/>
        <v/>
      </c>
      <c r="J340" s="1" t="str">
        <f t="shared" si="31"/>
        <v/>
      </c>
      <c r="T340" s="1" t="str">
        <f t="shared" si="32"/>
        <v/>
      </c>
      <c r="W340" s="1" t="str">
        <f t="shared" si="33"/>
        <v/>
      </c>
      <c r="AA340" s="1" t="str">
        <f t="shared" si="34"/>
        <v/>
      </c>
      <c r="AB340" s="1" t="str">
        <f t="shared" si="35"/>
        <v/>
      </c>
    </row>
    <row r="341" spans="1:28" x14ac:dyDescent="0.2">
      <c r="A341" t="str">
        <f>IF(COUNTBLANK(B341:AD341)&lt;&gt;COLUMNS(B341:AD341),340,"")</f>
        <v/>
      </c>
      <c r="I341" s="1" t="str">
        <f t="shared" si="30"/>
        <v/>
      </c>
      <c r="J341" s="1" t="str">
        <f t="shared" si="31"/>
        <v/>
      </c>
      <c r="T341" s="1" t="str">
        <f t="shared" si="32"/>
        <v/>
      </c>
      <c r="W341" s="1" t="str">
        <f t="shared" si="33"/>
        <v/>
      </c>
      <c r="AA341" s="1" t="str">
        <f t="shared" si="34"/>
        <v/>
      </c>
      <c r="AB341" s="1" t="str">
        <f t="shared" si="35"/>
        <v/>
      </c>
    </row>
    <row r="342" spans="1:28" x14ac:dyDescent="0.2">
      <c r="A342" t="str">
        <f>IF(COUNTBLANK(B342:AD342)&lt;&gt;COLUMNS(B342:AD342),341,"")</f>
        <v/>
      </c>
      <c r="I342" s="1" t="str">
        <f t="shared" si="30"/>
        <v/>
      </c>
      <c r="J342" s="1" t="str">
        <f t="shared" si="31"/>
        <v/>
      </c>
      <c r="T342" s="1" t="str">
        <f t="shared" si="32"/>
        <v/>
      </c>
      <c r="W342" s="1" t="str">
        <f t="shared" si="33"/>
        <v/>
      </c>
      <c r="AA342" s="1" t="str">
        <f t="shared" si="34"/>
        <v/>
      </c>
      <c r="AB342" s="1" t="str">
        <f t="shared" si="35"/>
        <v/>
      </c>
    </row>
    <row r="343" spans="1:28" x14ac:dyDescent="0.2">
      <c r="A343" t="str">
        <f>IF(COUNTBLANK(B343:AD343)&lt;&gt;COLUMNS(B343:AD343),342,"")</f>
        <v/>
      </c>
      <c r="I343" s="1" t="str">
        <f t="shared" si="30"/>
        <v/>
      </c>
      <c r="J343" s="1" t="str">
        <f t="shared" si="31"/>
        <v/>
      </c>
      <c r="T343" s="1" t="str">
        <f t="shared" si="32"/>
        <v/>
      </c>
      <c r="W343" s="1" t="str">
        <f t="shared" si="33"/>
        <v/>
      </c>
      <c r="AA343" s="1" t="str">
        <f t="shared" si="34"/>
        <v/>
      </c>
      <c r="AB343" s="1" t="str">
        <f t="shared" si="35"/>
        <v/>
      </c>
    </row>
    <row r="344" spans="1:28" x14ac:dyDescent="0.2">
      <c r="A344" t="str">
        <f>IF(COUNTBLANK(B344:AD344)&lt;&gt;COLUMNS(B344:AD344),343,"")</f>
        <v/>
      </c>
      <c r="I344" s="1" t="str">
        <f t="shared" si="30"/>
        <v/>
      </c>
      <c r="J344" s="1" t="str">
        <f t="shared" si="31"/>
        <v/>
      </c>
      <c r="T344" s="1" t="str">
        <f t="shared" si="32"/>
        <v/>
      </c>
      <c r="W344" s="1" t="str">
        <f t="shared" si="33"/>
        <v/>
      </c>
      <c r="AA344" s="1" t="str">
        <f t="shared" si="34"/>
        <v/>
      </c>
      <c r="AB344" s="1" t="str">
        <f t="shared" si="35"/>
        <v/>
      </c>
    </row>
    <row r="345" spans="1:28" x14ac:dyDescent="0.2">
      <c r="A345" t="str">
        <f>IF(COUNTBLANK(B345:AD345)&lt;&gt;COLUMNS(B345:AD345),344,"")</f>
        <v/>
      </c>
      <c r="I345" s="1" t="str">
        <f t="shared" si="30"/>
        <v/>
      </c>
      <c r="J345" s="1" t="str">
        <f t="shared" si="31"/>
        <v/>
      </c>
      <c r="T345" s="1" t="str">
        <f t="shared" si="32"/>
        <v/>
      </c>
      <c r="W345" s="1" t="str">
        <f t="shared" si="33"/>
        <v/>
      </c>
      <c r="AA345" s="1" t="str">
        <f t="shared" si="34"/>
        <v/>
      </c>
      <c r="AB345" s="1" t="str">
        <f t="shared" si="35"/>
        <v/>
      </c>
    </row>
    <row r="346" spans="1:28" x14ac:dyDescent="0.2">
      <c r="A346" t="str">
        <f>IF(COUNTBLANK(B346:AD346)&lt;&gt;COLUMNS(B346:AD346),345,"")</f>
        <v/>
      </c>
      <c r="I346" s="1" t="str">
        <f t="shared" si="30"/>
        <v/>
      </c>
      <c r="J346" s="1" t="str">
        <f t="shared" si="31"/>
        <v/>
      </c>
      <c r="T346" s="1" t="str">
        <f t="shared" si="32"/>
        <v/>
      </c>
      <c r="W346" s="1" t="str">
        <f t="shared" si="33"/>
        <v/>
      </c>
      <c r="AA346" s="1" t="str">
        <f t="shared" si="34"/>
        <v/>
      </c>
      <c r="AB346" s="1" t="str">
        <f t="shared" si="35"/>
        <v/>
      </c>
    </row>
    <row r="347" spans="1:28" x14ac:dyDescent="0.2">
      <c r="A347" t="str">
        <f>IF(COUNTBLANK(B347:AD347)&lt;&gt;COLUMNS(B347:AD347),346,"")</f>
        <v/>
      </c>
      <c r="I347" s="1" t="str">
        <f t="shared" si="30"/>
        <v/>
      </c>
      <c r="J347" s="1" t="str">
        <f t="shared" si="31"/>
        <v/>
      </c>
      <c r="T347" s="1" t="str">
        <f t="shared" si="32"/>
        <v/>
      </c>
      <c r="W347" s="1" t="str">
        <f t="shared" si="33"/>
        <v/>
      </c>
      <c r="AA347" s="1" t="str">
        <f t="shared" si="34"/>
        <v/>
      </c>
      <c r="AB347" s="1" t="str">
        <f t="shared" si="35"/>
        <v/>
      </c>
    </row>
    <row r="348" spans="1:28" x14ac:dyDescent="0.2">
      <c r="A348" t="str">
        <f>IF(COUNTBLANK(B348:AD348)&lt;&gt;COLUMNS(B348:AD348),347,"")</f>
        <v/>
      </c>
      <c r="I348" s="1" t="str">
        <f t="shared" si="30"/>
        <v/>
      </c>
      <c r="J348" s="1" t="str">
        <f t="shared" si="31"/>
        <v/>
      </c>
      <c r="T348" s="1" t="str">
        <f t="shared" si="32"/>
        <v/>
      </c>
      <c r="W348" s="1" t="str">
        <f t="shared" si="33"/>
        <v/>
      </c>
      <c r="AA348" s="1" t="str">
        <f t="shared" si="34"/>
        <v/>
      </c>
      <c r="AB348" s="1" t="str">
        <f t="shared" si="35"/>
        <v/>
      </c>
    </row>
    <row r="349" spans="1:28" x14ac:dyDescent="0.2">
      <c r="A349" t="str">
        <f>IF(COUNTBLANK(B349:AD349)&lt;&gt;COLUMNS(B349:AD349),348,"")</f>
        <v/>
      </c>
      <c r="I349" s="1" t="str">
        <f t="shared" si="30"/>
        <v/>
      </c>
      <c r="J349" s="1" t="str">
        <f t="shared" si="31"/>
        <v/>
      </c>
      <c r="T349" s="1" t="str">
        <f t="shared" si="32"/>
        <v/>
      </c>
      <c r="W349" s="1" t="str">
        <f t="shared" si="33"/>
        <v/>
      </c>
      <c r="AA349" s="1" t="str">
        <f t="shared" si="34"/>
        <v/>
      </c>
      <c r="AB349" s="1" t="str">
        <f t="shared" si="35"/>
        <v/>
      </c>
    </row>
    <row r="350" spans="1:28" x14ac:dyDescent="0.2">
      <c r="A350" t="str">
        <f>IF(COUNTBLANK(B350:AD350)&lt;&gt;COLUMNS(B350:AD350),349,"")</f>
        <v/>
      </c>
      <c r="I350" s="1" t="str">
        <f t="shared" si="30"/>
        <v/>
      </c>
      <c r="J350" s="1" t="str">
        <f t="shared" si="31"/>
        <v/>
      </c>
      <c r="T350" s="1" t="str">
        <f t="shared" si="32"/>
        <v/>
      </c>
      <c r="W350" s="1" t="str">
        <f t="shared" si="33"/>
        <v/>
      </c>
      <c r="AA350" s="1" t="str">
        <f t="shared" si="34"/>
        <v/>
      </c>
      <c r="AB350" s="1" t="str">
        <f t="shared" si="35"/>
        <v/>
      </c>
    </row>
    <row r="351" spans="1:28" x14ac:dyDescent="0.2">
      <c r="A351" t="str">
        <f>IF(COUNTBLANK(B351:AD351)&lt;&gt;COLUMNS(B351:AD351),350,"")</f>
        <v/>
      </c>
      <c r="I351" s="1" t="str">
        <f t="shared" si="30"/>
        <v/>
      </c>
      <c r="J351" s="1" t="str">
        <f t="shared" si="31"/>
        <v/>
      </c>
      <c r="T351" s="1" t="str">
        <f t="shared" si="32"/>
        <v/>
      </c>
      <c r="W351" s="1" t="str">
        <f t="shared" si="33"/>
        <v/>
      </c>
      <c r="AA351" s="1" t="str">
        <f t="shared" si="34"/>
        <v/>
      </c>
      <c r="AB351" s="1" t="str">
        <f t="shared" si="35"/>
        <v/>
      </c>
    </row>
    <row r="352" spans="1:28" x14ac:dyDescent="0.2">
      <c r="A352" t="str">
        <f>IF(COUNTBLANK(B352:AD352)&lt;&gt;COLUMNS(B352:AD352),351,"")</f>
        <v/>
      </c>
      <c r="I352" s="1" t="str">
        <f t="shared" si="30"/>
        <v/>
      </c>
      <c r="J352" s="1" t="str">
        <f t="shared" si="31"/>
        <v/>
      </c>
      <c r="T352" s="1" t="str">
        <f t="shared" si="32"/>
        <v/>
      </c>
      <c r="W352" s="1" t="str">
        <f t="shared" si="33"/>
        <v/>
      </c>
      <c r="AA352" s="1" t="str">
        <f t="shared" si="34"/>
        <v/>
      </c>
      <c r="AB352" s="1" t="str">
        <f t="shared" si="35"/>
        <v/>
      </c>
    </row>
    <row r="353" spans="1:28" x14ac:dyDescent="0.2">
      <c r="A353" t="str">
        <f>IF(COUNTBLANK(B353:AD353)&lt;&gt;COLUMNS(B353:AD353),352,"")</f>
        <v/>
      </c>
      <c r="I353" s="1" t="str">
        <f t="shared" si="30"/>
        <v/>
      </c>
      <c r="J353" s="1" t="str">
        <f t="shared" si="31"/>
        <v/>
      </c>
      <c r="T353" s="1" t="str">
        <f t="shared" si="32"/>
        <v/>
      </c>
      <c r="W353" s="1" t="str">
        <f t="shared" si="33"/>
        <v/>
      </c>
      <c r="AA353" s="1" t="str">
        <f t="shared" si="34"/>
        <v/>
      </c>
      <c r="AB353" s="1" t="str">
        <f t="shared" si="35"/>
        <v/>
      </c>
    </row>
    <row r="354" spans="1:28" x14ac:dyDescent="0.2">
      <c r="A354" t="str">
        <f>IF(COUNTBLANK(B354:AD354)&lt;&gt;COLUMNS(B354:AD354),353,"")</f>
        <v/>
      </c>
      <c r="I354" s="1" t="str">
        <f t="shared" si="30"/>
        <v/>
      </c>
      <c r="J354" s="1" t="str">
        <f t="shared" si="31"/>
        <v/>
      </c>
      <c r="T354" s="1" t="str">
        <f t="shared" si="32"/>
        <v/>
      </c>
      <c r="W354" s="1" t="str">
        <f t="shared" si="33"/>
        <v/>
      </c>
      <c r="AA354" s="1" t="str">
        <f t="shared" si="34"/>
        <v/>
      </c>
      <c r="AB354" s="1" t="str">
        <f t="shared" si="35"/>
        <v/>
      </c>
    </row>
    <row r="355" spans="1:28" x14ac:dyDescent="0.2">
      <c r="A355" t="str">
        <f>IF(COUNTBLANK(B355:AD355)&lt;&gt;COLUMNS(B355:AD355),354,"")</f>
        <v/>
      </c>
      <c r="I355" s="1" t="str">
        <f t="shared" si="30"/>
        <v/>
      </c>
      <c r="J355" s="1" t="str">
        <f t="shared" si="31"/>
        <v/>
      </c>
      <c r="T355" s="1" t="str">
        <f t="shared" si="32"/>
        <v/>
      </c>
      <c r="W355" s="1" t="str">
        <f t="shared" si="33"/>
        <v/>
      </c>
      <c r="AA355" s="1" t="str">
        <f t="shared" si="34"/>
        <v/>
      </c>
      <c r="AB355" s="1" t="str">
        <f t="shared" si="35"/>
        <v/>
      </c>
    </row>
    <row r="356" spans="1:28" x14ac:dyDescent="0.2">
      <c r="A356" t="str">
        <f>IF(COUNTBLANK(B356:AD356)&lt;&gt;COLUMNS(B356:AD356),355,"")</f>
        <v/>
      </c>
      <c r="I356" s="1" t="str">
        <f t="shared" si="30"/>
        <v/>
      </c>
      <c r="J356" s="1" t="str">
        <f t="shared" si="31"/>
        <v/>
      </c>
      <c r="T356" s="1" t="str">
        <f t="shared" si="32"/>
        <v/>
      </c>
      <c r="W356" s="1" t="str">
        <f t="shared" si="33"/>
        <v/>
      </c>
      <c r="AA356" s="1" t="str">
        <f t="shared" si="34"/>
        <v/>
      </c>
      <c r="AB356" s="1" t="str">
        <f t="shared" si="35"/>
        <v/>
      </c>
    </row>
    <row r="357" spans="1:28" x14ac:dyDescent="0.2">
      <c r="A357" t="str">
        <f>IF(COUNTBLANK(B357:AD357)&lt;&gt;COLUMNS(B357:AD357),356,"")</f>
        <v/>
      </c>
      <c r="I357" s="1" t="str">
        <f t="shared" si="30"/>
        <v/>
      </c>
      <c r="J357" s="1" t="str">
        <f t="shared" si="31"/>
        <v/>
      </c>
      <c r="T357" s="1" t="str">
        <f t="shared" si="32"/>
        <v/>
      </c>
      <c r="W357" s="1" t="str">
        <f t="shared" si="33"/>
        <v/>
      </c>
      <c r="AA357" s="1" t="str">
        <f t="shared" si="34"/>
        <v/>
      </c>
      <c r="AB357" s="1" t="str">
        <f t="shared" si="35"/>
        <v/>
      </c>
    </row>
    <row r="358" spans="1:28" x14ac:dyDescent="0.2">
      <c r="A358" t="str">
        <f>IF(COUNTBLANK(B358:AD358)&lt;&gt;COLUMNS(B358:AD358),357,"")</f>
        <v/>
      </c>
      <c r="I358" s="1" t="str">
        <f t="shared" si="30"/>
        <v/>
      </c>
      <c r="J358" s="1" t="str">
        <f t="shared" si="31"/>
        <v/>
      </c>
      <c r="T358" s="1" t="str">
        <f t="shared" si="32"/>
        <v/>
      </c>
      <c r="W358" s="1" t="str">
        <f t="shared" si="33"/>
        <v/>
      </c>
      <c r="AA358" s="1" t="str">
        <f t="shared" si="34"/>
        <v/>
      </c>
      <c r="AB358" s="1" t="str">
        <f t="shared" si="35"/>
        <v/>
      </c>
    </row>
    <row r="359" spans="1:28" x14ac:dyDescent="0.2">
      <c r="A359" t="str">
        <f>IF(COUNTBLANK(B359:AD359)&lt;&gt;COLUMNS(B359:AD359),358,"")</f>
        <v/>
      </c>
      <c r="I359" s="1" t="str">
        <f t="shared" si="30"/>
        <v/>
      </c>
      <c r="J359" s="1" t="str">
        <f t="shared" si="31"/>
        <v/>
      </c>
      <c r="T359" s="1" t="str">
        <f t="shared" si="32"/>
        <v/>
      </c>
      <c r="W359" s="1" t="str">
        <f t="shared" si="33"/>
        <v/>
      </c>
      <c r="AA359" s="1" t="str">
        <f t="shared" si="34"/>
        <v/>
      </c>
      <c r="AB359" s="1" t="str">
        <f t="shared" si="35"/>
        <v/>
      </c>
    </row>
    <row r="360" spans="1:28" x14ac:dyDescent="0.2">
      <c r="A360" t="str">
        <f>IF(COUNTBLANK(B360:AD360)&lt;&gt;COLUMNS(B360:AD360),359,"")</f>
        <v/>
      </c>
      <c r="I360" s="1" t="str">
        <f t="shared" si="30"/>
        <v/>
      </c>
      <c r="J360" s="1" t="str">
        <f t="shared" si="31"/>
        <v/>
      </c>
      <c r="T360" s="1" t="str">
        <f t="shared" si="32"/>
        <v/>
      </c>
      <c r="W360" s="1" t="str">
        <f t="shared" si="33"/>
        <v/>
      </c>
      <c r="AA360" s="1" t="str">
        <f t="shared" si="34"/>
        <v/>
      </c>
      <c r="AB360" s="1" t="str">
        <f t="shared" si="35"/>
        <v/>
      </c>
    </row>
    <row r="361" spans="1:28" x14ac:dyDescent="0.2">
      <c r="A361" t="str">
        <f>IF(COUNTBLANK(B361:AD361)&lt;&gt;COLUMNS(B361:AD361),360,"")</f>
        <v/>
      </c>
      <c r="I361" s="1" t="str">
        <f t="shared" si="30"/>
        <v/>
      </c>
      <c r="J361" s="1" t="str">
        <f t="shared" si="31"/>
        <v/>
      </c>
      <c r="T361" s="1" t="str">
        <f t="shared" si="32"/>
        <v/>
      </c>
      <c r="W361" s="1" t="str">
        <f t="shared" si="33"/>
        <v/>
      </c>
      <c r="AA361" s="1" t="str">
        <f t="shared" si="34"/>
        <v/>
      </c>
      <c r="AB361" s="1" t="str">
        <f t="shared" si="35"/>
        <v/>
      </c>
    </row>
    <row r="362" spans="1:28" x14ac:dyDescent="0.2">
      <c r="A362" t="str">
        <f>IF(COUNTBLANK(B362:AD362)&lt;&gt;COLUMNS(B362:AD362),361,"")</f>
        <v/>
      </c>
      <c r="I362" s="1" t="str">
        <f t="shared" si="30"/>
        <v/>
      </c>
      <c r="J362" s="1" t="str">
        <f t="shared" si="31"/>
        <v/>
      </c>
      <c r="T362" s="1" t="str">
        <f t="shared" si="32"/>
        <v/>
      </c>
      <c r="W362" s="1" t="str">
        <f t="shared" si="33"/>
        <v/>
      </c>
      <c r="AA362" s="1" t="str">
        <f t="shared" si="34"/>
        <v/>
      </c>
      <c r="AB362" s="1" t="str">
        <f t="shared" si="35"/>
        <v/>
      </c>
    </row>
    <row r="363" spans="1:28" x14ac:dyDescent="0.2">
      <c r="A363" t="str">
        <f>IF(COUNTBLANK(B363:AD363)&lt;&gt;COLUMNS(B363:AD363),362,"")</f>
        <v/>
      </c>
      <c r="I363" s="1" t="str">
        <f t="shared" si="30"/>
        <v/>
      </c>
      <c r="J363" s="1" t="str">
        <f t="shared" si="31"/>
        <v/>
      </c>
      <c r="T363" s="1" t="str">
        <f t="shared" si="32"/>
        <v/>
      </c>
      <c r="W363" s="1" t="str">
        <f t="shared" si="33"/>
        <v/>
      </c>
      <c r="AA363" s="1" t="str">
        <f t="shared" si="34"/>
        <v/>
      </c>
      <c r="AB363" s="1" t="str">
        <f t="shared" si="35"/>
        <v/>
      </c>
    </row>
    <row r="364" spans="1:28" x14ac:dyDescent="0.2">
      <c r="A364" t="str">
        <f>IF(COUNTBLANK(B364:AD364)&lt;&gt;COLUMNS(B364:AD364),363,"")</f>
        <v/>
      </c>
      <c r="I364" s="1" t="str">
        <f t="shared" si="30"/>
        <v/>
      </c>
      <c r="J364" s="1" t="str">
        <f t="shared" si="31"/>
        <v/>
      </c>
      <c r="T364" s="1" t="str">
        <f t="shared" si="32"/>
        <v/>
      </c>
      <c r="W364" s="1" t="str">
        <f t="shared" si="33"/>
        <v/>
      </c>
      <c r="AA364" s="1" t="str">
        <f t="shared" si="34"/>
        <v/>
      </c>
      <c r="AB364" s="1" t="str">
        <f t="shared" si="35"/>
        <v/>
      </c>
    </row>
    <row r="365" spans="1:28" x14ac:dyDescent="0.2">
      <c r="A365" t="str">
        <f>IF(COUNTBLANK(B365:AD365)&lt;&gt;COLUMNS(B365:AD365),364,"")</f>
        <v/>
      </c>
      <c r="I365" s="1" t="str">
        <f t="shared" si="30"/>
        <v/>
      </c>
      <c r="J365" s="1" t="str">
        <f t="shared" si="31"/>
        <v/>
      </c>
      <c r="T365" s="1" t="str">
        <f t="shared" si="32"/>
        <v/>
      </c>
      <c r="W365" s="1" t="str">
        <f t="shared" si="33"/>
        <v/>
      </c>
      <c r="AA365" s="1" t="str">
        <f t="shared" si="34"/>
        <v/>
      </c>
      <c r="AB365" s="1" t="str">
        <f t="shared" si="35"/>
        <v/>
      </c>
    </row>
    <row r="366" spans="1:28" x14ac:dyDescent="0.2">
      <c r="A366" t="str">
        <f>IF(COUNTBLANK(B366:AD366)&lt;&gt;COLUMNS(B366:AD366),365,"")</f>
        <v/>
      </c>
      <c r="I366" s="1" t="str">
        <f t="shared" si="30"/>
        <v/>
      </c>
      <c r="J366" s="1" t="str">
        <f t="shared" si="31"/>
        <v/>
      </c>
      <c r="T366" s="1" t="str">
        <f t="shared" si="32"/>
        <v/>
      </c>
      <c r="W366" s="1" t="str">
        <f t="shared" si="33"/>
        <v/>
      </c>
      <c r="AA366" s="1" t="str">
        <f t="shared" si="34"/>
        <v/>
      </c>
      <c r="AB366" s="1" t="str">
        <f t="shared" si="35"/>
        <v/>
      </c>
    </row>
    <row r="367" spans="1:28" x14ac:dyDescent="0.2">
      <c r="A367" t="str">
        <f>IF(COUNTBLANK(B367:AD367)&lt;&gt;COLUMNS(B367:AD367),366,"")</f>
        <v/>
      </c>
      <c r="I367" s="1" t="str">
        <f t="shared" si="30"/>
        <v/>
      </c>
      <c r="J367" s="1" t="str">
        <f t="shared" si="31"/>
        <v/>
      </c>
      <c r="T367" s="1" t="str">
        <f t="shared" si="32"/>
        <v/>
      </c>
      <c r="W367" s="1" t="str">
        <f t="shared" si="33"/>
        <v/>
      </c>
      <c r="AA367" s="1" t="str">
        <f t="shared" si="34"/>
        <v/>
      </c>
      <c r="AB367" s="1" t="str">
        <f t="shared" si="35"/>
        <v/>
      </c>
    </row>
    <row r="368" spans="1:28" x14ac:dyDescent="0.2">
      <c r="A368" t="str">
        <f>IF(COUNTBLANK(B368:AD368)&lt;&gt;COLUMNS(B368:AD368),367,"")</f>
        <v/>
      </c>
      <c r="I368" s="1" t="str">
        <f t="shared" si="30"/>
        <v/>
      </c>
      <c r="J368" s="1" t="str">
        <f t="shared" si="31"/>
        <v/>
      </c>
      <c r="T368" s="1" t="str">
        <f t="shared" si="32"/>
        <v/>
      </c>
      <c r="W368" s="1" t="str">
        <f t="shared" si="33"/>
        <v/>
      </c>
      <c r="AA368" s="1" t="str">
        <f t="shared" si="34"/>
        <v/>
      </c>
      <c r="AB368" s="1" t="str">
        <f t="shared" si="35"/>
        <v/>
      </c>
    </row>
    <row r="369" spans="1:28" x14ac:dyDescent="0.2">
      <c r="A369" t="str">
        <f>IF(COUNTBLANK(B369:AD369)&lt;&gt;COLUMNS(B369:AD369),368,"")</f>
        <v/>
      </c>
      <c r="I369" s="1" t="str">
        <f t="shared" si="30"/>
        <v/>
      </c>
      <c r="J369" s="1" t="str">
        <f t="shared" si="31"/>
        <v/>
      </c>
      <c r="T369" s="1" t="str">
        <f t="shared" si="32"/>
        <v/>
      </c>
      <c r="W369" s="1" t="str">
        <f t="shared" si="33"/>
        <v/>
      </c>
      <c r="AA369" s="1" t="str">
        <f t="shared" si="34"/>
        <v/>
      </c>
      <c r="AB369" s="1" t="str">
        <f t="shared" si="35"/>
        <v/>
      </c>
    </row>
    <row r="370" spans="1:28" x14ac:dyDescent="0.2">
      <c r="A370" t="str">
        <f>IF(COUNTBLANK(B370:AD370)&lt;&gt;COLUMNS(B370:AD370),369,"")</f>
        <v/>
      </c>
      <c r="I370" s="1" t="str">
        <f t="shared" si="30"/>
        <v/>
      </c>
      <c r="J370" s="1" t="str">
        <f t="shared" si="31"/>
        <v/>
      </c>
      <c r="T370" s="1" t="str">
        <f t="shared" si="32"/>
        <v/>
      </c>
      <c r="W370" s="1" t="str">
        <f t="shared" si="33"/>
        <v/>
      </c>
      <c r="AA370" s="1" t="str">
        <f t="shared" si="34"/>
        <v/>
      </c>
      <c r="AB370" s="1" t="str">
        <f t="shared" si="35"/>
        <v/>
      </c>
    </row>
    <row r="371" spans="1:28" x14ac:dyDescent="0.2">
      <c r="A371" t="str">
        <f>IF(COUNTBLANK(B371:AD371)&lt;&gt;COLUMNS(B371:AD371),370,"")</f>
        <v/>
      </c>
      <c r="I371" s="1" t="str">
        <f t="shared" si="30"/>
        <v/>
      </c>
      <c r="J371" s="1" t="str">
        <f t="shared" si="31"/>
        <v/>
      </c>
      <c r="T371" s="1" t="str">
        <f t="shared" si="32"/>
        <v/>
      </c>
      <c r="W371" s="1" t="str">
        <f t="shared" si="33"/>
        <v/>
      </c>
      <c r="AA371" s="1" t="str">
        <f t="shared" si="34"/>
        <v/>
      </c>
      <c r="AB371" s="1" t="str">
        <f t="shared" si="35"/>
        <v/>
      </c>
    </row>
    <row r="372" spans="1:28" x14ac:dyDescent="0.2">
      <c r="A372" t="str">
        <f>IF(COUNTBLANK(B372:AD372)&lt;&gt;COLUMNS(B372:AD372),371,"")</f>
        <v/>
      </c>
      <c r="I372" s="1" t="str">
        <f t="shared" si="30"/>
        <v/>
      </c>
      <c r="J372" s="1" t="str">
        <f t="shared" si="31"/>
        <v/>
      </c>
      <c r="T372" s="1" t="str">
        <f t="shared" si="32"/>
        <v/>
      </c>
      <c r="W372" s="1" t="str">
        <f t="shared" si="33"/>
        <v/>
      </c>
      <c r="AA372" s="1" t="str">
        <f t="shared" si="34"/>
        <v/>
      </c>
      <c r="AB372" s="1" t="str">
        <f t="shared" si="35"/>
        <v/>
      </c>
    </row>
    <row r="373" spans="1:28" x14ac:dyDescent="0.2">
      <c r="A373" t="str">
        <f>IF(COUNTBLANK(B373:AD373)&lt;&gt;COLUMNS(B373:AD373),372,"")</f>
        <v/>
      </c>
      <c r="I373" s="1" t="str">
        <f t="shared" si="30"/>
        <v/>
      </c>
      <c r="J373" s="1" t="str">
        <f t="shared" si="31"/>
        <v/>
      </c>
      <c r="T373" s="1" t="str">
        <f t="shared" si="32"/>
        <v/>
      </c>
      <c r="W373" s="1" t="str">
        <f t="shared" si="33"/>
        <v/>
      </c>
      <c r="AA373" s="1" t="str">
        <f t="shared" si="34"/>
        <v/>
      </c>
      <c r="AB373" s="1" t="str">
        <f t="shared" si="35"/>
        <v/>
      </c>
    </row>
    <row r="374" spans="1:28" x14ac:dyDescent="0.2">
      <c r="A374" t="str">
        <f>IF(COUNTBLANK(B374:AD374)&lt;&gt;COLUMNS(B374:AD374),373,"")</f>
        <v/>
      </c>
      <c r="I374" s="1" t="str">
        <f t="shared" si="30"/>
        <v/>
      </c>
      <c r="J374" s="1" t="str">
        <f t="shared" si="31"/>
        <v/>
      </c>
      <c r="T374" s="1" t="str">
        <f t="shared" si="32"/>
        <v/>
      </c>
      <c r="W374" s="1" t="str">
        <f t="shared" si="33"/>
        <v/>
      </c>
      <c r="AA374" s="1" t="str">
        <f t="shared" si="34"/>
        <v/>
      </c>
      <c r="AB374" s="1" t="str">
        <f t="shared" si="35"/>
        <v/>
      </c>
    </row>
    <row r="375" spans="1:28" x14ac:dyDescent="0.2">
      <c r="A375" t="str">
        <f>IF(COUNTBLANK(B375:AD375)&lt;&gt;COLUMNS(B375:AD375),374,"")</f>
        <v/>
      </c>
      <c r="I375" s="1" t="str">
        <f t="shared" si="30"/>
        <v/>
      </c>
      <c r="J375" s="1" t="str">
        <f t="shared" si="31"/>
        <v/>
      </c>
      <c r="T375" s="1" t="str">
        <f t="shared" si="32"/>
        <v/>
      </c>
      <c r="W375" s="1" t="str">
        <f t="shared" si="33"/>
        <v/>
      </c>
      <c r="AA375" s="1" t="str">
        <f t="shared" si="34"/>
        <v/>
      </c>
      <c r="AB375" s="1" t="str">
        <f t="shared" si="35"/>
        <v/>
      </c>
    </row>
    <row r="376" spans="1:28" x14ac:dyDescent="0.2">
      <c r="A376" t="str">
        <f>IF(COUNTBLANK(B376:AD376)&lt;&gt;COLUMNS(B376:AD376),375,"")</f>
        <v/>
      </c>
      <c r="I376" s="1" t="str">
        <f t="shared" si="30"/>
        <v/>
      </c>
      <c r="J376" s="1" t="str">
        <f t="shared" si="31"/>
        <v/>
      </c>
      <c r="T376" s="1" t="str">
        <f t="shared" si="32"/>
        <v/>
      </c>
      <c r="W376" s="1" t="str">
        <f t="shared" si="33"/>
        <v/>
      </c>
      <c r="AA376" s="1" t="str">
        <f t="shared" si="34"/>
        <v/>
      </c>
      <c r="AB376" s="1" t="str">
        <f t="shared" si="35"/>
        <v/>
      </c>
    </row>
    <row r="377" spans="1:28" x14ac:dyDescent="0.2">
      <c r="A377" t="str">
        <f>IF(COUNTBLANK(B377:AD377)&lt;&gt;COLUMNS(B377:AD377),376,"")</f>
        <v/>
      </c>
      <c r="I377" s="1" t="str">
        <f t="shared" si="30"/>
        <v/>
      </c>
      <c r="J377" s="1" t="str">
        <f t="shared" si="31"/>
        <v/>
      </c>
      <c r="T377" s="1" t="str">
        <f t="shared" si="32"/>
        <v/>
      </c>
      <c r="W377" s="1" t="str">
        <f t="shared" si="33"/>
        <v/>
      </c>
      <c r="AA377" s="1" t="str">
        <f t="shared" si="34"/>
        <v/>
      </c>
      <c r="AB377" s="1" t="str">
        <f t="shared" si="35"/>
        <v/>
      </c>
    </row>
    <row r="378" spans="1:28" x14ac:dyDescent="0.2">
      <c r="A378" t="str">
        <f>IF(COUNTBLANK(B378:AD378)&lt;&gt;COLUMNS(B378:AD378),377,"")</f>
        <v/>
      </c>
      <c r="I378" s="1" t="str">
        <f t="shared" si="30"/>
        <v/>
      </c>
      <c r="J378" s="1" t="str">
        <f t="shared" si="31"/>
        <v/>
      </c>
      <c r="T378" s="1" t="str">
        <f t="shared" si="32"/>
        <v/>
      </c>
      <c r="W378" s="1" t="str">
        <f t="shared" si="33"/>
        <v/>
      </c>
      <c r="AA378" s="1" t="str">
        <f t="shared" si="34"/>
        <v/>
      </c>
      <c r="AB378" s="1" t="str">
        <f t="shared" si="35"/>
        <v/>
      </c>
    </row>
    <row r="379" spans="1:28" x14ac:dyDescent="0.2">
      <c r="A379" t="str">
        <f>IF(COUNTBLANK(B379:AD379)&lt;&gt;COLUMNS(B379:AD379),378,"")</f>
        <v/>
      </c>
      <c r="I379" s="1" t="str">
        <f t="shared" si="30"/>
        <v/>
      </c>
      <c r="J379" s="1" t="str">
        <f t="shared" si="31"/>
        <v/>
      </c>
      <c r="T379" s="1" t="str">
        <f t="shared" si="32"/>
        <v/>
      </c>
      <c r="W379" s="1" t="str">
        <f t="shared" si="33"/>
        <v/>
      </c>
      <c r="AA379" s="1" t="str">
        <f t="shared" si="34"/>
        <v/>
      </c>
      <c r="AB379" s="1" t="str">
        <f t="shared" si="35"/>
        <v/>
      </c>
    </row>
    <row r="380" spans="1:28" x14ac:dyDescent="0.2">
      <c r="A380" t="str">
        <f>IF(COUNTBLANK(B380:AD380)&lt;&gt;COLUMNS(B380:AD380),379,"")</f>
        <v/>
      </c>
      <c r="I380" s="1" t="str">
        <f t="shared" si="30"/>
        <v/>
      </c>
      <c r="J380" s="1" t="str">
        <f t="shared" si="31"/>
        <v/>
      </c>
      <c r="T380" s="1" t="str">
        <f t="shared" si="32"/>
        <v/>
      </c>
      <c r="W380" s="1" t="str">
        <f t="shared" si="33"/>
        <v/>
      </c>
      <c r="AA380" s="1" t="str">
        <f t="shared" si="34"/>
        <v/>
      </c>
      <c r="AB380" s="1" t="str">
        <f t="shared" si="35"/>
        <v/>
      </c>
    </row>
    <row r="381" spans="1:28" x14ac:dyDescent="0.2">
      <c r="A381" t="str">
        <f>IF(COUNTBLANK(B381:AD381)&lt;&gt;COLUMNS(B381:AD381),380,"")</f>
        <v/>
      </c>
      <c r="I381" s="1" t="str">
        <f t="shared" si="30"/>
        <v/>
      </c>
      <c r="J381" s="1" t="str">
        <f t="shared" si="31"/>
        <v/>
      </c>
      <c r="T381" s="1" t="str">
        <f t="shared" si="32"/>
        <v/>
      </c>
      <c r="W381" s="1" t="str">
        <f t="shared" si="33"/>
        <v/>
      </c>
      <c r="AA381" s="1" t="str">
        <f t="shared" si="34"/>
        <v/>
      </c>
      <c r="AB381" s="1" t="str">
        <f t="shared" si="35"/>
        <v/>
      </c>
    </row>
    <row r="382" spans="1:28" x14ac:dyDescent="0.2">
      <c r="A382" t="str">
        <f>IF(COUNTBLANK(B382:AD382)&lt;&gt;COLUMNS(B382:AD382),381,"")</f>
        <v/>
      </c>
      <c r="I382" s="1" t="str">
        <f t="shared" si="30"/>
        <v/>
      </c>
      <c r="J382" s="1" t="str">
        <f t="shared" si="31"/>
        <v/>
      </c>
      <c r="T382" s="1" t="str">
        <f t="shared" si="32"/>
        <v/>
      </c>
      <c r="W382" s="1" t="str">
        <f t="shared" si="33"/>
        <v/>
      </c>
      <c r="AA382" s="1" t="str">
        <f t="shared" si="34"/>
        <v/>
      </c>
      <c r="AB382" s="1" t="str">
        <f t="shared" si="35"/>
        <v/>
      </c>
    </row>
    <row r="383" spans="1:28" x14ac:dyDescent="0.2">
      <c r="A383" t="str">
        <f>IF(COUNTBLANK(B383:AD383)&lt;&gt;COLUMNS(B383:AD383),382,"")</f>
        <v/>
      </c>
      <c r="I383" s="1" t="str">
        <f t="shared" si="30"/>
        <v/>
      </c>
      <c r="J383" s="1" t="str">
        <f t="shared" si="31"/>
        <v/>
      </c>
      <c r="T383" s="1" t="str">
        <f t="shared" si="32"/>
        <v/>
      </c>
      <c r="W383" s="1" t="str">
        <f t="shared" si="33"/>
        <v/>
      </c>
      <c r="AA383" s="1" t="str">
        <f t="shared" si="34"/>
        <v/>
      </c>
      <c r="AB383" s="1" t="str">
        <f t="shared" si="35"/>
        <v/>
      </c>
    </row>
    <row r="384" spans="1:28" x14ac:dyDescent="0.2">
      <c r="A384" t="str">
        <f>IF(COUNTBLANK(B384:AD384)&lt;&gt;COLUMNS(B384:AD384),383,"")</f>
        <v/>
      </c>
      <c r="I384" s="1" t="str">
        <f t="shared" si="30"/>
        <v/>
      </c>
      <c r="J384" s="1" t="str">
        <f t="shared" si="31"/>
        <v/>
      </c>
      <c r="T384" s="1" t="str">
        <f t="shared" si="32"/>
        <v/>
      </c>
      <c r="W384" s="1" t="str">
        <f t="shared" si="33"/>
        <v/>
      </c>
      <c r="AA384" s="1" t="str">
        <f t="shared" si="34"/>
        <v/>
      </c>
      <c r="AB384" s="1" t="str">
        <f t="shared" si="35"/>
        <v/>
      </c>
    </row>
    <row r="385" spans="1:28" x14ac:dyDescent="0.2">
      <c r="A385" t="str">
        <f>IF(COUNTBLANK(B385:AD385)&lt;&gt;COLUMNS(B385:AD385),384,"")</f>
        <v/>
      </c>
      <c r="I385" s="1" t="str">
        <f t="shared" si="30"/>
        <v/>
      </c>
      <c r="J385" s="1" t="str">
        <f t="shared" si="31"/>
        <v/>
      </c>
      <c r="T385" s="1" t="str">
        <f t="shared" si="32"/>
        <v/>
      </c>
      <c r="W385" s="1" t="str">
        <f t="shared" si="33"/>
        <v/>
      </c>
      <c r="AA385" s="1" t="str">
        <f t="shared" si="34"/>
        <v/>
      </c>
      <c r="AB385" s="1" t="str">
        <f t="shared" si="35"/>
        <v/>
      </c>
    </row>
    <row r="386" spans="1:28" x14ac:dyDescent="0.2">
      <c r="A386" t="str">
        <f>IF(COUNTBLANK(B386:AD386)&lt;&gt;COLUMNS(B386:AD386),385,"")</f>
        <v/>
      </c>
      <c r="I386" s="1" t="str">
        <f t="shared" ref="I386:I449" si="36">IF(B386="", "", "meters")</f>
        <v/>
      </c>
      <c r="J386" s="1" t="str">
        <f t="shared" ref="J386:J449" si="37">IF(B386="", "", "free-living")</f>
        <v/>
      </c>
      <c r="T386" s="1" t="str">
        <f t="shared" ref="T386:T449" si="38">IF(B386="", "", "Decimal degrees")</f>
        <v/>
      </c>
      <c r="W386" s="1" t="str">
        <f t="shared" ref="W386:W449" si="39">IF(B386="", "", "Decimal degrees")</f>
        <v/>
      </c>
      <c r="AA386" s="1" t="str">
        <f t="shared" ref="AA386:AA449" si="40">IF(B386="", "", "metagenome")</f>
        <v/>
      </c>
      <c r="AB386" s="1" t="str">
        <f t="shared" ref="AB386:AB449" si="41">IF(B386="", "", "256318")</f>
        <v/>
      </c>
    </row>
    <row r="387" spans="1:28" x14ac:dyDescent="0.2">
      <c r="A387" t="str">
        <f>IF(COUNTBLANK(B387:AD387)&lt;&gt;COLUMNS(B387:AD387),386,"")</f>
        <v/>
      </c>
      <c r="I387" s="1" t="str">
        <f t="shared" si="36"/>
        <v/>
      </c>
      <c r="J387" s="1" t="str">
        <f t="shared" si="37"/>
        <v/>
      </c>
      <c r="T387" s="1" t="str">
        <f t="shared" si="38"/>
        <v/>
      </c>
      <c r="W387" s="1" t="str">
        <f t="shared" si="39"/>
        <v/>
      </c>
      <c r="AA387" s="1" t="str">
        <f t="shared" si="40"/>
        <v/>
      </c>
      <c r="AB387" s="1" t="str">
        <f t="shared" si="41"/>
        <v/>
      </c>
    </row>
    <row r="388" spans="1:28" x14ac:dyDescent="0.2">
      <c r="A388" t="str">
        <f>IF(COUNTBLANK(B388:AD388)&lt;&gt;COLUMNS(B388:AD388),387,"")</f>
        <v/>
      </c>
      <c r="I388" s="1" t="str">
        <f t="shared" si="36"/>
        <v/>
      </c>
      <c r="J388" s="1" t="str">
        <f t="shared" si="37"/>
        <v/>
      </c>
      <c r="T388" s="1" t="str">
        <f t="shared" si="38"/>
        <v/>
      </c>
      <c r="W388" s="1" t="str">
        <f t="shared" si="39"/>
        <v/>
      </c>
      <c r="AA388" s="1" t="str">
        <f t="shared" si="40"/>
        <v/>
      </c>
      <c r="AB388" s="1" t="str">
        <f t="shared" si="41"/>
        <v/>
      </c>
    </row>
    <row r="389" spans="1:28" x14ac:dyDescent="0.2">
      <c r="A389" t="str">
        <f>IF(COUNTBLANK(B389:AD389)&lt;&gt;COLUMNS(B389:AD389),388,"")</f>
        <v/>
      </c>
      <c r="I389" s="1" t="str">
        <f t="shared" si="36"/>
        <v/>
      </c>
      <c r="J389" s="1" t="str">
        <f t="shared" si="37"/>
        <v/>
      </c>
      <c r="T389" s="1" t="str">
        <f t="shared" si="38"/>
        <v/>
      </c>
      <c r="W389" s="1" t="str">
        <f t="shared" si="39"/>
        <v/>
      </c>
      <c r="AA389" s="1" t="str">
        <f t="shared" si="40"/>
        <v/>
      </c>
      <c r="AB389" s="1" t="str">
        <f t="shared" si="41"/>
        <v/>
      </c>
    </row>
    <row r="390" spans="1:28" x14ac:dyDescent="0.2">
      <c r="A390" t="str">
        <f>IF(COUNTBLANK(B390:AD390)&lt;&gt;COLUMNS(B390:AD390),389,"")</f>
        <v/>
      </c>
      <c r="I390" s="1" t="str">
        <f t="shared" si="36"/>
        <v/>
      </c>
      <c r="J390" s="1" t="str">
        <f t="shared" si="37"/>
        <v/>
      </c>
      <c r="T390" s="1" t="str">
        <f t="shared" si="38"/>
        <v/>
      </c>
      <c r="W390" s="1" t="str">
        <f t="shared" si="39"/>
        <v/>
      </c>
      <c r="AA390" s="1" t="str">
        <f t="shared" si="40"/>
        <v/>
      </c>
      <c r="AB390" s="1" t="str">
        <f t="shared" si="41"/>
        <v/>
      </c>
    </row>
    <row r="391" spans="1:28" x14ac:dyDescent="0.2">
      <c r="A391" t="str">
        <f>IF(COUNTBLANK(B391:AD391)&lt;&gt;COLUMNS(B391:AD391),390,"")</f>
        <v/>
      </c>
      <c r="I391" s="1" t="str">
        <f t="shared" si="36"/>
        <v/>
      </c>
      <c r="J391" s="1" t="str">
        <f t="shared" si="37"/>
        <v/>
      </c>
      <c r="T391" s="1" t="str">
        <f t="shared" si="38"/>
        <v/>
      </c>
      <c r="W391" s="1" t="str">
        <f t="shared" si="39"/>
        <v/>
      </c>
      <c r="AA391" s="1" t="str">
        <f t="shared" si="40"/>
        <v/>
      </c>
      <c r="AB391" s="1" t="str">
        <f t="shared" si="41"/>
        <v/>
      </c>
    </row>
    <row r="392" spans="1:28" x14ac:dyDescent="0.2">
      <c r="A392" t="str">
        <f>IF(COUNTBLANK(B392:AD392)&lt;&gt;COLUMNS(B392:AD392),391,"")</f>
        <v/>
      </c>
      <c r="I392" s="1" t="str">
        <f t="shared" si="36"/>
        <v/>
      </c>
      <c r="J392" s="1" t="str">
        <f t="shared" si="37"/>
        <v/>
      </c>
      <c r="T392" s="1" t="str">
        <f t="shared" si="38"/>
        <v/>
      </c>
      <c r="W392" s="1" t="str">
        <f t="shared" si="39"/>
        <v/>
      </c>
      <c r="AA392" s="1" t="str">
        <f t="shared" si="40"/>
        <v/>
      </c>
      <c r="AB392" s="1" t="str">
        <f t="shared" si="41"/>
        <v/>
      </c>
    </row>
    <row r="393" spans="1:28" x14ac:dyDescent="0.2">
      <c r="A393" t="str">
        <f>IF(COUNTBLANK(B393:AD393)&lt;&gt;COLUMNS(B393:AD393),392,"")</f>
        <v/>
      </c>
      <c r="I393" s="1" t="str">
        <f t="shared" si="36"/>
        <v/>
      </c>
      <c r="J393" s="1" t="str">
        <f t="shared" si="37"/>
        <v/>
      </c>
      <c r="T393" s="1" t="str">
        <f t="shared" si="38"/>
        <v/>
      </c>
      <c r="W393" s="1" t="str">
        <f t="shared" si="39"/>
        <v/>
      </c>
      <c r="AA393" s="1" t="str">
        <f t="shared" si="40"/>
        <v/>
      </c>
      <c r="AB393" s="1" t="str">
        <f t="shared" si="41"/>
        <v/>
      </c>
    </row>
    <row r="394" spans="1:28" x14ac:dyDescent="0.2">
      <c r="A394" t="str">
        <f>IF(COUNTBLANK(B394:AD394)&lt;&gt;COLUMNS(B394:AD394),393,"")</f>
        <v/>
      </c>
      <c r="I394" s="1" t="str">
        <f t="shared" si="36"/>
        <v/>
      </c>
      <c r="J394" s="1" t="str">
        <f t="shared" si="37"/>
        <v/>
      </c>
      <c r="T394" s="1" t="str">
        <f t="shared" si="38"/>
        <v/>
      </c>
      <c r="W394" s="1" t="str">
        <f t="shared" si="39"/>
        <v/>
      </c>
      <c r="AA394" s="1" t="str">
        <f t="shared" si="40"/>
        <v/>
      </c>
      <c r="AB394" s="1" t="str">
        <f t="shared" si="41"/>
        <v/>
      </c>
    </row>
    <row r="395" spans="1:28" x14ac:dyDescent="0.2">
      <c r="A395" t="str">
        <f>IF(COUNTBLANK(B395:AD395)&lt;&gt;COLUMNS(B395:AD395),394,"")</f>
        <v/>
      </c>
      <c r="I395" s="1" t="str">
        <f t="shared" si="36"/>
        <v/>
      </c>
      <c r="J395" s="1" t="str">
        <f t="shared" si="37"/>
        <v/>
      </c>
      <c r="T395" s="1" t="str">
        <f t="shared" si="38"/>
        <v/>
      </c>
      <c r="W395" s="1" t="str">
        <f t="shared" si="39"/>
        <v/>
      </c>
      <c r="AA395" s="1" t="str">
        <f t="shared" si="40"/>
        <v/>
      </c>
      <c r="AB395" s="1" t="str">
        <f t="shared" si="41"/>
        <v/>
      </c>
    </row>
    <row r="396" spans="1:28" x14ac:dyDescent="0.2">
      <c r="A396" t="str">
        <f>IF(COUNTBLANK(B396:AD396)&lt;&gt;COLUMNS(B396:AD396),395,"")</f>
        <v/>
      </c>
      <c r="I396" s="1" t="str">
        <f t="shared" si="36"/>
        <v/>
      </c>
      <c r="J396" s="1" t="str">
        <f t="shared" si="37"/>
        <v/>
      </c>
      <c r="T396" s="1" t="str">
        <f t="shared" si="38"/>
        <v/>
      </c>
      <c r="W396" s="1" t="str">
        <f t="shared" si="39"/>
        <v/>
      </c>
      <c r="AA396" s="1" t="str">
        <f t="shared" si="40"/>
        <v/>
      </c>
      <c r="AB396" s="1" t="str">
        <f t="shared" si="41"/>
        <v/>
      </c>
    </row>
    <row r="397" spans="1:28" x14ac:dyDescent="0.2">
      <c r="A397" t="str">
        <f>IF(COUNTBLANK(B397:AD397)&lt;&gt;COLUMNS(B397:AD397),396,"")</f>
        <v/>
      </c>
      <c r="I397" s="1" t="str">
        <f t="shared" si="36"/>
        <v/>
      </c>
      <c r="J397" s="1" t="str">
        <f t="shared" si="37"/>
        <v/>
      </c>
      <c r="T397" s="1" t="str">
        <f t="shared" si="38"/>
        <v/>
      </c>
      <c r="W397" s="1" t="str">
        <f t="shared" si="39"/>
        <v/>
      </c>
      <c r="AA397" s="1" t="str">
        <f t="shared" si="40"/>
        <v/>
      </c>
      <c r="AB397" s="1" t="str">
        <f t="shared" si="41"/>
        <v/>
      </c>
    </row>
    <row r="398" spans="1:28" x14ac:dyDescent="0.2">
      <c r="A398" t="str">
        <f>IF(COUNTBLANK(B398:AD398)&lt;&gt;COLUMNS(B398:AD398),397,"")</f>
        <v/>
      </c>
      <c r="I398" s="1" t="str">
        <f t="shared" si="36"/>
        <v/>
      </c>
      <c r="J398" s="1" t="str">
        <f t="shared" si="37"/>
        <v/>
      </c>
      <c r="T398" s="1" t="str">
        <f t="shared" si="38"/>
        <v/>
      </c>
      <c r="W398" s="1" t="str">
        <f t="shared" si="39"/>
        <v/>
      </c>
      <c r="AA398" s="1" t="str">
        <f t="shared" si="40"/>
        <v/>
      </c>
      <c r="AB398" s="1" t="str">
        <f t="shared" si="41"/>
        <v/>
      </c>
    </row>
    <row r="399" spans="1:28" x14ac:dyDescent="0.2">
      <c r="A399" t="str">
        <f>IF(COUNTBLANK(B399:AD399)&lt;&gt;COLUMNS(B399:AD399),398,"")</f>
        <v/>
      </c>
      <c r="I399" s="1" t="str">
        <f t="shared" si="36"/>
        <v/>
      </c>
      <c r="J399" s="1" t="str">
        <f t="shared" si="37"/>
        <v/>
      </c>
      <c r="T399" s="1" t="str">
        <f t="shared" si="38"/>
        <v/>
      </c>
      <c r="W399" s="1" t="str">
        <f t="shared" si="39"/>
        <v/>
      </c>
      <c r="AA399" s="1" t="str">
        <f t="shared" si="40"/>
        <v/>
      </c>
      <c r="AB399" s="1" t="str">
        <f t="shared" si="41"/>
        <v/>
      </c>
    </row>
    <row r="400" spans="1:28" x14ac:dyDescent="0.2">
      <c r="A400" t="str">
        <f>IF(COUNTBLANK(B400:AD400)&lt;&gt;COLUMNS(B400:AD400),399,"")</f>
        <v/>
      </c>
      <c r="I400" s="1" t="str">
        <f t="shared" si="36"/>
        <v/>
      </c>
      <c r="J400" s="1" t="str">
        <f t="shared" si="37"/>
        <v/>
      </c>
      <c r="T400" s="1" t="str">
        <f t="shared" si="38"/>
        <v/>
      </c>
      <c r="W400" s="1" t="str">
        <f t="shared" si="39"/>
        <v/>
      </c>
      <c r="AA400" s="1" t="str">
        <f t="shared" si="40"/>
        <v/>
      </c>
      <c r="AB400" s="1" t="str">
        <f t="shared" si="41"/>
        <v/>
      </c>
    </row>
    <row r="401" spans="1:28" x14ac:dyDescent="0.2">
      <c r="A401" t="str">
        <f>IF(COUNTBLANK(B401:AD401)&lt;&gt;COLUMNS(B401:AD401),400,"")</f>
        <v/>
      </c>
      <c r="I401" s="1" t="str">
        <f t="shared" si="36"/>
        <v/>
      </c>
      <c r="J401" s="1" t="str">
        <f t="shared" si="37"/>
        <v/>
      </c>
      <c r="T401" s="1" t="str">
        <f t="shared" si="38"/>
        <v/>
      </c>
      <c r="W401" s="1" t="str">
        <f t="shared" si="39"/>
        <v/>
      </c>
      <c r="AA401" s="1" t="str">
        <f t="shared" si="40"/>
        <v/>
      </c>
      <c r="AB401" s="1" t="str">
        <f t="shared" si="41"/>
        <v/>
      </c>
    </row>
    <row r="402" spans="1:28" x14ac:dyDescent="0.2">
      <c r="A402" t="str">
        <f>IF(COUNTBLANK(B402:AD402)&lt;&gt;COLUMNS(B402:AD402),401,"")</f>
        <v/>
      </c>
      <c r="I402" s="1" t="str">
        <f t="shared" si="36"/>
        <v/>
      </c>
      <c r="J402" s="1" t="str">
        <f t="shared" si="37"/>
        <v/>
      </c>
      <c r="T402" s="1" t="str">
        <f t="shared" si="38"/>
        <v/>
      </c>
      <c r="W402" s="1" t="str">
        <f t="shared" si="39"/>
        <v/>
      </c>
      <c r="AA402" s="1" t="str">
        <f t="shared" si="40"/>
        <v/>
      </c>
      <c r="AB402" s="1" t="str">
        <f t="shared" si="41"/>
        <v/>
      </c>
    </row>
    <row r="403" spans="1:28" x14ac:dyDescent="0.2">
      <c r="A403" t="str">
        <f>IF(COUNTBLANK(B403:AD403)&lt;&gt;COLUMNS(B403:AD403),402,"")</f>
        <v/>
      </c>
      <c r="I403" s="1" t="str">
        <f t="shared" si="36"/>
        <v/>
      </c>
      <c r="J403" s="1" t="str">
        <f t="shared" si="37"/>
        <v/>
      </c>
      <c r="T403" s="1" t="str">
        <f t="shared" si="38"/>
        <v/>
      </c>
      <c r="W403" s="1" t="str">
        <f t="shared" si="39"/>
        <v/>
      </c>
      <c r="AA403" s="1" t="str">
        <f t="shared" si="40"/>
        <v/>
      </c>
      <c r="AB403" s="1" t="str">
        <f t="shared" si="41"/>
        <v/>
      </c>
    </row>
    <row r="404" spans="1:28" x14ac:dyDescent="0.2">
      <c r="A404" t="str">
        <f>IF(COUNTBLANK(B404:AD404)&lt;&gt;COLUMNS(B404:AD404),403,"")</f>
        <v/>
      </c>
      <c r="I404" s="1" t="str">
        <f t="shared" si="36"/>
        <v/>
      </c>
      <c r="J404" s="1" t="str">
        <f t="shared" si="37"/>
        <v/>
      </c>
      <c r="T404" s="1" t="str">
        <f t="shared" si="38"/>
        <v/>
      </c>
      <c r="W404" s="1" t="str">
        <f t="shared" si="39"/>
        <v/>
      </c>
      <c r="AA404" s="1" t="str">
        <f t="shared" si="40"/>
        <v/>
      </c>
      <c r="AB404" s="1" t="str">
        <f t="shared" si="41"/>
        <v/>
      </c>
    </row>
    <row r="405" spans="1:28" x14ac:dyDescent="0.2">
      <c r="A405" t="str">
        <f>IF(COUNTBLANK(B405:AD405)&lt;&gt;COLUMNS(B405:AD405),404,"")</f>
        <v/>
      </c>
      <c r="I405" s="1" t="str">
        <f t="shared" si="36"/>
        <v/>
      </c>
      <c r="J405" s="1" t="str">
        <f t="shared" si="37"/>
        <v/>
      </c>
      <c r="T405" s="1" t="str">
        <f t="shared" si="38"/>
        <v/>
      </c>
      <c r="W405" s="1" t="str">
        <f t="shared" si="39"/>
        <v/>
      </c>
      <c r="AA405" s="1" t="str">
        <f t="shared" si="40"/>
        <v/>
      </c>
      <c r="AB405" s="1" t="str">
        <f t="shared" si="41"/>
        <v/>
      </c>
    </row>
    <row r="406" spans="1:28" x14ac:dyDescent="0.2">
      <c r="A406" t="str">
        <f>IF(COUNTBLANK(B406:AD406)&lt;&gt;COLUMNS(B406:AD406),405,"")</f>
        <v/>
      </c>
      <c r="I406" s="1" t="str">
        <f t="shared" si="36"/>
        <v/>
      </c>
      <c r="J406" s="1" t="str">
        <f t="shared" si="37"/>
        <v/>
      </c>
      <c r="T406" s="1" t="str">
        <f t="shared" si="38"/>
        <v/>
      </c>
      <c r="W406" s="1" t="str">
        <f t="shared" si="39"/>
        <v/>
      </c>
      <c r="AA406" s="1" t="str">
        <f t="shared" si="40"/>
        <v/>
      </c>
      <c r="AB406" s="1" t="str">
        <f t="shared" si="41"/>
        <v/>
      </c>
    </row>
    <row r="407" spans="1:28" x14ac:dyDescent="0.2">
      <c r="A407" t="str">
        <f>IF(COUNTBLANK(B407:AD407)&lt;&gt;COLUMNS(B407:AD407),406,"")</f>
        <v/>
      </c>
      <c r="I407" s="1" t="str">
        <f t="shared" si="36"/>
        <v/>
      </c>
      <c r="J407" s="1" t="str">
        <f t="shared" si="37"/>
        <v/>
      </c>
      <c r="T407" s="1" t="str">
        <f t="shared" si="38"/>
        <v/>
      </c>
      <c r="W407" s="1" t="str">
        <f t="shared" si="39"/>
        <v/>
      </c>
      <c r="AA407" s="1" t="str">
        <f t="shared" si="40"/>
        <v/>
      </c>
      <c r="AB407" s="1" t="str">
        <f t="shared" si="41"/>
        <v/>
      </c>
    </row>
    <row r="408" spans="1:28" x14ac:dyDescent="0.2">
      <c r="A408" t="str">
        <f>IF(COUNTBLANK(B408:AD408)&lt;&gt;COLUMNS(B408:AD408),407,"")</f>
        <v/>
      </c>
      <c r="I408" s="1" t="str">
        <f t="shared" si="36"/>
        <v/>
      </c>
      <c r="J408" s="1" t="str">
        <f t="shared" si="37"/>
        <v/>
      </c>
      <c r="T408" s="1" t="str">
        <f t="shared" si="38"/>
        <v/>
      </c>
      <c r="W408" s="1" t="str">
        <f t="shared" si="39"/>
        <v/>
      </c>
      <c r="AA408" s="1" t="str">
        <f t="shared" si="40"/>
        <v/>
      </c>
      <c r="AB408" s="1" t="str">
        <f t="shared" si="41"/>
        <v/>
      </c>
    </row>
    <row r="409" spans="1:28" x14ac:dyDescent="0.2">
      <c r="A409" t="str">
        <f>IF(COUNTBLANK(B409:AD409)&lt;&gt;COLUMNS(B409:AD409),408,"")</f>
        <v/>
      </c>
      <c r="I409" s="1" t="str">
        <f t="shared" si="36"/>
        <v/>
      </c>
      <c r="J409" s="1" t="str">
        <f t="shared" si="37"/>
        <v/>
      </c>
      <c r="T409" s="1" t="str">
        <f t="shared" si="38"/>
        <v/>
      </c>
      <c r="W409" s="1" t="str">
        <f t="shared" si="39"/>
        <v/>
      </c>
      <c r="AA409" s="1" t="str">
        <f t="shared" si="40"/>
        <v/>
      </c>
      <c r="AB409" s="1" t="str">
        <f t="shared" si="41"/>
        <v/>
      </c>
    </row>
    <row r="410" spans="1:28" x14ac:dyDescent="0.2">
      <c r="A410" t="str">
        <f>IF(COUNTBLANK(B410:AD410)&lt;&gt;COLUMNS(B410:AD410),409,"")</f>
        <v/>
      </c>
      <c r="I410" s="1" t="str">
        <f t="shared" si="36"/>
        <v/>
      </c>
      <c r="J410" s="1" t="str">
        <f t="shared" si="37"/>
        <v/>
      </c>
      <c r="T410" s="1" t="str">
        <f t="shared" si="38"/>
        <v/>
      </c>
      <c r="W410" s="1" t="str">
        <f t="shared" si="39"/>
        <v/>
      </c>
      <c r="AA410" s="1" t="str">
        <f t="shared" si="40"/>
        <v/>
      </c>
      <c r="AB410" s="1" t="str">
        <f t="shared" si="41"/>
        <v/>
      </c>
    </row>
    <row r="411" spans="1:28" x14ac:dyDescent="0.2">
      <c r="A411" t="str">
        <f>IF(COUNTBLANK(B411:AD411)&lt;&gt;COLUMNS(B411:AD411),410,"")</f>
        <v/>
      </c>
      <c r="I411" s="1" t="str">
        <f t="shared" si="36"/>
        <v/>
      </c>
      <c r="J411" s="1" t="str">
        <f t="shared" si="37"/>
        <v/>
      </c>
      <c r="T411" s="1" t="str">
        <f t="shared" si="38"/>
        <v/>
      </c>
      <c r="W411" s="1" t="str">
        <f t="shared" si="39"/>
        <v/>
      </c>
      <c r="AA411" s="1" t="str">
        <f t="shared" si="40"/>
        <v/>
      </c>
      <c r="AB411" s="1" t="str">
        <f t="shared" si="41"/>
        <v/>
      </c>
    </row>
    <row r="412" spans="1:28" x14ac:dyDescent="0.2">
      <c r="A412" t="str">
        <f>IF(COUNTBLANK(B412:AD412)&lt;&gt;COLUMNS(B412:AD412),411,"")</f>
        <v/>
      </c>
      <c r="I412" s="1" t="str">
        <f t="shared" si="36"/>
        <v/>
      </c>
      <c r="J412" s="1" t="str">
        <f t="shared" si="37"/>
        <v/>
      </c>
      <c r="T412" s="1" t="str">
        <f t="shared" si="38"/>
        <v/>
      </c>
      <c r="W412" s="1" t="str">
        <f t="shared" si="39"/>
        <v/>
      </c>
      <c r="AA412" s="1" t="str">
        <f t="shared" si="40"/>
        <v/>
      </c>
      <c r="AB412" s="1" t="str">
        <f t="shared" si="41"/>
        <v/>
      </c>
    </row>
    <row r="413" spans="1:28" x14ac:dyDescent="0.2">
      <c r="A413" t="str">
        <f>IF(COUNTBLANK(B413:AD413)&lt;&gt;COLUMNS(B413:AD413),412,"")</f>
        <v/>
      </c>
      <c r="I413" s="1" t="str">
        <f t="shared" si="36"/>
        <v/>
      </c>
      <c r="J413" s="1" t="str">
        <f t="shared" si="37"/>
        <v/>
      </c>
      <c r="T413" s="1" t="str">
        <f t="shared" si="38"/>
        <v/>
      </c>
      <c r="W413" s="1" t="str">
        <f t="shared" si="39"/>
        <v/>
      </c>
      <c r="AA413" s="1" t="str">
        <f t="shared" si="40"/>
        <v/>
      </c>
      <c r="AB413" s="1" t="str">
        <f t="shared" si="41"/>
        <v/>
      </c>
    </row>
    <row r="414" spans="1:28" x14ac:dyDescent="0.2">
      <c r="A414" t="str">
        <f>IF(COUNTBLANK(B414:AD414)&lt;&gt;COLUMNS(B414:AD414),413,"")</f>
        <v/>
      </c>
      <c r="I414" s="1" t="str">
        <f t="shared" si="36"/>
        <v/>
      </c>
      <c r="J414" s="1" t="str">
        <f t="shared" si="37"/>
        <v/>
      </c>
      <c r="T414" s="1" t="str">
        <f t="shared" si="38"/>
        <v/>
      </c>
      <c r="W414" s="1" t="str">
        <f t="shared" si="39"/>
        <v/>
      </c>
      <c r="AA414" s="1" t="str">
        <f t="shared" si="40"/>
        <v/>
      </c>
      <c r="AB414" s="1" t="str">
        <f t="shared" si="41"/>
        <v/>
      </c>
    </row>
    <row r="415" spans="1:28" x14ac:dyDescent="0.2">
      <c r="A415" t="str">
        <f>IF(COUNTBLANK(B415:AD415)&lt;&gt;COLUMNS(B415:AD415),414,"")</f>
        <v/>
      </c>
      <c r="I415" s="1" t="str">
        <f t="shared" si="36"/>
        <v/>
      </c>
      <c r="J415" s="1" t="str">
        <f t="shared" si="37"/>
        <v/>
      </c>
      <c r="T415" s="1" t="str">
        <f t="shared" si="38"/>
        <v/>
      </c>
      <c r="W415" s="1" t="str">
        <f t="shared" si="39"/>
        <v/>
      </c>
      <c r="AA415" s="1" t="str">
        <f t="shared" si="40"/>
        <v/>
      </c>
      <c r="AB415" s="1" t="str">
        <f t="shared" si="41"/>
        <v/>
      </c>
    </row>
    <row r="416" spans="1:28" x14ac:dyDescent="0.2">
      <c r="A416" t="str">
        <f>IF(COUNTBLANK(B416:AD416)&lt;&gt;COLUMNS(B416:AD416),415,"")</f>
        <v/>
      </c>
      <c r="I416" s="1" t="str">
        <f t="shared" si="36"/>
        <v/>
      </c>
      <c r="J416" s="1" t="str">
        <f t="shared" si="37"/>
        <v/>
      </c>
      <c r="T416" s="1" t="str">
        <f t="shared" si="38"/>
        <v/>
      </c>
      <c r="W416" s="1" t="str">
        <f t="shared" si="39"/>
        <v/>
      </c>
      <c r="AA416" s="1" t="str">
        <f t="shared" si="40"/>
        <v/>
      </c>
      <c r="AB416" s="1" t="str">
        <f t="shared" si="41"/>
        <v/>
      </c>
    </row>
    <row r="417" spans="1:28" x14ac:dyDescent="0.2">
      <c r="A417" t="str">
        <f>IF(COUNTBLANK(B417:AD417)&lt;&gt;COLUMNS(B417:AD417),416,"")</f>
        <v/>
      </c>
      <c r="I417" s="1" t="str">
        <f t="shared" si="36"/>
        <v/>
      </c>
      <c r="J417" s="1" t="str">
        <f t="shared" si="37"/>
        <v/>
      </c>
      <c r="T417" s="1" t="str">
        <f t="shared" si="38"/>
        <v/>
      </c>
      <c r="W417" s="1" t="str">
        <f t="shared" si="39"/>
        <v/>
      </c>
      <c r="AA417" s="1" t="str">
        <f t="shared" si="40"/>
        <v/>
      </c>
      <c r="AB417" s="1" t="str">
        <f t="shared" si="41"/>
        <v/>
      </c>
    </row>
    <row r="418" spans="1:28" x14ac:dyDescent="0.2">
      <c r="A418" t="str">
        <f>IF(COUNTBLANK(B418:AD418)&lt;&gt;COLUMNS(B418:AD418),417,"")</f>
        <v/>
      </c>
      <c r="I418" s="1" t="str">
        <f t="shared" si="36"/>
        <v/>
      </c>
      <c r="J418" s="1" t="str">
        <f t="shared" si="37"/>
        <v/>
      </c>
      <c r="T418" s="1" t="str">
        <f t="shared" si="38"/>
        <v/>
      </c>
      <c r="W418" s="1" t="str">
        <f t="shared" si="39"/>
        <v/>
      </c>
      <c r="AA418" s="1" t="str">
        <f t="shared" si="40"/>
        <v/>
      </c>
      <c r="AB418" s="1" t="str">
        <f t="shared" si="41"/>
        <v/>
      </c>
    </row>
    <row r="419" spans="1:28" x14ac:dyDescent="0.2">
      <c r="A419" t="str">
        <f>IF(COUNTBLANK(B419:AD419)&lt;&gt;COLUMNS(B419:AD419),418,"")</f>
        <v/>
      </c>
      <c r="I419" s="1" t="str">
        <f t="shared" si="36"/>
        <v/>
      </c>
      <c r="J419" s="1" t="str">
        <f t="shared" si="37"/>
        <v/>
      </c>
      <c r="T419" s="1" t="str">
        <f t="shared" si="38"/>
        <v/>
      </c>
      <c r="W419" s="1" t="str">
        <f t="shared" si="39"/>
        <v/>
      </c>
      <c r="AA419" s="1" t="str">
        <f t="shared" si="40"/>
        <v/>
      </c>
      <c r="AB419" s="1" t="str">
        <f t="shared" si="41"/>
        <v/>
      </c>
    </row>
    <row r="420" spans="1:28" x14ac:dyDescent="0.2">
      <c r="A420" t="str">
        <f>IF(COUNTBLANK(B420:AD420)&lt;&gt;COLUMNS(B420:AD420),419,"")</f>
        <v/>
      </c>
      <c r="I420" s="1" t="str">
        <f t="shared" si="36"/>
        <v/>
      </c>
      <c r="J420" s="1" t="str">
        <f t="shared" si="37"/>
        <v/>
      </c>
      <c r="T420" s="1" t="str">
        <f t="shared" si="38"/>
        <v/>
      </c>
      <c r="W420" s="1" t="str">
        <f t="shared" si="39"/>
        <v/>
      </c>
      <c r="AA420" s="1" t="str">
        <f t="shared" si="40"/>
        <v/>
      </c>
      <c r="AB420" s="1" t="str">
        <f t="shared" si="41"/>
        <v/>
      </c>
    </row>
    <row r="421" spans="1:28" x14ac:dyDescent="0.2">
      <c r="A421" t="str">
        <f>IF(COUNTBLANK(B421:AD421)&lt;&gt;COLUMNS(B421:AD421),420,"")</f>
        <v/>
      </c>
      <c r="I421" s="1" t="str">
        <f t="shared" si="36"/>
        <v/>
      </c>
      <c r="J421" s="1" t="str">
        <f t="shared" si="37"/>
        <v/>
      </c>
      <c r="T421" s="1" t="str">
        <f t="shared" si="38"/>
        <v/>
      </c>
      <c r="W421" s="1" t="str">
        <f t="shared" si="39"/>
        <v/>
      </c>
      <c r="AA421" s="1" t="str">
        <f t="shared" si="40"/>
        <v/>
      </c>
      <c r="AB421" s="1" t="str">
        <f t="shared" si="41"/>
        <v/>
      </c>
    </row>
    <row r="422" spans="1:28" x14ac:dyDescent="0.2">
      <c r="A422" t="str">
        <f>IF(COUNTBLANK(B422:AD422)&lt;&gt;COLUMNS(B422:AD422),421,"")</f>
        <v/>
      </c>
      <c r="I422" s="1" t="str">
        <f t="shared" si="36"/>
        <v/>
      </c>
      <c r="J422" s="1" t="str">
        <f t="shared" si="37"/>
        <v/>
      </c>
      <c r="T422" s="1" t="str">
        <f t="shared" si="38"/>
        <v/>
      </c>
      <c r="W422" s="1" t="str">
        <f t="shared" si="39"/>
        <v/>
      </c>
      <c r="AA422" s="1" t="str">
        <f t="shared" si="40"/>
        <v/>
      </c>
      <c r="AB422" s="1" t="str">
        <f t="shared" si="41"/>
        <v/>
      </c>
    </row>
    <row r="423" spans="1:28" x14ac:dyDescent="0.2">
      <c r="A423" t="str">
        <f>IF(COUNTBLANK(B423:AD423)&lt;&gt;COLUMNS(B423:AD423),422,"")</f>
        <v/>
      </c>
      <c r="I423" s="1" t="str">
        <f t="shared" si="36"/>
        <v/>
      </c>
      <c r="J423" s="1" t="str">
        <f t="shared" si="37"/>
        <v/>
      </c>
      <c r="T423" s="1" t="str">
        <f t="shared" si="38"/>
        <v/>
      </c>
      <c r="W423" s="1" t="str">
        <f t="shared" si="39"/>
        <v/>
      </c>
      <c r="AA423" s="1" t="str">
        <f t="shared" si="40"/>
        <v/>
      </c>
      <c r="AB423" s="1" t="str">
        <f t="shared" si="41"/>
        <v/>
      </c>
    </row>
    <row r="424" spans="1:28" x14ac:dyDescent="0.2">
      <c r="A424" t="str">
        <f>IF(COUNTBLANK(B424:AD424)&lt;&gt;COLUMNS(B424:AD424),423,"")</f>
        <v/>
      </c>
      <c r="I424" s="1" t="str">
        <f t="shared" si="36"/>
        <v/>
      </c>
      <c r="J424" s="1" t="str">
        <f t="shared" si="37"/>
        <v/>
      </c>
      <c r="T424" s="1" t="str">
        <f t="shared" si="38"/>
        <v/>
      </c>
      <c r="W424" s="1" t="str">
        <f t="shared" si="39"/>
        <v/>
      </c>
      <c r="AA424" s="1" t="str">
        <f t="shared" si="40"/>
        <v/>
      </c>
      <c r="AB424" s="1" t="str">
        <f t="shared" si="41"/>
        <v/>
      </c>
    </row>
    <row r="425" spans="1:28" x14ac:dyDescent="0.2">
      <c r="A425" t="str">
        <f>IF(COUNTBLANK(B425:AD425)&lt;&gt;COLUMNS(B425:AD425),424,"")</f>
        <v/>
      </c>
      <c r="I425" s="1" t="str">
        <f t="shared" si="36"/>
        <v/>
      </c>
      <c r="J425" s="1" t="str">
        <f t="shared" si="37"/>
        <v/>
      </c>
      <c r="T425" s="1" t="str">
        <f t="shared" si="38"/>
        <v/>
      </c>
      <c r="W425" s="1" t="str">
        <f t="shared" si="39"/>
        <v/>
      </c>
      <c r="AA425" s="1" t="str">
        <f t="shared" si="40"/>
        <v/>
      </c>
      <c r="AB425" s="1" t="str">
        <f t="shared" si="41"/>
        <v/>
      </c>
    </row>
    <row r="426" spans="1:28" x14ac:dyDescent="0.2">
      <c r="A426" t="str">
        <f>IF(COUNTBLANK(B426:AD426)&lt;&gt;COLUMNS(B426:AD426),425,"")</f>
        <v/>
      </c>
      <c r="I426" s="1" t="str">
        <f t="shared" si="36"/>
        <v/>
      </c>
      <c r="J426" s="1" t="str">
        <f t="shared" si="37"/>
        <v/>
      </c>
      <c r="T426" s="1" t="str">
        <f t="shared" si="38"/>
        <v/>
      </c>
      <c r="W426" s="1" t="str">
        <f t="shared" si="39"/>
        <v/>
      </c>
      <c r="AA426" s="1" t="str">
        <f t="shared" si="40"/>
        <v/>
      </c>
      <c r="AB426" s="1" t="str">
        <f t="shared" si="41"/>
        <v/>
      </c>
    </row>
    <row r="427" spans="1:28" x14ac:dyDescent="0.2">
      <c r="A427" t="str">
        <f>IF(COUNTBLANK(B427:AD427)&lt;&gt;COLUMNS(B427:AD427),426,"")</f>
        <v/>
      </c>
      <c r="I427" s="1" t="str">
        <f t="shared" si="36"/>
        <v/>
      </c>
      <c r="J427" s="1" t="str">
        <f t="shared" si="37"/>
        <v/>
      </c>
      <c r="T427" s="1" t="str">
        <f t="shared" si="38"/>
        <v/>
      </c>
      <c r="W427" s="1" t="str">
        <f t="shared" si="39"/>
        <v/>
      </c>
      <c r="AA427" s="1" t="str">
        <f t="shared" si="40"/>
        <v/>
      </c>
      <c r="AB427" s="1" t="str">
        <f t="shared" si="41"/>
        <v/>
      </c>
    </row>
    <row r="428" spans="1:28" x14ac:dyDescent="0.2">
      <c r="A428" t="str">
        <f>IF(COUNTBLANK(B428:AD428)&lt;&gt;COLUMNS(B428:AD428),427,"")</f>
        <v/>
      </c>
      <c r="I428" s="1" t="str">
        <f t="shared" si="36"/>
        <v/>
      </c>
      <c r="J428" s="1" t="str">
        <f t="shared" si="37"/>
        <v/>
      </c>
      <c r="T428" s="1" t="str">
        <f t="shared" si="38"/>
        <v/>
      </c>
      <c r="W428" s="1" t="str">
        <f t="shared" si="39"/>
        <v/>
      </c>
      <c r="AA428" s="1" t="str">
        <f t="shared" si="40"/>
        <v/>
      </c>
      <c r="AB428" s="1" t="str">
        <f t="shared" si="41"/>
        <v/>
      </c>
    </row>
    <row r="429" spans="1:28" x14ac:dyDescent="0.2">
      <c r="A429" t="str">
        <f>IF(COUNTBLANK(B429:AD429)&lt;&gt;COLUMNS(B429:AD429),428,"")</f>
        <v/>
      </c>
      <c r="I429" s="1" t="str">
        <f t="shared" si="36"/>
        <v/>
      </c>
      <c r="J429" s="1" t="str">
        <f t="shared" si="37"/>
        <v/>
      </c>
      <c r="T429" s="1" t="str">
        <f t="shared" si="38"/>
        <v/>
      </c>
      <c r="W429" s="1" t="str">
        <f t="shared" si="39"/>
        <v/>
      </c>
      <c r="AA429" s="1" t="str">
        <f t="shared" si="40"/>
        <v/>
      </c>
      <c r="AB429" s="1" t="str">
        <f t="shared" si="41"/>
        <v/>
      </c>
    </row>
    <row r="430" spans="1:28" x14ac:dyDescent="0.2">
      <c r="A430" t="str">
        <f>IF(COUNTBLANK(B430:AD430)&lt;&gt;COLUMNS(B430:AD430),429,"")</f>
        <v/>
      </c>
      <c r="I430" s="1" t="str">
        <f t="shared" si="36"/>
        <v/>
      </c>
      <c r="J430" s="1" t="str">
        <f t="shared" si="37"/>
        <v/>
      </c>
      <c r="T430" s="1" t="str">
        <f t="shared" si="38"/>
        <v/>
      </c>
      <c r="W430" s="1" t="str">
        <f t="shared" si="39"/>
        <v/>
      </c>
      <c r="AA430" s="1" t="str">
        <f t="shared" si="40"/>
        <v/>
      </c>
      <c r="AB430" s="1" t="str">
        <f t="shared" si="41"/>
        <v/>
      </c>
    </row>
    <row r="431" spans="1:28" x14ac:dyDescent="0.2">
      <c r="A431" t="str">
        <f>IF(COUNTBLANK(B431:AD431)&lt;&gt;COLUMNS(B431:AD431),430,"")</f>
        <v/>
      </c>
      <c r="I431" s="1" t="str">
        <f t="shared" si="36"/>
        <v/>
      </c>
      <c r="J431" s="1" t="str">
        <f t="shared" si="37"/>
        <v/>
      </c>
      <c r="T431" s="1" t="str">
        <f t="shared" si="38"/>
        <v/>
      </c>
      <c r="W431" s="1" t="str">
        <f t="shared" si="39"/>
        <v/>
      </c>
      <c r="AA431" s="1" t="str">
        <f t="shared" si="40"/>
        <v/>
      </c>
      <c r="AB431" s="1" t="str">
        <f t="shared" si="41"/>
        <v/>
      </c>
    </row>
    <row r="432" spans="1:28" x14ac:dyDescent="0.2">
      <c r="A432" t="str">
        <f>IF(COUNTBLANK(B432:AD432)&lt;&gt;COLUMNS(B432:AD432),431,"")</f>
        <v/>
      </c>
      <c r="I432" s="1" t="str">
        <f t="shared" si="36"/>
        <v/>
      </c>
      <c r="J432" s="1" t="str">
        <f t="shared" si="37"/>
        <v/>
      </c>
      <c r="T432" s="1" t="str">
        <f t="shared" si="38"/>
        <v/>
      </c>
      <c r="W432" s="1" t="str">
        <f t="shared" si="39"/>
        <v/>
      </c>
      <c r="AA432" s="1" t="str">
        <f t="shared" si="40"/>
        <v/>
      </c>
      <c r="AB432" s="1" t="str">
        <f t="shared" si="41"/>
        <v/>
      </c>
    </row>
    <row r="433" spans="1:28" x14ac:dyDescent="0.2">
      <c r="A433" t="str">
        <f>IF(COUNTBLANK(B433:AD433)&lt;&gt;COLUMNS(B433:AD433),432,"")</f>
        <v/>
      </c>
      <c r="I433" s="1" t="str">
        <f t="shared" si="36"/>
        <v/>
      </c>
      <c r="J433" s="1" t="str">
        <f t="shared" si="37"/>
        <v/>
      </c>
      <c r="T433" s="1" t="str">
        <f t="shared" si="38"/>
        <v/>
      </c>
      <c r="W433" s="1" t="str">
        <f t="shared" si="39"/>
        <v/>
      </c>
      <c r="AA433" s="1" t="str">
        <f t="shared" si="40"/>
        <v/>
      </c>
      <c r="AB433" s="1" t="str">
        <f t="shared" si="41"/>
        <v/>
      </c>
    </row>
    <row r="434" spans="1:28" x14ac:dyDescent="0.2">
      <c r="A434" t="str">
        <f>IF(COUNTBLANK(B434:AD434)&lt;&gt;COLUMNS(B434:AD434),433,"")</f>
        <v/>
      </c>
      <c r="I434" s="1" t="str">
        <f t="shared" si="36"/>
        <v/>
      </c>
      <c r="J434" s="1" t="str">
        <f t="shared" si="37"/>
        <v/>
      </c>
      <c r="T434" s="1" t="str">
        <f t="shared" si="38"/>
        <v/>
      </c>
      <c r="W434" s="1" t="str">
        <f t="shared" si="39"/>
        <v/>
      </c>
      <c r="AA434" s="1" t="str">
        <f t="shared" si="40"/>
        <v/>
      </c>
      <c r="AB434" s="1" t="str">
        <f t="shared" si="41"/>
        <v/>
      </c>
    </row>
    <row r="435" spans="1:28" x14ac:dyDescent="0.2">
      <c r="A435" t="str">
        <f>IF(COUNTBLANK(B435:AD435)&lt;&gt;COLUMNS(B435:AD435),434,"")</f>
        <v/>
      </c>
      <c r="I435" s="1" t="str">
        <f t="shared" si="36"/>
        <v/>
      </c>
      <c r="J435" s="1" t="str">
        <f t="shared" si="37"/>
        <v/>
      </c>
      <c r="T435" s="1" t="str">
        <f t="shared" si="38"/>
        <v/>
      </c>
      <c r="W435" s="1" t="str">
        <f t="shared" si="39"/>
        <v/>
      </c>
      <c r="AA435" s="1" t="str">
        <f t="shared" si="40"/>
        <v/>
      </c>
      <c r="AB435" s="1" t="str">
        <f t="shared" si="41"/>
        <v/>
      </c>
    </row>
    <row r="436" spans="1:28" x14ac:dyDescent="0.2">
      <c r="A436" t="str">
        <f>IF(COUNTBLANK(B436:AD436)&lt;&gt;COLUMNS(B436:AD436),435,"")</f>
        <v/>
      </c>
      <c r="I436" s="1" t="str">
        <f t="shared" si="36"/>
        <v/>
      </c>
      <c r="J436" s="1" t="str">
        <f t="shared" si="37"/>
        <v/>
      </c>
      <c r="T436" s="1" t="str">
        <f t="shared" si="38"/>
        <v/>
      </c>
      <c r="W436" s="1" t="str">
        <f t="shared" si="39"/>
        <v/>
      </c>
      <c r="AA436" s="1" t="str">
        <f t="shared" si="40"/>
        <v/>
      </c>
      <c r="AB436" s="1" t="str">
        <f t="shared" si="41"/>
        <v/>
      </c>
    </row>
    <row r="437" spans="1:28" x14ac:dyDescent="0.2">
      <c r="A437" t="str">
        <f>IF(COUNTBLANK(B437:AD437)&lt;&gt;COLUMNS(B437:AD437),436,"")</f>
        <v/>
      </c>
      <c r="I437" s="1" t="str">
        <f t="shared" si="36"/>
        <v/>
      </c>
      <c r="J437" s="1" t="str">
        <f t="shared" si="37"/>
        <v/>
      </c>
      <c r="T437" s="1" t="str">
        <f t="shared" si="38"/>
        <v/>
      </c>
      <c r="W437" s="1" t="str">
        <f t="shared" si="39"/>
        <v/>
      </c>
      <c r="AA437" s="1" t="str">
        <f t="shared" si="40"/>
        <v/>
      </c>
      <c r="AB437" s="1" t="str">
        <f t="shared" si="41"/>
        <v/>
      </c>
    </row>
    <row r="438" spans="1:28" x14ac:dyDescent="0.2">
      <c r="A438" t="str">
        <f>IF(COUNTBLANK(B438:AD438)&lt;&gt;COLUMNS(B438:AD438),437,"")</f>
        <v/>
      </c>
      <c r="I438" s="1" t="str">
        <f t="shared" si="36"/>
        <v/>
      </c>
      <c r="J438" s="1" t="str">
        <f t="shared" si="37"/>
        <v/>
      </c>
      <c r="T438" s="1" t="str">
        <f t="shared" si="38"/>
        <v/>
      </c>
      <c r="W438" s="1" t="str">
        <f t="shared" si="39"/>
        <v/>
      </c>
      <c r="AA438" s="1" t="str">
        <f t="shared" si="40"/>
        <v/>
      </c>
      <c r="AB438" s="1" t="str">
        <f t="shared" si="41"/>
        <v/>
      </c>
    </row>
    <row r="439" spans="1:28" x14ac:dyDescent="0.2">
      <c r="A439" t="str">
        <f>IF(COUNTBLANK(B439:AD439)&lt;&gt;COLUMNS(B439:AD439),438,"")</f>
        <v/>
      </c>
      <c r="I439" s="1" t="str">
        <f t="shared" si="36"/>
        <v/>
      </c>
      <c r="J439" s="1" t="str">
        <f t="shared" si="37"/>
        <v/>
      </c>
      <c r="T439" s="1" t="str">
        <f t="shared" si="38"/>
        <v/>
      </c>
      <c r="W439" s="1" t="str">
        <f t="shared" si="39"/>
        <v/>
      </c>
      <c r="AA439" s="1" t="str">
        <f t="shared" si="40"/>
        <v/>
      </c>
      <c r="AB439" s="1" t="str">
        <f t="shared" si="41"/>
        <v/>
      </c>
    </row>
    <row r="440" spans="1:28" x14ac:dyDescent="0.2">
      <c r="A440" t="str">
        <f>IF(COUNTBLANK(B440:AD440)&lt;&gt;COLUMNS(B440:AD440),439,"")</f>
        <v/>
      </c>
      <c r="I440" s="1" t="str">
        <f t="shared" si="36"/>
        <v/>
      </c>
      <c r="J440" s="1" t="str">
        <f t="shared" si="37"/>
        <v/>
      </c>
      <c r="T440" s="1" t="str">
        <f t="shared" si="38"/>
        <v/>
      </c>
      <c r="W440" s="1" t="str">
        <f t="shared" si="39"/>
        <v/>
      </c>
      <c r="AA440" s="1" t="str">
        <f t="shared" si="40"/>
        <v/>
      </c>
      <c r="AB440" s="1" t="str">
        <f t="shared" si="41"/>
        <v/>
      </c>
    </row>
    <row r="441" spans="1:28" x14ac:dyDescent="0.2">
      <c r="A441" t="str">
        <f>IF(COUNTBLANK(B441:AD441)&lt;&gt;COLUMNS(B441:AD441),440,"")</f>
        <v/>
      </c>
      <c r="I441" s="1" t="str">
        <f t="shared" si="36"/>
        <v/>
      </c>
      <c r="J441" s="1" t="str">
        <f t="shared" si="37"/>
        <v/>
      </c>
      <c r="T441" s="1" t="str">
        <f t="shared" si="38"/>
        <v/>
      </c>
      <c r="W441" s="1" t="str">
        <f t="shared" si="39"/>
        <v/>
      </c>
      <c r="AA441" s="1" t="str">
        <f t="shared" si="40"/>
        <v/>
      </c>
      <c r="AB441" s="1" t="str">
        <f t="shared" si="41"/>
        <v/>
      </c>
    </row>
    <row r="442" spans="1:28" x14ac:dyDescent="0.2">
      <c r="A442" t="str">
        <f>IF(COUNTBLANK(B442:AD442)&lt;&gt;COLUMNS(B442:AD442),441,"")</f>
        <v/>
      </c>
      <c r="I442" s="1" t="str">
        <f t="shared" si="36"/>
        <v/>
      </c>
      <c r="J442" s="1" t="str">
        <f t="shared" si="37"/>
        <v/>
      </c>
      <c r="T442" s="1" t="str">
        <f t="shared" si="38"/>
        <v/>
      </c>
      <c r="W442" s="1" t="str">
        <f t="shared" si="39"/>
        <v/>
      </c>
      <c r="AA442" s="1" t="str">
        <f t="shared" si="40"/>
        <v/>
      </c>
      <c r="AB442" s="1" t="str">
        <f t="shared" si="41"/>
        <v/>
      </c>
    </row>
    <row r="443" spans="1:28" x14ac:dyDescent="0.2">
      <c r="A443" t="str">
        <f>IF(COUNTBLANK(B443:AD443)&lt;&gt;COLUMNS(B443:AD443),442,"")</f>
        <v/>
      </c>
      <c r="I443" s="1" t="str">
        <f t="shared" si="36"/>
        <v/>
      </c>
      <c r="J443" s="1" t="str">
        <f t="shared" si="37"/>
        <v/>
      </c>
      <c r="T443" s="1" t="str">
        <f t="shared" si="38"/>
        <v/>
      </c>
      <c r="W443" s="1" t="str">
        <f t="shared" si="39"/>
        <v/>
      </c>
      <c r="AA443" s="1" t="str">
        <f t="shared" si="40"/>
        <v/>
      </c>
      <c r="AB443" s="1" t="str">
        <f t="shared" si="41"/>
        <v/>
      </c>
    </row>
    <row r="444" spans="1:28" x14ac:dyDescent="0.2">
      <c r="A444" t="str">
        <f>IF(COUNTBLANK(B444:AD444)&lt;&gt;COLUMNS(B444:AD444),443,"")</f>
        <v/>
      </c>
      <c r="I444" s="1" t="str">
        <f t="shared" si="36"/>
        <v/>
      </c>
      <c r="J444" s="1" t="str">
        <f t="shared" si="37"/>
        <v/>
      </c>
      <c r="T444" s="1" t="str">
        <f t="shared" si="38"/>
        <v/>
      </c>
      <c r="W444" s="1" t="str">
        <f t="shared" si="39"/>
        <v/>
      </c>
      <c r="AA444" s="1" t="str">
        <f t="shared" si="40"/>
        <v/>
      </c>
      <c r="AB444" s="1" t="str">
        <f t="shared" si="41"/>
        <v/>
      </c>
    </row>
    <row r="445" spans="1:28" x14ac:dyDescent="0.2">
      <c r="A445" t="str">
        <f>IF(COUNTBLANK(B445:AD445)&lt;&gt;COLUMNS(B445:AD445),444,"")</f>
        <v/>
      </c>
      <c r="I445" s="1" t="str">
        <f t="shared" si="36"/>
        <v/>
      </c>
      <c r="J445" s="1" t="str">
        <f t="shared" si="37"/>
        <v/>
      </c>
      <c r="T445" s="1" t="str">
        <f t="shared" si="38"/>
        <v/>
      </c>
      <c r="W445" s="1" t="str">
        <f t="shared" si="39"/>
        <v/>
      </c>
      <c r="AA445" s="1" t="str">
        <f t="shared" si="40"/>
        <v/>
      </c>
      <c r="AB445" s="1" t="str">
        <f t="shared" si="41"/>
        <v/>
      </c>
    </row>
    <row r="446" spans="1:28" x14ac:dyDescent="0.2">
      <c r="A446" t="str">
        <f>IF(COUNTBLANK(B446:AD446)&lt;&gt;COLUMNS(B446:AD446),445,"")</f>
        <v/>
      </c>
      <c r="I446" s="1" t="str">
        <f t="shared" si="36"/>
        <v/>
      </c>
      <c r="J446" s="1" t="str">
        <f t="shared" si="37"/>
        <v/>
      </c>
      <c r="T446" s="1" t="str">
        <f t="shared" si="38"/>
        <v/>
      </c>
      <c r="W446" s="1" t="str">
        <f t="shared" si="39"/>
        <v/>
      </c>
      <c r="AA446" s="1" t="str">
        <f t="shared" si="40"/>
        <v/>
      </c>
      <c r="AB446" s="1" t="str">
        <f t="shared" si="41"/>
        <v/>
      </c>
    </row>
    <row r="447" spans="1:28" x14ac:dyDescent="0.2">
      <c r="A447" t="str">
        <f>IF(COUNTBLANK(B447:AD447)&lt;&gt;COLUMNS(B447:AD447),446,"")</f>
        <v/>
      </c>
      <c r="I447" s="1" t="str">
        <f t="shared" si="36"/>
        <v/>
      </c>
      <c r="J447" s="1" t="str">
        <f t="shared" si="37"/>
        <v/>
      </c>
      <c r="T447" s="1" t="str">
        <f t="shared" si="38"/>
        <v/>
      </c>
      <c r="W447" s="1" t="str">
        <f t="shared" si="39"/>
        <v/>
      </c>
      <c r="AA447" s="1" t="str">
        <f t="shared" si="40"/>
        <v/>
      </c>
      <c r="AB447" s="1" t="str">
        <f t="shared" si="41"/>
        <v/>
      </c>
    </row>
    <row r="448" spans="1:28" x14ac:dyDescent="0.2">
      <c r="A448" t="str">
        <f>IF(COUNTBLANK(B448:AD448)&lt;&gt;COLUMNS(B448:AD448),447,"")</f>
        <v/>
      </c>
      <c r="I448" s="1" t="str">
        <f t="shared" si="36"/>
        <v/>
      </c>
      <c r="J448" s="1" t="str">
        <f t="shared" si="37"/>
        <v/>
      </c>
      <c r="T448" s="1" t="str">
        <f t="shared" si="38"/>
        <v/>
      </c>
      <c r="W448" s="1" t="str">
        <f t="shared" si="39"/>
        <v/>
      </c>
      <c r="AA448" s="1" t="str">
        <f t="shared" si="40"/>
        <v/>
      </c>
      <c r="AB448" s="1" t="str">
        <f t="shared" si="41"/>
        <v/>
      </c>
    </row>
    <row r="449" spans="1:28" x14ac:dyDescent="0.2">
      <c r="A449" t="str">
        <f>IF(COUNTBLANK(B449:AD449)&lt;&gt;COLUMNS(B449:AD449),448,"")</f>
        <v/>
      </c>
      <c r="I449" s="1" t="str">
        <f t="shared" si="36"/>
        <v/>
      </c>
      <c r="J449" s="1" t="str">
        <f t="shared" si="37"/>
        <v/>
      </c>
      <c r="T449" s="1" t="str">
        <f t="shared" si="38"/>
        <v/>
      </c>
      <c r="W449" s="1" t="str">
        <f t="shared" si="39"/>
        <v/>
      </c>
      <c r="AA449" s="1" t="str">
        <f t="shared" si="40"/>
        <v/>
      </c>
      <c r="AB449" s="1" t="str">
        <f t="shared" si="41"/>
        <v/>
      </c>
    </row>
    <row r="450" spans="1:28" x14ac:dyDescent="0.2">
      <c r="A450" t="str">
        <f>IF(COUNTBLANK(B450:AD450)&lt;&gt;COLUMNS(B450:AD450),449,"")</f>
        <v/>
      </c>
      <c r="I450" s="1" t="str">
        <f t="shared" ref="I450:I513" si="42">IF(B450="", "", "meters")</f>
        <v/>
      </c>
      <c r="J450" s="1" t="str">
        <f t="shared" ref="J450:J513" si="43">IF(B450="", "", "free-living")</f>
        <v/>
      </c>
      <c r="T450" s="1" t="str">
        <f t="shared" ref="T450:T513" si="44">IF(B450="", "", "Decimal degrees")</f>
        <v/>
      </c>
      <c r="W450" s="1" t="str">
        <f t="shared" ref="W450:W513" si="45">IF(B450="", "", "Decimal degrees")</f>
        <v/>
      </c>
      <c r="AA450" s="1" t="str">
        <f t="shared" ref="AA450:AA513" si="46">IF(B450="", "", "metagenome")</f>
        <v/>
      </c>
      <c r="AB450" s="1" t="str">
        <f t="shared" ref="AB450:AB513" si="47">IF(B450="", "", "256318")</f>
        <v/>
      </c>
    </row>
    <row r="451" spans="1:28" x14ac:dyDescent="0.2">
      <c r="A451" t="str">
        <f>IF(COUNTBLANK(B451:AD451)&lt;&gt;COLUMNS(B451:AD451),450,"")</f>
        <v/>
      </c>
      <c r="I451" s="1" t="str">
        <f t="shared" si="42"/>
        <v/>
      </c>
      <c r="J451" s="1" t="str">
        <f t="shared" si="43"/>
        <v/>
      </c>
      <c r="T451" s="1" t="str">
        <f t="shared" si="44"/>
        <v/>
      </c>
      <c r="W451" s="1" t="str">
        <f t="shared" si="45"/>
        <v/>
      </c>
      <c r="AA451" s="1" t="str">
        <f t="shared" si="46"/>
        <v/>
      </c>
      <c r="AB451" s="1" t="str">
        <f t="shared" si="47"/>
        <v/>
      </c>
    </row>
    <row r="452" spans="1:28" x14ac:dyDescent="0.2">
      <c r="A452" t="str">
        <f>IF(COUNTBLANK(B452:AD452)&lt;&gt;COLUMNS(B452:AD452),451,"")</f>
        <v/>
      </c>
      <c r="I452" s="1" t="str">
        <f t="shared" si="42"/>
        <v/>
      </c>
      <c r="J452" s="1" t="str">
        <f t="shared" si="43"/>
        <v/>
      </c>
      <c r="T452" s="1" t="str">
        <f t="shared" si="44"/>
        <v/>
      </c>
      <c r="W452" s="1" t="str">
        <f t="shared" si="45"/>
        <v/>
      </c>
      <c r="AA452" s="1" t="str">
        <f t="shared" si="46"/>
        <v/>
      </c>
      <c r="AB452" s="1" t="str">
        <f t="shared" si="47"/>
        <v/>
      </c>
    </row>
    <row r="453" spans="1:28" x14ac:dyDescent="0.2">
      <c r="A453" t="str">
        <f>IF(COUNTBLANK(B453:AD453)&lt;&gt;COLUMNS(B453:AD453),452,"")</f>
        <v/>
      </c>
      <c r="I453" s="1" t="str">
        <f t="shared" si="42"/>
        <v/>
      </c>
      <c r="J453" s="1" t="str">
        <f t="shared" si="43"/>
        <v/>
      </c>
      <c r="T453" s="1" t="str">
        <f t="shared" si="44"/>
        <v/>
      </c>
      <c r="W453" s="1" t="str">
        <f t="shared" si="45"/>
        <v/>
      </c>
      <c r="AA453" s="1" t="str">
        <f t="shared" si="46"/>
        <v/>
      </c>
      <c r="AB453" s="1" t="str">
        <f t="shared" si="47"/>
        <v/>
      </c>
    </row>
    <row r="454" spans="1:28" x14ac:dyDescent="0.2">
      <c r="A454" t="str">
        <f>IF(COUNTBLANK(B454:AD454)&lt;&gt;COLUMNS(B454:AD454),453,"")</f>
        <v/>
      </c>
      <c r="I454" s="1" t="str">
        <f t="shared" si="42"/>
        <v/>
      </c>
      <c r="J454" s="1" t="str">
        <f t="shared" si="43"/>
        <v/>
      </c>
      <c r="T454" s="1" t="str">
        <f t="shared" si="44"/>
        <v/>
      </c>
      <c r="W454" s="1" t="str">
        <f t="shared" si="45"/>
        <v/>
      </c>
      <c r="AA454" s="1" t="str">
        <f t="shared" si="46"/>
        <v/>
      </c>
      <c r="AB454" s="1" t="str">
        <f t="shared" si="47"/>
        <v/>
      </c>
    </row>
    <row r="455" spans="1:28" x14ac:dyDescent="0.2">
      <c r="A455" t="str">
        <f>IF(COUNTBLANK(B455:AD455)&lt;&gt;COLUMNS(B455:AD455),454,"")</f>
        <v/>
      </c>
      <c r="I455" s="1" t="str">
        <f t="shared" si="42"/>
        <v/>
      </c>
      <c r="J455" s="1" t="str">
        <f t="shared" si="43"/>
        <v/>
      </c>
      <c r="T455" s="1" t="str">
        <f t="shared" si="44"/>
        <v/>
      </c>
      <c r="W455" s="1" t="str">
        <f t="shared" si="45"/>
        <v/>
      </c>
      <c r="AA455" s="1" t="str">
        <f t="shared" si="46"/>
        <v/>
      </c>
      <c r="AB455" s="1" t="str">
        <f t="shared" si="47"/>
        <v/>
      </c>
    </row>
    <row r="456" spans="1:28" x14ac:dyDescent="0.2">
      <c r="A456" t="str">
        <f>IF(COUNTBLANK(B456:AD456)&lt;&gt;COLUMNS(B456:AD456),455,"")</f>
        <v/>
      </c>
      <c r="I456" s="1" t="str">
        <f t="shared" si="42"/>
        <v/>
      </c>
      <c r="J456" s="1" t="str">
        <f t="shared" si="43"/>
        <v/>
      </c>
      <c r="T456" s="1" t="str">
        <f t="shared" si="44"/>
        <v/>
      </c>
      <c r="W456" s="1" t="str">
        <f t="shared" si="45"/>
        <v/>
      </c>
      <c r="AA456" s="1" t="str">
        <f t="shared" si="46"/>
        <v/>
      </c>
      <c r="AB456" s="1" t="str">
        <f t="shared" si="47"/>
        <v/>
      </c>
    </row>
    <row r="457" spans="1:28" x14ac:dyDescent="0.2">
      <c r="A457" t="str">
        <f>IF(COUNTBLANK(B457:AD457)&lt;&gt;COLUMNS(B457:AD457),456,"")</f>
        <v/>
      </c>
      <c r="I457" s="1" t="str">
        <f t="shared" si="42"/>
        <v/>
      </c>
      <c r="J457" s="1" t="str">
        <f t="shared" si="43"/>
        <v/>
      </c>
      <c r="T457" s="1" t="str">
        <f t="shared" si="44"/>
        <v/>
      </c>
      <c r="W457" s="1" t="str">
        <f t="shared" si="45"/>
        <v/>
      </c>
      <c r="AA457" s="1" t="str">
        <f t="shared" si="46"/>
        <v/>
      </c>
      <c r="AB457" s="1" t="str">
        <f t="shared" si="47"/>
        <v/>
      </c>
    </row>
    <row r="458" spans="1:28" x14ac:dyDescent="0.2">
      <c r="A458" t="str">
        <f>IF(COUNTBLANK(B458:AD458)&lt;&gt;COLUMNS(B458:AD458),457,"")</f>
        <v/>
      </c>
      <c r="I458" s="1" t="str">
        <f t="shared" si="42"/>
        <v/>
      </c>
      <c r="J458" s="1" t="str">
        <f t="shared" si="43"/>
        <v/>
      </c>
      <c r="T458" s="1" t="str">
        <f t="shared" si="44"/>
        <v/>
      </c>
      <c r="W458" s="1" t="str">
        <f t="shared" si="45"/>
        <v/>
      </c>
      <c r="AA458" s="1" t="str">
        <f t="shared" si="46"/>
        <v/>
      </c>
      <c r="AB458" s="1" t="str">
        <f t="shared" si="47"/>
        <v/>
      </c>
    </row>
    <row r="459" spans="1:28" x14ac:dyDescent="0.2">
      <c r="A459" t="str">
        <f>IF(COUNTBLANK(B459:AD459)&lt;&gt;COLUMNS(B459:AD459),458,"")</f>
        <v/>
      </c>
      <c r="I459" s="1" t="str">
        <f t="shared" si="42"/>
        <v/>
      </c>
      <c r="J459" s="1" t="str">
        <f t="shared" si="43"/>
        <v/>
      </c>
      <c r="T459" s="1" t="str">
        <f t="shared" si="44"/>
        <v/>
      </c>
      <c r="W459" s="1" t="str">
        <f t="shared" si="45"/>
        <v/>
      </c>
      <c r="AA459" s="1" t="str">
        <f t="shared" si="46"/>
        <v/>
      </c>
      <c r="AB459" s="1" t="str">
        <f t="shared" si="47"/>
        <v/>
      </c>
    </row>
    <row r="460" spans="1:28" x14ac:dyDescent="0.2">
      <c r="A460" t="str">
        <f>IF(COUNTBLANK(B460:AD460)&lt;&gt;COLUMNS(B460:AD460),459,"")</f>
        <v/>
      </c>
      <c r="I460" s="1" t="str">
        <f t="shared" si="42"/>
        <v/>
      </c>
      <c r="J460" s="1" t="str">
        <f t="shared" si="43"/>
        <v/>
      </c>
      <c r="T460" s="1" t="str">
        <f t="shared" si="44"/>
        <v/>
      </c>
      <c r="W460" s="1" t="str">
        <f t="shared" si="45"/>
        <v/>
      </c>
      <c r="AA460" s="1" t="str">
        <f t="shared" si="46"/>
        <v/>
      </c>
      <c r="AB460" s="1" t="str">
        <f t="shared" si="47"/>
        <v/>
      </c>
    </row>
    <row r="461" spans="1:28" x14ac:dyDescent="0.2">
      <c r="A461" t="str">
        <f>IF(COUNTBLANK(B461:AD461)&lt;&gt;COLUMNS(B461:AD461),460,"")</f>
        <v/>
      </c>
      <c r="I461" s="1" t="str">
        <f t="shared" si="42"/>
        <v/>
      </c>
      <c r="J461" s="1" t="str">
        <f t="shared" si="43"/>
        <v/>
      </c>
      <c r="T461" s="1" t="str">
        <f t="shared" si="44"/>
        <v/>
      </c>
      <c r="W461" s="1" t="str">
        <f t="shared" si="45"/>
        <v/>
      </c>
      <c r="AA461" s="1" t="str">
        <f t="shared" si="46"/>
        <v/>
      </c>
      <c r="AB461" s="1" t="str">
        <f t="shared" si="47"/>
        <v/>
      </c>
    </row>
    <row r="462" spans="1:28" x14ac:dyDescent="0.2">
      <c r="A462" t="str">
        <f>IF(COUNTBLANK(B462:AD462)&lt;&gt;COLUMNS(B462:AD462),461,"")</f>
        <v/>
      </c>
      <c r="I462" s="1" t="str">
        <f t="shared" si="42"/>
        <v/>
      </c>
      <c r="J462" s="1" t="str">
        <f t="shared" si="43"/>
        <v/>
      </c>
      <c r="T462" s="1" t="str">
        <f t="shared" si="44"/>
        <v/>
      </c>
      <c r="W462" s="1" t="str">
        <f t="shared" si="45"/>
        <v/>
      </c>
      <c r="AA462" s="1" t="str">
        <f t="shared" si="46"/>
        <v/>
      </c>
      <c r="AB462" s="1" t="str">
        <f t="shared" si="47"/>
        <v/>
      </c>
    </row>
    <row r="463" spans="1:28" x14ac:dyDescent="0.2">
      <c r="A463" t="str">
        <f>IF(COUNTBLANK(B463:AD463)&lt;&gt;COLUMNS(B463:AD463),462,"")</f>
        <v/>
      </c>
      <c r="I463" s="1" t="str">
        <f t="shared" si="42"/>
        <v/>
      </c>
      <c r="J463" s="1" t="str">
        <f t="shared" si="43"/>
        <v/>
      </c>
      <c r="T463" s="1" t="str">
        <f t="shared" si="44"/>
        <v/>
      </c>
      <c r="W463" s="1" t="str">
        <f t="shared" si="45"/>
        <v/>
      </c>
      <c r="AA463" s="1" t="str">
        <f t="shared" si="46"/>
        <v/>
      </c>
      <c r="AB463" s="1" t="str">
        <f t="shared" si="47"/>
        <v/>
      </c>
    </row>
    <row r="464" spans="1:28" x14ac:dyDescent="0.2">
      <c r="A464" t="str">
        <f>IF(COUNTBLANK(B464:AD464)&lt;&gt;COLUMNS(B464:AD464),463,"")</f>
        <v/>
      </c>
      <c r="I464" s="1" t="str">
        <f t="shared" si="42"/>
        <v/>
      </c>
      <c r="J464" s="1" t="str">
        <f t="shared" si="43"/>
        <v/>
      </c>
      <c r="T464" s="1" t="str">
        <f t="shared" si="44"/>
        <v/>
      </c>
      <c r="W464" s="1" t="str">
        <f t="shared" si="45"/>
        <v/>
      </c>
      <c r="AA464" s="1" t="str">
        <f t="shared" si="46"/>
        <v/>
      </c>
      <c r="AB464" s="1" t="str">
        <f t="shared" si="47"/>
        <v/>
      </c>
    </row>
    <row r="465" spans="1:28" x14ac:dyDescent="0.2">
      <c r="A465" t="str">
        <f>IF(COUNTBLANK(B465:AD465)&lt;&gt;COLUMNS(B465:AD465),464,"")</f>
        <v/>
      </c>
      <c r="I465" s="1" t="str">
        <f t="shared" si="42"/>
        <v/>
      </c>
      <c r="J465" s="1" t="str">
        <f t="shared" si="43"/>
        <v/>
      </c>
      <c r="T465" s="1" t="str">
        <f t="shared" si="44"/>
        <v/>
      </c>
      <c r="W465" s="1" t="str">
        <f t="shared" si="45"/>
        <v/>
      </c>
      <c r="AA465" s="1" t="str">
        <f t="shared" si="46"/>
        <v/>
      </c>
      <c r="AB465" s="1" t="str">
        <f t="shared" si="47"/>
        <v/>
      </c>
    </row>
    <row r="466" spans="1:28" x14ac:dyDescent="0.2">
      <c r="A466" t="str">
        <f>IF(COUNTBLANK(B466:AD466)&lt;&gt;COLUMNS(B466:AD466),465,"")</f>
        <v/>
      </c>
      <c r="I466" s="1" t="str">
        <f t="shared" si="42"/>
        <v/>
      </c>
      <c r="J466" s="1" t="str">
        <f t="shared" si="43"/>
        <v/>
      </c>
      <c r="T466" s="1" t="str">
        <f t="shared" si="44"/>
        <v/>
      </c>
      <c r="W466" s="1" t="str">
        <f t="shared" si="45"/>
        <v/>
      </c>
      <c r="AA466" s="1" t="str">
        <f t="shared" si="46"/>
        <v/>
      </c>
      <c r="AB466" s="1" t="str">
        <f t="shared" si="47"/>
        <v/>
      </c>
    </row>
    <row r="467" spans="1:28" x14ac:dyDescent="0.2">
      <c r="A467" t="str">
        <f>IF(COUNTBLANK(B467:AD467)&lt;&gt;COLUMNS(B467:AD467),466,"")</f>
        <v/>
      </c>
      <c r="I467" s="1" t="str">
        <f t="shared" si="42"/>
        <v/>
      </c>
      <c r="J467" s="1" t="str">
        <f t="shared" si="43"/>
        <v/>
      </c>
      <c r="T467" s="1" t="str">
        <f t="shared" si="44"/>
        <v/>
      </c>
      <c r="W467" s="1" t="str">
        <f t="shared" si="45"/>
        <v/>
      </c>
      <c r="AA467" s="1" t="str">
        <f t="shared" si="46"/>
        <v/>
      </c>
      <c r="AB467" s="1" t="str">
        <f t="shared" si="47"/>
        <v/>
      </c>
    </row>
    <row r="468" spans="1:28" x14ac:dyDescent="0.2">
      <c r="A468" t="str">
        <f>IF(COUNTBLANK(B468:AD468)&lt;&gt;COLUMNS(B468:AD468),467,"")</f>
        <v/>
      </c>
      <c r="I468" s="1" t="str">
        <f t="shared" si="42"/>
        <v/>
      </c>
      <c r="J468" s="1" t="str">
        <f t="shared" si="43"/>
        <v/>
      </c>
      <c r="T468" s="1" t="str">
        <f t="shared" si="44"/>
        <v/>
      </c>
      <c r="W468" s="1" t="str">
        <f t="shared" si="45"/>
        <v/>
      </c>
      <c r="AA468" s="1" t="str">
        <f t="shared" si="46"/>
        <v/>
      </c>
      <c r="AB468" s="1" t="str">
        <f t="shared" si="47"/>
        <v/>
      </c>
    </row>
    <row r="469" spans="1:28" x14ac:dyDescent="0.2">
      <c r="A469" t="str">
        <f>IF(COUNTBLANK(B469:AD469)&lt;&gt;COLUMNS(B469:AD469),468,"")</f>
        <v/>
      </c>
      <c r="I469" s="1" t="str">
        <f t="shared" si="42"/>
        <v/>
      </c>
      <c r="J469" s="1" t="str">
        <f t="shared" si="43"/>
        <v/>
      </c>
      <c r="T469" s="1" t="str">
        <f t="shared" si="44"/>
        <v/>
      </c>
      <c r="W469" s="1" t="str">
        <f t="shared" si="45"/>
        <v/>
      </c>
      <c r="AA469" s="1" t="str">
        <f t="shared" si="46"/>
        <v/>
      </c>
      <c r="AB469" s="1" t="str">
        <f t="shared" si="47"/>
        <v/>
      </c>
    </row>
    <row r="470" spans="1:28" x14ac:dyDescent="0.2">
      <c r="A470" t="str">
        <f>IF(COUNTBLANK(B470:AD470)&lt;&gt;COLUMNS(B470:AD470),469,"")</f>
        <v/>
      </c>
      <c r="I470" s="1" t="str">
        <f t="shared" si="42"/>
        <v/>
      </c>
      <c r="J470" s="1" t="str">
        <f t="shared" si="43"/>
        <v/>
      </c>
      <c r="T470" s="1" t="str">
        <f t="shared" si="44"/>
        <v/>
      </c>
      <c r="W470" s="1" t="str">
        <f t="shared" si="45"/>
        <v/>
      </c>
      <c r="AA470" s="1" t="str">
        <f t="shared" si="46"/>
        <v/>
      </c>
      <c r="AB470" s="1" t="str">
        <f t="shared" si="47"/>
        <v/>
      </c>
    </row>
    <row r="471" spans="1:28" x14ac:dyDescent="0.2">
      <c r="A471" t="str">
        <f>IF(COUNTBLANK(B471:AD471)&lt;&gt;COLUMNS(B471:AD471),470,"")</f>
        <v/>
      </c>
      <c r="I471" s="1" t="str">
        <f t="shared" si="42"/>
        <v/>
      </c>
      <c r="J471" s="1" t="str">
        <f t="shared" si="43"/>
        <v/>
      </c>
      <c r="T471" s="1" t="str">
        <f t="shared" si="44"/>
        <v/>
      </c>
      <c r="W471" s="1" t="str">
        <f t="shared" si="45"/>
        <v/>
      </c>
      <c r="AA471" s="1" t="str">
        <f t="shared" si="46"/>
        <v/>
      </c>
      <c r="AB471" s="1" t="str">
        <f t="shared" si="47"/>
        <v/>
      </c>
    </row>
    <row r="472" spans="1:28" x14ac:dyDescent="0.2">
      <c r="A472" t="str">
        <f>IF(COUNTBLANK(B472:AD472)&lt;&gt;COLUMNS(B472:AD472),471,"")</f>
        <v/>
      </c>
      <c r="I472" s="1" t="str">
        <f t="shared" si="42"/>
        <v/>
      </c>
      <c r="J472" s="1" t="str">
        <f t="shared" si="43"/>
        <v/>
      </c>
      <c r="T472" s="1" t="str">
        <f t="shared" si="44"/>
        <v/>
      </c>
      <c r="W472" s="1" t="str">
        <f t="shared" si="45"/>
        <v/>
      </c>
      <c r="AA472" s="1" t="str">
        <f t="shared" si="46"/>
        <v/>
      </c>
      <c r="AB472" s="1" t="str">
        <f t="shared" si="47"/>
        <v/>
      </c>
    </row>
    <row r="473" spans="1:28" x14ac:dyDescent="0.2">
      <c r="A473" t="str">
        <f>IF(COUNTBLANK(B473:AD473)&lt;&gt;COLUMNS(B473:AD473),472,"")</f>
        <v/>
      </c>
      <c r="I473" s="1" t="str">
        <f t="shared" si="42"/>
        <v/>
      </c>
      <c r="J473" s="1" t="str">
        <f t="shared" si="43"/>
        <v/>
      </c>
      <c r="T473" s="1" t="str">
        <f t="shared" si="44"/>
        <v/>
      </c>
      <c r="W473" s="1" t="str">
        <f t="shared" si="45"/>
        <v/>
      </c>
      <c r="AA473" s="1" t="str">
        <f t="shared" si="46"/>
        <v/>
      </c>
      <c r="AB473" s="1" t="str">
        <f t="shared" si="47"/>
        <v/>
      </c>
    </row>
    <row r="474" spans="1:28" x14ac:dyDescent="0.2">
      <c r="A474" t="str">
        <f>IF(COUNTBLANK(B474:AD474)&lt;&gt;COLUMNS(B474:AD474),473,"")</f>
        <v/>
      </c>
      <c r="I474" s="1" t="str">
        <f t="shared" si="42"/>
        <v/>
      </c>
      <c r="J474" s="1" t="str">
        <f t="shared" si="43"/>
        <v/>
      </c>
      <c r="T474" s="1" t="str">
        <f t="shared" si="44"/>
        <v/>
      </c>
      <c r="W474" s="1" t="str">
        <f t="shared" si="45"/>
        <v/>
      </c>
      <c r="AA474" s="1" t="str">
        <f t="shared" si="46"/>
        <v/>
      </c>
      <c r="AB474" s="1" t="str">
        <f t="shared" si="47"/>
        <v/>
      </c>
    </row>
    <row r="475" spans="1:28" x14ac:dyDescent="0.2">
      <c r="A475" t="str">
        <f>IF(COUNTBLANK(B475:AD475)&lt;&gt;COLUMNS(B475:AD475),474,"")</f>
        <v/>
      </c>
      <c r="I475" s="1" t="str">
        <f t="shared" si="42"/>
        <v/>
      </c>
      <c r="J475" s="1" t="str">
        <f t="shared" si="43"/>
        <v/>
      </c>
      <c r="T475" s="1" t="str">
        <f t="shared" si="44"/>
        <v/>
      </c>
      <c r="W475" s="1" t="str">
        <f t="shared" si="45"/>
        <v/>
      </c>
      <c r="AA475" s="1" t="str">
        <f t="shared" si="46"/>
        <v/>
      </c>
      <c r="AB475" s="1" t="str">
        <f t="shared" si="47"/>
        <v/>
      </c>
    </row>
    <row r="476" spans="1:28" x14ac:dyDescent="0.2">
      <c r="A476" t="str">
        <f>IF(COUNTBLANK(B476:AD476)&lt;&gt;COLUMNS(B476:AD476),475,"")</f>
        <v/>
      </c>
      <c r="I476" s="1" t="str">
        <f t="shared" si="42"/>
        <v/>
      </c>
      <c r="J476" s="1" t="str">
        <f t="shared" si="43"/>
        <v/>
      </c>
      <c r="T476" s="1" t="str">
        <f t="shared" si="44"/>
        <v/>
      </c>
      <c r="W476" s="1" t="str">
        <f t="shared" si="45"/>
        <v/>
      </c>
      <c r="AA476" s="1" t="str">
        <f t="shared" si="46"/>
        <v/>
      </c>
      <c r="AB476" s="1" t="str">
        <f t="shared" si="47"/>
        <v/>
      </c>
    </row>
    <row r="477" spans="1:28" x14ac:dyDescent="0.2">
      <c r="A477" t="str">
        <f>IF(COUNTBLANK(B477:AD477)&lt;&gt;COLUMNS(B477:AD477),476,"")</f>
        <v/>
      </c>
      <c r="I477" s="1" t="str">
        <f t="shared" si="42"/>
        <v/>
      </c>
      <c r="J477" s="1" t="str">
        <f t="shared" si="43"/>
        <v/>
      </c>
      <c r="T477" s="1" t="str">
        <f t="shared" si="44"/>
        <v/>
      </c>
      <c r="W477" s="1" t="str">
        <f t="shared" si="45"/>
        <v/>
      </c>
      <c r="AA477" s="1" t="str">
        <f t="shared" si="46"/>
        <v/>
      </c>
      <c r="AB477" s="1" t="str">
        <f t="shared" si="47"/>
        <v/>
      </c>
    </row>
    <row r="478" spans="1:28" x14ac:dyDescent="0.2">
      <c r="A478" t="str">
        <f>IF(COUNTBLANK(B478:AD478)&lt;&gt;COLUMNS(B478:AD478),477,"")</f>
        <v/>
      </c>
      <c r="I478" s="1" t="str">
        <f t="shared" si="42"/>
        <v/>
      </c>
      <c r="J478" s="1" t="str">
        <f t="shared" si="43"/>
        <v/>
      </c>
      <c r="T478" s="1" t="str">
        <f t="shared" si="44"/>
        <v/>
      </c>
      <c r="W478" s="1" t="str">
        <f t="shared" si="45"/>
        <v/>
      </c>
      <c r="AA478" s="1" t="str">
        <f t="shared" si="46"/>
        <v/>
      </c>
      <c r="AB478" s="1" t="str">
        <f t="shared" si="47"/>
        <v/>
      </c>
    </row>
    <row r="479" spans="1:28" x14ac:dyDescent="0.2">
      <c r="A479" t="str">
        <f>IF(COUNTBLANK(B479:AD479)&lt;&gt;COLUMNS(B479:AD479),478,"")</f>
        <v/>
      </c>
      <c r="I479" s="1" t="str">
        <f t="shared" si="42"/>
        <v/>
      </c>
      <c r="J479" s="1" t="str">
        <f t="shared" si="43"/>
        <v/>
      </c>
      <c r="T479" s="1" t="str">
        <f t="shared" si="44"/>
        <v/>
      </c>
      <c r="W479" s="1" t="str">
        <f t="shared" si="45"/>
        <v/>
      </c>
      <c r="AA479" s="1" t="str">
        <f t="shared" si="46"/>
        <v/>
      </c>
      <c r="AB479" s="1" t="str">
        <f t="shared" si="47"/>
        <v/>
      </c>
    </row>
    <row r="480" spans="1:28" x14ac:dyDescent="0.2">
      <c r="A480" t="str">
        <f>IF(COUNTBLANK(B480:AD480)&lt;&gt;COLUMNS(B480:AD480),479,"")</f>
        <v/>
      </c>
      <c r="I480" s="1" t="str">
        <f t="shared" si="42"/>
        <v/>
      </c>
      <c r="J480" s="1" t="str">
        <f t="shared" si="43"/>
        <v/>
      </c>
      <c r="T480" s="1" t="str">
        <f t="shared" si="44"/>
        <v/>
      </c>
      <c r="W480" s="1" t="str">
        <f t="shared" si="45"/>
        <v/>
      </c>
      <c r="AA480" s="1" t="str">
        <f t="shared" si="46"/>
        <v/>
      </c>
      <c r="AB480" s="1" t="str">
        <f t="shared" si="47"/>
        <v/>
      </c>
    </row>
    <row r="481" spans="1:28" x14ac:dyDescent="0.2">
      <c r="A481" t="str">
        <f>IF(COUNTBLANK(B481:AD481)&lt;&gt;COLUMNS(B481:AD481),480,"")</f>
        <v/>
      </c>
      <c r="I481" s="1" t="str">
        <f t="shared" si="42"/>
        <v/>
      </c>
      <c r="J481" s="1" t="str">
        <f t="shared" si="43"/>
        <v/>
      </c>
      <c r="T481" s="1" t="str">
        <f t="shared" si="44"/>
        <v/>
      </c>
      <c r="W481" s="1" t="str">
        <f t="shared" si="45"/>
        <v/>
      </c>
      <c r="AA481" s="1" t="str">
        <f t="shared" si="46"/>
        <v/>
      </c>
      <c r="AB481" s="1" t="str">
        <f t="shared" si="47"/>
        <v/>
      </c>
    </row>
    <row r="482" spans="1:28" x14ac:dyDescent="0.2">
      <c r="A482" t="str">
        <f>IF(COUNTBLANK(B482:AD482)&lt;&gt;COLUMNS(B482:AD482),481,"")</f>
        <v/>
      </c>
      <c r="I482" s="1" t="str">
        <f t="shared" si="42"/>
        <v/>
      </c>
      <c r="J482" s="1" t="str">
        <f t="shared" si="43"/>
        <v/>
      </c>
      <c r="T482" s="1" t="str">
        <f t="shared" si="44"/>
        <v/>
      </c>
      <c r="W482" s="1" t="str">
        <f t="shared" si="45"/>
        <v/>
      </c>
      <c r="AA482" s="1" t="str">
        <f t="shared" si="46"/>
        <v/>
      </c>
      <c r="AB482" s="1" t="str">
        <f t="shared" si="47"/>
        <v/>
      </c>
    </row>
    <row r="483" spans="1:28" x14ac:dyDescent="0.2">
      <c r="A483" t="str">
        <f>IF(COUNTBLANK(B483:AD483)&lt;&gt;COLUMNS(B483:AD483),482,"")</f>
        <v/>
      </c>
      <c r="I483" s="1" t="str">
        <f t="shared" si="42"/>
        <v/>
      </c>
      <c r="J483" s="1" t="str">
        <f t="shared" si="43"/>
        <v/>
      </c>
      <c r="T483" s="1" t="str">
        <f t="shared" si="44"/>
        <v/>
      </c>
      <c r="W483" s="1" t="str">
        <f t="shared" si="45"/>
        <v/>
      </c>
      <c r="AA483" s="1" t="str">
        <f t="shared" si="46"/>
        <v/>
      </c>
      <c r="AB483" s="1" t="str">
        <f t="shared" si="47"/>
        <v/>
      </c>
    </row>
    <row r="484" spans="1:28" x14ac:dyDescent="0.2">
      <c r="A484" t="str">
        <f>IF(COUNTBLANK(B484:AD484)&lt;&gt;COLUMNS(B484:AD484),483,"")</f>
        <v/>
      </c>
      <c r="I484" s="1" t="str">
        <f t="shared" si="42"/>
        <v/>
      </c>
      <c r="J484" s="1" t="str">
        <f t="shared" si="43"/>
        <v/>
      </c>
      <c r="T484" s="1" t="str">
        <f t="shared" si="44"/>
        <v/>
      </c>
      <c r="W484" s="1" t="str">
        <f t="shared" si="45"/>
        <v/>
      </c>
      <c r="AA484" s="1" t="str">
        <f t="shared" si="46"/>
        <v/>
      </c>
      <c r="AB484" s="1" t="str">
        <f t="shared" si="47"/>
        <v/>
      </c>
    </row>
    <row r="485" spans="1:28" x14ac:dyDescent="0.2">
      <c r="A485" t="str">
        <f>IF(COUNTBLANK(B485:AD485)&lt;&gt;COLUMNS(B485:AD485),484,"")</f>
        <v/>
      </c>
      <c r="I485" s="1" t="str">
        <f t="shared" si="42"/>
        <v/>
      </c>
      <c r="J485" s="1" t="str">
        <f t="shared" si="43"/>
        <v/>
      </c>
      <c r="T485" s="1" t="str">
        <f t="shared" si="44"/>
        <v/>
      </c>
      <c r="W485" s="1" t="str">
        <f t="shared" si="45"/>
        <v/>
      </c>
      <c r="AA485" s="1" t="str">
        <f t="shared" si="46"/>
        <v/>
      </c>
      <c r="AB485" s="1" t="str">
        <f t="shared" si="47"/>
        <v/>
      </c>
    </row>
    <row r="486" spans="1:28" x14ac:dyDescent="0.2">
      <c r="A486" t="str">
        <f>IF(COUNTBLANK(B486:AD486)&lt;&gt;COLUMNS(B486:AD486),485,"")</f>
        <v/>
      </c>
      <c r="I486" s="1" t="str">
        <f t="shared" si="42"/>
        <v/>
      </c>
      <c r="J486" s="1" t="str">
        <f t="shared" si="43"/>
        <v/>
      </c>
      <c r="T486" s="1" t="str">
        <f t="shared" si="44"/>
        <v/>
      </c>
      <c r="W486" s="1" t="str">
        <f t="shared" si="45"/>
        <v/>
      </c>
      <c r="AA486" s="1" t="str">
        <f t="shared" si="46"/>
        <v/>
      </c>
      <c r="AB486" s="1" t="str">
        <f t="shared" si="47"/>
        <v/>
      </c>
    </row>
    <row r="487" spans="1:28" x14ac:dyDescent="0.2">
      <c r="A487" t="str">
        <f>IF(COUNTBLANK(B487:AD487)&lt;&gt;COLUMNS(B487:AD487),486,"")</f>
        <v/>
      </c>
      <c r="I487" s="1" t="str">
        <f t="shared" si="42"/>
        <v/>
      </c>
      <c r="J487" s="1" t="str">
        <f t="shared" si="43"/>
        <v/>
      </c>
      <c r="T487" s="1" t="str">
        <f t="shared" si="44"/>
        <v/>
      </c>
      <c r="W487" s="1" t="str">
        <f t="shared" si="45"/>
        <v/>
      </c>
      <c r="AA487" s="1" t="str">
        <f t="shared" si="46"/>
        <v/>
      </c>
      <c r="AB487" s="1" t="str">
        <f t="shared" si="47"/>
        <v/>
      </c>
    </row>
    <row r="488" spans="1:28" x14ac:dyDescent="0.2">
      <c r="A488" t="str">
        <f>IF(COUNTBLANK(B488:AD488)&lt;&gt;COLUMNS(B488:AD488),487,"")</f>
        <v/>
      </c>
      <c r="I488" s="1" t="str">
        <f t="shared" si="42"/>
        <v/>
      </c>
      <c r="J488" s="1" t="str">
        <f t="shared" si="43"/>
        <v/>
      </c>
      <c r="T488" s="1" t="str">
        <f t="shared" si="44"/>
        <v/>
      </c>
      <c r="W488" s="1" t="str">
        <f t="shared" si="45"/>
        <v/>
      </c>
      <c r="AA488" s="1" t="str">
        <f t="shared" si="46"/>
        <v/>
      </c>
      <c r="AB488" s="1" t="str">
        <f t="shared" si="47"/>
        <v/>
      </c>
    </row>
    <row r="489" spans="1:28" x14ac:dyDescent="0.2">
      <c r="A489" t="str">
        <f>IF(COUNTBLANK(B489:AD489)&lt;&gt;COLUMNS(B489:AD489),488,"")</f>
        <v/>
      </c>
      <c r="I489" s="1" t="str">
        <f t="shared" si="42"/>
        <v/>
      </c>
      <c r="J489" s="1" t="str">
        <f t="shared" si="43"/>
        <v/>
      </c>
      <c r="T489" s="1" t="str">
        <f t="shared" si="44"/>
        <v/>
      </c>
      <c r="W489" s="1" t="str">
        <f t="shared" si="45"/>
        <v/>
      </c>
      <c r="AA489" s="1" t="str">
        <f t="shared" si="46"/>
        <v/>
      </c>
      <c r="AB489" s="1" t="str">
        <f t="shared" si="47"/>
        <v/>
      </c>
    </row>
    <row r="490" spans="1:28" x14ac:dyDescent="0.2">
      <c r="A490" t="str">
        <f>IF(COUNTBLANK(B490:AD490)&lt;&gt;COLUMNS(B490:AD490),489,"")</f>
        <v/>
      </c>
      <c r="I490" s="1" t="str">
        <f t="shared" si="42"/>
        <v/>
      </c>
      <c r="J490" s="1" t="str">
        <f t="shared" si="43"/>
        <v/>
      </c>
      <c r="T490" s="1" t="str">
        <f t="shared" si="44"/>
        <v/>
      </c>
      <c r="W490" s="1" t="str">
        <f t="shared" si="45"/>
        <v/>
      </c>
      <c r="AA490" s="1" t="str">
        <f t="shared" si="46"/>
        <v/>
      </c>
      <c r="AB490" s="1" t="str">
        <f t="shared" si="47"/>
        <v/>
      </c>
    </row>
    <row r="491" spans="1:28" x14ac:dyDescent="0.2">
      <c r="A491" t="str">
        <f>IF(COUNTBLANK(B491:AD491)&lt;&gt;COLUMNS(B491:AD491),490,"")</f>
        <v/>
      </c>
      <c r="I491" s="1" t="str">
        <f t="shared" si="42"/>
        <v/>
      </c>
      <c r="J491" s="1" t="str">
        <f t="shared" si="43"/>
        <v/>
      </c>
      <c r="T491" s="1" t="str">
        <f t="shared" si="44"/>
        <v/>
      </c>
      <c r="W491" s="1" t="str">
        <f t="shared" si="45"/>
        <v/>
      </c>
      <c r="AA491" s="1" t="str">
        <f t="shared" si="46"/>
        <v/>
      </c>
      <c r="AB491" s="1" t="str">
        <f t="shared" si="47"/>
        <v/>
      </c>
    </row>
    <row r="492" spans="1:28" x14ac:dyDescent="0.2">
      <c r="A492" t="str">
        <f>IF(COUNTBLANK(B492:AD492)&lt;&gt;COLUMNS(B492:AD492),491,"")</f>
        <v/>
      </c>
      <c r="I492" s="1" t="str">
        <f t="shared" si="42"/>
        <v/>
      </c>
      <c r="J492" s="1" t="str">
        <f t="shared" si="43"/>
        <v/>
      </c>
      <c r="T492" s="1" t="str">
        <f t="shared" si="44"/>
        <v/>
      </c>
      <c r="W492" s="1" t="str">
        <f t="shared" si="45"/>
        <v/>
      </c>
      <c r="AA492" s="1" t="str">
        <f t="shared" si="46"/>
        <v/>
      </c>
      <c r="AB492" s="1" t="str">
        <f t="shared" si="47"/>
        <v/>
      </c>
    </row>
    <row r="493" spans="1:28" x14ac:dyDescent="0.2">
      <c r="A493" t="str">
        <f>IF(COUNTBLANK(B493:AD493)&lt;&gt;COLUMNS(B493:AD493),492,"")</f>
        <v/>
      </c>
      <c r="I493" s="1" t="str">
        <f t="shared" si="42"/>
        <v/>
      </c>
      <c r="J493" s="1" t="str">
        <f t="shared" si="43"/>
        <v/>
      </c>
      <c r="T493" s="1" t="str">
        <f t="shared" si="44"/>
        <v/>
      </c>
      <c r="W493" s="1" t="str">
        <f t="shared" si="45"/>
        <v/>
      </c>
      <c r="AA493" s="1" t="str">
        <f t="shared" si="46"/>
        <v/>
      </c>
      <c r="AB493" s="1" t="str">
        <f t="shared" si="47"/>
        <v/>
      </c>
    </row>
    <row r="494" spans="1:28" x14ac:dyDescent="0.2">
      <c r="A494" t="str">
        <f>IF(COUNTBLANK(B494:AD494)&lt;&gt;COLUMNS(B494:AD494),493,"")</f>
        <v/>
      </c>
      <c r="I494" s="1" t="str">
        <f t="shared" si="42"/>
        <v/>
      </c>
      <c r="J494" s="1" t="str">
        <f t="shared" si="43"/>
        <v/>
      </c>
      <c r="T494" s="1" t="str">
        <f t="shared" si="44"/>
        <v/>
      </c>
      <c r="W494" s="1" t="str">
        <f t="shared" si="45"/>
        <v/>
      </c>
      <c r="AA494" s="1" t="str">
        <f t="shared" si="46"/>
        <v/>
      </c>
      <c r="AB494" s="1" t="str">
        <f t="shared" si="47"/>
        <v/>
      </c>
    </row>
    <row r="495" spans="1:28" x14ac:dyDescent="0.2">
      <c r="A495" t="str">
        <f>IF(COUNTBLANK(B495:AD495)&lt;&gt;COLUMNS(B495:AD495),494,"")</f>
        <v/>
      </c>
      <c r="I495" s="1" t="str">
        <f t="shared" si="42"/>
        <v/>
      </c>
      <c r="J495" s="1" t="str">
        <f t="shared" si="43"/>
        <v/>
      </c>
      <c r="T495" s="1" t="str">
        <f t="shared" si="44"/>
        <v/>
      </c>
      <c r="W495" s="1" t="str">
        <f t="shared" si="45"/>
        <v/>
      </c>
      <c r="AA495" s="1" t="str">
        <f t="shared" si="46"/>
        <v/>
      </c>
      <c r="AB495" s="1" t="str">
        <f t="shared" si="47"/>
        <v/>
      </c>
    </row>
    <row r="496" spans="1:28" x14ac:dyDescent="0.2">
      <c r="A496" t="str">
        <f>IF(COUNTBLANK(B496:AD496)&lt;&gt;COLUMNS(B496:AD496),495,"")</f>
        <v/>
      </c>
      <c r="I496" s="1" t="str">
        <f t="shared" si="42"/>
        <v/>
      </c>
      <c r="J496" s="1" t="str">
        <f t="shared" si="43"/>
        <v/>
      </c>
      <c r="T496" s="1" t="str">
        <f t="shared" si="44"/>
        <v/>
      </c>
      <c r="W496" s="1" t="str">
        <f t="shared" si="45"/>
        <v/>
      </c>
      <c r="AA496" s="1" t="str">
        <f t="shared" si="46"/>
        <v/>
      </c>
      <c r="AB496" s="1" t="str">
        <f t="shared" si="47"/>
        <v/>
      </c>
    </row>
    <row r="497" spans="1:28" x14ac:dyDescent="0.2">
      <c r="A497" t="str">
        <f>IF(COUNTBLANK(B497:AD497)&lt;&gt;COLUMNS(B497:AD497),496,"")</f>
        <v/>
      </c>
      <c r="I497" s="1" t="str">
        <f t="shared" si="42"/>
        <v/>
      </c>
      <c r="J497" s="1" t="str">
        <f t="shared" si="43"/>
        <v/>
      </c>
      <c r="T497" s="1" t="str">
        <f t="shared" si="44"/>
        <v/>
      </c>
      <c r="W497" s="1" t="str">
        <f t="shared" si="45"/>
        <v/>
      </c>
      <c r="AA497" s="1" t="str">
        <f t="shared" si="46"/>
        <v/>
      </c>
      <c r="AB497" s="1" t="str">
        <f t="shared" si="47"/>
        <v/>
      </c>
    </row>
    <row r="498" spans="1:28" x14ac:dyDescent="0.2">
      <c r="A498" t="str">
        <f>IF(COUNTBLANK(B498:AD498)&lt;&gt;COLUMNS(B498:AD498),497,"")</f>
        <v/>
      </c>
      <c r="I498" s="1" t="str">
        <f t="shared" si="42"/>
        <v/>
      </c>
      <c r="J498" s="1" t="str">
        <f t="shared" si="43"/>
        <v/>
      </c>
      <c r="T498" s="1" t="str">
        <f t="shared" si="44"/>
        <v/>
      </c>
      <c r="W498" s="1" t="str">
        <f t="shared" si="45"/>
        <v/>
      </c>
      <c r="AA498" s="1" t="str">
        <f t="shared" si="46"/>
        <v/>
      </c>
      <c r="AB498" s="1" t="str">
        <f t="shared" si="47"/>
        <v/>
      </c>
    </row>
    <row r="499" spans="1:28" x14ac:dyDescent="0.2">
      <c r="A499" t="str">
        <f>IF(COUNTBLANK(B499:AD499)&lt;&gt;COLUMNS(B499:AD499),498,"")</f>
        <v/>
      </c>
      <c r="I499" s="1" t="str">
        <f t="shared" si="42"/>
        <v/>
      </c>
      <c r="J499" s="1" t="str">
        <f t="shared" si="43"/>
        <v/>
      </c>
      <c r="T499" s="1" t="str">
        <f t="shared" si="44"/>
        <v/>
      </c>
      <c r="W499" s="1" t="str">
        <f t="shared" si="45"/>
        <v/>
      </c>
      <c r="AA499" s="1" t="str">
        <f t="shared" si="46"/>
        <v/>
      </c>
      <c r="AB499" s="1" t="str">
        <f t="shared" si="47"/>
        <v/>
      </c>
    </row>
    <row r="500" spans="1:28" x14ac:dyDescent="0.2">
      <c r="A500" t="str">
        <f>IF(COUNTBLANK(B500:AD500)&lt;&gt;COLUMNS(B500:AD500),499,"")</f>
        <v/>
      </c>
      <c r="I500" s="1" t="str">
        <f t="shared" si="42"/>
        <v/>
      </c>
      <c r="J500" s="1" t="str">
        <f t="shared" si="43"/>
        <v/>
      </c>
      <c r="T500" s="1" t="str">
        <f t="shared" si="44"/>
        <v/>
      </c>
      <c r="W500" s="1" t="str">
        <f t="shared" si="45"/>
        <v/>
      </c>
      <c r="AA500" s="1" t="str">
        <f t="shared" si="46"/>
        <v/>
      </c>
      <c r="AB500" s="1" t="str">
        <f t="shared" si="47"/>
        <v/>
      </c>
    </row>
    <row r="501" spans="1:28" x14ac:dyDescent="0.2">
      <c r="A501" t="str">
        <f>IF(COUNTBLANK(B501:AD501)&lt;&gt;COLUMNS(B501:AD501),500,"")</f>
        <v/>
      </c>
      <c r="I501" s="1" t="str">
        <f t="shared" si="42"/>
        <v/>
      </c>
      <c r="J501" s="1" t="str">
        <f t="shared" si="43"/>
        <v/>
      </c>
      <c r="T501" s="1" t="str">
        <f t="shared" si="44"/>
        <v/>
      </c>
      <c r="W501" s="1" t="str">
        <f t="shared" si="45"/>
        <v/>
      </c>
      <c r="AA501" s="1" t="str">
        <f t="shared" si="46"/>
        <v/>
      </c>
      <c r="AB501" s="1" t="str">
        <f t="shared" si="47"/>
        <v/>
      </c>
    </row>
    <row r="502" spans="1:28" x14ac:dyDescent="0.2">
      <c r="A502" t="str">
        <f>IF(COUNTBLANK(B502:AD502)&lt;&gt;COLUMNS(B502:AD502),501,"")</f>
        <v/>
      </c>
      <c r="I502" s="1" t="str">
        <f t="shared" si="42"/>
        <v/>
      </c>
      <c r="J502" s="1" t="str">
        <f t="shared" si="43"/>
        <v/>
      </c>
      <c r="T502" s="1" t="str">
        <f t="shared" si="44"/>
        <v/>
      </c>
      <c r="W502" s="1" t="str">
        <f t="shared" si="45"/>
        <v/>
      </c>
      <c r="AA502" s="1" t="str">
        <f t="shared" si="46"/>
        <v/>
      </c>
      <c r="AB502" s="1" t="str">
        <f t="shared" si="47"/>
        <v/>
      </c>
    </row>
    <row r="503" spans="1:28" x14ac:dyDescent="0.2">
      <c r="A503" t="str">
        <f>IF(COUNTBLANK(B503:AD503)&lt;&gt;COLUMNS(B503:AD503),502,"")</f>
        <v/>
      </c>
      <c r="I503" s="1" t="str">
        <f t="shared" si="42"/>
        <v/>
      </c>
      <c r="J503" s="1" t="str">
        <f t="shared" si="43"/>
        <v/>
      </c>
      <c r="T503" s="1" t="str">
        <f t="shared" si="44"/>
        <v/>
      </c>
      <c r="W503" s="1" t="str">
        <f t="shared" si="45"/>
        <v/>
      </c>
      <c r="AA503" s="1" t="str">
        <f t="shared" si="46"/>
        <v/>
      </c>
      <c r="AB503" s="1" t="str">
        <f t="shared" si="47"/>
        <v/>
      </c>
    </row>
    <row r="504" spans="1:28" x14ac:dyDescent="0.2">
      <c r="A504" t="str">
        <f>IF(COUNTBLANK(B504:AD504)&lt;&gt;COLUMNS(B504:AD504),503,"")</f>
        <v/>
      </c>
      <c r="I504" s="1" t="str">
        <f t="shared" si="42"/>
        <v/>
      </c>
      <c r="J504" s="1" t="str">
        <f t="shared" si="43"/>
        <v/>
      </c>
      <c r="T504" s="1" t="str">
        <f t="shared" si="44"/>
        <v/>
      </c>
      <c r="W504" s="1" t="str">
        <f t="shared" si="45"/>
        <v/>
      </c>
      <c r="AA504" s="1" t="str">
        <f t="shared" si="46"/>
        <v/>
      </c>
      <c r="AB504" s="1" t="str">
        <f t="shared" si="47"/>
        <v/>
      </c>
    </row>
    <row r="505" spans="1:28" x14ac:dyDescent="0.2">
      <c r="A505" t="str">
        <f>IF(COUNTBLANK(B505:AD505)&lt;&gt;COLUMNS(B505:AD505),504,"")</f>
        <v/>
      </c>
      <c r="I505" s="1" t="str">
        <f t="shared" si="42"/>
        <v/>
      </c>
      <c r="J505" s="1" t="str">
        <f t="shared" si="43"/>
        <v/>
      </c>
      <c r="T505" s="1" t="str">
        <f t="shared" si="44"/>
        <v/>
      </c>
      <c r="W505" s="1" t="str">
        <f t="shared" si="45"/>
        <v/>
      </c>
      <c r="AA505" s="1" t="str">
        <f t="shared" si="46"/>
        <v/>
      </c>
      <c r="AB505" s="1" t="str">
        <f t="shared" si="47"/>
        <v/>
      </c>
    </row>
    <row r="506" spans="1:28" x14ac:dyDescent="0.2">
      <c r="A506" t="str">
        <f>IF(COUNTBLANK(B506:AD506)&lt;&gt;COLUMNS(B506:AD506),505,"")</f>
        <v/>
      </c>
      <c r="I506" s="1" t="str">
        <f t="shared" si="42"/>
        <v/>
      </c>
      <c r="J506" s="1" t="str">
        <f t="shared" si="43"/>
        <v/>
      </c>
      <c r="T506" s="1" t="str">
        <f t="shared" si="44"/>
        <v/>
      </c>
      <c r="W506" s="1" t="str">
        <f t="shared" si="45"/>
        <v/>
      </c>
      <c r="AA506" s="1" t="str">
        <f t="shared" si="46"/>
        <v/>
      </c>
      <c r="AB506" s="1" t="str">
        <f t="shared" si="47"/>
        <v/>
      </c>
    </row>
    <row r="507" spans="1:28" x14ac:dyDescent="0.2">
      <c r="A507" t="str">
        <f>IF(COUNTBLANK(B507:AD507)&lt;&gt;COLUMNS(B507:AD507),506,"")</f>
        <v/>
      </c>
      <c r="I507" s="1" t="str">
        <f t="shared" si="42"/>
        <v/>
      </c>
      <c r="J507" s="1" t="str">
        <f t="shared" si="43"/>
        <v/>
      </c>
      <c r="T507" s="1" t="str">
        <f t="shared" si="44"/>
        <v/>
      </c>
      <c r="W507" s="1" t="str">
        <f t="shared" si="45"/>
        <v/>
      </c>
      <c r="AA507" s="1" t="str">
        <f t="shared" si="46"/>
        <v/>
      </c>
      <c r="AB507" s="1" t="str">
        <f t="shared" si="47"/>
        <v/>
      </c>
    </row>
    <row r="508" spans="1:28" x14ac:dyDescent="0.2">
      <c r="A508" t="str">
        <f>IF(COUNTBLANK(B508:AD508)&lt;&gt;COLUMNS(B508:AD508),507,"")</f>
        <v/>
      </c>
      <c r="I508" s="1" t="str">
        <f t="shared" si="42"/>
        <v/>
      </c>
      <c r="J508" s="1" t="str">
        <f t="shared" si="43"/>
        <v/>
      </c>
      <c r="T508" s="1" t="str">
        <f t="shared" si="44"/>
        <v/>
      </c>
      <c r="W508" s="1" t="str">
        <f t="shared" si="45"/>
        <v/>
      </c>
      <c r="AA508" s="1" t="str">
        <f t="shared" si="46"/>
        <v/>
      </c>
      <c r="AB508" s="1" t="str">
        <f t="shared" si="47"/>
        <v/>
      </c>
    </row>
    <row r="509" spans="1:28" x14ac:dyDescent="0.2">
      <c r="A509" t="str">
        <f>IF(COUNTBLANK(B509:AD509)&lt;&gt;COLUMNS(B509:AD509),508,"")</f>
        <v/>
      </c>
      <c r="I509" s="1" t="str">
        <f t="shared" si="42"/>
        <v/>
      </c>
      <c r="J509" s="1" t="str">
        <f t="shared" si="43"/>
        <v/>
      </c>
      <c r="T509" s="1" t="str">
        <f t="shared" si="44"/>
        <v/>
      </c>
      <c r="W509" s="1" t="str">
        <f t="shared" si="45"/>
        <v/>
      </c>
      <c r="AA509" s="1" t="str">
        <f t="shared" si="46"/>
        <v/>
      </c>
      <c r="AB509" s="1" t="str">
        <f t="shared" si="47"/>
        <v/>
      </c>
    </row>
    <row r="510" spans="1:28" x14ac:dyDescent="0.2">
      <c r="A510" t="str">
        <f>IF(COUNTBLANK(B510:AD510)&lt;&gt;COLUMNS(B510:AD510),509,"")</f>
        <v/>
      </c>
      <c r="I510" s="1" t="str">
        <f t="shared" si="42"/>
        <v/>
      </c>
      <c r="J510" s="1" t="str">
        <f t="shared" si="43"/>
        <v/>
      </c>
      <c r="T510" s="1" t="str">
        <f t="shared" si="44"/>
        <v/>
      </c>
      <c r="W510" s="1" t="str">
        <f t="shared" si="45"/>
        <v/>
      </c>
      <c r="AA510" s="1" t="str">
        <f t="shared" si="46"/>
        <v/>
      </c>
      <c r="AB510" s="1" t="str">
        <f t="shared" si="47"/>
        <v/>
      </c>
    </row>
    <row r="511" spans="1:28" x14ac:dyDescent="0.2">
      <c r="A511" t="str">
        <f>IF(COUNTBLANK(B511:AD511)&lt;&gt;COLUMNS(B511:AD511),510,"")</f>
        <v/>
      </c>
      <c r="I511" s="1" t="str">
        <f t="shared" si="42"/>
        <v/>
      </c>
      <c r="J511" s="1" t="str">
        <f t="shared" si="43"/>
        <v/>
      </c>
      <c r="T511" s="1" t="str">
        <f t="shared" si="44"/>
        <v/>
      </c>
      <c r="W511" s="1" t="str">
        <f t="shared" si="45"/>
        <v/>
      </c>
      <c r="AA511" s="1" t="str">
        <f t="shared" si="46"/>
        <v/>
      </c>
      <c r="AB511" s="1" t="str">
        <f t="shared" si="47"/>
        <v/>
      </c>
    </row>
    <row r="512" spans="1:28" x14ac:dyDescent="0.2">
      <c r="A512" t="str">
        <f>IF(COUNTBLANK(B512:AD512)&lt;&gt;COLUMNS(B512:AD512),511,"")</f>
        <v/>
      </c>
      <c r="I512" s="1" t="str">
        <f t="shared" si="42"/>
        <v/>
      </c>
      <c r="J512" s="1" t="str">
        <f t="shared" si="43"/>
        <v/>
      </c>
      <c r="T512" s="1" t="str">
        <f t="shared" si="44"/>
        <v/>
      </c>
      <c r="W512" s="1" t="str">
        <f t="shared" si="45"/>
        <v/>
      </c>
      <c r="AA512" s="1" t="str">
        <f t="shared" si="46"/>
        <v/>
      </c>
      <c r="AB512" s="1" t="str">
        <f t="shared" si="47"/>
        <v/>
      </c>
    </row>
    <row r="513" spans="1:28" x14ac:dyDescent="0.2">
      <c r="A513" t="str">
        <f>IF(COUNTBLANK(B513:AD513)&lt;&gt;COLUMNS(B513:AD513),512,"")</f>
        <v/>
      </c>
      <c r="I513" s="1" t="str">
        <f t="shared" si="42"/>
        <v/>
      </c>
      <c r="J513" s="1" t="str">
        <f t="shared" si="43"/>
        <v/>
      </c>
      <c r="T513" s="1" t="str">
        <f t="shared" si="44"/>
        <v/>
      </c>
      <c r="W513" s="1" t="str">
        <f t="shared" si="45"/>
        <v/>
      </c>
      <c r="AA513" s="1" t="str">
        <f t="shared" si="46"/>
        <v/>
      </c>
      <c r="AB513" s="1" t="str">
        <f t="shared" si="47"/>
        <v/>
      </c>
    </row>
    <row r="514" spans="1:28" x14ac:dyDescent="0.2">
      <c r="A514" t="str">
        <f>IF(COUNTBLANK(B514:AD514)&lt;&gt;COLUMNS(B514:AD514),513,"")</f>
        <v/>
      </c>
      <c r="I514" s="1" t="str">
        <f t="shared" ref="I514:I577" si="48">IF(B514="", "", "meters")</f>
        <v/>
      </c>
      <c r="J514" s="1" t="str">
        <f t="shared" ref="J514:J577" si="49">IF(B514="", "", "free-living")</f>
        <v/>
      </c>
      <c r="T514" s="1" t="str">
        <f t="shared" ref="T514:T577" si="50">IF(B514="", "", "Decimal degrees")</f>
        <v/>
      </c>
      <c r="W514" s="1" t="str">
        <f t="shared" ref="W514:W577" si="51">IF(B514="", "", "Decimal degrees")</f>
        <v/>
      </c>
      <c r="AA514" s="1" t="str">
        <f t="shared" ref="AA514:AA577" si="52">IF(B514="", "", "metagenome")</f>
        <v/>
      </c>
      <c r="AB514" s="1" t="str">
        <f t="shared" ref="AB514:AB577" si="53">IF(B514="", "", "256318")</f>
        <v/>
      </c>
    </row>
    <row r="515" spans="1:28" x14ac:dyDescent="0.2">
      <c r="A515" t="str">
        <f>IF(COUNTBLANK(B515:AD515)&lt;&gt;COLUMNS(B515:AD515),514,"")</f>
        <v/>
      </c>
      <c r="I515" s="1" t="str">
        <f t="shared" si="48"/>
        <v/>
      </c>
      <c r="J515" s="1" t="str">
        <f t="shared" si="49"/>
        <v/>
      </c>
      <c r="T515" s="1" t="str">
        <f t="shared" si="50"/>
        <v/>
      </c>
      <c r="W515" s="1" t="str">
        <f t="shared" si="51"/>
        <v/>
      </c>
      <c r="AA515" s="1" t="str">
        <f t="shared" si="52"/>
        <v/>
      </c>
      <c r="AB515" s="1" t="str">
        <f t="shared" si="53"/>
        <v/>
      </c>
    </row>
    <row r="516" spans="1:28" x14ac:dyDescent="0.2">
      <c r="A516" t="str">
        <f>IF(COUNTBLANK(B516:AD516)&lt;&gt;COLUMNS(B516:AD516),515,"")</f>
        <v/>
      </c>
      <c r="I516" s="1" t="str">
        <f t="shared" si="48"/>
        <v/>
      </c>
      <c r="J516" s="1" t="str">
        <f t="shared" si="49"/>
        <v/>
      </c>
      <c r="T516" s="1" t="str">
        <f t="shared" si="50"/>
        <v/>
      </c>
      <c r="W516" s="1" t="str">
        <f t="shared" si="51"/>
        <v/>
      </c>
      <c r="AA516" s="1" t="str">
        <f t="shared" si="52"/>
        <v/>
      </c>
      <c r="AB516" s="1" t="str">
        <f t="shared" si="53"/>
        <v/>
      </c>
    </row>
    <row r="517" spans="1:28" x14ac:dyDescent="0.2">
      <c r="A517" t="str">
        <f>IF(COUNTBLANK(B517:AD517)&lt;&gt;COLUMNS(B517:AD517),516,"")</f>
        <v/>
      </c>
      <c r="I517" s="1" t="str">
        <f t="shared" si="48"/>
        <v/>
      </c>
      <c r="J517" s="1" t="str">
        <f t="shared" si="49"/>
        <v/>
      </c>
      <c r="T517" s="1" t="str">
        <f t="shared" si="50"/>
        <v/>
      </c>
      <c r="W517" s="1" t="str">
        <f t="shared" si="51"/>
        <v/>
      </c>
      <c r="AA517" s="1" t="str">
        <f t="shared" si="52"/>
        <v/>
      </c>
      <c r="AB517" s="1" t="str">
        <f t="shared" si="53"/>
        <v/>
      </c>
    </row>
    <row r="518" spans="1:28" x14ac:dyDescent="0.2">
      <c r="A518" t="str">
        <f>IF(COUNTBLANK(B518:AD518)&lt;&gt;COLUMNS(B518:AD518),517,"")</f>
        <v/>
      </c>
      <c r="I518" s="1" t="str">
        <f t="shared" si="48"/>
        <v/>
      </c>
      <c r="J518" s="1" t="str">
        <f t="shared" si="49"/>
        <v/>
      </c>
      <c r="T518" s="1" t="str">
        <f t="shared" si="50"/>
        <v/>
      </c>
      <c r="W518" s="1" t="str">
        <f t="shared" si="51"/>
        <v/>
      </c>
      <c r="AA518" s="1" t="str">
        <f t="shared" si="52"/>
        <v/>
      </c>
      <c r="AB518" s="1" t="str">
        <f t="shared" si="53"/>
        <v/>
      </c>
    </row>
    <row r="519" spans="1:28" x14ac:dyDescent="0.2">
      <c r="A519" t="str">
        <f>IF(COUNTBLANK(B519:AD519)&lt;&gt;COLUMNS(B519:AD519),518,"")</f>
        <v/>
      </c>
      <c r="I519" s="1" t="str">
        <f t="shared" si="48"/>
        <v/>
      </c>
      <c r="J519" s="1" t="str">
        <f t="shared" si="49"/>
        <v/>
      </c>
      <c r="T519" s="1" t="str">
        <f t="shared" si="50"/>
        <v/>
      </c>
      <c r="W519" s="1" t="str">
        <f t="shared" si="51"/>
        <v/>
      </c>
      <c r="AA519" s="1" t="str">
        <f t="shared" si="52"/>
        <v/>
      </c>
      <c r="AB519" s="1" t="str">
        <f t="shared" si="53"/>
        <v/>
      </c>
    </row>
    <row r="520" spans="1:28" x14ac:dyDescent="0.2">
      <c r="A520" t="str">
        <f>IF(COUNTBLANK(B520:AD520)&lt;&gt;COLUMNS(B520:AD520),519,"")</f>
        <v/>
      </c>
      <c r="I520" s="1" t="str">
        <f t="shared" si="48"/>
        <v/>
      </c>
      <c r="J520" s="1" t="str">
        <f t="shared" si="49"/>
        <v/>
      </c>
      <c r="T520" s="1" t="str">
        <f t="shared" si="50"/>
        <v/>
      </c>
      <c r="W520" s="1" t="str">
        <f t="shared" si="51"/>
        <v/>
      </c>
      <c r="AA520" s="1" t="str">
        <f t="shared" si="52"/>
        <v/>
      </c>
      <c r="AB520" s="1" t="str">
        <f t="shared" si="53"/>
        <v/>
      </c>
    </row>
    <row r="521" spans="1:28" x14ac:dyDescent="0.2">
      <c r="A521" t="str">
        <f>IF(COUNTBLANK(B521:AD521)&lt;&gt;COLUMNS(B521:AD521),520,"")</f>
        <v/>
      </c>
      <c r="I521" s="1" t="str">
        <f t="shared" si="48"/>
        <v/>
      </c>
      <c r="J521" s="1" t="str">
        <f t="shared" si="49"/>
        <v/>
      </c>
      <c r="T521" s="1" t="str">
        <f t="shared" si="50"/>
        <v/>
      </c>
      <c r="W521" s="1" t="str">
        <f t="shared" si="51"/>
        <v/>
      </c>
      <c r="AA521" s="1" t="str">
        <f t="shared" si="52"/>
        <v/>
      </c>
      <c r="AB521" s="1" t="str">
        <f t="shared" si="53"/>
        <v/>
      </c>
    </row>
    <row r="522" spans="1:28" x14ac:dyDescent="0.2">
      <c r="A522" t="str">
        <f>IF(COUNTBLANK(B522:AD522)&lt;&gt;COLUMNS(B522:AD522),521,"")</f>
        <v/>
      </c>
      <c r="I522" s="1" t="str">
        <f t="shared" si="48"/>
        <v/>
      </c>
      <c r="J522" s="1" t="str">
        <f t="shared" si="49"/>
        <v/>
      </c>
      <c r="T522" s="1" t="str">
        <f t="shared" si="50"/>
        <v/>
      </c>
      <c r="W522" s="1" t="str">
        <f t="shared" si="51"/>
        <v/>
      </c>
      <c r="AA522" s="1" t="str">
        <f t="shared" si="52"/>
        <v/>
      </c>
      <c r="AB522" s="1" t="str">
        <f t="shared" si="53"/>
        <v/>
      </c>
    </row>
    <row r="523" spans="1:28" x14ac:dyDescent="0.2">
      <c r="A523" t="str">
        <f>IF(COUNTBLANK(B523:AD523)&lt;&gt;COLUMNS(B523:AD523),522,"")</f>
        <v/>
      </c>
      <c r="I523" s="1" t="str">
        <f t="shared" si="48"/>
        <v/>
      </c>
      <c r="J523" s="1" t="str">
        <f t="shared" si="49"/>
        <v/>
      </c>
      <c r="T523" s="1" t="str">
        <f t="shared" si="50"/>
        <v/>
      </c>
      <c r="W523" s="1" t="str">
        <f t="shared" si="51"/>
        <v/>
      </c>
      <c r="AA523" s="1" t="str">
        <f t="shared" si="52"/>
        <v/>
      </c>
      <c r="AB523" s="1" t="str">
        <f t="shared" si="53"/>
        <v/>
      </c>
    </row>
    <row r="524" spans="1:28" x14ac:dyDescent="0.2">
      <c r="A524" t="str">
        <f>IF(COUNTBLANK(B524:AD524)&lt;&gt;COLUMNS(B524:AD524),523,"")</f>
        <v/>
      </c>
      <c r="I524" s="1" t="str">
        <f t="shared" si="48"/>
        <v/>
      </c>
      <c r="J524" s="1" t="str">
        <f t="shared" si="49"/>
        <v/>
      </c>
      <c r="T524" s="1" t="str">
        <f t="shared" si="50"/>
        <v/>
      </c>
      <c r="W524" s="1" t="str">
        <f t="shared" si="51"/>
        <v/>
      </c>
      <c r="AA524" s="1" t="str">
        <f t="shared" si="52"/>
        <v/>
      </c>
      <c r="AB524" s="1" t="str">
        <f t="shared" si="53"/>
        <v/>
      </c>
    </row>
    <row r="525" spans="1:28" x14ac:dyDescent="0.2">
      <c r="A525" t="str">
        <f>IF(COUNTBLANK(B525:AD525)&lt;&gt;COLUMNS(B525:AD525),524,"")</f>
        <v/>
      </c>
      <c r="I525" s="1" t="str">
        <f t="shared" si="48"/>
        <v/>
      </c>
      <c r="J525" s="1" t="str">
        <f t="shared" si="49"/>
        <v/>
      </c>
      <c r="T525" s="1" t="str">
        <f t="shared" si="50"/>
        <v/>
      </c>
      <c r="W525" s="1" t="str">
        <f t="shared" si="51"/>
        <v/>
      </c>
      <c r="AA525" s="1" t="str">
        <f t="shared" si="52"/>
        <v/>
      </c>
      <c r="AB525" s="1" t="str">
        <f t="shared" si="53"/>
        <v/>
      </c>
    </row>
    <row r="526" spans="1:28" x14ac:dyDescent="0.2">
      <c r="A526" t="str">
        <f>IF(COUNTBLANK(B526:AD526)&lt;&gt;COLUMNS(B526:AD526),525,"")</f>
        <v/>
      </c>
      <c r="I526" s="1" t="str">
        <f t="shared" si="48"/>
        <v/>
      </c>
      <c r="J526" s="1" t="str">
        <f t="shared" si="49"/>
        <v/>
      </c>
      <c r="T526" s="1" t="str">
        <f t="shared" si="50"/>
        <v/>
      </c>
      <c r="W526" s="1" t="str">
        <f t="shared" si="51"/>
        <v/>
      </c>
      <c r="AA526" s="1" t="str">
        <f t="shared" si="52"/>
        <v/>
      </c>
      <c r="AB526" s="1" t="str">
        <f t="shared" si="53"/>
        <v/>
      </c>
    </row>
    <row r="527" spans="1:28" x14ac:dyDescent="0.2">
      <c r="A527" t="str">
        <f>IF(COUNTBLANK(B527:AD527)&lt;&gt;COLUMNS(B527:AD527),526,"")</f>
        <v/>
      </c>
      <c r="I527" s="1" t="str">
        <f t="shared" si="48"/>
        <v/>
      </c>
      <c r="J527" s="1" t="str">
        <f t="shared" si="49"/>
        <v/>
      </c>
      <c r="T527" s="1" t="str">
        <f t="shared" si="50"/>
        <v/>
      </c>
      <c r="W527" s="1" t="str">
        <f t="shared" si="51"/>
        <v/>
      </c>
      <c r="AA527" s="1" t="str">
        <f t="shared" si="52"/>
        <v/>
      </c>
      <c r="AB527" s="1" t="str">
        <f t="shared" si="53"/>
        <v/>
      </c>
    </row>
    <row r="528" spans="1:28" x14ac:dyDescent="0.2">
      <c r="A528" t="str">
        <f>IF(COUNTBLANK(B528:AD528)&lt;&gt;COLUMNS(B528:AD528),527,"")</f>
        <v/>
      </c>
      <c r="I528" s="1" t="str">
        <f t="shared" si="48"/>
        <v/>
      </c>
      <c r="J528" s="1" t="str">
        <f t="shared" si="49"/>
        <v/>
      </c>
      <c r="T528" s="1" t="str">
        <f t="shared" si="50"/>
        <v/>
      </c>
      <c r="W528" s="1" t="str">
        <f t="shared" si="51"/>
        <v/>
      </c>
      <c r="AA528" s="1" t="str">
        <f t="shared" si="52"/>
        <v/>
      </c>
      <c r="AB528" s="1" t="str">
        <f t="shared" si="53"/>
        <v/>
      </c>
    </row>
    <row r="529" spans="1:28" x14ac:dyDescent="0.2">
      <c r="A529" t="str">
        <f>IF(COUNTBLANK(B529:AD529)&lt;&gt;COLUMNS(B529:AD529),528,"")</f>
        <v/>
      </c>
      <c r="I529" s="1" t="str">
        <f t="shared" si="48"/>
        <v/>
      </c>
      <c r="J529" s="1" t="str">
        <f t="shared" si="49"/>
        <v/>
      </c>
      <c r="T529" s="1" t="str">
        <f t="shared" si="50"/>
        <v/>
      </c>
      <c r="W529" s="1" t="str">
        <f t="shared" si="51"/>
        <v/>
      </c>
      <c r="AA529" s="1" t="str">
        <f t="shared" si="52"/>
        <v/>
      </c>
      <c r="AB529" s="1" t="str">
        <f t="shared" si="53"/>
        <v/>
      </c>
    </row>
    <row r="530" spans="1:28" x14ac:dyDescent="0.2">
      <c r="A530" t="str">
        <f>IF(COUNTBLANK(B530:AD530)&lt;&gt;COLUMNS(B530:AD530),529,"")</f>
        <v/>
      </c>
      <c r="I530" s="1" t="str">
        <f t="shared" si="48"/>
        <v/>
      </c>
      <c r="J530" s="1" t="str">
        <f t="shared" si="49"/>
        <v/>
      </c>
      <c r="T530" s="1" t="str">
        <f t="shared" si="50"/>
        <v/>
      </c>
      <c r="W530" s="1" t="str">
        <f t="shared" si="51"/>
        <v/>
      </c>
      <c r="AA530" s="1" t="str">
        <f t="shared" si="52"/>
        <v/>
      </c>
      <c r="AB530" s="1" t="str">
        <f t="shared" si="53"/>
        <v/>
      </c>
    </row>
    <row r="531" spans="1:28" x14ac:dyDescent="0.2">
      <c r="A531" t="str">
        <f>IF(COUNTBLANK(B531:AD531)&lt;&gt;COLUMNS(B531:AD531),530,"")</f>
        <v/>
      </c>
      <c r="I531" s="1" t="str">
        <f t="shared" si="48"/>
        <v/>
      </c>
      <c r="J531" s="1" t="str">
        <f t="shared" si="49"/>
        <v/>
      </c>
      <c r="T531" s="1" t="str">
        <f t="shared" si="50"/>
        <v/>
      </c>
      <c r="W531" s="1" t="str">
        <f t="shared" si="51"/>
        <v/>
      </c>
      <c r="AA531" s="1" t="str">
        <f t="shared" si="52"/>
        <v/>
      </c>
      <c r="AB531" s="1" t="str">
        <f t="shared" si="53"/>
        <v/>
      </c>
    </row>
    <row r="532" spans="1:28" x14ac:dyDescent="0.2">
      <c r="A532" t="str">
        <f>IF(COUNTBLANK(B532:AD532)&lt;&gt;COLUMNS(B532:AD532),531,"")</f>
        <v/>
      </c>
      <c r="I532" s="1" t="str">
        <f t="shared" si="48"/>
        <v/>
      </c>
      <c r="J532" s="1" t="str">
        <f t="shared" si="49"/>
        <v/>
      </c>
      <c r="T532" s="1" t="str">
        <f t="shared" si="50"/>
        <v/>
      </c>
      <c r="W532" s="1" t="str">
        <f t="shared" si="51"/>
        <v/>
      </c>
      <c r="AA532" s="1" t="str">
        <f t="shared" si="52"/>
        <v/>
      </c>
      <c r="AB532" s="1" t="str">
        <f t="shared" si="53"/>
        <v/>
      </c>
    </row>
    <row r="533" spans="1:28" x14ac:dyDescent="0.2">
      <c r="A533" t="str">
        <f>IF(COUNTBLANK(B533:AD533)&lt;&gt;COLUMNS(B533:AD533),532,"")</f>
        <v/>
      </c>
      <c r="I533" s="1" t="str">
        <f t="shared" si="48"/>
        <v/>
      </c>
      <c r="J533" s="1" t="str">
        <f t="shared" si="49"/>
        <v/>
      </c>
      <c r="T533" s="1" t="str">
        <f t="shared" si="50"/>
        <v/>
      </c>
      <c r="W533" s="1" t="str">
        <f t="shared" si="51"/>
        <v/>
      </c>
      <c r="AA533" s="1" t="str">
        <f t="shared" si="52"/>
        <v/>
      </c>
      <c r="AB533" s="1" t="str">
        <f t="shared" si="53"/>
        <v/>
      </c>
    </row>
    <row r="534" spans="1:28" x14ac:dyDescent="0.2">
      <c r="A534" t="str">
        <f>IF(COUNTBLANK(B534:AD534)&lt;&gt;COLUMNS(B534:AD534),533,"")</f>
        <v/>
      </c>
      <c r="I534" s="1" t="str">
        <f t="shared" si="48"/>
        <v/>
      </c>
      <c r="J534" s="1" t="str">
        <f t="shared" si="49"/>
        <v/>
      </c>
      <c r="T534" s="1" t="str">
        <f t="shared" si="50"/>
        <v/>
      </c>
      <c r="W534" s="1" t="str">
        <f t="shared" si="51"/>
        <v/>
      </c>
      <c r="AA534" s="1" t="str">
        <f t="shared" si="52"/>
        <v/>
      </c>
      <c r="AB534" s="1" t="str">
        <f t="shared" si="53"/>
        <v/>
      </c>
    </row>
    <row r="535" spans="1:28" x14ac:dyDescent="0.2">
      <c r="A535" t="str">
        <f>IF(COUNTBLANK(B535:AD535)&lt;&gt;COLUMNS(B535:AD535),534,"")</f>
        <v/>
      </c>
      <c r="I535" s="1" t="str">
        <f t="shared" si="48"/>
        <v/>
      </c>
      <c r="J535" s="1" t="str">
        <f t="shared" si="49"/>
        <v/>
      </c>
      <c r="T535" s="1" t="str">
        <f t="shared" si="50"/>
        <v/>
      </c>
      <c r="W535" s="1" t="str">
        <f t="shared" si="51"/>
        <v/>
      </c>
      <c r="AA535" s="1" t="str">
        <f t="shared" si="52"/>
        <v/>
      </c>
      <c r="AB535" s="1" t="str">
        <f t="shared" si="53"/>
        <v/>
      </c>
    </row>
    <row r="536" spans="1:28" x14ac:dyDescent="0.2">
      <c r="A536" t="str">
        <f>IF(COUNTBLANK(B536:AD536)&lt;&gt;COLUMNS(B536:AD536),535,"")</f>
        <v/>
      </c>
      <c r="I536" s="1" t="str">
        <f t="shared" si="48"/>
        <v/>
      </c>
      <c r="J536" s="1" t="str">
        <f t="shared" si="49"/>
        <v/>
      </c>
      <c r="T536" s="1" t="str">
        <f t="shared" si="50"/>
        <v/>
      </c>
      <c r="W536" s="1" t="str">
        <f t="shared" si="51"/>
        <v/>
      </c>
      <c r="AA536" s="1" t="str">
        <f t="shared" si="52"/>
        <v/>
      </c>
      <c r="AB536" s="1" t="str">
        <f t="shared" si="53"/>
        <v/>
      </c>
    </row>
    <row r="537" spans="1:28" x14ac:dyDescent="0.2">
      <c r="A537" t="str">
        <f>IF(COUNTBLANK(B537:AD537)&lt;&gt;COLUMNS(B537:AD537),536,"")</f>
        <v/>
      </c>
      <c r="I537" s="1" t="str">
        <f t="shared" si="48"/>
        <v/>
      </c>
      <c r="J537" s="1" t="str">
        <f t="shared" si="49"/>
        <v/>
      </c>
      <c r="T537" s="1" t="str">
        <f t="shared" si="50"/>
        <v/>
      </c>
      <c r="W537" s="1" t="str">
        <f t="shared" si="51"/>
        <v/>
      </c>
      <c r="AA537" s="1" t="str">
        <f t="shared" si="52"/>
        <v/>
      </c>
      <c r="AB537" s="1" t="str">
        <f t="shared" si="53"/>
        <v/>
      </c>
    </row>
    <row r="538" spans="1:28" x14ac:dyDescent="0.2">
      <c r="A538" t="str">
        <f>IF(COUNTBLANK(B538:AD538)&lt;&gt;COLUMNS(B538:AD538),537,"")</f>
        <v/>
      </c>
      <c r="I538" s="1" t="str">
        <f t="shared" si="48"/>
        <v/>
      </c>
      <c r="J538" s="1" t="str">
        <f t="shared" si="49"/>
        <v/>
      </c>
      <c r="T538" s="1" t="str">
        <f t="shared" si="50"/>
        <v/>
      </c>
      <c r="W538" s="1" t="str">
        <f t="shared" si="51"/>
        <v/>
      </c>
      <c r="AA538" s="1" t="str">
        <f t="shared" si="52"/>
        <v/>
      </c>
      <c r="AB538" s="1" t="str">
        <f t="shared" si="53"/>
        <v/>
      </c>
    </row>
    <row r="539" spans="1:28" x14ac:dyDescent="0.2">
      <c r="A539" t="str">
        <f>IF(COUNTBLANK(B539:AD539)&lt;&gt;COLUMNS(B539:AD539),538,"")</f>
        <v/>
      </c>
      <c r="I539" s="1" t="str">
        <f t="shared" si="48"/>
        <v/>
      </c>
      <c r="J539" s="1" t="str">
        <f t="shared" si="49"/>
        <v/>
      </c>
      <c r="T539" s="1" t="str">
        <f t="shared" si="50"/>
        <v/>
      </c>
      <c r="W539" s="1" t="str">
        <f t="shared" si="51"/>
        <v/>
      </c>
      <c r="AA539" s="1" t="str">
        <f t="shared" si="52"/>
        <v/>
      </c>
      <c r="AB539" s="1" t="str">
        <f t="shared" si="53"/>
        <v/>
      </c>
    </row>
    <row r="540" spans="1:28" x14ac:dyDescent="0.2">
      <c r="A540" t="str">
        <f>IF(COUNTBLANK(B540:AD540)&lt;&gt;COLUMNS(B540:AD540),539,"")</f>
        <v/>
      </c>
      <c r="I540" s="1" t="str">
        <f t="shared" si="48"/>
        <v/>
      </c>
      <c r="J540" s="1" t="str">
        <f t="shared" si="49"/>
        <v/>
      </c>
      <c r="T540" s="1" t="str">
        <f t="shared" si="50"/>
        <v/>
      </c>
      <c r="W540" s="1" t="str">
        <f t="shared" si="51"/>
        <v/>
      </c>
      <c r="AA540" s="1" t="str">
        <f t="shared" si="52"/>
        <v/>
      </c>
      <c r="AB540" s="1" t="str">
        <f t="shared" si="53"/>
        <v/>
      </c>
    </row>
    <row r="541" spans="1:28" x14ac:dyDescent="0.2">
      <c r="A541" t="str">
        <f>IF(COUNTBLANK(B541:AD541)&lt;&gt;COLUMNS(B541:AD541),540,"")</f>
        <v/>
      </c>
      <c r="I541" s="1" t="str">
        <f t="shared" si="48"/>
        <v/>
      </c>
      <c r="J541" s="1" t="str">
        <f t="shared" si="49"/>
        <v/>
      </c>
      <c r="T541" s="1" t="str">
        <f t="shared" si="50"/>
        <v/>
      </c>
      <c r="W541" s="1" t="str">
        <f t="shared" si="51"/>
        <v/>
      </c>
      <c r="AA541" s="1" t="str">
        <f t="shared" si="52"/>
        <v/>
      </c>
      <c r="AB541" s="1" t="str">
        <f t="shared" si="53"/>
        <v/>
      </c>
    </row>
    <row r="542" spans="1:28" x14ac:dyDescent="0.2">
      <c r="A542" t="str">
        <f>IF(COUNTBLANK(B542:AD542)&lt;&gt;COLUMNS(B542:AD542),541,"")</f>
        <v/>
      </c>
      <c r="I542" s="1" t="str">
        <f t="shared" si="48"/>
        <v/>
      </c>
      <c r="J542" s="1" t="str">
        <f t="shared" si="49"/>
        <v/>
      </c>
      <c r="T542" s="1" t="str">
        <f t="shared" si="50"/>
        <v/>
      </c>
      <c r="W542" s="1" t="str">
        <f t="shared" si="51"/>
        <v/>
      </c>
      <c r="AA542" s="1" t="str">
        <f t="shared" si="52"/>
        <v/>
      </c>
      <c r="AB542" s="1" t="str">
        <f t="shared" si="53"/>
        <v/>
      </c>
    </row>
    <row r="543" spans="1:28" x14ac:dyDescent="0.2">
      <c r="A543" t="str">
        <f>IF(COUNTBLANK(B543:AD543)&lt;&gt;COLUMNS(B543:AD543),542,"")</f>
        <v/>
      </c>
      <c r="I543" s="1" t="str">
        <f t="shared" si="48"/>
        <v/>
      </c>
      <c r="J543" s="1" t="str">
        <f t="shared" si="49"/>
        <v/>
      </c>
      <c r="T543" s="1" t="str">
        <f t="shared" si="50"/>
        <v/>
      </c>
      <c r="W543" s="1" t="str">
        <f t="shared" si="51"/>
        <v/>
      </c>
      <c r="AA543" s="1" t="str">
        <f t="shared" si="52"/>
        <v/>
      </c>
      <c r="AB543" s="1" t="str">
        <f t="shared" si="53"/>
        <v/>
      </c>
    </row>
    <row r="544" spans="1:28" x14ac:dyDescent="0.2">
      <c r="A544" t="str">
        <f>IF(COUNTBLANK(B544:AD544)&lt;&gt;COLUMNS(B544:AD544),543,"")</f>
        <v/>
      </c>
      <c r="I544" s="1" t="str">
        <f t="shared" si="48"/>
        <v/>
      </c>
      <c r="J544" s="1" t="str">
        <f t="shared" si="49"/>
        <v/>
      </c>
      <c r="T544" s="1" t="str">
        <f t="shared" si="50"/>
        <v/>
      </c>
      <c r="W544" s="1" t="str">
        <f t="shared" si="51"/>
        <v/>
      </c>
      <c r="AA544" s="1" t="str">
        <f t="shared" si="52"/>
        <v/>
      </c>
      <c r="AB544" s="1" t="str">
        <f t="shared" si="53"/>
        <v/>
      </c>
    </row>
    <row r="545" spans="1:28" x14ac:dyDescent="0.2">
      <c r="A545" t="str">
        <f>IF(COUNTBLANK(B545:AD545)&lt;&gt;COLUMNS(B545:AD545),544,"")</f>
        <v/>
      </c>
      <c r="I545" s="1" t="str">
        <f t="shared" si="48"/>
        <v/>
      </c>
      <c r="J545" s="1" t="str">
        <f t="shared" si="49"/>
        <v/>
      </c>
      <c r="T545" s="1" t="str">
        <f t="shared" si="50"/>
        <v/>
      </c>
      <c r="W545" s="1" t="str">
        <f t="shared" si="51"/>
        <v/>
      </c>
      <c r="AA545" s="1" t="str">
        <f t="shared" si="52"/>
        <v/>
      </c>
      <c r="AB545" s="1" t="str">
        <f t="shared" si="53"/>
        <v/>
      </c>
    </row>
    <row r="546" spans="1:28" x14ac:dyDescent="0.2">
      <c r="A546" t="str">
        <f>IF(COUNTBLANK(B546:AD546)&lt;&gt;COLUMNS(B546:AD546),545,"")</f>
        <v/>
      </c>
      <c r="I546" s="1" t="str">
        <f t="shared" si="48"/>
        <v/>
      </c>
      <c r="J546" s="1" t="str">
        <f t="shared" si="49"/>
        <v/>
      </c>
      <c r="T546" s="1" t="str">
        <f t="shared" si="50"/>
        <v/>
      </c>
      <c r="W546" s="1" t="str">
        <f t="shared" si="51"/>
        <v/>
      </c>
      <c r="AA546" s="1" t="str">
        <f t="shared" si="52"/>
        <v/>
      </c>
      <c r="AB546" s="1" t="str">
        <f t="shared" si="53"/>
        <v/>
      </c>
    </row>
    <row r="547" spans="1:28" x14ac:dyDescent="0.2">
      <c r="A547" t="str">
        <f>IF(COUNTBLANK(B547:AD547)&lt;&gt;COLUMNS(B547:AD547),546,"")</f>
        <v/>
      </c>
      <c r="I547" s="1" t="str">
        <f t="shared" si="48"/>
        <v/>
      </c>
      <c r="J547" s="1" t="str">
        <f t="shared" si="49"/>
        <v/>
      </c>
      <c r="T547" s="1" t="str">
        <f t="shared" si="50"/>
        <v/>
      </c>
      <c r="W547" s="1" t="str">
        <f t="shared" si="51"/>
        <v/>
      </c>
      <c r="AA547" s="1" t="str">
        <f t="shared" si="52"/>
        <v/>
      </c>
      <c r="AB547" s="1" t="str">
        <f t="shared" si="53"/>
        <v/>
      </c>
    </row>
    <row r="548" spans="1:28" x14ac:dyDescent="0.2">
      <c r="A548" t="str">
        <f>IF(COUNTBLANK(B548:AD548)&lt;&gt;COLUMNS(B548:AD548),547,"")</f>
        <v/>
      </c>
      <c r="I548" s="1" t="str">
        <f t="shared" si="48"/>
        <v/>
      </c>
      <c r="J548" s="1" t="str">
        <f t="shared" si="49"/>
        <v/>
      </c>
      <c r="T548" s="1" t="str">
        <f t="shared" si="50"/>
        <v/>
      </c>
      <c r="W548" s="1" t="str">
        <f t="shared" si="51"/>
        <v/>
      </c>
      <c r="AA548" s="1" t="str">
        <f t="shared" si="52"/>
        <v/>
      </c>
      <c r="AB548" s="1" t="str">
        <f t="shared" si="53"/>
        <v/>
      </c>
    </row>
    <row r="549" spans="1:28" x14ac:dyDescent="0.2">
      <c r="A549" t="str">
        <f>IF(COUNTBLANK(B549:AD549)&lt;&gt;COLUMNS(B549:AD549),548,"")</f>
        <v/>
      </c>
      <c r="I549" s="1" t="str">
        <f t="shared" si="48"/>
        <v/>
      </c>
      <c r="J549" s="1" t="str">
        <f t="shared" si="49"/>
        <v/>
      </c>
      <c r="T549" s="1" t="str">
        <f t="shared" si="50"/>
        <v/>
      </c>
      <c r="W549" s="1" t="str">
        <f t="shared" si="51"/>
        <v/>
      </c>
      <c r="AA549" s="1" t="str">
        <f t="shared" si="52"/>
        <v/>
      </c>
      <c r="AB549" s="1" t="str">
        <f t="shared" si="53"/>
        <v/>
      </c>
    </row>
    <row r="550" spans="1:28" x14ac:dyDescent="0.2">
      <c r="A550" t="str">
        <f>IF(COUNTBLANK(B550:AD550)&lt;&gt;COLUMNS(B550:AD550),549,"")</f>
        <v/>
      </c>
      <c r="I550" s="1" t="str">
        <f t="shared" si="48"/>
        <v/>
      </c>
      <c r="J550" s="1" t="str">
        <f t="shared" si="49"/>
        <v/>
      </c>
      <c r="T550" s="1" t="str">
        <f t="shared" si="50"/>
        <v/>
      </c>
      <c r="W550" s="1" t="str">
        <f t="shared" si="51"/>
        <v/>
      </c>
      <c r="AA550" s="1" t="str">
        <f t="shared" si="52"/>
        <v/>
      </c>
      <c r="AB550" s="1" t="str">
        <f t="shared" si="53"/>
        <v/>
      </c>
    </row>
    <row r="551" spans="1:28" x14ac:dyDescent="0.2">
      <c r="A551" t="str">
        <f>IF(COUNTBLANK(B551:AD551)&lt;&gt;COLUMNS(B551:AD551),550,"")</f>
        <v/>
      </c>
      <c r="I551" s="1" t="str">
        <f t="shared" si="48"/>
        <v/>
      </c>
      <c r="J551" s="1" t="str">
        <f t="shared" si="49"/>
        <v/>
      </c>
      <c r="T551" s="1" t="str">
        <f t="shared" si="50"/>
        <v/>
      </c>
      <c r="W551" s="1" t="str">
        <f t="shared" si="51"/>
        <v/>
      </c>
      <c r="AA551" s="1" t="str">
        <f t="shared" si="52"/>
        <v/>
      </c>
      <c r="AB551" s="1" t="str">
        <f t="shared" si="53"/>
        <v/>
      </c>
    </row>
    <row r="552" spans="1:28" x14ac:dyDescent="0.2">
      <c r="A552" t="str">
        <f>IF(COUNTBLANK(B552:AD552)&lt;&gt;COLUMNS(B552:AD552),551,"")</f>
        <v/>
      </c>
      <c r="I552" s="1" t="str">
        <f t="shared" si="48"/>
        <v/>
      </c>
      <c r="J552" s="1" t="str">
        <f t="shared" si="49"/>
        <v/>
      </c>
      <c r="T552" s="1" t="str">
        <f t="shared" si="50"/>
        <v/>
      </c>
      <c r="W552" s="1" t="str">
        <f t="shared" si="51"/>
        <v/>
      </c>
      <c r="AA552" s="1" t="str">
        <f t="shared" si="52"/>
        <v/>
      </c>
      <c r="AB552" s="1" t="str">
        <f t="shared" si="53"/>
        <v/>
      </c>
    </row>
    <row r="553" spans="1:28" x14ac:dyDescent="0.2">
      <c r="A553" t="str">
        <f>IF(COUNTBLANK(B553:AD553)&lt;&gt;COLUMNS(B553:AD553),552,"")</f>
        <v/>
      </c>
      <c r="I553" s="1" t="str">
        <f t="shared" si="48"/>
        <v/>
      </c>
      <c r="J553" s="1" t="str">
        <f t="shared" si="49"/>
        <v/>
      </c>
      <c r="T553" s="1" t="str">
        <f t="shared" si="50"/>
        <v/>
      </c>
      <c r="W553" s="1" t="str">
        <f t="shared" si="51"/>
        <v/>
      </c>
      <c r="AA553" s="1" t="str">
        <f t="shared" si="52"/>
        <v/>
      </c>
      <c r="AB553" s="1" t="str">
        <f t="shared" si="53"/>
        <v/>
      </c>
    </row>
    <row r="554" spans="1:28" x14ac:dyDescent="0.2">
      <c r="A554" t="str">
        <f>IF(COUNTBLANK(B554:AD554)&lt;&gt;COLUMNS(B554:AD554),553,"")</f>
        <v/>
      </c>
      <c r="I554" s="1" t="str">
        <f t="shared" si="48"/>
        <v/>
      </c>
      <c r="J554" s="1" t="str">
        <f t="shared" si="49"/>
        <v/>
      </c>
      <c r="T554" s="1" t="str">
        <f t="shared" si="50"/>
        <v/>
      </c>
      <c r="W554" s="1" t="str">
        <f t="shared" si="51"/>
        <v/>
      </c>
      <c r="AA554" s="1" t="str">
        <f t="shared" si="52"/>
        <v/>
      </c>
      <c r="AB554" s="1" t="str">
        <f t="shared" si="53"/>
        <v/>
      </c>
    </row>
    <row r="555" spans="1:28" x14ac:dyDescent="0.2">
      <c r="A555" t="str">
        <f>IF(COUNTBLANK(B555:AD555)&lt;&gt;COLUMNS(B555:AD555),554,"")</f>
        <v/>
      </c>
      <c r="I555" s="1" t="str">
        <f t="shared" si="48"/>
        <v/>
      </c>
      <c r="J555" s="1" t="str">
        <f t="shared" si="49"/>
        <v/>
      </c>
      <c r="T555" s="1" t="str">
        <f t="shared" si="50"/>
        <v/>
      </c>
      <c r="W555" s="1" t="str">
        <f t="shared" si="51"/>
        <v/>
      </c>
      <c r="AA555" s="1" t="str">
        <f t="shared" si="52"/>
        <v/>
      </c>
      <c r="AB555" s="1" t="str">
        <f t="shared" si="53"/>
        <v/>
      </c>
    </row>
    <row r="556" spans="1:28" x14ac:dyDescent="0.2">
      <c r="A556" t="str">
        <f>IF(COUNTBLANK(B556:AD556)&lt;&gt;COLUMNS(B556:AD556),555,"")</f>
        <v/>
      </c>
      <c r="I556" s="1" t="str">
        <f t="shared" si="48"/>
        <v/>
      </c>
      <c r="J556" s="1" t="str">
        <f t="shared" si="49"/>
        <v/>
      </c>
      <c r="T556" s="1" t="str">
        <f t="shared" si="50"/>
        <v/>
      </c>
      <c r="W556" s="1" t="str">
        <f t="shared" si="51"/>
        <v/>
      </c>
      <c r="AA556" s="1" t="str">
        <f t="shared" si="52"/>
        <v/>
      </c>
      <c r="AB556" s="1" t="str">
        <f t="shared" si="53"/>
        <v/>
      </c>
    </row>
    <row r="557" spans="1:28" x14ac:dyDescent="0.2">
      <c r="A557" t="str">
        <f>IF(COUNTBLANK(B557:AD557)&lt;&gt;COLUMNS(B557:AD557),556,"")</f>
        <v/>
      </c>
      <c r="I557" s="1" t="str">
        <f t="shared" si="48"/>
        <v/>
      </c>
      <c r="J557" s="1" t="str">
        <f t="shared" si="49"/>
        <v/>
      </c>
      <c r="T557" s="1" t="str">
        <f t="shared" si="50"/>
        <v/>
      </c>
      <c r="W557" s="1" t="str">
        <f t="shared" si="51"/>
        <v/>
      </c>
      <c r="AA557" s="1" t="str">
        <f t="shared" si="52"/>
        <v/>
      </c>
      <c r="AB557" s="1" t="str">
        <f t="shared" si="53"/>
        <v/>
      </c>
    </row>
    <row r="558" spans="1:28" x14ac:dyDescent="0.2">
      <c r="A558" t="str">
        <f>IF(COUNTBLANK(B558:AD558)&lt;&gt;COLUMNS(B558:AD558),557,"")</f>
        <v/>
      </c>
      <c r="I558" s="1" t="str">
        <f t="shared" si="48"/>
        <v/>
      </c>
      <c r="J558" s="1" t="str">
        <f t="shared" si="49"/>
        <v/>
      </c>
      <c r="T558" s="1" t="str">
        <f t="shared" si="50"/>
        <v/>
      </c>
      <c r="W558" s="1" t="str">
        <f t="shared" si="51"/>
        <v/>
      </c>
      <c r="AA558" s="1" t="str">
        <f t="shared" si="52"/>
        <v/>
      </c>
      <c r="AB558" s="1" t="str">
        <f t="shared" si="53"/>
        <v/>
      </c>
    </row>
    <row r="559" spans="1:28" x14ac:dyDescent="0.2">
      <c r="A559" t="str">
        <f>IF(COUNTBLANK(B559:AD559)&lt;&gt;COLUMNS(B559:AD559),558,"")</f>
        <v/>
      </c>
      <c r="I559" s="1" t="str">
        <f t="shared" si="48"/>
        <v/>
      </c>
      <c r="J559" s="1" t="str">
        <f t="shared" si="49"/>
        <v/>
      </c>
      <c r="T559" s="1" t="str">
        <f t="shared" si="50"/>
        <v/>
      </c>
      <c r="W559" s="1" t="str">
        <f t="shared" si="51"/>
        <v/>
      </c>
      <c r="AA559" s="1" t="str">
        <f t="shared" si="52"/>
        <v/>
      </c>
      <c r="AB559" s="1" t="str">
        <f t="shared" si="53"/>
        <v/>
      </c>
    </row>
    <row r="560" spans="1:28" x14ac:dyDescent="0.2">
      <c r="A560" t="str">
        <f>IF(COUNTBLANK(B560:AD560)&lt;&gt;COLUMNS(B560:AD560),559,"")</f>
        <v/>
      </c>
      <c r="I560" s="1" t="str">
        <f t="shared" si="48"/>
        <v/>
      </c>
      <c r="J560" s="1" t="str">
        <f t="shared" si="49"/>
        <v/>
      </c>
      <c r="T560" s="1" t="str">
        <f t="shared" si="50"/>
        <v/>
      </c>
      <c r="W560" s="1" t="str">
        <f t="shared" si="51"/>
        <v/>
      </c>
      <c r="AA560" s="1" t="str">
        <f t="shared" si="52"/>
        <v/>
      </c>
      <c r="AB560" s="1" t="str">
        <f t="shared" si="53"/>
        <v/>
      </c>
    </row>
    <row r="561" spans="1:28" x14ac:dyDescent="0.2">
      <c r="A561" t="str">
        <f>IF(COUNTBLANK(B561:AD561)&lt;&gt;COLUMNS(B561:AD561),560,"")</f>
        <v/>
      </c>
      <c r="I561" s="1" t="str">
        <f t="shared" si="48"/>
        <v/>
      </c>
      <c r="J561" s="1" t="str">
        <f t="shared" si="49"/>
        <v/>
      </c>
      <c r="T561" s="1" t="str">
        <f t="shared" si="50"/>
        <v/>
      </c>
      <c r="W561" s="1" t="str">
        <f t="shared" si="51"/>
        <v/>
      </c>
      <c r="AA561" s="1" t="str">
        <f t="shared" si="52"/>
        <v/>
      </c>
      <c r="AB561" s="1" t="str">
        <f t="shared" si="53"/>
        <v/>
      </c>
    </row>
    <row r="562" spans="1:28" x14ac:dyDescent="0.2">
      <c r="A562" t="str">
        <f>IF(COUNTBLANK(B562:AD562)&lt;&gt;COLUMNS(B562:AD562),561,"")</f>
        <v/>
      </c>
      <c r="I562" s="1" t="str">
        <f t="shared" si="48"/>
        <v/>
      </c>
      <c r="J562" s="1" t="str">
        <f t="shared" si="49"/>
        <v/>
      </c>
      <c r="T562" s="1" t="str">
        <f t="shared" si="50"/>
        <v/>
      </c>
      <c r="W562" s="1" t="str">
        <f t="shared" si="51"/>
        <v/>
      </c>
      <c r="AA562" s="1" t="str">
        <f t="shared" si="52"/>
        <v/>
      </c>
      <c r="AB562" s="1" t="str">
        <f t="shared" si="53"/>
        <v/>
      </c>
    </row>
    <row r="563" spans="1:28" x14ac:dyDescent="0.2">
      <c r="A563" t="str">
        <f>IF(COUNTBLANK(B563:AD563)&lt;&gt;COLUMNS(B563:AD563),562,"")</f>
        <v/>
      </c>
      <c r="I563" s="1" t="str">
        <f t="shared" si="48"/>
        <v/>
      </c>
      <c r="J563" s="1" t="str">
        <f t="shared" si="49"/>
        <v/>
      </c>
      <c r="T563" s="1" t="str">
        <f t="shared" si="50"/>
        <v/>
      </c>
      <c r="W563" s="1" t="str">
        <f t="shared" si="51"/>
        <v/>
      </c>
      <c r="AA563" s="1" t="str">
        <f t="shared" si="52"/>
        <v/>
      </c>
      <c r="AB563" s="1" t="str">
        <f t="shared" si="53"/>
        <v/>
      </c>
    </row>
    <row r="564" spans="1:28" x14ac:dyDescent="0.2">
      <c r="A564" t="str">
        <f>IF(COUNTBLANK(B564:AD564)&lt;&gt;COLUMNS(B564:AD564),563,"")</f>
        <v/>
      </c>
      <c r="I564" s="1" t="str">
        <f t="shared" si="48"/>
        <v/>
      </c>
      <c r="J564" s="1" t="str">
        <f t="shared" si="49"/>
        <v/>
      </c>
      <c r="T564" s="1" t="str">
        <f t="shared" si="50"/>
        <v/>
      </c>
      <c r="W564" s="1" t="str">
        <f t="shared" si="51"/>
        <v/>
      </c>
      <c r="AA564" s="1" t="str">
        <f t="shared" si="52"/>
        <v/>
      </c>
      <c r="AB564" s="1" t="str">
        <f t="shared" si="53"/>
        <v/>
      </c>
    </row>
    <row r="565" spans="1:28" x14ac:dyDescent="0.2">
      <c r="A565" t="str">
        <f>IF(COUNTBLANK(B565:AD565)&lt;&gt;COLUMNS(B565:AD565),564,"")</f>
        <v/>
      </c>
      <c r="I565" s="1" t="str">
        <f t="shared" si="48"/>
        <v/>
      </c>
      <c r="J565" s="1" t="str">
        <f t="shared" si="49"/>
        <v/>
      </c>
      <c r="T565" s="1" t="str">
        <f t="shared" si="50"/>
        <v/>
      </c>
      <c r="W565" s="1" t="str">
        <f t="shared" si="51"/>
        <v/>
      </c>
      <c r="AA565" s="1" t="str">
        <f t="shared" si="52"/>
        <v/>
      </c>
      <c r="AB565" s="1" t="str">
        <f t="shared" si="53"/>
        <v/>
      </c>
    </row>
    <row r="566" spans="1:28" x14ac:dyDescent="0.2">
      <c r="A566" t="str">
        <f>IF(COUNTBLANK(B566:AD566)&lt;&gt;COLUMNS(B566:AD566),565,"")</f>
        <v/>
      </c>
      <c r="I566" s="1" t="str">
        <f t="shared" si="48"/>
        <v/>
      </c>
      <c r="J566" s="1" t="str">
        <f t="shared" si="49"/>
        <v/>
      </c>
      <c r="T566" s="1" t="str">
        <f t="shared" si="50"/>
        <v/>
      </c>
      <c r="W566" s="1" t="str">
        <f t="shared" si="51"/>
        <v/>
      </c>
      <c r="AA566" s="1" t="str">
        <f t="shared" si="52"/>
        <v/>
      </c>
      <c r="AB566" s="1" t="str">
        <f t="shared" si="53"/>
        <v/>
      </c>
    </row>
    <row r="567" spans="1:28" x14ac:dyDescent="0.2">
      <c r="A567" t="str">
        <f>IF(COUNTBLANK(B567:AD567)&lt;&gt;COLUMNS(B567:AD567),566,"")</f>
        <v/>
      </c>
      <c r="I567" s="1" t="str">
        <f t="shared" si="48"/>
        <v/>
      </c>
      <c r="J567" s="1" t="str">
        <f t="shared" si="49"/>
        <v/>
      </c>
      <c r="T567" s="1" t="str">
        <f t="shared" si="50"/>
        <v/>
      </c>
      <c r="W567" s="1" t="str">
        <f t="shared" si="51"/>
        <v/>
      </c>
      <c r="AA567" s="1" t="str">
        <f t="shared" si="52"/>
        <v/>
      </c>
      <c r="AB567" s="1" t="str">
        <f t="shared" si="53"/>
        <v/>
      </c>
    </row>
    <row r="568" spans="1:28" x14ac:dyDescent="0.2">
      <c r="A568" t="str">
        <f>IF(COUNTBLANK(B568:AD568)&lt;&gt;COLUMNS(B568:AD568),567,"")</f>
        <v/>
      </c>
      <c r="I568" s="1" t="str">
        <f t="shared" si="48"/>
        <v/>
      </c>
      <c r="J568" s="1" t="str">
        <f t="shared" si="49"/>
        <v/>
      </c>
      <c r="T568" s="1" t="str">
        <f t="shared" si="50"/>
        <v/>
      </c>
      <c r="W568" s="1" t="str">
        <f t="shared" si="51"/>
        <v/>
      </c>
      <c r="AA568" s="1" t="str">
        <f t="shared" si="52"/>
        <v/>
      </c>
      <c r="AB568" s="1" t="str">
        <f t="shared" si="53"/>
        <v/>
      </c>
    </row>
    <row r="569" spans="1:28" x14ac:dyDescent="0.2">
      <c r="A569" t="str">
        <f>IF(COUNTBLANK(B569:AD569)&lt;&gt;COLUMNS(B569:AD569),568,"")</f>
        <v/>
      </c>
      <c r="I569" s="1" t="str">
        <f t="shared" si="48"/>
        <v/>
      </c>
      <c r="J569" s="1" t="str">
        <f t="shared" si="49"/>
        <v/>
      </c>
      <c r="T569" s="1" t="str">
        <f t="shared" si="50"/>
        <v/>
      </c>
      <c r="W569" s="1" t="str">
        <f t="shared" si="51"/>
        <v/>
      </c>
      <c r="AA569" s="1" t="str">
        <f t="shared" si="52"/>
        <v/>
      </c>
      <c r="AB569" s="1" t="str">
        <f t="shared" si="53"/>
        <v/>
      </c>
    </row>
    <row r="570" spans="1:28" x14ac:dyDescent="0.2">
      <c r="A570" t="str">
        <f>IF(COUNTBLANK(B570:AD570)&lt;&gt;COLUMNS(B570:AD570),569,"")</f>
        <v/>
      </c>
      <c r="I570" s="1" t="str">
        <f t="shared" si="48"/>
        <v/>
      </c>
      <c r="J570" s="1" t="str">
        <f t="shared" si="49"/>
        <v/>
      </c>
      <c r="T570" s="1" t="str">
        <f t="shared" si="50"/>
        <v/>
      </c>
      <c r="W570" s="1" t="str">
        <f t="shared" si="51"/>
        <v/>
      </c>
      <c r="AA570" s="1" t="str">
        <f t="shared" si="52"/>
        <v/>
      </c>
      <c r="AB570" s="1" t="str">
        <f t="shared" si="53"/>
        <v/>
      </c>
    </row>
    <row r="571" spans="1:28" x14ac:dyDescent="0.2">
      <c r="A571" t="str">
        <f>IF(COUNTBLANK(B571:AD571)&lt;&gt;COLUMNS(B571:AD571),570,"")</f>
        <v/>
      </c>
      <c r="I571" s="1" t="str">
        <f t="shared" si="48"/>
        <v/>
      </c>
      <c r="J571" s="1" t="str">
        <f t="shared" si="49"/>
        <v/>
      </c>
      <c r="T571" s="1" t="str">
        <f t="shared" si="50"/>
        <v/>
      </c>
      <c r="W571" s="1" t="str">
        <f t="shared" si="51"/>
        <v/>
      </c>
      <c r="AA571" s="1" t="str">
        <f t="shared" si="52"/>
        <v/>
      </c>
      <c r="AB571" s="1" t="str">
        <f t="shared" si="53"/>
        <v/>
      </c>
    </row>
    <row r="572" spans="1:28" x14ac:dyDescent="0.2">
      <c r="A572" t="str">
        <f>IF(COUNTBLANK(B572:AD572)&lt;&gt;COLUMNS(B572:AD572),571,"")</f>
        <v/>
      </c>
      <c r="I572" s="1" t="str">
        <f t="shared" si="48"/>
        <v/>
      </c>
      <c r="J572" s="1" t="str">
        <f t="shared" si="49"/>
        <v/>
      </c>
      <c r="T572" s="1" t="str">
        <f t="shared" si="50"/>
        <v/>
      </c>
      <c r="W572" s="1" t="str">
        <f t="shared" si="51"/>
        <v/>
      </c>
      <c r="AA572" s="1" t="str">
        <f t="shared" si="52"/>
        <v/>
      </c>
      <c r="AB572" s="1" t="str">
        <f t="shared" si="53"/>
        <v/>
      </c>
    </row>
    <row r="573" spans="1:28" x14ac:dyDescent="0.2">
      <c r="A573" t="str">
        <f>IF(COUNTBLANK(B573:AD573)&lt;&gt;COLUMNS(B573:AD573),572,"")</f>
        <v/>
      </c>
      <c r="I573" s="1" t="str">
        <f t="shared" si="48"/>
        <v/>
      </c>
      <c r="J573" s="1" t="str">
        <f t="shared" si="49"/>
        <v/>
      </c>
      <c r="T573" s="1" t="str">
        <f t="shared" si="50"/>
        <v/>
      </c>
      <c r="W573" s="1" t="str">
        <f t="shared" si="51"/>
        <v/>
      </c>
      <c r="AA573" s="1" t="str">
        <f t="shared" si="52"/>
        <v/>
      </c>
      <c r="AB573" s="1" t="str">
        <f t="shared" si="53"/>
        <v/>
      </c>
    </row>
    <row r="574" spans="1:28" x14ac:dyDescent="0.2">
      <c r="A574" t="str">
        <f>IF(COUNTBLANK(B574:AD574)&lt;&gt;COLUMNS(B574:AD574),573,"")</f>
        <v/>
      </c>
      <c r="I574" s="1" t="str">
        <f t="shared" si="48"/>
        <v/>
      </c>
      <c r="J574" s="1" t="str">
        <f t="shared" si="49"/>
        <v/>
      </c>
      <c r="T574" s="1" t="str">
        <f t="shared" si="50"/>
        <v/>
      </c>
      <c r="W574" s="1" t="str">
        <f t="shared" si="51"/>
        <v/>
      </c>
      <c r="AA574" s="1" t="str">
        <f t="shared" si="52"/>
        <v/>
      </c>
      <c r="AB574" s="1" t="str">
        <f t="shared" si="53"/>
        <v/>
      </c>
    </row>
    <row r="575" spans="1:28" x14ac:dyDescent="0.2">
      <c r="A575" t="str">
        <f>IF(COUNTBLANK(B575:AD575)&lt;&gt;COLUMNS(B575:AD575),574,"")</f>
        <v/>
      </c>
      <c r="I575" s="1" t="str">
        <f t="shared" si="48"/>
        <v/>
      </c>
      <c r="J575" s="1" t="str">
        <f t="shared" si="49"/>
        <v/>
      </c>
      <c r="T575" s="1" t="str">
        <f t="shared" si="50"/>
        <v/>
      </c>
      <c r="W575" s="1" t="str">
        <f t="shared" si="51"/>
        <v/>
      </c>
      <c r="AA575" s="1" t="str">
        <f t="shared" si="52"/>
        <v/>
      </c>
      <c r="AB575" s="1" t="str">
        <f t="shared" si="53"/>
        <v/>
      </c>
    </row>
    <row r="576" spans="1:28" x14ac:dyDescent="0.2">
      <c r="A576" t="str">
        <f>IF(COUNTBLANK(B576:AD576)&lt;&gt;COLUMNS(B576:AD576),575,"")</f>
        <v/>
      </c>
      <c r="I576" s="1" t="str">
        <f t="shared" si="48"/>
        <v/>
      </c>
      <c r="J576" s="1" t="str">
        <f t="shared" si="49"/>
        <v/>
      </c>
      <c r="T576" s="1" t="str">
        <f t="shared" si="50"/>
        <v/>
      </c>
      <c r="W576" s="1" t="str">
        <f t="shared" si="51"/>
        <v/>
      </c>
      <c r="AA576" s="1" t="str">
        <f t="shared" si="52"/>
        <v/>
      </c>
      <c r="AB576" s="1" t="str">
        <f t="shared" si="53"/>
        <v/>
      </c>
    </row>
    <row r="577" spans="1:28" x14ac:dyDescent="0.2">
      <c r="A577" t="str">
        <f>IF(COUNTBLANK(B577:AD577)&lt;&gt;COLUMNS(B577:AD577),576,"")</f>
        <v/>
      </c>
      <c r="I577" s="1" t="str">
        <f t="shared" si="48"/>
        <v/>
      </c>
      <c r="J577" s="1" t="str">
        <f t="shared" si="49"/>
        <v/>
      </c>
      <c r="T577" s="1" t="str">
        <f t="shared" si="50"/>
        <v/>
      </c>
      <c r="W577" s="1" t="str">
        <f t="shared" si="51"/>
        <v/>
      </c>
      <c r="AA577" s="1" t="str">
        <f t="shared" si="52"/>
        <v/>
      </c>
      <c r="AB577" s="1" t="str">
        <f t="shared" si="53"/>
        <v/>
      </c>
    </row>
    <row r="578" spans="1:28" x14ac:dyDescent="0.2">
      <c r="A578" t="str">
        <f>IF(COUNTBLANK(B578:AD578)&lt;&gt;COLUMNS(B578:AD578),577,"")</f>
        <v/>
      </c>
      <c r="I578" s="1" t="str">
        <f t="shared" ref="I578:I641" si="54">IF(B578="", "", "meters")</f>
        <v/>
      </c>
      <c r="J578" s="1" t="str">
        <f t="shared" ref="J578:J641" si="55">IF(B578="", "", "free-living")</f>
        <v/>
      </c>
      <c r="T578" s="1" t="str">
        <f t="shared" ref="T578:T641" si="56">IF(B578="", "", "Decimal degrees")</f>
        <v/>
      </c>
      <c r="W578" s="1" t="str">
        <f t="shared" ref="W578:W641" si="57">IF(B578="", "", "Decimal degrees")</f>
        <v/>
      </c>
      <c r="AA578" s="1" t="str">
        <f t="shared" ref="AA578:AA641" si="58">IF(B578="", "", "metagenome")</f>
        <v/>
      </c>
      <c r="AB578" s="1" t="str">
        <f t="shared" ref="AB578:AB641" si="59">IF(B578="", "", "256318")</f>
        <v/>
      </c>
    </row>
    <row r="579" spans="1:28" x14ac:dyDescent="0.2">
      <c r="A579" t="str">
        <f>IF(COUNTBLANK(B579:AD579)&lt;&gt;COLUMNS(B579:AD579),578,"")</f>
        <v/>
      </c>
      <c r="I579" s="1" t="str">
        <f t="shared" si="54"/>
        <v/>
      </c>
      <c r="J579" s="1" t="str">
        <f t="shared" si="55"/>
        <v/>
      </c>
      <c r="T579" s="1" t="str">
        <f t="shared" si="56"/>
        <v/>
      </c>
      <c r="W579" s="1" t="str">
        <f t="shared" si="57"/>
        <v/>
      </c>
      <c r="AA579" s="1" t="str">
        <f t="shared" si="58"/>
        <v/>
      </c>
      <c r="AB579" s="1" t="str">
        <f t="shared" si="59"/>
        <v/>
      </c>
    </row>
    <row r="580" spans="1:28" x14ac:dyDescent="0.2">
      <c r="A580" t="str">
        <f>IF(COUNTBLANK(B580:AD580)&lt;&gt;COLUMNS(B580:AD580),579,"")</f>
        <v/>
      </c>
      <c r="I580" s="1" t="str">
        <f t="shared" si="54"/>
        <v/>
      </c>
      <c r="J580" s="1" t="str">
        <f t="shared" si="55"/>
        <v/>
      </c>
      <c r="T580" s="1" t="str">
        <f t="shared" si="56"/>
        <v/>
      </c>
      <c r="W580" s="1" t="str">
        <f t="shared" si="57"/>
        <v/>
      </c>
      <c r="AA580" s="1" t="str">
        <f t="shared" si="58"/>
        <v/>
      </c>
      <c r="AB580" s="1" t="str">
        <f t="shared" si="59"/>
        <v/>
      </c>
    </row>
    <row r="581" spans="1:28" x14ac:dyDescent="0.2">
      <c r="A581" t="str">
        <f>IF(COUNTBLANK(B581:AD581)&lt;&gt;COLUMNS(B581:AD581),580,"")</f>
        <v/>
      </c>
      <c r="I581" s="1" t="str">
        <f t="shared" si="54"/>
        <v/>
      </c>
      <c r="J581" s="1" t="str">
        <f t="shared" si="55"/>
        <v/>
      </c>
      <c r="T581" s="1" t="str">
        <f t="shared" si="56"/>
        <v/>
      </c>
      <c r="W581" s="1" t="str">
        <f t="shared" si="57"/>
        <v/>
      </c>
      <c r="AA581" s="1" t="str">
        <f t="shared" si="58"/>
        <v/>
      </c>
      <c r="AB581" s="1" t="str">
        <f t="shared" si="59"/>
        <v/>
      </c>
    </row>
    <row r="582" spans="1:28" x14ac:dyDescent="0.2">
      <c r="A582" t="str">
        <f>IF(COUNTBLANK(B582:AD582)&lt;&gt;COLUMNS(B582:AD582),581,"")</f>
        <v/>
      </c>
      <c r="I582" s="1" t="str">
        <f t="shared" si="54"/>
        <v/>
      </c>
      <c r="J582" s="1" t="str">
        <f t="shared" si="55"/>
        <v/>
      </c>
      <c r="T582" s="1" t="str">
        <f t="shared" si="56"/>
        <v/>
      </c>
      <c r="W582" s="1" t="str">
        <f t="shared" si="57"/>
        <v/>
      </c>
      <c r="AA582" s="1" t="str">
        <f t="shared" si="58"/>
        <v/>
      </c>
      <c r="AB582" s="1" t="str">
        <f t="shared" si="59"/>
        <v/>
      </c>
    </row>
    <row r="583" spans="1:28" x14ac:dyDescent="0.2">
      <c r="A583" t="str">
        <f>IF(COUNTBLANK(B583:AD583)&lt;&gt;COLUMNS(B583:AD583),582,"")</f>
        <v/>
      </c>
      <c r="I583" s="1" t="str">
        <f t="shared" si="54"/>
        <v/>
      </c>
      <c r="J583" s="1" t="str">
        <f t="shared" si="55"/>
        <v/>
      </c>
      <c r="T583" s="1" t="str">
        <f t="shared" si="56"/>
        <v/>
      </c>
      <c r="W583" s="1" t="str">
        <f t="shared" si="57"/>
        <v/>
      </c>
      <c r="AA583" s="1" t="str">
        <f t="shared" si="58"/>
        <v/>
      </c>
      <c r="AB583" s="1" t="str">
        <f t="shared" si="59"/>
        <v/>
      </c>
    </row>
    <row r="584" spans="1:28" x14ac:dyDescent="0.2">
      <c r="A584" t="str">
        <f>IF(COUNTBLANK(B584:AD584)&lt;&gt;COLUMNS(B584:AD584),583,"")</f>
        <v/>
      </c>
      <c r="I584" s="1" t="str">
        <f t="shared" si="54"/>
        <v/>
      </c>
      <c r="J584" s="1" t="str">
        <f t="shared" si="55"/>
        <v/>
      </c>
      <c r="T584" s="1" t="str">
        <f t="shared" si="56"/>
        <v/>
      </c>
      <c r="W584" s="1" t="str">
        <f t="shared" si="57"/>
        <v/>
      </c>
      <c r="AA584" s="1" t="str">
        <f t="shared" si="58"/>
        <v/>
      </c>
      <c r="AB584" s="1" t="str">
        <f t="shared" si="59"/>
        <v/>
      </c>
    </row>
    <row r="585" spans="1:28" x14ac:dyDescent="0.2">
      <c r="A585" t="str">
        <f>IF(COUNTBLANK(B585:AD585)&lt;&gt;COLUMNS(B585:AD585),584,"")</f>
        <v/>
      </c>
      <c r="I585" s="1" t="str">
        <f t="shared" si="54"/>
        <v/>
      </c>
      <c r="J585" s="1" t="str">
        <f t="shared" si="55"/>
        <v/>
      </c>
      <c r="T585" s="1" t="str">
        <f t="shared" si="56"/>
        <v/>
      </c>
      <c r="W585" s="1" t="str">
        <f t="shared" si="57"/>
        <v/>
      </c>
      <c r="AA585" s="1" t="str">
        <f t="shared" si="58"/>
        <v/>
      </c>
      <c r="AB585" s="1" t="str">
        <f t="shared" si="59"/>
        <v/>
      </c>
    </row>
    <row r="586" spans="1:28" x14ac:dyDescent="0.2">
      <c r="A586" t="str">
        <f>IF(COUNTBLANK(B586:AD586)&lt;&gt;COLUMNS(B586:AD586),585,"")</f>
        <v/>
      </c>
      <c r="I586" s="1" t="str">
        <f t="shared" si="54"/>
        <v/>
      </c>
      <c r="J586" s="1" t="str">
        <f t="shared" si="55"/>
        <v/>
      </c>
      <c r="T586" s="1" t="str">
        <f t="shared" si="56"/>
        <v/>
      </c>
      <c r="W586" s="1" t="str">
        <f t="shared" si="57"/>
        <v/>
      </c>
      <c r="AA586" s="1" t="str">
        <f t="shared" si="58"/>
        <v/>
      </c>
      <c r="AB586" s="1" t="str">
        <f t="shared" si="59"/>
        <v/>
      </c>
    </row>
    <row r="587" spans="1:28" x14ac:dyDescent="0.2">
      <c r="A587" t="str">
        <f>IF(COUNTBLANK(B587:AD587)&lt;&gt;COLUMNS(B587:AD587),586,"")</f>
        <v/>
      </c>
      <c r="I587" s="1" t="str">
        <f t="shared" si="54"/>
        <v/>
      </c>
      <c r="J587" s="1" t="str">
        <f t="shared" si="55"/>
        <v/>
      </c>
      <c r="T587" s="1" t="str">
        <f t="shared" si="56"/>
        <v/>
      </c>
      <c r="W587" s="1" t="str">
        <f t="shared" si="57"/>
        <v/>
      </c>
      <c r="AA587" s="1" t="str">
        <f t="shared" si="58"/>
        <v/>
      </c>
      <c r="AB587" s="1" t="str">
        <f t="shared" si="59"/>
        <v/>
      </c>
    </row>
    <row r="588" spans="1:28" x14ac:dyDescent="0.2">
      <c r="A588" t="str">
        <f>IF(COUNTBLANK(B588:AD588)&lt;&gt;COLUMNS(B588:AD588),587,"")</f>
        <v/>
      </c>
      <c r="I588" s="1" t="str">
        <f t="shared" si="54"/>
        <v/>
      </c>
      <c r="J588" s="1" t="str">
        <f t="shared" si="55"/>
        <v/>
      </c>
      <c r="T588" s="1" t="str">
        <f t="shared" si="56"/>
        <v/>
      </c>
      <c r="W588" s="1" t="str">
        <f t="shared" si="57"/>
        <v/>
      </c>
      <c r="AA588" s="1" t="str">
        <f t="shared" si="58"/>
        <v/>
      </c>
      <c r="AB588" s="1" t="str">
        <f t="shared" si="59"/>
        <v/>
      </c>
    </row>
    <row r="589" spans="1:28" x14ac:dyDescent="0.2">
      <c r="A589" t="str">
        <f>IF(COUNTBLANK(B589:AD589)&lt;&gt;COLUMNS(B589:AD589),588,"")</f>
        <v/>
      </c>
      <c r="I589" s="1" t="str">
        <f t="shared" si="54"/>
        <v/>
      </c>
      <c r="J589" s="1" t="str">
        <f t="shared" si="55"/>
        <v/>
      </c>
      <c r="T589" s="1" t="str">
        <f t="shared" si="56"/>
        <v/>
      </c>
      <c r="W589" s="1" t="str">
        <f t="shared" si="57"/>
        <v/>
      </c>
      <c r="AA589" s="1" t="str">
        <f t="shared" si="58"/>
        <v/>
      </c>
      <c r="AB589" s="1" t="str">
        <f t="shared" si="59"/>
        <v/>
      </c>
    </row>
    <row r="590" spans="1:28" x14ac:dyDescent="0.2">
      <c r="A590" t="str">
        <f>IF(COUNTBLANK(B590:AD590)&lt;&gt;COLUMNS(B590:AD590),589,"")</f>
        <v/>
      </c>
      <c r="I590" s="1" t="str">
        <f t="shared" si="54"/>
        <v/>
      </c>
      <c r="J590" s="1" t="str">
        <f t="shared" si="55"/>
        <v/>
      </c>
      <c r="T590" s="1" t="str">
        <f t="shared" si="56"/>
        <v/>
      </c>
      <c r="W590" s="1" t="str">
        <f t="shared" si="57"/>
        <v/>
      </c>
      <c r="AA590" s="1" t="str">
        <f t="shared" si="58"/>
        <v/>
      </c>
      <c r="AB590" s="1" t="str">
        <f t="shared" si="59"/>
        <v/>
      </c>
    </row>
    <row r="591" spans="1:28" x14ac:dyDescent="0.2">
      <c r="A591" t="str">
        <f>IF(COUNTBLANK(B591:AD591)&lt;&gt;COLUMNS(B591:AD591),590,"")</f>
        <v/>
      </c>
      <c r="I591" s="1" t="str">
        <f t="shared" si="54"/>
        <v/>
      </c>
      <c r="J591" s="1" t="str">
        <f t="shared" si="55"/>
        <v/>
      </c>
      <c r="T591" s="1" t="str">
        <f t="shared" si="56"/>
        <v/>
      </c>
      <c r="W591" s="1" t="str">
        <f t="shared" si="57"/>
        <v/>
      </c>
      <c r="AA591" s="1" t="str">
        <f t="shared" si="58"/>
        <v/>
      </c>
      <c r="AB591" s="1" t="str">
        <f t="shared" si="59"/>
        <v/>
      </c>
    </row>
    <row r="592" spans="1:28" x14ac:dyDescent="0.2">
      <c r="A592" t="str">
        <f>IF(COUNTBLANK(B592:AD592)&lt;&gt;COLUMNS(B592:AD592),591,"")</f>
        <v/>
      </c>
      <c r="I592" s="1" t="str">
        <f t="shared" si="54"/>
        <v/>
      </c>
      <c r="J592" s="1" t="str">
        <f t="shared" si="55"/>
        <v/>
      </c>
      <c r="T592" s="1" t="str">
        <f t="shared" si="56"/>
        <v/>
      </c>
      <c r="W592" s="1" t="str">
        <f t="shared" si="57"/>
        <v/>
      </c>
      <c r="AA592" s="1" t="str">
        <f t="shared" si="58"/>
        <v/>
      </c>
      <c r="AB592" s="1" t="str">
        <f t="shared" si="59"/>
        <v/>
      </c>
    </row>
    <row r="593" spans="1:28" x14ac:dyDescent="0.2">
      <c r="A593" t="str">
        <f>IF(COUNTBLANK(B593:AD593)&lt;&gt;COLUMNS(B593:AD593),592,"")</f>
        <v/>
      </c>
      <c r="I593" s="1" t="str">
        <f t="shared" si="54"/>
        <v/>
      </c>
      <c r="J593" s="1" t="str">
        <f t="shared" si="55"/>
        <v/>
      </c>
      <c r="T593" s="1" t="str">
        <f t="shared" si="56"/>
        <v/>
      </c>
      <c r="W593" s="1" t="str">
        <f t="shared" si="57"/>
        <v/>
      </c>
      <c r="AA593" s="1" t="str">
        <f t="shared" si="58"/>
        <v/>
      </c>
      <c r="AB593" s="1" t="str">
        <f t="shared" si="59"/>
        <v/>
      </c>
    </row>
    <row r="594" spans="1:28" x14ac:dyDescent="0.2">
      <c r="A594" t="str">
        <f>IF(COUNTBLANK(B594:AD594)&lt;&gt;COLUMNS(B594:AD594),593,"")</f>
        <v/>
      </c>
      <c r="I594" s="1" t="str">
        <f t="shared" si="54"/>
        <v/>
      </c>
      <c r="J594" s="1" t="str">
        <f t="shared" si="55"/>
        <v/>
      </c>
      <c r="T594" s="1" t="str">
        <f t="shared" si="56"/>
        <v/>
      </c>
      <c r="W594" s="1" t="str">
        <f t="shared" si="57"/>
        <v/>
      </c>
      <c r="AA594" s="1" t="str">
        <f t="shared" si="58"/>
        <v/>
      </c>
      <c r="AB594" s="1" t="str">
        <f t="shared" si="59"/>
        <v/>
      </c>
    </row>
    <row r="595" spans="1:28" x14ac:dyDescent="0.2">
      <c r="A595" t="str">
        <f>IF(COUNTBLANK(B595:AD595)&lt;&gt;COLUMNS(B595:AD595),594,"")</f>
        <v/>
      </c>
      <c r="I595" s="1" t="str">
        <f t="shared" si="54"/>
        <v/>
      </c>
      <c r="J595" s="1" t="str">
        <f t="shared" si="55"/>
        <v/>
      </c>
      <c r="T595" s="1" t="str">
        <f t="shared" si="56"/>
        <v/>
      </c>
      <c r="W595" s="1" t="str">
        <f t="shared" si="57"/>
        <v/>
      </c>
      <c r="AA595" s="1" t="str">
        <f t="shared" si="58"/>
        <v/>
      </c>
      <c r="AB595" s="1" t="str">
        <f t="shared" si="59"/>
        <v/>
      </c>
    </row>
    <row r="596" spans="1:28" x14ac:dyDescent="0.2">
      <c r="A596" t="str">
        <f>IF(COUNTBLANK(B596:AD596)&lt;&gt;COLUMNS(B596:AD596),595,"")</f>
        <v/>
      </c>
      <c r="I596" s="1" t="str">
        <f t="shared" si="54"/>
        <v/>
      </c>
      <c r="J596" s="1" t="str">
        <f t="shared" si="55"/>
        <v/>
      </c>
      <c r="T596" s="1" t="str">
        <f t="shared" si="56"/>
        <v/>
      </c>
      <c r="W596" s="1" t="str">
        <f t="shared" si="57"/>
        <v/>
      </c>
      <c r="AA596" s="1" t="str">
        <f t="shared" si="58"/>
        <v/>
      </c>
      <c r="AB596" s="1" t="str">
        <f t="shared" si="59"/>
        <v/>
      </c>
    </row>
    <row r="597" spans="1:28" x14ac:dyDescent="0.2">
      <c r="A597" t="str">
        <f>IF(COUNTBLANK(B597:AD597)&lt;&gt;COLUMNS(B597:AD597),596,"")</f>
        <v/>
      </c>
      <c r="I597" s="1" t="str">
        <f t="shared" si="54"/>
        <v/>
      </c>
      <c r="J597" s="1" t="str">
        <f t="shared" si="55"/>
        <v/>
      </c>
      <c r="T597" s="1" t="str">
        <f t="shared" si="56"/>
        <v/>
      </c>
      <c r="W597" s="1" t="str">
        <f t="shared" si="57"/>
        <v/>
      </c>
      <c r="AA597" s="1" t="str">
        <f t="shared" si="58"/>
        <v/>
      </c>
      <c r="AB597" s="1" t="str">
        <f t="shared" si="59"/>
        <v/>
      </c>
    </row>
    <row r="598" spans="1:28" x14ac:dyDescent="0.2">
      <c r="A598" t="str">
        <f>IF(COUNTBLANK(B598:AD598)&lt;&gt;COLUMNS(B598:AD598),597,"")</f>
        <v/>
      </c>
      <c r="I598" s="1" t="str">
        <f t="shared" si="54"/>
        <v/>
      </c>
      <c r="J598" s="1" t="str">
        <f t="shared" si="55"/>
        <v/>
      </c>
      <c r="T598" s="1" t="str">
        <f t="shared" si="56"/>
        <v/>
      </c>
      <c r="W598" s="1" t="str">
        <f t="shared" si="57"/>
        <v/>
      </c>
      <c r="AA598" s="1" t="str">
        <f t="shared" si="58"/>
        <v/>
      </c>
      <c r="AB598" s="1" t="str">
        <f t="shared" si="59"/>
        <v/>
      </c>
    </row>
    <row r="599" spans="1:28" x14ac:dyDescent="0.2">
      <c r="A599" t="str">
        <f>IF(COUNTBLANK(B599:AD599)&lt;&gt;COLUMNS(B599:AD599),598,"")</f>
        <v/>
      </c>
      <c r="I599" s="1" t="str">
        <f t="shared" si="54"/>
        <v/>
      </c>
      <c r="J599" s="1" t="str">
        <f t="shared" si="55"/>
        <v/>
      </c>
      <c r="T599" s="1" t="str">
        <f t="shared" si="56"/>
        <v/>
      </c>
      <c r="W599" s="1" t="str">
        <f t="shared" si="57"/>
        <v/>
      </c>
      <c r="AA599" s="1" t="str">
        <f t="shared" si="58"/>
        <v/>
      </c>
      <c r="AB599" s="1" t="str">
        <f t="shared" si="59"/>
        <v/>
      </c>
    </row>
    <row r="600" spans="1:28" x14ac:dyDescent="0.2">
      <c r="A600" t="str">
        <f>IF(COUNTBLANK(B600:AD600)&lt;&gt;COLUMNS(B600:AD600),599,"")</f>
        <v/>
      </c>
      <c r="I600" s="1" t="str">
        <f t="shared" si="54"/>
        <v/>
      </c>
      <c r="J600" s="1" t="str">
        <f t="shared" si="55"/>
        <v/>
      </c>
      <c r="T600" s="1" t="str">
        <f t="shared" si="56"/>
        <v/>
      </c>
      <c r="W600" s="1" t="str">
        <f t="shared" si="57"/>
        <v/>
      </c>
      <c r="AA600" s="1" t="str">
        <f t="shared" si="58"/>
        <v/>
      </c>
      <c r="AB600" s="1" t="str">
        <f t="shared" si="59"/>
        <v/>
      </c>
    </row>
    <row r="601" spans="1:28" x14ac:dyDescent="0.2">
      <c r="A601" t="str">
        <f>IF(COUNTBLANK(B601:AD601)&lt;&gt;COLUMNS(B601:AD601),600,"")</f>
        <v/>
      </c>
      <c r="I601" s="1" t="str">
        <f t="shared" si="54"/>
        <v/>
      </c>
      <c r="J601" s="1" t="str">
        <f t="shared" si="55"/>
        <v/>
      </c>
      <c r="T601" s="1" t="str">
        <f t="shared" si="56"/>
        <v/>
      </c>
      <c r="W601" s="1" t="str">
        <f t="shared" si="57"/>
        <v/>
      </c>
      <c r="AA601" s="1" t="str">
        <f t="shared" si="58"/>
        <v/>
      </c>
      <c r="AB601" s="1" t="str">
        <f t="shared" si="59"/>
        <v/>
      </c>
    </row>
    <row r="602" spans="1:28" x14ac:dyDescent="0.2">
      <c r="A602" t="str">
        <f>IF(COUNTBLANK(B602:AD602)&lt;&gt;COLUMNS(B602:AD602),601,"")</f>
        <v/>
      </c>
      <c r="I602" s="1" t="str">
        <f t="shared" si="54"/>
        <v/>
      </c>
      <c r="J602" s="1" t="str">
        <f t="shared" si="55"/>
        <v/>
      </c>
      <c r="T602" s="1" t="str">
        <f t="shared" si="56"/>
        <v/>
      </c>
      <c r="W602" s="1" t="str">
        <f t="shared" si="57"/>
        <v/>
      </c>
      <c r="AA602" s="1" t="str">
        <f t="shared" si="58"/>
        <v/>
      </c>
      <c r="AB602" s="1" t="str">
        <f t="shared" si="59"/>
        <v/>
      </c>
    </row>
    <row r="603" spans="1:28" x14ac:dyDescent="0.2">
      <c r="A603" t="str">
        <f>IF(COUNTBLANK(B603:AD603)&lt;&gt;COLUMNS(B603:AD603),602,"")</f>
        <v/>
      </c>
      <c r="I603" s="1" t="str">
        <f t="shared" si="54"/>
        <v/>
      </c>
      <c r="J603" s="1" t="str">
        <f t="shared" si="55"/>
        <v/>
      </c>
      <c r="T603" s="1" t="str">
        <f t="shared" si="56"/>
        <v/>
      </c>
      <c r="W603" s="1" t="str">
        <f t="shared" si="57"/>
        <v/>
      </c>
      <c r="AA603" s="1" t="str">
        <f t="shared" si="58"/>
        <v/>
      </c>
      <c r="AB603" s="1" t="str">
        <f t="shared" si="59"/>
        <v/>
      </c>
    </row>
    <row r="604" spans="1:28" x14ac:dyDescent="0.2">
      <c r="A604" t="str">
        <f>IF(COUNTBLANK(B604:AD604)&lt;&gt;COLUMNS(B604:AD604),603,"")</f>
        <v/>
      </c>
      <c r="I604" s="1" t="str">
        <f t="shared" si="54"/>
        <v/>
      </c>
      <c r="J604" s="1" t="str">
        <f t="shared" si="55"/>
        <v/>
      </c>
      <c r="T604" s="1" t="str">
        <f t="shared" si="56"/>
        <v/>
      </c>
      <c r="W604" s="1" t="str">
        <f t="shared" si="57"/>
        <v/>
      </c>
      <c r="AA604" s="1" t="str">
        <f t="shared" si="58"/>
        <v/>
      </c>
      <c r="AB604" s="1" t="str">
        <f t="shared" si="59"/>
        <v/>
      </c>
    </row>
    <row r="605" spans="1:28" x14ac:dyDescent="0.2">
      <c r="A605" t="str">
        <f>IF(COUNTBLANK(B605:AD605)&lt;&gt;COLUMNS(B605:AD605),604,"")</f>
        <v/>
      </c>
      <c r="I605" s="1" t="str">
        <f t="shared" si="54"/>
        <v/>
      </c>
      <c r="J605" s="1" t="str">
        <f t="shared" si="55"/>
        <v/>
      </c>
      <c r="T605" s="1" t="str">
        <f t="shared" si="56"/>
        <v/>
      </c>
      <c r="W605" s="1" t="str">
        <f t="shared" si="57"/>
        <v/>
      </c>
      <c r="AA605" s="1" t="str">
        <f t="shared" si="58"/>
        <v/>
      </c>
      <c r="AB605" s="1" t="str">
        <f t="shared" si="59"/>
        <v/>
      </c>
    </row>
    <row r="606" spans="1:28" x14ac:dyDescent="0.2">
      <c r="A606" t="str">
        <f>IF(COUNTBLANK(B606:AD606)&lt;&gt;COLUMNS(B606:AD606),605,"")</f>
        <v/>
      </c>
      <c r="I606" s="1" t="str">
        <f t="shared" si="54"/>
        <v/>
      </c>
      <c r="J606" s="1" t="str">
        <f t="shared" si="55"/>
        <v/>
      </c>
      <c r="T606" s="1" t="str">
        <f t="shared" si="56"/>
        <v/>
      </c>
      <c r="W606" s="1" t="str">
        <f t="shared" si="57"/>
        <v/>
      </c>
      <c r="AA606" s="1" t="str">
        <f t="shared" si="58"/>
        <v/>
      </c>
      <c r="AB606" s="1" t="str">
        <f t="shared" si="59"/>
        <v/>
      </c>
    </row>
    <row r="607" spans="1:28" x14ac:dyDescent="0.2">
      <c r="A607" t="str">
        <f>IF(COUNTBLANK(B607:AD607)&lt;&gt;COLUMNS(B607:AD607),606,"")</f>
        <v/>
      </c>
      <c r="I607" s="1" t="str">
        <f t="shared" si="54"/>
        <v/>
      </c>
      <c r="J607" s="1" t="str">
        <f t="shared" si="55"/>
        <v/>
      </c>
      <c r="T607" s="1" t="str">
        <f t="shared" si="56"/>
        <v/>
      </c>
      <c r="W607" s="1" t="str">
        <f t="shared" si="57"/>
        <v/>
      </c>
      <c r="AA607" s="1" t="str">
        <f t="shared" si="58"/>
        <v/>
      </c>
      <c r="AB607" s="1" t="str">
        <f t="shared" si="59"/>
        <v/>
      </c>
    </row>
    <row r="608" spans="1:28" x14ac:dyDescent="0.2">
      <c r="A608" t="str">
        <f>IF(COUNTBLANK(B608:AD608)&lt;&gt;COLUMNS(B608:AD608),607,"")</f>
        <v/>
      </c>
      <c r="I608" s="1" t="str">
        <f t="shared" si="54"/>
        <v/>
      </c>
      <c r="J608" s="1" t="str">
        <f t="shared" si="55"/>
        <v/>
      </c>
      <c r="T608" s="1" t="str">
        <f t="shared" si="56"/>
        <v/>
      </c>
      <c r="W608" s="1" t="str">
        <f t="shared" si="57"/>
        <v/>
      </c>
      <c r="AA608" s="1" t="str">
        <f t="shared" si="58"/>
        <v/>
      </c>
      <c r="AB608" s="1" t="str">
        <f t="shared" si="59"/>
        <v/>
      </c>
    </row>
    <row r="609" spans="1:28" x14ac:dyDescent="0.2">
      <c r="A609" t="str">
        <f>IF(COUNTBLANK(B609:AD609)&lt;&gt;COLUMNS(B609:AD609),608,"")</f>
        <v/>
      </c>
      <c r="I609" s="1" t="str">
        <f t="shared" si="54"/>
        <v/>
      </c>
      <c r="J609" s="1" t="str">
        <f t="shared" si="55"/>
        <v/>
      </c>
      <c r="T609" s="1" t="str">
        <f t="shared" si="56"/>
        <v/>
      </c>
      <c r="W609" s="1" t="str">
        <f t="shared" si="57"/>
        <v/>
      </c>
      <c r="AA609" s="1" t="str">
        <f t="shared" si="58"/>
        <v/>
      </c>
      <c r="AB609" s="1" t="str">
        <f t="shared" si="59"/>
        <v/>
      </c>
    </row>
    <row r="610" spans="1:28" x14ac:dyDescent="0.2">
      <c r="A610" t="str">
        <f>IF(COUNTBLANK(B610:AD610)&lt;&gt;COLUMNS(B610:AD610),609,"")</f>
        <v/>
      </c>
      <c r="I610" s="1" t="str">
        <f t="shared" si="54"/>
        <v/>
      </c>
      <c r="J610" s="1" t="str">
        <f t="shared" si="55"/>
        <v/>
      </c>
      <c r="T610" s="1" t="str">
        <f t="shared" si="56"/>
        <v/>
      </c>
      <c r="W610" s="1" t="str">
        <f t="shared" si="57"/>
        <v/>
      </c>
      <c r="AA610" s="1" t="str">
        <f t="shared" si="58"/>
        <v/>
      </c>
      <c r="AB610" s="1" t="str">
        <f t="shared" si="59"/>
        <v/>
      </c>
    </row>
    <row r="611" spans="1:28" x14ac:dyDescent="0.2">
      <c r="A611" t="str">
        <f>IF(COUNTBLANK(B611:AD611)&lt;&gt;COLUMNS(B611:AD611),610,"")</f>
        <v/>
      </c>
      <c r="I611" s="1" t="str">
        <f t="shared" si="54"/>
        <v/>
      </c>
      <c r="J611" s="1" t="str">
        <f t="shared" si="55"/>
        <v/>
      </c>
      <c r="T611" s="1" t="str">
        <f t="shared" si="56"/>
        <v/>
      </c>
      <c r="W611" s="1" t="str">
        <f t="shared" si="57"/>
        <v/>
      </c>
      <c r="AA611" s="1" t="str">
        <f t="shared" si="58"/>
        <v/>
      </c>
      <c r="AB611" s="1" t="str">
        <f t="shared" si="59"/>
        <v/>
      </c>
    </row>
    <row r="612" spans="1:28" x14ac:dyDescent="0.2">
      <c r="A612" t="str">
        <f>IF(COUNTBLANK(B612:AD612)&lt;&gt;COLUMNS(B612:AD612),611,"")</f>
        <v/>
      </c>
      <c r="I612" s="1" t="str">
        <f t="shared" si="54"/>
        <v/>
      </c>
      <c r="J612" s="1" t="str">
        <f t="shared" si="55"/>
        <v/>
      </c>
      <c r="T612" s="1" t="str">
        <f t="shared" si="56"/>
        <v/>
      </c>
      <c r="W612" s="1" t="str">
        <f t="shared" si="57"/>
        <v/>
      </c>
      <c r="AA612" s="1" t="str">
        <f t="shared" si="58"/>
        <v/>
      </c>
      <c r="AB612" s="1" t="str">
        <f t="shared" si="59"/>
        <v/>
      </c>
    </row>
    <row r="613" spans="1:28" x14ac:dyDescent="0.2">
      <c r="A613" t="str">
        <f>IF(COUNTBLANK(B613:AD613)&lt;&gt;COLUMNS(B613:AD613),612,"")</f>
        <v/>
      </c>
      <c r="I613" s="1" t="str">
        <f t="shared" si="54"/>
        <v/>
      </c>
      <c r="J613" s="1" t="str">
        <f t="shared" si="55"/>
        <v/>
      </c>
      <c r="T613" s="1" t="str">
        <f t="shared" si="56"/>
        <v/>
      </c>
      <c r="W613" s="1" t="str">
        <f t="shared" si="57"/>
        <v/>
      </c>
      <c r="AA613" s="1" t="str">
        <f t="shared" si="58"/>
        <v/>
      </c>
      <c r="AB613" s="1" t="str">
        <f t="shared" si="59"/>
        <v/>
      </c>
    </row>
    <row r="614" spans="1:28" x14ac:dyDescent="0.2">
      <c r="A614" t="str">
        <f>IF(COUNTBLANK(B614:AD614)&lt;&gt;COLUMNS(B614:AD614),613,"")</f>
        <v/>
      </c>
      <c r="I614" s="1" t="str">
        <f t="shared" si="54"/>
        <v/>
      </c>
      <c r="J614" s="1" t="str">
        <f t="shared" si="55"/>
        <v/>
      </c>
      <c r="T614" s="1" t="str">
        <f t="shared" si="56"/>
        <v/>
      </c>
      <c r="W614" s="1" t="str">
        <f t="shared" si="57"/>
        <v/>
      </c>
      <c r="AA614" s="1" t="str">
        <f t="shared" si="58"/>
        <v/>
      </c>
      <c r="AB614" s="1" t="str">
        <f t="shared" si="59"/>
        <v/>
      </c>
    </row>
    <row r="615" spans="1:28" x14ac:dyDescent="0.2">
      <c r="A615" t="str">
        <f>IF(COUNTBLANK(B615:AD615)&lt;&gt;COLUMNS(B615:AD615),614,"")</f>
        <v/>
      </c>
      <c r="I615" s="1" t="str">
        <f t="shared" si="54"/>
        <v/>
      </c>
      <c r="J615" s="1" t="str">
        <f t="shared" si="55"/>
        <v/>
      </c>
      <c r="T615" s="1" t="str">
        <f t="shared" si="56"/>
        <v/>
      </c>
      <c r="W615" s="1" t="str">
        <f t="shared" si="57"/>
        <v/>
      </c>
      <c r="AA615" s="1" t="str">
        <f t="shared" si="58"/>
        <v/>
      </c>
      <c r="AB615" s="1" t="str">
        <f t="shared" si="59"/>
        <v/>
      </c>
    </row>
    <row r="616" spans="1:28" x14ac:dyDescent="0.2">
      <c r="A616" t="str">
        <f>IF(COUNTBLANK(B616:AD616)&lt;&gt;COLUMNS(B616:AD616),615,"")</f>
        <v/>
      </c>
      <c r="I616" s="1" t="str">
        <f t="shared" si="54"/>
        <v/>
      </c>
      <c r="J616" s="1" t="str">
        <f t="shared" si="55"/>
        <v/>
      </c>
      <c r="T616" s="1" t="str">
        <f t="shared" si="56"/>
        <v/>
      </c>
      <c r="W616" s="1" t="str">
        <f t="shared" si="57"/>
        <v/>
      </c>
      <c r="AA616" s="1" t="str">
        <f t="shared" si="58"/>
        <v/>
      </c>
      <c r="AB616" s="1" t="str">
        <f t="shared" si="59"/>
        <v/>
      </c>
    </row>
    <row r="617" spans="1:28" x14ac:dyDescent="0.2">
      <c r="A617" t="str">
        <f>IF(COUNTBLANK(B617:AD617)&lt;&gt;COLUMNS(B617:AD617),616,"")</f>
        <v/>
      </c>
      <c r="I617" s="1" t="str">
        <f t="shared" si="54"/>
        <v/>
      </c>
      <c r="J617" s="1" t="str">
        <f t="shared" si="55"/>
        <v/>
      </c>
      <c r="T617" s="1" t="str">
        <f t="shared" si="56"/>
        <v/>
      </c>
      <c r="W617" s="1" t="str">
        <f t="shared" si="57"/>
        <v/>
      </c>
      <c r="AA617" s="1" t="str">
        <f t="shared" si="58"/>
        <v/>
      </c>
      <c r="AB617" s="1" t="str">
        <f t="shared" si="59"/>
        <v/>
      </c>
    </row>
    <row r="618" spans="1:28" x14ac:dyDescent="0.2">
      <c r="A618" t="str">
        <f>IF(COUNTBLANK(B618:AD618)&lt;&gt;COLUMNS(B618:AD618),617,"")</f>
        <v/>
      </c>
      <c r="I618" s="1" t="str">
        <f t="shared" si="54"/>
        <v/>
      </c>
      <c r="J618" s="1" t="str">
        <f t="shared" si="55"/>
        <v/>
      </c>
      <c r="T618" s="1" t="str">
        <f t="shared" si="56"/>
        <v/>
      </c>
      <c r="W618" s="1" t="str">
        <f t="shared" si="57"/>
        <v/>
      </c>
      <c r="AA618" s="1" t="str">
        <f t="shared" si="58"/>
        <v/>
      </c>
      <c r="AB618" s="1" t="str">
        <f t="shared" si="59"/>
        <v/>
      </c>
    </row>
    <row r="619" spans="1:28" x14ac:dyDescent="0.2">
      <c r="A619" t="str">
        <f>IF(COUNTBLANK(B619:AD619)&lt;&gt;COLUMNS(B619:AD619),618,"")</f>
        <v/>
      </c>
      <c r="I619" s="1" t="str">
        <f t="shared" si="54"/>
        <v/>
      </c>
      <c r="J619" s="1" t="str">
        <f t="shared" si="55"/>
        <v/>
      </c>
      <c r="T619" s="1" t="str">
        <f t="shared" si="56"/>
        <v/>
      </c>
      <c r="W619" s="1" t="str">
        <f t="shared" si="57"/>
        <v/>
      </c>
      <c r="AA619" s="1" t="str">
        <f t="shared" si="58"/>
        <v/>
      </c>
      <c r="AB619" s="1" t="str">
        <f t="shared" si="59"/>
        <v/>
      </c>
    </row>
    <row r="620" spans="1:28" x14ac:dyDescent="0.2">
      <c r="A620" t="str">
        <f>IF(COUNTBLANK(B620:AD620)&lt;&gt;COLUMNS(B620:AD620),619,"")</f>
        <v/>
      </c>
      <c r="I620" s="1" t="str">
        <f t="shared" si="54"/>
        <v/>
      </c>
      <c r="J620" s="1" t="str">
        <f t="shared" si="55"/>
        <v/>
      </c>
      <c r="T620" s="1" t="str">
        <f t="shared" si="56"/>
        <v/>
      </c>
      <c r="W620" s="1" t="str">
        <f t="shared" si="57"/>
        <v/>
      </c>
      <c r="AA620" s="1" t="str">
        <f t="shared" si="58"/>
        <v/>
      </c>
      <c r="AB620" s="1" t="str">
        <f t="shared" si="59"/>
        <v/>
      </c>
    </row>
    <row r="621" spans="1:28" x14ac:dyDescent="0.2">
      <c r="A621" t="str">
        <f>IF(COUNTBLANK(B621:AD621)&lt;&gt;COLUMNS(B621:AD621),620,"")</f>
        <v/>
      </c>
      <c r="I621" s="1" t="str">
        <f t="shared" si="54"/>
        <v/>
      </c>
      <c r="J621" s="1" t="str">
        <f t="shared" si="55"/>
        <v/>
      </c>
      <c r="T621" s="1" t="str">
        <f t="shared" si="56"/>
        <v/>
      </c>
      <c r="W621" s="1" t="str">
        <f t="shared" si="57"/>
        <v/>
      </c>
      <c r="AA621" s="1" t="str">
        <f t="shared" si="58"/>
        <v/>
      </c>
      <c r="AB621" s="1" t="str">
        <f t="shared" si="59"/>
        <v/>
      </c>
    </row>
    <row r="622" spans="1:28" x14ac:dyDescent="0.2">
      <c r="A622" t="str">
        <f>IF(COUNTBLANK(B622:AD622)&lt;&gt;COLUMNS(B622:AD622),621,"")</f>
        <v/>
      </c>
      <c r="I622" s="1" t="str">
        <f t="shared" si="54"/>
        <v/>
      </c>
      <c r="J622" s="1" t="str">
        <f t="shared" si="55"/>
        <v/>
      </c>
      <c r="T622" s="1" t="str">
        <f t="shared" si="56"/>
        <v/>
      </c>
      <c r="W622" s="1" t="str">
        <f t="shared" si="57"/>
        <v/>
      </c>
      <c r="AA622" s="1" t="str">
        <f t="shared" si="58"/>
        <v/>
      </c>
      <c r="AB622" s="1" t="str">
        <f t="shared" si="59"/>
        <v/>
      </c>
    </row>
    <row r="623" spans="1:28" x14ac:dyDescent="0.2">
      <c r="A623" t="str">
        <f>IF(COUNTBLANK(B623:AD623)&lt;&gt;COLUMNS(B623:AD623),622,"")</f>
        <v/>
      </c>
      <c r="I623" s="1" t="str">
        <f t="shared" si="54"/>
        <v/>
      </c>
      <c r="J623" s="1" t="str">
        <f t="shared" si="55"/>
        <v/>
      </c>
      <c r="T623" s="1" t="str">
        <f t="shared" si="56"/>
        <v/>
      </c>
      <c r="W623" s="1" t="str">
        <f t="shared" si="57"/>
        <v/>
      </c>
      <c r="AA623" s="1" t="str">
        <f t="shared" si="58"/>
        <v/>
      </c>
      <c r="AB623" s="1" t="str">
        <f t="shared" si="59"/>
        <v/>
      </c>
    </row>
    <row r="624" spans="1:28" x14ac:dyDescent="0.2">
      <c r="A624" t="str">
        <f>IF(COUNTBLANK(B624:AD624)&lt;&gt;COLUMNS(B624:AD624),623,"")</f>
        <v/>
      </c>
      <c r="I624" s="1" t="str">
        <f t="shared" si="54"/>
        <v/>
      </c>
      <c r="J624" s="1" t="str">
        <f t="shared" si="55"/>
        <v/>
      </c>
      <c r="T624" s="1" t="str">
        <f t="shared" si="56"/>
        <v/>
      </c>
      <c r="W624" s="1" t="str">
        <f t="shared" si="57"/>
        <v/>
      </c>
      <c r="AA624" s="1" t="str">
        <f t="shared" si="58"/>
        <v/>
      </c>
      <c r="AB624" s="1" t="str">
        <f t="shared" si="59"/>
        <v/>
      </c>
    </row>
    <row r="625" spans="1:28" x14ac:dyDescent="0.2">
      <c r="A625" t="str">
        <f>IF(COUNTBLANK(B625:AD625)&lt;&gt;COLUMNS(B625:AD625),624,"")</f>
        <v/>
      </c>
      <c r="I625" s="1" t="str">
        <f t="shared" si="54"/>
        <v/>
      </c>
      <c r="J625" s="1" t="str">
        <f t="shared" si="55"/>
        <v/>
      </c>
      <c r="T625" s="1" t="str">
        <f t="shared" si="56"/>
        <v/>
      </c>
      <c r="W625" s="1" t="str">
        <f t="shared" si="57"/>
        <v/>
      </c>
      <c r="AA625" s="1" t="str">
        <f t="shared" si="58"/>
        <v/>
      </c>
      <c r="AB625" s="1" t="str">
        <f t="shared" si="59"/>
        <v/>
      </c>
    </row>
    <row r="626" spans="1:28" x14ac:dyDescent="0.2">
      <c r="A626" t="str">
        <f>IF(COUNTBLANK(B626:AD626)&lt;&gt;COLUMNS(B626:AD626),625,"")</f>
        <v/>
      </c>
      <c r="I626" s="1" t="str">
        <f t="shared" si="54"/>
        <v/>
      </c>
      <c r="J626" s="1" t="str">
        <f t="shared" si="55"/>
        <v/>
      </c>
      <c r="T626" s="1" t="str">
        <f t="shared" si="56"/>
        <v/>
      </c>
      <c r="W626" s="1" t="str">
        <f t="shared" si="57"/>
        <v/>
      </c>
      <c r="AA626" s="1" t="str">
        <f t="shared" si="58"/>
        <v/>
      </c>
      <c r="AB626" s="1" t="str">
        <f t="shared" si="59"/>
        <v/>
      </c>
    </row>
    <row r="627" spans="1:28" x14ac:dyDescent="0.2">
      <c r="A627" t="str">
        <f>IF(COUNTBLANK(B627:AD627)&lt;&gt;COLUMNS(B627:AD627),626,"")</f>
        <v/>
      </c>
      <c r="I627" s="1" t="str">
        <f t="shared" si="54"/>
        <v/>
      </c>
      <c r="J627" s="1" t="str">
        <f t="shared" si="55"/>
        <v/>
      </c>
      <c r="T627" s="1" t="str">
        <f t="shared" si="56"/>
        <v/>
      </c>
      <c r="W627" s="1" t="str">
        <f t="shared" si="57"/>
        <v/>
      </c>
      <c r="AA627" s="1" t="str">
        <f t="shared" si="58"/>
        <v/>
      </c>
      <c r="AB627" s="1" t="str">
        <f t="shared" si="59"/>
        <v/>
      </c>
    </row>
    <row r="628" spans="1:28" x14ac:dyDescent="0.2">
      <c r="A628" t="str">
        <f>IF(COUNTBLANK(B628:AD628)&lt;&gt;COLUMNS(B628:AD628),627,"")</f>
        <v/>
      </c>
      <c r="I628" s="1" t="str">
        <f t="shared" si="54"/>
        <v/>
      </c>
      <c r="J628" s="1" t="str">
        <f t="shared" si="55"/>
        <v/>
      </c>
      <c r="T628" s="1" t="str">
        <f t="shared" si="56"/>
        <v/>
      </c>
      <c r="W628" s="1" t="str">
        <f t="shared" si="57"/>
        <v/>
      </c>
      <c r="AA628" s="1" t="str">
        <f t="shared" si="58"/>
        <v/>
      </c>
      <c r="AB628" s="1" t="str">
        <f t="shared" si="59"/>
        <v/>
      </c>
    </row>
    <row r="629" spans="1:28" x14ac:dyDescent="0.2">
      <c r="A629" t="str">
        <f>IF(COUNTBLANK(B629:AD629)&lt;&gt;COLUMNS(B629:AD629),628,"")</f>
        <v/>
      </c>
      <c r="I629" s="1" t="str">
        <f t="shared" si="54"/>
        <v/>
      </c>
      <c r="J629" s="1" t="str">
        <f t="shared" si="55"/>
        <v/>
      </c>
      <c r="T629" s="1" t="str">
        <f t="shared" si="56"/>
        <v/>
      </c>
      <c r="W629" s="1" t="str">
        <f t="shared" si="57"/>
        <v/>
      </c>
      <c r="AA629" s="1" t="str">
        <f t="shared" si="58"/>
        <v/>
      </c>
      <c r="AB629" s="1" t="str">
        <f t="shared" si="59"/>
        <v/>
      </c>
    </row>
    <row r="630" spans="1:28" x14ac:dyDescent="0.2">
      <c r="A630" t="str">
        <f>IF(COUNTBLANK(B630:AD630)&lt;&gt;COLUMNS(B630:AD630),629,"")</f>
        <v/>
      </c>
      <c r="I630" s="1" t="str">
        <f t="shared" si="54"/>
        <v/>
      </c>
      <c r="J630" s="1" t="str">
        <f t="shared" si="55"/>
        <v/>
      </c>
      <c r="T630" s="1" t="str">
        <f t="shared" si="56"/>
        <v/>
      </c>
      <c r="W630" s="1" t="str">
        <f t="shared" si="57"/>
        <v/>
      </c>
      <c r="AA630" s="1" t="str">
        <f t="shared" si="58"/>
        <v/>
      </c>
      <c r="AB630" s="1" t="str">
        <f t="shared" si="59"/>
        <v/>
      </c>
    </row>
    <row r="631" spans="1:28" x14ac:dyDescent="0.2">
      <c r="A631" t="str">
        <f>IF(COUNTBLANK(B631:AD631)&lt;&gt;COLUMNS(B631:AD631),630,"")</f>
        <v/>
      </c>
      <c r="I631" s="1" t="str">
        <f t="shared" si="54"/>
        <v/>
      </c>
      <c r="J631" s="1" t="str">
        <f t="shared" si="55"/>
        <v/>
      </c>
      <c r="T631" s="1" t="str">
        <f t="shared" si="56"/>
        <v/>
      </c>
      <c r="W631" s="1" t="str">
        <f t="shared" si="57"/>
        <v/>
      </c>
      <c r="AA631" s="1" t="str">
        <f t="shared" si="58"/>
        <v/>
      </c>
      <c r="AB631" s="1" t="str">
        <f t="shared" si="59"/>
        <v/>
      </c>
    </row>
    <row r="632" spans="1:28" x14ac:dyDescent="0.2">
      <c r="A632" t="str">
        <f>IF(COUNTBLANK(B632:AD632)&lt;&gt;COLUMNS(B632:AD632),631,"")</f>
        <v/>
      </c>
      <c r="I632" s="1" t="str">
        <f t="shared" si="54"/>
        <v/>
      </c>
      <c r="J632" s="1" t="str">
        <f t="shared" si="55"/>
        <v/>
      </c>
      <c r="T632" s="1" t="str">
        <f t="shared" si="56"/>
        <v/>
      </c>
      <c r="W632" s="1" t="str">
        <f t="shared" si="57"/>
        <v/>
      </c>
      <c r="AA632" s="1" t="str">
        <f t="shared" si="58"/>
        <v/>
      </c>
      <c r="AB632" s="1" t="str">
        <f t="shared" si="59"/>
        <v/>
      </c>
    </row>
    <row r="633" spans="1:28" x14ac:dyDescent="0.2">
      <c r="A633" t="str">
        <f>IF(COUNTBLANK(B633:AD633)&lt;&gt;COLUMNS(B633:AD633),632,"")</f>
        <v/>
      </c>
      <c r="I633" s="1" t="str">
        <f t="shared" si="54"/>
        <v/>
      </c>
      <c r="J633" s="1" t="str">
        <f t="shared" si="55"/>
        <v/>
      </c>
      <c r="T633" s="1" t="str">
        <f t="shared" si="56"/>
        <v/>
      </c>
      <c r="W633" s="1" t="str">
        <f t="shared" si="57"/>
        <v/>
      </c>
      <c r="AA633" s="1" t="str">
        <f t="shared" si="58"/>
        <v/>
      </c>
      <c r="AB633" s="1" t="str">
        <f t="shared" si="59"/>
        <v/>
      </c>
    </row>
    <row r="634" spans="1:28" x14ac:dyDescent="0.2">
      <c r="A634" t="str">
        <f>IF(COUNTBLANK(B634:AD634)&lt;&gt;COLUMNS(B634:AD634),633,"")</f>
        <v/>
      </c>
      <c r="I634" s="1" t="str">
        <f t="shared" si="54"/>
        <v/>
      </c>
      <c r="J634" s="1" t="str">
        <f t="shared" si="55"/>
        <v/>
      </c>
      <c r="T634" s="1" t="str">
        <f t="shared" si="56"/>
        <v/>
      </c>
      <c r="W634" s="1" t="str">
        <f t="shared" si="57"/>
        <v/>
      </c>
      <c r="AA634" s="1" t="str">
        <f t="shared" si="58"/>
        <v/>
      </c>
      <c r="AB634" s="1" t="str">
        <f t="shared" si="59"/>
        <v/>
      </c>
    </row>
    <row r="635" spans="1:28" x14ac:dyDescent="0.2">
      <c r="A635" t="str">
        <f>IF(COUNTBLANK(B635:AD635)&lt;&gt;COLUMNS(B635:AD635),634,"")</f>
        <v/>
      </c>
      <c r="I635" s="1" t="str">
        <f t="shared" si="54"/>
        <v/>
      </c>
      <c r="J635" s="1" t="str">
        <f t="shared" si="55"/>
        <v/>
      </c>
      <c r="T635" s="1" t="str">
        <f t="shared" si="56"/>
        <v/>
      </c>
      <c r="W635" s="1" t="str">
        <f t="shared" si="57"/>
        <v/>
      </c>
      <c r="AA635" s="1" t="str">
        <f t="shared" si="58"/>
        <v/>
      </c>
      <c r="AB635" s="1" t="str">
        <f t="shared" si="59"/>
        <v/>
      </c>
    </row>
    <row r="636" spans="1:28" x14ac:dyDescent="0.2">
      <c r="A636" t="str">
        <f>IF(COUNTBLANK(B636:AD636)&lt;&gt;COLUMNS(B636:AD636),635,"")</f>
        <v/>
      </c>
      <c r="I636" s="1" t="str">
        <f t="shared" si="54"/>
        <v/>
      </c>
      <c r="J636" s="1" t="str">
        <f t="shared" si="55"/>
        <v/>
      </c>
      <c r="T636" s="1" t="str">
        <f t="shared" si="56"/>
        <v/>
      </c>
      <c r="W636" s="1" t="str">
        <f t="shared" si="57"/>
        <v/>
      </c>
      <c r="AA636" s="1" t="str">
        <f t="shared" si="58"/>
        <v/>
      </c>
      <c r="AB636" s="1" t="str">
        <f t="shared" si="59"/>
        <v/>
      </c>
    </row>
    <row r="637" spans="1:28" x14ac:dyDescent="0.2">
      <c r="A637" t="str">
        <f>IF(COUNTBLANK(B637:AD637)&lt;&gt;COLUMNS(B637:AD637),636,"")</f>
        <v/>
      </c>
      <c r="I637" s="1" t="str">
        <f t="shared" si="54"/>
        <v/>
      </c>
      <c r="J637" s="1" t="str">
        <f t="shared" si="55"/>
        <v/>
      </c>
      <c r="T637" s="1" t="str">
        <f t="shared" si="56"/>
        <v/>
      </c>
      <c r="W637" s="1" t="str">
        <f t="shared" si="57"/>
        <v/>
      </c>
      <c r="AA637" s="1" t="str">
        <f t="shared" si="58"/>
        <v/>
      </c>
      <c r="AB637" s="1" t="str">
        <f t="shared" si="59"/>
        <v/>
      </c>
    </row>
    <row r="638" spans="1:28" x14ac:dyDescent="0.2">
      <c r="A638" t="str">
        <f>IF(COUNTBLANK(B638:AD638)&lt;&gt;COLUMNS(B638:AD638),637,"")</f>
        <v/>
      </c>
      <c r="I638" s="1" t="str">
        <f t="shared" si="54"/>
        <v/>
      </c>
      <c r="J638" s="1" t="str">
        <f t="shared" si="55"/>
        <v/>
      </c>
      <c r="T638" s="1" t="str">
        <f t="shared" si="56"/>
        <v/>
      </c>
      <c r="W638" s="1" t="str">
        <f t="shared" si="57"/>
        <v/>
      </c>
      <c r="AA638" s="1" t="str">
        <f t="shared" si="58"/>
        <v/>
      </c>
      <c r="AB638" s="1" t="str">
        <f t="shared" si="59"/>
        <v/>
      </c>
    </row>
    <row r="639" spans="1:28" x14ac:dyDescent="0.2">
      <c r="A639" t="str">
        <f>IF(COUNTBLANK(B639:AD639)&lt;&gt;COLUMNS(B639:AD639),638,"")</f>
        <v/>
      </c>
      <c r="I639" s="1" t="str">
        <f t="shared" si="54"/>
        <v/>
      </c>
      <c r="J639" s="1" t="str">
        <f t="shared" si="55"/>
        <v/>
      </c>
      <c r="T639" s="1" t="str">
        <f t="shared" si="56"/>
        <v/>
      </c>
      <c r="W639" s="1" t="str">
        <f t="shared" si="57"/>
        <v/>
      </c>
      <c r="AA639" s="1" t="str">
        <f t="shared" si="58"/>
        <v/>
      </c>
      <c r="AB639" s="1" t="str">
        <f t="shared" si="59"/>
        <v/>
      </c>
    </row>
    <row r="640" spans="1:28" x14ac:dyDescent="0.2">
      <c r="A640" t="str">
        <f>IF(COUNTBLANK(B640:AD640)&lt;&gt;COLUMNS(B640:AD640),639,"")</f>
        <v/>
      </c>
      <c r="I640" s="1" t="str">
        <f t="shared" si="54"/>
        <v/>
      </c>
      <c r="J640" s="1" t="str">
        <f t="shared" si="55"/>
        <v/>
      </c>
      <c r="T640" s="1" t="str">
        <f t="shared" si="56"/>
        <v/>
      </c>
      <c r="W640" s="1" t="str">
        <f t="shared" si="57"/>
        <v/>
      </c>
      <c r="AA640" s="1" t="str">
        <f t="shared" si="58"/>
        <v/>
      </c>
      <c r="AB640" s="1" t="str">
        <f t="shared" si="59"/>
        <v/>
      </c>
    </row>
    <row r="641" spans="1:28" x14ac:dyDescent="0.2">
      <c r="A641" t="str">
        <f>IF(COUNTBLANK(B641:AD641)&lt;&gt;COLUMNS(B641:AD641),640,"")</f>
        <v/>
      </c>
      <c r="I641" s="1" t="str">
        <f t="shared" si="54"/>
        <v/>
      </c>
      <c r="J641" s="1" t="str">
        <f t="shared" si="55"/>
        <v/>
      </c>
      <c r="T641" s="1" t="str">
        <f t="shared" si="56"/>
        <v/>
      </c>
      <c r="W641" s="1" t="str">
        <f t="shared" si="57"/>
        <v/>
      </c>
      <c r="AA641" s="1" t="str">
        <f t="shared" si="58"/>
        <v/>
      </c>
      <c r="AB641" s="1" t="str">
        <f t="shared" si="59"/>
        <v/>
      </c>
    </row>
    <row r="642" spans="1:28" x14ac:dyDescent="0.2">
      <c r="A642" t="str">
        <f>IF(COUNTBLANK(B642:AD642)&lt;&gt;COLUMNS(B642:AD642),641,"")</f>
        <v/>
      </c>
      <c r="I642" s="1" t="str">
        <f t="shared" ref="I642:I705" si="60">IF(B642="", "", "meters")</f>
        <v/>
      </c>
      <c r="J642" s="1" t="str">
        <f t="shared" ref="J642:J705" si="61">IF(B642="", "", "free-living")</f>
        <v/>
      </c>
      <c r="T642" s="1" t="str">
        <f t="shared" ref="T642:T705" si="62">IF(B642="", "", "Decimal degrees")</f>
        <v/>
      </c>
      <c r="W642" s="1" t="str">
        <f t="shared" ref="W642:W705" si="63">IF(B642="", "", "Decimal degrees")</f>
        <v/>
      </c>
      <c r="AA642" s="1" t="str">
        <f t="shared" ref="AA642:AA705" si="64">IF(B642="", "", "metagenome")</f>
        <v/>
      </c>
      <c r="AB642" s="1" t="str">
        <f t="shared" ref="AB642:AB705" si="65">IF(B642="", "", "256318")</f>
        <v/>
      </c>
    </row>
    <row r="643" spans="1:28" x14ac:dyDescent="0.2">
      <c r="A643" t="str">
        <f>IF(COUNTBLANK(B643:AD643)&lt;&gt;COLUMNS(B643:AD643),642,"")</f>
        <v/>
      </c>
      <c r="I643" s="1" t="str">
        <f t="shared" si="60"/>
        <v/>
      </c>
      <c r="J643" s="1" t="str">
        <f t="shared" si="61"/>
        <v/>
      </c>
      <c r="T643" s="1" t="str">
        <f t="shared" si="62"/>
        <v/>
      </c>
      <c r="W643" s="1" t="str">
        <f t="shared" si="63"/>
        <v/>
      </c>
      <c r="AA643" s="1" t="str">
        <f t="shared" si="64"/>
        <v/>
      </c>
      <c r="AB643" s="1" t="str">
        <f t="shared" si="65"/>
        <v/>
      </c>
    </row>
    <row r="644" spans="1:28" x14ac:dyDescent="0.2">
      <c r="A644" t="str">
        <f>IF(COUNTBLANK(B644:AD644)&lt;&gt;COLUMNS(B644:AD644),643,"")</f>
        <v/>
      </c>
      <c r="I644" s="1" t="str">
        <f t="shared" si="60"/>
        <v/>
      </c>
      <c r="J644" s="1" t="str">
        <f t="shared" si="61"/>
        <v/>
      </c>
      <c r="T644" s="1" t="str">
        <f t="shared" si="62"/>
        <v/>
      </c>
      <c r="W644" s="1" t="str">
        <f t="shared" si="63"/>
        <v/>
      </c>
      <c r="AA644" s="1" t="str">
        <f t="shared" si="64"/>
        <v/>
      </c>
      <c r="AB644" s="1" t="str">
        <f t="shared" si="65"/>
        <v/>
      </c>
    </row>
    <row r="645" spans="1:28" x14ac:dyDescent="0.2">
      <c r="A645" t="str">
        <f>IF(COUNTBLANK(B645:AD645)&lt;&gt;COLUMNS(B645:AD645),644,"")</f>
        <v/>
      </c>
      <c r="I645" s="1" t="str">
        <f t="shared" si="60"/>
        <v/>
      </c>
      <c r="J645" s="1" t="str">
        <f t="shared" si="61"/>
        <v/>
      </c>
      <c r="T645" s="1" t="str">
        <f t="shared" si="62"/>
        <v/>
      </c>
      <c r="W645" s="1" t="str">
        <f t="shared" si="63"/>
        <v/>
      </c>
      <c r="AA645" s="1" t="str">
        <f t="shared" si="64"/>
        <v/>
      </c>
      <c r="AB645" s="1" t="str">
        <f t="shared" si="65"/>
        <v/>
      </c>
    </row>
    <row r="646" spans="1:28" x14ac:dyDescent="0.2">
      <c r="A646" t="str">
        <f>IF(COUNTBLANK(B646:AD646)&lt;&gt;COLUMNS(B646:AD646),645,"")</f>
        <v/>
      </c>
      <c r="I646" s="1" t="str">
        <f t="shared" si="60"/>
        <v/>
      </c>
      <c r="J646" s="1" t="str">
        <f t="shared" si="61"/>
        <v/>
      </c>
      <c r="T646" s="1" t="str">
        <f t="shared" si="62"/>
        <v/>
      </c>
      <c r="W646" s="1" t="str">
        <f t="shared" si="63"/>
        <v/>
      </c>
      <c r="AA646" s="1" t="str">
        <f t="shared" si="64"/>
        <v/>
      </c>
      <c r="AB646" s="1" t="str">
        <f t="shared" si="65"/>
        <v/>
      </c>
    </row>
    <row r="647" spans="1:28" x14ac:dyDescent="0.2">
      <c r="A647" t="str">
        <f>IF(COUNTBLANK(B647:AD647)&lt;&gt;COLUMNS(B647:AD647),646,"")</f>
        <v/>
      </c>
      <c r="I647" s="1" t="str">
        <f t="shared" si="60"/>
        <v/>
      </c>
      <c r="J647" s="1" t="str">
        <f t="shared" si="61"/>
        <v/>
      </c>
      <c r="T647" s="1" t="str">
        <f t="shared" si="62"/>
        <v/>
      </c>
      <c r="W647" s="1" t="str">
        <f t="shared" si="63"/>
        <v/>
      </c>
      <c r="AA647" s="1" t="str">
        <f t="shared" si="64"/>
        <v/>
      </c>
      <c r="AB647" s="1" t="str">
        <f t="shared" si="65"/>
        <v/>
      </c>
    </row>
    <row r="648" spans="1:28" x14ac:dyDescent="0.2">
      <c r="A648" t="str">
        <f>IF(COUNTBLANK(B648:AD648)&lt;&gt;COLUMNS(B648:AD648),647,"")</f>
        <v/>
      </c>
      <c r="I648" s="1" t="str">
        <f t="shared" si="60"/>
        <v/>
      </c>
      <c r="J648" s="1" t="str">
        <f t="shared" si="61"/>
        <v/>
      </c>
      <c r="T648" s="1" t="str">
        <f t="shared" si="62"/>
        <v/>
      </c>
      <c r="W648" s="1" t="str">
        <f t="shared" si="63"/>
        <v/>
      </c>
      <c r="AA648" s="1" t="str">
        <f t="shared" si="64"/>
        <v/>
      </c>
      <c r="AB648" s="1" t="str">
        <f t="shared" si="65"/>
        <v/>
      </c>
    </row>
    <row r="649" spans="1:28" x14ac:dyDescent="0.2">
      <c r="A649" t="str">
        <f>IF(COUNTBLANK(B649:AD649)&lt;&gt;COLUMNS(B649:AD649),648,"")</f>
        <v/>
      </c>
      <c r="I649" s="1" t="str">
        <f t="shared" si="60"/>
        <v/>
      </c>
      <c r="J649" s="1" t="str">
        <f t="shared" si="61"/>
        <v/>
      </c>
      <c r="T649" s="1" t="str">
        <f t="shared" si="62"/>
        <v/>
      </c>
      <c r="W649" s="1" t="str">
        <f t="shared" si="63"/>
        <v/>
      </c>
      <c r="AA649" s="1" t="str">
        <f t="shared" si="64"/>
        <v/>
      </c>
      <c r="AB649" s="1" t="str">
        <f t="shared" si="65"/>
        <v/>
      </c>
    </row>
    <row r="650" spans="1:28" x14ac:dyDescent="0.2">
      <c r="A650" t="str">
        <f>IF(COUNTBLANK(B650:AD650)&lt;&gt;COLUMNS(B650:AD650),649,"")</f>
        <v/>
      </c>
      <c r="I650" s="1" t="str">
        <f t="shared" si="60"/>
        <v/>
      </c>
      <c r="J650" s="1" t="str">
        <f t="shared" si="61"/>
        <v/>
      </c>
      <c r="T650" s="1" t="str">
        <f t="shared" si="62"/>
        <v/>
      </c>
      <c r="W650" s="1" t="str">
        <f t="shared" si="63"/>
        <v/>
      </c>
      <c r="AA650" s="1" t="str">
        <f t="shared" si="64"/>
        <v/>
      </c>
      <c r="AB650" s="1" t="str">
        <f t="shared" si="65"/>
        <v/>
      </c>
    </row>
    <row r="651" spans="1:28" x14ac:dyDescent="0.2">
      <c r="A651" t="str">
        <f>IF(COUNTBLANK(B651:AD651)&lt;&gt;COLUMNS(B651:AD651),650,"")</f>
        <v/>
      </c>
      <c r="I651" s="1" t="str">
        <f t="shared" si="60"/>
        <v/>
      </c>
      <c r="J651" s="1" t="str">
        <f t="shared" si="61"/>
        <v/>
      </c>
      <c r="T651" s="1" t="str">
        <f t="shared" si="62"/>
        <v/>
      </c>
      <c r="W651" s="1" t="str">
        <f t="shared" si="63"/>
        <v/>
      </c>
      <c r="AA651" s="1" t="str">
        <f t="shared" si="64"/>
        <v/>
      </c>
      <c r="AB651" s="1" t="str">
        <f t="shared" si="65"/>
        <v/>
      </c>
    </row>
    <row r="652" spans="1:28" x14ac:dyDescent="0.2">
      <c r="A652" t="str">
        <f>IF(COUNTBLANK(B652:AD652)&lt;&gt;COLUMNS(B652:AD652),651,"")</f>
        <v/>
      </c>
      <c r="I652" s="1" t="str">
        <f t="shared" si="60"/>
        <v/>
      </c>
      <c r="J652" s="1" t="str">
        <f t="shared" si="61"/>
        <v/>
      </c>
      <c r="T652" s="1" t="str">
        <f t="shared" si="62"/>
        <v/>
      </c>
      <c r="W652" s="1" t="str">
        <f t="shared" si="63"/>
        <v/>
      </c>
      <c r="AA652" s="1" t="str">
        <f t="shared" si="64"/>
        <v/>
      </c>
      <c r="AB652" s="1" t="str">
        <f t="shared" si="65"/>
        <v/>
      </c>
    </row>
    <row r="653" spans="1:28" x14ac:dyDescent="0.2">
      <c r="A653" t="str">
        <f>IF(COUNTBLANK(B653:AD653)&lt;&gt;COLUMNS(B653:AD653),652,"")</f>
        <v/>
      </c>
      <c r="I653" s="1" t="str">
        <f t="shared" si="60"/>
        <v/>
      </c>
      <c r="J653" s="1" t="str">
        <f t="shared" si="61"/>
        <v/>
      </c>
      <c r="T653" s="1" t="str">
        <f t="shared" si="62"/>
        <v/>
      </c>
      <c r="W653" s="1" t="str">
        <f t="shared" si="63"/>
        <v/>
      </c>
      <c r="AA653" s="1" t="str">
        <f t="shared" si="64"/>
        <v/>
      </c>
      <c r="AB653" s="1" t="str">
        <f t="shared" si="65"/>
        <v/>
      </c>
    </row>
    <row r="654" spans="1:28" x14ac:dyDescent="0.2">
      <c r="A654" t="str">
        <f>IF(COUNTBLANK(B654:AD654)&lt;&gt;COLUMNS(B654:AD654),653,"")</f>
        <v/>
      </c>
      <c r="I654" s="1" t="str">
        <f t="shared" si="60"/>
        <v/>
      </c>
      <c r="J654" s="1" t="str">
        <f t="shared" si="61"/>
        <v/>
      </c>
      <c r="T654" s="1" t="str">
        <f t="shared" si="62"/>
        <v/>
      </c>
      <c r="W654" s="1" t="str">
        <f t="shared" si="63"/>
        <v/>
      </c>
      <c r="AA654" s="1" t="str">
        <f t="shared" si="64"/>
        <v/>
      </c>
      <c r="AB654" s="1" t="str">
        <f t="shared" si="65"/>
        <v/>
      </c>
    </row>
    <row r="655" spans="1:28" x14ac:dyDescent="0.2">
      <c r="A655" t="str">
        <f>IF(COUNTBLANK(B655:AD655)&lt;&gt;COLUMNS(B655:AD655),654,"")</f>
        <v/>
      </c>
      <c r="I655" s="1" t="str">
        <f t="shared" si="60"/>
        <v/>
      </c>
      <c r="J655" s="1" t="str">
        <f t="shared" si="61"/>
        <v/>
      </c>
      <c r="T655" s="1" t="str">
        <f t="shared" si="62"/>
        <v/>
      </c>
      <c r="W655" s="1" t="str">
        <f t="shared" si="63"/>
        <v/>
      </c>
      <c r="AA655" s="1" t="str">
        <f t="shared" si="64"/>
        <v/>
      </c>
      <c r="AB655" s="1" t="str">
        <f t="shared" si="65"/>
        <v/>
      </c>
    </row>
    <row r="656" spans="1:28" x14ac:dyDescent="0.2">
      <c r="A656" t="str">
        <f>IF(COUNTBLANK(B656:AD656)&lt;&gt;COLUMNS(B656:AD656),655,"")</f>
        <v/>
      </c>
      <c r="I656" s="1" t="str">
        <f t="shared" si="60"/>
        <v/>
      </c>
      <c r="J656" s="1" t="str">
        <f t="shared" si="61"/>
        <v/>
      </c>
      <c r="T656" s="1" t="str">
        <f t="shared" si="62"/>
        <v/>
      </c>
      <c r="W656" s="1" t="str">
        <f t="shared" si="63"/>
        <v/>
      </c>
      <c r="AA656" s="1" t="str">
        <f t="shared" si="64"/>
        <v/>
      </c>
      <c r="AB656" s="1" t="str">
        <f t="shared" si="65"/>
        <v/>
      </c>
    </row>
    <row r="657" spans="1:28" x14ac:dyDescent="0.2">
      <c r="A657" t="str">
        <f>IF(COUNTBLANK(B657:AD657)&lt;&gt;COLUMNS(B657:AD657),656,"")</f>
        <v/>
      </c>
      <c r="I657" s="1" t="str">
        <f t="shared" si="60"/>
        <v/>
      </c>
      <c r="J657" s="1" t="str">
        <f t="shared" si="61"/>
        <v/>
      </c>
      <c r="T657" s="1" t="str">
        <f t="shared" si="62"/>
        <v/>
      </c>
      <c r="W657" s="1" t="str">
        <f t="shared" si="63"/>
        <v/>
      </c>
      <c r="AA657" s="1" t="str">
        <f t="shared" si="64"/>
        <v/>
      </c>
      <c r="AB657" s="1" t="str">
        <f t="shared" si="65"/>
        <v/>
      </c>
    </row>
    <row r="658" spans="1:28" x14ac:dyDescent="0.2">
      <c r="A658" t="str">
        <f>IF(COUNTBLANK(B658:AD658)&lt;&gt;COLUMNS(B658:AD658),657,"")</f>
        <v/>
      </c>
      <c r="I658" s="1" t="str">
        <f t="shared" si="60"/>
        <v/>
      </c>
      <c r="J658" s="1" t="str">
        <f t="shared" si="61"/>
        <v/>
      </c>
      <c r="T658" s="1" t="str">
        <f t="shared" si="62"/>
        <v/>
      </c>
      <c r="W658" s="1" t="str">
        <f t="shared" si="63"/>
        <v/>
      </c>
      <c r="AA658" s="1" t="str">
        <f t="shared" si="64"/>
        <v/>
      </c>
      <c r="AB658" s="1" t="str">
        <f t="shared" si="65"/>
        <v/>
      </c>
    </row>
    <row r="659" spans="1:28" x14ac:dyDescent="0.2">
      <c r="A659" t="str">
        <f>IF(COUNTBLANK(B659:AD659)&lt;&gt;COLUMNS(B659:AD659),658,"")</f>
        <v/>
      </c>
      <c r="I659" s="1" t="str">
        <f t="shared" si="60"/>
        <v/>
      </c>
      <c r="J659" s="1" t="str">
        <f t="shared" si="61"/>
        <v/>
      </c>
      <c r="T659" s="1" t="str">
        <f t="shared" si="62"/>
        <v/>
      </c>
      <c r="W659" s="1" t="str">
        <f t="shared" si="63"/>
        <v/>
      </c>
      <c r="AA659" s="1" t="str">
        <f t="shared" si="64"/>
        <v/>
      </c>
      <c r="AB659" s="1" t="str">
        <f t="shared" si="65"/>
        <v/>
      </c>
    </row>
    <row r="660" spans="1:28" x14ac:dyDescent="0.2">
      <c r="A660" t="str">
        <f>IF(COUNTBLANK(B660:AD660)&lt;&gt;COLUMNS(B660:AD660),659,"")</f>
        <v/>
      </c>
      <c r="I660" s="1" t="str">
        <f t="shared" si="60"/>
        <v/>
      </c>
      <c r="J660" s="1" t="str">
        <f t="shared" si="61"/>
        <v/>
      </c>
      <c r="T660" s="1" t="str">
        <f t="shared" si="62"/>
        <v/>
      </c>
      <c r="W660" s="1" t="str">
        <f t="shared" si="63"/>
        <v/>
      </c>
      <c r="AA660" s="1" t="str">
        <f t="shared" si="64"/>
        <v/>
      </c>
      <c r="AB660" s="1" t="str">
        <f t="shared" si="65"/>
        <v/>
      </c>
    </row>
    <row r="661" spans="1:28" x14ac:dyDescent="0.2">
      <c r="A661" t="str">
        <f>IF(COUNTBLANK(B661:AD661)&lt;&gt;COLUMNS(B661:AD661),660,"")</f>
        <v/>
      </c>
      <c r="I661" s="1" t="str">
        <f t="shared" si="60"/>
        <v/>
      </c>
      <c r="J661" s="1" t="str">
        <f t="shared" si="61"/>
        <v/>
      </c>
      <c r="T661" s="1" t="str">
        <f t="shared" si="62"/>
        <v/>
      </c>
      <c r="W661" s="1" t="str">
        <f t="shared" si="63"/>
        <v/>
      </c>
      <c r="AA661" s="1" t="str">
        <f t="shared" si="64"/>
        <v/>
      </c>
      <c r="AB661" s="1" t="str">
        <f t="shared" si="65"/>
        <v/>
      </c>
    </row>
    <row r="662" spans="1:28" x14ac:dyDescent="0.2">
      <c r="A662" t="str">
        <f>IF(COUNTBLANK(B662:AD662)&lt;&gt;COLUMNS(B662:AD662),661,"")</f>
        <v/>
      </c>
      <c r="I662" s="1" t="str">
        <f t="shared" si="60"/>
        <v/>
      </c>
      <c r="J662" s="1" t="str">
        <f t="shared" si="61"/>
        <v/>
      </c>
      <c r="T662" s="1" t="str">
        <f t="shared" si="62"/>
        <v/>
      </c>
      <c r="W662" s="1" t="str">
        <f t="shared" si="63"/>
        <v/>
      </c>
      <c r="AA662" s="1" t="str">
        <f t="shared" si="64"/>
        <v/>
      </c>
      <c r="AB662" s="1" t="str">
        <f t="shared" si="65"/>
        <v/>
      </c>
    </row>
    <row r="663" spans="1:28" x14ac:dyDescent="0.2">
      <c r="A663" t="str">
        <f>IF(COUNTBLANK(B663:AD663)&lt;&gt;COLUMNS(B663:AD663),662,"")</f>
        <v/>
      </c>
      <c r="I663" s="1" t="str">
        <f t="shared" si="60"/>
        <v/>
      </c>
      <c r="J663" s="1" t="str">
        <f t="shared" si="61"/>
        <v/>
      </c>
      <c r="T663" s="1" t="str">
        <f t="shared" si="62"/>
        <v/>
      </c>
      <c r="W663" s="1" t="str">
        <f t="shared" si="63"/>
        <v/>
      </c>
      <c r="AA663" s="1" t="str">
        <f t="shared" si="64"/>
        <v/>
      </c>
      <c r="AB663" s="1" t="str">
        <f t="shared" si="65"/>
        <v/>
      </c>
    </row>
    <row r="664" spans="1:28" x14ac:dyDescent="0.2">
      <c r="A664" t="str">
        <f>IF(COUNTBLANK(B664:AD664)&lt;&gt;COLUMNS(B664:AD664),663,"")</f>
        <v/>
      </c>
      <c r="I664" s="1" t="str">
        <f t="shared" si="60"/>
        <v/>
      </c>
      <c r="J664" s="1" t="str">
        <f t="shared" si="61"/>
        <v/>
      </c>
      <c r="T664" s="1" t="str">
        <f t="shared" si="62"/>
        <v/>
      </c>
      <c r="W664" s="1" t="str">
        <f t="shared" si="63"/>
        <v/>
      </c>
      <c r="AA664" s="1" t="str">
        <f t="shared" si="64"/>
        <v/>
      </c>
      <c r="AB664" s="1" t="str">
        <f t="shared" si="65"/>
        <v/>
      </c>
    </row>
    <row r="665" spans="1:28" x14ac:dyDescent="0.2">
      <c r="A665" t="str">
        <f>IF(COUNTBLANK(B665:AD665)&lt;&gt;COLUMNS(B665:AD665),664,"")</f>
        <v/>
      </c>
      <c r="I665" s="1" t="str">
        <f t="shared" si="60"/>
        <v/>
      </c>
      <c r="J665" s="1" t="str">
        <f t="shared" si="61"/>
        <v/>
      </c>
      <c r="T665" s="1" t="str">
        <f t="shared" si="62"/>
        <v/>
      </c>
      <c r="W665" s="1" t="str">
        <f t="shared" si="63"/>
        <v/>
      </c>
      <c r="AA665" s="1" t="str">
        <f t="shared" si="64"/>
        <v/>
      </c>
      <c r="AB665" s="1" t="str">
        <f t="shared" si="65"/>
        <v/>
      </c>
    </row>
    <row r="666" spans="1:28" x14ac:dyDescent="0.2">
      <c r="A666" t="str">
        <f>IF(COUNTBLANK(B666:AD666)&lt;&gt;COLUMNS(B666:AD666),665,"")</f>
        <v/>
      </c>
      <c r="I666" s="1" t="str">
        <f t="shared" si="60"/>
        <v/>
      </c>
      <c r="J666" s="1" t="str">
        <f t="shared" si="61"/>
        <v/>
      </c>
      <c r="T666" s="1" t="str">
        <f t="shared" si="62"/>
        <v/>
      </c>
      <c r="W666" s="1" t="str">
        <f t="shared" si="63"/>
        <v/>
      </c>
      <c r="AA666" s="1" t="str">
        <f t="shared" si="64"/>
        <v/>
      </c>
      <c r="AB666" s="1" t="str">
        <f t="shared" si="65"/>
        <v/>
      </c>
    </row>
    <row r="667" spans="1:28" x14ac:dyDescent="0.2">
      <c r="A667" t="str">
        <f>IF(COUNTBLANK(B667:AD667)&lt;&gt;COLUMNS(B667:AD667),666,"")</f>
        <v/>
      </c>
      <c r="I667" s="1" t="str">
        <f t="shared" si="60"/>
        <v/>
      </c>
      <c r="J667" s="1" t="str">
        <f t="shared" si="61"/>
        <v/>
      </c>
      <c r="T667" s="1" t="str">
        <f t="shared" si="62"/>
        <v/>
      </c>
      <c r="W667" s="1" t="str">
        <f t="shared" si="63"/>
        <v/>
      </c>
      <c r="AA667" s="1" t="str">
        <f t="shared" si="64"/>
        <v/>
      </c>
      <c r="AB667" s="1" t="str">
        <f t="shared" si="65"/>
        <v/>
      </c>
    </row>
    <row r="668" spans="1:28" x14ac:dyDescent="0.2">
      <c r="A668" t="str">
        <f>IF(COUNTBLANK(B668:AD668)&lt;&gt;COLUMNS(B668:AD668),667,"")</f>
        <v/>
      </c>
      <c r="I668" s="1" t="str">
        <f t="shared" si="60"/>
        <v/>
      </c>
      <c r="J668" s="1" t="str">
        <f t="shared" si="61"/>
        <v/>
      </c>
      <c r="T668" s="1" t="str">
        <f t="shared" si="62"/>
        <v/>
      </c>
      <c r="W668" s="1" t="str">
        <f t="shared" si="63"/>
        <v/>
      </c>
      <c r="AA668" s="1" t="str">
        <f t="shared" si="64"/>
        <v/>
      </c>
      <c r="AB668" s="1" t="str">
        <f t="shared" si="65"/>
        <v/>
      </c>
    </row>
    <row r="669" spans="1:28" x14ac:dyDescent="0.2">
      <c r="A669" t="str">
        <f>IF(COUNTBLANK(B669:AD669)&lt;&gt;COLUMNS(B669:AD669),668,"")</f>
        <v/>
      </c>
      <c r="I669" s="1" t="str">
        <f t="shared" si="60"/>
        <v/>
      </c>
      <c r="J669" s="1" t="str">
        <f t="shared" si="61"/>
        <v/>
      </c>
      <c r="T669" s="1" t="str">
        <f t="shared" si="62"/>
        <v/>
      </c>
      <c r="W669" s="1" t="str">
        <f t="shared" si="63"/>
        <v/>
      </c>
      <c r="AA669" s="1" t="str">
        <f t="shared" si="64"/>
        <v/>
      </c>
      <c r="AB669" s="1" t="str">
        <f t="shared" si="65"/>
        <v/>
      </c>
    </row>
    <row r="670" spans="1:28" x14ac:dyDescent="0.2">
      <c r="A670" t="str">
        <f>IF(COUNTBLANK(B670:AD670)&lt;&gt;COLUMNS(B670:AD670),669,"")</f>
        <v/>
      </c>
      <c r="I670" s="1" t="str">
        <f t="shared" si="60"/>
        <v/>
      </c>
      <c r="J670" s="1" t="str">
        <f t="shared" si="61"/>
        <v/>
      </c>
      <c r="T670" s="1" t="str">
        <f t="shared" si="62"/>
        <v/>
      </c>
      <c r="W670" s="1" t="str">
        <f t="shared" si="63"/>
        <v/>
      </c>
      <c r="AA670" s="1" t="str">
        <f t="shared" si="64"/>
        <v/>
      </c>
      <c r="AB670" s="1" t="str">
        <f t="shared" si="65"/>
        <v/>
      </c>
    </row>
    <row r="671" spans="1:28" x14ac:dyDescent="0.2">
      <c r="A671" t="str">
        <f>IF(COUNTBLANK(B671:AD671)&lt;&gt;COLUMNS(B671:AD671),670,"")</f>
        <v/>
      </c>
      <c r="I671" s="1" t="str">
        <f t="shared" si="60"/>
        <v/>
      </c>
      <c r="J671" s="1" t="str">
        <f t="shared" si="61"/>
        <v/>
      </c>
      <c r="T671" s="1" t="str">
        <f t="shared" si="62"/>
        <v/>
      </c>
      <c r="W671" s="1" t="str">
        <f t="shared" si="63"/>
        <v/>
      </c>
      <c r="AA671" s="1" t="str">
        <f t="shared" si="64"/>
        <v/>
      </c>
      <c r="AB671" s="1" t="str">
        <f t="shared" si="65"/>
        <v/>
      </c>
    </row>
    <row r="672" spans="1:28" x14ac:dyDescent="0.2">
      <c r="A672" t="str">
        <f>IF(COUNTBLANK(B672:AD672)&lt;&gt;COLUMNS(B672:AD672),671,"")</f>
        <v/>
      </c>
      <c r="I672" s="1" t="str">
        <f t="shared" si="60"/>
        <v/>
      </c>
      <c r="J672" s="1" t="str">
        <f t="shared" si="61"/>
        <v/>
      </c>
      <c r="T672" s="1" t="str">
        <f t="shared" si="62"/>
        <v/>
      </c>
      <c r="W672" s="1" t="str">
        <f t="shared" si="63"/>
        <v/>
      </c>
      <c r="AA672" s="1" t="str">
        <f t="shared" si="64"/>
        <v/>
      </c>
      <c r="AB672" s="1" t="str">
        <f t="shared" si="65"/>
        <v/>
      </c>
    </row>
    <row r="673" spans="1:28" x14ac:dyDescent="0.2">
      <c r="A673" t="str">
        <f>IF(COUNTBLANK(B673:AD673)&lt;&gt;COLUMNS(B673:AD673),672,"")</f>
        <v/>
      </c>
      <c r="I673" s="1" t="str">
        <f t="shared" si="60"/>
        <v/>
      </c>
      <c r="J673" s="1" t="str">
        <f t="shared" si="61"/>
        <v/>
      </c>
      <c r="T673" s="1" t="str">
        <f t="shared" si="62"/>
        <v/>
      </c>
      <c r="W673" s="1" t="str">
        <f t="shared" si="63"/>
        <v/>
      </c>
      <c r="AA673" s="1" t="str">
        <f t="shared" si="64"/>
        <v/>
      </c>
      <c r="AB673" s="1" t="str">
        <f t="shared" si="65"/>
        <v/>
      </c>
    </row>
    <row r="674" spans="1:28" x14ac:dyDescent="0.2">
      <c r="A674" t="str">
        <f>IF(COUNTBLANK(B674:AD674)&lt;&gt;COLUMNS(B674:AD674),673,"")</f>
        <v/>
      </c>
      <c r="I674" s="1" t="str">
        <f t="shared" si="60"/>
        <v/>
      </c>
      <c r="J674" s="1" t="str">
        <f t="shared" si="61"/>
        <v/>
      </c>
      <c r="T674" s="1" t="str">
        <f t="shared" si="62"/>
        <v/>
      </c>
      <c r="W674" s="1" t="str">
        <f t="shared" si="63"/>
        <v/>
      </c>
      <c r="AA674" s="1" t="str">
        <f t="shared" si="64"/>
        <v/>
      </c>
      <c r="AB674" s="1" t="str">
        <f t="shared" si="65"/>
        <v/>
      </c>
    </row>
    <row r="675" spans="1:28" x14ac:dyDescent="0.2">
      <c r="A675" t="str">
        <f>IF(COUNTBLANK(B675:AD675)&lt;&gt;COLUMNS(B675:AD675),674,"")</f>
        <v/>
      </c>
      <c r="I675" s="1" t="str">
        <f t="shared" si="60"/>
        <v/>
      </c>
      <c r="J675" s="1" t="str">
        <f t="shared" si="61"/>
        <v/>
      </c>
      <c r="T675" s="1" t="str">
        <f t="shared" si="62"/>
        <v/>
      </c>
      <c r="W675" s="1" t="str">
        <f t="shared" si="63"/>
        <v/>
      </c>
      <c r="AA675" s="1" t="str">
        <f t="shared" si="64"/>
        <v/>
      </c>
      <c r="AB675" s="1" t="str">
        <f t="shared" si="65"/>
        <v/>
      </c>
    </row>
    <row r="676" spans="1:28" x14ac:dyDescent="0.2">
      <c r="A676" t="str">
        <f>IF(COUNTBLANK(B676:AD676)&lt;&gt;COLUMNS(B676:AD676),675,"")</f>
        <v/>
      </c>
      <c r="I676" s="1" t="str">
        <f t="shared" si="60"/>
        <v/>
      </c>
      <c r="J676" s="1" t="str">
        <f t="shared" si="61"/>
        <v/>
      </c>
      <c r="T676" s="1" t="str">
        <f t="shared" si="62"/>
        <v/>
      </c>
      <c r="W676" s="1" t="str">
        <f t="shared" si="63"/>
        <v/>
      </c>
      <c r="AA676" s="1" t="str">
        <f t="shared" si="64"/>
        <v/>
      </c>
      <c r="AB676" s="1" t="str">
        <f t="shared" si="65"/>
        <v/>
      </c>
    </row>
    <row r="677" spans="1:28" x14ac:dyDescent="0.2">
      <c r="A677" t="str">
        <f>IF(COUNTBLANK(B677:AD677)&lt;&gt;COLUMNS(B677:AD677),676,"")</f>
        <v/>
      </c>
      <c r="I677" s="1" t="str">
        <f t="shared" si="60"/>
        <v/>
      </c>
      <c r="J677" s="1" t="str">
        <f t="shared" si="61"/>
        <v/>
      </c>
      <c r="T677" s="1" t="str">
        <f t="shared" si="62"/>
        <v/>
      </c>
      <c r="W677" s="1" t="str">
        <f t="shared" si="63"/>
        <v/>
      </c>
      <c r="AA677" s="1" t="str">
        <f t="shared" si="64"/>
        <v/>
      </c>
      <c r="AB677" s="1" t="str">
        <f t="shared" si="65"/>
        <v/>
      </c>
    </row>
    <row r="678" spans="1:28" x14ac:dyDescent="0.2">
      <c r="A678" t="str">
        <f>IF(COUNTBLANK(B678:AD678)&lt;&gt;COLUMNS(B678:AD678),677,"")</f>
        <v/>
      </c>
      <c r="I678" s="1" t="str">
        <f t="shared" si="60"/>
        <v/>
      </c>
      <c r="J678" s="1" t="str">
        <f t="shared" si="61"/>
        <v/>
      </c>
      <c r="T678" s="1" t="str">
        <f t="shared" si="62"/>
        <v/>
      </c>
      <c r="W678" s="1" t="str">
        <f t="shared" si="63"/>
        <v/>
      </c>
      <c r="AA678" s="1" t="str">
        <f t="shared" si="64"/>
        <v/>
      </c>
      <c r="AB678" s="1" t="str">
        <f t="shared" si="65"/>
        <v/>
      </c>
    </row>
    <row r="679" spans="1:28" x14ac:dyDescent="0.2">
      <c r="A679" t="str">
        <f>IF(COUNTBLANK(B679:AD679)&lt;&gt;COLUMNS(B679:AD679),678,"")</f>
        <v/>
      </c>
      <c r="I679" s="1" t="str">
        <f t="shared" si="60"/>
        <v/>
      </c>
      <c r="J679" s="1" t="str">
        <f t="shared" si="61"/>
        <v/>
      </c>
      <c r="T679" s="1" t="str">
        <f t="shared" si="62"/>
        <v/>
      </c>
      <c r="W679" s="1" t="str">
        <f t="shared" si="63"/>
        <v/>
      </c>
      <c r="AA679" s="1" t="str">
        <f t="shared" si="64"/>
        <v/>
      </c>
      <c r="AB679" s="1" t="str">
        <f t="shared" si="65"/>
        <v/>
      </c>
    </row>
    <row r="680" spans="1:28" x14ac:dyDescent="0.2">
      <c r="A680" t="str">
        <f>IF(COUNTBLANK(B680:AD680)&lt;&gt;COLUMNS(B680:AD680),679,"")</f>
        <v/>
      </c>
      <c r="I680" s="1" t="str">
        <f t="shared" si="60"/>
        <v/>
      </c>
      <c r="J680" s="1" t="str">
        <f t="shared" si="61"/>
        <v/>
      </c>
      <c r="T680" s="1" t="str">
        <f t="shared" si="62"/>
        <v/>
      </c>
      <c r="W680" s="1" t="str">
        <f t="shared" si="63"/>
        <v/>
      </c>
      <c r="AA680" s="1" t="str">
        <f t="shared" si="64"/>
        <v/>
      </c>
      <c r="AB680" s="1" t="str">
        <f t="shared" si="65"/>
        <v/>
      </c>
    </row>
    <row r="681" spans="1:28" x14ac:dyDescent="0.2">
      <c r="A681" t="str">
        <f>IF(COUNTBLANK(B681:AD681)&lt;&gt;COLUMNS(B681:AD681),680,"")</f>
        <v/>
      </c>
      <c r="I681" s="1" t="str">
        <f t="shared" si="60"/>
        <v/>
      </c>
      <c r="J681" s="1" t="str">
        <f t="shared" si="61"/>
        <v/>
      </c>
      <c r="T681" s="1" t="str">
        <f t="shared" si="62"/>
        <v/>
      </c>
      <c r="W681" s="1" t="str">
        <f t="shared" si="63"/>
        <v/>
      </c>
      <c r="AA681" s="1" t="str">
        <f t="shared" si="64"/>
        <v/>
      </c>
      <c r="AB681" s="1" t="str">
        <f t="shared" si="65"/>
        <v/>
      </c>
    </row>
    <row r="682" spans="1:28" x14ac:dyDescent="0.2">
      <c r="A682" t="str">
        <f>IF(COUNTBLANK(B682:AD682)&lt;&gt;COLUMNS(B682:AD682),681,"")</f>
        <v/>
      </c>
      <c r="I682" s="1" t="str">
        <f t="shared" si="60"/>
        <v/>
      </c>
      <c r="J682" s="1" t="str">
        <f t="shared" si="61"/>
        <v/>
      </c>
      <c r="T682" s="1" t="str">
        <f t="shared" si="62"/>
        <v/>
      </c>
      <c r="W682" s="1" t="str">
        <f t="shared" si="63"/>
        <v/>
      </c>
      <c r="AA682" s="1" t="str">
        <f t="shared" si="64"/>
        <v/>
      </c>
      <c r="AB682" s="1" t="str">
        <f t="shared" si="65"/>
        <v/>
      </c>
    </row>
    <row r="683" spans="1:28" x14ac:dyDescent="0.2">
      <c r="A683" t="str">
        <f>IF(COUNTBLANK(B683:AD683)&lt;&gt;COLUMNS(B683:AD683),682,"")</f>
        <v/>
      </c>
      <c r="I683" s="1" t="str">
        <f t="shared" si="60"/>
        <v/>
      </c>
      <c r="J683" s="1" t="str">
        <f t="shared" si="61"/>
        <v/>
      </c>
      <c r="T683" s="1" t="str">
        <f t="shared" si="62"/>
        <v/>
      </c>
      <c r="W683" s="1" t="str">
        <f t="shared" si="63"/>
        <v/>
      </c>
      <c r="AA683" s="1" t="str">
        <f t="shared" si="64"/>
        <v/>
      </c>
      <c r="AB683" s="1" t="str">
        <f t="shared" si="65"/>
        <v/>
      </c>
    </row>
    <row r="684" spans="1:28" x14ac:dyDescent="0.2">
      <c r="A684" t="str">
        <f>IF(COUNTBLANK(B684:AD684)&lt;&gt;COLUMNS(B684:AD684),683,"")</f>
        <v/>
      </c>
      <c r="I684" s="1" t="str">
        <f t="shared" si="60"/>
        <v/>
      </c>
      <c r="J684" s="1" t="str">
        <f t="shared" si="61"/>
        <v/>
      </c>
      <c r="T684" s="1" t="str">
        <f t="shared" si="62"/>
        <v/>
      </c>
      <c r="W684" s="1" t="str">
        <f t="shared" si="63"/>
        <v/>
      </c>
      <c r="AA684" s="1" t="str">
        <f t="shared" si="64"/>
        <v/>
      </c>
      <c r="AB684" s="1" t="str">
        <f t="shared" si="65"/>
        <v/>
      </c>
    </row>
    <row r="685" spans="1:28" x14ac:dyDescent="0.2">
      <c r="A685" t="str">
        <f>IF(COUNTBLANK(B685:AD685)&lt;&gt;COLUMNS(B685:AD685),684,"")</f>
        <v/>
      </c>
      <c r="I685" s="1" t="str">
        <f t="shared" si="60"/>
        <v/>
      </c>
      <c r="J685" s="1" t="str">
        <f t="shared" si="61"/>
        <v/>
      </c>
      <c r="T685" s="1" t="str">
        <f t="shared" si="62"/>
        <v/>
      </c>
      <c r="W685" s="1" t="str">
        <f t="shared" si="63"/>
        <v/>
      </c>
      <c r="AA685" s="1" t="str">
        <f t="shared" si="64"/>
        <v/>
      </c>
      <c r="AB685" s="1" t="str">
        <f t="shared" si="65"/>
        <v/>
      </c>
    </row>
    <row r="686" spans="1:28" x14ac:dyDescent="0.2">
      <c r="A686" t="str">
        <f>IF(COUNTBLANK(B686:AD686)&lt;&gt;COLUMNS(B686:AD686),685,"")</f>
        <v/>
      </c>
      <c r="I686" s="1" t="str">
        <f t="shared" si="60"/>
        <v/>
      </c>
      <c r="J686" s="1" t="str">
        <f t="shared" si="61"/>
        <v/>
      </c>
      <c r="T686" s="1" t="str">
        <f t="shared" si="62"/>
        <v/>
      </c>
      <c r="W686" s="1" t="str">
        <f t="shared" si="63"/>
        <v/>
      </c>
      <c r="AA686" s="1" t="str">
        <f t="shared" si="64"/>
        <v/>
      </c>
      <c r="AB686" s="1" t="str">
        <f t="shared" si="65"/>
        <v/>
      </c>
    </row>
    <row r="687" spans="1:28" x14ac:dyDescent="0.2">
      <c r="A687" t="str">
        <f>IF(COUNTBLANK(B687:AD687)&lt;&gt;COLUMNS(B687:AD687),686,"")</f>
        <v/>
      </c>
      <c r="I687" s="1" t="str">
        <f t="shared" si="60"/>
        <v/>
      </c>
      <c r="J687" s="1" t="str">
        <f t="shared" si="61"/>
        <v/>
      </c>
      <c r="T687" s="1" t="str">
        <f t="shared" si="62"/>
        <v/>
      </c>
      <c r="W687" s="1" t="str">
        <f t="shared" si="63"/>
        <v/>
      </c>
      <c r="AA687" s="1" t="str">
        <f t="shared" si="64"/>
        <v/>
      </c>
      <c r="AB687" s="1" t="str">
        <f t="shared" si="65"/>
        <v/>
      </c>
    </row>
    <row r="688" spans="1:28" x14ac:dyDescent="0.2">
      <c r="A688" t="str">
        <f>IF(COUNTBLANK(B688:AD688)&lt;&gt;COLUMNS(B688:AD688),687,"")</f>
        <v/>
      </c>
      <c r="I688" s="1" t="str">
        <f t="shared" si="60"/>
        <v/>
      </c>
      <c r="J688" s="1" t="str">
        <f t="shared" si="61"/>
        <v/>
      </c>
      <c r="T688" s="1" t="str">
        <f t="shared" si="62"/>
        <v/>
      </c>
      <c r="W688" s="1" t="str">
        <f t="shared" si="63"/>
        <v/>
      </c>
      <c r="AA688" s="1" t="str">
        <f t="shared" si="64"/>
        <v/>
      </c>
      <c r="AB688" s="1" t="str">
        <f t="shared" si="65"/>
        <v/>
      </c>
    </row>
    <row r="689" spans="1:28" x14ac:dyDescent="0.2">
      <c r="A689" t="str">
        <f>IF(COUNTBLANK(B689:AD689)&lt;&gt;COLUMNS(B689:AD689),688,"")</f>
        <v/>
      </c>
      <c r="I689" s="1" t="str">
        <f t="shared" si="60"/>
        <v/>
      </c>
      <c r="J689" s="1" t="str">
        <f t="shared" si="61"/>
        <v/>
      </c>
      <c r="T689" s="1" t="str">
        <f t="shared" si="62"/>
        <v/>
      </c>
      <c r="W689" s="1" t="str">
        <f t="shared" si="63"/>
        <v/>
      </c>
      <c r="AA689" s="1" t="str">
        <f t="shared" si="64"/>
        <v/>
      </c>
      <c r="AB689" s="1" t="str">
        <f t="shared" si="65"/>
        <v/>
      </c>
    </row>
    <row r="690" spans="1:28" x14ac:dyDescent="0.2">
      <c r="A690" t="str">
        <f>IF(COUNTBLANK(B690:AD690)&lt;&gt;COLUMNS(B690:AD690),689,"")</f>
        <v/>
      </c>
      <c r="I690" s="1" t="str">
        <f t="shared" si="60"/>
        <v/>
      </c>
      <c r="J690" s="1" t="str">
        <f t="shared" si="61"/>
        <v/>
      </c>
      <c r="T690" s="1" t="str">
        <f t="shared" si="62"/>
        <v/>
      </c>
      <c r="W690" s="1" t="str">
        <f t="shared" si="63"/>
        <v/>
      </c>
      <c r="AA690" s="1" t="str">
        <f t="shared" si="64"/>
        <v/>
      </c>
      <c r="AB690" s="1" t="str">
        <f t="shared" si="65"/>
        <v/>
      </c>
    </row>
    <row r="691" spans="1:28" x14ac:dyDescent="0.2">
      <c r="A691" t="str">
        <f>IF(COUNTBLANK(B691:AD691)&lt;&gt;COLUMNS(B691:AD691),690,"")</f>
        <v/>
      </c>
      <c r="I691" s="1" t="str">
        <f t="shared" si="60"/>
        <v/>
      </c>
      <c r="J691" s="1" t="str">
        <f t="shared" si="61"/>
        <v/>
      </c>
      <c r="T691" s="1" t="str">
        <f t="shared" si="62"/>
        <v/>
      </c>
      <c r="W691" s="1" t="str">
        <f t="shared" si="63"/>
        <v/>
      </c>
      <c r="AA691" s="1" t="str">
        <f t="shared" si="64"/>
        <v/>
      </c>
      <c r="AB691" s="1" t="str">
        <f t="shared" si="65"/>
        <v/>
      </c>
    </row>
    <row r="692" spans="1:28" x14ac:dyDescent="0.2">
      <c r="A692" t="str">
        <f>IF(COUNTBLANK(B692:AD692)&lt;&gt;COLUMNS(B692:AD692),691,"")</f>
        <v/>
      </c>
      <c r="I692" s="1" t="str">
        <f t="shared" si="60"/>
        <v/>
      </c>
      <c r="J692" s="1" t="str">
        <f t="shared" si="61"/>
        <v/>
      </c>
      <c r="T692" s="1" t="str">
        <f t="shared" si="62"/>
        <v/>
      </c>
      <c r="W692" s="1" t="str">
        <f t="shared" si="63"/>
        <v/>
      </c>
      <c r="AA692" s="1" t="str">
        <f t="shared" si="64"/>
        <v/>
      </c>
      <c r="AB692" s="1" t="str">
        <f t="shared" si="65"/>
        <v/>
      </c>
    </row>
    <row r="693" spans="1:28" x14ac:dyDescent="0.2">
      <c r="A693" t="str">
        <f>IF(COUNTBLANK(B693:AD693)&lt;&gt;COLUMNS(B693:AD693),692,"")</f>
        <v/>
      </c>
      <c r="I693" s="1" t="str">
        <f t="shared" si="60"/>
        <v/>
      </c>
      <c r="J693" s="1" t="str">
        <f t="shared" si="61"/>
        <v/>
      </c>
      <c r="T693" s="1" t="str">
        <f t="shared" si="62"/>
        <v/>
      </c>
      <c r="W693" s="1" t="str">
        <f t="shared" si="63"/>
        <v/>
      </c>
      <c r="AA693" s="1" t="str">
        <f t="shared" si="64"/>
        <v/>
      </c>
      <c r="AB693" s="1" t="str">
        <f t="shared" si="65"/>
        <v/>
      </c>
    </row>
    <row r="694" spans="1:28" x14ac:dyDescent="0.2">
      <c r="A694" t="str">
        <f>IF(COUNTBLANK(B694:AD694)&lt;&gt;COLUMNS(B694:AD694),693,"")</f>
        <v/>
      </c>
      <c r="I694" s="1" t="str">
        <f t="shared" si="60"/>
        <v/>
      </c>
      <c r="J694" s="1" t="str">
        <f t="shared" si="61"/>
        <v/>
      </c>
      <c r="T694" s="1" t="str">
        <f t="shared" si="62"/>
        <v/>
      </c>
      <c r="W694" s="1" t="str">
        <f t="shared" si="63"/>
        <v/>
      </c>
      <c r="AA694" s="1" t="str">
        <f t="shared" si="64"/>
        <v/>
      </c>
      <c r="AB694" s="1" t="str">
        <f t="shared" si="65"/>
        <v/>
      </c>
    </row>
    <row r="695" spans="1:28" x14ac:dyDescent="0.2">
      <c r="A695" t="str">
        <f>IF(COUNTBLANK(B695:AD695)&lt;&gt;COLUMNS(B695:AD695),694,"")</f>
        <v/>
      </c>
      <c r="I695" s="1" t="str">
        <f t="shared" si="60"/>
        <v/>
      </c>
      <c r="J695" s="1" t="str">
        <f t="shared" si="61"/>
        <v/>
      </c>
      <c r="T695" s="1" t="str">
        <f t="shared" si="62"/>
        <v/>
      </c>
      <c r="W695" s="1" t="str">
        <f t="shared" si="63"/>
        <v/>
      </c>
      <c r="AA695" s="1" t="str">
        <f t="shared" si="64"/>
        <v/>
      </c>
      <c r="AB695" s="1" t="str">
        <f t="shared" si="65"/>
        <v/>
      </c>
    </row>
    <row r="696" spans="1:28" x14ac:dyDescent="0.2">
      <c r="A696" t="str">
        <f>IF(COUNTBLANK(B696:AD696)&lt;&gt;COLUMNS(B696:AD696),695,"")</f>
        <v/>
      </c>
      <c r="I696" s="1" t="str">
        <f t="shared" si="60"/>
        <v/>
      </c>
      <c r="J696" s="1" t="str">
        <f t="shared" si="61"/>
        <v/>
      </c>
      <c r="T696" s="1" t="str">
        <f t="shared" si="62"/>
        <v/>
      </c>
      <c r="W696" s="1" t="str">
        <f t="shared" si="63"/>
        <v/>
      </c>
      <c r="AA696" s="1" t="str">
        <f t="shared" si="64"/>
        <v/>
      </c>
      <c r="AB696" s="1" t="str">
        <f t="shared" si="65"/>
        <v/>
      </c>
    </row>
    <row r="697" spans="1:28" x14ac:dyDescent="0.2">
      <c r="A697" t="str">
        <f>IF(COUNTBLANK(B697:AD697)&lt;&gt;COLUMNS(B697:AD697),696,"")</f>
        <v/>
      </c>
      <c r="I697" s="1" t="str">
        <f t="shared" si="60"/>
        <v/>
      </c>
      <c r="J697" s="1" t="str">
        <f t="shared" si="61"/>
        <v/>
      </c>
      <c r="T697" s="1" t="str">
        <f t="shared" si="62"/>
        <v/>
      </c>
      <c r="W697" s="1" t="str">
        <f t="shared" si="63"/>
        <v/>
      </c>
      <c r="AA697" s="1" t="str">
        <f t="shared" si="64"/>
        <v/>
      </c>
      <c r="AB697" s="1" t="str">
        <f t="shared" si="65"/>
        <v/>
      </c>
    </row>
    <row r="698" spans="1:28" x14ac:dyDescent="0.2">
      <c r="A698" t="str">
        <f>IF(COUNTBLANK(B698:AD698)&lt;&gt;COLUMNS(B698:AD698),697,"")</f>
        <v/>
      </c>
      <c r="I698" s="1" t="str">
        <f t="shared" si="60"/>
        <v/>
      </c>
      <c r="J698" s="1" t="str">
        <f t="shared" si="61"/>
        <v/>
      </c>
      <c r="T698" s="1" t="str">
        <f t="shared" si="62"/>
        <v/>
      </c>
      <c r="W698" s="1" t="str">
        <f t="shared" si="63"/>
        <v/>
      </c>
      <c r="AA698" s="1" t="str">
        <f t="shared" si="64"/>
        <v/>
      </c>
      <c r="AB698" s="1" t="str">
        <f t="shared" si="65"/>
        <v/>
      </c>
    </row>
    <row r="699" spans="1:28" x14ac:dyDescent="0.2">
      <c r="A699" t="str">
        <f>IF(COUNTBLANK(B699:AD699)&lt;&gt;COLUMNS(B699:AD699),698,"")</f>
        <v/>
      </c>
      <c r="I699" s="1" t="str">
        <f t="shared" si="60"/>
        <v/>
      </c>
      <c r="J699" s="1" t="str">
        <f t="shared" si="61"/>
        <v/>
      </c>
      <c r="T699" s="1" t="str">
        <f t="shared" si="62"/>
        <v/>
      </c>
      <c r="W699" s="1" t="str">
        <f t="shared" si="63"/>
        <v/>
      </c>
      <c r="AA699" s="1" t="str">
        <f t="shared" si="64"/>
        <v/>
      </c>
      <c r="AB699" s="1" t="str">
        <f t="shared" si="65"/>
        <v/>
      </c>
    </row>
    <row r="700" spans="1:28" x14ac:dyDescent="0.2">
      <c r="A700" t="str">
        <f>IF(COUNTBLANK(B700:AD700)&lt;&gt;COLUMNS(B700:AD700),699,"")</f>
        <v/>
      </c>
      <c r="I700" s="1" t="str">
        <f t="shared" si="60"/>
        <v/>
      </c>
      <c r="J700" s="1" t="str">
        <f t="shared" si="61"/>
        <v/>
      </c>
      <c r="T700" s="1" t="str">
        <f t="shared" si="62"/>
        <v/>
      </c>
      <c r="W700" s="1" t="str">
        <f t="shared" si="63"/>
        <v/>
      </c>
      <c r="AA700" s="1" t="str">
        <f t="shared" si="64"/>
        <v/>
      </c>
      <c r="AB700" s="1" t="str">
        <f t="shared" si="65"/>
        <v/>
      </c>
    </row>
    <row r="701" spans="1:28" x14ac:dyDescent="0.2">
      <c r="A701" t="str">
        <f>IF(COUNTBLANK(B701:AD701)&lt;&gt;COLUMNS(B701:AD701),700,"")</f>
        <v/>
      </c>
      <c r="I701" s="1" t="str">
        <f t="shared" si="60"/>
        <v/>
      </c>
      <c r="J701" s="1" t="str">
        <f t="shared" si="61"/>
        <v/>
      </c>
      <c r="T701" s="1" t="str">
        <f t="shared" si="62"/>
        <v/>
      </c>
      <c r="W701" s="1" t="str">
        <f t="shared" si="63"/>
        <v/>
      </c>
      <c r="AA701" s="1" t="str">
        <f t="shared" si="64"/>
        <v/>
      </c>
      <c r="AB701" s="1" t="str">
        <f t="shared" si="65"/>
        <v/>
      </c>
    </row>
    <row r="702" spans="1:28" x14ac:dyDescent="0.2">
      <c r="A702" t="str">
        <f>IF(COUNTBLANK(B702:AD702)&lt;&gt;COLUMNS(B702:AD702),701,"")</f>
        <v/>
      </c>
      <c r="I702" s="1" t="str">
        <f t="shared" si="60"/>
        <v/>
      </c>
      <c r="J702" s="1" t="str">
        <f t="shared" si="61"/>
        <v/>
      </c>
      <c r="T702" s="1" t="str">
        <f t="shared" si="62"/>
        <v/>
      </c>
      <c r="W702" s="1" t="str">
        <f t="shared" si="63"/>
        <v/>
      </c>
      <c r="AA702" s="1" t="str">
        <f t="shared" si="64"/>
        <v/>
      </c>
      <c r="AB702" s="1" t="str">
        <f t="shared" si="65"/>
        <v/>
      </c>
    </row>
    <row r="703" spans="1:28" x14ac:dyDescent="0.2">
      <c r="A703" t="str">
        <f>IF(COUNTBLANK(B703:AD703)&lt;&gt;COLUMNS(B703:AD703),702,"")</f>
        <v/>
      </c>
      <c r="I703" s="1" t="str">
        <f t="shared" si="60"/>
        <v/>
      </c>
      <c r="J703" s="1" t="str">
        <f t="shared" si="61"/>
        <v/>
      </c>
      <c r="T703" s="1" t="str">
        <f t="shared" si="62"/>
        <v/>
      </c>
      <c r="W703" s="1" t="str">
        <f t="shared" si="63"/>
        <v/>
      </c>
      <c r="AA703" s="1" t="str">
        <f t="shared" si="64"/>
        <v/>
      </c>
      <c r="AB703" s="1" t="str">
        <f t="shared" si="65"/>
        <v/>
      </c>
    </row>
    <row r="704" spans="1:28" x14ac:dyDescent="0.2">
      <c r="A704" t="str">
        <f>IF(COUNTBLANK(B704:AD704)&lt;&gt;COLUMNS(B704:AD704),703,"")</f>
        <v/>
      </c>
      <c r="I704" s="1" t="str">
        <f t="shared" si="60"/>
        <v/>
      </c>
      <c r="J704" s="1" t="str">
        <f t="shared" si="61"/>
        <v/>
      </c>
      <c r="T704" s="1" t="str">
        <f t="shared" si="62"/>
        <v/>
      </c>
      <c r="W704" s="1" t="str">
        <f t="shared" si="63"/>
        <v/>
      </c>
      <c r="AA704" s="1" t="str">
        <f t="shared" si="64"/>
        <v/>
      </c>
      <c r="AB704" s="1" t="str">
        <f t="shared" si="65"/>
        <v/>
      </c>
    </row>
    <row r="705" spans="1:28" x14ac:dyDescent="0.2">
      <c r="A705" t="str">
        <f>IF(COUNTBLANK(B705:AD705)&lt;&gt;COLUMNS(B705:AD705),704,"")</f>
        <v/>
      </c>
      <c r="I705" s="1" t="str">
        <f t="shared" si="60"/>
        <v/>
      </c>
      <c r="J705" s="1" t="str">
        <f t="shared" si="61"/>
        <v/>
      </c>
      <c r="T705" s="1" t="str">
        <f t="shared" si="62"/>
        <v/>
      </c>
      <c r="W705" s="1" t="str">
        <f t="shared" si="63"/>
        <v/>
      </c>
      <c r="AA705" s="1" t="str">
        <f t="shared" si="64"/>
        <v/>
      </c>
      <c r="AB705" s="1" t="str">
        <f t="shared" si="65"/>
        <v/>
      </c>
    </row>
    <row r="706" spans="1:28" x14ac:dyDescent="0.2">
      <c r="A706" t="str">
        <f>IF(COUNTBLANK(B706:AD706)&lt;&gt;COLUMNS(B706:AD706),705,"")</f>
        <v/>
      </c>
      <c r="I706" s="1" t="str">
        <f t="shared" ref="I706:I769" si="66">IF(B706="", "", "meters")</f>
        <v/>
      </c>
      <c r="J706" s="1" t="str">
        <f t="shared" ref="J706:J769" si="67">IF(B706="", "", "free-living")</f>
        <v/>
      </c>
      <c r="T706" s="1" t="str">
        <f t="shared" ref="T706:T769" si="68">IF(B706="", "", "Decimal degrees")</f>
        <v/>
      </c>
      <c r="W706" s="1" t="str">
        <f t="shared" ref="W706:W769" si="69">IF(B706="", "", "Decimal degrees")</f>
        <v/>
      </c>
      <c r="AA706" s="1" t="str">
        <f t="shared" ref="AA706:AA769" si="70">IF(B706="", "", "metagenome")</f>
        <v/>
      </c>
      <c r="AB706" s="1" t="str">
        <f t="shared" ref="AB706:AB769" si="71">IF(B706="", "", "256318")</f>
        <v/>
      </c>
    </row>
    <row r="707" spans="1:28" x14ac:dyDescent="0.2">
      <c r="A707" t="str">
        <f>IF(COUNTBLANK(B707:AD707)&lt;&gt;COLUMNS(B707:AD707),706,"")</f>
        <v/>
      </c>
      <c r="I707" s="1" t="str">
        <f t="shared" si="66"/>
        <v/>
      </c>
      <c r="J707" s="1" t="str">
        <f t="shared" si="67"/>
        <v/>
      </c>
      <c r="T707" s="1" t="str">
        <f t="shared" si="68"/>
        <v/>
      </c>
      <c r="W707" s="1" t="str">
        <f t="shared" si="69"/>
        <v/>
      </c>
      <c r="AA707" s="1" t="str">
        <f t="shared" si="70"/>
        <v/>
      </c>
      <c r="AB707" s="1" t="str">
        <f t="shared" si="71"/>
        <v/>
      </c>
    </row>
    <row r="708" spans="1:28" x14ac:dyDescent="0.2">
      <c r="A708" t="str">
        <f>IF(COUNTBLANK(B708:AD708)&lt;&gt;COLUMNS(B708:AD708),707,"")</f>
        <v/>
      </c>
      <c r="I708" s="1" t="str">
        <f t="shared" si="66"/>
        <v/>
      </c>
      <c r="J708" s="1" t="str">
        <f t="shared" si="67"/>
        <v/>
      </c>
      <c r="T708" s="1" t="str">
        <f t="shared" si="68"/>
        <v/>
      </c>
      <c r="W708" s="1" t="str">
        <f t="shared" si="69"/>
        <v/>
      </c>
      <c r="AA708" s="1" t="str">
        <f t="shared" si="70"/>
        <v/>
      </c>
      <c r="AB708" s="1" t="str">
        <f t="shared" si="71"/>
        <v/>
      </c>
    </row>
    <row r="709" spans="1:28" x14ac:dyDescent="0.2">
      <c r="A709" t="str">
        <f>IF(COUNTBLANK(B709:AD709)&lt;&gt;COLUMNS(B709:AD709),708,"")</f>
        <v/>
      </c>
      <c r="I709" s="1" t="str">
        <f t="shared" si="66"/>
        <v/>
      </c>
      <c r="J709" s="1" t="str">
        <f t="shared" si="67"/>
        <v/>
      </c>
      <c r="T709" s="1" t="str">
        <f t="shared" si="68"/>
        <v/>
      </c>
      <c r="W709" s="1" t="str">
        <f t="shared" si="69"/>
        <v/>
      </c>
      <c r="AA709" s="1" t="str">
        <f t="shared" si="70"/>
        <v/>
      </c>
      <c r="AB709" s="1" t="str">
        <f t="shared" si="71"/>
        <v/>
      </c>
    </row>
    <row r="710" spans="1:28" x14ac:dyDescent="0.2">
      <c r="A710" t="str">
        <f>IF(COUNTBLANK(B710:AD710)&lt;&gt;COLUMNS(B710:AD710),709,"")</f>
        <v/>
      </c>
      <c r="I710" s="1" t="str">
        <f t="shared" si="66"/>
        <v/>
      </c>
      <c r="J710" s="1" t="str">
        <f t="shared" si="67"/>
        <v/>
      </c>
      <c r="T710" s="1" t="str">
        <f t="shared" si="68"/>
        <v/>
      </c>
      <c r="W710" s="1" t="str">
        <f t="shared" si="69"/>
        <v/>
      </c>
      <c r="AA710" s="1" t="str">
        <f t="shared" si="70"/>
        <v/>
      </c>
      <c r="AB710" s="1" t="str">
        <f t="shared" si="71"/>
        <v/>
      </c>
    </row>
    <row r="711" spans="1:28" x14ac:dyDescent="0.2">
      <c r="A711" t="str">
        <f>IF(COUNTBLANK(B711:AD711)&lt;&gt;COLUMNS(B711:AD711),710,"")</f>
        <v/>
      </c>
      <c r="I711" s="1" t="str">
        <f t="shared" si="66"/>
        <v/>
      </c>
      <c r="J711" s="1" t="str">
        <f t="shared" si="67"/>
        <v/>
      </c>
      <c r="T711" s="1" t="str">
        <f t="shared" si="68"/>
        <v/>
      </c>
      <c r="W711" s="1" t="str">
        <f t="shared" si="69"/>
        <v/>
      </c>
      <c r="AA711" s="1" t="str">
        <f t="shared" si="70"/>
        <v/>
      </c>
      <c r="AB711" s="1" t="str">
        <f t="shared" si="71"/>
        <v/>
      </c>
    </row>
    <row r="712" spans="1:28" x14ac:dyDescent="0.2">
      <c r="A712" t="str">
        <f>IF(COUNTBLANK(B712:AD712)&lt;&gt;COLUMNS(B712:AD712),711,"")</f>
        <v/>
      </c>
      <c r="I712" s="1" t="str">
        <f t="shared" si="66"/>
        <v/>
      </c>
      <c r="J712" s="1" t="str">
        <f t="shared" si="67"/>
        <v/>
      </c>
      <c r="T712" s="1" t="str">
        <f t="shared" si="68"/>
        <v/>
      </c>
      <c r="W712" s="1" t="str">
        <f t="shared" si="69"/>
        <v/>
      </c>
      <c r="AA712" s="1" t="str">
        <f t="shared" si="70"/>
        <v/>
      </c>
      <c r="AB712" s="1" t="str">
        <f t="shared" si="71"/>
        <v/>
      </c>
    </row>
    <row r="713" spans="1:28" x14ac:dyDescent="0.2">
      <c r="A713" t="str">
        <f>IF(COUNTBLANK(B713:AD713)&lt;&gt;COLUMNS(B713:AD713),712,"")</f>
        <v/>
      </c>
      <c r="I713" s="1" t="str">
        <f t="shared" si="66"/>
        <v/>
      </c>
      <c r="J713" s="1" t="str">
        <f t="shared" si="67"/>
        <v/>
      </c>
      <c r="T713" s="1" t="str">
        <f t="shared" si="68"/>
        <v/>
      </c>
      <c r="W713" s="1" t="str">
        <f t="shared" si="69"/>
        <v/>
      </c>
      <c r="AA713" s="1" t="str">
        <f t="shared" si="70"/>
        <v/>
      </c>
      <c r="AB713" s="1" t="str">
        <f t="shared" si="71"/>
        <v/>
      </c>
    </row>
    <row r="714" spans="1:28" x14ac:dyDescent="0.2">
      <c r="A714" t="str">
        <f>IF(COUNTBLANK(B714:AD714)&lt;&gt;COLUMNS(B714:AD714),713,"")</f>
        <v/>
      </c>
      <c r="I714" s="1" t="str">
        <f t="shared" si="66"/>
        <v/>
      </c>
      <c r="J714" s="1" t="str">
        <f t="shared" si="67"/>
        <v/>
      </c>
      <c r="T714" s="1" t="str">
        <f t="shared" si="68"/>
        <v/>
      </c>
      <c r="W714" s="1" t="str">
        <f t="shared" si="69"/>
        <v/>
      </c>
      <c r="AA714" s="1" t="str">
        <f t="shared" si="70"/>
        <v/>
      </c>
      <c r="AB714" s="1" t="str">
        <f t="shared" si="71"/>
        <v/>
      </c>
    </row>
    <row r="715" spans="1:28" x14ac:dyDescent="0.2">
      <c r="A715" t="str">
        <f>IF(COUNTBLANK(B715:AD715)&lt;&gt;COLUMNS(B715:AD715),714,"")</f>
        <v/>
      </c>
      <c r="I715" s="1" t="str">
        <f t="shared" si="66"/>
        <v/>
      </c>
      <c r="J715" s="1" t="str">
        <f t="shared" si="67"/>
        <v/>
      </c>
      <c r="T715" s="1" t="str">
        <f t="shared" si="68"/>
        <v/>
      </c>
      <c r="W715" s="1" t="str">
        <f t="shared" si="69"/>
        <v/>
      </c>
      <c r="AA715" s="1" t="str">
        <f t="shared" si="70"/>
        <v/>
      </c>
      <c r="AB715" s="1" t="str">
        <f t="shared" si="71"/>
        <v/>
      </c>
    </row>
    <row r="716" spans="1:28" x14ac:dyDescent="0.2">
      <c r="A716" t="str">
        <f>IF(COUNTBLANK(B716:AD716)&lt;&gt;COLUMNS(B716:AD716),715,"")</f>
        <v/>
      </c>
      <c r="I716" s="1" t="str">
        <f t="shared" si="66"/>
        <v/>
      </c>
      <c r="J716" s="1" t="str">
        <f t="shared" si="67"/>
        <v/>
      </c>
      <c r="T716" s="1" t="str">
        <f t="shared" si="68"/>
        <v/>
      </c>
      <c r="W716" s="1" t="str">
        <f t="shared" si="69"/>
        <v/>
      </c>
      <c r="AA716" s="1" t="str">
        <f t="shared" si="70"/>
        <v/>
      </c>
      <c r="AB716" s="1" t="str">
        <f t="shared" si="71"/>
        <v/>
      </c>
    </row>
    <row r="717" spans="1:28" x14ac:dyDescent="0.2">
      <c r="A717" t="str">
        <f>IF(COUNTBLANK(B717:AD717)&lt;&gt;COLUMNS(B717:AD717),716,"")</f>
        <v/>
      </c>
      <c r="I717" s="1" t="str">
        <f t="shared" si="66"/>
        <v/>
      </c>
      <c r="J717" s="1" t="str">
        <f t="shared" si="67"/>
        <v/>
      </c>
      <c r="T717" s="1" t="str">
        <f t="shared" si="68"/>
        <v/>
      </c>
      <c r="W717" s="1" t="str">
        <f t="shared" si="69"/>
        <v/>
      </c>
      <c r="AA717" s="1" t="str">
        <f t="shared" si="70"/>
        <v/>
      </c>
      <c r="AB717" s="1" t="str">
        <f t="shared" si="71"/>
        <v/>
      </c>
    </row>
    <row r="718" spans="1:28" x14ac:dyDescent="0.2">
      <c r="A718" t="str">
        <f>IF(COUNTBLANK(B718:AD718)&lt;&gt;COLUMNS(B718:AD718),717,"")</f>
        <v/>
      </c>
      <c r="I718" s="1" t="str">
        <f t="shared" si="66"/>
        <v/>
      </c>
      <c r="J718" s="1" t="str">
        <f t="shared" si="67"/>
        <v/>
      </c>
      <c r="T718" s="1" t="str">
        <f t="shared" si="68"/>
        <v/>
      </c>
      <c r="W718" s="1" t="str">
        <f t="shared" si="69"/>
        <v/>
      </c>
      <c r="AA718" s="1" t="str">
        <f t="shared" si="70"/>
        <v/>
      </c>
      <c r="AB718" s="1" t="str">
        <f t="shared" si="71"/>
        <v/>
      </c>
    </row>
    <row r="719" spans="1:28" x14ac:dyDescent="0.2">
      <c r="A719" t="str">
        <f>IF(COUNTBLANK(B719:AD719)&lt;&gt;COLUMNS(B719:AD719),718,"")</f>
        <v/>
      </c>
      <c r="I719" s="1" t="str">
        <f t="shared" si="66"/>
        <v/>
      </c>
      <c r="J719" s="1" t="str">
        <f t="shared" si="67"/>
        <v/>
      </c>
      <c r="T719" s="1" t="str">
        <f t="shared" si="68"/>
        <v/>
      </c>
      <c r="W719" s="1" t="str">
        <f t="shared" si="69"/>
        <v/>
      </c>
      <c r="AA719" s="1" t="str">
        <f t="shared" si="70"/>
        <v/>
      </c>
      <c r="AB719" s="1" t="str">
        <f t="shared" si="71"/>
        <v/>
      </c>
    </row>
    <row r="720" spans="1:28" x14ac:dyDescent="0.2">
      <c r="A720" t="str">
        <f>IF(COUNTBLANK(B720:AD720)&lt;&gt;COLUMNS(B720:AD720),719,"")</f>
        <v/>
      </c>
      <c r="I720" s="1" t="str">
        <f t="shared" si="66"/>
        <v/>
      </c>
      <c r="J720" s="1" t="str">
        <f t="shared" si="67"/>
        <v/>
      </c>
      <c r="T720" s="1" t="str">
        <f t="shared" si="68"/>
        <v/>
      </c>
      <c r="W720" s="1" t="str">
        <f t="shared" si="69"/>
        <v/>
      </c>
      <c r="AA720" s="1" t="str">
        <f t="shared" si="70"/>
        <v/>
      </c>
      <c r="AB720" s="1" t="str">
        <f t="shared" si="71"/>
        <v/>
      </c>
    </row>
    <row r="721" spans="1:28" x14ac:dyDescent="0.2">
      <c r="A721" t="str">
        <f>IF(COUNTBLANK(B721:AD721)&lt;&gt;COLUMNS(B721:AD721),720,"")</f>
        <v/>
      </c>
      <c r="I721" s="1" t="str">
        <f t="shared" si="66"/>
        <v/>
      </c>
      <c r="J721" s="1" t="str">
        <f t="shared" si="67"/>
        <v/>
      </c>
      <c r="T721" s="1" t="str">
        <f t="shared" si="68"/>
        <v/>
      </c>
      <c r="W721" s="1" t="str">
        <f t="shared" si="69"/>
        <v/>
      </c>
      <c r="AA721" s="1" t="str">
        <f t="shared" si="70"/>
        <v/>
      </c>
      <c r="AB721" s="1" t="str">
        <f t="shared" si="71"/>
        <v/>
      </c>
    </row>
    <row r="722" spans="1:28" x14ac:dyDescent="0.2">
      <c r="A722" t="str">
        <f>IF(COUNTBLANK(B722:AD722)&lt;&gt;COLUMNS(B722:AD722),721,"")</f>
        <v/>
      </c>
      <c r="I722" s="1" t="str">
        <f t="shared" si="66"/>
        <v/>
      </c>
      <c r="J722" s="1" t="str">
        <f t="shared" si="67"/>
        <v/>
      </c>
      <c r="T722" s="1" t="str">
        <f t="shared" si="68"/>
        <v/>
      </c>
      <c r="W722" s="1" t="str">
        <f t="shared" si="69"/>
        <v/>
      </c>
      <c r="AA722" s="1" t="str">
        <f t="shared" si="70"/>
        <v/>
      </c>
      <c r="AB722" s="1" t="str">
        <f t="shared" si="71"/>
        <v/>
      </c>
    </row>
    <row r="723" spans="1:28" x14ac:dyDescent="0.2">
      <c r="A723" t="str">
        <f>IF(COUNTBLANK(B723:AD723)&lt;&gt;COLUMNS(B723:AD723),722,"")</f>
        <v/>
      </c>
      <c r="I723" s="1" t="str">
        <f t="shared" si="66"/>
        <v/>
      </c>
      <c r="J723" s="1" t="str">
        <f t="shared" si="67"/>
        <v/>
      </c>
      <c r="T723" s="1" t="str">
        <f t="shared" si="68"/>
        <v/>
      </c>
      <c r="W723" s="1" t="str">
        <f t="shared" si="69"/>
        <v/>
      </c>
      <c r="AA723" s="1" t="str">
        <f t="shared" si="70"/>
        <v/>
      </c>
      <c r="AB723" s="1" t="str">
        <f t="shared" si="71"/>
        <v/>
      </c>
    </row>
    <row r="724" spans="1:28" x14ac:dyDescent="0.2">
      <c r="A724" t="str">
        <f>IF(COUNTBLANK(B724:AD724)&lt;&gt;COLUMNS(B724:AD724),723,"")</f>
        <v/>
      </c>
      <c r="I724" s="1" t="str">
        <f t="shared" si="66"/>
        <v/>
      </c>
      <c r="J724" s="1" t="str">
        <f t="shared" si="67"/>
        <v/>
      </c>
      <c r="T724" s="1" t="str">
        <f t="shared" si="68"/>
        <v/>
      </c>
      <c r="W724" s="1" t="str">
        <f t="shared" si="69"/>
        <v/>
      </c>
      <c r="AA724" s="1" t="str">
        <f t="shared" si="70"/>
        <v/>
      </c>
      <c r="AB724" s="1" t="str">
        <f t="shared" si="71"/>
        <v/>
      </c>
    </row>
    <row r="725" spans="1:28" x14ac:dyDescent="0.2">
      <c r="A725" t="str">
        <f>IF(COUNTBLANK(B725:AD725)&lt;&gt;COLUMNS(B725:AD725),724,"")</f>
        <v/>
      </c>
      <c r="I725" s="1" t="str">
        <f t="shared" si="66"/>
        <v/>
      </c>
      <c r="J725" s="1" t="str">
        <f t="shared" si="67"/>
        <v/>
      </c>
      <c r="T725" s="1" t="str">
        <f t="shared" si="68"/>
        <v/>
      </c>
      <c r="W725" s="1" t="str">
        <f t="shared" si="69"/>
        <v/>
      </c>
      <c r="AA725" s="1" t="str">
        <f t="shared" si="70"/>
        <v/>
      </c>
      <c r="AB725" s="1" t="str">
        <f t="shared" si="71"/>
        <v/>
      </c>
    </row>
    <row r="726" spans="1:28" x14ac:dyDescent="0.2">
      <c r="A726" t="str">
        <f>IF(COUNTBLANK(B726:AD726)&lt;&gt;COLUMNS(B726:AD726),725,"")</f>
        <v/>
      </c>
      <c r="I726" s="1" t="str">
        <f t="shared" si="66"/>
        <v/>
      </c>
      <c r="J726" s="1" t="str">
        <f t="shared" si="67"/>
        <v/>
      </c>
      <c r="T726" s="1" t="str">
        <f t="shared" si="68"/>
        <v/>
      </c>
      <c r="W726" s="1" t="str">
        <f t="shared" si="69"/>
        <v/>
      </c>
      <c r="AA726" s="1" t="str">
        <f t="shared" si="70"/>
        <v/>
      </c>
      <c r="AB726" s="1" t="str">
        <f t="shared" si="71"/>
        <v/>
      </c>
    </row>
    <row r="727" spans="1:28" x14ac:dyDescent="0.2">
      <c r="A727" t="str">
        <f>IF(COUNTBLANK(B727:AD727)&lt;&gt;COLUMNS(B727:AD727),726,"")</f>
        <v/>
      </c>
      <c r="I727" s="1" t="str">
        <f t="shared" si="66"/>
        <v/>
      </c>
      <c r="J727" s="1" t="str">
        <f t="shared" si="67"/>
        <v/>
      </c>
      <c r="T727" s="1" t="str">
        <f t="shared" si="68"/>
        <v/>
      </c>
      <c r="W727" s="1" t="str">
        <f t="shared" si="69"/>
        <v/>
      </c>
      <c r="AA727" s="1" t="str">
        <f t="shared" si="70"/>
        <v/>
      </c>
      <c r="AB727" s="1" t="str">
        <f t="shared" si="71"/>
        <v/>
      </c>
    </row>
    <row r="728" spans="1:28" x14ac:dyDescent="0.2">
      <c r="A728" t="str">
        <f>IF(COUNTBLANK(B728:AD728)&lt;&gt;COLUMNS(B728:AD728),727,"")</f>
        <v/>
      </c>
      <c r="I728" s="1" t="str">
        <f t="shared" si="66"/>
        <v/>
      </c>
      <c r="J728" s="1" t="str">
        <f t="shared" si="67"/>
        <v/>
      </c>
      <c r="T728" s="1" t="str">
        <f t="shared" si="68"/>
        <v/>
      </c>
      <c r="W728" s="1" t="str">
        <f t="shared" si="69"/>
        <v/>
      </c>
      <c r="AA728" s="1" t="str">
        <f t="shared" si="70"/>
        <v/>
      </c>
      <c r="AB728" s="1" t="str">
        <f t="shared" si="71"/>
        <v/>
      </c>
    </row>
    <row r="729" spans="1:28" x14ac:dyDescent="0.2">
      <c r="A729" t="str">
        <f>IF(COUNTBLANK(B729:AD729)&lt;&gt;COLUMNS(B729:AD729),728,"")</f>
        <v/>
      </c>
      <c r="I729" s="1" t="str">
        <f t="shared" si="66"/>
        <v/>
      </c>
      <c r="J729" s="1" t="str">
        <f t="shared" si="67"/>
        <v/>
      </c>
      <c r="T729" s="1" t="str">
        <f t="shared" si="68"/>
        <v/>
      </c>
      <c r="W729" s="1" t="str">
        <f t="shared" si="69"/>
        <v/>
      </c>
      <c r="AA729" s="1" t="str">
        <f t="shared" si="70"/>
        <v/>
      </c>
      <c r="AB729" s="1" t="str">
        <f t="shared" si="71"/>
        <v/>
      </c>
    </row>
    <row r="730" spans="1:28" x14ac:dyDescent="0.2">
      <c r="A730" t="str">
        <f>IF(COUNTBLANK(B730:AD730)&lt;&gt;COLUMNS(B730:AD730),729,"")</f>
        <v/>
      </c>
      <c r="I730" s="1" t="str">
        <f t="shared" si="66"/>
        <v/>
      </c>
      <c r="J730" s="1" t="str">
        <f t="shared" si="67"/>
        <v/>
      </c>
      <c r="T730" s="1" t="str">
        <f t="shared" si="68"/>
        <v/>
      </c>
      <c r="W730" s="1" t="str">
        <f t="shared" si="69"/>
        <v/>
      </c>
      <c r="AA730" s="1" t="str">
        <f t="shared" si="70"/>
        <v/>
      </c>
      <c r="AB730" s="1" t="str">
        <f t="shared" si="71"/>
        <v/>
      </c>
    </row>
    <row r="731" spans="1:28" x14ac:dyDescent="0.2">
      <c r="A731" t="str">
        <f>IF(COUNTBLANK(B731:AD731)&lt;&gt;COLUMNS(B731:AD731),730,"")</f>
        <v/>
      </c>
      <c r="I731" s="1" t="str">
        <f t="shared" si="66"/>
        <v/>
      </c>
      <c r="J731" s="1" t="str">
        <f t="shared" si="67"/>
        <v/>
      </c>
      <c r="T731" s="1" t="str">
        <f t="shared" si="68"/>
        <v/>
      </c>
      <c r="W731" s="1" t="str">
        <f t="shared" si="69"/>
        <v/>
      </c>
      <c r="AA731" s="1" t="str">
        <f t="shared" si="70"/>
        <v/>
      </c>
      <c r="AB731" s="1" t="str">
        <f t="shared" si="71"/>
        <v/>
      </c>
    </row>
    <row r="732" spans="1:28" x14ac:dyDescent="0.2">
      <c r="A732" t="str">
        <f>IF(COUNTBLANK(B732:AD732)&lt;&gt;COLUMNS(B732:AD732),731,"")</f>
        <v/>
      </c>
      <c r="I732" s="1" t="str">
        <f t="shared" si="66"/>
        <v/>
      </c>
      <c r="J732" s="1" t="str">
        <f t="shared" si="67"/>
        <v/>
      </c>
      <c r="T732" s="1" t="str">
        <f t="shared" si="68"/>
        <v/>
      </c>
      <c r="W732" s="1" t="str">
        <f t="shared" si="69"/>
        <v/>
      </c>
      <c r="AA732" s="1" t="str">
        <f t="shared" si="70"/>
        <v/>
      </c>
      <c r="AB732" s="1" t="str">
        <f t="shared" si="71"/>
        <v/>
      </c>
    </row>
    <row r="733" spans="1:28" x14ac:dyDescent="0.2">
      <c r="A733" t="str">
        <f>IF(COUNTBLANK(B733:AD733)&lt;&gt;COLUMNS(B733:AD733),732,"")</f>
        <v/>
      </c>
      <c r="I733" s="1" t="str">
        <f t="shared" si="66"/>
        <v/>
      </c>
      <c r="J733" s="1" t="str">
        <f t="shared" si="67"/>
        <v/>
      </c>
      <c r="T733" s="1" t="str">
        <f t="shared" si="68"/>
        <v/>
      </c>
      <c r="W733" s="1" t="str">
        <f t="shared" si="69"/>
        <v/>
      </c>
      <c r="AA733" s="1" t="str">
        <f t="shared" si="70"/>
        <v/>
      </c>
      <c r="AB733" s="1" t="str">
        <f t="shared" si="71"/>
        <v/>
      </c>
    </row>
    <row r="734" spans="1:28" x14ac:dyDescent="0.2">
      <c r="A734" t="str">
        <f>IF(COUNTBLANK(B734:AD734)&lt;&gt;COLUMNS(B734:AD734),733,"")</f>
        <v/>
      </c>
      <c r="I734" s="1" t="str">
        <f t="shared" si="66"/>
        <v/>
      </c>
      <c r="J734" s="1" t="str">
        <f t="shared" si="67"/>
        <v/>
      </c>
      <c r="T734" s="1" t="str">
        <f t="shared" si="68"/>
        <v/>
      </c>
      <c r="W734" s="1" t="str">
        <f t="shared" si="69"/>
        <v/>
      </c>
      <c r="AA734" s="1" t="str">
        <f t="shared" si="70"/>
        <v/>
      </c>
      <c r="AB734" s="1" t="str">
        <f t="shared" si="71"/>
        <v/>
      </c>
    </row>
    <row r="735" spans="1:28" x14ac:dyDescent="0.2">
      <c r="A735" t="str">
        <f>IF(COUNTBLANK(B735:AD735)&lt;&gt;COLUMNS(B735:AD735),734,"")</f>
        <v/>
      </c>
      <c r="I735" s="1" t="str">
        <f t="shared" si="66"/>
        <v/>
      </c>
      <c r="J735" s="1" t="str">
        <f t="shared" si="67"/>
        <v/>
      </c>
      <c r="T735" s="1" t="str">
        <f t="shared" si="68"/>
        <v/>
      </c>
      <c r="W735" s="1" t="str">
        <f t="shared" si="69"/>
        <v/>
      </c>
      <c r="AA735" s="1" t="str">
        <f t="shared" si="70"/>
        <v/>
      </c>
      <c r="AB735" s="1" t="str">
        <f t="shared" si="71"/>
        <v/>
      </c>
    </row>
    <row r="736" spans="1:28" x14ac:dyDescent="0.2">
      <c r="A736" t="str">
        <f>IF(COUNTBLANK(B736:AD736)&lt;&gt;COLUMNS(B736:AD736),735,"")</f>
        <v/>
      </c>
      <c r="I736" s="1" t="str">
        <f t="shared" si="66"/>
        <v/>
      </c>
      <c r="J736" s="1" t="str">
        <f t="shared" si="67"/>
        <v/>
      </c>
      <c r="T736" s="1" t="str">
        <f t="shared" si="68"/>
        <v/>
      </c>
      <c r="W736" s="1" t="str">
        <f t="shared" si="69"/>
        <v/>
      </c>
      <c r="AA736" s="1" t="str">
        <f t="shared" si="70"/>
        <v/>
      </c>
      <c r="AB736" s="1" t="str">
        <f t="shared" si="71"/>
        <v/>
      </c>
    </row>
    <row r="737" spans="1:28" x14ac:dyDescent="0.2">
      <c r="A737" t="str">
        <f>IF(COUNTBLANK(B737:AD737)&lt;&gt;COLUMNS(B737:AD737),736,"")</f>
        <v/>
      </c>
      <c r="I737" s="1" t="str">
        <f t="shared" si="66"/>
        <v/>
      </c>
      <c r="J737" s="1" t="str">
        <f t="shared" si="67"/>
        <v/>
      </c>
      <c r="T737" s="1" t="str">
        <f t="shared" si="68"/>
        <v/>
      </c>
      <c r="W737" s="1" t="str">
        <f t="shared" si="69"/>
        <v/>
      </c>
      <c r="AA737" s="1" t="str">
        <f t="shared" si="70"/>
        <v/>
      </c>
      <c r="AB737" s="1" t="str">
        <f t="shared" si="71"/>
        <v/>
      </c>
    </row>
    <row r="738" spans="1:28" x14ac:dyDescent="0.2">
      <c r="A738" t="str">
        <f>IF(COUNTBLANK(B738:AD738)&lt;&gt;COLUMNS(B738:AD738),737,"")</f>
        <v/>
      </c>
      <c r="I738" s="1" t="str">
        <f t="shared" si="66"/>
        <v/>
      </c>
      <c r="J738" s="1" t="str">
        <f t="shared" si="67"/>
        <v/>
      </c>
      <c r="T738" s="1" t="str">
        <f t="shared" si="68"/>
        <v/>
      </c>
      <c r="W738" s="1" t="str">
        <f t="shared" si="69"/>
        <v/>
      </c>
      <c r="AA738" s="1" t="str">
        <f t="shared" si="70"/>
        <v/>
      </c>
      <c r="AB738" s="1" t="str">
        <f t="shared" si="71"/>
        <v/>
      </c>
    </row>
    <row r="739" spans="1:28" x14ac:dyDescent="0.2">
      <c r="A739" t="str">
        <f>IF(COUNTBLANK(B739:AD739)&lt;&gt;COLUMNS(B739:AD739),738,"")</f>
        <v/>
      </c>
      <c r="I739" s="1" t="str">
        <f t="shared" si="66"/>
        <v/>
      </c>
      <c r="J739" s="1" t="str">
        <f t="shared" si="67"/>
        <v/>
      </c>
      <c r="T739" s="1" t="str">
        <f t="shared" si="68"/>
        <v/>
      </c>
      <c r="W739" s="1" t="str">
        <f t="shared" si="69"/>
        <v/>
      </c>
      <c r="AA739" s="1" t="str">
        <f t="shared" si="70"/>
        <v/>
      </c>
      <c r="AB739" s="1" t="str">
        <f t="shared" si="71"/>
        <v/>
      </c>
    </row>
    <row r="740" spans="1:28" x14ac:dyDescent="0.2">
      <c r="A740" t="str">
        <f>IF(COUNTBLANK(B740:AD740)&lt;&gt;COLUMNS(B740:AD740),739,"")</f>
        <v/>
      </c>
      <c r="I740" s="1" t="str">
        <f t="shared" si="66"/>
        <v/>
      </c>
      <c r="J740" s="1" t="str">
        <f t="shared" si="67"/>
        <v/>
      </c>
      <c r="T740" s="1" t="str">
        <f t="shared" si="68"/>
        <v/>
      </c>
      <c r="W740" s="1" t="str">
        <f t="shared" si="69"/>
        <v/>
      </c>
      <c r="AA740" s="1" t="str">
        <f t="shared" si="70"/>
        <v/>
      </c>
      <c r="AB740" s="1" t="str">
        <f t="shared" si="71"/>
        <v/>
      </c>
    </row>
    <row r="741" spans="1:28" x14ac:dyDescent="0.2">
      <c r="A741" t="str">
        <f>IF(COUNTBLANK(B741:AD741)&lt;&gt;COLUMNS(B741:AD741),740,"")</f>
        <v/>
      </c>
      <c r="I741" s="1" t="str">
        <f t="shared" si="66"/>
        <v/>
      </c>
      <c r="J741" s="1" t="str">
        <f t="shared" si="67"/>
        <v/>
      </c>
      <c r="T741" s="1" t="str">
        <f t="shared" si="68"/>
        <v/>
      </c>
      <c r="W741" s="1" t="str">
        <f t="shared" si="69"/>
        <v/>
      </c>
      <c r="AA741" s="1" t="str">
        <f t="shared" si="70"/>
        <v/>
      </c>
      <c r="AB741" s="1" t="str">
        <f t="shared" si="71"/>
        <v/>
      </c>
    </row>
    <row r="742" spans="1:28" x14ac:dyDescent="0.2">
      <c r="A742" t="str">
        <f>IF(COUNTBLANK(B742:AD742)&lt;&gt;COLUMNS(B742:AD742),741,"")</f>
        <v/>
      </c>
      <c r="I742" s="1" t="str">
        <f t="shared" si="66"/>
        <v/>
      </c>
      <c r="J742" s="1" t="str">
        <f t="shared" si="67"/>
        <v/>
      </c>
      <c r="T742" s="1" t="str">
        <f t="shared" si="68"/>
        <v/>
      </c>
      <c r="W742" s="1" t="str">
        <f t="shared" si="69"/>
        <v/>
      </c>
      <c r="AA742" s="1" t="str">
        <f t="shared" si="70"/>
        <v/>
      </c>
      <c r="AB742" s="1" t="str">
        <f t="shared" si="71"/>
        <v/>
      </c>
    </row>
    <row r="743" spans="1:28" x14ac:dyDescent="0.2">
      <c r="A743" t="str">
        <f>IF(COUNTBLANK(B743:AD743)&lt;&gt;COLUMNS(B743:AD743),742,"")</f>
        <v/>
      </c>
      <c r="I743" s="1" t="str">
        <f t="shared" si="66"/>
        <v/>
      </c>
      <c r="J743" s="1" t="str">
        <f t="shared" si="67"/>
        <v/>
      </c>
      <c r="T743" s="1" t="str">
        <f t="shared" si="68"/>
        <v/>
      </c>
      <c r="W743" s="1" t="str">
        <f t="shared" si="69"/>
        <v/>
      </c>
      <c r="AA743" s="1" t="str">
        <f t="shared" si="70"/>
        <v/>
      </c>
      <c r="AB743" s="1" t="str">
        <f t="shared" si="71"/>
        <v/>
      </c>
    </row>
    <row r="744" spans="1:28" x14ac:dyDescent="0.2">
      <c r="A744" t="str">
        <f>IF(COUNTBLANK(B744:AD744)&lt;&gt;COLUMNS(B744:AD744),743,"")</f>
        <v/>
      </c>
      <c r="I744" s="1" t="str">
        <f t="shared" si="66"/>
        <v/>
      </c>
      <c r="J744" s="1" t="str">
        <f t="shared" si="67"/>
        <v/>
      </c>
      <c r="T744" s="1" t="str">
        <f t="shared" si="68"/>
        <v/>
      </c>
      <c r="W744" s="1" t="str">
        <f t="shared" si="69"/>
        <v/>
      </c>
      <c r="AA744" s="1" t="str">
        <f t="shared" si="70"/>
        <v/>
      </c>
      <c r="AB744" s="1" t="str">
        <f t="shared" si="71"/>
        <v/>
      </c>
    </row>
    <row r="745" spans="1:28" x14ac:dyDescent="0.2">
      <c r="A745" t="str">
        <f>IF(COUNTBLANK(B745:AD745)&lt;&gt;COLUMNS(B745:AD745),744,"")</f>
        <v/>
      </c>
      <c r="I745" s="1" t="str">
        <f t="shared" si="66"/>
        <v/>
      </c>
      <c r="J745" s="1" t="str">
        <f t="shared" si="67"/>
        <v/>
      </c>
      <c r="T745" s="1" t="str">
        <f t="shared" si="68"/>
        <v/>
      </c>
      <c r="W745" s="1" t="str">
        <f t="shared" si="69"/>
        <v/>
      </c>
      <c r="AA745" s="1" t="str">
        <f t="shared" si="70"/>
        <v/>
      </c>
      <c r="AB745" s="1" t="str">
        <f t="shared" si="71"/>
        <v/>
      </c>
    </row>
    <row r="746" spans="1:28" x14ac:dyDescent="0.2">
      <c r="A746" t="str">
        <f>IF(COUNTBLANK(B746:AD746)&lt;&gt;COLUMNS(B746:AD746),745,"")</f>
        <v/>
      </c>
      <c r="I746" s="1" t="str">
        <f t="shared" si="66"/>
        <v/>
      </c>
      <c r="J746" s="1" t="str">
        <f t="shared" si="67"/>
        <v/>
      </c>
      <c r="T746" s="1" t="str">
        <f t="shared" si="68"/>
        <v/>
      </c>
      <c r="W746" s="1" t="str">
        <f t="shared" si="69"/>
        <v/>
      </c>
      <c r="AA746" s="1" t="str">
        <f t="shared" si="70"/>
        <v/>
      </c>
      <c r="AB746" s="1" t="str">
        <f t="shared" si="71"/>
        <v/>
      </c>
    </row>
    <row r="747" spans="1:28" x14ac:dyDescent="0.2">
      <c r="A747" t="str">
        <f>IF(COUNTBLANK(B747:AD747)&lt;&gt;COLUMNS(B747:AD747),746,"")</f>
        <v/>
      </c>
      <c r="I747" s="1" t="str">
        <f t="shared" si="66"/>
        <v/>
      </c>
      <c r="J747" s="1" t="str">
        <f t="shared" si="67"/>
        <v/>
      </c>
      <c r="T747" s="1" t="str">
        <f t="shared" si="68"/>
        <v/>
      </c>
      <c r="W747" s="1" t="str">
        <f t="shared" si="69"/>
        <v/>
      </c>
      <c r="AA747" s="1" t="str">
        <f t="shared" si="70"/>
        <v/>
      </c>
      <c r="AB747" s="1" t="str">
        <f t="shared" si="71"/>
        <v/>
      </c>
    </row>
    <row r="748" spans="1:28" x14ac:dyDescent="0.2">
      <c r="A748" t="str">
        <f>IF(COUNTBLANK(B748:AD748)&lt;&gt;COLUMNS(B748:AD748),747,"")</f>
        <v/>
      </c>
      <c r="I748" s="1" t="str">
        <f t="shared" si="66"/>
        <v/>
      </c>
      <c r="J748" s="1" t="str">
        <f t="shared" si="67"/>
        <v/>
      </c>
      <c r="T748" s="1" t="str">
        <f t="shared" si="68"/>
        <v/>
      </c>
      <c r="W748" s="1" t="str">
        <f t="shared" si="69"/>
        <v/>
      </c>
      <c r="AA748" s="1" t="str">
        <f t="shared" si="70"/>
        <v/>
      </c>
      <c r="AB748" s="1" t="str">
        <f t="shared" si="71"/>
        <v/>
      </c>
    </row>
    <row r="749" spans="1:28" x14ac:dyDescent="0.2">
      <c r="A749" t="str">
        <f>IF(COUNTBLANK(B749:AD749)&lt;&gt;COLUMNS(B749:AD749),748,"")</f>
        <v/>
      </c>
      <c r="I749" s="1" t="str">
        <f t="shared" si="66"/>
        <v/>
      </c>
      <c r="J749" s="1" t="str">
        <f t="shared" si="67"/>
        <v/>
      </c>
      <c r="T749" s="1" t="str">
        <f t="shared" si="68"/>
        <v/>
      </c>
      <c r="W749" s="1" t="str">
        <f t="shared" si="69"/>
        <v/>
      </c>
      <c r="AA749" s="1" t="str">
        <f t="shared" si="70"/>
        <v/>
      </c>
      <c r="AB749" s="1" t="str">
        <f t="shared" si="71"/>
        <v/>
      </c>
    </row>
    <row r="750" spans="1:28" x14ac:dyDescent="0.2">
      <c r="A750" t="str">
        <f>IF(COUNTBLANK(B750:AD750)&lt;&gt;COLUMNS(B750:AD750),749,"")</f>
        <v/>
      </c>
      <c r="I750" s="1" t="str">
        <f t="shared" si="66"/>
        <v/>
      </c>
      <c r="J750" s="1" t="str">
        <f t="shared" si="67"/>
        <v/>
      </c>
      <c r="T750" s="1" t="str">
        <f t="shared" si="68"/>
        <v/>
      </c>
      <c r="W750" s="1" t="str">
        <f t="shared" si="69"/>
        <v/>
      </c>
      <c r="AA750" s="1" t="str">
        <f t="shared" si="70"/>
        <v/>
      </c>
      <c r="AB750" s="1" t="str">
        <f t="shared" si="71"/>
        <v/>
      </c>
    </row>
    <row r="751" spans="1:28" x14ac:dyDescent="0.2">
      <c r="A751" t="str">
        <f>IF(COUNTBLANK(B751:AD751)&lt;&gt;COLUMNS(B751:AD751),750,"")</f>
        <v/>
      </c>
      <c r="I751" s="1" t="str">
        <f t="shared" si="66"/>
        <v/>
      </c>
      <c r="J751" s="1" t="str">
        <f t="shared" si="67"/>
        <v/>
      </c>
      <c r="T751" s="1" t="str">
        <f t="shared" si="68"/>
        <v/>
      </c>
      <c r="W751" s="1" t="str">
        <f t="shared" si="69"/>
        <v/>
      </c>
      <c r="AA751" s="1" t="str">
        <f t="shared" si="70"/>
        <v/>
      </c>
      <c r="AB751" s="1" t="str">
        <f t="shared" si="71"/>
        <v/>
      </c>
    </row>
    <row r="752" spans="1:28" x14ac:dyDescent="0.2">
      <c r="A752" t="str">
        <f>IF(COUNTBLANK(B752:AD752)&lt;&gt;COLUMNS(B752:AD752),751,"")</f>
        <v/>
      </c>
      <c r="I752" s="1" t="str">
        <f t="shared" si="66"/>
        <v/>
      </c>
      <c r="J752" s="1" t="str">
        <f t="shared" si="67"/>
        <v/>
      </c>
      <c r="T752" s="1" t="str">
        <f t="shared" si="68"/>
        <v/>
      </c>
      <c r="W752" s="1" t="str">
        <f t="shared" si="69"/>
        <v/>
      </c>
      <c r="AA752" s="1" t="str">
        <f t="shared" si="70"/>
        <v/>
      </c>
      <c r="AB752" s="1" t="str">
        <f t="shared" si="71"/>
        <v/>
      </c>
    </row>
    <row r="753" spans="1:28" x14ac:dyDescent="0.2">
      <c r="A753" t="str">
        <f>IF(COUNTBLANK(B753:AD753)&lt;&gt;COLUMNS(B753:AD753),752,"")</f>
        <v/>
      </c>
      <c r="I753" s="1" t="str">
        <f t="shared" si="66"/>
        <v/>
      </c>
      <c r="J753" s="1" t="str">
        <f t="shared" si="67"/>
        <v/>
      </c>
      <c r="T753" s="1" t="str">
        <f t="shared" si="68"/>
        <v/>
      </c>
      <c r="W753" s="1" t="str">
        <f t="shared" si="69"/>
        <v/>
      </c>
      <c r="AA753" s="1" t="str">
        <f t="shared" si="70"/>
        <v/>
      </c>
      <c r="AB753" s="1" t="str">
        <f t="shared" si="71"/>
        <v/>
      </c>
    </row>
    <row r="754" spans="1:28" x14ac:dyDescent="0.2">
      <c r="A754" t="str">
        <f>IF(COUNTBLANK(B754:AD754)&lt;&gt;COLUMNS(B754:AD754),753,"")</f>
        <v/>
      </c>
      <c r="I754" s="1" t="str">
        <f t="shared" si="66"/>
        <v/>
      </c>
      <c r="J754" s="1" t="str">
        <f t="shared" si="67"/>
        <v/>
      </c>
      <c r="T754" s="1" t="str">
        <f t="shared" si="68"/>
        <v/>
      </c>
      <c r="W754" s="1" t="str">
        <f t="shared" si="69"/>
        <v/>
      </c>
      <c r="AA754" s="1" t="str">
        <f t="shared" si="70"/>
        <v/>
      </c>
      <c r="AB754" s="1" t="str">
        <f t="shared" si="71"/>
        <v/>
      </c>
    </row>
    <row r="755" spans="1:28" x14ac:dyDescent="0.2">
      <c r="A755" t="str">
        <f>IF(COUNTBLANK(B755:AD755)&lt;&gt;COLUMNS(B755:AD755),754,"")</f>
        <v/>
      </c>
      <c r="I755" s="1" t="str">
        <f t="shared" si="66"/>
        <v/>
      </c>
      <c r="J755" s="1" t="str">
        <f t="shared" si="67"/>
        <v/>
      </c>
      <c r="T755" s="1" t="str">
        <f t="shared" si="68"/>
        <v/>
      </c>
      <c r="W755" s="1" t="str">
        <f t="shared" si="69"/>
        <v/>
      </c>
      <c r="AA755" s="1" t="str">
        <f t="shared" si="70"/>
        <v/>
      </c>
      <c r="AB755" s="1" t="str">
        <f t="shared" si="71"/>
        <v/>
      </c>
    </row>
    <row r="756" spans="1:28" x14ac:dyDescent="0.2">
      <c r="A756" t="str">
        <f>IF(COUNTBLANK(B756:AD756)&lt;&gt;COLUMNS(B756:AD756),755,"")</f>
        <v/>
      </c>
      <c r="I756" s="1" t="str">
        <f t="shared" si="66"/>
        <v/>
      </c>
      <c r="J756" s="1" t="str">
        <f t="shared" si="67"/>
        <v/>
      </c>
      <c r="T756" s="1" t="str">
        <f t="shared" si="68"/>
        <v/>
      </c>
      <c r="W756" s="1" t="str">
        <f t="shared" si="69"/>
        <v/>
      </c>
      <c r="AA756" s="1" t="str">
        <f t="shared" si="70"/>
        <v/>
      </c>
      <c r="AB756" s="1" t="str">
        <f t="shared" si="71"/>
        <v/>
      </c>
    </row>
    <row r="757" spans="1:28" x14ac:dyDescent="0.2">
      <c r="A757" t="str">
        <f>IF(COUNTBLANK(B757:AD757)&lt;&gt;COLUMNS(B757:AD757),756,"")</f>
        <v/>
      </c>
      <c r="I757" s="1" t="str">
        <f t="shared" si="66"/>
        <v/>
      </c>
      <c r="J757" s="1" t="str">
        <f t="shared" si="67"/>
        <v/>
      </c>
      <c r="T757" s="1" t="str">
        <f t="shared" si="68"/>
        <v/>
      </c>
      <c r="W757" s="1" t="str">
        <f t="shared" si="69"/>
        <v/>
      </c>
      <c r="AA757" s="1" t="str">
        <f t="shared" si="70"/>
        <v/>
      </c>
      <c r="AB757" s="1" t="str">
        <f t="shared" si="71"/>
        <v/>
      </c>
    </row>
    <row r="758" spans="1:28" x14ac:dyDescent="0.2">
      <c r="A758" t="str">
        <f>IF(COUNTBLANK(B758:AD758)&lt;&gt;COLUMNS(B758:AD758),757,"")</f>
        <v/>
      </c>
      <c r="I758" s="1" t="str">
        <f t="shared" si="66"/>
        <v/>
      </c>
      <c r="J758" s="1" t="str">
        <f t="shared" si="67"/>
        <v/>
      </c>
      <c r="T758" s="1" t="str">
        <f t="shared" si="68"/>
        <v/>
      </c>
      <c r="W758" s="1" t="str">
        <f t="shared" si="69"/>
        <v/>
      </c>
      <c r="AA758" s="1" t="str">
        <f t="shared" si="70"/>
        <v/>
      </c>
      <c r="AB758" s="1" t="str">
        <f t="shared" si="71"/>
        <v/>
      </c>
    </row>
    <row r="759" spans="1:28" x14ac:dyDescent="0.2">
      <c r="A759" t="str">
        <f>IF(COUNTBLANK(B759:AD759)&lt;&gt;COLUMNS(B759:AD759),758,"")</f>
        <v/>
      </c>
      <c r="I759" s="1" t="str">
        <f t="shared" si="66"/>
        <v/>
      </c>
      <c r="J759" s="1" t="str">
        <f t="shared" si="67"/>
        <v/>
      </c>
      <c r="T759" s="1" t="str">
        <f t="shared" si="68"/>
        <v/>
      </c>
      <c r="W759" s="1" t="str">
        <f t="shared" si="69"/>
        <v/>
      </c>
      <c r="AA759" s="1" t="str">
        <f t="shared" si="70"/>
        <v/>
      </c>
      <c r="AB759" s="1" t="str">
        <f t="shared" si="71"/>
        <v/>
      </c>
    </row>
    <row r="760" spans="1:28" x14ac:dyDescent="0.2">
      <c r="A760" t="str">
        <f>IF(COUNTBLANK(B760:AD760)&lt;&gt;COLUMNS(B760:AD760),759,"")</f>
        <v/>
      </c>
      <c r="I760" s="1" t="str">
        <f t="shared" si="66"/>
        <v/>
      </c>
      <c r="J760" s="1" t="str">
        <f t="shared" si="67"/>
        <v/>
      </c>
      <c r="T760" s="1" t="str">
        <f t="shared" si="68"/>
        <v/>
      </c>
      <c r="W760" s="1" t="str">
        <f t="shared" si="69"/>
        <v/>
      </c>
      <c r="AA760" s="1" t="str">
        <f t="shared" si="70"/>
        <v/>
      </c>
      <c r="AB760" s="1" t="str">
        <f t="shared" si="71"/>
        <v/>
      </c>
    </row>
    <row r="761" spans="1:28" x14ac:dyDescent="0.2">
      <c r="A761" t="str">
        <f>IF(COUNTBLANK(B761:AD761)&lt;&gt;COLUMNS(B761:AD761),760,"")</f>
        <v/>
      </c>
      <c r="I761" s="1" t="str">
        <f t="shared" si="66"/>
        <v/>
      </c>
      <c r="J761" s="1" t="str">
        <f t="shared" si="67"/>
        <v/>
      </c>
      <c r="T761" s="1" t="str">
        <f t="shared" si="68"/>
        <v/>
      </c>
      <c r="W761" s="1" t="str">
        <f t="shared" si="69"/>
        <v/>
      </c>
      <c r="AA761" s="1" t="str">
        <f t="shared" si="70"/>
        <v/>
      </c>
      <c r="AB761" s="1" t="str">
        <f t="shared" si="71"/>
        <v/>
      </c>
    </row>
    <row r="762" spans="1:28" x14ac:dyDescent="0.2">
      <c r="A762" t="str">
        <f>IF(COUNTBLANK(B762:AD762)&lt;&gt;COLUMNS(B762:AD762),761,"")</f>
        <v/>
      </c>
      <c r="I762" s="1" t="str">
        <f t="shared" si="66"/>
        <v/>
      </c>
      <c r="J762" s="1" t="str">
        <f t="shared" si="67"/>
        <v/>
      </c>
      <c r="T762" s="1" t="str">
        <f t="shared" si="68"/>
        <v/>
      </c>
      <c r="W762" s="1" t="str">
        <f t="shared" si="69"/>
        <v/>
      </c>
      <c r="AA762" s="1" t="str">
        <f t="shared" si="70"/>
        <v/>
      </c>
      <c r="AB762" s="1" t="str">
        <f t="shared" si="71"/>
        <v/>
      </c>
    </row>
    <row r="763" spans="1:28" x14ac:dyDescent="0.2">
      <c r="A763" t="str">
        <f>IF(COUNTBLANK(B763:AD763)&lt;&gt;COLUMNS(B763:AD763),762,"")</f>
        <v/>
      </c>
      <c r="I763" s="1" t="str">
        <f t="shared" si="66"/>
        <v/>
      </c>
      <c r="J763" s="1" t="str">
        <f t="shared" si="67"/>
        <v/>
      </c>
      <c r="T763" s="1" t="str">
        <f t="shared" si="68"/>
        <v/>
      </c>
      <c r="W763" s="1" t="str">
        <f t="shared" si="69"/>
        <v/>
      </c>
      <c r="AA763" s="1" t="str">
        <f t="shared" si="70"/>
        <v/>
      </c>
      <c r="AB763" s="1" t="str">
        <f t="shared" si="71"/>
        <v/>
      </c>
    </row>
    <row r="764" spans="1:28" x14ac:dyDescent="0.2">
      <c r="A764" t="str">
        <f>IF(COUNTBLANK(B764:AD764)&lt;&gt;COLUMNS(B764:AD764),763,"")</f>
        <v/>
      </c>
      <c r="I764" s="1" t="str">
        <f t="shared" si="66"/>
        <v/>
      </c>
      <c r="J764" s="1" t="str">
        <f t="shared" si="67"/>
        <v/>
      </c>
      <c r="T764" s="1" t="str">
        <f t="shared" si="68"/>
        <v/>
      </c>
      <c r="W764" s="1" t="str">
        <f t="shared" si="69"/>
        <v/>
      </c>
      <c r="AA764" s="1" t="str">
        <f t="shared" si="70"/>
        <v/>
      </c>
      <c r="AB764" s="1" t="str">
        <f t="shared" si="71"/>
        <v/>
      </c>
    </row>
    <row r="765" spans="1:28" x14ac:dyDescent="0.2">
      <c r="A765" t="str">
        <f>IF(COUNTBLANK(B765:AD765)&lt;&gt;COLUMNS(B765:AD765),764,"")</f>
        <v/>
      </c>
      <c r="I765" s="1" t="str">
        <f t="shared" si="66"/>
        <v/>
      </c>
      <c r="J765" s="1" t="str">
        <f t="shared" si="67"/>
        <v/>
      </c>
      <c r="T765" s="1" t="str">
        <f t="shared" si="68"/>
        <v/>
      </c>
      <c r="W765" s="1" t="str">
        <f t="shared" si="69"/>
        <v/>
      </c>
      <c r="AA765" s="1" t="str">
        <f t="shared" si="70"/>
        <v/>
      </c>
      <c r="AB765" s="1" t="str">
        <f t="shared" si="71"/>
        <v/>
      </c>
    </row>
    <row r="766" spans="1:28" x14ac:dyDescent="0.2">
      <c r="A766" t="str">
        <f>IF(COUNTBLANK(B766:AD766)&lt;&gt;COLUMNS(B766:AD766),765,"")</f>
        <v/>
      </c>
      <c r="I766" s="1" t="str">
        <f t="shared" si="66"/>
        <v/>
      </c>
      <c r="J766" s="1" t="str">
        <f t="shared" si="67"/>
        <v/>
      </c>
      <c r="T766" s="1" t="str">
        <f t="shared" si="68"/>
        <v/>
      </c>
      <c r="W766" s="1" t="str">
        <f t="shared" si="69"/>
        <v/>
      </c>
      <c r="AA766" s="1" t="str">
        <f t="shared" si="70"/>
        <v/>
      </c>
      <c r="AB766" s="1" t="str">
        <f t="shared" si="71"/>
        <v/>
      </c>
    </row>
    <row r="767" spans="1:28" x14ac:dyDescent="0.2">
      <c r="A767" t="str">
        <f>IF(COUNTBLANK(B767:AD767)&lt;&gt;COLUMNS(B767:AD767),766,"")</f>
        <v/>
      </c>
      <c r="I767" s="1" t="str">
        <f t="shared" si="66"/>
        <v/>
      </c>
      <c r="J767" s="1" t="str">
        <f t="shared" si="67"/>
        <v/>
      </c>
      <c r="T767" s="1" t="str">
        <f t="shared" si="68"/>
        <v/>
      </c>
      <c r="W767" s="1" t="str">
        <f t="shared" si="69"/>
        <v/>
      </c>
      <c r="AA767" s="1" t="str">
        <f t="shared" si="70"/>
        <v/>
      </c>
      <c r="AB767" s="1" t="str">
        <f t="shared" si="71"/>
        <v/>
      </c>
    </row>
    <row r="768" spans="1:28" x14ac:dyDescent="0.2">
      <c r="A768" t="str">
        <f>IF(COUNTBLANK(B768:AD768)&lt;&gt;COLUMNS(B768:AD768),767,"")</f>
        <v/>
      </c>
      <c r="I768" s="1" t="str">
        <f t="shared" si="66"/>
        <v/>
      </c>
      <c r="J768" s="1" t="str">
        <f t="shared" si="67"/>
        <v/>
      </c>
      <c r="T768" s="1" t="str">
        <f t="shared" si="68"/>
        <v/>
      </c>
      <c r="W768" s="1" t="str">
        <f t="shared" si="69"/>
        <v/>
      </c>
      <c r="AA768" s="1" t="str">
        <f t="shared" si="70"/>
        <v/>
      </c>
      <c r="AB768" s="1" t="str">
        <f t="shared" si="71"/>
        <v/>
      </c>
    </row>
    <row r="769" spans="1:28" x14ac:dyDescent="0.2">
      <c r="A769" t="str">
        <f>IF(COUNTBLANK(B769:AD769)&lt;&gt;COLUMNS(B769:AD769),768,"")</f>
        <v/>
      </c>
      <c r="I769" s="1" t="str">
        <f t="shared" si="66"/>
        <v/>
      </c>
      <c r="J769" s="1" t="str">
        <f t="shared" si="67"/>
        <v/>
      </c>
      <c r="T769" s="1" t="str">
        <f t="shared" si="68"/>
        <v/>
      </c>
      <c r="W769" s="1" t="str">
        <f t="shared" si="69"/>
        <v/>
      </c>
      <c r="AA769" s="1" t="str">
        <f t="shared" si="70"/>
        <v/>
      </c>
      <c r="AB769" s="1" t="str">
        <f t="shared" si="71"/>
        <v/>
      </c>
    </row>
    <row r="770" spans="1:28" x14ac:dyDescent="0.2">
      <c r="A770" t="str">
        <f>IF(COUNTBLANK(B770:AD770)&lt;&gt;COLUMNS(B770:AD770),769,"")</f>
        <v/>
      </c>
      <c r="I770" s="1" t="str">
        <f t="shared" ref="I770:I833" si="72">IF(B770="", "", "meters")</f>
        <v/>
      </c>
      <c r="J770" s="1" t="str">
        <f t="shared" ref="J770:J833" si="73">IF(B770="", "", "free-living")</f>
        <v/>
      </c>
      <c r="T770" s="1" t="str">
        <f t="shared" ref="T770:T833" si="74">IF(B770="", "", "Decimal degrees")</f>
        <v/>
      </c>
      <c r="W770" s="1" t="str">
        <f t="shared" ref="W770:W833" si="75">IF(B770="", "", "Decimal degrees")</f>
        <v/>
      </c>
      <c r="AA770" s="1" t="str">
        <f t="shared" ref="AA770:AA833" si="76">IF(B770="", "", "metagenome")</f>
        <v/>
      </c>
      <c r="AB770" s="1" t="str">
        <f t="shared" ref="AB770:AB833" si="77">IF(B770="", "", "256318")</f>
        <v/>
      </c>
    </row>
    <row r="771" spans="1:28" x14ac:dyDescent="0.2">
      <c r="A771" t="str">
        <f>IF(COUNTBLANK(B771:AD771)&lt;&gt;COLUMNS(B771:AD771),770,"")</f>
        <v/>
      </c>
      <c r="I771" s="1" t="str">
        <f t="shared" si="72"/>
        <v/>
      </c>
      <c r="J771" s="1" t="str">
        <f t="shared" si="73"/>
        <v/>
      </c>
      <c r="T771" s="1" t="str">
        <f t="shared" si="74"/>
        <v/>
      </c>
      <c r="W771" s="1" t="str">
        <f t="shared" si="75"/>
        <v/>
      </c>
      <c r="AA771" s="1" t="str">
        <f t="shared" si="76"/>
        <v/>
      </c>
      <c r="AB771" s="1" t="str">
        <f t="shared" si="77"/>
        <v/>
      </c>
    </row>
    <row r="772" spans="1:28" x14ac:dyDescent="0.2">
      <c r="A772" t="str">
        <f>IF(COUNTBLANK(B772:AD772)&lt;&gt;COLUMNS(B772:AD772),771,"")</f>
        <v/>
      </c>
      <c r="I772" s="1" t="str">
        <f t="shared" si="72"/>
        <v/>
      </c>
      <c r="J772" s="1" t="str">
        <f t="shared" si="73"/>
        <v/>
      </c>
      <c r="T772" s="1" t="str">
        <f t="shared" si="74"/>
        <v/>
      </c>
      <c r="W772" s="1" t="str">
        <f t="shared" si="75"/>
        <v/>
      </c>
      <c r="AA772" s="1" t="str">
        <f t="shared" si="76"/>
        <v/>
      </c>
      <c r="AB772" s="1" t="str">
        <f t="shared" si="77"/>
        <v/>
      </c>
    </row>
    <row r="773" spans="1:28" x14ac:dyDescent="0.2">
      <c r="A773" t="str">
        <f>IF(COUNTBLANK(B773:AD773)&lt;&gt;COLUMNS(B773:AD773),772,"")</f>
        <v/>
      </c>
      <c r="I773" s="1" t="str">
        <f t="shared" si="72"/>
        <v/>
      </c>
      <c r="J773" s="1" t="str">
        <f t="shared" si="73"/>
        <v/>
      </c>
      <c r="T773" s="1" t="str">
        <f t="shared" si="74"/>
        <v/>
      </c>
      <c r="W773" s="1" t="str">
        <f t="shared" si="75"/>
        <v/>
      </c>
      <c r="AA773" s="1" t="str">
        <f t="shared" si="76"/>
        <v/>
      </c>
      <c r="AB773" s="1" t="str">
        <f t="shared" si="77"/>
        <v/>
      </c>
    </row>
    <row r="774" spans="1:28" x14ac:dyDescent="0.2">
      <c r="A774" t="str">
        <f>IF(COUNTBLANK(B774:AD774)&lt;&gt;COLUMNS(B774:AD774),773,"")</f>
        <v/>
      </c>
      <c r="I774" s="1" t="str">
        <f t="shared" si="72"/>
        <v/>
      </c>
      <c r="J774" s="1" t="str">
        <f t="shared" si="73"/>
        <v/>
      </c>
      <c r="T774" s="1" t="str">
        <f t="shared" si="74"/>
        <v/>
      </c>
      <c r="W774" s="1" t="str">
        <f t="shared" si="75"/>
        <v/>
      </c>
      <c r="AA774" s="1" t="str">
        <f t="shared" si="76"/>
        <v/>
      </c>
      <c r="AB774" s="1" t="str">
        <f t="shared" si="77"/>
        <v/>
      </c>
    </row>
    <row r="775" spans="1:28" x14ac:dyDescent="0.2">
      <c r="A775" t="str">
        <f>IF(COUNTBLANK(B775:AD775)&lt;&gt;COLUMNS(B775:AD775),774,"")</f>
        <v/>
      </c>
      <c r="I775" s="1" t="str">
        <f t="shared" si="72"/>
        <v/>
      </c>
      <c r="J775" s="1" t="str">
        <f t="shared" si="73"/>
        <v/>
      </c>
      <c r="T775" s="1" t="str">
        <f t="shared" si="74"/>
        <v/>
      </c>
      <c r="W775" s="1" t="str">
        <f t="shared" si="75"/>
        <v/>
      </c>
      <c r="AA775" s="1" t="str">
        <f t="shared" si="76"/>
        <v/>
      </c>
      <c r="AB775" s="1" t="str">
        <f t="shared" si="77"/>
        <v/>
      </c>
    </row>
    <row r="776" spans="1:28" x14ac:dyDescent="0.2">
      <c r="A776" t="str">
        <f>IF(COUNTBLANK(B776:AD776)&lt;&gt;COLUMNS(B776:AD776),775,"")</f>
        <v/>
      </c>
      <c r="I776" s="1" t="str">
        <f t="shared" si="72"/>
        <v/>
      </c>
      <c r="J776" s="1" t="str">
        <f t="shared" si="73"/>
        <v/>
      </c>
      <c r="T776" s="1" t="str">
        <f t="shared" si="74"/>
        <v/>
      </c>
      <c r="W776" s="1" t="str">
        <f t="shared" si="75"/>
        <v/>
      </c>
      <c r="AA776" s="1" t="str">
        <f t="shared" si="76"/>
        <v/>
      </c>
      <c r="AB776" s="1" t="str">
        <f t="shared" si="77"/>
        <v/>
      </c>
    </row>
    <row r="777" spans="1:28" x14ac:dyDescent="0.2">
      <c r="A777" t="str">
        <f>IF(COUNTBLANK(B777:AD777)&lt;&gt;COLUMNS(B777:AD777),776,"")</f>
        <v/>
      </c>
      <c r="I777" s="1" t="str">
        <f t="shared" si="72"/>
        <v/>
      </c>
      <c r="J777" s="1" t="str">
        <f t="shared" si="73"/>
        <v/>
      </c>
      <c r="T777" s="1" t="str">
        <f t="shared" si="74"/>
        <v/>
      </c>
      <c r="W777" s="1" t="str">
        <f t="shared" si="75"/>
        <v/>
      </c>
      <c r="AA777" s="1" t="str">
        <f t="shared" si="76"/>
        <v/>
      </c>
      <c r="AB777" s="1" t="str">
        <f t="shared" si="77"/>
        <v/>
      </c>
    </row>
    <row r="778" spans="1:28" x14ac:dyDescent="0.2">
      <c r="A778" t="str">
        <f>IF(COUNTBLANK(B778:AD778)&lt;&gt;COLUMNS(B778:AD778),777,"")</f>
        <v/>
      </c>
      <c r="I778" s="1" t="str">
        <f t="shared" si="72"/>
        <v/>
      </c>
      <c r="J778" s="1" t="str">
        <f t="shared" si="73"/>
        <v/>
      </c>
      <c r="T778" s="1" t="str">
        <f t="shared" si="74"/>
        <v/>
      </c>
      <c r="W778" s="1" t="str">
        <f t="shared" si="75"/>
        <v/>
      </c>
      <c r="AA778" s="1" t="str">
        <f t="shared" si="76"/>
        <v/>
      </c>
      <c r="AB778" s="1" t="str">
        <f t="shared" si="77"/>
        <v/>
      </c>
    </row>
    <row r="779" spans="1:28" x14ac:dyDescent="0.2">
      <c r="A779" t="str">
        <f>IF(COUNTBLANK(B779:AD779)&lt;&gt;COLUMNS(B779:AD779),778,"")</f>
        <v/>
      </c>
      <c r="I779" s="1" t="str">
        <f t="shared" si="72"/>
        <v/>
      </c>
      <c r="J779" s="1" t="str">
        <f t="shared" si="73"/>
        <v/>
      </c>
      <c r="T779" s="1" t="str">
        <f t="shared" si="74"/>
        <v/>
      </c>
      <c r="W779" s="1" t="str">
        <f t="shared" si="75"/>
        <v/>
      </c>
      <c r="AA779" s="1" t="str">
        <f t="shared" si="76"/>
        <v/>
      </c>
      <c r="AB779" s="1" t="str">
        <f t="shared" si="77"/>
        <v/>
      </c>
    </row>
    <row r="780" spans="1:28" x14ac:dyDescent="0.2">
      <c r="A780" t="str">
        <f>IF(COUNTBLANK(B780:AD780)&lt;&gt;COLUMNS(B780:AD780),779,"")</f>
        <v/>
      </c>
      <c r="I780" s="1" t="str">
        <f t="shared" si="72"/>
        <v/>
      </c>
      <c r="J780" s="1" t="str">
        <f t="shared" si="73"/>
        <v/>
      </c>
      <c r="T780" s="1" t="str">
        <f t="shared" si="74"/>
        <v/>
      </c>
      <c r="W780" s="1" t="str">
        <f t="shared" si="75"/>
        <v/>
      </c>
      <c r="AA780" s="1" t="str">
        <f t="shared" si="76"/>
        <v/>
      </c>
      <c r="AB780" s="1" t="str">
        <f t="shared" si="77"/>
        <v/>
      </c>
    </row>
    <row r="781" spans="1:28" x14ac:dyDescent="0.2">
      <c r="A781" t="str">
        <f>IF(COUNTBLANK(B781:AD781)&lt;&gt;COLUMNS(B781:AD781),780,"")</f>
        <v/>
      </c>
      <c r="I781" s="1" t="str">
        <f t="shared" si="72"/>
        <v/>
      </c>
      <c r="J781" s="1" t="str">
        <f t="shared" si="73"/>
        <v/>
      </c>
      <c r="T781" s="1" t="str">
        <f t="shared" si="74"/>
        <v/>
      </c>
      <c r="W781" s="1" t="str">
        <f t="shared" si="75"/>
        <v/>
      </c>
      <c r="AA781" s="1" t="str">
        <f t="shared" si="76"/>
        <v/>
      </c>
      <c r="AB781" s="1" t="str">
        <f t="shared" si="77"/>
        <v/>
      </c>
    </row>
    <row r="782" spans="1:28" x14ac:dyDescent="0.2">
      <c r="A782" t="str">
        <f>IF(COUNTBLANK(B782:AD782)&lt;&gt;COLUMNS(B782:AD782),781,"")</f>
        <v/>
      </c>
      <c r="I782" s="1" t="str">
        <f t="shared" si="72"/>
        <v/>
      </c>
      <c r="J782" s="1" t="str">
        <f t="shared" si="73"/>
        <v/>
      </c>
      <c r="T782" s="1" t="str">
        <f t="shared" si="74"/>
        <v/>
      </c>
      <c r="W782" s="1" t="str">
        <f t="shared" si="75"/>
        <v/>
      </c>
      <c r="AA782" s="1" t="str">
        <f t="shared" si="76"/>
        <v/>
      </c>
      <c r="AB782" s="1" t="str">
        <f t="shared" si="77"/>
        <v/>
      </c>
    </row>
    <row r="783" spans="1:28" x14ac:dyDescent="0.2">
      <c r="A783" t="str">
        <f>IF(COUNTBLANK(B783:AD783)&lt;&gt;COLUMNS(B783:AD783),782,"")</f>
        <v/>
      </c>
      <c r="I783" s="1" t="str">
        <f t="shared" si="72"/>
        <v/>
      </c>
      <c r="J783" s="1" t="str">
        <f t="shared" si="73"/>
        <v/>
      </c>
      <c r="T783" s="1" t="str">
        <f t="shared" si="74"/>
        <v/>
      </c>
      <c r="W783" s="1" t="str">
        <f t="shared" si="75"/>
        <v/>
      </c>
      <c r="AA783" s="1" t="str">
        <f t="shared" si="76"/>
        <v/>
      </c>
      <c r="AB783" s="1" t="str">
        <f t="shared" si="77"/>
        <v/>
      </c>
    </row>
    <row r="784" spans="1:28" x14ac:dyDescent="0.2">
      <c r="A784" t="str">
        <f>IF(COUNTBLANK(B784:AD784)&lt;&gt;COLUMNS(B784:AD784),783,"")</f>
        <v/>
      </c>
      <c r="I784" s="1" t="str">
        <f t="shared" si="72"/>
        <v/>
      </c>
      <c r="J784" s="1" t="str">
        <f t="shared" si="73"/>
        <v/>
      </c>
      <c r="T784" s="1" t="str">
        <f t="shared" si="74"/>
        <v/>
      </c>
      <c r="W784" s="1" t="str">
        <f t="shared" si="75"/>
        <v/>
      </c>
      <c r="AA784" s="1" t="str">
        <f t="shared" si="76"/>
        <v/>
      </c>
      <c r="AB784" s="1" t="str">
        <f t="shared" si="77"/>
        <v/>
      </c>
    </row>
    <row r="785" spans="1:28" x14ac:dyDescent="0.2">
      <c r="A785" t="str">
        <f>IF(COUNTBLANK(B785:AD785)&lt;&gt;COLUMNS(B785:AD785),784,"")</f>
        <v/>
      </c>
      <c r="I785" s="1" t="str">
        <f t="shared" si="72"/>
        <v/>
      </c>
      <c r="J785" s="1" t="str">
        <f t="shared" si="73"/>
        <v/>
      </c>
      <c r="T785" s="1" t="str">
        <f t="shared" si="74"/>
        <v/>
      </c>
      <c r="W785" s="1" t="str">
        <f t="shared" si="75"/>
        <v/>
      </c>
      <c r="AA785" s="1" t="str">
        <f t="shared" si="76"/>
        <v/>
      </c>
      <c r="AB785" s="1" t="str">
        <f t="shared" si="77"/>
        <v/>
      </c>
    </row>
    <row r="786" spans="1:28" x14ac:dyDescent="0.2">
      <c r="A786" t="str">
        <f>IF(COUNTBLANK(B786:AD786)&lt;&gt;COLUMNS(B786:AD786),785,"")</f>
        <v/>
      </c>
      <c r="I786" s="1" t="str">
        <f t="shared" si="72"/>
        <v/>
      </c>
      <c r="J786" s="1" t="str">
        <f t="shared" si="73"/>
        <v/>
      </c>
      <c r="T786" s="1" t="str">
        <f t="shared" si="74"/>
        <v/>
      </c>
      <c r="W786" s="1" t="str">
        <f t="shared" si="75"/>
        <v/>
      </c>
      <c r="AA786" s="1" t="str">
        <f t="shared" si="76"/>
        <v/>
      </c>
      <c r="AB786" s="1" t="str">
        <f t="shared" si="77"/>
        <v/>
      </c>
    </row>
    <row r="787" spans="1:28" x14ac:dyDescent="0.2">
      <c r="A787" t="str">
        <f>IF(COUNTBLANK(B787:AD787)&lt;&gt;COLUMNS(B787:AD787),786,"")</f>
        <v/>
      </c>
      <c r="I787" s="1" t="str">
        <f t="shared" si="72"/>
        <v/>
      </c>
      <c r="J787" s="1" t="str">
        <f t="shared" si="73"/>
        <v/>
      </c>
      <c r="T787" s="1" t="str">
        <f t="shared" si="74"/>
        <v/>
      </c>
      <c r="W787" s="1" t="str">
        <f t="shared" si="75"/>
        <v/>
      </c>
      <c r="AA787" s="1" t="str">
        <f t="shared" si="76"/>
        <v/>
      </c>
      <c r="AB787" s="1" t="str">
        <f t="shared" si="77"/>
        <v/>
      </c>
    </row>
    <row r="788" spans="1:28" x14ac:dyDescent="0.2">
      <c r="A788" t="str">
        <f>IF(COUNTBLANK(B788:AD788)&lt;&gt;COLUMNS(B788:AD788),787,"")</f>
        <v/>
      </c>
      <c r="I788" s="1" t="str">
        <f t="shared" si="72"/>
        <v/>
      </c>
      <c r="J788" s="1" t="str">
        <f t="shared" si="73"/>
        <v/>
      </c>
      <c r="T788" s="1" t="str">
        <f t="shared" si="74"/>
        <v/>
      </c>
      <c r="W788" s="1" t="str">
        <f t="shared" si="75"/>
        <v/>
      </c>
      <c r="AA788" s="1" t="str">
        <f t="shared" si="76"/>
        <v/>
      </c>
      <c r="AB788" s="1" t="str">
        <f t="shared" si="77"/>
        <v/>
      </c>
    </row>
    <row r="789" spans="1:28" x14ac:dyDescent="0.2">
      <c r="A789" t="str">
        <f>IF(COUNTBLANK(B789:AD789)&lt;&gt;COLUMNS(B789:AD789),788,"")</f>
        <v/>
      </c>
      <c r="I789" s="1" t="str">
        <f t="shared" si="72"/>
        <v/>
      </c>
      <c r="J789" s="1" t="str">
        <f t="shared" si="73"/>
        <v/>
      </c>
      <c r="T789" s="1" t="str">
        <f t="shared" si="74"/>
        <v/>
      </c>
      <c r="W789" s="1" t="str">
        <f t="shared" si="75"/>
        <v/>
      </c>
      <c r="AA789" s="1" t="str">
        <f t="shared" si="76"/>
        <v/>
      </c>
      <c r="AB789" s="1" t="str">
        <f t="shared" si="77"/>
        <v/>
      </c>
    </row>
    <row r="790" spans="1:28" x14ac:dyDescent="0.2">
      <c r="A790" t="str">
        <f>IF(COUNTBLANK(B790:AD790)&lt;&gt;COLUMNS(B790:AD790),789,"")</f>
        <v/>
      </c>
      <c r="I790" s="1" t="str">
        <f t="shared" si="72"/>
        <v/>
      </c>
      <c r="J790" s="1" t="str">
        <f t="shared" si="73"/>
        <v/>
      </c>
      <c r="T790" s="1" t="str">
        <f t="shared" si="74"/>
        <v/>
      </c>
      <c r="W790" s="1" t="str">
        <f t="shared" si="75"/>
        <v/>
      </c>
      <c r="AA790" s="1" t="str">
        <f t="shared" si="76"/>
        <v/>
      </c>
      <c r="AB790" s="1" t="str">
        <f t="shared" si="77"/>
        <v/>
      </c>
    </row>
    <row r="791" spans="1:28" x14ac:dyDescent="0.2">
      <c r="A791" t="str">
        <f>IF(COUNTBLANK(B791:AD791)&lt;&gt;COLUMNS(B791:AD791),790,"")</f>
        <v/>
      </c>
      <c r="I791" s="1" t="str">
        <f t="shared" si="72"/>
        <v/>
      </c>
      <c r="J791" s="1" t="str">
        <f t="shared" si="73"/>
        <v/>
      </c>
      <c r="T791" s="1" t="str">
        <f t="shared" si="74"/>
        <v/>
      </c>
      <c r="W791" s="1" t="str">
        <f t="shared" si="75"/>
        <v/>
      </c>
      <c r="AA791" s="1" t="str">
        <f t="shared" si="76"/>
        <v/>
      </c>
      <c r="AB791" s="1" t="str">
        <f t="shared" si="77"/>
        <v/>
      </c>
    </row>
    <row r="792" spans="1:28" x14ac:dyDescent="0.2">
      <c r="A792" t="str">
        <f>IF(COUNTBLANK(B792:AD792)&lt;&gt;COLUMNS(B792:AD792),791,"")</f>
        <v/>
      </c>
      <c r="I792" s="1" t="str">
        <f t="shared" si="72"/>
        <v/>
      </c>
      <c r="J792" s="1" t="str">
        <f t="shared" si="73"/>
        <v/>
      </c>
      <c r="T792" s="1" t="str">
        <f t="shared" si="74"/>
        <v/>
      </c>
      <c r="W792" s="1" t="str">
        <f t="shared" si="75"/>
        <v/>
      </c>
      <c r="AA792" s="1" t="str">
        <f t="shared" si="76"/>
        <v/>
      </c>
      <c r="AB792" s="1" t="str">
        <f t="shared" si="77"/>
        <v/>
      </c>
    </row>
    <row r="793" spans="1:28" x14ac:dyDescent="0.2">
      <c r="A793" t="str">
        <f>IF(COUNTBLANK(B793:AD793)&lt;&gt;COLUMNS(B793:AD793),792,"")</f>
        <v/>
      </c>
      <c r="I793" s="1" t="str">
        <f t="shared" si="72"/>
        <v/>
      </c>
      <c r="J793" s="1" t="str">
        <f t="shared" si="73"/>
        <v/>
      </c>
      <c r="T793" s="1" t="str">
        <f t="shared" si="74"/>
        <v/>
      </c>
      <c r="W793" s="1" t="str">
        <f t="shared" si="75"/>
        <v/>
      </c>
      <c r="AA793" s="1" t="str">
        <f t="shared" si="76"/>
        <v/>
      </c>
      <c r="AB793" s="1" t="str">
        <f t="shared" si="77"/>
        <v/>
      </c>
    </row>
    <row r="794" spans="1:28" x14ac:dyDescent="0.2">
      <c r="A794" t="str">
        <f>IF(COUNTBLANK(B794:AD794)&lt;&gt;COLUMNS(B794:AD794),793,"")</f>
        <v/>
      </c>
      <c r="I794" s="1" t="str">
        <f t="shared" si="72"/>
        <v/>
      </c>
      <c r="J794" s="1" t="str">
        <f t="shared" si="73"/>
        <v/>
      </c>
      <c r="T794" s="1" t="str">
        <f t="shared" si="74"/>
        <v/>
      </c>
      <c r="W794" s="1" t="str">
        <f t="shared" si="75"/>
        <v/>
      </c>
      <c r="AA794" s="1" t="str">
        <f t="shared" si="76"/>
        <v/>
      </c>
      <c r="AB794" s="1" t="str">
        <f t="shared" si="77"/>
        <v/>
      </c>
    </row>
    <row r="795" spans="1:28" x14ac:dyDescent="0.2">
      <c r="A795" t="str">
        <f>IF(COUNTBLANK(B795:AD795)&lt;&gt;COLUMNS(B795:AD795),794,"")</f>
        <v/>
      </c>
      <c r="I795" s="1" t="str">
        <f t="shared" si="72"/>
        <v/>
      </c>
      <c r="J795" s="1" t="str">
        <f t="shared" si="73"/>
        <v/>
      </c>
      <c r="T795" s="1" t="str">
        <f t="shared" si="74"/>
        <v/>
      </c>
      <c r="W795" s="1" t="str">
        <f t="shared" si="75"/>
        <v/>
      </c>
      <c r="AA795" s="1" t="str">
        <f t="shared" si="76"/>
        <v/>
      </c>
      <c r="AB795" s="1" t="str">
        <f t="shared" si="77"/>
        <v/>
      </c>
    </row>
    <row r="796" spans="1:28" x14ac:dyDescent="0.2">
      <c r="A796" t="str">
        <f>IF(COUNTBLANK(B796:AD796)&lt;&gt;COLUMNS(B796:AD796),795,"")</f>
        <v/>
      </c>
      <c r="I796" s="1" t="str">
        <f t="shared" si="72"/>
        <v/>
      </c>
      <c r="J796" s="1" t="str">
        <f t="shared" si="73"/>
        <v/>
      </c>
      <c r="T796" s="1" t="str">
        <f t="shared" si="74"/>
        <v/>
      </c>
      <c r="W796" s="1" t="str">
        <f t="shared" si="75"/>
        <v/>
      </c>
      <c r="AA796" s="1" t="str">
        <f t="shared" si="76"/>
        <v/>
      </c>
      <c r="AB796" s="1" t="str">
        <f t="shared" si="77"/>
        <v/>
      </c>
    </row>
    <row r="797" spans="1:28" x14ac:dyDescent="0.2">
      <c r="A797" t="str">
        <f>IF(COUNTBLANK(B797:AD797)&lt;&gt;COLUMNS(B797:AD797),796,"")</f>
        <v/>
      </c>
      <c r="I797" s="1" t="str">
        <f t="shared" si="72"/>
        <v/>
      </c>
      <c r="J797" s="1" t="str">
        <f t="shared" si="73"/>
        <v/>
      </c>
      <c r="T797" s="1" t="str">
        <f t="shared" si="74"/>
        <v/>
      </c>
      <c r="W797" s="1" t="str">
        <f t="shared" si="75"/>
        <v/>
      </c>
      <c r="AA797" s="1" t="str">
        <f t="shared" si="76"/>
        <v/>
      </c>
      <c r="AB797" s="1" t="str">
        <f t="shared" si="77"/>
        <v/>
      </c>
    </row>
    <row r="798" spans="1:28" x14ac:dyDescent="0.2">
      <c r="A798" t="str">
        <f>IF(COUNTBLANK(B798:AD798)&lt;&gt;COLUMNS(B798:AD798),797,"")</f>
        <v/>
      </c>
      <c r="I798" s="1" t="str">
        <f t="shared" si="72"/>
        <v/>
      </c>
      <c r="J798" s="1" t="str">
        <f t="shared" si="73"/>
        <v/>
      </c>
      <c r="T798" s="1" t="str">
        <f t="shared" si="74"/>
        <v/>
      </c>
      <c r="W798" s="1" t="str">
        <f t="shared" si="75"/>
        <v/>
      </c>
      <c r="AA798" s="1" t="str">
        <f t="shared" si="76"/>
        <v/>
      </c>
      <c r="AB798" s="1" t="str">
        <f t="shared" si="77"/>
        <v/>
      </c>
    </row>
    <row r="799" spans="1:28" x14ac:dyDescent="0.2">
      <c r="A799" t="str">
        <f>IF(COUNTBLANK(B799:AD799)&lt;&gt;COLUMNS(B799:AD799),798,"")</f>
        <v/>
      </c>
      <c r="I799" s="1" t="str">
        <f t="shared" si="72"/>
        <v/>
      </c>
      <c r="J799" s="1" t="str">
        <f t="shared" si="73"/>
        <v/>
      </c>
      <c r="T799" s="1" t="str">
        <f t="shared" si="74"/>
        <v/>
      </c>
      <c r="W799" s="1" t="str">
        <f t="shared" si="75"/>
        <v/>
      </c>
      <c r="AA799" s="1" t="str">
        <f t="shared" si="76"/>
        <v/>
      </c>
      <c r="AB799" s="1" t="str">
        <f t="shared" si="77"/>
        <v/>
      </c>
    </row>
    <row r="800" spans="1:28" x14ac:dyDescent="0.2">
      <c r="A800" t="str">
        <f>IF(COUNTBLANK(B800:AD800)&lt;&gt;COLUMNS(B800:AD800),799,"")</f>
        <v/>
      </c>
      <c r="I800" s="1" t="str">
        <f t="shared" si="72"/>
        <v/>
      </c>
      <c r="J800" s="1" t="str">
        <f t="shared" si="73"/>
        <v/>
      </c>
      <c r="T800" s="1" t="str">
        <f t="shared" si="74"/>
        <v/>
      </c>
      <c r="W800" s="1" t="str">
        <f t="shared" si="75"/>
        <v/>
      </c>
      <c r="AA800" s="1" t="str">
        <f t="shared" si="76"/>
        <v/>
      </c>
      <c r="AB800" s="1" t="str">
        <f t="shared" si="77"/>
        <v/>
      </c>
    </row>
    <row r="801" spans="1:28" x14ac:dyDescent="0.2">
      <c r="A801" t="str">
        <f>IF(COUNTBLANK(B801:AD801)&lt;&gt;COLUMNS(B801:AD801),800,"")</f>
        <v/>
      </c>
      <c r="I801" s="1" t="str">
        <f t="shared" si="72"/>
        <v/>
      </c>
      <c r="J801" s="1" t="str">
        <f t="shared" si="73"/>
        <v/>
      </c>
      <c r="T801" s="1" t="str">
        <f t="shared" si="74"/>
        <v/>
      </c>
      <c r="W801" s="1" t="str">
        <f t="shared" si="75"/>
        <v/>
      </c>
      <c r="AA801" s="1" t="str">
        <f t="shared" si="76"/>
        <v/>
      </c>
      <c r="AB801" s="1" t="str">
        <f t="shared" si="77"/>
        <v/>
      </c>
    </row>
    <row r="802" spans="1:28" x14ac:dyDescent="0.2">
      <c r="A802" t="str">
        <f>IF(COUNTBLANK(B802:AD802)&lt;&gt;COLUMNS(B802:AD802),801,"")</f>
        <v/>
      </c>
      <c r="I802" s="1" t="str">
        <f t="shared" si="72"/>
        <v/>
      </c>
      <c r="J802" s="1" t="str">
        <f t="shared" si="73"/>
        <v/>
      </c>
      <c r="T802" s="1" t="str">
        <f t="shared" si="74"/>
        <v/>
      </c>
      <c r="W802" s="1" t="str">
        <f t="shared" si="75"/>
        <v/>
      </c>
      <c r="AA802" s="1" t="str">
        <f t="shared" si="76"/>
        <v/>
      </c>
      <c r="AB802" s="1" t="str">
        <f t="shared" si="77"/>
        <v/>
      </c>
    </row>
    <row r="803" spans="1:28" x14ac:dyDescent="0.2">
      <c r="A803" t="str">
        <f>IF(COUNTBLANK(B803:AD803)&lt;&gt;COLUMNS(B803:AD803),802,"")</f>
        <v/>
      </c>
      <c r="I803" s="1" t="str">
        <f t="shared" si="72"/>
        <v/>
      </c>
      <c r="J803" s="1" t="str">
        <f t="shared" si="73"/>
        <v/>
      </c>
      <c r="T803" s="1" t="str">
        <f t="shared" si="74"/>
        <v/>
      </c>
      <c r="W803" s="1" t="str">
        <f t="shared" si="75"/>
        <v/>
      </c>
      <c r="AA803" s="1" t="str">
        <f t="shared" si="76"/>
        <v/>
      </c>
      <c r="AB803" s="1" t="str">
        <f t="shared" si="77"/>
        <v/>
      </c>
    </row>
    <row r="804" spans="1:28" x14ac:dyDescent="0.2">
      <c r="A804" t="str">
        <f>IF(COUNTBLANK(B804:AD804)&lt;&gt;COLUMNS(B804:AD804),803,"")</f>
        <v/>
      </c>
      <c r="I804" s="1" t="str">
        <f t="shared" si="72"/>
        <v/>
      </c>
      <c r="J804" s="1" t="str">
        <f t="shared" si="73"/>
        <v/>
      </c>
      <c r="T804" s="1" t="str">
        <f t="shared" si="74"/>
        <v/>
      </c>
      <c r="W804" s="1" t="str">
        <f t="shared" si="75"/>
        <v/>
      </c>
      <c r="AA804" s="1" t="str">
        <f t="shared" si="76"/>
        <v/>
      </c>
      <c r="AB804" s="1" t="str">
        <f t="shared" si="77"/>
        <v/>
      </c>
    </row>
    <row r="805" spans="1:28" x14ac:dyDescent="0.2">
      <c r="A805" t="str">
        <f>IF(COUNTBLANK(B805:AD805)&lt;&gt;COLUMNS(B805:AD805),804,"")</f>
        <v/>
      </c>
      <c r="I805" s="1" t="str">
        <f t="shared" si="72"/>
        <v/>
      </c>
      <c r="J805" s="1" t="str">
        <f t="shared" si="73"/>
        <v/>
      </c>
      <c r="T805" s="1" t="str">
        <f t="shared" si="74"/>
        <v/>
      </c>
      <c r="W805" s="1" t="str">
        <f t="shared" si="75"/>
        <v/>
      </c>
      <c r="AA805" s="1" t="str">
        <f t="shared" si="76"/>
        <v/>
      </c>
      <c r="AB805" s="1" t="str">
        <f t="shared" si="77"/>
        <v/>
      </c>
    </row>
    <row r="806" spans="1:28" x14ac:dyDescent="0.2">
      <c r="A806" t="str">
        <f>IF(COUNTBLANK(B806:AD806)&lt;&gt;COLUMNS(B806:AD806),805,"")</f>
        <v/>
      </c>
      <c r="I806" s="1" t="str">
        <f t="shared" si="72"/>
        <v/>
      </c>
      <c r="J806" s="1" t="str">
        <f t="shared" si="73"/>
        <v/>
      </c>
      <c r="T806" s="1" t="str">
        <f t="shared" si="74"/>
        <v/>
      </c>
      <c r="W806" s="1" t="str">
        <f t="shared" si="75"/>
        <v/>
      </c>
      <c r="AA806" s="1" t="str">
        <f t="shared" si="76"/>
        <v/>
      </c>
      <c r="AB806" s="1" t="str">
        <f t="shared" si="77"/>
        <v/>
      </c>
    </row>
    <row r="807" spans="1:28" x14ac:dyDescent="0.2">
      <c r="A807" t="str">
        <f>IF(COUNTBLANK(B807:AD807)&lt;&gt;COLUMNS(B807:AD807),806,"")</f>
        <v/>
      </c>
      <c r="I807" s="1" t="str">
        <f t="shared" si="72"/>
        <v/>
      </c>
      <c r="J807" s="1" t="str">
        <f t="shared" si="73"/>
        <v/>
      </c>
      <c r="T807" s="1" t="str">
        <f t="shared" si="74"/>
        <v/>
      </c>
      <c r="W807" s="1" t="str">
        <f t="shared" si="75"/>
        <v/>
      </c>
      <c r="AA807" s="1" t="str">
        <f t="shared" si="76"/>
        <v/>
      </c>
      <c r="AB807" s="1" t="str">
        <f t="shared" si="77"/>
        <v/>
      </c>
    </row>
    <row r="808" spans="1:28" x14ac:dyDescent="0.2">
      <c r="A808" t="str">
        <f>IF(COUNTBLANK(B808:AD808)&lt;&gt;COLUMNS(B808:AD808),807,"")</f>
        <v/>
      </c>
      <c r="I808" s="1" t="str">
        <f t="shared" si="72"/>
        <v/>
      </c>
      <c r="J808" s="1" t="str">
        <f t="shared" si="73"/>
        <v/>
      </c>
      <c r="T808" s="1" t="str">
        <f t="shared" si="74"/>
        <v/>
      </c>
      <c r="W808" s="1" t="str">
        <f t="shared" si="75"/>
        <v/>
      </c>
      <c r="AA808" s="1" t="str">
        <f t="shared" si="76"/>
        <v/>
      </c>
      <c r="AB808" s="1" t="str">
        <f t="shared" si="77"/>
        <v/>
      </c>
    </row>
    <row r="809" spans="1:28" x14ac:dyDescent="0.2">
      <c r="A809" t="str">
        <f>IF(COUNTBLANK(B809:AD809)&lt;&gt;COLUMNS(B809:AD809),808,"")</f>
        <v/>
      </c>
      <c r="I809" s="1" t="str">
        <f t="shared" si="72"/>
        <v/>
      </c>
      <c r="J809" s="1" t="str">
        <f t="shared" si="73"/>
        <v/>
      </c>
      <c r="T809" s="1" t="str">
        <f t="shared" si="74"/>
        <v/>
      </c>
      <c r="W809" s="1" t="str">
        <f t="shared" si="75"/>
        <v/>
      </c>
      <c r="AA809" s="1" t="str">
        <f t="shared" si="76"/>
        <v/>
      </c>
      <c r="AB809" s="1" t="str">
        <f t="shared" si="77"/>
        <v/>
      </c>
    </row>
    <row r="810" spans="1:28" x14ac:dyDescent="0.2">
      <c r="A810" t="str">
        <f>IF(COUNTBLANK(B810:AD810)&lt;&gt;COLUMNS(B810:AD810),809,"")</f>
        <v/>
      </c>
      <c r="I810" s="1" t="str">
        <f t="shared" si="72"/>
        <v/>
      </c>
      <c r="J810" s="1" t="str">
        <f t="shared" si="73"/>
        <v/>
      </c>
      <c r="T810" s="1" t="str">
        <f t="shared" si="74"/>
        <v/>
      </c>
      <c r="W810" s="1" t="str">
        <f t="shared" si="75"/>
        <v/>
      </c>
      <c r="AA810" s="1" t="str">
        <f t="shared" si="76"/>
        <v/>
      </c>
      <c r="AB810" s="1" t="str">
        <f t="shared" si="77"/>
        <v/>
      </c>
    </row>
    <row r="811" spans="1:28" x14ac:dyDescent="0.2">
      <c r="A811" t="str">
        <f>IF(COUNTBLANK(B811:AD811)&lt;&gt;COLUMNS(B811:AD811),810,"")</f>
        <v/>
      </c>
      <c r="I811" s="1" t="str">
        <f t="shared" si="72"/>
        <v/>
      </c>
      <c r="J811" s="1" t="str">
        <f t="shared" si="73"/>
        <v/>
      </c>
      <c r="T811" s="1" t="str">
        <f t="shared" si="74"/>
        <v/>
      </c>
      <c r="W811" s="1" t="str">
        <f t="shared" si="75"/>
        <v/>
      </c>
      <c r="AA811" s="1" t="str">
        <f t="shared" si="76"/>
        <v/>
      </c>
      <c r="AB811" s="1" t="str">
        <f t="shared" si="77"/>
        <v/>
      </c>
    </row>
    <row r="812" spans="1:28" x14ac:dyDescent="0.2">
      <c r="A812" t="str">
        <f>IF(COUNTBLANK(B812:AD812)&lt;&gt;COLUMNS(B812:AD812),811,"")</f>
        <v/>
      </c>
      <c r="I812" s="1" t="str">
        <f t="shared" si="72"/>
        <v/>
      </c>
      <c r="J812" s="1" t="str">
        <f t="shared" si="73"/>
        <v/>
      </c>
      <c r="T812" s="1" t="str">
        <f t="shared" si="74"/>
        <v/>
      </c>
      <c r="W812" s="1" t="str">
        <f t="shared" si="75"/>
        <v/>
      </c>
      <c r="AA812" s="1" t="str">
        <f t="shared" si="76"/>
        <v/>
      </c>
      <c r="AB812" s="1" t="str">
        <f t="shared" si="77"/>
        <v/>
      </c>
    </row>
    <row r="813" spans="1:28" x14ac:dyDescent="0.2">
      <c r="A813" t="str">
        <f>IF(COUNTBLANK(B813:AD813)&lt;&gt;COLUMNS(B813:AD813),812,"")</f>
        <v/>
      </c>
      <c r="I813" s="1" t="str">
        <f t="shared" si="72"/>
        <v/>
      </c>
      <c r="J813" s="1" t="str">
        <f t="shared" si="73"/>
        <v/>
      </c>
      <c r="T813" s="1" t="str">
        <f t="shared" si="74"/>
        <v/>
      </c>
      <c r="W813" s="1" t="str">
        <f t="shared" si="75"/>
        <v/>
      </c>
      <c r="AA813" s="1" t="str">
        <f t="shared" si="76"/>
        <v/>
      </c>
      <c r="AB813" s="1" t="str">
        <f t="shared" si="77"/>
        <v/>
      </c>
    </row>
    <row r="814" spans="1:28" x14ac:dyDescent="0.2">
      <c r="A814" t="str">
        <f>IF(COUNTBLANK(B814:AD814)&lt;&gt;COLUMNS(B814:AD814),813,"")</f>
        <v/>
      </c>
      <c r="I814" s="1" t="str">
        <f t="shared" si="72"/>
        <v/>
      </c>
      <c r="J814" s="1" t="str">
        <f t="shared" si="73"/>
        <v/>
      </c>
      <c r="T814" s="1" t="str">
        <f t="shared" si="74"/>
        <v/>
      </c>
      <c r="W814" s="1" t="str">
        <f t="shared" si="75"/>
        <v/>
      </c>
      <c r="AA814" s="1" t="str">
        <f t="shared" si="76"/>
        <v/>
      </c>
      <c r="AB814" s="1" t="str">
        <f t="shared" si="77"/>
        <v/>
      </c>
    </row>
    <row r="815" spans="1:28" x14ac:dyDescent="0.2">
      <c r="A815" t="str">
        <f>IF(COUNTBLANK(B815:AD815)&lt;&gt;COLUMNS(B815:AD815),814,"")</f>
        <v/>
      </c>
      <c r="I815" s="1" t="str">
        <f t="shared" si="72"/>
        <v/>
      </c>
      <c r="J815" s="1" t="str">
        <f t="shared" si="73"/>
        <v/>
      </c>
      <c r="T815" s="1" t="str">
        <f t="shared" si="74"/>
        <v/>
      </c>
      <c r="W815" s="1" t="str">
        <f t="shared" si="75"/>
        <v/>
      </c>
      <c r="AA815" s="1" t="str">
        <f t="shared" si="76"/>
        <v/>
      </c>
      <c r="AB815" s="1" t="str">
        <f t="shared" si="77"/>
        <v/>
      </c>
    </row>
    <row r="816" spans="1:28" x14ac:dyDescent="0.2">
      <c r="A816" t="str">
        <f>IF(COUNTBLANK(B816:AD816)&lt;&gt;COLUMNS(B816:AD816),815,"")</f>
        <v/>
      </c>
      <c r="I816" s="1" t="str">
        <f t="shared" si="72"/>
        <v/>
      </c>
      <c r="J816" s="1" t="str">
        <f t="shared" si="73"/>
        <v/>
      </c>
      <c r="T816" s="1" t="str">
        <f t="shared" si="74"/>
        <v/>
      </c>
      <c r="W816" s="1" t="str">
        <f t="shared" si="75"/>
        <v/>
      </c>
      <c r="AA816" s="1" t="str">
        <f t="shared" si="76"/>
        <v/>
      </c>
      <c r="AB816" s="1" t="str">
        <f t="shared" si="77"/>
        <v/>
      </c>
    </row>
    <row r="817" spans="1:28" x14ac:dyDescent="0.2">
      <c r="A817" t="str">
        <f>IF(COUNTBLANK(B817:AD817)&lt;&gt;COLUMNS(B817:AD817),816,"")</f>
        <v/>
      </c>
      <c r="I817" s="1" t="str">
        <f t="shared" si="72"/>
        <v/>
      </c>
      <c r="J817" s="1" t="str">
        <f t="shared" si="73"/>
        <v/>
      </c>
      <c r="T817" s="1" t="str">
        <f t="shared" si="74"/>
        <v/>
      </c>
      <c r="W817" s="1" t="str">
        <f t="shared" si="75"/>
        <v/>
      </c>
      <c r="AA817" s="1" t="str">
        <f t="shared" si="76"/>
        <v/>
      </c>
      <c r="AB817" s="1" t="str">
        <f t="shared" si="77"/>
        <v/>
      </c>
    </row>
    <row r="818" spans="1:28" x14ac:dyDescent="0.2">
      <c r="A818" t="str">
        <f>IF(COUNTBLANK(B818:AD818)&lt;&gt;COLUMNS(B818:AD818),817,"")</f>
        <v/>
      </c>
      <c r="I818" s="1" t="str">
        <f t="shared" si="72"/>
        <v/>
      </c>
      <c r="J818" s="1" t="str">
        <f t="shared" si="73"/>
        <v/>
      </c>
      <c r="T818" s="1" t="str">
        <f t="shared" si="74"/>
        <v/>
      </c>
      <c r="W818" s="1" t="str">
        <f t="shared" si="75"/>
        <v/>
      </c>
      <c r="AA818" s="1" t="str">
        <f t="shared" si="76"/>
        <v/>
      </c>
      <c r="AB818" s="1" t="str">
        <f t="shared" si="77"/>
        <v/>
      </c>
    </row>
    <row r="819" spans="1:28" x14ac:dyDescent="0.2">
      <c r="A819" t="str">
        <f>IF(COUNTBLANK(B819:AD819)&lt;&gt;COLUMNS(B819:AD819),818,"")</f>
        <v/>
      </c>
      <c r="I819" s="1" t="str">
        <f t="shared" si="72"/>
        <v/>
      </c>
      <c r="J819" s="1" t="str">
        <f t="shared" si="73"/>
        <v/>
      </c>
      <c r="T819" s="1" t="str">
        <f t="shared" si="74"/>
        <v/>
      </c>
      <c r="W819" s="1" t="str">
        <f t="shared" si="75"/>
        <v/>
      </c>
      <c r="AA819" s="1" t="str">
        <f t="shared" si="76"/>
        <v/>
      </c>
      <c r="AB819" s="1" t="str">
        <f t="shared" si="77"/>
        <v/>
      </c>
    </row>
    <row r="820" spans="1:28" x14ac:dyDescent="0.2">
      <c r="A820" t="str">
        <f>IF(COUNTBLANK(B820:AD820)&lt;&gt;COLUMNS(B820:AD820),819,"")</f>
        <v/>
      </c>
      <c r="I820" s="1" t="str">
        <f t="shared" si="72"/>
        <v/>
      </c>
      <c r="J820" s="1" t="str">
        <f t="shared" si="73"/>
        <v/>
      </c>
      <c r="T820" s="1" t="str">
        <f t="shared" si="74"/>
        <v/>
      </c>
      <c r="W820" s="1" t="str">
        <f t="shared" si="75"/>
        <v/>
      </c>
      <c r="AA820" s="1" t="str">
        <f t="shared" si="76"/>
        <v/>
      </c>
      <c r="AB820" s="1" t="str">
        <f t="shared" si="77"/>
        <v/>
      </c>
    </row>
    <row r="821" spans="1:28" x14ac:dyDescent="0.2">
      <c r="A821" t="str">
        <f>IF(COUNTBLANK(B821:AD821)&lt;&gt;COLUMNS(B821:AD821),820,"")</f>
        <v/>
      </c>
      <c r="I821" s="1" t="str">
        <f t="shared" si="72"/>
        <v/>
      </c>
      <c r="J821" s="1" t="str">
        <f t="shared" si="73"/>
        <v/>
      </c>
      <c r="T821" s="1" t="str">
        <f t="shared" si="74"/>
        <v/>
      </c>
      <c r="W821" s="1" t="str">
        <f t="shared" si="75"/>
        <v/>
      </c>
      <c r="AA821" s="1" t="str">
        <f t="shared" si="76"/>
        <v/>
      </c>
      <c r="AB821" s="1" t="str">
        <f t="shared" si="77"/>
        <v/>
      </c>
    </row>
    <row r="822" spans="1:28" x14ac:dyDescent="0.2">
      <c r="A822" t="str">
        <f>IF(COUNTBLANK(B822:AD822)&lt;&gt;COLUMNS(B822:AD822),821,"")</f>
        <v/>
      </c>
      <c r="I822" s="1" t="str">
        <f t="shared" si="72"/>
        <v/>
      </c>
      <c r="J822" s="1" t="str">
        <f t="shared" si="73"/>
        <v/>
      </c>
      <c r="T822" s="1" t="str">
        <f t="shared" si="74"/>
        <v/>
      </c>
      <c r="W822" s="1" t="str">
        <f t="shared" si="75"/>
        <v/>
      </c>
      <c r="AA822" s="1" t="str">
        <f t="shared" si="76"/>
        <v/>
      </c>
      <c r="AB822" s="1" t="str">
        <f t="shared" si="77"/>
        <v/>
      </c>
    </row>
    <row r="823" spans="1:28" x14ac:dyDescent="0.2">
      <c r="A823" t="str">
        <f>IF(COUNTBLANK(B823:AD823)&lt;&gt;COLUMNS(B823:AD823),822,"")</f>
        <v/>
      </c>
      <c r="I823" s="1" t="str">
        <f t="shared" si="72"/>
        <v/>
      </c>
      <c r="J823" s="1" t="str">
        <f t="shared" si="73"/>
        <v/>
      </c>
      <c r="T823" s="1" t="str">
        <f t="shared" si="74"/>
        <v/>
      </c>
      <c r="W823" s="1" t="str">
        <f t="shared" si="75"/>
        <v/>
      </c>
      <c r="AA823" s="1" t="str">
        <f t="shared" si="76"/>
        <v/>
      </c>
      <c r="AB823" s="1" t="str">
        <f t="shared" si="77"/>
        <v/>
      </c>
    </row>
    <row r="824" spans="1:28" x14ac:dyDescent="0.2">
      <c r="A824" t="str">
        <f>IF(COUNTBLANK(B824:AD824)&lt;&gt;COLUMNS(B824:AD824),823,"")</f>
        <v/>
      </c>
      <c r="I824" s="1" t="str">
        <f t="shared" si="72"/>
        <v/>
      </c>
      <c r="J824" s="1" t="str">
        <f t="shared" si="73"/>
        <v/>
      </c>
      <c r="T824" s="1" t="str">
        <f t="shared" si="74"/>
        <v/>
      </c>
      <c r="W824" s="1" t="str">
        <f t="shared" si="75"/>
        <v/>
      </c>
      <c r="AA824" s="1" t="str">
        <f t="shared" si="76"/>
        <v/>
      </c>
      <c r="AB824" s="1" t="str">
        <f t="shared" si="77"/>
        <v/>
      </c>
    </row>
    <row r="825" spans="1:28" x14ac:dyDescent="0.2">
      <c r="A825" t="str">
        <f>IF(COUNTBLANK(B825:AD825)&lt;&gt;COLUMNS(B825:AD825),824,"")</f>
        <v/>
      </c>
      <c r="I825" s="1" t="str">
        <f t="shared" si="72"/>
        <v/>
      </c>
      <c r="J825" s="1" t="str">
        <f t="shared" si="73"/>
        <v/>
      </c>
      <c r="T825" s="1" t="str">
        <f t="shared" si="74"/>
        <v/>
      </c>
      <c r="W825" s="1" t="str">
        <f t="shared" si="75"/>
        <v/>
      </c>
      <c r="AA825" s="1" t="str">
        <f t="shared" si="76"/>
        <v/>
      </c>
      <c r="AB825" s="1" t="str">
        <f t="shared" si="77"/>
        <v/>
      </c>
    </row>
    <row r="826" spans="1:28" x14ac:dyDescent="0.2">
      <c r="A826" t="str">
        <f>IF(COUNTBLANK(B826:AD826)&lt;&gt;COLUMNS(B826:AD826),825,"")</f>
        <v/>
      </c>
      <c r="I826" s="1" t="str">
        <f t="shared" si="72"/>
        <v/>
      </c>
      <c r="J826" s="1" t="str">
        <f t="shared" si="73"/>
        <v/>
      </c>
      <c r="T826" s="1" t="str">
        <f t="shared" si="74"/>
        <v/>
      </c>
      <c r="W826" s="1" t="str">
        <f t="shared" si="75"/>
        <v/>
      </c>
      <c r="AA826" s="1" t="str">
        <f t="shared" si="76"/>
        <v/>
      </c>
      <c r="AB826" s="1" t="str">
        <f t="shared" si="77"/>
        <v/>
      </c>
    </row>
    <row r="827" spans="1:28" x14ac:dyDescent="0.2">
      <c r="A827" t="str">
        <f>IF(COUNTBLANK(B827:AD827)&lt;&gt;COLUMNS(B827:AD827),826,"")</f>
        <v/>
      </c>
      <c r="I827" s="1" t="str">
        <f t="shared" si="72"/>
        <v/>
      </c>
      <c r="J827" s="1" t="str">
        <f t="shared" si="73"/>
        <v/>
      </c>
      <c r="T827" s="1" t="str">
        <f t="shared" si="74"/>
        <v/>
      </c>
      <c r="W827" s="1" t="str">
        <f t="shared" si="75"/>
        <v/>
      </c>
      <c r="AA827" s="1" t="str">
        <f t="shared" si="76"/>
        <v/>
      </c>
      <c r="AB827" s="1" t="str">
        <f t="shared" si="77"/>
        <v/>
      </c>
    </row>
    <row r="828" spans="1:28" x14ac:dyDescent="0.2">
      <c r="A828" t="str">
        <f>IF(COUNTBLANK(B828:AD828)&lt;&gt;COLUMNS(B828:AD828),827,"")</f>
        <v/>
      </c>
      <c r="I828" s="1" t="str">
        <f t="shared" si="72"/>
        <v/>
      </c>
      <c r="J828" s="1" t="str">
        <f t="shared" si="73"/>
        <v/>
      </c>
      <c r="T828" s="1" t="str">
        <f t="shared" si="74"/>
        <v/>
      </c>
      <c r="W828" s="1" t="str">
        <f t="shared" si="75"/>
        <v/>
      </c>
      <c r="AA828" s="1" t="str">
        <f t="shared" si="76"/>
        <v/>
      </c>
      <c r="AB828" s="1" t="str">
        <f t="shared" si="77"/>
        <v/>
      </c>
    </row>
    <row r="829" spans="1:28" x14ac:dyDescent="0.2">
      <c r="A829" t="str">
        <f>IF(COUNTBLANK(B829:AD829)&lt;&gt;COLUMNS(B829:AD829),828,"")</f>
        <v/>
      </c>
      <c r="I829" s="1" t="str">
        <f t="shared" si="72"/>
        <v/>
      </c>
      <c r="J829" s="1" t="str">
        <f t="shared" si="73"/>
        <v/>
      </c>
      <c r="T829" s="1" t="str">
        <f t="shared" si="74"/>
        <v/>
      </c>
      <c r="W829" s="1" t="str">
        <f t="shared" si="75"/>
        <v/>
      </c>
      <c r="AA829" s="1" t="str">
        <f t="shared" si="76"/>
        <v/>
      </c>
      <c r="AB829" s="1" t="str">
        <f t="shared" si="77"/>
        <v/>
      </c>
    </row>
    <row r="830" spans="1:28" x14ac:dyDescent="0.2">
      <c r="A830" t="str">
        <f>IF(COUNTBLANK(B830:AD830)&lt;&gt;COLUMNS(B830:AD830),829,"")</f>
        <v/>
      </c>
      <c r="I830" s="1" t="str">
        <f t="shared" si="72"/>
        <v/>
      </c>
      <c r="J830" s="1" t="str">
        <f t="shared" si="73"/>
        <v/>
      </c>
      <c r="T830" s="1" t="str">
        <f t="shared" si="74"/>
        <v/>
      </c>
      <c r="W830" s="1" t="str">
        <f t="shared" si="75"/>
        <v/>
      </c>
      <c r="AA830" s="1" t="str">
        <f t="shared" si="76"/>
        <v/>
      </c>
      <c r="AB830" s="1" t="str">
        <f t="shared" si="77"/>
        <v/>
      </c>
    </row>
    <row r="831" spans="1:28" x14ac:dyDescent="0.2">
      <c r="A831" t="str">
        <f>IF(COUNTBLANK(B831:AD831)&lt;&gt;COLUMNS(B831:AD831),830,"")</f>
        <v/>
      </c>
      <c r="I831" s="1" t="str">
        <f t="shared" si="72"/>
        <v/>
      </c>
      <c r="J831" s="1" t="str">
        <f t="shared" si="73"/>
        <v/>
      </c>
      <c r="T831" s="1" t="str">
        <f t="shared" si="74"/>
        <v/>
      </c>
      <c r="W831" s="1" t="str">
        <f t="shared" si="75"/>
        <v/>
      </c>
      <c r="AA831" s="1" t="str">
        <f t="shared" si="76"/>
        <v/>
      </c>
      <c r="AB831" s="1" t="str">
        <f t="shared" si="77"/>
        <v/>
      </c>
    </row>
    <row r="832" spans="1:28" x14ac:dyDescent="0.2">
      <c r="A832" t="str">
        <f>IF(COUNTBLANK(B832:AD832)&lt;&gt;COLUMNS(B832:AD832),831,"")</f>
        <v/>
      </c>
      <c r="I832" s="1" t="str">
        <f t="shared" si="72"/>
        <v/>
      </c>
      <c r="J832" s="1" t="str">
        <f t="shared" si="73"/>
        <v/>
      </c>
      <c r="T832" s="1" t="str">
        <f t="shared" si="74"/>
        <v/>
      </c>
      <c r="W832" s="1" t="str">
        <f t="shared" si="75"/>
        <v/>
      </c>
      <c r="AA832" s="1" t="str">
        <f t="shared" si="76"/>
        <v/>
      </c>
      <c r="AB832" s="1" t="str">
        <f t="shared" si="77"/>
        <v/>
      </c>
    </row>
    <row r="833" spans="1:28" x14ac:dyDescent="0.2">
      <c r="A833" t="str">
        <f>IF(COUNTBLANK(B833:AD833)&lt;&gt;COLUMNS(B833:AD833),832,"")</f>
        <v/>
      </c>
      <c r="I833" s="1" t="str">
        <f t="shared" si="72"/>
        <v/>
      </c>
      <c r="J833" s="1" t="str">
        <f t="shared" si="73"/>
        <v/>
      </c>
      <c r="T833" s="1" t="str">
        <f t="shared" si="74"/>
        <v/>
      </c>
      <c r="W833" s="1" t="str">
        <f t="shared" si="75"/>
        <v/>
      </c>
      <c r="AA833" s="1" t="str">
        <f t="shared" si="76"/>
        <v/>
      </c>
      <c r="AB833" s="1" t="str">
        <f t="shared" si="77"/>
        <v/>
      </c>
    </row>
    <row r="834" spans="1:28" x14ac:dyDescent="0.2">
      <c r="A834" t="str">
        <f>IF(COUNTBLANK(B834:AD834)&lt;&gt;COLUMNS(B834:AD834),833,"")</f>
        <v/>
      </c>
      <c r="I834" s="1" t="str">
        <f t="shared" ref="I834:I897" si="78">IF(B834="", "", "meters")</f>
        <v/>
      </c>
      <c r="J834" s="1" t="str">
        <f t="shared" ref="J834:J897" si="79">IF(B834="", "", "free-living")</f>
        <v/>
      </c>
      <c r="T834" s="1" t="str">
        <f t="shared" ref="T834:T897" si="80">IF(B834="", "", "Decimal degrees")</f>
        <v/>
      </c>
      <c r="W834" s="1" t="str">
        <f t="shared" ref="W834:W897" si="81">IF(B834="", "", "Decimal degrees")</f>
        <v/>
      </c>
      <c r="AA834" s="1" t="str">
        <f t="shared" ref="AA834:AA897" si="82">IF(B834="", "", "metagenome")</f>
        <v/>
      </c>
      <c r="AB834" s="1" t="str">
        <f t="shared" ref="AB834:AB897" si="83">IF(B834="", "", "256318")</f>
        <v/>
      </c>
    </row>
    <row r="835" spans="1:28" x14ac:dyDescent="0.2">
      <c r="A835" t="str">
        <f>IF(COUNTBLANK(B835:AD835)&lt;&gt;COLUMNS(B835:AD835),834,"")</f>
        <v/>
      </c>
      <c r="I835" s="1" t="str">
        <f t="shared" si="78"/>
        <v/>
      </c>
      <c r="J835" s="1" t="str">
        <f t="shared" si="79"/>
        <v/>
      </c>
      <c r="T835" s="1" t="str">
        <f t="shared" si="80"/>
        <v/>
      </c>
      <c r="W835" s="1" t="str">
        <f t="shared" si="81"/>
        <v/>
      </c>
      <c r="AA835" s="1" t="str">
        <f t="shared" si="82"/>
        <v/>
      </c>
      <c r="AB835" s="1" t="str">
        <f t="shared" si="83"/>
        <v/>
      </c>
    </row>
    <row r="836" spans="1:28" x14ac:dyDescent="0.2">
      <c r="A836" t="str">
        <f>IF(COUNTBLANK(B836:AD836)&lt;&gt;COLUMNS(B836:AD836),835,"")</f>
        <v/>
      </c>
      <c r="I836" s="1" t="str">
        <f t="shared" si="78"/>
        <v/>
      </c>
      <c r="J836" s="1" t="str">
        <f t="shared" si="79"/>
        <v/>
      </c>
      <c r="T836" s="1" t="str">
        <f t="shared" si="80"/>
        <v/>
      </c>
      <c r="W836" s="1" t="str">
        <f t="shared" si="81"/>
        <v/>
      </c>
      <c r="AA836" s="1" t="str">
        <f t="shared" si="82"/>
        <v/>
      </c>
      <c r="AB836" s="1" t="str">
        <f t="shared" si="83"/>
        <v/>
      </c>
    </row>
    <row r="837" spans="1:28" x14ac:dyDescent="0.2">
      <c r="A837" t="str">
        <f>IF(COUNTBLANK(B837:AD837)&lt;&gt;COLUMNS(B837:AD837),836,"")</f>
        <v/>
      </c>
      <c r="I837" s="1" t="str">
        <f t="shared" si="78"/>
        <v/>
      </c>
      <c r="J837" s="1" t="str">
        <f t="shared" si="79"/>
        <v/>
      </c>
      <c r="T837" s="1" t="str">
        <f t="shared" si="80"/>
        <v/>
      </c>
      <c r="W837" s="1" t="str">
        <f t="shared" si="81"/>
        <v/>
      </c>
      <c r="AA837" s="1" t="str">
        <f t="shared" si="82"/>
        <v/>
      </c>
      <c r="AB837" s="1" t="str">
        <f t="shared" si="83"/>
        <v/>
      </c>
    </row>
    <row r="838" spans="1:28" x14ac:dyDescent="0.2">
      <c r="A838" t="str">
        <f>IF(COUNTBLANK(B838:AD838)&lt;&gt;COLUMNS(B838:AD838),837,"")</f>
        <v/>
      </c>
      <c r="I838" s="1" t="str">
        <f t="shared" si="78"/>
        <v/>
      </c>
      <c r="J838" s="1" t="str">
        <f t="shared" si="79"/>
        <v/>
      </c>
      <c r="T838" s="1" t="str">
        <f t="shared" si="80"/>
        <v/>
      </c>
      <c r="W838" s="1" t="str">
        <f t="shared" si="81"/>
        <v/>
      </c>
      <c r="AA838" s="1" t="str">
        <f t="shared" si="82"/>
        <v/>
      </c>
      <c r="AB838" s="1" t="str">
        <f t="shared" si="83"/>
        <v/>
      </c>
    </row>
    <row r="839" spans="1:28" x14ac:dyDescent="0.2">
      <c r="A839" t="str">
        <f>IF(COUNTBLANK(B839:AD839)&lt;&gt;COLUMNS(B839:AD839),838,"")</f>
        <v/>
      </c>
      <c r="I839" s="1" t="str">
        <f t="shared" si="78"/>
        <v/>
      </c>
      <c r="J839" s="1" t="str">
        <f t="shared" si="79"/>
        <v/>
      </c>
      <c r="T839" s="1" t="str">
        <f t="shared" si="80"/>
        <v/>
      </c>
      <c r="W839" s="1" t="str">
        <f t="shared" si="81"/>
        <v/>
      </c>
      <c r="AA839" s="1" t="str">
        <f t="shared" si="82"/>
        <v/>
      </c>
      <c r="AB839" s="1" t="str">
        <f t="shared" si="83"/>
        <v/>
      </c>
    </row>
    <row r="840" spans="1:28" x14ac:dyDescent="0.2">
      <c r="A840" t="str">
        <f>IF(COUNTBLANK(B840:AD840)&lt;&gt;COLUMNS(B840:AD840),839,"")</f>
        <v/>
      </c>
      <c r="I840" s="1" t="str">
        <f t="shared" si="78"/>
        <v/>
      </c>
      <c r="J840" s="1" t="str">
        <f t="shared" si="79"/>
        <v/>
      </c>
      <c r="T840" s="1" t="str">
        <f t="shared" si="80"/>
        <v/>
      </c>
      <c r="W840" s="1" t="str">
        <f t="shared" si="81"/>
        <v/>
      </c>
      <c r="AA840" s="1" t="str">
        <f t="shared" si="82"/>
        <v/>
      </c>
      <c r="AB840" s="1" t="str">
        <f t="shared" si="83"/>
        <v/>
      </c>
    </row>
    <row r="841" spans="1:28" x14ac:dyDescent="0.2">
      <c r="A841" t="str">
        <f>IF(COUNTBLANK(B841:AD841)&lt;&gt;COLUMNS(B841:AD841),840,"")</f>
        <v/>
      </c>
      <c r="I841" s="1" t="str">
        <f t="shared" si="78"/>
        <v/>
      </c>
      <c r="J841" s="1" t="str">
        <f t="shared" si="79"/>
        <v/>
      </c>
      <c r="T841" s="1" t="str">
        <f t="shared" si="80"/>
        <v/>
      </c>
      <c r="W841" s="1" t="str">
        <f t="shared" si="81"/>
        <v/>
      </c>
      <c r="AA841" s="1" t="str">
        <f t="shared" si="82"/>
        <v/>
      </c>
      <c r="AB841" s="1" t="str">
        <f t="shared" si="83"/>
        <v/>
      </c>
    </row>
    <row r="842" spans="1:28" x14ac:dyDescent="0.2">
      <c r="A842" t="str">
        <f>IF(COUNTBLANK(B842:AD842)&lt;&gt;COLUMNS(B842:AD842),841,"")</f>
        <v/>
      </c>
      <c r="I842" s="1" t="str">
        <f t="shared" si="78"/>
        <v/>
      </c>
      <c r="J842" s="1" t="str">
        <f t="shared" si="79"/>
        <v/>
      </c>
      <c r="T842" s="1" t="str">
        <f t="shared" si="80"/>
        <v/>
      </c>
      <c r="W842" s="1" t="str">
        <f t="shared" si="81"/>
        <v/>
      </c>
      <c r="AA842" s="1" t="str">
        <f t="shared" si="82"/>
        <v/>
      </c>
      <c r="AB842" s="1" t="str">
        <f t="shared" si="83"/>
        <v/>
      </c>
    </row>
    <row r="843" spans="1:28" x14ac:dyDescent="0.2">
      <c r="A843" t="str">
        <f>IF(COUNTBLANK(B843:AD843)&lt;&gt;COLUMNS(B843:AD843),842,"")</f>
        <v/>
      </c>
      <c r="I843" s="1" t="str">
        <f t="shared" si="78"/>
        <v/>
      </c>
      <c r="J843" s="1" t="str">
        <f t="shared" si="79"/>
        <v/>
      </c>
      <c r="T843" s="1" t="str">
        <f t="shared" si="80"/>
        <v/>
      </c>
      <c r="W843" s="1" t="str">
        <f t="shared" si="81"/>
        <v/>
      </c>
      <c r="AA843" s="1" t="str">
        <f t="shared" si="82"/>
        <v/>
      </c>
      <c r="AB843" s="1" t="str">
        <f t="shared" si="83"/>
        <v/>
      </c>
    </row>
    <row r="844" spans="1:28" x14ac:dyDescent="0.2">
      <c r="A844" t="str">
        <f>IF(COUNTBLANK(B844:AD844)&lt;&gt;COLUMNS(B844:AD844),843,"")</f>
        <v/>
      </c>
      <c r="I844" s="1" t="str">
        <f t="shared" si="78"/>
        <v/>
      </c>
      <c r="J844" s="1" t="str">
        <f t="shared" si="79"/>
        <v/>
      </c>
      <c r="T844" s="1" t="str">
        <f t="shared" si="80"/>
        <v/>
      </c>
      <c r="W844" s="1" t="str">
        <f t="shared" si="81"/>
        <v/>
      </c>
      <c r="AA844" s="1" t="str">
        <f t="shared" si="82"/>
        <v/>
      </c>
      <c r="AB844" s="1" t="str">
        <f t="shared" si="83"/>
        <v/>
      </c>
    </row>
    <row r="845" spans="1:28" x14ac:dyDescent="0.2">
      <c r="A845" t="str">
        <f>IF(COUNTBLANK(B845:AD845)&lt;&gt;COLUMNS(B845:AD845),844,"")</f>
        <v/>
      </c>
      <c r="I845" s="1" t="str">
        <f t="shared" si="78"/>
        <v/>
      </c>
      <c r="J845" s="1" t="str">
        <f t="shared" si="79"/>
        <v/>
      </c>
      <c r="T845" s="1" t="str">
        <f t="shared" si="80"/>
        <v/>
      </c>
      <c r="W845" s="1" t="str">
        <f t="shared" si="81"/>
        <v/>
      </c>
      <c r="AA845" s="1" t="str">
        <f t="shared" si="82"/>
        <v/>
      </c>
      <c r="AB845" s="1" t="str">
        <f t="shared" si="83"/>
        <v/>
      </c>
    </row>
    <row r="846" spans="1:28" x14ac:dyDescent="0.2">
      <c r="A846" t="str">
        <f>IF(COUNTBLANK(B846:AD846)&lt;&gt;COLUMNS(B846:AD846),845,"")</f>
        <v/>
      </c>
      <c r="I846" s="1" t="str">
        <f t="shared" si="78"/>
        <v/>
      </c>
      <c r="J846" s="1" t="str">
        <f t="shared" si="79"/>
        <v/>
      </c>
      <c r="T846" s="1" t="str">
        <f t="shared" si="80"/>
        <v/>
      </c>
      <c r="W846" s="1" t="str">
        <f t="shared" si="81"/>
        <v/>
      </c>
      <c r="AA846" s="1" t="str">
        <f t="shared" si="82"/>
        <v/>
      </c>
      <c r="AB846" s="1" t="str">
        <f t="shared" si="83"/>
        <v/>
      </c>
    </row>
    <row r="847" spans="1:28" x14ac:dyDescent="0.2">
      <c r="A847" t="str">
        <f>IF(COUNTBLANK(B847:AD847)&lt;&gt;COLUMNS(B847:AD847),846,"")</f>
        <v/>
      </c>
      <c r="I847" s="1" t="str">
        <f t="shared" si="78"/>
        <v/>
      </c>
      <c r="J847" s="1" t="str">
        <f t="shared" si="79"/>
        <v/>
      </c>
      <c r="T847" s="1" t="str">
        <f t="shared" si="80"/>
        <v/>
      </c>
      <c r="W847" s="1" t="str">
        <f t="shared" si="81"/>
        <v/>
      </c>
      <c r="AA847" s="1" t="str">
        <f t="shared" si="82"/>
        <v/>
      </c>
      <c r="AB847" s="1" t="str">
        <f t="shared" si="83"/>
        <v/>
      </c>
    </row>
    <row r="848" spans="1:28" x14ac:dyDescent="0.2">
      <c r="A848" t="str">
        <f>IF(COUNTBLANK(B848:AD848)&lt;&gt;COLUMNS(B848:AD848),847,"")</f>
        <v/>
      </c>
      <c r="I848" s="1" t="str">
        <f t="shared" si="78"/>
        <v/>
      </c>
      <c r="J848" s="1" t="str">
        <f t="shared" si="79"/>
        <v/>
      </c>
      <c r="T848" s="1" t="str">
        <f t="shared" si="80"/>
        <v/>
      </c>
      <c r="W848" s="1" t="str">
        <f t="shared" si="81"/>
        <v/>
      </c>
      <c r="AA848" s="1" t="str">
        <f t="shared" si="82"/>
        <v/>
      </c>
      <c r="AB848" s="1" t="str">
        <f t="shared" si="83"/>
        <v/>
      </c>
    </row>
    <row r="849" spans="1:28" x14ac:dyDescent="0.2">
      <c r="A849" t="str">
        <f>IF(COUNTBLANK(B849:AD849)&lt;&gt;COLUMNS(B849:AD849),848,"")</f>
        <v/>
      </c>
      <c r="I849" s="1" t="str">
        <f t="shared" si="78"/>
        <v/>
      </c>
      <c r="J849" s="1" t="str">
        <f t="shared" si="79"/>
        <v/>
      </c>
      <c r="T849" s="1" t="str">
        <f t="shared" si="80"/>
        <v/>
      </c>
      <c r="W849" s="1" t="str">
        <f t="shared" si="81"/>
        <v/>
      </c>
      <c r="AA849" s="1" t="str">
        <f t="shared" si="82"/>
        <v/>
      </c>
      <c r="AB849" s="1" t="str">
        <f t="shared" si="83"/>
        <v/>
      </c>
    </row>
    <row r="850" spans="1:28" x14ac:dyDescent="0.2">
      <c r="A850" t="str">
        <f>IF(COUNTBLANK(B850:AD850)&lt;&gt;COLUMNS(B850:AD850),849,"")</f>
        <v/>
      </c>
      <c r="I850" s="1" t="str">
        <f t="shared" si="78"/>
        <v/>
      </c>
      <c r="J850" s="1" t="str">
        <f t="shared" si="79"/>
        <v/>
      </c>
      <c r="T850" s="1" t="str">
        <f t="shared" si="80"/>
        <v/>
      </c>
      <c r="W850" s="1" t="str">
        <f t="shared" si="81"/>
        <v/>
      </c>
      <c r="AA850" s="1" t="str">
        <f t="shared" si="82"/>
        <v/>
      </c>
      <c r="AB850" s="1" t="str">
        <f t="shared" si="83"/>
        <v/>
      </c>
    </row>
    <row r="851" spans="1:28" x14ac:dyDescent="0.2">
      <c r="A851" t="str">
        <f>IF(COUNTBLANK(B851:AD851)&lt;&gt;COLUMNS(B851:AD851),850,"")</f>
        <v/>
      </c>
      <c r="I851" s="1" t="str">
        <f t="shared" si="78"/>
        <v/>
      </c>
      <c r="J851" s="1" t="str">
        <f t="shared" si="79"/>
        <v/>
      </c>
      <c r="T851" s="1" t="str">
        <f t="shared" si="80"/>
        <v/>
      </c>
      <c r="W851" s="1" t="str">
        <f t="shared" si="81"/>
        <v/>
      </c>
      <c r="AA851" s="1" t="str">
        <f t="shared" si="82"/>
        <v/>
      </c>
      <c r="AB851" s="1" t="str">
        <f t="shared" si="83"/>
        <v/>
      </c>
    </row>
    <row r="852" spans="1:28" x14ac:dyDescent="0.2">
      <c r="A852" t="str">
        <f>IF(COUNTBLANK(B852:AD852)&lt;&gt;COLUMNS(B852:AD852),851,"")</f>
        <v/>
      </c>
      <c r="I852" s="1" t="str">
        <f t="shared" si="78"/>
        <v/>
      </c>
      <c r="J852" s="1" t="str">
        <f t="shared" si="79"/>
        <v/>
      </c>
      <c r="T852" s="1" t="str">
        <f t="shared" si="80"/>
        <v/>
      </c>
      <c r="W852" s="1" t="str">
        <f t="shared" si="81"/>
        <v/>
      </c>
      <c r="AA852" s="1" t="str">
        <f t="shared" si="82"/>
        <v/>
      </c>
      <c r="AB852" s="1" t="str">
        <f t="shared" si="83"/>
        <v/>
      </c>
    </row>
    <row r="853" spans="1:28" x14ac:dyDescent="0.2">
      <c r="A853" t="str">
        <f>IF(COUNTBLANK(B853:AD853)&lt;&gt;COLUMNS(B853:AD853),852,"")</f>
        <v/>
      </c>
      <c r="I853" s="1" t="str">
        <f t="shared" si="78"/>
        <v/>
      </c>
      <c r="J853" s="1" t="str">
        <f t="shared" si="79"/>
        <v/>
      </c>
      <c r="T853" s="1" t="str">
        <f t="shared" si="80"/>
        <v/>
      </c>
      <c r="W853" s="1" t="str">
        <f t="shared" si="81"/>
        <v/>
      </c>
      <c r="AA853" s="1" t="str">
        <f t="shared" si="82"/>
        <v/>
      </c>
      <c r="AB853" s="1" t="str">
        <f t="shared" si="83"/>
        <v/>
      </c>
    </row>
    <row r="854" spans="1:28" x14ac:dyDescent="0.2">
      <c r="A854" t="str">
        <f>IF(COUNTBLANK(B854:AD854)&lt;&gt;COLUMNS(B854:AD854),853,"")</f>
        <v/>
      </c>
      <c r="I854" s="1" t="str">
        <f t="shared" si="78"/>
        <v/>
      </c>
      <c r="J854" s="1" t="str">
        <f t="shared" si="79"/>
        <v/>
      </c>
      <c r="T854" s="1" t="str">
        <f t="shared" si="80"/>
        <v/>
      </c>
      <c r="W854" s="1" t="str">
        <f t="shared" si="81"/>
        <v/>
      </c>
      <c r="AA854" s="1" t="str">
        <f t="shared" si="82"/>
        <v/>
      </c>
      <c r="AB854" s="1" t="str">
        <f t="shared" si="83"/>
        <v/>
      </c>
    </row>
    <row r="855" spans="1:28" x14ac:dyDescent="0.2">
      <c r="A855" t="str">
        <f>IF(COUNTBLANK(B855:AD855)&lt;&gt;COLUMNS(B855:AD855),854,"")</f>
        <v/>
      </c>
      <c r="I855" s="1" t="str">
        <f t="shared" si="78"/>
        <v/>
      </c>
      <c r="J855" s="1" t="str">
        <f t="shared" si="79"/>
        <v/>
      </c>
      <c r="T855" s="1" t="str">
        <f t="shared" si="80"/>
        <v/>
      </c>
      <c r="W855" s="1" t="str">
        <f t="shared" si="81"/>
        <v/>
      </c>
      <c r="AA855" s="1" t="str">
        <f t="shared" si="82"/>
        <v/>
      </c>
      <c r="AB855" s="1" t="str">
        <f t="shared" si="83"/>
        <v/>
      </c>
    </row>
    <row r="856" spans="1:28" x14ac:dyDescent="0.2">
      <c r="A856" t="str">
        <f>IF(COUNTBLANK(B856:AD856)&lt;&gt;COLUMNS(B856:AD856),855,"")</f>
        <v/>
      </c>
      <c r="I856" s="1" t="str">
        <f t="shared" si="78"/>
        <v/>
      </c>
      <c r="J856" s="1" t="str">
        <f t="shared" si="79"/>
        <v/>
      </c>
      <c r="T856" s="1" t="str">
        <f t="shared" si="80"/>
        <v/>
      </c>
      <c r="W856" s="1" t="str">
        <f t="shared" si="81"/>
        <v/>
      </c>
      <c r="AA856" s="1" t="str">
        <f t="shared" si="82"/>
        <v/>
      </c>
      <c r="AB856" s="1" t="str">
        <f t="shared" si="83"/>
        <v/>
      </c>
    </row>
    <row r="857" spans="1:28" x14ac:dyDescent="0.2">
      <c r="A857" t="str">
        <f>IF(COUNTBLANK(B857:AD857)&lt;&gt;COLUMNS(B857:AD857),856,"")</f>
        <v/>
      </c>
      <c r="I857" s="1" t="str">
        <f t="shared" si="78"/>
        <v/>
      </c>
      <c r="J857" s="1" t="str">
        <f t="shared" si="79"/>
        <v/>
      </c>
      <c r="T857" s="1" t="str">
        <f t="shared" si="80"/>
        <v/>
      </c>
      <c r="W857" s="1" t="str">
        <f t="shared" si="81"/>
        <v/>
      </c>
      <c r="AA857" s="1" t="str">
        <f t="shared" si="82"/>
        <v/>
      </c>
      <c r="AB857" s="1" t="str">
        <f t="shared" si="83"/>
        <v/>
      </c>
    </row>
    <row r="858" spans="1:28" x14ac:dyDescent="0.2">
      <c r="A858" t="str">
        <f>IF(COUNTBLANK(B858:AD858)&lt;&gt;COLUMNS(B858:AD858),857,"")</f>
        <v/>
      </c>
      <c r="I858" s="1" t="str">
        <f t="shared" si="78"/>
        <v/>
      </c>
      <c r="J858" s="1" t="str">
        <f t="shared" si="79"/>
        <v/>
      </c>
      <c r="T858" s="1" t="str">
        <f t="shared" si="80"/>
        <v/>
      </c>
      <c r="W858" s="1" t="str">
        <f t="shared" si="81"/>
        <v/>
      </c>
      <c r="AA858" s="1" t="str">
        <f t="shared" si="82"/>
        <v/>
      </c>
      <c r="AB858" s="1" t="str">
        <f t="shared" si="83"/>
        <v/>
      </c>
    </row>
    <row r="859" spans="1:28" x14ac:dyDescent="0.2">
      <c r="A859" t="str">
        <f>IF(COUNTBLANK(B859:AD859)&lt;&gt;COLUMNS(B859:AD859),858,"")</f>
        <v/>
      </c>
      <c r="I859" s="1" t="str">
        <f t="shared" si="78"/>
        <v/>
      </c>
      <c r="J859" s="1" t="str">
        <f t="shared" si="79"/>
        <v/>
      </c>
      <c r="T859" s="1" t="str">
        <f t="shared" si="80"/>
        <v/>
      </c>
      <c r="W859" s="1" t="str">
        <f t="shared" si="81"/>
        <v/>
      </c>
      <c r="AA859" s="1" t="str">
        <f t="shared" si="82"/>
        <v/>
      </c>
      <c r="AB859" s="1" t="str">
        <f t="shared" si="83"/>
        <v/>
      </c>
    </row>
    <row r="860" spans="1:28" x14ac:dyDescent="0.2">
      <c r="A860" t="str">
        <f>IF(COUNTBLANK(B860:AD860)&lt;&gt;COLUMNS(B860:AD860),859,"")</f>
        <v/>
      </c>
      <c r="I860" s="1" t="str">
        <f t="shared" si="78"/>
        <v/>
      </c>
      <c r="J860" s="1" t="str">
        <f t="shared" si="79"/>
        <v/>
      </c>
      <c r="T860" s="1" t="str">
        <f t="shared" si="80"/>
        <v/>
      </c>
      <c r="W860" s="1" t="str">
        <f t="shared" si="81"/>
        <v/>
      </c>
      <c r="AA860" s="1" t="str">
        <f t="shared" si="82"/>
        <v/>
      </c>
      <c r="AB860" s="1" t="str">
        <f t="shared" si="83"/>
        <v/>
      </c>
    </row>
    <row r="861" spans="1:28" x14ac:dyDescent="0.2">
      <c r="A861" t="str">
        <f>IF(COUNTBLANK(B861:AD861)&lt;&gt;COLUMNS(B861:AD861),860,"")</f>
        <v/>
      </c>
      <c r="I861" s="1" t="str">
        <f t="shared" si="78"/>
        <v/>
      </c>
      <c r="J861" s="1" t="str">
        <f t="shared" si="79"/>
        <v/>
      </c>
      <c r="T861" s="1" t="str">
        <f t="shared" si="80"/>
        <v/>
      </c>
      <c r="W861" s="1" t="str">
        <f t="shared" si="81"/>
        <v/>
      </c>
      <c r="AA861" s="1" t="str">
        <f t="shared" si="82"/>
        <v/>
      </c>
      <c r="AB861" s="1" t="str">
        <f t="shared" si="83"/>
        <v/>
      </c>
    </row>
    <row r="862" spans="1:28" x14ac:dyDescent="0.2">
      <c r="A862" t="str">
        <f>IF(COUNTBLANK(B862:AD862)&lt;&gt;COLUMNS(B862:AD862),861,"")</f>
        <v/>
      </c>
      <c r="I862" s="1" t="str">
        <f t="shared" si="78"/>
        <v/>
      </c>
      <c r="J862" s="1" t="str">
        <f t="shared" si="79"/>
        <v/>
      </c>
      <c r="T862" s="1" t="str">
        <f t="shared" si="80"/>
        <v/>
      </c>
      <c r="W862" s="1" t="str">
        <f t="shared" si="81"/>
        <v/>
      </c>
      <c r="AA862" s="1" t="str">
        <f t="shared" si="82"/>
        <v/>
      </c>
      <c r="AB862" s="1" t="str">
        <f t="shared" si="83"/>
        <v/>
      </c>
    </row>
    <row r="863" spans="1:28" x14ac:dyDescent="0.2">
      <c r="A863" t="str">
        <f>IF(COUNTBLANK(B863:AD863)&lt;&gt;COLUMNS(B863:AD863),862,"")</f>
        <v/>
      </c>
      <c r="I863" s="1" t="str">
        <f t="shared" si="78"/>
        <v/>
      </c>
      <c r="J863" s="1" t="str">
        <f t="shared" si="79"/>
        <v/>
      </c>
      <c r="T863" s="1" t="str">
        <f t="shared" si="80"/>
        <v/>
      </c>
      <c r="W863" s="1" t="str">
        <f t="shared" si="81"/>
        <v/>
      </c>
      <c r="AA863" s="1" t="str">
        <f t="shared" si="82"/>
        <v/>
      </c>
      <c r="AB863" s="1" t="str">
        <f t="shared" si="83"/>
        <v/>
      </c>
    </row>
    <row r="864" spans="1:28" x14ac:dyDescent="0.2">
      <c r="A864" t="str">
        <f>IF(COUNTBLANK(B864:AD864)&lt;&gt;COLUMNS(B864:AD864),863,"")</f>
        <v/>
      </c>
      <c r="I864" s="1" t="str">
        <f t="shared" si="78"/>
        <v/>
      </c>
      <c r="J864" s="1" t="str">
        <f t="shared" si="79"/>
        <v/>
      </c>
      <c r="T864" s="1" t="str">
        <f t="shared" si="80"/>
        <v/>
      </c>
      <c r="W864" s="1" t="str">
        <f t="shared" si="81"/>
        <v/>
      </c>
      <c r="AA864" s="1" t="str">
        <f t="shared" si="82"/>
        <v/>
      </c>
      <c r="AB864" s="1" t="str">
        <f t="shared" si="83"/>
        <v/>
      </c>
    </row>
    <row r="865" spans="1:28" x14ac:dyDescent="0.2">
      <c r="A865" t="str">
        <f>IF(COUNTBLANK(B865:AD865)&lt;&gt;COLUMNS(B865:AD865),864,"")</f>
        <v/>
      </c>
      <c r="I865" s="1" t="str">
        <f t="shared" si="78"/>
        <v/>
      </c>
      <c r="J865" s="1" t="str">
        <f t="shared" si="79"/>
        <v/>
      </c>
      <c r="T865" s="1" t="str">
        <f t="shared" si="80"/>
        <v/>
      </c>
      <c r="W865" s="1" t="str">
        <f t="shared" si="81"/>
        <v/>
      </c>
      <c r="AA865" s="1" t="str">
        <f t="shared" si="82"/>
        <v/>
      </c>
      <c r="AB865" s="1" t="str">
        <f t="shared" si="83"/>
        <v/>
      </c>
    </row>
    <row r="866" spans="1:28" x14ac:dyDescent="0.2">
      <c r="A866" t="str">
        <f>IF(COUNTBLANK(B866:AD866)&lt;&gt;COLUMNS(B866:AD866),865,"")</f>
        <v/>
      </c>
      <c r="I866" s="1" t="str">
        <f t="shared" si="78"/>
        <v/>
      </c>
      <c r="J866" s="1" t="str">
        <f t="shared" si="79"/>
        <v/>
      </c>
      <c r="T866" s="1" t="str">
        <f t="shared" si="80"/>
        <v/>
      </c>
      <c r="W866" s="1" t="str">
        <f t="shared" si="81"/>
        <v/>
      </c>
      <c r="AA866" s="1" t="str">
        <f t="shared" si="82"/>
        <v/>
      </c>
      <c r="AB866" s="1" t="str">
        <f t="shared" si="83"/>
        <v/>
      </c>
    </row>
    <row r="867" spans="1:28" x14ac:dyDescent="0.2">
      <c r="A867" t="str">
        <f>IF(COUNTBLANK(B867:AD867)&lt;&gt;COLUMNS(B867:AD867),866,"")</f>
        <v/>
      </c>
      <c r="I867" s="1" t="str">
        <f t="shared" si="78"/>
        <v/>
      </c>
      <c r="J867" s="1" t="str">
        <f t="shared" si="79"/>
        <v/>
      </c>
      <c r="T867" s="1" t="str">
        <f t="shared" si="80"/>
        <v/>
      </c>
      <c r="W867" s="1" t="str">
        <f t="shared" si="81"/>
        <v/>
      </c>
      <c r="AA867" s="1" t="str">
        <f t="shared" si="82"/>
        <v/>
      </c>
      <c r="AB867" s="1" t="str">
        <f t="shared" si="83"/>
        <v/>
      </c>
    </row>
    <row r="868" spans="1:28" x14ac:dyDescent="0.2">
      <c r="A868" t="str">
        <f>IF(COUNTBLANK(B868:AD868)&lt;&gt;COLUMNS(B868:AD868),867,"")</f>
        <v/>
      </c>
      <c r="I868" s="1" t="str">
        <f t="shared" si="78"/>
        <v/>
      </c>
      <c r="J868" s="1" t="str">
        <f t="shared" si="79"/>
        <v/>
      </c>
      <c r="T868" s="1" t="str">
        <f t="shared" si="80"/>
        <v/>
      </c>
      <c r="W868" s="1" t="str">
        <f t="shared" si="81"/>
        <v/>
      </c>
      <c r="AA868" s="1" t="str">
        <f t="shared" si="82"/>
        <v/>
      </c>
      <c r="AB868" s="1" t="str">
        <f t="shared" si="83"/>
        <v/>
      </c>
    </row>
    <row r="869" spans="1:28" x14ac:dyDescent="0.2">
      <c r="A869" t="str">
        <f>IF(COUNTBLANK(B869:AD869)&lt;&gt;COLUMNS(B869:AD869),868,"")</f>
        <v/>
      </c>
      <c r="I869" s="1" t="str">
        <f t="shared" si="78"/>
        <v/>
      </c>
      <c r="J869" s="1" t="str">
        <f t="shared" si="79"/>
        <v/>
      </c>
      <c r="T869" s="1" t="str">
        <f t="shared" si="80"/>
        <v/>
      </c>
      <c r="W869" s="1" t="str">
        <f t="shared" si="81"/>
        <v/>
      </c>
      <c r="AA869" s="1" t="str">
        <f t="shared" si="82"/>
        <v/>
      </c>
      <c r="AB869" s="1" t="str">
        <f t="shared" si="83"/>
        <v/>
      </c>
    </row>
    <row r="870" spans="1:28" x14ac:dyDescent="0.2">
      <c r="A870" t="str">
        <f>IF(COUNTBLANK(B870:AD870)&lt;&gt;COLUMNS(B870:AD870),869,"")</f>
        <v/>
      </c>
      <c r="I870" s="1" t="str">
        <f t="shared" si="78"/>
        <v/>
      </c>
      <c r="J870" s="1" t="str">
        <f t="shared" si="79"/>
        <v/>
      </c>
      <c r="T870" s="1" t="str">
        <f t="shared" si="80"/>
        <v/>
      </c>
      <c r="W870" s="1" t="str">
        <f t="shared" si="81"/>
        <v/>
      </c>
      <c r="AA870" s="1" t="str">
        <f t="shared" si="82"/>
        <v/>
      </c>
      <c r="AB870" s="1" t="str">
        <f t="shared" si="83"/>
        <v/>
      </c>
    </row>
    <row r="871" spans="1:28" x14ac:dyDescent="0.2">
      <c r="A871" t="str">
        <f>IF(COUNTBLANK(B871:AD871)&lt;&gt;COLUMNS(B871:AD871),870,"")</f>
        <v/>
      </c>
      <c r="I871" s="1" t="str">
        <f t="shared" si="78"/>
        <v/>
      </c>
      <c r="J871" s="1" t="str">
        <f t="shared" si="79"/>
        <v/>
      </c>
      <c r="T871" s="1" t="str">
        <f t="shared" si="80"/>
        <v/>
      </c>
      <c r="W871" s="1" t="str">
        <f t="shared" si="81"/>
        <v/>
      </c>
      <c r="AA871" s="1" t="str">
        <f t="shared" si="82"/>
        <v/>
      </c>
      <c r="AB871" s="1" t="str">
        <f t="shared" si="83"/>
        <v/>
      </c>
    </row>
    <row r="872" spans="1:28" x14ac:dyDescent="0.2">
      <c r="A872" t="str">
        <f>IF(COUNTBLANK(B872:AD872)&lt;&gt;COLUMNS(B872:AD872),871,"")</f>
        <v/>
      </c>
      <c r="I872" s="1" t="str">
        <f t="shared" si="78"/>
        <v/>
      </c>
      <c r="J872" s="1" t="str">
        <f t="shared" si="79"/>
        <v/>
      </c>
      <c r="T872" s="1" t="str">
        <f t="shared" si="80"/>
        <v/>
      </c>
      <c r="W872" s="1" t="str">
        <f t="shared" si="81"/>
        <v/>
      </c>
      <c r="AA872" s="1" t="str">
        <f t="shared" si="82"/>
        <v/>
      </c>
      <c r="AB872" s="1" t="str">
        <f t="shared" si="83"/>
        <v/>
      </c>
    </row>
    <row r="873" spans="1:28" x14ac:dyDescent="0.2">
      <c r="A873" t="str">
        <f>IF(COUNTBLANK(B873:AD873)&lt;&gt;COLUMNS(B873:AD873),872,"")</f>
        <v/>
      </c>
      <c r="I873" s="1" t="str">
        <f t="shared" si="78"/>
        <v/>
      </c>
      <c r="J873" s="1" t="str">
        <f t="shared" si="79"/>
        <v/>
      </c>
      <c r="T873" s="1" t="str">
        <f t="shared" si="80"/>
        <v/>
      </c>
      <c r="W873" s="1" t="str">
        <f t="shared" si="81"/>
        <v/>
      </c>
      <c r="AA873" s="1" t="str">
        <f t="shared" si="82"/>
        <v/>
      </c>
      <c r="AB873" s="1" t="str">
        <f t="shared" si="83"/>
        <v/>
      </c>
    </row>
    <row r="874" spans="1:28" x14ac:dyDescent="0.2">
      <c r="A874" t="str">
        <f>IF(COUNTBLANK(B874:AD874)&lt;&gt;COLUMNS(B874:AD874),873,"")</f>
        <v/>
      </c>
      <c r="I874" s="1" t="str">
        <f t="shared" si="78"/>
        <v/>
      </c>
      <c r="J874" s="1" t="str">
        <f t="shared" si="79"/>
        <v/>
      </c>
      <c r="T874" s="1" t="str">
        <f t="shared" si="80"/>
        <v/>
      </c>
      <c r="W874" s="1" t="str">
        <f t="shared" si="81"/>
        <v/>
      </c>
      <c r="AA874" s="1" t="str">
        <f t="shared" si="82"/>
        <v/>
      </c>
      <c r="AB874" s="1" t="str">
        <f t="shared" si="83"/>
        <v/>
      </c>
    </row>
    <row r="875" spans="1:28" x14ac:dyDescent="0.2">
      <c r="A875" t="str">
        <f>IF(COUNTBLANK(B875:AD875)&lt;&gt;COLUMNS(B875:AD875),874,"")</f>
        <v/>
      </c>
      <c r="I875" s="1" t="str">
        <f t="shared" si="78"/>
        <v/>
      </c>
      <c r="J875" s="1" t="str">
        <f t="shared" si="79"/>
        <v/>
      </c>
      <c r="T875" s="1" t="str">
        <f t="shared" si="80"/>
        <v/>
      </c>
      <c r="W875" s="1" t="str">
        <f t="shared" si="81"/>
        <v/>
      </c>
      <c r="AA875" s="1" t="str">
        <f t="shared" si="82"/>
        <v/>
      </c>
      <c r="AB875" s="1" t="str">
        <f t="shared" si="83"/>
        <v/>
      </c>
    </row>
    <row r="876" spans="1:28" x14ac:dyDescent="0.2">
      <c r="A876" t="str">
        <f>IF(COUNTBLANK(B876:AD876)&lt;&gt;COLUMNS(B876:AD876),875,"")</f>
        <v/>
      </c>
      <c r="I876" s="1" t="str">
        <f t="shared" si="78"/>
        <v/>
      </c>
      <c r="J876" s="1" t="str">
        <f t="shared" si="79"/>
        <v/>
      </c>
      <c r="T876" s="1" t="str">
        <f t="shared" si="80"/>
        <v/>
      </c>
      <c r="W876" s="1" t="str">
        <f t="shared" si="81"/>
        <v/>
      </c>
      <c r="AA876" s="1" t="str">
        <f t="shared" si="82"/>
        <v/>
      </c>
      <c r="AB876" s="1" t="str">
        <f t="shared" si="83"/>
        <v/>
      </c>
    </row>
    <row r="877" spans="1:28" x14ac:dyDescent="0.2">
      <c r="A877" t="str">
        <f>IF(COUNTBLANK(B877:AD877)&lt;&gt;COLUMNS(B877:AD877),876,"")</f>
        <v/>
      </c>
      <c r="I877" s="1" t="str">
        <f t="shared" si="78"/>
        <v/>
      </c>
      <c r="J877" s="1" t="str">
        <f t="shared" si="79"/>
        <v/>
      </c>
      <c r="T877" s="1" t="str">
        <f t="shared" si="80"/>
        <v/>
      </c>
      <c r="W877" s="1" t="str">
        <f t="shared" si="81"/>
        <v/>
      </c>
      <c r="AA877" s="1" t="str">
        <f t="shared" si="82"/>
        <v/>
      </c>
      <c r="AB877" s="1" t="str">
        <f t="shared" si="83"/>
        <v/>
      </c>
    </row>
    <row r="878" spans="1:28" x14ac:dyDescent="0.2">
      <c r="A878" t="str">
        <f>IF(COUNTBLANK(B878:AD878)&lt;&gt;COLUMNS(B878:AD878),877,"")</f>
        <v/>
      </c>
      <c r="I878" s="1" t="str">
        <f t="shared" si="78"/>
        <v/>
      </c>
      <c r="J878" s="1" t="str">
        <f t="shared" si="79"/>
        <v/>
      </c>
      <c r="T878" s="1" t="str">
        <f t="shared" si="80"/>
        <v/>
      </c>
      <c r="W878" s="1" t="str">
        <f t="shared" si="81"/>
        <v/>
      </c>
      <c r="AA878" s="1" t="str">
        <f t="shared" si="82"/>
        <v/>
      </c>
      <c r="AB878" s="1" t="str">
        <f t="shared" si="83"/>
        <v/>
      </c>
    </row>
    <row r="879" spans="1:28" x14ac:dyDescent="0.2">
      <c r="A879" t="str">
        <f>IF(COUNTBLANK(B879:AD879)&lt;&gt;COLUMNS(B879:AD879),878,"")</f>
        <v/>
      </c>
      <c r="I879" s="1" t="str">
        <f t="shared" si="78"/>
        <v/>
      </c>
      <c r="J879" s="1" t="str">
        <f t="shared" si="79"/>
        <v/>
      </c>
      <c r="T879" s="1" t="str">
        <f t="shared" si="80"/>
        <v/>
      </c>
      <c r="W879" s="1" t="str">
        <f t="shared" si="81"/>
        <v/>
      </c>
      <c r="AA879" s="1" t="str">
        <f t="shared" si="82"/>
        <v/>
      </c>
      <c r="AB879" s="1" t="str">
        <f t="shared" si="83"/>
        <v/>
      </c>
    </row>
    <row r="880" spans="1:28" x14ac:dyDescent="0.2">
      <c r="A880" t="str">
        <f>IF(COUNTBLANK(B880:AD880)&lt;&gt;COLUMNS(B880:AD880),879,"")</f>
        <v/>
      </c>
      <c r="I880" s="1" t="str">
        <f t="shared" si="78"/>
        <v/>
      </c>
      <c r="J880" s="1" t="str">
        <f t="shared" si="79"/>
        <v/>
      </c>
      <c r="T880" s="1" t="str">
        <f t="shared" si="80"/>
        <v/>
      </c>
      <c r="W880" s="1" t="str">
        <f t="shared" si="81"/>
        <v/>
      </c>
      <c r="AA880" s="1" t="str">
        <f t="shared" si="82"/>
        <v/>
      </c>
      <c r="AB880" s="1" t="str">
        <f t="shared" si="83"/>
        <v/>
      </c>
    </row>
    <row r="881" spans="1:28" x14ac:dyDescent="0.2">
      <c r="A881" t="str">
        <f>IF(COUNTBLANK(B881:AD881)&lt;&gt;COLUMNS(B881:AD881),880,"")</f>
        <v/>
      </c>
      <c r="I881" s="1" t="str">
        <f t="shared" si="78"/>
        <v/>
      </c>
      <c r="J881" s="1" t="str">
        <f t="shared" si="79"/>
        <v/>
      </c>
      <c r="T881" s="1" t="str">
        <f t="shared" si="80"/>
        <v/>
      </c>
      <c r="W881" s="1" t="str">
        <f t="shared" si="81"/>
        <v/>
      </c>
      <c r="AA881" s="1" t="str">
        <f t="shared" si="82"/>
        <v/>
      </c>
      <c r="AB881" s="1" t="str">
        <f t="shared" si="83"/>
        <v/>
      </c>
    </row>
    <row r="882" spans="1:28" x14ac:dyDescent="0.2">
      <c r="A882" t="str">
        <f>IF(COUNTBLANK(B882:AD882)&lt;&gt;COLUMNS(B882:AD882),881,"")</f>
        <v/>
      </c>
      <c r="I882" s="1" t="str">
        <f t="shared" si="78"/>
        <v/>
      </c>
      <c r="J882" s="1" t="str">
        <f t="shared" si="79"/>
        <v/>
      </c>
      <c r="T882" s="1" t="str">
        <f t="shared" si="80"/>
        <v/>
      </c>
      <c r="W882" s="1" t="str">
        <f t="shared" si="81"/>
        <v/>
      </c>
      <c r="AA882" s="1" t="str">
        <f t="shared" si="82"/>
        <v/>
      </c>
      <c r="AB882" s="1" t="str">
        <f t="shared" si="83"/>
        <v/>
      </c>
    </row>
    <row r="883" spans="1:28" x14ac:dyDescent="0.2">
      <c r="A883" t="str">
        <f>IF(COUNTBLANK(B883:AD883)&lt;&gt;COLUMNS(B883:AD883),882,"")</f>
        <v/>
      </c>
      <c r="I883" s="1" t="str">
        <f t="shared" si="78"/>
        <v/>
      </c>
      <c r="J883" s="1" t="str">
        <f t="shared" si="79"/>
        <v/>
      </c>
      <c r="T883" s="1" t="str">
        <f t="shared" si="80"/>
        <v/>
      </c>
      <c r="W883" s="1" t="str">
        <f t="shared" si="81"/>
        <v/>
      </c>
      <c r="AA883" s="1" t="str">
        <f t="shared" si="82"/>
        <v/>
      </c>
      <c r="AB883" s="1" t="str">
        <f t="shared" si="83"/>
        <v/>
      </c>
    </row>
    <row r="884" spans="1:28" x14ac:dyDescent="0.2">
      <c r="A884" t="str">
        <f>IF(COUNTBLANK(B884:AD884)&lt;&gt;COLUMNS(B884:AD884),883,"")</f>
        <v/>
      </c>
      <c r="I884" s="1" t="str">
        <f t="shared" si="78"/>
        <v/>
      </c>
      <c r="J884" s="1" t="str">
        <f t="shared" si="79"/>
        <v/>
      </c>
      <c r="T884" s="1" t="str">
        <f t="shared" si="80"/>
        <v/>
      </c>
      <c r="W884" s="1" t="str">
        <f t="shared" si="81"/>
        <v/>
      </c>
      <c r="AA884" s="1" t="str">
        <f t="shared" si="82"/>
        <v/>
      </c>
      <c r="AB884" s="1" t="str">
        <f t="shared" si="83"/>
        <v/>
      </c>
    </row>
    <row r="885" spans="1:28" x14ac:dyDescent="0.2">
      <c r="A885" t="str">
        <f>IF(COUNTBLANK(B885:AD885)&lt;&gt;COLUMNS(B885:AD885),884,"")</f>
        <v/>
      </c>
      <c r="I885" s="1" t="str">
        <f t="shared" si="78"/>
        <v/>
      </c>
      <c r="J885" s="1" t="str">
        <f t="shared" si="79"/>
        <v/>
      </c>
      <c r="T885" s="1" t="str">
        <f t="shared" si="80"/>
        <v/>
      </c>
      <c r="W885" s="1" t="str">
        <f t="shared" si="81"/>
        <v/>
      </c>
      <c r="AA885" s="1" t="str">
        <f t="shared" si="82"/>
        <v/>
      </c>
      <c r="AB885" s="1" t="str">
        <f t="shared" si="83"/>
        <v/>
      </c>
    </row>
    <row r="886" spans="1:28" x14ac:dyDescent="0.2">
      <c r="A886" t="str">
        <f>IF(COUNTBLANK(B886:AD886)&lt;&gt;COLUMNS(B886:AD886),885,"")</f>
        <v/>
      </c>
      <c r="I886" s="1" t="str">
        <f t="shared" si="78"/>
        <v/>
      </c>
      <c r="J886" s="1" t="str">
        <f t="shared" si="79"/>
        <v/>
      </c>
      <c r="T886" s="1" t="str">
        <f t="shared" si="80"/>
        <v/>
      </c>
      <c r="W886" s="1" t="str">
        <f t="shared" si="81"/>
        <v/>
      </c>
      <c r="AA886" s="1" t="str">
        <f t="shared" si="82"/>
        <v/>
      </c>
      <c r="AB886" s="1" t="str">
        <f t="shared" si="83"/>
        <v/>
      </c>
    </row>
    <row r="887" spans="1:28" x14ac:dyDescent="0.2">
      <c r="A887" t="str">
        <f>IF(COUNTBLANK(B887:AD887)&lt;&gt;COLUMNS(B887:AD887),886,"")</f>
        <v/>
      </c>
      <c r="I887" s="1" t="str">
        <f t="shared" si="78"/>
        <v/>
      </c>
      <c r="J887" s="1" t="str">
        <f t="shared" si="79"/>
        <v/>
      </c>
      <c r="T887" s="1" t="str">
        <f t="shared" si="80"/>
        <v/>
      </c>
      <c r="W887" s="1" t="str">
        <f t="shared" si="81"/>
        <v/>
      </c>
      <c r="AA887" s="1" t="str">
        <f t="shared" si="82"/>
        <v/>
      </c>
      <c r="AB887" s="1" t="str">
        <f t="shared" si="83"/>
        <v/>
      </c>
    </row>
    <row r="888" spans="1:28" x14ac:dyDescent="0.2">
      <c r="A888" t="str">
        <f>IF(COUNTBLANK(B888:AD888)&lt;&gt;COLUMNS(B888:AD888),887,"")</f>
        <v/>
      </c>
      <c r="I888" s="1" t="str">
        <f t="shared" si="78"/>
        <v/>
      </c>
      <c r="J888" s="1" t="str">
        <f t="shared" si="79"/>
        <v/>
      </c>
      <c r="T888" s="1" t="str">
        <f t="shared" si="80"/>
        <v/>
      </c>
      <c r="W888" s="1" t="str">
        <f t="shared" si="81"/>
        <v/>
      </c>
      <c r="AA888" s="1" t="str">
        <f t="shared" si="82"/>
        <v/>
      </c>
      <c r="AB888" s="1" t="str">
        <f t="shared" si="83"/>
        <v/>
      </c>
    </row>
    <row r="889" spans="1:28" x14ac:dyDescent="0.2">
      <c r="A889" t="str">
        <f>IF(COUNTBLANK(B889:AD889)&lt;&gt;COLUMNS(B889:AD889),888,"")</f>
        <v/>
      </c>
      <c r="I889" s="1" t="str">
        <f t="shared" si="78"/>
        <v/>
      </c>
      <c r="J889" s="1" t="str">
        <f t="shared" si="79"/>
        <v/>
      </c>
      <c r="T889" s="1" t="str">
        <f t="shared" si="80"/>
        <v/>
      </c>
      <c r="W889" s="1" t="str">
        <f t="shared" si="81"/>
        <v/>
      </c>
      <c r="AA889" s="1" t="str">
        <f t="shared" si="82"/>
        <v/>
      </c>
      <c r="AB889" s="1" t="str">
        <f t="shared" si="83"/>
        <v/>
      </c>
    </row>
    <row r="890" spans="1:28" x14ac:dyDescent="0.2">
      <c r="A890" t="str">
        <f>IF(COUNTBLANK(B890:AD890)&lt;&gt;COLUMNS(B890:AD890),889,"")</f>
        <v/>
      </c>
      <c r="I890" s="1" t="str">
        <f t="shared" si="78"/>
        <v/>
      </c>
      <c r="J890" s="1" t="str">
        <f t="shared" si="79"/>
        <v/>
      </c>
      <c r="T890" s="1" t="str">
        <f t="shared" si="80"/>
        <v/>
      </c>
      <c r="W890" s="1" t="str">
        <f t="shared" si="81"/>
        <v/>
      </c>
      <c r="AA890" s="1" t="str">
        <f t="shared" si="82"/>
        <v/>
      </c>
      <c r="AB890" s="1" t="str">
        <f t="shared" si="83"/>
        <v/>
      </c>
    </row>
    <row r="891" spans="1:28" x14ac:dyDescent="0.2">
      <c r="A891" t="str">
        <f>IF(COUNTBLANK(B891:AD891)&lt;&gt;COLUMNS(B891:AD891),890,"")</f>
        <v/>
      </c>
      <c r="I891" s="1" t="str">
        <f t="shared" si="78"/>
        <v/>
      </c>
      <c r="J891" s="1" t="str">
        <f t="shared" si="79"/>
        <v/>
      </c>
      <c r="T891" s="1" t="str">
        <f t="shared" si="80"/>
        <v/>
      </c>
      <c r="W891" s="1" t="str">
        <f t="shared" si="81"/>
        <v/>
      </c>
      <c r="AA891" s="1" t="str">
        <f t="shared" si="82"/>
        <v/>
      </c>
      <c r="AB891" s="1" t="str">
        <f t="shared" si="83"/>
        <v/>
      </c>
    </row>
    <row r="892" spans="1:28" x14ac:dyDescent="0.2">
      <c r="A892" t="str">
        <f>IF(COUNTBLANK(B892:AD892)&lt;&gt;COLUMNS(B892:AD892),891,"")</f>
        <v/>
      </c>
      <c r="I892" s="1" t="str">
        <f t="shared" si="78"/>
        <v/>
      </c>
      <c r="J892" s="1" t="str">
        <f t="shared" si="79"/>
        <v/>
      </c>
      <c r="T892" s="1" t="str">
        <f t="shared" si="80"/>
        <v/>
      </c>
      <c r="W892" s="1" t="str">
        <f t="shared" si="81"/>
        <v/>
      </c>
      <c r="AA892" s="1" t="str">
        <f t="shared" si="82"/>
        <v/>
      </c>
      <c r="AB892" s="1" t="str">
        <f t="shared" si="83"/>
        <v/>
      </c>
    </row>
    <row r="893" spans="1:28" x14ac:dyDescent="0.2">
      <c r="A893" t="str">
        <f>IF(COUNTBLANK(B893:AD893)&lt;&gt;COLUMNS(B893:AD893),892,"")</f>
        <v/>
      </c>
      <c r="I893" s="1" t="str">
        <f t="shared" si="78"/>
        <v/>
      </c>
      <c r="J893" s="1" t="str">
        <f t="shared" si="79"/>
        <v/>
      </c>
      <c r="T893" s="1" t="str">
        <f t="shared" si="80"/>
        <v/>
      </c>
      <c r="W893" s="1" t="str">
        <f t="shared" si="81"/>
        <v/>
      </c>
      <c r="AA893" s="1" t="str">
        <f t="shared" si="82"/>
        <v/>
      </c>
      <c r="AB893" s="1" t="str">
        <f t="shared" si="83"/>
        <v/>
      </c>
    </row>
    <row r="894" spans="1:28" x14ac:dyDescent="0.2">
      <c r="A894" t="str">
        <f>IF(COUNTBLANK(B894:AD894)&lt;&gt;COLUMNS(B894:AD894),893,"")</f>
        <v/>
      </c>
      <c r="I894" s="1" t="str">
        <f t="shared" si="78"/>
        <v/>
      </c>
      <c r="J894" s="1" t="str">
        <f t="shared" si="79"/>
        <v/>
      </c>
      <c r="T894" s="1" t="str">
        <f t="shared" si="80"/>
        <v/>
      </c>
      <c r="W894" s="1" t="str">
        <f t="shared" si="81"/>
        <v/>
      </c>
      <c r="AA894" s="1" t="str">
        <f t="shared" si="82"/>
        <v/>
      </c>
      <c r="AB894" s="1" t="str">
        <f t="shared" si="83"/>
        <v/>
      </c>
    </row>
    <row r="895" spans="1:28" x14ac:dyDescent="0.2">
      <c r="A895" t="str">
        <f>IF(COUNTBLANK(B895:AD895)&lt;&gt;COLUMNS(B895:AD895),894,"")</f>
        <v/>
      </c>
      <c r="I895" s="1" t="str">
        <f t="shared" si="78"/>
        <v/>
      </c>
      <c r="J895" s="1" t="str">
        <f t="shared" si="79"/>
        <v/>
      </c>
      <c r="T895" s="1" t="str">
        <f t="shared" si="80"/>
        <v/>
      </c>
      <c r="W895" s="1" t="str">
        <f t="shared" si="81"/>
        <v/>
      </c>
      <c r="AA895" s="1" t="str">
        <f t="shared" si="82"/>
        <v/>
      </c>
      <c r="AB895" s="1" t="str">
        <f t="shared" si="83"/>
        <v/>
      </c>
    </row>
    <row r="896" spans="1:28" x14ac:dyDescent="0.2">
      <c r="A896" t="str">
        <f>IF(COUNTBLANK(B896:AD896)&lt;&gt;COLUMNS(B896:AD896),895,"")</f>
        <v/>
      </c>
      <c r="I896" s="1" t="str">
        <f t="shared" si="78"/>
        <v/>
      </c>
      <c r="J896" s="1" t="str">
        <f t="shared" si="79"/>
        <v/>
      </c>
      <c r="T896" s="1" t="str">
        <f t="shared" si="80"/>
        <v/>
      </c>
      <c r="W896" s="1" t="str">
        <f t="shared" si="81"/>
        <v/>
      </c>
      <c r="AA896" s="1" t="str">
        <f t="shared" si="82"/>
        <v/>
      </c>
      <c r="AB896" s="1" t="str">
        <f t="shared" si="83"/>
        <v/>
      </c>
    </row>
    <row r="897" spans="1:28" x14ac:dyDescent="0.2">
      <c r="A897" t="str">
        <f>IF(COUNTBLANK(B897:AD897)&lt;&gt;COLUMNS(B897:AD897),896,"")</f>
        <v/>
      </c>
      <c r="I897" s="1" t="str">
        <f t="shared" si="78"/>
        <v/>
      </c>
      <c r="J897" s="1" t="str">
        <f t="shared" si="79"/>
        <v/>
      </c>
      <c r="T897" s="1" t="str">
        <f t="shared" si="80"/>
        <v/>
      </c>
      <c r="W897" s="1" t="str">
        <f t="shared" si="81"/>
        <v/>
      </c>
      <c r="AA897" s="1" t="str">
        <f t="shared" si="82"/>
        <v/>
      </c>
      <c r="AB897" s="1" t="str">
        <f t="shared" si="83"/>
        <v/>
      </c>
    </row>
    <row r="898" spans="1:28" x14ac:dyDescent="0.2">
      <c r="A898" t="str">
        <f>IF(COUNTBLANK(B898:AD898)&lt;&gt;COLUMNS(B898:AD898),897,"")</f>
        <v/>
      </c>
      <c r="I898" s="1" t="str">
        <f t="shared" ref="I898:I961" si="84">IF(B898="", "", "meters")</f>
        <v/>
      </c>
      <c r="J898" s="1" t="str">
        <f t="shared" ref="J898:J961" si="85">IF(B898="", "", "free-living")</f>
        <v/>
      </c>
      <c r="T898" s="1" t="str">
        <f t="shared" ref="T898:T961" si="86">IF(B898="", "", "Decimal degrees")</f>
        <v/>
      </c>
      <c r="W898" s="1" t="str">
        <f t="shared" ref="W898:W961" si="87">IF(B898="", "", "Decimal degrees")</f>
        <v/>
      </c>
      <c r="AA898" s="1" t="str">
        <f t="shared" ref="AA898:AA961" si="88">IF(B898="", "", "metagenome")</f>
        <v/>
      </c>
      <c r="AB898" s="1" t="str">
        <f t="shared" ref="AB898:AB961" si="89">IF(B898="", "", "256318")</f>
        <v/>
      </c>
    </row>
    <row r="899" spans="1:28" x14ac:dyDescent="0.2">
      <c r="A899" t="str">
        <f>IF(COUNTBLANK(B899:AD899)&lt;&gt;COLUMNS(B899:AD899),898,"")</f>
        <v/>
      </c>
      <c r="I899" s="1" t="str">
        <f t="shared" si="84"/>
        <v/>
      </c>
      <c r="J899" s="1" t="str">
        <f t="shared" si="85"/>
        <v/>
      </c>
      <c r="T899" s="1" t="str">
        <f t="shared" si="86"/>
        <v/>
      </c>
      <c r="W899" s="1" t="str">
        <f t="shared" si="87"/>
        <v/>
      </c>
      <c r="AA899" s="1" t="str">
        <f t="shared" si="88"/>
        <v/>
      </c>
      <c r="AB899" s="1" t="str">
        <f t="shared" si="89"/>
        <v/>
      </c>
    </row>
    <row r="900" spans="1:28" x14ac:dyDescent="0.2">
      <c r="A900" t="str">
        <f>IF(COUNTBLANK(B900:AD900)&lt;&gt;COLUMNS(B900:AD900),899,"")</f>
        <v/>
      </c>
      <c r="I900" s="1" t="str">
        <f t="shared" si="84"/>
        <v/>
      </c>
      <c r="J900" s="1" t="str">
        <f t="shared" si="85"/>
        <v/>
      </c>
      <c r="T900" s="1" t="str">
        <f t="shared" si="86"/>
        <v/>
      </c>
      <c r="W900" s="1" t="str">
        <f t="shared" si="87"/>
        <v/>
      </c>
      <c r="AA900" s="1" t="str">
        <f t="shared" si="88"/>
        <v/>
      </c>
      <c r="AB900" s="1" t="str">
        <f t="shared" si="89"/>
        <v/>
      </c>
    </row>
    <row r="901" spans="1:28" x14ac:dyDescent="0.2">
      <c r="A901" t="str">
        <f>IF(COUNTBLANK(B901:AD901)&lt;&gt;COLUMNS(B901:AD901),900,"")</f>
        <v/>
      </c>
      <c r="I901" s="1" t="str">
        <f t="shared" si="84"/>
        <v/>
      </c>
      <c r="J901" s="1" t="str">
        <f t="shared" si="85"/>
        <v/>
      </c>
      <c r="T901" s="1" t="str">
        <f t="shared" si="86"/>
        <v/>
      </c>
      <c r="W901" s="1" t="str">
        <f t="shared" si="87"/>
        <v/>
      </c>
      <c r="AA901" s="1" t="str">
        <f t="shared" si="88"/>
        <v/>
      </c>
      <c r="AB901" s="1" t="str">
        <f t="shared" si="89"/>
        <v/>
      </c>
    </row>
    <row r="902" spans="1:28" x14ac:dyDescent="0.2">
      <c r="A902" t="str">
        <f>IF(COUNTBLANK(B902:AD902)&lt;&gt;COLUMNS(B902:AD902),901,"")</f>
        <v/>
      </c>
      <c r="I902" s="1" t="str">
        <f t="shared" si="84"/>
        <v/>
      </c>
      <c r="J902" s="1" t="str">
        <f t="shared" si="85"/>
        <v/>
      </c>
      <c r="T902" s="1" t="str">
        <f t="shared" si="86"/>
        <v/>
      </c>
      <c r="W902" s="1" t="str">
        <f t="shared" si="87"/>
        <v/>
      </c>
      <c r="AA902" s="1" t="str">
        <f t="shared" si="88"/>
        <v/>
      </c>
      <c r="AB902" s="1" t="str">
        <f t="shared" si="89"/>
        <v/>
      </c>
    </row>
    <row r="903" spans="1:28" x14ac:dyDescent="0.2">
      <c r="A903" t="str">
        <f>IF(COUNTBLANK(B903:AD903)&lt;&gt;COLUMNS(B903:AD903),902,"")</f>
        <v/>
      </c>
      <c r="I903" s="1" t="str">
        <f t="shared" si="84"/>
        <v/>
      </c>
      <c r="J903" s="1" t="str">
        <f t="shared" si="85"/>
        <v/>
      </c>
      <c r="T903" s="1" t="str">
        <f t="shared" si="86"/>
        <v/>
      </c>
      <c r="W903" s="1" t="str">
        <f t="shared" si="87"/>
        <v/>
      </c>
      <c r="AA903" s="1" t="str">
        <f t="shared" si="88"/>
        <v/>
      </c>
      <c r="AB903" s="1" t="str">
        <f t="shared" si="89"/>
        <v/>
      </c>
    </row>
    <row r="904" spans="1:28" x14ac:dyDescent="0.2">
      <c r="A904" t="str">
        <f>IF(COUNTBLANK(B904:AD904)&lt;&gt;COLUMNS(B904:AD904),903,"")</f>
        <v/>
      </c>
      <c r="I904" s="1" t="str">
        <f t="shared" si="84"/>
        <v/>
      </c>
      <c r="J904" s="1" t="str">
        <f t="shared" si="85"/>
        <v/>
      </c>
      <c r="T904" s="1" t="str">
        <f t="shared" si="86"/>
        <v/>
      </c>
      <c r="W904" s="1" t="str">
        <f t="shared" si="87"/>
        <v/>
      </c>
      <c r="AA904" s="1" t="str">
        <f t="shared" si="88"/>
        <v/>
      </c>
      <c r="AB904" s="1" t="str">
        <f t="shared" si="89"/>
        <v/>
      </c>
    </row>
    <row r="905" spans="1:28" x14ac:dyDescent="0.2">
      <c r="A905" t="str">
        <f>IF(COUNTBLANK(B905:AD905)&lt;&gt;COLUMNS(B905:AD905),904,"")</f>
        <v/>
      </c>
      <c r="I905" s="1" t="str">
        <f t="shared" si="84"/>
        <v/>
      </c>
      <c r="J905" s="1" t="str">
        <f t="shared" si="85"/>
        <v/>
      </c>
      <c r="T905" s="1" t="str">
        <f t="shared" si="86"/>
        <v/>
      </c>
      <c r="W905" s="1" t="str">
        <f t="shared" si="87"/>
        <v/>
      </c>
      <c r="AA905" s="1" t="str">
        <f t="shared" si="88"/>
        <v/>
      </c>
      <c r="AB905" s="1" t="str">
        <f t="shared" si="89"/>
        <v/>
      </c>
    </row>
    <row r="906" spans="1:28" x14ac:dyDescent="0.2">
      <c r="A906" t="str">
        <f>IF(COUNTBLANK(B906:AD906)&lt;&gt;COLUMNS(B906:AD906),905,"")</f>
        <v/>
      </c>
      <c r="I906" s="1" t="str">
        <f t="shared" si="84"/>
        <v/>
      </c>
      <c r="J906" s="1" t="str">
        <f t="shared" si="85"/>
        <v/>
      </c>
      <c r="T906" s="1" t="str">
        <f t="shared" si="86"/>
        <v/>
      </c>
      <c r="W906" s="1" t="str">
        <f t="shared" si="87"/>
        <v/>
      </c>
      <c r="AA906" s="1" t="str">
        <f t="shared" si="88"/>
        <v/>
      </c>
      <c r="AB906" s="1" t="str">
        <f t="shared" si="89"/>
        <v/>
      </c>
    </row>
    <row r="907" spans="1:28" x14ac:dyDescent="0.2">
      <c r="A907" t="str">
        <f>IF(COUNTBLANK(B907:AD907)&lt;&gt;COLUMNS(B907:AD907),906,"")</f>
        <v/>
      </c>
      <c r="I907" s="1" t="str">
        <f t="shared" si="84"/>
        <v/>
      </c>
      <c r="J907" s="1" t="str">
        <f t="shared" si="85"/>
        <v/>
      </c>
      <c r="T907" s="1" t="str">
        <f t="shared" si="86"/>
        <v/>
      </c>
      <c r="W907" s="1" t="str">
        <f t="shared" si="87"/>
        <v/>
      </c>
      <c r="AA907" s="1" t="str">
        <f t="shared" si="88"/>
        <v/>
      </c>
      <c r="AB907" s="1" t="str">
        <f t="shared" si="89"/>
        <v/>
      </c>
    </row>
    <row r="908" spans="1:28" x14ac:dyDescent="0.2">
      <c r="A908" t="str">
        <f>IF(COUNTBLANK(B908:AD908)&lt;&gt;COLUMNS(B908:AD908),907,"")</f>
        <v/>
      </c>
      <c r="I908" s="1" t="str">
        <f t="shared" si="84"/>
        <v/>
      </c>
      <c r="J908" s="1" t="str">
        <f t="shared" si="85"/>
        <v/>
      </c>
      <c r="T908" s="1" t="str">
        <f t="shared" si="86"/>
        <v/>
      </c>
      <c r="W908" s="1" t="str">
        <f t="shared" si="87"/>
        <v/>
      </c>
      <c r="AA908" s="1" t="str">
        <f t="shared" si="88"/>
        <v/>
      </c>
      <c r="AB908" s="1" t="str">
        <f t="shared" si="89"/>
        <v/>
      </c>
    </row>
    <row r="909" spans="1:28" x14ac:dyDescent="0.2">
      <c r="A909" t="str">
        <f>IF(COUNTBLANK(B909:AD909)&lt;&gt;COLUMNS(B909:AD909),908,"")</f>
        <v/>
      </c>
      <c r="I909" s="1" t="str">
        <f t="shared" si="84"/>
        <v/>
      </c>
      <c r="J909" s="1" t="str">
        <f t="shared" si="85"/>
        <v/>
      </c>
      <c r="T909" s="1" t="str">
        <f t="shared" si="86"/>
        <v/>
      </c>
      <c r="W909" s="1" t="str">
        <f t="shared" si="87"/>
        <v/>
      </c>
      <c r="AA909" s="1" t="str">
        <f t="shared" si="88"/>
        <v/>
      </c>
      <c r="AB909" s="1" t="str">
        <f t="shared" si="89"/>
        <v/>
      </c>
    </row>
    <row r="910" spans="1:28" x14ac:dyDescent="0.2">
      <c r="A910" t="str">
        <f>IF(COUNTBLANK(B910:AD910)&lt;&gt;COLUMNS(B910:AD910),909,"")</f>
        <v/>
      </c>
      <c r="I910" s="1" t="str">
        <f t="shared" si="84"/>
        <v/>
      </c>
      <c r="J910" s="1" t="str">
        <f t="shared" si="85"/>
        <v/>
      </c>
      <c r="T910" s="1" t="str">
        <f t="shared" si="86"/>
        <v/>
      </c>
      <c r="W910" s="1" t="str">
        <f t="shared" si="87"/>
        <v/>
      </c>
      <c r="AA910" s="1" t="str">
        <f t="shared" si="88"/>
        <v/>
      </c>
      <c r="AB910" s="1" t="str">
        <f t="shared" si="89"/>
        <v/>
      </c>
    </row>
    <row r="911" spans="1:28" x14ac:dyDescent="0.2">
      <c r="A911" t="str">
        <f>IF(COUNTBLANK(B911:AD911)&lt;&gt;COLUMNS(B911:AD911),910,"")</f>
        <v/>
      </c>
      <c r="I911" s="1" t="str">
        <f t="shared" si="84"/>
        <v/>
      </c>
      <c r="J911" s="1" t="str">
        <f t="shared" si="85"/>
        <v/>
      </c>
      <c r="T911" s="1" t="str">
        <f t="shared" si="86"/>
        <v/>
      </c>
      <c r="W911" s="1" t="str">
        <f t="shared" si="87"/>
        <v/>
      </c>
      <c r="AA911" s="1" t="str">
        <f t="shared" si="88"/>
        <v/>
      </c>
      <c r="AB911" s="1" t="str">
        <f t="shared" si="89"/>
        <v/>
      </c>
    </row>
    <row r="912" spans="1:28" x14ac:dyDescent="0.2">
      <c r="A912" t="str">
        <f>IF(COUNTBLANK(B912:AD912)&lt;&gt;COLUMNS(B912:AD912),911,"")</f>
        <v/>
      </c>
      <c r="I912" s="1" t="str">
        <f t="shared" si="84"/>
        <v/>
      </c>
      <c r="J912" s="1" t="str">
        <f t="shared" si="85"/>
        <v/>
      </c>
      <c r="T912" s="1" t="str">
        <f t="shared" si="86"/>
        <v/>
      </c>
      <c r="W912" s="1" t="str">
        <f t="shared" si="87"/>
        <v/>
      </c>
      <c r="AA912" s="1" t="str">
        <f t="shared" si="88"/>
        <v/>
      </c>
      <c r="AB912" s="1" t="str">
        <f t="shared" si="89"/>
        <v/>
      </c>
    </row>
    <row r="913" spans="1:28" x14ac:dyDescent="0.2">
      <c r="A913" t="str">
        <f>IF(COUNTBLANK(B913:AD913)&lt;&gt;COLUMNS(B913:AD913),912,"")</f>
        <v/>
      </c>
      <c r="I913" s="1" t="str">
        <f t="shared" si="84"/>
        <v/>
      </c>
      <c r="J913" s="1" t="str">
        <f t="shared" si="85"/>
        <v/>
      </c>
      <c r="T913" s="1" t="str">
        <f t="shared" si="86"/>
        <v/>
      </c>
      <c r="W913" s="1" t="str">
        <f t="shared" si="87"/>
        <v/>
      </c>
      <c r="AA913" s="1" t="str">
        <f t="shared" si="88"/>
        <v/>
      </c>
      <c r="AB913" s="1" t="str">
        <f t="shared" si="89"/>
        <v/>
      </c>
    </row>
    <row r="914" spans="1:28" x14ac:dyDescent="0.2">
      <c r="A914" t="str">
        <f>IF(COUNTBLANK(B914:AD914)&lt;&gt;COLUMNS(B914:AD914),913,"")</f>
        <v/>
      </c>
      <c r="I914" s="1" t="str">
        <f t="shared" si="84"/>
        <v/>
      </c>
      <c r="J914" s="1" t="str">
        <f t="shared" si="85"/>
        <v/>
      </c>
      <c r="T914" s="1" t="str">
        <f t="shared" si="86"/>
        <v/>
      </c>
      <c r="W914" s="1" t="str">
        <f t="shared" si="87"/>
        <v/>
      </c>
      <c r="AA914" s="1" t="str">
        <f t="shared" si="88"/>
        <v/>
      </c>
      <c r="AB914" s="1" t="str">
        <f t="shared" si="89"/>
        <v/>
      </c>
    </row>
    <row r="915" spans="1:28" x14ac:dyDescent="0.2">
      <c r="A915" t="str">
        <f>IF(COUNTBLANK(B915:AD915)&lt;&gt;COLUMNS(B915:AD915),914,"")</f>
        <v/>
      </c>
      <c r="I915" s="1" t="str">
        <f t="shared" si="84"/>
        <v/>
      </c>
      <c r="J915" s="1" t="str">
        <f t="shared" si="85"/>
        <v/>
      </c>
      <c r="T915" s="1" t="str">
        <f t="shared" si="86"/>
        <v/>
      </c>
      <c r="W915" s="1" t="str">
        <f t="shared" si="87"/>
        <v/>
      </c>
      <c r="AA915" s="1" t="str">
        <f t="shared" si="88"/>
        <v/>
      </c>
      <c r="AB915" s="1" t="str">
        <f t="shared" si="89"/>
        <v/>
      </c>
    </row>
    <row r="916" spans="1:28" x14ac:dyDescent="0.2">
      <c r="A916" t="str">
        <f>IF(COUNTBLANK(B916:AD916)&lt;&gt;COLUMNS(B916:AD916),915,"")</f>
        <v/>
      </c>
      <c r="I916" s="1" t="str">
        <f t="shared" si="84"/>
        <v/>
      </c>
      <c r="J916" s="1" t="str">
        <f t="shared" si="85"/>
        <v/>
      </c>
      <c r="T916" s="1" t="str">
        <f t="shared" si="86"/>
        <v/>
      </c>
      <c r="W916" s="1" t="str">
        <f t="shared" si="87"/>
        <v/>
      </c>
      <c r="AA916" s="1" t="str">
        <f t="shared" si="88"/>
        <v/>
      </c>
      <c r="AB916" s="1" t="str">
        <f t="shared" si="89"/>
        <v/>
      </c>
    </row>
    <row r="917" spans="1:28" x14ac:dyDescent="0.2">
      <c r="A917" t="str">
        <f>IF(COUNTBLANK(B917:AD917)&lt;&gt;COLUMNS(B917:AD917),916,"")</f>
        <v/>
      </c>
      <c r="I917" s="1" t="str">
        <f t="shared" si="84"/>
        <v/>
      </c>
      <c r="J917" s="1" t="str">
        <f t="shared" si="85"/>
        <v/>
      </c>
      <c r="T917" s="1" t="str">
        <f t="shared" si="86"/>
        <v/>
      </c>
      <c r="W917" s="1" t="str">
        <f t="shared" si="87"/>
        <v/>
      </c>
      <c r="AA917" s="1" t="str">
        <f t="shared" si="88"/>
        <v/>
      </c>
      <c r="AB917" s="1" t="str">
        <f t="shared" si="89"/>
        <v/>
      </c>
    </row>
    <row r="918" spans="1:28" x14ac:dyDescent="0.2">
      <c r="A918" t="str">
        <f>IF(COUNTBLANK(B918:AD918)&lt;&gt;COLUMNS(B918:AD918),917,"")</f>
        <v/>
      </c>
      <c r="I918" s="1" t="str">
        <f t="shared" si="84"/>
        <v/>
      </c>
      <c r="J918" s="1" t="str">
        <f t="shared" si="85"/>
        <v/>
      </c>
      <c r="T918" s="1" t="str">
        <f t="shared" si="86"/>
        <v/>
      </c>
      <c r="W918" s="1" t="str">
        <f t="shared" si="87"/>
        <v/>
      </c>
      <c r="AA918" s="1" t="str">
        <f t="shared" si="88"/>
        <v/>
      </c>
      <c r="AB918" s="1" t="str">
        <f t="shared" si="89"/>
        <v/>
      </c>
    </row>
    <row r="919" spans="1:28" x14ac:dyDescent="0.2">
      <c r="A919" t="str">
        <f>IF(COUNTBLANK(B919:AD919)&lt;&gt;COLUMNS(B919:AD919),918,"")</f>
        <v/>
      </c>
      <c r="I919" s="1" t="str">
        <f t="shared" si="84"/>
        <v/>
      </c>
      <c r="J919" s="1" t="str">
        <f t="shared" si="85"/>
        <v/>
      </c>
      <c r="T919" s="1" t="str">
        <f t="shared" si="86"/>
        <v/>
      </c>
      <c r="W919" s="1" t="str">
        <f t="shared" si="87"/>
        <v/>
      </c>
      <c r="AA919" s="1" t="str">
        <f t="shared" si="88"/>
        <v/>
      </c>
      <c r="AB919" s="1" t="str">
        <f t="shared" si="89"/>
        <v/>
      </c>
    </row>
    <row r="920" spans="1:28" x14ac:dyDescent="0.2">
      <c r="A920" t="str">
        <f>IF(COUNTBLANK(B920:AD920)&lt;&gt;COLUMNS(B920:AD920),919,"")</f>
        <v/>
      </c>
      <c r="I920" s="1" t="str">
        <f t="shared" si="84"/>
        <v/>
      </c>
      <c r="J920" s="1" t="str">
        <f t="shared" si="85"/>
        <v/>
      </c>
      <c r="T920" s="1" t="str">
        <f t="shared" si="86"/>
        <v/>
      </c>
      <c r="W920" s="1" t="str">
        <f t="shared" si="87"/>
        <v/>
      </c>
      <c r="AA920" s="1" t="str">
        <f t="shared" si="88"/>
        <v/>
      </c>
      <c r="AB920" s="1" t="str">
        <f t="shared" si="89"/>
        <v/>
      </c>
    </row>
    <row r="921" spans="1:28" x14ac:dyDescent="0.2">
      <c r="A921" t="str">
        <f>IF(COUNTBLANK(B921:AD921)&lt;&gt;COLUMNS(B921:AD921),920,"")</f>
        <v/>
      </c>
      <c r="I921" s="1" t="str">
        <f t="shared" si="84"/>
        <v/>
      </c>
      <c r="J921" s="1" t="str">
        <f t="shared" si="85"/>
        <v/>
      </c>
      <c r="T921" s="1" t="str">
        <f t="shared" si="86"/>
        <v/>
      </c>
      <c r="W921" s="1" t="str">
        <f t="shared" si="87"/>
        <v/>
      </c>
      <c r="AA921" s="1" t="str">
        <f t="shared" si="88"/>
        <v/>
      </c>
      <c r="AB921" s="1" t="str">
        <f t="shared" si="89"/>
        <v/>
      </c>
    </row>
    <row r="922" spans="1:28" x14ac:dyDescent="0.2">
      <c r="A922" t="str">
        <f>IF(COUNTBLANK(B922:AD922)&lt;&gt;COLUMNS(B922:AD922),921,"")</f>
        <v/>
      </c>
      <c r="I922" s="1" t="str">
        <f t="shared" si="84"/>
        <v/>
      </c>
      <c r="J922" s="1" t="str">
        <f t="shared" si="85"/>
        <v/>
      </c>
      <c r="T922" s="1" t="str">
        <f t="shared" si="86"/>
        <v/>
      </c>
      <c r="W922" s="1" t="str">
        <f t="shared" si="87"/>
        <v/>
      </c>
      <c r="AA922" s="1" t="str">
        <f t="shared" si="88"/>
        <v/>
      </c>
      <c r="AB922" s="1" t="str">
        <f t="shared" si="89"/>
        <v/>
      </c>
    </row>
    <row r="923" spans="1:28" x14ac:dyDescent="0.2">
      <c r="A923" t="str">
        <f>IF(COUNTBLANK(B923:AD923)&lt;&gt;COLUMNS(B923:AD923),922,"")</f>
        <v/>
      </c>
      <c r="I923" s="1" t="str">
        <f t="shared" si="84"/>
        <v/>
      </c>
      <c r="J923" s="1" t="str">
        <f t="shared" si="85"/>
        <v/>
      </c>
      <c r="T923" s="1" t="str">
        <f t="shared" si="86"/>
        <v/>
      </c>
      <c r="W923" s="1" t="str">
        <f t="shared" si="87"/>
        <v/>
      </c>
      <c r="AA923" s="1" t="str">
        <f t="shared" si="88"/>
        <v/>
      </c>
      <c r="AB923" s="1" t="str">
        <f t="shared" si="89"/>
        <v/>
      </c>
    </row>
    <row r="924" spans="1:28" x14ac:dyDescent="0.2">
      <c r="A924" t="str">
        <f>IF(COUNTBLANK(B924:AD924)&lt;&gt;COLUMNS(B924:AD924),923,"")</f>
        <v/>
      </c>
      <c r="I924" s="1" t="str">
        <f t="shared" si="84"/>
        <v/>
      </c>
      <c r="J924" s="1" t="str">
        <f t="shared" si="85"/>
        <v/>
      </c>
      <c r="T924" s="1" t="str">
        <f t="shared" si="86"/>
        <v/>
      </c>
      <c r="W924" s="1" t="str">
        <f t="shared" si="87"/>
        <v/>
      </c>
      <c r="AA924" s="1" t="str">
        <f t="shared" si="88"/>
        <v/>
      </c>
      <c r="AB924" s="1" t="str">
        <f t="shared" si="89"/>
        <v/>
      </c>
    </row>
    <row r="925" spans="1:28" x14ac:dyDescent="0.2">
      <c r="A925" t="str">
        <f>IF(COUNTBLANK(B925:AD925)&lt;&gt;COLUMNS(B925:AD925),924,"")</f>
        <v/>
      </c>
      <c r="I925" s="1" t="str">
        <f t="shared" si="84"/>
        <v/>
      </c>
      <c r="J925" s="1" t="str">
        <f t="shared" si="85"/>
        <v/>
      </c>
      <c r="T925" s="1" t="str">
        <f t="shared" si="86"/>
        <v/>
      </c>
      <c r="W925" s="1" t="str">
        <f t="shared" si="87"/>
        <v/>
      </c>
      <c r="AA925" s="1" t="str">
        <f t="shared" si="88"/>
        <v/>
      </c>
      <c r="AB925" s="1" t="str">
        <f t="shared" si="89"/>
        <v/>
      </c>
    </row>
    <row r="926" spans="1:28" x14ac:dyDescent="0.2">
      <c r="A926" t="str">
        <f>IF(COUNTBLANK(B926:AD926)&lt;&gt;COLUMNS(B926:AD926),925,"")</f>
        <v/>
      </c>
      <c r="I926" s="1" t="str">
        <f t="shared" si="84"/>
        <v/>
      </c>
      <c r="J926" s="1" t="str">
        <f t="shared" si="85"/>
        <v/>
      </c>
      <c r="T926" s="1" t="str">
        <f t="shared" si="86"/>
        <v/>
      </c>
      <c r="W926" s="1" t="str">
        <f t="shared" si="87"/>
        <v/>
      </c>
      <c r="AA926" s="1" t="str">
        <f t="shared" si="88"/>
        <v/>
      </c>
      <c r="AB926" s="1" t="str">
        <f t="shared" si="89"/>
        <v/>
      </c>
    </row>
    <row r="927" spans="1:28" x14ac:dyDescent="0.2">
      <c r="A927" t="str">
        <f>IF(COUNTBLANK(B927:AD927)&lt;&gt;COLUMNS(B927:AD927),926,"")</f>
        <v/>
      </c>
      <c r="I927" s="1" t="str">
        <f t="shared" si="84"/>
        <v/>
      </c>
      <c r="J927" s="1" t="str">
        <f t="shared" si="85"/>
        <v/>
      </c>
      <c r="T927" s="1" t="str">
        <f t="shared" si="86"/>
        <v/>
      </c>
      <c r="W927" s="1" t="str">
        <f t="shared" si="87"/>
        <v/>
      </c>
      <c r="AA927" s="1" t="str">
        <f t="shared" si="88"/>
        <v/>
      </c>
      <c r="AB927" s="1" t="str">
        <f t="shared" si="89"/>
        <v/>
      </c>
    </row>
    <row r="928" spans="1:28" x14ac:dyDescent="0.2">
      <c r="A928" t="str">
        <f>IF(COUNTBLANK(B928:AD928)&lt;&gt;COLUMNS(B928:AD928),927,"")</f>
        <v/>
      </c>
      <c r="I928" s="1" t="str">
        <f t="shared" si="84"/>
        <v/>
      </c>
      <c r="J928" s="1" t="str">
        <f t="shared" si="85"/>
        <v/>
      </c>
      <c r="T928" s="1" t="str">
        <f t="shared" si="86"/>
        <v/>
      </c>
      <c r="W928" s="1" t="str">
        <f t="shared" si="87"/>
        <v/>
      </c>
      <c r="AA928" s="1" t="str">
        <f t="shared" si="88"/>
        <v/>
      </c>
      <c r="AB928" s="1" t="str">
        <f t="shared" si="89"/>
        <v/>
      </c>
    </row>
    <row r="929" spans="1:28" x14ac:dyDescent="0.2">
      <c r="A929" t="str">
        <f>IF(COUNTBLANK(B929:AD929)&lt;&gt;COLUMNS(B929:AD929),928,"")</f>
        <v/>
      </c>
      <c r="I929" s="1" t="str">
        <f t="shared" si="84"/>
        <v/>
      </c>
      <c r="J929" s="1" t="str">
        <f t="shared" si="85"/>
        <v/>
      </c>
      <c r="T929" s="1" t="str">
        <f t="shared" si="86"/>
        <v/>
      </c>
      <c r="W929" s="1" t="str">
        <f t="shared" si="87"/>
        <v/>
      </c>
      <c r="AA929" s="1" t="str">
        <f t="shared" si="88"/>
        <v/>
      </c>
      <c r="AB929" s="1" t="str">
        <f t="shared" si="89"/>
        <v/>
      </c>
    </row>
    <row r="930" spans="1:28" x14ac:dyDescent="0.2">
      <c r="A930" t="str">
        <f>IF(COUNTBLANK(B930:AD930)&lt;&gt;COLUMNS(B930:AD930),929,"")</f>
        <v/>
      </c>
      <c r="I930" s="1" t="str">
        <f t="shared" si="84"/>
        <v/>
      </c>
      <c r="J930" s="1" t="str">
        <f t="shared" si="85"/>
        <v/>
      </c>
      <c r="T930" s="1" t="str">
        <f t="shared" si="86"/>
        <v/>
      </c>
      <c r="W930" s="1" t="str">
        <f t="shared" si="87"/>
        <v/>
      </c>
      <c r="AA930" s="1" t="str">
        <f t="shared" si="88"/>
        <v/>
      </c>
      <c r="AB930" s="1" t="str">
        <f t="shared" si="89"/>
        <v/>
      </c>
    </row>
    <row r="931" spans="1:28" x14ac:dyDescent="0.2">
      <c r="A931" t="str">
        <f>IF(COUNTBLANK(B931:AD931)&lt;&gt;COLUMNS(B931:AD931),930,"")</f>
        <v/>
      </c>
      <c r="I931" s="1" t="str">
        <f t="shared" si="84"/>
        <v/>
      </c>
      <c r="J931" s="1" t="str">
        <f t="shared" si="85"/>
        <v/>
      </c>
      <c r="T931" s="1" t="str">
        <f t="shared" si="86"/>
        <v/>
      </c>
      <c r="W931" s="1" t="str">
        <f t="shared" si="87"/>
        <v/>
      </c>
      <c r="AA931" s="1" t="str">
        <f t="shared" si="88"/>
        <v/>
      </c>
      <c r="AB931" s="1" t="str">
        <f t="shared" si="89"/>
        <v/>
      </c>
    </row>
    <row r="932" spans="1:28" x14ac:dyDescent="0.2">
      <c r="A932" t="str">
        <f>IF(COUNTBLANK(B932:AD932)&lt;&gt;COLUMNS(B932:AD932),931,"")</f>
        <v/>
      </c>
      <c r="I932" s="1" t="str">
        <f t="shared" si="84"/>
        <v/>
      </c>
      <c r="J932" s="1" t="str">
        <f t="shared" si="85"/>
        <v/>
      </c>
      <c r="T932" s="1" t="str">
        <f t="shared" si="86"/>
        <v/>
      </c>
      <c r="W932" s="1" t="str">
        <f t="shared" si="87"/>
        <v/>
      </c>
      <c r="AA932" s="1" t="str">
        <f t="shared" si="88"/>
        <v/>
      </c>
      <c r="AB932" s="1" t="str">
        <f t="shared" si="89"/>
        <v/>
      </c>
    </row>
    <row r="933" spans="1:28" x14ac:dyDescent="0.2">
      <c r="A933" t="str">
        <f>IF(COUNTBLANK(B933:AD933)&lt;&gt;COLUMNS(B933:AD933),932,"")</f>
        <v/>
      </c>
      <c r="I933" s="1" t="str">
        <f t="shared" si="84"/>
        <v/>
      </c>
      <c r="J933" s="1" t="str">
        <f t="shared" si="85"/>
        <v/>
      </c>
      <c r="T933" s="1" t="str">
        <f t="shared" si="86"/>
        <v/>
      </c>
      <c r="W933" s="1" t="str">
        <f t="shared" si="87"/>
        <v/>
      </c>
      <c r="AA933" s="1" t="str">
        <f t="shared" si="88"/>
        <v/>
      </c>
      <c r="AB933" s="1" t="str">
        <f t="shared" si="89"/>
        <v/>
      </c>
    </row>
    <row r="934" spans="1:28" x14ac:dyDescent="0.2">
      <c r="A934" t="str">
        <f>IF(COUNTBLANK(B934:AD934)&lt;&gt;COLUMNS(B934:AD934),933,"")</f>
        <v/>
      </c>
      <c r="I934" s="1" t="str">
        <f t="shared" si="84"/>
        <v/>
      </c>
      <c r="J934" s="1" t="str">
        <f t="shared" si="85"/>
        <v/>
      </c>
      <c r="T934" s="1" t="str">
        <f t="shared" si="86"/>
        <v/>
      </c>
      <c r="W934" s="1" t="str">
        <f t="shared" si="87"/>
        <v/>
      </c>
      <c r="AA934" s="1" t="str">
        <f t="shared" si="88"/>
        <v/>
      </c>
      <c r="AB934" s="1" t="str">
        <f t="shared" si="89"/>
        <v/>
      </c>
    </row>
    <row r="935" spans="1:28" x14ac:dyDescent="0.2">
      <c r="A935" t="str">
        <f>IF(COUNTBLANK(B935:AD935)&lt;&gt;COLUMNS(B935:AD935),934,"")</f>
        <v/>
      </c>
      <c r="I935" s="1" t="str">
        <f t="shared" si="84"/>
        <v/>
      </c>
      <c r="J935" s="1" t="str">
        <f t="shared" si="85"/>
        <v/>
      </c>
      <c r="T935" s="1" t="str">
        <f t="shared" si="86"/>
        <v/>
      </c>
      <c r="W935" s="1" t="str">
        <f t="shared" si="87"/>
        <v/>
      </c>
      <c r="AA935" s="1" t="str">
        <f t="shared" si="88"/>
        <v/>
      </c>
      <c r="AB935" s="1" t="str">
        <f t="shared" si="89"/>
        <v/>
      </c>
    </row>
    <row r="936" spans="1:28" x14ac:dyDescent="0.2">
      <c r="A936" t="str">
        <f>IF(COUNTBLANK(B936:AD936)&lt;&gt;COLUMNS(B936:AD936),935,"")</f>
        <v/>
      </c>
      <c r="I936" s="1" t="str">
        <f t="shared" si="84"/>
        <v/>
      </c>
      <c r="J936" s="1" t="str">
        <f t="shared" si="85"/>
        <v/>
      </c>
      <c r="T936" s="1" t="str">
        <f t="shared" si="86"/>
        <v/>
      </c>
      <c r="W936" s="1" t="str">
        <f t="shared" si="87"/>
        <v/>
      </c>
      <c r="AA936" s="1" t="str">
        <f t="shared" si="88"/>
        <v/>
      </c>
      <c r="AB936" s="1" t="str">
        <f t="shared" si="89"/>
        <v/>
      </c>
    </row>
    <row r="937" spans="1:28" x14ac:dyDescent="0.2">
      <c r="A937" t="str">
        <f>IF(COUNTBLANK(B937:AD937)&lt;&gt;COLUMNS(B937:AD937),936,"")</f>
        <v/>
      </c>
      <c r="I937" s="1" t="str">
        <f t="shared" si="84"/>
        <v/>
      </c>
      <c r="J937" s="1" t="str">
        <f t="shared" si="85"/>
        <v/>
      </c>
      <c r="T937" s="1" t="str">
        <f t="shared" si="86"/>
        <v/>
      </c>
      <c r="W937" s="1" t="str">
        <f t="shared" si="87"/>
        <v/>
      </c>
      <c r="AA937" s="1" t="str">
        <f t="shared" si="88"/>
        <v/>
      </c>
      <c r="AB937" s="1" t="str">
        <f t="shared" si="89"/>
        <v/>
      </c>
    </row>
    <row r="938" spans="1:28" x14ac:dyDescent="0.2">
      <c r="A938" t="str">
        <f>IF(COUNTBLANK(B938:AD938)&lt;&gt;COLUMNS(B938:AD938),937,"")</f>
        <v/>
      </c>
      <c r="I938" s="1" t="str">
        <f t="shared" si="84"/>
        <v/>
      </c>
      <c r="J938" s="1" t="str">
        <f t="shared" si="85"/>
        <v/>
      </c>
      <c r="T938" s="1" t="str">
        <f t="shared" si="86"/>
        <v/>
      </c>
      <c r="W938" s="1" t="str">
        <f t="shared" si="87"/>
        <v/>
      </c>
      <c r="AA938" s="1" t="str">
        <f t="shared" si="88"/>
        <v/>
      </c>
      <c r="AB938" s="1" t="str">
        <f t="shared" si="89"/>
        <v/>
      </c>
    </row>
    <row r="939" spans="1:28" x14ac:dyDescent="0.2">
      <c r="A939" t="str">
        <f>IF(COUNTBLANK(B939:AD939)&lt;&gt;COLUMNS(B939:AD939),938,"")</f>
        <v/>
      </c>
      <c r="I939" s="1" t="str">
        <f t="shared" si="84"/>
        <v/>
      </c>
      <c r="J939" s="1" t="str">
        <f t="shared" si="85"/>
        <v/>
      </c>
      <c r="T939" s="1" t="str">
        <f t="shared" si="86"/>
        <v/>
      </c>
      <c r="W939" s="1" t="str">
        <f t="shared" si="87"/>
        <v/>
      </c>
      <c r="AA939" s="1" t="str">
        <f t="shared" si="88"/>
        <v/>
      </c>
      <c r="AB939" s="1" t="str">
        <f t="shared" si="89"/>
        <v/>
      </c>
    </row>
    <row r="940" spans="1:28" x14ac:dyDescent="0.2">
      <c r="A940" t="str">
        <f>IF(COUNTBLANK(B940:AD940)&lt;&gt;COLUMNS(B940:AD940),939,"")</f>
        <v/>
      </c>
      <c r="I940" s="1" t="str">
        <f t="shared" si="84"/>
        <v/>
      </c>
      <c r="J940" s="1" t="str">
        <f t="shared" si="85"/>
        <v/>
      </c>
      <c r="T940" s="1" t="str">
        <f t="shared" si="86"/>
        <v/>
      </c>
      <c r="W940" s="1" t="str">
        <f t="shared" si="87"/>
        <v/>
      </c>
      <c r="AA940" s="1" t="str">
        <f t="shared" si="88"/>
        <v/>
      </c>
      <c r="AB940" s="1" t="str">
        <f t="shared" si="89"/>
        <v/>
      </c>
    </row>
    <row r="941" spans="1:28" x14ac:dyDescent="0.2">
      <c r="A941" t="str">
        <f>IF(COUNTBLANK(B941:AD941)&lt;&gt;COLUMNS(B941:AD941),940,"")</f>
        <v/>
      </c>
      <c r="I941" s="1" t="str">
        <f t="shared" si="84"/>
        <v/>
      </c>
      <c r="J941" s="1" t="str">
        <f t="shared" si="85"/>
        <v/>
      </c>
      <c r="T941" s="1" t="str">
        <f t="shared" si="86"/>
        <v/>
      </c>
      <c r="W941" s="1" t="str">
        <f t="shared" si="87"/>
        <v/>
      </c>
      <c r="AA941" s="1" t="str">
        <f t="shared" si="88"/>
        <v/>
      </c>
      <c r="AB941" s="1" t="str">
        <f t="shared" si="89"/>
        <v/>
      </c>
    </row>
    <row r="942" spans="1:28" x14ac:dyDescent="0.2">
      <c r="A942" t="str">
        <f>IF(COUNTBLANK(B942:AD942)&lt;&gt;COLUMNS(B942:AD942),941,"")</f>
        <v/>
      </c>
      <c r="I942" s="1" t="str">
        <f t="shared" si="84"/>
        <v/>
      </c>
      <c r="J942" s="1" t="str">
        <f t="shared" si="85"/>
        <v/>
      </c>
      <c r="T942" s="1" t="str">
        <f t="shared" si="86"/>
        <v/>
      </c>
      <c r="W942" s="1" t="str">
        <f t="shared" si="87"/>
        <v/>
      </c>
      <c r="AA942" s="1" t="str">
        <f t="shared" si="88"/>
        <v/>
      </c>
      <c r="AB942" s="1" t="str">
        <f t="shared" si="89"/>
        <v/>
      </c>
    </row>
    <row r="943" spans="1:28" x14ac:dyDescent="0.2">
      <c r="A943" t="str">
        <f>IF(COUNTBLANK(B943:AD943)&lt;&gt;COLUMNS(B943:AD943),942,"")</f>
        <v/>
      </c>
      <c r="I943" s="1" t="str">
        <f t="shared" si="84"/>
        <v/>
      </c>
      <c r="J943" s="1" t="str">
        <f t="shared" si="85"/>
        <v/>
      </c>
      <c r="T943" s="1" t="str">
        <f t="shared" si="86"/>
        <v/>
      </c>
      <c r="W943" s="1" t="str">
        <f t="shared" si="87"/>
        <v/>
      </c>
      <c r="AA943" s="1" t="str">
        <f t="shared" si="88"/>
        <v/>
      </c>
      <c r="AB943" s="1" t="str">
        <f t="shared" si="89"/>
        <v/>
      </c>
    </row>
    <row r="944" spans="1:28" x14ac:dyDescent="0.2">
      <c r="A944" t="str">
        <f>IF(COUNTBLANK(B944:AD944)&lt;&gt;COLUMNS(B944:AD944),943,"")</f>
        <v/>
      </c>
      <c r="I944" s="1" t="str">
        <f t="shared" si="84"/>
        <v/>
      </c>
      <c r="J944" s="1" t="str">
        <f t="shared" si="85"/>
        <v/>
      </c>
      <c r="T944" s="1" t="str">
        <f t="shared" si="86"/>
        <v/>
      </c>
      <c r="W944" s="1" t="str">
        <f t="shared" si="87"/>
        <v/>
      </c>
      <c r="AA944" s="1" t="str">
        <f t="shared" si="88"/>
        <v/>
      </c>
      <c r="AB944" s="1" t="str">
        <f t="shared" si="89"/>
        <v/>
      </c>
    </row>
    <row r="945" spans="1:28" x14ac:dyDescent="0.2">
      <c r="A945" t="str">
        <f>IF(COUNTBLANK(B945:AD945)&lt;&gt;COLUMNS(B945:AD945),944,"")</f>
        <v/>
      </c>
      <c r="I945" s="1" t="str">
        <f t="shared" si="84"/>
        <v/>
      </c>
      <c r="J945" s="1" t="str">
        <f t="shared" si="85"/>
        <v/>
      </c>
      <c r="T945" s="1" t="str">
        <f t="shared" si="86"/>
        <v/>
      </c>
      <c r="W945" s="1" t="str">
        <f t="shared" si="87"/>
        <v/>
      </c>
      <c r="AA945" s="1" t="str">
        <f t="shared" si="88"/>
        <v/>
      </c>
      <c r="AB945" s="1" t="str">
        <f t="shared" si="89"/>
        <v/>
      </c>
    </row>
    <row r="946" spans="1:28" x14ac:dyDescent="0.2">
      <c r="A946" t="str">
        <f>IF(COUNTBLANK(B946:AD946)&lt;&gt;COLUMNS(B946:AD946),945,"")</f>
        <v/>
      </c>
      <c r="I946" s="1" t="str">
        <f t="shared" si="84"/>
        <v/>
      </c>
      <c r="J946" s="1" t="str">
        <f t="shared" si="85"/>
        <v/>
      </c>
      <c r="T946" s="1" t="str">
        <f t="shared" si="86"/>
        <v/>
      </c>
      <c r="W946" s="1" t="str">
        <f t="shared" si="87"/>
        <v/>
      </c>
      <c r="AA946" s="1" t="str">
        <f t="shared" si="88"/>
        <v/>
      </c>
      <c r="AB946" s="1" t="str">
        <f t="shared" si="89"/>
        <v/>
      </c>
    </row>
    <row r="947" spans="1:28" x14ac:dyDescent="0.2">
      <c r="A947" t="str">
        <f>IF(COUNTBLANK(B947:AD947)&lt;&gt;COLUMNS(B947:AD947),946,"")</f>
        <v/>
      </c>
      <c r="I947" s="1" t="str">
        <f t="shared" si="84"/>
        <v/>
      </c>
      <c r="J947" s="1" t="str">
        <f t="shared" si="85"/>
        <v/>
      </c>
      <c r="T947" s="1" t="str">
        <f t="shared" si="86"/>
        <v/>
      </c>
      <c r="W947" s="1" t="str">
        <f t="shared" si="87"/>
        <v/>
      </c>
      <c r="AA947" s="1" t="str">
        <f t="shared" si="88"/>
        <v/>
      </c>
      <c r="AB947" s="1" t="str">
        <f t="shared" si="89"/>
        <v/>
      </c>
    </row>
    <row r="948" spans="1:28" x14ac:dyDescent="0.2">
      <c r="A948" t="str">
        <f>IF(COUNTBLANK(B948:AD948)&lt;&gt;COLUMNS(B948:AD948),947,"")</f>
        <v/>
      </c>
      <c r="I948" s="1" t="str">
        <f t="shared" si="84"/>
        <v/>
      </c>
      <c r="J948" s="1" t="str">
        <f t="shared" si="85"/>
        <v/>
      </c>
      <c r="T948" s="1" t="str">
        <f t="shared" si="86"/>
        <v/>
      </c>
      <c r="W948" s="1" t="str">
        <f t="shared" si="87"/>
        <v/>
      </c>
      <c r="AA948" s="1" t="str">
        <f t="shared" si="88"/>
        <v/>
      </c>
      <c r="AB948" s="1" t="str">
        <f t="shared" si="89"/>
        <v/>
      </c>
    </row>
    <row r="949" spans="1:28" x14ac:dyDescent="0.2">
      <c r="A949" t="str">
        <f>IF(COUNTBLANK(B949:AD949)&lt;&gt;COLUMNS(B949:AD949),948,"")</f>
        <v/>
      </c>
      <c r="I949" s="1" t="str">
        <f t="shared" si="84"/>
        <v/>
      </c>
      <c r="J949" s="1" t="str">
        <f t="shared" si="85"/>
        <v/>
      </c>
      <c r="T949" s="1" t="str">
        <f t="shared" si="86"/>
        <v/>
      </c>
      <c r="W949" s="1" t="str">
        <f t="shared" si="87"/>
        <v/>
      </c>
      <c r="AA949" s="1" t="str">
        <f t="shared" si="88"/>
        <v/>
      </c>
      <c r="AB949" s="1" t="str">
        <f t="shared" si="89"/>
        <v/>
      </c>
    </row>
    <row r="950" spans="1:28" x14ac:dyDescent="0.2">
      <c r="A950" t="str">
        <f>IF(COUNTBLANK(B950:AD950)&lt;&gt;COLUMNS(B950:AD950),949,"")</f>
        <v/>
      </c>
      <c r="I950" s="1" t="str">
        <f t="shared" si="84"/>
        <v/>
      </c>
      <c r="J950" s="1" t="str">
        <f t="shared" si="85"/>
        <v/>
      </c>
      <c r="T950" s="1" t="str">
        <f t="shared" si="86"/>
        <v/>
      </c>
      <c r="W950" s="1" t="str">
        <f t="shared" si="87"/>
        <v/>
      </c>
      <c r="AA950" s="1" t="str">
        <f t="shared" si="88"/>
        <v/>
      </c>
      <c r="AB950" s="1" t="str">
        <f t="shared" si="89"/>
        <v/>
      </c>
    </row>
    <row r="951" spans="1:28" x14ac:dyDescent="0.2">
      <c r="A951" t="str">
        <f>IF(COUNTBLANK(B951:AD951)&lt;&gt;COLUMNS(B951:AD951),950,"")</f>
        <v/>
      </c>
      <c r="I951" s="1" t="str">
        <f t="shared" si="84"/>
        <v/>
      </c>
      <c r="J951" s="1" t="str">
        <f t="shared" si="85"/>
        <v/>
      </c>
      <c r="T951" s="1" t="str">
        <f t="shared" si="86"/>
        <v/>
      </c>
      <c r="W951" s="1" t="str">
        <f t="shared" si="87"/>
        <v/>
      </c>
      <c r="AA951" s="1" t="str">
        <f t="shared" si="88"/>
        <v/>
      </c>
      <c r="AB951" s="1" t="str">
        <f t="shared" si="89"/>
        <v/>
      </c>
    </row>
    <row r="952" spans="1:28" x14ac:dyDescent="0.2">
      <c r="A952" t="str">
        <f>IF(COUNTBLANK(B952:AD952)&lt;&gt;COLUMNS(B952:AD952),951,"")</f>
        <v/>
      </c>
      <c r="I952" s="1" t="str">
        <f t="shared" si="84"/>
        <v/>
      </c>
      <c r="J952" s="1" t="str">
        <f t="shared" si="85"/>
        <v/>
      </c>
      <c r="T952" s="1" t="str">
        <f t="shared" si="86"/>
        <v/>
      </c>
      <c r="W952" s="1" t="str">
        <f t="shared" si="87"/>
        <v/>
      </c>
      <c r="AA952" s="1" t="str">
        <f t="shared" si="88"/>
        <v/>
      </c>
      <c r="AB952" s="1" t="str">
        <f t="shared" si="89"/>
        <v/>
      </c>
    </row>
    <row r="953" spans="1:28" x14ac:dyDescent="0.2">
      <c r="A953" t="str">
        <f>IF(COUNTBLANK(B953:AD953)&lt;&gt;COLUMNS(B953:AD953),952,"")</f>
        <v/>
      </c>
      <c r="I953" s="1" t="str">
        <f t="shared" si="84"/>
        <v/>
      </c>
      <c r="J953" s="1" t="str">
        <f t="shared" si="85"/>
        <v/>
      </c>
      <c r="T953" s="1" t="str">
        <f t="shared" si="86"/>
        <v/>
      </c>
      <c r="W953" s="1" t="str">
        <f t="shared" si="87"/>
        <v/>
      </c>
      <c r="AA953" s="1" t="str">
        <f t="shared" si="88"/>
        <v/>
      </c>
      <c r="AB953" s="1" t="str">
        <f t="shared" si="89"/>
        <v/>
      </c>
    </row>
    <row r="954" spans="1:28" x14ac:dyDescent="0.2">
      <c r="A954" t="str">
        <f>IF(COUNTBLANK(B954:AD954)&lt;&gt;COLUMNS(B954:AD954),953,"")</f>
        <v/>
      </c>
      <c r="I954" s="1" t="str">
        <f t="shared" si="84"/>
        <v/>
      </c>
      <c r="J954" s="1" t="str">
        <f t="shared" si="85"/>
        <v/>
      </c>
      <c r="T954" s="1" t="str">
        <f t="shared" si="86"/>
        <v/>
      </c>
      <c r="W954" s="1" t="str">
        <f t="shared" si="87"/>
        <v/>
      </c>
      <c r="AA954" s="1" t="str">
        <f t="shared" si="88"/>
        <v/>
      </c>
      <c r="AB954" s="1" t="str">
        <f t="shared" si="89"/>
        <v/>
      </c>
    </row>
    <row r="955" spans="1:28" x14ac:dyDescent="0.2">
      <c r="A955" t="str">
        <f>IF(COUNTBLANK(B955:AD955)&lt;&gt;COLUMNS(B955:AD955),954,"")</f>
        <v/>
      </c>
      <c r="I955" s="1" t="str">
        <f t="shared" si="84"/>
        <v/>
      </c>
      <c r="J955" s="1" t="str">
        <f t="shared" si="85"/>
        <v/>
      </c>
      <c r="T955" s="1" t="str">
        <f t="shared" si="86"/>
        <v/>
      </c>
      <c r="W955" s="1" t="str">
        <f t="shared" si="87"/>
        <v/>
      </c>
      <c r="AA955" s="1" t="str">
        <f t="shared" si="88"/>
        <v/>
      </c>
      <c r="AB955" s="1" t="str">
        <f t="shared" si="89"/>
        <v/>
      </c>
    </row>
    <row r="956" spans="1:28" x14ac:dyDescent="0.2">
      <c r="A956" t="str">
        <f>IF(COUNTBLANK(B956:AD956)&lt;&gt;COLUMNS(B956:AD956),955,"")</f>
        <v/>
      </c>
      <c r="I956" s="1" t="str">
        <f t="shared" si="84"/>
        <v/>
      </c>
      <c r="J956" s="1" t="str">
        <f t="shared" si="85"/>
        <v/>
      </c>
      <c r="T956" s="1" t="str">
        <f t="shared" si="86"/>
        <v/>
      </c>
      <c r="W956" s="1" t="str">
        <f t="shared" si="87"/>
        <v/>
      </c>
      <c r="AA956" s="1" t="str">
        <f t="shared" si="88"/>
        <v/>
      </c>
      <c r="AB956" s="1" t="str">
        <f t="shared" si="89"/>
        <v/>
      </c>
    </row>
    <row r="957" spans="1:28" x14ac:dyDescent="0.2">
      <c r="A957" t="str">
        <f>IF(COUNTBLANK(B957:AD957)&lt;&gt;COLUMNS(B957:AD957),956,"")</f>
        <v/>
      </c>
      <c r="I957" s="1" t="str">
        <f t="shared" si="84"/>
        <v/>
      </c>
      <c r="J957" s="1" t="str">
        <f t="shared" si="85"/>
        <v/>
      </c>
      <c r="T957" s="1" t="str">
        <f t="shared" si="86"/>
        <v/>
      </c>
      <c r="W957" s="1" t="str">
        <f t="shared" si="87"/>
        <v/>
      </c>
      <c r="AA957" s="1" t="str">
        <f t="shared" si="88"/>
        <v/>
      </c>
      <c r="AB957" s="1" t="str">
        <f t="shared" si="89"/>
        <v/>
      </c>
    </row>
    <row r="958" spans="1:28" x14ac:dyDescent="0.2">
      <c r="A958" t="str">
        <f>IF(COUNTBLANK(B958:AD958)&lt;&gt;COLUMNS(B958:AD958),957,"")</f>
        <v/>
      </c>
      <c r="I958" s="1" t="str">
        <f t="shared" si="84"/>
        <v/>
      </c>
      <c r="J958" s="1" t="str">
        <f t="shared" si="85"/>
        <v/>
      </c>
      <c r="T958" s="1" t="str">
        <f t="shared" si="86"/>
        <v/>
      </c>
      <c r="W958" s="1" t="str">
        <f t="shared" si="87"/>
        <v/>
      </c>
      <c r="AA958" s="1" t="str">
        <f t="shared" si="88"/>
        <v/>
      </c>
      <c r="AB958" s="1" t="str">
        <f t="shared" si="89"/>
        <v/>
      </c>
    </row>
    <row r="959" spans="1:28" x14ac:dyDescent="0.2">
      <c r="A959" t="str">
        <f>IF(COUNTBLANK(B959:AD959)&lt;&gt;COLUMNS(B959:AD959),958,"")</f>
        <v/>
      </c>
      <c r="I959" s="1" t="str">
        <f t="shared" si="84"/>
        <v/>
      </c>
      <c r="J959" s="1" t="str">
        <f t="shared" si="85"/>
        <v/>
      </c>
      <c r="T959" s="1" t="str">
        <f t="shared" si="86"/>
        <v/>
      </c>
      <c r="W959" s="1" t="str">
        <f t="shared" si="87"/>
        <v/>
      </c>
      <c r="AA959" s="1" t="str">
        <f t="shared" si="88"/>
        <v/>
      </c>
      <c r="AB959" s="1" t="str">
        <f t="shared" si="89"/>
        <v/>
      </c>
    </row>
    <row r="960" spans="1:28" x14ac:dyDescent="0.2">
      <c r="A960" t="str">
        <f>IF(COUNTBLANK(B960:AD960)&lt;&gt;COLUMNS(B960:AD960),959,"")</f>
        <v/>
      </c>
      <c r="I960" s="1" t="str">
        <f t="shared" si="84"/>
        <v/>
      </c>
      <c r="J960" s="1" t="str">
        <f t="shared" si="85"/>
        <v/>
      </c>
      <c r="T960" s="1" t="str">
        <f t="shared" si="86"/>
        <v/>
      </c>
      <c r="W960" s="1" t="str">
        <f t="shared" si="87"/>
        <v/>
      </c>
      <c r="AA960" s="1" t="str">
        <f t="shared" si="88"/>
        <v/>
      </c>
      <c r="AB960" s="1" t="str">
        <f t="shared" si="89"/>
        <v/>
      </c>
    </row>
    <row r="961" spans="1:28" x14ac:dyDescent="0.2">
      <c r="A961" t="str">
        <f>IF(COUNTBLANK(B961:AD961)&lt;&gt;COLUMNS(B961:AD961),960,"")</f>
        <v/>
      </c>
      <c r="I961" s="1" t="str">
        <f t="shared" si="84"/>
        <v/>
      </c>
      <c r="J961" s="1" t="str">
        <f t="shared" si="85"/>
        <v/>
      </c>
      <c r="T961" s="1" t="str">
        <f t="shared" si="86"/>
        <v/>
      </c>
      <c r="W961" s="1" t="str">
        <f t="shared" si="87"/>
        <v/>
      </c>
      <c r="AA961" s="1" t="str">
        <f t="shared" si="88"/>
        <v/>
      </c>
      <c r="AB961" s="1" t="str">
        <f t="shared" si="89"/>
        <v/>
      </c>
    </row>
    <row r="962" spans="1:28" x14ac:dyDescent="0.2">
      <c r="A962" t="str">
        <f>IF(COUNTBLANK(B962:AD962)&lt;&gt;COLUMNS(B962:AD962),961,"")</f>
        <v/>
      </c>
      <c r="I962" s="1" t="str">
        <f t="shared" ref="I962:I1001" si="90">IF(B962="", "", "meters")</f>
        <v/>
      </c>
      <c r="J962" s="1" t="str">
        <f t="shared" ref="J962:J1001" si="91">IF(B962="", "", "free-living")</f>
        <v/>
      </c>
      <c r="T962" s="1" t="str">
        <f t="shared" ref="T962:T1001" si="92">IF(B962="", "", "Decimal degrees")</f>
        <v/>
      </c>
      <c r="W962" s="1" t="str">
        <f t="shared" ref="W962:W1001" si="93">IF(B962="", "", "Decimal degrees")</f>
        <v/>
      </c>
      <c r="AA962" s="1" t="str">
        <f t="shared" ref="AA962:AA1001" si="94">IF(B962="", "", "metagenome")</f>
        <v/>
      </c>
      <c r="AB962" s="1" t="str">
        <f t="shared" ref="AB962:AB1001" si="95">IF(B962="", "", "256318")</f>
        <v/>
      </c>
    </row>
    <row r="963" spans="1:28" x14ac:dyDescent="0.2">
      <c r="A963" t="str">
        <f>IF(COUNTBLANK(B963:AD963)&lt;&gt;COLUMNS(B963:AD963),962,"")</f>
        <v/>
      </c>
      <c r="I963" s="1" t="str">
        <f t="shared" si="90"/>
        <v/>
      </c>
      <c r="J963" s="1" t="str">
        <f t="shared" si="91"/>
        <v/>
      </c>
      <c r="T963" s="1" t="str">
        <f t="shared" si="92"/>
        <v/>
      </c>
      <c r="W963" s="1" t="str">
        <f t="shared" si="93"/>
        <v/>
      </c>
      <c r="AA963" s="1" t="str">
        <f t="shared" si="94"/>
        <v/>
      </c>
      <c r="AB963" s="1" t="str">
        <f t="shared" si="95"/>
        <v/>
      </c>
    </row>
    <row r="964" spans="1:28" x14ac:dyDescent="0.2">
      <c r="A964" t="str">
        <f>IF(COUNTBLANK(B964:AD964)&lt;&gt;COLUMNS(B964:AD964),963,"")</f>
        <v/>
      </c>
      <c r="I964" s="1" t="str">
        <f t="shared" si="90"/>
        <v/>
      </c>
      <c r="J964" s="1" t="str">
        <f t="shared" si="91"/>
        <v/>
      </c>
      <c r="T964" s="1" t="str">
        <f t="shared" si="92"/>
        <v/>
      </c>
      <c r="W964" s="1" t="str">
        <f t="shared" si="93"/>
        <v/>
      </c>
      <c r="AA964" s="1" t="str">
        <f t="shared" si="94"/>
        <v/>
      </c>
      <c r="AB964" s="1" t="str">
        <f t="shared" si="95"/>
        <v/>
      </c>
    </row>
    <row r="965" spans="1:28" x14ac:dyDescent="0.2">
      <c r="A965" t="str">
        <f>IF(COUNTBLANK(B965:AD965)&lt;&gt;COLUMNS(B965:AD965),964,"")</f>
        <v/>
      </c>
      <c r="I965" s="1" t="str">
        <f t="shared" si="90"/>
        <v/>
      </c>
      <c r="J965" s="1" t="str">
        <f t="shared" si="91"/>
        <v/>
      </c>
      <c r="T965" s="1" t="str">
        <f t="shared" si="92"/>
        <v/>
      </c>
      <c r="W965" s="1" t="str">
        <f t="shared" si="93"/>
        <v/>
      </c>
      <c r="AA965" s="1" t="str">
        <f t="shared" si="94"/>
        <v/>
      </c>
      <c r="AB965" s="1" t="str">
        <f t="shared" si="95"/>
        <v/>
      </c>
    </row>
    <row r="966" spans="1:28" x14ac:dyDescent="0.2">
      <c r="A966" t="str">
        <f>IF(COUNTBLANK(B966:AD966)&lt;&gt;COLUMNS(B966:AD966),965,"")</f>
        <v/>
      </c>
      <c r="I966" s="1" t="str">
        <f t="shared" si="90"/>
        <v/>
      </c>
      <c r="J966" s="1" t="str">
        <f t="shared" si="91"/>
        <v/>
      </c>
      <c r="T966" s="1" t="str">
        <f t="shared" si="92"/>
        <v/>
      </c>
      <c r="W966" s="1" t="str">
        <f t="shared" si="93"/>
        <v/>
      </c>
      <c r="AA966" s="1" t="str">
        <f t="shared" si="94"/>
        <v/>
      </c>
      <c r="AB966" s="1" t="str">
        <f t="shared" si="95"/>
        <v/>
      </c>
    </row>
    <row r="967" spans="1:28" x14ac:dyDescent="0.2">
      <c r="A967" t="str">
        <f>IF(COUNTBLANK(B967:AD967)&lt;&gt;COLUMNS(B967:AD967),966,"")</f>
        <v/>
      </c>
      <c r="I967" s="1" t="str">
        <f t="shared" si="90"/>
        <v/>
      </c>
      <c r="J967" s="1" t="str">
        <f t="shared" si="91"/>
        <v/>
      </c>
      <c r="T967" s="1" t="str">
        <f t="shared" si="92"/>
        <v/>
      </c>
      <c r="W967" s="1" t="str">
        <f t="shared" si="93"/>
        <v/>
      </c>
      <c r="AA967" s="1" t="str">
        <f t="shared" si="94"/>
        <v/>
      </c>
      <c r="AB967" s="1" t="str">
        <f t="shared" si="95"/>
        <v/>
      </c>
    </row>
    <row r="968" spans="1:28" x14ac:dyDescent="0.2">
      <c r="A968" t="str">
        <f>IF(COUNTBLANK(B968:AD968)&lt;&gt;COLUMNS(B968:AD968),967,"")</f>
        <v/>
      </c>
      <c r="I968" s="1" t="str">
        <f t="shared" si="90"/>
        <v/>
      </c>
      <c r="J968" s="1" t="str">
        <f t="shared" si="91"/>
        <v/>
      </c>
      <c r="T968" s="1" t="str">
        <f t="shared" si="92"/>
        <v/>
      </c>
      <c r="W968" s="1" t="str">
        <f t="shared" si="93"/>
        <v/>
      </c>
      <c r="AA968" s="1" t="str">
        <f t="shared" si="94"/>
        <v/>
      </c>
      <c r="AB968" s="1" t="str">
        <f t="shared" si="95"/>
        <v/>
      </c>
    </row>
    <row r="969" spans="1:28" x14ac:dyDescent="0.2">
      <c r="A969" t="str">
        <f>IF(COUNTBLANK(B969:AD969)&lt;&gt;COLUMNS(B969:AD969),968,"")</f>
        <v/>
      </c>
      <c r="I969" s="1" t="str">
        <f t="shared" si="90"/>
        <v/>
      </c>
      <c r="J969" s="1" t="str">
        <f t="shared" si="91"/>
        <v/>
      </c>
      <c r="T969" s="1" t="str">
        <f t="shared" si="92"/>
        <v/>
      </c>
      <c r="W969" s="1" t="str">
        <f t="shared" si="93"/>
        <v/>
      </c>
      <c r="AA969" s="1" t="str">
        <f t="shared" si="94"/>
        <v/>
      </c>
      <c r="AB969" s="1" t="str">
        <f t="shared" si="95"/>
        <v/>
      </c>
    </row>
    <row r="970" spans="1:28" x14ac:dyDescent="0.2">
      <c r="A970" t="str">
        <f>IF(COUNTBLANK(B970:AD970)&lt;&gt;COLUMNS(B970:AD970),969,"")</f>
        <v/>
      </c>
      <c r="I970" s="1" t="str">
        <f t="shared" si="90"/>
        <v/>
      </c>
      <c r="J970" s="1" t="str">
        <f t="shared" si="91"/>
        <v/>
      </c>
      <c r="T970" s="1" t="str">
        <f t="shared" si="92"/>
        <v/>
      </c>
      <c r="W970" s="1" t="str">
        <f t="shared" si="93"/>
        <v/>
      </c>
      <c r="AA970" s="1" t="str">
        <f t="shared" si="94"/>
        <v/>
      </c>
      <c r="AB970" s="1" t="str">
        <f t="shared" si="95"/>
        <v/>
      </c>
    </row>
    <row r="971" spans="1:28" x14ac:dyDescent="0.2">
      <c r="A971" t="str">
        <f>IF(COUNTBLANK(B971:AD971)&lt;&gt;COLUMNS(B971:AD971),970,"")</f>
        <v/>
      </c>
      <c r="I971" s="1" t="str">
        <f t="shared" si="90"/>
        <v/>
      </c>
      <c r="J971" s="1" t="str">
        <f t="shared" si="91"/>
        <v/>
      </c>
      <c r="T971" s="1" t="str">
        <f t="shared" si="92"/>
        <v/>
      </c>
      <c r="W971" s="1" t="str">
        <f t="shared" si="93"/>
        <v/>
      </c>
      <c r="AA971" s="1" t="str">
        <f t="shared" si="94"/>
        <v/>
      </c>
      <c r="AB971" s="1" t="str">
        <f t="shared" si="95"/>
        <v/>
      </c>
    </row>
    <row r="972" spans="1:28" x14ac:dyDescent="0.2">
      <c r="A972" t="str">
        <f>IF(COUNTBLANK(B972:AD972)&lt;&gt;COLUMNS(B972:AD972),971,"")</f>
        <v/>
      </c>
      <c r="I972" s="1" t="str">
        <f t="shared" si="90"/>
        <v/>
      </c>
      <c r="J972" s="1" t="str">
        <f t="shared" si="91"/>
        <v/>
      </c>
      <c r="T972" s="1" t="str">
        <f t="shared" si="92"/>
        <v/>
      </c>
      <c r="W972" s="1" t="str">
        <f t="shared" si="93"/>
        <v/>
      </c>
      <c r="AA972" s="1" t="str">
        <f t="shared" si="94"/>
        <v/>
      </c>
      <c r="AB972" s="1" t="str">
        <f t="shared" si="95"/>
        <v/>
      </c>
    </row>
    <row r="973" spans="1:28" x14ac:dyDescent="0.2">
      <c r="A973" t="str">
        <f>IF(COUNTBLANK(B973:AD973)&lt;&gt;COLUMNS(B973:AD973),972,"")</f>
        <v/>
      </c>
      <c r="I973" s="1" t="str">
        <f t="shared" si="90"/>
        <v/>
      </c>
      <c r="J973" s="1" t="str">
        <f t="shared" si="91"/>
        <v/>
      </c>
      <c r="T973" s="1" t="str">
        <f t="shared" si="92"/>
        <v/>
      </c>
      <c r="W973" s="1" t="str">
        <f t="shared" si="93"/>
        <v/>
      </c>
      <c r="AA973" s="1" t="str">
        <f t="shared" si="94"/>
        <v/>
      </c>
      <c r="AB973" s="1" t="str">
        <f t="shared" si="95"/>
        <v/>
      </c>
    </row>
    <row r="974" spans="1:28" x14ac:dyDescent="0.2">
      <c r="A974" t="str">
        <f>IF(COUNTBLANK(B974:AD974)&lt;&gt;COLUMNS(B974:AD974),973,"")</f>
        <v/>
      </c>
      <c r="I974" s="1" t="str">
        <f t="shared" si="90"/>
        <v/>
      </c>
      <c r="J974" s="1" t="str">
        <f t="shared" si="91"/>
        <v/>
      </c>
      <c r="T974" s="1" t="str">
        <f t="shared" si="92"/>
        <v/>
      </c>
      <c r="W974" s="1" t="str">
        <f t="shared" si="93"/>
        <v/>
      </c>
      <c r="AA974" s="1" t="str">
        <f t="shared" si="94"/>
        <v/>
      </c>
      <c r="AB974" s="1" t="str">
        <f t="shared" si="95"/>
        <v/>
      </c>
    </row>
    <row r="975" spans="1:28" x14ac:dyDescent="0.2">
      <c r="A975" t="str">
        <f>IF(COUNTBLANK(B975:AD975)&lt;&gt;COLUMNS(B975:AD975),974,"")</f>
        <v/>
      </c>
      <c r="I975" s="1" t="str">
        <f t="shared" si="90"/>
        <v/>
      </c>
      <c r="J975" s="1" t="str">
        <f t="shared" si="91"/>
        <v/>
      </c>
      <c r="T975" s="1" t="str">
        <f t="shared" si="92"/>
        <v/>
      </c>
      <c r="W975" s="1" t="str">
        <f t="shared" si="93"/>
        <v/>
      </c>
      <c r="AA975" s="1" t="str">
        <f t="shared" si="94"/>
        <v/>
      </c>
      <c r="AB975" s="1" t="str">
        <f t="shared" si="95"/>
        <v/>
      </c>
    </row>
    <row r="976" spans="1:28" x14ac:dyDescent="0.2">
      <c r="A976" t="str">
        <f>IF(COUNTBLANK(B976:AD976)&lt;&gt;COLUMNS(B976:AD976),975,"")</f>
        <v/>
      </c>
      <c r="I976" s="1" t="str">
        <f t="shared" si="90"/>
        <v/>
      </c>
      <c r="J976" s="1" t="str">
        <f t="shared" si="91"/>
        <v/>
      </c>
      <c r="T976" s="1" t="str">
        <f t="shared" si="92"/>
        <v/>
      </c>
      <c r="W976" s="1" t="str">
        <f t="shared" si="93"/>
        <v/>
      </c>
      <c r="AA976" s="1" t="str">
        <f t="shared" si="94"/>
        <v/>
      </c>
      <c r="AB976" s="1" t="str">
        <f t="shared" si="95"/>
        <v/>
      </c>
    </row>
    <row r="977" spans="1:28" x14ac:dyDescent="0.2">
      <c r="A977" t="str">
        <f>IF(COUNTBLANK(B977:AD977)&lt;&gt;COLUMNS(B977:AD977),976,"")</f>
        <v/>
      </c>
      <c r="I977" s="1" t="str">
        <f t="shared" si="90"/>
        <v/>
      </c>
      <c r="J977" s="1" t="str">
        <f t="shared" si="91"/>
        <v/>
      </c>
      <c r="T977" s="1" t="str">
        <f t="shared" si="92"/>
        <v/>
      </c>
      <c r="W977" s="1" t="str">
        <f t="shared" si="93"/>
        <v/>
      </c>
      <c r="AA977" s="1" t="str">
        <f t="shared" si="94"/>
        <v/>
      </c>
      <c r="AB977" s="1" t="str">
        <f t="shared" si="95"/>
        <v/>
      </c>
    </row>
    <row r="978" spans="1:28" x14ac:dyDescent="0.2">
      <c r="A978" t="str">
        <f>IF(COUNTBLANK(B978:AD978)&lt;&gt;COLUMNS(B978:AD978),977,"")</f>
        <v/>
      </c>
      <c r="I978" s="1" t="str">
        <f t="shared" si="90"/>
        <v/>
      </c>
      <c r="J978" s="1" t="str">
        <f t="shared" si="91"/>
        <v/>
      </c>
      <c r="T978" s="1" t="str">
        <f t="shared" si="92"/>
        <v/>
      </c>
      <c r="W978" s="1" t="str">
        <f t="shared" si="93"/>
        <v/>
      </c>
      <c r="AA978" s="1" t="str">
        <f t="shared" si="94"/>
        <v/>
      </c>
      <c r="AB978" s="1" t="str">
        <f t="shared" si="95"/>
        <v/>
      </c>
    </row>
    <row r="979" spans="1:28" x14ac:dyDescent="0.2">
      <c r="A979" t="str">
        <f>IF(COUNTBLANK(B979:AD979)&lt;&gt;COLUMNS(B979:AD979),978,"")</f>
        <v/>
      </c>
      <c r="I979" s="1" t="str">
        <f t="shared" si="90"/>
        <v/>
      </c>
      <c r="J979" s="1" t="str">
        <f t="shared" si="91"/>
        <v/>
      </c>
      <c r="T979" s="1" t="str">
        <f t="shared" si="92"/>
        <v/>
      </c>
      <c r="W979" s="1" t="str">
        <f t="shared" si="93"/>
        <v/>
      </c>
      <c r="AA979" s="1" t="str">
        <f t="shared" si="94"/>
        <v/>
      </c>
      <c r="AB979" s="1" t="str">
        <f t="shared" si="95"/>
        <v/>
      </c>
    </row>
    <row r="980" spans="1:28" x14ac:dyDescent="0.2">
      <c r="A980" t="str">
        <f>IF(COUNTBLANK(B980:AD980)&lt;&gt;COLUMNS(B980:AD980),979,"")</f>
        <v/>
      </c>
      <c r="I980" s="1" t="str">
        <f t="shared" si="90"/>
        <v/>
      </c>
      <c r="J980" s="1" t="str">
        <f t="shared" si="91"/>
        <v/>
      </c>
      <c r="T980" s="1" t="str">
        <f t="shared" si="92"/>
        <v/>
      </c>
      <c r="W980" s="1" t="str">
        <f t="shared" si="93"/>
        <v/>
      </c>
      <c r="AA980" s="1" t="str">
        <f t="shared" si="94"/>
        <v/>
      </c>
      <c r="AB980" s="1" t="str">
        <f t="shared" si="95"/>
        <v/>
      </c>
    </row>
    <row r="981" spans="1:28" x14ac:dyDescent="0.2">
      <c r="A981" t="str">
        <f>IF(COUNTBLANK(B981:AD981)&lt;&gt;COLUMNS(B981:AD981),980,"")</f>
        <v/>
      </c>
      <c r="I981" s="1" t="str">
        <f t="shared" si="90"/>
        <v/>
      </c>
      <c r="J981" s="1" t="str">
        <f t="shared" si="91"/>
        <v/>
      </c>
      <c r="T981" s="1" t="str">
        <f t="shared" si="92"/>
        <v/>
      </c>
      <c r="W981" s="1" t="str">
        <f t="shared" si="93"/>
        <v/>
      </c>
      <c r="AA981" s="1" t="str">
        <f t="shared" si="94"/>
        <v/>
      </c>
      <c r="AB981" s="1" t="str">
        <f t="shared" si="95"/>
        <v/>
      </c>
    </row>
    <row r="982" spans="1:28" x14ac:dyDescent="0.2">
      <c r="A982" t="str">
        <f>IF(COUNTBLANK(B982:AD982)&lt;&gt;COLUMNS(B982:AD982),981,"")</f>
        <v/>
      </c>
      <c r="I982" s="1" t="str">
        <f t="shared" si="90"/>
        <v/>
      </c>
      <c r="J982" s="1" t="str">
        <f t="shared" si="91"/>
        <v/>
      </c>
      <c r="T982" s="1" t="str">
        <f t="shared" si="92"/>
        <v/>
      </c>
      <c r="W982" s="1" t="str">
        <f t="shared" si="93"/>
        <v/>
      </c>
      <c r="AA982" s="1" t="str">
        <f t="shared" si="94"/>
        <v/>
      </c>
      <c r="AB982" s="1" t="str">
        <f t="shared" si="95"/>
        <v/>
      </c>
    </row>
    <row r="983" spans="1:28" x14ac:dyDescent="0.2">
      <c r="A983" t="str">
        <f>IF(COUNTBLANK(B983:AD983)&lt;&gt;COLUMNS(B983:AD983),982,"")</f>
        <v/>
      </c>
      <c r="I983" s="1" t="str">
        <f t="shared" si="90"/>
        <v/>
      </c>
      <c r="J983" s="1" t="str">
        <f t="shared" si="91"/>
        <v/>
      </c>
      <c r="T983" s="1" t="str">
        <f t="shared" si="92"/>
        <v/>
      </c>
      <c r="W983" s="1" t="str">
        <f t="shared" si="93"/>
        <v/>
      </c>
      <c r="AA983" s="1" t="str">
        <f t="shared" si="94"/>
        <v/>
      </c>
      <c r="AB983" s="1" t="str">
        <f t="shared" si="95"/>
        <v/>
      </c>
    </row>
    <row r="984" spans="1:28" x14ac:dyDescent="0.2">
      <c r="A984" t="str">
        <f>IF(COUNTBLANK(B984:AD984)&lt;&gt;COLUMNS(B984:AD984),983,"")</f>
        <v/>
      </c>
      <c r="I984" s="1" t="str">
        <f t="shared" si="90"/>
        <v/>
      </c>
      <c r="J984" s="1" t="str">
        <f t="shared" si="91"/>
        <v/>
      </c>
      <c r="T984" s="1" t="str">
        <f t="shared" si="92"/>
        <v/>
      </c>
      <c r="W984" s="1" t="str">
        <f t="shared" si="93"/>
        <v/>
      </c>
      <c r="AA984" s="1" t="str">
        <f t="shared" si="94"/>
        <v/>
      </c>
      <c r="AB984" s="1" t="str">
        <f t="shared" si="95"/>
        <v/>
      </c>
    </row>
    <row r="985" spans="1:28" x14ac:dyDescent="0.2">
      <c r="A985" t="str">
        <f>IF(COUNTBLANK(B985:AD985)&lt;&gt;COLUMNS(B985:AD985),984,"")</f>
        <v/>
      </c>
      <c r="I985" s="1" t="str">
        <f t="shared" si="90"/>
        <v/>
      </c>
      <c r="J985" s="1" t="str">
        <f t="shared" si="91"/>
        <v/>
      </c>
      <c r="T985" s="1" t="str">
        <f t="shared" si="92"/>
        <v/>
      </c>
      <c r="W985" s="1" t="str">
        <f t="shared" si="93"/>
        <v/>
      </c>
      <c r="AA985" s="1" t="str">
        <f t="shared" si="94"/>
        <v/>
      </c>
      <c r="AB985" s="1" t="str">
        <f t="shared" si="95"/>
        <v/>
      </c>
    </row>
    <row r="986" spans="1:28" x14ac:dyDescent="0.2">
      <c r="A986" t="str">
        <f>IF(COUNTBLANK(B986:AD986)&lt;&gt;COLUMNS(B986:AD986),985,"")</f>
        <v/>
      </c>
      <c r="I986" s="1" t="str">
        <f t="shared" si="90"/>
        <v/>
      </c>
      <c r="J986" s="1" t="str">
        <f t="shared" si="91"/>
        <v/>
      </c>
      <c r="T986" s="1" t="str">
        <f t="shared" si="92"/>
        <v/>
      </c>
      <c r="W986" s="1" t="str">
        <f t="shared" si="93"/>
        <v/>
      </c>
      <c r="AA986" s="1" t="str">
        <f t="shared" si="94"/>
        <v/>
      </c>
      <c r="AB986" s="1" t="str">
        <f t="shared" si="95"/>
        <v/>
      </c>
    </row>
    <row r="987" spans="1:28" x14ac:dyDescent="0.2">
      <c r="A987" t="str">
        <f>IF(COUNTBLANK(B987:AD987)&lt;&gt;COLUMNS(B987:AD987),986,"")</f>
        <v/>
      </c>
      <c r="I987" s="1" t="str">
        <f t="shared" si="90"/>
        <v/>
      </c>
      <c r="J987" s="1" t="str">
        <f t="shared" si="91"/>
        <v/>
      </c>
      <c r="T987" s="1" t="str">
        <f t="shared" si="92"/>
        <v/>
      </c>
      <c r="W987" s="1" t="str">
        <f t="shared" si="93"/>
        <v/>
      </c>
      <c r="AA987" s="1" t="str">
        <f t="shared" si="94"/>
        <v/>
      </c>
      <c r="AB987" s="1" t="str">
        <f t="shared" si="95"/>
        <v/>
      </c>
    </row>
    <row r="988" spans="1:28" x14ac:dyDescent="0.2">
      <c r="A988" t="str">
        <f>IF(COUNTBLANK(B988:AD988)&lt;&gt;COLUMNS(B988:AD988),987,"")</f>
        <v/>
      </c>
      <c r="I988" s="1" t="str">
        <f t="shared" si="90"/>
        <v/>
      </c>
      <c r="J988" s="1" t="str">
        <f t="shared" si="91"/>
        <v/>
      </c>
      <c r="T988" s="1" t="str">
        <f t="shared" si="92"/>
        <v/>
      </c>
      <c r="W988" s="1" t="str">
        <f t="shared" si="93"/>
        <v/>
      </c>
      <c r="AA988" s="1" t="str">
        <f t="shared" si="94"/>
        <v/>
      </c>
      <c r="AB988" s="1" t="str">
        <f t="shared" si="95"/>
        <v/>
      </c>
    </row>
    <row r="989" spans="1:28" x14ac:dyDescent="0.2">
      <c r="A989" t="str">
        <f>IF(COUNTBLANK(B989:AD989)&lt;&gt;COLUMNS(B989:AD989),988,"")</f>
        <v/>
      </c>
      <c r="I989" s="1" t="str">
        <f t="shared" si="90"/>
        <v/>
      </c>
      <c r="J989" s="1" t="str">
        <f t="shared" si="91"/>
        <v/>
      </c>
      <c r="T989" s="1" t="str">
        <f t="shared" si="92"/>
        <v/>
      </c>
      <c r="W989" s="1" t="str">
        <f t="shared" si="93"/>
        <v/>
      </c>
      <c r="AA989" s="1" t="str">
        <f t="shared" si="94"/>
        <v/>
      </c>
      <c r="AB989" s="1" t="str">
        <f t="shared" si="95"/>
        <v/>
      </c>
    </row>
    <row r="990" spans="1:28" x14ac:dyDescent="0.2">
      <c r="A990" t="str">
        <f>IF(COUNTBLANK(B990:AD990)&lt;&gt;COLUMNS(B990:AD990),989,"")</f>
        <v/>
      </c>
      <c r="I990" s="1" t="str">
        <f t="shared" si="90"/>
        <v/>
      </c>
      <c r="J990" s="1" t="str">
        <f t="shared" si="91"/>
        <v/>
      </c>
      <c r="T990" s="1" t="str">
        <f t="shared" si="92"/>
        <v/>
      </c>
      <c r="W990" s="1" t="str">
        <f t="shared" si="93"/>
        <v/>
      </c>
      <c r="AA990" s="1" t="str">
        <f t="shared" si="94"/>
        <v/>
      </c>
      <c r="AB990" s="1" t="str">
        <f t="shared" si="95"/>
        <v/>
      </c>
    </row>
    <row r="991" spans="1:28" x14ac:dyDescent="0.2">
      <c r="A991" t="str">
        <f>IF(COUNTBLANK(B991:AD991)&lt;&gt;COLUMNS(B991:AD991),990,"")</f>
        <v/>
      </c>
      <c r="I991" s="1" t="str">
        <f t="shared" si="90"/>
        <v/>
      </c>
      <c r="J991" s="1" t="str">
        <f t="shared" si="91"/>
        <v/>
      </c>
      <c r="T991" s="1" t="str">
        <f t="shared" si="92"/>
        <v/>
      </c>
      <c r="W991" s="1" t="str">
        <f t="shared" si="93"/>
        <v/>
      </c>
      <c r="AA991" s="1" t="str">
        <f t="shared" si="94"/>
        <v/>
      </c>
      <c r="AB991" s="1" t="str">
        <f t="shared" si="95"/>
        <v/>
      </c>
    </row>
    <row r="992" spans="1:28" x14ac:dyDescent="0.2">
      <c r="A992" t="str">
        <f>IF(COUNTBLANK(B992:AD992)&lt;&gt;COLUMNS(B992:AD992),991,"")</f>
        <v/>
      </c>
      <c r="I992" s="1" t="str">
        <f t="shared" si="90"/>
        <v/>
      </c>
      <c r="J992" s="1" t="str">
        <f t="shared" si="91"/>
        <v/>
      </c>
      <c r="T992" s="1" t="str">
        <f t="shared" si="92"/>
        <v/>
      </c>
      <c r="W992" s="1" t="str">
        <f t="shared" si="93"/>
        <v/>
      </c>
      <c r="AA992" s="1" t="str">
        <f t="shared" si="94"/>
        <v/>
      </c>
      <c r="AB992" s="1" t="str">
        <f t="shared" si="95"/>
        <v/>
      </c>
    </row>
    <row r="993" spans="1:28" x14ac:dyDescent="0.2">
      <c r="A993" t="str">
        <f>IF(COUNTBLANK(B993:AD993)&lt;&gt;COLUMNS(B993:AD993),992,"")</f>
        <v/>
      </c>
      <c r="I993" s="1" t="str">
        <f t="shared" si="90"/>
        <v/>
      </c>
      <c r="J993" s="1" t="str">
        <f t="shared" si="91"/>
        <v/>
      </c>
      <c r="T993" s="1" t="str">
        <f t="shared" si="92"/>
        <v/>
      </c>
      <c r="W993" s="1" t="str">
        <f t="shared" si="93"/>
        <v/>
      </c>
      <c r="AA993" s="1" t="str">
        <f t="shared" si="94"/>
        <v/>
      </c>
      <c r="AB993" s="1" t="str">
        <f t="shared" si="95"/>
        <v/>
      </c>
    </row>
    <row r="994" spans="1:28" x14ac:dyDescent="0.2">
      <c r="A994" t="str">
        <f>IF(COUNTBLANK(B994:AD994)&lt;&gt;COLUMNS(B994:AD994),993,"")</f>
        <v/>
      </c>
      <c r="I994" s="1" t="str">
        <f t="shared" si="90"/>
        <v/>
      </c>
      <c r="J994" s="1" t="str">
        <f t="shared" si="91"/>
        <v/>
      </c>
      <c r="T994" s="1" t="str">
        <f t="shared" si="92"/>
        <v/>
      </c>
      <c r="W994" s="1" t="str">
        <f t="shared" si="93"/>
        <v/>
      </c>
      <c r="AA994" s="1" t="str">
        <f t="shared" si="94"/>
        <v/>
      </c>
      <c r="AB994" s="1" t="str">
        <f t="shared" si="95"/>
        <v/>
      </c>
    </row>
    <row r="995" spans="1:28" x14ac:dyDescent="0.2">
      <c r="A995" t="str">
        <f>IF(COUNTBLANK(B995:AD995)&lt;&gt;COLUMNS(B995:AD995),994,"")</f>
        <v/>
      </c>
      <c r="I995" s="1" t="str">
        <f t="shared" si="90"/>
        <v/>
      </c>
      <c r="J995" s="1" t="str">
        <f t="shared" si="91"/>
        <v/>
      </c>
      <c r="T995" s="1" t="str">
        <f t="shared" si="92"/>
        <v/>
      </c>
      <c r="W995" s="1" t="str">
        <f t="shared" si="93"/>
        <v/>
      </c>
      <c r="AA995" s="1" t="str">
        <f t="shared" si="94"/>
        <v/>
      </c>
      <c r="AB995" s="1" t="str">
        <f t="shared" si="95"/>
        <v/>
      </c>
    </row>
    <row r="996" spans="1:28" x14ac:dyDescent="0.2">
      <c r="A996" t="str">
        <f>IF(COUNTBLANK(B996:AD996)&lt;&gt;COLUMNS(B996:AD996),995,"")</f>
        <v/>
      </c>
      <c r="I996" s="1" t="str">
        <f t="shared" si="90"/>
        <v/>
      </c>
      <c r="J996" s="1" t="str">
        <f t="shared" si="91"/>
        <v/>
      </c>
      <c r="T996" s="1" t="str">
        <f t="shared" si="92"/>
        <v/>
      </c>
      <c r="W996" s="1" t="str">
        <f t="shared" si="93"/>
        <v/>
      </c>
      <c r="AA996" s="1" t="str">
        <f t="shared" si="94"/>
        <v/>
      </c>
      <c r="AB996" s="1" t="str">
        <f t="shared" si="95"/>
        <v/>
      </c>
    </row>
    <row r="997" spans="1:28" x14ac:dyDescent="0.2">
      <c r="A997" t="str">
        <f>IF(COUNTBLANK(B997:AD997)&lt;&gt;COLUMNS(B997:AD997),996,"")</f>
        <v/>
      </c>
      <c r="I997" s="1" t="str">
        <f t="shared" si="90"/>
        <v/>
      </c>
      <c r="J997" s="1" t="str">
        <f t="shared" si="91"/>
        <v/>
      </c>
      <c r="T997" s="1" t="str">
        <f t="shared" si="92"/>
        <v/>
      </c>
      <c r="W997" s="1" t="str">
        <f t="shared" si="93"/>
        <v/>
      </c>
      <c r="AA997" s="1" t="str">
        <f t="shared" si="94"/>
        <v/>
      </c>
      <c r="AB997" s="1" t="str">
        <f t="shared" si="95"/>
        <v/>
      </c>
    </row>
    <row r="998" spans="1:28" x14ac:dyDescent="0.2">
      <c r="A998" t="str">
        <f>IF(COUNTBLANK(B998:AD998)&lt;&gt;COLUMNS(B998:AD998),997,"")</f>
        <v/>
      </c>
      <c r="I998" s="1" t="str">
        <f t="shared" si="90"/>
        <v/>
      </c>
      <c r="J998" s="1" t="str">
        <f t="shared" si="91"/>
        <v/>
      </c>
      <c r="T998" s="1" t="str">
        <f t="shared" si="92"/>
        <v/>
      </c>
      <c r="W998" s="1" t="str">
        <f t="shared" si="93"/>
        <v/>
      </c>
      <c r="AA998" s="1" t="str">
        <f t="shared" si="94"/>
        <v/>
      </c>
      <c r="AB998" s="1" t="str">
        <f t="shared" si="95"/>
        <v/>
      </c>
    </row>
    <row r="999" spans="1:28" x14ac:dyDescent="0.2">
      <c r="A999" t="str">
        <f>IF(COUNTBLANK(B999:AD999)&lt;&gt;COLUMNS(B999:AD999),998,"")</f>
        <v/>
      </c>
      <c r="I999" s="1" t="str">
        <f t="shared" si="90"/>
        <v/>
      </c>
      <c r="J999" s="1" t="str">
        <f t="shared" si="91"/>
        <v/>
      </c>
      <c r="T999" s="1" t="str">
        <f t="shared" si="92"/>
        <v/>
      </c>
      <c r="W999" s="1" t="str">
        <f t="shared" si="93"/>
        <v/>
      </c>
      <c r="AA999" s="1" t="str">
        <f t="shared" si="94"/>
        <v/>
      </c>
      <c r="AB999" s="1" t="str">
        <f t="shared" si="95"/>
        <v/>
      </c>
    </row>
    <row r="1000" spans="1:28" x14ac:dyDescent="0.2">
      <c r="A1000" t="str">
        <f>IF(COUNTBLANK(B1000:AD1000)&lt;&gt;COLUMNS(B1000:AD1000),999,"")</f>
        <v/>
      </c>
      <c r="I1000" s="1" t="str">
        <f t="shared" si="90"/>
        <v/>
      </c>
      <c r="J1000" s="1" t="str">
        <f t="shared" si="91"/>
        <v/>
      </c>
      <c r="T1000" s="1" t="str">
        <f t="shared" si="92"/>
        <v/>
      </c>
      <c r="W1000" s="1" t="str">
        <f t="shared" si="93"/>
        <v/>
      </c>
      <c r="AA1000" s="1" t="str">
        <f t="shared" si="94"/>
        <v/>
      </c>
      <c r="AB1000" s="1" t="str">
        <f t="shared" si="95"/>
        <v/>
      </c>
    </row>
    <row r="1001" spans="1:28" x14ac:dyDescent="0.2">
      <c r="A1001" t="str">
        <f>IF(COUNTBLANK(B1001:AD1001)&lt;&gt;COLUMNS(B1001:AD1001),1000,"")</f>
        <v/>
      </c>
      <c r="I1001" s="1" t="str">
        <f t="shared" si="90"/>
        <v/>
      </c>
      <c r="J1001" s="1" t="str">
        <f t="shared" si="91"/>
        <v/>
      </c>
      <c r="T1001" s="1" t="str">
        <f t="shared" si="92"/>
        <v/>
      </c>
      <c r="W1001" s="1" t="str">
        <f t="shared" si="93"/>
        <v/>
      </c>
      <c r="AA1001" s="1" t="str">
        <f t="shared" si="94"/>
        <v/>
      </c>
      <c r="AB1001" s="1" t="str">
        <f t="shared" si="95"/>
        <v/>
      </c>
    </row>
    <row r="1002" spans="1:28" ht="46" x14ac:dyDescent="0.2">
      <c r="B1002" s="3" t="s">
        <v>2</v>
      </c>
    </row>
  </sheetData>
  <sheetProtection password="EE32" sheet="1" objects="1" scenarios="1" formatCells="0" formatColumns="0" formatRows="0"/>
  <phoneticPr fontId="4" type="noConversion"/>
  <dataValidations count="29">
    <dataValidation type="custom" allowBlank="1" showInputMessage="1" showErrorMessage="1" errorTitle="Invalid collection_device" error="The collection_device value entered is not valid. The value must be a string." promptTitle="Enter collection_device" prompt="The value must be a string." sqref="C62:C1001 C2:C60" xr:uid="{00000000-0002-0000-0000-000001000000}">
      <formula1>(IF(C2="",FALSE,TRUE))</formula1>
    </dataValidation>
    <dataValidation type="custom" allowBlank="1" showInputMessage="1" showErrorMessage="1" errorTitle="Invalid collection_method" error="The collection_method value entered is not valid. The value must be a string." promptTitle="Enter collection_method" prompt="The value must be a string." sqref="D62:D1001 D2:D60" xr:uid="{00000000-0002-0000-0000-000002000000}">
      <formula1>(IF(D2="",FALSE,TRUE))</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be [text truncated: please refer to Data Dictionary sheet for full requirements]." promptTitle="Enter collection_timestamp" prompt="The day and time of sampling as a single point in time expressed in 24-hour time format, e.g. 2016-11-22. The value must be a string and must equal &quot;not collected&quot; or must equal[text truncated: please refer to Data Dictionary sheet for full requirements]." sqref="E62:E1001 E2:E60" xr:uid="{00000000-0002-0000-0000-000003000000}">
      <formula1>(OR(AND(IF(E2="",FALSE,TRUE),OR(EXACT(E2,"not collected"),EXACT(E2,"not provided"),EXACT(E2,"restricted access"))),AND(IF(E2="",FALSE,TRUE),AND(AND(IFERROR(INT(LEFT(E2,4))&gt;1900,FALSE),IFERROR(INT(LEFT(E2,4))&lt;=YEAR(NOW()),FALSE)), OR(MID(E2,5,1)="", AND(AND(MID(E2,5,1)="-",IFERROR(INT(MID(E2,6,1))&gt;=0,FALSE),IFERROR(INT(MID(E2,6,1))&lt;=1,FALSE),NOT(MID(E2,7,1)=""),IFERROR(INT(MID(E2,6,2))&gt;=1,FALSE),IFERROR(INT(MID(E2,6,2))&lt;=12,FALSE)), OR(MID(E2,8,1)="", AND(AND(MID(E2,8,1)="-",IFERROR(INT(MID(E2,9,1))&gt;=0,FALSE),IFERROR(INT(MID(E2,9,1))&lt;=3,FALSE),NOT(MID(E2,10,1)=""),IFERROR(INT(MID(E2,9,2))&gt;=1,FALSE),IFERROR(INT(MID(E2,9,2))&lt;=31,FALSE)), OR(MID(E2,11,1)="", AND(AND(MID(E2,11,1)=" ",IFERROR(INT(MID(E2,12,1))&gt;=0,FALSE),IFERROR(INT(MID(E2,12,1))&lt;=2,FALSE),NOT(MID(E2,13,1)=""),IFERROR(INT(MID(E2,12,2))&gt;=0,FALSE),IFERROR(INT(MID(E2,12,2))&lt;=23,FALSE)), OR(MID(E2,14,1)="", AND(AND(MID(E2,14,1)=":",IFERROR(INT(MID(E2,15,1))&gt;=0,FALSE),IFERROR(INT(MID(E2,15,1))&lt;=5,FALSE),NOT(MID(E2,16,1)=""),IFERROR(INT(MID(E2,15,2))&gt;=0,FALSE),IFERROR(INT(MID(E2,15,2))&lt;=59,FALSE)), OR(MID(E2,17,1)="", AND(AND(MID(E2,17,1)=":",IFERROR(INT(MID(E2,18,1))&gt;=0,FALSE),IFERROR(INT(MID(E2,18,1))&lt;=5,FALSE),NOT(MID(E2,19,1)=""),IFERROR(INT(MID(E2,18,2))&gt;=0,FALSE),IFERROR(INT(MID(E2,18,2))&lt;=59,FALSE)), LEN(E2)&lt;=19))))))))))))))</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F62:F1001 F2:F60" xr:uid="{00000000-0002-0000-0000-000004000000}">
      <formula1>(IF(F2="",FALSE,TRUE))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not collected&quot; or must equal &quot;not provided&quot; or the value must be a string and must equal &quot;TRUE&quot; or must equal &quot;FALSE&quot;." promptTitle="Enter dna_extracted" prompt="Whether the DNA been extracted from the sample. The value must be a string and must equal &quot;not collected&quot; or must equal &quot;not provided&quot; or the value must be a string and must equal &quot;TRUE&quot; or must equal &quot;FALSE&quot;." sqref="G62:G1001 G2:G60" xr:uid="{00000000-0002-0000-0000-000005000000}">
      <formula1>"not collected,not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not collected&quot; or must equal [text truncated: please refer to Data Dictionary sheet for full requirements]." promptTitle="Enter elevation" prompt="Height of land above sea level in meters at the sampling site. The value must be a string and must equal &quot;not collected&quot; or must equal &quot;not provided&quot; or must equal &quot;restricted access&quot; or the value must be a number and &gt;=-413.0." sqref="H62:H1001 H2:H60" xr:uid="{00000000-0002-0000-0000-000006000000}">
      <formula1>(OR(AND(IF(H2="",FALSE,TRUE),OR(EXACT(H2,"not collected"),EXACT(H2,"not provided"),EXACT(H2,"restricted access"))),AND(IF(H2="",FALSE,ISNUMBER(VALUE(H2))),H2&gt;=-413)))</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I62:I1001 I2:I60" xr:uid="{00000000-0002-0000-0000-000007000000}">
      <formula1>"meters"</formula1>
    </dataValidation>
    <dataValidation type="list" allowBlank="1" showInputMessage="1" showErrorMessage="1" errorTitle="Invalid empo_1" error="The empo_1 value entered is not valid. The value must be a string and must equal &quot;free-living&quot;. The default value is free-living." promptTitle="Enter empo_1" prompt="The value must be a string and must equal &quot;free-living&quot;. The default value is free-living." sqref="J62:J1001 J2:J60" xr:uid="{00000000-0002-0000-0000-000008000000}">
      <formula1>"free-living"</formula1>
    </dataValidation>
    <dataValidation type="list" allowBlank="1" showInputMessage="1" showErrorMessage="1" errorTitle="Invalid empo_2" error="The empo_2 value entered is not valid. The value must be a string and must equal &quot;saline&quot; or must equal &quot;non-saline&quot;." promptTitle="Enter empo_2" prompt="The value must be a string and must equal &quot;saline&quot; or must equal &quot;non-saline&quot;." sqref="K62:K1001 K2:K60" xr:uid="{00000000-0002-0000-0000-000009000000}">
      <formula1>"saline,non-saline"</formula1>
    </dataValidation>
    <dataValidation type="list" allowBlank="1" showInputMessage="1" showErrorMessage="1" errorTitle="Invalid empo_3" error="The empo_3 value entered is not valid. The value must be a string and must equal &quot;sub-surface (non-saline)&quot; or must equal &quot;surface (non-saline)&quot; or must equal &quot;water (non-saline[text truncated: please refer to Data Dictionary sheet for full requirements]." promptTitle="Enter empo_3" prompt="The value must be a string and must equal &quot;sub-surface (non-saline)&quot; or must equal &quot;surface (non-saline)&quot; or must equal &quot;water (non-saline)&quot; or must equal &quot;soil (non-saline)&quot; or[text truncated: please refer to Data Dictionary sheet for full requirements]." sqref="L62:L1001 L2:L60" xr:uid="{00000000-0002-0000-0000-00000A000000}">
      <formula1>"sub-surface (non-saline),surface (non-saline),water (non-saline),soil (non-saline),aerosol (non-saline),sediment (non-saline),surface (saline),water (saline),hypersaline (saline),aerosol (saline),sediment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M62:M1001 M2:M60" xr:uid="{00000000-0002-0000-0000-00000B000000}">
      <formula1>(IF(M2="",FALSE,TRUE))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N62:N1001 N2:N60" xr:uid="{00000000-0002-0000-0000-00000C000000}">
      <formula1>(IF(N2="",FALSE,TRUE))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O62:O1001 O2:O60" xr:uid="{00000000-0002-0000-0000-00000D000000}">
      <formula1>(IF(O2="",FALSE,TRUE))</formula1>
    </dataValidation>
    <dataValidation type="list" allowBlank="1" showInputMessage="1" showErrorMessage="1" errorTitle="Invalid env_package" error="The env_package value entered is not valid. Environment where the sample was obtained. The value must be a string and must equal &quot;air&quot; or must equal &quot;microbial mat/biofilm&quot; or m[text truncated: please refer to Data Dictionary sheet for full requirements]." promptTitle="Enter env_package" prompt="Environment where the sample was obtained. The value must be a string and must equal &quot;air&quot; or must equal &quot;microbial mat/biofilm&quot; or must equal &quot;misc environment&quot; or must equal &quot;[text truncated: please refer to Data Dictionary sheet for full requirements]." sqref="P62:P1001 P2:P60" xr:uid="{00000000-0002-0000-0000-00000E000000}">
      <formula1>"air,microbial mat/biofilm,misc environment,sediment,soil,wastewater/sludge,water"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Q62:Q1001 Q2:Q60" xr:uid="{00000000-0002-0000-0000-00000F000000}">
      <formula1>(IF(Q2="",FALSE,TRUE))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R62:R1001 R2:R60" xr:uid="{00000000-0002-0000-0000-000010000000}">
      <formula1>(IF(R2="",FALSE,TRUE))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quot;no[text truncated: please refer to Data Dictionary sheet for full requirements]." promptTitle="Enter latitude" prompt="Location of the sample site by latitude in decimal degrees, e.g. 32.72 for San Diego, USA. The value must be a string and must equal &quot;not collected&quot; or must equal &quot;not provided&quot;[text truncated: please refer to Data Dictionary sheet for full requirements]." sqref="S62:S1001 S2:S60" xr:uid="{00000000-0002-0000-0000-000011000000}">
      <formula1>(OR(AND(IF(S2="",FALSE,TRUE),OR(EXACT(S2,"not collected"),EXACT(S2,"not provided"),EXACT(S2,"restricted access"))),AND(IF(S2="",FALSE,ISNUMBER(VALUE(S2))),S2&gt;=-90,S2&lt;=90)))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T62:T1001 T2:T60" xr:uid="{00000000-0002-0000-0000-000012000000}">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ual[text truncated: please refer to Data Dictionary sheet for full requirements]." promptTitle="Enter longitude" prompt="Location of the sample site by longitude in decimal degrees, e.g. -117.16 for San Diego, USA. The value must be a string and must equal &quot;not collected&quot; or must equal &quot;not provid[text truncated: please refer to Data Dictionary sheet for full requirements]." sqref="V62:V1001 V2:V60" xr:uid="{00000000-0002-0000-0000-000014000000}">
      <formula1>(OR(AND(IF(V2="",FALSE,TRUE),OR(EXACT(V2,"not collected"),EXACT(V2,"not provided"),EXACT(V2,"restricted access"))),AND(IF(V2="",FALSE,ISNUMBER(VALUE(V2))),V2&gt;=-180,V2&lt;=180)))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W62:W1001 W2:W60" xr:uid="{00000000-0002-0000-0000-000015000000}">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X62:X1001 X2:X60" xr:uid="{00000000-0002-0000-0000-000016000000}">
      <formula1>(IF(X2="",FALSE,TRUE))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not collected&quot; or must e[text truncated: please refer to Data Dictionary sheet for full requirements]." promptTitle="Enter value" prompt="Whether there is any raw specimen left to sample. The value must be a string and must equal &quot;not collected&quot; or must equal &quot;not provided&quot; or must equal &quot;restricted access&quot; or the value must be a string and must equal &quot;TRUE&quot; or must equal &quot;FALSE&quot;." sqref="Y62:Y1001 Y2:Y60" xr:uid="{00000000-0002-0000-0000-000017000000}">
      <formula1>"not collected,not provided,restricted access,TRUE,FALSE"</formula1>
    </dataValidation>
    <dataValidation type="list" allowBlank="1" showInputMessage="1" showErrorMessage="1" errorTitle="Invalid sample_type" error="The sample_type value entered is not valid. The value must be a string and must equal &quot;not applicable&quot; or the value must be a string and must equal &quot;beer&quot; or must equal &quot;cheese&quot;[text truncated: please refer to Data Dictionary sheet for full requirements]." promptTitle="Enter sample_type" prompt="The value must be a string and must equal &quot;not applicable&quot; or the value must be a string and must equal &quot;beer&quot; or must equal &quot;cheese&quot; or must equal &quot;fresh water&quot; or must equal &quot;[text truncated: please refer to Data Dictionary sheet for full requirements]." sqref="Z62:Z1001 Z2:Z60" xr:uid="{00000000-0002-0000-0000-000018000000}">
      <formula1>"not applicable,beer,cheese,fresh water,marine sediment,sea water,sediment,soil,waste water"</formula1>
    </dataValidation>
    <dataValidation type="list" allowBlank="1" showInputMessage="1" showErrorMessage="1" errorTitle="Invalid scientific_name" error="The scientific_name value entered is not valid. The scientific name of the metagenome associated with this sample, as defined in the NCBI Taxonomy. Be aware that this is NOT the[text truncated: please refer to Data Dictionary sheet for full requirements]." promptTitle="Enter scientific_name" prompt="The scientific name of the metagenome associated with this sample, as defined in the NCBI Taxonomy. Be aware that this is NOT the scientific name of the host! Note that this val[text truncated: please refer to Data Dictionary sheet for full requirements]." sqref="AA62:AA1001 AA2:AA60" xr:uid="{00000000-0002-0000-0000-000019000000}">
      <formula1>"metagenome"</formula1>
    </dataValidation>
    <dataValidation type="list" allowBlank="1" showInputMessage="1" showErrorMessage="1" errorTitle="Invalid taxon_id" error="The taxon_id value entered is not valid. The NCBI Taxonomy id of the metagenome associated with this sample. Be aware that this is NOT the taxon id of the host! Note that this v[text truncated: please refer to Data Dictionary sheet for full requirements]." promptTitle="Enter taxon_id" prompt="The NCBI Taxonomy id of the metagenome associated with this sample. Be aware that this is NOT the taxon id of the host! Note that this value must correspond to the scientific na[text truncated: please refer to Data Dictionary sheet for full requirements]." sqref="AB62:AB1001 AB2:AB60" xr:uid="{00000000-0002-0000-0000-00001A000000}">
      <formula1>"256318"</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C62:AC1001 AC2:AC60" xr:uid="{00000000-0002-0000-0000-00001B000000}">
      <formula1>(IF(AC2="",FALSE,TRUE))</formula1>
    </dataValidation>
    <dataValidation type="custom" allowBlank="1" showInputMessage="1" showErrorMessage="1" errorTitle="Invalid tube_id" error="The tube_id value entered is not valid. The identification of the tube containing the sample. The value must be a string." promptTitle="Enter tube_id" prompt="The identification of the tube containing the sample. The value must be a string." sqref="AD62:AD1001 AD2:AD60" xr:uid="{00000000-0002-0000-0000-00001C000000}">
      <formula1>(IF(AD2="",FALSE,TRUE))</formula1>
    </dataValidation>
    <dataValidation type="custom" allowBlank="1" showInputMessage="1" showErrorMessage="1" errorTitle="Invalid location_name" error="The location_name value entered is not valid. Name of the drainage we collected samples at. The value must be a string and must equal &quot;not applicable&quot; or must equal &quot;not collected&quot; or the value must be a string." promptTitle="Enter location_name" prompt="Name of the drainage we collected samples at. The value must be a string and must equal &quot;not applicable&quot; or must equal &quot;not collected&quot; or the value must be a string." sqref="U62:U1001 U2:U60" xr:uid="{00000000-0002-0000-0000-000013000000}">
      <formula1>(OR(AND(IF(U2="",FALSE,TRUE),OR(EXACT(U2,"not applicable"),EXACT(U2,"not collected"))),IF(U2="",FALSE,TRUE)))</formula1>
    </dataValidation>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62:B1001 B2:B60" xr:uid="{00000000-0002-0000-0000-000000000000}">
      <formula1>(AND(IF(B2="",FALSE,TRUE),COUNTIF(B:B, B2) = 1,NOT(ISERROR(SUMPRODUCT(SEARCH(MID(B2,ROW(INDIRECT("1:"&amp;LEN(B2))), 1),"0123456789abcdefghijklmnopqrstuvwxyzABCDEFGHIJKLMNOPQRSTUVWXYZ."))))))</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006"/>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zeroHeight="1" x14ac:dyDescent="0.2"/>
  <cols>
    <col min="1" max="30" width="25.6640625" customWidth="1"/>
    <col min="34" max="69" width="0" hidden="1" customWidth="1"/>
  </cols>
  <sheetData>
    <row r="1" spans="1:69" ht="61" x14ac:dyDescent="0.2">
      <c r="A1" s="3" t="s">
        <v>1</v>
      </c>
      <c r="B1" s="3" t="e">
        <f ca="1">IF(B2=" ", " ", INDEX($AO$1:$BQ$1, 1, MATCH(COLUMNS($AO$1006:AO1006),$AO$1006:$BQ$1006,0)))</f>
        <v>#N/A</v>
      </c>
      <c r="C1" s="3" t="e">
        <f ca="1">IF(C2=" ", " ", INDEX($AO$1:$BQ$1, 1, MATCH(COLUMNS($AO$1006:AP1006),$AO$1006:$BQ$1006,0)))</f>
        <v>#N/A</v>
      </c>
      <c r="D1" s="3" t="e">
        <f ca="1">IF(D2=" ", " ", INDEX($AO$1:$BQ$1, 1, MATCH(COLUMNS($AO$1006:AQ1006),$AO$1006:$BQ$1006,0)))</f>
        <v>#N/A</v>
      </c>
      <c r="E1" s="3" t="e">
        <f ca="1">IF(E2=" ", " ", INDEX($AO$1:$BQ$1, 1, MATCH(COLUMNS($AO$1006:AR1006),$AO$1006:$BQ$1006,0)))</f>
        <v>#N/A</v>
      </c>
      <c r="F1" s="3" t="e">
        <f ca="1">IF(F2=" ", " ", INDEX($AO$1:$BQ$1, 1, MATCH(COLUMNS($AO$1006:AS1006),$AO$1006:$BQ$1006,0)))</f>
        <v>#N/A</v>
      </c>
      <c r="G1" s="3" t="e">
        <f ca="1">IF(G2=" ", " ", INDEX($AO$1:$BQ$1, 1, MATCH(COLUMNS($AO$1006:AT1006),$AO$1006:$BQ$1006,0)))</f>
        <v>#N/A</v>
      </c>
      <c r="H1" s="3" t="e">
        <f ca="1">IF(H2=" ", " ", INDEX($AO$1:$BQ$1, 1, MATCH(COLUMNS($AO$1006:AU1006),$AO$1006:$BQ$1006,0)))</f>
        <v>#N/A</v>
      </c>
      <c r="I1" s="3" t="e">
        <f ca="1">IF(I2=" ", " ", INDEX($AO$1:$BQ$1, 1, MATCH(COLUMNS($AO$1006:AV1006),$AO$1006:$BQ$1006,0)))</f>
        <v>#N/A</v>
      </c>
      <c r="J1" s="3" t="e">
        <f ca="1">IF(J2=" ", " ", INDEX($AO$1:$BQ$1, 1, MATCH(COLUMNS($AO$1006:AW1006),$AO$1006:$BQ$1006,0)))</f>
        <v>#N/A</v>
      </c>
      <c r="K1" s="3" t="e">
        <f ca="1">IF(K2=" ", " ", INDEX($AO$1:$BQ$1, 1, MATCH(COLUMNS($AO$1006:AX1006),$AO$1006:$BQ$1006,0)))</f>
        <v>#N/A</v>
      </c>
      <c r="L1" s="3" t="e">
        <f ca="1">IF(L2=" ", " ", INDEX($AO$1:$BQ$1, 1, MATCH(COLUMNS($AO$1006:AY1006),$AO$1006:$BQ$1006,0)))</f>
        <v>#N/A</v>
      </c>
      <c r="M1" s="3" t="e">
        <f ca="1">IF(M2=" ", " ", INDEX($AO$1:$BQ$1, 1, MATCH(COLUMNS($AO$1006:AZ1006),$AO$1006:$BQ$1006,0)))</f>
        <v>#N/A</v>
      </c>
      <c r="N1" s="3" t="e">
        <f ca="1">IF(N2=" ", " ", INDEX($AO$1:$BQ$1, 1, MATCH(COLUMNS($AO$1006:BA1006),$AO$1006:$BQ$1006,0)))</f>
        <v>#N/A</v>
      </c>
      <c r="O1" s="3" t="e">
        <f ca="1">IF(O2=" ", " ", INDEX($AO$1:$BQ$1, 1, MATCH(COLUMNS($AO$1006:BB1006),$AO$1006:$BQ$1006,0)))</f>
        <v>#N/A</v>
      </c>
      <c r="P1" s="3" t="e">
        <f ca="1">IF(P2=" ", " ", INDEX($AO$1:$BQ$1, 1, MATCH(COLUMNS($AO$1006:BC1006),$AO$1006:$BQ$1006,0)))</f>
        <v>#N/A</v>
      </c>
      <c r="Q1" s="3" t="e">
        <f ca="1">IF(Q2=" ", " ", INDEX($AO$1:$BQ$1, 1, MATCH(COLUMNS($AO$1006:BD1006),$AO$1006:$BQ$1006,0)))</f>
        <v>#N/A</v>
      </c>
      <c r="R1" s="3" t="e">
        <f ca="1">IF(R2=" ", " ", INDEX($AO$1:$BQ$1, 1, MATCH(COLUMNS($AO$1006:BE1006),$AO$1006:$BQ$1006,0)))</f>
        <v>#N/A</v>
      </c>
      <c r="S1" s="3" t="e">
        <f ca="1">IF(S2=" ", " ", INDEX($AO$1:$BQ$1, 1, MATCH(COLUMNS($AO$1006:BF1006),$AO$1006:$BQ$1006,0)))</f>
        <v>#N/A</v>
      </c>
      <c r="T1" s="3" t="e">
        <f ca="1">IF(T2=" ", " ", INDEX($AO$1:$BQ$1, 1, MATCH(COLUMNS($AO$1006:BG1006),$AO$1006:$BQ$1006,0)))</f>
        <v>#N/A</v>
      </c>
      <c r="U1" s="3" t="e">
        <f ca="1">IF(U2=" ", " ", INDEX($AO$1:$BQ$1, 1, MATCH(COLUMNS($AO$1006:BH1006),$AO$1006:$BQ$1006,0)))</f>
        <v>#N/A</v>
      </c>
      <c r="V1" s="3" t="e">
        <f ca="1">IF(V2=" ", " ", INDEX($AO$1:$BQ$1, 1, MATCH(COLUMNS($AO$1006:BI1006),$AO$1006:$BQ$1006,0)))</f>
        <v>#N/A</v>
      </c>
      <c r="W1" s="3" t="e">
        <f ca="1">IF(W2=" ", " ", INDEX($AO$1:$BQ$1, 1, MATCH(COLUMNS($AO$1006:BJ1006),$AO$1006:$BQ$1006,0)))</f>
        <v>#N/A</v>
      </c>
      <c r="X1" s="3" t="e">
        <f ca="1">IF(X2=" ", " ", INDEX($AO$1:$BQ$1, 1, MATCH(COLUMNS($AO$1006:BK1006),$AO$1006:$BQ$1006,0)))</f>
        <v>#N/A</v>
      </c>
      <c r="Y1" s="3" t="e">
        <f ca="1">IF(Y2=" ", " ", INDEX($AO$1:$BQ$1, 1, MATCH(COLUMNS($AO$1006:BL1006),$AO$1006:$BQ$1006,0)))</f>
        <v>#N/A</v>
      </c>
      <c r="Z1" s="3" t="e">
        <f ca="1">IF(Z2=" ", " ", INDEX($AO$1:$BQ$1, 1, MATCH(COLUMNS($AO$1006:BM1006),$AO$1006:$BQ$1006,0)))</f>
        <v>#N/A</v>
      </c>
      <c r="AA1" s="3" t="e">
        <f ca="1">IF(AA2=" ", " ", INDEX($AO$1:$BQ$1, 1, MATCH(COLUMNS($AO$1006:BN1006),$AO$1006:$BQ$1006,0)))</f>
        <v>#N/A</v>
      </c>
      <c r="AB1" s="3" t="e">
        <f ca="1">IF(AB2=" ", " ", INDEX($AO$1:$BQ$1, 1, MATCH(COLUMNS($AO$1006:BO1006),$AO$1006:$BQ$1006,0)))</f>
        <v>#N/A</v>
      </c>
      <c r="AC1" s="3" t="e">
        <f ca="1">IF(AC2=" ", " ", INDEX($AO$1:$BQ$1, 1, MATCH(COLUMNS($AO$1006:BP1006),$AO$1006:$BQ$1006,0)))</f>
        <v>#N/A</v>
      </c>
      <c r="AD1" s="3" t="e">
        <f ca="1">IF(AD2=" ", " ", INDEX($AO$1:$BQ$1, 1, MATCH(COLUMNS($AO$1006:BQ1006),$AO$1006:$BQ$1006,0)))</f>
        <v>#REF!</v>
      </c>
      <c r="AH1" s="3" t="s">
        <v>35</v>
      </c>
      <c r="AI1" s="3" t="s">
        <v>34</v>
      </c>
      <c r="AJ1" s="3" t="s">
        <v>33</v>
      </c>
      <c r="AK1" s="3" t="s">
        <v>32</v>
      </c>
      <c r="AL1" s="3" t="s">
        <v>31</v>
      </c>
      <c r="AM1" s="3" t="s">
        <v>1</v>
      </c>
      <c r="AO1" s="3" t="s">
        <v>1</v>
      </c>
      <c r="AP1" s="3" t="s">
        <v>3</v>
      </c>
      <c r="AQ1" s="3" t="s">
        <v>4</v>
      </c>
      <c r="AR1" s="3" t="s">
        <v>5</v>
      </c>
      <c r="AS1" s="3" t="s">
        <v>6</v>
      </c>
      <c r="AT1" s="3" t="s">
        <v>7</v>
      </c>
      <c r="AU1" s="3" t="s">
        <v>8</v>
      </c>
      <c r="AV1" s="3" t="s">
        <v>9</v>
      </c>
      <c r="AW1" s="3" t="s">
        <v>10</v>
      </c>
      <c r="AX1" s="3" t="s">
        <v>11</v>
      </c>
      <c r="AY1" s="3" t="s">
        <v>12</v>
      </c>
      <c r="AZ1" s="3" t="s">
        <v>13</v>
      </c>
      <c r="BA1" s="3" t="s">
        <v>14</v>
      </c>
      <c r="BB1" s="3" t="s">
        <v>15</v>
      </c>
      <c r="BC1" s="3" t="s">
        <v>16</v>
      </c>
      <c r="BD1" s="3" t="s">
        <v>17</v>
      </c>
      <c r="BE1" s="3" t="s">
        <v>18</v>
      </c>
      <c r="BF1" s="3" t="s">
        <v>19</v>
      </c>
      <c r="BG1" s="3" t="s">
        <v>20</v>
      </c>
      <c r="BH1" s="3" t="s">
        <v>21</v>
      </c>
      <c r="BI1" s="3" t="s">
        <v>22</v>
      </c>
      <c r="BJ1" s="3" t="s">
        <v>23</v>
      </c>
      <c r="BK1" s="3" t="s">
        <v>24</v>
      </c>
      <c r="BL1" s="3" t="s">
        <v>25</v>
      </c>
      <c r="BM1" s="3" t="s">
        <v>26</v>
      </c>
      <c r="BN1" s="3" t="s">
        <v>27</v>
      </c>
      <c r="BO1" s="3" t="s">
        <v>28</v>
      </c>
      <c r="BP1" s="3" t="s">
        <v>29</v>
      </c>
      <c r="BQ1" s="3" t="s">
        <v>30</v>
      </c>
    </row>
    <row r="2" spans="1:69" x14ac:dyDescent="0.2">
      <c r="A2" s="4" t="e">
        <f ca="1">IF(B2=" "," ",HYPERLINK(CONCATENATE("#metadata!",ADDRESS(INDEX($AJ$2:$AJ$1001,MATCH(ROWS($AH$2:AH2),$AH$2:$AH$1001,0),0),2)),INDEX($AM$2:$AM$1001,MATCH(ROWS($AH$2:AH2),$AH$2:$AH$1001,0),0)))</f>
        <v>#N/A</v>
      </c>
      <c r="B2" s="5" t="e">
        <f ca="1">IF(OR(INDEX($AI$2:$AI$1001,MATCH(ROWS($AH$2:AH2),$AH$2:$AH$1001,0),1)&gt;=100000,INDEX($AO$1005:$BQ$1005,1,MATCH(COLUMNS($AO$1006:AO1006),$AO$1006:$BQ$1006,0))&gt;=100000), " ",IF(INDEX($AO$2:$BQ$1001,MATCH(ROWS($AH$2:AH2),$AH$2:$AH$1001,0),MATCH(COLUMNS($AO$1006:AO1006),$AO$1006:$BQ$1006,0)), HYPERLINK("#",""), HYPERLINK(CONCATENATE("#Metadata!", ADDRESS(INDEX($AJ$2:$AJ$1001,MATCH(ROWS($AH$2:AH2),$AH$2:$AH$1001,0),0), INDEX($AO$1004:$BQ$1004,1,MATCH(COLUMNS($AO$1006:AO1006),$AO$1006:$BQ$1006,0)))),"Fix")))</f>
        <v>#N/A</v>
      </c>
      <c r="C2" s="5" t="e">
        <f ca="1">IF(OR(INDEX($AI$2:$AI$1001,MATCH(ROWS($AH$2:AH2),$AH$2:$AH$1001,0),1)&gt;=100000,INDEX($AO$1005:$BQ$1005,1,MATCH(COLUMNS($AO$1006:AP1006),$AO$1006:$BQ$1006,0))&gt;=100000), " ",IF(INDEX($AO$2:$BQ$1001,MATCH(ROWS($AH$2:AH2),$AH$2:$AH$1001,0),MATCH(COLUMNS($AO$1006:AP1006),$AO$1006:$BQ$1006,0)), HYPERLINK("#",""), HYPERLINK(CONCATENATE("#Metadata!", ADDRESS(INDEX($AJ$2:$AJ$1001,MATCH(ROWS($AH$2:AH2),$AH$2:$AH$1001,0),0), INDEX($AO$1004:$BQ$1004,1,MATCH(COLUMNS($AO$1006:AP1006),$AO$1006:$BQ$1006,0)))),"Fix")))</f>
        <v>#N/A</v>
      </c>
      <c r="D2" s="5" t="e">
        <f ca="1">IF(OR(INDEX($AI$2:$AI$1001,MATCH(ROWS($AH$2:AH2),$AH$2:$AH$1001,0),1)&gt;=100000,INDEX($AO$1005:$BQ$1005,1,MATCH(COLUMNS($AO$1006:AQ1006),$AO$1006:$BQ$1006,0))&gt;=100000), " ",IF(INDEX($AO$2:$BQ$1001,MATCH(ROWS($AH$2:AH2),$AH$2:$AH$1001,0),MATCH(COLUMNS($AO$1006:AQ1006),$AO$1006:$BQ$1006,0)), HYPERLINK("#",""), HYPERLINK(CONCATENATE("#Metadata!", ADDRESS(INDEX($AJ$2:$AJ$1001,MATCH(ROWS($AH$2:AH2),$AH$2:$AH$1001,0),0), INDEX($AO$1004:$BQ$1004,1,MATCH(COLUMNS($AO$1006:AQ1006),$AO$1006:$BQ$1006,0)))),"Fix")))</f>
        <v>#N/A</v>
      </c>
      <c r="E2" s="5" t="e">
        <f ca="1">IF(OR(INDEX($AI$2:$AI$1001,MATCH(ROWS($AH$2:AH2),$AH$2:$AH$1001,0),1)&gt;=100000,INDEX($AO$1005:$BQ$1005,1,MATCH(COLUMNS($AO$1006:AR1006),$AO$1006:$BQ$1006,0))&gt;=100000), " ",IF(INDEX($AO$2:$BQ$1001,MATCH(ROWS($AH$2:AH2),$AH$2:$AH$1001,0),MATCH(COLUMNS($AO$1006:AR1006),$AO$1006:$BQ$1006,0)), HYPERLINK("#",""), HYPERLINK(CONCATENATE("#Metadata!", ADDRESS(INDEX($AJ$2:$AJ$1001,MATCH(ROWS($AH$2:AH2),$AH$2:$AH$1001,0),0), INDEX($AO$1004:$BQ$1004,1,MATCH(COLUMNS($AO$1006:AR1006),$AO$1006:$BQ$1006,0)))),"Fix")))</f>
        <v>#N/A</v>
      </c>
      <c r="F2" s="5" t="e">
        <f ca="1">IF(OR(INDEX($AI$2:$AI$1001,MATCH(ROWS($AH$2:AH2),$AH$2:$AH$1001,0),1)&gt;=100000,INDEX($AO$1005:$BQ$1005,1,MATCH(COLUMNS($AO$1006:AS1006),$AO$1006:$BQ$1006,0))&gt;=100000), " ",IF(INDEX($AO$2:$BQ$1001,MATCH(ROWS($AH$2:AH2),$AH$2:$AH$1001,0),MATCH(COLUMNS($AO$1006:AS1006),$AO$1006:$BQ$1006,0)), HYPERLINK("#",""), HYPERLINK(CONCATENATE("#Metadata!", ADDRESS(INDEX($AJ$2:$AJ$1001,MATCH(ROWS($AH$2:AH2),$AH$2:$AH$1001,0),0), INDEX($AO$1004:$BQ$1004,1,MATCH(COLUMNS($AO$1006:AS1006),$AO$1006:$BQ$1006,0)))),"Fix")))</f>
        <v>#N/A</v>
      </c>
      <c r="G2" s="5" t="e">
        <f ca="1">IF(OR(INDEX($AI$2:$AI$1001,MATCH(ROWS($AH$2:AH2),$AH$2:$AH$1001,0),1)&gt;=100000,INDEX($AO$1005:$BQ$1005,1,MATCH(COLUMNS($AO$1006:AT1006),$AO$1006:$BQ$1006,0))&gt;=100000), " ",IF(INDEX($AO$2:$BQ$1001,MATCH(ROWS($AH$2:AH2),$AH$2:$AH$1001,0),MATCH(COLUMNS($AO$1006:AT1006),$AO$1006:$BQ$1006,0)), HYPERLINK("#",""), HYPERLINK(CONCATENATE("#Metadata!", ADDRESS(INDEX($AJ$2:$AJ$1001,MATCH(ROWS($AH$2:AH2),$AH$2:$AH$1001,0),0), INDEX($AO$1004:$BQ$1004,1,MATCH(COLUMNS($AO$1006:AT1006),$AO$1006:$BQ$1006,0)))),"Fix")))</f>
        <v>#N/A</v>
      </c>
      <c r="H2" s="5" t="e">
        <f ca="1">IF(OR(INDEX($AI$2:$AI$1001,MATCH(ROWS($AH$2:AH2),$AH$2:$AH$1001,0),1)&gt;=100000,INDEX($AO$1005:$BQ$1005,1,MATCH(COLUMNS($AO$1006:AU1006),$AO$1006:$BQ$1006,0))&gt;=100000), " ",IF(INDEX($AO$2:$BQ$1001,MATCH(ROWS($AH$2:AH2),$AH$2:$AH$1001,0),MATCH(COLUMNS($AO$1006:AU1006),$AO$1006:$BQ$1006,0)), HYPERLINK("#",""), HYPERLINK(CONCATENATE("#Metadata!", ADDRESS(INDEX($AJ$2:$AJ$1001,MATCH(ROWS($AH$2:AH2),$AH$2:$AH$1001,0),0), INDEX($AO$1004:$BQ$1004,1,MATCH(COLUMNS($AO$1006:AU1006),$AO$1006:$BQ$1006,0)))),"Fix")))</f>
        <v>#N/A</v>
      </c>
      <c r="I2" s="5" t="e">
        <f ca="1">IF(OR(INDEX($AI$2:$AI$1001,MATCH(ROWS($AH$2:AH2),$AH$2:$AH$1001,0),1)&gt;=100000,INDEX($AO$1005:$BQ$1005,1,MATCH(COLUMNS($AO$1006:AV1006),$AO$1006:$BQ$1006,0))&gt;=100000), " ",IF(INDEX($AO$2:$BQ$1001,MATCH(ROWS($AH$2:AH2),$AH$2:$AH$1001,0),MATCH(COLUMNS($AO$1006:AV1006),$AO$1006:$BQ$1006,0)), HYPERLINK("#",""), HYPERLINK(CONCATENATE("#Metadata!", ADDRESS(INDEX($AJ$2:$AJ$1001,MATCH(ROWS($AH$2:AH2),$AH$2:$AH$1001,0),0), INDEX($AO$1004:$BQ$1004,1,MATCH(COLUMNS($AO$1006:AV1006),$AO$1006:$BQ$1006,0)))),"Fix")))</f>
        <v>#N/A</v>
      </c>
      <c r="J2" s="5" t="e">
        <f ca="1">IF(OR(INDEX($AI$2:$AI$1001,MATCH(ROWS($AH$2:AH2),$AH$2:$AH$1001,0),1)&gt;=100000,INDEX($AO$1005:$BQ$1005,1,MATCH(COLUMNS($AO$1006:AW1006),$AO$1006:$BQ$1006,0))&gt;=100000), " ",IF(INDEX($AO$2:$BQ$1001,MATCH(ROWS($AH$2:AH2),$AH$2:$AH$1001,0),MATCH(COLUMNS($AO$1006:AW1006),$AO$1006:$BQ$1006,0)), HYPERLINK("#",""), HYPERLINK(CONCATENATE("#Metadata!", ADDRESS(INDEX($AJ$2:$AJ$1001,MATCH(ROWS($AH$2:AH2),$AH$2:$AH$1001,0),0), INDEX($AO$1004:$BQ$1004,1,MATCH(COLUMNS($AO$1006:AW1006),$AO$1006:$BQ$1006,0)))),"Fix")))</f>
        <v>#N/A</v>
      </c>
      <c r="K2" s="5" t="e">
        <f ca="1">IF(OR(INDEX($AI$2:$AI$1001,MATCH(ROWS($AH$2:AH2),$AH$2:$AH$1001,0),1)&gt;=100000,INDEX($AO$1005:$BQ$1005,1,MATCH(COLUMNS($AO$1006:AX1006),$AO$1006:$BQ$1006,0))&gt;=100000), " ",IF(INDEX($AO$2:$BQ$1001,MATCH(ROWS($AH$2:AH2),$AH$2:$AH$1001,0),MATCH(COLUMNS($AO$1006:AX1006),$AO$1006:$BQ$1006,0)), HYPERLINK("#",""), HYPERLINK(CONCATENATE("#Metadata!", ADDRESS(INDEX($AJ$2:$AJ$1001,MATCH(ROWS($AH$2:AH2),$AH$2:$AH$1001,0),0), INDEX($AO$1004:$BQ$1004,1,MATCH(COLUMNS($AO$1006:AX1006),$AO$1006:$BQ$1006,0)))),"Fix")))</f>
        <v>#N/A</v>
      </c>
      <c r="L2" s="5" t="e">
        <f ca="1">IF(OR(INDEX($AI$2:$AI$1001,MATCH(ROWS($AH$2:AH2),$AH$2:$AH$1001,0),1)&gt;=100000,INDEX($AO$1005:$BQ$1005,1,MATCH(COLUMNS($AO$1006:AY1006),$AO$1006:$BQ$1006,0))&gt;=100000), " ",IF(INDEX($AO$2:$BQ$1001,MATCH(ROWS($AH$2:AH2),$AH$2:$AH$1001,0),MATCH(COLUMNS($AO$1006:AY1006),$AO$1006:$BQ$1006,0)), HYPERLINK("#",""), HYPERLINK(CONCATENATE("#Metadata!", ADDRESS(INDEX($AJ$2:$AJ$1001,MATCH(ROWS($AH$2:AH2),$AH$2:$AH$1001,0),0), INDEX($AO$1004:$BQ$1004,1,MATCH(COLUMNS($AO$1006:AY1006),$AO$1006:$BQ$1006,0)))),"Fix")))</f>
        <v>#N/A</v>
      </c>
      <c r="M2" s="5" t="e">
        <f ca="1">IF(OR(INDEX($AI$2:$AI$1001,MATCH(ROWS($AH$2:AH2),$AH$2:$AH$1001,0),1)&gt;=100000,INDEX($AO$1005:$BQ$1005,1,MATCH(COLUMNS($AO$1006:AZ1006),$AO$1006:$BQ$1006,0))&gt;=100000), " ",IF(INDEX($AO$2:$BQ$1001,MATCH(ROWS($AH$2:AH2),$AH$2:$AH$1001,0),MATCH(COLUMNS($AO$1006:AZ1006),$AO$1006:$BQ$1006,0)), HYPERLINK("#",""), HYPERLINK(CONCATENATE("#Metadata!", ADDRESS(INDEX($AJ$2:$AJ$1001,MATCH(ROWS($AH$2:AH2),$AH$2:$AH$1001,0),0), INDEX($AO$1004:$BQ$1004,1,MATCH(COLUMNS($AO$1006:AZ1006),$AO$1006:$BQ$1006,0)))),"Fix")))</f>
        <v>#N/A</v>
      </c>
      <c r="N2" s="5" t="e">
        <f ca="1">IF(OR(INDEX($AI$2:$AI$1001,MATCH(ROWS($AH$2:AH2),$AH$2:$AH$1001,0),1)&gt;=100000,INDEX($AO$1005:$BQ$1005,1,MATCH(COLUMNS($AO$1006:BA1006),$AO$1006:$BQ$1006,0))&gt;=100000), " ",IF(INDEX($AO$2:$BQ$1001,MATCH(ROWS($AH$2:AH2),$AH$2:$AH$1001,0),MATCH(COLUMNS($AO$1006:BA1006),$AO$1006:$BQ$1006,0)), HYPERLINK("#",""), HYPERLINK(CONCATENATE("#Metadata!", ADDRESS(INDEX($AJ$2:$AJ$1001,MATCH(ROWS($AH$2:AH2),$AH$2:$AH$1001,0),0), INDEX($AO$1004:$BQ$1004,1,MATCH(COLUMNS($AO$1006:BA1006),$AO$1006:$BQ$1006,0)))),"Fix")))</f>
        <v>#N/A</v>
      </c>
      <c r="O2" s="5" t="e">
        <f ca="1">IF(OR(INDEX($AI$2:$AI$1001,MATCH(ROWS($AH$2:AH2),$AH$2:$AH$1001,0),1)&gt;=100000,INDEX($AO$1005:$BQ$1005,1,MATCH(COLUMNS($AO$1006:BB1006),$AO$1006:$BQ$1006,0))&gt;=100000), " ",IF(INDEX($AO$2:$BQ$1001,MATCH(ROWS($AH$2:AH2),$AH$2:$AH$1001,0),MATCH(COLUMNS($AO$1006:BB1006),$AO$1006:$BQ$1006,0)), HYPERLINK("#",""), HYPERLINK(CONCATENATE("#Metadata!", ADDRESS(INDEX($AJ$2:$AJ$1001,MATCH(ROWS($AH$2:AH2),$AH$2:$AH$1001,0),0), INDEX($AO$1004:$BQ$1004,1,MATCH(COLUMNS($AO$1006:BB1006),$AO$1006:$BQ$1006,0)))),"Fix")))</f>
        <v>#N/A</v>
      </c>
      <c r="P2" s="5" t="e">
        <f ca="1">IF(OR(INDEX($AI$2:$AI$1001,MATCH(ROWS($AH$2:AH2),$AH$2:$AH$1001,0),1)&gt;=100000,INDEX($AO$1005:$BQ$1005,1,MATCH(COLUMNS($AO$1006:BC1006),$AO$1006:$BQ$1006,0))&gt;=100000), " ",IF(INDEX($AO$2:$BQ$1001,MATCH(ROWS($AH$2:AH2),$AH$2:$AH$1001,0),MATCH(COLUMNS($AO$1006:BC1006),$AO$1006:$BQ$1006,0)), HYPERLINK("#",""), HYPERLINK(CONCATENATE("#Metadata!", ADDRESS(INDEX($AJ$2:$AJ$1001,MATCH(ROWS($AH$2:AH2),$AH$2:$AH$1001,0),0), INDEX($AO$1004:$BQ$1004,1,MATCH(COLUMNS($AO$1006:BC1006),$AO$1006:$BQ$1006,0)))),"Fix")))</f>
        <v>#N/A</v>
      </c>
      <c r="Q2" s="5" t="e">
        <f ca="1">IF(OR(INDEX($AI$2:$AI$1001,MATCH(ROWS($AH$2:AH2),$AH$2:$AH$1001,0),1)&gt;=100000,INDEX($AO$1005:$BQ$1005,1,MATCH(COLUMNS($AO$1006:BD1006),$AO$1006:$BQ$1006,0))&gt;=100000), " ",IF(INDEX($AO$2:$BQ$1001,MATCH(ROWS($AH$2:AH2),$AH$2:$AH$1001,0),MATCH(COLUMNS($AO$1006:BD1006),$AO$1006:$BQ$1006,0)), HYPERLINK("#",""), HYPERLINK(CONCATENATE("#Metadata!", ADDRESS(INDEX($AJ$2:$AJ$1001,MATCH(ROWS($AH$2:AH2),$AH$2:$AH$1001,0),0), INDEX($AO$1004:$BQ$1004,1,MATCH(COLUMNS($AO$1006:BD1006),$AO$1006:$BQ$1006,0)))),"Fix")))</f>
        <v>#N/A</v>
      </c>
      <c r="R2" s="5" t="e">
        <f ca="1">IF(OR(INDEX($AI$2:$AI$1001,MATCH(ROWS($AH$2:AH2),$AH$2:$AH$1001,0),1)&gt;=100000,INDEX($AO$1005:$BQ$1005,1,MATCH(COLUMNS($AO$1006:BE1006),$AO$1006:$BQ$1006,0))&gt;=100000), " ",IF(INDEX($AO$2:$BQ$1001,MATCH(ROWS($AH$2:AH2),$AH$2:$AH$1001,0),MATCH(COLUMNS($AO$1006:BE1006),$AO$1006:$BQ$1006,0)), HYPERLINK("#",""), HYPERLINK(CONCATENATE("#Metadata!", ADDRESS(INDEX($AJ$2:$AJ$1001,MATCH(ROWS($AH$2:AH2),$AH$2:$AH$1001,0),0), INDEX($AO$1004:$BQ$1004,1,MATCH(COLUMNS($AO$1006:BE1006),$AO$1006:$BQ$1006,0)))),"Fix")))</f>
        <v>#N/A</v>
      </c>
      <c r="S2" s="5" t="e">
        <f ca="1">IF(OR(INDEX($AI$2:$AI$1001,MATCH(ROWS($AH$2:AH2),$AH$2:$AH$1001,0),1)&gt;=100000,INDEX($AO$1005:$BQ$1005,1,MATCH(COLUMNS($AO$1006:BF1006),$AO$1006:$BQ$1006,0))&gt;=100000), " ",IF(INDEX($AO$2:$BQ$1001,MATCH(ROWS($AH$2:AH2),$AH$2:$AH$1001,0),MATCH(COLUMNS($AO$1006:BF1006),$AO$1006:$BQ$1006,0)), HYPERLINK("#",""), HYPERLINK(CONCATENATE("#Metadata!", ADDRESS(INDEX($AJ$2:$AJ$1001,MATCH(ROWS($AH$2:AH2),$AH$2:$AH$1001,0),0), INDEX($AO$1004:$BQ$1004,1,MATCH(COLUMNS($AO$1006:BF1006),$AO$1006:$BQ$1006,0)))),"Fix")))</f>
        <v>#N/A</v>
      </c>
      <c r="T2" s="5" t="e">
        <f ca="1">IF(OR(INDEX($AI$2:$AI$1001,MATCH(ROWS($AH$2:AH2),$AH$2:$AH$1001,0),1)&gt;=100000,INDEX($AO$1005:$BQ$1005,1,MATCH(COLUMNS($AO$1006:BG1006),$AO$1006:$BQ$1006,0))&gt;=100000), " ",IF(INDEX($AO$2:$BQ$1001,MATCH(ROWS($AH$2:AH2),$AH$2:$AH$1001,0),MATCH(COLUMNS($AO$1006:BG1006),$AO$1006:$BQ$1006,0)), HYPERLINK("#",""), HYPERLINK(CONCATENATE("#Metadata!", ADDRESS(INDEX($AJ$2:$AJ$1001,MATCH(ROWS($AH$2:AH2),$AH$2:$AH$1001,0),0), INDEX($AO$1004:$BQ$1004,1,MATCH(COLUMNS($AO$1006:BG1006),$AO$1006:$BQ$1006,0)))),"Fix")))</f>
        <v>#N/A</v>
      </c>
      <c r="U2" s="5" t="e">
        <f ca="1">IF(OR(INDEX($AI$2:$AI$1001,MATCH(ROWS($AH$2:AH2),$AH$2:$AH$1001,0),1)&gt;=100000,INDEX($AO$1005:$BQ$1005,1,MATCH(COLUMNS($AO$1006:BH1006),$AO$1006:$BQ$1006,0))&gt;=100000), " ",IF(INDEX($AO$2:$BQ$1001,MATCH(ROWS($AH$2:AH2),$AH$2:$AH$1001,0),MATCH(COLUMNS($AO$1006:BH1006),$AO$1006:$BQ$1006,0)), HYPERLINK("#",""), HYPERLINK(CONCATENATE("#Metadata!", ADDRESS(INDEX($AJ$2:$AJ$1001,MATCH(ROWS($AH$2:AH2),$AH$2:$AH$1001,0),0), INDEX($AO$1004:$BQ$1004,1,MATCH(COLUMNS($AO$1006:BH1006),$AO$1006:$BQ$1006,0)))),"Fix")))</f>
        <v>#N/A</v>
      </c>
      <c r="V2" s="5" t="e">
        <f ca="1">IF(OR(INDEX($AI$2:$AI$1001,MATCH(ROWS($AH$2:AH2),$AH$2:$AH$1001,0),1)&gt;=100000,INDEX($AO$1005:$BQ$1005,1,MATCH(COLUMNS($AO$1006:BI1006),$AO$1006:$BQ$1006,0))&gt;=100000), " ",IF(INDEX($AO$2:$BQ$1001,MATCH(ROWS($AH$2:AH2),$AH$2:$AH$1001,0),MATCH(COLUMNS($AO$1006:BI1006),$AO$1006:$BQ$1006,0)), HYPERLINK("#",""), HYPERLINK(CONCATENATE("#Metadata!", ADDRESS(INDEX($AJ$2:$AJ$1001,MATCH(ROWS($AH$2:AH2),$AH$2:$AH$1001,0),0), INDEX($AO$1004:$BQ$1004,1,MATCH(COLUMNS($AO$1006:BI1006),$AO$1006:$BQ$1006,0)))),"Fix")))</f>
        <v>#N/A</v>
      </c>
      <c r="W2" s="5" t="e">
        <f ca="1">IF(OR(INDEX($AI$2:$AI$1001,MATCH(ROWS($AH$2:AH2),$AH$2:$AH$1001,0),1)&gt;=100000,INDEX($AO$1005:$BQ$1005,1,MATCH(COLUMNS($AO$1006:BJ1006),$AO$1006:$BQ$1006,0))&gt;=100000), " ",IF(INDEX($AO$2:$BQ$1001,MATCH(ROWS($AH$2:AH2),$AH$2:$AH$1001,0),MATCH(COLUMNS($AO$1006:BJ1006),$AO$1006:$BQ$1006,0)), HYPERLINK("#",""), HYPERLINK(CONCATENATE("#Metadata!", ADDRESS(INDEX($AJ$2:$AJ$1001,MATCH(ROWS($AH$2:AH2),$AH$2:$AH$1001,0),0), INDEX($AO$1004:$BQ$1004,1,MATCH(COLUMNS($AO$1006:BJ1006),$AO$1006:$BQ$1006,0)))),"Fix")))</f>
        <v>#N/A</v>
      </c>
      <c r="X2" s="5" t="e">
        <f ca="1">IF(OR(INDEX($AI$2:$AI$1001,MATCH(ROWS($AH$2:AH2),$AH$2:$AH$1001,0),1)&gt;=100000,INDEX($AO$1005:$BQ$1005,1,MATCH(COLUMNS($AO$1006:BK1006),$AO$1006:$BQ$1006,0))&gt;=100000), " ",IF(INDEX($AO$2:$BQ$1001,MATCH(ROWS($AH$2:AH2),$AH$2:$AH$1001,0),MATCH(COLUMNS($AO$1006:BK1006),$AO$1006:$BQ$1006,0)), HYPERLINK("#",""), HYPERLINK(CONCATENATE("#Metadata!", ADDRESS(INDEX($AJ$2:$AJ$1001,MATCH(ROWS($AH$2:AH2),$AH$2:$AH$1001,0),0), INDEX($AO$1004:$BQ$1004,1,MATCH(COLUMNS($AO$1006:BK1006),$AO$1006:$BQ$1006,0)))),"Fix")))</f>
        <v>#N/A</v>
      </c>
      <c r="Y2" s="5" t="e">
        <f ca="1">IF(OR(INDEX($AI$2:$AI$1001,MATCH(ROWS($AH$2:AH2),$AH$2:$AH$1001,0),1)&gt;=100000,INDEX($AO$1005:$BQ$1005,1,MATCH(COLUMNS($AO$1006:BL1006),$AO$1006:$BQ$1006,0))&gt;=100000), " ",IF(INDEX($AO$2:$BQ$1001,MATCH(ROWS($AH$2:AH2),$AH$2:$AH$1001,0),MATCH(COLUMNS($AO$1006:BL1006),$AO$1006:$BQ$1006,0)), HYPERLINK("#",""), HYPERLINK(CONCATENATE("#Metadata!", ADDRESS(INDEX($AJ$2:$AJ$1001,MATCH(ROWS($AH$2:AH2),$AH$2:$AH$1001,0),0), INDEX($AO$1004:$BQ$1004,1,MATCH(COLUMNS($AO$1006:BL1006),$AO$1006:$BQ$1006,0)))),"Fix")))</f>
        <v>#N/A</v>
      </c>
      <c r="Z2" s="5" t="e">
        <f ca="1">IF(OR(INDEX($AI$2:$AI$1001,MATCH(ROWS($AH$2:AH2),$AH$2:$AH$1001,0),1)&gt;=100000,INDEX($AO$1005:$BQ$1005,1,MATCH(COLUMNS($AO$1006:BM1006),$AO$1006:$BQ$1006,0))&gt;=100000), " ",IF(INDEX($AO$2:$BQ$1001,MATCH(ROWS($AH$2:AH2),$AH$2:$AH$1001,0),MATCH(COLUMNS($AO$1006:BM1006),$AO$1006:$BQ$1006,0)), HYPERLINK("#",""), HYPERLINK(CONCATENATE("#Metadata!", ADDRESS(INDEX($AJ$2:$AJ$1001,MATCH(ROWS($AH$2:AH2),$AH$2:$AH$1001,0),0), INDEX($AO$1004:$BQ$1004,1,MATCH(COLUMNS($AO$1006:BM1006),$AO$1006:$BQ$1006,0)))),"Fix")))</f>
        <v>#N/A</v>
      </c>
      <c r="AA2" s="5" t="e">
        <f ca="1">IF(OR(INDEX($AI$2:$AI$1001,MATCH(ROWS($AH$2:AH2),$AH$2:$AH$1001,0),1)&gt;=100000,INDEX($AO$1005:$BQ$1005,1,MATCH(COLUMNS($AO$1006:BN1006),$AO$1006:$BQ$1006,0))&gt;=100000), " ",IF(INDEX($AO$2:$BQ$1001,MATCH(ROWS($AH$2:AH2),$AH$2:$AH$1001,0),MATCH(COLUMNS($AO$1006:BN1006),$AO$1006:$BQ$1006,0)), HYPERLINK("#",""), HYPERLINK(CONCATENATE("#Metadata!", ADDRESS(INDEX($AJ$2:$AJ$1001,MATCH(ROWS($AH$2:AH2),$AH$2:$AH$1001,0),0), INDEX($AO$1004:$BQ$1004,1,MATCH(COLUMNS($AO$1006:BN1006),$AO$1006:$BQ$1006,0)))),"Fix")))</f>
        <v>#N/A</v>
      </c>
      <c r="AB2" s="5" t="e">
        <f ca="1">IF(OR(INDEX($AI$2:$AI$1001,MATCH(ROWS($AH$2:AH2),$AH$2:$AH$1001,0),1)&gt;=100000,INDEX($AO$1005:$BQ$1005,1,MATCH(COLUMNS($AO$1006:BO1006),$AO$1006:$BQ$1006,0))&gt;=100000), " ",IF(INDEX($AO$2:$BQ$1001,MATCH(ROWS($AH$2:AH2),$AH$2:$AH$1001,0),MATCH(COLUMNS($AO$1006:BO1006),$AO$1006:$BQ$1006,0)), HYPERLINK("#",""), HYPERLINK(CONCATENATE("#Metadata!", ADDRESS(INDEX($AJ$2:$AJ$1001,MATCH(ROWS($AH$2:AH2),$AH$2:$AH$1001,0),0), INDEX($AO$1004:$BQ$1004,1,MATCH(COLUMNS($AO$1006:BO1006),$AO$1006:$BQ$1006,0)))),"Fix")))</f>
        <v>#N/A</v>
      </c>
      <c r="AC2" s="5" t="e">
        <f ca="1">IF(OR(INDEX($AI$2:$AI$1001,MATCH(ROWS($AH$2:AH2),$AH$2:$AH$1001,0),1)&gt;=100000,INDEX($AO$1005:$BQ$1005,1,MATCH(COLUMNS($AO$1006:BP1006),$AO$1006:$BQ$1006,0))&gt;=100000), " ",IF(INDEX($AO$2:$BQ$1001,MATCH(ROWS($AH$2:AH2),$AH$2:$AH$1001,0),MATCH(COLUMNS($AO$1006:BP1006),$AO$1006:$BQ$1006,0)), HYPERLINK("#",""), HYPERLINK(CONCATENATE("#Metadata!", ADDRESS(INDEX($AJ$2:$AJ$1001,MATCH(ROWS($AH$2:AH2),$AH$2:$AH$1001,0),0), INDEX($AO$1004:$BQ$1004,1,MATCH(COLUMNS($AO$1006:BP1006),$AO$1006:$BQ$1006,0)))),"Fix")))</f>
        <v>#N/A</v>
      </c>
      <c r="AD2" s="5" t="e">
        <f ca="1">IF(OR(INDEX($AI$2:$AI$1001,MATCH(ROWS($AH$2:AH2),$AH$2:$AH$1001,0),1)&gt;=100000,INDEX($AO$1005:$BQ$1005,1,MATCH(COLUMNS($AO$1006:BQ1006),$AO$1006:$BQ$1006,0))&gt;=100000), " ",IF(INDEX($AO$2:$BQ$1001,MATCH(ROWS($AH$2:AH2),$AH$2:$AH$1001,0),MATCH(COLUMNS($AO$1006:BQ1006),$AO$1006:$BQ$1006,0)), HYPERLINK("#",""), HYPERLINK(CONCATENATE("#Metadata!", ADDRESS(INDEX($AJ$2:$AJ$1001,MATCH(ROWS($AH$2:AH2),$AH$2:$AH$1001,0),0), INDEX($AO$1004:$BQ$1004,1,MATCH(COLUMNS($AO$1006:BQ1006),$AO$1006:$BQ$1006,0)))),"Fix")))</f>
        <v>#REF!</v>
      </c>
      <c r="AH2">
        <f t="array" ref="AH2:AH1001" ca="1">COUNTIF(AI$2:AI$1001,"&lt;="&amp;$AI2:$AI1001)</f>
        <v>2</v>
      </c>
      <c r="AI2" t="e">
        <f t="array" ref="AI2:AI1001" ca="1">INT(AK2:AK1001)*100000+$AJ$2:$AJ$1001</f>
        <v>#REF!</v>
      </c>
      <c r="AJ2">
        <f t="array" ref="AJ2:AJ1001">ROW(Metadata!B2:B1001)</f>
        <v>2</v>
      </c>
      <c r="AK2" t="e">
        <f t="shared" ref="AK2:AK65" ca="1" si="0">IF(AL2,TRUE,AND(AO2:BQ2))</f>
        <v>#REF!</v>
      </c>
      <c r="AL2" t="b">
        <f>COUNTBLANK(Metadata!B2:AD2)=COLUMNS(Metadata!B2:AD2)</f>
        <v>0</v>
      </c>
      <c r="AM2" t="str">
        <f t="array" ref="AM2:AM1001">IF(Metadata!B2:B1001="","",Metadata!B2:B1001)</f>
        <v>Anaxyrus.boreas.Sediment.BTP.10.1Sediment</v>
      </c>
      <c r="AO2" t="e">
        <f ca="1">AND(IF(Metadata!#REF!="",FALSE,TRUE),COUNTIF(Metadata!B:B, Metadata!#REF!) = 1,NOT(ISERROR(SUMPRODUCT(SEARCH(MID(Metadata!#REF!,ROW(INDIRECT("1:"&amp;LEN(Metadata!#REF!))), 1),"0123456789abcdefghijklmnopqrstuvwxyzABCDEFGHIJKLMNOPQRSTUVWXYZ.")))))</f>
        <v>#REF!</v>
      </c>
      <c r="AP2" t="e">
        <f>IF(Metadata!#REF!="",FALSE,TRUE)</f>
        <v>#REF!</v>
      </c>
      <c r="AQ2" t="e">
        <f>IF(Metadata!#REF!="",FALSE,TRUE)</f>
        <v>#REF!</v>
      </c>
      <c r="AR2" t="e">
        <f ca="1">OR(AND(IF(Metadata!#REF!="",FALSE,TRUE),OR(EXACT(Metadata!#REF!,"not collected"),EXACT(Metadata!#REF!,"not provided"),EXACT(Metadata!#REF!,"restricted access"))),AND(IF(Metadata!#REF!="",FALSE,TRUE),AND(AND(IFERROR(INT(LEFT(Metadata!#REF!,4))&gt;1900,FALSE),IFERROR(INT(LEFT(Metadata!#REF!,4))&lt;=YEAR(NOW()),FALSE)), OR(MID(Metadata!#REF!,5,1)="", AND(AND(MID(Metadata!#REF!,5,1)="-",IFERROR(INT(MID(Metadata!#REF!,6,1))&gt;=0,FALSE),IFERROR(INT(MID(Metadata!#REF!,6,1))&lt;=1,FALSE),NOT(MID(Metadata!#REF!,7,1)=""),IFERROR(INT(MID(Metadata!#REF!,6,2))&gt;=1,FALSE),IFERROR(INT(MID(Metadata!#REF!,6,2))&lt;=12,FALSE)), OR(MID(Metadata!#REF!,8,1)="", AND(AND(MID(Metadata!#REF!,8,1)="-",IFERROR(INT(MID(Metadata!#REF!,9,1))&gt;=0,FALSE),IFERROR(INT(MID(Metadata!#REF!,9,1))&lt;=3,FALSE),NOT(MID(Metadata!#REF!,10,1)=""),IFERROR(INT(MID(Metadata!#REF!,9,2))&gt;=1,FALSE),IFERROR(INT(MID(Metadata!#REF!,9,2))&lt;=31,FALSE)), OR(MID(Metadata!#REF!,11,1)="", AND(AND(MID(Metadata!#REF!,11,1)=" ",IFERROR(INT(MID(Metadata!#REF!,12,1))&gt;=0,FALSE),IFERROR(INT(MID(Metadata!#REF!,12,1))&lt;=2,FALSE),NOT(MID(Metadata!#REF!,13,1)=""),IFERROR(INT(MID(Metadata!#REF!,12,2))&gt;=0,FALSE),IFERROR(INT(MID(Metadata!#REF!,12,2))&lt;=23,FALSE)), OR(MID(Metadata!#REF!,14,1)="", AND(AND(MID(Metadata!#REF!,14,1)=":",IFERROR(INT(MID(Metadata!#REF!,15,1))&gt;=0,FALSE),IFERROR(INT(MID(Metadata!#REF!,15,1))&lt;=5,FALSE),NOT(MID(Metadata!#REF!,16,1)=""),IFERROR(INT(MID(Metadata!#REF!,15,2))&gt;=0,FALSE),IFERROR(INT(MID(Metadata!#REF!,15,2))&lt;=59,FALSE)), OR(MID(Metadata!#REF!,17,1)="", AND(AND(MID(Metadata!#REF!,17,1)=":",IFERROR(INT(MID(Metadata!#REF!,18,1))&gt;=0,FALSE),IFERROR(INT(MID(Metadata!#REF!,18,1))&lt;=5,FALSE),NOT(MID(Metadata!#REF!,19,1)=""),IFERROR(INT(MID(Metadata!#REF!,18,2))&gt;=0,FALSE),IFERROR(INT(MID(Metadata!#REF!,18,2))&lt;=59,FALSE)), LEN(Metadata!#REF!)&lt;=19)))))))))))))</f>
        <v>#REF!</v>
      </c>
      <c r="AS2" t="e">
        <f>IF(Metadata!#REF!="",FALSE,TRUE)</f>
        <v>#REF!</v>
      </c>
      <c r="AT2" t="e">
        <f>OR(AND(IF(Metadata!#REF!="",FALSE,TRUE),OR(EXACT(Metadata!#REF!,"not collected"),EXACT(Metadata!#REF!,"not provided"))),AND(IF(Metadata!#REF!="",FALSE,TRUE),OR(EXACT(Metadata!#REF!,"TRUE"),EXACT(Metadata!#REF!,"FALSE"))))</f>
        <v>#REF!</v>
      </c>
      <c r="AU2" t="e">
        <f>OR(AND(IF(Metadata!#REF!="",FALSE,TRUE),OR(EXACT(Metadata!#REF!,"not collected"),EXACT(Metadata!#REF!,"not provided"),EXACT(Metadata!#REF!,"restricted access"))),AND(IF(Metadata!#REF!="",FALSE,ISNUMBER(VALUE(Metadata!#REF!))),Metadata!#REF!&gt;=-413))</f>
        <v>#REF!</v>
      </c>
      <c r="AV2" t="e">
        <f>AND(IF(Metadata!#REF!="",FALSE,TRUE),EXACT(Metadata!#REF!,"meters"))</f>
        <v>#REF!</v>
      </c>
      <c r="AW2" t="e">
        <f>AND(IF(Metadata!#REF!="",FALSE,TRUE),EXACT(Metadata!#REF!,"free-living"))</f>
        <v>#REF!</v>
      </c>
      <c r="AX2" t="e">
        <f>AND(IF(Metadata!#REF!="",FALSE,TRUE),OR(EXACT(Metadata!#REF!,"saline"),EXACT(Metadata!#REF!,"non-saline")))</f>
        <v>#REF!</v>
      </c>
      <c r="AY2" t="e">
        <f>AND(IF(Metadata!#REF!="",FALSE,TRUE),OR(EXACT(Metadata!#REF!,"sub-surface (non-saline)"),EXACT(Metadata!#REF!,"surface (non-saline)"),EXACT(Metadata!#REF!,"water (non-saline)"),EXACT(Metadata!#REF!,"soil (non-saline)"),EXACT(Metadata!#REF!,"aerosol (non-saline)"),EXACT(Metadata!#REF!,"sediment (non-saline)"),EXACT(Metadata!#REF!,"surface (saline)"),EXACT(Metadata!#REF!,"water (saline)"),EXACT(Metadata!#REF!,"hypersaline (saline)"),EXACT(Metadata!#REF!,"aerosol (saline)"),EXACT(Metadata!#REF!,"sediment (saline)")))</f>
        <v>#REF!</v>
      </c>
      <c r="AZ2" t="e">
        <f>IF(Metadata!#REF!="",FALSE,TRUE)</f>
        <v>#REF!</v>
      </c>
      <c r="BA2" t="e">
        <f>IF(Metadata!#REF!="",FALSE,TRUE)</f>
        <v>#REF!</v>
      </c>
      <c r="BB2" t="e">
        <f>IF(Metadata!#REF!="",FALSE,TRUE)</f>
        <v>#REF!</v>
      </c>
      <c r="BC2" t="e">
        <f>AND(IF(Metadata!#REF!="",FALSE,TRUE),OR(EXACT(Metadata!#REF!,"air"),EXACT(Metadata!#REF!,"microbial mat/biofilm"),EXACT(Metadata!#REF!,"misc environment"),EXACT(Metadata!#REF!,"sediment"),EXACT(Metadata!#REF!,"soil"),EXACT(Metadata!#REF!,"wastewater/sludge"),EXACT(Metadata!#REF!,"water")))</f>
        <v>#REF!</v>
      </c>
      <c r="BD2" t="e">
        <f>IF(Metadata!#REF!="",FALSE,TRUE)</f>
        <v>#REF!</v>
      </c>
      <c r="BE2" t="e">
        <f>IF(Metadata!#REF!="",FALSE,TRUE)</f>
        <v>#REF!</v>
      </c>
      <c r="BF2" t="e">
        <f>OR(AND(IF(Metadata!#REF!="",FALSE,TRUE),OR(EXACT(Metadata!#REF!,"not collected"),EXACT(Metadata!#REF!,"not provided"),EXACT(Metadata!#REF!,"restricted access"))),AND(IF(Metadata!#REF!="",FALSE,ISNUMBER(VALUE(Metadata!#REF!))),Metadata!#REF!&gt;=-90,Metadata!#REF!&lt;=90))</f>
        <v>#REF!</v>
      </c>
      <c r="BG2" t="e">
        <f>AND(IF(Metadata!#REF!="",FALSE,TRUE),EXACT(Metadata!#REF!,"Decimal degrees"))</f>
        <v>#REF!</v>
      </c>
      <c r="BH2" t="b">
        <f>OR(AND(IF(Metadata!U2="",FALSE,TRUE),OR(EXACT(Metadata!U2,"not applicable"),EXACT(Metadata!U2,"not collected"))),IF(Metadata!U2="",FALSE,TRUE))</f>
        <v>1</v>
      </c>
      <c r="BI2" t="e">
        <f>OR(AND(IF(Metadata!#REF!="",FALSE,TRUE),OR(EXACT(Metadata!#REF!,"not collected"),EXACT(Metadata!#REF!,"not provided"),EXACT(Metadata!#REF!,"restricted access"))),AND(IF(Metadata!#REF!="",FALSE,ISNUMBER(VALUE(Metadata!#REF!))),Metadata!#REF!&gt;=-180,Metadata!#REF!&lt;=180))</f>
        <v>#REF!</v>
      </c>
      <c r="BJ2" t="e">
        <f>AND(IF(Metadata!#REF!="",FALSE,TRUE),EXACT(Metadata!#REF!,"Decimal degrees"))</f>
        <v>#REF!</v>
      </c>
      <c r="BK2" t="e">
        <f>IF(Metadata!#REF!="",FALSE,TRUE)</f>
        <v>#REF!</v>
      </c>
      <c r="BL2" t="e">
        <f>OR(AND(IF(Metadata!#REF!="",FALSE,TRUE),OR(EXACT(Metadata!#REF!,"not collected"),EXACT(Metadata!#REF!,"not provided"),EXACT(Metadata!#REF!,"restricted access"))),AND(IF(Metadata!#REF!="",FALSE,TRUE),OR(EXACT(Metadata!#REF!,"TRUE"),EXACT(Metadata!#REF!,"FALSE"))))</f>
        <v>#REF!</v>
      </c>
      <c r="BM2" t="e">
        <f>OR(AND(IF(Metadata!#REF!="",FALSE,TRUE),EXACT(Metadata!#REF!,"not applicable")),AND(IF(Metadata!#REF!="",FALSE,TRUE),OR(EXACT(Metadata!#REF!,"beer"),EXACT(Metadata!#REF!,"cheese"),EXACT(Metadata!#REF!,"fresh water"),EXACT(Metadata!#REF!,"marine sediment"),EXACT(Metadata!#REF!,"sea water"),EXACT(Metadata!#REF!,"sediment"),EXACT(Metadata!#REF!,"soil"),EXACT(Metadata!#REF!,"waste water"))))</f>
        <v>#REF!</v>
      </c>
      <c r="BN2" t="e">
        <f>AND(IF(Metadata!#REF!="",FALSE,TRUE),EXACT(Metadata!#REF!,"metagenome"))</f>
        <v>#REF!</v>
      </c>
      <c r="BO2" t="e">
        <f>AND(IF(Metadata!#REF!="",FALSE,TRUE),EXACT(Metadata!#REF!,"256318"))</f>
        <v>#REF!</v>
      </c>
      <c r="BP2" t="e">
        <f>IF(Metadata!#REF!="",FALSE,TRUE)</f>
        <v>#REF!</v>
      </c>
      <c r="BQ2" t="e">
        <f>IF(Metadata!#REF!="",FALSE,TRUE)</f>
        <v>#REF!</v>
      </c>
    </row>
    <row r="3" spans="1:69" x14ac:dyDescent="0.2">
      <c r="A3" s="4" t="e">
        <f ca="1">IF(B3=" "," ",HYPERLINK(CONCATENATE("#metadata!",ADDRESS(INDEX($AJ$2:$AJ$1001,MATCH(ROWS($AH$2:AH3),$AH$2:$AH$1001,0),0),2)),INDEX($AM$2:$AM$1001,MATCH(ROWS($AH$2:AH3),$AH$2:$AH$1001,0),0)))</f>
        <v>#REF!</v>
      </c>
      <c r="B3" s="5" t="e">
        <f ca="1">IF(OR(INDEX($AI$2:$AI$1001,MATCH(ROWS($AH$2:AH3),$AH$2:$AH$1001,0),1)&gt;=100000,INDEX($AO$1005:$BQ$1005,1,MATCH(COLUMNS($AO$1006:AO1006),$AO$1006:$BQ$1006,0))&gt;=100000), " ",IF(INDEX($AO$2:$BQ$1001,MATCH(ROWS($AH$2:AH3),$AH$2:$AH$1001,0),MATCH(COLUMNS($AO$1006:AO1006),$AO$1006:$BQ$1006,0)), HYPERLINK("#",""), HYPERLINK(CONCATENATE("#Metadata!", ADDRESS(INDEX($AJ$2:$AJ$1001,MATCH(ROWS($AH$2:AH3),$AH$2:$AH$1001,0),0), INDEX($AO$1004:$BQ$1004,1,MATCH(COLUMNS($AO$1006:AO1006),$AO$1006:$BQ$1006,0)))),"Fix")))</f>
        <v>#REF!</v>
      </c>
      <c r="C3" s="5" t="e">
        <f ca="1">IF(OR(INDEX($AI$2:$AI$1001,MATCH(ROWS($AH$2:AH3),$AH$2:$AH$1001,0),1)&gt;=100000,INDEX($AO$1005:$BQ$1005,1,MATCH(COLUMNS($AO$1006:AP1006),$AO$1006:$BQ$1006,0))&gt;=100000), " ",IF(INDEX($AO$2:$BQ$1001,MATCH(ROWS($AH$2:AH3),$AH$2:$AH$1001,0),MATCH(COLUMNS($AO$1006:AP1006),$AO$1006:$BQ$1006,0)), HYPERLINK("#",""), HYPERLINK(CONCATENATE("#Metadata!", ADDRESS(INDEX($AJ$2:$AJ$1001,MATCH(ROWS($AH$2:AH3),$AH$2:$AH$1001,0),0), INDEX($AO$1004:$BQ$1004,1,MATCH(COLUMNS($AO$1006:AP1006),$AO$1006:$BQ$1006,0)))),"Fix")))</f>
        <v>#REF!</v>
      </c>
      <c r="D3" s="5" t="e">
        <f ca="1">IF(OR(INDEX($AI$2:$AI$1001,MATCH(ROWS($AH$2:AH3),$AH$2:$AH$1001,0),1)&gt;=100000,INDEX($AO$1005:$BQ$1005,1,MATCH(COLUMNS($AO$1006:AQ1006),$AO$1006:$BQ$1006,0))&gt;=100000), " ",IF(INDEX($AO$2:$BQ$1001,MATCH(ROWS($AH$2:AH3),$AH$2:$AH$1001,0),MATCH(COLUMNS($AO$1006:AQ1006),$AO$1006:$BQ$1006,0)), HYPERLINK("#",""), HYPERLINK(CONCATENATE("#Metadata!", ADDRESS(INDEX($AJ$2:$AJ$1001,MATCH(ROWS($AH$2:AH3),$AH$2:$AH$1001,0),0), INDEX($AO$1004:$BQ$1004,1,MATCH(COLUMNS($AO$1006:AQ1006),$AO$1006:$BQ$1006,0)))),"Fix")))</f>
        <v>#REF!</v>
      </c>
      <c r="E3" s="5" t="e">
        <f ca="1">IF(OR(INDEX($AI$2:$AI$1001,MATCH(ROWS($AH$2:AH3),$AH$2:$AH$1001,0),1)&gt;=100000,INDEX($AO$1005:$BQ$1005,1,MATCH(COLUMNS($AO$1006:AR1006),$AO$1006:$BQ$1006,0))&gt;=100000), " ",IF(INDEX($AO$2:$BQ$1001,MATCH(ROWS($AH$2:AH3),$AH$2:$AH$1001,0),MATCH(COLUMNS($AO$1006:AR1006),$AO$1006:$BQ$1006,0)), HYPERLINK("#",""), HYPERLINK(CONCATENATE("#Metadata!", ADDRESS(INDEX($AJ$2:$AJ$1001,MATCH(ROWS($AH$2:AH3),$AH$2:$AH$1001,0),0), INDEX($AO$1004:$BQ$1004,1,MATCH(COLUMNS($AO$1006:AR1006),$AO$1006:$BQ$1006,0)))),"Fix")))</f>
        <v>#REF!</v>
      </c>
      <c r="F3" s="5" t="e">
        <f ca="1">IF(OR(INDEX($AI$2:$AI$1001,MATCH(ROWS($AH$2:AH3),$AH$2:$AH$1001,0),1)&gt;=100000,INDEX($AO$1005:$BQ$1005,1,MATCH(COLUMNS($AO$1006:AS1006),$AO$1006:$BQ$1006,0))&gt;=100000), " ",IF(INDEX($AO$2:$BQ$1001,MATCH(ROWS($AH$2:AH3),$AH$2:$AH$1001,0),MATCH(COLUMNS($AO$1006:AS1006),$AO$1006:$BQ$1006,0)), HYPERLINK("#",""), HYPERLINK(CONCATENATE("#Metadata!", ADDRESS(INDEX($AJ$2:$AJ$1001,MATCH(ROWS($AH$2:AH3),$AH$2:$AH$1001,0),0), INDEX($AO$1004:$BQ$1004,1,MATCH(COLUMNS($AO$1006:AS1006),$AO$1006:$BQ$1006,0)))),"Fix")))</f>
        <v>#REF!</v>
      </c>
      <c r="G3" s="5" t="e">
        <f ca="1">IF(OR(INDEX($AI$2:$AI$1001,MATCH(ROWS($AH$2:AH3),$AH$2:$AH$1001,0),1)&gt;=100000,INDEX($AO$1005:$BQ$1005,1,MATCH(COLUMNS($AO$1006:AT1006),$AO$1006:$BQ$1006,0))&gt;=100000), " ",IF(INDEX($AO$2:$BQ$1001,MATCH(ROWS($AH$2:AH3),$AH$2:$AH$1001,0),MATCH(COLUMNS($AO$1006:AT1006),$AO$1006:$BQ$1006,0)), HYPERLINK("#",""), HYPERLINK(CONCATENATE("#Metadata!", ADDRESS(INDEX($AJ$2:$AJ$1001,MATCH(ROWS($AH$2:AH3),$AH$2:$AH$1001,0),0), INDEX($AO$1004:$BQ$1004,1,MATCH(COLUMNS($AO$1006:AT1006),$AO$1006:$BQ$1006,0)))),"Fix")))</f>
        <v>#REF!</v>
      </c>
      <c r="H3" s="5" t="e">
        <f ca="1">IF(OR(INDEX($AI$2:$AI$1001,MATCH(ROWS($AH$2:AH3),$AH$2:$AH$1001,0),1)&gt;=100000,INDEX($AO$1005:$BQ$1005,1,MATCH(COLUMNS($AO$1006:AU1006),$AO$1006:$BQ$1006,0))&gt;=100000), " ",IF(INDEX($AO$2:$BQ$1001,MATCH(ROWS($AH$2:AH3),$AH$2:$AH$1001,0),MATCH(COLUMNS($AO$1006:AU1006),$AO$1006:$BQ$1006,0)), HYPERLINK("#",""), HYPERLINK(CONCATENATE("#Metadata!", ADDRESS(INDEX($AJ$2:$AJ$1001,MATCH(ROWS($AH$2:AH3),$AH$2:$AH$1001,0),0), INDEX($AO$1004:$BQ$1004,1,MATCH(COLUMNS($AO$1006:AU1006),$AO$1006:$BQ$1006,0)))),"Fix")))</f>
        <v>#REF!</v>
      </c>
      <c r="I3" s="5" t="e">
        <f ca="1">IF(OR(INDEX($AI$2:$AI$1001,MATCH(ROWS($AH$2:AH3),$AH$2:$AH$1001,0),1)&gt;=100000,INDEX($AO$1005:$BQ$1005,1,MATCH(COLUMNS($AO$1006:AV1006),$AO$1006:$BQ$1006,0))&gt;=100000), " ",IF(INDEX($AO$2:$BQ$1001,MATCH(ROWS($AH$2:AH3),$AH$2:$AH$1001,0),MATCH(COLUMNS($AO$1006:AV1006),$AO$1006:$BQ$1006,0)), HYPERLINK("#",""), HYPERLINK(CONCATENATE("#Metadata!", ADDRESS(INDEX($AJ$2:$AJ$1001,MATCH(ROWS($AH$2:AH3),$AH$2:$AH$1001,0),0), INDEX($AO$1004:$BQ$1004,1,MATCH(COLUMNS($AO$1006:AV1006),$AO$1006:$BQ$1006,0)))),"Fix")))</f>
        <v>#REF!</v>
      </c>
      <c r="J3" s="5" t="e">
        <f ca="1">IF(OR(INDEX($AI$2:$AI$1001,MATCH(ROWS($AH$2:AH3),$AH$2:$AH$1001,0),1)&gt;=100000,INDEX($AO$1005:$BQ$1005,1,MATCH(COLUMNS($AO$1006:AW1006),$AO$1006:$BQ$1006,0))&gt;=100000), " ",IF(INDEX($AO$2:$BQ$1001,MATCH(ROWS($AH$2:AH3),$AH$2:$AH$1001,0),MATCH(COLUMNS($AO$1006:AW1006),$AO$1006:$BQ$1006,0)), HYPERLINK("#",""), HYPERLINK(CONCATENATE("#Metadata!", ADDRESS(INDEX($AJ$2:$AJ$1001,MATCH(ROWS($AH$2:AH3),$AH$2:$AH$1001,0),0), INDEX($AO$1004:$BQ$1004,1,MATCH(COLUMNS($AO$1006:AW1006),$AO$1006:$BQ$1006,0)))),"Fix")))</f>
        <v>#REF!</v>
      </c>
      <c r="K3" s="5" t="e">
        <f ca="1">IF(OR(INDEX($AI$2:$AI$1001,MATCH(ROWS($AH$2:AH3),$AH$2:$AH$1001,0),1)&gt;=100000,INDEX($AO$1005:$BQ$1005,1,MATCH(COLUMNS($AO$1006:AX1006),$AO$1006:$BQ$1006,0))&gt;=100000), " ",IF(INDEX($AO$2:$BQ$1001,MATCH(ROWS($AH$2:AH3),$AH$2:$AH$1001,0),MATCH(COLUMNS($AO$1006:AX1006),$AO$1006:$BQ$1006,0)), HYPERLINK("#",""), HYPERLINK(CONCATENATE("#Metadata!", ADDRESS(INDEX($AJ$2:$AJ$1001,MATCH(ROWS($AH$2:AH3),$AH$2:$AH$1001,0),0), INDEX($AO$1004:$BQ$1004,1,MATCH(COLUMNS($AO$1006:AX1006),$AO$1006:$BQ$1006,0)))),"Fix")))</f>
        <v>#REF!</v>
      </c>
      <c r="L3" s="5" t="e">
        <f ca="1">IF(OR(INDEX($AI$2:$AI$1001,MATCH(ROWS($AH$2:AH3),$AH$2:$AH$1001,0),1)&gt;=100000,INDEX($AO$1005:$BQ$1005,1,MATCH(COLUMNS($AO$1006:AY1006),$AO$1006:$BQ$1006,0))&gt;=100000), " ",IF(INDEX($AO$2:$BQ$1001,MATCH(ROWS($AH$2:AH3),$AH$2:$AH$1001,0),MATCH(COLUMNS($AO$1006:AY1006),$AO$1006:$BQ$1006,0)), HYPERLINK("#",""), HYPERLINK(CONCATENATE("#Metadata!", ADDRESS(INDEX($AJ$2:$AJ$1001,MATCH(ROWS($AH$2:AH3),$AH$2:$AH$1001,0),0), INDEX($AO$1004:$BQ$1004,1,MATCH(COLUMNS($AO$1006:AY1006),$AO$1006:$BQ$1006,0)))),"Fix")))</f>
        <v>#REF!</v>
      </c>
      <c r="M3" s="5" t="e">
        <f ca="1">IF(OR(INDEX($AI$2:$AI$1001,MATCH(ROWS($AH$2:AH3),$AH$2:$AH$1001,0),1)&gt;=100000,INDEX($AO$1005:$BQ$1005,1,MATCH(COLUMNS($AO$1006:AZ1006),$AO$1006:$BQ$1006,0))&gt;=100000), " ",IF(INDEX($AO$2:$BQ$1001,MATCH(ROWS($AH$2:AH3),$AH$2:$AH$1001,0),MATCH(COLUMNS($AO$1006:AZ1006),$AO$1006:$BQ$1006,0)), HYPERLINK("#",""), HYPERLINK(CONCATENATE("#Metadata!", ADDRESS(INDEX($AJ$2:$AJ$1001,MATCH(ROWS($AH$2:AH3),$AH$2:$AH$1001,0),0), INDEX($AO$1004:$BQ$1004,1,MATCH(COLUMNS($AO$1006:AZ1006),$AO$1006:$BQ$1006,0)))),"Fix")))</f>
        <v>#REF!</v>
      </c>
      <c r="N3" s="5" t="e">
        <f ca="1">IF(OR(INDEX($AI$2:$AI$1001,MATCH(ROWS($AH$2:AH3),$AH$2:$AH$1001,0),1)&gt;=100000,INDEX($AO$1005:$BQ$1005,1,MATCH(COLUMNS($AO$1006:BA1006),$AO$1006:$BQ$1006,0))&gt;=100000), " ",IF(INDEX($AO$2:$BQ$1001,MATCH(ROWS($AH$2:AH3),$AH$2:$AH$1001,0),MATCH(COLUMNS($AO$1006:BA1006),$AO$1006:$BQ$1006,0)), HYPERLINK("#",""), HYPERLINK(CONCATENATE("#Metadata!", ADDRESS(INDEX($AJ$2:$AJ$1001,MATCH(ROWS($AH$2:AH3),$AH$2:$AH$1001,0),0), INDEX($AO$1004:$BQ$1004,1,MATCH(COLUMNS($AO$1006:BA1006),$AO$1006:$BQ$1006,0)))),"Fix")))</f>
        <v>#REF!</v>
      </c>
      <c r="O3" s="5" t="e">
        <f ca="1">IF(OR(INDEX($AI$2:$AI$1001,MATCH(ROWS($AH$2:AH3),$AH$2:$AH$1001,0),1)&gt;=100000,INDEX($AO$1005:$BQ$1005,1,MATCH(COLUMNS($AO$1006:BB1006),$AO$1006:$BQ$1006,0))&gt;=100000), " ",IF(INDEX($AO$2:$BQ$1001,MATCH(ROWS($AH$2:AH3),$AH$2:$AH$1001,0),MATCH(COLUMNS($AO$1006:BB1006),$AO$1006:$BQ$1006,0)), HYPERLINK("#",""), HYPERLINK(CONCATENATE("#Metadata!", ADDRESS(INDEX($AJ$2:$AJ$1001,MATCH(ROWS($AH$2:AH3),$AH$2:$AH$1001,0),0), INDEX($AO$1004:$BQ$1004,1,MATCH(COLUMNS($AO$1006:BB1006),$AO$1006:$BQ$1006,0)))),"Fix")))</f>
        <v>#REF!</v>
      </c>
      <c r="P3" s="5" t="e">
        <f ca="1">IF(OR(INDEX($AI$2:$AI$1001,MATCH(ROWS($AH$2:AH3),$AH$2:$AH$1001,0),1)&gt;=100000,INDEX($AO$1005:$BQ$1005,1,MATCH(COLUMNS($AO$1006:BC1006),$AO$1006:$BQ$1006,0))&gt;=100000), " ",IF(INDEX($AO$2:$BQ$1001,MATCH(ROWS($AH$2:AH3),$AH$2:$AH$1001,0),MATCH(COLUMNS($AO$1006:BC1006),$AO$1006:$BQ$1006,0)), HYPERLINK("#",""), HYPERLINK(CONCATENATE("#Metadata!", ADDRESS(INDEX($AJ$2:$AJ$1001,MATCH(ROWS($AH$2:AH3),$AH$2:$AH$1001,0),0), INDEX($AO$1004:$BQ$1004,1,MATCH(COLUMNS($AO$1006:BC1006),$AO$1006:$BQ$1006,0)))),"Fix")))</f>
        <v>#REF!</v>
      </c>
      <c r="Q3" s="5" t="e">
        <f ca="1">IF(OR(INDEX($AI$2:$AI$1001,MATCH(ROWS($AH$2:AH3),$AH$2:$AH$1001,0),1)&gt;=100000,INDEX($AO$1005:$BQ$1005,1,MATCH(COLUMNS($AO$1006:BD1006),$AO$1006:$BQ$1006,0))&gt;=100000), " ",IF(INDEX($AO$2:$BQ$1001,MATCH(ROWS($AH$2:AH3),$AH$2:$AH$1001,0),MATCH(COLUMNS($AO$1006:BD1006),$AO$1006:$BQ$1006,0)), HYPERLINK("#",""), HYPERLINK(CONCATENATE("#Metadata!", ADDRESS(INDEX($AJ$2:$AJ$1001,MATCH(ROWS($AH$2:AH3),$AH$2:$AH$1001,0),0), INDEX($AO$1004:$BQ$1004,1,MATCH(COLUMNS($AO$1006:BD1006),$AO$1006:$BQ$1006,0)))),"Fix")))</f>
        <v>#REF!</v>
      </c>
      <c r="R3" s="5" t="e">
        <f ca="1">IF(OR(INDEX($AI$2:$AI$1001,MATCH(ROWS($AH$2:AH3),$AH$2:$AH$1001,0),1)&gt;=100000,INDEX($AO$1005:$BQ$1005,1,MATCH(COLUMNS($AO$1006:BE1006),$AO$1006:$BQ$1006,0))&gt;=100000), " ",IF(INDEX($AO$2:$BQ$1001,MATCH(ROWS($AH$2:AH3),$AH$2:$AH$1001,0),MATCH(COLUMNS($AO$1006:BE1006),$AO$1006:$BQ$1006,0)), HYPERLINK("#",""), HYPERLINK(CONCATENATE("#Metadata!", ADDRESS(INDEX($AJ$2:$AJ$1001,MATCH(ROWS($AH$2:AH3),$AH$2:$AH$1001,0),0), INDEX($AO$1004:$BQ$1004,1,MATCH(COLUMNS($AO$1006:BE1006),$AO$1006:$BQ$1006,0)))),"Fix")))</f>
        <v>#REF!</v>
      </c>
      <c r="S3" s="5" t="e">
        <f ca="1">IF(OR(INDEX($AI$2:$AI$1001,MATCH(ROWS($AH$2:AH3),$AH$2:$AH$1001,0),1)&gt;=100000,INDEX($AO$1005:$BQ$1005,1,MATCH(COLUMNS($AO$1006:BF1006),$AO$1006:$BQ$1006,0))&gt;=100000), " ",IF(INDEX($AO$2:$BQ$1001,MATCH(ROWS($AH$2:AH3),$AH$2:$AH$1001,0),MATCH(COLUMNS($AO$1006:BF1006),$AO$1006:$BQ$1006,0)), HYPERLINK("#",""), HYPERLINK(CONCATENATE("#Metadata!", ADDRESS(INDEX($AJ$2:$AJ$1001,MATCH(ROWS($AH$2:AH3),$AH$2:$AH$1001,0),0), INDEX($AO$1004:$BQ$1004,1,MATCH(COLUMNS($AO$1006:BF1006),$AO$1006:$BQ$1006,0)))),"Fix")))</f>
        <v>#REF!</v>
      </c>
      <c r="T3" s="5" t="e">
        <f ca="1">IF(OR(INDEX($AI$2:$AI$1001,MATCH(ROWS($AH$2:AH3),$AH$2:$AH$1001,0),1)&gt;=100000,INDEX($AO$1005:$BQ$1005,1,MATCH(COLUMNS($AO$1006:BG1006),$AO$1006:$BQ$1006,0))&gt;=100000), " ",IF(INDEX($AO$2:$BQ$1001,MATCH(ROWS($AH$2:AH3),$AH$2:$AH$1001,0),MATCH(COLUMNS($AO$1006:BG1006),$AO$1006:$BQ$1006,0)), HYPERLINK("#",""), HYPERLINK(CONCATENATE("#Metadata!", ADDRESS(INDEX($AJ$2:$AJ$1001,MATCH(ROWS($AH$2:AH3),$AH$2:$AH$1001,0),0), INDEX($AO$1004:$BQ$1004,1,MATCH(COLUMNS($AO$1006:BG1006),$AO$1006:$BQ$1006,0)))),"Fix")))</f>
        <v>#REF!</v>
      </c>
      <c r="U3" s="5" t="e">
        <f ca="1">IF(OR(INDEX($AI$2:$AI$1001,MATCH(ROWS($AH$2:AH3),$AH$2:$AH$1001,0),1)&gt;=100000,INDEX($AO$1005:$BQ$1005,1,MATCH(COLUMNS($AO$1006:BH1006),$AO$1006:$BQ$1006,0))&gt;=100000), " ",IF(INDEX($AO$2:$BQ$1001,MATCH(ROWS($AH$2:AH3),$AH$2:$AH$1001,0),MATCH(COLUMNS($AO$1006:BH1006),$AO$1006:$BQ$1006,0)), HYPERLINK("#",""), HYPERLINK(CONCATENATE("#Metadata!", ADDRESS(INDEX($AJ$2:$AJ$1001,MATCH(ROWS($AH$2:AH3),$AH$2:$AH$1001,0),0), INDEX($AO$1004:$BQ$1004,1,MATCH(COLUMNS($AO$1006:BH1006),$AO$1006:$BQ$1006,0)))),"Fix")))</f>
        <v>#REF!</v>
      </c>
      <c r="V3" s="5" t="e">
        <f ca="1">IF(OR(INDEX($AI$2:$AI$1001,MATCH(ROWS($AH$2:AH3),$AH$2:$AH$1001,0),1)&gt;=100000,INDEX($AO$1005:$BQ$1005,1,MATCH(COLUMNS($AO$1006:BI1006),$AO$1006:$BQ$1006,0))&gt;=100000), " ",IF(INDEX($AO$2:$BQ$1001,MATCH(ROWS($AH$2:AH3),$AH$2:$AH$1001,0),MATCH(COLUMNS($AO$1006:BI1006),$AO$1006:$BQ$1006,0)), HYPERLINK("#",""), HYPERLINK(CONCATENATE("#Metadata!", ADDRESS(INDEX($AJ$2:$AJ$1001,MATCH(ROWS($AH$2:AH3),$AH$2:$AH$1001,0),0), INDEX($AO$1004:$BQ$1004,1,MATCH(COLUMNS($AO$1006:BI1006),$AO$1006:$BQ$1006,0)))),"Fix")))</f>
        <v>#REF!</v>
      </c>
      <c r="W3" s="5" t="e">
        <f ca="1">IF(OR(INDEX($AI$2:$AI$1001,MATCH(ROWS($AH$2:AH3),$AH$2:$AH$1001,0),1)&gt;=100000,INDEX($AO$1005:$BQ$1005,1,MATCH(COLUMNS($AO$1006:BJ1006),$AO$1006:$BQ$1006,0))&gt;=100000), " ",IF(INDEX($AO$2:$BQ$1001,MATCH(ROWS($AH$2:AH3),$AH$2:$AH$1001,0),MATCH(COLUMNS($AO$1006:BJ1006),$AO$1006:$BQ$1006,0)), HYPERLINK("#",""), HYPERLINK(CONCATENATE("#Metadata!", ADDRESS(INDEX($AJ$2:$AJ$1001,MATCH(ROWS($AH$2:AH3),$AH$2:$AH$1001,0),0), INDEX($AO$1004:$BQ$1004,1,MATCH(COLUMNS($AO$1006:BJ1006),$AO$1006:$BQ$1006,0)))),"Fix")))</f>
        <v>#REF!</v>
      </c>
      <c r="X3" s="5" t="e">
        <f ca="1">IF(OR(INDEX($AI$2:$AI$1001,MATCH(ROWS($AH$2:AH3),$AH$2:$AH$1001,0),1)&gt;=100000,INDEX($AO$1005:$BQ$1005,1,MATCH(COLUMNS($AO$1006:BK1006),$AO$1006:$BQ$1006,0))&gt;=100000), " ",IF(INDEX($AO$2:$BQ$1001,MATCH(ROWS($AH$2:AH3),$AH$2:$AH$1001,0),MATCH(COLUMNS($AO$1006:BK1006),$AO$1006:$BQ$1006,0)), HYPERLINK("#",""), HYPERLINK(CONCATENATE("#Metadata!", ADDRESS(INDEX($AJ$2:$AJ$1001,MATCH(ROWS($AH$2:AH3),$AH$2:$AH$1001,0),0), INDEX($AO$1004:$BQ$1004,1,MATCH(COLUMNS($AO$1006:BK1006),$AO$1006:$BQ$1006,0)))),"Fix")))</f>
        <v>#REF!</v>
      </c>
      <c r="Y3" s="5" t="e">
        <f ca="1">IF(OR(INDEX($AI$2:$AI$1001,MATCH(ROWS($AH$2:AH3),$AH$2:$AH$1001,0),1)&gt;=100000,INDEX($AO$1005:$BQ$1005,1,MATCH(COLUMNS($AO$1006:BL1006),$AO$1006:$BQ$1006,0))&gt;=100000), " ",IF(INDEX($AO$2:$BQ$1001,MATCH(ROWS($AH$2:AH3),$AH$2:$AH$1001,0),MATCH(COLUMNS($AO$1006:BL1006),$AO$1006:$BQ$1006,0)), HYPERLINK("#",""), HYPERLINK(CONCATENATE("#Metadata!", ADDRESS(INDEX($AJ$2:$AJ$1001,MATCH(ROWS($AH$2:AH3),$AH$2:$AH$1001,0),0), INDEX($AO$1004:$BQ$1004,1,MATCH(COLUMNS($AO$1006:BL1006),$AO$1006:$BQ$1006,0)))),"Fix")))</f>
        <v>#REF!</v>
      </c>
      <c r="Z3" s="5" t="e">
        <f ca="1">IF(OR(INDEX($AI$2:$AI$1001,MATCH(ROWS($AH$2:AH3),$AH$2:$AH$1001,0),1)&gt;=100000,INDEX($AO$1005:$BQ$1005,1,MATCH(COLUMNS($AO$1006:BM1006),$AO$1006:$BQ$1006,0))&gt;=100000), " ",IF(INDEX($AO$2:$BQ$1001,MATCH(ROWS($AH$2:AH3),$AH$2:$AH$1001,0),MATCH(COLUMNS($AO$1006:BM1006),$AO$1006:$BQ$1006,0)), HYPERLINK("#",""), HYPERLINK(CONCATENATE("#Metadata!", ADDRESS(INDEX($AJ$2:$AJ$1001,MATCH(ROWS($AH$2:AH3),$AH$2:$AH$1001,0),0), INDEX($AO$1004:$BQ$1004,1,MATCH(COLUMNS($AO$1006:BM1006),$AO$1006:$BQ$1006,0)))),"Fix")))</f>
        <v>#REF!</v>
      </c>
      <c r="AA3" s="5" t="e">
        <f ca="1">IF(OR(INDEX($AI$2:$AI$1001,MATCH(ROWS($AH$2:AH3),$AH$2:$AH$1001,0),1)&gt;=100000,INDEX($AO$1005:$BQ$1005,1,MATCH(COLUMNS($AO$1006:BN1006),$AO$1006:$BQ$1006,0))&gt;=100000), " ",IF(INDEX($AO$2:$BQ$1001,MATCH(ROWS($AH$2:AH3),$AH$2:$AH$1001,0),MATCH(COLUMNS($AO$1006:BN1006),$AO$1006:$BQ$1006,0)), HYPERLINK("#",""), HYPERLINK(CONCATENATE("#Metadata!", ADDRESS(INDEX($AJ$2:$AJ$1001,MATCH(ROWS($AH$2:AH3),$AH$2:$AH$1001,0),0), INDEX($AO$1004:$BQ$1004,1,MATCH(COLUMNS($AO$1006:BN1006),$AO$1006:$BQ$1006,0)))),"Fix")))</f>
        <v>#REF!</v>
      </c>
      <c r="AB3" s="5" t="e">
        <f ca="1">IF(OR(INDEX($AI$2:$AI$1001,MATCH(ROWS($AH$2:AH3),$AH$2:$AH$1001,0),1)&gt;=100000,INDEX($AO$1005:$BQ$1005,1,MATCH(COLUMNS($AO$1006:BO1006),$AO$1006:$BQ$1006,0))&gt;=100000), " ",IF(INDEX($AO$2:$BQ$1001,MATCH(ROWS($AH$2:AH3),$AH$2:$AH$1001,0),MATCH(COLUMNS($AO$1006:BO1006),$AO$1006:$BQ$1006,0)), HYPERLINK("#",""), HYPERLINK(CONCATENATE("#Metadata!", ADDRESS(INDEX($AJ$2:$AJ$1001,MATCH(ROWS($AH$2:AH3),$AH$2:$AH$1001,0),0), INDEX($AO$1004:$BQ$1004,1,MATCH(COLUMNS($AO$1006:BO1006),$AO$1006:$BQ$1006,0)))),"Fix")))</f>
        <v>#REF!</v>
      </c>
      <c r="AC3" s="5" t="e">
        <f ca="1">IF(OR(INDEX($AI$2:$AI$1001,MATCH(ROWS($AH$2:AH3),$AH$2:$AH$1001,0),1)&gt;=100000,INDEX($AO$1005:$BQ$1005,1,MATCH(COLUMNS($AO$1006:BP1006),$AO$1006:$BQ$1006,0))&gt;=100000), " ",IF(INDEX($AO$2:$BQ$1001,MATCH(ROWS($AH$2:AH3),$AH$2:$AH$1001,0),MATCH(COLUMNS($AO$1006:BP1006),$AO$1006:$BQ$1006,0)), HYPERLINK("#",""), HYPERLINK(CONCATENATE("#Metadata!", ADDRESS(INDEX($AJ$2:$AJ$1001,MATCH(ROWS($AH$2:AH3),$AH$2:$AH$1001,0),0), INDEX($AO$1004:$BQ$1004,1,MATCH(COLUMNS($AO$1006:BP1006),$AO$1006:$BQ$1006,0)))),"Fix")))</f>
        <v>#REF!</v>
      </c>
      <c r="AD3" s="5" t="e">
        <f ca="1">IF(OR(INDEX($AI$2:$AI$1001,MATCH(ROWS($AH$2:AH3),$AH$2:$AH$1001,0),1)&gt;=100000,INDEX($AO$1005:$BQ$1005,1,MATCH(COLUMNS($AO$1006:BQ1006),$AO$1006:$BQ$1006,0))&gt;=100000), " ",IF(INDEX($AO$2:$BQ$1001,MATCH(ROWS($AH$2:AH3),$AH$2:$AH$1001,0),MATCH(COLUMNS($AO$1006:BQ1006),$AO$1006:$BQ$1006,0)), HYPERLINK("#",""), HYPERLINK(CONCATENATE("#Metadata!", ADDRESS(INDEX($AJ$2:$AJ$1001,MATCH(ROWS($AH$2:AH3),$AH$2:$AH$1001,0),0), INDEX($AO$1004:$BQ$1004,1,MATCH(COLUMNS($AO$1006:BQ1006),$AO$1006:$BQ$1006,0)))),"Fix")))</f>
        <v>#REF!</v>
      </c>
      <c r="AH3">
        <f ca="1"/>
        <v>1</v>
      </c>
      <c r="AI3">
        <f ca="1"/>
        <v>3</v>
      </c>
      <c r="AJ3">
        <v>3</v>
      </c>
      <c r="AK3" t="b">
        <f t="shared" ca="1" si="0"/>
        <v>0</v>
      </c>
      <c r="AL3" t="b">
        <f>COUNTBLANK(Metadata!B3:AD3)=COLUMNS(Metadata!B3:AD3)</f>
        <v>0</v>
      </c>
      <c r="AM3" t="str">
        <v>Anaxyrus.boreas.Sediment.BTP.10.4Skin</v>
      </c>
      <c r="AO3" t="b">
        <f ca="1">AND(IF(Metadata!B2="",FALSE,TRUE),COUNTIF(Metadata!B:B, Metadata!B2) = 1,NOT(ISERROR(SUMPRODUCT(SEARCH(MID(Metadata!B2,ROW(INDIRECT("1:"&amp;LEN(Metadata!B2))), 1),"0123456789abcdefghijklmnopqrstuvwxyzABCDEFGHIJKLMNOPQRSTUVWXYZ.")))))</f>
        <v>1</v>
      </c>
      <c r="AP3" t="b">
        <f>IF(Metadata!C2="",FALSE,TRUE)</f>
        <v>1</v>
      </c>
      <c r="AQ3" t="b">
        <f>IF(Metadata!D2="",FALSE,TRUE)</f>
        <v>1</v>
      </c>
      <c r="AR3" t="b">
        <f ca="1">OR(AND(IF(Metadata!E2="",FALSE,TRUE),OR(EXACT(Metadata!E2,"not collected"),EXACT(Metadata!E2,"not provided"),EXACT(Metadata!E2,"restricted access"))),AND(IF(Metadata!E2="",FALSE,TRUE),AND(AND(IFERROR(INT(LEFT(Metadata!E2,4))&gt;1900,FALSE),IFERROR(INT(LEFT(Metadata!E2,4))&lt;=YEAR(NOW()),FALSE)), OR(MID(Metadata!E2,5,1)="", AND(AND(MID(Metadata!E2,5,1)="-",IFERROR(INT(MID(Metadata!E2,6,1))&gt;=0,FALSE),IFERROR(INT(MID(Metadata!E2,6,1))&lt;=1,FALSE),NOT(MID(Metadata!E2,7,1)=""),IFERROR(INT(MID(Metadata!E2,6,2))&gt;=1,FALSE),IFERROR(INT(MID(Metadata!E2,6,2))&lt;=12,FALSE)), OR(MID(Metadata!E2,8,1)="", AND(AND(MID(Metadata!E2,8,1)="-",IFERROR(INT(MID(Metadata!E2,9,1))&gt;=0,FALSE),IFERROR(INT(MID(Metadata!E2,9,1))&lt;=3,FALSE),NOT(MID(Metadata!E2,10,1)=""),IFERROR(INT(MID(Metadata!E2,9,2))&gt;=1,FALSE),IFERROR(INT(MID(Metadata!E2,9,2))&lt;=31,FALSE)), OR(MID(Metadata!E2,11,1)="", AND(AND(MID(Metadata!E2,11,1)=" ",IFERROR(INT(MID(Metadata!E2,12,1))&gt;=0,FALSE),IFERROR(INT(MID(Metadata!E2,12,1))&lt;=2,FALSE),NOT(MID(Metadata!E2,13,1)=""),IFERROR(INT(MID(Metadata!E2,12,2))&gt;=0,FALSE),IFERROR(INT(MID(Metadata!E2,12,2))&lt;=23,FALSE)), OR(MID(Metadata!E2,14,1)="", AND(AND(MID(Metadata!E2,14,1)=":",IFERROR(INT(MID(Metadata!E2,15,1))&gt;=0,FALSE),IFERROR(INT(MID(Metadata!E2,15,1))&lt;=5,FALSE),NOT(MID(Metadata!E2,16,1)=""),IFERROR(INT(MID(Metadata!E2,15,2))&gt;=0,FALSE),IFERROR(INT(MID(Metadata!E2,15,2))&lt;=59,FALSE)), OR(MID(Metadata!E2,17,1)="", AND(AND(MID(Metadata!E2,17,1)=":",IFERROR(INT(MID(Metadata!E2,18,1))&gt;=0,FALSE),IFERROR(INT(MID(Metadata!E2,18,1))&lt;=5,FALSE),NOT(MID(Metadata!E2,19,1)=""),IFERROR(INT(MID(Metadata!E2,18,2))&gt;=0,FALSE),IFERROR(INT(MID(Metadata!E2,18,2))&lt;=59,FALSE)), LEN(Metadata!E2)&lt;=19)))))))))))))</f>
        <v>0</v>
      </c>
      <c r="AS3" t="b">
        <f>IF(Metadata!F2="",FALSE,TRUE)</f>
        <v>1</v>
      </c>
      <c r="AT3" t="b">
        <f>OR(AND(IF(Metadata!G2="",FALSE,TRUE),OR(EXACT(Metadata!G2,"not collected"),EXACT(Metadata!G2,"not provided"))),AND(IF(Metadata!G2="",FALSE,TRUE),OR(EXACT(Metadata!G2,"TRUE"),EXACT(Metadata!G2,"FALSE"))))</f>
        <v>1</v>
      </c>
      <c r="AU3" t="b">
        <f>OR(AND(IF(Metadata!H2="",FALSE,TRUE),OR(EXACT(Metadata!H2,"not collected"),EXACT(Metadata!H2,"not provided"),EXACT(Metadata!H2,"restricted access"))),AND(IF(Metadata!H2="",FALSE,ISNUMBER(VALUE(Metadata!H2))),Metadata!H2&gt;=-413))</f>
        <v>0</v>
      </c>
      <c r="AV3" t="b">
        <f>AND(IF(Metadata!I2="",FALSE,TRUE),EXACT(Metadata!I2,"meters"))</f>
        <v>1</v>
      </c>
      <c r="AW3" t="b">
        <f>AND(IF(Metadata!J2="",FALSE,TRUE),EXACT(Metadata!J2,"free-living"))</f>
        <v>1</v>
      </c>
      <c r="AX3" t="b">
        <f>AND(IF(Metadata!K2="",FALSE,TRUE),OR(EXACT(Metadata!K2,"saline"),EXACT(Metadata!K2,"non-saline")))</f>
        <v>1</v>
      </c>
      <c r="AY3" t="b">
        <f>AND(IF(Metadata!L2="",FALSE,TRUE),OR(EXACT(Metadata!L2,"sub-surface (non-saline)"),EXACT(Metadata!L2,"surface (non-saline)"),EXACT(Metadata!L2,"water (non-saline)"),EXACT(Metadata!L2,"soil (non-saline)"),EXACT(Metadata!L2,"aerosol (non-saline)"),EXACT(Metadata!L2,"sediment (non-saline)"),EXACT(Metadata!L2,"surface (saline)"),EXACT(Metadata!L2,"water (saline)"),EXACT(Metadata!L2,"hypersaline (saline)"),EXACT(Metadata!L2,"aerosol (saline)"),EXACT(Metadata!L2,"sediment (saline)")))</f>
        <v>1</v>
      </c>
      <c r="AZ3" t="b">
        <f>IF(Metadata!M2="",FALSE,TRUE)</f>
        <v>1</v>
      </c>
      <c r="BA3" t="b">
        <f>IF(Metadata!N2="",FALSE,TRUE)</f>
        <v>1</v>
      </c>
      <c r="BB3" t="b">
        <f>IF(Metadata!O2="",FALSE,TRUE)</f>
        <v>1</v>
      </c>
      <c r="BC3" t="b">
        <f>AND(IF(Metadata!P2="",FALSE,TRUE),OR(EXACT(Metadata!P2,"air"),EXACT(Metadata!P2,"microbial mat/biofilm"),EXACT(Metadata!P2,"misc environment"),EXACT(Metadata!P2,"sediment"),EXACT(Metadata!P2,"soil"),EXACT(Metadata!P2,"wastewater/sludge"),EXACT(Metadata!P2,"water")))</f>
        <v>1</v>
      </c>
      <c r="BD3" t="b">
        <f>IF(Metadata!Q2="",FALSE,TRUE)</f>
        <v>1</v>
      </c>
      <c r="BE3" t="b">
        <f>IF(Metadata!R2="",FALSE,TRUE)</f>
        <v>1</v>
      </c>
      <c r="BF3" t="b">
        <f>OR(AND(IF(Metadata!S2="",FALSE,TRUE),OR(EXACT(Metadata!S2,"not collected"),EXACT(Metadata!S2,"not provided"),EXACT(Metadata!S2,"restricted access"))),AND(IF(Metadata!S2="",FALSE,ISNUMBER(VALUE(Metadata!S2))),Metadata!S2&gt;=-90,Metadata!S2&lt;=90))</f>
        <v>0</v>
      </c>
      <c r="BG3" t="b">
        <f>AND(IF(Metadata!T2="",FALSE,TRUE),EXACT(Metadata!T2,"Decimal degrees"))</f>
        <v>1</v>
      </c>
      <c r="BH3" t="b">
        <f>OR(AND(IF(Metadata!U3="",FALSE,TRUE),OR(EXACT(Metadata!U3,"not applicable"),EXACT(Metadata!U3,"not collected"))),IF(Metadata!U3="",FALSE,TRUE))</f>
        <v>1</v>
      </c>
      <c r="BI3" t="b">
        <f>OR(AND(IF(Metadata!V2="",FALSE,TRUE),OR(EXACT(Metadata!V2,"not collected"),EXACT(Metadata!V2,"not provided"),EXACT(Metadata!V2,"restricted access"))),AND(IF(Metadata!V2="",FALSE,ISNUMBER(VALUE(Metadata!V2))),Metadata!V2&gt;=-180,Metadata!V2&lt;=180))</f>
        <v>0</v>
      </c>
      <c r="BJ3" t="b">
        <f>AND(IF(Metadata!W2="",FALSE,TRUE),EXACT(Metadata!W2,"Decimal degrees"))</f>
        <v>1</v>
      </c>
      <c r="BK3" t="b">
        <f>IF(Metadata!X2="",FALSE,TRUE)</f>
        <v>1</v>
      </c>
      <c r="BL3" t="b">
        <f>OR(AND(IF(Metadata!Y2="",FALSE,TRUE),OR(EXACT(Metadata!Y2,"not collected"),EXACT(Metadata!Y2,"not provided"),EXACT(Metadata!Y2,"restricted access"))),AND(IF(Metadata!Y2="",FALSE,TRUE),OR(EXACT(Metadata!Y2,"TRUE"),EXACT(Metadata!Y2,"FALSE"))))</f>
        <v>1</v>
      </c>
      <c r="BM3" t="b">
        <f>OR(AND(IF(Metadata!Z2="",FALSE,TRUE),EXACT(Metadata!Z2,"not applicable")),AND(IF(Metadata!Z2="",FALSE,TRUE),OR(EXACT(Metadata!Z2,"beer"),EXACT(Metadata!Z2,"cheese"),EXACT(Metadata!Z2,"fresh water"),EXACT(Metadata!Z2,"marine sediment"),EXACT(Metadata!Z2,"sea water"),EXACT(Metadata!Z2,"sediment"),EXACT(Metadata!Z2,"soil"),EXACT(Metadata!Z2,"waste water"))))</f>
        <v>1</v>
      </c>
      <c r="BN3" t="b">
        <f>AND(IF(Metadata!AA2="",FALSE,TRUE),EXACT(Metadata!AA2,"metagenome"))</f>
        <v>1</v>
      </c>
      <c r="BO3" t="b">
        <f>AND(IF(Metadata!AB2="",FALSE,TRUE),EXACT(Metadata!AB2,"256318"))</f>
        <v>1</v>
      </c>
      <c r="BP3" t="b">
        <f>IF(Metadata!AC2="",FALSE,TRUE)</f>
        <v>1</v>
      </c>
      <c r="BQ3" t="b">
        <f>IF(Metadata!AD2="",FALSE,TRUE)</f>
        <v>1</v>
      </c>
    </row>
    <row r="4" spans="1:69" x14ac:dyDescent="0.2">
      <c r="A4" s="4" t="e">
        <f ca="1">IF(B4=" "," ",HYPERLINK(CONCATENATE("#metadata!",ADDRESS(INDEX($AJ$2:$AJ$1001,MATCH(ROWS($AH$2:AH4),$AH$2:$AH$1001,0),0),2)),INDEX($AM$2:$AM$1001,MATCH(ROWS($AH$2:AH4),$AH$2:$AH$1001,0),0)))</f>
        <v>#N/A</v>
      </c>
      <c r="B4" s="5" t="e">
        <f ca="1">IF(OR(INDEX($AI$2:$AI$1001,MATCH(ROWS($AH$2:AH4),$AH$2:$AH$1001,0),1)&gt;=100000,INDEX($AO$1005:$BQ$1005,1,MATCH(COLUMNS($AO$1006:AO1006),$AO$1006:$BQ$1006,0))&gt;=100000), " ",IF(INDEX($AO$2:$BQ$1001,MATCH(ROWS($AH$2:AH4),$AH$2:$AH$1001,0),MATCH(COLUMNS($AO$1006:AO1006),$AO$1006:$BQ$1006,0)), HYPERLINK("#",""), HYPERLINK(CONCATENATE("#Metadata!", ADDRESS(INDEX($AJ$2:$AJ$1001,MATCH(ROWS($AH$2:AH4),$AH$2:$AH$1001,0),0), INDEX($AO$1004:$BQ$1004,1,MATCH(COLUMNS($AO$1006:AO1006),$AO$1006:$BQ$1006,0)))),"Fix")))</f>
        <v>#N/A</v>
      </c>
      <c r="C4" s="5" t="e">
        <f ca="1">IF(OR(INDEX($AI$2:$AI$1001,MATCH(ROWS($AH$2:AH4),$AH$2:$AH$1001,0),1)&gt;=100000,INDEX($AO$1005:$BQ$1005,1,MATCH(COLUMNS($AO$1006:AP1006),$AO$1006:$BQ$1006,0))&gt;=100000), " ",IF(INDEX($AO$2:$BQ$1001,MATCH(ROWS($AH$2:AH4),$AH$2:$AH$1001,0),MATCH(COLUMNS($AO$1006:AP1006),$AO$1006:$BQ$1006,0)), HYPERLINK("#",""), HYPERLINK(CONCATENATE("#Metadata!", ADDRESS(INDEX($AJ$2:$AJ$1001,MATCH(ROWS($AH$2:AH4),$AH$2:$AH$1001,0),0), INDEX($AO$1004:$BQ$1004,1,MATCH(COLUMNS($AO$1006:AP1006),$AO$1006:$BQ$1006,0)))),"Fix")))</f>
        <v>#N/A</v>
      </c>
      <c r="D4" s="5" t="e">
        <f ca="1">IF(OR(INDEX($AI$2:$AI$1001,MATCH(ROWS($AH$2:AH4),$AH$2:$AH$1001,0),1)&gt;=100000,INDEX($AO$1005:$BQ$1005,1,MATCH(COLUMNS($AO$1006:AQ1006),$AO$1006:$BQ$1006,0))&gt;=100000), " ",IF(INDEX($AO$2:$BQ$1001,MATCH(ROWS($AH$2:AH4),$AH$2:$AH$1001,0),MATCH(COLUMNS($AO$1006:AQ1006),$AO$1006:$BQ$1006,0)), HYPERLINK("#",""), HYPERLINK(CONCATENATE("#Metadata!", ADDRESS(INDEX($AJ$2:$AJ$1001,MATCH(ROWS($AH$2:AH4),$AH$2:$AH$1001,0),0), INDEX($AO$1004:$BQ$1004,1,MATCH(COLUMNS($AO$1006:AQ1006),$AO$1006:$BQ$1006,0)))),"Fix")))</f>
        <v>#N/A</v>
      </c>
      <c r="E4" s="5" t="e">
        <f ca="1">IF(OR(INDEX($AI$2:$AI$1001,MATCH(ROWS($AH$2:AH4),$AH$2:$AH$1001,0),1)&gt;=100000,INDEX($AO$1005:$BQ$1005,1,MATCH(COLUMNS($AO$1006:AR1006),$AO$1006:$BQ$1006,0))&gt;=100000), " ",IF(INDEX($AO$2:$BQ$1001,MATCH(ROWS($AH$2:AH4),$AH$2:$AH$1001,0),MATCH(COLUMNS($AO$1006:AR1006),$AO$1006:$BQ$1006,0)), HYPERLINK("#",""), HYPERLINK(CONCATENATE("#Metadata!", ADDRESS(INDEX($AJ$2:$AJ$1001,MATCH(ROWS($AH$2:AH4),$AH$2:$AH$1001,0),0), INDEX($AO$1004:$BQ$1004,1,MATCH(COLUMNS($AO$1006:AR1006),$AO$1006:$BQ$1006,0)))),"Fix")))</f>
        <v>#N/A</v>
      </c>
      <c r="F4" s="5" t="e">
        <f ca="1">IF(OR(INDEX($AI$2:$AI$1001,MATCH(ROWS($AH$2:AH4),$AH$2:$AH$1001,0),1)&gt;=100000,INDEX($AO$1005:$BQ$1005,1,MATCH(COLUMNS($AO$1006:AS1006),$AO$1006:$BQ$1006,0))&gt;=100000), " ",IF(INDEX($AO$2:$BQ$1001,MATCH(ROWS($AH$2:AH4),$AH$2:$AH$1001,0),MATCH(COLUMNS($AO$1006:AS1006),$AO$1006:$BQ$1006,0)), HYPERLINK("#",""), HYPERLINK(CONCATENATE("#Metadata!", ADDRESS(INDEX($AJ$2:$AJ$1001,MATCH(ROWS($AH$2:AH4),$AH$2:$AH$1001,0),0), INDEX($AO$1004:$BQ$1004,1,MATCH(COLUMNS($AO$1006:AS1006),$AO$1006:$BQ$1006,0)))),"Fix")))</f>
        <v>#N/A</v>
      </c>
      <c r="G4" s="5" t="e">
        <f ca="1">IF(OR(INDEX($AI$2:$AI$1001,MATCH(ROWS($AH$2:AH4),$AH$2:$AH$1001,0),1)&gt;=100000,INDEX($AO$1005:$BQ$1005,1,MATCH(COLUMNS($AO$1006:AT1006),$AO$1006:$BQ$1006,0))&gt;=100000), " ",IF(INDEX($AO$2:$BQ$1001,MATCH(ROWS($AH$2:AH4),$AH$2:$AH$1001,0),MATCH(COLUMNS($AO$1006:AT1006),$AO$1006:$BQ$1006,0)), HYPERLINK("#",""), HYPERLINK(CONCATENATE("#Metadata!", ADDRESS(INDEX($AJ$2:$AJ$1001,MATCH(ROWS($AH$2:AH4),$AH$2:$AH$1001,0),0), INDEX($AO$1004:$BQ$1004,1,MATCH(COLUMNS($AO$1006:AT1006),$AO$1006:$BQ$1006,0)))),"Fix")))</f>
        <v>#N/A</v>
      </c>
      <c r="H4" s="5" t="e">
        <f ca="1">IF(OR(INDEX($AI$2:$AI$1001,MATCH(ROWS($AH$2:AH4),$AH$2:$AH$1001,0),1)&gt;=100000,INDEX($AO$1005:$BQ$1005,1,MATCH(COLUMNS($AO$1006:AU1006),$AO$1006:$BQ$1006,0))&gt;=100000), " ",IF(INDEX($AO$2:$BQ$1001,MATCH(ROWS($AH$2:AH4),$AH$2:$AH$1001,0),MATCH(COLUMNS($AO$1006:AU1006),$AO$1006:$BQ$1006,0)), HYPERLINK("#",""), HYPERLINK(CONCATENATE("#Metadata!", ADDRESS(INDEX($AJ$2:$AJ$1001,MATCH(ROWS($AH$2:AH4),$AH$2:$AH$1001,0),0), INDEX($AO$1004:$BQ$1004,1,MATCH(COLUMNS($AO$1006:AU1006),$AO$1006:$BQ$1006,0)))),"Fix")))</f>
        <v>#N/A</v>
      </c>
      <c r="I4" s="5" t="e">
        <f ca="1">IF(OR(INDEX($AI$2:$AI$1001,MATCH(ROWS($AH$2:AH4),$AH$2:$AH$1001,0),1)&gt;=100000,INDEX($AO$1005:$BQ$1005,1,MATCH(COLUMNS($AO$1006:AV1006),$AO$1006:$BQ$1006,0))&gt;=100000), " ",IF(INDEX($AO$2:$BQ$1001,MATCH(ROWS($AH$2:AH4),$AH$2:$AH$1001,0),MATCH(COLUMNS($AO$1006:AV1006),$AO$1006:$BQ$1006,0)), HYPERLINK("#",""), HYPERLINK(CONCATENATE("#Metadata!", ADDRESS(INDEX($AJ$2:$AJ$1001,MATCH(ROWS($AH$2:AH4),$AH$2:$AH$1001,0),0), INDEX($AO$1004:$BQ$1004,1,MATCH(COLUMNS($AO$1006:AV1006),$AO$1006:$BQ$1006,0)))),"Fix")))</f>
        <v>#N/A</v>
      </c>
      <c r="J4" s="5" t="e">
        <f ca="1">IF(OR(INDEX($AI$2:$AI$1001,MATCH(ROWS($AH$2:AH4),$AH$2:$AH$1001,0),1)&gt;=100000,INDEX($AO$1005:$BQ$1005,1,MATCH(COLUMNS($AO$1006:AW1006),$AO$1006:$BQ$1006,0))&gt;=100000), " ",IF(INDEX($AO$2:$BQ$1001,MATCH(ROWS($AH$2:AH4),$AH$2:$AH$1001,0),MATCH(COLUMNS($AO$1006:AW1006),$AO$1006:$BQ$1006,0)), HYPERLINK("#",""), HYPERLINK(CONCATENATE("#Metadata!", ADDRESS(INDEX($AJ$2:$AJ$1001,MATCH(ROWS($AH$2:AH4),$AH$2:$AH$1001,0),0), INDEX($AO$1004:$BQ$1004,1,MATCH(COLUMNS($AO$1006:AW1006),$AO$1006:$BQ$1006,0)))),"Fix")))</f>
        <v>#N/A</v>
      </c>
      <c r="K4" s="5" t="e">
        <f ca="1">IF(OR(INDEX($AI$2:$AI$1001,MATCH(ROWS($AH$2:AH4),$AH$2:$AH$1001,0),1)&gt;=100000,INDEX($AO$1005:$BQ$1005,1,MATCH(COLUMNS($AO$1006:AX1006),$AO$1006:$BQ$1006,0))&gt;=100000), " ",IF(INDEX($AO$2:$BQ$1001,MATCH(ROWS($AH$2:AH4),$AH$2:$AH$1001,0),MATCH(COLUMNS($AO$1006:AX1006),$AO$1006:$BQ$1006,0)), HYPERLINK("#",""), HYPERLINK(CONCATENATE("#Metadata!", ADDRESS(INDEX($AJ$2:$AJ$1001,MATCH(ROWS($AH$2:AH4),$AH$2:$AH$1001,0),0), INDEX($AO$1004:$BQ$1004,1,MATCH(COLUMNS($AO$1006:AX1006),$AO$1006:$BQ$1006,0)))),"Fix")))</f>
        <v>#N/A</v>
      </c>
      <c r="L4" s="5" t="e">
        <f ca="1">IF(OR(INDEX($AI$2:$AI$1001,MATCH(ROWS($AH$2:AH4),$AH$2:$AH$1001,0),1)&gt;=100000,INDEX($AO$1005:$BQ$1005,1,MATCH(COLUMNS($AO$1006:AY1006),$AO$1006:$BQ$1006,0))&gt;=100000), " ",IF(INDEX($AO$2:$BQ$1001,MATCH(ROWS($AH$2:AH4),$AH$2:$AH$1001,0),MATCH(COLUMNS($AO$1006:AY1006),$AO$1006:$BQ$1006,0)), HYPERLINK("#",""), HYPERLINK(CONCATENATE("#Metadata!", ADDRESS(INDEX($AJ$2:$AJ$1001,MATCH(ROWS($AH$2:AH4),$AH$2:$AH$1001,0),0), INDEX($AO$1004:$BQ$1004,1,MATCH(COLUMNS($AO$1006:AY1006),$AO$1006:$BQ$1006,0)))),"Fix")))</f>
        <v>#N/A</v>
      </c>
      <c r="M4" s="5" t="e">
        <f ca="1">IF(OR(INDEX($AI$2:$AI$1001,MATCH(ROWS($AH$2:AH4),$AH$2:$AH$1001,0),1)&gt;=100000,INDEX($AO$1005:$BQ$1005,1,MATCH(COLUMNS($AO$1006:AZ1006),$AO$1006:$BQ$1006,0))&gt;=100000), " ",IF(INDEX($AO$2:$BQ$1001,MATCH(ROWS($AH$2:AH4),$AH$2:$AH$1001,0),MATCH(COLUMNS($AO$1006:AZ1006),$AO$1006:$BQ$1006,0)), HYPERLINK("#",""), HYPERLINK(CONCATENATE("#Metadata!", ADDRESS(INDEX($AJ$2:$AJ$1001,MATCH(ROWS($AH$2:AH4),$AH$2:$AH$1001,0),0), INDEX($AO$1004:$BQ$1004,1,MATCH(COLUMNS($AO$1006:AZ1006),$AO$1006:$BQ$1006,0)))),"Fix")))</f>
        <v>#N/A</v>
      </c>
      <c r="N4" s="5" t="e">
        <f ca="1">IF(OR(INDEX($AI$2:$AI$1001,MATCH(ROWS($AH$2:AH4),$AH$2:$AH$1001,0),1)&gt;=100000,INDEX($AO$1005:$BQ$1005,1,MATCH(COLUMNS($AO$1006:BA1006),$AO$1006:$BQ$1006,0))&gt;=100000), " ",IF(INDEX($AO$2:$BQ$1001,MATCH(ROWS($AH$2:AH4),$AH$2:$AH$1001,0),MATCH(COLUMNS($AO$1006:BA1006),$AO$1006:$BQ$1006,0)), HYPERLINK("#",""), HYPERLINK(CONCATENATE("#Metadata!", ADDRESS(INDEX($AJ$2:$AJ$1001,MATCH(ROWS($AH$2:AH4),$AH$2:$AH$1001,0),0), INDEX($AO$1004:$BQ$1004,1,MATCH(COLUMNS($AO$1006:BA1006),$AO$1006:$BQ$1006,0)))),"Fix")))</f>
        <v>#N/A</v>
      </c>
      <c r="O4" s="5" t="e">
        <f ca="1">IF(OR(INDEX($AI$2:$AI$1001,MATCH(ROWS($AH$2:AH4),$AH$2:$AH$1001,0),1)&gt;=100000,INDEX($AO$1005:$BQ$1005,1,MATCH(COLUMNS($AO$1006:BB1006),$AO$1006:$BQ$1006,0))&gt;=100000), " ",IF(INDEX($AO$2:$BQ$1001,MATCH(ROWS($AH$2:AH4),$AH$2:$AH$1001,0),MATCH(COLUMNS($AO$1006:BB1006),$AO$1006:$BQ$1006,0)), HYPERLINK("#",""), HYPERLINK(CONCATENATE("#Metadata!", ADDRESS(INDEX($AJ$2:$AJ$1001,MATCH(ROWS($AH$2:AH4),$AH$2:$AH$1001,0),0), INDEX($AO$1004:$BQ$1004,1,MATCH(COLUMNS($AO$1006:BB1006),$AO$1006:$BQ$1006,0)))),"Fix")))</f>
        <v>#N/A</v>
      </c>
      <c r="P4" s="5" t="e">
        <f ca="1">IF(OR(INDEX($AI$2:$AI$1001,MATCH(ROWS($AH$2:AH4),$AH$2:$AH$1001,0),1)&gt;=100000,INDEX($AO$1005:$BQ$1005,1,MATCH(COLUMNS($AO$1006:BC1006),$AO$1006:$BQ$1006,0))&gt;=100000), " ",IF(INDEX($AO$2:$BQ$1001,MATCH(ROWS($AH$2:AH4),$AH$2:$AH$1001,0),MATCH(COLUMNS($AO$1006:BC1006),$AO$1006:$BQ$1006,0)), HYPERLINK("#",""), HYPERLINK(CONCATENATE("#Metadata!", ADDRESS(INDEX($AJ$2:$AJ$1001,MATCH(ROWS($AH$2:AH4),$AH$2:$AH$1001,0),0), INDEX($AO$1004:$BQ$1004,1,MATCH(COLUMNS($AO$1006:BC1006),$AO$1006:$BQ$1006,0)))),"Fix")))</f>
        <v>#N/A</v>
      </c>
      <c r="Q4" s="5" t="e">
        <f ca="1">IF(OR(INDEX($AI$2:$AI$1001,MATCH(ROWS($AH$2:AH4),$AH$2:$AH$1001,0),1)&gt;=100000,INDEX($AO$1005:$BQ$1005,1,MATCH(COLUMNS($AO$1006:BD1006),$AO$1006:$BQ$1006,0))&gt;=100000), " ",IF(INDEX($AO$2:$BQ$1001,MATCH(ROWS($AH$2:AH4),$AH$2:$AH$1001,0),MATCH(COLUMNS($AO$1006:BD1006),$AO$1006:$BQ$1006,0)), HYPERLINK("#",""), HYPERLINK(CONCATENATE("#Metadata!", ADDRESS(INDEX($AJ$2:$AJ$1001,MATCH(ROWS($AH$2:AH4),$AH$2:$AH$1001,0),0), INDEX($AO$1004:$BQ$1004,1,MATCH(COLUMNS($AO$1006:BD1006),$AO$1006:$BQ$1006,0)))),"Fix")))</f>
        <v>#N/A</v>
      </c>
      <c r="R4" s="5" t="e">
        <f ca="1">IF(OR(INDEX($AI$2:$AI$1001,MATCH(ROWS($AH$2:AH4),$AH$2:$AH$1001,0),1)&gt;=100000,INDEX($AO$1005:$BQ$1005,1,MATCH(COLUMNS($AO$1006:BE1006),$AO$1006:$BQ$1006,0))&gt;=100000), " ",IF(INDEX($AO$2:$BQ$1001,MATCH(ROWS($AH$2:AH4),$AH$2:$AH$1001,0),MATCH(COLUMNS($AO$1006:BE1006),$AO$1006:$BQ$1006,0)), HYPERLINK("#",""), HYPERLINK(CONCATENATE("#Metadata!", ADDRESS(INDEX($AJ$2:$AJ$1001,MATCH(ROWS($AH$2:AH4),$AH$2:$AH$1001,0),0), INDEX($AO$1004:$BQ$1004,1,MATCH(COLUMNS($AO$1006:BE1006),$AO$1006:$BQ$1006,0)))),"Fix")))</f>
        <v>#N/A</v>
      </c>
      <c r="S4" s="5" t="e">
        <f ca="1">IF(OR(INDEX($AI$2:$AI$1001,MATCH(ROWS($AH$2:AH4),$AH$2:$AH$1001,0),1)&gt;=100000,INDEX($AO$1005:$BQ$1005,1,MATCH(COLUMNS($AO$1006:BF1006),$AO$1006:$BQ$1006,0))&gt;=100000), " ",IF(INDEX($AO$2:$BQ$1001,MATCH(ROWS($AH$2:AH4),$AH$2:$AH$1001,0),MATCH(COLUMNS($AO$1006:BF1006),$AO$1006:$BQ$1006,0)), HYPERLINK("#",""), HYPERLINK(CONCATENATE("#Metadata!", ADDRESS(INDEX($AJ$2:$AJ$1001,MATCH(ROWS($AH$2:AH4),$AH$2:$AH$1001,0),0), INDEX($AO$1004:$BQ$1004,1,MATCH(COLUMNS($AO$1006:BF1006),$AO$1006:$BQ$1006,0)))),"Fix")))</f>
        <v>#N/A</v>
      </c>
      <c r="T4" s="5" t="e">
        <f ca="1">IF(OR(INDEX($AI$2:$AI$1001,MATCH(ROWS($AH$2:AH4),$AH$2:$AH$1001,0),1)&gt;=100000,INDEX($AO$1005:$BQ$1005,1,MATCH(COLUMNS($AO$1006:BG1006),$AO$1006:$BQ$1006,0))&gt;=100000), " ",IF(INDEX($AO$2:$BQ$1001,MATCH(ROWS($AH$2:AH4),$AH$2:$AH$1001,0),MATCH(COLUMNS($AO$1006:BG1006),$AO$1006:$BQ$1006,0)), HYPERLINK("#",""), HYPERLINK(CONCATENATE("#Metadata!", ADDRESS(INDEX($AJ$2:$AJ$1001,MATCH(ROWS($AH$2:AH4),$AH$2:$AH$1001,0),0), INDEX($AO$1004:$BQ$1004,1,MATCH(COLUMNS($AO$1006:BG1006),$AO$1006:$BQ$1006,0)))),"Fix")))</f>
        <v>#N/A</v>
      </c>
      <c r="U4" s="5" t="e">
        <f ca="1">IF(OR(INDEX($AI$2:$AI$1001,MATCH(ROWS($AH$2:AH4),$AH$2:$AH$1001,0),1)&gt;=100000,INDEX($AO$1005:$BQ$1005,1,MATCH(COLUMNS($AO$1006:BH1006),$AO$1006:$BQ$1006,0))&gt;=100000), " ",IF(INDEX($AO$2:$BQ$1001,MATCH(ROWS($AH$2:AH4),$AH$2:$AH$1001,0),MATCH(COLUMNS($AO$1006:BH1006),$AO$1006:$BQ$1006,0)), HYPERLINK("#",""), HYPERLINK(CONCATENATE("#Metadata!", ADDRESS(INDEX($AJ$2:$AJ$1001,MATCH(ROWS($AH$2:AH4),$AH$2:$AH$1001,0),0), INDEX($AO$1004:$BQ$1004,1,MATCH(COLUMNS($AO$1006:BH1006),$AO$1006:$BQ$1006,0)))),"Fix")))</f>
        <v>#N/A</v>
      </c>
      <c r="V4" s="5" t="e">
        <f ca="1">IF(OR(INDEX($AI$2:$AI$1001,MATCH(ROWS($AH$2:AH4),$AH$2:$AH$1001,0),1)&gt;=100000,INDEX($AO$1005:$BQ$1005,1,MATCH(COLUMNS($AO$1006:BI1006),$AO$1006:$BQ$1006,0))&gt;=100000), " ",IF(INDEX($AO$2:$BQ$1001,MATCH(ROWS($AH$2:AH4),$AH$2:$AH$1001,0),MATCH(COLUMNS($AO$1006:BI1006),$AO$1006:$BQ$1006,0)), HYPERLINK("#",""), HYPERLINK(CONCATENATE("#Metadata!", ADDRESS(INDEX($AJ$2:$AJ$1001,MATCH(ROWS($AH$2:AH4),$AH$2:$AH$1001,0),0), INDEX($AO$1004:$BQ$1004,1,MATCH(COLUMNS($AO$1006:BI1006),$AO$1006:$BQ$1006,0)))),"Fix")))</f>
        <v>#N/A</v>
      </c>
      <c r="W4" s="5" t="e">
        <f ca="1">IF(OR(INDEX($AI$2:$AI$1001,MATCH(ROWS($AH$2:AH4),$AH$2:$AH$1001,0),1)&gt;=100000,INDEX($AO$1005:$BQ$1005,1,MATCH(COLUMNS($AO$1006:BJ1006),$AO$1006:$BQ$1006,0))&gt;=100000), " ",IF(INDEX($AO$2:$BQ$1001,MATCH(ROWS($AH$2:AH4),$AH$2:$AH$1001,0),MATCH(COLUMNS($AO$1006:BJ1006),$AO$1006:$BQ$1006,0)), HYPERLINK("#",""), HYPERLINK(CONCATENATE("#Metadata!", ADDRESS(INDEX($AJ$2:$AJ$1001,MATCH(ROWS($AH$2:AH4),$AH$2:$AH$1001,0),0), INDEX($AO$1004:$BQ$1004,1,MATCH(COLUMNS($AO$1006:BJ1006),$AO$1006:$BQ$1006,0)))),"Fix")))</f>
        <v>#N/A</v>
      </c>
      <c r="X4" s="5" t="e">
        <f ca="1">IF(OR(INDEX($AI$2:$AI$1001,MATCH(ROWS($AH$2:AH4),$AH$2:$AH$1001,0),1)&gt;=100000,INDEX($AO$1005:$BQ$1005,1,MATCH(COLUMNS($AO$1006:BK1006),$AO$1006:$BQ$1006,0))&gt;=100000), " ",IF(INDEX($AO$2:$BQ$1001,MATCH(ROWS($AH$2:AH4),$AH$2:$AH$1001,0),MATCH(COLUMNS($AO$1006:BK1006),$AO$1006:$BQ$1006,0)), HYPERLINK("#",""), HYPERLINK(CONCATENATE("#Metadata!", ADDRESS(INDEX($AJ$2:$AJ$1001,MATCH(ROWS($AH$2:AH4),$AH$2:$AH$1001,0),0), INDEX($AO$1004:$BQ$1004,1,MATCH(COLUMNS($AO$1006:BK1006),$AO$1006:$BQ$1006,0)))),"Fix")))</f>
        <v>#N/A</v>
      </c>
      <c r="Y4" s="5" t="e">
        <f ca="1">IF(OR(INDEX($AI$2:$AI$1001,MATCH(ROWS($AH$2:AH4),$AH$2:$AH$1001,0),1)&gt;=100000,INDEX($AO$1005:$BQ$1005,1,MATCH(COLUMNS($AO$1006:BL1006),$AO$1006:$BQ$1006,0))&gt;=100000), " ",IF(INDEX($AO$2:$BQ$1001,MATCH(ROWS($AH$2:AH4),$AH$2:$AH$1001,0),MATCH(COLUMNS($AO$1006:BL1006),$AO$1006:$BQ$1006,0)), HYPERLINK("#",""), HYPERLINK(CONCATENATE("#Metadata!", ADDRESS(INDEX($AJ$2:$AJ$1001,MATCH(ROWS($AH$2:AH4),$AH$2:$AH$1001,0),0), INDEX($AO$1004:$BQ$1004,1,MATCH(COLUMNS($AO$1006:BL1006),$AO$1006:$BQ$1006,0)))),"Fix")))</f>
        <v>#N/A</v>
      </c>
      <c r="Z4" s="5" t="e">
        <f ca="1">IF(OR(INDEX($AI$2:$AI$1001,MATCH(ROWS($AH$2:AH4),$AH$2:$AH$1001,0),1)&gt;=100000,INDEX($AO$1005:$BQ$1005,1,MATCH(COLUMNS($AO$1006:BM1006),$AO$1006:$BQ$1006,0))&gt;=100000), " ",IF(INDEX($AO$2:$BQ$1001,MATCH(ROWS($AH$2:AH4),$AH$2:$AH$1001,0),MATCH(COLUMNS($AO$1006:BM1006),$AO$1006:$BQ$1006,0)), HYPERLINK("#",""), HYPERLINK(CONCATENATE("#Metadata!", ADDRESS(INDEX($AJ$2:$AJ$1001,MATCH(ROWS($AH$2:AH4),$AH$2:$AH$1001,0),0), INDEX($AO$1004:$BQ$1004,1,MATCH(COLUMNS($AO$1006:BM1006),$AO$1006:$BQ$1006,0)))),"Fix")))</f>
        <v>#N/A</v>
      </c>
      <c r="AA4" s="5" t="e">
        <f ca="1">IF(OR(INDEX($AI$2:$AI$1001,MATCH(ROWS($AH$2:AH4),$AH$2:$AH$1001,0),1)&gt;=100000,INDEX($AO$1005:$BQ$1005,1,MATCH(COLUMNS($AO$1006:BN1006),$AO$1006:$BQ$1006,0))&gt;=100000), " ",IF(INDEX($AO$2:$BQ$1001,MATCH(ROWS($AH$2:AH4),$AH$2:$AH$1001,0),MATCH(COLUMNS($AO$1006:BN1006),$AO$1006:$BQ$1006,0)), HYPERLINK("#",""), HYPERLINK(CONCATENATE("#Metadata!", ADDRESS(INDEX($AJ$2:$AJ$1001,MATCH(ROWS($AH$2:AH4),$AH$2:$AH$1001,0),0), INDEX($AO$1004:$BQ$1004,1,MATCH(COLUMNS($AO$1006:BN1006),$AO$1006:$BQ$1006,0)))),"Fix")))</f>
        <v>#N/A</v>
      </c>
      <c r="AB4" s="5" t="e">
        <f ca="1">IF(OR(INDEX($AI$2:$AI$1001,MATCH(ROWS($AH$2:AH4),$AH$2:$AH$1001,0),1)&gt;=100000,INDEX($AO$1005:$BQ$1005,1,MATCH(COLUMNS($AO$1006:BO1006),$AO$1006:$BQ$1006,0))&gt;=100000), " ",IF(INDEX($AO$2:$BQ$1001,MATCH(ROWS($AH$2:AH4),$AH$2:$AH$1001,0),MATCH(COLUMNS($AO$1006:BO1006),$AO$1006:$BQ$1006,0)), HYPERLINK("#",""), HYPERLINK(CONCATENATE("#Metadata!", ADDRESS(INDEX($AJ$2:$AJ$1001,MATCH(ROWS($AH$2:AH4),$AH$2:$AH$1001,0),0), INDEX($AO$1004:$BQ$1004,1,MATCH(COLUMNS($AO$1006:BO1006),$AO$1006:$BQ$1006,0)))),"Fix")))</f>
        <v>#N/A</v>
      </c>
      <c r="AC4" s="5" t="e">
        <f ca="1">IF(OR(INDEX($AI$2:$AI$1001,MATCH(ROWS($AH$2:AH4),$AH$2:$AH$1001,0),1)&gt;=100000,INDEX($AO$1005:$BQ$1005,1,MATCH(COLUMNS($AO$1006:BP1006),$AO$1006:$BQ$1006,0))&gt;=100000), " ",IF(INDEX($AO$2:$BQ$1001,MATCH(ROWS($AH$2:AH4),$AH$2:$AH$1001,0),MATCH(COLUMNS($AO$1006:BP1006),$AO$1006:$BQ$1006,0)), HYPERLINK("#",""), HYPERLINK(CONCATENATE("#Metadata!", ADDRESS(INDEX($AJ$2:$AJ$1001,MATCH(ROWS($AH$2:AH4),$AH$2:$AH$1001,0),0), INDEX($AO$1004:$BQ$1004,1,MATCH(COLUMNS($AO$1006:BP1006),$AO$1006:$BQ$1006,0)))),"Fix")))</f>
        <v>#N/A</v>
      </c>
      <c r="AD4" s="5" t="e">
        <f ca="1">IF(OR(INDEX($AI$2:$AI$1001,MATCH(ROWS($AH$2:AH4),$AH$2:$AH$1001,0),1)&gt;=100000,INDEX($AO$1005:$BQ$1005,1,MATCH(COLUMNS($AO$1006:BQ1006),$AO$1006:$BQ$1006,0))&gt;=100000), " ",IF(INDEX($AO$2:$BQ$1001,MATCH(ROWS($AH$2:AH4),$AH$2:$AH$1001,0),MATCH(COLUMNS($AO$1006:BQ1006),$AO$1006:$BQ$1006,0)), HYPERLINK("#",""), HYPERLINK(CONCATENATE("#Metadata!", ADDRESS(INDEX($AJ$2:$AJ$1001,MATCH(ROWS($AH$2:AH4),$AH$2:$AH$1001,0),0), INDEX($AO$1004:$BQ$1004,1,MATCH(COLUMNS($AO$1006:BQ1006),$AO$1006:$BQ$1006,0)))),"Fix")))</f>
        <v>#REF!</v>
      </c>
      <c r="AH4">
        <f ca="1"/>
        <v>2</v>
      </c>
      <c r="AI4">
        <f ca="1"/>
        <v>4</v>
      </c>
      <c r="AJ4">
        <v>4</v>
      </c>
      <c r="AK4" t="b">
        <f t="shared" ca="1" si="0"/>
        <v>0</v>
      </c>
      <c r="AL4" t="b">
        <f>COUNTBLANK(Metadata!B4:AD4)=COLUMNS(Metadata!B4:AD4)</f>
        <v>0</v>
      </c>
      <c r="AM4" t="str">
        <v>Environment.Egg.Sediment.BTP.30</v>
      </c>
      <c r="AO4" t="b">
        <f ca="1">AND(IF(Metadata!B3="",FALSE,TRUE),COUNTIF(Metadata!B:B, Metadata!B3) = 1,NOT(ISERROR(SUMPRODUCT(SEARCH(MID(Metadata!B3,ROW(INDIRECT("1:"&amp;LEN(Metadata!B3))), 1),"0123456789abcdefghijklmnopqrstuvwxyzABCDEFGHIJKLMNOPQRSTUVWXYZ.")))))</f>
        <v>1</v>
      </c>
      <c r="AP4" t="b">
        <f>IF(Metadata!C3="",FALSE,TRUE)</f>
        <v>1</v>
      </c>
      <c r="AQ4" t="b">
        <f>IF(Metadata!D3="",FALSE,TRUE)</f>
        <v>1</v>
      </c>
      <c r="AR4" t="b">
        <f ca="1">OR(AND(IF(Metadata!E3="",FALSE,TRUE),OR(EXACT(Metadata!E3,"not collected"),EXACT(Metadata!E3,"not provided"),EXACT(Metadata!E3,"restricted access"))),AND(IF(Metadata!E3="",FALSE,TRUE),AND(AND(IFERROR(INT(LEFT(Metadata!E3,4))&gt;1900,FALSE),IFERROR(INT(LEFT(Metadata!E3,4))&lt;=YEAR(NOW()),FALSE)), OR(MID(Metadata!E3,5,1)="", AND(AND(MID(Metadata!E3,5,1)="-",IFERROR(INT(MID(Metadata!E3,6,1))&gt;=0,FALSE),IFERROR(INT(MID(Metadata!E3,6,1))&lt;=1,FALSE),NOT(MID(Metadata!E3,7,1)=""),IFERROR(INT(MID(Metadata!E3,6,2))&gt;=1,FALSE),IFERROR(INT(MID(Metadata!E3,6,2))&lt;=12,FALSE)), OR(MID(Metadata!E3,8,1)="", AND(AND(MID(Metadata!E3,8,1)="-",IFERROR(INT(MID(Metadata!E3,9,1))&gt;=0,FALSE),IFERROR(INT(MID(Metadata!E3,9,1))&lt;=3,FALSE),NOT(MID(Metadata!E3,10,1)=""),IFERROR(INT(MID(Metadata!E3,9,2))&gt;=1,FALSE),IFERROR(INT(MID(Metadata!E3,9,2))&lt;=31,FALSE)), OR(MID(Metadata!E3,11,1)="", AND(AND(MID(Metadata!E3,11,1)=" ",IFERROR(INT(MID(Metadata!E3,12,1))&gt;=0,FALSE),IFERROR(INT(MID(Metadata!E3,12,1))&lt;=2,FALSE),NOT(MID(Metadata!E3,13,1)=""),IFERROR(INT(MID(Metadata!E3,12,2))&gt;=0,FALSE),IFERROR(INT(MID(Metadata!E3,12,2))&lt;=23,FALSE)), OR(MID(Metadata!E3,14,1)="", AND(AND(MID(Metadata!E3,14,1)=":",IFERROR(INT(MID(Metadata!E3,15,1))&gt;=0,FALSE),IFERROR(INT(MID(Metadata!E3,15,1))&lt;=5,FALSE),NOT(MID(Metadata!E3,16,1)=""),IFERROR(INT(MID(Metadata!E3,15,2))&gt;=0,FALSE),IFERROR(INT(MID(Metadata!E3,15,2))&lt;=59,FALSE)), OR(MID(Metadata!E3,17,1)="", AND(AND(MID(Metadata!E3,17,1)=":",IFERROR(INT(MID(Metadata!E3,18,1))&gt;=0,FALSE),IFERROR(INT(MID(Metadata!E3,18,1))&lt;=5,FALSE),NOT(MID(Metadata!E3,19,1)=""),IFERROR(INT(MID(Metadata!E3,18,2))&gt;=0,FALSE),IFERROR(INT(MID(Metadata!E3,18,2))&lt;=59,FALSE)), LEN(Metadata!E3)&lt;=19)))))))))))))</f>
        <v>0</v>
      </c>
      <c r="AS4" t="b">
        <f>IF(Metadata!F3="",FALSE,TRUE)</f>
        <v>1</v>
      </c>
      <c r="AT4" t="b">
        <f>OR(AND(IF(Metadata!G3="",FALSE,TRUE),OR(EXACT(Metadata!G3,"not collected"),EXACT(Metadata!G3,"not provided"))),AND(IF(Metadata!G3="",FALSE,TRUE),OR(EXACT(Metadata!G3,"TRUE"),EXACT(Metadata!G3,"FALSE"))))</f>
        <v>1</v>
      </c>
      <c r="AU4" t="b">
        <f>OR(AND(IF(Metadata!H3="",FALSE,TRUE),OR(EXACT(Metadata!H3,"not collected"),EXACT(Metadata!H3,"not provided"),EXACT(Metadata!H3,"restricted access"))),AND(IF(Metadata!H3="",FALSE,ISNUMBER(VALUE(Metadata!H3))),Metadata!H3&gt;=-413))</f>
        <v>0</v>
      </c>
      <c r="AV4" t="b">
        <f>AND(IF(Metadata!I3="",FALSE,TRUE),EXACT(Metadata!I3,"meters"))</f>
        <v>1</v>
      </c>
      <c r="AW4" t="b">
        <f>AND(IF(Metadata!J3="",FALSE,TRUE),EXACT(Metadata!J3,"free-living"))</f>
        <v>1</v>
      </c>
      <c r="AX4" t="b">
        <f>AND(IF(Metadata!K3="",FALSE,TRUE),OR(EXACT(Metadata!K3,"saline"),EXACT(Metadata!K3,"non-saline")))</f>
        <v>1</v>
      </c>
      <c r="AY4" t="b">
        <f>AND(IF(Metadata!L3="",FALSE,TRUE),OR(EXACT(Metadata!L3,"sub-surface (non-saline)"),EXACT(Metadata!L3,"surface (non-saline)"),EXACT(Metadata!L3,"water (non-saline)"),EXACT(Metadata!L3,"soil (non-saline)"),EXACT(Metadata!L3,"aerosol (non-saline)"),EXACT(Metadata!L3,"sediment (non-saline)"),EXACT(Metadata!L3,"surface (saline)"),EXACT(Metadata!L3,"water (saline)"),EXACT(Metadata!L3,"hypersaline (saline)"),EXACT(Metadata!L3,"aerosol (saline)"),EXACT(Metadata!L3,"sediment (saline)")))</f>
        <v>1</v>
      </c>
      <c r="AZ4" t="b">
        <f>IF(Metadata!M3="",FALSE,TRUE)</f>
        <v>1</v>
      </c>
      <c r="BA4" t="b">
        <f>IF(Metadata!N3="",FALSE,TRUE)</f>
        <v>1</v>
      </c>
      <c r="BB4" t="b">
        <f>IF(Metadata!O3="",FALSE,TRUE)</f>
        <v>1</v>
      </c>
      <c r="BC4" t="b">
        <f>AND(IF(Metadata!P3="",FALSE,TRUE),OR(EXACT(Metadata!P3,"air"),EXACT(Metadata!P3,"microbial mat/biofilm"),EXACT(Metadata!P3,"misc environment"),EXACT(Metadata!P3,"sediment"),EXACT(Metadata!P3,"soil"),EXACT(Metadata!P3,"wastewater/sludge"),EXACT(Metadata!P3,"water")))</f>
        <v>1</v>
      </c>
      <c r="BD4" t="b">
        <f>IF(Metadata!Q3="",FALSE,TRUE)</f>
        <v>1</v>
      </c>
      <c r="BE4" t="b">
        <f>IF(Metadata!R3="",FALSE,TRUE)</f>
        <v>1</v>
      </c>
      <c r="BF4" t="b">
        <f>OR(AND(IF(Metadata!S3="",FALSE,TRUE),OR(EXACT(Metadata!S3,"not collected"),EXACT(Metadata!S3,"not provided"),EXACT(Metadata!S3,"restricted access"))),AND(IF(Metadata!S3="",FALSE,ISNUMBER(VALUE(Metadata!S3))),Metadata!S3&gt;=-90,Metadata!S3&lt;=90))</f>
        <v>0</v>
      </c>
      <c r="BG4" t="b">
        <f>AND(IF(Metadata!T3="",FALSE,TRUE),EXACT(Metadata!T3,"Decimal degrees"))</f>
        <v>1</v>
      </c>
      <c r="BH4" t="b">
        <f>OR(AND(IF(Metadata!U4="",FALSE,TRUE),OR(EXACT(Metadata!U4,"not applicable"),EXACT(Metadata!U4,"not collected"))),IF(Metadata!U4="",FALSE,TRUE))</f>
        <v>1</v>
      </c>
      <c r="BI4" t="b">
        <f>OR(AND(IF(Metadata!V3="",FALSE,TRUE),OR(EXACT(Metadata!V3,"not collected"),EXACT(Metadata!V3,"not provided"),EXACT(Metadata!V3,"restricted access"))),AND(IF(Metadata!V3="",FALSE,ISNUMBER(VALUE(Metadata!V3))),Metadata!V3&gt;=-180,Metadata!V3&lt;=180))</f>
        <v>0</v>
      </c>
      <c r="BJ4" t="b">
        <f>AND(IF(Metadata!W3="",FALSE,TRUE),EXACT(Metadata!W3,"Decimal degrees"))</f>
        <v>1</v>
      </c>
      <c r="BK4" t="b">
        <f>IF(Metadata!X3="",FALSE,TRUE)</f>
        <v>1</v>
      </c>
      <c r="BL4" t="b">
        <f>OR(AND(IF(Metadata!Y3="",FALSE,TRUE),OR(EXACT(Metadata!Y3,"not collected"),EXACT(Metadata!Y3,"not provided"),EXACT(Metadata!Y3,"restricted access"))),AND(IF(Metadata!Y3="",FALSE,TRUE),OR(EXACT(Metadata!Y3,"TRUE"),EXACT(Metadata!Y3,"FALSE"))))</f>
        <v>1</v>
      </c>
      <c r="BM4" t="b">
        <f>OR(AND(IF(Metadata!Z3="",FALSE,TRUE),EXACT(Metadata!Z3,"not applicable")),AND(IF(Metadata!Z3="",FALSE,TRUE),OR(EXACT(Metadata!Z3,"beer"),EXACT(Metadata!Z3,"cheese"),EXACT(Metadata!Z3,"fresh water"),EXACT(Metadata!Z3,"marine sediment"),EXACT(Metadata!Z3,"sea water"),EXACT(Metadata!Z3,"sediment"),EXACT(Metadata!Z3,"soil"),EXACT(Metadata!Z3,"waste water"))))</f>
        <v>1</v>
      </c>
      <c r="BN4" t="b">
        <f>AND(IF(Metadata!AA3="",FALSE,TRUE),EXACT(Metadata!AA3,"metagenome"))</f>
        <v>1</v>
      </c>
      <c r="BO4" t="b">
        <f>AND(IF(Metadata!AB3="",FALSE,TRUE),EXACT(Metadata!AB3,"256318"))</f>
        <v>1</v>
      </c>
      <c r="BP4" t="b">
        <f>IF(Metadata!AC3="",FALSE,TRUE)</f>
        <v>1</v>
      </c>
      <c r="BQ4" t="b">
        <f>IF(Metadata!AD3="",FALSE,TRUE)</f>
        <v>1</v>
      </c>
    </row>
    <row r="5" spans="1:69" x14ac:dyDescent="0.2">
      <c r="A5" s="4" t="e">
        <f ca="1">IF(B5=" "," ",HYPERLINK(CONCATENATE("#metadata!",ADDRESS(INDEX($AJ$2:$AJ$1001,MATCH(ROWS($AH$2:AH5),$AH$2:$AH$1001,0),0),2)),INDEX($AM$2:$AM$1001,MATCH(ROWS($AH$2:AH5),$AH$2:$AH$1001,0),0)))</f>
        <v>#N/A</v>
      </c>
      <c r="B5" s="5" t="e">
        <f ca="1">IF(OR(INDEX($AI$2:$AI$1001,MATCH(ROWS($AH$2:AH5),$AH$2:$AH$1001,0),1)&gt;=100000,INDEX($AO$1005:$BQ$1005,1,MATCH(COLUMNS($AO$1006:AO1006),$AO$1006:$BQ$1006,0))&gt;=100000), " ",IF(INDEX($AO$2:$BQ$1001,MATCH(ROWS($AH$2:AH5),$AH$2:$AH$1001,0),MATCH(COLUMNS($AO$1006:AO1006),$AO$1006:$BQ$1006,0)), HYPERLINK("#",""), HYPERLINK(CONCATENATE("#Metadata!", ADDRESS(INDEX($AJ$2:$AJ$1001,MATCH(ROWS($AH$2:AH5),$AH$2:$AH$1001,0),0), INDEX($AO$1004:$BQ$1004,1,MATCH(COLUMNS($AO$1006:AO1006),$AO$1006:$BQ$1006,0)))),"Fix")))</f>
        <v>#N/A</v>
      </c>
      <c r="C5" s="5" t="e">
        <f ca="1">IF(OR(INDEX($AI$2:$AI$1001,MATCH(ROWS($AH$2:AH5),$AH$2:$AH$1001,0),1)&gt;=100000,INDEX($AO$1005:$BQ$1005,1,MATCH(COLUMNS($AO$1006:AP1006),$AO$1006:$BQ$1006,0))&gt;=100000), " ",IF(INDEX($AO$2:$BQ$1001,MATCH(ROWS($AH$2:AH5),$AH$2:$AH$1001,0),MATCH(COLUMNS($AO$1006:AP1006),$AO$1006:$BQ$1006,0)), HYPERLINK("#",""), HYPERLINK(CONCATENATE("#Metadata!", ADDRESS(INDEX($AJ$2:$AJ$1001,MATCH(ROWS($AH$2:AH5),$AH$2:$AH$1001,0),0), INDEX($AO$1004:$BQ$1004,1,MATCH(COLUMNS($AO$1006:AP1006),$AO$1006:$BQ$1006,0)))),"Fix")))</f>
        <v>#N/A</v>
      </c>
      <c r="D5" s="5" t="e">
        <f ca="1">IF(OR(INDEX($AI$2:$AI$1001,MATCH(ROWS($AH$2:AH5),$AH$2:$AH$1001,0),1)&gt;=100000,INDEX($AO$1005:$BQ$1005,1,MATCH(COLUMNS($AO$1006:AQ1006),$AO$1006:$BQ$1006,0))&gt;=100000), " ",IF(INDEX($AO$2:$BQ$1001,MATCH(ROWS($AH$2:AH5),$AH$2:$AH$1001,0),MATCH(COLUMNS($AO$1006:AQ1006),$AO$1006:$BQ$1006,0)), HYPERLINK("#",""), HYPERLINK(CONCATENATE("#Metadata!", ADDRESS(INDEX($AJ$2:$AJ$1001,MATCH(ROWS($AH$2:AH5),$AH$2:$AH$1001,0),0), INDEX($AO$1004:$BQ$1004,1,MATCH(COLUMNS($AO$1006:AQ1006),$AO$1006:$BQ$1006,0)))),"Fix")))</f>
        <v>#N/A</v>
      </c>
      <c r="E5" s="5" t="e">
        <f ca="1">IF(OR(INDEX($AI$2:$AI$1001,MATCH(ROWS($AH$2:AH5),$AH$2:$AH$1001,0),1)&gt;=100000,INDEX($AO$1005:$BQ$1005,1,MATCH(COLUMNS($AO$1006:AR1006),$AO$1006:$BQ$1006,0))&gt;=100000), " ",IF(INDEX($AO$2:$BQ$1001,MATCH(ROWS($AH$2:AH5),$AH$2:$AH$1001,0),MATCH(COLUMNS($AO$1006:AR1006),$AO$1006:$BQ$1006,0)), HYPERLINK("#",""), HYPERLINK(CONCATENATE("#Metadata!", ADDRESS(INDEX($AJ$2:$AJ$1001,MATCH(ROWS($AH$2:AH5),$AH$2:$AH$1001,0),0), INDEX($AO$1004:$BQ$1004,1,MATCH(COLUMNS($AO$1006:AR1006),$AO$1006:$BQ$1006,0)))),"Fix")))</f>
        <v>#N/A</v>
      </c>
      <c r="F5" s="5" t="e">
        <f ca="1">IF(OR(INDEX($AI$2:$AI$1001,MATCH(ROWS($AH$2:AH5),$AH$2:$AH$1001,0),1)&gt;=100000,INDEX($AO$1005:$BQ$1005,1,MATCH(COLUMNS($AO$1006:AS1006),$AO$1006:$BQ$1006,0))&gt;=100000), " ",IF(INDEX($AO$2:$BQ$1001,MATCH(ROWS($AH$2:AH5),$AH$2:$AH$1001,0),MATCH(COLUMNS($AO$1006:AS1006),$AO$1006:$BQ$1006,0)), HYPERLINK("#",""), HYPERLINK(CONCATENATE("#Metadata!", ADDRESS(INDEX($AJ$2:$AJ$1001,MATCH(ROWS($AH$2:AH5),$AH$2:$AH$1001,0),0), INDEX($AO$1004:$BQ$1004,1,MATCH(COLUMNS($AO$1006:AS1006),$AO$1006:$BQ$1006,0)))),"Fix")))</f>
        <v>#N/A</v>
      </c>
      <c r="G5" s="5" t="e">
        <f ca="1">IF(OR(INDEX($AI$2:$AI$1001,MATCH(ROWS($AH$2:AH5),$AH$2:$AH$1001,0),1)&gt;=100000,INDEX($AO$1005:$BQ$1005,1,MATCH(COLUMNS($AO$1006:AT1006),$AO$1006:$BQ$1006,0))&gt;=100000), " ",IF(INDEX($AO$2:$BQ$1001,MATCH(ROWS($AH$2:AH5),$AH$2:$AH$1001,0),MATCH(COLUMNS($AO$1006:AT1006),$AO$1006:$BQ$1006,0)), HYPERLINK("#",""), HYPERLINK(CONCATENATE("#Metadata!", ADDRESS(INDEX($AJ$2:$AJ$1001,MATCH(ROWS($AH$2:AH5),$AH$2:$AH$1001,0),0), INDEX($AO$1004:$BQ$1004,1,MATCH(COLUMNS($AO$1006:AT1006),$AO$1006:$BQ$1006,0)))),"Fix")))</f>
        <v>#N/A</v>
      </c>
      <c r="H5" s="5" t="e">
        <f ca="1">IF(OR(INDEX($AI$2:$AI$1001,MATCH(ROWS($AH$2:AH5),$AH$2:$AH$1001,0),1)&gt;=100000,INDEX($AO$1005:$BQ$1005,1,MATCH(COLUMNS($AO$1006:AU1006),$AO$1006:$BQ$1006,0))&gt;=100000), " ",IF(INDEX($AO$2:$BQ$1001,MATCH(ROWS($AH$2:AH5),$AH$2:$AH$1001,0),MATCH(COLUMNS($AO$1006:AU1006),$AO$1006:$BQ$1006,0)), HYPERLINK("#",""), HYPERLINK(CONCATENATE("#Metadata!", ADDRESS(INDEX($AJ$2:$AJ$1001,MATCH(ROWS($AH$2:AH5),$AH$2:$AH$1001,0),0), INDEX($AO$1004:$BQ$1004,1,MATCH(COLUMNS($AO$1006:AU1006),$AO$1006:$BQ$1006,0)))),"Fix")))</f>
        <v>#N/A</v>
      </c>
      <c r="I5" s="5" t="e">
        <f ca="1">IF(OR(INDEX($AI$2:$AI$1001,MATCH(ROWS($AH$2:AH5),$AH$2:$AH$1001,0),1)&gt;=100000,INDEX($AO$1005:$BQ$1005,1,MATCH(COLUMNS($AO$1006:AV1006),$AO$1006:$BQ$1006,0))&gt;=100000), " ",IF(INDEX($AO$2:$BQ$1001,MATCH(ROWS($AH$2:AH5),$AH$2:$AH$1001,0),MATCH(COLUMNS($AO$1006:AV1006),$AO$1006:$BQ$1006,0)), HYPERLINK("#",""), HYPERLINK(CONCATENATE("#Metadata!", ADDRESS(INDEX($AJ$2:$AJ$1001,MATCH(ROWS($AH$2:AH5),$AH$2:$AH$1001,0),0), INDEX($AO$1004:$BQ$1004,1,MATCH(COLUMNS($AO$1006:AV1006),$AO$1006:$BQ$1006,0)))),"Fix")))</f>
        <v>#N/A</v>
      </c>
      <c r="J5" s="5" t="e">
        <f ca="1">IF(OR(INDEX($AI$2:$AI$1001,MATCH(ROWS($AH$2:AH5),$AH$2:$AH$1001,0),1)&gt;=100000,INDEX($AO$1005:$BQ$1005,1,MATCH(COLUMNS($AO$1006:AW1006),$AO$1006:$BQ$1006,0))&gt;=100000), " ",IF(INDEX($AO$2:$BQ$1001,MATCH(ROWS($AH$2:AH5),$AH$2:$AH$1001,0),MATCH(COLUMNS($AO$1006:AW1006),$AO$1006:$BQ$1006,0)), HYPERLINK("#",""), HYPERLINK(CONCATENATE("#Metadata!", ADDRESS(INDEX($AJ$2:$AJ$1001,MATCH(ROWS($AH$2:AH5),$AH$2:$AH$1001,0),0), INDEX($AO$1004:$BQ$1004,1,MATCH(COLUMNS($AO$1006:AW1006),$AO$1006:$BQ$1006,0)))),"Fix")))</f>
        <v>#N/A</v>
      </c>
      <c r="K5" s="5" t="e">
        <f ca="1">IF(OR(INDEX($AI$2:$AI$1001,MATCH(ROWS($AH$2:AH5),$AH$2:$AH$1001,0),1)&gt;=100000,INDEX($AO$1005:$BQ$1005,1,MATCH(COLUMNS($AO$1006:AX1006),$AO$1006:$BQ$1006,0))&gt;=100000), " ",IF(INDEX($AO$2:$BQ$1001,MATCH(ROWS($AH$2:AH5),$AH$2:$AH$1001,0),MATCH(COLUMNS($AO$1006:AX1006),$AO$1006:$BQ$1006,0)), HYPERLINK("#",""), HYPERLINK(CONCATENATE("#Metadata!", ADDRESS(INDEX($AJ$2:$AJ$1001,MATCH(ROWS($AH$2:AH5),$AH$2:$AH$1001,0),0), INDEX($AO$1004:$BQ$1004,1,MATCH(COLUMNS($AO$1006:AX1006),$AO$1006:$BQ$1006,0)))),"Fix")))</f>
        <v>#N/A</v>
      </c>
      <c r="L5" s="5" t="e">
        <f ca="1">IF(OR(INDEX($AI$2:$AI$1001,MATCH(ROWS($AH$2:AH5),$AH$2:$AH$1001,0),1)&gt;=100000,INDEX($AO$1005:$BQ$1005,1,MATCH(COLUMNS($AO$1006:AY1006),$AO$1006:$BQ$1006,0))&gt;=100000), " ",IF(INDEX($AO$2:$BQ$1001,MATCH(ROWS($AH$2:AH5),$AH$2:$AH$1001,0),MATCH(COLUMNS($AO$1006:AY1006),$AO$1006:$BQ$1006,0)), HYPERLINK("#",""), HYPERLINK(CONCATENATE("#Metadata!", ADDRESS(INDEX($AJ$2:$AJ$1001,MATCH(ROWS($AH$2:AH5),$AH$2:$AH$1001,0),0), INDEX($AO$1004:$BQ$1004,1,MATCH(COLUMNS($AO$1006:AY1006),$AO$1006:$BQ$1006,0)))),"Fix")))</f>
        <v>#N/A</v>
      </c>
      <c r="M5" s="5" t="e">
        <f ca="1">IF(OR(INDEX($AI$2:$AI$1001,MATCH(ROWS($AH$2:AH5),$AH$2:$AH$1001,0),1)&gt;=100000,INDEX($AO$1005:$BQ$1005,1,MATCH(COLUMNS($AO$1006:AZ1006),$AO$1006:$BQ$1006,0))&gt;=100000), " ",IF(INDEX($AO$2:$BQ$1001,MATCH(ROWS($AH$2:AH5),$AH$2:$AH$1001,0),MATCH(COLUMNS($AO$1006:AZ1006),$AO$1006:$BQ$1006,0)), HYPERLINK("#",""), HYPERLINK(CONCATENATE("#Metadata!", ADDRESS(INDEX($AJ$2:$AJ$1001,MATCH(ROWS($AH$2:AH5),$AH$2:$AH$1001,0),0), INDEX($AO$1004:$BQ$1004,1,MATCH(COLUMNS($AO$1006:AZ1006),$AO$1006:$BQ$1006,0)))),"Fix")))</f>
        <v>#N/A</v>
      </c>
      <c r="N5" s="5" t="e">
        <f ca="1">IF(OR(INDEX($AI$2:$AI$1001,MATCH(ROWS($AH$2:AH5),$AH$2:$AH$1001,0),1)&gt;=100000,INDEX($AO$1005:$BQ$1005,1,MATCH(COLUMNS($AO$1006:BA1006),$AO$1006:$BQ$1006,0))&gt;=100000), " ",IF(INDEX($AO$2:$BQ$1001,MATCH(ROWS($AH$2:AH5),$AH$2:$AH$1001,0),MATCH(COLUMNS($AO$1006:BA1006),$AO$1006:$BQ$1006,0)), HYPERLINK("#",""), HYPERLINK(CONCATENATE("#Metadata!", ADDRESS(INDEX($AJ$2:$AJ$1001,MATCH(ROWS($AH$2:AH5),$AH$2:$AH$1001,0),0), INDEX($AO$1004:$BQ$1004,1,MATCH(COLUMNS($AO$1006:BA1006),$AO$1006:$BQ$1006,0)))),"Fix")))</f>
        <v>#N/A</v>
      </c>
      <c r="O5" s="5" t="e">
        <f ca="1">IF(OR(INDEX($AI$2:$AI$1001,MATCH(ROWS($AH$2:AH5),$AH$2:$AH$1001,0),1)&gt;=100000,INDEX($AO$1005:$BQ$1005,1,MATCH(COLUMNS($AO$1006:BB1006),$AO$1006:$BQ$1006,0))&gt;=100000), " ",IF(INDEX($AO$2:$BQ$1001,MATCH(ROWS($AH$2:AH5),$AH$2:$AH$1001,0),MATCH(COLUMNS($AO$1006:BB1006),$AO$1006:$BQ$1006,0)), HYPERLINK("#",""), HYPERLINK(CONCATENATE("#Metadata!", ADDRESS(INDEX($AJ$2:$AJ$1001,MATCH(ROWS($AH$2:AH5),$AH$2:$AH$1001,0),0), INDEX($AO$1004:$BQ$1004,1,MATCH(COLUMNS($AO$1006:BB1006),$AO$1006:$BQ$1006,0)))),"Fix")))</f>
        <v>#N/A</v>
      </c>
      <c r="P5" s="5" t="e">
        <f ca="1">IF(OR(INDEX($AI$2:$AI$1001,MATCH(ROWS($AH$2:AH5),$AH$2:$AH$1001,0),1)&gt;=100000,INDEX($AO$1005:$BQ$1005,1,MATCH(COLUMNS($AO$1006:BC1006),$AO$1006:$BQ$1006,0))&gt;=100000), " ",IF(INDEX($AO$2:$BQ$1001,MATCH(ROWS($AH$2:AH5),$AH$2:$AH$1001,0),MATCH(COLUMNS($AO$1006:BC1006),$AO$1006:$BQ$1006,0)), HYPERLINK("#",""), HYPERLINK(CONCATENATE("#Metadata!", ADDRESS(INDEX($AJ$2:$AJ$1001,MATCH(ROWS($AH$2:AH5),$AH$2:$AH$1001,0),0), INDEX($AO$1004:$BQ$1004,1,MATCH(COLUMNS($AO$1006:BC1006),$AO$1006:$BQ$1006,0)))),"Fix")))</f>
        <v>#N/A</v>
      </c>
      <c r="Q5" s="5" t="e">
        <f ca="1">IF(OR(INDEX($AI$2:$AI$1001,MATCH(ROWS($AH$2:AH5),$AH$2:$AH$1001,0),1)&gt;=100000,INDEX($AO$1005:$BQ$1005,1,MATCH(COLUMNS($AO$1006:BD1006),$AO$1006:$BQ$1006,0))&gt;=100000), " ",IF(INDEX($AO$2:$BQ$1001,MATCH(ROWS($AH$2:AH5),$AH$2:$AH$1001,0),MATCH(COLUMNS($AO$1006:BD1006),$AO$1006:$BQ$1006,0)), HYPERLINK("#",""), HYPERLINK(CONCATENATE("#Metadata!", ADDRESS(INDEX($AJ$2:$AJ$1001,MATCH(ROWS($AH$2:AH5),$AH$2:$AH$1001,0),0), INDEX($AO$1004:$BQ$1004,1,MATCH(COLUMNS($AO$1006:BD1006),$AO$1006:$BQ$1006,0)))),"Fix")))</f>
        <v>#N/A</v>
      </c>
      <c r="R5" s="5" t="e">
        <f ca="1">IF(OR(INDEX($AI$2:$AI$1001,MATCH(ROWS($AH$2:AH5),$AH$2:$AH$1001,0),1)&gt;=100000,INDEX($AO$1005:$BQ$1005,1,MATCH(COLUMNS($AO$1006:BE1006),$AO$1006:$BQ$1006,0))&gt;=100000), " ",IF(INDEX($AO$2:$BQ$1001,MATCH(ROWS($AH$2:AH5),$AH$2:$AH$1001,0),MATCH(COLUMNS($AO$1006:BE1006),$AO$1006:$BQ$1006,0)), HYPERLINK("#",""), HYPERLINK(CONCATENATE("#Metadata!", ADDRESS(INDEX($AJ$2:$AJ$1001,MATCH(ROWS($AH$2:AH5),$AH$2:$AH$1001,0),0), INDEX($AO$1004:$BQ$1004,1,MATCH(COLUMNS($AO$1006:BE1006),$AO$1006:$BQ$1006,0)))),"Fix")))</f>
        <v>#N/A</v>
      </c>
      <c r="S5" s="5" t="e">
        <f ca="1">IF(OR(INDEX($AI$2:$AI$1001,MATCH(ROWS($AH$2:AH5),$AH$2:$AH$1001,0),1)&gt;=100000,INDEX($AO$1005:$BQ$1005,1,MATCH(COLUMNS($AO$1006:BF1006),$AO$1006:$BQ$1006,0))&gt;=100000), " ",IF(INDEX($AO$2:$BQ$1001,MATCH(ROWS($AH$2:AH5),$AH$2:$AH$1001,0),MATCH(COLUMNS($AO$1006:BF1006),$AO$1006:$BQ$1006,0)), HYPERLINK("#",""), HYPERLINK(CONCATENATE("#Metadata!", ADDRESS(INDEX($AJ$2:$AJ$1001,MATCH(ROWS($AH$2:AH5),$AH$2:$AH$1001,0),0), INDEX($AO$1004:$BQ$1004,1,MATCH(COLUMNS($AO$1006:BF1006),$AO$1006:$BQ$1006,0)))),"Fix")))</f>
        <v>#N/A</v>
      </c>
      <c r="T5" s="5" t="e">
        <f ca="1">IF(OR(INDEX($AI$2:$AI$1001,MATCH(ROWS($AH$2:AH5),$AH$2:$AH$1001,0),1)&gt;=100000,INDEX($AO$1005:$BQ$1005,1,MATCH(COLUMNS($AO$1006:BG1006),$AO$1006:$BQ$1006,0))&gt;=100000), " ",IF(INDEX($AO$2:$BQ$1001,MATCH(ROWS($AH$2:AH5),$AH$2:$AH$1001,0),MATCH(COLUMNS($AO$1006:BG1006),$AO$1006:$BQ$1006,0)), HYPERLINK("#",""), HYPERLINK(CONCATENATE("#Metadata!", ADDRESS(INDEX($AJ$2:$AJ$1001,MATCH(ROWS($AH$2:AH5),$AH$2:$AH$1001,0),0), INDEX($AO$1004:$BQ$1004,1,MATCH(COLUMNS($AO$1006:BG1006),$AO$1006:$BQ$1006,0)))),"Fix")))</f>
        <v>#N/A</v>
      </c>
      <c r="U5" s="5" t="e">
        <f ca="1">IF(OR(INDEX($AI$2:$AI$1001,MATCH(ROWS($AH$2:AH5),$AH$2:$AH$1001,0),1)&gt;=100000,INDEX($AO$1005:$BQ$1005,1,MATCH(COLUMNS($AO$1006:BH1006),$AO$1006:$BQ$1006,0))&gt;=100000), " ",IF(INDEX($AO$2:$BQ$1001,MATCH(ROWS($AH$2:AH5),$AH$2:$AH$1001,0),MATCH(COLUMNS($AO$1006:BH1006),$AO$1006:$BQ$1006,0)), HYPERLINK("#",""), HYPERLINK(CONCATENATE("#Metadata!", ADDRESS(INDEX($AJ$2:$AJ$1001,MATCH(ROWS($AH$2:AH5),$AH$2:$AH$1001,0),0), INDEX($AO$1004:$BQ$1004,1,MATCH(COLUMNS($AO$1006:BH1006),$AO$1006:$BQ$1006,0)))),"Fix")))</f>
        <v>#N/A</v>
      </c>
      <c r="V5" s="5" t="e">
        <f ca="1">IF(OR(INDEX($AI$2:$AI$1001,MATCH(ROWS($AH$2:AH5),$AH$2:$AH$1001,0),1)&gt;=100000,INDEX($AO$1005:$BQ$1005,1,MATCH(COLUMNS($AO$1006:BI1006),$AO$1006:$BQ$1006,0))&gt;=100000), " ",IF(INDEX($AO$2:$BQ$1001,MATCH(ROWS($AH$2:AH5),$AH$2:$AH$1001,0),MATCH(COLUMNS($AO$1006:BI1006),$AO$1006:$BQ$1006,0)), HYPERLINK("#",""), HYPERLINK(CONCATENATE("#Metadata!", ADDRESS(INDEX($AJ$2:$AJ$1001,MATCH(ROWS($AH$2:AH5),$AH$2:$AH$1001,0),0), INDEX($AO$1004:$BQ$1004,1,MATCH(COLUMNS($AO$1006:BI1006),$AO$1006:$BQ$1006,0)))),"Fix")))</f>
        <v>#N/A</v>
      </c>
      <c r="W5" s="5" t="e">
        <f ca="1">IF(OR(INDEX($AI$2:$AI$1001,MATCH(ROWS($AH$2:AH5),$AH$2:$AH$1001,0),1)&gt;=100000,INDEX($AO$1005:$BQ$1005,1,MATCH(COLUMNS($AO$1006:BJ1006),$AO$1006:$BQ$1006,0))&gt;=100000), " ",IF(INDEX($AO$2:$BQ$1001,MATCH(ROWS($AH$2:AH5),$AH$2:$AH$1001,0),MATCH(COLUMNS($AO$1006:BJ1006),$AO$1006:$BQ$1006,0)), HYPERLINK("#",""), HYPERLINK(CONCATENATE("#Metadata!", ADDRESS(INDEX($AJ$2:$AJ$1001,MATCH(ROWS($AH$2:AH5),$AH$2:$AH$1001,0),0), INDEX($AO$1004:$BQ$1004,1,MATCH(COLUMNS($AO$1006:BJ1006),$AO$1006:$BQ$1006,0)))),"Fix")))</f>
        <v>#N/A</v>
      </c>
      <c r="X5" s="5" t="e">
        <f ca="1">IF(OR(INDEX($AI$2:$AI$1001,MATCH(ROWS($AH$2:AH5),$AH$2:$AH$1001,0),1)&gt;=100000,INDEX($AO$1005:$BQ$1005,1,MATCH(COLUMNS($AO$1006:BK1006),$AO$1006:$BQ$1006,0))&gt;=100000), " ",IF(INDEX($AO$2:$BQ$1001,MATCH(ROWS($AH$2:AH5),$AH$2:$AH$1001,0),MATCH(COLUMNS($AO$1006:BK1006),$AO$1006:$BQ$1006,0)), HYPERLINK("#",""), HYPERLINK(CONCATENATE("#Metadata!", ADDRESS(INDEX($AJ$2:$AJ$1001,MATCH(ROWS($AH$2:AH5),$AH$2:$AH$1001,0),0), INDEX($AO$1004:$BQ$1004,1,MATCH(COLUMNS($AO$1006:BK1006),$AO$1006:$BQ$1006,0)))),"Fix")))</f>
        <v>#N/A</v>
      </c>
      <c r="Y5" s="5" t="e">
        <f ca="1">IF(OR(INDEX($AI$2:$AI$1001,MATCH(ROWS($AH$2:AH5),$AH$2:$AH$1001,0),1)&gt;=100000,INDEX($AO$1005:$BQ$1005,1,MATCH(COLUMNS($AO$1006:BL1006),$AO$1006:$BQ$1006,0))&gt;=100000), " ",IF(INDEX($AO$2:$BQ$1001,MATCH(ROWS($AH$2:AH5),$AH$2:$AH$1001,0),MATCH(COLUMNS($AO$1006:BL1006),$AO$1006:$BQ$1006,0)), HYPERLINK("#",""), HYPERLINK(CONCATENATE("#Metadata!", ADDRESS(INDEX($AJ$2:$AJ$1001,MATCH(ROWS($AH$2:AH5),$AH$2:$AH$1001,0),0), INDEX($AO$1004:$BQ$1004,1,MATCH(COLUMNS($AO$1006:BL1006),$AO$1006:$BQ$1006,0)))),"Fix")))</f>
        <v>#N/A</v>
      </c>
      <c r="Z5" s="5" t="e">
        <f ca="1">IF(OR(INDEX($AI$2:$AI$1001,MATCH(ROWS($AH$2:AH5),$AH$2:$AH$1001,0),1)&gt;=100000,INDEX($AO$1005:$BQ$1005,1,MATCH(COLUMNS($AO$1006:BM1006),$AO$1006:$BQ$1006,0))&gt;=100000), " ",IF(INDEX($AO$2:$BQ$1001,MATCH(ROWS($AH$2:AH5),$AH$2:$AH$1001,0),MATCH(COLUMNS($AO$1006:BM1006),$AO$1006:$BQ$1006,0)), HYPERLINK("#",""), HYPERLINK(CONCATENATE("#Metadata!", ADDRESS(INDEX($AJ$2:$AJ$1001,MATCH(ROWS($AH$2:AH5),$AH$2:$AH$1001,0),0), INDEX($AO$1004:$BQ$1004,1,MATCH(COLUMNS($AO$1006:BM1006),$AO$1006:$BQ$1006,0)))),"Fix")))</f>
        <v>#N/A</v>
      </c>
      <c r="AA5" s="5" t="e">
        <f ca="1">IF(OR(INDEX($AI$2:$AI$1001,MATCH(ROWS($AH$2:AH5),$AH$2:$AH$1001,0),1)&gt;=100000,INDEX($AO$1005:$BQ$1005,1,MATCH(COLUMNS($AO$1006:BN1006),$AO$1006:$BQ$1006,0))&gt;=100000), " ",IF(INDEX($AO$2:$BQ$1001,MATCH(ROWS($AH$2:AH5),$AH$2:$AH$1001,0),MATCH(COLUMNS($AO$1006:BN1006),$AO$1006:$BQ$1006,0)), HYPERLINK("#",""), HYPERLINK(CONCATENATE("#Metadata!", ADDRESS(INDEX($AJ$2:$AJ$1001,MATCH(ROWS($AH$2:AH5),$AH$2:$AH$1001,0),0), INDEX($AO$1004:$BQ$1004,1,MATCH(COLUMNS($AO$1006:BN1006),$AO$1006:$BQ$1006,0)))),"Fix")))</f>
        <v>#N/A</v>
      </c>
      <c r="AB5" s="5" t="e">
        <f ca="1">IF(OR(INDEX($AI$2:$AI$1001,MATCH(ROWS($AH$2:AH5),$AH$2:$AH$1001,0),1)&gt;=100000,INDEX($AO$1005:$BQ$1005,1,MATCH(COLUMNS($AO$1006:BO1006),$AO$1006:$BQ$1006,0))&gt;=100000), " ",IF(INDEX($AO$2:$BQ$1001,MATCH(ROWS($AH$2:AH5),$AH$2:$AH$1001,0),MATCH(COLUMNS($AO$1006:BO1006),$AO$1006:$BQ$1006,0)), HYPERLINK("#",""), HYPERLINK(CONCATENATE("#Metadata!", ADDRESS(INDEX($AJ$2:$AJ$1001,MATCH(ROWS($AH$2:AH5),$AH$2:$AH$1001,0),0), INDEX($AO$1004:$BQ$1004,1,MATCH(COLUMNS($AO$1006:BO1006),$AO$1006:$BQ$1006,0)))),"Fix")))</f>
        <v>#N/A</v>
      </c>
      <c r="AC5" s="5" t="e">
        <f ca="1">IF(OR(INDEX($AI$2:$AI$1001,MATCH(ROWS($AH$2:AH5),$AH$2:$AH$1001,0),1)&gt;=100000,INDEX($AO$1005:$BQ$1005,1,MATCH(COLUMNS($AO$1006:BP1006),$AO$1006:$BQ$1006,0))&gt;=100000), " ",IF(INDEX($AO$2:$BQ$1001,MATCH(ROWS($AH$2:AH5),$AH$2:$AH$1001,0),MATCH(COLUMNS($AO$1006:BP1006),$AO$1006:$BQ$1006,0)), HYPERLINK("#",""), HYPERLINK(CONCATENATE("#Metadata!", ADDRESS(INDEX($AJ$2:$AJ$1001,MATCH(ROWS($AH$2:AH5),$AH$2:$AH$1001,0),0), INDEX($AO$1004:$BQ$1004,1,MATCH(COLUMNS($AO$1006:BP1006),$AO$1006:$BQ$1006,0)))),"Fix")))</f>
        <v>#N/A</v>
      </c>
      <c r="AD5" s="5" t="e">
        <f ca="1">IF(OR(INDEX($AI$2:$AI$1001,MATCH(ROWS($AH$2:AH5),$AH$2:$AH$1001,0),1)&gt;=100000,INDEX($AO$1005:$BQ$1005,1,MATCH(COLUMNS($AO$1006:BQ1006),$AO$1006:$BQ$1006,0))&gt;=100000), " ",IF(INDEX($AO$2:$BQ$1001,MATCH(ROWS($AH$2:AH5),$AH$2:$AH$1001,0),MATCH(COLUMNS($AO$1006:BQ1006),$AO$1006:$BQ$1006,0)), HYPERLINK("#",""), HYPERLINK(CONCATENATE("#Metadata!", ADDRESS(INDEX($AJ$2:$AJ$1001,MATCH(ROWS($AH$2:AH5),$AH$2:$AH$1001,0),0), INDEX($AO$1004:$BQ$1004,1,MATCH(COLUMNS($AO$1006:BQ1006),$AO$1006:$BQ$1006,0)))),"Fix")))</f>
        <v>#REF!</v>
      </c>
      <c r="AH5">
        <f ca="1"/>
        <v>3</v>
      </c>
      <c r="AI5">
        <f ca="1"/>
        <v>5</v>
      </c>
      <c r="AJ5">
        <v>5</v>
      </c>
      <c r="AK5" t="b">
        <f t="shared" ca="1" si="0"/>
        <v>0</v>
      </c>
      <c r="AL5" t="b">
        <f>COUNTBLANK(Metadata!B5:AD5)=COLUMNS(Metadata!B5:AD5)</f>
        <v>0</v>
      </c>
      <c r="AM5" t="str">
        <v>Environment.Egg.Sediment.BTP.29</v>
      </c>
      <c r="AO5" t="b">
        <f ca="1">AND(IF(Metadata!B4="",FALSE,TRUE),COUNTIF(Metadata!B:B, Metadata!B4) = 1,NOT(ISERROR(SUMPRODUCT(SEARCH(MID(Metadata!B4,ROW(INDIRECT("1:"&amp;LEN(Metadata!B4))), 1),"0123456789abcdefghijklmnopqrstuvwxyzABCDEFGHIJKLMNOPQRSTUVWXYZ.")))))</f>
        <v>1</v>
      </c>
      <c r="AP5" t="b">
        <f>IF(Metadata!C4="",FALSE,TRUE)</f>
        <v>1</v>
      </c>
      <c r="AQ5" t="b">
        <f>IF(Metadata!D4="",FALSE,TRUE)</f>
        <v>1</v>
      </c>
      <c r="AR5" t="b">
        <f ca="1">OR(AND(IF(Metadata!E4="",FALSE,TRUE),OR(EXACT(Metadata!E4,"not collected"),EXACT(Metadata!E4,"not provided"),EXACT(Metadata!E4,"restricted access"))),AND(IF(Metadata!E4="",FALSE,TRUE),AND(AND(IFERROR(INT(LEFT(Metadata!E4,4))&gt;1900,FALSE),IFERROR(INT(LEFT(Metadata!E4,4))&lt;=YEAR(NOW()),FALSE)), OR(MID(Metadata!E4,5,1)="", AND(AND(MID(Metadata!E4,5,1)="-",IFERROR(INT(MID(Metadata!E4,6,1))&gt;=0,FALSE),IFERROR(INT(MID(Metadata!E4,6,1))&lt;=1,FALSE),NOT(MID(Metadata!E4,7,1)=""),IFERROR(INT(MID(Metadata!E4,6,2))&gt;=1,FALSE),IFERROR(INT(MID(Metadata!E4,6,2))&lt;=12,FALSE)), OR(MID(Metadata!E4,8,1)="", AND(AND(MID(Metadata!E4,8,1)="-",IFERROR(INT(MID(Metadata!E4,9,1))&gt;=0,FALSE),IFERROR(INT(MID(Metadata!E4,9,1))&lt;=3,FALSE),NOT(MID(Metadata!E4,10,1)=""),IFERROR(INT(MID(Metadata!E4,9,2))&gt;=1,FALSE),IFERROR(INT(MID(Metadata!E4,9,2))&lt;=31,FALSE)), OR(MID(Metadata!E4,11,1)="", AND(AND(MID(Metadata!E4,11,1)=" ",IFERROR(INT(MID(Metadata!E4,12,1))&gt;=0,FALSE),IFERROR(INT(MID(Metadata!E4,12,1))&lt;=2,FALSE),NOT(MID(Metadata!E4,13,1)=""),IFERROR(INT(MID(Metadata!E4,12,2))&gt;=0,FALSE),IFERROR(INT(MID(Metadata!E4,12,2))&lt;=23,FALSE)), OR(MID(Metadata!E4,14,1)="", AND(AND(MID(Metadata!E4,14,1)=":",IFERROR(INT(MID(Metadata!E4,15,1))&gt;=0,FALSE),IFERROR(INT(MID(Metadata!E4,15,1))&lt;=5,FALSE),NOT(MID(Metadata!E4,16,1)=""),IFERROR(INT(MID(Metadata!E4,15,2))&gt;=0,FALSE),IFERROR(INT(MID(Metadata!E4,15,2))&lt;=59,FALSE)), OR(MID(Metadata!E4,17,1)="", AND(AND(MID(Metadata!E4,17,1)=":",IFERROR(INT(MID(Metadata!E4,18,1))&gt;=0,FALSE),IFERROR(INT(MID(Metadata!E4,18,1))&lt;=5,FALSE),NOT(MID(Metadata!E4,19,1)=""),IFERROR(INT(MID(Metadata!E4,18,2))&gt;=0,FALSE),IFERROR(INT(MID(Metadata!E4,18,2))&lt;=59,FALSE)), LEN(Metadata!E4)&lt;=19)))))))))))))</f>
        <v>0</v>
      </c>
      <c r="AS5" t="b">
        <f>IF(Metadata!F4="",FALSE,TRUE)</f>
        <v>1</v>
      </c>
      <c r="AT5" t="b">
        <f>OR(AND(IF(Metadata!G4="",FALSE,TRUE),OR(EXACT(Metadata!G4,"not collected"),EXACT(Metadata!G4,"not provided"))),AND(IF(Metadata!G4="",FALSE,TRUE),OR(EXACT(Metadata!G4,"TRUE"),EXACT(Metadata!G4,"FALSE"))))</f>
        <v>1</v>
      </c>
      <c r="AU5" t="b">
        <f>OR(AND(IF(Metadata!H4="",FALSE,TRUE),OR(EXACT(Metadata!H4,"not collected"),EXACT(Metadata!H4,"not provided"),EXACT(Metadata!H4,"restricted access"))),AND(IF(Metadata!H4="",FALSE,ISNUMBER(VALUE(Metadata!H4))),Metadata!H4&gt;=-413))</f>
        <v>0</v>
      </c>
      <c r="AV5" t="b">
        <f>AND(IF(Metadata!I4="",FALSE,TRUE),EXACT(Metadata!I4,"meters"))</f>
        <v>1</v>
      </c>
      <c r="AW5" t="b">
        <f>AND(IF(Metadata!J4="",FALSE,TRUE),EXACT(Metadata!J4,"free-living"))</f>
        <v>1</v>
      </c>
      <c r="AX5" t="b">
        <f>AND(IF(Metadata!K4="",FALSE,TRUE),OR(EXACT(Metadata!K4,"saline"),EXACT(Metadata!K4,"non-saline")))</f>
        <v>1</v>
      </c>
      <c r="AY5" t="b">
        <f>AND(IF(Metadata!L4="",FALSE,TRUE),OR(EXACT(Metadata!L4,"sub-surface (non-saline)"),EXACT(Metadata!L4,"surface (non-saline)"),EXACT(Metadata!L4,"water (non-saline)"),EXACT(Metadata!L4,"soil (non-saline)"),EXACT(Metadata!L4,"aerosol (non-saline)"),EXACT(Metadata!L4,"sediment (non-saline)"),EXACT(Metadata!L4,"surface (saline)"),EXACT(Metadata!L4,"water (saline)"),EXACT(Metadata!L4,"hypersaline (saline)"),EXACT(Metadata!L4,"aerosol (saline)"),EXACT(Metadata!L4,"sediment (saline)")))</f>
        <v>1</v>
      </c>
      <c r="AZ5" t="b">
        <f>IF(Metadata!M4="",FALSE,TRUE)</f>
        <v>1</v>
      </c>
      <c r="BA5" t="b">
        <f>IF(Metadata!N4="",FALSE,TRUE)</f>
        <v>1</v>
      </c>
      <c r="BB5" t="b">
        <f>IF(Metadata!O4="",FALSE,TRUE)</f>
        <v>1</v>
      </c>
      <c r="BC5" t="b">
        <f>AND(IF(Metadata!P4="",FALSE,TRUE),OR(EXACT(Metadata!P4,"air"),EXACT(Metadata!P4,"microbial mat/biofilm"),EXACT(Metadata!P4,"misc environment"),EXACT(Metadata!P4,"sediment"),EXACT(Metadata!P4,"soil"),EXACT(Metadata!P4,"wastewater/sludge"),EXACT(Metadata!P4,"water")))</f>
        <v>1</v>
      </c>
      <c r="BD5" t="b">
        <f>IF(Metadata!Q4="",FALSE,TRUE)</f>
        <v>1</v>
      </c>
      <c r="BE5" t="b">
        <f>IF(Metadata!R4="",FALSE,TRUE)</f>
        <v>1</v>
      </c>
      <c r="BF5" t="b">
        <f>OR(AND(IF(Metadata!S4="",FALSE,TRUE),OR(EXACT(Metadata!S4,"not collected"),EXACT(Metadata!S4,"not provided"),EXACT(Metadata!S4,"restricted access"))),AND(IF(Metadata!S4="",FALSE,ISNUMBER(VALUE(Metadata!S4))),Metadata!S4&gt;=-90,Metadata!S4&lt;=90))</f>
        <v>0</v>
      </c>
      <c r="BG5" t="b">
        <f>AND(IF(Metadata!T4="",FALSE,TRUE),EXACT(Metadata!T4,"Decimal degrees"))</f>
        <v>1</v>
      </c>
      <c r="BH5" t="b">
        <f>OR(AND(IF(Metadata!U5="",FALSE,TRUE),OR(EXACT(Metadata!U5,"not applicable"),EXACT(Metadata!U5,"not collected"))),IF(Metadata!U5="",FALSE,TRUE))</f>
        <v>1</v>
      </c>
      <c r="BI5" t="b">
        <f>OR(AND(IF(Metadata!V4="",FALSE,TRUE),OR(EXACT(Metadata!V4,"not collected"),EXACT(Metadata!V4,"not provided"),EXACT(Metadata!V4,"restricted access"))),AND(IF(Metadata!V4="",FALSE,ISNUMBER(VALUE(Metadata!V4))),Metadata!V4&gt;=-180,Metadata!V4&lt;=180))</f>
        <v>0</v>
      </c>
      <c r="BJ5" t="b">
        <f>AND(IF(Metadata!W4="",FALSE,TRUE),EXACT(Metadata!W4,"Decimal degrees"))</f>
        <v>1</v>
      </c>
      <c r="BK5" t="b">
        <f>IF(Metadata!X4="",FALSE,TRUE)</f>
        <v>1</v>
      </c>
      <c r="BL5" t="b">
        <f>OR(AND(IF(Metadata!Y4="",FALSE,TRUE),OR(EXACT(Metadata!Y4,"not collected"),EXACT(Metadata!Y4,"not provided"),EXACT(Metadata!Y4,"restricted access"))),AND(IF(Metadata!Y4="",FALSE,TRUE),OR(EXACT(Metadata!Y4,"TRUE"),EXACT(Metadata!Y4,"FALSE"))))</f>
        <v>1</v>
      </c>
      <c r="BM5" t="b">
        <f>OR(AND(IF(Metadata!Z4="",FALSE,TRUE),EXACT(Metadata!Z4,"not applicable")),AND(IF(Metadata!Z4="",FALSE,TRUE),OR(EXACT(Metadata!Z4,"beer"),EXACT(Metadata!Z4,"cheese"),EXACT(Metadata!Z4,"fresh water"),EXACT(Metadata!Z4,"marine sediment"),EXACT(Metadata!Z4,"sea water"),EXACT(Metadata!Z4,"sediment"),EXACT(Metadata!Z4,"soil"),EXACT(Metadata!Z4,"waste water"))))</f>
        <v>1</v>
      </c>
      <c r="BN5" t="b">
        <f>AND(IF(Metadata!AA4="",FALSE,TRUE),EXACT(Metadata!AA4,"metagenome"))</f>
        <v>1</v>
      </c>
      <c r="BO5" t="b">
        <f>AND(IF(Metadata!AB4="",FALSE,TRUE),EXACT(Metadata!AB4,"256318"))</f>
        <v>1</v>
      </c>
      <c r="BP5" t="b">
        <f>IF(Metadata!AC4="",FALSE,TRUE)</f>
        <v>1</v>
      </c>
      <c r="BQ5" t="b">
        <f>IF(Metadata!AD4="",FALSE,TRUE)</f>
        <v>1</v>
      </c>
    </row>
    <row r="6" spans="1:69" x14ac:dyDescent="0.2">
      <c r="A6" s="4" t="e">
        <f ca="1">IF(B6=" "," ",HYPERLINK(CONCATENATE("#metadata!",ADDRESS(INDEX($AJ$2:$AJ$1001,MATCH(ROWS($AH$2:AH6),$AH$2:$AH$1001,0),0),2)),INDEX($AM$2:$AM$1001,MATCH(ROWS($AH$2:AH6),$AH$2:$AH$1001,0),0)))</f>
        <v>#N/A</v>
      </c>
      <c r="B6" s="5" t="e">
        <f ca="1">IF(OR(INDEX($AI$2:$AI$1001,MATCH(ROWS($AH$2:AH6),$AH$2:$AH$1001,0),1)&gt;=100000,INDEX($AO$1005:$BQ$1005,1,MATCH(COLUMNS($AO$1006:AO1006),$AO$1006:$BQ$1006,0))&gt;=100000), " ",IF(INDEX($AO$2:$BQ$1001,MATCH(ROWS($AH$2:AH6),$AH$2:$AH$1001,0),MATCH(COLUMNS($AO$1006:AO1006),$AO$1006:$BQ$1006,0)), HYPERLINK("#",""), HYPERLINK(CONCATENATE("#Metadata!", ADDRESS(INDEX($AJ$2:$AJ$1001,MATCH(ROWS($AH$2:AH6),$AH$2:$AH$1001,0),0), INDEX($AO$1004:$BQ$1004,1,MATCH(COLUMNS($AO$1006:AO1006),$AO$1006:$BQ$1006,0)))),"Fix")))</f>
        <v>#N/A</v>
      </c>
      <c r="C6" s="5" t="e">
        <f ca="1">IF(OR(INDEX($AI$2:$AI$1001,MATCH(ROWS($AH$2:AH6),$AH$2:$AH$1001,0),1)&gt;=100000,INDEX($AO$1005:$BQ$1005,1,MATCH(COLUMNS($AO$1006:AP1006),$AO$1006:$BQ$1006,0))&gt;=100000), " ",IF(INDEX($AO$2:$BQ$1001,MATCH(ROWS($AH$2:AH6),$AH$2:$AH$1001,0),MATCH(COLUMNS($AO$1006:AP1006),$AO$1006:$BQ$1006,0)), HYPERLINK("#",""), HYPERLINK(CONCATENATE("#Metadata!", ADDRESS(INDEX($AJ$2:$AJ$1001,MATCH(ROWS($AH$2:AH6),$AH$2:$AH$1001,0),0), INDEX($AO$1004:$BQ$1004,1,MATCH(COLUMNS($AO$1006:AP1006),$AO$1006:$BQ$1006,0)))),"Fix")))</f>
        <v>#N/A</v>
      </c>
      <c r="D6" s="5" t="e">
        <f ca="1">IF(OR(INDEX($AI$2:$AI$1001,MATCH(ROWS($AH$2:AH6),$AH$2:$AH$1001,0),1)&gt;=100000,INDEX($AO$1005:$BQ$1005,1,MATCH(COLUMNS($AO$1006:AQ1006),$AO$1006:$BQ$1006,0))&gt;=100000), " ",IF(INDEX($AO$2:$BQ$1001,MATCH(ROWS($AH$2:AH6),$AH$2:$AH$1001,0),MATCH(COLUMNS($AO$1006:AQ1006),$AO$1006:$BQ$1006,0)), HYPERLINK("#",""), HYPERLINK(CONCATENATE("#Metadata!", ADDRESS(INDEX($AJ$2:$AJ$1001,MATCH(ROWS($AH$2:AH6),$AH$2:$AH$1001,0),0), INDEX($AO$1004:$BQ$1004,1,MATCH(COLUMNS($AO$1006:AQ1006),$AO$1006:$BQ$1006,0)))),"Fix")))</f>
        <v>#N/A</v>
      </c>
      <c r="E6" s="5" t="e">
        <f ca="1">IF(OR(INDEX($AI$2:$AI$1001,MATCH(ROWS($AH$2:AH6),$AH$2:$AH$1001,0),1)&gt;=100000,INDEX($AO$1005:$BQ$1005,1,MATCH(COLUMNS($AO$1006:AR1006),$AO$1006:$BQ$1006,0))&gt;=100000), " ",IF(INDEX($AO$2:$BQ$1001,MATCH(ROWS($AH$2:AH6),$AH$2:$AH$1001,0),MATCH(COLUMNS($AO$1006:AR1006),$AO$1006:$BQ$1006,0)), HYPERLINK("#",""), HYPERLINK(CONCATENATE("#Metadata!", ADDRESS(INDEX($AJ$2:$AJ$1001,MATCH(ROWS($AH$2:AH6),$AH$2:$AH$1001,0),0), INDEX($AO$1004:$BQ$1004,1,MATCH(COLUMNS($AO$1006:AR1006),$AO$1006:$BQ$1006,0)))),"Fix")))</f>
        <v>#N/A</v>
      </c>
      <c r="F6" s="5" t="e">
        <f ca="1">IF(OR(INDEX($AI$2:$AI$1001,MATCH(ROWS($AH$2:AH6),$AH$2:$AH$1001,0),1)&gt;=100000,INDEX($AO$1005:$BQ$1005,1,MATCH(COLUMNS($AO$1006:AS1006),$AO$1006:$BQ$1006,0))&gt;=100000), " ",IF(INDEX($AO$2:$BQ$1001,MATCH(ROWS($AH$2:AH6),$AH$2:$AH$1001,0),MATCH(COLUMNS($AO$1006:AS1006),$AO$1006:$BQ$1006,0)), HYPERLINK("#",""), HYPERLINK(CONCATENATE("#Metadata!", ADDRESS(INDEX($AJ$2:$AJ$1001,MATCH(ROWS($AH$2:AH6),$AH$2:$AH$1001,0),0), INDEX($AO$1004:$BQ$1004,1,MATCH(COLUMNS($AO$1006:AS1006),$AO$1006:$BQ$1006,0)))),"Fix")))</f>
        <v>#N/A</v>
      </c>
      <c r="G6" s="5" t="e">
        <f ca="1">IF(OR(INDEX($AI$2:$AI$1001,MATCH(ROWS($AH$2:AH6),$AH$2:$AH$1001,0),1)&gt;=100000,INDEX($AO$1005:$BQ$1005,1,MATCH(COLUMNS($AO$1006:AT1006),$AO$1006:$BQ$1006,0))&gt;=100000), " ",IF(INDEX($AO$2:$BQ$1001,MATCH(ROWS($AH$2:AH6),$AH$2:$AH$1001,0),MATCH(COLUMNS($AO$1006:AT1006),$AO$1006:$BQ$1006,0)), HYPERLINK("#",""), HYPERLINK(CONCATENATE("#Metadata!", ADDRESS(INDEX($AJ$2:$AJ$1001,MATCH(ROWS($AH$2:AH6),$AH$2:$AH$1001,0),0), INDEX($AO$1004:$BQ$1004,1,MATCH(COLUMNS($AO$1006:AT1006),$AO$1006:$BQ$1006,0)))),"Fix")))</f>
        <v>#N/A</v>
      </c>
      <c r="H6" s="5" t="e">
        <f ca="1">IF(OR(INDEX($AI$2:$AI$1001,MATCH(ROWS($AH$2:AH6),$AH$2:$AH$1001,0),1)&gt;=100000,INDEX($AO$1005:$BQ$1005,1,MATCH(COLUMNS($AO$1006:AU1006),$AO$1006:$BQ$1006,0))&gt;=100000), " ",IF(INDEX($AO$2:$BQ$1001,MATCH(ROWS($AH$2:AH6),$AH$2:$AH$1001,0),MATCH(COLUMNS($AO$1006:AU1006),$AO$1006:$BQ$1006,0)), HYPERLINK("#",""), HYPERLINK(CONCATENATE("#Metadata!", ADDRESS(INDEX($AJ$2:$AJ$1001,MATCH(ROWS($AH$2:AH6),$AH$2:$AH$1001,0),0), INDEX($AO$1004:$BQ$1004,1,MATCH(COLUMNS($AO$1006:AU1006),$AO$1006:$BQ$1006,0)))),"Fix")))</f>
        <v>#N/A</v>
      </c>
      <c r="I6" s="5" t="e">
        <f ca="1">IF(OR(INDEX($AI$2:$AI$1001,MATCH(ROWS($AH$2:AH6),$AH$2:$AH$1001,0),1)&gt;=100000,INDEX($AO$1005:$BQ$1005,1,MATCH(COLUMNS($AO$1006:AV1006),$AO$1006:$BQ$1006,0))&gt;=100000), " ",IF(INDEX($AO$2:$BQ$1001,MATCH(ROWS($AH$2:AH6),$AH$2:$AH$1001,0),MATCH(COLUMNS($AO$1006:AV1006),$AO$1006:$BQ$1006,0)), HYPERLINK("#",""), HYPERLINK(CONCATENATE("#Metadata!", ADDRESS(INDEX($AJ$2:$AJ$1001,MATCH(ROWS($AH$2:AH6),$AH$2:$AH$1001,0),0), INDEX($AO$1004:$BQ$1004,1,MATCH(COLUMNS($AO$1006:AV1006),$AO$1006:$BQ$1006,0)))),"Fix")))</f>
        <v>#N/A</v>
      </c>
      <c r="J6" s="5" t="e">
        <f ca="1">IF(OR(INDEX($AI$2:$AI$1001,MATCH(ROWS($AH$2:AH6),$AH$2:$AH$1001,0),1)&gt;=100000,INDEX($AO$1005:$BQ$1005,1,MATCH(COLUMNS($AO$1006:AW1006),$AO$1006:$BQ$1006,0))&gt;=100000), " ",IF(INDEX($AO$2:$BQ$1001,MATCH(ROWS($AH$2:AH6),$AH$2:$AH$1001,0),MATCH(COLUMNS($AO$1006:AW1006),$AO$1006:$BQ$1006,0)), HYPERLINK("#",""), HYPERLINK(CONCATENATE("#Metadata!", ADDRESS(INDEX($AJ$2:$AJ$1001,MATCH(ROWS($AH$2:AH6),$AH$2:$AH$1001,0),0), INDEX($AO$1004:$BQ$1004,1,MATCH(COLUMNS($AO$1006:AW1006),$AO$1006:$BQ$1006,0)))),"Fix")))</f>
        <v>#N/A</v>
      </c>
      <c r="K6" s="5" t="e">
        <f ca="1">IF(OR(INDEX($AI$2:$AI$1001,MATCH(ROWS($AH$2:AH6),$AH$2:$AH$1001,0),1)&gt;=100000,INDEX($AO$1005:$BQ$1005,1,MATCH(COLUMNS($AO$1006:AX1006),$AO$1006:$BQ$1006,0))&gt;=100000), " ",IF(INDEX($AO$2:$BQ$1001,MATCH(ROWS($AH$2:AH6),$AH$2:$AH$1001,0),MATCH(COLUMNS($AO$1006:AX1006),$AO$1006:$BQ$1006,0)), HYPERLINK("#",""), HYPERLINK(CONCATENATE("#Metadata!", ADDRESS(INDEX($AJ$2:$AJ$1001,MATCH(ROWS($AH$2:AH6),$AH$2:$AH$1001,0),0), INDEX($AO$1004:$BQ$1004,1,MATCH(COLUMNS($AO$1006:AX1006),$AO$1006:$BQ$1006,0)))),"Fix")))</f>
        <v>#N/A</v>
      </c>
      <c r="L6" s="5" t="e">
        <f ca="1">IF(OR(INDEX($AI$2:$AI$1001,MATCH(ROWS($AH$2:AH6),$AH$2:$AH$1001,0),1)&gt;=100000,INDEX($AO$1005:$BQ$1005,1,MATCH(COLUMNS($AO$1006:AY1006),$AO$1006:$BQ$1006,0))&gt;=100000), " ",IF(INDEX($AO$2:$BQ$1001,MATCH(ROWS($AH$2:AH6),$AH$2:$AH$1001,0),MATCH(COLUMNS($AO$1006:AY1006),$AO$1006:$BQ$1006,0)), HYPERLINK("#",""), HYPERLINK(CONCATENATE("#Metadata!", ADDRESS(INDEX($AJ$2:$AJ$1001,MATCH(ROWS($AH$2:AH6),$AH$2:$AH$1001,0),0), INDEX($AO$1004:$BQ$1004,1,MATCH(COLUMNS($AO$1006:AY1006),$AO$1006:$BQ$1006,0)))),"Fix")))</f>
        <v>#N/A</v>
      </c>
      <c r="M6" s="5" t="e">
        <f ca="1">IF(OR(INDEX($AI$2:$AI$1001,MATCH(ROWS($AH$2:AH6),$AH$2:$AH$1001,0),1)&gt;=100000,INDEX($AO$1005:$BQ$1005,1,MATCH(COLUMNS($AO$1006:AZ1006),$AO$1006:$BQ$1006,0))&gt;=100000), " ",IF(INDEX($AO$2:$BQ$1001,MATCH(ROWS($AH$2:AH6),$AH$2:$AH$1001,0),MATCH(COLUMNS($AO$1006:AZ1006),$AO$1006:$BQ$1006,0)), HYPERLINK("#",""), HYPERLINK(CONCATENATE("#Metadata!", ADDRESS(INDEX($AJ$2:$AJ$1001,MATCH(ROWS($AH$2:AH6),$AH$2:$AH$1001,0),0), INDEX($AO$1004:$BQ$1004,1,MATCH(COLUMNS($AO$1006:AZ1006),$AO$1006:$BQ$1006,0)))),"Fix")))</f>
        <v>#N/A</v>
      </c>
      <c r="N6" s="5" t="e">
        <f ca="1">IF(OR(INDEX($AI$2:$AI$1001,MATCH(ROWS($AH$2:AH6),$AH$2:$AH$1001,0),1)&gt;=100000,INDEX($AO$1005:$BQ$1005,1,MATCH(COLUMNS($AO$1006:BA1006),$AO$1006:$BQ$1006,0))&gt;=100000), " ",IF(INDEX($AO$2:$BQ$1001,MATCH(ROWS($AH$2:AH6),$AH$2:$AH$1001,0),MATCH(COLUMNS($AO$1006:BA1006),$AO$1006:$BQ$1006,0)), HYPERLINK("#",""), HYPERLINK(CONCATENATE("#Metadata!", ADDRESS(INDEX($AJ$2:$AJ$1001,MATCH(ROWS($AH$2:AH6),$AH$2:$AH$1001,0),0), INDEX($AO$1004:$BQ$1004,1,MATCH(COLUMNS($AO$1006:BA1006),$AO$1006:$BQ$1006,0)))),"Fix")))</f>
        <v>#N/A</v>
      </c>
      <c r="O6" s="5" t="e">
        <f ca="1">IF(OR(INDEX($AI$2:$AI$1001,MATCH(ROWS($AH$2:AH6),$AH$2:$AH$1001,0),1)&gt;=100000,INDEX($AO$1005:$BQ$1005,1,MATCH(COLUMNS($AO$1006:BB1006),$AO$1006:$BQ$1006,0))&gt;=100000), " ",IF(INDEX($AO$2:$BQ$1001,MATCH(ROWS($AH$2:AH6),$AH$2:$AH$1001,0),MATCH(COLUMNS($AO$1006:BB1006),$AO$1006:$BQ$1006,0)), HYPERLINK("#",""), HYPERLINK(CONCATENATE("#Metadata!", ADDRESS(INDEX($AJ$2:$AJ$1001,MATCH(ROWS($AH$2:AH6),$AH$2:$AH$1001,0),0), INDEX($AO$1004:$BQ$1004,1,MATCH(COLUMNS($AO$1006:BB1006),$AO$1006:$BQ$1006,0)))),"Fix")))</f>
        <v>#N/A</v>
      </c>
      <c r="P6" s="5" t="e">
        <f ca="1">IF(OR(INDEX($AI$2:$AI$1001,MATCH(ROWS($AH$2:AH6),$AH$2:$AH$1001,0),1)&gt;=100000,INDEX($AO$1005:$BQ$1005,1,MATCH(COLUMNS($AO$1006:BC1006),$AO$1006:$BQ$1006,0))&gt;=100000), " ",IF(INDEX($AO$2:$BQ$1001,MATCH(ROWS($AH$2:AH6),$AH$2:$AH$1001,0),MATCH(COLUMNS($AO$1006:BC1006),$AO$1006:$BQ$1006,0)), HYPERLINK("#",""), HYPERLINK(CONCATENATE("#Metadata!", ADDRESS(INDEX($AJ$2:$AJ$1001,MATCH(ROWS($AH$2:AH6),$AH$2:$AH$1001,0),0), INDEX($AO$1004:$BQ$1004,1,MATCH(COLUMNS($AO$1006:BC1006),$AO$1006:$BQ$1006,0)))),"Fix")))</f>
        <v>#N/A</v>
      </c>
      <c r="Q6" s="5" t="e">
        <f ca="1">IF(OR(INDEX($AI$2:$AI$1001,MATCH(ROWS($AH$2:AH6),$AH$2:$AH$1001,0),1)&gt;=100000,INDEX($AO$1005:$BQ$1005,1,MATCH(COLUMNS($AO$1006:BD1006),$AO$1006:$BQ$1006,0))&gt;=100000), " ",IF(INDEX($AO$2:$BQ$1001,MATCH(ROWS($AH$2:AH6),$AH$2:$AH$1001,0),MATCH(COLUMNS($AO$1006:BD1006),$AO$1006:$BQ$1006,0)), HYPERLINK("#",""), HYPERLINK(CONCATENATE("#Metadata!", ADDRESS(INDEX($AJ$2:$AJ$1001,MATCH(ROWS($AH$2:AH6),$AH$2:$AH$1001,0),0), INDEX($AO$1004:$BQ$1004,1,MATCH(COLUMNS($AO$1006:BD1006),$AO$1006:$BQ$1006,0)))),"Fix")))</f>
        <v>#N/A</v>
      </c>
      <c r="R6" s="5" t="e">
        <f ca="1">IF(OR(INDEX($AI$2:$AI$1001,MATCH(ROWS($AH$2:AH6),$AH$2:$AH$1001,0),1)&gt;=100000,INDEX($AO$1005:$BQ$1005,1,MATCH(COLUMNS($AO$1006:BE1006),$AO$1006:$BQ$1006,0))&gt;=100000), " ",IF(INDEX($AO$2:$BQ$1001,MATCH(ROWS($AH$2:AH6),$AH$2:$AH$1001,0),MATCH(COLUMNS($AO$1006:BE1006),$AO$1006:$BQ$1006,0)), HYPERLINK("#",""), HYPERLINK(CONCATENATE("#Metadata!", ADDRESS(INDEX($AJ$2:$AJ$1001,MATCH(ROWS($AH$2:AH6),$AH$2:$AH$1001,0),0), INDEX($AO$1004:$BQ$1004,1,MATCH(COLUMNS($AO$1006:BE1006),$AO$1006:$BQ$1006,0)))),"Fix")))</f>
        <v>#N/A</v>
      </c>
      <c r="S6" s="5" t="e">
        <f ca="1">IF(OR(INDEX($AI$2:$AI$1001,MATCH(ROWS($AH$2:AH6),$AH$2:$AH$1001,0),1)&gt;=100000,INDEX($AO$1005:$BQ$1005,1,MATCH(COLUMNS($AO$1006:BF1006),$AO$1006:$BQ$1006,0))&gt;=100000), " ",IF(INDEX($AO$2:$BQ$1001,MATCH(ROWS($AH$2:AH6),$AH$2:$AH$1001,0),MATCH(COLUMNS($AO$1006:BF1006),$AO$1006:$BQ$1006,0)), HYPERLINK("#",""), HYPERLINK(CONCATENATE("#Metadata!", ADDRESS(INDEX($AJ$2:$AJ$1001,MATCH(ROWS($AH$2:AH6),$AH$2:$AH$1001,0),0), INDEX($AO$1004:$BQ$1004,1,MATCH(COLUMNS($AO$1006:BF1006),$AO$1006:$BQ$1006,0)))),"Fix")))</f>
        <v>#N/A</v>
      </c>
      <c r="T6" s="5" t="e">
        <f ca="1">IF(OR(INDEX($AI$2:$AI$1001,MATCH(ROWS($AH$2:AH6),$AH$2:$AH$1001,0),1)&gt;=100000,INDEX($AO$1005:$BQ$1005,1,MATCH(COLUMNS($AO$1006:BG1006),$AO$1006:$BQ$1006,0))&gt;=100000), " ",IF(INDEX($AO$2:$BQ$1001,MATCH(ROWS($AH$2:AH6),$AH$2:$AH$1001,0),MATCH(COLUMNS($AO$1006:BG1006),$AO$1006:$BQ$1006,0)), HYPERLINK("#",""), HYPERLINK(CONCATENATE("#Metadata!", ADDRESS(INDEX($AJ$2:$AJ$1001,MATCH(ROWS($AH$2:AH6),$AH$2:$AH$1001,0),0), INDEX($AO$1004:$BQ$1004,1,MATCH(COLUMNS($AO$1006:BG1006),$AO$1006:$BQ$1006,0)))),"Fix")))</f>
        <v>#N/A</v>
      </c>
      <c r="U6" s="5" t="e">
        <f ca="1">IF(OR(INDEX($AI$2:$AI$1001,MATCH(ROWS($AH$2:AH6),$AH$2:$AH$1001,0),1)&gt;=100000,INDEX($AO$1005:$BQ$1005,1,MATCH(COLUMNS($AO$1006:BH1006),$AO$1006:$BQ$1006,0))&gt;=100000), " ",IF(INDEX($AO$2:$BQ$1001,MATCH(ROWS($AH$2:AH6),$AH$2:$AH$1001,0),MATCH(COLUMNS($AO$1006:BH1006),$AO$1006:$BQ$1006,0)), HYPERLINK("#",""), HYPERLINK(CONCATENATE("#Metadata!", ADDRESS(INDEX($AJ$2:$AJ$1001,MATCH(ROWS($AH$2:AH6),$AH$2:$AH$1001,0),0), INDEX($AO$1004:$BQ$1004,1,MATCH(COLUMNS($AO$1006:BH1006),$AO$1006:$BQ$1006,0)))),"Fix")))</f>
        <v>#N/A</v>
      </c>
      <c r="V6" s="5" t="e">
        <f ca="1">IF(OR(INDEX($AI$2:$AI$1001,MATCH(ROWS($AH$2:AH6),$AH$2:$AH$1001,0),1)&gt;=100000,INDEX($AO$1005:$BQ$1005,1,MATCH(COLUMNS($AO$1006:BI1006),$AO$1006:$BQ$1006,0))&gt;=100000), " ",IF(INDEX($AO$2:$BQ$1001,MATCH(ROWS($AH$2:AH6),$AH$2:$AH$1001,0),MATCH(COLUMNS($AO$1006:BI1006),$AO$1006:$BQ$1006,0)), HYPERLINK("#",""), HYPERLINK(CONCATENATE("#Metadata!", ADDRESS(INDEX($AJ$2:$AJ$1001,MATCH(ROWS($AH$2:AH6),$AH$2:$AH$1001,0),0), INDEX($AO$1004:$BQ$1004,1,MATCH(COLUMNS($AO$1006:BI1006),$AO$1006:$BQ$1006,0)))),"Fix")))</f>
        <v>#N/A</v>
      </c>
      <c r="W6" s="5" t="e">
        <f ca="1">IF(OR(INDEX($AI$2:$AI$1001,MATCH(ROWS($AH$2:AH6),$AH$2:$AH$1001,0),1)&gt;=100000,INDEX($AO$1005:$BQ$1005,1,MATCH(COLUMNS($AO$1006:BJ1006),$AO$1006:$BQ$1006,0))&gt;=100000), " ",IF(INDEX($AO$2:$BQ$1001,MATCH(ROWS($AH$2:AH6),$AH$2:$AH$1001,0),MATCH(COLUMNS($AO$1006:BJ1006),$AO$1006:$BQ$1006,0)), HYPERLINK("#",""), HYPERLINK(CONCATENATE("#Metadata!", ADDRESS(INDEX($AJ$2:$AJ$1001,MATCH(ROWS($AH$2:AH6),$AH$2:$AH$1001,0),0), INDEX($AO$1004:$BQ$1004,1,MATCH(COLUMNS($AO$1006:BJ1006),$AO$1006:$BQ$1006,0)))),"Fix")))</f>
        <v>#N/A</v>
      </c>
      <c r="X6" s="5" t="e">
        <f ca="1">IF(OR(INDEX($AI$2:$AI$1001,MATCH(ROWS($AH$2:AH6),$AH$2:$AH$1001,0),1)&gt;=100000,INDEX($AO$1005:$BQ$1005,1,MATCH(COLUMNS($AO$1006:BK1006),$AO$1006:$BQ$1006,0))&gt;=100000), " ",IF(INDEX($AO$2:$BQ$1001,MATCH(ROWS($AH$2:AH6),$AH$2:$AH$1001,0),MATCH(COLUMNS($AO$1006:BK1006),$AO$1006:$BQ$1006,0)), HYPERLINK("#",""), HYPERLINK(CONCATENATE("#Metadata!", ADDRESS(INDEX($AJ$2:$AJ$1001,MATCH(ROWS($AH$2:AH6),$AH$2:$AH$1001,0),0), INDEX($AO$1004:$BQ$1004,1,MATCH(COLUMNS($AO$1006:BK1006),$AO$1006:$BQ$1006,0)))),"Fix")))</f>
        <v>#N/A</v>
      </c>
      <c r="Y6" s="5" t="e">
        <f ca="1">IF(OR(INDEX($AI$2:$AI$1001,MATCH(ROWS($AH$2:AH6),$AH$2:$AH$1001,0),1)&gt;=100000,INDEX($AO$1005:$BQ$1005,1,MATCH(COLUMNS($AO$1006:BL1006),$AO$1006:$BQ$1006,0))&gt;=100000), " ",IF(INDEX($AO$2:$BQ$1001,MATCH(ROWS($AH$2:AH6),$AH$2:$AH$1001,0),MATCH(COLUMNS($AO$1006:BL1006),$AO$1006:$BQ$1006,0)), HYPERLINK("#",""), HYPERLINK(CONCATENATE("#Metadata!", ADDRESS(INDEX($AJ$2:$AJ$1001,MATCH(ROWS($AH$2:AH6),$AH$2:$AH$1001,0),0), INDEX($AO$1004:$BQ$1004,1,MATCH(COLUMNS($AO$1006:BL1006),$AO$1006:$BQ$1006,0)))),"Fix")))</f>
        <v>#N/A</v>
      </c>
      <c r="Z6" s="5" t="e">
        <f ca="1">IF(OR(INDEX($AI$2:$AI$1001,MATCH(ROWS($AH$2:AH6),$AH$2:$AH$1001,0),1)&gt;=100000,INDEX($AO$1005:$BQ$1005,1,MATCH(COLUMNS($AO$1006:BM1006),$AO$1006:$BQ$1006,0))&gt;=100000), " ",IF(INDEX($AO$2:$BQ$1001,MATCH(ROWS($AH$2:AH6),$AH$2:$AH$1001,0),MATCH(COLUMNS($AO$1006:BM1006),$AO$1006:$BQ$1006,0)), HYPERLINK("#",""), HYPERLINK(CONCATENATE("#Metadata!", ADDRESS(INDEX($AJ$2:$AJ$1001,MATCH(ROWS($AH$2:AH6),$AH$2:$AH$1001,0),0), INDEX($AO$1004:$BQ$1004,1,MATCH(COLUMNS($AO$1006:BM1006),$AO$1006:$BQ$1006,0)))),"Fix")))</f>
        <v>#N/A</v>
      </c>
      <c r="AA6" s="5" t="e">
        <f ca="1">IF(OR(INDEX($AI$2:$AI$1001,MATCH(ROWS($AH$2:AH6),$AH$2:$AH$1001,0),1)&gt;=100000,INDEX($AO$1005:$BQ$1005,1,MATCH(COLUMNS($AO$1006:BN1006),$AO$1006:$BQ$1006,0))&gt;=100000), " ",IF(INDEX($AO$2:$BQ$1001,MATCH(ROWS($AH$2:AH6),$AH$2:$AH$1001,0),MATCH(COLUMNS($AO$1006:BN1006),$AO$1006:$BQ$1006,0)), HYPERLINK("#",""), HYPERLINK(CONCATENATE("#Metadata!", ADDRESS(INDEX($AJ$2:$AJ$1001,MATCH(ROWS($AH$2:AH6),$AH$2:$AH$1001,0),0), INDEX($AO$1004:$BQ$1004,1,MATCH(COLUMNS($AO$1006:BN1006),$AO$1006:$BQ$1006,0)))),"Fix")))</f>
        <v>#N/A</v>
      </c>
      <c r="AB6" s="5" t="e">
        <f ca="1">IF(OR(INDEX($AI$2:$AI$1001,MATCH(ROWS($AH$2:AH6),$AH$2:$AH$1001,0),1)&gt;=100000,INDEX($AO$1005:$BQ$1005,1,MATCH(COLUMNS($AO$1006:BO1006),$AO$1006:$BQ$1006,0))&gt;=100000), " ",IF(INDEX($AO$2:$BQ$1001,MATCH(ROWS($AH$2:AH6),$AH$2:$AH$1001,0),MATCH(COLUMNS($AO$1006:BO1006),$AO$1006:$BQ$1006,0)), HYPERLINK("#",""), HYPERLINK(CONCATENATE("#Metadata!", ADDRESS(INDEX($AJ$2:$AJ$1001,MATCH(ROWS($AH$2:AH6),$AH$2:$AH$1001,0),0), INDEX($AO$1004:$BQ$1004,1,MATCH(COLUMNS($AO$1006:BO1006),$AO$1006:$BQ$1006,0)))),"Fix")))</f>
        <v>#N/A</v>
      </c>
      <c r="AC6" s="5" t="e">
        <f ca="1">IF(OR(INDEX($AI$2:$AI$1001,MATCH(ROWS($AH$2:AH6),$AH$2:$AH$1001,0),1)&gt;=100000,INDEX($AO$1005:$BQ$1005,1,MATCH(COLUMNS($AO$1006:BP1006),$AO$1006:$BQ$1006,0))&gt;=100000), " ",IF(INDEX($AO$2:$BQ$1001,MATCH(ROWS($AH$2:AH6),$AH$2:$AH$1001,0),MATCH(COLUMNS($AO$1006:BP1006),$AO$1006:$BQ$1006,0)), HYPERLINK("#",""), HYPERLINK(CONCATENATE("#Metadata!", ADDRESS(INDEX($AJ$2:$AJ$1001,MATCH(ROWS($AH$2:AH6),$AH$2:$AH$1001,0),0), INDEX($AO$1004:$BQ$1004,1,MATCH(COLUMNS($AO$1006:BP1006),$AO$1006:$BQ$1006,0)))),"Fix")))</f>
        <v>#N/A</v>
      </c>
      <c r="AD6" s="5" t="e">
        <f ca="1">IF(OR(INDEX($AI$2:$AI$1001,MATCH(ROWS($AH$2:AH6),$AH$2:$AH$1001,0),1)&gt;=100000,INDEX($AO$1005:$BQ$1005,1,MATCH(COLUMNS($AO$1006:BQ1006),$AO$1006:$BQ$1006,0))&gt;=100000), " ",IF(INDEX($AO$2:$BQ$1001,MATCH(ROWS($AH$2:AH6),$AH$2:$AH$1001,0),MATCH(COLUMNS($AO$1006:BQ1006),$AO$1006:$BQ$1006,0)), HYPERLINK("#",""), HYPERLINK(CONCATENATE("#Metadata!", ADDRESS(INDEX($AJ$2:$AJ$1001,MATCH(ROWS($AH$2:AH6),$AH$2:$AH$1001,0),0), INDEX($AO$1004:$BQ$1004,1,MATCH(COLUMNS($AO$1006:BQ1006),$AO$1006:$BQ$1006,0)))),"Fix")))</f>
        <v>#REF!</v>
      </c>
      <c r="AH6">
        <f ca="1"/>
        <v>4</v>
      </c>
      <c r="AI6">
        <f ca="1"/>
        <v>6</v>
      </c>
      <c r="AJ6">
        <v>6</v>
      </c>
      <c r="AK6" t="b">
        <f t="shared" ca="1" si="0"/>
        <v>0</v>
      </c>
      <c r="AL6" t="b">
        <f>COUNTBLANK(Metadata!B6:AD6)=COLUMNS(Metadata!B6:AD6)</f>
        <v>0</v>
      </c>
      <c r="AM6" t="str">
        <v>Environment.Sediment.BTP.36.4Sediment</v>
      </c>
      <c r="AO6" t="b">
        <f ca="1">AND(IF(Metadata!B5="",FALSE,TRUE),COUNTIF(Metadata!B:B, Metadata!B5) = 1,NOT(ISERROR(SUMPRODUCT(SEARCH(MID(Metadata!B5,ROW(INDIRECT("1:"&amp;LEN(Metadata!B5))), 1),"0123456789abcdefghijklmnopqrstuvwxyzABCDEFGHIJKLMNOPQRSTUVWXYZ.")))))</f>
        <v>1</v>
      </c>
      <c r="AP6" t="b">
        <f>IF(Metadata!C5="",FALSE,TRUE)</f>
        <v>1</v>
      </c>
      <c r="AQ6" t="b">
        <f>IF(Metadata!D5="",FALSE,TRUE)</f>
        <v>1</v>
      </c>
      <c r="AR6" t="b">
        <f ca="1">OR(AND(IF(Metadata!E5="",FALSE,TRUE),OR(EXACT(Metadata!E5,"not collected"),EXACT(Metadata!E5,"not provided"),EXACT(Metadata!E5,"restricted access"))),AND(IF(Metadata!E5="",FALSE,TRUE),AND(AND(IFERROR(INT(LEFT(Metadata!E5,4))&gt;1900,FALSE),IFERROR(INT(LEFT(Metadata!E5,4))&lt;=YEAR(NOW()),FALSE)), OR(MID(Metadata!E5,5,1)="", AND(AND(MID(Metadata!E5,5,1)="-",IFERROR(INT(MID(Metadata!E5,6,1))&gt;=0,FALSE),IFERROR(INT(MID(Metadata!E5,6,1))&lt;=1,FALSE),NOT(MID(Metadata!E5,7,1)=""),IFERROR(INT(MID(Metadata!E5,6,2))&gt;=1,FALSE),IFERROR(INT(MID(Metadata!E5,6,2))&lt;=12,FALSE)), OR(MID(Metadata!E5,8,1)="", AND(AND(MID(Metadata!E5,8,1)="-",IFERROR(INT(MID(Metadata!E5,9,1))&gt;=0,FALSE),IFERROR(INT(MID(Metadata!E5,9,1))&lt;=3,FALSE),NOT(MID(Metadata!E5,10,1)=""),IFERROR(INT(MID(Metadata!E5,9,2))&gt;=1,FALSE),IFERROR(INT(MID(Metadata!E5,9,2))&lt;=31,FALSE)), OR(MID(Metadata!E5,11,1)="", AND(AND(MID(Metadata!E5,11,1)=" ",IFERROR(INT(MID(Metadata!E5,12,1))&gt;=0,FALSE),IFERROR(INT(MID(Metadata!E5,12,1))&lt;=2,FALSE),NOT(MID(Metadata!E5,13,1)=""),IFERROR(INT(MID(Metadata!E5,12,2))&gt;=0,FALSE),IFERROR(INT(MID(Metadata!E5,12,2))&lt;=23,FALSE)), OR(MID(Metadata!E5,14,1)="", AND(AND(MID(Metadata!E5,14,1)=":",IFERROR(INT(MID(Metadata!E5,15,1))&gt;=0,FALSE),IFERROR(INT(MID(Metadata!E5,15,1))&lt;=5,FALSE),NOT(MID(Metadata!E5,16,1)=""),IFERROR(INT(MID(Metadata!E5,15,2))&gt;=0,FALSE),IFERROR(INT(MID(Metadata!E5,15,2))&lt;=59,FALSE)), OR(MID(Metadata!E5,17,1)="", AND(AND(MID(Metadata!E5,17,1)=":",IFERROR(INT(MID(Metadata!E5,18,1))&gt;=0,FALSE),IFERROR(INT(MID(Metadata!E5,18,1))&lt;=5,FALSE),NOT(MID(Metadata!E5,19,1)=""),IFERROR(INT(MID(Metadata!E5,18,2))&gt;=0,FALSE),IFERROR(INT(MID(Metadata!E5,18,2))&lt;=59,FALSE)), LEN(Metadata!E5)&lt;=19)))))))))))))</f>
        <v>0</v>
      </c>
      <c r="AS6" t="b">
        <f>IF(Metadata!F5="",FALSE,TRUE)</f>
        <v>1</v>
      </c>
      <c r="AT6" t="b">
        <f>OR(AND(IF(Metadata!G5="",FALSE,TRUE),OR(EXACT(Metadata!G5,"not collected"),EXACT(Metadata!G5,"not provided"))),AND(IF(Metadata!G5="",FALSE,TRUE),OR(EXACT(Metadata!G5,"TRUE"),EXACT(Metadata!G5,"FALSE"))))</f>
        <v>1</v>
      </c>
      <c r="AU6" t="b">
        <f>OR(AND(IF(Metadata!H5="",FALSE,TRUE),OR(EXACT(Metadata!H5,"not collected"),EXACT(Metadata!H5,"not provided"),EXACT(Metadata!H5,"restricted access"))),AND(IF(Metadata!H5="",FALSE,ISNUMBER(VALUE(Metadata!H5))),Metadata!H5&gt;=-413))</f>
        <v>0</v>
      </c>
      <c r="AV6" t="b">
        <f>AND(IF(Metadata!I5="",FALSE,TRUE),EXACT(Metadata!I5,"meters"))</f>
        <v>1</v>
      </c>
      <c r="AW6" t="b">
        <f>AND(IF(Metadata!J5="",FALSE,TRUE),EXACT(Metadata!J5,"free-living"))</f>
        <v>1</v>
      </c>
      <c r="AX6" t="b">
        <f>AND(IF(Metadata!K5="",FALSE,TRUE),OR(EXACT(Metadata!K5,"saline"),EXACT(Metadata!K5,"non-saline")))</f>
        <v>1</v>
      </c>
      <c r="AY6" t="b">
        <f>AND(IF(Metadata!L5="",FALSE,TRUE),OR(EXACT(Metadata!L5,"sub-surface (non-saline)"),EXACT(Metadata!L5,"surface (non-saline)"),EXACT(Metadata!L5,"water (non-saline)"),EXACT(Metadata!L5,"soil (non-saline)"),EXACT(Metadata!L5,"aerosol (non-saline)"),EXACT(Metadata!L5,"sediment (non-saline)"),EXACT(Metadata!L5,"surface (saline)"),EXACT(Metadata!L5,"water (saline)"),EXACT(Metadata!L5,"hypersaline (saline)"),EXACT(Metadata!L5,"aerosol (saline)"),EXACT(Metadata!L5,"sediment (saline)")))</f>
        <v>1</v>
      </c>
      <c r="AZ6" t="b">
        <f>IF(Metadata!M5="",FALSE,TRUE)</f>
        <v>1</v>
      </c>
      <c r="BA6" t="b">
        <f>IF(Metadata!N5="",FALSE,TRUE)</f>
        <v>1</v>
      </c>
      <c r="BB6" t="b">
        <f>IF(Metadata!O5="",FALSE,TRUE)</f>
        <v>1</v>
      </c>
      <c r="BC6" t="b">
        <f>AND(IF(Metadata!P5="",FALSE,TRUE),OR(EXACT(Metadata!P5,"air"),EXACT(Metadata!P5,"microbial mat/biofilm"),EXACT(Metadata!P5,"misc environment"),EXACT(Metadata!P5,"sediment"),EXACT(Metadata!P5,"soil"),EXACT(Metadata!P5,"wastewater/sludge"),EXACT(Metadata!P5,"water")))</f>
        <v>1</v>
      </c>
      <c r="BD6" t="b">
        <f>IF(Metadata!Q5="",FALSE,TRUE)</f>
        <v>1</v>
      </c>
      <c r="BE6" t="b">
        <f>IF(Metadata!R5="",FALSE,TRUE)</f>
        <v>1</v>
      </c>
      <c r="BF6" t="b">
        <f>OR(AND(IF(Metadata!S5="",FALSE,TRUE),OR(EXACT(Metadata!S5,"not collected"),EXACT(Metadata!S5,"not provided"),EXACT(Metadata!S5,"restricted access"))),AND(IF(Metadata!S5="",FALSE,ISNUMBER(VALUE(Metadata!S5))),Metadata!S5&gt;=-90,Metadata!S5&lt;=90))</f>
        <v>0</v>
      </c>
      <c r="BG6" t="b">
        <f>AND(IF(Metadata!T5="",FALSE,TRUE),EXACT(Metadata!T5,"Decimal degrees"))</f>
        <v>1</v>
      </c>
      <c r="BH6" t="b">
        <f>OR(AND(IF(Metadata!U6="",FALSE,TRUE),OR(EXACT(Metadata!U6,"not applicable"),EXACT(Metadata!U6,"not collected"))),IF(Metadata!U6="",FALSE,TRUE))</f>
        <v>1</v>
      </c>
      <c r="BI6" t="b">
        <f>OR(AND(IF(Metadata!V5="",FALSE,TRUE),OR(EXACT(Metadata!V5,"not collected"),EXACT(Metadata!V5,"not provided"),EXACT(Metadata!V5,"restricted access"))),AND(IF(Metadata!V5="",FALSE,ISNUMBER(VALUE(Metadata!V5))),Metadata!V5&gt;=-180,Metadata!V5&lt;=180))</f>
        <v>0</v>
      </c>
      <c r="BJ6" t="b">
        <f>AND(IF(Metadata!W5="",FALSE,TRUE),EXACT(Metadata!W5,"Decimal degrees"))</f>
        <v>1</v>
      </c>
      <c r="BK6" t="b">
        <f>IF(Metadata!X5="",FALSE,TRUE)</f>
        <v>1</v>
      </c>
      <c r="BL6" t="b">
        <f>OR(AND(IF(Metadata!Y5="",FALSE,TRUE),OR(EXACT(Metadata!Y5,"not collected"),EXACT(Metadata!Y5,"not provided"),EXACT(Metadata!Y5,"restricted access"))),AND(IF(Metadata!Y5="",FALSE,TRUE),OR(EXACT(Metadata!Y5,"TRUE"),EXACT(Metadata!Y5,"FALSE"))))</f>
        <v>1</v>
      </c>
      <c r="BM6" t="b">
        <f>OR(AND(IF(Metadata!Z5="",FALSE,TRUE),EXACT(Metadata!Z5,"not applicable")),AND(IF(Metadata!Z5="",FALSE,TRUE),OR(EXACT(Metadata!Z5,"beer"),EXACT(Metadata!Z5,"cheese"),EXACT(Metadata!Z5,"fresh water"),EXACT(Metadata!Z5,"marine sediment"),EXACT(Metadata!Z5,"sea water"),EXACT(Metadata!Z5,"sediment"),EXACT(Metadata!Z5,"soil"),EXACT(Metadata!Z5,"waste water"))))</f>
        <v>1</v>
      </c>
      <c r="BN6" t="b">
        <f>AND(IF(Metadata!AA5="",FALSE,TRUE),EXACT(Metadata!AA5,"metagenome"))</f>
        <v>1</v>
      </c>
      <c r="BO6" t="b">
        <f>AND(IF(Metadata!AB5="",FALSE,TRUE),EXACT(Metadata!AB5,"256318"))</f>
        <v>1</v>
      </c>
      <c r="BP6" t="b">
        <f>IF(Metadata!AC5="",FALSE,TRUE)</f>
        <v>1</v>
      </c>
      <c r="BQ6" t="b">
        <f>IF(Metadata!AD5="",FALSE,TRUE)</f>
        <v>1</v>
      </c>
    </row>
    <row r="7" spans="1:69" x14ac:dyDescent="0.2">
      <c r="A7" s="4" t="e">
        <f ca="1">IF(B7=" "," ",HYPERLINK(CONCATENATE("#metadata!",ADDRESS(INDEX($AJ$2:$AJ$1001,MATCH(ROWS($AH$2:AH7),$AH$2:$AH$1001,0),0),2)),INDEX($AM$2:$AM$1001,MATCH(ROWS($AH$2:AH7),$AH$2:$AH$1001,0),0)))</f>
        <v>#N/A</v>
      </c>
      <c r="B7" s="5" t="e">
        <f ca="1">IF(OR(INDEX($AI$2:$AI$1001,MATCH(ROWS($AH$2:AH7),$AH$2:$AH$1001,0),1)&gt;=100000,INDEX($AO$1005:$BQ$1005,1,MATCH(COLUMNS($AO$1006:AO1006),$AO$1006:$BQ$1006,0))&gt;=100000), " ",IF(INDEX($AO$2:$BQ$1001,MATCH(ROWS($AH$2:AH7),$AH$2:$AH$1001,0),MATCH(COLUMNS($AO$1006:AO1006),$AO$1006:$BQ$1006,0)), HYPERLINK("#",""), HYPERLINK(CONCATENATE("#Metadata!", ADDRESS(INDEX($AJ$2:$AJ$1001,MATCH(ROWS($AH$2:AH7),$AH$2:$AH$1001,0),0), INDEX($AO$1004:$BQ$1004,1,MATCH(COLUMNS($AO$1006:AO1006),$AO$1006:$BQ$1006,0)))),"Fix")))</f>
        <v>#N/A</v>
      </c>
      <c r="C7" s="5" t="e">
        <f ca="1">IF(OR(INDEX($AI$2:$AI$1001,MATCH(ROWS($AH$2:AH7),$AH$2:$AH$1001,0),1)&gt;=100000,INDEX($AO$1005:$BQ$1005,1,MATCH(COLUMNS($AO$1006:AP1006),$AO$1006:$BQ$1006,0))&gt;=100000), " ",IF(INDEX($AO$2:$BQ$1001,MATCH(ROWS($AH$2:AH7),$AH$2:$AH$1001,0),MATCH(COLUMNS($AO$1006:AP1006),$AO$1006:$BQ$1006,0)), HYPERLINK("#",""), HYPERLINK(CONCATENATE("#Metadata!", ADDRESS(INDEX($AJ$2:$AJ$1001,MATCH(ROWS($AH$2:AH7),$AH$2:$AH$1001,0),0), INDEX($AO$1004:$BQ$1004,1,MATCH(COLUMNS($AO$1006:AP1006),$AO$1006:$BQ$1006,0)))),"Fix")))</f>
        <v>#N/A</v>
      </c>
      <c r="D7" s="5" t="e">
        <f ca="1">IF(OR(INDEX($AI$2:$AI$1001,MATCH(ROWS($AH$2:AH7),$AH$2:$AH$1001,0),1)&gt;=100000,INDEX($AO$1005:$BQ$1005,1,MATCH(COLUMNS($AO$1006:AQ1006),$AO$1006:$BQ$1006,0))&gt;=100000), " ",IF(INDEX($AO$2:$BQ$1001,MATCH(ROWS($AH$2:AH7),$AH$2:$AH$1001,0),MATCH(COLUMNS($AO$1006:AQ1006),$AO$1006:$BQ$1006,0)), HYPERLINK("#",""), HYPERLINK(CONCATENATE("#Metadata!", ADDRESS(INDEX($AJ$2:$AJ$1001,MATCH(ROWS($AH$2:AH7),$AH$2:$AH$1001,0),0), INDEX($AO$1004:$BQ$1004,1,MATCH(COLUMNS($AO$1006:AQ1006),$AO$1006:$BQ$1006,0)))),"Fix")))</f>
        <v>#N/A</v>
      </c>
      <c r="E7" s="5" t="e">
        <f ca="1">IF(OR(INDEX($AI$2:$AI$1001,MATCH(ROWS($AH$2:AH7),$AH$2:$AH$1001,0),1)&gt;=100000,INDEX($AO$1005:$BQ$1005,1,MATCH(COLUMNS($AO$1006:AR1006),$AO$1006:$BQ$1006,0))&gt;=100000), " ",IF(INDEX($AO$2:$BQ$1001,MATCH(ROWS($AH$2:AH7),$AH$2:$AH$1001,0),MATCH(COLUMNS($AO$1006:AR1006),$AO$1006:$BQ$1006,0)), HYPERLINK("#",""), HYPERLINK(CONCATENATE("#Metadata!", ADDRESS(INDEX($AJ$2:$AJ$1001,MATCH(ROWS($AH$2:AH7),$AH$2:$AH$1001,0),0), INDEX($AO$1004:$BQ$1004,1,MATCH(COLUMNS($AO$1006:AR1006),$AO$1006:$BQ$1006,0)))),"Fix")))</f>
        <v>#N/A</v>
      </c>
      <c r="F7" s="5" t="e">
        <f ca="1">IF(OR(INDEX($AI$2:$AI$1001,MATCH(ROWS($AH$2:AH7),$AH$2:$AH$1001,0),1)&gt;=100000,INDEX($AO$1005:$BQ$1005,1,MATCH(COLUMNS($AO$1006:AS1006),$AO$1006:$BQ$1006,0))&gt;=100000), " ",IF(INDEX($AO$2:$BQ$1001,MATCH(ROWS($AH$2:AH7),$AH$2:$AH$1001,0),MATCH(COLUMNS($AO$1006:AS1006),$AO$1006:$BQ$1006,0)), HYPERLINK("#",""), HYPERLINK(CONCATENATE("#Metadata!", ADDRESS(INDEX($AJ$2:$AJ$1001,MATCH(ROWS($AH$2:AH7),$AH$2:$AH$1001,0),0), INDEX($AO$1004:$BQ$1004,1,MATCH(COLUMNS($AO$1006:AS1006),$AO$1006:$BQ$1006,0)))),"Fix")))</f>
        <v>#N/A</v>
      </c>
      <c r="G7" s="5" t="e">
        <f ca="1">IF(OR(INDEX($AI$2:$AI$1001,MATCH(ROWS($AH$2:AH7),$AH$2:$AH$1001,0),1)&gt;=100000,INDEX($AO$1005:$BQ$1005,1,MATCH(COLUMNS($AO$1006:AT1006),$AO$1006:$BQ$1006,0))&gt;=100000), " ",IF(INDEX($AO$2:$BQ$1001,MATCH(ROWS($AH$2:AH7),$AH$2:$AH$1001,0),MATCH(COLUMNS($AO$1006:AT1006),$AO$1006:$BQ$1006,0)), HYPERLINK("#",""), HYPERLINK(CONCATENATE("#Metadata!", ADDRESS(INDEX($AJ$2:$AJ$1001,MATCH(ROWS($AH$2:AH7),$AH$2:$AH$1001,0),0), INDEX($AO$1004:$BQ$1004,1,MATCH(COLUMNS($AO$1006:AT1006),$AO$1006:$BQ$1006,0)))),"Fix")))</f>
        <v>#N/A</v>
      </c>
      <c r="H7" s="5" t="e">
        <f ca="1">IF(OR(INDEX($AI$2:$AI$1001,MATCH(ROWS($AH$2:AH7),$AH$2:$AH$1001,0),1)&gt;=100000,INDEX($AO$1005:$BQ$1005,1,MATCH(COLUMNS($AO$1006:AU1006),$AO$1006:$BQ$1006,0))&gt;=100000), " ",IF(INDEX($AO$2:$BQ$1001,MATCH(ROWS($AH$2:AH7),$AH$2:$AH$1001,0),MATCH(COLUMNS($AO$1006:AU1006),$AO$1006:$BQ$1006,0)), HYPERLINK("#",""), HYPERLINK(CONCATENATE("#Metadata!", ADDRESS(INDEX($AJ$2:$AJ$1001,MATCH(ROWS($AH$2:AH7),$AH$2:$AH$1001,0),0), INDEX($AO$1004:$BQ$1004,1,MATCH(COLUMNS($AO$1006:AU1006),$AO$1006:$BQ$1006,0)))),"Fix")))</f>
        <v>#N/A</v>
      </c>
      <c r="I7" s="5" t="e">
        <f ca="1">IF(OR(INDEX($AI$2:$AI$1001,MATCH(ROWS($AH$2:AH7),$AH$2:$AH$1001,0),1)&gt;=100000,INDEX($AO$1005:$BQ$1005,1,MATCH(COLUMNS($AO$1006:AV1006),$AO$1006:$BQ$1006,0))&gt;=100000), " ",IF(INDEX($AO$2:$BQ$1001,MATCH(ROWS($AH$2:AH7),$AH$2:$AH$1001,0),MATCH(COLUMNS($AO$1006:AV1006),$AO$1006:$BQ$1006,0)), HYPERLINK("#",""), HYPERLINK(CONCATENATE("#Metadata!", ADDRESS(INDEX($AJ$2:$AJ$1001,MATCH(ROWS($AH$2:AH7),$AH$2:$AH$1001,0),0), INDEX($AO$1004:$BQ$1004,1,MATCH(COLUMNS($AO$1006:AV1006),$AO$1006:$BQ$1006,0)))),"Fix")))</f>
        <v>#N/A</v>
      </c>
      <c r="J7" s="5" t="e">
        <f ca="1">IF(OR(INDEX($AI$2:$AI$1001,MATCH(ROWS($AH$2:AH7),$AH$2:$AH$1001,0),1)&gt;=100000,INDEX($AO$1005:$BQ$1005,1,MATCH(COLUMNS($AO$1006:AW1006),$AO$1006:$BQ$1006,0))&gt;=100000), " ",IF(INDEX($AO$2:$BQ$1001,MATCH(ROWS($AH$2:AH7),$AH$2:$AH$1001,0),MATCH(COLUMNS($AO$1006:AW1006),$AO$1006:$BQ$1006,0)), HYPERLINK("#",""), HYPERLINK(CONCATENATE("#Metadata!", ADDRESS(INDEX($AJ$2:$AJ$1001,MATCH(ROWS($AH$2:AH7),$AH$2:$AH$1001,0),0), INDEX($AO$1004:$BQ$1004,1,MATCH(COLUMNS($AO$1006:AW1006),$AO$1006:$BQ$1006,0)))),"Fix")))</f>
        <v>#N/A</v>
      </c>
      <c r="K7" s="5" t="e">
        <f ca="1">IF(OR(INDEX($AI$2:$AI$1001,MATCH(ROWS($AH$2:AH7),$AH$2:$AH$1001,0),1)&gt;=100000,INDEX($AO$1005:$BQ$1005,1,MATCH(COLUMNS($AO$1006:AX1006),$AO$1006:$BQ$1006,0))&gt;=100000), " ",IF(INDEX($AO$2:$BQ$1001,MATCH(ROWS($AH$2:AH7),$AH$2:$AH$1001,0),MATCH(COLUMNS($AO$1006:AX1006),$AO$1006:$BQ$1006,0)), HYPERLINK("#",""), HYPERLINK(CONCATENATE("#Metadata!", ADDRESS(INDEX($AJ$2:$AJ$1001,MATCH(ROWS($AH$2:AH7),$AH$2:$AH$1001,0),0), INDEX($AO$1004:$BQ$1004,1,MATCH(COLUMNS($AO$1006:AX1006),$AO$1006:$BQ$1006,0)))),"Fix")))</f>
        <v>#N/A</v>
      </c>
      <c r="L7" s="5" t="e">
        <f ca="1">IF(OR(INDEX($AI$2:$AI$1001,MATCH(ROWS($AH$2:AH7),$AH$2:$AH$1001,0),1)&gt;=100000,INDEX($AO$1005:$BQ$1005,1,MATCH(COLUMNS($AO$1006:AY1006),$AO$1006:$BQ$1006,0))&gt;=100000), " ",IF(INDEX($AO$2:$BQ$1001,MATCH(ROWS($AH$2:AH7),$AH$2:$AH$1001,0),MATCH(COLUMNS($AO$1006:AY1006),$AO$1006:$BQ$1006,0)), HYPERLINK("#",""), HYPERLINK(CONCATENATE("#Metadata!", ADDRESS(INDEX($AJ$2:$AJ$1001,MATCH(ROWS($AH$2:AH7),$AH$2:$AH$1001,0),0), INDEX($AO$1004:$BQ$1004,1,MATCH(COLUMNS($AO$1006:AY1006),$AO$1006:$BQ$1006,0)))),"Fix")))</f>
        <v>#N/A</v>
      </c>
      <c r="M7" s="5" t="e">
        <f ca="1">IF(OR(INDEX($AI$2:$AI$1001,MATCH(ROWS($AH$2:AH7),$AH$2:$AH$1001,0),1)&gt;=100000,INDEX($AO$1005:$BQ$1005,1,MATCH(COLUMNS($AO$1006:AZ1006),$AO$1006:$BQ$1006,0))&gt;=100000), " ",IF(INDEX($AO$2:$BQ$1001,MATCH(ROWS($AH$2:AH7),$AH$2:$AH$1001,0),MATCH(COLUMNS($AO$1006:AZ1006),$AO$1006:$BQ$1006,0)), HYPERLINK("#",""), HYPERLINK(CONCATENATE("#Metadata!", ADDRESS(INDEX($AJ$2:$AJ$1001,MATCH(ROWS($AH$2:AH7),$AH$2:$AH$1001,0),0), INDEX($AO$1004:$BQ$1004,1,MATCH(COLUMNS($AO$1006:AZ1006),$AO$1006:$BQ$1006,0)))),"Fix")))</f>
        <v>#N/A</v>
      </c>
      <c r="N7" s="5" t="e">
        <f ca="1">IF(OR(INDEX($AI$2:$AI$1001,MATCH(ROWS($AH$2:AH7),$AH$2:$AH$1001,0),1)&gt;=100000,INDEX($AO$1005:$BQ$1005,1,MATCH(COLUMNS($AO$1006:BA1006),$AO$1006:$BQ$1006,0))&gt;=100000), " ",IF(INDEX($AO$2:$BQ$1001,MATCH(ROWS($AH$2:AH7),$AH$2:$AH$1001,0),MATCH(COLUMNS($AO$1006:BA1006),$AO$1006:$BQ$1006,0)), HYPERLINK("#",""), HYPERLINK(CONCATENATE("#Metadata!", ADDRESS(INDEX($AJ$2:$AJ$1001,MATCH(ROWS($AH$2:AH7),$AH$2:$AH$1001,0),0), INDEX($AO$1004:$BQ$1004,1,MATCH(COLUMNS($AO$1006:BA1006),$AO$1006:$BQ$1006,0)))),"Fix")))</f>
        <v>#N/A</v>
      </c>
      <c r="O7" s="5" t="e">
        <f ca="1">IF(OR(INDEX($AI$2:$AI$1001,MATCH(ROWS($AH$2:AH7),$AH$2:$AH$1001,0),1)&gt;=100000,INDEX($AO$1005:$BQ$1005,1,MATCH(COLUMNS($AO$1006:BB1006),$AO$1006:$BQ$1006,0))&gt;=100000), " ",IF(INDEX($AO$2:$BQ$1001,MATCH(ROWS($AH$2:AH7),$AH$2:$AH$1001,0),MATCH(COLUMNS($AO$1006:BB1006),$AO$1006:$BQ$1006,0)), HYPERLINK("#",""), HYPERLINK(CONCATENATE("#Metadata!", ADDRESS(INDEX($AJ$2:$AJ$1001,MATCH(ROWS($AH$2:AH7),$AH$2:$AH$1001,0),0), INDEX($AO$1004:$BQ$1004,1,MATCH(COLUMNS($AO$1006:BB1006),$AO$1006:$BQ$1006,0)))),"Fix")))</f>
        <v>#N/A</v>
      </c>
      <c r="P7" s="5" t="e">
        <f ca="1">IF(OR(INDEX($AI$2:$AI$1001,MATCH(ROWS($AH$2:AH7),$AH$2:$AH$1001,0),1)&gt;=100000,INDEX($AO$1005:$BQ$1005,1,MATCH(COLUMNS($AO$1006:BC1006),$AO$1006:$BQ$1006,0))&gt;=100000), " ",IF(INDEX($AO$2:$BQ$1001,MATCH(ROWS($AH$2:AH7),$AH$2:$AH$1001,0),MATCH(COLUMNS($AO$1006:BC1006),$AO$1006:$BQ$1006,0)), HYPERLINK("#",""), HYPERLINK(CONCATENATE("#Metadata!", ADDRESS(INDEX($AJ$2:$AJ$1001,MATCH(ROWS($AH$2:AH7),$AH$2:$AH$1001,0),0), INDEX($AO$1004:$BQ$1004,1,MATCH(COLUMNS($AO$1006:BC1006),$AO$1006:$BQ$1006,0)))),"Fix")))</f>
        <v>#N/A</v>
      </c>
      <c r="Q7" s="5" t="e">
        <f ca="1">IF(OR(INDEX($AI$2:$AI$1001,MATCH(ROWS($AH$2:AH7),$AH$2:$AH$1001,0),1)&gt;=100000,INDEX($AO$1005:$BQ$1005,1,MATCH(COLUMNS($AO$1006:BD1006),$AO$1006:$BQ$1006,0))&gt;=100000), " ",IF(INDEX($AO$2:$BQ$1001,MATCH(ROWS($AH$2:AH7),$AH$2:$AH$1001,0),MATCH(COLUMNS($AO$1006:BD1006),$AO$1006:$BQ$1006,0)), HYPERLINK("#",""), HYPERLINK(CONCATENATE("#Metadata!", ADDRESS(INDEX($AJ$2:$AJ$1001,MATCH(ROWS($AH$2:AH7),$AH$2:$AH$1001,0),0), INDEX($AO$1004:$BQ$1004,1,MATCH(COLUMNS($AO$1006:BD1006),$AO$1006:$BQ$1006,0)))),"Fix")))</f>
        <v>#N/A</v>
      </c>
      <c r="R7" s="5" t="e">
        <f ca="1">IF(OR(INDEX($AI$2:$AI$1001,MATCH(ROWS($AH$2:AH7),$AH$2:$AH$1001,0),1)&gt;=100000,INDEX($AO$1005:$BQ$1005,1,MATCH(COLUMNS($AO$1006:BE1006),$AO$1006:$BQ$1006,0))&gt;=100000), " ",IF(INDEX($AO$2:$BQ$1001,MATCH(ROWS($AH$2:AH7),$AH$2:$AH$1001,0),MATCH(COLUMNS($AO$1006:BE1006),$AO$1006:$BQ$1006,0)), HYPERLINK("#",""), HYPERLINK(CONCATENATE("#Metadata!", ADDRESS(INDEX($AJ$2:$AJ$1001,MATCH(ROWS($AH$2:AH7),$AH$2:$AH$1001,0),0), INDEX($AO$1004:$BQ$1004,1,MATCH(COLUMNS($AO$1006:BE1006),$AO$1006:$BQ$1006,0)))),"Fix")))</f>
        <v>#N/A</v>
      </c>
      <c r="S7" s="5" t="e">
        <f ca="1">IF(OR(INDEX($AI$2:$AI$1001,MATCH(ROWS($AH$2:AH7),$AH$2:$AH$1001,0),1)&gt;=100000,INDEX($AO$1005:$BQ$1005,1,MATCH(COLUMNS($AO$1006:BF1006),$AO$1006:$BQ$1006,0))&gt;=100000), " ",IF(INDEX($AO$2:$BQ$1001,MATCH(ROWS($AH$2:AH7),$AH$2:$AH$1001,0),MATCH(COLUMNS($AO$1006:BF1006),$AO$1006:$BQ$1006,0)), HYPERLINK("#",""), HYPERLINK(CONCATENATE("#Metadata!", ADDRESS(INDEX($AJ$2:$AJ$1001,MATCH(ROWS($AH$2:AH7),$AH$2:$AH$1001,0),0), INDEX($AO$1004:$BQ$1004,1,MATCH(COLUMNS($AO$1006:BF1006),$AO$1006:$BQ$1006,0)))),"Fix")))</f>
        <v>#N/A</v>
      </c>
      <c r="T7" s="5" t="e">
        <f ca="1">IF(OR(INDEX($AI$2:$AI$1001,MATCH(ROWS($AH$2:AH7),$AH$2:$AH$1001,0),1)&gt;=100000,INDEX($AO$1005:$BQ$1005,1,MATCH(COLUMNS($AO$1006:BG1006),$AO$1006:$BQ$1006,0))&gt;=100000), " ",IF(INDEX($AO$2:$BQ$1001,MATCH(ROWS($AH$2:AH7),$AH$2:$AH$1001,0),MATCH(COLUMNS($AO$1006:BG1006),$AO$1006:$BQ$1006,0)), HYPERLINK("#",""), HYPERLINK(CONCATENATE("#Metadata!", ADDRESS(INDEX($AJ$2:$AJ$1001,MATCH(ROWS($AH$2:AH7),$AH$2:$AH$1001,0),0), INDEX($AO$1004:$BQ$1004,1,MATCH(COLUMNS($AO$1006:BG1006),$AO$1006:$BQ$1006,0)))),"Fix")))</f>
        <v>#N/A</v>
      </c>
      <c r="U7" s="5" t="e">
        <f ca="1">IF(OR(INDEX($AI$2:$AI$1001,MATCH(ROWS($AH$2:AH7),$AH$2:$AH$1001,0),1)&gt;=100000,INDEX($AO$1005:$BQ$1005,1,MATCH(COLUMNS($AO$1006:BH1006),$AO$1006:$BQ$1006,0))&gt;=100000), " ",IF(INDEX($AO$2:$BQ$1001,MATCH(ROWS($AH$2:AH7),$AH$2:$AH$1001,0),MATCH(COLUMNS($AO$1006:BH1006),$AO$1006:$BQ$1006,0)), HYPERLINK("#",""), HYPERLINK(CONCATENATE("#Metadata!", ADDRESS(INDEX($AJ$2:$AJ$1001,MATCH(ROWS($AH$2:AH7),$AH$2:$AH$1001,0),0), INDEX($AO$1004:$BQ$1004,1,MATCH(COLUMNS($AO$1006:BH1006),$AO$1006:$BQ$1006,0)))),"Fix")))</f>
        <v>#N/A</v>
      </c>
      <c r="V7" s="5" t="e">
        <f ca="1">IF(OR(INDEX($AI$2:$AI$1001,MATCH(ROWS($AH$2:AH7),$AH$2:$AH$1001,0),1)&gt;=100000,INDEX($AO$1005:$BQ$1005,1,MATCH(COLUMNS($AO$1006:BI1006),$AO$1006:$BQ$1006,0))&gt;=100000), " ",IF(INDEX($AO$2:$BQ$1001,MATCH(ROWS($AH$2:AH7),$AH$2:$AH$1001,0),MATCH(COLUMNS($AO$1006:BI1006),$AO$1006:$BQ$1006,0)), HYPERLINK("#",""), HYPERLINK(CONCATENATE("#Metadata!", ADDRESS(INDEX($AJ$2:$AJ$1001,MATCH(ROWS($AH$2:AH7),$AH$2:$AH$1001,0),0), INDEX($AO$1004:$BQ$1004,1,MATCH(COLUMNS($AO$1006:BI1006),$AO$1006:$BQ$1006,0)))),"Fix")))</f>
        <v>#N/A</v>
      </c>
      <c r="W7" s="5" t="e">
        <f ca="1">IF(OR(INDEX($AI$2:$AI$1001,MATCH(ROWS($AH$2:AH7),$AH$2:$AH$1001,0),1)&gt;=100000,INDEX($AO$1005:$BQ$1005,1,MATCH(COLUMNS($AO$1006:BJ1006),$AO$1006:$BQ$1006,0))&gt;=100000), " ",IF(INDEX($AO$2:$BQ$1001,MATCH(ROWS($AH$2:AH7),$AH$2:$AH$1001,0),MATCH(COLUMNS($AO$1006:BJ1006),$AO$1006:$BQ$1006,0)), HYPERLINK("#",""), HYPERLINK(CONCATENATE("#Metadata!", ADDRESS(INDEX($AJ$2:$AJ$1001,MATCH(ROWS($AH$2:AH7),$AH$2:$AH$1001,0),0), INDEX($AO$1004:$BQ$1004,1,MATCH(COLUMNS($AO$1006:BJ1006),$AO$1006:$BQ$1006,0)))),"Fix")))</f>
        <v>#N/A</v>
      </c>
      <c r="X7" s="5" t="e">
        <f ca="1">IF(OR(INDEX($AI$2:$AI$1001,MATCH(ROWS($AH$2:AH7),$AH$2:$AH$1001,0),1)&gt;=100000,INDEX($AO$1005:$BQ$1005,1,MATCH(COLUMNS($AO$1006:BK1006),$AO$1006:$BQ$1006,0))&gt;=100000), " ",IF(INDEX($AO$2:$BQ$1001,MATCH(ROWS($AH$2:AH7),$AH$2:$AH$1001,0),MATCH(COLUMNS($AO$1006:BK1006),$AO$1006:$BQ$1006,0)), HYPERLINK("#",""), HYPERLINK(CONCATENATE("#Metadata!", ADDRESS(INDEX($AJ$2:$AJ$1001,MATCH(ROWS($AH$2:AH7),$AH$2:$AH$1001,0),0), INDEX($AO$1004:$BQ$1004,1,MATCH(COLUMNS($AO$1006:BK1006),$AO$1006:$BQ$1006,0)))),"Fix")))</f>
        <v>#N/A</v>
      </c>
      <c r="Y7" s="5" t="e">
        <f ca="1">IF(OR(INDEX($AI$2:$AI$1001,MATCH(ROWS($AH$2:AH7),$AH$2:$AH$1001,0),1)&gt;=100000,INDEX($AO$1005:$BQ$1005,1,MATCH(COLUMNS($AO$1006:BL1006),$AO$1006:$BQ$1006,0))&gt;=100000), " ",IF(INDEX($AO$2:$BQ$1001,MATCH(ROWS($AH$2:AH7),$AH$2:$AH$1001,0),MATCH(COLUMNS($AO$1006:BL1006),$AO$1006:$BQ$1006,0)), HYPERLINK("#",""), HYPERLINK(CONCATENATE("#Metadata!", ADDRESS(INDEX($AJ$2:$AJ$1001,MATCH(ROWS($AH$2:AH7),$AH$2:$AH$1001,0),0), INDEX($AO$1004:$BQ$1004,1,MATCH(COLUMNS($AO$1006:BL1006),$AO$1006:$BQ$1006,0)))),"Fix")))</f>
        <v>#N/A</v>
      </c>
      <c r="Z7" s="5" t="e">
        <f ca="1">IF(OR(INDEX($AI$2:$AI$1001,MATCH(ROWS($AH$2:AH7),$AH$2:$AH$1001,0),1)&gt;=100000,INDEX($AO$1005:$BQ$1005,1,MATCH(COLUMNS($AO$1006:BM1006),$AO$1006:$BQ$1006,0))&gt;=100000), " ",IF(INDEX($AO$2:$BQ$1001,MATCH(ROWS($AH$2:AH7),$AH$2:$AH$1001,0),MATCH(COLUMNS($AO$1006:BM1006),$AO$1006:$BQ$1006,0)), HYPERLINK("#",""), HYPERLINK(CONCATENATE("#Metadata!", ADDRESS(INDEX($AJ$2:$AJ$1001,MATCH(ROWS($AH$2:AH7),$AH$2:$AH$1001,0),0), INDEX($AO$1004:$BQ$1004,1,MATCH(COLUMNS($AO$1006:BM1006),$AO$1006:$BQ$1006,0)))),"Fix")))</f>
        <v>#N/A</v>
      </c>
      <c r="AA7" s="5" t="e">
        <f ca="1">IF(OR(INDEX($AI$2:$AI$1001,MATCH(ROWS($AH$2:AH7),$AH$2:$AH$1001,0),1)&gt;=100000,INDEX($AO$1005:$BQ$1005,1,MATCH(COLUMNS($AO$1006:BN1006),$AO$1006:$BQ$1006,0))&gt;=100000), " ",IF(INDEX($AO$2:$BQ$1001,MATCH(ROWS($AH$2:AH7),$AH$2:$AH$1001,0),MATCH(COLUMNS($AO$1006:BN1006),$AO$1006:$BQ$1006,0)), HYPERLINK("#",""), HYPERLINK(CONCATENATE("#Metadata!", ADDRESS(INDEX($AJ$2:$AJ$1001,MATCH(ROWS($AH$2:AH7),$AH$2:$AH$1001,0),0), INDEX($AO$1004:$BQ$1004,1,MATCH(COLUMNS($AO$1006:BN1006),$AO$1006:$BQ$1006,0)))),"Fix")))</f>
        <v>#N/A</v>
      </c>
      <c r="AB7" s="5" t="e">
        <f ca="1">IF(OR(INDEX($AI$2:$AI$1001,MATCH(ROWS($AH$2:AH7),$AH$2:$AH$1001,0),1)&gt;=100000,INDEX($AO$1005:$BQ$1005,1,MATCH(COLUMNS($AO$1006:BO1006),$AO$1006:$BQ$1006,0))&gt;=100000), " ",IF(INDEX($AO$2:$BQ$1001,MATCH(ROWS($AH$2:AH7),$AH$2:$AH$1001,0),MATCH(COLUMNS($AO$1006:BO1006),$AO$1006:$BQ$1006,0)), HYPERLINK("#",""), HYPERLINK(CONCATENATE("#Metadata!", ADDRESS(INDEX($AJ$2:$AJ$1001,MATCH(ROWS($AH$2:AH7),$AH$2:$AH$1001,0),0), INDEX($AO$1004:$BQ$1004,1,MATCH(COLUMNS($AO$1006:BO1006),$AO$1006:$BQ$1006,0)))),"Fix")))</f>
        <v>#N/A</v>
      </c>
      <c r="AC7" s="5" t="e">
        <f ca="1">IF(OR(INDEX($AI$2:$AI$1001,MATCH(ROWS($AH$2:AH7),$AH$2:$AH$1001,0),1)&gt;=100000,INDEX($AO$1005:$BQ$1005,1,MATCH(COLUMNS($AO$1006:BP1006),$AO$1006:$BQ$1006,0))&gt;=100000), " ",IF(INDEX($AO$2:$BQ$1001,MATCH(ROWS($AH$2:AH7),$AH$2:$AH$1001,0),MATCH(COLUMNS($AO$1006:BP1006),$AO$1006:$BQ$1006,0)), HYPERLINK("#",""), HYPERLINK(CONCATENATE("#Metadata!", ADDRESS(INDEX($AJ$2:$AJ$1001,MATCH(ROWS($AH$2:AH7),$AH$2:$AH$1001,0),0), INDEX($AO$1004:$BQ$1004,1,MATCH(COLUMNS($AO$1006:BP1006),$AO$1006:$BQ$1006,0)))),"Fix")))</f>
        <v>#N/A</v>
      </c>
      <c r="AD7" s="5" t="e">
        <f ca="1">IF(OR(INDEX($AI$2:$AI$1001,MATCH(ROWS($AH$2:AH7),$AH$2:$AH$1001,0),1)&gt;=100000,INDEX($AO$1005:$BQ$1005,1,MATCH(COLUMNS($AO$1006:BQ1006),$AO$1006:$BQ$1006,0))&gt;=100000), " ",IF(INDEX($AO$2:$BQ$1001,MATCH(ROWS($AH$2:AH7),$AH$2:$AH$1001,0),MATCH(COLUMNS($AO$1006:BQ1006),$AO$1006:$BQ$1006,0)), HYPERLINK("#",""), HYPERLINK(CONCATENATE("#Metadata!", ADDRESS(INDEX($AJ$2:$AJ$1001,MATCH(ROWS($AH$2:AH7),$AH$2:$AH$1001,0),0), INDEX($AO$1004:$BQ$1004,1,MATCH(COLUMNS($AO$1006:BQ1006),$AO$1006:$BQ$1006,0)))),"Fix")))</f>
        <v>#REF!</v>
      </c>
      <c r="AH7">
        <f ca="1"/>
        <v>5</v>
      </c>
      <c r="AI7">
        <f ca="1"/>
        <v>7</v>
      </c>
      <c r="AJ7">
        <v>7</v>
      </c>
      <c r="AK7" t="b">
        <f t="shared" ca="1" si="0"/>
        <v>0</v>
      </c>
      <c r="AL7" t="b">
        <f>COUNTBLANK(Metadata!B7:AD7)=COLUMNS(Metadata!B7:AD7)</f>
        <v>0</v>
      </c>
      <c r="AM7" t="str">
        <v>Environment.Sediment.BTP.36.3Sediment</v>
      </c>
      <c r="AO7" t="b">
        <f ca="1">AND(IF(Metadata!B6="",FALSE,TRUE),COUNTIF(Metadata!B:B, Metadata!B6) = 1,NOT(ISERROR(SUMPRODUCT(SEARCH(MID(Metadata!B6,ROW(INDIRECT("1:"&amp;LEN(Metadata!B6))), 1),"0123456789abcdefghijklmnopqrstuvwxyzABCDEFGHIJKLMNOPQRSTUVWXYZ.")))))</f>
        <v>1</v>
      </c>
      <c r="AP7" t="b">
        <f>IF(Metadata!C6="",FALSE,TRUE)</f>
        <v>1</v>
      </c>
      <c r="AQ7" t="b">
        <f>IF(Metadata!D6="",FALSE,TRUE)</f>
        <v>1</v>
      </c>
      <c r="AR7" t="b">
        <f ca="1">OR(AND(IF(Metadata!E6="",FALSE,TRUE),OR(EXACT(Metadata!E6,"not collected"),EXACT(Metadata!E6,"not provided"),EXACT(Metadata!E6,"restricted access"))),AND(IF(Metadata!E6="",FALSE,TRUE),AND(AND(IFERROR(INT(LEFT(Metadata!E6,4))&gt;1900,FALSE),IFERROR(INT(LEFT(Metadata!E6,4))&lt;=YEAR(NOW()),FALSE)), OR(MID(Metadata!E6,5,1)="", AND(AND(MID(Metadata!E6,5,1)="-",IFERROR(INT(MID(Metadata!E6,6,1))&gt;=0,FALSE),IFERROR(INT(MID(Metadata!E6,6,1))&lt;=1,FALSE),NOT(MID(Metadata!E6,7,1)=""),IFERROR(INT(MID(Metadata!E6,6,2))&gt;=1,FALSE),IFERROR(INT(MID(Metadata!E6,6,2))&lt;=12,FALSE)), OR(MID(Metadata!E6,8,1)="", AND(AND(MID(Metadata!E6,8,1)="-",IFERROR(INT(MID(Metadata!E6,9,1))&gt;=0,FALSE),IFERROR(INT(MID(Metadata!E6,9,1))&lt;=3,FALSE),NOT(MID(Metadata!E6,10,1)=""),IFERROR(INT(MID(Metadata!E6,9,2))&gt;=1,FALSE),IFERROR(INT(MID(Metadata!E6,9,2))&lt;=31,FALSE)), OR(MID(Metadata!E6,11,1)="", AND(AND(MID(Metadata!E6,11,1)=" ",IFERROR(INT(MID(Metadata!E6,12,1))&gt;=0,FALSE),IFERROR(INT(MID(Metadata!E6,12,1))&lt;=2,FALSE),NOT(MID(Metadata!E6,13,1)=""),IFERROR(INT(MID(Metadata!E6,12,2))&gt;=0,FALSE),IFERROR(INT(MID(Metadata!E6,12,2))&lt;=23,FALSE)), OR(MID(Metadata!E6,14,1)="", AND(AND(MID(Metadata!E6,14,1)=":",IFERROR(INT(MID(Metadata!E6,15,1))&gt;=0,FALSE),IFERROR(INT(MID(Metadata!E6,15,1))&lt;=5,FALSE),NOT(MID(Metadata!E6,16,1)=""),IFERROR(INT(MID(Metadata!E6,15,2))&gt;=0,FALSE),IFERROR(INT(MID(Metadata!E6,15,2))&lt;=59,FALSE)), OR(MID(Metadata!E6,17,1)="", AND(AND(MID(Metadata!E6,17,1)=":",IFERROR(INT(MID(Metadata!E6,18,1))&gt;=0,FALSE),IFERROR(INT(MID(Metadata!E6,18,1))&lt;=5,FALSE),NOT(MID(Metadata!E6,19,1)=""),IFERROR(INT(MID(Metadata!E6,18,2))&gt;=0,FALSE),IFERROR(INT(MID(Metadata!E6,18,2))&lt;=59,FALSE)), LEN(Metadata!E6)&lt;=19)))))))))))))</f>
        <v>0</v>
      </c>
      <c r="AS7" t="b">
        <f>IF(Metadata!F6="",FALSE,TRUE)</f>
        <v>1</v>
      </c>
      <c r="AT7" t="b">
        <f>OR(AND(IF(Metadata!G6="",FALSE,TRUE),OR(EXACT(Metadata!G6,"not collected"),EXACT(Metadata!G6,"not provided"))),AND(IF(Metadata!G6="",FALSE,TRUE),OR(EXACT(Metadata!G6,"TRUE"),EXACT(Metadata!G6,"FALSE"))))</f>
        <v>1</v>
      </c>
      <c r="AU7" t="b">
        <f>OR(AND(IF(Metadata!H6="",FALSE,TRUE),OR(EXACT(Metadata!H6,"not collected"),EXACT(Metadata!H6,"not provided"),EXACT(Metadata!H6,"restricted access"))),AND(IF(Metadata!H6="",FALSE,ISNUMBER(VALUE(Metadata!H6))),Metadata!H6&gt;=-413))</f>
        <v>0</v>
      </c>
      <c r="AV7" t="b">
        <f>AND(IF(Metadata!I6="",FALSE,TRUE),EXACT(Metadata!I6,"meters"))</f>
        <v>1</v>
      </c>
      <c r="AW7" t="b">
        <f>AND(IF(Metadata!J6="",FALSE,TRUE),EXACT(Metadata!J6,"free-living"))</f>
        <v>1</v>
      </c>
      <c r="AX7" t="b">
        <f>AND(IF(Metadata!K6="",FALSE,TRUE),OR(EXACT(Metadata!K6,"saline"),EXACT(Metadata!K6,"non-saline")))</f>
        <v>1</v>
      </c>
      <c r="AY7" t="b">
        <f>AND(IF(Metadata!L6="",FALSE,TRUE),OR(EXACT(Metadata!L6,"sub-surface (non-saline)"),EXACT(Metadata!L6,"surface (non-saline)"),EXACT(Metadata!L6,"water (non-saline)"),EXACT(Metadata!L6,"soil (non-saline)"),EXACT(Metadata!L6,"aerosol (non-saline)"),EXACT(Metadata!L6,"sediment (non-saline)"),EXACT(Metadata!L6,"surface (saline)"),EXACT(Metadata!L6,"water (saline)"),EXACT(Metadata!L6,"hypersaline (saline)"),EXACT(Metadata!L6,"aerosol (saline)"),EXACT(Metadata!L6,"sediment (saline)")))</f>
        <v>1</v>
      </c>
      <c r="AZ7" t="b">
        <f>IF(Metadata!M6="",FALSE,TRUE)</f>
        <v>1</v>
      </c>
      <c r="BA7" t="b">
        <f>IF(Metadata!N6="",FALSE,TRUE)</f>
        <v>1</v>
      </c>
      <c r="BB7" t="b">
        <f>IF(Metadata!O6="",FALSE,TRUE)</f>
        <v>1</v>
      </c>
      <c r="BC7" t="b">
        <f>AND(IF(Metadata!P6="",FALSE,TRUE),OR(EXACT(Metadata!P6,"air"),EXACT(Metadata!P6,"microbial mat/biofilm"),EXACT(Metadata!P6,"misc environment"),EXACT(Metadata!P6,"sediment"),EXACT(Metadata!P6,"soil"),EXACT(Metadata!P6,"wastewater/sludge"),EXACT(Metadata!P6,"water")))</f>
        <v>1</v>
      </c>
      <c r="BD7" t="b">
        <f>IF(Metadata!Q6="",FALSE,TRUE)</f>
        <v>1</v>
      </c>
      <c r="BE7" t="b">
        <f>IF(Metadata!R6="",FALSE,TRUE)</f>
        <v>1</v>
      </c>
      <c r="BF7" t="b">
        <f>OR(AND(IF(Metadata!S6="",FALSE,TRUE),OR(EXACT(Metadata!S6,"not collected"),EXACT(Metadata!S6,"not provided"),EXACT(Metadata!S6,"restricted access"))),AND(IF(Metadata!S6="",FALSE,ISNUMBER(VALUE(Metadata!S6))),Metadata!S6&gt;=-90,Metadata!S6&lt;=90))</f>
        <v>0</v>
      </c>
      <c r="BG7" t="b">
        <f>AND(IF(Metadata!T6="",FALSE,TRUE),EXACT(Metadata!T6,"Decimal degrees"))</f>
        <v>1</v>
      </c>
      <c r="BH7" t="b">
        <f>OR(AND(IF(Metadata!U7="",FALSE,TRUE),OR(EXACT(Metadata!U7,"not applicable"),EXACT(Metadata!U7,"not collected"))),IF(Metadata!U7="",FALSE,TRUE))</f>
        <v>1</v>
      </c>
      <c r="BI7" t="b">
        <f>OR(AND(IF(Metadata!V6="",FALSE,TRUE),OR(EXACT(Metadata!V6,"not collected"),EXACT(Metadata!V6,"not provided"),EXACT(Metadata!V6,"restricted access"))),AND(IF(Metadata!V6="",FALSE,ISNUMBER(VALUE(Metadata!V6))),Metadata!V6&gt;=-180,Metadata!V6&lt;=180))</f>
        <v>0</v>
      </c>
      <c r="BJ7" t="b">
        <f>AND(IF(Metadata!W6="",FALSE,TRUE),EXACT(Metadata!W6,"Decimal degrees"))</f>
        <v>1</v>
      </c>
      <c r="BK7" t="b">
        <f>IF(Metadata!X6="",FALSE,TRUE)</f>
        <v>1</v>
      </c>
      <c r="BL7" t="b">
        <f>OR(AND(IF(Metadata!Y6="",FALSE,TRUE),OR(EXACT(Metadata!Y6,"not collected"),EXACT(Metadata!Y6,"not provided"),EXACT(Metadata!Y6,"restricted access"))),AND(IF(Metadata!Y6="",FALSE,TRUE),OR(EXACT(Metadata!Y6,"TRUE"),EXACT(Metadata!Y6,"FALSE"))))</f>
        <v>1</v>
      </c>
      <c r="BM7" t="b">
        <f>OR(AND(IF(Metadata!Z6="",FALSE,TRUE),EXACT(Metadata!Z6,"not applicable")),AND(IF(Metadata!Z6="",FALSE,TRUE),OR(EXACT(Metadata!Z6,"beer"),EXACT(Metadata!Z6,"cheese"),EXACT(Metadata!Z6,"fresh water"),EXACT(Metadata!Z6,"marine sediment"),EXACT(Metadata!Z6,"sea water"),EXACT(Metadata!Z6,"sediment"),EXACT(Metadata!Z6,"soil"),EXACT(Metadata!Z6,"waste water"))))</f>
        <v>1</v>
      </c>
      <c r="BN7" t="b">
        <f>AND(IF(Metadata!AA6="",FALSE,TRUE),EXACT(Metadata!AA6,"metagenome"))</f>
        <v>1</v>
      </c>
      <c r="BO7" t="b">
        <f>AND(IF(Metadata!AB6="",FALSE,TRUE),EXACT(Metadata!AB6,"256318"))</f>
        <v>1</v>
      </c>
      <c r="BP7" t="b">
        <f>IF(Metadata!AC6="",FALSE,TRUE)</f>
        <v>1</v>
      </c>
      <c r="BQ7" t="b">
        <f>IF(Metadata!AD6="",FALSE,TRUE)</f>
        <v>1</v>
      </c>
    </row>
    <row r="8" spans="1:69" x14ac:dyDescent="0.2">
      <c r="A8" s="4" t="e">
        <f ca="1">IF(B8=" "," ",HYPERLINK(CONCATENATE("#metadata!",ADDRESS(INDEX($AJ$2:$AJ$1001,MATCH(ROWS($AH$2:AH8),$AH$2:$AH$1001,0),0),2)),INDEX($AM$2:$AM$1001,MATCH(ROWS($AH$2:AH8),$AH$2:$AH$1001,0),0)))</f>
        <v>#N/A</v>
      </c>
      <c r="B8" s="5" t="e">
        <f ca="1">IF(OR(INDEX($AI$2:$AI$1001,MATCH(ROWS($AH$2:AH8),$AH$2:$AH$1001,0),1)&gt;=100000,INDEX($AO$1005:$BQ$1005,1,MATCH(COLUMNS($AO$1006:AO1006),$AO$1006:$BQ$1006,0))&gt;=100000), " ",IF(INDEX($AO$2:$BQ$1001,MATCH(ROWS($AH$2:AH8),$AH$2:$AH$1001,0),MATCH(COLUMNS($AO$1006:AO1006),$AO$1006:$BQ$1006,0)), HYPERLINK("#",""), HYPERLINK(CONCATENATE("#Metadata!", ADDRESS(INDEX($AJ$2:$AJ$1001,MATCH(ROWS($AH$2:AH8),$AH$2:$AH$1001,0),0), INDEX($AO$1004:$BQ$1004,1,MATCH(COLUMNS($AO$1006:AO1006),$AO$1006:$BQ$1006,0)))),"Fix")))</f>
        <v>#N/A</v>
      </c>
      <c r="C8" s="5" t="e">
        <f ca="1">IF(OR(INDEX($AI$2:$AI$1001,MATCH(ROWS($AH$2:AH8),$AH$2:$AH$1001,0),1)&gt;=100000,INDEX($AO$1005:$BQ$1005,1,MATCH(COLUMNS($AO$1006:AP1006),$AO$1006:$BQ$1006,0))&gt;=100000), " ",IF(INDEX($AO$2:$BQ$1001,MATCH(ROWS($AH$2:AH8),$AH$2:$AH$1001,0),MATCH(COLUMNS($AO$1006:AP1006),$AO$1006:$BQ$1006,0)), HYPERLINK("#",""), HYPERLINK(CONCATENATE("#Metadata!", ADDRESS(INDEX($AJ$2:$AJ$1001,MATCH(ROWS($AH$2:AH8),$AH$2:$AH$1001,0),0), INDEX($AO$1004:$BQ$1004,1,MATCH(COLUMNS($AO$1006:AP1006),$AO$1006:$BQ$1006,0)))),"Fix")))</f>
        <v>#N/A</v>
      </c>
      <c r="D8" s="5" t="e">
        <f ca="1">IF(OR(INDEX($AI$2:$AI$1001,MATCH(ROWS($AH$2:AH8),$AH$2:$AH$1001,0),1)&gt;=100000,INDEX($AO$1005:$BQ$1005,1,MATCH(COLUMNS($AO$1006:AQ1006),$AO$1006:$BQ$1006,0))&gt;=100000), " ",IF(INDEX($AO$2:$BQ$1001,MATCH(ROWS($AH$2:AH8),$AH$2:$AH$1001,0),MATCH(COLUMNS($AO$1006:AQ1006),$AO$1006:$BQ$1006,0)), HYPERLINK("#",""), HYPERLINK(CONCATENATE("#Metadata!", ADDRESS(INDEX($AJ$2:$AJ$1001,MATCH(ROWS($AH$2:AH8),$AH$2:$AH$1001,0),0), INDEX($AO$1004:$BQ$1004,1,MATCH(COLUMNS($AO$1006:AQ1006),$AO$1006:$BQ$1006,0)))),"Fix")))</f>
        <v>#N/A</v>
      </c>
      <c r="E8" s="5" t="e">
        <f ca="1">IF(OR(INDEX($AI$2:$AI$1001,MATCH(ROWS($AH$2:AH8),$AH$2:$AH$1001,0),1)&gt;=100000,INDEX($AO$1005:$BQ$1005,1,MATCH(COLUMNS($AO$1006:AR1006),$AO$1006:$BQ$1006,0))&gt;=100000), " ",IF(INDEX($AO$2:$BQ$1001,MATCH(ROWS($AH$2:AH8),$AH$2:$AH$1001,0),MATCH(COLUMNS($AO$1006:AR1006),$AO$1006:$BQ$1006,0)), HYPERLINK("#",""), HYPERLINK(CONCATENATE("#Metadata!", ADDRESS(INDEX($AJ$2:$AJ$1001,MATCH(ROWS($AH$2:AH8),$AH$2:$AH$1001,0),0), INDEX($AO$1004:$BQ$1004,1,MATCH(COLUMNS($AO$1006:AR1006),$AO$1006:$BQ$1006,0)))),"Fix")))</f>
        <v>#N/A</v>
      </c>
      <c r="F8" s="5" t="e">
        <f ca="1">IF(OR(INDEX($AI$2:$AI$1001,MATCH(ROWS($AH$2:AH8),$AH$2:$AH$1001,0),1)&gt;=100000,INDEX($AO$1005:$BQ$1005,1,MATCH(COLUMNS($AO$1006:AS1006),$AO$1006:$BQ$1006,0))&gt;=100000), " ",IF(INDEX($AO$2:$BQ$1001,MATCH(ROWS($AH$2:AH8),$AH$2:$AH$1001,0),MATCH(COLUMNS($AO$1006:AS1006),$AO$1006:$BQ$1006,0)), HYPERLINK("#",""), HYPERLINK(CONCATENATE("#Metadata!", ADDRESS(INDEX($AJ$2:$AJ$1001,MATCH(ROWS($AH$2:AH8),$AH$2:$AH$1001,0),0), INDEX($AO$1004:$BQ$1004,1,MATCH(COLUMNS($AO$1006:AS1006),$AO$1006:$BQ$1006,0)))),"Fix")))</f>
        <v>#N/A</v>
      </c>
      <c r="G8" s="5" t="e">
        <f ca="1">IF(OR(INDEX($AI$2:$AI$1001,MATCH(ROWS($AH$2:AH8),$AH$2:$AH$1001,0),1)&gt;=100000,INDEX($AO$1005:$BQ$1005,1,MATCH(COLUMNS($AO$1006:AT1006),$AO$1006:$BQ$1006,0))&gt;=100000), " ",IF(INDEX($AO$2:$BQ$1001,MATCH(ROWS($AH$2:AH8),$AH$2:$AH$1001,0),MATCH(COLUMNS($AO$1006:AT1006),$AO$1006:$BQ$1006,0)), HYPERLINK("#",""), HYPERLINK(CONCATENATE("#Metadata!", ADDRESS(INDEX($AJ$2:$AJ$1001,MATCH(ROWS($AH$2:AH8),$AH$2:$AH$1001,0),0), INDEX($AO$1004:$BQ$1004,1,MATCH(COLUMNS($AO$1006:AT1006),$AO$1006:$BQ$1006,0)))),"Fix")))</f>
        <v>#N/A</v>
      </c>
      <c r="H8" s="5" t="e">
        <f ca="1">IF(OR(INDEX($AI$2:$AI$1001,MATCH(ROWS($AH$2:AH8),$AH$2:$AH$1001,0),1)&gt;=100000,INDEX($AO$1005:$BQ$1005,1,MATCH(COLUMNS($AO$1006:AU1006),$AO$1006:$BQ$1006,0))&gt;=100000), " ",IF(INDEX($AO$2:$BQ$1001,MATCH(ROWS($AH$2:AH8),$AH$2:$AH$1001,0),MATCH(COLUMNS($AO$1006:AU1006),$AO$1006:$BQ$1006,0)), HYPERLINK("#",""), HYPERLINK(CONCATENATE("#Metadata!", ADDRESS(INDEX($AJ$2:$AJ$1001,MATCH(ROWS($AH$2:AH8),$AH$2:$AH$1001,0),0), INDEX($AO$1004:$BQ$1004,1,MATCH(COLUMNS($AO$1006:AU1006),$AO$1006:$BQ$1006,0)))),"Fix")))</f>
        <v>#N/A</v>
      </c>
      <c r="I8" s="5" t="e">
        <f ca="1">IF(OR(INDEX($AI$2:$AI$1001,MATCH(ROWS($AH$2:AH8),$AH$2:$AH$1001,0),1)&gt;=100000,INDEX($AO$1005:$BQ$1005,1,MATCH(COLUMNS($AO$1006:AV1006),$AO$1006:$BQ$1006,0))&gt;=100000), " ",IF(INDEX($AO$2:$BQ$1001,MATCH(ROWS($AH$2:AH8),$AH$2:$AH$1001,0),MATCH(COLUMNS($AO$1006:AV1006),$AO$1006:$BQ$1006,0)), HYPERLINK("#",""), HYPERLINK(CONCATENATE("#Metadata!", ADDRESS(INDEX($AJ$2:$AJ$1001,MATCH(ROWS($AH$2:AH8),$AH$2:$AH$1001,0),0), INDEX($AO$1004:$BQ$1004,1,MATCH(COLUMNS($AO$1006:AV1006),$AO$1006:$BQ$1006,0)))),"Fix")))</f>
        <v>#N/A</v>
      </c>
      <c r="J8" s="5" t="e">
        <f ca="1">IF(OR(INDEX($AI$2:$AI$1001,MATCH(ROWS($AH$2:AH8),$AH$2:$AH$1001,0),1)&gt;=100000,INDEX($AO$1005:$BQ$1005,1,MATCH(COLUMNS($AO$1006:AW1006),$AO$1006:$BQ$1006,0))&gt;=100000), " ",IF(INDEX($AO$2:$BQ$1001,MATCH(ROWS($AH$2:AH8),$AH$2:$AH$1001,0),MATCH(COLUMNS($AO$1006:AW1006),$AO$1006:$BQ$1006,0)), HYPERLINK("#",""), HYPERLINK(CONCATENATE("#Metadata!", ADDRESS(INDEX($AJ$2:$AJ$1001,MATCH(ROWS($AH$2:AH8),$AH$2:$AH$1001,0),0), INDEX($AO$1004:$BQ$1004,1,MATCH(COLUMNS($AO$1006:AW1006),$AO$1006:$BQ$1006,0)))),"Fix")))</f>
        <v>#N/A</v>
      </c>
      <c r="K8" s="5" t="e">
        <f ca="1">IF(OR(INDEX($AI$2:$AI$1001,MATCH(ROWS($AH$2:AH8),$AH$2:$AH$1001,0),1)&gt;=100000,INDEX($AO$1005:$BQ$1005,1,MATCH(COLUMNS($AO$1006:AX1006),$AO$1006:$BQ$1006,0))&gt;=100000), " ",IF(INDEX($AO$2:$BQ$1001,MATCH(ROWS($AH$2:AH8),$AH$2:$AH$1001,0),MATCH(COLUMNS($AO$1006:AX1006),$AO$1006:$BQ$1006,0)), HYPERLINK("#",""), HYPERLINK(CONCATENATE("#Metadata!", ADDRESS(INDEX($AJ$2:$AJ$1001,MATCH(ROWS($AH$2:AH8),$AH$2:$AH$1001,0),0), INDEX($AO$1004:$BQ$1004,1,MATCH(COLUMNS($AO$1006:AX1006),$AO$1006:$BQ$1006,0)))),"Fix")))</f>
        <v>#N/A</v>
      </c>
      <c r="L8" s="5" t="e">
        <f ca="1">IF(OR(INDEX($AI$2:$AI$1001,MATCH(ROWS($AH$2:AH8),$AH$2:$AH$1001,0),1)&gt;=100000,INDEX($AO$1005:$BQ$1005,1,MATCH(COLUMNS($AO$1006:AY1006),$AO$1006:$BQ$1006,0))&gt;=100000), " ",IF(INDEX($AO$2:$BQ$1001,MATCH(ROWS($AH$2:AH8),$AH$2:$AH$1001,0),MATCH(COLUMNS($AO$1006:AY1006),$AO$1006:$BQ$1006,0)), HYPERLINK("#",""), HYPERLINK(CONCATENATE("#Metadata!", ADDRESS(INDEX($AJ$2:$AJ$1001,MATCH(ROWS($AH$2:AH8),$AH$2:$AH$1001,0),0), INDEX($AO$1004:$BQ$1004,1,MATCH(COLUMNS($AO$1006:AY1006),$AO$1006:$BQ$1006,0)))),"Fix")))</f>
        <v>#N/A</v>
      </c>
      <c r="M8" s="5" t="e">
        <f ca="1">IF(OR(INDEX($AI$2:$AI$1001,MATCH(ROWS($AH$2:AH8),$AH$2:$AH$1001,0),1)&gt;=100000,INDEX($AO$1005:$BQ$1005,1,MATCH(COLUMNS($AO$1006:AZ1006),$AO$1006:$BQ$1006,0))&gt;=100000), " ",IF(INDEX($AO$2:$BQ$1001,MATCH(ROWS($AH$2:AH8),$AH$2:$AH$1001,0),MATCH(COLUMNS($AO$1006:AZ1006),$AO$1006:$BQ$1006,0)), HYPERLINK("#",""), HYPERLINK(CONCATENATE("#Metadata!", ADDRESS(INDEX($AJ$2:$AJ$1001,MATCH(ROWS($AH$2:AH8),$AH$2:$AH$1001,0),0), INDEX($AO$1004:$BQ$1004,1,MATCH(COLUMNS($AO$1006:AZ1006),$AO$1006:$BQ$1006,0)))),"Fix")))</f>
        <v>#N/A</v>
      </c>
      <c r="N8" s="5" t="e">
        <f ca="1">IF(OR(INDEX($AI$2:$AI$1001,MATCH(ROWS($AH$2:AH8),$AH$2:$AH$1001,0),1)&gt;=100000,INDEX($AO$1005:$BQ$1005,1,MATCH(COLUMNS($AO$1006:BA1006),$AO$1006:$BQ$1006,0))&gt;=100000), " ",IF(INDEX($AO$2:$BQ$1001,MATCH(ROWS($AH$2:AH8),$AH$2:$AH$1001,0),MATCH(COLUMNS($AO$1006:BA1006),$AO$1006:$BQ$1006,0)), HYPERLINK("#",""), HYPERLINK(CONCATENATE("#Metadata!", ADDRESS(INDEX($AJ$2:$AJ$1001,MATCH(ROWS($AH$2:AH8),$AH$2:$AH$1001,0),0), INDEX($AO$1004:$BQ$1004,1,MATCH(COLUMNS($AO$1006:BA1006),$AO$1006:$BQ$1006,0)))),"Fix")))</f>
        <v>#N/A</v>
      </c>
      <c r="O8" s="5" t="e">
        <f ca="1">IF(OR(INDEX($AI$2:$AI$1001,MATCH(ROWS($AH$2:AH8),$AH$2:$AH$1001,0),1)&gt;=100000,INDEX($AO$1005:$BQ$1005,1,MATCH(COLUMNS($AO$1006:BB1006),$AO$1006:$BQ$1006,0))&gt;=100000), " ",IF(INDEX($AO$2:$BQ$1001,MATCH(ROWS($AH$2:AH8),$AH$2:$AH$1001,0),MATCH(COLUMNS($AO$1006:BB1006),$AO$1006:$BQ$1006,0)), HYPERLINK("#",""), HYPERLINK(CONCATENATE("#Metadata!", ADDRESS(INDEX($AJ$2:$AJ$1001,MATCH(ROWS($AH$2:AH8),$AH$2:$AH$1001,0),0), INDEX($AO$1004:$BQ$1004,1,MATCH(COLUMNS($AO$1006:BB1006),$AO$1006:$BQ$1006,0)))),"Fix")))</f>
        <v>#N/A</v>
      </c>
      <c r="P8" s="5" t="e">
        <f ca="1">IF(OR(INDEX($AI$2:$AI$1001,MATCH(ROWS($AH$2:AH8),$AH$2:$AH$1001,0),1)&gt;=100000,INDEX($AO$1005:$BQ$1005,1,MATCH(COLUMNS($AO$1006:BC1006),$AO$1006:$BQ$1006,0))&gt;=100000), " ",IF(INDEX($AO$2:$BQ$1001,MATCH(ROWS($AH$2:AH8),$AH$2:$AH$1001,0),MATCH(COLUMNS($AO$1006:BC1006),$AO$1006:$BQ$1006,0)), HYPERLINK("#",""), HYPERLINK(CONCATENATE("#Metadata!", ADDRESS(INDEX($AJ$2:$AJ$1001,MATCH(ROWS($AH$2:AH8),$AH$2:$AH$1001,0),0), INDEX($AO$1004:$BQ$1004,1,MATCH(COLUMNS($AO$1006:BC1006),$AO$1006:$BQ$1006,0)))),"Fix")))</f>
        <v>#N/A</v>
      </c>
      <c r="Q8" s="5" t="e">
        <f ca="1">IF(OR(INDEX($AI$2:$AI$1001,MATCH(ROWS($AH$2:AH8),$AH$2:$AH$1001,0),1)&gt;=100000,INDEX($AO$1005:$BQ$1005,1,MATCH(COLUMNS($AO$1006:BD1006),$AO$1006:$BQ$1006,0))&gt;=100000), " ",IF(INDEX($AO$2:$BQ$1001,MATCH(ROWS($AH$2:AH8),$AH$2:$AH$1001,0),MATCH(COLUMNS($AO$1006:BD1006),$AO$1006:$BQ$1006,0)), HYPERLINK("#",""), HYPERLINK(CONCATENATE("#Metadata!", ADDRESS(INDEX($AJ$2:$AJ$1001,MATCH(ROWS($AH$2:AH8),$AH$2:$AH$1001,0),0), INDEX($AO$1004:$BQ$1004,1,MATCH(COLUMNS($AO$1006:BD1006),$AO$1006:$BQ$1006,0)))),"Fix")))</f>
        <v>#N/A</v>
      </c>
      <c r="R8" s="5" t="e">
        <f ca="1">IF(OR(INDEX($AI$2:$AI$1001,MATCH(ROWS($AH$2:AH8),$AH$2:$AH$1001,0),1)&gt;=100000,INDEX($AO$1005:$BQ$1005,1,MATCH(COLUMNS($AO$1006:BE1006),$AO$1006:$BQ$1006,0))&gt;=100000), " ",IF(INDEX($AO$2:$BQ$1001,MATCH(ROWS($AH$2:AH8),$AH$2:$AH$1001,0),MATCH(COLUMNS($AO$1006:BE1006),$AO$1006:$BQ$1006,0)), HYPERLINK("#",""), HYPERLINK(CONCATENATE("#Metadata!", ADDRESS(INDEX($AJ$2:$AJ$1001,MATCH(ROWS($AH$2:AH8),$AH$2:$AH$1001,0),0), INDEX($AO$1004:$BQ$1004,1,MATCH(COLUMNS($AO$1006:BE1006),$AO$1006:$BQ$1006,0)))),"Fix")))</f>
        <v>#N/A</v>
      </c>
      <c r="S8" s="5" t="e">
        <f ca="1">IF(OR(INDEX($AI$2:$AI$1001,MATCH(ROWS($AH$2:AH8),$AH$2:$AH$1001,0),1)&gt;=100000,INDEX($AO$1005:$BQ$1005,1,MATCH(COLUMNS($AO$1006:BF1006),$AO$1006:$BQ$1006,0))&gt;=100000), " ",IF(INDEX($AO$2:$BQ$1001,MATCH(ROWS($AH$2:AH8),$AH$2:$AH$1001,0),MATCH(COLUMNS($AO$1006:BF1006),$AO$1006:$BQ$1006,0)), HYPERLINK("#",""), HYPERLINK(CONCATENATE("#Metadata!", ADDRESS(INDEX($AJ$2:$AJ$1001,MATCH(ROWS($AH$2:AH8),$AH$2:$AH$1001,0),0), INDEX($AO$1004:$BQ$1004,1,MATCH(COLUMNS($AO$1006:BF1006),$AO$1006:$BQ$1006,0)))),"Fix")))</f>
        <v>#N/A</v>
      </c>
      <c r="T8" s="5" t="e">
        <f ca="1">IF(OR(INDEX($AI$2:$AI$1001,MATCH(ROWS($AH$2:AH8),$AH$2:$AH$1001,0),1)&gt;=100000,INDEX($AO$1005:$BQ$1005,1,MATCH(COLUMNS($AO$1006:BG1006),$AO$1006:$BQ$1006,0))&gt;=100000), " ",IF(INDEX($AO$2:$BQ$1001,MATCH(ROWS($AH$2:AH8),$AH$2:$AH$1001,0),MATCH(COLUMNS($AO$1006:BG1006),$AO$1006:$BQ$1006,0)), HYPERLINK("#",""), HYPERLINK(CONCATENATE("#Metadata!", ADDRESS(INDEX($AJ$2:$AJ$1001,MATCH(ROWS($AH$2:AH8),$AH$2:$AH$1001,0),0), INDEX($AO$1004:$BQ$1004,1,MATCH(COLUMNS($AO$1006:BG1006),$AO$1006:$BQ$1006,0)))),"Fix")))</f>
        <v>#N/A</v>
      </c>
      <c r="U8" s="5" t="e">
        <f ca="1">IF(OR(INDEX($AI$2:$AI$1001,MATCH(ROWS($AH$2:AH8),$AH$2:$AH$1001,0),1)&gt;=100000,INDEX($AO$1005:$BQ$1005,1,MATCH(COLUMNS($AO$1006:BH1006),$AO$1006:$BQ$1006,0))&gt;=100000), " ",IF(INDEX($AO$2:$BQ$1001,MATCH(ROWS($AH$2:AH8),$AH$2:$AH$1001,0),MATCH(COLUMNS($AO$1006:BH1006),$AO$1006:$BQ$1006,0)), HYPERLINK("#",""), HYPERLINK(CONCATENATE("#Metadata!", ADDRESS(INDEX($AJ$2:$AJ$1001,MATCH(ROWS($AH$2:AH8),$AH$2:$AH$1001,0),0), INDEX($AO$1004:$BQ$1004,1,MATCH(COLUMNS($AO$1006:BH1006),$AO$1006:$BQ$1006,0)))),"Fix")))</f>
        <v>#N/A</v>
      </c>
      <c r="V8" s="5" t="e">
        <f ca="1">IF(OR(INDEX($AI$2:$AI$1001,MATCH(ROWS($AH$2:AH8),$AH$2:$AH$1001,0),1)&gt;=100000,INDEX($AO$1005:$BQ$1005,1,MATCH(COLUMNS($AO$1006:BI1006),$AO$1006:$BQ$1006,0))&gt;=100000), " ",IF(INDEX($AO$2:$BQ$1001,MATCH(ROWS($AH$2:AH8),$AH$2:$AH$1001,0),MATCH(COLUMNS($AO$1006:BI1006),$AO$1006:$BQ$1006,0)), HYPERLINK("#",""), HYPERLINK(CONCATENATE("#Metadata!", ADDRESS(INDEX($AJ$2:$AJ$1001,MATCH(ROWS($AH$2:AH8),$AH$2:$AH$1001,0),0), INDEX($AO$1004:$BQ$1004,1,MATCH(COLUMNS($AO$1006:BI1006),$AO$1006:$BQ$1006,0)))),"Fix")))</f>
        <v>#N/A</v>
      </c>
      <c r="W8" s="5" t="e">
        <f ca="1">IF(OR(INDEX($AI$2:$AI$1001,MATCH(ROWS($AH$2:AH8),$AH$2:$AH$1001,0),1)&gt;=100000,INDEX($AO$1005:$BQ$1005,1,MATCH(COLUMNS($AO$1006:BJ1006),$AO$1006:$BQ$1006,0))&gt;=100000), " ",IF(INDEX($AO$2:$BQ$1001,MATCH(ROWS($AH$2:AH8),$AH$2:$AH$1001,0),MATCH(COLUMNS($AO$1006:BJ1006),$AO$1006:$BQ$1006,0)), HYPERLINK("#",""), HYPERLINK(CONCATENATE("#Metadata!", ADDRESS(INDEX($AJ$2:$AJ$1001,MATCH(ROWS($AH$2:AH8),$AH$2:$AH$1001,0),0), INDEX($AO$1004:$BQ$1004,1,MATCH(COLUMNS($AO$1006:BJ1006),$AO$1006:$BQ$1006,0)))),"Fix")))</f>
        <v>#N/A</v>
      </c>
      <c r="X8" s="5" t="e">
        <f ca="1">IF(OR(INDEX($AI$2:$AI$1001,MATCH(ROWS($AH$2:AH8),$AH$2:$AH$1001,0),1)&gt;=100000,INDEX($AO$1005:$BQ$1005,1,MATCH(COLUMNS($AO$1006:BK1006),$AO$1006:$BQ$1006,0))&gt;=100000), " ",IF(INDEX($AO$2:$BQ$1001,MATCH(ROWS($AH$2:AH8),$AH$2:$AH$1001,0),MATCH(COLUMNS($AO$1006:BK1006),$AO$1006:$BQ$1006,0)), HYPERLINK("#",""), HYPERLINK(CONCATENATE("#Metadata!", ADDRESS(INDEX($AJ$2:$AJ$1001,MATCH(ROWS($AH$2:AH8),$AH$2:$AH$1001,0),0), INDEX($AO$1004:$BQ$1004,1,MATCH(COLUMNS($AO$1006:BK1006),$AO$1006:$BQ$1006,0)))),"Fix")))</f>
        <v>#N/A</v>
      </c>
      <c r="Y8" s="5" t="e">
        <f ca="1">IF(OR(INDEX($AI$2:$AI$1001,MATCH(ROWS($AH$2:AH8),$AH$2:$AH$1001,0),1)&gt;=100000,INDEX($AO$1005:$BQ$1005,1,MATCH(COLUMNS($AO$1006:BL1006),$AO$1006:$BQ$1006,0))&gt;=100000), " ",IF(INDEX($AO$2:$BQ$1001,MATCH(ROWS($AH$2:AH8),$AH$2:$AH$1001,0),MATCH(COLUMNS($AO$1006:BL1006),$AO$1006:$BQ$1006,0)), HYPERLINK("#",""), HYPERLINK(CONCATENATE("#Metadata!", ADDRESS(INDEX($AJ$2:$AJ$1001,MATCH(ROWS($AH$2:AH8),$AH$2:$AH$1001,0),0), INDEX($AO$1004:$BQ$1004,1,MATCH(COLUMNS($AO$1006:BL1006),$AO$1006:$BQ$1006,0)))),"Fix")))</f>
        <v>#N/A</v>
      </c>
      <c r="Z8" s="5" t="e">
        <f ca="1">IF(OR(INDEX($AI$2:$AI$1001,MATCH(ROWS($AH$2:AH8),$AH$2:$AH$1001,0),1)&gt;=100000,INDEX($AO$1005:$BQ$1005,1,MATCH(COLUMNS($AO$1006:BM1006),$AO$1006:$BQ$1006,0))&gt;=100000), " ",IF(INDEX($AO$2:$BQ$1001,MATCH(ROWS($AH$2:AH8),$AH$2:$AH$1001,0),MATCH(COLUMNS($AO$1006:BM1006),$AO$1006:$BQ$1006,0)), HYPERLINK("#",""), HYPERLINK(CONCATENATE("#Metadata!", ADDRESS(INDEX($AJ$2:$AJ$1001,MATCH(ROWS($AH$2:AH8),$AH$2:$AH$1001,0),0), INDEX($AO$1004:$BQ$1004,1,MATCH(COLUMNS($AO$1006:BM1006),$AO$1006:$BQ$1006,0)))),"Fix")))</f>
        <v>#N/A</v>
      </c>
      <c r="AA8" s="5" t="e">
        <f ca="1">IF(OR(INDEX($AI$2:$AI$1001,MATCH(ROWS($AH$2:AH8),$AH$2:$AH$1001,0),1)&gt;=100000,INDEX($AO$1005:$BQ$1005,1,MATCH(COLUMNS($AO$1006:BN1006),$AO$1006:$BQ$1006,0))&gt;=100000), " ",IF(INDEX($AO$2:$BQ$1001,MATCH(ROWS($AH$2:AH8),$AH$2:$AH$1001,0),MATCH(COLUMNS($AO$1006:BN1006),$AO$1006:$BQ$1006,0)), HYPERLINK("#",""), HYPERLINK(CONCATENATE("#Metadata!", ADDRESS(INDEX($AJ$2:$AJ$1001,MATCH(ROWS($AH$2:AH8),$AH$2:$AH$1001,0),0), INDEX($AO$1004:$BQ$1004,1,MATCH(COLUMNS($AO$1006:BN1006),$AO$1006:$BQ$1006,0)))),"Fix")))</f>
        <v>#N/A</v>
      </c>
      <c r="AB8" s="5" t="e">
        <f ca="1">IF(OR(INDEX($AI$2:$AI$1001,MATCH(ROWS($AH$2:AH8),$AH$2:$AH$1001,0),1)&gt;=100000,INDEX($AO$1005:$BQ$1005,1,MATCH(COLUMNS($AO$1006:BO1006),$AO$1006:$BQ$1006,0))&gt;=100000), " ",IF(INDEX($AO$2:$BQ$1001,MATCH(ROWS($AH$2:AH8),$AH$2:$AH$1001,0),MATCH(COLUMNS($AO$1006:BO1006),$AO$1006:$BQ$1006,0)), HYPERLINK("#",""), HYPERLINK(CONCATENATE("#Metadata!", ADDRESS(INDEX($AJ$2:$AJ$1001,MATCH(ROWS($AH$2:AH8),$AH$2:$AH$1001,0),0), INDEX($AO$1004:$BQ$1004,1,MATCH(COLUMNS($AO$1006:BO1006),$AO$1006:$BQ$1006,0)))),"Fix")))</f>
        <v>#N/A</v>
      </c>
      <c r="AC8" s="5" t="e">
        <f ca="1">IF(OR(INDEX($AI$2:$AI$1001,MATCH(ROWS($AH$2:AH8),$AH$2:$AH$1001,0),1)&gt;=100000,INDEX($AO$1005:$BQ$1005,1,MATCH(COLUMNS($AO$1006:BP1006),$AO$1006:$BQ$1006,0))&gt;=100000), " ",IF(INDEX($AO$2:$BQ$1001,MATCH(ROWS($AH$2:AH8),$AH$2:$AH$1001,0),MATCH(COLUMNS($AO$1006:BP1006),$AO$1006:$BQ$1006,0)), HYPERLINK("#",""), HYPERLINK(CONCATENATE("#Metadata!", ADDRESS(INDEX($AJ$2:$AJ$1001,MATCH(ROWS($AH$2:AH8),$AH$2:$AH$1001,0),0), INDEX($AO$1004:$BQ$1004,1,MATCH(COLUMNS($AO$1006:BP1006),$AO$1006:$BQ$1006,0)))),"Fix")))</f>
        <v>#N/A</v>
      </c>
      <c r="AD8" s="5" t="e">
        <f ca="1">IF(OR(INDEX($AI$2:$AI$1001,MATCH(ROWS($AH$2:AH8),$AH$2:$AH$1001,0),1)&gt;=100000,INDEX($AO$1005:$BQ$1005,1,MATCH(COLUMNS($AO$1006:BQ1006),$AO$1006:$BQ$1006,0))&gt;=100000), " ",IF(INDEX($AO$2:$BQ$1001,MATCH(ROWS($AH$2:AH8),$AH$2:$AH$1001,0),MATCH(COLUMNS($AO$1006:BQ1006),$AO$1006:$BQ$1006,0)), HYPERLINK("#",""), HYPERLINK(CONCATENATE("#Metadata!", ADDRESS(INDEX($AJ$2:$AJ$1001,MATCH(ROWS($AH$2:AH8),$AH$2:$AH$1001,0),0), INDEX($AO$1004:$BQ$1004,1,MATCH(COLUMNS($AO$1006:BQ1006),$AO$1006:$BQ$1006,0)))),"Fix")))</f>
        <v>#REF!</v>
      </c>
      <c r="AH8">
        <f ca="1"/>
        <v>6</v>
      </c>
      <c r="AI8">
        <f ca="1"/>
        <v>8</v>
      </c>
      <c r="AJ8">
        <v>8</v>
      </c>
      <c r="AK8" t="b">
        <f t="shared" ca="1" si="0"/>
        <v>0</v>
      </c>
      <c r="AL8" t="b">
        <f>COUNTBLANK(Metadata!B8:AD8)=COLUMNS(Metadata!B8:AD8)</f>
        <v>0</v>
      </c>
      <c r="AM8" t="str">
        <v>Anaxyrus.boreas.Sediment.BTP.59Sediment</v>
      </c>
      <c r="AO8" t="b">
        <f ca="1">AND(IF(Metadata!B7="",FALSE,TRUE),COUNTIF(Metadata!B:B, Metadata!B7) = 1,NOT(ISERROR(SUMPRODUCT(SEARCH(MID(Metadata!B7,ROW(INDIRECT("1:"&amp;LEN(Metadata!B7))), 1),"0123456789abcdefghijklmnopqrstuvwxyzABCDEFGHIJKLMNOPQRSTUVWXYZ.")))))</f>
        <v>1</v>
      </c>
      <c r="AP8" t="b">
        <f>IF(Metadata!C7="",FALSE,TRUE)</f>
        <v>1</v>
      </c>
      <c r="AQ8" t="b">
        <f>IF(Metadata!D7="",FALSE,TRUE)</f>
        <v>1</v>
      </c>
      <c r="AR8" t="b">
        <f ca="1">OR(AND(IF(Metadata!E7="",FALSE,TRUE),OR(EXACT(Metadata!E7,"not collected"),EXACT(Metadata!E7,"not provided"),EXACT(Metadata!E7,"restricted access"))),AND(IF(Metadata!E7="",FALSE,TRUE),AND(AND(IFERROR(INT(LEFT(Metadata!E7,4))&gt;1900,FALSE),IFERROR(INT(LEFT(Metadata!E7,4))&lt;=YEAR(NOW()),FALSE)), OR(MID(Metadata!E7,5,1)="", AND(AND(MID(Metadata!E7,5,1)="-",IFERROR(INT(MID(Metadata!E7,6,1))&gt;=0,FALSE),IFERROR(INT(MID(Metadata!E7,6,1))&lt;=1,FALSE),NOT(MID(Metadata!E7,7,1)=""),IFERROR(INT(MID(Metadata!E7,6,2))&gt;=1,FALSE),IFERROR(INT(MID(Metadata!E7,6,2))&lt;=12,FALSE)), OR(MID(Metadata!E7,8,1)="", AND(AND(MID(Metadata!E7,8,1)="-",IFERROR(INT(MID(Metadata!E7,9,1))&gt;=0,FALSE),IFERROR(INT(MID(Metadata!E7,9,1))&lt;=3,FALSE),NOT(MID(Metadata!E7,10,1)=""),IFERROR(INT(MID(Metadata!E7,9,2))&gt;=1,FALSE),IFERROR(INT(MID(Metadata!E7,9,2))&lt;=31,FALSE)), OR(MID(Metadata!E7,11,1)="", AND(AND(MID(Metadata!E7,11,1)=" ",IFERROR(INT(MID(Metadata!E7,12,1))&gt;=0,FALSE),IFERROR(INT(MID(Metadata!E7,12,1))&lt;=2,FALSE),NOT(MID(Metadata!E7,13,1)=""),IFERROR(INT(MID(Metadata!E7,12,2))&gt;=0,FALSE),IFERROR(INT(MID(Metadata!E7,12,2))&lt;=23,FALSE)), OR(MID(Metadata!E7,14,1)="", AND(AND(MID(Metadata!E7,14,1)=":",IFERROR(INT(MID(Metadata!E7,15,1))&gt;=0,FALSE),IFERROR(INT(MID(Metadata!E7,15,1))&lt;=5,FALSE),NOT(MID(Metadata!E7,16,1)=""),IFERROR(INT(MID(Metadata!E7,15,2))&gt;=0,FALSE),IFERROR(INT(MID(Metadata!E7,15,2))&lt;=59,FALSE)), OR(MID(Metadata!E7,17,1)="", AND(AND(MID(Metadata!E7,17,1)=":",IFERROR(INT(MID(Metadata!E7,18,1))&gt;=0,FALSE),IFERROR(INT(MID(Metadata!E7,18,1))&lt;=5,FALSE),NOT(MID(Metadata!E7,19,1)=""),IFERROR(INT(MID(Metadata!E7,18,2))&gt;=0,FALSE),IFERROR(INT(MID(Metadata!E7,18,2))&lt;=59,FALSE)), LEN(Metadata!E7)&lt;=19)))))))))))))</f>
        <v>0</v>
      </c>
      <c r="AS8" t="b">
        <f>IF(Metadata!F7="",FALSE,TRUE)</f>
        <v>1</v>
      </c>
      <c r="AT8" t="b">
        <f>OR(AND(IF(Metadata!G7="",FALSE,TRUE),OR(EXACT(Metadata!G7,"not collected"),EXACT(Metadata!G7,"not provided"))),AND(IF(Metadata!G7="",FALSE,TRUE),OR(EXACT(Metadata!G7,"TRUE"),EXACT(Metadata!G7,"FALSE"))))</f>
        <v>1</v>
      </c>
      <c r="AU8" t="b">
        <f>OR(AND(IF(Metadata!H7="",FALSE,TRUE),OR(EXACT(Metadata!H7,"not collected"),EXACT(Metadata!H7,"not provided"),EXACT(Metadata!H7,"restricted access"))),AND(IF(Metadata!H7="",FALSE,ISNUMBER(VALUE(Metadata!H7))),Metadata!H7&gt;=-413))</f>
        <v>0</v>
      </c>
      <c r="AV8" t="b">
        <f>AND(IF(Metadata!I7="",FALSE,TRUE),EXACT(Metadata!I7,"meters"))</f>
        <v>1</v>
      </c>
      <c r="AW8" t="b">
        <f>AND(IF(Metadata!J7="",FALSE,TRUE),EXACT(Metadata!J7,"free-living"))</f>
        <v>1</v>
      </c>
      <c r="AX8" t="b">
        <f>AND(IF(Metadata!K7="",FALSE,TRUE),OR(EXACT(Metadata!K7,"saline"),EXACT(Metadata!K7,"non-saline")))</f>
        <v>1</v>
      </c>
      <c r="AY8" t="b">
        <f>AND(IF(Metadata!L7="",FALSE,TRUE),OR(EXACT(Metadata!L7,"sub-surface (non-saline)"),EXACT(Metadata!L7,"surface (non-saline)"),EXACT(Metadata!L7,"water (non-saline)"),EXACT(Metadata!L7,"soil (non-saline)"),EXACT(Metadata!L7,"aerosol (non-saline)"),EXACT(Metadata!L7,"sediment (non-saline)"),EXACT(Metadata!L7,"surface (saline)"),EXACT(Metadata!L7,"water (saline)"),EXACT(Metadata!L7,"hypersaline (saline)"),EXACT(Metadata!L7,"aerosol (saline)"),EXACT(Metadata!L7,"sediment (saline)")))</f>
        <v>1</v>
      </c>
      <c r="AZ8" t="b">
        <f>IF(Metadata!M7="",FALSE,TRUE)</f>
        <v>1</v>
      </c>
      <c r="BA8" t="b">
        <f>IF(Metadata!N7="",FALSE,TRUE)</f>
        <v>1</v>
      </c>
      <c r="BB8" t="b">
        <f>IF(Metadata!O7="",FALSE,TRUE)</f>
        <v>1</v>
      </c>
      <c r="BC8" t="b">
        <f>AND(IF(Metadata!P7="",FALSE,TRUE),OR(EXACT(Metadata!P7,"air"),EXACT(Metadata!P7,"microbial mat/biofilm"),EXACT(Metadata!P7,"misc environment"),EXACT(Metadata!P7,"sediment"),EXACT(Metadata!P7,"soil"),EXACT(Metadata!P7,"wastewater/sludge"),EXACT(Metadata!P7,"water")))</f>
        <v>1</v>
      </c>
      <c r="BD8" t="b">
        <f>IF(Metadata!Q7="",FALSE,TRUE)</f>
        <v>1</v>
      </c>
      <c r="BE8" t="b">
        <f>IF(Metadata!R7="",FALSE,TRUE)</f>
        <v>1</v>
      </c>
      <c r="BF8" t="b">
        <f>OR(AND(IF(Metadata!S7="",FALSE,TRUE),OR(EXACT(Metadata!S7,"not collected"),EXACT(Metadata!S7,"not provided"),EXACT(Metadata!S7,"restricted access"))),AND(IF(Metadata!S7="",FALSE,ISNUMBER(VALUE(Metadata!S7))),Metadata!S7&gt;=-90,Metadata!S7&lt;=90))</f>
        <v>0</v>
      </c>
      <c r="BG8" t="b">
        <f>AND(IF(Metadata!T7="",FALSE,TRUE),EXACT(Metadata!T7,"Decimal degrees"))</f>
        <v>1</v>
      </c>
      <c r="BH8" t="b">
        <f>OR(AND(IF(Metadata!U8="",FALSE,TRUE),OR(EXACT(Metadata!U8,"not applicable"),EXACT(Metadata!U8,"not collected"))),IF(Metadata!U8="",FALSE,TRUE))</f>
        <v>1</v>
      </c>
      <c r="BI8" t="b">
        <f>OR(AND(IF(Metadata!V7="",FALSE,TRUE),OR(EXACT(Metadata!V7,"not collected"),EXACT(Metadata!V7,"not provided"),EXACT(Metadata!V7,"restricted access"))),AND(IF(Metadata!V7="",FALSE,ISNUMBER(VALUE(Metadata!V7))),Metadata!V7&gt;=-180,Metadata!V7&lt;=180))</f>
        <v>0</v>
      </c>
      <c r="BJ8" t="b">
        <f>AND(IF(Metadata!W7="",FALSE,TRUE),EXACT(Metadata!W7,"Decimal degrees"))</f>
        <v>1</v>
      </c>
      <c r="BK8" t="b">
        <f>IF(Metadata!X7="",FALSE,TRUE)</f>
        <v>1</v>
      </c>
      <c r="BL8" t="b">
        <f>OR(AND(IF(Metadata!Y7="",FALSE,TRUE),OR(EXACT(Metadata!Y7,"not collected"),EXACT(Metadata!Y7,"not provided"),EXACT(Metadata!Y7,"restricted access"))),AND(IF(Metadata!Y7="",FALSE,TRUE),OR(EXACT(Metadata!Y7,"TRUE"),EXACT(Metadata!Y7,"FALSE"))))</f>
        <v>1</v>
      </c>
      <c r="BM8" t="b">
        <f>OR(AND(IF(Metadata!Z7="",FALSE,TRUE),EXACT(Metadata!Z7,"not applicable")),AND(IF(Metadata!Z7="",FALSE,TRUE),OR(EXACT(Metadata!Z7,"beer"),EXACT(Metadata!Z7,"cheese"),EXACT(Metadata!Z7,"fresh water"),EXACT(Metadata!Z7,"marine sediment"),EXACT(Metadata!Z7,"sea water"),EXACT(Metadata!Z7,"sediment"),EXACT(Metadata!Z7,"soil"),EXACT(Metadata!Z7,"waste water"))))</f>
        <v>1</v>
      </c>
      <c r="BN8" t="b">
        <f>AND(IF(Metadata!AA7="",FALSE,TRUE),EXACT(Metadata!AA7,"metagenome"))</f>
        <v>1</v>
      </c>
      <c r="BO8" t="b">
        <f>AND(IF(Metadata!AB7="",FALSE,TRUE),EXACT(Metadata!AB7,"256318"))</f>
        <v>1</v>
      </c>
      <c r="BP8" t="b">
        <f>IF(Metadata!AC7="",FALSE,TRUE)</f>
        <v>1</v>
      </c>
      <c r="BQ8" t="b">
        <f>IF(Metadata!AD7="",FALSE,TRUE)</f>
        <v>1</v>
      </c>
    </row>
    <row r="9" spans="1:69" x14ac:dyDescent="0.2">
      <c r="A9" s="4" t="e">
        <f ca="1">IF(B9=" "," ",HYPERLINK(CONCATENATE("#metadata!",ADDRESS(INDEX($AJ$2:$AJ$1001,MATCH(ROWS($AH$2:AH9),$AH$2:$AH$1001,0),0),2)),INDEX($AM$2:$AM$1001,MATCH(ROWS($AH$2:AH9),$AH$2:$AH$1001,0),0)))</f>
        <v>#N/A</v>
      </c>
      <c r="B9" s="5" t="e">
        <f ca="1">IF(OR(INDEX($AI$2:$AI$1001,MATCH(ROWS($AH$2:AH9),$AH$2:$AH$1001,0),1)&gt;=100000,INDEX($AO$1005:$BQ$1005,1,MATCH(COLUMNS($AO$1006:AO1006),$AO$1006:$BQ$1006,0))&gt;=100000), " ",IF(INDEX($AO$2:$BQ$1001,MATCH(ROWS($AH$2:AH9),$AH$2:$AH$1001,0),MATCH(COLUMNS($AO$1006:AO1006),$AO$1006:$BQ$1006,0)), HYPERLINK("#",""), HYPERLINK(CONCATENATE("#Metadata!", ADDRESS(INDEX($AJ$2:$AJ$1001,MATCH(ROWS($AH$2:AH9),$AH$2:$AH$1001,0),0), INDEX($AO$1004:$BQ$1004,1,MATCH(COLUMNS($AO$1006:AO1006),$AO$1006:$BQ$1006,0)))),"Fix")))</f>
        <v>#N/A</v>
      </c>
      <c r="C9" s="5" t="e">
        <f ca="1">IF(OR(INDEX($AI$2:$AI$1001,MATCH(ROWS($AH$2:AH9),$AH$2:$AH$1001,0),1)&gt;=100000,INDEX($AO$1005:$BQ$1005,1,MATCH(COLUMNS($AO$1006:AP1006),$AO$1006:$BQ$1006,0))&gt;=100000), " ",IF(INDEX($AO$2:$BQ$1001,MATCH(ROWS($AH$2:AH9),$AH$2:$AH$1001,0),MATCH(COLUMNS($AO$1006:AP1006),$AO$1006:$BQ$1006,0)), HYPERLINK("#",""), HYPERLINK(CONCATENATE("#Metadata!", ADDRESS(INDEX($AJ$2:$AJ$1001,MATCH(ROWS($AH$2:AH9),$AH$2:$AH$1001,0),0), INDEX($AO$1004:$BQ$1004,1,MATCH(COLUMNS($AO$1006:AP1006),$AO$1006:$BQ$1006,0)))),"Fix")))</f>
        <v>#N/A</v>
      </c>
      <c r="D9" s="5" t="e">
        <f ca="1">IF(OR(INDEX($AI$2:$AI$1001,MATCH(ROWS($AH$2:AH9),$AH$2:$AH$1001,0),1)&gt;=100000,INDEX($AO$1005:$BQ$1005,1,MATCH(COLUMNS($AO$1006:AQ1006),$AO$1006:$BQ$1006,0))&gt;=100000), " ",IF(INDEX($AO$2:$BQ$1001,MATCH(ROWS($AH$2:AH9),$AH$2:$AH$1001,0),MATCH(COLUMNS($AO$1006:AQ1006),$AO$1006:$BQ$1006,0)), HYPERLINK("#",""), HYPERLINK(CONCATENATE("#Metadata!", ADDRESS(INDEX($AJ$2:$AJ$1001,MATCH(ROWS($AH$2:AH9),$AH$2:$AH$1001,0),0), INDEX($AO$1004:$BQ$1004,1,MATCH(COLUMNS($AO$1006:AQ1006),$AO$1006:$BQ$1006,0)))),"Fix")))</f>
        <v>#N/A</v>
      </c>
      <c r="E9" s="5" t="e">
        <f ca="1">IF(OR(INDEX($AI$2:$AI$1001,MATCH(ROWS($AH$2:AH9),$AH$2:$AH$1001,0),1)&gt;=100000,INDEX($AO$1005:$BQ$1005,1,MATCH(COLUMNS($AO$1006:AR1006),$AO$1006:$BQ$1006,0))&gt;=100000), " ",IF(INDEX($AO$2:$BQ$1001,MATCH(ROWS($AH$2:AH9),$AH$2:$AH$1001,0),MATCH(COLUMNS($AO$1006:AR1006),$AO$1006:$BQ$1006,0)), HYPERLINK("#",""), HYPERLINK(CONCATENATE("#Metadata!", ADDRESS(INDEX($AJ$2:$AJ$1001,MATCH(ROWS($AH$2:AH9),$AH$2:$AH$1001,0),0), INDEX($AO$1004:$BQ$1004,1,MATCH(COLUMNS($AO$1006:AR1006),$AO$1006:$BQ$1006,0)))),"Fix")))</f>
        <v>#N/A</v>
      </c>
      <c r="F9" s="5" t="e">
        <f ca="1">IF(OR(INDEX($AI$2:$AI$1001,MATCH(ROWS($AH$2:AH9),$AH$2:$AH$1001,0),1)&gt;=100000,INDEX($AO$1005:$BQ$1005,1,MATCH(COLUMNS($AO$1006:AS1006),$AO$1006:$BQ$1006,0))&gt;=100000), " ",IF(INDEX($AO$2:$BQ$1001,MATCH(ROWS($AH$2:AH9),$AH$2:$AH$1001,0),MATCH(COLUMNS($AO$1006:AS1006),$AO$1006:$BQ$1006,0)), HYPERLINK("#",""), HYPERLINK(CONCATENATE("#Metadata!", ADDRESS(INDEX($AJ$2:$AJ$1001,MATCH(ROWS($AH$2:AH9),$AH$2:$AH$1001,0),0), INDEX($AO$1004:$BQ$1004,1,MATCH(COLUMNS($AO$1006:AS1006),$AO$1006:$BQ$1006,0)))),"Fix")))</f>
        <v>#N/A</v>
      </c>
      <c r="G9" s="5" t="e">
        <f ca="1">IF(OR(INDEX($AI$2:$AI$1001,MATCH(ROWS($AH$2:AH9),$AH$2:$AH$1001,0),1)&gt;=100000,INDEX($AO$1005:$BQ$1005,1,MATCH(COLUMNS($AO$1006:AT1006),$AO$1006:$BQ$1006,0))&gt;=100000), " ",IF(INDEX($AO$2:$BQ$1001,MATCH(ROWS($AH$2:AH9),$AH$2:$AH$1001,0),MATCH(COLUMNS($AO$1006:AT1006),$AO$1006:$BQ$1006,0)), HYPERLINK("#",""), HYPERLINK(CONCATENATE("#Metadata!", ADDRESS(INDEX($AJ$2:$AJ$1001,MATCH(ROWS($AH$2:AH9),$AH$2:$AH$1001,0),0), INDEX($AO$1004:$BQ$1004,1,MATCH(COLUMNS($AO$1006:AT1006),$AO$1006:$BQ$1006,0)))),"Fix")))</f>
        <v>#N/A</v>
      </c>
      <c r="H9" s="5" t="e">
        <f ca="1">IF(OR(INDEX($AI$2:$AI$1001,MATCH(ROWS($AH$2:AH9),$AH$2:$AH$1001,0),1)&gt;=100000,INDEX($AO$1005:$BQ$1005,1,MATCH(COLUMNS($AO$1006:AU1006),$AO$1006:$BQ$1006,0))&gt;=100000), " ",IF(INDEX($AO$2:$BQ$1001,MATCH(ROWS($AH$2:AH9),$AH$2:$AH$1001,0),MATCH(COLUMNS($AO$1006:AU1006),$AO$1006:$BQ$1006,0)), HYPERLINK("#",""), HYPERLINK(CONCATENATE("#Metadata!", ADDRESS(INDEX($AJ$2:$AJ$1001,MATCH(ROWS($AH$2:AH9),$AH$2:$AH$1001,0),0), INDEX($AO$1004:$BQ$1004,1,MATCH(COLUMNS($AO$1006:AU1006),$AO$1006:$BQ$1006,0)))),"Fix")))</f>
        <v>#N/A</v>
      </c>
      <c r="I9" s="5" t="e">
        <f ca="1">IF(OR(INDEX($AI$2:$AI$1001,MATCH(ROWS($AH$2:AH9),$AH$2:$AH$1001,0),1)&gt;=100000,INDEX($AO$1005:$BQ$1005,1,MATCH(COLUMNS($AO$1006:AV1006),$AO$1006:$BQ$1006,0))&gt;=100000), " ",IF(INDEX($AO$2:$BQ$1001,MATCH(ROWS($AH$2:AH9),$AH$2:$AH$1001,0),MATCH(COLUMNS($AO$1006:AV1006),$AO$1006:$BQ$1006,0)), HYPERLINK("#",""), HYPERLINK(CONCATENATE("#Metadata!", ADDRESS(INDEX($AJ$2:$AJ$1001,MATCH(ROWS($AH$2:AH9),$AH$2:$AH$1001,0),0), INDEX($AO$1004:$BQ$1004,1,MATCH(COLUMNS($AO$1006:AV1006),$AO$1006:$BQ$1006,0)))),"Fix")))</f>
        <v>#N/A</v>
      </c>
      <c r="J9" s="5" t="e">
        <f ca="1">IF(OR(INDEX($AI$2:$AI$1001,MATCH(ROWS($AH$2:AH9),$AH$2:$AH$1001,0),1)&gt;=100000,INDEX($AO$1005:$BQ$1005,1,MATCH(COLUMNS($AO$1006:AW1006),$AO$1006:$BQ$1006,0))&gt;=100000), " ",IF(INDEX($AO$2:$BQ$1001,MATCH(ROWS($AH$2:AH9),$AH$2:$AH$1001,0),MATCH(COLUMNS($AO$1006:AW1006),$AO$1006:$BQ$1006,0)), HYPERLINK("#",""), HYPERLINK(CONCATENATE("#Metadata!", ADDRESS(INDEX($AJ$2:$AJ$1001,MATCH(ROWS($AH$2:AH9),$AH$2:$AH$1001,0),0), INDEX($AO$1004:$BQ$1004,1,MATCH(COLUMNS($AO$1006:AW1006),$AO$1006:$BQ$1006,0)))),"Fix")))</f>
        <v>#N/A</v>
      </c>
      <c r="K9" s="5" t="e">
        <f ca="1">IF(OR(INDEX($AI$2:$AI$1001,MATCH(ROWS($AH$2:AH9),$AH$2:$AH$1001,0),1)&gt;=100000,INDEX($AO$1005:$BQ$1005,1,MATCH(COLUMNS($AO$1006:AX1006),$AO$1006:$BQ$1006,0))&gt;=100000), " ",IF(INDEX($AO$2:$BQ$1001,MATCH(ROWS($AH$2:AH9),$AH$2:$AH$1001,0),MATCH(COLUMNS($AO$1006:AX1006),$AO$1006:$BQ$1006,0)), HYPERLINK("#",""), HYPERLINK(CONCATENATE("#Metadata!", ADDRESS(INDEX($AJ$2:$AJ$1001,MATCH(ROWS($AH$2:AH9),$AH$2:$AH$1001,0),0), INDEX($AO$1004:$BQ$1004,1,MATCH(COLUMNS($AO$1006:AX1006),$AO$1006:$BQ$1006,0)))),"Fix")))</f>
        <v>#N/A</v>
      </c>
      <c r="L9" s="5" t="e">
        <f ca="1">IF(OR(INDEX($AI$2:$AI$1001,MATCH(ROWS($AH$2:AH9),$AH$2:$AH$1001,0),1)&gt;=100000,INDEX($AO$1005:$BQ$1005,1,MATCH(COLUMNS($AO$1006:AY1006),$AO$1006:$BQ$1006,0))&gt;=100000), " ",IF(INDEX($AO$2:$BQ$1001,MATCH(ROWS($AH$2:AH9),$AH$2:$AH$1001,0),MATCH(COLUMNS($AO$1006:AY1006),$AO$1006:$BQ$1006,0)), HYPERLINK("#",""), HYPERLINK(CONCATENATE("#Metadata!", ADDRESS(INDEX($AJ$2:$AJ$1001,MATCH(ROWS($AH$2:AH9),$AH$2:$AH$1001,0),0), INDEX($AO$1004:$BQ$1004,1,MATCH(COLUMNS($AO$1006:AY1006),$AO$1006:$BQ$1006,0)))),"Fix")))</f>
        <v>#N/A</v>
      </c>
      <c r="M9" s="5" t="e">
        <f ca="1">IF(OR(INDEX($AI$2:$AI$1001,MATCH(ROWS($AH$2:AH9),$AH$2:$AH$1001,0),1)&gt;=100000,INDEX($AO$1005:$BQ$1005,1,MATCH(COLUMNS($AO$1006:AZ1006),$AO$1006:$BQ$1006,0))&gt;=100000), " ",IF(INDEX($AO$2:$BQ$1001,MATCH(ROWS($AH$2:AH9),$AH$2:$AH$1001,0),MATCH(COLUMNS($AO$1006:AZ1006),$AO$1006:$BQ$1006,0)), HYPERLINK("#",""), HYPERLINK(CONCATENATE("#Metadata!", ADDRESS(INDEX($AJ$2:$AJ$1001,MATCH(ROWS($AH$2:AH9),$AH$2:$AH$1001,0),0), INDEX($AO$1004:$BQ$1004,1,MATCH(COLUMNS($AO$1006:AZ1006),$AO$1006:$BQ$1006,0)))),"Fix")))</f>
        <v>#N/A</v>
      </c>
      <c r="N9" s="5" t="e">
        <f ca="1">IF(OR(INDEX($AI$2:$AI$1001,MATCH(ROWS($AH$2:AH9),$AH$2:$AH$1001,0),1)&gt;=100000,INDEX($AO$1005:$BQ$1005,1,MATCH(COLUMNS($AO$1006:BA1006),$AO$1006:$BQ$1006,0))&gt;=100000), " ",IF(INDEX($AO$2:$BQ$1001,MATCH(ROWS($AH$2:AH9),$AH$2:$AH$1001,0),MATCH(COLUMNS($AO$1006:BA1006),$AO$1006:$BQ$1006,0)), HYPERLINK("#",""), HYPERLINK(CONCATENATE("#Metadata!", ADDRESS(INDEX($AJ$2:$AJ$1001,MATCH(ROWS($AH$2:AH9),$AH$2:$AH$1001,0),0), INDEX($AO$1004:$BQ$1004,1,MATCH(COLUMNS($AO$1006:BA1006),$AO$1006:$BQ$1006,0)))),"Fix")))</f>
        <v>#N/A</v>
      </c>
      <c r="O9" s="5" t="e">
        <f ca="1">IF(OR(INDEX($AI$2:$AI$1001,MATCH(ROWS($AH$2:AH9),$AH$2:$AH$1001,0),1)&gt;=100000,INDEX($AO$1005:$BQ$1005,1,MATCH(COLUMNS($AO$1006:BB1006),$AO$1006:$BQ$1006,0))&gt;=100000), " ",IF(INDEX($AO$2:$BQ$1001,MATCH(ROWS($AH$2:AH9),$AH$2:$AH$1001,0),MATCH(COLUMNS($AO$1006:BB1006),$AO$1006:$BQ$1006,0)), HYPERLINK("#",""), HYPERLINK(CONCATENATE("#Metadata!", ADDRESS(INDEX($AJ$2:$AJ$1001,MATCH(ROWS($AH$2:AH9),$AH$2:$AH$1001,0),0), INDEX($AO$1004:$BQ$1004,1,MATCH(COLUMNS($AO$1006:BB1006),$AO$1006:$BQ$1006,0)))),"Fix")))</f>
        <v>#N/A</v>
      </c>
      <c r="P9" s="5" t="e">
        <f ca="1">IF(OR(INDEX($AI$2:$AI$1001,MATCH(ROWS($AH$2:AH9),$AH$2:$AH$1001,0),1)&gt;=100000,INDEX($AO$1005:$BQ$1005,1,MATCH(COLUMNS($AO$1006:BC1006),$AO$1006:$BQ$1006,0))&gt;=100000), " ",IF(INDEX($AO$2:$BQ$1001,MATCH(ROWS($AH$2:AH9),$AH$2:$AH$1001,0),MATCH(COLUMNS($AO$1006:BC1006),$AO$1006:$BQ$1006,0)), HYPERLINK("#",""), HYPERLINK(CONCATENATE("#Metadata!", ADDRESS(INDEX($AJ$2:$AJ$1001,MATCH(ROWS($AH$2:AH9),$AH$2:$AH$1001,0),0), INDEX($AO$1004:$BQ$1004,1,MATCH(COLUMNS($AO$1006:BC1006),$AO$1006:$BQ$1006,0)))),"Fix")))</f>
        <v>#N/A</v>
      </c>
      <c r="Q9" s="5" t="e">
        <f ca="1">IF(OR(INDEX($AI$2:$AI$1001,MATCH(ROWS($AH$2:AH9),$AH$2:$AH$1001,0),1)&gt;=100000,INDEX($AO$1005:$BQ$1005,1,MATCH(COLUMNS($AO$1006:BD1006),$AO$1006:$BQ$1006,0))&gt;=100000), " ",IF(INDEX($AO$2:$BQ$1001,MATCH(ROWS($AH$2:AH9),$AH$2:$AH$1001,0),MATCH(COLUMNS($AO$1006:BD1006),$AO$1006:$BQ$1006,0)), HYPERLINK("#",""), HYPERLINK(CONCATENATE("#Metadata!", ADDRESS(INDEX($AJ$2:$AJ$1001,MATCH(ROWS($AH$2:AH9),$AH$2:$AH$1001,0),0), INDEX($AO$1004:$BQ$1004,1,MATCH(COLUMNS($AO$1006:BD1006),$AO$1006:$BQ$1006,0)))),"Fix")))</f>
        <v>#N/A</v>
      </c>
      <c r="R9" s="5" t="e">
        <f ca="1">IF(OR(INDEX($AI$2:$AI$1001,MATCH(ROWS($AH$2:AH9),$AH$2:$AH$1001,0),1)&gt;=100000,INDEX($AO$1005:$BQ$1005,1,MATCH(COLUMNS($AO$1006:BE1006),$AO$1006:$BQ$1006,0))&gt;=100000), " ",IF(INDEX($AO$2:$BQ$1001,MATCH(ROWS($AH$2:AH9),$AH$2:$AH$1001,0),MATCH(COLUMNS($AO$1006:BE1006),$AO$1006:$BQ$1006,0)), HYPERLINK("#",""), HYPERLINK(CONCATENATE("#Metadata!", ADDRESS(INDEX($AJ$2:$AJ$1001,MATCH(ROWS($AH$2:AH9),$AH$2:$AH$1001,0),0), INDEX($AO$1004:$BQ$1004,1,MATCH(COLUMNS($AO$1006:BE1006),$AO$1006:$BQ$1006,0)))),"Fix")))</f>
        <v>#N/A</v>
      </c>
      <c r="S9" s="5" t="e">
        <f ca="1">IF(OR(INDEX($AI$2:$AI$1001,MATCH(ROWS($AH$2:AH9),$AH$2:$AH$1001,0),1)&gt;=100000,INDEX($AO$1005:$BQ$1005,1,MATCH(COLUMNS($AO$1006:BF1006),$AO$1006:$BQ$1006,0))&gt;=100000), " ",IF(INDEX($AO$2:$BQ$1001,MATCH(ROWS($AH$2:AH9),$AH$2:$AH$1001,0),MATCH(COLUMNS($AO$1006:BF1006),$AO$1006:$BQ$1006,0)), HYPERLINK("#",""), HYPERLINK(CONCATENATE("#Metadata!", ADDRESS(INDEX($AJ$2:$AJ$1001,MATCH(ROWS($AH$2:AH9),$AH$2:$AH$1001,0),0), INDEX($AO$1004:$BQ$1004,1,MATCH(COLUMNS($AO$1006:BF1006),$AO$1006:$BQ$1006,0)))),"Fix")))</f>
        <v>#N/A</v>
      </c>
      <c r="T9" s="5" t="e">
        <f ca="1">IF(OR(INDEX($AI$2:$AI$1001,MATCH(ROWS($AH$2:AH9),$AH$2:$AH$1001,0),1)&gt;=100000,INDEX($AO$1005:$BQ$1005,1,MATCH(COLUMNS($AO$1006:BG1006),$AO$1006:$BQ$1006,0))&gt;=100000), " ",IF(INDEX($AO$2:$BQ$1001,MATCH(ROWS($AH$2:AH9),$AH$2:$AH$1001,0),MATCH(COLUMNS($AO$1006:BG1006),$AO$1006:$BQ$1006,0)), HYPERLINK("#",""), HYPERLINK(CONCATENATE("#Metadata!", ADDRESS(INDEX($AJ$2:$AJ$1001,MATCH(ROWS($AH$2:AH9),$AH$2:$AH$1001,0),0), INDEX($AO$1004:$BQ$1004,1,MATCH(COLUMNS($AO$1006:BG1006),$AO$1006:$BQ$1006,0)))),"Fix")))</f>
        <v>#N/A</v>
      </c>
      <c r="U9" s="5" t="e">
        <f ca="1">IF(OR(INDEX($AI$2:$AI$1001,MATCH(ROWS($AH$2:AH9),$AH$2:$AH$1001,0),1)&gt;=100000,INDEX($AO$1005:$BQ$1005,1,MATCH(COLUMNS($AO$1006:BH1006),$AO$1006:$BQ$1006,0))&gt;=100000), " ",IF(INDEX($AO$2:$BQ$1001,MATCH(ROWS($AH$2:AH9),$AH$2:$AH$1001,0),MATCH(COLUMNS($AO$1006:BH1006),$AO$1006:$BQ$1006,0)), HYPERLINK("#",""), HYPERLINK(CONCATENATE("#Metadata!", ADDRESS(INDEX($AJ$2:$AJ$1001,MATCH(ROWS($AH$2:AH9),$AH$2:$AH$1001,0),0), INDEX($AO$1004:$BQ$1004,1,MATCH(COLUMNS($AO$1006:BH1006),$AO$1006:$BQ$1006,0)))),"Fix")))</f>
        <v>#N/A</v>
      </c>
      <c r="V9" s="5" t="e">
        <f ca="1">IF(OR(INDEX($AI$2:$AI$1001,MATCH(ROWS($AH$2:AH9),$AH$2:$AH$1001,0),1)&gt;=100000,INDEX($AO$1005:$BQ$1005,1,MATCH(COLUMNS($AO$1006:BI1006),$AO$1006:$BQ$1006,0))&gt;=100000), " ",IF(INDEX($AO$2:$BQ$1001,MATCH(ROWS($AH$2:AH9),$AH$2:$AH$1001,0),MATCH(COLUMNS($AO$1006:BI1006),$AO$1006:$BQ$1006,0)), HYPERLINK("#",""), HYPERLINK(CONCATENATE("#Metadata!", ADDRESS(INDEX($AJ$2:$AJ$1001,MATCH(ROWS($AH$2:AH9),$AH$2:$AH$1001,0),0), INDEX($AO$1004:$BQ$1004,1,MATCH(COLUMNS($AO$1006:BI1006),$AO$1006:$BQ$1006,0)))),"Fix")))</f>
        <v>#N/A</v>
      </c>
      <c r="W9" s="5" t="e">
        <f ca="1">IF(OR(INDEX($AI$2:$AI$1001,MATCH(ROWS($AH$2:AH9),$AH$2:$AH$1001,0),1)&gt;=100000,INDEX($AO$1005:$BQ$1005,1,MATCH(COLUMNS($AO$1006:BJ1006),$AO$1006:$BQ$1006,0))&gt;=100000), " ",IF(INDEX($AO$2:$BQ$1001,MATCH(ROWS($AH$2:AH9),$AH$2:$AH$1001,0),MATCH(COLUMNS($AO$1006:BJ1006),$AO$1006:$BQ$1006,0)), HYPERLINK("#",""), HYPERLINK(CONCATENATE("#Metadata!", ADDRESS(INDEX($AJ$2:$AJ$1001,MATCH(ROWS($AH$2:AH9),$AH$2:$AH$1001,0),0), INDEX($AO$1004:$BQ$1004,1,MATCH(COLUMNS($AO$1006:BJ1006),$AO$1006:$BQ$1006,0)))),"Fix")))</f>
        <v>#N/A</v>
      </c>
      <c r="X9" s="5" t="e">
        <f ca="1">IF(OR(INDEX($AI$2:$AI$1001,MATCH(ROWS($AH$2:AH9),$AH$2:$AH$1001,0),1)&gt;=100000,INDEX($AO$1005:$BQ$1005,1,MATCH(COLUMNS($AO$1006:BK1006),$AO$1006:$BQ$1006,0))&gt;=100000), " ",IF(INDEX($AO$2:$BQ$1001,MATCH(ROWS($AH$2:AH9),$AH$2:$AH$1001,0),MATCH(COLUMNS($AO$1006:BK1006),$AO$1006:$BQ$1006,0)), HYPERLINK("#",""), HYPERLINK(CONCATENATE("#Metadata!", ADDRESS(INDEX($AJ$2:$AJ$1001,MATCH(ROWS($AH$2:AH9),$AH$2:$AH$1001,0),0), INDEX($AO$1004:$BQ$1004,1,MATCH(COLUMNS($AO$1006:BK1006),$AO$1006:$BQ$1006,0)))),"Fix")))</f>
        <v>#N/A</v>
      </c>
      <c r="Y9" s="5" t="e">
        <f ca="1">IF(OR(INDEX($AI$2:$AI$1001,MATCH(ROWS($AH$2:AH9),$AH$2:$AH$1001,0),1)&gt;=100000,INDEX($AO$1005:$BQ$1005,1,MATCH(COLUMNS($AO$1006:BL1006),$AO$1006:$BQ$1006,0))&gt;=100000), " ",IF(INDEX($AO$2:$BQ$1001,MATCH(ROWS($AH$2:AH9),$AH$2:$AH$1001,0),MATCH(COLUMNS($AO$1006:BL1006),$AO$1006:$BQ$1006,0)), HYPERLINK("#",""), HYPERLINK(CONCATENATE("#Metadata!", ADDRESS(INDEX($AJ$2:$AJ$1001,MATCH(ROWS($AH$2:AH9),$AH$2:$AH$1001,0),0), INDEX($AO$1004:$BQ$1004,1,MATCH(COLUMNS($AO$1006:BL1006),$AO$1006:$BQ$1006,0)))),"Fix")))</f>
        <v>#N/A</v>
      </c>
      <c r="Z9" s="5" t="e">
        <f ca="1">IF(OR(INDEX($AI$2:$AI$1001,MATCH(ROWS($AH$2:AH9),$AH$2:$AH$1001,0),1)&gt;=100000,INDEX($AO$1005:$BQ$1005,1,MATCH(COLUMNS($AO$1006:BM1006),$AO$1006:$BQ$1006,0))&gt;=100000), " ",IF(INDEX($AO$2:$BQ$1001,MATCH(ROWS($AH$2:AH9),$AH$2:$AH$1001,0),MATCH(COLUMNS($AO$1006:BM1006),$AO$1006:$BQ$1006,0)), HYPERLINK("#",""), HYPERLINK(CONCATENATE("#Metadata!", ADDRESS(INDEX($AJ$2:$AJ$1001,MATCH(ROWS($AH$2:AH9),$AH$2:$AH$1001,0),0), INDEX($AO$1004:$BQ$1004,1,MATCH(COLUMNS($AO$1006:BM1006),$AO$1006:$BQ$1006,0)))),"Fix")))</f>
        <v>#N/A</v>
      </c>
      <c r="AA9" s="5" t="e">
        <f ca="1">IF(OR(INDEX($AI$2:$AI$1001,MATCH(ROWS($AH$2:AH9),$AH$2:$AH$1001,0),1)&gt;=100000,INDEX($AO$1005:$BQ$1005,1,MATCH(COLUMNS($AO$1006:BN1006),$AO$1006:$BQ$1006,0))&gt;=100000), " ",IF(INDEX($AO$2:$BQ$1001,MATCH(ROWS($AH$2:AH9),$AH$2:$AH$1001,0),MATCH(COLUMNS($AO$1006:BN1006),$AO$1006:$BQ$1006,0)), HYPERLINK("#",""), HYPERLINK(CONCATENATE("#Metadata!", ADDRESS(INDEX($AJ$2:$AJ$1001,MATCH(ROWS($AH$2:AH9),$AH$2:$AH$1001,0),0), INDEX($AO$1004:$BQ$1004,1,MATCH(COLUMNS($AO$1006:BN1006),$AO$1006:$BQ$1006,0)))),"Fix")))</f>
        <v>#N/A</v>
      </c>
      <c r="AB9" s="5" t="e">
        <f ca="1">IF(OR(INDEX($AI$2:$AI$1001,MATCH(ROWS($AH$2:AH9),$AH$2:$AH$1001,0),1)&gt;=100000,INDEX($AO$1005:$BQ$1005,1,MATCH(COLUMNS($AO$1006:BO1006),$AO$1006:$BQ$1006,0))&gt;=100000), " ",IF(INDEX($AO$2:$BQ$1001,MATCH(ROWS($AH$2:AH9),$AH$2:$AH$1001,0),MATCH(COLUMNS($AO$1006:BO1006),$AO$1006:$BQ$1006,0)), HYPERLINK("#",""), HYPERLINK(CONCATENATE("#Metadata!", ADDRESS(INDEX($AJ$2:$AJ$1001,MATCH(ROWS($AH$2:AH9),$AH$2:$AH$1001,0),0), INDEX($AO$1004:$BQ$1004,1,MATCH(COLUMNS($AO$1006:BO1006),$AO$1006:$BQ$1006,0)))),"Fix")))</f>
        <v>#N/A</v>
      </c>
      <c r="AC9" s="5" t="e">
        <f ca="1">IF(OR(INDEX($AI$2:$AI$1001,MATCH(ROWS($AH$2:AH9),$AH$2:$AH$1001,0),1)&gt;=100000,INDEX($AO$1005:$BQ$1005,1,MATCH(COLUMNS($AO$1006:BP1006),$AO$1006:$BQ$1006,0))&gt;=100000), " ",IF(INDEX($AO$2:$BQ$1001,MATCH(ROWS($AH$2:AH9),$AH$2:$AH$1001,0),MATCH(COLUMNS($AO$1006:BP1006),$AO$1006:$BQ$1006,0)), HYPERLINK("#",""), HYPERLINK(CONCATENATE("#Metadata!", ADDRESS(INDEX($AJ$2:$AJ$1001,MATCH(ROWS($AH$2:AH9),$AH$2:$AH$1001,0),0), INDEX($AO$1004:$BQ$1004,1,MATCH(COLUMNS($AO$1006:BP1006),$AO$1006:$BQ$1006,0)))),"Fix")))</f>
        <v>#N/A</v>
      </c>
      <c r="AD9" s="5" t="e">
        <f ca="1">IF(OR(INDEX($AI$2:$AI$1001,MATCH(ROWS($AH$2:AH9),$AH$2:$AH$1001,0),1)&gt;=100000,INDEX($AO$1005:$BQ$1005,1,MATCH(COLUMNS($AO$1006:BQ1006),$AO$1006:$BQ$1006,0))&gt;=100000), " ",IF(INDEX($AO$2:$BQ$1001,MATCH(ROWS($AH$2:AH9),$AH$2:$AH$1001,0),MATCH(COLUMNS($AO$1006:BQ1006),$AO$1006:$BQ$1006,0)), HYPERLINK("#",""), HYPERLINK(CONCATENATE("#Metadata!", ADDRESS(INDEX($AJ$2:$AJ$1001,MATCH(ROWS($AH$2:AH9),$AH$2:$AH$1001,0),0), INDEX($AO$1004:$BQ$1004,1,MATCH(COLUMNS($AO$1006:BQ1006),$AO$1006:$BQ$1006,0)))),"Fix")))</f>
        <v>#REF!</v>
      </c>
      <c r="AH9">
        <f ca="1"/>
        <v>7</v>
      </c>
      <c r="AI9">
        <f ca="1"/>
        <v>9</v>
      </c>
      <c r="AJ9">
        <v>9</v>
      </c>
      <c r="AK9" t="b">
        <f t="shared" ca="1" si="0"/>
        <v>0</v>
      </c>
      <c r="AL9" t="b">
        <f>COUNTBLANK(Metadata!B9:AD9)=COLUMNS(Metadata!B9:AD9)</f>
        <v>0</v>
      </c>
      <c r="AM9" t="str">
        <v>Anaxyrus.boreas.Sediment.BTP.60Sediment</v>
      </c>
      <c r="AO9" t="b">
        <f ca="1">AND(IF(Metadata!B8="",FALSE,TRUE),COUNTIF(Metadata!B:B, Metadata!B8) = 1,NOT(ISERROR(SUMPRODUCT(SEARCH(MID(Metadata!B8,ROW(INDIRECT("1:"&amp;LEN(Metadata!B8))), 1),"0123456789abcdefghijklmnopqrstuvwxyzABCDEFGHIJKLMNOPQRSTUVWXYZ.")))))</f>
        <v>1</v>
      </c>
      <c r="AP9" t="b">
        <f>IF(Metadata!C8="",FALSE,TRUE)</f>
        <v>1</v>
      </c>
      <c r="AQ9" t="b">
        <f>IF(Metadata!D8="",FALSE,TRUE)</f>
        <v>1</v>
      </c>
      <c r="AR9" t="b">
        <f ca="1">OR(AND(IF(Metadata!E8="",FALSE,TRUE),OR(EXACT(Metadata!E8,"not collected"),EXACT(Metadata!E8,"not provided"),EXACT(Metadata!E8,"restricted access"))),AND(IF(Metadata!E8="",FALSE,TRUE),AND(AND(IFERROR(INT(LEFT(Metadata!E8,4))&gt;1900,FALSE),IFERROR(INT(LEFT(Metadata!E8,4))&lt;=YEAR(NOW()),FALSE)), OR(MID(Metadata!E8,5,1)="", AND(AND(MID(Metadata!E8,5,1)="-",IFERROR(INT(MID(Metadata!E8,6,1))&gt;=0,FALSE),IFERROR(INT(MID(Metadata!E8,6,1))&lt;=1,FALSE),NOT(MID(Metadata!E8,7,1)=""),IFERROR(INT(MID(Metadata!E8,6,2))&gt;=1,FALSE),IFERROR(INT(MID(Metadata!E8,6,2))&lt;=12,FALSE)), OR(MID(Metadata!E8,8,1)="", AND(AND(MID(Metadata!E8,8,1)="-",IFERROR(INT(MID(Metadata!E8,9,1))&gt;=0,FALSE),IFERROR(INT(MID(Metadata!E8,9,1))&lt;=3,FALSE),NOT(MID(Metadata!E8,10,1)=""),IFERROR(INT(MID(Metadata!E8,9,2))&gt;=1,FALSE),IFERROR(INT(MID(Metadata!E8,9,2))&lt;=31,FALSE)), OR(MID(Metadata!E8,11,1)="", AND(AND(MID(Metadata!E8,11,1)=" ",IFERROR(INT(MID(Metadata!E8,12,1))&gt;=0,FALSE),IFERROR(INT(MID(Metadata!E8,12,1))&lt;=2,FALSE),NOT(MID(Metadata!E8,13,1)=""),IFERROR(INT(MID(Metadata!E8,12,2))&gt;=0,FALSE),IFERROR(INT(MID(Metadata!E8,12,2))&lt;=23,FALSE)), OR(MID(Metadata!E8,14,1)="", AND(AND(MID(Metadata!E8,14,1)=":",IFERROR(INT(MID(Metadata!E8,15,1))&gt;=0,FALSE),IFERROR(INT(MID(Metadata!E8,15,1))&lt;=5,FALSE),NOT(MID(Metadata!E8,16,1)=""),IFERROR(INT(MID(Metadata!E8,15,2))&gt;=0,FALSE),IFERROR(INT(MID(Metadata!E8,15,2))&lt;=59,FALSE)), OR(MID(Metadata!E8,17,1)="", AND(AND(MID(Metadata!E8,17,1)=":",IFERROR(INT(MID(Metadata!E8,18,1))&gt;=0,FALSE),IFERROR(INT(MID(Metadata!E8,18,1))&lt;=5,FALSE),NOT(MID(Metadata!E8,19,1)=""),IFERROR(INT(MID(Metadata!E8,18,2))&gt;=0,FALSE),IFERROR(INT(MID(Metadata!E8,18,2))&lt;=59,FALSE)), LEN(Metadata!E8)&lt;=19)))))))))))))</f>
        <v>0</v>
      </c>
      <c r="AS9" t="b">
        <f>IF(Metadata!F8="",FALSE,TRUE)</f>
        <v>1</v>
      </c>
      <c r="AT9" t="b">
        <f>OR(AND(IF(Metadata!G8="",FALSE,TRUE),OR(EXACT(Metadata!G8,"not collected"),EXACT(Metadata!G8,"not provided"))),AND(IF(Metadata!G8="",FALSE,TRUE),OR(EXACT(Metadata!G8,"TRUE"),EXACT(Metadata!G8,"FALSE"))))</f>
        <v>1</v>
      </c>
      <c r="AU9" t="b">
        <f>OR(AND(IF(Metadata!H8="",FALSE,TRUE),OR(EXACT(Metadata!H8,"not collected"),EXACT(Metadata!H8,"not provided"),EXACT(Metadata!H8,"restricted access"))),AND(IF(Metadata!H8="",FALSE,ISNUMBER(VALUE(Metadata!H8))),Metadata!H8&gt;=-413))</f>
        <v>0</v>
      </c>
      <c r="AV9" t="b">
        <f>AND(IF(Metadata!I8="",FALSE,TRUE),EXACT(Metadata!I8,"meters"))</f>
        <v>1</v>
      </c>
      <c r="AW9" t="b">
        <f>AND(IF(Metadata!J8="",FALSE,TRUE),EXACT(Metadata!J8,"free-living"))</f>
        <v>1</v>
      </c>
      <c r="AX9" t="b">
        <f>AND(IF(Metadata!K8="",FALSE,TRUE),OR(EXACT(Metadata!K8,"saline"),EXACT(Metadata!K8,"non-saline")))</f>
        <v>1</v>
      </c>
      <c r="AY9" t="b">
        <f>AND(IF(Metadata!L8="",FALSE,TRUE),OR(EXACT(Metadata!L8,"sub-surface (non-saline)"),EXACT(Metadata!L8,"surface (non-saline)"),EXACT(Metadata!L8,"water (non-saline)"),EXACT(Metadata!L8,"soil (non-saline)"),EXACT(Metadata!L8,"aerosol (non-saline)"),EXACT(Metadata!L8,"sediment (non-saline)"),EXACT(Metadata!L8,"surface (saline)"),EXACT(Metadata!L8,"water (saline)"),EXACT(Metadata!L8,"hypersaline (saline)"),EXACT(Metadata!L8,"aerosol (saline)"),EXACT(Metadata!L8,"sediment (saline)")))</f>
        <v>1</v>
      </c>
      <c r="AZ9" t="b">
        <f>IF(Metadata!M8="",FALSE,TRUE)</f>
        <v>1</v>
      </c>
      <c r="BA9" t="b">
        <f>IF(Metadata!N8="",FALSE,TRUE)</f>
        <v>1</v>
      </c>
      <c r="BB9" t="b">
        <f>IF(Metadata!O8="",FALSE,TRUE)</f>
        <v>1</v>
      </c>
      <c r="BC9" t="b">
        <f>AND(IF(Metadata!P8="",FALSE,TRUE),OR(EXACT(Metadata!P8,"air"),EXACT(Metadata!P8,"microbial mat/biofilm"),EXACT(Metadata!P8,"misc environment"),EXACT(Metadata!P8,"sediment"),EXACT(Metadata!P8,"soil"),EXACT(Metadata!P8,"wastewater/sludge"),EXACT(Metadata!P8,"water")))</f>
        <v>1</v>
      </c>
      <c r="BD9" t="b">
        <f>IF(Metadata!Q8="",FALSE,TRUE)</f>
        <v>1</v>
      </c>
      <c r="BE9" t="b">
        <f>IF(Metadata!R8="",FALSE,TRUE)</f>
        <v>1</v>
      </c>
      <c r="BF9" t="b">
        <f>OR(AND(IF(Metadata!S8="",FALSE,TRUE),OR(EXACT(Metadata!S8,"not collected"),EXACT(Metadata!S8,"not provided"),EXACT(Metadata!S8,"restricted access"))),AND(IF(Metadata!S8="",FALSE,ISNUMBER(VALUE(Metadata!S8))),Metadata!S8&gt;=-90,Metadata!S8&lt;=90))</f>
        <v>0</v>
      </c>
      <c r="BG9" t="b">
        <f>AND(IF(Metadata!T8="",FALSE,TRUE),EXACT(Metadata!T8,"Decimal degrees"))</f>
        <v>1</v>
      </c>
      <c r="BH9" t="b">
        <f>OR(AND(IF(Metadata!U9="",FALSE,TRUE),OR(EXACT(Metadata!U9,"not applicable"),EXACT(Metadata!U9,"not collected"))),IF(Metadata!U9="",FALSE,TRUE))</f>
        <v>1</v>
      </c>
      <c r="BI9" t="b">
        <f>OR(AND(IF(Metadata!V8="",FALSE,TRUE),OR(EXACT(Metadata!V8,"not collected"),EXACT(Metadata!V8,"not provided"),EXACT(Metadata!V8,"restricted access"))),AND(IF(Metadata!V8="",FALSE,ISNUMBER(VALUE(Metadata!V8))),Metadata!V8&gt;=-180,Metadata!V8&lt;=180))</f>
        <v>0</v>
      </c>
      <c r="BJ9" t="b">
        <f>AND(IF(Metadata!W8="",FALSE,TRUE),EXACT(Metadata!W8,"Decimal degrees"))</f>
        <v>1</v>
      </c>
      <c r="BK9" t="b">
        <f>IF(Metadata!X8="",FALSE,TRUE)</f>
        <v>1</v>
      </c>
      <c r="BL9" t="b">
        <f>OR(AND(IF(Metadata!Y8="",FALSE,TRUE),OR(EXACT(Metadata!Y8,"not collected"),EXACT(Metadata!Y8,"not provided"),EXACT(Metadata!Y8,"restricted access"))),AND(IF(Metadata!Y8="",FALSE,TRUE),OR(EXACT(Metadata!Y8,"TRUE"),EXACT(Metadata!Y8,"FALSE"))))</f>
        <v>1</v>
      </c>
      <c r="BM9" t="b">
        <f>OR(AND(IF(Metadata!Z8="",FALSE,TRUE),EXACT(Metadata!Z8,"not applicable")),AND(IF(Metadata!Z8="",FALSE,TRUE),OR(EXACT(Metadata!Z8,"beer"),EXACT(Metadata!Z8,"cheese"),EXACT(Metadata!Z8,"fresh water"),EXACT(Metadata!Z8,"marine sediment"),EXACT(Metadata!Z8,"sea water"),EXACT(Metadata!Z8,"sediment"),EXACT(Metadata!Z8,"soil"),EXACT(Metadata!Z8,"waste water"))))</f>
        <v>1</v>
      </c>
      <c r="BN9" t="b">
        <f>AND(IF(Metadata!AA8="",FALSE,TRUE),EXACT(Metadata!AA8,"metagenome"))</f>
        <v>1</v>
      </c>
      <c r="BO9" t="b">
        <f>AND(IF(Metadata!AB8="",FALSE,TRUE),EXACT(Metadata!AB8,"256318"))</f>
        <v>1</v>
      </c>
      <c r="BP9" t="b">
        <f>IF(Metadata!AC8="",FALSE,TRUE)</f>
        <v>1</v>
      </c>
      <c r="BQ9" t="b">
        <f>IF(Metadata!AD8="",FALSE,TRUE)</f>
        <v>1</v>
      </c>
    </row>
    <row r="10" spans="1:69" x14ac:dyDescent="0.2">
      <c r="A10" s="4" t="e">
        <f ca="1">IF(B10=" "," ",HYPERLINK(CONCATENATE("#metadata!",ADDRESS(INDEX($AJ$2:$AJ$1001,MATCH(ROWS($AH$2:AH10),$AH$2:$AH$1001,0),0),2)),INDEX($AM$2:$AM$1001,MATCH(ROWS($AH$2:AH10),$AH$2:$AH$1001,0),0)))</f>
        <v>#N/A</v>
      </c>
      <c r="B10" s="5" t="e">
        <f ca="1">IF(OR(INDEX($AI$2:$AI$1001,MATCH(ROWS($AH$2:AH10),$AH$2:$AH$1001,0),1)&gt;=100000,INDEX($AO$1005:$BQ$1005,1,MATCH(COLUMNS($AO$1006:AO1006),$AO$1006:$BQ$1006,0))&gt;=100000), " ",IF(INDEX($AO$2:$BQ$1001,MATCH(ROWS($AH$2:AH10),$AH$2:$AH$1001,0),MATCH(COLUMNS($AO$1006:AO1006),$AO$1006:$BQ$1006,0)), HYPERLINK("#",""), HYPERLINK(CONCATENATE("#Metadata!", ADDRESS(INDEX($AJ$2:$AJ$1001,MATCH(ROWS($AH$2:AH10),$AH$2:$AH$1001,0),0), INDEX($AO$1004:$BQ$1004,1,MATCH(COLUMNS($AO$1006:AO1006),$AO$1006:$BQ$1006,0)))),"Fix")))</f>
        <v>#N/A</v>
      </c>
      <c r="C10" s="5" t="e">
        <f ca="1">IF(OR(INDEX($AI$2:$AI$1001,MATCH(ROWS($AH$2:AH10),$AH$2:$AH$1001,0),1)&gt;=100000,INDEX($AO$1005:$BQ$1005,1,MATCH(COLUMNS($AO$1006:AP1006),$AO$1006:$BQ$1006,0))&gt;=100000), " ",IF(INDEX($AO$2:$BQ$1001,MATCH(ROWS($AH$2:AH10),$AH$2:$AH$1001,0),MATCH(COLUMNS($AO$1006:AP1006),$AO$1006:$BQ$1006,0)), HYPERLINK("#",""), HYPERLINK(CONCATENATE("#Metadata!", ADDRESS(INDEX($AJ$2:$AJ$1001,MATCH(ROWS($AH$2:AH10),$AH$2:$AH$1001,0),0), INDEX($AO$1004:$BQ$1004,1,MATCH(COLUMNS($AO$1006:AP1006),$AO$1006:$BQ$1006,0)))),"Fix")))</f>
        <v>#N/A</v>
      </c>
      <c r="D10" s="5" t="e">
        <f ca="1">IF(OR(INDEX($AI$2:$AI$1001,MATCH(ROWS($AH$2:AH10),$AH$2:$AH$1001,0),1)&gt;=100000,INDEX($AO$1005:$BQ$1005,1,MATCH(COLUMNS($AO$1006:AQ1006),$AO$1006:$BQ$1006,0))&gt;=100000), " ",IF(INDEX($AO$2:$BQ$1001,MATCH(ROWS($AH$2:AH10),$AH$2:$AH$1001,0),MATCH(COLUMNS($AO$1006:AQ1006),$AO$1006:$BQ$1006,0)), HYPERLINK("#",""), HYPERLINK(CONCATENATE("#Metadata!", ADDRESS(INDEX($AJ$2:$AJ$1001,MATCH(ROWS($AH$2:AH10),$AH$2:$AH$1001,0),0), INDEX($AO$1004:$BQ$1004,1,MATCH(COLUMNS($AO$1006:AQ1006),$AO$1006:$BQ$1006,0)))),"Fix")))</f>
        <v>#N/A</v>
      </c>
      <c r="E10" s="5" t="e">
        <f ca="1">IF(OR(INDEX($AI$2:$AI$1001,MATCH(ROWS($AH$2:AH10),$AH$2:$AH$1001,0),1)&gt;=100000,INDEX($AO$1005:$BQ$1005,1,MATCH(COLUMNS($AO$1006:AR1006),$AO$1006:$BQ$1006,0))&gt;=100000), " ",IF(INDEX($AO$2:$BQ$1001,MATCH(ROWS($AH$2:AH10),$AH$2:$AH$1001,0),MATCH(COLUMNS($AO$1006:AR1006),$AO$1006:$BQ$1006,0)), HYPERLINK("#",""), HYPERLINK(CONCATENATE("#Metadata!", ADDRESS(INDEX($AJ$2:$AJ$1001,MATCH(ROWS($AH$2:AH10),$AH$2:$AH$1001,0),0), INDEX($AO$1004:$BQ$1004,1,MATCH(COLUMNS($AO$1006:AR1006),$AO$1006:$BQ$1006,0)))),"Fix")))</f>
        <v>#N/A</v>
      </c>
      <c r="F10" s="5" t="e">
        <f ca="1">IF(OR(INDEX($AI$2:$AI$1001,MATCH(ROWS($AH$2:AH10),$AH$2:$AH$1001,0),1)&gt;=100000,INDEX($AO$1005:$BQ$1005,1,MATCH(COLUMNS($AO$1006:AS1006),$AO$1006:$BQ$1006,0))&gt;=100000), " ",IF(INDEX($AO$2:$BQ$1001,MATCH(ROWS($AH$2:AH10),$AH$2:$AH$1001,0),MATCH(COLUMNS($AO$1006:AS1006),$AO$1006:$BQ$1006,0)), HYPERLINK("#",""), HYPERLINK(CONCATENATE("#Metadata!", ADDRESS(INDEX($AJ$2:$AJ$1001,MATCH(ROWS($AH$2:AH10),$AH$2:$AH$1001,0),0), INDEX($AO$1004:$BQ$1004,1,MATCH(COLUMNS($AO$1006:AS1006),$AO$1006:$BQ$1006,0)))),"Fix")))</f>
        <v>#N/A</v>
      </c>
      <c r="G10" s="5" t="e">
        <f ca="1">IF(OR(INDEX($AI$2:$AI$1001,MATCH(ROWS($AH$2:AH10),$AH$2:$AH$1001,0),1)&gt;=100000,INDEX($AO$1005:$BQ$1005,1,MATCH(COLUMNS($AO$1006:AT1006),$AO$1006:$BQ$1006,0))&gt;=100000), " ",IF(INDEX($AO$2:$BQ$1001,MATCH(ROWS($AH$2:AH10),$AH$2:$AH$1001,0),MATCH(COLUMNS($AO$1006:AT1006),$AO$1006:$BQ$1006,0)), HYPERLINK("#",""), HYPERLINK(CONCATENATE("#Metadata!", ADDRESS(INDEX($AJ$2:$AJ$1001,MATCH(ROWS($AH$2:AH10),$AH$2:$AH$1001,0),0), INDEX($AO$1004:$BQ$1004,1,MATCH(COLUMNS($AO$1006:AT1006),$AO$1006:$BQ$1006,0)))),"Fix")))</f>
        <v>#N/A</v>
      </c>
      <c r="H10" s="5" t="e">
        <f ca="1">IF(OR(INDEX($AI$2:$AI$1001,MATCH(ROWS($AH$2:AH10),$AH$2:$AH$1001,0),1)&gt;=100000,INDEX($AO$1005:$BQ$1005,1,MATCH(COLUMNS($AO$1006:AU1006),$AO$1006:$BQ$1006,0))&gt;=100000), " ",IF(INDEX($AO$2:$BQ$1001,MATCH(ROWS($AH$2:AH10),$AH$2:$AH$1001,0),MATCH(COLUMNS($AO$1006:AU1006),$AO$1006:$BQ$1006,0)), HYPERLINK("#",""), HYPERLINK(CONCATENATE("#Metadata!", ADDRESS(INDEX($AJ$2:$AJ$1001,MATCH(ROWS($AH$2:AH10),$AH$2:$AH$1001,0),0), INDEX($AO$1004:$BQ$1004,1,MATCH(COLUMNS($AO$1006:AU1006),$AO$1006:$BQ$1006,0)))),"Fix")))</f>
        <v>#N/A</v>
      </c>
      <c r="I10" s="5" t="e">
        <f ca="1">IF(OR(INDEX($AI$2:$AI$1001,MATCH(ROWS($AH$2:AH10),$AH$2:$AH$1001,0),1)&gt;=100000,INDEX($AO$1005:$BQ$1005,1,MATCH(COLUMNS($AO$1006:AV1006),$AO$1006:$BQ$1006,0))&gt;=100000), " ",IF(INDEX($AO$2:$BQ$1001,MATCH(ROWS($AH$2:AH10),$AH$2:$AH$1001,0),MATCH(COLUMNS($AO$1006:AV1006),$AO$1006:$BQ$1006,0)), HYPERLINK("#",""), HYPERLINK(CONCATENATE("#Metadata!", ADDRESS(INDEX($AJ$2:$AJ$1001,MATCH(ROWS($AH$2:AH10),$AH$2:$AH$1001,0),0), INDEX($AO$1004:$BQ$1004,1,MATCH(COLUMNS($AO$1006:AV1006),$AO$1006:$BQ$1006,0)))),"Fix")))</f>
        <v>#N/A</v>
      </c>
      <c r="J10" s="5" t="e">
        <f ca="1">IF(OR(INDEX($AI$2:$AI$1001,MATCH(ROWS($AH$2:AH10),$AH$2:$AH$1001,0),1)&gt;=100000,INDEX($AO$1005:$BQ$1005,1,MATCH(COLUMNS($AO$1006:AW1006),$AO$1006:$BQ$1006,0))&gt;=100000), " ",IF(INDEX($AO$2:$BQ$1001,MATCH(ROWS($AH$2:AH10),$AH$2:$AH$1001,0),MATCH(COLUMNS($AO$1006:AW1006),$AO$1006:$BQ$1006,0)), HYPERLINK("#",""), HYPERLINK(CONCATENATE("#Metadata!", ADDRESS(INDEX($AJ$2:$AJ$1001,MATCH(ROWS($AH$2:AH10),$AH$2:$AH$1001,0),0), INDEX($AO$1004:$BQ$1004,1,MATCH(COLUMNS($AO$1006:AW1006),$AO$1006:$BQ$1006,0)))),"Fix")))</f>
        <v>#N/A</v>
      </c>
      <c r="K10" s="5" t="e">
        <f ca="1">IF(OR(INDEX($AI$2:$AI$1001,MATCH(ROWS($AH$2:AH10),$AH$2:$AH$1001,0),1)&gt;=100000,INDEX($AO$1005:$BQ$1005,1,MATCH(COLUMNS($AO$1006:AX1006),$AO$1006:$BQ$1006,0))&gt;=100000), " ",IF(INDEX($AO$2:$BQ$1001,MATCH(ROWS($AH$2:AH10),$AH$2:$AH$1001,0),MATCH(COLUMNS($AO$1006:AX1006),$AO$1006:$BQ$1006,0)), HYPERLINK("#",""), HYPERLINK(CONCATENATE("#Metadata!", ADDRESS(INDEX($AJ$2:$AJ$1001,MATCH(ROWS($AH$2:AH10),$AH$2:$AH$1001,0),0), INDEX($AO$1004:$BQ$1004,1,MATCH(COLUMNS($AO$1006:AX1006),$AO$1006:$BQ$1006,0)))),"Fix")))</f>
        <v>#N/A</v>
      </c>
      <c r="L10" s="5" t="e">
        <f ca="1">IF(OR(INDEX($AI$2:$AI$1001,MATCH(ROWS($AH$2:AH10),$AH$2:$AH$1001,0),1)&gt;=100000,INDEX($AO$1005:$BQ$1005,1,MATCH(COLUMNS($AO$1006:AY1006),$AO$1006:$BQ$1006,0))&gt;=100000), " ",IF(INDEX($AO$2:$BQ$1001,MATCH(ROWS($AH$2:AH10),$AH$2:$AH$1001,0),MATCH(COLUMNS($AO$1006:AY1006),$AO$1006:$BQ$1006,0)), HYPERLINK("#",""), HYPERLINK(CONCATENATE("#Metadata!", ADDRESS(INDEX($AJ$2:$AJ$1001,MATCH(ROWS($AH$2:AH10),$AH$2:$AH$1001,0),0), INDEX($AO$1004:$BQ$1004,1,MATCH(COLUMNS($AO$1006:AY1006),$AO$1006:$BQ$1006,0)))),"Fix")))</f>
        <v>#N/A</v>
      </c>
      <c r="M10" s="5" t="e">
        <f ca="1">IF(OR(INDEX($AI$2:$AI$1001,MATCH(ROWS($AH$2:AH10),$AH$2:$AH$1001,0),1)&gt;=100000,INDEX($AO$1005:$BQ$1005,1,MATCH(COLUMNS($AO$1006:AZ1006),$AO$1006:$BQ$1006,0))&gt;=100000), " ",IF(INDEX($AO$2:$BQ$1001,MATCH(ROWS($AH$2:AH10),$AH$2:$AH$1001,0),MATCH(COLUMNS($AO$1006:AZ1006),$AO$1006:$BQ$1006,0)), HYPERLINK("#",""), HYPERLINK(CONCATENATE("#Metadata!", ADDRESS(INDEX($AJ$2:$AJ$1001,MATCH(ROWS($AH$2:AH10),$AH$2:$AH$1001,0),0), INDEX($AO$1004:$BQ$1004,1,MATCH(COLUMNS($AO$1006:AZ1006),$AO$1006:$BQ$1006,0)))),"Fix")))</f>
        <v>#N/A</v>
      </c>
      <c r="N10" s="5" t="e">
        <f ca="1">IF(OR(INDEX($AI$2:$AI$1001,MATCH(ROWS($AH$2:AH10),$AH$2:$AH$1001,0),1)&gt;=100000,INDEX($AO$1005:$BQ$1005,1,MATCH(COLUMNS($AO$1006:BA1006),$AO$1006:$BQ$1006,0))&gt;=100000), " ",IF(INDEX($AO$2:$BQ$1001,MATCH(ROWS($AH$2:AH10),$AH$2:$AH$1001,0),MATCH(COLUMNS($AO$1006:BA1006),$AO$1006:$BQ$1006,0)), HYPERLINK("#",""), HYPERLINK(CONCATENATE("#Metadata!", ADDRESS(INDEX($AJ$2:$AJ$1001,MATCH(ROWS($AH$2:AH10),$AH$2:$AH$1001,0),0), INDEX($AO$1004:$BQ$1004,1,MATCH(COLUMNS($AO$1006:BA1006),$AO$1006:$BQ$1006,0)))),"Fix")))</f>
        <v>#N/A</v>
      </c>
      <c r="O10" s="5" t="e">
        <f ca="1">IF(OR(INDEX($AI$2:$AI$1001,MATCH(ROWS($AH$2:AH10),$AH$2:$AH$1001,0),1)&gt;=100000,INDEX($AO$1005:$BQ$1005,1,MATCH(COLUMNS($AO$1006:BB1006),$AO$1006:$BQ$1006,0))&gt;=100000), " ",IF(INDEX($AO$2:$BQ$1001,MATCH(ROWS($AH$2:AH10),$AH$2:$AH$1001,0),MATCH(COLUMNS($AO$1006:BB1006),$AO$1006:$BQ$1006,0)), HYPERLINK("#",""), HYPERLINK(CONCATENATE("#Metadata!", ADDRESS(INDEX($AJ$2:$AJ$1001,MATCH(ROWS($AH$2:AH10),$AH$2:$AH$1001,0),0), INDEX($AO$1004:$BQ$1004,1,MATCH(COLUMNS($AO$1006:BB1006),$AO$1006:$BQ$1006,0)))),"Fix")))</f>
        <v>#N/A</v>
      </c>
      <c r="P10" s="5" t="e">
        <f ca="1">IF(OR(INDEX($AI$2:$AI$1001,MATCH(ROWS($AH$2:AH10),$AH$2:$AH$1001,0),1)&gt;=100000,INDEX($AO$1005:$BQ$1005,1,MATCH(COLUMNS($AO$1006:BC1006),$AO$1006:$BQ$1006,0))&gt;=100000), " ",IF(INDEX($AO$2:$BQ$1001,MATCH(ROWS($AH$2:AH10),$AH$2:$AH$1001,0),MATCH(COLUMNS($AO$1006:BC1006),$AO$1006:$BQ$1006,0)), HYPERLINK("#",""), HYPERLINK(CONCATENATE("#Metadata!", ADDRESS(INDEX($AJ$2:$AJ$1001,MATCH(ROWS($AH$2:AH10),$AH$2:$AH$1001,0),0), INDEX($AO$1004:$BQ$1004,1,MATCH(COLUMNS($AO$1006:BC1006),$AO$1006:$BQ$1006,0)))),"Fix")))</f>
        <v>#N/A</v>
      </c>
      <c r="Q10" s="5" t="e">
        <f ca="1">IF(OR(INDEX($AI$2:$AI$1001,MATCH(ROWS($AH$2:AH10),$AH$2:$AH$1001,0),1)&gt;=100000,INDEX($AO$1005:$BQ$1005,1,MATCH(COLUMNS($AO$1006:BD1006),$AO$1006:$BQ$1006,0))&gt;=100000), " ",IF(INDEX($AO$2:$BQ$1001,MATCH(ROWS($AH$2:AH10),$AH$2:$AH$1001,0),MATCH(COLUMNS($AO$1006:BD1006),$AO$1006:$BQ$1006,0)), HYPERLINK("#",""), HYPERLINK(CONCATENATE("#Metadata!", ADDRESS(INDEX($AJ$2:$AJ$1001,MATCH(ROWS($AH$2:AH10),$AH$2:$AH$1001,0),0), INDEX($AO$1004:$BQ$1004,1,MATCH(COLUMNS($AO$1006:BD1006),$AO$1006:$BQ$1006,0)))),"Fix")))</f>
        <v>#N/A</v>
      </c>
      <c r="R10" s="5" t="e">
        <f ca="1">IF(OR(INDEX($AI$2:$AI$1001,MATCH(ROWS($AH$2:AH10),$AH$2:$AH$1001,0),1)&gt;=100000,INDEX($AO$1005:$BQ$1005,1,MATCH(COLUMNS($AO$1006:BE1006),$AO$1006:$BQ$1006,0))&gt;=100000), " ",IF(INDEX($AO$2:$BQ$1001,MATCH(ROWS($AH$2:AH10),$AH$2:$AH$1001,0),MATCH(COLUMNS($AO$1006:BE1006),$AO$1006:$BQ$1006,0)), HYPERLINK("#",""), HYPERLINK(CONCATENATE("#Metadata!", ADDRESS(INDEX($AJ$2:$AJ$1001,MATCH(ROWS($AH$2:AH10),$AH$2:$AH$1001,0),0), INDEX($AO$1004:$BQ$1004,1,MATCH(COLUMNS($AO$1006:BE1006),$AO$1006:$BQ$1006,0)))),"Fix")))</f>
        <v>#N/A</v>
      </c>
      <c r="S10" s="5" t="e">
        <f ca="1">IF(OR(INDEX($AI$2:$AI$1001,MATCH(ROWS($AH$2:AH10),$AH$2:$AH$1001,0),1)&gt;=100000,INDEX($AO$1005:$BQ$1005,1,MATCH(COLUMNS($AO$1006:BF1006),$AO$1006:$BQ$1006,0))&gt;=100000), " ",IF(INDEX($AO$2:$BQ$1001,MATCH(ROWS($AH$2:AH10),$AH$2:$AH$1001,0),MATCH(COLUMNS($AO$1006:BF1006),$AO$1006:$BQ$1006,0)), HYPERLINK("#",""), HYPERLINK(CONCATENATE("#Metadata!", ADDRESS(INDEX($AJ$2:$AJ$1001,MATCH(ROWS($AH$2:AH10),$AH$2:$AH$1001,0),0), INDEX($AO$1004:$BQ$1004,1,MATCH(COLUMNS($AO$1006:BF1006),$AO$1006:$BQ$1006,0)))),"Fix")))</f>
        <v>#N/A</v>
      </c>
      <c r="T10" s="5" t="e">
        <f ca="1">IF(OR(INDEX($AI$2:$AI$1001,MATCH(ROWS($AH$2:AH10),$AH$2:$AH$1001,0),1)&gt;=100000,INDEX($AO$1005:$BQ$1005,1,MATCH(COLUMNS($AO$1006:BG1006),$AO$1006:$BQ$1006,0))&gt;=100000), " ",IF(INDEX($AO$2:$BQ$1001,MATCH(ROWS($AH$2:AH10),$AH$2:$AH$1001,0),MATCH(COLUMNS($AO$1006:BG1006),$AO$1006:$BQ$1006,0)), HYPERLINK("#",""), HYPERLINK(CONCATENATE("#Metadata!", ADDRESS(INDEX($AJ$2:$AJ$1001,MATCH(ROWS($AH$2:AH10),$AH$2:$AH$1001,0),0), INDEX($AO$1004:$BQ$1004,1,MATCH(COLUMNS($AO$1006:BG1006),$AO$1006:$BQ$1006,0)))),"Fix")))</f>
        <v>#N/A</v>
      </c>
      <c r="U10" s="5" t="e">
        <f ca="1">IF(OR(INDEX($AI$2:$AI$1001,MATCH(ROWS($AH$2:AH10),$AH$2:$AH$1001,0),1)&gt;=100000,INDEX($AO$1005:$BQ$1005,1,MATCH(COLUMNS($AO$1006:BH1006),$AO$1006:$BQ$1006,0))&gt;=100000), " ",IF(INDEX($AO$2:$BQ$1001,MATCH(ROWS($AH$2:AH10),$AH$2:$AH$1001,0),MATCH(COLUMNS($AO$1006:BH1006),$AO$1006:$BQ$1006,0)), HYPERLINK("#",""), HYPERLINK(CONCATENATE("#Metadata!", ADDRESS(INDEX($AJ$2:$AJ$1001,MATCH(ROWS($AH$2:AH10),$AH$2:$AH$1001,0),0), INDEX($AO$1004:$BQ$1004,1,MATCH(COLUMNS($AO$1006:BH1006),$AO$1006:$BQ$1006,0)))),"Fix")))</f>
        <v>#N/A</v>
      </c>
      <c r="V10" s="5" t="e">
        <f ca="1">IF(OR(INDEX($AI$2:$AI$1001,MATCH(ROWS($AH$2:AH10),$AH$2:$AH$1001,0),1)&gt;=100000,INDEX($AO$1005:$BQ$1005,1,MATCH(COLUMNS($AO$1006:BI1006),$AO$1006:$BQ$1006,0))&gt;=100000), " ",IF(INDEX($AO$2:$BQ$1001,MATCH(ROWS($AH$2:AH10),$AH$2:$AH$1001,0),MATCH(COLUMNS($AO$1006:BI1006),$AO$1006:$BQ$1006,0)), HYPERLINK("#",""), HYPERLINK(CONCATENATE("#Metadata!", ADDRESS(INDEX($AJ$2:$AJ$1001,MATCH(ROWS($AH$2:AH10),$AH$2:$AH$1001,0),0), INDEX($AO$1004:$BQ$1004,1,MATCH(COLUMNS($AO$1006:BI1006),$AO$1006:$BQ$1006,0)))),"Fix")))</f>
        <v>#N/A</v>
      </c>
      <c r="W10" s="5" t="e">
        <f ca="1">IF(OR(INDEX($AI$2:$AI$1001,MATCH(ROWS($AH$2:AH10),$AH$2:$AH$1001,0),1)&gt;=100000,INDEX($AO$1005:$BQ$1005,1,MATCH(COLUMNS($AO$1006:BJ1006),$AO$1006:$BQ$1006,0))&gt;=100000), " ",IF(INDEX($AO$2:$BQ$1001,MATCH(ROWS($AH$2:AH10),$AH$2:$AH$1001,0),MATCH(COLUMNS($AO$1006:BJ1006),$AO$1006:$BQ$1006,0)), HYPERLINK("#",""), HYPERLINK(CONCATENATE("#Metadata!", ADDRESS(INDEX($AJ$2:$AJ$1001,MATCH(ROWS($AH$2:AH10),$AH$2:$AH$1001,0),0), INDEX($AO$1004:$BQ$1004,1,MATCH(COLUMNS($AO$1006:BJ1006),$AO$1006:$BQ$1006,0)))),"Fix")))</f>
        <v>#N/A</v>
      </c>
      <c r="X10" s="5" t="e">
        <f ca="1">IF(OR(INDEX($AI$2:$AI$1001,MATCH(ROWS($AH$2:AH10),$AH$2:$AH$1001,0),1)&gt;=100000,INDEX($AO$1005:$BQ$1005,1,MATCH(COLUMNS($AO$1006:BK1006),$AO$1006:$BQ$1006,0))&gt;=100000), " ",IF(INDEX($AO$2:$BQ$1001,MATCH(ROWS($AH$2:AH10),$AH$2:$AH$1001,0),MATCH(COLUMNS($AO$1006:BK1006),$AO$1006:$BQ$1006,0)), HYPERLINK("#",""), HYPERLINK(CONCATENATE("#Metadata!", ADDRESS(INDEX($AJ$2:$AJ$1001,MATCH(ROWS($AH$2:AH10),$AH$2:$AH$1001,0),0), INDEX($AO$1004:$BQ$1004,1,MATCH(COLUMNS($AO$1006:BK1006),$AO$1006:$BQ$1006,0)))),"Fix")))</f>
        <v>#N/A</v>
      </c>
      <c r="Y10" s="5" t="e">
        <f ca="1">IF(OR(INDEX($AI$2:$AI$1001,MATCH(ROWS($AH$2:AH10),$AH$2:$AH$1001,0),1)&gt;=100000,INDEX($AO$1005:$BQ$1005,1,MATCH(COLUMNS($AO$1006:BL1006),$AO$1006:$BQ$1006,0))&gt;=100000), " ",IF(INDEX($AO$2:$BQ$1001,MATCH(ROWS($AH$2:AH10),$AH$2:$AH$1001,0),MATCH(COLUMNS($AO$1006:BL1006),$AO$1006:$BQ$1006,0)), HYPERLINK("#",""), HYPERLINK(CONCATENATE("#Metadata!", ADDRESS(INDEX($AJ$2:$AJ$1001,MATCH(ROWS($AH$2:AH10),$AH$2:$AH$1001,0),0), INDEX($AO$1004:$BQ$1004,1,MATCH(COLUMNS($AO$1006:BL1006),$AO$1006:$BQ$1006,0)))),"Fix")))</f>
        <v>#N/A</v>
      </c>
      <c r="Z10" s="5" t="e">
        <f ca="1">IF(OR(INDEX($AI$2:$AI$1001,MATCH(ROWS($AH$2:AH10),$AH$2:$AH$1001,0),1)&gt;=100000,INDEX($AO$1005:$BQ$1005,1,MATCH(COLUMNS($AO$1006:BM1006),$AO$1006:$BQ$1006,0))&gt;=100000), " ",IF(INDEX($AO$2:$BQ$1001,MATCH(ROWS($AH$2:AH10),$AH$2:$AH$1001,0),MATCH(COLUMNS($AO$1006:BM1006),$AO$1006:$BQ$1006,0)), HYPERLINK("#",""), HYPERLINK(CONCATENATE("#Metadata!", ADDRESS(INDEX($AJ$2:$AJ$1001,MATCH(ROWS($AH$2:AH10),$AH$2:$AH$1001,0),0), INDEX($AO$1004:$BQ$1004,1,MATCH(COLUMNS($AO$1006:BM1006),$AO$1006:$BQ$1006,0)))),"Fix")))</f>
        <v>#N/A</v>
      </c>
      <c r="AA10" s="5" t="e">
        <f ca="1">IF(OR(INDEX($AI$2:$AI$1001,MATCH(ROWS($AH$2:AH10),$AH$2:$AH$1001,0),1)&gt;=100000,INDEX($AO$1005:$BQ$1005,1,MATCH(COLUMNS($AO$1006:BN1006),$AO$1006:$BQ$1006,0))&gt;=100000), " ",IF(INDEX($AO$2:$BQ$1001,MATCH(ROWS($AH$2:AH10),$AH$2:$AH$1001,0),MATCH(COLUMNS($AO$1006:BN1006),$AO$1006:$BQ$1006,0)), HYPERLINK("#",""), HYPERLINK(CONCATENATE("#Metadata!", ADDRESS(INDEX($AJ$2:$AJ$1001,MATCH(ROWS($AH$2:AH10),$AH$2:$AH$1001,0),0), INDEX($AO$1004:$BQ$1004,1,MATCH(COLUMNS($AO$1006:BN1006),$AO$1006:$BQ$1006,0)))),"Fix")))</f>
        <v>#N/A</v>
      </c>
      <c r="AB10" s="5" t="e">
        <f ca="1">IF(OR(INDEX($AI$2:$AI$1001,MATCH(ROWS($AH$2:AH10),$AH$2:$AH$1001,0),1)&gt;=100000,INDEX($AO$1005:$BQ$1005,1,MATCH(COLUMNS($AO$1006:BO1006),$AO$1006:$BQ$1006,0))&gt;=100000), " ",IF(INDEX($AO$2:$BQ$1001,MATCH(ROWS($AH$2:AH10),$AH$2:$AH$1001,0),MATCH(COLUMNS($AO$1006:BO1006),$AO$1006:$BQ$1006,0)), HYPERLINK("#",""), HYPERLINK(CONCATENATE("#Metadata!", ADDRESS(INDEX($AJ$2:$AJ$1001,MATCH(ROWS($AH$2:AH10),$AH$2:$AH$1001,0),0), INDEX($AO$1004:$BQ$1004,1,MATCH(COLUMNS($AO$1006:BO1006),$AO$1006:$BQ$1006,0)))),"Fix")))</f>
        <v>#N/A</v>
      </c>
      <c r="AC10" s="5" t="e">
        <f ca="1">IF(OR(INDEX($AI$2:$AI$1001,MATCH(ROWS($AH$2:AH10),$AH$2:$AH$1001,0),1)&gt;=100000,INDEX($AO$1005:$BQ$1005,1,MATCH(COLUMNS($AO$1006:BP1006),$AO$1006:$BQ$1006,0))&gt;=100000), " ",IF(INDEX($AO$2:$BQ$1001,MATCH(ROWS($AH$2:AH10),$AH$2:$AH$1001,0),MATCH(COLUMNS($AO$1006:BP1006),$AO$1006:$BQ$1006,0)), HYPERLINK("#",""), HYPERLINK(CONCATENATE("#Metadata!", ADDRESS(INDEX($AJ$2:$AJ$1001,MATCH(ROWS($AH$2:AH10),$AH$2:$AH$1001,0),0), INDEX($AO$1004:$BQ$1004,1,MATCH(COLUMNS($AO$1006:BP1006),$AO$1006:$BQ$1006,0)))),"Fix")))</f>
        <v>#N/A</v>
      </c>
      <c r="AD10" s="5" t="e">
        <f ca="1">IF(OR(INDEX($AI$2:$AI$1001,MATCH(ROWS($AH$2:AH10),$AH$2:$AH$1001,0),1)&gt;=100000,INDEX($AO$1005:$BQ$1005,1,MATCH(COLUMNS($AO$1006:BQ1006),$AO$1006:$BQ$1006,0))&gt;=100000), " ",IF(INDEX($AO$2:$BQ$1001,MATCH(ROWS($AH$2:AH10),$AH$2:$AH$1001,0),MATCH(COLUMNS($AO$1006:BQ1006),$AO$1006:$BQ$1006,0)), HYPERLINK("#",""), HYPERLINK(CONCATENATE("#Metadata!", ADDRESS(INDEX($AJ$2:$AJ$1001,MATCH(ROWS($AH$2:AH10),$AH$2:$AH$1001,0),0), INDEX($AO$1004:$BQ$1004,1,MATCH(COLUMNS($AO$1006:BQ1006),$AO$1006:$BQ$1006,0)))),"Fix")))</f>
        <v>#REF!</v>
      </c>
      <c r="AH10">
        <f ca="1"/>
        <v>8</v>
      </c>
      <c r="AI10">
        <f ca="1"/>
        <v>10</v>
      </c>
      <c r="AJ10">
        <v>10</v>
      </c>
      <c r="AK10" t="b">
        <f t="shared" ca="1" si="0"/>
        <v>0</v>
      </c>
      <c r="AL10" t="b">
        <f>COUNTBLANK(Metadata!B10:AD10)=COLUMNS(Metadata!B10:AD10)</f>
        <v>0</v>
      </c>
      <c r="AM10" t="str">
        <v>Environment.Sediment.BTP.93Side.1</v>
      </c>
      <c r="AO10" t="b">
        <f ca="1">AND(IF(Metadata!B9="",FALSE,TRUE),COUNTIF(Metadata!B:B, Metadata!B9) = 1,NOT(ISERROR(SUMPRODUCT(SEARCH(MID(Metadata!B9,ROW(INDIRECT("1:"&amp;LEN(Metadata!B9))), 1),"0123456789abcdefghijklmnopqrstuvwxyzABCDEFGHIJKLMNOPQRSTUVWXYZ.")))))</f>
        <v>1</v>
      </c>
      <c r="AP10" t="b">
        <f>IF(Metadata!C9="",FALSE,TRUE)</f>
        <v>1</v>
      </c>
      <c r="AQ10" t="b">
        <f>IF(Metadata!D9="",FALSE,TRUE)</f>
        <v>1</v>
      </c>
      <c r="AR10" t="b">
        <f ca="1">OR(AND(IF(Metadata!E9="",FALSE,TRUE),OR(EXACT(Metadata!E9,"not collected"),EXACT(Metadata!E9,"not provided"),EXACT(Metadata!E9,"restricted access"))),AND(IF(Metadata!E9="",FALSE,TRUE),AND(AND(IFERROR(INT(LEFT(Metadata!E9,4))&gt;1900,FALSE),IFERROR(INT(LEFT(Metadata!E9,4))&lt;=YEAR(NOW()),FALSE)), OR(MID(Metadata!E9,5,1)="", AND(AND(MID(Metadata!E9,5,1)="-",IFERROR(INT(MID(Metadata!E9,6,1))&gt;=0,FALSE),IFERROR(INT(MID(Metadata!E9,6,1))&lt;=1,FALSE),NOT(MID(Metadata!E9,7,1)=""),IFERROR(INT(MID(Metadata!E9,6,2))&gt;=1,FALSE),IFERROR(INT(MID(Metadata!E9,6,2))&lt;=12,FALSE)), OR(MID(Metadata!E9,8,1)="", AND(AND(MID(Metadata!E9,8,1)="-",IFERROR(INT(MID(Metadata!E9,9,1))&gt;=0,FALSE),IFERROR(INT(MID(Metadata!E9,9,1))&lt;=3,FALSE),NOT(MID(Metadata!E9,10,1)=""),IFERROR(INT(MID(Metadata!E9,9,2))&gt;=1,FALSE),IFERROR(INT(MID(Metadata!E9,9,2))&lt;=31,FALSE)), OR(MID(Metadata!E9,11,1)="", AND(AND(MID(Metadata!E9,11,1)=" ",IFERROR(INT(MID(Metadata!E9,12,1))&gt;=0,FALSE),IFERROR(INT(MID(Metadata!E9,12,1))&lt;=2,FALSE),NOT(MID(Metadata!E9,13,1)=""),IFERROR(INT(MID(Metadata!E9,12,2))&gt;=0,FALSE),IFERROR(INT(MID(Metadata!E9,12,2))&lt;=23,FALSE)), OR(MID(Metadata!E9,14,1)="", AND(AND(MID(Metadata!E9,14,1)=":",IFERROR(INT(MID(Metadata!E9,15,1))&gt;=0,FALSE),IFERROR(INT(MID(Metadata!E9,15,1))&lt;=5,FALSE),NOT(MID(Metadata!E9,16,1)=""),IFERROR(INT(MID(Metadata!E9,15,2))&gt;=0,FALSE),IFERROR(INT(MID(Metadata!E9,15,2))&lt;=59,FALSE)), OR(MID(Metadata!E9,17,1)="", AND(AND(MID(Metadata!E9,17,1)=":",IFERROR(INT(MID(Metadata!E9,18,1))&gt;=0,FALSE),IFERROR(INT(MID(Metadata!E9,18,1))&lt;=5,FALSE),NOT(MID(Metadata!E9,19,1)=""),IFERROR(INT(MID(Metadata!E9,18,2))&gt;=0,FALSE),IFERROR(INT(MID(Metadata!E9,18,2))&lt;=59,FALSE)), LEN(Metadata!E9)&lt;=19)))))))))))))</f>
        <v>0</v>
      </c>
      <c r="AS10" t="b">
        <f>IF(Metadata!F9="",FALSE,TRUE)</f>
        <v>1</v>
      </c>
      <c r="AT10" t="b">
        <f>OR(AND(IF(Metadata!G9="",FALSE,TRUE),OR(EXACT(Metadata!G9,"not collected"),EXACT(Metadata!G9,"not provided"))),AND(IF(Metadata!G9="",FALSE,TRUE),OR(EXACT(Metadata!G9,"TRUE"),EXACT(Metadata!G9,"FALSE"))))</f>
        <v>1</v>
      </c>
      <c r="AU10" t="b">
        <f>OR(AND(IF(Metadata!H9="",FALSE,TRUE),OR(EXACT(Metadata!H9,"not collected"),EXACT(Metadata!H9,"not provided"),EXACT(Metadata!H9,"restricted access"))),AND(IF(Metadata!H9="",FALSE,ISNUMBER(VALUE(Metadata!H9))),Metadata!H9&gt;=-413))</f>
        <v>0</v>
      </c>
      <c r="AV10" t="b">
        <f>AND(IF(Metadata!I9="",FALSE,TRUE),EXACT(Metadata!I9,"meters"))</f>
        <v>1</v>
      </c>
      <c r="AW10" t="b">
        <f>AND(IF(Metadata!J9="",FALSE,TRUE),EXACT(Metadata!J9,"free-living"))</f>
        <v>1</v>
      </c>
      <c r="AX10" t="b">
        <f>AND(IF(Metadata!K9="",FALSE,TRUE),OR(EXACT(Metadata!K9,"saline"),EXACT(Metadata!K9,"non-saline")))</f>
        <v>1</v>
      </c>
      <c r="AY10" t="b">
        <f>AND(IF(Metadata!L9="",FALSE,TRUE),OR(EXACT(Metadata!L9,"sub-surface (non-saline)"),EXACT(Metadata!L9,"surface (non-saline)"),EXACT(Metadata!L9,"water (non-saline)"),EXACT(Metadata!L9,"soil (non-saline)"),EXACT(Metadata!L9,"aerosol (non-saline)"),EXACT(Metadata!L9,"sediment (non-saline)"),EXACT(Metadata!L9,"surface (saline)"),EXACT(Metadata!L9,"water (saline)"),EXACT(Metadata!L9,"hypersaline (saline)"),EXACT(Metadata!L9,"aerosol (saline)"),EXACT(Metadata!L9,"sediment (saline)")))</f>
        <v>1</v>
      </c>
      <c r="AZ10" t="b">
        <f>IF(Metadata!M9="",FALSE,TRUE)</f>
        <v>1</v>
      </c>
      <c r="BA10" t="b">
        <f>IF(Metadata!N9="",FALSE,TRUE)</f>
        <v>1</v>
      </c>
      <c r="BB10" t="b">
        <f>IF(Metadata!O9="",FALSE,TRUE)</f>
        <v>1</v>
      </c>
      <c r="BC10" t="b">
        <f>AND(IF(Metadata!P9="",FALSE,TRUE),OR(EXACT(Metadata!P9,"air"),EXACT(Metadata!P9,"microbial mat/biofilm"),EXACT(Metadata!P9,"misc environment"),EXACT(Metadata!P9,"sediment"),EXACT(Metadata!P9,"soil"),EXACT(Metadata!P9,"wastewater/sludge"),EXACT(Metadata!P9,"water")))</f>
        <v>1</v>
      </c>
      <c r="BD10" t="b">
        <f>IF(Metadata!Q9="",FALSE,TRUE)</f>
        <v>1</v>
      </c>
      <c r="BE10" t="b">
        <f>IF(Metadata!R9="",FALSE,TRUE)</f>
        <v>1</v>
      </c>
      <c r="BF10" t="b">
        <f>OR(AND(IF(Metadata!S9="",FALSE,TRUE),OR(EXACT(Metadata!S9,"not collected"),EXACT(Metadata!S9,"not provided"),EXACT(Metadata!S9,"restricted access"))),AND(IF(Metadata!S9="",FALSE,ISNUMBER(VALUE(Metadata!S9))),Metadata!S9&gt;=-90,Metadata!S9&lt;=90))</f>
        <v>0</v>
      </c>
      <c r="BG10" t="b">
        <f>AND(IF(Metadata!T9="",FALSE,TRUE),EXACT(Metadata!T9,"Decimal degrees"))</f>
        <v>1</v>
      </c>
      <c r="BH10" t="b">
        <f>OR(AND(IF(Metadata!U10="",FALSE,TRUE),OR(EXACT(Metadata!U10,"not applicable"),EXACT(Metadata!U10,"not collected"))),IF(Metadata!U10="",FALSE,TRUE))</f>
        <v>1</v>
      </c>
      <c r="BI10" t="b">
        <f>OR(AND(IF(Metadata!V9="",FALSE,TRUE),OR(EXACT(Metadata!V9,"not collected"),EXACT(Metadata!V9,"not provided"),EXACT(Metadata!V9,"restricted access"))),AND(IF(Metadata!V9="",FALSE,ISNUMBER(VALUE(Metadata!V9))),Metadata!V9&gt;=-180,Metadata!V9&lt;=180))</f>
        <v>0</v>
      </c>
      <c r="BJ10" t="b">
        <f>AND(IF(Metadata!W9="",FALSE,TRUE),EXACT(Metadata!W9,"Decimal degrees"))</f>
        <v>1</v>
      </c>
      <c r="BK10" t="b">
        <f>IF(Metadata!X9="",FALSE,TRUE)</f>
        <v>1</v>
      </c>
      <c r="BL10" t="b">
        <f>OR(AND(IF(Metadata!Y9="",FALSE,TRUE),OR(EXACT(Metadata!Y9,"not collected"),EXACT(Metadata!Y9,"not provided"),EXACT(Metadata!Y9,"restricted access"))),AND(IF(Metadata!Y9="",FALSE,TRUE),OR(EXACT(Metadata!Y9,"TRUE"),EXACT(Metadata!Y9,"FALSE"))))</f>
        <v>1</v>
      </c>
      <c r="BM10" t="b">
        <f>OR(AND(IF(Metadata!Z9="",FALSE,TRUE),EXACT(Metadata!Z9,"not applicable")),AND(IF(Metadata!Z9="",FALSE,TRUE),OR(EXACT(Metadata!Z9,"beer"),EXACT(Metadata!Z9,"cheese"),EXACT(Metadata!Z9,"fresh water"),EXACT(Metadata!Z9,"marine sediment"),EXACT(Metadata!Z9,"sea water"),EXACT(Metadata!Z9,"sediment"),EXACT(Metadata!Z9,"soil"),EXACT(Metadata!Z9,"waste water"))))</f>
        <v>1</v>
      </c>
      <c r="BN10" t="b">
        <f>AND(IF(Metadata!AA9="",FALSE,TRUE),EXACT(Metadata!AA9,"metagenome"))</f>
        <v>1</v>
      </c>
      <c r="BO10" t="b">
        <f>AND(IF(Metadata!AB9="",FALSE,TRUE),EXACT(Metadata!AB9,"256318"))</f>
        <v>1</v>
      </c>
      <c r="BP10" t="b">
        <f>IF(Metadata!AC9="",FALSE,TRUE)</f>
        <v>1</v>
      </c>
      <c r="BQ10" t="b">
        <f>IF(Metadata!AD9="",FALSE,TRUE)</f>
        <v>1</v>
      </c>
    </row>
    <row r="11" spans="1:69" x14ac:dyDescent="0.2">
      <c r="A11" s="4" t="e">
        <f ca="1">IF(B11=" "," ",HYPERLINK(CONCATENATE("#metadata!",ADDRESS(INDEX($AJ$2:$AJ$1001,MATCH(ROWS($AH$2:AH11),$AH$2:$AH$1001,0),0),2)),INDEX($AM$2:$AM$1001,MATCH(ROWS($AH$2:AH11),$AH$2:$AH$1001,0),0)))</f>
        <v>#N/A</v>
      </c>
      <c r="B11" s="5" t="e">
        <f ca="1">IF(OR(INDEX($AI$2:$AI$1001,MATCH(ROWS($AH$2:AH11),$AH$2:$AH$1001,0),1)&gt;=100000,INDEX($AO$1005:$BQ$1005,1,MATCH(COLUMNS($AO$1006:AO1006),$AO$1006:$BQ$1006,0))&gt;=100000), " ",IF(INDEX($AO$2:$BQ$1001,MATCH(ROWS($AH$2:AH11),$AH$2:$AH$1001,0),MATCH(COLUMNS($AO$1006:AO1006),$AO$1006:$BQ$1006,0)), HYPERLINK("#",""), HYPERLINK(CONCATENATE("#Metadata!", ADDRESS(INDEX($AJ$2:$AJ$1001,MATCH(ROWS($AH$2:AH11),$AH$2:$AH$1001,0),0), INDEX($AO$1004:$BQ$1004,1,MATCH(COLUMNS($AO$1006:AO1006),$AO$1006:$BQ$1006,0)))),"Fix")))</f>
        <v>#N/A</v>
      </c>
      <c r="C11" s="5" t="e">
        <f ca="1">IF(OR(INDEX($AI$2:$AI$1001,MATCH(ROWS($AH$2:AH11),$AH$2:$AH$1001,0),1)&gt;=100000,INDEX($AO$1005:$BQ$1005,1,MATCH(COLUMNS($AO$1006:AP1006),$AO$1006:$BQ$1006,0))&gt;=100000), " ",IF(INDEX($AO$2:$BQ$1001,MATCH(ROWS($AH$2:AH11),$AH$2:$AH$1001,0),MATCH(COLUMNS($AO$1006:AP1006),$AO$1006:$BQ$1006,0)), HYPERLINK("#",""), HYPERLINK(CONCATENATE("#Metadata!", ADDRESS(INDEX($AJ$2:$AJ$1001,MATCH(ROWS($AH$2:AH11),$AH$2:$AH$1001,0),0), INDEX($AO$1004:$BQ$1004,1,MATCH(COLUMNS($AO$1006:AP1006),$AO$1006:$BQ$1006,0)))),"Fix")))</f>
        <v>#N/A</v>
      </c>
      <c r="D11" s="5" t="e">
        <f ca="1">IF(OR(INDEX($AI$2:$AI$1001,MATCH(ROWS($AH$2:AH11),$AH$2:$AH$1001,0),1)&gt;=100000,INDEX($AO$1005:$BQ$1005,1,MATCH(COLUMNS($AO$1006:AQ1006),$AO$1006:$BQ$1006,0))&gt;=100000), " ",IF(INDEX($AO$2:$BQ$1001,MATCH(ROWS($AH$2:AH11),$AH$2:$AH$1001,0),MATCH(COLUMNS($AO$1006:AQ1006),$AO$1006:$BQ$1006,0)), HYPERLINK("#",""), HYPERLINK(CONCATENATE("#Metadata!", ADDRESS(INDEX($AJ$2:$AJ$1001,MATCH(ROWS($AH$2:AH11),$AH$2:$AH$1001,0),0), INDEX($AO$1004:$BQ$1004,1,MATCH(COLUMNS($AO$1006:AQ1006),$AO$1006:$BQ$1006,0)))),"Fix")))</f>
        <v>#N/A</v>
      </c>
      <c r="E11" s="5" t="e">
        <f ca="1">IF(OR(INDEX($AI$2:$AI$1001,MATCH(ROWS($AH$2:AH11),$AH$2:$AH$1001,0),1)&gt;=100000,INDEX($AO$1005:$BQ$1005,1,MATCH(COLUMNS($AO$1006:AR1006),$AO$1006:$BQ$1006,0))&gt;=100000), " ",IF(INDEX($AO$2:$BQ$1001,MATCH(ROWS($AH$2:AH11),$AH$2:$AH$1001,0),MATCH(COLUMNS($AO$1006:AR1006),$AO$1006:$BQ$1006,0)), HYPERLINK("#",""), HYPERLINK(CONCATENATE("#Metadata!", ADDRESS(INDEX($AJ$2:$AJ$1001,MATCH(ROWS($AH$2:AH11),$AH$2:$AH$1001,0),0), INDEX($AO$1004:$BQ$1004,1,MATCH(COLUMNS($AO$1006:AR1006),$AO$1006:$BQ$1006,0)))),"Fix")))</f>
        <v>#N/A</v>
      </c>
      <c r="F11" s="5" t="e">
        <f ca="1">IF(OR(INDEX($AI$2:$AI$1001,MATCH(ROWS($AH$2:AH11),$AH$2:$AH$1001,0),1)&gt;=100000,INDEX($AO$1005:$BQ$1005,1,MATCH(COLUMNS($AO$1006:AS1006),$AO$1006:$BQ$1006,0))&gt;=100000), " ",IF(INDEX($AO$2:$BQ$1001,MATCH(ROWS($AH$2:AH11),$AH$2:$AH$1001,0),MATCH(COLUMNS($AO$1006:AS1006),$AO$1006:$BQ$1006,0)), HYPERLINK("#",""), HYPERLINK(CONCATENATE("#Metadata!", ADDRESS(INDEX($AJ$2:$AJ$1001,MATCH(ROWS($AH$2:AH11),$AH$2:$AH$1001,0),0), INDEX($AO$1004:$BQ$1004,1,MATCH(COLUMNS($AO$1006:AS1006),$AO$1006:$BQ$1006,0)))),"Fix")))</f>
        <v>#N/A</v>
      </c>
      <c r="G11" s="5" t="e">
        <f ca="1">IF(OR(INDEX($AI$2:$AI$1001,MATCH(ROWS($AH$2:AH11),$AH$2:$AH$1001,0),1)&gt;=100000,INDEX($AO$1005:$BQ$1005,1,MATCH(COLUMNS($AO$1006:AT1006),$AO$1006:$BQ$1006,0))&gt;=100000), " ",IF(INDEX($AO$2:$BQ$1001,MATCH(ROWS($AH$2:AH11),$AH$2:$AH$1001,0),MATCH(COLUMNS($AO$1006:AT1006),$AO$1006:$BQ$1006,0)), HYPERLINK("#",""), HYPERLINK(CONCATENATE("#Metadata!", ADDRESS(INDEX($AJ$2:$AJ$1001,MATCH(ROWS($AH$2:AH11),$AH$2:$AH$1001,0),0), INDEX($AO$1004:$BQ$1004,1,MATCH(COLUMNS($AO$1006:AT1006),$AO$1006:$BQ$1006,0)))),"Fix")))</f>
        <v>#N/A</v>
      </c>
      <c r="H11" s="5" t="e">
        <f ca="1">IF(OR(INDEX($AI$2:$AI$1001,MATCH(ROWS($AH$2:AH11),$AH$2:$AH$1001,0),1)&gt;=100000,INDEX($AO$1005:$BQ$1005,1,MATCH(COLUMNS($AO$1006:AU1006),$AO$1006:$BQ$1006,0))&gt;=100000), " ",IF(INDEX($AO$2:$BQ$1001,MATCH(ROWS($AH$2:AH11),$AH$2:$AH$1001,0),MATCH(COLUMNS($AO$1006:AU1006),$AO$1006:$BQ$1006,0)), HYPERLINK("#",""), HYPERLINK(CONCATENATE("#Metadata!", ADDRESS(INDEX($AJ$2:$AJ$1001,MATCH(ROWS($AH$2:AH11),$AH$2:$AH$1001,0),0), INDEX($AO$1004:$BQ$1004,1,MATCH(COLUMNS($AO$1006:AU1006),$AO$1006:$BQ$1006,0)))),"Fix")))</f>
        <v>#N/A</v>
      </c>
      <c r="I11" s="5" t="e">
        <f ca="1">IF(OR(INDEX($AI$2:$AI$1001,MATCH(ROWS($AH$2:AH11),$AH$2:$AH$1001,0),1)&gt;=100000,INDEX($AO$1005:$BQ$1005,1,MATCH(COLUMNS($AO$1006:AV1006),$AO$1006:$BQ$1006,0))&gt;=100000), " ",IF(INDEX($AO$2:$BQ$1001,MATCH(ROWS($AH$2:AH11),$AH$2:$AH$1001,0),MATCH(COLUMNS($AO$1006:AV1006),$AO$1006:$BQ$1006,0)), HYPERLINK("#",""), HYPERLINK(CONCATENATE("#Metadata!", ADDRESS(INDEX($AJ$2:$AJ$1001,MATCH(ROWS($AH$2:AH11),$AH$2:$AH$1001,0),0), INDEX($AO$1004:$BQ$1004,1,MATCH(COLUMNS($AO$1006:AV1006),$AO$1006:$BQ$1006,0)))),"Fix")))</f>
        <v>#N/A</v>
      </c>
      <c r="J11" s="5" t="e">
        <f ca="1">IF(OR(INDEX($AI$2:$AI$1001,MATCH(ROWS($AH$2:AH11),$AH$2:$AH$1001,0),1)&gt;=100000,INDEX($AO$1005:$BQ$1005,1,MATCH(COLUMNS($AO$1006:AW1006),$AO$1006:$BQ$1006,0))&gt;=100000), " ",IF(INDEX($AO$2:$BQ$1001,MATCH(ROWS($AH$2:AH11),$AH$2:$AH$1001,0),MATCH(COLUMNS($AO$1006:AW1006),$AO$1006:$BQ$1006,0)), HYPERLINK("#",""), HYPERLINK(CONCATENATE("#Metadata!", ADDRESS(INDEX($AJ$2:$AJ$1001,MATCH(ROWS($AH$2:AH11),$AH$2:$AH$1001,0),0), INDEX($AO$1004:$BQ$1004,1,MATCH(COLUMNS($AO$1006:AW1006),$AO$1006:$BQ$1006,0)))),"Fix")))</f>
        <v>#N/A</v>
      </c>
      <c r="K11" s="5" t="e">
        <f ca="1">IF(OR(INDEX($AI$2:$AI$1001,MATCH(ROWS($AH$2:AH11),$AH$2:$AH$1001,0),1)&gt;=100000,INDEX($AO$1005:$BQ$1005,1,MATCH(COLUMNS($AO$1006:AX1006),$AO$1006:$BQ$1006,0))&gt;=100000), " ",IF(INDEX($AO$2:$BQ$1001,MATCH(ROWS($AH$2:AH11),$AH$2:$AH$1001,0),MATCH(COLUMNS($AO$1006:AX1006),$AO$1006:$BQ$1006,0)), HYPERLINK("#",""), HYPERLINK(CONCATENATE("#Metadata!", ADDRESS(INDEX($AJ$2:$AJ$1001,MATCH(ROWS($AH$2:AH11),$AH$2:$AH$1001,0),0), INDEX($AO$1004:$BQ$1004,1,MATCH(COLUMNS($AO$1006:AX1006),$AO$1006:$BQ$1006,0)))),"Fix")))</f>
        <v>#N/A</v>
      </c>
      <c r="L11" s="5" t="e">
        <f ca="1">IF(OR(INDEX($AI$2:$AI$1001,MATCH(ROWS($AH$2:AH11),$AH$2:$AH$1001,0),1)&gt;=100000,INDEX($AO$1005:$BQ$1005,1,MATCH(COLUMNS($AO$1006:AY1006),$AO$1006:$BQ$1006,0))&gt;=100000), " ",IF(INDEX($AO$2:$BQ$1001,MATCH(ROWS($AH$2:AH11),$AH$2:$AH$1001,0),MATCH(COLUMNS($AO$1006:AY1006),$AO$1006:$BQ$1006,0)), HYPERLINK("#",""), HYPERLINK(CONCATENATE("#Metadata!", ADDRESS(INDEX($AJ$2:$AJ$1001,MATCH(ROWS($AH$2:AH11),$AH$2:$AH$1001,0),0), INDEX($AO$1004:$BQ$1004,1,MATCH(COLUMNS($AO$1006:AY1006),$AO$1006:$BQ$1006,0)))),"Fix")))</f>
        <v>#N/A</v>
      </c>
      <c r="M11" s="5" t="e">
        <f ca="1">IF(OR(INDEX($AI$2:$AI$1001,MATCH(ROWS($AH$2:AH11),$AH$2:$AH$1001,0),1)&gt;=100000,INDEX($AO$1005:$BQ$1005,1,MATCH(COLUMNS($AO$1006:AZ1006),$AO$1006:$BQ$1006,0))&gt;=100000), " ",IF(INDEX($AO$2:$BQ$1001,MATCH(ROWS($AH$2:AH11),$AH$2:$AH$1001,0),MATCH(COLUMNS($AO$1006:AZ1006),$AO$1006:$BQ$1006,0)), HYPERLINK("#",""), HYPERLINK(CONCATENATE("#Metadata!", ADDRESS(INDEX($AJ$2:$AJ$1001,MATCH(ROWS($AH$2:AH11),$AH$2:$AH$1001,0),0), INDEX($AO$1004:$BQ$1004,1,MATCH(COLUMNS($AO$1006:AZ1006),$AO$1006:$BQ$1006,0)))),"Fix")))</f>
        <v>#N/A</v>
      </c>
      <c r="N11" s="5" t="e">
        <f ca="1">IF(OR(INDEX($AI$2:$AI$1001,MATCH(ROWS($AH$2:AH11),$AH$2:$AH$1001,0),1)&gt;=100000,INDEX($AO$1005:$BQ$1005,1,MATCH(COLUMNS($AO$1006:BA1006),$AO$1006:$BQ$1006,0))&gt;=100000), " ",IF(INDEX($AO$2:$BQ$1001,MATCH(ROWS($AH$2:AH11),$AH$2:$AH$1001,0),MATCH(COLUMNS($AO$1006:BA1006),$AO$1006:$BQ$1006,0)), HYPERLINK("#",""), HYPERLINK(CONCATENATE("#Metadata!", ADDRESS(INDEX($AJ$2:$AJ$1001,MATCH(ROWS($AH$2:AH11),$AH$2:$AH$1001,0),0), INDEX($AO$1004:$BQ$1004,1,MATCH(COLUMNS($AO$1006:BA1006),$AO$1006:$BQ$1006,0)))),"Fix")))</f>
        <v>#N/A</v>
      </c>
      <c r="O11" s="5" t="e">
        <f ca="1">IF(OR(INDEX($AI$2:$AI$1001,MATCH(ROWS($AH$2:AH11),$AH$2:$AH$1001,0),1)&gt;=100000,INDEX($AO$1005:$BQ$1005,1,MATCH(COLUMNS($AO$1006:BB1006),$AO$1006:$BQ$1006,0))&gt;=100000), " ",IF(INDEX($AO$2:$BQ$1001,MATCH(ROWS($AH$2:AH11),$AH$2:$AH$1001,0),MATCH(COLUMNS($AO$1006:BB1006),$AO$1006:$BQ$1006,0)), HYPERLINK("#",""), HYPERLINK(CONCATENATE("#Metadata!", ADDRESS(INDEX($AJ$2:$AJ$1001,MATCH(ROWS($AH$2:AH11),$AH$2:$AH$1001,0),0), INDEX($AO$1004:$BQ$1004,1,MATCH(COLUMNS($AO$1006:BB1006),$AO$1006:$BQ$1006,0)))),"Fix")))</f>
        <v>#N/A</v>
      </c>
      <c r="P11" s="5" t="e">
        <f ca="1">IF(OR(INDEX($AI$2:$AI$1001,MATCH(ROWS($AH$2:AH11),$AH$2:$AH$1001,0),1)&gt;=100000,INDEX($AO$1005:$BQ$1005,1,MATCH(COLUMNS($AO$1006:BC1006),$AO$1006:$BQ$1006,0))&gt;=100000), " ",IF(INDEX($AO$2:$BQ$1001,MATCH(ROWS($AH$2:AH11),$AH$2:$AH$1001,0),MATCH(COLUMNS($AO$1006:BC1006),$AO$1006:$BQ$1006,0)), HYPERLINK("#",""), HYPERLINK(CONCATENATE("#Metadata!", ADDRESS(INDEX($AJ$2:$AJ$1001,MATCH(ROWS($AH$2:AH11),$AH$2:$AH$1001,0),0), INDEX($AO$1004:$BQ$1004,1,MATCH(COLUMNS($AO$1006:BC1006),$AO$1006:$BQ$1006,0)))),"Fix")))</f>
        <v>#N/A</v>
      </c>
      <c r="Q11" s="5" t="e">
        <f ca="1">IF(OR(INDEX($AI$2:$AI$1001,MATCH(ROWS($AH$2:AH11),$AH$2:$AH$1001,0),1)&gt;=100000,INDEX($AO$1005:$BQ$1005,1,MATCH(COLUMNS($AO$1006:BD1006),$AO$1006:$BQ$1006,0))&gt;=100000), " ",IF(INDEX($AO$2:$BQ$1001,MATCH(ROWS($AH$2:AH11),$AH$2:$AH$1001,0),MATCH(COLUMNS($AO$1006:BD1006),$AO$1006:$BQ$1006,0)), HYPERLINK("#",""), HYPERLINK(CONCATENATE("#Metadata!", ADDRESS(INDEX($AJ$2:$AJ$1001,MATCH(ROWS($AH$2:AH11),$AH$2:$AH$1001,0),0), INDEX($AO$1004:$BQ$1004,1,MATCH(COLUMNS($AO$1006:BD1006),$AO$1006:$BQ$1006,0)))),"Fix")))</f>
        <v>#N/A</v>
      </c>
      <c r="R11" s="5" t="e">
        <f ca="1">IF(OR(INDEX($AI$2:$AI$1001,MATCH(ROWS($AH$2:AH11),$AH$2:$AH$1001,0),1)&gt;=100000,INDEX($AO$1005:$BQ$1005,1,MATCH(COLUMNS($AO$1006:BE1006),$AO$1006:$BQ$1006,0))&gt;=100000), " ",IF(INDEX($AO$2:$BQ$1001,MATCH(ROWS($AH$2:AH11),$AH$2:$AH$1001,0),MATCH(COLUMNS($AO$1006:BE1006),$AO$1006:$BQ$1006,0)), HYPERLINK("#",""), HYPERLINK(CONCATENATE("#Metadata!", ADDRESS(INDEX($AJ$2:$AJ$1001,MATCH(ROWS($AH$2:AH11),$AH$2:$AH$1001,0),0), INDEX($AO$1004:$BQ$1004,1,MATCH(COLUMNS($AO$1006:BE1006),$AO$1006:$BQ$1006,0)))),"Fix")))</f>
        <v>#N/A</v>
      </c>
      <c r="S11" s="5" t="e">
        <f ca="1">IF(OR(INDEX($AI$2:$AI$1001,MATCH(ROWS($AH$2:AH11),$AH$2:$AH$1001,0),1)&gt;=100000,INDEX($AO$1005:$BQ$1005,1,MATCH(COLUMNS($AO$1006:BF1006),$AO$1006:$BQ$1006,0))&gt;=100000), " ",IF(INDEX($AO$2:$BQ$1001,MATCH(ROWS($AH$2:AH11),$AH$2:$AH$1001,0),MATCH(COLUMNS($AO$1006:BF1006),$AO$1006:$BQ$1006,0)), HYPERLINK("#",""), HYPERLINK(CONCATENATE("#Metadata!", ADDRESS(INDEX($AJ$2:$AJ$1001,MATCH(ROWS($AH$2:AH11),$AH$2:$AH$1001,0),0), INDEX($AO$1004:$BQ$1004,1,MATCH(COLUMNS($AO$1006:BF1006),$AO$1006:$BQ$1006,0)))),"Fix")))</f>
        <v>#N/A</v>
      </c>
      <c r="T11" s="5" t="e">
        <f ca="1">IF(OR(INDEX($AI$2:$AI$1001,MATCH(ROWS($AH$2:AH11),$AH$2:$AH$1001,0),1)&gt;=100000,INDEX($AO$1005:$BQ$1005,1,MATCH(COLUMNS($AO$1006:BG1006),$AO$1006:$BQ$1006,0))&gt;=100000), " ",IF(INDEX($AO$2:$BQ$1001,MATCH(ROWS($AH$2:AH11),$AH$2:$AH$1001,0),MATCH(COLUMNS($AO$1006:BG1006),$AO$1006:$BQ$1006,0)), HYPERLINK("#",""), HYPERLINK(CONCATENATE("#Metadata!", ADDRESS(INDEX($AJ$2:$AJ$1001,MATCH(ROWS($AH$2:AH11),$AH$2:$AH$1001,0),0), INDEX($AO$1004:$BQ$1004,1,MATCH(COLUMNS($AO$1006:BG1006),$AO$1006:$BQ$1006,0)))),"Fix")))</f>
        <v>#N/A</v>
      </c>
      <c r="U11" s="5" t="e">
        <f ca="1">IF(OR(INDEX($AI$2:$AI$1001,MATCH(ROWS($AH$2:AH11),$AH$2:$AH$1001,0),1)&gt;=100000,INDEX($AO$1005:$BQ$1005,1,MATCH(COLUMNS($AO$1006:BH1006),$AO$1006:$BQ$1006,0))&gt;=100000), " ",IF(INDEX($AO$2:$BQ$1001,MATCH(ROWS($AH$2:AH11),$AH$2:$AH$1001,0),MATCH(COLUMNS($AO$1006:BH1006),$AO$1006:$BQ$1006,0)), HYPERLINK("#",""), HYPERLINK(CONCATENATE("#Metadata!", ADDRESS(INDEX($AJ$2:$AJ$1001,MATCH(ROWS($AH$2:AH11),$AH$2:$AH$1001,0),0), INDEX($AO$1004:$BQ$1004,1,MATCH(COLUMNS($AO$1006:BH1006),$AO$1006:$BQ$1006,0)))),"Fix")))</f>
        <v>#N/A</v>
      </c>
      <c r="V11" s="5" t="e">
        <f ca="1">IF(OR(INDEX($AI$2:$AI$1001,MATCH(ROWS($AH$2:AH11),$AH$2:$AH$1001,0),1)&gt;=100000,INDEX($AO$1005:$BQ$1005,1,MATCH(COLUMNS($AO$1006:BI1006),$AO$1006:$BQ$1006,0))&gt;=100000), " ",IF(INDEX($AO$2:$BQ$1001,MATCH(ROWS($AH$2:AH11),$AH$2:$AH$1001,0),MATCH(COLUMNS($AO$1006:BI1006),$AO$1006:$BQ$1006,0)), HYPERLINK("#",""), HYPERLINK(CONCATENATE("#Metadata!", ADDRESS(INDEX($AJ$2:$AJ$1001,MATCH(ROWS($AH$2:AH11),$AH$2:$AH$1001,0),0), INDEX($AO$1004:$BQ$1004,1,MATCH(COLUMNS($AO$1006:BI1006),$AO$1006:$BQ$1006,0)))),"Fix")))</f>
        <v>#N/A</v>
      </c>
      <c r="W11" s="5" t="e">
        <f ca="1">IF(OR(INDEX($AI$2:$AI$1001,MATCH(ROWS($AH$2:AH11),$AH$2:$AH$1001,0),1)&gt;=100000,INDEX($AO$1005:$BQ$1005,1,MATCH(COLUMNS($AO$1006:BJ1006),$AO$1006:$BQ$1006,0))&gt;=100000), " ",IF(INDEX($AO$2:$BQ$1001,MATCH(ROWS($AH$2:AH11),$AH$2:$AH$1001,0),MATCH(COLUMNS($AO$1006:BJ1006),$AO$1006:$BQ$1006,0)), HYPERLINK("#",""), HYPERLINK(CONCATENATE("#Metadata!", ADDRESS(INDEX($AJ$2:$AJ$1001,MATCH(ROWS($AH$2:AH11),$AH$2:$AH$1001,0),0), INDEX($AO$1004:$BQ$1004,1,MATCH(COLUMNS($AO$1006:BJ1006),$AO$1006:$BQ$1006,0)))),"Fix")))</f>
        <v>#N/A</v>
      </c>
      <c r="X11" s="5" t="e">
        <f ca="1">IF(OR(INDEX($AI$2:$AI$1001,MATCH(ROWS($AH$2:AH11),$AH$2:$AH$1001,0),1)&gt;=100000,INDEX($AO$1005:$BQ$1005,1,MATCH(COLUMNS($AO$1006:BK1006),$AO$1006:$BQ$1006,0))&gt;=100000), " ",IF(INDEX($AO$2:$BQ$1001,MATCH(ROWS($AH$2:AH11),$AH$2:$AH$1001,0),MATCH(COLUMNS($AO$1006:BK1006),$AO$1006:$BQ$1006,0)), HYPERLINK("#",""), HYPERLINK(CONCATENATE("#Metadata!", ADDRESS(INDEX($AJ$2:$AJ$1001,MATCH(ROWS($AH$2:AH11),$AH$2:$AH$1001,0),0), INDEX($AO$1004:$BQ$1004,1,MATCH(COLUMNS($AO$1006:BK1006),$AO$1006:$BQ$1006,0)))),"Fix")))</f>
        <v>#N/A</v>
      </c>
      <c r="Y11" s="5" t="e">
        <f ca="1">IF(OR(INDEX($AI$2:$AI$1001,MATCH(ROWS($AH$2:AH11),$AH$2:$AH$1001,0),1)&gt;=100000,INDEX($AO$1005:$BQ$1005,1,MATCH(COLUMNS($AO$1006:BL1006),$AO$1006:$BQ$1006,0))&gt;=100000), " ",IF(INDEX($AO$2:$BQ$1001,MATCH(ROWS($AH$2:AH11),$AH$2:$AH$1001,0),MATCH(COLUMNS($AO$1006:BL1006),$AO$1006:$BQ$1006,0)), HYPERLINK("#",""), HYPERLINK(CONCATENATE("#Metadata!", ADDRESS(INDEX($AJ$2:$AJ$1001,MATCH(ROWS($AH$2:AH11),$AH$2:$AH$1001,0),0), INDEX($AO$1004:$BQ$1004,1,MATCH(COLUMNS($AO$1006:BL1006),$AO$1006:$BQ$1006,0)))),"Fix")))</f>
        <v>#N/A</v>
      </c>
      <c r="Z11" s="5" t="e">
        <f ca="1">IF(OR(INDEX($AI$2:$AI$1001,MATCH(ROWS($AH$2:AH11),$AH$2:$AH$1001,0),1)&gt;=100000,INDEX($AO$1005:$BQ$1005,1,MATCH(COLUMNS($AO$1006:BM1006),$AO$1006:$BQ$1006,0))&gt;=100000), " ",IF(INDEX($AO$2:$BQ$1001,MATCH(ROWS($AH$2:AH11),$AH$2:$AH$1001,0),MATCH(COLUMNS($AO$1006:BM1006),$AO$1006:$BQ$1006,0)), HYPERLINK("#",""), HYPERLINK(CONCATENATE("#Metadata!", ADDRESS(INDEX($AJ$2:$AJ$1001,MATCH(ROWS($AH$2:AH11),$AH$2:$AH$1001,0),0), INDEX($AO$1004:$BQ$1004,1,MATCH(COLUMNS($AO$1006:BM1006),$AO$1006:$BQ$1006,0)))),"Fix")))</f>
        <v>#N/A</v>
      </c>
      <c r="AA11" s="5" t="e">
        <f ca="1">IF(OR(INDEX($AI$2:$AI$1001,MATCH(ROWS($AH$2:AH11),$AH$2:$AH$1001,0),1)&gt;=100000,INDEX($AO$1005:$BQ$1005,1,MATCH(COLUMNS($AO$1006:BN1006),$AO$1006:$BQ$1006,0))&gt;=100000), " ",IF(INDEX($AO$2:$BQ$1001,MATCH(ROWS($AH$2:AH11),$AH$2:$AH$1001,0),MATCH(COLUMNS($AO$1006:BN1006),$AO$1006:$BQ$1006,0)), HYPERLINK("#",""), HYPERLINK(CONCATENATE("#Metadata!", ADDRESS(INDEX($AJ$2:$AJ$1001,MATCH(ROWS($AH$2:AH11),$AH$2:$AH$1001,0),0), INDEX($AO$1004:$BQ$1004,1,MATCH(COLUMNS($AO$1006:BN1006),$AO$1006:$BQ$1006,0)))),"Fix")))</f>
        <v>#N/A</v>
      </c>
      <c r="AB11" s="5" t="e">
        <f ca="1">IF(OR(INDEX($AI$2:$AI$1001,MATCH(ROWS($AH$2:AH11),$AH$2:$AH$1001,0),1)&gt;=100000,INDEX($AO$1005:$BQ$1005,1,MATCH(COLUMNS($AO$1006:BO1006),$AO$1006:$BQ$1006,0))&gt;=100000), " ",IF(INDEX($AO$2:$BQ$1001,MATCH(ROWS($AH$2:AH11),$AH$2:$AH$1001,0),MATCH(COLUMNS($AO$1006:BO1006),$AO$1006:$BQ$1006,0)), HYPERLINK("#",""), HYPERLINK(CONCATENATE("#Metadata!", ADDRESS(INDEX($AJ$2:$AJ$1001,MATCH(ROWS($AH$2:AH11),$AH$2:$AH$1001,0),0), INDEX($AO$1004:$BQ$1004,1,MATCH(COLUMNS($AO$1006:BO1006),$AO$1006:$BQ$1006,0)))),"Fix")))</f>
        <v>#N/A</v>
      </c>
      <c r="AC11" s="5" t="e">
        <f ca="1">IF(OR(INDEX($AI$2:$AI$1001,MATCH(ROWS($AH$2:AH11),$AH$2:$AH$1001,0),1)&gt;=100000,INDEX($AO$1005:$BQ$1005,1,MATCH(COLUMNS($AO$1006:BP1006),$AO$1006:$BQ$1006,0))&gt;=100000), " ",IF(INDEX($AO$2:$BQ$1001,MATCH(ROWS($AH$2:AH11),$AH$2:$AH$1001,0),MATCH(COLUMNS($AO$1006:BP1006),$AO$1006:$BQ$1006,0)), HYPERLINK("#",""), HYPERLINK(CONCATENATE("#Metadata!", ADDRESS(INDEX($AJ$2:$AJ$1001,MATCH(ROWS($AH$2:AH11),$AH$2:$AH$1001,0),0), INDEX($AO$1004:$BQ$1004,1,MATCH(COLUMNS($AO$1006:BP1006),$AO$1006:$BQ$1006,0)))),"Fix")))</f>
        <v>#N/A</v>
      </c>
      <c r="AD11" s="5" t="e">
        <f ca="1">IF(OR(INDEX($AI$2:$AI$1001,MATCH(ROWS($AH$2:AH11),$AH$2:$AH$1001,0),1)&gt;=100000,INDEX($AO$1005:$BQ$1005,1,MATCH(COLUMNS($AO$1006:BQ1006),$AO$1006:$BQ$1006,0))&gt;=100000), " ",IF(INDEX($AO$2:$BQ$1001,MATCH(ROWS($AH$2:AH11),$AH$2:$AH$1001,0),MATCH(COLUMNS($AO$1006:BQ1006),$AO$1006:$BQ$1006,0)), HYPERLINK("#",""), HYPERLINK(CONCATENATE("#Metadata!", ADDRESS(INDEX($AJ$2:$AJ$1001,MATCH(ROWS($AH$2:AH11),$AH$2:$AH$1001,0),0), INDEX($AO$1004:$BQ$1004,1,MATCH(COLUMNS($AO$1006:BQ1006),$AO$1006:$BQ$1006,0)))),"Fix")))</f>
        <v>#REF!</v>
      </c>
      <c r="AH11">
        <f ca="1"/>
        <v>9</v>
      </c>
      <c r="AI11">
        <f ca="1"/>
        <v>11</v>
      </c>
      <c r="AJ11">
        <v>11</v>
      </c>
      <c r="AK11" t="b">
        <f t="shared" ca="1" si="0"/>
        <v>0</v>
      </c>
      <c r="AL11" t="b">
        <f>COUNTBLANK(Metadata!B11:AD11)=COLUMNS(Metadata!B11:AD11)</f>
        <v>0</v>
      </c>
      <c r="AM11" t="str">
        <v>Environment.Sediment.BTP.94Side.2</v>
      </c>
      <c r="AO11" t="b">
        <f ca="1">AND(IF(Metadata!B10="",FALSE,TRUE),COUNTIF(Metadata!B:B, Metadata!B10) = 1,NOT(ISERROR(SUMPRODUCT(SEARCH(MID(Metadata!B10,ROW(INDIRECT("1:"&amp;LEN(Metadata!B10))), 1),"0123456789abcdefghijklmnopqrstuvwxyzABCDEFGHIJKLMNOPQRSTUVWXYZ.")))))</f>
        <v>1</v>
      </c>
      <c r="AP11" t="b">
        <f>IF(Metadata!C10="",FALSE,TRUE)</f>
        <v>1</v>
      </c>
      <c r="AQ11" t="b">
        <f>IF(Metadata!D10="",FALSE,TRUE)</f>
        <v>1</v>
      </c>
      <c r="AR11" t="b">
        <f ca="1">OR(AND(IF(Metadata!E10="",FALSE,TRUE),OR(EXACT(Metadata!E10,"not collected"),EXACT(Metadata!E10,"not provided"),EXACT(Metadata!E10,"restricted access"))),AND(IF(Metadata!E10="",FALSE,TRUE),AND(AND(IFERROR(INT(LEFT(Metadata!E10,4))&gt;1900,FALSE),IFERROR(INT(LEFT(Metadata!E10,4))&lt;=YEAR(NOW()),FALSE)), OR(MID(Metadata!E10,5,1)="", AND(AND(MID(Metadata!E10,5,1)="-",IFERROR(INT(MID(Metadata!E10,6,1))&gt;=0,FALSE),IFERROR(INT(MID(Metadata!E10,6,1))&lt;=1,FALSE),NOT(MID(Metadata!E10,7,1)=""),IFERROR(INT(MID(Metadata!E10,6,2))&gt;=1,FALSE),IFERROR(INT(MID(Metadata!E10,6,2))&lt;=12,FALSE)), OR(MID(Metadata!E10,8,1)="", AND(AND(MID(Metadata!E10,8,1)="-",IFERROR(INT(MID(Metadata!E10,9,1))&gt;=0,FALSE),IFERROR(INT(MID(Metadata!E10,9,1))&lt;=3,FALSE),NOT(MID(Metadata!E10,10,1)=""),IFERROR(INT(MID(Metadata!E10,9,2))&gt;=1,FALSE),IFERROR(INT(MID(Metadata!E10,9,2))&lt;=31,FALSE)), OR(MID(Metadata!E10,11,1)="", AND(AND(MID(Metadata!E10,11,1)=" ",IFERROR(INT(MID(Metadata!E10,12,1))&gt;=0,FALSE),IFERROR(INT(MID(Metadata!E10,12,1))&lt;=2,FALSE),NOT(MID(Metadata!E10,13,1)=""),IFERROR(INT(MID(Metadata!E10,12,2))&gt;=0,FALSE),IFERROR(INT(MID(Metadata!E10,12,2))&lt;=23,FALSE)), OR(MID(Metadata!E10,14,1)="", AND(AND(MID(Metadata!E10,14,1)=":",IFERROR(INT(MID(Metadata!E10,15,1))&gt;=0,FALSE),IFERROR(INT(MID(Metadata!E10,15,1))&lt;=5,FALSE),NOT(MID(Metadata!E10,16,1)=""),IFERROR(INT(MID(Metadata!E10,15,2))&gt;=0,FALSE),IFERROR(INT(MID(Metadata!E10,15,2))&lt;=59,FALSE)), OR(MID(Metadata!E10,17,1)="", AND(AND(MID(Metadata!E10,17,1)=":",IFERROR(INT(MID(Metadata!E10,18,1))&gt;=0,FALSE),IFERROR(INT(MID(Metadata!E10,18,1))&lt;=5,FALSE),NOT(MID(Metadata!E10,19,1)=""),IFERROR(INT(MID(Metadata!E10,18,2))&gt;=0,FALSE),IFERROR(INT(MID(Metadata!E10,18,2))&lt;=59,FALSE)), LEN(Metadata!E10)&lt;=19)))))))))))))</f>
        <v>0</v>
      </c>
      <c r="AS11" t="b">
        <f>IF(Metadata!F10="",FALSE,TRUE)</f>
        <v>1</v>
      </c>
      <c r="AT11" t="b">
        <f>OR(AND(IF(Metadata!G10="",FALSE,TRUE),OR(EXACT(Metadata!G10,"not collected"),EXACT(Metadata!G10,"not provided"))),AND(IF(Metadata!G10="",FALSE,TRUE),OR(EXACT(Metadata!G10,"TRUE"),EXACT(Metadata!G10,"FALSE"))))</f>
        <v>1</v>
      </c>
      <c r="AU11" t="b">
        <f>OR(AND(IF(Metadata!H10="",FALSE,TRUE),OR(EXACT(Metadata!H10,"not collected"),EXACT(Metadata!H10,"not provided"),EXACT(Metadata!H10,"restricted access"))),AND(IF(Metadata!H10="",FALSE,ISNUMBER(VALUE(Metadata!H10))),Metadata!H10&gt;=-413))</f>
        <v>0</v>
      </c>
      <c r="AV11" t="b">
        <f>AND(IF(Metadata!I10="",FALSE,TRUE),EXACT(Metadata!I10,"meters"))</f>
        <v>1</v>
      </c>
      <c r="AW11" t="b">
        <f>AND(IF(Metadata!J10="",FALSE,TRUE),EXACT(Metadata!J10,"free-living"))</f>
        <v>1</v>
      </c>
      <c r="AX11" t="b">
        <f>AND(IF(Metadata!K10="",FALSE,TRUE),OR(EXACT(Metadata!K10,"saline"),EXACT(Metadata!K10,"non-saline")))</f>
        <v>1</v>
      </c>
      <c r="AY11" t="b">
        <f>AND(IF(Metadata!L10="",FALSE,TRUE),OR(EXACT(Metadata!L10,"sub-surface (non-saline)"),EXACT(Metadata!L10,"surface (non-saline)"),EXACT(Metadata!L10,"water (non-saline)"),EXACT(Metadata!L10,"soil (non-saline)"),EXACT(Metadata!L10,"aerosol (non-saline)"),EXACT(Metadata!L10,"sediment (non-saline)"),EXACT(Metadata!L10,"surface (saline)"),EXACT(Metadata!L10,"water (saline)"),EXACT(Metadata!L10,"hypersaline (saline)"),EXACT(Metadata!L10,"aerosol (saline)"),EXACT(Metadata!L10,"sediment (saline)")))</f>
        <v>1</v>
      </c>
      <c r="AZ11" t="b">
        <f>IF(Metadata!M10="",FALSE,TRUE)</f>
        <v>1</v>
      </c>
      <c r="BA11" t="b">
        <f>IF(Metadata!N10="",FALSE,TRUE)</f>
        <v>1</v>
      </c>
      <c r="BB11" t="b">
        <f>IF(Metadata!O10="",FALSE,TRUE)</f>
        <v>1</v>
      </c>
      <c r="BC11" t="b">
        <f>AND(IF(Metadata!P10="",FALSE,TRUE),OR(EXACT(Metadata!P10,"air"),EXACT(Metadata!P10,"microbial mat/biofilm"),EXACT(Metadata!P10,"misc environment"),EXACT(Metadata!P10,"sediment"),EXACT(Metadata!P10,"soil"),EXACT(Metadata!P10,"wastewater/sludge"),EXACT(Metadata!P10,"water")))</f>
        <v>1</v>
      </c>
      <c r="BD11" t="b">
        <f>IF(Metadata!Q10="",FALSE,TRUE)</f>
        <v>1</v>
      </c>
      <c r="BE11" t="b">
        <f>IF(Metadata!R10="",FALSE,TRUE)</f>
        <v>1</v>
      </c>
      <c r="BF11" t="b">
        <f>OR(AND(IF(Metadata!S10="",FALSE,TRUE),OR(EXACT(Metadata!S10,"not collected"),EXACT(Metadata!S10,"not provided"),EXACT(Metadata!S10,"restricted access"))),AND(IF(Metadata!S10="",FALSE,ISNUMBER(VALUE(Metadata!S10))),Metadata!S10&gt;=-90,Metadata!S10&lt;=90))</f>
        <v>0</v>
      </c>
      <c r="BG11" t="b">
        <f>AND(IF(Metadata!T10="",FALSE,TRUE),EXACT(Metadata!T10,"Decimal degrees"))</f>
        <v>1</v>
      </c>
      <c r="BH11" t="b">
        <f>OR(AND(IF(Metadata!U11="",FALSE,TRUE),OR(EXACT(Metadata!U11,"not applicable"),EXACT(Metadata!U11,"not collected"))),IF(Metadata!U11="",FALSE,TRUE))</f>
        <v>1</v>
      </c>
      <c r="BI11" t="b">
        <f>OR(AND(IF(Metadata!V10="",FALSE,TRUE),OR(EXACT(Metadata!V10,"not collected"),EXACT(Metadata!V10,"not provided"),EXACT(Metadata!V10,"restricted access"))),AND(IF(Metadata!V10="",FALSE,ISNUMBER(VALUE(Metadata!V10))),Metadata!V10&gt;=-180,Metadata!V10&lt;=180))</f>
        <v>0</v>
      </c>
      <c r="BJ11" t="b">
        <f>AND(IF(Metadata!W10="",FALSE,TRUE),EXACT(Metadata!W10,"Decimal degrees"))</f>
        <v>1</v>
      </c>
      <c r="BK11" t="b">
        <f>IF(Metadata!X10="",FALSE,TRUE)</f>
        <v>1</v>
      </c>
      <c r="BL11" t="b">
        <f>OR(AND(IF(Metadata!Y10="",FALSE,TRUE),OR(EXACT(Metadata!Y10,"not collected"),EXACT(Metadata!Y10,"not provided"),EXACT(Metadata!Y10,"restricted access"))),AND(IF(Metadata!Y10="",FALSE,TRUE),OR(EXACT(Metadata!Y10,"TRUE"),EXACT(Metadata!Y10,"FALSE"))))</f>
        <v>1</v>
      </c>
      <c r="BM11" t="b">
        <f>OR(AND(IF(Metadata!Z10="",FALSE,TRUE),EXACT(Metadata!Z10,"not applicable")),AND(IF(Metadata!Z10="",FALSE,TRUE),OR(EXACT(Metadata!Z10,"beer"),EXACT(Metadata!Z10,"cheese"),EXACT(Metadata!Z10,"fresh water"),EXACT(Metadata!Z10,"marine sediment"),EXACT(Metadata!Z10,"sea water"),EXACT(Metadata!Z10,"sediment"),EXACT(Metadata!Z10,"soil"),EXACT(Metadata!Z10,"waste water"))))</f>
        <v>1</v>
      </c>
      <c r="BN11" t="b">
        <f>AND(IF(Metadata!AA10="",FALSE,TRUE),EXACT(Metadata!AA10,"metagenome"))</f>
        <v>1</v>
      </c>
      <c r="BO11" t="b">
        <f>AND(IF(Metadata!AB10="",FALSE,TRUE),EXACT(Metadata!AB10,"256318"))</f>
        <v>1</v>
      </c>
      <c r="BP11" t="b">
        <f>IF(Metadata!AC10="",FALSE,TRUE)</f>
        <v>1</v>
      </c>
      <c r="BQ11" t="b">
        <f>IF(Metadata!AD10="",FALSE,TRUE)</f>
        <v>1</v>
      </c>
    </row>
    <row r="12" spans="1:69" x14ac:dyDescent="0.2">
      <c r="A12" s="4" t="e">
        <f ca="1">IF(B12=" "," ",HYPERLINK(CONCATENATE("#metadata!",ADDRESS(INDEX($AJ$2:$AJ$1001,MATCH(ROWS($AH$2:AH12),$AH$2:$AH$1001,0),0),2)),INDEX($AM$2:$AM$1001,MATCH(ROWS($AH$2:AH12),$AH$2:$AH$1001,0),0)))</f>
        <v>#N/A</v>
      </c>
      <c r="B12" s="5" t="e">
        <f ca="1">IF(OR(INDEX($AI$2:$AI$1001,MATCH(ROWS($AH$2:AH12),$AH$2:$AH$1001,0),1)&gt;=100000,INDEX($AO$1005:$BQ$1005,1,MATCH(COLUMNS($AO$1006:AO1006),$AO$1006:$BQ$1006,0))&gt;=100000), " ",IF(INDEX($AO$2:$BQ$1001,MATCH(ROWS($AH$2:AH12),$AH$2:$AH$1001,0),MATCH(COLUMNS($AO$1006:AO1006),$AO$1006:$BQ$1006,0)), HYPERLINK("#",""), HYPERLINK(CONCATENATE("#Metadata!", ADDRESS(INDEX($AJ$2:$AJ$1001,MATCH(ROWS($AH$2:AH12),$AH$2:$AH$1001,0),0), INDEX($AO$1004:$BQ$1004,1,MATCH(COLUMNS($AO$1006:AO1006),$AO$1006:$BQ$1006,0)))),"Fix")))</f>
        <v>#N/A</v>
      </c>
      <c r="C12" s="5" t="e">
        <f ca="1">IF(OR(INDEX($AI$2:$AI$1001,MATCH(ROWS($AH$2:AH12),$AH$2:$AH$1001,0),1)&gt;=100000,INDEX($AO$1005:$BQ$1005,1,MATCH(COLUMNS($AO$1006:AP1006),$AO$1006:$BQ$1006,0))&gt;=100000), " ",IF(INDEX($AO$2:$BQ$1001,MATCH(ROWS($AH$2:AH12),$AH$2:$AH$1001,0),MATCH(COLUMNS($AO$1006:AP1006),$AO$1006:$BQ$1006,0)), HYPERLINK("#",""), HYPERLINK(CONCATENATE("#Metadata!", ADDRESS(INDEX($AJ$2:$AJ$1001,MATCH(ROWS($AH$2:AH12),$AH$2:$AH$1001,0),0), INDEX($AO$1004:$BQ$1004,1,MATCH(COLUMNS($AO$1006:AP1006),$AO$1006:$BQ$1006,0)))),"Fix")))</f>
        <v>#N/A</v>
      </c>
      <c r="D12" s="5" t="e">
        <f ca="1">IF(OR(INDEX($AI$2:$AI$1001,MATCH(ROWS($AH$2:AH12),$AH$2:$AH$1001,0),1)&gt;=100000,INDEX($AO$1005:$BQ$1005,1,MATCH(COLUMNS($AO$1006:AQ1006),$AO$1006:$BQ$1006,0))&gt;=100000), " ",IF(INDEX($AO$2:$BQ$1001,MATCH(ROWS($AH$2:AH12),$AH$2:$AH$1001,0),MATCH(COLUMNS($AO$1006:AQ1006),$AO$1006:$BQ$1006,0)), HYPERLINK("#",""), HYPERLINK(CONCATENATE("#Metadata!", ADDRESS(INDEX($AJ$2:$AJ$1001,MATCH(ROWS($AH$2:AH12),$AH$2:$AH$1001,0),0), INDEX($AO$1004:$BQ$1004,1,MATCH(COLUMNS($AO$1006:AQ1006),$AO$1006:$BQ$1006,0)))),"Fix")))</f>
        <v>#N/A</v>
      </c>
      <c r="E12" s="5" t="e">
        <f ca="1">IF(OR(INDEX($AI$2:$AI$1001,MATCH(ROWS($AH$2:AH12),$AH$2:$AH$1001,0),1)&gt;=100000,INDEX($AO$1005:$BQ$1005,1,MATCH(COLUMNS($AO$1006:AR1006),$AO$1006:$BQ$1006,0))&gt;=100000), " ",IF(INDEX($AO$2:$BQ$1001,MATCH(ROWS($AH$2:AH12),$AH$2:$AH$1001,0),MATCH(COLUMNS($AO$1006:AR1006),$AO$1006:$BQ$1006,0)), HYPERLINK("#",""), HYPERLINK(CONCATENATE("#Metadata!", ADDRESS(INDEX($AJ$2:$AJ$1001,MATCH(ROWS($AH$2:AH12),$AH$2:$AH$1001,0),0), INDEX($AO$1004:$BQ$1004,1,MATCH(COLUMNS($AO$1006:AR1006),$AO$1006:$BQ$1006,0)))),"Fix")))</f>
        <v>#N/A</v>
      </c>
      <c r="F12" s="5" t="e">
        <f ca="1">IF(OR(INDEX($AI$2:$AI$1001,MATCH(ROWS($AH$2:AH12),$AH$2:$AH$1001,0),1)&gt;=100000,INDEX($AO$1005:$BQ$1005,1,MATCH(COLUMNS($AO$1006:AS1006),$AO$1006:$BQ$1006,0))&gt;=100000), " ",IF(INDEX($AO$2:$BQ$1001,MATCH(ROWS($AH$2:AH12),$AH$2:$AH$1001,0),MATCH(COLUMNS($AO$1006:AS1006),$AO$1006:$BQ$1006,0)), HYPERLINK("#",""), HYPERLINK(CONCATENATE("#Metadata!", ADDRESS(INDEX($AJ$2:$AJ$1001,MATCH(ROWS($AH$2:AH12),$AH$2:$AH$1001,0),0), INDEX($AO$1004:$BQ$1004,1,MATCH(COLUMNS($AO$1006:AS1006),$AO$1006:$BQ$1006,0)))),"Fix")))</f>
        <v>#N/A</v>
      </c>
      <c r="G12" s="5" t="e">
        <f ca="1">IF(OR(INDEX($AI$2:$AI$1001,MATCH(ROWS($AH$2:AH12),$AH$2:$AH$1001,0),1)&gt;=100000,INDEX($AO$1005:$BQ$1005,1,MATCH(COLUMNS($AO$1006:AT1006),$AO$1006:$BQ$1006,0))&gt;=100000), " ",IF(INDEX($AO$2:$BQ$1001,MATCH(ROWS($AH$2:AH12),$AH$2:$AH$1001,0),MATCH(COLUMNS($AO$1006:AT1006),$AO$1006:$BQ$1006,0)), HYPERLINK("#",""), HYPERLINK(CONCATENATE("#Metadata!", ADDRESS(INDEX($AJ$2:$AJ$1001,MATCH(ROWS($AH$2:AH12),$AH$2:$AH$1001,0),0), INDEX($AO$1004:$BQ$1004,1,MATCH(COLUMNS($AO$1006:AT1006),$AO$1006:$BQ$1006,0)))),"Fix")))</f>
        <v>#N/A</v>
      </c>
      <c r="H12" s="5" t="e">
        <f ca="1">IF(OR(INDEX($AI$2:$AI$1001,MATCH(ROWS($AH$2:AH12),$AH$2:$AH$1001,0),1)&gt;=100000,INDEX($AO$1005:$BQ$1005,1,MATCH(COLUMNS($AO$1006:AU1006),$AO$1006:$BQ$1006,0))&gt;=100000), " ",IF(INDEX($AO$2:$BQ$1001,MATCH(ROWS($AH$2:AH12),$AH$2:$AH$1001,0),MATCH(COLUMNS($AO$1006:AU1006),$AO$1006:$BQ$1006,0)), HYPERLINK("#",""), HYPERLINK(CONCATENATE("#Metadata!", ADDRESS(INDEX($AJ$2:$AJ$1001,MATCH(ROWS($AH$2:AH12),$AH$2:$AH$1001,0),0), INDEX($AO$1004:$BQ$1004,1,MATCH(COLUMNS($AO$1006:AU1006),$AO$1006:$BQ$1006,0)))),"Fix")))</f>
        <v>#N/A</v>
      </c>
      <c r="I12" s="5" t="e">
        <f ca="1">IF(OR(INDEX($AI$2:$AI$1001,MATCH(ROWS($AH$2:AH12),$AH$2:$AH$1001,0),1)&gt;=100000,INDEX($AO$1005:$BQ$1005,1,MATCH(COLUMNS($AO$1006:AV1006),$AO$1006:$BQ$1006,0))&gt;=100000), " ",IF(INDEX($AO$2:$BQ$1001,MATCH(ROWS($AH$2:AH12),$AH$2:$AH$1001,0),MATCH(COLUMNS($AO$1006:AV1006),$AO$1006:$BQ$1006,0)), HYPERLINK("#",""), HYPERLINK(CONCATENATE("#Metadata!", ADDRESS(INDEX($AJ$2:$AJ$1001,MATCH(ROWS($AH$2:AH12),$AH$2:$AH$1001,0),0), INDEX($AO$1004:$BQ$1004,1,MATCH(COLUMNS($AO$1006:AV1006),$AO$1006:$BQ$1006,0)))),"Fix")))</f>
        <v>#N/A</v>
      </c>
      <c r="J12" s="5" t="e">
        <f ca="1">IF(OR(INDEX($AI$2:$AI$1001,MATCH(ROWS($AH$2:AH12),$AH$2:$AH$1001,0),1)&gt;=100000,INDEX($AO$1005:$BQ$1005,1,MATCH(COLUMNS($AO$1006:AW1006),$AO$1006:$BQ$1006,0))&gt;=100000), " ",IF(INDEX($AO$2:$BQ$1001,MATCH(ROWS($AH$2:AH12),$AH$2:$AH$1001,0),MATCH(COLUMNS($AO$1006:AW1006),$AO$1006:$BQ$1006,0)), HYPERLINK("#",""), HYPERLINK(CONCATENATE("#Metadata!", ADDRESS(INDEX($AJ$2:$AJ$1001,MATCH(ROWS($AH$2:AH12),$AH$2:$AH$1001,0),0), INDEX($AO$1004:$BQ$1004,1,MATCH(COLUMNS($AO$1006:AW1006),$AO$1006:$BQ$1006,0)))),"Fix")))</f>
        <v>#N/A</v>
      </c>
      <c r="K12" s="5" t="e">
        <f ca="1">IF(OR(INDEX($AI$2:$AI$1001,MATCH(ROWS($AH$2:AH12),$AH$2:$AH$1001,0),1)&gt;=100000,INDEX($AO$1005:$BQ$1005,1,MATCH(COLUMNS($AO$1006:AX1006),$AO$1006:$BQ$1006,0))&gt;=100000), " ",IF(INDEX($AO$2:$BQ$1001,MATCH(ROWS($AH$2:AH12),$AH$2:$AH$1001,0),MATCH(COLUMNS($AO$1006:AX1006),$AO$1006:$BQ$1006,0)), HYPERLINK("#",""), HYPERLINK(CONCATENATE("#Metadata!", ADDRESS(INDEX($AJ$2:$AJ$1001,MATCH(ROWS($AH$2:AH12),$AH$2:$AH$1001,0),0), INDEX($AO$1004:$BQ$1004,1,MATCH(COLUMNS($AO$1006:AX1006),$AO$1006:$BQ$1006,0)))),"Fix")))</f>
        <v>#N/A</v>
      </c>
      <c r="L12" s="5" t="e">
        <f ca="1">IF(OR(INDEX($AI$2:$AI$1001,MATCH(ROWS($AH$2:AH12),$AH$2:$AH$1001,0),1)&gt;=100000,INDEX($AO$1005:$BQ$1005,1,MATCH(COLUMNS($AO$1006:AY1006),$AO$1006:$BQ$1006,0))&gt;=100000), " ",IF(INDEX($AO$2:$BQ$1001,MATCH(ROWS($AH$2:AH12),$AH$2:$AH$1001,0),MATCH(COLUMNS($AO$1006:AY1006),$AO$1006:$BQ$1006,0)), HYPERLINK("#",""), HYPERLINK(CONCATENATE("#Metadata!", ADDRESS(INDEX($AJ$2:$AJ$1001,MATCH(ROWS($AH$2:AH12),$AH$2:$AH$1001,0),0), INDEX($AO$1004:$BQ$1004,1,MATCH(COLUMNS($AO$1006:AY1006),$AO$1006:$BQ$1006,0)))),"Fix")))</f>
        <v>#N/A</v>
      </c>
      <c r="M12" s="5" t="e">
        <f ca="1">IF(OR(INDEX($AI$2:$AI$1001,MATCH(ROWS($AH$2:AH12),$AH$2:$AH$1001,0),1)&gt;=100000,INDEX($AO$1005:$BQ$1005,1,MATCH(COLUMNS($AO$1006:AZ1006),$AO$1006:$BQ$1006,0))&gt;=100000), " ",IF(INDEX($AO$2:$BQ$1001,MATCH(ROWS($AH$2:AH12),$AH$2:$AH$1001,0),MATCH(COLUMNS($AO$1006:AZ1006),$AO$1006:$BQ$1006,0)), HYPERLINK("#",""), HYPERLINK(CONCATENATE("#Metadata!", ADDRESS(INDEX($AJ$2:$AJ$1001,MATCH(ROWS($AH$2:AH12),$AH$2:$AH$1001,0),0), INDEX($AO$1004:$BQ$1004,1,MATCH(COLUMNS($AO$1006:AZ1006),$AO$1006:$BQ$1006,0)))),"Fix")))</f>
        <v>#N/A</v>
      </c>
      <c r="N12" s="5" t="e">
        <f ca="1">IF(OR(INDEX($AI$2:$AI$1001,MATCH(ROWS($AH$2:AH12),$AH$2:$AH$1001,0),1)&gt;=100000,INDEX($AO$1005:$BQ$1005,1,MATCH(COLUMNS($AO$1006:BA1006),$AO$1006:$BQ$1006,0))&gt;=100000), " ",IF(INDEX($AO$2:$BQ$1001,MATCH(ROWS($AH$2:AH12),$AH$2:$AH$1001,0),MATCH(COLUMNS($AO$1006:BA1006),$AO$1006:$BQ$1006,0)), HYPERLINK("#",""), HYPERLINK(CONCATENATE("#Metadata!", ADDRESS(INDEX($AJ$2:$AJ$1001,MATCH(ROWS($AH$2:AH12),$AH$2:$AH$1001,0),0), INDEX($AO$1004:$BQ$1004,1,MATCH(COLUMNS($AO$1006:BA1006),$AO$1006:$BQ$1006,0)))),"Fix")))</f>
        <v>#N/A</v>
      </c>
      <c r="O12" s="5" t="e">
        <f ca="1">IF(OR(INDEX($AI$2:$AI$1001,MATCH(ROWS($AH$2:AH12),$AH$2:$AH$1001,0),1)&gt;=100000,INDEX($AO$1005:$BQ$1005,1,MATCH(COLUMNS($AO$1006:BB1006),$AO$1006:$BQ$1006,0))&gt;=100000), " ",IF(INDEX($AO$2:$BQ$1001,MATCH(ROWS($AH$2:AH12),$AH$2:$AH$1001,0),MATCH(COLUMNS($AO$1006:BB1006),$AO$1006:$BQ$1006,0)), HYPERLINK("#",""), HYPERLINK(CONCATENATE("#Metadata!", ADDRESS(INDEX($AJ$2:$AJ$1001,MATCH(ROWS($AH$2:AH12),$AH$2:$AH$1001,0),0), INDEX($AO$1004:$BQ$1004,1,MATCH(COLUMNS($AO$1006:BB1006),$AO$1006:$BQ$1006,0)))),"Fix")))</f>
        <v>#N/A</v>
      </c>
      <c r="P12" s="5" t="e">
        <f ca="1">IF(OR(INDEX($AI$2:$AI$1001,MATCH(ROWS($AH$2:AH12),$AH$2:$AH$1001,0),1)&gt;=100000,INDEX($AO$1005:$BQ$1005,1,MATCH(COLUMNS($AO$1006:BC1006),$AO$1006:$BQ$1006,0))&gt;=100000), " ",IF(INDEX($AO$2:$BQ$1001,MATCH(ROWS($AH$2:AH12),$AH$2:$AH$1001,0),MATCH(COLUMNS($AO$1006:BC1006),$AO$1006:$BQ$1006,0)), HYPERLINK("#",""), HYPERLINK(CONCATENATE("#Metadata!", ADDRESS(INDEX($AJ$2:$AJ$1001,MATCH(ROWS($AH$2:AH12),$AH$2:$AH$1001,0),0), INDEX($AO$1004:$BQ$1004,1,MATCH(COLUMNS($AO$1006:BC1006),$AO$1006:$BQ$1006,0)))),"Fix")))</f>
        <v>#N/A</v>
      </c>
      <c r="Q12" s="5" t="e">
        <f ca="1">IF(OR(INDEX($AI$2:$AI$1001,MATCH(ROWS($AH$2:AH12),$AH$2:$AH$1001,0),1)&gt;=100000,INDEX($AO$1005:$BQ$1005,1,MATCH(COLUMNS($AO$1006:BD1006),$AO$1006:$BQ$1006,0))&gt;=100000), " ",IF(INDEX($AO$2:$BQ$1001,MATCH(ROWS($AH$2:AH12),$AH$2:$AH$1001,0),MATCH(COLUMNS($AO$1006:BD1006),$AO$1006:$BQ$1006,0)), HYPERLINK("#",""), HYPERLINK(CONCATENATE("#Metadata!", ADDRESS(INDEX($AJ$2:$AJ$1001,MATCH(ROWS($AH$2:AH12),$AH$2:$AH$1001,0),0), INDEX($AO$1004:$BQ$1004,1,MATCH(COLUMNS($AO$1006:BD1006),$AO$1006:$BQ$1006,0)))),"Fix")))</f>
        <v>#N/A</v>
      </c>
      <c r="R12" s="5" t="e">
        <f ca="1">IF(OR(INDEX($AI$2:$AI$1001,MATCH(ROWS($AH$2:AH12),$AH$2:$AH$1001,0),1)&gt;=100000,INDEX($AO$1005:$BQ$1005,1,MATCH(COLUMNS($AO$1006:BE1006),$AO$1006:$BQ$1006,0))&gt;=100000), " ",IF(INDEX($AO$2:$BQ$1001,MATCH(ROWS($AH$2:AH12),$AH$2:$AH$1001,0),MATCH(COLUMNS($AO$1006:BE1006),$AO$1006:$BQ$1006,0)), HYPERLINK("#",""), HYPERLINK(CONCATENATE("#Metadata!", ADDRESS(INDEX($AJ$2:$AJ$1001,MATCH(ROWS($AH$2:AH12),$AH$2:$AH$1001,0),0), INDEX($AO$1004:$BQ$1004,1,MATCH(COLUMNS($AO$1006:BE1006),$AO$1006:$BQ$1006,0)))),"Fix")))</f>
        <v>#N/A</v>
      </c>
      <c r="S12" s="5" t="e">
        <f ca="1">IF(OR(INDEX($AI$2:$AI$1001,MATCH(ROWS($AH$2:AH12),$AH$2:$AH$1001,0),1)&gt;=100000,INDEX($AO$1005:$BQ$1005,1,MATCH(COLUMNS($AO$1006:BF1006),$AO$1006:$BQ$1006,0))&gt;=100000), " ",IF(INDEX($AO$2:$BQ$1001,MATCH(ROWS($AH$2:AH12),$AH$2:$AH$1001,0),MATCH(COLUMNS($AO$1006:BF1006),$AO$1006:$BQ$1006,0)), HYPERLINK("#",""), HYPERLINK(CONCATENATE("#Metadata!", ADDRESS(INDEX($AJ$2:$AJ$1001,MATCH(ROWS($AH$2:AH12),$AH$2:$AH$1001,0),0), INDEX($AO$1004:$BQ$1004,1,MATCH(COLUMNS($AO$1006:BF1006),$AO$1006:$BQ$1006,0)))),"Fix")))</f>
        <v>#N/A</v>
      </c>
      <c r="T12" s="5" t="e">
        <f ca="1">IF(OR(INDEX($AI$2:$AI$1001,MATCH(ROWS($AH$2:AH12),$AH$2:$AH$1001,0),1)&gt;=100000,INDEX($AO$1005:$BQ$1005,1,MATCH(COLUMNS($AO$1006:BG1006),$AO$1006:$BQ$1006,0))&gt;=100000), " ",IF(INDEX($AO$2:$BQ$1001,MATCH(ROWS($AH$2:AH12),$AH$2:$AH$1001,0),MATCH(COLUMNS($AO$1006:BG1006),$AO$1006:$BQ$1006,0)), HYPERLINK("#",""), HYPERLINK(CONCATENATE("#Metadata!", ADDRESS(INDEX($AJ$2:$AJ$1001,MATCH(ROWS($AH$2:AH12),$AH$2:$AH$1001,0),0), INDEX($AO$1004:$BQ$1004,1,MATCH(COLUMNS($AO$1006:BG1006),$AO$1006:$BQ$1006,0)))),"Fix")))</f>
        <v>#N/A</v>
      </c>
      <c r="U12" s="5" t="e">
        <f ca="1">IF(OR(INDEX($AI$2:$AI$1001,MATCH(ROWS($AH$2:AH12),$AH$2:$AH$1001,0),1)&gt;=100000,INDEX($AO$1005:$BQ$1005,1,MATCH(COLUMNS($AO$1006:BH1006),$AO$1006:$BQ$1006,0))&gt;=100000), " ",IF(INDEX($AO$2:$BQ$1001,MATCH(ROWS($AH$2:AH12),$AH$2:$AH$1001,0),MATCH(COLUMNS($AO$1006:BH1006),$AO$1006:$BQ$1006,0)), HYPERLINK("#",""), HYPERLINK(CONCATENATE("#Metadata!", ADDRESS(INDEX($AJ$2:$AJ$1001,MATCH(ROWS($AH$2:AH12),$AH$2:$AH$1001,0),0), INDEX($AO$1004:$BQ$1004,1,MATCH(COLUMNS($AO$1006:BH1006),$AO$1006:$BQ$1006,0)))),"Fix")))</f>
        <v>#N/A</v>
      </c>
      <c r="V12" s="5" t="e">
        <f ca="1">IF(OR(INDEX($AI$2:$AI$1001,MATCH(ROWS($AH$2:AH12),$AH$2:$AH$1001,0),1)&gt;=100000,INDEX($AO$1005:$BQ$1005,1,MATCH(COLUMNS($AO$1006:BI1006),$AO$1006:$BQ$1006,0))&gt;=100000), " ",IF(INDEX($AO$2:$BQ$1001,MATCH(ROWS($AH$2:AH12),$AH$2:$AH$1001,0),MATCH(COLUMNS($AO$1006:BI1006),$AO$1006:$BQ$1006,0)), HYPERLINK("#",""), HYPERLINK(CONCATENATE("#Metadata!", ADDRESS(INDEX($AJ$2:$AJ$1001,MATCH(ROWS($AH$2:AH12),$AH$2:$AH$1001,0),0), INDEX($AO$1004:$BQ$1004,1,MATCH(COLUMNS($AO$1006:BI1006),$AO$1006:$BQ$1006,0)))),"Fix")))</f>
        <v>#N/A</v>
      </c>
      <c r="W12" s="5" t="e">
        <f ca="1">IF(OR(INDEX($AI$2:$AI$1001,MATCH(ROWS($AH$2:AH12),$AH$2:$AH$1001,0),1)&gt;=100000,INDEX($AO$1005:$BQ$1005,1,MATCH(COLUMNS($AO$1006:BJ1006),$AO$1006:$BQ$1006,0))&gt;=100000), " ",IF(INDEX($AO$2:$BQ$1001,MATCH(ROWS($AH$2:AH12),$AH$2:$AH$1001,0),MATCH(COLUMNS($AO$1006:BJ1006),$AO$1006:$BQ$1006,0)), HYPERLINK("#",""), HYPERLINK(CONCATENATE("#Metadata!", ADDRESS(INDEX($AJ$2:$AJ$1001,MATCH(ROWS($AH$2:AH12),$AH$2:$AH$1001,0),0), INDEX($AO$1004:$BQ$1004,1,MATCH(COLUMNS($AO$1006:BJ1006),$AO$1006:$BQ$1006,0)))),"Fix")))</f>
        <v>#N/A</v>
      </c>
      <c r="X12" s="5" t="e">
        <f ca="1">IF(OR(INDEX($AI$2:$AI$1001,MATCH(ROWS($AH$2:AH12),$AH$2:$AH$1001,0),1)&gt;=100000,INDEX($AO$1005:$BQ$1005,1,MATCH(COLUMNS($AO$1006:BK1006),$AO$1006:$BQ$1006,0))&gt;=100000), " ",IF(INDEX($AO$2:$BQ$1001,MATCH(ROWS($AH$2:AH12),$AH$2:$AH$1001,0),MATCH(COLUMNS($AO$1006:BK1006),$AO$1006:$BQ$1006,0)), HYPERLINK("#",""), HYPERLINK(CONCATENATE("#Metadata!", ADDRESS(INDEX($AJ$2:$AJ$1001,MATCH(ROWS($AH$2:AH12),$AH$2:$AH$1001,0),0), INDEX($AO$1004:$BQ$1004,1,MATCH(COLUMNS($AO$1006:BK1006),$AO$1006:$BQ$1006,0)))),"Fix")))</f>
        <v>#N/A</v>
      </c>
      <c r="Y12" s="5" t="e">
        <f ca="1">IF(OR(INDEX($AI$2:$AI$1001,MATCH(ROWS($AH$2:AH12),$AH$2:$AH$1001,0),1)&gt;=100000,INDEX($AO$1005:$BQ$1005,1,MATCH(COLUMNS($AO$1006:BL1006),$AO$1006:$BQ$1006,0))&gt;=100000), " ",IF(INDEX($AO$2:$BQ$1001,MATCH(ROWS($AH$2:AH12),$AH$2:$AH$1001,0),MATCH(COLUMNS($AO$1006:BL1006),$AO$1006:$BQ$1006,0)), HYPERLINK("#",""), HYPERLINK(CONCATENATE("#Metadata!", ADDRESS(INDEX($AJ$2:$AJ$1001,MATCH(ROWS($AH$2:AH12),$AH$2:$AH$1001,0),0), INDEX($AO$1004:$BQ$1004,1,MATCH(COLUMNS($AO$1006:BL1006),$AO$1006:$BQ$1006,0)))),"Fix")))</f>
        <v>#N/A</v>
      </c>
      <c r="Z12" s="5" t="e">
        <f ca="1">IF(OR(INDEX($AI$2:$AI$1001,MATCH(ROWS($AH$2:AH12),$AH$2:$AH$1001,0),1)&gt;=100000,INDEX($AO$1005:$BQ$1005,1,MATCH(COLUMNS($AO$1006:BM1006),$AO$1006:$BQ$1006,0))&gt;=100000), " ",IF(INDEX($AO$2:$BQ$1001,MATCH(ROWS($AH$2:AH12),$AH$2:$AH$1001,0),MATCH(COLUMNS($AO$1006:BM1006),$AO$1006:$BQ$1006,0)), HYPERLINK("#",""), HYPERLINK(CONCATENATE("#Metadata!", ADDRESS(INDEX($AJ$2:$AJ$1001,MATCH(ROWS($AH$2:AH12),$AH$2:$AH$1001,0),0), INDEX($AO$1004:$BQ$1004,1,MATCH(COLUMNS($AO$1006:BM1006),$AO$1006:$BQ$1006,0)))),"Fix")))</f>
        <v>#N/A</v>
      </c>
      <c r="AA12" s="5" t="e">
        <f ca="1">IF(OR(INDEX($AI$2:$AI$1001,MATCH(ROWS($AH$2:AH12),$AH$2:$AH$1001,0),1)&gt;=100000,INDEX($AO$1005:$BQ$1005,1,MATCH(COLUMNS($AO$1006:BN1006),$AO$1006:$BQ$1006,0))&gt;=100000), " ",IF(INDEX($AO$2:$BQ$1001,MATCH(ROWS($AH$2:AH12),$AH$2:$AH$1001,0),MATCH(COLUMNS($AO$1006:BN1006),$AO$1006:$BQ$1006,0)), HYPERLINK("#",""), HYPERLINK(CONCATENATE("#Metadata!", ADDRESS(INDEX($AJ$2:$AJ$1001,MATCH(ROWS($AH$2:AH12),$AH$2:$AH$1001,0),0), INDEX($AO$1004:$BQ$1004,1,MATCH(COLUMNS($AO$1006:BN1006),$AO$1006:$BQ$1006,0)))),"Fix")))</f>
        <v>#N/A</v>
      </c>
      <c r="AB12" s="5" t="e">
        <f ca="1">IF(OR(INDEX($AI$2:$AI$1001,MATCH(ROWS($AH$2:AH12),$AH$2:$AH$1001,0),1)&gt;=100000,INDEX($AO$1005:$BQ$1005,1,MATCH(COLUMNS($AO$1006:BO1006),$AO$1006:$BQ$1006,0))&gt;=100000), " ",IF(INDEX($AO$2:$BQ$1001,MATCH(ROWS($AH$2:AH12),$AH$2:$AH$1001,0),MATCH(COLUMNS($AO$1006:BO1006),$AO$1006:$BQ$1006,0)), HYPERLINK("#",""), HYPERLINK(CONCATENATE("#Metadata!", ADDRESS(INDEX($AJ$2:$AJ$1001,MATCH(ROWS($AH$2:AH12),$AH$2:$AH$1001,0),0), INDEX($AO$1004:$BQ$1004,1,MATCH(COLUMNS($AO$1006:BO1006),$AO$1006:$BQ$1006,0)))),"Fix")))</f>
        <v>#N/A</v>
      </c>
      <c r="AC12" s="5" t="e">
        <f ca="1">IF(OR(INDEX($AI$2:$AI$1001,MATCH(ROWS($AH$2:AH12),$AH$2:$AH$1001,0),1)&gt;=100000,INDEX($AO$1005:$BQ$1005,1,MATCH(COLUMNS($AO$1006:BP1006),$AO$1006:$BQ$1006,0))&gt;=100000), " ",IF(INDEX($AO$2:$BQ$1001,MATCH(ROWS($AH$2:AH12),$AH$2:$AH$1001,0),MATCH(COLUMNS($AO$1006:BP1006),$AO$1006:$BQ$1006,0)), HYPERLINK("#",""), HYPERLINK(CONCATENATE("#Metadata!", ADDRESS(INDEX($AJ$2:$AJ$1001,MATCH(ROWS($AH$2:AH12),$AH$2:$AH$1001,0),0), INDEX($AO$1004:$BQ$1004,1,MATCH(COLUMNS($AO$1006:BP1006),$AO$1006:$BQ$1006,0)))),"Fix")))</f>
        <v>#N/A</v>
      </c>
      <c r="AD12" s="5" t="e">
        <f ca="1">IF(OR(INDEX($AI$2:$AI$1001,MATCH(ROWS($AH$2:AH12),$AH$2:$AH$1001,0),1)&gt;=100000,INDEX($AO$1005:$BQ$1005,1,MATCH(COLUMNS($AO$1006:BQ1006),$AO$1006:$BQ$1006,0))&gt;=100000), " ",IF(INDEX($AO$2:$BQ$1001,MATCH(ROWS($AH$2:AH12),$AH$2:$AH$1001,0),MATCH(COLUMNS($AO$1006:BQ1006),$AO$1006:$BQ$1006,0)), HYPERLINK("#",""), HYPERLINK(CONCATENATE("#Metadata!", ADDRESS(INDEX($AJ$2:$AJ$1001,MATCH(ROWS($AH$2:AH12),$AH$2:$AH$1001,0),0), INDEX($AO$1004:$BQ$1004,1,MATCH(COLUMNS($AO$1006:BQ1006),$AO$1006:$BQ$1006,0)))),"Fix")))</f>
        <v>#REF!</v>
      </c>
      <c r="AH12">
        <f ca="1"/>
        <v>10</v>
      </c>
      <c r="AI12">
        <f ca="1"/>
        <v>12</v>
      </c>
      <c r="AJ12">
        <v>12</v>
      </c>
      <c r="AK12" t="b">
        <f t="shared" ca="1" si="0"/>
        <v>0</v>
      </c>
      <c r="AL12" t="b">
        <f>COUNTBLANK(Metadata!B12:AD12)=COLUMNS(Metadata!B12:AD12)</f>
        <v>0</v>
      </c>
      <c r="AM12" t="str">
        <v>Environment.Sediment.BTP.120Side.1</v>
      </c>
      <c r="AO12" t="b">
        <f ca="1">AND(IF(Metadata!B11="",FALSE,TRUE),COUNTIF(Metadata!B:B, Metadata!B11) = 1,NOT(ISERROR(SUMPRODUCT(SEARCH(MID(Metadata!B11,ROW(INDIRECT("1:"&amp;LEN(Metadata!B11))), 1),"0123456789abcdefghijklmnopqrstuvwxyzABCDEFGHIJKLMNOPQRSTUVWXYZ.")))))</f>
        <v>1</v>
      </c>
      <c r="AP12" t="b">
        <f>IF(Metadata!C11="",FALSE,TRUE)</f>
        <v>1</v>
      </c>
      <c r="AQ12" t="b">
        <f>IF(Metadata!D11="",FALSE,TRUE)</f>
        <v>1</v>
      </c>
      <c r="AR12" t="b">
        <f ca="1">OR(AND(IF(Metadata!E11="",FALSE,TRUE),OR(EXACT(Metadata!E11,"not collected"),EXACT(Metadata!E11,"not provided"),EXACT(Metadata!E11,"restricted access"))),AND(IF(Metadata!E11="",FALSE,TRUE),AND(AND(IFERROR(INT(LEFT(Metadata!E11,4))&gt;1900,FALSE),IFERROR(INT(LEFT(Metadata!E11,4))&lt;=YEAR(NOW()),FALSE)), OR(MID(Metadata!E11,5,1)="", AND(AND(MID(Metadata!E11,5,1)="-",IFERROR(INT(MID(Metadata!E11,6,1))&gt;=0,FALSE),IFERROR(INT(MID(Metadata!E11,6,1))&lt;=1,FALSE),NOT(MID(Metadata!E11,7,1)=""),IFERROR(INT(MID(Metadata!E11,6,2))&gt;=1,FALSE),IFERROR(INT(MID(Metadata!E11,6,2))&lt;=12,FALSE)), OR(MID(Metadata!E11,8,1)="", AND(AND(MID(Metadata!E11,8,1)="-",IFERROR(INT(MID(Metadata!E11,9,1))&gt;=0,FALSE),IFERROR(INT(MID(Metadata!E11,9,1))&lt;=3,FALSE),NOT(MID(Metadata!E11,10,1)=""),IFERROR(INT(MID(Metadata!E11,9,2))&gt;=1,FALSE),IFERROR(INT(MID(Metadata!E11,9,2))&lt;=31,FALSE)), OR(MID(Metadata!E11,11,1)="", AND(AND(MID(Metadata!E11,11,1)=" ",IFERROR(INT(MID(Metadata!E11,12,1))&gt;=0,FALSE),IFERROR(INT(MID(Metadata!E11,12,1))&lt;=2,FALSE),NOT(MID(Metadata!E11,13,1)=""),IFERROR(INT(MID(Metadata!E11,12,2))&gt;=0,FALSE),IFERROR(INT(MID(Metadata!E11,12,2))&lt;=23,FALSE)), OR(MID(Metadata!E11,14,1)="", AND(AND(MID(Metadata!E11,14,1)=":",IFERROR(INT(MID(Metadata!E11,15,1))&gt;=0,FALSE),IFERROR(INT(MID(Metadata!E11,15,1))&lt;=5,FALSE),NOT(MID(Metadata!E11,16,1)=""),IFERROR(INT(MID(Metadata!E11,15,2))&gt;=0,FALSE),IFERROR(INT(MID(Metadata!E11,15,2))&lt;=59,FALSE)), OR(MID(Metadata!E11,17,1)="", AND(AND(MID(Metadata!E11,17,1)=":",IFERROR(INT(MID(Metadata!E11,18,1))&gt;=0,FALSE),IFERROR(INT(MID(Metadata!E11,18,1))&lt;=5,FALSE),NOT(MID(Metadata!E11,19,1)=""),IFERROR(INT(MID(Metadata!E11,18,2))&gt;=0,FALSE),IFERROR(INT(MID(Metadata!E11,18,2))&lt;=59,FALSE)), LEN(Metadata!E11)&lt;=19)))))))))))))</f>
        <v>0</v>
      </c>
      <c r="AS12" t="b">
        <f>IF(Metadata!F11="",FALSE,TRUE)</f>
        <v>1</v>
      </c>
      <c r="AT12" t="b">
        <f>OR(AND(IF(Metadata!G11="",FALSE,TRUE),OR(EXACT(Metadata!G11,"not collected"),EXACT(Metadata!G11,"not provided"))),AND(IF(Metadata!G11="",FALSE,TRUE),OR(EXACT(Metadata!G11,"TRUE"),EXACT(Metadata!G11,"FALSE"))))</f>
        <v>1</v>
      </c>
      <c r="AU12" t="b">
        <f>OR(AND(IF(Metadata!H11="",FALSE,TRUE),OR(EXACT(Metadata!H11,"not collected"),EXACT(Metadata!H11,"not provided"),EXACT(Metadata!H11,"restricted access"))),AND(IF(Metadata!H11="",FALSE,ISNUMBER(VALUE(Metadata!H11))),Metadata!H11&gt;=-413))</f>
        <v>0</v>
      </c>
      <c r="AV12" t="b">
        <f>AND(IF(Metadata!I11="",FALSE,TRUE),EXACT(Metadata!I11,"meters"))</f>
        <v>1</v>
      </c>
      <c r="AW12" t="b">
        <f>AND(IF(Metadata!J11="",FALSE,TRUE),EXACT(Metadata!J11,"free-living"))</f>
        <v>1</v>
      </c>
      <c r="AX12" t="b">
        <f>AND(IF(Metadata!K11="",FALSE,TRUE),OR(EXACT(Metadata!K11,"saline"),EXACT(Metadata!K11,"non-saline")))</f>
        <v>1</v>
      </c>
      <c r="AY12" t="b">
        <f>AND(IF(Metadata!L11="",FALSE,TRUE),OR(EXACT(Metadata!L11,"sub-surface (non-saline)"),EXACT(Metadata!L11,"surface (non-saline)"),EXACT(Metadata!L11,"water (non-saline)"),EXACT(Metadata!L11,"soil (non-saline)"),EXACT(Metadata!L11,"aerosol (non-saline)"),EXACT(Metadata!L11,"sediment (non-saline)"),EXACT(Metadata!L11,"surface (saline)"),EXACT(Metadata!L11,"water (saline)"),EXACT(Metadata!L11,"hypersaline (saline)"),EXACT(Metadata!L11,"aerosol (saline)"),EXACT(Metadata!L11,"sediment (saline)")))</f>
        <v>1</v>
      </c>
      <c r="AZ12" t="b">
        <f>IF(Metadata!M11="",FALSE,TRUE)</f>
        <v>1</v>
      </c>
      <c r="BA12" t="b">
        <f>IF(Metadata!N11="",FALSE,TRUE)</f>
        <v>1</v>
      </c>
      <c r="BB12" t="b">
        <f>IF(Metadata!O11="",FALSE,TRUE)</f>
        <v>1</v>
      </c>
      <c r="BC12" t="b">
        <f>AND(IF(Metadata!P11="",FALSE,TRUE),OR(EXACT(Metadata!P11,"air"),EXACT(Metadata!P11,"microbial mat/biofilm"),EXACT(Metadata!P11,"misc environment"),EXACT(Metadata!P11,"sediment"),EXACT(Metadata!P11,"soil"),EXACT(Metadata!P11,"wastewater/sludge"),EXACT(Metadata!P11,"water")))</f>
        <v>1</v>
      </c>
      <c r="BD12" t="b">
        <f>IF(Metadata!Q11="",FALSE,TRUE)</f>
        <v>1</v>
      </c>
      <c r="BE12" t="b">
        <f>IF(Metadata!R11="",FALSE,TRUE)</f>
        <v>1</v>
      </c>
      <c r="BF12" t="b">
        <f>OR(AND(IF(Metadata!S11="",FALSE,TRUE),OR(EXACT(Metadata!S11,"not collected"),EXACT(Metadata!S11,"not provided"),EXACT(Metadata!S11,"restricted access"))),AND(IF(Metadata!S11="",FALSE,ISNUMBER(VALUE(Metadata!S11))),Metadata!S11&gt;=-90,Metadata!S11&lt;=90))</f>
        <v>0</v>
      </c>
      <c r="BG12" t="b">
        <f>AND(IF(Metadata!T11="",FALSE,TRUE),EXACT(Metadata!T11,"Decimal degrees"))</f>
        <v>1</v>
      </c>
      <c r="BH12" t="b">
        <f>OR(AND(IF(Metadata!U12="",FALSE,TRUE),OR(EXACT(Metadata!U12,"not applicable"),EXACT(Metadata!U12,"not collected"))),IF(Metadata!U12="",FALSE,TRUE))</f>
        <v>1</v>
      </c>
      <c r="BI12" t="b">
        <f>OR(AND(IF(Metadata!V11="",FALSE,TRUE),OR(EXACT(Metadata!V11,"not collected"),EXACT(Metadata!V11,"not provided"),EXACT(Metadata!V11,"restricted access"))),AND(IF(Metadata!V11="",FALSE,ISNUMBER(VALUE(Metadata!V11))),Metadata!V11&gt;=-180,Metadata!V11&lt;=180))</f>
        <v>0</v>
      </c>
      <c r="BJ12" t="b">
        <f>AND(IF(Metadata!W11="",FALSE,TRUE),EXACT(Metadata!W11,"Decimal degrees"))</f>
        <v>1</v>
      </c>
      <c r="BK12" t="b">
        <f>IF(Metadata!X11="",FALSE,TRUE)</f>
        <v>1</v>
      </c>
      <c r="BL12" t="b">
        <f>OR(AND(IF(Metadata!Y11="",FALSE,TRUE),OR(EXACT(Metadata!Y11,"not collected"),EXACT(Metadata!Y11,"not provided"),EXACT(Metadata!Y11,"restricted access"))),AND(IF(Metadata!Y11="",FALSE,TRUE),OR(EXACT(Metadata!Y11,"TRUE"),EXACT(Metadata!Y11,"FALSE"))))</f>
        <v>1</v>
      </c>
      <c r="BM12" t="b">
        <f>OR(AND(IF(Metadata!Z11="",FALSE,TRUE),EXACT(Metadata!Z11,"not applicable")),AND(IF(Metadata!Z11="",FALSE,TRUE),OR(EXACT(Metadata!Z11,"beer"),EXACT(Metadata!Z11,"cheese"),EXACT(Metadata!Z11,"fresh water"),EXACT(Metadata!Z11,"marine sediment"),EXACT(Metadata!Z11,"sea water"),EXACT(Metadata!Z11,"sediment"),EXACT(Metadata!Z11,"soil"),EXACT(Metadata!Z11,"waste water"))))</f>
        <v>1</v>
      </c>
      <c r="BN12" t="b">
        <f>AND(IF(Metadata!AA11="",FALSE,TRUE),EXACT(Metadata!AA11,"metagenome"))</f>
        <v>1</v>
      </c>
      <c r="BO12" t="b">
        <f>AND(IF(Metadata!AB11="",FALSE,TRUE),EXACT(Metadata!AB11,"256318"))</f>
        <v>1</v>
      </c>
      <c r="BP12" t="b">
        <f>IF(Metadata!AC11="",FALSE,TRUE)</f>
        <v>1</v>
      </c>
      <c r="BQ12" t="b">
        <f>IF(Metadata!AD11="",FALSE,TRUE)</f>
        <v>1</v>
      </c>
    </row>
    <row r="13" spans="1:69" x14ac:dyDescent="0.2">
      <c r="A13" s="4" t="e">
        <f ca="1">IF(B13=" "," ",HYPERLINK(CONCATENATE("#metadata!",ADDRESS(INDEX($AJ$2:$AJ$1001,MATCH(ROWS($AH$2:AH13),$AH$2:$AH$1001,0),0),2)),INDEX($AM$2:$AM$1001,MATCH(ROWS($AH$2:AH13),$AH$2:$AH$1001,0),0)))</f>
        <v>#N/A</v>
      </c>
      <c r="B13" s="5" t="e">
        <f ca="1">IF(OR(INDEX($AI$2:$AI$1001,MATCH(ROWS($AH$2:AH13),$AH$2:$AH$1001,0),1)&gt;=100000,INDEX($AO$1005:$BQ$1005,1,MATCH(COLUMNS($AO$1006:AO1006),$AO$1006:$BQ$1006,0))&gt;=100000), " ",IF(INDEX($AO$2:$BQ$1001,MATCH(ROWS($AH$2:AH13),$AH$2:$AH$1001,0),MATCH(COLUMNS($AO$1006:AO1006),$AO$1006:$BQ$1006,0)), HYPERLINK("#",""), HYPERLINK(CONCATENATE("#Metadata!", ADDRESS(INDEX($AJ$2:$AJ$1001,MATCH(ROWS($AH$2:AH13),$AH$2:$AH$1001,0),0), INDEX($AO$1004:$BQ$1004,1,MATCH(COLUMNS($AO$1006:AO1006),$AO$1006:$BQ$1006,0)))),"Fix")))</f>
        <v>#N/A</v>
      </c>
      <c r="C13" s="5" t="e">
        <f ca="1">IF(OR(INDEX($AI$2:$AI$1001,MATCH(ROWS($AH$2:AH13),$AH$2:$AH$1001,0),1)&gt;=100000,INDEX($AO$1005:$BQ$1005,1,MATCH(COLUMNS($AO$1006:AP1006),$AO$1006:$BQ$1006,0))&gt;=100000), " ",IF(INDEX($AO$2:$BQ$1001,MATCH(ROWS($AH$2:AH13),$AH$2:$AH$1001,0),MATCH(COLUMNS($AO$1006:AP1006),$AO$1006:$BQ$1006,0)), HYPERLINK("#",""), HYPERLINK(CONCATENATE("#Metadata!", ADDRESS(INDEX($AJ$2:$AJ$1001,MATCH(ROWS($AH$2:AH13),$AH$2:$AH$1001,0),0), INDEX($AO$1004:$BQ$1004,1,MATCH(COLUMNS($AO$1006:AP1006),$AO$1006:$BQ$1006,0)))),"Fix")))</f>
        <v>#N/A</v>
      </c>
      <c r="D13" s="5" t="e">
        <f ca="1">IF(OR(INDEX($AI$2:$AI$1001,MATCH(ROWS($AH$2:AH13),$AH$2:$AH$1001,0),1)&gt;=100000,INDEX($AO$1005:$BQ$1005,1,MATCH(COLUMNS($AO$1006:AQ1006),$AO$1006:$BQ$1006,0))&gt;=100000), " ",IF(INDEX($AO$2:$BQ$1001,MATCH(ROWS($AH$2:AH13),$AH$2:$AH$1001,0),MATCH(COLUMNS($AO$1006:AQ1006),$AO$1006:$BQ$1006,0)), HYPERLINK("#",""), HYPERLINK(CONCATENATE("#Metadata!", ADDRESS(INDEX($AJ$2:$AJ$1001,MATCH(ROWS($AH$2:AH13),$AH$2:$AH$1001,0),0), INDEX($AO$1004:$BQ$1004,1,MATCH(COLUMNS($AO$1006:AQ1006),$AO$1006:$BQ$1006,0)))),"Fix")))</f>
        <v>#N/A</v>
      </c>
      <c r="E13" s="5" t="e">
        <f ca="1">IF(OR(INDEX($AI$2:$AI$1001,MATCH(ROWS($AH$2:AH13),$AH$2:$AH$1001,0),1)&gt;=100000,INDEX($AO$1005:$BQ$1005,1,MATCH(COLUMNS($AO$1006:AR1006),$AO$1006:$BQ$1006,0))&gt;=100000), " ",IF(INDEX($AO$2:$BQ$1001,MATCH(ROWS($AH$2:AH13),$AH$2:$AH$1001,0),MATCH(COLUMNS($AO$1006:AR1006),$AO$1006:$BQ$1006,0)), HYPERLINK("#",""), HYPERLINK(CONCATENATE("#Metadata!", ADDRESS(INDEX($AJ$2:$AJ$1001,MATCH(ROWS($AH$2:AH13),$AH$2:$AH$1001,0),0), INDEX($AO$1004:$BQ$1004,1,MATCH(COLUMNS($AO$1006:AR1006),$AO$1006:$BQ$1006,0)))),"Fix")))</f>
        <v>#N/A</v>
      </c>
      <c r="F13" s="5" t="e">
        <f ca="1">IF(OR(INDEX($AI$2:$AI$1001,MATCH(ROWS($AH$2:AH13),$AH$2:$AH$1001,0),1)&gt;=100000,INDEX($AO$1005:$BQ$1005,1,MATCH(COLUMNS($AO$1006:AS1006),$AO$1006:$BQ$1006,0))&gt;=100000), " ",IF(INDEX($AO$2:$BQ$1001,MATCH(ROWS($AH$2:AH13),$AH$2:$AH$1001,0),MATCH(COLUMNS($AO$1006:AS1006),$AO$1006:$BQ$1006,0)), HYPERLINK("#",""), HYPERLINK(CONCATENATE("#Metadata!", ADDRESS(INDEX($AJ$2:$AJ$1001,MATCH(ROWS($AH$2:AH13),$AH$2:$AH$1001,0),0), INDEX($AO$1004:$BQ$1004,1,MATCH(COLUMNS($AO$1006:AS1006),$AO$1006:$BQ$1006,0)))),"Fix")))</f>
        <v>#N/A</v>
      </c>
      <c r="G13" s="5" t="e">
        <f ca="1">IF(OR(INDEX($AI$2:$AI$1001,MATCH(ROWS($AH$2:AH13),$AH$2:$AH$1001,0),1)&gt;=100000,INDEX($AO$1005:$BQ$1005,1,MATCH(COLUMNS($AO$1006:AT1006),$AO$1006:$BQ$1006,0))&gt;=100000), " ",IF(INDEX($AO$2:$BQ$1001,MATCH(ROWS($AH$2:AH13),$AH$2:$AH$1001,0),MATCH(COLUMNS($AO$1006:AT1006),$AO$1006:$BQ$1006,0)), HYPERLINK("#",""), HYPERLINK(CONCATENATE("#Metadata!", ADDRESS(INDEX($AJ$2:$AJ$1001,MATCH(ROWS($AH$2:AH13),$AH$2:$AH$1001,0),0), INDEX($AO$1004:$BQ$1004,1,MATCH(COLUMNS($AO$1006:AT1006),$AO$1006:$BQ$1006,0)))),"Fix")))</f>
        <v>#N/A</v>
      </c>
      <c r="H13" s="5" t="e">
        <f ca="1">IF(OR(INDEX($AI$2:$AI$1001,MATCH(ROWS($AH$2:AH13),$AH$2:$AH$1001,0),1)&gt;=100000,INDEX($AO$1005:$BQ$1005,1,MATCH(COLUMNS($AO$1006:AU1006),$AO$1006:$BQ$1006,0))&gt;=100000), " ",IF(INDEX($AO$2:$BQ$1001,MATCH(ROWS($AH$2:AH13),$AH$2:$AH$1001,0),MATCH(COLUMNS($AO$1006:AU1006),$AO$1006:$BQ$1006,0)), HYPERLINK("#",""), HYPERLINK(CONCATENATE("#Metadata!", ADDRESS(INDEX($AJ$2:$AJ$1001,MATCH(ROWS($AH$2:AH13),$AH$2:$AH$1001,0),0), INDEX($AO$1004:$BQ$1004,1,MATCH(COLUMNS($AO$1006:AU1006),$AO$1006:$BQ$1006,0)))),"Fix")))</f>
        <v>#N/A</v>
      </c>
      <c r="I13" s="5" t="e">
        <f ca="1">IF(OR(INDEX($AI$2:$AI$1001,MATCH(ROWS($AH$2:AH13),$AH$2:$AH$1001,0),1)&gt;=100000,INDEX($AO$1005:$BQ$1005,1,MATCH(COLUMNS($AO$1006:AV1006),$AO$1006:$BQ$1006,0))&gt;=100000), " ",IF(INDEX($AO$2:$BQ$1001,MATCH(ROWS($AH$2:AH13),$AH$2:$AH$1001,0),MATCH(COLUMNS($AO$1006:AV1006),$AO$1006:$BQ$1006,0)), HYPERLINK("#",""), HYPERLINK(CONCATENATE("#Metadata!", ADDRESS(INDEX($AJ$2:$AJ$1001,MATCH(ROWS($AH$2:AH13),$AH$2:$AH$1001,0),0), INDEX($AO$1004:$BQ$1004,1,MATCH(COLUMNS($AO$1006:AV1006),$AO$1006:$BQ$1006,0)))),"Fix")))</f>
        <v>#N/A</v>
      </c>
      <c r="J13" s="5" t="e">
        <f ca="1">IF(OR(INDEX($AI$2:$AI$1001,MATCH(ROWS($AH$2:AH13),$AH$2:$AH$1001,0),1)&gt;=100000,INDEX($AO$1005:$BQ$1005,1,MATCH(COLUMNS($AO$1006:AW1006),$AO$1006:$BQ$1006,0))&gt;=100000), " ",IF(INDEX($AO$2:$BQ$1001,MATCH(ROWS($AH$2:AH13),$AH$2:$AH$1001,0),MATCH(COLUMNS($AO$1006:AW1006),$AO$1006:$BQ$1006,0)), HYPERLINK("#",""), HYPERLINK(CONCATENATE("#Metadata!", ADDRESS(INDEX($AJ$2:$AJ$1001,MATCH(ROWS($AH$2:AH13),$AH$2:$AH$1001,0),0), INDEX($AO$1004:$BQ$1004,1,MATCH(COLUMNS($AO$1006:AW1006),$AO$1006:$BQ$1006,0)))),"Fix")))</f>
        <v>#N/A</v>
      </c>
      <c r="K13" s="5" t="e">
        <f ca="1">IF(OR(INDEX($AI$2:$AI$1001,MATCH(ROWS($AH$2:AH13),$AH$2:$AH$1001,0),1)&gt;=100000,INDEX($AO$1005:$BQ$1005,1,MATCH(COLUMNS($AO$1006:AX1006),$AO$1006:$BQ$1006,0))&gt;=100000), " ",IF(INDEX($AO$2:$BQ$1001,MATCH(ROWS($AH$2:AH13),$AH$2:$AH$1001,0),MATCH(COLUMNS($AO$1006:AX1006),$AO$1006:$BQ$1006,0)), HYPERLINK("#",""), HYPERLINK(CONCATENATE("#Metadata!", ADDRESS(INDEX($AJ$2:$AJ$1001,MATCH(ROWS($AH$2:AH13),$AH$2:$AH$1001,0),0), INDEX($AO$1004:$BQ$1004,1,MATCH(COLUMNS($AO$1006:AX1006),$AO$1006:$BQ$1006,0)))),"Fix")))</f>
        <v>#N/A</v>
      </c>
      <c r="L13" s="5" t="e">
        <f ca="1">IF(OR(INDEX($AI$2:$AI$1001,MATCH(ROWS($AH$2:AH13),$AH$2:$AH$1001,0),1)&gt;=100000,INDEX($AO$1005:$BQ$1005,1,MATCH(COLUMNS($AO$1006:AY1006),$AO$1006:$BQ$1006,0))&gt;=100000), " ",IF(INDEX($AO$2:$BQ$1001,MATCH(ROWS($AH$2:AH13),$AH$2:$AH$1001,0),MATCH(COLUMNS($AO$1006:AY1006),$AO$1006:$BQ$1006,0)), HYPERLINK("#",""), HYPERLINK(CONCATENATE("#Metadata!", ADDRESS(INDEX($AJ$2:$AJ$1001,MATCH(ROWS($AH$2:AH13),$AH$2:$AH$1001,0),0), INDEX($AO$1004:$BQ$1004,1,MATCH(COLUMNS($AO$1006:AY1006),$AO$1006:$BQ$1006,0)))),"Fix")))</f>
        <v>#N/A</v>
      </c>
      <c r="M13" s="5" t="e">
        <f ca="1">IF(OR(INDEX($AI$2:$AI$1001,MATCH(ROWS($AH$2:AH13),$AH$2:$AH$1001,0),1)&gt;=100000,INDEX($AO$1005:$BQ$1005,1,MATCH(COLUMNS($AO$1006:AZ1006),$AO$1006:$BQ$1006,0))&gt;=100000), " ",IF(INDEX($AO$2:$BQ$1001,MATCH(ROWS($AH$2:AH13),$AH$2:$AH$1001,0),MATCH(COLUMNS($AO$1006:AZ1006),$AO$1006:$BQ$1006,0)), HYPERLINK("#",""), HYPERLINK(CONCATENATE("#Metadata!", ADDRESS(INDEX($AJ$2:$AJ$1001,MATCH(ROWS($AH$2:AH13),$AH$2:$AH$1001,0),0), INDEX($AO$1004:$BQ$1004,1,MATCH(COLUMNS($AO$1006:AZ1006),$AO$1006:$BQ$1006,0)))),"Fix")))</f>
        <v>#N/A</v>
      </c>
      <c r="N13" s="5" t="e">
        <f ca="1">IF(OR(INDEX($AI$2:$AI$1001,MATCH(ROWS($AH$2:AH13),$AH$2:$AH$1001,0),1)&gt;=100000,INDEX($AO$1005:$BQ$1005,1,MATCH(COLUMNS($AO$1006:BA1006),$AO$1006:$BQ$1006,0))&gt;=100000), " ",IF(INDEX($AO$2:$BQ$1001,MATCH(ROWS($AH$2:AH13),$AH$2:$AH$1001,0),MATCH(COLUMNS($AO$1006:BA1006),$AO$1006:$BQ$1006,0)), HYPERLINK("#",""), HYPERLINK(CONCATENATE("#Metadata!", ADDRESS(INDEX($AJ$2:$AJ$1001,MATCH(ROWS($AH$2:AH13),$AH$2:$AH$1001,0),0), INDEX($AO$1004:$BQ$1004,1,MATCH(COLUMNS($AO$1006:BA1006),$AO$1006:$BQ$1006,0)))),"Fix")))</f>
        <v>#N/A</v>
      </c>
      <c r="O13" s="5" t="e">
        <f ca="1">IF(OR(INDEX($AI$2:$AI$1001,MATCH(ROWS($AH$2:AH13),$AH$2:$AH$1001,0),1)&gt;=100000,INDEX($AO$1005:$BQ$1005,1,MATCH(COLUMNS($AO$1006:BB1006),$AO$1006:$BQ$1006,0))&gt;=100000), " ",IF(INDEX($AO$2:$BQ$1001,MATCH(ROWS($AH$2:AH13),$AH$2:$AH$1001,0),MATCH(COLUMNS($AO$1006:BB1006),$AO$1006:$BQ$1006,0)), HYPERLINK("#",""), HYPERLINK(CONCATENATE("#Metadata!", ADDRESS(INDEX($AJ$2:$AJ$1001,MATCH(ROWS($AH$2:AH13),$AH$2:$AH$1001,0),0), INDEX($AO$1004:$BQ$1004,1,MATCH(COLUMNS($AO$1006:BB1006),$AO$1006:$BQ$1006,0)))),"Fix")))</f>
        <v>#N/A</v>
      </c>
      <c r="P13" s="5" t="e">
        <f ca="1">IF(OR(INDEX($AI$2:$AI$1001,MATCH(ROWS($AH$2:AH13),$AH$2:$AH$1001,0),1)&gt;=100000,INDEX($AO$1005:$BQ$1005,1,MATCH(COLUMNS($AO$1006:BC1006),$AO$1006:$BQ$1006,0))&gt;=100000), " ",IF(INDEX($AO$2:$BQ$1001,MATCH(ROWS($AH$2:AH13),$AH$2:$AH$1001,0),MATCH(COLUMNS($AO$1006:BC1006),$AO$1006:$BQ$1006,0)), HYPERLINK("#",""), HYPERLINK(CONCATENATE("#Metadata!", ADDRESS(INDEX($AJ$2:$AJ$1001,MATCH(ROWS($AH$2:AH13),$AH$2:$AH$1001,0),0), INDEX($AO$1004:$BQ$1004,1,MATCH(COLUMNS($AO$1006:BC1006),$AO$1006:$BQ$1006,0)))),"Fix")))</f>
        <v>#N/A</v>
      </c>
      <c r="Q13" s="5" t="e">
        <f ca="1">IF(OR(INDEX($AI$2:$AI$1001,MATCH(ROWS($AH$2:AH13),$AH$2:$AH$1001,0),1)&gt;=100000,INDEX($AO$1005:$BQ$1005,1,MATCH(COLUMNS($AO$1006:BD1006),$AO$1006:$BQ$1006,0))&gt;=100000), " ",IF(INDEX($AO$2:$BQ$1001,MATCH(ROWS($AH$2:AH13),$AH$2:$AH$1001,0),MATCH(COLUMNS($AO$1006:BD1006),$AO$1006:$BQ$1006,0)), HYPERLINK("#",""), HYPERLINK(CONCATENATE("#Metadata!", ADDRESS(INDEX($AJ$2:$AJ$1001,MATCH(ROWS($AH$2:AH13),$AH$2:$AH$1001,0),0), INDEX($AO$1004:$BQ$1004,1,MATCH(COLUMNS($AO$1006:BD1006),$AO$1006:$BQ$1006,0)))),"Fix")))</f>
        <v>#N/A</v>
      </c>
      <c r="R13" s="5" t="e">
        <f ca="1">IF(OR(INDEX($AI$2:$AI$1001,MATCH(ROWS($AH$2:AH13),$AH$2:$AH$1001,0),1)&gt;=100000,INDEX($AO$1005:$BQ$1005,1,MATCH(COLUMNS($AO$1006:BE1006),$AO$1006:$BQ$1006,0))&gt;=100000), " ",IF(INDEX($AO$2:$BQ$1001,MATCH(ROWS($AH$2:AH13),$AH$2:$AH$1001,0),MATCH(COLUMNS($AO$1006:BE1006),$AO$1006:$BQ$1006,0)), HYPERLINK("#",""), HYPERLINK(CONCATENATE("#Metadata!", ADDRESS(INDEX($AJ$2:$AJ$1001,MATCH(ROWS($AH$2:AH13),$AH$2:$AH$1001,0),0), INDEX($AO$1004:$BQ$1004,1,MATCH(COLUMNS($AO$1006:BE1006),$AO$1006:$BQ$1006,0)))),"Fix")))</f>
        <v>#N/A</v>
      </c>
      <c r="S13" s="5" t="e">
        <f ca="1">IF(OR(INDEX($AI$2:$AI$1001,MATCH(ROWS($AH$2:AH13),$AH$2:$AH$1001,0),1)&gt;=100000,INDEX($AO$1005:$BQ$1005,1,MATCH(COLUMNS($AO$1006:BF1006),$AO$1006:$BQ$1006,0))&gt;=100000), " ",IF(INDEX($AO$2:$BQ$1001,MATCH(ROWS($AH$2:AH13),$AH$2:$AH$1001,0),MATCH(COLUMNS($AO$1006:BF1006),$AO$1006:$BQ$1006,0)), HYPERLINK("#",""), HYPERLINK(CONCATENATE("#Metadata!", ADDRESS(INDEX($AJ$2:$AJ$1001,MATCH(ROWS($AH$2:AH13),$AH$2:$AH$1001,0),0), INDEX($AO$1004:$BQ$1004,1,MATCH(COLUMNS($AO$1006:BF1006),$AO$1006:$BQ$1006,0)))),"Fix")))</f>
        <v>#N/A</v>
      </c>
      <c r="T13" s="5" t="e">
        <f ca="1">IF(OR(INDEX($AI$2:$AI$1001,MATCH(ROWS($AH$2:AH13),$AH$2:$AH$1001,0),1)&gt;=100000,INDEX($AO$1005:$BQ$1005,1,MATCH(COLUMNS($AO$1006:BG1006),$AO$1006:$BQ$1006,0))&gt;=100000), " ",IF(INDEX($AO$2:$BQ$1001,MATCH(ROWS($AH$2:AH13),$AH$2:$AH$1001,0),MATCH(COLUMNS($AO$1006:BG1006),$AO$1006:$BQ$1006,0)), HYPERLINK("#",""), HYPERLINK(CONCATENATE("#Metadata!", ADDRESS(INDEX($AJ$2:$AJ$1001,MATCH(ROWS($AH$2:AH13),$AH$2:$AH$1001,0),0), INDEX($AO$1004:$BQ$1004,1,MATCH(COLUMNS($AO$1006:BG1006),$AO$1006:$BQ$1006,0)))),"Fix")))</f>
        <v>#N/A</v>
      </c>
      <c r="U13" s="5" t="e">
        <f ca="1">IF(OR(INDEX($AI$2:$AI$1001,MATCH(ROWS($AH$2:AH13),$AH$2:$AH$1001,0),1)&gt;=100000,INDEX($AO$1005:$BQ$1005,1,MATCH(COLUMNS($AO$1006:BH1006),$AO$1006:$BQ$1006,0))&gt;=100000), " ",IF(INDEX($AO$2:$BQ$1001,MATCH(ROWS($AH$2:AH13),$AH$2:$AH$1001,0),MATCH(COLUMNS($AO$1006:BH1006),$AO$1006:$BQ$1006,0)), HYPERLINK("#",""), HYPERLINK(CONCATENATE("#Metadata!", ADDRESS(INDEX($AJ$2:$AJ$1001,MATCH(ROWS($AH$2:AH13),$AH$2:$AH$1001,0),0), INDEX($AO$1004:$BQ$1004,1,MATCH(COLUMNS($AO$1006:BH1006),$AO$1006:$BQ$1006,0)))),"Fix")))</f>
        <v>#N/A</v>
      </c>
      <c r="V13" s="5" t="e">
        <f ca="1">IF(OR(INDEX($AI$2:$AI$1001,MATCH(ROWS($AH$2:AH13),$AH$2:$AH$1001,0),1)&gt;=100000,INDEX($AO$1005:$BQ$1005,1,MATCH(COLUMNS($AO$1006:BI1006),$AO$1006:$BQ$1006,0))&gt;=100000), " ",IF(INDEX($AO$2:$BQ$1001,MATCH(ROWS($AH$2:AH13),$AH$2:$AH$1001,0),MATCH(COLUMNS($AO$1006:BI1006),$AO$1006:$BQ$1006,0)), HYPERLINK("#",""), HYPERLINK(CONCATENATE("#Metadata!", ADDRESS(INDEX($AJ$2:$AJ$1001,MATCH(ROWS($AH$2:AH13),$AH$2:$AH$1001,0),0), INDEX($AO$1004:$BQ$1004,1,MATCH(COLUMNS($AO$1006:BI1006),$AO$1006:$BQ$1006,0)))),"Fix")))</f>
        <v>#N/A</v>
      </c>
      <c r="W13" s="5" t="e">
        <f ca="1">IF(OR(INDEX($AI$2:$AI$1001,MATCH(ROWS($AH$2:AH13),$AH$2:$AH$1001,0),1)&gt;=100000,INDEX($AO$1005:$BQ$1005,1,MATCH(COLUMNS($AO$1006:BJ1006),$AO$1006:$BQ$1006,0))&gt;=100000), " ",IF(INDEX($AO$2:$BQ$1001,MATCH(ROWS($AH$2:AH13),$AH$2:$AH$1001,0),MATCH(COLUMNS($AO$1006:BJ1006),$AO$1006:$BQ$1006,0)), HYPERLINK("#",""), HYPERLINK(CONCATENATE("#Metadata!", ADDRESS(INDEX($AJ$2:$AJ$1001,MATCH(ROWS($AH$2:AH13),$AH$2:$AH$1001,0),0), INDEX($AO$1004:$BQ$1004,1,MATCH(COLUMNS($AO$1006:BJ1006),$AO$1006:$BQ$1006,0)))),"Fix")))</f>
        <v>#N/A</v>
      </c>
      <c r="X13" s="5" t="e">
        <f ca="1">IF(OR(INDEX($AI$2:$AI$1001,MATCH(ROWS($AH$2:AH13),$AH$2:$AH$1001,0),1)&gt;=100000,INDEX($AO$1005:$BQ$1005,1,MATCH(COLUMNS($AO$1006:BK1006),$AO$1006:$BQ$1006,0))&gt;=100000), " ",IF(INDEX($AO$2:$BQ$1001,MATCH(ROWS($AH$2:AH13),$AH$2:$AH$1001,0),MATCH(COLUMNS($AO$1006:BK1006),$AO$1006:$BQ$1006,0)), HYPERLINK("#",""), HYPERLINK(CONCATENATE("#Metadata!", ADDRESS(INDEX($AJ$2:$AJ$1001,MATCH(ROWS($AH$2:AH13),$AH$2:$AH$1001,0),0), INDEX($AO$1004:$BQ$1004,1,MATCH(COLUMNS($AO$1006:BK1006),$AO$1006:$BQ$1006,0)))),"Fix")))</f>
        <v>#N/A</v>
      </c>
      <c r="Y13" s="5" t="e">
        <f ca="1">IF(OR(INDEX($AI$2:$AI$1001,MATCH(ROWS($AH$2:AH13),$AH$2:$AH$1001,0),1)&gt;=100000,INDEX($AO$1005:$BQ$1005,1,MATCH(COLUMNS($AO$1006:BL1006),$AO$1006:$BQ$1006,0))&gt;=100000), " ",IF(INDEX($AO$2:$BQ$1001,MATCH(ROWS($AH$2:AH13),$AH$2:$AH$1001,0),MATCH(COLUMNS($AO$1006:BL1006),$AO$1006:$BQ$1006,0)), HYPERLINK("#",""), HYPERLINK(CONCATENATE("#Metadata!", ADDRESS(INDEX($AJ$2:$AJ$1001,MATCH(ROWS($AH$2:AH13),$AH$2:$AH$1001,0),0), INDEX($AO$1004:$BQ$1004,1,MATCH(COLUMNS($AO$1006:BL1006),$AO$1006:$BQ$1006,0)))),"Fix")))</f>
        <v>#N/A</v>
      </c>
      <c r="Z13" s="5" t="e">
        <f ca="1">IF(OR(INDEX($AI$2:$AI$1001,MATCH(ROWS($AH$2:AH13),$AH$2:$AH$1001,0),1)&gt;=100000,INDEX($AO$1005:$BQ$1005,1,MATCH(COLUMNS($AO$1006:BM1006),$AO$1006:$BQ$1006,0))&gt;=100000), " ",IF(INDEX($AO$2:$BQ$1001,MATCH(ROWS($AH$2:AH13),$AH$2:$AH$1001,0),MATCH(COLUMNS($AO$1006:BM1006),$AO$1006:$BQ$1006,0)), HYPERLINK("#",""), HYPERLINK(CONCATENATE("#Metadata!", ADDRESS(INDEX($AJ$2:$AJ$1001,MATCH(ROWS($AH$2:AH13),$AH$2:$AH$1001,0),0), INDEX($AO$1004:$BQ$1004,1,MATCH(COLUMNS($AO$1006:BM1006),$AO$1006:$BQ$1006,0)))),"Fix")))</f>
        <v>#N/A</v>
      </c>
      <c r="AA13" s="5" t="e">
        <f ca="1">IF(OR(INDEX($AI$2:$AI$1001,MATCH(ROWS($AH$2:AH13),$AH$2:$AH$1001,0),1)&gt;=100000,INDEX($AO$1005:$BQ$1005,1,MATCH(COLUMNS($AO$1006:BN1006),$AO$1006:$BQ$1006,0))&gt;=100000), " ",IF(INDEX($AO$2:$BQ$1001,MATCH(ROWS($AH$2:AH13),$AH$2:$AH$1001,0),MATCH(COLUMNS($AO$1006:BN1006),$AO$1006:$BQ$1006,0)), HYPERLINK("#",""), HYPERLINK(CONCATENATE("#Metadata!", ADDRESS(INDEX($AJ$2:$AJ$1001,MATCH(ROWS($AH$2:AH13),$AH$2:$AH$1001,0),0), INDEX($AO$1004:$BQ$1004,1,MATCH(COLUMNS($AO$1006:BN1006),$AO$1006:$BQ$1006,0)))),"Fix")))</f>
        <v>#N/A</v>
      </c>
      <c r="AB13" s="5" t="e">
        <f ca="1">IF(OR(INDEX($AI$2:$AI$1001,MATCH(ROWS($AH$2:AH13),$AH$2:$AH$1001,0),1)&gt;=100000,INDEX($AO$1005:$BQ$1005,1,MATCH(COLUMNS($AO$1006:BO1006),$AO$1006:$BQ$1006,0))&gt;=100000), " ",IF(INDEX($AO$2:$BQ$1001,MATCH(ROWS($AH$2:AH13),$AH$2:$AH$1001,0),MATCH(COLUMNS($AO$1006:BO1006),$AO$1006:$BQ$1006,0)), HYPERLINK("#",""), HYPERLINK(CONCATENATE("#Metadata!", ADDRESS(INDEX($AJ$2:$AJ$1001,MATCH(ROWS($AH$2:AH13),$AH$2:$AH$1001,0),0), INDEX($AO$1004:$BQ$1004,1,MATCH(COLUMNS($AO$1006:BO1006),$AO$1006:$BQ$1006,0)))),"Fix")))</f>
        <v>#N/A</v>
      </c>
      <c r="AC13" s="5" t="e">
        <f ca="1">IF(OR(INDEX($AI$2:$AI$1001,MATCH(ROWS($AH$2:AH13),$AH$2:$AH$1001,0),1)&gt;=100000,INDEX($AO$1005:$BQ$1005,1,MATCH(COLUMNS($AO$1006:BP1006),$AO$1006:$BQ$1006,0))&gt;=100000), " ",IF(INDEX($AO$2:$BQ$1001,MATCH(ROWS($AH$2:AH13),$AH$2:$AH$1001,0),MATCH(COLUMNS($AO$1006:BP1006),$AO$1006:$BQ$1006,0)), HYPERLINK("#",""), HYPERLINK(CONCATENATE("#Metadata!", ADDRESS(INDEX($AJ$2:$AJ$1001,MATCH(ROWS($AH$2:AH13),$AH$2:$AH$1001,0),0), INDEX($AO$1004:$BQ$1004,1,MATCH(COLUMNS($AO$1006:BP1006),$AO$1006:$BQ$1006,0)))),"Fix")))</f>
        <v>#N/A</v>
      </c>
      <c r="AD13" s="5" t="e">
        <f ca="1">IF(OR(INDEX($AI$2:$AI$1001,MATCH(ROWS($AH$2:AH13),$AH$2:$AH$1001,0),1)&gt;=100000,INDEX($AO$1005:$BQ$1005,1,MATCH(COLUMNS($AO$1006:BQ1006),$AO$1006:$BQ$1006,0))&gt;=100000), " ",IF(INDEX($AO$2:$BQ$1001,MATCH(ROWS($AH$2:AH13),$AH$2:$AH$1001,0),MATCH(COLUMNS($AO$1006:BQ1006),$AO$1006:$BQ$1006,0)), HYPERLINK("#",""), HYPERLINK(CONCATENATE("#Metadata!", ADDRESS(INDEX($AJ$2:$AJ$1001,MATCH(ROWS($AH$2:AH13),$AH$2:$AH$1001,0),0), INDEX($AO$1004:$BQ$1004,1,MATCH(COLUMNS($AO$1006:BQ1006),$AO$1006:$BQ$1006,0)))),"Fix")))</f>
        <v>#REF!</v>
      </c>
      <c r="AH13">
        <f ca="1"/>
        <v>11</v>
      </c>
      <c r="AI13">
        <f ca="1"/>
        <v>13</v>
      </c>
      <c r="AJ13">
        <v>13</v>
      </c>
      <c r="AK13" t="b">
        <f t="shared" ca="1" si="0"/>
        <v>0</v>
      </c>
      <c r="AL13" t="b">
        <f>COUNTBLANK(Metadata!B13:AD13)=COLUMNS(Metadata!B13:AD13)</f>
        <v>0</v>
      </c>
      <c r="AM13" t="str">
        <v>Environment.Sediment.BTP.121Side.2</v>
      </c>
      <c r="AO13" t="b">
        <f ca="1">AND(IF(Metadata!B12="",FALSE,TRUE),COUNTIF(Metadata!B:B, Metadata!B12) = 1,NOT(ISERROR(SUMPRODUCT(SEARCH(MID(Metadata!B12,ROW(INDIRECT("1:"&amp;LEN(Metadata!B12))), 1),"0123456789abcdefghijklmnopqrstuvwxyzABCDEFGHIJKLMNOPQRSTUVWXYZ.")))))</f>
        <v>1</v>
      </c>
      <c r="AP13" t="b">
        <f>IF(Metadata!C12="",FALSE,TRUE)</f>
        <v>1</v>
      </c>
      <c r="AQ13" t="b">
        <f>IF(Metadata!D12="",FALSE,TRUE)</f>
        <v>1</v>
      </c>
      <c r="AR13" t="b">
        <f ca="1">OR(AND(IF(Metadata!E12="",FALSE,TRUE),OR(EXACT(Metadata!E12,"not collected"),EXACT(Metadata!E12,"not provided"),EXACT(Metadata!E12,"restricted access"))),AND(IF(Metadata!E12="",FALSE,TRUE),AND(AND(IFERROR(INT(LEFT(Metadata!E12,4))&gt;1900,FALSE),IFERROR(INT(LEFT(Metadata!E12,4))&lt;=YEAR(NOW()),FALSE)), OR(MID(Metadata!E12,5,1)="", AND(AND(MID(Metadata!E12,5,1)="-",IFERROR(INT(MID(Metadata!E12,6,1))&gt;=0,FALSE),IFERROR(INT(MID(Metadata!E12,6,1))&lt;=1,FALSE),NOT(MID(Metadata!E12,7,1)=""),IFERROR(INT(MID(Metadata!E12,6,2))&gt;=1,FALSE),IFERROR(INT(MID(Metadata!E12,6,2))&lt;=12,FALSE)), OR(MID(Metadata!E12,8,1)="", AND(AND(MID(Metadata!E12,8,1)="-",IFERROR(INT(MID(Metadata!E12,9,1))&gt;=0,FALSE),IFERROR(INT(MID(Metadata!E12,9,1))&lt;=3,FALSE),NOT(MID(Metadata!E12,10,1)=""),IFERROR(INT(MID(Metadata!E12,9,2))&gt;=1,FALSE),IFERROR(INT(MID(Metadata!E12,9,2))&lt;=31,FALSE)), OR(MID(Metadata!E12,11,1)="", AND(AND(MID(Metadata!E12,11,1)=" ",IFERROR(INT(MID(Metadata!E12,12,1))&gt;=0,FALSE),IFERROR(INT(MID(Metadata!E12,12,1))&lt;=2,FALSE),NOT(MID(Metadata!E12,13,1)=""),IFERROR(INT(MID(Metadata!E12,12,2))&gt;=0,FALSE),IFERROR(INT(MID(Metadata!E12,12,2))&lt;=23,FALSE)), OR(MID(Metadata!E12,14,1)="", AND(AND(MID(Metadata!E12,14,1)=":",IFERROR(INT(MID(Metadata!E12,15,1))&gt;=0,FALSE),IFERROR(INT(MID(Metadata!E12,15,1))&lt;=5,FALSE),NOT(MID(Metadata!E12,16,1)=""),IFERROR(INT(MID(Metadata!E12,15,2))&gt;=0,FALSE),IFERROR(INT(MID(Metadata!E12,15,2))&lt;=59,FALSE)), OR(MID(Metadata!E12,17,1)="", AND(AND(MID(Metadata!E12,17,1)=":",IFERROR(INT(MID(Metadata!E12,18,1))&gt;=0,FALSE),IFERROR(INT(MID(Metadata!E12,18,1))&lt;=5,FALSE),NOT(MID(Metadata!E12,19,1)=""),IFERROR(INT(MID(Metadata!E12,18,2))&gt;=0,FALSE),IFERROR(INT(MID(Metadata!E12,18,2))&lt;=59,FALSE)), LEN(Metadata!E12)&lt;=19)))))))))))))</f>
        <v>0</v>
      </c>
      <c r="AS13" t="b">
        <f>IF(Metadata!F12="",FALSE,TRUE)</f>
        <v>1</v>
      </c>
      <c r="AT13" t="b">
        <f>OR(AND(IF(Metadata!G12="",FALSE,TRUE),OR(EXACT(Metadata!G12,"not collected"),EXACT(Metadata!G12,"not provided"))),AND(IF(Metadata!G12="",FALSE,TRUE),OR(EXACT(Metadata!G12,"TRUE"),EXACT(Metadata!G12,"FALSE"))))</f>
        <v>1</v>
      </c>
      <c r="AU13" t="b">
        <f>OR(AND(IF(Metadata!H12="",FALSE,TRUE),OR(EXACT(Metadata!H12,"not collected"),EXACT(Metadata!H12,"not provided"),EXACT(Metadata!H12,"restricted access"))),AND(IF(Metadata!H12="",FALSE,ISNUMBER(VALUE(Metadata!H12))),Metadata!H12&gt;=-413))</f>
        <v>0</v>
      </c>
      <c r="AV13" t="b">
        <f>AND(IF(Metadata!I12="",FALSE,TRUE),EXACT(Metadata!I12,"meters"))</f>
        <v>1</v>
      </c>
      <c r="AW13" t="b">
        <f>AND(IF(Metadata!J12="",FALSE,TRUE),EXACT(Metadata!J12,"free-living"))</f>
        <v>1</v>
      </c>
      <c r="AX13" t="b">
        <f>AND(IF(Metadata!K12="",FALSE,TRUE),OR(EXACT(Metadata!K12,"saline"),EXACT(Metadata!K12,"non-saline")))</f>
        <v>1</v>
      </c>
      <c r="AY13" t="b">
        <f>AND(IF(Metadata!L12="",FALSE,TRUE),OR(EXACT(Metadata!L12,"sub-surface (non-saline)"),EXACT(Metadata!L12,"surface (non-saline)"),EXACT(Metadata!L12,"water (non-saline)"),EXACT(Metadata!L12,"soil (non-saline)"),EXACT(Metadata!L12,"aerosol (non-saline)"),EXACT(Metadata!L12,"sediment (non-saline)"),EXACT(Metadata!L12,"surface (saline)"),EXACT(Metadata!L12,"water (saline)"),EXACT(Metadata!L12,"hypersaline (saline)"),EXACT(Metadata!L12,"aerosol (saline)"),EXACT(Metadata!L12,"sediment (saline)")))</f>
        <v>1</v>
      </c>
      <c r="AZ13" t="b">
        <f>IF(Metadata!M12="",FALSE,TRUE)</f>
        <v>1</v>
      </c>
      <c r="BA13" t="b">
        <f>IF(Metadata!N12="",FALSE,TRUE)</f>
        <v>1</v>
      </c>
      <c r="BB13" t="b">
        <f>IF(Metadata!O12="",FALSE,TRUE)</f>
        <v>1</v>
      </c>
      <c r="BC13" t="b">
        <f>AND(IF(Metadata!P12="",FALSE,TRUE),OR(EXACT(Metadata!P12,"air"),EXACT(Metadata!P12,"microbial mat/biofilm"),EXACT(Metadata!P12,"misc environment"),EXACT(Metadata!P12,"sediment"),EXACT(Metadata!P12,"soil"),EXACT(Metadata!P12,"wastewater/sludge"),EXACT(Metadata!P12,"water")))</f>
        <v>1</v>
      </c>
      <c r="BD13" t="b">
        <f>IF(Metadata!Q12="",FALSE,TRUE)</f>
        <v>1</v>
      </c>
      <c r="BE13" t="b">
        <f>IF(Metadata!R12="",FALSE,TRUE)</f>
        <v>1</v>
      </c>
      <c r="BF13" t="b">
        <f>OR(AND(IF(Metadata!S12="",FALSE,TRUE),OR(EXACT(Metadata!S12,"not collected"),EXACT(Metadata!S12,"not provided"),EXACT(Metadata!S12,"restricted access"))),AND(IF(Metadata!S12="",FALSE,ISNUMBER(VALUE(Metadata!S12))),Metadata!S12&gt;=-90,Metadata!S12&lt;=90))</f>
        <v>0</v>
      </c>
      <c r="BG13" t="b">
        <f>AND(IF(Metadata!T12="",FALSE,TRUE),EXACT(Metadata!T12,"Decimal degrees"))</f>
        <v>1</v>
      </c>
      <c r="BH13" t="b">
        <f>OR(AND(IF(Metadata!U13="",FALSE,TRUE),OR(EXACT(Metadata!U13,"not applicable"),EXACT(Metadata!U13,"not collected"))),IF(Metadata!U13="",FALSE,TRUE))</f>
        <v>1</v>
      </c>
      <c r="BI13" t="b">
        <f>OR(AND(IF(Metadata!V12="",FALSE,TRUE),OR(EXACT(Metadata!V12,"not collected"),EXACT(Metadata!V12,"not provided"),EXACT(Metadata!V12,"restricted access"))),AND(IF(Metadata!V12="",FALSE,ISNUMBER(VALUE(Metadata!V12))),Metadata!V12&gt;=-180,Metadata!V12&lt;=180))</f>
        <v>0</v>
      </c>
      <c r="BJ13" t="b">
        <f>AND(IF(Metadata!W12="",FALSE,TRUE),EXACT(Metadata!W12,"Decimal degrees"))</f>
        <v>1</v>
      </c>
      <c r="BK13" t="b">
        <f>IF(Metadata!X12="",FALSE,TRUE)</f>
        <v>1</v>
      </c>
      <c r="BL13" t="b">
        <f>OR(AND(IF(Metadata!Y12="",FALSE,TRUE),OR(EXACT(Metadata!Y12,"not collected"),EXACT(Metadata!Y12,"not provided"),EXACT(Metadata!Y12,"restricted access"))),AND(IF(Metadata!Y12="",FALSE,TRUE),OR(EXACT(Metadata!Y12,"TRUE"),EXACT(Metadata!Y12,"FALSE"))))</f>
        <v>1</v>
      </c>
      <c r="BM13" t="b">
        <f>OR(AND(IF(Metadata!Z12="",FALSE,TRUE),EXACT(Metadata!Z12,"not applicable")),AND(IF(Metadata!Z12="",FALSE,TRUE),OR(EXACT(Metadata!Z12,"beer"),EXACT(Metadata!Z12,"cheese"),EXACT(Metadata!Z12,"fresh water"),EXACT(Metadata!Z12,"marine sediment"),EXACT(Metadata!Z12,"sea water"),EXACT(Metadata!Z12,"sediment"),EXACT(Metadata!Z12,"soil"),EXACT(Metadata!Z12,"waste water"))))</f>
        <v>1</v>
      </c>
      <c r="BN13" t="b">
        <f>AND(IF(Metadata!AA12="",FALSE,TRUE),EXACT(Metadata!AA12,"metagenome"))</f>
        <v>1</v>
      </c>
      <c r="BO13" t="b">
        <f>AND(IF(Metadata!AB12="",FALSE,TRUE),EXACT(Metadata!AB12,"256318"))</f>
        <v>1</v>
      </c>
      <c r="BP13" t="b">
        <f>IF(Metadata!AC12="",FALSE,TRUE)</f>
        <v>1</v>
      </c>
      <c r="BQ13" t="b">
        <f>IF(Metadata!AD12="",FALSE,TRUE)</f>
        <v>1</v>
      </c>
    </row>
    <row r="14" spans="1:69" x14ac:dyDescent="0.2">
      <c r="A14" s="4" t="e">
        <f ca="1">IF(B14=" "," ",HYPERLINK(CONCATENATE("#metadata!",ADDRESS(INDEX($AJ$2:$AJ$1001,MATCH(ROWS($AH$2:AH14),$AH$2:$AH$1001,0),0),2)),INDEX($AM$2:$AM$1001,MATCH(ROWS($AH$2:AH14),$AH$2:$AH$1001,0),0)))</f>
        <v>#N/A</v>
      </c>
      <c r="B14" s="5" t="e">
        <f ca="1">IF(OR(INDEX($AI$2:$AI$1001,MATCH(ROWS($AH$2:AH14),$AH$2:$AH$1001,0),1)&gt;=100000,INDEX($AO$1005:$BQ$1005,1,MATCH(COLUMNS($AO$1006:AO1006),$AO$1006:$BQ$1006,0))&gt;=100000), " ",IF(INDEX($AO$2:$BQ$1001,MATCH(ROWS($AH$2:AH14),$AH$2:$AH$1001,0),MATCH(COLUMNS($AO$1006:AO1006),$AO$1006:$BQ$1006,0)), HYPERLINK("#",""), HYPERLINK(CONCATENATE("#Metadata!", ADDRESS(INDEX($AJ$2:$AJ$1001,MATCH(ROWS($AH$2:AH14),$AH$2:$AH$1001,0),0), INDEX($AO$1004:$BQ$1004,1,MATCH(COLUMNS($AO$1006:AO1006),$AO$1006:$BQ$1006,0)))),"Fix")))</f>
        <v>#N/A</v>
      </c>
      <c r="C14" s="5" t="e">
        <f ca="1">IF(OR(INDEX($AI$2:$AI$1001,MATCH(ROWS($AH$2:AH14),$AH$2:$AH$1001,0),1)&gt;=100000,INDEX($AO$1005:$BQ$1005,1,MATCH(COLUMNS($AO$1006:AP1006),$AO$1006:$BQ$1006,0))&gt;=100000), " ",IF(INDEX($AO$2:$BQ$1001,MATCH(ROWS($AH$2:AH14),$AH$2:$AH$1001,0),MATCH(COLUMNS($AO$1006:AP1006),$AO$1006:$BQ$1006,0)), HYPERLINK("#",""), HYPERLINK(CONCATENATE("#Metadata!", ADDRESS(INDEX($AJ$2:$AJ$1001,MATCH(ROWS($AH$2:AH14),$AH$2:$AH$1001,0),0), INDEX($AO$1004:$BQ$1004,1,MATCH(COLUMNS($AO$1006:AP1006),$AO$1006:$BQ$1006,0)))),"Fix")))</f>
        <v>#N/A</v>
      </c>
      <c r="D14" s="5" t="e">
        <f ca="1">IF(OR(INDEX($AI$2:$AI$1001,MATCH(ROWS($AH$2:AH14),$AH$2:$AH$1001,0),1)&gt;=100000,INDEX($AO$1005:$BQ$1005,1,MATCH(COLUMNS($AO$1006:AQ1006),$AO$1006:$BQ$1006,0))&gt;=100000), " ",IF(INDEX($AO$2:$BQ$1001,MATCH(ROWS($AH$2:AH14),$AH$2:$AH$1001,0),MATCH(COLUMNS($AO$1006:AQ1006),$AO$1006:$BQ$1006,0)), HYPERLINK("#",""), HYPERLINK(CONCATENATE("#Metadata!", ADDRESS(INDEX($AJ$2:$AJ$1001,MATCH(ROWS($AH$2:AH14),$AH$2:$AH$1001,0),0), INDEX($AO$1004:$BQ$1004,1,MATCH(COLUMNS($AO$1006:AQ1006),$AO$1006:$BQ$1006,0)))),"Fix")))</f>
        <v>#N/A</v>
      </c>
      <c r="E14" s="5" t="e">
        <f ca="1">IF(OR(INDEX($AI$2:$AI$1001,MATCH(ROWS($AH$2:AH14),$AH$2:$AH$1001,0),1)&gt;=100000,INDEX($AO$1005:$BQ$1005,1,MATCH(COLUMNS($AO$1006:AR1006),$AO$1006:$BQ$1006,0))&gt;=100000), " ",IF(INDEX($AO$2:$BQ$1001,MATCH(ROWS($AH$2:AH14),$AH$2:$AH$1001,0),MATCH(COLUMNS($AO$1006:AR1006),$AO$1006:$BQ$1006,0)), HYPERLINK("#",""), HYPERLINK(CONCATENATE("#Metadata!", ADDRESS(INDEX($AJ$2:$AJ$1001,MATCH(ROWS($AH$2:AH14),$AH$2:$AH$1001,0),0), INDEX($AO$1004:$BQ$1004,1,MATCH(COLUMNS($AO$1006:AR1006),$AO$1006:$BQ$1006,0)))),"Fix")))</f>
        <v>#N/A</v>
      </c>
      <c r="F14" s="5" t="e">
        <f ca="1">IF(OR(INDEX($AI$2:$AI$1001,MATCH(ROWS($AH$2:AH14),$AH$2:$AH$1001,0),1)&gt;=100000,INDEX($AO$1005:$BQ$1005,1,MATCH(COLUMNS($AO$1006:AS1006),$AO$1006:$BQ$1006,0))&gt;=100000), " ",IF(INDEX($AO$2:$BQ$1001,MATCH(ROWS($AH$2:AH14),$AH$2:$AH$1001,0),MATCH(COLUMNS($AO$1006:AS1006),$AO$1006:$BQ$1006,0)), HYPERLINK("#",""), HYPERLINK(CONCATENATE("#Metadata!", ADDRESS(INDEX($AJ$2:$AJ$1001,MATCH(ROWS($AH$2:AH14),$AH$2:$AH$1001,0),0), INDEX($AO$1004:$BQ$1004,1,MATCH(COLUMNS($AO$1006:AS1006),$AO$1006:$BQ$1006,0)))),"Fix")))</f>
        <v>#N/A</v>
      </c>
      <c r="G14" s="5" t="e">
        <f ca="1">IF(OR(INDEX($AI$2:$AI$1001,MATCH(ROWS($AH$2:AH14),$AH$2:$AH$1001,0),1)&gt;=100000,INDEX($AO$1005:$BQ$1005,1,MATCH(COLUMNS($AO$1006:AT1006),$AO$1006:$BQ$1006,0))&gt;=100000), " ",IF(INDEX($AO$2:$BQ$1001,MATCH(ROWS($AH$2:AH14),$AH$2:$AH$1001,0),MATCH(COLUMNS($AO$1006:AT1006),$AO$1006:$BQ$1006,0)), HYPERLINK("#",""), HYPERLINK(CONCATENATE("#Metadata!", ADDRESS(INDEX($AJ$2:$AJ$1001,MATCH(ROWS($AH$2:AH14),$AH$2:$AH$1001,0),0), INDEX($AO$1004:$BQ$1004,1,MATCH(COLUMNS($AO$1006:AT1006),$AO$1006:$BQ$1006,0)))),"Fix")))</f>
        <v>#N/A</v>
      </c>
      <c r="H14" s="5" t="e">
        <f ca="1">IF(OR(INDEX($AI$2:$AI$1001,MATCH(ROWS($AH$2:AH14),$AH$2:$AH$1001,0),1)&gt;=100000,INDEX($AO$1005:$BQ$1005,1,MATCH(COLUMNS($AO$1006:AU1006),$AO$1006:$BQ$1006,0))&gt;=100000), " ",IF(INDEX($AO$2:$BQ$1001,MATCH(ROWS($AH$2:AH14),$AH$2:$AH$1001,0),MATCH(COLUMNS($AO$1006:AU1006),$AO$1006:$BQ$1006,0)), HYPERLINK("#",""), HYPERLINK(CONCATENATE("#Metadata!", ADDRESS(INDEX($AJ$2:$AJ$1001,MATCH(ROWS($AH$2:AH14),$AH$2:$AH$1001,0),0), INDEX($AO$1004:$BQ$1004,1,MATCH(COLUMNS($AO$1006:AU1006),$AO$1006:$BQ$1006,0)))),"Fix")))</f>
        <v>#N/A</v>
      </c>
      <c r="I14" s="5" t="e">
        <f ca="1">IF(OR(INDEX($AI$2:$AI$1001,MATCH(ROWS($AH$2:AH14),$AH$2:$AH$1001,0),1)&gt;=100000,INDEX($AO$1005:$BQ$1005,1,MATCH(COLUMNS($AO$1006:AV1006),$AO$1006:$BQ$1006,0))&gt;=100000), " ",IF(INDEX($AO$2:$BQ$1001,MATCH(ROWS($AH$2:AH14),$AH$2:$AH$1001,0),MATCH(COLUMNS($AO$1006:AV1006),$AO$1006:$BQ$1006,0)), HYPERLINK("#",""), HYPERLINK(CONCATENATE("#Metadata!", ADDRESS(INDEX($AJ$2:$AJ$1001,MATCH(ROWS($AH$2:AH14),$AH$2:$AH$1001,0),0), INDEX($AO$1004:$BQ$1004,1,MATCH(COLUMNS($AO$1006:AV1006),$AO$1006:$BQ$1006,0)))),"Fix")))</f>
        <v>#N/A</v>
      </c>
      <c r="J14" s="5" t="e">
        <f ca="1">IF(OR(INDEX($AI$2:$AI$1001,MATCH(ROWS($AH$2:AH14),$AH$2:$AH$1001,0),1)&gt;=100000,INDEX($AO$1005:$BQ$1005,1,MATCH(COLUMNS($AO$1006:AW1006),$AO$1006:$BQ$1006,0))&gt;=100000), " ",IF(INDEX($AO$2:$BQ$1001,MATCH(ROWS($AH$2:AH14),$AH$2:$AH$1001,0),MATCH(COLUMNS($AO$1006:AW1006),$AO$1006:$BQ$1006,0)), HYPERLINK("#",""), HYPERLINK(CONCATENATE("#Metadata!", ADDRESS(INDEX($AJ$2:$AJ$1001,MATCH(ROWS($AH$2:AH14),$AH$2:$AH$1001,0),0), INDEX($AO$1004:$BQ$1004,1,MATCH(COLUMNS($AO$1006:AW1006),$AO$1006:$BQ$1006,0)))),"Fix")))</f>
        <v>#N/A</v>
      </c>
      <c r="K14" s="5" t="e">
        <f ca="1">IF(OR(INDEX($AI$2:$AI$1001,MATCH(ROWS($AH$2:AH14),$AH$2:$AH$1001,0),1)&gt;=100000,INDEX($AO$1005:$BQ$1005,1,MATCH(COLUMNS($AO$1006:AX1006),$AO$1006:$BQ$1006,0))&gt;=100000), " ",IF(INDEX($AO$2:$BQ$1001,MATCH(ROWS($AH$2:AH14),$AH$2:$AH$1001,0),MATCH(COLUMNS($AO$1006:AX1006),$AO$1006:$BQ$1006,0)), HYPERLINK("#",""), HYPERLINK(CONCATENATE("#Metadata!", ADDRESS(INDEX($AJ$2:$AJ$1001,MATCH(ROWS($AH$2:AH14),$AH$2:$AH$1001,0),0), INDEX($AO$1004:$BQ$1004,1,MATCH(COLUMNS($AO$1006:AX1006),$AO$1006:$BQ$1006,0)))),"Fix")))</f>
        <v>#N/A</v>
      </c>
      <c r="L14" s="5" t="e">
        <f ca="1">IF(OR(INDEX($AI$2:$AI$1001,MATCH(ROWS($AH$2:AH14),$AH$2:$AH$1001,0),1)&gt;=100000,INDEX($AO$1005:$BQ$1005,1,MATCH(COLUMNS($AO$1006:AY1006),$AO$1006:$BQ$1006,0))&gt;=100000), " ",IF(INDEX($AO$2:$BQ$1001,MATCH(ROWS($AH$2:AH14),$AH$2:$AH$1001,0),MATCH(COLUMNS($AO$1006:AY1006),$AO$1006:$BQ$1006,0)), HYPERLINK("#",""), HYPERLINK(CONCATENATE("#Metadata!", ADDRESS(INDEX($AJ$2:$AJ$1001,MATCH(ROWS($AH$2:AH14),$AH$2:$AH$1001,0),0), INDEX($AO$1004:$BQ$1004,1,MATCH(COLUMNS($AO$1006:AY1006),$AO$1006:$BQ$1006,0)))),"Fix")))</f>
        <v>#N/A</v>
      </c>
      <c r="M14" s="5" t="e">
        <f ca="1">IF(OR(INDEX($AI$2:$AI$1001,MATCH(ROWS($AH$2:AH14),$AH$2:$AH$1001,0),1)&gt;=100000,INDEX($AO$1005:$BQ$1005,1,MATCH(COLUMNS($AO$1006:AZ1006),$AO$1006:$BQ$1006,0))&gt;=100000), " ",IF(INDEX($AO$2:$BQ$1001,MATCH(ROWS($AH$2:AH14),$AH$2:$AH$1001,0),MATCH(COLUMNS($AO$1006:AZ1006),$AO$1006:$BQ$1006,0)), HYPERLINK("#",""), HYPERLINK(CONCATENATE("#Metadata!", ADDRESS(INDEX($AJ$2:$AJ$1001,MATCH(ROWS($AH$2:AH14),$AH$2:$AH$1001,0),0), INDEX($AO$1004:$BQ$1004,1,MATCH(COLUMNS($AO$1006:AZ1006),$AO$1006:$BQ$1006,0)))),"Fix")))</f>
        <v>#N/A</v>
      </c>
      <c r="N14" s="5" t="e">
        <f ca="1">IF(OR(INDEX($AI$2:$AI$1001,MATCH(ROWS($AH$2:AH14),$AH$2:$AH$1001,0),1)&gt;=100000,INDEX($AO$1005:$BQ$1005,1,MATCH(COLUMNS($AO$1006:BA1006),$AO$1006:$BQ$1006,0))&gt;=100000), " ",IF(INDEX($AO$2:$BQ$1001,MATCH(ROWS($AH$2:AH14),$AH$2:$AH$1001,0),MATCH(COLUMNS($AO$1006:BA1006),$AO$1006:$BQ$1006,0)), HYPERLINK("#",""), HYPERLINK(CONCATENATE("#Metadata!", ADDRESS(INDEX($AJ$2:$AJ$1001,MATCH(ROWS($AH$2:AH14),$AH$2:$AH$1001,0),0), INDEX($AO$1004:$BQ$1004,1,MATCH(COLUMNS($AO$1006:BA1006),$AO$1006:$BQ$1006,0)))),"Fix")))</f>
        <v>#N/A</v>
      </c>
      <c r="O14" s="5" t="e">
        <f ca="1">IF(OR(INDEX($AI$2:$AI$1001,MATCH(ROWS($AH$2:AH14),$AH$2:$AH$1001,0),1)&gt;=100000,INDEX($AO$1005:$BQ$1005,1,MATCH(COLUMNS($AO$1006:BB1006),$AO$1006:$BQ$1006,0))&gt;=100000), " ",IF(INDEX($AO$2:$BQ$1001,MATCH(ROWS($AH$2:AH14),$AH$2:$AH$1001,0),MATCH(COLUMNS($AO$1006:BB1006),$AO$1006:$BQ$1006,0)), HYPERLINK("#",""), HYPERLINK(CONCATENATE("#Metadata!", ADDRESS(INDEX($AJ$2:$AJ$1001,MATCH(ROWS($AH$2:AH14),$AH$2:$AH$1001,0),0), INDEX($AO$1004:$BQ$1004,1,MATCH(COLUMNS($AO$1006:BB1006),$AO$1006:$BQ$1006,0)))),"Fix")))</f>
        <v>#N/A</v>
      </c>
      <c r="P14" s="5" t="e">
        <f ca="1">IF(OR(INDEX($AI$2:$AI$1001,MATCH(ROWS($AH$2:AH14),$AH$2:$AH$1001,0),1)&gt;=100000,INDEX($AO$1005:$BQ$1005,1,MATCH(COLUMNS($AO$1006:BC1006),$AO$1006:$BQ$1006,0))&gt;=100000), " ",IF(INDEX($AO$2:$BQ$1001,MATCH(ROWS($AH$2:AH14),$AH$2:$AH$1001,0),MATCH(COLUMNS($AO$1006:BC1006),$AO$1006:$BQ$1006,0)), HYPERLINK("#",""), HYPERLINK(CONCATENATE("#Metadata!", ADDRESS(INDEX($AJ$2:$AJ$1001,MATCH(ROWS($AH$2:AH14),$AH$2:$AH$1001,0),0), INDEX($AO$1004:$BQ$1004,1,MATCH(COLUMNS($AO$1006:BC1006),$AO$1006:$BQ$1006,0)))),"Fix")))</f>
        <v>#N/A</v>
      </c>
      <c r="Q14" s="5" t="e">
        <f ca="1">IF(OR(INDEX($AI$2:$AI$1001,MATCH(ROWS($AH$2:AH14),$AH$2:$AH$1001,0),1)&gt;=100000,INDEX($AO$1005:$BQ$1005,1,MATCH(COLUMNS($AO$1006:BD1006),$AO$1006:$BQ$1006,0))&gt;=100000), " ",IF(INDEX($AO$2:$BQ$1001,MATCH(ROWS($AH$2:AH14),$AH$2:$AH$1001,0),MATCH(COLUMNS($AO$1006:BD1006),$AO$1006:$BQ$1006,0)), HYPERLINK("#",""), HYPERLINK(CONCATENATE("#Metadata!", ADDRESS(INDEX($AJ$2:$AJ$1001,MATCH(ROWS($AH$2:AH14),$AH$2:$AH$1001,0),0), INDEX($AO$1004:$BQ$1004,1,MATCH(COLUMNS($AO$1006:BD1006),$AO$1006:$BQ$1006,0)))),"Fix")))</f>
        <v>#N/A</v>
      </c>
      <c r="R14" s="5" t="e">
        <f ca="1">IF(OR(INDEX($AI$2:$AI$1001,MATCH(ROWS($AH$2:AH14),$AH$2:$AH$1001,0),1)&gt;=100000,INDEX($AO$1005:$BQ$1005,1,MATCH(COLUMNS($AO$1006:BE1006),$AO$1006:$BQ$1006,0))&gt;=100000), " ",IF(INDEX($AO$2:$BQ$1001,MATCH(ROWS($AH$2:AH14),$AH$2:$AH$1001,0),MATCH(COLUMNS($AO$1006:BE1006),$AO$1006:$BQ$1006,0)), HYPERLINK("#",""), HYPERLINK(CONCATENATE("#Metadata!", ADDRESS(INDEX($AJ$2:$AJ$1001,MATCH(ROWS($AH$2:AH14),$AH$2:$AH$1001,0),0), INDEX($AO$1004:$BQ$1004,1,MATCH(COLUMNS($AO$1006:BE1006),$AO$1006:$BQ$1006,0)))),"Fix")))</f>
        <v>#N/A</v>
      </c>
      <c r="S14" s="5" t="e">
        <f ca="1">IF(OR(INDEX($AI$2:$AI$1001,MATCH(ROWS($AH$2:AH14),$AH$2:$AH$1001,0),1)&gt;=100000,INDEX($AO$1005:$BQ$1005,1,MATCH(COLUMNS($AO$1006:BF1006),$AO$1006:$BQ$1006,0))&gt;=100000), " ",IF(INDEX($AO$2:$BQ$1001,MATCH(ROWS($AH$2:AH14),$AH$2:$AH$1001,0),MATCH(COLUMNS($AO$1006:BF1006),$AO$1006:$BQ$1006,0)), HYPERLINK("#",""), HYPERLINK(CONCATENATE("#Metadata!", ADDRESS(INDEX($AJ$2:$AJ$1001,MATCH(ROWS($AH$2:AH14),$AH$2:$AH$1001,0),0), INDEX($AO$1004:$BQ$1004,1,MATCH(COLUMNS($AO$1006:BF1006),$AO$1006:$BQ$1006,0)))),"Fix")))</f>
        <v>#N/A</v>
      </c>
      <c r="T14" s="5" t="e">
        <f ca="1">IF(OR(INDEX($AI$2:$AI$1001,MATCH(ROWS($AH$2:AH14),$AH$2:$AH$1001,0),1)&gt;=100000,INDEX($AO$1005:$BQ$1005,1,MATCH(COLUMNS($AO$1006:BG1006),$AO$1006:$BQ$1006,0))&gt;=100000), " ",IF(INDEX($AO$2:$BQ$1001,MATCH(ROWS($AH$2:AH14),$AH$2:$AH$1001,0),MATCH(COLUMNS($AO$1006:BG1006),$AO$1006:$BQ$1006,0)), HYPERLINK("#",""), HYPERLINK(CONCATENATE("#Metadata!", ADDRESS(INDEX($AJ$2:$AJ$1001,MATCH(ROWS($AH$2:AH14),$AH$2:$AH$1001,0),0), INDEX($AO$1004:$BQ$1004,1,MATCH(COLUMNS($AO$1006:BG1006),$AO$1006:$BQ$1006,0)))),"Fix")))</f>
        <v>#N/A</v>
      </c>
      <c r="U14" s="5" t="e">
        <f ca="1">IF(OR(INDEX($AI$2:$AI$1001,MATCH(ROWS($AH$2:AH14),$AH$2:$AH$1001,0),1)&gt;=100000,INDEX($AO$1005:$BQ$1005,1,MATCH(COLUMNS($AO$1006:BH1006),$AO$1006:$BQ$1006,0))&gt;=100000), " ",IF(INDEX($AO$2:$BQ$1001,MATCH(ROWS($AH$2:AH14),$AH$2:$AH$1001,0),MATCH(COLUMNS($AO$1006:BH1006),$AO$1006:$BQ$1006,0)), HYPERLINK("#",""), HYPERLINK(CONCATENATE("#Metadata!", ADDRESS(INDEX($AJ$2:$AJ$1001,MATCH(ROWS($AH$2:AH14),$AH$2:$AH$1001,0),0), INDEX($AO$1004:$BQ$1004,1,MATCH(COLUMNS($AO$1006:BH1006),$AO$1006:$BQ$1006,0)))),"Fix")))</f>
        <v>#N/A</v>
      </c>
      <c r="V14" s="5" t="e">
        <f ca="1">IF(OR(INDEX($AI$2:$AI$1001,MATCH(ROWS($AH$2:AH14),$AH$2:$AH$1001,0),1)&gt;=100000,INDEX($AO$1005:$BQ$1005,1,MATCH(COLUMNS($AO$1006:BI1006),$AO$1006:$BQ$1006,0))&gt;=100000), " ",IF(INDEX($AO$2:$BQ$1001,MATCH(ROWS($AH$2:AH14),$AH$2:$AH$1001,0),MATCH(COLUMNS($AO$1006:BI1006),$AO$1006:$BQ$1006,0)), HYPERLINK("#",""), HYPERLINK(CONCATENATE("#Metadata!", ADDRESS(INDEX($AJ$2:$AJ$1001,MATCH(ROWS($AH$2:AH14),$AH$2:$AH$1001,0),0), INDEX($AO$1004:$BQ$1004,1,MATCH(COLUMNS($AO$1006:BI1006),$AO$1006:$BQ$1006,0)))),"Fix")))</f>
        <v>#N/A</v>
      </c>
      <c r="W14" s="5" t="e">
        <f ca="1">IF(OR(INDEX($AI$2:$AI$1001,MATCH(ROWS($AH$2:AH14),$AH$2:$AH$1001,0),1)&gt;=100000,INDEX($AO$1005:$BQ$1005,1,MATCH(COLUMNS($AO$1006:BJ1006),$AO$1006:$BQ$1006,0))&gt;=100000), " ",IF(INDEX($AO$2:$BQ$1001,MATCH(ROWS($AH$2:AH14),$AH$2:$AH$1001,0),MATCH(COLUMNS($AO$1006:BJ1006),$AO$1006:$BQ$1006,0)), HYPERLINK("#",""), HYPERLINK(CONCATENATE("#Metadata!", ADDRESS(INDEX($AJ$2:$AJ$1001,MATCH(ROWS($AH$2:AH14),$AH$2:$AH$1001,0),0), INDEX($AO$1004:$BQ$1004,1,MATCH(COLUMNS($AO$1006:BJ1006),$AO$1006:$BQ$1006,0)))),"Fix")))</f>
        <v>#N/A</v>
      </c>
      <c r="X14" s="5" t="e">
        <f ca="1">IF(OR(INDEX($AI$2:$AI$1001,MATCH(ROWS($AH$2:AH14),$AH$2:$AH$1001,0),1)&gt;=100000,INDEX($AO$1005:$BQ$1005,1,MATCH(COLUMNS($AO$1006:BK1006),$AO$1006:$BQ$1006,0))&gt;=100000), " ",IF(INDEX($AO$2:$BQ$1001,MATCH(ROWS($AH$2:AH14),$AH$2:$AH$1001,0),MATCH(COLUMNS($AO$1006:BK1006),$AO$1006:$BQ$1006,0)), HYPERLINK("#",""), HYPERLINK(CONCATENATE("#Metadata!", ADDRESS(INDEX($AJ$2:$AJ$1001,MATCH(ROWS($AH$2:AH14),$AH$2:$AH$1001,0),0), INDEX($AO$1004:$BQ$1004,1,MATCH(COLUMNS($AO$1006:BK1006),$AO$1006:$BQ$1006,0)))),"Fix")))</f>
        <v>#N/A</v>
      </c>
      <c r="Y14" s="5" t="e">
        <f ca="1">IF(OR(INDEX($AI$2:$AI$1001,MATCH(ROWS($AH$2:AH14),$AH$2:$AH$1001,0),1)&gt;=100000,INDEX($AO$1005:$BQ$1005,1,MATCH(COLUMNS($AO$1006:BL1006),$AO$1006:$BQ$1006,0))&gt;=100000), " ",IF(INDEX($AO$2:$BQ$1001,MATCH(ROWS($AH$2:AH14),$AH$2:$AH$1001,0),MATCH(COLUMNS($AO$1006:BL1006),$AO$1006:$BQ$1006,0)), HYPERLINK("#",""), HYPERLINK(CONCATENATE("#Metadata!", ADDRESS(INDEX($AJ$2:$AJ$1001,MATCH(ROWS($AH$2:AH14),$AH$2:$AH$1001,0),0), INDEX($AO$1004:$BQ$1004,1,MATCH(COLUMNS($AO$1006:BL1006),$AO$1006:$BQ$1006,0)))),"Fix")))</f>
        <v>#N/A</v>
      </c>
      <c r="Z14" s="5" t="e">
        <f ca="1">IF(OR(INDEX($AI$2:$AI$1001,MATCH(ROWS($AH$2:AH14),$AH$2:$AH$1001,0),1)&gt;=100000,INDEX($AO$1005:$BQ$1005,1,MATCH(COLUMNS($AO$1006:BM1006),$AO$1006:$BQ$1006,0))&gt;=100000), " ",IF(INDEX($AO$2:$BQ$1001,MATCH(ROWS($AH$2:AH14),$AH$2:$AH$1001,0),MATCH(COLUMNS($AO$1006:BM1006),$AO$1006:$BQ$1006,0)), HYPERLINK("#",""), HYPERLINK(CONCATENATE("#Metadata!", ADDRESS(INDEX($AJ$2:$AJ$1001,MATCH(ROWS($AH$2:AH14),$AH$2:$AH$1001,0),0), INDEX($AO$1004:$BQ$1004,1,MATCH(COLUMNS($AO$1006:BM1006),$AO$1006:$BQ$1006,0)))),"Fix")))</f>
        <v>#N/A</v>
      </c>
      <c r="AA14" s="5" t="e">
        <f ca="1">IF(OR(INDEX($AI$2:$AI$1001,MATCH(ROWS($AH$2:AH14),$AH$2:$AH$1001,0),1)&gt;=100000,INDEX($AO$1005:$BQ$1005,1,MATCH(COLUMNS($AO$1006:BN1006),$AO$1006:$BQ$1006,0))&gt;=100000), " ",IF(INDEX($AO$2:$BQ$1001,MATCH(ROWS($AH$2:AH14),$AH$2:$AH$1001,0),MATCH(COLUMNS($AO$1006:BN1006),$AO$1006:$BQ$1006,0)), HYPERLINK("#",""), HYPERLINK(CONCATENATE("#Metadata!", ADDRESS(INDEX($AJ$2:$AJ$1001,MATCH(ROWS($AH$2:AH14),$AH$2:$AH$1001,0),0), INDEX($AO$1004:$BQ$1004,1,MATCH(COLUMNS($AO$1006:BN1006),$AO$1006:$BQ$1006,0)))),"Fix")))</f>
        <v>#N/A</v>
      </c>
      <c r="AB14" s="5" t="e">
        <f ca="1">IF(OR(INDEX($AI$2:$AI$1001,MATCH(ROWS($AH$2:AH14),$AH$2:$AH$1001,0),1)&gt;=100000,INDEX($AO$1005:$BQ$1005,1,MATCH(COLUMNS($AO$1006:BO1006),$AO$1006:$BQ$1006,0))&gt;=100000), " ",IF(INDEX($AO$2:$BQ$1001,MATCH(ROWS($AH$2:AH14),$AH$2:$AH$1001,0),MATCH(COLUMNS($AO$1006:BO1006),$AO$1006:$BQ$1006,0)), HYPERLINK("#",""), HYPERLINK(CONCATENATE("#Metadata!", ADDRESS(INDEX($AJ$2:$AJ$1001,MATCH(ROWS($AH$2:AH14),$AH$2:$AH$1001,0),0), INDEX($AO$1004:$BQ$1004,1,MATCH(COLUMNS($AO$1006:BO1006),$AO$1006:$BQ$1006,0)))),"Fix")))</f>
        <v>#N/A</v>
      </c>
      <c r="AC14" s="5" t="e">
        <f ca="1">IF(OR(INDEX($AI$2:$AI$1001,MATCH(ROWS($AH$2:AH14),$AH$2:$AH$1001,0),1)&gt;=100000,INDEX($AO$1005:$BQ$1005,1,MATCH(COLUMNS($AO$1006:BP1006),$AO$1006:$BQ$1006,0))&gt;=100000), " ",IF(INDEX($AO$2:$BQ$1001,MATCH(ROWS($AH$2:AH14),$AH$2:$AH$1001,0),MATCH(COLUMNS($AO$1006:BP1006),$AO$1006:$BQ$1006,0)), HYPERLINK("#",""), HYPERLINK(CONCATENATE("#Metadata!", ADDRESS(INDEX($AJ$2:$AJ$1001,MATCH(ROWS($AH$2:AH14),$AH$2:$AH$1001,0),0), INDEX($AO$1004:$BQ$1004,1,MATCH(COLUMNS($AO$1006:BP1006),$AO$1006:$BQ$1006,0)))),"Fix")))</f>
        <v>#N/A</v>
      </c>
      <c r="AD14" s="5" t="e">
        <f ca="1">IF(OR(INDEX($AI$2:$AI$1001,MATCH(ROWS($AH$2:AH14),$AH$2:$AH$1001,0),1)&gt;=100000,INDEX($AO$1005:$BQ$1005,1,MATCH(COLUMNS($AO$1006:BQ1006),$AO$1006:$BQ$1006,0))&gt;=100000), " ",IF(INDEX($AO$2:$BQ$1001,MATCH(ROWS($AH$2:AH14),$AH$2:$AH$1001,0),MATCH(COLUMNS($AO$1006:BQ1006),$AO$1006:$BQ$1006,0)), HYPERLINK("#",""), HYPERLINK(CONCATENATE("#Metadata!", ADDRESS(INDEX($AJ$2:$AJ$1001,MATCH(ROWS($AH$2:AH14),$AH$2:$AH$1001,0),0), INDEX($AO$1004:$BQ$1004,1,MATCH(COLUMNS($AO$1006:BQ1006),$AO$1006:$BQ$1006,0)))),"Fix")))</f>
        <v>#REF!</v>
      </c>
      <c r="AH14">
        <f ca="1"/>
        <v>12</v>
      </c>
      <c r="AI14">
        <f ca="1"/>
        <v>14</v>
      </c>
      <c r="AJ14">
        <v>14</v>
      </c>
      <c r="AK14" t="b">
        <f t="shared" ca="1" si="0"/>
        <v>0</v>
      </c>
      <c r="AL14" t="b">
        <f>COUNTBLANK(Metadata!B14:AD14)=COLUMNS(Metadata!B14:AD14)</f>
        <v>0</v>
      </c>
      <c r="AM14" t="str">
        <v>Environment.Sediment.BTP.135Side.1</v>
      </c>
      <c r="AO14" t="b">
        <f ca="1">AND(IF(Metadata!B13="",FALSE,TRUE),COUNTIF(Metadata!B:B, Metadata!B13) = 1,NOT(ISERROR(SUMPRODUCT(SEARCH(MID(Metadata!B13,ROW(INDIRECT("1:"&amp;LEN(Metadata!B13))), 1),"0123456789abcdefghijklmnopqrstuvwxyzABCDEFGHIJKLMNOPQRSTUVWXYZ.")))))</f>
        <v>1</v>
      </c>
      <c r="AP14" t="b">
        <f>IF(Metadata!C13="",FALSE,TRUE)</f>
        <v>1</v>
      </c>
      <c r="AQ14" t="b">
        <f>IF(Metadata!D13="",FALSE,TRUE)</f>
        <v>1</v>
      </c>
      <c r="AR14" t="b">
        <f ca="1">OR(AND(IF(Metadata!E13="",FALSE,TRUE),OR(EXACT(Metadata!E13,"not collected"),EXACT(Metadata!E13,"not provided"),EXACT(Metadata!E13,"restricted access"))),AND(IF(Metadata!E13="",FALSE,TRUE),AND(AND(IFERROR(INT(LEFT(Metadata!E13,4))&gt;1900,FALSE),IFERROR(INT(LEFT(Metadata!E13,4))&lt;=YEAR(NOW()),FALSE)), OR(MID(Metadata!E13,5,1)="", AND(AND(MID(Metadata!E13,5,1)="-",IFERROR(INT(MID(Metadata!E13,6,1))&gt;=0,FALSE),IFERROR(INT(MID(Metadata!E13,6,1))&lt;=1,FALSE),NOT(MID(Metadata!E13,7,1)=""),IFERROR(INT(MID(Metadata!E13,6,2))&gt;=1,FALSE),IFERROR(INT(MID(Metadata!E13,6,2))&lt;=12,FALSE)), OR(MID(Metadata!E13,8,1)="", AND(AND(MID(Metadata!E13,8,1)="-",IFERROR(INT(MID(Metadata!E13,9,1))&gt;=0,FALSE),IFERROR(INT(MID(Metadata!E13,9,1))&lt;=3,FALSE),NOT(MID(Metadata!E13,10,1)=""),IFERROR(INT(MID(Metadata!E13,9,2))&gt;=1,FALSE),IFERROR(INT(MID(Metadata!E13,9,2))&lt;=31,FALSE)), OR(MID(Metadata!E13,11,1)="", AND(AND(MID(Metadata!E13,11,1)=" ",IFERROR(INT(MID(Metadata!E13,12,1))&gt;=0,FALSE),IFERROR(INT(MID(Metadata!E13,12,1))&lt;=2,FALSE),NOT(MID(Metadata!E13,13,1)=""),IFERROR(INT(MID(Metadata!E13,12,2))&gt;=0,FALSE),IFERROR(INT(MID(Metadata!E13,12,2))&lt;=23,FALSE)), OR(MID(Metadata!E13,14,1)="", AND(AND(MID(Metadata!E13,14,1)=":",IFERROR(INT(MID(Metadata!E13,15,1))&gt;=0,FALSE),IFERROR(INT(MID(Metadata!E13,15,1))&lt;=5,FALSE),NOT(MID(Metadata!E13,16,1)=""),IFERROR(INT(MID(Metadata!E13,15,2))&gt;=0,FALSE),IFERROR(INT(MID(Metadata!E13,15,2))&lt;=59,FALSE)), OR(MID(Metadata!E13,17,1)="", AND(AND(MID(Metadata!E13,17,1)=":",IFERROR(INT(MID(Metadata!E13,18,1))&gt;=0,FALSE),IFERROR(INT(MID(Metadata!E13,18,1))&lt;=5,FALSE),NOT(MID(Metadata!E13,19,1)=""),IFERROR(INT(MID(Metadata!E13,18,2))&gt;=0,FALSE),IFERROR(INT(MID(Metadata!E13,18,2))&lt;=59,FALSE)), LEN(Metadata!E13)&lt;=19)))))))))))))</f>
        <v>0</v>
      </c>
      <c r="AS14" t="b">
        <f>IF(Metadata!F13="",FALSE,TRUE)</f>
        <v>1</v>
      </c>
      <c r="AT14" t="b">
        <f>OR(AND(IF(Metadata!G13="",FALSE,TRUE),OR(EXACT(Metadata!G13,"not collected"),EXACT(Metadata!G13,"not provided"))),AND(IF(Metadata!G13="",FALSE,TRUE),OR(EXACT(Metadata!G13,"TRUE"),EXACT(Metadata!G13,"FALSE"))))</f>
        <v>1</v>
      </c>
      <c r="AU14" t="b">
        <f>OR(AND(IF(Metadata!H13="",FALSE,TRUE),OR(EXACT(Metadata!H13,"not collected"),EXACT(Metadata!H13,"not provided"),EXACT(Metadata!H13,"restricted access"))),AND(IF(Metadata!H13="",FALSE,ISNUMBER(VALUE(Metadata!H13))),Metadata!H13&gt;=-413))</f>
        <v>0</v>
      </c>
      <c r="AV14" t="b">
        <f>AND(IF(Metadata!I13="",FALSE,TRUE),EXACT(Metadata!I13,"meters"))</f>
        <v>1</v>
      </c>
      <c r="AW14" t="b">
        <f>AND(IF(Metadata!J13="",FALSE,TRUE),EXACT(Metadata!J13,"free-living"))</f>
        <v>1</v>
      </c>
      <c r="AX14" t="b">
        <f>AND(IF(Metadata!K13="",FALSE,TRUE),OR(EXACT(Metadata!K13,"saline"),EXACT(Metadata!K13,"non-saline")))</f>
        <v>1</v>
      </c>
      <c r="AY14" t="b">
        <f>AND(IF(Metadata!L13="",FALSE,TRUE),OR(EXACT(Metadata!L13,"sub-surface (non-saline)"),EXACT(Metadata!L13,"surface (non-saline)"),EXACT(Metadata!L13,"water (non-saline)"),EXACT(Metadata!L13,"soil (non-saline)"),EXACT(Metadata!L13,"aerosol (non-saline)"),EXACT(Metadata!L13,"sediment (non-saline)"),EXACT(Metadata!L13,"surface (saline)"),EXACT(Metadata!L13,"water (saline)"),EXACT(Metadata!L13,"hypersaline (saline)"),EXACT(Metadata!L13,"aerosol (saline)"),EXACT(Metadata!L13,"sediment (saline)")))</f>
        <v>1</v>
      </c>
      <c r="AZ14" t="b">
        <f>IF(Metadata!M13="",FALSE,TRUE)</f>
        <v>1</v>
      </c>
      <c r="BA14" t="b">
        <f>IF(Metadata!N13="",FALSE,TRUE)</f>
        <v>1</v>
      </c>
      <c r="BB14" t="b">
        <f>IF(Metadata!O13="",FALSE,TRUE)</f>
        <v>1</v>
      </c>
      <c r="BC14" t="b">
        <f>AND(IF(Metadata!P13="",FALSE,TRUE),OR(EXACT(Metadata!P13,"air"),EXACT(Metadata!P13,"microbial mat/biofilm"),EXACT(Metadata!P13,"misc environment"),EXACT(Metadata!P13,"sediment"),EXACT(Metadata!P13,"soil"),EXACT(Metadata!P13,"wastewater/sludge"),EXACT(Metadata!P13,"water")))</f>
        <v>1</v>
      </c>
      <c r="BD14" t="b">
        <f>IF(Metadata!Q13="",FALSE,TRUE)</f>
        <v>1</v>
      </c>
      <c r="BE14" t="b">
        <f>IF(Metadata!R13="",FALSE,TRUE)</f>
        <v>1</v>
      </c>
      <c r="BF14" t="b">
        <f>OR(AND(IF(Metadata!S13="",FALSE,TRUE),OR(EXACT(Metadata!S13,"not collected"),EXACT(Metadata!S13,"not provided"),EXACT(Metadata!S13,"restricted access"))),AND(IF(Metadata!S13="",FALSE,ISNUMBER(VALUE(Metadata!S13))),Metadata!S13&gt;=-90,Metadata!S13&lt;=90))</f>
        <v>0</v>
      </c>
      <c r="BG14" t="b">
        <f>AND(IF(Metadata!T13="",FALSE,TRUE),EXACT(Metadata!T13,"Decimal degrees"))</f>
        <v>1</v>
      </c>
      <c r="BH14" t="b">
        <f>OR(AND(IF(Metadata!U14="",FALSE,TRUE),OR(EXACT(Metadata!U14,"not applicable"),EXACT(Metadata!U14,"not collected"))),IF(Metadata!U14="",FALSE,TRUE))</f>
        <v>1</v>
      </c>
      <c r="BI14" t="b">
        <f>OR(AND(IF(Metadata!V13="",FALSE,TRUE),OR(EXACT(Metadata!V13,"not collected"),EXACT(Metadata!V13,"not provided"),EXACT(Metadata!V13,"restricted access"))),AND(IF(Metadata!V13="",FALSE,ISNUMBER(VALUE(Metadata!V13))),Metadata!V13&gt;=-180,Metadata!V13&lt;=180))</f>
        <v>0</v>
      </c>
      <c r="BJ14" t="b">
        <f>AND(IF(Metadata!W13="",FALSE,TRUE),EXACT(Metadata!W13,"Decimal degrees"))</f>
        <v>1</v>
      </c>
      <c r="BK14" t="b">
        <f>IF(Metadata!X13="",FALSE,TRUE)</f>
        <v>1</v>
      </c>
      <c r="BL14" t="b">
        <f>OR(AND(IF(Metadata!Y13="",FALSE,TRUE),OR(EXACT(Metadata!Y13,"not collected"),EXACT(Metadata!Y13,"not provided"),EXACT(Metadata!Y13,"restricted access"))),AND(IF(Metadata!Y13="",FALSE,TRUE),OR(EXACT(Metadata!Y13,"TRUE"),EXACT(Metadata!Y13,"FALSE"))))</f>
        <v>1</v>
      </c>
      <c r="BM14" t="b">
        <f>OR(AND(IF(Metadata!Z13="",FALSE,TRUE),EXACT(Metadata!Z13,"not applicable")),AND(IF(Metadata!Z13="",FALSE,TRUE),OR(EXACT(Metadata!Z13,"beer"),EXACT(Metadata!Z13,"cheese"),EXACT(Metadata!Z13,"fresh water"),EXACT(Metadata!Z13,"marine sediment"),EXACT(Metadata!Z13,"sea water"),EXACT(Metadata!Z13,"sediment"),EXACT(Metadata!Z13,"soil"),EXACT(Metadata!Z13,"waste water"))))</f>
        <v>1</v>
      </c>
      <c r="BN14" t="b">
        <f>AND(IF(Metadata!AA13="",FALSE,TRUE),EXACT(Metadata!AA13,"metagenome"))</f>
        <v>1</v>
      </c>
      <c r="BO14" t="b">
        <f>AND(IF(Metadata!AB13="",FALSE,TRUE),EXACT(Metadata!AB13,"256318"))</f>
        <v>1</v>
      </c>
      <c r="BP14" t="b">
        <f>IF(Metadata!AC13="",FALSE,TRUE)</f>
        <v>1</v>
      </c>
      <c r="BQ14" t="b">
        <f>IF(Metadata!AD13="",FALSE,TRUE)</f>
        <v>1</v>
      </c>
    </row>
    <row r="15" spans="1:69" x14ac:dyDescent="0.2">
      <c r="A15" s="4" t="e">
        <f ca="1">IF(B15=" "," ",HYPERLINK(CONCATENATE("#metadata!",ADDRESS(INDEX($AJ$2:$AJ$1001,MATCH(ROWS($AH$2:AH15),$AH$2:$AH$1001,0),0),2)),INDEX($AM$2:$AM$1001,MATCH(ROWS($AH$2:AH15),$AH$2:$AH$1001,0),0)))</f>
        <v>#N/A</v>
      </c>
      <c r="B15" s="5" t="e">
        <f ca="1">IF(OR(INDEX($AI$2:$AI$1001,MATCH(ROWS($AH$2:AH15),$AH$2:$AH$1001,0),1)&gt;=100000,INDEX($AO$1005:$BQ$1005,1,MATCH(COLUMNS($AO$1006:AO1006),$AO$1006:$BQ$1006,0))&gt;=100000), " ",IF(INDEX($AO$2:$BQ$1001,MATCH(ROWS($AH$2:AH15),$AH$2:$AH$1001,0),MATCH(COLUMNS($AO$1006:AO1006),$AO$1006:$BQ$1006,0)), HYPERLINK("#",""), HYPERLINK(CONCATENATE("#Metadata!", ADDRESS(INDEX($AJ$2:$AJ$1001,MATCH(ROWS($AH$2:AH15),$AH$2:$AH$1001,0),0), INDEX($AO$1004:$BQ$1004,1,MATCH(COLUMNS($AO$1006:AO1006),$AO$1006:$BQ$1006,0)))),"Fix")))</f>
        <v>#N/A</v>
      </c>
      <c r="C15" s="5" t="e">
        <f ca="1">IF(OR(INDEX($AI$2:$AI$1001,MATCH(ROWS($AH$2:AH15),$AH$2:$AH$1001,0),1)&gt;=100000,INDEX($AO$1005:$BQ$1005,1,MATCH(COLUMNS($AO$1006:AP1006),$AO$1006:$BQ$1006,0))&gt;=100000), " ",IF(INDEX($AO$2:$BQ$1001,MATCH(ROWS($AH$2:AH15),$AH$2:$AH$1001,0),MATCH(COLUMNS($AO$1006:AP1006),$AO$1006:$BQ$1006,0)), HYPERLINK("#",""), HYPERLINK(CONCATENATE("#Metadata!", ADDRESS(INDEX($AJ$2:$AJ$1001,MATCH(ROWS($AH$2:AH15),$AH$2:$AH$1001,0),0), INDEX($AO$1004:$BQ$1004,1,MATCH(COLUMNS($AO$1006:AP1006),$AO$1006:$BQ$1006,0)))),"Fix")))</f>
        <v>#N/A</v>
      </c>
      <c r="D15" s="5" t="e">
        <f ca="1">IF(OR(INDEX($AI$2:$AI$1001,MATCH(ROWS($AH$2:AH15),$AH$2:$AH$1001,0),1)&gt;=100000,INDEX($AO$1005:$BQ$1005,1,MATCH(COLUMNS($AO$1006:AQ1006),$AO$1006:$BQ$1006,0))&gt;=100000), " ",IF(INDEX($AO$2:$BQ$1001,MATCH(ROWS($AH$2:AH15),$AH$2:$AH$1001,0),MATCH(COLUMNS($AO$1006:AQ1006),$AO$1006:$BQ$1006,0)), HYPERLINK("#",""), HYPERLINK(CONCATENATE("#Metadata!", ADDRESS(INDEX($AJ$2:$AJ$1001,MATCH(ROWS($AH$2:AH15),$AH$2:$AH$1001,0),0), INDEX($AO$1004:$BQ$1004,1,MATCH(COLUMNS($AO$1006:AQ1006),$AO$1006:$BQ$1006,0)))),"Fix")))</f>
        <v>#N/A</v>
      </c>
      <c r="E15" s="5" t="e">
        <f ca="1">IF(OR(INDEX($AI$2:$AI$1001,MATCH(ROWS($AH$2:AH15),$AH$2:$AH$1001,0),1)&gt;=100000,INDEX($AO$1005:$BQ$1005,1,MATCH(COLUMNS($AO$1006:AR1006),$AO$1006:$BQ$1006,0))&gt;=100000), " ",IF(INDEX($AO$2:$BQ$1001,MATCH(ROWS($AH$2:AH15),$AH$2:$AH$1001,0),MATCH(COLUMNS($AO$1006:AR1006),$AO$1006:$BQ$1006,0)), HYPERLINK("#",""), HYPERLINK(CONCATENATE("#Metadata!", ADDRESS(INDEX($AJ$2:$AJ$1001,MATCH(ROWS($AH$2:AH15),$AH$2:$AH$1001,0),0), INDEX($AO$1004:$BQ$1004,1,MATCH(COLUMNS($AO$1006:AR1006),$AO$1006:$BQ$1006,0)))),"Fix")))</f>
        <v>#N/A</v>
      </c>
      <c r="F15" s="5" t="e">
        <f ca="1">IF(OR(INDEX($AI$2:$AI$1001,MATCH(ROWS($AH$2:AH15),$AH$2:$AH$1001,0),1)&gt;=100000,INDEX($AO$1005:$BQ$1005,1,MATCH(COLUMNS($AO$1006:AS1006),$AO$1006:$BQ$1006,0))&gt;=100000), " ",IF(INDEX($AO$2:$BQ$1001,MATCH(ROWS($AH$2:AH15),$AH$2:$AH$1001,0),MATCH(COLUMNS($AO$1006:AS1006),$AO$1006:$BQ$1006,0)), HYPERLINK("#",""), HYPERLINK(CONCATENATE("#Metadata!", ADDRESS(INDEX($AJ$2:$AJ$1001,MATCH(ROWS($AH$2:AH15),$AH$2:$AH$1001,0),0), INDEX($AO$1004:$BQ$1004,1,MATCH(COLUMNS($AO$1006:AS1006),$AO$1006:$BQ$1006,0)))),"Fix")))</f>
        <v>#N/A</v>
      </c>
      <c r="G15" s="5" t="e">
        <f ca="1">IF(OR(INDEX($AI$2:$AI$1001,MATCH(ROWS($AH$2:AH15),$AH$2:$AH$1001,0),1)&gt;=100000,INDEX($AO$1005:$BQ$1005,1,MATCH(COLUMNS($AO$1006:AT1006),$AO$1006:$BQ$1006,0))&gt;=100000), " ",IF(INDEX($AO$2:$BQ$1001,MATCH(ROWS($AH$2:AH15),$AH$2:$AH$1001,0),MATCH(COLUMNS($AO$1006:AT1006),$AO$1006:$BQ$1006,0)), HYPERLINK("#",""), HYPERLINK(CONCATENATE("#Metadata!", ADDRESS(INDEX($AJ$2:$AJ$1001,MATCH(ROWS($AH$2:AH15),$AH$2:$AH$1001,0),0), INDEX($AO$1004:$BQ$1004,1,MATCH(COLUMNS($AO$1006:AT1006),$AO$1006:$BQ$1006,0)))),"Fix")))</f>
        <v>#N/A</v>
      </c>
      <c r="H15" s="5" t="e">
        <f ca="1">IF(OR(INDEX($AI$2:$AI$1001,MATCH(ROWS($AH$2:AH15),$AH$2:$AH$1001,0),1)&gt;=100000,INDEX($AO$1005:$BQ$1005,1,MATCH(COLUMNS($AO$1006:AU1006),$AO$1006:$BQ$1006,0))&gt;=100000), " ",IF(INDEX($AO$2:$BQ$1001,MATCH(ROWS($AH$2:AH15),$AH$2:$AH$1001,0),MATCH(COLUMNS($AO$1006:AU1006),$AO$1006:$BQ$1006,0)), HYPERLINK("#",""), HYPERLINK(CONCATENATE("#Metadata!", ADDRESS(INDEX($AJ$2:$AJ$1001,MATCH(ROWS($AH$2:AH15),$AH$2:$AH$1001,0),0), INDEX($AO$1004:$BQ$1004,1,MATCH(COLUMNS($AO$1006:AU1006),$AO$1006:$BQ$1006,0)))),"Fix")))</f>
        <v>#N/A</v>
      </c>
      <c r="I15" s="5" t="e">
        <f ca="1">IF(OR(INDEX($AI$2:$AI$1001,MATCH(ROWS($AH$2:AH15),$AH$2:$AH$1001,0),1)&gt;=100000,INDEX($AO$1005:$BQ$1005,1,MATCH(COLUMNS($AO$1006:AV1006),$AO$1006:$BQ$1006,0))&gt;=100000), " ",IF(INDEX($AO$2:$BQ$1001,MATCH(ROWS($AH$2:AH15),$AH$2:$AH$1001,0),MATCH(COLUMNS($AO$1006:AV1006),$AO$1006:$BQ$1006,0)), HYPERLINK("#",""), HYPERLINK(CONCATENATE("#Metadata!", ADDRESS(INDEX($AJ$2:$AJ$1001,MATCH(ROWS($AH$2:AH15),$AH$2:$AH$1001,0),0), INDEX($AO$1004:$BQ$1004,1,MATCH(COLUMNS($AO$1006:AV1006),$AO$1006:$BQ$1006,0)))),"Fix")))</f>
        <v>#N/A</v>
      </c>
      <c r="J15" s="5" t="e">
        <f ca="1">IF(OR(INDEX($AI$2:$AI$1001,MATCH(ROWS($AH$2:AH15),$AH$2:$AH$1001,0),1)&gt;=100000,INDEX($AO$1005:$BQ$1005,1,MATCH(COLUMNS($AO$1006:AW1006),$AO$1006:$BQ$1006,0))&gt;=100000), " ",IF(INDEX($AO$2:$BQ$1001,MATCH(ROWS($AH$2:AH15),$AH$2:$AH$1001,0),MATCH(COLUMNS($AO$1006:AW1006),$AO$1006:$BQ$1006,0)), HYPERLINK("#",""), HYPERLINK(CONCATENATE("#Metadata!", ADDRESS(INDEX($AJ$2:$AJ$1001,MATCH(ROWS($AH$2:AH15),$AH$2:$AH$1001,0),0), INDEX($AO$1004:$BQ$1004,1,MATCH(COLUMNS($AO$1006:AW1006),$AO$1006:$BQ$1006,0)))),"Fix")))</f>
        <v>#N/A</v>
      </c>
      <c r="K15" s="5" t="e">
        <f ca="1">IF(OR(INDEX($AI$2:$AI$1001,MATCH(ROWS($AH$2:AH15),$AH$2:$AH$1001,0),1)&gt;=100000,INDEX($AO$1005:$BQ$1005,1,MATCH(COLUMNS($AO$1006:AX1006),$AO$1006:$BQ$1006,0))&gt;=100000), " ",IF(INDEX($AO$2:$BQ$1001,MATCH(ROWS($AH$2:AH15),$AH$2:$AH$1001,0),MATCH(COLUMNS($AO$1006:AX1006),$AO$1006:$BQ$1006,0)), HYPERLINK("#",""), HYPERLINK(CONCATENATE("#Metadata!", ADDRESS(INDEX($AJ$2:$AJ$1001,MATCH(ROWS($AH$2:AH15),$AH$2:$AH$1001,0),0), INDEX($AO$1004:$BQ$1004,1,MATCH(COLUMNS($AO$1006:AX1006),$AO$1006:$BQ$1006,0)))),"Fix")))</f>
        <v>#N/A</v>
      </c>
      <c r="L15" s="5" t="e">
        <f ca="1">IF(OR(INDEX($AI$2:$AI$1001,MATCH(ROWS($AH$2:AH15),$AH$2:$AH$1001,0),1)&gt;=100000,INDEX($AO$1005:$BQ$1005,1,MATCH(COLUMNS($AO$1006:AY1006),$AO$1006:$BQ$1006,0))&gt;=100000), " ",IF(INDEX($AO$2:$BQ$1001,MATCH(ROWS($AH$2:AH15),$AH$2:$AH$1001,0),MATCH(COLUMNS($AO$1006:AY1006),$AO$1006:$BQ$1006,0)), HYPERLINK("#",""), HYPERLINK(CONCATENATE("#Metadata!", ADDRESS(INDEX($AJ$2:$AJ$1001,MATCH(ROWS($AH$2:AH15),$AH$2:$AH$1001,0),0), INDEX($AO$1004:$BQ$1004,1,MATCH(COLUMNS($AO$1006:AY1006),$AO$1006:$BQ$1006,0)))),"Fix")))</f>
        <v>#N/A</v>
      </c>
      <c r="M15" s="5" t="e">
        <f ca="1">IF(OR(INDEX($AI$2:$AI$1001,MATCH(ROWS($AH$2:AH15),$AH$2:$AH$1001,0),1)&gt;=100000,INDEX($AO$1005:$BQ$1005,1,MATCH(COLUMNS($AO$1006:AZ1006),$AO$1006:$BQ$1006,0))&gt;=100000), " ",IF(INDEX($AO$2:$BQ$1001,MATCH(ROWS($AH$2:AH15),$AH$2:$AH$1001,0),MATCH(COLUMNS($AO$1006:AZ1006),$AO$1006:$BQ$1006,0)), HYPERLINK("#",""), HYPERLINK(CONCATENATE("#Metadata!", ADDRESS(INDEX($AJ$2:$AJ$1001,MATCH(ROWS($AH$2:AH15),$AH$2:$AH$1001,0),0), INDEX($AO$1004:$BQ$1004,1,MATCH(COLUMNS($AO$1006:AZ1006),$AO$1006:$BQ$1006,0)))),"Fix")))</f>
        <v>#N/A</v>
      </c>
      <c r="N15" s="5" t="e">
        <f ca="1">IF(OR(INDEX($AI$2:$AI$1001,MATCH(ROWS($AH$2:AH15),$AH$2:$AH$1001,0),1)&gt;=100000,INDEX($AO$1005:$BQ$1005,1,MATCH(COLUMNS($AO$1006:BA1006),$AO$1006:$BQ$1006,0))&gt;=100000), " ",IF(INDEX($AO$2:$BQ$1001,MATCH(ROWS($AH$2:AH15),$AH$2:$AH$1001,0),MATCH(COLUMNS($AO$1006:BA1006),$AO$1006:$BQ$1006,0)), HYPERLINK("#",""), HYPERLINK(CONCATENATE("#Metadata!", ADDRESS(INDEX($AJ$2:$AJ$1001,MATCH(ROWS($AH$2:AH15),$AH$2:$AH$1001,0),0), INDEX($AO$1004:$BQ$1004,1,MATCH(COLUMNS($AO$1006:BA1006),$AO$1006:$BQ$1006,0)))),"Fix")))</f>
        <v>#N/A</v>
      </c>
      <c r="O15" s="5" t="e">
        <f ca="1">IF(OR(INDEX($AI$2:$AI$1001,MATCH(ROWS($AH$2:AH15),$AH$2:$AH$1001,0),1)&gt;=100000,INDEX($AO$1005:$BQ$1005,1,MATCH(COLUMNS($AO$1006:BB1006),$AO$1006:$BQ$1006,0))&gt;=100000), " ",IF(INDEX($AO$2:$BQ$1001,MATCH(ROWS($AH$2:AH15),$AH$2:$AH$1001,0),MATCH(COLUMNS($AO$1006:BB1006),$AO$1006:$BQ$1006,0)), HYPERLINK("#",""), HYPERLINK(CONCATENATE("#Metadata!", ADDRESS(INDEX($AJ$2:$AJ$1001,MATCH(ROWS($AH$2:AH15),$AH$2:$AH$1001,0),0), INDEX($AO$1004:$BQ$1004,1,MATCH(COLUMNS($AO$1006:BB1006),$AO$1006:$BQ$1006,0)))),"Fix")))</f>
        <v>#N/A</v>
      </c>
      <c r="P15" s="5" t="e">
        <f ca="1">IF(OR(INDEX($AI$2:$AI$1001,MATCH(ROWS($AH$2:AH15),$AH$2:$AH$1001,0),1)&gt;=100000,INDEX($AO$1005:$BQ$1005,1,MATCH(COLUMNS($AO$1006:BC1006),$AO$1006:$BQ$1006,0))&gt;=100000), " ",IF(INDEX($AO$2:$BQ$1001,MATCH(ROWS($AH$2:AH15),$AH$2:$AH$1001,0),MATCH(COLUMNS($AO$1006:BC1006),$AO$1006:$BQ$1006,0)), HYPERLINK("#",""), HYPERLINK(CONCATENATE("#Metadata!", ADDRESS(INDEX($AJ$2:$AJ$1001,MATCH(ROWS($AH$2:AH15),$AH$2:$AH$1001,0),0), INDEX($AO$1004:$BQ$1004,1,MATCH(COLUMNS($AO$1006:BC1006),$AO$1006:$BQ$1006,0)))),"Fix")))</f>
        <v>#N/A</v>
      </c>
      <c r="Q15" s="5" t="e">
        <f ca="1">IF(OR(INDEX($AI$2:$AI$1001,MATCH(ROWS($AH$2:AH15),$AH$2:$AH$1001,0),1)&gt;=100000,INDEX($AO$1005:$BQ$1005,1,MATCH(COLUMNS($AO$1006:BD1006),$AO$1006:$BQ$1006,0))&gt;=100000), " ",IF(INDEX($AO$2:$BQ$1001,MATCH(ROWS($AH$2:AH15),$AH$2:$AH$1001,0),MATCH(COLUMNS($AO$1006:BD1006),$AO$1006:$BQ$1006,0)), HYPERLINK("#",""), HYPERLINK(CONCATENATE("#Metadata!", ADDRESS(INDEX($AJ$2:$AJ$1001,MATCH(ROWS($AH$2:AH15),$AH$2:$AH$1001,0),0), INDEX($AO$1004:$BQ$1004,1,MATCH(COLUMNS($AO$1006:BD1006),$AO$1006:$BQ$1006,0)))),"Fix")))</f>
        <v>#N/A</v>
      </c>
      <c r="R15" s="5" t="e">
        <f ca="1">IF(OR(INDEX($AI$2:$AI$1001,MATCH(ROWS($AH$2:AH15),$AH$2:$AH$1001,0),1)&gt;=100000,INDEX($AO$1005:$BQ$1005,1,MATCH(COLUMNS($AO$1006:BE1006),$AO$1006:$BQ$1006,0))&gt;=100000), " ",IF(INDEX($AO$2:$BQ$1001,MATCH(ROWS($AH$2:AH15),$AH$2:$AH$1001,0),MATCH(COLUMNS($AO$1006:BE1006),$AO$1006:$BQ$1006,0)), HYPERLINK("#",""), HYPERLINK(CONCATENATE("#Metadata!", ADDRESS(INDEX($AJ$2:$AJ$1001,MATCH(ROWS($AH$2:AH15),$AH$2:$AH$1001,0),0), INDEX($AO$1004:$BQ$1004,1,MATCH(COLUMNS($AO$1006:BE1006),$AO$1006:$BQ$1006,0)))),"Fix")))</f>
        <v>#N/A</v>
      </c>
      <c r="S15" s="5" t="e">
        <f ca="1">IF(OR(INDEX($AI$2:$AI$1001,MATCH(ROWS($AH$2:AH15),$AH$2:$AH$1001,0),1)&gt;=100000,INDEX($AO$1005:$BQ$1005,1,MATCH(COLUMNS($AO$1006:BF1006),$AO$1006:$BQ$1006,0))&gt;=100000), " ",IF(INDEX($AO$2:$BQ$1001,MATCH(ROWS($AH$2:AH15),$AH$2:$AH$1001,0),MATCH(COLUMNS($AO$1006:BF1006),$AO$1006:$BQ$1006,0)), HYPERLINK("#",""), HYPERLINK(CONCATENATE("#Metadata!", ADDRESS(INDEX($AJ$2:$AJ$1001,MATCH(ROWS($AH$2:AH15),$AH$2:$AH$1001,0),0), INDEX($AO$1004:$BQ$1004,1,MATCH(COLUMNS($AO$1006:BF1006),$AO$1006:$BQ$1006,0)))),"Fix")))</f>
        <v>#N/A</v>
      </c>
      <c r="T15" s="5" t="e">
        <f ca="1">IF(OR(INDEX($AI$2:$AI$1001,MATCH(ROWS($AH$2:AH15),$AH$2:$AH$1001,0),1)&gt;=100000,INDEX($AO$1005:$BQ$1005,1,MATCH(COLUMNS($AO$1006:BG1006),$AO$1006:$BQ$1006,0))&gt;=100000), " ",IF(INDEX($AO$2:$BQ$1001,MATCH(ROWS($AH$2:AH15),$AH$2:$AH$1001,0),MATCH(COLUMNS($AO$1006:BG1006),$AO$1006:$BQ$1006,0)), HYPERLINK("#",""), HYPERLINK(CONCATENATE("#Metadata!", ADDRESS(INDEX($AJ$2:$AJ$1001,MATCH(ROWS($AH$2:AH15),$AH$2:$AH$1001,0),0), INDEX($AO$1004:$BQ$1004,1,MATCH(COLUMNS($AO$1006:BG1006),$AO$1006:$BQ$1006,0)))),"Fix")))</f>
        <v>#N/A</v>
      </c>
      <c r="U15" s="5" t="e">
        <f ca="1">IF(OR(INDEX($AI$2:$AI$1001,MATCH(ROWS($AH$2:AH15),$AH$2:$AH$1001,0),1)&gt;=100000,INDEX($AO$1005:$BQ$1005,1,MATCH(COLUMNS($AO$1006:BH1006),$AO$1006:$BQ$1006,0))&gt;=100000), " ",IF(INDEX($AO$2:$BQ$1001,MATCH(ROWS($AH$2:AH15),$AH$2:$AH$1001,0),MATCH(COLUMNS($AO$1006:BH1006),$AO$1006:$BQ$1006,0)), HYPERLINK("#",""), HYPERLINK(CONCATENATE("#Metadata!", ADDRESS(INDEX($AJ$2:$AJ$1001,MATCH(ROWS($AH$2:AH15),$AH$2:$AH$1001,0),0), INDEX($AO$1004:$BQ$1004,1,MATCH(COLUMNS($AO$1006:BH1006),$AO$1006:$BQ$1006,0)))),"Fix")))</f>
        <v>#N/A</v>
      </c>
      <c r="V15" s="5" t="e">
        <f ca="1">IF(OR(INDEX($AI$2:$AI$1001,MATCH(ROWS($AH$2:AH15),$AH$2:$AH$1001,0),1)&gt;=100000,INDEX($AO$1005:$BQ$1005,1,MATCH(COLUMNS($AO$1006:BI1006),$AO$1006:$BQ$1006,0))&gt;=100000), " ",IF(INDEX($AO$2:$BQ$1001,MATCH(ROWS($AH$2:AH15),$AH$2:$AH$1001,0),MATCH(COLUMNS($AO$1006:BI1006),$AO$1006:$BQ$1006,0)), HYPERLINK("#",""), HYPERLINK(CONCATENATE("#Metadata!", ADDRESS(INDEX($AJ$2:$AJ$1001,MATCH(ROWS($AH$2:AH15),$AH$2:$AH$1001,0),0), INDEX($AO$1004:$BQ$1004,1,MATCH(COLUMNS($AO$1006:BI1006),$AO$1006:$BQ$1006,0)))),"Fix")))</f>
        <v>#N/A</v>
      </c>
      <c r="W15" s="5" t="e">
        <f ca="1">IF(OR(INDEX($AI$2:$AI$1001,MATCH(ROWS($AH$2:AH15),$AH$2:$AH$1001,0),1)&gt;=100000,INDEX($AO$1005:$BQ$1005,1,MATCH(COLUMNS($AO$1006:BJ1006),$AO$1006:$BQ$1006,0))&gt;=100000), " ",IF(INDEX($AO$2:$BQ$1001,MATCH(ROWS($AH$2:AH15),$AH$2:$AH$1001,0),MATCH(COLUMNS($AO$1006:BJ1006),$AO$1006:$BQ$1006,0)), HYPERLINK("#",""), HYPERLINK(CONCATENATE("#Metadata!", ADDRESS(INDEX($AJ$2:$AJ$1001,MATCH(ROWS($AH$2:AH15),$AH$2:$AH$1001,0),0), INDEX($AO$1004:$BQ$1004,1,MATCH(COLUMNS($AO$1006:BJ1006),$AO$1006:$BQ$1006,0)))),"Fix")))</f>
        <v>#N/A</v>
      </c>
      <c r="X15" s="5" t="e">
        <f ca="1">IF(OR(INDEX($AI$2:$AI$1001,MATCH(ROWS($AH$2:AH15),$AH$2:$AH$1001,0),1)&gt;=100000,INDEX($AO$1005:$BQ$1005,1,MATCH(COLUMNS($AO$1006:BK1006),$AO$1006:$BQ$1006,0))&gt;=100000), " ",IF(INDEX($AO$2:$BQ$1001,MATCH(ROWS($AH$2:AH15),$AH$2:$AH$1001,0),MATCH(COLUMNS($AO$1006:BK1006),$AO$1006:$BQ$1006,0)), HYPERLINK("#",""), HYPERLINK(CONCATENATE("#Metadata!", ADDRESS(INDEX($AJ$2:$AJ$1001,MATCH(ROWS($AH$2:AH15),$AH$2:$AH$1001,0),0), INDEX($AO$1004:$BQ$1004,1,MATCH(COLUMNS($AO$1006:BK1006),$AO$1006:$BQ$1006,0)))),"Fix")))</f>
        <v>#N/A</v>
      </c>
      <c r="Y15" s="5" t="e">
        <f ca="1">IF(OR(INDEX($AI$2:$AI$1001,MATCH(ROWS($AH$2:AH15),$AH$2:$AH$1001,0),1)&gt;=100000,INDEX($AO$1005:$BQ$1005,1,MATCH(COLUMNS($AO$1006:BL1006),$AO$1006:$BQ$1006,0))&gt;=100000), " ",IF(INDEX($AO$2:$BQ$1001,MATCH(ROWS($AH$2:AH15),$AH$2:$AH$1001,0),MATCH(COLUMNS($AO$1006:BL1006),$AO$1006:$BQ$1006,0)), HYPERLINK("#",""), HYPERLINK(CONCATENATE("#Metadata!", ADDRESS(INDEX($AJ$2:$AJ$1001,MATCH(ROWS($AH$2:AH15),$AH$2:$AH$1001,0),0), INDEX($AO$1004:$BQ$1004,1,MATCH(COLUMNS($AO$1006:BL1006),$AO$1006:$BQ$1006,0)))),"Fix")))</f>
        <v>#N/A</v>
      </c>
      <c r="Z15" s="5" t="e">
        <f ca="1">IF(OR(INDEX($AI$2:$AI$1001,MATCH(ROWS($AH$2:AH15),$AH$2:$AH$1001,0),1)&gt;=100000,INDEX($AO$1005:$BQ$1005,1,MATCH(COLUMNS($AO$1006:BM1006),$AO$1006:$BQ$1006,0))&gt;=100000), " ",IF(INDEX($AO$2:$BQ$1001,MATCH(ROWS($AH$2:AH15),$AH$2:$AH$1001,0),MATCH(COLUMNS($AO$1006:BM1006),$AO$1006:$BQ$1006,0)), HYPERLINK("#",""), HYPERLINK(CONCATENATE("#Metadata!", ADDRESS(INDEX($AJ$2:$AJ$1001,MATCH(ROWS($AH$2:AH15),$AH$2:$AH$1001,0),0), INDEX($AO$1004:$BQ$1004,1,MATCH(COLUMNS($AO$1006:BM1006),$AO$1006:$BQ$1006,0)))),"Fix")))</f>
        <v>#N/A</v>
      </c>
      <c r="AA15" s="5" t="e">
        <f ca="1">IF(OR(INDEX($AI$2:$AI$1001,MATCH(ROWS($AH$2:AH15),$AH$2:$AH$1001,0),1)&gt;=100000,INDEX($AO$1005:$BQ$1005,1,MATCH(COLUMNS($AO$1006:BN1006),$AO$1006:$BQ$1006,0))&gt;=100000), " ",IF(INDEX($AO$2:$BQ$1001,MATCH(ROWS($AH$2:AH15),$AH$2:$AH$1001,0),MATCH(COLUMNS($AO$1006:BN1006),$AO$1006:$BQ$1006,0)), HYPERLINK("#",""), HYPERLINK(CONCATENATE("#Metadata!", ADDRESS(INDEX($AJ$2:$AJ$1001,MATCH(ROWS($AH$2:AH15),$AH$2:$AH$1001,0),0), INDEX($AO$1004:$BQ$1004,1,MATCH(COLUMNS($AO$1006:BN1006),$AO$1006:$BQ$1006,0)))),"Fix")))</f>
        <v>#N/A</v>
      </c>
      <c r="AB15" s="5" t="e">
        <f ca="1">IF(OR(INDEX($AI$2:$AI$1001,MATCH(ROWS($AH$2:AH15),$AH$2:$AH$1001,0),1)&gt;=100000,INDEX($AO$1005:$BQ$1005,1,MATCH(COLUMNS($AO$1006:BO1006),$AO$1006:$BQ$1006,0))&gt;=100000), " ",IF(INDEX($AO$2:$BQ$1001,MATCH(ROWS($AH$2:AH15),$AH$2:$AH$1001,0),MATCH(COLUMNS($AO$1006:BO1006),$AO$1006:$BQ$1006,0)), HYPERLINK("#",""), HYPERLINK(CONCATENATE("#Metadata!", ADDRESS(INDEX($AJ$2:$AJ$1001,MATCH(ROWS($AH$2:AH15),$AH$2:$AH$1001,0),0), INDEX($AO$1004:$BQ$1004,1,MATCH(COLUMNS($AO$1006:BO1006),$AO$1006:$BQ$1006,0)))),"Fix")))</f>
        <v>#N/A</v>
      </c>
      <c r="AC15" s="5" t="e">
        <f ca="1">IF(OR(INDEX($AI$2:$AI$1001,MATCH(ROWS($AH$2:AH15),$AH$2:$AH$1001,0),1)&gt;=100000,INDEX($AO$1005:$BQ$1005,1,MATCH(COLUMNS($AO$1006:BP1006),$AO$1006:$BQ$1006,0))&gt;=100000), " ",IF(INDEX($AO$2:$BQ$1001,MATCH(ROWS($AH$2:AH15),$AH$2:$AH$1001,0),MATCH(COLUMNS($AO$1006:BP1006),$AO$1006:$BQ$1006,0)), HYPERLINK("#",""), HYPERLINK(CONCATENATE("#Metadata!", ADDRESS(INDEX($AJ$2:$AJ$1001,MATCH(ROWS($AH$2:AH15),$AH$2:$AH$1001,0),0), INDEX($AO$1004:$BQ$1004,1,MATCH(COLUMNS($AO$1006:BP1006),$AO$1006:$BQ$1006,0)))),"Fix")))</f>
        <v>#N/A</v>
      </c>
      <c r="AD15" s="5" t="e">
        <f ca="1">IF(OR(INDEX($AI$2:$AI$1001,MATCH(ROWS($AH$2:AH15),$AH$2:$AH$1001,0),1)&gt;=100000,INDEX($AO$1005:$BQ$1005,1,MATCH(COLUMNS($AO$1006:BQ1006),$AO$1006:$BQ$1006,0))&gt;=100000), " ",IF(INDEX($AO$2:$BQ$1001,MATCH(ROWS($AH$2:AH15),$AH$2:$AH$1001,0),MATCH(COLUMNS($AO$1006:BQ1006),$AO$1006:$BQ$1006,0)), HYPERLINK("#",""), HYPERLINK(CONCATENATE("#Metadata!", ADDRESS(INDEX($AJ$2:$AJ$1001,MATCH(ROWS($AH$2:AH15),$AH$2:$AH$1001,0),0), INDEX($AO$1004:$BQ$1004,1,MATCH(COLUMNS($AO$1006:BQ1006),$AO$1006:$BQ$1006,0)))),"Fix")))</f>
        <v>#REF!</v>
      </c>
      <c r="AH15">
        <f ca="1"/>
        <v>13</v>
      </c>
      <c r="AI15">
        <f ca="1"/>
        <v>15</v>
      </c>
      <c r="AJ15">
        <v>15</v>
      </c>
      <c r="AK15" t="b">
        <f t="shared" ca="1" si="0"/>
        <v>0</v>
      </c>
      <c r="AL15" t="b">
        <f>COUNTBLANK(Metadata!B15:AD15)=COLUMNS(Metadata!B15:AD15)</f>
        <v>0</v>
      </c>
      <c r="AM15" t="str">
        <v>Environment.Sediment.BTP.136Side.2</v>
      </c>
      <c r="AO15" t="b">
        <f ca="1">AND(IF(Metadata!B14="",FALSE,TRUE),COUNTIF(Metadata!B:B, Metadata!B14) = 1,NOT(ISERROR(SUMPRODUCT(SEARCH(MID(Metadata!B14,ROW(INDIRECT("1:"&amp;LEN(Metadata!B14))), 1),"0123456789abcdefghijklmnopqrstuvwxyzABCDEFGHIJKLMNOPQRSTUVWXYZ.")))))</f>
        <v>1</v>
      </c>
      <c r="AP15" t="b">
        <f>IF(Metadata!C14="",FALSE,TRUE)</f>
        <v>1</v>
      </c>
      <c r="AQ15" t="b">
        <f>IF(Metadata!D14="",FALSE,TRUE)</f>
        <v>1</v>
      </c>
      <c r="AR15" t="b">
        <f ca="1">OR(AND(IF(Metadata!E14="",FALSE,TRUE),OR(EXACT(Metadata!E14,"not collected"),EXACT(Metadata!E14,"not provided"),EXACT(Metadata!E14,"restricted access"))),AND(IF(Metadata!E14="",FALSE,TRUE),AND(AND(IFERROR(INT(LEFT(Metadata!E14,4))&gt;1900,FALSE),IFERROR(INT(LEFT(Metadata!E14,4))&lt;=YEAR(NOW()),FALSE)), OR(MID(Metadata!E14,5,1)="", AND(AND(MID(Metadata!E14,5,1)="-",IFERROR(INT(MID(Metadata!E14,6,1))&gt;=0,FALSE),IFERROR(INT(MID(Metadata!E14,6,1))&lt;=1,FALSE),NOT(MID(Metadata!E14,7,1)=""),IFERROR(INT(MID(Metadata!E14,6,2))&gt;=1,FALSE),IFERROR(INT(MID(Metadata!E14,6,2))&lt;=12,FALSE)), OR(MID(Metadata!E14,8,1)="", AND(AND(MID(Metadata!E14,8,1)="-",IFERROR(INT(MID(Metadata!E14,9,1))&gt;=0,FALSE),IFERROR(INT(MID(Metadata!E14,9,1))&lt;=3,FALSE),NOT(MID(Metadata!E14,10,1)=""),IFERROR(INT(MID(Metadata!E14,9,2))&gt;=1,FALSE),IFERROR(INT(MID(Metadata!E14,9,2))&lt;=31,FALSE)), OR(MID(Metadata!E14,11,1)="", AND(AND(MID(Metadata!E14,11,1)=" ",IFERROR(INT(MID(Metadata!E14,12,1))&gt;=0,FALSE),IFERROR(INT(MID(Metadata!E14,12,1))&lt;=2,FALSE),NOT(MID(Metadata!E14,13,1)=""),IFERROR(INT(MID(Metadata!E14,12,2))&gt;=0,FALSE),IFERROR(INT(MID(Metadata!E14,12,2))&lt;=23,FALSE)), OR(MID(Metadata!E14,14,1)="", AND(AND(MID(Metadata!E14,14,1)=":",IFERROR(INT(MID(Metadata!E14,15,1))&gt;=0,FALSE),IFERROR(INT(MID(Metadata!E14,15,1))&lt;=5,FALSE),NOT(MID(Metadata!E14,16,1)=""),IFERROR(INT(MID(Metadata!E14,15,2))&gt;=0,FALSE),IFERROR(INT(MID(Metadata!E14,15,2))&lt;=59,FALSE)), OR(MID(Metadata!E14,17,1)="", AND(AND(MID(Metadata!E14,17,1)=":",IFERROR(INT(MID(Metadata!E14,18,1))&gt;=0,FALSE),IFERROR(INT(MID(Metadata!E14,18,1))&lt;=5,FALSE),NOT(MID(Metadata!E14,19,1)=""),IFERROR(INT(MID(Metadata!E14,18,2))&gt;=0,FALSE),IFERROR(INT(MID(Metadata!E14,18,2))&lt;=59,FALSE)), LEN(Metadata!E14)&lt;=19)))))))))))))</f>
        <v>0</v>
      </c>
      <c r="AS15" t="b">
        <f>IF(Metadata!F14="",FALSE,TRUE)</f>
        <v>1</v>
      </c>
      <c r="AT15" t="b">
        <f>OR(AND(IF(Metadata!G14="",FALSE,TRUE),OR(EXACT(Metadata!G14,"not collected"),EXACT(Metadata!G14,"not provided"))),AND(IF(Metadata!G14="",FALSE,TRUE),OR(EXACT(Metadata!G14,"TRUE"),EXACT(Metadata!G14,"FALSE"))))</f>
        <v>1</v>
      </c>
      <c r="AU15" t="b">
        <f>OR(AND(IF(Metadata!H14="",FALSE,TRUE),OR(EXACT(Metadata!H14,"not collected"),EXACT(Metadata!H14,"not provided"),EXACT(Metadata!H14,"restricted access"))),AND(IF(Metadata!H14="",FALSE,ISNUMBER(VALUE(Metadata!H14))),Metadata!H14&gt;=-413))</f>
        <v>0</v>
      </c>
      <c r="AV15" t="b">
        <f>AND(IF(Metadata!I14="",FALSE,TRUE),EXACT(Metadata!I14,"meters"))</f>
        <v>1</v>
      </c>
      <c r="AW15" t="b">
        <f>AND(IF(Metadata!J14="",FALSE,TRUE),EXACT(Metadata!J14,"free-living"))</f>
        <v>1</v>
      </c>
      <c r="AX15" t="b">
        <f>AND(IF(Metadata!K14="",FALSE,TRUE),OR(EXACT(Metadata!K14,"saline"),EXACT(Metadata!K14,"non-saline")))</f>
        <v>1</v>
      </c>
      <c r="AY15" t="b">
        <f>AND(IF(Metadata!L14="",FALSE,TRUE),OR(EXACT(Metadata!L14,"sub-surface (non-saline)"),EXACT(Metadata!L14,"surface (non-saline)"),EXACT(Metadata!L14,"water (non-saline)"),EXACT(Metadata!L14,"soil (non-saline)"),EXACT(Metadata!L14,"aerosol (non-saline)"),EXACT(Metadata!L14,"sediment (non-saline)"),EXACT(Metadata!L14,"surface (saline)"),EXACT(Metadata!L14,"water (saline)"),EXACT(Metadata!L14,"hypersaline (saline)"),EXACT(Metadata!L14,"aerosol (saline)"),EXACT(Metadata!L14,"sediment (saline)")))</f>
        <v>1</v>
      </c>
      <c r="AZ15" t="b">
        <f>IF(Metadata!M14="",FALSE,TRUE)</f>
        <v>1</v>
      </c>
      <c r="BA15" t="b">
        <f>IF(Metadata!N14="",FALSE,TRUE)</f>
        <v>1</v>
      </c>
      <c r="BB15" t="b">
        <f>IF(Metadata!O14="",FALSE,TRUE)</f>
        <v>1</v>
      </c>
      <c r="BC15" t="b">
        <f>AND(IF(Metadata!P14="",FALSE,TRUE),OR(EXACT(Metadata!P14,"air"),EXACT(Metadata!P14,"microbial mat/biofilm"),EXACT(Metadata!P14,"misc environment"),EXACT(Metadata!P14,"sediment"),EXACT(Metadata!P14,"soil"),EXACT(Metadata!P14,"wastewater/sludge"),EXACT(Metadata!P14,"water")))</f>
        <v>1</v>
      </c>
      <c r="BD15" t="b">
        <f>IF(Metadata!Q14="",FALSE,TRUE)</f>
        <v>1</v>
      </c>
      <c r="BE15" t="b">
        <f>IF(Metadata!R14="",FALSE,TRUE)</f>
        <v>1</v>
      </c>
      <c r="BF15" t="b">
        <f>OR(AND(IF(Metadata!S14="",FALSE,TRUE),OR(EXACT(Metadata!S14,"not collected"),EXACT(Metadata!S14,"not provided"),EXACT(Metadata!S14,"restricted access"))),AND(IF(Metadata!S14="",FALSE,ISNUMBER(VALUE(Metadata!S14))),Metadata!S14&gt;=-90,Metadata!S14&lt;=90))</f>
        <v>0</v>
      </c>
      <c r="BG15" t="b">
        <f>AND(IF(Metadata!T14="",FALSE,TRUE),EXACT(Metadata!T14,"Decimal degrees"))</f>
        <v>1</v>
      </c>
      <c r="BH15" t="b">
        <f>OR(AND(IF(Metadata!U15="",FALSE,TRUE),OR(EXACT(Metadata!U15,"not applicable"),EXACT(Metadata!U15,"not collected"))),IF(Metadata!U15="",FALSE,TRUE))</f>
        <v>1</v>
      </c>
      <c r="BI15" t="b">
        <f>OR(AND(IF(Metadata!V14="",FALSE,TRUE),OR(EXACT(Metadata!V14,"not collected"),EXACT(Metadata!V14,"not provided"),EXACT(Metadata!V14,"restricted access"))),AND(IF(Metadata!V14="",FALSE,ISNUMBER(VALUE(Metadata!V14))),Metadata!V14&gt;=-180,Metadata!V14&lt;=180))</f>
        <v>0</v>
      </c>
      <c r="BJ15" t="b">
        <f>AND(IF(Metadata!W14="",FALSE,TRUE),EXACT(Metadata!W14,"Decimal degrees"))</f>
        <v>1</v>
      </c>
      <c r="BK15" t="b">
        <f>IF(Metadata!X14="",FALSE,TRUE)</f>
        <v>1</v>
      </c>
      <c r="BL15" t="b">
        <f>OR(AND(IF(Metadata!Y14="",FALSE,TRUE),OR(EXACT(Metadata!Y14,"not collected"),EXACT(Metadata!Y14,"not provided"),EXACT(Metadata!Y14,"restricted access"))),AND(IF(Metadata!Y14="",FALSE,TRUE),OR(EXACT(Metadata!Y14,"TRUE"),EXACT(Metadata!Y14,"FALSE"))))</f>
        <v>1</v>
      </c>
      <c r="BM15" t="b">
        <f>OR(AND(IF(Metadata!Z14="",FALSE,TRUE),EXACT(Metadata!Z14,"not applicable")),AND(IF(Metadata!Z14="",FALSE,TRUE),OR(EXACT(Metadata!Z14,"beer"),EXACT(Metadata!Z14,"cheese"),EXACT(Metadata!Z14,"fresh water"),EXACT(Metadata!Z14,"marine sediment"),EXACT(Metadata!Z14,"sea water"),EXACT(Metadata!Z14,"sediment"),EXACT(Metadata!Z14,"soil"),EXACT(Metadata!Z14,"waste water"))))</f>
        <v>1</v>
      </c>
      <c r="BN15" t="b">
        <f>AND(IF(Metadata!AA14="",FALSE,TRUE),EXACT(Metadata!AA14,"metagenome"))</f>
        <v>1</v>
      </c>
      <c r="BO15" t="b">
        <f>AND(IF(Metadata!AB14="",FALSE,TRUE),EXACT(Metadata!AB14,"256318"))</f>
        <v>1</v>
      </c>
      <c r="BP15" t="b">
        <f>IF(Metadata!AC14="",FALSE,TRUE)</f>
        <v>1</v>
      </c>
      <c r="BQ15" t="b">
        <f>IF(Metadata!AD14="",FALSE,TRUE)</f>
        <v>1</v>
      </c>
    </row>
    <row r="16" spans="1:69" x14ac:dyDescent="0.2">
      <c r="A16" s="4" t="e">
        <f ca="1">IF(B16=" "," ",HYPERLINK(CONCATENATE("#metadata!",ADDRESS(INDEX($AJ$2:$AJ$1001,MATCH(ROWS($AH$2:AH16),$AH$2:$AH$1001,0),0),2)),INDEX($AM$2:$AM$1001,MATCH(ROWS($AH$2:AH16),$AH$2:$AH$1001,0),0)))</f>
        <v>#N/A</v>
      </c>
      <c r="B16" s="5" t="e">
        <f ca="1">IF(OR(INDEX($AI$2:$AI$1001,MATCH(ROWS($AH$2:AH16),$AH$2:$AH$1001,0),1)&gt;=100000,INDEX($AO$1005:$BQ$1005,1,MATCH(COLUMNS($AO$1006:AO1006),$AO$1006:$BQ$1006,0))&gt;=100000), " ",IF(INDEX($AO$2:$BQ$1001,MATCH(ROWS($AH$2:AH16),$AH$2:$AH$1001,0),MATCH(COLUMNS($AO$1006:AO1006),$AO$1006:$BQ$1006,0)), HYPERLINK("#",""), HYPERLINK(CONCATENATE("#Metadata!", ADDRESS(INDEX($AJ$2:$AJ$1001,MATCH(ROWS($AH$2:AH16),$AH$2:$AH$1001,0),0), INDEX($AO$1004:$BQ$1004,1,MATCH(COLUMNS($AO$1006:AO1006),$AO$1006:$BQ$1006,0)))),"Fix")))</f>
        <v>#N/A</v>
      </c>
      <c r="C16" s="5" t="e">
        <f ca="1">IF(OR(INDEX($AI$2:$AI$1001,MATCH(ROWS($AH$2:AH16),$AH$2:$AH$1001,0),1)&gt;=100000,INDEX($AO$1005:$BQ$1005,1,MATCH(COLUMNS($AO$1006:AP1006),$AO$1006:$BQ$1006,0))&gt;=100000), " ",IF(INDEX($AO$2:$BQ$1001,MATCH(ROWS($AH$2:AH16),$AH$2:$AH$1001,0),MATCH(COLUMNS($AO$1006:AP1006),$AO$1006:$BQ$1006,0)), HYPERLINK("#",""), HYPERLINK(CONCATENATE("#Metadata!", ADDRESS(INDEX($AJ$2:$AJ$1001,MATCH(ROWS($AH$2:AH16),$AH$2:$AH$1001,0),0), INDEX($AO$1004:$BQ$1004,1,MATCH(COLUMNS($AO$1006:AP1006),$AO$1006:$BQ$1006,0)))),"Fix")))</f>
        <v>#N/A</v>
      </c>
      <c r="D16" s="5" t="e">
        <f ca="1">IF(OR(INDEX($AI$2:$AI$1001,MATCH(ROWS($AH$2:AH16),$AH$2:$AH$1001,0),1)&gt;=100000,INDEX($AO$1005:$BQ$1005,1,MATCH(COLUMNS($AO$1006:AQ1006),$AO$1006:$BQ$1006,0))&gt;=100000), " ",IF(INDEX($AO$2:$BQ$1001,MATCH(ROWS($AH$2:AH16),$AH$2:$AH$1001,0),MATCH(COLUMNS($AO$1006:AQ1006),$AO$1006:$BQ$1006,0)), HYPERLINK("#",""), HYPERLINK(CONCATENATE("#Metadata!", ADDRESS(INDEX($AJ$2:$AJ$1001,MATCH(ROWS($AH$2:AH16),$AH$2:$AH$1001,0),0), INDEX($AO$1004:$BQ$1004,1,MATCH(COLUMNS($AO$1006:AQ1006),$AO$1006:$BQ$1006,0)))),"Fix")))</f>
        <v>#N/A</v>
      </c>
      <c r="E16" s="5" t="e">
        <f ca="1">IF(OR(INDEX($AI$2:$AI$1001,MATCH(ROWS($AH$2:AH16),$AH$2:$AH$1001,0),1)&gt;=100000,INDEX($AO$1005:$BQ$1005,1,MATCH(COLUMNS($AO$1006:AR1006),$AO$1006:$BQ$1006,0))&gt;=100000), " ",IF(INDEX($AO$2:$BQ$1001,MATCH(ROWS($AH$2:AH16),$AH$2:$AH$1001,0),MATCH(COLUMNS($AO$1006:AR1006),$AO$1006:$BQ$1006,0)), HYPERLINK("#",""), HYPERLINK(CONCATENATE("#Metadata!", ADDRESS(INDEX($AJ$2:$AJ$1001,MATCH(ROWS($AH$2:AH16),$AH$2:$AH$1001,0),0), INDEX($AO$1004:$BQ$1004,1,MATCH(COLUMNS($AO$1006:AR1006),$AO$1006:$BQ$1006,0)))),"Fix")))</f>
        <v>#N/A</v>
      </c>
      <c r="F16" s="5" t="e">
        <f ca="1">IF(OR(INDEX($AI$2:$AI$1001,MATCH(ROWS($AH$2:AH16),$AH$2:$AH$1001,0),1)&gt;=100000,INDEX($AO$1005:$BQ$1005,1,MATCH(COLUMNS($AO$1006:AS1006),$AO$1006:$BQ$1006,0))&gt;=100000), " ",IF(INDEX($AO$2:$BQ$1001,MATCH(ROWS($AH$2:AH16),$AH$2:$AH$1001,0),MATCH(COLUMNS($AO$1006:AS1006),$AO$1006:$BQ$1006,0)), HYPERLINK("#",""), HYPERLINK(CONCATENATE("#Metadata!", ADDRESS(INDEX($AJ$2:$AJ$1001,MATCH(ROWS($AH$2:AH16),$AH$2:$AH$1001,0),0), INDEX($AO$1004:$BQ$1004,1,MATCH(COLUMNS($AO$1006:AS1006),$AO$1006:$BQ$1006,0)))),"Fix")))</f>
        <v>#N/A</v>
      </c>
      <c r="G16" s="5" t="e">
        <f ca="1">IF(OR(INDEX($AI$2:$AI$1001,MATCH(ROWS($AH$2:AH16),$AH$2:$AH$1001,0),1)&gt;=100000,INDEX($AO$1005:$BQ$1005,1,MATCH(COLUMNS($AO$1006:AT1006),$AO$1006:$BQ$1006,0))&gt;=100000), " ",IF(INDEX($AO$2:$BQ$1001,MATCH(ROWS($AH$2:AH16),$AH$2:$AH$1001,0),MATCH(COLUMNS($AO$1006:AT1006),$AO$1006:$BQ$1006,0)), HYPERLINK("#",""), HYPERLINK(CONCATENATE("#Metadata!", ADDRESS(INDEX($AJ$2:$AJ$1001,MATCH(ROWS($AH$2:AH16),$AH$2:$AH$1001,0),0), INDEX($AO$1004:$BQ$1004,1,MATCH(COLUMNS($AO$1006:AT1006),$AO$1006:$BQ$1006,0)))),"Fix")))</f>
        <v>#N/A</v>
      </c>
      <c r="H16" s="5" t="e">
        <f ca="1">IF(OR(INDEX($AI$2:$AI$1001,MATCH(ROWS($AH$2:AH16),$AH$2:$AH$1001,0),1)&gt;=100000,INDEX($AO$1005:$BQ$1005,1,MATCH(COLUMNS($AO$1006:AU1006),$AO$1006:$BQ$1006,0))&gt;=100000), " ",IF(INDEX($AO$2:$BQ$1001,MATCH(ROWS($AH$2:AH16),$AH$2:$AH$1001,0),MATCH(COLUMNS($AO$1006:AU1006),$AO$1006:$BQ$1006,0)), HYPERLINK("#",""), HYPERLINK(CONCATENATE("#Metadata!", ADDRESS(INDEX($AJ$2:$AJ$1001,MATCH(ROWS($AH$2:AH16),$AH$2:$AH$1001,0),0), INDEX($AO$1004:$BQ$1004,1,MATCH(COLUMNS($AO$1006:AU1006),$AO$1006:$BQ$1006,0)))),"Fix")))</f>
        <v>#N/A</v>
      </c>
      <c r="I16" s="5" t="e">
        <f ca="1">IF(OR(INDEX($AI$2:$AI$1001,MATCH(ROWS($AH$2:AH16),$AH$2:$AH$1001,0),1)&gt;=100000,INDEX($AO$1005:$BQ$1005,1,MATCH(COLUMNS($AO$1006:AV1006),$AO$1006:$BQ$1006,0))&gt;=100000), " ",IF(INDEX($AO$2:$BQ$1001,MATCH(ROWS($AH$2:AH16),$AH$2:$AH$1001,0),MATCH(COLUMNS($AO$1006:AV1006),$AO$1006:$BQ$1006,0)), HYPERLINK("#",""), HYPERLINK(CONCATENATE("#Metadata!", ADDRESS(INDEX($AJ$2:$AJ$1001,MATCH(ROWS($AH$2:AH16),$AH$2:$AH$1001,0),0), INDEX($AO$1004:$BQ$1004,1,MATCH(COLUMNS($AO$1006:AV1006),$AO$1006:$BQ$1006,0)))),"Fix")))</f>
        <v>#N/A</v>
      </c>
      <c r="J16" s="5" t="e">
        <f ca="1">IF(OR(INDEX($AI$2:$AI$1001,MATCH(ROWS($AH$2:AH16),$AH$2:$AH$1001,0),1)&gt;=100000,INDEX($AO$1005:$BQ$1005,1,MATCH(COLUMNS($AO$1006:AW1006),$AO$1006:$BQ$1006,0))&gt;=100000), " ",IF(INDEX($AO$2:$BQ$1001,MATCH(ROWS($AH$2:AH16),$AH$2:$AH$1001,0),MATCH(COLUMNS($AO$1006:AW1006),$AO$1006:$BQ$1006,0)), HYPERLINK("#",""), HYPERLINK(CONCATENATE("#Metadata!", ADDRESS(INDEX($AJ$2:$AJ$1001,MATCH(ROWS($AH$2:AH16),$AH$2:$AH$1001,0),0), INDEX($AO$1004:$BQ$1004,1,MATCH(COLUMNS($AO$1006:AW1006),$AO$1006:$BQ$1006,0)))),"Fix")))</f>
        <v>#N/A</v>
      </c>
      <c r="K16" s="5" t="e">
        <f ca="1">IF(OR(INDEX($AI$2:$AI$1001,MATCH(ROWS($AH$2:AH16),$AH$2:$AH$1001,0),1)&gt;=100000,INDEX($AO$1005:$BQ$1005,1,MATCH(COLUMNS($AO$1006:AX1006),$AO$1006:$BQ$1006,0))&gt;=100000), " ",IF(INDEX($AO$2:$BQ$1001,MATCH(ROWS($AH$2:AH16),$AH$2:$AH$1001,0),MATCH(COLUMNS($AO$1006:AX1006),$AO$1006:$BQ$1006,0)), HYPERLINK("#",""), HYPERLINK(CONCATENATE("#Metadata!", ADDRESS(INDEX($AJ$2:$AJ$1001,MATCH(ROWS($AH$2:AH16),$AH$2:$AH$1001,0),0), INDEX($AO$1004:$BQ$1004,1,MATCH(COLUMNS($AO$1006:AX1006),$AO$1006:$BQ$1006,0)))),"Fix")))</f>
        <v>#N/A</v>
      </c>
      <c r="L16" s="5" t="e">
        <f ca="1">IF(OR(INDEX($AI$2:$AI$1001,MATCH(ROWS($AH$2:AH16),$AH$2:$AH$1001,0),1)&gt;=100000,INDEX($AO$1005:$BQ$1005,1,MATCH(COLUMNS($AO$1006:AY1006),$AO$1006:$BQ$1006,0))&gt;=100000), " ",IF(INDEX($AO$2:$BQ$1001,MATCH(ROWS($AH$2:AH16),$AH$2:$AH$1001,0),MATCH(COLUMNS($AO$1006:AY1006),$AO$1006:$BQ$1006,0)), HYPERLINK("#",""), HYPERLINK(CONCATENATE("#Metadata!", ADDRESS(INDEX($AJ$2:$AJ$1001,MATCH(ROWS($AH$2:AH16),$AH$2:$AH$1001,0),0), INDEX($AO$1004:$BQ$1004,1,MATCH(COLUMNS($AO$1006:AY1006),$AO$1006:$BQ$1006,0)))),"Fix")))</f>
        <v>#N/A</v>
      </c>
      <c r="M16" s="5" t="e">
        <f ca="1">IF(OR(INDEX($AI$2:$AI$1001,MATCH(ROWS($AH$2:AH16),$AH$2:$AH$1001,0),1)&gt;=100000,INDEX($AO$1005:$BQ$1005,1,MATCH(COLUMNS($AO$1006:AZ1006),$AO$1006:$BQ$1006,0))&gt;=100000), " ",IF(INDEX($AO$2:$BQ$1001,MATCH(ROWS($AH$2:AH16),$AH$2:$AH$1001,0),MATCH(COLUMNS($AO$1006:AZ1006),$AO$1006:$BQ$1006,0)), HYPERLINK("#",""), HYPERLINK(CONCATENATE("#Metadata!", ADDRESS(INDEX($AJ$2:$AJ$1001,MATCH(ROWS($AH$2:AH16),$AH$2:$AH$1001,0),0), INDEX($AO$1004:$BQ$1004,1,MATCH(COLUMNS($AO$1006:AZ1006),$AO$1006:$BQ$1006,0)))),"Fix")))</f>
        <v>#N/A</v>
      </c>
      <c r="N16" s="5" t="e">
        <f ca="1">IF(OR(INDEX($AI$2:$AI$1001,MATCH(ROWS($AH$2:AH16),$AH$2:$AH$1001,0),1)&gt;=100000,INDEX($AO$1005:$BQ$1005,1,MATCH(COLUMNS($AO$1006:BA1006),$AO$1006:$BQ$1006,0))&gt;=100000), " ",IF(INDEX($AO$2:$BQ$1001,MATCH(ROWS($AH$2:AH16),$AH$2:$AH$1001,0),MATCH(COLUMNS($AO$1006:BA1006),$AO$1006:$BQ$1006,0)), HYPERLINK("#",""), HYPERLINK(CONCATENATE("#Metadata!", ADDRESS(INDEX($AJ$2:$AJ$1001,MATCH(ROWS($AH$2:AH16),$AH$2:$AH$1001,0),0), INDEX($AO$1004:$BQ$1004,1,MATCH(COLUMNS($AO$1006:BA1006),$AO$1006:$BQ$1006,0)))),"Fix")))</f>
        <v>#N/A</v>
      </c>
      <c r="O16" s="5" t="e">
        <f ca="1">IF(OR(INDEX($AI$2:$AI$1001,MATCH(ROWS($AH$2:AH16),$AH$2:$AH$1001,0),1)&gt;=100000,INDEX($AO$1005:$BQ$1005,1,MATCH(COLUMNS($AO$1006:BB1006),$AO$1006:$BQ$1006,0))&gt;=100000), " ",IF(INDEX($AO$2:$BQ$1001,MATCH(ROWS($AH$2:AH16),$AH$2:$AH$1001,0),MATCH(COLUMNS($AO$1006:BB1006),$AO$1006:$BQ$1006,0)), HYPERLINK("#",""), HYPERLINK(CONCATENATE("#Metadata!", ADDRESS(INDEX($AJ$2:$AJ$1001,MATCH(ROWS($AH$2:AH16),$AH$2:$AH$1001,0),0), INDEX($AO$1004:$BQ$1004,1,MATCH(COLUMNS($AO$1006:BB1006),$AO$1006:$BQ$1006,0)))),"Fix")))</f>
        <v>#N/A</v>
      </c>
      <c r="P16" s="5" t="e">
        <f ca="1">IF(OR(INDEX($AI$2:$AI$1001,MATCH(ROWS($AH$2:AH16),$AH$2:$AH$1001,0),1)&gt;=100000,INDEX($AO$1005:$BQ$1005,1,MATCH(COLUMNS($AO$1006:BC1006),$AO$1006:$BQ$1006,0))&gt;=100000), " ",IF(INDEX($AO$2:$BQ$1001,MATCH(ROWS($AH$2:AH16),$AH$2:$AH$1001,0),MATCH(COLUMNS($AO$1006:BC1006),$AO$1006:$BQ$1006,0)), HYPERLINK("#",""), HYPERLINK(CONCATENATE("#Metadata!", ADDRESS(INDEX($AJ$2:$AJ$1001,MATCH(ROWS($AH$2:AH16),$AH$2:$AH$1001,0),0), INDEX($AO$1004:$BQ$1004,1,MATCH(COLUMNS($AO$1006:BC1006),$AO$1006:$BQ$1006,0)))),"Fix")))</f>
        <v>#N/A</v>
      </c>
      <c r="Q16" s="5" t="e">
        <f ca="1">IF(OR(INDEX($AI$2:$AI$1001,MATCH(ROWS($AH$2:AH16),$AH$2:$AH$1001,0),1)&gt;=100000,INDEX($AO$1005:$BQ$1005,1,MATCH(COLUMNS($AO$1006:BD1006),$AO$1006:$BQ$1006,0))&gt;=100000), " ",IF(INDEX($AO$2:$BQ$1001,MATCH(ROWS($AH$2:AH16),$AH$2:$AH$1001,0),MATCH(COLUMNS($AO$1006:BD1006),$AO$1006:$BQ$1006,0)), HYPERLINK("#",""), HYPERLINK(CONCATENATE("#Metadata!", ADDRESS(INDEX($AJ$2:$AJ$1001,MATCH(ROWS($AH$2:AH16),$AH$2:$AH$1001,0),0), INDEX($AO$1004:$BQ$1004,1,MATCH(COLUMNS($AO$1006:BD1006),$AO$1006:$BQ$1006,0)))),"Fix")))</f>
        <v>#N/A</v>
      </c>
      <c r="R16" s="5" t="e">
        <f ca="1">IF(OR(INDEX($AI$2:$AI$1001,MATCH(ROWS($AH$2:AH16),$AH$2:$AH$1001,0),1)&gt;=100000,INDEX($AO$1005:$BQ$1005,1,MATCH(COLUMNS($AO$1006:BE1006),$AO$1006:$BQ$1006,0))&gt;=100000), " ",IF(INDEX($AO$2:$BQ$1001,MATCH(ROWS($AH$2:AH16),$AH$2:$AH$1001,0),MATCH(COLUMNS($AO$1006:BE1006),$AO$1006:$BQ$1006,0)), HYPERLINK("#",""), HYPERLINK(CONCATENATE("#Metadata!", ADDRESS(INDEX($AJ$2:$AJ$1001,MATCH(ROWS($AH$2:AH16),$AH$2:$AH$1001,0),0), INDEX($AO$1004:$BQ$1004,1,MATCH(COLUMNS($AO$1006:BE1006),$AO$1006:$BQ$1006,0)))),"Fix")))</f>
        <v>#N/A</v>
      </c>
      <c r="S16" s="5" t="e">
        <f ca="1">IF(OR(INDEX($AI$2:$AI$1001,MATCH(ROWS($AH$2:AH16),$AH$2:$AH$1001,0),1)&gt;=100000,INDEX($AO$1005:$BQ$1005,1,MATCH(COLUMNS($AO$1006:BF1006),$AO$1006:$BQ$1006,0))&gt;=100000), " ",IF(INDEX($AO$2:$BQ$1001,MATCH(ROWS($AH$2:AH16),$AH$2:$AH$1001,0),MATCH(COLUMNS($AO$1006:BF1006),$AO$1006:$BQ$1006,0)), HYPERLINK("#",""), HYPERLINK(CONCATENATE("#Metadata!", ADDRESS(INDEX($AJ$2:$AJ$1001,MATCH(ROWS($AH$2:AH16),$AH$2:$AH$1001,0),0), INDEX($AO$1004:$BQ$1004,1,MATCH(COLUMNS($AO$1006:BF1006),$AO$1006:$BQ$1006,0)))),"Fix")))</f>
        <v>#N/A</v>
      </c>
      <c r="T16" s="5" t="e">
        <f ca="1">IF(OR(INDEX($AI$2:$AI$1001,MATCH(ROWS($AH$2:AH16),$AH$2:$AH$1001,0),1)&gt;=100000,INDEX($AO$1005:$BQ$1005,1,MATCH(COLUMNS($AO$1006:BG1006),$AO$1006:$BQ$1006,0))&gt;=100000), " ",IF(INDEX($AO$2:$BQ$1001,MATCH(ROWS($AH$2:AH16),$AH$2:$AH$1001,0),MATCH(COLUMNS($AO$1006:BG1006),$AO$1006:$BQ$1006,0)), HYPERLINK("#",""), HYPERLINK(CONCATENATE("#Metadata!", ADDRESS(INDEX($AJ$2:$AJ$1001,MATCH(ROWS($AH$2:AH16),$AH$2:$AH$1001,0),0), INDEX($AO$1004:$BQ$1004,1,MATCH(COLUMNS($AO$1006:BG1006),$AO$1006:$BQ$1006,0)))),"Fix")))</f>
        <v>#N/A</v>
      </c>
      <c r="U16" s="5" t="e">
        <f ca="1">IF(OR(INDEX($AI$2:$AI$1001,MATCH(ROWS($AH$2:AH16),$AH$2:$AH$1001,0),1)&gt;=100000,INDEX($AO$1005:$BQ$1005,1,MATCH(COLUMNS($AO$1006:BH1006),$AO$1006:$BQ$1006,0))&gt;=100000), " ",IF(INDEX($AO$2:$BQ$1001,MATCH(ROWS($AH$2:AH16),$AH$2:$AH$1001,0),MATCH(COLUMNS($AO$1006:BH1006),$AO$1006:$BQ$1006,0)), HYPERLINK("#",""), HYPERLINK(CONCATENATE("#Metadata!", ADDRESS(INDEX($AJ$2:$AJ$1001,MATCH(ROWS($AH$2:AH16),$AH$2:$AH$1001,0),0), INDEX($AO$1004:$BQ$1004,1,MATCH(COLUMNS($AO$1006:BH1006),$AO$1006:$BQ$1006,0)))),"Fix")))</f>
        <v>#N/A</v>
      </c>
      <c r="V16" s="5" t="e">
        <f ca="1">IF(OR(INDEX($AI$2:$AI$1001,MATCH(ROWS($AH$2:AH16),$AH$2:$AH$1001,0),1)&gt;=100000,INDEX($AO$1005:$BQ$1005,1,MATCH(COLUMNS($AO$1006:BI1006),$AO$1006:$BQ$1006,0))&gt;=100000), " ",IF(INDEX($AO$2:$BQ$1001,MATCH(ROWS($AH$2:AH16),$AH$2:$AH$1001,0),MATCH(COLUMNS($AO$1006:BI1006),$AO$1006:$BQ$1006,0)), HYPERLINK("#",""), HYPERLINK(CONCATENATE("#Metadata!", ADDRESS(INDEX($AJ$2:$AJ$1001,MATCH(ROWS($AH$2:AH16),$AH$2:$AH$1001,0),0), INDEX($AO$1004:$BQ$1004,1,MATCH(COLUMNS($AO$1006:BI1006),$AO$1006:$BQ$1006,0)))),"Fix")))</f>
        <v>#N/A</v>
      </c>
      <c r="W16" s="5" t="e">
        <f ca="1">IF(OR(INDEX($AI$2:$AI$1001,MATCH(ROWS($AH$2:AH16),$AH$2:$AH$1001,0),1)&gt;=100000,INDEX($AO$1005:$BQ$1005,1,MATCH(COLUMNS($AO$1006:BJ1006),$AO$1006:$BQ$1006,0))&gt;=100000), " ",IF(INDEX($AO$2:$BQ$1001,MATCH(ROWS($AH$2:AH16),$AH$2:$AH$1001,0),MATCH(COLUMNS($AO$1006:BJ1006),$AO$1006:$BQ$1006,0)), HYPERLINK("#",""), HYPERLINK(CONCATENATE("#Metadata!", ADDRESS(INDEX($AJ$2:$AJ$1001,MATCH(ROWS($AH$2:AH16),$AH$2:$AH$1001,0),0), INDEX($AO$1004:$BQ$1004,1,MATCH(COLUMNS($AO$1006:BJ1006),$AO$1006:$BQ$1006,0)))),"Fix")))</f>
        <v>#N/A</v>
      </c>
      <c r="X16" s="5" t="e">
        <f ca="1">IF(OR(INDEX($AI$2:$AI$1001,MATCH(ROWS($AH$2:AH16),$AH$2:$AH$1001,0),1)&gt;=100000,INDEX($AO$1005:$BQ$1005,1,MATCH(COLUMNS($AO$1006:BK1006),$AO$1006:$BQ$1006,0))&gt;=100000), " ",IF(INDEX($AO$2:$BQ$1001,MATCH(ROWS($AH$2:AH16),$AH$2:$AH$1001,0),MATCH(COLUMNS($AO$1006:BK1006),$AO$1006:$BQ$1006,0)), HYPERLINK("#",""), HYPERLINK(CONCATENATE("#Metadata!", ADDRESS(INDEX($AJ$2:$AJ$1001,MATCH(ROWS($AH$2:AH16),$AH$2:$AH$1001,0),0), INDEX($AO$1004:$BQ$1004,1,MATCH(COLUMNS($AO$1006:BK1006),$AO$1006:$BQ$1006,0)))),"Fix")))</f>
        <v>#N/A</v>
      </c>
      <c r="Y16" s="5" t="e">
        <f ca="1">IF(OR(INDEX($AI$2:$AI$1001,MATCH(ROWS($AH$2:AH16),$AH$2:$AH$1001,0),1)&gt;=100000,INDEX($AO$1005:$BQ$1005,1,MATCH(COLUMNS($AO$1006:BL1006),$AO$1006:$BQ$1006,0))&gt;=100000), " ",IF(INDEX($AO$2:$BQ$1001,MATCH(ROWS($AH$2:AH16),$AH$2:$AH$1001,0),MATCH(COLUMNS($AO$1006:BL1006),$AO$1006:$BQ$1006,0)), HYPERLINK("#",""), HYPERLINK(CONCATENATE("#Metadata!", ADDRESS(INDEX($AJ$2:$AJ$1001,MATCH(ROWS($AH$2:AH16),$AH$2:$AH$1001,0),0), INDEX($AO$1004:$BQ$1004,1,MATCH(COLUMNS($AO$1006:BL1006),$AO$1006:$BQ$1006,0)))),"Fix")))</f>
        <v>#N/A</v>
      </c>
      <c r="Z16" s="5" t="e">
        <f ca="1">IF(OR(INDEX($AI$2:$AI$1001,MATCH(ROWS($AH$2:AH16),$AH$2:$AH$1001,0),1)&gt;=100000,INDEX($AO$1005:$BQ$1005,1,MATCH(COLUMNS($AO$1006:BM1006),$AO$1006:$BQ$1006,0))&gt;=100000), " ",IF(INDEX($AO$2:$BQ$1001,MATCH(ROWS($AH$2:AH16),$AH$2:$AH$1001,0),MATCH(COLUMNS($AO$1006:BM1006),$AO$1006:$BQ$1006,0)), HYPERLINK("#",""), HYPERLINK(CONCATENATE("#Metadata!", ADDRESS(INDEX($AJ$2:$AJ$1001,MATCH(ROWS($AH$2:AH16),$AH$2:$AH$1001,0),0), INDEX($AO$1004:$BQ$1004,1,MATCH(COLUMNS($AO$1006:BM1006),$AO$1006:$BQ$1006,0)))),"Fix")))</f>
        <v>#N/A</v>
      </c>
      <c r="AA16" s="5" t="e">
        <f ca="1">IF(OR(INDEX($AI$2:$AI$1001,MATCH(ROWS($AH$2:AH16),$AH$2:$AH$1001,0),1)&gt;=100000,INDEX($AO$1005:$BQ$1005,1,MATCH(COLUMNS($AO$1006:BN1006),$AO$1006:$BQ$1006,0))&gt;=100000), " ",IF(INDEX($AO$2:$BQ$1001,MATCH(ROWS($AH$2:AH16),$AH$2:$AH$1001,0),MATCH(COLUMNS($AO$1006:BN1006),$AO$1006:$BQ$1006,0)), HYPERLINK("#",""), HYPERLINK(CONCATENATE("#Metadata!", ADDRESS(INDEX($AJ$2:$AJ$1001,MATCH(ROWS($AH$2:AH16),$AH$2:$AH$1001,0),0), INDEX($AO$1004:$BQ$1004,1,MATCH(COLUMNS($AO$1006:BN1006),$AO$1006:$BQ$1006,0)))),"Fix")))</f>
        <v>#N/A</v>
      </c>
      <c r="AB16" s="5" t="e">
        <f ca="1">IF(OR(INDEX($AI$2:$AI$1001,MATCH(ROWS($AH$2:AH16),$AH$2:$AH$1001,0),1)&gt;=100000,INDEX($AO$1005:$BQ$1005,1,MATCH(COLUMNS($AO$1006:BO1006),$AO$1006:$BQ$1006,0))&gt;=100000), " ",IF(INDEX($AO$2:$BQ$1001,MATCH(ROWS($AH$2:AH16),$AH$2:$AH$1001,0),MATCH(COLUMNS($AO$1006:BO1006),$AO$1006:$BQ$1006,0)), HYPERLINK("#",""), HYPERLINK(CONCATENATE("#Metadata!", ADDRESS(INDEX($AJ$2:$AJ$1001,MATCH(ROWS($AH$2:AH16),$AH$2:$AH$1001,0),0), INDEX($AO$1004:$BQ$1004,1,MATCH(COLUMNS($AO$1006:BO1006),$AO$1006:$BQ$1006,0)))),"Fix")))</f>
        <v>#N/A</v>
      </c>
      <c r="AC16" s="5" t="e">
        <f ca="1">IF(OR(INDEX($AI$2:$AI$1001,MATCH(ROWS($AH$2:AH16),$AH$2:$AH$1001,0),1)&gt;=100000,INDEX($AO$1005:$BQ$1005,1,MATCH(COLUMNS($AO$1006:BP1006),$AO$1006:$BQ$1006,0))&gt;=100000), " ",IF(INDEX($AO$2:$BQ$1001,MATCH(ROWS($AH$2:AH16),$AH$2:$AH$1001,0),MATCH(COLUMNS($AO$1006:BP1006),$AO$1006:$BQ$1006,0)), HYPERLINK("#",""), HYPERLINK(CONCATENATE("#Metadata!", ADDRESS(INDEX($AJ$2:$AJ$1001,MATCH(ROWS($AH$2:AH16),$AH$2:$AH$1001,0),0), INDEX($AO$1004:$BQ$1004,1,MATCH(COLUMNS($AO$1006:BP1006),$AO$1006:$BQ$1006,0)))),"Fix")))</f>
        <v>#N/A</v>
      </c>
      <c r="AD16" s="5" t="e">
        <f ca="1">IF(OR(INDEX($AI$2:$AI$1001,MATCH(ROWS($AH$2:AH16),$AH$2:$AH$1001,0),1)&gt;=100000,INDEX($AO$1005:$BQ$1005,1,MATCH(COLUMNS($AO$1006:BQ1006),$AO$1006:$BQ$1006,0))&gt;=100000), " ",IF(INDEX($AO$2:$BQ$1001,MATCH(ROWS($AH$2:AH16),$AH$2:$AH$1001,0),MATCH(COLUMNS($AO$1006:BQ1006),$AO$1006:$BQ$1006,0)), HYPERLINK("#",""), HYPERLINK(CONCATENATE("#Metadata!", ADDRESS(INDEX($AJ$2:$AJ$1001,MATCH(ROWS($AH$2:AH16),$AH$2:$AH$1001,0),0), INDEX($AO$1004:$BQ$1004,1,MATCH(COLUMNS($AO$1006:BQ1006),$AO$1006:$BQ$1006,0)))),"Fix")))</f>
        <v>#REF!</v>
      </c>
      <c r="AH16">
        <f ca="1"/>
        <v>14</v>
      </c>
      <c r="AI16">
        <f ca="1"/>
        <v>16</v>
      </c>
      <c r="AJ16">
        <v>16</v>
      </c>
      <c r="AK16" t="b">
        <f t="shared" ca="1" si="0"/>
        <v>0</v>
      </c>
      <c r="AL16" t="b">
        <f>COUNTBLANK(Metadata!B16:AD16)=COLUMNS(Metadata!B16:AD16)</f>
        <v>0</v>
      </c>
      <c r="AM16" t="str">
        <v>Environment.Sediment.3.BTP.175Sediment</v>
      </c>
      <c r="AO16" t="b">
        <f ca="1">AND(IF(Metadata!B15="",FALSE,TRUE),COUNTIF(Metadata!B:B, Metadata!B15) = 1,NOT(ISERROR(SUMPRODUCT(SEARCH(MID(Metadata!B15,ROW(INDIRECT("1:"&amp;LEN(Metadata!B15))), 1),"0123456789abcdefghijklmnopqrstuvwxyzABCDEFGHIJKLMNOPQRSTUVWXYZ.")))))</f>
        <v>1</v>
      </c>
      <c r="AP16" t="b">
        <f>IF(Metadata!C15="",FALSE,TRUE)</f>
        <v>1</v>
      </c>
      <c r="AQ16" t="b">
        <f>IF(Metadata!D15="",FALSE,TRUE)</f>
        <v>1</v>
      </c>
      <c r="AR16" t="b">
        <f ca="1">OR(AND(IF(Metadata!E15="",FALSE,TRUE),OR(EXACT(Metadata!E15,"not collected"),EXACT(Metadata!E15,"not provided"),EXACT(Metadata!E15,"restricted access"))),AND(IF(Metadata!E15="",FALSE,TRUE),AND(AND(IFERROR(INT(LEFT(Metadata!E15,4))&gt;1900,FALSE),IFERROR(INT(LEFT(Metadata!E15,4))&lt;=YEAR(NOW()),FALSE)), OR(MID(Metadata!E15,5,1)="", AND(AND(MID(Metadata!E15,5,1)="-",IFERROR(INT(MID(Metadata!E15,6,1))&gt;=0,FALSE),IFERROR(INT(MID(Metadata!E15,6,1))&lt;=1,FALSE),NOT(MID(Metadata!E15,7,1)=""),IFERROR(INT(MID(Metadata!E15,6,2))&gt;=1,FALSE),IFERROR(INT(MID(Metadata!E15,6,2))&lt;=12,FALSE)), OR(MID(Metadata!E15,8,1)="", AND(AND(MID(Metadata!E15,8,1)="-",IFERROR(INT(MID(Metadata!E15,9,1))&gt;=0,FALSE),IFERROR(INT(MID(Metadata!E15,9,1))&lt;=3,FALSE),NOT(MID(Metadata!E15,10,1)=""),IFERROR(INT(MID(Metadata!E15,9,2))&gt;=1,FALSE),IFERROR(INT(MID(Metadata!E15,9,2))&lt;=31,FALSE)), OR(MID(Metadata!E15,11,1)="", AND(AND(MID(Metadata!E15,11,1)=" ",IFERROR(INT(MID(Metadata!E15,12,1))&gt;=0,FALSE),IFERROR(INT(MID(Metadata!E15,12,1))&lt;=2,FALSE),NOT(MID(Metadata!E15,13,1)=""),IFERROR(INT(MID(Metadata!E15,12,2))&gt;=0,FALSE),IFERROR(INT(MID(Metadata!E15,12,2))&lt;=23,FALSE)), OR(MID(Metadata!E15,14,1)="", AND(AND(MID(Metadata!E15,14,1)=":",IFERROR(INT(MID(Metadata!E15,15,1))&gt;=0,FALSE),IFERROR(INT(MID(Metadata!E15,15,1))&lt;=5,FALSE),NOT(MID(Metadata!E15,16,1)=""),IFERROR(INT(MID(Metadata!E15,15,2))&gt;=0,FALSE),IFERROR(INT(MID(Metadata!E15,15,2))&lt;=59,FALSE)), OR(MID(Metadata!E15,17,1)="", AND(AND(MID(Metadata!E15,17,1)=":",IFERROR(INT(MID(Metadata!E15,18,1))&gt;=0,FALSE),IFERROR(INT(MID(Metadata!E15,18,1))&lt;=5,FALSE),NOT(MID(Metadata!E15,19,1)=""),IFERROR(INT(MID(Metadata!E15,18,2))&gt;=0,FALSE),IFERROR(INT(MID(Metadata!E15,18,2))&lt;=59,FALSE)), LEN(Metadata!E15)&lt;=19)))))))))))))</f>
        <v>0</v>
      </c>
      <c r="AS16" t="b">
        <f>IF(Metadata!F15="",FALSE,TRUE)</f>
        <v>1</v>
      </c>
      <c r="AT16" t="b">
        <f>OR(AND(IF(Metadata!G15="",FALSE,TRUE),OR(EXACT(Metadata!G15,"not collected"),EXACT(Metadata!G15,"not provided"))),AND(IF(Metadata!G15="",FALSE,TRUE),OR(EXACT(Metadata!G15,"TRUE"),EXACT(Metadata!G15,"FALSE"))))</f>
        <v>1</v>
      </c>
      <c r="AU16" t="b">
        <f>OR(AND(IF(Metadata!H15="",FALSE,TRUE),OR(EXACT(Metadata!H15,"not collected"),EXACT(Metadata!H15,"not provided"),EXACT(Metadata!H15,"restricted access"))),AND(IF(Metadata!H15="",FALSE,ISNUMBER(VALUE(Metadata!H15))),Metadata!H15&gt;=-413))</f>
        <v>0</v>
      </c>
      <c r="AV16" t="b">
        <f>AND(IF(Metadata!I15="",FALSE,TRUE),EXACT(Metadata!I15,"meters"))</f>
        <v>1</v>
      </c>
      <c r="AW16" t="b">
        <f>AND(IF(Metadata!J15="",FALSE,TRUE),EXACT(Metadata!J15,"free-living"))</f>
        <v>1</v>
      </c>
      <c r="AX16" t="b">
        <f>AND(IF(Metadata!K15="",FALSE,TRUE),OR(EXACT(Metadata!K15,"saline"),EXACT(Metadata!K15,"non-saline")))</f>
        <v>1</v>
      </c>
      <c r="AY16" t="b">
        <f>AND(IF(Metadata!L15="",FALSE,TRUE),OR(EXACT(Metadata!L15,"sub-surface (non-saline)"),EXACT(Metadata!L15,"surface (non-saline)"),EXACT(Metadata!L15,"water (non-saline)"),EXACT(Metadata!L15,"soil (non-saline)"),EXACT(Metadata!L15,"aerosol (non-saline)"),EXACT(Metadata!L15,"sediment (non-saline)"),EXACT(Metadata!L15,"surface (saline)"),EXACT(Metadata!L15,"water (saline)"),EXACT(Metadata!L15,"hypersaline (saline)"),EXACT(Metadata!L15,"aerosol (saline)"),EXACT(Metadata!L15,"sediment (saline)")))</f>
        <v>1</v>
      </c>
      <c r="AZ16" t="b">
        <f>IF(Metadata!M15="",FALSE,TRUE)</f>
        <v>1</v>
      </c>
      <c r="BA16" t="b">
        <f>IF(Metadata!N15="",FALSE,TRUE)</f>
        <v>1</v>
      </c>
      <c r="BB16" t="b">
        <f>IF(Metadata!O15="",FALSE,TRUE)</f>
        <v>1</v>
      </c>
      <c r="BC16" t="b">
        <f>AND(IF(Metadata!P15="",FALSE,TRUE),OR(EXACT(Metadata!P15,"air"),EXACT(Metadata!P15,"microbial mat/biofilm"),EXACT(Metadata!P15,"misc environment"),EXACT(Metadata!P15,"sediment"),EXACT(Metadata!P15,"soil"),EXACT(Metadata!P15,"wastewater/sludge"),EXACT(Metadata!P15,"water")))</f>
        <v>1</v>
      </c>
      <c r="BD16" t="b">
        <f>IF(Metadata!Q15="",FALSE,TRUE)</f>
        <v>1</v>
      </c>
      <c r="BE16" t="b">
        <f>IF(Metadata!R15="",FALSE,TRUE)</f>
        <v>1</v>
      </c>
      <c r="BF16" t="b">
        <f>OR(AND(IF(Metadata!S15="",FALSE,TRUE),OR(EXACT(Metadata!S15,"not collected"),EXACT(Metadata!S15,"not provided"),EXACT(Metadata!S15,"restricted access"))),AND(IF(Metadata!S15="",FALSE,ISNUMBER(VALUE(Metadata!S15))),Metadata!S15&gt;=-90,Metadata!S15&lt;=90))</f>
        <v>0</v>
      </c>
      <c r="BG16" t="b">
        <f>AND(IF(Metadata!T15="",FALSE,TRUE),EXACT(Metadata!T15,"Decimal degrees"))</f>
        <v>1</v>
      </c>
      <c r="BH16" t="b">
        <f>OR(AND(IF(Metadata!U16="",FALSE,TRUE),OR(EXACT(Metadata!U16,"not applicable"),EXACT(Metadata!U16,"not collected"))),IF(Metadata!U16="",FALSE,TRUE))</f>
        <v>1</v>
      </c>
      <c r="BI16" t="b">
        <f>OR(AND(IF(Metadata!V15="",FALSE,TRUE),OR(EXACT(Metadata!V15,"not collected"),EXACT(Metadata!V15,"not provided"),EXACT(Metadata!V15,"restricted access"))),AND(IF(Metadata!V15="",FALSE,ISNUMBER(VALUE(Metadata!V15))),Metadata!V15&gt;=-180,Metadata!V15&lt;=180))</f>
        <v>0</v>
      </c>
      <c r="BJ16" t="b">
        <f>AND(IF(Metadata!W15="",FALSE,TRUE),EXACT(Metadata!W15,"Decimal degrees"))</f>
        <v>1</v>
      </c>
      <c r="BK16" t="b">
        <f>IF(Metadata!X15="",FALSE,TRUE)</f>
        <v>1</v>
      </c>
      <c r="BL16" t="b">
        <f>OR(AND(IF(Metadata!Y15="",FALSE,TRUE),OR(EXACT(Metadata!Y15,"not collected"),EXACT(Metadata!Y15,"not provided"),EXACT(Metadata!Y15,"restricted access"))),AND(IF(Metadata!Y15="",FALSE,TRUE),OR(EXACT(Metadata!Y15,"TRUE"),EXACT(Metadata!Y15,"FALSE"))))</f>
        <v>1</v>
      </c>
      <c r="BM16" t="b">
        <f>OR(AND(IF(Metadata!Z15="",FALSE,TRUE),EXACT(Metadata!Z15,"not applicable")),AND(IF(Metadata!Z15="",FALSE,TRUE),OR(EXACT(Metadata!Z15,"beer"),EXACT(Metadata!Z15,"cheese"),EXACT(Metadata!Z15,"fresh water"),EXACT(Metadata!Z15,"marine sediment"),EXACT(Metadata!Z15,"sea water"),EXACT(Metadata!Z15,"sediment"),EXACT(Metadata!Z15,"soil"),EXACT(Metadata!Z15,"waste water"))))</f>
        <v>1</v>
      </c>
      <c r="BN16" t="b">
        <f>AND(IF(Metadata!AA15="",FALSE,TRUE),EXACT(Metadata!AA15,"metagenome"))</f>
        <v>1</v>
      </c>
      <c r="BO16" t="b">
        <f>AND(IF(Metadata!AB15="",FALSE,TRUE),EXACT(Metadata!AB15,"256318"))</f>
        <v>1</v>
      </c>
      <c r="BP16" t="b">
        <f>IF(Metadata!AC15="",FALSE,TRUE)</f>
        <v>1</v>
      </c>
      <c r="BQ16" t="b">
        <f>IF(Metadata!AD15="",FALSE,TRUE)</f>
        <v>1</v>
      </c>
    </row>
    <row r="17" spans="1:69" x14ac:dyDescent="0.2">
      <c r="A17" s="4" t="e">
        <f ca="1">IF(B17=" "," ",HYPERLINK(CONCATENATE("#metadata!",ADDRESS(INDEX($AJ$2:$AJ$1001,MATCH(ROWS($AH$2:AH17),$AH$2:$AH$1001,0),0),2)),INDEX($AM$2:$AM$1001,MATCH(ROWS($AH$2:AH17),$AH$2:$AH$1001,0),0)))</f>
        <v>#N/A</v>
      </c>
      <c r="B17" s="5" t="e">
        <f ca="1">IF(OR(INDEX($AI$2:$AI$1001,MATCH(ROWS($AH$2:AH17),$AH$2:$AH$1001,0),1)&gt;=100000,INDEX($AO$1005:$BQ$1005,1,MATCH(COLUMNS($AO$1006:AO1006),$AO$1006:$BQ$1006,0))&gt;=100000), " ",IF(INDEX($AO$2:$BQ$1001,MATCH(ROWS($AH$2:AH17),$AH$2:$AH$1001,0),MATCH(COLUMNS($AO$1006:AO1006),$AO$1006:$BQ$1006,0)), HYPERLINK("#",""), HYPERLINK(CONCATENATE("#Metadata!", ADDRESS(INDEX($AJ$2:$AJ$1001,MATCH(ROWS($AH$2:AH17),$AH$2:$AH$1001,0),0), INDEX($AO$1004:$BQ$1004,1,MATCH(COLUMNS($AO$1006:AO1006),$AO$1006:$BQ$1006,0)))),"Fix")))</f>
        <v>#N/A</v>
      </c>
      <c r="C17" s="5" t="e">
        <f ca="1">IF(OR(INDEX($AI$2:$AI$1001,MATCH(ROWS($AH$2:AH17),$AH$2:$AH$1001,0),1)&gt;=100000,INDEX($AO$1005:$BQ$1005,1,MATCH(COLUMNS($AO$1006:AP1006),$AO$1006:$BQ$1006,0))&gt;=100000), " ",IF(INDEX($AO$2:$BQ$1001,MATCH(ROWS($AH$2:AH17),$AH$2:$AH$1001,0),MATCH(COLUMNS($AO$1006:AP1006),$AO$1006:$BQ$1006,0)), HYPERLINK("#",""), HYPERLINK(CONCATENATE("#Metadata!", ADDRESS(INDEX($AJ$2:$AJ$1001,MATCH(ROWS($AH$2:AH17),$AH$2:$AH$1001,0),0), INDEX($AO$1004:$BQ$1004,1,MATCH(COLUMNS($AO$1006:AP1006),$AO$1006:$BQ$1006,0)))),"Fix")))</f>
        <v>#N/A</v>
      </c>
      <c r="D17" s="5" t="e">
        <f ca="1">IF(OR(INDEX($AI$2:$AI$1001,MATCH(ROWS($AH$2:AH17),$AH$2:$AH$1001,0),1)&gt;=100000,INDEX($AO$1005:$BQ$1005,1,MATCH(COLUMNS($AO$1006:AQ1006),$AO$1006:$BQ$1006,0))&gt;=100000), " ",IF(INDEX($AO$2:$BQ$1001,MATCH(ROWS($AH$2:AH17),$AH$2:$AH$1001,0),MATCH(COLUMNS($AO$1006:AQ1006),$AO$1006:$BQ$1006,0)), HYPERLINK("#",""), HYPERLINK(CONCATENATE("#Metadata!", ADDRESS(INDEX($AJ$2:$AJ$1001,MATCH(ROWS($AH$2:AH17),$AH$2:$AH$1001,0),0), INDEX($AO$1004:$BQ$1004,1,MATCH(COLUMNS($AO$1006:AQ1006),$AO$1006:$BQ$1006,0)))),"Fix")))</f>
        <v>#N/A</v>
      </c>
      <c r="E17" s="5" t="e">
        <f ca="1">IF(OR(INDEX($AI$2:$AI$1001,MATCH(ROWS($AH$2:AH17),$AH$2:$AH$1001,0),1)&gt;=100000,INDEX($AO$1005:$BQ$1005,1,MATCH(COLUMNS($AO$1006:AR1006),$AO$1006:$BQ$1006,0))&gt;=100000), " ",IF(INDEX($AO$2:$BQ$1001,MATCH(ROWS($AH$2:AH17),$AH$2:$AH$1001,0),MATCH(COLUMNS($AO$1006:AR1006),$AO$1006:$BQ$1006,0)), HYPERLINK("#",""), HYPERLINK(CONCATENATE("#Metadata!", ADDRESS(INDEX($AJ$2:$AJ$1001,MATCH(ROWS($AH$2:AH17),$AH$2:$AH$1001,0),0), INDEX($AO$1004:$BQ$1004,1,MATCH(COLUMNS($AO$1006:AR1006),$AO$1006:$BQ$1006,0)))),"Fix")))</f>
        <v>#N/A</v>
      </c>
      <c r="F17" s="5" t="e">
        <f ca="1">IF(OR(INDEX($AI$2:$AI$1001,MATCH(ROWS($AH$2:AH17),$AH$2:$AH$1001,0),1)&gt;=100000,INDEX($AO$1005:$BQ$1005,1,MATCH(COLUMNS($AO$1006:AS1006),$AO$1006:$BQ$1006,0))&gt;=100000), " ",IF(INDEX($AO$2:$BQ$1001,MATCH(ROWS($AH$2:AH17),$AH$2:$AH$1001,0),MATCH(COLUMNS($AO$1006:AS1006),$AO$1006:$BQ$1006,0)), HYPERLINK("#",""), HYPERLINK(CONCATENATE("#Metadata!", ADDRESS(INDEX($AJ$2:$AJ$1001,MATCH(ROWS($AH$2:AH17),$AH$2:$AH$1001,0),0), INDEX($AO$1004:$BQ$1004,1,MATCH(COLUMNS($AO$1006:AS1006),$AO$1006:$BQ$1006,0)))),"Fix")))</f>
        <v>#N/A</v>
      </c>
      <c r="G17" s="5" t="e">
        <f ca="1">IF(OR(INDEX($AI$2:$AI$1001,MATCH(ROWS($AH$2:AH17),$AH$2:$AH$1001,0),1)&gt;=100000,INDEX($AO$1005:$BQ$1005,1,MATCH(COLUMNS($AO$1006:AT1006),$AO$1006:$BQ$1006,0))&gt;=100000), " ",IF(INDEX($AO$2:$BQ$1001,MATCH(ROWS($AH$2:AH17),$AH$2:$AH$1001,0),MATCH(COLUMNS($AO$1006:AT1006),$AO$1006:$BQ$1006,0)), HYPERLINK("#",""), HYPERLINK(CONCATENATE("#Metadata!", ADDRESS(INDEX($AJ$2:$AJ$1001,MATCH(ROWS($AH$2:AH17),$AH$2:$AH$1001,0),0), INDEX($AO$1004:$BQ$1004,1,MATCH(COLUMNS($AO$1006:AT1006),$AO$1006:$BQ$1006,0)))),"Fix")))</f>
        <v>#N/A</v>
      </c>
      <c r="H17" s="5" t="e">
        <f ca="1">IF(OR(INDEX($AI$2:$AI$1001,MATCH(ROWS($AH$2:AH17),$AH$2:$AH$1001,0),1)&gt;=100000,INDEX($AO$1005:$BQ$1005,1,MATCH(COLUMNS($AO$1006:AU1006),$AO$1006:$BQ$1006,0))&gt;=100000), " ",IF(INDEX($AO$2:$BQ$1001,MATCH(ROWS($AH$2:AH17),$AH$2:$AH$1001,0),MATCH(COLUMNS($AO$1006:AU1006),$AO$1006:$BQ$1006,0)), HYPERLINK("#",""), HYPERLINK(CONCATENATE("#Metadata!", ADDRESS(INDEX($AJ$2:$AJ$1001,MATCH(ROWS($AH$2:AH17),$AH$2:$AH$1001,0),0), INDEX($AO$1004:$BQ$1004,1,MATCH(COLUMNS($AO$1006:AU1006),$AO$1006:$BQ$1006,0)))),"Fix")))</f>
        <v>#N/A</v>
      </c>
      <c r="I17" s="5" t="e">
        <f ca="1">IF(OR(INDEX($AI$2:$AI$1001,MATCH(ROWS($AH$2:AH17),$AH$2:$AH$1001,0),1)&gt;=100000,INDEX($AO$1005:$BQ$1005,1,MATCH(COLUMNS($AO$1006:AV1006),$AO$1006:$BQ$1006,0))&gt;=100000), " ",IF(INDEX($AO$2:$BQ$1001,MATCH(ROWS($AH$2:AH17),$AH$2:$AH$1001,0),MATCH(COLUMNS($AO$1006:AV1006),$AO$1006:$BQ$1006,0)), HYPERLINK("#",""), HYPERLINK(CONCATENATE("#Metadata!", ADDRESS(INDEX($AJ$2:$AJ$1001,MATCH(ROWS($AH$2:AH17),$AH$2:$AH$1001,0),0), INDEX($AO$1004:$BQ$1004,1,MATCH(COLUMNS($AO$1006:AV1006),$AO$1006:$BQ$1006,0)))),"Fix")))</f>
        <v>#N/A</v>
      </c>
      <c r="J17" s="5" t="e">
        <f ca="1">IF(OR(INDEX($AI$2:$AI$1001,MATCH(ROWS($AH$2:AH17),$AH$2:$AH$1001,0),1)&gt;=100000,INDEX($AO$1005:$BQ$1005,1,MATCH(COLUMNS($AO$1006:AW1006),$AO$1006:$BQ$1006,0))&gt;=100000), " ",IF(INDEX($AO$2:$BQ$1001,MATCH(ROWS($AH$2:AH17),$AH$2:$AH$1001,0),MATCH(COLUMNS($AO$1006:AW1006),$AO$1006:$BQ$1006,0)), HYPERLINK("#",""), HYPERLINK(CONCATENATE("#Metadata!", ADDRESS(INDEX($AJ$2:$AJ$1001,MATCH(ROWS($AH$2:AH17),$AH$2:$AH$1001,0),0), INDEX($AO$1004:$BQ$1004,1,MATCH(COLUMNS($AO$1006:AW1006),$AO$1006:$BQ$1006,0)))),"Fix")))</f>
        <v>#N/A</v>
      </c>
      <c r="K17" s="5" t="e">
        <f ca="1">IF(OR(INDEX($AI$2:$AI$1001,MATCH(ROWS($AH$2:AH17),$AH$2:$AH$1001,0),1)&gt;=100000,INDEX($AO$1005:$BQ$1005,1,MATCH(COLUMNS($AO$1006:AX1006),$AO$1006:$BQ$1006,0))&gt;=100000), " ",IF(INDEX($AO$2:$BQ$1001,MATCH(ROWS($AH$2:AH17),$AH$2:$AH$1001,0),MATCH(COLUMNS($AO$1006:AX1006),$AO$1006:$BQ$1006,0)), HYPERLINK("#",""), HYPERLINK(CONCATENATE("#Metadata!", ADDRESS(INDEX($AJ$2:$AJ$1001,MATCH(ROWS($AH$2:AH17),$AH$2:$AH$1001,0),0), INDEX($AO$1004:$BQ$1004,1,MATCH(COLUMNS($AO$1006:AX1006),$AO$1006:$BQ$1006,0)))),"Fix")))</f>
        <v>#N/A</v>
      </c>
      <c r="L17" s="5" t="e">
        <f ca="1">IF(OR(INDEX($AI$2:$AI$1001,MATCH(ROWS($AH$2:AH17),$AH$2:$AH$1001,0),1)&gt;=100000,INDEX($AO$1005:$BQ$1005,1,MATCH(COLUMNS($AO$1006:AY1006),$AO$1006:$BQ$1006,0))&gt;=100000), " ",IF(INDEX($AO$2:$BQ$1001,MATCH(ROWS($AH$2:AH17),$AH$2:$AH$1001,0),MATCH(COLUMNS($AO$1006:AY1006),$AO$1006:$BQ$1006,0)), HYPERLINK("#",""), HYPERLINK(CONCATENATE("#Metadata!", ADDRESS(INDEX($AJ$2:$AJ$1001,MATCH(ROWS($AH$2:AH17),$AH$2:$AH$1001,0),0), INDEX($AO$1004:$BQ$1004,1,MATCH(COLUMNS($AO$1006:AY1006),$AO$1006:$BQ$1006,0)))),"Fix")))</f>
        <v>#N/A</v>
      </c>
      <c r="M17" s="5" t="e">
        <f ca="1">IF(OR(INDEX($AI$2:$AI$1001,MATCH(ROWS($AH$2:AH17),$AH$2:$AH$1001,0),1)&gt;=100000,INDEX($AO$1005:$BQ$1005,1,MATCH(COLUMNS($AO$1006:AZ1006),$AO$1006:$BQ$1006,0))&gt;=100000), " ",IF(INDEX($AO$2:$BQ$1001,MATCH(ROWS($AH$2:AH17),$AH$2:$AH$1001,0),MATCH(COLUMNS($AO$1006:AZ1006),$AO$1006:$BQ$1006,0)), HYPERLINK("#",""), HYPERLINK(CONCATENATE("#Metadata!", ADDRESS(INDEX($AJ$2:$AJ$1001,MATCH(ROWS($AH$2:AH17),$AH$2:$AH$1001,0),0), INDEX($AO$1004:$BQ$1004,1,MATCH(COLUMNS($AO$1006:AZ1006),$AO$1006:$BQ$1006,0)))),"Fix")))</f>
        <v>#N/A</v>
      </c>
      <c r="N17" s="5" t="e">
        <f ca="1">IF(OR(INDEX($AI$2:$AI$1001,MATCH(ROWS($AH$2:AH17),$AH$2:$AH$1001,0),1)&gt;=100000,INDEX($AO$1005:$BQ$1005,1,MATCH(COLUMNS($AO$1006:BA1006),$AO$1006:$BQ$1006,0))&gt;=100000), " ",IF(INDEX($AO$2:$BQ$1001,MATCH(ROWS($AH$2:AH17),$AH$2:$AH$1001,0),MATCH(COLUMNS($AO$1006:BA1006),$AO$1006:$BQ$1006,0)), HYPERLINK("#",""), HYPERLINK(CONCATENATE("#Metadata!", ADDRESS(INDEX($AJ$2:$AJ$1001,MATCH(ROWS($AH$2:AH17),$AH$2:$AH$1001,0),0), INDEX($AO$1004:$BQ$1004,1,MATCH(COLUMNS($AO$1006:BA1006),$AO$1006:$BQ$1006,0)))),"Fix")))</f>
        <v>#N/A</v>
      </c>
      <c r="O17" s="5" t="e">
        <f ca="1">IF(OR(INDEX($AI$2:$AI$1001,MATCH(ROWS($AH$2:AH17),$AH$2:$AH$1001,0),1)&gt;=100000,INDEX($AO$1005:$BQ$1005,1,MATCH(COLUMNS($AO$1006:BB1006),$AO$1006:$BQ$1006,0))&gt;=100000), " ",IF(INDEX($AO$2:$BQ$1001,MATCH(ROWS($AH$2:AH17),$AH$2:$AH$1001,0),MATCH(COLUMNS($AO$1006:BB1006),$AO$1006:$BQ$1006,0)), HYPERLINK("#",""), HYPERLINK(CONCATENATE("#Metadata!", ADDRESS(INDEX($AJ$2:$AJ$1001,MATCH(ROWS($AH$2:AH17),$AH$2:$AH$1001,0),0), INDEX($AO$1004:$BQ$1004,1,MATCH(COLUMNS($AO$1006:BB1006),$AO$1006:$BQ$1006,0)))),"Fix")))</f>
        <v>#N/A</v>
      </c>
      <c r="P17" s="5" t="e">
        <f ca="1">IF(OR(INDEX($AI$2:$AI$1001,MATCH(ROWS($AH$2:AH17),$AH$2:$AH$1001,0),1)&gt;=100000,INDEX($AO$1005:$BQ$1005,1,MATCH(COLUMNS($AO$1006:BC1006),$AO$1006:$BQ$1006,0))&gt;=100000), " ",IF(INDEX($AO$2:$BQ$1001,MATCH(ROWS($AH$2:AH17),$AH$2:$AH$1001,0),MATCH(COLUMNS($AO$1006:BC1006),$AO$1006:$BQ$1006,0)), HYPERLINK("#",""), HYPERLINK(CONCATENATE("#Metadata!", ADDRESS(INDEX($AJ$2:$AJ$1001,MATCH(ROWS($AH$2:AH17),$AH$2:$AH$1001,0),0), INDEX($AO$1004:$BQ$1004,1,MATCH(COLUMNS($AO$1006:BC1006),$AO$1006:$BQ$1006,0)))),"Fix")))</f>
        <v>#N/A</v>
      </c>
      <c r="Q17" s="5" t="e">
        <f ca="1">IF(OR(INDEX($AI$2:$AI$1001,MATCH(ROWS($AH$2:AH17),$AH$2:$AH$1001,0),1)&gt;=100000,INDEX($AO$1005:$BQ$1005,1,MATCH(COLUMNS($AO$1006:BD1006),$AO$1006:$BQ$1006,0))&gt;=100000), " ",IF(INDEX($AO$2:$BQ$1001,MATCH(ROWS($AH$2:AH17),$AH$2:$AH$1001,0),MATCH(COLUMNS($AO$1006:BD1006),$AO$1006:$BQ$1006,0)), HYPERLINK("#",""), HYPERLINK(CONCATENATE("#Metadata!", ADDRESS(INDEX($AJ$2:$AJ$1001,MATCH(ROWS($AH$2:AH17),$AH$2:$AH$1001,0),0), INDEX($AO$1004:$BQ$1004,1,MATCH(COLUMNS($AO$1006:BD1006),$AO$1006:$BQ$1006,0)))),"Fix")))</f>
        <v>#N/A</v>
      </c>
      <c r="R17" s="5" t="e">
        <f ca="1">IF(OR(INDEX($AI$2:$AI$1001,MATCH(ROWS($AH$2:AH17),$AH$2:$AH$1001,0),1)&gt;=100000,INDEX($AO$1005:$BQ$1005,1,MATCH(COLUMNS($AO$1006:BE1006),$AO$1006:$BQ$1006,0))&gt;=100000), " ",IF(INDEX($AO$2:$BQ$1001,MATCH(ROWS($AH$2:AH17),$AH$2:$AH$1001,0),MATCH(COLUMNS($AO$1006:BE1006),$AO$1006:$BQ$1006,0)), HYPERLINK("#",""), HYPERLINK(CONCATENATE("#Metadata!", ADDRESS(INDEX($AJ$2:$AJ$1001,MATCH(ROWS($AH$2:AH17),$AH$2:$AH$1001,0),0), INDEX($AO$1004:$BQ$1004,1,MATCH(COLUMNS($AO$1006:BE1006),$AO$1006:$BQ$1006,0)))),"Fix")))</f>
        <v>#N/A</v>
      </c>
      <c r="S17" s="5" t="e">
        <f ca="1">IF(OR(INDEX($AI$2:$AI$1001,MATCH(ROWS($AH$2:AH17),$AH$2:$AH$1001,0),1)&gt;=100000,INDEX($AO$1005:$BQ$1005,1,MATCH(COLUMNS($AO$1006:BF1006),$AO$1006:$BQ$1006,0))&gt;=100000), " ",IF(INDEX($AO$2:$BQ$1001,MATCH(ROWS($AH$2:AH17),$AH$2:$AH$1001,0),MATCH(COLUMNS($AO$1006:BF1006),$AO$1006:$BQ$1006,0)), HYPERLINK("#",""), HYPERLINK(CONCATENATE("#Metadata!", ADDRESS(INDEX($AJ$2:$AJ$1001,MATCH(ROWS($AH$2:AH17),$AH$2:$AH$1001,0),0), INDEX($AO$1004:$BQ$1004,1,MATCH(COLUMNS($AO$1006:BF1006),$AO$1006:$BQ$1006,0)))),"Fix")))</f>
        <v>#N/A</v>
      </c>
      <c r="T17" s="5" t="e">
        <f ca="1">IF(OR(INDEX($AI$2:$AI$1001,MATCH(ROWS($AH$2:AH17),$AH$2:$AH$1001,0),1)&gt;=100000,INDEX($AO$1005:$BQ$1005,1,MATCH(COLUMNS($AO$1006:BG1006),$AO$1006:$BQ$1006,0))&gt;=100000), " ",IF(INDEX($AO$2:$BQ$1001,MATCH(ROWS($AH$2:AH17),$AH$2:$AH$1001,0),MATCH(COLUMNS($AO$1006:BG1006),$AO$1006:$BQ$1006,0)), HYPERLINK("#",""), HYPERLINK(CONCATENATE("#Metadata!", ADDRESS(INDEX($AJ$2:$AJ$1001,MATCH(ROWS($AH$2:AH17),$AH$2:$AH$1001,0),0), INDEX($AO$1004:$BQ$1004,1,MATCH(COLUMNS($AO$1006:BG1006),$AO$1006:$BQ$1006,0)))),"Fix")))</f>
        <v>#N/A</v>
      </c>
      <c r="U17" s="5" t="e">
        <f ca="1">IF(OR(INDEX($AI$2:$AI$1001,MATCH(ROWS($AH$2:AH17),$AH$2:$AH$1001,0),1)&gt;=100000,INDEX($AO$1005:$BQ$1005,1,MATCH(COLUMNS($AO$1006:BH1006),$AO$1006:$BQ$1006,0))&gt;=100000), " ",IF(INDEX($AO$2:$BQ$1001,MATCH(ROWS($AH$2:AH17),$AH$2:$AH$1001,0),MATCH(COLUMNS($AO$1006:BH1006),$AO$1006:$BQ$1006,0)), HYPERLINK("#",""), HYPERLINK(CONCATENATE("#Metadata!", ADDRESS(INDEX($AJ$2:$AJ$1001,MATCH(ROWS($AH$2:AH17),$AH$2:$AH$1001,0),0), INDEX($AO$1004:$BQ$1004,1,MATCH(COLUMNS($AO$1006:BH1006),$AO$1006:$BQ$1006,0)))),"Fix")))</f>
        <v>#N/A</v>
      </c>
      <c r="V17" s="5" t="e">
        <f ca="1">IF(OR(INDEX($AI$2:$AI$1001,MATCH(ROWS($AH$2:AH17),$AH$2:$AH$1001,0),1)&gt;=100000,INDEX($AO$1005:$BQ$1005,1,MATCH(COLUMNS($AO$1006:BI1006),$AO$1006:$BQ$1006,0))&gt;=100000), " ",IF(INDEX($AO$2:$BQ$1001,MATCH(ROWS($AH$2:AH17),$AH$2:$AH$1001,0),MATCH(COLUMNS($AO$1006:BI1006),$AO$1006:$BQ$1006,0)), HYPERLINK("#",""), HYPERLINK(CONCATENATE("#Metadata!", ADDRESS(INDEX($AJ$2:$AJ$1001,MATCH(ROWS($AH$2:AH17),$AH$2:$AH$1001,0),0), INDEX($AO$1004:$BQ$1004,1,MATCH(COLUMNS($AO$1006:BI1006),$AO$1006:$BQ$1006,0)))),"Fix")))</f>
        <v>#N/A</v>
      </c>
      <c r="W17" s="5" t="e">
        <f ca="1">IF(OR(INDEX($AI$2:$AI$1001,MATCH(ROWS($AH$2:AH17),$AH$2:$AH$1001,0),1)&gt;=100000,INDEX($AO$1005:$BQ$1005,1,MATCH(COLUMNS($AO$1006:BJ1006),$AO$1006:$BQ$1006,0))&gt;=100000), " ",IF(INDEX($AO$2:$BQ$1001,MATCH(ROWS($AH$2:AH17),$AH$2:$AH$1001,0),MATCH(COLUMNS($AO$1006:BJ1006),$AO$1006:$BQ$1006,0)), HYPERLINK("#",""), HYPERLINK(CONCATENATE("#Metadata!", ADDRESS(INDEX($AJ$2:$AJ$1001,MATCH(ROWS($AH$2:AH17),$AH$2:$AH$1001,0),0), INDEX($AO$1004:$BQ$1004,1,MATCH(COLUMNS($AO$1006:BJ1006),$AO$1006:$BQ$1006,0)))),"Fix")))</f>
        <v>#N/A</v>
      </c>
      <c r="X17" s="5" t="e">
        <f ca="1">IF(OR(INDEX($AI$2:$AI$1001,MATCH(ROWS($AH$2:AH17),$AH$2:$AH$1001,0),1)&gt;=100000,INDEX($AO$1005:$BQ$1005,1,MATCH(COLUMNS($AO$1006:BK1006),$AO$1006:$BQ$1006,0))&gt;=100000), " ",IF(INDEX($AO$2:$BQ$1001,MATCH(ROWS($AH$2:AH17),$AH$2:$AH$1001,0),MATCH(COLUMNS($AO$1006:BK1006),$AO$1006:$BQ$1006,0)), HYPERLINK("#",""), HYPERLINK(CONCATENATE("#Metadata!", ADDRESS(INDEX($AJ$2:$AJ$1001,MATCH(ROWS($AH$2:AH17),$AH$2:$AH$1001,0),0), INDEX($AO$1004:$BQ$1004,1,MATCH(COLUMNS($AO$1006:BK1006),$AO$1006:$BQ$1006,0)))),"Fix")))</f>
        <v>#N/A</v>
      </c>
      <c r="Y17" s="5" t="e">
        <f ca="1">IF(OR(INDEX($AI$2:$AI$1001,MATCH(ROWS($AH$2:AH17),$AH$2:$AH$1001,0),1)&gt;=100000,INDEX($AO$1005:$BQ$1005,1,MATCH(COLUMNS($AO$1006:BL1006),$AO$1006:$BQ$1006,0))&gt;=100000), " ",IF(INDEX($AO$2:$BQ$1001,MATCH(ROWS($AH$2:AH17),$AH$2:$AH$1001,0),MATCH(COLUMNS($AO$1006:BL1006),$AO$1006:$BQ$1006,0)), HYPERLINK("#",""), HYPERLINK(CONCATENATE("#Metadata!", ADDRESS(INDEX($AJ$2:$AJ$1001,MATCH(ROWS($AH$2:AH17),$AH$2:$AH$1001,0),0), INDEX($AO$1004:$BQ$1004,1,MATCH(COLUMNS($AO$1006:BL1006),$AO$1006:$BQ$1006,0)))),"Fix")))</f>
        <v>#N/A</v>
      </c>
      <c r="Z17" s="5" t="e">
        <f ca="1">IF(OR(INDEX($AI$2:$AI$1001,MATCH(ROWS($AH$2:AH17),$AH$2:$AH$1001,0),1)&gt;=100000,INDEX($AO$1005:$BQ$1005,1,MATCH(COLUMNS($AO$1006:BM1006),$AO$1006:$BQ$1006,0))&gt;=100000), " ",IF(INDEX($AO$2:$BQ$1001,MATCH(ROWS($AH$2:AH17),$AH$2:$AH$1001,0),MATCH(COLUMNS($AO$1006:BM1006),$AO$1006:$BQ$1006,0)), HYPERLINK("#",""), HYPERLINK(CONCATENATE("#Metadata!", ADDRESS(INDEX($AJ$2:$AJ$1001,MATCH(ROWS($AH$2:AH17),$AH$2:$AH$1001,0),0), INDEX($AO$1004:$BQ$1004,1,MATCH(COLUMNS($AO$1006:BM1006),$AO$1006:$BQ$1006,0)))),"Fix")))</f>
        <v>#N/A</v>
      </c>
      <c r="AA17" s="5" t="e">
        <f ca="1">IF(OR(INDEX($AI$2:$AI$1001,MATCH(ROWS($AH$2:AH17),$AH$2:$AH$1001,0),1)&gt;=100000,INDEX($AO$1005:$BQ$1005,1,MATCH(COLUMNS($AO$1006:BN1006),$AO$1006:$BQ$1006,0))&gt;=100000), " ",IF(INDEX($AO$2:$BQ$1001,MATCH(ROWS($AH$2:AH17),$AH$2:$AH$1001,0),MATCH(COLUMNS($AO$1006:BN1006),$AO$1006:$BQ$1006,0)), HYPERLINK("#",""), HYPERLINK(CONCATENATE("#Metadata!", ADDRESS(INDEX($AJ$2:$AJ$1001,MATCH(ROWS($AH$2:AH17),$AH$2:$AH$1001,0),0), INDEX($AO$1004:$BQ$1004,1,MATCH(COLUMNS($AO$1006:BN1006),$AO$1006:$BQ$1006,0)))),"Fix")))</f>
        <v>#N/A</v>
      </c>
      <c r="AB17" s="5" t="e">
        <f ca="1">IF(OR(INDEX($AI$2:$AI$1001,MATCH(ROWS($AH$2:AH17),$AH$2:$AH$1001,0),1)&gt;=100000,INDEX($AO$1005:$BQ$1005,1,MATCH(COLUMNS($AO$1006:BO1006),$AO$1006:$BQ$1006,0))&gt;=100000), " ",IF(INDEX($AO$2:$BQ$1001,MATCH(ROWS($AH$2:AH17),$AH$2:$AH$1001,0),MATCH(COLUMNS($AO$1006:BO1006),$AO$1006:$BQ$1006,0)), HYPERLINK("#",""), HYPERLINK(CONCATENATE("#Metadata!", ADDRESS(INDEX($AJ$2:$AJ$1001,MATCH(ROWS($AH$2:AH17),$AH$2:$AH$1001,0),0), INDEX($AO$1004:$BQ$1004,1,MATCH(COLUMNS($AO$1006:BO1006),$AO$1006:$BQ$1006,0)))),"Fix")))</f>
        <v>#N/A</v>
      </c>
      <c r="AC17" s="5" t="e">
        <f ca="1">IF(OR(INDEX($AI$2:$AI$1001,MATCH(ROWS($AH$2:AH17),$AH$2:$AH$1001,0),1)&gt;=100000,INDEX($AO$1005:$BQ$1005,1,MATCH(COLUMNS($AO$1006:BP1006),$AO$1006:$BQ$1006,0))&gt;=100000), " ",IF(INDEX($AO$2:$BQ$1001,MATCH(ROWS($AH$2:AH17),$AH$2:$AH$1001,0),MATCH(COLUMNS($AO$1006:BP1006),$AO$1006:$BQ$1006,0)), HYPERLINK("#",""), HYPERLINK(CONCATENATE("#Metadata!", ADDRESS(INDEX($AJ$2:$AJ$1001,MATCH(ROWS($AH$2:AH17),$AH$2:$AH$1001,0),0), INDEX($AO$1004:$BQ$1004,1,MATCH(COLUMNS($AO$1006:BP1006),$AO$1006:$BQ$1006,0)))),"Fix")))</f>
        <v>#N/A</v>
      </c>
      <c r="AD17" s="5" t="e">
        <f ca="1">IF(OR(INDEX($AI$2:$AI$1001,MATCH(ROWS($AH$2:AH17),$AH$2:$AH$1001,0),1)&gt;=100000,INDEX($AO$1005:$BQ$1005,1,MATCH(COLUMNS($AO$1006:BQ1006),$AO$1006:$BQ$1006,0))&gt;=100000), " ",IF(INDEX($AO$2:$BQ$1001,MATCH(ROWS($AH$2:AH17),$AH$2:$AH$1001,0),MATCH(COLUMNS($AO$1006:BQ1006),$AO$1006:$BQ$1006,0)), HYPERLINK("#",""), HYPERLINK(CONCATENATE("#Metadata!", ADDRESS(INDEX($AJ$2:$AJ$1001,MATCH(ROWS($AH$2:AH17),$AH$2:$AH$1001,0),0), INDEX($AO$1004:$BQ$1004,1,MATCH(COLUMNS($AO$1006:BQ1006),$AO$1006:$BQ$1006,0)))),"Fix")))</f>
        <v>#REF!</v>
      </c>
      <c r="AH17">
        <f ca="1"/>
        <v>15</v>
      </c>
      <c r="AI17">
        <f ca="1"/>
        <v>17</v>
      </c>
      <c r="AJ17">
        <v>17</v>
      </c>
      <c r="AK17" t="b">
        <f t="shared" ca="1" si="0"/>
        <v>0</v>
      </c>
      <c r="AL17" t="b">
        <f>COUNTBLANK(Metadata!B17:AD17)=COLUMNS(Metadata!B17:AD17)</f>
        <v>0</v>
      </c>
      <c r="AM17" t="str">
        <v>Environment.Sediment.2.BTP.176Sediment</v>
      </c>
      <c r="AO17" t="b">
        <f ca="1">AND(IF(Metadata!B16="",FALSE,TRUE),COUNTIF(Metadata!B:B, Metadata!B16) = 1,NOT(ISERROR(SUMPRODUCT(SEARCH(MID(Metadata!B16,ROW(INDIRECT("1:"&amp;LEN(Metadata!B16))), 1),"0123456789abcdefghijklmnopqrstuvwxyzABCDEFGHIJKLMNOPQRSTUVWXYZ.")))))</f>
        <v>1</v>
      </c>
      <c r="AP17" t="b">
        <f>IF(Metadata!C16="",FALSE,TRUE)</f>
        <v>1</v>
      </c>
      <c r="AQ17" t="b">
        <f>IF(Metadata!D16="",FALSE,TRUE)</f>
        <v>1</v>
      </c>
      <c r="AR17" t="b">
        <f ca="1">OR(AND(IF(Metadata!E16="",FALSE,TRUE),OR(EXACT(Metadata!E16,"not collected"),EXACT(Metadata!E16,"not provided"),EXACT(Metadata!E16,"restricted access"))),AND(IF(Metadata!E16="",FALSE,TRUE),AND(AND(IFERROR(INT(LEFT(Metadata!E16,4))&gt;1900,FALSE),IFERROR(INT(LEFT(Metadata!E16,4))&lt;=YEAR(NOW()),FALSE)), OR(MID(Metadata!E16,5,1)="", AND(AND(MID(Metadata!E16,5,1)="-",IFERROR(INT(MID(Metadata!E16,6,1))&gt;=0,FALSE),IFERROR(INT(MID(Metadata!E16,6,1))&lt;=1,FALSE),NOT(MID(Metadata!E16,7,1)=""),IFERROR(INT(MID(Metadata!E16,6,2))&gt;=1,FALSE),IFERROR(INT(MID(Metadata!E16,6,2))&lt;=12,FALSE)), OR(MID(Metadata!E16,8,1)="", AND(AND(MID(Metadata!E16,8,1)="-",IFERROR(INT(MID(Metadata!E16,9,1))&gt;=0,FALSE),IFERROR(INT(MID(Metadata!E16,9,1))&lt;=3,FALSE),NOT(MID(Metadata!E16,10,1)=""),IFERROR(INT(MID(Metadata!E16,9,2))&gt;=1,FALSE),IFERROR(INT(MID(Metadata!E16,9,2))&lt;=31,FALSE)), OR(MID(Metadata!E16,11,1)="", AND(AND(MID(Metadata!E16,11,1)=" ",IFERROR(INT(MID(Metadata!E16,12,1))&gt;=0,FALSE),IFERROR(INT(MID(Metadata!E16,12,1))&lt;=2,FALSE),NOT(MID(Metadata!E16,13,1)=""),IFERROR(INT(MID(Metadata!E16,12,2))&gt;=0,FALSE),IFERROR(INT(MID(Metadata!E16,12,2))&lt;=23,FALSE)), OR(MID(Metadata!E16,14,1)="", AND(AND(MID(Metadata!E16,14,1)=":",IFERROR(INT(MID(Metadata!E16,15,1))&gt;=0,FALSE),IFERROR(INT(MID(Metadata!E16,15,1))&lt;=5,FALSE),NOT(MID(Metadata!E16,16,1)=""),IFERROR(INT(MID(Metadata!E16,15,2))&gt;=0,FALSE),IFERROR(INT(MID(Metadata!E16,15,2))&lt;=59,FALSE)), OR(MID(Metadata!E16,17,1)="", AND(AND(MID(Metadata!E16,17,1)=":",IFERROR(INT(MID(Metadata!E16,18,1))&gt;=0,FALSE),IFERROR(INT(MID(Metadata!E16,18,1))&lt;=5,FALSE),NOT(MID(Metadata!E16,19,1)=""),IFERROR(INT(MID(Metadata!E16,18,2))&gt;=0,FALSE),IFERROR(INT(MID(Metadata!E16,18,2))&lt;=59,FALSE)), LEN(Metadata!E16)&lt;=19)))))))))))))</f>
        <v>0</v>
      </c>
      <c r="AS17" t="b">
        <f>IF(Metadata!F16="",FALSE,TRUE)</f>
        <v>1</v>
      </c>
      <c r="AT17" t="b">
        <f>OR(AND(IF(Metadata!G16="",FALSE,TRUE),OR(EXACT(Metadata!G16,"not collected"),EXACT(Metadata!G16,"not provided"))),AND(IF(Metadata!G16="",FALSE,TRUE),OR(EXACT(Metadata!G16,"TRUE"),EXACT(Metadata!G16,"FALSE"))))</f>
        <v>1</v>
      </c>
      <c r="AU17" t="b">
        <f>OR(AND(IF(Metadata!H16="",FALSE,TRUE),OR(EXACT(Metadata!H16,"not collected"),EXACT(Metadata!H16,"not provided"),EXACT(Metadata!H16,"restricted access"))),AND(IF(Metadata!H16="",FALSE,ISNUMBER(VALUE(Metadata!H16))),Metadata!H16&gt;=-413))</f>
        <v>0</v>
      </c>
      <c r="AV17" t="b">
        <f>AND(IF(Metadata!I16="",FALSE,TRUE),EXACT(Metadata!I16,"meters"))</f>
        <v>1</v>
      </c>
      <c r="AW17" t="b">
        <f>AND(IF(Metadata!J16="",FALSE,TRUE),EXACT(Metadata!J16,"free-living"))</f>
        <v>1</v>
      </c>
      <c r="AX17" t="b">
        <f>AND(IF(Metadata!K16="",FALSE,TRUE),OR(EXACT(Metadata!K16,"saline"),EXACT(Metadata!K16,"non-saline")))</f>
        <v>1</v>
      </c>
      <c r="AY17" t="b">
        <f>AND(IF(Metadata!L16="",FALSE,TRUE),OR(EXACT(Metadata!L16,"sub-surface (non-saline)"),EXACT(Metadata!L16,"surface (non-saline)"),EXACT(Metadata!L16,"water (non-saline)"),EXACT(Metadata!L16,"soil (non-saline)"),EXACT(Metadata!L16,"aerosol (non-saline)"),EXACT(Metadata!L16,"sediment (non-saline)"),EXACT(Metadata!L16,"surface (saline)"),EXACT(Metadata!L16,"water (saline)"),EXACT(Metadata!L16,"hypersaline (saline)"),EXACT(Metadata!L16,"aerosol (saline)"),EXACT(Metadata!L16,"sediment (saline)")))</f>
        <v>1</v>
      </c>
      <c r="AZ17" t="b">
        <f>IF(Metadata!M16="",FALSE,TRUE)</f>
        <v>1</v>
      </c>
      <c r="BA17" t="b">
        <f>IF(Metadata!N16="",FALSE,TRUE)</f>
        <v>1</v>
      </c>
      <c r="BB17" t="b">
        <f>IF(Metadata!O16="",FALSE,TRUE)</f>
        <v>1</v>
      </c>
      <c r="BC17" t="b">
        <f>AND(IF(Metadata!P16="",FALSE,TRUE),OR(EXACT(Metadata!P16,"air"),EXACT(Metadata!P16,"microbial mat/biofilm"),EXACT(Metadata!P16,"misc environment"),EXACT(Metadata!P16,"sediment"),EXACT(Metadata!P16,"soil"),EXACT(Metadata!P16,"wastewater/sludge"),EXACT(Metadata!P16,"water")))</f>
        <v>1</v>
      </c>
      <c r="BD17" t="b">
        <f>IF(Metadata!Q16="",FALSE,TRUE)</f>
        <v>1</v>
      </c>
      <c r="BE17" t="b">
        <f>IF(Metadata!R16="",FALSE,TRUE)</f>
        <v>1</v>
      </c>
      <c r="BF17" t="b">
        <f>OR(AND(IF(Metadata!S16="",FALSE,TRUE),OR(EXACT(Metadata!S16,"not collected"),EXACT(Metadata!S16,"not provided"),EXACT(Metadata!S16,"restricted access"))),AND(IF(Metadata!S16="",FALSE,ISNUMBER(VALUE(Metadata!S16))),Metadata!S16&gt;=-90,Metadata!S16&lt;=90))</f>
        <v>0</v>
      </c>
      <c r="BG17" t="b">
        <f>AND(IF(Metadata!T16="",FALSE,TRUE),EXACT(Metadata!T16,"Decimal degrees"))</f>
        <v>1</v>
      </c>
      <c r="BH17" t="b">
        <f>OR(AND(IF(Metadata!U17="",FALSE,TRUE),OR(EXACT(Metadata!U17,"not applicable"),EXACT(Metadata!U17,"not collected"))),IF(Metadata!U17="",FALSE,TRUE))</f>
        <v>1</v>
      </c>
      <c r="BI17" t="b">
        <f>OR(AND(IF(Metadata!V16="",FALSE,TRUE),OR(EXACT(Metadata!V16,"not collected"),EXACT(Metadata!V16,"not provided"),EXACT(Metadata!V16,"restricted access"))),AND(IF(Metadata!V16="",FALSE,ISNUMBER(VALUE(Metadata!V16))),Metadata!V16&gt;=-180,Metadata!V16&lt;=180))</f>
        <v>0</v>
      </c>
      <c r="BJ17" t="b">
        <f>AND(IF(Metadata!W16="",FALSE,TRUE),EXACT(Metadata!W16,"Decimal degrees"))</f>
        <v>1</v>
      </c>
      <c r="BK17" t="b">
        <f>IF(Metadata!X16="",FALSE,TRUE)</f>
        <v>1</v>
      </c>
      <c r="BL17" t="b">
        <f>OR(AND(IF(Metadata!Y16="",FALSE,TRUE),OR(EXACT(Metadata!Y16,"not collected"),EXACT(Metadata!Y16,"not provided"),EXACT(Metadata!Y16,"restricted access"))),AND(IF(Metadata!Y16="",FALSE,TRUE),OR(EXACT(Metadata!Y16,"TRUE"),EXACT(Metadata!Y16,"FALSE"))))</f>
        <v>1</v>
      </c>
      <c r="BM17" t="b">
        <f>OR(AND(IF(Metadata!Z16="",FALSE,TRUE),EXACT(Metadata!Z16,"not applicable")),AND(IF(Metadata!Z16="",FALSE,TRUE),OR(EXACT(Metadata!Z16,"beer"),EXACT(Metadata!Z16,"cheese"),EXACT(Metadata!Z16,"fresh water"),EXACT(Metadata!Z16,"marine sediment"),EXACT(Metadata!Z16,"sea water"),EXACT(Metadata!Z16,"sediment"),EXACT(Metadata!Z16,"soil"),EXACT(Metadata!Z16,"waste water"))))</f>
        <v>1</v>
      </c>
      <c r="BN17" t="b">
        <f>AND(IF(Metadata!AA16="",FALSE,TRUE),EXACT(Metadata!AA16,"metagenome"))</f>
        <v>1</v>
      </c>
      <c r="BO17" t="b">
        <f>AND(IF(Metadata!AB16="",FALSE,TRUE),EXACT(Metadata!AB16,"256318"))</f>
        <v>1</v>
      </c>
      <c r="BP17" t="b">
        <f>IF(Metadata!AC16="",FALSE,TRUE)</f>
        <v>1</v>
      </c>
      <c r="BQ17" t="b">
        <f>IF(Metadata!AD16="",FALSE,TRUE)</f>
        <v>1</v>
      </c>
    </row>
    <row r="18" spans="1:69" x14ac:dyDescent="0.2">
      <c r="A18" s="4" t="e">
        <f ca="1">IF(B18=" "," ",HYPERLINK(CONCATENATE("#metadata!",ADDRESS(INDEX($AJ$2:$AJ$1001,MATCH(ROWS($AH$2:AH18),$AH$2:$AH$1001,0),0),2)),INDEX($AM$2:$AM$1001,MATCH(ROWS($AH$2:AH18),$AH$2:$AH$1001,0),0)))</f>
        <v>#N/A</v>
      </c>
      <c r="B18" s="5" t="e">
        <f ca="1">IF(OR(INDEX($AI$2:$AI$1001,MATCH(ROWS($AH$2:AH18),$AH$2:$AH$1001,0),1)&gt;=100000,INDEX($AO$1005:$BQ$1005,1,MATCH(COLUMNS($AO$1006:AO1006),$AO$1006:$BQ$1006,0))&gt;=100000), " ",IF(INDEX($AO$2:$BQ$1001,MATCH(ROWS($AH$2:AH18),$AH$2:$AH$1001,0),MATCH(COLUMNS($AO$1006:AO1006),$AO$1006:$BQ$1006,0)), HYPERLINK("#",""), HYPERLINK(CONCATENATE("#Metadata!", ADDRESS(INDEX($AJ$2:$AJ$1001,MATCH(ROWS($AH$2:AH18),$AH$2:$AH$1001,0),0), INDEX($AO$1004:$BQ$1004,1,MATCH(COLUMNS($AO$1006:AO1006),$AO$1006:$BQ$1006,0)))),"Fix")))</f>
        <v>#N/A</v>
      </c>
      <c r="C18" s="5" t="e">
        <f ca="1">IF(OR(INDEX($AI$2:$AI$1001,MATCH(ROWS($AH$2:AH18),$AH$2:$AH$1001,0),1)&gt;=100000,INDEX($AO$1005:$BQ$1005,1,MATCH(COLUMNS($AO$1006:AP1006),$AO$1006:$BQ$1006,0))&gt;=100000), " ",IF(INDEX($AO$2:$BQ$1001,MATCH(ROWS($AH$2:AH18),$AH$2:$AH$1001,0),MATCH(COLUMNS($AO$1006:AP1006),$AO$1006:$BQ$1006,0)), HYPERLINK("#",""), HYPERLINK(CONCATENATE("#Metadata!", ADDRESS(INDEX($AJ$2:$AJ$1001,MATCH(ROWS($AH$2:AH18),$AH$2:$AH$1001,0),0), INDEX($AO$1004:$BQ$1004,1,MATCH(COLUMNS($AO$1006:AP1006),$AO$1006:$BQ$1006,0)))),"Fix")))</f>
        <v>#N/A</v>
      </c>
      <c r="D18" s="5" t="e">
        <f ca="1">IF(OR(INDEX($AI$2:$AI$1001,MATCH(ROWS($AH$2:AH18),$AH$2:$AH$1001,0),1)&gt;=100000,INDEX($AO$1005:$BQ$1005,1,MATCH(COLUMNS($AO$1006:AQ1006),$AO$1006:$BQ$1006,0))&gt;=100000), " ",IF(INDEX($AO$2:$BQ$1001,MATCH(ROWS($AH$2:AH18),$AH$2:$AH$1001,0),MATCH(COLUMNS($AO$1006:AQ1006),$AO$1006:$BQ$1006,0)), HYPERLINK("#",""), HYPERLINK(CONCATENATE("#Metadata!", ADDRESS(INDEX($AJ$2:$AJ$1001,MATCH(ROWS($AH$2:AH18),$AH$2:$AH$1001,0),0), INDEX($AO$1004:$BQ$1004,1,MATCH(COLUMNS($AO$1006:AQ1006),$AO$1006:$BQ$1006,0)))),"Fix")))</f>
        <v>#N/A</v>
      </c>
      <c r="E18" s="5" t="e">
        <f ca="1">IF(OR(INDEX($AI$2:$AI$1001,MATCH(ROWS($AH$2:AH18),$AH$2:$AH$1001,0),1)&gt;=100000,INDEX($AO$1005:$BQ$1005,1,MATCH(COLUMNS($AO$1006:AR1006),$AO$1006:$BQ$1006,0))&gt;=100000), " ",IF(INDEX($AO$2:$BQ$1001,MATCH(ROWS($AH$2:AH18),$AH$2:$AH$1001,0),MATCH(COLUMNS($AO$1006:AR1006),$AO$1006:$BQ$1006,0)), HYPERLINK("#",""), HYPERLINK(CONCATENATE("#Metadata!", ADDRESS(INDEX($AJ$2:$AJ$1001,MATCH(ROWS($AH$2:AH18),$AH$2:$AH$1001,0),0), INDEX($AO$1004:$BQ$1004,1,MATCH(COLUMNS($AO$1006:AR1006),$AO$1006:$BQ$1006,0)))),"Fix")))</f>
        <v>#N/A</v>
      </c>
      <c r="F18" s="5" t="e">
        <f ca="1">IF(OR(INDEX($AI$2:$AI$1001,MATCH(ROWS($AH$2:AH18),$AH$2:$AH$1001,0),1)&gt;=100000,INDEX($AO$1005:$BQ$1005,1,MATCH(COLUMNS($AO$1006:AS1006),$AO$1006:$BQ$1006,0))&gt;=100000), " ",IF(INDEX($AO$2:$BQ$1001,MATCH(ROWS($AH$2:AH18),$AH$2:$AH$1001,0),MATCH(COLUMNS($AO$1006:AS1006),$AO$1006:$BQ$1006,0)), HYPERLINK("#",""), HYPERLINK(CONCATENATE("#Metadata!", ADDRESS(INDEX($AJ$2:$AJ$1001,MATCH(ROWS($AH$2:AH18),$AH$2:$AH$1001,0),0), INDEX($AO$1004:$BQ$1004,1,MATCH(COLUMNS($AO$1006:AS1006),$AO$1006:$BQ$1006,0)))),"Fix")))</f>
        <v>#N/A</v>
      </c>
      <c r="G18" s="5" t="e">
        <f ca="1">IF(OR(INDEX($AI$2:$AI$1001,MATCH(ROWS($AH$2:AH18),$AH$2:$AH$1001,0),1)&gt;=100000,INDEX($AO$1005:$BQ$1005,1,MATCH(COLUMNS($AO$1006:AT1006),$AO$1006:$BQ$1006,0))&gt;=100000), " ",IF(INDEX($AO$2:$BQ$1001,MATCH(ROWS($AH$2:AH18),$AH$2:$AH$1001,0),MATCH(COLUMNS($AO$1006:AT1006),$AO$1006:$BQ$1006,0)), HYPERLINK("#",""), HYPERLINK(CONCATENATE("#Metadata!", ADDRESS(INDEX($AJ$2:$AJ$1001,MATCH(ROWS($AH$2:AH18),$AH$2:$AH$1001,0),0), INDEX($AO$1004:$BQ$1004,1,MATCH(COLUMNS($AO$1006:AT1006),$AO$1006:$BQ$1006,0)))),"Fix")))</f>
        <v>#N/A</v>
      </c>
      <c r="H18" s="5" t="e">
        <f ca="1">IF(OR(INDEX($AI$2:$AI$1001,MATCH(ROWS($AH$2:AH18),$AH$2:$AH$1001,0),1)&gt;=100000,INDEX($AO$1005:$BQ$1005,1,MATCH(COLUMNS($AO$1006:AU1006),$AO$1006:$BQ$1006,0))&gt;=100000), " ",IF(INDEX($AO$2:$BQ$1001,MATCH(ROWS($AH$2:AH18),$AH$2:$AH$1001,0),MATCH(COLUMNS($AO$1006:AU1006),$AO$1006:$BQ$1006,0)), HYPERLINK("#",""), HYPERLINK(CONCATENATE("#Metadata!", ADDRESS(INDEX($AJ$2:$AJ$1001,MATCH(ROWS($AH$2:AH18),$AH$2:$AH$1001,0),0), INDEX($AO$1004:$BQ$1004,1,MATCH(COLUMNS($AO$1006:AU1006),$AO$1006:$BQ$1006,0)))),"Fix")))</f>
        <v>#N/A</v>
      </c>
      <c r="I18" s="5" t="e">
        <f ca="1">IF(OR(INDEX($AI$2:$AI$1001,MATCH(ROWS($AH$2:AH18),$AH$2:$AH$1001,0),1)&gt;=100000,INDEX($AO$1005:$BQ$1005,1,MATCH(COLUMNS($AO$1006:AV1006),$AO$1006:$BQ$1006,0))&gt;=100000), " ",IF(INDEX($AO$2:$BQ$1001,MATCH(ROWS($AH$2:AH18),$AH$2:$AH$1001,0),MATCH(COLUMNS($AO$1006:AV1006),$AO$1006:$BQ$1006,0)), HYPERLINK("#",""), HYPERLINK(CONCATENATE("#Metadata!", ADDRESS(INDEX($AJ$2:$AJ$1001,MATCH(ROWS($AH$2:AH18),$AH$2:$AH$1001,0),0), INDEX($AO$1004:$BQ$1004,1,MATCH(COLUMNS($AO$1006:AV1006),$AO$1006:$BQ$1006,0)))),"Fix")))</f>
        <v>#N/A</v>
      </c>
      <c r="J18" s="5" t="e">
        <f ca="1">IF(OR(INDEX($AI$2:$AI$1001,MATCH(ROWS($AH$2:AH18),$AH$2:$AH$1001,0),1)&gt;=100000,INDEX($AO$1005:$BQ$1005,1,MATCH(COLUMNS($AO$1006:AW1006),$AO$1006:$BQ$1006,0))&gt;=100000), " ",IF(INDEX($AO$2:$BQ$1001,MATCH(ROWS($AH$2:AH18),$AH$2:$AH$1001,0),MATCH(COLUMNS($AO$1006:AW1006),$AO$1006:$BQ$1006,0)), HYPERLINK("#",""), HYPERLINK(CONCATENATE("#Metadata!", ADDRESS(INDEX($AJ$2:$AJ$1001,MATCH(ROWS($AH$2:AH18),$AH$2:$AH$1001,0),0), INDEX($AO$1004:$BQ$1004,1,MATCH(COLUMNS($AO$1006:AW1006),$AO$1006:$BQ$1006,0)))),"Fix")))</f>
        <v>#N/A</v>
      </c>
      <c r="K18" s="5" t="e">
        <f ca="1">IF(OR(INDEX($AI$2:$AI$1001,MATCH(ROWS($AH$2:AH18),$AH$2:$AH$1001,0),1)&gt;=100000,INDEX($AO$1005:$BQ$1005,1,MATCH(COLUMNS($AO$1006:AX1006),$AO$1006:$BQ$1006,0))&gt;=100000), " ",IF(INDEX($AO$2:$BQ$1001,MATCH(ROWS($AH$2:AH18),$AH$2:$AH$1001,0),MATCH(COLUMNS($AO$1006:AX1006),$AO$1006:$BQ$1006,0)), HYPERLINK("#",""), HYPERLINK(CONCATENATE("#Metadata!", ADDRESS(INDEX($AJ$2:$AJ$1001,MATCH(ROWS($AH$2:AH18),$AH$2:$AH$1001,0),0), INDEX($AO$1004:$BQ$1004,1,MATCH(COLUMNS($AO$1006:AX1006),$AO$1006:$BQ$1006,0)))),"Fix")))</f>
        <v>#N/A</v>
      </c>
      <c r="L18" s="5" t="e">
        <f ca="1">IF(OR(INDEX($AI$2:$AI$1001,MATCH(ROWS($AH$2:AH18),$AH$2:$AH$1001,0),1)&gt;=100000,INDEX($AO$1005:$BQ$1005,1,MATCH(COLUMNS($AO$1006:AY1006),$AO$1006:$BQ$1006,0))&gt;=100000), " ",IF(INDEX($AO$2:$BQ$1001,MATCH(ROWS($AH$2:AH18),$AH$2:$AH$1001,0),MATCH(COLUMNS($AO$1006:AY1006),$AO$1006:$BQ$1006,0)), HYPERLINK("#",""), HYPERLINK(CONCATENATE("#Metadata!", ADDRESS(INDEX($AJ$2:$AJ$1001,MATCH(ROWS($AH$2:AH18),$AH$2:$AH$1001,0),0), INDEX($AO$1004:$BQ$1004,1,MATCH(COLUMNS($AO$1006:AY1006),$AO$1006:$BQ$1006,0)))),"Fix")))</f>
        <v>#N/A</v>
      </c>
      <c r="M18" s="5" t="e">
        <f ca="1">IF(OR(INDEX($AI$2:$AI$1001,MATCH(ROWS($AH$2:AH18),$AH$2:$AH$1001,0),1)&gt;=100000,INDEX($AO$1005:$BQ$1005,1,MATCH(COLUMNS($AO$1006:AZ1006),$AO$1006:$BQ$1006,0))&gt;=100000), " ",IF(INDEX($AO$2:$BQ$1001,MATCH(ROWS($AH$2:AH18),$AH$2:$AH$1001,0),MATCH(COLUMNS($AO$1006:AZ1006),$AO$1006:$BQ$1006,0)), HYPERLINK("#",""), HYPERLINK(CONCATENATE("#Metadata!", ADDRESS(INDEX($AJ$2:$AJ$1001,MATCH(ROWS($AH$2:AH18),$AH$2:$AH$1001,0),0), INDEX($AO$1004:$BQ$1004,1,MATCH(COLUMNS($AO$1006:AZ1006),$AO$1006:$BQ$1006,0)))),"Fix")))</f>
        <v>#N/A</v>
      </c>
      <c r="N18" s="5" t="e">
        <f ca="1">IF(OR(INDEX($AI$2:$AI$1001,MATCH(ROWS($AH$2:AH18),$AH$2:$AH$1001,0),1)&gt;=100000,INDEX($AO$1005:$BQ$1005,1,MATCH(COLUMNS($AO$1006:BA1006),$AO$1006:$BQ$1006,0))&gt;=100000), " ",IF(INDEX($AO$2:$BQ$1001,MATCH(ROWS($AH$2:AH18),$AH$2:$AH$1001,0),MATCH(COLUMNS($AO$1006:BA1006),$AO$1006:$BQ$1006,0)), HYPERLINK("#",""), HYPERLINK(CONCATENATE("#Metadata!", ADDRESS(INDEX($AJ$2:$AJ$1001,MATCH(ROWS($AH$2:AH18),$AH$2:$AH$1001,0),0), INDEX($AO$1004:$BQ$1004,1,MATCH(COLUMNS($AO$1006:BA1006),$AO$1006:$BQ$1006,0)))),"Fix")))</f>
        <v>#N/A</v>
      </c>
      <c r="O18" s="5" t="e">
        <f ca="1">IF(OR(INDEX($AI$2:$AI$1001,MATCH(ROWS($AH$2:AH18),$AH$2:$AH$1001,0),1)&gt;=100000,INDEX($AO$1005:$BQ$1005,1,MATCH(COLUMNS($AO$1006:BB1006),$AO$1006:$BQ$1006,0))&gt;=100000), " ",IF(INDEX($AO$2:$BQ$1001,MATCH(ROWS($AH$2:AH18),$AH$2:$AH$1001,0),MATCH(COLUMNS($AO$1006:BB1006),$AO$1006:$BQ$1006,0)), HYPERLINK("#",""), HYPERLINK(CONCATENATE("#Metadata!", ADDRESS(INDEX($AJ$2:$AJ$1001,MATCH(ROWS($AH$2:AH18),$AH$2:$AH$1001,0),0), INDEX($AO$1004:$BQ$1004,1,MATCH(COLUMNS($AO$1006:BB1006),$AO$1006:$BQ$1006,0)))),"Fix")))</f>
        <v>#N/A</v>
      </c>
      <c r="P18" s="5" t="e">
        <f ca="1">IF(OR(INDEX($AI$2:$AI$1001,MATCH(ROWS($AH$2:AH18),$AH$2:$AH$1001,0),1)&gt;=100000,INDEX($AO$1005:$BQ$1005,1,MATCH(COLUMNS($AO$1006:BC1006),$AO$1006:$BQ$1006,0))&gt;=100000), " ",IF(INDEX($AO$2:$BQ$1001,MATCH(ROWS($AH$2:AH18),$AH$2:$AH$1001,0),MATCH(COLUMNS($AO$1006:BC1006),$AO$1006:$BQ$1006,0)), HYPERLINK("#",""), HYPERLINK(CONCATENATE("#Metadata!", ADDRESS(INDEX($AJ$2:$AJ$1001,MATCH(ROWS($AH$2:AH18),$AH$2:$AH$1001,0),0), INDEX($AO$1004:$BQ$1004,1,MATCH(COLUMNS($AO$1006:BC1006),$AO$1006:$BQ$1006,0)))),"Fix")))</f>
        <v>#N/A</v>
      </c>
      <c r="Q18" s="5" t="e">
        <f ca="1">IF(OR(INDEX($AI$2:$AI$1001,MATCH(ROWS($AH$2:AH18),$AH$2:$AH$1001,0),1)&gt;=100000,INDEX($AO$1005:$BQ$1005,1,MATCH(COLUMNS($AO$1006:BD1006),$AO$1006:$BQ$1006,0))&gt;=100000), " ",IF(INDEX($AO$2:$BQ$1001,MATCH(ROWS($AH$2:AH18),$AH$2:$AH$1001,0),MATCH(COLUMNS($AO$1006:BD1006),$AO$1006:$BQ$1006,0)), HYPERLINK("#",""), HYPERLINK(CONCATENATE("#Metadata!", ADDRESS(INDEX($AJ$2:$AJ$1001,MATCH(ROWS($AH$2:AH18),$AH$2:$AH$1001,0),0), INDEX($AO$1004:$BQ$1004,1,MATCH(COLUMNS($AO$1006:BD1006),$AO$1006:$BQ$1006,0)))),"Fix")))</f>
        <v>#N/A</v>
      </c>
      <c r="R18" s="5" t="e">
        <f ca="1">IF(OR(INDEX($AI$2:$AI$1001,MATCH(ROWS($AH$2:AH18),$AH$2:$AH$1001,0),1)&gt;=100000,INDEX($AO$1005:$BQ$1005,1,MATCH(COLUMNS($AO$1006:BE1006),$AO$1006:$BQ$1006,0))&gt;=100000), " ",IF(INDEX($AO$2:$BQ$1001,MATCH(ROWS($AH$2:AH18),$AH$2:$AH$1001,0),MATCH(COLUMNS($AO$1006:BE1006),$AO$1006:$BQ$1006,0)), HYPERLINK("#",""), HYPERLINK(CONCATENATE("#Metadata!", ADDRESS(INDEX($AJ$2:$AJ$1001,MATCH(ROWS($AH$2:AH18),$AH$2:$AH$1001,0),0), INDEX($AO$1004:$BQ$1004,1,MATCH(COLUMNS($AO$1006:BE1006),$AO$1006:$BQ$1006,0)))),"Fix")))</f>
        <v>#N/A</v>
      </c>
      <c r="S18" s="5" t="e">
        <f ca="1">IF(OR(INDEX($AI$2:$AI$1001,MATCH(ROWS($AH$2:AH18),$AH$2:$AH$1001,0),1)&gt;=100000,INDEX($AO$1005:$BQ$1005,1,MATCH(COLUMNS($AO$1006:BF1006),$AO$1006:$BQ$1006,0))&gt;=100000), " ",IF(INDEX($AO$2:$BQ$1001,MATCH(ROWS($AH$2:AH18),$AH$2:$AH$1001,0),MATCH(COLUMNS($AO$1006:BF1006),$AO$1006:$BQ$1006,0)), HYPERLINK("#",""), HYPERLINK(CONCATENATE("#Metadata!", ADDRESS(INDEX($AJ$2:$AJ$1001,MATCH(ROWS($AH$2:AH18),$AH$2:$AH$1001,0),0), INDEX($AO$1004:$BQ$1004,1,MATCH(COLUMNS($AO$1006:BF1006),$AO$1006:$BQ$1006,0)))),"Fix")))</f>
        <v>#N/A</v>
      </c>
      <c r="T18" s="5" t="e">
        <f ca="1">IF(OR(INDEX($AI$2:$AI$1001,MATCH(ROWS($AH$2:AH18),$AH$2:$AH$1001,0),1)&gt;=100000,INDEX($AO$1005:$BQ$1005,1,MATCH(COLUMNS($AO$1006:BG1006),$AO$1006:$BQ$1006,0))&gt;=100000), " ",IF(INDEX($AO$2:$BQ$1001,MATCH(ROWS($AH$2:AH18),$AH$2:$AH$1001,0),MATCH(COLUMNS($AO$1006:BG1006),$AO$1006:$BQ$1006,0)), HYPERLINK("#",""), HYPERLINK(CONCATENATE("#Metadata!", ADDRESS(INDEX($AJ$2:$AJ$1001,MATCH(ROWS($AH$2:AH18),$AH$2:$AH$1001,0),0), INDEX($AO$1004:$BQ$1004,1,MATCH(COLUMNS($AO$1006:BG1006),$AO$1006:$BQ$1006,0)))),"Fix")))</f>
        <v>#N/A</v>
      </c>
      <c r="U18" s="5" t="e">
        <f ca="1">IF(OR(INDEX($AI$2:$AI$1001,MATCH(ROWS($AH$2:AH18),$AH$2:$AH$1001,0),1)&gt;=100000,INDEX($AO$1005:$BQ$1005,1,MATCH(COLUMNS($AO$1006:BH1006),$AO$1006:$BQ$1006,0))&gt;=100000), " ",IF(INDEX($AO$2:$BQ$1001,MATCH(ROWS($AH$2:AH18),$AH$2:$AH$1001,0),MATCH(COLUMNS($AO$1006:BH1006),$AO$1006:$BQ$1006,0)), HYPERLINK("#",""), HYPERLINK(CONCATENATE("#Metadata!", ADDRESS(INDEX($AJ$2:$AJ$1001,MATCH(ROWS($AH$2:AH18),$AH$2:$AH$1001,0),0), INDEX($AO$1004:$BQ$1004,1,MATCH(COLUMNS($AO$1006:BH1006),$AO$1006:$BQ$1006,0)))),"Fix")))</f>
        <v>#N/A</v>
      </c>
      <c r="V18" s="5" t="e">
        <f ca="1">IF(OR(INDEX($AI$2:$AI$1001,MATCH(ROWS($AH$2:AH18),$AH$2:$AH$1001,0),1)&gt;=100000,INDEX($AO$1005:$BQ$1005,1,MATCH(COLUMNS($AO$1006:BI1006),$AO$1006:$BQ$1006,0))&gt;=100000), " ",IF(INDEX($AO$2:$BQ$1001,MATCH(ROWS($AH$2:AH18),$AH$2:$AH$1001,0),MATCH(COLUMNS($AO$1006:BI1006),$AO$1006:$BQ$1006,0)), HYPERLINK("#",""), HYPERLINK(CONCATENATE("#Metadata!", ADDRESS(INDEX($AJ$2:$AJ$1001,MATCH(ROWS($AH$2:AH18),$AH$2:$AH$1001,0),0), INDEX($AO$1004:$BQ$1004,1,MATCH(COLUMNS($AO$1006:BI1006),$AO$1006:$BQ$1006,0)))),"Fix")))</f>
        <v>#N/A</v>
      </c>
      <c r="W18" s="5" t="e">
        <f ca="1">IF(OR(INDEX($AI$2:$AI$1001,MATCH(ROWS($AH$2:AH18),$AH$2:$AH$1001,0),1)&gt;=100000,INDEX($AO$1005:$BQ$1005,1,MATCH(COLUMNS($AO$1006:BJ1006),$AO$1006:$BQ$1006,0))&gt;=100000), " ",IF(INDEX($AO$2:$BQ$1001,MATCH(ROWS($AH$2:AH18),$AH$2:$AH$1001,0),MATCH(COLUMNS($AO$1006:BJ1006),$AO$1006:$BQ$1006,0)), HYPERLINK("#",""), HYPERLINK(CONCATENATE("#Metadata!", ADDRESS(INDEX($AJ$2:$AJ$1001,MATCH(ROWS($AH$2:AH18),$AH$2:$AH$1001,0),0), INDEX($AO$1004:$BQ$1004,1,MATCH(COLUMNS($AO$1006:BJ1006),$AO$1006:$BQ$1006,0)))),"Fix")))</f>
        <v>#N/A</v>
      </c>
      <c r="X18" s="5" t="e">
        <f ca="1">IF(OR(INDEX($AI$2:$AI$1001,MATCH(ROWS($AH$2:AH18),$AH$2:$AH$1001,0),1)&gt;=100000,INDEX($AO$1005:$BQ$1005,1,MATCH(COLUMNS($AO$1006:BK1006),$AO$1006:$BQ$1006,0))&gt;=100000), " ",IF(INDEX($AO$2:$BQ$1001,MATCH(ROWS($AH$2:AH18),$AH$2:$AH$1001,0),MATCH(COLUMNS($AO$1006:BK1006),$AO$1006:$BQ$1006,0)), HYPERLINK("#",""), HYPERLINK(CONCATENATE("#Metadata!", ADDRESS(INDEX($AJ$2:$AJ$1001,MATCH(ROWS($AH$2:AH18),$AH$2:$AH$1001,0),0), INDEX($AO$1004:$BQ$1004,1,MATCH(COLUMNS($AO$1006:BK1006),$AO$1006:$BQ$1006,0)))),"Fix")))</f>
        <v>#N/A</v>
      </c>
      <c r="Y18" s="5" t="e">
        <f ca="1">IF(OR(INDEX($AI$2:$AI$1001,MATCH(ROWS($AH$2:AH18),$AH$2:$AH$1001,0),1)&gt;=100000,INDEX($AO$1005:$BQ$1005,1,MATCH(COLUMNS($AO$1006:BL1006),$AO$1006:$BQ$1006,0))&gt;=100000), " ",IF(INDEX($AO$2:$BQ$1001,MATCH(ROWS($AH$2:AH18),$AH$2:$AH$1001,0),MATCH(COLUMNS($AO$1006:BL1006),$AO$1006:$BQ$1006,0)), HYPERLINK("#",""), HYPERLINK(CONCATENATE("#Metadata!", ADDRESS(INDEX($AJ$2:$AJ$1001,MATCH(ROWS($AH$2:AH18),$AH$2:$AH$1001,0),0), INDEX($AO$1004:$BQ$1004,1,MATCH(COLUMNS($AO$1006:BL1006),$AO$1006:$BQ$1006,0)))),"Fix")))</f>
        <v>#N/A</v>
      </c>
      <c r="Z18" s="5" t="e">
        <f ca="1">IF(OR(INDEX($AI$2:$AI$1001,MATCH(ROWS($AH$2:AH18),$AH$2:$AH$1001,0),1)&gt;=100000,INDEX($AO$1005:$BQ$1005,1,MATCH(COLUMNS($AO$1006:BM1006),$AO$1006:$BQ$1006,0))&gt;=100000), " ",IF(INDEX($AO$2:$BQ$1001,MATCH(ROWS($AH$2:AH18),$AH$2:$AH$1001,0),MATCH(COLUMNS($AO$1006:BM1006),$AO$1006:$BQ$1006,0)), HYPERLINK("#",""), HYPERLINK(CONCATENATE("#Metadata!", ADDRESS(INDEX($AJ$2:$AJ$1001,MATCH(ROWS($AH$2:AH18),$AH$2:$AH$1001,0),0), INDEX($AO$1004:$BQ$1004,1,MATCH(COLUMNS($AO$1006:BM1006),$AO$1006:$BQ$1006,0)))),"Fix")))</f>
        <v>#N/A</v>
      </c>
      <c r="AA18" s="5" t="e">
        <f ca="1">IF(OR(INDEX($AI$2:$AI$1001,MATCH(ROWS($AH$2:AH18),$AH$2:$AH$1001,0),1)&gt;=100000,INDEX($AO$1005:$BQ$1005,1,MATCH(COLUMNS($AO$1006:BN1006),$AO$1006:$BQ$1006,0))&gt;=100000), " ",IF(INDEX($AO$2:$BQ$1001,MATCH(ROWS($AH$2:AH18),$AH$2:$AH$1001,0),MATCH(COLUMNS($AO$1006:BN1006),$AO$1006:$BQ$1006,0)), HYPERLINK("#",""), HYPERLINK(CONCATENATE("#Metadata!", ADDRESS(INDEX($AJ$2:$AJ$1001,MATCH(ROWS($AH$2:AH18),$AH$2:$AH$1001,0),0), INDEX($AO$1004:$BQ$1004,1,MATCH(COLUMNS($AO$1006:BN1006),$AO$1006:$BQ$1006,0)))),"Fix")))</f>
        <v>#N/A</v>
      </c>
      <c r="AB18" s="5" t="e">
        <f ca="1">IF(OR(INDEX($AI$2:$AI$1001,MATCH(ROWS($AH$2:AH18),$AH$2:$AH$1001,0),1)&gt;=100000,INDEX($AO$1005:$BQ$1005,1,MATCH(COLUMNS($AO$1006:BO1006),$AO$1006:$BQ$1006,0))&gt;=100000), " ",IF(INDEX($AO$2:$BQ$1001,MATCH(ROWS($AH$2:AH18),$AH$2:$AH$1001,0),MATCH(COLUMNS($AO$1006:BO1006),$AO$1006:$BQ$1006,0)), HYPERLINK("#",""), HYPERLINK(CONCATENATE("#Metadata!", ADDRESS(INDEX($AJ$2:$AJ$1001,MATCH(ROWS($AH$2:AH18),$AH$2:$AH$1001,0),0), INDEX($AO$1004:$BQ$1004,1,MATCH(COLUMNS($AO$1006:BO1006),$AO$1006:$BQ$1006,0)))),"Fix")))</f>
        <v>#N/A</v>
      </c>
      <c r="AC18" s="5" t="e">
        <f ca="1">IF(OR(INDEX($AI$2:$AI$1001,MATCH(ROWS($AH$2:AH18),$AH$2:$AH$1001,0),1)&gt;=100000,INDEX($AO$1005:$BQ$1005,1,MATCH(COLUMNS($AO$1006:BP1006),$AO$1006:$BQ$1006,0))&gt;=100000), " ",IF(INDEX($AO$2:$BQ$1001,MATCH(ROWS($AH$2:AH18),$AH$2:$AH$1001,0),MATCH(COLUMNS($AO$1006:BP1006),$AO$1006:$BQ$1006,0)), HYPERLINK("#",""), HYPERLINK(CONCATENATE("#Metadata!", ADDRESS(INDEX($AJ$2:$AJ$1001,MATCH(ROWS($AH$2:AH18),$AH$2:$AH$1001,0),0), INDEX($AO$1004:$BQ$1004,1,MATCH(COLUMNS($AO$1006:BP1006),$AO$1006:$BQ$1006,0)))),"Fix")))</f>
        <v>#N/A</v>
      </c>
      <c r="AD18" s="5" t="e">
        <f ca="1">IF(OR(INDEX($AI$2:$AI$1001,MATCH(ROWS($AH$2:AH18),$AH$2:$AH$1001,0),1)&gt;=100000,INDEX($AO$1005:$BQ$1005,1,MATCH(COLUMNS($AO$1006:BQ1006),$AO$1006:$BQ$1006,0))&gt;=100000), " ",IF(INDEX($AO$2:$BQ$1001,MATCH(ROWS($AH$2:AH18),$AH$2:$AH$1001,0),MATCH(COLUMNS($AO$1006:BQ1006),$AO$1006:$BQ$1006,0)), HYPERLINK("#",""), HYPERLINK(CONCATENATE("#Metadata!", ADDRESS(INDEX($AJ$2:$AJ$1001,MATCH(ROWS($AH$2:AH18),$AH$2:$AH$1001,0),0), INDEX($AO$1004:$BQ$1004,1,MATCH(COLUMNS($AO$1006:BQ1006),$AO$1006:$BQ$1006,0)))),"Fix")))</f>
        <v>#REF!</v>
      </c>
      <c r="AH18">
        <f ca="1"/>
        <v>16</v>
      </c>
      <c r="AI18">
        <f ca="1"/>
        <v>18</v>
      </c>
      <c r="AJ18">
        <v>18</v>
      </c>
      <c r="AK18" t="b">
        <f t="shared" ca="1" si="0"/>
        <v>0</v>
      </c>
      <c r="AL18" t="b">
        <f>COUNTBLANK(Metadata!B18:AD18)=COLUMNS(Metadata!B18:AD18)</f>
        <v>0</v>
      </c>
      <c r="AM18" t="str">
        <v>Environment.Sediment.1.BTP.177Sediment</v>
      </c>
      <c r="AO18" t="b">
        <f ca="1">AND(IF(Metadata!B17="",FALSE,TRUE),COUNTIF(Metadata!B:B, Metadata!B17) = 1,NOT(ISERROR(SUMPRODUCT(SEARCH(MID(Metadata!B17,ROW(INDIRECT("1:"&amp;LEN(Metadata!B17))), 1),"0123456789abcdefghijklmnopqrstuvwxyzABCDEFGHIJKLMNOPQRSTUVWXYZ.")))))</f>
        <v>1</v>
      </c>
      <c r="AP18" t="b">
        <f>IF(Metadata!C17="",FALSE,TRUE)</f>
        <v>1</v>
      </c>
      <c r="AQ18" t="b">
        <f>IF(Metadata!D17="",FALSE,TRUE)</f>
        <v>1</v>
      </c>
      <c r="AR18" t="b">
        <f ca="1">OR(AND(IF(Metadata!E17="",FALSE,TRUE),OR(EXACT(Metadata!E17,"not collected"),EXACT(Metadata!E17,"not provided"),EXACT(Metadata!E17,"restricted access"))),AND(IF(Metadata!E17="",FALSE,TRUE),AND(AND(IFERROR(INT(LEFT(Metadata!E17,4))&gt;1900,FALSE),IFERROR(INT(LEFT(Metadata!E17,4))&lt;=YEAR(NOW()),FALSE)), OR(MID(Metadata!E17,5,1)="", AND(AND(MID(Metadata!E17,5,1)="-",IFERROR(INT(MID(Metadata!E17,6,1))&gt;=0,FALSE),IFERROR(INT(MID(Metadata!E17,6,1))&lt;=1,FALSE),NOT(MID(Metadata!E17,7,1)=""),IFERROR(INT(MID(Metadata!E17,6,2))&gt;=1,FALSE),IFERROR(INT(MID(Metadata!E17,6,2))&lt;=12,FALSE)), OR(MID(Metadata!E17,8,1)="", AND(AND(MID(Metadata!E17,8,1)="-",IFERROR(INT(MID(Metadata!E17,9,1))&gt;=0,FALSE),IFERROR(INT(MID(Metadata!E17,9,1))&lt;=3,FALSE),NOT(MID(Metadata!E17,10,1)=""),IFERROR(INT(MID(Metadata!E17,9,2))&gt;=1,FALSE),IFERROR(INT(MID(Metadata!E17,9,2))&lt;=31,FALSE)), OR(MID(Metadata!E17,11,1)="", AND(AND(MID(Metadata!E17,11,1)=" ",IFERROR(INT(MID(Metadata!E17,12,1))&gt;=0,FALSE),IFERROR(INT(MID(Metadata!E17,12,1))&lt;=2,FALSE),NOT(MID(Metadata!E17,13,1)=""),IFERROR(INT(MID(Metadata!E17,12,2))&gt;=0,FALSE),IFERROR(INT(MID(Metadata!E17,12,2))&lt;=23,FALSE)), OR(MID(Metadata!E17,14,1)="", AND(AND(MID(Metadata!E17,14,1)=":",IFERROR(INT(MID(Metadata!E17,15,1))&gt;=0,FALSE),IFERROR(INT(MID(Metadata!E17,15,1))&lt;=5,FALSE),NOT(MID(Metadata!E17,16,1)=""),IFERROR(INT(MID(Metadata!E17,15,2))&gt;=0,FALSE),IFERROR(INT(MID(Metadata!E17,15,2))&lt;=59,FALSE)), OR(MID(Metadata!E17,17,1)="", AND(AND(MID(Metadata!E17,17,1)=":",IFERROR(INT(MID(Metadata!E17,18,1))&gt;=0,FALSE),IFERROR(INT(MID(Metadata!E17,18,1))&lt;=5,FALSE),NOT(MID(Metadata!E17,19,1)=""),IFERROR(INT(MID(Metadata!E17,18,2))&gt;=0,FALSE),IFERROR(INT(MID(Metadata!E17,18,2))&lt;=59,FALSE)), LEN(Metadata!E17)&lt;=19)))))))))))))</f>
        <v>0</v>
      </c>
      <c r="AS18" t="b">
        <f>IF(Metadata!F17="",FALSE,TRUE)</f>
        <v>1</v>
      </c>
      <c r="AT18" t="b">
        <f>OR(AND(IF(Metadata!G17="",FALSE,TRUE),OR(EXACT(Metadata!G17,"not collected"),EXACT(Metadata!G17,"not provided"))),AND(IF(Metadata!G17="",FALSE,TRUE),OR(EXACT(Metadata!G17,"TRUE"),EXACT(Metadata!G17,"FALSE"))))</f>
        <v>1</v>
      </c>
      <c r="AU18" t="b">
        <f>OR(AND(IF(Metadata!H17="",FALSE,TRUE),OR(EXACT(Metadata!H17,"not collected"),EXACT(Metadata!H17,"not provided"),EXACT(Metadata!H17,"restricted access"))),AND(IF(Metadata!H17="",FALSE,ISNUMBER(VALUE(Metadata!H17))),Metadata!H17&gt;=-413))</f>
        <v>0</v>
      </c>
      <c r="AV18" t="b">
        <f>AND(IF(Metadata!I17="",FALSE,TRUE),EXACT(Metadata!I17,"meters"))</f>
        <v>1</v>
      </c>
      <c r="AW18" t="b">
        <f>AND(IF(Metadata!J17="",FALSE,TRUE),EXACT(Metadata!J17,"free-living"))</f>
        <v>1</v>
      </c>
      <c r="AX18" t="b">
        <f>AND(IF(Metadata!K17="",FALSE,TRUE),OR(EXACT(Metadata!K17,"saline"),EXACT(Metadata!K17,"non-saline")))</f>
        <v>1</v>
      </c>
      <c r="AY18" t="b">
        <f>AND(IF(Metadata!L17="",FALSE,TRUE),OR(EXACT(Metadata!L17,"sub-surface (non-saline)"),EXACT(Metadata!L17,"surface (non-saline)"),EXACT(Metadata!L17,"water (non-saline)"),EXACT(Metadata!L17,"soil (non-saline)"),EXACT(Metadata!L17,"aerosol (non-saline)"),EXACT(Metadata!L17,"sediment (non-saline)"),EXACT(Metadata!L17,"surface (saline)"),EXACT(Metadata!L17,"water (saline)"),EXACT(Metadata!L17,"hypersaline (saline)"),EXACT(Metadata!L17,"aerosol (saline)"),EXACT(Metadata!L17,"sediment (saline)")))</f>
        <v>1</v>
      </c>
      <c r="AZ18" t="b">
        <f>IF(Metadata!M17="",FALSE,TRUE)</f>
        <v>1</v>
      </c>
      <c r="BA18" t="b">
        <f>IF(Metadata!N17="",FALSE,TRUE)</f>
        <v>1</v>
      </c>
      <c r="BB18" t="b">
        <f>IF(Metadata!O17="",FALSE,TRUE)</f>
        <v>1</v>
      </c>
      <c r="BC18" t="b">
        <f>AND(IF(Metadata!P17="",FALSE,TRUE),OR(EXACT(Metadata!P17,"air"),EXACT(Metadata!P17,"microbial mat/biofilm"),EXACT(Metadata!P17,"misc environment"),EXACT(Metadata!P17,"sediment"),EXACT(Metadata!P17,"soil"),EXACT(Metadata!P17,"wastewater/sludge"),EXACT(Metadata!P17,"water")))</f>
        <v>1</v>
      </c>
      <c r="BD18" t="b">
        <f>IF(Metadata!Q17="",FALSE,TRUE)</f>
        <v>1</v>
      </c>
      <c r="BE18" t="b">
        <f>IF(Metadata!R17="",FALSE,TRUE)</f>
        <v>1</v>
      </c>
      <c r="BF18" t="b">
        <f>OR(AND(IF(Metadata!S17="",FALSE,TRUE),OR(EXACT(Metadata!S17,"not collected"),EXACT(Metadata!S17,"not provided"),EXACT(Metadata!S17,"restricted access"))),AND(IF(Metadata!S17="",FALSE,ISNUMBER(VALUE(Metadata!S17))),Metadata!S17&gt;=-90,Metadata!S17&lt;=90))</f>
        <v>0</v>
      </c>
      <c r="BG18" t="b">
        <f>AND(IF(Metadata!T17="",FALSE,TRUE),EXACT(Metadata!T17,"Decimal degrees"))</f>
        <v>1</v>
      </c>
      <c r="BH18" t="b">
        <f>OR(AND(IF(Metadata!U18="",FALSE,TRUE),OR(EXACT(Metadata!U18,"not applicable"),EXACT(Metadata!U18,"not collected"))),IF(Metadata!U18="",FALSE,TRUE))</f>
        <v>1</v>
      </c>
      <c r="BI18" t="b">
        <f>OR(AND(IF(Metadata!V17="",FALSE,TRUE),OR(EXACT(Metadata!V17,"not collected"),EXACT(Metadata!V17,"not provided"),EXACT(Metadata!V17,"restricted access"))),AND(IF(Metadata!V17="",FALSE,ISNUMBER(VALUE(Metadata!V17))),Metadata!V17&gt;=-180,Metadata!V17&lt;=180))</f>
        <v>0</v>
      </c>
      <c r="BJ18" t="b">
        <f>AND(IF(Metadata!W17="",FALSE,TRUE),EXACT(Metadata!W17,"Decimal degrees"))</f>
        <v>1</v>
      </c>
      <c r="BK18" t="b">
        <f>IF(Metadata!X17="",FALSE,TRUE)</f>
        <v>1</v>
      </c>
      <c r="BL18" t="b">
        <f>OR(AND(IF(Metadata!Y17="",FALSE,TRUE),OR(EXACT(Metadata!Y17,"not collected"),EXACT(Metadata!Y17,"not provided"),EXACT(Metadata!Y17,"restricted access"))),AND(IF(Metadata!Y17="",FALSE,TRUE),OR(EXACT(Metadata!Y17,"TRUE"),EXACT(Metadata!Y17,"FALSE"))))</f>
        <v>1</v>
      </c>
      <c r="BM18" t="b">
        <f>OR(AND(IF(Metadata!Z17="",FALSE,TRUE),EXACT(Metadata!Z17,"not applicable")),AND(IF(Metadata!Z17="",FALSE,TRUE),OR(EXACT(Metadata!Z17,"beer"),EXACT(Metadata!Z17,"cheese"),EXACT(Metadata!Z17,"fresh water"),EXACT(Metadata!Z17,"marine sediment"),EXACT(Metadata!Z17,"sea water"),EXACT(Metadata!Z17,"sediment"),EXACT(Metadata!Z17,"soil"),EXACT(Metadata!Z17,"waste water"))))</f>
        <v>1</v>
      </c>
      <c r="BN18" t="b">
        <f>AND(IF(Metadata!AA17="",FALSE,TRUE),EXACT(Metadata!AA17,"metagenome"))</f>
        <v>1</v>
      </c>
      <c r="BO18" t="b">
        <f>AND(IF(Metadata!AB17="",FALSE,TRUE),EXACT(Metadata!AB17,"256318"))</f>
        <v>1</v>
      </c>
      <c r="BP18" t="b">
        <f>IF(Metadata!AC17="",FALSE,TRUE)</f>
        <v>1</v>
      </c>
      <c r="BQ18" t="b">
        <f>IF(Metadata!AD17="",FALSE,TRUE)</f>
        <v>1</v>
      </c>
    </row>
    <row r="19" spans="1:69" x14ac:dyDescent="0.2">
      <c r="A19" s="4" t="e">
        <f ca="1">IF(B19=" "," ",HYPERLINK(CONCATENATE("#metadata!",ADDRESS(INDEX($AJ$2:$AJ$1001,MATCH(ROWS($AH$2:AH19),$AH$2:$AH$1001,0),0),2)),INDEX($AM$2:$AM$1001,MATCH(ROWS($AH$2:AH19),$AH$2:$AH$1001,0),0)))</f>
        <v>#N/A</v>
      </c>
      <c r="B19" s="5" t="e">
        <f ca="1">IF(OR(INDEX($AI$2:$AI$1001,MATCH(ROWS($AH$2:AH19),$AH$2:$AH$1001,0),1)&gt;=100000,INDEX($AO$1005:$BQ$1005,1,MATCH(COLUMNS($AO$1006:AO1006),$AO$1006:$BQ$1006,0))&gt;=100000), " ",IF(INDEX($AO$2:$BQ$1001,MATCH(ROWS($AH$2:AH19),$AH$2:$AH$1001,0),MATCH(COLUMNS($AO$1006:AO1006),$AO$1006:$BQ$1006,0)), HYPERLINK("#",""), HYPERLINK(CONCATENATE("#Metadata!", ADDRESS(INDEX($AJ$2:$AJ$1001,MATCH(ROWS($AH$2:AH19),$AH$2:$AH$1001,0),0), INDEX($AO$1004:$BQ$1004,1,MATCH(COLUMNS($AO$1006:AO1006),$AO$1006:$BQ$1006,0)))),"Fix")))</f>
        <v>#N/A</v>
      </c>
      <c r="C19" s="5" t="e">
        <f ca="1">IF(OR(INDEX($AI$2:$AI$1001,MATCH(ROWS($AH$2:AH19),$AH$2:$AH$1001,0),1)&gt;=100000,INDEX($AO$1005:$BQ$1005,1,MATCH(COLUMNS($AO$1006:AP1006),$AO$1006:$BQ$1006,0))&gt;=100000), " ",IF(INDEX($AO$2:$BQ$1001,MATCH(ROWS($AH$2:AH19),$AH$2:$AH$1001,0),MATCH(COLUMNS($AO$1006:AP1006),$AO$1006:$BQ$1006,0)), HYPERLINK("#",""), HYPERLINK(CONCATENATE("#Metadata!", ADDRESS(INDEX($AJ$2:$AJ$1001,MATCH(ROWS($AH$2:AH19),$AH$2:$AH$1001,0),0), INDEX($AO$1004:$BQ$1004,1,MATCH(COLUMNS($AO$1006:AP1006),$AO$1006:$BQ$1006,0)))),"Fix")))</f>
        <v>#N/A</v>
      </c>
      <c r="D19" s="5" t="e">
        <f ca="1">IF(OR(INDEX($AI$2:$AI$1001,MATCH(ROWS($AH$2:AH19),$AH$2:$AH$1001,0),1)&gt;=100000,INDEX($AO$1005:$BQ$1005,1,MATCH(COLUMNS($AO$1006:AQ1006),$AO$1006:$BQ$1006,0))&gt;=100000), " ",IF(INDEX($AO$2:$BQ$1001,MATCH(ROWS($AH$2:AH19),$AH$2:$AH$1001,0),MATCH(COLUMNS($AO$1006:AQ1006),$AO$1006:$BQ$1006,0)), HYPERLINK("#",""), HYPERLINK(CONCATENATE("#Metadata!", ADDRESS(INDEX($AJ$2:$AJ$1001,MATCH(ROWS($AH$2:AH19),$AH$2:$AH$1001,0),0), INDEX($AO$1004:$BQ$1004,1,MATCH(COLUMNS($AO$1006:AQ1006),$AO$1006:$BQ$1006,0)))),"Fix")))</f>
        <v>#N/A</v>
      </c>
      <c r="E19" s="5" t="e">
        <f ca="1">IF(OR(INDEX($AI$2:$AI$1001,MATCH(ROWS($AH$2:AH19),$AH$2:$AH$1001,0),1)&gt;=100000,INDEX($AO$1005:$BQ$1005,1,MATCH(COLUMNS($AO$1006:AR1006),$AO$1006:$BQ$1006,0))&gt;=100000), " ",IF(INDEX($AO$2:$BQ$1001,MATCH(ROWS($AH$2:AH19),$AH$2:$AH$1001,0),MATCH(COLUMNS($AO$1006:AR1006),$AO$1006:$BQ$1006,0)), HYPERLINK("#",""), HYPERLINK(CONCATENATE("#Metadata!", ADDRESS(INDEX($AJ$2:$AJ$1001,MATCH(ROWS($AH$2:AH19),$AH$2:$AH$1001,0),0), INDEX($AO$1004:$BQ$1004,1,MATCH(COLUMNS($AO$1006:AR1006),$AO$1006:$BQ$1006,0)))),"Fix")))</f>
        <v>#N/A</v>
      </c>
      <c r="F19" s="5" t="e">
        <f ca="1">IF(OR(INDEX($AI$2:$AI$1001,MATCH(ROWS($AH$2:AH19),$AH$2:$AH$1001,0),1)&gt;=100000,INDEX($AO$1005:$BQ$1005,1,MATCH(COLUMNS($AO$1006:AS1006),$AO$1006:$BQ$1006,0))&gt;=100000), " ",IF(INDEX($AO$2:$BQ$1001,MATCH(ROWS($AH$2:AH19),$AH$2:$AH$1001,0),MATCH(COLUMNS($AO$1006:AS1006),$AO$1006:$BQ$1006,0)), HYPERLINK("#",""), HYPERLINK(CONCATENATE("#Metadata!", ADDRESS(INDEX($AJ$2:$AJ$1001,MATCH(ROWS($AH$2:AH19),$AH$2:$AH$1001,0),0), INDEX($AO$1004:$BQ$1004,1,MATCH(COLUMNS($AO$1006:AS1006),$AO$1006:$BQ$1006,0)))),"Fix")))</f>
        <v>#N/A</v>
      </c>
      <c r="G19" s="5" t="e">
        <f ca="1">IF(OR(INDEX($AI$2:$AI$1001,MATCH(ROWS($AH$2:AH19),$AH$2:$AH$1001,0),1)&gt;=100000,INDEX($AO$1005:$BQ$1005,1,MATCH(COLUMNS($AO$1006:AT1006),$AO$1006:$BQ$1006,0))&gt;=100000), " ",IF(INDEX($AO$2:$BQ$1001,MATCH(ROWS($AH$2:AH19),$AH$2:$AH$1001,0),MATCH(COLUMNS($AO$1006:AT1006),$AO$1006:$BQ$1006,0)), HYPERLINK("#",""), HYPERLINK(CONCATENATE("#Metadata!", ADDRESS(INDEX($AJ$2:$AJ$1001,MATCH(ROWS($AH$2:AH19),$AH$2:$AH$1001,0),0), INDEX($AO$1004:$BQ$1004,1,MATCH(COLUMNS($AO$1006:AT1006),$AO$1006:$BQ$1006,0)))),"Fix")))</f>
        <v>#N/A</v>
      </c>
      <c r="H19" s="5" t="e">
        <f ca="1">IF(OR(INDEX($AI$2:$AI$1001,MATCH(ROWS($AH$2:AH19),$AH$2:$AH$1001,0),1)&gt;=100000,INDEX($AO$1005:$BQ$1005,1,MATCH(COLUMNS($AO$1006:AU1006),$AO$1006:$BQ$1006,0))&gt;=100000), " ",IF(INDEX($AO$2:$BQ$1001,MATCH(ROWS($AH$2:AH19),$AH$2:$AH$1001,0),MATCH(COLUMNS($AO$1006:AU1006),$AO$1006:$BQ$1006,0)), HYPERLINK("#",""), HYPERLINK(CONCATENATE("#Metadata!", ADDRESS(INDEX($AJ$2:$AJ$1001,MATCH(ROWS($AH$2:AH19),$AH$2:$AH$1001,0),0), INDEX($AO$1004:$BQ$1004,1,MATCH(COLUMNS($AO$1006:AU1006),$AO$1006:$BQ$1006,0)))),"Fix")))</f>
        <v>#N/A</v>
      </c>
      <c r="I19" s="5" t="e">
        <f ca="1">IF(OR(INDEX($AI$2:$AI$1001,MATCH(ROWS($AH$2:AH19),$AH$2:$AH$1001,0),1)&gt;=100000,INDEX($AO$1005:$BQ$1005,1,MATCH(COLUMNS($AO$1006:AV1006),$AO$1006:$BQ$1006,0))&gt;=100000), " ",IF(INDEX($AO$2:$BQ$1001,MATCH(ROWS($AH$2:AH19),$AH$2:$AH$1001,0),MATCH(COLUMNS($AO$1006:AV1006),$AO$1006:$BQ$1006,0)), HYPERLINK("#",""), HYPERLINK(CONCATENATE("#Metadata!", ADDRESS(INDEX($AJ$2:$AJ$1001,MATCH(ROWS($AH$2:AH19),$AH$2:$AH$1001,0),0), INDEX($AO$1004:$BQ$1004,1,MATCH(COLUMNS($AO$1006:AV1006),$AO$1006:$BQ$1006,0)))),"Fix")))</f>
        <v>#N/A</v>
      </c>
      <c r="J19" s="5" t="e">
        <f ca="1">IF(OR(INDEX($AI$2:$AI$1001,MATCH(ROWS($AH$2:AH19),$AH$2:$AH$1001,0),1)&gt;=100000,INDEX($AO$1005:$BQ$1005,1,MATCH(COLUMNS($AO$1006:AW1006),$AO$1006:$BQ$1006,0))&gt;=100000), " ",IF(INDEX($AO$2:$BQ$1001,MATCH(ROWS($AH$2:AH19),$AH$2:$AH$1001,0),MATCH(COLUMNS($AO$1006:AW1006),$AO$1006:$BQ$1006,0)), HYPERLINK("#",""), HYPERLINK(CONCATENATE("#Metadata!", ADDRESS(INDEX($AJ$2:$AJ$1001,MATCH(ROWS($AH$2:AH19),$AH$2:$AH$1001,0),0), INDEX($AO$1004:$BQ$1004,1,MATCH(COLUMNS($AO$1006:AW1006),$AO$1006:$BQ$1006,0)))),"Fix")))</f>
        <v>#N/A</v>
      </c>
      <c r="K19" s="5" t="e">
        <f ca="1">IF(OR(INDEX($AI$2:$AI$1001,MATCH(ROWS($AH$2:AH19),$AH$2:$AH$1001,0),1)&gt;=100000,INDEX($AO$1005:$BQ$1005,1,MATCH(COLUMNS($AO$1006:AX1006),$AO$1006:$BQ$1006,0))&gt;=100000), " ",IF(INDEX($AO$2:$BQ$1001,MATCH(ROWS($AH$2:AH19),$AH$2:$AH$1001,0),MATCH(COLUMNS($AO$1006:AX1006),$AO$1006:$BQ$1006,0)), HYPERLINK("#",""), HYPERLINK(CONCATENATE("#Metadata!", ADDRESS(INDEX($AJ$2:$AJ$1001,MATCH(ROWS($AH$2:AH19),$AH$2:$AH$1001,0),0), INDEX($AO$1004:$BQ$1004,1,MATCH(COLUMNS($AO$1006:AX1006),$AO$1006:$BQ$1006,0)))),"Fix")))</f>
        <v>#N/A</v>
      </c>
      <c r="L19" s="5" t="e">
        <f ca="1">IF(OR(INDEX($AI$2:$AI$1001,MATCH(ROWS($AH$2:AH19),$AH$2:$AH$1001,0),1)&gt;=100000,INDEX($AO$1005:$BQ$1005,1,MATCH(COLUMNS($AO$1006:AY1006),$AO$1006:$BQ$1006,0))&gt;=100000), " ",IF(INDEX($AO$2:$BQ$1001,MATCH(ROWS($AH$2:AH19),$AH$2:$AH$1001,0),MATCH(COLUMNS($AO$1006:AY1006),$AO$1006:$BQ$1006,0)), HYPERLINK("#",""), HYPERLINK(CONCATENATE("#Metadata!", ADDRESS(INDEX($AJ$2:$AJ$1001,MATCH(ROWS($AH$2:AH19),$AH$2:$AH$1001,0),0), INDEX($AO$1004:$BQ$1004,1,MATCH(COLUMNS($AO$1006:AY1006),$AO$1006:$BQ$1006,0)))),"Fix")))</f>
        <v>#N/A</v>
      </c>
      <c r="M19" s="5" t="e">
        <f ca="1">IF(OR(INDEX($AI$2:$AI$1001,MATCH(ROWS($AH$2:AH19),$AH$2:$AH$1001,0),1)&gt;=100000,INDEX($AO$1005:$BQ$1005,1,MATCH(COLUMNS($AO$1006:AZ1006),$AO$1006:$BQ$1006,0))&gt;=100000), " ",IF(INDEX($AO$2:$BQ$1001,MATCH(ROWS($AH$2:AH19),$AH$2:$AH$1001,0),MATCH(COLUMNS($AO$1006:AZ1006),$AO$1006:$BQ$1006,0)), HYPERLINK("#",""), HYPERLINK(CONCATENATE("#Metadata!", ADDRESS(INDEX($AJ$2:$AJ$1001,MATCH(ROWS($AH$2:AH19),$AH$2:$AH$1001,0),0), INDEX($AO$1004:$BQ$1004,1,MATCH(COLUMNS($AO$1006:AZ1006),$AO$1006:$BQ$1006,0)))),"Fix")))</f>
        <v>#N/A</v>
      </c>
      <c r="N19" s="5" t="e">
        <f ca="1">IF(OR(INDEX($AI$2:$AI$1001,MATCH(ROWS($AH$2:AH19),$AH$2:$AH$1001,0),1)&gt;=100000,INDEX($AO$1005:$BQ$1005,1,MATCH(COLUMNS($AO$1006:BA1006),$AO$1006:$BQ$1006,0))&gt;=100000), " ",IF(INDEX($AO$2:$BQ$1001,MATCH(ROWS($AH$2:AH19),$AH$2:$AH$1001,0),MATCH(COLUMNS($AO$1006:BA1006),$AO$1006:$BQ$1006,0)), HYPERLINK("#",""), HYPERLINK(CONCATENATE("#Metadata!", ADDRESS(INDEX($AJ$2:$AJ$1001,MATCH(ROWS($AH$2:AH19),$AH$2:$AH$1001,0),0), INDEX($AO$1004:$BQ$1004,1,MATCH(COLUMNS($AO$1006:BA1006),$AO$1006:$BQ$1006,0)))),"Fix")))</f>
        <v>#N/A</v>
      </c>
      <c r="O19" s="5" t="e">
        <f ca="1">IF(OR(INDEX($AI$2:$AI$1001,MATCH(ROWS($AH$2:AH19),$AH$2:$AH$1001,0),1)&gt;=100000,INDEX($AO$1005:$BQ$1005,1,MATCH(COLUMNS($AO$1006:BB1006),$AO$1006:$BQ$1006,0))&gt;=100000), " ",IF(INDEX($AO$2:$BQ$1001,MATCH(ROWS($AH$2:AH19),$AH$2:$AH$1001,0),MATCH(COLUMNS($AO$1006:BB1006),$AO$1006:$BQ$1006,0)), HYPERLINK("#",""), HYPERLINK(CONCATENATE("#Metadata!", ADDRESS(INDEX($AJ$2:$AJ$1001,MATCH(ROWS($AH$2:AH19),$AH$2:$AH$1001,0),0), INDEX($AO$1004:$BQ$1004,1,MATCH(COLUMNS($AO$1006:BB1006),$AO$1006:$BQ$1006,0)))),"Fix")))</f>
        <v>#N/A</v>
      </c>
      <c r="P19" s="5" t="e">
        <f ca="1">IF(OR(INDEX($AI$2:$AI$1001,MATCH(ROWS($AH$2:AH19),$AH$2:$AH$1001,0),1)&gt;=100000,INDEX($AO$1005:$BQ$1005,1,MATCH(COLUMNS($AO$1006:BC1006),$AO$1006:$BQ$1006,0))&gt;=100000), " ",IF(INDEX($AO$2:$BQ$1001,MATCH(ROWS($AH$2:AH19),$AH$2:$AH$1001,0),MATCH(COLUMNS($AO$1006:BC1006),$AO$1006:$BQ$1006,0)), HYPERLINK("#",""), HYPERLINK(CONCATENATE("#Metadata!", ADDRESS(INDEX($AJ$2:$AJ$1001,MATCH(ROWS($AH$2:AH19),$AH$2:$AH$1001,0),0), INDEX($AO$1004:$BQ$1004,1,MATCH(COLUMNS($AO$1006:BC1006),$AO$1006:$BQ$1006,0)))),"Fix")))</f>
        <v>#N/A</v>
      </c>
      <c r="Q19" s="5" t="e">
        <f ca="1">IF(OR(INDEX($AI$2:$AI$1001,MATCH(ROWS($AH$2:AH19),$AH$2:$AH$1001,0),1)&gt;=100000,INDEX($AO$1005:$BQ$1005,1,MATCH(COLUMNS($AO$1006:BD1006),$AO$1006:$BQ$1006,0))&gt;=100000), " ",IF(INDEX($AO$2:$BQ$1001,MATCH(ROWS($AH$2:AH19),$AH$2:$AH$1001,0),MATCH(COLUMNS($AO$1006:BD1006),$AO$1006:$BQ$1006,0)), HYPERLINK("#",""), HYPERLINK(CONCATENATE("#Metadata!", ADDRESS(INDEX($AJ$2:$AJ$1001,MATCH(ROWS($AH$2:AH19),$AH$2:$AH$1001,0),0), INDEX($AO$1004:$BQ$1004,1,MATCH(COLUMNS($AO$1006:BD1006),$AO$1006:$BQ$1006,0)))),"Fix")))</f>
        <v>#N/A</v>
      </c>
      <c r="R19" s="5" t="e">
        <f ca="1">IF(OR(INDEX($AI$2:$AI$1001,MATCH(ROWS($AH$2:AH19),$AH$2:$AH$1001,0),1)&gt;=100000,INDEX($AO$1005:$BQ$1005,1,MATCH(COLUMNS($AO$1006:BE1006),$AO$1006:$BQ$1006,0))&gt;=100000), " ",IF(INDEX($AO$2:$BQ$1001,MATCH(ROWS($AH$2:AH19),$AH$2:$AH$1001,0),MATCH(COLUMNS($AO$1006:BE1006),$AO$1006:$BQ$1006,0)), HYPERLINK("#",""), HYPERLINK(CONCATENATE("#Metadata!", ADDRESS(INDEX($AJ$2:$AJ$1001,MATCH(ROWS($AH$2:AH19),$AH$2:$AH$1001,0),0), INDEX($AO$1004:$BQ$1004,1,MATCH(COLUMNS($AO$1006:BE1006),$AO$1006:$BQ$1006,0)))),"Fix")))</f>
        <v>#N/A</v>
      </c>
      <c r="S19" s="5" t="e">
        <f ca="1">IF(OR(INDEX($AI$2:$AI$1001,MATCH(ROWS($AH$2:AH19),$AH$2:$AH$1001,0),1)&gt;=100000,INDEX($AO$1005:$BQ$1005,1,MATCH(COLUMNS($AO$1006:BF1006),$AO$1006:$BQ$1006,0))&gt;=100000), " ",IF(INDEX($AO$2:$BQ$1001,MATCH(ROWS($AH$2:AH19),$AH$2:$AH$1001,0),MATCH(COLUMNS($AO$1006:BF1006),$AO$1006:$BQ$1006,0)), HYPERLINK("#",""), HYPERLINK(CONCATENATE("#Metadata!", ADDRESS(INDEX($AJ$2:$AJ$1001,MATCH(ROWS($AH$2:AH19),$AH$2:$AH$1001,0),0), INDEX($AO$1004:$BQ$1004,1,MATCH(COLUMNS($AO$1006:BF1006),$AO$1006:$BQ$1006,0)))),"Fix")))</f>
        <v>#N/A</v>
      </c>
      <c r="T19" s="5" t="e">
        <f ca="1">IF(OR(INDEX($AI$2:$AI$1001,MATCH(ROWS($AH$2:AH19),$AH$2:$AH$1001,0),1)&gt;=100000,INDEX($AO$1005:$BQ$1005,1,MATCH(COLUMNS($AO$1006:BG1006),$AO$1006:$BQ$1006,0))&gt;=100000), " ",IF(INDEX($AO$2:$BQ$1001,MATCH(ROWS($AH$2:AH19),$AH$2:$AH$1001,0),MATCH(COLUMNS($AO$1006:BG1006),$AO$1006:$BQ$1006,0)), HYPERLINK("#",""), HYPERLINK(CONCATENATE("#Metadata!", ADDRESS(INDEX($AJ$2:$AJ$1001,MATCH(ROWS($AH$2:AH19),$AH$2:$AH$1001,0),0), INDEX($AO$1004:$BQ$1004,1,MATCH(COLUMNS($AO$1006:BG1006),$AO$1006:$BQ$1006,0)))),"Fix")))</f>
        <v>#N/A</v>
      </c>
      <c r="U19" s="5" t="e">
        <f ca="1">IF(OR(INDEX($AI$2:$AI$1001,MATCH(ROWS($AH$2:AH19),$AH$2:$AH$1001,0),1)&gt;=100000,INDEX($AO$1005:$BQ$1005,1,MATCH(COLUMNS($AO$1006:BH1006),$AO$1006:$BQ$1006,0))&gt;=100000), " ",IF(INDEX($AO$2:$BQ$1001,MATCH(ROWS($AH$2:AH19),$AH$2:$AH$1001,0),MATCH(COLUMNS($AO$1006:BH1006),$AO$1006:$BQ$1006,0)), HYPERLINK("#",""), HYPERLINK(CONCATENATE("#Metadata!", ADDRESS(INDEX($AJ$2:$AJ$1001,MATCH(ROWS($AH$2:AH19),$AH$2:$AH$1001,0),0), INDEX($AO$1004:$BQ$1004,1,MATCH(COLUMNS($AO$1006:BH1006),$AO$1006:$BQ$1006,0)))),"Fix")))</f>
        <v>#N/A</v>
      </c>
      <c r="V19" s="5" t="e">
        <f ca="1">IF(OR(INDEX($AI$2:$AI$1001,MATCH(ROWS($AH$2:AH19),$AH$2:$AH$1001,0),1)&gt;=100000,INDEX($AO$1005:$BQ$1005,1,MATCH(COLUMNS($AO$1006:BI1006),$AO$1006:$BQ$1006,0))&gt;=100000), " ",IF(INDEX($AO$2:$BQ$1001,MATCH(ROWS($AH$2:AH19),$AH$2:$AH$1001,0),MATCH(COLUMNS($AO$1006:BI1006),$AO$1006:$BQ$1006,0)), HYPERLINK("#",""), HYPERLINK(CONCATENATE("#Metadata!", ADDRESS(INDEX($AJ$2:$AJ$1001,MATCH(ROWS($AH$2:AH19),$AH$2:$AH$1001,0),0), INDEX($AO$1004:$BQ$1004,1,MATCH(COLUMNS($AO$1006:BI1006),$AO$1006:$BQ$1006,0)))),"Fix")))</f>
        <v>#N/A</v>
      </c>
      <c r="W19" s="5" t="e">
        <f ca="1">IF(OR(INDEX($AI$2:$AI$1001,MATCH(ROWS($AH$2:AH19),$AH$2:$AH$1001,0),1)&gt;=100000,INDEX($AO$1005:$BQ$1005,1,MATCH(COLUMNS($AO$1006:BJ1006),$AO$1006:$BQ$1006,0))&gt;=100000), " ",IF(INDEX($AO$2:$BQ$1001,MATCH(ROWS($AH$2:AH19),$AH$2:$AH$1001,0),MATCH(COLUMNS($AO$1006:BJ1006),$AO$1006:$BQ$1006,0)), HYPERLINK("#",""), HYPERLINK(CONCATENATE("#Metadata!", ADDRESS(INDEX($AJ$2:$AJ$1001,MATCH(ROWS($AH$2:AH19),$AH$2:$AH$1001,0),0), INDEX($AO$1004:$BQ$1004,1,MATCH(COLUMNS($AO$1006:BJ1006),$AO$1006:$BQ$1006,0)))),"Fix")))</f>
        <v>#N/A</v>
      </c>
      <c r="X19" s="5" t="e">
        <f ca="1">IF(OR(INDEX($AI$2:$AI$1001,MATCH(ROWS($AH$2:AH19),$AH$2:$AH$1001,0),1)&gt;=100000,INDEX($AO$1005:$BQ$1005,1,MATCH(COLUMNS($AO$1006:BK1006),$AO$1006:$BQ$1006,0))&gt;=100000), " ",IF(INDEX($AO$2:$BQ$1001,MATCH(ROWS($AH$2:AH19),$AH$2:$AH$1001,0),MATCH(COLUMNS($AO$1006:BK1006),$AO$1006:$BQ$1006,0)), HYPERLINK("#",""), HYPERLINK(CONCATENATE("#Metadata!", ADDRESS(INDEX($AJ$2:$AJ$1001,MATCH(ROWS($AH$2:AH19),$AH$2:$AH$1001,0),0), INDEX($AO$1004:$BQ$1004,1,MATCH(COLUMNS($AO$1006:BK1006),$AO$1006:$BQ$1006,0)))),"Fix")))</f>
        <v>#N/A</v>
      </c>
      <c r="Y19" s="5" t="e">
        <f ca="1">IF(OR(INDEX($AI$2:$AI$1001,MATCH(ROWS($AH$2:AH19),$AH$2:$AH$1001,0),1)&gt;=100000,INDEX($AO$1005:$BQ$1005,1,MATCH(COLUMNS($AO$1006:BL1006),$AO$1006:$BQ$1006,0))&gt;=100000), " ",IF(INDEX($AO$2:$BQ$1001,MATCH(ROWS($AH$2:AH19),$AH$2:$AH$1001,0),MATCH(COLUMNS($AO$1006:BL1006),$AO$1006:$BQ$1006,0)), HYPERLINK("#",""), HYPERLINK(CONCATENATE("#Metadata!", ADDRESS(INDEX($AJ$2:$AJ$1001,MATCH(ROWS($AH$2:AH19),$AH$2:$AH$1001,0),0), INDEX($AO$1004:$BQ$1004,1,MATCH(COLUMNS($AO$1006:BL1006),$AO$1006:$BQ$1006,0)))),"Fix")))</f>
        <v>#N/A</v>
      </c>
      <c r="Z19" s="5" t="e">
        <f ca="1">IF(OR(INDEX($AI$2:$AI$1001,MATCH(ROWS($AH$2:AH19),$AH$2:$AH$1001,0),1)&gt;=100000,INDEX($AO$1005:$BQ$1005,1,MATCH(COLUMNS($AO$1006:BM1006),$AO$1006:$BQ$1006,0))&gt;=100000), " ",IF(INDEX($AO$2:$BQ$1001,MATCH(ROWS($AH$2:AH19),$AH$2:$AH$1001,0),MATCH(COLUMNS($AO$1006:BM1006),$AO$1006:$BQ$1006,0)), HYPERLINK("#",""), HYPERLINK(CONCATENATE("#Metadata!", ADDRESS(INDEX($AJ$2:$AJ$1001,MATCH(ROWS($AH$2:AH19),$AH$2:$AH$1001,0),0), INDEX($AO$1004:$BQ$1004,1,MATCH(COLUMNS($AO$1006:BM1006),$AO$1006:$BQ$1006,0)))),"Fix")))</f>
        <v>#N/A</v>
      </c>
      <c r="AA19" s="5" t="e">
        <f ca="1">IF(OR(INDEX($AI$2:$AI$1001,MATCH(ROWS($AH$2:AH19),$AH$2:$AH$1001,0),1)&gt;=100000,INDEX($AO$1005:$BQ$1005,1,MATCH(COLUMNS($AO$1006:BN1006),$AO$1006:$BQ$1006,0))&gt;=100000), " ",IF(INDEX($AO$2:$BQ$1001,MATCH(ROWS($AH$2:AH19),$AH$2:$AH$1001,0),MATCH(COLUMNS($AO$1006:BN1006),$AO$1006:$BQ$1006,0)), HYPERLINK("#",""), HYPERLINK(CONCATENATE("#Metadata!", ADDRESS(INDEX($AJ$2:$AJ$1001,MATCH(ROWS($AH$2:AH19),$AH$2:$AH$1001,0),0), INDEX($AO$1004:$BQ$1004,1,MATCH(COLUMNS($AO$1006:BN1006),$AO$1006:$BQ$1006,0)))),"Fix")))</f>
        <v>#N/A</v>
      </c>
      <c r="AB19" s="5" t="e">
        <f ca="1">IF(OR(INDEX($AI$2:$AI$1001,MATCH(ROWS($AH$2:AH19),$AH$2:$AH$1001,0),1)&gt;=100000,INDEX($AO$1005:$BQ$1005,1,MATCH(COLUMNS($AO$1006:BO1006),$AO$1006:$BQ$1006,0))&gt;=100000), " ",IF(INDEX($AO$2:$BQ$1001,MATCH(ROWS($AH$2:AH19),$AH$2:$AH$1001,0),MATCH(COLUMNS($AO$1006:BO1006),$AO$1006:$BQ$1006,0)), HYPERLINK("#",""), HYPERLINK(CONCATENATE("#Metadata!", ADDRESS(INDEX($AJ$2:$AJ$1001,MATCH(ROWS($AH$2:AH19),$AH$2:$AH$1001,0),0), INDEX($AO$1004:$BQ$1004,1,MATCH(COLUMNS($AO$1006:BO1006),$AO$1006:$BQ$1006,0)))),"Fix")))</f>
        <v>#N/A</v>
      </c>
      <c r="AC19" s="5" t="e">
        <f ca="1">IF(OR(INDEX($AI$2:$AI$1001,MATCH(ROWS($AH$2:AH19),$AH$2:$AH$1001,0),1)&gt;=100000,INDEX($AO$1005:$BQ$1005,1,MATCH(COLUMNS($AO$1006:BP1006),$AO$1006:$BQ$1006,0))&gt;=100000), " ",IF(INDEX($AO$2:$BQ$1001,MATCH(ROWS($AH$2:AH19),$AH$2:$AH$1001,0),MATCH(COLUMNS($AO$1006:BP1006),$AO$1006:$BQ$1006,0)), HYPERLINK("#",""), HYPERLINK(CONCATENATE("#Metadata!", ADDRESS(INDEX($AJ$2:$AJ$1001,MATCH(ROWS($AH$2:AH19),$AH$2:$AH$1001,0),0), INDEX($AO$1004:$BQ$1004,1,MATCH(COLUMNS($AO$1006:BP1006),$AO$1006:$BQ$1006,0)))),"Fix")))</f>
        <v>#N/A</v>
      </c>
      <c r="AD19" s="5" t="e">
        <f ca="1">IF(OR(INDEX($AI$2:$AI$1001,MATCH(ROWS($AH$2:AH19),$AH$2:$AH$1001,0),1)&gt;=100000,INDEX($AO$1005:$BQ$1005,1,MATCH(COLUMNS($AO$1006:BQ1006),$AO$1006:$BQ$1006,0))&gt;=100000), " ",IF(INDEX($AO$2:$BQ$1001,MATCH(ROWS($AH$2:AH19),$AH$2:$AH$1001,0),MATCH(COLUMNS($AO$1006:BQ1006),$AO$1006:$BQ$1006,0)), HYPERLINK("#",""), HYPERLINK(CONCATENATE("#Metadata!", ADDRESS(INDEX($AJ$2:$AJ$1001,MATCH(ROWS($AH$2:AH19),$AH$2:$AH$1001,0),0), INDEX($AO$1004:$BQ$1004,1,MATCH(COLUMNS($AO$1006:BQ1006),$AO$1006:$BQ$1006,0)))),"Fix")))</f>
        <v>#REF!</v>
      </c>
      <c r="AH19">
        <f ca="1"/>
        <v>17</v>
      </c>
      <c r="AI19">
        <f ca="1"/>
        <v>19</v>
      </c>
      <c r="AJ19">
        <v>19</v>
      </c>
      <c r="AK19" t="b">
        <f t="shared" ca="1" si="0"/>
        <v>0</v>
      </c>
      <c r="AL19" t="b">
        <f>COUNTBLANK(Metadata!B19:AD19)=COLUMNS(Metadata!B19:AD19)</f>
        <v>0</v>
      </c>
      <c r="AM19" t="str">
        <v>Environment.Aquatic.Sediment.2.BTP.218Sediment</v>
      </c>
      <c r="AO19" t="b">
        <f ca="1">AND(IF(Metadata!B18="",FALSE,TRUE),COUNTIF(Metadata!B:B, Metadata!B18) = 1,NOT(ISERROR(SUMPRODUCT(SEARCH(MID(Metadata!B18,ROW(INDIRECT("1:"&amp;LEN(Metadata!B18))), 1),"0123456789abcdefghijklmnopqrstuvwxyzABCDEFGHIJKLMNOPQRSTUVWXYZ.")))))</f>
        <v>1</v>
      </c>
      <c r="AP19" t="b">
        <f>IF(Metadata!C18="",FALSE,TRUE)</f>
        <v>1</v>
      </c>
      <c r="AQ19" t="b">
        <f>IF(Metadata!D18="",FALSE,TRUE)</f>
        <v>1</v>
      </c>
      <c r="AR19" t="b">
        <f ca="1">OR(AND(IF(Metadata!E18="",FALSE,TRUE),OR(EXACT(Metadata!E18,"not collected"),EXACT(Metadata!E18,"not provided"),EXACT(Metadata!E18,"restricted access"))),AND(IF(Metadata!E18="",FALSE,TRUE),AND(AND(IFERROR(INT(LEFT(Metadata!E18,4))&gt;1900,FALSE),IFERROR(INT(LEFT(Metadata!E18,4))&lt;=YEAR(NOW()),FALSE)), OR(MID(Metadata!E18,5,1)="", AND(AND(MID(Metadata!E18,5,1)="-",IFERROR(INT(MID(Metadata!E18,6,1))&gt;=0,FALSE),IFERROR(INT(MID(Metadata!E18,6,1))&lt;=1,FALSE),NOT(MID(Metadata!E18,7,1)=""),IFERROR(INT(MID(Metadata!E18,6,2))&gt;=1,FALSE),IFERROR(INT(MID(Metadata!E18,6,2))&lt;=12,FALSE)), OR(MID(Metadata!E18,8,1)="", AND(AND(MID(Metadata!E18,8,1)="-",IFERROR(INT(MID(Metadata!E18,9,1))&gt;=0,FALSE),IFERROR(INT(MID(Metadata!E18,9,1))&lt;=3,FALSE),NOT(MID(Metadata!E18,10,1)=""),IFERROR(INT(MID(Metadata!E18,9,2))&gt;=1,FALSE),IFERROR(INT(MID(Metadata!E18,9,2))&lt;=31,FALSE)), OR(MID(Metadata!E18,11,1)="", AND(AND(MID(Metadata!E18,11,1)=" ",IFERROR(INT(MID(Metadata!E18,12,1))&gt;=0,FALSE),IFERROR(INT(MID(Metadata!E18,12,1))&lt;=2,FALSE),NOT(MID(Metadata!E18,13,1)=""),IFERROR(INT(MID(Metadata!E18,12,2))&gt;=0,FALSE),IFERROR(INT(MID(Metadata!E18,12,2))&lt;=23,FALSE)), OR(MID(Metadata!E18,14,1)="", AND(AND(MID(Metadata!E18,14,1)=":",IFERROR(INT(MID(Metadata!E18,15,1))&gt;=0,FALSE),IFERROR(INT(MID(Metadata!E18,15,1))&lt;=5,FALSE),NOT(MID(Metadata!E18,16,1)=""),IFERROR(INT(MID(Metadata!E18,15,2))&gt;=0,FALSE),IFERROR(INT(MID(Metadata!E18,15,2))&lt;=59,FALSE)), OR(MID(Metadata!E18,17,1)="", AND(AND(MID(Metadata!E18,17,1)=":",IFERROR(INT(MID(Metadata!E18,18,1))&gt;=0,FALSE),IFERROR(INT(MID(Metadata!E18,18,1))&lt;=5,FALSE),NOT(MID(Metadata!E18,19,1)=""),IFERROR(INT(MID(Metadata!E18,18,2))&gt;=0,FALSE),IFERROR(INT(MID(Metadata!E18,18,2))&lt;=59,FALSE)), LEN(Metadata!E18)&lt;=19)))))))))))))</f>
        <v>0</v>
      </c>
      <c r="AS19" t="b">
        <f>IF(Metadata!F18="",FALSE,TRUE)</f>
        <v>1</v>
      </c>
      <c r="AT19" t="b">
        <f>OR(AND(IF(Metadata!G18="",FALSE,TRUE),OR(EXACT(Metadata!G18,"not collected"),EXACT(Metadata!G18,"not provided"))),AND(IF(Metadata!G18="",FALSE,TRUE),OR(EXACT(Metadata!G18,"TRUE"),EXACT(Metadata!G18,"FALSE"))))</f>
        <v>1</v>
      </c>
      <c r="AU19" t="b">
        <f>OR(AND(IF(Metadata!H18="",FALSE,TRUE),OR(EXACT(Metadata!H18,"not collected"),EXACT(Metadata!H18,"not provided"),EXACT(Metadata!H18,"restricted access"))),AND(IF(Metadata!H18="",FALSE,ISNUMBER(VALUE(Metadata!H18))),Metadata!H18&gt;=-413))</f>
        <v>0</v>
      </c>
      <c r="AV19" t="b">
        <f>AND(IF(Metadata!I18="",FALSE,TRUE),EXACT(Metadata!I18,"meters"))</f>
        <v>1</v>
      </c>
      <c r="AW19" t="b">
        <f>AND(IF(Metadata!J18="",FALSE,TRUE),EXACT(Metadata!J18,"free-living"))</f>
        <v>1</v>
      </c>
      <c r="AX19" t="b">
        <f>AND(IF(Metadata!K18="",FALSE,TRUE),OR(EXACT(Metadata!K18,"saline"),EXACT(Metadata!K18,"non-saline")))</f>
        <v>1</v>
      </c>
      <c r="AY19" t="b">
        <f>AND(IF(Metadata!L18="",FALSE,TRUE),OR(EXACT(Metadata!L18,"sub-surface (non-saline)"),EXACT(Metadata!L18,"surface (non-saline)"),EXACT(Metadata!L18,"water (non-saline)"),EXACT(Metadata!L18,"soil (non-saline)"),EXACT(Metadata!L18,"aerosol (non-saline)"),EXACT(Metadata!L18,"sediment (non-saline)"),EXACT(Metadata!L18,"surface (saline)"),EXACT(Metadata!L18,"water (saline)"),EXACT(Metadata!L18,"hypersaline (saline)"),EXACT(Metadata!L18,"aerosol (saline)"),EXACT(Metadata!L18,"sediment (saline)")))</f>
        <v>1</v>
      </c>
      <c r="AZ19" t="b">
        <f>IF(Metadata!M18="",FALSE,TRUE)</f>
        <v>1</v>
      </c>
      <c r="BA19" t="b">
        <f>IF(Metadata!N18="",FALSE,TRUE)</f>
        <v>1</v>
      </c>
      <c r="BB19" t="b">
        <f>IF(Metadata!O18="",FALSE,TRUE)</f>
        <v>1</v>
      </c>
      <c r="BC19" t="b">
        <f>AND(IF(Metadata!P18="",FALSE,TRUE),OR(EXACT(Metadata!P18,"air"),EXACT(Metadata!P18,"microbial mat/biofilm"),EXACT(Metadata!P18,"misc environment"),EXACT(Metadata!P18,"sediment"),EXACT(Metadata!P18,"soil"),EXACT(Metadata!P18,"wastewater/sludge"),EXACT(Metadata!P18,"water")))</f>
        <v>1</v>
      </c>
      <c r="BD19" t="b">
        <f>IF(Metadata!Q18="",FALSE,TRUE)</f>
        <v>1</v>
      </c>
      <c r="BE19" t="b">
        <f>IF(Metadata!R18="",FALSE,TRUE)</f>
        <v>1</v>
      </c>
      <c r="BF19" t="b">
        <f>OR(AND(IF(Metadata!S18="",FALSE,TRUE),OR(EXACT(Metadata!S18,"not collected"),EXACT(Metadata!S18,"not provided"),EXACT(Metadata!S18,"restricted access"))),AND(IF(Metadata!S18="",FALSE,ISNUMBER(VALUE(Metadata!S18))),Metadata!S18&gt;=-90,Metadata!S18&lt;=90))</f>
        <v>0</v>
      </c>
      <c r="BG19" t="b">
        <f>AND(IF(Metadata!T18="",FALSE,TRUE),EXACT(Metadata!T18,"Decimal degrees"))</f>
        <v>1</v>
      </c>
      <c r="BH19" t="b">
        <f>OR(AND(IF(Metadata!U19="",FALSE,TRUE),OR(EXACT(Metadata!U19,"not applicable"),EXACT(Metadata!U19,"not collected"))),IF(Metadata!U19="",FALSE,TRUE))</f>
        <v>1</v>
      </c>
      <c r="BI19" t="b">
        <f>OR(AND(IF(Metadata!V18="",FALSE,TRUE),OR(EXACT(Metadata!V18,"not collected"),EXACT(Metadata!V18,"not provided"),EXACT(Metadata!V18,"restricted access"))),AND(IF(Metadata!V18="",FALSE,ISNUMBER(VALUE(Metadata!V18))),Metadata!V18&gt;=-180,Metadata!V18&lt;=180))</f>
        <v>0</v>
      </c>
      <c r="BJ19" t="b">
        <f>AND(IF(Metadata!W18="",FALSE,TRUE),EXACT(Metadata!W18,"Decimal degrees"))</f>
        <v>1</v>
      </c>
      <c r="BK19" t="b">
        <f>IF(Metadata!X18="",FALSE,TRUE)</f>
        <v>1</v>
      </c>
      <c r="BL19" t="b">
        <f>OR(AND(IF(Metadata!Y18="",FALSE,TRUE),OR(EXACT(Metadata!Y18,"not collected"),EXACT(Metadata!Y18,"not provided"),EXACT(Metadata!Y18,"restricted access"))),AND(IF(Metadata!Y18="",FALSE,TRUE),OR(EXACT(Metadata!Y18,"TRUE"),EXACT(Metadata!Y18,"FALSE"))))</f>
        <v>1</v>
      </c>
      <c r="BM19" t="b">
        <f>OR(AND(IF(Metadata!Z18="",FALSE,TRUE),EXACT(Metadata!Z18,"not applicable")),AND(IF(Metadata!Z18="",FALSE,TRUE),OR(EXACT(Metadata!Z18,"beer"),EXACT(Metadata!Z18,"cheese"),EXACT(Metadata!Z18,"fresh water"),EXACT(Metadata!Z18,"marine sediment"),EXACT(Metadata!Z18,"sea water"),EXACT(Metadata!Z18,"sediment"),EXACT(Metadata!Z18,"soil"),EXACT(Metadata!Z18,"waste water"))))</f>
        <v>1</v>
      </c>
      <c r="BN19" t="b">
        <f>AND(IF(Metadata!AA18="",FALSE,TRUE),EXACT(Metadata!AA18,"metagenome"))</f>
        <v>1</v>
      </c>
      <c r="BO19" t="b">
        <f>AND(IF(Metadata!AB18="",FALSE,TRUE),EXACT(Metadata!AB18,"256318"))</f>
        <v>1</v>
      </c>
      <c r="BP19" t="b">
        <f>IF(Metadata!AC18="",FALSE,TRUE)</f>
        <v>1</v>
      </c>
      <c r="BQ19" t="b">
        <f>IF(Metadata!AD18="",FALSE,TRUE)</f>
        <v>1</v>
      </c>
    </row>
    <row r="20" spans="1:69" x14ac:dyDescent="0.2">
      <c r="A20" s="4" t="e">
        <f ca="1">IF(B20=" "," ",HYPERLINK(CONCATENATE("#metadata!",ADDRESS(INDEX($AJ$2:$AJ$1001,MATCH(ROWS($AH$2:AH20),$AH$2:$AH$1001,0),0),2)),INDEX($AM$2:$AM$1001,MATCH(ROWS($AH$2:AH20),$AH$2:$AH$1001,0),0)))</f>
        <v>#N/A</v>
      </c>
      <c r="B20" s="5" t="e">
        <f ca="1">IF(OR(INDEX($AI$2:$AI$1001,MATCH(ROWS($AH$2:AH20),$AH$2:$AH$1001,0),1)&gt;=100000,INDEX($AO$1005:$BQ$1005,1,MATCH(COLUMNS($AO$1006:AO1006),$AO$1006:$BQ$1006,0))&gt;=100000), " ",IF(INDEX($AO$2:$BQ$1001,MATCH(ROWS($AH$2:AH20),$AH$2:$AH$1001,0),MATCH(COLUMNS($AO$1006:AO1006),$AO$1006:$BQ$1006,0)), HYPERLINK("#",""), HYPERLINK(CONCATENATE("#Metadata!", ADDRESS(INDEX($AJ$2:$AJ$1001,MATCH(ROWS($AH$2:AH20),$AH$2:$AH$1001,0),0), INDEX($AO$1004:$BQ$1004,1,MATCH(COLUMNS($AO$1006:AO1006),$AO$1006:$BQ$1006,0)))),"Fix")))</f>
        <v>#N/A</v>
      </c>
      <c r="C20" s="5" t="e">
        <f ca="1">IF(OR(INDEX($AI$2:$AI$1001,MATCH(ROWS($AH$2:AH20),$AH$2:$AH$1001,0),1)&gt;=100000,INDEX($AO$1005:$BQ$1005,1,MATCH(COLUMNS($AO$1006:AP1006),$AO$1006:$BQ$1006,0))&gt;=100000), " ",IF(INDEX($AO$2:$BQ$1001,MATCH(ROWS($AH$2:AH20),$AH$2:$AH$1001,0),MATCH(COLUMNS($AO$1006:AP1006),$AO$1006:$BQ$1006,0)), HYPERLINK("#",""), HYPERLINK(CONCATENATE("#Metadata!", ADDRESS(INDEX($AJ$2:$AJ$1001,MATCH(ROWS($AH$2:AH20),$AH$2:$AH$1001,0),0), INDEX($AO$1004:$BQ$1004,1,MATCH(COLUMNS($AO$1006:AP1006),$AO$1006:$BQ$1006,0)))),"Fix")))</f>
        <v>#N/A</v>
      </c>
      <c r="D20" s="5" t="e">
        <f ca="1">IF(OR(INDEX($AI$2:$AI$1001,MATCH(ROWS($AH$2:AH20),$AH$2:$AH$1001,0),1)&gt;=100000,INDEX($AO$1005:$BQ$1005,1,MATCH(COLUMNS($AO$1006:AQ1006),$AO$1006:$BQ$1006,0))&gt;=100000), " ",IF(INDEX($AO$2:$BQ$1001,MATCH(ROWS($AH$2:AH20),$AH$2:$AH$1001,0),MATCH(COLUMNS($AO$1006:AQ1006),$AO$1006:$BQ$1006,0)), HYPERLINK("#",""), HYPERLINK(CONCATENATE("#Metadata!", ADDRESS(INDEX($AJ$2:$AJ$1001,MATCH(ROWS($AH$2:AH20),$AH$2:$AH$1001,0),0), INDEX($AO$1004:$BQ$1004,1,MATCH(COLUMNS($AO$1006:AQ1006),$AO$1006:$BQ$1006,0)))),"Fix")))</f>
        <v>#N/A</v>
      </c>
      <c r="E20" s="5" t="e">
        <f ca="1">IF(OR(INDEX($AI$2:$AI$1001,MATCH(ROWS($AH$2:AH20),$AH$2:$AH$1001,0),1)&gt;=100000,INDEX($AO$1005:$BQ$1005,1,MATCH(COLUMNS($AO$1006:AR1006),$AO$1006:$BQ$1006,0))&gt;=100000), " ",IF(INDEX($AO$2:$BQ$1001,MATCH(ROWS($AH$2:AH20),$AH$2:$AH$1001,0),MATCH(COLUMNS($AO$1006:AR1006),$AO$1006:$BQ$1006,0)), HYPERLINK("#",""), HYPERLINK(CONCATENATE("#Metadata!", ADDRESS(INDEX($AJ$2:$AJ$1001,MATCH(ROWS($AH$2:AH20),$AH$2:$AH$1001,0),0), INDEX($AO$1004:$BQ$1004,1,MATCH(COLUMNS($AO$1006:AR1006),$AO$1006:$BQ$1006,0)))),"Fix")))</f>
        <v>#N/A</v>
      </c>
      <c r="F20" s="5" t="e">
        <f ca="1">IF(OR(INDEX($AI$2:$AI$1001,MATCH(ROWS($AH$2:AH20),$AH$2:$AH$1001,0),1)&gt;=100000,INDEX($AO$1005:$BQ$1005,1,MATCH(COLUMNS($AO$1006:AS1006),$AO$1006:$BQ$1006,0))&gt;=100000), " ",IF(INDEX($AO$2:$BQ$1001,MATCH(ROWS($AH$2:AH20),$AH$2:$AH$1001,0),MATCH(COLUMNS($AO$1006:AS1006),$AO$1006:$BQ$1006,0)), HYPERLINK("#",""), HYPERLINK(CONCATENATE("#Metadata!", ADDRESS(INDEX($AJ$2:$AJ$1001,MATCH(ROWS($AH$2:AH20),$AH$2:$AH$1001,0),0), INDEX($AO$1004:$BQ$1004,1,MATCH(COLUMNS($AO$1006:AS1006),$AO$1006:$BQ$1006,0)))),"Fix")))</f>
        <v>#N/A</v>
      </c>
      <c r="G20" s="5" t="e">
        <f ca="1">IF(OR(INDEX($AI$2:$AI$1001,MATCH(ROWS($AH$2:AH20),$AH$2:$AH$1001,0),1)&gt;=100000,INDEX($AO$1005:$BQ$1005,1,MATCH(COLUMNS($AO$1006:AT1006),$AO$1006:$BQ$1006,0))&gt;=100000), " ",IF(INDEX($AO$2:$BQ$1001,MATCH(ROWS($AH$2:AH20),$AH$2:$AH$1001,0),MATCH(COLUMNS($AO$1006:AT1006),$AO$1006:$BQ$1006,0)), HYPERLINK("#",""), HYPERLINK(CONCATENATE("#Metadata!", ADDRESS(INDEX($AJ$2:$AJ$1001,MATCH(ROWS($AH$2:AH20),$AH$2:$AH$1001,0),0), INDEX($AO$1004:$BQ$1004,1,MATCH(COLUMNS($AO$1006:AT1006),$AO$1006:$BQ$1006,0)))),"Fix")))</f>
        <v>#N/A</v>
      </c>
      <c r="H20" s="5" t="e">
        <f ca="1">IF(OR(INDEX($AI$2:$AI$1001,MATCH(ROWS($AH$2:AH20),$AH$2:$AH$1001,0),1)&gt;=100000,INDEX($AO$1005:$BQ$1005,1,MATCH(COLUMNS($AO$1006:AU1006),$AO$1006:$BQ$1006,0))&gt;=100000), " ",IF(INDEX($AO$2:$BQ$1001,MATCH(ROWS($AH$2:AH20),$AH$2:$AH$1001,0),MATCH(COLUMNS($AO$1006:AU1006),$AO$1006:$BQ$1006,0)), HYPERLINK("#",""), HYPERLINK(CONCATENATE("#Metadata!", ADDRESS(INDEX($AJ$2:$AJ$1001,MATCH(ROWS($AH$2:AH20),$AH$2:$AH$1001,0),0), INDEX($AO$1004:$BQ$1004,1,MATCH(COLUMNS($AO$1006:AU1006),$AO$1006:$BQ$1006,0)))),"Fix")))</f>
        <v>#N/A</v>
      </c>
      <c r="I20" s="5" t="e">
        <f ca="1">IF(OR(INDEX($AI$2:$AI$1001,MATCH(ROWS($AH$2:AH20),$AH$2:$AH$1001,0),1)&gt;=100000,INDEX($AO$1005:$BQ$1005,1,MATCH(COLUMNS($AO$1006:AV1006),$AO$1006:$BQ$1006,0))&gt;=100000), " ",IF(INDEX($AO$2:$BQ$1001,MATCH(ROWS($AH$2:AH20),$AH$2:$AH$1001,0),MATCH(COLUMNS($AO$1006:AV1006),$AO$1006:$BQ$1006,0)), HYPERLINK("#",""), HYPERLINK(CONCATENATE("#Metadata!", ADDRESS(INDEX($AJ$2:$AJ$1001,MATCH(ROWS($AH$2:AH20),$AH$2:$AH$1001,0),0), INDEX($AO$1004:$BQ$1004,1,MATCH(COLUMNS($AO$1006:AV1006),$AO$1006:$BQ$1006,0)))),"Fix")))</f>
        <v>#N/A</v>
      </c>
      <c r="J20" s="5" t="e">
        <f ca="1">IF(OR(INDEX($AI$2:$AI$1001,MATCH(ROWS($AH$2:AH20),$AH$2:$AH$1001,0),1)&gt;=100000,INDEX($AO$1005:$BQ$1005,1,MATCH(COLUMNS($AO$1006:AW1006),$AO$1006:$BQ$1006,0))&gt;=100000), " ",IF(INDEX($AO$2:$BQ$1001,MATCH(ROWS($AH$2:AH20),$AH$2:$AH$1001,0),MATCH(COLUMNS($AO$1006:AW1006),$AO$1006:$BQ$1006,0)), HYPERLINK("#",""), HYPERLINK(CONCATENATE("#Metadata!", ADDRESS(INDEX($AJ$2:$AJ$1001,MATCH(ROWS($AH$2:AH20),$AH$2:$AH$1001,0),0), INDEX($AO$1004:$BQ$1004,1,MATCH(COLUMNS($AO$1006:AW1006),$AO$1006:$BQ$1006,0)))),"Fix")))</f>
        <v>#N/A</v>
      </c>
      <c r="K20" s="5" t="e">
        <f ca="1">IF(OR(INDEX($AI$2:$AI$1001,MATCH(ROWS($AH$2:AH20),$AH$2:$AH$1001,0),1)&gt;=100000,INDEX($AO$1005:$BQ$1005,1,MATCH(COLUMNS($AO$1006:AX1006),$AO$1006:$BQ$1006,0))&gt;=100000), " ",IF(INDEX($AO$2:$BQ$1001,MATCH(ROWS($AH$2:AH20),$AH$2:$AH$1001,0),MATCH(COLUMNS($AO$1006:AX1006),$AO$1006:$BQ$1006,0)), HYPERLINK("#",""), HYPERLINK(CONCATENATE("#Metadata!", ADDRESS(INDEX($AJ$2:$AJ$1001,MATCH(ROWS($AH$2:AH20),$AH$2:$AH$1001,0),0), INDEX($AO$1004:$BQ$1004,1,MATCH(COLUMNS($AO$1006:AX1006),$AO$1006:$BQ$1006,0)))),"Fix")))</f>
        <v>#N/A</v>
      </c>
      <c r="L20" s="5" t="e">
        <f ca="1">IF(OR(INDEX($AI$2:$AI$1001,MATCH(ROWS($AH$2:AH20),$AH$2:$AH$1001,0),1)&gt;=100000,INDEX($AO$1005:$BQ$1005,1,MATCH(COLUMNS($AO$1006:AY1006),$AO$1006:$BQ$1006,0))&gt;=100000), " ",IF(INDEX($AO$2:$BQ$1001,MATCH(ROWS($AH$2:AH20),$AH$2:$AH$1001,0),MATCH(COLUMNS($AO$1006:AY1006),$AO$1006:$BQ$1006,0)), HYPERLINK("#",""), HYPERLINK(CONCATENATE("#Metadata!", ADDRESS(INDEX($AJ$2:$AJ$1001,MATCH(ROWS($AH$2:AH20),$AH$2:$AH$1001,0),0), INDEX($AO$1004:$BQ$1004,1,MATCH(COLUMNS($AO$1006:AY1006),$AO$1006:$BQ$1006,0)))),"Fix")))</f>
        <v>#N/A</v>
      </c>
      <c r="M20" s="5" t="e">
        <f ca="1">IF(OR(INDEX($AI$2:$AI$1001,MATCH(ROWS($AH$2:AH20),$AH$2:$AH$1001,0),1)&gt;=100000,INDEX($AO$1005:$BQ$1005,1,MATCH(COLUMNS($AO$1006:AZ1006),$AO$1006:$BQ$1006,0))&gt;=100000), " ",IF(INDEX($AO$2:$BQ$1001,MATCH(ROWS($AH$2:AH20),$AH$2:$AH$1001,0),MATCH(COLUMNS($AO$1006:AZ1006),$AO$1006:$BQ$1006,0)), HYPERLINK("#",""), HYPERLINK(CONCATENATE("#Metadata!", ADDRESS(INDEX($AJ$2:$AJ$1001,MATCH(ROWS($AH$2:AH20),$AH$2:$AH$1001,0),0), INDEX($AO$1004:$BQ$1004,1,MATCH(COLUMNS($AO$1006:AZ1006),$AO$1006:$BQ$1006,0)))),"Fix")))</f>
        <v>#N/A</v>
      </c>
      <c r="N20" s="5" t="e">
        <f ca="1">IF(OR(INDEX($AI$2:$AI$1001,MATCH(ROWS($AH$2:AH20),$AH$2:$AH$1001,0),1)&gt;=100000,INDEX($AO$1005:$BQ$1005,1,MATCH(COLUMNS($AO$1006:BA1006),$AO$1006:$BQ$1006,0))&gt;=100000), " ",IF(INDEX($AO$2:$BQ$1001,MATCH(ROWS($AH$2:AH20),$AH$2:$AH$1001,0),MATCH(COLUMNS($AO$1006:BA1006),$AO$1006:$BQ$1006,0)), HYPERLINK("#",""), HYPERLINK(CONCATENATE("#Metadata!", ADDRESS(INDEX($AJ$2:$AJ$1001,MATCH(ROWS($AH$2:AH20),$AH$2:$AH$1001,0),0), INDEX($AO$1004:$BQ$1004,1,MATCH(COLUMNS($AO$1006:BA1006),$AO$1006:$BQ$1006,0)))),"Fix")))</f>
        <v>#N/A</v>
      </c>
      <c r="O20" s="5" t="e">
        <f ca="1">IF(OR(INDEX($AI$2:$AI$1001,MATCH(ROWS($AH$2:AH20),$AH$2:$AH$1001,0),1)&gt;=100000,INDEX($AO$1005:$BQ$1005,1,MATCH(COLUMNS($AO$1006:BB1006),$AO$1006:$BQ$1006,0))&gt;=100000), " ",IF(INDEX($AO$2:$BQ$1001,MATCH(ROWS($AH$2:AH20),$AH$2:$AH$1001,0),MATCH(COLUMNS($AO$1006:BB1006),$AO$1006:$BQ$1006,0)), HYPERLINK("#",""), HYPERLINK(CONCATENATE("#Metadata!", ADDRESS(INDEX($AJ$2:$AJ$1001,MATCH(ROWS($AH$2:AH20),$AH$2:$AH$1001,0),0), INDEX($AO$1004:$BQ$1004,1,MATCH(COLUMNS($AO$1006:BB1006),$AO$1006:$BQ$1006,0)))),"Fix")))</f>
        <v>#N/A</v>
      </c>
      <c r="P20" s="5" t="e">
        <f ca="1">IF(OR(INDEX($AI$2:$AI$1001,MATCH(ROWS($AH$2:AH20),$AH$2:$AH$1001,0),1)&gt;=100000,INDEX($AO$1005:$BQ$1005,1,MATCH(COLUMNS($AO$1006:BC1006),$AO$1006:$BQ$1006,0))&gt;=100000), " ",IF(INDEX($AO$2:$BQ$1001,MATCH(ROWS($AH$2:AH20),$AH$2:$AH$1001,0),MATCH(COLUMNS($AO$1006:BC1006),$AO$1006:$BQ$1006,0)), HYPERLINK("#",""), HYPERLINK(CONCATENATE("#Metadata!", ADDRESS(INDEX($AJ$2:$AJ$1001,MATCH(ROWS($AH$2:AH20),$AH$2:$AH$1001,0),0), INDEX($AO$1004:$BQ$1004,1,MATCH(COLUMNS($AO$1006:BC1006),$AO$1006:$BQ$1006,0)))),"Fix")))</f>
        <v>#N/A</v>
      </c>
      <c r="Q20" s="5" t="e">
        <f ca="1">IF(OR(INDEX($AI$2:$AI$1001,MATCH(ROWS($AH$2:AH20),$AH$2:$AH$1001,0),1)&gt;=100000,INDEX($AO$1005:$BQ$1005,1,MATCH(COLUMNS($AO$1006:BD1006),$AO$1006:$BQ$1006,0))&gt;=100000), " ",IF(INDEX($AO$2:$BQ$1001,MATCH(ROWS($AH$2:AH20),$AH$2:$AH$1001,0),MATCH(COLUMNS($AO$1006:BD1006),$AO$1006:$BQ$1006,0)), HYPERLINK("#",""), HYPERLINK(CONCATENATE("#Metadata!", ADDRESS(INDEX($AJ$2:$AJ$1001,MATCH(ROWS($AH$2:AH20),$AH$2:$AH$1001,0),0), INDEX($AO$1004:$BQ$1004,1,MATCH(COLUMNS($AO$1006:BD1006),$AO$1006:$BQ$1006,0)))),"Fix")))</f>
        <v>#N/A</v>
      </c>
      <c r="R20" s="5" t="e">
        <f ca="1">IF(OR(INDEX($AI$2:$AI$1001,MATCH(ROWS($AH$2:AH20),$AH$2:$AH$1001,0),1)&gt;=100000,INDEX($AO$1005:$BQ$1005,1,MATCH(COLUMNS($AO$1006:BE1006),$AO$1006:$BQ$1006,0))&gt;=100000), " ",IF(INDEX($AO$2:$BQ$1001,MATCH(ROWS($AH$2:AH20),$AH$2:$AH$1001,0),MATCH(COLUMNS($AO$1006:BE1006),$AO$1006:$BQ$1006,0)), HYPERLINK("#",""), HYPERLINK(CONCATENATE("#Metadata!", ADDRESS(INDEX($AJ$2:$AJ$1001,MATCH(ROWS($AH$2:AH20),$AH$2:$AH$1001,0),0), INDEX($AO$1004:$BQ$1004,1,MATCH(COLUMNS($AO$1006:BE1006),$AO$1006:$BQ$1006,0)))),"Fix")))</f>
        <v>#N/A</v>
      </c>
      <c r="S20" s="5" t="e">
        <f ca="1">IF(OR(INDEX($AI$2:$AI$1001,MATCH(ROWS($AH$2:AH20),$AH$2:$AH$1001,0),1)&gt;=100000,INDEX($AO$1005:$BQ$1005,1,MATCH(COLUMNS($AO$1006:BF1006),$AO$1006:$BQ$1006,0))&gt;=100000), " ",IF(INDEX($AO$2:$BQ$1001,MATCH(ROWS($AH$2:AH20),$AH$2:$AH$1001,0),MATCH(COLUMNS($AO$1006:BF1006),$AO$1006:$BQ$1006,0)), HYPERLINK("#",""), HYPERLINK(CONCATENATE("#Metadata!", ADDRESS(INDEX($AJ$2:$AJ$1001,MATCH(ROWS($AH$2:AH20),$AH$2:$AH$1001,0),0), INDEX($AO$1004:$BQ$1004,1,MATCH(COLUMNS($AO$1006:BF1006),$AO$1006:$BQ$1006,0)))),"Fix")))</f>
        <v>#N/A</v>
      </c>
      <c r="T20" s="5" t="e">
        <f ca="1">IF(OR(INDEX($AI$2:$AI$1001,MATCH(ROWS($AH$2:AH20),$AH$2:$AH$1001,0),1)&gt;=100000,INDEX($AO$1005:$BQ$1005,1,MATCH(COLUMNS($AO$1006:BG1006),$AO$1006:$BQ$1006,0))&gt;=100000), " ",IF(INDEX($AO$2:$BQ$1001,MATCH(ROWS($AH$2:AH20),$AH$2:$AH$1001,0),MATCH(COLUMNS($AO$1006:BG1006),$AO$1006:$BQ$1006,0)), HYPERLINK("#",""), HYPERLINK(CONCATENATE("#Metadata!", ADDRESS(INDEX($AJ$2:$AJ$1001,MATCH(ROWS($AH$2:AH20),$AH$2:$AH$1001,0),0), INDEX($AO$1004:$BQ$1004,1,MATCH(COLUMNS($AO$1006:BG1006),$AO$1006:$BQ$1006,0)))),"Fix")))</f>
        <v>#N/A</v>
      </c>
      <c r="U20" s="5" t="e">
        <f ca="1">IF(OR(INDEX($AI$2:$AI$1001,MATCH(ROWS($AH$2:AH20),$AH$2:$AH$1001,0),1)&gt;=100000,INDEX($AO$1005:$BQ$1005,1,MATCH(COLUMNS($AO$1006:BH1006),$AO$1006:$BQ$1006,0))&gt;=100000), " ",IF(INDEX($AO$2:$BQ$1001,MATCH(ROWS($AH$2:AH20),$AH$2:$AH$1001,0),MATCH(COLUMNS($AO$1006:BH1006),$AO$1006:$BQ$1006,0)), HYPERLINK("#",""), HYPERLINK(CONCATENATE("#Metadata!", ADDRESS(INDEX($AJ$2:$AJ$1001,MATCH(ROWS($AH$2:AH20),$AH$2:$AH$1001,0),0), INDEX($AO$1004:$BQ$1004,1,MATCH(COLUMNS($AO$1006:BH1006),$AO$1006:$BQ$1006,0)))),"Fix")))</f>
        <v>#N/A</v>
      </c>
      <c r="V20" s="5" t="e">
        <f ca="1">IF(OR(INDEX($AI$2:$AI$1001,MATCH(ROWS($AH$2:AH20),$AH$2:$AH$1001,0),1)&gt;=100000,INDEX($AO$1005:$BQ$1005,1,MATCH(COLUMNS($AO$1006:BI1006),$AO$1006:$BQ$1006,0))&gt;=100000), " ",IF(INDEX($AO$2:$BQ$1001,MATCH(ROWS($AH$2:AH20),$AH$2:$AH$1001,0),MATCH(COLUMNS($AO$1006:BI1006),$AO$1006:$BQ$1006,0)), HYPERLINK("#",""), HYPERLINK(CONCATENATE("#Metadata!", ADDRESS(INDEX($AJ$2:$AJ$1001,MATCH(ROWS($AH$2:AH20),$AH$2:$AH$1001,0),0), INDEX($AO$1004:$BQ$1004,1,MATCH(COLUMNS($AO$1006:BI1006),$AO$1006:$BQ$1006,0)))),"Fix")))</f>
        <v>#N/A</v>
      </c>
      <c r="W20" s="5" t="e">
        <f ca="1">IF(OR(INDEX($AI$2:$AI$1001,MATCH(ROWS($AH$2:AH20),$AH$2:$AH$1001,0),1)&gt;=100000,INDEX($AO$1005:$BQ$1005,1,MATCH(COLUMNS($AO$1006:BJ1006),$AO$1006:$BQ$1006,0))&gt;=100000), " ",IF(INDEX($AO$2:$BQ$1001,MATCH(ROWS($AH$2:AH20),$AH$2:$AH$1001,0),MATCH(COLUMNS($AO$1006:BJ1006),$AO$1006:$BQ$1006,0)), HYPERLINK("#",""), HYPERLINK(CONCATENATE("#Metadata!", ADDRESS(INDEX($AJ$2:$AJ$1001,MATCH(ROWS($AH$2:AH20),$AH$2:$AH$1001,0),0), INDEX($AO$1004:$BQ$1004,1,MATCH(COLUMNS($AO$1006:BJ1006),$AO$1006:$BQ$1006,0)))),"Fix")))</f>
        <v>#N/A</v>
      </c>
      <c r="X20" s="5" t="e">
        <f ca="1">IF(OR(INDEX($AI$2:$AI$1001,MATCH(ROWS($AH$2:AH20),$AH$2:$AH$1001,0),1)&gt;=100000,INDEX($AO$1005:$BQ$1005,1,MATCH(COLUMNS($AO$1006:BK1006),$AO$1006:$BQ$1006,0))&gt;=100000), " ",IF(INDEX($AO$2:$BQ$1001,MATCH(ROWS($AH$2:AH20),$AH$2:$AH$1001,0),MATCH(COLUMNS($AO$1006:BK1006),$AO$1006:$BQ$1006,0)), HYPERLINK("#",""), HYPERLINK(CONCATENATE("#Metadata!", ADDRESS(INDEX($AJ$2:$AJ$1001,MATCH(ROWS($AH$2:AH20),$AH$2:$AH$1001,0),0), INDEX($AO$1004:$BQ$1004,1,MATCH(COLUMNS($AO$1006:BK1006),$AO$1006:$BQ$1006,0)))),"Fix")))</f>
        <v>#N/A</v>
      </c>
      <c r="Y20" s="5" t="e">
        <f ca="1">IF(OR(INDEX($AI$2:$AI$1001,MATCH(ROWS($AH$2:AH20),$AH$2:$AH$1001,0),1)&gt;=100000,INDEX($AO$1005:$BQ$1005,1,MATCH(COLUMNS($AO$1006:BL1006),$AO$1006:$BQ$1006,0))&gt;=100000), " ",IF(INDEX($AO$2:$BQ$1001,MATCH(ROWS($AH$2:AH20),$AH$2:$AH$1001,0),MATCH(COLUMNS($AO$1006:BL1006),$AO$1006:$BQ$1006,0)), HYPERLINK("#",""), HYPERLINK(CONCATENATE("#Metadata!", ADDRESS(INDEX($AJ$2:$AJ$1001,MATCH(ROWS($AH$2:AH20),$AH$2:$AH$1001,0),0), INDEX($AO$1004:$BQ$1004,1,MATCH(COLUMNS($AO$1006:BL1006),$AO$1006:$BQ$1006,0)))),"Fix")))</f>
        <v>#N/A</v>
      </c>
      <c r="Z20" s="5" t="e">
        <f ca="1">IF(OR(INDEX($AI$2:$AI$1001,MATCH(ROWS($AH$2:AH20),$AH$2:$AH$1001,0),1)&gt;=100000,INDEX($AO$1005:$BQ$1005,1,MATCH(COLUMNS($AO$1006:BM1006),$AO$1006:$BQ$1006,0))&gt;=100000), " ",IF(INDEX($AO$2:$BQ$1001,MATCH(ROWS($AH$2:AH20),$AH$2:$AH$1001,0),MATCH(COLUMNS($AO$1006:BM1006),$AO$1006:$BQ$1006,0)), HYPERLINK("#",""), HYPERLINK(CONCATENATE("#Metadata!", ADDRESS(INDEX($AJ$2:$AJ$1001,MATCH(ROWS($AH$2:AH20),$AH$2:$AH$1001,0),0), INDEX($AO$1004:$BQ$1004,1,MATCH(COLUMNS($AO$1006:BM1006),$AO$1006:$BQ$1006,0)))),"Fix")))</f>
        <v>#N/A</v>
      </c>
      <c r="AA20" s="5" t="e">
        <f ca="1">IF(OR(INDEX($AI$2:$AI$1001,MATCH(ROWS($AH$2:AH20),$AH$2:$AH$1001,0),1)&gt;=100000,INDEX($AO$1005:$BQ$1005,1,MATCH(COLUMNS($AO$1006:BN1006),$AO$1006:$BQ$1006,0))&gt;=100000), " ",IF(INDEX($AO$2:$BQ$1001,MATCH(ROWS($AH$2:AH20),$AH$2:$AH$1001,0),MATCH(COLUMNS($AO$1006:BN1006),$AO$1006:$BQ$1006,0)), HYPERLINK("#",""), HYPERLINK(CONCATENATE("#Metadata!", ADDRESS(INDEX($AJ$2:$AJ$1001,MATCH(ROWS($AH$2:AH20),$AH$2:$AH$1001,0),0), INDEX($AO$1004:$BQ$1004,1,MATCH(COLUMNS($AO$1006:BN1006),$AO$1006:$BQ$1006,0)))),"Fix")))</f>
        <v>#N/A</v>
      </c>
      <c r="AB20" s="5" t="e">
        <f ca="1">IF(OR(INDEX($AI$2:$AI$1001,MATCH(ROWS($AH$2:AH20),$AH$2:$AH$1001,0),1)&gt;=100000,INDEX($AO$1005:$BQ$1005,1,MATCH(COLUMNS($AO$1006:BO1006),$AO$1006:$BQ$1006,0))&gt;=100000), " ",IF(INDEX($AO$2:$BQ$1001,MATCH(ROWS($AH$2:AH20),$AH$2:$AH$1001,0),MATCH(COLUMNS($AO$1006:BO1006),$AO$1006:$BQ$1006,0)), HYPERLINK("#",""), HYPERLINK(CONCATENATE("#Metadata!", ADDRESS(INDEX($AJ$2:$AJ$1001,MATCH(ROWS($AH$2:AH20),$AH$2:$AH$1001,0),0), INDEX($AO$1004:$BQ$1004,1,MATCH(COLUMNS($AO$1006:BO1006),$AO$1006:$BQ$1006,0)))),"Fix")))</f>
        <v>#N/A</v>
      </c>
      <c r="AC20" s="5" t="e">
        <f ca="1">IF(OR(INDEX($AI$2:$AI$1001,MATCH(ROWS($AH$2:AH20),$AH$2:$AH$1001,0),1)&gt;=100000,INDEX($AO$1005:$BQ$1005,1,MATCH(COLUMNS($AO$1006:BP1006),$AO$1006:$BQ$1006,0))&gt;=100000), " ",IF(INDEX($AO$2:$BQ$1001,MATCH(ROWS($AH$2:AH20),$AH$2:$AH$1001,0),MATCH(COLUMNS($AO$1006:BP1006),$AO$1006:$BQ$1006,0)), HYPERLINK("#",""), HYPERLINK(CONCATENATE("#Metadata!", ADDRESS(INDEX($AJ$2:$AJ$1001,MATCH(ROWS($AH$2:AH20),$AH$2:$AH$1001,0),0), INDEX($AO$1004:$BQ$1004,1,MATCH(COLUMNS($AO$1006:BP1006),$AO$1006:$BQ$1006,0)))),"Fix")))</f>
        <v>#N/A</v>
      </c>
      <c r="AD20" s="5" t="e">
        <f ca="1">IF(OR(INDEX($AI$2:$AI$1001,MATCH(ROWS($AH$2:AH20),$AH$2:$AH$1001,0),1)&gt;=100000,INDEX($AO$1005:$BQ$1005,1,MATCH(COLUMNS($AO$1006:BQ1006),$AO$1006:$BQ$1006,0))&gt;=100000), " ",IF(INDEX($AO$2:$BQ$1001,MATCH(ROWS($AH$2:AH20),$AH$2:$AH$1001,0),MATCH(COLUMNS($AO$1006:BQ1006),$AO$1006:$BQ$1006,0)), HYPERLINK("#",""), HYPERLINK(CONCATENATE("#Metadata!", ADDRESS(INDEX($AJ$2:$AJ$1001,MATCH(ROWS($AH$2:AH20),$AH$2:$AH$1001,0),0), INDEX($AO$1004:$BQ$1004,1,MATCH(COLUMNS($AO$1006:BQ1006),$AO$1006:$BQ$1006,0)))),"Fix")))</f>
        <v>#REF!</v>
      </c>
      <c r="AH20">
        <f ca="1"/>
        <v>18</v>
      </c>
      <c r="AI20">
        <f ca="1"/>
        <v>20</v>
      </c>
      <c r="AJ20">
        <v>20</v>
      </c>
      <c r="AK20" t="b">
        <f t="shared" ca="1" si="0"/>
        <v>0</v>
      </c>
      <c r="AL20" t="b">
        <f>COUNTBLANK(Metadata!B20:AD20)=COLUMNS(Metadata!B20:AD20)</f>
        <v>0</v>
      </c>
      <c r="AM20" t="str">
        <v>Environment.Aquatic.Sediment.1.BTP.219Sediment</v>
      </c>
      <c r="AO20" t="b">
        <f ca="1">AND(IF(Metadata!B19="",FALSE,TRUE),COUNTIF(Metadata!B:B, Metadata!B19) = 1,NOT(ISERROR(SUMPRODUCT(SEARCH(MID(Metadata!B19,ROW(INDIRECT("1:"&amp;LEN(Metadata!B19))), 1),"0123456789abcdefghijklmnopqrstuvwxyzABCDEFGHIJKLMNOPQRSTUVWXYZ.")))))</f>
        <v>1</v>
      </c>
      <c r="AP20" t="b">
        <f>IF(Metadata!C19="",FALSE,TRUE)</f>
        <v>1</v>
      </c>
      <c r="AQ20" t="b">
        <f>IF(Metadata!D19="",FALSE,TRUE)</f>
        <v>1</v>
      </c>
      <c r="AR20" t="b">
        <f ca="1">OR(AND(IF(Metadata!E19="",FALSE,TRUE),OR(EXACT(Metadata!E19,"not collected"),EXACT(Metadata!E19,"not provided"),EXACT(Metadata!E19,"restricted access"))),AND(IF(Metadata!E19="",FALSE,TRUE),AND(AND(IFERROR(INT(LEFT(Metadata!E19,4))&gt;1900,FALSE),IFERROR(INT(LEFT(Metadata!E19,4))&lt;=YEAR(NOW()),FALSE)), OR(MID(Metadata!E19,5,1)="", AND(AND(MID(Metadata!E19,5,1)="-",IFERROR(INT(MID(Metadata!E19,6,1))&gt;=0,FALSE),IFERROR(INT(MID(Metadata!E19,6,1))&lt;=1,FALSE),NOT(MID(Metadata!E19,7,1)=""),IFERROR(INT(MID(Metadata!E19,6,2))&gt;=1,FALSE),IFERROR(INT(MID(Metadata!E19,6,2))&lt;=12,FALSE)), OR(MID(Metadata!E19,8,1)="", AND(AND(MID(Metadata!E19,8,1)="-",IFERROR(INT(MID(Metadata!E19,9,1))&gt;=0,FALSE),IFERROR(INT(MID(Metadata!E19,9,1))&lt;=3,FALSE),NOT(MID(Metadata!E19,10,1)=""),IFERROR(INT(MID(Metadata!E19,9,2))&gt;=1,FALSE),IFERROR(INT(MID(Metadata!E19,9,2))&lt;=31,FALSE)), OR(MID(Metadata!E19,11,1)="", AND(AND(MID(Metadata!E19,11,1)=" ",IFERROR(INT(MID(Metadata!E19,12,1))&gt;=0,FALSE),IFERROR(INT(MID(Metadata!E19,12,1))&lt;=2,FALSE),NOT(MID(Metadata!E19,13,1)=""),IFERROR(INT(MID(Metadata!E19,12,2))&gt;=0,FALSE),IFERROR(INT(MID(Metadata!E19,12,2))&lt;=23,FALSE)), OR(MID(Metadata!E19,14,1)="", AND(AND(MID(Metadata!E19,14,1)=":",IFERROR(INT(MID(Metadata!E19,15,1))&gt;=0,FALSE),IFERROR(INT(MID(Metadata!E19,15,1))&lt;=5,FALSE),NOT(MID(Metadata!E19,16,1)=""),IFERROR(INT(MID(Metadata!E19,15,2))&gt;=0,FALSE),IFERROR(INT(MID(Metadata!E19,15,2))&lt;=59,FALSE)), OR(MID(Metadata!E19,17,1)="", AND(AND(MID(Metadata!E19,17,1)=":",IFERROR(INT(MID(Metadata!E19,18,1))&gt;=0,FALSE),IFERROR(INT(MID(Metadata!E19,18,1))&lt;=5,FALSE),NOT(MID(Metadata!E19,19,1)=""),IFERROR(INT(MID(Metadata!E19,18,2))&gt;=0,FALSE),IFERROR(INT(MID(Metadata!E19,18,2))&lt;=59,FALSE)), LEN(Metadata!E19)&lt;=19)))))))))))))</f>
        <v>0</v>
      </c>
      <c r="AS20" t="b">
        <f>IF(Metadata!F19="",FALSE,TRUE)</f>
        <v>1</v>
      </c>
      <c r="AT20" t="b">
        <f>OR(AND(IF(Metadata!G19="",FALSE,TRUE),OR(EXACT(Metadata!G19,"not collected"),EXACT(Metadata!G19,"not provided"))),AND(IF(Metadata!G19="",FALSE,TRUE),OR(EXACT(Metadata!G19,"TRUE"),EXACT(Metadata!G19,"FALSE"))))</f>
        <v>1</v>
      </c>
      <c r="AU20" t="b">
        <f>OR(AND(IF(Metadata!H19="",FALSE,TRUE),OR(EXACT(Metadata!H19,"not collected"),EXACT(Metadata!H19,"not provided"),EXACT(Metadata!H19,"restricted access"))),AND(IF(Metadata!H19="",FALSE,ISNUMBER(VALUE(Metadata!H19))),Metadata!H19&gt;=-413))</f>
        <v>0</v>
      </c>
      <c r="AV20" t="b">
        <f>AND(IF(Metadata!I19="",FALSE,TRUE),EXACT(Metadata!I19,"meters"))</f>
        <v>1</v>
      </c>
      <c r="AW20" t="b">
        <f>AND(IF(Metadata!J19="",FALSE,TRUE),EXACT(Metadata!J19,"free-living"))</f>
        <v>1</v>
      </c>
      <c r="AX20" t="b">
        <f>AND(IF(Metadata!K19="",FALSE,TRUE),OR(EXACT(Metadata!K19,"saline"),EXACT(Metadata!K19,"non-saline")))</f>
        <v>1</v>
      </c>
      <c r="AY20" t="b">
        <f>AND(IF(Metadata!L19="",FALSE,TRUE),OR(EXACT(Metadata!L19,"sub-surface (non-saline)"),EXACT(Metadata!L19,"surface (non-saline)"),EXACT(Metadata!L19,"water (non-saline)"),EXACT(Metadata!L19,"soil (non-saline)"),EXACT(Metadata!L19,"aerosol (non-saline)"),EXACT(Metadata!L19,"sediment (non-saline)"),EXACT(Metadata!L19,"surface (saline)"),EXACT(Metadata!L19,"water (saline)"),EXACT(Metadata!L19,"hypersaline (saline)"),EXACT(Metadata!L19,"aerosol (saline)"),EXACT(Metadata!L19,"sediment (saline)")))</f>
        <v>1</v>
      </c>
      <c r="AZ20" t="b">
        <f>IF(Metadata!M19="",FALSE,TRUE)</f>
        <v>1</v>
      </c>
      <c r="BA20" t="b">
        <f>IF(Metadata!N19="",FALSE,TRUE)</f>
        <v>1</v>
      </c>
      <c r="BB20" t="b">
        <f>IF(Metadata!O19="",FALSE,TRUE)</f>
        <v>1</v>
      </c>
      <c r="BC20" t="b">
        <f>AND(IF(Metadata!P19="",FALSE,TRUE),OR(EXACT(Metadata!P19,"air"),EXACT(Metadata!P19,"microbial mat/biofilm"),EXACT(Metadata!P19,"misc environment"),EXACT(Metadata!P19,"sediment"),EXACT(Metadata!P19,"soil"),EXACT(Metadata!P19,"wastewater/sludge"),EXACT(Metadata!P19,"water")))</f>
        <v>1</v>
      </c>
      <c r="BD20" t="b">
        <f>IF(Metadata!Q19="",FALSE,TRUE)</f>
        <v>1</v>
      </c>
      <c r="BE20" t="b">
        <f>IF(Metadata!R19="",FALSE,TRUE)</f>
        <v>1</v>
      </c>
      <c r="BF20" t="b">
        <f>OR(AND(IF(Metadata!S19="",FALSE,TRUE),OR(EXACT(Metadata!S19,"not collected"),EXACT(Metadata!S19,"not provided"),EXACT(Metadata!S19,"restricted access"))),AND(IF(Metadata!S19="",FALSE,ISNUMBER(VALUE(Metadata!S19))),Metadata!S19&gt;=-90,Metadata!S19&lt;=90))</f>
        <v>0</v>
      </c>
      <c r="BG20" t="b">
        <f>AND(IF(Metadata!T19="",FALSE,TRUE),EXACT(Metadata!T19,"Decimal degrees"))</f>
        <v>1</v>
      </c>
      <c r="BH20" t="b">
        <f>OR(AND(IF(Metadata!U20="",FALSE,TRUE),OR(EXACT(Metadata!U20,"not applicable"),EXACT(Metadata!U20,"not collected"))),IF(Metadata!U20="",FALSE,TRUE))</f>
        <v>1</v>
      </c>
      <c r="BI20" t="b">
        <f>OR(AND(IF(Metadata!V19="",FALSE,TRUE),OR(EXACT(Metadata!V19,"not collected"),EXACT(Metadata!V19,"not provided"),EXACT(Metadata!V19,"restricted access"))),AND(IF(Metadata!V19="",FALSE,ISNUMBER(VALUE(Metadata!V19))),Metadata!V19&gt;=-180,Metadata!V19&lt;=180))</f>
        <v>0</v>
      </c>
      <c r="BJ20" t="b">
        <f>AND(IF(Metadata!W19="",FALSE,TRUE),EXACT(Metadata!W19,"Decimal degrees"))</f>
        <v>1</v>
      </c>
      <c r="BK20" t="b">
        <f>IF(Metadata!X19="",FALSE,TRUE)</f>
        <v>1</v>
      </c>
      <c r="BL20" t="b">
        <f>OR(AND(IF(Metadata!Y19="",FALSE,TRUE),OR(EXACT(Metadata!Y19,"not collected"),EXACT(Metadata!Y19,"not provided"),EXACT(Metadata!Y19,"restricted access"))),AND(IF(Metadata!Y19="",FALSE,TRUE),OR(EXACT(Metadata!Y19,"TRUE"),EXACT(Metadata!Y19,"FALSE"))))</f>
        <v>1</v>
      </c>
      <c r="BM20" t="b">
        <f>OR(AND(IF(Metadata!Z19="",FALSE,TRUE),EXACT(Metadata!Z19,"not applicable")),AND(IF(Metadata!Z19="",FALSE,TRUE),OR(EXACT(Metadata!Z19,"beer"),EXACT(Metadata!Z19,"cheese"),EXACT(Metadata!Z19,"fresh water"),EXACT(Metadata!Z19,"marine sediment"),EXACT(Metadata!Z19,"sea water"),EXACT(Metadata!Z19,"sediment"),EXACT(Metadata!Z19,"soil"),EXACT(Metadata!Z19,"waste water"))))</f>
        <v>1</v>
      </c>
      <c r="BN20" t="b">
        <f>AND(IF(Metadata!AA19="",FALSE,TRUE),EXACT(Metadata!AA19,"metagenome"))</f>
        <v>1</v>
      </c>
      <c r="BO20" t="b">
        <f>AND(IF(Metadata!AB19="",FALSE,TRUE),EXACT(Metadata!AB19,"256318"))</f>
        <v>1</v>
      </c>
      <c r="BP20" t="b">
        <f>IF(Metadata!AC19="",FALSE,TRUE)</f>
        <v>1</v>
      </c>
      <c r="BQ20" t="b">
        <f>IF(Metadata!AD19="",FALSE,TRUE)</f>
        <v>1</v>
      </c>
    </row>
    <row r="21" spans="1:69" x14ac:dyDescent="0.2">
      <c r="A21" s="4" t="e">
        <f ca="1">IF(B21=" "," ",HYPERLINK(CONCATENATE("#metadata!",ADDRESS(INDEX($AJ$2:$AJ$1001,MATCH(ROWS($AH$2:AH21),$AH$2:$AH$1001,0),0),2)),INDEX($AM$2:$AM$1001,MATCH(ROWS($AH$2:AH21),$AH$2:$AH$1001,0),0)))</f>
        <v>#N/A</v>
      </c>
      <c r="B21" s="5" t="e">
        <f ca="1">IF(OR(INDEX($AI$2:$AI$1001,MATCH(ROWS($AH$2:AH21),$AH$2:$AH$1001,0),1)&gt;=100000,INDEX($AO$1005:$BQ$1005,1,MATCH(COLUMNS($AO$1006:AO1006),$AO$1006:$BQ$1006,0))&gt;=100000), " ",IF(INDEX($AO$2:$BQ$1001,MATCH(ROWS($AH$2:AH21),$AH$2:$AH$1001,0),MATCH(COLUMNS($AO$1006:AO1006),$AO$1006:$BQ$1006,0)), HYPERLINK("#",""), HYPERLINK(CONCATENATE("#Metadata!", ADDRESS(INDEX($AJ$2:$AJ$1001,MATCH(ROWS($AH$2:AH21),$AH$2:$AH$1001,0),0), INDEX($AO$1004:$BQ$1004,1,MATCH(COLUMNS($AO$1006:AO1006),$AO$1006:$BQ$1006,0)))),"Fix")))</f>
        <v>#N/A</v>
      </c>
      <c r="C21" s="5" t="e">
        <f ca="1">IF(OR(INDEX($AI$2:$AI$1001,MATCH(ROWS($AH$2:AH21),$AH$2:$AH$1001,0),1)&gt;=100000,INDEX($AO$1005:$BQ$1005,1,MATCH(COLUMNS($AO$1006:AP1006),$AO$1006:$BQ$1006,0))&gt;=100000), " ",IF(INDEX($AO$2:$BQ$1001,MATCH(ROWS($AH$2:AH21),$AH$2:$AH$1001,0),MATCH(COLUMNS($AO$1006:AP1006),$AO$1006:$BQ$1006,0)), HYPERLINK("#",""), HYPERLINK(CONCATENATE("#Metadata!", ADDRESS(INDEX($AJ$2:$AJ$1001,MATCH(ROWS($AH$2:AH21),$AH$2:$AH$1001,0),0), INDEX($AO$1004:$BQ$1004,1,MATCH(COLUMNS($AO$1006:AP1006),$AO$1006:$BQ$1006,0)))),"Fix")))</f>
        <v>#N/A</v>
      </c>
      <c r="D21" s="5" t="e">
        <f ca="1">IF(OR(INDEX($AI$2:$AI$1001,MATCH(ROWS($AH$2:AH21),$AH$2:$AH$1001,0),1)&gt;=100000,INDEX($AO$1005:$BQ$1005,1,MATCH(COLUMNS($AO$1006:AQ1006),$AO$1006:$BQ$1006,0))&gt;=100000), " ",IF(INDEX($AO$2:$BQ$1001,MATCH(ROWS($AH$2:AH21),$AH$2:$AH$1001,0),MATCH(COLUMNS($AO$1006:AQ1006),$AO$1006:$BQ$1006,0)), HYPERLINK("#",""), HYPERLINK(CONCATENATE("#Metadata!", ADDRESS(INDEX($AJ$2:$AJ$1001,MATCH(ROWS($AH$2:AH21),$AH$2:$AH$1001,0),0), INDEX($AO$1004:$BQ$1004,1,MATCH(COLUMNS($AO$1006:AQ1006),$AO$1006:$BQ$1006,0)))),"Fix")))</f>
        <v>#N/A</v>
      </c>
      <c r="E21" s="5" t="e">
        <f ca="1">IF(OR(INDEX($AI$2:$AI$1001,MATCH(ROWS($AH$2:AH21),$AH$2:$AH$1001,0),1)&gt;=100000,INDEX($AO$1005:$BQ$1005,1,MATCH(COLUMNS($AO$1006:AR1006),$AO$1006:$BQ$1006,0))&gt;=100000), " ",IF(INDEX($AO$2:$BQ$1001,MATCH(ROWS($AH$2:AH21),$AH$2:$AH$1001,0),MATCH(COLUMNS($AO$1006:AR1006),$AO$1006:$BQ$1006,0)), HYPERLINK("#",""), HYPERLINK(CONCATENATE("#Metadata!", ADDRESS(INDEX($AJ$2:$AJ$1001,MATCH(ROWS($AH$2:AH21),$AH$2:$AH$1001,0),0), INDEX($AO$1004:$BQ$1004,1,MATCH(COLUMNS($AO$1006:AR1006),$AO$1006:$BQ$1006,0)))),"Fix")))</f>
        <v>#N/A</v>
      </c>
      <c r="F21" s="5" t="e">
        <f ca="1">IF(OR(INDEX($AI$2:$AI$1001,MATCH(ROWS($AH$2:AH21),$AH$2:$AH$1001,0),1)&gt;=100000,INDEX($AO$1005:$BQ$1005,1,MATCH(COLUMNS($AO$1006:AS1006),$AO$1006:$BQ$1006,0))&gt;=100000), " ",IF(INDEX($AO$2:$BQ$1001,MATCH(ROWS($AH$2:AH21),$AH$2:$AH$1001,0),MATCH(COLUMNS($AO$1006:AS1006),$AO$1006:$BQ$1006,0)), HYPERLINK("#",""), HYPERLINK(CONCATENATE("#Metadata!", ADDRESS(INDEX($AJ$2:$AJ$1001,MATCH(ROWS($AH$2:AH21),$AH$2:$AH$1001,0),0), INDEX($AO$1004:$BQ$1004,1,MATCH(COLUMNS($AO$1006:AS1006),$AO$1006:$BQ$1006,0)))),"Fix")))</f>
        <v>#N/A</v>
      </c>
      <c r="G21" s="5" t="e">
        <f ca="1">IF(OR(INDEX($AI$2:$AI$1001,MATCH(ROWS($AH$2:AH21),$AH$2:$AH$1001,0),1)&gt;=100000,INDEX($AO$1005:$BQ$1005,1,MATCH(COLUMNS($AO$1006:AT1006),$AO$1006:$BQ$1006,0))&gt;=100000), " ",IF(INDEX($AO$2:$BQ$1001,MATCH(ROWS($AH$2:AH21),$AH$2:$AH$1001,0),MATCH(COLUMNS($AO$1006:AT1006),$AO$1006:$BQ$1006,0)), HYPERLINK("#",""), HYPERLINK(CONCATENATE("#Metadata!", ADDRESS(INDEX($AJ$2:$AJ$1001,MATCH(ROWS($AH$2:AH21),$AH$2:$AH$1001,0),0), INDEX($AO$1004:$BQ$1004,1,MATCH(COLUMNS($AO$1006:AT1006),$AO$1006:$BQ$1006,0)))),"Fix")))</f>
        <v>#N/A</v>
      </c>
      <c r="H21" s="5" t="e">
        <f ca="1">IF(OR(INDEX($AI$2:$AI$1001,MATCH(ROWS($AH$2:AH21),$AH$2:$AH$1001,0),1)&gt;=100000,INDEX($AO$1005:$BQ$1005,1,MATCH(COLUMNS($AO$1006:AU1006),$AO$1006:$BQ$1006,0))&gt;=100000), " ",IF(INDEX($AO$2:$BQ$1001,MATCH(ROWS($AH$2:AH21),$AH$2:$AH$1001,0),MATCH(COLUMNS($AO$1006:AU1006),$AO$1006:$BQ$1006,0)), HYPERLINK("#",""), HYPERLINK(CONCATENATE("#Metadata!", ADDRESS(INDEX($AJ$2:$AJ$1001,MATCH(ROWS($AH$2:AH21),$AH$2:$AH$1001,0),0), INDEX($AO$1004:$BQ$1004,1,MATCH(COLUMNS($AO$1006:AU1006),$AO$1006:$BQ$1006,0)))),"Fix")))</f>
        <v>#N/A</v>
      </c>
      <c r="I21" s="5" t="e">
        <f ca="1">IF(OR(INDEX($AI$2:$AI$1001,MATCH(ROWS($AH$2:AH21),$AH$2:$AH$1001,0),1)&gt;=100000,INDEX($AO$1005:$BQ$1005,1,MATCH(COLUMNS($AO$1006:AV1006),$AO$1006:$BQ$1006,0))&gt;=100000), " ",IF(INDEX($AO$2:$BQ$1001,MATCH(ROWS($AH$2:AH21),$AH$2:$AH$1001,0),MATCH(COLUMNS($AO$1006:AV1006),$AO$1006:$BQ$1006,0)), HYPERLINK("#",""), HYPERLINK(CONCATENATE("#Metadata!", ADDRESS(INDEX($AJ$2:$AJ$1001,MATCH(ROWS($AH$2:AH21),$AH$2:$AH$1001,0),0), INDEX($AO$1004:$BQ$1004,1,MATCH(COLUMNS($AO$1006:AV1006),$AO$1006:$BQ$1006,0)))),"Fix")))</f>
        <v>#N/A</v>
      </c>
      <c r="J21" s="5" t="e">
        <f ca="1">IF(OR(INDEX($AI$2:$AI$1001,MATCH(ROWS($AH$2:AH21),$AH$2:$AH$1001,0),1)&gt;=100000,INDEX($AO$1005:$BQ$1005,1,MATCH(COLUMNS($AO$1006:AW1006),$AO$1006:$BQ$1006,0))&gt;=100000), " ",IF(INDEX($AO$2:$BQ$1001,MATCH(ROWS($AH$2:AH21),$AH$2:$AH$1001,0),MATCH(COLUMNS($AO$1006:AW1006),$AO$1006:$BQ$1006,0)), HYPERLINK("#",""), HYPERLINK(CONCATENATE("#Metadata!", ADDRESS(INDEX($AJ$2:$AJ$1001,MATCH(ROWS($AH$2:AH21),$AH$2:$AH$1001,0),0), INDEX($AO$1004:$BQ$1004,1,MATCH(COLUMNS($AO$1006:AW1006),$AO$1006:$BQ$1006,0)))),"Fix")))</f>
        <v>#N/A</v>
      </c>
      <c r="K21" s="5" t="e">
        <f ca="1">IF(OR(INDEX($AI$2:$AI$1001,MATCH(ROWS($AH$2:AH21),$AH$2:$AH$1001,0),1)&gt;=100000,INDEX($AO$1005:$BQ$1005,1,MATCH(COLUMNS($AO$1006:AX1006),$AO$1006:$BQ$1006,0))&gt;=100000), " ",IF(INDEX($AO$2:$BQ$1001,MATCH(ROWS($AH$2:AH21),$AH$2:$AH$1001,0),MATCH(COLUMNS($AO$1006:AX1006),$AO$1006:$BQ$1006,0)), HYPERLINK("#",""), HYPERLINK(CONCATENATE("#Metadata!", ADDRESS(INDEX($AJ$2:$AJ$1001,MATCH(ROWS($AH$2:AH21),$AH$2:$AH$1001,0),0), INDEX($AO$1004:$BQ$1004,1,MATCH(COLUMNS($AO$1006:AX1006),$AO$1006:$BQ$1006,0)))),"Fix")))</f>
        <v>#N/A</v>
      </c>
      <c r="L21" s="5" t="e">
        <f ca="1">IF(OR(INDEX($AI$2:$AI$1001,MATCH(ROWS($AH$2:AH21),$AH$2:$AH$1001,0),1)&gt;=100000,INDEX($AO$1005:$BQ$1005,1,MATCH(COLUMNS($AO$1006:AY1006),$AO$1006:$BQ$1006,0))&gt;=100000), " ",IF(INDEX($AO$2:$BQ$1001,MATCH(ROWS($AH$2:AH21),$AH$2:$AH$1001,0),MATCH(COLUMNS($AO$1006:AY1006),$AO$1006:$BQ$1006,0)), HYPERLINK("#",""), HYPERLINK(CONCATENATE("#Metadata!", ADDRESS(INDEX($AJ$2:$AJ$1001,MATCH(ROWS($AH$2:AH21),$AH$2:$AH$1001,0),0), INDEX($AO$1004:$BQ$1004,1,MATCH(COLUMNS($AO$1006:AY1006),$AO$1006:$BQ$1006,0)))),"Fix")))</f>
        <v>#N/A</v>
      </c>
      <c r="M21" s="5" t="e">
        <f ca="1">IF(OR(INDEX($AI$2:$AI$1001,MATCH(ROWS($AH$2:AH21),$AH$2:$AH$1001,0),1)&gt;=100000,INDEX($AO$1005:$BQ$1005,1,MATCH(COLUMNS($AO$1006:AZ1006),$AO$1006:$BQ$1006,0))&gt;=100000), " ",IF(INDEX($AO$2:$BQ$1001,MATCH(ROWS($AH$2:AH21),$AH$2:$AH$1001,0),MATCH(COLUMNS($AO$1006:AZ1006),$AO$1006:$BQ$1006,0)), HYPERLINK("#",""), HYPERLINK(CONCATENATE("#Metadata!", ADDRESS(INDEX($AJ$2:$AJ$1001,MATCH(ROWS($AH$2:AH21),$AH$2:$AH$1001,0),0), INDEX($AO$1004:$BQ$1004,1,MATCH(COLUMNS($AO$1006:AZ1006),$AO$1006:$BQ$1006,0)))),"Fix")))</f>
        <v>#N/A</v>
      </c>
      <c r="N21" s="5" t="e">
        <f ca="1">IF(OR(INDEX($AI$2:$AI$1001,MATCH(ROWS($AH$2:AH21),$AH$2:$AH$1001,0),1)&gt;=100000,INDEX($AO$1005:$BQ$1005,1,MATCH(COLUMNS($AO$1006:BA1006),$AO$1006:$BQ$1006,0))&gt;=100000), " ",IF(INDEX($AO$2:$BQ$1001,MATCH(ROWS($AH$2:AH21),$AH$2:$AH$1001,0),MATCH(COLUMNS($AO$1006:BA1006),$AO$1006:$BQ$1006,0)), HYPERLINK("#",""), HYPERLINK(CONCATENATE("#Metadata!", ADDRESS(INDEX($AJ$2:$AJ$1001,MATCH(ROWS($AH$2:AH21),$AH$2:$AH$1001,0),0), INDEX($AO$1004:$BQ$1004,1,MATCH(COLUMNS($AO$1006:BA1006),$AO$1006:$BQ$1006,0)))),"Fix")))</f>
        <v>#N/A</v>
      </c>
      <c r="O21" s="5" t="e">
        <f ca="1">IF(OR(INDEX($AI$2:$AI$1001,MATCH(ROWS($AH$2:AH21),$AH$2:$AH$1001,0),1)&gt;=100000,INDEX($AO$1005:$BQ$1005,1,MATCH(COLUMNS($AO$1006:BB1006),$AO$1006:$BQ$1006,0))&gt;=100000), " ",IF(INDEX($AO$2:$BQ$1001,MATCH(ROWS($AH$2:AH21),$AH$2:$AH$1001,0),MATCH(COLUMNS($AO$1006:BB1006),$AO$1006:$BQ$1006,0)), HYPERLINK("#",""), HYPERLINK(CONCATENATE("#Metadata!", ADDRESS(INDEX($AJ$2:$AJ$1001,MATCH(ROWS($AH$2:AH21),$AH$2:$AH$1001,0),0), INDEX($AO$1004:$BQ$1004,1,MATCH(COLUMNS($AO$1006:BB1006),$AO$1006:$BQ$1006,0)))),"Fix")))</f>
        <v>#N/A</v>
      </c>
      <c r="P21" s="5" t="e">
        <f ca="1">IF(OR(INDEX($AI$2:$AI$1001,MATCH(ROWS($AH$2:AH21),$AH$2:$AH$1001,0),1)&gt;=100000,INDEX($AO$1005:$BQ$1005,1,MATCH(COLUMNS($AO$1006:BC1006),$AO$1006:$BQ$1006,0))&gt;=100000), " ",IF(INDEX($AO$2:$BQ$1001,MATCH(ROWS($AH$2:AH21),$AH$2:$AH$1001,0),MATCH(COLUMNS($AO$1006:BC1006),$AO$1006:$BQ$1006,0)), HYPERLINK("#",""), HYPERLINK(CONCATENATE("#Metadata!", ADDRESS(INDEX($AJ$2:$AJ$1001,MATCH(ROWS($AH$2:AH21),$AH$2:$AH$1001,0),0), INDEX($AO$1004:$BQ$1004,1,MATCH(COLUMNS($AO$1006:BC1006),$AO$1006:$BQ$1006,0)))),"Fix")))</f>
        <v>#N/A</v>
      </c>
      <c r="Q21" s="5" t="e">
        <f ca="1">IF(OR(INDEX($AI$2:$AI$1001,MATCH(ROWS($AH$2:AH21),$AH$2:$AH$1001,0),1)&gt;=100000,INDEX($AO$1005:$BQ$1005,1,MATCH(COLUMNS($AO$1006:BD1006),$AO$1006:$BQ$1006,0))&gt;=100000), " ",IF(INDEX($AO$2:$BQ$1001,MATCH(ROWS($AH$2:AH21),$AH$2:$AH$1001,0),MATCH(COLUMNS($AO$1006:BD1006),$AO$1006:$BQ$1006,0)), HYPERLINK("#",""), HYPERLINK(CONCATENATE("#Metadata!", ADDRESS(INDEX($AJ$2:$AJ$1001,MATCH(ROWS($AH$2:AH21),$AH$2:$AH$1001,0),0), INDEX($AO$1004:$BQ$1004,1,MATCH(COLUMNS($AO$1006:BD1006),$AO$1006:$BQ$1006,0)))),"Fix")))</f>
        <v>#N/A</v>
      </c>
      <c r="R21" s="5" t="e">
        <f ca="1">IF(OR(INDEX($AI$2:$AI$1001,MATCH(ROWS($AH$2:AH21),$AH$2:$AH$1001,0),1)&gt;=100000,INDEX($AO$1005:$BQ$1005,1,MATCH(COLUMNS($AO$1006:BE1006),$AO$1006:$BQ$1006,0))&gt;=100000), " ",IF(INDEX($AO$2:$BQ$1001,MATCH(ROWS($AH$2:AH21),$AH$2:$AH$1001,0),MATCH(COLUMNS($AO$1006:BE1006),$AO$1006:$BQ$1006,0)), HYPERLINK("#",""), HYPERLINK(CONCATENATE("#Metadata!", ADDRESS(INDEX($AJ$2:$AJ$1001,MATCH(ROWS($AH$2:AH21),$AH$2:$AH$1001,0),0), INDEX($AO$1004:$BQ$1004,1,MATCH(COLUMNS($AO$1006:BE1006),$AO$1006:$BQ$1006,0)))),"Fix")))</f>
        <v>#N/A</v>
      </c>
      <c r="S21" s="5" t="e">
        <f ca="1">IF(OR(INDEX($AI$2:$AI$1001,MATCH(ROWS($AH$2:AH21),$AH$2:$AH$1001,0),1)&gt;=100000,INDEX($AO$1005:$BQ$1005,1,MATCH(COLUMNS($AO$1006:BF1006),$AO$1006:$BQ$1006,0))&gt;=100000), " ",IF(INDEX($AO$2:$BQ$1001,MATCH(ROWS($AH$2:AH21),$AH$2:$AH$1001,0),MATCH(COLUMNS($AO$1006:BF1006),$AO$1006:$BQ$1006,0)), HYPERLINK("#",""), HYPERLINK(CONCATENATE("#Metadata!", ADDRESS(INDEX($AJ$2:$AJ$1001,MATCH(ROWS($AH$2:AH21),$AH$2:$AH$1001,0),0), INDEX($AO$1004:$BQ$1004,1,MATCH(COLUMNS($AO$1006:BF1006),$AO$1006:$BQ$1006,0)))),"Fix")))</f>
        <v>#N/A</v>
      </c>
      <c r="T21" s="5" t="e">
        <f ca="1">IF(OR(INDEX($AI$2:$AI$1001,MATCH(ROWS($AH$2:AH21),$AH$2:$AH$1001,0),1)&gt;=100000,INDEX($AO$1005:$BQ$1005,1,MATCH(COLUMNS($AO$1006:BG1006),$AO$1006:$BQ$1006,0))&gt;=100000), " ",IF(INDEX($AO$2:$BQ$1001,MATCH(ROWS($AH$2:AH21),$AH$2:$AH$1001,0),MATCH(COLUMNS($AO$1006:BG1006),$AO$1006:$BQ$1006,0)), HYPERLINK("#",""), HYPERLINK(CONCATENATE("#Metadata!", ADDRESS(INDEX($AJ$2:$AJ$1001,MATCH(ROWS($AH$2:AH21),$AH$2:$AH$1001,0),0), INDEX($AO$1004:$BQ$1004,1,MATCH(COLUMNS($AO$1006:BG1006),$AO$1006:$BQ$1006,0)))),"Fix")))</f>
        <v>#N/A</v>
      </c>
      <c r="U21" s="5" t="e">
        <f ca="1">IF(OR(INDEX($AI$2:$AI$1001,MATCH(ROWS($AH$2:AH21),$AH$2:$AH$1001,0),1)&gt;=100000,INDEX($AO$1005:$BQ$1005,1,MATCH(COLUMNS($AO$1006:BH1006),$AO$1006:$BQ$1006,0))&gt;=100000), " ",IF(INDEX($AO$2:$BQ$1001,MATCH(ROWS($AH$2:AH21),$AH$2:$AH$1001,0),MATCH(COLUMNS($AO$1006:BH1006),$AO$1006:$BQ$1006,0)), HYPERLINK("#",""), HYPERLINK(CONCATENATE("#Metadata!", ADDRESS(INDEX($AJ$2:$AJ$1001,MATCH(ROWS($AH$2:AH21),$AH$2:$AH$1001,0),0), INDEX($AO$1004:$BQ$1004,1,MATCH(COLUMNS($AO$1006:BH1006),$AO$1006:$BQ$1006,0)))),"Fix")))</f>
        <v>#N/A</v>
      </c>
      <c r="V21" s="5" t="e">
        <f ca="1">IF(OR(INDEX($AI$2:$AI$1001,MATCH(ROWS($AH$2:AH21),$AH$2:$AH$1001,0),1)&gt;=100000,INDEX($AO$1005:$BQ$1005,1,MATCH(COLUMNS($AO$1006:BI1006),$AO$1006:$BQ$1006,0))&gt;=100000), " ",IF(INDEX($AO$2:$BQ$1001,MATCH(ROWS($AH$2:AH21),$AH$2:$AH$1001,0),MATCH(COLUMNS($AO$1006:BI1006),$AO$1006:$BQ$1006,0)), HYPERLINK("#",""), HYPERLINK(CONCATENATE("#Metadata!", ADDRESS(INDEX($AJ$2:$AJ$1001,MATCH(ROWS($AH$2:AH21),$AH$2:$AH$1001,0),0), INDEX($AO$1004:$BQ$1004,1,MATCH(COLUMNS($AO$1006:BI1006),$AO$1006:$BQ$1006,0)))),"Fix")))</f>
        <v>#N/A</v>
      </c>
      <c r="W21" s="5" t="e">
        <f ca="1">IF(OR(INDEX($AI$2:$AI$1001,MATCH(ROWS($AH$2:AH21),$AH$2:$AH$1001,0),1)&gt;=100000,INDEX($AO$1005:$BQ$1005,1,MATCH(COLUMNS($AO$1006:BJ1006),$AO$1006:$BQ$1006,0))&gt;=100000), " ",IF(INDEX($AO$2:$BQ$1001,MATCH(ROWS($AH$2:AH21),$AH$2:$AH$1001,0),MATCH(COLUMNS($AO$1006:BJ1006),$AO$1006:$BQ$1006,0)), HYPERLINK("#",""), HYPERLINK(CONCATENATE("#Metadata!", ADDRESS(INDEX($AJ$2:$AJ$1001,MATCH(ROWS($AH$2:AH21),$AH$2:$AH$1001,0),0), INDEX($AO$1004:$BQ$1004,1,MATCH(COLUMNS($AO$1006:BJ1006),$AO$1006:$BQ$1006,0)))),"Fix")))</f>
        <v>#N/A</v>
      </c>
      <c r="X21" s="5" t="e">
        <f ca="1">IF(OR(INDEX($AI$2:$AI$1001,MATCH(ROWS($AH$2:AH21),$AH$2:$AH$1001,0),1)&gt;=100000,INDEX($AO$1005:$BQ$1005,1,MATCH(COLUMNS($AO$1006:BK1006),$AO$1006:$BQ$1006,0))&gt;=100000), " ",IF(INDEX($AO$2:$BQ$1001,MATCH(ROWS($AH$2:AH21),$AH$2:$AH$1001,0),MATCH(COLUMNS($AO$1006:BK1006),$AO$1006:$BQ$1006,0)), HYPERLINK("#",""), HYPERLINK(CONCATENATE("#Metadata!", ADDRESS(INDEX($AJ$2:$AJ$1001,MATCH(ROWS($AH$2:AH21),$AH$2:$AH$1001,0),0), INDEX($AO$1004:$BQ$1004,1,MATCH(COLUMNS($AO$1006:BK1006),$AO$1006:$BQ$1006,0)))),"Fix")))</f>
        <v>#N/A</v>
      </c>
      <c r="Y21" s="5" t="e">
        <f ca="1">IF(OR(INDEX($AI$2:$AI$1001,MATCH(ROWS($AH$2:AH21),$AH$2:$AH$1001,0),1)&gt;=100000,INDEX($AO$1005:$BQ$1005,1,MATCH(COLUMNS($AO$1006:BL1006),$AO$1006:$BQ$1006,0))&gt;=100000), " ",IF(INDEX($AO$2:$BQ$1001,MATCH(ROWS($AH$2:AH21),$AH$2:$AH$1001,0),MATCH(COLUMNS($AO$1006:BL1006),$AO$1006:$BQ$1006,0)), HYPERLINK("#",""), HYPERLINK(CONCATENATE("#Metadata!", ADDRESS(INDEX($AJ$2:$AJ$1001,MATCH(ROWS($AH$2:AH21),$AH$2:$AH$1001,0),0), INDEX($AO$1004:$BQ$1004,1,MATCH(COLUMNS($AO$1006:BL1006),$AO$1006:$BQ$1006,0)))),"Fix")))</f>
        <v>#N/A</v>
      </c>
      <c r="Z21" s="5" t="e">
        <f ca="1">IF(OR(INDEX($AI$2:$AI$1001,MATCH(ROWS($AH$2:AH21),$AH$2:$AH$1001,0),1)&gt;=100000,INDEX($AO$1005:$BQ$1005,1,MATCH(COLUMNS($AO$1006:BM1006),$AO$1006:$BQ$1006,0))&gt;=100000), " ",IF(INDEX($AO$2:$BQ$1001,MATCH(ROWS($AH$2:AH21),$AH$2:$AH$1001,0),MATCH(COLUMNS($AO$1006:BM1006),$AO$1006:$BQ$1006,0)), HYPERLINK("#",""), HYPERLINK(CONCATENATE("#Metadata!", ADDRESS(INDEX($AJ$2:$AJ$1001,MATCH(ROWS($AH$2:AH21),$AH$2:$AH$1001,0),0), INDEX($AO$1004:$BQ$1004,1,MATCH(COLUMNS($AO$1006:BM1006),$AO$1006:$BQ$1006,0)))),"Fix")))</f>
        <v>#N/A</v>
      </c>
      <c r="AA21" s="5" t="e">
        <f ca="1">IF(OR(INDEX($AI$2:$AI$1001,MATCH(ROWS($AH$2:AH21),$AH$2:$AH$1001,0),1)&gt;=100000,INDEX($AO$1005:$BQ$1005,1,MATCH(COLUMNS($AO$1006:BN1006),$AO$1006:$BQ$1006,0))&gt;=100000), " ",IF(INDEX($AO$2:$BQ$1001,MATCH(ROWS($AH$2:AH21),$AH$2:$AH$1001,0),MATCH(COLUMNS($AO$1006:BN1006),$AO$1006:$BQ$1006,0)), HYPERLINK("#",""), HYPERLINK(CONCATENATE("#Metadata!", ADDRESS(INDEX($AJ$2:$AJ$1001,MATCH(ROWS($AH$2:AH21),$AH$2:$AH$1001,0),0), INDEX($AO$1004:$BQ$1004,1,MATCH(COLUMNS($AO$1006:BN1006),$AO$1006:$BQ$1006,0)))),"Fix")))</f>
        <v>#N/A</v>
      </c>
      <c r="AB21" s="5" t="e">
        <f ca="1">IF(OR(INDEX($AI$2:$AI$1001,MATCH(ROWS($AH$2:AH21),$AH$2:$AH$1001,0),1)&gt;=100000,INDEX($AO$1005:$BQ$1005,1,MATCH(COLUMNS($AO$1006:BO1006),$AO$1006:$BQ$1006,0))&gt;=100000), " ",IF(INDEX($AO$2:$BQ$1001,MATCH(ROWS($AH$2:AH21),$AH$2:$AH$1001,0),MATCH(COLUMNS($AO$1006:BO1006),$AO$1006:$BQ$1006,0)), HYPERLINK("#",""), HYPERLINK(CONCATENATE("#Metadata!", ADDRESS(INDEX($AJ$2:$AJ$1001,MATCH(ROWS($AH$2:AH21),$AH$2:$AH$1001,0),0), INDEX($AO$1004:$BQ$1004,1,MATCH(COLUMNS($AO$1006:BO1006),$AO$1006:$BQ$1006,0)))),"Fix")))</f>
        <v>#N/A</v>
      </c>
      <c r="AC21" s="5" t="e">
        <f ca="1">IF(OR(INDEX($AI$2:$AI$1001,MATCH(ROWS($AH$2:AH21),$AH$2:$AH$1001,0),1)&gt;=100000,INDEX($AO$1005:$BQ$1005,1,MATCH(COLUMNS($AO$1006:BP1006),$AO$1006:$BQ$1006,0))&gt;=100000), " ",IF(INDEX($AO$2:$BQ$1001,MATCH(ROWS($AH$2:AH21),$AH$2:$AH$1001,0),MATCH(COLUMNS($AO$1006:BP1006),$AO$1006:$BQ$1006,0)), HYPERLINK("#",""), HYPERLINK(CONCATENATE("#Metadata!", ADDRESS(INDEX($AJ$2:$AJ$1001,MATCH(ROWS($AH$2:AH21),$AH$2:$AH$1001,0),0), INDEX($AO$1004:$BQ$1004,1,MATCH(COLUMNS($AO$1006:BP1006),$AO$1006:$BQ$1006,0)))),"Fix")))</f>
        <v>#N/A</v>
      </c>
      <c r="AD21" s="5" t="e">
        <f ca="1">IF(OR(INDEX($AI$2:$AI$1001,MATCH(ROWS($AH$2:AH21),$AH$2:$AH$1001,0),1)&gt;=100000,INDEX($AO$1005:$BQ$1005,1,MATCH(COLUMNS($AO$1006:BQ1006),$AO$1006:$BQ$1006,0))&gt;=100000), " ",IF(INDEX($AO$2:$BQ$1001,MATCH(ROWS($AH$2:AH21),$AH$2:$AH$1001,0),MATCH(COLUMNS($AO$1006:BQ1006),$AO$1006:$BQ$1006,0)), HYPERLINK("#",""), HYPERLINK(CONCATENATE("#Metadata!", ADDRESS(INDEX($AJ$2:$AJ$1001,MATCH(ROWS($AH$2:AH21),$AH$2:$AH$1001,0),0), INDEX($AO$1004:$BQ$1004,1,MATCH(COLUMNS($AO$1006:BQ1006),$AO$1006:$BQ$1006,0)))),"Fix")))</f>
        <v>#REF!</v>
      </c>
      <c r="AH21">
        <f ca="1"/>
        <v>19</v>
      </c>
      <c r="AI21">
        <f ca="1"/>
        <v>21</v>
      </c>
      <c r="AJ21">
        <v>21</v>
      </c>
      <c r="AK21" t="b">
        <f t="shared" ca="1" si="0"/>
        <v>0</v>
      </c>
      <c r="AL21" t="b">
        <f>COUNTBLANK(Metadata!B21:AD21)=COLUMNS(Metadata!B21:AD21)</f>
        <v>0</v>
      </c>
      <c r="AM21" t="str">
        <v>Environment.Aquatic.Sediment.3.BTP.217Sediment</v>
      </c>
      <c r="AO21" t="b">
        <f ca="1">AND(IF(Metadata!B20="",FALSE,TRUE),COUNTIF(Metadata!B:B, Metadata!B20) = 1,NOT(ISERROR(SUMPRODUCT(SEARCH(MID(Metadata!B20,ROW(INDIRECT("1:"&amp;LEN(Metadata!B20))), 1),"0123456789abcdefghijklmnopqrstuvwxyzABCDEFGHIJKLMNOPQRSTUVWXYZ.")))))</f>
        <v>1</v>
      </c>
      <c r="AP21" t="b">
        <f>IF(Metadata!C20="",FALSE,TRUE)</f>
        <v>1</v>
      </c>
      <c r="AQ21" t="b">
        <f>IF(Metadata!D20="",FALSE,TRUE)</f>
        <v>1</v>
      </c>
      <c r="AR21" t="b">
        <f ca="1">OR(AND(IF(Metadata!E20="",FALSE,TRUE),OR(EXACT(Metadata!E20,"not collected"),EXACT(Metadata!E20,"not provided"),EXACT(Metadata!E20,"restricted access"))),AND(IF(Metadata!E20="",FALSE,TRUE),AND(AND(IFERROR(INT(LEFT(Metadata!E20,4))&gt;1900,FALSE),IFERROR(INT(LEFT(Metadata!E20,4))&lt;=YEAR(NOW()),FALSE)), OR(MID(Metadata!E20,5,1)="", AND(AND(MID(Metadata!E20,5,1)="-",IFERROR(INT(MID(Metadata!E20,6,1))&gt;=0,FALSE),IFERROR(INT(MID(Metadata!E20,6,1))&lt;=1,FALSE),NOT(MID(Metadata!E20,7,1)=""),IFERROR(INT(MID(Metadata!E20,6,2))&gt;=1,FALSE),IFERROR(INT(MID(Metadata!E20,6,2))&lt;=12,FALSE)), OR(MID(Metadata!E20,8,1)="", AND(AND(MID(Metadata!E20,8,1)="-",IFERROR(INT(MID(Metadata!E20,9,1))&gt;=0,FALSE),IFERROR(INT(MID(Metadata!E20,9,1))&lt;=3,FALSE),NOT(MID(Metadata!E20,10,1)=""),IFERROR(INT(MID(Metadata!E20,9,2))&gt;=1,FALSE),IFERROR(INT(MID(Metadata!E20,9,2))&lt;=31,FALSE)), OR(MID(Metadata!E20,11,1)="", AND(AND(MID(Metadata!E20,11,1)=" ",IFERROR(INT(MID(Metadata!E20,12,1))&gt;=0,FALSE),IFERROR(INT(MID(Metadata!E20,12,1))&lt;=2,FALSE),NOT(MID(Metadata!E20,13,1)=""),IFERROR(INT(MID(Metadata!E20,12,2))&gt;=0,FALSE),IFERROR(INT(MID(Metadata!E20,12,2))&lt;=23,FALSE)), OR(MID(Metadata!E20,14,1)="", AND(AND(MID(Metadata!E20,14,1)=":",IFERROR(INT(MID(Metadata!E20,15,1))&gt;=0,FALSE),IFERROR(INT(MID(Metadata!E20,15,1))&lt;=5,FALSE),NOT(MID(Metadata!E20,16,1)=""),IFERROR(INT(MID(Metadata!E20,15,2))&gt;=0,FALSE),IFERROR(INT(MID(Metadata!E20,15,2))&lt;=59,FALSE)), OR(MID(Metadata!E20,17,1)="", AND(AND(MID(Metadata!E20,17,1)=":",IFERROR(INT(MID(Metadata!E20,18,1))&gt;=0,FALSE),IFERROR(INT(MID(Metadata!E20,18,1))&lt;=5,FALSE),NOT(MID(Metadata!E20,19,1)=""),IFERROR(INT(MID(Metadata!E20,18,2))&gt;=0,FALSE),IFERROR(INT(MID(Metadata!E20,18,2))&lt;=59,FALSE)), LEN(Metadata!E20)&lt;=19)))))))))))))</f>
        <v>0</v>
      </c>
      <c r="AS21" t="b">
        <f>IF(Metadata!F20="",FALSE,TRUE)</f>
        <v>1</v>
      </c>
      <c r="AT21" t="b">
        <f>OR(AND(IF(Metadata!G20="",FALSE,TRUE),OR(EXACT(Metadata!G20,"not collected"),EXACT(Metadata!G20,"not provided"))),AND(IF(Metadata!G20="",FALSE,TRUE),OR(EXACT(Metadata!G20,"TRUE"),EXACT(Metadata!G20,"FALSE"))))</f>
        <v>1</v>
      </c>
      <c r="AU21" t="b">
        <f>OR(AND(IF(Metadata!H20="",FALSE,TRUE),OR(EXACT(Metadata!H20,"not collected"),EXACT(Metadata!H20,"not provided"),EXACT(Metadata!H20,"restricted access"))),AND(IF(Metadata!H20="",FALSE,ISNUMBER(VALUE(Metadata!H20))),Metadata!H20&gt;=-413))</f>
        <v>0</v>
      </c>
      <c r="AV21" t="b">
        <f>AND(IF(Metadata!I20="",FALSE,TRUE),EXACT(Metadata!I20,"meters"))</f>
        <v>1</v>
      </c>
      <c r="AW21" t="b">
        <f>AND(IF(Metadata!J20="",FALSE,TRUE),EXACT(Metadata!J20,"free-living"))</f>
        <v>1</v>
      </c>
      <c r="AX21" t="b">
        <f>AND(IF(Metadata!K20="",FALSE,TRUE),OR(EXACT(Metadata!K20,"saline"),EXACT(Metadata!K20,"non-saline")))</f>
        <v>1</v>
      </c>
      <c r="AY21" t="b">
        <f>AND(IF(Metadata!L20="",FALSE,TRUE),OR(EXACT(Metadata!L20,"sub-surface (non-saline)"),EXACT(Metadata!L20,"surface (non-saline)"),EXACT(Metadata!L20,"water (non-saline)"),EXACT(Metadata!L20,"soil (non-saline)"),EXACT(Metadata!L20,"aerosol (non-saline)"),EXACT(Metadata!L20,"sediment (non-saline)"),EXACT(Metadata!L20,"surface (saline)"),EXACT(Metadata!L20,"water (saline)"),EXACT(Metadata!L20,"hypersaline (saline)"),EXACT(Metadata!L20,"aerosol (saline)"),EXACT(Metadata!L20,"sediment (saline)")))</f>
        <v>1</v>
      </c>
      <c r="AZ21" t="b">
        <f>IF(Metadata!M20="",FALSE,TRUE)</f>
        <v>1</v>
      </c>
      <c r="BA21" t="b">
        <f>IF(Metadata!N20="",FALSE,TRUE)</f>
        <v>1</v>
      </c>
      <c r="BB21" t="b">
        <f>IF(Metadata!O20="",FALSE,TRUE)</f>
        <v>1</v>
      </c>
      <c r="BC21" t="b">
        <f>AND(IF(Metadata!P20="",FALSE,TRUE),OR(EXACT(Metadata!P20,"air"),EXACT(Metadata!P20,"microbial mat/biofilm"),EXACT(Metadata!P20,"misc environment"),EXACT(Metadata!P20,"sediment"),EXACT(Metadata!P20,"soil"),EXACT(Metadata!P20,"wastewater/sludge"),EXACT(Metadata!P20,"water")))</f>
        <v>1</v>
      </c>
      <c r="BD21" t="b">
        <f>IF(Metadata!Q20="",FALSE,TRUE)</f>
        <v>1</v>
      </c>
      <c r="BE21" t="b">
        <f>IF(Metadata!R20="",FALSE,TRUE)</f>
        <v>1</v>
      </c>
      <c r="BF21" t="b">
        <f>OR(AND(IF(Metadata!S20="",FALSE,TRUE),OR(EXACT(Metadata!S20,"not collected"),EXACT(Metadata!S20,"not provided"),EXACT(Metadata!S20,"restricted access"))),AND(IF(Metadata!S20="",FALSE,ISNUMBER(VALUE(Metadata!S20))),Metadata!S20&gt;=-90,Metadata!S20&lt;=90))</f>
        <v>0</v>
      </c>
      <c r="BG21" t="b">
        <f>AND(IF(Metadata!T20="",FALSE,TRUE),EXACT(Metadata!T20,"Decimal degrees"))</f>
        <v>1</v>
      </c>
      <c r="BH21" t="b">
        <f>OR(AND(IF(Metadata!U21="",FALSE,TRUE),OR(EXACT(Metadata!U21,"not applicable"),EXACT(Metadata!U21,"not collected"))),IF(Metadata!U21="",FALSE,TRUE))</f>
        <v>1</v>
      </c>
      <c r="BI21" t="b">
        <f>OR(AND(IF(Metadata!V20="",FALSE,TRUE),OR(EXACT(Metadata!V20,"not collected"),EXACT(Metadata!V20,"not provided"),EXACT(Metadata!V20,"restricted access"))),AND(IF(Metadata!V20="",FALSE,ISNUMBER(VALUE(Metadata!V20))),Metadata!V20&gt;=-180,Metadata!V20&lt;=180))</f>
        <v>0</v>
      </c>
      <c r="BJ21" t="b">
        <f>AND(IF(Metadata!W20="",FALSE,TRUE),EXACT(Metadata!W20,"Decimal degrees"))</f>
        <v>1</v>
      </c>
      <c r="BK21" t="b">
        <f>IF(Metadata!X20="",FALSE,TRUE)</f>
        <v>1</v>
      </c>
      <c r="BL21" t="b">
        <f>OR(AND(IF(Metadata!Y20="",FALSE,TRUE),OR(EXACT(Metadata!Y20,"not collected"),EXACT(Metadata!Y20,"not provided"),EXACT(Metadata!Y20,"restricted access"))),AND(IF(Metadata!Y20="",FALSE,TRUE),OR(EXACT(Metadata!Y20,"TRUE"),EXACT(Metadata!Y20,"FALSE"))))</f>
        <v>1</v>
      </c>
      <c r="BM21" t="b">
        <f>OR(AND(IF(Metadata!Z20="",FALSE,TRUE),EXACT(Metadata!Z20,"not applicable")),AND(IF(Metadata!Z20="",FALSE,TRUE),OR(EXACT(Metadata!Z20,"beer"),EXACT(Metadata!Z20,"cheese"),EXACT(Metadata!Z20,"fresh water"),EXACT(Metadata!Z20,"marine sediment"),EXACT(Metadata!Z20,"sea water"),EXACT(Metadata!Z20,"sediment"),EXACT(Metadata!Z20,"soil"),EXACT(Metadata!Z20,"waste water"))))</f>
        <v>1</v>
      </c>
      <c r="BN21" t="b">
        <f>AND(IF(Metadata!AA20="",FALSE,TRUE),EXACT(Metadata!AA20,"metagenome"))</f>
        <v>1</v>
      </c>
      <c r="BO21" t="b">
        <f>AND(IF(Metadata!AB20="",FALSE,TRUE),EXACT(Metadata!AB20,"256318"))</f>
        <v>1</v>
      </c>
      <c r="BP21" t="b">
        <f>IF(Metadata!AC20="",FALSE,TRUE)</f>
        <v>1</v>
      </c>
      <c r="BQ21" t="b">
        <f>IF(Metadata!AD20="",FALSE,TRUE)</f>
        <v>1</v>
      </c>
    </row>
    <row r="22" spans="1:69" x14ac:dyDescent="0.2">
      <c r="A22" s="4" t="e">
        <f ca="1">IF(B22=" "," ",HYPERLINK(CONCATENATE("#metadata!",ADDRESS(INDEX($AJ$2:$AJ$1001,MATCH(ROWS($AH$2:AH22),$AH$2:$AH$1001,0),0),2)),INDEX($AM$2:$AM$1001,MATCH(ROWS($AH$2:AH22),$AH$2:$AH$1001,0),0)))</f>
        <v>#N/A</v>
      </c>
      <c r="B22" s="5" t="e">
        <f ca="1">IF(OR(INDEX($AI$2:$AI$1001,MATCH(ROWS($AH$2:AH22),$AH$2:$AH$1001,0),1)&gt;=100000,INDEX($AO$1005:$BQ$1005,1,MATCH(COLUMNS($AO$1006:AO1006),$AO$1006:$BQ$1006,0))&gt;=100000), " ",IF(INDEX($AO$2:$BQ$1001,MATCH(ROWS($AH$2:AH22),$AH$2:$AH$1001,0),MATCH(COLUMNS($AO$1006:AO1006),$AO$1006:$BQ$1006,0)), HYPERLINK("#",""), HYPERLINK(CONCATENATE("#Metadata!", ADDRESS(INDEX($AJ$2:$AJ$1001,MATCH(ROWS($AH$2:AH22),$AH$2:$AH$1001,0),0), INDEX($AO$1004:$BQ$1004,1,MATCH(COLUMNS($AO$1006:AO1006),$AO$1006:$BQ$1006,0)))),"Fix")))</f>
        <v>#N/A</v>
      </c>
      <c r="C22" s="5" t="e">
        <f ca="1">IF(OR(INDEX($AI$2:$AI$1001,MATCH(ROWS($AH$2:AH22),$AH$2:$AH$1001,0),1)&gt;=100000,INDEX($AO$1005:$BQ$1005,1,MATCH(COLUMNS($AO$1006:AP1006),$AO$1006:$BQ$1006,0))&gt;=100000), " ",IF(INDEX($AO$2:$BQ$1001,MATCH(ROWS($AH$2:AH22),$AH$2:$AH$1001,0),MATCH(COLUMNS($AO$1006:AP1006),$AO$1006:$BQ$1006,0)), HYPERLINK("#",""), HYPERLINK(CONCATENATE("#Metadata!", ADDRESS(INDEX($AJ$2:$AJ$1001,MATCH(ROWS($AH$2:AH22),$AH$2:$AH$1001,0),0), INDEX($AO$1004:$BQ$1004,1,MATCH(COLUMNS($AO$1006:AP1006),$AO$1006:$BQ$1006,0)))),"Fix")))</f>
        <v>#N/A</v>
      </c>
      <c r="D22" s="5" t="e">
        <f ca="1">IF(OR(INDEX($AI$2:$AI$1001,MATCH(ROWS($AH$2:AH22),$AH$2:$AH$1001,0),1)&gt;=100000,INDEX($AO$1005:$BQ$1005,1,MATCH(COLUMNS($AO$1006:AQ1006),$AO$1006:$BQ$1006,0))&gt;=100000), " ",IF(INDEX($AO$2:$BQ$1001,MATCH(ROWS($AH$2:AH22),$AH$2:$AH$1001,0),MATCH(COLUMNS($AO$1006:AQ1006),$AO$1006:$BQ$1006,0)), HYPERLINK("#",""), HYPERLINK(CONCATENATE("#Metadata!", ADDRESS(INDEX($AJ$2:$AJ$1001,MATCH(ROWS($AH$2:AH22),$AH$2:$AH$1001,0),0), INDEX($AO$1004:$BQ$1004,1,MATCH(COLUMNS($AO$1006:AQ1006),$AO$1006:$BQ$1006,0)))),"Fix")))</f>
        <v>#N/A</v>
      </c>
      <c r="E22" s="5" t="e">
        <f ca="1">IF(OR(INDEX($AI$2:$AI$1001,MATCH(ROWS($AH$2:AH22),$AH$2:$AH$1001,0),1)&gt;=100000,INDEX($AO$1005:$BQ$1005,1,MATCH(COLUMNS($AO$1006:AR1006),$AO$1006:$BQ$1006,0))&gt;=100000), " ",IF(INDEX($AO$2:$BQ$1001,MATCH(ROWS($AH$2:AH22),$AH$2:$AH$1001,0),MATCH(COLUMNS($AO$1006:AR1006),$AO$1006:$BQ$1006,0)), HYPERLINK("#",""), HYPERLINK(CONCATENATE("#Metadata!", ADDRESS(INDEX($AJ$2:$AJ$1001,MATCH(ROWS($AH$2:AH22),$AH$2:$AH$1001,0),0), INDEX($AO$1004:$BQ$1004,1,MATCH(COLUMNS($AO$1006:AR1006),$AO$1006:$BQ$1006,0)))),"Fix")))</f>
        <v>#N/A</v>
      </c>
      <c r="F22" s="5" t="e">
        <f ca="1">IF(OR(INDEX($AI$2:$AI$1001,MATCH(ROWS($AH$2:AH22),$AH$2:$AH$1001,0),1)&gt;=100000,INDEX($AO$1005:$BQ$1005,1,MATCH(COLUMNS($AO$1006:AS1006),$AO$1006:$BQ$1006,0))&gt;=100000), " ",IF(INDEX($AO$2:$BQ$1001,MATCH(ROWS($AH$2:AH22),$AH$2:$AH$1001,0),MATCH(COLUMNS($AO$1006:AS1006),$AO$1006:$BQ$1006,0)), HYPERLINK("#",""), HYPERLINK(CONCATENATE("#Metadata!", ADDRESS(INDEX($AJ$2:$AJ$1001,MATCH(ROWS($AH$2:AH22),$AH$2:$AH$1001,0),0), INDEX($AO$1004:$BQ$1004,1,MATCH(COLUMNS($AO$1006:AS1006),$AO$1006:$BQ$1006,0)))),"Fix")))</f>
        <v>#N/A</v>
      </c>
      <c r="G22" s="5" t="e">
        <f ca="1">IF(OR(INDEX($AI$2:$AI$1001,MATCH(ROWS($AH$2:AH22),$AH$2:$AH$1001,0),1)&gt;=100000,INDEX($AO$1005:$BQ$1005,1,MATCH(COLUMNS($AO$1006:AT1006),$AO$1006:$BQ$1006,0))&gt;=100000), " ",IF(INDEX($AO$2:$BQ$1001,MATCH(ROWS($AH$2:AH22),$AH$2:$AH$1001,0),MATCH(COLUMNS($AO$1006:AT1006),$AO$1006:$BQ$1006,0)), HYPERLINK("#",""), HYPERLINK(CONCATENATE("#Metadata!", ADDRESS(INDEX($AJ$2:$AJ$1001,MATCH(ROWS($AH$2:AH22),$AH$2:$AH$1001,0),0), INDEX($AO$1004:$BQ$1004,1,MATCH(COLUMNS($AO$1006:AT1006),$AO$1006:$BQ$1006,0)))),"Fix")))</f>
        <v>#N/A</v>
      </c>
      <c r="H22" s="5" t="e">
        <f ca="1">IF(OR(INDEX($AI$2:$AI$1001,MATCH(ROWS($AH$2:AH22),$AH$2:$AH$1001,0),1)&gt;=100000,INDEX($AO$1005:$BQ$1005,1,MATCH(COLUMNS($AO$1006:AU1006),$AO$1006:$BQ$1006,0))&gt;=100000), " ",IF(INDEX($AO$2:$BQ$1001,MATCH(ROWS($AH$2:AH22),$AH$2:$AH$1001,0),MATCH(COLUMNS($AO$1006:AU1006),$AO$1006:$BQ$1006,0)), HYPERLINK("#",""), HYPERLINK(CONCATENATE("#Metadata!", ADDRESS(INDEX($AJ$2:$AJ$1001,MATCH(ROWS($AH$2:AH22),$AH$2:$AH$1001,0),0), INDEX($AO$1004:$BQ$1004,1,MATCH(COLUMNS($AO$1006:AU1006),$AO$1006:$BQ$1006,0)))),"Fix")))</f>
        <v>#N/A</v>
      </c>
      <c r="I22" s="5" t="e">
        <f ca="1">IF(OR(INDEX($AI$2:$AI$1001,MATCH(ROWS($AH$2:AH22),$AH$2:$AH$1001,0),1)&gt;=100000,INDEX($AO$1005:$BQ$1005,1,MATCH(COLUMNS($AO$1006:AV1006),$AO$1006:$BQ$1006,0))&gt;=100000), " ",IF(INDEX($AO$2:$BQ$1001,MATCH(ROWS($AH$2:AH22),$AH$2:$AH$1001,0),MATCH(COLUMNS($AO$1006:AV1006),$AO$1006:$BQ$1006,0)), HYPERLINK("#",""), HYPERLINK(CONCATENATE("#Metadata!", ADDRESS(INDEX($AJ$2:$AJ$1001,MATCH(ROWS($AH$2:AH22),$AH$2:$AH$1001,0),0), INDEX($AO$1004:$BQ$1004,1,MATCH(COLUMNS($AO$1006:AV1006),$AO$1006:$BQ$1006,0)))),"Fix")))</f>
        <v>#N/A</v>
      </c>
      <c r="J22" s="5" t="e">
        <f ca="1">IF(OR(INDEX($AI$2:$AI$1001,MATCH(ROWS($AH$2:AH22),$AH$2:$AH$1001,0),1)&gt;=100000,INDEX($AO$1005:$BQ$1005,1,MATCH(COLUMNS($AO$1006:AW1006),$AO$1006:$BQ$1006,0))&gt;=100000), " ",IF(INDEX($AO$2:$BQ$1001,MATCH(ROWS($AH$2:AH22),$AH$2:$AH$1001,0),MATCH(COLUMNS($AO$1006:AW1006),$AO$1006:$BQ$1006,0)), HYPERLINK("#",""), HYPERLINK(CONCATENATE("#Metadata!", ADDRESS(INDEX($AJ$2:$AJ$1001,MATCH(ROWS($AH$2:AH22),$AH$2:$AH$1001,0),0), INDEX($AO$1004:$BQ$1004,1,MATCH(COLUMNS($AO$1006:AW1006),$AO$1006:$BQ$1006,0)))),"Fix")))</f>
        <v>#N/A</v>
      </c>
      <c r="K22" s="5" t="e">
        <f ca="1">IF(OR(INDEX($AI$2:$AI$1001,MATCH(ROWS($AH$2:AH22),$AH$2:$AH$1001,0),1)&gt;=100000,INDEX($AO$1005:$BQ$1005,1,MATCH(COLUMNS($AO$1006:AX1006),$AO$1006:$BQ$1006,0))&gt;=100000), " ",IF(INDEX($AO$2:$BQ$1001,MATCH(ROWS($AH$2:AH22),$AH$2:$AH$1001,0),MATCH(COLUMNS($AO$1006:AX1006),$AO$1006:$BQ$1006,0)), HYPERLINK("#",""), HYPERLINK(CONCATENATE("#Metadata!", ADDRESS(INDEX($AJ$2:$AJ$1001,MATCH(ROWS($AH$2:AH22),$AH$2:$AH$1001,0),0), INDEX($AO$1004:$BQ$1004,1,MATCH(COLUMNS($AO$1006:AX1006),$AO$1006:$BQ$1006,0)))),"Fix")))</f>
        <v>#N/A</v>
      </c>
      <c r="L22" s="5" t="e">
        <f ca="1">IF(OR(INDEX($AI$2:$AI$1001,MATCH(ROWS($AH$2:AH22),$AH$2:$AH$1001,0),1)&gt;=100000,INDEX($AO$1005:$BQ$1005,1,MATCH(COLUMNS($AO$1006:AY1006),$AO$1006:$BQ$1006,0))&gt;=100000), " ",IF(INDEX($AO$2:$BQ$1001,MATCH(ROWS($AH$2:AH22),$AH$2:$AH$1001,0),MATCH(COLUMNS($AO$1006:AY1006),$AO$1006:$BQ$1006,0)), HYPERLINK("#",""), HYPERLINK(CONCATENATE("#Metadata!", ADDRESS(INDEX($AJ$2:$AJ$1001,MATCH(ROWS($AH$2:AH22),$AH$2:$AH$1001,0),0), INDEX($AO$1004:$BQ$1004,1,MATCH(COLUMNS($AO$1006:AY1006),$AO$1006:$BQ$1006,0)))),"Fix")))</f>
        <v>#N/A</v>
      </c>
      <c r="M22" s="5" t="e">
        <f ca="1">IF(OR(INDEX($AI$2:$AI$1001,MATCH(ROWS($AH$2:AH22),$AH$2:$AH$1001,0),1)&gt;=100000,INDEX($AO$1005:$BQ$1005,1,MATCH(COLUMNS($AO$1006:AZ1006),$AO$1006:$BQ$1006,0))&gt;=100000), " ",IF(INDEX($AO$2:$BQ$1001,MATCH(ROWS($AH$2:AH22),$AH$2:$AH$1001,0),MATCH(COLUMNS($AO$1006:AZ1006),$AO$1006:$BQ$1006,0)), HYPERLINK("#",""), HYPERLINK(CONCATENATE("#Metadata!", ADDRESS(INDEX($AJ$2:$AJ$1001,MATCH(ROWS($AH$2:AH22),$AH$2:$AH$1001,0),0), INDEX($AO$1004:$BQ$1004,1,MATCH(COLUMNS($AO$1006:AZ1006),$AO$1006:$BQ$1006,0)))),"Fix")))</f>
        <v>#N/A</v>
      </c>
      <c r="N22" s="5" t="e">
        <f ca="1">IF(OR(INDEX($AI$2:$AI$1001,MATCH(ROWS($AH$2:AH22),$AH$2:$AH$1001,0),1)&gt;=100000,INDEX($AO$1005:$BQ$1005,1,MATCH(COLUMNS($AO$1006:BA1006),$AO$1006:$BQ$1006,0))&gt;=100000), " ",IF(INDEX($AO$2:$BQ$1001,MATCH(ROWS($AH$2:AH22),$AH$2:$AH$1001,0),MATCH(COLUMNS($AO$1006:BA1006),$AO$1006:$BQ$1006,0)), HYPERLINK("#",""), HYPERLINK(CONCATENATE("#Metadata!", ADDRESS(INDEX($AJ$2:$AJ$1001,MATCH(ROWS($AH$2:AH22),$AH$2:$AH$1001,0),0), INDEX($AO$1004:$BQ$1004,1,MATCH(COLUMNS($AO$1006:BA1006),$AO$1006:$BQ$1006,0)))),"Fix")))</f>
        <v>#N/A</v>
      </c>
      <c r="O22" s="5" t="e">
        <f ca="1">IF(OR(INDEX($AI$2:$AI$1001,MATCH(ROWS($AH$2:AH22),$AH$2:$AH$1001,0),1)&gt;=100000,INDEX($AO$1005:$BQ$1005,1,MATCH(COLUMNS($AO$1006:BB1006),$AO$1006:$BQ$1006,0))&gt;=100000), " ",IF(INDEX($AO$2:$BQ$1001,MATCH(ROWS($AH$2:AH22),$AH$2:$AH$1001,0),MATCH(COLUMNS($AO$1006:BB1006),$AO$1006:$BQ$1006,0)), HYPERLINK("#",""), HYPERLINK(CONCATENATE("#Metadata!", ADDRESS(INDEX($AJ$2:$AJ$1001,MATCH(ROWS($AH$2:AH22),$AH$2:$AH$1001,0),0), INDEX($AO$1004:$BQ$1004,1,MATCH(COLUMNS($AO$1006:BB1006),$AO$1006:$BQ$1006,0)))),"Fix")))</f>
        <v>#N/A</v>
      </c>
      <c r="P22" s="5" t="e">
        <f ca="1">IF(OR(INDEX($AI$2:$AI$1001,MATCH(ROWS($AH$2:AH22),$AH$2:$AH$1001,0),1)&gt;=100000,INDEX($AO$1005:$BQ$1005,1,MATCH(COLUMNS($AO$1006:BC1006),$AO$1006:$BQ$1006,0))&gt;=100000), " ",IF(INDEX($AO$2:$BQ$1001,MATCH(ROWS($AH$2:AH22),$AH$2:$AH$1001,0),MATCH(COLUMNS($AO$1006:BC1006),$AO$1006:$BQ$1006,0)), HYPERLINK("#",""), HYPERLINK(CONCATENATE("#Metadata!", ADDRESS(INDEX($AJ$2:$AJ$1001,MATCH(ROWS($AH$2:AH22),$AH$2:$AH$1001,0),0), INDEX($AO$1004:$BQ$1004,1,MATCH(COLUMNS($AO$1006:BC1006),$AO$1006:$BQ$1006,0)))),"Fix")))</f>
        <v>#N/A</v>
      </c>
      <c r="Q22" s="5" t="e">
        <f ca="1">IF(OR(INDEX($AI$2:$AI$1001,MATCH(ROWS($AH$2:AH22),$AH$2:$AH$1001,0),1)&gt;=100000,INDEX($AO$1005:$BQ$1005,1,MATCH(COLUMNS($AO$1006:BD1006),$AO$1006:$BQ$1006,0))&gt;=100000), " ",IF(INDEX($AO$2:$BQ$1001,MATCH(ROWS($AH$2:AH22),$AH$2:$AH$1001,0),MATCH(COLUMNS($AO$1006:BD1006),$AO$1006:$BQ$1006,0)), HYPERLINK("#",""), HYPERLINK(CONCATENATE("#Metadata!", ADDRESS(INDEX($AJ$2:$AJ$1001,MATCH(ROWS($AH$2:AH22),$AH$2:$AH$1001,0),0), INDEX($AO$1004:$BQ$1004,1,MATCH(COLUMNS($AO$1006:BD1006),$AO$1006:$BQ$1006,0)))),"Fix")))</f>
        <v>#N/A</v>
      </c>
      <c r="R22" s="5" t="e">
        <f ca="1">IF(OR(INDEX($AI$2:$AI$1001,MATCH(ROWS($AH$2:AH22),$AH$2:$AH$1001,0),1)&gt;=100000,INDEX($AO$1005:$BQ$1005,1,MATCH(COLUMNS($AO$1006:BE1006),$AO$1006:$BQ$1006,0))&gt;=100000), " ",IF(INDEX($AO$2:$BQ$1001,MATCH(ROWS($AH$2:AH22),$AH$2:$AH$1001,0),MATCH(COLUMNS($AO$1006:BE1006),$AO$1006:$BQ$1006,0)), HYPERLINK("#",""), HYPERLINK(CONCATENATE("#Metadata!", ADDRESS(INDEX($AJ$2:$AJ$1001,MATCH(ROWS($AH$2:AH22),$AH$2:$AH$1001,0),0), INDEX($AO$1004:$BQ$1004,1,MATCH(COLUMNS($AO$1006:BE1006),$AO$1006:$BQ$1006,0)))),"Fix")))</f>
        <v>#N/A</v>
      </c>
      <c r="S22" s="5" t="e">
        <f ca="1">IF(OR(INDEX($AI$2:$AI$1001,MATCH(ROWS($AH$2:AH22),$AH$2:$AH$1001,0),1)&gt;=100000,INDEX($AO$1005:$BQ$1005,1,MATCH(COLUMNS($AO$1006:BF1006),$AO$1006:$BQ$1006,0))&gt;=100000), " ",IF(INDEX($AO$2:$BQ$1001,MATCH(ROWS($AH$2:AH22),$AH$2:$AH$1001,0),MATCH(COLUMNS($AO$1006:BF1006),$AO$1006:$BQ$1006,0)), HYPERLINK("#",""), HYPERLINK(CONCATENATE("#Metadata!", ADDRESS(INDEX($AJ$2:$AJ$1001,MATCH(ROWS($AH$2:AH22),$AH$2:$AH$1001,0),0), INDEX($AO$1004:$BQ$1004,1,MATCH(COLUMNS($AO$1006:BF1006),$AO$1006:$BQ$1006,0)))),"Fix")))</f>
        <v>#N/A</v>
      </c>
      <c r="T22" s="5" t="e">
        <f ca="1">IF(OR(INDEX($AI$2:$AI$1001,MATCH(ROWS($AH$2:AH22),$AH$2:$AH$1001,0),1)&gt;=100000,INDEX($AO$1005:$BQ$1005,1,MATCH(COLUMNS($AO$1006:BG1006),$AO$1006:$BQ$1006,0))&gt;=100000), " ",IF(INDEX($AO$2:$BQ$1001,MATCH(ROWS($AH$2:AH22),$AH$2:$AH$1001,0),MATCH(COLUMNS($AO$1006:BG1006),$AO$1006:$BQ$1006,0)), HYPERLINK("#",""), HYPERLINK(CONCATENATE("#Metadata!", ADDRESS(INDEX($AJ$2:$AJ$1001,MATCH(ROWS($AH$2:AH22),$AH$2:$AH$1001,0),0), INDEX($AO$1004:$BQ$1004,1,MATCH(COLUMNS($AO$1006:BG1006),$AO$1006:$BQ$1006,0)))),"Fix")))</f>
        <v>#N/A</v>
      </c>
      <c r="U22" s="5" t="e">
        <f ca="1">IF(OR(INDEX($AI$2:$AI$1001,MATCH(ROWS($AH$2:AH22),$AH$2:$AH$1001,0),1)&gt;=100000,INDEX($AO$1005:$BQ$1005,1,MATCH(COLUMNS($AO$1006:BH1006),$AO$1006:$BQ$1006,0))&gt;=100000), " ",IF(INDEX($AO$2:$BQ$1001,MATCH(ROWS($AH$2:AH22),$AH$2:$AH$1001,0),MATCH(COLUMNS($AO$1006:BH1006),$AO$1006:$BQ$1006,0)), HYPERLINK("#",""), HYPERLINK(CONCATENATE("#Metadata!", ADDRESS(INDEX($AJ$2:$AJ$1001,MATCH(ROWS($AH$2:AH22),$AH$2:$AH$1001,0),0), INDEX($AO$1004:$BQ$1004,1,MATCH(COLUMNS($AO$1006:BH1006),$AO$1006:$BQ$1006,0)))),"Fix")))</f>
        <v>#N/A</v>
      </c>
      <c r="V22" s="5" t="e">
        <f ca="1">IF(OR(INDEX($AI$2:$AI$1001,MATCH(ROWS($AH$2:AH22),$AH$2:$AH$1001,0),1)&gt;=100000,INDEX($AO$1005:$BQ$1005,1,MATCH(COLUMNS($AO$1006:BI1006),$AO$1006:$BQ$1006,0))&gt;=100000), " ",IF(INDEX($AO$2:$BQ$1001,MATCH(ROWS($AH$2:AH22),$AH$2:$AH$1001,0),MATCH(COLUMNS($AO$1006:BI1006),$AO$1006:$BQ$1006,0)), HYPERLINK("#",""), HYPERLINK(CONCATENATE("#Metadata!", ADDRESS(INDEX($AJ$2:$AJ$1001,MATCH(ROWS($AH$2:AH22),$AH$2:$AH$1001,0),0), INDEX($AO$1004:$BQ$1004,1,MATCH(COLUMNS($AO$1006:BI1006),$AO$1006:$BQ$1006,0)))),"Fix")))</f>
        <v>#N/A</v>
      </c>
      <c r="W22" s="5" t="e">
        <f ca="1">IF(OR(INDEX($AI$2:$AI$1001,MATCH(ROWS($AH$2:AH22),$AH$2:$AH$1001,0),1)&gt;=100000,INDEX($AO$1005:$BQ$1005,1,MATCH(COLUMNS($AO$1006:BJ1006),$AO$1006:$BQ$1006,0))&gt;=100000), " ",IF(INDEX($AO$2:$BQ$1001,MATCH(ROWS($AH$2:AH22),$AH$2:$AH$1001,0),MATCH(COLUMNS($AO$1006:BJ1006),$AO$1006:$BQ$1006,0)), HYPERLINK("#",""), HYPERLINK(CONCATENATE("#Metadata!", ADDRESS(INDEX($AJ$2:$AJ$1001,MATCH(ROWS($AH$2:AH22),$AH$2:$AH$1001,0),0), INDEX($AO$1004:$BQ$1004,1,MATCH(COLUMNS($AO$1006:BJ1006),$AO$1006:$BQ$1006,0)))),"Fix")))</f>
        <v>#N/A</v>
      </c>
      <c r="X22" s="5" t="e">
        <f ca="1">IF(OR(INDEX($AI$2:$AI$1001,MATCH(ROWS($AH$2:AH22),$AH$2:$AH$1001,0),1)&gt;=100000,INDEX($AO$1005:$BQ$1005,1,MATCH(COLUMNS($AO$1006:BK1006),$AO$1006:$BQ$1006,0))&gt;=100000), " ",IF(INDEX($AO$2:$BQ$1001,MATCH(ROWS($AH$2:AH22),$AH$2:$AH$1001,0),MATCH(COLUMNS($AO$1006:BK1006),$AO$1006:$BQ$1006,0)), HYPERLINK("#",""), HYPERLINK(CONCATENATE("#Metadata!", ADDRESS(INDEX($AJ$2:$AJ$1001,MATCH(ROWS($AH$2:AH22),$AH$2:$AH$1001,0),0), INDEX($AO$1004:$BQ$1004,1,MATCH(COLUMNS($AO$1006:BK1006),$AO$1006:$BQ$1006,0)))),"Fix")))</f>
        <v>#N/A</v>
      </c>
      <c r="Y22" s="5" t="e">
        <f ca="1">IF(OR(INDEX($AI$2:$AI$1001,MATCH(ROWS($AH$2:AH22),$AH$2:$AH$1001,0),1)&gt;=100000,INDEX($AO$1005:$BQ$1005,1,MATCH(COLUMNS($AO$1006:BL1006),$AO$1006:$BQ$1006,0))&gt;=100000), " ",IF(INDEX($AO$2:$BQ$1001,MATCH(ROWS($AH$2:AH22),$AH$2:$AH$1001,0),MATCH(COLUMNS($AO$1006:BL1006),$AO$1006:$BQ$1006,0)), HYPERLINK("#",""), HYPERLINK(CONCATENATE("#Metadata!", ADDRESS(INDEX($AJ$2:$AJ$1001,MATCH(ROWS($AH$2:AH22),$AH$2:$AH$1001,0),0), INDEX($AO$1004:$BQ$1004,1,MATCH(COLUMNS($AO$1006:BL1006),$AO$1006:$BQ$1006,0)))),"Fix")))</f>
        <v>#N/A</v>
      </c>
      <c r="Z22" s="5" t="e">
        <f ca="1">IF(OR(INDEX($AI$2:$AI$1001,MATCH(ROWS($AH$2:AH22),$AH$2:$AH$1001,0),1)&gt;=100000,INDEX($AO$1005:$BQ$1005,1,MATCH(COLUMNS($AO$1006:BM1006),$AO$1006:$BQ$1006,0))&gt;=100000), " ",IF(INDEX($AO$2:$BQ$1001,MATCH(ROWS($AH$2:AH22),$AH$2:$AH$1001,0),MATCH(COLUMNS($AO$1006:BM1006),$AO$1006:$BQ$1006,0)), HYPERLINK("#",""), HYPERLINK(CONCATENATE("#Metadata!", ADDRESS(INDEX($AJ$2:$AJ$1001,MATCH(ROWS($AH$2:AH22),$AH$2:$AH$1001,0),0), INDEX($AO$1004:$BQ$1004,1,MATCH(COLUMNS($AO$1006:BM1006),$AO$1006:$BQ$1006,0)))),"Fix")))</f>
        <v>#N/A</v>
      </c>
      <c r="AA22" s="5" t="e">
        <f ca="1">IF(OR(INDEX($AI$2:$AI$1001,MATCH(ROWS($AH$2:AH22),$AH$2:$AH$1001,0),1)&gt;=100000,INDEX($AO$1005:$BQ$1005,1,MATCH(COLUMNS($AO$1006:BN1006),$AO$1006:$BQ$1006,0))&gt;=100000), " ",IF(INDEX($AO$2:$BQ$1001,MATCH(ROWS($AH$2:AH22),$AH$2:$AH$1001,0),MATCH(COLUMNS($AO$1006:BN1006),$AO$1006:$BQ$1006,0)), HYPERLINK("#",""), HYPERLINK(CONCATENATE("#Metadata!", ADDRESS(INDEX($AJ$2:$AJ$1001,MATCH(ROWS($AH$2:AH22),$AH$2:$AH$1001,0),0), INDEX($AO$1004:$BQ$1004,1,MATCH(COLUMNS($AO$1006:BN1006),$AO$1006:$BQ$1006,0)))),"Fix")))</f>
        <v>#N/A</v>
      </c>
      <c r="AB22" s="5" t="e">
        <f ca="1">IF(OR(INDEX($AI$2:$AI$1001,MATCH(ROWS($AH$2:AH22),$AH$2:$AH$1001,0),1)&gt;=100000,INDEX($AO$1005:$BQ$1005,1,MATCH(COLUMNS($AO$1006:BO1006),$AO$1006:$BQ$1006,0))&gt;=100000), " ",IF(INDEX($AO$2:$BQ$1001,MATCH(ROWS($AH$2:AH22),$AH$2:$AH$1001,0),MATCH(COLUMNS($AO$1006:BO1006),$AO$1006:$BQ$1006,0)), HYPERLINK("#",""), HYPERLINK(CONCATENATE("#Metadata!", ADDRESS(INDEX($AJ$2:$AJ$1001,MATCH(ROWS($AH$2:AH22),$AH$2:$AH$1001,0),0), INDEX($AO$1004:$BQ$1004,1,MATCH(COLUMNS($AO$1006:BO1006),$AO$1006:$BQ$1006,0)))),"Fix")))</f>
        <v>#N/A</v>
      </c>
      <c r="AC22" s="5" t="e">
        <f ca="1">IF(OR(INDEX($AI$2:$AI$1001,MATCH(ROWS($AH$2:AH22),$AH$2:$AH$1001,0),1)&gt;=100000,INDEX($AO$1005:$BQ$1005,1,MATCH(COLUMNS($AO$1006:BP1006),$AO$1006:$BQ$1006,0))&gt;=100000), " ",IF(INDEX($AO$2:$BQ$1001,MATCH(ROWS($AH$2:AH22),$AH$2:$AH$1001,0),MATCH(COLUMNS($AO$1006:BP1006),$AO$1006:$BQ$1006,0)), HYPERLINK("#",""), HYPERLINK(CONCATENATE("#Metadata!", ADDRESS(INDEX($AJ$2:$AJ$1001,MATCH(ROWS($AH$2:AH22),$AH$2:$AH$1001,0),0), INDEX($AO$1004:$BQ$1004,1,MATCH(COLUMNS($AO$1006:BP1006),$AO$1006:$BQ$1006,0)))),"Fix")))</f>
        <v>#N/A</v>
      </c>
      <c r="AD22" s="5" t="e">
        <f ca="1">IF(OR(INDEX($AI$2:$AI$1001,MATCH(ROWS($AH$2:AH22),$AH$2:$AH$1001,0),1)&gt;=100000,INDEX($AO$1005:$BQ$1005,1,MATCH(COLUMNS($AO$1006:BQ1006),$AO$1006:$BQ$1006,0))&gt;=100000), " ",IF(INDEX($AO$2:$BQ$1001,MATCH(ROWS($AH$2:AH22),$AH$2:$AH$1001,0),MATCH(COLUMNS($AO$1006:BQ1006),$AO$1006:$BQ$1006,0)), HYPERLINK("#",""), HYPERLINK(CONCATENATE("#Metadata!", ADDRESS(INDEX($AJ$2:$AJ$1001,MATCH(ROWS($AH$2:AH22),$AH$2:$AH$1001,0),0), INDEX($AO$1004:$BQ$1004,1,MATCH(COLUMNS($AO$1006:BQ1006),$AO$1006:$BQ$1006,0)))),"Fix")))</f>
        <v>#REF!</v>
      </c>
      <c r="AH22">
        <f ca="1"/>
        <v>20</v>
      </c>
      <c r="AI22">
        <f ca="1"/>
        <v>22</v>
      </c>
      <c r="AJ22">
        <v>22</v>
      </c>
      <c r="AK22" t="b">
        <f t="shared" ca="1" si="0"/>
        <v>0</v>
      </c>
      <c r="AL22" t="b">
        <f>COUNTBLANK(Metadata!B22:AD22)=COLUMNS(Metadata!B22:AD22)</f>
        <v>0</v>
      </c>
      <c r="AM22" t="str">
        <v>Environment.Sediment.BTP.242Sediment</v>
      </c>
      <c r="AO22" t="b">
        <f ca="1">AND(IF(Metadata!B21="",FALSE,TRUE),COUNTIF(Metadata!B:B, Metadata!B21) = 1,NOT(ISERROR(SUMPRODUCT(SEARCH(MID(Metadata!B21,ROW(INDIRECT("1:"&amp;LEN(Metadata!B21))), 1),"0123456789abcdefghijklmnopqrstuvwxyzABCDEFGHIJKLMNOPQRSTUVWXYZ.")))))</f>
        <v>1</v>
      </c>
      <c r="AP22" t="b">
        <f>IF(Metadata!C21="",FALSE,TRUE)</f>
        <v>1</v>
      </c>
      <c r="AQ22" t="b">
        <f>IF(Metadata!D21="",FALSE,TRUE)</f>
        <v>1</v>
      </c>
      <c r="AR22" t="b">
        <f ca="1">OR(AND(IF(Metadata!E21="",FALSE,TRUE),OR(EXACT(Metadata!E21,"not collected"),EXACT(Metadata!E21,"not provided"),EXACT(Metadata!E21,"restricted access"))),AND(IF(Metadata!E21="",FALSE,TRUE),AND(AND(IFERROR(INT(LEFT(Metadata!E21,4))&gt;1900,FALSE),IFERROR(INT(LEFT(Metadata!E21,4))&lt;=YEAR(NOW()),FALSE)), OR(MID(Metadata!E21,5,1)="", AND(AND(MID(Metadata!E21,5,1)="-",IFERROR(INT(MID(Metadata!E21,6,1))&gt;=0,FALSE),IFERROR(INT(MID(Metadata!E21,6,1))&lt;=1,FALSE),NOT(MID(Metadata!E21,7,1)=""),IFERROR(INT(MID(Metadata!E21,6,2))&gt;=1,FALSE),IFERROR(INT(MID(Metadata!E21,6,2))&lt;=12,FALSE)), OR(MID(Metadata!E21,8,1)="", AND(AND(MID(Metadata!E21,8,1)="-",IFERROR(INT(MID(Metadata!E21,9,1))&gt;=0,FALSE),IFERROR(INT(MID(Metadata!E21,9,1))&lt;=3,FALSE),NOT(MID(Metadata!E21,10,1)=""),IFERROR(INT(MID(Metadata!E21,9,2))&gt;=1,FALSE),IFERROR(INT(MID(Metadata!E21,9,2))&lt;=31,FALSE)), OR(MID(Metadata!E21,11,1)="", AND(AND(MID(Metadata!E21,11,1)=" ",IFERROR(INT(MID(Metadata!E21,12,1))&gt;=0,FALSE),IFERROR(INT(MID(Metadata!E21,12,1))&lt;=2,FALSE),NOT(MID(Metadata!E21,13,1)=""),IFERROR(INT(MID(Metadata!E21,12,2))&gt;=0,FALSE),IFERROR(INT(MID(Metadata!E21,12,2))&lt;=23,FALSE)), OR(MID(Metadata!E21,14,1)="", AND(AND(MID(Metadata!E21,14,1)=":",IFERROR(INT(MID(Metadata!E21,15,1))&gt;=0,FALSE),IFERROR(INT(MID(Metadata!E21,15,1))&lt;=5,FALSE),NOT(MID(Metadata!E21,16,1)=""),IFERROR(INT(MID(Metadata!E21,15,2))&gt;=0,FALSE),IFERROR(INT(MID(Metadata!E21,15,2))&lt;=59,FALSE)), OR(MID(Metadata!E21,17,1)="", AND(AND(MID(Metadata!E21,17,1)=":",IFERROR(INT(MID(Metadata!E21,18,1))&gt;=0,FALSE),IFERROR(INT(MID(Metadata!E21,18,1))&lt;=5,FALSE),NOT(MID(Metadata!E21,19,1)=""),IFERROR(INT(MID(Metadata!E21,18,2))&gt;=0,FALSE),IFERROR(INT(MID(Metadata!E21,18,2))&lt;=59,FALSE)), LEN(Metadata!E21)&lt;=19)))))))))))))</f>
        <v>0</v>
      </c>
      <c r="AS22" t="b">
        <f>IF(Metadata!F21="",FALSE,TRUE)</f>
        <v>1</v>
      </c>
      <c r="AT22" t="b">
        <f>OR(AND(IF(Metadata!G21="",FALSE,TRUE),OR(EXACT(Metadata!G21,"not collected"),EXACT(Metadata!G21,"not provided"))),AND(IF(Metadata!G21="",FALSE,TRUE),OR(EXACT(Metadata!G21,"TRUE"),EXACT(Metadata!G21,"FALSE"))))</f>
        <v>1</v>
      </c>
      <c r="AU22" t="b">
        <f>OR(AND(IF(Metadata!H21="",FALSE,TRUE),OR(EXACT(Metadata!H21,"not collected"),EXACT(Metadata!H21,"not provided"),EXACT(Metadata!H21,"restricted access"))),AND(IF(Metadata!H21="",FALSE,ISNUMBER(VALUE(Metadata!H21))),Metadata!H21&gt;=-413))</f>
        <v>0</v>
      </c>
      <c r="AV22" t="b">
        <f>AND(IF(Metadata!I21="",FALSE,TRUE),EXACT(Metadata!I21,"meters"))</f>
        <v>1</v>
      </c>
      <c r="AW22" t="b">
        <f>AND(IF(Metadata!J21="",FALSE,TRUE),EXACT(Metadata!J21,"free-living"))</f>
        <v>1</v>
      </c>
      <c r="AX22" t="b">
        <f>AND(IF(Metadata!K21="",FALSE,TRUE),OR(EXACT(Metadata!K21,"saline"),EXACT(Metadata!K21,"non-saline")))</f>
        <v>1</v>
      </c>
      <c r="AY22" t="b">
        <f>AND(IF(Metadata!L21="",FALSE,TRUE),OR(EXACT(Metadata!L21,"sub-surface (non-saline)"),EXACT(Metadata!L21,"surface (non-saline)"),EXACT(Metadata!L21,"water (non-saline)"),EXACT(Metadata!L21,"soil (non-saline)"),EXACT(Metadata!L21,"aerosol (non-saline)"),EXACT(Metadata!L21,"sediment (non-saline)"),EXACT(Metadata!L21,"surface (saline)"),EXACT(Metadata!L21,"water (saline)"),EXACT(Metadata!L21,"hypersaline (saline)"),EXACT(Metadata!L21,"aerosol (saline)"),EXACT(Metadata!L21,"sediment (saline)")))</f>
        <v>1</v>
      </c>
      <c r="AZ22" t="b">
        <f>IF(Metadata!M21="",FALSE,TRUE)</f>
        <v>1</v>
      </c>
      <c r="BA22" t="b">
        <f>IF(Metadata!N21="",FALSE,TRUE)</f>
        <v>1</v>
      </c>
      <c r="BB22" t="b">
        <f>IF(Metadata!O21="",FALSE,TRUE)</f>
        <v>1</v>
      </c>
      <c r="BC22" t="b">
        <f>AND(IF(Metadata!P21="",FALSE,TRUE),OR(EXACT(Metadata!P21,"air"),EXACT(Metadata!P21,"microbial mat/biofilm"),EXACT(Metadata!P21,"misc environment"),EXACT(Metadata!P21,"sediment"),EXACT(Metadata!P21,"soil"),EXACT(Metadata!P21,"wastewater/sludge"),EXACT(Metadata!P21,"water")))</f>
        <v>1</v>
      </c>
      <c r="BD22" t="b">
        <f>IF(Metadata!Q21="",FALSE,TRUE)</f>
        <v>1</v>
      </c>
      <c r="BE22" t="b">
        <f>IF(Metadata!R21="",FALSE,TRUE)</f>
        <v>1</v>
      </c>
      <c r="BF22" t="b">
        <f>OR(AND(IF(Metadata!S21="",FALSE,TRUE),OR(EXACT(Metadata!S21,"not collected"),EXACT(Metadata!S21,"not provided"),EXACT(Metadata!S21,"restricted access"))),AND(IF(Metadata!S21="",FALSE,ISNUMBER(VALUE(Metadata!S21))),Metadata!S21&gt;=-90,Metadata!S21&lt;=90))</f>
        <v>0</v>
      </c>
      <c r="BG22" t="b">
        <f>AND(IF(Metadata!T21="",FALSE,TRUE),EXACT(Metadata!T21,"Decimal degrees"))</f>
        <v>1</v>
      </c>
      <c r="BH22" t="b">
        <f>OR(AND(IF(Metadata!U22="",FALSE,TRUE),OR(EXACT(Metadata!U22,"not applicable"),EXACT(Metadata!U22,"not collected"))),IF(Metadata!U22="",FALSE,TRUE))</f>
        <v>1</v>
      </c>
      <c r="BI22" t="b">
        <f>OR(AND(IF(Metadata!V21="",FALSE,TRUE),OR(EXACT(Metadata!V21,"not collected"),EXACT(Metadata!V21,"not provided"),EXACT(Metadata!V21,"restricted access"))),AND(IF(Metadata!V21="",FALSE,ISNUMBER(VALUE(Metadata!V21))),Metadata!V21&gt;=-180,Metadata!V21&lt;=180))</f>
        <v>0</v>
      </c>
      <c r="BJ22" t="b">
        <f>AND(IF(Metadata!W21="",FALSE,TRUE),EXACT(Metadata!W21,"Decimal degrees"))</f>
        <v>1</v>
      </c>
      <c r="BK22" t="b">
        <f>IF(Metadata!X21="",FALSE,TRUE)</f>
        <v>1</v>
      </c>
      <c r="BL22" t="b">
        <f>OR(AND(IF(Metadata!Y21="",FALSE,TRUE),OR(EXACT(Metadata!Y21,"not collected"),EXACT(Metadata!Y21,"not provided"),EXACT(Metadata!Y21,"restricted access"))),AND(IF(Metadata!Y21="",FALSE,TRUE),OR(EXACT(Metadata!Y21,"TRUE"),EXACT(Metadata!Y21,"FALSE"))))</f>
        <v>1</v>
      </c>
      <c r="BM22" t="b">
        <f>OR(AND(IF(Metadata!Z21="",FALSE,TRUE),EXACT(Metadata!Z21,"not applicable")),AND(IF(Metadata!Z21="",FALSE,TRUE),OR(EXACT(Metadata!Z21,"beer"),EXACT(Metadata!Z21,"cheese"),EXACT(Metadata!Z21,"fresh water"),EXACT(Metadata!Z21,"marine sediment"),EXACT(Metadata!Z21,"sea water"),EXACT(Metadata!Z21,"sediment"),EXACT(Metadata!Z21,"soil"),EXACT(Metadata!Z21,"waste water"))))</f>
        <v>1</v>
      </c>
      <c r="BN22" t="b">
        <f>AND(IF(Metadata!AA21="",FALSE,TRUE),EXACT(Metadata!AA21,"metagenome"))</f>
        <v>1</v>
      </c>
      <c r="BO22" t="b">
        <f>AND(IF(Metadata!AB21="",FALSE,TRUE),EXACT(Metadata!AB21,"256318"))</f>
        <v>1</v>
      </c>
      <c r="BP22" t="b">
        <f>IF(Metadata!AC21="",FALSE,TRUE)</f>
        <v>1</v>
      </c>
      <c r="BQ22" t="b">
        <f>IF(Metadata!AD21="",FALSE,TRUE)</f>
        <v>1</v>
      </c>
    </row>
    <row r="23" spans="1:69" x14ac:dyDescent="0.2">
      <c r="A23" s="4" t="e">
        <f ca="1">IF(B23=" "," ",HYPERLINK(CONCATENATE("#metadata!",ADDRESS(INDEX($AJ$2:$AJ$1001,MATCH(ROWS($AH$2:AH23),$AH$2:$AH$1001,0),0),2)),INDEX($AM$2:$AM$1001,MATCH(ROWS($AH$2:AH23),$AH$2:$AH$1001,0),0)))</f>
        <v>#N/A</v>
      </c>
      <c r="B23" s="5" t="e">
        <f ca="1">IF(OR(INDEX($AI$2:$AI$1001,MATCH(ROWS($AH$2:AH23),$AH$2:$AH$1001,0),1)&gt;=100000,INDEX($AO$1005:$BQ$1005,1,MATCH(COLUMNS($AO$1006:AO1006),$AO$1006:$BQ$1006,0))&gt;=100000), " ",IF(INDEX($AO$2:$BQ$1001,MATCH(ROWS($AH$2:AH23),$AH$2:$AH$1001,0),MATCH(COLUMNS($AO$1006:AO1006),$AO$1006:$BQ$1006,0)), HYPERLINK("#",""), HYPERLINK(CONCATENATE("#Metadata!", ADDRESS(INDEX($AJ$2:$AJ$1001,MATCH(ROWS($AH$2:AH23),$AH$2:$AH$1001,0),0), INDEX($AO$1004:$BQ$1004,1,MATCH(COLUMNS($AO$1006:AO1006),$AO$1006:$BQ$1006,0)))),"Fix")))</f>
        <v>#N/A</v>
      </c>
      <c r="C23" s="5" t="e">
        <f ca="1">IF(OR(INDEX($AI$2:$AI$1001,MATCH(ROWS($AH$2:AH23),$AH$2:$AH$1001,0),1)&gt;=100000,INDEX($AO$1005:$BQ$1005,1,MATCH(COLUMNS($AO$1006:AP1006),$AO$1006:$BQ$1006,0))&gt;=100000), " ",IF(INDEX($AO$2:$BQ$1001,MATCH(ROWS($AH$2:AH23),$AH$2:$AH$1001,0),MATCH(COLUMNS($AO$1006:AP1006),$AO$1006:$BQ$1006,0)), HYPERLINK("#",""), HYPERLINK(CONCATENATE("#Metadata!", ADDRESS(INDEX($AJ$2:$AJ$1001,MATCH(ROWS($AH$2:AH23),$AH$2:$AH$1001,0),0), INDEX($AO$1004:$BQ$1004,1,MATCH(COLUMNS($AO$1006:AP1006),$AO$1006:$BQ$1006,0)))),"Fix")))</f>
        <v>#N/A</v>
      </c>
      <c r="D23" s="5" t="e">
        <f ca="1">IF(OR(INDEX($AI$2:$AI$1001,MATCH(ROWS($AH$2:AH23),$AH$2:$AH$1001,0),1)&gt;=100000,INDEX($AO$1005:$BQ$1005,1,MATCH(COLUMNS($AO$1006:AQ1006),$AO$1006:$BQ$1006,0))&gt;=100000), " ",IF(INDEX($AO$2:$BQ$1001,MATCH(ROWS($AH$2:AH23),$AH$2:$AH$1001,0),MATCH(COLUMNS($AO$1006:AQ1006),$AO$1006:$BQ$1006,0)), HYPERLINK("#",""), HYPERLINK(CONCATENATE("#Metadata!", ADDRESS(INDEX($AJ$2:$AJ$1001,MATCH(ROWS($AH$2:AH23),$AH$2:$AH$1001,0),0), INDEX($AO$1004:$BQ$1004,1,MATCH(COLUMNS($AO$1006:AQ1006),$AO$1006:$BQ$1006,0)))),"Fix")))</f>
        <v>#N/A</v>
      </c>
      <c r="E23" s="5" t="e">
        <f ca="1">IF(OR(INDEX($AI$2:$AI$1001,MATCH(ROWS($AH$2:AH23),$AH$2:$AH$1001,0),1)&gt;=100000,INDEX($AO$1005:$BQ$1005,1,MATCH(COLUMNS($AO$1006:AR1006),$AO$1006:$BQ$1006,0))&gt;=100000), " ",IF(INDEX($AO$2:$BQ$1001,MATCH(ROWS($AH$2:AH23),$AH$2:$AH$1001,0),MATCH(COLUMNS($AO$1006:AR1006),$AO$1006:$BQ$1006,0)), HYPERLINK("#",""), HYPERLINK(CONCATENATE("#Metadata!", ADDRESS(INDEX($AJ$2:$AJ$1001,MATCH(ROWS($AH$2:AH23),$AH$2:$AH$1001,0),0), INDEX($AO$1004:$BQ$1004,1,MATCH(COLUMNS($AO$1006:AR1006),$AO$1006:$BQ$1006,0)))),"Fix")))</f>
        <v>#N/A</v>
      </c>
      <c r="F23" s="5" t="e">
        <f ca="1">IF(OR(INDEX($AI$2:$AI$1001,MATCH(ROWS($AH$2:AH23),$AH$2:$AH$1001,0),1)&gt;=100000,INDEX($AO$1005:$BQ$1005,1,MATCH(COLUMNS($AO$1006:AS1006),$AO$1006:$BQ$1006,0))&gt;=100000), " ",IF(INDEX($AO$2:$BQ$1001,MATCH(ROWS($AH$2:AH23),$AH$2:$AH$1001,0),MATCH(COLUMNS($AO$1006:AS1006),$AO$1006:$BQ$1006,0)), HYPERLINK("#",""), HYPERLINK(CONCATENATE("#Metadata!", ADDRESS(INDEX($AJ$2:$AJ$1001,MATCH(ROWS($AH$2:AH23),$AH$2:$AH$1001,0),0), INDEX($AO$1004:$BQ$1004,1,MATCH(COLUMNS($AO$1006:AS1006),$AO$1006:$BQ$1006,0)))),"Fix")))</f>
        <v>#N/A</v>
      </c>
      <c r="G23" s="5" t="e">
        <f ca="1">IF(OR(INDEX($AI$2:$AI$1001,MATCH(ROWS($AH$2:AH23),$AH$2:$AH$1001,0),1)&gt;=100000,INDEX($AO$1005:$BQ$1005,1,MATCH(COLUMNS($AO$1006:AT1006),$AO$1006:$BQ$1006,0))&gt;=100000), " ",IF(INDEX($AO$2:$BQ$1001,MATCH(ROWS($AH$2:AH23),$AH$2:$AH$1001,0),MATCH(COLUMNS($AO$1006:AT1006),$AO$1006:$BQ$1006,0)), HYPERLINK("#",""), HYPERLINK(CONCATENATE("#Metadata!", ADDRESS(INDEX($AJ$2:$AJ$1001,MATCH(ROWS($AH$2:AH23),$AH$2:$AH$1001,0),0), INDEX($AO$1004:$BQ$1004,1,MATCH(COLUMNS($AO$1006:AT1006),$AO$1006:$BQ$1006,0)))),"Fix")))</f>
        <v>#N/A</v>
      </c>
      <c r="H23" s="5" t="e">
        <f ca="1">IF(OR(INDEX($AI$2:$AI$1001,MATCH(ROWS($AH$2:AH23),$AH$2:$AH$1001,0),1)&gt;=100000,INDEX($AO$1005:$BQ$1005,1,MATCH(COLUMNS($AO$1006:AU1006),$AO$1006:$BQ$1006,0))&gt;=100000), " ",IF(INDEX($AO$2:$BQ$1001,MATCH(ROWS($AH$2:AH23),$AH$2:$AH$1001,0),MATCH(COLUMNS($AO$1006:AU1006),$AO$1006:$BQ$1006,0)), HYPERLINK("#",""), HYPERLINK(CONCATENATE("#Metadata!", ADDRESS(INDEX($AJ$2:$AJ$1001,MATCH(ROWS($AH$2:AH23),$AH$2:$AH$1001,0),0), INDEX($AO$1004:$BQ$1004,1,MATCH(COLUMNS($AO$1006:AU1006),$AO$1006:$BQ$1006,0)))),"Fix")))</f>
        <v>#N/A</v>
      </c>
      <c r="I23" s="5" t="e">
        <f ca="1">IF(OR(INDEX($AI$2:$AI$1001,MATCH(ROWS($AH$2:AH23),$AH$2:$AH$1001,0),1)&gt;=100000,INDEX($AO$1005:$BQ$1005,1,MATCH(COLUMNS($AO$1006:AV1006),$AO$1006:$BQ$1006,0))&gt;=100000), " ",IF(INDEX($AO$2:$BQ$1001,MATCH(ROWS($AH$2:AH23),$AH$2:$AH$1001,0),MATCH(COLUMNS($AO$1006:AV1006),$AO$1006:$BQ$1006,0)), HYPERLINK("#",""), HYPERLINK(CONCATENATE("#Metadata!", ADDRESS(INDEX($AJ$2:$AJ$1001,MATCH(ROWS($AH$2:AH23),$AH$2:$AH$1001,0),0), INDEX($AO$1004:$BQ$1004,1,MATCH(COLUMNS($AO$1006:AV1006),$AO$1006:$BQ$1006,0)))),"Fix")))</f>
        <v>#N/A</v>
      </c>
      <c r="J23" s="5" t="e">
        <f ca="1">IF(OR(INDEX($AI$2:$AI$1001,MATCH(ROWS($AH$2:AH23),$AH$2:$AH$1001,0),1)&gt;=100000,INDEX($AO$1005:$BQ$1005,1,MATCH(COLUMNS($AO$1006:AW1006),$AO$1006:$BQ$1006,0))&gt;=100000), " ",IF(INDEX($AO$2:$BQ$1001,MATCH(ROWS($AH$2:AH23),$AH$2:$AH$1001,0),MATCH(COLUMNS($AO$1006:AW1006),$AO$1006:$BQ$1006,0)), HYPERLINK("#",""), HYPERLINK(CONCATENATE("#Metadata!", ADDRESS(INDEX($AJ$2:$AJ$1001,MATCH(ROWS($AH$2:AH23),$AH$2:$AH$1001,0),0), INDEX($AO$1004:$BQ$1004,1,MATCH(COLUMNS($AO$1006:AW1006),$AO$1006:$BQ$1006,0)))),"Fix")))</f>
        <v>#N/A</v>
      </c>
      <c r="K23" s="5" t="e">
        <f ca="1">IF(OR(INDEX($AI$2:$AI$1001,MATCH(ROWS($AH$2:AH23),$AH$2:$AH$1001,0),1)&gt;=100000,INDEX($AO$1005:$BQ$1005,1,MATCH(COLUMNS($AO$1006:AX1006),$AO$1006:$BQ$1006,0))&gt;=100000), " ",IF(INDEX($AO$2:$BQ$1001,MATCH(ROWS($AH$2:AH23),$AH$2:$AH$1001,0),MATCH(COLUMNS($AO$1006:AX1006),$AO$1006:$BQ$1006,0)), HYPERLINK("#",""), HYPERLINK(CONCATENATE("#Metadata!", ADDRESS(INDEX($AJ$2:$AJ$1001,MATCH(ROWS($AH$2:AH23),$AH$2:$AH$1001,0),0), INDEX($AO$1004:$BQ$1004,1,MATCH(COLUMNS($AO$1006:AX1006),$AO$1006:$BQ$1006,0)))),"Fix")))</f>
        <v>#N/A</v>
      </c>
      <c r="L23" s="5" t="e">
        <f ca="1">IF(OR(INDEX($AI$2:$AI$1001,MATCH(ROWS($AH$2:AH23),$AH$2:$AH$1001,0),1)&gt;=100000,INDEX($AO$1005:$BQ$1005,1,MATCH(COLUMNS($AO$1006:AY1006),$AO$1006:$BQ$1006,0))&gt;=100000), " ",IF(INDEX($AO$2:$BQ$1001,MATCH(ROWS($AH$2:AH23),$AH$2:$AH$1001,0),MATCH(COLUMNS($AO$1006:AY1006),$AO$1006:$BQ$1006,0)), HYPERLINK("#",""), HYPERLINK(CONCATENATE("#Metadata!", ADDRESS(INDEX($AJ$2:$AJ$1001,MATCH(ROWS($AH$2:AH23),$AH$2:$AH$1001,0),0), INDEX($AO$1004:$BQ$1004,1,MATCH(COLUMNS($AO$1006:AY1006),$AO$1006:$BQ$1006,0)))),"Fix")))</f>
        <v>#N/A</v>
      </c>
      <c r="M23" s="5" t="e">
        <f ca="1">IF(OR(INDEX($AI$2:$AI$1001,MATCH(ROWS($AH$2:AH23),$AH$2:$AH$1001,0),1)&gt;=100000,INDEX($AO$1005:$BQ$1005,1,MATCH(COLUMNS($AO$1006:AZ1006),$AO$1006:$BQ$1006,0))&gt;=100000), " ",IF(INDEX($AO$2:$BQ$1001,MATCH(ROWS($AH$2:AH23),$AH$2:$AH$1001,0),MATCH(COLUMNS($AO$1006:AZ1006),$AO$1006:$BQ$1006,0)), HYPERLINK("#",""), HYPERLINK(CONCATENATE("#Metadata!", ADDRESS(INDEX($AJ$2:$AJ$1001,MATCH(ROWS($AH$2:AH23),$AH$2:$AH$1001,0),0), INDEX($AO$1004:$BQ$1004,1,MATCH(COLUMNS($AO$1006:AZ1006),$AO$1006:$BQ$1006,0)))),"Fix")))</f>
        <v>#N/A</v>
      </c>
      <c r="N23" s="5" t="e">
        <f ca="1">IF(OR(INDEX($AI$2:$AI$1001,MATCH(ROWS($AH$2:AH23),$AH$2:$AH$1001,0),1)&gt;=100000,INDEX($AO$1005:$BQ$1005,1,MATCH(COLUMNS($AO$1006:BA1006),$AO$1006:$BQ$1006,0))&gt;=100000), " ",IF(INDEX($AO$2:$BQ$1001,MATCH(ROWS($AH$2:AH23),$AH$2:$AH$1001,0),MATCH(COLUMNS($AO$1006:BA1006),$AO$1006:$BQ$1006,0)), HYPERLINK("#",""), HYPERLINK(CONCATENATE("#Metadata!", ADDRESS(INDEX($AJ$2:$AJ$1001,MATCH(ROWS($AH$2:AH23),$AH$2:$AH$1001,0),0), INDEX($AO$1004:$BQ$1004,1,MATCH(COLUMNS($AO$1006:BA1006),$AO$1006:$BQ$1006,0)))),"Fix")))</f>
        <v>#N/A</v>
      </c>
      <c r="O23" s="5" t="e">
        <f ca="1">IF(OR(INDEX($AI$2:$AI$1001,MATCH(ROWS($AH$2:AH23),$AH$2:$AH$1001,0),1)&gt;=100000,INDEX($AO$1005:$BQ$1005,1,MATCH(COLUMNS($AO$1006:BB1006),$AO$1006:$BQ$1006,0))&gt;=100000), " ",IF(INDEX($AO$2:$BQ$1001,MATCH(ROWS($AH$2:AH23),$AH$2:$AH$1001,0),MATCH(COLUMNS($AO$1006:BB1006),$AO$1006:$BQ$1006,0)), HYPERLINK("#",""), HYPERLINK(CONCATENATE("#Metadata!", ADDRESS(INDEX($AJ$2:$AJ$1001,MATCH(ROWS($AH$2:AH23),$AH$2:$AH$1001,0),0), INDEX($AO$1004:$BQ$1004,1,MATCH(COLUMNS($AO$1006:BB1006),$AO$1006:$BQ$1006,0)))),"Fix")))</f>
        <v>#N/A</v>
      </c>
      <c r="P23" s="5" t="e">
        <f ca="1">IF(OR(INDEX($AI$2:$AI$1001,MATCH(ROWS($AH$2:AH23),$AH$2:$AH$1001,0),1)&gt;=100000,INDEX($AO$1005:$BQ$1005,1,MATCH(COLUMNS($AO$1006:BC1006),$AO$1006:$BQ$1006,0))&gt;=100000), " ",IF(INDEX($AO$2:$BQ$1001,MATCH(ROWS($AH$2:AH23),$AH$2:$AH$1001,0),MATCH(COLUMNS($AO$1006:BC1006),$AO$1006:$BQ$1006,0)), HYPERLINK("#",""), HYPERLINK(CONCATENATE("#Metadata!", ADDRESS(INDEX($AJ$2:$AJ$1001,MATCH(ROWS($AH$2:AH23),$AH$2:$AH$1001,0),0), INDEX($AO$1004:$BQ$1004,1,MATCH(COLUMNS($AO$1006:BC1006),$AO$1006:$BQ$1006,0)))),"Fix")))</f>
        <v>#N/A</v>
      </c>
      <c r="Q23" s="5" t="e">
        <f ca="1">IF(OR(INDEX($AI$2:$AI$1001,MATCH(ROWS($AH$2:AH23),$AH$2:$AH$1001,0),1)&gt;=100000,INDEX($AO$1005:$BQ$1005,1,MATCH(COLUMNS($AO$1006:BD1006),$AO$1006:$BQ$1006,0))&gt;=100000), " ",IF(INDEX($AO$2:$BQ$1001,MATCH(ROWS($AH$2:AH23),$AH$2:$AH$1001,0),MATCH(COLUMNS($AO$1006:BD1006),$AO$1006:$BQ$1006,0)), HYPERLINK("#",""), HYPERLINK(CONCATENATE("#Metadata!", ADDRESS(INDEX($AJ$2:$AJ$1001,MATCH(ROWS($AH$2:AH23),$AH$2:$AH$1001,0),0), INDEX($AO$1004:$BQ$1004,1,MATCH(COLUMNS($AO$1006:BD1006),$AO$1006:$BQ$1006,0)))),"Fix")))</f>
        <v>#N/A</v>
      </c>
      <c r="R23" s="5" t="e">
        <f ca="1">IF(OR(INDEX($AI$2:$AI$1001,MATCH(ROWS($AH$2:AH23),$AH$2:$AH$1001,0),1)&gt;=100000,INDEX($AO$1005:$BQ$1005,1,MATCH(COLUMNS($AO$1006:BE1006),$AO$1006:$BQ$1006,0))&gt;=100000), " ",IF(INDEX($AO$2:$BQ$1001,MATCH(ROWS($AH$2:AH23),$AH$2:$AH$1001,0),MATCH(COLUMNS($AO$1006:BE1006),$AO$1006:$BQ$1006,0)), HYPERLINK("#",""), HYPERLINK(CONCATENATE("#Metadata!", ADDRESS(INDEX($AJ$2:$AJ$1001,MATCH(ROWS($AH$2:AH23),$AH$2:$AH$1001,0),0), INDEX($AO$1004:$BQ$1004,1,MATCH(COLUMNS($AO$1006:BE1006),$AO$1006:$BQ$1006,0)))),"Fix")))</f>
        <v>#N/A</v>
      </c>
      <c r="S23" s="5" t="e">
        <f ca="1">IF(OR(INDEX($AI$2:$AI$1001,MATCH(ROWS($AH$2:AH23),$AH$2:$AH$1001,0),1)&gt;=100000,INDEX($AO$1005:$BQ$1005,1,MATCH(COLUMNS($AO$1006:BF1006),$AO$1006:$BQ$1006,0))&gt;=100000), " ",IF(INDEX($AO$2:$BQ$1001,MATCH(ROWS($AH$2:AH23),$AH$2:$AH$1001,0),MATCH(COLUMNS($AO$1006:BF1006),$AO$1006:$BQ$1006,0)), HYPERLINK("#",""), HYPERLINK(CONCATENATE("#Metadata!", ADDRESS(INDEX($AJ$2:$AJ$1001,MATCH(ROWS($AH$2:AH23),$AH$2:$AH$1001,0),0), INDEX($AO$1004:$BQ$1004,1,MATCH(COLUMNS($AO$1006:BF1006),$AO$1006:$BQ$1006,0)))),"Fix")))</f>
        <v>#N/A</v>
      </c>
      <c r="T23" s="5" t="e">
        <f ca="1">IF(OR(INDEX($AI$2:$AI$1001,MATCH(ROWS($AH$2:AH23),$AH$2:$AH$1001,0),1)&gt;=100000,INDEX($AO$1005:$BQ$1005,1,MATCH(COLUMNS($AO$1006:BG1006),$AO$1006:$BQ$1006,0))&gt;=100000), " ",IF(INDEX($AO$2:$BQ$1001,MATCH(ROWS($AH$2:AH23),$AH$2:$AH$1001,0),MATCH(COLUMNS($AO$1006:BG1006),$AO$1006:$BQ$1006,0)), HYPERLINK("#",""), HYPERLINK(CONCATENATE("#Metadata!", ADDRESS(INDEX($AJ$2:$AJ$1001,MATCH(ROWS($AH$2:AH23),$AH$2:$AH$1001,0),0), INDEX($AO$1004:$BQ$1004,1,MATCH(COLUMNS($AO$1006:BG1006),$AO$1006:$BQ$1006,0)))),"Fix")))</f>
        <v>#N/A</v>
      </c>
      <c r="U23" s="5" t="e">
        <f ca="1">IF(OR(INDEX($AI$2:$AI$1001,MATCH(ROWS($AH$2:AH23),$AH$2:$AH$1001,0),1)&gt;=100000,INDEX($AO$1005:$BQ$1005,1,MATCH(COLUMNS($AO$1006:BH1006),$AO$1006:$BQ$1006,0))&gt;=100000), " ",IF(INDEX($AO$2:$BQ$1001,MATCH(ROWS($AH$2:AH23),$AH$2:$AH$1001,0),MATCH(COLUMNS($AO$1006:BH1006),$AO$1006:$BQ$1006,0)), HYPERLINK("#",""), HYPERLINK(CONCATENATE("#Metadata!", ADDRESS(INDEX($AJ$2:$AJ$1001,MATCH(ROWS($AH$2:AH23),$AH$2:$AH$1001,0),0), INDEX($AO$1004:$BQ$1004,1,MATCH(COLUMNS($AO$1006:BH1006),$AO$1006:$BQ$1006,0)))),"Fix")))</f>
        <v>#N/A</v>
      </c>
      <c r="V23" s="5" t="e">
        <f ca="1">IF(OR(INDEX($AI$2:$AI$1001,MATCH(ROWS($AH$2:AH23),$AH$2:$AH$1001,0),1)&gt;=100000,INDEX($AO$1005:$BQ$1005,1,MATCH(COLUMNS($AO$1006:BI1006),$AO$1006:$BQ$1006,0))&gt;=100000), " ",IF(INDEX($AO$2:$BQ$1001,MATCH(ROWS($AH$2:AH23),$AH$2:$AH$1001,0),MATCH(COLUMNS($AO$1006:BI1006),$AO$1006:$BQ$1006,0)), HYPERLINK("#",""), HYPERLINK(CONCATENATE("#Metadata!", ADDRESS(INDEX($AJ$2:$AJ$1001,MATCH(ROWS($AH$2:AH23),$AH$2:$AH$1001,0),0), INDEX($AO$1004:$BQ$1004,1,MATCH(COLUMNS($AO$1006:BI1006),$AO$1006:$BQ$1006,0)))),"Fix")))</f>
        <v>#N/A</v>
      </c>
      <c r="W23" s="5" t="e">
        <f ca="1">IF(OR(INDEX($AI$2:$AI$1001,MATCH(ROWS($AH$2:AH23),$AH$2:$AH$1001,0),1)&gt;=100000,INDEX($AO$1005:$BQ$1005,1,MATCH(COLUMNS($AO$1006:BJ1006),$AO$1006:$BQ$1006,0))&gt;=100000), " ",IF(INDEX($AO$2:$BQ$1001,MATCH(ROWS($AH$2:AH23),$AH$2:$AH$1001,0),MATCH(COLUMNS($AO$1006:BJ1006),$AO$1006:$BQ$1006,0)), HYPERLINK("#",""), HYPERLINK(CONCATENATE("#Metadata!", ADDRESS(INDEX($AJ$2:$AJ$1001,MATCH(ROWS($AH$2:AH23),$AH$2:$AH$1001,0),0), INDEX($AO$1004:$BQ$1004,1,MATCH(COLUMNS($AO$1006:BJ1006),$AO$1006:$BQ$1006,0)))),"Fix")))</f>
        <v>#N/A</v>
      </c>
      <c r="X23" s="5" t="e">
        <f ca="1">IF(OR(INDEX($AI$2:$AI$1001,MATCH(ROWS($AH$2:AH23),$AH$2:$AH$1001,0),1)&gt;=100000,INDEX($AO$1005:$BQ$1005,1,MATCH(COLUMNS($AO$1006:BK1006),$AO$1006:$BQ$1006,0))&gt;=100000), " ",IF(INDEX($AO$2:$BQ$1001,MATCH(ROWS($AH$2:AH23),$AH$2:$AH$1001,0),MATCH(COLUMNS($AO$1006:BK1006),$AO$1006:$BQ$1006,0)), HYPERLINK("#",""), HYPERLINK(CONCATENATE("#Metadata!", ADDRESS(INDEX($AJ$2:$AJ$1001,MATCH(ROWS($AH$2:AH23),$AH$2:$AH$1001,0),0), INDEX($AO$1004:$BQ$1004,1,MATCH(COLUMNS($AO$1006:BK1006),$AO$1006:$BQ$1006,0)))),"Fix")))</f>
        <v>#N/A</v>
      </c>
      <c r="Y23" s="5" t="e">
        <f ca="1">IF(OR(INDEX($AI$2:$AI$1001,MATCH(ROWS($AH$2:AH23),$AH$2:$AH$1001,0),1)&gt;=100000,INDEX($AO$1005:$BQ$1005,1,MATCH(COLUMNS($AO$1006:BL1006),$AO$1006:$BQ$1006,0))&gt;=100000), " ",IF(INDEX($AO$2:$BQ$1001,MATCH(ROWS($AH$2:AH23),$AH$2:$AH$1001,0),MATCH(COLUMNS($AO$1006:BL1006),$AO$1006:$BQ$1006,0)), HYPERLINK("#",""), HYPERLINK(CONCATENATE("#Metadata!", ADDRESS(INDEX($AJ$2:$AJ$1001,MATCH(ROWS($AH$2:AH23),$AH$2:$AH$1001,0),0), INDEX($AO$1004:$BQ$1004,1,MATCH(COLUMNS($AO$1006:BL1006),$AO$1006:$BQ$1006,0)))),"Fix")))</f>
        <v>#N/A</v>
      </c>
      <c r="Z23" s="5" t="e">
        <f ca="1">IF(OR(INDEX($AI$2:$AI$1001,MATCH(ROWS($AH$2:AH23),$AH$2:$AH$1001,0),1)&gt;=100000,INDEX($AO$1005:$BQ$1005,1,MATCH(COLUMNS($AO$1006:BM1006),$AO$1006:$BQ$1006,0))&gt;=100000), " ",IF(INDEX($AO$2:$BQ$1001,MATCH(ROWS($AH$2:AH23),$AH$2:$AH$1001,0),MATCH(COLUMNS($AO$1006:BM1006),$AO$1006:$BQ$1006,0)), HYPERLINK("#",""), HYPERLINK(CONCATENATE("#Metadata!", ADDRESS(INDEX($AJ$2:$AJ$1001,MATCH(ROWS($AH$2:AH23),$AH$2:$AH$1001,0),0), INDEX($AO$1004:$BQ$1004,1,MATCH(COLUMNS($AO$1006:BM1006),$AO$1006:$BQ$1006,0)))),"Fix")))</f>
        <v>#N/A</v>
      </c>
      <c r="AA23" s="5" t="e">
        <f ca="1">IF(OR(INDEX($AI$2:$AI$1001,MATCH(ROWS($AH$2:AH23),$AH$2:$AH$1001,0),1)&gt;=100000,INDEX($AO$1005:$BQ$1005,1,MATCH(COLUMNS($AO$1006:BN1006),$AO$1006:$BQ$1006,0))&gt;=100000), " ",IF(INDEX($AO$2:$BQ$1001,MATCH(ROWS($AH$2:AH23),$AH$2:$AH$1001,0),MATCH(COLUMNS($AO$1006:BN1006),$AO$1006:$BQ$1006,0)), HYPERLINK("#",""), HYPERLINK(CONCATENATE("#Metadata!", ADDRESS(INDEX($AJ$2:$AJ$1001,MATCH(ROWS($AH$2:AH23),$AH$2:$AH$1001,0),0), INDEX($AO$1004:$BQ$1004,1,MATCH(COLUMNS($AO$1006:BN1006),$AO$1006:$BQ$1006,0)))),"Fix")))</f>
        <v>#N/A</v>
      </c>
      <c r="AB23" s="5" t="e">
        <f ca="1">IF(OR(INDEX($AI$2:$AI$1001,MATCH(ROWS($AH$2:AH23),$AH$2:$AH$1001,0),1)&gt;=100000,INDEX($AO$1005:$BQ$1005,1,MATCH(COLUMNS($AO$1006:BO1006),$AO$1006:$BQ$1006,0))&gt;=100000), " ",IF(INDEX($AO$2:$BQ$1001,MATCH(ROWS($AH$2:AH23),$AH$2:$AH$1001,0),MATCH(COLUMNS($AO$1006:BO1006),$AO$1006:$BQ$1006,0)), HYPERLINK("#",""), HYPERLINK(CONCATENATE("#Metadata!", ADDRESS(INDEX($AJ$2:$AJ$1001,MATCH(ROWS($AH$2:AH23),$AH$2:$AH$1001,0),0), INDEX($AO$1004:$BQ$1004,1,MATCH(COLUMNS($AO$1006:BO1006),$AO$1006:$BQ$1006,0)))),"Fix")))</f>
        <v>#N/A</v>
      </c>
      <c r="AC23" s="5" t="e">
        <f ca="1">IF(OR(INDEX($AI$2:$AI$1001,MATCH(ROWS($AH$2:AH23),$AH$2:$AH$1001,0),1)&gt;=100000,INDEX($AO$1005:$BQ$1005,1,MATCH(COLUMNS($AO$1006:BP1006),$AO$1006:$BQ$1006,0))&gt;=100000), " ",IF(INDEX($AO$2:$BQ$1001,MATCH(ROWS($AH$2:AH23),$AH$2:$AH$1001,0),MATCH(COLUMNS($AO$1006:BP1006),$AO$1006:$BQ$1006,0)), HYPERLINK("#",""), HYPERLINK(CONCATENATE("#Metadata!", ADDRESS(INDEX($AJ$2:$AJ$1001,MATCH(ROWS($AH$2:AH23),$AH$2:$AH$1001,0),0), INDEX($AO$1004:$BQ$1004,1,MATCH(COLUMNS($AO$1006:BP1006),$AO$1006:$BQ$1006,0)))),"Fix")))</f>
        <v>#N/A</v>
      </c>
      <c r="AD23" s="5" t="e">
        <f ca="1">IF(OR(INDEX($AI$2:$AI$1001,MATCH(ROWS($AH$2:AH23),$AH$2:$AH$1001,0),1)&gt;=100000,INDEX($AO$1005:$BQ$1005,1,MATCH(COLUMNS($AO$1006:BQ1006),$AO$1006:$BQ$1006,0))&gt;=100000), " ",IF(INDEX($AO$2:$BQ$1001,MATCH(ROWS($AH$2:AH23),$AH$2:$AH$1001,0),MATCH(COLUMNS($AO$1006:BQ1006),$AO$1006:$BQ$1006,0)), HYPERLINK("#",""), HYPERLINK(CONCATENATE("#Metadata!", ADDRESS(INDEX($AJ$2:$AJ$1001,MATCH(ROWS($AH$2:AH23),$AH$2:$AH$1001,0),0), INDEX($AO$1004:$BQ$1004,1,MATCH(COLUMNS($AO$1006:BQ1006),$AO$1006:$BQ$1006,0)))),"Fix")))</f>
        <v>#REF!</v>
      </c>
      <c r="AH23">
        <f ca="1"/>
        <v>21</v>
      </c>
      <c r="AI23">
        <f ca="1"/>
        <v>23</v>
      </c>
      <c r="AJ23">
        <v>23</v>
      </c>
      <c r="AK23" t="b">
        <f t="shared" ca="1" si="0"/>
        <v>0</v>
      </c>
      <c r="AL23" t="b">
        <f>COUNTBLANK(Metadata!B23:AD23)=COLUMNS(Metadata!B23:AD23)</f>
        <v>0</v>
      </c>
      <c r="AM23" t="str">
        <v>Environment.Sediment.BTP.243Sediment</v>
      </c>
      <c r="AO23" t="b">
        <f ca="1">AND(IF(Metadata!B22="",FALSE,TRUE),COUNTIF(Metadata!B:B, Metadata!B22) = 1,NOT(ISERROR(SUMPRODUCT(SEARCH(MID(Metadata!B22,ROW(INDIRECT("1:"&amp;LEN(Metadata!B22))), 1),"0123456789abcdefghijklmnopqrstuvwxyzABCDEFGHIJKLMNOPQRSTUVWXYZ.")))))</f>
        <v>1</v>
      </c>
      <c r="AP23" t="b">
        <f>IF(Metadata!C22="",FALSE,TRUE)</f>
        <v>1</v>
      </c>
      <c r="AQ23" t="b">
        <f>IF(Metadata!D22="",FALSE,TRUE)</f>
        <v>1</v>
      </c>
      <c r="AR23" t="b">
        <f ca="1">OR(AND(IF(Metadata!E22="",FALSE,TRUE),OR(EXACT(Metadata!E22,"not collected"),EXACT(Metadata!E22,"not provided"),EXACT(Metadata!E22,"restricted access"))),AND(IF(Metadata!E22="",FALSE,TRUE),AND(AND(IFERROR(INT(LEFT(Metadata!E22,4))&gt;1900,FALSE),IFERROR(INT(LEFT(Metadata!E22,4))&lt;=YEAR(NOW()),FALSE)), OR(MID(Metadata!E22,5,1)="", AND(AND(MID(Metadata!E22,5,1)="-",IFERROR(INT(MID(Metadata!E22,6,1))&gt;=0,FALSE),IFERROR(INT(MID(Metadata!E22,6,1))&lt;=1,FALSE),NOT(MID(Metadata!E22,7,1)=""),IFERROR(INT(MID(Metadata!E22,6,2))&gt;=1,FALSE),IFERROR(INT(MID(Metadata!E22,6,2))&lt;=12,FALSE)), OR(MID(Metadata!E22,8,1)="", AND(AND(MID(Metadata!E22,8,1)="-",IFERROR(INT(MID(Metadata!E22,9,1))&gt;=0,FALSE),IFERROR(INT(MID(Metadata!E22,9,1))&lt;=3,FALSE),NOT(MID(Metadata!E22,10,1)=""),IFERROR(INT(MID(Metadata!E22,9,2))&gt;=1,FALSE),IFERROR(INT(MID(Metadata!E22,9,2))&lt;=31,FALSE)), OR(MID(Metadata!E22,11,1)="", AND(AND(MID(Metadata!E22,11,1)=" ",IFERROR(INT(MID(Metadata!E22,12,1))&gt;=0,FALSE),IFERROR(INT(MID(Metadata!E22,12,1))&lt;=2,FALSE),NOT(MID(Metadata!E22,13,1)=""),IFERROR(INT(MID(Metadata!E22,12,2))&gt;=0,FALSE),IFERROR(INT(MID(Metadata!E22,12,2))&lt;=23,FALSE)), OR(MID(Metadata!E22,14,1)="", AND(AND(MID(Metadata!E22,14,1)=":",IFERROR(INT(MID(Metadata!E22,15,1))&gt;=0,FALSE),IFERROR(INT(MID(Metadata!E22,15,1))&lt;=5,FALSE),NOT(MID(Metadata!E22,16,1)=""),IFERROR(INT(MID(Metadata!E22,15,2))&gt;=0,FALSE),IFERROR(INT(MID(Metadata!E22,15,2))&lt;=59,FALSE)), OR(MID(Metadata!E22,17,1)="", AND(AND(MID(Metadata!E22,17,1)=":",IFERROR(INT(MID(Metadata!E22,18,1))&gt;=0,FALSE),IFERROR(INT(MID(Metadata!E22,18,1))&lt;=5,FALSE),NOT(MID(Metadata!E22,19,1)=""),IFERROR(INT(MID(Metadata!E22,18,2))&gt;=0,FALSE),IFERROR(INT(MID(Metadata!E22,18,2))&lt;=59,FALSE)), LEN(Metadata!E22)&lt;=19)))))))))))))</f>
        <v>0</v>
      </c>
      <c r="AS23" t="b">
        <f>IF(Metadata!F22="",FALSE,TRUE)</f>
        <v>1</v>
      </c>
      <c r="AT23" t="b">
        <f>OR(AND(IF(Metadata!G22="",FALSE,TRUE),OR(EXACT(Metadata!G22,"not collected"),EXACT(Metadata!G22,"not provided"))),AND(IF(Metadata!G22="",FALSE,TRUE),OR(EXACT(Metadata!G22,"TRUE"),EXACT(Metadata!G22,"FALSE"))))</f>
        <v>1</v>
      </c>
      <c r="AU23" t="b">
        <f>OR(AND(IF(Metadata!H22="",FALSE,TRUE),OR(EXACT(Metadata!H22,"not collected"),EXACT(Metadata!H22,"not provided"),EXACT(Metadata!H22,"restricted access"))),AND(IF(Metadata!H22="",FALSE,ISNUMBER(VALUE(Metadata!H22))),Metadata!H22&gt;=-413))</f>
        <v>0</v>
      </c>
      <c r="AV23" t="b">
        <f>AND(IF(Metadata!I22="",FALSE,TRUE),EXACT(Metadata!I22,"meters"))</f>
        <v>1</v>
      </c>
      <c r="AW23" t="b">
        <f>AND(IF(Metadata!J22="",FALSE,TRUE),EXACT(Metadata!J22,"free-living"))</f>
        <v>1</v>
      </c>
      <c r="AX23" t="b">
        <f>AND(IF(Metadata!K22="",FALSE,TRUE),OR(EXACT(Metadata!K22,"saline"),EXACT(Metadata!K22,"non-saline")))</f>
        <v>1</v>
      </c>
      <c r="AY23" t="b">
        <f>AND(IF(Metadata!L22="",FALSE,TRUE),OR(EXACT(Metadata!L22,"sub-surface (non-saline)"),EXACT(Metadata!L22,"surface (non-saline)"),EXACT(Metadata!L22,"water (non-saline)"),EXACT(Metadata!L22,"soil (non-saline)"),EXACT(Metadata!L22,"aerosol (non-saline)"),EXACT(Metadata!L22,"sediment (non-saline)"),EXACT(Metadata!L22,"surface (saline)"),EXACT(Metadata!L22,"water (saline)"),EXACT(Metadata!L22,"hypersaline (saline)"),EXACT(Metadata!L22,"aerosol (saline)"),EXACT(Metadata!L22,"sediment (saline)")))</f>
        <v>1</v>
      </c>
      <c r="AZ23" t="b">
        <f>IF(Metadata!M22="",FALSE,TRUE)</f>
        <v>1</v>
      </c>
      <c r="BA23" t="b">
        <f>IF(Metadata!N22="",FALSE,TRUE)</f>
        <v>1</v>
      </c>
      <c r="BB23" t="b">
        <f>IF(Metadata!O22="",FALSE,TRUE)</f>
        <v>1</v>
      </c>
      <c r="BC23" t="b">
        <f>AND(IF(Metadata!P22="",FALSE,TRUE),OR(EXACT(Metadata!P22,"air"),EXACT(Metadata!P22,"microbial mat/biofilm"),EXACT(Metadata!P22,"misc environment"),EXACT(Metadata!P22,"sediment"),EXACT(Metadata!P22,"soil"),EXACT(Metadata!P22,"wastewater/sludge"),EXACT(Metadata!P22,"water")))</f>
        <v>1</v>
      </c>
      <c r="BD23" t="b">
        <f>IF(Metadata!Q22="",FALSE,TRUE)</f>
        <v>1</v>
      </c>
      <c r="BE23" t="b">
        <f>IF(Metadata!R22="",FALSE,TRUE)</f>
        <v>1</v>
      </c>
      <c r="BF23" t="b">
        <f>OR(AND(IF(Metadata!S22="",FALSE,TRUE),OR(EXACT(Metadata!S22,"not collected"),EXACT(Metadata!S22,"not provided"),EXACT(Metadata!S22,"restricted access"))),AND(IF(Metadata!S22="",FALSE,ISNUMBER(VALUE(Metadata!S22))),Metadata!S22&gt;=-90,Metadata!S22&lt;=90))</f>
        <v>0</v>
      </c>
      <c r="BG23" t="b">
        <f>AND(IF(Metadata!T22="",FALSE,TRUE),EXACT(Metadata!T22,"Decimal degrees"))</f>
        <v>1</v>
      </c>
      <c r="BH23" t="b">
        <f>OR(AND(IF(Metadata!U23="",FALSE,TRUE),OR(EXACT(Metadata!U23,"not applicable"),EXACT(Metadata!U23,"not collected"))),IF(Metadata!U23="",FALSE,TRUE))</f>
        <v>1</v>
      </c>
      <c r="BI23" t="b">
        <f>OR(AND(IF(Metadata!V22="",FALSE,TRUE),OR(EXACT(Metadata!V22,"not collected"),EXACT(Metadata!V22,"not provided"),EXACT(Metadata!V22,"restricted access"))),AND(IF(Metadata!V22="",FALSE,ISNUMBER(VALUE(Metadata!V22))),Metadata!V22&gt;=-180,Metadata!V22&lt;=180))</f>
        <v>0</v>
      </c>
      <c r="BJ23" t="b">
        <f>AND(IF(Metadata!W22="",FALSE,TRUE),EXACT(Metadata!W22,"Decimal degrees"))</f>
        <v>1</v>
      </c>
      <c r="BK23" t="b">
        <f>IF(Metadata!X22="",FALSE,TRUE)</f>
        <v>1</v>
      </c>
      <c r="BL23" t="b">
        <f>OR(AND(IF(Metadata!Y22="",FALSE,TRUE),OR(EXACT(Metadata!Y22,"not collected"),EXACT(Metadata!Y22,"not provided"),EXACT(Metadata!Y22,"restricted access"))),AND(IF(Metadata!Y22="",FALSE,TRUE),OR(EXACT(Metadata!Y22,"TRUE"),EXACT(Metadata!Y22,"FALSE"))))</f>
        <v>1</v>
      </c>
      <c r="BM23" t="b">
        <f>OR(AND(IF(Metadata!Z22="",FALSE,TRUE),EXACT(Metadata!Z22,"not applicable")),AND(IF(Metadata!Z22="",FALSE,TRUE),OR(EXACT(Metadata!Z22,"beer"),EXACT(Metadata!Z22,"cheese"),EXACT(Metadata!Z22,"fresh water"),EXACT(Metadata!Z22,"marine sediment"),EXACT(Metadata!Z22,"sea water"),EXACT(Metadata!Z22,"sediment"),EXACT(Metadata!Z22,"soil"),EXACT(Metadata!Z22,"waste water"))))</f>
        <v>1</v>
      </c>
      <c r="BN23" t="b">
        <f>AND(IF(Metadata!AA22="",FALSE,TRUE),EXACT(Metadata!AA22,"metagenome"))</f>
        <v>1</v>
      </c>
      <c r="BO23" t="b">
        <f>AND(IF(Metadata!AB22="",FALSE,TRUE),EXACT(Metadata!AB22,"256318"))</f>
        <v>1</v>
      </c>
      <c r="BP23" t="b">
        <f>IF(Metadata!AC22="",FALSE,TRUE)</f>
        <v>1</v>
      </c>
      <c r="BQ23" t="b">
        <f>IF(Metadata!AD22="",FALSE,TRUE)</f>
        <v>1</v>
      </c>
    </row>
    <row r="24" spans="1:69" x14ac:dyDescent="0.2">
      <c r="A24" s="4" t="e">
        <f ca="1">IF(B24=" "," ",HYPERLINK(CONCATENATE("#metadata!",ADDRESS(INDEX($AJ$2:$AJ$1001,MATCH(ROWS($AH$2:AH24),$AH$2:$AH$1001,0),0),2)),INDEX($AM$2:$AM$1001,MATCH(ROWS($AH$2:AH24),$AH$2:$AH$1001,0),0)))</f>
        <v>#N/A</v>
      </c>
      <c r="B24" s="5" t="e">
        <f ca="1">IF(OR(INDEX($AI$2:$AI$1001,MATCH(ROWS($AH$2:AH24),$AH$2:$AH$1001,0),1)&gt;=100000,INDEX($AO$1005:$BQ$1005,1,MATCH(COLUMNS($AO$1006:AO1006),$AO$1006:$BQ$1006,0))&gt;=100000), " ",IF(INDEX($AO$2:$BQ$1001,MATCH(ROWS($AH$2:AH24),$AH$2:$AH$1001,0),MATCH(COLUMNS($AO$1006:AO1006),$AO$1006:$BQ$1006,0)), HYPERLINK("#",""), HYPERLINK(CONCATENATE("#Metadata!", ADDRESS(INDEX($AJ$2:$AJ$1001,MATCH(ROWS($AH$2:AH24),$AH$2:$AH$1001,0),0), INDEX($AO$1004:$BQ$1004,1,MATCH(COLUMNS($AO$1006:AO1006),$AO$1006:$BQ$1006,0)))),"Fix")))</f>
        <v>#N/A</v>
      </c>
      <c r="C24" s="5" t="e">
        <f ca="1">IF(OR(INDEX($AI$2:$AI$1001,MATCH(ROWS($AH$2:AH24),$AH$2:$AH$1001,0),1)&gt;=100000,INDEX($AO$1005:$BQ$1005,1,MATCH(COLUMNS($AO$1006:AP1006),$AO$1006:$BQ$1006,0))&gt;=100000), " ",IF(INDEX($AO$2:$BQ$1001,MATCH(ROWS($AH$2:AH24),$AH$2:$AH$1001,0),MATCH(COLUMNS($AO$1006:AP1006),$AO$1006:$BQ$1006,0)), HYPERLINK("#",""), HYPERLINK(CONCATENATE("#Metadata!", ADDRESS(INDEX($AJ$2:$AJ$1001,MATCH(ROWS($AH$2:AH24),$AH$2:$AH$1001,0),0), INDEX($AO$1004:$BQ$1004,1,MATCH(COLUMNS($AO$1006:AP1006),$AO$1006:$BQ$1006,0)))),"Fix")))</f>
        <v>#N/A</v>
      </c>
      <c r="D24" s="5" t="e">
        <f ca="1">IF(OR(INDEX($AI$2:$AI$1001,MATCH(ROWS($AH$2:AH24),$AH$2:$AH$1001,0),1)&gt;=100000,INDEX($AO$1005:$BQ$1005,1,MATCH(COLUMNS($AO$1006:AQ1006),$AO$1006:$BQ$1006,0))&gt;=100000), " ",IF(INDEX($AO$2:$BQ$1001,MATCH(ROWS($AH$2:AH24),$AH$2:$AH$1001,0),MATCH(COLUMNS($AO$1006:AQ1006),$AO$1006:$BQ$1006,0)), HYPERLINK("#",""), HYPERLINK(CONCATENATE("#Metadata!", ADDRESS(INDEX($AJ$2:$AJ$1001,MATCH(ROWS($AH$2:AH24),$AH$2:$AH$1001,0),0), INDEX($AO$1004:$BQ$1004,1,MATCH(COLUMNS($AO$1006:AQ1006),$AO$1006:$BQ$1006,0)))),"Fix")))</f>
        <v>#N/A</v>
      </c>
      <c r="E24" s="5" t="e">
        <f ca="1">IF(OR(INDEX($AI$2:$AI$1001,MATCH(ROWS($AH$2:AH24),$AH$2:$AH$1001,0),1)&gt;=100000,INDEX($AO$1005:$BQ$1005,1,MATCH(COLUMNS($AO$1006:AR1006),$AO$1006:$BQ$1006,0))&gt;=100000), " ",IF(INDEX($AO$2:$BQ$1001,MATCH(ROWS($AH$2:AH24),$AH$2:$AH$1001,0),MATCH(COLUMNS($AO$1006:AR1006),$AO$1006:$BQ$1006,0)), HYPERLINK("#",""), HYPERLINK(CONCATENATE("#Metadata!", ADDRESS(INDEX($AJ$2:$AJ$1001,MATCH(ROWS($AH$2:AH24),$AH$2:$AH$1001,0),0), INDEX($AO$1004:$BQ$1004,1,MATCH(COLUMNS($AO$1006:AR1006),$AO$1006:$BQ$1006,0)))),"Fix")))</f>
        <v>#N/A</v>
      </c>
      <c r="F24" s="5" t="e">
        <f ca="1">IF(OR(INDEX($AI$2:$AI$1001,MATCH(ROWS($AH$2:AH24),$AH$2:$AH$1001,0),1)&gt;=100000,INDEX($AO$1005:$BQ$1005,1,MATCH(COLUMNS($AO$1006:AS1006),$AO$1006:$BQ$1006,0))&gt;=100000), " ",IF(INDEX($AO$2:$BQ$1001,MATCH(ROWS($AH$2:AH24),$AH$2:$AH$1001,0),MATCH(COLUMNS($AO$1006:AS1006),$AO$1006:$BQ$1006,0)), HYPERLINK("#",""), HYPERLINK(CONCATENATE("#Metadata!", ADDRESS(INDEX($AJ$2:$AJ$1001,MATCH(ROWS($AH$2:AH24),$AH$2:$AH$1001,0),0), INDEX($AO$1004:$BQ$1004,1,MATCH(COLUMNS($AO$1006:AS1006),$AO$1006:$BQ$1006,0)))),"Fix")))</f>
        <v>#N/A</v>
      </c>
      <c r="G24" s="5" t="e">
        <f ca="1">IF(OR(INDEX($AI$2:$AI$1001,MATCH(ROWS($AH$2:AH24),$AH$2:$AH$1001,0),1)&gt;=100000,INDEX($AO$1005:$BQ$1005,1,MATCH(COLUMNS($AO$1006:AT1006),$AO$1006:$BQ$1006,0))&gt;=100000), " ",IF(INDEX($AO$2:$BQ$1001,MATCH(ROWS($AH$2:AH24),$AH$2:$AH$1001,0),MATCH(COLUMNS($AO$1006:AT1006),$AO$1006:$BQ$1006,0)), HYPERLINK("#",""), HYPERLINK(CONCATENATE("#Metadata!", ADDRESS(INDEX($AJ$2:$AJ$1001,MATCH(ROWS($AH$2:AH24),$AH$2:$AH$1001,0),0), INDEX($AO$1004:$BQ$1004,1,MATCH(COLUMNS($AO$1006:AT1006),$AO$1006:$BQ$1006,0)))),"Fix")))</f>
        <v>#N/A</v>
      </c>
      <c r="H24" s="5" t="e">
        <f ca="1">IF(OR(INDEX($AI$2:$AI$1001,MATCH(ROWS($AH$2:AH24),$AH$2:$AH$1001,0),1)&gt;=100000,INDEX($AO$1005:$BQ$1005,1,MATCH(COLUMNS($AO$1006:AU1006),$AO$1006:$BQ$1006,0))&gt;=100000), " ",IF(INDEX($AO$2:$BQ$1001,MATCH(ROWS($AH$2:AH24),$AH$2:$AH$1001,0),MATCH(COLUMNS($AO$1006:AU1006),$AO$1006:$BQ$1006,0)), HYPERLINK("#",""), HYPERLINK(CONCATENATE("#Metadata!", ADDRESS(INDEX($AJ$2:$AJ$1001,MATCH(ROWS($AH$2:AH24),$AH$2:$AH$1001,0),0), INDEX($AO$1004:$BQ$1004,1,MATCH(COLUMNS($AO$1006:AU1006),$AO$1006:$BQ$1006,0)))),"Fix")))</f>
        <v>#N/A</v>
      </c>
      <c r="I24" s="5" t="e">
        <f ca="1">IF(OR(INDEX($AI$2:$AI$1001,MATCH(ROWS($AH$2:AH24),$AH$2:$AH$1001,0),1)&gt;=100000,INDEX($AO$1005:$BQ$1005,1,MATCH(COLUMNS($AO$1006:AV1006),$AO$1006:$BQ$1006,0))&gt;=100000), " ",IF(INDEX($AO$2:$BQ$1001,MATCH(ROWS($AH$2:AH24),$AH$2:$AH$1001,0),MATCH(COLUMNS($AO$1006:AV1006),$AO$1006:$BQ$1006,0)), HYPERLINK("#",""), HYPERLINK(CONCATENATE("#Metadata!", ADDRESS(INDEX($AJ$2:$AJ$1001,MATCH(ROWS($AH$2:AH24),$AH$2:$AH$1001,0),0), INDEX($AO$1004:$BQ$1004,1,MATCH(COLUMNS($AO$1006:AV1006),$AO$1006:$BQ$1006,0)))),"Fix")))</f>
        <v>#N/A</v>
      </c>
      <c r="J24" s="5" t="e">
        <f ca="1">IF(OR(INDEX($AI$2:$AI$1001,MATCH(ROWS($AH$2:AH24),$AH$2:$AH$1001,0),1)&gt;=100000,INDEX($AO$1005:$BQ$1005,1,MATCH(COLUMNS($AO$1006:AW1006),$AO$1006:$BQ$1006,0))&gt;=100000), " ",IF(INDEX($AO$2:$BQ$1001,MATCH(ROWS($AH$2:AH24),$AH$2:$AH$1001,0),MATCH(COLUMNS($AO$1006:AW1006),$AO$1006:$BQ$1006,0)), HYPERLINK("#",""), HYPERLINK(CONCATENATE("#Metadata!", ADDRESS(INDEX($AJ$2:$AJ$1001,MATCH(ROWS($AH$2:AH24),$AH$2:$AH$1001,0),0), INDEX($AO$1004:$BQ$1004,1,MATCH(COLUMNS($AO$1006:AW1006),$AO$1006:$BQ$1006,0)))),"Fix")))</f>
        <v>#N/A</v>
      </c>
      <c r="K24" s="5" t="e">
        <f ca="1">IF(OR(INDEX($AI$2:$AI$1001,MATCH(ROWS($AH$2:AH24),$AH$2:$AH$1001,0),1)&gt;=100000,INDEX($AO$1005:$BQ$1005,1,MATCH(COLUMNS($AO$1006:AX1006),$AO$1006:$BQ$1006,0))&gt;=100000), " ",IF(INDEX($AO$2:$BQ$1001,MATCH(ROWS($AH$2:AH24),$AH$2:$AH$1001,0),MATCH(COLUMNS($AO$1006:AX1006),$AO$1006:$BQ$1006,0)), HYPERLINK("#",""), HYPERLINK(CONCATENATE("#Metadata!", ADDRESS(INDEX($AJ$2:$AJ$1001,MATCH(ROWS($AH$2:AH24),$AH$2:$AH$1001,0),0), INDEX($AO$1004:$BQ$1004,1,MATCH(COLUMNS($AO$1006:AX1006),$AO$1006:$BQ$1006,0)))),"Fix")))</f>
        <v>#N/A</v>
      </c>
      <c r="L24" s="5" t="e">
        <f ca="1">IF(OR(INDEX($AI$2:$AI$1001,MATCH(ROWS($AH$2:AH24),$AH$2:$AH$1001,0),1)&gt;=100000,INDEX($AO$1005:$BQ$1005,1,MATCH(COLUMNS($AO$1006:AY1006),$AO$1006:$BQ$1006,0))&gt;=100000), " ",IF(INDEX($AO$2:$BQ$1001,MATCH(ROWS($AH$2:AH24),$AH$2:$AH$1001,0),MATCH(COLUMNS($AO$1006:AY1006),$AO$1006:$BQ$1006,0)), HYPERLINK("#",""), HYPERLINK(CONCATENATE("#Metadata!", ADDRESS(INDEX($AJ$2:$AJ$1001,MATCH(ROWS($AH$2:AH24),$AH$2:$AH$1001,0),0), INDEX($AO$1004:$BQ$1004,1,MATCH(COLUMNS($AO$1006:AY1006),$AO$1006:$BQ$1006,0)))),"Fix")))</f>
        <v>#N/A</v>
      </c>
      <c r="M24" s="5" t="e">
        <f ca="1">IF(OR(INDEX($AI$2:$AI$1001,MATCH(ROWS($AH$2:AH24),$AH$2:$AH$1001,0),1)&gt;=100000,INDEX($AO$1005:$BQ$1005,1,MATCH(COLUMNS($AO$1006:AZ1006),$AO$1006:$BQ$1006,0))&gt;=100000), " ",IF(INDEX($AO$2:$BQ$1001,MATCH(ROWS($AH$2:AH24),$AH$2:$AH$1001,0),MATCH(COLUMNS($AO$1006:AZ1006),$AO$1006:$BQ$1006,0)), HYPERLINK("#",""), HYPERLINK(CONCATENATE("#Metadata!", ADDRESS(INDEX($AJ$2:$AJ$1001,MATCH(ROWS($AH$2:AH24),$AH$2:$AH$1001,0),0), INDEX($AO$1004:$BQ$1004,1,MATCH(COLUMNS($AO$1006:AZ1006),$AO$1006:$BQ$1006,0)))),"Fix")))</f>
        <v>#N/A</v>
      </c>
      <c r="N24" s="5" t="e">
        <f ca="1">IF(OR(INDEX($AI$2:$AI$1001,MATCH(ROWS($AH$2:AH24),$AH$2:$AH$1001,0),1)&gt;=100000,INDEX($AO$1005:$BQ$1005,1,MATCH(COLUMNS($AO$1006:BA1006),$AO$1006:$BQ$1006,0))&gt;=100000), " ",IF(INDEX($AO$2:$BQ$1001,MATCH(ROWS($AH$2:AH24),$AH$2:$AH$1001,0),MATCH(COLUMNS($AO$1006:BA1006),$AO$1006:$BQ$1006,0)), HYPERLINK("#",""), HYPERLINK(CONCATENATE("#Metadata!", ADDRESS(INDEX($AJ$2:$AJ$1001,MATCH(ROWS($AH$2:AH24),$AH$2:$AH$1001,0),0), INDEX($AO$1004:$BQ$1004,1,MATCH(COLUMNS($AO$1006:BA1006),$AO$1006:$BQ$1006,0)))),"Fix")))</f>
        <v>#N/A</v>
      </c>
      <c r="O24" s="5" t="e">
        <f ca="1">IF(OR(INDEX($AI$2:$AI$1001,MATCH(ROWS($AH$2:AH24),$AH$2:$AH$1001,0),1)&gt;=100000,INDEX($AO$1005:$BQ$1005,1,MATCH(COLUMNS($AO$1006:BB1006),$AO$1006:$BQ$1006,0))&gt;=100000), " ",IF(INDEX($AO$2:$BQ$1001,MATCH(ROWS($AH$2:AH24),$AH$2:$AH$1001,0),MATCH(COLUMNS($AO$1006:BB1006),$AO$1006:$BQ$1006,0)), HYPERLINK("#",""), HYPERLINK(CONCATENATE("#Metadata!", ADDRESS(INDEX($AJ$2:$AJ$1001,MATCH(ROWS($AH$2:AH24),$AH$2:$AH$1001,0),0), INDEX($AO$1004:$BQ$1004,1,MATCH(COLUMNS($AO$1006:BB1006),$AO$1006:$BQ$1006,0)))),"Fix")))</f>
        <v>#N/A</v>
      </c>
      <c r="P24" s="5" t="e">
        <f ca="1">IF(OR(INDEX($AI$2:$AI$1001,MATCH(ROWS($AH$2:AH24),$AH$2:$AH$1001,0),1)&gt;=100000,INDEX($AO$1005:$BQ$1005,1,MATCH(COLUMNS($AO$1006:BC1006),$AO$1006:$BQ$1006,0))&gt;=100000), " ",IF(INDEX($AO$2:$BQ$1001,MATCH(ROWS($AH$2:AH24),$AH$2:$AH$1001,0),MATCH(COLUMNS($AO$1006:BC1006),$AO$1006:$BQ$1006,0)), HYPERLINK("#",""), HYPERLINK(CONCATENATE("#Metadata!", ADDRESS(INDEX($AJ$2:$AJ$1001,MATCH(ROWS($AH$2:AH24),$AH$2:$AH$1001,0),0), INDEX($AO$1004:$BQ$1004,1,MATCH(COLUMNS($AO$1006:BC1006),$AO$1006:$BQ$1006,0)))),"Fix")))</f>
        <v>#N/A</v>
      </c>
      <c r="Q24" s="5" t="e">
        <f ca="1">IF(OR(INDEX($AI$2:$AI$1001,MATCH(ROWS($AH$2:AH24),$AH$2:$AH$1001,0),1)&gt;=100000,INDEX($AO$1005:$BQ$1005,1,MATCH(COLUMNS($AO$1006:BD1006),$AO$1006:$BQ$1006,0))&gt;=100000), " ",IF(INDEX($AO$2:$BQ$1001,MATCH(ROWS($AH$2:AH24),$AH$2:$AH$1001,0),MATCH(COLUMNS($AO$1006:BD1006),$AO$1006:$BQ$1006,0)), HYPERLINK("#",""), HYPERLINK(CONCATENATE("#Metadata!", ADDRESS(INDEX($AJ$2:$AJ$1001,MATCH(ROWS($AH$2:AH24),$AH$2:$AH$1001,0),0), INDEX($AO$1004:$BQ$1004,1,MATCH(COLUMNS($AO$1006:BD1006),$AO$1006:$BQ$1006,0)))),"Fix")))</f>
        <v>#N/A</v>
      </c>
      <c r="R24" s="5" t="e">
        <f ca="1">IF(OR(INDEX($AI$2:$AI$1001,MATCH(ROWS($AH$2:AH24),$AH$2:$AH$1001,0),1)&gt;=100000,INDEX($AO$1005:$BQ$1005,1,MATCH(COLUMNS($AO$1006:BE1006),$AO$1006:$BQ$1006,0))&gt;=100000), " ",IF(INDEX($AO$2:$BQ$1001,MATCH(ROWS($AH$2:AH24),$AH$2:$AH$1001,0),MATCH(COLUMNS($AO$1006:BE1006),$AO$1006:$BQ$1006,0)), HYPERLINK("#",""), HYPERLINK(CONCATENATE("#Metadata!", ADDRESS(INDEX($AJ$2:$AJ$1001,MATCH(ROWS($AH$2:AH24),$AH$2:$AH$1001,0),0), INDEX($AO$1004:$BQ$1004,1,MATCH(COLUMNS($AO$1006:BE1006),$AO$1006:$BQ$1006,0)))),"Fix")))</f>
        <v>#N/A</v>
      </c>
      <c r="S24" s="5" t="e">
        <f ca="1">IF(OR(INDEX($AI$2:$AI$1001,MATCH(ROWS($AH$2:AH24),$AH$2:$AH$1001,0),1)&gt;=100000,INDEX($AO$1005:$BQ$1005,1,MATCH(COLUMNS($AO$1006:BF1006),$AO$1006:$BQ$1006,0))&gt;=100000), " ",IF(INDEX($AO$2:$BQ$1001,MATCH(ROWS($AH$2:AH24),$AH$2:$AH$1001,0),MATCH(COLUMNS($AO$1006:BF1006),$AO$1006:$BQ$1006,0)), HYPERLINK("#",""), HYPERLINK(CONCATENATE("#Metadata!", ADDRESS(INDEX($AJ$2:$AJ$1001,MATCH(ROWS($AH$2:AH24),$AH$2:$AH$1001,0),0), INDEX($AO$1004:$BQ$1004,1,MATCH(COLUMNS($AO$1006:BF1006),$AO$1006:$BQ$1006,0)))),"Fix")))</f>
        <v>#N/A</v>
      </c>
      <c r="T24" s="5" t="e">
        <f ca="1">IF(OR(INDEX($AI$2:$AI$1001,MATCH(ROWS($AH$2:AH24),$AH$2:$AH$1001,0),1)&gt;=100000,INDEX($AO$1005:$BQ$1005,1,MATCH(COLUMNS($AO$1006:BG1006),$AO$1006:$BQ$1006,0))&gt;=100000), " ",IF(INDEX($AO$2:$BQ$1001,MATCH(ROWS($AH$2:AH24),$AH$2:$AH$1001,0),MATCH(COLUMNS($AO$1006:BG1006),$AO$1006:$BQ$1006,0)), HYPERLINK("#",""), HYPERLINK(CONCATENATE("#Metadata!", ADDRESS(INDEX($AJ$2:$AJ$1001,MATCH(ROWS($AH$2:AH24),$AH$2:$AH$1001,0),0), INDEX($AO$1004:$BQ$1004,1,MATCH(COLUMNS($AO$1006:BG1006),$AO$1006:$BQ$1006,0)))),"Fix")))</f>
        <v>#N/A</v>
      </c>
      <c r="U24" s="5" t="e">
        <f ca="1">IF(OR(INDEX($AI$2:$AI$1001,MATCH(ROWS($AH$2:AH24),$AH$2:$AH$1001,0),1)&gt;=100000,INDEX($AO$1005:$BQ$1005,1,MATCH(COLUMNS($AO$1006:BH1006),$AO$1006:$BQ$1006,0))&gt;=100000), " ",IF(INDEX($AO$2:$BQ$1001,MATCH(ROWS($AH$2:AH24),$AH$2:$AH$1001,0),MATCH(COLUMNS($AO$1006:BH1006),$AO$1006:$BQ$1006,0)), HYPERLINK("#",""), HYPERLINK(CONCATENATE("#Metadata!", ADDRESS(INDEX($AJ$2:$AJ$1001,MATCH(ROWS($AH$2:AH24),$AH$2:$AH$1001,0),0), INDEX($AO$1004:$BQ$1004,1,MATCH(COLUMNS($AO$1006:BH1006),$AO$1006:$BQ$1006,0)))),"Fix")))</f>
        <v>#N/A</v>
      </c>
      <c r="V24" s="5" t="e">
        <f ca="1">IF(OR(INDEX($AI$2:$AI$1001,MATCH(ROWS($AH$2:AH24),$AH$2:$AH$1001,0),1)&gt;=100000,INDEX($AO$1005:$BQ$1005,1,MATCH(COLUMNS($AO$1006:BI1006),$AO$1006:$BQ$1006,0))&gt;=100000), " ",IF(INDEX($AO$2:$BQ$1001,MATCH(ROWS($AH$2:AH24),$AH$2:$AH$1001,0),MATCH(COLUMNS($AO$1006:BI1006),$AO$1006:$BQ$1006,0)), HYPERLINK("#",""), HYPERLINK(CONCATENATE("#Metadata!", ADDRESS(INDEX($AJ$2:$AJ$1001,MATCH(ROWS($AH$2:AH24),$AH$2:$AH$1001,0),0), INDEX($AO$1004:$BQ$1004,1,MATCH(COLUMNS($AO$1006:BI1006),$AO$1006:$BQ$1006,0)))),"Fix")))</f>
        <v>#N/A</v>
      </c>
      <c r="W24" s="5" t="e">
        <f ca="1">IF(OR(INDEX($AI$2:$AI$1001,MATCH(ROWS($AH$2:AH24),$AH$2:$AH$1001,0),1)&gt;=100000,INDEX($AO$1005:$BQ$1005,1,MATCH(COLUMNS($AO$1006:BJ1006),$AO$1006:$BQ$1006,0))&gt;=100000), " ",IF(INDEX($AO$2:$BQ$1001,MATCH(ROWS($AH$2:AH24),$AH$2:$AH$1001,0),MATCH(COLUMNS($AO$1006:BJ1006),$AO$1006:$BQ$1006,0)), HYPERLINK("#",""), HYPERLINK(CONCATENATE("#Metadata!", ADDRESS(INDEX($AJ$2:$AJ$1001,MATCH(ROWS($AH$2:AH24),$AH$2:$AH$1001,0),0), INDEX($AO$1004:$BQ$1004,1,MATCH(COLUMNS($AO$1006:BJ1006),$AO$1006:$BQ$1006,0)))),"Fix")))</f>
        <v>#N/A</v>
      </c>
      <c r="X24" s="5" t="e">
        <f ca="1">IF(OR(INDEX($AI$2:$AI$1001,MATCH(ROWS($AH$2:AH24),$AH$2:$AH$1001,0),1)&gt;=100000,INDEX($AO$1005:$BQ$1005,1,MATCH(COLUMNS($AO$1006:BK1006),$AO$1006:$BQ$1006,0))&gt;=100000), " ",IF(INDEX($AO$2:$BQ$1001,MATCH(ROWS($AH$2:AH24),$AH$2:$AH$1001,0),MATCH(COLUMNS($AO$1006:BK1006),$AO$1006:$BQ$1006,0)), HYPERLINK("#",""), HYPERLINK(CONCATENATE("#Metadata!", ADDRESS(INDEX($AJ$2:$AJ$1001,MATCH(ROWS($AH$2:AH24),$AH$2:$AH$1001,0),0), INDEX($AO$1004:$BQ$1004,1,MATCH(COLUMNS($AO$1006:BK1006),$AO$1006:$BQ$1006,0)))),"Fix")))</f>
        <v>#N/A</v>
      </c>
      <c r="Y24" s="5" t="e">
        <f ca="1">IF(OR(INDEX($AI$2:$AI$1001,MATCH(ROWS($AH$2:AH24),$AH$2:$AH$1001,0),1)&gt;=100000,INDEX($AO$1005:$BQ$1005,1,MATCH(COLUMNS($AO$1006:BL1006),$AO$1006:$BQ$1006,0))&gt;=100000), " ",IF(INDEX($AO$2:$BQ$1001,MATCH(ROWS($AH$2:AH24),$AH$2:$AH$1001,0),MATCH(COLUMNS($AO$1006:BL1006),$AO$1006:$BQ$1006,0)), HYPERLINK("#",""), HYPERLINK(CONCATENATE("#Metadata!", ADDRESS(INDEX($AJ$2:$AJ$1001,MATCH(ROWS($AH$2:AH24),$AH$2:$AH$1001,0),0), INDEX($AO$1004:$BQ$1004,1,MATCH(COLUMNS($AO$1006:BL1006),$AO$1006:$BQ$1006,0)))),"Fix")))</f>
        <v>#N/A</v>
      </c>
      <c r="Z24" s="5" t="e">
        <f ca="1">IF(OR(INDEX($AI$2:$AI$1001,MATCH(ROWS($AH$2:AH24),$AH$2:$AH$1001,0),1)&gt;=100000,INDEX($AO$1005:$BQ$1005,1,MATCH(COLUMNS($AO$1006:BM1006),$AO$1006:$BQ$1006,0))&gt;=100000), " ",IF(INDEX($AO$2:$BQ$1001,MATCH(ROWS($AH$2:AH24),$AH$2:$AH$1001,0),MATCH(COLUMNS($AO$1006:BM1006),$AO$1006:$BQ$1006,0)), HYPERLINK("#",""), HYPERLINK(CONCATENATE("#Metadata!", ADDRESS(INDEX($AJ$2:$AJ$1001,MATCH(ROWS($AH$2:AH24),$AH$2:$AH$1001,0),0), INDEX($AO$1004:$BQ$1004,1,MATCH(COLUMNS($AO$1006:BM1006),$AO$1006:$BQ$1006,0)))),"Fix")))</f>
        <v>#N/A</v>
      </c>
      <c r="AA24" s="5" t="e">
        <f ca="1">IF(OR(INDEX($AI$2:$AI$1001,MATCH(ROWS($AH$2:AH24),$AH$2:$AH$1001,0),1)&gt;=100000,INDEX($AO$1005:$BQ$1005,1,MATCH(COLUMNS($AO$1006:BN1006),$AO$1006:$BQ$1006,0))&gt;=100000), " ",IF(INDEX($AO$2:$BQ$1001,MATCH(ROWS($AH$2:AH24),$AH$2:$AH$1001,0),MATCH(COLUMNS($AO$1006:BN1006),$AO$1006:$BQ$1006,0)), HYPERLINK("#",""), HYPERLINK(CONCATENATE("#Metadata!", ADDRESS(INDEX($AJ$2:$AJ$1001,MATCH(ROWS($AH$2:AH24),$AH$2:$AH$1001,0),0), INDEX($AO$1004:$BQ$1004,1,MATCH(COLUMNS($AO$1006:BN1006),$AO$1006:$BQ$1006,0)))),"Fix")))</f>
        <v>#N/A</v>
      </c>
      <c r="AB24" s="5" t="e">
        <f ca="1">IF(OR(INDEX($AI$2:$AI$1001,MATCH(ROWS($AH$2:AH24),$AH$2:$AH$1001,0),1)&gt;=100000,INDEX($AO$1005:$BQ$1005,1,MATCH(COLUMNS($AO$1006:BO1006),$AO$1006:$BQ$1006,0))&gt;=100000), " ",IF(INDEX($AO$2:$BQ$1001,MATCH(ROWS($AH$2:AH24),$AH$2:$AH$1001,0),MATCH(COLUMNS($AO$1006:BO1006),$AO$1006:$BQ$1006,0)), HYPERLINK("#",""), HYPERLINK(CONCATENATE("#Metadata!", ADDRESS(INDEX($AJ$2:$AJ$1001,MATCH(ROWS($AH$2:AH24),$AH$2:$AH$1001,0),0), INDEX($AO$1004:$BQ$1004,1,MATCH(COLUMNS($AO$1006:BO1006),$AO$1006:$BQ$1006,0)))),"Fix")))</f>
        <v>#N/A</v>
      </c>
      <c r="AC24" s="5" t="e">
        <f ca="1">IF(OR(INDEX($AI$2:$AI$1001,MATCH(ROWS($AH$2:AH24),$AH$2:$AH$1001,0),1)&gt;=100000,INDEX($AO$1005:$BQ$1005,1,MATCH(COLUMNS($AO$1006:BP1006),$AO$1006:$BQ$1006,0))&gt;=100000), " ",IF(INDEX($AO$2:$BQ$1001,MATCH(ROWS($AH$2:AH24),$AH$2:$AH$1001,0),MATCH(COLUMNS($AO$1006:BP1006),$AO$1006:$BQ$1006,0)), HYPERLINK("#",""), HYPERLINK(CONCATENATE("#Metadata!", ADDRESS(INDEX($AJ$2:$AJ$1001,MATCH(ROWS($AH$2:AH24),$AH$2:$AH$1001,0),0), INDEX($AO$1004:$BQ$1004,1,MATCH(COLUMNS($AO$1006:BP1006),$AO$1006:$BQ$1006,0)))),"Fix")))</f>
        <v>#N/A</v>
      </c>
      <c r="AD24" s="5" t="e">
        <f ca="1">IF(OR(INDEX($AI$2:$AI$1001,MATCH(ROWS($AH$2:AH24),$AH$2:$AH$1001,0),1)&gt;=100000,INDEX($AO$1005:$BQ$1005,1,MATCH(COLUMNS($AO$1006:BQ1006),$AO$1006:$BQ$1006,0))&gt;=100000), " ",IF(INDEX($AO$2:$BQ$1001,MATCH(ROWS($AH$2:AH24),$AH$2:$AH$1001,0),MATCH(COLUMNS($AO$1006:BQ1006),$AO$1006:$BQ$1006,0)), HYPERLINK("#",""), HYPERLINK(CONCATENATE("#Metadata!", ADDRESS(INDEX($AJ$2:$AJ$1001,MATCH(ROWS($AH$2:AH24),$AH$2:$AH$1001,0),0), INDEX($AO$1004:$BQ$1004,1,MATCH(COLUMNS($AO$1006:BQ1006),$AO$1006:$BQ$1006,0)))),"Fix")))</f>
        <v>#REF!</v>
      </c>
      <c r="AH24">
        <f ca="1"/>
        <v>22</v>
      </c>
      <c r="AI24">
        <f ca="1"/>
        <v>24</v>
      </c>
      <c r="AJ24">
        <v>24</v>
      </c>
      <c r="AK24" t="b">
        <f t="shared" ca="1" si="0"/>
        <v>0</v>
      </c>
      <c r="AL24" t="b">
        <f>COUNTBLANK(Metadata!B24:AD24)=COLUMNS(Metadata!B24:AD24)</f>
        <v>0</v>
      </c>
      <c r="AM24" t="str">
        <v>Environment.Sediment.BTP.234Sediment</v>
      </c>
      <c r="AO24" t="b">
        <f ca="1">AND(IF(Metadata!B23="",FALSE,TRUE),COUNTIF(Metadata!B:B, Metadata!B23) = 1,NOT(ISERROR(SUMPRODUCT(SEARCH(MID(Metadata!B23,ROW(INDIRECT("1:"&amp;LEN(Metadata!B23))), 1),"0123456789abcdefghijklmnopqrstuvwxyzABCDEFGHIJKLMNOPQRSTUVWXYZ.")))))</f>
        <v>1</v>
      </c>
      <c r="AP24" t="b">
        <f>IF(Metadata!C23="",FALSE,TRUE)</f>
        <v>1</v>
      </c>
      <c r="AQ24" t="b">
        <f>IF(Metadata!D23="",FALSE,TRUE)</f>
        <v>1</v>
      </c>
      <c r="AR24" t="b">
        <f ca="1">OR(AND(IF(Metadata!E23="",FALSE,TRUE),OR(EXACT(Metadata!E23,"not collected"),EXACT(Metadata!E23,"not provided"),EXACT(Metadata!E23,"restricted access"))),AND(IF(Metadata!E23="",FALSE,TRUE),AND(AND(IFERROR(INT(LEFT(Metadata!E23,4))&gt;1900,FALSE),IFERROR(INT(LEFT(Metadata!E23,4))&lt;=YEAR(NOW()),FALSE)), OR(MID(Metadata!E23,5,1)="", AND(AND(MID(Metadata!E23,5,1)="-",IFERROR(INT(MID(Metadata!E23,6,1))&gt;=0,FALSE),IFERROR(INT(MID(Metadata!E23,6,1))&lt;=1,FALSE),NOT(MID(Metadata!E23,7,1)=""),IFERROR(INT(MID(Metadata!E23,6,2))&gt;=1,FALSE),IFERROR(INT(MID(Metadata!E23,6,2))&lt;=12,FALSE)), OR(MID(Metadata!E23,8,1)="", AND(AND(MID(Metadata!E23,8,1)="-",IFERROR(INT(MID(Metadata!E23,9,1))&gt;=0,FALSE),IFERROR(INT(MID(Metadata!E23,9,1))&lt;=3,FALSE),NOT(MID(Metadata!E23,10,1)=""),IFERROR(INT(MID(Metadata!E23,9,2))&gt;=1,FALSE),IFERROR(INT(MID(Metadata!E23,9,2))&lt;=31,FALSE)), OR(MID(Metadata!E23,11,1)="", AND(AND(MID(Metadata!E23,11,1)=" ",IFERROR(INT(MID(Metadata!E23,12,1))&gt;=0,FALSE),IFERROR(INT(MID(Metadata!E23,12,1))&lt;=2,FALSE),NOT(MID(Metadata!E23,13,1)=""),IFERROR(INT(MID(Metadata!E23,12,2))&gt;=0,FALSE),IFERROR(INT(MID(Metadata!E23,12,2))&lt;=23,FALSE)), OR(MID(Metadata!E23,14,1)="", AND(AND(MID(Metadata!E23,14,1)=":",IFERROR(INT(MID(Metadata!E23,15,1))&gt;=0,FALSE),IFERROR(INT(MID(Metadata!E23,15,1))&lt;=5,FALSE),NOT(MID(Metadata!E23,16,1)=""),IFERROR(INT(MID(Metadata!E23,15,2))&gt;=0,FALSE),IFERROR(INT(MID(Metadata!E23,15,2))&lt;=59,FALSE)), OR(MID(Metadata!E23,17,1)="", AND(AND(MID(Metadata!E23,17,1)=":",IFERROR(INT(MID(Metadata!E23,18,1))&gt;=0,FALSE),IFERROR(INT(MID(Metadata!E23,18,1))&lt;=5,FALSE),NOT(MID(Metadata!E23,19,1)=""),IFERROR(INT(MID(Metadata!E23,18,2))&gt;=0,FALSE),IFERROR(INT(MID(Metadata!E23,18,2))&lt;=59,FALSE)), LEN(Metadata!E23)&lt;=19)))))))))))))</f>
        <v>0</v>
      </c>
      <c r="AS24" t="b">
        <f>IF(Metadata!F23="",FALSE,TRUE)</f>
        <v>1</v>
      </c>
      <c r="AT24" t="b">
        <f>OR(AND(IF(Metadata!G23="",FALSE,TRUE),OR(EXACT(Metadata!G23,"not collected"),EXACT(Metadata!G23,"not provided"))),AND(IF(Metadata!G23="",FALSE,TRUE),OR(EXACT(Metadata!G23,"TRUE"),EXACT(Metadata!G23,"FALSE"))))</f>
        <v>1</v>
      </c>
      <c r="AU24" t="b">
        <f>OR(AND(IF(Metadata!H23="",FALSE,TRUE),OR(EXACT(Metadata!H23,"not collected"),EXACT(Metadata!H23,"not provided"),EXACT(Metadata!H23,"restricted access"))),AND(IF(Metadata!H23="",FALSE,ISNUMBER(VALUE(Metadata!H23))),Metadata!H23&gt;=-413))</f>
        <v>0</v>
      </c>
      <c r="AV24" t="b">
        <f>AND(IF(Metadata!I23="",FALSE,TRUE),EXACT(Metadata!I23,"meters"))</f>
        <v>1</v>
      </c>
      <c r="AW24" t="b">
        <f>AND(IF(Metadata!J23="",FALSE,TRUE),EXACT(Metadata!J23,"free-living"))</f>
        <v>1</v>
      </c>
      <c r="AX24" t="b">
        <f>AND(IF(Metadata!K23="",FALSE,TRUE),OR(EXACT(Metadata!K23,"saline"),EXACT(Metadata!K23,"non-saline")))</f>
        <v>1</v>
      </c>
      <c r="AY24" t="b">
        <f>AND(IF(Metadata!L23="",FALSE,TRUE),OR(EXACT(Metadata!L23,"sub-surface (non-saline)"),EXACT(Metadata!L23,"surface (non-saline)"),EXACT(Metadata!L23,"water (non-saline)"),EXACT(Metadata!L23,"soil (non-saline)"),EXACT(Metadata!L23,"aerosol (non-saline)"),EXACT(Metadata!L23,"sediment (non-saline)"),EXACT(Metadata!L23,"surface (saline)"),EXACT(Metadata!L23,"water (saline)"),EXACT(Metadata!L23,"hypersaline (saline)"),EXACT(Metadata!L23,"aerosol (saline)"),EXACT(Metadata!L23,"sediment (saline)")))</f>
        <v>1</v>
      </c>
      <c r="AZ24" t="b">
        <f>IF(Metadata!M23="",FALSE,TRUE)</f>
        <v>1</v>
      </c>
      <c r="BA24" t="b">
        <f>IF(Metadata!N23="",FALSE,TRUE)</f>
        <v>1</v>
      </c>
      <c r="BB24" t="b">
        <f>IF(Metadata!O23="",FALSE,TRUE)</f>
        <v>1</v>
      </c>
      <c r="BC24" t="b">
        <f>AND(IF(Metadata!P23="",FALSE,TRUE),OR(EXACT(Metadata!P23,"air"),EXACT(Metadata!P23,"microbial mat/biofilm"),EXACT(Metadata!P23,"misc environment"),EXACT(Metadata!P23,"sediment"),EXACT(Metadata!P23,"soil"),EXACT(Metadata!P23,"wastewater/sludge"),EXACT(Metadata!P23,"water")))</f>
        <v>1</v>
      </c>
      <c r="BD24" t="b">
        <f>IF(Metadata!Q23="",FALSE,TRUE)</f>
        <v>1</v>
      </c>
      <c r="BE24" t="b">
        <f>IF(Metadata!R23="",FALSE,TRUE)</f>
        <v>1</v>
      </c>
      <c r="BF24" t="b">
        <f>OR(AND(IF(Metadata!S23="",FALSE,TRUE),OR(EXACT(Metadata!S23,"not collected"),EXACT(Metadata!S23,"not provided"),EXACT(Metadata!S23,"restricted access"))),AND(IF(Metadata!S23="",FALSE,ISNUMBER(VALUE(Metadata!S23))),Metadata!S23&gt;=-90,Metadata!S23&lt;=90))</f>
        <v>0</v>
      </c>
      <c r="BG24" t="b">
        <f>AND(IF(Metadata!T23="",FALSE,TRUE),EXACT(Metadata!T23,"Decimal degrees"))</f>
        <v>1</v>
      </c>
      <c r="BH24" t="b">
        <f>OR(AND(IF(Metadata!U24="",FALSE,TRUE),OR(EXACT(Metadata!U24,"not applicable"),EXACT(Metadata!U24,"not collected"))),IF(Metadata!U24="",FALSE,TRUE))</f>
        <v>1</v>
      </c>
      <c r="BI24" t="b">
        <f>OR(AND(IF(Metadata!V23="",FALSE,TRUE),OR(EXACT(Metadata!V23,"not collected"),EXACT(Metadata!V23,"not provided"),EXACT(Metadata!V23,"restricted access"))),AND(IF(Metadata!V23="",FALSE,ISNUMBER(VALUE(Metadata!V23))),Metadata!V23&gt;=-180,Metadata!V23&lt;=180))</f>
        <v>0</v>
      </c>
      <c r="BJ24" t="b">
        <f>AND(IF(Metadata!W23="",FALSE,TRUE),EXACT(Metadata!W23,"Decimal degrees"))</f>
        <v>1</v>
      </c>
      <c r="BK24" t="b">
        <f>IF(Metadata!X23="",FALSE,TRUE)</f>
        <v>1</v>
      </c>
      <c r="BL24" t="b">
        <f>OR(AND(IF(Metadata!Y23="",FALSE,TRUE),OR(EXACT(Metadata!Y23,"not collected"),EXACT(Metadata!Y23,"not provided"),EXACT(Metadata!Y23,"restricted access"))),AND(IF(Metadata!Y23="",FALSE,TRUE),OR(EXACT(Metadata!Y23,"TRUE"),EXACT(Metadata!Y23,"FALSE"))))</f>
        <v>1</v>
      </c>
      <c r="BM24" t="b">
        <f>OR(AND(IF(Metadata!Z23="",FALSE,TRUE),EXACT(Metadata!Z23,"not applicable")),AND(IF(Metadata!Z23="",FALSE,TRUE),OR(EXACT(Metadata!Z23,"beer"),EXACT(Metadata!Z23,"cheese"),EXACT(Metadata!Z23,"fresh water"),EXACT(Metadata!Z23,"marine sediment"),EXACT(Metadata!Z23,"sea water"),EXACT(Metadata!Z23,"sediment"),EXACT(Metadata!Z23,"soil"),EXACT(Metadata!Z23,"waste water"))))</f>
        <v>1</v>
      </c>
      <c r="BN24" t="b">
        <f>AND(IF(Metadata!AA23="",FALSE,TRUE),EXACT(Metadata!AA23,"metagenome"))</f>
        <v>1</v>
      </c>
      <c r="BO24" t="b">
        <f>AND(IF(Metadata!AB23="",FALSE,TRUE),EXACT(Metadata!AB23,"256318"))</f>
        <v>1</v>
      </c>
      <c r="BP24" t="b">
        <f>IF(Metadata!AC23="",FALSE,TRUE)</f>
        <v>1</v>
      </c>
      <c r="BQ24" t="b">
        <f>IF(Metadata!AD23="",FALSE,TRUE)</f>
        <v>1</v>
      </c>
    </row>
    <row r="25" spans="1:69" x14ac:dyDescent="0.2">
      <c r="A25" s="4" t="e">
        <f ca="1">IF(B25=" "," ",HYPERLINK(CONCATENATE("#metadata!",ADDRESS(INDEX($AJ$2:$AJ$1001,MATCH(ROWS($AH$2:AH25),$AH$2:$AH$1001,0),0),2)),INDEX($AM$2:$AM$1001,MATCH(ROWS($AH$2:AH25),$AH$2:$AH$1001,0),0)))</f>
        <v>#N/A</v>
      </c>
      <c r="B25" s="5" t="e">
        <f ca="1">IF(OR(INDEX($AI$2:$AI$1001,MATCH(ROWS($AH$2:AH25),$AH$2:$AH$1001,0),1)&gt;=100000,INDEX($AO$1005:$BQ$1005,1,MATCH(COLUMNS($AO$1006:AO1006),$AO$1006:$BQ$1006,0))&gt;=100000), " ",IF(INDEX($AO$2:$BQ$1001,MATCH(ROWS($AH$2:AH25),$AH$2:$AH$1001,0),MATCH(COLUMNS($AO$1006:AO1006),$AO$1006:$BQ$1006,0)), HYPERLINK("#",""), HYPERLINK(CONCATENATE("#Metadata!", ADDRESS(INDEX($AJ$2:$AJ$1001,MATCH(ROWS($AH$2:AH25),$AH$2:$AH$1001,0),0), INDEX($AO$1004:$BQ$1004,1,MATCH(COLUMNS($AO$1006:AO1006),$AO$1006:$BQ$1006,0)))),"Fix")))</f>
        <v>#N/A</v>
      </c>
      <c r="C25" s="5" t="e">
        <f ca="1">IF(OR(INDEX($AI$2:$AI$1001,MATCH(ROWS($AH$2:AH25),$AH$2:$AH$1001,0),1)&gt;=100000,INDEX($AO$1005:$BQ$1005,1,MATCH(COLUMNS($AO$1006:AP1006),$AO$1006:$BQ$1006,0))&gt;=100000), " ",IF(INDEX($AO$2:$BQ$1001,MATCH(ROWS($AH$2:AH25),$AH$2:$AH$1001,0),MATCH(COLUMNS($AO$1006:AP1006),$AO$1006:$BQ$1006,0)), HYPERLINK("#",""), HYPERLINK(CONCATENATE("#Metadata!", ADDRESS(INDEX($AJ$2:$AJ$1001,MATCH(ROWS($AH$2:AH25),$AH$2:$AH$1001,0),0), INDEX($AO$1004:$BQ$1004,1,MATCH(COLUMNS($AO$1006:AP1006),$AO$1006:$BQ$1006,0)))),"Fix")))</f>
        <v>#N/A</v>
      </c>
      <c r="D25" s="5" t="e">
        <f ca="1">IF(OR(INDEX($AI$2:$AI$1001,MATCH(ROWS($AH$2:AH25),$AH$2:$AH$1001,0),1)&gt;=100000,INDEX($AO$1005:$BQ$1005,1,MATCH(COLUMNS($AO$1006:AQ1006),$AO$1006:$BQ$1006,0))&gt;=100000), " ",IF(INDEX($AO$2:$BQ$1001,MATCH(ROWS($AH$2:AH25),$AH$2:$AH$1001,0),MATCH(COLUMNS($AO$1006:AQ1006),$AO$1006:$BQ$1006,0)), HYPERLINK("#",""), HYPERLINK(CONCATENATE("#Metadata!", ADDRESS(INDEX($AJ$2:$AJ$1001,MATCH(ROWS($AH$2:AH25),$AH$2:$AH$1001,0),0), INDEX($AO$1004:$BQ$1004,1,MATCH(COLUMNS($AO$1006:AQ1006),$AO$1006:$BQ$1006,0)))),"Fix")))</f>
        <v>#N/A</v>
      </c>
      <c r="E25" s="5" t="e">
        <f ca="1">IF(OR(INDEX($AI$2:$AI$1001,MATCH(ROWS($AH$2:AH25),$AH$2:$AH$1001,0),1)&gt;=100000,INDEX($AO$1005:$BQ$1005,1,MATCH(COLUMNS($AO$1006:AR1006),$AO$1006:$BQ$1006,0))&gt;=100000), " ",IF(INDEX($AO$2:$BQ$1001,MATCH(ROWS($AH$2:AH25),$AH$2:$AH$1001,0),MATCH(COLUMNS($AO$1006:AR1006),$AO$1006:$BQ$1006,0)), HYPERLINK("#",""), HYPERLINK(CONCATENATE("#Metadata!", ADDRESS(INDEX($AJ$2:$AJ$1001,MATCH(ROWS($AH$2:AH25),$AH$2:$AH$1001,0),0), INDEX($AO$1004:$BQ$1004,1,MATCH(COLUMNS($AO$1006:AR1006),$AO$1006:$BQ$1006,0)))),"Fix")))</f>
        <v>#N/A</v>
      </c>
      <c r="F25" s="5" t="e">
        <f ca="1">IF(OR(INDEX($AI$2:$AI$1001,MATCH(ROWS($AH$2:AH25),$AH$2:$AH$1001,0),1)&gt;=100000,INDEX($AO$1005:$BQ$1005,1,MATCH(COLUMNS($AO$1006:AS1006),$AO$1006:$BQ$1006,0))&gt;=100000), " ",IF(INDEX($AO$2:$BQ$1001,MATCH(ROWS($AH$2:AH25),$AH$2:$AH$1001,0),MATCH(COLUMNS($AO$1006:AS1006),$AO$1006:$BQ$1006,0)), HYPERLINK("#",""), HYPERLINK(CONCATENATE("#Metadata!", ADDRESS(INDEX($AJ$2:$AJ$1001,MATCH(ROWS($AH$2:AH25),$AH$2:$AH$1001,0),0), INDEX($AO$1004:$BQ$1004,1,MATCH(COLUMNS($AO$1006:AS1006),$AO$1006:$BQ$1006,0)))),"Fix")))</f>
        <v>#N/A</v>
      </c>
      <c r="G25" s="5" t="e">
        <f ca="1">IF(OR(INDEX($AI$2:$AI$1001,MATCH(ROWS($AH$2:AH25),$AH$2:$AH$1001,0),1)&gt;=100000,INDEX($AO$1005:$BQ$1005,1,MATCH(COLUMNS($AO$1006:AT1006),$AO$1006:$BQ$1006,0))&gt;=100000), " ",IF(INDEX($AO$2:$BQ$1001,MATCH(ROWS($AH$2:AH25),$AH$2:$AH$1001,0),MATCH(COLUMNS($AO$1006:AT1006),$AO$1006:$BQ$1006,0)), HYPERLINK("#",""), HYPERLINK(CONCATENATE("#Metadata!", ADDRESS(INDEX($AJ$2:$AJ$1001,MATCH(ROWS($AH$2:AH25),$AH$2:$AH$1001,0),0), INDEX($AO$1004:$BQ$1004,1,MATCH(COLUMNS($AO$1006:AT1006),$AO$1006:$BQ$1006,0)))),"Fix")))</f>
        <v>#N/A</v>
      </c>
      <c r="H25" s="5" t="e">
        <f ca="1">IF(OR(INDEX($AI$2:$AI$1001,MATCH(ROWS($AH$2:AH25),$AH$2:$AH$1001,0),1)&gt;=100000,INDEX($AO$1005:$BQ$1005,1,MATCH(COLUMNS($AO$1006:AU1006),$AO$1006:$BQ$1006,0))&gt;=100000), " ",IF(INDEX($AO$2:$BQ$1001,MATCH(ROWS($AH$2:AH25),$AH$2:$AH$1001,0),MATCH(COLUMNS($AO$1006:AU1006),$AO$1006:$BQ$1006,0)), HYPERLINK("#",""), HYPERLINK(CONCATENATE("#Metadata!", ADDRESS(INDEX($AJ$2:$AJ$1001,MATCH(ROWS($AH$2:AH25),$AH$2:$AH$1001,0),0), INDEX($AO$1004:$BQ$1004,1,MATCH(COLUMNS($AO$1006:AU1006),$AO$1006:$BQ$1006,0)))),"Fix")))</f>
        <v>#N/A</v>
      </c>
      <c r="I25" s="5" t="e">
        <f ca="1">IF(OR(INDEX($AI$2:$AI$1001,MATCH(ROWS($AH$2:AH25),$AH$2:$AH$1001,0),1)&gt;=100000,INDEX($AO$1005:$BQ$1005,1,MATCH(COLUMNS($AO$1006:AV1006),$AO$1006:$BQ$1006,0))&gt;=100000), " ",IF(INDEX($AO$2:$BQ$1001,MATCH(ROWS($AH$2:AH25),$AH$2:$AH$1001,0),MATCH(COLUMNS($AO$1006:AV1006),$AO$1006:$BQ$1006,0)), HYPERLINK("#",""), HYPERLINK(CONCATENATE("#Metadata!", ADDRESS(INDEX($AJ$2:$AJ$1001,MATCH(ROWS($AH$2:AH25),$AH$2:$AH$1001,0),0), INDEX($AO$1004:$BQ$1004,1,MATCH(COLUMNS($AO$1006:AV1006),$AO$1006:$BQ$1006,0)))),"Fix")))</f>
        <v>#N/A</v>
      </c>
      <c r="J25" s="5" t="e">
        <f ca="1">IF(OR(INDEX($AI$2:$AI$1001,MATCH(ROWS($AH$2:AH25),$AH$2:$AH$1001,0),1)&gt;=100000,INDEX($AO$1005:$BQ$1005,1,MATCH(COLUMNS($AO$1006:AW1006),$AO$1006:$BQ$1006,0))&gt;=100000), " ",IF(INDEX($AO$2:$BQ$1001,MATCH(ROWS($AH$2:AH25),$AH$2:$AH$1001,0),MATCH(COLUMNS($AO$1006:AW1006),$AO$1006:$BQ$1006,0)), HYPERLINK("#",""), HYPERLINK(CONCATENATE("#Metadata!", ADDRESS(INDEX($AJ$2:$AJ$1001,MATCH(ROWS($AH$2:AH25),$AH$2:$AH$1001,0),0), INDEX($AO$1004:$BQ$1004,1,MATCH(COLUMNS($AO$1006:AW1006),$AO$1006:$BQ$1006,0)))),"Fix")))</f>
        <v>#N/A</v>
      </c>
      <c r="K25" s="5" t="e">
        <f ca="1">IF(OR(INDEX($AI$2:$AI$1001,MATCH(ROWS($AH$2:AH25),$AH$2:$AH$1001,0),1)&gt;=100000,INDEX($AO$1005:$BQ$1005,1,MATCH(COLUMNS($AO$1006:AX1006),$AO$1006:$BQ$1006,0))&gt;=100000), " ",IF(INDEX($AO$2:$BQ$1001,MATCH(ROWS($AH$2:AH25),$AH$2:$AH$1001,0),MATCH(COLUMNS($AO$1006:AX1006),$AO$1006:$BQ$1006,0)), HYPERLINK("#",""), HYPERLINK(CONCATENATE("#Metadata!", ADDRESS(INDEX($AJ$2:$AJ$1001,MATCH(ROWS($AH$2:AH25),$AH$2:$AH$1001,0),0), INDEX($AO$1004:$BQ$1004,1,MATCH(COLUMNS($AO$1006:AX1006),$AO$1006:$BQ$1006,0)))),"Fix")))</f>
        <v>#N/A</v>
      </c>
      <c r="L25" s="5" t="e">
        <f ca="1">IF(OR(INDEX($AI$2:$AI$1001,MATCH(ROWS($AH$2:AH25),$AH$2:$AH$1001,0),1)&gt;=100000,INDEX($AO$1005:$BQ$1005,1,MATCH(COLUMNS($AO$1006:AY1006),$AO$1006:$BQ$1006,0))&gt;=100000), " ",IF(INDEX($AO$2:$BQ$1001,MATCH(ROWS($AH$2:AH25),$AH$2:$AH$1001,0),MATCH(COLUMNS($AO$1006:AY1006),$AO$1006:$BQ$1006,0)), HYPERLINK("#",""), HYPERLINK(CONCATENATE("#Metadata!", ADDRESS(INDEX($AJ$2:$AJ$1001,MATCH(ROWS($AH$2:AH25),$AH$2:$AH$1001,0),0), INDEX($AO$1004:$BQ$1004,1,MATCH(COLUMNS($AO$1006:AY1006),$AO$1006:$BQ$1006,0)))),"Fix")))</f>
        <v>#N/A</v>
      </c>
      <c r="M25" s="5" t="e">
        <f ca="1">IF(OR(INDEX($AI$2:$AI$1001,MATCH(ROWS($AH$2:AH25),$AH$2:$AH$1001,0),1)&gt;=100000,INDEX($AO$1005:$BQ$1005,1,MATCH(COLUMNS($AO$1006:AZ1006),$AO$1006:$BQ$1006,0))&gt;=100000), " ",IF(INDEX($AO$2:$BQ$1001,MATCH(ROWS($AH$2:AH25),$AH$2:$AH$1001,0),MATCH(COLUMNS($AO$1006:AZ1006),$AO$1006:$BQ$1006,0)), HYPERLINK("#",""), HYPERLINK(CONCATENATE("#Metadata!", ADDRESS(INDEX($AJ$2:$AJ$1001,MATCH(ROWS($AH$2:AH25),$AH$2:$AH$1001,0),0), INDEX($AO$1004:$BQ$1004,1,MATCH(COLUMNS($AO$1006:AZ1006),$AO$1006:$BQ$1006,0)))),"Fix")))</f>
        <v>#N/A</v>
      </c>
      <c r="N25" s="5" t="e">
        <f ca="1">IF(OR(INDEX($AI$2:$AI$1001,MATCH(ROWS($AH$2:AH25),$AH$2:$AH$1001,0),1)&gt;=100000,INDEX($AO$1005:$BQ$1005,1,MATCH(COLUMNS($AO$1006:BA1006),$AO$1006:$BQ$1006,0))&gt;=100000), " ",IF(INDEX($AO$2:$BQ$1001,MATCH(ROWS($AH$2:AH25),$AH$2:$AH$1001,0),MATCH(COLUMNS($AO$1006:BA1006),$AO$1006:$BQ$1006,0)), HYPERLINK("#",""), HYPERLINK(CONCATENATE("#Metadata!", ADDRESS(INDEX($AJ$2:$AJ$1001,MATCH(ROWS($AH$2:AH25),$AH$2:$AH$1001,0),0), INDEX($AO$1004:$BQ$1004,1,MATCH(COLUMNS($AO$1006:BA1006),$AO$1006:$BQ$1006,0)))),"Fix")))</f>
        <v>#N/A</v>
      </c>
      <c r="O25" s="5" t="e">
        <f ca="1">IF(OR(INDEX($AI$2:$AI$1001,MATCH(ROWS($AH$2:AH25),$AH$2:$AH$1001,0),1)&gt;=100000,INDEX($AO$1005:$BQ$1005,1,MATCH(COLUMNS($AO$1006:BB1006),$AO$1006:$BQ$1006,0))&gt;=100000), " ",IF(INDEX($AO$2:$BQ$1001,MATCH(ROWS($AH$2:AH25),$AH$2:$AH$1001,0),MATCH(COLUMNS($AO$1006:BB1006),$AO$1006:$BQ$1006,0)), HYPERLINK("#",""), HYPERLINK(CONCATENATE("#Metadata!", ADDRESS(INDEX($AJ$2:$AJ$1001,MATCH(ROWS($AH$2:AH25),$AH$2:$AH$1001,0),0), INDEX($AO$1004:$BQ$1004,1,MATCH(COLUMNS($AO$1006:BB1006),$AO$1006:$BQ$1006,0)))),"Fix")))</f>
        <v>#N/A</v>
      </c>
      <c r="P25" s="5" t="e">
        <f ca="1">IF(OR(INDEX($AI$2:$AI$1001,MATCH(ROWS($AH$2:AH25),$AH$2:$AH$1001,0),1)&gt;=100000,INDEX($AO$1005:$BQ$1005,1,MATCH(COLUMNS($AO$1006:BC1006),$AO$1006:$BQ$1006,0))&gt;=100000), " ",IF(INDEX($AO$2:$BQ$1001,MATCH(ROWS($AH$2:AH25),$AH$2:$AH$1001,0),MATCH(COLUMNS($AO$1006:BC1006),$AO$1006:$BQ$1006,0)), HYPERLINK("#",""), HYPERLINK(CONCATENATE("#Metadata!", ADDRESS(INDEX($AJ$2:$AJ$1001,MATCH(ROWS($AH$2:AH25),$AH$2:$AH$1001,0),0), INDEX($AO$1004:$BQ$1004,1,MATCH(COLUMNS($AO$1006:BC1006),$AO$1006:$BQ$1006,0)))),"Fix")))</f>
        <v>#N/A</v>
      </c>
      <c r="Q25" s="5" t="e">
        <f ca="1">IF(OR(INDEX($AI$2:$AI$1001,MATCH(ROWS($AH$2:AH25),$AH$2:$AH$1001,0),1)&gt;=100000,INDEX($AO$1005:$BQ$1005,1,MATCH(COLUMNS($AO$1006:BD1006),$AO$1006:$BQ$1006,0))&gt;=100000), " ",IF(INDEX($AO$2:$BQ$1001,MATCH(ROWS($AH$2:AH25),$AH$2:$AH$1001,0),MATCH(COLUMNS($AO$1006:BD1006),$AO$1006:$BQ$1006,0)), HYPERLINK("#",""), HYPERLINK(CONCATENATE("#Metadata!", ADDRESS(INDEX($AJ$2:$AJ$1001,MATCH(ROWS($AH$2:AH25),$AH$2:$AH$1001,0),0), INDEX($AO$1004:$BQ$1004,1,MATCH(COLUMNS($AO$1006:BD1006),$AO$1006:$BQ$1006,0)))),"Fix")))</f>
        <v>#N/A</v>
      </c>
      <c r="R25" s="5" t="e">
        <f ca="1">IF(OR(INDEX($AI$2:$AI$1001,MATCH(ROWS($AH$2:AH25),$AH$2:$AH$1001,0),1)&gt;=100000,INDEX($AO$1005:$BQ$1005,1,MATCH(COLUMNS($AO$1006:BE1006),$AO$1006:$BQ$1006,0))&gt;=100000), " ",IF(INDEX($AO$2:$BQ$1001,MATCH(ROWS($AH$2:AH25),$AH$2:$AH$1001,0),MATCH(COLUMNS($AO$1006:BE1006),$AO$1006:$BQ$1006,0)), HYPERLINK("#",""), HYPERLINK(CONCATENATE("#Metadata!", ADDRESS(INDEX($AJ$2:$AJ$1001,MATCH(ROWS($AH$2:AH25),$AH$2:$AH$1001,0),0), INDEX($AO$1004:$BQ$1004,1,MATCH(COLUMNS($AO$1006:BE1006),$AO$1006:$BQ$1006,0)))),"Fix")))</f>
        <v>#N/A</v>
      </c>
      <c r="S25" s="5" t="e">
        <f ca="1">IF(OR(INDEX($AI$2:$AI$1001,MATCH(ROWS($AH$2:AH25),$AH$2:$AH$1001,0),1)&gt;=100000,INDEX($AO$1005:$BQ$1005,1,MATCH(COLUMNS($AO$1006:BF1006),$AO$1006:$BQ$1006,0))&gt;=100000), " ",IF(INDEX($AO$2:$BQ$1001,MATCH(ROWS($AH$2:AH25),$AH$2:$AH$1001,0),MATCH(COLUMNS($AO$1006:BF1006),$AO$1006:$BQ$1006,0)), HYPERLINK("#",""), HYPERLINK(CONCATENATE("#Metadata!", ADDRESS(INDEX($AJ$2:$AJ$1001,MATCH(ROWS($AH$2:AH25),$AH$2:$AH$1001,0),0), INDEX($AO$1004:$BQ$1004,1,MATCH(COLUMNS($AO$1006:BF1006),$AO$1006:$BQ$1006,0)))),"Fix")))</f>
        <v>#N/A</v>
      </c>
      <c r="T25" s="5" t="e">
        <f ca="1">IF(OR(INDEX($AI$2:$AI$1001,MATCH(ROWS($AH$2:AH25),$AH$2:$AH$1001,0),1)&gt;=100000,INDEX($AO$1005:$BQ$1005,1,MATCH(COLUMNS($AO$1006:BG1006),$AO$1006:$BQ$1006,0))&gt;=100000), " ",IF(INDEX($AO$2:$BQ$1001,MATCH(ROWS($AH$2:AH25),$AH$2:$AH$1001,0),MATCH(COLUMNS($AO$1006:BG1006),$AO$1006:$BQ$1006,0)), HYPERLINK("#",""), HYPERLINK(CONCATENATE("#Metadata!", ADDRESS(INDEX($AJ$2:$AJ$1001,MATCH(ROWS($AH$2:AH25),$AH$2:$AH$1001,0),0), INDEX($AO$1004:$BQ$1004,1,MATCH(COLUMNS($AO$1006:BG1006),$AO$1006:$BQ$1006,0)))),"Fix")))</f>
        <v>#N/A</v>
      </c>
      <c r="U25" s="5" t="e">
        <f ca="1">IF(OR(INDEX($AI$2:$AI$1001,MATCH(ROWS($AH$2:AH25),$AH$2:$AH$1001,0),1)&gt;=100000,INDEX($AO$1005:$BQ$1005,1,MATCH(COLUMNS($AO$1006:BH1006),$AO$1006:$BQ$1006,0))&gt;=100000), " ",IF(INDEX($AO$2:$BQ$1001,MATCH(ROWS($AH$2:AH25),$AH$2:$AH$1001,0),MATCH(COLUMNS($AO$1006:BH1006),$AO$1006:$BQ$1006,0)), HYPERLINK("#",""), HYPERLINK(CONCATENATE("#Metadata!", ADDRESS(INDEX($AJ$2:$AJ$1001,MATCH(ROWS($AH$2:AH25),$AH$2:$AH$1001,0),0), INDEX($AO$1004:$BQ$1004,1,MATCH(COLUMNS($AO$1006:BH1006),$AO$1006:$BQ$1006,0)))),"Fix")))</f>
        <v>#N/A</v>
      </c>
      <c r="V25" s="5" t="e">
        <f ca="1">IF(OR(INDEX($AI$2:$AI$1001,MATCH(ROWS($AH$2:AH25),$AH$2:$AH$1001,0),1)&gt;=100000,INDEX($AO$1005:$BQ$1005,1,MATCH(COLUMNS($AO$1006:BI1006),$AO$1006:$BQ$1006,0))&gt;=100000), " ",IF(INDEX($AO$2:$BQ$1001,MATCH(ROWS($AH$2:AH25),$AH$2:$AH$1001,0),MATCH(COLUMNS($AO$1006:BI1006),$AO$1006:$BQ$1006,0)), HYPERLINK("#",""), HYPERLINK(CONCATENATE("#Metadata!", ADDRESS(INDEX($AJ$2:$AJ$1001,MATCH(ROWS($AH$2:AH25),$AH$2:$AH$1001,0),0), INDEX($AO$1004:$BQ$1004,1,MATCH(COLUMNS($AO$1006:BI1006),$AO$1006:$BQ$1006,0)))),"Fix")))</f>
        <v>#N/A</v>
      </c>
      <c r="W25" s="5" t="e">
        <f ca="1">IF(OR(INDEX($AI$2:$AI$1001,MATCH(ROWS($AH$2:AH25),$AH$2:$AH$1001,0),1)&gt;=100000,INDEX($AO$1005:$BQ$1005,1,MATCH(COLUMNS($AO$1006:BJ1006),$AO$1006:$BQ$1006,0))&gt;=100000), " ",IF(INDEX($AO$2:$BQ$1001,MATCH(ROWS($AH$2:AH25),$AH$2:$AH$1001,0),MATCH(COLUMNS($AO$1006:BJ1006),$AO$1006:$BQ$1006,0)), HYPERLINK("#",""), HYPERLINK(CONCATENATE("#Metadata!", ADDRESS(INDEX($AJ$2:$AJ$1001,MATCH(ROWS($AH$2:AH25),$AH$2:$AH$1001,0),0), INDEX($AO$1004:$BQ$1004,1,MATCH(COLUMNS($AO$1006:BJ1006),$AO$1006:$BQ$1006,0)))),"Fix")))</f>
        <v>#N/A</v>
      </c>
      <c r="X25" s="5" t="e">
        <f ca="1">IF(OR(INDEX($AI$2:$AI$1001,MATCH(ROWS($AH$2:AH25),$AH$2:$AH$1001,0),1)&gt;=100000,INDEX($AO$1005:$BQ$1005,1,MATCH(COLUMNS($AO$1006:BK1006),$AO$1006:$BQ$1006,0))&gt;=100000), " ",IF(INDEX($AO$2:$BQ$1001,MATCH(ROWS($AH$2:AH25),$AH$2:$AH$1001,0),MATCH(COLUMNS($AO$1006:BK1006),$AO$1006:$BQ$1006,0)), HYPERLINK("#",""), HYPERLINK(CONCATENATE("#Metadata!", ADDRESS(INDEX($AJ$2:$AJ$1001,MATCH(ROWS($AH$2:AH25),$AH$2:$AH$1001,0),0), INDEX($AO$1004:$BQ$1004,1,MATCH(COLUMNS($AO$1006:BK1006),$AO$1006:$BQ$1006,0)))),"Fix")))</f>
        <v>#N/A</v>
      </c>
      <c r="Y25" s="5" t="e">
        <f ca="1">IF(OR(INDEX($AI$2:$AI$1001,MATCH(ROWS($AH$2:AH25),$AH$2:$AH$1001,0),1)&gt;=100000,INDEX($AO$1005:$BQ$1005,1,MATCH(COLUMNS($AO$1006:BL1006),$AO$1006:$BQ$1006,0))&gt;=100000), " ",IF(INDEX($AO$2:$BQ$1001,MATCH(ROWS($AH$2:AH25),$AH$2:$AH$1001,0),MATCH(COLUMNS($AO$1006:BL1006),$AO$1006:$BQ$1006,0)), HYPERLINK("#",""), HYPERLINK(CONCATENATE("#Metadata!", ADDRESS(INDEX($AJ$2:$AJ$1001,MATCH(ROWS($AH$2:AH25),$AH$2:$AH$1001,0),0), INDEX($AO$1004:$BQ$1004,1,MATCH(COLUMNS($AO$1006:BL1006),$AO$1006:$BQ$1006,0)))),"Fix")))</f>
        <v>#N/A</v>
      </c>
      <c r="Z25" s="5" t="e">
        <f ca="1">IF(OR(INDEX($AI$2:$AI$1001,MATCH(ROWS($AH$2:AH25),$AH$2:$AH$1001,0),1)&gt;=100000,INDEX($AO$1005:$BQ$1005,1,MATCH(COLUMNS($AO$1006:BM1006),$AO$1006:$BQ$1006,0))&gt;=100000), " ",IF(INDEX($AO$2:$BQ$1001,MATCH(ROWS($AH$2:AH25),$AH$2:$AH$1001,0),MATCH(COLUMNS($AO$1006:BM1006),$AO$1006:$BQ$1006,0)), HYPERLINK("#",""), HYPERLINK(CONCATENATE("#Metadata!", ADDRESS(INDEX($AJ$2:$AJ$1001,MATCH(ROWS($AH$2:AH25),$AH$2:$AH$1001,0),0), INDEX($AO$1004:$BQ$1004,1,MATCH(COLUMNS($AO$1006:BM1006),$AO$1006:$BQ$1006,0)))),"Fix")))</f>
        <v>#N/A</v>
      </c>
      <c r="AA25" s="5" t="e">
        <f ca="1">IF(OR(INDEX($AI$2:$AI$1001,MATCH(ROWS($AH$2:AH25),$AH$2:$AH$1001,0),1)&gt;=100000,INDEX($AO$1005:$BQ$1005,1,MATCH(COLUMNS($AO$1006:BN1006),$AO$1006:$BQ$1006,0))&gt;=100000), " ",IF(INDEX($AO$2:$BQ$1001,MATCH(ROWS($AH$2:AH25),$AH$2:$AH$1001,0),MATCH(COLUMNS($AO$1006:BN1006),$AO$1006:$BQ$1006,0)), HYPERLINK("#",""), HYPERLINK(CONCATENATE("#Metadata!", ADDRESS(INDEX($AJ$2:$AJ$1001,MATCH(ROWS($AH$2:AH25),$AH$2:$AH$1001,0),0), INDEX($AO$1004:$BQ$1004,1,MATCH(COLUMNS($AO$1006:BN1006),$AO$1006:$BQ$1006,0)))),"Fix")))</f>
        <v>#N/A</v>
      </c>
      <c r="AB25" s="5" t="e">
        <f ca="1">IF(OR(INDEX($AI$2:$AI$1001,MATCH(ROWS($AH$2:AH25),$AH$2:$AH$1001,0),1)&gt;=100000,INDEX($AO$1005:$BQ$1005,1,MATCH(COLUMNS($AO$1006:BO1006),$AO$1006:$BQ$1006,0))&gt;=100000), " ",IF(INDEX($AO$2:$BQ$1001,MATCH(ROWS($AH$2:AH25),$AH$2:$AH$1001,0),MATCH(COLUMNS($AO$1006:BO1006),$AO$1006:$BQ$1006,0)), HYPERLINK("#",""), HYPERLINK(CONCATENATE("#Metadata!", ADDRESS(INDEX($AJ$2:$AJ$1001,MATCH(ROWS($AH$2:AH25),$AH$2:$AH$1001,0),0), INDEX($AO$1004:$BQ$1004,1,MATCH(COLUMNS($AO$1006:BO1006),$AO$1006:$BQ$1006,0)))),"Fix")))</f>
        <v>#N/A</v>
      </c>
      <c r="AC25" s="5" t="e">
        <f ca="1">IF(OR(INDEX($AI$2:$AI$1001,MATCH(ROWS($AH$2:AH25),$AH$2:$AH$1001,0),1)&gt;=100000,INDEX($AO$1005:$BQ$1005,1,MATCH(COLUMNS($AO$1006:BP1006),$AO$1006:$BQ$1006,0))&gt;=100000), " ",IF(INDEX($AO$2:$BQ$1001,MATCH(ROWS($AH$2:AH25),$AH$2:$AH$1001,0),MATCH(COLUMNS($AO$1006:BP1006),$AO$1006:$BQ$1006,0)), HYPERLINK("#",""), HYPERLINK(CONCATENATE("#Metadata!", ADDRESS(INDEX($AJ$2:$AJ$1001,MATCH(ROWS($AH$2:AH25),$AH$2:$AH$1001,0),0), INDEX($AO$1004:$BQ$1004,1,MATCH(COLUMNS($AO$1006:BP1006),$AO$1006:$BQ$1006,0)))),"Fix")))</f>
        <v>#N/A</v>
      </c>
      <c r="AD25" s="5" t="e">
        <f ca="1">IF(OR(INDEX($AI$2:$AI$1001,MATCH(ROWS($AH$2:AH25),$AH$2:$AH$1001,0),1)&gt;=100000,INDEX($AO$1005:$BQ$1005,1,MATCH(COLUMNS($AO$1006:BQ1006),$AO$1006:$BQ$1006,0))&gt;=100000), " ",IF(INDEX($AO$2:$BQ$1001,MATCH(ROWS($AH$2:AH25),$AH$2:$AH$1001,0),MATCH(COLUMNS($AO$1006:BQ1006),$AO$1006:$BQ$1006,0)), HYPERLINK("#",""), HYPERLINK(CONCATENATE("#Metadata!", ADDRESS(INDEX($AJ$2:$AJ$1001,MATCH(ROWS($AH$2:AH25),$AH$2:$AH$1001,0),0), INDEX($AO$1004:$BQ$1004,1,MATCH(COLUMNS($AO$1006:BQ1006),$AO$1006:$BQ$1006,0)))),"Fix")))</f>
        <v>#REF!</v>
      </c>
      <c r="AH25">
        <f ca="1"/>
        <v>23</v>
      </c>
      <c r="AI25">
        <f ca="1"/>
        <v>25</v>
      </c>
      <c r="AJ25">
        <v>25</v>
      </c>
      <c r="AK25" t="b">
        <f t="shared" ca="1" si="0"/>
        <v>0</v>
      </c>
      <c r="AL25" t="b">
        <f>COUNTBLANK(Metadata!B25:AD25)=COLUMNS(Metadata!B25:AD25)</f>
        <v>0</v>
      </c>
      <c r="AM25" t="str">
        <v>Environment.Side.1.BTP.252Sediment</v>
      </c>
      <c r="AO25" t="b">
        <f ca="1">AND(IF(Metadata!B24="",FALSE,TRUE),COUNTIF(Metadata!B:B, Metadata!B24) = 1,NOT(ISERROR(SUMPRODUCT(SEARCH(MID(Metadata!B24,ROW(INDIRECT("1:"&amp;LEN(Metadata!B24))), 1),"0123456789abcdefghijklmnopqrstuvwxyzABCDEFGHIJKLMNOPQRSTUVWXYZ.")))))</f>
        <v>1</v>
      </c>
      <c r="AP25" t="b">
        <f>IF(Metadata!C24="",FALSE,TRUE)</f>
        <v>1</v>
      </c>
      <c r="AQ25" t="b">
        <f>IF(Metadata!D24="",FALSE,TRUE)</f>
        <v>1</v>
      </c>
      <c r="AR25" t="b">
        <f ca="1">OR(AND(IF(Metadata!E24="",FALSE,TRUE),OR(EXACT(Metadata!E24,"not collected"),EXACT(Metadata!E24,"not provided"),EXACT(Metadata!E24,"restricted access"))),AND(IF(Metadata!E24="",FALSE,TRUE),AND(AND(IFERROR(INT(LEFT(Metadata!E24,4))&gt;1900,FALSE),IFERROR(INT(LEFT(Metadata!E24,4))&lt;=YEAR(NOW()),FALSE)), OR(MID(Metadata!E24,5,1)="", AND(AND(MID(Metadata!E24,5,1)="-",IFERROR(INT(MID(Metadata!E24,6,1))&gt;=0,FALSE),IFERROR(INT(MID(Metadata!E24,6,1))&lt;=1,FALSE),NOT(MID(Metadata!E24,7,1)=""),IFERROR(INT(MID(Metadata!E24,6,2))&gt;=1,FALSE),IFERROR(INT(MID(Metadata!E24,6,2))&lt;=12,FALSE)), OR(MID(Metadata!E24,8,1)="", AND(AND(MID(Metadata!E24,8,1)="-",IFERROR(INT(MID(Metadata!E24,9,1))&gt;=0,FALSE),IFERROR(INT(MID(Metadata!E24,9,1))&lt;=3,FALSE),NOT(MID(Metadata!E24,10,1)=""),IFERROR(INT(MID(Metadata!E24,9,2))&gt;=1,FALSE),IFERROR(INT(MID(Metadata!E24,9,2))&lt;=31,FALSE)), OR(MID(Metadata!E24,11,1)="", AND(AND(MID(Metadata!E24,11,1)=" ",IFERROR(INT(MID(Metadata!E24,12,1))&gt;=0,FALSE),IFERROR(INT(MID(Metadata!E24,12,1))&lt;=2,FALSE),NOT(MID(Metadata!E24,13,1)=""),IFERROR(INT(MID(Metadata!E24,12,2))&gt;=0,FALSE),IFERROR(INT(MID(Metadata!E24,12,2))&lt;=23,FALSE)), OR(MID(Metadata!E24,14,1)="", AND(AND(MID(Metadata!E24,14,1)=":",IFERROR(INT(MID(Metadata!E24,15,1))&gt;=0,FALSE),IFERROR(INT(MID(Metadata!E24,15,1))&lt;=5,FALSE),NOT(MID(Metadata!E24,16,1)=""),IFERROR(INT(MID(Metadata!E24,15,2))&gt;=0,FALSE),IFERROR(INT(MID(Metadata!E24,15,2))&lt;=59,FALSE)), OR(MID(Metadata!E24,17,1)="", AND(AND(MID(Metadata!E24,17,1)=":",IFERROR(INT(MID(Metadata!E24,18,1))&gt;=0,FALSE),IFERROR(INT(MID(Metadata!E24,18,1))&lt;=5,FALSE),NOT(MID(Metadata!E24,19,1)=""),IFERROR(INT(MID(Metadata!E24,18,2))&gt;=0,FALSE),IFERROR(INT(MID(Metadata!E24,18,2))&lt;=59,FALSE)), LEN(Metadata!E24)&lt;=19)))))))))))))</f>
        <v>0</v>
      </c>
      <c r="AS25" t="b">
        <f>IF(Metadata!F24="",FALSE,TRUE)</f>
        <v>1</v>
      </c>
      <c r="AT25" t="b">
        <f>OR(AND(IF(Metadata!G24="",FALSE,TRUE),OR(EXACT(Metadata!G24,"not collected"),EXACT(Metadata!G24,"not provided"))),AND(IF(Metadata!G24="",FALSE,TRUE),OR(EXACT(Metadata!G24,"TRUE"),EXACT(Metadata!G24,"FALSE"))))</f>
        <v>1</v>
      </c>
      <c r="AU25" t="b">
        <f>OR(AND(IF(Metadata!H24="",FALSE,TRUE),OR(EXACT(Metadata!H24,"not collected"),EXACT(Metadata!H24,"not provided"),EXACT(Metadata!H24,"restricted access"))),AND(IF(Metadata!H24="",FALSE,ISNUMBER(VALUE(Metadata!H24))),Metadata!H24&gt;=-413))</f>
        <v>0</v>
      </c>
      <c r="AV25" t="b">
        <f>AND(IF(Metadata!I24="",FALSE,TRUE),EXACT(Metadata!I24,"meters"))</f>
        <v>1</v>
      </c>
      <c r="AW25" t="b">
        <f>AND(IF(Metadata!J24="",FALSE,TRUE),EXACT(Metadata!J24,"free-living"))</f>
        <v>1</v>
      </c>
      <c r="AX25" t="b">
        <f>AND(IF(Metadata!K24="",FALSE,TRUE),OR(EXACT(Metadata!K24,"saline"),EXACT(Metadata!K24,"non-saline")))</f>
        <v>1</v>
      </c>
      <c r="AY25" t="b">
        <f>AND(IF(Metadata!L24="",FALSE,TRUE),OR(EXACT(Metadata!L24,"sub-surface (non-saline)"),EXACT(Metadata!L24,"surface (non-saline)"),EXACT(Metadata!L24,"water (non-saline)"),EXACT(Metadata!L24,"soil (non-saline)"),EXACT(Metadata!L24,"aerosol (non-saline)"),EXACT(Metadata!L24,"sediment (non-saline)"),EXACT(Metadata!L24,"surface (saline)"),EXACT(Metadata!L24,"water (saline)"),EXACT(Metadata!L24,"hypersaline (saline)"),EXACT(Metadata!L24,"aerosol (saline)"),EXACT(Metadata!L24,"sediment (saline)")))</f>
        <v>1</v>
      </c>
      <c r="AZ25" t="b">
        <f>IF(Metadata!M24="",FALSE,TRUE)</f>
        <v>1</v>
      </c>
      <c r="BA25" t="b">
        <f>IF(Metadata!N24="",FALSE,TRUE)</f>
        <v>1</v>
      </c>
      <c r="BB25" t="b">
        <f>IF(Metadata!O24="",FALSE,TRUE)</f>
        <v>1</v>
      </c>
      <c r="BC25" t="b">
        <f>AND(IF(Metadata!P24="",FALSE,TRUE),OR(EXACT(Metadata!P24,"air"),EXACT(Metadata!P24,"microbial mat/biofilm"),EXACT(Metadata!P24,"misc environment"),EXACT(Metadata!P24,"sediment"),EXACT(Metadata!P24,"soil"),EXACT(Metadata!P24,"wastewater/sludge"),EXACT(Metadata!P24,"water")))</f>
        <v>1</v>
      </c>
      <c r="BD25" t="b">
        <f>IF(Metadata!Q24="",FALSE,TRUE)</f>
        <v>1</v>
      </c>
      <c r="BE25" t="b">
        <f>IF(Metadata!R24="",FALSE,TRUE)</f>
        <v>1</v>
      </c>
      <c r="BF25" t="b">
        <f>OR(AND(IF(Metadata!S24="",FALSE,TRUE),OR(EXACT(Metadata!S24,"not collected"),EXACT(Metadata!S24,"not provided"),EXACT(Metadata!S24,"restricted access"))),AND(IF(Metadata!S24="",FALSE,ISNUMBER(VALUE(Metadata!S24))),Metadata!S24&gt;=-90,Metadata!S24&lt;=90))</f>
        <v>0</v>
      </c>
      <c r="BG25" t="b">
        <f>AND(IF(Metadata!T24="",FALSE,TRUE),EXACT(Metadata!T24,"Decimal degrees"))</f>
        <v>1</v>
      </c>
      <c r="BH25" t="b">
        <f>OR(AND(IF(Metadata!U25="",FALSE,TRUE),OR(EXACT(Metadata!U25,"not applicable"),EXACT(Metadata!U25,"not collected"))),IF(Metadata!U25="",FALSE,TRUE))</f>
        <v>1</v>
      </c>
      <c r="BI25" t="b">
        <f>OR(AND(IF(Metadata!V24="",FALSE,TRUE),OR(EXACT(Metadata!V24,"not collected"),EXACT(Metadata!V24,"not provided"),EXACT(Metadata!V24,"restricted access"))),AND(IF(Metadata!V24="",FALSE,ISNUMBER(VALUE(Metadata!V24))),Metadata!V24&gt;=-180,Metadata!V24&lt;=180))</f>
        <v>0</v>
      </c>
      <c r="BJ25" t="b">
        <f>AND(IF(Metadata!W24="",FALSE,TRUE),EXACT(Metadata!W24,"Decimal degrees"))</f>
        <v>1</v>
      </c>
      <c r="BK25" t="b">
        <f>IF(Metadata!X24="",FALSE,TRUE)</f>
        <v>1</v>
      </c>
      <c r="BL25" t="b">
        <f>OR(AND(IF(Metadata!Y24="",FALSE,TRUE),OR(EXACT(Metadata!Y24,"not collected"),EXACT(Metadata!Y24,"not provided"),EXACT(Metadata!Y24,"restricted access"))),AND(IF(Metadata!Y24="",FALSE,TRUE),OR(EXACT(Metadata!Y24,"TRUE"),EXACT(Metadata!Y24,"FALSE"))))</f>
        <v>1</v>
      </c>
      <c r="BM25" t="b">
        <f>OR(AND(IF(Metadata!Z24="",FALSE,TRUE),EXACT(Metadata!Z24,"not applicable")),AND(IF(Metadata!Z24="",FALSE,TRUE),OR(EXACT(Metadata!Z24,"beer"),EXACT(Metadata!Z24,"cheese"),EXACT(Metadata!Z24,"fresh water"),EXACT(Metadata!Z24,"marine sediment"),EXACT(Metadata!Z24,"sea water"),EXACT(Metadata!Z24,"sediment"),EXACT(Metadata!Z24,"soil"),EXACT(Metadata!Z24,"waste water"))))</f>
        <v>1</v>
      </c>
      <c r="BN25" t="b">
        <f>AND(IF(Metadata!AA24="",FALSE,TRUE),EXACT(Metadata!AA24,"metagenome"))</f>
        <v>1</v>
      </c>
      <c r="BO25" t="b">
        <f>AND(IF(Metadata!AB24="",FALSE,TRUE),EXACT(Metadata!AB24,"256318"))</f>
        <v>1</v>
      </c>
      <c r="BP25" t="b">
        <f>IF(Metadata!AC24="",FALSE,TRUE)</f>
        <v>1</v>
      </c>
      <c r="BQ25" t="b">
        <f>IF(Metadata!AD24="",FALSE,TRUE)</f>
        <v>1</v>
      </c>
    </row>
    <row r="26" spans="1:69" x14ac:dyDescent="0.2">
      <c r="A26" s="4" t="e">
        <f ca="1">IF(B26=" "," ",HYPERLINK(CONCATENATE("#metadata!",ADDRESS(INDEX($AJ$2:$AJ$1001,MATCH(ROWS($AH$2:AH26),$AH$2:$AH$1001,0),0),2)),INDEX($AM$2:$AM$1001,MATCH(ROWS($AH$2:AH26),$AH$2:$AH$1001,0),0)))</f>
        <v>#N/A</v>
      </c>
      <c r="B26" s="5" t="e">
        <f ca="1">IF(OR(INDEX($AI$2:$AI$1001,MATCH(ROWS($AH$2:AH26),$AH$2:$AH$1001,0),1)&gt;=100000,INDEX($AO$1005:$BQ$1005,1,MATCH(COLUMNS($AO$1006:AO1006),$AO$1006:$BQ$1006,0))&gt;=100000), " ",IF(INDEX($AO$2:$BQ$1001,MATCH(ROWS($AH$2:AH26),$AH$2:$AH$1001,0),MATCH(COLUMNS($AO$1006:AO1006),$AO$1006:$BQ$1006,0)), HYPERLINK("#",""), HYPERLINK(CONCATENATE("#Metadata!", ADDRESS(INDEX($AJ$2:$AJ$1001,MATCH(ROWS($AH$2:AH26),$AH$2:$AH$1001,0),0), INDEX($AO$1004:$BQ$1004,1,MATCH(COLUMNS($AO$1006:AO1006),$AO$1006:$BQ$1006,0)))),"Fix")))</f>
        <v>#N/A</v>
      </c>
      <c r="C26" s="5" t="e">
        <f ca="1">IF(OR(INDEX($AI$2:$AI$1001,MATCH(ROWS($AH$2:AH26),$AH$2:$AH$1001,0),1)&gt;=100000,INDEX($AO$1005:$BQ$1005,1,MATCH(COLUMNS($AO$1006:AP1006),$AO$1006:$BQ$1006,0))&gt;=100000), " ",IF(INDEX($AO$2:$BQ$1001,MATCH(ROWS($AH$2:AH26),$AH$2:$AH$1001,0),MATCH(COLUMNS($AO$1006:AP1006),$AO$1006:$BQ$1006,0)), HYPERLINK("#",""), HYPERLINK(CONCATENATE("#Metadata!", ADDRESS(INDEX($AJ$2:$AJ$1001,MATCH(ROWS($AH$2:AH26),$AH$2:$AH$1001,0),0), INDEX($AO$1004:$BQ$1004,1,MATCH(COLUMNS($AO$1006:AP1006),$AO$1006:$BQ$1006,0)))),"Fix")))</f>
        <v>#N/A</v>
      </c>
      <c r="D26" s="5" t="e">
        <f ca="1">IF(OR(INDEX($AI$2:$AI$1001,MATCH(ROWS($AH$2:AH26),$AH$2:$AH$1001,0),1)&gt;=100000,INDEX($AO$1005:$BQ$1005,1,MATCH(COLUMNS($AO$1006:AQ1006),$AO$1006:$BQ$1006,0))&gt;=100000), " ",IF(INDEX($AO$2:$BQ$1001,MATCH(ROWS($AH$2:AH26),$AH$2:$AH$1001,0),MATCH(COLUMNS($AO$1006:AQ1006),$AO$1006:$BQ$1006,0)), HYPERLINK("#",""), HYPERLINK(CONCATENATE("#Metadata!", ADDRESS(INDEX($AJ$2:$AJ$1001,MATCH(ROWS($AH$2:AH26),$AH$2:$AH$1001,0),0), INDEX($AO$1004:$BQ$1004,1,MATCH(COLUMNS($AO$1006:AQ1006),$AO$1006:$BQ$1006,0)))),"Fix")))</f>
        <v>#N/A</v>
      </c>
      <c r="E26" s="5" t="e">
        <f ca="1">IF(OR(INDEX($AI$2:$AI$1001,MATCH(ROWS($AH$2:AH26),$AH$2:$AH$1001,0),1)&gt;=100000,INDEX($AO$1005:$BQ$1005,1,MATCH(COLUMNS($AO$1006:AR1006),$AO$1006:$BQ$1006,0))&gt;=100000), " ",IF(INDEX($AO$2:$BQ$1001,MATCH(ROWS($AH$2:AH26),$AH$2:$AH$1001,0),MATCH(COLUMNS($AO$1006:AR1006),$AO$1006:$BQ$1006,0)), HYPERLINK("#",""), HYPERLINK(CONCATENATE("#Metadata!", ADDRESS(INDEX($AJ$2:$AJ$1001,MATCH(ROWS($AH$2:AH26),$AH$2:$AH$1001,0),0), INDEX($AO$1004:$BQ$1004,1,MATCH(COLUMNS($AO$1006:AR1006),$AO$1006:$BQ$1006,0)))),"Fix")))</f>
        <v>#N/A</v>
      </c>
      <c r="F26" s="5" t="e">
        <f ca="1">IF(OR(INDEX($AI$2:$AI$1001,MATCH(ROWS($AH$2:AH26),$AH$2:$AH$1001,0),1)&gt;=100000,INDEX($AO$1005:$BQ$1005,1,MATCH(COLUMNS($AO$1006:AS1006),$AO$1006:$BQ$1006,0))&gt;=100000), " ",IF(INDEX($AO$2:$BQ$1001,MATCH(ROWS($AH$2:AH26),$AH$2:$AH$1001,0),MATCH(COLUMNS($AO$1006:AS1006),$AO$1006:$BQ$1006,0)), HYPERLINK("#",""), HYPERLINK(CONCATENATE("#Metadata!", ADDRESS(INDEX($AJ$2:$AJ$1001,MATCH(ROWS($AH$2:AH26),$AH$2:$AH$1001,0),0), INDEX($AO$1004:$BQ$1004,1,MATCH(COLUMNS($AO$1006:AS1006),$AO$1006:$BQ$1006,0)))),"Fix")))</f>
        <v>#N/A</v>
      </c>
      <c r="G26" s="5" t="e">
        <f ca="1">IF(OR(INDEX($AI$2:$AI$1001,MATCH(ROWS($AH$2:AH26),$AH$2:$AH$1001,0),1)&gt;=100000,INDEX($AO$1005:$BQ$1005,1,MATCH(COLUMNS($AO$1006:AT1006),$AO$1006:$BQ$1006,0))&gt;=100000), " ",IF(INDEX($AO$2:$BQ$1001,MATCH(ROWS($AH$2:AH26),$AH$2:$AH$1001,0),MATCH(COLUMNS($AO$1006:AT1006),$AO$1006:$BQ$1006,0)), HYPERLINK("#",""), HYPERLINK(CONCATENATE("#Metadata!", ADDRESS(INDEX($AJ$2:$AJ$1001,MATCH(ROWS($AH$2:AH26),$AH$2:$AH$1001,0),0), INDEX($AO$1004:$BQ$1004,1,MATCH(COLUMNS($AO$1006:AT1006),$AO$1006:$BQ$1006,0)))),"Fix")))</f>
        <v>#N/A</v>
      </c>
      <c r="H26" s="5" t="e">
        <f ca="1">IF(OR(INDEX($AI$2:$AI$1001,MATCH(ROWS($AH$2:AH26),$AH$2:$AH$1001,0),1)&gt;=100000,INDEX($AO$1005:$BQ$1005,1,MATCH(COLUMNS($AO$1006:AU1006),$AO$1006:$BQ$1006,0))&gt;=100000), " ",IF(INDEX($AO$2:$BQ$1001,MATCH(ROWS($AH$2:AH26),$AH$2:$AH$1001,0),MATCH(COLUMNS($AO$1006:AU1006),$AO$1006:$BQ$1006,0)), HYPERLINK("#",""), HYPERLINK(CONCATENATE("#Metadata!", ADDRESS(INDEX($AJ$2:$AJ$1001,MATCH(ROWS($AH$2:AH26),$AH$2:$AH$1001,0),0), INDEX($AO$1004:$BQ$1004,1,MATCH(COLUMNS($AO$1006:AU1006),$AO$1006:$BQ$1006,0)))),"Fix")))</f>
        <v>#N/A</v>
      </c>
      <c r="I26" s="5" t="e">
        <f ca="1">IF(OR(INDEX($AI$2:$AI$1001,MATCH(ROWS($AH$2:AH26),$AH$2:$AH$1001,0),1)&gt;=100000,INDEX($AO$1005:$BQ$1005,1,MATCH(COLUMNS($AO$1006:AV1006),$AO$1006:$BQ$1006,0))&gt;=100000), " ",IF(INDEX($AO$2:$BQ$1001,MATCH(ROWS($AH$2:AH26),$AH$2:$AH$1001,0),MATCH(COLUMNS($AO$1006:AV1006),$AO$1006:$BQ$1006,0)), HYPERLINK("#",""), HYPERLINK(CONCATENATE("#Metadata!", ADDRESS(INDEX($AJ$2:$AJ$1001,MATCH(ROWS($AH$2:AH26),$AH$2:$AH$1001,0),0), INDEX($AO$1004:$BQ$1004,1,MATCH(COLUMNS($AO$1006:AV1006),$AO$1006:$BQ$1006,0)))),"Fix")))</f>
        <v>#N/A</v>
      </c>
      <c r="J26" s="5" t="e">
        <f ca="1">IF(OR(INDEX($AI$2:$AI$1001,MATCH(ROWS($AH$2:AH26),$AH$2:$AH$1001,0),1)&gt;=100000,INDEX($AO$1005:$BQ$1005,1,MATCH(COLUMNS($AO$1006:AW1006),$AO$1006:$BQ$1006,0))&gt;=100000), " ",IF(INDEX($AO$2:$BQ$1001,MATCH(ROWS($AH$2:AH26),$AH$2:$AH$1001,0),MATCH(COLUMNS($AO$1006:AW1006),$AO$1006:$BQ$1006,0)), HYPERLINK("#",""), HYPERLINK(CONCATENATE("#Metadata!", ADDRESS(INDEX($AJ$2:$AJ$1001,MATCH(ROWS($AH$2:AH26),$AH$2:$AH$1001,0),0), INDEX($AO$1004:$BQ$1004,1,MATCH(COLUMNS($AO$1006:AW1006),$AO$1006:$BQ$1006,0)))),"Fix")))</f>
        <v>#N/A</v>
      </c>
      <c r="K26" s="5" t="e">
        <f ca="1">IF(OR(INDEX($AI$2:$AI$1001,MATCH(ROWS($AH$2:AH26),$AH$2:$AH$1001,0),1)&gt;=100000,INDEX($AO$1005:$BQ$1005,1,MATCH(COLUMNS($AO$1006:AX1006),$AO$1006:$BQ$1006,0))&gt;=100000), " ",IF(INDEX($AO$2:$BQ$1001,MATCH(ROWS($AH$2:AH26),$AH$2:$AH$1001,0),MATCH(COLUMNS($AO$1006:AX1006),$AO$1006:$BQ$1006,0)), HYPERLINK("#",""), HYPERLINK(CONCATENATE("#Metadata!", ADDRESS(INDEX($AJ$2:$AJ$1001,MATCH(ROWS($AH$2:AH26),$AH$2:$AH$1001,0),0), INDEX($AO$1004:$BQ$1004,1,MATCH(COLUMNS($AO$1006:AX1006),$AO$1006:$BQ$1006,0)))),"Fix")))</f>
        <v>#N/A</v>
      </c>
      <c r="L26" s="5" t="e">
        <f ca="1">IF(OR(INDEX($AI$2:$AI$1001,MATCH(ROWS($AH$2:AH26),$AH$2:$AH$1001,0),1)&gt;=100000,INDEX($AO$1005:$BQ$1005,1,MATCH(COLUMNS($AO$1006:AY1006),$AO$1006:$BQ$1006,0))&gt;=100000), " ",IF(INDEX($AO$2:$BQ$1001,MATCH(ROWS($AH$2:AH26),$AH$2:$AH$1001,0),MATCH(COLUMNS($AO$1006:AY1006),$AO$1006:$BQ$1006,0)), HYPERLINK("#",""), HYPERLINK(CONCATENATE("#Metadata!", ADDRESS(INDEX($AJ$2:$AJ$1001,MATCH(ROWS($AH$2:AH26),$AH$2:$AH$1001,0),0), INDEX($AO$1004:$BQ$1004,1,MATCH(COLUMNS($AO$1006:AY1006),$AO$1006:$BQ$1006,0)))),"Fix")))</f>
        <v>#N/A</v>
      </c>
      <c r="M26" s="5" t="e">
        <f ca="1">IF(OR(INDEX($AI$2:$AI$1001,MATCH(ROWS($AH$2:AH26),$AH$2:$AH$1001,0),1)&gt;=100000,INDEX($AO$1005:$BQ$1005,1,MATCH(COLUMNS($AO$1006:AZ1006),$AO$1006:$BQ$1006,0))&gt;=100000), " ",IF(INDEX($AO$2:$BQ$1001,MATCH(ROWS($AH$2:AH26),$AH$2:$AH$1001,0),MATCH(COLUMNS($AO$1006:AZ1006),$AO$1006:$BQ$1006,0)), HYPERLINK("#",""), HYPERLINK(CONCATENATE("#Metadata!", ADDRESS(INDEX($AJ$2:$AJ$1001,MATCH(ROWS($AH$2:AH26),$AH$2:$AH$1001,0),0), INDEX($AO$1004:$BQ$1004,1,MATCH(COLUMNS($AO$1006:AZ1006),$AO$1006:$BQ$1006,0)))),"Fix")))</f>
        <v>#N/A</v>
      </c>
      <c r="N26" s="5" t="e">
        <f ca="1">IF(OR(INDEX($AI$2:$AI$1001,MATCH(ROWS($AH$2:AH26),$AH$2:$AH$1001,0),1)&gt;=100000,INDEX($AO$1005:$BQ$1005,1,MATCH(COLUMNS($AO$1006:BA1006),$AO$1006:$BQ$1006,0))&gt;=100000), " ",IF(INDEX($AO$2:$BQ$1001,MATCH(ROWS($AH$2:AH26),$AH$2:$AH$1001,0),MATCH(COLUMNS($AO$1006:BA1006),$AO$1006:$BQ$1006,0)), HYPERLINK("#",""), HYPERLINK(CONCATENATE("#Metadata!", ADDRESS(INDEX($AJ$2:$AJ$1001,MATCH(ROWS($AH$2:AH26),$AH$2:$AH$1001,0),0), INDEX($AO$1004:$BQ$1004,1,MATCH(COLUMNS($AO$1006:BA1006),$AO$1006:$BQ$1006,0)))),"Fix")))</f>
        <v>#N/A</v>
      </c>
      <c r="O26" s="5" t="e">
        <f ca="1">IF(OR(INDEX($AI$2:$AI$1001,MATCH(ROWS($AH$2:AH26),$AH$2:$AH$1001,0),1)&gt;=100000,INDEX($AO$1005:$BQ$1005,1,MATCH(COLUMNS($AO$1006:BB1006),$AO$1006:$BQ$1006,0))&gt;=100000), " ",IF(INDEX($AO$2:$BQ$1001,MATCH(ROWS($AH$2:AH26),$AH$2:$AH$1001,0),MATCH(COLUMNS($AO$1006:BB1006),$AO$1006:$BQ$1006,0)), HYPERLINK("#",""), HYPERLINK(CONCATENATE("#Metadata!", ADDRESS(INDEX($AJ$2:$AJ$1001,MATCH(ROWS($AH$2:AH26),$AH$2:$AH$1001,0),0), INDEX($AO$1004:$BQ$1004,1,MATCH(COLUMNS($AO$1006:BB1006),$AO$1006:$BQ$1006,0)))),"Fix")))</f>
        <v>#N/A</v>
      </c>
      <c r="P26" s="5" t="e">
        <f ca="1">IF(OR(INDEX($AI$2:$AI$1001,MATCH(ROWS($AH$2:AH26),$AH$2:$AH$1001,0),1)&gt;=100000,INDEX($AO$1005:$BQ$1005,1,MATCH(COLUMNS($AO$1006:BC1006),$AO$1006:$BQ$1006,0))&gt;=100000), " ",IF(INDEX($AO$2:$BQ$1001,MATCH(ROWS($AH$2:AH26),$AH$2:$AH$1001,0),MATCH(COLUMNS($AO$1006:BC1006),$AO$1006:$BQ$1006,0)), HYPERLINK("#",""), HYPERLINK(CONCATENATE("#Metadata!", ADDRESS(INDEX($AJ$2:$AJ$1001,MATCH(ROWS($AH$2:AH26),$AH$2:$AH$1001,0),0), INDEX($AO$1004:$BQ$1004,1,MATCH(COLUMNS($AO$1006:BC1006),$AO$1006:$BQ$1006,0)))),"Fix")))</f>
        <v>#N/A</v>
      </c>
      <c r="Q26" s="5" t="e">
        <f ca="1">IF(OR(INDEX($AI$2:$AI$1001,MATCH(ROWS($AH$2:AH26),$AH$2:$AH$1001,0),1)&gt;=100000,INDEX($AO$1005:$BQ$1005,1,MATCH(COLUMNS($AO$1006:BD1006),$AO$1006:$BQ$1006,0))&gt;=100000), " ",IF(INDEX($AO$2:$BQ$1001,MATCH(ROWS($AH$2:AH26),$AH$2:$AH$1001,0),MATCH(COLUMNS($AO$1006:BD1006),$AO$1006:$BQ$1006,0)), HYPERLINK("#",""), HYPERLINK(CONCATENATE("#Metadata!", ADDRESS(INDEX($AJ$2:$AJ$1001,MATCH(ROWS($AH$2:AH26),$AH$2:$AH$1001,0),0), INDEX($AO$1004:$BQ$1004,1,MATCH(COLUMNS($AO$1006:BD1006),$AO$1006:$BQ$1006,0)))),"Fix")))</f>
        <v>#N/A</v>
      </c>
      <c r="R26" s="5" t="e">
        <f ca="1">IF(OR(INDEX($AI$2:$AI$1001,MATCH(ROWS($AH$2:AH26),$AH$2:$AH$1001,0),1)&gt;=100000,INDEX($AO$1005:$BQ$1005,1,MATCH(COLUMNS($AO$1006:BE1006),$AO$1006:$BQ$1006,0))&gt;=100000), " ",IF(INDEX($AO$2:$BQ$1001,MATCH(ROWS($AH$2:AH26),$AH$2:$AH$1001,0),MATCH(COLUMNS($AO$1006:BE1006),$AO$1006:$BQ$1006,0)), HYPERLINK("#",""), HYPERLINK(CONCATENATE("#Metadata!", ADDRESS(INDEX($AJ$2:$AJ$1001,MATCH(ROWS($AH$2:AH26),$AH$2:$AH$1001,0),0), INDEX($AO$1004:$BQ$1004,1,MATCH(COLUMNS($AO$1006:BE1006),$AO$1006:$BQ$1006,0)))),"Fix")))</f>
        <v>#N/A</v>
      </c>
      <c r="S26" s="5" t="e">
        <f ca="1">IF(OR(INDEX($AI$2:$AI$1001,MATCH(ROWS($AH$2:AH26),$AH$2:$AH$1001,0),1)&gt;=100000,INDEX($AO$1005:$BQ$1005,1,MATCH(COLUMNS($AO$1006:BF1006),$AO$1006:$BQ$1006,0))&gt;=100000), " ",IF(INDEX($AO$2:$BQ$1001,MATCH(ROWS($AH$2:AH26),$AH$2:$AH$1001,0),MATCH(COLUMNS($AO$1006:BF1006),$AO$1006:$BQ$1006,0)), HYPERLINK("#",""), HYPERLINK(CONCATENATE("#Metadata!", ADDRESS(INDEX($AJ$2:$AJ$1001,MATCH(ROWS($AH$2:AH26),$AH$2:$AH$1001,0),0), INDEX($AO$1004:$BQ$1004,1,MATCH(COLUMNS($AO$1006:BF1006),$AO$1006:$BQ$1006,0)))),"Fix")))</f>
        <v>#N/A</v>
      </c>
      <c r="T26" s="5" t="e">
        <f ca="1">IF(OR(INDEX($AI$2:$AI$1001,MATCH(ROWS($AH$2:AH26),$AH$2:$AH$1001,0),1)&gt;=100000,INDEX($AO$1005:$BQ$1005,1,MATCH(COLUMNS($AO$1006:BG1006),$AO$1006:$BQ$1006,0))&gt;=100000), " ",IF(INDEX($AO$2:$BQ$1001,MATCH(ROWS($AH$2:AH26),$AH$2:$AH$1001,0),MATCH(COLUMNS($AO$1006:BG1006),$AO$1006:$BQ$1006,0)), HYPERLINK("#",""), HYPERLINK(CONCATENATE("#Metadata!", ADDRESS(INDEX($AJ$2:$AJ$1001,MATCH(ROWS($AH$2:AH26),$AH$2:$AH$1001,0),0), INDEX($AO$1004:$BQ$1004,1,MATCH(COLUMNS($AO$1006:BG1006),$AO$1006:$BQ$1006,0)))),"Fix")))</f>
        <v>#N/A</v>
      </c>
      <c r="U26" s="5" t="e">
        <f ca="1">IF(OR(INDEX($AI$2:$AI$1001,MATCH(ROWS($AH$2:AH26),$AH$2:$AH$1001,0),1)&gt;=100000,INDEX($AO$1005:$BQ$1005,1,MATCH(COLUMNS($AO$1006:BH1006),$AO$1006:$BQ$1006,0))&gt;=100000), " ",IF(INDEX($AO$2:$BQ$1001,MATCH(ROWS($AH$2:AH26),$AH$2:$AH$1001,0),MATCH(COLUMNS($AO$1006:BH1006),$AO$1006:$BQ$1006,0)), HYPERLINK("#",""), HYPERLINK(CONCATENATE("#Metadata!", ADDRESS(INDEX($AJ$2:$AJ$1001,MATCH(ROWS($AH$2:AH26),$AH$2:$AH$1001,0),0), INDEX($AO$1004:$BQ$1004,1,MATCH(COLUMNS($AO$1006:BH1006),$AO$1006:$BQ$1006,0)))),"Fix")))</f>
        <v>#N/A</v>
      </c>
      <c r="V26" s="5" t="e">
        <f ca="1">IF(OR(INDEX($AI$2:$AI$1001,MATCH(ROWS($AH$2:AH26),$AH$2:$AH$1001,0),1)&gt;=100000,INDEX($AO$1005:$BQ$1005,1,MATCH(COLUMNS($AO$1006:BI1006),$AO$1006:$BQ$1006,0))&gt;=100000), " ",IF(INDEX($AO$2:$BQ$1001,MATCH(ROWS($AH$2:AH26),$AH$2:$AH$1001,0),MATCH(COLUMNS($AO$1006:BI1006),$AO$1006:$BQ$1006,0)), HYPERLINK("#",""), HYPERLINK(CONCATENATE("#Metadata!", ADDRESS(INDEX($AJ$2:$AJ$1001,MATCH(ROWS($AH$2:AH26),$AH$2:$AH$1001,0),0), INDEX($AO$1004:$BQ$1004,1,MATCH(COLUMNS($AO$1006:BI1006),$AO$1006:$BQ$1006,0)))),"Fix")))</f>
        <v>#N/A</v>
      </c>
      <c r="W26" s="5" t="e">
        <f ca="1">IF(OR(INDEX($AI$2:$AI$1001,MATCH(ROWS($AH$2:AH26),$AH$2:$AH$1001,0),1)&gt;=100000,INDEX($AO$1005:$BQ$1005,1,MATCH(COLUMNS($AO$1006:BJ1006),$AO$1006:$BQ$1006,0))&gt;=100000), " ",IF(INDEX($AO$2:$BQ$1001,MATCH(ROWS($AH$2:AH26),$AH$2:$AH$1001,0),MATCH(COLUMNS($AO$1006:BJ1006),$AO$1006:$BQ$1006,0)), HYPERLINK("#",""), HYPERLINK(CONCATENATE("#Metadata!", ADDRESS(INDEX($AJ$2:$AJ$1001,MATCH(ROWS($AH$2:AH26),$AH$2:$AH$1001,0),0), INDEX($AO$1004:$BQ$1004,1,MATCH(COLUMNS($AO$1006:BJ1006),$AO$1006:$BQ$1006,0)))),"Fix")))</f>
        <v>#N/A</v>
      </c>
      <c r="X26" s="5" t="e">
        <f ca="1">IF(OR(INDEX($AI$2:$AI$1001,MATCH(ROWS($AH$2:AH26),$AH$2:$AH$1001,0),1)&gt;=100000,INDEX($AO$1005:$BQ$1005,1,MATCH(COLUMNS($AO$1006:BK1006),$AO$1006:$BQ$1006,0))&gt;=100000), " ",IF(INDEX($AO$2:$BQ$1001,MATCH(ROWS($AH$2:AH26),$AH$2:$AH$1001,0),MATCH(COLUMNS($AO$1006:BK1006),$AO$1006:$BQ$1006,0)), HYPERLINK("#",""), HYPERLINK(CONCATENATE("#Metadata!", ADDRESS(INDEX($AJ$2:$AJ$1001,MATCH(ROWS($AH$2:AH26),$AH$2:$AH$1001,0),0), INDEX($AO$1004:$BQ$1004,1,MATCH(COLUMNS($AO$1006:BK1006),$AO$1006:$BQ$1006,0)))),"Fix")))</f>
        <v>#N/A</v>
      </c>
      <c r="Y26" s="5" t="e">
        <f ca="1">IF(OR(INDEX($AI$2:$AI$1001,MATCH(ROWS($AH$2:AH26),$AH$2:$AH$1001,0),1)&gt;=100000,INDEX($AO$1005:$BQ$1005,1,MATCH(COLUMNS($AO$1006:BL1006),$AO$1006:$BQ$1006,0))&gt;=100000), " ",IF(INDEX($AO$2:$BQ$1001,MATCH(ROWS($AH$2:AH26),$AH$2:$AH$1001,0),MATCH(COLUMNS($AO$1006:BL1006),$AO$1006:$BQ$1006,0)), HYPERLINK("#",""), HYPERLINK(CONCATENATE("#Metadata!", ADDRESS(INDEX($AJ$2:$AJ$1001,MATCH(ROWS($AH$2:AH26),$AH$2:$AH$1001,0),0), INDEX($AO$1004:$BQ$1004,1,MATCH(COLUMNS($AO$1006:BL1006),$AO$1006:$BQ$1006,0)))),"Fix")))</f>
        <v>#N/A</v>
      </c>
      <c r="Z26" s="5" t="e">
        <f ca="1">IF(OR(INDEX($AI$2:$AI$1001,MATCH(ROWS($AH$2:AH26),$AH$2:$AH$1001,0),1)&gt;=100000,INDEX($AO$1005:$BQ$1005,1,MATCH(COLUMNS($AO$1006:BM1006),$AO$1006:$BQ$1006,0))&gt;=100000), " ",IF(INDEX($AO$2:$BQ$1001,MATCH(ROWS($AH$2:AH26),$AH$2:$AH$1001,0),MATCH(COLUMNS($AO$1006:BM1006),$AO$1006:$BQ$1006,0)), HYPERLINK("#",""), HYPERLINK(CONCATENATE("#Metadata!", ADDRESS(INDEX($AJ$2:$AJ$1001,MATCH(ROWS($AH$2:AH26),$AH$2:$AH$1001,0),0), INDEX($AO$1004:$BQ$1004,1,MATCH(COLUMNS($AO$1006:BM1006),$AO$1006:$BQ$1006,0)))),"Fix")))</f>
        <v>#N/A</v>
      </c>
      <c r="AA26" s="5" t="e">
        <f ca="1">IF(OR(INDEX($AI$2:$AI$1001,MATCH(ROWS($AH$2:AH26),$AH$2:$AH$1001,0),1)&gt;=100000,INDEX($AO$1005:$BQ$1005,1,MATCH(COLUMNS($AO$1006:BN1006),$AO$1006:$BQ$1006,0))&gt;=100000), " ",IF(INDEX($AO$2:$BQ$1001,MATCH(ROWS($AH$2:AH26),$AH$2:$AH$1001,0),MATCH(COLUMNS($AO$1006:BN1006),$AO$1006:$BQ$1006,0)), HYPERLINK("#",""), HYPERLINK(CONCATENATE("#Metadata!", ADDRESS(INDEX($AJ$2:$AJ$1001,MATCH(ROWS($AH$2:AH26),$AH$2:$AH$1001,0),0), INDEX($AO$1004:$BQ$1004,1,MATCH(COLUMNS($AO$1006:BN1006),$AO$1006:$BQ$1006,0)))),"Fix")))</f>
        <v>#N/A</v>
      </c>
      <c r="AB26" s="5" t="e">
        <f ca="1">IF(OR(INDEX($AI$2:$AI$1001,MATCH(ROWS($AH$2:AH26),$AH$2:$AH$1001,0),1)&gt;=100000,INDEX($AO$1005:$BQ$1005,1,MATCH(COLUMNS($AO$1006:BO1006),$AO$1006:$BQ$1006,0))&gt;=100000), " ",IF(INDEX($AO$2:$BQ$1001,MATCH(ROWS($AH$2:AH26),$AH$2:$AH$1001,0),MATCH(COLUMNS($AO$1006:BO1006),$AO$1006:$BQ$1006,0)), HYPERLINK("#",""), HYPERLINK(CONCATENATE("#Metadata!", ADDRESS(INDEX($AJ$2:$AJ$1001,MATCH(ROWS($AH$2:AH26),$AH$2:$AH$1001,0),0), INDEX($AO$1004:$BQ$1004,1,MATCH(COLUMNS($AO$1006:BO1006),$AO$1006:$BQ$1006,0)))),"Fix")))</f>
        <v>#N/A</v>
      </c>
      <c r="AC26" s="5" t="e">
        <f ca="1">IF(OR(INDEX($AI$2:$AI$1001,MATCH(ROWS($AH$2:AH26),$AH$2:$AH$1001,0),1)&gt;=100000,INDEX($AO$1005:$BQ$1005,1,MATCH(COLUMNS($AO$1006:BP1006),$AO$1006:$BQ$1006,0))&gt;=100000), " ",IF(INDEX($AO$2:$BQ$1001,MATCH(ROWS($AH$2:AH26),$AH$2:$AH$1001,0),MATCH(COLUMNS($AO$1006:BP1006),$AO$1006:$BQ$1006,0)), HYPERLINK("#",""), HYPERLINK(CONCATENATE("#Metadata!", ADDRESS(INDEX($AJ$2:$AJ$1001,MATCH(ROWS($AH$2:AH26),$AH$2:$AH$1001,0),0), INDEX($AO$1004:$BQ$1004,1,MATCH(COLUMNS($AO$1006:BP1006),$AO$1006:$BQ$1006,0)))),"Fix")))</f>
        <v>#N/A</v>
      </c>
      <c r="AD26" s="5" t="e">
        <f ca="1">IF(OR(INDEX($AI$2:$AI$1001,MATCH(ROWS($AH$2:AH26),$AH$2:$AH$1001,0),1)&gt;=100000,INDEX($AO$1005:$BQ$1005,1,MATCH(COLUMNS($AO$1006:BQ1006),$AO$1006:$BQ$1006,0))&gt;=100000), " ",IF(INDEX($AO$2:$BQ$1001,MATCH(ROWS($AH$2:AH26),$AH$2:$AH$1001,0),MATCH(COLUMNS($AO$1006:BQ1006),$AO$1006:$BQ$1006,0)), HYPERLINK("#",""), HYPERLINK(CONCATENATE("#Metadata!", ADDRESS(INDEX($AJ$2:$AJ$1001,MATCH(ROWS($AH$2:AH26),$AH$2:$AH$1001,0),0), INDEX($AO$1004:$BQ$1004,1,MATCH(COLUMNS($AO$1006:BQ1006),$AO$1006:$BQ$1006,0)))),"Fix")))</f>
        <v>#REF!</v>
      </c>
      <c r="AH26">
        <f ca="1"/>
        <v>24</v>
      </c>
      <c r="AI26">
        <f ca="1"/>
        <v>26</v>
      </c>
      <c r="AJ26">
        <v>26</v>
      </c>
      <c r="AK26" t="b">
        <f t="shared" ca="1" si="0"/>
        <v>0</v>
      </c>
      <c r="AL26" t="b">
        <f>COUNTBLANK(Metadata!B26:AD26)=COLUMNS(Metadata!B26:AD26)</f>
        <v>0</v>
      </c>
      <c r="AM26" t="str">
        <v>Environment.Side.2.BTP.253Sediment</v>
      </c>
      <c r="AO26" t="b">
        <f ca="1">AND(IF(Metadata!B25="",FALSE,TRUE),COUNTIF(Metadata!B:B, Metadata!B25) = 1,NOT(ISERROR(SUMPRODUCT(SEARCH(MID(Metadata!B25,ROW(INDIRECT("1:"&amp;LEN(Metadata!B25))), 1),"0123456789abcdefghijklmnopqrstuvwxyzABCDEFGHIJKLMNOPQRSTUVWXYZ.")))))</f>
        <v>1</v>
      </c>
      <c r="AP26" t="b">
        <f>IF(Metadata!C25="",FALSE,TRUE)</f>
        <v>1</v>
      </c>
      <c r="AQ26" t="b">
        <f>IF(Metadata!D25="",FALSE,TRUE)</f>
        <v>1</v>
      </c>
      <c r="AR26" t="b">
        <f ca="1">OR(AND(IF(Metadata!E25="",FALSE,TRUE),OR(EXACT(Metadata!E25,"not collected"),EXACT(Metadata!E25,"not provided"),EXACT(Metadata!E25,"restricted access"))),AND(IF(Metadata!E25="",FALSE,TRUE),AND(AND(IFERROR(INT(LEFT(Metadata!E25,4))&gt;1900,FALSE),IFERROR(INT(LEFT(Metadata!E25,4))&lt;=YEAR(NOW()),FALSE)), OR(MID(Metadata!E25,5,1)="", AND(AND(MID(Metadata!E25,5,1)="-",IFERROR(INT(MID(Metadata!E25,6,1))&gt;=0,FALSE),IFERROR(INT(MID(Metadata!E25,6,1))&lt;=1,FALSE),NOT(MID(Metadata!E25,7,1)=""),IFERROR(INT(MID(Metadata!E25,6,2))&gt;=1,FALSE),IFERROR(INT(MID(Metadata!E25,6,2))&lt;=12,FALSE)), OR(MID(Metadata!E25,8,1)="", AND(AND(MID(Metadata!E25,8,1)="-",IFERROR(INT(MID(Metadata!E25,9,1))&gt;=0,FALSE),IFERROR(INT(MID(Metadata!E25,9,1))&lt;=3,FALSE),NOT(MID(Metadata!E25,10,1)=""),IFERROR(INT(MID(Metadata!E25,9,2))&gt;=1,FALSE),IFERROR(INT(MID(Metadata!E25,9,2))&lt;=31,FALSE)), OR(MID(Metadata!E25,11,1)="", AND(AND(MID(Metadata!E25,11,1)=" ",IFERROR(INT(MID(Metadata!E25,12,1))&gt;=0,FALSE),IFERROR(INT(MID(Metadata!E25,12,1))&lt;=2,FALSE),NOT(MID(Metadata!E25,13,1)=""),IFERROR(INT(MID(Metadata!E25,12,2))&gt;=0,FALSE),IFERROR(INT(MID(Metadata!E25,12,2))&lt;=23,FALSE)), OR(MID(Metadata!E25,14,1)="", AND(AND(MID(Metadata!E25,14,1)=":",IFERROR(INT(MID(Metadata!E25,15,1))&gt;=0,FALSE),IFERROR(INT(MID(Metadata!E25,15,1))&lt;=5,FALSE),NOT(MID(Metadata!E25,16,1)=""),IFERROR(INT(MID(Metadata!E25,15,2))&gt;=0,FALSE),IFERROR(INT(MID(Metadata!E25,15,2))&lt;=59,FALSE)), OR(MID(Metadata!E25,17,1)="", AND(AND(MID(Metadata!E25,17,1)=":",IFERROR(INT(MID(Metadata!E25,18,1))&gt;=0,FALSE),IFERROR(INT(MID(Metadata!E25,18,1))&lt;=5,FALSE),NOT(MID(Metadata!E25,19,1)=""),IFERROR(INT(MID(Metadata!E25,18,2))&gt;=0,FALSE),IFERROR(INT(MID(Metadata!E25,18,2))&lt;=59,FALSE)), LEN(Metadata!E25)&lt;=19)))))))))))))</f>
        <v>0</v>
      </c>
      <c r="AS26" t="b">
        <f>IF(Metadata!F25="",FALSE,TRUE)</f>
        <v>1</v>
      </c>
      <c r="AT26" t="b">
        <f>OR(AND(IF(Metadata!G25="",FALSE,TRUE),OR(EXACT(Metadata!G25,"not collected"),EXACT(Metadata!G25,"not provided"))),AND(IF(Metadata!G25="",FALSE,TRUE),OR(EXACT(Metadata!G25,"TRUE"),EXACT(Metadata!G25,"FALSE"))))</f>
        <v>1</v>
      </c>
      <c r="AU26" t="b">
        <f>OR(AND(IF(Metadata!H25="",FALSE,TRUE),OR(EXACT(Metadata!H25,"not collected"),EXACT(Metadata!H25,"not provided"),EXACT(Metadata!H25,"restricted access"))),AND(IF(Metadata!H25="",FALSE,ISNUMBER(VALUE(Metadata!H25))),Metadata!H25&gt;=-413))</f>
        <v>0</v>
      </c>
      <c r="AV26" t="b">
        <f>AND(IF(Metadata!I25="",FALSE,TRUE),EXACT(Metadata!I25,"meters"))</f>
        <v>1</v>
      </c>
      <c r="AW26" t="b">
        <f>AND(IF(Metadata!J25="",FALSE,TRUE),EXACT(Metadata!J25,"free-living"))</f>
        <v>1</v>
      </c>
      <c r="AX26" t="b">
        <f>AND(IF(Metadata!K25="",FALSE,TRUE),OR(EXACT(Metadata!K25,"saline"),EXACT(Metadata!K25,"non-saline")))</f>
        <v>1</v>
      </c>
      <c r="AY26" t="b">
        <f>AND(IF(Metadata!L25="",FALSE,TRUE),OR(EXACT(Metadata!L25,"sub-surface (non-saline)"),EXACT(Metadata!L25,"surface (non-saline)"),EXACT(Metadata!L25,"water (non-saline)"),EXACT(Metadata!L25,"soil (non-saline)"),EXACT(Metadata!L25,"aerosol (non-saline)"),EXACT(Metadata!L25,"sediment (non-saline)"),EXACT(Metadata!L25,"surface (saline)"),EXACT(Metadata!L25,"water (saline)"),EXACT(Metadata!L25,"hypersaline (saline)"),EXACT(Metadata!L25,"aerosol (saline)"),EXACT(Metadata!L25,"sediment (saline)")))</f>
        <v>1</v>
      </c>
      <c r="AZ26" t="b">
        <f>IF(Metadata!M25="",FALSE,TRUE)</f>
        <v>1</v>
      </c>
      <c r="BA26" t="b">
        <f>IF(Metadata!N25="",FALSE,TRUE)</f>
        <v>1</v>
      </c>
      <c r="BB26" t="b">
        <f>IF(Metadata!O25="",FALSE,TRUE)</f>
        <v>1</v>
      </c>
      <c r="BC26" t="b">
        <f>AND(IF(Metadata!P25="",FALSE,TRUE),OR(EXACT(Metadata!P25,"air"),EXACT(Metadata!P25,"microbial mat/biofilm"),EXACT(Metadata!P25,"misc environment"),EXACT(Metadata!P25,"sediment"),EXACT(Metadata!P25,"soil"),EXACT(Metadata!P25,"wastewater/sludge"),EXACT(Metadata!P25,"water")))</f>
        <v>1</v>
      </c>
      <c r="BD26" t="b">
        <f>IF(Metadata!Q25="",FALSE,TRUE)</f>
        <v>1</v>
      </c>
      <c r="BE26" t="b">
        <f>IF(Metadata!R25="",FALSE,TRUE)</f>
        <v>1</v>
      </c>
      <c r="BF26" t="b">
        <f>OR(AND(IF(Metadata!S25="",FALSE,TRUE),OR(EXACT(Metadata!S25,"not collected"),EXACT(Metadata!S25,"not provided"),EXACT(Metadata!S25,"restricted access"))),AND(IF(Metadata!S25="",FALSE,ISNUMBER(VALUE(Metadata!S25))),Metadata!S25&gt;=-90,Metadata!S25&lt;=90))</f>
        <v>0</v>
      </c>
      <c r="BG26" t="b">
        <f>AND(IF(Metadata!T25="",FALSE,TRUE),EXACT(Metadata!T25,"Decimal degrees"))</f>
        <v>1</v>
      </c>
      <c r="BH26" t="b">
        <f>OR(AND(IF(Metadata!U26="",FALSE,TRUE),OR(EXACT(Metadata!U26,"not applicable"),EXACT(Metadata!U26,"not collected"))),IF(Metadata!U26="",FALSE,TRUE))</f>
        <v>1</v>
      </c>
      <c r="BI26" t="b">
        <f>OR(AND(IF(Metadata!V25="",FALSE,TRUE),OR(EXACT(Metadata!V25,"not collected"),EXACT(Metadata!V25,"not provided"),EXACT(Metadata!V25,"restricted access"))),AND(IF(Metadata!V25="",FALSE,ISNUMBER(VALUE(Metadata!V25))),Metadata!V25&gt;=-180,Metadata!V25&lt;=180))</f>
        <v>0</v>
      </c>
      <c r="BJ26" t="b">
        <f>AND(IF(Metadata!W25="",FALSE,TRUE),EXACT(Metadata!W25,"Decimal degrees"))</f>
        <v>1</v>
      </c>
      <c r="BK26" t="b">
        <f>IF(Metadata!X25="",FALSE,TRUE)</f>
        <v>1</v>
      </c>
      <c r="BL26" t="b">
        <f>OR(AND(IF(Metadata!Y25="",FALSE,TRUE),OR(EXACT(Metadata!Y25,"not collected"),EXACT(Metadata!Y25,"not provided"),EXACT(Metadata!Y25,"restricted access"))),AND(IF(Metadata!Y25="",FALSE,TRUE),OR(EXACT(Metadata!Y25,"TRUE"),EXACT(Metadata!Y25,"FALSE"))))</f>
        <v>1</v>
      </c>
      <c r="BM26" t="b">
        <f>OR(AND(IF(Metadata!Z25="",FALSE,TRUE),EXACT(Metadata!Z25,"not applicable")),AND(IF(Metadata!Z25="",FALSE,TRUE),OR(EXACT(Metadata!Z25,"beer"),EXACT(Metadata!Z25,"cheese"),EXACT(Metadata!Z25,"fresh water"),EXACT(Metadata!Z25,"marine sediment"),EXACT(Metadata!Z25,"sea water"),EXACT(Metadata!Z25,"sediment"),EXACT(Metadata!Z25,"soil"),EXACT(Metadata!Z25,"waste water"))))</f>
        <v>1</v>
      </c>
      <c r="BN26" t="b">
        <f>AND(IF(Metadata!AA25="",FALSE,TRUE),EXACT(Metadata!AA25,"metagenome"))</f>
        <v>1</v>
      </c>
      <c r="BO26" t="b">
        <f>AND(IF(Metadata!AB25="",FALSE,TRUE),EXACT(Metadata!AB25,"256318"))</f>
        <v>1</v>
      </c>
      <c r="BP26" t="b">
        <f>IF(Metadata!AC25="",FALSE,TRUE)</f>
        <v>1</v>
      </c>
      <c r="BQ26" t="b">
        <f>IF(Metadata!AD25="",FALSE,TRUE)</f>
        <v>1</v>
      </c>
    </row>
    <row r="27" spans="1:69" x14ac:dyDescent="0.2">
      <c r="A27" s="4" t="e">
        <f ca="1">IF(B27=" "," ",HYPERLINK(CONCATENATE("#metadata!",ADDRESS(INDEX($AJ$2:$AJ$1001,MATCH(ROWS($AH$2:AH27),$AH$2:$AH$1001,0),0),2)),INDEX($AM$2:$AM$1001,MATCH(ROWS($AH$2:AH27),$AH$2:$AH$1001,0),0)))</f>
        <v>#N/A</v>
      </c>
      <c r="B27" s="5" t="e">
        <f ca="1">IF(OR(INDEX($AI$2:$AI$1001,MATCH(ROWS($AH$2:AH27),$AH$2:$AH$1001,0),1)&gt;=100000,INDEX($AO$1005:$BQ$1005,1,MATCH(COLUMNS($AO$1006:AO1006),$AO$1006:$BQ$1006,0))&gt;=100000), " ",IF(INDEX($AO$2:$BQ$1001,MATCH(ROWS($AH$2:AH27),$AH$2:$AH$1001,0),MATCH(COLUMNS($AO$1006:AO1006),$AO$1006:$BQ$1006,0)), HYPERLINK("#",""), HYPERLINK(CONCATENATE("#Metadata!", ADDRESS(INDEX($AJ$2:$AJ$1001,MATCH(ROWS($AH$2:AH27),$AH$2:$AH$1001,0),0), INDEX($AO$1004:$BQ$1004,1,MATCH(COLUMNS($AO$1006:AO1006),$AO$1006:$BQ$1006,0)))),"Fix")))</f>
        <v>#N/A</v>
      </c>
      <c r="C27" s="5" t="e">
        <f ca="1">IF(OR(INDEX($AI$2:$AI$1001,MATCH(ROWS($AH$2:AH27),$AH$2:$AH$1001,0),1)&gt;=100000,INDEX($AO$1005:$BQ$1005,1,MATCH(COLUMNS($AO$1006:AP1006),$AO$1006:$BQ$1006,0))&gt;=100000), " ",IF(INDEX($AO$2:$BQ$1001,MATCH(ROWS($AH$2:AH27),$AH$2:$AH$1001,0),MATCH(COLUMNS($AO$1006:AP1006),$AO$1006:$BQ$1006,0)), HYPERLINK("#",""), HYPERLINK(CONCATENATE("#Metadata!", ADDRESS(INDEX($AJ$2:$AJ$1001,MATCH(ROWS($AH$2:AH27),$AH$2:$AH$1001,0),0), INDEX($AO$1004:$BQ$1004,1,MATCH(COLUMNS($AO$1006:AP1006),$AO$1006:$BQ$1006,0)))),"Fix")))</f>
        <v>#N/A</v>
      </c>
      <c r="D27" s="5" t="e">
        <f ca="1">IF(OR(INDEX($AI$2:$AI$1001,MATCH(ROWS($AH$2:AH27),$AH$2:$AH$1001,0),1)&gt;=100000,INDEX($AO$1005:$BQ$1005,1,MATCH(COLUMNS($AO$1006:AQ1006),$AO$1006:$BQ$1006,0))&gt;=100000), " ",IF(INDEX($AO$2:$BQ$1001,MATCH(ROWS($AH$2:AH27),$AH$2:$AH$1001,0),MATCH(COLUMNS($AO$1006:AQ1006),$AO$1006:$BQ$1006,0)), HYPERLINK("#",""), HYPERLINK(CONCATENATE("#Metadata!", ADDRESS(INDEX($AJ$2:$AJ$1001,MATCH(ROWS($AH$2:AH27),$AH$2:$AH$1001,0),0), INDEX($AO$1004:$BQ$1004,1,MATCH(COLUMNS($AO$1006:AQ1006),$AO$1006:$BQ$1006,0)))),"Fix")))</f>
        <v>#N/A</v>
      </c>
      <c r="E27" s="5" t="e">
        <f ca="1">IF(OR(INDEX($AI$2:$AI$1001,MATCH(ROWS($AH$2:AH27),$AH$2:$AH$1001,0),1)&gt;=100000,INDEX($AO$1005:$BQ$1005,1,MATCH(COLUMNS($AO$1006:AR1006),$AO$1006:$BQ$1006,0))&gt;=100000), " ",IF(INDEX($AO$2:$BQ$1001,MATCH(ROWS($AH$2:AH27),$AH$2:$AH$1001,0),MATCH(COLUMNS($AO$1006:AR1006),$AO$1006:$BQ$1006,0)), HYPERLINK("#",""), HYPERLINK(CONCATENATE("#Metadata!", ADDRESS(INDEX($AJ$2:$AJ$1001,MATCH(ROWS($AH$2:AH27),$AH$2:$AH$1001,0),0), INDEX($AO$1004:$BQ$1004,1,MATCH(COLUMNS($AO$1006:AR1006),$AO$1006:$BQ$1006,0)))),"Fix")))</f>
        <v>#N/A</v>
      </c>
      <c r="F27" s="5" t="e">
        <f ca="1">IF(OR(INDEX($AI$2:$AI$1001,MATCH(ROWS($AH$2:AH27),$AH$2:$AH$1001,0),1)&gt;=100000,INDEX($AO$1005:$BQ$1005,1,MATCH(COLUMNS($AO$1006:AS1006),$AO$1006:$BQ$1006,0))&gt;=100000), " ",IF(INDEX($AO$2:$BQ$1001,MATCH(ROWS($AH$2:AH27),$AH$2:$AH$1001,0),MATCH(COLUMNS($AO$1006:AS1006),$AO$1006:$BQ$1006,0)), HYPERLINK("#",""), HYPERLINK(CONCATENATE("#Metadata!", ADDRESS(INDEX($AJ$2:$AJ$1001,MATCH(ROWS($AH$2:AH27),$AH$2:$AH$1001,0),0), INDEX($AO$1004:$BQ$1004,1,MATCH(COLUMNS($AO$1006:AS1006),$AO$1006:$BQ$1006,0)))),"Fix")))</f>
        <v>#N/A</v>
      </c>
      <c r="G27" s="5" t="e">
        <f ca="1">IF(OR(INDEX($AI$2:$AI$1001,MATCH(ROWS($AH$2:AH27),$AH$2:$AH$1001,0),1)&gt;=100000,INDEX($AO$1005:$BQ$1005,1,MATCH(COLUMNS($AO$1006:AT1006),$AO$1006:$BQ$1006,0))&gt;=100000), " ",IF(INDEX($AO$2:$BQ$1001,MATCH(ROWS($AH$2:AH27),$AH$2:$AH$1001,0),MATCH(COLUMNS($AO$1006:AT1006),$AO$1006:$BQ$1006,0)), HYPERLINK("#",""), HYPERLINK(CONCATENATE("#Metadata!", ADDRESS(INDEX($AJ$2:$AJ$1001,MATCH(ROWS($AH$2:AH27),$AH$2:$AH$1001,0),0), INDEX($AO$1004:$BQ$1004,1,MATCH(COLUMNS($AO$1006:AT1006),$AO$1006:$BQ$1006,0)))),"Fix")))</f>
        <v>#N/A</v>
      </c>
      <c r="H27" s="5" t="e">
        <f ca="1">IF(OR(INDEX($AI$2:$AI$1001,MATCH(ROWS($AH$2:AH27),$AH$2:$AH$1001,0),1)&gt;=100000,INDEX($AO$1005:$BQ$1005,1,MATCH(COLUMNS($AO$1006:AU1006),$AO$1006:$BQ$1006,0))&gt;=100000), " ",IF(INDEX($AO$2:$BQ$1001,MATCH(ROWS($AH$2:AH27),$AH$2:$AH$1001,0),MATCH(COLUMNS($AO$1006:AU1006),$AO$1006:$BQ$1006,0)), HYPERLINK("#",""), HYPERLINK(CONCATENATE("#Metadata!", ADDRESS(INDEX($AJ$2:$AJ$1001,MATCH(ROWS($AH$2:AH27),$AH$2:$AH$1001,0),0), INDEX($AO$1004:$BQ$1004,1,MATCH(COLUMNS($AO$1006:AU1006),$AO$1006:$BQ$1006,0)))),"Fix")))</f>
        <v>#N/A</v>
      </c>
      <c r="I27" s="5" t="e">
        <f ca="1">IF(OR(INDEX($AI$2:$AI$1001,MATCH(ROWS($AH$2:AH27),$AH$2:$AH$1001,0),1)&gt;=100000,INDEX($AO$1005:$BQ$1005,1,MATCH(COLUMNS($AO$1006:AV1006),$AO$1006:$BQ$1006,0))&gt;=100000), " ",IF(INDEX($AO$2:$BQ$1001,MATCH(ROWS($AH$2:AH27),$AH$2:$AH$1001,0),MATCH(COLUMNS($AO$1006:AV1006),$AO$1006:$BQ$1006,0)), HYPERLINK("#",""), HYPERLINK(CONCATENATE("#Metadata!", ADDRESS(INDEX($AJ$2:$AJ$1001,MATCH(ROWS($AH$2:AH27),$AH$2:$AH$1001,0),0), INDEX($AO$1004:$BQ$1004,1,MATCH(COLUMNS($AO$1006:AV1006),$AO$1006:$BQ$1006,0)))),"Fix")))</f>
        <v>#N/A</v>
      </c>
      <c r="J27" s="5" t="e">
        <f ca="1">IF(OR(INDEX($AI$2:$AI$1001,MATCH(ROWS($AH$2:AH27),$AH$2:$AH$1001,0),1)&gt;=100000,INDEX($AO$1005:$BQ$1005,1,MATCH(COLUMNS($AO$1006:AW1006),$AO$1006:$BQ$1006,0))&gt;=100000), " ",IF(INDEX($AO$2:$BQ$1001,MATCH(ROWS($AH$2:AH27),$AH$2:$AH$1001,0),MATCH(COLUMNS($AO$1006:AW1006),$AO$1006:$BQ$1006,0)), HYPERLINK("#",""), HYPERLINK(CONCATENATE("#Metadata!", ADDRESS(INDEX($AJ$2:$AJ$1001,MATCH(ROWS($AH$2:AH27),$AH$2:$AH$1001,0),0), INDEX($AO$1004:$BQ$1004,1,MATCH(COLUMNS($AO$1006:AW1006),$AO$1006:$BQ$1006,0)))),"Fix")))</f>
        <v>#N/A</v>
      </c>
      <c r="K27" s="5" t="e">
        <f ca="1">IF(OR(INDEX($AI$2:$AI$1001,MATCH(ROWS($AH$2:AH27),$AH$2:$AH$1001,0),1)&gt;=100000,INDEX($AO$1005:$BQ$1005,1,MATCH(COLUMNS($AO$1006:AX1006),$AO$1006:$BQ$1006,0))&gt;=100000), " ",IF(INDEX($AO$2:$BQ$1001,MATCH(ROWS($AH$2:AH27),$AH$2:$AH$1001,0),MATCH(COLUMNS($AO$1006:AX1006),$AO$1006:$BQ$1006,0)), HYPERLINK("#",""), HYPERLINK(CONCATENATE("#Metadata!", ADDRESS(INDEX($AJ$2:$AJ$1001,MATCH(ROWS($AH$2:AH27),$AH$2:$AH$1001,0),0), INDEX($AO$1004:$BQ$1004,1,MATCH(COLUMNS($AO$1006:AX1006),$AO$1006:$BQ$1006,0)))),"Fix")))</f>
        <v>#N/A</v>
      </c>
      <c r="L27" s="5" t="e">
        <f ca="1">IF(OR(INDEX($AI$2:$AI$1001,MATCH(ROWS($AH$2:AH27),$AH$2:$AH$1001,0),1)&gt;=100000,INDEX($AO$1005:$BQ$1005,1,MATCH(COLUMNS($AO$1006:AY1006),$AO$1006:$BQ$1006,0))&gt;=100000), " ",IF(INDEX($AO$2:$BQ$1001,MATCH(ROWS($AH$2:AH27),$AH$2:$AH$1001,0),MATCH(COLUMNS($AO$1006:AY1006),$AO$1006:$BQ$1006,0)), HYPERLINK("#",""), HYPERLINK(CONCATENATE("#Metadata!", ADDRESS(INDEX($AJ$2:$AJ$1001,MATCH(ROWS($AH$2:AH27),$AH$2:$AH$1001,0),0), INDEX($AO$1004:$BQ$1004,1,MATCH(COLUMNS($AO$1006:AY1006),$AO$1006:$BQ$1006,0)))),"Fix")))</f>
        <v>#N/A</v>
      </c>
      <c r="M27" s="5" t="e">
        <f ca="1">IF(OR(INDEX($AI$2:$AI$1001,MATCH(ROWS($AH$2:AH27),$AH$2:$AH$1001,0),1)&gt;=100000,INDEX($AO$1005:$BQ$1005,1,MATCH(COLUMNS($AO$1006:AZ1006),$AO$1006:$BQ$1006,0))&gt;=100000), " ",IF(INDEX($AO$2:$BQ$1001,MATCH(ROWS($AH$2:AH27),$AH$2:$AH$1001,0),MATCH(COLUMNS($AO$1006:AZ1006),$AO$1006:$BQ$1006,0)), HYPERLINK("#",""), HYPERLINK(CONCATENATE("#Metadata!", ADDRESS(INDEX($AJ$2:$AJ$1001,MATCH(ROWS($AH$2:AH27),$AH$2:$AH$1001,0),0), INDEX($AO$1004:$BQ$1004,1,MATCH(COLUMNS($AO$1006:AZ1006),$AO$1006:$BQ$1006,0)))),"Fix")))</f>
        <v>#N/A</v>
      </c>
      <c r="N27" s="5" t="e">
        <f ca="1">IF(OR(INDEX($AI$2:$AI$1001,MATCH(ROWS($AH$2:AH27),$AH$2:$AH$1001,0),1)&gt;=100000,INDEX($AO$1005:$BQ$1005,1,MATCH(COLUMNS($AO$1006:BA1006),$AO$1006:$BQ$1006,0))&gt;=100000), " ",IF(INDEX($AO$2:$BQ$1001,MATCH(ROWS($AH$2:AH27),$AH$2:$AH$1001,0),MATCH(COLUMNS($AO$1006:BA1006),$AO$1006:$BQ$1006,0)), HYPERLINK("#",""), HYPERLINK(CONCATENATE("#Metadata!", ADDRESS(INDEX($AJ$2:$AJ$1001,MATCH(ROWS($AH$2:AH27),$AH$2:$AH$1001,0),0), INDEX($AO$1004:$BQ$1004,1,MATCH(COLUMNS($AO$1006:BA1006),$AO$1006:$BQ$1006,0)))),"Fix")))</f>
        <v>#N/A</v>
      </c>
      <c r="O27" s="5" t="e">
        <f ca="1">IF(OR(INDEX($AI$2:$AI$1001,MATCH(ROWS($AH$2:AH27),$AH$2:$AH$1001,0),1)&gt;=100000,INDEX($AO$1005:$BQ$1005,1,MATCH(COLUMNS($AO$1006:BB1006),$AO$1006:$BQ$1006,0))&gt;=100000), " ",IF(INDEX($AO$2:$BQ$1001,MATCH(ROWS($AH$2:AH27),$AH$2:$AH$1001,0),MATCH(COLUMNS($AO$1006:BB1006),$AO$1006:$BQ$1006,0)), HYPERLINK("#",""), HYPERLINK(CONCATENATE("#Metadata!", ADDRESS(INDEX($AJ$2:$AJ$1001,MATCH(ROWS($AH$2:AH27),$AH$2:$AH$1001,0),0), INDEX($AO$1004:$BQ$1004,1,MATCH(COLUMNS($AO$1006:BB1006),$AO$1006:$BQ$1006,0)))),"Fix")))</f>
        <v>#N/A</v>
      </c>
      <c r="P27" s="5" t="e">
        <f ca="1">IF(OR(INDEX($AI$2:$AI$1001,MATCH(ROWS($AH$2:AH27),$AH$2:$AH$1001,0),1)&gt;=100000,INDEX($AO$1005:$BQ$1005,1,MATCH(COLUMNS($AO$1006:BC1006),$AO$1006:$BQ$1006,0))&gt;=100000), " ",IF(INDEX($AO$2:$BQ$1001,MATCH(ROWS($AH$2:AH27),$AH$2:$AH$1001,0),MATCH(COLUMNS($AO$1006:BC1006),$AO$1006:$BQ$1006,0)), HYPERLINK("#",""), HYPERLINK(CONCATENATE("#Metadata!", ADDRESS(INDEX($AJ$2:$AJ$1001,MATCH(ROWS($AH$2:AH27),$AH$2:$AH$1001,0),0), INDEX($AO$1004:$BQ$1004,1,MATCH(COLUMNS($AO$1006:BC1006),$AO$1006:$BQ$1006,0)))),"Fix")))</f>
        <v>#N/A</v>
      </c>
      <c r="Q27" s="5" t="e">
        <f ca="1">IF(OR(INDEX($AI$2:$AI$1001,MATCH(ROWS($AH$2:AH27),$AH$2:$AH$1001,0),1)&gt;=100000,INDEX($AO$1005:$BQ$1005,1,MATCH(COLUMNS($AO$1006:BD1006),$AO$1006:$BQ$1006,0))&gt;=100000), " ",IF(INDEX($AO$2:$BQ$1001,MATCH(ROWS($AH$2:AH27),$AH$2:$AH$1001,0),MATCH(COLUMNS($AO$1006:BD1006),$AO$1006:$BQ$1006,0)), HYPERLINK("#",""), HYPERLINK(CONCATENATE("#Metadata!", ADDRESS(INDEX($AJ$2:$AJ$1001,MATCH(ROWS($AH$2:AH27),$AH$2:$AH$1001,0),0), INDEX($AO$1004:$BQ$1004,1,MATCH(COLUMNS($AO$1006:BD1006),$AO$1006:$BQ$1006,0)))),"Fix")))</f>
        <v>#N/A</v>
      </c>
      <c r="R27" s="5" t="e">
        <f ca="1">IF(OR(INDEX($AI$2:$AI$1001,MATCH(ROWS($AH$2:AH27),$AH$2:$AH$1001,0),1)&gt;=100000,INDEX($AO$1005:$BQ$1005,1,MATCH(COLUMNS($AO$1006:BE1006),$AO$1006:$BQ$1006,0))&gt;=100000), " ",IF(INDEX($AO$2:$BQ$1001,MATCH(ROWS($AH$2:AH27),$AH$2:$AH$1001,0),MATCH(COLUMNS($AO$1006:BE1006),$AO$1006:$BQ$1006,0)), HYPERLINK("#",""), HYPERLINK(CONCATENATE("#Metadata!", ADDRESS(INDEX($AJ$2:$AJ$1001,MATCH(ROWS($AH$2:AH27),$AH$2:$AH$1001,0),0), INDEX($AO$1004:$BQ$1004,1,MATCH(COLUMNS($AO$1006:BE1006),$AO$1006:$BQ$1006,0)))),"Fix")))</f>
        <v>#N/A</v>
      </c>
      <c r="S27" s="5" t="e">
        <f ca="1">IF(OR(INDEX($AI$2:$AI$1001,MATCH(ROWS($AH$2:AH27),$AH$2:$AH$1001,0),1)&gt;=100000,INDEX($AO$1005:$BQ$1005,1,MATCH(COLUMNS($AO$1006:BF1006),$AO$1006:$BQ$1006,0))&gt;=100000), " ",IF(INDEX($AO$2:$BQ$1001,MATCH(ROWS($AH$2:AH27),$AH$2:$AH$1001,0),MATCH(COLUMNS($AO$1006:BF1006),$AO$1006:$BQ$1006,0)), HYPERLINK("#",""), HYPERLINK(CONCATENATE("#Metadata!", ADDRESS(INDEX($AJ$2:$AJ$1001,MATCH(ROWS($AH$2:AH27),$AH$2:$AH$1001,0),0), INDEX($AO$1004:$BQ$1004,1,MATCH(COLUMNS($AO$1006:BF1006),$AO$1006:$BQ$1006,0)))),"Fix")))</f>
        <v>#N/A</v>
      </c>
      <c r="T27" s="5" t="e">
        <f ca="1">IF(OR(INDEX($AI$2:$AI$1001,MATCH(ROWS($AH$2:AH27),$AH$2:$AH$1001,0),1)&gt;=100000,INDEX($AO$1005:$BQ$1005,1,MATCH(COLUMNS($AO$1006:BG1006),$AO$1006:$BQ$1006,0))&gt;=100000), " ",IF(INDEX($AO$2:$BQ$1001,MATCH(ROWS($AH$2:AH27),$AH$2:$AH$1001,0),MATCH(COLUMNS($AO$1006:BG1006),$AO$1006:$BQ$1006,0)), HYPERLINK("#",""), HYPERLINK(CONCATENATE("#Metadata!", ADDRESS(INDEX($AJ$2:$AJ$1001,MATCH(ROWS($AH$2:AH27),$AH$2:$AH$1001,0),0), INDEX($AO$1004:$BQ$1004,1,MATCH(COLUMNS($AO$1006:BG1006),$AO$1006:$BQ$1006,0)))),"Fix")))</f>
        <v>#N/A</v>
      </c>
      <c r="U27" s="5" t="e">
        <f ca="1">IF(OR(INDEX($AI$2:$AI$1001,MATCH(ROWS($AH$2:AH27),$AH$2:$AH$1001,0),1)&gt;=100000,INDEX($AO$1005:$BQ$1005,1,MATCH(COLUMNS($AO$1006:BH1006),$AO$1006:$BQ$1006,0))&gt;=100000), " ",IF(INDEX($AO$2:$BQ$1001,MATCH(ROWS($AH$2:AH27),$AH$2:$AH$1001,0),MATCH(COLUMNS($AO$1006:BH1006),$AO$1006:$BQ$1006,0)), HYPERLINK("#",""), HYPERLINK(CONCATENATE("#Metadata!", ADDRESS(INDEX($AJ$2:$AJ$1001,MATCH(ROWS($AH$2:AH27),$AH$2:$AH$1001,0),0), INDEX($AO$1004:$BQ$1004,1,MATCH(COLUMNS($AO$1006:BH1006),$AO$1006:$BQ$1006,0)))),"Fix")))</f>
        <v>#N/A</v>
      </c>
      <c r="V27" s="5" t="e">
        <f ca="1">IF(OR(INDEX($AI$2:$AI$1001,MATCH(ROWS($AH$2:AH27),$AH$2:$AH$1001,0),1)&gt;=100000,INDEX($AO$1005:$BQ$1005,1,MATCH(COLUMNS($AO$1006:BI1006),$AO$1006:$BQ$1006,0))&gt;=100000), " ",IF(INDEX($AO$2:$BQ$1001,MATCH(ROWS($AH$2:AH27),$AH$2:$AH$1001,0),MATCH(COLUMNS($AO$1006:BI1006),$AO$1006:$BQ$1006,0)), HYPERLINK("#",""), HYPERLINK(CONCATENATE("#Metadata!", ADDRESS(INDEX($AJ$2:$AJ$1001,MATCH(ROWS($AH$2:AH27),$AH$2:$AH$1001,0),0), INDEX($AO$1004:$BQ$1004,1,MATCH(COLUMNS($AO$1006:BI1006),$AO$1006:$BQ$1006,0)))),"Fix")))</f>
        <v>#N/A</v>
      </c>
      <c r="W27" s="5" t="e">
        <f ca="1">IF(OR(INDEX($AI$2:$AI$1001,MATCH(ROWS($AH$2:AH27),$AH$2:$AH$1001,0),1)&gt;=100000,INDEX($AO$1005:$BQ$1005,1,MATCH(COLUMNS($AO$1006:BJ1006),$AO$1006:$BQ$1006,0))&gt;=100000), " ",IF(INDEX($AO$2:$BQ$1001,MATCH(ROWS($AH$2:AH27),$AH$2:$AH$1001,0),MATCH(COLUMNS($AO$1006:BJ1006),$AO$1006:$BQ$1006,0)), HYPERLINK("#",""), HYPERLINK(CONCATENATE("#Metadata!", ADDRESS(INDEX($AJ$2:$AJ$1001,MATCH(ROWS($AH$2:AH27),$AH$2:$AH$1001,0),0), INDEX($AO$1004:$BQ$1004,1,MATCH(COLUMNS($AO$1006:BJ1006),$AO$1006:$BQ$1006,0)))),"Fix")))</f>
        <v>#N/A</v>
      </c>
      <c r="X27" s="5" t="e">
        <f ca="1">IF(OR(INDEX($AI$2:$AI$1001,MATCH(ROWS($AH$2:AH27),$AH$2:$AH$1001,0),1)&gt;=100000,INDEX($AO$1005:$BQ$1005,1,MATCH(COLUMNS($AO$1006:BK1006),$AO$1006:$BQ$1006,0))&gt;=100000), " ",IF(INDEX($AO$2:$BQ$1001,MATCH(ROWS($AH$2:AH27),$AH$2:$AH$1001,0),MATCH(COLUMNS($AO$1006:BK1006),$AO$1006:$BQ$1006,0)), HYPERLINK("#",""), HYPERLINK(CONCATENATE("#Metadata!", ADDRESS(INDEX($AJ$2:$AJ$1001,MATCH(ROWS($AH$2:AH27),$AH$2:$AH$1001,0),0), INDEX($AO$1004:$BQ$1004,1,MATCH(COLUMNS($AO$1006:BK1006),$AO$1006:$BQ$1006,0)))),"Fix")))</f>
        <v>#N/A</v>
      </c>
      <c r="Y27" s="5" t="e">
        <f ca="1">IF(OR(INDEX($AI$2:$AI$1001,MATCH(ROWS($AH$2:AH27),$AH$2:$AH$1001,0),1)&gt;=100000,INDEX($AO$1005:$BQ$1005,1,MATCH(COLUMNS($AO$1006:BL1006),$AO$1006:$BQ$1006,0))&gt;=100000), " ",IF(INDEX($AO$2:$BQ$1001,MATCH(ROWS($AH$2:AH27),$AH$2:$AH$1001,0),MATCH(COLUMNS($AO$1006:BL1006),$AO$1006:$BQ$1006,0)), HYPERLINK("#",""), HYPERLINK(CONCATENATE("#Metadata!", ADDRESS(INDEX($AJ$2:$AJ$1001,MATCH(ROWS($AH$2:AH27),$AH$2:$AH$1001,0),0), INDEX($AO$1004:$BQ$1004,1,MATCH(COLUMNS($AO$1006:BL1006),$AO$1006:$BQ$1006,0)))),"Fix")))</f>
        <v>#N/A</v>
      </c>
      <c r="Z27" s="5" t="e">
        <f ca="1">IF(OR(INDEX($AI$2:$AI$1001,MATCH(ROWS($AH$2:AH27),$AH$2:$AH$1001,0),1)&gt;=100000,INDEX($AO$1005:$BQ$1005,1,MATCH(COLUMNS($AO$1006:BM1006),$AO$1006:$BQ$1006,0))&gt;=100000), " ",IF(INDEX($AO$2:$BQ$1001,MATCH(ROWS($AH$2:AH27),$AH$2:$AH$1001,0),MATCH(COLUMNS($AO$1006:BM1006),$AO$1006:$BQ$1006,0)), HYPERLINK("#",""), HYPERLINK(CONCATENATE("#Metadata!", ADDRESS(INDEX($AJ$2:$AJ$1001,MATCH(ROWS($AH$2:AH27),$AH$2:$AH$1001,0),0), INDEX($AO$1004:$BQ$1004,1,MATCH(COLUMNS($AO$1006:BM1006),$AO$1006:$BQ$1006,0)))),"Fix")))</f>
        <v>#N/A</v>
      </c>
      <c r="AA27" s="5" t="e">
        <f ca="1">IF(OR(INDEX($AI$2:$AI$1001,MATCH(ROWS($AH$2:AH27),$AH$2:$AH$1001,0),1)&gt;=100000,INDEX($AO$1005:$BQ$1005,1,MATCH(COLUMNS($AO$1006:BN1006),$AO$1006:$BQ$1006,0))&gt;=100000), " ",IF(INDEX($AO$2:$BQ$1001,MATCH(ROWS($AH$2:AH27),$AH$2:$AH$1001,0),MATCH(COLUMNS($AO$1006:BN1006),$AO$1006:$BQ$1006,0)), HYPERLINK("#",""), HYPERLINK(CONCATENATE("#Metadata!", ADDRESS(INDEX($AJ$2:$AJ$1001,MATCH(ROWS($AH$2:AH27),$AH$2:$AH$1001,0),0), INDEX($AO$1004:$BQ$1004,1,MATCH(COLUMNS($AO$1006:BN1006),$AO$1006:$BQ$1006,0)))),"Fix")))</f>
        <v>#N/A</v>
      </c>
      <c r="AB27" s="5" t="e">
        <f ca="1">IF(OR(INDEX($AI$2:$AI$1001,MATCH(ROWS($AH$2:AH27),$AH$2:$AH$1001,0),1)&gt;=100000,INDEX($AO$1005:$BQ$1005,1,MATCH(COLUMNS($AO$1006:BO1006),$AO$1006:$BQ$1006,0))&gt;=100000), " ",IF(INDEX($AO$2:$BQ$1001,MATCH(ROWS($AH$2:AH27),$AH$2:$AH$1001,0),MATCH(COLUMNS($AO$1006:BO1006),$AO$1006:$BQ$1006,0)), HYPERLINK("#",""), HYPERLINK(CONCATENATE("#Metadata!", ADDRESS(INDEX($AJ$2:$AJ$1001,MATCH(ROWS($AH$2:AH27),$AH$2:$AH$1001,0),0), INDEX($AO$1004:$BQ$1004,1,MATCH(COLUMNS($AO$1006:BO1006),$AO$1006:$BQ$1006,0)))),"Fix")))</f>
        <v>#N/A</v>
      </c>
      <c r="AC27" s="5" t="e">
        <f ca="1">IF(OR(INDEX($AI$2:$AI$1001,MATCH(ROWS($AH$2:AH27),$AH$2:$AH$1001,0),1)&gt;=100000,INDEX($AO$1005:$BQ$1005,1,MATCH(COLUMNS($AO$1006:BP1006),$AO$1006:$BQ$1006,0))&gt;=100000), " ",IF(INDEX($AO$2:$BQ$1001,MATCH(ROWS($AH$2:AH27),$AH$2:$AH$1001,0),MATCH(COLUMNS($AO$1006:BP1006),$AO$1006:$BQ$1006,0)), HYPERLINK("#",""), HYPERLINK(CONCATENATE("#Metadata!", ADDRESS(INDEX($AJ$2:$AJ$1001,MATCH(ROWS($AH$2:AH27),$AH$2:$AH$1001,0),0), INDEX($AO$1004:$BQ$1004,1,MATCH(COLUMNS($AO$1006:BP1006),$AO$1006:$BQ$1006,0)))),"Fix")))</f>
        <v>#N/A</v>
      </c>
      <c r="AD27" s="5" t="e">
        <f ca="1">IF(OR(INDEX($AI$2:$AI$1001,MATCH(ROWS($AH$2:AH27),$AH$2:$AH$1001,0),1)&gt;=100000,INDEX($AO$1005:$BQ$1005,1,MATCH(COLUMNS($AO$1006:BQ1006),$AO$1006:$BQ$1006,0))&gt;=100000), " ",IF(INDEX($AO$2:$BQ$1001,MATCH(ROWS($AH$2:AH27),$AH$2:$AH$1001,0),MATCH(COLUMNS($AO$1006:BQ1006),$AO$1006:$BQ$1006,0)), HYPERLINK("#",""), HYPERLINK(CONCATENATE("#Metadata!", ADDRESS(INDEX($AJ$2:$AJ$1001,MATCH(ROWS($AH$2:AH27),$AH$2:$AH$1001,0),0), INDEX($AO$1004:$BQ$1004,1,MATCH(COLUMNS($AO$1006:BQ1006),$AO$1006:$BQ$1006,0)))),"Fix")))</f>
        <v>#REF!</v>
      </c>
      <c r="AH27">
        <f ca="1"/>
        <v>25</v>
      </c>
      <c r="AI27">
        <f ca="1"/>
        <v>27</v>
      </c>
      <c r="AJ27">
        <v>27</v>
      </c>
      <c r="AK27" t="b">
        <f t="shared" ca="1" si="0"/>
        <v>0</v>
      </c>
      <c r="AL27" t="b">
        <f>COUNTBLANK(Metadata!B27:AD27)=COLUMNS(Metadata!B27:AD27)</f>
        <v>0</v>
      </c>
      <c r="AM27" t="str">
        <v>Environment.Side.1.BTP.258Sediment</v>
      </c>
      <c r="AO27" t="b">
        <f ca="1">AND(IF(Metadata!B26="",FALSE,TRUE),COUNTIF(Metadata!B:B, Metadata!B26) = 1,NOT(ISERROR(SUMPRODUCT(SEARCH(MID(Metadata!B26,ROW(INDIRECT("1:"&amp;LEN(Metadata!B26))), 1),"0123456789abcdefghijklmnopqrstuvwxyzABCDEFGHIJKLMNOPQRSTUVWXYZ.")))))</f>
        <v>1</v>
      </c>
      <c r="AP27" t="b">
        <f>IF(Metadata!C26="",FALSE,TRUE)</f>
        <v>1</v>
      </c>
      <c r="AQ27" t="b">
        <f>IF(Metadata!D26="",FALSE,TRUE)</f>
        <v>1</v>
      </c>
      <c r="AR27" t="b">
        <f ca="1">OR(AND(IF(Metadata!E26="",FALSE,TRUE),OR(EXACT(Metadata!E26,"not collected"),EXACT(Metadata!E26,"not provided"),EXACT(Metadata!E26,"restricted access"))),AND(IF(Metadata!E26="",FALSE,TRUE),AND(AND(IFERROR(INT(LEFT(Metadata!E26,4))&gt;1900,FALSE),IFERROR(INT(LEFT(Metadata!E26,4))&lt;=YEAR(NOW()),FALSE)), OR(MID(Metadata!E26,5,1)="", AND(AND(MID(Metadata!E26,5,1)="-",IFERROR(INT(MID(Metadata!E26,6,1))&gt;=0,FALSE),IFERROR(INT(MID(Metadata!E26,6,1))&lt;=1,FALSE),NOT(MID(Metadata!E26,7,1)=""),IFERROR(INT(MID(Metadata!E26,6,2))&gt;=1,FALSE),IFERROR(INT(MID(Metadata!E26,6,2))&lt;=12,FALSE)), OR(MID(Metadata!E26,8,1)="", AND(AND(MID(Metadata!E26,8,1)="-",IFERROR(INT(MID(Metadata!E26,9,1))&gt;=0,FALSE),IFERROR(INT(MID(Metadata!E26,9,1))&lt;=3,FALSE),NOT(MID(Metadata!E26,10,1)=""),IFERROR(INT(MID(Metadata!E26,9,2))&gt;=1,FALSE),IFERROR(INT(MID(Metadata!E26,9,2))&lt;=31,FALSE)), OR(MID(Metadata!E26,11,1)="", AND(AND(MID(Metadata!E26,11,1)=" ",IFERROR(INT(MID(Metadata!E26,12,1))&gt;=0,FALSE),IFERROR(INT(MID(Metadata!E26,12,1))&lt;=2,FALSE),NOT(MID(Metadata!E26,13,1)=""),IFERROR(INT(MID(Metadata!E26,12,2))&gt;=0,FALSE),IFERROR(INT(MID(Metadata!E26,12,2))&lt;=23,FALSE)), OR(MID(Metadata!E26,14,1)="", AND(AND(MID(Metadata!E26,14,1)=":",IFERROR(INT(MID(Metadata!E26,15,1))&gt;=0,FALSE),IFERROR(INT(MID(Metadata!E26,15,1))&lt;=5,FALSE),NOT(MID(Metadata!E26,16,1)=""),IFERROR(INT(MID(Metadata!E26,15,2))&gt;=0,FALSE),IFERROR(INT(MID(Metadata!E26,15,2))&lt;=59,FALSE)), OR(MID(Metadata!E26,17,1)="", AND(AND(MID(Metadata!E26,17,1)=":",IFERROR(INT(MID(Metadata!E26,18,1))&gt;=0,FALSE),IFERROR(INT(MID(Metadata!E26,18,1))&lt;=5,FALSE),NOT(MID(Metadata!E26,19,1)=""),IFERROR(INT(MID(Metadata!E26,18,2))&gt;=0,FALSE),IFERROR(INT(MID(Metadata!E26,18,2))&lt;=59,FALSE)), LEN(Metadata!E26)&lt;=19)))))))))))))</f>
        <v>0</v>
      </c>
      <c r="AS27" t="b">
        <f>IF(Metadata!F26="",FALSE,TRUE)</f>
        <v>1</v>
      </c>
      <c r="AT27" t="b">
        <f>OR(AND(IF(Metadata!G26="",FALSE,TRUE),OR(EXACT(Metadata!G26,"not collected"),EXACT(Metadata!G26,"not provided"))),AND(IF(Metadata!G26="",FALSE,TRUE),OR(EXACT(Metadata!G26,"TRUE"),EXACT(Metadata!G26,"FALSE"))))</f>
        <v>1</v>
      </c>
      <c r="AU27" t="b">
        <f>OR(AND(IF(Metadata!H26="",FALSE,TRUE),OR(EXACT(Metadata!H26,"not collected"),EXACT(Metadata!H26,"not provided"),EXACT(Metadata!H26,"restricted access"))),AND(IF(Metadata!H26="",FALSE,ISNUMBER(VALUE(Metadata!H26))),Metadata!H26&gt;=-413))</f>
        <v>0</v>
      </c>
      <c r="AV27" t="b">
        <f>AND(IF(Metadata!I26="",FALSE,TRUE),EXACT(Metadata!I26,"meters"))</f>
        <v>1</v>
      </c>
      <c r="AW27" t="b">
        <f>AND(IF(Metadata!J26="",FALSE,TRUE),EXACT(Metadata!J26,"free-living"))</f>
        <v>1</v>
      </c>
      <c r="AX27" t="b">
        <f>AND(IF(Metadata!K26="",FALSE,TRUE),OR(EXACT(Metadata!K26,"saline"),EXACT(Metadata!K26,"non-saline")))</f>
        <v>1</v>
      </c>
      <c r="AY27" t="b">
        <f>AND(IF(Metadata!L26="",FALSE,TRUE),OR(EXACT(Metadata!L26,"sub-surface (non-saline)"),EXACT(Metadata!L26,"surface (non-saline)"),EXACT(Metadata!L26,"water (non-saline)"),EXACT(Metadata!L26,"soil (non-saline)"),EXACT(Metadata!L26,"aerosol (non-saline)"),EXACT(Metadata!L26,"sediment (non-saline)"),EXACT(Metadata!L26,"surface (saline)"),EXACT(Metadata!L26,"water (saline)"),EXACT(Metadata!L26,"hypersaline (saline)"),EXACT(Metadata!L26,"aerosol (saline)"),EXACT(Metadata!L26,"sediment (saline)")))</f>
        <v>1</v>
      </c>
      <c r="AZ27" t="b">
        <f>IF(Metadata!M26="",FALSE,TRUE)</f>
        <v>1</v>
      </c>
      <c r="BA27" t="b">
        <f>IF(Metadata!N26="",FALSE,TRUE)</f>
        <v>1</v>
      </c>
      <c r="BB27" t="b">
        <f>IF(Metadata!O26="",FALSE,TRUE)</f>
        <v>1</v>
      </c>
      <c r="BC27" t="b">
        <f>AND(IF(Metadata!P26="",FALSE,TRUE),OR(EXACT(Metadata!P26,"air"),EXACT(Metadata!P26,"microbial mat/biofilm"),EXACT(Metadata!P26,"misc environment"),EXACT(Metadata!P26,"sediment"),EXACT(Metadata!P26,"soil"),EXACT(Metadata!P26,"wastewater/sludge"),EXACT(Metadata!P26,"water")))</f>
        <v>1</v>
      </c>
      <c r="BD27" t="b">
        <f>IF(Metadata!Q26="",FALSE,TRUE)</f>
        <v>1</v>
      </c>
      <c r="BE27" t="b">
        <f>IF(Metadata!R26="",FALSE,TRUE)</f>
        <v>1</v>
      </c>
      <c r="BF27" t="b">
        <f>OR(AND(IF(Metadata!S26="",FALSE,TRUE),OR(EXACT(Metadata!S26,"not collected"),EXACT(Metadata!S26,"not provided"),EXACT(Metadata!S26,"restricted access"))),AND(IF(Metadata!S26="",FALSE,ISNUMBER(VALUE(Metadata!S26))),Metadata!S26&gt;=-90,Metadata!S26&lt;=90))</f>
        <v>0</v>
      </c>
      <c r="BG27" t="b">
        <f>AND(IF(Metadata!T26="",FALSE,TRUE),EXACT(Metadata!T26,"Decimal degrees"))</f>
        <v>1</v>
      </c>
      <c r="BH27" t="b">
        <f>OR(AND(IF(Metadata!U27="",FALSE,TRUE),OR(EXACT(Metadata!U27,"not applicable"),EXACT(Metadata!U27,"not collected"))),IF(Metadata!U27="",FALSE,TRUE))</f>
        <v>1</v>
      </c>
      <c r="BI27" t="b">
        <f>OR(AND(IF(Metadata!V26="",FALSE,TRUE),OR(EXACT(Metadata!V26,"not collected"),EXACT(Metadata!V26,"not provided"),EXACT(Metadata!V26,"restricted access"))),AND(IF(Metadata!V26="",FALSE,ISNUMBER(VALUE(Metadata!V26))),Metadata!V26&gt;=-180,Metadata!V26&lt;=180))</f>
        <v>0</v>
      </c>
      <c r="BJ27" t="b">
        <f>AND(IF(Metadata!W26="",FALSE,TRUE),EXACT(Metadata!W26,"Decimal degrees"))</f>
        <v>1</v>
      </c>
      <c r="BK27" t="b">
        <f>IF(Metadata!X26="",FALSE,TRUE)</f>
        <v>1</v>
      </c>
      <c r="BL27" t="b">
        <f>OR(AND(IF(Metadata!Y26="",FALSE,TRUE),OR(EXACT(Metadata!Y26,"not collected"),EXACT(Metadata!Y26,"not provided"),EXACT(Metadata!Y26,"restricted access"))),AND(IF(Metadata!Y26="",FALSE,TRUE),OR(EXACT(Metadata!Y26,"TRUE"),EXACT(Metadata!Y26,"FALSE"))))</f>
        <v>1</v>
      </c>
      <c r="BM27" t="b">
        <f>OR(AND(IF(Metadata!Z26="",FALSE,TRUE),EXACT(Metadata!Z26,"not applicable")),AND(IF(Metadata!Z26="",FALSE,TRUE),OR(EXACT(Metadata!Z26,"beer"),EXACT(Metadata!Z26,"cheese"),EXACT(Metadata!Z26,"fresh water"),EXACT(Metadata!Z26,"marine sediment"),EXACT(Metadata!Z26,"sea water"),EXACT(Metadata!Z26,"sediment"),EXACT(Metadata!Z26,"soil"),EXACT(Metadata!Z26,"waste water"))))</f>
        <v>1</v>
      </c>
      <c r="BN27" t="b">
        <f>AND(IF(Metadata!AA26="",FALSE,TRUE),EXACT(Metadata!AA26,"metagenome"))</f>
        <v>1</v>
      </c>
      <c r="BO27" t="b">
        <f>AND(IF(Metadata!AB26="",FALSE,TRUE),EXACT(Metadata!AB26,"256318"))</f>
        <v>1</v>
      </c>
      <c r="BP27" t="b">
        <f>IF(Metadata!AC26="",FALSE,TRUE)</f>
        <v>1</v>
      </c>
      <c r="BQ27" t="b">
        <f>IF(Metadata!AD26="",FALSE,TRUE)</f>
        <v>1</v>
      </c>
    </row>
    <row r="28" spans="1:69" x14ac:dyDescent="0.2">
      <c r="A28" s="4" t="e">
        <f ca="1">IF(B28=" "," ",HYPERLINK(CONCATENATE("#metadata!",ADDRESS(INDEX($AJ$2:$AJ$1001,MATCH(ROWS($AH$2:AH28),$AH$2:$AH$1001,0),0),2)),INDEX($AM$2:$AM$1001,MATCH(ROWS($AH$2:AH28),$AH$2:$AH$1001,0),0)))</f>
        <v>#N/A</v>
      </c>
      <c r="B28" s="5" t="e">
        <f ca="1">IF(OR(INDEX($AI$2:$AI$1001,MATCH(ROWS($AH$2:AH28),$AH$2:$AH$1001,0),1)&gt;=100000,INDEX($AO$1005:$BQ$1005,1,MATCH(COLUMNS($AO$1006:AO1006),$AO$1006:$BQ$1006,0))&gt;=100000), " ",IF(INDEX($AO$2:$BQ$1001,MATCH(ROWS($AH$2:AH28),$AH$2:$AH$1001,0),MATCH(COLUMNS($AO$1006:AO1006),$AO$1006:$BQ$1006,0)), HYPERLINK("#",""), HYPERLINK(CONCATENATE("#Metadata!", ADDRESS(INDEX($AJ$2:$AJ$1001,MATCH(ROWS($AH$2:AH28),$AH$2:$AH$1001,0),0), INDEX($AO$1004:$BQ$1004,1,MATCH(COLUMNS($AO$1006:AO1006),$AO$1006:$BQ$1006,0)))),"Fix")))</f>
        <v>#N/A</v>
      </c>
      <c r="C28" s="5" t="e">
        <f ca="1">IF(OR(INDEX($AI$2:$AI$1001,MATCH(ROWS($AH$2:AH28),$AH$2:$AH$1001,0),1)&gt;=100000,INDEX($AO$1005:$BQ$1005,1,MATCH(COLUMNS($AO$1006:AP1006),$AO$1006:$BQ$1006,0))&gt;=100000), " ",IF(INDEX($AO$2:$BQ$1001,MATCH(ROWS($AH$2:AH28),$AH$2:$AH$1001,0),MATCH(COLUMNS($AO$1006:AP1006),$AO$1006:$BQ$1006,0)), HYPERLINK("#",""), HYPERLINK(CONCATENATE("#Metadata!", ADDRESS(INDEX($AJ$2:$AJ$1001,MATCH(ROWS($AH$2:AH28),$AH$2:$AH$1001,0),0), INDEX($AO$1004:$BQ$1004,1,MATCH(COLUMNS($AO$1006:AP1006),$AO$1006:$BQ$1006,0)))),"Fix")))</f>
        <v>#N/A</v>
      </c>
      <c r="D28" s="5" t="e">
        <f ca="1">IF(OR(INDEX($AI$2:$AI$1001,MATCH(ROWS($AH$2:AH28),$AH$2:$AH$1001,0),1)&gt;=100000,INDEX($AO$1005:$BQ$1005,1,MATCH(COLUMNS($AO$1006:AQ1006),$AO$1006:$BQ$1006,0))&gt;=100000), " ",IF(INDEX($AO$2:$BQ$1001,MATCH(ROWS($AH$2:AH28),$AH$2:$AH$1001,0),MATCH(COLUMNS($AO$1006:AQ1006),$AO$1006:$BQ$1006,0)), HYPERLINK("#",""), HYPERLINK(CONCATENATE("#Metadata!", ADDRESS(INDEX($AJ$2:$AJ$1001,MATCH(ROWS($AH$2:AH28),$AH$2:$AH$1001,0),0), INDEX($AO$1004:$BQ$1004,1,MATCH(COLUMNS($AO$1006:AQ1006),$AO$1006:$BQ$1006,0)))),"Fix")))</f>
        <v>#N/A</v>
      </c>
      <c r="E28" s="5" t="e">
        <f ca="1">IF(OR(INDEX($AI$2:$AI$1001,MATCH(ROWS($AH$2:AH28),$AH$2:$AH$1001,0),1)&gt;=100000,INDEX($AO$1005:$BQ$1005,1,MATCH(COLUMNS($AO$1006:AR1006),$AO$1006:$BQ$1006,0))&gt;=100000), " ",IF(INDEX($AO$2:$BQ$1001,MATCH(ROWS($AH$2:AH28),$AH$2:$AH$1001,0),MATCH(COLUMNS($AO$1006:AR1006),$AO$1006:$BQ$1006,0)), HYPERLINK("#",""), HYPERLINK(CONCATENATE("#Metadata!", ADDRESS(INDEX($AJ$2:$AJ$1001,MATCH(ROWS($AH$2:AH28),$AH$2:$AH$1001,0),0), INDEX($AO$1004:$BQ$1004,1,MATCH(COLUMNS($AO$1006:AR1006),$AO$1006:$BQ$1006,0)))),"Fix")))</f>
        <v>#N/A</v>
      </c>
      <c r="F28" s="5" t="e">
        <f ca="1">IF(OR(INDEX($AI$2:$AI$1001,MATCH(ROWS($AH$2:AH28),$AH$2:$AH$1001,0),1)&gt;=100000,INDEX($AO$1005:$BQ$1005,1,MATCH(COLUMNS($AO$1006:AS1006),$AO$1006:$BQ$1006,0))&gt;=100000), " ",IF(INDEX($AO$2:$BQ$1001,MATCH(ROWS($AH$2:AH28),$AH$2:$AH$1001,0),MATCH(COLUMNS($AO$1006:AS1006),$AO$1006:$BQ$1006,0)), HYPERLINK("#",""), HYPERLINK(CONCATENATE("#Metadata!", ADDRESS(INDEX($AJ$2:$AJ$1001,MATCH(ROWS($AH$2:AH28),$AH$2:$AH$1001,0),0), INDEX($AO$1004:$BQ$1004,1,MATCH(COLUMNS($AO$1006:AS1006),$AO$1006:$BQ$1006,0)))),"Fix")))</f>
        <v>#N/A</v>
      </c>
      <c r="G28" s="5" t="e">
        <f ca="1">IF(OR(INDEX($AI$2:$AI$1001,MATCH(ROWS($AH$2:AH28),$AH$2:$AH$1001,0),1)&gt;=100000,INDEX($AO$1005:$BQ$1005,1,MATCH(COLUMNS($AO$1006:AT1006),$AO$1006:$BQ$1006,0))&gt;=100000), " ",IF(INDEX($AO$2:$BQ$1001,MATCH(ROWS($AH$2:AH28),$AH$2:$AH$1001,0),MATCH(COLUMNS($AO$1006:AT1006),$AO$1006:$BQ$1006,0)), HYPERLINK("#",""), HYPERLINK(CONCATENATE("#Metadata!", ADDRESS(INDEX($AJ$2:$AJ$1001,MATCH(ROWS($AH$2:AH28),$AH$2:$AH$1001,0),0), INDEX($AO$1004:$BQ$1004,1,MATCH(COLUMNS($AO$1006:AT1006),$AO$1006:$BQ$1006,0)))),"Fix")))</f>
        <v>#N/A</v>
      </c>
      <c r="H28" s="5" t="e">
        <f ca="1">IF(OR(INDEX($AI$2:$AI$1001,MATCH(ROWS($AH$2:AH28),$AH$2:$AH$1001,0),1)&gt;=100000,INDEX($AO$1005:$BQ$1005,1,MATCH(COLUMNS($AO$1006:AU1006),$AO$1006:$BQ$1006,0))&gt;=100000), " ",IF(INDEX($AO$2:$BQ$1001,MATCH(ROWS($AH$2:AH28),$AH$2:$AH$1001,0),MATCH(COLUMNS($AO$1006:AU1006),$AO$1006:$BQ$1006,0)), HYPERLINK("#",""), HYPERLINK(CONCATENATE("#Metadata!", ADDRESS(INDEX($AJ$2:$AJ$1001,MATCH(ROWS($AH$2:AH28),$AH$2:$AH$1001,0),0), INDEX($AO$1004:$BQ$1004,1,MATCH(COLUMNS($AO$1006:AU1006),$AO$1006:$BQ$1006,0)))),"Fix")))</f>
        <v>#N/A</v>
      </c>
      <c r="I28" s="5" t="e">
        <f ca="1">IF(OR(INDEX($AI$2:$AI$1001,MATCH(ROWS($AH$2:AH28),$AH$2:$AH$1001,0),1)&gt;=100000,INDEX($AO$1005:$BQ$1005,1,MATCH(COLUMNS($AO$1006:AV1006),$AO$1006:$BQ$1006,0))&gt;=100000), " ",IF(INDEX($AO$2:$BQ$1001,MATCH(ROWS($AH$2:AH28),$AH$2:$AH$1001,0),MATCH(COLUMNS($AO$1006:AV1006),$AO$1006:$BQ$1006,0)), HYPERLINK("#",""), HYPERLINK(CONCATENATE("#Metadata!", ADDRESS(INDEX($AJ$2:$AJ$1001,MATCH(ROWS($AH$2:AH28),$AH$2:$AH$1001,0),0), INDEX($AO$1004:$BQ$1004,1,MATCH(COLUMNS($AO$1006:AV1006),$AO$1006:$BQ$1006,0)))),"Fix")))</f>
        <v>#N/A</v>
      </c>
      <c r="J28" s="5" t="e">
        <f ca="1">IF(OR(INDEX($AI$2:$AI$1001,MATCH(ROWS($AH$2:AH28),$AH$2:$AH$1001,0),1)&gt;=100000,INDEX($AO$1005:$BQ$1005,1,MATCH(COLUMNS($AO$1006:AW1006),$AO$1006:$BQ$1006,0))&gt;=100000), " ",IF(INDEX($AO$2:$BQ$1001,MATCH(ROWS($AH$2:AH28),$AH$2:$AH$1001,0),MATCH(COLUMNS($AO$1006:AW1006),$AO$1006:$BQ$1006,0)), HYPERLINK("#",""), HYPERLINK(CONCATENATE("#Metadata!", ADDRESS(INDEX($AJ$2:$AJ$1001,MATCH(ROWS($AH$2:AH28),$AH$2:$AH$1001,0),0), INDEX($AO$1004:$BQ$1004,1,MATCH(COLUMNS($AO$1006:AW1006),$AO$1006:$BQ$1006,0)))),"Fix")))</f>
        <v>#N/A</v>
      </c>
      <c r="K28" s="5" t="e">
        <f ca="1">IF(OR(INDEX($AI$2:$AI$1001,MATCH(ROWS($AH$2:AH28),$AH$2:$AH$1001,0),1)&gt;=100000,INDEX($AO$1005:$BQ$1005,1,MATCH(COLUMNS($AO$1006:AX1006),$AO$1006:$BQ$1006,0))&gt;=100000), " ",IF(INDEX($AO$2:$BQ$1001,MATCH(ROWS($AH$2:AH28),$AH$2:$AH$1001,0),MATCH(COLUMNS($AO$1006:AX1006),$AO$1006:$BQ$1006,0)), HYPERLINK("#",""), HYPERLINK(CONCATENATE("#Metadata!", ADDRESS(INDEX($AJ$2:$AJ$1001,MATCH(ROWS($AH$2:AH28),$AH$2:$AH$1001,0),0), INDEX($AO$1004:$BQ$1004,1,MATCH(COLUMNS($AO$1006:AX1006),$AO$1006:$BQ$1006,0)))),"Fix")))</f>
        <v>#N/A</v>
      </c>
      <c r="L28" s="5" t="e">
        <f ca="1">IF(OR(INDEX($AI$2:$AI$1001,MATCH(ROWS($AH$2:AH28),$AH$2:$AH$1001,0),1)&gt;=100000,INDEX($AO$1005:$BQ$1005,1,MATCH(COLUMNS($AO$1006:AY1006),$AO$1006:$BQ$1006,0))&gt;=100000), " ",IF(INDEX($AO$2:$BQ$1001,MATCH(ROWS($AH$2:AH28),$AH$2:$AH$1001,0),MATCH(COLUMNS($AO$1006:AY1006),$AO$1006:$BQ$1006,0)), HYPERLINK("#",""), HYPERLINK(CONCATENATE("#Metadata!", ADDRESS(INDEX($AJ$2:$AJ$1001,MATCH(ROWS($AH$2:AH28),$AH$2:$AH$1001,0),0), INDEX($AO$1004:$BQ$1004,1,MATCH(COLUMNS($AO$1006:AY1006),$AO$1006:$BQ$1006,0)))),"Fix")))</f>
        <v>#N/A</v>
      </c>
      <c r="M28" s="5" t="e">
        <f ca="1">IF(OR(INDEX($AI$2:$AI$1001,MATCH(ROWS($AH$2:AH28),$AH$2:$AH$1001,0),1)&gt;=100000,INDEX($AO$1005:$BQ$1005,1,MATCH(COLUMNS($AO$1006:AZ1006),$AO$1006:$BQ$1006,0))&gt;=100000), " ",IF(INDEX($AO$2:$BQ$1001,MATCH(ROWS($AH$2:AH28),$AH$2:$AH$1001,0),MATCH(COLUMNS($AO$1006:AZ1006),$AO$1006:$BQ$1006,0)), HYPERLINK("#",""), HYPERLINK(CONCATENATE("#Metadata!", ADDRESS(INDEX($AJ$2:$AJ$1001,MATCH(ROWS($AH$2:AH28),$AH$2:$AH$1001,0),0), INDEX($AO$1004:$BQ$1004,1,MATCH(COLUMNS($AO$1006:AZ1006),$AO$1006:$BQ$1006,0)))),"Fix")))</f>
        <v>#N/A</v>
      </c>
      <c r="N28" s="5" t="e">
        <f ca="1">IF(OR(INDEX($AI$2:$AI$1001,MATCH(ROWS($AH$2:AH28),$AH$2:$AH$1001,0),1)&gt;=100000,INDEX($AO$1005:$BQ$1005,1,MATCH(COLUMNS($AO$1006:BA1006),$AO$1006:$BQ$1006,0))&gt;=100000), " ",IF(INDEX($AO$2:$BQ$1001,MATCH(ROWS($AH$2:AH28),$AH$2:$AH$1001,0),MATCH(COLUMNS($AO$1006:BA1006),$AO$1006:$BQ$1006,0)), HYPERLINK("#",""), HYPERLINK(CONCATENATE("#Metadata!", ADDRESS(INDEX($AJ$2:$AJ$1001,MATCH(ROWS($AH$2:AH28),$AH$2:$AH$1001,0),0), INDEX($AO$1004:$BQ$1004,1,MATCH(COLUMNS($AO$1006:BA1006),$AO$1006:$BQ$1006,0)))),"Fix")))</f>
        <v>#N/A</v>
      </c>
      <c r="O28" s="5" t="e">
        <f ca="1">IF(OR(INDEX($AI$2:$AI$1001,MATCH(ROWS($AH$2:AH28),$AH$2:$AH$1001,0),1)&gt;=100000,INDEX($AO$1005:$BQ$1005,1,MATCH(COLUMNS($AO$1006:BB1006),$AO$1006:$BQ$1006,0))&gt;=100000), " ",IF(INDEX($AO$2:$BQ$1001,MATCH(ROWS($AH$2:AH28),$AH$2:$AH$1001,0),MATCH(COLUMNS($AO$1006:BB1006),$AO$1006:$BQ$1006,0)), HYPERLINK("#",""), HYPERLINK(CONCATENATE("#Metadata!", ADDRESS(INDEX($AJ$2:$AJ$1001,MATCH(ROWS($AH$2:AH28),$AH$2:$AH$1001,0),0), INDEX($AO$1004:$BQ$1004,1,MATCH(COLUMNS($AO$1006:BB1006),$AO$1006:$BQ$1006,0)))),"Fix")))</f>
        <v>#N/A</v>
      </c>
      <c r="P28" s="5" t="e">
        <f ca="1">IF(OR(INDEX($AI$2:$AI$1001,MATCH(ROWS($AH$2:AH28),$AH$2:$AH$1001,0),1)&gt;=100000,INDEX($AO$1005:$BQ$1005,1,MATCH(COLUMNS($AO$1006:BC1006),$AO$1006:$BQ$1006,0))&gt;=100000), " ",IF(INDEX($AO$2:$BQ$1001,MATCH(ROWS($AH$2:AH28),$AH$2:$AH$1001,0),MATCH(COLUMNS($AO$1006:BC1006),$AO$1006:$BQ$1006,0)), HYPERLINK("#",""), HYPERLINK(CONCATENATE("#Metadata!", ADDRESS(INDEX($AJ$2:$AJ$1001,MATCH(ROWS($AH$2:AH28),$AH$2:$AH$1001,0),0), INDEX($AO$1004:$BQ$1004,1,MATCH(COLUMNS($AO$1006:BC1006),$AO$1006:$BQ$1006,0)))),"Fix")))</f>
        <v>#N/A</v>
      </c>
      <c r="Q28" s="5" t="e">
        <f ca="1">IF(OR(INDEX($AI$2:$AI$1001,MATCH(ROWS($AH$2:AH28),$AH$2:$AH$1001,0),1)&gt;=100000,INDEX($AO$1005:$BQ$1005,1,MATCH(COLUMNS($AO$1006:BD1006),$AO$1006:$BQ$1006,0))&gt;=100000), " ",IF(INDEX($AO$2:$BQ$1001,MATCH(ROWS($AH$2:AH28),$AH$2:$AH$1001,0),MATCH(COLUMNS($AO$1006:BD1006),$AO$1006:$BQ$1006,0)), HYPERLINK("#",""), HYPERLINK(CONCATENATE("#Metadata!", ADDRESS(INDEX($AJ$2:$AJ$1001,MATCH(ROWS($AH$2:AH28),$AH$2:$AH$1001,0),0), INDEX($AO$1004:$BQ$1004,1,MATCH(COLUMNS($AO$1006:BD1006),$AO$1006:$BQ$1006,0)))),"Fix")))</f>
        <v>#N/A</v>
      </c>
      <c r="R28" s="5" t="e">
        <f ca="1">IF(OR(INDEX($AI$2:$AI$1001,MATCH(ROWS($AH$2:AH28),$AH$2:$AH$1001,0),1)&gt;=100000,INDEX($AO$1005:$BQ$1005,1,MATCH(COLUMNS($AO$1006:BE1006),$AO$1006:$BQ$1006,0))&gt;=100000), " ",IF(INDEX($AO$2:$BQ$1001,MATCH(ROWS($AH$2:AH28),$AH$2:$AH$1001,0),MATCH(COLUMNS($AO$1006:BE1006),$AO$1006:$BQ$1006,0)), HYPERLINK("#",""), HYPERLINK(CONCATENATE("#Metadata!", ADDRESS(INDEX($AJ$2:$AJ$1001,MATCH(ROWS($AH$2:AH28),$AH$2:$AH$1001,0),0), INDEX($AO$1004:$BQ$1004,1,MATCH(COLUMNS($AO$1006:BE1006),$AO$1006:$BQ$1006,0)))),"Fix")))</f>
        <v>#N/A</v>
      </c>
      <c r="S28" s="5" t="e">
        <f ca="1">IF(OR(INDEX($AI$2:$AI$1001,MATCH(ROWS($AH$2:AH28),$AH$2:$AH$1001,0),1)&gt;=100000,INDEX($AO$1005:$BQ$1005,1,MATCH(COLUMNS($AO$1006:BF1006),$AO$1006:$BQ$1006,0))&gt;=100000), " ",IF(INDEX($AO$2:$BQ$1001,MATCH(ROWS($AH$2:AH28),$AH$2:$AH$1001,0),MATCH(COLUMNS($AO$1006:BF1006),$AO$1006:$BQ$1006,0)), HYPERLINK("#",""), HYPERLINK(CONCATENATE("#Metadata!", ADDRESS(INDEX($AJ$2:$AJ$1001,MATCH(ROWS($AH$2:AH28),$AH$2:$AH$1001,0),0), INDEX($AO$1004:$BQ$1004,1,MATCH(COLUMNS($AO$1006:BF1006),$AO$1006:$BQ$1006,0)))),"Fix")))</f>
        <v>#N/A</v>
      </c>
      <c r="T28" s="5" t="e">
        <f ca="1">IF(OR(INDEX($AI$2:$AI$1001,MATCH(ROWS($AH$2:AH28),$AH$2:$AH$1001,0),1)&gt;=100000,INDEX($AO$1005:$BQ$1005,1,MATCH(COLUMNS($AO$1006:BG1006),$AO$1006:$BQ$1006,0))&gt;=100000), " ",IF(INDEX($AO$2:$BQ$1001,MATCH(ROWS($AH$2:AH28),$AH$2:$AH$1001,0),MATCH(COLUMNS($AO$1006:BG1006),$AO$1006:$BQ$1006,0)), HYPERLINK("#",""), HYPERLINK(CONCATENATE("#Metadata!", ADDRESS(INDEX($AJ$2:$AJ$1001,MATCH(ROWS($AH$2:AH28),$AH$2:$AH$1001,0),0), INDEX($AO$1004:$BQ$1004,1,MATCH(COLUMNS($AO$1006:BG1006),$AO$1006:$BQ$1006,0)))),"Fix")))</f>
        <v>#N/A</v>
      </c>
      <c r="U28" s="5" t="e">
        <f ca="1">IF(OR(INDEX($AI$2:$AI$1001,MATCH(ROWS($AH$2:AH28),$AH$2:$AH$1001,0),1)&gt;=100000,INDEX($AO$1005:$BQ$1005,1,MATCH(COLUMNS($AO$1006:BH1006),$AO$1006:$BQ$1006,0))&gt;=100000), " ",IF(INDEX($AO$2:$BQ$1001,MATCH(ROWS($AH$2:AH28),$AH$2:$AH$1001,0),MATCH(COLUMNS($AO$1006:BH1006),$AO$1006:$BQ$1006,0)), HYPERLINK("#",""), HYPERLINK(CONCATENATE("#Metadata!", ADDRESS(INDEX($AJ$2:$AJ$1001,MATCH(ROWS($AH$2:AH28),$AH$2:$AH$1001,0),0), INDEX($AO$1004:$BQ$1004,1,MATCH(COLUMNS($AO$1006:BH1006),$AO$1006:$BQ$1006,0)))),"Fix")))</f>
        <v>#N/A</v>
      </c>
      <c r="V28" s="5" t="e">
        <f ca="1">IF(OR(INDEX($AI$2:$AI$1001,MATCH(ROWS($AH$2:AH28),$AH$2:$AH$1001,0),1)&gt;=100000,INDEX($AO$1005:$BQ$1005,1,MATCH(COLUMNS($AO$1006:BI1006),$AO$1006:$BQ$1006,0))&gt;=100000), " ",IF(INDEX($AO$2:$BQ$1001,MATCH(ROWS($AH$2:AH28),$AH$2:$AH$1001,0),MATCH(COLUMNS($AO$1006:BI1006),$AO$1006:$BQ$1006,0)), HYPERLINK("#",""), HYPERLINK(CONCATENATE("#Metadata!", ADDRESS(INDEX($AJ$2:$AJ$1001,MATCH(ROWS($AH$2:AH28),$AH$2:$AH$1001,0),0), INDEX($AO$1004:$BQ$1004,1,MATCH(COLUMNS($AO$1006:BI1006),$AO$1006:$BQ$1006,0)))),"Fix")))</f>
        <v>#N/A</v>
      </c>
      <c r="W28" s="5" t="e">
        <f ca="1">IF(OR(INDEX($AI$2:$AI$1001,MATCH(ROWS($AH$2:AH28),$AH$2:$AH$1001,0),1)&gt;=100000,INDEX($AO$1005:$BQ$1005,1,MATCH(COLUMNS($AO$1006:BJ1006),$AO$1006:$BQ$1006,0))&gt;=100000), " ",IF(INDEX($AO$2:$BQ$1001,MATCH(ROWS($AH$2:AH28),$AH$2:$AH$1001,0),MATCH(COLUMNS($AO$1006:BJ1006),$AO$1006:$BQ$1006,0)), HYPERLINK("#",""), HYPERLINK(CONCATENATE("#Metadata!", ADDRESS(INDEX($AJ$2:$AJ$1001,MATCH(ROWS($AH$2:AH28),$AH$2:$AH$1001,0),0), INDEX($AO$1004:$BQ$1004,1,MATCH(COLUMNS($AO$1006:BJ1006),$AO$1006:$BQ$1006,0)))),"Fix")))</f>
        <v>#N/A</v>
      </c>
      <c r="X28" s="5" t="e">
        <f ca="1">IF(OR(INDEX($AI$2:$AI$1001,MATCH(ROWS($AH$2:AH28),$AH$2:$AH$1001,0),1)&gt;=100000,INDEX($AO$1005:$BQ$1005,1,MATCH(COLUMNS($AO$1006:BK1006),$AO$1006:$BQ$1006,0))&gt;=100000), " ",IF(INDEX($AO$2:$BQ$1001,MATCH(ROWS($AH$2:AH28),$AH$2:$AH$1001,0),MATCH(COLUMNS($AO$1006:BK1006),$AO$1006:$BQ$1006,0)), HYPERLINK("#",""), HYPERLINK(CONCATENATE("#Metadata!", ADDRESS(INDEX($AJ$2:$AJ$1001,MATCH(ROWS($AH$2:AH28),$AH$2:$AH$1001,0),0), INDEX($AO$1004:$BQ$1004,1,MATCH(COLUMNS($AO$1006:BK1006),$AO$1006:$BQ$1006,0)))),"Fix")))</f>
        <v>#N/A</v>
      </c>
      <c r="Y28" s="5" t="e">
        <f ca="1">IF(OR(INDEX($AI$2:$AI$1001,MATCH(ROWS($AH$2:AH28),$AH$2:$AH$1001,0),1)&gt;=100000,INDEX($AO$1005:$BQ$1005,1,MATCH(COLUMNS($AO$1006:BL1006),$AO$1006:$BQ$1006,0))&gt;=100000), " ",IF(INDEX($AO$2:$BQ$1001,MATCH(ROWS($AH$2:AH28),$AH$2:$AH$1001,0),MATCH(COLUMNS($AO$1006:BL1006),$AO$1006:$BQ$1006,0)), HYPERLINK("#",""), HYPERLINK(CONCATENATE("#Metadata!", ADDRESS(INDEX($AJ$2:$AJ$1001,MATCH(ROWS($AH$2:AH28),$AH$2:$AH$1001,0),0), INDEX($AO$1004:$BQ$1004,1,MATCH(COLUMNS($AO$1006:BL1006),$AO$1006:$BQ$1006,0)))),"Fix")))</f>
        <v>#N/A</v>
      </c>
      <c r="Z28" s="5" t="e">
        <f ca="1">IF(OR(INDEX($AI$2:$AI$1001,MATCH(ROWS($AH$2:AH28),$AH$2:$AH$1001,0),1)&gt;=100000,INDEX($AO$1005:$BQ$1005,1,MATCH(COLUMNS($AO$1006:BM1006),$AO$1006:$BQ$1006,0))&gt;=100000), " ",IF(INDEX($AO$2:$BQ$1001,MATCH(ROWS($AH$2:AH28),$AH$2:$AH$1001,0),MATCH(COLUMNS($AO$1006:BM1006),$AO$1006:$BQ$1006,0)), HYPERLINK("#",""), HYPERLINK(CONCATENATE("#Metadata!", ADDRESS(INDEX($AJ$2:$AJ$1001,MATCH(ROWS($AH$2:AH28),$AH$2:$AH$1001,0),0), INDEX($AO$1004:$BQ$1004,1,MATCH(COLUMNS($AO$1006:BM1006),$AO$1006:$BQ$1006,0)))),"Fix")))</f>
        <v>#N/A</v>
      </c>
      <c r="AA28" s="5" t="e">
        <f ca="1">IF(OR(INDEX($AI$2:$AI$1001,MATCH(ROWS($AH$2:AH28),$AH$2:$AH$1001,0),1)&gt;=100000,INDEX($AO$1005:$BQ$1005,1,MATCH(COLUMNS($AO$1006:BN1006),$AO$1006:$BQ$1006,0))&gt;=100000), " ",IF(INDEX($AO$2:$BQ$1001,MATCH(ROWS($AH$2:AH28),$AH$2:$AH$1001,0),MATCH(COLUMNS($AO$1006:BN1006),$AO$1006:$BQ$1006,0)), HYPERLINK("#",""), HYPERLINK(CONCATENATE("#Metadata!", ADDRESS(INDEX($AJ$2:$AJ$1001,MATCH(ROWS($AH$2:AH28),$AH$2:$AH$1001,0),0), INDEX($AO$1004:$BQ$1004,1,MATCH(COLUMNS($AO$1006:BN1006),$AO$1006:$BQ$1006,0)))),"Fix")))</f>
        <v>#N/A</v>
      </c>
      <c r="AB28" s="5" t="e">
        <f ca="1">IF(OR(INDEX($AI$2:$AI$1001,MATCH(ROWS($AH$2:AH28),$AH$2:$AH$1001,0),1)&gt;=100000,INDEX($AO$1005:$BQ$1005,1,MATCH(COLUMNS($AO$1006:BO1006),$AO$1006:$BQ$1006,0))&gt;=100000), " ",IF(INDEX($AO$2:$BQ$1001,MATCH(ROWS($AH$2:AH28),$AH$2:$AH$1001,0),MATCH(COLUMNS($AO$1006:BO1006),$AO$1006:$BQ$1006,0)), HYPERLINK("#",""), HYPERLINK(CONCATENATE("#Metadata!", ADDRESS(INDEX($AJ$2:$AJ$1001,MATCH(ROWS($AH$2:AH28),$AH$2:$AH$1001,0),0), INDEX($AO$1004:$BQ$1004,1,MATCH(COLUMNS($AO$1006:BO1006),$AO$1006:$BQ$1006,0)))),"Fix")))</f>
        <v>#N/A</v>
      </c>
      <c r="AC28" s="5" t="e">
        <f ca="1">IF(OR(INDEX($AI$2:$AI$1001,MATCH(ROWS($AH$2:AH28),$AH$2:$AH$1001,0),1)&gt;=100000,INDEX($AO$1005:$BQ$1005,1,MATCH(COLUMNS($AO$1006:BP1006),$AO$1006:$BQ$1006,0))&gt;=100000), " ",IF(INDEX($AO$2:$BQ$1001,MATCH(ROWS($AH$2:AH28),$AH$2:$AH$1001,0),MATCH(COLUMNS($AO$1006:BP1006),$AO$1006:$BQ$1006,0)), HYPERLINK("#",""), HYPERLINK(CONCATENATE("#Metadata!", ADDRESS(INDEX($AJ$2:$AJ$1001,MATCH(ROWS($AH$2:AH28),$AH$2:$AH$1001,0),0), INDEX($AO$1004:$BQ$1004,1,MATCH(COLUMNS($AO$1006:BP1006),$AO$1006:$BQ$1006,0)))),"Fix")))</f>
        <v>#N/A</v>
      </c>
      <c r="AD28" s="5" t="e">
        <f ca="1">IF(OR(INDEX($AI$2:$AI$1001,MATCH(ROWS($AH$2:AH28),$AH$2:$AH$1001,0),1)&gt;=100000,INDEX($AO$1005:$BQ$1005,1,MATCH(COLUMNS($AO$1006:BQ1006),$AO$1006:$BQ$1006,0))&gt;=100000), " ",IF(INDEX($AO$2:$BQ$1001,MATCH(ROWS($AH$2:AH28),$AH$2:$AH$1001,0),MATCH(COLUMNS($AO$1006:BQ1006),$AO$1006:$BQ$1006,0)), HYPERLINK("#",""), HYPERLINK(CONCATENATE("#Metadata!", ADDRESS(INDEX($AJ$2:$AJ$1001,MATCH(ROWS($AH$2:AH28),$AH$2:$AH$1001,0),0), INDEX($AO$1004:$BQ$1004,1,MATCH(COLUMNS($AO$1006:BQ1006),$AO$1006:$BQ$1006,0)))),"Fix")))</f>
        <v>#REF!</v>
      </c>
      <c r="AH28">
        <f ca="1"/>
        <v>26</v>
      </c>
      <c r="AI28">
        <f ca="1"/>
        <v>28</v>
      </c>
      <c r="AJ28">
        <v>28</v>
      </c>
      <c r="AK28" t="b">
        <f t="shared" ca="1" si="0"/>
        <v>0</v>
      </c>
      <c r="AL28" t="b">
        <f>COUNTBLANK(Metadata!B28:AD28)=COLUMNS(Metadata!B28:AD28)</f>
        <v>0</v>
      </c>
      <c r="AM28" t="str">
        <v>Environment.Side.2.BTP.259Sediment</v>
      </c>
      <c r="AO28" t="b">
        <f ca="1">AND(IF(Metadata!B27="",FALSE,TRUE),COUNTIF(Metadata!B:B, Metadata!B27) = 1,NOT(ISERROR(SUMPRODUCT(SEARCH(MID(Metadata!B27,ROW(INDIRECT("1:"&amp;LEN(Metadata!B27))), 1),"0123456789abcdefghijklmnopqrstuvwxyzABCDEFGHIJKLMNOPQRSTUVWXYZ.")))))</f>
        <v>1</v>
      </c>
      <c r="AP28" t="b">
        <f>IF(Metadata!C27="",FALSE,TRUE)</f>
        <v>1</v>
      </c>
      <c r="AQ28" t="b">
        <f>IF(Metadata!D27="",FALSE,TRUE)</f>
        <v>1</v>
      </c>
      <c r="AR28" t="b">
        <f ca="1">OR(AND(IF(Metadata!E27="",FALSE,TRUE),OR(EXACT(Metadata!E27,"not collected"),EXACT(Metadata!E27,"not provided"),EXACT(Metadata!E27,"restricted access"))),AND(IF(Metadata!E27="",FALSE,TRUE),AND(AND(IFERROR(INT(LEFT(Metadata!E27,4))&gt;1900,FALSE),IFERROR(INT(LEFT(Metadata!E27,4))&lt;=YEAR(NOW()),FALSE)), OR(MID(Metadata!E27,5,1)="", AND(AND(MID(Metadata!E27,5,1)="-",IFERROR(INT(MID(Metadata!E27,6,1))&gt;=0,FALSE),IFERROR(INT(MID(Metadata!E27,6,1))&lt;=1,FALSE),NOT(MID(Metadata!E27,7,1)=""),IFERROR(INT(MID(Metadata!E27,6,2))&gt;=1,FALSE),IFERROR(INT(MID(Metadata!E27,6,2))&lt;=12,FALSE)), OR(MID(Metadata!E27,8,1)="", AND(AND(MID(Metadata!E27,8,1)="-",IFERROR(INT(MID(Metadata!E27,9,1))&gt;=0,FALSE),IFERROR(INT(MID(Metadata!E27,9,1))&lt;=3,FALSE),NOT(MID(Metadata!E27,10,1)=""),IFERROR(INT(MID(Metadata!E27,9,2))&gt;=1,FALSE),IFERROR(INT(MID(Metadata!E27,9,2))&lt;=31,FALSE)), OR(MID(Metadata!E27,11,1)="", AND(AND(MID(Metadata!E27,11,1)=" ",IFERROR(INT(MID(Metadata!E27,12,1))&gt;=0,FALSE),IFERROR(INT(MID(Metadata!E27,12,1))&lt;=2,FALSE),NOT(MID(Metadata!E27,13,1)=""),IFERROR(INT(MID(Metadata!E27,12,2))&gt;=0,FALSE),IFERROR(INT(MID(Metadata!E27,12,2))&lt;=23,FALSE)), OR(MID(Metadata!E27,14,1)="", AND(AND(MID(Metadata!E27,14,1)=":",IFERROR(INT(MID(Metadata!E27,15,1))&gt;=0,FALSE),IFERROR(INT(MID(Metadata!E27,15,1))&lt;=5,FALSE),NOT(MID(Metadata!E27,16,1)=""),IFERROR(INT(MID(Metadata!E27,15,2))&gt;=0,FALSE),IFERROR(INT(MID(Metadata!E27,15,2))&lt;=59,FALSE)), OR(MID(Metadata!E27,17,1)="", AND(AND(MID(Metadata!E27,17,1)=":",IFERROR(INT(MID(Metadata!E27,18,1))&gt;=0,FALSE),IFERROR(INT(MID(Metadata!E27,18,1))&lt;=5,FALSE),NOT(MID(Metadata!E27,19,1)=""),IFERROR(INT(MID(Metadata!E27,18,2))&gt;=0,FALSE),IFERROR(INT(MID(Metadata!E27,18,2))&lt;=59,FALSE)), LEN(Metadata!E27)&lt;=19)))))))))))))</f>
        <v>0</v>
      </c>
      <c r="AS28" t="b">
        <f>IF(Metadata!F27="",FALSE,TRUE)</f>
        <v>1</v>
      </c>
      <c r="AT28" t="b">
        <f>OR(AND(IF(Metadata!G27="",FALSE,TRUE),OR(EXACT(Metadata!G27,"not collected"),EXACT(Metadata!G27,"not provided"))),AND(IF(Metadata!G27="",FALSE,TRUE),OR(EXACT(Metadata!G27,"TRUE"),EXACT(Metadata!G27,"FALSE"))))</f>
        <v>1</v>
      </c>
      <c r="AU28" t="b">
        <f>OR(AND(IF(Metadata!H27="",FALSE,TRUE),OR(EXACT(Metadata!H27,"not collected"),EXACT(Metadata!H27,"not provided"),EXACT(Metadata!H27,"restricted access"))),AND(IF(Metadata!H27="",FALSE,ISNUMBER(VALUE(Metadata!H27))),Metadata!H27&gt;=-413))</f>
        <v>0</v>
      </c>
      <c r="AV28" t="b">
        <f>AND(IF(Metadata!I27="",FALSE,TRUE),EXACT(Metadata!I27,"meters"))</f>
        <v>1</v>
      </c>
      <c r="AW28" t="b">
        <f>AND(IF(Metadata!J27="",FALSE,TRUE),EXACT(Metadata!J27,"free-living"))</f>
        <v>1</v>
      </c>
      <c r="AX28" t="b">
        <f>AND(IF(Metadata!K27="",FALSE,TRUE),OR(EXACT(Metadata!K27,"saline"),EXACT(Metadata!K27,"non-saline")))</f>
        <v>1</v>
      </c>
      <c r="AY28" t="b">
        <f>AND(IF(Metadata!L27="",FALSE,TRUE),OR(EXACT(Metadata!L27,"sub-surface (non-saline)"),EXACT(Metadata!L27,"surface (non-saline)"),EXACT(Metadata!L27,"water (non-saline)"),EXACT(Metadata!L27,"soil (non-saline)"),EXACT(Metadata!L27,"aerosol (non-saline)"),EXACT(Metadata!L27,"sediment (non-saline)"),EXACT(Metadata!L27,"surface (saline)"),EXACT(Metadata!L27,"water (saline)"),EXACT(Metadata!L27,"hypersaline (saline)"),EXACT(Metadata!L27,"aerosol (saline)"),EXACT(Metadata!L27,"sediment (saline)")))</f>
        <v>1</v>
      </c>
      <c r="AZ28" t="b">
        <f>IF(Metadata!M27="",FALSE,TRUE)</f>
        <v>1</v>
      </c>
      <c r="BA28" t="b">
        <f>IF(Metadata!N27="",FALSE,TRUE)</f>
        <v>1</v>
      </c>
      <c r="BB28" t="b">
        <f>IF(Metadata!O27="",FALSE,TRUE)</f>
        <v>1</v>
      </c>
      <c r="BC28" t="b">
        <f>AND(IF(Metadata!P27="",FALSE,TRUE),OR(EXACT(Metadata!P27,"air"),EXACT(Metadata!P27,"microbial mat/biofilm"),EXACT(Metadata!P27,"misc environment"),EXACT(Metadata!P27,"sediment"),EXACT(Metadata!P27,"soil"),EXACT(Metadata!P27,"wastewater/sludge"),EXACT(Metadata!P27,"water")))</f>
        <v>1</v>
      </c>
      <c r="BD28" t="b">
        <f>IF(Metadata!Q27="",FALSE,TRUE)</f>
        <v>1</v>
      </c>
      <c r="BE28" t="b">
        <f>IF(Metadata!R27="",FALSE,TRUE)</f>
        <v>1</v>
      </c>
      <c r="BF28" t="b">
        <f>OR(AND(IF(Metadata!S27="",FALSE,TRUE),OR(EXACT(Metadata!S27,"not collected"),EXACT(Metadata!S27,"not provided"),EXACT(Metadata!S27,"restricted access"))),AND(IF(Metadata!S27="",FALSE,ISNUMBER(VALUE(Metadata!S27))),Metadata!S27&gt;=-90,Metadata!S27&lt;=90))</f>
        <v>0</v>
      </c>
      <c r="BG28" t="b">
        <f>AND(IF(Metadata!T27="",FALSE,TRUE),EXACT(Metadata!T27,"Decimal degrees"))</f>
        <v>1</v>
      </c>
      <c r="BH28" t="b">
        <f>OR(AND(IF(Metadata!U28="",FALSE,TRUE),OR(EXACT(Metadata!U28,"not applicable"),EXACT(Metadata!U28,"not collected"))),IF(Metadata!U28="",FALSE,TRUE))</f>
        <v>1</v>
      </c>
      <c r="BI28" t="b">
        <f>OR(AND(IF(Metadata!V27="",FALSE,TRUE),OR(EXACT(Metadata!V27,"not collected"),EXACT(Metadata!V27,"not provided"),EXACT(Metadata!V27,"restricted access"))),AND(IF(Metadata!V27="",FALSE,ISNUMBER(VALUE(Metadata!V27))),Metadata!V27&gt;=-180,Metadata!V27&lt;=180))</f>
        <v>0</v>
      </c>
      <c r="BJ28" t="b">
        <f>AND(IF(Metadata!W27="",FALSE,TRUE),EXACT(Metadata!W27,"Decimal degrees"))</f>
        <v>1</v>
      </c>
      <c r="BK28" t="b">
        <f>IF(Metadata!X27="",FALSE,TRUE)</f>
        <v>1</v>
      </c>
      <c r="BL28" t="b">
        <f>OR(AND(IF(Metadata!Y27="",FALSE,TRUE),OR(EXACT(Metadata!Y27,"not collected"),EXACT(Metadata!Y27,"not provided"),EXACT(Metadata!Y27,"restricted access"))),AND(IF(Metadata!Y27="",FALSE,TRUE),OR(EXACT(Metadata!Y27,"TRUE"),EXACT(Metadata!Y27,"FALSE"))))</f>
        <v>1</v>
      </c>
      <c r="BM28" t="b">
        <f>OR(AND(IF(Metadata!Z27="",FALSE,TRUE),EXACT(Metadata!Z27,"not applicable")),AND(IF(Metadata!Z27="",FALSE,TRUE),OR(EXACT(Metadata!Z27,"beer"),EXACT(Metadata!Z27,"cheese"),EXACT(Metadata!Z27,"fresh water"),EXACT(Metadata!Z27,"marine sediment"),EXACT(Metadata!Z27,"sea water"),EXACT(Metadata!Z27,"sediment"),EXACT(Metadata!Z27,"soil"),EXACT(Metadata!Z27,"waste water"))))</f>
        <v>1</v>
      </c>
      <c r="BN28" t="b">
        <f>AND(IF(Metadata!AA27="",FALSE,TRUE),EXACT(Metadata!AA27,"metagenome"))</f>
        <v>1</v>
      </c>
      <c r="BO28" t="b">
        <f>AND(IF(Metadata!AB27="",FALSE,TRUE),EXACT(Metadata!AB27,"256318"))</f>
        <v>1</v>
      </c>
      <c r="BP28" t="b">
        <f>IF(Metadata!AC27="",FALSE,TRUE)</f>
        <v>1</v>
      </c>
      <c r="BQ28" t="b">
        <f>IF(Metadata!AD27="",FALSE,TRUE)</f>
        <v>1</v>
      </c>
    </row>
    <row r="29" spans="1:69" x14ac:dyDescent="0.2">
      <c r="A29" s="4" t="e">
        <f ca="1">IF(B29=" "," ",HYPERLINK(CONCATENATE("#metadata!",ADDRESS(INDEX($AJ$2:$AJ$1001,MATCH(ROWS($AH$2:AH29),$AH$2:$AH$1001,0),0),2)),INDEX($AM$2:$AM$1001,MATCH(ROWS($AH$2:AH29),$AH$2:$AH$1001,0),0)))</f>
        <v>#N/A</v>
      </c>
      <c r="B29" s="5" t="e">
        <f ca="1">IF(OR(INDEX($AI$2:$AI$1001,MATCH(ROWS($AH$2:AH29),$AH$2:$AH$1001,0),1)&gt;=100000,INDEX($AO$1005:$BQ$1005,1,MATCH(COLUMNS($AO$1006:AO1006),$AO$1006:$BQ$1006,0))&gt;=100000), " ",IF(INDEX($AO$2:$BQ$1001,MATCH(ROWS($AH$2:AH29),$AH$2:$AH$1001,0),MATCH(COLUMNS($AO$1006:AO1006),$AO$1006:$BQ$1006,0)), HYPERLINK("#",""), HYPERLINK(CONCATENATE("#Metadata!", ADDRESS(INDEX($AJ$2:$AJ$1001,MATCH(ROWS($AH$2:AH29),$AH$2:$AH$1001,0),0), INDEX($AO$1004:$BQ$1004,1,MATCH(COLUMNS($AO$1006:AO1006),$AO$1006:$BQ$1006,0)))),"Fix")))</f>
        <v>#N/A</v>
      </c>
      <c r="C29" s="5" t="e">
        <f ca="1">IF(OR(INDEX($AI$2:$AI$1001,MATCH(ROWS($AH$2:AH29),$AH$2:$AH$1001,0),1)&gt;=100000,INDEX($AO$1005:$BQ$1005,1,MATCH(COLUMNS($AO$1006:AP1006),$AO$1006:$BQ$1006,0))&gt;=100000), " ",IF(INDEX($AO$2:$BQ$1001,MATCH(ROWS($AH$2:AH29),$AH$2:$AH$1001,0),MATCH(COLUMNS($AO$1006:AP1006),$AO$1006:$BQ$1006,0)), HYPERLINK("#",""), HYPERLINK(CONCATENATE("#Metadata!", ADDRESS(INDEX($AJ$2:$AJ$1001,MATCH(ROWS($AH$2:AH29),$AH$2:$AH$1001,0),0), INDEX($AO$1004:$BQ$1004,1,MATCH(COLUMNS($AO$1006:AP1006),$AO$1006:$BQ$1006,0)))),"Fix")))</f>
        <v>#N/A</v>
      </c>
      <c r="D29" s="5" t="e">
        <f ca="1">IF(OR(INDEX($AI$2:$AI$1001,MATCH(ROWS($AH$2:AH29),$AH$2:$AH$1001,0),1)&gt;=100000,INDEX($AO$1005:$BQ$1005,1,MATCH(COLUMNS($AO$1006:AQ1006),$AO$1006:$BQ$1006,0))&gt;=100000), " ",IF(INDEX($AO$2:$BQ$1001,MATCH(ROWS($AH$2:AH29),$AH$2:$AH$1001,0),MATCH(COLUMNS($AO$1006:AQ1006),$AO$1006:$BQ$1006,0)), HYPERLINK("#",""), HYPERLINK(CONCATENATE("#Metadata!", ADDRESS(INDEX($AJ$2:$AJ$1001,MATCH(ROWS($AH$2:AH29),$AH$2:$AH$1001,0),0), INDEX($AO$1004:$BQ$1004,1,MATCH(COLUMNS($AO$1006:AQ1006),$AO$1006:$BQ$1006,0)))),"Fix")))</f>
        <v>#N/A</v>
      </c>
      <c r="E29" s="5" t="e">
        <f ca="1">IF(OR(INDEX($AI$2:$AI$1001,MATCH(ROWS($AH$2:AH29),$AH$2:$AH$1001,0),1)&gt;=100000,INDEX($AO$1005:$BQ$1005,1,MATCH(COLUMNS($AO$1006:AR1006),$AO$1006:$BQ$1006,0))&gt;=100000), " ",IF(INDEX($AO$2:$BQ$1001,MATCH(ROWS($AH$2:AH29),$AH$2:$AH$1001,0),MATCH(COLUMNS($AO$1006:AR1006),$AO$1006:$BQ$1006,0)), HYPERLINK("#",""), HYPERLINK(CONCATENATE("#Metadata!", ADDRESS(INDEX($AJ$2:$AJ$1001,MATCH(ROWS($AH$2:AH29),$AH$2:$AH$1001,0),0), INDEX($AO$1004:$BQ$1004,1,MATCH(COLUMNS($AO$1006:AR1006),$AO$1006:$BQ$1006,0)))),"Fix")))</f>
        <v>#N/A</v>
      </c>
      <c r="F29" s="5" t="e">
        <f ca="1">IF(OR(INDEX($AI$2:$AI$1001,MATCH(ROWS($AH$2:AH29),$AH$2:$AH$1001,0),1)&gt;=100000,INDEX($AO$1005:$BQ$1005,1,MATCH(COLUMNS($AO$1006:AS1006),$AO$1006:$BQ$1006,0))&gt;=100000), " ",IF(INDEX($AO$2:$BQ$1001,MATCH(ROWS($AH$2:AH29),$AH$2:$AH$1001,0),MATCH(COLUMNS($AO$1006:AS1006),$AO$1006:$BQ$1006,0)), HYPERLINK("#",""), HYPERLINK(CONCATENATE("#Metadata!", ADDRESS(INDEX($AJ$2:$AJ$1001,MATCH(ROWS($AH$2:AH29),$AH$2:$AH$1001,0),0), INDEX($AO$1004:$BQ$1004,1,MATCH(COLUMNS($AO$1006:AS1006),$AO$1006:$BQ$1006,0)))),"Fix")))</f>
        <v>#N/A</v>
      </c>
      <c r="G29" s="5" t="e">
        <f ca="1">IF(OR(INDEX($AI$2:$AI$1001,MATCH(ROWS($AH$2:AH29),$AH$2:$AH$1001,0),1)&gt;=100000,INDEX($AO$1005:$BQ$1005,1,MATCH(COLUMNS($AO$1006:AT1006),$AO$1006:$BQ$1006,0))&gt;=100000), " ",IF(INDEX($AO$2:$BQ$1001,MATCH(ROWS($AH$2:AH29),$AH$2:$AH$1001,0),MATCH(COLUMNS($AO$1006:AT1006),$AO$1006:$BQ$1006,0)), HYPERLINK("#",""), HYPERLINK(CONCATENATE("#Metadata!", ADDRESS(INDEX($AJ$2:$AJ$1001,MATCH(ROWS($AH$2:AH29),$AH$2:$AH$1001,0),0), INDEX($AO$1004:$BQ$1004,1,MATCH(COLUMNS($AO$1006:AT1006),$AO$1006:$BQ$1006,0)))),"Fix")))</f>
        <v>#N/A</v>
      </c>
      <c r="H29" s="5" t="e">
        <f ca="1">IF(OR(INDEX($AI$2:$AI$1001,MATCH(ROWS($AH$2:AH29),$AH$2:$AH$1001,0),1)&gt;=100000,INDEX($AO$1005:$BQ$1005,1,MATCH(COLUMNS($AO$1006:AU1006),$AO$1006:$BQ$1006,0))&gt;=100000), " ",IF(INDEX($AO$2:$BQ$1001,MATCH(ROWS($AH$2:AH29),$AH$2:$AH$1001,0),MATCH(COLUMNS($AO$1006:AU1006),$AO$1006:$BQ$1006,0)), HYPERLINK("#",""), HYPERLINK(CONCATENATE("#Metadata!", ADDRESS(INDEX($AJ$2:$AJ$1001,MATCH(ROWS($AH$2:AH29),$AH$2:$AH$1001,0),0), INDEX($AO$1004:$BQ$1004,1,MATCH(COLUMNS($AO$1006:AU1006),$AO$1006:$BQ$1006,0)))),"Fix")))</f>
        <v>#N/A</v>
      </c>
      <c r="I29" s="5" t="e">
        <f ca="1">IF(OR(INDEX($AI$2:$AI$1001,MATCH(ROWS($AH$2:AH29),$AH$2:$AH$1001,0),1)&gt;=100000,INDEX($AO$1005:$BQ$1005,1,MATCH(COLUMNS($AO$1006:AV1006),$AO$1006:$BQ$1006,0))&gt;=100000), " ",IF(INDEX($AO$2:$BQ$1001,MATCH(ROWS($AH$2:AH29),$AH$2:$AH$1001,0),MATCH(COLUMNS($AO$1006:AV1006),$AO$1006:$BQ$1006,0)), HYPERLINK("#",""), HYPERLINK(CONCATENATE("#Metadata!", ADDRESS(INDEX($AJ$2:$AJ$1001,MATCH(ROWS($AH$2:AH29),$AH$2:$AH$1001,0),0), INDEX($AO$1004:$BQ$1004,1,MATCH(COLUMNS($AO$1006:AV1006),$AO$1006:$BQ$1006,0)))),"Fix")))</f>
        <v>#N/A</v>
      </c>
      <c r="J29" s="5" t="e">
        <f ca="1">IF(OR(INDEX($AI$2:$AI$1001,MATCH(ROWS($AH$2:AH29),$AH$2:$AH$1001,0),1)&gt;=100000,INDEX($AO$1005:$BQ$1005,1,MATCH(COLUMNS($AO$1006:AW1006),$AO$1006:$BQ$1006,0))&gt;=100000), " ",IF(INDEX($AO$2:$BQ$1001,MATCH(ROWS($AH$2:AH29),$AH$2:$AH$1001,0),MATCH(COLUMNS($AO$1006:AW1006),$AO$1006:$BQ$1006,0)), HYPERLINK("#",""), HYPERLINK(CONCATENATE("#Metadata!", ADDRESS(INDEX($AJ$2:$AJ$1001,MATCH(ROWS($AH$2:AH29),$AH$2:$AH$1001,0),0), INDEX($AO$1004:$BQ$1004,1,MATCH(COLUMNS($AO$1006:AW1006),$AO$1006:$BQ$1006,0)))),"Fix")))</f>
        <v>#N/A</v>
      </c>
      <c r="K29" s="5" t="e">
        <f ca="1">IF(OR(INDEX($AI$2:$AI$1001,MATCH(ROWS($AH$2:AH29),$AH$2:$AH$1001,0),1)&gt;=100000,INDEX($AO$1005:$BQ$1005,1,MATCH(COLUMNS($AO$1006:AX1006),$AO$1006:$BQ$1006,0))&gt;=100000), " ",IF(INDEX($AO$2:$BQ$1001,MATCH(ROWS($AH$2:AH29),$AH$2:$AH$1001,0),MATCH(COLUMNS($AO$1006:AX1006),$AO$1006:$BQ$1006,0)), HYPERLINK("#",""), HYPERLINK(CONCATENATE("#Metadata!", ADDRESS(INDEX($AJ$2:$AJ$1001,MATCH(ROWS($AH$2:AH29),$AH$2:$AH$1001,0),0), INDEX($AO$1004:$BQ$1004,1,MATCH(COLUMNS($AO$1006:AX1006),$AO$1006:$BQ$1006,0)))),"Fix")))</f>
        <v>#N/A</v>
      </c>
      <c r="L29" s="5" t="e">
        <f ca="1">IF(OR(INDEX($AI$2:$AI$1001,MATCH(ROWS($AH$2:AH29),$AH$2:$AH$1001,0),1)&gt;=100000,INDEX($AO$1005:$BQ$1005,1,MATCH(COLUMNS($AO$1006:AY1006),$AO$1006:$BQ$1006,0))&gt;=100000), " ",IF(INDEX($AO$2:$BQ$1001,MATCH(ROWS($AH$2:AH29),$AH$2:$AH$1001,0),MATCH(COLUMNS($AO$1006:AY1006),$AO$1006:$BQ$1006,0)), HYPERLINK("#",""), HYPERLINK(CONCATENATE("#Metadata!", ADDRESS(INDEX($AJ$2:$AJ$1001,MATCH(ROWS($AH$2:AH29),$AH$2:$AH$1001,0),0), INDEX($AO$1004:$BQ$1004,1,MATCH(COLUMNS($AO$1006:AY1006),$AO$1006:$BQ$1006,0)))),"Fix")))</f>
        <v>#N/A</v>
      </c>
      <c r="M29" s="5" t="e">
        <f ca="1">IF(OR(INDEX($AI$2:$AI$1001,MATCH(ROWS($AH$2:AH29),$AH$2:$AH$1001,0),1)&gt;=100000,INDEX($AO$1005:$BQ$1005,1,MATCH(COLUMNS($AO$1006:AZ1006),$AO$1006:$BQ$1006,0))&gt;=100000), " ",IF(INDEX($AO$2:$BQ$1001,MATCH(ROWS($AH$2:AH29),$AH$2:$AH$1001,0),MATCH(COLUMNS($AO$1006:AZ1006),$AO$1006:$BQ$1006,0)), HYPERLINK("#",""), HYPERLINK(CONCATENATE("#Metadata!", ADDRESS(INDEX($AJ$2:$AJ$1001,MATCH(ROWS($AH$2:AH29),$AH$2:$AH$1001,0),0), INDEX($AO$1004:$BQ$1004,1,MATCH(COLUMNS($AO$1006:AZ1006),$AO$1006:$BQ$1006,0)))),"Fix")))</f>
        <v>#N/A</v>
      </c>
      <c r="N29" s="5" t="e">
        <f ca="1">IF(OR(INDEX($AI$2:$AI$1001,MATCH(ROWS($AH$2:AH29),$AH$2:$AH$1001,0),1)&gt;=100000,INDEX($AO$1005:$BQ$1005,1,MATCH(COLUMNS($AO$1006:BA1006),$AO$1006:$BQ$1006,0))&gt;=100000), " ",IF(INDEX($AO$2:$BQ$1001,MATCH(ROWS($AH$2:AH29),$AH$2:$AH$1001,0),MATCH(COLUMNS($AO$1006:BA1006),$AO$1006:$BQ$1006,0)), HYPERLINK("#",""), HYPERLINK(CONCATENATE("#Metadata!", ADDRESS(INDEX($AJ$2:$AJ$1001,MATCH(ROWS($AH$2:AH29),$AH$2:$AH$1001,0),0), INDEX($AO$1004:$BQ$1004,1,MATCH(COLUMNS($AO$1006:BA1006),$AO$1006:$BQ$1006,0)))),"Fix")))</f>
        <v>#N/A</v>
      </c>
      <c r="O29" s="5" t="e">
        <f ca="1">IF(OR(INDEX($AI$2:$AI$1001,MATCH(ROWS($AH$2:AH29),$AH$2:$AH$1001,0),1)&gt;=100000,INDEX($AO$1005:$BQ$1005,1,MATCH(COLUMNS($AO$1006:BB1006),$AO$1006:$BQ$1006,0))&gt;=100000), " ",IF(INDEX($AO$2:$BQ$1001,MATCH(ROWS($AH$2:AH29),$AH$2:$AH$1001,0),MATCH(COLUMNS($AO$1006:BB1006),$AO$1006:$BQ$1006,0)), HYPERLINK("#",""), HYPERLINK(CONCATENATE("#Metadata!", ADDRESS(INDEX($AJ$2:$AJ$1001,MATCH(ROWS($AH$2:AH29),$AH$2:$AH$1001,0),0), INDEX($AO$1004:$BQ$1004,1,MATCH(COLUMNS($AO$1006:BB1006),$AO$1006:$BQ$1006,0)))),"Fix")))</f>
        <v>#N/A</v>
      </c>
      <c r="P29" s="5" t="e">
        <f ca="1">IF(OR(INDEX($AI$2:$AI$1001,MATCH(ROWS($AH$2:AH29),$AH$2:$AH$1001,0),1)&gt;=100000,INDEX($AO$1005:$BQ$1005,1,MATCH(COLUMNS($AO$1006:BC1006),$AO$1006:$BQ$1006,0))&gt;=100000), " ",IF(INDEX($AO$2:$BQ$1001,MATCH(ROWS($AH$2:AH29),$AH$2:$AH$1001,0),MATCH(COLUMNS($AO$1006:BC1006),$AO$1006:$BQ$1006,0)), HYPERLINK("#",""), HYPERLINK(CONCATENATE("#Metadata!", ADDRESS(INDEX($AJ$2:$AJ$1001,MATCH(ROWS($AH$2:AH29),$AH$2:$AH$1001,0),0), INDEX($AO$1004:$BQ$1004,1,MATCH(COLUMNS($AO$1006:BC1006),$AO$1006:$BQ$1006,0)))),"Fix")))</f>
        <v>#N/A</v>
      </c>
      <c r="Q29" s="5" t="e">
        <f ca="1">IF(OR(INDEX($AI$2:$AI$1001,MATCH(ROWS($AH$2:AH29),$AH$2:$AH$1001,0),1)&gt;=100000,INDEX($AO$1005:$BQ$1005,1,MATCH(COLUMNS($AO$1006:BD1006),$AO$1006:$BQ$1006,0))&gt;=100000), " ",IF(INDEX($AO$2:$BQ$1001,MATCH(ROWS($AH$2:AH29),$AH$2:$AH$1001,0),MATCH(COLUMNS($AO$1006:BD1006),$AO$1006:$BQ$1006,0)), HYPERLINK("#",""), HYPERLINK(CONCATENATE("#Metadata!", ADDRESS(INDEX($AJ$2:$AJ$1001,MATCH(ROWS($AH$2:AH29),$AH$2:$AH$1001,0),0), INDEX($AO$1004:$BQ$1004,1,MATCH(COLUMNS($AO$1006:BD1006),$AO$1006:$BQ$1006,0)))),"Fix")))</f>
        <v>#N/A</v>
      </c>
      <c r="R29" s="5" t="e">
        <f ca="1">IF(OR(INDEX($AI$2:$AI$1001,MATCH(ROWS($AH$2:AH29),$AH$2:$AH$1001,0),1)&gt;=100000,INDEX($AO$1005:$BQ$1005,1,MATCH(COLUMNS($AO$1006:BE1006),$AO$1006:$BQ$1006,0))&gt;=100000), " ",IF(INDEX($AO$2:$BQ$1001,MATCH(ROWS($AH$2:AH29),$AH$2:$AH$1001,0),MATCH(COLUMNS($AO$1006:BE1006),$AO$1006:$BQ$1006,0)), HYPERLINK("#",""), HYPERLINK(CONCATENATE("#Metadata!", ADDRESS(INDEX($AJ$2:$AJ$1001,MATCH(ROWS($AH$2:AH29),$AH$2:$AH$1001,0),0), INDEX($AO$1004:$BQ$1004,1,MATCH(COLUMNS($AO$1006:BE1006),$AO$1006:$BQ$1006,0)))),"Fix")))</f>
        <v>#N/A</v>
      </c>
      <c r="S29" s="5" t="e">
        <f ca="1">IF(OR(INDEX($AI$2:$AI$1001,MATCH(ROWS($AH$2:AH29),$AH$2:$AH$1001,0),1)&gt;=100000,INDEX($AO$1005:$BQ$1005,1,MATCH(COLUMNS($AO$1006:BF1006),$AO$1006:$BQ$1006,0))&gt;=100000), " ",IF(INDEX($AO$2:$BQ$1001,MATCH(ROWS($AH$2:AH29),$AH$2:$AH$1001,0),MATCH(COLUMNS($AO$1006:BF1006),$AO$1006:$BQ$1006,0)), HYPERLINK("#",""), HYPERLINK(CONCATENATE("#Metadata!", ADDRESS(INDEX($AJ$2:$AJ$1001,MATCH(ROWS($AH$2:AH29),$AH$2:$AH$1001,0),0), INDEX($AO$1004:$BQ$1004,1,MATCH(COLUMNS($AO$1006:BF1006),$AO$1006:$BQ$1006,0)))),"Fix")))</f>
        <v>#N/A</v>
      </c>
      <c r="T29" s="5" t="e">
        <f ca="1">IF(OR(INDEX($AI$2:$AI$1001,MATCH(ROWS($AH$2:AH29),$AH$2:$AH$1001,0),1)&gt;=100000,INDEX($AO$1005:$BQ$1005,1,MATCH(COLUMNS($AO$1006:BG1006),$AO$1006:$BQ$1006,0))&gt;=100000), " ",IF(INDEX($AO$2:$BQ$1001,MATCH(ROWS($AH$2:AH29),$AH$2:$AH$1001,0),MATCH(COLUMNS($AO$1006:BG1006),$AO$1006:$BQ$1006,0)), HYPERLINK("#",""), HYPERLINK(CONCATENATE("#Metadata!", ADDRESS(INDEX($AJ$2:$AJ$1001,MATCH(ROWS($AH$2:AH29),$AH$2:$AH$1001,0),0), INDEX($AO$1004:$BQ$1004,1,MATCH(COLUMNS($AO$1006:BG1006),$AO$1006:$BQ$1006,0)))),"Fix")))</f>
        <v>#N/A</v>
      </c>
      <c r="U29" s="5" t="e">
        <f ca="1">IF(OR(INDEX($AI$2:$AI$1001,MATCH(ROWS($AH$2:AH29),$AH$2:$AH$1001,0),1)&gt;=100000,INDEX($AO$1005:$BQ$1005,1,MATCH(COLUMNS($AO$1006:BH1006),$AO$1006:$BQ$1006,0))&gt;=100000), " ",IF(INDEX($AO$2:$BQ$1001,MATCH(ROWS($AH$2:AH29),$AH$2:$AH$1001,0),MATCH(COLUMNS($AO$1006:BH1006),$AO$1006:$BQ$1006,0)), HYPERLINK("#",""), HYPERLINK(CONCATENATE("#Metadata!", ADDRESS(INDEX($AJ$2:$AJ$1001,MATCH(ROWS($AH$2:AH29),$AH$2:$AH$1001,0),0), INDEX($AO$1004:$BQ$1004,1,MATCH(COLUMNS($AO$1006:BH1006),$AO$1006:$BQ$1006,0)))),"Fix")))</f>
        <v>#N/A</v>
      </c>
      <c r="V29" s="5" t="e">
        <f ca="1">IF(OR(INDEX($AI$2:$AI$1001,MATCH(ROWS($AH$2:AH29),$AH$2:$AH$1001,0),1)&gt;=100000,INDEX($AO$1005:$BQ$1005,1,MATCH(COLUMNS($AO$1006:BI1006),$AO$1006:$BQ$1006,0))&gt;=100000), " ",IF(INDEX($AO$2:$BQ$1001,MATCH(ROWS($AH$2:AH29),$AH$2:$AH$1001,0),MATCH(COLUMNS($AO$1006:BI1006),$AO$1006:$BQ$1006,0)), HYPERLINK("#",""), HYPERLINK(CONCATENATE("#Metadata!", ADDRESS(INDEX($AJ$2:$AJ$1001,MATCH(ROWS($AH$2:AH29),$AH$2:$AH$1001,0),0), INDEX($AO$1004:$BQ$1004,1,MATCH(COLUMNS($AO$1006:BI1006),$AO$1006:$BQ$1006,0)))),"Fix")))</f>
        <v>#N/A</v>
      </c>
      <c r="W29" s="5" t="e">
        <f ca="1">IF(OR(INDEX($AI$2:$AI$1001,MATCH(ROWS($AH$2:AH29),$AH$2:$AH$1001,0),1)&gt;=100000,INDEX($AO$1005:$BQ$1005,1,MATCH(COLUMNS($AO$1006:BJ1006),$AO$1006:$BQ$1006,0))&gt;=100000), " ",IF(INDEX($AO$2:$BQ$1001,MATCH(ROWS($AH$2:AH29),$AH$2:$AH$1001,0),MATCH(COLUMNS($AO$1006:BJ1006),$AO$1006:$BQ$1006,0)), HYPERLINK("#",""), HYPERLINK(CONCATENATE("#Metadata!", ADDRESS(INDEX($AJ$2:$AJ$1001,MATCH(ROWS($AH$2:AH29),$AH$2:$AH$1001,0),0), INDEX($AO$1004:$BQ$1004,1,MATCH(COLUMNS($AO$1006:BJ1006),$AO$1006:$BQ$1006,0)))),"Fix")))</f>
        <v>#N/A</v>
      </c>
      <c r="X29" s="5" t="e">
        <f ca="1">IF(OR(INDEX($AI$2:$AI$1001,MATCH(ROWS($AH$2:AH29),$AH$2:$AH$1001,0),1)&gt;=100000,INDEX($AO$1005:$BQ$1005,1,MATCH(COLUMNS($AO$1006:BK1006),$AO$1006:$BQ$1006,0))&gt;=100000), " ",IF(INDEX($AO$2:$BQ$1001,MATCH(ROWS($AH$2:AH29),$AH$2:$AH$1001,0),MATCH(COLUMNS($AO$1006:BK1006),$AO$1006:$BQ$1006,0)), HYPERLINK("#",""), HYPERLINK(CONCATENATE("#Metadata!", ADDRESS(INDEX($AJ$2:$AJ$1001,MATCH(ROWS($AH$2:AH29),$AH$2:$AH$1001,0),0), INDEX($AO$1004:$BQ$1004,1,MATCH(COLUMNS($AO$1006:BK1006),$AO$1006:$BQ$1006,0)))),"Fix")))</f>
        <v>#N/A</v>
      </c>
      <c r="Y29" s="5" t="e">
        <f ca="1">IF(OR(INDEX($AI$2:$AI$1001,MATCH(ROWS($AH$2:AH29),$AH$2:$AH$1001,0),1)&gt;=100000,INDEX($AO$1005:$BQ$1005,1,MATCH(COLUMNS($AO$1006:BL1006),$AO$1006:$BQ$1006,0))&gt;=100000), " ",IF(INDEX($AO$2:$BQ$1001,MATCH(ROWS($AH$2:AH29),$AH$2:$AH$1001,0),MATCH(COLUMNS($AO$1006:BL1006),$AO$1006:$BQ$1006,0)), HYPERLINK("#",""), HYPERLINK(CONCATENATE("#Metadata!", ADDRESS(INDEX($AJ$2:$AJ$1001,MATCH(ROWS($AH$2:AH29),$AH$2:$AH$1001,0),0), INDEX($AO$1004:$BQ$1004,1,MATCH(COLUMNS($AO$1006:BL1006),$AO$1006:$BQ$1006,0)))),"Fix")))</f>
        <v>#N/A</v>
      </c>
      <c r="Z29" s="5" t="e">
        <f ca="1">IF(OR(INDEX($AI$2:$AI$1001,MATCH(ROWS($AH$2:AH29),$AH$2:$AH$1001,0),1)&gt;=100000,INDEX($AO$1005:$BQ$1005,1,MATCH(COLUMNS($AO$1006:BM1006),$AO$1006:$BQ$1006,0))&gt;=100000), " ",IF(INDEX($AO$2:$BQ$1001,MATCH(ROWS($AH$2:AH29),$AH$2:$AH$1001,0),MATCH(COLUMNS($AO$1006:BM1006),$AO$1006:$BQ$1006,0)), HYPERLINK("#",""), HYPERLINK(CONCATENATE("#Metadata!", ADDRESS(INDEX($AJ$2:$AJ$1001,MATCH(ROWS($AH$2:AH29),$AH$2:$AH$1001,0),0), INDEX($AO$1004:$BQ$1004,1,MATCH(COLUMNS($AO$1006:BM1006),$AO$1006:$BQ$1006,0)))),"Fix")))</f>
        <v>#N/A</v>
      </c>
      <c r="AA29" s="5" t="e">
        <f ca="1">IF(OR(INDEX($AI$2:$AI$1001,MATCH(ROWS($AH$2:AH29),$AH$2:$AH$1001,0),1)&gt;=100000,INDEX($AO$1005:$BQ$1005,1,MATCH(COLUMNS($AO$1006:BN1006),$AO$1006:$BQ$1006,0))&gt;=100000), " ",IF(INDEX($AO$2:$BQ$1001,MATCH(ROWS($AH$2:AH29),$AH$2:$AH$1001,0),MATCH(COLUMNS($AO$1006:BN1006),$AO$1006:$BQ$1006,0)), HYPERLINK("#",""), HYPERLINK(CONCATENATE("#Metadata!", ADDRESS(INDEX($AJ$2:$AJ$1001,MATCH(ROWS($AH$2:AH29),$AH$2:$AH$1001,0),0), INDEX($AO$1004:$BQ$1004,1,MATCH(COLUMNS($AO$1006:BN1006),$AO$1006:$BQ$1006,0)))),"Fix")))</f>
        <v>#N/A</v>
      </c>
      <c r="AB29" s="5" t="e">
        <f ca="1">IF(OR(INDEX($AI$2:$AI$1001,MATCH(ROWS($AH$2:AH29),$AH$2:$AH$1001,0),1)&gt;=100000,INDEX($AO$1005:$BQ$1005,1,MATCH(COLUMNS($AO$1006:BO1006),$AO$1006:$BQ$1006,0))&gt;=100000), " ",IF(INDEX($AO$2:$BQ$1001,MATCH(ROWS($AH$2:AH29),$AH$2:$AH$1001,0),MATCH(COLUMNS($AO$1006:BO1006),$AO$1006:$BQ$1006,0)), HYPERLINK("#",""), HYPERLINK(CONCATENATE("#Metadata!", ADDRESS(INDEX($AJ$2:$AJ$1001,MATCH(ROWS($AH$2:AH29),$AH$2:$AH$1001,0),0), INDEX($AO$1004:$BQ$1004,1,MATCH(COLUMNS($AO$1006:BO1006),$AO$1006:$BQ$1006,0)))),"Fix")))</f>
        <v>#N/A</v>
      </c>
      <c r="AC29" s="5" t="e">
        <f ca="1">IF(OR(INDEX($AI$2:$AI$1001,MATCH(ROWS($AH$2:AH29),$AH$2:$AH$1001,0),1)&gt;=100000,INDEX($AO$1005:$BQ$1005,1,MATCH(COLUMNS($AO$1006:BP1006),$AO$1006:$BQ$1006,0))&gt;=100000), " ",IF(INDEX($AO$2:$BQ$1001,MATCH(ROWS($AH$2:AH29),$AH$2:$AH$1001,0),MATCH(COLUMNS($AO$1006:BP1006),$AO$1006:$BQ$1006,0)), HYPERLINK("#",""), HYPERLINK(CONCATENATE("#Metadata!", ADDRESS(INDEX($AJ$2:$AJ$1001,MATCH(ROWS($AH$2:AH29),$AH$2:$AH$1001,0),0), INDEX($AO$1004:$BQ$1004,1,MATCH(COLUMNS($AO$1006:BP1006),$AO$1006:$BQ$1006,0)))),"Fix")))</f>
        <v>#N/A</v>
      </c>
      <c r="AD29" s="5" t="e">
        <f ca="1">IF(OR(INDEX($AI$2:$AI$1001,MATCH(ROWS($AH$2:AH29),$AH$2:$AH$1001,0),1)&gt;=100000,INDEX($AO$1005:$BQ$1005,1,MATCH(COLUMNS($AO$1006:BQ1006),$AO$1006:$BQ$1006,0))&gt;=100000), " ",IF(INDEX($AO$2:$BQ$1001,MATCH(ROWS($AH$2:AH29),$AH$2:$AH$1001,0),MATCH(COLUMNS($AO$1006:BQ1006),$AO$1006:$BQ$1006,0)), HYPERLINK("#",""), HYPERLINK(CONCATENATE("#Metadata!", ADDRESS(INDEX($AJ$2:$AJ$1001,MATCH(ROWS($AH$2:AH29),$AH$2:$AH$1001,0),0), INDEX($AO$1004:$BQ$1004,1,MATCH(COLUMNS($AO$1006:BQ1006),$AO$1006:$BQ$1006,0)))),"Fix")))</f>
        <v>#REF!</v>
      </c>
      <c r="AH29">
        <f ca="1"/>
        <v>27</v>
      </c>
      <c r="AI29">
        <f ca="1"/>
        <v>29</v>
      </c>
      <c r="AJ29">
        <v>29</v>
      </c>
      <c r="AK29" t="b">
        <f t="shared" ca="1" si="0"/>
        <v>0</v>
      </c>
      <c r="AL29" t="b">
        <f>COUNTBLANK(Metadata!B29:AD29)=COLUMNS(Metadata!B29:AD29)</f>
        <v>0</v>
      </c>
      <c r="AM29" t="str">
        <v>Environment.Sterile.water.BTP.119Sterile.water</v>
      </c>
      <c r="AO29" t="b">
        <f ca="1">AND(IF(Metadata!B28="",FALSE,TRUE),COUNTIF(Metadata!B:B, Metadata!B28) = 1,NOT(ISERROR(SUMPRODUCT(SEARCH(MID(Metadata!B28,ROW(INDIRECT("1:"&amp;LEN(Metadata!B28))), 1),"0123456789abcdefghijklmnopqrstuvwxyzABCDEFGHIJKLMNOPQRSTUVWXYZ.")))))</f>
        <v>1</v>
      </c>
      <c r="AP29" t="b">
        <f>IF(Metadata!C28="",FALSE,TRUE)</f>
        <v>1</v>
      </c>
      <c r="AQ29" t="b">
        <f>IF(Metadata!D28="",FALSE,TRUE)</f>
        <v>1</v>
      </c>
      <c r="AR29" t="b">
        <f ca="1">OR(AND(IF(Metadata!E28="",FALSE,TRUE),OR(EXACT(Metadata!E28,"not collected"),EXACT(Metadata!E28,"not provided"),EXACT(Metadata!E28,"restricted access"))),AND(IF(Metadata!E28="",FALSE,TRUE),AND(AND(IFERROR(INT(LEFT(Metadata!E28,4))&gt;1900,FALSE),IFERROR(INT(LEFT(Metadata!E28,4))&lt;=YEAR(NOW()),FALSE)), OR(MID(Metadata!E28,5,1)="", AND(AND(MID(Metadata!E28,5,1)="-",IFERROR(INT(MID(Metadata!E28,6,1))&gt;=0,FALSE),IFERROR(INT(MID(Metadata!E28,6,1))&lt;=1,FALSE),NOT(MID(Metadata!E28,7,1)=""),IFERROR(INT(MID(Metadata!E28,6,2))&gt;=1,FALSE),IFERROR(INT(MID(Metadata!E28,6,2))&lt;=12,FALSE)), OR(MID(Metadata!E28,8,1)="", AND(AND(MID(Metadata!E28,8,1)="-",IFERROR(INT(MID(Metadata!E28,9,1))&gt;=0,FALSE),IFERROR(INT(MID(Metadata!E28,9,1))&lt;=3,FALSE),NOT(MID(Metadata!E28,10,1)=""),IFERROR(INT(MID(Metadata!E28,9,2))&gt;=1,FALSE),IFERROR(INT(MID(Metadata!E28,9,2))&lt;=31,FALSE)), OR(MID(Metadata!E28,11,1)="", AND(AND(MID(Metadata!E28,11,1)=" ",IFERROR(INT(MID(Metadata!E28,12,1))&gt;=0,FALSE),IFERROR(INT(MID(Metadata!E28,12,1))&lt;=2,FALSE),NOT(MID(Metadata!E28,13,1)=""),IFERROR(INT(MID(Metadata!E28,12,2))&gt;=0,FALSE),IFERROR(INT(MID(Metadata!E28,12,2))&lt;=23,FALSE)), OR(MID(Metadata!E28,14,1)="", AND(AND(MID(Metadata!E28,14,1)=":",IFERROR(INT(MID(Metadata!E28,15,1))&gt;=0,FALSE),IFERROR(INT(MID(Metadata!E28,15,1))&lt;=5,FALSE),NOT(MID(Metadata!E28,16,1)=""),IFERROR(INT(MID(Metadata!E28,15,2))&gt;=0,FALSE),IFERROR(INT(MID(Metadata!E28,15,2))&lt;=59,FALSE)), OR(MID(Metadata!E28,17,1)="", AND(AND(MID(Metadata!E28,17,1)=":",IFERROR(INT(MID(Metadata!E28,18,1))&gt;=0,FALSE),IFERROR(INT(MID(Metadata!E28,18,1))&lt;=5,FALSE),NOT(MID(Metadata!E28,19,1)=""),IFERROR(INT(MID(Metadata!E28,18,2))&gt;=0,FALSE),IFERROR(INT(MID(Metadata!E28,18,2))&lt;=59,FALSE)), LEN(Metadata!E28)&lt;=19)))))))))))))</f>
        <v>0</v>
      </c>
      <c r="AS29" t="b">
        <f>IF(Metadata!F28="",FALSE,TRUE)</f>
        <v>1</v>
      </c>
      <c r="AT29" t="b">
        <f>OR(AND(IF(Metadata!G28="",FALSE,TRUE),OR(EXACT(Metadata!G28,"not collected"),EXACT(Metadata!G28,"not provided"))),AND(IF(Metadata!G28="",FALSE,TRUE),OR(EXACT(Metadata!G28,"TRUE"),EXACT(Metadata!G28,"FALSE"))))</f>
        <v>1</v>
      </c>
      <c r="AU29" t="b">
        <f>OR(AND(IF(Metadata!H28="",FALSE,TRUE),OR(EXACT(Metadata!H28,"not collected"),EXACT(Metadata!H28,"not provided"),EXACT(Metadata!H28,"restricted access"))),AND(IF(Metadata!H28="",FALSE,ISNUMBER(VALUE(Metadata!H28))),Metadata!H28&gt;=-413))</f>
        <v>0</v>
      </c>
      <c r="AV29" t="b">
        <f>AND(IF(Metadata!I28="",FALSE,TRUE),EXACT(Metadata!I28,"meters"))</f>
        <v>1</v>
      </c>
      <c r="AW29" t="b">
        <f>AND(IF(Metadata!J28="",FALSE,TRUE),EXACT(Metadata!J28,"free-living"))</f>
        <v>1</v>
      </c>
      <c r="AX29" t="b">
        <f>AND(IF(Metadata!K28="",FALSE,TRUE),OR(EXACT(Metadata!K28,"saline"),EXACT(Metadata!K28,"non-saline")))</f>
        <v>1</v>
      </c>
      <c r="AY29" t="b">
        <f>AND(IF(Metadata!L28="",FALSE,TRUE),OR(EXACT(Metadata!L28,"sub-surface (non-saline)"),EXACT(Metadata!L28,"surface (non-saline)"),EXACT(Metadata!L28,"water (non-saline)"),EXACT(Metadata!L28,"soil (non-saline)"),EXACT(Metadata!L28,"aerosol (non-saline)"),EXACT(Metadata!L28,"sediment (non-saline)"),EXACT(Metadata!L28,"surface (saline)"),EXACT(Metadata!L28,"water (saline)"),EXACT(Metadata!L28,"hypersaline (saline)"),EXACT(Metadata!L28,"aerosol (saline)"),EXACT(Metadata!L28,"sediment (saline)")))</f>
        <v>1</v>
      </c>
      <c r="AZ29" t="b">
        <f>IF(Metadata!M28="",FALSE,TRUE)</f>
        <v>1</v>
      </c>
      <c r="BA29" t="b">
        <f>IF(Metadata!N28="",FALSE,TRUE)</f>
        <v>1</v>
      </c>
      <c r="BB29" t="b">
        <f>IF(Metadata!O28="",FALSE,TRUE)</f>
        <v>1</v>
      </c>
      <c r="BC29" t="b">
        <f>AND(IF(Metadata!P28="",FALSE,TRUE),OR(EXACT(Metadata!P28,"air"),EXACT(Metadata!P28,"microbial mat/biofilm"),EXACT(Metadata!P28,"misc environment"),EXACT(Metadata!P28,"sediment"),EXACT(Metadata!P28,"soil"),EXACT(Metadata!P28,"wastewater/sludge"),EXACT(Metadata!P28,"water")))</f>
        <v>1</v>
      </c>
      <c r="BD29" t="b">
        <f>IF(Metadata!Q28="",FALSE,TRUE)</f>
        <v>1</v>
      </c>
      <c r="BE29" t="b">
        <f>IF(Metadata!R28="",FALSE,TRUE)</f>
        <v>1</v>
      </c>
      <c r="BF29" t="b">
        <f>OR(AND(IF(Metadata!S28="",FALSE,TRUE),OR(EXACT(Metadata!S28,"not collected"),EXACT(Metadata!S28,"not provided"),EXACT(Metadata!S28,"restricted access"))),AND(IF(Metadata!S28="",FALSE,ISNUMBER(VALUE(Metadata!S28))),Metadata!S28&gt;=-90,Metadata!S28&lt;=90))</f>
        <v>0</v>
      </c>
      <c r="BG29" t="b">
        <f>AND(IF(Metadata!T28="",FALSE,TRUE),EXACT(Metadata!T28,"Decimal degrees"))</f>
        <v>1</v>
      </c>
      <c r="BH29" t="b">
        <f>OR(AND(IF(Metadata!U29="",FALSE,TRUE),OR(EXACT(Metadata!U29,"not applicable"),EXACT(Metadata!U29,"not collected"))),IF(Metadata!U29="",FALSE,TRUE))</f>
        <v>1</v>
      </c>
      <c r="BI29" t="b">
        <f>OR(AND(IF(Metadata!V28="",FALSE,TRUE),OR(EXACT(Metadata!V28,"not collected"),EXACT(Metadata!V28,"not provided"),EXACT(Metadata!V28,"restricted access"))),AND(IF(Metadata!V28="",FALSE,ISNUMBER(VALUE(Metadata!V28))),Metadata!V28&gt;=-180,Metadata!V28&lt;=180))</f>
        <v>0</v>
      </c>
      <c r="BJ29" t="b">
        <f>AND(IF(Metadata!W28="",FALSE,TRUE),EXACT(Metadata!W28,"Decimal degrees"))</f>
        <v>1</v>
      </c>
      <c r="BK29" t="b">
        <f>IF(Metadata!X28="",FALSE,TRUE)</f>
        <v>1</v>
      </c>
      <c r="BL29" t="b">
        <f>OR(AND(IF(Metadata!Y28="",FALSE,TRUE),OR(EXACT(Metadata!Y28,"not collected"),EXACT(Metadata!Y28,"not provided"),EXACT(Metadata!Y28,"restricted access"))),AND(IF(Metadata!Y28="",FALSE,TRUE),OR(EXACT(Metadata!Y28,"TRUE"),EXACT(Metadata!Y28,"FALSE"))))</f>
        <v>1</v>
      </c>
      <c r="BM29" t="b">
        <f>OR(AND(IF(Metadata!Z28="",FALSE,TRUE),EXACT(Metadata!Z28,"not applicable")),AND(IF(Metadata!Z28="",FALSE,TRUE),OR(EXACT(Metadata!Z28,"beer"),EXACT(Metadata!Z28,"cheese"),EXACT(Metadata!Z28,"fresh water"),EXACT(Metadata!Z28,"marine sediment"),EXACT(Metadata!Z28,"sea water"),EXACT(Metadata!Z28,"sediment"),EXACT(Metadata!Z28,"soil"),EXACT(Metadata!Z28,"waste water"))))</f>
        <v>1</v>
      </c>
      <c r="BN29" t="b">
        <f>AND(IF(Metadata!AA28="",FALSE,TRUE),EXACT(Metadata!AA28,"metagenome"))</f>
        <v>1</v>
      </c>
      <c r="BO29" t="b">
        <f>AND(IF(Metadata!AB28="",FALSE,TRUE),EXACT(Metadata!AB28,"256318"))</f>
        <v>1</v>
      </c>
      <c r="BP29" t="b">
        <f>IF(Metadata!AC28="",FALSE,TRUE)</f>
        <v>1</v>
      </c>
      <c r="BQ29" t="b">
        <f>IF(Metadata!AD28="",FALSE,TRUE)</f>
        <v>1</v>
      </c>
    </row>
    <row r="30" spans="1:69" x14ac:dyDescent="0.2">
      <c r="A30" s="4" t="e">
        <f ca="1">IF(B30=" "," ",HYPERLINK(CONCATENATE("#metadata!",ADDRESS(INDEX($AJ$2:$AJ$1001,MATCH(ROWS($AH$2:AH30),$AH$2:$AH$1001,0),0),2)),INDEX($AM$2:$AM$1001,MATCH(ROWS($AH$2:AH30),$AH$2:$AH$1001,0),0)))</f>
        <v>#N/A</v>
      </c>
      <c r="B30" s="5" t="e">
        <f ca="1">IF(OR(INDEX($AI$2:$AI$1001,MATCH(ROWS($AH$2:AH30),$AH$2:$AH$1001,0),1)&gt;=100000,INDEX($AO$1005:$BQ$1005,1,MATCH(COLUMNS($AO$1006:AO1006),$AO$1006:$BQ$1006,0))&gt;=100000), " ",IF(INDEX($AO$2:$BQ$1001,MATCH(ROWS($AH$2:AH30),$AH$2:$AH$1001,0),MATCH(COLUMNS($AO$1006:AO1006),$AO$1006:$BQ$1006,0)), HYPERLINK("#",""), HYPERLINK(CONCATENATE("#Metadata!", ADDRESS(INDEX($AJ$2:$AJ$1001,MATCH(ROWS($AH$2:AH30),$AH$2:$AH$1001,0),0), INDEX($AO$1004:$BQ$1004,1,MATCH(COLUMNS($AO$1006:AO1006),$AO$1006:$BQ$1006,0)))),"Fix")))</f>
        <v>#N/A</v>
      </c>
      <c r="C30" s="5" t="e">
        <f ca="1">IF(OR(INDEX($AI$2:$AI$1001,MATCH(ROWS($AH$2:AH30),$AH$2:$AH$1001,0),1)&gt;=100000,INDEX($AO$1005:$BQ$1005,1,MATCH(COLUMNS($AO$1006:AP1006),$AO$1006:$BQ$1006,0))&gt;=100000), " ",IF(INDEX($AO$2:$BQ$1001,MATCH(ROWS($AH$2:AH30),$AH$2:$AH$1001,0),MATCH(COLUMNS($AO$1006:AP1006),$AO$1006:$BQ$1006,0)), HYPERLINK("#",""), HYPERLINK(CONCATENATE("#Metadata!", ADDRESS(INDEX($AJ$2:$AJ$1001,MATCH(ROWS($AH$2:AH30),$AH$2:$AH$1001,0),0), INDEX($AO$1004:$BQ$1004,1,MATCH(COLUMNS($AO$1006:AP1006),$AO$1006:$BQ$1006,0)))),"Fix")))</f>
        <v>#N/A</v>
      </c>
      <c r="D30" s="5" t="e">
        <f ca="1">IF(OR(INDEX($AI$2:$AI$1001,MATCH(ROWS($AH$2:AH30),$AH$2:$AH$1001,0),1)&gt;=100000,INDEX($AO$1005:$BQ$1005,1,MATCH(COLUMNS($AO$1006:AQ1006),$AO$1006:$BQ$1006,0))&gt;=100000), " ",IF(INDEX($AO$2:$BQ$1001,MATCH(ROWS($AH$2:AH30),$AH$2:$AH$1001,0),MATCH(COLUMNS($AO$1006:AQ1006),$AO$1006:$BQ$1006,0)), HYPERLINK("#",""), HYPERLINK(CONCATENATE("#Metadata!", ADDRESS(INDEX($AJ$2:$AJ$1001,MATCH(ROWS($AH$2:AH30),$AH$2:$AH$1001,0),0), INDEX($AO$1004:$BQ$1004,1,MATCH(COLUMNS($AO$1006:AQ1006),$AO$1006:$BQ$1006,0)))),"Fix")))</f>
        <v>#N/A</v>
      </c>
      <c r="E30" s="5" t="e">
        <f ca="1">IF(OR(INDEX($AI$2:$AI$1001,MATCH(ROWS($AH$2:AH30),$AH$2:$AH$1001,0),1)&gt;=100000,INDEX($AO$1005:$BQ$1005,1,MATCH(COLUMNS($AO$1006:AR1006),$AO$1006:$BQ$1006,0))&gt;=100000), " ",IF(INDEX($AO$2:$BQ$1001,MATCH(ROWS($AH$2:AH30),$AH$2:$AH$1001,0),MATCH(COLUMNS($AO$1006:AR1006),$AO$1006:$BQ$1006,0)), HYPERLINK("#",""), HYPERLINK(CONCATENATE("#Metadata!", ADDRESS(INDEX($AJ$2:$AJ$1001,MATCH(ROWS($AH$2:AH30),$AH$2:$AH$1001,0),0), INDEX($AO$1004:$BQ$1004,1,MATCH(COLUMNS($AO$1006:AR1006),$AO$1006:$BQ$1006,0)))),"Fix")))</f>
        <v>#N/A</v>
      </c>
      <c r="F30" s="5" t="e">
        <f ca="1">IF(OR(INDEX($AI$2:$AI$1001,MATCH(ROWS($AH$2:AH30),$AH$2:$AH$1001,0),1)&gt;=100000,INDEX($AO$1005:$BQ$1005,1,MATCH(COLUMNS($AO$1006:AS1006),$AO$1006:$BQ$1006,0))&gt;=100000), " ",IF(INDEX($AO$2:$BQ$1001,MATCH(ROWS($AH$2:AH30),$AH$2:$AH$1001,0),MATCH(COLUMNS($AO$1006:AS1006),$AO$1006:$BQ$1006,0)), HYPERLINK("#",""), HYPERLINK(CONCATENATE("#Metadata!", ADDRESS(INDEX($AJ$2:$AJ$1001,MATCH(ROWS($AH$2:AH30),$AH$2:$AH$1001,0),0), INDEX($AO$1004:$BQ$1004,1,MATCH(COLUMNS($AO$1006:AS1006),$AO$1006:$BQ$1006,0)))),"Fix")))</f>
        <v>#N/A</v>
      </c>
      <c r="G30" s="5" t="e">
        <f ca="1">IF(OR(INDEX($AI$2:$AI$1001,MATCH(ROWS($AH$2:AH30),$AH$2:$AH$1001,0),1)&gt;=100000,INDEX($AO$1005:$BQ$1005,1,MATCH(COLUMNS($AO$1006:AT1006),$AO$1006:$BQ$1006,0))&gt;=100000), " ",IF(INDEX($AO$2:$BQ$1001,MATCH(ROWS($AH$2:AH30),$AH$2:$AH$1001,0),MATCH(COLUMNS($AO$1006:AT1006),$AO$1006:$BQ$1006,0)), HYPERLINK("#",""), HYPERLINK(CONCATENATE("#Metadata!", ADDRESS(INDEX($AJ$2:$AJ$1001,MATCH(ROWS($AH$2:AH30),$AH$2:$AH$1001,0),0), INDEX($AO$1004:$BQ$1004,1,MATCH(COLUMNS($AO$1006:AT1006),$AO$1006:$BQ$1006,0)))),"Fix")))</f>
        <v>#N/A</v>
      </c>
      <c r="H30" s="5" t="e">
        <f ca="1">IF(OR(INDEX($AI$2:$AI$1001,MATCH(ROWS($AH$2:AH30),$AH$2:$AH$1001,0),1)&gt;=100000,INDEX($AO$1005:$BQ$1005,1,MATCH(COLUMNS($AO$1006:AU1006),$AO$1006:$BQ$1006,0))&gt;=100000), " ",IF(INDEX($AO$2:$BQ$1001,MATCH(ROWS($AH$2:AH30),$AH$2:$AH$1001,0),MATCH(COLUMNS($AO$1006:AU1006),$AO$1006:$BQ$1006,0)), HYPERLINK("#",""), HYPERLINK(CONCATENATE("#Metadata!", ADDRESS(INDEX($AJ$2:$AJ$1001,MATCH(ROWS($AH$2:AH30),$AH$2:$AH$1001,0),0), INDEX($AO$1004:$BQ$1004,1,MATCH(COLUMNS($AO$1006:AU1006),$AO$1006:$BQ$1006,0)))),"Fix")))</f>
        <v>#N/A</v>
      </c>
      <c r="I30" s="5" t="e">
        <f ca="1">IF(OR(INDEX($AI$2:$AI$1001,MATCH(ROWS($AH$2:AH30),$AH$2:$AH$1001,0),1)&gt;=100000,INDEX($AO$1005:$BQ$1005,1,MATCH(COLUMNS($AO$1006:AV1006),$AO$1006:$BQ$1006,0))&gt;=100000), " ",IF(INDEX($AO$2:$BQ$1001,MATCH(ROWS($AH$2:AH30),$AH$2:$AH$1001,0),MATCH(COLUMNS($AO$1006:AV1006),$AO$1006:$BQ$1006,0)), HYPERLINK("#",""), HYPERLINK(CONCATENATE("#Metadata!", ADDRESS(INDEX($AJ$2:$AJ$1001,MATCH(ROWS($AH$2:AH30),$AH$2:$AH$1001,0),0), INDEX($AO$1004:$BQ$1004,1,MATCH(COLUMNS($AO$1006:AV1006),$AO$1006:$BQ$1006,0)))),"Fix")))</f>
        <v>#N/A</v>
      </c>
      <c r="J30" s="5" t="e">
        <f ca="1">IF(OR(INDEX($AI$2:$AI$1001,MATCH(ROWS($AH$2:AH30),$AH$2:$AH$1001,0),1)&gt;=100000,INDEX($AO$1005:$BQ$1005,1,MATCH(COLUMNS($AO$1006:AW1006),$AO$1006:$BQ$1006,0))&gt;=100000), " ",IF(INDEX($AO$2:$BQ$1001,MATCH(ROWS($AH$2:AH30),$AH$2:$AH$1001,0),MATCH(COLUMNS($AO$1006:AW1006),$AO$1006:$BQ$1006,0)), HYPERLINK("#",""), HYPERLINK(CONCATENATE("#Metadata!", ADDRESS(INDEX($AJ$2:$AJ$1001,MATCH(ROWS($AH$2:AH30),$AH$2:$AH$1001,0),0), INDEX($AO$1004:$BQ$1004,1,MATCH(COLUMNS($AO$1006:AW1006),$AO$1006:$BQ$1006,0)))),"Fix")))</f>
        <v>#N/A</v>
      </c>
      <c r="K30" s="5" t="e">
        <f ca="1">IF(OR(INDEX($AI$2:$AI$1001,MATCH(ROWS($AH$2:AH30),$AH$2:$AH$1001,0),1)&gt;=100000,INDEX($AO$1005:$BQ$1005,1,MATCH(COLUMNS($AO$1006:AX1006),$AO$1006:$BQ$1006,0))&gt;=100000), " ",IF(INDEX($AO$2:$BQ$1001,MATCH(ROWS($AH$2:AH30),$AH$2:$AH$1001,0),MATCH(COLUMNS($AO$1006:AX1006),$AO$1006:$BQ$1006,0)), HYPERLINK("#",""), HYPERLINK(CONCATENATE("#Metadata!", ADDRESS(INDEX($AJ$2:$AJ$1001,MATCH(ROWS($AH$2:AH30),$AH$2:$AH$1001,0),0), INDEX($AO$1004:$BQ$1004,1,MATCH(COLUMNS($AO$1006:AX1006),$AO$1006:$BQ$1006,0)))),"Fix")))</f>
        <v>#N/A</v>
      </c>
      <c r="L30" s="5" t="e">
        <f ca="1">IF(OR(INDEX($AI$2:$AI$1001,MATCH(ROWS($AH$2:AH30),$AH$2:$AH$1001,0),1)&gt;=100000,INDEX($AO$1005:$BQ$1005,1,MATCH(COLUMNS($AO$1006:AY1006),$AO$1006:$BQ$1006,0))&gt;=100000), " ",IF(INDEX($AO$2:$BQ$1001,MATCH(ROWS($AH$2:AH30),$AH$2:$AH$1001,0),MATCH(COLUMNS($AO$1006:AY1006),$AO$1006:$BQ$1006,0)), HYPERLINK("#",""), HYPERLINK(CONCATENATE("#Metadata!", ADDRESS(INDEX($AJ$2:$AJ$1001,MATCH(ROWS($AH$2:AH30),$AH$2:$AH$1001,0),0), INDEX($AO$1004:$BQ$1004,1,MATCH(COLUMNS($AO$1006:AY1006),$AO$1006:$BQ$1006,0)))),"Fix")))</f>
        <v>#N/A</v>
      </c>
      <c r="M30" s="5" t="e">
        <f ca="1">IF(OR(INDEX($AI$2:$AI$1001,MATCH(ROWS($AH$2:AH30),$AH$2:$AH$1001,0),1)&gt;=100000,INDEX($AO$1005:$BQ$1005,1,MATCH(COLUMNS($AO$1006:AZ1006),$AO$1006:$BQ$1006,0))&gt;=100000), " ",IF(INDEX($AO$2:$BQ$1001,MATCH(ROWS($AH$2:AH30),$AH$2:$AH$1001,0),MATCH(COLUMNS($AO$1006:AZ1006),$AO$1006:$BQ$1006,0)), HYPERLINK("#",""), HYPERLINK(CONCATENATE("#Metadata!", ADDRESS(INDEX($AJ$2:$AJ$1001,MATCH(ROWS($AH$2:AH30),$AH$2:$AH$1001,0),0), INDEX($AO$1004:$BQ$1004,1,MATCH(COLUMNS($AO$1006:AZ1006),$AO$1006:$BQ$1006,0)))),"Fix")))</f>
        <v>#N/A</v>
      </c>
      <c r="N30" s="5" t="e">
        <f ca="1">IF(OR(INDEX($AI$2:$AI$1001,MATCH(ROWS($AH$2:AH30),$AH$2:$AH$1001,0),1)&gt;=100000,INDEX($AO$1005:$BQ$1005,1,MATCH(COLUMNS($AO$1006:BA1006),$AO$1006:$BQ$1006,0))&gt;=100000), " ",IF(INDEX($AO$2:$BQ$1001,MATCH(ROWS($AH$2:AH30),$AH$2:$AH$1001,0),MATCH(COLUMNS($AO$1006:BA1006),$AO$1006:$BQ$1006,0)), HYPERLINK("#",""), HYPERLINK(CONCATENATE("#Metadata!", ADDRESS(INDEX($AJ$2:$AJ$1001,MATCH(ROWS($AH$2:AH30),$AH$2:$AH$1001,0),0), INDEX($AO$1004:$BQ$1004,1,MATCH(COLUMNS($AO$1006:BA1006),$AO$1006:$BQ$1006,0)))),"Fix")))</f>
        <v>#N/A</v>
      </c>
      <c r="O30" s="5" t="e">
        <f ca="1">IF(OR(INDEX($AI$2:$AI$1001,MATCH(ROWS($AH$2:AH30),$AH$2:$AH$1001,0),1)&gt;=100000,INDEX($AO$1005:$BQ$1005,1,MATCH(COLUMNS($AO$1006:BB1006),$AO$1006:$BQ$1006,0))&gt;=100000), " ",IF(INDEX($AO$2:$BQ$1001,MATCH(ROWS($AH$2:AH30),$AH$2:$AH$1001,0),MATCH(COLUMNS($AO$1006:BB1006),$AO$1006:$BQ$1006,0)), HYPERLINK("#",""), HYPERLINK(CONCATENATE("#Metadata!", ADDRESS(INDEX($AJ$2:$AJ$1001,MATCH(ROWS($AH$2:AH30),$AH$2:$AH$1001,0),0), INDEX($AO$1004:$BQ$1004,1,MATCH(COLUMNS($AO$1006:BB1006),$AO$1006:$BQ$1006,0)))),"Fix")))</f>
        <v>#N/A</v>
      </c>
      <c r="P30" s="5" t="e">
        <f ca="1">IF(OR(INDEX($AI$2:$AI$1001,MATCH(ROWS($AH$2:AH30),$AH$2:$AH$1001,0),1)&gt;=100000,INDEX($AO$1005:$BQ$1005,1,MATCH(COLUMNS($AO$1006:BC1006),$AO$1006:$BQ$1006,0))&gt;=100000), " ",IF(INDEX($AO$2:$BQ$1001,MATCH(ROWS($AH$2:AH30),$AH$2:$AH$1001,0),MATCH(COLUMNS($AO$1006:BC1006),$AO$1006:$BQ$1006,0)), HYPERLINK("#",""), HYPERLINK(CONCATENATE("#Metadata!", ADDRESS(INDEX($AJ$2:$AJ$1001,MATCH(ROWS($AH$2:AH30),$AH$2:$AH$1001,0),0), INDEX($AO$1004:$BQ$1004,1,MATCH(COLUMNS($AO$1006:BC1006),$AO$1006:$BQ$1006,0)))),"Fix")))</f>
        <v>#N/A</v>
      </c>
      <c r="Q30" s="5" t="e">
        <f ca="1">IF(OR(INDEX($AI$2:$AI$1001,MATCH(ROWS($AH$2:AH30),$AH$2:$AH$1001,0),1)&gt;=100000,INDEX($AO$1005:$BQ$1005,1,MATCH(COLUMNS($AO$1006:BD1006),$AO$1006:$BQ$1006,0))&gt;=100000), " ",IF(INDEX($AO$2:$BQ$1001,MATCH(ROWS($AH$2:AH30),$AH$2:$AH$1001,0),MATCH(COLUMNS($AO$1006:BD1006),$AO$1006:$BQ$1006,0)), HYPERLINK("#",""), HYPERLINK(CONCATENATE("#Metadata!", ADDRESS(INDEX($AJ$2:$AJ$1001,MATCH(ROWS($AH$2:AH30),$AH$2:$AH$1001,0),0), INDEX($AO$1004:$BQ$1004,1,MATCH(COLUMNS($AO$1006:BD1006),$AO$1006:$BQ$1006,0)))),"Fix")))</f>
        <v>#N/A</v>
      </c>
      <c r="R30" s="5" t="e">
        <f ca="1">IF(OR(INDEX($AI$2:$AI$1001,MATCH(ROWS($AH$2:AH30),$AH$2:$AH$1001,0),1)&gt;=100000,INDEX($AO$1005:$BQ$1005,1,MATCH(COLUMNS($AO$1006:BE1006),$AO$1006:$BQ$1006,0))&gt;=100000), " ",IF(INDEX($AO$2:$BQ$1001,MATCH(ROWS($AH$2:AH30),$AH$2:$AH$1001,0),MATCH(COLUMNS($AO$1006:BE1006),$AO$1006:$BQ$1006,0)), HYPERLINK("#",""), HYPERLINK(CONCATENATE("#Metadata!", ADDRESS(INDEX($AJ$2:$AJ$1001,MATCH(ROWS($AH$2:AH30),$AH$2:$AH$1001,0),0), INDEX($AO$1004:$BQ$1004,1,MATCH(COLUMNS($AO$1006:BE1006),$AO$1006:$BQ$1006,0)))),"Fix")))</f>
        <v>#N/A</v>
      </c>
      <c r="S30" s="5" t="e">
        <f ca="1">IF(OR(INDEX($AI$2:$AI$1001,MATCH(ROWS($AH$2:AH30),$AH$2:$AH$1001,0),1)&gt;=100000,INDEX($AO$1005:$BQ$1005,1,MATCH(COLUMNS($AO$1006:BF1006),$AO$1006:$BQ$1006,0))&gt;=100000), " ",IF(INDEX($AO$2:$BQ$1001,MATCH(ROWS($AH$2:AH30),$AH$2:$AH$1001,0),MATCH(COLUMNS($AO$1006:BF1006),$AO$1006:$BQ$1006,0)), HYPERLINK("#",""), HYPERLINK(CONCATENATE("#Metadata!", ADDRESS(INDEX($AJ$2:$AJ$1001,MATCH(ROWS($AH$2:AH30),$AH$2:$AH$1001,0),0), INDEX($AO$1004:$BQ$1004,1,MATCH(COLUMNS($AO$1006:BF1006),$AO$1006:$BQ$1006,0)))),"Fix")))</f>
        <v>#N/A</v>
      </c>
      <c r="T30" s="5" t="e">
        <f ca="1">IF(OR(INDEX($AI$2:$AI$1001,MATCH(ROWS($AH$2:AH30),$AH$2:$AH$1001,0),1)&gt;=100000,INDEX($AO$1005:$BQ$1005,1,MATCH(COLUMNS($AO$1006:BG1006),$AO$1006:$BQ$1006,0))&gt;=100000), " ",IF(INDEX($AO$2:$BQ$1001,MATCH(ROWS($AH$2:AH30),$AH$2:$AH$1001,0),MATCH(COLUMNS($AO$1006:BG1006),$AO$1006:$BQ$1006,0)), HYPERLINK("#",""), HYPERLINK(CONCATENATE("#Metadata!", ADDRESS(INDEX($AJ$2:$AJ$1001,MATCH(ROWS($AH$2:AH30),$AH$2:$AH$1001,0),0), INDEX($AO$1004:$BQ$1004,1,MATCH(COLUMNS($AO$1006:BG1006),$AO$1006:$BQ$1006,0)))),"Fix")))</f>
        <v>#N/A</v>
      </c>
      <c r="U30" s="5" t="e">
        <f ca="1">IF(OR(INDEX($AI$2:$AI$1001,MATCH(ROWS($AH$2:AH30),$AH$2:$AH$1001,0),1)&gt;=100000,INDEX($AO$1005:$BQ$1005,1,MATCH(COLUMNS($AO$1006:BH1006),$AO$1006:$BQ$1006,0))&gt;=100000), " ",IF(INDEX($AO$2:$BQ$1001,MATCH(ROWS($AH$2:AH30),$AH$2:$AH$1001,0),MATCH(COLUMNS($AO$1006:BH1006),$AO$1006:$BQ$1006,0)), HYPERLINK("#",""), HYPERLINK(CONCATENATE("#Metadata!", ADDRESS(INDEX($AJ$2:$AJ$1001,MATCH(ROWS($AH$2:AH30),$AH$2:$AH$1001,0),0), INDEX($AO$1004:$BQ$1004,1,MATCH(COLUMNS($AO$1006:BH1006),$AO$1006:$BQ$1006,0)))),"Fix")))</f>
        <v>#N/A</v>
      </c>
      <c r="V30" s="5" t="e">
        <f ca="1">IF(OR(INDEX($AI$2:$AI$1001,MATCH(ROWS($AH$2:AH30),$AH$2:$AH$1001,0),1)&gt;=100000,INDEX($AO$1005:$BQ$1005,1,MATCH(COLUMNS($AO$1006:BI1006),$AO$1006:$BQ$1006,0))&gt;=100000), " ",IF(INDEX($AO$2:$BQ$1001,MATCH(ROWS($AH$2:AH30),$AH$2:$AH$1001,0),MATCH(COLUMNS($AO$1006:BI1006),$AO$1006:$BQ$1006,0)), HYPERLINK("#",""), HYPERLINK(CONCATENATE("#Metadata!", ADDRESS(INDEX($AJ$2:$AJ$1001,MATCH(ROWS($AH$2:AH30),$AH$2:$AH$1001,0),0), INDEX($AO$1004:$BQ$1004,1,MATCH(COLUMNS($AO$1006:BI1006),$AO$1006:$BQ$1006,0)))),"Fix")))</f>
        <v>#N/A</v>
      </c>
      <c r="W30" s="5" t="e">
        <f ca="1">IF(OR(INDEX($AI$2:$AI$1001,MATCH(ROWS($AH$2:AH30),$AH$2:$AH$1001,0),1)&gt;=100000,INDEX($AO$1005:$BQ$1005,1,MATCH(COLUMNS($AO$1006:BJ1006),$AO$1006:$BQ$1006,0))&gt;=100000), " ",IF(INDEX($AO$2:$BQ$1001,MATCH(ROWS($AH$2:AH30),$AH$2:$AH$1001,0),MATCH(COLUMNS($AO$1006:BJ1006),$AO$1006:$BQ$1006,0)), HYPERLINK("#",""), HYPERLINK(CONCATENATE("#Metadata!", ADDRESS(INDEX($AJ$2:$AJ$1001,MATCH(ROWS($AH$2:AH30),$AH$2:$AH$1001,0),0), INDEX($AO$1004:$BQ$1004,1,MATCH(COLUMNS($AO$1006:BJ1006),$AO$1006:$BQ$1006,0)))),"Fix")))</f>
        <v>#N/A</v>
      </c>
      <c r="X30" s="5" t="e">
        <f ca="1">IF(OR(INDEX($AI$2:$AI$1001,MATCH(ROWS($AH$2:AH30),$AH$2:$AH$1001,0),1)&gt;=100000,INDEX($AO$1005:$BQ$1005,1,MATCH(COLUMNS($AO$1006:BK1006),$AO$1006:$BQ$1006,0))&gt;=100000), " ",IF(INDEX($AO$2:$BQ$1001,MATCH(ROWS($AH$2:AH30),$AH$2:$AH$1001,0),MATCH(COLUMNS($AO$1006:BK1006),$AO$1006:$BQ$1006,0)), HYPERLINK("#",""), HYPERLINK(CONCATENATE("#Metadata!", ADDRESS(INDEX($AJ$2:$AJ$1001,MATCH(ROWS($AH$2:AH30),$AH$2:$AH$1001,0),0), INDEX($AO$1004:$BQ$1004,1,MATCH(COLUMNS($AO$1006:BK1006),$AO$1006:$BQ$1006,0)))),"Fix")))</f>
        <v>#N/A</v>
      </c>
      <c r="Y30" s="5" t="e">
        <f ca="1">IF(OR(INDEX($AI$2:$AI$1001,MATCH(ROWS($AH$2:AH30),$AH$2:$AH$1001,0),1)&gt;=100000,INDEX($AO$1005:$BQ$1005,1,MATCH(COLUMNS($AO$1006:BL1006),$AO$1006:$BQ$1006,0))&gt;=100000), " ",IF(INDEX($AO$2:$BQ$1001,MATCH(ROWS($AH$2:AH30),$AH$2:$AH$1001,0),MATCH(COLUMNS($AO$1006:BL1006),$AO$1006:$BQ$1006,0)), HYPERLINK("#",""), HYPERLINK(CONCATENATE("#Metadata!", ADDRESS(INDEX($AJ$2:$AJ$1001,MATCH(ROWS($AH$2:AH30),$AH$2:$AH$1001,0),0), INDEX($AO$1004:$BQ$1004,1,MATCH(COLUMNS($AO$1006:BL1006),$AO$1006:$BQ$1006,0)))),"Fix")))</f>
        <v>#N/A</v>
      </c>
      <c r="Z30" s="5" t="e">
        <f ca="1">IF(OR(INDEX($AI$2:$AI$1001,MATCH(ROWS($AH$2:AH30),$AH$2:$AH$1001,0),1)&gt;=100000,INDEX($AO$1005:$BQ$1005,1,MATCH(COLUMNS($AO$1006:BM1006),$AO$1006:$BQ$1006,0))&gt;=100000), " ",IF(INDEX($AO$2:$BQ$1001,MATCH(ROWS($AH$2:AH30),$AH$2:$AH$1001,0),MATCH(COLUMNS($AO$1006:BM1006),$AO$1006:$BQ$1006,0)), HYPERLINK("#",""), HYPERLINK(CONCATENATE("#Metadata!", ADDRESS(INDEX($AJ$2:$AJ$1001,MATCH(ROWS($AH$2:AH30),$AH$2:$AH$1001,0),0), INDEX($AO$1004:$BQ$1004,1,MATCH(COLUMNS($AO$1006:BM1006),$AO$1006:$BQ$1006,0)))),"Fix")))</f>
        <v>#N/A</v>
      </c>
      <c r="AA30" s="5" t="e">
        <f ca="1">IF(OR(INDEX($AI$2:$AI$1001,MATCH(ROWS($AH$2:AH30),$AH$2:$AH$1001,0),1)&gt;=100000,INDEX($AO$1005:$BQ$1005,1,MATCH(COLUMNS($AO$1006:BN1006),$AO$1006:$BQ$1006,0))&gt;=100000), " ",IF(INDEX($AO$2:$BQ$1001,MATCH(ROWS($AH$2:AH30),$AH$2:$AH$1001,0),MATCH(COLUMNS($AO$1006:BN1006),$AO$1006:$BQ$1006,0)), HYPERLINK("#",""), HYPERLINK(CONCATENATE("#Metadata!", ADDRESS(INDEX($AJ$2:$AJ$1001,MATCH(ROWS($AH$2:AH30),$AH$2:$AH$1001,0),0), INDEX($AO$1004:$BQ$1004,1,MATCH(COLUMNS($AO$1006:BN1006),$AO$1006:$BQ$1006,0)))),"Fix")))</f>
        <v>#N/A</v>
      </c>
      <c r="AB30" s="5" t="e">
        <f ca="1">IF(OR(INDEX($AI$2:$AI$1001,MATCH(ROWS($AH$2:AH30),$AH$2:$AH$1001,0),1)&gt;=100000,INDEX($AO$1005:$BQ$1005,1,MATCH(COLUMNS($AO$1006:BO1006),$AO$1006:$BQ$1006,0))&gt;=100000), " ",IF(INDEX($AO$2:$BQ$1001,MATCH(ROWS($AH$2:AH30),$AH$2:$AH$1001,0),MATCH(COLUMNS($AO$1006:BO1006),$AO$1006:$BQ$1006,0)), HYPERLINK("#",""), HYPERLINK(CONCATENATE("#Metadata!", ADDRESS(INDEX($AJ$2:$AJ$1001,MATCH(ROWS($AH$2:AH30),$AH$2:$AH$1001,0),0), INDEX($AO$1004:$BQ$1004,1,MATCH(COLUMNS($AO$1006:BO1006),$AO$1006:$BQ$1006,0)))),"Fix")))</f>
        <v>#N/A</v>
      </c>
      <c r="AC30" s="5" t="e">
        <f ca="1">IF(OR(INDEX($AI$2:$AI$1001,MATCH(ROWS($AH$2:AH30),$AH$2:$AH$1001,0),1)&gt;=100000,INDEX($AO$1005:$BQ$1005,1,MATCH(COLUMNS($AO$1006:BP1006),$AO$1006:$BQ$1006,0))&gt;=100000), " ",IF(INDEX($AO$2:$BQ$1001,MATCH(ROWS($AH$2:AH30),$AH$2:$AH$1001,0),MATCH(COLUMNS($AO$1006:BP1006),$AO$1006:$BQ$1006,0)), HYPERLINK("#",""), HYPERLINK(CONCATENATE("#Metadata!", ADDRESS(INDEX($AJ$2:$AJ$1001,MATCH(ROWS($AH$2:AH30),$AH$2:$AH$1001,0),0), INDEX($AO$1004:$BQ$1004,1,MATCH(COLUMNS($AO$1006:BP1006),$AO$1006:$BQ$1006,0)))),"Fix")))</f>
        <v>#N/A</v>
      </c>
      <c r="AD30" s="5" t="e">
        <f ca="1">IF(OR(INDEX($AI$2:$AI$1001,MATCH(ROWS($AH$2:AH30),$AH$2:$AH$1001,0),1)&gt;=100000,INDEX($AO$1005:$BQ$1005,1,MATCH(COLUMNS($AO$1006:BQ1006),$AO$1006:$BQ$1006,0))&gt;=100000), " ",IF(INDEX($AO$2:$BQ$1001,MATCH(ROWS($AH$2:AH30),$AH$2:$AH$1001,0),MATCH(COLUMNS($AO$1006:BQ1006),$AO$1006:$BQ$1006,0)), HYPERLINK("#",""), HYPERLINK(CONCATENATE("#Metadata!", ADDRESS(INDEX($AJ$2:$AJ$1001,MATCH(ROWS($AH$2:AH30),$AH$2:$AH$1001,0),0), INDEX($AO$1004:$BQ$1004,1,MATCH(COLUMNS($AO$1006:BQ1006),$AO$1006:$BQ$1006,0)))),"Fix")))</f>
        <v>#REF!</v>
      </c>
      <c r="AH30">
        <f ca="1"/>
        <v>28</v>
      </c>
      <c r="AI30">
        <f ca="1"/>
        <v>30</v>
      </c>
      <c r="AJ30">
        <v>30</v>
      </c>
      <c r="AK30" t="b">
        <f t="shared" ca="1" si="0"/>
        <v>0</v>
      </c>
      <c r="AL30" t="b">
        <f>COUNTBLANK(Metadata!B30:AD30)=COLUMNS(Metadata!B30:AD30)</f>
        <v>0</v>
      </c>
      <c r="AM30" t="str">
        <v>Environment.Side.1.BTP.256Sterile.water</v>
      </c>
      <c r="AO30" t="b">
        <f ca="1">AND(IF(Metadata!B29="",FALSE,TRUE),COUNTIF(Metadata!B:B, Metadata!B29) = 1,NOT(ISERROR(SUMPRODUCT(SEARCH(MID(Metadata!B29,ROW(INDIRECT("1:"&amp;LEN(Metadata!B29))), 1),"0123456789abcdefghijklmnopqrstuvwxyzABCDEFGHIJKLMNOPQRSTUVWXYZ.")))))</f>
        <v>1</v>
      </c>
      <c r="AP30" t="b">
        <f>IF(Metadata!C29="",FALSE,TRUE)</f>
        <v>1</v>
      </c>
      <c r="AQ30" t="b">
        <f>IF(Metadata!D29="",FALSE,TRUE)</f>
        <v>1</v>
      </c>
      <c r="AR30" t="b">
        <f ca="1">OR(AND(IF(Metadata!E29="",FALSE,TRUE),OR(EXACT(Metadata!E29,"not collected"),EXACT(Metadata!E29,"not provided"),EXACT(Metadata!E29,"restricted access"))),AND(IF(Metadata!E29="",FALSE,TRUE),AND(AND(IFERROR(INT(LEFT(Metadata!E29,4))&gt;1900,FALSE),IFERROR(INT(LEFT(Metadata!E29,4))&lt;=YEAR(NOW()),FALSE)), OR(MID(Metadata!E29,5,1)="", AND(AND(MID(Metadata!E29,5,1)="-",IFERROR(INT(MID(Metadata!E29,6,1))&gt;=0,FALSE),IFERROR(INT(MID(Metadata!E29,6,1))&lt;=1,FALSE),NOT(MID(Metadata!E29,7,1)=""),IFERROR(INT(MID(Metadata!E29,6,2))&gt;=1,FALSE),IFERROR(INT(MID(Metadata!E29,6,2))&lt;=12,FALSE)), OR(MID(Metadata!E29,8,1)="", AND(AND(MID(Metadata!E29,8,1)="-",IFERROR(INT(MID(Metadata!E29,9,1))&gt;=0,FALSE),IFERROR(INT(MID(Metadata!E29,9,1))&lt;=3,FALSE),NOT(MID(Metadata!E29,10,1)=""),IFERROR(INT(MID(Metadata!E29,9,2))&gt;=1,FALSE),IFERROR(INT(MID(Metadata!E29,9,2))&lt;=31,FALSE)), OR(MID(Metadata!E29,11,1)="", AND(AND(MID(Metadata!E29,11,1)=" ",IFERROR(INT(MID(Metadata!E29,12,1))&gt;=0,FALSE),IFERROR(INT(MID(Metadata!E29,12,1))&lt;=2,FALSE),NOT(MID(Metadata!E29,13,1)=""),IFERROR(INT(MID(Metadata!E29,12,2))&gt;=0,FALSE),IFERROR(INT(MID(Metadata!E29,12,2))&lt;=23,FALSE)), OR(MID(Metadata!E29,14,1)="", AND(AND(MID(Metadata!E29,14,1)=":",IFERROR(INT(MID(Metadata!E29,15,1))&gt;=0,FALSE),IFERROR(INT(MID(Metadata!E29,15,1))&lt;=5,FALSE),NOT(MID(Metadata!E29,16,1)=""),IFERROR(INT(MID(Metadata!E29,15,2))&gt;=0,FALSE),IFERROR(INT(MID(Metadata!E29,15,2))&lt;=59,FALSE)), OR(MID(Metadata!E29,17,1)="", AND(AND(MID(Metadata!E29,17,1)=":",IFERROR(INT(MID(Metadata!E29,18,1))&gt;=0,FALSE),IFERROR(INT(MID(Metadata!E29,18,1))&lt;=5,FALSE),NOT(MID(Metadata!E29,19,1)=""),IFERROR(INT(MID(Metadata!E29,18,2))&gt;=0,FALSE),IFERROR(INT(MID(Metadata!E29,18,2))&lt;=59,FALSE)), LEN(Metadata!E29)&lt;=19)))))))))))))</f>
        <v>0</v>
      </c>
      <c r="AS30" t="b">
        <f>IF(Metadata!F29="",FALSE,TRUE)</f>
        <v>1</v>
      </c>
      <c r="AT30" t="b">
        <f>OR(AND(IF(Metadata!G29="",FALSE,TRUE),OR(EXACT(Metadata!G29,"not collected"),EXACT(Metadata!G29,"not provided"))),AND(IF(Metadata!G29="",FALSE,TRUE),OR(EXACT(Metadata!G29,"TRUE"),EXACT(Metadata!G29,"FALSE"))))</f>
        <v>1</v>
      </c>
      <c r="AU30" t="b">
        <f>OR(AND(IF(Metadata!H29="",FALSE,TRUE),OR(EXACT(Metadata!H29,"not collected"),EXACT(Metadata!H29,"not provided"),EXACT(Metadata!H29,"restricted access"))),AND(IF(Metadata!H29="",FALSE,ISNUMBER(VALUE(Metadata!H29))),Metadata!H29&gt;=-413))</f>
        <v>0</v>
      </c>
      <c r="AV30" t="b">
        <f>AND(IF(Metadata!I29="",FALSE,TRUE),EXACT(Metadata!I29,"meters"))</f>
        <v>1</v>
      </c>
      <c r="AW30" t="b">
        <f>AND(IF(Metadata!J29="",FALSE,TRUE),EXACT(Metadata!J29,"free-living"))</f>
        <v>1</v>
      </c>
      <c r="AX30" t="b">
        <f>AND(IF(Metadata!K29="",FALSE,TRUE),OR(EXACT(Metadata!K29,"saline"),EXACT(Metadata!K29,"non-saline")))</f>
        <v>1</v>
      </c>
      <c r="AY30" t="b">
        <f>AND(IF(Metadata!L29="",FALSE,TRUE),OR(EXACT(Metadata!L29,"sub-surface (non-saline)"),EXACT(Metadata!L29,"surface (non-saline)"),EXACT(Metadata!L29,"water (non-saline)"),EXACT(Metadata!L29,"soil (non-saline)"),EXACT(Metadata!L29,"aerosol (non-saline)"),EXACT(Metadata!L29,"sediment (non-saline)"),EXACT(Metadata!L29,"surface (saline)"),EXACT(Metadata!L29,"water (saline)"),EXACT(Metadata!L29,"hypersaline (saline)"),EXACT(Metadata!L29,"aerosol (saline)"),EXACT(Metadata!L29,"sediment (saline)")))</f>
        <v>1</v>
      </c>
      <c r="AZ30" t="b">
        <f>IF(Metadata!M29="",FALSE,TRUE)</f>
        <v>1</v>
      </c>
      <c r="BA30" t="b">
        <f>IF(Metadata!N29="",FALSE,TRUE)</f>
        <v>1</v>
      </c>
      <c r="BB30" t="b">
        <f>IF(Metadata!O29="",FALSE,TRUE)</f>
        <v>1</v>
      </c>
      <c r="BC30" t="b">
        <f>AND(IF(Metadata!P29="",FALSE,TRUE),OR(EXACT(Metadata!P29,"air"),EXACT(Metadata!P29,"microbial mat/biofilm"),EXACT(Metadata!P29,"misc environment"),EXACT(Metadata!P29,"sediment"),EXACT(Metadata!P29,"soil"),EXACT(Metadata!P29,"wastewater/sludge"),EXACT(Metadata!P29,"water")))</f>
        <v>1</v>
      </c>
      <c r="BD30" t="b">
        <f>IF(Metadata!Q29="",FALSE,TRUE)</f>
        <v>1</v>
      </c>
      <c r="BE30" t="b">
        <f>IF(Metadata!R29="",FALSE,TRUE)</f>
        <v>1</v>
      </c>
      <c r="BF30" t="b">
        <f>OR(AND(IF(Metadata!S29="",FALSE,TRUE),OR(EXACT(Metadata!S29,"not collected"),EXACT(Metadata!S29,"not provided"),EXACT(Metadata!S29,"restricted access"))),AND(IF(Metadata!S29="",FALSE,ISNUMBER(VALUE(Metadata!S29))),Metadata!S29&gt;=-90,Metadata!S29&lt;=90))</f>
        <v>0</v>
      </c>
      <c r="BG30" t="b">
        <f>AND(IF(Metadata!T29="",FALSE,TRUE),EXACT(Metadata!T29,"Decimal degrees"))</f>
        <v>1</v>
      </c>
      <c r="BH30" t="b">
        <f>OR(AND(IF(Metadata!U30="",FALSE,TRUE),OR(EXACT(Metadata!U30,"not applicable"),EXACT(Metadata!U30,"not collected"))),IF(Metadata!U30="",FALSE,TRUE))</f>
        <v>1</v>
      </c>
      <c r="BI30" t="b">
        <f>OR(AND(IF(Metadata!V29="",FALSE,TRUE),OR(EXACT(Metadata!V29,"not collected"),EXACT(Metadata!V29,"not provided"),EXACT(Metadata!V29,"restricted access"))),AND(IF(Metadata!V29="",FALSE,ISNUMBER(VALUE(Metadata!V29))),Metadata!V29&gt;=-180,Metadata!V29&lt;=180))</f>
        <v>0</v>
      </c>
      <c r="BJ30" t="b">
        <f>AND(IF(Metadata!W29="",FALSE,TRUE),EXACT(Metadata!W29,"Decimal degrees"))</f>
        <v>1</v>
      </c>
      <c r="BK30" t="b">
        <f>IF(Metadata!X29="",FALSE,TRUE)</f>
        <v>1</v>
      </c>
      <c r="BL30" t="b">
        <f>OR(AND(IF(Metadata!Y29="",FALSE,TRUE),OR(EXACT(Metadata!Y29,"not collected"),EXACT(Metadata!Y29,"not provided"),EXACT(Metadata!Y29,"restricted access"))),AND(IF(Metadata!Y29="",FALSE,TRUE),OR(EXACT(Metadata!Y29,"TRUE"),EXACT(Metadata!Y29,"FALSE"))))</f>
        <v>1</v>
      </c>
      <c r="BM30" t="b">
        <f>OR(AND(IF(Metadata!Z29="",FALSE,TRUE),EXACT(Metadata!Z29,"not applicable")),AND(IF(Metadata!Z29="",FALSE,TRUE),OR(EXACT(Metadata!Z29,"beer"),EXACT(Metadata!Z29,"cheese"),EXACT(Metadata!Z29,"fresh water"),EXACT(Metadata!Z29,"marine sediment"),EXACT(Metadata!Z29,"sea water"),EXACT(Metadata!Z29,"sediment"),EXACT(Metadata!Z29,"soil"),EXACT(Metadata!Z29,"waste water"))))</f>
        <v>1</v>
      </c>
      <c r="BN30" t="b">
        <f>AND(IF(Metadata!AA29="",FALSE,TRUE),EXACT(Metadata!AA29,"metagenome"))</f>
        <v>1</v>
      </c>
      <c r="BO30" t="b">
        <f>AND(IF(Metadata!AB29="",FALSE,TRUE),EXACT(Metadata!AB29,"256318"))</f>
        <v>1</v>
      </c>
      <c r="BP30" t="b">
        <f>IF(Metadata!AC29="",FALSE,TRUE)</f>
        <v>1</v>
      </c>
      <c r="BQ30" t="b">
        <f>IF(Metadata!AD29="",FALSE,TRUE)</f>
        <v>1</v>
      </c>
    </row>
    <row r="31" spans="1:69" x14ac:dyDescent="0.2">
      <c r="A31" s="4" t="e">
        <f ca="1">IF(B31=" "," ",HYPERLINK(CONCATENATE("#metadata!",ADDRESS(INDEX($AJ$2:$AJ$1001,MATCH(ROWS($AH$2:AH31),$AH$2:$AH$1001,0),0),2)),INDEX($AM$2:$AM$1001,MATCH(ROWS($AH$2:AH31),$AH$2:$AH$1001,0),0)))</f>
        <v>#N/A</v>
      </c>
      <c r="B31" s="5" t="e">
        <f ca="1">IF(OR(INDEX($AI$2:$AI$1001,MATCH(ROWS($AH$2:AH31),$AH$2:$AH$1001,0),1)&gt;=100000,INDEX($AO$1005:$BQ$1005,1,MATCH(COLUMNS($AO$1006:AO1006),$AO$1006:$BQ$1006,0))&gt;=100000), " ",IF(INDEX($AO$2:$BQ$1001,MATCH(ROWS($AH$2:AH31),$AH$2:$AH$1001,0),MATCH(COLUMNS($AO$1006:AO1006),$AO$1006:$BQ$1006,0)), HYPERLINK("#",""), HYPERLINK(CONCATENATE("#Metadata!", ADDRESS(INDEX($AJ$2:$AJ$1001,MATCH(ROWS($AH$2:AH31),$AH$2:$AH$1001,0),0), INDEX($AO$1004:$BQ$1004,1,MATCH(COLUMNS($AO$1006:AO1006),$AO$1006:$BQ$1006,0)))),"Fix")))</f>
        <v>#N/A</v>
      </c>
      <c r="C31" s="5" t="e">
        <f ca="1">IF(OR(INDEX($AI$2:$AI$1001,MATCH(ROWS($AH$2:AH31),$AH$2:$AH$1001,0),1)&gt;=100000,INDEX($AO$1005:$BQ$1005,1,MATCH(COLUMNS($AO$1006:AP1006),$AO$1006:$BQ$1006,0))&gt;=100000), " ",IF(INDEX($AO$2:$BQ$1001,MATCH(ROWS($AH$2:AH31),$AH$2:$AH$1001,0),MATCH(COLUMNS($AO$1006:AP1006),$AO$1006:$BQ$1006,0)), HYPERLINK("#",""), HYPERLINK(CONCATENATE("#Metadata!", ADDRESS(INDEX($AJ$2:$AJ$1001,MATCH(ROWS($AH$2:AH31),$AH$2:$AH$1001,0),0), INDEX($AO$1004:$BQ$1004,1,MATCH(COLUMNS($AO$1006:AP1006),$AO$1006:$BQ$1006,0)))),"Fix")))</f>
        <v>#N/A</v>
      </c>
      <c r="D31" s="5" t="e">
        <f ca="1">IF(OR(INDEX($AI$2:$AI$1001,MATCH(ROWS($AH$2:AH31),$AH$2:$AH$1001,0),1)&gt;=100000,INDEX($AO$1005:$BQ$1005,1,MATCH(COLUMNS($AO$1006:AQ1006),$AO$1006:$BQ$1006,0))&gt;=100000), " ",IF(INDEX($AO$2:$BQ$1001,MATCH(ROWS($AH$2:AH31),$AH$2:$AH$1001,0),MATCH(COLUMNS($AO$1006:AQ1006),$AO$1006:$BQ$1006,0)), HYPERLINK("#",""), HYPERLINK(CONCATENATE("#Metadata!", ADDRESS(INDEX($AJ$2:$AJ$1001,MATCH(ROWS($AH$2:AH31),$AH$2:$AH$1001,0),0), INDEX($AO$1004:$BQ$1004,1,MATCH(COLUMNS($AO$1006:AQ1006),$AO$1006:$BQ$1006,0)))),"Fix")))</f>
        <v>#N/A</v>
      </c>
      <c r="E31" s="5" t="e">
        <f ca="1">IF(OR(INDEX($AI$2:$AI$1001,MATCH(ROWS($AH$2:AH31),$AH$2:$AH$1001,0),1)&gt;=100000,INDEX($AO$1005:$BQ$1005,1,MATCH(COLUMNS($AO$1006:AR1006),$AO$1006:$BQ$1006,0))&gt;=100000), " ",IF(INDEX($AO$2:$BQ$1001,MATCH(ROWS($AH$2:AH31),$AH$2:$AH$1001,0),MATCH(COLUMNS($AO$1006:AR1006),$AO$1006:$BQ$1006,0)), HYPERLINK("#",""), HYPERLINK(CONCATENATE("#Metadata!", ADDRESS(INDEX($AJ$2:$AJ$1001,MATCH(ROWS($AH$2:AH31),$AH$2:$AH$1001,0),0), INDEX($AO$1004:$BQ$1004,1,MATCH(COLUMNS($AO$1006:AR1006),$AO$1006:$BQ$1006,0)))),"Fix")))</f>
        <v>#N/A</v>
      </c>
      <c r="F31" s="5" t="e">
        <f ca="1">IF(OR(INDEX($AI$2:$AI$1001,MATCH(ROWS($AH$2:AH31),$AH$2:$AH$1001,0),1)&gt;=100000,INDEX($AO$1005:$BQ$1005,1,MATCH(COLUMNS($AO$1006:AS1006),$AO$1006:$BQ$1006,0))&gt;=100000), " ",IF(INDEX($AO$2:$BQ$1001,MATCH(ROWS($AH$2:AH31),$AH$2:$AH$1001,0),MATCH(COLUMNS($AO$1006:AS1006),$AO$1006:$BQ$1006,0)), HYPERLINK("#",""), HYPERLINK(CONCATENATE("#Metadata!", ADDRESS(INDEX($AJ$2:$AJ$1001,MATCH(ROWS($AH$2:AH31),$AH$2:$AH$1001,0),0), INDEX($AO$1004:$BQ$1004,1,MATCH(COLUMNS($AO$1006:AS1006),$AO$1006:$BQ$1006,0)))),"Fix")))</f>
        <v>#N/A</v>
      </c>
      <c r="G31" s="5" t="e">
        <f ca="1">IF(OR(INDEX($AI$2:$AI$1001,MATCH(ROWS($AH$2:AH31),$AH$2:$AH$1001,0),1)&gt;=100000,INDEX($AO$1005:$BQ$1005,1,MATCH(COLUMNS($AO$1006:AT1006),$AO$1006:$BQ$1006,0))&gt;=100000), " ",IF(INDEX($AO$2:$BQ$1001,MATCH(ROWS($AH$2:AH31),$AH$2:$AH$1001,0),MATCH(COLUMNS($AO$1006:AT1006),$AO$1006:$BQ$1006,0)), HYPERLINK("#",""), HYPERLINK(CONCATENATE("#Metadata!", ADDRESS(INDEX($AJ$2:$AJ$1001,MATCH(ROWS($AH$2:AH31),$AH$2:$AH$1001,0),0), INDEX($AO$1004:$BQ$1004,1,MATCH(COLUMNS($AO$1006:AT1006),$AO$1006:$BQ$1006,0)))),"Fix")))</f>
        <v>#N/A</v>
      </c>
      <c r="H31" s="5" t="e">
        <f ca="1">IF(OR(INDEX($AI$2:$AI$1001,MATCH(ROWS($AH$2:AH31),$AH$2:$AH$1001,0),1)&gt;=100000,INDEX($AO$1005:$BQ$1005,1,MATCH(COLUMNS($AO$1006:AU1006),$AO$1006:$BQ$1006,0))&gt;=100000), " ",IF(INDEX($AO$2:$BQ$1001,MATCH(ROWS($AH$2:AH31),$AH$2:$AH$1001,0),MATCH(COLUMNS($AO$1006:AU1006),$AO$1006:$BQ$1006,0)), HYPERLINK("#",""), HYPERLINK(CONCATENATE("#Metadata!", ADDRESS(INDEX($AJ$2:$AJ$1001,MATCH(ROWS($AH$2:AH31),$AH$2:$AH$1001,0),0), INDEX($AO$1004:$BQ$1004,1,MATCH(COLUMNS($AO$1006:AU1006),$AO$1006:$BQ$1006,0)))),"Fix")))</f>
        <v>#N/A</v>
      </c>
      <c r="I31" s="5" t="e">
        <f ca="1">IF(OR(INDEX($AI$2:$AI$1001,MATCH(ROWS($AH$2:AH31),$AH$2:$AH$1001,0),1)&gt;=100000,INDEX($AO$1005:$BQ$1005,1,MATCH(COLUMNS($AO$1006:AV1006),$AO$1006:$BQ$1006,0))&gt;=100000), " ",IF(INDEX($AO$2:$BQ$1001,MATCH(ROWS($AH$2:AH31),$AH$2:$AH$1001,0),MATCH(COLUMNS($AO$1006:AV1006),$AO$1006:$BQ$1006,0)), HYPERLINK("#",""), HYPERLINK(CONCATENATE("#Metadata!", ADDRESS(INDEX($AJ$2:$AJ$1001,MATCH(ROWS($AH$2:AH31),$AH$2:$AH$1001,0),0), INDEX($AO$1004:$BQ$1004,1,MATCH(COLUMNS($AO$1006:AV1006),$AO$1006:$BQ$1006,0)))),"Fix")))</f>
        <v>#N/A</v>
      </c>
      <c r="J31" s="5" t="e">
        <f ca="1">IF(OR(INDEX($AI$2:$AI$1001,MATCH(ROWS($AH$2:AH31),$AH$2:$AH$1001,0),1)&gt;=100000,INDEX($AO$1005:$BQ$1005,1,MATCH(COLUMNS($AO$1006:AW1006),$AO$1006:$BQ$1006,0))&gt;=100000), " ",IF(INDEX($AO$2:$BQ$1001,MATCH(ROWS($AH$2:AH31),$AH$2:$AH$1001,0),MATCH(COLUMNS($AO$1006:AW1006),$AO$1006:$BQ$1006,0)), HYPERLINK("#",""), HYPERLINK(CONCATENATE("#Metadata!", ADDRESS(INDEX($AJ$2:$AJ$1001,MATCH(ROWS($AH$2:AH31),$AH$2:$AH$1001,0),0), INDEX($AO$1004:$BQ$1004,1,MATCH(COLUMNS($AO$1006:AW1006),$AO$1006:$BQ$1006,0)))),"Fix")))</f>
        <v>#N/A</v>
      </c>
      <c r="K31" s="5" t="e">
        <f ca="1">IF(OR(INDEX($AI$2:$AI$1001,MATCH(ROWS($AH$2:AH31),$AH$2:$AH$1001,0),1)&gt;=100000,INDEX($AO$1005:$BQ$1005,1,MATCH(COLUMNS($AO$1006:AX1006),$AO$1006:$BQ$1006,0))&gt;=100000), " ",IF(INDEX($AO$2:$BQ$1001,MATCH(ROWS($AH$2:AH31),$AH$2:$AH$1001,0),MATCH(COLUMNS($AO$1006:AX1006),$AO$1006:$BQ$1006,0)), HYPERLINK("#",""), HYPERLINK(CONCATENATE("#Metadata!", ADDRESS(INDEX($AJ$2:$AJ$1001,MATCH(ROWS($AH$2:AH31),$AH$2:$AH$1001,0),0), INDEX($AO$1004:$BQ$1004,1,MATCH(COLUMNS($AO$1006:AX1006),$AO$1006:$BQ$1006,0)))),"Fix")))</f>
        <v>#N/A</v>
      </c>
      <c r="L31" s="5" t="e">
        <f ca="1">IF(OR(INDEX($AI$2:$AI$1001,MATCH(ROWS($AH$2:AH31),$AH$2:$AH$1001,0),1)&gt;=100000,INDEX($AO$1005:$BQ$1005,1,MATCH(COLUMNS($AO$1006:AY1006),$AO$1006:$BQ$1006,0))&gt;=100000), " ",IF(INDEX($AO$2:$BQ$1001,MATCH(ROWS($AH$2:AH31),$AH$2:$AH$1001,0),MATCH(COLUMNS($AO$1006:AY1006),$AO$1006:$BQ$1006,0)), HYPERLINK("#",""), HYPERLINK(CONCATENATE("#Metadata!", ADDRESS(INDEX($AJ$2:$AJ$1001,MATCH(ROWS($AH$2:AH31),$AH$2:$AH$1001,0),0), INDEX($AO$1004:$BQ$1004,1,MATCH(COLUMNS($AO$1006:AY1006),$AO$1006:$BQ$1006,0)))),"Fix")))</f>
        <v>#N/A</v>
      </c>
      <c r="M31" s="5" t="e">
        <f ca="1">IF(OR(INDEX($AI$2:$AI$1001,MATCH(ROWS($AH$2:AH31),$AH$2:$AH$1001,0),1)&gt;=100000,INDEX($AO$1005:$BQ$1005,1,MATCH(COLUMNS($AO$1006:AZ1006),$AO$1006:$BQ$1006,0))&gt;=100000), " ",IF(INDEX($AO$2:$BQ$1001,MATCH(ROWS($AH$2:AH31),$AH$2:$AH$1001,0),MATCH(COLUMNS($AO$1006:AZ1006),$AO$1006:$BQ$1006,0)), HYPERLINK("#",""), HYPERLINK(CONCATENATE("#Metadata!", ADDRESS(INDEX($AJ$2:$AJ$1001,MATCH(ROWS($AH$2:AH31),$AH$2:$AH$1001,0),0), INDEX($AO$1004:$BQ$1004,1,MATCH(COLUMNS($AO$1006:AZ1006),$AO$1006:$BQ$1006,0)))),"Fix")))</f>
        <v>#N/A</v>
      </c>
      <c r="N31" s="5" t="e">
        <f ca="1">IF(OR(INDEX($AI$2:$AI$1001,MATCH(ROWS($AH$2:AH31),$AH$2:$AH$1001,0),1)&gt;=100000,INDEX($AO$1005:$BQ$1005,1,MATCH(COLUMNS($AO$1006:BA1006),$AO$1006:$BQ$1006,0))&gt;=100000), " ",IF(INDEX($AO$2:$BQ$1001,MATCH(ROWS($AH$2:AH31),$AH$2:$AH$1001,0),MATCH(COLUMNS($AO$1006:BA1006),$AO$1006:$BQ$1006,0)), HYPERLINK("#",""), HYPERLINK(CONCATENATE("#Metadata!", ADDRESS(INDEX($AJ$2:$AJ$1001,MATCH(ROWS($AH$2:AH31),$AH$2:$AH$1001,0),0), INDEX($AO$1004:$BQ$1004,1,MATCH(COLUMNS($AO$1006:BA1006),$AO$1006:$BQ$1006,0)))),"Fix")))</f>
        <v>#N/A</v>
      </c>
      <c r="O31" s="5" t="e">
        <f ca="1">IF(OR(INDEX($AI$2:$AI$1001,MATCH(ROWS($AH$2:AH31),$AH$2:$AH$1001,0),1)&gt;=100000,INDEX($AO$1005:$BQ$1005,1,MATCH(COLUMNS($AO$1006:BB1006),$AO$1006:$BQ$1006,0))&gt;=100000), " ",IF(INDEX($AO$2:$BQ$1001,MATCH(ROWS($AH$2:AH31),$AH$2:$AH$1001,0),MATCH(COLUMNS($AO$1006:BB1006),$AO$1006:$BQ$1006,0)), HYPERLINK("#",""), HYPERLINK(CONCATENATE("#Metadata!", ADDRESS(INDEX($AJ$2:$AJ$1001,MATCH(ROWS($AH$2:AH31),$AH$2:$AH$1001,0),0), INDEX($AO$1004:$BQ$1004,1,MATCH(COLUMNS($AO$1006:BB1006),$AO$1006:$BQ$1006,0)))),"Fix")))</f>
        <v>#N/A</v>
      </c>
      <c r="P31" s="5" t="e">
        <f ca="1">IF(OR(INDEX($AI$2:$AI$1001,MATCH(ROWS($AH$2:AH31),$AH$2:$AH$1001,0),1)&gt;=100000,INDEX($AO$1005:$BQ$1005,1,MATCH(COLUMNS($AO$1006:BC1006),$AO$1006:$BQ$1006,0))&gt;=100000), " ",IF(INDEX($AO$2:$BQ$1001,MATCH(ROWS($AH$2:AH31),$AH$2:$AH$1001,0),MATCH(COLUMNS($AO$1006:BC1006),$AO$1006:$BQ$1006,0)), HYPERLINK("#",""), HYPERLINK(CONCATENATE("#Metadata!", ADDRESS(INDEX($AJ$2:$AJ$1001,MATCH(ROWS($AH$2:AH31),$AH$2:$AH$1001,0),0), INDEX($AO$1004:$BQ$1004,1,MATCH(COLUMNS($AO$1006:BC1006),$AO$1006:$BQ$1006,0)))),"Fix")))</f>
        <v>#N/A</v>
      </c>
      <c r="Q31" s="5" t="e">
        <f ca="1">IF(OR(INDEX($AI$2:$AI$1001,MATCH(ROWS($AH$2:AH31),$AH$2:$AH$1001,0),1)&gt;=100000,INDEX($AO$1005:$BQ$1005,1,MATCH(COLUMNS($AO$1006:BD1006),$AO$1006:$BQ$1006,0))&gt;=100000), " ",IF(INDEX($AO$2:$BQ$1001,MATCH(ROWS($AH$2:AH31),$AH$2:$AH$1001,0),MATCH(COLUMNS($AO$1006:BD1006),$AO$1006:$BQ$1006,0)), HYPERLINK("#",""), HYPERLINK(CONCATENATE("#Metadata!", ADDRESS(INDEX($AJ$2:$AJ$1001,MATCH(ROWS($AH$2:AH31),$AH$2:$AH$1001,0),0), INDEX($AO$1004:$BQ$1004,1,MATCH(COLUMNS($AO$1006:BD1006),$AO$1006:$BQ$1006,0)))),"Fix")))</f>
        <v>#N/A</v>
      </c>
      <c r="R31" s="5" t="e">
        <f ca="1">IF(OR(INDEX($AI$2:$AI$1001,MATCH(ROWS($AH$2:AH31),$AH$2:$AH$1001,0),1)&gt;=100000,INDEX($AO$1005:$BQ$1005,1,MATCH(COLUMNS($AO$1006:BE1006),$AO$1006:$BQ$1006,0))&gt;=100000), " ",IF(INDEX($AO$2:$BQ$1001,MATCH(ROWS($AH$2:AH31),$AH$2:$AH$1001,0),MATCH(COLUMNS($AO$1006:BE1006),$AO$1006:$BQ$1006,0)), HYPERLINK("#",""), HYPERLINK(CONCATENATE("#Metadata!", ADDRESS(INDEX($AJ$2:$AJ$1001,MATCH(ROWS($AH$2:AH31),$AH$2:$AH$1001,0),0), INDEX($AO$1004:$BQ$1004,1,MATCH(COLUMNS($AO$1006:BE1006),$AO$1006:$BQ$1006,0)))),"Fix")))</f>
        <v>#N/A</v>
      </c>
      <c r="S31" s="5" t="e">
        <f ca="1">IF(OR(INDEX($AI$2:$AI$1001,MATCH(ROWS($AH$2:AH31),$AH$2:$AH$1001,0),1)&gt;=100000,INDEX($AO$1005:$BQ$1005,1,MATCH(COLUMNS($AO$1006:BF1006),$AO$1006:$BQ$1006,0))&gt;=100000), " ",IF(INDEX($AO$2:$BQ$1001,MATCH(ROWS($AH$2:AH31),$AH$2:$AH$1001,0),MATCH(COLUMNS($AO$1006:BF1006),$AO$1006:$BQ$1006,0)), HYPERLINK("#",""), HYPERLINK(CONCATENATE("#Metadata!", ADDRESS(INDEX($AJ$2:$AJ$1001,MATCH(ROWS($AH$2:AH31),$AH$2:$AH$1001,0),0), INDEX($AO$1004:$BQ$1004,1,MATCH(COLUMNS($AO$1006:BF1006),$AO$1006:$BQ$1006,0)))),"Fix")))</f>
        <v>#N/A</v>
      </c>
      <c r="T31" s="5" t="e">
        <f ca="1">IF(OR(INDEX($AI$2:$AI$1001,MATCH(ROWS($AH$2:AH31),$AH$2:$AH$1001,0),1)&gt;=100000,INDEX($AO$1005:$BQ$1005,1,MATCH(COLUMNS($AO$1006:BG1006),$AO$1006:$BQ$1006,0))&gt;=100000), " ",IF(INDEX($AO$2:$BQ$1001,MATCH(ROWS($AH$2:AH31),$AH$2:$AH$1001,0),MATCH(COLUMNS($AO$1006:BG1006),$AO$1006:$BQ$1006,0)), HYPERLINK("#",""), HYPERLINK(CONCATENATE("#Metadata!", ADDRESS(INDEX($AJ$2:$AJ$1001,MATCH(ROWS($AH$2:AH31),$AH$2:$AH$1001,0),0), INDEX($AO$1004:$BQ$1004,1,MATCH(COLUMNS($AO$1006:BG1006),$AO$1006:$BQ$1006,0)))),"Fix")))</f>
        <v>#N/A</v>
      </c>
      <c r="U31" s="5" t="e">
        <f ca="1">IF(OR(INDEX($AI$2:$AI$1001,MATCH(ROWS($AH$2:AH31),$AH$2:$AH$1001,0),1)&gt;=100000,INDEX($AO$1005:$BQ$1005,1,MATCH(COLUMNS($AO$1006:BH1006),$AO$1006:$BQ$1006,0))&gt;=100000), " ",IF(INDEX($AO$2:$BQ$1001,MATCH(ROWS($AH$2:AH31),$AH$2:$AH$1001,0),MATCH(COLUMNS($AO$1006:BH1006),$AO$1006:$BQ$1006,0)), HYPERLINK("#",""), HYPERLINK(CONCATENATE("#Metadata!", ADDRESS(INDEX($AJ$2:$AJ$1001,MATCH(ROWS($AH$2:AH31),$AH$2:$AH$1001,0),0), INDEX($AO$1004:$BQ$1004,1,MATCH(COLUMNS($AO$1006:BH1006),$AO$1006:$BQ$1006,0)))),"Fix")))</f>
        <v>#N/A</v>
      </c>
      <c r="V31" s="5" t="e">
        <f ca="1">IF(OR(INDEX($AI$2:$AI$1001,MATCH(ROWS($AH$2:AH31),$AH$2:$AH$1001,0),1)&gt;=100000,INDEX($AO$1005:$BQ$1005,1,MATCH(COLUMNS($AO$1006:BI1006),$AO$1006:$BQ$1006,0))&gt;=100000), " ",IF(INDEX($AO$2:$BQ$1001,MATCH(ROWS($AH$2:AH31),$AH$2:$AH$1001,0),MATCH(COLUMNS($AO$1006:BI1006),$AO$1006:$BQ$1006,0)), HYPERLINK("#",""), HYPERLINK(CONCATENATE("#Metadata!", ADDRESS(INDEX($AJ$2:$AJ$1001,MATCH(ROWS($AH$2:AH31),$AH$2:$AH$1001,0),0), INDEX($AO$1004:$BQ$1004,1,MATCH(COLUMNS($AO$1006:BI1006),$AO$1006:$BQ$1006,0)))),"Fix")))</f>
        <v>#N/A</v>
      </c>
      <c r="W31" s="5" t="e">
        <f ca="1">IF(OR(INDEX($AI$2:$AI$1001,MATCH(ROWS($AH$2:AH31),$AH$2:$AH$1001,0),1)&gt;=100000,INDEX($AO$1005:$BQ$1005,1,MATCH(COLUMNS($AO$1006:BJ1006),$AO$1006:$BQ$1006,0))&gt;=100000), " ",IF(INDEX($AO$2:$BQ$1001,MATCH(ROWS($AH$2:AH31),$AH$2:$AH$1001,0),MATCH(COLUMNS($AO$1006:BJ1006),$AO$1006:$BQ$1006,0)), HYPERLINK("#",""), HYPERLINK(CONCATENATE("#Metadata!", ADDRESS(INDEX($AJ$2:$AJ$1001,MATCH(ROWS($AH$2:AH31),$AH$2:$AH$1001,0),0), INDEX($AO$1004:$BQ$1004,1,MATCH(COLUMNS($AO$1006:BJ1006),$AO$1006:$BQ$1006,0)))),"Fix")))</f>
        <v>#N/A</v>
      </c>
      <c r="X31" s="5" t="e">
        <f ca="1">IF(OR(INDEX($AI$2:$AI$1001,MATCH(ROWS($AH$2:AH31),$AH$2:$AH$1001,0),1)&gt;=100000,INDEX($AO$1005:$BQ$1005,1,MATCH(COLUMNS($AO$1006:BK1006),$AO$1006:$BQ$1006,0))&gt;=100000), " ",IF(INDEX($AO$2:$BQ$1001,MATCH(ROWS($AH$2:AH31),$AH$2:$AH$1001,0),MATCH(COLUMNS($AO$1006:BK1006),$AO$1006:$BQ$1006,0)), HYPERLINK("#",""), HYPERLINK(CONCATENATE("#Metadata!", ADDRESS(INDEX($AJ$2:$AJ$1001,MATCH(ROWS($AH$2:AH31),$AH$2:$AH$1001,0),0), INDEX($AO$1004:$BQ$1004,1,MATCH(COLUMNS($AO$1006:BK1006),$AO$1006:$BQ$1006,0)))),"Fix")))</f>
        <v>#N/A</v>
      </c>
      <c r="Y31" s="5" t="e">
        <f ca="1">IF(OR(INDEX($AI$2:$AI$1001,MATCH(ROWS($AH$2:AH31),$AH$2:$AH$1001,0),1)&gt;=100000,INDEX($AO$1005:$BQ$1005,1,MATCH(COLUMNS($AO$1006:BL1006),$AO$1006:$BQ$1006,0))&gt;=100000), " ",IF(INDEX($AO$2:$BQ$1001,MATCH(ROWS($AH$2:AH31),$AH$2:$AH$1001,0),MATCH(COLUMNS($AO$1006:BL1006),$AO$1006:$BQ$1006,0)), HYPERLINK("#",""), HYPERLINK(CONCATENATE("#Metadata!", ADDRESS(INDEX($AJ$2:$AJ$1001,MATCH(ROWS($AH$2:AH31),$AH$2:$AH$1001,0),0), INDEX($AO$1004:$BQ$1004,1,MATCH(COLUMNS($AO$1006:BL1006),$AO$1006:$BQ$1006,0)))),"Fix")))</f>
        <v>#N/A</v>
      </c>
      <c r="Z31" s="5" t="e">
        <f ca="1">IF(OR(INDEX($AI$2:$AI$1001,MATCH(ROWS($AH$2:AH31),$AH$2:$AH$1001,0),1)&gt;=100000,INDEX($AO$1005:$BQ$1005,1,MATCH(COLUMNS($AO$1006:BM1006),$AO$1006:$BQ$1006,0))&gt;=100000), " ",IF(INDEX($AO$2:$BQ$1001,MATCH(ROWS($AH$2:AH31),$AH$2:$AH$1001,0),MATCH(COLUMNS($AO$1006:BM1006),$AO$1006:$BQ$1006,0)), HYPERLINK("#",""), HYPERLINK(CONCATENATE("#Metadata!", ADDRESS(INDEX($AJ$2:$AJ$1001,MATCH(ROWS($AH$2:AH31),$AH$2:$AH$1001,0),0), INDEX($AO$1004:$BQ$1004,1,MATCH(COLUMNS($AO$1006:BM1006),$AO$1006:$BQ$1006,0)))),"Fix")))</f>
        <v>#N/A</v>
      </c>
      <c r="AA31" s="5" t="e">
        <f ca="1">IF(OR(INDEX($AI$2:$AI$1001,MATCH(ROWS($AH$2:AH31),$AH$2:$AH$1001,0),1)&gt;=100000,INDEX($AO$1005:$BQ$1005,1,MATCH(COLUMNS($AO$1006:BN1006),$AO$1006:$BQ$1006,0))&gt;=100000), " ",IF(INDEX($AO$2:$BQ$1001,MATCH(ROWS($AH$2:AH31),$AH$2:$AH$1001,0),MATCH(COLUMNS($AO$1006:BN1006),$AO$1006:$BQ$1006,0)), HYPERLINK("#",""), HYPERLINK(CONCATENATE("#Metadata!", ADDRESS(INDEX($AJ$2:$AJ$1001,MATCH(ROWS($AH$2:AH31),$AH$2:$AH$1001,0),0), INDEX($AO$1004:$BQ$1004,1,MATCH(COLUMNS($AO$1006:BN1006),$AO$1006:$BQ$1006,0)))),"Fix")))</f>
        <v>#N/A</v>
      </c>
      <c r="AB31" s="5" t="e">
        <f ca="1">IF(OR(INDEX($AI$2:$AI$1001,MATCH(ROWS($AH$2:AH31),$AH$2:$AH$1001,0),1)&gt;=100000,INDEX($AO$1005:$BQ$1005,1,MATCH(COLUMNS($AO$1006:BO1006),$AO$1006:$BQ$1006,0))&gt;=100000), " ",IF(INDEX($AO$2:$BQ$1001,MATCH(ROWS($AH$2:AH31),$AH$2:$AH$1001,0),MATCH(COLUMNS($AO$1006:BO1006),$AO$1006:$BQ$1006,0)), HYPERLINK("#",""), HYPERLINK(CONCATENATE("#Metadata!", ADDRESS(INDEX($AJ$2:$AJ$1001,MATCH(ROWS($AH$2:AH31),$AH$2:$AH$1001,0),0), INDEX($AO$1004:$BQ$1004,1,MATCH(COLUMNS($AO$1006:BO1006),$AO$1006:$BQ$1006,0)))),"Fix")))</f>
        <v>#N/A</v>
      </c>
      <c r="AC31" s="5" t="e">
        <f ca="1">IF(OR(INDEX($AI$2:$AI$1001,MATCH(ROWS($AH$2:AH31),$AH$2:$AH$1001,0),1)&gt;=100000,INDEX($AO$1005:$BQ$1005,1,MATCH(COLUMNS($AO$1006:BP1006),$AO$1006:$BQ$1006,0))&gt;=100000), " ",IF(INDEX($AO$2:$BQ$1001,MATCH(ROWS($AH$2:AH31),$AH$2:$AH$1001,0),MATCH(COLUMNS($AO$1006:BP1006),$AO$1006:$BQ$1006,0)), HYPERLINK("#",""), HYPERLINK(CONCATENATE("#Metadata!", ADDRESS(INDEX($AJ$2:$AJ$1001,MATCH(ROWS($AH$2:AH31),$AH$2:$AH$1001,0),0), INDEX($AO$1004:$BQ$1004,1,MATCH(COLUMNS($AO$1006:BP1006),$AO$1006:$BQ$1006,0)))),"Fix")))</f>
        <v>#N/A</v>
      </c>
      <c r="AD31" s="5" t="e">
        <f ca="1">IF(OR(INDEX($AI$2:$AI$1001,MATCH(ROWS($AH$2:AH31),$AH$2:$AH$1001,0),1)&gt;=100000,INDEX($AO$1005:$BQ$1005,1,MATCH(COLUMNS($AO$1006:BQ1006),$AO$1006:$BQ$1006,0))&gt;=100000), " ",IF(INDEX($AO$2:$BQ$1001,MATCH(ROWS($AH$2:AH31),$AH$2:$AH$1001,0),MATCH(COLUMNS($AO$1006:BQ1006),$AO$1006:$BQ$1006,0)), HYPERLINK("#",""), HYPERLINK(CONCATENATE("#Metadata!", ADDRESS(INDEX($AJ$2:$AJ$1001,MATCH(ROWS($AH$2:AH31),$AH$2:$AH$1001,0),0), INDEX($AO$1004:$BQ$1004,1,MATCH(COLUMNS($AO$1006:BQ1006),$AO$1006:$BQ$1006,0)))),"Fix")))</f>
        <v>#REF!</v>
      </c>
      <c r="AH31">
        <f ca="1"/>
        <v>29</v>
      </c>
      <c r="AI31">
        <f ca="1"/>
        <v>31</v>
      </c>
      <c r="AJ31">
        <v>31</v>
      </c>
      <c r="AK31" t="b">
        <f t="shared" ca="1" si="0"/>
        <v>0</v>
      </c>
      <c r="AL31" t="b">
        <f>COUNTBLANK(Metadata!B31:AD31)=COLUMNS(Metadata!B31:AD31)</f>
        <v>0</v>
      </c>
      <c r="AM31" t="str">
        <v>Environment.Side.2.BTP.257Sterile.water</v>
      </c>
      <c r="AO31" t="b">
        <f ca="1">AND(IF(Metadata!B30="",FALSE,TRUE),COUNTIF(Metadata!B:B, Metadata!B30) = 1,NOT(ISERROR(SUMPRODUCT(SEARCH(MID(Metadata!B30,ROW(INDIRECT("1:"&amp;LEN(Metadata!B30))), 1),"0123456789abcdefghijklmnopqrstuvwxyzABCDEFGHIJKLMNOPQRSTUVWXYZ.")))))</f>
        <v>1</v>
      </c>
      <c r="AP31" t="b">
        <f>IF(Metadata!C30="",FALSE,TRUE)</f>
        <v>1</v>
      </c>
      <c r="AQ31" t="b">
        <f>IF(Metadata!D30="",FALSE,TRUE)</f>
        <v>1</v>
      </c>
      <c r="AR31" t="b">
        <f ca="1">OR(AND(IF(Metadata!E30="",FALSE,TRUE),OR(EXACT(Metadata!E30,"not collected"),EXACT(Metadata!E30,"not provided"),EXACT(Metadata!E30,"restricted access"))),AND(IF(Metadata!E30="",FALSE,TRUE),AND(AND(IFERROR(INT(LEFT(Metadata!E30,4))&gt;1900,FALSE),IFERROR(INT(LEFT(Metadata!E30,4))&lt;=YEAR(NOW()),FALSE)), OR(MID(Metadata!E30,5,1)="", AND(AND(MID(Metadata!E30,5,1)="-",IFERROR(INT(MID(Metadata!E30,6,1))&gt;=0,FALSE),IFERROR(INT(MID(Metadata!E30,6,1))&lt;=1,FALSE),NOT(MID(Metadata!E30,7,1)=""),IFERROR(INT(MID(Metadata!E30,6,2))&gt;=1,FALSE),IFERROR(INT(MID(Metadata!E30,6,2))&lt;=12,FALSE)), OR(MID(Metadata!E30,8,1)="", AND(AND(MID(Metadata!E30,8,1)="-",IFERROR(INT(MID(Metadata!E30,9,1))&gt;=0,FALSE),IFERROR(INT(MID(Metadata!E30,9,1))&lt;=3,FALSE),NOT(MID(Metadata!E30,10,1)=""),IFERROR(INT(MID(Metadata!E30,9,2))&gt;=1,FALSE),IFERROR(INT(MID(Metadata!E30,9,2))&lt;=31,FALSE)), OR(MID(Metadata!E30,11,1)="", AND(AND(MID(Metadata!E30,11,1)=" ",IFERROR(INT(MID(Metadata!E30,12,1))&gt;=0,FALSE),IFERROR(INT(MID(Metadata!E30,12,1))&lt;=2,FALSE),NOT(MID(Metadata!E30,13,1)=""),IFERROR(INT(MID(Metadata!E30,12,2))&gt;=0,FALSE),IFERROR(INT(MID(Metadata!E30,12,2))&lt;=23,FALSE)), OR(MID(Metadata!E30,14,1)="", AND(AND(MID(Metadata!E30,14,1)=":",IFERROR(INT(MID(Metadata!E30,15,1))&gt;=0,FALSE),IFERROR(INT(MID(Metadata!E30,15,1))&lt;=5,FALSE),NOT(MID(Metadata!E30,16,1)=""),IFERROR(INT(MID(Metadata!E30,15,2))&gt;=0,FALSE),IFERROR(INT(MID(Metadata!E30,15,2))&lt;=59,FALSE)), OR(MID(Metadata!E30,17,1)="", AND(AND(MID(Metadata!E30,17,1)=":",IFERROR(INT(MID(Metadata!E30,18,1))&gt;=0,FALSE),IFERROR(INT(MID(Metadata!E30,18,1))&lt;=5,FALSE),NOT(MID(Metadata!E30,19,1)=""),IFERROR(INT(MID(Metadata!E30,18,2))&gt;=0,FALSE),IFERROR(INT(MID(Metadata!E30,18,2))&lt;=59,FALSE)), LEN(Metadata!E30)&lt;=19)))))))))))))</f>
        <v>0</v>
      </c>
      <c r="AS31" t="b">
        <f>IF(Metadata!F30="",FALSE,TRUE)</f>
        <v>1</v>
      </c>
      <c r="AT31" t="b">
        <f>OR(AND(IF(Metadata!G30="",FALSE,TRUE),OR(EXACT(Metadata!G30,"not collected"),EXACT(Metadata!G30,"not provided"))),AND(IF(Metadata!G30="",FALSE,TRUE),OR(EXACT(Metadata!G30,"TRUE"),EXACT(Metadata!G30,"FALSE"))))</f>
        <v>1</v>
      </c>
      <c r="AU31" t="b">
        <f>OR(AND(IF(Metadata!H30="",FALSE,TRUE),OR(EXACT(Metadata!H30,"not collected"),EXACT(Metadata!H30,"not provided"),EXACT(Metadata!H30,"restricted access"))),AND(IF(Metadata!H30="",FALSE,ISNUMBER(VALUE(Metadata!H30))),Metadata!H30&gt;=-413))</f>
        <v>0</v>
      </c>
      <c r="AV31" t="b">
        <f>AND(IF(Metadata!I30="",FALSE,TRUE),EXACT(Metadata!I30,"meters"))</f>
        <v>1</v>
      </c>
      <c r="AW31" t="b">
        <f>AND(IF(Metadata!J30="",FALSE,TRUE),EXACT(Metadata!J30,"free-living"))</f>
        <v>1</v>
      </c>
      <c r="AX31" t="b">
        <f>AND(IF(Metadata!K30="",FALSE,TRUE),OR(EXACT(Metadata!K30,"saline"),EXACT(Metadata!K30,"non-saline")))</f>
        <v>1</v>
      </c>
      <c r="AY31" t="b">
        <f>AND(IF(Metadata!L30="",FALSE,TRUE),OR(EXACT(Metadata!L30,"sub-surface (non-saline)"),EXACT(Metadata!L30,"surface (non-saline)"),EXACT(Metadata!L30,"water (non-saline)"),EXACT(Metadata!L30,"soil (non-saline)"),EXACT(Metadata!L30,"aerosol (non-saline)"),EXACT(Metadata!L30,"sediment (non-saline)"),EXACT(Metadata!L30,"surface (saline)"),EXACT(Metadata!L30,"water (saline)"),EXACT(Metadata!L30,"hypersaline (saline)"),EXACT(Metadata!L30,"aerosol (saline)"),EXACT(Metadata!L30,"sediment (saline)")))</f>
        <v>1</v>
      </c>
      <c r="AZ31" t="b">
        <f>IF(Metadata!M30="",FALSE,TRUE)</f>
        <v>1</v>
      </c>
      <c r="BA31" t="b">
        <f>IF(Metadata!N30="",FALSE,TRUE)</f>
        <v>1</v>
      </c>
      <c r="BB31" t="b">
        <f>IF(Metadata!O30="",FALSE,TRUE)</f>
        <v>1</v>
      </c>
      <c r="BC31" t="b">
        <f>AND(IF(Metadata!P30="",FALSE,TRUE),OR(EXACT(Metadata!P30,"air"),EXACT(Metadata!P30,"microbial mat/biofilm"),EXACT(Metadata!P30,"misc environment"),EXACT(Metadata!P30,"sediment"),EXACT(Metadata!P30,"soil"),EXACT(Metadata!P30,"wastewater/sludge"),EXACT(Metadata!P30,"water")))</f>
        <v>1</v>
      </c>
      <c r="BD31" t="b">
        <f>IF(Metadata!Q30="",FALSE,TRUE)</f>
        <v>1</v>
      </c>
      <c r="BE31" t="b">
        <f>IF(Metadata!R30="",FALSE,TRUE)</f>
        <v>1</v>
      </c>
      <c r="BF31" t="b">
        <f>OR(AND(IF(Metadata!S30="",FALSE,TRUE),OR(EXACT(Metadata!S30,"not collected"),EXACT(Metadata!S30,"not provided"),EXACT(Metadata!S30,"restricted access"))),AND(IF(Metadata!S30="",FALSE,ISNUMBER(VALUE(Metadata!S30))),Metadata!S30&gt;=-90,Metadata!S30&lt;=90))</f>
        <v>0</v>
      </c>
      <c r="BG31" t="b">
        <f>AND(IF(Metadata!T30="",FALSE,TRUE),EXACT(Metadata!T30,"Decimal degrees"))</f>
        <v>1</v>
      </c>
      <c r="BH31" t="b">
        <f>OR(AND(IF(Metadata!U31="",FALSE,TRUE),OR(EXACT(Metadata!U31,"not applicable"),EXACT(Metadata!U31,"not collected"))),IF(Metadata!U31="",FALSE,TRUE))</f>
        <v>1</v>
      </c>
      <c r="BI31" t="b">
        <f>OR(AND(IF(Metadata!V30="",FALSE,TRUE),OR(EXACT(Metadata!V30,"not collected"),EXACT(Metadata!V30,"not provided"),EXACT(Metadata!V30,"restricted access"))),AND(IF(Metadata!V30="",FALSE,ISNUMBER(VALUE(Metadata!V30))),Metadata!V30&gt;=-180,Metadata!V30&lt;=180))</f>
        <v>0</v>
      </c>
      <c r="BJ31" t="b">
        <f>AND(IF(Metadata!W30="",FALSE,TRUE),EXACT(Metadata!W30,"Decimal degrees"))</f>
        <v>1</v>
      </c>
      <c r="BK31" t="b">
        <f>IF(Metadata!X30="",FALSE,TRUE)</f>
        <v>1</v>
      </c>
      <c r="BL31" t="b">
        <f>OR(AND(IF(Metadata!Y30="",FALSE,TRUE),OR(EXACT(Metadata!Y30,"not collected"),EXACT(Metadata!Y30,"not provided"),EXACT(Metadata!Y30,"restricted access"))),AND(IF(Metadata!Y30="",FALSE,TRUE),OR(EXACT(Metadata!Y30,"TRUE"),EXACT(Metadata!Y30,"FALSE"))))</f>
        <v>1</v>
      </c>
      <c r="BM31" t="b">
        <f>OR(AND(IF(Metadata!Z30="",FALSE,TRUE),EXACT(Metadata!Z30,"not applicable")),AND(IF(Metadata!Z30="",FALSE,TRUE),OR(EXACT(Metadata!Z30,"beer"),EXACT(Metadata!Z30,"cheese"),EXACT(Metadata!Z30,"fresh water"),EXACT(Metadata!Z30,"marine sediment"),EXACT(Metadata!Z30,"sea water"),EXACT(Metadata!Z30,"sediment"),EXACT(Metadata!Z30,"soil"),EXACT(Metadata!Z30,"waste water"))))</f>
        <v>1</v>
      </c>
      <c r="BN31" t="b">
        <f>AND(IF(Metadata!AA30="",FALSE,TRUE),EXACT(Metadata!AA30,"metagenome"))</f>
        <v>1</v>
      </c>
      <c r="BO31" t="b">
        <f>AND(IF(Metadata!AB30="",FALSE,TRUE),EXACT(Metadata!AB30,"256318"))</f>
        <v>1</v>
      </c>
      <c r="BP31" t="b">
        <f>IF(Metadata!AC30="",FALSE,TRUE)</f>
        <v>1</v>
      </c>
      <c r="BQ31" t="b">
        <f>IF(Metadata!AD30="",FALSE,TRUE)</f>
        <v>1</v>
      </c>
    </row>
    <row r="32" spans="1:69" x14ac:dyDescent="0.2">
      <c r="A32" s="4" t="e">
        <f ca="1">IF(B32=" "," ",HYPERLINK(CONCATENATE("#metadata!",ADDRESS(INDEX($AJ$2:$AJ$1001,MATCH(ROWS($AH$2:AH32),$AH$2:$AH$1001,0),0),2)),INDEX($AM$2:$AM$1001,MATCH(ROWS($AH$2:AH32),$AH$2:$AH$1001,0),0)))</f>
        <v>#N/A</v>
      </c>
      <c r="B32" s="5" t="e">
        <f ca="1">IF(OR(INDEX($AI$2:$AI$1001,MATCH(ROWS($AH$2:AH32),$AH$2:$AH$1001,0),1)&gt;=100000,INDEX($AO$1005:$BQ$1005,1,MATCH(COLUMNS($AO$1006:AO1006),$AO$1006:$BQ$1006,0))&gt;=100000), " ",IF(INDEX($AO$2:$BQ$1001,MATCH(ROWS($AH$2:AH32),$AH$2:$AH$1001,0),MATCH(COLUMNS($AO$1006:AO1006),$AO$1006:$BQ$1006,0)), HYPERLINK("#",""), HYPERLINK(CONCATENATE("#Metadata!", ADDRESS(INDEX($AJ$2:$AJ$1001,MATCH(ROWS($AH$2:AH32),$AH$2:$AH$1001,0),0), INDEX($AO$1004:$BQ$1004,1,MATCH(COLUMNS($AO$1006:AO1006),$AO$1006:$BQ$1006,0)))),"Fix")))</f>
        <v>#N/A</v>
      </c>
      <c r="C32" s="5" t="e">
        <f ca="1">IF(OR(INDEX($AI$2:$AI$1001,MATCH(ROWS($AH$2:AH32),$AH$2:$AH$1001,0),1)&gt;=100000,INDEX($AO$1005:$BQ$1005,1,MATCH(COLUMNS($AO$1006:AP1006),$AO$1006:$BQ$1006,0))&gt;=100000), " ",IF(INDEX($AO$2:$BQ$1001,MATCH(ROWS($AH$2:AH32),$AH$2:$AH$1001,0),MATCH(COLUMNS($AO$1006:AP1006),$AO$1006:$BQ$1006,0)), HYPERLINK("#",""), HYPERLINK(CONCATENATE("#Metadata!", ADDRESS(INDEX($AJ$2:$AJ$1001,MATCH(ROWS($AH$2:AH32),$AH$2:$AH$1001,0),0), INDEX($AO$1004:$BQ$1004,1,MATCH(COLUMNS($AO$1006:AP1006),$AO$1006:$BQ$1006,0)))),"Fix")))</f>
        <v>#N/A</v>
      </c>
      <c r="D32" s="5" t="e">
        <f ca="1">IF(OR(INDEX($AI$2:$AI$1001,MATCH(ROWS($AH$2:AH32),$AH$2:$AH$1001,0),1)&gt;=100000,INDEX($AO$1005:$BQ$1005,1,MATCH(COLUMNS($AO$1006:AQ1006),$AO$1006:$BQ$1006,0))&gt;=100000), " ",IF(INDEX($AO$2:$BQ$1001,MATCH(ROWS($AH$2:AH32),$AH$2:$AH$1001,0),MATCH(COLUMNS($AO$1006:AQ1006),$AO$1006:$BQ$1006,0)), HYPERLINK("#",""), HYPERLINK(CONCATENATE("#Metadata!", ADDRESS(INDEX($AJ$2:$AJ$1001,MATCH(ROWS($AH$2:AH32),$AH$2:$AH$1001,0),0), INDEX($AO$1004:$BQ$1004,1,MATCH(COLUMNS($AO$1006:AQ1006),$AO$1006:$BQ$1006,0)))),"Fix")))</f>
        <v>#N/A</v>
      </c>
      <c r="E32" s="5" t="e">
        <f ca="1">IF(OR(INDEX($AI$2:$AI$1001,MATCH(ROWS($AH$2:AH32),$AH$2:$AH$1001,0),1)&gt;=100000,INDEX($AO$1005:$BQ$1005,1,MATCH(COLUMNS($AO$1006:AR1006),$AO$1006:$BQ$1006,0))&gt;=100000), " ",IF(INDEX($AO$2:$BQ$1001,MATCH(ROWS($AH$2:AH32),$AH$2:$AH$1001,0),MATCH(COLUMNS($AO$1006:AR1006),$AO$1006:$BQ$1006,0)), HYPERLINK("#",""), HYPERLINK(CONCATENATE("#Metadata!", ADDRESS(INDEX($AJ$2:$AJ$1001,MATCH(ROWS($AH$2:AH32),$AH$2:$AH$1001,0),0), INDEX($AO$1004:$BQ$1004,1,MATCH(COLUMNS($AO$1006:AR1006),$AO$1006:$BQ$1006,0)))),"Fix")))</f>
        <v>#N/A</v>
      </c>
      <c r="F32" s="5" t="e">
        <f ca="1">IF(OR(INDEX($AI$2:$AI$1001,MATCH(ROWS($AH$2:AH32),$AH$2:$AH$1001,0),1)&gt;=100000,INDEX($AO$1005:$BQ$1005,1,MATCH(COLUMNS($AO$1006:AS1006),$AO$1006:$BQ$1006,0))&gt;=100000), " ",IF(INDEX($AO$2:$BQ$1001,MATCH(ROWS($AH$2:AH32),$AH$2:$AH$1001,0),MATCH(COLUMNS($AO$1006:AS1006),$AO$1006:$BQ$1006,0)), HYPERLINK("#",""), HYPERLINK(CONCATENATE("#Metadata!", ADDRESS(INDEX($AJ$2:$AJ$1001,MATCH(ROWS($AH$2:AH32),$AH$2:$AH$1001,0),0), INDEX($AO$1004:$BQ$1004,1,MATCH(COLUMNS($AO$1006:AS1006),$AO$1006:$BQ$1006,0)))),"Fix")))</f>
        <v>#N/A</v>
      </c>
      <c r="G32" s="5" t="e">
        <f ca="1">IF(OR(INDEX($AI$2:$AI$1001,MATCH(ROWS($AH$2:AH32),$AH$2:$AH$1001,0),1)&gt;=100000,INDEX($AO$1005:$BQ$1005,1,MATCH(COLUMNS($AO$1006:AT1006),$AO$1006:$BQ$1006,0))&gt;=100000), " ",IF(INDEX($AO$2:$BQ$1001,MATCH(ROWS($AH$2:AH32),$AH$2:$AH$1001,0),MATCH(COLUMNS($AO$1006:AT1006),$AO$1006:$BQ$1006,0)), HYPERLINK("#",""), HYPERLINK(CONCATENATE("#Metadata!", ADDRESS(INDEX($AJ$2:$AJ$1001,MATCH(ROWS($AH$2:AH32),$AH$2:$AH$1001,0),0), INDEX($AO$1004:$BQ$1004,1,MATCH(COLUMNS($AO$1006:AT1006),$AO$1006:$BQ$1006,0)))),"Fix")))</f>
        <v>#N/A</v>
      </c>
      <c r="H32" s="5" t="e">
        <f ca="1">IF(OR(INDEX($AI$2:$AI$1001,MATCH(ROWS($AH$2:AH32),$AH$2:$AH$1001,0),1)&gt;=100000,INDEX($AO$1005:$BQ$1005,1,MATCH(COLUMNS($AO$1006:AU1006),$AO$1006:$BQ$1006,0))&gt;=100000), " ",IF(INDEX($AO$2:$BQ$1001,MATCH(ROWS($AH$2:AH32),$AH$2:$AH$1001,0),MATCH(COLUMNS($AO$1006:AU1006),$AO$1006:$BQ$1006,0)), HYPERLINK("#",""), HYPERLINK(CONCATENATE("#Metadata!", ADDRESS(INDEX($AJ$2:$AJ$1001,MATCH(ROWS($AH$2:AH32),$AH$2:$AH$1001,0),0), INDEX($AO$1004:$BQ$1004,1,MATCH(COLUMNS($AO$1006:AU1006),$AO$1006:$BQ$1006,0)))),"Fix")))</f>
        <v>#N/A</v>
      </c>
      <c r="I32" s="5" t="e">
        <f ca="1">IF(OR(INDEX($AI$2:$AI$1001,MATCH(ROWS($AH$2:AH32),$AH$2:$AH$1001,0),1)&gt;=100000,INDEX($AO$1005:$BQ$1005,1,MATCH(COLUMNS($AO$1006:AV1006),$AO$1006:$BQ$1006,0))&gt;=100000), " ",IF(INDEX($AO$2:$BQ$1001,MATCH(ROWS($AH$2:AH32),$AH$2:$AH$1001,0),MATCH(COLUMNS($AO$1006:AV1006),$AO$1006:$BQ$1006,0)), HYPERLINK("#",""), HYPERLINK(CONCATENATE("#Metadata!", ADDRESS(INDEX($AJ$2:$AJ$1001,MATCH(ROWS($AH$2:AH32),$AH$2:$AH$1001,0),0), INDEX($AO$1004:$BQ$1004,1,MATCH(COLUMNS($AO$1006:AV1006),$AO$1006:$BQ$1006,0)))),"Fix")))</f>
        <v>#N/A</v>
      </c>
      <c r="J32" s="5" t="e">
        <f ca="1">IF(OR(INDEX($AI$2:$AI$1001,MATCH(ROWS($AH$2:AH32),$AH$2:$AH$1001,0),1)&gt;=100000,INDEX($AO$1005:$BQ$1005,1,MATCH(COLUMNS($AO$1006:AW1006),$AO$1006:$BQ$1006,0))&gt;=100000), " ",IF(INDEX($AO$2:$BQ$1001,MATCH(ROWS($AH$2:AH32),$AH$2:$AH$1001,0),MATCH(COLUMNS($AO$1006:AW1006),$AO$1006:$BQ$1006,0)), HYPERLINK("#",""), HYPERLINK(CONCATENATE("#Metadata!", ADDRESS(INDEX($AJ$2:$AJ$1001,MATCH(ROWS($AH$2:AH32),$AH$2:$AH$1001,0),0), INDEX($AO$1004:$BQ$1004,1,MATCH(COLUMNS($AO$1006:AW1006),$AO$1006:$BQ$1006,0)))),"Fix")))</f>
        <v>#N/A</v>
      </c>
      <c r="K32" s="5" t="e">
        <f ca="1">IF(OR(INDEX($AI$2:$AI$1001,MATCH(ROWS($AH$2:AH32),$AH$2:$AH$1001,0),1)&gt;=100000,INDEX($AO$1005:$BQ$1005,1,MATCH(COLUMNS($AO$1006:AX1006),$AO$1006:$BQ$1006,0))&gt;=100000), " ",IF(INDEX($AO$2:$BQ$1001,MATCH(ROWS($AH$2:AH32),$AH$2:$AH$1001,0),MATCH(COLUMNS($AO$1006:AX1006),$AO$1006:$BQ$1006,0)), HYPERLINK("#",""), HYPERLINK(CONCATENATE("#Metadata!", ADDRESS(INDEX($AJ$2:$AJ$1001,MATCH(ROWS($AH$2:AH32),$AH$2:$AH$1001,0),0), INDEX($AO$1004:$BQ$1004,1,MATCH(COLUMNS($AO$1006:AX1006),$AO$1006:$BQ$1006,0)))),"Fix")))</f>
        <v>#N/A</v>
      </c>
      <c r="L32" s="5" t="e">
        <f ca="1">IF(OR(INDEX($AI$2:$AI$1001,MATCH(ROWS($AH$2:AH32),$AH$2:$AH$1001,0),1)&gt;=100000,INDEX($AO$1005:$BQ$1005,1,MATCH(COLUMNS($AO$1006:AY1006),$AO$1006:$BQ$1006,0))&gt;=100000), " ",IF(INDEX($AO$2:$BQ$1001,MATCH(ROWS($AH$2:AH32),$AH$2:$AH$1001,0),MATCH(COLUMNS($AO$1006:AY1006),$AO$1006:$BQ$1006,0)), HYPERLINK("#",""), HYPERLINK(CONCATENATE("#Metadata!", ADDRESS(INDEX($AJ$2:$AJ$1001,MATCH(ROWS($AH$2:AH32),$AH$2:$AH$1001,0),0), INDEX($AO$1004:$BQ$1004,1,MATCH(COLUMNS($AO$1006:AY1006),$AO$1006:$BQ$1006,0)))),"Fix")))</f>
        <v>#N/A</v>
      </c>
      <c r="M32" s="5" t="e">
        <f ca="1">IF(OR(INDEX($AI$2:$AI$1001,MATCH(ROWS($AH$2:AH32),$AH$2:$AH$1001,0),1)&gt;=100000,INDEX($AO$1005:$BQ$1005,1,MATCH(COLUMNS($AO$1006:AZ1006),$AO$1006:$BQ$1006,0))&gt;=100000), " ",IF(INDEX($AO$2:$BQ$1001,MATCH(ROWS($AH$2:AH32),$AH$2:$AH$1001,0),MATCH(COLUMNS($AO$1006:AZ1006),$AO$1006:$BQ$1006,0)), HYPERLINK("#",""), HYPERLINK(CONCATENATE("#Metadata!", ADDRESS(INDEX($AJ$2:$AJ$1001,MATCH(ROWS($AH$2:AH32),$AH$2:$AH$1001,0),0), INDEX($AO$1004:$BQ$1004,1,MATCH(COLUMNS($AO$1006:AZ1006),$AO$1006:$BQ$1006,0)))),"Fix")))</f>
        <v>#N/A</v>
      </c>
      <c r="N32" s="5" t="e">
        <f ca="1">IF(OR(INDEX($AI$2:$AI$1001,MATCH(ROWS($AH$2:AH32),$AH$2:$AH$1001,0),1)&gt;=100000,INDEX($AO$1005:$BQ$1005,1,MATCH(COLUMNS($AO$1006:BA1006),$AO$1006:$BQ$1006,0))&gt;=100000), " ",IF(INDEX($AO$2:$BQ$1001,MATCH(ROWS($AH$2:AH32),$AH$2:$AH$1001,0),MATCH(COLUMNS($AO$1006:BA1006),$AO$1006:$BQ$1006,0)), HYPERLINK("#",""), HYPERLINK(CONCATENATE("#Metadata!", ADDRESS(INDEX($AJ$2:$AJ$1001,MATCH(ROWS($AH$2:AH32),$AH$2:$AH$1001,0),0), INDEX($AO$1004:$BQ$1004,1,MATCH(COLUMNS($AO$1006:BA1006),$AO$1006:$BQ$1006,0)))),"Fix")))</f>
        <v>#N/A</v>
      </c>
      <c r="O32" s="5" t="e">
        <f ca="1">IF(OR(INDEX($AI$2:$AI$1001,MATCH(ROWS($AH$2:AH32),$AH$2:$AH$1001,0),1)&gt;=100000,INDEX($AO$1005:$BQ$1005,1,MATCH(COLUMNS($AO$1006:BB1006),$AO$1006:$BQ$1006,0))&gt;=100000), " ",IF(INDEX($AO$2:$BQ$1001,MATCH(ROWS($AH$2:AH32),$AH$2:$AH$1001,0),MATCH(COLUMNS($AO$1006:BB1006),$AO$1006:$BQ$1006,0)), HYPERLINK("#",""), HYPERLINK(CONCATENATE("#Metadata!", ADDRESS(INDEX($AJ$2:$AJ$1001,MATCH(ROWS($AH$2:AH32),$AH$2:$AH$1001,0),0), INDEX($AO$1004:$BQ$1004,1,MATCH(COLUMNS($AO$1006:BB1006),$AO$1006:$BQ$1006,0)))),"Fix")))</f>
        <v>#N/A</v>
      </c>
      <c r="P32" s="5" t="e">
        <f ca="1">IF(OR(INDEX($AI$2:$AI$1001,MATCH(ROWS($AH$2:AH32),$AH$2:$AH$1001,0),1)&gt;=100000,INDEX($AO$1005:$BQ$1005,1,MATCH(COLUMNS($AO$1006:BC1006),$AO$1006:$BQ$1006,0))&gt;=100000), " ",IF(INDEX($AO$2:$BQ$1001,MATCH(ROWS($AH$2:AH32),$AH$2:$AH$1001,0),MATCH(COLUMNS($AO$1006:BC1006),$AO$1006:$BQ$1006,0)), HYPERLINK("#",""), HYPERLINK(CONCATENATE("#Metadata!", ADDRESS(INDEX($AJ$2:$AJ$1001,MATCH(ROWS($AH$2:AH32),$AH$2:$AH$1001,0),0), INDEX($AO$1004:$BQ$1004,1,MATCH(COLUMNS($AO$1006:BC1006),$AO$1006:$BQ$1006,0)))),"Fix")))</f>
        <v>#N/A</v>
      </c>
      <c r="Q32" s="5" t="e">
        <f ca="1">IF(OR(INDEX($AI$2:$AI$1001,MATCH(ROWS($AH$2:AH32),$AH$2:$AH$1001,0),1)&gt;=100000,INDEX($AO$1005:$BQ$1005,1,MATCH(COLUMNS($AO$1006:BD1006),$AO$1006:$BQ$1006,0))&gt;=100000), " ",IF(INDEX($AO$2:$BQ$1001,MATCH(ROWS($AH$2:AH32),$AH$2:$AH$1001,0),MATCH(COLUMNS($AO$1006:BD1006),$AO$1006:$BQ$1006,0)), HYPERLINK("#",""), HYPERLINK(CONCATENATE("#Metadata!", ADDRESS(INDEX($AJ$2:$AJ$1001,MATCH(ROWS($AH$2:AH32),$AH$2:$AH$1001,0),0), INDEX($AO$1004:$BQ$1004,1,MATCH(COLUMNS($AO$1006:BD1006),$AO$1006:$BQ$1006,0)))),"Fix")))</f>
        <v>#N/A</v>
      </c>
      <c r="R32" s="5" t="e">
        <f ca="1">IF(OR(INDEX($AI$2:$AI$1001,MATCH(ROWS($AH$2:AH32),$AH$2:$AH$1001,0),1)&gt;=100000,INDEX($AO$1005:$BQ$1005,1,MATCH(COLUMNS($AO$1006:BE1006),$AO$1006:$BQ$1006,0))&gt;=100000), " ",IF(INDEX($AO$2:$BQ$1001,MATCH(ROWS($AH$2:AH32),$AH$2:$AH$1001,0),MATCH(COLUMNS($AO$1006:BE1006),$AO$1006:$BQ$1006,0)), HYPERLINK("#",""), HYPERLINK(CONCATENATE("#Metadata!", ADDRESS(INDEX($AJ$2:$AJ$1001,MATCH(ROWS($AH$2:AH32),$AH$2:$AH$1001,0),0), INDEX($AO$1004:$BQ$1004,1,MATCH(COLUMNS($AO$1006:BE1006),$AO$1006:$BQ$1006,0)))),"Fix")))</f>
        <v>#N/A</v>
      </c>
      <c r="S32" s="5" t="e">
        <f ca="1">IF(OR(INDEX($AI$2:$AI$1001,MATCH(ROWS($AH$2:AH32),$AH$2:$AH$1001,0),1)&gt;=100000,INDEX($AO$1005:$BQ$1005,1,MATCH(COLUMNS($AO$1006:BF1006),$AO$1006:$BQ$1006,0))&gt;=100000), " ",IF(INDEX($AO$2:$BQ$1001,MATCH(ROWS($AH$2:AH32),$AH$2:$AH$1001,0),MATCH(COLUMNS($AO$1006:BF1006),$AO$1006:$BQ$1006,0)), HYPERLINK("#",""), HYPERLINK(CONCATENATE("#Metadata!", ADDRESS(INDEX($AJ$2:$AJ$1001,MATCH(ROWS($AH$2:AH32),$AH$2:$AH$1001,0),0), INDEX($AO$1004:$BQ$1004,1,MATCH(COLUMNS($AO$1006:BF1006),$AO$1006:$BQ$1006,0)))),"Fix")))</f>
        <v>#N/A</v>
      </c>
      <c r="T32" s="5" t="e">
        <f ca="1">IF(OR(INDEX($AI$2:$AI$1001,MATCH(ROWS($AH$2:AH32),$AH$2:$AH$1001,0),1)&gt;=100000,INDEX($AO$1005:$BQ$1005,1,MATCH(COLUMNS($AO$1006:BG1006),$AO$1006:$BQ$1006,0))&gt;=100000), " ",IF(INDEX($AO$2:$BQ$1001,MATCH(ROWS($AH$2:AH32),$AH$2:$AH$1001,0),MATCH(COLUMNS($AO$1006:BG1006),$AO$1006:$BQ$1006,0)), HYPERLINK("#",""), HYPERLINK(CONCATENATE("#Metadata!", ADDRESS(INDEX($AJ$2:$AJ$1001,MATCH(ROWS($AH$2:AH32),$AH$2:$AH$1001,0),0), INDEX($AO$1004:$BQ$1004,1,MATCH(COLUMNS($AO$1006:BG1006),$AO$1006:$BQ$1006,0)))),"Fix")))</f>
        <v>#N/A</v>
      </c>
      <c r="U32" s="5" t="e">
        <f ca="1">IF(OR(INDEX($AI$2:$AI$1001,MATCH(ROWS($AH$2:AH32),$AH$2:$AH$1001,0),1)&gt;=100000,INDEX($AO$1005:$BQ$1005,1,MATCH(COLUMNS($AO$1006:BH1006),$AO$1006:$BQ$1006,0))&gt;=100000), " ",IF(INDEX($AO$2:$BQ$1001,MATCH(ROWS($AH$2:AH32),$AH$2:$AH$1001,0),MATCH(COLUMNS($AO$1006:BH1006),$AO$1006:$BQ$1006,0)), HYPERLINK("#",""), HYPERLINK(CONCATENATE("#Metadata!", ADDRESS(INDEX($AJ$2:$AJ$1001,MATCH(ROWS($AH$2:AH32),$AH$2:$AH$1001,0),0), INDEX($AO$1004:$BQ$1004,1,MATCH(COLUMNS($AO$1006:BH1006),$AO$1006:$BQ$1006,0)))),"Fix")))</f>
        <v>#N/A</v>
      </c>
      <c r="V32" s="5" t="e">
        <f ca="1">IF(OR(INDEX($AI$2:$AI$1001,MATCH(ROWS($AH$2:AH32),$AH$2:$AH$1001,0),1)&gt;=100000,INDEX($AO$1005:$BQ$1005,1,MATCH(COLUMNS($AO$1006:BI1006),$AO$1006:$BQ$1006,0))&gt;=100000), " ",IF(INDEX($AO$2:$BQ$1001,MATCH(ROWS($AH$2:AH32),$AH$2:$AH$1001,0),MATCH(COLUMNS($AO$1006:BI1006),$AO$1006:$BQ$1006,0)), HYPERLINK("#",""), HYPERLINK(CONCATENATE("#Metadata!", ADDRESS(INDEX($AJ$2:$AJ$1001,MATCH(ROWS($AH$2:AH32),$AH$2:$AH$1001,0),0), INDEX($AO$1004:$BQ$1004,1,MATCH(COLUMNS($AO$1006:BI1006),$AO$1006:$BQ$1006,0)))),"Fix")))</f>
        <v>#N/A</v>
      </c>
      <c r="W32" s="5" t="e">
        <f ca="1">IF(OR(INDEX($AI$2:$AI$1001,MATCH(ROWS($AH$2:AH32),$AH$2:$AH$1001,0),1)&gt;=100000,INDEX($AO$1005:$BQ$1005,1,MATCH(COLUMNS($AO$1006:BJ1006),$AO$1006:$BQ$1006,0))&gt;=100000), " ",IF(INDEX($AO$2:$BQ$1001,MATCH(ROWS($AH$2:AH32),$AH$2:$AH$1001,0),MATCH(COLUMNS($AO$1006:BJ1006),$AO$1006:$BQ$1006,0)), HYPERLINK("#",""), HYPERLINK(CONCATENATE("#Metadata!", ADDRESS(INDEX($AJ$2:$AJ$1001,MATCH(ROWS($AH$2:AH32),$AH$2:$AH$1001,0),0), INDEX($AO$1004:$BQ$1004,1,MATCH(COLUMNS($AO$1006:BJ1006),$AO$1006:$BQ$1006,0)))),"Fix")))</f>
        <v>#N/A</v>
      </c>
      <c r="X32" s="5" t="e">
        <f ca="1">IF(OR(INDEX($AI$2:$AI$1001,MATCH(ROWS($AH$2:AH32),$AH$2:$AH$1001,0),1)&gt;=100000,INDEX($AO$1005:$BQ$1005,1,MATCH(COLUMNS($AO$1006:BK1006),$AO$1006:$BQ$1006,0))&gt;=100000), " ",IF(INDEX($AO$2:$BQ$1001,MATCH(ROWS($AH$2:AH32),$AH$2:$AH$1001,0),MATCH(COLUMNS($AO$1006:BK1006),$AO$1006:$BQ$1006,0)), HYPERLINK("#",""), HYPERLINK(CONCATENATE("#Metadata!", ADDRESS(INDEX($AJ$2:$AJ$1001,MATCH(ROWS($AH$2:AH32),$AH$2:$AH$1001,0),0), INDEX($AO$1004:$BQ$1004,1,MATCH(COLUMNS($AO$1006:BK1006),$AO$1006:$BQ$1006,0)))),"Fix")))</f>
        <v>#N/A</v>
      </c>
      <c r="Y32" s="5" t="e">
        <f ca="1">IF(OR(INDEX($AI$2:$AI$1001,MATCH(ROWS($AH$2:AH32),$AH$2:$AH$1001,0),1)&gt;=100000,INDEX($AO$1005:$BQ$1005,1,MATCH(COLUMNS($AO$1006:BL1006),$AO$1006:$BQ$1006,0))&gt;=100000), " ",IF(INDEX($AO$2:$BQ$1001,MATCH(ROWS($AH$2:AH32),$AH$2:$AH$1001,0),MATCH(COLUMNS($AO$1006:BL1006),$AO$1006:$BQ$1006,0)), HYPERLINK("#",""), HYPERLINK(CONCATENATE("#Metadata!", ADDRESS(INDEX($AJ$2:$AJ$1001,MATCH(ROWS($AH$2:AH32),$AH$2:$AH$1001,0),0), INDEX($AO$1004:$BQ$1004,1,MATCH(COLUMNS($AO$1006:BL1006),$AO$1006:$BQ$1006,0)))),"Fix")))</f>
        <v>#N/A</v>
      </c>
      <c r="Z32" s="5" t="e">
        <f ca="1">IF(OR(INDEX($AI$2:$AI$1001,MATCH(ROWS($AH$2:AH32),$AH$2:$AH$1001,0),1)&gt;=100000,INDEX($AO$1005:$BQ$1005,1,MATCH(COLUMNS($AO$1006:BM1006),$AO$1006:$BQ$1006,0))&gt;=100000), " ",IF(INDEX($AO$2:$BQ$1001,MATCH(ROWS($AH$2:AH32),$AH$2:$AH$1001,0),MATCH(COLUMNS($AO$1006:BM1006),$AO$1006:$BQ$1006,0)), HYPERLINK("#",""), HYPERLINK(CONCATENATE("#Metadata!", ADDRESS(INDEX($AJ$2:$AJ$1001,MATCH(ROWS($AH$2:AH32),$AH$2:$AH$1001,0),0), INDEX($AO$1004:$BQ$1004,1,MATCH(COLUMNS($AO$1006:BM1006),$AO$1006:$BQ$1006,0)))),"Fix")))</f>
        <v>#N/A</v>
      </c>
      <c r="AA32" s="5" t="e">
        <f ca="1">IF(OR(INDEX($AI$2:$AI$1001,MATCH(ROWS($AH$2:AH32),$AH$2:$AH$1001,0),1)&gt;=100000,INDEX($AO$1005:$BQ$1005,1,MATCH(COLUMNS($AO$1006:BN1006),$AO$1006:$BQ$1006,0))&gt;=100000), " ",IF(INDEX($AO$2:$BQ$1001,MATCH(ROWS($AH$2:AH32),$AH$2:$AH$1001,0),MATCH(COLUMNS($AO$1006:BN1006),$AO$1006:$BQ$1006,0)), HYPERLINK("#",""), HYPERLINK(CONCATENATE("#Metadata!", ADDRESS(INDEX($AJ$2:$AJ$1001,MATCH(ROWS($AH$2:AH32),$AH$2:$AH$1001,0),0), INDEX($AO$1004:$BQ$1004,1,MATCH(COLUMNS($AO$1006:BN1006),$AO$1006:$BQ$1006,0)))),"Fix")))</f>
        <v>#N/A</v>
      </c>
      <c r="AB32" s="5" t="e">
        <f ca="1">IF(OR(INDEX($AI$2:$AI$1001,MATCH(ROWS($AH$2:AH32),$AH$2:$AH$1001,0),1)&gt;=100000,INDEX($AO$1005:$BQ$1005,1,MATCH(COLUMNS($AO$1006:BO1006),$AO$1006:$BQ$1006,0))&gt;=100000), " ",IF(INDEX($AO$2:$BQ$1001,MATCH(ROWS($AH$2:AH32),$AH$2:$AH$1001,0),MATCH(COLUMNS($AO$1006:BO1006),$AO$1006:$BQ$1006,0)), HYPERLINK("#",""), HYPERLINK(CONCATENATE("#Metadata!", ADDRESS(INDEX($AJ$2:$AJ$1001,MATCH(ROWS($AH$2:AH32),$AH$2:$AH$1001,0),0), INDEX($AO$1004:$BQ$1004,1,MATCH(COLUMNS($AO$1006:BO1006),$AO$1006:$BQ$1006,0)))),"Fix")))</f>
        <v>#N/A</v>
      </c>
      <c r="AC32" s="5" t="e">
        <f ca="1">IF(OR(INDEX($AI$2:$AI$1001,MATCH(ROWS($AH$2:AH32),$AH$2:$AH$1001,0),1)&gt;=100000,INDEX($AO$1005:$BQ$1005,1,MATCH(COLUMNS($AO$1006:BP1006),$AO$1006:$BQ$1006,0))&gt;=100000), " ",IF(INDEX($AO$2:$BQ$1001,MATCH(ROWS($AH$2:AH32),$AH$2:$AH$1001,0),MATCH(COLUMNS($AO$1006:BP1006),$AO$1006:$BQ$1006,0)), HYPERLINK("#",""), HYPERLINK(CONCATENATE("#Metadata!", ADDRESS(INDEX($AJ$2:$AJ$1001,MATCH(ROWS($AH$2:AH32),$AH$2:$AH$1001,0),0), INDEX($AO$1004:$BQ$1004,1,MATCH(COLUMNS($AO$1006:BP1006),$AO$1006:$BQ$1006,0)))),"Fix")))</f>
        <v>#N/A</v>
      </c>
      <c r="AD32" s="5" t="e">
        <f ca="1">IF(OR(INDEX($AI$2:$AI$1001,MATCH(ROWS($AH$2:AH32),$AH$2:$AH$1001,0),1)&gt;=100000,INDEX($AO$1005:$BQ$1005,1,MATCH(COLUMNS($AO$1006:BQ1006),$AO$1006:$BQ$1006,0))&gt;=100000), " ",IF(INDEX($AO$2:$BQ$1001,MATCH(ROWS($AH$2:AH32),$AH$2:$AH$1001,0),MATCH(COLUMNS($AO$1006:BQ1006),$AO$1006:$BQ$1006,0)), HYPERLINK("#",""), HYPERLINK(CONCATENATE("#Metadata!", ADDRESS(INDEX($AJ$2:$AJ$1001,MATCH(ROWS($AH$2:AH32),$AH$2:$AH$1001,0),0), INDEX($AO$1004:$BQ$1004,1,MATCH(COLUMNS($AO$1006:BQ1006),$AO$1006:$BQ$1006,0)))),"Fix")))</f>
        <v>#REF!</v>
      </c>
      <c r="AH32">
        <f ca="1"/>
        <v>2</v>
      </c>
      <c r="AI32" t="e">
        <f ca="1"/>
        <v>#REF!</v>
      </c>
      <c r="AJ32">
        <v>32</v>
      </c>
      <c r="AK32" t="e">
        <f t="shared" ca="1" si="0"/>
        <v>#REF!</v>
      </c>
      <c r="AL32" t="b">
        <f>COUNTBLANK(Metadata!B32:AD32)=COLUMNS(Metadata!B32:AD32)</f>
        <v>0</v>
      </c>
      <c r="AM32" t="str">
        <v>Environment.Upland.soil.3.BTP.223</v>
      </c>
      <c r="AO32" t="b">
        <f ca="1">AND(IF(Metadata!B31="",FALSE,TRUE),COUNTIF(Metadata!B:B, Metadata!B31) = 1,NOT(ISERROR(SUMPRODUCT(SEARCH(MID(Metadata!B31,ROW(INDIRECT("1:"&amp;LEN(Metadata!B31))), 1),"0123456789abcdefghijklmnopqrstuvwxyzABCDEFGHIJKLMNOPQRSTUVWXYZ.")))))</f>
        <v>1</v>
      </c>
      <c r="AP32" t="b">
        <f>IF(Metadata!C31="",FALSE,TRUE)</f>
        <v>1</v>
      </c>
      <c r="AQ32" t="b">
        <f>IF(Metadata!D31="",FALSE,TRUE)</f>
        <v>1</v>
      </c>
      <c r="AR32" t="b">
        <f ca="1">OR(AND(IF(Metadata!E31="",FALSE,TRUE),OR(EXACT(Metadata!E31,"not collected"),EXACT(Metadata!E31,"not provided"),EXACT(Metadata!E31,"restricted access"))),AND(IF(Metadata!E31="",FALSE,TRUE),AND(AND(IFERROR(INT(LEFT(Metadata!E31,4))&gt;1900,FALSE),IFERROR(INT(LEFT(Metadata!E31,4))&lt;=YEAR(NOW()),FALSE)), OR(MID(Metadata!E31,5,1)="", AND(AND(MID(Metadata!E31,5,1)="-",IFERROR(INT(MID(Metadata!E31,6,1))&gt;=0,FALSE),IFERROR(INT(MID(Metadata!E31,6,1))&lt;=1,FALSE),NOT(MID(Metadata!E31,7,1)=""),IFERROR(INT(MID(Metadata!E31,6,2))&gt;=1,FALSE),IFERROR(INT(MID(Metadata!E31,6,2))&lt;=12,FALSE)), OR(MID(Metadata!E31,8,1)="", AND(AND(MID(Metadata!E31,8,1)="-",IFERROR(INT(MID(Metadata!E31,9,1))&gt;=0,FALSE),IFERROR(INT(MID(Metadata!E31,9,1))&lt;=3,FALSE),NOT(MID(Metadata!E31,10,1)=""),IFERROR(INT(MID(Metadata!E31,9,2))&gt;=1,FALSE),IFERROR(INT(MID(Metadata!E31,9,2))&lt;=31,FALSE)), OR(MID(Metadata!E31,11,1)="", AND(AND(MID(Metadata!E31,11,1)=" ",IFERROR(INT(MID(Metadata!E31,12,1))&gt;=0,FALSE),IFERROR(INT(MID(Metadata!E31,12,1))&lt;=2,FALSE),NOT(MID(Metadata!E31,13,1)=""),IFERROR(INT(MID(Metadata!E31,12,2))&gt;=0,FALSE),IFERROR(INT(MID(Metadata!E31,12,2))&lt;=23,FALSE)), OR(MID(Metadata!E31,14,1)="", AND(AND(MID(Metadata!E31,14,1)=":",IFERROR(INT(MID(Metadata!E31,15,1))&gt;=0,FALSE),IFERROR(INT(MID(Metadata!E31,15,1))&lt;=5,FALSE),NOT(MID(Metadata!E31,16,1)=""),IFERROR(INT(MID(Metadata!E31,15,2))&gt;=0,FALSE),IFERROR(INT(MID(Metadata!E31,15,2))&lt;=59,FALSE)), OR(MID(Metadata!E31,17,1)="", AND(AND(MID(Metadata!E31,17,1)=":",IFERROR(INT(MID(Metadata!E31,18,1))&gt;=0,FALSE),IFERROR(INT(MID(Metadata!E31,18,1))&lt;=5,FALSE),NOT(MID(Metadata!E31,19,1)=""),IFERROR(INT(MID(Metadata!E31,18,2))&gt;=0,FALSE),IFERROR(INT(MID(Metadata!E31,18,2))&lt;=59,FALSE)), LEN(Metadata!E31)&lt;=19)))))))))))))</f>
        <v>0</v>
      </c>
      <c r="AS32" t="b">
        <f>IF(Metadata!F31="",FALSE,TRUE)</f>
        <v>1</v>
      </c>
      <c r="AT32" t="b">
        <f>OR(AND(IF(Metadata!G31="",FALSE,TRUE),OR(EXACT(Metadata!G31,"not collected"),EXACT(Metadata!G31,"not provided"))),AND(IF(Metadata!G31="",FALSE,TRUE),OR(EXACT(Metadata!G31,"TRUE"),EXACT(Metadata!G31,"FALSE"))))</f>
        <v>1</v>
      </c>
      <c r="AU32" t="b">
        <f>OR(AND(IF(Metadata!H31="",FALSE,TRUE),OR(EXACT(Metadata!H31,"not collected"),EXACT(Metadata!H31,"not provided"),EXACT(Metadata!H31,"restricted access"))),AND(IF(Metadata!H31="",FALSE,ISNUMBER(VALUE(Metadata!H31))),Metadata!H31&gt;=-413))</f>
        <v>0</v>
      </c>
      <c r="AV32" t="b">
        <f>AND(IF(Metadata!I31="",FALSE,TRUE),EXACT(Metadata!I31,"meters"))</f>
        <v>1</v>
      </c>
      <c r="AW32" t="b">
        <f>AND(IF(Metadata!J31="",FALSE,TRUE),EXACT(Metadata!J31,"free-living"))</f>
        <v>1</v>
      </c>
      <c r="AX32" t="b">
        <f>AND(IF(Metadata!K31="",FALSE,TRUE),OR(EXACT(Metadata!K31,"saline"),EXACT(Metadata!K31,"non-saline")))</f>
        <v>1</v>
      </c>
      <c r="AY32" t="b">
        <f>AND(IF(Metadata!L31="",FALSE,TRUE),OR(EXACT(Metadata!L31,"sub-surface (non-saline)"),EXACT(Metadata!L31,"surface (non-saline)"),EXACT(Metadata!L31,"water (non-saline)"),EXACT(Metadata!L31,"soil (non-saline)"),EXACT(Metadata!L31,"aerosol (non-saline)"),EXACT(Metadata!L31,"sediment (non-saline)"),EXACT(Metadata!L31,"surface (saline)"),EXACT(Metadata!L31,"water (saline)"),EXACT(Metadata!L31,"hypersaline (saline)"),EXACT(Metadata!L31,"aerosol (saline)"),EXACT(Metadata!L31,"sediment (saline)")))</f>
        <v>1</v>
      </c>
      <c r="AZ32" t="b">
        <f>IF(Metadata!M31="",FALSE,TRUE)</f>
        <v>1</v>
      </c>
      <c r="BA32" t="b">
        <f>IF(Metadata!N31="",FALSE,TRUE)</f>
        <v>1</v>
      </c>
      <c r="BB32" t="b">
        <f>IF(Metadata!O31="",FALSE,TRUE)</f>
        <v>1</v>
      </c>
      <c r="BC32" t="b">
        <f>AND(IF(Metadata!P31="",FALSE,TRUE),OR(EXACT(Metadata!P31,"air"),EXACT(Metadata!P31,"microbial mat/biofilm"),EXACT(Metadata!P31,"misc environment"),EXACT(Metadata!P31,"sediment"),EXACT(Metadata!P31,"soil"),EXACT(Metadata!P31,"wastewater/sludge"),EXACT(Metadata!P31,"water")))</f>
        <v>1</v>
      </c>
      <c r="BD32" t="b">
        <f>IF(Metadata!Q31="",FALSE,TRUE)</f>
        <v>1</v>
      </c>
      <c r="BE32" t="b">
        <f>IF(Metadata!R31="",FALSE,TRUE)</f>
        <v>1</v>
      </c>
      <c r="BF32" t="b">
        <f>OR(AND(IF(Metadata!S31="",FALSE,TRUE),OR(EXACT(Metadata!S31,"not collected"),EXACT(Metadata!S31,"not provided"),EXACT(Metadata!S31,"restricted access"))),AND(IF(Metadata!S31="",FALSE,ISNUMBER(VALUE(Metadata!S31))),Metadata!S31&gt;=-90,Metadata!S31&lt;=90))</f>
        <v>0</v>
      </c>
      <c r="BG32" t="b">
        <f>AND(IF(Metadata!T31="",FALSE,TRUE),EXACT(Metadata!T31,"Decimal degrees"))</f>
        <v>1</v>
      </c>
      <c r="BH32" t="e">
        <f>OR(AND(IF(Metadata!#REF!="",FALSE,TRUE),OR(EXACT(Metadata!#REF!,"not applicable"),EXACT(Metadata!#REF!,"not collected"))),IF(Metadata!#REF!="",FALSE,TRUE))</f>
        <v>#REF!</v>
      </c>
      <c r="BI32" t="b">
        <f>OR(AND(IF(Metadata!V31="",FALSE,TRUE),OR(EXACT(Metadata!V31,"not collected"),EXACT(Metadata!V31,"not provided"),EXACT(Metadata!V31,"restricted access"))),AND(IF(Metadata!V31="",FALSE,ISNUMBER(VALUE(Metadata!V31))),Metadata!V31&gt;=-180,Metadata!V31&lt;=180))</f>
        <v>0</v>
      </c>
      <c r="BJ32" t="b">
        <f>AND(IF(Metadata!W31="",FALSE,TRUE),EXACT(Metadata!W31,"Decimal degrees"))</f>
        <v>1</v>
      </c>
      <c r="BK32" t="b">
        <f>IF(Metadata!X31="",FALSE,TRUE)</f>
        <v>1</v>
      </c>
      <c r="BL32" t="b">
        <f>OR(AND(IF(Metadata!Y31="",FALSE,TRUE),OR(EXACT(Metadata!Y31,"not collected"),EXACT(Metadata!Y31,"not provided"),EXACT(Metadata!Y31,"restricted access"))),AND(IF(Metadata!Y31="",FALSE,TRUE),OR(EXACT(Metadata!Y31,"TRUE"),EXACT(Metadata!Y31,"FALSE"))))</f>
        <v>1</v>
      </c>
      <c r="BM32" t="b">
        <f>OR(AND(IF(Metadata!Z31="",FALSE,TRUE),EXACT(Metadata!Z31,"not applicable")),AND(IF(Metadata!Z31="",FALSE,TRUE),OR(EXACT(Metadata!Z31,"beer"),EXACT(Metadata!Z31,"cheese"),EXACT(Metadata!Z31,"fresh water"),EXACT(Metadata!Z31,"marine sediment"),EXACT(Metadata!Z31,"sea water"),EXACT(Metadata!Z31,"sediment"),EXACT(Metadata!Z31,"soil"),EXACT(Metadata!Z31,"waste water"))))</f>
        <v>1</v>
      </c>
      <c r="BN32" t="b">
        <f>AND(IF(Metadata!AA31="",FALSE,TRUE),EXACT(Metadata!AA31,"metagenome"))</f>
        <v>1</v>
      </c>
      <c r="BO32" t="b">
        <f>AND(IF(Metadata!AB31="",FALSE,TRUE),EXACT(Metadata!AB31,"256318"))</f>
        <v>1</v>
      </c>
      <c r="BP32" t="b">
        <f>IF(Metadata!AC31="",FALSE,TRUE)</f>
        <v>1</v>
      </c>
      <c r="BQ32" t="b">
        <f>IF(Metadata!AD31="",FALSE,TRUE)</f>
        <v>1</v>
      </c>
    </row>
    <row r="33" spans="1:69" x14ac:dyDescent="0.2">
      <c r="A33" s="4" t="e">
        <f ca="1">IF(B33=" "," ",HYPERLINK(CONCATENATE("#metadata!",ADDRESS(INDEX($AJ$2:$AJ$1001,MATCH(ROWS($AH$2:AH33),$AH$2:$AH$1001,0),0),2)),INDEX($AM$2:$AM$1001,MATCH(ROWS($AH$2:AH33),$AH$2:$AH$1001,0),0)))</f>
        <v>#N/A</v>
      </c>
      <c r="B33" s="5" t="e">
        <f ca="1">IF(OR(INDEX($AI$2:$AI$1001,MATCH(ROWS($AH$2:AH33),$AH$2:$AH$1001,0),1)&gt;=100000,INDEX($AO$1005:$BQ$1005,1,MATCH(COLUMNS($AO$1006:AO1006),$AO$1006:$BQ$1006,0))&gt;=100000), " ",IF(INDEX($AO$2:$BQ$1001,MATCH(ROWS($AH$2:AH33),$AH$2:$AH$1001,0),MATCH(COLUMNS($AO$1006:AO1006),$AO$1006:$BQ$1006,0)), HYPERLINK("#",""), HYPERLINK(CONCATENATE("#Metadata!", ADDRESS(INDEX($AJ$2:$AJ$1001,MATCH(ROWS($AH$2:AH33),$AH$2:$AH$1001,0),0), INDEX($AO$1004:$BQ$1004,1,MATCH(COLUMNS($AO$1006:AO1006),$AO$1006:$BQ$1006,0)))),"Fix")))</f>
        <v>#N/A</v>
      </c>
      <c r="C33" s="5" t="e">
        <f ca="1">IF(OR(INDEX($AI$2:$AI$1001,MATCH(ROWS($AH$2:AH33),$AH$2:$AH$1001,0),1)&gt;=100000,INDEX($AO$1005:$BQ$1005,1,MATCH(COLUMNS($AO$1006:AP1006),$AO$1006:$BQ$1006,0))&gt;=100000), " ",IF(INDEX($AO$2:$BQ$1001,MATCH(ROWS($AH$2:AH33),$AH$2:$AH$1001,0),MATCH(COLUMNS($AO$1006:AP1006),$AO$1006:$BQ$1006,0)), HYPERLINK("#",""), HYPERLINK(CONCATENATE("#Metadata!", ADDRESS(INDEX($AJ$2:$AJ$1001,MATCH(ROWS($AH$2:AH33),$AH$2:$AH$1001,0),0), INDEX($AO$1004:$BQ$1004,1,MATCH(COLUMNS($AO$1006:AP1006),$AO$1006:$BQ$1006,0)))),"Fix")))</f>
        <v>#N/A</v>
      </c>
      <c r="D33" s="5" t="e">
        <f ca="1">IF(OR(INDEX($AI$2:$AI$1001,MATCH(ROWS($AH$2:AH33),$AH$2:$AH$1001,0),1)&gt;=100000,INDEX($AO$1005:$BQ$1005,1,MATCH(COLUMNS($AO$1006:AQ1006),$AO$1006:$BQ$1006,0))&gt;=100000), " ",IF(INDEX($AO$2:$BQ$1001,MATCH(ROWS($AH$2:AH33),$AH$2:$AH$1001,0),MATCH(COLUMNS($AO$1006:AQ1006),$AO$1006:$BQ$1006,0)), HYPERLINK("#",""), HYPERLINK(CONCATENATE("#Metadata!", ADDRESS(INDEX($AJ$2:$AJ$1001,MATCH(ROWS($AH$2:AH33),$AH$2:$AH$1001,0),0), INDEX($AO$1004:$BQ$1004,1,MATCH(COLUMNS($AO$1006:AQ1006),$AO$1006:$BQ$1006,0)))),"Fix")))</f>
        <v>#N/A</v>
      </c>
      <c r="E33" s="5" t="e">
        <f ca="1">IF(OR(INDEX($AI$2:$AI$1001,MATCH(ROWS($AH$2:AH33),$AH$2:$AH$1001,0),1)&gt;=100000,INDEX($AO$1005:$BQ$1005,1,MATCH(COLUMNS($AO$1006:AR1006),$AO$1006:$BQ$1006,0))&gt;=100000), " ",IF(INDEX($AO$2:$BQ$1001,MATCH(ROWS($AH$2:AH33),$AH$2:$AH$1001,0),MATCH(COLUMNS($AO$1006:AR1006),$AO$1006:$BQ$1006,0)), HYPERLINK("#",""), HYPERLINK(CONCATENATE("#Metadata!", ADDRESS(INDEX($AJ$2:$AJ$1001,MATCH(ROWS($AH$2:AH33),$AH$2:$AH$1001,0),0), INDEX($AO$1004:$BQ$1004,1,MATCH(COLUMNS($AO$1006:AR1006),$AO$1006:$BQ$1006,0)))),"Fix")))</f>
        <v>#N/A</v>
      </c>
      <c r="F33" s="5" t="e">
        <f ca="1">IF(OR(INDEX($AI$2:$AI$1001,MATCH(ROWS($AH$2:AH33),$AH$2:$AH$1001,0),1)&gt;=100000,INDEX($AO$1005:$BQ$1005,1,MATCH(COLUMNS($AO$1006:AS1006),$AO$1006:$BQ$1006,0))&gt;=100000), " ",IF(INDEX($AO$2:$BQ$1001,MATCH(ROWS($AH$2:AH33),$AH$2:$AH$1001,0),MATCH(COLUMNS($AO$1006:AS1006),$AO$1006:$BQ$1006,0)), HYPERLINK("#",""), HYPERLINK(CONCATENATE("#Metadata!", ADDRESS(INDEX($AJ$2:$AJ$1001,MATCH(ROWS($AH$2:AH33),$AH$2:$AH$1001,0),0), INDEX($AO$1004:$BQ$1004,1,MATCH(COLUMNS($AO$1006:AS1006),$AO$1006:$BQ$1006,0)))),"Fix")))</f>
        <v>#N/A</v>
      </c>
      <c r="G33" s="5" t="e">
        <f ca="1">IF(OR(INDEX($AI$2:$AI$1001,MATCH(ROWS($AH$2:AH33),$AH$2:$AH$1001,0),1)&gt;=100000,INDEX($AO$1005:$BQ$1005,1,MATCH(COLUMNS($AO$1006:AT1006),$AO$1006:$BQ$1006,0))&gt;=100000), " ",IF(INDEX($AO$2:$BQ$1001,MATCH(ROWS($AH$2:AH33),$AH$2:$AH$1001,0),MATCH(COLUMNS($AO$1006:AT1006),$AO$1006:$BQ$1006,0)), HYPERLINK("#",""), HYPERLINK(CONCATENATE("#Metadata!", ADDRESS(INDEX($AJ$2:$AJ$1001,MATCH(ROWS($AH$2:AH33),$AH$2:$AH$1001,0),0), INDEX($AO$1004:$BQ$1004,1,MATCH(COLUMNS($AO$1006:AT1006),$AO$1006:$BQ$1006,0)))),"Fix")))</f>
        <v>#N/A</v>
      </c>
      <c r="H33" s="5" t="e">
        <f ca="1">IF(OR(INDEX($AI$2:$AI$1001,MATCH(ROWS($AH$2:AH33),$AH$2:$AH$1001,0),1)&gt;=100000,INDEX($AO$1005:$BQ$1005,1,MATCH(COLUMNS($AO$1006:AU1006),$AO$1006:$BQ$1006,0))&gt;=100000), " ",IF(INDEX($AO$2:$BQ$1001,MATCH(ROWS($AH$2:AH33),$AH$2:$AH$1001,0),MATCH(COLUMNS($AO$1006:AU1006),$AO$1006:$BQ$1006,0)), HYPERLINK("#",""), HYPERLINK(CONCATENATE("#Metadata!", ADDRESS(INDEX($AJ$2:$AJ$1001,MATCH(ROWS($AH$2:AH33),$AH$2:$AH$1001,0),0), INDEX($AO$1004:$BQ$1004,1,MATCH(COLUMNS($AO$1006:AU1006),$AO$1006:$BQ$1006,0)))),"Fix")))</f>
        <v>#N/A</v>
      </c>
      <c r="I33" s="5" t="e">
        <f ca="1">IF(OR(INDEX($AI$2:$AI$1001,MATCH(ROWS($AH$2:AH33),$AH$2:$AH$1001,0),1)&gt;=100000,INDEX($AO$1005:$BQ$1005,1,MATCH(COLUMNS($AO$1006:AV1006),$AO$1006:$BQ$1006,0))&gt;=100000), " ",IF(INDEX($AO$2:$BQ$1001,MATCH(ROWS($AH$2:AH33),$AH$2:$AH$1001,0),MATCH(COLUMNS($AO$1006:AV1006),$AO$1006:$BQ$1006,0)), HYPERLINK("#",""), HYPERLINK(CONCATENATE("#Metadata!", ADDRESS(INDEX($AJ$2:$AJ$1001,MATCH(ROWS($AH$2:AH33),$AH$2:$AH$1001,0),0), INDEX($AO$1004:$BQ$1004,1,MATCH(COLUMNS($AO$1006:AV1006),$AO$1006:$BQ$1006,0)))),"Fix")))</f>
        <v>#N/A</v>
      </c>
      <c r="J33" s="5" t="e">
        <f ca="1">IF(OR(INDEX($AI$2:$AI$1001,MATCH(ROWS($AH$2:AH33),$AH$2:$AH$1001,0),1)&gt;=100000,INDEX($AO$1005:$BQ$1005,1,MATCH(COLUMNS($AO$1006:AW1006),$AO$1006:$BQ$1006,0))&gt;=100000), " ",IF(INDEX($AO$2:$BQ$1001,MATCH(ROWS($AH$2:AH33),$AH$2:$AH$1001,0),MATCH(COLUMNS($AO$1006:AW1006),$AO$1006:$BQ$1006,0)), HYPERLINK("#",""), HYPERLINK(CONCATENATE("#Metadata!", ADDRESS(INDEX($AJ$2:$AJ$1001,MATCH(ROWS($AH$2:AH33),$AH$2:$AH$1001,0),0), INDEX($AO$1004:$BQ$1004,1,MATCH(COLUMNS($AO$1006:AW1006),$AO$1006:$BQ$1006,0)))),"Fix")))</f>
        <v>#N/A</v>
      </c>
      <c r="K33" s="5" t="e">
        <f ca="1">IF(OR(INDEX($AI$2:$AI$1001,MATCH(ROWS($AH$2:AH33),$AH$2:$AH$1001,0),1)&gt;=100000,INDEX($AO$1005:$BQ$1005,1,MATCH(COLUMNS($AO$1006:AX1006),$AO$1006:$BQ$1006,0))&gt;=100000), " ",IF(INDEX($AO$2:$BQ$1001,MATCH(ROWS($AH$2:AH33),$AH$2:$AH$1001,0),MATCH(COLUMNS($AO$1006:AX1006),$AO$1006:$BQ$1006,0)), HYPERLINK("#",""), HYPERLINK(CONCATENATE("#Metadata!", ADDRESS(INDEX($AJ$2:$AJ$1001,MATCH(ROWS($AH$2:AH33),$AH$2:$AH$1001,0),0), INDEX($AO$1004:$BQ$1004,1,MATCH(COLUMNS($AO$1006:AX1006),$AO$1006:$BQ$1006,0)))),"Fix")))</f>
        <v>#N/A</v>
      </c>
      <c r="L33" s="5" t="e">
        <f ca="1">IF(OR(INDEX($AI$2:$AI$1001,MATCH(ROWS($AH$2:AH33),$AH$2:$AH$1001,0),1)&gt;=100000,INDEX($AO$1005:$BQ$1005,1,MATCH(COLUMNS($AO$1006:AY1006),$AO$1006:$BQ$1006,0))&gt;=100000), " ",IF(INDEX($AO$2:$BQ$1001,MATCH(ROWS($AH$2:AH33),$AH$2:$AH$1001,0),MATCH(COLUMNS($AO$1006:AY1006),$AO$1006:$BQ$1006,0)), HYPERLINK("#",""), HYPERLINK(CONCATENATE("#Metadata!", ADDRESS(INDEX($AJ$2:$AJ$1001,MATCH(ROWS($AH$2:AH33),$AH$2:$AH$1001,0),0), INDEX($AO$1004:$BQ$1004,1,MATCH(COLUMNS($AO$1006:AY1006),$AO$1006:$BQ$1006,0)))),"Fix")))</f>
        <v>#N/A</v>
      </c>
      <c r="M33" s="5" t="e">
        <f ca="1">IF(OR(INDEX($AI$2:$AI$1001,MATCH(ROWS($AH$2:AH33),$AH$2:$AH$1001,0),1)&gt;=100000,INDEX($AO$1005:$BQ$1005,1,MATCH(COLUMNS($AO$1006:AZ1006),$AO$1006:$BQ$1006,0))&gt;=100000), " ",IF(INDEX($AO$2:$BQ$1001,MATCH(ROWS($AH$2:AH33),$AH$2:$AH$1001,0),MATCH(COLUMNS($AO$1006:AZ1006),$AO$1006:$BQ$1006,0)), HYPERLINK("#",""), HYPERLINK(CONCATENATE("#Metadata!", ADDRESS(INDEX($AJ$2:$AJ$1001,MATCH(ROWS($AH$2:AH33),$AH$2:$AH$1001,0),0), INDEX($AO$1004:$BQ$1004,1,MATCH(COLUMNS($AO$1006:AZ1006),$AO$1006:$BQ$1006,0)))),"Fix")))</f>
        <v>#N/A</v>
      </c>
      <c r="N33" s="5" t="e">
        <f ca="1">IF(OR(INDEX($AI$2:$AI$1001,MATCH(ROWS($AH$2:AH33),$AH$2:$AH$1001,0),1)&gt;=100000,INDEX($AO$1005:$BQ$1005,1,MATCH(COLUMNS($AO$1006:BA1006),$AO$1006:$BQ$1006,0))&gt;=100000), " ",IF(INDEX($AO$2:$BQ$1001,MATCH(ROWS($AH$2:AH33),$AH$2:$AH$1001,0),MATCH(COLUMNS($AO$1006:BA1006),$AO$1006:$BQ$1006,0)), HYPERLINK("#",""), HYPERLINK(CONCATENATE("#Metadata!", ADDRESS(INDEX($AJ$2:$AJ$1001,MATCH(ROWS($AH$2:AH33),$AH$2:$AH$1001,0),0), INDEX($AO$1004:$BQ$1004,1,MATCH(COLUMNS($AO$1006:BA1006),$AO$1006:$BQ$1006,0)))),"Fix")))</f>
        <v>#N/A</v>
      </c>
      <c r="O33" s="5" t="e">
        <f ca="1">IF(OR(INDEX($AI$2:$AI$1001,MATCH(ROWS($AH$2:AH33),$AH$2:$AH$1001,0),1)&gt;=100000,INDEX($AO$1005:$BQ$1005,1,MATCH(COLUMNS($AO$1006:BB1006),$AO$1006:$BQ$1006,0))&gt;=100000), " ",IF(INDEX($AO$2:$BQ$1001,MATCH(ROWS($AH$2:AH33),$AH$2:$AH$1001,0),MATCH(COLUMNS($AO$1006:BB1006),$AO$1006:$BQ$1006,0)), HYPERLINK("#",""), HYPERLINK(CONCATENATE("#Metadata!", ADDRESS(INDEX($AJ$2:$AJ$1001,MATCH(ROWS($AH$2:AH33),$AH$2:$AH$1001,0),0), INDEX($AO$1004:$BQ$1004,1,MATCH(COLUMNS($AO$1006:BB1006),$AO$1006:$BQ$1006,0)))),"Fix")))</f>
        <v>#N/A</v>
      </c>
      <c r="P33" s="5" t="e">
        <f ca="1">IF(OR(INDEX($AI$2:$AI$1001,MATCH(ROWS($AH$2:AH33),$AH$2:$AH$1001,0),1)&gt;=100000,INDEX($AO$1005:$BQ$1005,1,MATCH(COLUMNS($AO$1006:BC1006),$AO$1006:$BQ$1006,0))&gt;=100000), " ",IF(INDEX($AO$2:$BQ$1001,MATCH(ROWS($AH$2:AH33),$AH$2:$AH$1001,0),MATCH(COLUMNS($AO$1006:BC1006),$AO$1006:$BQ$1006,0)), HYPERLINK("#",""), HYPERLINK(CONCATENATE("#Metadata!", ADDRESS(INDEX($AJ$2:$AJ$1001,MATCH(ROWS($AH$2:AH33),$AH$2:$AH$1001,0),0), INDEX($AO$1004:$BQ$1004,1,MATCH(COLUMNS($AO$1006:BC1006),$AO$1006:$BQ$1006,0)))),"Fix")))</f>
        <v>#N/A</v>
      </c>
      <c r="Q33" s="5" t="e">
        <f ca="1">IF(OR(INDEX($AI$2:$AI$1001,MATCH(ROWS($AH$2:AH33),$AH$2:$AH$1001,0),1)&gt;=100000,INDEX($AO$1005:$BQ$1005,1,MATCH(COLUMNS($AO$1006:BD1006),$AO$1006:$BQ$1006,0))&gt;=100000), " ",IF(INDEX($AO$2:$BQ$1001,MATCH(ROWS($AH$2:AH33),$AH$2:$AH$1001,0),MATCH(COLUMNS($AO$1006:BD1006),$AO$1006:$BQ$1006,0)), HYPERLINK("#",""), HYPERLINK(CONCATENATE("#Metadata!", ADDRESS(INDEX($AJ$2:$AJ$1001,MATCH(ROWS($AH$2:AH33),$AH$2:$AH$1001,0),0), INDEX($AO$1004:$BQ$1004,1,MATCH(COLUMNS($AO$1006:BD1006),$AO$1006:$BQ$1006,0)))),"Fix")))</f>
        <v>#N/A</v>
      </c>
      <c r="R33" s="5" t="e">
        <f ca="1">IF(OR(INDEX($AI$2:$AI$1001,MATCH(ROWS($AH$2:AH33),$AH$2:$AH$1001,0),1)&gt;=100000,INDEX($AO$1005:$BQ$1005,1,MATCH(COLUMNS($AO$1006:BE1006),$AO$1006:$BQ$1006,0))&gt;=100000), " ",IF(INDEX($AO$2:$BQ$1001,MATCH(ROWS($AH$2:AH33),$AH$2:$AH$1001,0),MATCH(COLUMNS($AO$1006:BE1006),$AO$1006:$BQ$1006,0)), HYPERLINK("#",""), HYPERLINK(CONCATENATE("#Metadata!", ADDRESS(INDEX($AJ$2:$AJ$1001,MATCH(ROWS($AH$2:AH33),$AH$2:$AH$1001,0),0), INDEX($AO$1004:$BQ$1004,1,MATCH(COLUMNS($AO$1006:BE1006),$AO$1006:$BQ$1006,0)))),"Fix")))</f>
        <v>#N/A</v>
      </c>
      <c r="S33" s="5" t="e">
        <f ca="1">IF(OR(INDEX($AI$2:$AI$1001,MATCH(ROWS($AH$2:AH33),$AH$2:$AH$1001,0),1)&gt;=100000,INDEX($AO$1005:$BQ$1005,1,MATCH(COLUMNS($AO$1006:BF1006),$AO$1006:$BQ$1006,0))&gt;=100000), " ",IF(INDEX($AO$2:$BQ$1001,MATCH(ROWS($AH$2:AH33),$AH$2:$AH$1001,0),MATCH(COLUMNS($AO$1006:BF1006),$AO$1006:$BQ$1006,0)), HYPERLINK("#",""), HYPERLINK(CONCATENATE("#Metadata!", ADDRESS(INDEX($AJ$2:$AJ$1001,MATCH(ROWS($AH$2:AH33),$AH$2:$AH$1001,0),0), INDEX($AO$1004:$BQ$1004,1,MATCH(COLUMNS($AO$1006:BF1006),$AO$1006:$BQ$1006,0)))),"Fix")))</f>
        <v>#N/A</v>
      </c>
      <c r="T33" s="5" t="e">
        <f ca="1">IF(OR(INDEX($AI$2:$AI$1001,MATCH(ROWS($AH$2:AH33),$AH$2:$AH$1001,0),1)&gt;=100000,INDEX($AO$1005:$BQ$1005,1,MATCH(COLUMNS($AO$1006:BG1006),$AO$1006:$BQ$1006,0))&gt;=100000), " ",IF(INDEX($AO$2:$BQ$1001,MATCH(ROWS($AH$2:AH33),$AH$2:$AH$1001,0),MATCH(COLUMNS($AO$1006:BG1006),$AO$1006:$BQ$1006,0)), HYPERLINK("#",""), HYPERLINK(CONCATENATE("#Metadata!", ADDRESS(INDEX($AJ$2:$AJ$1001,MATCH(ROWS($AH$2:AH33),$AH$2:$AH$1001,0),0), INDEX($AO$1004:$BQ$1004,1,MATCH(COLUMNS($AO$1006:BG1006),$AO$1006:$BQ$1006,0)))),"Fix")))</f>
        <v>#N/A</v>
      </c>
      <c r="U33" s="5" t="e">
        <f ca="1">IF(OR(INDEX($AI$2:$AI$1001,MATCH(ROWS($AH$2:AH33),$AH$2:$AH$1001,0),1)&gt;=100000,INDEX($AO$1005:$BQ$1005,1,MATCH(COLUMNS($AO$1006:BH1006),$AO$1006:$BQ$1006,0))&gt;=100000), " ",IF(INDEX($AO$2:$BQ$1001,MATCH(ROWS($AH$2:AH33),$AH$2:$AH$1001,0),MATCH(COLUMNS($AO$1006:BH1006),$AO$1006:$BQ$1006,0)), HYPERLINK("#",""), HYPERLINK(CONCATENATE("#Metadata!", ADDRESS(INDEX($AJ$2:$AJ$1001,MATCH(ROWS($AH$2:AH33),$AH$2:$AH$1001,0),0), INDEX($AO$1004:$BQ$1004,1,MATCH(COLUMNS($AO$1006:BH1006),$AO$1006:$BQ$1006,0)))),"Fix")))</f>
        <v>#N/A</v>
      </c>
      <c r="V33" s="5" t="e">
        <f ca="1">IF(OR(INDEX($AI$2:$AI$1001,MATCH(ROWS($AH$2:AH33),$AH$2:$AH$1001,0),1)&gt;=100000,INDEX($AO$1005:$BQ$1005,1,MATCH(COLUMNS($AO$1006:BI1006),$AO$1006:$BQ$1006,0))&gt;=100000), " ",IF(INDEX($AO$2:$BQ$1001,MATCH(ROWS($AH$2:AH33),$AH$2:$AH$1001,0),MATCH(COLUMNS($AO$1006:BI1006),$AO$1006:$BQ$1006,0)), HYPERLINK("#",""), HYPERLINK(CONCATENATE("#Metadata!", ADDRESS(INDEX($AJ$2:$AJ$1001,MATCH(ROWS($AH$2:AH33),$AH$2:$AH$1001,0),0), INDEX($AO$1004:$BQ$1004,1,MATCH(COLUMNS($AO$1006:BI1006),$AO$1006:$BQ$1006,0)))),"Fix")))</f>
        <v>#N/A</v>
      </c>
      <c r="W33" s="5" t="e">
        <f ca="1">IF(OR(INDEX($AI$2:$AI$1001,MATCH(ROWS($AH$2:AH33),$AH$2:$AH$1001,0),1)&gt;=100000,INDEX($AO$1005:$BQ$1005,1,MATCH(COLUMNS($AO$1006:BJ1006),$AO$1006:$BQ$1006,0))&gt;=100000), " ",IF(INDEX($AO$2:$BQ$1001,MATCH(ROWS($AH$2:AH33),$AH$2:$AH$1001,0),MATCH(COLUMNS($AO$1006:BJ1006),$AO$1006:$BQ$1006,0)), HYPERLINK("#",""), HYPERLINK(CONCATENATE("#Metadata!", ADDRESS(INDEX($AJ$2:$AJ$1001,MATCH(ROWS($AH$2:AH33),$AH$2:$AH$1001,0),0), INDEX($AO$1004:$BQ$1004,1,MATCH(COLUMNS($AO$1006:BJ1006),$AO$1006:$BQ$1006,0)))),"Fix")))</f>
        <v>#N/A</v>
      </c>
      <c r="X33" s="5" t="e">
        <f ca="1">IF(OR(INDEX($AI$2:$AI$1001,MATCH(ROWS($AH$2:AH33),$AH$2:$AH$1001,0),1)&gt;=100000,INDEX($AO$1005:$BQ$1005,1,MATCH(COLUMNS($AO$1006:BK1006),$AO$1006:$BQ$1006,0))&gt;=100000), " ",IF(INDEX($AO$2:$BQ$1001,MATCH(ROWS($AH$2:AH33),$AH$2:$AH$1001,0),MATCH(COLUMNS($AO$1006:BK1006),$AO$1006:$BQ$1006,0)), HYPERLINK("#",""), HYPERLINK(CONCATENATE("#Metadata!", ADDRESS(INDEX($AJ$2:$AJ$1001,MATCH(ROWS($AH$2:AH33),$AH$2:$AH$1001,0),0), INDEX($AO$1004:$BQ$1004,1,MATCH(COLUMNS($AO$1006:BK1006),$AO$1006:$BQ$1006,0)))),"Fix")))</f>
        <v>#N/A</v>
      </c>
      <c r="Y33" s="5" t="e">
        <f ca="1">IF(OR(INDEX($AI$2:$AI$1001,MATCH(ROWS($AH$2:AH33),$AH$2:$AH$1001,0),1)&gt;=100000,INDEX($AO$1005:$BQ$1005,1,MATCH(COLUMNS($AO$1006:BL1006),$AO$1006:$BQ$1006,0))&gt;=100000), " ",IF(INDEX($AO$2:$BQ$1001,MATCH(ROWS($AH$2:AH33),$AH$2:$AH$1001,0),MATCH(COLUMNS($AO$1006:BL1006),$AO$1006:$BQ$1006,0)), HYPERLINK("#",""), HYPERLINK(CONCATENATE("#Metadata!", ADDRESS(INDEX($AJ$2:$AJ$1001,MATCH(ROWS($AH$2:AH33),$AH$2:$AH$1001,0),0), INDEX($AO$1004:$BQ$1004,1,MATCH(COLUMNS($AO$1006:BL1006),$AO$1006:$BQ$1006,0)))),"Fix")))</f>
        <v>#N/A</v>
      </c>
      <c r="Z33" s="5" t="e">
        <f ca="1">IF(OR(INDEX($AI$2:$AI$1001,MATCH(ROWS($AH$2:AH33),$AH$2:$AH$1001,0),1)&gt;=100000,INDEX($AO$1005:$BQ$1005,1,MATCH(COLUMNS($AO$1006:BM1006),$AO$1006:$BQ$1006,0))&gt;=100000), " ",IF(INDEX($AO$2:$BQ$1001,MATCH(ROWS($AH$2:AH33),$AH$2:$AH$1001,0),MATCH(COLUMNS($AO$1006:BM1006),$AO$1006:$BQ$1006,0)), HYPERLINK("#",""), HYPERLINK(CONCATENATE("#Metadata!", ADDRESS(INDEX($AJ$2:$AJ$1001,MATCH(ROWS($AH$2:AH33),$AH$2:$AH$1001,0),0), INDEX($AO$1004:$BQ$1004,1,MATCH(COLUMNS($AO$1006:BM1006),$AO$1006:$BQ$1006,0)))),"Fix")))</f>
        <v>#N/A</v>
      </c>
      <c r="AA33" s="5" t="e">
        <f ca="1">IF(OR(INDEX($AI$2:$AI$1001,MATCH(ROWS($AH$2:AH33),$AH$2:$AH$1001,0),1)&gt;=100000,INDEX($AO$1005:$BQ$1005,1,MATCH(COLUMNS($AO$1006:BN1006),$AO$1006:$BQ$1006,0))&gt;=100000), " ",IF(INDEX($AO$2:$BQ$1001,MATCH(ROWS($AH$2:AH33),$AH$2:$AH$1001,0),MATCH(COLUMNS($AO$1006:BN1006),$AO$1006:$BQ$1006,0)), HYPERLINK("#",""), HYPERLINK(CONCATENATE("#Metadata!", ADDRESS(INDEX($AJ$2:$AJ$1001,MATCH(ROWS($AH$2:AH33),$AH$2:$AH$1001,0),0), INDEX($AO$1004:$BQ$1004,1,MATCH(COLUMNS($AO$1006:BN1006),$AO$1006:$BQ$1006,0)))),"Fix")))</f>
        <v>#N/A</v>
      </c>
      <c r="AB33" s="5" t="e">
        <f ca="1">IF(OR(INDEX($AI$2:$AI$1001,MATCH(ROWS($AH$2:AH33),$AH$2:$AH$1001,0),1)&gt;=100000,INDEX($AO$1005:$BQ$1005,1,MATCH(COLUMNS($AO$1006:BO1006),$AO$1006:$BQ$1006,0))&gt;=100000), " ",IF(INDEX($AO$2:$BQ$1001,MATCH(ROWS($AH$2:AH33),$AH$2:$AH$1001,0),MATCH(COLUMNS($AO$1006:BO1006),$AO$1006:$BQ$1006,0)), HYPERLINK("#",""), HYPERLINK(CONCATENATE("#Metadata!", ADDRESS(INDEX($AJ$2:$AJ$1001,MATCH(ROWS($AH$2:AH33),$AH$2:$AH$1001,0),0), INDEX($AO$1004:$BQ$1004,1,MATCH(COLUMNS($AO$1006:BO1006),$AO$1006:$BQ$1006,0)))),"Fix")))</f>
        <v>#N/A</v>
      </c>
      <c r="AC33" s="5" t="e">
        <f ca="1">IF(OR(INDEX($AI$2:$AI$1001,MATCH(ROWS($AH$2:AH33),$AH$2:$AH$1001,0),1)&gt;=100000,INDEX($AO$1005:$BQ$1005,1,MATCH(COLUMNS($AO$1006:BP1006),$AO$1006:$BQ$1006,0))&gt;=100000), " ",IF(INDEX($AO$2:$BQ$1001,MATCH(ROWS($AH$2:AH33),$AH$2:$AH$1001,0),MATCH(COLUMNS($AO$1006:BP1006),$AO$1006:$BQ$1006,0)), HYPERLINK("#",""), HYPERLINK(CONCATENATE("#Metadata!", ADDRESS(INDEX($AJ$2:$AJ$1001,MATCH(ROWS($AH$2:AH33),$AH$2:$AH$1001,0),0), INDEX($AO$1004:$BQ$1004,1,MATCH(COLUMNS($AO$1006:BP1006),$AO$1006:$BQ$1006,0)))),"Fix")))</f>
        <v>#N/A</v>
      </c>
      <c r="AD33" s="5" t="e">
        <f ca="1">IF(OR(INDEX($AI$2:$AI$1001,MATCH(ROWS($AH$2:AH33),$AH$2:$AH$1001,0),1)&gt;=100000,INDEX($AO$1005:$BQ$1005,1,MATCH(COLUMNS($AO$1006:BQ1006),$AO$1006:$BQ$1006,0))&gt;=100000), " ",IF(INDEX($AO$2:$BQ$1001,MATCH(ROWS($AH$2:AH33),$AH$2:$AH$1001,0),MATCH(COLUMNS($AO$1006:BQ1006),$AO$1006:$BQ$1006,0)), HYPERLINK("#",""), HYPERLINK(CONCATENATE("#Metadata!", ADDRESS(INDEX($AJ$2:$AJ$1001,MATCH(ROWS($AH$2:AH33),$AH$2:$AH$1001,0),0), INDEX($AO$1004:$BQ$1004,1,MATCH(COLUMNS($AO$1006:BQ1006),$AO$1006:$BQ$1006,0)))),"Fix")))</f>
        <v>#REF!</v>
      </c>
      <c r="AH33">
        <f ca="1"/>
        <v>30</v>
      </c>
      <c r="AI33">
        <f ca="1"/>
        <v>33</v>
      </c>
      <c r="AJ33">
        <v>33</v>
      </c>
      <c r="AK33" t="b">
        <f t="shared" ca="1" si="0"/>
        <v>0</v>
      </c>
      <c r="AL33" t="b">
        <f>COUNTBLANK(Metadata!B33:AD33)=COLUMNS(Metadata!B33:AD33)</f>
        <v>0</v>
      </c>
      <c r="AM33" t="str">
        <v>Environment.Upland.soil.2.BTP.224</v>
      </c>
      <c r="AO33" t="b">
        <f ca="1">AND(IF(Metadata!B32="",FALSE,TRUE),COUNTIF(Metadata!B:B, Metadata!B32) = 1,NOT(ISERROR(SUMPRODUCT(SEARCH(MID(Metadata!B32,ROW(INDIRECT("1:"&amp;LEN(Metadata!B32))), 1),"0123456789abcdefghijklmnopqrstuvwxyzABCDEFGHIJKLMNOPQRSTUVWXYZ.")))))</f>
        <v>1</v>
      </c>
      <c r="AP33" t="b">
        <f>IF(Metadata!C32="",FALSE,TRUE)</f>
        <v>1</v>
      </c>
      <c r="AQ33" t="b">
        <f>IF(Metadata!D32="",FALSE,TRUE)</f>
        <v>1</v>
      </c>
      <c r="AR33" t="b">
        <f ca="1">OR(AND(IF(Metadata!E32="",FALSE,TRUE),OR(EXACT(Metadata!E32,"not collected"),EXACT(Metadata!E32,"not provided"),EXACT(Metadata!E32,"restricted access"))),AND(IF(Metadata!E32="",FALSE,TRUE),AND(AND(IFERROR(INT(LEFT(Metadata!E32,4))&gt;1900,FALSE),IFERROR(INT(LEFT(Metadata!E32,4))&lt;=YEAR(NOW()),FALSE)), OR(MID(Metadata!E32,5,1)="", AND(AND(MID(Metadata!E32,5,1)="-",IFERROR(INT(MID(Metadata!E32,6,1))&gt;=0,FALSE),IFERROR(INT(MID(Metadata!E32,6,1))&lt;=1,FALSE),NOT(MID(Metadata!E32,7,1)=""),IFERROR(INT(MID(Metadata!E32,6,2))&gt;=1,FALSE),IFERROR(INT(MID(Metadata!E32,6,2))&lt;=12,FALSE)), OR(MID(Metadata!E32,8,1)="", AND(AND(MID(Metadata!E32,8,1)="-",IFERROR(INT(MID(Metadata!E32,9,1))&gt;=0,FALSE),IFERROR(INT(MID(Metadata!E32,9,1))&lt;=3,FALSE),NOT(MID(Metadata!E32,10,1)=""),IFERROR(INT(MID(Metadata!E32,9,2))&gt;=1,FALSE),IFERROR(INT(MID(Metadata!E32,9,2))&lt;=31,FALSE)), OR(MID(Metadata!E32,11,1)="", AND(AND(MID(Metadata!E32,11,1)=" ",IFERROR(INT(MID(Metadata!E32,12,1))&gt;=0,FALSE),IFERROR(INT(MID(Metadata!E32,12,1))&lt;=2,FALSE),NOT(MID(Metadata!E32,13,1)=""),IFERROR(INT(MID(Metadata!E32,12,2))&gt;=0,FALSE),IFERROR(INT(MID(Metadata!E32,12,2))&lt;=23,FALSE)), OR(MID(Metadata!E32,14,1)="", AND(AND(MID(Metadata!E32,14,1)=":",IFERROR(INT(MID(Metadata!E32,15,1))&gt;=0,FALSE),IFERROR(INT(MID(Metadata!E32,15,1))&lt;=5,FALSE),NOT(MID(Metadata!E32,16,1)=""),IFERROR(INT(MID(Metadata!E32,15,2))&gt;=0,FALSE),IFERROR(INT(MID(Metadata!E32,15,2))&lt;=59,FALSE)), OR(MID(Metadata!E32,17,1)="", AND(AND(MID(Metadata!E32,17,1)=":",IFERROR(INT(MID(Metadata!E32,18,1))&gt;=0,FALSE),IFERROR(INT(MID(Metadata!E32,18,1))&lt;=5,FALSE),NOT(MID(Metadata!E32,19,1)=""),IFERROR(INT(MID(Metadata!E32,18,2))&gt;=0,FALSE),IFERROR(INT(MID(Metadata!E32,18,2))&lt;=59,FALSE)), LEN(Metadata!E32)&lt;=19)))))))))))))</f>
        <v>0</v>
      </c>
      <c r="AS33" t="b">
        <f>IF(Metadata!F32="",FALSE,TRUE)</f>
        <v>1</v>
      </c>
      <c r="AT33" t="b">
        <f>OR(AND(IF(Metadata!G32="",FALSE,TRUE),OR(EXACT(Metadata!G32,"not collected"),EXACT(Metadata!G32,"not provided"))),AND(IF(Metadata!G32="",FALSE,TRUE),OR(EXACT(Metadata!G32,"TRUE"),EXACT(Metadata!G32,"FALSE"))))</f>
        <v>1</v>
      </c>
      <c r="AU33" t="b">
        <f>OR(AND(IF(Metadata!H32="",FALSE,TRUE),OR(EXACT(Metadata!H32,"not collected"),EXACT(Metadata!H32,"not provided"),EXACT(Metadata!H32,"restricted access"))),AND(IF(Metadata!H32="",FALSE,ISNUMBER(VALUE(Metadata!H32))),Metadata!H32&gt;=-413))</f>
        <v>0</v>
      </c>
      <c r="AV33" t="b">
        <f>AND(IF(Metadata!I32="",FALSE,TRUE),EXACT(Metadata!I32,"meters"))</f>
        <v>1</v>
      </c>
      <c r="AW33" t="b">
        <f>AND(IF(Metadata!J32="",FALSE,TRUE),EXACT(Metadata!J32,"free-living"))</f>
        <v>1</v>
      </c>
      <c r="AX33" t="b">
        <f>AND(IF(Metadata!K32="",FALSE,TRUE),OR(EXACT(Metadata!K32,"saline"),EXACT(Metadata!K32,"non-saline")))</f>
        <v>1</v>
      </c>
      <c r="AY33" t="b">
        <f>AND(IF(Metadata!L32="",FALSE,TRUE),OR(EXACT(Metadata!L32,"sub-surface (non-saline)"),EXACT(Metadata!L32,"surface (non-saline)"),EXACT(Metadata!L32,"water (non-saline)"),EXACT(Metadata!L32,"soil (non-saline)"),EXACT(Metadata!L32,"aerosol (non-saline)"),EXACT(Metadata!L32,"sediment (non-saline)"),EXACT(Metadata!L32,"surface (saline)"),EXACT(Metadata!L32,"water (saline)"),EXACT(Metadata!L32,"hypersaline (saline)"),EXACT(Metadata!L32,"aerosol (saline)"),EXACT(Metadata!L32,"sediment (saline)")))</f>
        <v>1</v>
      </c>
      <c r="AZ33" t="b">
        <f>IF(Metadata!M32="",FALSE,TRUE)</f>
        <v>1</v>
      </c>
      <c r="BA33" t="b">
        <f>IF(Metadata!N32="",FALSE,TRUE)</f>
        <v>1</v>
      </c>
      <c r="BB33" t="b">
        <f>IF(Metadata!O32="",FALSE,TRUE)</f>
        <v>1</v>
      </c>
      <c r="BC33" t="b">
        <f>AND(IF(Metadata!P32="",FALSE,TRUE),OR(EXACT(Metadata!P32,"air"),EXACT(Metadata!P32,"microbial mat/biofilm"),EXACT(Metadata!P32,"misc environment"),EXACT(Metadata!P32,"sediment"),EXACT(Metadata!P32,"soil"),EXACT(Metadata!P32,"wastewater/sludge"),EXACT(Metadata!P32,"water")))</f>
        <v>1</v>
      </c>
      <c r="BD33" t="b">
        <f>IF(Metadata!Q32="",FALSE,TRUE)</f>
        <v>1</v>
      </c>
      <c r="BE33" t="b">
        <f>IF(Metadata!R32="",FALSE,TRUE)</f>
        <v>1</v>
      </c>
      <c r="BF33" t="b">
        <f>OR(AND(IF(Metadata!S32="",FALSE,TRUE),OR(EXACT(Metadata!S32,"not collected"),EXACT(Metadata!S32,"not provided"),EXACT(Metadata!S32,"restricted access"))),AND(IF(Metadata!S32="",FALSE,ISNUMBER(VALUE(Metadata!S32))),Metadata!S32&gt;=-90,Metadata!S32&lt;=90))</f>
        <v>0</v>
      </c>
      <c r="BG33" t="b">
        <f>AND(IF(Metadata!T32="",FALSE,TRUE),EXACT(Metadata!T32,"Decimal degrees"))</f>
        <v>1</v>
      </c>
      <c r="BH33" t="b">
        <f>OR(AND(IF(Metadata!U32="",FALSE,TRUE),OR(EXACT(Metadata!U32,"not applicable"),EXACT(Metadata!U32,"not collected"))),IF(Metadata!U32="",FALSE,TRUE))</f>
        <v>1</v>
      </c>
      <c r="BI33" t="b">
        <f>OR(AND(IF(Metadata!V32="",FALSE,TRUE),OR(EXACT(Metadata!V32,"not collected"),EXACT(Metadata!V32,"not provided"),EXACT(Metadata!V32,"restricted access"))),AND(IF(Metadata!V32="",FALSE,ISNUMBER(VALUE(Metadata!V32))),Metadata!V32&gt;=-180,Metadata!V32&lt;=180))</f>
        <v>0</v>
      </c>
      <c r="BJ33" t="b">
        <f>AND(IF(Metadata!W32="",FALSE,TRUE),EXACT(Metadata!W32,"Decimal degrees"))</f>
        <v>1</v>
      </c>
      <c r="BK33" t="b">
        <f>IF(Metadata!X32="",FALSE,TRUE)</f>
        <v>1</v>
      </c>
      <c r="BL33" t="b">
        <f>OR(AND(IF(Metadata!Y32="",FALSE,TRUE),OR(EXACT(Metadata!Y32,"not collected"),EXACT(Metadata!Y32,"not provided"),EXACT(Metadata!Y32,"restricted access"))),AND(IF(Metadata!Y32="",FALSE,TRUE),OR(EXACT(Metadata!Y32,"TRUE"),EXACT(Metadata!Y32,"FALSE"))))</f>
        <v>1</v>
      </c>
      <c r="BM33" t="b">
        <f>OR(AND(IF(Metadata!Z32="",FALSE,TRUE),EXACT(Metadata!Z32,"not applicable")),AND(IF(Metadata!Z32="",FALSE,TRUE),OR(EXACT(Metadata!Z32,"beer"),EXACT(Metadata!Z32,"cheese"),EXACT(Metadata!Z32,"fresh water"),EXACT(Metadata!Z32,"marine sediment"),EXACT(Metadata!Z32,"sea water"),EXACT(Metadata!Z32,"sediment"),EXACT(Metadata!Z32,"soil"),EXACT(Metadata!Z32,"waste water"))))</f>
        <v>1</v>
      </c>
      <c r="BN33" t="b">
        <f>AND(IF(Metadata!AA32="",FALSE,TRUE),EXACT(Metadata!AA32,"metagenome"))</f>
        <v>1</v>
      </c>
      <c r="BO33" t="b">
        <f>AND(IF(Metadata!AB32="",FALSE,TRUE),EXACT(Metadata!AB32,"256318"))</f>
        <v>1</v>
      </c>
      <c r="BP33" t="b">
        <f>IF(Metadata!AC32="",FALSE,TRUE)</f>
        <v>1</v>
      </c>
      <c r="BQ33" t="b">
        <f>IF(Metadata!AD32="",FALSE,TRUE)</f>
        <v>1</v>
      </c>
    </row>
    <row r="34" spans="1:69" x14ac:dyDescent="0.2">
      <c r="A34" s="4" t="e">
        <f ca="1">IF(B34=" "," ",HYPERLINK(CONCATENATE("#metadata!",ADDRESS(INDEX($AJ$2:$AJ$1001,MATCH(ROWS($AH$2:AH34),$AH$2:$AH$1001,0),0),2)),INDEX($AM$2:$AM$1001,MATCH(ROWS($AH$2:AH34),$AH$2:$AH$1001,0),0)))</f>
        <v>#N/A</v>
      </c>
      <c r="B34" s="5" t="e">
        <f ca="1">IF(OR(INDEX($AI$2:$AI$1001,MATCH(ROWS($AH$2:AH34),$AH$2:$AH$1001,0),1)&gt;=100000,INDEX($AO$1005:$BQ$1005,1,MATCH(COLUMNS($AO$1006:AO1006),$AO$1006:$BQ$1006,0))&gt;=100000), " ",IF(INDEX($AO$2:$BQ$1001,MATCH(ROWS($AH$2:AH34),$AH$2:$AH$1001,0),MATCH(COLUMNS($AO$1006:AO1006),$AO$1006:$BQ$1006,0)), HYPERLINK("#",""), HYPERLINK(CONCATENATE("#Metadata!", ADDRESS(INDEX($AJ$2:$AJ$1001,MATCH(ROWS($AH$2:AH34),$AH$2:$AH$1001,0),0), INDEX($AO$1004:$BQ$1004,1,MATCH(COLUMNS($AO$1006:AO1006),$AO$1006:$BQ$1006,0)))),"Fix")))</f>
        <v>#N/A</v>
      </c>
      <c r="C34" s="5" t="e">
        <f ca="1">IF(OR(INDEX($AI$2:$AI$1001,MATCH(ROWS($AH$2:AH34),$AH$2:$AH$1001,0),1)&gt;=100000,INDEX($AO$1005:$BQ$1005,1,MATCH(COLUMNS($AO$1006:AP1006),$AO$1006:$BQ$1006,0))&gt;=100000), " ",IF(INDEX($AO$2:$BQ$1001,MATCH(ROWS($AH$2:AH34),$AH$2:$AH$1001,0),MATCH(COLUMNS($AO$1006:AP1006),$AO$1006:$BQ$1006,0)), HYPERLINK("#",""), HYPERLINK(CONCATENATE("#Metadata!", ADDRESS(INDEX($AJ$2:$AJ$1001,MATCH(ROWS($AH$2:AH34),$AH$2:$AH$1001,0),0), INDEX($AO$1004:$BQ$1004,1,MATCH(COLUMNS($AO$1006:AP1006),$AO$1006:$BQ$1006,0)))),"Fix")))</f>
        <v>#N/A</v>
      </c>
      <c r="D34" s="5" t="e">
        <f ca="1">IF(OR(INDEX($AI$2:$AI$1001,MATCH(ROWS($AH$2:AH34),$AH$2:$AH$1001,0),1)&gt;=100000,INDEX($AO$1005:$BQ$1005,1,MATCH(COLUMNS($AO$1006:AQ1006),$AO$1006:$BQ$1006,0))&gt;=100000), " ",IF(INDEX($AO$2:$BQ$1001,MATCH(ROWS($AH$2:AH34),$AH$2:$AH$1001,0),MATCH(COLUMNS($AO$1006:AQ1006),$AO$1006:$BQ$1006,0)), HYPERLINK("#",""), HYPERLINK(CONCATENATE("#Metadata!", ADDRESS(INDEX($AJ$2:$AJ$1001,MATCH(ROWS($AH$2:AH34),$AH$2:$AH$1001,0),0), INDEX($AO$1004:$BQ$1004,1,MATCH(COLUMNS($AO$1006:AQ1006),$AO$1006:$BQ$1006,0)))),"Fix")))</f>
        <v>#N/A</v>
      </c>
      <c r="E34" s="5" t="e">
        <f ca="1">IF(OR(INDEX($AI$2:$AI$1001,MATCH(ROWS($AH$2:AH34),$AH$2:$AH$1001,0),1)&gt;=100000,INDEX($AO$1005:$BQ$1005,1,MATCH(COLUMNS($AO$1006:AR1006),$AO$1006:$BQ$1006,0))&gt;=100000), " ",IF(INDEX($AO$2:$BQ$1001,MATCH(ROWS($AH$2:AH34),$AH$2:$AH$1001,0),MATCH(COLUMNS($AO$1006:AR1006),$AO$1006:$BQ$1006,0)), HYPERLINK("#",""), HYPERLINK(CONCATENATE("#Metadata!", ADDRESS(INDEX($AJ$2:$AJ$1001,MATCH(ROWS($AH$2:AH34),$AH$2:$AH$1001,0),0), INDEX($AO$1004:$BQ$1004,1,MATCH(COLUMNS($AO$1006:AR1006),$AO$1006:$BQ$1006,0)))),"Fix")))</f>
        <v>#N/A</v>
      </c>
      <c r="F34" s="5" t="e">
        <f ca="1">IF(OR(INDEX($AI$2:$AI$1001,MATCH(ROWS($AH$2:AH34),$AH$2:$AH$1001,0),1)&gt;=100000,INDEX($AO$1005:$BQ$1005,1,MATCH(COLUMNS($AO$1006:AS1006),$AO$1006:$BQ$1006,0))&gt;=100000), " ",IF(INDEX($AO$2:$BQ$1001,MATCH(ROWS($AH$2:AH34),$AH$2:$AH$1001,0),MATCH(COLUMNS($AO$1006:AS1006),$AO$1006:$BQ$1006,0)), HYPERLINK("#",""), HYPERLINK(CONCATENATE("#Metadata!", ADDRESS(INDEX($AJ$2:$AJ$1001,MATCH(ROWS($AH$2:AH34),$AH$2:$AH$1001,0),0), INDEX($AO$1004:$BQ$1004,1,MATCH(COLUMNS($AO$1006:AS1006),$AO$1006:$BQ$1006,0)))),"Fix")))</f>
        <v>#N/A</v>
      </c>
      <c r="G34" s="5" t="e">
        <f ca="1">IF(OR(INDEX($AI$2:$AI$1001,MATCH(ROWS($AH$2:AH34),$AH$2:$AH$1001,0),1)&gt;=100000,INDEX($AO$1005:$BQ$1005,1,MATCH(COLUMNS($AO$1006:AT1006),$AO$1006:$BQ$1006,0))&gt;=100000), " ",IF(INDEX($AO$2:$BQ$1001,MATCH(ROWS($AH$2:AH34),$AH$2:$AH$1001,0),MATCH(COLUMNS($AO$1006:AT1006),$AO$1006:$BQ$1006,0)), HYPERLINK("#",""), HYPERLINK(CONCATENATE("#Metadata!", ADDRESS(INDEX($AJ$2:$AJ$1001,MATCH(ROWS($AH$2:AH34),$AH$2:$AH$1001,0),0), INDEX($AO$1004:$BQ$1004,1,MATCH(COLUMNS($AO$1006:AT1006),$AO$1006:$BQ$1006,0)))),"Fix")))</f>
        <v>#N/A</v>
      </c>
      <c r="H34" s="5" t="e">
        <f ca="1">IF(OR(INDEX($AI$2:$AI$1001,MATCH(ROWS($AH$2:AH34),$AH$2:$AH$1001,0),1)&gt;=100000,INDEX($AO$1005:$BQ$1005,1,MATCH(COLUMNS($AO$1006:AU1006),$AO$1006:$BQ$1006,0))&gt;=100000), " ",IF(INDEX($AO$2:$BQ$1001,MATCH(ROWS($AH$2:AH34),$AH$2:$AH$1001,0),MATCH(COLUMNS($AO$1006:AU1006),$AO$1006:$BQ$1006,0)), HYPERLINK("#",""), HYPERLINK(CONCATENATE("#Metadata!", ADDRESS(INDEX($AJ$2:$AJ$1001,MATCH(ROWS($AH$2:AH34),$AH$2:$AH$1001,0),0), INDEX($AO$1004:$BQ$1004,1,MATCH(COLUMNS($AO$1006:AU1006),$AO$1006:$BQ$1006,0)))),"Fix")))</f>
        <v>#N/A</v>
      </c>
      <c r="I34" s="5" t="e">
        <f ca="1">IF(OR(INDEX($AI$2:$AI$1001,MATCH(ROWS($AH$2:AH34),$AH$2:$AH$1001,0),1)&gt;=100000,INDEX($AO$1005:$BQ$1005,1,MATCH(COLUMNS($AO$1006:AV1006),$AO$1006:$BQ$1006,0))&gt;=100000), " ",IF(INDEX($AO$2:$BQ$1001,MATCH(ROWS($AH$2:AH34),$AH$2:$AH$1001,0),MATCH(COLUMNS($AO$1006:AV1006),$AO$1006:$BQ$1006,0)), HYPERLINK("#",""), HYPERLINK(CONCATENATE("#Metadata!", ADDRESS(INDEX($AJ$2:$AJ$1001,MATCH(ROWS($AH$2:AH34),$AH$2:$AH$1001,0),0), INDEX($AO$1004:$BQ$1004,1,MATCH(COLUMNS($AO$1006:AV1006),$AO$1006:$BQ$1006,0)))),"Fix")))</f>
        <v>#N/A</v>
      </c>
      <c r="J34" s="5" t="e">
        <f ca="1">IF(OR(INDEX($AI$2:$AI$1001,MATCH(ROWS($AH$2:AH34),$AH$2:$AH$1001,0),1)&gt;=100000,INDEX($AO$1005:$BQ$1005,1,MATCH(COLUMNS($AO$1006:AW1006),$AO$1006:$BQ$1006,0))&gt;=100000), " ",IF(INDEX($AO$2:$BQ$1001,MATCH(ROWS($AH$2:AH34),$AH$2:$AH$1001,0),MATCH(COLUMNS($AO$1006:AW1006),$AO$1006:$BQ$1006,0)), HYPERLINK("#",""), HYPERLINK(CONCATENATE("#Metadata!", ADDRESS(INDEX($AJ$2:$AJ$1001,MATCH(ROWS($AH$2:AH34),$AH$2:$AH$1001,0),0), INDEX($AO$1004:$BQ$1004,1,MATCH(COLUMNS($AO$1006:AW1006),$AO$1006:$BQ$1006,0)))),"Fix")))</f>
        <v>#N/A</v>
      </c>
      <c r="K34" s="5" t="e">
        <f ca="1">IF(OR(INDEX($AI$2:$AI$1001,MATCH(ROWS($AH$2:AH34),$AH$2:$AH$1001,0),1)&gt;=100000,INDEX($AO$1005:$BQ$1005,1,MATCH(COLUMNS($AO$1006:AX1006),$AO$1006:$BQ$1006,0))&gt;=100000), " ",IF(INDEX($AO$2:$BQ$1001,MATCH(ROWS($AH$2:AH34),$AH$2:$AH$1001,0),MATCH(COLUMNS($AO$1006:AX1006),$AO$1006:$BQ$1006,0)), HYPERLINK("#",""), HYPERLINK(CONCATENATE("#Metadata!", ADDRESS(INDEX($AJ$2:$AJ$1001,MATCH(ROWS($AH$2:AH34),$AH$2:$AH$1001,0),0), INDEX($AO$1004:$BQ$1004,1,MATCH(COLUMNS($AO$1006:AX1006),$AO$1006:$BQ$1006,0)))),"Fix")))</f>
        <v>#N/A</v>
      </c>
      <c r="L34" s="5" t="e">
        <f ca="1">IF(OR(INDEX($AI$2:$AI$1001,MATCH(ROWS($AH$2:AH34),$AH$2:$AH$1001,0),1)&gt;=100000,INDEX($AO$1005:$BQ$1005,1,MATCH(COLUMNS($AO$1006:AY1006),$AO$1006:$BQ$1006,0))&gt;=100000), " ",IF(INDEX($AO$2:$BQ$1001,MATCH(ROWS($AH$2:AH34),$AH$2:$AH$1001,0),MATCH(COLUMNS($AO$1006:AY1006),$AO$1006:$BQ$1006,0)), HYPERLINK("#",""), HYPERLINK(CONCATENATE("#Metadata!", ADDRESS(INDEX($AJ$2:$AJ$1001,MATCH(ROWS($AH$2:AH34),$AH$2:$AH$1001,0),0), INDEX($AO$1004:$BQ$1004,1,MATCH(COLUMNS($AO$1006:AY1006),$AO$1006:$BQ$1006,0)))),"Fix")))</f>
        <v>#N/A</v>
      </c>
      <c r="M34" s="5" t="e">
        <f ca="1">IF(OR(INDEX($AI$2:$AI$1001,MATCH(ROWS($AH$2:AH34),$AH$2:$AH$1001,0),1)&gt;=100000,INDEX($AO$1005:$BQ$1005,1,MATCH(COLUMNS($AO$1006:AZ1006),$AO$1006:$BQ$1006,0))&gt;=100000), " ",IF(INDEX($AO$2:$BQ$1001,MATCH(ROWS($AH$2:AH34),$AH$2:$AH$1001,0),MATCH(COLUMNS($AO$1006:AZ1006),$AO$1006:$BQ$1006,0)), HYPERLINK("#",""), HYPERLINK(CONCATENATE("#Metadata!", ADDRESS(INDEX($AJ$2:$AJ$1001,MATCH(ROWS($AH$2:AH34),$AH$2:$AH$1001,0),0), INDEX($AO$1004:$BQ$1004,1,MATCH(COLUMNS($AO$1006:AZ1006),$AO$1006:$BQ$1006,0)))),"Fix")))</f>
        <v>#N/A</v>
      </c>
      <c r="N34" s="5" t="e">
        <f ca="1">IF(OR(INDEX($AI$2:$AI$1001,MATCH(ROWS($AH$2:AH34),$AH$2:$AH$1001,0),1)&gt;=100000,INDEX($AO$1005:$BQ$1005,1,MATCH(COLUMNS($AO$1006:BA1006),$AO$1006:$BQ$1006,0))&gt;=100000), " ",IF(INDEX($AO$2:$BQ$1001,MATCH(ROWS($AH$2:AH34),$AH$2:$AH$1001,0),MATCH(COLUMNS($AO$1006:BA1006),$AO$1006:$BQ$1006,0)), HYPERLINK("#",""), HYPERLINK(CONCATENATE("#Metadata!", ADDRESS(INDEX($AJ$2:$AJ$1001,MATCH(ROWS($AH$2:AH34),$AH$2:$AH$1001,0),0), INDEX($AO$1004:$BQ$1004,1,MATCH(COLUMNS($AO$1006:BA1006),$AO$1006:$BQ$1006,0)))),"Fix")))</f>
        <v>#N/A</v>
      </c>
      <c r="O34" s="5" t="e">
        <f ca="1">IF(OR(INDEX($AI$2:$AI$1001,MATCH(ROWS($AH$2:AH34),$AH$2:$AH$1001,0),1)&gt;=100000,INDEX($AO$1005:$BQ$1005,1,MATCH(COLUMNS($AO$1006:BB1006),$AO$1006:$BQ$1006,0))&gt;=100000), " ",IF(INDEX($AO$2:$BQ$1001,MATCH(ROWS($AH$2:AH34),$AH$2:$AH$1001,0),MATCH(COLUMNS($AO$1006:BB1006),$AO$1006:$BQ$1006,0)), HYPERLINK("#",""), HYPERLINK(CONCATENATE("#Metadata!", ADDRESS(INDEX($AJ$2:$AJ$1001,MATCH(ROWS($AH$2:AH34),$AH$2:$AH$1001,0),0), INDEX($AO$1004:$BQ$1004,1,MATCH(COLUMNS($AO$1006:BB1006),$AO$1006:$BQ$1006,0)))),"Fix")))</f>
        <v>#N/A</v>
      </c>
      <c r="P34" s="5" t="e">
        <f ca="1">IF(OR(INDEX($AI$2:$AI$1001,MATCH(ROWS($AH$2:AH34),$AH$2:$AH$1001,0),1)&gt;=100000,INDEX($AO$1005:$BQ$1005,1,MATCH(COLUMNS($AO$1006:BC1006),$AO$1006:$BQ$1006,0))&gt;=100000), " ",IF(INDEX($AO$2:$BQ$1001,MATCH(ROWS($AH$2:AH34),$AH$2:$AH$1001,0),MATCH(COLUMNS($AO$1006:BC1006),$AO$1006:$BQ$1006,0)), HYPERLINK("#",""), HYPERLINK(CONCATENATE("#Metadata!", ADDRESS(INDEX($AJ$2:$AJ$1001,MATCH(ROWS($AH$2:AH34),$AH$2:$AH$1001,0),0), INDEX($AO$1004:$BQ$1004,1,MATCH(COLUMNS($AO$1006:BC1006),$AO$1006:$BQ$1006,0)))),"Fix")))</f>
        <v>#N/A</v>
      </c>
      <c r="Q34" s="5" t="e">
        <f ca="1">IF(OR(INDEX($AI$2:$AI$1001,MATCH(ROWS($AH$2:AH34),$AH$2:$AH$1001,0),1)&gt;=100000,INDEX($AO$1005:$BQ$1005,1,MATCH(COLUMNS($AO$1006:BD1006),$AO$1006:$BQ$1006,0))&gt;=100000), " ",IF(INDEX($AO$2:$BQ$1001,MATCH(ROWS($AH$2:AH34),$AH$2:$AH$1001,0),MATCH(COLUMNS($AO$1006:BD1006),$AO$1006:$BQ$1006,0)), HYPERLINK("#",""), HYPERLINK(CONCATENATE("#Metadata!", ADDRESS(INDEX($AJ$2:$AJ$1001,MATCH(ROWS($AH$2:AH34),$AH$2:$AH$1001,0),0), INDEX($AO$1004:$BQ$1004,1,MATCH(COLUMNS($AO$1006:BD1006),$AO$1006:$BQ$1006,0)))),"Fix")))</f>
        <v>#N/A</v>
      </c>
      <c r="R34" s="5" t="e">
        <f ca="1">IF(OR(INDEX($AI$2:$AI$1001,MATCH(ROWS($AH$2:AH34),$AH$2:$AH$1001,0),1)&gt;=100000,INDEX($AO$1005:$BQ$1005,1,MATCH(COLUMNS($AO$1006:BE1006),$AO$1006:$BQ$1006,0))&gt;=100000), " ",IF(INDEX($AO$2:$BQ$1001,MATCH(ROWS($AH$2:AH34),$AH$2:$AH$1001,0),MATCH(COLUMNS($AO$1006:BE1006),$AO$1006:$BQ$1006,0)), HYPERLINK("#",""), HYPERLINK(CONCATENATE("#Metadata!", ADDRESS(INDEX($AJ$2:$AJ$1001,MATCH(ROWS($AH$2:AH34),$AH$2:$AH$1001,0),0), INDEX($AO$1004:$BQ$1004,1,MATCH(COLUMNS($AO$1006:BE1006),$AO$1006:$BQ$1006,0)))),"Fix")))</f>
        <v>#N/A</v>
      </c>
      <c r="S34" s="5" t="e">
        <f ca="1">IF(OR(INDEX($AI$2:$AI$1001,MATCH(ROWS($AH$2:AH34),$AH$2:$AH$1001,0),1)&gt;=100000,INDEX($AO$1005:$BQ$1005,1,MATCH(COLUMNS($AO$1006:BF1006),$AO$1006:$BQ$1006,0))&gt;=100000), " ",IF(INDEX($AO$2:$BQ$1001,MATCH(ROWS($AH$2:AH34),$AH$2:$AH$1001,0),MATCH(COLUMNS($AO$1006:BF1006),$AO$1006:$BQ$1006,0)), HYPERLINK("#",""), HYPERLINK(CONCATENATE("#Metadata!", ADDRESS(INDEX($AJ$2:$AJ$1001,MATCH(ROWS($AH$2:AH34),$AH$2:$AH$1001,0),0), INDEX($AO$1004:$BQ$1004,1,MATCH(COLUMNS($AO$1006:BF1006),$AO$1006:$BQ$1006,0)))),"Fix")))</f>
        <v>#N/A</v>
      </c>
      <c r="T34" s="5" t="e">
        <f ca="1">IF(OR(INDEX($AI$2:$AI$1001,MATCH(ROWS($AH$2:AH34),$AH$2:$AH$1001,0),1)&gt;=100000,INDEX($AO$1005:$BQ$1005,1,MATCH(COLUMNS($AO$1006:BG1006),$AO$1006:$BQ$1006,0))&gt;=100000), " ",IF(INDEX($AO$2:$BQ$1001,MATCH(ROWS($AH$2:AH34),$AH$2:$AH$1001,0),MATCH(COLUMNS($AO$1006:BG1006),$AO$1006:$BQ$1006,0)), HYPERLINK("#",""), HYPERLINK(CONCATENATE("#Metadata!", ADDRESS(INDEX($AJ$2:$AJ$1001,MATCH(ROWS($AH$2:AH34),$AH$2:$AH$1001,0),0), INDEX($AO$1004:$BQ$1004,1,MATCH(COLUMNS($AO$1006:BG1006),$AO$1006:$BQ$1006,0)))),"Fix")))</f>
        <v>#N/A</v>
      </c>
      <c r="U34" s="5" t="e">
        <f ca="1">IF(OR(INDEX($AI$2:$AI$1001,MATCH(ROWS($AH$2:AH34),$AH$2:$AH$1001,0),1)&gt;=100000,INDEX($AO$1005:$BQ$1005,1,MATCH(COLUMNS($AO$1006:BH1006),$AO$1006:$BQ$1006,0))&gt;=100000), " ",IF(INDEX($AO$2:$BQ$1001,MATCH(ROWS($AH$2:AH34),$AH$2:$AH$1001,0),MATCH(COLUMNS($AO$1006:BH1006),$AO$1006:$BQ$1006,0)), HYPERLINK("#",""), HYPERLINK(CONCATENATE("#Metadata!", ADDRESS(INDEX($AJ$2:$AJ$1001,MATCH(ROWS($AH$2:AH34),$AH$2:$AH$1001,0),0), INDEX($AO$1004:$BQ$1004,1,MATCH(COLUMNS($AO$1006:BH1006),$AO$1006:$BQ$1006,0)))),"Fix")))</f>
        <v>#N/A</v>
      </c>
      <c r="V34" s="5" t="e">
        <f ca="1">IF(OR(INDEX($AI$2:$AI$1001,MATCH(ROWS($AH$2:AH34),$AH$2:$AH$1001,0),1)&gt;=100000,INDEX($AO$1005:$BQ$1005,1,MATCH(COLUMNS($AO$1006:BI1006),$AO$1006:$BQ$1006,0))&gt;=100000), " ",IF(INDEX($AO$2:$BQ$1001,MATCH(ROWS($AH$2:AH34),$AH$2:$AH$1001,0),MATCH(COLUMNS($AO$1006:BI1006),$AO$1006:$BQ$1006,0)), HYPERLINK("#",""), HYPERLINK(CONCATENATE("#Metadata!", ADDRESS(INDEX($AJ$2:$AJ$1001,MATCH(ROWS($AH$2:AH34),$AH$2:$AH$1001,0),0), INDEX($AO$1004:$BQ$1004,1,MATCH(COLUMNS($AO$1006:BI1006),$AO$1006:$BQ$1006,0)))),"Fix")))</f>
        <v>#N/A</v>
      </c>
      <c r="W34" s="5" t="e">
        <f ca="1">IF(OR(INDEX($AI$2:$AI$1001,MATCH(ROWS($AH$2:AH34),$AH$2:$AH$1001,0),1)&gt;=100000,INDEX($AO$1005:$BQ$1005,1,MATCH(COLUMNS($AO$1006:BJ1006),$AO$1006:$BQ$1006,0))&gt;=100000), " ",IF(INDEX($AO$2:$BQ$1001,MATCH(ROWS($AH$2:AH34),$AH$2:$AH$1001,0),MATCH(COLUMNS($AO$1006:BJ1006),$AO$1006:$BQ$1006,0)), HYPERLINK("#",""), HYPERLINK(CONCATENATE("#Metadata!", ADDRESS(INDEX($AJ$2:$AJ$1001,MATCH(ROWS($AH$2:AH34),$AH$2:$AH$1001,0),0), INDEX($AO$1004:$BQ$1004,1,MATCH(COLUMNS($AO$1006:BJ1006),$AO$1006:$BQ$1006,0)))),"Fix")))</f>
        <v>#N/A</v>
      </c>
      <c r="X34" s="5" t="e">
        <f ca="1">IF(OR(INDEX($AI$2:$AI$1001,MATCH(ROWS($AH$2:AH34),$AH$2:$AH$1001,0),1)&gt;=100000,INDEX($AO$1005:$BQ$1005,1,MATCH(COLUMNS($AO$1006:BK1006),$AO$1006:$BQ$1006,0))&gt;=100000), " ",IF(INDEX($AO$2:$BQ$1001,MATCH(ROWS($AH$2:AH34),$AH$2:$AH$1001,0),MATCH(COLUMNS($AO$1006:BK1006),$AO$1006:$BQ$1006,0)), HYPERLINK("#",""), HYPERLINK(CONCATENATE("#Metadata!", ADDRESS(INDEX($AJ$2:$AJ$1001,MATCH(ROWS($AH$2:AH34),$AH$2:$AH$1001,0),0), INDEX($AO$1004:$BQ$1004,1,MATCH(COLUMNS($AO$1006:BK1006),$AO$1006:$BQ$1006,0)))),"Fix")))</f>
        <v>#N/A</v>
      </c>
      <c r="Y34" s="5" t="e">
        <f ca="1">IF(OR(INDEX($AI$2:$AI$1001,MATCH(ROWS($AH$2:AH34),$AH$2:$AH$1001,0),1)&gt;=100000,INDEX($AO$1005:$BQ$1005,1,MATCH(COLUMNS($AO$1006:BL1006),$AO$1006:$BQ$1006,0))&gt;=100000), " ",IF(INDEX($AO$2:$BQ$1001,MATCH(ROWS($AH$2:AH34),$AH$2:$AH$1001,0),MATCH(COLUMNS($AO$1006:BL1006),$AO$1006:$BQ$1006,0)), HYPERLINK("#",""), HYPERLINK(CONCATENATE("#Metadata!", ADDRESS(INDEX($AJ$2:$AJ$1001,MATCH(ROWS($AH$2:AH34),$AH$2:$AH$1001,0),0), INDEX($AO$1004:$BQ$1004,1,MATCH(COLUMNS($AO$1006:BL1006),$AO$1006:$BQ$1006,0)))),"Fix")))</f>
        <v>#N/A</v>
      </c>
      <c r="Z34" s="5" t="e">
        <f ca="1">IF(OR(INDEX($AI$2:$AI$1001,MATCH(ROWS($AH$2:AH34),$AH$2:$AH$1001,0),1)&gt;=100000,INDEX($AO$1005:$BQ$1005,1,MATCH(COLUMNS($AO$1006:BM1006),$AO$1006:$BQ$1006,0))&gt;=100000), " ",IF(INDEX($AO$2:$BQ$1001,MATCH(ROWS($AH$2:AH34),$AH$2:$AH$1001,0),MATCH(COLUMNS($AO$1006:BM1006),$AO$1006:$BQ$1006,0)), HYPERLINK("#",""), HYPERLINK(CONCATENATE("#Metadata!", ADDRESS(INDEX($AJ$2:$AJ$1001,MATCH(ROWS($AH$2:AH34),$AH$2:$AH$1001,0),0), INDEX($AO$1004:$BQ$1004,1,MATCH(COLUMNS($AO$1006:BM1006),$AO$1006:$BQ$1006,0)))),"Fix")))</f>
        <v>#N/A</v>
      </c>
      <c r="AA34" s="5" t="e">
        <f ca="1">IF(OR(INDEX($AI$2:$AI$1001,MATCH(ROWS($AH$2:AH34),$AH$2:$AH$1001,0),1)&gt;=100000,INDEX($AO$1005:$BQ$1005,1,MATCH(COLUMNS($AO$1006:BN1006),$AO$1006:$BQ$1006,0))&gt;=100000), " ",IF(INDEX($AO$2:$BQ$1001,MATCH(ROWS($AH$2:AH34),$AH$2:$AH$1001,0),MATCH(COLUMNS($AO$1006:BN1006),$AO$1006:$BQ$1006,0)), HYPERLINK("#",""), HYPERLINK(CONCATENATE("#Metadata!", ADDRESS(INDEX($AJ$2:$AJ$1001,MATCH(ROWS($AH$2:AH34),$AH$2:$AH$1001,0),0), INDEX($AO$1004:$BQ$1004,1,MATCH(COLUMNS($AO$1006:BN1006),$AO$1006:$BQ$1006,0)))),"Fix")))</f>
        <v>#N/A</v>
      </c>
      <c r="AB34" s="5" t="e">
        <f ca="1">IF(OR(INDEX($AI$2:$AI$1001,MATCH(ROWS($AH$2:AH34),$AH$2:$AH$1001,0),1)&gt;=100000,INDEX($AO$1005:$BQ$1005,1,MATCH(COLUMNS($AO$1006:BO1006),$AO$1006:$BQ$1006,0))&gt;=100000), " ",IF(INDEX($AO$2:$BQ$1001,MATCH(ROWS($AH$2:AH34),$AH$2:$AH$1001,0),MATCH(COLUMNS($AO$1006:BO1006),$AO$1006:$BQ$1006,0)), HYPERLINK("#",""), HYPERLINK(CONCATENATE("#Metadata!", ADDRESS(INDEX($AJ$2:$AJ$1001,MATCH(ROWS($AH$2:AH34),$AH$2:$AH$1001,0),0), INDEX($AO$1004:$BQ$1004,1,MATCH(COLUMNS($AO$1006:BO1006),$AO$1006:$BQ$1006,0)))),"Fix")))</f>
        <v>#N/A</v>
      </c>
      <c r="AC34" s="5" t="e">
        <f ca="1">IF(OR(INDEX($AI$2:$AI$1001,MATCH(ROWS($AH$2:AH34),$AH$2:$AH$1001,0),1)&gt;=100000,INDEX($AO$1005:$BQ$1005,1,MATCH(COLUMNS($AO$1006:BP1006),$AO$1006:$BQ$1006,0))&gt;=100000), " ",IF(INDEX($AO$2:$BQ$1001,MATCH(ROWS($AH$2:AH34),$AH$2:$AH$1001,0),MATCH(COLUMNS($AO$1006:BP1006),$AO$1006:$BQ$1006,0)), HYPERLINK("#",""), HYPERLINK(CONCATENATE("#Metadata!", ADDRESS(INDEX($AJ$2:$AJ$1001,MATCH(ROWS($AH$2:AH34),$AH$2:$AH$1001,0),0), INDEX($AO$1004:$BQ$1004,1,MATCH(COLUMNS($AO$1006:BP1006),$AO$1006:$BQ$1006,0)))),"Fix")))</f>
        <v>#N/A</v>
      </c>
      <c r="AD34" s="5" t="e">
        <f ca="1">IF(OR(INDEX($AI$2:$AI$1001,MATCH(ROWS($AH$2:AH34),$AH$2:$AH$1001,0),1)&gt;=100000,INDEX($AO$1005:$BQ$1005,1,MATCH(COLUMNS($AO$1006:BQ1006),$AO$1006:$BQ$1006,0))&gt;=100000), " ",IF(INDEX($AO$2:$BQ$1001,MATCH(ROWS($AH$2:AH34),$AH$2:$AH$1001,0),MATCH(COLUMNS($AO$1006:BQ1006),$AO$1006:$BQ$1006,0)), HYPERLINK("#",""), HYPERLINK(CONCATENATE("#Metadata!", ADDRESS(INDEX($AJ$2:$AJ$1001,MATCH(ROWS($AH$2:AH34),$AH$2:$AH$1001,0),0), INDEX($AO$1004:$BQ$1004,1,MATCH(COLUMNS($AO$1006:BQ1006),$AO$1006:$BQ$1006,0)))),"Fix")))</f>
        <v>#REF!</v>
      </c>
      <c r="AH34">
        <f ca="1"/>
        <v>31</v>
      </c>
      <c r="AI34">
        <f ca="1"/>
        <v>34</v>
      </c>
      <c r="AJ34">
        <v>34</v>
      </c>
      <c r="AK34" t="b">
        <f t="shared" ca="1" si="0"/>
        <v>0</v>
      </c>
      <c r="AL34" t="b">
        <f>COUNTBLANK(Metadata!B34:AD34)=COLUMNS(Metadata!B34:AD34)</f>
        <v>0</v>
      </c>
      <c r="AM34" t="str">
        <v>Environment.Upland.soil.1.BTP.225</v>
      </c>
      <c r="AO34" t="b">
        <f ca="1">AND(IF(Metadata!B33="",FALSE,TRUE),COUNTIF(Metadata!B:B, Metadata!B33) = 1,NOT(ISERROR(SUMPRODUCT(SEARCH(MID(Metadata!B33,ROW(INDIRECT("1:"&amp;LEN(Metadata!B33))), 1),"0123456789abcdefghijklmnopqrstuvwxyzABCDEFGHIJKLMNOPQRSTUVWXYZ.")))))</f>
        <v>1</v>
      </c>
      <c r="AP34" t="b">
        <f>IF(Metadata!C33="",FALSE,TRUE)</f>
        <v>1</v>
      </c>
      <c r="AQ34" t="b">
        <f>IF(Metadata!D33="",FALSE,TRUE)</f>
        <v>1</v>
      </c>
      <c r="AR34" t="b">
        <f ca="1">OR(AND(IF(Metadata!E33="",FALSE,TRUE),OR(EXACT(Metadata!E33,"not collected"),EXACT(Metadata!E33,"not provided"),EXACT(Metadata!E33,"restricted access"))),AND(IF(Metadata!E33="",FALSE,TRUE),AND(AND(IFERROR(INT(LEFT(Metadata!E33,4))&gt;1900,FALSE),IFERROR(INT(LEFT(Metadata!E33,4))&lt;=YEAR(NOW()),FALSE)), OR(MID(Metadata!E33,5,1)="", AND(AND(MID(Metadata!E33,5,1)="-",IFERROR(INT(MID(Metadata!E33,6,1))&gt;=0,FALSE),IFERROR(INT(MID(Metadata!E33,6,1))&lt;=1,FALSE),NOT(MID(Metadata!E33,7,1)=""),IFERROR(INT(MID(Metadata!E33,6,2))&gt;=1,FALSE),IFERROR(INT(MID(Metadata!E33,6,2))&lt;=12,FALSE)), OR(MID(Metadata!E33,8,1)="", AND(AND(MID(Metadata!E33,8,1)="-",IFERROR(INT(MID(Metadata!E33,9,1))&gt;=0,FALSE),IFERROR(INT(MID(Metadata!E33,9,1))&lt;=3,FALSE),NOT(MID(Metadata!E33,10,1)=""),IFERROR(INT(MID(Metadata!E33,9,2))&gt;=1,FALSE),IFERROR(INT(MID(Metadata!E33,9,2))&lt;=31,FALSE)), OR(MID(Metadata!E33,11,1)="", AND(AND(MID(Metadata!E33,11,1)=" ",IFERROR(INT(MID(Metadata!E33,12,1))&gt;=0,FALSE),IFERROR(INT(MID(Metadata!E33,12,1))&lt;=2,FALSE),NOT(MID(Metadata!E33,13,1)=""),IFERROR(INT(MID(Metadata!E33,12,2))&gt;=0,FALSE),IFERROR(INT(MID(Metadata!E33,12,2))&lt;=23,FALSE)), OR(MID(Metadata!E33,14,1)="", AND(AND(MID(Metadata!E33,14,1)=":",IFERROR(INT(MID(Metadata!E33,15,1))&gt;=0,FALSE),IFERROR(INT(MID(Metadata!E33,15,1))&lt;=5,FALSE),NOT(MID(Metadata!E33,16,1)=""),IFERROR(INT(MID(Metadata!E33,15,2))&gt;=0,FALSE),IFERROR(INT(MID(Metadata!E33,15,2))&lt;=59,FALSE)), OR(MID(Metadata!E33,17,1)="", AND(AND(MID(Metadata!E33,17,1)=":",IFERROR(INT(MID(Metadata!E33,18,1))&gt;=0,FALSE),IFERROR(INT(MID(Metadata!E33,18,1))&lt;=5,FALSE),NOT(MID(Metadata!E33,19,1)=""),IFERROR(INT(MID(Metadata!E33,18,2))&gt;=0,FALSE),IFERROR(INT(MID(Metadata!E33,18,2))&lt;=59,FALSE)), LEN(Metadata!E33)&lt;=19)))))))))))))</f>
        <v>0</v>
      </c>
      <c r="AS34" t="b">
        <f>IF(Metadata!F33="",FALSE,TRUE)</f>
        <v>1</v>
      </c>
      <c r="AT34" t="b">
        <f>OR(AND(IF(Metadata!G33="",FALSE,TRUE),OR(EXACT(Metadata!G33,"not collected"),EXACT(Metadata!G33,"not provided"))),AND(IF(Metadata!G33="",FALSE,TRUE),OR(EXACT(Metadata!G33,"TRUE"),EXACT(Metadata!G33,"FALSE"))))</f>
        <v>1</v>
      </c>
      <c r="AU34" t="b">
        <f>OR(AND(IF(Metadata!H33="",FALSE,TRUE),OR(EXACT(Metadata!H33,"not collected"),EXACT(Metadata!H33,"not provided"),EXACT(Metadata!H33,"restricted access"))),AND(IF(Metadata!H33="",FALSE,ISNUMBER(VALUE(Metadata!H33))),Metadata!H33&gt;=-413))</f>
        <v>0</v>
      </c>
      <c r="AV34" t="b">
        <f>AND(IF(Metadata!I33="",FALSE,TRUE),EXACT(Metadata!I33,"meters"))</f>
        <v>1</v>
      </c>
      <c r="AW34" t="b">
        <f>AND(IF(Metadata!J33="",FALSE,TRUE),EXACT(Metadata!J33,"free-living"))</f>
        <v>1</v>
      </c>
      <c r="AX34" t="b">
        <f>AND(IF(Metadata!K33="",FALSE,TRUE),OR(EXACT(Metadata!K33,"saline"),EXACT(Metadata!K33,"non-saline")))</f>
        <v>1</v>
      </c>
      <c r="AY34" t="b">
        <f>AND(IF(Metadata!L33="",FALSE,TRUE),OR(EXACT(Metadata!L33,"sub-surface (non-saline)"),EXACT(Metadata!L33,"surface (non-saline)"),EXACT(Metadata!L33,"water (non-saline)"),EXACT(Metadata!L33,"soil (non-saline)"),EXACT(Metadata!L33,"aerosol (non-saline)"),EXACT(Metadata!L33,"sediment (non-saline)"),EXACT(Metadata!L33,"surface (saline)"),EXACT(Metadata!L33,"water (saline)"),EXACT(Metadata!L33,"hypersaline (saline)"),EXACT(Metadata!L33,"aerosol (saline)"),EXACT(Metadata!L33,"sediment (saline)")))</f>
        <v>1</v>
      </c>
      <c r="AZ34" t="b">
        <f>IF(Metadata!M33="",FALSE,TRUE)</f>
        <v>1</v>
      </c>
      <c r="BA34" t="b">
        <f>IF(Metadata!N33="",FALSE,TRUE)</f>
        <v>1</v>
      </c>
      <c r="BB34" t="b">
        <f>IF(Metadata!O33="",FALSE,TRUE)</f>
        <v>1</v>
      </c>
      <c r="BC34" t="b">
        <f>AND(IF(Metadata!P33="",FALSE,TRUE),OR(EXACT(Metadata!P33,"air"),EXACT(Metadata!P33,"microbial mat/biofilm"),EXACT(Metadata!P33,"misc environment"),EXACT(Metadata!P33,"sediment"),EXACT(Metadata!P33,"soil"),EXACT(Metadata!P33,"wastewater/sludge"),EXACT(Metadata!P33,"water")))</f>
        <v>1</v>
      </c>
      <c r="BD34" t="b">
        <f>IF(Metadata!Q33="",FALSE,TRUE)</f>
        <v>1</v>
      </c>
      <c r="BE34" t="b">
        <f>IF(Metadata!R33="",FALSE,TRUE)</f>
        <v>1</v>
      </c>
      <c r="BF34" t="b">
        <f>OR(AND(IF(Metadata!S33="",FALSE,TRUE),OR(EXACT(Metadata!S33,"not collected"),EXACT(Metadata!S33,"not provided"),EXACT(Metadata!S33,"restricted access"))),AND(IF(Metadata!S33="",FALSE,ISNUMBER(VALUE(Metadata!S33))),Metadata!S33&gt;=-90,Metadata!S33&lt;=90))</f>
        <v>0</v>
      </c>
      <c r="BG34" t="b">
        <f>AND(IF(Metadata!T33="",FALSE,TRUE),EXACT(Metadata!T33,"Decimal degrees"))</f>
        <v>1</v>
      </c>
      <c r="BH34" t="b">
        <f>OR(AND(IF(Metadata!U33="",FALSE,TRUE),OR(EXACT(Metadata!U33,"not applicable"),EXACT(Metadata!U33,"not collected"))),IF(Metadata!U33="",FALSE,TRUE))</f>
        <v>1</v>
      </c>
      <c r="BI34" t="b">
        <f>OR(AND(IF(Metadata!V33="",FALSE,TRUE),OR(EXACT(Metadata!V33,"not collected"),EXACT(Metadata!V33,"not provided"),EXACT(Metadata!V33,"restricted access"))),AND(IF(Metadata!V33="",FALSE,ISNUMBER(VALUE(Metadata!V33))),Metadata!V33&gt;=-180,Metadata!V33&lt;=180))</f>
        <v>0</v>
      </c>
      <c r="BJ34" t="b">
        <f>AND(IF(Metadata!W33="",FALSE,TRUE),EXACT(Metadata!W33,"Decimal degrees"))</f>
        <v>1</v>
      </c>
      <c r="BK34" t="b">
        <f>IF(Metadata!X33="",FALSE,TRUE)</f>
        <v>1</v>
      </c>
      <c r="BL34" t="b">
        <f>OR(AND(IF(Metadata!Y33="",FALSE,TRUE),OR(EXACT(Metadata!Y33,"not collected"),EXACT(Metadata!Y33,"not provided"),EXACT(Metadata!Y33,"restricted access"))),AND(IF(Metadata!Y33="",FALSE,TRUE),OR(EXACT(Metadata!Y33,"TRUE"),EXACT(Metadata!Y33,"FALSE"))))</f>
        <v>1</v>
      </c>
      <c r="BM34" t="b">
        <f>OR(AND(IF(Metadata!Z33="",FALSE,TRUE),EXACT(Metadata!Z33,"not applicable")),AND(IF(Metadata!Z33="",FALSE,TRUE),OR(EXACT(Metadata!Z33,"beer"),EXACT(Metadata!Z33,"cheese"),EXACT(Metadata!Z33,"fresh water"),EXACT(Metadata!Z33,"marine sediment"),EXACT(Metadata!Z33,"sea water"),EXACT(Metadata!Z33,"sediment"),EXACT(Metadata!Z33,"soil"),EXACT(Metadata!Z33,"waste water"))))</f>
        <v>1</v>
      </c>
      <c r="BN34" t="b">
        <f>AND(IF(Metadata!AA33="",FALSE,TRUE),EXACT(Metadata!AA33,"metagenome"))</f>
        <v>1</v>
      </c>
      <c r="BO34" t="b">
        <f>AND(IF(Metadata!AB33="",FALSE,TRUE),EXACT(Metadata!AB33,"256318"))</f>
        <v>1</v>
      </c>
      <c r="BP34" t="b">
        <f>IF(Metadata!AC33="",FALSE,TRUE)</f>
        <v>1</v>
      </c>
      <c r="BQ34" t="b">
        <f>IF(Metadata!AD33="",FALSE,TRUE)</f>
        <v>1</v>
      </c>
    </row>
    <row r="35" spans="1:69" x14ac:dyDescent="0.2">
      <c r="A35" s="4" t="e">
        <f ca="1">IF(B35=" "," ",HYPERLINK(CONCATENATE("#metadata!",ADDRESS(INDEX($AJ$2:$AJ$1001,MATCH(ROWS($AH$2:AH35),$AH$2:$AH$1001,0),0),2)),INDEX($AM$2:$AM$1001,MATCH(ROWS($AH$2:AH35),$AH$2:$AH$1001,0),0)))</f>
        <v>#N/A</v>
      </c>
      <c r="B35" s="5" t="e">
        <f ca="1">IF(OR(INDEX($AI$2:$AI$1001,MATCH(ROWS($AH$2:AH35),$AH$2:$AH$1001,0),1)&gt;=100000,INDEX($AO$1005:$BQ$1005,1,MATCH(COLUMNS($AO$1006:AO1006),$AO$1006:$BQ$1006,0))&gt;=100000), " ",IF(INDEX($AO$2:$BQ$1001,MATCH(ROWS($AH$2:AH35),$AH$2:$AH$1001,0),MATCH(COLUMNS($AO$1006:AO1006),$AO$1006:$BQ$1006,0)), HYPERLINK("#",""), HYPERLINK(CONCATENATE("#Metadata!", ADDRESS(INDEX($AJ$2:$AJ$1001,MATCH(ROWS($AH$2:AH35),$AH$2:$AH$1001,0),0), INDEX($AO$1004:$BQ$1004,1,MATCH(COLUMNS($AO$1006:AO1006),$AO$1006:$BQ$1006,0)))),"Fix")))</f>
        <v>#N/A</v>
      </c>
      <c r="C35" s="5" t="e">
        <f ca="1">IF(OR(INDEX($AI$2:$AI$1001,MATCH(ROWS($AH$2:AH35),$AH$2:$AH$1001,0),1)&gt;=100000,INDEX($AO$1005:$BQ$1005,1,MATCH(COLUMNS($AO$1006:AP1006),$AO$1006:$BQ$1006,0))&gt;=100000), " ",IF(INDEX($AO$2:$BQ$1001,MATCH(ROWS($AH$2:AH35),$AH$2:$AH$1001,0),MATCH(COLUMNS($AO$1006:AP1006),$AO$1006:$BQ$1006,0)), HYPERLINK("#",""), HYPERLINK(CONCATENATE("#Metadata!", ADDRESS(INDEX($AJ$2:$AJ$1001,MATCH(ROWS($AH$2:AH35),$AH$2:$AH$1001,0),0), INDEX($AO$1004:$BQ$1004,1,MATCH(COLUMNS($AO$1006:AP1006),$AO$1006:$BQ$1006,0)))),"Fix")))</f>
        <v>#N/A</v>
      </c>
      <c r="D35" s="5" t="e">
        <f ca="1">IF(OR(INDEX($AI$2:$AI$1001,MATCH(ROWS($AH$2:AH35),$AH$2:$AH$1001,0),1)&gt;=100000,INDEX($AO$1005:$BQ$1005,1,MATCH(COLUMNS($AO$1006:AQ1006),$AO$1006:$BQ$1006,0))&gt;=100000), " ",IF(INDEX($AO$2:$BQ$1001,MATCH(ROWS($AH$2:AH35),$AH$2:$AH$1001,0),MATCH(COLUMNS($AO$1006:AQ1006),$AO$1006:$BQ$1006,0)), HYPERLINK("#",""), HYPERLINK(CONCATENATE("#Metadata!", ADDRESS(INDEX($AJ$2:$AJ$1001,MATCH(ROWS($AH$2:AH35),$AH$2:$AH$1001,0),0), INDEX($AO$1004:$BQ$1004,1,MATCH(COLUMNS($AO$1006:AQ1006),$AO$1006:$BQ$1006,0)))),"Fix")))</f>
        <v>#N/A</v>
      </c>
      <c r="E35" s="5" t="e">
        <f ca="1">IF(OR(INDEX($AI$2:$AI$1001,MATCH(ROWS($AH$2:AH35),$AH$2:$AH$1001,0),1)&gt;=100000,INDEX($AO$1005:$BQ$1005,1,MATCH(COLUMNS($AO$1006:AR1006),$AO$1006:$BQ$1006,0))&gt;=100000), " ",IF(INDEX($AO$2:$BQ$1001,MATCH(ROWS($AH$2:AH35),$AH$2:$AH$1001,0),MATCH(COLUMNS($AO$1006:AR1006),$AO$1006:$BQ$1006,0)), HYPERLINK("#",""), HYPERLINK(CONCATENATE("#Metadata!", ADDRESS(INDEX($AJ$2:$AJ$1001,MATCH(ROWS($AH$2:AH35),$AH$2:$AH$1001,0),0), INDEX($AO$1004:$BQ$1004,1,MATCH(COLUMNS($AO$1006:AR1006),$AO$1006:$BQ$1006,0)))),"Fix")))</f>
        <v>#N/A</v>
      </c>
      <c r="F35" s="5" t="e">
        <f ca="1">IF(OR(INDEX($AI$2:$AI$1001,MATCH(ROWS($AH$2:AH35),$AH$2:$AH$1001,0),1)&gt;=100000,INDEX($AO$1005:$BQ$1005,1,MATCH(COLUMNS($AO$1006:AS1006),$AO$1006:$BQ$1006,0))&gt;=100000), " ",IF(INDEX($AO$2:$BQ$1001,MATCH(ROWS($AH$2:AH35),$AH$2:$AH$1001,0),MATCH(COLUMNS($AO$1006:AS1006),$AO$1006:$BQ$1006,0)), HYPERLINK("#",""), HYPERLINK(CONCATENATE("#Metadata!", ADDRESS(INDEX($AJ$2:$AJ$1001,MATCH(ROWS($AH$2:AH35),$AH$2:$AH$1001,0),0), INDEX($AO$1004:$BQ$1004,1,MATCH(COLUMNS($AO$1006:AS1006),$AO$1006:$BQ$1006,0)))),"Fix")))</f>
        <v>#N/A</v>
      </c>
      <c r="G35" s="5" t="e">
        <f ca="1">IF(OR(INDEX($AI$2:$AI$1001,MATCH(ROWS($AH$2:AH35),$AH$2:$AH$1001,0),1)&gt;=100000,INDEX($AO$1005:$BQ$1005,1,MATCH(COLUMNS($AO$1006:AT1006),$AO$1006:$BQ$1006,0))&gt;=100000), " ",IF(INDEX($AO$2:$BQ$1001,MATCH(ROWS($AH$2:AH35),$AH$2:$AH$1001,0),MATCH(COLUMNS($AO$1006:AT1006),$AO$1006:$BQ$1006,0)), HYPERLINK("#",""), HYPERLINK(CONCATENATE("#Metadata!", ADDRESS(INDEX($AJ$2:$AJ$1001,MATCH(ROWS($AH$2:AH35),$AH$2:$AH$1001,0),0), INDEX($AO$1004:$BQ$1004,1,MATCH(COLUMNS($AO$1006:AT1006),$AO$1006:$BQ$1006,0)))),"Fix")))</f>
        <v>#N/A</v>
      </c>
      <c r="H35" s="5" t="e">
        <f ca="1">IF(OR(INDEX($AI$2:$AI$1001,MATCH(ROWS($AH$2:AH35),$AH$2:$AH$1001,0),1)&gt;=100000,INDEX($AO$1005:$BQ$1005,1,MATCH(COLUMNS($AO$1006:AU1006),$AO$1006:$BQ$1006,0))&gt;=100000), " ",IF(INDEX($AO$2:$BQ$1001,MATCH(ROWS($AH$2:AH35),$AH$2:$AH$1001,0),MATCH(COLUMNS($AO$1006:AU1006),$AO$1006:$BQ$1006,0)), HYPERLINK("#",""), HYPERLINK(CONCATENATE("#Metadata!", ADDRESS(INDEX($AJ$2:$AJ$1001,MATCH(ROWS($AH$2:AH35),$AH$2:$AH$1001,0),0), INDEX($AO$1004:$BQ$1004,1,MATCH(COLUMNS($AO$1006:AU1006),$AO$1006:$BQ$1006,0)))),"Fix")))</f>
        <v>#N/A</v>
      </c>
      <c r="I35" s="5" t="e">
        <f ca="1">IF(OR(INDEX($AI$2:$AI$1001,MATCH(ROWS($AH$2:AH35),$AH$2:$AH$1001,0),1)&gt;=100000,INDEX($AO$1005:$BQ$1005,1,MATCH(COLUMNS($AO$1006:AV1006),$AO$1006:$BQ$1006,0))&gt;=100000), " ",IF(INDEX($AO$2:$BQ$1001,MATCH(ROWS($AH$2:AH35),$AH$2:$AH$1001,0),MATCH(COLUMNS($AO$1006:AV1006),$AO$1006:$BQ$1006,0)), HYPERLINK("#",""), HYPERLINK(CONCATENATE("#Metadata!", ADDRESS(INDEX($AJ$2:$AJ$1001,MATCH(ROWS($AH$2:AH35),$AH$2:$AH$1001,0),0), INDEX($AO$1004:$BQ$1004,1,MATCH(COLUMNS($AO$1006:AV1006),$AO$1006:$BQ$1006,0)))),"Fix")))</f>
        <v>#N/A</v>
      </c>
      <c r="J35" s="5" t="e">
        <f ca="1">IF(OR(INDEX($AI$2:$AI$1001,MATCH(ROWS($AH$2:AH35),$AH$2:$AH$1001,0),1)&gt;=100000,INDEX($AO$1005:$BQ$1005,1,MATCH(COLUMNS($AO$1006:AW1006),$AO$1006:$BQ$1006,0))&gt;=100000), " ",IF(INDEX($AO$2:$BQ$1001,MATCH(ROWS($AH$2:AH35),$AH$2:$AH$1001,0),MATCH(COLUMNS($AO$1006:AW1006),$AO$1006:$BQ$1006,0)), HYPERLINK("#",""), HYPERLINK(CONCATENATE("#Metadata!", ADDRESS(INDEX($AJ$2:$AJ$1001,MATCH(ROWS($AH$2:AH35),$AH$2:$AH$1001,0),0), INDEX($AO$1004:$BQ$1004,1,MATCH(COLUMNS($AO$1006:AW1006),$AO$1006:$BQ$1006,0)))),"Fix")))</f>
        <v>#N/A</v>
      </c>
      <c r="K35" s="5" t="e">
        <f ca="1">IF(OR(INDEX($AI$2:$AI$1001,MATCH(ROWS($AH$2:AH35),$AH$2:$AH$1001,0),1)&gt;=100000,INDEX($AO$1005:$BQ$1005,1,MATCH(COLUMNS($AO$1006:AX1006),$AO$1006:$BQ$1006,0))&gt;=100000), " ",IF(INDEX($AO$2:$BQ$1001,MATCH(ROWS($AH$2:AH35),$AH$2:$AH$1001,0),MATCH(COLUMNS($AO$1006:AX1006),$AO$1006:$BQ$1006,0)), HYPERLINK("#",""), HYPERLINK(CONCATENATE("#Metadata!", ADDRESS(INDEX($AJ$2:$AJ$1001,MATCH(ROWS($AH$2:AH35),$AH$2:$AH$1001,0),0), INDEX($AO$1004:$BQ$1004,1,MATCH(COLUMNS($AO$1006:AX1006),$AO$1006:$BQ$1006,0)))),"Fix")))</f>
        <v>#N/A</v>
      </c>
      <c r="L35" s="5" t="e">
        <f ca="1">IF(OR(INDEX($AI$2:$AI$1001,MATCH(ROWS($AH$2:AH35),$AH$2:$AH$1001,0),1)&gt;=100000,INDEX($AO$1005:$BQ$1005,1,MATCH(COLUMNS($AO$1006:AY1006),$AO$1006:$BQ$1006,0))&gt;=100000), " ",IF(INDEX($AO$2:$BQ$1001,MATCH(ROWS($AH$2:AH35),$AH$2:$AH$1001,0),MATCH(COLUMNS($AO$1006:AY1006),$AO$1006:$BQ$1006,0)), HYPERLINK("#",""), HYPERLINK(CONCATENATE("#Metadata!", ADDRESS(INDEX($AJ$2:$AJ$1001,MATCH(ROWS($AH$2:AH35),$AH$2:$AH$1001,0),0), INDEX($AO$1004:$BQ$1004,1,MATCH(COLUMNS($AO$1006:AY1006),$AO$1006:$BQ$1006,0)))),"Fix")))</f>
        <v>#N/A</v>
      </c>
      <c r="M35" s="5" t="e">
        <f ca="1">IF(OR(INDEX($AI$2:$AI$1001,MATCH(ROWS($AH$2:AH35),$AH$2:$AH$1001,0),1)&gt;=100000,INDEX($AO$1005:$BQ$1005,1,MATCH(COLUMNS($AO$1006:AZ1006),$AO$1006:$BQ$1006,0))&gt;=100000), " ",IF(INDEX($AO$2:$BQ$1001,MATCH(ROWS($AH$2:AH35),$AH$2:$AH$1001,0),MATCH(COLUMNS($AO$1006:AZ1006),$AO$1006:$BQ$1006,0)), HYPERLINK("#",""), HYPERLINK(CONCATENATE("#Metadata!", ADDRESS(INDEX($AJ$2:$AJ$1001,MATCH(ROWS($AH$2:AH35),$AH$2:$AH$1001,0),0), INDEX($AO$1004:$BQ$1004,1,MATCH(COLUMNS($AO$1006:AZ1006),$AO$1006:$BQ$1006,0)))),"Fix")))</f>
        <v>#N/A</v>
      </c>
      <c r="N35" s="5" t="e">
        <f ca="1">IF(OR(INDEX($AI$2:$AI$1001,MATCH(ROWS($AH$2:AH35),$AH$2:$AH$1001,0),1)&gt;=100000,INDEX($AO$1005:$BQ$1005,1,MATCH(COLUMNS($AO$1006:BA1006),$AO$1006:$BQ$1006,0))&gt;=100000), " ",IF(INDEX($AO$2:$BQ$1001,MATCH(ROWS($AH$2:AH35),$AH$2:$AH$1001,0),MATCH(COLUMNS($AO$1006:BA1006),$AO$1006:$BQ$1006,0)), HYPERLINK("#",""), HYPERLINK(CONCATENATE("#Metadata!", ADDRESS(INDEX($AJ$2:$AJ$1001,MATCH(ROWS($AH$2:AH35),$AH$2:$AH$1001,0),0), INDEX($AO$1004:$BQ$1004,1,MATCH(COLUMNS($AO$1006:BA1006),$AO$1006:$BQ$1006,0)))),"Fix")))</f>
        <v>#N/A</v>
      </c>
      <c r="O35" s="5" t="e">
        <f ca="1">IF(OR(INDEX($AI$2:$AI$1001,MATCH(ROWS($AH$2:AH35),$AH$2:$AH$1001,0),1)&gt;=100000,INDEX($AO$1005:$BQ$1005,1,MATCH(COLUMNS($AO$1006:BB1006),$AO$1006:$BQ$1006,0))&gt;=100000), " ",IF(INDEX($AO$2:$BQ$1001,MATCH(ROWS($AH$2:AH35),$AH$2:$AH$1001,0),MATCH(COLUMNS($AO$1006:BB1006),$AO$1006:$BQ$1006,0)), HYPERLINK("#",""), HYPERLINK(CONCATENATE("#Metadata!", ADDRESS(INDEX($AJ$2:$AJ$1001,MATCH(ROWS($AH$2:AH35),$AH$2:$AH$1001,0),0), INDEX($AO$1004:$BQ$1004,1,MATCH(COLUMNS($AO$1006:BB1006),$AO$1006:$BQ$1006,0)))),"Fix")))</f>
        <v>#N/A</v>
      </c>
      <c r="P35" s="5" t="e">
        <f ca="1">IF(OR(INDEX($AI$2:$AI$1001,MATCH(ROWS($AH$2:AH35),$AH$2:$AH$1001,0),1)&gt;=100000,INDEX($AO$1005:$BQ$1005,1,MATCH(COLUMNS($AO$1006:BC1006),$AO$1006:$BQ$1006,0))&gt;=100000), " ",IF(INDEX($AO$2:$BQ$1001,MATCH(ROWS($AH$2:AH35),$AH$2:$AH$1001,0),MATCH(COLUMNS($AO$1006:BC1006),$AO$1006:$BQ$1006,0)), HYPERLINK("#",""), HYPERLINK(CONCATENATE("#Metadata!", ADDRESS(INDEX($AJ$2:$AJ$1001,MATCH(ROWS($AH$2:AH35),$AH$2:$AH$1001,0),0), INDEX($AO$1004:$BQ$1004,1,MATCH(COLUMNS($AO$1006:BC1006),$AO$1006:$BQ$1006,0)))),"Fix")))</f>
        <v>#N/A</v>
      </c>
      <c r="Q35" s="5" t="e">
        <f ca="1">IF(OR(INDEX($AI$2:$AI$1001,MATCH(ROWS($AH$2:AH35),$AH$2:$AH$1001,0),1)&gt;=100000,INDEX($AO$1005:$BQ$1005,1,MATCH(COLUMNS($AO$1006:BD1006),$AO$1006:$BQ$1006,0))&gt;=100000), " ",IF(INDEX($AO$2:$BQ$1001,MATCH(ROWS($AH$2:AH35),$AH$2:$AH$1001,0),MATCH(COLUMNS($AO$1006:BD1006),$AO$1006:$BQ$1006,0)), HYPERLINK("#",""), HYPERLINK(CONCATENATE("#Metadata!", ADDRESS(INDEX($AJ$2:$AJ$1001,MATCH(ROWS($AH$2:AH35),$AH$2:$AH$1001,0),0), INDEX($AO$1004:$BQ$1004,1,MATCH(COLUMNS($AO$1006:BD1006),$AO$1006:$BQ$1006,0)))),"Fix")))</f>
        <v>#N/A</v>
      </c>
      <c r="R35" s="5" t="e">
        <f ca="1">IF(OR(INDEX($AI$2:$AI$1001,MATCH(ROWS($AH$2:AH35),$AH$2:$AH$1001,0),1)&gt;=100000,INDEX($AO$1005:$BQ$1005,1,MATCH(COLUMNS($AO$1006:BE1006),$AO$1006:$BQ$1006,0))&gt;=100000), " ",IF(INDEX($AO$2:$BQ$1001,MATCH(ROWS($AH$2:AH35),$AH$2:$AH$1001,0),MATCH(COLUMNS($AO$1006:BE1006),$AO$1006:$BQ$1006,0)), HYPERLINK("#",""), HYPERLINK(CONCATENATE("#Metadata!", ADDRESS(INDEX($AJ$2:$AJ$1001,MATCH(ROWS($AH$2:AH35),$AH$2:$AH$1001,0),0), INDEX($AO$1004:$BQ$1004,1,MATCH(COLUMNS($AO$1006:BE1006),$AO$1006:$BQ$1006,0)))),"Fix")))</f>
        <v>#N/A</v>
      </c>
      <c r="S35" s="5" t="e">
        <f ca="1">IF(OR(INDEX($AI$2:$AI$1001,MATCH(ROWS($AH$2:AH35),$AH$2:$AH$1001,0),1)&gt;=100000,INDEX($AO$1005:$BQ$1005,1,MATCH(COLUMNS($AO$1006:BF1006),$AO$1006:$BQ$1006,0))&gt;=100000), " ",IF(INDEX($AO$2:$BQ$1001,MATCH(ROWS($AH$2:AH35),$AH$2:$AH$1001,0),MATCH(COLUMNS($AO$1006:BF1006),$AO$1006:$BQ$1006,0)), HYPERLINK("#",""), HYPERLINK(CONCATENATE("#Metadata!", ADDRESS(INDEX($AJ$2:$AJ$1001,MATCH(ROWS($AH$2:AH35),$AH$2:$AH$1001,0),0), INDEX($AO$1004:$BQ$1004,1,MATCH(COLUMNS($AO$1006:BF1006),$AO$1006:$BQ$1006,0)))),"Fix")))</f>
        <v>#N/A</v>
      </c>
      <c r="T35" s="5" t="e">
        <f ca="1">IF(OR(INDEX($AI$2:$AI$1001,MATCH(ROWS($AH$2:AH35),$AH$2:$AH$1001,0),1)&gt;=100000,INDEX($AO$1005:$BQ$1005,1,MATCH(COLUMNS($AO$1006:BG1006),$AO$1006:$BQ$1006,0))&gt;=100000), " ",IF(INDEX($AO$2:$BQ$1001,MATCH(ROWS($AH$2:AH35),$AH$2:$AH$1001,0),MATCH(COLUMNS($AO$1006:BG1006),$AO$1006:$BQ$1006,0)), HYPERLINK("#",""), HYPERLINK(CONCATENATE("#Metadata!", ADDRESS(INDEX($AJ$2:$AJ$1001,MATCH(ROWS($AH$2:AH35),$AH$2:$AH$1001,0),0), INDEX($AO$1004:$BQ$1004,1,MATCH(COLUMNS($AO$1006:BG1006),$AO$1006:$BQ$1006,0)))),"Fix")))</f>
        <v>#N/A</v>
      </c>
      <c r="U35" s="5" t="e">
        <f ca="1">IF(OR(INDEX($AI$2:$AI$1001,MATCH(ROWS($AH$2:AH35),$AH$2:$AH$1001,0),1)&gt;=100000,INDEX($AO$1005:$BQ$1005,1,MATCH(COLUMNS($AO$1006:BH1006),$AO$1006:$BQ$1006,0))&gt;=100000), " ",IF(INDEX($AO$2:$BQ$1001,MATCH(ROWS($AH$2:AH35),$AH$2:$AH$1001,0),MATCH(COLUMNS($AO$1006:BH1006),$AO$1006:$BQ$1006,0)), HYPERLINK("#",""), HYPERLINK(CONCATENATE("#Metadata!", ADDRESS(INDEX($AJ$2:$AJ$1001,MATCH(ROWS($AH$2:AH35),$AH$2:$AH$1001,0),0), INDEX($AO$1004:$BQ$1004,1,MATCH(COLUMNS($AO$1006:BH1006),$AO$1006:$BQ$1006,0)))),"Fix")))</f>
        <v>#N/A</v>
      </c>
      <c r="V35" s="5" t="e">
        <f ca="1">IF(OR(INDEX($AI$2:$AI$1001,MATCH(ROWS($AH$2:AH35),$AH$2:$AH$1001,0),1)&gt;=100000,INDEX($AO$1005:$BQ$1005,1,MATCH(COLUMNS($AO$1006:BI1006),$AO$1006:$BQ$1006,0))&gt;=100000), " ",IF(INDEX($AO$2:$BQ$1001,MATCH(ROWS($AH$2:AH35),$AH$2:$AH$1001,0),MATCH(COLUMNS($AO$1006:BI1006),$AO$1006:$BQ$1006,0)), HYPERLINK("#",""), HYPERLINK(CONCATENATE("#Metadata!", ADDRESS(INDEX($AJ$2:$AJ$1001,MATCH(ROWS($AH$2:AH35),$AH$2:$AH$1001,0),0), INDEX($AO$1004:$BQ$1004,1,MATCH(COLUMNS($AO$1006:BI1006),$AO$1006:$BQ$1006,0)))),"Fix")))</f>
        <v>#N/A</v>
      </c>
      <c r="W35" s="5" t="e">
        <f ca="1">IF(OR(INDEX($AI$2:$AI$1001,MATCH(ROWS($AH$2:AH35),$AH$2:$AH$1001,0),1)&gt;=100000,INDEX($AO$1005:$BQ$1005,1,MATCH(COLUMNS($AO$1006:BJ1006),$AO$1006:$BQ$1006,0))&gt;=100000), " ",IF(INDEX($AO$2:$BQ$1001,MATCH(ROWS($AH$2:AH35),$AH$2:$AH$1001,0),MATCH(COLUMNS($AO$1006:BJ1006),$AO$1006:$BQ$1006,0)), HYPERLINK("#",""), HYPERLINK(CONCATENATE("#Metadata!", ADDRESS(INDEX($AJ$2:$AJ$1001,MATCH(ROWS($AH$2:AH35),$AH$2:$AH$1001,0),0), INDEX($AO$1004:$BQ$1004,1,MATCH(COLUMNS($AO$1006:BJ1006),$AO$1006:$BQ$1006,0)))),"Fix")))</f>
        <v>#N/A</v>
      </c>
      <c r="X35" s="5" t="e">
        <f ca="1">IF(OR(INDEX($AI$2:$AI$1001,MATCH(ROWS($AH$2:AH35),$AH$2:$AH$1001,0),1)&gt;=100000,INDEX($AO$1005:$BQ$1005,1,MATCH(COLUMNS($AO$1006:BK1006),$AO$1006:$BQ$1006,0))&gt;=100000), " ",IF(INDEX($AO$2:$BQ$1001,MATCH(ROWS($AH$2:AH35),$AH$2:$AH$1001,0),MATCH(COLUMNS($AO$1006:BK1006),$AO$1006:$BQ$1006,0)), HYPERLINK("#",""), HYPERLINK(CONCATENATE("#Metadata!", ADDRESS(INDEX($AJ$2:$AJ$1001,MATCH(ROWS($AH$2:AH35),$AH$2:$AH$1001,0),0), INDEX($AO$1004:$BQ$1004,1,MATCH(COLUMNS($AO$1006:BK1006),$AO$1006:$BQ$1006,0)))),"Fix")))</f>
        <v>#N/A</v>
      </c>
      <c r="Y35" s="5" t="e">
        <f ca="1">IF(OR(INDEX($AI$2:$AI$1001,MATCH(ROWS($AH$2:AH35),$AH$2:$AH$1001,0),1)&gt;=100000,INDEX($AO$1005:$BQ$1005,1,MATCH(COLUMNS($AO$1006:BL1006),$AO$1006:$BQ$1006,0))&gt;=100000), " ",IF(INDEX($AO$2:$BQ$1001,MATCH(ROWS($AH$2:AH35),$AH$2:$AH$1001,0),MATCH(COLUMNS($AO$1006:BL1006),$AO$1006:$BQ$1006,0)), HYPERLINK("#",""), HYPERLINK(CONCATENATE("#Metadata!", ADDRESS(INDEX($AJ$2:$AJ$1001,MATCH(ROWS($AH$2:AH35),$AH$2:$AH$1001,0),0), INDEX($AO$1004:$BQ$1004,1,MATCH(COLUMNS($AO$1006:BL1006),$AO$1006:$BQ$1006,0)))),"Fix")))</f>
        <v>#N/A</v>
      </c>
      <c r="Z35" s="5" t="e">
        <f ca="1">IF(OR(INDEX($AI$2:$AI$1001,MATCH(ROWS($AH$2:AH35),$AH$2:$AH$1001,0),1)&gt;=100000,INDEX($AO$1005:$BQ$1005,1,MATCH(COLUMNS($AO$1006:BM1006),$AO$1006:$BQ$1006,0))&gt;=100000), " ",IF(INDEX($AO$2:$BQ$1001,MATCH(ROWS($AH$2:AH35),$AH$2:$AH$1001,0),MATCH(COLUMNS($AO$1006:BM1006),$AO$1006:$BQ$1006,0)), HYPERLINK("#",""), HYPERLINK(CONCATENATE("#Metadata!", ADDRESS(INDEX($AJ$2:$AJ$1001,MATCH(ROWS($AH$2:AH35),$AH$2:$AH$1001,0),0), INDEX($AO$1004:$BQ$1004,1,MATCH(COLUMNS($AO$1006:BM1006),$AO$1006:$BQ$1006,0)))),"Fix")))</f>
        <v>#N/A</v>
      </c>
      <c r="AA35" s="5" t="e">
        <f ca="1">IF(OR(INDEX($AI$2:$AI$1001,MATCH(ROWS($AH$2:AH35),$AH$2:$AH$1001,0),1)&gt;=100000,INDEX($AO$1005:$BQ$1005,1,MATCH(COLUMNS($AO$1006:BN1006),$AO$1006:$BQ$1006,0))&gt;=100000), " ",IF(INDEX($AO$2:$BQ$1001,MATCH(ROWS($AH$2:AH35),$AH$2:$AH$1001,0),MATCH(COLUMNS($AO$1006:BN1006),$AO$1006:$BQ$1006,0)), HYPERLINK("#",""), HYPERLINK(CONCATENATE("#Metadata!", ADDRESS(INDEX($AJ$2:$AJ$1001,MATCH(ROWS($AH$2:AH35),$AH$2:$AH$1001,0),0), INDEX($AO$1004:$BQ$1004,1,MATCH(COLUMNS($AO$1006:BN1006),$AO$1006:$BQ$1006,0)))),"Fix")))</f>
        <v>#N/A</v>
      </c>
      <c r="AB35" s="5" t="e">
        <f ca="1">IF(OR(INDEX($AI$2:$AI$1001,MATCH(ROWS($AH$2:AH35),$AH$2:$AH$1001,0),1)&gt;=100000,INDEX($AO$1005:$BQ$1005,1,MATCH(COLUMNS($AO$1006:BO1006),$AO$1006:$BQ$1006,0))&gt;=100000), " ",IF(INDEX($AO$2:$BQ$1001,MATCH(ROWS($AH$2:AH35),$AH$2:$AH$1001,0),MATCH(COLUMNS($AO$1006:BO1006),$AO$1006:$BQ$1006,0)), HYPERLINK("#",""), HYPERLINK(CONCATENATE("#Metadata!", ADDRESS(INDEX($AJ$2:$AJ$1001,MATCH(ROWS($AH$2:AH35),$AH$2:$AH$1001,0),0), INDEX($AO$1004:$BQ$1004,1,MATCH(COLUMNS($AO$1006:BO1006),$AO$1006:$BQ$1006,0)))),"Fix")))</f>
        <v>#N/A</v>
      </c>
      <c r="AC35" s="5" t="e">
        <f ca="1">IF(OR(INDEX($AI$2:$AI$1001,MATCH(ROWS($AH$2:AH35),$AH$2:$AH$1001,0),1)&gt;=100000,INDEX($AO$1005:$BQ$1005,1,MATCH(COLUMNS($AO$1006:BP1006),$AO$1006:$BQ$1006,0))&gt;=100000), " ",IF(INDEX($AO$2:$BQ$1001,MATCH(ROWS($AH$2:AH35),$AH$2:$AH$1001,0),MATCH(COLUMNS($AO$1006:BP1006),$AO$1006:$BQ$1006,0)), HYPERLINK("#",""), HYPERLINK(CONCATENATE("#Metadata!", ADDRESS(INDEX($AJ$2:$AJ$1001,MATCH(ROWS($AH$2:AH35),$AH$2:$AH$1001,0),0), INDEX($AO$1004:$BQ$1004,1,MATCH(COLUMNS($AO$1006:BP1006),$AO$1006:$BQ$1006,0)))),"Fix")))</f>
        <v>#N/A</v>
      </c>
      <c r="AD35" s="5" t="e">
        <f ca="1">IF(OR(INDEX($AI$2:$AI$1001,MATCH(ROWS($AH$2:AH35),$AH$2:$AH$1001,0),1)&gt;=100000,INDEX($AO$1005:$BQ$1005,1,MATCH(COLUMNS($AO$1006:BQ1006),$AO$1006:$BQ$1006,0))&gt;=100000), " ",IF(INDEX($AO$2:$BQ$1001,MATCH(ROWS($AH$2:AH35),$AH$2:$AH$1001,0),MATCH(COLUMNS($AO$1006:BQ1006),$AO$1006:$BQ$1006,0)), HYPERLINK("#",""), HYPERLINK(CONCATENATE("#Metadata!", ADDRESS(INDEX($AJ$2:$AJ$1001,MATCH(ROWS($AH$2:AH35),$AH$2:$AH$1001,0),0), INDEX($AO$1004:$BQ$1004,1,MATCH(COLUMNS($AO$1006:BQ1006),$AO$1006:$BQ$1006,0)))),"Fix")))</f>
        <v>#REF!</v>
      </c>
      <c r="AH35">
        <f ca="1"/>
        <v>32</v>
      </c>
      <c r="AI35">
        <f ca="1"/>
        <v>35</v>
      </c>
      <c r="AJ35">
        <v>35</v>
      </c>
      <c r="AK35" t="b">
        <f t="shared" ca="1" si="0"/>
        <v>0</v>
      </c>
      <c r="AL35" t="b">
        <f>COUNTBLANK(Metadata!B35:AD35)=COLUMNS(Metadata!B35:AD35)</f>
        <v>0</v>
      </c>
      <c r="AM35" t="str">
        <v>Anaxyrus.boreas.Lake.water.BTP.10.2Lake.water</v>
      </c>
      <c r="AO35" t="b">
        <f ca="1">AND(IF(Metadata!B34="",FALSE,TRUE),COUNTIF(Metadata!B:B, Metadata!B34) = 1,NOT(ISERROR(SUMPRODUCT(SEARCH(MID(Metadata!B34,ROW(INDIRECT("1:"&amp;LEN(Metadata!B34))), 1),"0123456789abcdefghijklmnopqrstuvwxyzABCDEFGHIJKLMNOPQRSTUVWXYZ.")))))</f>
        <v>1</v>
      </c>
      <c r="AP35" t="b">
        <f>IF(Metadata!C34="",FALSE,TRUE)</f>
        <v>1</v>
      </c>
      <c r="AQ35" t="b">
        <f>IF(Metadata!D34="",FALSE,TRUE)</f>
        <v>1</v>
      </c>
      <c r="AR35" t="b">
        <f ca="1">OR(AND(IF(Metadata!E34="",FALSE,TRUE),OR(EXACT(Metadata!E34,"not collected"),EXACT(Metadata!E34,"not provided"),EXACT(Metadata!E34,"restricted access"))),AND(IF(Metadata!E34="",FALSE,TRUE),AND(AND(IFERROR(INT(LEFT(Metadata!E34,4))&gt;1900,FALSE),IFERROR(INT(LEFT(Metadata!E34,4))&lt;=YEAR(NOW()),FALSE)), OR(MID(Metadata!E34,5,1)="", AND(AND(MID(Metadata!E34,5,1)="-",IFERROR(INT(MID(Metadata!E34,6,1))&gt;=0,FALSE),IFERROR(INT(MID(Metadata!E34,6,1))&lt;=1,FALSE),NOT(MID(Metadata!E34,7,1)=""),IFERROR(INT(MID(Metadata!E34,6,2))&gt;=1,FALSE),IFERROR(INT(MID(Metadata!E34,6,2))&lt;=12,FALSE)), OR(MID(Metadata!E34,8,1)="", AND(AND(MID(Metadata!E34,8,1)="-",IFERROR(INT(MID(Metadata!E34,9,1))&gt;=0,FALSE),IFERROR(INT(MID(Metadata!E34,9,1))&lt;=3,FALSE),NOT(MID(Metadata!E34,10,1)=""),IFERROR(INT(MID(Metadata!E34,9,2))&gt;=1,FALSE),IFERROR(INT(MID(Metadata!E34,9,2))&lt;=31,FALSE)), OR(MID(Metadata!E34,11,1)="", AND(AND(MID(Metadata!E34,11,1)=" ",IFERROR(INT(MID(Metadata!E34,12,1))&gt;=0,FALSE),IFERROR(INT(MID(Metadata!E34,12,1))&lt;=2,FALSE),NOT(MID(Metadata!E34,13,1)=""),IFERROR(INT(MID(Metadata!E34,12,2))&gt;=0,FALSE),IFERROR(INT(MID(Metadata!E34,12,2))&lt;=23,FALSE)), OR(MID(Metadata!E34,14,1)="", AND(AND(MID(Metadata!E34,14,1)=":",IFERROR(INT(MID(Metadata!E34,15,1))&gt;=0,FALSE),IFERROR(INT(MID(Metadata!E34,15,1))&lt;=5,FALSE),NOT(MID(Metadata!E34,16,1)=""),IFERROR(INT(MID(Metadata!E34,15,2))&gt;=0,FALSE),IFERROR(INT(MID(Metadata!E34,15,2))&lt;=59,FALSE)), OR(MID(Metadata!E34,17,1)="", AND(AND(MID(Metadata!E34,17,1)=":",IFERROR(INT(MID(Metadata!E34,18,1))&gt;=0,FALSE),IFERROR(INT(MID(Metadata!E34,18,1))&lt;=5,FALSE),NOT(MID(Metadata!E34,19,1)=""),IFERROR(INT(MID(Metadata!E34,18,2))&gt;=0,FALSE),IFERROR(INT(MID(Metadata!E34,18,2))&lt;=59,FALSE)), LEN(Metadata!E34)&lt;=19)))))))))))))</f>
        <v>0</v>
      </c>
      <c r="AS35" t="b">
        <f>IF(Metadata!F34="",FALSE,TRUE)</f>
        <v>1</v>
      </c>
      <c r="AT35" t="b">
        <f>OR(AND(IF(Metadata!G34="",FALSE,TRUE),OR(EXACT(Metadata!G34,"not collected"),EXACT(Metadata!G34,"not provided"))),AND(IF(Metadata!G34="",FALSE,TRUE),OR(EXACT(Metadata!G34,"TRUE"),EXACT(Metadata!G34,"FALSE"))))</f>
        <v>1</v>
      </c>
      <c r="AU35" t="b">
        <f>OR(AND(IF(Metadata!H34="",FALSE,TRUE),OR(EXACT(Metadata!H34,"not collected"),EXACT(Metadata!H34,"not provided"),EXACT(Metadata!H34,"restricted access"))),AND(IF(Metadata!H34="",FALSE,ISNUMBER(VALUE(Metadata!H34))),Metadata!H34&gt;=-413))</f>
        <v>0</v>
      </c>
      <c r="AV35" t="b">
        <f>AND(IF(Metadata!I34="",FALSE,TRUE),EXACT(Metadata!I34,"meters"))</f>
        <v>1</v>
      </c>
      <c r="AW35" t="b">
        <f>AND(IF(Metadata!J34="",FALSE,TRUE),EXACT(Metadata!J34,"free-living"))</f>
        <v>1</v>
      </c>
      <c r="AX35" t="b">
        <f>AND(IF(Metadata!K34="",FALSE,TRUE),OR(EXACT(Metadata!K34,"saline"),EXACT(Metadata!K34,"non-saline")))</f>
        <v>1</v>
      </c>
      <c r="AY35" t="b">
        <f>AND(IF(Metadata!L34="",FALSE,TRUE),OR(EXACT(Metadata!L34,"sub-surface (non-saline)"),EXACT(Metadata!L34,"surface (non-saline)"),EXACT(Metadata!L34,"water (non-saline)"),EXACT(Metadata!L34,"soil (non-saline)"),EXACT(Metadata!L34,"aerosol (non-saline)"),EXACT(Metadata!L34,"sediment (non-saline)"),EXACT(Metadata!L34,"surface (saline)"),EXACT(Metadata!L34,"water (saline)"),EXACT(Metadata!L34,"hypersaline (saline)"),EXACT(Metadata!L34,"aerosol (saline)"),EXACT(Metadata!L34,"sediment (saline)")))</f>
        <v>1</v>
      </c>
      <c r="AZ35" t="b">
        <f>IF(Metadata!M34="",FALSE,TRUE)</f>
        <v>1</v>
      </c>
      <c r="BA35" t="b">
        <f>IF(Metadata!N34="",FALSE,TRUE)</f>
        <v>1</v>
      </c>
      <c r="BB35" t="b">
        <f>IF(Metadata!O34="",FALSE,TRUE)</f>
        <v>1</v>
      </c>
      <c r="BC35" t="b">
        <f>AND(IF(Metadata!P34="",FALSE,TRUE),OR(EXACT(Metadata!P34,"air"),EXACT(Metadata!P34,"microbial mat/biofilm"),EXACT(Metadata!P34,"misc environment"),EXACT(Metadata!P34,"sediment"),EXACT(Metadata!P34,"soil"),EXACT(Metadata!P34,"wastewater/sludge"),EXACT(Metadata!P34,"water")))</f>
        <v>1</v>
      </c>
      <c r="BD35" t="b">
        <f>IF(Metadata!Q34="",FALSE,TRUE)</f>
        <v>1</v>
      </c>
      <c r="BE35" t="b">
        <f>IF(Metadata!R34="",FALSE,TRUE)</f>
        <v>1</v>
      </c>
      <c r="BF35" t="b">
        <f>OR(AND(IF(Metadata!S34="",FALSE,TRUE),OR(EXACT(Metadata!S34,"not collected"),EXACT(Metadata!S34,"not provided"),EXACT(Metadata!S34,"restricted access"))),AND(IF(Metadata!S34="",FALSE,ISNUMBER(VALUE(Metadata!S34))),Metadata!S34&gt;=-90,Metadata!S34&lt;=90))</f>
        <v>0</v>
      </c>
      <c r="BG35" t="b">
        <f>AND(IF(Metadata!T34="",FALSE,TRUE),EXACT(Metadata!T34,"Decimal degrees"))</f>
        <v>1</v>
      </c>
      <c r="BH35" t="b">
        <f>OR(AND(IF(Metadata!U34="",FALSE,TRUE),OR(EXACT(Metadata!U34,"not applicable"),EXACT(Metadata!U34,"not collected"))),IF(Metadata!U34="",FALSE,TRUE))</f>
        <v>1</v>
      </c>
      <c r="BI35" t="b">
        <f>OR(AND(IF(Metadata!V34="",FALSE,TRUE),OR(EXACT(Metadata!V34,"not collected"),EXACT(Metadata!V34,"not provided"),EXACT(Metadata!V34,"restricted access"))),AND(IF(Metadata!V34="",FALSE,ISNUMBER(VALUE(Metadata!V34))),Metadata!V34&gt;=-180,Metadata!V34&lt;=180))</f>
        <v>0</v>
      </c>
      <c r="BJ35" t="b">
        <f>AND(IF(Metadata!W34="",FALSE,TRUE),EXACT(Metadata!W34,"Decimal degrees"))</f>
        <v>1</v>
      </c>
      <c r="BK35" t="b">
        <f>IF(Metadata!X34="",FALSE,TRUE)</f>
        <v>1</v>
      </c>
      <c r="BL35" t="b">
        <f>OR(AND(IF(Metadata!Y34="",FALSE,TRUE),OR(EXACT(Metadata!Y34,"not collected"),EXACT(Metadata!Y34,"not provided"),EXACT(Metadata!Y34,"restricted access"))),AND(IF(Metadata!Y34="",FALSE,TRUE),OR(EXACT(Metadata!Y34,"TRUE"),EXACT(Metadata!Y34,"FALSE"))))</f>
        <v>1</v>
      </c>
      <c r="BM35" t="b">
        <f>OR(AND(IF(Metadata!Z34="",FALSE,TRUE),EXACT(Metadata!Z34,"not applicable")),AND(IF(Metadata!Z34="",FALSE,TRUE),OR(EXACT(Metadata!Z34,"beer"),EXACT(Metadata!Z34,"cheese"),EXACT(Metadata!Z34,"fresh water"),EXACT(Metadata!Z34,"marine sediment"),EXACT(Metadata!Z34,"sea water"),EXACT(Metadata!Z34,"sediment"),EXACT(Metadata!Z34,"soil"),EXACT(Metadata!Z34,"waste water"))))</f>
        <v>1</v>
      </c>
      <c r="BN35" t="b">
        <f>AND(IF(Metadata!AA34="",FALSE,TRUE),EXACT(Metadata!AA34,"metagenome"))</f>
        <v>1</v>
      </c>
      <c r="BO35" t="b">
        <f>AND(IF(Metadata!AB34="",FALSE,TRUE),EXACT(Metadata!AB34,"256318"))</f>
        <v>1</v>
      </c>
      <c r="BP35" t="b">
        <f>IF(Metadata!AC34="",FALSE,TRUE)</f>
        <v>1</v>
      </c>
      <c r="BQ35" t="b">
        <f>IF(Metadata!AD34="",FALSE,TRUE)</f>
        <v>1</v>
      </c>
    </row>
    <row r="36" spans="1:69" x14ac:dyDescent="0.2">
      <c r="A36" s="4" t="e">
        <f ca="1">IF(B36=" "," ",HYPERLINK(CONCATENATE("#metadata!",ADDRESS(INDEX($AJ$2:$AJ$1001,MATCH(ROWS($AH$2:AH36),$AH$2:$AH$1001,0),0),2)),INDEX($AM$2:$AM$1001,MATCH(ROWS($AH$2:AH36),$AH$2:$AH$1001,0),0)))</f>
        <v>#N/A</v>
      </c>
      <c r="B36" s="5" t="e">
        <f ca="1">IF(OR(INDEX($AI$2:$AI$1001,MATCH(ROWS($AH$2:AH36),$AH$2:$AH$1001,0),1)&gt;=100000,INDEX($AO$1005:$BQ$1005,1,MATCH(COLUMNS($AO$1006:AO1006),$AO$1006:$BQ$1006,0))&gt;=100000), " ",IF(INDEX($AO$2:$BQ$1001,MATCH(ROWS($AH$2:AH36),$AH$2:$AH$1001,0),MATCH(COLUMNS($AO$1006:AO1006),$AO$1006:$BQ$1006,0)), HYPERLINK("#",""), HYPERLINK(CONCATENATE("#Metadata!", ADDRESS(INDEX($AJ$2:$AJ$1001,MATCH(ROWS($AH$2:AH36),$AH$2:$AH$1001,0),0), INDEX($AO$1004:$BQ$1004,1,MATCH(COLUMNS($AO$1006:AO1006),$AO$1006:$BQ$1006,0)))),"Fix")))</f>
        <v>#N/A</v>
      </c>
      <c r="C36" s="5" t="e">
        <f ca="1">IF(OR(INDEX($AI$2:$AI$1001,MATCH(ROWS($AH$2:AH36),$AH$2:$AH$1001,0),1)&gt;=100000,INDEX($AO$1005:$BQ$1005,1,MATCH(COLUMNS($AO$1006:AP1006),$AO$1006:$BQ$1006,0))&gt;=100000), " ",IF(INDEX($AO$2:$BQ$1001,MATCH(ROWS($AH$2:AH36),$AH$2:$AH$1001,0),MATCH(COLUMNS($AO$1006:AP1006),$AO$1006:$BQ$1006,0)), HYPERLINK("#",""), HYPERLINK(CONCATENATE("#Metadata!", ADDRESS(INDEX($AJ$2:$AJ$1001,MATCH(ROWS($AH$2:AH36),$AH$2:$AH$1001,0),0), INDEX($AO$1004:$BQ$1004,1,MATCH(COLUMNS($AO$1006:AP1006),$AO$1006:$BQ$1006,0)))),"Fix")))</f>
        <v>#N/A</v>
      </c>
      <c r="D36" s="5" t="e">
        <f ca="1">IF(OR(INDEX($AI$2:$AI$1001,MATCH(ROWS($AH$2:AH36),$AH$2:$AH$1001,0),1)&gt;=100000,INDEX($AO$1005:$BQ$1005,1,MATCH(COLUMNS($AO$1006:AQ1006),$AO$1006:$BQ$1006,0))&gt;=100000), " ",IF(INDEX($AO$2:$BQ$1001,MATCH(ROWS($AH$2:AH36),$AH$2:$AH$1001,0),MATCH(COLUMNS($AO$1006:AQ1006),$AO$1006:$BQ$1006,0)), HYPERLINK("#",""), HYPERLINK(CONCATENATE("#Metadata!", ADDRESS(INDEX($AJ$2:$AJ$1001,MATCH(ROWS($AH$2:AH36),$AH$2:$AH$1001,0),0), INDEX($AO$1004:$BQ$1004,1,MATCH(COLUMNS($AO$1006:AQ1006),$AO$1006:$BQ$1006,0)))),"Fix")))</f>
        <v>#N/A</v>
      </c>
      <c r="E36" s="5" t="e">
        <f ca="1">IF(OR(INDEX($AI$2:$AI$1001,MATCH(ROWS($AH$2:AH36),$AH$2:$AH$1001,0),1)&gt;=100000,INDEX($AO$1005:$BQ$1005,1,MATCH(COLUMNS($AO$1006:AR1006),$AO$1006:$BQ$1006,0))&gt;=100000), " ",IF(INDEX($AO$2:$BQ$1001,MATCH(ROWS($AH$2:AH36),$AH$2:$AH$1001,0),MATCH(COLUMNS($AO$1006:AR1006),$AO$1006:$BQ$1006,0)), HYPERLINK("#",""), HYPERLINK(CONCATENATE("#Metadata!", ADDRESS(INDEX($AJ$2:$AJ$1001,MATCH(ROWS($AH$2:AH36),$AH$2:$AH$1001,0),0), INDEX($AO$1004:$BQ$1004,1,MATCH(COLUMNS($AO$1006:AR1006),$AO$1006:$BQ$1006,0)))),"Fix")))</f>
        <v>#N/A</v>
      </c>
      <c r="F36" s="5" t="e">
        <f ca="1">IF(OR(INDEX($AI$2:$AI$1001,MATCH(ROWS($AH$2:AH36),$AH$2:$AH$1001,0),1)&gt;=100000,INDEX($AO$1005:$BQ$1005,1,MATCH(COLUMNS($AO$1006:AS1006),$AO$1006:$BQ$1006,0))&gt;=100000), " ",IF(INDEX($AO$2:$BQ$1001,MATCH(ROWS($AH$2:AH36),$AH$2:$AH$1001,0),MATCH(COLUMNS($AO$1006:AS1006),$AO$1006:$BQ$1006,0)), HYPERLINK("#",""), HYPERLINK(CONCATENATE("#Metadata!", ADDRESS(INDEX($AJ$2:$AJ$1001,MATCH(ROWS($AH$2:AH36),$AH$2:$AH$1001,0),0), INDEX($AO$1004:$BQ$1004,1,MATCH(COLUMNS($AO$1006:AS1006),$AO$1006:$BQ$1006,0)))),"Fix")))</f>
        <v>#N/A</v>
      </c>
      <c r="G36" s="5" t="e">
        <f ca="1">IF(OR(INDEX($AI$2:$AI$1001,MATCH(ROWS($AH$2:AH36),$AH$2:$AH$1001,0),1)&gt;=100000,INDEX($AO$1005:$BQ$1005,1,MATCH(COLUMNS($AO$1006:AT1006),$AO$1006:$BQ$1006,0))&gt;=100000), " ",IF(INDEX($AO$2:$BQ$1001,MATCH(ROWS($AH$2:AH36),$AH$2:$AH$1001,0),MATCH(COLUMNS($AO$1006:AT1006),$AO$1006:$BQ$1006,0)), HYPERLINK("#",""), HYPERLINK(CONCATENATE("#Metadata!", ADDRESS(INDEX($AJ$2:$AJ$1001,MATCH(ROWS($AH$2:AH36),$AH$2:$AH$1001,0),0), INDEX($AO$1004:$BQ$1004,1,MATCH(COLUMNS($AO$1006:AT1006),$AO$1006:$BQ$1006,0)))),"Fix")))</f>
        <v>#N/A</v>
      </c>
      <c r="H36" s="5" t="e">
        <f ca="1">IF(OR(INDEX($AI$2:$AI$1001,MATCH(ROWS($AH$2:AH36),$AH$2:$AH$1001,0),1)&gt;=100000,INDEX($AO$1005:$BQ$1005,1,MATCH(COLUMNS($AO$1006:AU1006),$AO$1006:$BQ$1006,0))&gt;=100000), " ",IF(INDEX($AO$2:$BQ$1001,MATCH(ROWS($AH$2:AH36),$AH$2:$AH$1001,0),MATCH(COLUMNS($AO$1006:AU1006),$AO$1006:$BQ$1006,0)), HYPERLINK("#",""), HYPERLINK(CONCATENATE("#Metadata!", ADDRESS(INDEX($AJ$2:$AJ$1001,MATCH(ROWS($AH$2:AH36),$AH$2:$AH$1001,0),0), INDEX($AO$1004:$BQ$1004,1,MATCH(COLUMNS($AO$1006:AU1006),$AO$1006:$BQ$1006,0)))),"Fix")))</f>
        <v>#N/A</v>
      </c>
      <c r="I36" s="5" t="e">
        <f ca="1">IF(OR(INDEX($AI$2:$AI$1001,MATCH(ROWS($AH$2:AH36),$AH$2:$AH$1001,0),1)&gt;=100000,INDEX($AO$1005:$BQ$1005,1,MATCH(COLUMNS($AO$1006:AV1006),$AO$1006:$BQ$1006,0))&gt;=100000), " ",IF(INDEX($AO$2:$BQ$1001,MATCH(ROWS($AH$2:AH36),$AH$2:$AH$1001,0),MATCH(COLUMNS($AO$1006:AV1006),$AO$1006:$BQ$1006,0)), HYPERLINK("#",""), HYPERLINK(CONCATENATE("#Metadata!", ADDRESS(INDEX($AJ$2:$AJ$1001,MATCH(ROWS($AH$2:AH36),$AH$2:$AH$1001,0),0), INDEX($AO$1004:$BQ$1004,1,MATCH(COLUMNS($AO$1006:AV1006),$AO$1006:$BQ$1006,0)))),"Fix")))</f>
        <v>#N/A</v>
      </c>
      <c r="J36" s="5" t="e">
        <f ca="1">IF(OR(INDEX($AI$2:$AI$1001,MATCH(ROWS($AH$2:AH36),$AH$2:$AH$1001,0),1)&gt;=100000,INDEX($AO$1005:$BQ$1005,1,MATCH(COLUMNS($AO$1006:AW1006),$AO$1006:$BQ$1006,0))&gt;=100000), " ",IF(INDEX($AO$2:$BQ$1001,MATCH(ROWS($AH$2:AH36),$AH$2:$AH$1001,0),MATCH(COLUMNS($AO$1006:AW1006),$AO$1006:$BQ$1006,0)), HYPERLINK("#",""), HYPERLINK(CONCATENATE("#Metadata!", ADDRESS(INDEX($AJ$2:$AJ$1001,MATCH(ROWS($AH$2:AH36),$AH$2:$AH$1001,0),0), INDEX($AO$1004:$BQ$1004,1,MATCH(COLUMNS($AO$1006:AW1006),$AO$1006:$BQ$1006,0)))),"Fix")))</f>
        <v>#N/A</v>
      </c>
      <c r="K36" s="5" t="e">
        <f ca="1">IF(OR(INDEX($AI$2:$AI$1001,MATCH(ROWS($AH$2:AH36),$AH$2:$AH$1001,0),1)&gt;=100000,INDEX($AO$1005:$BQ$1005,1,MATCH(COLUMNS($AO$1006:AX1006),$AO$1006:$BQ$1006,0))&gt;=100000), " ",IF(INDEX($AO$2:$BQ$1001,MATCH(ROWS($AH$2:AH36),$AH$2:$AH$1001,0),MATCH(COLUMNS($AO$1006:AX1006),$AO$1006:$BQ$1006,0)), HYPERLINK("#",""), HYPERLINK(CONCATENATE("#Metadata!", ADDRESS(INDEX($AJ$2:$AJ$1001,MATCH(ROWS($AH$2:AH36),$AH$2:$AH$1001,0),0), INDEX($AO$1004:$BQ$1004,1,MATCH(COLUMNS($AO$1006:AX1006),$AO$1006:$BQ$1006,0)))),"Fix")))</f>
        <v>#N/A</v>
      </c>
      <c r="L36" s="5" t="e">
        <f ca="1">IF(OR(INDEX($AI$2:$AI$1001,MATCH(ROWS($AH$2:AH36),$AH$2:$AH$1001,0),1)&gt;=100000,INDEX($AO$1005:$BQ$1005,1,MATCH(COLUMNS($AO$1006:AY1006),$AO$1006:$BQ$1006,0))&gt;=100000), " ",IF(INDEX($AO$2:$BQ$1001,MATCH(ROWS($AH$2:AH36),$AH$2:$AH$1001,0),MATCH(COLUMNS($AO$1006:AY1006),$AO$1006:$BQ$1006,0)), HYPERLINK("#",""), HYPERLINK(CONCATENATE("#Metadata!", ADDRESS(INDEX($AJ$2:$AJ$1001,MATCH(ROWS($AH$2:AH36),$AH$2:$AH$1001,0),0), INDEX($AO$1004:$BQ$1004,1,MATCH(COLUMNS($AO$1006:AY1006),$AO$1006:$BQ$1006,0)))),"Fix")))</f>
        <v>#N/A</v>
      </c>
      <c r="M36" s="5" t="e">
        <f ca="1">IF(OR(INDEX($AI$2:$AI$1001,MATCH(ROWS($AH$2:AH36),$AH$2:$AH$1001,0),1)&gt;=100000,INDEX($AO$1005:$BQ$1005,1,MATCH(COLUMNS($AO$1006:AZ1006),$AO$1006:$BQ$1006,0))&gt;=100000), " ",IF(INDEX($AO$2:$BQ$1001,MATCH(ROWS($AH$2:AH36),$AH$2:$AH$1001,0),MATCH(COLUMNS($AO$1006:AZ1006),$AO$1006:$BQ$1006,0)), HYPERLINK("#",""), HYPERLINK(CONCATENATE("#Metadata!", ADDRESS(INDEX($AJ$2:$AJ$1001,MATCH(ROWS($AH$2:AH36),$AH$2:$AH$1001,0),0), INDEX($AO$1004:$BQ$1004,1,MATCH(COLUMNS($AO$1006:AZ1006),$AO$1006:$BQ$1006,0)))),"Fix")))</f>
        <v>#N/A</v>
      </c>
      <c r="N36" s="5" t="e">
        <f ca="1">IF(OR(INDEX($AI$2:$AI$1001,MATCH(ROWS($AH$2:AH36),$AH$2:$AH$1001,0),1)&gt;=100000,INDEX($AO$1005:$BQ$1005,1,MATCH(COLUMNS($AO$1006:BA1006),$AO$1006:$BQ$1006,0))&gt;=100000), " ",IF(INDEX($AO$2:$BQ$1001,MATCH(ROWS($AH$2:AH36),$AH$2:$AH$1001,0),MATCH(COLUMNS($AO$1006:BA1006),$AO$1006:$BQ$1006,0)), HYPERLINK("#",""), HYPERLINK(CONCATENATE("#Metadata!", ADDRESS(INDEX($AJ$2:$AJ$1001,MATCH(ROWS($AH$2:AH36),$AH$2:$AH$1001,0),0), INDEX($AO$1004:$BQ$1004,1,MATCH(COLUMNS($AO$1006:BA1006),$AO$1006:$BQ$1006,0)))),"Fix")))</f>
        <v>#N/A</v>
      </c>
      <c r="O36" s="5" t="e">
        <f ca="1">IF(OR(INDEX($AI$2:$AI$1001,MATCH(ROWS($AH$2:AH36),$AH$2:$AH$1001,0),1)&gt;=100000,INDEX($AO$1005:$BQ$1005,1,MATCH(COLUMNS($AO$1006:BB1006),$AO$1006:$BQ$1006,0))&gt;=100000), " ",IF(INDEX($AO$2:$BQ$1001,MATCH(ROWS($AH$2:AH36),$AH$2:$AH$1001,0),MATCH(COLUMNS($AO$1006:BB1006),$AO$1006:$BQ$1006,0)), HYPERLINK("#",""), HYPERLINK(CONCATENATE("#Metadata!", ADDRESS(INDEX($AJ$2:$AJ$1001,MATCH(ROWS($AH$2:AH36),$AH$2:$AH$1001,0),0), INDEX($AO$1004:$BQ$1004,1,MATCH(COLUMNS($AO$1006:BB1006),$AO$1006:$BQ$1006,0)))),"Fix")))</f>
        <v>#N/A</v>
      </c>
      <c r="P36" s="5" t="e">
        <f ca="1">IF(OR(INDEX($AI$2:$AI$1001,MATCH(ROWS($AH$2:AH36),$AH$2:$AH$1001,0),1)&gt;=100000,INDEX($AO$1005:$BQ$1005,1,MATCH(COLUMNS($AO$1006:BC1006),$AO$1006:$BQ$1006,0))&gt;=100000), " ",IF(INDEX($AO$2:$BQ$1001,MATCH(ROWS($AH$2:AH36),$AH$2:$AH$1001,0),MATCH(COLUMNS($AO$1006:BC1006),$AO$1006:$BQ$1006,0)), HYPERLINK("#",""), HYPERLINK(CONCATENATE("#Metadata!", ADDRESS(INDEX($AJ$2:$AJ$1001,MATCH(ROWS($AH$2:AH36),$AH$2:$AH$1001,0),0), INDEX($AO$1004:$BQ$1004,1,MATCH(COLUMNS($AO$1006:BC1006),$AO$1006:$BQ$1006,0)))),"Fix")))</f>
        <v>#N/A</v>
      </c>
      <c r="Q36" s="5" t="e">
        <f ca="1">IF(OR(INDEX($AI$2:$AI$1001,MATCH(ROWS($AH$2:AH36),$AH$2:$AH$1001,0),1)&gt;=100000,INDEX($AO$1005:$BQ$1005,1,MATCH(COLUMNS($AO$1006:BD1006),$AO$1006:$BQ$1006,0))&gt;=100000), " ",IF(INDEX($AO$2:$BQ$1001,MATCH(ROWS($AH$2:AH36),$AH$2:$AH$1001,0),MATCH(COLUMNS($AO$1006:BD1006),$AO$1006:$BQ$1006,0)), HYPERLINK("#",""), HYPERLINK(CONCATENATE("#Metadata!", ADDRESS(INDEX($AJ$2:$AJ$1001,MATCH(ROWS($AH$2:AH36),$AH$2:$AH$1001,0),0), INDEX($AO$1004:$BQ$1004,1,MATCH(COLUMNS($AO$1006:BD1006),$AO$1006:$BQ$1006,0)))),"Fix")))</f>
        <v>#N/A</v>
      </c>
      <c r="R36" s="5" t="e">
        <f ca="1">IF(OR(INDEX($AI$2:$AI$1001,MATCH(ROWS($AH$2:AH36),$AH$2:$AH$1001,0),1)&gt;=100000,INDEX($AO$1005:$BQ$1005,1,MATCH(COLUMNS($AO$1006:BE1006),$AO$1006:$BQ$1006,0))&gt;=100000), " ",IF(INDEX($AO$2:$BQ$1001,MATCH(ROWS($AH$2:AH36),$AH$2:$AH$1001,0),MATCH(COLUMNS($AO$1006:BE1006),$AO$1006:$BQ$1006,0)), HYPERLINK("#",""), HYPERLINK(CONCATENATE("#Metadata!", ADDRESS(INDEX($AJ$2:$AJ$1001,MATCH(ROWS($AH$2:AH36),$AH$2:$AH$1001,0),0), INDEX($AO$1004:$BQ$1004,1,MATCH(COLUMNS($AO$1006:BE1006),$AO$1006:$BQ$1006,0)))),"Fix")))</f>
        <v>#N/A</v>
      </c>
      <c r="S36" s="5" t="e">
        <f ca="1">IF(OR(INDEX($AI$2:$AI$1001,MATCH(ROWS($AH$2:AH36),$AH$2:$AH$1001,0),1)&gt;=100000,INDEX($AO$1005:$BQ$1005,1,MATCH(COLUMNS($AO$1006:BF1006),$AO$1006:$BQ$1006,0))&gt;=100000), " ",IF(INDEX($AO$2:$BQ$1001,MATCH(ROWS($AH$2:AH36),$AH$2:$AH$1001,0),MATCH(COLUMNS($AO$1006:BF1006),$AO$1006:$BQ$1006,0)), HYPERLINK("#",""), HYPERLINK(CONCATENATE("#Metadata!", ADDRESS(INDEX($AJ$2:$AJ$1001,MATCH(ROWS($AH$2:AH36),$AH$2:$AH$1001,0),0), INDEX($AO$1004:$BQ$1004,1,MATCH(COLUMNS($AO$1006:BF1006),$AO$1006:$BQ$1006,0)))),"Fix")))</f>
        <v>#N/A</v>
      </c>
      <c r="T36" s="5" t="e">
        <f ca="1">IF(OR(INDEX($AI$2:$AI$1001,MATCH(ROWS($AH$2:AH36),$AH$2:$AH$1001,0),1)&gt;=100000,INDEX($AO$1005:$BQ$1005,1,MATCH(COLUMNS($AO$1006:BG1006),$AO$1006:$BQ$1006,0))&gt;=100000), " ",IF(INDEX($AO$2:$BQ$1001,MATCH(ROWS($AH$2:AH36),$AH$2:$AH$1001,0),MATCH(COLUMNS($AO$1006:BG1006),$AO$1006:$BQ$1006,0)), HYPERLINK("#",""), HYPERLINK(CONCATENATE("#Metadata!", ADDRESS(INDEX($AJ$2:$AJ$1001,MATCH(ROWS($AH$2:AH36),$AH$2:$AH$1001,0),0), INDEX($AO$1004:$BQ$1004,1,MATCH(COLUMNS($AO$1006:BG1006),$AO$1006:$BQ$1006,0)))),"Fix")))</f>
        <v>#N/A</v>
      </c>
      <c r="U36" s="5" t="e">
        <f ca="1">IF(OR(INDEX($AI$2:$AI$1001,MATCH(ROWS($AH$2:AH36),$AH$2:$AH$1001,0),1)&gt;=100000,INDEX($AO$1005:$BQ$1005,1,MATCH(COLUMNS($AO$1006:BH1006),$AO$1006:$BQ$1006,0))&gt;=100000), " ",IF(INDEX($AO$2:$BQ$1001,MATCH(ROWS($AH$2:AH36),$AH$2:$AH$1001,0),MATCH(COLUMNS($AO$1006:BH1006),$AO$1006:$BQ$1006,0)), HYPERLINK("#",""), HYPERLINK(CONCATENATE("#Metadata!", ADDRESS(INDEX($AJ$2:$AJ$1001,MATCH(ROWS($AH$2:AH36),$AH$2:$AH$1001,0),0), INDEX($AO$1004:$BQ$1004,1,MATCH(COLUMNS($AO$1006:BH1006),$AO$1006:$BQ$1006,0)))),"Fix")))</f>
        <v>#N/A</v>
      </c>
      <c r="V36" s="5" t="e">
        <f ca="1">IF(OR(INDEX($AI$2:$AI$1001,MATCH(ROWS($AH$2:AH36),$AH$2:$AH$1001,0),1)&gt;=100000,INDEX($AO$1005:$BQ$1005,1,MATCH(COLUMNS($AO$1006:BI1006),$AO$1006:$BQ$1006,0))&gt;=100000), " ",IF(INDEX($AO$2:$BQ$1001,MATCH(ROWS($AH$2:AH36),$AH$2:$AH$1001,0),MATCH(COLUMNS($AO$1006:BI1006),$AO$1006:$BQ$1006,0)), HYPERLINK("#",""), HYPERLINK(CONCATENATE("#Metadata!", ADDRESS(INDEX($AJ$2:$AJ$1001,MATCH(ROWS($AH$2:AH36),$AH$2:$AH$1001,0),0), INDEX($AO$1004:$BQ$1004,1,MATCH(COLUMNS($AO$1006:BI1006),$AO$1006:$BQ$1006,0)))),"Fix")))</f>
        <v>#N/A</v>
      </c>
      <c r="W36" s="5" t="e">
        <f ca="1">IF(OR(INDEX($AI$2:$AI$1001,MATCH(ROWS($AH$2:AH36),$AH$2:$AH$1001,0),1)&gt;=100000,INDEX($AO$1005:$BQ$1005,1,MATCH(COLUMNS($AO$1006:BJ1006),$AO$1006:$BQ$1006,0))&gt;=100000), " ",IF(INDEX($AO$2:$BQ$1001,MATCH(ROWS($AH$2:AH36),$AH$2:$AH$1001,0),MATCH(COLUMNS($AO$1006:BJ1006),$AO$1006:$BQ$1006,0)), HYPERLINK("#",""), HYPERLINK(CONCATENATE("#Metadata!", ADDRESS(INDEX($AJ$2:$AJ$1001,MATCH(ROWS($AH$2:AH36),$AH$2:$AH$1001,0),0), INDEX($AO$1004:$BQ$1004,1,MATCH(COLUMNS($AO$1006:BJ1006),$AO$1006:$BQ$1006,0)))),"Fix")))</f>
        <v>#N/A</v>
      </c>
      <c r="X36" s="5" t="e">
        <f ca="1">IF(OR(INDEX($AI$2:$AI$1001,MATCH(ROWS($AH$2:AH36),$AH$2:$AH$1001,0),1)&gt;=100000,INDEX($AO$1005:$BQ$1005,1,MATCH(COLUMNS($AO$1006:BK1006),$AO$1006:$BQ$1006,0))&gt;=100000), " ",IF(INDEX($AO$2:$BQ$1001,MATCH(ROWS($AH$2:AH36),$AH$2:$AH$1001,0),MATCH(COLUMNS($AO$1006:BK1006),$AO$1006:$BQ$1006,0)), HYPERLINK("#",""), HYPERLINK(CONCATENATE("#Metadata!", ADDRESS(INDEX($AJ$2:$AJ$1001,MATCH(ROWS($AH$2:AH36),$AH$2:$AH$1001,0),0), INDEX($AO$1004:$BQ$1004,1,MATCH(COLUMNS($AO$1006:BK1006),$AO$1006:$BQ$1006,0)))),"Fix")))</f>
        <v>#N/A</v>
      </c>
      <c r="Y36" s="5" t="e">
        <f ca="1">IF(OR(INDEX($AI$2:$AI$1001,MATCH(ROWS($AH$2:AH36),$AH$2:$AH$1001,0),1)&gt;=100000,INDEX($AO$1005:$BQ$1005,1,MATCH(COLUMNS($AO$1006:BL1006),$AO$1006:$BQ$1006,0))&gt;=100000), " ",IF(INDEX($AO$2:$BQ$1001,MATCH(ROWS($AH$2:AH36),$AH$2:$AH$1001,0),MATCH(COLUMNS($AO$1006:BL1006),$AO$1006:$BQ$1006,0)), HYPERLINK("#",""), HYPERLINK(CONCATENATE("#Metadata!", ADDRESS(INDEX($AJ$2:$AJ$1001,MATCH(ROWS($AH$2:AH36),$AH$2:$AH$1001,0),0), INDEX($AO$1004:$BQ$1004,1,MATCH(COLUMNS($AO$1006:BL1006),$AO$1006:$BQ$1006,0)))),"Fix")))</f>
        <v>#N/A</v>
      </c>
      <c r="Z36" s="5" t="e">
        <f ca="1">IF(OR(INDEX($AI$2:$AI$1001,MATCH(ROWS($AH$2:AH36),$AH$2:$AH$1001,0),1)&gt;=100000,INDEX($AO$1005:$BQ$1005,1,MATCH(COLUMNS($AO$1006:BM1006),$AO$1006:$BQ$1006,0))&gt;=100000), " ",IF(INDEX($AO$2:$BQ$1001,MATCH(ROWS($AH$2:AH36),$AH$2:$AH$1001,0),MATCH(COLUMNS($AO$1006:BM1006),$AO$1006:$BQ$1006,0)), HYPERLINK("#",""), HYPERLINK(CONCATENATE("#Metadata!", ADDRESS(INDEX($AJ$2:$AJ$1001,MATCH(ROWS($AH$2:AH36),$AH$2:$AH$1001,0),0), INDEX($AO$1004:$BQ$1004,1,MATCH(COLUMNS($AO$1006:BM1006),$AO$1006:$BQ$1006,0)))),"Fix")))</f>
        <v>#N/A</v>
      </c>
      <c r="AA36" s="5" t="e">
        <f ca="1">IF(OR(INDEX($AI$2:$AI$1001,MATCH(ROWS($AH$2:AH36),$AH$2:$AH$1001,0),1)&gt;=100000,INDEX($AO$1005:$BQ$1005,1,MATCH(COLUMNS($AO$1006:BN1006),$AO$1006:$BQ$1006,0))&gt;=100000), " ",IF(INDEX($AO$2:$BQ$1001,MATCH(ROWS($AH$2:AH36),$AH$2:$AH$1001,0),MATCH(COLUMNS($AO$1006:BN1006),$AO$1006:$BQ$1006,0)), HYPERLINK("#",""), HYPERLINK(CONCATENATE("#Metadata!", ADDRESS(INDEX($AJ$2:$AJ$1001,MATCH(ROWS($AH$2:AH36),$AH$2:$AH$1001,0),0), INDEX($AO$1004:$BQ$1004,1,MATCH(COLUMNS($AO$1006:BN1006),$AO$1006:$BQ$1006,0)))),"Fix")))</f>
        <v>#N/A</v>
      </c>
      <c r="AB36" s="5" t="e">
        <f ca="1">IF(OR(INDEX($AI$2:$AI$1001,MATCH(ROWS($AH$2:AH36),$AH$2:$AH$1001,0),1)&gt;=100000,INDEX($AO$1005:$BQ$1005,1,MATCH(COLUMNS($AO$1006:BO1006),$AO$1006:$BQ$1006,0))&gt;=100000), " ",IF(INDEX($AO$2:$BQ$1001,MATCH(ROWS($AH$2:AH36),$AH$2:$AH$1001,0),MATCH(COLUMNS($AO$1006:BO1006),$AO$1006:$BQ$1006,0)), HYPERLINK("#",""), HYPERLINK(CONCATENATE("#Metadata!", ADDRESS(INDEX($AJ$2:$AJ$1001,MATCH(ROWS($AH$2:AH36),$AH$2:$AH$1001,0),0), INDEX($AO$1004:$BQ$1004,1,MATCH(COLUMNS($AO$1006:BO1006),$AO$1006:$BQ$1006,0)))),"Fix")))</f>
        <v>#N/A</v>
      </c>
      <c r="AC36" s="5" t="e">
        <f ca="1">IF(OR(INDEX($AI$2:$AI$1001,MATCH(ROWS($AH$2:AH36),$AH$2:$AH$1001,0),1)&gt;=100000,INDEX($AO$1005:$BQ$1005,1,MATCH(COLUMNS($AO$1006:BP1006),$AO$1006:$BQ$1006,0))&gt;=100000), " ",IF(INDEX($AO$2:$BQ$1001,MATCH(ROWS($AH$2:AH36),$AH$2:$AH$1001,0),MATCH(COLUMNS($AO$1006:BP1006),$AO$1006:$BQ$1006,0)), HYPERLINK("#",""), HYPERLINK(CONCATENATE("#Metadata!", ADDRESS(INDEX($AJ$2:$AJ$1001,MATCH(ROWS($AH$2:AH36),$AH$2:$AH$1001,0),0), INDEX($AO$1004:$BQ$1004,1,MATCH(COLUMNS($AO$1006:BP1006),$AO$1006:$BQ$1006,0)))),"Fix")))</f>
        <v>#N/A</v>
      </c>
      <c r="AD36" s="5" t="e">
        <f ca="1">IF(OR(INDEX($AI$2:$AI$1001,MATCH(ROWS($AH$2:AH36),$AH$2:$AH$1001,0),1)&gt;=100000,INDEX($AO$1005:$BQ$1005,1,MATCH(COLUMNS($AO$1006:BQ1006),$AO$1006:$BQ$1006,0))&gt;=100000), " ",IF(INDEX($AO$2:$BQ$1001,MATCH(ROWS($AH$2:AH36),$AH$2:$AH$1001,0),MATCH(COLUMNS($AO$1006:BQ1006),$AO$1006:$BQ$1006,0)), HYPERLINK("#",""), HYPERLINK(CONCATENATE("#Metadata!", ADDRESS(INDEX($AJ$2:$AJ$1001,MATCH(ROWS($AH$2:AH36),$AH$2:$AH$1001,0),0), INDEX($AO$1004:$BQ$1004,1,MATCH(COLUMNS($AO$1006:BQ1006),$AO$1006:$BQ$1006,0)))),"Fix")))</f>
        <v>#REF!</v>
      </c>
      <c r="AH36">
        <f ca="1"/>
        <v>33</v>
      </c>
      <c r="AI36">
        <f ca="1"/>
        <v>36</v>
      </c>
      <c r="AJ36">
        <v>36</v>
      </c>
      <c r="AK36" t="b">
        <f t="shared" ca="1" si="0"/>
        <v>0</v>
      </c>
      <c r="AL36" t="b">
        <f>COUNTBLANK(Metadata!B36:AD36)=COLUMNS(Metadata!B36:AD36)</f>
        <v>0</v>
      </c>
      <c r="AM36" t="str">
        <v>Environment.Creek.water.BTP.30.1Water</v>
      </c>
      <c r="AO36" t="b">
        <f ca="1">AND(IF(Metadata!B35="",FALSE,TRUE),COUNTIF(Metadata!B:B, Metadata!B35) = 1,NOT(ISERROR(SUMPRODUCT(SEARCH(MID(Metadata!B35,ROW(INDIRECT("1:"&amp;LEN(Metadata!B35))), 1),"0123456789abcdefghijklmnopqrstuvwxyzABCDEFGHIJKLMNOPQRSTUVWXYZ.")))))</f>
        <v>1</v>
      </c>
      <c r="AP36" t="b">
        <f>IF(Metadata!C35="",FALSE,TRUE)</f>
        <v>1</v>
      </c>
      <c r="AQ36" t="b">
        <f>IF(Metadata!D35="",FALSE,TRUE)</f>
        <v>1</v>
      </c>
      <c r="AR36" t="b">
        <f ca="1">OR(AND(IF(Metadata!E35="",FALSE,TRUE),OR(EXACT(Metadata!E35,"not collected"),EXACT(Metadata!E35,"not provided"),EXACT(Metadata!E35,"restricted access"))),AND(IF(Metadata!E35="",FALSE,TRUE),AND(AND(IFERROR(INT(LEFT(Metadata!E35,4))&gt;1900,FALSE),IFERROR(INT(LEFT(Metadata!E35,4))&lt;=YEAR(NOW()),FALSE)), OR(MID(Metadata!E35,5,1)="", AND(AND(MID(Metadata!E35,5,1)="-",IFERROR(INT(MID(Metadata!E35,6,1))&gt;=0,FALSE),IFERROR(INT(MID(Metadata!E35,6,1))&lt;=1,FALSE),NOT(MID(Metadata!E35,7,1)=""),IFERROR(INT(MID(Metadata!E35,6,2))&gt;=1,FALSE),IFERROR(INT(MID(Metadata!E35,6,2))&lt;=12,FALSE)), OR(MID(Metadata!E35,8,1)="", AND(AND(MID(Metadata!E35,8,1)="-",IFERROR(INT(MID(Metadata!E35,9,1))&gt;=0,FALSE),IFERROR(INT(MID(Metadata!E35,9,1))&lt;=3,FALSE),NOT(MID(Metadata!E35,10,1)=""),IFERROR(INT(MID(Metadata!E35,9,2))&gt;=1,FALSE),IFERROR(INT(MID(Metadata!E35,9,2))&lt;=31,FALSE)), OR(MID(Metadata!E35,11,1)="", AND(AND(MID(Metadata!E35,11,1)=" ",IFERROR(INT(MID(Metadata!E35,12,1))&gt;=0,FALSE),IFERROR(INT(MID(Metadata!E35,12,1))&lt;=2,FALSE),NOT(MID(Metadata!E35,13,1)=""),IFERROR(INT(MID(Metadata!E35,12,2))&gt;=0,FALSE),IFERROR(INT(MID(Metadata!E35,12,2))&lt;=23,FALSE)), OR(MID(Metadata!E35,14,1)="", AND(AND(MID(Metadata!E35,14,1)=":",IFERROR(INT(MID(Metadata!E35,15,1))&gt;=0,FALSE),IFERROR(INT(MID(Metadata!E35,15,1))&lt;=5,FALSE),NOT(MID(Metadata!E35,16,1)=""),IFERROR(INT(MID(Metadata!E35,15,2))&gt;=0,FALSE),IFERROR(INT(MID(Metadata!E35,15,2))&lt;=59,FALSE)), OR(MID(Metadata!E35,17,1)="", AND(AND(MID(Metadata!E35,17,1)=":",IFERROR(INT(MID(Metadata!E35,18,1))&gt;=0,FALSE),IFERROR(INT(MID(Metadata!E35,18,1))&lt;=5,FALSE),NOT(MID(Metadata!E35,19,1)=""),IFERROR(INT(MID(Metadata!E35,18,2))&gt;=0,FALSE),IFERROR(INT(MID(Metadata!E35,18,2))&lt;=59,FALSE)), LEN(Metadata!E35)&lt;=19)))))))))))))</f>
        <v>0</v>
      </c>
      <c r="AS36" t="b">
        <f>IF(Metadata!F35="",FALSE,TRUE)</f>
        <v>1</v>
      </c>
      <c r="AT36" t="b">
        <f>OR(AND(IF(Metadata!G35="",FALSE,TRUE),OR(EXACT(Metadata!G35,"not collected"),EXACT(Metadata!G35,"not provided"))),AND(IF(Metadata!G35="",FALSE,TRUE),OR(EXACT(Metadata!G35,"TRUE"),EXACT(Metadata!G35,"FALSE"))))</f>
        <v>1</v>
      </c>
      <c r="AU36" t="b">
        <f>OR(AND(IF(Metadata!H35="",FALSE,TRUE),OR(EXACT(Metadata!H35,"not collected"),EXACT(Metadata!H35,"not provided"),EXACT(Metadata!H35,"restricted access"))),AND(IF(Metadata!H35="",FALSE,ISNUMBER(VALUE(Metadata!H35))),Metadata!H35&gt;=-413))</f>
        <v>0</v>
      </c>
      <c r="AV36" t="b">
        <f>AND(IF(Metadata!I35="",FALSE,TRUE),EXACT(Metadata!I35,"meters"))</f>
        <v>1</v>
      </c>
      <c r="AW36" t="b">
        <f>AND(IF(Metadata!J35="",FALSE,TRUE),EXACT(Metadata!J35,"free-living"))</f>
        <v>1</v>
      </c>
      <c r="AX36" t="b">
        <f>AND(IF(Metadata!K35="",FALSE,TRUE),OR(EXACT(Metadata!K35,"saline"),EXACT(Metadata!K35,"non-saline")))</f>
        <v>1</v>
      </c>
      <c r="AY36" t="b">
        <f>AND(IF(Metadata!L35="",FALSE,TRUE),OR(EXACT(Metadata!L35,"sub-surface (non-saline)"),EXACT(Metadata!L35,"surface (non-saline)"),EXACT(Metadata!L35,"water (non-saline)"),EXACT(Metadata!L35,"soil (non-saline)"),EXACT(Metadata!L35,"aerosol (non-saline)"),EXACT(Metadata!L35,"sediment (non-saline)"),EXACT(Metadata!L35,"surface (saline)"),EXACT(Metadata!L35,"water (saline)"),EXACT(Metadata!L35,"hypersaline (saline)"),EXACT(Metadata!L35,"aerosol (saline)"),EXACT(Metadata!L35,"sediment (saline)")))</f>
        <v>1</v>
      </c>
      <c r="AZ36" t="b">
        <f>IF(Metadata!M35="",FALSE,TRUE)</f>
        <v>1</v>
      </c>
      <c r="BA36" t="b">
        <f>IF(Metadata!N35="",FALSE,TRUE)</f>
        <v>1</v>
      </c>
      <c r="BB36" t="b">
        <f>IF(Metadata!O35="",FALSE,TRUE)</f>
        <v>1</v>
      </c>
      <c r="BC36" t="b">
        <f>AND(IF(Metadata!P35="",FALSE,TRUE),OR(EXACT(Metadata!P35,"air"),EXACT(Metadata!P35,"microbial mat/biofilm"),EXACT(Metadata!P35,"misc environment"),EXACT(Metadata!P35,"sediment"),EXACT(Metadata!P35,"soil"),EXACT(Metadata!P35,"wastewater/sludge"),EXACT(Metadata!P35,"water")))</f>
        <v>1</v>
      </c>
      <c r="BD36" t="b">
        <f>IF(Metadata!Q35="",FALSE,TRUE)</f>
        <v>1</v>
      </c>
      <c r="BE36" t="b">
        <f>IF(Metadata!R35="",FALSE,TRUE)</f>
        <v>1</v>
      </c>
      <c r="BF36" t="b">
        <f>OR(AND(IF(Metadata!S35="",FALSE,TRUE),OR(EXACT(Metadata!S35,"not collected"),EXACT(Metadata!S35,"not provided"),EXACT(Metadata!S35,"restricted access"))),AND(IF(Metadata!S35="",FALSE,ISNUMBER(VALUE(Metadata!S35))),Metadata!S35&gt;=-90,Metadata!S35&lt;=90))</f>
        <v>0</v>
      </c>
      <c r="BG36" t="b">
        <f>AND(IF(Metadata!T35="",FALSE,TRUE),EXACT(Metadata!T35,"Decimal degrees"))</f>
        <v>1</v>
      </c>
      <c r="BH36" t="b">
        <f>OR(AND(IF(Metadata!U35="",FALSE,TRUE),OR(EXACT(Metadata!U35,"not applicable"),EXACT(Metadata!U35,"not collected"))),IF(Metadata!U35="",FALSE,TRUE))</f>
        <v>1</v>
      </c>
      <c r="BI36" t="b">
        <f>OR(AND(IF(Metadata!V35="",FALSE,TRUE),OR(EXACT(Metadata!V35,"not collected"),EXACT(Metadata!V35,"not provided"),EXACT(Metadata!V35,"restricted access"))),AND(IF(Metadata!V35="",FALSE,ISNUMBER(VALUE(Metadata!V35))),Metadata!V35&gt;=-180,Metadata!V35&lt;=180))</f>
        <v>0</v>
      </c>
      <c r="BJ36" t="b">
        <f>AND(IF(Metadata!W35="",FALSE,TRUE),EXACT(Metadata!W35,"Decimal degrees"))</f>
        <v>1</v>
      </c>
      <c r="BK36" t="b">
        <f>IF(Metadata!X35="",FALSE,TRUE)</f>
        <v>1</v>
      </c>
      <c r="BL36" t="b">
        <f>OR(AND(IF(Metadata!Y35="",FALSE,TRUE),OR(EXACT(Metadata!Y35,"not collected"),EXACT(Metadata!Y35,"not provided"),EXACT(Metadata!Y35,"restricted access"))),AND(IF(Metadata!Y35="",FALSE,TRUE),OR(EXACT(Metadata!Y35,"TRUE"),EXACT(Metadata!Y35,"FALSE"))))</f>
        <v>1</v>
      </c>
      <c r="BM36" t="b">
        <f>OR(AND(IF(Metadata!Z35="",FALSE,TRUE),EXACT(Metadata!Z35,"not applicable")),AND(IF(Metadata!Z35="",FALSE,TRUE),OR(EXACT(Metadata!Z35,"beer"),EXACT(Metadata!Z35,"cheese"),EXACT(Metadata!Z35,"fresh water"),EXACT(Metadata!Z35,"marine sediment"),EXACT(Metadata!Z35,"sea water"),EXACT(Metadata!Z35,"sediment"),EXACT(Metadata!Z35,"soil"),EXACT(Metadata!Z35,"waste water"))))</f>
        <v>1</v>
      </c>
      <c r="BN36" t="b">
        <f>AND(IF(Metadata!AA35="",FALSE,TRUE),EXACT(Metadata!AA35,"metagenome"))</f>
        <v>1</v>
      </c>
      <c r="BO36" t="b">
        <f>AND(IF(Metadata!AB35="",FALSE,TRUE),EXACT(Metadata!AB35,"256318"))</f>
        <v>1</v>
      </c>
      <c r="BP36" t="b">
        <f>IF(Metadata!AC35="",FALSE,TRUE)</f>
        <v>1</v>
      </c>
      <c r="BQ36" t="b">
        <f>IF(Metadata!AD35="",FALSE,TRUE)</f>
        <v>1</v>
      </c>
    </row>
    <row r="37" spans="1:69" x14ac:dyDescent="0.2">
      <c r="A37" s="4" t="e">
        <f ca="1">IF(B37=" "," ",HYPERLINK(CONCATENATE("#metadata!",ADDRESS(INDEX($AJ$2:$AJ$1001,MATCH(ROWS($AH$2:AH37),$AH$2:$AH$1001,0),0),2)),INDEX($AM$2:$AM$1001,MATCH(ROWS($AH$2:AH37),$AH$2:$AH$1001,0),0)))</f>
        <v>#N/A</v>
      </c>
      <c r="B37" s="5" t="e">
        <f ca="1">IF(OR(INDEX($AI$2:$AI$1001,MATCH(ROWS($AH$2:AH37),$AH$2:$AH$1001,0),1)&gt;=100000,INDEX($AO$1005:$BQ$1005,1,MATCH(COLUMNS($AO$1006:AO1006),$AO$1006:$BQ$1006,0))&gt;=100000), " ",IF(INDEX($AO$2:$BQ$1001,MATCH(ROWS($AH$2:AH37),$AH$2:$AH$1001,0),MATCH(COLUMNS($AO$1006:AO1006),$AO$1006:$BQ$1006,0)), HYPERLINK("#",""), HYPERLINK(CONCATENATE("#Metadata!", ADDRESS(INDEX($AJ$2:$AJ$1001,MATCH(ROWS($AH$2:AH37),$AH$2:$AH$1001,0),0), INDEX($AO$1004:$BQ$1004,1,MATCH(COLUMNS($AO$1006:AO1006),$AO$1006:$BQ$1006,0)))),"Fix")))</f>
        <v>#N/A</v>
      </c>
      <c r="C37" s="5" t="e">
        <f ca="1">IF(OR(INDEX($AI$2:$AI$1001,MATCH(ROWS($AH$2:AH37),$AH$2:$AH$1001,0),1)&gt;=100000,INDEX($AO$1005:$BQ$1005,1,MATCH(COLUMNS($AO$1006:AP1006),$AO$1006:$BQ$1006,0))&gt;=100000), " ",IF(INDEX($AO$2:$BQ$1001,MATCH(ROWS($AH$2:AH37),$AH$2:$AH$1001,0),MATCH(COLUMNS($AO$1006:AP1006),$AO$1006:$BQ$1006,0)), HYPERLINK("#",""), HYPERLINK(CONCATENATE("#Metadata!", ADDRESS(INDEX($AJ$2:$AJ$1001,MATCH(ROWS($AH$2:AH37),$AH$2:$AH$1001,0),0), INDEX($AO$1004:$BQ$1004,1,MATCH(COLUMNS($AO$1006:AP1006),$AO$1006:$BQ$1006,0)))),"Fix")))</f>
        <v>#N/A</v>
      </c>
      <c r="D37" s="5" t="e">
        <f ca="1">IF(OR(INDEX($AI$2:$AI$1001,MATCH(ROWS($AH$2:AH37),$AH$2:$AH$1001,0),1)&gt;=100000,INDEX($AO$1005:$BQ$1005,1,MATCH(COLUMNS($AO$1006:AQ1006),$AO$1006:$BQ$1006,0))&gt;=100000), " ",IF(INDEX($AO$2:$BQ$1001,MATCH(ROWS($AH$2:AH37),$AH$2:$AH$1001,0),MATCH(COLUMNS($AO$1006:AQ1006),$AO$1006:$BQ$1006,0)), HYPERLINK("#",""), HYPERLINK(CONCATENATE("#Metadata!", ADDRESS(INDEX($AJ$2:$AJ$1001,MATCH(ROWS($AH$2:AH37),$AH$2:$AH$1001,0),0), INDEX($AO$1004:$BQ$1004,1,MATCH(COLUMNS($AO$1006:AQ1006),$AO$1006:$BQ$1006,0)))),"Fix")))</f>
        <v>#N/A</v>
      </c>
      <c r="E37" s="5" t="e">
        <f ca="1">IF(OR(INDEX($AI$2:$AI$1001,MATCH(ROWS($AH$2:AH37),$AH$2:$AH$1001,0),1)&gt;=100000,INDEX($AO$1005:$BQ$1005,1,MATCH(COLUMNS($AO$1006:AR1006),$AO$1006:$BQ$1006,0))&gt;=100000), " ",IF(INDEX($AO$2:$BQ$1001,MATCH(ROWS($AH$2:AH37),$AH$2:$AH$1001,0),MATCH(COLUMNS($AO$1006:AR1006),$AO$1006:$BQ$1006,0)), HYPERLINK("#",""), HYPERLINK(CONCATENATE("#Metadata!", ADDRESS(INDEX($AJ$2:$AJ$1001,MATCH(ROWS($AH$2:AH37),$AH$2:$AH$1001,0),0), INDEX($AO$1004:$BQ$1004,1,MATCH(COLUMNS($AO$1006:AR1006),$AO$1006:$BQ$1006,0)))),"Fix")))</f>
        <v>#N/A</v>
      </c>
      <c r="F37" s="5" t="e">
        <f ca="1">IF(OR(INDEX($AI$2:$AI$1001,MATCH(ROWS($AH$2:AH37),$AH$2:$AH$1001,0),1)&gt;=100000,INDEX($AO$1005:$BQ$1005,1,MATCH(COLUMNS($AO$1006:AS1006),$AO$1006:$BQ$1006,0))&gt;=100000), " ",IF(INDEX($AO$2:$BQ$1001,MATCH(ROWS($AH$2:AH37),$AH$2:$AH$1001,0),MATCH(COLUMNS($AO$1006:AS1006),$AO$1006:$BQ$1006,0)), HYPERLINK("#",""), HYPERLINK(CONCATENATE("#Metadata!", ADDRESS(INDEX($AJ$2:$AJ$1001,MATCH(ROWS($AH$2:AH37),$AH$2:$AH$1001,0),0), INDEX($AO$1004:$BQ$1004,1,MATCH(COLUMNS($AO$1006:AS1006),$AO$1006:$BQ$1006,0)))),"Fix")))</f>
        <v>#N/A</v>
      </c>
      <c r="G37" s="5" t="e">
        <f ca="1">IF(OR(INDEX($AI$2:$AI$1001,MATCH(ROWS($AH$2:AH37),$AH$2:$AH$1001,0),1)&gt;=100000,INDEX($AO$1005:$BQ$1005,1,MATCH(COLUMNS($AO$1006:AT1006),$AO$1006:$BQ$1006,0))&gt;=100000), " ",IF(INDEX($AO$2:$BQ$1001,MATCH(ROWS($AH$2:AH37),$AH$2:$AH$1001,0),MATCH(COLUMNS($AO$1006:AT1006),$AO$1006:$BQ$1006,0)), HYPERLINK("#",""), HYPERLINK(CONCATENATE("#Metadata!", ADDRESS(INDEX($AJ$2:$AJ$1001,MATCH(ROWS($AH$2:AH37),$AH$2:$AH$1001,0),0), INDEX($AO$1004:$BQ$1004,1,MATCH(COLUMNS($AO$1006:AT1006),$AO$1006:$BQ$1006,0)))),"Fix")))</f>
        <v>#N/A</v>
      </c>
      <c r="H37" s="5" t="e">
        <f ca="1">IF(OR(INDEX($AI$2:$AI$1001,MATCH(ROWS($AH$2:AH37),$AH$2:$AH$1001,0),1)&gt;=100000,INDEX($AO$1005:$BQ$1005,1,MATCH(COLUMNS($AO$1006:AU1006),$AO$1006:$BQ$1006,0))&gt;=100000), " ",IF(INDEX($AO$2:$BQ$1001,MATCH(ROWS($AH$2:AH37),$AH$2:$AH$1001,0),MATCH(COLUMNS($AO$1006:AU1006),$AO$1006:$BQ$1006,0)), HYPERLINK("#",""), HYPERLINK(CONCATENATE("#Metadata!", ADDRESS(INDEX($AJ$2:$AJ$1001,MATCH(ROWS($AH$2:AH37),$AH$2:$AH$1001,0),0), INDEX($AO$1004:$BQ$1004,1,MATCH(COLUMNS($AO$1006:AU1006),$AO$1006:$BQ$1006,0)))),"Fix")))</f>
        <v>#N/A</v>
      </c>
      <c r="I37" s="5" t="e">
        <f ca="1">IF(OR(INDEX($AI$2:$AI$1001,MATCH(ROWS($AH$2:AH37),$AH$2:$AH$1001,0),1)&gt;=100000,INDEX($AO$1005:$BQ$1005,1,MATCH(COLUMNS($AO$1006:AV1006),$AO$1006:$BQ$1006,0))&gt;=100000), " ",IF(INDEX($AO$2:$BQ$1001,MATCH(ROWS($AH$2:AH37),$AH$2:$AH$1001,0),MATCH(COLUMNS($AO$1006:AV1006),$AO$1006:$BQ$1006,0)), HYPERLINK("#",""), HYPERLINK(CONCATENATE("#Metadata!", ADDRESS(INDEX($AJ$2:$AJ$1001,MATCH(ROWS($AH$2:AH37),$AH$2:$AH$1001,0),0), INDEX($AO$1004:$BQ$1004,1,MATCH(COLUMNS($AO$1006:AV1006),$AO$1006:$BQ$1006,0)))),"Fix")))</f>
        <v>#N/A</v>
      </c>
      <c r="J37" s="5" t="e">
        <f ca="1">IF(OR(INDEX($AI$2:$AI$1001,MATCH(ROWS($AH$2:AH37),$AH$2:$AH$1001,0),1)&gt;=100000,INDEX($AO$1005:$BQ$1005,1,MATCH(COLUMNS($AO$1006:AW1006),$AO$1006:$BQ$1006,0))&gt;=100000), " ",IF(INDEX($AO$2:$BQ$1001,MATCH(ROWS($AH$2:AH37),$AH$2:$AH$1001,0),MATCH(COLUMNS($AO$1006:AW1006),$AO$1006:$BQ$1006,0)), HYPERLINK("#",""), HYPERLINK(CONCATENATE("#Metadata!", ADDRESS(INDEX($AJ$2:$AJ$1001,MATCH(ROWS($AH$2:AH37),$AH$2:$AH$1001,0),0), INDEX($AO$1004:$BQ$1004,1,MATCH(COLUMNS($AO$1006:AW1006),$AO$1006:$BQ$1006,0)))),"Fix")))</f>
        <v>#N/A</v>
      </c>
      <c r="K37" s="5" t="e">
        <f ca="1">IF(OR(INDEX($AI$2:$AI$1001,MATCH(ROWS($AH$2:AH37),$AH$2:$AH$1001,0),1)&gt;=100000,INDEX($AO$1005:$BQ$1005,1,MATCH(COLUMNS($AO$1006:AX1006),$AO$1006:$BQ$1006,0))&gt;=100000), " ",IF(INDEX($AO$2:$BQ$1001,MATCH(ROWS($AH$2:AH37),$AH$2:$AH$1001,0),MATCH(COLUMNS($AO$1006:AX1006),$AO$1006:$BQ$1006,0)), HYPERLINK("#",""), HYPERLINK(CONCATENATE("#Metadata!", ADDRESS(INDEX($AJ$2:$AJ$1001,MATCH(ROWS($AH$2:AH37),$AH$2:$AH$1001,0),0), INDEX($AO$1004:$BQ$1004,1,MATCH(COLUMNS($AO$1006:AX1006),$AO$1006:$BQ$1006,0)))),"Fix")))</f>
        <v>#N/A</v>
      </c>
      <c r="L37" s="5" t="e">
        <f ca="1">IF(OR(INDEX($AI$2:$AI$1001,MATCH(ROWS($AH$2:AH37),$AH$2:$AH$1001,0),1)&gt;=100000,INDEX($AO$1005:$BQ$1005,1,MATCH(COLUMNS($AO$1006:AY1006),$AO$1006:$BQ$1006,0))&gt;=100000), " ",IF(INDEX($AO$2:$BQ$1001,MATCH(ROWS($AH$2:AH37),$AH$2:$AH$1001,0),MATCH(COLUMNS($AO$1006:AY1006),$AO$1006:$BQ$1006,0)), HYPERLINK("#",""), HYPERLINK(CONCATENATE("#Metadata!", ADDRESS(INDEX($AJ$2:$AJ$1001,MATCH(ROWS($AH$2:AH37),$AH$2:$AH$1001,0),0), INDEX($AO$1004:$BQ$1004,1,MATCH(COLUMNS($AO$1006:AY1006),$AO$1006:$BQ$1006,0)))),"Fix")))</f>
        <v>#N/A</v>
      </c>
      <c r="M37" s="5" t="e">
        <f ca="1">IF(OR(INDEX($AI$2:$AI$1001,MATCH(ROWS($AH$2:AH37),$AH$2:$AH$1001,0),1)&gt;=100000,INDEX($AO$1005:$BQ$1005,1,MATCH(COLUMNS($AO$1006:AZ1006),$AO$1006:$BQ$1006,0))&gt;=100000), " ",IF(INDEX($AO$2:$BQ$1001,MATCH(ROWS($AH$2:AH37),$AH$2:$AH$1001,0),MATCH(COLUMNS($AO$1006:AZ1006),$AO$1006:$BQ$1006,0)), HYPERLINK("#",""), HYPERLINK(CONCATENATE("#Metadata!", ADDRESS(INDEX($AJ$2:$AJ$1001,MATCH(ROWS($AH$2:AH37),$AH$2:$AH$1001,0),0), INDEX($AO$1004:$BQ$1004,1,MATCH(COLUMNS($AO$1006:AZ1006),$AO$1006:$BQ$1006,0)))),"Fix")))</f>
        <v>#N/A</v>
      </c>
      <c r="N37" s="5" t="e">
        <f ca="1">IF(OR(INDEX($AI$2:$AI$1001,MATCH(ROWS($AH$2:AH37),$AH$2:$AH$1001,0),1)&gt;=100000,INDEX($AO$1005:$BQ$1005,1,MATCH(COLUMNS($AO$1006:BA1006),$AO$1006:$BQ$1006,0))&gt;=100000), " ",IF(INDEX($AO$2:$BQ$1001,MATCH(ROWS($AH$2:AH37),$AH$2:$AH$1001,0),MATCH(COLUMNS($AO$1006:BA1006),$AO$1006:$BQ$1006,0)), HYPERLINK("#",""), HYPERLINK(CONCATENATE("#Metadata!", ADDRESS(INDEX($AJ$2:$AJ$1001,MATCH(ROWS($AH$2:AH37),$AH$2:$AH$1001,0),0), INDEX($AO$1004:$BQ$1004,1,MATCH(COLUMNS($AO$1006:BA1006),$AO$1006:$BQ$1006,0)))),"Fix")))</f>
        <v>#N/A</v>
      </c>
      <c r="O37" s="5" t="e">
        <f ca="1">IF(OR(INDEX($AI$2:$AI$1001,MATCH(ROWS($AH$2:AH37),$AH$2:$AH$1001,0),1)&gt;=100000,INDEX($AO$1005:$BQ$1005,1,MATCH(COLUMNS($AO$1006:BB1006),$AO$1006:$BQ$1006,0))&gt;=100000), " ",IF(INDEX($AO$2:$BQ$1001,MATCH(ROWS($AH$2:AH37),$AH$2:$AH$1001,0),MATCH(COLUMNS($AO$1006:BB1006),$AO$1006:$BQ$1006,0)), HYPERLINK("#",""), HYPERLINK(CONCATENATE("#Metadata!", ADDRESS(INDEX($AJ$2:$AJ$1001,MATCH(ROWS($AH$2:AH37),$AH$2:$AH$1001,0),0), INDEX($AO$1004:$BQ$1004,1,MATCH(COLUMNS($AO$1006:BB1006),$AO$1006:$BQ$1006,0)))),"Fix")))</f>
        <v>#N/A</v>
      </c>
      <c r="P37" s="5" t="e">
        <f ca="1">IF(OR(INDEX($AI$2:$AI$1001,MATCH(ROWS($AH$2:AH37),$AH$2:$AH$1001,0),1)&gt;=100000,INDEX($AO$1005:$BQ$1005,1,MATCH(COLUMNS($AO$1006:BC1006),$AO$1006:$BQ$1006,0))&gt;=100000), " ",IF(INDEX($AO$2:$BQ$1001,MATCH(ROWS($AH$2:AH37),$AH$2:$AH$1001,0),MATCH(COLUMNS($AO$1006:BC1006),$AO$1006:$BQ$1006,0)), HYPERLINK("#",""), HYPERLINK(CONCATENATE("#Metadata!", ADDRESS(INDEX($AJ$2:$AJ$1001,MATCH(ROWS($AH$2:AH37),$AH$2:$AH$1001,0),0), INDEX($AO$1004:$BQ$1004,1,MATCH(COLUMNS($AO$1006:BC1006),$AO$1006:$BQ$1006,0)))),"Fix")))</f>
        <v>#N/A</v>
      </c>
      <c r="Q37" s="5" t="e">
        <f ca="1">IF(OR(INDEX($AI$2:$AI$1001,MATCH(ROWS($AH$2:AH37),$AH$2:$AH$1001,0),1)&gt;=100000,INDEX($AO$1005:$BQ$1005,1,MATCH(COLUMNS($AO$1006:BD1006),$AO$1006:$BQ$1006,0))&gt;=100000), " ",IF(INDEX($AO$2:$BQ$1001,MATCH(ROWS($AH$2:AH37),$AH$2:$AH$1001,0),MATCH(COLUMNS($AO$1006:BD1006),$AO$1006:$BQ$1006,0)), HYPERLINK("#",""), HYPERLINK(CONCATENATE("#Metadata!", ADDRESS(INDEX($AJ$2:$AJ$1001,MATCH(ROWS($AH$2:AH37),$AH$2:$AH$1001,0),0), INDEX($AO$1004:$BQ$1004,1,MATCH(COLUMNS($AO$1006:BD1006),$AO$1006:$BQ$1006,0)))),"Fix")))</f>
        <v>#N/A</v>
      </c>
      <c r="R37" s="5" t="e">
        <f ca="1">IF(OR(INDEX($AI$2:$AI$1001,MATCH(ROWS($AH$2:AH37),$AH$2:$AH$1001,0),1)&gt;=100000,INDEX($AO$1005:$BQ$1005,1,MATCH(COLUMNS($AO$1006:BE1006),$AO$1006:$BQ$1006,0))&gt;=100000), " ",IF(INDEX($AO$2:$BQ$1001,MATCH(ROWS($AH$2:AH37),$AH$2:$AH$1001,0),MATCH(COLUMNS($AO$1006:BE1006),$AO$1006:$BQ$1006,0)), HYPERLINK("#",""), HYPERLINK(CONCATENATE("#Metadata!", ADDRESS(INDEX($AJ$2:$AJ$1001,MATCH(ROWS($AH$2:AH37),$AH$2:$AH$1001,0),0), INDEX($AO$1004:$BQ$1004,1,MATCH(COLUMNS($AO$1006:BE1006),$AO$1006:$BQ$1006,0)))),"Fix")))</f>
        <v>#N/A</v>
      </c>
      <c r="S37" s="5" t="e">
        <f ca="1">IF(OR(INDEX($AI$2:$AI$1001,MATCH(ROWS($AH$2:AH37),$AH$2:$AH$1001,0),1)&gt;=100000,INDEX($AO$1005:$BQ$1005,1,MATCH(COLUMNS($AO$1006:BF1006),$AO$1006:$BQ$1006,0))&gt;=100000), " ",IF(INDEX($AO$2:$BQ$1001,MATCH(ROWS($AH$2:AH37),$AH$2:$AH$1001,0),MATCH(COLUMNS($AO$1006:BF1006),$AO$1006:$BQ$1006,0)), HYPERLINK("#",""), HYPERLINK(CONCATENATE("#Metadata!", ADDRESS(INDEX($AJ$2:$AJ$1001,MATCH(ROWS($AH$2:AH37),$AH$2:$AH$1001,0),0), INDEX($AO$1004:$BQ$1004,1,MATCH(COLUMNS($AO$1006:BF1006),$AO$1006:$BQ$1006,0)))),"Fix")))</f>
        <v>#N/A</v>
      </c>
      <c r="T37" s="5" t="e">
        <f ca="1">IF(OR(INDEX($AI$2:$AI$1001,MATCH(ROWS($AH$2:AH37),$AH$2:$AH$1001,0),1)&gt;=100000,INDEX($AO$1005:$BQ$1005,1,MATCH(COLUMNS($AO$1006:BG1006),$AO$1006:$BQ$1006,0))&gt;=100000), " ",IF(INDEX($AO$2:$BQ$1001,MATCH(ROWS($AH$2:AH37),$AH$2:$AH$1001,0),MATCH(COLUMNS($AO$1006:BG1006),$AO$1006:$BQ$1006,0)), HYPERLINK("#",""), HYPERLINK(CONCATENATE("#Metadata!", ADDRESS(INDEX($AJ$2:$AJ$1001,MATCH(ROWS($AH$2:AH37),$AH$2:$AH$1001,0),0), INDEX($AO$1004:$BQ$1004,1,MATCH(COLUMNS($AO$1006:BG1006),$AO$1006:$BQ$1006,0)))),"Fix")))</f>
        <v>#N/A</v>
      </c>
      <c r="U37" s="5" t="e">
        <f ca="1">IF(OR(INDEX($AI$2:$AI$1001,MATCH(ROWS($AH$2:AH37),$AH$2:$AH$1001,0),1)&gt;=100000,INDEX($AO$1005:$BQ$1005,1,MATCH(COLUMNS($AO$1006:BH1006),$AO$1006:$BQ$1006,0))&gt;=100000), " ",IF(INDEX($AO$2:$BQ$1001,MATCH(ROWS($AH$2:AH37),$AH$2:$AH$1001,0),MATCH(COLUMNS($AO$1006:BH1006),$AO$1006:$BQ$1006,0)), HYPERLINK("#",""), HYPERLINK(CONCATENATE("#Metadata!", ADDRESS(INDEX($AJ$2:$AJ$1001,MATCH(ROWS($AH$2:AH37),$AH$2:$AH$1001,0),0), INDEX($AO$1004:$BQ$1004,1,MATCH(COLUMNS($AO$1006:BH1006),$AO$1006:$BQ$1006,0)))),"Fix")))</f>
        <v>#N/A</v>
      </c>
      <c r="V37" s="5" t="e">
        <f ca="1">IF(OR(INDEX($AI$2:$AI$1001,MATCH(ROWS($AH$2:AH37),$AH$2:$AH$1001,0),1)&gt;=100000,INDEX($AO$1005:$BQ$1005,1,MATCH(COLUMNS($AO$1006:BI1006),$AO$1006:$BQ$1006,0))&gt;=100000), " ",IF(INDEX($AO$2:$BQ$1001,MATCH(ROWS($AH$2:AH37),$AH$2:$AH$1001,0),MATCH(COLUMNS($AO$1006:BI1006),$AO$1006:$BQ$1006,0)), HYPERLINK("#",""), HYPERLINK(CONCATENATE("#Metadata!", ADDRESS(INDEX($AJ$2:$AJ$1001,MATCH(ROWS($AH$2:AH37),$AH$2:$AH$1001,0),0), INDEX($AO$1004:$BQ$1004,1,MATCH(COLUMNS($AO$1006:BI1006),$AO$1006:$BQ$1006,0)))),"Fix")))</f>
        <v>#N/A</v>
      </c>
      <c r="W37" s="5" t="e">
        <f ca="1">IF(OR(INDEX($AI$2:$AI$1001,MATCH(ROWS($AH$2:AH37),$AH$2:$AH$1001,0),1)&gt;=100000,INDEX($AO$1005:$BQ$1005,1,MATCH(COLUMNS($AO$1006:BJ1006),$AO$1006:$BQ$1006,0))&gt;=100000), " ",IF(INDEX($AO$2:$BQ$1001,MATCH(ROWS($AH$2:AH37),$AH$2:$AH$1001,0),MATCH(COLUMNS($AO$1006:BJ1006),$AO$1006:$BQ$1006,0)), HYPERLINK("#",""), HYPERLINK(CONCATENATE("#Metadata!", ADDRESS(INDEX($AJ$2:$AJ$1001,MATCH(ROWS($AH$2:AH37),$AH$2:$AH$1001,0),0), INDEX($AO$1004:$BQ$1004,1,MATCH(COLUMNS($AO$1006:BJ1006),$AO$1006:$BQ$1006,0)))),"Fix")))</f>
        <v>#N/A</v>
      </c>
      <c r="X37" s="5" t="e">
        <f ca="1">IF(OR(INDEX($AI$2:$AI$1001,MATCH(ROWS($AH$2:AH37),$AH$2:$AH$1001,0),1)&gt;=100000,INDEX($AO$1005:$BQ$1005,1,MATCH(COLUMNS($AO$1006:BK1006),$AO$1006:$BQ$1006,0))&gt;=100000), " ",IF(INDEX($AO$2:$BQ$1001,MATCH(ROWS($AH$2:AH37),$AH$2:$AH$1001,0),MATCH(COLUMNS($AO$1006:BK1006),$AO$1006:$BQ$1006,0)), HYPERLINK("#",""), HYPERLINK(CONCATENATE("#Metadata!", ADDRESS(INDEX($AJ$2:$AJ$1001,MATCH(ROWS($AH$2:AH37),$AH$2:$AH$1001,0),0), INDEX($AO$1004:$BQ$1004,1,MATCH(COLUMNS($AO$1006:BK1006),$AO$1006:$BQ$1006,0)))),"Fix")))</f>
        <v>#N/A</v>
      </c>
      <c r="Y37" s="5" t="e">
        <f ca="1">IF(OR(INDEX($AI$2:$AI$1001,MATCH(ROWS($AH$2:AH37),$AH$2:$AH$1001,0),1)&gt;=100000,INDEX($AO$1005:$BQ$1005,1,MATCH(COLUMNS($AO$1006:BL1006),$AO$1006:$BQ$1006,0))&gt;=100000), " ",IF(INDEX($AO$2:$BQ$1001,MATCH(ROWS($AH$2:AH37),$AH$2:$AH$1001,0),MATCH(COLUMNS($AO$1006:BL1006),$AO$1006:$BQ$1006,0)), HYPERLINK("#",""), HYPERLINK(CONCATENATE("#Metadata!", ADDRESS(INDEX($AJ$2:$AJ$1001,MATCH(ROWS($AH$2:AH37),$AH$2:$AH$1001,0),0), INDEX($AO$1004:$BQ$1004,1,MATCH(COLUMNS($AO$1006:BL1006),$AO$1006:$BQ$1006,0)))),"Fix")))</f>
        <v>#N/A</v>
      </c>
      <c r="Z37" s="5" t="e">
        <f ca="1">IF(OR(INDEX($AI$2:$AI$1001,MATCH(ROWS($AH$2:AH37),$AH$2:$AH$1001,0),1)&gt;=100000,INDEX($AO$1005:$BQ$1005,1,MATCH(COLUMNS($AO$1006:BM1006),$AO$1006:$BQ$1006,0))&gt;=100000), " ",IF(INDEX($AO$2:$BQ$1001,MATCH(ROWS($AH$2:AH37),$AH$2:$AH$1001,0),MATCH(COLUMNS($AO$1006:BM1006),$AO$1006:$BQ$1006,0)), HYPERLINK("#",""), HYPERLINK(CONCATENATE("#Metadata!", ADDRESS(INDEX($AJ$2:$AJ$1001,MATCH(ROWS($AH$2:AH37),$AH$2:$AH$1001,0),0), INDEX($AO$1004:$BQ$1004,1,MATCH(COLUMNS($AO$1006:BM1006),$AO$1006:$BQ$1006,0)))),"Fix")))</f>
        <v>#N/A</v>
      </c>
      <c r="AA37" s="5" t="e">
        <f ca="1">IF(OR(INDEX($AI$2:$AI$1001,MATCH(ROWS($AH$2:AH37),$AH$2:$AH$1001,0),1)&gt;=100000,INDEX($AO$1005:$BQ$1005,1,MATCH(COLUMNS($AO$1006:BN1006),$AO$1006:$BQ$1006,0))&gt;=100000), " ",IF(INDEX($AO$2:$BQ$1001,MATCH(ROWS($AH$2:AH37),$AH$2:$AH$1001,0),MATCH(COLUMNS($AO$1006:BN1006),$AO$1006:$BQ$1006,0)), HYPERLINK("#",""), HYPERLINK(CONCATENATE("#Metadata!", ADDRESS(INDEX($AJ$2:$AJ$1001,MATCH(ROWS($AH$2:AH37),$AH$2:$AH$1001,0),0), INDEX($AO$1004:$BQ$1004,1,MATCH(COLUMNS($AO$1006:BN1006),$AO$1006:$BQ$1006,0)))),"Fix")))</f>
        <v>#N/A</v>
      </c>
      <c r="AB37" s="5" t="e">
        <f ca="1">IF(OR(INDEX($AI$2:$AI$1001,MATCH(ROWS($AH$2:AH37),$AH$2:$AH$1001,0),1)&gt;=100000,INDEX($AO$1005:$BQ$1005,1,MATCH(COLUMNS($AO$1006:BO1006),$AO$1006:$BQ$1006,0))&gt;=100000), " ",IF(INDEX($AO$2:$BQ$1001,MATCH(ROWS($AH$2:AH37),$AH$2:$AH$1001,0),MATCH(COLUMNS($AO$1006:BO1006),$AO$1006:$BQ$1006,0)), HYPERLINK("#",""), HYPERLINK(CONCATENATE("#Metadata!", ADDRESS(INDEX($AJ$2:$AJ$1001,MATCH(ROWS($AH$2:AH37),$AH$2:$AH$1001,0),0), INDEX($AO$1004:$BQ$1004,1,MATCH(COLUMNS($AO$1006:BO1006),$AO$1006:$BQ$1006,0)))),"Fix")))</f>
        <v>#N/A</v>
      </c>
      <c r="AC37" s="5" t="e">
        <f ca="1">IF(OR(INDEX($AI$2:$AI$1001,MATCH(ROWS($AH$2:AH37),$AH$2:$AH$1001,0),1)&gt;=100000,INDEX($AO$1005:$BQ$1005,1,MATCH(COLUMNS($AO$1006:BP1006),$AO$1006:$BQ$1006,0))&gt;=100000), " ",IF(INDEX($AO$2:$BQ$1001,MATCH(ROWS($AH$2:AH37),$AH$2:$AH$1001,0),MATCH(COLUMNS($AO$1006:BP1006),$AO$1006:$BQ$1006,0)), HYPERLINK("#",""), HYPERLINK(CONCATENATE("#Metadata!", ADDRESS(INDEX($AJ$2:$AJ$1001,MATCH(ROWS($AH$2:AH37),$AH$2:$AH$1001,0),0), INDEX($AO$1004:$BQ$1004,1,MATCH(COLUMNS($AO$1006:BP1006),$AO$1006:$BQ$1006,0)))),"Fix")))</f>
        <v>#N/A</v>
      </c>
      <c r="AD37" s="5" t="e">
        <f ca="1">IF(OR(INDEX($AI$2:$AI$1001,MATCH(ROWS($AH$2:AH37),$AH$2:$AH$1001,0),1)&gt;=100000,INDEX($AO$1005:$BQ$1005,1,MATCH(COLUMNS($AO$1006:BQ1006),$AO$1006:$BQ$1006,0))&gt;=100000), " ",IF(INDEX($AO$2:$BQ$1001,MATCH(ROWS($AH$2:AH37),$AH$2:$AH$1001,0),MATCH(COLUMNS($AO$1006:BQ1006),$AO$1006:$BQ$1006,0)), HYPERLINK("#",""), HYPERLINK(CONCATENATE("#Metadata!", ADDRESS(INDEX($AJ$2:$AJ$1001,MATCH(ROWS($AH$2:AH37),$AH$2:$AH$1001,0),0), INDEX($AO$1004:$BQ$1004,1,MATCH(COLUMNS($AO$1006:BQ1006),$AO$1006:$BQ$1006,0)))),"Fix")))</f>
        <v>#REF!</v>
      </c>
      <c r="AH37">
        <f ca="1"/>
        <v>34</v>
      </c>
      <c r="AI37">
        <f ca="1"/>
        <v>37</v>
      </c>
      <c r="AJ37">
        <v>37</v>
      </c>
      <c r="AK37" t="b">
        <f t="shared" ca="1" si="0"/>
        <v>0</v>
      </c>
      <c r="AL37" t="b">
        <f>COUNTBLANK(Metadata!B37:AD37)=COLUMNS(Metadata!B37:AD37)</f>
        <v>0</v>
      </c>
      <c r="AM37" t="str">
        <v>Environment.Egg.water.BTP.30.2Water</v>
      </c>
      <c r="AO37" t="b">
        <f ca="1">AND(IF(Metadata!B36="",FALSE,TRUE),COUNTIF(Metadata!B:B, Metadata!B36) = 1,NOT(ISERROR(SUMPRODUCT(SEARCH(MID(Metadata!B36,ROW(INDIRECT("1:"&amp;LEN(Metadata!B36))), 1),"0123456789abcdefghijklmnopqrstuvwxyzABCDEFGHIJKLMNOPQRSTUVWXYZ.")))))</f>
        <v>1</v>
      </c>
      <c r="AP37" t="b">
        <f>IF(Metadata!C36="",FALSE,TRUE)</f>
        <v>1</v>
      </c>
      <c r="AQ37" t="b">
        <f>IF(Metadata!D36="",FALSE,TRUE)</f>
        <v>1</v>
      </c>
      <c r="AR37" t="b">
        <f ca="1">OR(AND(IF(Metadata!E36="",FALSE,TRUE),OR(EXACT(Metadata!E36,"not collected"),EXACT(Metadata!E36,"not provided"),EXACT(Metadata!E36,"restricted access"))),AND(IF(Metadata!E36="",FALSE,TRUE),AND(AND(IFERROR(INT(LEFT(Metadata!E36,4))&gt;1900,FALSE),IFERROR(INT(LEFT(Metadata!E36,4))&lt;=YEAR(NOW()),FALSE)), OR(MID(Metadata!E36,5,1)="", AND(AND(MID(Metadata!E36,5,1)="-",IFERROR(INT(MID(Metadata!E36,6,1))&gt;=0,FALSE),IFERROR(INT(MID(Metadata!E36,6,1))&lt;=1,FALSE),NOT(MID(Metadata!E36,7,1)=""),IFERROR(INT(MID(Metadata!E36,6,2))&gt;=1,FALSE),IFERROR(INT(MID(Metadata!E36,6,2))&lt;=12,FALSE)), OR(MID(Metadata!E36,8,1)="", AND(AND(MID(Metadata!E36,8,1)="-",IFERROR(INT(MID(Metadata!E36,9,1))&gt;=0,FALSE),IFERROR(INT(MID(Metadata!E36,9,1))&lt;=3,FALSE),NOT(MID(Metadata!E36,10,1)=""),IFERROR(INT(MID(Metadata!E36,9,2))&gt;=1,FALSE),IFERROR(INT(MID(Metadata!E36,9,2))&lt;=31,FALSE)), OR(MID(Metadata!E36,11,1)="", AND(AND(MID(Metadata!E36,11,1)=" ",IFERROR(INT(MID(Metadata!E36,12,1))&gt;=0,FALSE),IFERROR(INT(MID(Metadata!E36,12,1))&lt;=2,FALSE),NOT(MID(Metadata!E36,13,1)=""),IFERROR(INT(MID(Metadata!E36,12,2))&gt;=0,FALSE),IFERROR(INT(MID(Metadata!E36,12,2))&lt;=23,FALSE)), OR(MID(Metadata!E36,14,1)="", AND(AND(MID(Metadata!E36,14,1)=":",IFERROR(INT(MID(Metadata!E36,15,1))&gt;=0,FALSE),IFERROR(INT(MID(Metadata!E36,15,1))&lt;=5,FALSE),NOT(MID(Metadata!E36,16,1)=""),IFERROR(INT(MID(Metadata!E36,15,2))&gt;=0,FALSE),IFERROR(INT(MID(Metadata!E36,15,2))&lt;=59,FALSE)), OR(MID(Metadata!E36,17,1)="", AND(AND(MID(Metadata!E36,17,1)=":",IFERROR(INT(MID(Metadata!E36,18,1))&gt;=0,FALSE),IFERROR(INT(MID(Metadata!E36,18,1))&lt;=5,FALSE),NOT(MID(Metadata!E36,19,1)=""),IFERROR(INT(MID(Metadata!E36,18,2))&gt;=0,FALSE),IFERROR(INT(MID(Metadata!E36,18,2))&lt;=59,FALSE)), LEN(Metadata!E36)&lt;=19)))))))))))))</f>
        <v>0</v>
      </c>
      <c r="AS37" t="b">
        <f>IF(Metadata!F36="",FALSE,TRUE)</f>
        <v>1</v>
      </c>
      <c r="AT37" t="b">
        <f>OR(AND(IF(Metadata!G36="",FALSE,TRUE),OR(EXACT(Metadata!G36,"not collected"),EXACT(Metadata!G36,"not provided"))),AND(IF(Metadata!G36="",FALSE,TRUE),OR(EXACT(Metadata!G36,"TRUE"),EXACT(Metadata!G36,"FALSE"))))</f>
        <v>1</v>
      </c>
      <c r="AU37" t="b">
        <f>OR(AND(IF(Metadata!H36="",FALSE,TRUE),OR(EXACT(Metadata!H36,"not collected"),EXACT(Metadata!H36,"not provided"),EXACT(Metadata!H36,"restricted access"))),AND(IF(Metadata!H36="",FALSE,ISNUMBER(VALUE(Metadata!H36))),Metadata!H36&gt;=-413))</f>
        <v>0</v>
      </c>
      <c r="AV37" t="b">
        <f>AND(IF(Metadata!I36="",FALSE,TRUE),EXACT(Metadata!I36,"meters"))</f>
        <v>1</v>
      </c>
      <c r="AW37" t="b">
        <f>AND(IF(Metadata!J36="",FALSE,TRUE),EXACT(Metadata!J36,"free-living"))</f>
        <v>1</v>
      </c>
      <c r="AX37" t="b">
        <f>AND(IF(Metadata!K36="",FALSE,TRUE),OR(EXACT(Metadata!K36,"saline"),EXACT(Metadata!K36,"non-saline")))</f>
        <v>1</v>
      </c>
      <c r="AY37" t="b">
        <f>AND(IF(Metadata!L36="",FALSE,TRUE),OR(EXACT(Metadata!L36,"sub-surface (non-saline)"),EXACT(Metadata!L36,"surface (non-saline)"),EXACT(Metadata!L36,"water (non-saline)"),EXACT(Metadata!L36,"soil (non-saline)"),EXACT(Metadata!L36,"aerosol (non-saline)"),EXACT(Metadata!L36,"sediment (non-saline)"),EXACT(Metadata!L36,"surface (saline)"),EXACT(Metadata!L36,"water (saline)"),EXACT(Metadata!L36,"hypersaline (saline)"),EXACT(Metadata!L36,"aerosol (saline)"),EXACT(Metadata!L36,"sediment (saline)")))</f>
        <v>1</v>
      </c>
      <c r="AZ37" t="b">
        <f>IF(Metadata!M36="",FALSE,TRUE)</f>
        <v>1</v>
      </c>
      <c r="BA37" t="b">
        <f>IF(Metadata!N36="",FALSE,TRUE)</f>
        <v>1</v>
      </c>
      <c r="BB37" t="b">
        <f>IF(Metadata!O36="",FALSE,TRUE)</f>
        <v>1</v>
      </c>
      <c r="BC37" t="b">
        <f>AND(IF(Metadata!P36="",FALSE,TRUE),OR(EXACT(Metadata!P36,"air"),EXACT(Metadata!P36,"microbial mat/biofilm"),EXACT(Metadata!P36,"misc environment"),EXACT(Metadata!P36,"sediment"),EXACT(Metadata!P36,"soil"),EXACT(Metadata!P36,"wastewater/sludge"),EXACT(Metadata!P36,"water")))</f>
        <v>1</v>
      </c>
      <c r="BD37" t="b">
        <f>IF(Metadata!Q36="",FALSE,TRUE)</f>
        <v>1</v>
      </c>
      <c r="BE37" t="b">
        <f>IF(Metadata!R36="",FALSE,TRUE)</f>
        <v>1</v>
      </c>
      <c r="BF37" t="b">
        <f>OR(AND(IF(Metadata!S36="",FALSE,TRUE),OR(EXACT(Metadata!S36,"not collected"),EXACT(Metadata!S36,"not provided"),EXACT(Metadata!S36,"restricted access"))),AND(IF(Metadata!S36="",FALSE,ISNUMBER(VALUE(Metadata!S36))),Metadata!S36&gt;=-90,Metadata!S36&lt;=90))</f>
        <v>0</v>
      </c>
      <c r="BG37" t="b">
        <f>AND(IF(Metadata!T36="",FALSE,TRUE),EXACT(Metadata!T36,"Decimal degrees"))</f>
        <v>1</v>
      </c>
      <c r="BH37" t="b">
        <f>OR(AND(IF(Metadata!U36="",FALSE,TRUE),OR(EXACT(Metadata!U36,"not applicable"),EXACT(Metadata!U36,"not collected"))),IF(Metadata!U36="",FALSE,TRUE))</f>
        <v>1</v>
      </c>
      <c r="BI37" t="b">
        <f>OR(AND(IF(Metadata!V36="",FALSE,TRUE),OR(EXACT(Metadata!V36,"not collected"),EXACT(Metadata!V36,"not provided"),EXACT(Metadata!V36,"restricted access"))),AND(IF(Metadata!V36="",FALSE,ISNUMBER(VALUE(Metadata!V36))),Metadata!V36&gt;=-180,Metadata!V36&lt;=180))</f>
        <v>0</v>
      </c>
      <c r="BJ37" t="b">
        <f>AND(IF(Metadata!W36="",FALSE,TRUE),EXACT(Metadata!W36,"Decimal degrees"))</f>
        <v>1</v>
      </c>
      <c r="BK37" t="b">
        <f>IF(Metadata!X36="",FALSE,TRUE)</f>
        <v>1</v>
      </c>
      <c r="BL37" t="b">
        <f>OR(AND(IF(Metadata!Y36="",FALSE,TRUE),OR(EXACT(Metadata!Y36,"not collected"),EXACT(Metadata!Y36,"not provided"),EXACT(Metadata!Y36,"restricted access"))),AND(IF(Metadata!Y36="",FALSE,TRUE),OR(EXACT(Metadata!Y36,"TRUE"),EXACT(Metadata!Y36,"FALSE"))))</f>
        <v>1</v>
      </c>
      <c r="BM37" t="b">
        <f>OR(AND(IF(Metadata!Z36="",FALSE,TRUE),EXACT(Metadata!Z36,"not applicable")),AND(IF(Metadata!Z36="",FALSE,TRUE),OR(EXACT(Metadata!Z36,"beer"),EXACT(Metadata!Z36,"cheese"),EXACT(Metadata!Z36,"fresh water"),EXACT(Metadata!Z36,"marine sediment"),EXACT(Metadata!Z36,"sea water"),EXACT(Metadata!Z36,"sediment"),EXACT(Metadata!Z36,"soil"),EXACT(Metadata!Z36,"waste water"))))</f>
        <v>1</v>
      </c>
      <c r="BN37" t="b">
        <f>AND(IF(Metadata!AA36="",FALSE,TRUE),EXACT(Metadata!AA36,"metagenome"))</f>
        <v>1</v>
      </c>
      <c r="BO37" t="b">
        <f>AND(IF(Metadata!AB36="",FALSE,TRUE),EXACT(Metadata!AB36,"256318"))</f>
        <v>1</v>
      </c>
      <c r="BP37" t="b">
        <f>IF(Metadata!AC36="",FALSE,TRUE)</f>
        <v>1</v>
      </c>
      <c r="BQ37" t="b">
        <f>IF(Metadata!AD36="",FALSE,TRUE)</f>
        <v>1</v>
      </c>
    </row>
    <row r="38" spans="1:69" x14ac:dyDescent="0.2">
      <c r="A38" s="4" t="e">
        <f ca="1">IF(B38=" "," ",HYPERLINK(CONCATENATE("#metadata!",ADDRESS(INDEX($AJ$2:$AJ$1001,MATCH(ROWS($AH$2:AH38),$AH$2:$AH$1001,0),0),2)),INDEX($AM$2:$AM$1001,MATCH(ROWS($AH$2:AH38),$AH$2:$AH$1001,0),0)))</f>
        <v>#N/A</v>
      </c>
      <c r="B38" s="5" t="e">
        <f ca="1">IF(OR(INDEX($AI$2:$AI$1001,MATCH(ROWS($AH$2:AH38),$AH$2:$AH$1001,0),1)&gt;=100000,INDEX($AO$1005:$BQ$1005,1,MATCH(COLUMNS($AO$1006:AO1006),$AO$1006:$BQ$1006,0))&gt;=100000), " ",IF(INDEX($AO$2:$BQ$1001,MATCH(ROWS($AH$2:AH38),$AH$2:$AH$1001,0),MATCH(COLUMNS($AO$1006:AO1006),$AO$1006:$BQ$1006,0)), HYPERLINK("#",""), HYPERLINK(CONCATENATE("#Metadata!", ADDRESS(INDEX($AJ$2:$AJ$1001,MATCH(ROWS($AH$2:AH38),$AH$2:$AH$1001,0),0), INDEX($AO$1004:$BQ$1004,1,MATCH(COLUMNS($AO$1006:AO1006),$AO$1006:$BQ$1006,0)))),"Fix")))</f>
        <v>#N/A</v>
      </c>
      <c r="C38" s="5" t="e">
        <f ca="1">IF(OR(INDEX($AI$2:$AI$1001,MATCH(ROWS($AH$2:AH38),$AH$2:$AH$1001,0),1)&gt;=100000,INDEX($AO$1005:$BQ$1005,1,MATCH(COLUMNS($AO$1006:AP1006),$AO$1006:$BQ$1006,0))&gt;=100000), " ",IF(INDEX($AO$2:$BQ$1001,MATCH(ROWS($AH$2:AH38),$AH$2:$AH$1001,0),MATCH(COLUMNS($AO$1006:AP1006),$AO$1006:$BQ$1006,0)), HYPERLINK("#",""), HYPERLINK(CONCATENATE("#Metadata!", ADDRESS(INDEX($AJ$2:$AJ$1001,MATCH(ROWS($AH$2:AH38),$AH$2:$AH$1001,0),0), INDEX($AO$1004:$BQ$1004,1,MATCH(COLUMNS($AO$1006:AP1006),$AO$1006:$BQ$1006,0)))),"Fix")))</f>
        <v>#N/A</v>
      </c>
      <c r="D38" s="5" t="e">
        <f ca="1">IF(OR(INDEX($AI$2:$AI$1001,MATCH(ROWS($AH$2:AH38),$AH$2:$AH$1001,0),1)&gt;=100000,INDEX($AO$1005:$BQ$1005,1,MATCH(COLUMNS($AO$1006:AQ1006),$AO$1006:$BQ$1006,0))&gt;=100000), " ",IF(INDEX($AO$2:$BQ$1001,MATCH(ROWS($AH$2:AH38),$AH$2:$AH$1001,0),MATCH(COLUMNS($AO$1006:AQ1006),$AO$1006:$BQ$1006,0)), HYPERLINK("#",""), HYPERLINK(CONCATENATE("#Metadata!", ADDRESS(INDEX($AJ$2:$AJ$1001,MATCH(ROWS($AH$2:AH38),$AH$2:$AH$1001,0),0), INDEX($AO$1004:$BQ$1004,1,MATCH(COLUMNS($AO$1006:AQ1006),$AO$1006:$BQ$1006,0)))),"Fix")))</f>
        <v>#N/A</v>
      </c>
      <c r="E38" s="5" t="e">
        <f ca="1">IF(OR(INDEX($AI$2:$AI$1001,MATCH(ROWS($AH$2:AH38),$AH$2:$AH$1001,0),1)&gt;=100000,INDEX($AO$1005:$BQ$1005,1,MATCH(COLUMNS($AO$1006:AR1006),$AO$1006:$BQ$1006,0))&gt;=100000), " ",IF(INDEX($AO$2:$BQ$1001,MATCH(ROWS($AH$2:AH38),$AH$2:$AH$1001,0),MATCH(COLUMNS($AO$1006:AR1006),$AO$1006:$BQ$1006,0)), HYPERLINK("#",""), HYPERLINK(CONCATENATE("#Metadata!", ADDRESS(INDEX($AJ$2:$AJ$1001,MATCH(ROWS($AH$2:AH38),$AH$2:$AH$1001,0),0), INDEX($AO$1004:$BQ$1004,1,MATCH(COLUMNS($AO$1006:AR1006),$AO$1006:$BQ$1006,0)))),"Fix")))</f>
        <v>#N/A</v>
      </c>
      <c r="F38" s="5" t="e">
        <f ca="1">IF(OR(INDEX($AI$2:$AI$1001,MATCH(ROWS($AH$2:AH38),$AH$2:$AH$1001,0),1)&gt;=100000,INDEX($AO$1005:$BQ$1005,1,MATCH(COLUMNS($AO$1006:AS1006),$AO$1006:$BQ$1006,0))&gt;=100000), " ",IF(INDEX($AO$2:$BQ$1001,MATCH(ROWS($AH$2:AH38),$AH$2:$AH$1001,0),MATCH(COLUMNS($AO$1006:AS1006),$AO$1006:$BQ$1006,0)), HYPERLINK("#",""), HYPERLINK(CONCATENATE("#Metadata!", ADDRESS(INDEX($AJ$2:$AJ$1001,MATCH(ROWS($AH$2:AH38),$AH$2:$AH$1001,0),0), INDEX($AO$1004:$BQ$1004,1,MATCH(COLUMNS($AO$1006:AS1006),$AO$1006:$BQ$1006,0)))),"Fix")))</f>
        <v>#N/A</v>
      </c>
      <c r="G38" s="5" t="e">
        <f ca="1">IF(OR(INDEX($AI$2:$AI$1001,MATCH(ROWS($AH$2:AH38),$AH$2:$AH$1001,0),1)&gt;=100000,INDEX($AO$1005:$BQ$1005,1,MATCH(COLUMNS($AO$1006:AT1006),$AO$1006:$BQ$1006,0))&gt;=100000), " ",IF(INDEX($AO$2:$BQ$1001,MATCH(ROWS($AH$2:AH38),$AH$2:$AH$1001,0),MATCH(COLUMNS($AO$1006:AT1006),$AO$1006:$BQ$1006,0)), HYPERLINK("#",""), HYPERLINK(CONCATENATE("#Metadata!", ADDRESS(INDEX($AJ$2:$AJ$1001,MATCH(ROWS($AH$2:AH38),$AH$2:$AH$1001,0),0), INDEX($AO$1004:$BQ$1004,1,MATCH(COLUMNS($AO$1006:AT1006),$AO$1006:$BQ$1006,0)))),"Fix")))</f>
        <v>#N/A</v>
      </c>
      <c r="H38" s="5" t="e">
        <f ca="1">IF(OR(INDEX($AI$2:$AI$1001,MATCH(ROWS($AH$2:AH38),$AH$2:$AH$1001,0),1)&gt;=100000,INDEX($AO$1005:$BQ$1005,1,MATCH(COLUMNS($AO$1006:AU1006),$AO$1006:$BQ$1006,0))&gt;=100000), " ",IF(INDEX($AO$2:$BQ$1001,MATCH(ROWS($AH$2:AH38),$AH$2:$AH$1001,0),MATCH(COLUMNS($AO$1006:AU1006),$AO$1006:$BQ$1006,0)), HYPERLINK("#",""), HYPERLINK(CONCATENATE("#Metadata!", ADDRESS(INDEX($AJ$2:$AJ$1001,MATCH(ROWS($AH$2:AH38),$AH$2:$AH$1001,0),0), INDEX($AO$1004:$BQ$1004,1,MATCH(COLUMNS($AO$1006:AU1006),$AO$1006:$BQ$1006,0)))),"Fix")))</f>
        <v>#N/A</v>
      </c>
      <c r="I38" s="5" t="e">
        <f ca="1">IF(OR(INDEX($AI$2:$AI$1001,MATCH(ROWS($AH$2:AH38),$AH$2:$AH$1001,0),1)&gt;=100000,INDEX($AO$1005:$BQ$1005,1,MATCH(COLUMNS($AO$1006:AV1006),$AO$1006:$BQ$1006,0))&gt;=100000), " ",IF(INDEX($AO$2:$BQ$1001,MATCH(ROWS($AH$2:AH38),$AH$2:$AH$1001,0),MATCH(COLUMNS($AO$1006:AV1006),$AO$1006:$BQ$1006,0)), HYPERLINK("#",""), HYPERLINK(CONCATENATE("#Metadata!", ADDRESS(INDEX($AJ$2:$AJ$1001,MATCH(ROWS($AH$2:AH38),$AH$2:$AH$1001,0),0), INDEX($AO$1004:$BQ$1004,1,MATCH(COLUMNS($AO$1006:AV1006),$AO$1006:$BQ$1006,0)))),"Fix")))</f>
        <v>#N/A</v>
      </c>
      <c r="J38" s="5" t="e">
        <f ca="1">IF(OR(INDEX($AI$2:$AI$1001,MATCH(ROWS($AH$2:AH38),$AH$2:$AH$1001,0),1)&gt;=100000,INDEX($AO$1005:$BQ$1005,1,MATCH(COLUMNS($AO$1006:AW1006),$AO$1006:$BQ$1006,0))&gt;=100000), " ",IF(INDEX($AO$2:$BQ$1001,MATCH(ROWS($AH$2:AH38),$AH$2:$AH$1001,0),MATCH(COLUMNS($AO$1006:AW1006),$AO$1006:$BQ$1006,0)), HYPERLINK("#",""), HYPERLINK(CONCATENATE("#Metadata!", ADDRESS(INDEX($AJ$2:$AJ$1001,MATCH(ROWS($AH$2:AH38),$AH$2:$AH$1001,0),0), INDEX($AO$1004:$BQ$1004,1,MATCH(COLUMNS($AO$1006:AW1006),$AO$1006:$BQ$1006,0)))),"Fix")))</f>
        <v>#N/A</v>
      </c>
      <c r="K38" s="5" t="e">
        <f ca="1">IF(OR(INDEX($AI$2:$AI$1001,MATCH(ROWS($AH$2:AH38),$AH$2:$AH$1001,0),1)&gt;=100000,INDEX($AO$1005:$BQ$1005,1,MATCH(COLUMNS($AO$1006:AX1006),$AO$1006:$BQ$1006,0))&gt;=100000), " ",IF(INDEX($AO$2:$BQ$1001,MATCH(ROWS($AH$2:AH38),$AH$2:$AH$1001,0),MATCH(COLUMNS($AO$1006:AX1006),$AO$1006:$BQ$1006,0)), HYPERLINK("#",""), HYPERLINK(CONCATENATE("#Metadata!", ADDRESS(INDEX($AJ$2:$AJ$1001,MATCH(ROWS($AH$2:AH38),$AH$2:$AH$1001,0),0), INDEX($AO$1004:$BQ$1004,1,MATCH(COLUMNS($AO$1006:AX1006),$AO$1006:$BQ$1006,0)))),"Fix")))</f>
        <v>#N/A</v>
      </c>
      <c r="L38" s="5" t="e">
        <f ca="1">IF(OR(INDEX($AI$2:$AI$1001,MATCH(ROWS($AH$2:AH38),$AH$2:$AH$1001,0),1)&gt;=100000,INDEX($AO$1005:$BQ$1005,1,MATCH(COLUMNS($AO$1006:AY1006),$AO$1006:$BQ$1006,0))&gt;=100000), " ",IF(INDEX($AO$2:$BQ$1001,MATCH(ROWS($AH$2:AH38),$AH$2:$AH$1001,0),MATCH(COLUMNS($AO$1006:AY1006),$AO$1006:$BQ$1006,0)), HYPERLINK("#",""), HYPERLINK(CONCATENATE("#Metadata!", ADDRESS(INDEX($AJ$2:$AJ$1001,MATCH(ROWS($AH$2:AH38),$AH$2:$AH$1001,0),0), INDEX($AO$1004:$BQ$1004,1,MATCH(COLUMNS($AO$1006:AY1006),$AO$1006:$BQ$1006,0)))),"Fix")))</f>
        <v>#N/A</v>
      </c>
      <c r="M38" s="5" t="e">
        <f ca="1">IF(OR(INDEX($AI$2:$AI$1001,MATCH(ROWS($AH$2:AH38),$AH$2:$AH$1001,0),1)&gt;=100000,INDEX($AO$1005:$BQ$1005,1,MATCH(COLUMNS($AO$1006:AZ1006),$AO$1006:$BQ$1006,0))&gt;=100000), " ",IF(INDEX($AO$2:$BQ$1001,MATCH(ROWS($AH$2:AH38),$AH$2:$AH$1001,0),MATCH(COLUMNS($AO$1006:AZ1006),$AO$1006:$BQ$1006,0)), HYPERLINK("#",""), HYPERLINK(CONCATENATE("#Metadata!", ADDRESS(INDEX($AJ$2:$AJ$1001,MATCH(ROWS($AH$2:AH38),$AH$2:$AH$1001,0),0), INDEX($AO$1004:$BQ$1004,1,MATCH(COLUMNS($AO$1006:AZ1006),$AO$1006:$BQ$1006,0)))),"Fix")))</f>
        <v>#N/A</v>
      </c>
      <c r="N38" s="5" t="e">
        <f ca="1">IF(OR(INDEX($AI$2:$AI$1001,MATCH(ROWS($AH$2:AH38),$AH$2:$AH$1001,0),1)&gt;=100000,INDEX($AO$1005:$BQ$1005,1,MATCH(COLUMNS($AO$1006:BA1006),$AO$1006:$BQ$1006,0))&gt;=100000), " ",IF(INDEX($AO$2:$BQ$1001,MATCH(ROWS($AH$2:AH38),$AH$2:$AH$1001,0),MATCH(COLUMNS($AO$1006:BA1006),$AO$1006:$BQ$1006,0)), HYPERLINK("#",""), HYPERLINK(CONCATENATE("#Metadata!", ADDRESS(INDEX($AJ$2:$AJ$1001,MATCH(ROWS($AH$2:AH38),$AH$2:$AH$1001,0),0), INDEX($AO$1004:$BQ$1004,1,MATCH(COLUMNS($AO$1006:BA1006),$AO$1006:$BQ$1006,0)))),"Fix")))</f>
        <v>#N/A</v>
      </c>
      <c r="O38" s="5" t="e">
        <f ca="1">IF(OR(INDEX($AI$2:$AI$1001,MATCH(ROWS($AH$2:AH38),$AH$2:$AH$1001,0),1)&gt;=100000,INDEX($AO$1005:$BQ$1005,1,MATCH(COLUMNS($AO$1006:BB1006),$AO$1006:$BQ$1006,0))&gt;=100000), " ",IF(INDEX($AO$2:$BQ$1001,MATCH(ROWS($AH$2:AH38),$AH$2:$AH$1001,0),MATCH(COLUMNS($AO$1006:BB1006),$AO$1006:$BQ$1006,0)), HYPERLINK("#",""), HYPERLINK(CONCATENATE("#Metadata!", ADDRESS(INDEX($AJ$2:$AJ$1001,MATCH(ROWS($AH$2:AH38),$AH$2:$AH$1001,0),0), INDEX($AO$1004:$BQ$1004,1,MATCH(COLUMNS($AO$1006:BB1006),$AO$1006:$BQ$1006,0)))),"Fix")))</f>
        <v>#N/A</v>
      </c>
      <c r="P38" s="5" t="e">
        <f ca="1">IF(OR(INDEX($AI$2:$AI$1001,MATCH(ROWS($AH$2:AH38),$AH$2:$AH$1001,0),1)&gt;=100000,INDEX($AO$1005:$BQ$1005,1,MATCH(COLUMNS($AO$1006:BC1006),$AO$1006:$BQ$1006,0))&gt;=100000), " ",IF(INDEX($AO$2:$BQ$1001,MATCH(ROWS($AH$2:AH38),$AH$2:$AH$1001,0),MATCH(COLUMNS($AO$1006:BC1006),$AO$1006:$BQ$1006,0)), HYPERLINK("#",""), HYPERLINK(CONCATENATE("#Metadata!", ADDRESS(INDEX($AJ$2:$AJ$1001,MATCH(ROWS($AH$2:AH38),$AH$2:$AH$1001,0),0), INDEX($AO$1004:$BQ$1004,1,MATCH(COLUMNS($AO$1006:BC1006),$AO$1006:$BQ$1006,0)))),"Fix")))</f>
        <v>#N/A</v>
      </c>
      <c r="Q38" s="5" t="e">
        <f ca="1">IF(OR(INDEX($AI$2:$AI$1001,MATCH(ROWS($AH$2:AH38),$AH$2:$AH$1001,0),1)&gt;=100000,INDEX($AO$1005:$BQ$1005,1,MATCH(COLUMNS($AO$1006:BD1006),$AO$1006:$BQ$1006,0))&gt;=100000), " ",IF(INDEX($AO$2:$BQ$1001,MATCH(ROWS($AH$2:AH38),$AH$2:$AH$1001,0),MATCH(COLUMNS($AO$1006:BD1006),$AO$1006:$BQ$1006,0)), HYPERLINK("#",""), HYPERLINK(CONCATENATE("#Metadata!", ADDRESS(INDEX($AJ$2:$AJ$1001,MATCH(ROWS($AH$2:AH38),$AH$2:$AH$1001,0),0), INDEX($AO$1004:$BQ$1004,1,MATCH(COLUMNS($AO$1006:BD1006),$AO$1006:$BQ$1006,0)))),"Fix")))</f>
        <v>#N/A</v>
      </c>
      <c r="R38" s="5" t="e">
        <f ca="1">IF(OR(INDEX($AI$2:$AI$1001,MATCH(ROWS($AH$2:AH38),$AH$2:$AH$1001,0),1)&gt;=100000,INDEX($AO$1005:$BQ$1005,1,MATCH(COLUMNS($AO$1006:BE1006),$AO$1006:$BQ$1006,0))&gt;=100000), " ",IF(INDEX($AO$2:$BQ$1001,MATCH(ROWS($AH$2:AH38),$AH$2:$AH$1001,0),MATCH(COLUMNS($AO$1006:BE1006),$AO$1006:$BQ$1006,0)), HYPERLINK("#",""), HYPERLINK(CONCATENATE("#Metadata!", ADDRESS(INDEX($AJ$2:$AJ$1001,MATCH(ROWS($AH$2:AH38),$AH$2:$AH$1001,0),0), INDEX($AO$1004:$BQ$1004,1,MATCH(COLUMNS($AO$1006:BE1006),$AO$1006:$BQ$1006,0)))),"Fix")))</f>
        <v>#N/A</v>
      </c>
      <c r="S38" s="5" t="e">
        <f ca="1">IF(OR(INDEX($AI$2:$AI$1001,MATCH(ROWS($AH$2:AH38),$AH$2:$AH$1001,0),1)&gt;=100000,INDEX($AO$1005:$BQ$1005,1,MATCH(COLUMNS($AO$1006:BF1006),$AO$1006:$BQ$1006,0))&gt;=100000), " ",IF(INDEX($AO$2:$BQ$1001,MATCH(ROWS($AH$2:AH38),$AH$2:$AH$1001,0),MATCH(COLUMNS($AO$1006:BF1006),$AO$1006:$BQ$1006,0)), HYPERLINK("#",""), HYPERLINK(CONCATENATE("#Metadata!", ADDRESS(INDEX($AJ$2:$AJ$1001,MATCH(ROWS($AH$2:AH38),$AH$2:$AH$1001,0),0), INDEX($AO$1004:$BQ$1004,1,MATCH(COLUMNS($AO$1006:BF1006),$AO$1006:$BQ$1006,0)))),"Fix")))</f>
        <v>#N/A</v>
      </c>
      <c r="T38" s="5" t="e">
        <f ca="1">IF(OR(INDEX($AI$2:$AI$1001,MATCH(ROWS($AH$2:AH38),$AH$2:$AH$1001,0),1)&gt;=100000,INDEX($AO$1005:$BQ$1005,1,MATCH(COLUMNS($AO$1006:BG1006),$AO$1006:$BQ$1006,0))&gt;=100000), " ",IF(INDEX($AO$2:$BQ$1001,MATCH(ROWS($AH$2:AH38),$AH$2:$AH$1001,0),MATCH(COLUMNS($AO$1006:BG1006),$AO$1006:$BQ$1006,0)), HYPERLINK("#",""), HYPERLINK(CONCATENATE("#Metadata!", ADDRESS(INDEX($AJ$2:$AJ$1001,MATCH(ROWS($AH$2:AH38),$AH$2:$AH$1001,0),0), INDEX($AO$1004:$BQ$1004,1,MATCH(COLUMNS($AO$1006:BG1006),$AO$1006:$BQ$1006,0)))),"Fix")))</f>
        <v>#N/A</v>
      </c>
      <c r="U38" s="5" t="e">
        <f ca="1">IF(OR(INDEX($AI$2:$AI$1001,MATCH(ROWS($AH$2:AH38),$AH$2:$AH$1001,0),1)&gt;=100000,INDEX($AO$1005:$BQ$1005,1,MATCH(COLUMNS($AO$1006:BH1006),$AO$1006:$BQ$1006,0))&gt;=100000), " ",IF(INDEX($AO$2:$BQ$1001,MATCH(ROWS($AH$2:AH38),$AH$2:$AH$1001,0),MATCH(COLUMNS($AO$1006:BH1006),$AO$1006:$BQ$1006,0)), HYPERLINK("#",""), HYPERLINK(CONCATENATE("#Metadata!", ADDRESS(INDEX($AJ$2:$AJ$1001,MATCH(ROWS($AH$2:AH38),$AH$2:$AH$1001,0),0), INDEX($AO$1004:$BQ$1004,1,MATCH(COLUMNS($AO$1006:BH1006),$AO$1006:$BQ$1006,0)))),"Fix")))</f>
        <v>#N/A</v>
      </c>
      <c r="V38" s="5" t="e">
        <f ca="1">IF(OR(INDEX($AI$2:$AI$1001,MATCH(ROWS($AH$2:AH38),$AH$2:$AH$1001,0),1)&gt;=100000,INDEX($AO$1005:$BQ$1005,1,MATCH(COLUMNS($AO$1006:BI1006),$AO$1006:$BQ$1006,0))&gt;=100000), " ",IF(INDEX($AO$2:$BQ$1001,MATCH(ROWS($AH$2:AH38),$AH$2:$AH$1001,0),MATCH(COLUMNS($AO$1006:BI1006),$AO$1006:$BQ$1006,0)), HYPERLINK("#",""), HYPERLINK(CONCATENATE("#Metadata!", ADDRESS(INDEX($AJ$2:$AJ$1001,MATCH(ROWS($AH$2:AH38),$AH$2:$AH$1001,0),0), INDEX($AO$1004:$BQ$1004,1,MATCH(COLUMNS($AO$1006:BI1006),$AO$1006:$BQ$1006,0)))),"Fix")))</f>
        <v>#N/A</v>
      </c>
      <c r="W38" s="5" t="e">
        <f ca="1">IF(OR(INDEX($AI$2:$AI$1001,MATCH(ROWS($AH$2:AH38),$AH$2:$AH$1001,0),1)&gt;=100000,INDEX($AO$1005:$BQ$1005,1,MATCH(COLUMNS($AO$1006:BJ1006),$AO$1006:$BQ$1006,0))&gt;=100000), " ",IF(INDEX($AO$2:$BQ$1001,MATCH(ROWS($AH$2:AH38),$AH$2:$AH$1001,0),MATCH(COLUMNS($AO$1006:BJ1006),$AO$1006:$BQ$1006,0)), HYPERLINK("#",""), HYPERLINK(CONCATENATE("#Metadata!", ADDRESS(INDEX($AJ$2:$AJ$1001,MATCH(ROWS($AH$2:AH38),$AH$2:$AH$1001,0),0), INDEX($AO$1004:$BQ$1004,1,MATCH(COLUMNS($AO$1006:BJ1006),$AO$1006:$BQ$1006,0)))),"Fix")))</f>
        <v>#N/A</v>
      </c>
      <c r="X38" s="5" t="e">
        <f ca="1">IF(OR(INDEX($AI$2:$AI$1001,MATCH(ROWS($AH$2:AH38),$AH$2:$AH$1001,0),1)&gt;=100000,INDEX($AO$1005:$BQ$1005,1,MATCH(COLUMNS($AO$1006:BK1006),$AO$1006:$BQ$1006,0))&gt;=100000), " ",IF(INDEX($AO$2:$BQ$1001,MATCH(ROWS($AH$2:AH38),$AH$2:$AH$1001,0),MATCH(COLUMNS($AO$1006:BK1006),$AO$1006:$BQ$1006,0)), HYPERLINK("#",""), HYPERLINK(CONCATENATE("#Metadata!", ADDRESS(INDEX($AJ$2:$AJ$1001,MATCH(ROWS($AH$2:AH38),$AH$2:$AH$1001,0),0), INDEX($AO$1004:$BQ$1004,1,MATCH(COLUMNS($AO$1006:BK1006),$AO$1006:$BQ$1006,0)))),"Fix")))</f>
        <v>#N/A</v>
      </c>
      <c r="Y38" s="5" t="e">
        <f ca="1">IF(OR(INDEX($AI$2:$AI$1001,MATCH(ROWS($AH$2:AH38),$AH$2:$AH$1001,0),1)&gt;=100000,INDEX($AO$1005:$BQ$1005,1,MATCH(COLUMNS($AO$1006:BL1006),$AO$1006:$BQ$1006,0))&gt;=100000), " ",IF(INDEX($AO$2:$BQ$1001,MATCH(ROWS($AH$2:AH38),$AH$2:$AH$1001,0),MATCH(COLUMNS($AO$1006:BL1006),$AO$1006:$BQ$1006,0)), HYPERLINK("#",""), HYPERLINK(CONCATENATE("#Metadata!", ADDRESS(INDEX($AJ$2:$AJ$1001,MATCH(ROWS($AH$2:AH38),$AH$2:$AH$1001,0),0), INDEX($AO$1004:$BQ$1004,1,MATCH(COLUMNS($AO$1006:BL1006),$AO$1006:$BQ$1006,0)))),"Fix")))</f>
        <v>#N/A</v>
      </c>
      <c r="Z38" s="5" t="e">
        <f ca="1">IF(OR(INDEX($AI$2:$AI$1001,MATCH(ROWS($AH$2:AH38),$AH$2:$AH$1001,0),1)&gt;=100000,INDEX($AO$1005:$BQ$1005,1,MATCH(COLUMNS($AO$1006:BM1006),$AO$1006:$BQ$1006,0))&gt;=100000), " ",IF(INDEX($AO$2:$BQ$1001,MATCH(ROWS($AH$2:AH38),$AH$2:$AH$1001,0),MATCH(COLUMNS($AO$1006:BM1006),$AO$1006:$BQ$1006,0)), HYPERLINK("#",""), HYPERLINK(CONCATENATE("#Metadata!", ADDRESS(INDEX($AJ$2:$AJ$1001,MATCH(ROWS($AH$2:AH38),$AH$2:$AH$1001,0),0), INDEX($AO$1004:$BQ$1004,1,MATCH(COLUMNS($AO$1006:BM1006),$AO$1006:$BQ$1006,0)))),"Fix")))</f>
        <v>#N/A</v>
      </c>
      <c r="AA38" s="5" t="e">
        <f ca="1">IF(OR(INDEX($AI$2:$AI$1001,MATCH(ROWS($AH$2:AH38),$AH$2:$AH$1001,0),1)&gt;=100000,INDEX($AO$1005:$BQ$1005,1,MATCH(COLUMNS($AO$1006:BN1006),$AO$1006:$BQ$1006,0))&gt;=100000), " ",IF(INDEX($AO$2:$BQ$1001,MATCH(ROWS($AH$2:AH38),$AH$2:$AH$1001,0),MATCH(COLUMNS($AO$1006:BN1006),$AO$1006:$BQ$1006,0)), HYPERLINK("#",""), HYPERLINK(CONCATENATE("#Metadata!", ADDRESS(INDEX($AJ$2:$AJ$1001,MATCH(ROWS($AH$2:AH38),$AH$2:$AH$1001,0),0), INDEX($AO$1004:$BQ$1004,1,MATCH(COLUMNS($AO$1006:BN1006),$AO$1006:$BQ$1006,0)))),"Fix")))</f>
        <v>#N/A</v>
      </c>
      <c r="AB38" s="5" t="e">
        <f ca="1">IF(OR(INDEX($AI$2:$AI$1001,MATCH(ROWS($AH$2:AH38),$AH$2:$AH$1001,0),1)&gt;=100000,INDEX($AO$1005:$BQ$1005,1,MATCH(COLUMNS($AO$1006:BO1006),$AO$1006:$BQ$1006,0))&gt;=100000), " ",IF(INDEX($AO$2:$BQ$1001,MATCH(ROWS($AH$2:AH38),$AH$2:$AH$1001,0),MATCH(COLUMNS($AO$1006:BO1006),$AO$1006:$BQ$1006,0)), HYPERLINK("#",""), HYPERLINK(CONCATENATE("#Metadata!", ADDRESS(INDEX($AJ$2:$AJ$1001,MATCH(ROWS($AH$2:AH38),$AH$2:$AH$1001,0),0), INDEX($AO$1004:$BQ$1004,1,MATCH(COLUMNS($AO$1006:BO1006),$AO$1006:$BQ$1006,0)))),"Fix")))</f>
        <v>#N/A</v>
      </c>
      <c r="AC38" s="5" t="e">
        <f ca="1">IF(OR(INDEX($AI$2:$AI$1001,MATCH(ROWS($AH$2:AH38),$AH$2:$AH$1001,0),1)&gt;=100000,INDEX($AO$1005:$BQ$1005,1,MATCH(COLUMNS($AO$1006:BP1006),$AO$1006:$BQ$1006,0))&gt;=100000), " ",IF(INDEX($AO$2:$BQ$1001,MATCH(ROWS($AH$2:AH38),$AH$2:$AH$1001,0),MATCH(COLUMNS($AO$1006:BP1006),$AO$1006:$BQ$1006,0)), HYPERLINK("#",""), HYPERLINK(CONCATENATE("#Metadata!", ADDRESS(INDEX($AJ$2:$AJ$1001,MATCH(ROWS($AH$2:AH38),$AH$2:$AH$1001,0),0), INDEX($AO$1004:$BQ$1004,1,MATCH(COLUMNS($AO$1006:BP1006),$AO$1006:$BQ$1006,0)))),"Fix")))</f>
        <v>#N/A</v>
      </c>
      <c r="AD38" s="5" t="e">
        <f ca="1">IF(OR(INDEX($AI$2:$AI$1001,MATCH(ROWS($AH$2:AH38),$AH$2:$AH$1001,0),1)&gt;=100000,INDEX($AO$1005:$BQ$1005,1,MATCH(COLUMNS($AO$1006:BQ1006),$AO$1006:$BQ$1006,0))&gt;=100000), " ",IF(INDEX($AO$2:$BQ$1001,MATCH(ROWS($AH$2:AH38),$AH$2:$AH$1001,0),MATCH(COLUMNS($AO$1006:BQ1006),$AO$1006:$BQ$1006,0)), HYPERLINK("#",""), HYPERLINK(CONCATENATE("#Metadata!", ADDRESS(INDEX($AJ$2:$AJ$1001,MATCH(ROWS($AH$2:AH38),$AH$2:$AH$1001,0),0), INDEX($AO$1004:$BQ$1004,1,MATCH(COLUMNS($AO$1006:BQ1006),$AO$1006:$BQ$1006,0)))),"Fix")))</f>
        <v>#REF!</v>
      </c>
      <c r="AH38">
        <f ca="1"/>
        <v>35</v>
      </c>
      <c r="AI38">
        <f ca="1"/>
        <v>38</v>
      </c>
      <c r="AJ38">
        <v>38</v>
      </c>
      <c r="AK38" t="b">
        <f t="shared" ca="1" si="0"/>
        <v>0</v>
      </c>
      <c r="AL38" t="b">
        <f>COUNTBLANK(Metadata!B38:AD38)=COLUMNS(Metadata!B38:AD38)</f>
        <v>0</v>
      </c>
      <c r="AM38" t="str">
        <v>Environment.Creek.Water.BTP.27Water</v>
      </c>
      <c r="AO38" t="b">
        <f ca="1">AND(IF(Metadata!B37="",FALSE,TRUE),COUNTIF(Metadata!B:B, Metadata!B37) = 1,NOT(ISERROR(SUMPRODUCT(SEARCH(MID(Metadata!B37,ROW(INDIRECT("1:"&amp;LEN(Metadata!B37))), 1),"0123456789abcdefghijklmnopqrstuvwxyzABCDEFGHIJKLMNOPQRSTUVWXYZ.")))))</f>
        <v>1</v>
      </c>
      <c r="AP38" t="b">
        <f>IF(Metadata!C37="",FALSE,TRUE)</f>
        <v>1</v>
      </c>
      <c r="AQ38" t="b">
        <f>IF(Metadata!D37="",FALSE,TRUE)</f>
        <v>1</v>
      </c>
      <c r="AR38" t="b">
        <f ca="1">OR(AND(IF(Metadata!E37="",FALSE,TRUE),OR(EXACT(Metadata!E37,"not collected"),EXACT(Metadata!E37,"not provided"),EXACT(Metadata!E37,"restricted access"))),AND(IF(Metadata!E37="",FALSE,TRUE),AND(AND(IFERROR(INT(LEFT(Metadata!E37,4))&gt;1900,FALSE),IFERROR(INT(LEFT(Metadata!E37,4))&lt;=YEAR(NOW()),FALSE)), OR(MID(Metadata!E37,5,1)="", AND(AND(MID(Metadata!E37,5,1)="-",IFERROR(INT(MID(Metadata!E37,6,1))&gt;=0,FALSE),IFERROR(INT(MID(Metadata!E37,6,1))&lt;=1,FALSE),NOT(MID(Metadata!E37,7,1)=""),IFERROR(INT(MID(Metadata!E37,6,2))&gt;=1,FALSE),IFERROR(INT(MID(Metadata!E37,6,2))&lt;=12,FALSE)), OR(MID(Metadata!E37,8,1)="", AND(AND(MID(Metadata!E37,8,1)="-",IFERROR(INT(MID(Metadata!E37,9,1))&gt;=0,FALSE),IFERROR(INT(MID(Metadata!E37,9,1))&lt;=3,FALSE),NOT(MID(Metadata!E37,10,1)=""),IFERROR(INT(MID(Metadata!E37,9,2))&gt;=1,FALSE),IFERROR(INT(MID(Metadata!E37,9,2))&lt;=31,FALSE)), OR(MID(Metadata!E37,11,1)="", AND(AND(MID(Metadata!E37,11,1)=" ",IFERROR(INT(MID(Metadata!E37,12,1))&gt;=0,FALSE),IFERROR(INT(MID(Metadata!E37,12,1))&lt;=2,FALSE),NOT(MID(Metadata!E37,13,1)=""),IFERROR(INT(MID(Metadata!E37,12,2))&gt;=0,FALSE),IFERROR(INT(MID(Metadata!E37,12,2))&lt;=23,FALSE)), OR(MID(Metadata!E37,14,1)="", AND(AND(MID(Metadata!E37,14,1)=":",IFERROR(INT(MID(Metadata!E37,15,1))&gt;=0,FALSE),IFERROR(INT(MID(Metadata!E37,15,1))&lt;=5,FALSE),NOT(MID(Metadata!E37,16,1)=""),IFERROR(INT(MID(Metadata!E37,15,2))&gt;=0,FALSE),IFERROR(INT(MID(Metadata!E37,15,2))&lt;=59,FALSE)), OR(MID(Metadata!E37,17,1)="", AND(AND(MID(Metadata!E37,17,1)=":",IFERROR(INT(MID(Metadata!E37,18,1))&gt;=0,FALSE),IFERROR(INT(MID(Metadata!E37,18,1))&lt;=5,FALSE),NOT(MID(Metadata!E37,19,1)=""),IFERROR(INT(MID(Metadata!E37,18,2))&gt;=0,FALSE),IFERROR(INT(MID(Metadata!E37,18,2))&lt;=59,FALSE)), LEN(Metadata!E37)&lt;=19)))))))))))))</f>
        <v>0</v>
      </c>
      <c r="AS38" t="b">
        <f>IF(Metadata!F37="",FALSE,TRUE)</f>
        <v>1</v>
      </c>
      <c r="AT38" t="b">
        <f>OR(AND(IF(Metadata!G37="",FALSE,TRUE),OR(EXACT(Metadata!G37,"not collected"),EXACT(Metadata!G37,"not provided"))),AND(IF(Metadata!G37="",FALSE,TRUE),OR(EXACT(Metadata!G37,"TRUE"),EXACT(Metadata!G37,"FALSE"))))</f>
        <v>1</v>
      </c>
      <c r="AU38" t="b">
        <f>OR(AND(IF(Metadata!H37="",FALSE,TRUE),OR(EXACT(Metadata!H37,"not collected"),EXACT(Metadata!H37,"not provided"),EXACT(Metadata!H37,"restricted access"))),AND(IF(Metadata!H37="",FALSE,ISNUMBER(VALUE(Metadata!H37))),Metadata!H37&gt;=-413))</f>
        <v>0</v>
      </c>
      <c r="AV38" t="b">
        <f>AND(IF(Metadata!I37="",FALSE,TRUE),EXACT(Metadata!I37,"meters"))</f>
        <v>1</v>
      </c>
      <c r="AW38" t="b">
        <f>AND(IF(Metadata!J37="",FALSE,TRUE),EXACT(Metadata!J37,"free-living"))</f>
        <v>1</v>
      </c>
      <c r="AX38" t="b">
        <f>AND(IF(Metadata!K37="",FALSE,TRUE),OR(EXACT(Metadata!K37,"saline"),EXACT(Metadata!K37,"non-saline")))</f>
        <v>1</v>
      </c>
      <c r="AY38" t="b">
        <f>AND(IF(Metadata!L37="",FALSE,TRUE),OR(EXACT(Metadata!L37,"sub-surface (non-saline)"),EXACT(Metadata!L37,"surface (non-saline)"),EXACT(Metadata!L37,"water (non-saline)"),EXACT(Metadata!L37,"soil (non-saline)"),EXACT(Metadata!L37,"aerosol (non-saline)"),EXACT(Metadata!L37,"sediment (non-saline)"),EXACT(Metadata!L37,"surface (saline)"),EXACT(Metadata!L37,"water (saline)"),EXACT(Metadata!L37,"hypersaline (saline)"),EXACT(Metadata!L37,"aerosol (saline)"),EXACT(Metadata!L37,"sediment (saline)")))</f>
        <v>1</v>
      </c>
      <c r="AZ38" t="b">
        <f>IF(Metadata!M37="",FALSE,TRUE)</f>
        <v>1</v>
      </c>
      <c r="BA38" t="b">
        <f>IF(Metadata!N37="",FALSE,TRUE)</f>
        <v>1</v>
      </c>
      <c r="BB38" t="b">
        <f>IF(Metadata!O37="",FALSE,TRUE)</f>
        <v>1</v>
      </c>
      <c r="BC38" t="b">
        <f>AND(IF(Metadata!P37="",FALSE,TRUE),OR(EXACT(Metadata!P37,"air"),EXACT(Metadata!P37,"microbial mat/biofilm"),EXACT(Metadata!P37,"misc environment"),EXACT(Metadata!P37,"sediment"),EXACT(Metadata!P37,"soil"),EXACT(Metadata!P37,"wastewater/sludge"),EXACT(Metadata!P37,"water")))</f>
        <v>1</v>
      </c>
      <c r="BD38" t="b">
        <f>IF(Metadata!Q37="",FALSE,TRUE)</f>
        <v>1</v>
      </c>
      <c r="BE38" t="b">
        <f>IF(Metadata!R37="",FALSE,TRUE)</f>
        <v>1</v>
      </c>
      <c r="BF38" t="b">
        <f>OR(AND(IF(Metadata!S37="",FALSE,TRUE),OR(EXACT(Metadata!S37,"not collected"),EXACT(Metadata!S37,"not provided"),EXACT(Metadata!S37,"restricted access"))),AND(IF(Metadata!S37="",FALSE,ISNUMBER(VALUE(Metadata!S37))),Metadata!S37&gt;=-90,Metadata!S37&lt;=90))</f>
        <v>0</v>
      </c>
      <c r="BG38" t="b">
        <f>AND(IF(Metadata!T37="",FALSE,TRUE),EXACT(Metadata!T37,"Decimal degrees"))</f>
        <v>1</v>
      </c>
      <c r="BH38" t="b">
        <f>OR(AND(IF(Metadata!U37="",FALSE,TRUE),OR(EXACT(Metadata!U37,"not applicable"),EXACT(Metadata!U37,"not collected"))),IF(Metadata!U37="",FALSE,TRUE))</f>
        <v>1</v>
      </c>
      <c r="BI38" t="b">
        <f>OR(AND(IF(Metadata!V37="",FALSE,TRUE),OR(EXACT(Metadata!V37,"not collected"),EXACT(Metadata!V37,"not provided"),EXACT(Metadata!V37,"restricted access"))),AND(IF(Metadata!V37="",FALSE,ISNUMBER(VALUE(Metadata!V37))),Metadata!V37&gt;=-180,Metadata!V37&lt;=180))</f>
        <v>0</v>
      </c>
      <c r="BJ38" t="b">
        <f>AND(IF(Metadata!W37="",FALSE,TRUE),EXACT(Metadata!W37,"Decimal degrees"))</f>
        <v>1</v>
      </c>
      <c r="BK38" t="b">
        <f>IF(Metadata!X37="",FALSE,TRUE)</f>
        <v>1</v>
      </c>
      <c r="BL38" t="b">
        <f>OR(AND(IF(Metadata!Y37="",FALSE,TRUE),OR(EXACT(Metadata!Y37,"not collected"),EXACT(Metadata!Y37,"not provided"),EXACT(Metadata!Y37,"restricted access"))),AND(IF(Metadata!Y37="",FALSE,TRUE),OR(EXACT(Metadata!Y37,"TRUE"),EXACT(Metadata!Y37,"FALSE"))))</f>
        <v>1</v>
      </c>
      <c r="BM38" t="b">
        <f>OR(AND(IF(Metadata!Z37="",FALSE,TRUE),EXACT(Metadata!Z37,"not applicable")),AND(IF(Metadata!Z37="",FALSE,TRUE),OR(EXACT(Metadata!Z37,"beer"),EXACT(Metadata!Z37,"cheese"),EXACT(Metadata!Z37,"fresh water"),EXACT(Metadata!Z37,"marine sediment"),EXACT(Metadata!Z37,"sea water"),EXACT(Metadata!Z37,"sediment"),EXACT(Metadata!Z37,"soil"),EXACT(Metadata!Z37,"waste water"))))</f>
        <v>1</v>
      </c>
      <c r="BN38" t="b">
        <f>AND(IF(Metadata!AA37="",FALSE,TRUE),EXACT(Metadata!AA37,"metagenome"))</f>
        <v>1</v>
      </c>
      <c r="BO38" t="b">
        <f>AND(IF(Metadata!AB37="",FALSE,TRUE),EXACT(Metadata!AB37,"256318"))</f>
        <v>1</v>
      </c>
      <c r="BP38" t="b">
        <f>IF(Metadata!AC37="",FALSE,TRUE)</f>
        <v>1</v>
      </c>
      <c r="BQ38" t="b">
        <f>IF(Metadata!AD37="",FALSE,TRUE)</f>
        <v>1</v>
      </c>
    </row>
    <row r="39" spans="1:69" x14ac:dyDescent="0.2">
      <c r="A39" s="4" t="e">
        <f ca="1">IF(B39=" "," ",HYPERLINK(CONCATENATE("#metadata!",ADDRESS(INDEX($AJ$2:$AJ$1001,MATCH(ROWS($AH$2:AH39),$AH$2:$AH$1001,0),0),2)),INDEX($AM$2:$AM$1001,MATCH(ROWS($AH$2:AH39),$AH$2:$AH$1001,0),0)))</f>
        <v>#N/A</v>
      </c>
      <c r="B39" s="5" t="e">
        <f ca="1">IF(OR(INDEX($AI$2:$AI$1001,MATCH(ROWS($AH$2:AH39),$AH$2:$AH$1001,0),1)&gt;=100000,INDEX($AO$1005:$BQ$1005,1,MATCH(COLUMNS($AO$1006:AO1006),$AO$1006:$BQ$1006,0))&gt;=100000), " ",IF(INDEX($AO$2:$BQ$1001,MATCH(ROWS($AH$2:AH39),$AH$2:$AH$1001,0),MATCH(COLUMNS($AO$1006:AO1006),$AO$1006:$BQ$1006,0)), HYPERLINK("#",""), HYPERLINK(CONCATENATE("#Metadata!", ADDRESS(INDEX($AJ$2:$AJ$1001,MATCH(ROWS($AH$2:AH39),$AH$2:$AH$1001,0),0), INDEX($AO$1004:$BQ$1004,1,MATCH(COLUMNS($AO$1006:AO1006),$AO$1006:$BQ$1006,0)))),"Fix")))</f>
        <v>#N/A</v>
      </c>
      <c r="C39" s="5" t="e">
        <f ca="1">IF(OR(INDEX($AI$2:$AI$1001,MATCH(ROWS($AH$2:AH39),$AH$2:$AH$1001,0),1)&gt;=100000,INDEX($AO$1005:$BQ$1005,1,MATCH(COLUMNS($AO$1006:AP1006),$AO$1006:$BQ$1006,0))&gt;=100000), " ",IF(INDEX($AO$2:$BQ$1001,MATCH(ROWS($AH$2:AH39),$AH$2:$AH$1001,0),MATCH(COLUMNS($AO$1006:AP1006),$AO$1006:$BQ$1006,0)), HYPERLINK("#",""), HYPERLINK(CONCATENATE("#Metadata!", ADDRESS(INDEX($AJ$2:$AJ$1001,MATCH(ROWS($AH$2:AH39),$AH$2:$AH$1001,0),0), INDEX($AO$1004:$BQ$1004,1,MATCH(COLUMNS($AO$1006:AP1006),$AO$1006:$BQ$1006,0)))),"Fix")))</f>
        <v>#N/A</v>
      </c>
      <c r="D39" s="5" t="e">
        <f ca="1">IF(OR(INDEX($AI$2:$AI$1001,MATCH(ROWS($AH$2:AH39),$AH$2:$AH$1001,0),1)&gt;=100000,INDEX($AO$1005:$BQ$1005,1,MATCH(COLUMNS($AO$1006:AQ1006),$AO$1006:$BQ$1006,0))&gt;=100000), " ",IF(INDEX($AO$2:$BQ$1001,MATCH(ROWS($AH$2:AH39),$AH$2:$AH$1001,0),MATCH(COLUMNS($AO$1006:AQ1006),$AO$1006:$BQ$1006,0)), HYPERLINK("#",""), HYPERLINK(CONCATENATE("#Metadata!", ADDRESS(INDEX($AJ$2:$AJ$1001,MATCH(ROWS($AH$2:AH39),$AH$2:$AH$1001,0),0), INDEX($AO$1004:$BQ$1004,1,MATCH(COLUMNS($AO$1006:AQ1006),$AO$1006:$BQ$1006,0)))),"Fix")))</f>
        <v>#N/A</v>
      </c>
      <c r="E39" s="5" t="e">
        <f ca="1">IF(OR(INDEX($AI$2:$AI$1001,MATCH(ROWS($AH$2:AH39),$AH$2:$AH$1001,0),1)&gt;=100000,INDEX($AO$1005:$BQ$1005,1,MATCH(COLUMNS($AO$1006:AR1006),$AO$1006:$BQ$1006,0))&gt;=100000), " ",IF(INDEX($AO$2:$BQ$1001,MATCH(ROWS($AH$2:AH39),$AH$2:$AH$1001,0),MATCH(COLUMNS($AO$1006:AR1006),$AO$1006:$BQ$1006,0)), HYPERLINK("#",""), HYPERLINK(CONCATENATE("#Metadata!", ADDRESS(INDEX($AJ$2:$AJ$1001,MATCH(ROWS($AH$2:AH39),$AH$2:$AH$1001,0),0), INDEX($AO$1004:$BQ$1004,1,MATCH(COLUMNS($AO$1006:AR1006),$AO$1006:$BQ$1006,0)))),"Fix")))</f>
        <v>#N/A</v>
      </c>
      <c r="F39" s="5" t="e">
        <f ca="1">IF(OR(INDEX($AI$2:$AI$1001,MATCH(ROWS($AH$2:AH39),$AH$2:$AH$1001,0),1)&gt;=100000,INDEX($AO$1005:$BQ$1005,1,MATCH(COLUMNS($AO$1006:AS1006),$AO$1006:$BQ$1006,0))&gt;=100000), " ",IF(INDEX($AO$2:$BQ$1001,MATCH(ROWS($AH$2:AH39),$AH$2:$AH$1001,0),MATCH(COLUMNS($AO$1006:AS1006),$AO$1006:$BQ$1006,0)), HYPERLINK("#",""), HYPERLINK(CONCATENATE("#Metadata!", ADDRESS(INDEX($AJ$2:$AJ$1001,MATCH(ROWS($AH$2:AH39),$AH$2:$AH$1001,0),0), INDEX($AO$1004:$BQ$1004,1,MATCH(COLUMNS($AO$1006:AS1006),$AO$1006:$BQ$1006,0)))),"Fix")))</f>
        <v>#N/A</v>
      </c>
      <c r="G39" s="5" t="e">
        <f ca="1">IF(OR(INDEX($AI$2:$AI$1001,MATCH(ROWS($AH$2:AH39),$AH$2:$AH$1001,0),1)&gt;=100000,INDEX($AO$1005:$BQ$1005,1,MATCH(COLUMNS($AO$1006:AT1006),$AO$1006:$BQ$1006,0))&gt;=100000), " ",IF(INDEX($AO$2:$BQ$1001,MATCH(ROWS($AH$2:AH39),$AH$2:$AH$1001,0),MATCH(COLUMNS($AO$1006:AT1006),$AO$1006:$BQ$1006,0)), HYPERLINK("#",""), HYPERLINK(CONCATENATE("#Metadata!", ADDRESS(INDEX($AJ$2:$AJ$1001,MATCH(ROWS($AH$2:AH39),$AH$2:$AH$1001,0),0), INDEX($AO$1004:$BQ$1004,1,MATCH(COLUMNS($AO$1006:AT1006),$AO$1006:$BQ$1006,0)))),"Fix")))</f>
        <v>#N/A</v>
      </c>
      <c r="H39" s="5" t="e">
        <f ca="1">IF(OR(INDEX($AI$2:$AI$1001,MATCH(ROWS($AH$2:AH39),$AH$2:$AH$1001,0),1)&gt;=100000,INDEX($AO$1005:$BQ$1005,1,MATCH(COLUMNS($AO$1006:AU1006),$AO$1006:$BQ$1006,0))&gt;=100000), " ",IF(INDEX($AO$2:$BQ$1001,MATCH(ROWS($AH$2:AH39),$AH$2:$AH$1001,0),MATCH(COLUMNS($AO$1006:AU1006),$AO$1006:$BQ$1006,0)), HYPERLINK("#",""), HYPERLINK(CONCATENATE("#Metadata!", ADDRESS(INDEX($AJ$2:$AJ$1001,MATCH(ROWS($AH$2:AH39),$AH$2:$AH$1001,0),0), INDEX($AO$1004:$BQ$1004,1,MATCH(COLUMNS($AO$1006:AU1006),$AO$1006:$BQ$1006,0)))),"Fix")))</f>
        <v>#N/A</v>
      </c>
      <c r="I39" s="5" t="e">
        <f ca="1">IF(OR(INDEX($AI$2:$AI$1001,MATCH(ROWS($AH$2:AH39),$AH$2:$AH$1001,0),1)&gt;=100000,INDEX($AO$1005:$BQ$1005,1,MATCH(COLUMNS($AO$1006:AV1006),$AO$1006:$BQ$1006,0))&gt;=100000), " ",IF(INDEX($AO$2:$BQ$1001,MATCH(ROWS($AH$2:AH39),$AH$2:$AH$1001,0),MATCH(COLUMNS($AO$1006:AV1006),$AO$1006:$BQ$1006,0)), HYPERLINK("#",""), HYPERLINK(CONCATENATE("#Metadata!", ADDRESS(INDEX($AJ$2:$AJ$1001,MATCH(ROWS($AH$2:AH39),$AH$2:$AH$1001,0),0), INDEX($AO$1004:$BQ$1004,1,MATCH(COLUMNS($AO$1006:AV1006),$AO$1006:$BQ$1006,0)))),"Fix")))</f>
        <v>#N/A</v>
      </c>
      <c r="J39" s="5" t="e">
        <f ca="1">IF(OR(INDEX($AI$2:$AI$1001,MATCH(ROWS($AH$2:AH39),$AH$2:$AH$1001,0),1)&gt;=100000,INDEX($AO$1005:$BQ$1005,1,MATCH(COLUMNS($AO$1006:AW1006),$AO$1006:$BQ$1006,0))&gt;=100000), " ",IF(INDEX($AO$2:$BQ$1001,MATCH(ROWS($AH$2:AH39),$AH$2:$AH$1001,0),MATCH(COLUMNS($AO$1006:AW1006),$AO$1006:$BQ$1006,0)), HYPERLINK("#",""), HYPERLINK(CONCATENATE("#Metadata!", ADDRESS(INDEX($AJ$2:$AJ$1001,MATCH(ROWS($AH$2:AH39),$AH$2:$AH$1001,0),0), INDEX($AO$1004:$BQ$1004,1,MATCH(COLUMNS($AO$1006:AW1006),$AO$1006:$BQ$1006,0)))),"Fix")))</f>
        <v>#N/A</v>
      </c>
      <c r="K39" s="5" t="e">
        <f ca="1">IF(OR(INDEX($AI$2:$AI$1001,MATCH(ROWS($AH$2:AH39),$AH$2:$AH$1001,0),1)&gt;=100000,INDEX($AO$1005:$BQ$1005,1,MATCH(COLUMNS($AO$1006:AX1006),$AO$1006:$BQ$1006,0))&gt;=100000), " ",IF(INDEX($AO$2:$BQ$1001,MATCH(ROWS($AH$2:AH39),$AH$2:$AH$1001,0),MATCH(COLUMNS($AO$1006:AX1006),$AO$1006:$BQ$1006,0)), HYPERLINK("#",""), HYPERLINK(CONCATENATE("#Metadata!", ADDRESS(INDEX($AJ$2:$AJ$1001,MATCH(ROWS($AH$2:AH39),$AH$2:$AH$1001,0),0), INDEX($AO$1004:$BQ$1004,1,MATCH(COLUMNS($AO$1006:AX1006),$AO$1006:$BQ$1006,0)))),"Fix")))</f>
        <v>#N/A</v>
      </c>
      <c r="L39" s="5" t="e">
        <f ca="1">IF(OR(INDEX($AI$2:$AI$1001,MATCH(ROWS($AH$2:AH39),$AH$2:$AH$1001,0),1)&gt;=100000,INDEX($AO$1005:$BQ$1005,1,MATCH(COLUMNS($AO$1006:AY1006),$AO$1006:$BQ$1006,0))&gt;=100000), " ",IF(INDEX($AO$2:$BQ$1001,MATCH(ROWS($AH$2:AH39),$AH$2:$AH$1001,0),MATCH(COLUMNS($AO$1006:AY1006),$AO$1006:$BQ$1006,0)), HYPERLINK("#",""), HYPERLINK(CONCATENATE("#Metadata!", ADDRESS(INDEX($AJ$2:$AJ$1001,MATCH(ROWS($AH$2:AH39),$AH$2:$AH$1001,0),0), INDEX($AO$1004:$BQ$1004,1,MATCH(COLUMNS($AO$1006:AY1006),$AO$1006:$BQ$1006,0)))),"Fix")))</f>
        <v>#N/A</v>
      </c>
      <c r="M39" s="5" t="e">
        <f ca="1">IF(OR(INDEX($AI$2:$AI$1001,MATCH(ROWS($AH$2:AH39),$AH$2:$AH$1001,0),1)&gt;=100000,INDEX($AO$1005:$BQ$1005,1,MATCH(COLUMNS($AO$1006:AZ1006),$AO$1006:$BQ$1006,0))&gt;=100000), " ",IF(INDEX($AO$2:$BQ$1001,MATCH(ROWS($AH$2:AH39),$AH$2:$AH$1001,0),MATCH(COLUMNS($AO$1006:AZ1006),$AO$1006:$BQ$1006,0)), HYPERLINK("#",""), HYPERLINK(CONCATENATE("#Metadata!", ADDRESS(INDEX($AJ$2:$AJ$1001,MATCH(ROWS($AH$2:AH39),$AH$2:$AH$1001,0),0), INDEX($AO$1004:$BQ$1004,1,MATCH(COLUMNS($AO$1006:AZ1006),$AO$1006:$BQ$1006,0)))),"Fix")))</f>
        <v>#N/A</v>
      </c>
      <c r="N39" s="5" t="e">
        <f ca="1">IF(OR(INDEX($AI$2:$AI$1001,MATCH(ROWS($AH$2:AH39),$AH$2:$AH$1001,0),1)&gt;=100000,INDEX($AO$1005:$BQ$1005,1,MATCH(COLUMNS($AO$1006:BA1006),$AO$1006:$BQ$1006,0))&gt;=100000), " ",IF(INDEX($AO$2:$BQ$1001,MATCH(ROWS($AH$2:AH39),$AH$2:$AH$1001,0),MATCH(COLUMNS($AO$1006:BA1006),$AO$1006:$BQ$1006,0)), HYPERLINK("#",""), HYPERLINK(CONCATENATE("#Metadata!", ADDRESS(INDEX($AJ$2:$AJ$1001,MATCH(ROWS($AH$2:AH39),$AH$2:$AH$1001,0),0), INDEX($AO$1004:$BQ$1004,1,MATCH(COLUMNS($AO$1006:BA1006),$AO$1006:$BQ$1006,0)))),"Fix")))</f>
        <v>#N/A</v>
      </c>
      <c r="O39" s="5" t="e">
        <f ca="1">IF(OR(INDEX($AI$2:$AI$1001,MATCH(ROWS($AH$2:AH39),$AH$2:$AH$1001,0),1)&gt;=100000,INDEX($AO$1005:$BQ$1005,1,MATCH(COLUMNS($AO$1006:BB1006),$AO$1006:$BQ$1006,0))&gt;=100000), " ",IF(INDEX($AO$2:$BQ$1001,MATCH(ROWS($AH$2:AH39),$AH$2:$AH$1001,0),MATCH(COLUMNS($AO$1006:BB1006),$AO$1006:$BQ$1006,0)), HYPERLINK("#",""), HYPERLINK(CONCATENATE("#Metadata!", ADDRESS(INDEX($AJ$2:$AJ$1001,MATCH(ROWS($AH$2:AH39),$AH$2:$AH$1001,0),0), INDEX($AO$1004:$BQ$1004,1,MATCH(COLUMNS($AO$1006:BB1006),$AO$1006:$BQ$1006,0)))),"Fix")))</f>
        <v>#N/A</v>
      </c>
      <c r="P39" s="5" t="e">
        <f ca="1">IF(OR(INDEX($AI$2:$AI$1001,MATCH(ROWS($AH$2:AH39),$AH$2:$AH$1001,0),1)&gt;=100000,INDEX($AO$1005:$BQ$1005,1,MATCH(COLUMNS($AO$1006:BC1006),$AO$1006:$BQ$1006,0))&gt;=100000), " ",IF(INDEX($AO$2:$BQ$1001,MATCH(ROWS($AH$2:AH39),$AH$2:$AH$1001,0),MATCH(COLUMNS($AO$1006:BC1006),$AO$1006:$BQ$1006,0)), HYPERLINK("#",""), HYPERLINK(CONCATENATE("#Metadata!", ADDRESS(INDEX($AJ$2:$AJ$1001,MATCH(ROWS($AH$2:AH39),$AH$2:$AH$1001,0),0), INDEX($AO$1004:$BQ$1004,1,MATCH(COLUMNS($AO$1006:BC1006),$AO$1006:$BQ$1006,0)))),"Fix")))</f>
        <v>#N/A</v>
      </c>
      <c r="Q39" s="5" t="e">
        <f ca="1">IF(OR(INDEX($AI$2:$AI$1001,MATCH(ROWS($AH$2:AH39),$AH$2:$AH$1001,0),1)&gt;=100000,INDEX($AO$1005:$BQ$1005,1,MATCH(COLUMNS($AO$1006:BD1006),$AO$1006:$BQ$1006,0))&gt;=100000), " ",IF(INDEX($AO$2:$BQ$1001,MATCH(ROWS($AH$2:AH39),$AH$2:$AH$1001,0),MATCH(COLUMNS($AO$1006:BD1006),$AO$1006:$BQ$1006,0)), HYPERLINK("#",""), HYPERLINK(CONCATENATE("#Metadata!", ADDRESS(INDEX($AJ$2:$AJ$1001,MATCH(ROWS($AH$2:AH39),$AH$2:$AH$1001,0),0), INDEX($AO$1004:$BQ$1004,1,MATCH(COLUMNS($AO$1006:BD1006),$AO$1006:$BQ$1006,0)))),"Fix")))</f>
        <v>#N/A</v>
      </c>
      <c r="R39" s="5" t="e">
        <f ca="1">IF(OR(INDEX($AI$2:$AI$1001,MATCH(ROWS($AH$2:AH39),$AH$2:$AH$1001,0),1)&gt;=100000,INDEX($AO$1005:$BQ$1005,1,MATCH(COLUMNS($AO$1006:BE1006),$AO$1006:$BQ$1006,0))&gt;=100000), " ",IF(INDEX($AO$2:$BQ$1001,MATCH(ROWS($AH$2:AH39),$AH$2:$AH$1001,0),MATCH(COLUMNS($AO$1006:BE1006),$AO$1006:$BQ$1006,0)), HYPERLINK("#",""), HYPERLINK(CONCATENATE("#Metadata!", ADDRESS(INDEX($AJ$2:$AJ$1001,MATCH(ROWS($AH$2:AH39),$AH$2:$AH$1001,0),0), INDEX($AO$1004:$BQ$1004,1,MATCH(COLUMNS($AO$1006:BE1006),$AO$1006:$BQ$1006,0)))),"Fix")))</f>
        <v>#N/A</v>
      </c>
      <c r="S39" s="5" t="e">
        <f ca="1">IF(OR(INDEX($AI$2:$AI$1001,MATCH(ROWS($AH$2:AH39),$AH$2:$AH$1001,0),1)&gt;=100000,INDEX($AO$1005:$BQ$1005,1,MATCH(COLUMNS($AO$1006:BF1006),$AO$1006:$BQ$1006,0))&gt;=100000), " ",IF(INDEX($AO$2:$BQ$1001,MATCH(ROWS($AH$2:AH39),$AH$2:$AH$1001,0),MATCH(COLUMNS($AO$1006:BF1006),$AO$1006:$BQ$1006,0)), HYPERLINK("#",""), HYPERLINK(CONCATENATE("#Metadata!", ADDRESS(INDEX($AJ$2:$AJ$1001,MATCH(ROWS($AH$2:AH39),$AH$2:$AH$1001,0),0), INDEX($AO$1004:$BQ$1004,1,MATCH(COLUMNS($AO$1006:BF1006),$AO$1006:$BQ$1006,0)))),"Fix")))</f>
        <v>#N/A</v>
      </c>
      <c r="T39" s="5" t="e">
        <f ca="1">IF(OR(INDEX($AI$2:$AI$1001,MATCH(ROWS($AH$2:AH39),$AH$2:$AH$1001,0),1)&gt;=100000,INDEX($AO$1005:$BQ$1005,1,MATCH(COLUMNS($AO$1006:BG1006),$AO$1006:$BQ$1006,0))&gt;=100000), " ",IF(INDEX($AO$2:$BQ$1001,MATCH(ROWS($AH$2:AH39),$AH$2:$AH$1001,0),MATCH(COLUMNS($AO$1006:BG1006),$AO$1006:$BQ$1006,0)), HYPERLINK("#",""), HYPERLINK(CONCATENATE("#Metadata!", ADDRESS(INDEX($AJ$2:$AJ$1001,MATCH(ROWS($AH$2:AH39),$AH$2:$AH$1001,0),0), INDEX($AO$1004:$BQ$1004,1,MATCH(COLUMNS($AO$1006:BG1006),$AO$1006:$BQ$1006,0)))),"Fix")))</f>
        <v>#N/A</v>
      </c>
      <c r="U39" s="5" t="e">
        <f ca="1">IF(OR(INDEX($AI$2:$AI$1001,MATCH(ROWS($AH$2:AH39),$AH$2:$AH$1001,0),1)&gt;=100000,INDEX($AO$1005:$BQ$1005,1,MATCH(COLUMNS($AO$1006:BH1006),$AO$1006:$BQ$1006,0))&gt;=100000), " ",IF(INDEX($AO$2:$BQ$1001,MATCH(ROWS($AH$2:AH39),$AH$2:$AH$1001,0),MATCH(COLUMNS($AO$1006:BH1006),$AO$1006:$BQ$1006,0)), HYPERLINK("#",""), HYPERLINK(CONCATENATE("#Metadata!", ADDRESS(INDEX($AJ$2:$AJ$1001,MATCH(ROWS($AH$2:AH39),$AH$2:$AH$1001,0),0), INDEX($AO$1004:$BQ$1004,1,MATCH(COLUMNS($AO$1006:BH1006),$AO$1006:$BQ$1006,0)))),"Fix")))</f>
        <v>#N/A</v>
      </c>
      <c r="V39" s="5" t="e">
        <f ca="1">IF(OR(INDEX($AI$2:$AI$1001,MATCH(ROWS($AH$2:AH39),$AH$2:$AH$1001,0),1)&gt;=100000,INDEX($AO$1005:$BQ$1005,1,MATCH(COLUMNS($AO$1006:BI1006),$AO$1006:$BQ$1006,0))&gt;=100000), " ",IF(INDEX($AO$2:$BQ$1001,MATCH(ROWS($AH$2:AH39),$AH$2:$AH$1001,0),MATCH(COLUMNS($AO$1006:BI1006),$AO$1006:$BQ$1006,0)), HYPERLINK("#",""), HYPERLINK(CONCATENATE("#Metadata!", ADDRESS(INDEX($AJ$2:$AJ$1001,MATCH(ROWS($AH$2:AH39),$AH$2:$AH$1001,0),0), INDEX($AO$1004:$BQ$1004,1,MATCH(COLUMNS($AO$1006:BI1006),$AO$1006:$BQ$1006,0)))),"Fix")))</f>
        <v>#N/A</v>
      </c>
      <c r="W39" s="5" t="e">
        <f ca="1">IF(OR(INDEX($AI$2:$AI$1001,MATCH(ROWS($AH$2:AH39),$AH$2:$AH$1001,0),1)&gt;=100000,INDEX($AO$1005:$BQ$1005,1,MATCH(COLUMNS($AO$1006:BJ1006),$AO$1006:$BQ$1006,0))&gt;=100000), " ",IF(INDEX($AO$2:$BQ$1001,MATCH(ROWS($AH$2:AH39),$AH$2:$AH$1001,0),MATCH(COLUMNS($AO$1006:BJ1006),$AO$1006:$BQ$1006,0)), HYPERLINK("#",""), HYPERLINK(CONCATENATE("#Metadata!", ADDRESS(INDEX($AJ$2:$AJ$1001,MATCH(ROWS($AH$2:AH39),$AH$2:$AH$1001,0),0), INDEX($AO$1004:$BQ$1004,1,MATCH(COLUMNS($AO$1006:BJ1006),$AO$1006:$BQ$1006,0)))),"Fix")))</f>
        <v>#N/A</v>
      </c>
      <c r="X39" s="5" t="e">
        <f ca="1">IF(OR(INDEX($AI$2:$AI$1001,MATCH(ROWS($AH$2:AH39),$AH$2:$AH$1001,0),1)&gt;=100000,INDEX($AO$1005:$BQ$1005,1,MATCH(COLUMNS($AO$1006:BK1006),$AO$1006:$BQ$1006,0))&gt;=100000), " ",IF(INDEX($AO$2:$BQ$1001,MATCH(ROWS($AH$2:AH39),$AH$2:$AH$1001,0),MATCH(COLUMNS($AO$1006:BK1006),$AO$1006:$BQ$1006,0)), HYPERLINK("#",""), HYPERLINK(CONCATENATE("#Metadata!", ADDRESS(INDEX($AJ$2:$AJ$1001,MATCH(ROWS($AH$2:AH39),$AH$2:$AH$1001,0),0), INDEX($AO$1004:$BQ$1004,1,MATCH(COLUMNS($AO$1006:BK1006),$AO$1006:$BQ$1006,0)))),"Fix")))</f>
        <v>#N/A</v>
      </c>
      <c r="Y39" s="5" t="e">
        <f ca="1">IF(OR(INDEX($AI$2:$AI$1001,MATCH(ROWS($AH$2:AH39),$AH$2:$AH$1001,0),1)&gt;=100000,INDEX($AO$1005:$BQ$1005,1,MATCH(COLUMNS($AO$1006:BL1006),$AO$1006:$BQ$1006,0))&gt;=100000), " ",IF(INDEX($AO$2:$BQ$1001,MATCH(ROWS($AH$2:AH39),$AH$2:$AH$1001,0),MATCH(COLUMNS($AO$1006:BL1006),$AO$1006:$BQ$1006,0)), HYPERLINK("#",""), HYPERLINK(CONCATENATE("#Metadata!", ADDRESS(INDEX($AJ$2:$AJ$1001,MATCH(ROWS($AH$2:AH39),$AH$2:$AH$1001,0),0), INDEX($AO$1004:$BQ$1004,1,MATCH(COLUMNS($AO$1006:BL1006),$AO$1006:$BQ$1006,0)))),"Fix")))</f>
        <v>#N/A</v>
      </c>
      <c r="Z39" s="5" t="e">
        <f ca="1">IF(OR(INDEX($AI$2:$AI$1001,MATCH(ROWS($AH$2:AH39),$AH$2:$AH$1001,0),1)&gt;=100000,INDEX($AO$1005:$BQ$1005,1,MATCH(COLUMNS($AO$1006:BM1006),$AO$1006:$BQ$1006,0))&gt;=100000), " ",IF(INDEX($AO$2:$BQ$1001,MATCH(ROWS($AH$2:AH39),$AH$2:$AH$1001,0),MATCH(COLUMNS($AO$1006:BM1006),$AO$1006:$BQ$1006,0)), HYPERLINK("#",""), HYPERLINK(CONCATENATE("#Metadata!", ADDRESS(INDEX($AJ$2:$AJ$1001,MATCH(ROWS($AH$2:AH39),$AH$2:$AH$1001,0),0), INDEX($AO$1004:$BQ$1004,1,MATCH(COLUMNS($AO$1006:BM1006),$AO$1006:$BQ$1006,0)))),"Fix")))</f>
        <v>#N/A</v>
      </c>
      <c r="AA39" s="5" t="e">
        <f ca="1">IF(OR(INDEX($AI$2:$AI$1001,MATCH(ROWS($AH$2:AH39),$AH$2:$AH$1001,0),1)&gt;=100000,INDEX($AO$1005:$BQ$1005,1,MATCH(COLUMNS($AO$1006:BN1006),$AO$1006:$BQ$1006,0))&gt;=100000), " ",IF(INDEX($AO$2:$BQ$1001,MATCH(ROWS($AH$2:AH39),$AH$2:$AH$1001,0),MATCH(COLUMNS($AO$1006:BN1006),$AO$1006:$BQ$1006,0)), HYPERLINK("#",""), HYPERLINK(CONCATENATE("#Metadata!", ADDRESS(INDEX($AJ$2:$AJ$1001,MATCH(ROWS($AH$2:AH39),$AH$2:$AH$1001,0),0), INDEX($AO$1004:$BQ$1004,1,MATCH(COLUMNS($AO$1006:BN1006),$AO$1006:$BQ$1006,0)))),"Fix")))</f>
        <v>#N/A</v>
      </c>
      <c r="AB39" s="5" t="e">
        <f ca="1">IF(OR(INDEX($AI$2:$AI$1001,MATCH(ROWS($AH$2:AH39),$AH$2:$AH$1001,0),1)&gt;=100000,INDEX($AO$1005:$BQ$1005,1,MATCH(COLUMNS($AO$1006:BO1006),$AO$1006:$BQ$1006,0))&gt;=100000), " ",IF(INDEX($AO$2:$BQ$1001,MATCH(ROWS($AH$2:AH39),$AH$2:$AH$1001,0),MATCH(COLUMNS($AO$1006:BO1006),$AO$1006:$BQ$1006,0)), HYPERLINK("#",""), HYPERLINK(CONCATENATE("#Metadata!", ADDRESS(INDEX($AJ$2:$AJ$1001,MATCH(ROWS($AH$2:AH39),$AH$2:$AH$1001,0),0), INDEX($AO$1004:$BQ$1004,1,MATCH(COLUMNS($AO$1006:BO1006),$AO$1006:$BQ$1006,0)))),"Fix")))</f>
        <v>#N/A</v>
      </c>
      <c r="AC39" s="5" t="e">
        <f ca="1">IF(OR(INDEX($AI$2:$AI$1001,MATCH(ROWS($AH$2:AH39),$AH$2:$AH$1001,0),1)&gt;=100000,INDEX($AO$1005:$BQ$1005,1,MATCH(COLUMNS($AO$1006:BP1006),$AO$1006:$BQ$1006,0))&gt;=100000), " ",IF(INDEX($AO$2:$BQ$1001,MATCH(ROWS($AH$2:AH39),$AH$2:$AH$1001,0),MATCH(COLUMNS($AO$1006:BP1006),$AO$1006:$BQ$1006,0)), HYPERLINK("#",""), HYPERLINK(CONCATENATE("#Metadata!", ADDRESS(INDEX($AJ$2:$AJ$1001,MATCH(ROWS($AH$2:AH39),$AH$2:$AH$1001,0),0), INDEX($AO$1004:$BQ$1004,1,MATCH(COLUMNS($AO$1006:BP1006),$AO$1006:$BQ$1006,0)))),"Fix")))</f>
        <v>#N/A</v>
      </c>
      <c r="AD39" s="5" t="e">
        <f ca="1">IF(OR(INDEX($AI$2:$AI$1001,MATCH(ROWS($AH$2:AH39),$AH$2:$AH$1001,0),1)&gt;=100000,INDEX($AO$1005:$BQ$1005,1,MATCH(COLUMNS($AO$1006:BQ1006),$AO$1006:$BQ$1006,0))&gt;=100000), " ",IF(INDEX($AO$2:$BQ$1001,MATCH(ROWS($AH$2:AH39),$AH$2:$AH$1001,0),MATCH(COLUMNS($AO$1006:BQ1006),$AO$1006:$BQ$1006,0)), HYPERLINK("#",""), HYPERLINK(CONCATENATE("#Metadata!", ADDRESS(INDEX($AJ$2:$AJ$1001,MATCH(ROWS($AH$2:AH39),$AH$2:$AH$1001,0),0), INDEX($AO$1004:$BQ$1004,1,MATCH(COLUMNS($AO$1006:BQ1006),$AO$1006:$BQ$1006,0)))),"Fix")))</f>
        <v>#REF!</v>
      </c>
      <c r="AH39">
        <f ca="1"/>
        <v>36</v>
      </c>
      <c r="AI39">
        <f ca="1"/>
        <v>39</v>
      </c>
      <c r="AJ39">
        <v>39</v>
      </c>
      <c r="AK39" t="b">
        <f t="shared" ca="1" si="0"/>
        <v>0</v>
      </c>
      <c r="AL39" t="b">
        <f>COUNTBLANK(Metadata!B39:AD39)=COLUMNS(Metadata!B39:AD39)</f>
        <v>0</v>
      </c>
      <c r="AM39" t="str">
        <v>Environment.Egg.Water.BTP.28Water</v>
      </c>
      <c r="AO39" t="b">
        <f ca="1">AND(IF(Metadata!B38="",FALSE,TRUE),COUNTIF(Metadata!B:B, Metadata!B38) = 1,NOT(ISERROR(SUMPRODUCT(SEARCH(MID(Metadata!B38,ROW(INDIRECT("1:"&amp;LEN(Metadata!B38))), 1),"0123456789abcdefghijklmnopqrstuvwxyzABCDEFGHIJKLMNOPQRSTUVWXYZ.")))))</f>
        <v>1</v>
      </c>
      <c r="AP39" t="b">
        <f>IF(Metadata!C38="",FALSE,TRUE)</f>
        <v>1</v>
      </c>
      <c r="AQ39" t="b">
        <f>IF(Metadata!D38="",FALSE,TRUE)</f>
        <v>1</v>
      </c>
      <c r="AR39" t="b">
        <f ca="1">OR(AND(IF(Metadata!E38="",FALSE,TRUE),OR(EXACT(Metadata!E38,"not collected"),EXACT(Metadata!E38,"not provided"),EXACT(Metadata!E38,"restricted access"))),AND(IF(Metadata!E38="",FALSE,TRUE),AND(AND(IFERROR(INT(LEFT(Metadata!E38,4))&gt;1900,FALSE),IFERROR(INT(LEFT(Metadata!E38,4))&lt;=YEAR(NOW()),FALSE)), OR(MID(Metadata!E38,5,1)="", AND(AND(MID(Metadata!E38,5,1)="-",IFERROR(INT(MID(Metadata!E38,6,1))&gt;=0,FALSE),IFERROR(INT(MID(Metadata!E38,6,1))&lt;=1,FALSE),NOT(MID(Metadata!E38,7,1)=""),IFERROR(INT(MID(Metadata!E38,6,2))&gt;=1,FALSE),IFERROR(INT(MID(Metadata!E38,6,2))&lt;=12,FALSE)), OR(MID(Metadata!E38,8,1)="", AND(AND(MID(Metadata!E38,8,1)="-",IFERROR(INT(MID(Metadata!E38,9,1))&gt;=0,FALSE),IFERROR(INT(MID(Metadata!E38,9,1))&lt;=3,FALSE),NOT(MID(Metadata!E38,10,1)=""),IFERROR(INT(MID(Metadata!E38,9,2))&gt;=1,FALSE),IFERROR(INT(MID(Metadata!E38,9,2))&lt;=31,FALSE)), OR(MID(Metadata!E38,11,1)="", AND(AND(MID(Metadata!E38,11,1)=" ",IFERROR(INT(MID(Metadata!E38,12,1))&gt;=0,FALSE),IFERROR(INT(MID(Metadata!E38,12,1))&lt;=2,FALSE),NOT(MID(Metadata!E38,13,1)=""),IFERROR(INT(MID(Metadata!E38,12,2))&gt;=0,FALSE),IFERROR(INT(MID(Metadata!E38,12,2))&lt;=23,FALSE)), OR(MID(Metadata!E38,14,1)="", AND(AND(MID(Metadata!E38,14,1)=":",IFERROR(INT(MID(Metadata!E38,15,1))&gt;=0,FALSE),IFERROR(INT(MID(Metadata!E38,15,1))&lt;=5,FALSE),NOT(MID(Metadata!E38,16,1)=""),IFERROR(INT(MID(Metadata!E38,15,2))&gt;=0,FALSE),IFERROR(INT(MID(Metadata!E38,15,2))&lt;=59,FALSE)), OR(MID(Metadata!E38,17,1)="", AND(AND(MID(Metadata!E38,17,1)=":",IFERROR(INT(MID(Metadata!E38,18,1))&gt;=0,FALSE),IFERROR(INT(MID(Metadata!E38,18,1))&lt;=5,FALSE),NOT(MID(Metadata!E38,19,1)=""),IFERROR(INT(MID(Metadata!E38,18,2))&gt;=0,FALSE),IFERROR(INT(MID(Metadata!E38,18,2))&lt;=59,FALSE)), LEN(Metadata!E38)&lt;=19)))))))))))))</f>
        <v>0</v>
      </c>
      <c r="AS39" t="b">
        <f>IF(Metadata!F38="",FALSE,TRUE)</f>
        <v>1</v>
      </c>
      <c r="AT39" t="b">
        <f>OR(AND(IF(Metadata!G38="",FALSE,TRUE),OR(EXACT(Metadata!G38,"not collected"),EXACT(Metadata!G38,"not provided"))),AND(IF(Metadata!G38="",FALSE,TRUE),OR(EXACT(Metadata!G38,"TRUE"),EXACT(Metadata!G38,"FALSE"))))</f>
        <v>1</v>
      </c>
      <c r="AU39" t="b">
        <f>OR(AND(IF(Metadata!H38="",FALSE,TRUE),OR(EXACT(Metadata!H38,"not collected"),EXACT(Metadata!H38,"not provided"),EXACT(Metadata!H38,"restricted access"))),AND(IF(Metadata!H38="",FALSE,ISNUMBER(VALUE(Metadata!H38))),Metadata!H38&gt;=-413))</f>
        <v>0</v>
      </c>
      <c r="AV39" t="b">
        <f>AND(IF(Metadata!I38="",FALSE,TRUE),EXACT(Metadata!I38,"meters"))</f>
        <v>1</v>
      </c>
      <c r="AW39" t="b">
        <f>AND(IF(Metadata!J38="",FALSE,TRUE),EXACT(Metadata!J38,"free-living"))</f>
        <v>1</v>
      </c>
      <c r="AX39" t="b">
        <f>AND(IF(Metadata!K38="",FALSE,TRUE),OR(EXACT(Metadata!K38,"saline"),EXACT(Metadata!K38,"non-saline")))</f>
        <v>1</v>
      </c>
      <c r="AY39" t="b">
        <f>AND(IF(Metadata!L38="",FALSE,TRUE),OR(EXACT(Metadata!L38,"sub-surface (non-saline)"),EXACT(Metadata!L38,"surface (non-saline)"),EXACT(Metadata!L38,"water (non-saline)"),EXACT(Metadata!L38,"soil (non-saline)"),EXACT(Metadata!L38,"aerosol (non-saline)"),EXACT(Metadata!L38,"sediment (non-saline)"),EXACT(Metadata!L38,"surface (saline)"),EXACT(Metadata!L38,"water (saline)"),EXACT(Metadata!L38,"hypersaline (saline)"),EXACT(Metadata!L38,"aerosol (saline)"),EXACT(Metadata!L38,"sediment (saline)")))</f>
        <v>1</v>
      </c>
      <c r="AZ39" t="b">
        <f>IF(Metadata!M38="",FALSE,TRUE)</f>
        <v>1</v>
      </c>
      <c r="BA39" t="b">
        <f>IF(Metadata!N38="",FALSE,TRUE)</f>
        <v>1</v>
      </c>
      <c r="BB39" t="b">
        <f>IF(Metadata!O38="",FALSE,TRUE)</f>
        <v>1</v>
      </c>
      <c r="BC39" t="b">
        <f>AND(IF(Metadata!P38="",FALSE,TRUE),OR(EXACT(Metadata!P38,"air"),EXACT(Metadata!P38,"microbial mat/biofilm"),EXACT(Metadata!P38,"misc environment"),EXACT(Metadata!P38,"sediment"),EXACT(Metadata!P38,"soil"),EXACT(Metadata!P38,"wastewater/sludge"),EXACT(Metadata!P38,"water")))</f>
        <v>1</v>
      </c>
      <c r="BD39" t="b">
        <f>IF(Metadata!Q38="",FALSE,TRUE)</f>
        <v>1</v>
      </c>
      <c r="BE39" t="b">
        <f>IF(Metadata!R38="",FALSE,TRUE)</f>
        <v>1</v>
      </c>
      <c r="BF39" t="b">
        <f>OR(AND(IF(Metadata!S38="",FALSE,TRUE),OR(EXACT(Metadata!S38,"not collected"),EXACT(Metadata!S38,"not provided"),EXACT(Metadata!S38,"restricted access"))),AND(IF(Metadata!S38="",FALSE,ISNUMBER(VALUE(Metadata!S38))),Metadata!S38&gt;=-90,Metadata!S38&lt;=90))</f>
        <v>0</v>
      </c>
      <c r="BG39" t="b">
        <f>AND(IF(Metadata!T38="",FALSE,TRUE),EXACT(Metadata!T38,"Decimal degrees"))</f>
        <v>1</v>
      </c>
      <c r="BH39" t="b">
        <f>OR(AND(IF(Metadata!U38="",FALSE,TRUE),OR(EXACT(Metadata!U38,"not applicable"),EXACT(Metadata!U38,"not collected"))),IF(Metadata!U38="",FALSE,TRUE))</f>
        <v>1</v>
      </c>
      <c r="BI39" t="b">
        <f>OR(AND(IF(Metadata!V38="",FALSE,TRUE),OR(EXACT(Metadata!V38,"not collected"),EXACT(Metadata!V38,"not provided"),EXACT(Metadata!V38,"restricted access"))),AND(IF(Metadata!V38="",FALSE,ISNUMBER(VALUE(Metadata!V38))),Metadata!V38&gt;=-180,Metadata!V38&lt;=180))</f>
        <v>0</v>
      </c>
      <c r="BJ39" t="b">
        <f>AND(IF(Metadata!W38="",FALSE,TRUE),EXACT(Metadata!W38,"Decimal degrees"))</f>
        <v>1</v>
      </c>
      <c r="BK39" t="b">
        <f>IF(Metadata!X38="",FALSE,TRUE)</f>
        <v>1</v>
      </c>
      <c r="BL39" t="b">
        <f>OR(AND(IF(Metadata!Y38="",FALSE,TRUE),OR(EXACT(Metadata!Y38,"not collected"),EXACT(Metadata!Y38,"not provided"),EXACT(Metadata!Y38,"restricted access"))),AND(IF(Metadata!Y38="",FALSE,TRUE),OR(EXACT(Metadata!Y38,"TRUE"),EXACT(Metadata!Y38,"FALSE"))))</f>
        <v>1</v>
      </c>
      <c r="BM39" t="b">
        <f>OR(AND(IF(Metadata!Z38="",FALSE,TRUE),EXACT(Metadata!Z38,"not applicable")),AND(IF(Metadata!Z38="",FALSE,TRUE),OR(EXACT(Metadata!Z38,"beer"),EXACT(Metadata!Z38,"cheese"),EXACT(Metadata!Z38,"fresh water"),EXACT(Metadata!Z38,"marine sediment"),EXACT(Metadata!Z38,"sea water"),EXACT(Metadata!Z38,"sediment"),EXACT(Metadata!Z38,"soil"),EXACT(Metadata!Z38,"waste water"))))</f>
        <v>1</v>
      </c>
      <c r="BN39" t="b">
        <f>AND(IF(Metadata!AA38="",FALSE,TRUE),EXACT(Metadata!AA38,"metagenome"))</f>
        <v>1</v>
      </c>
      <c r="BO39" t="b">
        <f>AND(IF(Metadata!AB38="",FALSE,TRUE),EXACT(Metadata!AB38,"256318"))</f>
        <v>1</v>
      </c>
      <c r="BP39" t="b">
        <f>IF(Metadata!AC38="",FALSE,TRUE)</f>
        <v>1</v>
      </c>
      <c r="BQ39" t="b">
        <f>IF(Metadata!AD38="",FALSE,TRUE)</f>
        <v>1</v>
      </c>
    </row>
    <row r="40" spans="1:69" x14ac:dyDescent="0.2">
      <c r="A40" s="4" t="e">
        <f ca="1">IF(B40=" "," ",HYPERLINK(CONCATENATE("#metadata!",ADDRESS(INDEX($AJ$2:$AJ$1001,MATCH(ROWS($AH$2:AH40),$AH$2:$AH$1001,0),0),2)),INDEX($AM$2:$AM$1001,MATCH(ROWS($AH$2:AH40),$AH$2:$AH$1001,0),0)))</f>
        <v>#N/A</v>
      </c>
      <c r="B40" s="5" t="e">
        <f ca="1">IF(OR(INDEX($AI$2:$AI$1001,MATCH(ROWS($AH$2:AH40),$AH$2:$AH$1001,0),1)&gt;=100000,INDEX($AO$1005:$BQ$1005,1,MATCH(COLUMNS($AO$1006:AO1006),$AO$1006:$BQ$1006,0))&gt;=100000), " ",IF(INDEX($AO$2:$BQ$1001,MATCH(ROWS($AH$2:AH40),$AH$2:$AH$1001,0),MATCH(COLUMNS($AO$1006:AO1006),$AO$1006:$BQ$1006,0)), HYPERLINK("#",""), HYPERLINK(CONCATENATE("#Metadata!", ADDRESS(INDEX($AJ$2:$AJ$1001,MATCH(ROWS($AH$2:AH40),$AH$2:$AH$1001,0),0), INDEX($AO$1004:$BQ$1004,1,MATCH(COLUMNS($AO$1006:AO1006),$AO$1006:$BQ$1006,0)))),"Fix")))</f>
        <v>#N/A</v>
      </c>
      <c r="C40" s="5" t="e">
        <f ca="1">IF(OR(INDEX($AI$2:$AI$1001,MATCH(ROWS($AH$2:AH40),$AH$2:$AH$1001,0),1)&gt;=100000,INDEX($AO$1005:$BQ$1005,1,MATCH(COLUMNS($AO$1006:AP1006),$AO$1006:$BQ$1006,0))&gt;=100000), " ",IF(INDEX($AO$2:$BQ$1001,MATCH(ROWS($AH$2:AH40),$AH$2:$AH$1001,0),MATCH(COLUMNS($AO$1006:AP1006),$AO$1006:$BQ$1006,0)), HYPERLINK("#",""), HYPERLINK(CONCATENATE("#Metadata!", ADDRESS(INDEX($AJ$2:$AJ$1001,MATCH(ROWS($AH$2:AH40),$AH$2:$AH$1001,0),0), INDEX($AO$1004:$BQ$1004,1,MATCH(COLUMNS($AO$1006:AP1006),$AO$1006:$BQ$1006,0)))),"Fix")))</f>
        <v>#N/A</v>
      </c>
      <c r="D40" s="5" t="e">
        <f ca="1">IF(OR(INDEX($AI$2:$AI$1001,MATCH(ROWS($AH$2:AH40),$AH$2:$AH$1001,0),1)&gt;=100000,INDEX($AO$1005:$BQ$1005,1,MATCH(COLUMNS($AO$1006:AQ1006),$AO$1006:$BQ$1006,0))&gt;=100000), " ",IF(INDEX($AO$2:$BQ$1001,MATCH(ROWS($AH$2:AH40),$AH$2:$AH$1001,0),MATCH(COLUMNS($AO$1006:AQ1006),$AO$1006:$BQ$1006,0)), HYPERLINK("#",""), HYPERLINK(CONCATENATE("#Metadata!", ADDRESS(INDEX($AJ$2:$AJ$1001,MATCH(ROWS($AH$2:AH40),$AH$2:$AH$1001,0),0), INDEX($AO$1004:$BQ$1004,1,MATCH(COLUMNS($AO$1006:AQ1006),$AO$1006:$BQ$1006,0)))),"Fix")))</f>
        <v>#N/A</v>
      </c>
      <c r="E40" s="5" t="e">
        <f ca="1">IF(OR(INDEX($AI$2:$AI$1001,MATCH(ROWS($AH$2:AH40),$AH$2:$AH$1001,0),1)&gt;=100000,INDEX($AO$1005:$BQ$1005,1,MATCH(COLUMNS($AO$1006:AR1006),$AO$1006:$BQ$1006,0))&gt;=100000), " ",IF(INDEX($AO$2:$BQ$1001,MATCH(ROWS($AH$2:AH40),$AH$2:$AH$1001,0),MATCH(COLUMNS($AO$1006:AR1006),$AO$1006:$BQ$1006,0)), HYPERLINK("#",""), HYPERLINK(CONCATENATE("#Metadata!", ADDRESS(INDEX($AJ$2:$AJ$1001,MATCH(ROWS($AH$2:AH40),$AH$2:$AH$1001,0),0), INDEX($AO$1004:$BQ$1004,1,MATCH(COLUMNS($AO$1006:AR1006),$AO$1006:$BQ$1006,0)))),"Fix")))</f>
        <v>#N/A</v>
      </c>
      <c r="F40" s="5" t="e">
        <f ca="1">IF(OR(INDEX($AI$2:$AI$1001,MATCH(ROWS($AH$2:AH40),$AH$2:$AH$1001,0),1)&gt;=100000,INDEX($AO$1005:$BQ$1005,1,MATCH(COLUMNS($AO$1006:AS1006),$AO$1006:$BQ$1006,0))&gt;=100000), " ",IF(INDEX($AO$2:$BQ$1001,MATCH(ROWS($AH$2:AH40),$AH$2:$AH$1001,0),MATCH(COLUMNS($AO$1006:AS1006),$AO$1006:$BQ$1006,0)), HYPERLINK("#",""), HYPERLINK(CONCATENATE("#Metadata!", ADDRESS(INDEX($AJ$2:$AJ$1001,MATCH(ROWS($AH$2:AH40),$AH$2:$AH$1001,0),0), INDEX($AO$1004:$BQ$1004,1,MATCH(COLUMNS($AO$1006:AS1006),$AO$1006:$BQ$1006,0)))),"Fix")))</f>
        <v>#N/A</v>
      </c>
      <c r="G40" s="5" t="e">
        <f ca="1">IF(OR(INDEX($AI$2:$AI$1001,MATCH(ROWS($AH$2:AH40),$AH$2:$AH$1001,0),1)&gt;=100000,INDEX($AO$1005:$BQ$1005,1,MATCH(COLUMNS($AO$1006:AT1006),$AO$1006:$BQ$1006,0))&gt;=100000), " ",IF(INDEX($AO$2:$BQ$1001,MATCH(ROWS($AH$2:AH40),$AH$2:$AH$1001,0),MATCH(COLUMNS($AO$1006:AT1006),$AO$1006:$BQ$1006,0)), HYPERLINK("#",""), HYPERLINK(CONCATENATE("#Metadata!", ADDRESS(INDEX($AJ$2:$AJ$1001,MATCH(ROWS($AH$2:AH40),$AH$2:$AH$1001,0),0), INDEX($AO$1004:$BQ$1004,1,MATCH(COLUMNS($AO$1006:AT1006),$AO$1006:$BQ$1006,0)))),"Fix")))</f>
        <v>#N/A</v>
      </c>
      <c r="H40" s="5" t="e">
        <f ca="1">IF(OR(INDEX($AI$2:$AI$1001,MATCH(ROWS($AH$2:AH40),$AH$2:$AH$1001,0),1)&gt;=100000,INDEX($AO$1005:$BQ$1005,1,MATCH(COLUMNS($AO$1006:AU1006),$AO$1006:$BQ$1006,0))&gt;=100000), " ",IF(INDEX($AO$2:$BQ$1001,MATCH(ROWS($AH$2:AH40),$AH$2:$AH$1001,0),MATCH(COLUMNS($AO$1006:AU1006),$AO$1006:$BQ$1006,0)), HYPERLINK("#",""), HYPERLINK(CONCATENATE("#Metadata!", ADDRESS(INDEX($AJ$2:$AJ$1001,MATCH(ROWS($AH$2:AH40),$AH$2:$AH$1001,0),0), INDEX($AO$1004:$BQ$1004,1,MATCH(COLUMNS($AO$1006:AU1006),$AO$1006:$BQ$1006,0)))),"Fix")))</f>
        <v>#N/A</v>
      </c>
      <c r="I40" s="5" t="e">
        <f ca="1">IF(OR(INDEX($AI$2:$AI$1001,MATCH(ROWS($AH$2:AH40),$AH$2:$AH$1001,0),1)&gt;=100000,INDEX($AO$1005:$BQ$1005,1,MATCH(COLUMNS($AO$1006:AV1006),$AO$1006:$BQ$1006,0))&gt;=100000), " ",IF(INDEX($AO$2:$BQ$1001,MATCH(ROWS($AH$2:AH40),$AH$2:$AH$1001,0),MATCH(COLUMNS($AO$1006:AV1006),$AO$1006:$BQ$1006,0)), HYPERLINK("#",""), HYPERLINK(CONCATENATE("#Metadata!", ADDRESS(INDEX($AJ$2:$AJ$1001,MATCH(ROWS($AH$2:AH40),$AH$2:$AH$1001,0),0), INDEX($AO$1004:$BQ$1004,1,MATCH(COLUMNS($AO$1006:AV1006),$AO$1006:$BQ$1006,0)))),"Fix")))</f>
        <v>#N/A</v>
      </c>
      <c r="J40" s="5" t="e">
        <f ca="1">IF(OR(INDEX($AI$2:$AI$1001,MATCH(ROWS($AH$2:AH40),$AH$2:$AH$1001,0),1)&gt;=100000,INDEX($AO$1005:$BQ$1005,1,MATCH(COLUMNS($AO$1006:AW1006),$AO$1006:$BQ$1006,0))&gt;=100000), " ",IF(INDEX($AO$2:$BQ$1001,MATCH(ROWS($AH$2:AH40),$AH$2:$AH$1001,0),MATCH(COLUMNS($AO$1006:AW1006),$AO$1006:$BQ$1006,0)), HYPERLINK("#",""), HYPERLINK(CONCATENATE("#Metadata!", ADDRESS(INDEX($AJ$2:$AJ$1001,MATCH(ROWS($AH$2:AH40),$AH$2:$AH$1001,0),0), INDEX($AO$1004:$BQ$1004,1,MATCH(COLUMNS($AO$1006:AW1006),$AO$1006:$BQ$1006,0)))),"Fix")))</f>
        <v>#N/A</v>
      </c>
      <c r="K40" s="5" t="e">
        <f ca="1">IF(OR(INDEX($AI$2:$AI$1001,MATCH(ROWS($AH$2:AH40),$AH$2:$AH$1001,0),1)&gt;=100000,INDEX($AO$1005:$BQ$1005,1,MATCH(COLUMNS($AO$1006:AX1006),$AO$1006:$BQ$1006,0))&gt;=100000), " ",IF(INDEX($AO$2:$BQ$1001,MATCH(ROWS($AH$2:AH40),$AH$2:$AH$1001,0),MATCH(COLUMNS($AO$1006:AX1006),$AO$1006:$BQ$1006,0)), HYPERLINK("#",""), HYPERLINK(CONCATENATE("#Metadata!", ADDRESS(INDEX($AJ$2:$AJ$1001,MATCH(ROWS($AH$2:AH40),$AH$2:$AH$1001,0),0), INDEX($AO$1004:$BQ$1004,1,MATCH(COLUMNS($AO$1006:AX1006),$AO$1006:$BQ$1006,0)))),"Fix")))</f>
        <v>#N/A</v>
      </c>
      <c r="L40" s="5" t="e">
        <f ca="1">IF(OR(INDEX($AI$2:$AI$1001,MATCH(ROWS($AH$2:AH40),$AH$2:$AH$1001,0),1)&gt;=100000,INDEX($AO$1005:$BQ$1005,1,MATCH(COLUMNS($AO$1006:AY1006),$AO$1006:$BQ$1006,0))&gt;=100000), " ",IF(INDEX($AO$2:$BQ$1001,MATCH(ROWS($AH$2:AH40),$AH$2:$AH$1001,0),MATCH(COLUMNS($AO$1006:AY1006),$AO$1006:$BQ$1006,0)), HYPERLINK("#",""), HYPERLINK(CONCATENATE("#Metadata!", ADDRESS(INDEX($AJ$2:$AJ$1001,MATCH(ROWS($AH$2:AH40),$AH$2:$AH$1001,0),0), INDEX($AO$1004:$BQ$1004,1,MATCH(COLUMNS($AO$1006:AY1006),$AO$1006:$BQ$1006,0)))),"Fix")))</f>
        <v>#N/A</v>
      </c>
      <c r="M40" s="5" t="e">
        <f ca="1">IF(OR(INDEX($AI$2:$AI$1001,MATCH(ROWS($AH$2:AH40),$AH$2:$AH$1001,0),1)&gt;=100000,INDEX($AO$1005:$BQ$1005,1,MATCH(COLUMNS($AO$1006:AZ1006),$AO$1006:$BQ$1006,0))&gt;=100000), " ",IF(INDEX($AO$2:$BQ$1001,MATCH(ROWS($AH$2:AH40),$AH$2:$AH$1001,0),MATCH(COLUMNS($AO$1006:AZ1006),$AO$1006:$BQ$1006,0)), HYPERLINK("#",""), HYPERLINK(CONCATENATE("#Metadata!", ADDRESS(INDEX($AJ$2:$AJ$1001,MATCH(ROWS($AH$2:AH40),$AH$2:$AH$1001,0),0), INDEX($AO$1004:$BQ$1004,1,MATCH(COLUMNS($AO$1006:AZ1006),$AO$1006:$BQ$1006,0)))),"Fix")))</f>
        <v>#N/A</v>
      </c>
      <c r="N40" s="5" t="e">
        <f ca="1">IF(OR(INDEX($AI$2:$AI$1001,MATCH(ROWS($AH$2:AH40),$AH$2:$AH$1001,0),1)&gt;=100000,INDEX($AO$1005:$BQ$1005,1,MATCH(COLUMNS($AO$1006:BA1006),$AO$1006:$BQ$1006,0))&gt;=100000), " ",IF(INDEX($AO$2:$BQ$1001,MATCH(ROWS($AH$2:AH40),$AH$2:$AH$1001,0),MATCH(COLUMNS($AO$1006:BA1006),$AO$1006:$BQ$1006,0)), HYPERLINK("#",""), HYPERLINK(CONCATENATE("#Metadata!", ADDRESS(INDEX($AJ$2:$AJ$1001,MATCH(ROWS($AH$2:AH40),$AH$2:$AH$1001,0),0), INDEX($AO$1004:$BQ$1004,1,MATCH(COLUMNS($AO$1006:BA1006),$AO$1006:$BQ$1006,0)))),"Fix")))</f>
        <v>#N/A</v>
      </c>
      <c r="O40" s="5" t="e">
        <f ca="1">IF(OR(INDEX($AI$2:$AI$1001,MATCH(ROWS($AH$2:AH40),$AH$2:$AH$1001,0),1)&gt;=100000,INDEX($AO$1005:$BQ$1005,1,MATCH(COLUMNS($AO$1006:BB1006),$AO$1006:$BQ$1006,0))&gt;=100000), " ",IF(INDEX($AO$2:$BQ$1001,MATCH(ROWS($AH$2:AH40),$AH$2:$AH$1001,0),MATCH(COLUMNS($AO$1006:BB1006),$AO$1006:$BQ$1006,0)), HYPERLINK("#",""), HYPERLINK(CONCATENATE("#Metadata!", ADDRESS(INDEX($AJ$2:$AJ$1001,MATCH(ROWS($AH$2:AH40),$AH$2:$AH$1001,0),0), INDEX($AO$1004:$BQ$1004,1,MATCH(COLUMNS($AO$1006:BB1006),$AO$1006:$BQ$1006,0)))),"Fix")))</f>
        <v>#N/A</v>
      </c>
      <c r="P40" s="5" t="e">
        <f ca="1">IF(OR(INDEX($AI$2:$AI$1001,MATCH(ROWS($AH$2:AH40),$AH$2:$AH$1001,0),1)&gt;=100000,INDEX($AO$1005:$BQ$1005,1,MATCH(COLUMNS($AO$1006:BC1006),$AO$1006:$BQ$1006,0))&gt;=100000), " ",IF(INDEX($AO$2:$BQ$1001,MATCH(ROWS($AH$2:AH40),$AH$2:$AH$1001,0),MATCH(COLUMNS($AO$1006:BC1006),$AO$1006:$BQ$1006,0)), HYPERLINK("#",""), HYPERLINK(CONCATENATE("#Metadata!", ADDRESS(INDEX($AJ$2:$AJ$1001,MATCH(ROWS($AH$2:AH40),$AH$2:$AH$1001,0),0), INDEX($AO$1004:$BQ$1004,1,MATCH(COLUMNS($AO$1006:BC1006),$AO$1006:$BQ$1006,0)))),"Fix")))</f>
        <v>#N/A</v>
      </c>
      <c r="Q40" s="5" t="e">
        <f ca="1">IF(OR(INDEX($AI$2:$AI$1001,MATCH(ROWS($AH$2:AH40),$AH$2:$AH$1001,0),1)&gt;=100000,INDEX($AO$1005:$BQ$1005,1,MATCH(COLUMNS($AO$1006:BD1006),$AO$1006:$BQ$1006,0))&gt;=100000), " ",IF(INDEX($AO$2:$BQ$1001,MATCH(ROWS($AH$2:AH40),$AH$2:$AH$1001,0),MATCH(COLUMNS($AO$1006:BD1006),$AO$1006:$BQ$1006,0)), HYPERLINK("#",""), HYPERLINK(CONCATENATE("#Metadata!", ADDRESS(INDEX($AJ$2:$AJ$1001,MATCH(ROWS($AH$2:AH40),$AH$2:$AH$1001,0),0), INDEX($AO$1004:$BQ$1004,1,MATCH(COLUMNS($AO$1006:BD1006),$AO$1006:$BQ$1006,0)))),"Fix")))</f>
        <v>#N/A</v>
      </c>
      <c r="R40" s="5" t="e">
        <f ca="1">IF(OR(INDEX($AI$2:$AI$1001,MATCH(ROWS($AH$2:AH40),$AH$2:$AH$1001,0),1)&gt;=100000,INDEX($AO$1005:$BQ$1005,1,MATCH(COLUMNS($AO$1006:BE1006),$AO$1006:$BQ$1006,0))&gt;=100000), " ",IF(INDEX($AO$2:$BQ$1001,MATCH(ROWS($AH$2:AH40),$AH$2:$AH$1001,0),MATCH(COLUMNS($AO$1006:BE1006),$AO$1006:$BQ$1006,0)), HYPERLINK("#",""), HYPERLINK(CONCATENATE("#Metadata!", ADDRESS(INDEX($AJ$2:$AJ$1001,MATCH(ROWS($AH$2:AH40),$AH$2:$AH$1001,0),0), INDEX($AO$1004:$BQ$1004,1,MATCH(COLUMNS($AO$1006:BE1006),$AO$1006:$BQ$1006,0)))),"Fix")))</f>
        <v>#N/A</v>
      </c>
      <c r="S40" s="5" t="e">
        <f ca="1">IF(OR(INDEX($AI$2:$AI$1001,MATCH(ROWS($AH$2:AH40),$AH$2:$AH$1001,0),1)&gt;=100000,INDEX($AO$1005:$BQ$1005,1,MATCH(COLUMNS($AO$1006:BF1006),$AO$1006:$BQ$1006,0))&gt;=100000), " ",IF(INDEX($AO$2:$BQ$1001,MATCH(ROWS($AH$2:AH40),$AH$2:$AH$1001,0),MATCH(COLUMNS($AO$1006:BF1006),$AO$1006:$BQ$1006,0)), HYPERLINK("#",""), HYPERLINK(CONCATENATE("#Metadata!", ADDRESS(INDEX($AJ$2:$AJ$1001,MATCH(ROWS($AH$2:AH40),$AH$2:$AH$1001,0),0), INDEX($AO$1004:$BQ$1004,1,MATCH(COLUMNS($AO$1006:BF1006),$AO$1006:$BQ$1006,0)))),"Fix")))</f>
        <v>#N/A</v>
      </c>
      <c r="T40" s="5" t="e">
        <f ca="1">IF(OR(INDEX($AI$2:$AI$1001,MATCH(ROWS($AH$2:AH40),$AH$2:$AH$1001,0),1)&gt;=100000,INDEX($AO$1005:$BQ$1005,1,MATCH(COLUMNS($AO$1006:BG1006),$AO$1006:$BQ$1006,0))&gt;=100000), " ",IF(INDEX($AO$2:$BQ$1001,MATCH(ROWS($AH$2:AH40),$AH$2:$AH$1001,0),MATCH(COLUMNS($AO$1006:BG1006),$AO$1006:$BQ$1006,0)), HYPERLINK("#",""), HYPERLINK(CONCATENATE("#Metadata!", ADDRESS(INDEX($AJ$2:$AJ$1001,MATCH(ROWS($AH$2:AH40),$AH$2:$AH$1001,0),0), INDEX($AO$1004:$BQ$1004,1,MATCH(COLUMNS($AO$1006:BG1006),$AO$1006:$BQ$1006,0)))),"Fix")))</f>
        <v>#N/A</v>
      </c>
      <c r="U40" s="5" t="e">
        <f ca="1">IF(OR(INDEX($AI$2:$AI$1001,MATCH(ROWS($AH$2:AH40),$AH$2:$AH$1001,0),1)&gt;=100000,INDEX($AO$1005:$BQ$1005,1,MATCH(COLUMNS($AO$1006:BH1006),$AO$1006:$BQ$1006,0))&gt;=100000), " ",IF(INDEX($AO$2:$BQ$1001,MATCH(ROWS($AH$2:AH40),$AH$2:$AH$1001,0),MATCH(COLUMNS($AO$1006:BH1006),$AO$1006:$BQ$1006,0)), HYPERLINK("#",""), HYPERLINK(CONCATENATE("#Metadata!", ADDRESS(INDEX($AJ$2:$AJ$1001,MATCH(ROWS($AH$2:AH40),$AH$2:$AH$1001,0),0), INDEX($AO$1004:$BQ$1004,1,MATCH(COLUMNS($AO$1006:BH1006),$AO$1006:$BQ$1006,0)))),"Fix")))</f>
        <v>#N/A</v>
      </c>
      <c r="V40" s="5" t="e">
        <f ca="1">IF(OR(INDEX($AI$2:$AI$1001,MATCH(ROWS($AH$2:AH40),$AH$2:$AH$1001,0),1)&gt;=100000,INDEX($AO$1005:$BQ$1005,1,MATCH(COLUMNS($AO$1006:BI1006),$AO$1006:$BQ$1006,0))&gt;=100000), " ",IF(INDEX($AO$2:$BQ$1001,MATCH(ROWS($AH$2:AH40),$AH$2:$AH$1001,0),MATCH(COLUMNS($AO$1006:BI1006),$AO$1006:$BQ$1006,0)), HYPERLINK("#",""), HYPERLINK(CONCATENATE("#Metadata!", ADDRESS(INDEX($AJ$2:$AJ$1001,MATCH(ROWS($AH$2:AH40),$AH$2:$AH$1001,0),0), INDEX($AO$1004:$BQ$1004,1,MATCH(COLUMNS($AO$1006:BI1006),$AO$1006:$BQ$1006,0)))),"Fix")))</f>
        <v>#N/A</v>
      </c>
      <c r="W40" s="5" t="e">
        <f ca="1">IF(OR(INDEX($AI$2:$AI$1001,MATCH(ROWS($AH$2:AH40),$AH$2:$AH$1001,0),1)&gt;=100000,INDEX($AO$1005:$BQ$1005,1,MATCH(COLUMNS($AO$1006:BJ1006),$AO$1006:$BQ$1006,0))&gt;=100000), " ",IF(INDEX($AO$2:$BQ$1001,MATCH(ROWS($AH$2:AH40),$AH$2:$AH$1001,0),MATCH(COLUMNS($AO$1006:BJ1006),$AO$1006:$BQ$1006,0)), HYPERLINK("#",""), HYPERLINK(CONCATENATE("#Metadata!", ADDRESS(INDEX($AJ$2:$AJ$1001,MATCH(ROWS($AH$2:AH40),$AH$2:$AH$1001,0),0), INDEX($AO$1004:$BQ$1004,1,MATCH(COLUMNS($AO$1006:BJ1006),$AO$1006:$BQ$1006,0)))),"Fix")))</f>
        <v>#N/A</v>
      </c>
      <c r="X40" s="5" t="e">
        <f ca="1">IF(OR(INDEX($AI$2:$AI$1001,MATCH(ROWS($AH$2:AH40),$AH$2:$AH$1001,0),1)&gt;=100000,INDEX($AO$1005:$BQ$1005,1,MATCH(COLUMNS($AO$1006:BK1006),$AO$1006:$BQ$1006,0))&gt;=100000), " ",IF(INDEX($AO$2:$BQ$1001,MATCH(ROWS($AH$2:AH40),$AH$2:$AH$1001,0),MATCH(COLUMNS($AO$1006:BK1006),$AO$1006:$BQ$1006,0)), HYPERLINK("#",""), HYPERLINK(CONCATENATE("#Metadata!", ADDRESS(INDEX($AJ$2:$AJ$1001,MATCH(ROWS($AH$2:AH40),$AH$2:$AH$1001,0),0), INDEX($AO$1004:$BQ$1004,1,MATCH(COLUMNS($AO$1006:BK1006),$AO$1006:$BQ$1006,0)))),"Fix")))</f>
        <v>#N/A</v>
      </c>
      <c r="Y40" s="5" t="e">
        <f ca="1">IF(OR(INDEX($AI$2:$AI$1001,MATCH(ROWS($AH$2:AH40),$AH$2:$AH$1001,0),1)&gt;=100000,INDEX($AO$1005:$BQ$1005,1,MATCH(COLUMNS($AO$1006:BL1006),$AO$1006:$BQ$1006,0))&gt;=100000), " ",IF(INDEX($AO$2:$BQ$1001,MATCH(ROWS($AH$2:AH40),$AH$2:$AH$1001,0),MATCH(COLUMNS($AO$1006:BL1006),$AO$1006:$BQ$1006,0)), HYPERLINK("#",""), HYPERLINK(CONCATENATE("#Metadata!", ADDRESS(INDEX($AJ$2:$AJ$1001,MATCH(ROWS($AH$2:AH40),$AH$2:$AH$1001,0),0), INDEX($AO$1004:$BQ$1004,1,MATCH(COLUMNS($AO$1006:BL1006),$AO$1006:$BQ$1006,0)))),"Fix")))</f>
        <v>#N/A</v>
      </c>
      <c r="Z40" s="5" t="e">
        <f ca="1">IF(OR(INDEX($AI$2:$AI$1001,MATCH(ROWS($AH$2:AH40),$AH$2:$AH$1001,0),1)&gt;=100000,INDEX($AO$1005:$BQ$1005,1,MATCH(COLUMNS($AO$1006:BM1006),$AO$1006:$BQ$1006,0))&gt;=100000), " ",IF(INDEX($AO$2:$BQ$1001,MATCH(ROWS($AH$2:AH40),$AH$2:$AH$1001,0),MATCH(COLUMNS($AO$1006:BM1006),$AO$1006:$BQ$1006,0)), HYPERLINK("#",""), HYPERLINK(CONCATENATE("#Metadata!", ADDRESS(INDEX($AJ$2:$AJ$1001,MATCH(ROWS($AH$2:AH40),$AH$2:$AH$1001,0),0), INDEX($AO$1004:$BQ$1004,1,MATCH(COLUMNS($AO$1006:BM1006),$AO$1006:$BQ$1006,0)))),"Fix")))</f>
        <v>#N/A</v>
      </c>
      <c r="AA40" s="5" t="e">
        <f ca="1">IF(OR(INDEX($AI$2:$AI$1001,MATCH(ROWS($AH$2:AH40),$AH$2:$AH$1001,0),1)&gt;=100000,INDEX($AO$1005:$BQ$1005,1,MATCH(COLUMNS($AO$1006:BN1006),$AO$1006:$BQ$1006,0))&gt;=100000), " ",IF(INDEX($AO$2:$BQ$1001,MATCH(ROWS($AH$2:AH40),$AH$2:$AH$1001,0),MATCH(COLUMNS($AO$1006:BN1006),$AO$1006:$BQ$1006,0)), HYPERLINK("#",""), HYPERLINK(CONCATENATE("#Metadata!", ADDRESS(INDEX($AJ$2:$AJ$1001,MATCH(ROWS($AH$2:AH40),$AH$2:$AH$1001,0),0), INDEX($AO$1004:$BQ$1004,1,MATCH(COLUMNS($AO$1006:BN1006),$AO$1006:$BQ$1006,0)))),"Fix")))</f>
        <v>#N/A</v>
      </c>
      <c r="AB40" s="5" t="e">
        <f ca="1">IF(OR(INDEX($AI$2:$AI$1001,MATCH(ROWS($AH$2:AH40),$AH$2:$AH$1001,0),1)&gt;=100000,INDEX($AO$1005:$BQ$1005,1,MATCH(COLUMNS($AO$1006:BO1006),$AO$1006:$BQ$1006,0))&gt;=100000), " ",IF(INDEX($AO$2:$BQ$1001,MATCH(ROWS($AH$2:AH40),$AH$2:$AH$1001,0),MATCH(COLUMNS($AO$1006:BO1006),$AO$1006:$BQ$1006,0)), HYPERLINK("#",""), HYPERLINK(CONCATENATE("#Metadata!", ADDRESS(INDEX($AJ$2:$AJ$1001,MATCH(ROWS($AH$2:AH40),$AH$2:$AH$1001,0),0), INDEX($AO$1004:$BQ$1004,1,MATCH(COLUMNS($AO$1006:BO1006),$AO$1006:$BQ$1006,0)))),"Fix")))</f>
        <v>#N/A</v>
      </c>
      <c r="AC40" s="5" t="e">
        <f ca="1">IF(OR(INDEX($AI$2:$AI$1001,MATCH(ROWS($AH$2:AH40),$AH$2:$AH$1001,0),1)&gt;=100000,INDEX($AO$1005:$BQ$1005,1,MATCH(COLUMNS($AO$1006:BP1006),$AO$1006:$BQ$1006,0))&gt;=100000), " ",IF(INDEX($AO$2:$BQ$1001,MATCH(ROWS($AH$2:AH40),$AH$2:$AH$1001,0),MATCH(COLUMNS($AO$1006:BP1006),$AO$1006:$BQ$1006,0)), HYPERLINK("#",""), HYPERLINK(CONCATENATE("#Metadata!", ADDRESS(INDEX($AJ$2:$AJ$1001,MATCH(ROWS($AH$2:AH40),$AH$2:$AH$1001,0),0), INDEX($AO$1004:$BQ$1004,1,MATCH(COLUMNS($AO$1006:BP1006),$AO$1006:$BQ$1006,0)))),"Fix")))</f>
        <v>#N/A</v>
      </c>
      <c r="AD40" s="5" t="e">
        <f ca="1">IF(OR(INDEX($AI$2:$AI$1001,MATCH(ROWS($AH$2:AH40),$AH$2:$AH$1001,0),1)&gt;=100000,INDEX($AO$1005:$BQ$1005,1,MATCH(COLUMNS($AO$1006:BQ1006),$AO$1006:$BQ$1006,0))&gt;=100000), " ",IF(INDEX($AO$2:$BQ$1001,MATCH(ROWS($AH$2:AH40),$AH$2:$AH$1001,0),MATCH(COLUMNS($AO$1006:BQ1006),$AO$1006:$BQ$1006,0)), HYPERLINK("#",""), HYPERLINK(CONCATENATE("#Metadata!", ADDRESS(INDEX($AJ$2:$AJ$1001,MATCH(ROWS($AH$2:AH40),$AH$2:$AH$1001,0),0), INDEX($AO$1004:$BQ$1004,1,MATCH(COLUMNS($AO$1006:BQ1006),$AO$1006:$BQ$1006,0)))),"Fix")))</f>
        <v>#REF!</v>
      </c>
      <c r="AH40">
        <f ca="1"/>
        <v>37</v>
      </c>
      <c r="AI40">
        <f ca="1"/>
        <v>40</v>
      </c>
      <c r="AJ40">
        <v>40</v>
      </c>
      <c r="AK40" t="b">
        <f t="shared" ca="1" si="0"/>
        <v>0</v>
      </c>
      <c r="AL40" t="b">
        <f>COUNTBLANK(Metadata!B40:AD40)=COLUMNS(Metadata!B40:AD40)</f>
        <v>0</v>
      </c>
      <c r="AM40" t="str">
        <v>Environment.Lake.water.BTP.36.5Lake.water</v>
      </c>
      <c r="AO40" t="b">
        <f ca="1">AND(IF(Metadata!B39="",FALSE,TRUE),COUNTIF(Metadata!B:B, Metadata!B39) = 1,NOT(ISERROR(SUMPRODUCT(SEARCH(MID(Metadata!B39,ROW(INDIRECT("1:"&amp;LEN(Metadata!B39))), 1),"0123456789abcdefghijklmnopqrstuvwxyzABCDEFGHIJKLMNOPQRSTUVWXYZ.")))))</f>
        <v>1</v>
      </c>
      <c r="AP40" t="b">
        <f>IF(Metadata!C39="",FALSE,TRUE)</f>
        <v>1</v>
      </c>
      <c r="AQ40" t="b">
        <f>IF(Metadata!D39="",FALSE,TRUE)</f>
        <v>1</v>
      </c>
      <c r="AR40" t="b">
        <f ca="1">OR(AND(IF(Metadata!E39="",FALSE,TRUE),OR(EXACT(Metadata!E39,"not collected"),EXACT(Metadata!E39,"not provided"),EXACT(Metadata!E39,"restricted access"))),AND(IF(Metadata!E39="",FALSE,TRUE),AND(AND(IFERROR(INT(LEFT(Metadata!E39,4))&gt;1900,FALSE),IFERROR(INT(LEFT(Metadata!E39,4))&lt;=YEAR(NOW()),FALSE)), OR(MID(Metadata!E39,5,1)="", AND(AND(MID(Metadata!E39,5,1)="-",IFERROR(INT(MID(Metadata!E39,6,1))&gt;=0,FALSE),IFERROR(INT(MID(Metadata!E39,6,1))&lt;=1,FALSE),NOT(MID(Metadata!E39,7,1)=""),IFERROR(INT(MID(Metadata!E39,6,2))&gt;=1,FALSE),IFERROR(INT(MID(Metadata!E39,6,2))&lt;=12,FALSE)), OR(MID(Metadata!E39,8,1)="", AND(AND(MID(Metadata!E39,8,1)="-",IFERROR(INT(MID(Metadata!E39,9,1))&gt;=0,FALSE),IFERROR(INT(MID(Metadata!E39,9,1))&lt;=3,FALSE),NOT(MID(Metadata!E39,10,1)=""),IFERROR(INT(MID(Metadata!E39,9,2))&gt;=1,FALSE),IFERROR(INT(MID(Metadata!E39,9,2))&lt;=31,FALSE)), OR(MID(Metadata!E39,11,1)="", AND(AND(MID(Metadata!E39,11,1)=" ",IFERROR(INT(MID(Metadata!E39,12,1))&gt;=0,FALSE),IFERROR(INT(MID(Metadata!E39,12,1))&lt;=2,FALSE),NOT(MID(Metadata!E39,13,1)=""),IFERROR(INT(MID(Metadata!E39,12,2))&gt;=0,FALSE),IFERROR(INT(MID(Metadata!E39,12,2))&lt;=23,FALSE)), OR(MID(Metadata!E39,14,1)="", AND(AND(MID(Metadata!E39,14,1)=":",IFERROR(INT(MID(Metadata!E39,15,1))&gt;=0,FALSE),IFERROR(INT(MID(Metadata!E39,15,1))&lt;=5,FALSE),NOT(MID(Metadata!E39,16,1)=""),IFERROR(INT(MID(Metadata!E39,15,2))&gt;=0,FALSE),IFERROR(INT(MID(Metadata!E39,15,2))&lt;=59,FALSE)), OR(MID(Metadata!E39,17,1)="", AND(AND(MID(Metadata!E39,17,1)=":",IFERROR(INT(MID(Metadata!E39,18,1))&gt;=0,FALSE),IFERROR(INT(MID(Metadata!E39,18,1))&lt;=5,FALSE),NOT(MID(Metadata!E39,19,1)=""),IFERROR(INT(MID(Metadata!E39,18,2))&gt;=0,FALSE),IFERROR(INT(MID(Metadata!E39,18,2))&lt;=59,FALSE)), LEN(Metadata!E39)&lt;=19)))))))))))))</f>
        <v>0</v>
      </c>
      <c r="AS40" t="b">
        <f>IF(Metadata!F39="",FALSE,TRUE)</f>
        <v>1</v>
      </c>
      <c r="AT40" t="b">
        <f>OR(AND(IF(Metadata!G39="",FALSE,TRUE),OR(EXACT(Metadata!G39,"not collected"),EXACT(Metadata!G39,"not provided"))),AND(IF(Metadata!G39="",FALSE,TRUE),OR(EXACT(Metadata!G39,"TRUE"),EXACT(Metadata!G39,"FALSE"))))</f>
        <v>1</v>
      </c>
      <c r="AU40" t="b">
        <f>OR(AND(IF(Metadata!H39="",FALSE,TRUE),OR(EXACT(Metadata!H39,"not collected"),EXACT(Metadata!H39,"not provided"),EXACT(Metadata!H39,"restricted access"))),AND(IF(Metadata!H39="",FALSE,ISNUMBER(VALUE(Metadata!H39))),Metadata!H39&gt;=-413))</f>
        <v>0</v>
      </c>
      <c r="AV40" t="b">
        <f>AND(IF(Metadata!I39="",FALSE,TRUE),EXACT(Metadata!I39,"meters"))</f>
        <v>1</v>
      </c>
      <c r="AW40" t="b">
        <f>AND(IF(Metadata!J39="",FALSE,TRUE),EXACT(Metadata!J39,"free-living"))</f>
        <v>1</v>
      </c>
      <c r="AX40" t="b">
        <f>AND(IF(Metadata!K39="",FALSE,TRUE),OR(EXACT(Metadata!K39,"saline"),EXACT(Metadata!K39,"non-saline")))</f>
        <v>1</v>
      </c>
      <c r="AY40" t="b">
        <f>AND(IF(Metadata!L39="",FALSE,TRUE),OR(EXACT(Metadata!L39,"sub-surface (non-saline)"),EXACT(Metadata!L39,"surface (non-saline)"),EXACT(Metadata!L39,"water (non-saline)"),EXACT(Metadata!L39,"soil (non-saline)"),EXACT(Metadata!L39,"aerosol (non-saline)"),EXACT(Metadata!L39,"sediment (non-saline)"),EXACT(Metadata!L39,"surface (saline)"),EXACT(Metadata!L39,"water (saline)"),EXACT(Metadata!L39,"hypersaline (saline)"),EXACT(Metadata!L39,"aerosol (saline)"),EXACT(Metadata!L39,"sediment (saline)")))</f>
        <v>1</v>
      </c>
      <c r="AZ40" t="b">
        <f>IF(Metadata!M39="",FALSE,TRUE)</f>
        <v>1</v>
      </c>
      <c r="BA40" t="b">
        <f>IF(Metadata!N39="",FALSE,TRUE)</f>
        <v>1</v>
      </c>
      <c r="BB40" t="b">
        <f>IF(Metadata!O39="",FALSE,TRUE)</f>
        <v>1</v>
      </c>
      <c r="BC40" t="b">
        <f>AND(IF(Metadata!P39="",FALSE,TRUE),OR(EXACT(Metadata!P39,"air"),EXACT(Metadata!P39,"microbial mat/biofilm"),EXACT(Metadata!P39,"misc environment"),EXACT(Metadata!P39,"sediment"),EXACT(Metadata!P39,"soil"),EXACT(Metadata!P39,"wastewater/sludge"),EXACT(Metadata!P39,"water")))</f>
        <v>1</v>
      </c>
      <c r="BD40" t="b">
        <f>IF(Metadata!Q39="",FALSE,TRUE)</f>
        <v>1</v>
      </c>
      <c r="BE40" t="b">
        <f>IF(Metadata!R39="",FALSE,TRUE)</f>
        <v>1</v>
      </c>
      <c r="BF40" t="b">
        <f>OR(AND(IF(Metadata!S39="",FALSE,TRUE),OR(EXACT(Metadata!S39,"not collected"),EXACT(Metadata!S39,"not provided"),EXACT(Metadata!S39,"restricted access"))),AND(IF(Metadata!S39="",FALSE,ISNUMBER(VALUE(Metadata!S39))),Metadata!S39&gt;=-90,Metadata!S39&lt;=90))</f>
        <v>0</v>
      </c>
      <c r="BG40" t="b">
        <f>AND(IF(Metadata!T39="",FALSE,TRUE),EXACT(Metadata!T39,"Decimal degrees"))</f>
        <v>1</v>
      </c>
      <c r="BH40" t="b">
        <f>OR(AND(IF(Metadata!U39="",FALSE,TRUE),OR(EXACT(Metadata!U39,"not applicable"),EXACT(Metadata!U39,"not collected"))),IF(Metadata!U39="",FALSE,TRUE))</f>
        <v>1</v>
      </c>
      <c r="BI40" t="b">
        <f>OR(AND(IF(Metadata!V39="",FALSE,TRUE),OR(EXACT(Metadata!V39,"not collected"),EXACT(Metadata!V39,"not provided"),EXACT(Metadata!V39,"restricted access"))),AND(IF(Metadata!V39="",FALSE,ISNUMBER(VALUE(Metadata!V39))),Metadata!V39&gt;=-180,Metadata!V39&lt;=180))</f>
        <v>0</v>
      </c>
      <c r="BJ40" t="b">
        <f>AND(IF(Metadata!W39="",FALSE,TRUE),EXACT(Metadata!W39,"Decimal degrees"))</f>
        <v>1</v>
      </c>
      <c r="BK40" t="b">
        <f>IF(Metadata!X39="",FALSE,TRUE)</f>
        <v>1</v>
      </c>
      <c r="BL40" t="b">
        <f>OR(AND(IF(Metadata!Y39="",FALSE,TRUE),OR(EXACT(Metadata!Y39,"not collected"),EXACT(Metadata!Y39,"not provided"),EXACT(Metadata!Y39,"restricted access"))),AND(IF(Metadata!Y39="",FALSE,TRUE),OR(EXACT(Metadata!Y39,"TRUE"),EXACT(Metadata!Y39,"FALSE"))))</f>
        <v>1</v>
      </c>
      <c r="BM40" t="b">
        <f>OR(AND(IF(Metadata!Z39="",FALSE,TRUE),EXACT(Metadata!Z39,"not applicable")),AND(IF(Metadata!Z39="",FALSE,TRUE),OR(EXACT(Metadata!Z39,"beer"),EXACT(Metadata!Z39,"cheese"),EXACT(Metadata!Z39,"fresh water"),EXACT(Metadata!Z39,"marine sediment"),EXACT(Metadata!Z39,"sea water"),EXACT(Metadata!Z39,"sediment"),EXACT(Metadata!Z39,"soil"),EXACT(Metadata!Z39,"waste water"))))</f>
        <v>1</v>
      </c>
      <c r="BN40" t="b">
        <f>AND(IF(Metadata!AA39="",FALSE,TRUE),EXACT(Metadata!AA39,"metagenome"))</f>
        <v>1</v>
      </c>
      <c r="BO40" t="b">
        <f>AND(IF(Metadata!AB39="",FALSE,TRUE),EXACT(Metadata!AB39,"256318"))</f>
        <v>1</v>
      </c>
      <c r="BP40" t="b">
        <f>IF(Metadata!AC39="",FALSE,TRUE)</f>
        <v>1</v>
      </c>
      <c r="BQ40" t="b">
        <f>IF(Metadata!AD39="",FALSE,TRUE)</f>
        <v>1</v>
      </c>
    </row>
    <row r="41" spans="1:69" x14ac:dyDescent="0.2">
      <c r="A41" s="4" t="e">
        <f ca="1">IF(B41=" "," ",HYPERLINK(CONCATENATE("#metadata!",ADDRESS(INDEX($AJ$2:$AJ$1001,MATCH(ROWS($AH$2:AH41),$AH$2:$AH$1001,0),0),2)),INDEX($AM$2:$AM$1001,MATCH(ROWS($AH$2:AH41),$AH$2:$AH$1001,0),0)))</f>
        <v>#N/A</v>
      </c>
      <c r="B41" s="5" t="e">
        <f ca="1">IF(OR(INDEX($AI$2:$AI$1001,MATCH(ROWS($AH$2:AH41),$AH$2:$AH$1001,0),1)&gt;=100000,INDEX($AO$1005:$BQ$1005,1,MATCH(COLUMNS($AO$1006:AO1006),$AO$1006:$BQ$1006,0))&gt;=100000), " ",IF(INDEX($AO$2:$BQ$1001,MATCH(ROWS($AH$2:AH41),$AH$2:$AH$1001,0),MATCH(COLUMNS($AO$1006:AO1006),$AO$1006:$BQ$1006,0)), HYPERLINK("#",""), HYPERLINK(CONCATENATE("#Metadata!", ADDRESS(INDEX($AJ$2:$AJ$1001,MATCH(ROWS($AH$2:AH41),$AH$2:$AH$1001,0),0), INDEX($AO$1004:$BQ$1004,1,MATCH(COLUMNS($AO$1006:AO1006),$AO$1006:$BQ$1006,0)))),"Fix")))</f>
        <v>#N/A</v>
      </c>
      <c r="C41" s="5" t="e">
        <f ca="1">IF(OR(INDEX($AI$2:$AI$1001,MATCH(ROWS($AH$2:AH41),$AH$2:$AH$1001,0),1)&gt;=100000,INDEX($AO$1005:$BQ$1005,1,MATCH(COLUMNS($AO$1006:AP1006),$AO$1006:$BQ$1006,0))&gt;=100000), " ",IF(INDEX($AO$2:$BQ$1001,MATCH(ROWS($AH$2:AH41),$AH$2:$AH$1001,0),MATCH(COLUMNS($AO$1006:AP1006),$AO$1006:$BQ$1006,0)), HYPERLINK("#",""), HYPERLINK(CONCATENATE("#Metadata!", ADDRESS(INDEX($AJ$2:$AJ$1001,MATCH(ROWS($AH$2:AH41),$AH$2:$AH$1001,0),0), INDEX($AO$1004:$BQ$1004,1,MATCH(COLUMNS($AO$1006:AP1006),$AO$1006:$BQ$1006,0)))),"Fix")))</f>
        <v>#N/A</v>
      </c>
      <c r="D41" s="5" t="e">
        <f ca="1">IF(OR(INDEX($AI$2:$AI$1001,MATCH(ROWS($AH$2:AH41),$AH$2:$AH$1001,0),1)&gt;=100000,INDEX($AO$1005:$BQ$1005,1,MATCH(COLUMNS($AO$1006:AQ1006),$AO$1006:$BQ$1006,0))&gt;=100000), " ",IF(INDEX($AO$2:$BQ$1001,MATCH(ROWS($AH$2:AH41),$AH$2:$AH$1001,0),MATCH(COLUMNS($AO$1006:AQ1006),$AO$1006:$BQ$1006,0)), HYPERLINK("#",""), HYPERLINK(CONCATENATE("#Metadata!", ADDRESS(INDEX($AJ$2:$AJ$1001,MATCH(ROWS($AH$2:AH41),$AH$2:$AH$1001,0),0), INDEX($AO$1004:$BQ$1004,1,MATCH(COLUMNS($AO$1006:AQ1006),$AO$1006:$BQ$1006,0)))),"Fix")))</f>
        <v>#N/A</v>
      </c>
      <c r="E41" s="5" t="e">
        <f ca="1">IF(OR(INDEX($AI$2:$AI$1001,MATCH(ROWS($AH$2:AH41),$AH$2:$AH$1001,0),1)&gt;=100000,INDEX($AO$1005:$BQ$1005,1,MATCH(COLUMNS($AO$1006:AR1006),$AO$1006:$BQ$1006,0))&gt;=100000), " ",IF(INDEX($AO$2:$BQ$1001,MATCH(ROWS($AH$2:AH41),$AH$2:$AH$1001,0),MATCH(COLUMNS($AO$1006:AR1006),$AO$1006:$BQ$1006,0)), HYPERLINK("#",""), HYPERLINK(CONCATENATE("#Metadata!", ADDRESS(INDEX($AJ$2:$AJ$1001,MATCH(ROWS($AH$2:AH41),$AH$2:$AH$1001,0),0), INDEX($AO$1004:$BQ$1004,1,MATCH(COLUMNS($AO$1006:AR1006),$AO$1006:$BQ$1006,0)))),"Fix")))</f>
        <v>#N/A</v>
      </c>
      <c r="F41" s="5" t="e">
        <f ca="1">IF(OR(INDEX($AI$2:$AI$1001,MATCH(ROWS($AH$2:AH41),$AH$2:$AH$1001,0),1)&gt;=100000,INDEX($AO$1005:$BQ$1005,1,MATCH(COLUMNS($AO$1006:AS1006),$AO$1006:$BQ$1006,0))&gt;=100000), " ",IF(INDEX($AO$2:$BQ$1001,MATCH(ROWS($AH$2:AH41),$AH$2:$AH$1001,0),MATCH(COLUMNS($AO$1006:AS1006),$AO$1006:$BQ$1006,0)), HYPERLINK("#",""), HYPERLINK(CONCATENATE("#Metadata!", ADDRESS(INDEX($AJ$2:$AJ$1001,MATCH(ROWS($AH$2:AH41),$AH$2:$AH$1001,0),0), INDEX($AO$1004:$BQ$1004,1,MATCH(COLUMNS($AO$1006:AS1006),$AO$1006:$BQ$1006,0)))),"Fix")))</f>
        <v>#N/A</v>
      </c>
      <c r="G41" s="5" t="e">
        <f ca="1">IF(OR(INDEX($AI$2:$AI$1001,MATCH(ROWS($AH$2:AH41),$AH$2:$AH$1001,0),1)&gt;=100000,INDEX($AO$1005:$BQ$1005,1,MATCH(COLUMNS($AO$1006:AT1006),$AO$1006:$BQ$1006,0))&gt;=100000), " ",IF(INDEX($AO$2:$BQ$1001,MATCH(ROWS($AH$2:AH41),$AH$2:$AH$1001,0),MATCH(COLUMNS($AO$1006:AT1006),$AO$1006:$BQ$1006,0)), HYPERLINK("#",""), HYPERLINK(CONCATENATE("#Metadata!", ADDRESS(INDEX($AJ$2:$AJ$1001,MATCH(ROWS($AH$2:AH41),$AH$2:$AH$1001,0),0), INDEX($AO$1004:$BQ$1004,1,MATCH(COLUMNS($AO$1006:AT1006),$AO$1006:$BQ$1006,0)))),"Fix")))</f>
        <v>#N/A</v>
      </c>
      <c r="H41" s="5" t="e">
        <f ca="1">IF(OR(INDEX($AI$2:$AI$1001,MATCH(ROWS($AH$2:AH41),$AH$2:$AH$1001,0),1)&gt;=100000,INDEX($AO$1005:$BQ$1005,1,MATCH(COLUMNS($AO$1006:AU1006),$AO$1006:$BQ$1006,0))&gt;=100000), " ",IF(INDEX($AO$2:$BQ$1001,MATCH(ROWS($AH$2:AH41),$AH$2:$AH$1001,0),MATCH(COLUMNS($AO$1006:AU1006),$AO$1006:$BQ$1006,0)), HYPERLINK("#",""), HYPERLINK(CONCATENATE("#Metadata!", ADDRESS(INDEX($AJ$2:$AJ$1001,MATCH(ROWS($AH$2:AH41),$AH$2:$AH$1001,0),0), INDEX($AO$1004:$BQ$1004,1,MATCH(COLUMNS($AO$1006:AU1006),$AO$1006:$BQ$1006,0)))),"Fix")))</f>
        <v>#N/A</v>
      </c>
      <c r="I41" s="5" t="e">
        <f ca="1">IF(OR(INDEX($AI$2:$AI$1001,MATCH(ROWS($AH$2:AH41),$AH$2:$AH$1001,0),1)&gt;=100000,INDEX($AO$1005:$BQ$1005,1,MATCH(COLUMNS($AO$1006:AV1006),$AO$1006:$BQ$1006,0))&gt;=100000), " ",IF(INDEX($AO$2:$BQ$1001,MATCH(ROWS($AH$2:AH41),$AH$2:$AH$1001,0),MATCH(COLUMNS($AO$1006:AV1006),$AO$1006:$BQ$1006,0)), HYPERLINK("#",""), HYPERLINK(CONCATENATE("#Metadata!", ADDRESS(INDEX($AJ$2:$AJ$1001,MATCH(ROWS($AH$2:AH41),$AH$2:$AH$1001,0),0), INDEX($AO$1004:$BQ$1004,1,MATCH(COLUMNS($AO$1006:AV1006),$AO$1006:$BQ$1006,0)))),"Fix")))</f>
        <v>#N/A</v>
      </c>
      <c r="J41" s="5" t="e">
        <f ca="1">IF(OR(INDEX($AI$2:$AI$1001,MATCH(ROWS($AH$2:AH41),$AH$2:$AH$1001,0),1)&gt;=100000,INDEX($AO$1005:$BQ$1005,1,MATCH(COLUMNS($AO$1006:AW1006),$AO$1006:$BQ$1006,0))&gt;=100000), " ",IF(INDEX($AO$2:$BQ$1001,MATCH(ROWS($AH$2:AH41),$AH$2:$AH$1001,0),MATCH(COLUMNS($AO$1006:AW1006),$AO$1006:$BQ$1006,0)), HYPERLINK("#",""), HYPERLINK(CONCATENATE("#Metadata!", ADDRESS(INDEX($AJ$2:$AJ$1001,MATCH(ROWS($AH$2:AH41),$AH$2:$AH$1001,0),0), INDEX($AO$1004:$BQ$1004,1,MATCH(COLUMNS($AO$1006:AW1006),$AO$1006:$BQ$1006,0)))),"Fix")))</f>
        <v>#N/A</v>
      </c>
      <c r="K41" s="5" t="e">
        <f ca="1">IF(OR(INDEX($AI$2:$AI$1001,MATCH(ROWS($AH$2:AH41),$AH$2:$AH$1001,0),1)&gt;=100000,INDEX($AO$1005:$BQ$1005,1,MATCH(COLUMNS($AO$1006:AX1006),$AO$1006:$BQ$1006,0))&gt;=100000), " ",IF(INDEX($AO$2:$BQ$1001,MATCH(ROWS($AH$2:AH41),$AH$2:$AH$1001,0),MATCH(COLUMNS($AO$1006:AX1006),$AO$1006:$BQ$1006,0)), HYPERLINK("#",""), HYPERLINK(CONCATENATE("#Metadata!", ADDRESS(INDEX($AJ$2:$AJ$1001,MATCH(ROWS($AH$2:AH41),$AH$2:$AH$1001,0),0), INDEX($AO$1004:$BQ$1004,1,MATCH(COLUMNS($AO$1006:AX1006),$AO$1006:$BQ$1006,0)))),"Fix")))</f>
        <v>#N/A</v>
      </c>
      <c r="L41" s="5" t="e">
        <f ca="1">IF(OR(INDEX($AI$2:$AI$1001,MATCH(ROWS($AH$2:AH41),$AH$2:$AH$1001,0),1)&gt;=100000,INDEX($AO$1005:$BQ$1005,1,MATCH(COLUMNS($AO$1006:AY1006),$AO$1006:$BQ$1006,0))&gt;=100000), " ",IF(INDEX($AO$2:$BQ$1001,MATCH(ROWS($AH$2:AH41),$AH$2:$AH$1001,0),MATCH(COLUMNS($AO$1006:AY1006),$AO$1006:$BQ$1006,0)), HYPERLINK("#",""), HYPERLINK(CONCATENATE("#Metadata!", ADDRESS(INDEX($AJ$2:$AJ$1001,MATCH(ROWS($AH$2:AH41),$AH$2:$AH$1001,0),0), INDEX($AO$1004:$BQ$1004,1,MATCH(COLUMNS($AO$1006:AY1006),$AO$1006:$BQ$1006,0)))),"Fix")))</f>
        <v>#N/A</v>
      </c>
      <c r="M41" s="5" t="e">
        <f ca="1">IF(OR(INDEX($AI$2:$AI$1001,MATCH(ROWS($AH$2:AH41),$AH$2:$AH$1001,0),1)&gt;=100000,INDEX($AO$1005:$BQ$1005,1,MATCH(COLUMNS($AO$1006:AZ1006),$AO$1006:$BQ$1006,0))&gt;=100000), " ",IF(INDEX($AO$2:$BQ$1001,MATCH(ROWS($AH$2:AH41),$AH$2:$AH$1001,0),MATCH(COLUMNS($AO$1006:AZ1006),$AO$1006:$BQ$1006,0)), HYPERLINK("#",""), HYPERLINK(CONCATENATE("#Metadata!", ADDRESS(INDEX($AJ$2:$AJ$1001,MATCH(ROWS($AH$2:AH41),$AH$2:$AH$1001,0),0), INDEX($AO$1004:$BQ$1004,1,MATCH(COLUMNS($AO$1006:AZ1006),$AO$1006:$BQ$1006,0)))),"Fix")))</f>
        <v>#N/A</v>
      </c>
      <c r="N41" s="5" t="e">
        <f ca="1">IF(OR(INDEX($AI$2:$AI$1001,MATCH(ROWS($AH$2:AH41),$AH$2:$AH$1001,0),1)&gt;=100000,INDEX($AO$1005:$BQ$1005,1,MATCH(COLUMNS($AO$1006:BA1006),$AO$1006:$BQ$1006,0))&gt;=100000), " ",IF(INDEX($AO$2:$BQ$1001,MATCH(ROWS($AH$2:AH41),$AH$2:$AH$1001,0),MATCH(COLUMNS($AO$1006:BA1006),$AO$1006:$BQ$1006,0)), HYPERLINK("#",""), HYPERLINK(CONCATENATE("#Metadata!", ADDRESS(INDEX($AJ$2:$AJ$1001,MATCH(ROWS($AH$2:AH41),$AH$2:$AH$1001,0),0), INDEX($AO$1004:$BQ$1004,1,MATCH(COLUMNS($AO$1006:BA1006),$AO$1006:$BQ$1006,0)))),"Fix")))</f>
        <v>#N/A</v>
      </c>
      <c r="O41" s="5" t="e">
        <f ca="1">IF(OR(INDEX($AI$2:$AI$1001,MATCH(ROWS($AH$2:AH41),$AH$2:$AH$1001,0),1)&gt;=100000,INDEX($AO$1005:$BQ$1005,1,MATCH(COLUMNS($AO$1006:BB1006),$AO$1006:$BQ$1006,0))&gt;=100000), " ",IF(INDEX($AO$2:$BQ$1001,MATCH(ROWS($AH$2:AH41),$AH$2:$AH$1001,0),MATCH(COLUMNS($AO$1006:BB1006),$AO$1006:$BQ$1006,0)), HYPERLINK("#",""), HYPERLINK(CONCATENATE("#Metadata!", ADDRESS(INDEX($AJ$2:$AJ$1001,MATCH(ROWS($AH$2:AH41),$AH$2:$AH$1001,0),0), INDEX($AO$1004:$BQ$1004,1,MATCH(COLUMNS($AO$1006:BB1006),$AO$1006:$BQ$1006,0)))),"Fix")))</f>
        <v>#N/A</v>
      </c>
      <c r="P41" s="5" t="e">
        <f ca="1">IF(OR(INDEX($AI$2:$AI$1001,MATCH(ROWS($AH$2:AH41),$AH$2:$AH$1001,0),1)&gt;=100000,INDEX($AO$1005:$BQ$1005,1,MATCH(COLUMNS($AO$1006:BC1006),$AO$1006:$BQ$1006,0))&gt;=100000), " ",IF(INDEX($AO$2:$BQ$1001,MATCH(ROWS($AH$2:AH41),$AH$2:$AH$1001,0),MATCH(COLUMNS($AO$1006:BC1006),$AO$1006:$BQ$1006,0)), HYPERLINK("#",""), HYPERLINK(CONCATENATE("#Metadata!", ADDRESS(INDEX($AJ$2:$AJ$1001,MATCH(ROWS($AH$2:AH41),$AH$2:$AH$1001,0),0), INDEX($AO$1004:$BQ$1004,1,MATCH(COLUMNS($AO$1006:BC1006),$AO$1006:$BQ$1006,0)))),"Fix")))</f>
        <v>#N/A</v>
      </c>
      <c r="Q41" s="5" t="e">
        <f ca="1">IF(OR(INDEX($AI$2:$AI$1001,MATCH(ROWS($AH$2:AH41),$AH$2:$AH$1001,0),1)&gt;=100000,INDEX($AO$1005:$BQ$1005,1,MATCH(COLUMNS($AO$1006:BD1006),$AO$1006:$BQ$1006,0))&gt;=100000), " ",IF(INDEX($AO$2:$BQ$1001,MATCH(ROWS($AH$2:AH41),$AH$2:$AH$1001,0),MATCH(COLUMNS($AO$1006:BD1006),$AO$1006:$BQ$1006,0)), HYPERLINK("#",""), HYPERLINK(CONCATENATE("#Metadata!", ADDRESS(INDEX($AJ$2:$AJ$1001,MATCH(ROWS($AH$2:AH41),$AH$2:$AH$1001,0),0), INDEX($AO$1004:$BQ$1004,1,MATCH(COLUMNS($AO$1006:BD1006),$AO$1006:$BQ$1006,0)))),"Fix")))</f>
        <v>#N/A</v>
      </c>
      <c r="R41" s="5" t="e">
        <f ca="1">IF(OR(INDEX($AI$2:$AI$1001,MATCH(ROWS($AH$2:AH41),$AH$2:$AH$1001,0),1)&gt;=100000,INDEX($AO$1005:$BQ$1005,1,MATCH(COLUMNS($AO$1006:BE1006),$AO$1006:$BQ$1006,0))&gt;=100000), " ",IF(INDEX($AO$2:$BQ$1001,MATCH(ROWS($AH$2:AH41),$AH$2:$AH$1001,0),MATCH(COLUMNS($AO$1006:BE1006),$AO$1006:$BQ$1006,0)), HYPERLINK("#",""), HYPERLINK(CONCATENATE("#Metadata!", ADDRESS(INDEX($AJ$2:$AJ$1001,MATCH(ROWS($AH$2:AH41),$AH$2:$AH$1001,0),0), INDEX($AO$1004:$BQ$1004,1,MATCH(COLUMNS($AO$1006:BE1006),$AO$1006:$BQ$1006,0)))),"Fix")))</f>
        <v>#N/A</v>
      </c>
      <c r="S41" s="5" t="e">
        <f ca="1">IF(OR(INDEX($AI$2:$AI$1001,MATCH(ROWS($AH$2:AH41),$AH$2:$AH$1001,0),1)&gt;=100000,INDEX($AO$1005:$BQ$1005,1,MATCH(COLUMNS($AO$1006:BF1006),$AO$1006:$BQ$1006,0))&gt;=100000), " ",IF(INDEX($AO$2:$BQ$1001,MATCH(ROWS($AH$2:AH41),$AH$2:$AH$1001,0),MATCH(COLUMNS($AO$1006:BF1006),$AO$1006:$BQ$1006,0)), HYPERLINK("#",""), HYPERLINK(CONCATENATE("#Metadata!", ADDRESS(INDEX($AJ$2:$AJ$1001,MATCH(ROWS($AH$2:AH41),$AH$2:$AH$1001,0),0), INDEX($AO$1004:$BQ$1004,1,MATCH(COLUMNS($AO$1006:BF1006),$AO$1006:$BQ$1006,0)))),"Fix")))</f>
        <v>#N/A</v>
      </c>
      <c r="T41" s="5" t="e">
        <f ca="1">IF(OR(INDEX($AI$2:$AI$1001,MATCH(ROWS($AH$2:AH41),$AH$2:$AH$1001,0),1)&gt;=100000,INDEX($AO$1005:$BQ$1005,1,MATCH(COLUMNS($AO$1006:BG1006),$AO$1006:$BQ$1006,0))&gt;=100000), " ",IF(INDEX($AO$2:$BQ$1001,MATCH(ROWS($AH$2:AH41),$AH$2:$AH$1001,0),MATCH(COLUMNS($AO$1006:BG1006),$AO$1006:$BQ$1006,0)), HYPERLINK("#",""), HYPERLINK(CONCATENATE("#Metadata!", ADDRESS(INDEX($AJ$2:$AJ$1001,MATCH(ROWS($AH$2:AH41),$AH$2:$AH$1001,0),0), INDEX($AO$1004:$BQ$1004,1,MATCH(COLUMNS($AO$1006:BG1006),$AO$1006:$BQ$1006,0)))),"Fix")))</f>
        <v>#N/A</v>
      </c>
      <c r="U41" s="5" t="e">
        <f ca="1">IF(OR(INDEX($AI$2:$AI$1001,MATCH(ROWS($AH$2:AH41),$AH$2:$AH$1001,0),1)&gt;=100000,INDEX($AO$1005:$BQ$1005,1,MATCH(COLUMNS($AO$1006:BH1006),$AO$1006:$BQ$1006,0))&gt;=100000), " ",IF(INDEX($AO$2:$BQ$1001,MATCH(ROWS($AH$2:AH41),$AH$2:$AH$1001,0),MATCH(COLUMNS($AO$1006:BH1006),$AO$1006:$BQ$1006,0)), HYPERLINK("#",""), HYPERLINK(CONCATENATE("#Metadata!", ADDRESS(INDEX($AJ$2:$AJ$1001,MATCH(ROWS($AH$2:AH41),$AH$2:$AH$1001,0),0), INDEX($AO$1004:$BQ$1004,1,MATCH(COLUMNS($AO$1006:BH1006),$AO$1006:$BQ$1006,0)))),"Fix")))</f>
        <v>#N/A</v>
      </c>
      <c r="V41" s="5" t="e">
        <f ca="1">IF(OR(INDEX($AI$2:$AI$1001,MATCH(ROWS($AH$2:AH41),$AH$2:$AH$1001,0),1)&gt;=100000,INDEX($AO$1005:$BQ$1005,1,MATCH(COLUMNS($AO$1006:BI1006),$AO$1006:$BQ$1006,0))&gt;=100000), " ",IF(INDEX($AO$2:$BQ$1001,MATCH(ROWS($AH$2:AH41),$AH$2:$AH$1001,0),MATCH(COLUMNS($AO$1006:BI1006),$AO$1006:$BQ$1006,0)), HYPERLINK("#",""), HYPERLINK(CONCATENATE("#Metadata!", ADDRESS(INDEX($AJ$2:$AJ$1001,MATCH(ROWS($AH$2:AH41),$AH$2:$AH$1001,0),0), INDEX($AO$1004:$BQ$1004,1,MATCH(COLUMNS($AO$1006:BI1006),$AO$1006:$BQ$1006,0)))),"Fix")))</f>
        <v>#N/A</v>
      </c>
      <c r="W41" s="5" t="e">
        <f ca="1">IF(OR(INDEX($AI$2:$AI$1001,MATCH(ROWS($AH$2:AH41),$AH$2:$AH$1001,0),1)&gt;=100000,INDEX($AO$1005:$BQ$1005,1,MATCH(COLUMNS($AO$1006:BJ1006),$AO$1006:$BQ$1006,0))&gt;=100000), " ",IF(INDEX($AO$2:$BQ$1001,MATCH(ROWS($AH$2:AH41),$AH$2:$AH$1001,0),MATCH(COLUMNS($AO$1006:BJ1006),$AO$1006:$BQ$1006,0)), HYPERLINK("#",""), HYPERLINK(CONCATENATE("#Metadata!", ADDRESS(INDEX($AJ$2:$AJ$1001,MATCH(ROWS($AH$2:AH41),$AH$2:$AH$1001,0),0), INDEX($AO$1004:$BQ$1004,1,MATCH(COLUMNS($AO$1006:BJ1006),$AO$1006:$BQ$1006,0)))),"Fix")))</f>
        <v>#N/A</v>
      </c>
      <c r="X41" s="5" t="e">
        <f ca="1">IF(OR(INDEX($AI$2:$AI$1001,MATCH(ROWS($AH$2:AH41),$AH$2:$AH$1001,0),1)&gt;=100000,INDEX($AO$1005:$BQ$1005,1,MATCH(COLUMNS($AO$1006:BK1006),$AO$1006:$BQ$1006,0))&gt;=100000), " ",IF(INDEX($AO$2:$BQ$1001,MATCH(ROWS($AH$2:AH41),$AH$2:$AH$1001,0),MATCH(COLUMNS($AO$1006:BK1006),$AO$1006:$BQ$1006,0)), HYPERLINK("#",""), HYPERLINK(CONCATENATE("#Metadata!", ADDRESS(INDEX($AJ$2:$AJ$1001,MATCH(ROWS($AH$2:AH41),$AH$2:$AH$1001,0),0), INDEX($AO$1004:$BQ$1004,1,MATCH(COLUMNS($AO$1006:BK1006),$AO$1006:$BQ$1006,0)))),"Fix")))</f>
        <v>#N/A</v>
      </c>
      <c r="Y41" s="5" t="e">
        <f ca="1">IF(OR(INDEX($AI$2:$AI$1001,MATCH(ROWS($AH$2:AH41),$AH$2:$AH$1001,0),1)&gt;=100000,INDEX($AO$1005:$BQ$1005,1,MATCH(COLUMNS($AO$1006:BL1006),$AO$1006:$BQ$1006,0))&gt;=100000), " ",IF(INDEX($AO$2:$BQ$1001,MATCH(ROWS($AH$2:AH41),$AH$2:$AH$1001,0),MATCH(COLUMNS($AO$1006:BL1006),$AO$1006:$BQ$1006,0)), HYPERLINK("#",""), HYPERLINK(CONCATENATE("#Metadata!", ADDRESS(INDEX($AJ$2:$AJ$1001,MATCH(ROWS($AH$2:AH41),$AH$2:$AH$1001,0),0), INDEX($AO$1004:$BQ$1004,1,MATCH(COLUMNS($AO$1006:BL1006),$AO$1006:$BQ$1006,0)))),"Fix")))</f>
        <v>#N/A</v>
      </c>
      <c r="Z41" s="5" t="e">
        <f ca="1">IF(OR(INDEX($AI$2:$AI$1001,MATCH(ROWS($AH$2:AH41),$AH$2:$AH$1001,0),1)&gt;=100000,INDEX($AO$1005:$BQ$1005,1,MATCH(COLUMNS($AO$1006:BM1006),$AO$1006:$BQ$1006,0))&gt;=100000), " ",IF(INDEX($AO$2:$BQ$1001,MATCH(ROWS($AH$2:AH41),$AH$2:$AH$1001,0),MATCH(COLUMNS($AO$1006:BM1006),$AO$1006:$BQ$1006,0)), HYPERLINK("#",""), HYPERLINK(CONCATENATE("#Metadata!", ADDRESS(INDEX($AJ$2:$AJ$1001,MATCH(ROWS($AH$2:AH41),$AH$2:$AH$1001,0),0), INDEX($AO$1004:$BQ$1004,1,MATCH(COLUMNS($AO$1006:BM1006),$AO$1006:$BQ$1006,0)))),"Fix")))</f>
        <v>#N/A</v>
      </c>
      <c r="AA41" s="5" t="e">
        <f ca="1">IF(OR(INDEX($AI$2:$AI$1001,MATCH(ROWS($AH$2:AH41),$AH$2:$AH$1001,0),1)&gt;=100000,INDEX($AO$1005:$BQ$1005,1,MATCH(COLUMNS($AO$1006:BN1006),$AO$1006:$BQ$1006,0))&gt;=100000), " ",IF(INDEX($AO$2:$BQ$1001,MATCH(ROWS($AH$2:AH41),$AH$2:$AH$1001,0),MATCH(COLUMNS($AO$1006:BN1006),$AO$1006:$BQ$1006,0)), HYPERLINK("#",""), HYPERLINK(CONCATENATE("#Metadata!", ADDRESS(INDEX($AJ$2:$AJ$1001,MATCH(ROWS($AH$2:AH41),$AH$2:$AH$1001,0),0), INDEX($AO$1004:$BQ$1004,1,MATCH(COLUMNS($AO$1006:BN1006),$AO$1006:$BQ$1006,0)))),"Fix")))</f>
        <v>#N/A</v>
      </c>
      <c r="AB41" s="5" t="e">
        <f ca="1">IF(OR(INDEX($AI$2:$AI$1001,MATCH(ROWS($AH$2:AH41),$AH$2:$AH$1001,0),1)&gt;=100000,INDEX($AO$1005:$BQ$1005,1,MATCH(COLUMNS($AO$1006:BO1006),$AO$1006:$BQ$1006,0))&gt;=100000), " ",IF(INDEX($AO$2:$BQ$1001,MATCH(ROWS($AH$2:AH41),$AH$2:$AH$1001,0),MATCH(COLUMNS($AO$1006:BO1006),$AO$1006:$BQ$1006,0)), HYPERLINK("#",""), HYPERLINK(CONCATENATE("#Metadata!", ADDRESS(INDEX($AJ$2:$AJ$1001,MATCH(ROWS($AH$2:AH41),$AH$2:$AH$1001,0),0), INDEX($AO$1004:$BQ$1004,1,MATCH(COLUMNS($AO$1006:BO1006),$AO$1006:$BQ$1006,0)))),"Fix")))</f>
        <v>#N/A</v>
      </c>
      <c r="AC41" s="5" t="e">
        <f ca="1">IF(OR(INDEX($AI$2:$AI$1001,MATCH(ROWS($AH$2:AH41),$AH$2:$AH$1001,0),1)&gt;=100000,INDEX($AO$1005:$BQ$1005,1,MATCH(COLUMNS($AO$1006:BP1006),$AO$1006:$BQ$1006,0))&gt;=100000), " ",IF(INDEX($AO$2:$BQ$1001,MATCH(ROWS($AH$2:AH41),$AH$2:$AH$1001,0),MATCH(COLUMNS($AO$1006:BP1006),$AO$1006:$BQ$1006,0)), HYPERLINK("#",""), HYPERLINK(CONCATENATE("#Metadata!", ADDRESS(INDEX($AJ$2:$AJ$1001,MATCH(ROWS($AH$2:AH41),$AH$2:$AH$1001,0),0), INDEX($AO$1004:$BQ$1004,1,MATCH(COLUMNS($AO$1006:BP1006),$AO$1006:$BQ$1006,0)))),"Fix")))</f>
        <v>#N/A</v>
      </c>
      <c r="AD41" s="5" t="e">
        <f ca="1">IF(OR(INDEX($AI$2:$AI$1001,MATCH(ROWS($AH$2:AH41),$AH$2:$AH$1001,0),1)&gt;=100000,INDEX($AO$1005:$BQ$1005,1,MATCH(COLUMNS($AO$1006:BQ1006),$AO$1006:$BQ$1006,0))&gt;=100000), " ",IF(INDEX($AO$2:$BQ$1001,MATCH(ROWS($AH$2:AH41),$AH$2:$AH$1001,0),MATCH(COLUMNS($AO$1006:BQ1006),$AO$1006:$BQ$1006,0)), HYPERLINK("#",""), HYPERLINK(CONCATENATE("#Metadata!", ADDRESS(INDEX($AJ$2:$AJ$1001,MATCH(ROWS($AH$2:AH41),$AH$2:$AH$1001,0),0), INDEX($AO$1004:$BQ$1004,1,MATCH(COLUMNS($AO$1006:BQ1006),$AO$1006:$BQ$1006,0)))),"Fix")))</f>
        <v>#REF!</v>
      </c>
      <c r="AH41">
        <f ca="1"/>
        <v>38</v>
      </c>
      <c r="AI41">
        <f ca="1"/>
        <v>41</v>
      </c>
      <c r="AJ41">
        <v>41</v>
      </c>
      <c r="AK41" t="b">
        <f t="shared" ca="1" si="0"/>
        <v>0</v>
      </c>
      <c r="AL41" t="b">
        <f>COUNTBLANK(Metadata!B41:AD41)=COLUMNS(Metadata!B41:AD41)</f>
        <v>0</v>
      </c>
      <c r="AM41" t="str">
        <v>Environment.Lake.water.BTP.36.6Lake.water</v>
      </c>
      <c r="AO41" t="b">
        <f ca="1">AND(IF(Metadata!B40="",FALSE,TRUE),COUNTIF(Metadata!B:B, Metadata!B40) = 1,NOT(ISERROR(SUMPRODUCT(SEARCH(MID(Metadata!B40,ROW(INDIRECT("1:"&amp;LEN(Metadata!B40))), 1),"0123456789abcdefghijklmnopqrstuvwxyzABCDEFGHIJKLMNOPQRSTUVWXYZ.")))))</f>
        <v>1</v>
      </c>
      <c r="AP41" t="b">
        <f>IF(Metadata!C40="",FALSE,TRUE)</f>
        <v>1</v>
      </c>
      <c r="AQ41" t="b">
        <f>IF(Metadata!D40="",FALSE,TRUE)</f>
        <v>1</v>
      </c>
      <c r="AR41" t="b">
        <f ca="1">OR(AND(IF(Metadata!E40="",FALSE,TRUE),OR(EXACT(Metadata!E40,"not collected"),EXACT(Metadata!E40,"not provided"),EXACT(Metadata!E40,"restricted access"))),AND(IF(Metadata!E40="",FALSE,TRUE),AND(AND(IFERROR(INT(LEFT(Metadata!E40,4))&gt;1900,FALSE),IFERROR(INT(LEFT(Metadata!E40,4))&lt;=YEAR(NOW()),FALSE)), OR(MID(Metadata!E40,5,1)="", AND(AND(MID(Metadata!E40,5,1)="-",IFERROR(INT(MID(Metadata!E40,6,1))&gt;=0,FALSE),IFERROR(INT(MID(Metadata!E40,6,1))&lt;=1,FALSE),NOT(MID(Metadata!E40,7,1)=""),IFERROR(INT(MID(Metadata!E40,6,2))&gt;=1,FALSE),IFERROR(INT(MID(Metadata!E40,6,2))&lt;=12,FALSE)), OR(MID(Metadata!E40,8,1)="", AND(AND(MID(Metadata!E40,8,1)="-",IFERROR(INT(MID(Metadata!E40,9,1))&gt;=0,FALSE),IFERROR(INT(MID(Metadata!E40,9,1))&lt;=3,FALSE),NOT(MID(Metadata!E40,10,1)=""),IFERROR(INT(MID(Metadata!E40,9,2))&gt;=1,FALSE),IFERROR(INT(MID(Metadata!E40,9,2))&lt;=31,FALSE)), OR(MID(Metadata!E40,11,1)="", AND(AND(MID(Metadata!E40,11,1)=" ",IFERROR(INT(MID(Metadata!E40,12,1))&gt;=0,FALSE),IFERROR(INT(MID(Metadata!E40,12,1))&lt;=2,FALSE),NOT(MID(Metadata!E40,13,1)=""),IFERROR(INT(MID(Metadata!E40,12,2))&gt;=0,FALSE),IFERROR(INT(MID(Metadata!E40,12,2))&lt;=23,FALSE)), OR(MID(Metadata!E40,14,1)="", AND(AND(MID(Metadata!E40,14,1)=":",IFERROR(INT(MID(Metadata!E40,15,1))&gt;=0,FALSE),IFERROR(INT(MID(Metadata!E40,15,1))&lt;=5,FALSE),NOT(MID(Metadata!E40,16,1)=""),IFERROR(INT(MID(Metadata!E40,15,2))&gt;=0,FALSE),IFERROR(INT(MID(Metadata!E40,15,2))&lt;=59,FALSE)), OR(MID(Metadata!E40,17,1)="", AND(AND(MID(Metadata!E40,17,1)=":",IFERROR(INT(MID(Metadata!E40,18,1))&gt;=0,FALSE),IFERROR(INT(MID(Metadata!E40,18,1))&lt;=5,FALSE),NOT(MID(Metadata!E40,19,1)=""),IFERROR(INT(MID(Metadata!E40,18,2))&gt;=0,FALSE),IFERROR(INT(MID(Metadata!E40,18,2))&lt;=59,FALSE)), LEN(Metadata!E40)&lt;=19)))))))))))))</f>
        <v>0</v>
      </c>
      <c r="AS41" t="b">
        <f>IF(Metadata!F40="",FALSE,TRUE)</f>
        <v>1</v>
      </c>
      <c r="AT41" t="b">
        <f>OR(AND(IF(Metadata!G40="",FALSE,TRUE),OR(EXACT(Metadata!G40,"not collected"),EXACT(Metadata!G40,"not provided"))),AND(IF(Metadata!G40="",FALSE,TRUE),OR(EXACT(Metadata!G40,"TRUE"),EXACT(Metadata!G40,"FALSE"))))</f>
        <v>1</v>
      </c>
      <c r="AU41" t="b">
        <f>OR(AND(IF(Metadata!H40="",FALSE,TRUE),OR(EXACT(Metadata!H40,"not collected"),EXACT(Metadata!H40,"not provided"),EXACT(Metadata!H40,"restricted access"))),AND(IF(Metadata!H40="",FALSE,ISNUMBER(VALUE(Metadata!H40))),Metadata!H40&gt;=-413))</f>
        <v>0</v>
      </c>
      <c r="AV41" t="b">
        <f>AND(IF(Metadata!I40="",FALSE,TRUE),EXACT(Metadata!I40,"meters"))</f>
        <v>1</v>
      </c>
      <c r="AW41" t="b">
        <f>AND(IF(Metadata!J40="",FALSE,TRUE),EXACT(Metadata!J40,"free-living"))</f>
        <v>1</v>
      </c>
      <c r="AX41" t="b">
        <f>AND(IF(Metadata!K40="",FALSE,TRUE),OR(EXACT(Metadata!K40,"saline"),EXACT(Metadata!K40,"non-saline")))</f>
        <v>1</v>
      </c>
      <c r="AY41" t="b">
        <f>AND(IF(Metadata!L40="",FALSE,TRUE),OR(EXACT(Metadata!L40,"sub-surface (non-saline)"),EXACT(Metadata!L40,"surface (non-saline)"),EXACT(Metadata!L40,"water (non-saline)"),EXACT(Metadata!L40,"soil (non-saline)"),EXACT(Metadata!L40,"aerosol (non-saline)"),EXACT(Metadata!L40,"sediment (non-saline)"),EXACT(Metadata!L40,"surface (saline)"),EXACT(Metadata!L40,"water (saline)"),EXACT(Metadata!L40,"hypersaline (saline)"),EXACT(Metadata!L40,"aerosol (saline)"),EXACT(Metadata!L40,"sediment (saline)")))</f>
        <v>1</v>
      </c>
      <c r="AZ41" t="b">
        <f>IF(Metadata!M40="",FALSE,TRUE)</f>
        <v>1</v>
      </c>
      <c r="BA41" t="b">
        <f>IF(Metadata!N40="",FALSE,TRUE)</f>
        <v>1</v>
      </c>
      <c r="BB41" t="b">
        <f>IF(Metadata!O40="",FALSE,TRUE)</f>
        <v>1</v>
      </c>
      <c r="BC41" t="b">
        <f>AND(IF(Metadata!P40="",FALSE,TRUE),OR(EXACT(Metadata!P40,"air"),EXACT(Metadata!P40,"microbial mat/biofilm"),EXACT(Metadata!P40,"misc environment"),EXACT(Metadata!P40,"sediment"),EXACT(Metadata!P40,"soil"),EXACT(Metadata!P40,"wastewater/sludge"),EXACT(Metadata!P40,"water")))</f>
        <v>1</v>
      </c>
      <c r="BD41" t="b">
        <f>IF(Metadata!Q40="",FALSE,TRUE)</f>
        <v>1</v>
      </c>
      <c r="BE41" t="b">
        <f>IF(Metadata!R40="",FALSE,TRUE)</f>
        <v>1</v>
      </c>
      <c r="BF41" t="b">
        <f>OR(AND(IF(Metadata!S40="",FALSE,TRUE),OR(EXACT(Metadata!S40,"not collected"),EXACT(Metadata!S40,"not provided"),EXACT(Metadata!S40,"restricted access"))),AND(IF(Metadata!S40="",FALSE,ISNUMBER(VALUE(Metadata!S40))),Metadata!S40&gt;=-90,Metadata!S40&lt;=90))</f>
        <v>0</v>
      </c>
      <c r="BG41" t="b">
        <f>AND(IF(Metadata!T40="",FALSE,TRUE),EXACT(Metadata!T40,"Decimal degrees"))</f>
        <v>1</v>
      </c>
      <c r="BH41" t="b">
        <f>OR(AND(IF(Metadata!U40="",FALSE,TRUE),OR(EXACT(Metadata!U40,"not applicable"),EXACT(Metadata!U40,"not collected"))),IF(Metadata!U40="",FALSE,TRUE))</f>
        <v>1</v>
      </c>
      <c r="BI41" t="b">
        <f>OR(AND(IF(Metadata!V40="",FALSE,TRUE),OR(EXACT(Metadata!V40,"not collected"),EXACT(Metadata!V40,"not provided"),EXACT(Metadata!V40,"restricted access"))),AND(IF(Metadata!V40="",FALSE,ISNUMBER(VALUE(Metadata!V40))),Metadata!V40&gt;=-180,Metadata!V40&lt;=180))</f>
        <v>0</v>
      </c>
      <c r="BJ41" t="b">
        <f>AND(IF(Metadata!W40="",FALSE,TRUE),EXACT(Metadata!W40,"Decimal degrees"))</f>
        <v>1</v>
      </c>
      <c r="BK41" t="b">
        <f>IF(Metadata!X40="",FALSE,TRUE)</f>
        <v>1</v>
      </c>
      <c r="BL41" t="b">
        <f>OR(AND(IF(Metadata!Y40="",FALSE,TRUE),OR(EXACT(Metadata!Y40,"not collected"),EXACT(Metadata!Y40,"not provided"),EXACT(Metadata!Y40,"restricted access"))),AND(IF(Metadata!Y40="",FALSE,TRUE),OR(EXACT(Metadata!Y40,"TRUE"),EXACT(Metadata!Y40,"FALSE"))))</f>
        <v>1</v>
      </c>
      <c r="BM41" t="b">
        <f>OR(AND(IF(Metadata!Z40="",FALSE,TRUE),EXACT(Metadata!Z40,"not applicable")),AND(IF(Metadata!Z40="",FALSE,TRUE),OR(EXACT(Metadata!Z40,"beer"),EXACT(Metadata!Z40,"cheese"),EXACT(Metadata!Z40,"fresh water"),EXACT(Metadata!Z40,"marine sediment"),EXACT(Metadata!Z40,"sea water"),EXACT(Metadata!Z40,"sediment"),EXACT(Metadata!Z40,"soil"),EXACT(Metadata!Z40,"waste water"))))</f>
        <v>1</v>
      </c>
      <c r="BN41" t="b">
        <f>AND(IF(Metadata!AA40="",FALSE,TRUE),EXACT(Metadata!AA40,"metagenome"))</f>
        <v>1</v>
      </c>
      <c r="BO41" t="b">
        <f>AND(IF(Metadata!AB40="",FALSE,TRUE),EXACT(Metadata!AB40,"256318"))</f>
        <v>1</v>
      </c>
      <c r="BP41" t="b">
        <f>IF(Metadata!AC40="",FALSE,TRUE)</f>
        <v>1</v>
      </c>
      <c r="BQ41" t="b">
        <f>IF(Metadata!AD40="",FALSE,TRUE)</f>
        <v>1</v>
      </c>
    </row>
    <row r="42" spans="1:69" x14ac:dyDescent="0.2">
      <c r="A42" s="4" t="e">
        <f ca="1">IF(B42=" "," ",HYPERLINK(CONCATENATE("#metadata!",ADDRESS(INDEX($AJ$2:$AJ$1001,MATCH(ROWS($AH$2:AH42),$AH$2:$AH$1001,0),0),2)),INDEX($AM$2:$AM$1001,MATCH(ROWS($AH$2:AH42),$AH$2:$AH$1001,0),0)))</f>
        <v>#N/A</v>
      </c>
      <c r="B42" s="5" t="e">
        <f ca="1">IF(OR(INDEX($AI$2:$AI$1001,MATCH(ROWS($AH$2:AH42),$AH$2:$AH$1001,0),1)&gt;=100000,INDEX($AO$1005:$BQ$1005,1,MATCH(COLUMNS($AO$1006:AO1006),$AO$1006:$BQ$1006,0))&gt;=100000), " ",IF(INDEX($AO$2:$BQ$1001,MATCH(ROWS($AH$2:AH42),$AH$2:$AH$1001,0),MATCH(COLUMNS($AO$1006:AO1006),$AO$1006:$BQ$1006,0)), HYPERLINK("#",""), HYPERLINK(CONCATENATE("#Metadata!", ADDRESS(INDEX($AJ$2:$AJ$1001,MATCH(ROWS($AH$2:AH42),$AH$2:$AH$1001,0),0), INDEX($AO$1004:$BQ$1004,1,MATCH(COLUMNS($AO$1006:AO1006),$AO$1006:$BQ$1006,0)))),"Fix")))</f>
        <v>#N/A</v>
      </c>
      <c r="C42" s="5" t="e">
        <f ca="1">IF(OR(INDEX($AI$2:$AI$1001,MATCH(ROWS($AH$2:AH42),$AH$2:$AH$1001,0),1)&gt;=100000,INDEX($AO$1005:$BQ$1005,1,MATCH(COLUMNS($AO$1006:AP1006),$AO$1006:$BQ$1006,0))&gt;=100000), " ",IF(INDEX($AO$2:$BQ$1001,MATCH(ROWS($AH$2:AH42),$AH$2:$AH$1001,0),MATCH(COLUMNS($AO$1006:AP1006),$AO$1006:$BQ$1006,0)), HYPERLINK("#",""), HYPERLINK(CONCATENATE("#Metadata!", ADDRESS(INDEX($AJ$2:$AJ$1001,MATCH(ROWS($AH$2:AH42),$AH$2:$AH$1001,0),0), INDEX($AO$1004:$BQ$1004,1,MATCH(COLUMNS($AO$1006:AP1006),$AO$1006:$BQ$1006,0)))),"Fix")))</f>
        <v>#N/A</v>
      </c>
      <c r="D42" s="5" t="e">
        <f ca="1">IF(OR(INDEX($AI$2:$AI$1001,MATCH(ROWS($AH$2:AH42),$AH$2:$AH$1001,0),1)&gt;=100000,INDEX($AO$1005:$BQ$1005,1,MATCH(COLUMNS($AO$1006:AQ1006),$AO$1006:$BQ$1006,0))&gt;=100000), " ",IF(INDEX($AO$2:$BQ$1001,MATCH(ROWS($AH$2:AH42),$AH$2:$AH$1001,0),MATCH(COLUMNS($AO$1006:AQ1006),$AO$1006:$BQ$1006,0)), HYPERLINK("#",""), HYPERLINK(CONCATENATE("#Metadata!", ADDRESS(INDEX($AJ$2:$AJ$1001,MATCH(ROWS($AH$2:AH42),$AH$2:$AH$1001,0),0), INDEX($AO$1004:$BQ$1004,1,MATCH(COLUMNS($AO$1006:AQ1006),$AO$1006:$BQ$1006,0)))),"Fix")))</f>
        <v>#N/A</v>
      </c>
      <c r="E42" s="5" t="e">
        <f ca="1">IF(OR(INDEX($AI$2:$AI$1001,MATCH(ROWS($AH$2:AH42),$AH$2:$AH$1001,0),1)&gt;=100000,INDEX($AO$1005:$BQ$1005,1,MATCH(COLUMNS($AO$1006:AR1006),$AO$1006:$BQ$1006,0))&gt;=100000), " ",IF(INDEX($AO$2:$BQ$1001,MATCH(ROWS($AH$2:AH42),$AH$2:$AH$1001,0),MATCH(COLUMNS($AO$1006:AR1006),$AO$1006:$BQ$1006,0)), HYPERLINK("#",""), HYPERLINK(CONCATENATE("#Metadata!", ADDRESS(INDEX($AJ$2:$AJ$1001,MATCH(ROWS($AH$2:AH42),$AH$2:$AH$1001,0),0), INDEX($AO$1004:$BQ$1004,1,MATCH(COLUMNS($AO$1006:AR1006),$AO$1006:$BQ$1006,0)))),"Fix")))</f>
        <v>#N/A</v>
      </c>
      <c r="F42" s="5" t="e">
        <f ca="1">IF(OR(INDEX($AI$2:$AI$1001,MATCH(ROWS($AH$2:AH42),$AH$2:$AH$1001,0),1)&gt;=100000,INDEX($AO$1005:$BQ$1005,1,MATCH(COLUMNS($AO$1006:AS1006),$AO$1006:$BQ$1006,0))&gt;=100000), " ",IF(INDEX($AO$2:$BQ$1001,MATCH(ROWS($AH$2:AH42),$AH$2:$AH$1001,0),MATCH(COLUMNS($AO$1006:AS1006),$AO$1006:$BQ$1006,0)), HYPERLINK("#",""), HYPERLINK(CONCATENATE("#Metadata!", ADDRESS(INDEX($AJ$2:$AJ$1001,MATCH(ROWS($AH$2:AH42),$AH$2:$AH$1001,0),0), INDEX($AO$1004:$BQ$1004,1,MATCH(COLUMNS($AO$1006:AS1006),$AO$1006:$BQ$1006,0)))),"Fix")))</f>
        <v>#N/A</v>
      </c>
      <c r="G42" s="5" t="e">
        <f ca="1">IF(OR(INDEX($AI$2:$AI$1001,MATCH(ROWS($AH$2:AH42),$AH$2:$AH$1001,0),1)&gt;=100000,INDEX($AO$1005:$BQ$1005,1,MATCH(COLUMNS($AO$1006:AT1006),$AO$1006:$BQ$1006,0))&gt;=100000), " ",IF(INDEX($AO$2:$BQ$1001,MATCH(ROWS($AH$2:AH42),$AH$2:$AH$1001,0),MATCH(COLUMNS($AO$1006:AT1006),$AO$1006:$BQ$1006,0)), HYPERLINK("#",""), HYPERLINK(CONCATENATE("#Metadata!", ADDRESS(INDEX($AJ$2:$AJ$1001,MATCH(ROWS($AH$2:AH42),$AH$2:$AH$1001,0),0), INDEX($AO$1004:$BQ$1004,1,MATCH(COLUMNS($AO$1006:AT1006),$AO$1006:$BQ$1006,0)))),"Fix")))</f>
        <v>#N/A</v>
      </c>
      <c r="H42" s="5" t="e">
        <f ca="1">IF(OR(INDEX($AI$2:$AI$1001,MATCH(ROWS($AH$2:AH42),$AH$2:$AH$1001,0),1)&gt;=100000,INDEX($AO$1005:$BQ$1005,1,MATCH(COLUMNS($AO$1006:AU1006),$AO$1006:$BQ$1006,0))&gt;=100000), " ",IF(INDEX($AO$2:$BQ$1001,MATCH(ROWS($AH$2:AH42),$AH$2:$AH$1001,0),MATCH(COLUMNS($AO$1006:AU1006),$AO$1006:$BQ$1006,0)), HYPERLINK("#",""), HYPERLINK(CONCATENATE("#Metadata!", ADDRESS(INDEX($AJ$2:$AJ$1001,MATCH(ROWS($AH$2:AH42),$AH$2:$AH$1001,0),0), INDEX($AO$1004:$BQ$1004,1,MATCH(COLUMNS($AO$1006:AU1006),$AO$1006:$BQ$1006,0)))),"Fix")))</f>
        <v>#N/A</v>
      </c>
      <c r="I42" s="5" t="e">
        <f ca="1">IF(OR(INDEX($AI$2:$AI$1001,MATCH(ROWS($AH$2:AH42),$AH$2:$AH$1001,0),1)&gt;=100000,INDEX($AO$1005:$BQ$1005,1,MATCH(COLUMNS($AO$1006:AV1006),$AO$1006:$BQ$1006,0))&gt;=100000), " ",IF(INDEX($AO$2:$BQ$1001,MATCH(ROWS($AH$2:AH42),$AH$2:$AH$1001,0),MATCH(COLUMNS($AO$1006:AV1006),$AO$1006:$BQ$1006,0)), HYPERLINK("#",""), HYPERLINK(CONCATENATE("#Metadata!", ADDRESS(INDEX($AJ$2:$AJ$1001,MATCH(ROWS($AH$2:AH42),$AH$2:$AH$1001,0),0), INDEX($AO$1004:$BQ$1004,1,MATCH(COLUMNS($AO$1006:AV1006),$AO$1006:$BQ$1006,0)))),"Fix")))</f>
        <v>#N/A</v>
      </c>
      <c r="J42" s="5" t="e">
        <f ca="1">IF(OR(INDEX($AI$2:$AI$1001,MATCH(ROWS($AH$2:AH42),$AH$2:$AH$1001,0),1)&gt;=100000,INDEX($AO$1005:$BQ$1005,1,MATCH(COLUMNS($AO$1006:AW1006),$AO$1006:$BQ$1006,0))&gt;=100000), " ",IF(INDEX($AO$2:$BQ$1001,MATCH(ROWS($AH$2:AH42),$AH$2:$AH$1001,0),MATCH(COLUMNS($AO$1006:AW1006),$AO$1006:$BQ$1006,0)), HYPERLINK("#",""), HYPERLINK(CONCATENATE("#Metadata!", ADDRESS(INDEX($AJ$2:$AJ$1001,MATCH(ROWS($AH$2:AH42),$AH$2:$AH$1001,0),0), INDEX($AO$1004:$BQ$1004,1,MATCH(COLUMNS($AO$1006:AW1006),$AO$1006:$BQ$1006,0)))),"Fix")))</f>
        <v>#N/A</v>
      </c>
      <c r="K42" s="5" t="e">
        <f ca="1">IF(OR(INDEX($AI$2:$AI$1001,MATCH(ROWS($AH$2:AH42),$AH$2:$AH$1001,0),1)&gt;=100000,INDEX($AO$1005:$BQ$1005,1,MATCH(COLUMNS($AO$1006:AX1006),$AO$1006:$BQ$1006,0))&gt;=100000), " ",IF(INDEX($AO$2:$BQ$1001,MATCH(ROWS($AH$2:AH42),$AH$2:$AH$1001,0),MATCH(COLUMNS($AO$1006:AX1006),$AO$1006:$BQ$1006,0)), HYPERLINK("#",""), HYPERLINK(CONCATENATE("#Metadata!", ADDRESS(INDEX($AJ$2:$AJ$1001,MATCH(ROWS($AH$2:AH42),$AH$2:$AH$1001,0),0), INDEX($AO$1004:$BQ$1004,1,MATCH(COLUMNS($AO$1006:AX1006),$AO$1006:$BQ$1006,0)))),"Fix")))</f>
        <v>#N/A</v>
      </c>
      <c r="L42" s="5" t="e">
        <f ca="1">IF(OR(INDEX($AI$2:$AI$1001,MATCH(ROWS($AH$2:AH42),$AH$2:$AH$1001,0),1)&gt;=100000,INDEX($AO$1005:$BQ$1005,1,MATCH(COLUMNS($AO$1006:AY1006),$AO$1006:$BQ$1006,0))&gt;=100000), " ",IF(INDEX($AO$2:$BQ$1001,MATCH(ROWS($AH$2:AH42),$AH$2:$AH$1001,0),MATCH(COLUMNS($AO$1006:AY1006),$AO$1006:$BQ$1006,0)), HYPERLINK("#",""), HYPERLINK(CONCATENATE("#Metadata!", ADDRESS(INDEX($AJ$2:$AJ$1001,MATCH(ROWS($AH$2:AH42),$AH$2:$AH$1001,0),0), INDEX($AO$1004:$BQ$1004,1,MATCH(COLUMNS($AO$1006:AY1006),$AO$1006:$BQ$1006,0)))),"Fix")))</f>
        <v>#N/A</v>
      </c>
      <c r="M42" s="5" t="e">
        <f ca="1">IF(OR(INDEX($AI$2:$AI$1001,MATCH(ROWS($AH$2:AH42),$AH$2:$AH$1001,0),1)&gt;=100000,INDEX($AO$1005:$BQ$1005,1,MATCH(COLUMNS($AO$1006:AZ1006),$AO$1006:$BQ$1006,0))&gt;=100000), " ",IF(INDEX($AO$2:$BQ$1001,MATCH(ROWS($AH$2:AH42),$AH$2:$AH$1001,0),MATCH(COLUMNS($AO$1006:AZ1006),$AO$1006:$BQ$1006,0)), HYPERLINK("#",""), HYPERLINK(CONCATENATE("#Metadata!", ADDRESS(INDEX($AJ$2:$AJ$1001,MATCH(ROWS($AH$2:AH42),$AH$2:$AH$1001,0),0), INDEX($AO$1004:$BQ$1004,1,MATCH(COLUMNS($AO$1006:AZ1006),$AO$1006:$BQ$1006,0)))),"Fix")))</f>
        <v>#N/A</v>
      </c>
      <c r="N42" s="5" t="e">
        <f ca="1">IF(OR(INDEX($AI$2:$AI$1001,MATCH(ROWS($AH$2:AH42),$AH$2:$AH$1001,0),1)&gt;=100000,INDEX($AO$1005:$BQ$1005,1,MATCH(COLUMNS($AO$1006:BA1006),$AO$1006:$BQ$1006,0))&gt;=100000), " ",IF(INDEX($AO$2:$BQ$1001,MATCH(ROWS($AH$2:AH42),$AH$2:$AH$1001,0),MATCH(COLUMNS($AO$1006:BA1006),$AO$1006:$BQ$1006,0)), HYPERLINK("#",""), HYPERLINK(CONCATENATE("#Metadata!", ADDRESS(INDEX($AJ$2:$AJ$1001,MATCH(ROWS($AH$2:AH42),$AH$2:$AH$1001,0),0), INDEX($AO$1004:$BQ$1004,1,MATCH(COLUMNS($AO$1006:BA1006),$AO$1006:$BQ$1006,0)))),"Fix")))</f>
        <v>#N/A</v>
      </c>
      <c r="O42" s="5" t="e">
        <f ca="1">IF(OR(INDEX($AI$2:$AI$1001,MATCH(ROWS($AH$2:AH42),$AH$2:$AH$1001,0),1)&gt;=100000,INDEX($AO$1005:$BQ$1005,1,MATCH(COLUMNS($AO$1006:BB1006),$AO$1006:$BQ$1006,0))&gt;=100000), " ",IF(INDEX($AO$2:$BQ$1001,MATCH(ROWS($AH$2:AH42),$AH$2:$AH$1001,0),MATCH(COLUMNS($AO$1006:BB1006),$AO$1006:$BQ$1006,0)), HYPERLINK("#",""), HYPERLINK(CONCATENATE("#Metadata!", ADDRESS(INDEX($AJ$2:$AJ$1001,MATCH(ROWS($AH$2:AH42),$AH$2:$AH$1001,0),0), INDEX($AO$1004:$BQ$1004,1,MATCH(COLUMNS($AO$1006:BB1006),$AO$1006:$BQ$1006,0)))),"Fix")))</f>
        <v>#N/A</v>
      </c>
      <c r="P42" s="5" t="e">
        <f ca="1">IF(OR(INDEX($AI$2:$AI$1001,MATCH(ROWS($AH$2:AH42),$AH$2:$AH$1001,0),1)&gt;=100000,INDEX($AO$1005:$BQ$1005,1,MATCH(COLUMNS($AO$1006:BC1006),$AO$1006:$BQ$1006,0))&gt;=100000), " ",IF(INDEX($AO$2:$BQ$1001,MATCH(ROWS($AH$2:AH42),$AH$2:$AH$1001,0),MATCH(COLUMNS($AO$1006:BC1006),$AO$1006:$BQ$1006,0)), HYPERLINK("#",""), HYPERLINK(CONCATENATE("#Metadata!", ADDRESS(INDEX($AJ$2:$AJ$1001,MATCH(ROWS($AH$2:AH42),$AH$2:$AH$1001,0),0), INDEX($AO$1004:$BQ$1004,1,MATCH(COLUMNS($AO$1006:BC1006),$AO$1006:$BQ$1006,0)))),"Fix")))</f>
        <v>#N/A</v>
      </c>
      <c r="Q42" s="5" t="e">
        <f ca="1">IF(OR(INDEX($AI$2:$AI$1001,MATCH(ROWS($AH$2:AH42),$AH$2:$AH$1001,0),1)&gt;=100000,INDEX($AO$1005:$BQ$1005,1,MATCH(COLUMNS($AO$1006:BD1006),$AO$1006:$BQ$1006,0))&gt;=100000), " ",IF(INDEX($AO$2:$BQ$1001,MATCH(ROWS($AH$2:AH42),$AH$2:$AH$1001,0),MATCH(COLUMNS($AO$1006:BD1006),$AO$1006:$BQ$1006,0)), HYPERLINK("#",""), HYPERLINK(CONCATENATE("#Metadata!", ADDRESS(INDEX($AJ$2:$AJ$1001,MATCH(ROWS($AH$2:AH42),$AH$2:$AH$1001,0),0), INDEX($AO$1004:$BQ$1004,1,MATCH(COLUMNS($AO$1006:BD1006),$AO$1006:$BQ$1006,0)))),"Fix")))</f>
        <v>#N/A</v>
      </c>
      <c r="R42" s="5" t="e">
        <f ca="1">IF(OR(INDEX($AI$2:$AI$1001,MATCH(ROWS($AH$2:AH42),$AH$2:$AH$1001,0),1)&gt;=100000,INDEX($AO$1005:$BQ$1005,1,MATCH(COLUMNS($AO$1006:BE1006),$AO$1006:$BQ$1006,0))&gt;=100000), " ",IF(INDEX($AO$2:$BQ$1001,MATCH(ROWS($AH$2:AH42),$AH$2:$AH$1001,0),MATCH(COLUMNS($AO$1006:BE1006),$AO$1006:$BQ$1006,0)), HYPERLINK("#",""), HYPERLINK(CONCATENATE("#Metadata!", ADDRESS(INDEX($AJ$2:$AJ$1001,MATCH(ROWS($AH$2:AH42),$AH$2:$AH$1001,0),0), INDEX($AO$1004:$BQ$1004,1,MATCH(COLUMNS($AO$1006:BE1006),$AO$1006:$BQ$1006,0)))),"Fix")))</f>
        <v>#N/A</v>
      </c>
      <c r="S42" s="5" t="e">
        <f ca="1">IF(OR(INDEX($AI$2:$AI$1001,MATCH(ROWS($AH$2:AH42),$AH$2:$AH$1001,0),1)&gt;=100000,INDEX($AO$1005:$BQ$1005,1,MATCH(COLUMNS($AO$1006:BF1006),$AO$1006:$BQ$1006,0))&gt;=100000), " ",IF(INDEX($AO$2:$BQ$1001,MATCH(ROWS($AH$2:AH42),$AH$2:$AH$1001,0),MATCH(COLUMNS($AO$1006:BF1006),$AO$1006:$BQ$1006,0)), HYPERLINK("#",""), HYPERLINK(CONCATENATE("#Metadata!", ADDRESS(INDEX($AJ$2:$AJ$1001,MATCH(ROWS($AH$2:AH42),$AH$2:$AH$1001,0),0), INDEX($AO$1004:$BQ$1004,1,MATCH(COLUMNS($AO$1006:BF1006),$AO$1006:$BQ$1006,0)))),"Fix")))</f>
        <v>#N/A</v>
      </c>
      <c r="T42" s="5" t="e">
        <f ca="1">IF(OR(INDEX($AI$2:$AI$1001,MATCH(ROWS($AH$2:AH42),$AH$2:$AH$1001,0),1)&gt;=100000,INDEX($AO$1005:$BQ$1005,1,MATCH(COLUMNS($AO$1006:BG1006),$AO$1006:$BQ$1006,0))&gt;=100000), " ",IF(INDEX($AO$2:$BQ$1001,MATCH(ROWS($AH$2:AH42),$AH$2:$AH$1001,0),MATCH(COLUMNS($AO$1006:BG1006),$AO$1006:$BQ$1006,0)), HYPERLINK("#",""), HYPERLINK(CONCATENATE("#Metadata!", ADDRESS(INDEX($AJ$2:$AJ$1001,MATCH(ROWS($AH$2:AH42),$AH$2:$AH$1001,0),0), INDEX($AO$1004:$BQ$1004,1,MATCH(COLUMNS($AO$1006:BG1006),$AO$1006:$BQ$1006,0)))),"Fix")))</f>
        <v>#N/A</v>
      </c>
      <c r="U42" s="5" t="e">
        <f ca="1">IF(OR(INDEX($AI$2:$AI$1001,MATCH(ROWS($AH$2:AH42),$AH$2:$AH$1001,0),1)&gt;=100000,INDEX($AO$1005:$BQ$1005,1,MATCH(COLUMNS($AO$1006:BH1006),$AO$1006:$BQ$1006,0))&gt;=100000), " ",IF(INDEX($AO$2:$BQ$1001,MATCH(ROWS($AH$2:AH42),$AH$2:$AH$1001,0),MATCH(COLUMNS($AO$1006:BH1006),$AO$1006:$BQ$1006,0)), HYPERLINK("#",""), HYPERLINK(CONCATENATE("#Metadata!", ADDRESS(INDEX($AJ$2:$AJ$1001,MATCH(ROWS($AH$2:AH42),$AH$2:$AH$1001,0),0), INDEX($AO$1004:$BQ$1004,1,MATCH(COLUMNS($AO$1006:BH1006),$AO$1006:$BQ$1006,0)))),"Fix")))</f>
        <v>#N/A</v>
      </c>
      <c r="V42" s="5" t="e">
        <f ca="1">IF(OR(INDEX($AI$2:$AI$1001,MATCH(ROWS($AH$2:AH42),$AH$2:$AH$1001,0),1)&gt;=100000,INDEX($AO$1005:$BQ$1005,1,MATCH(COLUMNS($AO$1006:BI1006),$AO$1006:$BQ$1006,0))&gt;=100000), " ",IF(INDEX($AO$2:$BQ$1001,MATCH(ROWS($AH$2:AH42),$AH$2:$AH$1001,0),MATCH(COLUMNS($AO$1006:BI1006),$AO$1006:$BQ$1006,0)), HYPERLINK("#",""), HYPERLINK(CONCATENATE("#Metadata!", ADDRESS(INDEX($AJ$2:$AJ$1001,MATCH(ROWS($AH$2:AH42),$AH$2:$AH$1001,0),0), INDEX($AO$1004:$BQ$1004,1,MATCH(COLUMNS($AO$1006:BI1006),$AO$1006:$BQ$1006,0)))),"Fix")))</f>
        <v>#N/A</v>
      </c>
      <c r="W42" s="5" t="e">
        <f ca="1">IF(OR(INDEX($AI$2:$AI$1001,MATCH(ROWS($AH$2:AH42),$AH$2:$AH$1001,0),1)&gt;=100000,INDEX($AO$1005:$BQ$1005,1,MATCH(COLUMNS($AO$1006:BJ1006),$AO$1006:$BQ$1006,0))&gt;=100000), " ",IF(INDEX($AO$2:$BQ$1001,MATCH(ROWS($AH$2:AH42),$AH$2:$AH$1001,0),MATCH(COLUMNS($AO$1006:BJ1006),$AO$1006:$BQ$1006,0)), HYPERLINK("#",""), HYPERLINK(CONCATENATE("#Metadata!", ADDRESS(INDEX($AJ$2:$AJ$1001,MATCH(ROWS($AH$2:AH42),$AH$2:$AH$1001,0),0), INDEX($AO$1004:$BQ$1004,1,MATCH(COLUMNS($AO$1006:BJ1006),$AO$1006:$BQ$1006,0)))),"Fix")))</f>
        <v>#N/A</v>
      </c>
      <c r="X42" s="5" t="e">
        <f ca="1">IF(OR(INDEX($AI$2:$AI$1001,MATCH(ROWS($AH$2:AH42),$AH$2:$AH$1001,0),1)&gt;=100000,INDEX($AO$1005:$BQ$1005,1,MATCH(COLUMNS($AO$1006:BK1006),$AO$1006:$BQ$1006,0))&gt;=100000), " ",IF(INDEX($AO$2:$BQ$1001,MATCH(ROWS($AH$2:AH42),$AH$2:$AH$1001,0),MATCH(COLUMNS($AO$1006:BK1006),$AO$1006:$BQ$1006,0)), HYPERLINK("#",""), HYPERLINK(CONCATENATE("#Metadata!", ADDRESS(INDEX($AJ$2:$AJ$1001,MATCH(ROWS($AH$2:AH42),$AH$2:$AH$1001,0),0), INDEX($AO$1004:$BQ$1004,1,MATCH(COLUMNS($AO$1006:BK1006),$AO$1006:$BQ$1006,0)))),"Fix")))</f>
        <v>#N/A</v>
      </c>
      <c r="Y42" s="5" t="e">
        <f ca="1">IF(OR(INDEX($AI$2:$AI$1001,MATCH(ROWS($AH$2:AH42),$AH$2:$AH$1001,0),1)&gt;=100000,INDEX($AO$1005:$BQ$1005,1,MATCH(COLUMNS($AO$1006:BL1006),$AO$1006:$BQ$1006,0))&gt;=100000), " ",IF(INDEX($AO$2:$BQ$1001,MATCH(ROWS($AH$2:AH42),$AH$2:$AH$1001,0),MATCH(COLUMNS($AO$1006:BL1006),$AO$1006:$BQ$1006,0)), HYPERLINK("#",""), HYPERLINK(CONCATENATE("#Metadata!", ADDRESS(INDEX($AJ$2:$AJ$1001,MATCH(ROWS($AH$2:AH42),$AH$2:$AH$1001,0),0), INDEX($AO$1004:$BQ$1004,1,MATCH(COLUMNS($AO$1006:BL1006),$AO$1006:$BQ$1006,0)))),"Fix")))</f>
        <v>#N/A</v>
      </c>
      <c r="Z42" s="5" t="e">
        <f ca="1">IF(OR(INDEX($AI$2:$AI$1001,MATCH(ROWS($AH$2:AH42),$AH$2:$AH$1001,0),1)&gt;=100000,INDEX($AO$1005:$BQ$1005,1,MATCH(COLUMNS($AO$1006:BM1006),$AO$1006:$BQ$1006,0))&gt;=100000), " ",IF(INDEX($AO$2:$BQ$1001,MATCH(ROWS($AH$2:AH42),$AH$2:$AH$1001,0),MATCH(COLUMNS($AO$1006:BM1006),$AO$1006:$BQ$1006,0)), HYPERLINK("#",""), HYPERLINK(CONCATENATE("#Metadata!", ADDRESS(INDEX($AJ$2:$AJ$1001,MATCH(ROWS($AH$2:AH42),$AH$2:$AH$1001,0),0), INDEX($AO$1004:$BQ$1004,1,MATCH(COLUMNS($AO$1006:BM1006),$AO$1006:$BQ$1006,0)))),"Fix")))</f>
        <v>#N/A</v>
      </c>
      <c r="AA42" s="5" t="e">
        <f ca="1">IF(OR(INDEX($AI$2:$AI$1001,MATCH(ROWS($AH$2:AH42),$AH$2:$AH$1001,0),1)&gt;=100000,INDEX($AO$1005:$BQ$1005,1,MATCH(COLUMNS($AO$1006:BN1006),$AO$1006:$BQ$1006,0))&gt;=100000), " ",IF(INDEX($AO$2:$BQ$1001,MATCH(ROWS($AH$2:AH42),$AH$2:$AH$1001,0),MATCH(COLUMNS($AO$1006:BN1006),$AO$1006:$BQ$1006,0)), HYPERLINK("#",""), HYPERLINK(CONCATENATE("#Metadata!", ADDRESS(INDEX($AJ$2:$AJ$1001,MATCH(ROWS($AH$2:AH42),$AH$2:$AH$1001,0),0), INDEX($AO$1004:$BQ$1004,1,MATCH(COLUMNS($AO$1006:BN1006),$AO$1006:$BQ$1006,0)))),"Fix")))</f>
        <v>#N/A</v>
      </c>
      <c r="AB42" s="5" t="e">
        <f ca="1">IF(OR(INDEX($AI$2:$AI$1001,MATCH(ROWS($AH$2:AH42),$AH$2:$AH$1001,0),1)&gt;=100000,INDEX($AO$1005:$BQ$1005,1,MATCH(COLUMNS($AO$1006:BO1006),$AO$1006:$BQ$1006,0))&gt;=100000), " ",IF(INDEX($AO$2:$BQ$1001,MATCH(ROWS($AH$2:AH42),$AH$2:$AH$1001,0),MATCH(COLUMNS($AO$1006:BO1006),$AO$1006:$BQ$1006,0)), HYPERLINK("#",""), HYPERLINK(CONCATENATE("#Metadata!", ADDRESS(INDEX($AJ$2:$AJ$1001,MATCH(ROWS($AH$2:AH42),$AH$2:$AH$1001,0),0), INDEX($AO$1004:$BQ$1004,1,MATCH(COLUMNS($AO$1006:BO1006),$AO$1006:$BQ$1006,0)))),"Fix")))</f>
        <v>#N/A</v>
      </c>
      <c r="AC42" s="5" t="e">
        <f ca="1">IF(OR(INDEX($AI$2:$AI$1001,MATCH(ROWS($AH$2:AH42),$AH$2:$AH$1001,0),1)&gt;=100000,INDEX($AO$1005:$BQ$1005,1,MATCH(COLUMNS($AO$1006:BP1006),$AO$1006:$BQ$1006,0))&gt;=100000), " ",IF(INDEX($AO$2:$BQ$1001,MATCH(ROWS($AH$2:AH42),$AH$2:$AH$1001,0),MATCH(COLUMNS($AO$1006:BP1006),$AO$1006:$BQ$1006,0)), HYPERLINK("#",""), HYPERLINK(CONCATENATE("#Metadata!", ADDRESS(INDEX($AJ$2:$AJ$1001,MATCH(ROWS($AH$2:AH42),$AH$2:$AH$1001,0),0), INDEX($AO$1004:$BQ$1004,1,MATCH(COLUMNS($AO$1006:BP1006),$AO$1006:$BQ$1006,0)))),"Fix")))</f>
        <v>#N/A</v>
      </c>
      <c r="AD42" s="5" t="e">
        <f ca="1">IF(OR(INDEX($AI$2:$AI$1001,MATCH(ROWS($AH$2:AH42),$AH$2:$AH$1001,0),1)&gt;=100000,INDEX($AO$1005:$BQ$1005,1,MATCH(COLUMNS($AO$1006:BQ1006),$AO$1006:$BQ$1006,0))&gt;=100000), " ",IF(INDEX($AO$2:$BQ$1001,MATCH(ROWS($AH$2:AH42),$AH$2:$AH$1001,0),MATCH(COLUMNS($AO$1006:BQ1006),$AO$1006:$BQ$1006,0)), HYPERLINK("#",""), HYPERLINK(CONCATENATE("#Metadata!", ADDRESS(INDEX($AJ$2:$AJ$1001,MATCH(ROWS($AH$2:AH42),$AH$2:$AH$1001,0),0), INDEX($AO$1004:$BQ$1004,1,MATCH(COLUMNS($AO$1006:BQ1006),$AO$1006:$BQ$1006,0)))),"Fix")))</f>
        <v>#REF!</v>
      </c>
      <c r="AH42">
        <f ca="1"/>
        <v>39</v>
      </c>
      <c r="AI42">
        <f ca="1"/>
        <v>42</v>
      </c>
      <c r="AJ42">
        <v>42</v>
      </c>
      <c r="AK42" t="b">
        <f t="shared" ca="1" si="0"/>
        <v>0</v>
      </c>
      <c r="AL42" t="b">
        <f>COUNTBLANK(Metadata!B42:AD42)=COLUMNS(Metadata!B42:AD42)</f>
        <v>0</v>
      </c>
      <c r="AM42" t="str">
        <v>Anaxyrus.boreas.Water.BTP.58Water</v>
      </c>
      <c r="AO42" t="b">
        <f ca="1">AND(IF(Metadata!B41="",FALSE,TRUE),COUNTIF(Metadata!B:B, Metadata!B41) = 1,NOT(ISERROR(SUMPRODUCT(SEARCH(MID(Metadata!B41,ROW(INDIRECT("1:"&amp;LEN(Metadata!B41))), 1),"0123456789abcdefghijklmnopqrstuvwxyzABCDEFGHIJKLMNOPQRSTUVWXYZ.")))))</f>
        <v>1</v>
      </c>
      <c r="AP42" t="b">
        <f>IF(Metadata!C41="",FALSE,TRUE)</f>
        <v>1</v>
      </c>
      <c r="AQ42" t="b">
        <f>IF(Metadata!D41="",FALSE,TRUE)</f>
        <v>1</v>
      </c>
      <c r="AR42" t="b">
        <f ca="1">OR(AND(IF(Metadata!E41="",FALSE,TRUE),OR(EXACT(Metadata!E41,"not collected"),EXACT(Metadata!E41,"not provided"),EXACT(Metadata!E41,"restricted access"))),AND(IF(Metadata!E41="",FALSE,TRUE),AND(AND(IFERROR(INT(LEFT(Metadata!E41,4))&gt;1900,FALSE),IFERROR(INT(LEFT(Metadata!E41,4))&lt;=YEAR(NOW()),FALSE)), OR(MID(Metadata!E41,5,1)="", AND(AND(MID(Metadata!E41,5,1)="-",IFERROR(INT(MID(Metadata!E41,6,1))&gt;=0,FALSE),IFERROR(INT(MID(Metadata!E41,6,1))&lt;=1,FALSE),NOT(MID(Metadata!E41,7,1)=""),IFERROR(INT(MID(Metadata!E41,6,2))&gt;=1,FALSE),IFERROR(INT(MID(Metadata!E41,6,2))&lt;=12,FALSE)), OR(MID(Metadata!E41,8,1)="", AND(AND(MID(Metadata!E41,8,1)="-",IFERROR(INT(MID(Metadata!E41,9,1))&gt;=0,FALSE),IFERROR(INT(MID(Metadata!E41,9,1))&lt;=3,FALSE),NOT(MID(Metadata!E41,10,1)=""),IFERROR(INT(MID(Metadata!E41,9,2))&gt;=1,FALSE),IFERROR(INT(MID(Metadata!E41,9,2))&lt;=31,FALSE)), OR(MID(Metadata!E41,11,1)="", AND(AND(MID(Metadata!E41,11,1)=" ",IFERROR(INT(MID(Metadata!E41,12,1))&gt;=0,FALSE),IFERROR(INT(MID(Metadata!E41,12,1))&lt;=2,FALSE),NOT(MID(Metadata!E41,13,1)=""),IFERROR(INT(MID(Metadata!E41,12,2))&gt;=0,FALSE),IFERROR(INT(MID(Metadata!E41,12,2))&lt;=23,FALSE)), OR(MID(Metadata!E41,14,1)="", AND(AND(MID(Metadata!E41,14,1)=":",IFERROR(INT(MID(Metadata!E41,15,1))&gt;=0,FALSE),IFERROR(INT(MID(Metadata!E41,15,1))&lt;=5,FALSE),NOT(MID(Metadata!E41,16,1)=""),IFERROR(INT(MID(Metadata!E41,15,2))&gt;=0,FALSE),IFERROR(INT(MID(Metadata!E41,15,2))&lt;=59,FALSE)), OR(MID(Metadata!E41,17,1)="", AND(AND(MID(Metadata!E41,17,1)=":",IFERROR(INT(MID(Metadata!E41,18,1))&gt;=0,FALSE),IFERROR(INT(MID(Metadata!E41,18,1))&lt;=5,FALSE),NOT(MID(Metadata!E41,19,1)=""),IFERROR(INT(MID(Metadata!E41,18,2))&gt;=0,FALSE),IFERROR(INT(MID(Metadata!E41,18,2))&lt;=59,FALSE)), LEN(Metadata!E41)&lt;=19)))))))))))))</f>
        <v>0</v>
      </c>
      <c r="AS42" t="b">
        <f>IF(Metadata!F41="",FALSE,TRUE)</f>
        <v>1</v>
      </c>
      <c r="AT42" t="b">
        <f>OR(AND(IF(Metadata!G41="",FALSE,TRUE),OR(EXACT(Metadata!G41,"not collected"),EXACT(Metadata!G41,"not provided"))),AND(IF(Metadata!G41="",FALSE,TRUE),OR(EXACT(Metadata!G41,"TRUE"),EXACT(Metadata!G41,"FALSE"))))</f>
        <v>1</v>
      </c>
      <c r="AU42" t="b">
        <f>OR(AND(IF(Metadata!H41="",FALSE,TRUE),OR(EXACT(Metadata!H41,"not collected"),EXACT(Metadata!H41,"not provided"),EXACT(Metadata!H41,"restricted access"))),AND(IF(Metadata!H41="",FALSE,ISNUMBER(VALUE(Metadata!H41))),Metadata!H41&gt;=-413))</f>
        <v>0</v>
      </c>
      <c r="AV42" t="b">
        <f>AND(IF(Metadata!I41="",FALSE,TRUE),EXACT(Metadata!I41,"meters"))</f>
        <v>1</v>
      </c>
      <c r="AW42" t="b">
        <f>AND(IF(Metadata!J41="",FALSE,TRUE),EXACT(Metadata!J41,"free-living"))</f>
        <v>1</v>
      </c>
      <c r="AX42" t="b">
        <f>AND(IF(Metadata!K41="",FALSE,TRUE),OR(EXACT(Metadata!K41,"saline"),EXACT(Metadata!K41,"non-saline")))</f>
        <v>1</v>
      </c>
      <c r="AY42" t="b">
        <f>AND(IF(Metadata!L41="",FALSE,TRUE),OR(EXACT(Metadata!L41,"sub-surface (non-saline)"),EXACT(Metadata!L41,"surface (non-saline)"),EXACT(Metadata!L41,"water (non-saline)"),EXACT(Metadata!L41,"soil (non-saline)"),EXACT(Metadata!L41,"aerosol (non-saline)"),EXACT(Metadata!L41,"sediment (non-saline)"),EXACT(Metadata!L41,"surface (saline)"),EXACT(Metadata!L41,"water (saline)"),EXACT(Metadata!L41,"hypersaline (saline)"),EXACT(Metadata!L41,"aerosol (saline)"),EXACT(Metadata!L41,"sediment (saline)")))</f>
        <v>1</v>
      </c>
      <c r="AZ42" t="b">
        <f>IF(Metadata!M41="",FALSE,TRUE)</f>
        <v>1</v>
      </c>
      <c r="BA42" t="b">
        <f>IF(Metadata!N41="",FALSE,TRUE)</f>
        <v>1</v>
      </c>
      <c r="BB42" t="b">
        <f>IF(Metadata!O41="",FALSE,TRUE)</f>
        <v>1</v>
      </c>
      <c r="BC42" t="b">
        <f>AND(IF(Metadata!P41="",FALSE,TRUE),OR(EXACT(Metadata!P41,"air"),EXACT(Metadata!P41,"microbial mat/biofilm"),EXACT(Metadata!P41,"misc environment"),EXACT(Metadata!P41,"sediment"),EXACT(Metadata!P41,"soil"),EXACT(Metadata!P41,"wastewater/sludge"),EXACT(Metadata!P41,"water")))</f>
        <v>1</v>
      </c>
      <c r="BD42" t="b">
        <f>IF(Metadata!Q41="",FALSE,TRUE)</f>
        <v>1</v>
      </c>
      <c r="BE42" t="b">
        <f>IF(Metadata!R41="",FALSE,TRUE)</f>
        <v>1</v>
      </c>
      <c r="BF42" t="b">
        <f>OR(AND(IF(Metadata!S41="",FALSE,TRUE),OR(EXACT(Metadata!S41,"not collected"),EXACT(Metadata!S41,"not provided"),EXACT(Metadata!S41,"restricted access"))),AND(IF(Metadata!S41="",FALSE,ISNUMBER(VALUE(Metadata!S41))),Metadata!S41&gt;=-90,Metadata!S41&lt;=90))</f>
        <v>0</v>
      </c>
      <c r="BG42" t="b">
        <f>AND(IF(Metadata!T41="",FALSE,TRUE),EXACT(Metadata!T41,"Decimal degrees"))</f>
        <v>1</v>
      </c>
      <c r="BH42" t="b">
        <f>OR(AND(IF(Metadata!U41="",FALSE,TRUE),OR(EXACT(Metadata!U41,"not applicable"),EXACT(Metadata!U41,"not collected"))),IF(Metadata!U41="",FALSE,TRUE))</f>
        <v>1</v>
      </c>
      <c r="BI42" t="b">
        <f>OR(AND(IF(Metadata!V41="",FALSE,TRUE),OR(EXACT(Metadata!V41,"not collected"),EXACT(Metadata!V41,"not provided"),EXACT(Metadata!V41,"restricted access"))),AND(IF(Metadata!V41="",FALSE,ISNUMBER(VALUE(Metadata!V41))),Metadata!V41&gt;=-180,Metadata!V41&lt;=180))</f>
        <v>0</v>
      </c>
      <c r="BJ42" t="b">
        <f>AND(IF(Metadata!W41="",FALSE,TRUE),EXACT(Metadata!W41,"Decimal degrees"))</f>
        <v>1</v>
      </c>
      <c r="BK42" t="b">
        <f>IF(Metadata!X41="",FALSE,TRUE)</f>
        <v>1</v>
      </c>
      <c r="BL42" t="b">
        <f>OR(AND(IF(Metadata!Y41="",FALSE,TRUE),OR(EXACT(Metadata!Y41,"not collected"),EXACT(Metadata!Y41,"not provided"),EXACT(Metadata!Y41,"restricted access"))),AND(IF(Metadata!Y41="",FALSE,TRUE),OR(EXACT(Metadata!Y41,"TRUE"),EXACT(Metadata!Y41,"FALSE"))))</f>
        <v>1</v>
      </c>
      <c r="BM42" t="b">
        <f>OR(AND(IF(Metadata!Z41="",FALSE,TRUE),EXACT(Metadata!Z41,"not applicable")),AND(IF(Metadata!Z41="",FALSE,TRUE),OR(EXACT(Metadata!Z41,"beer"),EXACT(Metadata!Z41,"cheese"),EXACT(Metadata!Z41,"fresh water"),EXACT(Metadata!Z41,"marine sediment"),EXACT(Metadata!Z41,"sea water"),EXACT(Metadata!Z41,"sediment"),EXACT(Metadata!Z41,"soil"),EXACT(Metadata!Z41,"waste water"))))</f>
        <v>1</v>
      </c>
      <c r="BN42" t="b">
        <f>AND(IF(Metadata!AA41="",FALSE,TRUE),EXACT(Metadata!AA41,"metagenome"))</f>
        <v>1</v>
      </c>
      <c r="BO42" t="b">
        <f>AND(IF(Metadata!AB41="",FALSE,TRUE),EXACT(Metadata!AB41,"256318"))</f>
        <v>1</v>
      </c>
      <c r="BP42" t="b">
        <f>IF(Metadata!AC41="",FALSE,TRUE)</f>
        <v>1</v>
      </c>
      <c r="BQ42" t="b">
        <f>IF(Metadata!AD41="",FALSE,TRUE)</f>
        <v>1</v>
      </c>
    </row>
    <row r="43" spans="1:69" x14ac:dyDescent="0.2">
      <c r="A43" s="4" t="e">
        <f ca="1">IF(B43=" "," ",HYPERLINK(CONCATENATE("#metadata!",ADDRESS(INDEX($AJ$2:$AJ$1001,MATCH(ROWS($AH$2:AH43),$AH$2:$AH$1001,0),0),2)),INDEX($AM$2:$AM$1001,MATCH(ROWS($AH$2:AH43),$AH$2:$AH$1001,0),0)))</f>
        <v>#N/A</v>
      </c>
      <c r="B43" s="5" t="e">
        <f ca="1">IF(OR(INDEX($AI$2:$AI$1001,MATCH(ROWS($AH$2:AH43),$AH$2:$AH$1001,0),1)&gt;=100000,INDEX($AO$1005:$BQ$1005,1,MATCH(COLUMNS($AO$1006:AO1006),$AO$1006:$BQ$1006,0))&gt;=100000), " ",IF(INDEX($AO$2:$BQ$1001,MATCH(ROWS($AH$2:AH43),$AH$2:$AH$1001,0),MATCH(COLUMNS($AO$1006:AO1006),$AO$1006:$BQ$1006,0)), HYPERLINK("#",""), HYPERLINK(CONCATENATE("#Metadata!", ADDRESS(INDEX($AJ$2:$AJ$1001,MATCH(ROWS($AH$2:AH43),$AH$2:$AH$1001,0),0), INDEX($AO$1004:$BQ$1004,1,MATCH(COLUMNS($AO$1006:AO1006),$AO$1006:$BQ$1006,0)))),"Fix")))</f>
        <v>#N/A</v>
      </c>
      <c r="C43" s="5" t="e">
        <f ca="1">IF(OR(INDEX($AI$2:$AI$1001,MATCH(ROWS($AH$2:AH43),$AH$2:$AH$1001,0),1)&gt;=100000,INDEX($AO$1005:$BQ$1005,1,MATCH(COLUMNS($AO$1006:AP1006),$AO$1006:$BQ$1006,0))&gt;=100000), " ",IF(INDEX($AO$2:$BQ$1001,MATCH(ROWS($AH$2:AH43),$AH$2:$AH$1001,0),MATCH(COLUMNS($AO$1006:AP1006),$AO$1006:$BQ$1006,0)), HYPERLINK("#",""), HYPERLINK(CONCATENATE("#Metadata!", ADDRESS(INDEX($AJ$2:$AJ$1001,MATCH(ROWS($AH$2:AH43),$AH$2:$AH$1001,0),0), INDEX($AO$1004:$BQ$1004,1,MATCH(COLUMNS($AO$1006:AP1006),$AO$1006:$BQ$1006,0)))),"Fix")))</f>
        <v>#N/A</v>
      </c>
      <c r="D43" s="5" t="e">
        <f ca="1">IF(OR(INDEX($AI$2:$AI$1001,MATCH(ROWS($AH$2:AH43),$AH$2:$AH$1001,0),1)&gt;=100000,INDEX($AO$1005:$BQ$1005,1,MATCH(COLUMNS($AO$1006:AQ1006),$AO$1006:$BQ$1006,0))&gt;=100000), " ",IF(INDEX($AO$2:$BQ$1001,MATCH(ROWS($AH$2:AH43),$AH$2:$AH$1001,0),MATCH(COLUMNS($AO$1006:AQ1006),$AO$1006:$BQ$1006,0)), HYPERLINK("#",""), HYPERLINK(CONCATENATE("#Metadata!", ADDRESS(INDEX($AJ$2:$AJ$1001,MATCH(ROWS($AH$2:AH43),$AH$2:$AH$1001,0),0), INDEX($AO$1004:$BQ$1004,1,MATCH(COLUMNS($AO$1006:AQ1006),$AO$1006:$BQ$1006,0)))),"Fix")))</f>
        <v>#N/A</v>
      </c>
      <c r="E43" s="5" t="e">
        <f ca="1">IF(OR(INDEX($AI$2:$AI$1001,MATCH(ROWS($AH$2:AH43),$AH$2:$AH$1001,0),1)&gt;=100000,INDEX($AO$1005:$BQ$1005,1,MATCH(COLUMNS($AO$1006:AR1006),$AO$1006:$BQ$1006,0))&gt;=100000), " ",IF(INDEX($AO$2:$BQ$1001,MATCH(ROWS($AH$2:AH43),$AH$2:$AH$1001,0),MATCH(COLUMNS($AO$1006:AR1006),$AO$1006:$BQ$1006,0)), HYPERLINK("#",""), HYPERLINK(CONCATENATE("#Metadata!", ADDRESS(INDEX($AJ$2:$AJ$1001,MATCH(ROWS($AH$2:AH43),$AH$2:$AH$1001,0),0), INDEX($AO$1004:$BQ$1004,1,MATCH(COLUMNS($AO$1006:AR1006),$AO$1006:$BQ$1006,0)))),"Fix")))</f>
        <v>#N/A</v>
      </c>
      <c r="F43" s="5" t="e">
        <f ca="1">IF(OR(INDEX($AI$2:$AI$1001,MATCH(ROWS($AH$2:AH43),$AH$2:$AH$1001,0),1)&gt;=100000,INDEX($AO$1005:$BQ$1005,1,MATCH(COLUMNS($AO$1006:AS1006),$AO$1006:$BQ$1006,0))&gt;=100000), " ",IF(INDEX($AO$2:$BQ$1001,MATCH(ROWS($AH$2:AH43),$AH$2:$AH$1001,0),MATCH(COLUMNS($AO$1006:AS1006),$AO$1006:$BQ$1006,0)), HYPERLINK("#",""), HYPERLINK(CONCATENATE("#Metadata!", ADDRESS(INDEX($AJ$2:$AJ$1001,MATCH(ROWS($AH$2:AH43),$AH$2:$AH$1001,0),0), INDEX($AO$1004:$BQ$1004,1,MATCH(COLUMNS($AO$1006:AS1006),$AO$1006:$BQ$1006,0)))),"Fix")))</f>
        <v>#N/A</v>
      </c>
      <c r="G43" s="5" t="e">
        <f ca="1">IF(OR(INDEX($AI$2:$AI$1001,MATCH(ROWS($AH$2:AH43),$AH$2:$AH$1001,0),1)&gt;=100000,INDEX($AO$1005:$BQ$1005,1,MATCH(COLUMNS($AO$1006:AT1006),$AO$1006:$BQ$1006,0))&gt;=100000), " ",IF(INDEX($AO$2:$BQ$1001,MATCH(ROWS($AH$2:AH43),$AH$2:$AH$1001,0),MATCH(COLUMNS($AO$1006:AT1006),$AO$1006:$BQ$1006,0)), HYPERLINK("#",""), HYPERLINK(CONCATENATE("#Metadata!", ADDRESS(INDEX($AJ$2:$AJ$1001,MATCH(ROWS($AH$2:AH43),$AH$2:$AH$1001,0),0), INDEX($AO$1004:$BQ$1004,1,MATCH(COLUMNS($AO$1006:AT1006),$AO$1006:$BQ$1006,0)))),"Fix")))</f>
        <v>#N/A</v>
      </c>
      <c r="H43" s="5" t="e">
        <f ca="1">IF(OR(INDEX($AI$2:$AI$1001,MATCH(ROWS($AH$2:AH43),$AH$2:$AH$1001,0),1)&gt;=100000,INDEX($AO$1005:$BQ$1005,1,MATCH(COLUMNS($AO$1006:AU1006),$AO$1006:$BQ$1006,0))&gt;=100000), " ",IF(INDEX($AO$2:$BQ$1001,MATCH(ROWS($AH$2:AH43),$AH$2:$AH$1001,0),MATCH(COLUMNS($AO$1006:AU1006),$AO$1006:$BQ$1006,0)), HYPERLINK("#",""), HYPERLINK(CONCATENATE("#Metadata!", ADDRESS(INDEX($AJ$2:$AJ$1001,MATCH(ROWS($AH$2:AH43),$AH$2:$AH$1001,0),0), INDEX($AO$1004:$BQ$1004,1,MATCH(COLUMNS($AO$1006:AU1006),$AO$1006:$BQ$1006,0)))),"Fix")))</f>
        <v>#N/A</v>
      </c>
      <c r="I43" s="5" t="e">
        <f ca="1">IF(OR(INDEX($AI$2:$AI$1001,MATCH(ROWS($AH$2:AH43),$AH$2:$AH$1001,0),1)&gt;=100000,INDEX($AO$1005:$BQ$1005,1,MATCH(COLUMNS($AO$1006:AV1006),$AO$1006:$BQ$1006,0))&gt;=100000), " ",IF(INDEX($AO$2:$BQ$1001,MATCH(ROWS($AH$2:AH43),$AH$2:$AH$1001,0),MATCH(COLUMNS($AO$1006:AV1006),$AO$1006:$BQ$1006,0)), HYPERLINK("#",""), HYPERLINK(CONCATENATE("#Metadata!", ADDRESS(INDEX($AJ$2:$AJ$1001,MATCH(ROWS($AH$2:AH43),$AH$2:$AH$1001,0),0), INDEX($AO$1004:$BQ$1004,1,MATCH(COLUMNS($AO$1006:AV1006),$AO$1006:$BQ$1006,0)))),"Fix")))</f>
        <v>#N/A</v>
      </c>
      <c r="J43" s="5" t="e">
        <f ca="1">IF(OR(INDEX($AI$2:$AI$1001,MATCH(ROWS($AH$2:AH43),$AH$2:$AH$1001,0),1)&gt;=100000,INDEX($AO$1005:$BQ$1005,1,MATCH(COLUMNS($AO$1006:AW1006),$AO$1006:$BQ$1006,0))&gt;=100000), " ",IF(INDEX($AO$2:$BQ$1001,MATCH(ROWS($AH$2:AH43),$AH$2:$AH$1001,0),MATCH(COLUMNS($AO$1006:AW1006),$AO$1006:$BQ$1006,0)), HYPERLINK("#",""), HYPERLINK(CONCATENATE("#Metadata!", ADDRESS(INDEX($AJ$2:$AJ$1001,MATCH(ROWS($AH$2:AH43),$AH$2:$AH$1001,0),0), INDEX($AO$1004:$BQ$1004,1,MATCH(COLUMNS($AO$1006:AW1006),$AO$1006:$BQ$1006,0)))),"Fix")))</f>
        <v>#N/A</v>
      </c>
      <c r="K43" s="5" t="e">
        <f ca="1">IF(OR(INDEX($AI$2:$AI$1001,MATCH(ROWS($AH$2:AH43),$AH$2:$AH$1001,0),1)&gt;=100000,INDEX($AO$1005:$BQ$1005,1,MATCH(COLUMNS($AO$1006:AX1006),$AO$1006:$BQ$1006,0))&gt;=100000), " ",IF(INDEX($AO$2:$BQ$1001,MATCH(ROWS($AH$2:AH43),$AH$2:$AH$1001,0),MATCH(COLUMNS($AO$1006:AX1006),$AO$1006:$BQ$1006,0)), HYPERLINK("#",""), HYPERLINK(CONCATENATE("#Metadata!", ADDRESS(INDEX($AJ$2:$AJ$1001,MATCH(ROWS($AH$2:AH43),$AH$2:$AH$1001,0),0), INDEX($AO$1004:$BQ$1004,1,MATCH(COLUMNS($AO$1006:AX1006),$AO$1006:$BQ$1006,0)))),"Fix")))</f>
        <v>#N/A</v>
      </c>
      <c r="L43" s="5" t="e">
        <f ca="1">IF(OR(INDEX($AI$2:$AI$1001,MATCH(ROWS($AH$2:AH43),$AH$2:$AH$1001,0),1)&gt;=100000,INDEX($AO$1005:$BQ$1005,1,MATCH(COLUMNS($AO$1006:AY1006),$AO$1006:$BQ$1006,0))&gt;=100000), " ",IF(INDEX($AO$2:$BQ$1001,MATCH(ROWS($AH$2:AH43),$AH$2:$AH$1001,0),MATCH(COLUMNS($AO$1006:AY1006),$AO$1006:$BQ$1006,0)), HYPERLINK("#",""), HYPERLINK(CONCATENATE("#Metadata!", ADDRESS(INDEX($AJ$2:$AJ$1001,MATCH(ROWS($AH$2:AH43),$AH$2:$AH$1001,0),0), INDEX($AO$1004:$BQ$1004,1,MATCH(COLUMNS($AO$1006:AY1006),$AO$1006:$BQ$1006,0)))),"Fix")))</f>
        <v>#N/A</v>
      </c>
      <c r="M43" s="5" t="e">
        <f ca="1">IF(OR(INDEX($AI$2:$AI$1001,MATCH(ROWS($AH$2:AH43),$AH$2:$AH$1001,0),1)&gt;=100000,INDEX($AO$1005:$BQ$1005,1,MATCH(COLUMNS($AO$1006:AZ1006),$AO$1006:$BQ$1006,0))&gt;=100000), " ",IF(INDEX($AO$2:$BQ$1001,MATCH(ROWS($AH$2:AH43),$AH$2:$AH$1001,0),MATCH(COLUMNS($AO$1006:AZ1006),$AO$1006:$BQ$1006,0)), HYPERLINK("#",""), HYPERLINK(CONCATENATE("#Metadata!", ADDRESS(INDEX($AJ$2:$AJ$1001,MATCH(ROWS($AH$2:AH43),$AH$2:$AH$1001,0),0), INDEX($AO$1004:$BQ$1004,1,MATCH(COLUMNS($AO$1006:AZ1006),$AO$1006:$BQ$1006,0)))),"Fix")))</f>
        <v>#N/A</v>
      </c>
      <c r="N43" s="5" t="e">
        <f ca="1">IF(OR(INDEX($AI$2:$AI$1001,MATCH(ROWS($AH$2:AH43),$AH$2:$AH$1001,0),1)&gt;=100000,INDEX($AO$1005:$BQ$1005,1,MATCH(COLUMNS($AO$1006:BA1006),$AO$1006:$BQ$1006,0))&gt;=100000), " ",IF(INDEX($AO$2:$BQ$1001,MATCH(ROWS($AH$2:AH43),$AH$2:$AH$1001,0),MATCH(COLUMNS($AO$1006:BA1006),$AO$1006:$BQ$1006,0)), HYPERLINK("#",""), HYPERLINK(CONCATENATE("#Metadata!", ADDRESS(INDEX($AJ$2:$AJ$1001,MATCH(ROWS($AH$2:AH43),$AH$2:$AH$1001,0),0), INDEX($AO$1004:$BQ$1004,1,MATCH(COLUMNS($AO$1006:BA1006),$AO$1006:$BQ$1006,0)))),"Fix")))</f>
        <v>#N/A</v>
      </c>
      <c r="O43" s="5" t="e">
        <f ca="1">IF(OR(INDEX($AI$2:$AI$1001,MATCH(ROWS($AH$2:AH43),$AH$2:$AH$1001,0),1)&gt;=100000,INDEX($AO$1005:$BQ$1005,1,MATCH(COLUMNS($AO$1006:BB1006),$AO$1006:$BQ$1006,0))&gt;=100000), " ",IF(INDEX($AO$2:$BQ$1001,MATCH(ROWS($AH$2:AH43),$AH$2:$AH$1001,0),MATCH(COLUMNS($AO$1006:BB1006),$AO$1006:$BQ$1006,0)), HYPERLINK("#",""), HYPERLINK(CONCATENATE("#Metadata!", ADDRESS(INDEX($AJ$2:$AJ$1001,MATCH(ROWS($AH$2:AH43),$AH$2:$AH$1001,0),0), INDEX($AO$1004:$BQ$1004,1,MATCH(COLUMNS($AO$1006:BB1006),$AO$1006:$BQ$1006,0)))),"Fix")))</f>
        <v>#N/A</v>
      </c>
      <c r="P43" s="5" t="e">
        <f ca="1">IF(OR(INDEX($AI$2:$AI$1001,MATCH(ROWS($AH$2:AH43),$AH$2:$AH$1001,0),1)&gt;=100000,INDEX($AO$1005:$BQ$1005,1,MATCH(COLUMNS($AO$1006:BC1006),$AO$1006:$BQ$1006,0))&gt;=100000), " ",IF(INDEX($AO$2:$BQ$1001,MATCH(ROWS($AH$2:AH43),$AH$2:$AH$1001,0),MATCH(COLUMNS($AO$1006:BC1006),$AO$1006:$BQ$1006,0)), HYPERLINK("#",""), HYPERLINK(CONCATENATE("#Metadata!", ADDRESS(INDEX($AJ$2:$AJ$1001,MATCH(ROWS($AH$2:AH43),$AH$2:$AH$1001,0),0), INDEX($AO$1004:$BQ$1004,1,MATCH(COLUMNS($AO$1006:BC1006),$AO$1006:$BQ$1006,0)))),"Fix")))</f>
        <v>#N/A</v>
      </c>
      <c r="Q43" s="5" t="e">
        <f ca="1">IF(OR(INDEX($AI$2:$AI$1001,MATCH(ROWS($AH$2:AH43),$AH$2:$AH$1001,0),1)&gt;=100000,INDEX($AO$1005:$BQ$1005,1,MATCH(COLUMNS($AO$1006:BD1006),$AO$1006:$BQ$1006,0))&gt;=100000), " ",IF(INDEX($AO$2:$BQ$1001,MATCH(ROWS($AH$2:AH43),$AH$2:$AH$1001,0),MATCH(COLUMNS($AO$1006:BD1006),$AO$1006:$BQ$1006,0)), HYPERLINK("#",""), HYPERLINK(CONCATENATE("#Metadata!", ADDRESS(INDEX($AJ$2:$AJ$1001,MATCH(ROWS($AH$2:AH43),$AH$2:$AH$1001,0),0), INDEX($AO$1004:$BQ$1004,1,MATCH(COLUMNS($AO$1006:BD1006),$AO$1006:$BQ$1006,0)))),"Fix")))</f>
        <v>#N/A</v>
      </c>
      <c r="R43" s="5" t="e">
        <f ca="1">IF(OR(INDEX($AI$2:$AI$1001,MATCH(ROWS($AH$2:AH43),$AH$2:$AH$1001,0),1)&gt;=100000,INDEX($AO$1005:$BQ$1005,1,MATCH(COLUMNS($AO$1006:BE1006),$AO$1006:$BQ$1006,0))&gt;=100000), " ",IF(INDEX($AO$2:$BQ$1001,MATCH(ROWS($AH$2:AH43),$AH$2:$AH$1001,0),MATCH(COLUMNS($AO$1006:BE1006),$AO$1006:$BQ$1006,0)), HYPERLINK("#",""), HYPERLINK(CONCATENATE("#Metadata!", ADDRESS(INDEX($AJ$2:$AJ$1001,MATCH(ROWS($AH$2:AH43),$AH$2:$AH$1001,0),0), INDEX($AO$1004:$BQ$1004,1,MATCH(COLUMNS($AO$1006:BE1006),$AO$1006:$BQ$1006,0)))),"Fix")))</f>
        <v>#N/A</v>
      </c>
      <c r="S43" s="5" t="e">
        <f ca="1">IF(OR(INDEX($AI$2:$AI$1001,MATCH(ROWS($AH$2:AH43),$AH$2:$AH$1001,0),1)&gt;=100000,INDEX($AO$1005:$BQ$1005,1,MATCH(COLUMNS($AO$1006:BF1006),$AO$1006:$BQ$1006,0))&gt;=100000), " ",IF(INDEX($AO$2:$BQ$1001,MATCH(ROWS($AH$2:AH43),$AH$2:$AH$1001,0),MATCH(COLUMNS($AO$1006:BF1006),$AO$1006:$BQ$1006,0)), HYPERLINK("#",""), HYPERLINK(CONCATENATE("#Metadata!", ADDRESS(INDEX($AJ$2:$AJ$1001,MATCH(ROWS($AH$2:AH43),$AH$2:$AH$1001,0),0), INDEX($AO$1004:$BQ$1004,1,MATCH(COLUMNS($AO$1006:BF1006),$AO$1006:$BQ$1006,0)))),"Fix")))</f>
        <v>#N/A</v>
      </c>
      <c r="T43" s="5" t="e">
        <f ca="1">IF(OR(INDEX($AI$2:$AI$1001,MATCH(ROWS($AH$2:AH43),$AH$2:$AH$1001,0),1)&gt;=100000,INDEX($AO$1005:$BQ$1005,1,MATCH(COLUMNS($AO$1006:BG1006),$AO$1006:$BQ$1006,0))&gt;=100000), " ",IF(INDEX($AO$2:$BQ$1001,MATCH(ROWS($AH$2:AH43),$AH$2:$AH$1001,0),MATCH(COLUMNS($AO$1006:BG1006),$AO$1006:$BQ$1006,0)), HYPERLINK("#",""), HYPERLINK(CONCATENATE("#Metadata!", ADDRESS(INDEX($AJ$2:$AJ$1001,MATCH(ROWS($AH$2:AH43),$AH$2:$AH$1001,0),0), INDEX($AO$1004:$BQ$1004,1,MATCH(COLUMNS($AO$1006:BG1006),$AO$1006:$BQ$1006,0)))),"Fix")))</f>
        <v>#N/A</v>
      </c>
      <c r="U43" s="5" t="e">
        <f ca="1">IF(OR(INDEX($AI$2:$AI$1001,MATCH(ROWS($AH$2:AH43),$AH$2:$AH$1001,0),1)&gt;=100000,INDEX($AO$1005:$BQ$1005,1,MATCH(COLUMNS($AO$1006:BH1006),$AO$1006:$BQ$1006,0))&gt;=100000), " ",IF(INDEX($AO$2:$BQ$1001,MATCH(ROWS($AH$2:AH43),$AH$2:$AH$1001,0),MATCH(COLUMNS($AO$1006:BH1006),$AO$1006:$BQ$1006,0)), HYPERLINK("#",""), HYPERLINK(CONCATENATE("#Metadata!", ADDRESS(INDEX($AJ$2:$AJ$1001,MATCH(ROWS($AH$2:AH43),$AH$2:$AH$1001,0),0), INDEX($AO$1004:$BQ$1004,1,MATCH(COLUMNS($AO$1006:BH1006),$AO$1006:$BQ$1006,0)))),"Fix")))</f>
        <v>#N/A</v>
      </c>
      <c r="V43" s="5" t="e">
        <f ca="1">IF(OR(INDEX($AI$2:$AI$1001,MATCH(ROWS($AH$2:AH43),$AH$2:$AH$1001,0),1)&gt;=100000,INDEX($AO$1005:$BQ$1005,1,MATCH(COLUMNS($AO$1006:BI1006),$AO$1006:$BQ$1006,0))&gt;=100000), " ",IF(INDEX($AO$2:$BQ$1001,MATCH(ROWS($AH$2:AH43),$AH$2:$AH$1001,0),MATCH(COLUMNS($AO$1006:BI1006),$AO$1006:$BQ$1006,0)), HYPERLINK("#",""), HYPERLINK(CONCATENATE("#Metadata!", ADDRESS(INDEX($AJ$2:$AJ$1001,MATCH(ROWS($AH$2:AH43),$AH$2:$AH$1001,0),0), INDEX($AO$1004:$BQ$1004,1,MATCH(COLUMNS($AO$1006:BI1006),$AO$1006:$BQ$1006,0)))),"Fix")))</f>
        <v>#N/A</v>
      </c>
      <c r="W43" s="5" t="e">
        <f ca="1">IF(OR(INDEX($AI$2:$AI$1001,MATCH(ROWS($AH$2:AH43),$AH$2:$AH$1001,0),1)&gt;=100000,INDEX($AO$1005:$BQ$1005,1,MATCH(COLUMNS($AO$1006:BJ1006),$AO$1006:$BQ$1006,0))&gt;=100000), " ",IF(INDEX($AO$2:$BQ$1001,MATCH(ROWS($AH$2:AH43),$AH$2:$AH$1001,0),MATCH(COLUMNS($AO$1006:BJ1006),$AO$1006:$BQ$1006,0)), HYPERLINK("#",""), HYPERLINK(CONCATENATE("#Metadata!", ADDRESS(INDEX($AJ$2:$AJ$1001,MATCH(ROWS($AH$2:AH43),$AH$2:$AH$1001,0),0), INDEX($AO$1004:$BQ$1004,1,MATCH(COLUMNS($AO$1006:BJ1006),$AO$1006:$BQ$1006,0)))),"Fix")))</f>
        <v>#N/A</v>
      </c>
      <c r="X43" s="5" t="e">
        <f ca="1">IF(OR(INDEX($AI$2:$AI$1001,MATCH(ROWS($AH$2:AH43),$AH$2:$AH$1001,0),1)&gt;=100000,INDEX($AO$1005:$BQ$1005,1,MATCH(COLUMNS($AO$1006:BK1006),$AO$1006:$BQ$1006,0))&gt;=100000), " ",IF(INDEX($AO$2:$BQ$1001,MATCH(ROWS($AH$2:AH43),$AH$2:$AH$1001,0),MATCH(COLUMNS($AO$1006:BK1006),$AO$1006:$BQ$1006,0)), HYPERLINK("#",""), HYPERLINK(CONCATENATE("#Metadata!", ADDRESS(INDEX($AJ$2:$AJ$1001,MATCH(ROWS($AH$2:AH43),$AH$2:$AH$1001,0),0), INDEX($AO$1004:$BQ$1004,1,MATCH(COLUMNS($AO$1006:BK1006),$AO$1006:$BQ$1006,0)))),"Fix")))</f>
        <v>#N/A</v>
      </c>
      <c r="Y43" s="5" t="e">
        <f ca="1">IF(OR(INDEX($AI$2:$AI$1001,MATCH(ROWS($AH$2:AH43),$AH$2:$AH$1001,0),1)&gt;=100000,INDEX($AO$1005:$BQ$1005,1,MATCH(COLUMNS($AO$1006:BL1006),$AO$1006:$BQ$1006,0))&gt;=100000), " ",IF(INDEX($AO$2:$BQ$1001,MATCH(ROWS($AH$2:AH43),$AH$2:$AH$1001,0),MATCH(COLUMNS($AO$1006:BL1006),$AO$1006:$BQ$1006,0)), HYPERLINK("#",""), HYPERLINK(CONCATENATE("#Metadata!", ADDRESS(INDEX($AJ$2:$AJ$1001,MATCH(ROWS($AH$2:AH43),$AH$2:$AH$1001,0),0), INDEX($AO$1004:$BQ$1004,1,MATCH(COLUMNS($AO$1006:BL1006),$AO$1006:$BQ$1006,0)))),"Fix")))</f>
        <v>#N/A</v>
      </c>
      <c r="Z43" s="5" t="e">
        <f ca="1">IF(OR(INDEX($AI$2:$AI$1001,MATCH(ROWS($AH$2:AH43),$AH$2:$AH$1001,0),1)&gt;=100000,INDEX($AO$1005:$BQ$1005,1,MATCH(COLUMNS($AO$1006:BM1006),$AO$1006:$BQ$1006,0))&gt;=100000), " ",IF(INDEX($AO$2:$BQ$1001,MATCH(ROWS($AH$2:AH43),$AH$2:$AH$1001,0),MATCH(COLUMNS($AO$1006:BM1006),$AO$1006:$BQ$1006,0)), HYPERLINK("#",""), HYPERLINK(CONCATENATE("#Metadata!", ADDRESS(INDEX($AJ$2:$AJ$1001,MATCH(ROWS($AH$2:AH43),$AH$2:$AH$1001,0),0), INDEX($AO$1004:$BQ$1004,1,MATCH(COLUMNS($AO$1006:BM1006),$AO$1006:$BQ$1006,0)))),"Fix")))</f>
        <v>#N/A</v>
      </c>
      <c r="AA43" s="5" t="e">
        <f ca="1">IF(OR(INDEX($AI$2:$AI$1001,MATCH(ROWS($AH$2:AH43),$AH$2:$AH$1001,0),1)&gt;=100000,INDEX($AO$1005:$BQ$1005,1,MATCH(COLUMNS($AO$1006:BN1006),$AO$1006:$BQ$1006,0))&gt;=100000), " ",IF(INDEX($AO$2:$BQ$1001,MATCH(ROWS($AH$2:AH43),$AH$2:$AH$1001,0),MATCH(COLUMNS($AO$1006:BN1006),$AO$1006:$BQ$1006,0)), HYPERLINK("#",""), HYPERLINK(CONCATENATE("#Metadata!", ADDRESS(INDEX($AJ$2:$AJ$1001,MATCH(ROWS($AH$2:AH43),$AH$2:$AH$1001,0),0), INDEX($AO$1004:$BQ$1004,1,MATCH(COLUMNS($AO$1006:BN1006),$AO$1006:$BQ$1006,0)))),"Fix")))</f>
        <v>#N/A</v>
      </c>
      <c r="AB43" s="5" t="e">
        <f ca="1">IF(OR(INDEX($AI$2:$AI$1001,MATCH(ROWS($AH$2:AH43),$AH$2:$AH$1001,0),1)&gt;=100000,INDEX($AO$1005:$BQ$1005,1,MATCH(COLUMNS($AO$1006:BO1006),$AO$1006:$BQ$1006,0))&gt;=100000), " ",IF(INDEX($AO$2:$BQ$1001,MATCH(ROWS($AH$2:AH43),$AH$2:$AH$1001,0),MATCH(COLUMNS($AO$1006:BO1006),$AO$1006:$BQ$1006,0)), HYPERLINK("#",""), HYPERLINK(CONCATENATE("#Metadata!", ADDRESS(INDEX($AJ$2:$AJ$1001,MATCH(ROWS($AH$2:AH43),$AH$2:$AH$1001,0),0), INDEX($AO$1004:$BQ$1004,1,MATCH(COLUMNS($AO$1006:BO1006),$AO$1006:$BQ$1006,0)))),"Fix")))</f>
        <v>#N/A</v>
      </c>
      <c r="AC43" s="5" t="e">
        <f ca="1">IF(OR(INDEX($AI$2:$AI$1001,MATCH(ROWS($AH$2:AH43),$AH$2:$AH$1001,0),1)&gt;=100000,INDEX($AO$1005:$BQ$1005,1,MATCH(COLUMNS($AO$1006:BP1006),$AO$1006:$BQ$1006,0))&gt;=100000), " ",IF(INDEX($AO$2:$BQ$1001,MATCH(ROWS($AH$2:AH43),$AH$2:$AH$1001,0),MATCH(COLUMNS($AO$1006:BP1006),$AO$1006:$BQ$1006,0)), HYPERLINK("#",""), HYPERLINK(CONCATENATE("#Metadata!", ADDRESS(INDEX($AJ$2:$AJ$1001,MATCH(ROWS($AH$2:AH43),$AH$2:$AH$1001,0),0), INDEX($AO$1004:$BQ$1004,1,MATCH(COLUMNS($AO$1006:BP1006),$AO$1006:$BQ$1006,0)))),"Fix")))</f>
        <v>#N/A</v>
      </c>
      <c r="AD43" s="5" t="e">
        <f ca="1">IF(OR(INDEX($AI$2:$AI$1001,MATCH(ROWS($AH$2:AH43),$AH$2:$AH$1001,0),1)&gt;=100000,INDEX($AO$1005:$BQ$1005,1,MATCH(COLUMNS($AO$1006:BQ1006),$AO$1006:$BQ$1006,0))&gt;=100000), " ",IF(INDEX($AO$2:$BQ$1001,MATCH(ROWS($AH$2:AH43),$AH$2:$AH$1001,0),MATCH(COLUMNS($AO$1006:BQ1006),$AO$1006:$BQ$1006,0)), HYPERLINK("#",""), HYPERLINK(CONCATENATE("#Metadata!", ADDRESS(INDEX($AJ$2:$AJ$1001,MATCH(ROWS($AH$2:AH43),$AH$2:$AH$1001,0),0), INDEX($AO$1004:$BQ$1004,1,MATCH(COLUMNS($AO$1006:BQ1006),$AO$1006:$BQ$1006,0)))),"Fix")))</f>
        <v>#REF!</v>
      </c>
      <c r="AH43">
        <f ca="1"/>
        <v>40</v>
      </c>
      <c r="AI43">
        <f ca="1"/>
        <v>43</v>
      </c>
      <c r="AJ43">
        <v>43</v>
      </c>
      <c r="AK43" t="b">
        <f t="shared" ca="1" si="0"/>
        <v>0</v>
      </c>
      <c r="AL43" t="b">
        <f>COUNTBLANK(Metadata!B43:AD43)=COLUMNS(Metadata!B43:AD43)</f>
        <v>0</v>
      </c>
      <c r="AM43" t="str">
        <v>Anaxyrus.boreas.Water.BTP.57Water</v>
      </c>
      <c r="AO43" t="b">
        <f ca="1">AND(IF(Metadata!B42="",FALSE,TRUE),COUNTIF(Metadata!B:B, Metadata!B42) = 1,NOT(ISERROR(SUMPRODUCT(SEARCH(MID(Metadata!B42,ROW(INDIRECT("1:"&amp;LEN(Metadata!B42))), 1),"0123456789abcdefghijklmnopqrstuvwxyzABCDEFGHIJKLMNOPQRSTUVWXYZ.")))))</f>
        <v>1</v>
      </c>
      <c r="AP43" t="b">
        <f>IF(Metadata!C42="",FALSE,TRUE)</f>
        <v>1</v>
      </c>
      <c r="AQ43" t="b">
        <f>IF(Metadata!D42="",FALSE,TRUE)</f>
        <v>1</v>
      </c>
      <c r="AR43" t="b">
        <f ca="1">OR(AND(IF(Metadata!E42="",FALSE,TRUE),OR(EXACT(Metadata!E42,"not collected"),EXACT(Metadata!E42,"not provided"),EXACT(Metadata!E42,"restricted access"))),AND(IF(Metadata!E42="",FALSE,TRUE),AND(AND(IFERROR(INT(LEFT(Metadata!E42,4))&gt;1900,FALSE),IFERROR(INT(LEFT(Metadata!E42,4))&lt;=YEAR(NOW()),FALSE)), OR(MID(Metadata!E42,5,1)="", AND(AND(MID(Metadata!E42,5,1)="-",IFERROR(INT(MID(Metadata!E42,6,1))&gt;=0,FALSE),IFERROR(INT(MID(Metadata!E42,6,1))&lt;=1,FALSE),NOT(MID(Metadata!E42,7,1)=""),IFERROR(INT(MID(Metadata!E42,6,2))&gt;=1,FALSE),IFERROR(INT(MID(Metadata!E42,6,2))&lt;=12,FALSE)), OR(MID(Metadata!E42,8,1)="", AND(AND(MID(Metadata!E42,8,1)="-",IFERROR(INT(MID(Metadata!E42,9,1))&gt;=0,FALSE),IFERROR(INT(MID(Metadata!E42,9,1))&lt;=3,FALSE),NOT(MID(Metadata!E42,10,1)=""),IFERROR(INT(MID(Metadata!E42,9,2))&gt;=1,FALSE),IFERROR(INT(MID(Metadata!E42,9,2))&lt;=31,FALSE)), OR(MID(Metadata!E42,11,1)="", AND(AND(MID(Metadata!E42,11,1)=" ",IFERROR(INT(MID(Metadata!E42,12,1))&gt;=0,FALSE),IFERROR(INT(MID(Metadata!E42,12,1))&lt;=2,FALSE),NOT(MID(Metadata!E42,13,1)=""),IFERROR(INT(MID(Metadata!E42,12,2))&gt;=0,FALSE),IFERROR(INT(MID(Metadata!E42,12,2))&lt;=23,FALSE)), OR(MID(Metadata!E42,14,1)="", AND(AND(MID(Metadata!E42,14,1)=":",IFERROR(INT(MID(Metadata!E42,15,1))&gt;=0,FALSE),IFERROR(INT(MID(Metadata!E42,15,1))&lt;=5,FALSE),NOT(MID(Metadata!E42,16,1)=""),IFERROR(INT(MID(Metadata!E42,15,2))&gt;=0,FALSE),IFERROR(INT(MID(Metadata!E42,15,2))&lt;=59,FALSE)), OR(MID(Metadata!E42,17,1)="", AND(AND(MID(Metadata!E42,17,1)=":",IFERROR(INT(MID(Metadata!E42,18,1))&gt;=0,FALSE),IFERROR(INT(MID(Metadata!E42,18,1))&lt;=5,FALSE),NOT(MID(Metadata!E42,19,1)=""),IFERROR(INT(MID(Metadata!E42,18,2))&gt;=0,FALSE),IFERROR(INT(MID(Metadata!E42,18,2))&lt;=59,FALSE)), LEN(Metadata!E42)&lt;=19)))))))))))))</f>
        <v>0</v>
      </c>
      <c r="AS43" t="b">
        <f>IF(Metadata!F42="",FALSE,TRUE)</f>
        <v>1</v>
      </c>
      <c r="AT43" t="b">
        <f>OR(AND(IF(Metadata!G42="",FALSE,TRUE),OR(EXACT(Metadata!G42,"not collected"),EXACT(Metadata!G42,"not provided"))),AND(IF(Metadata!G42="",FALSE,TRUE),OR(EXACT(Metadata!G42,"TRUE"),EXACT(Metadata!G42,"FALSE"))))</f>
        <v>1</v>
      </c>
      <c r="AU43" t="b">
        <f>OR(AND(IF(Metadata!H42="",FALSE,TRUE),OR(EXACT(Metadata!H42,"not collected"),EXACT(Metadata!H42,"not provided"),EXACT(Metadata!H42,"restricted access"))),AND(IF(Metadata!H42="",FALSE,ISNUMBER(VALUE(Metadata!H42))),Metadata!H42&gt;=-413))</f>
        <v>0</v>
      </c>
      <c r="AV43" t="b">
        <f>AND(IF(Metadata!I42="",FALSE,TRUE),EXACT(Metadata!I42,"meters"))</f>
        <v>1</v>
      </c>
      <c r="AW43" t="b">
        <f>AND(IF(Metadata!J42="",FALSE,TRUE),EXACT(Metadata!J42,"free-living"))</f>
        <v>1</v>
      </c>
      <c r="AX43" t="b">
        <f>AND(IF(Metadata!K42="",FALSE,TRUE),OR(EXACT(Metadata!K42,"saline"),EXACT(Metadata!K42,"non-saline")))</f>
        <v>1</v>
      </c>
      <c r="AY43" t="b">
        <f>AND(IF(Metadata!L42="",FALSE,TRUE),OR(EXACT(Metadata!L42,"sub-surface (non-saline)"),EXACT(Metadata!L42,"surface (non-saline)"),EXACT(Metadata!L42,"water (non-saline)"),EXACT(Metadata!L42,"soil (non-saline)"),EXACT(Metadata!L42,"aerosol (non-saline)"),EXACT(Metadata!L42,"sediment (non-saline)"),EXACT(Metadata!L42,"surface (saline)"),EXACT(Metadata!L42,"water (saline)"),EXACT(Metadata!L42,"hypersaline (saline)"),EXACT(Metadata!L42,"aerosol (saline)"),EXACT(Metadata!L42,"sediment (saline)")))</f>
        <v>1</v>
      </c>
      <c r="AZ43" t="b">
        <f>IF(Metadata!M42="",FALSE,TRUE)</f>
        <v>1</v>
      </c>
      <c r="BA43" t="b">
        <f>IF(Metadata!N42="",FALSE,TRUE)</f>
        <v>1</v>
      </c>
      <c r="BB43" t="b">
        <f>IF(Metadata!O42="",FALSE,TRUE)</f>
        <v>1</v>
      </c>
      <c r="BC43" t="b">
        <f>AND(IF(Metadata!P42="",FALSE,TRUE),OR(EXACT(Metadata!P42,"air"),EXACT(Metadata!P42,"microbial mat/biofilm"),EXACT(Metadata!P42,"misc environment"),EXACT(Metadata!P42,"sediment"),EXACT(Metadata!P42,"soil"),EXACT(Metadata!P42,"wastewater/sludge"),EXACT(Metadata!P42,"water")))</f>
        <v>1</v>
      </c>
      <c r="BD43" t="b">
        <f>IF(Metadata!Q42="",FALSE,TRUE)</f>
        <v>1</v>
      </c>
      <c r="BE43" t="b">
        <f>IF(Metadata!R42="",FALSE,TRUE)</f>
        <v>1</v>
      </c>
      <c r="BF43" t="b">
        <f>OR(AND(IF(Metadata!S42="",FALSE,TRUE),OR(EXACT(Metadata!S42,"not collected"),EXACT(Metadata!S42,"not provided"),EXACT(Metadata!S42,"restricted access"))),AND(IF(Metadata!S42="",FALSE,ISNUMBER(VALUE(Metadata!S42))),Metadata!S42&gt;=-90,Metadata!S42&lt;=90))</f>
        <v>0</v>
      </c>
      <c r="BG43" t="b">
        <f>AND(IF(Metadata!T42="",FALSE,TRUE),EXACT(Metadata!T42,"Decimal degrees"))</f>
        <v>1</v>
      </c>
      <c r="BH43" t="b">
        <f>OR(AND(IF(Metadata!U42="",FALSE,TRUE),OR(EXACT(Metadata!U42,"not applicable"),EXACT(Metadata!U42,"not collected"))),IF(Metadata!U42="",FALSE,TRUE))</f>
        <v>1</v>
      </c>
      <c r="BI43" t="b">
        <f>OR(AND(IF(Metadata!V42="",FALSE,TRUE),OR(EXACT(Metadata!V42,"not collected"),EXACT(Metadata!V42,"not provided"),EXACT(Metadata!V42,"restricted access"))),AND(IF(Metadata!V42="",FALSE,ISNUMBER(VALUE(Metadata!V42))),Metadata!V42&gt;=-180,Metadata!V42&lt;=180))</f>
        <v>0</v>
      </c>
      <c r="BJ43" t="b">
        <f>AND(IF(Metadata!W42="",FALSE,TRUE),EXACT(Metadata!W42,"Decimal degrees"))</f>
        <v>1</v>
      </c>
      <c r="BK43" t="b">
        <f>IF(Metadata!X42="",FALSE,TRUE)</f>
        <v>1</v>
      </c>
      <c r="BL43" t="b">
        <f>OR(AND(IF(Metadata!Y42="",FALSE,TRUE),OR(EXACT(Metadata!Y42,"not collected"),EXACT(Metadata!Y42,"not provided"),EXACT(Metadata!Y42,"restricted access"))),AND(IF(Metadata!Y42="",FALSE,TRUE),OR(EXACT(Metadata!Y42,"TRUE"),EXACT(Metadata!Y42,"FALSE"))))</f>
        <v>1</v>
      </c>
      <c r="BM43" t="b">
        <f>OR(AND(IF(Metadata!Z42="",FALSE,TRUE),EXACT(Metadata!Z42,"not applicable")),AND(IF(Metadata!Z42="",FALSE,TRUE),OR(EXACT(Metadata!Z42,"beer"),EXACT(Metadata!Z42,"cheese"),EXACT(Metadata!Z42,"fresh water"),EXACT(Metadata!Z42,"marine sediment"),EXACT(Metadata!Z42,"sea water"),EXACT(Metadata!Z42,"sediment"),EXACT(Metadata!Z42,"soil"),EXACT(Metadata!Z42,"waste water"))))</f>
        <v>1</v>
      </c>
      <c r="BN43" t="b">
        <f>AND(IF(Metadata!AA42="",FALSE,TRUE),EXACT(Metadata!AA42,"metagenome"))</f>
        <v>1</v>
      </c>
      <c r="BO43" t="b">
        <f>AND(IF(Metadata!AB42="",FALSE,TRUE),EXACT(Metadata!AB42,"256318"))</f>
        <v>1</v>
      </c>
      <c r="BP43" t="b">
        <f>IF(Metadata!AC42="",FALSE,TRUE)</f>
        <v>1</v>
      </c>
      <c r="BQ43" t="b">
        <f>IF(Metadata!AD42="",FALSE,TRUE)</f>
        <v>1</v>
      </c>
    </row>
    <row r="44" spans="1:69" x14ac:dyDescent="0.2">
      <c r="A44" s="4" t="e">
        <f ca="1">IF(B44=" "," ",HYPERLINK(CONCATENATE("#metadata!",ADDRESS(INDEX($AJ$2:$AJ$1001,MATCH(ROWS($AH$2:AH44),$AH$2:$AH$1001,0),0),2)),INDEX($AM$2:$AM$1001,MATCH(ROWS($AH$2:AH44),$AH$2:$AH$1001,0),0)))</f>
        <v>#N/A</v>
      </c>
      <c r="B44" s="5" t="e">
        <f ca="1">IF(OR(INDEX($AI$2:$AI$1001,MATCH(ROWS($AH$2:AH44),$AH$2:$AH$1001,0),1)&gt;=100000,INDEX($AO$1005:$BQ$1005,1,MATCH(COLUMNS($AO$1006:AO1006),$AO$1006:$BQ$1006,0))&gt;=100000), " ",IF(INDEX($AO$2:$BQ$1001,MATCH(ROWS($AH$2:AH44),$AH$2:$AH$1001,0),MATCH(COLUMNS($AO$1006:AO1006),$AO$1006:$BQ$1006,0)), HYPERLINK("#",""), HYPERLINK(CONCATENATE("#Metadata!", ADDRESS(INDEX($AJ$2:$AJ$1001,MATCH(ROWS($AH$2:AH44),$AH$2:$AH$1001,0),0), INDEX($AO$1004:$BQ$1004,1,MATCH(COLUMNS($AO$1006:AO1006),$AO$1006:$BQ$1006,0)))),"Fix")))</f>
        <v>#N/A</v>
      </c>
      <c r="C44" s="5" t="e">
        <f ca="1">IF(OR(INDEX($AI$2:$AI$1001,MATCH(ROWS($AH$2:AH44),$AH$2:$AH$1001,0),1)&gt;=100000,INDEX($AO$1005:$BQ$1005,1,MATCH(COLUMNS($AO$1006:AP1006),$AO$1006:$BQ$1006,0))&gt;=100000), " ",IF(INDEX($AO$2:$BQ$1001,MATCH(ROWS($AH$2:AH44),$AH$2:$AH$1001,0),MATCH(COLUMNS($AO$1006:AP1006),$AO$1006:$BQ$1006,0)), HYPERLINK("#",""), HYPERLINK(CONCATENATE("#Metadata!", ADDRESS(INDEX($AJ$2:$AJ$1001,MATCH(ROWS($AH$2:AH44),$AH$2:$AH$1001,0),0), INDEX($AO$1004:$BQ$1004,1,MATCH(COLUMNS($AO$1006:AP1006),$AO$1006:$BQ$1006,0)))),"Fix")))</f>
        <v>#N/A</v>
      </c>
      <c r="D44" s="5" t="e">
        <f ca="1">IF(OR(INDEX($AI$2:$AI$1001,MATCH(ROWS($AH$2:AH44),$AH$2:$AH$1001,0),1)&gt;=100000,INDEX($AO$1005:$BQ$1005,1,MATCH(COLUMNS($AO$1006:AQ1006),$AO$1006:$BQ$1006,0))&gt;=100000), " ",IF(INDEX($AO$2:$BQ$1001,MATCH(ROWS($AH$2:AH44),$AH$2:$AH$1001,0),MATCH(COLUMNS($AO$1006:AQ1006),$AO$1006:$BQ$1006,0)), HYPERLINK("#",""), HYPERLINK(CONCATENATE("#Metadata!", ADDRESS(INDEX($AJ$2:$AJ$1001,MATCH(ROWS($AH$2:AH44),$AH$2:$AH$1001,0),0), INDEX($AO$1004:$BQ$1004,1,MATCH(COLUMNS($AO$1006:AQ1006),$AO$1006:$BQ$1006,0)))),"Fix")))</f>
        <v>#N/A</v>
      </c>
      <c r="E44" s="5" t="e">
        <f ca="1">IF(OR(INDEX($AI$2:$AI$1001,MATCH(ROWS($AH$2:AH44),$AH$2:$AH$1001,0),1)&gt;=100000,INDEX($AO$1005:$BQ$1005,1,MATCH(COLUMNS($AO$1006:AR1006),$AO$1006:$BQ$1006,0))&gt;=100000), " ",IF(INDEX($AO$2:$BQ$1001,MATCH(ROWS($AH$2:AH44),$AH$2:$AH$1001,0),MATCH(COLUMNS($AO$1006:AR1006),$AO$1006:$BQ$1006,0)), HYPERLINK("#",""), HYPERLINK(CONCATENATE("#Metadata!", ADDRESS(INDEX($AJ$2:$AJ$1001,MATCH(ROWS($AH$2:AH44),$AH$2:$AH$1001,0),0), INDEX($AO$1004:$BQ$1004,1,MATCH(COLUMNS($AO$1006:AR1006),$AO$1006:$BQ$1006,0)))),"Fix")))</f>
        <v>#N/A</v>
      </c>
      <c r="F44" s="5" t="e">
        <f ca="1">IF(OR(INDEX($AI$2:$AI$1001,MATCH(ROWS($AH$2:AH44),$AH$2:$AH$1001,0),1)&gt;=100000,INDEX($AO$1005:$BQ$1005,1,MATCH(COLUMNS($AO$1006:AS1006),$AO$1006:$BQ$1006,0))&gt;=100000), " ",IF(INDEX($AO$2:$BQ$1001,MATCH(ROWS($AH$2:AH44),$AH$2:$AH$1001,0),MATCH(COLUMNS($AO$1006:AS1006),$AO$1006:$BQ$1006,0)), HYPERLINK("#",""), HYPERLINK(CONCATENATE("#Metadata!", ADDRESS(INDEX($AJ$2:$AJ$1001,MATCH(ROWS($AH$2:AH44),$AH$2:$AH$1001,0),0), INDEX($AO$1004:$BQ$1004,1,MATCH(COLUMNS($AO$1006:AS1006),$AO$1006:$BQ$1006,0)))),"Fix")))</f>
        <v>#N/A</v>
      </c>
      <c r="G44" s="5" t="e">
        <f ca="1">IF(OR(INDEX($AI$2:$AI$1001,MATCH(ROWS($AH$2:AH44),$AH$2:$AH$1001,0),1)&gt;=100000,INDEX($AO$1005:$BQ$1005,1,MATCH(COLUMNS($AO$1006:AT1006),$AO$1006:$BQ$1006,0))&gt;=100000), " ",IF(INDEX($AO$2:$BQ$1001,MATCH(ROWS($AH$2:AH44),$AH$2:$AH$1001,0),MATCH(COLUMNS($AO$1006:AT1006),$AO$1006:$BQ$1006,0)), HYPERLINK("#",""), HYPERLINK(CONCATENATE("#Metadata!", ADDRESS(INDEX($AJ$2:$AJ$1001,MATCH(ROWS($AH$2:AH44),$AH$2:$AH$1001,0),0), INDEX($AO$1004:$BQ$1004,1,MATCH(COLUMNS($AO$1006:AT1006),$AO$1006:$BQ$1006,0)))),"Fix")))</f>
        <v>#N/A</v>
      </c>
      <c r="H44" s="5" t="e">
        <f ca="1">IF(OR(INDEX($AI$2:$AI$1001,MATCH(ROWS($AH$2:AH44),$AH$2:$AH$1001,0),1)&gt;=100000,INDEX($AO$1005:$BQ$1005,1,MATCH(COLUMNS($AO$1006:AU1006),$AO$1006:$BQ$1006,0))&gt;=100000), " ",IF(INDEX($AO$2:$BQ$1001,MATCH(ROWS($AH$2:AH44),$AH$2:$AH$1001,0),MATCH(COLUMNS($AO$1006:AU1006),$AO$1006:$BQ$1006,0)), HYPERLINK("#",""), HYPERLINK(CONCATENATE("#Metadata!", ADDRESS(INDEX($AJ$2:$AJ$1001,MATCH(ROWS($AH$2:AH44),$AH$2:$AH$1001,0),0), INDEX($AO$1004:$BQ$1004,1,MATCH(COLUMNS($AO$1006:AU1006),$AO$1006:$BQ$1006,0)))),"Fix")))</f>
        <v>#N/A</v>
      </c>
      <c r="I44" s="5" t="e">
        <f ca="1">IF(OR(INDEX($AI$2:$AI$1001,MATCH(ROWS($AH$2:AH44),$AH$2:$AH$1001,0),1)&gt;=100000,INDEX($AO$1005:$BQ$1005,1,MATCH(COLUMNS($AO$1006:AV1006),$AO$1006:$BQ$1006,0))&gt;=100000), " ",IF(INDEX($AO$2:$BQ$1001,MATCH(ROWS($AH$2:AH44),$AH$2:$AH$1001,0),MATCH(COLUMNS($AO$1006:AV1006),$AO$1006:$BQ$1006,0)), HYPERLINK("#",""), HYPERLINK(CONCATENATE("#Metadata!", ADDRESS(INDEX($AJ$2:$AJ$1001,MATCH(ROWS($AH$2:AH44),$AH$2:$AH$1001,0),0), INDEX($AO$1004:$BQ$1004,1,MATCH(COLUMNS($AO$1006:AV1006),$AO$1006:$BQ$1006,0)))),"Fix")))</f>
        <v>#N/A</v>
      </c>
      <c r="J44" s="5" t="e">
        <f ca="1">IF(OR(INDEX($AI$2:$AI$1001,MATCH(ROWS($AH$2:AH44),$AH$2:$AH$1001,0),1)&gt;=100000,INDEX($AO$1005:$BQ$1005,1,MATCH(COLUMNS($AO$1006:AW1006),$AO$1006:$BQ$1006,0))&gt;=100000), " ",IF(INDEX($AO$2:$BQ$1001,MATCH(ROWS($AH$2:AH44),$AH$2:$AH$1001,0),MATCH(COLUMNS($AO$1006:AW1006),$AO$1006:$BQ$1006,0)), HYPERLINK("#",""), HYPERLINK(CONCATENATE("#Metadata!", ADDRESS(INDEX($AJ$2:$AJ$1001,MATCH(ROWS($AH$2:AH44),$AH$2:$AH$1001,0),0), INDEX($AO$1004:$BQ$1004,1,MATCH(COLUMNS($AO$1006:AW1006),$AO$1006:$BQ$1006,0)))),"Fix")))</f>
        <v>#N/A</v>
      </c>
      <c r="K44" s="5" t="e">
        <f ca="1">IF(OR(INDEX($AI$2:$AI$1001,MATCH(ROWS($AH$2:AH44),$AH$2:$AH$1001,0),1)&gt;=100000,INDEX($AO$1005:$BQ$1005,1,MATCH(COLUMNS($AO$1006:AX1006),$AO$1006:$BQ$1006,0))&gt;=100000), " ",IF(INDEX($AO$2:$BQ$1001,MATCH(ROWS($AH$2:AH44),$AH$2:$AH$1001,0),MATCH(COLUMNS($AO$1006:AX1006),$AO$1006:$BQ$1006,0)), HYPERLINK("#",""), HYPERLINK(CONCATENATE("#Metadata!", ADDRESS(INDEX($AJ$2:$AJ$1001,MATCH(ROWS($AH$2:AH44),$AH$2:$AH$1001,0),0), INDEX($AO$1004:$BQ$1004,1,MATCH(COLUMNS($AO$1006:AX1006),$AO$1006:$BQ$1006,0)))),"Fix")))</f>
        <v>#N/A</v>
      </c>
      <c r="L44" s="5" t="e">
        <f ca="1">IF(OR(INDEX($AI$2:$AI$1001,MATCH(ROWS($AH$2:AH44),$AH$2:$AH$1001,0),1)&gt;=100000,INDEX($AO$1005:$BQ$1005,1,MATCH(COLUMNS($AO$1006:AY1006),$AO$1006:$BQ$1006,0))&gt;=100000), " ",IF(INDEX($AO$2:$BQ$1001,MATCH(ROWS($AH$2:AH44),$AH$2:$AH$1001,0),MATCH(COLUMNS($AO$1006:AY1006),$AO$1006:$BQ$1006,0)), HYPERLINK("#",""), HYPERLINK(CONCATENATE("#Metadata!", ADDRESS(INDEX($AJ$2:$AJ$1001,MATCH(ROWS($AH$2:AH44),$AH$2:$AH$1001,0),0), INDEX($AO$1004:$BQ$1004,1,MATCH(COLUMNS($AO$1006:AY1006),$AO$1006:$BQ$1006,0)))),"Fix")))</f>
        <v>#N/A</v>
      </c>
      <c r="M44" s="5" t="e">
        <f ca="1">IF(OR(INDEX($AI$2:$AI$1001,MATCH(ROWS($AH$2:AH44),$AH$2:$AH$1001,0),1)&gt;=100000,INDEX($AO$1005:$BQ$1005,1,MATCH(COLUMNS($AO$1006:AZ1006),$AO$1006:$BQ$1006,0))&gt;=100000), " ",IF(INDEX($AO$2:$BQ$1001,MATCH(ROWS($AH$2:AH44),$AH$2:$AH$1001,0),MATCH(COLUMNS($AO$1006:AZ1006),$AO$1006:$BQ$1006,0)), HYPERLINK("#",""), HYPERLINK(CONCATENATE("#Metadata!", ADDRESS(INDEX($AJ$2:$AJ$1001,MATCH(ROWS($AH$2:AH44),$AH$2:$AH$1001,0),0), INDEX($AO$1004:$BQ$1004,1,MATCH(COLUMNS($AO$1006:AZ1006),$AO$1006:$BQ$1006,0)))),"Fix")))</f>
        <v>#N/A</v>
      </c>
      <c r="N44" s="5" t="e">
        <f ca="1">IF(OR(INDEX($AI$2:$AI$1001,MATCH(ROWS($AH$2:AH44),$AH$2:$AH$1001,0),1)&gt;=100000,INDEX($AO$1005:$BQ$1005,1,MATCH(COLUMNS($AO$1006:BA1006),$AO$1006:$BQ$1006,0))&gt;=100000), " ",IF(INDEX($AO$2:$BQ$1001,MATCH(ROWS($AH$2:AH44),$AH$2:$AH$1001,0),MATCH(COLUMNS($AO$1006:BA1006),$AO$1006:$BQ$1006,0)), HYPERLINK("#",""), HYPERLINK(CONCATENATE("#Metadata!", ADDRESS(INDEX($AJ$2:$AJ$1001,MATCH(ROWS($AH$2:AH44),$AH$2:$AH$1001,0),0), INDEX($AO$1004:$BQ$1004,1,MATCH(COLUMNS($AO$1006:BA1006),$AO$1006:$BQ$1006,0)))),"Fix")))</f>
        <v>#N/A</v>
      </c>
      <c r="O44" s="5" t="e">
        <f ca="1">IF(OR(INDEX($AI$2:$AI$1001,MATCH(ROWS($AH$2:AH44),$AH$2:$AH$1001,0),1)&gt;=100000,INDEX($AO$1005:$BQ$1005,1,MATCH(COLUMNS($AO$1006:BB1006),$AO$1006:$BQ$1006,0))&gt;=100000), " ",IF(INDEX($AO$2:$BQ$1001,MATCH(ROWS($AH$2:AH44),$AH$2:$AH$1001,0),MATCH(COLUMNS($AO$1006:BB1006),$AO$1006:$BQ$1006,0)), HYPERLINK("#",""), HYPERLINK(CONCATENATE("#Metadata!", ADDRESS(INDEX($AJ$2:$AJ$1001,MATCH(ROWS($AH$2:AH44),$AH$2:$AH$1001,0),0), INDEX($AO$1004:$BQ$1004,1,MATCH(COLUMNS($AO$1006:BB1006),$AO$1006:$BQ$1006,0)))),"Fix")))</f>
        <v>#N/A</v>
      </c>
      <c r="P44" s="5" t="e">
        <f ca="1">IF(OR(INDEX($AI$2:$AI$1001,MATCH(ROWS($AH$2:AH44),$AH$2:$AH$1001,0),1)&gt;=100000,INDEX($AO$1005:$BQ$1005,1,MATCH(COLUMNS($AO$1006:BC1006),$AO$1006:$BQ$1006,0))&gt;=100000), " ",IF(INDEX($AO$2:$BQ$1001,MATCH(ROWS($AH$2:AH44),$AH$2:$AH$1001,0),MATCH(COLUMNS($AO$1006:BC1006),$AO$1006:$BQ$1006,0)), HYPERLINK("#",""), HYPERLINK(CONCATENATE("#Metadata!", ADDRESS(INDEX($AJ$2:$AJ$1001,MATCH(ROWS($AH$2:AH44),$AH$2:$AH$1001,0),0), INDEX($AO$1004:$BQ$1004,1,MATCH(COLUMNS($AO$1006:BC1006),$AO$1006:$BQ$1006,0)))),"Fix")))</f>
        <v>#N/A</v>
      </c>
      <c r="Q44" s="5" t="e">
        <f ca="1">IF(OR(INDEX($AI$2:$AI$1001,MATCH(ROWS($AH$2:AH44),$AH$2:$AH$1001,0),1)&gt;=100000,INDEX($AO$1005:$BQ$1005,1,MATCH(COLUMNS($AO$1006:BD1006),$AO$1006:$BQ$1006,0))&gt;=100000), " ",IF(INDEX($AO$2:$BQ$1001,MATCH(ROWS($AH$2:AH44),$AH$2:$AH$1001,0),MATCH(COLUMNS($AO$1006:BD1006),$AO$1006:$BQ$1006,0)), HYPERLINK("#",""), HYPERLINK(CONCATENATE("#Metadata!", ADDRESS(INDEX($AJ$2:$AJ$1001,MATCH(ROWS($AH$2:AH44),$AH$2:$AH$1001,0),0), INDEX($AO$1004:$BQ$1004,1,MATCH(COLUMNS($AO$1006:BD1006),$AO$1006:$BQ$1006,0)))),"Fix")))</f>
        <v>#N/A</v>
      </c>
      <c r="R44" s="5" t="e">
        <f ca="1">IF(OR(INDEX($AI$2:$AI$1001,MATCH(ROWS($AH$2:AH44),$AH$2:$AH$1001,0),1)&gt;=100000,INDEX($AO$1005:$BQ$1005,1,MATCH(COLUMNS($AO$1006:BE1006),$AO$1006:$BQ$1006,0))&gt;=100000), " ",IF(INDEX($AO$2:$BQ$1001,MATCH(ROWS($AH$2:AH44),$AH$2:$AH$1001,0),MATCH(COLUMNS($AO$1006:BE1006),$AO$1006:$BQ$1006,0)), HYPERLINK("#",""), HYPERLINK(CONCATENATE("#Metadata!", ADDRESS(INDEX($AJ$2:$AJ$1001,MATCH(ROWS($AH$2:AH44),$AH$2:$AH$1001,0),0), INDEX($AO$1004:$BQ$1004,1,MATCH(COLUMNS($AO$1006:BE1006),$AO$1006:$BQ$1006,0)))),"Fix")))</f>
        <v>#N/A</v>
      </c>
      <c r="S44" s="5" t="e">
        <f ca="1">IF(OR(INDEX($AI$2:$AI$1001,MATCH(ROWS($AH$2:AH44),$AH$2:$AH$1001,0),1)&gt;=100000,INDEX($AO$1005:$BQ$1005,1,MATCH(COLUMNS($AO$1006:BF1006),$AO$1006:$BQ$1006,0))&gt;=100000), " ",IF(INDEX($AO$2:$BQ$1001,MATCH(ROWS($AH$2:AH44),$AH$2:$AH$1001,0),MATCH(COLUMNS($AO$1006:BF1006),$AO$1006:$BQ$1006,0)), HYPERLINK("#",""), HYPERLINK(CONCATENATE("#Metadata!", ADDRESS(INDEX($AJ$2:$AJ$1001,MATCH(ROWS($AH$2:AH44),$AH$2:$AH$1001,0),0), INDEX($AO$1004:$BQ$1004,1,MATCH(COLUMNS($AO$1006:BF1006),$AO$1006:$BQ$1006,0)))),"Fix")))</f>
        <v>#N/A</v>
      </c>
      <c r="T44" s="5" t="e">
        <f ca="1">IF(OR(INDEX($AI$2:$AI$1001,MATCH(ROWS($AH$2:AH44),$AH$2:$AH$1001,0),1)&gt;=100000,INDEX($AO$1005:$BQ$1005,1,MATCH(COLUMNS($AO$1006:BG1006),$AO$1006:$BQ$1006,0))&gt;=100000), " ",IF(INDEX($AO$2:$BQ$1001,MATCH(ROWS($AH$2:AH44),$AH$2:$AH$1001,0),MATCH(COLUMNS($AO$1006:BG1006),$AO$1006:$BQ$1006,0)), HYPERLINK("#",""), HYPERLINK(CONCATENATE("#Metadata!", ADDRESS(INDEX($AJ$2:$AJ$1001,MATCH(ROWS($AH$2:AH44),$AH$2:$AH$1001,0),0), INDEX($AO$1004:$BQ$1004,1,MATCH(COLUMNS($AO$1006:BG1006),$AO$1006:$BQ$1006,0)))),"Fix")))</f>
        <v>#N/A</v>
      </c>
      <c r="U44" s="5" t="e">
        <f ca="1">IF(OR(INDEX($AI$2:$AI$1001,MATCH(ROWS($AH$2:AH44),$AH$2:$AH$1001,0),1)&gt;=100000,INDEX($AO$1005:$BQ$1005,1,MATCH(COLUMNS($AO$1006:BH1006),$AO$1006:$BQ$1006,0))&gt;=100000), " ",IF(INDEX($AO$2:$BQ$1001,MATCH(ROWS($AH$2:AH44),$AH$2:$AH$1001,0),MATCH(COLUMNS($AO$1006:BH1006),$AO$1006:$BQ$1006,0)), HYPERLINK("#",""), HYPERLINK(CONCATENATE("#Metadata!", ADDRESS(INDEX($AJ$2:$AJ$1001,MATCH(ROWS($AH$2:AH44),$AH$2:$AH$1001,0),0), INDEX($AO$1004:$BQ$1004,1,MATCH(COLUMNS($AO$1006:BH1006),$AO$1006:$BQ$1006,0)))),"Fix")))</f>
        <v>#N/A</v>
      </c>
      <c r="V44" s="5" t="e">
        <f ca="1">IF(OR(INDEX($AI$2:$AI$1001,MATCH(ROWS($AH$2:AH44),$AH$2:$AH$1001,0),1)&gt;=100000,INDEX($AO$1005:$BQ$1005,1,MATCH(COLUMNS($AO$1006:BI1006),$AO$1006:$BQ$1006,0))&gt;=100000), " ",IF(INDEX($AO$2:$BQ$1001,MATCH(ROWS($AH$2:AH44),$AH$2:$AH$1001,0),MATCH(COLUMNS($AO$1006:BI1006),$AO$1006:$BQ$1006,0)), HYPERLINK("#",""), HYPERLINK(CONCATENATE("#Metadata!", ADDRESS(INDEX($AJ$2:$AJ$1001,MATCH(ROWS($AH$2:AH44),$AH$2:$AH$1001,0),0), INDEX($AO$1004:$BQ$1004,1,MATCH(COLUMNS($AO$1006:BI1006),$AO$1006:$BQ$1006,0)))),"Fix")))</f>
        <v>#N/A</v>
      </c>
      <c r="W44" s="5" t="e">
        <f ca="1">IF(OR(INDEX($AI$2:$AI$1001,MATCH(ROWS($AH$2:AH44),$AH$2:$AH$1001,0),1)&gt;=100000,INDEX($AO$1005:$BQ$1005,1,MATCH(COLUMNS($AO$1006:BJ1006),$AO$1006:$BQ$1006,0))&gt;=100000), " ",IF(INDEX($AO$2:$BQ$1001,MATCH(ROWS($AH$2:AH44),$AH$2:$AH$1001,0),MATCH(COLUMNS($AO$1006:BJ1006),$AO$1006:$BQ$1006,0)), HYPERLINK("#",""), HYPERLINK(CONCATENATE("#Metadata!", ADDRESS(INDEX($AJ$2:$AJ$1001,MATCH(ROWS($AH$2:AH44),$AH$2:$AH$1001,0),0), INDEX($AO$1004:$BQ$1004,1,MATCH(COLUMNS($AO$1006:BJ1006),$AO$1006:$BQ$1006,0)))),"Fix")))</f>
        <v>#N/A</v>
      </c>
      <c r="X44" s="5" t="e">
        <f ca="1">IF(OR(INDEX($AI$2:$AI$1001,MATCH(ROWS($AH$2:AH44),$AH$2:$AH$1001,0),1)&gt;=100000,INDEX($AO$1005:$BQ$1005,1,MATCH(COLUMNS($AO$1006:BK1006),$AO$1006:$BQ$1006,0))&gt;=100000), " ",IF(INDEX($AO$2:$BQ$1001,MATCH(ROWS($AH$2:AH44),$AH$2:$AH$1001,0),MATCH(COLUMNS($AO$1006:BK1006),$AO$1006:$BQ$1006,0)), HYPERLINK("#",""), HYPERLINK(CONCATENATE("#Metadata!", ADDRESS(INDEX($AJ$2:$AJ$1001,MATCH(ROWS($AH$2:AH44),$AH$2:$AH$1001,0),0), INDEX($AO$1004:$BQ$1004,1,MATCH(COLUMNS($AO$1006:BK1006),$AO$1006:$BQ$1006,0)))),"Fix")))</f>
        <v>#N/A</v>
      </c>
      <c r="Y44" s="5" t="e">
        <f ca="1">IF(OR(INDEX($AI$2:$AI$1001,MATCH(ROWS($AH$2:AH44),$AH$2:$AH$1001,0),1)&gt;=100000,INDEX($AO$1005:$BQ$1005,1,MATCH(COLUMNS($AO$1006:BL1006),$AO$1006:$BQ$1006,0))&gt;=100000), " ",IF(INDEX($AO$2:$BQ$1001,MATCH(ROWS($AH$2:AH44),$AH$2:$AH$1001,0),MATCH(COLUMNS($AO$1006:BL1006),$AO$1006:$BQ$1006,0)), HYPERLINK("#",""), HYPERLINK(CONCATENATE("#Metadata!", ADDRESS(INDEX($AJ$2:$AJ$1001,MATCH(ROWS($AH$2:AH44),$AH$2:$AH$1001,0),0), INDEX($AO$1004:$BQ$1004,1,MATCH(COLUMNS($AO$1006:BL1006),$AO$1006:$BQ$1006,0)))),"Fix")))</f>
        <v>#N/A</v>
      </c>
      <c r="Z44" s="5" t="e">
        <f ca="1">IF(OR(INDEX($AI$2:$AI$1001,MATCH(ROWS($AH$2:AH44),$AH$2:$AH$1001,0),1)&gt;=100000,INDEX($AO$1005:$BQ$1005,1,MATCH(COLUMNS($AO$1006:BM1006),$AO$1006:$BQ$1006,0))&gt;=100000), " ",IF(INDEX($AO$2:$BQ$1001,MATCH(ROWS($AH$2:AH44),$AH$2:$AH$1001,0),MATCH(COLUMNS($AO$1006:BM1006),$AO$1006:$BQ$1006,0)), HYPERLINK("#",""), HYPERLINK(CONCATENATE("#Metadata!", ADDRESS(INDEX($AJ$2:$AJ$1001,MATCH(ROWS($AH$2:AH44),$AH$2:$AH$1001,0),0), INDEX($AO$1004:$BQ$1004,1,MATCH(COLUMNS($AO$1006:BM1006),$AO$1006:$BQ$1006,0)))),"Fix")))</f>
        <v>#N/A</v>
      </c>
      <c r="AA44" s="5" t="e">
        <f ca="1">IF(OR(INDEX($AI$2:$AI$1001,MATCH(ROWS($AH$2:AH44),$AH$2:$AH$1001,0),1)&gt;=100000,INDEX($AO$1005:$BQ$1005,1,MATCH(COLUMNS($AO$1006:BN1006),$AO$1006:$BQ$1006,0))&gt;=100000), " ",IF(INDEX($AO$2:$BQ$1001,MATCH(ROWS($AH$2:AH44),$AH$2:$AH$1001,0),MATCH(COLUMNS($AO$1006:BN1006),$AO$1006:$BQ$1006,0)), HYPERLINK("#",""), HYPERLINK(CONCATENATE("#Metadata!", ADDRESS(INDEX($AJ$2:$AJ$1001,MATCH(ROWS($AH$2:AH44),$AH$2:$AH$1001,0),0), INDEX($AO$1004:$BQ$1004,1,MATCH(COLUMNS($AO$1006:BN1006),$AO$1006:$BQ$1006,0)))),"Fix")))</f>
        <v>#N/A</v>
      </c>
      <c r="AB44" s="5" t="e">
        <f ca="1">IF(OR(INDEX($AI$2:$AI$1001,MATCH(ROWS($AH$2:AH44),$AH$2:$AH$1001,0),1)&gt;=100000,INDEX($AO$1005:$BQ$1005,1,MATCH(COLUMNS($AO$1006:BO1006),$AO$1006:$BQ$1006,0))&gt;=100000), " ",IF(INDEX($AO$2:$BQ$1001,MATCH(ROWS($AH$2:AH44),$AH$2:$AH$1001,0),MATCH(COLUMNS($AO$1006:BO1006),$AO$1006:$BQ$1006,0)), HYPERLINK("#",""), HYPERLINK(CONCATENATE("#Metadata!", ADDRESS(INDEX($AJ$2:$AJ$1001,MATCH(ROWS($AH$2:AH44),$AH$2:$AH$1001,0),0), INDEX($AO$1004:$BQ$1004,1,MATCH(COLUMNS($AO$1006:BO1006),$AO$1006:$BQ$1006,0)))),"Fix")))</f>
        <v>#N/A</v>
      </c>
      <c r="AC44" s="5" t="e">
        <f ca="1">IF(OR(INDEX($AI$2:$AI$1001,MATCH(ROWS($AH$2:AH44),$AH$2:$AH$1001,0),1)&gt;=100000,INDEX($AO$1005:$BQ$1005,1,MATCH(COLUMNS($AO$1006:BP1006),$AO$1006:$BQ$1006,0))&gt;=100000), " ",IF(INDEX($AO$2:$BQ$1001,MATCH(ROWS($AH$2:AH44),$AH$2:$AH$1001,0),MATCH(COLUMNS($AO$1006:BP1006),$AO$1006:$BQ$1006,0)), HYPERLINK("#",""), HYPERLINK(CONCATENATE("#Metadata!", ADDRESS(INDEX($AJ$2:$AJ$1001,MATCH(ROWS($AH$2:AH44),$AH$2:$AH$1001,0),0), INDEX($AO$1004:$BQ$1004,1,MATCH(COLUMNS($AO$1006:BP1006),$AO$1006:$BQ$1006,0)))),"Fix")))</f>
        <v>#N/A</v>
      </c>
      <c r="AD44" s="5" t="e">
        <f ca="1">IF(OR(INDEX($AI$2:$AI$1001,MATCH(ROWS($AH$2:AH44),$AH$2:$AH$1001,0),1)&gt;=100000,INDEX($AO$1005:$BQ$1005,1,MATCH(COLUMNS($AO$1006:BQ1006),$AO$1006:$BQ$1006,0))&gt;=100000), " ",IF(INDEX($AO$2:$BQ$1001,MATCH(ROWS($AH$2:AH44),$AH$2:$AH$1001,0),MATCH(COLUMNS($AO$1006:BQ1006),$AO$1006:$BQ$1006,0)), HYPERLINK("#",""), HYPERLINK(CONCATENATE("#Metadata!", ADDRESS(INDEX($AJ$2:$AJ$1001,MATCH(ROWS($AH$2:AH44),$AH$2:$AH$1001,0),0), INDEX($AO$1004:$BQ$1004,1,MATCH(COLUMNS($AO$1006:BQ1006),$AO$1006:$BQ$1006,0)))),"Fix")))</f>
        <v>#REF!</v>
      </c>
      <c r="AH44">
        <f ca="1"/>
        <v>41</v>
      </c>
      <c r="AI44">
        <f ca="1"/>
        <v>44</v>
      </c>
      <c r="AJ44">
        <v>44</v>
      </c>
      <c r="AK44" t="b">
        <f t="shared" ca="1" si="0"/>
        <v>0</v>
      </c>
      <c r="AL44" t="b">
        <f>COUNTBLANK(Metadata!B44:AD44)=COLUMNS(Metadata!B44:AD44)</f>
        <v>0</v>
      </c>
      <c r="AM44" t="str">
        <v>Environment.Water.BTP.91Side.1</v>
      </c>
      <c r="AO44" t="b">
        <f ca="1">AND(IF(Metadata!B43="",FALSE,TRUE),COUNTIF(Metadata!B:B, Metadata!B43) = 1,NOT(ISERROR(SUMPRODUCT(SEARCH(MID(Metadata!B43,ROW(INDIRECT("1:"&amp;LEN(Metadata!B43))), 1),"0123456789abcdefghijklmnopqrstuvwxyzABCDEFGHIJKLMNOPQRSTUVWXYZ.")))))</f>
        <v>1</v>
      </c>
      <c r="AP44" t="b">
        <f>IF(Metadata!C43="",FALSE,TRUE)</f>
        <v>1</v>
      </c>
      <c r="AQ44" t="b">
        <f>IF(Metadata!D43="",FALSE,TRUE)</f>
        <v>1</v>
      </c>
      <c r="AR44" t="b">
        <f ca="1">OR(AND(IF(Metadata!E43="",FALSE,TRUE),OR(EXACT(Metadata!E43,"not collected"),EXACT(Metadata!E43,"not provided"),EXACT(Metadata!E43,"restricted access"))),AND(IF(Metadata!E43="",FALSE,TRUE),AND(AND(IFERROR(INT(LEFT(Metadata!E43,4))&gt;1900,FALSE),IFERROR(INT(LEFT(Metadata!E43,4))&lt;=YEAR(NOW()),FALSE)), OR(MID(Metadata!E43,5,1)="", AND(AND(MID(Metadata!E43,5,1)="-",IFERROR(INT(MID(Metadata!E43,6,1))&gt;=0,FALSE),IFERROR(INT(MID(Metadata!E43,6,1))&lt;=1,FALSE),NOT(MID(Metadata!E43,7,1)=""),IFERROR(INT(MID(Metadata!E43,6,2))&gt;=1,FALSE),IFERROR(INT(MID(Metadata!E43,6,2))&lt;=12,FALSE)), OR(MID(Metadata!E43,8,1)="", AND(AND(MID(Metadata!E43,8,1)="-",IFERROR(INT(MID(Metadata!E43,9,1))&gt;=0,FALSE),IFERROR(INT(MID(Metadata!E43,9,1))&lt;=3,FALSE),NOT(MID(Metadata!E43,10,1)=""),IFERROR(INT(MID(Metadata!E43,9,2))&gt;=1,FALSE),IFERROR(INT(MID(Metadata!E43,9,2))&lt;=31,FALSE)), OR(MID(Metadata!E43,11,1)="", AND(AND(MID(Metadata!E43,11,1)=" ",IFERROR(INT(MID(Metadata!E43,12,1))&gt;=0,FALSE),IFERROR(INT(MID(Metadata!E43,12,1))&lt;=2,FALSE),NOT(MID(Metadata!E43,13,1)=""),IFERROR(INT(MID(Metadata!E43,12,2))&gt;=0,FALSE),IFERROR(INT(MID(Metadata!E43,12,2))&lt;=23,FALSE)), OR(MID(Metadata!E43,14,1)="", AND(AND(MID(Metadata!E43,14,1)=":",IFERROR(INT(MID(Metadata!E43,15,1))&gt;=0,FALSE),IFERROR(INT(MID(Metadata!E43,15,1))&lt;=5,FALSE),NOT(MID(Metadata!E43,16,1)=""),IFERROR(INT(MID(Metadata!E43,15,2))&gt;=0,FALSE),IFERROR(INT(MID(Metadata!E43,15,2))&lt;=59,FALSE)), OR(MID(Metadata!E43,17,1)="", AND(AND(MID(Metadata!E43,17,1)=":",IFERROR(INT(MID(Metadata!E43,18,1))&gt;=0,FALSE),IFERROR(INT(MID(Metadata!E43,18,1))&lt;=5,FALSE),NOT(MID(Metadata!E43,19,1)=""),IFERROR(INT(MID(Metadata!E43,18,2))&gt;=0,FALSE),IFERROR(INT(MID(Metadata!E43,18,2))&lt;=59,FALSE)), LEN(Metadata!E43)&lt;=19)))))))))))))</f>
        <v>0</v>
      </c>
      <c r="AS44" t="b">
        <f>IF(Metadata!F43="",FALSE,TRUE)</f>
        <v>1</v>
      </c>
      <c r="AT44" t="b">
        <f>OR(AND(IF(Metadata!G43="",FALSE,TRUE),OR(EXACT(Metadata!G43,"not collected"),EXACT(Metadata!G43,"not provided"))),AND(IF(Metadata!G43="",FALSE,TRUE),OR(EXACT(Metadata!G43,"TRUE"),EXACT(Metadata!G43,"FALSE"))))</f>
        <v>1</v>
      </c>
      <c r="AU44" t="b">
        <f>OR(AND(IF(Metadata!H43="",FALSE,TRUE),OR(EXACT(Metadata!H43,"not collected"),EXACT(Metadata!H43,"not provided"),EXACT(Metadata!H43,"restricted access"))),AND(IF(Metadata!H43="",FALSE,ISNUMBER(VALUE(Metadata!H43))),Metadata!H43&gt;=-413))</f>
        <v>0</v>
      </c>
      <c r="AV44" t="b">
        <f>AND(IF(Metadata!I43="",FALSE,TRUE),EXACT(Metadata!I43,"meters"))</f>
        <v>1</v>
      </c>
      <c r="AW44" t="b">
        <f>AND(IF(Metadata!J43="",FALSE,TRUE),EXACT(Metadata!J43,"free-living"))</f>
        <v>1</v>
      </c>
      <c r="AX44" t="b">
        <f>AND(IF(Metadata!K43="",FALSE,TRUE),OR(EXACT(Metadata!K43,"saline"),EXACT(Metadata!K43,"non-saline")))</f>
        <v>1</v>
      </c>
      <c r="AY44" t="b">
        <f>AND(IF(Metadata!L43="",FALSE,TRUE),OR(EXACT(Metadata!L43,"sub-surface (non-saline)"),EXACT(Metadata!L43,"surface (non-saline)"),EXACT(Metadata!L43,"water (non-saline)"),EXACT(Metadata!L43,"soil (non-saline)"),EXACT(Metadata!L43,"aerosol (non-saline)"),EXACT(Metadata!L43,"sediment (non-saline)"),EXACT(Metadata!L43,"surface (saline)"),EXACT(Metadata!L43,"water (saline)"),EXACT(Metadata!L43,"hypersaline (saline)"),EXACT(Metadata!L43,"aerosol (saline)"),EXACT(Metadata!L43,"sediment (saline)")))</f>
        <v>1</v>
      </c>
      <c r="AZ44" t="b">
        <f>IF(Metadata!M43="",FALSE,TRUE)</f>
        <v>1</v>
      </c>
      <c r="BA44" t="b">
        <f>IF(Metadata!N43="",FALSE,TRUE)</f>
        <v>1</v>
      </c>
      <c r="BB44" t="b">
        <f>IF(Metadata!O43="",FALSE,TRUE)</f>
        <v>1</v>
      </c>
      <c r="BC44" t="b">
        <f>AND(IF(Metadata!P43="",FALSE,TRUE),OR(EXACT(Metadata!P43,"air"),EXACT(Metadata!P43,"microbial mat/biofilm"),EXACT(Metadata!P43,"misc environment"),EXACT(Metadata!P43,"sediment"),EXACT(Metadata!P43,"soil"),EXACT(Metadata!P43,"wastewater/sludge"),EXACT(Metadata!P43,"water")))</f>
        <v>1</v>
      </c>
      <c r="BD44" t="b">
        <f>IF(Metadata!Q43="",FALSE,TRUE)</f>
        <v>1</v>
      </c>
      <c r="BE44" t="b">
        <f>IF(Metadata!R43="",FALSE,TRUE)</f>
        <v>1</v>
      </c>
      <c r="BF44" t="b">
        <f>OR(AND(IF(Metadata!S43="",FALSE,TRUE),OR(EXACT(Metadata!S43,"not collected"),EXACT(Metadata!S43,"not provided"),EXACT(Metadata!S43,"restricted access"))),AND(IF(Metadata!S43="",FALSE,ISNUMBER(VALUE(Metadata!S43))),Metadata!S43&gt;=-90,Metadata!S43&lt;=90))</f>
        <v>0</v>
      </c>
      <c r="BG44" t="b">
        <f>AND(IF(Metadata!T43="",FALSE,TRUE),EXACT(Metadata!T43,"Decimal degrees"))</f>
        <v>1</v>
      </c>
      <c r="BH44" t="b">
        <f>OR(AND(IF(Metadata!U43="",FALSE,TRUE),OR(EXACT(Metadata!U43,"not applicable"),EXACT(Metadata!U43,"not collected"))),IF(Metadata!U43="",FALSE,TRUE))</f>
        <v>1</v>
      </c>
      <c r="BI44" t="b">
        <f>OR(AND(IF(Metadata!V43="",FALSE,TRUE),OR(EXACT(Metadata!V43,"not collected"),EXACT(Metadata!V43,"not provided"),EXACT(Metadata!V43,"restricted access"))),AND(IF(Metadata!V43="",FALSE,ISNUMBER(VALUE(Metadata!V43))),Metadata!V43&gt;=-180,Metadata!V43&lt;=180))</f>
        <v>0</v>
      </c>
      <c r="BJ44" t="b">
        <f>AND(IF(Metadata!W43="",FALSE,TRUE),EXACT(Metadata!W43,"Decimal degrees"))</f>
        <v>1</v>
      </c>
      <c r="BK44" t="b">
        <f>IF(Metadata!X43="",FALSE,TRUE)</f>
        <v>1</v>
      </c>
      <c r="BL44" t="b">
        <f>OR(AND(IF(Metadata!Y43="",FALSE,TRUE),OR(EXACT(Metadata!Y43,"not collected"),EXACT(Metadata!Y43,"not provided"),EXACT(Metadata!Y43,"restricted access"))),AND(IF(Metadata!Y43="",FALSE,TRUE),OR(EXACT(Metadata!Y43,"TRUE"),EXACT(Metadata!Y43,"FALSE"))))</f>
        <v>1</v>
      </c>
      <c r="BM44" t="b">
        <f>OR(AND(IF(Metadata!Z43="",FALSE,TRUE),EXACT(Metadata!Z43,"not applicable")),AND(IF(Metadata!Z43="",FALSE,TRUE),OR(EXACT(Metadata!Z43,"beer"),EXACT(Metadata!Z43,"cheese"),EXACT(Metadata!Z43,"fresh water"),EXACT(Metadata!Z43,"marine sediment"),EXACT(Metadata!Z43,"sea water"),EXACT(Metadata!Z43,"sediment"),EXACT(Metadata!Z43,"soil"),EXACT(Metadata!Z43,"waste water"))))</f>
        <v>1</v>
      </c>
      <c r="BN44" t="b">
        <f>AND(IF(Metadata!AA43="",FALSE,TRUE),EXACT(Metadata!AA43,"metagenome"))</f>
        <v>1</v>
      </c>
      <c r="BO44" t="b">
        <f>AND(IF(Metadata!AB43="",FALSE,TRUE),EXACT(Metadata!AB43,"256318"))</f>
        <v>1</v>
      </c>
      <c r="BP44" t="b">
        <f>IF(Metadata!AC43="",FALSE,TRUE)</f>
        <v>1</v>
      </c>
      <c r="BQ44" t="b">
        <f>IF(Metadata!AD43="",FALSE,TRUE)</f>
        <v>1</v>
      </c>
    </row>
    <row r="45" spans="1:69" x14ac:dyDescent="0.2">
      <c r="A45" s="4" t="e">
        <f ca="1">IF(B45=" "," ",HYPERLINK(CONCATENATE("#metadata!",ADDRESS(INDEX($AJ$2:$AJ$1001,MATCH(ROWS($AH$2:AH45),$AH$2:$AH$1001,0),0),2)),INDEX($AM$2:$AM$1001,MATCH(ROWS($AH$2:AH45),$AH$2:$AH$1001,0),0)))</f>
        <v>#N/A</v>
      </c>
      <c r="B45" s="5" t="e">
        <f ca="1">IF(OR(INDEX($AI$2:$AI$1001,MATCH(ROWS($AH$2:AH45),$AH$2:$AH$1001,0),1)&gt;=100000,INDEX($AO$1005:$BQ$1005,1,MATCH(COLUMNS($AO$1006:AO1006),$AO$1006:$BQ$1006,0))&gt;=100000), " ",IF(INDEX($AO$2:$BQ$1001,MATCH(ROWS($AH$2:AH45),$AH$2:$AH$1001,0),MATCH(COLUMNS($AO$1006:AO1006),$AO$1006:$BQ$1006,0)), HYPERLINK("#",""), HYPERLINK(CONCATENATE("#Metadata!", ADDRESS(INDEX($AJ$2:$AJ$1001,MATCH(ROWS($AH$2:AH45),$AH$2:$AH$1001,0),0), INDEX($AO$1004:$BQ$1004,1,MATCH(COLUMNS($AO$1006:AO1006),$AO$1006:$BQ$1006,0)))),"Fix")))</f>
        <v>#N/A</v>
      </c>
      <c r="C45" s="5" t="e">
        <f ca="1">IF(OR(INDEX($AI$2:$AI$1001,MATCH(ROWS($AH$2:AH45),$AH$2:$AH$1001,0),1)&gt;=100000,INDEX($AO$1005:$BQ$1005,1,MATCH(COLUMNS($AO$1006:AP1006),$AO$1006:$BQ$1006,0))&gt;=100000), " ",IF(INDEX($AO$2:$BQ$1001,MATCH(ROWS($AH$2:AH45),$AH$2:$AH$1001,0),MATCH(COLUMNS($AO$1006:AP1006),$AO$1006:$BQ$1006,0)), HYPERLINK("#",""), HYPERLINK(CONCATENATE("#Metadata!", ADDRESS(INDEX($AJ$2:$AJ$1001,MATCH(ROWS($AH$2:AH45),$AH$2:$AH$1001,0),0), INDEX($AO$1004:$BQ$1004,1,MATCH(COLUMNS($AO$1006:AP1006),$AO$1006:$BQ$1006,0)))),"Fix")))</f>
        <v>#N/A</v>
      </c>
      <c r="D45" s="5" t="e">
        <f ca="1">IF(OR(INDEX($AI$2:$AI$1001,MATCH(ROWS($AH$2:AH45),$AH$2:$AH$1001,0),1)&gt;=100000,INDEX($AO$1005:$BQ$1005,1,MATCH(COLUMNS($AO$1006:AQ1006),$AO$1006:$BQ$1006,0))&gt;=100000), " ",IF(INDEX($AO$2:$BQ$1001,MATCH(ROWS($AH$2:AH45),$AH$2:$AH$1001,0),MATCH(COLUMNS($AO$1006:AQ1006),$AO$1006:$BQ$1006,0)), HYPERLINK("#",""), HYPERLINK(CONCATENATE("#Metadata!", ADDRESS(INDEX($AJ$2:$AJ$1001,MATCH(ROWS($AH$2:AH45),$AH$2:$AH$1001,0),0), INDEX($AO$1004:$BQ$1004,1,MATCH(COLUMNS($AO$1006:AQ1006),$AO$1006:$BQ$1006,0)))),"Fix")))</f>
        <v>#N/A</v>
      </c>
      <c r="E45" s="5" t="e">
        <f ca="1">IF(OR(INDEX($AI$2:$AI$1001,MATCH(ROWS($AH$2:AH45),$AH$2:$AH$1001,0),1)&gt;=100000,INDEX($AO$1005:$BQ$1005,1,MATCH(COLUMNS($AO$1006:AR1006),$AO$1006:$BQ$1006,0))&gt;=100000), " ",IF(INDEX($AO$2:$BQ$1001,MATCH(ROWS($AH$2:AH45),$AH$2:$AH$1001,0),MATCH(COLUMNS($AO$1006:AR1006),$AO$1006:$BQ$1006,0)), HYPERLINK("#",""), HYPERLINK(CONCATENATE("#Metadata!", ADDRESS(INDEX($AJ$2:$AJ$1001,MATCH(ROWS($AH$2:AH45),$AH$2:$AH$1001,0),0), INDEX($AO$1004:$BQ$1004,1,MATCH(COLUMNS($AO$1006:AR1006),$AO$1006:$BQ$1006,0)))),"Fix")))</f>
        <v>#N/A</v>
      </c>
      <c r="F45" s="5" t="e">
        <f ca="1">IF(OR(INDEX($AI$2:$AI$1001,MATCH(ROWS($AH$2:AH45),$AH$2:$AH$1001,0),1)&gt;=100000,INDEX($AO$1005:$BQ$1005,1,MATCH(COLUMNS($AO$1006:AS1006),$AO$1006:$BQ$1006,0))&gt;=100000), " ",IF(INDEX($AO$2:$BQ$1001,MATCH(ROWS($AH$2:AH45),$AH$2:$AH$1001,0),MATCH(COLUMNS($AO$1006:AS1006),$AO$1006:$BQ$1006,0)), HYPERLINK("#",""), HYPERLINK(CONCATENATE("#Metadata!", ADDRESS(INDEX($AJ$2:$AJ$1001,MATCH(ROWS($AH$2:AH45),$AH$2:$AH$1001,0),0), INDEX($AO$1004:$BQ$1004,1,MATCH(COLUMNS($AO$1006:AS1006),$AO$1006:$BQ$1006,0)))),"Fix")))</f>
        <v>#N/A</v>
      </c>
      <c r="G45" s="5" t="e">
        <f ca="1">IF(OR(INDEX($AI$2:$AI$1001,MATCH(ROWS($AH$2:AH45),$AH$2:$AH$1001,0),1)&gt;=100000,INDEX($AO$1005:$BQ$1005,1,MATCH(COLUMNS($AO$1006:AT1006),$AO$1006:$BQ$1006,0))&gt;=100000), " ",IF(INDEX($AO$2:$BQ$1001,MATCH(ROWS($AH$2:AH45),$AH$2:$AH$1001,0),MATCH(COLUMNS($AO$1006:AT1006),$AO$1006:$BQ$1006,0)), HYPERLINK("#",""), HYPERLINK(CONCATENATE("#Metadata!", ADDRESS(INDEX($AJ$2:$AJ$1001,MATCH(ROWS($AH$2:AH45),$AH$2:$AH$1001,0),0), INDEX($AO$1004:$BQ$1004,1,MATCH(COLUMNS($AO$1006:AT1006),$AO$1006:$BQ$1006,0)))),"Fix")))</f>
        <v>#N/A</v>
      </c>
      <c r="H45" s="5" t="e">
        <f ca="1">IF(OR(INDEX($AI$2:$AI$1001,MATCH(ROWS($AH$2:AH45),$AH$2:$AH$1001,0),1)&gt;=100000,INDEX($AO$1005:$BQ$1005,1,MATCH(COLUMNS($AO$1006:AU1006),$AO$1006:$BQ$1006,0))&gt;=100000), " ",IF(INDEX($AO$2:$BQ$1001,MATCH(ROWS($AH$2:AH45),$AH$2:$AH$1001,0),MATCH(COLUMNS($AO$1006:AU1006),$AO$1006:$BQ$1006,0)), HYPERLINK("#",""), HYPERLINK(CONCATENATE("#Metadata!", ADDRESS(INDEX($AJ$2:$AJ$1001,MATCH(ROWS($AH$2:AH45),$AH$2:$AH$1001,0),0), INDEX($AO$1004:$BQ$1004,1,MATCH(COLUMNS($AO$1006:AU1006),$AO$1006:$BQ$1006,0)))),"Fix")))</f>
        <v>#N/A</v>
      </c>
      <c r="I45" s="5" t="e">
        <f ca="1">IF(OR(INDEX($AI$2:$AI$1001,MATCH(ROWS($AH$2:AH45),$AH$2:$AH$1001,0),1)&gt;=100000,INDEX($AO$1005:$BQ$1005,1,MATCH(COLUMNS($AO$1006:AV1006),$AO$1006:$BQ$1006,0))&gt;=100000), " ",IF(INDEX($AO$2:$BQ$1001,MATCH(ROWS($AH$2:AH45),$AH$2:$AH$1001,0),MATCH(COLUMNS($AO$1006:AV1006),$AO$1006:$BQ$1006,0)), HYPERLINK("#",""), HYPERLINK(CONCATENATE("#Metadata!", ADDRESS(INDEX($AJ$2:$AJ$1001,MATCH(ROWS($AH$2:AH45),$AH$2:$AH$1001,0),0), INDEX($AO$1004:$BQ$1004,1,MATCH(COLUMNS($AO$1006:AV1006),$AO$1006:$BQ$1006,0)))),"Fix")))</f>
        <v>#N/A</v>
      </c>
      <c r="J45" s="5" t="e">
        <f ca="1">IF(OR(INDEX($AI$2:$AI$1001,MATCH(ROWS($AH$2:AH45),$AH$2:$AH$1001,0),1)&gt;=100000,INDEX($AO$1005:$BQ$1005,1,MATCH(COLUMNS($AO$1006:AW1006),$AO$1006:$BQ$1006,0))&gt;=100000), " ",IF(INDEX($AO$2:$BQ$1001,MATCH(ROWS($AH$2:AH45),$AH$2:$AH$1001,0),MATCH(COLUMNS($AO$1006:AW1006),$AO$1006:$BQ$1006,0)), HYPERLINK("#",""), HYPERLINK(CONCATENATE("#Metadata!", ADDRESS(INDEX($AJ$2:$AJ$1001,MATCH(ROWS($AH$2:AH45),$AH$2:$AH$1001,0),0), INDEX($AO$1004:$BQ$1004,1,MATCH(COLUMNS($AO$1006:AW1006),$AO$1006:$BQ$1006,0)))),"Fix")))</f>
        <v>#N/A</v>
      </c>
      <c r="K45" s="5" t="e">
        <f ca="1">IF(OR(INDEX($AI$2:$AI$1001,MATCH(ROWS($AH$2:AH45),$AH$2:$AH$1001,0),1)&gt;=100000,INDEX($AO$1005:$BQ$1005,1,MATCH(COLUMNS($AO$1006:AX1006),$AO$1006:$BQ$1006,0))&gt;=100000), " ",IF(INDEX($AO$2:$BQ$1001,MATCH(ROWS($AH$2:AH45),$AH$2:$AH$1001,0),MATCH(COLUMNS($AO$1006:AX1006),$AO$1006:$BQ$1006,0)), HYPERLINK("#",""), HYPERLINK(CONCATENATE("#Metadata!", ADDRESS(INDEX($AJ$2:$AJ$1001,MATCH(ROWS($AH$2:AH45),$AH$2:$AH$1001,0),0), INDEX($AO$1004:$BQ$1004,1,MATCH(COLUMNS($AO$1006:AX1006),$AO$1006:$BQ$1006,0)))),"Fix")))</f>
        <v>#N/A</v>
      </c>
      <c r="L45" s="5" t="e">
        <f ca="1">IF(OR(INDEX($AI$2:$AI$1001,MATCH(ROWS($AH$2:AH45),$AH$2:$AH$1001,0),1)&gt;=100000,INDEX($AO$1005:$BQ$1005,1,MATCH(COLUMNS($AO$1006:AY1006),$AO$1006:$BQ$1006,0))&gt;=100000), " ",IF(INDEX($AO$2:$BQ$1001,MATCH(ROWS($AH$2:AH45),$AH$2:$AH$1001,0),MATCH(COLUMNS($AO$1006:AY1006),$AO$1006:$BQ$1006,0)), HYPERLINK("#",""), HYPERLINK(CONCATENATE("#Metadata!", ADDRESS(INDEX($AJ$2:$AJ$1001,MATCH(ROWS($AH$2:AH45),$AH$2:$AH$1001,0),0), INDEX($AO$1004:$BQ$1004,1,MATCH(COLUMNS($AO$1006:AY1006),$AO$1006:$BQ$1006,0)))),"Fix")))</f>
        <v>#N/A</v>
      </c>
      <c r="M45" s="5" t="e">
        <f ca="1">IF(OR(INDEX($AI$2:$AI$1001,MATCH(ROWS($AH$2:AH45),$AH$2:$AH$1001,0),1)&gt;=100000,INDEX($AO$1005:$BQ$1005,1,MATCH(COLUMNS($AO$1006:AZ1006),$AO$1006:$BQ$1006,0))&gt;=100000), " ",IF(INDEX($AO$2:$BQ$1001,MATCH(ROWS($AH$2:AH45),$AH$2:$AH$1001,0),MATCH(COLUMNS($AO$1006:AZ1006),$AO$1006:$BQ$1006,0)), HYPERLINK("#",""), HYPERLINK(CONCATENATE("#Metadata!", ADDRESS(INDEX($AJ$2:$AJ$1001,MATCH(ROWS($AH$2:AH45),$AH$2:$AH$1001,0),0), INDEX($AO$1004:$BQ$1004,1,MATCH(COLUMNS($AO$1006:AZ1006),$AO$1006:$BQ$1006,0)))),"Fix")))</f>
        <v>#N/A</v>
      </c>
      <c r="N45" s="5" t="e">
        <f ca="1">IF(OR(INDEX($AI$2:$AI$1001,MATCH(ROWS($AH$2:AH45),$AH$2:$AH$1001,0),1)&gt;=100000,INDEX($AO$1005:$BQ$1005,1,MATCH(COLUMNS($AO$1006:BA1006),$AO$1006:$BQ$1006,0))&gt;=100000), " ",IF(INDEX($AO$2:$BQ$1001,MATCH(ROWS($AH$2:AH45),$AH$2:$AH$1001,0),MATCH(COLUMNS($AO$1006:BA1006),$AO$1006:$BQ$1006,0)), HYPERLINK("#",""), HYPERLINK(CONCATENATE("#Metadata!", ADDRESS(INDEX($AJ$2:$AJ$1001,MATCH(ROWS($AH$2:AH45),$AH$2:$AH$1001,0),0), INDEX($AO$1004:$BQ$1004,1,MATCH(COLUMNS($AO$1006:BA1006),$AO$1006:$BQ$1006,0)))),"Fix")))</f>
        <v>#N/A</v>
      </c>
      <c r="O45" s="5" t="e">
        <f ca="1">IF(OR(INDEX($AI$2:$AI$1001,MATCH(ROWS($AH$2:AH45),$AH$2:$AH$1001,0),1)&gt;=100000,INDEX($AO$1005:$BQ$1005,1,MATCH(COLUMNS($AO$1006:BB1006),$AO$1006:$BQ$1006,0))&gt;=100000), " ",IF(INDEX($AO$2:$BQ$1001,MATCH(ROWS($AH$2:AH45),$AH$2:$AH$1001,0),MATCH(COLUMNS($AO$1006:BB1006),$AO$1006:$BQ$1006,0)), HYPERLINK("#",""), HYPERLINK(CONCATENATE("#Metadata!", ADDRESS(INDEX($AJ$2:$AJ$1001,MATCH(ROWS($AH$2:AH45),$AH$2:$AH$1001,0),0), INDEX($AO$1004:$BQ$1004,1,MATCH(COLUMNS($AO$1006:BB1006),$AO$1006:$BQ$1006,0)))),"Fix")))</f>
        <v>#N/A</v>
      </c>
      <c r="P45" s="5" t="e">
        <f ca="1">IF(OR(INDEX($AI$2:$AI$1001,MATCH(ROWS($AH$2:AH45),$AH$2:$AH$1001,0),1)&gt;=100000,INDEX($AO$1005:$BQ$1005,1,MATCH(COLUMNS($AO$1006:BC1006),$AO$1006:$BQ$1006,0))&gt;=100000), " ",IF(INDEX($AO$2:$BQ$1001,MATCH(ROWS($AH$2:AH45),$AH$2:$AH$1001,0),MATCH(COLUMNS($AO$1006:BC1006),$AO$1006:$BQ$1006,0)), HYPERLINK("#",""), HYPERLINK(CONCATENATE("#Metadata!", ADDRESS(INDEX($AJ$2:$AJ$1001,MATCH(ROWS($AH$2:AH45),$AH$2:$AH$1001,0),0), INDEX($AO$1004:$BQ$1004,1,MATCH(COLUMNS($AO$1006:BC1006),$AO$1006:$BQ$1006,0)))),"Fix")))</f>
        <v>#N/A</v>
      </c>
      <c r="Q45" s="5" t="e">
        <f ca="1">IF(OR(INDEX($AI$2:$AI$1001,MATCH(ROWS($AH$2:AH45),$AH$2:$AH$1001,0),1)&gt;=100000,INDEX($AO$1005:$BQ$1005,1,MATCH(COLUMNS($AO$1006:BD1006),$AO$1006:$BQ$1006,0))&gt;=100000), " ",IF(INDEX($AO$2:$BQ$1001,MATCH(ROWS($AH$2:AH45),$AH$2:$AH$1001,0),MATCH(COLUMNS($AO$1006:BD1006),$AO$1006:$BQ$1006,0)), HYPERLINK("#",""), HYPERLINK(CONCATENATE("#Metadata!", ADDRESS(INDEX($AJ$2:$AJ$1001,MATCH(ROWS($AH$2:AH45),$AH$2:$AH$1001,0),0), INDEX($AO$1004:$BQ$1004,1,MATCH(COLUMNS($AO$1006:BD1006),$AO$1006:$BQ$1006,0)))),"Fix")))</f>
        <v>#N/A</v>
      </c>
      <c r="R45" s="5" t="e">
        <f ca="1">IF(OR(INDEX($AI$2:$AI$1001,MATCH(ROWS($AH$2:AH45),$AH$2:$AH$1001,0),1)&gt;=100000,INDEX($AO$1005:$BQ$1005,1,MATCH(COLUMNS($AO$1006:BE1006),$AO$1006:$BQ$1006,0))&gt;=100000), " ",IF(INDEX($AO$2:$BQ$1001,MATCH(ROWS($AH$2:AH45),$AH$2:$AH$1001,0),MATCH(COLUMNS($AO$1006:BE1006),$AO$1006:$BQ$1006,0)), HYPERLINK("#",""), HYPERLINK(CONCATENATE("#Metadata!", ADDRESS(INDEX($AJ$2:$AJ$1001,MATCH(ROWS($AH$2:AH45),$AH$2:$AH$1001,0),0), INDEX($AO$1004:$BQ$1004,1,MATCH(COLUMNS($AO$1006:BE1006),$AO$1006:$BQ$1006,0)))),"Fix")))</f>
        <v>#N/A</v>
      </c>
      <c r="S45" s="5" t="e">
        <f ca="1">IF(OR(INDEX($AI$2:$AI$1001,MATCH(ROWS($AH$2:AH45),$AH$2:$AH$1001,0),1)&gt;=100000,INDEX($AO$1005:$BQ$1005,1,MATCH(COLUMNS($AO$1006:BF1006),$AO$1006:$BQ$1006,0))&gt;=100000), " ",IF(INDEX($AO$2:$BQ$1001,MATCH(ROWS($AH$2:AH45),$AH$2:$AH$1001,0),MATCH(COLUMNS($AO$1006:BF1006),$AO$1006:$BQ$1006,0)), HYPERLINK("#",""), HYPERLINK(CONCATENATE("#Metadata!", ADDRESS(INDEX($AJ$2:$AJ$1001,MATCH(ROWS($AH$2:AH45),$AH$2:$AH$1001,0),0), INDEX($AO$1004:$BQ$1004,1,MATCH(COLUMNS($AO$1006:BF1006),$AO$1006:$BQ$1006,0)))),"Fix")))</f>
        <v>#N/A</v>
      </c>
      <c r="T45" s="5" t="e">
        <f ca="1">IF(OR(INDEX($AI$2:$AI$1001,MATCH(ROWS($AH$2:AH45),$AH$2:$AH$1001,0),1)&gt;=100000,INDEX($AO$1005:$BQ$1005,1,MATCH(COLUMNS($AO$1006:BG1006),$AO$1006:$BQ$1006,0))&gt;=100000), " ",IF(INDEX($AO$2:$BQ$1001,MATCH(ROWS($AH$2:AH45),$AH$2:$AH$1001,0),MATCH(COLUMNS($AO$1006:BG1006),$AO$1006:$BQ$1006,0)), HYPERLINK("#",""), HYPERLINK(CONCATENATE("#Metadata!", ADDRESS(INDEX($AJ$2:$AJ$1001,MATCH(ROWS($AH$2:AH45),$AH$2:$AH$1001,0),0), INDEX($AO$1004:$BQ$1004,1,MATCH(COLUMNS($AO$1006:BG1006),$AO$1006:$BQ$1006,0)))),"Fix")))</f>
        <v>#N/A</v>
      </c>
      <c r="U45" s="5" t="e">
        <f ca="1">IF(OR(INDEX($AI$2:$AI$1001,MATCH(ROWS($AH$2:AH45),$AH$2:$AH$1001,0),1)&gt;=100000,INDEX($AO$1005:$BQ$1005,1,MATCH(COLUMNS($AO$1006:BH1006),$AO$1006:$BQ$1006,0))&gt;=100000), " ",IF(INDEX($AO$2:$BQ$1001,MATCH(ROWS($AH$2:AH45),$AH$2:$AH$1001,0),MATCH(COLUMNS($AO$1006:BH1006),$AO$1006:$BQ$1006,0)), HYPERLINK("#",""), HYPERLINK(CONCATENATE("#Metadata!", ADDRESS(INDEX($AJ$2:$AJ$1001,MATCH(ROWS($AH$2:AH45),$AH$2:$AH$1001,0),0), INDEX($AO$1004:$BQ$1004,1,MATCH(COLUMNS($AO$1006:BH1006),$AO$1006:$BQ$1006,0)))),"Fix")))</f>
        <v>#N/A</v>
      </c>
      <c r="V45" s="5" t="e">
        <f ca="1">IF(OR(INDEX($AI$2:$AI$1001,MATCH(ROWS($AH$2:AH45),$AH$2:$AH$1001,0),1)&gt;=100000,INDEX($AO$1005:$BQ$1005,1,MATCH(COLUMNS($AO$1006:BI1006),$AO$1006:$BQ$1006,0))&gt;=100000), " ",IF(INDEX($AO$2:$BQ$1001,MATCH(ROWS($AH$2:AH45),$AH$2:$AH$1001,0),MATCH(COLUMNS($AO$1006:BI1006),$AO$1006:$BQ$1006,0)), HYPERLINK("#",""), HYPERLINK(CONCATENATE("#Metadata!", ADDRESS(INDEX($AJ$2:$AJ$1001,MATCH(ROWS($AH$2:AH45),$AH$2:$AH$1001,0),0), INDEX($AO$1004:$BQ$1004,1,MATCH(COLUMNS($AO$1006:BI1006),$AO$1006:$BQ$1006,0)))),"Fix")))</f>
        <v>#N/A</v>
      </c>
      <c r="W45" s="5" t="e">
        <f ca="1">IF(OR(INDEX($AI$2:$AI$1001,MATCH(ROWS($AH$2:AH45),$AH$2:$AH$1001,0),1)&gt;=100000,INDEX($AO$1005:$BQ$1005,1,MATCH(COLUMNS($AO$1006:BJ1006),$AO$1006:$BQ$1006,0))&gt;=100000), " ",IF(INDEX($AO$2:$BQ$1001,MATCH(ROWS($AH$2:AH45),$AH$2:$AH$1001,0),MATCH(COLUMNS($AO$1006:BJ1006),$AO$1006:$BQ$1006,0)), HYPERLINK("#",""), HYPERLINK(CONCATENATE("#Metadata!", ADDRESS(INDEX($AJ$2:$AJ$1001,MATCH(ROWS($AH$2:AH45),$AH$2:$AH$1001,0),0), INDEX($AO$1004:$BQ$1004,1,MATCH(COLUMNS($AO$1006:BJ1006),$AO$1006:$BQ$1006,0)))),"Fix")))</f>
        <v>#N/A</v>
      </c>
      <c r="X45" s="5" t="e">
        <f ca="1">IF(OR(INDEX($AI$2:$AI$1001,MATCH(ROWS($AH$2:AH45),$AH$2:$AH$1001,0),1)&gt;=100000,INDEX($AO$1005:$BQ$1005,1,MATCH(COLUMNS($AO$1006:BK1006),$AO$1006:$BQ$1006,0))&gt;=100000), " ",IF(INDEX($AO$2:$BQ$1001,MATCH(ROWS($AH$2:AH45),$AH$2:$AH$1001,0),MATCH(COLUMNS($AO$1006:BK1006),$AO$1006:$BQ$1006,0)), HYPERLINK("#",""), HYPERLINK(CONCATENATE("#Metadata!", ADDRESS(INDEX($AJ$2:$AJ$1001,MATCH(ROWS($AH$2:AH45),$AH$2:$AH$1001,0),0), INDEX($AO$1004:$BQ$1004,1,MATCH(COLUMNS($AO$1006:BK1006),$AO$1006:$BQ$1006,0)))),"Fix")))</f>
        <v>#N/A</v>
      </c>
      <c r="Y45" s="5" t="e">
        <f ca="1">IF(OR(INDEX($AI$2:$AI$1001,MATCH(ROWS($AH$2:AH45),$AH$2:$AH$1001,0),1)&gt;=100000,INDEX($AO$1005:$BQ$1005,1,MATCH(COLUMNS($AO$1006:BL1006),$AO$1006:$BQ$1006,0))&gt;=100000), " ",IF(INDEX($AO$2:$BQ$1001,MATCH(ROWS($AH$2:AH45),$AH$2:$AH$1001,0),MATCH(COLUMNS($AO$1006:BL1006),$AO$1006:$BQ$1006,0)), HYPERLINK("#",""), HYPERLINK(CONCATENATE("#Metadata!", ADDRESS(INDEX($AJ$2:$AJ$1001,MATCH(ROWS($AH$2:AH45),$AH$2:$AH$1001,0),0), INDEX($AO$1004:$BQ$1004,1,MATCH(COLUMNS($AO$1006:BL1006),$AO$1006:$BQ$1006,0)))),"Fix")))</f>
        <v>#N/A</v>
      </c>
      <c r="Z45" s="5" t="e">
        <f ca="1">IF(OR(INDEX($AI$2:$AI$1001,MATCH(ROWS($AH$2:AH45),$AH$2:$AH$1001,0),1)&gt;=100000,INDEX($AO$1005:$BQ$1005,1,MATCH(COLUMNS($AO$1006:BM1006),$AO$1006:$BQ$1006,0))&gt;=100000), " ",IF(INDEX($AO$2:$BQ$1001,MATCH(ROWS($AH$2:AH45),$AH$2:$AH$1001,0),MATCH(COLUMNS($AO$1006:BM1006),$AO$1006:$BQ$1006,0)), HYPERLINK("#",""), HYPERLINK(CONCATENATE("#Metadata!", ADDRESS(INDEX($AJ$2:$AJ$1001,MATCH(ROWS($AH$2:AH45),$AH$2:$AH$1001,0),0), INDEX($AO$1004:$BQ$1004,1,MATCH(COLUMNS($AO$1006:BM1006),$AO$1006:$BQ$1006,0)))),"Fix")))</f>
        <v>#N/A</v>
      </c>
      <c r="AA45" s="5" t="e">
        <f ca="1">IF(OR(INDEX($AI$2:$AI$1001,MATCH(ROWS($AH$2:AH45),$AH$2:$AH$1001,0),1)&gt;=100000,INDEX($AO$1005:$BQ$1005,1,MATCH(COLUMNS($AO$1006:BN1006),$AO$1006:$BQ$1006,0))&gt;=100000), " ",IF(INDEX($AO$2:$BQ$1001,MATCH(ROWS($AH$2:AH45),$AH$2:$AH$1001,0),MATCH(COLUMNS($AO$1006:BN1006),$AO$1006:$BQ$1006,0)), HYPERLINK("#",""), HYPERLINK(CONCATENATE("#Metadata!", ADDRESS(INDEX($AJ$2:$AJ$1001,MATCH(ROWS($AH$2:AH45),$AH$2:$AH$1001,0),0), INDEX($AO$1004:$BQ$1004,1,MATCH(COLUMNS($AO$1006:BN1006),$AO$1006:$BQ$1006,0)))),"Fix")))</f>
        <v>#N/A</v>
      </c>
      <c r="AB45" s="5" t="e">
        <f ca="1">IF(OR(INDEX($AI$2:$AI$1001,MATCH(ROWS($AH$2:AH45),$AH$2:$AH$1001,0),1)&gt;=100000,INDEX($AO$1005:$BQ$1005,1,MATCH(COLUMNS($AO$1006:BO1006),$AO$1006:$BQ$1006,0))&gt;=100000), " ",IF(INDEX($AO$2:$BQ$1001,MATCH(ROWS($AH$2:AH45),$AH$2:$AH$1001,0),MATCH(COLUMNS($AO$1006:BO1006),$AO$1006:$BQ$1006,0)), HYPERLINK("#",""), HYPERLINK(CONCATENATE("#Metadata!", ADDRESS(INDEX($AJ$2:$AJ$1001,MATCH(ROWS($AH$2:AH45),$AH$2:$AH$1001,0),0), INDEX($AO$1004:$BQ$1004,1,MATCH(COLUMNS($AO$1006:BO1006),$AO$1006:$BQ$1006,0)))),"Fix")))</f>
        <v>#N/A</v>
      </c>
      <c r="AC45" s="5" t="e">
        <f ca="1">IF(OR(INDEX($AI$2:$AI$1001,MATCH(ROWS($AH$2:AH45),$AH$2:$AH$1001,0),1)&gt;=100000,INDEX($AO$1005:$BQ$1005,1,MATCH(COLUMNS($AO$1006:BP1006),$AO$1006:$BQ$1006,0))&gt;=100000), " ",IF(INDEX($AO$2:$BQ$1001,MATCH(ROWS($AH$2:AH45),$AH$2:$AH$1001,0),MATCH(COLUMNS($AO$1006:BP1006),$AO$1006:$BQ$1006,0)), HYPERLINK("#",""), HYPERLINK(CONCATENATE("#Metadata!", ADDRESS(INDEX($AJ$2:$AJ$1001,MATCH(ROWS($AH$2:AH45),$AH$2:$AH$1001,0),0), INDEX($AO$1004:$BQ$1004,1,MATCH(COLUMNS($AO$1006:BP1006),$AO$1006:$BQ$1006,0)))),"Fix")))</f>
        <v>#N/A</v>
      </c>
      <c r="AD45" s="5" t="e">
        <f ca="1">IF(OR(INDEX($AI$2:$AI$1001,MATCH(ROWS($AH$2:AH45),$AH$2:$AH$1001,0),1)&gt;=100000,INDEX($AO$1005:$BQ$1005,1,MATCH(COLUMNS($AO$1006:BQ1006),$AO$1006:$BQ$1006,0))&gt;=100000), " ",IF(INDEX($AO$2:$BQ$1001,MATCH(ROWS($AH$2:AH45),$AH$2:$AH$1001,0),MATCH(COLUMNS($AO$1006:BQ1006),$AO$1006:$BQ$1006,0)), HYPERLINK("#",""), HYPERLINK(CONCATENATE("#Metadata!", ADDRESS(INDEX($AJ$2:$AJ$1001,MATCH(ROWS($AH$2:AH45),$AH$2:$AH$1001,0),0), INDEX($AO$1004:$BQ$1004,1,MATCH(COLUMNS($AO$1006:BQ1006),$AO$1006:$BQ$1006,0)))),"Fix")))</f>
        <v>#REF!</v>
      </c>
      <c r="AH45">
        <f ca="1"/>
        <v>42</v>
      </c>
      <c r="AI45">
        <f ca="1"/>
        <v>45</v>
      </c>
      <c r="AJ45">
        <v>45</v>
      </c>
      <c r="AK45" t="b">
        <f t="shared" ca="1" si="0"/>
        <v>0</v>
      </c>
      <c r="AL45" t="b">
        <f>COUNTBLANK(Metadata!B45:AD45)=COLUMNS(Metadata!B45:AD45)</f>
        <v>0</v>
      </c>
      <c r="AM45" t="str">
        <v>Environment.Water.BTP.92Side.2</v>
      </c>
      <c r="AO45" t="b">
        <f ca="1">AND(IF(Metadata!B44="",FALSE,TRUE),COUNTIF(Metadata!B:B, Metadata!B44) = 1,NOT(ISERROR(SUMPRODUCT(SEARCH(MID(Metadata!B44,ROW(INDIRECT("1:"&amp;LEN(Metadata!B44))), 1),"0123456789abcdefghijklmnopqrstuvwxyzABCDEFGHIJKLMNOPQRSTUVWXYZ.")))))</f>
        <v>1</v>
      </c>
      <c r="AP45" t="b">
        <f>IF(Metadata!C44="",FALSE,TRUE)</f>
        <v>1</v>
      </c>
      <c r="AQ45" t="b">
        <f>IF(Metadata!D44="",FALSE,TRUE)</f>
        <v>1</v>
      </c>
      <c r="AR45" t="b">
        <f ca="1">OR(AND(IF(Metadata!E44="",FALSE,TRUE),OR(EXACT(Metadata!E44,"not collected"),EXACT(Metadata!E44,"not provided"),EXACT(Metadata!E44,"restricted access"))),AND(IF(Metadata!E44="",FALSE,TRUE),AND(AND(IFERROR(INT(LEFT(Metadata!E44,4))&gt;1900,FALSE),IFERROR(INT(LEFT(Metadata!E44,4))&lt;=YEAR(NOW()),FALSE)), OR(MID(Metadata!E44,5,1)="", AND(AND(MID(Metadata!E44,5,1)="-",IFERROR(INT(MID(Metadata!E44,6,1))&gt;=0,FALSE),IFERROR(INT(MID(Metadata!E44,6,1))&lt;=1,FALSE),NOT(MID(Metadata!E44,7,1)=""),IFERROR(INT(MID(Metadata!E44,6,2))&gt;=1,FALSE),IFERROR(INT(MID(Metadata!E44,6,2))&lt;=12,FALSE)), OR(MID(Metadata!E44,8,1)="", AND(AND(MID(Metadata!E44,8,1)="-",IFERROR(INT(MID(Metadata!E44,9,1))&gt;=0,FALSE),IFERROR(INT(MID(Metadata!E44,9,1))&lt;=3,FALSE),NOT(MID(Metadata!E44,10,1)=""),IFERROR(INT(MID(Metadata!E44,9,2))&gt;=1,FALSE),IFERROR(INT(MID(Metadata!E44,9,2))&lt;=31,FALSE)), OR(MID(Metadata!E44,11,1)="", AND(AND(MID(Metadata!E44,11,1)=" ",IFERROR(INT(MID(Metadata!E44,12,1))&gt;=0,FALSE),IFERROR(INT(MID(Metadata!E44,12,1))&lt;=2,FALSE),NOT(MID(Metadata!E44,13,1)=""),IFERROR(INT(MID(Metadata!E44,12,2))&gt;=0,FALSE),IFERROR(INT(MID(Metadata!E44,12,2))&lt;=23,FALSE)), OR(MID(Metadata!E44,14,1)="", AND(AND(MID(Metadata!E44,14,1)=":",IFERROR(INT(MID(Metadata!E44,15,1))&gt;=0,FALSE),IFERROR(INT(MID(Metadata!E44,15,1))&lt;=5,FALSE),NOT(MID(Metadata!E44,16,1)=""),IFERROR(INT(MID(Metadata!E44,15,2))&gt;=0,FALSE),IFERROR(INT(MID(Metadata!E44,15,2))&lt;=59,FALSE)), OR(MID(Metadata!E44,17,1)="", AND(AND(MID(Metadata!E44,17,1)=":",IFERROR(INT(MID(Metadata!E44,18,1))&gt;=0,FALSE),IFERROR(INT(MID(Metadata!E44,18,1))&lt;=5,FALSE),NOT(MID(Metadata!E44,19,1)=""),IFERROR(INT(MID(Metadata!E44,18,2))&gt;=0,FALSE),IFERROR(INT(MID(Metadata!E44,18,2))&lt;=59,FALSE)), LEN(Metadata!E44)&lt;=19)))))))))))))</f>
        <v>0</v>
      </c>
      <c r="AS45" t="b">
        <f>IF(Metadata!F44="",FALSE,TRUE)</f>
        <v>1</v>
      </c>
      <c r="AT45" t="b">
        <f>OR(AND(IF(Metadata!G44="",FALSE,TRUE),OR(EXACT(Metadata!G44,"not collected"),EXACT(Metadata!G44,"not provided"))),AND(IF(Metadata!G44="",FALSE,TRUE),OR(EXACT(Metadata!G44,"TRUE"),EXACT(Metadata!G44,"FALSE"))))</f>
        <v>1</v>
      </c>
      <c r="AU45" t="b">
        <f>OR(AND(IF(Metadata!H44="",FALSE,TRUE),OR(EXACT(Metadata!H44,"not collected"),EXACT(Metadata!H44,"not provided"),EXACT(Metadata!H44,"restricted access"))),AND(IF(Metadata!H44="",FALSE,ISNUMBER(VALUE(Metadata!H44))),Metadata!H44&gt;=-413))</f>
        <v>0</v>
      </c>
      <c r="AV45" t="b">
        <f>AND(IF(Metadata!I44="",FALSE,TRUE),EXACT(Metadata!I44,"meters"))</f>
        <v>1</v>
      </c>
      <c r="AW45" t="b">
        <f>AND(IF(Metadata!J44="",FALSE,TRUE),EXACT(Metadata!J44,"free-living"))</f>
        <v>1</v>
      </c>
      <c r="AX45" t="b">
        <f>AND(IF(Metadata!K44="",FALSE,TRUE),OR(EXACT(Metadata!K44,"saline"),EXACT(Metadata!K44,"non-saline")))</f>
        <v>1</v>
      </c>
      <c r="AY45" t="b">
        <f>AND(IF(Metadata!L44="",FALSE,TRUE),OR(EXACT(Metadata!L44,"sub-surface (non-saline)"),EXACT(Metadata!L44,"surface (non-saline)"),EXACT(Metadata!L44,"water (non-saline)"),EXACT(Metadata!L44,"soil (non-saline)"),EXACT(Metadata!L44,"aerosol (non-saline)"),EXACT(Metadata!L44,"sediment (non-saline)"),EXACT(Metadata!L44,"surface (saline)"),EXACT(Metadata!L44,"water (saline)"),EXACT(Metadata!L44,"hypersaline (saline)"),EXACT(Metadata!L44,"aerosol (saline)"),EXACT(Metadata!L44,"sediment (saline)")))</f>
        <v>1</v>
      </c>
      <c r="AZ45" t="b">
        <f>IF(Metadata!M44="",FALSE,TRUE)</f>
        <v>1</v>
      </c>
      <c r="BA45" t="b">
        <f>IF(Metadata!N44="",FALSE,TRUE)</f>
        <v>1</v>
      </c>
      <c r="BB45" t="b">
        <f>IF(Metadata!O44="",FALSE,TRUE)</f>
        <v>1</v>
      </c>
      <c r="BC45" t="b">
        <f>AND(IF(Metadata!P44="",FALSE,TRUE),OR(EXACT(Metadata!P44,"air"),EXACT(Metadata!P44,"microbial mat/biofilm"),EXACT(Metadata!P44,"misc environment"),EXACT(Metadata!P44,"sediment"),EXACT(Metadata!P44,"soil"),EXACT(Metadata!P44,"wastewater/sludge"),EXACT(Metadata!P44,"water")))</f>
        <v>1</v>
      </c>
      <c r="BD45" t="b">
        <f>IF(Metadata!Q44="",FALSE,TRUE)</f>
        <v>1</v>
      </c>
      <c r="BE45" t="b">
        <f>IF(Metadata!R44="",FALSE,TRUE)</f>
        <v>1</v>
      </c>
      <c r="BF45" t="b">
        <f>OR(AND(IF(Metadata!S44="",FALSE,TRUE),OR(EXACT(Metadata!S44,"not collected"),EXACT(Metadata!S44,"not provided"),EXACT(Metadata!S44,"restricted access"))),AND(IF(Metadata!S44="",FALSE,ISNUMBER(VALUE(Metadata!S44))),Metadata!S44&gt;=-90,Metadata!S44&lt;=90))</f>
        <v>0</v>
      </c>
      <c r="BG45" t="b">
        <f>AND(IF(Metadata!T44="",FALSE,TRUE),EXACT(Metadata!T44,"Decimal degrees"))</f>
        <v>1</v>
      </c>
      <c r="BH45" t="b">
        <f>OR(AND(IF(Metadata!U44="",FALSE,TRUE),OR(EXACT(Metadata!U44,"not applicable"),EXACT(Metadata!U44,"not collected"))),IF(Metadata!U44="",FALSE,TRUE))</f>
        <v>1</v>
      </c>
      <c r="BI45" t="b">
        <f>OR(AND(IF(Metadata!V44="",FALSE,TRUE),OR(EXACT(Metadata!V44,"not collected"),EXACT(Metadata!V44,"not provided"),EXACT(Metadata!V44,"restricted access"))),AND(IF(Metadata!V44="",FALSE,ISNUMBER(VALUE(Metadata!V44))),Metadata!V44&gt;=-180,Metadata!V44&lt;=180))</f>
        <v>0</v>
      </c>
      <c r="BJ45" t="b">
        <f>AND(IF(Metadata!W44="",FALSE,TRUE),EXACT(Metadata!W44,"Decimal degrees"))</f>
        <v>1</v>
      </c>
      <c r="BK45" t="b">
        <f>IF(Metadata!X44="",FALSE,TRUE)</f>
        <v>1</v>
      </c>
      <c r="BL45" t="b">
        <f>OR(AND(IF(Metadata!Y44="",FALSE,TRUE),OR(EXACT(Metadata!Y44,"not collected"),EXACT(Metadata!Y44,"not provided"),EXACT(Metadata!Y44,"restricted access"))),AND(IF(Metadata!Y44="",FALSE,TRUE),OR(EXACT(Metadata!Y44,"TRUE"),EXACT(Metadata!Y44,"FALSE"))))</f>
        <v>1</v>
      </c>
      <c r="BM45" t="b">
        <f>OR(AND(IF(Metadata!Z44="",FALSE,TRUE),EXACT(Metadata!Z44,"not applicable")),AND(IF(Metadata!Z44="",FALSE,TRUE),OR(EXACT(Metadata!Z44,"beer"),EXACT(Metadata!Z44,"cheese"),EXACT(Metadata!Z44,"fresh water"),EXACT(Metadata!Z44,"marine sediment"),EXACT(Metadata!Z44,"sea water"),EXACT(Metadata!Z44,"sediment"),EXACT(Metadata!Z44,"soil"),EXACT(Metadata!Z44,"waste water"))))</f>
        <v>1</v>
      </c>
      <c r="BN45" t="b">
        <f>AND(IF(Metadata!AA44="",FALSE,TRUE),EXACT(Metadata!AA44,"metagenome"))</f>
        <v>1</v>
      </c>
      <c r="BO45" t="b">
        <f>AND(IF(Metadata!AB44="",FALSE,TRUE),EXACT(Metadata!AB44,"256318"))</f>
        <v>1</v>
      </c>
      <c r="BP45" t="b">
        <f>IF(Metadata!AC44="",FALSE,TRUE)</f>
        <v>1</v>
      </c>
      <c r="BQ45" t="b">
        <f>IF(Metadata!AD44="",FALSE,TRUE)</f>
        <v>1</v>
      </c>
    </row>
    <row r="46" spans="1:69" x14ac:dyDescent="0.2">
      <c r="A46" s="4" t="e">
        <f ca="1">IF(B46=" "," ",HYPERLINK(CONCATENATE("#metadata!",ADDRESS(INDEX($AJ$2:$AJ$1001,MATCH(ROWS($AH$2:AH46),$AH$2:$AH$1001,0),0),2)),INDEX($AM$2:$AM$1001,MATCH(ROWS($AH$2:AH46),$AH$2:$AH$1001,0),0)))</f>
        <v>#N/A</v>
      </c>
      <c r="B46" s="5" t="e">
        <f ca="1">IF(OR(INDEX($AI$2:$AI$1001,MATCH(ROWS($AH$2:AH46),$AH$2:$AH$1001,0),1)&gt;=100000,INDEX($AO$1005:$BQ$1005,1,MATCH(COLUMNS($AO$1006:AO1006),$AO$1006:$BQ$1006,0))&gt;=100000), " ",IF(INDEX($AO$2:$BQ$1001,MATCH(ROWS($AH$2:AH46),$AH$2:$AH$1001,0),MATCH(COLUMNS($AO$1006:AO1006),$AO$1006:$BQ$1006,0)), HYPERLINK("#",""), HYPERLINK(CONCATENATE("#Metadata!", ADDRESS(INDEX($AJ$2:$AJ$1001,MATCH(ROWS($AH$2:AH46),$AH$2:$AH$1001,0),0), INDEX($AO$1004:$BQ$1004,1,MATCH(COLUMNS($AO$1006:AO1006),$AO$1006:$BQ$1006,0)))),"Fix")))</f>
        <v>#N/A</v>
      </c>
      <c r="C46" s="5" t="e">
        <f ca="1">IF(OR(INDEX($AI$2:$AI$1001,MATCH(ROWS($AH$2:AH46),$AH$2:$AH$1001,0),1)&gt;=100000,INDEX($AO$1005:$BQ$1005,1,MATCH(COLUMNS($AO$1006:AP1006),$AO$1006:$BQ$1006,0))&gt;=100000), " ",IF(INDEX($AO$2:$BQ$1001,MATCH(ROWS($AH$2:AH46),$AH$2:$AH$1001,0),MATCH(COLUMNS($AO$1006:AP1006),$AO$1006:$BQ$1006,0)), HYPERLINK("#",""), HYPERLINK(CONCATENATE("#Metadata!", ADDRESS(INDEX($AJ$2:$AJ$1001,MATCH(ROWS($AH$2:AH46),$AH$2:$AH$1001,0),0), INDEX($AO$1004:$BQ$1004,1,MATCH(COLUMNS($AO$1006:AP1006),$AO$1006:$BQ$1006,0)))),"Fix")))</f>
        <v>#N/A</v>
      </c>
      <c r="D46" s="5" t="e">
        <f ca="1">IF(OR(INDEX($AI$2:$AI$1001,MATCH(ROWS($AH$2:AH46),$AH$2:$AH$1001,0),1)&gt;=100000,INDEX($AO$1005:$BQ$1005,1,MATCH(COLUMNS($AO$1006:AQ1006),$AO$1006:$BQ$1006,0))&gt;=100000), " ",IF(INDEX($AO$2:$BQ$1001,MATCH(ROWS($AH$2:AH46),$AH$2:$AH$1001,0),MATCH(COLUMNS($AO$1006:AQ1006),$AO$1006:$BQ$1006,0)), HYPERLINK("#",""), HYPERLINK(CONCATENATE("#Metadata!", ADDRESS(INDEX($AJ$2:$AJ$1001,MATCH(ROWS($AH$2:AH46),$AH$2:$AH$1001,0),0), INDEX($AO$1004:$BQ$1004,1,MATCH(COLUMNS($AO$1006:AQ1006),$AO$1006:$BQ$1006,0)))),"Fix")))</f>
        <v>#N/A</v>
      </c>
      <c r="E46" s="5" t="e">
        <f ca="1">IF(OR(INDEX($AI$2:$AI$1001,MATCH(ROWS($AH$2:AH46),$AH$2:$AH$1001,0),1)&gt;=100000,INDEX($AO$1005:$BQ$1005,1,MATCH(COLUMNS($AO$1006:AR1006),$AO$1006:$BQ$1006,0))&gt;=100000), " ",IF(INDEX($AO$2:$BQ$1001,MATCH(ROWS($AH$2:AH46),$AH$2:$AH$1001,0),MATCH(COLUMNS($AO$1006:AR1006),$AO$1006:$BQ$1006,0)), HYPERLINK("#",""), HYPERLINK(CONCATENATE("#Metadata!", ADDRESS(INDEX($AJ$2:$AJ$1001,MATCH(ROWS($AH$2:AH46),$AH$2:$AH$1001,0),0), INDEX($AO$1004:$BQ$1004,1,MATCH(COLUMNS($AO$1006:AR1006),$AO$1006:$BQ$1006,0)))),"Fix")))</f>
        <v>#N/A</v>
      </c>
      <c r="F46" s="5" t="e">
        <f ca="1">IF(OR(INDEX($AI$2:$AI$1001,MATCH(ROWS($AH$2:AH46),$AH$2:$AH$1001,0),1)&gt;=100000,INDEX($AO$1005:$BQ$1005,1,MATCH(COLUMNS($AO$1006:AS1006),$AO$1006:$BQ$1006,0))&gt;=100000), " ",IF(INDEX($AO$2:$BQ$1001,MATCH(ROWS($AH$2:AH46),$AH$2:$AH$1001,0),MATCH(COLUMNS($AO$1006:AS1006),$AO$1006:$BQ$1006,0)), HYPERLINK("#",""), HYPERLINK(CONCATENATE("#Metadata!", ADDRESS(INDEX($AJ$2:$AJ$1001,MATCH(ROWS($AH$2:AH46),$AH$2:$AH$1001,0),0), INDEX($AO$1004:$BQ$1004,1,MATCH(COLUMNS($AO$1006:AS1006),$AO$1006:$BQ$1006,0)))),"Fix")))</f>
        <v>#N/A</v>
      </c>
      <c r="G46" s="5" t="e">
        <f ca="1">IF(OR(INDEX($AI$2:$AI$1001,MATCH(ROWS($AH$2:AH46),$AH$2:$AH$1001,0),1)&gt;=100000,INDEX($AO$1005:$BQ$1005,1,MATCH(COLUMNS($AO$1006:AT1006),$AO$1006:$BQ$1006,0))&gt;=100000), " ",IF(INDEX($AO$2:$BQ$1001,MATCH(ROWS($AH$2:AH46),$AH$2:$AH$1001,0),MATCH(COLUMNS($AO$1006:AT1006),$AO$1006:$BQ$1006,0)), HYPERLINK("#",""), HYPERLINK(CONCATENATE("#Metadata!", ADDRESS(INDEX($AJ$2:$AJ$1001,MATCH(ROWS($AH$2:AH46),$AH$2:$AH$1001,0),0), INDEX($AO$1004:$BQ$1004,1,MATCH(COLUMNS($AO$1006:AT1006),$AO$1006:$BQ$1006,0)))),"Fix")))</f>
        <v>#N/A</v>
      </c>
      <c r="H46" s="5" t="e">
        <f ca="1">IF(OR(INDEX($AI$2:$AI$1001,MATCH(ROWS($AH$2:AH46),$AH$2:$AH$1001,0),1)&gt;=100000,INDEX($AO$1005:$BQ$1005,1,MATCH(COLUMNS($AO$1006:AU1006),$AO$1006:$BQ$1006,0))&gt;=100000), " ",IF(INDEX($AO$2:$BQ$1001,MATCH(ROWS($AH$2:AH46),$AH$2:$AH$1001,0),MATCH(COLUMNS($AO$1006:AU1006),$AO$1006:$BQ$1006,0)), HYPERLINK("#",""), HYPERLINK(CONCATENATE("#Metadata!", ADDRESS(INDEX($AJ$2:$AJ$1001,MATCH(ROWS($AH$2:AH46),$AH$2:$AH$1001,0),0), INDEX($AO$1004:$BQ$1004,1,MATCH(COLUMNS($AO$1006:AU1006),$AO$1006:$BQ$1006,0)))),"Fix")))</f>
        <v>#N/A</v>
      </c>
      <c r="I46" s="5" t="e">
        <f ca="1">IF(OR(INDEX($AI$2:$AI$1001,MATCH(ROWS($AH$2:AH46),$AH$2:$AH$1001,0),1)&gt;=100000,INDEX($AO$1005:$BQ$1005,1,MATCH(COLUMNS($AO$1006:AV1006),$AO$1006:$BQ$1006,0))&gt;=100000), " ",IF(INDEX($AO$2:$BQ$1001,MATCH(ROWS($AH$2:AH46),$AH$2:$AH$1001,0),MATCH(COLUMNS($AO$1006:AV1006),$AO$1006:$BQ$1006,0)), HYPERLINK("#",""), HYPERLINK(CONCATENATE("#Metadata!", ADDRESS(INDEX($AJ$2:$AJ$1001,MATCH(ROWS($AH$2:AH46),$AH$2:$AH$1001,0),0), INDEX($AO$1004:$BQ$1004,1,MATCH(COLUMNS($AO$1006:AV1006),$AO$1006:$BQ$1006,0)))),"Fix")))</f>
        <v>#N/A</v>
      </c>
      <c r="J46" s="5" t="e">
        <f ca="1">IF(OR(INDEX($AI$2:$AI$1001,MATCH(ROWS($AH$2:AH46),$AH$2:$AH$1001,0),1)&gt;=100000,INDEX($AO$1005:$BQ$1005,1,MATCH(COLUMNS($AO$1006:AW1006),$AO$1006:$BQ$1006,0))&gt;=100000), " ",IF(INDEX($AO$2:$BQ$1001,MATCH(ROWS($AH$2:AH46),$AH$2:$AH$1001,0),MATCH(COLUMNS($AO$1006:AW1006),$AO$1006:$BQ$1006,0)), HYPERLINK("#",""), HYPERLINK(CONCATENATE("#Metadata!", ADDRESS(INDEX($AJ$2:$AJ$1001,MATCH(ROWS($AH$2:AH46),$AH$2:$AH$1001,0),0), INDEX($AO$1004:$BQ$1004,1,MATCH(COLUMNS($AO$1006:AW1006),$AO$1006:$BQ$1006,0)))),"Fix")))</f>
        <v>#N/A</v>
      </c>
      <c r="K46" s="5" t="e">
        <f ca="1">IF(OR(INDEX($AI$2:$AI$1001,MATCH(ROWS($AH$2:AH46),$AH$2:$AH$1001,0),1)&gt;=100000,INDEX($AO$1005:$BQ$1005,1,MATCH(COLUMNS($AO$1006:AX1006),$AO$1006:$BQ$1006,0))&gt;=100000), " ",IF(INDEX($AO$2:$BQ$1001,MATCH(ROWS($AH$2:AH46),$AH$2:$AH$1001,0),MATCH(COLUMNS($AO$1006:AX1006),$AO$1006:$BQ$1006,0)), HYPERLINK("#",""), HYPERLINK(CONCATENATE("#Metadata!", ADDRESS(INDEX($AJ$2:$AJ$1001,MATCH(ROWS($AH$2:AH46),$AH$2:$AH$1001,0),0), INDEX($AO$1004:$BQ$1004,1,MATCH(COLUMNS($AO$1006:AX1006),$AO$1006:$BQ$1006,0)))),"Fix")))</f>
        <v>#N/A</v>
      </c>
      <c r="L46" s="5" t="e">
        <f ca="1">IF(OR(INDEX($AI$2:$AI$1001,MATCH(ROWS($AH$2:AH46),$AH$2:$AH$1001,0),1)&gt;=100000,INDEX($AO$1005:$BQ$1005,1,MATCH(COLUMNS($AO$1006:AY1006),$AO$1006:$BQ$1006,0))&gt;=100000), " ",IF(INDEX($AO$2:$BQ$1001,MATCH(ROWS($AH$2:AH46),$AH$2:$AH$1001,0),MATCH(COLUMNS($AO$1006:AY1006),$AO$1006:$BQ$1006,0)), HYPERLINK("#",""), HYPERLINK(CONCATENATE("#Metadata!", ADDRESS(INDEX($AJ$2:$AJ$1001,MATCH(ROWS($AH$2:AH46),$AH$2:$AH$1001,0),0), INDEX($AO$1004:$BQ$1004,1,MATCH(COLUMNS($AO$1006:AY1006),$AO$1006:$BQ$1006,0)))),"Fix")))</f>
        <v>#N/A</v>
      </c>
      <c r="M46" s="5" t="e">
        <f ca="1">IF(OR(INDEX($AI$2:$AI$1001,MATCH(ROWS($AH$2:AH46),$AH$2:$AH$1001,0),1)&gt;=100000,INDEX($AO$1005:$BQ$1005,1,MATCH(COLUMNS($AO$1006:AZ1006),$AO$1006:$BQ$1006,0))&gt;=100000), " ",IF(INDEX($AO$2:$BQ$1001,MATCH(ROWS($AH$2:AH46),$AH$2:$AH$1001,0),MATCH(COLUMNS($AO$1006:AZ1006),$AO$1006:$BQ$1006,0)), HYPERLINK("#",""), HYPERLINK(CONCATENATE("#Metadata!", ADDRESS(INDEX($AJ$2:$AJ$1001,MATCH(ROWS($AH$2:AH46),$AH$2:$AH$1001,0),0), INDEX($AO$1004:$BQ$1004,1,MATCH(COLUMNS($AO$1006:AZ1006),$AO$1006:$BQ$1006,0)))),"Fix")))</f>
        <v>#N/A</v>
      </c>
      <c r="N46" s="5" t="e">
        <f ca="1">IF(OR(INDEX($AI$2:$AI$1001,MATCH(ROWS($AH$2:AH46),$AH$2:$AH$1001,0),1)&gt;=100000,INDEX($AO$1005:$BQ$1005,1,MATCH(COLUMNS($AO$1006:BA1006),$AO$1006:$BQ$1006,0))&gt;=100000), " ",IF(INDEX($AO$2:$BQ$1001,MATCH(ROWS($AH$2:AH46),$AH$2:$AH$1001,0),MATCH(COLUMNS($AO$1006:BA1006),$AO$1006:$BQ$1006,0)), HYPERLINK("#",""), HYPERLINK(CONCATENATE("#Metadata!", ADDRESS(INDEX($AJ$2:$AJ$1001,MATCH(ROWS($AH$2:AH46),$AH$2:$AH$1001,0),0), INDEX($AO$1004:$BQ$1004,1,MATCH(COLUMNS($AO$1006:BA1006),$AO$1006:$BQ$1006,0)))),"Fix")))</f>
        <v>#N/A</v>
      </c>
      <c r="O46" s="5" t="e">
        <f ca="1">IF(OR(INDEX($AI$2:$AI$1001,MATCH(ROWS($AH$2:AH46),$AH$2:$AH$1001,0),1)&gt;=100000,INDEX($AO$1005:$BQ$1005,1,MATCH(COLUMNS($AO$1006:BB1006),$AO$1006:$BQ$1006,0))&gt;=100000), " ",IF(INDEX($AO$2:$BQ$1001,MATCH(ROWS($AH$2:AH46),$AH$2:$AH$1001,0),MATCH(COLUMNS($AO$1006:BB1006),$AO$1006:$BQ$1006,0)), HYPERLINK("#",""), HYPERLINK(CONCATENATE("#Metadata!", ADDRESS(INDEX($AJ$2:$AJ$1001,MATCH(ROWS($AH$2:AH46),$AH$2:$AH$1001,0),0), INDEX($AO$1004:$BQ$1004,1,MATCH(COLUMNS($AO$1006:BB1006),$AO$1006:$BQ$1006,0)))),"Fix")))</f>
        <v>#N/A</v>
      </c>
      <c r="P46" s="5" t="e">
        <f ca="1">IF(OR(INDEX($AI$2:$AI$1001,MATCH(ROWS($AH$2:AH46),$AH$2:$AH$1001,0),1)&gt;=100000,INDEX($AO$1005:$BQ$1005,1,MATCH(COLUMNS($AO$1006:BC1006),$AO$1006:$BQ$1006,0))&gt;=100000), " ",IF(INDEX($AO$2:$BQ$1001,MATCH(ROWS($AH$2:AH46),$AH$2:$AH$1001,0),MATCH(COLUMNS($AO$1006:BC1006),$AO$1006:$BQ$1006,0)), HYPERLINK("#",""), HYPERLINK(CONCATENATE("#Metadata!", ADDRESS(INDEX($AJ$2:$AJ$1001,MATCH(ROWS($AH$2:AH46),$AH$2:$AH$1001,0),0), INDEX($AO$1004:$BQ$1004,1,MATCH(COLUMNS($AO$1006:BC1006),$AO$1006:$BQ$1006,0)))),"Fix")))</f>
        <v>#N/A</v>
      </c>
      <c r="Q46" s="5" t="e">
        <f ca="1">IF(OR(INDEX($AI$2:$AI$1001,MATCH(ROWS($AH$2:AH46),$AH$2:$AH$1001,0),1)&gt;=100000,INDEX($AO$1005:$BQ$1005,1,MATCH(COLUMNS($AO$1006:BD1006),$AO$1006:$BQ$1006,0))&gt;=100000), " ",IF(INDEX($AO$2:$BQ$1001,MATCH(ROWS($AH$2:AH46),$AH$2:$AH$1001,0),MATCH(COLUMNS($AO$1006:BD1006),$AO$1006:$BQ$1006,0)), HYPERLINK("#",""), HYPERLINK(CONCATENATE("#Metadata!", ADDRESS(INDEX($AJ$2:$AJ$1001,MATCH(ROWS($AH$2:AH46),$AH$2:$AH$1001,0),0), INDEX($AO$1004:$BQ$1004,1,MATCH(COLUMNS($AO$1006:BD1006),$AO$1006:$BQ$1006,0)))),"Fix")))</f>
        <v>#N/A</v>
      </c>
      <c r="R46" s="5" t="e">
        <f ca="1">IF(OR(INDEX($AI$2:$AI$1001,MATCH(ROWS($AH$2:AH46),$AH$2:$AH$1001,0),1)&gt;=100000,INDEX($AO$1005:$BQ$1005,1,MATCH(COLUMNS($AO$1006:BE1006),$AO$1006:$BQ$1006,0))&gt;=100000), " ",IF(INDEX($AO$2:$BQ$1001,MATCH(ROWS($AH$2:AH46),$AH$2:$AH$1001,0),MATCH(COLUMNS($AO$1006:BE1006),$AO$1006:$BQ$1006,0)), HYPERLINK("#",""), HYPERLINK(CONCATENATE("#Metadata!", ADDRESS(INDEX($AJ$2:$AJ$1001,MATCH(ROWS($AH$2:AH46),$AH$2:$AH$1001,0),0), INDEX($AO$1004:$BQ$1004,1,MATCH(COLUMNS($AO$1006:BE1006),$AO$1006:$BQ$1006,0)))),"Fix")))</f>
        <v>#N/A</v>
      </c>
      <c r="S46" s="5" t="e">
        <f ca="1">IF(OR(INDEX($AI$2:$AI$1001,MATCH(ROWS($AH$2:AH46),$AH$2:$AH$1001,0),1)&gt;=100000,INDEX($AO$1005:$BQ$1005,1,MATCH(COLUMNS($AO$1006:BF1006),$AO$1006:$BQ$1006,0))&gt;=100000), " ",IF(INDEX($AO$2:$BQ$1001,MATCH(ROWS($AH$2:AH46),$AH$2:$AH$1001,0),MATCH(COLUMNS($AO$1006:BF1006),$AO$1006:$BQ$1006,0)), HYPERLINK("#",""), HYPERLINK(CONCATENATE("#Metadata!", ADDRESS(INDEX($AJ$2:$AJ$1001,MATCH(ROWS($AH$2:AH46),$AH$2:$AH$1001,0),0), INDEX($AO$1004:$BQ$1004,1,MATCH(COLUMNS($AO$1006:BF1006),$AO$1006:$BQ$1006,0)))),"Fix")))</f>
        <v>#N/A</v>
      </c>
      <c r="T46" s="5" t="e">
        <f ca="1">IF(OR(INDEX($AI$2:$AI$1001,MATCH(ROWS($AH$2:AH46),$AH$2:$AH$1001,0),1)&gt;=100000,INDEX($AO$1005:$BQ$1005,1,MATCH(COLUMNS($AO$1006:BG1006),$AO$1006:$BQ$1006,0))&gt;=100000), " ",IF(INDEX($AO$2:$BQ$1001,MATCH(ROWS($AH$2:AH46),$AH$2:$AH$1001,0),MATCH(COLUMNS($AO$1006:BG1006),$AO$1006:$BQ$1006,0)), HYPERLINK("#",""), HYPERLINK(CONCATENATE("#Metadata!", ADDRESS(INDEX($AJ$2:$AJ$1001,MATCH(ROWS($AH$2:AH46),$AH$2:$AH$1001,0),0), INDEX($AO$1004:$BQ$1004,1,MATCH(COLUMNS($AO$1006:BG1006),$AO$1006:$BQ$1006,0)))),"Fix")))</f>
        <v>#N/A</v>
      </c>
      <c r="U46" s="5" t="e">
        <f ca="1">IF(OR(INDEX($AI$2:$AI$1001,MATCH(ROWS($AH$2:AH46),$AH$2:$AH$1001,0),1)&gt;=100000,INDEX($AO$1005:$BQ$1005,1,MATCH(COLUMNS($AO$1006:BH1006),$AO$1006:$BQ$1006,0))&gt;=100000), " ",IF(INDEX($AO$2:$BQ$1001,MATCH(ROWS($AH$2:AH46),$AH$2:$AH$1001,0),MATCH(COLUMNS($AO$1006:BH1006),$AO$1006:$BQ$1006,0)), HYPERLINK("#",""), HYPERLINK(CONCATENATE("#Metadata!", ADDRESS(INDEX($AJ$2:$AJ$1001,MATCH(ROWS($AH$2:AH46),$AH$2:$AH$1001,0),0), INDEX($AO$1004:$BQ$1004,1,MATCH(COLUMNS($AO$1006:BH1006),$AO$1006:$BQ$1006,0)))),"Fix")))</f>
        <v>#N/A</v>
      </c>
      <c r="V46" s="5" t="e">
        <f ca="1">IF(OR(INDEX($AI$2:$AI$1001,MATCH(ROWS($AH$2:AH46),$AH$2:$AH$1001,0),1)&gt;=100000,INDEX($AO$1005:$BQ$1005,1,MATCH(COLUMNS($AO$1006:BI1006),$AO$1006:$BQ$1006,0))&gt;=100000), " ",IF(INDEX($AO$2:$BQ$1001,MATCH(ROWS($AH$2:AH46),$AH$2:$AH$1001,0),MATCH(COLUMNS($AO$1006:BI1006),$AO$1006:$BQ$1006,0)), HYPERLINK("#",""), HYPERLINK(CONCATENATE("#Metadata!", ADDRESS(INDEX($AJ$2:$AJ$1001,MATCH(ROWS($AH$2:AH46),$AH$2:$AH$1001,0),0), INDEX($AO$1004:$BQ$1004,1,MATCH(COLUMNS($AO$1006:BI1006),$AO$1006:$BQ$1006,0)))),"Fix")))</f>
        <v>#N/A</v>
      </c>
      <c r="W46" s="5" t="e">
        <f ca="1">IF(OR(INDEX($AI$2:$AI$1001,MATCH(ROWS($AH$2:AH46),$AH$2:$AH$1001,0),1)&gt;=100000,INDEX($AO$1005:$BQ$1005,1,MATCH(COLUMNS($AO$1006:BJ1006),$AO$1006:$BQ$1006,0))&gt;=100000), " ",IF(INDEX($AO$2:$BQ$1001,MATCH(ROWS($AH$2:AH46),$AH$2:$AH$1001,0),MATCH(COLUMNS($AO$1006:BJ1006),$AO$1006:$BQ$1006,0)), HYPERLINK("#",""), HYPERLINK(CONCATENATE("#Metadata!", ADDRESS(INDEX($AJ$2:$AJ$1001,MATCH(ROWS($AH$2:AH46),$AH$2:$AH$1001,0),0), INDEX($AO$1004:$BQ$1004,1,MATCH(COLUMNS($AO$1006:BJ1006),$AO$1006:$BQ$1006,0)))),"Fix")))</f>
        <v>#N/A</v>
      </c>
      <c r="X46" s="5" t="e">
        <f ca="1">IF(OR(INDEX($AI$2:$AI$1001,MATCH(ROWS($AH$2:AH46),$AH$2:$AH$1001,0),1)&gt;=100000,INDEX($AO$1005:$BQ$1005,1,MATCH(COLUMNS($AO$1006:BK1006),$AO$1006:$BQ$1006,0))&gt;=100000), " ",IF(INDEX($AO$2:$BQ$1001,MATCH(ROWS($AH$2:AH46),$AH$2:$AH$1001,0),MATCH(COLUMNS($AO$1006:BK1006),$AO$1006:$BQ$1006,0)), HYPERLINK("#",""), HYPERLINK(CONCATENATE("#Metadata!", ADDRESS(INDEX($AJ$2:$AJ$1001,MATCH(ROWS($AH$2:AH46),$AH$2:$AH$1001,0),0), INDEX($AO$1004:$BQ$1004,1,MATCH(COLUMNS($AO$1006:BK1006),$AO$1006:$BQ$1006,0)))),"Fix")))</f>
        <v>#N/A</v>
      </c>
      <c r="Y46" s="5" t="e">
        <f ca="1">IF(OR(INDEX($AI$2:$AI$1001,MATCH(ROWS($AH$2:AH46),$AH$2:$AH$1001,0),1)&gt;=100000,INDEX($AO$1005:$BQ$1005,1,MATCH(COLUMNS($AO$1006:BL1006),$AO$1006:$BQ$1006,0))&gt;=100000), " ",IF(INDEX($AO$2:$BQ$1001,MATCH(ROWS($AH$2:AH46),$AH$2:$AH$1001,0),MATCH(COLUMNS($AO$1006:BL1006),$AO$1006:$BQ$1006,0)), HYPERLINK("#",""), HYPERLINK(CONCATENATE("#Metadata!", ADDRESS(INDEX($AJ$2:$AJ$1001,MATCH(ROWS($AH$2:AH46),$AH$2:$AH$1001,0),0), INDEX($AO$1004:$BQ$1004,1,MATCH(COLUMNS($AO$1006:BL1006),$AO$1006:$BQ$1006,0)))),"Fix")))</f>
        <v>#N/A</v>
      </c>
      <c r="Z46" s="5" t="e">
        <f ca="1">IF(OR(INDEX($AI$2:$AI$1001,MATCH(ROWS($AH$2:AH46),$AH$2:$AH$1001,0),1)&gt;=100000,INDEX($AO$1005:$BQ$1005,1,MATCH(COLUMNS($AO$1006:BM1006),$AO$1006:$BQ$1006,0))&gt;=100000), " ",IF(INDEX($AO$2:$BQ$1001,MATCH(ROWS($AH$2:AH46),$AH$2:$AH$1001,0),MATCH(COLUMNS($AO$1006:BM1006),$AO$1006:$BQ$1006,0)), HYPERLINK("#",""), HYPERLINK(CONCATENATE("#Metadata!", ADDRESS(INDEX($AJ$2:$AJ$1001,MATCH(ROWS($AH$2:AH46),$AH$2:$AH$1001,0),0), INDEX($AO$1004:$BQ$1004,1,MATCH(COLUMNS($AO$1006:BM1006),$AO$1006:$BQ$1006,0)))),"Fix")))</f>
        <v>#N/A</v>
      </c>
      <c r="AA46" s="5" t="e">
        <f ca="1">IF(OR(INDEX($AI$2:$AI$1001,MATCH(ROWS($AH$2:AH46),$AH$2:$AH$1001,0),1)&gt;=100000,INDEX($AO$1005:$BQ$1005,1,MATCH(COLUMNS($AO$1006:BN1006),$AO$1006:$BQ$1006,0))&gt;=100000), " ",IF(INDEX($AO$2:$BQ$1001,MATCH(ROWS($AH$2:AH46),$AH$2:$AH$1001,0),MATCH(COLUMNS($AO$1006:BN1006),$AO$1006:$BQ$1006,0)), HYPERLINK("#",""), HYPERLINK(CONCATENATE("#Metadata!", ADDRESS(INDEX($AJ$2:$AJ$1001,MATCH(ROWS($AH$2:AH46),$AH$2:$AH$1001,0),0), INDEX($AO$1004:$BQ$1004,1,MATCH(COLUMNS($AO$1006:BN1006),$AO$1006:$BQ$1006,0)))),"Fix")))</f>
        <v>#N/A</v>
      </c>
      <c r="AB46" s="5" t="e">
        <f ca="1">IF(OR(INDEX($AI$2:$AI$1001,MATCH(ROWS($AH$2:AH46),$AH$2:$AH$1001,0),1)&gt;=100000,INDEX($AO$1005:$BQ$1005,1,MATCH(COLUMNS($AO$1006:BO1006),$AO$1006:$BQ$1006,0))&gt;=100000), " ",IF(INDEX($AO$2:$BQ$1001,MATCH(ROWS($AH$2:AH46),$AH$2:$AH$1001,0),MATCH(COLUMNS($AO$1006:BO1006),$AO$1006:$BQ$1006,0)), HYPERLINK("#",""), HYPERLINK(CONCATENATE("#Metadata!", ADDRESS(INDEX($AJ$2:$AJ$1001,MATCH(ROWS($AH$2:AH46),$AH$2:$AH$1001,0),0), INDEX($AO$1004:$BQ$1004,1,MATCH(COLUMNS($AO$1006:BO1006),$AO$1006:$BQ$1006,0)))),"Fix")))</f>
        <v>#N/A</v>
      </c>
      <c r="AC46" s="5" t="e">
        <f ca="1">IF(OR(INDEX($AI$2:$AI$1001,MATCH(ROWS($AH$2:AH46),$AH$2:$AH$1001,0),1)&gt;=100000,INDEX($AO$1005:$BQ$1005,1,MATCH(COLUMNS($AO$1006:BP1006),$AO$1006:$BQ$1006,0))&gt;=100000), " ",IF(INDEX($AO$2:$BQ$1001,MATCH(ROWS($AH$2:AH46),$AH$2:$AH$1001,0),MATCH(COLUMNS($AO$1006:BP1006),$AO$1006:$BQ$1006,0)), HYPERLINK("#",""), HYPERLINK(CONCATENATE("#Metadata!", ADDRESS(INDEX($AJ$2:$AJ$1001,MATCH(ROWS($AH$2:AH46),$AH$2:$AH$1001,0),0), INDEX($AO$1004:$BQ$1004,1,MATCH(COLUMNS($AO$1006:BP1006),$AO$1006:$BQ$1006,0)))),"Fix")))</f>
        <v>#N/A</v>
      </c>
      <c r="AD46" s="5" t="e">
        <f ca="1">IF(OR(INDEX($AI$2:$AI$1001,MATCH(ROWS($AH$2:AH46),$AH$2:$AH$1001,0),1)&gt;=100000,INDEX($AO$1005:$BQ$1005,1,MATCH(COLUMNS($AO$1006:BQ1006),$AO$1006:$BQ$1006,0))&gt;=100000), " ",IF(INDEX($AO$2:$BQ$1001,MATCH(ROWS($AH$2:AH46),$AH$2:$AH$1001,0),MATCH(COLUMNS($AO$1006:BQ1006),$AO$1006:$BQ$1006,0)), HYPERLINK("#",""), HYPERLINK(CONCATENATE("#Metadata!", ADDRESS(INDEX($AJ$2:$AJ$1001,MATCH(ROWS($AH$2:AH46),$AH$2:$AH$1001,0),0), INDEX($AO$1004:$BQ$1004,1,MATCH(COLUMNS($AO$1006:BQ1006),$AO$1006:$BQ$1006,0)))),"Fix")))</f>
        <v>#REF!</v>
      </c>
      <c r="AH46">
        <f ca="1"/>
        <v>43</v>
      </c>
      <c r="AI46">
        <f ca="1"/>
        <v>46</v>
      </c>
      <c r="AJ46">
        <v>46</v>
      </c>
      <c r="AK46" t="b">
        <f t="shared" ca="1" si="0"/>
        <v>0</v>
      </c>
      <c r="AL46" t="b">
        <f>COUNTBLANK(Metadata!B46:AD46)=COLUMNS(Metadata!B46:AD46)</f>
        <v>0</v>
      </c>
      <c r="AM46" t="str">
        <v>Environment.Lake.water.BTP.122Side.1</v>
      </c>
      <c r="AO46" t="b">
        <f ca="1">AND(IF(Metadata!B45="",FALSE,TRUE),COUNTIF(Metadata!B:B, Metadata!B45) = 1,NOT(ISERROR(SUMPRODUCT(SEARCH(MID(Metadata!B45,ROW(INDIRECT("1:"&amp;LEN(Metadata!B45))), 1),"0123456789abcdefghijklmnopqrstuvwxyzABCDEFGHIJKLMNOPQRSTUVWXYZ.")))))</f>
        <v>1</v>
      </c>
      <c r="AP46" t="b">
        <f>IF(Metadata!C45="",FALSE,TRUE)</f>
        <v>1</v>
      </c>
      <c r="AQ46" t="b">
        <f>IF(Metadata!D45="",FALSE,TRUE)</f>
        <v>1</v>
      </c>
      <c r="AR46" t="b">
        <f ca="1">OR(AND(IF(Metadata!E45="",FALSE,TRUE),OR(EXACT(Metadata!E45,"not collected"),EXACT(Metadata!E45,"not provided"),EXACT(Metadata!E45,"restricted access"))),AND(IF(Metadata!E45="",FALSE,TRUE),AND(AND(IFERROR(INT(LEFT(Metadata!E45,4))&gt;1900,FALSE),IFERROR(INT(LEFT(Metadata!E45,4))&lt;=YEAR(NOW()),FALSE)), OR(MID(Metadata!E45,5,1)="", AND(AND(MID(Metadata!E45,5,1)="-",IFERROR(INT(MID(Metadata!E45,6,1))&gt;=0,FALSE),IFERROR(INT(MID(Metadata!E45,6,1))&lt;=1,FALSE),NOT(MID(Metadata!E45,7,1)=""),IFERROR(INT(MID(Metadata!E45,6,2))&gt;=1,FALSE),IFERROR(INT(MID(Metadata!E45,6,2))&lt;=12,FALSE)), OR(MID(Metadata!E45,8,1)="", AND(AND(MID(Metadata!E45,8,1)="-",IFERROR(INT(MID(Metadata!E45,9,1))&gt;=0,FALSE),IFERROR(INT(MID(Metadata!E45,9,1))&lt;=3,FALSE),NOT(MID(Metadata!E45,10,1)=""),IFERROR(INT(MID(Metadata!E45,9,2))&gt;=1,FALSE),IFERROR(INT(MID(Metadata!E45,9,2))&lt;=31,FALSE)), OR(MID(Metadata!E45,11,1)="", AND(AND(MID(Metadata!E45,11,1)=" ",IFERROR(INT(MID(Metadata!E45,12,1))&gt;=0,FALSE),IFERROR(INT(MID(Metadata!E45,12,1))&lt;=2,FALSE),NOT(MID(Metadata!E45,13,1)=""),IFERROR(INT(MID(Metadata!E45,12,2))&gt;=0,FALSE),IFERROR(INT(MID(Metadata!E45,12,2))&lt;=23,FALSE)), OR(MID(Metadata!E45,14,1)="", AND(AND(MID(Metadata!E45,14,1)=":",IFERROR(INT(MID(Metadata!E45,15,1))&gt;=0,FALSE),IFERROR(INT(MID(Metadata!E45,15,1))&lt;=5,FALSE),NOT(MID(Metadata!E45,16,1)=""),IFERROR(INT(MID(Metadata!E45,15,2))&gt;=0,FALSE),IFERROR(INT(MID(Metadata!E45,15,2))&lt;=59,FALSE)), OR(MID(Metadata!E45,17,1)="", AND(AND(MID(Metadata!E45,17,1)=":",IFERROR(INT(MID(Metadata!E45,18,1))&gt;=0,FALSE),IFERROR(INT(MID(Metadata!E45,18,1))&lt;=5,FALSE),NOT(MID(Metadata!E45,19,1)=""),IFERROR(INT(MID(Metadata!E45,18,2))&gt;=0,FALSE),IFERROR(INT(MID(Metadata!E45,18,2))&lt;=59,FALSE)), LEN(Metadata!E45)&lt;=19)))))))))))))</f>
        <v>0</v>
      </c>
      <c r="AS46" t="b">
        <f>IF(Metadata!F45="",FALSE,TRUE)</f>
        <v>1</v>
      </c>
      <c r="AT46" t="b">
        <f>OR(AND(IF(Metadata!G45="",FALSE,TRUE),OR(EXACT(Metadata!G45,"not collected"),EXACT(Metadata!G45,"not provided"))),AND(IF(Metadata!G45="",FALSE,TRUE),OR(EXACT(Metadata!G45,"TRUE"),EXACT(Metadata!G45,"FALSE"))))</f>
        <v>1</v>
      </c>
      <c r="AU46" t="b">
        <f>OR(AND(IF(Metadata!H45="",FALSE,TRUE),OR(EXACT(Metadata!H45,"not collected"),EXACT(Metadata!H45,"not provided"),EXACT(Metadata!H45,"restricted access"))),AND(IF(Metadata!H45="",FALSE,ISNUMBER(VALUE(Metadata!H45))),Metadata!H45&gt;=-413))</f>
        <v>0</v>
      </c>
      <c r="AV46" t="b">
        <f>AND(IF(Metadata!I45="",FALSE,TRUE),EXACT(Metadata!I45,"meters"))</f>
        <v>1</v>
      </c>
      <c r="AW46" t="b">
        <f>AND(IF(Metadata!J45="",FALSE,TRUE),EXACT(Metadata!J45,"free-living"))</f>
        <v>1</v>
      </c>
      <c r="AX46" t="b">
        <f>AND(IF(Metadata!K45="",FALSE,TRUE),OR(EXACT(Metadata!K45,"saline"),EXACT(Metadata!K45,"non-saline")))</f>
        <v>1</v>
      </c>
      <c r="AY46" t="b">
        <f>AND(IF(Metadata!L45="",FALSE,TRUE),OR(EXACT(Metadata!L45,"sub-surface (non-saline)"),EXACT(Metadata!L45,"surface (non-saline)"),EXACT(Metadata!L45,"water (non-saline)"),EXACT(Metadata!L45,"soil (non-saline)"),EXACT(Metadata!L45,"aerosol (non-saline)"),EXACT(Metadata!L45,"sediment (non-saline)"),EXACT(Metadata!L45,"surface (saline)"),EXACT(Metadata!L45,"water (saline)"),EXACT(Metadata!L45,"hypersaline (saline)"),EXACT(Metadata!L45,"aerosol (saline)"),EXACT(Metadata!L45,"sediment (saline)")))</f>
        <v>1</v>
      </c>
      <c r="AZ46" t="b">
        <f>IF(Metadata!M45="",FALSE,TRUE)</f>
        <v>1</v>
      </c>
      <c r="BA46" t="b">
        <f>IF(Metadata!N45="",FALSE,TRUE)</f>
        <v>1</v>
      </c>
      <c r="BB46" t="b">
        <f>IF(Metadata!O45="",FALSE,TRUE)</f>
        <v>1</v>
      </c>
      <c r="BC46" t="b">
        <f>AND(IF(Metadata!P45="",FALSE,TRUE),OR(EXACT(Metadata!P45,"air"),EXACT(Metadata!P45,"microbial mat/biofilm"),EXACT(Metadata!P45,"misc environment"),EXACT(Metadata!P45,"sediment"),EXACT(Metadata!P45,"soil"),EXACT(Metadata!P45,"wastewater/sludge"),EXACT(Metadata!P45,"water")))</f>
        <v>1</v>
      </c>
      <c r="BD46" t="b">
        <f>IF(Metadata!Q45="",FALSE,TRUE)</f>
        <v>1</v>
      </c>
      <c r="BE46" t="b">
        <f>IF(Metadata!R45="",FALSE,TRUE)</f>
        <v>1</v>
      </c>
      <c r="BF46" t="b">
        <f>OR(AND(IF(Metadata!S45="",FALSE,TRUE),OR(EXACT(Metadata!S45,"not collected"),EXACT(Metadata!S45,"not provided"),EXACT(Metadata!S45,"restricted access"))),AND(IF(Metadata!S45="",FALSE,ISNUMBER(VALUE(Metadata!S45))),Metadata!S45&gt;=-90,Metadata!S45&lt;=90))</f>
        <v>0</v>
      </c>
      <c r="BG46" t="b">
        <f>AND(IF(Metadata!T45="",FALSE,TRUE),EXACT(Metadata!T45,"Decimal degrees"))</f>
        <v>1</v>
      </c>
      <c r="BH46" t="b">
        <f>OR(AND(IF(Metadata!U45="",FALSE,TRUE),OR(EXACT(Metadata!U45,"not applicable"),EXACT(Metadata!U45,"not collected"))),IF(Metadata!U45="",FALSE,TRUE))</f>
        <v>1</v>
      </c>
      <c r="BI46" t="b">
        <f>OR(AND(IF(Metadata!V45="",FALSE,TRUE),OR(EXACT(Metadata!V45,"not collected"),EXACT(Metadata!V45,"not provided"),EXACT(Metadata!V45,"restricted access"))),AND(IF(Metadata!V45="",FALSE,ISNUMBER(VALUE(Metadata!V45))),Metadata!V45&gt;=-180,Metadata!V45&lt;=180))</f>
        <v>0</v>
      </c>
      <c r="BJ46" t="b">
        <f>AND(IF(Metadata!W45="",FALSE,TRUE),EXACT(Metadata!W45,"Decimal degrees"))</f>
        <v>1</v>
      </c>
      <c r="BK46" t="b">
        <f>IF(Metadata!X45="",FALSE,TRUE)</f>
        <v>1</v>
      </c>
      <c r="BL46" t="b">
        <f>OR(AND(IF(Metadata!Y45="",FALSE,TRUE),OR(EXACT(Metadata!Y45,"not collected"),EXACT(Metadata!Y45,"not provided"),EXACT(Metadata!Y45,"restricted access"))),AND(IF(Metadata!Y45="",FALSE,TRUE),OR(EXACT(Metadata!Y45,"TRUE"),EXACT(Metadata!Y45,"FALSE"))))</f>
        <v>1</v>
      </c>
      <c r="BM46" t="b">
        <f>OR(AND(IF(Metadata!Z45="",FALSE,TRUE),EXACT(Metadata!Z45,"not applicable")),AND(IF(Metadata!Z45="",FALSE,TRUE),OR(EXACT(Metadata!Z45,"beer"),EXACT(Metadata!Z45,"cheese"),EXACT(Metadata!Z45,"fresh water"),EXACT(Metadata!Z45,"marine sediment"),EXACT(Metadata!Z45,"sea water"),EXACT(Metadata!Z45,"sediment"),EXACT(Metadata!Z45,"soil"),EXACT(Metadata!Z45,"waste water"))))</f>
        <v>1</v>
      </c>
      <c r="BN46" t="b">
        <f>AND(IF(Metadata!AA45="",FALSE,TRUE),EXACT(Metadata!AA45,"metagenome"))</f>
        <v>1</v>
      </c>
      <c r="BO46" t="b">
        <f>AND(IF(Metadata!AB45="",FALSE,TRUE),EXACT(Metadata!AB45,"256318"))</f>
        <v>1</v>
      </c>
      <c r="BP46" t="b">
        <f>IF(Metadata!AC45="",FALSE,TRUE)</f>
        <v>1</v>
      </c>
      <c r="BQ46" t="b">
        <f>IF(Metadata!AD45="",FALSE,TRUE)</f>
        <v>1</v>
      </c>
    </row>
    <row r="47" spans="1:69" x14ac:dyDescent="0.2">
      <c r="A47" s="4" t="e">
        <f ca="1">IF(B47=" "," ",HYPERLINK(CONCATENATE("#metadata!",ADDRESS(INDEX($AJ$2:$AJ$1001,MATCH(ROWS($AH$2:AH47),$AH$2:$AH$1001,0),0),2)),INDEX($AM$2:$AM$1001,MATCH(ROWS($AH$2:AH47),$AH$2:$AH$1001,0),0)))</f>
        <v>#N/A</v>
      </c>
      <c r="B47" s="5" t="e">
        <f ca="1">IF(OR(INDEX($AI$2:$AI$1001,MATCH(ROWS($AH$2:AH47),$AH$2:$AH$1001,0),1)&gt;=100000,INDEX($AO$1005:$BQ$1005,1,MATCH(COLUMNS($AO$1006:AO1006),$AO$1006:$BQ$1006,0))&gt;=100000), " ",IF(INDEX($AO$2:$BQ$1001,MATCH(ROWS($AH$2:AH47),$AH$2:$AH$1001,0),MATCH(COLUMNS($AO$1006:AO1006),$AO$1006:$BQ$1006,0)), HYPERLINK("#",""), HYPERLINK(CONCATENATE("#Metadata!", ADDRESS(INDEX($AJ$2:$AJ$1001,MATCH(ROWS($AH$2:AH47),$AH$2:$AH$1001,0),0), INDEX($AO$1004:$BQ$1004,1,MATCH(COLUMNS($AO$1006:AO1006),$AO$1006:$BQ$1006,0)))),"Fix")))</f>
        <v>#N/A</v>
      </c>
      <c r="C47" s="5" t="e">
        <f ca="1">IF(OR(INDEX($AI$2:$AI$1001,MATCH(ROWS($AH$2:AH47),$AH$2:$AH$1001,0),1)&gt;=100000,INDEX($AO$1005:$BQ$1005,1,MATCH(COLUMNS($AO$1006:AP1006),$AO$1006:$BQ$1006,0))&gt;=100000), " ",IF(INDEX($AO$2:$BQ$1001,MATCH(ROWS($AH$2:AH47),$AH$2:$AH$1001,0),MATCH(COLUMNS($AO$1006:AP1006),$AO$1006:$BQ$1006,0)), HYPERLINK("#",""), HYPERLINK(CONCATENATE("#Metadata!", ADDRESS(INDEX($AJ$2:$AJ$1001,MATCH(ROWS($AH$2:AH47),$AH$2:$AH$1001,0),0), INDEX($AO$1004:$BQ$1004,1,MATCH(COLUMNS($AO$1006:AP1006),$AO$1006:$BQ$1006,0)))),"Fix")))</f>
        <v>#N/A</v>
      </c>
      <c r="D47" s="5" t="e">
        <f ca="1">IF(OR(INDEX($AI$2:$AI$1001,MATCH(ROWS($AH$2:AH47),$AH$2:$AH$1001,0),1)&gt;=100000,INDEX($AO$1005:$BQ$1005,1,MATCH(COLUMNS($AO$1006:AQ1006),$AO$1006:$BQ$1006,0))&gt;=100000), " ",IF(INDEX($AO$2:$BQ$1001,MATCH(ROWS($AH$2:AH47),$AH$2:$AH$1001,0),MATCH(COLUMNS($AO$1006:AQ1006),$AO$1006:$BQ$1006,0)), HYPERLINK("#",""), HYPERLINK(CONCATENATE("#Metadata!", ADDRESS(INDEX($AJ$2:$AJ$1001,MATCH(ROWS($AH$2:AH47),$AH$2:$AH$1001,0),0), INDEX($AO$1004:$BQ$1004,1,MATCH(COLUMNS($AO$1006:AQ1006),$AO$1006:$BQ$1006,0)))),"Fix")))</f>
        <v>#N/A</v>
      </c>
      <c r="E47" s="5" t="e">
        <f ca="1">IF(OR(INDEX($AI$2:$AI$1001,MATCH(ROWS($AH$2:AH47),$AH$2:$AH$1001,0),1)&gt;=100000,INDEX($AO$1005:$BQ$1005,1,MATCH(COLUMNS($AO$1006:AR1006),$AO$1006:$BQ$1006,0))&gt;=100000), " ",IF(INDEX($AO$2:$BQ$1001,MATCH(ROWS($AH$2:AH47),$AH$2:$AH$1001,0),MATCH(COLUMNS($AO$1006:AR1006),$AO$1006:$BQ$1006,0)), HYPERLINK("#",""), HYPERLINK(CONCATENATE("#Metadata!", ADDRESS(INDEX($AJ$2:$AJ$1001,MATCH(ROWS($AH$2:AH47),$AH$2:$AH$1001,0),0), INDEX($AO$1004:$BQ$1004,1,MATCH(COLUMNS($AO$1006:AR1006),$AO$1006:$BQ$1006,0)))),"Fix")))</f>
        <v>#N/A</v>
      </c>
      <c r="F47" s="5" t="e">
        <f ca="1">IF(OR(INDEX($AI$2:$AI$1001,MATCH(ROWS($AH$2:AH47),$AH$2:$AH$1001,0),1)&gt;=100000,INDEX($AO$1005:$BQ$1005,1,MATCH(COLUMNS($AO$1006:AS1006),$AO$1006:$BQ$1006,0))&gt;=100000), " ",IF(INDEX($AO$2:$BQ$1001,MATCH(ROWS($AH$2:AH47),$AH$2:$AH$1001,0),MATCH(COLUMNS($AO$1006:AS1006),$AO$1006:$BQ$1006,0)), HYPERLINK("#",""), HYPERLINK(CONCATENATE("#Metadata!", ADDRESS(INDEX($AJ$2:$AJ$1001,MATCH(ROWS($AH$2:AH47),$AH$2:$AH$1001,0),0), INDEX($AO$1004:$BQ$1004,1,MATCH(COLUMNS($AO$1006:AS1006),$AO$1006:$BQ$1006,0)))),"Fix")))</f>
        <v>#N/A</v>
      </c>
      <c r="G47" s="5" t="e">
        <f ca="1">IF(OR(INDEX($AI$2:$AI$1001,MATCH(ROWS($AH$2:AH47),$AH$2:$AH$1001,0),1)&gt;=100000,INDEX($AO$1005:$BQ$1005,1,MATCH(COLUMNS($AO$1006:AT1006),$AO$1006:$BQ$1006,0))&gt;=100000), " ",IF(INDEX($AO$2:$BQ$1001,MATCH(ROWS($AH$2:AH47),$AH$2:$AH$1001,0),MATCH(COLUMNS($AO$1006:AT1006),$AO$1006:$BQ$1006,0)), HYPERLINK("#",""), HYPERLINK(CONCATENATE("#Metadata!", ADDRESS(INDEX($AJ$2:$AJ$1001,MATCH(ROWS($AH$2:AH47),$AH$2:$AH$1001,0),0), INDEX($AO$1004:$BQ$1004,1,MATCH(COLUMNS($AO$1006:AT1006),$AO$1006:$BQ$1006,0)))),"Fix")))</f>
        <v>#N/A</v>
      </c>
      <c r="H47" s="5" t="e">
        <f ca="1">IF(OR(INDEX($AI$2:$AI$1001,MATCH(ROWS($AH$2:AH47),$AH$2:$AH$1001,0),1)&gt;=100000,INDEX($AO$1005:$BQ$1005,1,MATCH(COLUMNS($AO$1006:AU1006),$AO$1006:$BQ$1006,0))&gt;=100000), " ",IF(INDEX($AO$2:$BQ$1001,MATCH(ROWS($AH$2:AH47),$AH$2:$AH$1001,0),MATCH(COLUMNS($AO$1006:AU1006),$AO$1006:$BQ$1006,0)), HYPERLINK("#",""), HYPERLINK(CONCATENATE("#Metadata!", ADDRESS(INDEX($AJ$2:$AJ$1001,MATCH(ROWS($AH$2:AH47),$AH$2:$AH$1001,0),0), INDEX($AO$1004:$BQ$1004,1,MATCH(COLUMNS($AO$1006:AU1006),$AO$1006:$BQ$1006,0)))),"Fix")))</f>
        <v>#N/A</v>
      </c>
      <c r="I47" s="5" t="e">
        <f ca="1">IF(OR(INDEX($AI$2:$AI$1001,MATCH(ROWS($AH$2:AH47),$AH$2:$AH$1001,0),1)&gt;=100000,INDEX($AO$1005:$BQ$1005,1,MATCH(COLUMNS($AO$1006:AV1006),$AO$1006:$BQ$1006,0))&gt;=100000), " ",IF(INDEX($AO$2:$BQ$1001,MATCH(ROWS($AH$2:AH47),$AH$2:$AH$1001,0),MATCH(COLUMNS($AO$1006:AV1006),$AO$1006:$BQ$1006,0)), HYPERLINK("#",""), HYPERLINK(CONCATENATE("#Metadata!", ADDRESS(INDEX($AJ$2:$AJ$1001,MATCH(ROWS($AH$2:AH47),$AH$2:$AH$1001,0),0), INDEX($AO$1004:$BQ$1004,1,MATCH(COLUMNS($AO$1006:AV1006),$AO$1006:$BQ$1006,0)))),"Fix")))</f>
        <v>#N/A</v>
      </c>
      <c r="J47" s="5" t="e">
        <f ca="1">IF(OR(INDEX($AI$2:$AI$1001,MATCH(ROWS($AH$2:AH47),$AH$2:$AH$1001,0),1)&gt;=100000,INDEX($AO$1005:$BQ$1005,1,MATCH(COLUMNS($AO$1006:AW1006),$AO$1006:$BQ$1006,0))&gt;=100000), " ",IF(INDEX($AO$2:$BQ$1001,MATCH(ROWS($AH$2:AH47),$AH$2:$AH$1001,0),MATCH(COLUMNS($AO$1006:AW1006),$AO$1006:$BQ$1006,0)), HYPERLINK("#",""), HYPERLINK(CONCATENATE("#Metadata!", ADDRESS(INDEX($AJ$2:$AJ$1001,MATCH(ROWS($AH$2:AH47),$AH$2:$AH$1001,0),0), INDEX($AO$1004:$BQ$1004,1,MATCH(COLUMNS($AO$1006:AW1006),$AO$1006:$BQ$1006,0)))),"Fix")))</f>
        <v>#N/A</v>
      </c>
      <c r="K47" s="5" t="e">
        <f ca="1">IF(OR(INDEX($AI$2:$AI$1001,MATCH(ROWS($AH$2:AH47),$AH$2:$AH$1001,0),1)&gt;=100000,INDEX($AO$1005:$BQ$1005,1,MATCH(COLUMNS($AO$1006:AX1006),$AO$1006:$BQ$1006,0))&gt;=100000), " ",IF(INDEX($AO$2:$BQ$1001,MATCH(ROWS($AH$2:AH47),$AH$2:$AH$1001,0),MATCH(COLUMNS($AO$1006:AX1006),$AO$1006:$BQ$1006,0)), HYPERLINK("#",""), HYPERLINK(CONCATENATE("#Metadata!", ADDRESS(INDEX($AJ$2:$AJ$1001,MATCH(ROWS($AH$2:AH47),$AH$2:$AH$1001,0),0), INDEX($AO$1004:$BQ$1004,1,MATCH(COLUMNS($AO$1006:AX1006),$AO$1006:$BQ$1006,0)))),"Fix")))</f>
        <v>#N/A</v>
      </c>
      <c r="L47" s="5" t="e">
        <f ca="1">IF(OR(INDEX($AI$2:$AI$1001,MATCH(ROWS($AH$2:AH47),$AH$2:$AH$1001,0),1)&gt;=100000,INDEX($AO$1005:$BQ$1005,1,MATCH(COLUMNS($AO$1006:AY1006),$AO$1006:$BQ$1006,0))&gt;=100000), " ",IF(INDEX($AO$2:$BQ$1001,MATCH(ROWS($AH$2:AH47),$AH$2:$AH$1001,0),MATCH(COLUMNS($AO$1006:AY1006),$AO$1006:$BQ$1006,0)), HYPERLINK("#",""), HYPERLINK(CONCATENATE("#Metadata!", ADDRESS(INDEX($AJ$2:$AJ$1001,MATCH(ROWS($AH$2:AH47),$AH$2:$AH$1001,0),0), INDEX($AO$1004:$BQ$1004,1,MATCH(COLUMNS($AO$1006:AY1006),$AO$1006:$BQ$1006,0)))),"Fix")))</f>
        <v>#N/A</v>
      </c>
      <c r="M47" s="5" t="e">
        <f ca="1">IF(OR(INDEX($AI$2:$AI$1001,MATCH(ROWS($AH$2:AH47),$AH$2:$AH$1001,0),1)&gt;=100000,INDEX($AO$1005:$BQ$1005,1,MATCH(COLUMNS($AO$1006:AZ1006),$AO$1006:$BQ$1006,0))&gt;=100000), " ",IF(INDEX($AO$2:$BQ$1001,MATCH(ROWS($AH$2:AH47),$AH$2:$AH$1001,0),MATCH(COLUMNS($AO$1006:AZ1006),$AO$1006:$BQ$1006,0)), HYPERLINK("#",""), HYPERLINK(CONCATENATE("#Metadata!", ADDRESS(INDEX($AJ$2:$AJ$1001,MATCH(ROWS($AH$2:AH47),$AH$2:$AH$1001,0),0), INDEX($AO$1004:$BQ$1004,1,MATCH(COLUMNS($AO$1006:AZ1006),$AO$1006:$BQ$1006,0)))),"Fix")))</f>
        <v>#N/A</v>
      </c>
      <c r="N47" s="5" t="e">
        <f ca="1">IF(OR(INDEX($AI$2:$AI$1001,MATCH(ROWS($AH$2:AH47),$AH$2:$AH$1001,0),1)&gt;=100000,INDEX($AO$1005:$BQ$1005,1,MATCH(COLUMNS($AO$1006:BA1006),$AO$1006:$BQ$1006,0))&gt;=100000), " ",IF(INDEX($AO$2:$BQ$1001,MATCH(ROWS($AH$2:AH47),$AH$2:$AH$1001,0),MATCH(COLUMNS($AO$1006:BA1006),$AO$1006:$BQ$1006,0)), HYPERLINK("#",""), HYPERLINK(CONCATENATE("#Metadata!", ADDRESS(INDEX($AJ$2:$AJ$1001,MATCH(ROWS($AH$2:AH47),$AH$2:$AH$1001,0),0), INDEX($AO$1004:$BQ$1004,1,MATCH(COLUMNS($AO$1006:BA1006),$AO$1006:$BQ$1006,0)))),"Fix")))</f>
        <v>#N/A</v>
      </c>
      <c r="O47" s="5" t="e">
        <f ca="1">IF(OR(INDEX($AI$2:$AI$1001,MATCH(ROWS($AH$2:AH47),$AH$2:$AH$1001,0),1)&gt;=100000,INDEX($AO$1005:$BQ$1005,1,MATCH(COLUMNS($AO$1006:BB1006),$AO$1006:$BQ$1006,0))&gt;=100000), " ",IF(INDEX($AO$2:$BQ$1001,MATCH(ROWS($AH$2:AH47),$AH$2:$AH$1001,0),MATCH(COLUMNS($AO$1006:BB1006),$AO$1006:$BQ$1006,0)), HYPERLINK("#",""), HYPERLINK(CONCATENATE("#Metadata!", ADDRESS(INDEX($AJ$2:$AJ$1001,MATCH(ROWS($AH$2:AH47),$AH$2:$AH$1001,0),0), INDEX($AO$1004:$BQ$1004,1,MATCH(COLUMNS($AO$1006:BB1006),$AO$1006:$BQ$1006,0)))),"Fix")))</f>
        <v>#N/A</v>
      </c>
      <c r="P47" s="5" t="e">
        <f ca="1">IF(OR(INDEX($AI$2:$AI$1001,MATCH(ROWS($AH$2:AH47),$AH$2:$AH$1001,0),1)&gt;=100000,INDEX($AO$1005:$BQ$1005,1,MATCH(COLUMNS($AO$1006:BC1006),$AO$1006:$BQ$1006,0))&gt;=100000), " ",IF(INDEX($AO$2:$BQ$1001,MATCH(ROWS($AH$2:AH47),$AH$2:$AH$1001,0),MATCH(COLUMNS($AO$1006:BC1006),$AO$1006:$BQ$1006,0)), HYPERLINK("#",""), HYPERLINK(CONCATENATE("#Metadata!", ADDRESS(INDEX($AJ$2:$AJ$1001,MATCH(ROWS($AH$2:AH47),$AH$2:$AH$1001,0),0), INDEX($AO$1004:$BQ$1004,1,MATCH(COLUMNS($AO$1006:BC1006),$AO$1006:$BQ$1006,0)))),"Fix")))</f>
        <v>#N/A</v>
      </c>
      <c r="Q47" s="5" t="e">
        <f ca="1">IF(OR(INDEX($AI$2:$AI$1001,MATCH(ROWS($AH$2:AH47),$AH$2:$AH$1001,0),1)&gt;=100000,INDEX($AO$1005:$BQ$1005,1,MATCH(COLUMNS($AO$1006:BD1006),$AO$1006:$BQ$1006,0))&gt;=100000), " ",IF(INDEX($AO$2:$BQ$1001,MATCH(ROWS($AH$2:AH47),$AH$2:$AH$1001,0),MATCH(COLUMNS($AO$1006:BD1006),$AO$1006:$BQ$1006,0)), HYPERLINK("#",""), HYPERLINK(CONCATENATE("#Metadata!", ADDRESS(INDEX($AJ$2:$AJ$1001,MATCH(ROWS($AH$2:AH47),$AH$2:$AH$1001,0),0), INDEX($AO$1004:$BQ$1004,1,MATCH(COLUMNS($AO$1006:BD1006),$AO$1006:$BQ$1006,0)))),"Fix")))</f>
        <v>#N/A</v>
      </c>
      <c r="R47" s="5" t="e">
        <f ca="1">IF(OR(INDEX($AI$2:$AI$1001,MATCH(ROWS($AH$2:AH47),$AH$2:$AH$1001,0),1)&gt;=100000,INDEX($AO$1005:$BQ$1005,1,MATCH(COLUMNS($AO$1006:BE1006),$AO$1006:$BQ$1006,0))&gt;=100000), " ",IF(INDEX($AO$2:$BQ$1001,MATCH(ROWS($AH$2:AH47),$AH$2:$AH$1001,0),MATCH(COLUMNS($AO$1006:BE1006),$AO$1006:$BQ$1006,0)), HYPERLINK("#",""), HYPERLINK(CONCATENATE("#Metadata!", ADDRESS(INDEX($AJ$2:$AJ$1001,MATCH(ROWS($AH$2:AH47),$AH$2:$AH$1001,0),0), INDEX($AO$1004:$BQ$1004,1,MATCH(COLUMNS($AO$1006:BE1006),$AO$1006:$BQ$1006,0)))),"Fix")))</f>
        <v>#N/A</v>
      </c>
      <c r="S47" s="5" t="e">
        <f ca="1">IF(OR(INDEX($AI$2:$AI$1001,MATCH(ROWS($AH$2:AH47),$AH$2:$AH$1001,0),1)&gt;=100000,INDEX($AO$1005:$BQ$1005,1,MATCH(COLUMNS($AO$1006:BF1006),$AO$1006:$BQ$1006,0))&gt;=100000), " ",IF(INDEX($AO$2:$BQ$1001,MATCH(ROWS($AH$2:AH47),$AH$2:$AH$1001,0),MATCH(COLUMNS($AO$1006:BF1006),$AO$1006:$BQ$1006,0)), HYPERLINK("#",""), HYPERLINK(CONCATENATE("#Metadata!", ADDRESS(INDEX($AJ$2:$AJ$1001,MATCH(ROWS($AH$2:AH47),$AH$2:$AH$1001,0),0), INDEX($AO$1004:$BQ$1004,1,MATCH(COLUMNS($AO$1006:BF1006),$AO$1006:$BQ$1006,0)))),"Fix")))</f>
        <v>#N/A</v>
      </c>
      <c r="T47" s="5" t="e">
        <f ca="1">IF(OR(INDEX($AI$2:$AI$1001,MATCH(ROWS($AH$2:AH47),$AH$2:$AH$1001,0),1)&gt;=100000,INDEX($AO$1005:$BQ$1005,1,MATCH(COLUMNS($AO$1006:BG1006),$AO$1006:$BQ$1006,0))&gt;=100000), " ",IF(INDEX($AO$2:$BQ$1001,MATCH(ROWS($AH$2:AH47),$AH$2:$AH$1001,0),MATCH(COLUMNS($AO$1006:BG1006),$AO$1006:$BQ$1006,0)), HYPERLINK("#",""), HYPERLINK(CONCATENATE("#Metadata!", ADDRESS(INDEX($AJ$2:$AJ$1001,MATCH(ROWS($AH$2:AH47),$AH$2:$AH$1001,0),0), INDEX($AO$1004:$BQ$1004,1,MATCH(COLUMNS($AO$1006:BG1006),$AO$1006:$BQ$1006,0)))),"Fix")))</f>
        <v>#N/A</v>
      </c>
      <c r="U47" s="5" t="e">
        <f ca="1">IF(OR(INDEX($AI$2:$AI$1001,MATCH(ROWS($AH$2:AH47),$AH$2:$AH$1001,0),1)&gt;=100000,INDEX($AO$1005:$BQ$1005,1,MATCH(COLUMNS($AO$1006:BH1006),$AO$1006:$BQ$1006,0))&gt;=100000), " ",IF(INDEX($AO$2:$BQ$1001,MATCH(ROWS($AH$2:AH47),$AH$2:$AH$1001,0),MATCH(COLUMNS($AO$1006:BH1006),$AO$1006:$BQ$1006,0)), HYPERLINK("#",""), HYPERLINK(CONCATENATE("#Metadata!", ADDRESS(INDEX($AJ$2:$AJ$1001,MATCH(ROWS($AH$2:AH47),$AH$2:$AH$1001,0),0), INDEX($AO$1004:$BQ$1004,1,MATCH(COLUMNS($AO$1006:BH1006),$AO$1006:$BQ$1006,0)))),"Fix")))</f>
        <v>#N/A</v>
      </c>
      <c r="V47" s="5" t="e">
        <f ca="1">IF(OR(INDEX($AI$2:$AI$1001,MATCH(ROWS($AH$2:AH47),$AH$2:$AH$1001,0),1)&gt;=100000,INDEX($AO$1005:$BQ$1005,1,MATCH(COLUMNS($AO$1006:BI1006),$AO$1006:$BQ$1006,0))&gt;=100000), " ",IF(INDEX($AO$2:$BQ$1001,MATCH(ROWS($AH$2:AH47),$AH$2:$AH$1001,0),MATCH(COLUMNS($AO$1006:BI1006),$AO$1006:$BQ$1006,0)), HYPERLINK("#",""), HYPERLINK(CONCATENATE("#Metadata!", ADDRESS(INDEX($AJ$2:$AJ$1001,MATCH(ROWS($AH$2:AH47),$AH$2:$AH$1001,0),0), INDEX($AO$1004:$BQ$1004,1,MATCH(COLUMNS($AO$1006:BI1006),$AO$1006:$BQ$1006,0)))),"Fix")))</f>
        <v>#N/A</v>
      </c>
      <c r="W47" s="5" t="e">
        <f ca="1">IF(OR(INDEX($AI$2:$AI$1001,MATCH(ROWS($AH$2:AH47),$AH$2:$AH$1001,0),1)&gt;=100000,INDEX($AO$1005:$BQ$1005,1,MATCH(COLUMNS($AO$1006:BJ1006),$AO$1006:$BQ$1006,0))&gt;=100000), " ",IF(INDEX($AO$2:$BQ$1001,MATCH(ROWS($AH$2:AH47),$AH$2:$AH$1001,0),MATCH(COLUMNS($AO$1006:BJ1006),$AO$1006:$BQ$1006,0)), HYPERLINK("#",""), HYPERLINK(CONCATENATE("#Metadata!", ADDRESS(INDEX($AJ$2:$AJ$1001,MATCH(ROWS($AH$2:AH47),$AH$2:$AH$1001,0),0), INDEX($AO$1004:$BQ$1004,1,MATCH(COLUMNS($AO$1006:BJ1006),$AO$1006:$BQ$1006,0)))),"Fix")))</f>
        <v>#N/A</v>
      </c>
      <c r="X47" s="5" t="e">
        <f ca="1">IF(OR(INDEX($AI$2:$AI$1001,MATCH(ROWS($AH$2:AH47),$AH$2:$AH$1001,0),1)&gt;=100000,INDEX($AO$1005:$BQ$1005,1,MATCH(COLUMNS($AO$1006:BK1006),$AO$1006:$BQ$1006,0))&gt;=100000), " ",IF(INDEX($AO$2:$BQ$1001,MATCH(ROWS($AH$2:AH47),$AH$2:$AH$1001,0),MATCH(COLUMNS($AO$1006:BK1006),$AO$1006:$BQ$1006,0)), HYPERLINK("#",""), HYPERLINK(CONCATENATE("#Metadata!", ADDRESS(INDEX($AJ$2:$AJ$1001,MATCH(ROWS($AH$2:AH47),$AH$2:$AH$1001,0),0), INDEX($AO$1004:$BQ$1004,1,MATCH(COLUMNS($AO$1006:BK1006),$AO$1006:$BQ$1006,0)))),"Fix")))</f>
        <v>#N/A</v>
      </c>
      <c r="Y47" s="5" t="e">
        <f ca="1">IF(OR(INDEX($AI$2:$AI$1001,MATCH(ROWS($AH$2:AH47),$AH$2:$AH$1001,0),1)&gt;=100000,INDEX($AO$1005:$BQ$1005,1,MATCH(COLUMNS($AO$1006:BL1006),$AO$1006:$BQ$1006,0))&gt;=100000), " ",IF(INDEX($AO$2:$BQ$1001,MATCH(ROWS($AH$2:AH47),$AH$2:$AH$1001,0),MATCH(COLUMNS($AO$1006:BL1006),$AO$1006:$BQ$1006,0)), HYPERLINK("#",""), HYPERLINK(CONCATENATE("#Metadata!", ADDRESS(INDEX($AJ$2:$AJ$1001,MATCH(ROWS($AH$2:AH47),$AH$2:$AH$1001,0),0), INDEX($AO$1004:$BQ$1004,1,MATCH(COLUMNS($AO$1006:BL1006),$AO$1006:$BQ$1006,0)))),"Fix")))</f>
        <v>#N/A</v>
      </c>
      <c r="Z47" s="5" t="e">
        <f ca="1">IF(OR(INDEX($AI$2:$AI$1001,MATCH(ROWS($AH$2:AH47),$AH$2:$AH$1001,0),1)&gt;=100000,INDEX($AO$1005:$BQ$1005,1,MATCH(COLUMNS($AO$1006:BM1006),$AO$1006:$BQ$1006,0))&gt;=100000), " ",IF(INDEX($AO$2:$BQ$1001,MATCH(ROWS($AH$2:AH47),$AH$2:$AH$1001,0),MATCH(COLUMNS($AO$1006:BM1006),$AO$1006:$BQ$1006,0)), HYPERLINK("#",""), HYPERLINK(CONCATENATE("#Metadata!", ADDRESS(INDEX($AJ$2:$AJ$1001,MATCH(ROWS($AH$2:AH47),$AH$2:$AH$1001,0),0), INDEX($AO$1004:$BQ$1004,1,MATCH(COLUMNS($AO$1006:BM1006),$AO$1006:$BQ$1006,0)))),"Fix")))</f>
        <v>#N/A</v>
      </c>
      <c r="AA47" s="5" t="e">
        <f ca="1">IF(OR(INDEX($AI$2:$AI$1001,MATCH(ROWS($AH$2:AH47),$AH$2:$AH$1001,0),1)&gt;=100000,INDEX($AO$1005:$BQ$1005,1,MATCH(COLUMNS($AO$1006:BN1006),$AO$1006:$BQ$1006,0))&gt;=100000), " ",IF(INDEX($AO$2:$BQ$1001,MATCH(ROWS($AH$2:AH47),$AH$2:$AH$1001,0),MATCH(COLUMNS($AO$1006:BN1006),$AO$1006:$BQ$1006,0)), HYPERLINK("#",""), HYPERLINK(CONCATENATE("#Metadata!", ADDRESS(INDEX($AJ$2:$AJ$1001,MATCH(ROWS($AH$2:AH47),$AH$2:$AH$1001,0),0), INDEX($AO$1004:$BQ$1004,1,MATCH(COLUMNS($AO$1006:BN1006),$AO$1006:$BQ$1006,0)))),"Fix")))</f>
        <v>#N/A</v>
      </c>
      <c r="AB47" s="5" t="e">
        <f ca="1">IF(OR(INDEX($AI$2:$AI$1001,MATCH(ROWS($AH$2:AH47),$AH$2:$AH$1001,0),1)&gt;=100000,INDEX($AO$1005:$BQ$1005,1,MATCH(COLUMNS($AO$1006:BO1006),$AO$1006:$BQ$1006,0))&gt;=100000), " ",IF(INDEX($AO$2:$BQ$1001,MATCH(ROWS($AH$2:AH47),$AH$2:$AH$1001,0),MATCH(COLUMNS($AO$1006:BO1006),$AO$1006:$BQ$1006,0)), HYPERLINK("#",""), HYPERLINK(CONCATENATE("#Metadata!", ADDRESS(INDEX($AJ$2:$AJ$1001,MATCH(ROWS($AH$2:AH47),$AH$2:$AH$1001,0),0), INDEX($AO$1004:$BQ$1004,1,MATCH(COLUMNS($AO$1006:BO1006),$AO$1006:$BQ$1006,0)))),"Fix")))</f>
        <v>#N/A</v>
      </c>
      <c r="AC47" s="5" t="e">
        <f ca="1">IF(OR(INDEX($AI$2:$AI$1001,MATCH(ROWS($AH$2:AH47),$AH$2:$AH$1001,0),1)&gt;=100000,INDEX($AO$1005:$BQ$1005,1,MATCH(COLUMNS($AO$1006:BP1006),$AO$1006:$BQ$1006,0))&gt;=100000), " ",IF(INDEX($AO$2:$BQ$1001,MATCH(ROWS($AH$2:AH47),$AH$2:$AH$1001,0),MATCH(COLUMNS($AO$1006:BP1006),$AO$1006:$BQ$1006,0)), HYPERLINK("#",""), HYPERLINK(CONCATENATE("#Metadata!", ADDRESS(INDEX($AJ$2:$AJ$1001,MATCH(ROWS($AH$2:AH47),$AH$2:$AH$1001,0),0), INDEX($AO$1004:$BQ$1004,1,MATCH(COLUMNS($AO$1006:BP1006),$AO$1006:$BQ$1006,0)))),"Fix")))</f>
        <v>#N/A</v>
      </c>
      <c r="AD47" s="5" t="e">
        <f ca="1">IF(OR(INDEX($AI$2:$AI$1001,MATCH(ROWS($AH$2:AH47),$AH$2:$AH$1001,0),1)&gt;=100000,INDEX($AO$1005:$BQ$1005,1,MATCH(COLUMNS($AO$1006:BQ1006),$AO$1006:$BQ$1006,0))&gt;=100000), " ",IF(INDEX($AO$2:$BQ$1001,MATCH(ROWS($AH$2:AH47),$AH$2:$AH$1001,0),MATCH(COLUMNS($AO$1006:BQ1006),$AO$1006:$BQ$1006,0)), HYPERLINK("#",""), HYPERLINK(CONCATENATE("#Metadata!", ADDRESS(INDEX($AJ$2:$AJ$1001,MATCH(ROWS($AH$2:AH47),$AH$2:$AH$1001,0),0), INDEX($AO$1004:$BQ$1004,1,MATCH(COLUMNS($AO$1006:BQ1006),$AO$1006:$BQ$1006,0)))),"Fix")))</f>
        <v>#REF!</v>
      </c>
      <c r="AH47">
        <f ca="1"/>
        <v>44</v>
      </c>
      <c r="AI47">
        <f ca="1"/>
        <v>47</v>
      </c>
      <c r="AJ47">
        <v>47</v>
      </c>
      <c r="AK47" t="b">
        <f t="shared" ca="1" si="0"/>
        <v>0</v>
      </c>
      <c r="AL47" t="b">
        <f>COUNTBLANK(Metadata!B47:AD47)=COLUMNS(Metadata!B47:AD47)</f>
        <v>0</v>
      </c>
      <c r="AM47" t="str">
        <v>Environment.Side.2.BTP.123Lake.water</v>
      </c>
      <c r="AO47" t="b">
        <f ca="1">AND(IF(Metadata!B46="",FALSE,TRUE),COUNTIF(Metadata!B:B, Metadata!B46) = 1,NOT(ISERROR(SUMPRODUCT(SEARCH(MID(Metadata!B46,ROW(INDIRECT("1:"&amp;LEN(Metadata!B46))), 1),"0123456789abcdefghijklmnopqrstuvwxyzABCDEFGHIJKLMNOPQRSTUVWXYZ.")))))</f>
        <v>1</v>
      </c>
      <c r="AP47" t="b">
        <f>IF(Metadata!C46="",FALSE,TRUE)</f>
        <v>1</v>
      </c>
      <c r="AQ47" t="b">
        <f>IF(Metadata!D46="",FALSE,TRUE)</f>
        <v>1</v>
      </c>
      <c r="AR47" t="b">
        <f ca="1">OR(AND(IF(Metadata!E46="",FALSE,TRUE),OR(EXACT(Metadata!E46,"not collected"),EXACT(Metadata!E46,"not provided"),EXACT(Metadata!E46,"restricted access"))),AND(IF(Metadata!E46="",FALSE,TRUE),AND(AND(IFERROR(INT(LEFT(Metadata!E46,4))&gt;1900,FALSE),IFERROR(INT(LEFT(Metadata!E46,4))&lt;=YEAR(NOW()),FALSE)), OR(MID(Metadata!E46,5,1)="", AND(AND(MID(Metadata!E46,5,1)="-",IFERROR(INT(MID(Metadata!E46,6,1))&gt;=0,FALSE),IFERROR(INT(MID(Metadata!E46,6,1))&lt;=1,FALSE),NOT(MID(Metadata!E46,7,1)=""),IFERROR(INT(MID(Metadata!E46,6,2))&gt;=1,FALSE),IFERROR(INT(MID(Metadata!E46,6,2))&lt;=12,FALSE)), OR(MID(Metadata!E46,8,1)="", AND(AND(MID(Metadata!E46,8,1)="-",IFERROR(INT(MID(Metadata!E46,9,1))&gt;=0,FALSE),IFERROR(INT(MID(Metadata!E46,9,1))&lt;=3,FALSE),NOT(MID(Metadata!E46,10,1)=""),IFERROR(INT(MID(Metadata!E46,9,2))&gt;=1,FALSE),IFERROR(INT(MID(Metadata!E46,9,2))&lt;=31,FALSE)), OR(MID(Metadata!E46,11,1)="", AND(AND(MID(Metadata!E46,11,1)=" ",IFERROR(INT(MID(Metadata!E46,12,1))&gt;=0,FALSE),IFERROR(INT(MID(Metadata!E46,12,1))&lt;=2,FALSE),NOT(MID(Metadata!E46,13,1)=""),IFERROR(INT(MID(Metadata!E46,12,2))&gt;=0,FALSE),IFERROR(INT(MID(Metadata!E46,12,2))&lt;=23,FALSE)), OR(MID(Metadata!E46,14,1)="", AND(AND(MID(Metadata!E46,14,1)=":",IFERROR(INT(MID(Metadata!E46,15,1))&gt;=0,FALSE),IFERROR(INT(MID(Metadata!E46,15,1))&lt;=5,FALSE),NOT(MID(Metadata!E46,16,1)=""),IFERROR(INT(MID(Metadata!E46,15,2))&gt;=0,FALSE),IFERROR(INT(MID(Metadata!E46,15,2))&lt;=59,FALSE)), OR(MID(Metadata!E46,17,1)="", AND(AND(MID(Metadata!E46,17,1)=":",IFERROR(INT(MID(Metadata!E46,18,1))&gt;=0,FALSE),IFERROR(INT(MID(Metadata!E46,18,1))&lt;=5,FALSE),NOT(MID(Metadata!E46,19,1)=""),IFERROR(INT(MID(Metadata!E46,18,2))&gt;=0,FALSE),IFERROR(INT(MID(Metadata!E46,18,2))&lt;=59,FALSE)), LEN(Metadata!E46)&lt;=19)))))))))))))</f>
        <v>0</v>
      </c>
      <c r="AS47" t="b">
        <f>IF(Metadata!F46="",FALSE,TRUE)</f>
        <v>1</v>
      </c>
      <c r="AT47" t="b">
        <f>OR(AND(IF(Metadata!G46="",FALSE,TRUE),OR(EXACT(Metadata!G46,"not collected"),EXACT(Metadata!G46,"not provided"))),AND(IF(Metadata!G46="",FALSE,TRUE),OR(EXACT(Metadata!G46,"TRUE"),EXACT(Metadata!G46,"FALSE"))))</f>
        <v>1</v>
      </c>
      <c r="AU47" t="b">
        <f>OR(AND(IF(Metadata!H46="",FALSE,TRUE),OR(EXACT(Metadata!H46,"not collected"),EXACT(Metadata!H46,"not provided"),EXACT(Metadata!H46,"restricted access"))),AND(IF(Metadata!H46="",FALSE,ISNUMBER(VALUE(Metadata!H46))),Metadata!H46&gt;=-413))</f>
        <v>0</v>
      </c>
      <c r="AV47" t="b">
        <f>AND(IF(Metadata!I46="",FALSE,TRUE),EXACT(Metadata!I46,"meters"))</f>
        <v>1</v>
      </c>
      <c r="AW47" t="b">
        <f>AND(IF(Metadata!J46="",FALSE,TRUE),EXACT(Metadata!J46,"free-living"))</f>
        <v>1</v>
      </c>
      <c r="AX47" t="b">
        <f>AND(IF(Metadata!K46="",FALSE,TRUE),OR(EXACT(Metadata!K46,"saline"),EXACT(Metadata!K46,"non-saline")))</f>
        <v>1</v>
      </c>
      <c r="AY47" t="b">
        <f>AND(IF(Metadata!L46="",FALSE,TRUE),OR(EXACT(Metadata!L46,"sub-surface (non-saline)"),EXACT(Metadata!L46,"surface (non-saline)"),EXACT(Metadata!L46,"water (non-saline)"),EXACT(Metadata!L46,"soil (non-saline)"),EXACT(Metadata!L46,"aerosol (non-saline)"),EXACT(Metadata!L46,"sediment (non-saline)"),EXACT(Metadata!L46,"surface (saline)"),EXACT(Metadata!L46,"water (saline)"),EXACT(Metadata!L46,"hypersaline (saline)"),EXACT(Metadata!L46,"aerosol (saline)"),EXACT(Metadata!L46,"sediment (saline)")))</f>
        <v>1</v>
      </c>
      <c r="AZ47" t="b">
        <f>IF(Metadata!M46="",FALSE,TRUE)</f>
        <v>1</v>
      </c>
      <c r="BA47" t="b">
        <f>IF(Metadata!N46="",FALSE,TRUE)</f>
        <v>1</v>
      </c>
      <c r="BB47" t="b">
        <f>IF(Metadata!O46="",FALSE,TRUE)</f>
        <v>1</v>
      </c>
      <c r="BC47" t="b">
        <f>AND(IF(Metadata!P46="",FALSE,TRUE),OR(EXACT(Metadata!P46,"air"),EXACT(Metadata!P46,"microbial mat/biofilm"),EXACT(Metadata!P46,"misc environment"),EXACT(Metadata!P46,"sediment"),EXACT(Metadata!P46,"soil"),EXACT(Metadata!P46,"wastewater/sludge"),EXACT(Metadata!P46,"water")))</f>
        <v>1</v>
      </c>
      <c r="BD47" t="b">
        <f>IF(Metadata!Q46="",FALSE,TRUE)</f>
        <v>1</v>
      </c>
      <c r="BE47" t="b">
        <f>IF(Metadata!R46="",FALSE,TRUE)</f>
        <v>1</v>
      </c>
      <c r="BF47" t="b">
        <f>OR(AND(IF(Metadata!S46="",FALSE,TRUE),OR(EXACT(Metadata!S46,"not collected"),EXACT(Metadata!S46,"not provided"),EXACT(Metadata!S46,"restricted access"))),AND(IF(Metadata!S46="",FALSE,ISNUMBER(VALUE(Metadata!S46))),Metadata!S46&gt;=-90,Metadata!S46&lt;=90))</f>
        <v>0</v>
      </c>
      <c r="BG47" t="b">
        <f>AND(IF(Metadata!T46="",FALSE,TRUE),EXACT(Metadata!T46,"Decimal degrees"))</f>
        <v>1</v>
      </c>
      <c r="BH47" t="b">
        <f>OR(AND(IF(Metadata!U46="",FALSE,TRUE),OR(EXACT(Metadata!U46,"not applicable"),EXACT(Metadata!U46,"not collected"))),IF(Metadata!U46="",FALSE,TRUE))</f>
        <v>1</v>
      </c>
      <c r="BI47" t="b">
        <f>OR(AND(IF(Metadata!V46="",FALSE,TRUE),OR(EXACT(Metadata!V46,"not collected"),EXACT(Metadata!V46,"not provided"),EXACT(Metadata!V46,"restricted access"))),AND(IF(Metadata!V46="",FALSE,ISNUMBER(VALUE(Metadata!V46))),Metadata!V46&gt;=-180,Metadata!V46&lt;=180))</f>
        <v>0</v>
      </c>
      <c r="BJ47" t="b">
        <f>AND(IF(Metadata!W46="",FALSE,TRUE),EXACT(Metadata!W46,"Decimal degrees"))</f>
        <v>1</v>
      </c>
      <c r="BK47" t="b">
        <f>IF(Metadata!X46="",FALSE,TRUE)</f>
        <v>1</v>
      </c>
      <c r="BL47" t="b">
        <f>OR(AND(IF(Metadata!Y46="",FALSE,TRUE),OR(EXACT(Metadata!Y46,"not collected"),EXACT(Metadata!Y46,"not provided"),EXACT(Metadata!Y46,"restricted access"))),AND(IF(Metadata!Y46="",FALSE,TRUE),OR(EXACT(Metadata!Y46,"TRUE"),EXACT(Metadata!Y46,"FALSE"))))</f>
        <v>1</v>
      </c>
      <c r="BM47" t="b">
        <f>OR(AND(IF(Metadata!Z46="",FALSE,TRUE),EXACT(Metadata!Z46,"not applicable")),AND(IF(Metadata!Z46="",FALSE,TRUE),OR(EXACT(Metadata!Z46,"beer"),EXACT(Metadata!Z46,"cheese"),EXACT(Metadata!Z46,"fresh water"),EXACT(Metadata!Z46,"marine sediment"),EXACT(Metadata!Z46,"sea water"),EXACT(Metadata!Z46,"sediment"),EXACT(Metadata!Z46,"soil"),EXACT(Metadata!Z46,"waste water"))))</f>
        <v>1</v>
      </c>
      <c r="BN47" t="b">
        <f>AND(IF(Metadata!AA46="",FALSE,TRUE),EXACT(Metadata!AA46,"metagenome"))</f>
        <v>1</v>
      </c>
      <c r="BO47" t="b">
        <f>AND(IF(Metadata!AB46="",FALSE,TRUE),EXACT(Metadata!AB46,"256318"))</f>
        <v>1</v>
      </c>
      <c r="BP47" t="b">
        <f>IF(Metadata!AC46="",FALSE,TRUE)</f>
        <v>1</v>
      </c>
      <c r="BQ47" t="b">
        <f>IF(Metadata!AD46="",FALSE,TRUE)</f>
        <v>1</v>
      </c>
    </row>
    <row r="48" spans="1:69" x14ac:dyDescent="0.2">
      <c r="A48" s="4" t="e">
        <f ca="1">IF(B48=" "," ",HYPERLINK(CONCATENATE("#metadata!",ADDRESS(INDEX($AJ$2:$AJ$1001,MATCH(ROWS($AH$2:AH48),$AH$2:$AH$1001,0),0),2)),INDEX($AM$2:$AM$1001,MATCH(ROWS($AH$2:AH48),$AH$2:$AH$1001,0),0)))</f>
        <v>#N/A</v>
      </c>
      <c r="B48" s="5" t="e">
        <f ca="1">IF(OR(INDEX($AI$2:$AI$1001,MATCH(ROWS($AH$2:AH48),$AH$2:$AH$1001,0),1)&gt;=100000,INDEX($AO$1005:$BQ$1005,1,MATCH(COLUMNS($AO$1006:AO1006),$AO$1006:$BQ$1006,0))&gt;=100000), " ",IF(INDEX($AO$2:$BQ$1001,MATCH(ROWS($AH$2:AH48),$AH$2:$AH$1001,0),MATCH(COLUMNS($AO$1006:AO1006),$AO$1006:$BQ$1006,0)), HYPERLINK("#",""), HYPERLINK(CONCATENATE("#Metadata!", ADDRESS(INDEX($AJ$2:$AJ$1001,MATCH(ROWS($AH$2:AH48),$AH$2:$AH$1001,0),0), INDEX($AO$1004:$BQ$1004,1,MATCH(COLUMNS($AO$1006:AO1006),$AO$1006:$BQ$1006,0)))),"Fix")))</f>
        <v>#N/A</v>
      </c>
      <c r="C48" s="5" t="e">
        <f ca="1">IF(OR(INDEX($AI$2:$AI$1001,MATCH(ROWS($AH$2:AH48),$AH$2:$AH$1001,0),1)&gt;=100000,INDEX($AO$1005:$BQ$1005,1,MATCH(COLUMNS($AO$1006:AP1006),$AO$1006:$BQ$1006,0))&gt;=100000), " ",IF(INDEX($AO$2:$BQ$1001,MATCH(ROWS($AH$2:AH48),$AH$2:$AH$1001,0),MATCH(COLUMNS($AO$1006:AP1006),$AO$1006:$BQ$1006,0)), HYPERLINK("#",""), HYPERLINK(CONCATENATE("#Metadata!", ADDRESS(INDEX($AJ$2:$AJ$1001,MATCH(ROWS($AH$2:AH48),$AH$2:$AH$1001,0),0), INDEX($AO$1004:$BQ$1004,1,MATCH(COLUMNS($AO$1006:AP1006),$AO$1006:$BQ$1006,0)))),"Fix")))</f>
        <v>#N/A</v>
      </c>
      <c r="D48" s="5" t="e">
        <f ca="1">IF(OR(INDEX($AI$2:$AI$1001,MATCH(ROWS($AH$2:AH48),$AH$2:$AH$1001,0),1)&gt;=100000,INDEX($AO$1005:$BQ$1005,1,MATCH(COLUMNS($AO$1006:AQ1006),$AO$1006:$BQ$1006,0))&gt;=100000), " ",IF(INDEX($AO$2:$BQ$1001,MATCH(ROWS($AH$2:AH48),$AH$2:$AH$1001,0),MATCH(COLUMNS($AO$1006:AQ1006),$AO$1006:$BQ$1006,0)), HYPERLINK("#",""), HYPERLINK(CONCATENATE("#Metadata!", ADDRESS(INDEX($AJ$2:$AJ$1001,MATCH(ROWS($AH$2:AH48),$AH$2:$AH$1001,0),0), INDEX($AO$1004:$BQ$1004,1,MATCH(COLUMNS($AO$1006:AQ1006),$AO$1006:$BQ$1006,0)))),"Fix")))</f>
        <v>#N/A</v>
      </c>
      <c r="E48" s="5" t="e">
        <f ca="1">IF(OR(INDEX($AI$2:$AI$1001,MATCH(ROWS($AH$2:AH48),$AH$2:$AH$1001,0),1)&gt;=100000,INDEX($AO$1005:$BQ$1005,1,MATCH(COLUMNS($AO$1006:AR1006),$AO$1006:$BQ$1006,0))&gt;=100000), " ",IF(INDEX($AO$2:$BQ$1001,MATCH(ROWS($AH$2:AH48),$AH$2:$AH$1001,0),MATCH(COLUMNS($AO$1006:AR1006),$AO$1006:$BQ$1006,0)), HYPERLINK("#",""), HYPERLINK(CONCATENATE("#Metadata!", ADDRESS(INDEX($AJ$2:$AJ$1001,MATCH(ROWS($AH$2:AH48),$AH$2:$AH$1001,0),0), INDEX($AO$1004:$BQ$1004,1,MATCH(COLUMNS($AO$1006:AR1006),$AO$1006:$BQ$1006,0)))),"Fix")))</f>
        <v>#N/A</v>
      </c>
      <c r="F48" s="5" t="e">
        <f ca="1">IF(OR(INDEX($AI$2:$AI$1001,MATCH(ROWS($AH$2:AH48),$AH$2:$AH$1001,0),1)&gt;=100000,INDEX($AO$1005:$BQ$1005,1,MATCH(COLUMNS($AO$1006:AS1006),$AO$1006:$BQ$1006,0))&gt;=100000), " ",IF(INDEX($AO$2:$BQ$1001,MATCH(ROWS($AH$2:AH48),$AH$2:$AH$1001,0),MATCH(COLUMNS($AO$1006:AS1006),$AO$1006:$BQ$1006,0)), HYPERLINK("#",""), HYPERLINK(CONCATENATE("#Metadata!", ADDRESS(INDEX($AJ$2:$AJ$1001,MATCH(ROWS($AH$2:AH48),$AH$2:$AH$1001,0),0), INDEX($AO$1004:$BQ$1004,1,MATCH(COLUMNS($AO$1006:AS1006),$AO$1006:$BQ$1006,0)))),"Fix")))</f>
        <v>#N/A</v>
      </c>
      <c r="G48" s="5" t="e">
        <f ca="1">IF(OR(INDEX($AI$2:$AI$1001,MATCH(ROWS($AH$2:AH48),$AH$2:$AH$1001,0),1)&gt;=100000,INDEX($AO$1005:$BQ$1005,1,MATCH(COLUMNS($AO$1006:AT1006),$AO$1006:$BQ$1006,0))&gt;=100000), " ",IF(INDEX($AO$2:$BQ$1001,MATCH(ROWS($AH$2:AH48),$AH$2:$AH$1001,0),MATCH(COLUMNS($AO$1006:AT1006),$AO$1006:$BQ$1006,0)), HYPERLINK("#",""), HYPERLINK(CONCATENATE("#Metadata!", ADDRESS(INDEX($AJ$2:$AJ$1001,MATCH(ROWS($AH$2:AH48),$AH$2:$AH$1001,0),0), INDEX($AO$1004:$BQ$1004,1,MATCH(COLUMNS($AO$1006:AT1006),$AO$1006:$BQ$1006,0)))),"Fix")))</f>
        <v>#N/A</v>
      </c>
      <c r="H48" s="5" t="e">
        <f ca="1">IF(OR(INDEX($AI$2:$AI$1001,MATCH(ROWS($AH$2:AH48),$AH$2:$AH$1001,0),1)&gt;=100000,INDEX($AO$1005:$BQ$1005,1,MATCH(COLUMNS($AO$1006:AU1006),$AO$1006:$BQ$1006,0))&gt;=100000), " ",IF(INDEX($AO$2:$BQ$1001,MATCH(ROWS($AH$2:AH48),$AH$2:$AH$1001,0),MATCH(COLUMNS($AO$1006:AU1006),$AO$1006:$BQ$1006,0)), HYPERLINK("#",""), HYPERLINK(CONCATENATE("#Metadata!", ADDRESS(INDEX($AJ$2:$AJ$1001,MATCH(ROWS($AH$2:AH48),$AH$2:$AH$1001,0),0), INDEX($AO$1004:$BQ$1004,1,MATCH(COLUMNS($AO$1006:AU1006),$AO$1006:$BQ$1006,0)))),"Fix")))</f>
        <v>#N/A</v>
      </c>
      <c r="I48" s="5" t="e">
        <f ca="1">IF(OR(INDEX($AI$2:$AI$1001,MATCH(ROWS($AH$2:AH48),$AH$2:$AH$1001,0),1)&gt;=100000,INDEX($AO$1005:$BQ$1005,1,MATCH(COLUMNS($AO$1006:AV1006),$AO$1006:$BQ$1006,0))&gt;=100000), " ",IF(INDEX($AO$2:$BQ$1001,MATCH(ROWS($AH$2:AH48),$AH$2:$AH$1001,0),MATCH(COLUMNS($AO$1006:AV1006),$AO$1006:$BQ$1006,0)), HYPERLINK("#",""), HYPERLINK(CONCATENATE("#Metadata!", ADDRESS(INDEX($AJ$2:$AJ$1001,MATCH(ROWS($AH$2:AH48),$AH$2:$AH$1001,0),0), INDEX($AO$1004:$BQ$1004,1,MATCH(COLUMNS($AO$1006:AV1006),$AO$1006:$BQ$1006,0)))),"Fix")))</f>
        <v>#N/A</v>
      </c>
      <c r="J48" s="5" t="e">
        <f ca="1">IF(OR(INDEX($AI$2:$AI$1001,MATCH(ROWS($AH$2:AH48),$AH$2:$AH$1001,0),1)&gt;=100000,INDEX($AO$1005:$BQ$1005,1,MATCH(COLUMNS($AO$1006:AW1006),$AO$1006:$BQ$1006,0))&gt;=100000), " ",IF(INDEX($AO$2:$BQ$1001,MATCH(ROWS($AH$2:AH48),$AH$2:$AH$1001,0),MATCH(COLUMNS($AO$1006:AW1006),$AO$1006:$BQ$1006,0)), HYPERLINK("#",""), HYPERLINK(CONCATENATE("#Metadata!", ADDRESS(INDEX($AJ$2:$AJ$1001,MATCH(ROWS($AH$2:AH48),$AH$2:$AH$1001,0),0), INDEX($AO$1004:$BQ$1004,1,MATCH(COLUMNS($AO$1006:AW1006),$AO$1006:$BQ$1006,0)))),"Fix")))</f>
        <v>#N/A</v>
      </c>
      <c r="K48" s="5" t="e">
        <f ca="1">IF(OR(INDEX($AI$2:$AI$1001,MATCH(ROWS($AH$2:AH48),$AH$2:$AH$1001,0),1)&gt;=100000,INDEX($AO$1005:$BQ$1005,1,MATCH(COLUMNS($AO$1006:AX1006),$AO$1006:$BQ$1006,0))&gt;=100000), " ",IF(INDEX($AO$2:$BQ$1001,MATCH(ROWS($AH$2:AH48),$AH$2:$AH$1001,0),MATCH(COLUMNS($AO$1006:AX1006),$AO$1006:$BQ$1006,0)), HYPERLINK("#",""), HYPERLINK(CONCATENATE("#Metadata!", ADDRESS(INDEX($AJ$2:$AJ$1001,MATCH(ROWS($AH$2:AH48),$AH$2:$AH$1001,0),0), INDEX($AO$1004:$BQ$1004,1,MATCH(COLUMNS($AO$1006:AX1006),$AO$1006:$BQ$1006,0)))),"Fix")))</f>
        <v>#N/A</v>
      </c>
      <c r="L48" s="5" t="e">
        <f ca="1">IF(OR(INDEX($AI$2:$AI$1001,MATCH(ROWS($AH$2:AH48),$AH$2:$AH$1001,0),1)&gt;=100000,INDEX($AO$1005:$BQ$1005,1,MATCH(COLUMNS($AO$1006:AY1006),$AO$1006:$BQ$1006,0))&gt;=100000), " ",IF(INDEX($AO$2:$BQ$1001,MATCH(ROWS($AH$2:AH48),$AH$2:$AH$1001,0),MATCH(COLUMNS($AO$1006:AY1006),$AO$1006:$BQ$1006,0)), HYPERLINK("#",""), HYPERLINK(CONCATENATE("#Metadata!", ADDRESS(INDEX($AJ$2:$AJ$1001,MATCH(ROWS($AH$2:AH48),$AH$2:$AH$1001,0),0), INDEX($AO$1004:$BQ$1004,1,MATCH(COLUMNS($AO$1006:AY1006),$AO$1006:$BQ$1006,0)))),"Fix")))</f>
        <v>#N/A</v>
      </c>
      <c r="M48" s="5" t="e">
        <f ca="1">IF(OR(INDEX($AI$2:$AI$1001,MATCH(ROWS($AH$2:AH48),$AH$2:$AH$1001,0),1)&gt;=100000,INDEX($AO$1005:$BQ$1005,1,MATCH(COLUMNS($AO$1006:AZ1006),$AO$1006:$BQ$1006,0))&gt;=100000), " ",IF(INDEX($AO$2:$BQ$1001,MATCH(ROWS($AH$2:AH48),$AH$2:$AH$1001,0),MATCH(COLUMNS($AO$1006:AZ1006),$AO$1006:$BQ$1006,0)), HYPERLINK("#",""), HYPERLINK(CONCATENATE("#Metadata!", ADDRESS(INDEX($AJ$2:$AJ$1001,MATCH(ROWS($AH$2:AH48),$AH$2:$AH$1001,0),0), INDEX($AO$1004:$BQ$1004,1,MATCH(COLUMNS($AO$1006:AZ1006),$AO$1006:$BQ$1006,0)))),"Fix")))</f>
        <v>#N/A</v>
      </c>
      <c r="N48" s="5" t="e">
        <f ca="1">IF(OR(INDEX($AI$2:$AI$1001,MATCH(ROWS($AH$2:AH48),$AH$2:$AH$1001,0),1)&gt;=100000,INDEX($AO$1005:$BQ$1005,1,MATCH(COLUMNS($AO$1006:BA1006),$AO$1006:$BQ$1006,0))&gt;=100000), " ",IF(INDEX($AO$2:$BQ$1001,MATCH(ROWS($AH$2:AH48),$AH$2:$AH$1001,0),MATCH(COLUMNS($AO$1006:BA1006),$AO$1006:$BQ$1006,0)), HYPERLINK("#",""), HYPERLINK(CONCATENATE("#Metadata!", ADDRESS(INDEX($AJ$2:$AJ$1001,MATCH(ROWS($AH$2:AH48),$AH$2:$AH$1001,0),0), INDEX($AO$1004:$BQ$1004,1,MATCH(COLUMNS($AO$1006:BA1006),$AO$1006:$BQ$1006,0)))),"Fix")))</f>
        <v>#N/A</v>
      </c>
      <c r="O48" s="5" t="e">
        <f ca="1">IF(OR(INDEX($AI$2:$AI$1001,MATCH(ROWS($AH$2:AH48),$AH$2:$AH$1001,0),1)&gt;=100000,INDEX($AO$1005:$BQ$1005,1,MATCH(COLUMNS($AO$1006:BB1006),$AO$1006:$BQ$1006,0))&gt;=100000), " ",IF(INDEX($AO$2:$BQ$1001,MATCH(ROWS($AH$2:AH48),$AH$2:$AH$1001,0),MATCH(COLUMNS($AO$1006:BB1006),$AO$1006:$BQ$1006,0)), HYPERLINK("#",""), HYPERLINK(CONCATENATE("#Metadata!", ADDRESS(INDEX($AJ$2:$AJ$1001,MATCH(ROWS($AH$2:AH48),$AH$2:$AH$1001,0),0), INDEX($AO$1004:$BQ$1004,1,MATCH(COLUMNS($AO$1006:BB1006),$AO$1006:$BQ$1006,0)))),"Fix")))</f>
        <v>#N/A</v>
      </c>
      <c r="P48" s="5" t="e">
        <f ca="1">IF(OR(INDEX($AI$2:$AI$1001,MATCH(ROWS($AH$2:AH48),$AH$2:$AH$1001,0),1)&gt;=100000,INDEX($AO$1005:$BQ$1005,1,MATCH(COLUMNS($AO$1006:BC1006),$AO$1006:$BQ$1006,0))&gt;=100000), " ",IF(INDEX($AO$2:$BQ$1001,MATCH(ROWS($AH$2:AH48),$AH$2:$AH$1001,0),MATCH(COLUMNS($AO$1006:BC1006),$AO$1006:$BQ$1006,0)), HYPERLINK("#",""), HYPERLINK(CONCATENATE("#Metadata!", ADDRESS(INDEX($AJ$2:$AJ$1001,MATCH(ROWS($AH$2:AH48),$AH$2:$AH$1001,0),0), INDEX($AO$1004:$BQ$1004,1,MATCH(COLUMNS($AO$1006:BC1006),$AO$1006:$BQ$1006,0)))),"Fix")))</f>
        <v>#N/A</v>
      </c>
      <c r="Q48" s="5" t="e">
        <f ca="1">IF(OR(INDEX($AI$2:$AI$1001,MATCH(ROWS($AH$2:AH48),$AH$2:$AH$1001,0),1)&gt;=100000,INDEX($AO$1005:$BQ$1005,1,MATCH(COLUMNS($AO$1006:BD1006),$AO$1006:$BQ$1006,0))&gt;=100000), " ",IF(INDEX($AO$2:$BQ$1001,MATCH(ROWS($AH$2:AH48),$AH$2:$AH$1001,0),MATCH(COLUMNS($AO$1006:BD1006),$AO$1006:$BQ$1006,0)), HYPERLINK("#",""), HYPERLINK(CONCATENATE("#Metadata!", ADDRESS(INDEX($AJ$2:$AJ$1001,MATCH(ROWS($AH$2:AH48),$AH$2:$AH$1001,0),0), INDEX($AO$1004:$BQ$1004,1,MATCH(COLUMNS($AO$1006:BD1006),$AO$1006:$BQ$1006,0)))),"Fix")))</f>
        <v>#N/A</v>
      </c>
      <c r="R48" s="5" t="e">
        <f ca="1">IF(OR(INDEX($AI$2:$AI$1001,MATCH(ROWS($AH$2:AH48),$AH$2:$AH$1001,0),1)&gt;=100000,INDEX($AO$1005:$BQ$1005,1,MATCH(COLUMNS($AO$1006:BE1006),$AO$1006:$BQ$1006,0))&gt;=100000), " ",IF(INDEX($AO$2:$BQ$1001,MATCH(ROWS($AH$2:AH48),$AH$2:$AH$1001,0),MATCH(COLUMNS($AO$1006:BE1006),$AO$1006:$BQ$1006,0)), HYPERLINK("#",""), HYPERLINK(CONCATENATE("#Metadata!", ADDRESS(INDEX($AJ$2:$AJ$1001,MATCH(ROWS($AH$2:AH48),$AH$2:$AH$1001,0),0), INDEX($AO$1004:$BQ$1004,1,MATCH(COLUMNS($AO$1006:BE1006),$AO$1006:$BQ$1006,0)))),"Fix")))</f>
        <v>#N/A</v>
      </c>
      <c r="S48" s="5" t="e">
        <f ca="1">IF(OR(INDEX($AI$2:$AI$1001,MATCH(ROWS($AH$2:AH48),$AH$2:$AH$1001,0),1)&gt;=100000,INDEX($AO$1005:$BQ$1005,1,MATCH(COLUMNS($AO$1006:BF1006),$AO$1006:$BQ$1006,0))&gt;=100000), " ",IF(INDEX($AO$2:$BQ$1001,MATCH(ROWS($AH$2:AH48),$AH$2:$AH$1001,0),MATCH(COLUMNS($AO$1006:BF1006),$AO$1006:$BQ$1006,0)), HYPERLINK("#",""), HYPERLINK(CONCATENATE("#Metadata!", ADDRESS(INDEX($AJ$2:$AJ$1001,MATCH(ROWS($AH$2:AH48),$AH$2:$AH$1001,0),0), INDEX($AO$1004:$BQ$1004,1,MATCH(COLUMNS($AO$1006:BF1006),$AO$1006:$BQ$1006,0)))),"Fix")))</f>
        <v>#N/A</v>
      </c>
      <c r="T48" s="5" t="e">
        <f ca="1">IF(OR(INDEX($AI$2:$AI$1001,MATCH(ROWS($AH$2:AH48),$AH$2:$AH$1001,0),1)&gt;=100000,INDEX($AO$1005:$BQ$1005,1,MATCH(COLUMNS($AO$1006:BG1006),$AO$1006:$BQ$1006,0))&gt;=100000), " ",IF(INDEX($AO$2:$BQ$1001,MATCH(ROWS($AH$2:AH48),$AH$2:$AH$1001,0),MATCH(COLUMNS($AO$1006:BG1006),$AO$1006:$BQ$1006,0)), HYPERLINK("#",""), HYPERLINK(CONCATENATE("#Metadata!", ADDRESS(INDEX($AJ$2:$AJ$1001,MATCH(ROWS($AH$2:AH48),$AH$2:$AH$1001,0),0), INDEX($AO$1004:$BQ$1004,1,MATCH(COLUMNS($AO$1006:BG1006),$AO$1006:$BQ$1006,0)))),"Fix")))</f>
        <v>#N/A</v>
      </c>
      <c r="U48" s="5" t="e">
        <f ca="1">IF(OR(INDEX($AI$2:$AI$1001,MATCH(ROWS($AH$2:AH48),$AH$2:$AH$1001,0),1)&gt;=100000,INDEX($AO$1005:$BQ$1005,1,MATCH(COLUMNS($AO$1006:BH1006),$AO$1006:$BQ$1006,0))&gt;=100000), " ",IF(INDEX($AO$2:$BQ$1001,MATCH(ROWS($AH$2:AH48),$AH$2:$AH$1001,0),MATCH(COLUMNS($AO$1006:BH1006),$AO$1006:$BQ$1006,0)), HYPERLINK("#",""), HYPERLINK(CONCATENATE("#Metadata!", ADDRESS(INDEX($AJ$2:$AJ$1001,MATCH(ROWS($AH$2:AH48),$AH$2:$AH$1001,0),0), INDEX($AO$1004:$BQ$1004,1,MATCH(COLUMNS($AO$1006:BH1006),$AO$1006:$BQ$1006,0)))),"Fix")))</f>
        <v>#N/A</v>
      </c>
      <c r="V48" s="5" t="e">
        <f ca="1">IF(OR(INDEX($AI$2:$AI$1001,MATCH(ROWS($AH$2:AH48),$AH$2:$AH$1001,0),1)&gt;=100000,INDEX($AO$1005:$BQ$1005,1,MATCH(COLUMNS($AO$1006:BI1006),$AO$1006:$BQ$1006,0))&gt;=100000), " ",IF(INDEX($AO$2:$BQ$1001,MATCH(ROWS($AH$2:AH48),$AH$2:$AH$1001,0),MATCH(COLUMNS($AO$1006:BI1006),$AO$1006:$BQ$1006,0)), HYPERLINK("#",""), HYPERLINK(CONCATENATE("#Metadata!", ADDRESS(INDEX($AJ$2:$AJ$1001,MATCH(ROWS($AH$2:AH48),$AH$2:$AH$1001,0),0), INDEX($AO$1004:$BQ$1004,1,MATCH(COLUMNS($AO$1006:BI1006),$AO$1006:$BQ$1006,0)))),"Fix")))</f>
        <v>#N/A</v>
      </c>
      <c r="W48" s="5" t="e">
        <f ca="1">IF(OR(INDEX($AI$2:$AI$1001,MATCH(ROWS($AH$2:AH48),$AH$2:$AH$1001,0),1)&gt;=100000,INDEX($AO$1005:$BQ$1005,1,MATCH(COLUMNS($AO$1006:BJ1006),$AO$1006:$BQ$1006,0))&gt;=100000), " ",IF(INDEX($AO$2:$BQ$1001,MATCH(ROWS($AH$2:AH48),$AH$2:$AH$1001,0),MATCH(COLUMNS($AO$1006:BJ1006),$AO$1006:$BQ$1006,0)), HYPERLINK("#",""), HYPERLINK(CONCATENATE("#Metadata!", ADDRESS(INDEX($AJ$2:$AJ$1001,MATCH(ROWS($AH$2:AH48),$AH$2:$AH$1001,0),0), INDEX($AO$1004:$BQ$1004,1,MATCH(COLUMNS($AO$1006:BJ1006),$AO$1006:$BQ$1006,0)))),"Fix")))</f>
        <v>#N/A</v>
      </c>
      <c r="X48" s="5" t="e">
        <f ca="1">IF(OR(INDEX($AI$2:$AI$1001,MATCH(ROWS($AH$2:AH48),$AH$2:$AH$1001,0),1)&gt;=100000,INDEX($AO$1005:$BQ$1005,1,MATCH(COLUMNS($AO$1006:BK1006),$AO$1006:$BQ$1006,0))&gt;=100000), " ",IF(INDEX($AO$2:$BQ$1001,MATCH(ROWS($AH$2:AH48),$AH$2:$AH$1001,0),MATCH(COLUMNS($AO$1006:BK1006),$AO$1006:$BQ$1006,0)), HYPERLINK("#",""), HYPERLINK(CONCATENATE("#Metadata!", ADDRESS(INDEX($AJ$2:$AJ$1001,MATCH(ROWS($AH$2:AH48),$AH$2:$AH$1001,0),0), INDEX($AO$1004:$BQ$1004,1,MATCH(COLUMNS($AO$1006:BK1006),$AO$1006:$BQ$1006,0)))),"Fix")))</f>
        <v>#N/A</v>
      </c>
      <c r="Y48" s="5" t="e">
        <f ca="1">IF(OR(INDEX($AI$2:$AI$1001,MATCH(ROWS($AH$2:AH48),$AH$2:$AH$1001,0),1)&gt;=100000,INDEX($AO$1005:$BQ$1005,1,MATCH(COLUMNS($AO$1006:BL1006),$AO$1006:$BQ$1006,0))&gt;=100000), " ",IF(INDEX($AO$2:$BQ$1001,MATCH(ROWS($AH$2:AH48),$AH$2:$AH$1001,0),MATCH(COLUMNS($AO$1006:BL1006),$AO$1006:$BQ$1006,0)), HYPERLINK("#",""), HYPERLINK(CONCATENATE("#Metadata!", ADDRESS(INDEX($AJ$2:$AJ$1001,MATCH(ROWS($AH$2:AH48),$AH$2:$AH$1001,0),0), INDEX($AO$1004:$BQ$1004,1,MATCH(COLUMNS($AO$1006:BL1006),$AO$1006:$BQ$1006,0)))),"Fix")))</f>
        <v>#N/A</v>
      </c>
      <c r="Z48" s="5" t="e">
        <f ca="1">IF(OR(INDEX($AI$2:$AI$1001,MATCH(ROWS($AH$2:AH48),$AH$2:$AH$1001,0),1)&gt;=100000,INDEX($AO$1005:$BQ$1005,1,MATCH(COLUMNS($AO$1006:BM1006),$AO$1006:$BQ$1006,0))&gt;=100000), " ",IF(INDEX($AO$2:$BQ$1001,MATCH(ROWS($AH$2:AH48),$AH$2:$AH$1001,0),MATCH(COLUMNS($AO$1006:BM1006),$AO$1006:$BQ$1006,0)), HYPERLINK("#",""), HYPERLINK(CONCATENATE("#Metadata!", ADDRESS(INDEX($AJ$2:$AJ$1001,MATCH(ROWS($AH$2:AH48),$AH$2:$AH$1001,0),0), INDEX($AO$1004:$BQ$1004,1,MATCH(COLUMNS($AO$1006:BM1006),$AO$1006:$BQ$1006,0)))),"Fix")))</f>
        <v>#N/A</v>
      </c>
      <c r="AA48" s="5" t="e">
        <f ca="1">IF(OR(INDEX($AI$2:$AI$1001,MATCH(ROWS($AH$2:AH48),$AH$2:$AH$1001,0),1)&gt;=100000,INDEX($AO$1005:$BQ$1005,1,MATCH(COLUMNS($AO$1006:BN1006),$AO$1006:$BQ$1006,0))&gt;=100000), " ",IF(INDEX($AO$2:$BQ$1001,MATCH(ROWS($AH$2:AH48),$AH$2:$AH$1001,0),MATCH(COLUMNS($AO$1006:BN1006),$AO$1006:$BQ$1006,0)), HYPERLINK("#",""), HYPERLINK(CONCATENATE("#Metadata!", ADDRESS(INDEX($AJ$2:$AJ$1001,MATCH(ROWS($AH$2:AH48),$AH$2:$AH$1001,0),0), INDEX($AO$1004:$BQ$1004,1,MATCH(COLUMNS($AO$1006:BN1006),$AO$1006:$BQ$1006,0)))),"Fix")))</f>
        <v>#N/A</v>
      </c>
      <c r="AB48" s="5" t="e">
        <f ca="1">IF(OR(INDEX($AI$2:$AI$1001,MATCH(ROWS($AH$2:AH48),$AH$2:$AH$1001,0),1)&gt;=100000,INDEX($AO$1005:$BQ$1005,1,MATCH(COLUMNS($AO$1006:BO1006),$AO$1006:$BQ$1006,0))&gt;=100000), " ",IF(INDEX($AO$2:$BQ$1001,MATCH(ROWS($AH$2:AH48),$AH$2:$AH$1001,0),MATCH(COLUMNS($AO$1006:BO1006),$AO$1006:$BQ$1006,0)), HYPERLINK("#",""), HYPERLINK(CONCATENATE("#Metadata!", ADDRESS(INDEX($AJ$2:$AJ$1001,MATCH(ROWS($AH$2:AH48),$AH$2:$AH$1001,0),0), INDEX($AO$1004:$BQ$1004,1,MATCH(COLUMNS($AO$1006:BO1006),$AO$1006:$BQ$1006,0)))),"Fix")))</f>
        <v>#N/A</v>
      </c>
      <c r="AC48" s="5" t="e">
        <f ca="1">IF(OR(INDEX($AI$2:$AI$1001,MATCH(ROWS($AH$2:AH48),$AH$2:$AH$1001,0),1)&gt;=100000,INDEX($AO$1005:$BQ$1005,1,MATCH(COLUMNS($AO$1006:BP1006),$AO$1006:$BQ$1006,0))&gt;=100000), " ",IF(INDEX($AO$2:$BQ$1001,MATCH(ROWS($AH$2:AH48),$AH$2:$AH$1001,0),MATCH(COLUMNS($AO$1006:BP1006),$AO$1006:$BQ$1006,0)), HYPERLINK("#",""), HYPERLINK(CONCATENATE("#Metadata!", ADDRESS(INDEX($AJ$2:$AJ$1001,MATCH(ROWS($AH$2:AH48),$AH$2:$AH$1001,0),0), INDEX($AO$1004:$BQ$1004,1,MATCH(COLUMNS($AO$1006:BP1006),$AO$1006:$BQ$1006,0)))),"Fix")))</f>
        <v>#N/A</v>
      </c>
      <c r="AD48" s="5" t="e">
        <f ca="1">IF(OR(INDEX($AI$2:$AI$1001,MATCH(ROWS($AH$2:AH48),$AH$2:$AH$1001,0),1)&gt;=100000,INDEX($AO$1005:$BQ$1005,1,MATCH(COLUMNS($AO$1006:BQ1006),$AO$1006:$BQ$1006,0))&gt;=100000), " ",IF(INDEX($AO$2:$BQ$1001,MATCH(ROWS($AH$2:AH48),$AH$2:$AH$1001,0),MATCH(COLUMNS($AO$1006:BQ1006),$AO$1006:$BQ$1006,0)), HYPERLINK("#",""), HYPERLINK(CONCATENATE("#Metadata!", ADDRESS(INDEX($AJ$2:$AJ$1001,MATCH(ROWS($AH$2:AH48),$AH$2:$AH$1001,0),0), INDEX($AO$1004:$BQ$1004,1,MATCH(COLUMNS($AO$1006:BQ1006),$AO$1006:$BQ$1006,0)))),"Fix")))</f>
        <v>#REF!</v>
      </c>
      <c r="AH48">
        <f ca="1"/>
        <v>45</v>
      </c>
      <c r="AI48">
        <f ca="1"/>
        <v>48</v>
      </c>
      <c r="AJ48">
        <v>48</v>
      </c>
      <c r="AK48" t="b">
        <f t="shared" ca="1" si="0"/>
        <v>0</v>
      </c>
      <c r="AL48" t="b">
        <f>COUNTBLANK(Metadata!B48:AD48)=COLUMNS(Metadata!B48:AD48)</f>
        <v>0</v>
      </c>
      <c r="AM48" t="str">
        <v>Environment.Lake.water.BTP.137Side.1</v>
      </c>
      <c r="AO48" t="b">
        <f ca="1">AND(IF(Metadata!B47="",FALSE,TRUE),COUNTIF(Metadata!B:B, Metadata!B47) = 1,NOT(ISERROR(SUMPRODUCT(SEARCH(MID(Metadata!B47,ROW(INDIRECT("1:"&amp;LEN(Metadata!B47))), 1),"0123456789abcdefghijklmnopqrstuvwxyzABCDEFGHIJKLMNOPQRSTUVWXYZ.")))))</f>
        <v>1</v>
      </c>
      <c r="AP48" t="b">
        <f>IF(Metadata!C47="",FALSE,TRUE)</f>
        <v>1</v>
      </c>
      <c r="AQ48" t="b">
        <f>IF(Metadata!D47="",FALSE,TRUE)</f>
        <v>1</v>
      </c>
      <c r="AR48" t="b">
        <f ca="1">OR(AND(IF(Metadata!E47="",FALSE,TRUE),OR(EXACT(Metadata!E47,"not collected"),EXACT(Metadata!E47,"not provided"),EXACT(Metadata!E47,"restricted access"))),AND(IF(Metadata!E47="",FALSE,TRUE),AND(AND(IFERROR(INT(LEFT(Metadata!E47,4))&gt;1900,FALSE),IFERROR(INT(LEFT(Metadata!E47,4))&lt;=YEAR(NOW()),FALSE)), OR(MID(Metadata!E47,5,1)="", AND(AND(MID(Metadata!E47,5,1)="-",IFERROR(INT(MID(Metadata!E47,6,1))&gt;=0,FALSE),IFERROR(INT(MID(Metadata!E47,6,1))&lt;=1,FALSE),NOT(MID(Metadata!E47,7,1)=""),IFERROR(INT(MID(Metadata!E47,6,2))&gt;=1,FALSE),IFERROR(INT(MID(Metadata!E47,6,2))&lt;=12,FALSE)), OR(MID(Metadata!E47,8,1)="", AND(AND(MID(Metadata!E47,8,1)="-",IFERROR(INT(MID(Metadata!E47,9,1))&gt;=0,FALSE),IFERROR(INT(MID(Metadata!E47,9,1))&lt;=3,FALSE),NOT(MID(Metadata!E47,10,1)=""),IFERROR(INT(MID(Metadata!E47,9,2))&gt;=1,FALSE),IFERROR(INT(MID(Metadata!E47,9,2))&lt;=31,FALSE)), OR(MID(Metadata!E47,11,1)="", AND(AND(MID(Metadata!E47,11,1)=" ",IFERROR(INT(MID(Metadata!E47,12,1))&gt;=0,FALSE),IFERROR(INT(MID(Metadata!E47,12,1))&lt;=2,FALSE),NOT(MID(Metadata!E47,13,1)=""),IFERROR(INT(MID(Metadata!E47,12,2))&gt;=0,FALSE),IFERROR(INT(MID(Metadata!E47,12,2))&lt;=23,FALSE)), OR(MID(Metadata!E47,14,1)="", AND(AND(MID(Metadata!E47,14,1)=":",IFERROR(INT(MID(Metadata!E47,15,1))&gt;=0,FALSE),IFERROR(INT(MID(Metadata!E47,15,1))&lt;=5,FALSE),NOT(MID(Metadata!E47,16,1)=""),IFERROR(INT(MID(Metadata!E47,15,2))&gt;=0,FALSE),IFERROR(INT(MID(Metadata!E47,15,2))&lt;=59,FALSE)), OR(MID(Metadata!E47,17,1)="", AND(AND(MID(Metadata!E47,17,1)=":",IFERROR(INT(MID(Metadata!E47,18,1))&gt;=0,FALSE),IFERROR(INT(MID(Metadata!E47,18,1))&lt;=5,FALSE),NOT(MID(Metadata!E47,19,1)=""),IFERROR(INT(MID(Metadata!E47,18,2))&gt;=0,FALSE),IFERROR(INT(MID(Metadata!E47,18,2))&lt;=59,FALSE)), LEN(Metadata!E47)&lt;=19)))))))))))))</f>
        <v>1</v>
      </c>
      <c r="AS48" t="b">
        <f>IF(Metadata!F47="",FALSE,TRUE)</f>
        <v>1</v>
      </c>
      <c r="AT48" t="b">
        <f>OR(AND(IF(Metadata!G47="",FALSE,TRUE),OR(EXACT(Metadata!G47,"not collected"),EXACT(Metadata!G47,"not provided"))),AND(IF(Metadata!G47="",FALSE,TRUE),OR(EXACT(Metadata!G47,"TRUE"),EXACT(Metadata!G47,"FALSE"))))</f>
        <v>1</v>
      </c>
      <c r="AU48" t="b">
        <f>OR(AND(IF(Metadata!H47="",FALSE,TRUE),OR(EXACT(Metadata!H47,"not collected"),EXACT(Metadata!H47,"not provided"),EXACT(Metadata!H47,"restricted access"))),AND(IF(Metadata!H47="",FALSE,ISNUMBER(VALUE(Metadata!H47))),Metadata!H47&gt;=-413))</f>
        <v>0</v>
      </c>
      <c r="AV48" t="b">
        <f>AND(IF(Metadata!I47="",FALSE,TRUE),EXACT(Metadata!I47,"meters"))</f>
        <v>1</v>
      </c>
      <c r="AW48" t="b">
        <f>AND(IF(Metadata!J47="",FALSE,TRUE),EXACT(Metadata!J47,"free-living"))</f>
        <v>1</v>
      </c>
      <c r="AX48" t="b">
        <f>AND(IF(Metadata!K47="",FALSE,TRUE),OR(EXACT(Metadata!K47,"saline"),EXACT(Metadata!K47,"non-saline")))</f>
        <v>1</v>
      </c>
      <c r="AY48" t="b">
        <f>AND(IF(Metadata!L47="",FALSE,TRUE),OR(EXACT(Metadata!L47,"sub-surface (non-saline)"),EXACT(Metadata!L47,"surface (non-saline)"),EXACT(Metadata!L47,"water (non-saline)"),EXACT(Metadata!L47,"soil (non-saline)"),EXACT(Metadata!L47,"aerosol (non-saline)"),EXACT(Metadata!L47,"sediment (non-saline)"),EXACT(Metadata!L47,"surface (saline)"),EXACT(Metadata!L47,"water (saline)"),EXACT(Metadata!L47,"hypersaline (saline)"),EXACT(Metadata!L47,"aerosol (saline)"),EXACT(Metadata!L47,"sediment (saline)")))</f>
        <v>1</v>
      </c>
      <c r="AZ48" t="b">
        <f>IF(Metadata!M47="",FALSE,TRUE)</f>
        <v>1</v>
      </c>
      <c r="BA48" t="b">
        <f>IF(Metadata!N47="",FALSE,TRUE)</f>
        <v>1</v>
      </c>
      <c r="BB48" t="b">
        <f>IF(Metadata!O47="",FALSE,TRUE)</f>
        <v>1</v>
      </c>
      <c r="BC48" t="b">
        <f>AND(IF(Metadata!P47="",FALSE,TRUE),OR(EXACT(Metadata!P47,"air"),EXACT(Metadata!P47,"microbial mat/biofilm"),EXACT(Metadata!P47,"misc environment"),EXACT(Metadata!P47,"sediment"),EXACT(Metadata!P47,"soil"),EXACT(Metadata!P47,"wastewater/sludge"),EXACT(Metadata!P47,"water")))</f>
        <v>1</v>
      </c>
      <c r="BD48" t="b">
        <f>IF(Metadata!Q47="",FALSE,TRUE)</f>
        <v>1</v>
      </c>
      <c r="BE48" t="b">
        <f>IF(Metadata!R47="",FALSE,TRUE)</f>
        <v>1</v>
      </c>
      <c r="BF48" t="b">
        <f>OR(AND(IF(Metadata!S47="",FALSE,TRUE),OR(EXACT(Metadata!S47,"not collected"),EXACT(Metadata!S47,"not provided"),EXACT(Metadata!S47,"restricted access"))),AND(IF(Metadata!S47="",FALSE,ISNUMBER(VALUE(Metadata!S47))),Metadata!S47&gt;=-90,Metadata!S47&lt;=90))</f>
        <v>0</v>
      </c>
      <c r="BG48" t="b">
        <f>AND(IF(Metadata!T47="",FALSE,TRUE),EXACT(Metadata!T47,"Decimal degrees"))</f>
        <v>1</v>
      </c>
      <c r="BH48" t="b">
        <f>OR(AND(IF(Metadata!U47="",FALSE,TRUE),OR(EXACT(Metadata!U47,"not applicable"),EXACT(Metadata!U47,"not collected"))),IF(Metadata!U47="",FALSE,TRUE))</f>
        <v>1</v>
      </c>
      <c r="BI48" t="b">
        <f>OR(AND(IF(Metadata!V47="",FALSE,TRUE),OR(EXACT(Metadata!V47,"not collected"),EXACT(Metadata!V47,"not provided"),EXACT(Metadata!V47,"restricted access"))),AND(IF(Metadata!V47="",FALSE,ISNUMBER(VALUE(Metadata!V47))),Metadata!V47&gt;=-180,Metadata!V47&lt;=180))</f>
        <v>0</v>
      </c>
      <c r="BJ48" t="b">
        <f>AND(IF(Metadata!W47="",FALSE,TRUE),EXACT(Metadata!W47,"Decimal degrees"))</f>
        <v>1</v>
      </c>
      <c r="BK48" t="b">
        <f>IF(Metadata!X47="",FALSE,TRUE)</f>
        <v>1</v>
      </c>
      <c r="BL48" t="b">
        <f>OR(AND(IF(Metadata!Y47="",FALSE,TRUE),OR(EXACT(Metadata!Y47,"not collected"),EXACT(Metadata!Y47,"not provided"),EXACT(Metadata!Y47,"restricted access"))),AND(IF(Metadata!Y47="",FALSE,TRUE),OR(EXACT(Metadata!Y47,"TRUE"),EXACT(Metadata!Y47,"FALSE"))))</f>
        <v>1</v>
      </c>
      <c r="BM48" t="b">
        <f>OR(AND(IF(Metadata!Z47="",FALSE,TRUE),EXACT(Metadata!Z47,"not applicable")),AND(IF(Metadata!Z47="",FALSE,TRUE),OR(EXACT(Metadata!Z47,"beer"),EXACT(Metadata!Z47,"cheese"),EXACT(Metadata!Z47,"fresh water"),EXACT(Metadata!Z47,"marine sediment"),EXACT(Metadata!Z47,"sea water"),EXACT(Metadata!Z47,"sediment"),EXACT(Metadata!Z47,"soil"),EXACT(Metadata!Z47,"waste water"))))</f>
        <v>1</v>
      </c>
      <c r="BN48" t="b">
        <f>AND(IF(Metadata!AA47="",FALSE,TRUE),EXACT(Metadata!AA47,"metagenome"))</f>
        <v>1</v>
      </c>
      <c r="BO48" t="b">
        <f>AND(IF(Metadata!AB47="",FALSE,TRUE),EXACT(Metadata!AB47,"256318"))</f>
        <v>1</v>
      </c>
      <c r="BP48" t="b">
        <f>IF(Metadata!AC47="",FALSE,TRUE)</f>
        <v>1</v>
      </c>
      <c r="BQ48" t="b">
        <f>IF(Metadata!AD47="",FALSE,TRUE)</f>
        <v>1</v>
      </c>
    </row>
    <row r="49" spans="1:69" x14ac:dyDescent="0.2">
      <c r="A49" s="4" t="e">
        <f ca="1">IF(B49=" "," ",HYPERLINK(CONCATENATE("#metadata!",ADDRESS(INDEX($AJ$2:$AJ$1001,MATCH(ROWS($AH$2:AH49),$AH$2:$AH$1001,0),0),2)),INDEX($AM$2:$AM$1001,MATCH(ROWS($AH$2:AH49),$AH$2:$AH$1001,0),0)))</f>
        <v>#N/A</v>
      </c>
      <c r="B49" s="5" t="e">
        <f ca="1">IF(OR(INDEX($AI$2:$AI$1001,MATCH(ROWS($AH$2:AH49),$AH$2:$AH$1001,0),1)&gt;=100000,INDEX($AO$1005:$BQ$1005,1,MATCH(COLUMNS($AO$1006:AO1006),$AO$1006:$BQ$1006,0))&gt;=100000), " ",IF(INDEX($AO$2:$BQ$1001,MATCH(ROWS($AH$2:AH49),$AH$2:$AH$1001,0),MATCH(COLUMNS($AO$1006:AO1006),$AO$1006:$BQ$1006,0)), HYPERLINK("#",""), HYPERLINK(CONCATENATE("#Metadata!", ADDRESS(INDEX($AJ$2:$AJ$1001,MATCH(ROWS($AH$2:AH49),$AH$2:$AH$1001,0),0), INDEX($AO$1004:$BQ$1004,1,MATCH(COLUMNS($AO$1006:AO1006),$AO$1006:$BQ$1006,0)))),"Fix")))</f>
        <v>#N/A</v>
      </c>
      <c r="C49" s="5" t="e">
        <f ca="1">IF(OR(INDEX($AI$2:$AI$1001,MATCH(ROWS($AH$2:AH49),$AH$2:$AH$1001,0),1)&gt;=100000,INDEX($AO$1005:$BQ$1005,1,MATCH(COLUMNS($AO$1006:AP1006),$AO$1006:$BQ$1006,0))&gt;=100000), " ",IF(INDEX($AO$2:$BQ$1001,MATCH(ROWS($AH$2:AH49),$AH$2:$AH$1001,0),MATCH(COLUMNS($AO$1006:AP1006),$AO$1006:$BQ$1006,0)), HYPERLINK("#",""), HYPERLINK(CONCATENATE("#Metadata!", ADDRESS(INDEX($AJ$2:$AJ$1001,MATCH(ROWS($AH$2:AH49),$AH$2:$AH$1001,0),0), INDEX($AO$1004:$BQ$1004,1,MATCH(COLUMNS($AO$1006:AP1006),$AO$1006:$BQ$1006,0)))),"Fix")))</f>
        <v>#N/A</v>
      </c>
      <c r="D49" s="5" t="e">
        <f ca="1">IF(OR(INDEX($AI$2:$AI$1001,MATCH(ROWS($AH$2:AH49),$AH$2:$AH$1001,0),1)&gt;=100000,INDEX($AO$1005:$BQ$1005,1,MATCH(COLUMNS($AO$1006:AQ1006),$AO$1006:$BQ$1006,0))&gt;=100000), " ",IF(INDEX($AO$2:$BQ$1001,MATCH(ROWS($AH$2:AH49),$AH$2:$AH$1001,0),MATCH(COLUMNS($AO$1006:AQ1006),$AO$1006:$BQ$1006,0)), HYPERLINK("#",""), HYPERLINK(CONCATENATE("#Metadata!", ADDRESS(INDEX($AJ$2:$AJ$1001,MATCH(ROWS($AH$2:AH49),$AH$2:$AH$1001,0),0), INDEX($AO$1004:$BQ$1004,1,MATCH(COLUMNS($AO$1006:AQ1006),$AO$1006:$BQ$1006,0)))),"Fix")))</f>
        <v>#N/A</v>
      </c>
      <c r="E49" s="5" t="e">
        <f ca="1">IF(OR(INDEX($AI$2:$AI$1001,MATCH(ROWS($AH$2:AH49),$AH$2:$AH$1001,0),1)&gt;=100000,INDEX($AO$1005:$BQ$1005,1,MATCH(COLUMNS($AO$1006:AR1006),$AO$1006:$BQ$1006,0))&gt;=100000), " ",IF(INDEX($AO$2:$BQ$1001,MATCH(ROWS($AH$2:AH49),$AH$2:$AH$1001,0),MATCH(COLUMNS($AO$1006:AR1006),$AO$1006:$BQ$1006,0)), HYPERLINK("#",""), HYPERLINK(CONCATENATE("#Metadata!", ADDRESS(INDEX($AJ$2:$AJ$1001,MATCH(ROWS($AH$2:AH49),$AH$2:$AH$1001,0),0), INDEX($AO$1004:$BQ$1004,1,MATCH(COLUMNS($AO$1006:AR1006),$AO$1006:$BQ$1006,0)))),"Fix")))</f>
        <v>#N/A</v>
      </c>
      <c r="F49" s="5" t="e">
        <f ca="1">IF(OR(INDEX($AI$2:$AI$1001,MATCH(ROWS($AH$2:AH49),$AH$2:$AH$1001,0),1)&gt;=100000,INDEX($AO$1005:$BQ$1005,1,MATCH(COLUMNS($AO$1006:AS1006),$AO$1006:$BQ$1006,0))&gt;=100000), " ",IF(INDEX($AO$2:$BQ$1001,MATCH(ROWS($AH$2:AH49),$AH$2:$AH$1001,0),MATCH(COLUMNS($AO$1006:AS1006),$AO$1006:$BQ$1006,0)), HYPERLINK("#",""), HYPERLINK(CONCATENATE("#Metadata!", ADDRESS(INDEX($AJ$2:$AJ$1001,MATCH(ROWS($AH$2:AH49),$AH$2:$AH$1001,0),0), INDEX($AO$1004:$BQ$1004,1,MATCH(COLUMNS($AO$1006:AS1006),$AO$1006:$BQ$1006,0)))),"Fix")))</f>
        <v>#N/A</v>
      </c>
      <c r="G49" s="5" t="e">
        <f ca="1">IF(OR(INDEX($AI$2:$AI$1001,MATCH(ROWS($AH$2:AH49),$AH$2:$AH$1001,0),1)&gt;=100000,INDEX($AO$1005:$BQ$1005,1,MATCH(COLUMNS($AO$1006:AT1006),$AO$1006:$BQ$1006,0))&gt;=100000), " ",IF(INDEX($AO$2:$BQ$1001,MATCH(ROWS($AH$2:AH49),$AH$2:$AH$1001,0),MATCH(COLUMNS($AO$1006:AT1006),$AO$1006:$BQ$1006,0)), HYPERLINK("#",""), HYPERLINK(CONCATENATE("#Metadata!", ADDRESS(INDEX($AJ$2:$AJ$1001,MATCH(ROWS($AH$2:AH49),$AH$2:$AH$1001,0),0), INDEX($AO$1004:$BQ$1004,1,MATCH(COLUMNS($AO$1006:AT1006),$AO$1006:$BQ$1006,0)))),"Fix")))</f>
        <v>#N/A</v>
      </c>
      <c r="H49" s="5" t="e">
        <f ca="1">IF(OR(INDEX($AI$2:$AI$1001,MATCH(ROWS($AH$2:AH49),$AH$2:$AH$1001,0),1)&gt;=100000,INDEX($AO$1005:$BQ$1005,1,MATCH(COLUMNS($AO$1006:AU1006),$AO$1006:$BQ$1006,0))&gt;=100000), " ",IF(INDEX($AO$2:$BQ$1001,MATCH(ROWS($AH$2:AH49),$AH$2:$AH$1001,0),MATCH(COLUMNS($AO$1006:AU1006),$AO$1006:$BQ$1006,0)), HYPERLINK("#",""), HYPERLINK(CONCATENATE("#Metadata!", ADDRESS(INDEX($AJ$2:$AJ$1001,MATCH(ROWS($AH$2:AH49),$AH$2:$AH$1001,0),0), INDEX($AO$1004:$BQ$1004,1,MATCH(COLUMNS($AO$1006:AU1006),$AO$1006:$BQ$1006,0)))),"Fix")))</f>
        <v>#N/A</v>
      </c>
      <c r="I49" s="5" t="e">
        <f ca="1">IF(OR(INDEX($AI$2:$AI$1001,MATCH(ROWS($AH$2:AH49),$AH$2:$AH$1001,0),1)&gt;=100000,INDEX($AO$1005:$BQ$1005,1,MATCH(COLUMNS($AO$1006:AV1006),$AO$1006:$BQ$1006,0))&gt;=100000), " ",IF(INDEX($AO$2:$BQ$1001,MATCH(ROWS($AH$2:AH49),$AH$2:$AH$1001,0),MATCH(COLUMNS($AO$1006:AV1006),$AO$1006:$BQ$1006,0)), HYPERLINK("#",""), HYPERLINK(CONCATENATE("#Metadata!", ADDRESS(INDEX($AJ$2:$AJ$1001,MATCH(ROWS($AH$2:AH49),$AH$2:$AH$1001,0),0), INDEX($AO$1004:$BQ$1004,1,MATCH(COLUMNS($AO$1006:AV1006),$AO$1006:$BQ$1006,0)))),"Fix")))</f>
        <v>#N/A</v>
      </c>
      <c r="J49" s="5" t="e">
        <f ca="1">IF(OR(INDEX($AI$2:$AI$1001,MATCH(ROWS($AH$2:AH49),$AH$2:$AH$1001,0),1)&gt;=100000,INDEX($AO$1005:$BQ$1005,1,MATCH(COLUMNS($AO$1006:AW1006),$AO$1006:$BQ$1006,0))&gt;=100000), " ",IF(INDEX($AO$2:$BQ$1001,MATCH(ROWS($AH$2:AH49),$AH$2:$AH$1001,0),MATCH(COLUMNS($AO$1006:AW1006),$AO$1006:$BQ$1006,0)), HYPERLINK("#",""), HYPERLINK(CONCATENATE("#Metadata!", ADDRESS(INDEX($AJ$2:$AJ$1001,MATCH(ROWS($AH$2:AH49),$AH$2:$AH$1001,0),0), INDEX($AO$1004:$BQ$1004,1,MATCH(COLUMNS($AO$1006:AW1006),$AO$1006:$BQ$1006,0)))),"Fix")))</f>
        <v>#N/A</v>
      </c>
      <c r="K49" s="5" t="e">
        <f ca="1">IF(OR(INDEX($AI$2:$AI$1001,MATCH(ROWS($AH$2:AH49),$AH$2:$AH$1001,0),1)&gt;=100000,INDEX($AO$1005:$BQ$1005,1,MATCH(COLUMNS($AO$1006:AX1006),$AO$1006:$BQ$1006,0))&gt;=100000), " ",IF(INDEX($AO$2:$BQ$1001,MATCH(ROWS($AH$2:AH49),$AH$2:$AH$1001,0),MATCH(COLUMNS($AO$1006:AX1006),$AO$1006:$BQ$1006,0)), HYPERLINK("#",""), HYPERLINK(CONCATENATE("#Metadata!", ADDRESS(INDEX($AJ$2:$AJ$1001,MATCH(ROWS($AH$2:AH49),$AH$2:$AH$1001,0),0), INDEX($AO$1004:$BQ$1004,1,MATCH(COLUMNS($AO$1006:AX1006),$AO$1006:$BQ$1006,0)))),"Fix")))</f>
        <v>#N/A</v>
      </c>
      <c r="L49" s="5" t="e">
        <f ca="1">IF(OR(INDEX($AI$2:$AI$1001,MATCH(ROWS($AH$2:AH49),$AH$2:$AH$1001,0),1)&gt;=100000,INDEX($AO$1005:$BQ$1005,1,MATCH(COLUMNS($AO$1006:AY1006),$AO$1006:$BQ$1006,0))&gt;=100000), " ",IF(INDEX($AO$2:$BQ$1001,MATCH(ROWS($AH$2:AH49),$AH$2:$AH$1001,0),MATCH(COLUMNS($AO$1006:AY1006),$AO$1006:$BQ$1006,0)), HYPERLINK("#",""), HYPERLINK(CONCATENATE("#Metadata!", ADDRESS(INDEX($AJ$2:$AJ$1001,MATCH(ROWS($AH$2:AH49),$AH$2:$AH$1001,0),0), INDEX($AO$1004:$BQ$1004,1,MATCH(COLUMNS($AO$1006:AY1006),$AO$1006:$BQ$1006,0)))),"Fix")))</f>
        <v>#N/A</v>
      </c>
      <c r="M49" s="5" t="e">
        <f ca="1">IF(OR(INDEX($AI$2:$AI$1001,MATCH(ROWS($AH$2:AH49),$AH$2:$AH$1001,0),1)&gt;=100000,INDEX($AO$1005:$BQ$1005,1,MATCH(COLUMNS($AO$1006:AZ1006),$AO$1006:$BQ$1006,0))&gt;=100000), " ",IF(INDEX($AO$2:$BQ$1001,MATCH(ROWS($AH$2:AH49),$AH$2:$AH$1001,0),MATCH(COLUMNS($AO$1006:AZ1006),$AO$1006:$BQ$1006,0)), HYPERLINK("#",""), HYPERLINK(CONCATENATE("#Metadata!", ADDRESS(INDEX($AJ$2:$AJ$1001,MATCH(ROWS($AH$2:AH49),$AH$2:$AH$1001,0),0), INDEX($AO$1004:$BQ$1004,1,MATCH(COLUMNS($AO$1006:AZ1006),$AO$1006:$BQ$1006,0)))),"Fix")))</f>
        <v>#N/A</v>
      </c>
      <c r="N49" s="5" t="e">
        <f ca="1">IF(OR(INDEX($AI$2:$AI$1001,MATCH(ROWS($AH$2:AH49),$AH$2:$AH$1001,0),1)&gt;=100000,INDEX($AO$1005:$BQ$1005,1,MATCH(COLUMNS($AO$1006:BA1006),$AO$1006:$BQ$1006,0))&gt;=100000), " ",IF(INDEX($AO$2:$BQ$1001,MATCH(ROWS($AH$2:AH49),$AH$2:$AH$1001,0),MATCH(COLUMNS($AO$1006:BA1006),$AO$1006:$BQ$1006,0)), HYPERLINK("#",""), HYPERLINK(CONCATENATE("#Metadata!", ADDRESS(INDEX($AJ$2:$AJ$1001,MATCH(ROWS($AH$2:AH49),$AH$2:$AH$1001,0),0), INDEX($AO$1004:$BQ$1004,1,MATCH(COLUMNS($AO$1006:BA1006),$AO$1006:$BQ$1006,0)))),"Fix")))</f>
        <v>#N/A</v>
      </c>
      <c r="O49" s="5" t="e">
        <f ca="1">IF(OR(INDEX($AI$2:$AI$1001,MATCH(ROWS($AH$2:AH49),$AH$2:$AH$1001,0),1)&gt;=100000,INDEX($AO$1005:$BQ$1005,1,MATCH(COLUMNS($AO$1006:BB1006),$AO$1006:$BQ$1006,0))&gt;=100000), " ",IF(INDEX($AO$2:$BQ$1001,MATCH(ROWS($AH$2:AH49),$AH$2:$AH$1001,0),MATCH(COLUMNS($AO$1006:BB1006),$AO$1006:$BQ$1006,0)), HYPERLINK("#",""), HYPERLINK(CONCATENATE("#Metadata!", ADDRESS(INDEX($AJ$2:$AJ$1001,MATCH(ROWS($AH$2:AH49),$AH$2:$AH$1001,0),0), INDEX($AO$1004:$BQ$1004,1,MATCH(COLUMNS($AO$1006:BB1006),$AO$1006:$BQ$1006,0)))),"Fix")))</f>
        <v>#N/A</v>
      </c>
      <c r="P49" s="5" t="e">
        <f ca="1">IF(OR(INDEX($AI$2:$AI$1001,MATCH(ROWS($AH$2:AH49),$AH$2:$AH$1001,0),1)&gt;=100000,INDEX($AO$1005:$BQ$1005,1,MATCH(COLUMNS($AO$1006:BC1006),$AO$1006:$BQ$1006,0))&gt;=100000), " ",IF(INDEX($AO$2:$BQ$1001,MATCH(ROWS($AH$2:AH49),$AH$2:$AH$1001,0),MATCH(COLUMNS($AO$1006:BC1006),$AO$1006:$BQ$1006,0)), HYPERLINK("#",""), HYPERLINK(CONCATENATE("#Metadata!", ADDRESS(INDEX($AJ$2:$AJ$1001,MATCH(ROWS($AH$2:AH49),$AH$2:$AH$1001,0),0), INDEX($AO$1004:$BQ$1004,1,MATCH(COLUMNS($AO$1006:BC1006),$AO$1006:$BQ$1006,0)))),"Fix")))</f>
        <v>#N/A</v>
      </c>
      <c r="Q49" s="5" t="e">
        <f ca="1">IF(OR(INDEX($AI$2:$AI$1001,MATCH(ROWS($AH$2:AH49),$AH$2:$AH$1001,0),1)&gt;=100000,INDEX($AO$1005:$BQ$1005,1,MATCH(COLUMNS($AO$1006:BD1006),$AO$1006:$BQ$1006,0))&gt;=100000), " ",IF(INDEX($AO$2:$BQ$1001,MATCH(ROWS($AH$2:AH49),$AH$2:$AH$1001,0),MATCH(COLUMNS($AO$1006:BD1006),$AO$1006:$BQ$1006,0)), HYPERLINK("#",""), HYPERLINK(CONCATENATE("#Metadata!", ADDRESS(INDEX($AJ$2:$AJ$1001,MATCH(ROWS($AH$2:AH49),$AH$2:$AH$1001,0),0), INDEX($AO$1004:$BQ$1004,1,MATCH(COLUMNS($AO$1006:BD1006),$AO$1006:$BQ$1006,0)))),"Fix")))</f>
        <v>#N/A</v>
      </c>
      <c r="R49" s="5" t="e">
        <f ca="1">IF(OR(INDEX($AI$2:$AI$1001,MATCH(ROWS($AH$2:AH49),$AH$2:$AH$1001,0),1)&gt;=100000,INDEX($AO$1005:$BQ$1005,1,MATCH(COLUMNS($AO$1006:BE1006),$AO$1006:$BQ$1006,0))&gt;=100000), " ",IF(INDEX($AO$2:$BQ$1001,MATCH(ROWS($AH$2:AH49),$AH$2:$AH$1001,0),MATCH(COLUMNS($AO$1006:BE1006),$AO$1006:$BQ$1006,0)), HYPERLINK("#",""), HYPERLINK(CONCATENATE("#Metadata!", ADDRESS(INDEX($AJ$2:$AJ$1001,MATCH(ROWS($AH$2:AH49),$AH$2:$AH$1001,0),0), INDEX($AO$1004:$BQ$1004,1,MATCH(COLUMNS($AO$1006:BE1006),$AO$1006:$BQ$1006,0)))),"Fix")))</f>
        <v>#N/A</v>
      </c>
      <c r="S49" s="5" t="e">
        <f ca="1">IF(OR(INDEX($AI$2:$AI$1001,MATCH(ROWS($AH$2:AH49),$AH$2:$AH$1001,0),1)&gt;=100000,INDEX($AO$1005:$BQ$1005,1,MATCH(COLUMNS($AO$1006:BF1006),$AO$1006:$BQ$1006,0))&gt;=100000), " ",IF(INDEX($AO$2:$BQ$1001,MATCH(ROWS($AH$2:AH49),$AH$2:$AH$1001,0),MATCH(COLUMNS($AO$1006:BF1006),$AO$1006:$BQ$1006,0)), HYPERLINK("#",""), HYPERLINK(CONCATENATE("#Metadata!", ADDRESS(INDEX($AJ$2:$AJ$1001,MATCH(ROWS($AH$2:AH49),$AH$2:$AH$1001,0),0), INDEX($AO$1004:$BQ$1004,1,MATCH(COLUMNS($AO$1006:BF1006),$AO$1006:$BQ$1006,0)))),"Fix")))</f>
        <v>#N/A</v>
      </c>
      <c r="T49" s="5" t="e">
        <f ca="1">IF(OR(INDEX($AI$2:$AI$1001,MATCH(ROWS($AH$2:AH49),$AH$2:$AH$1001,0),1)&gt;=100000,INDEX($AO$1005:$BQ$1005,1,MATCH(COLUMNS($AO$1006:BG1006),$AO$1006:$BQ$1006,0))&gt;=100000), " ",IF(INDEX($AO$2:$BQ$1001,MATCH(ROWS($AH$2:AH49),$AH$2:$AH$1001,0),MATCH(COLUMNS($AO$1006:BG1006),$AO$1006:$BQ$1006,0)), HYPERLINK("#",""), HYPERLINK(CONCATENATE("#Metadata!", ADDRESS(INDEX($AJ$2:$AJ$1001,MATCH(ROWS($AH$2:AH49),$AH$2:$AH$1001,0),0), INDEX($AO$1004:$BQ$1004,1,MATCH(COLUMNS($AO$1006:BG1006),$AO$1006:$BQ$1006,0)))),"Fix")))</f>
        <v>#N/A</v>
      </c>
      <c r="U49" s="5" t="e">
        <f ca="1">IF(OR(INDEX($AI$2:$AI$1001,MATCH(ROWS($AH$2:AH49),$AH$2:$AH$1001,0),1)&gt;=100000,INDEX($AO$1005:$BQ$1005,1,MATCH(COLUMNS($AO$1006:BH1006),$AO$1006:$BQ$1006,0))&gt;=100000), " ",IF(INDEX($AO$2:$BQ$1001,MATCH(ROWS($AH$2:AH49),$AH$2:$AH$1001,0),MATCH(COLUMNS($AO$1006:BH1006),$AO$1006:$BQ$1006,0)), HYPERLINK("#",""), HYPERLINK(CONCATENATE("#Metadata!", ADDRESS(INDEX($AJ$2:$AJ$1001,MATCH(ROWS($AH$2:AH49),$AH$2:$AH$1001,0),0), INDEX($AO$1004:$BQ$1004,1,MATCH(COLUMNS($AO$1006:BH1006),$AO$1006:$BQ$1006,0)))),"Fix")))</f>
        <v>#N/A</v>
      </c>
      <c r="V49" s="5" t="e">
        <f ca="1">IF(OR(INDEX($AI$2:$AI$1001,MATCH(ROWS($AH$2:AH49),$AH$2:$AH$1001,0),1)&gt;=100000,INDEX($AO$1005:$BQ$1005,1,MATCH(COLUMNS($AO$1006:BI1006),$AO$1006:$BQ$1006,0))&gt;=100000), " ",IF(INDEX($AO$2:$BQ$1001,MATCH(ROWS($AH$2:AH49),$AH$2:$AH$1001,0),MATCH(COLUMNS($AO$1006:BI1006),$AO$1006:$BQ$1006,0)), HYPERLINK("#",""), HYPERLINK(CONCATENATE("#Metadata!", ADDRESS(INDEX($AJ$2:$AJ$1001,MATCH(ROWS($AH$2:AH49),$AH$2:$AH$1001,0),0), INDEX($AO$1004:$BQ$1004,1,MATCH(COLUMNS($AO$1006:BI1006),$AO$1006:$BQ$1006,0)))),"Fix")))</f>
        <v>#N/A</v>
      </c>
      <c r="W49" s="5" t="e">
        <f ca="1">IF(OR(INDEX($AI$2:$AI$1001,MATCH(ROWS($AH$2:AH49),$AH$2:$AH$1001,0),1)&gt;=100000,INDEX($AO$1005:$BQ$1005,1,MATCH(COLUMNS($AO$1006:BJ1006),$AO$1006:$BQ$1006,0))&gt;=100000), " ",IF(INDEX($AO$2:$BQ$1001,MATCH(ROWS($AH$2:AH49),$AH$2:$AH$1001,0),MATCH(COLUMNS($AO$1006:BJ1006),$AO$1006:$BQ$1006,0)), HYPERLINK("#",""), HYPERLINK(CONCATENATE("#Metadata!", ADDRESS(INDEX($AJ$2:$AJ$1001,MATCH(ROWS($AH$2:AH49),$AH$2:$AH$1001,0),0), INDEX($AO$1004:$BQ$1004,1,MATCH(COLUMNS($AO$1006:BJ1006),$AO$1006:$BQ$1006,0)))),"Fix")))</f>
        <v>#N/A</v>
      </c>
      <c r="X49" s="5" t="e">
        <f ca="1">IF(OR(INDEX($AI$2:$AI$1001,MATCH(ROWS($AH$2:AH49),$AH$2:$AH$1001,0),1)&gt;=100000,INDEX($AO$1005:$BQ$1005,1,MATCH(COLUMNS($AO$1006:BK1006),$AO$1006:$BQ$1006,0))&gt;=100000), " ",IF(INDEX($AO$2:$BQ$1001,MATCH(ROWS($AH$2:AH49),$AH$2:$AH$1001,0),MATCH(COLUMNS($AO$1006:BK1006),$AO$1006:$BQ$1006,0)), HYPERLINK("#",""), HYPERLINK(CONCATENATE("#Metadata!", ADDRESS(INDEX($AJ$2:$AJ$1001,MATCH(ROWS($AH$2:AH49),$AH$2:$AH$1001,0),0), INDEX($AO$1004:$BQ$1004,1,MATCH(COLUMNS($AO$1006:BK1006),$AO$1006:$BQ$1006,0)))),"Fix")))</f>
        <v>#N/A</v>
      </c>
      <c r="Y49" s="5" t="e">
        <f ca="1">IF(OR(INDEX($AI$2:$AI$1001,MATCH(ROWS($AH$2:AH49),$AH$2:$AH$1001,0),1)&gt;=100000,INDEX($AO$1005:$BQ$1005,1,MATCH(COLUMNS($AO$1006:BL1006),$AO$1006:$BQ$1006,0))&gt;=100000), " ",IF(INDEX($AO$2:$BQ$1001,MATCH(ROWS($AH$2:AH49),$AH$2:$AH$1001,0),MATCH(COLUMNS($AO$1006:BL1006),$AO$1006:$BQ$1006,0)), HYPERLINK("#",""), HYPERLINK(CONCATENATE("#Metadata!", ADDRESS(INDEX($AJ$2:$AJ$1001,MATCH(ROWS($AH$2:AH49),$AH$2:$AH$1001,0),0), INDEX($AO$1004:$BQ$1004,1,MATCH(COLUMNS($AO$1006:BL1006),$AO$1006:$BQ$1006,0)))),"Fix")))</f>
        <v>#N/A</v>
      </c>
      <c r="Z49" s="5" t="e">
        <f ca="1">IF(OR(INDEX($AI$2:$AI$1001,MATCH(ROWS($AH$2:AH49),$AH$2:$AH$1001,0),1)&gt;=100000,INDEX($AO$1005:$BQ$1005,1,MATCH(COLUMNS($AO$1006:BM1006),$AO$1006:$BQ$1006,0))&gt;=100000), " ",IF(INDEX($AO$2:$BQ$1001,MATCH(ROWS($AH$2:AH49),$AH$2:$AH$1001,0),MATCH(COLUMNS($AO$1006:BM1006),$AO$1006:$BQ$1006,0)), HYPERLINK("#",""), HYPERLINK(CONCATENATE("#Metadata!", ADDRESS(INDEX($AJ$2:$AJ$1001,MATCH(ROWS($AH$2:AH49),$AH$2:$AH$1001,0),0), INDEX($AO$1004:$BQ$1004,1,MATCH(COLUMNS($AO$1006:BM1006),$AO$1006:$BQ$1006,0)))),"Fix")))</f>
        <v>#N/A</v>
      </c>
      <c r="AA49" s="5" t="e">
        <f ca="1">IF(OR(INDEX($AI$2:$AI$1001,MATCH(ROWS($AH$2:AH49),$AH$2:$AH$1001,0),1)&gt;=100000,INDEX($AO$1005:$BQ$1005,1,MATCH(COLUMNS($AO$1006:BN1006),$AO$1006:$BQ$1006,0))&gt;=100000), " ",IF(INDEX($AO$2:$BQ$1001,MATCH(ROWS($AH$2:AH49),$AH$2:$AH$1001,0),MATCH(COLUMNS($AO$1006:BN1006),$AO$1006:$BQ$1006,0)), HYPERLINK("#",""), HYPERLINK(CONCATENATE("#Metadata!", ADDRESS(INDEX($AJ$2:$AJ$1001,MATCH(ROWS($AH$2:AH49),$AH$2:$AH$1001,0),0), INDEX($AO$1004:$BQ$1004,1,MATCH(COLUMNS($AO$1006:BN1006),$AO$1006:$BQ$1006,0)))),"Fix")))</f>
        <v>#N/A</v>
      </c>
      <c r="AB49" s="5" t="e">
        <f ca="1">IF(OR(INDEX($AI$2:$AI$1001,MATCH(ROWS($AH$2:AH49),$AH$2:$AH$1001,0),1)&gt;=100000,INDEX($AO$1005:$BQ$1005,1,MATCH(COLUMNS($AO$1006:BO1006),$AO$1006:$BQ$1006,0))&gt;=100000), " ",IF(INDEX($AO$2:$BQ$1001,MATCH(ROWS($AH$2:AH49),$AH$2:$AH$1001,0),MATCH(COLUMNS($AO$1006:BO1006),$AO$1006:$BQ$1006,0)), HYPERLINK("#",""), HYPERLINK(CONCATENATE("#Metadata!", ADDRESS(INDEX($AJ$2:$AJ$1001,MATCH(ROWS($AH$2:AH49),$AH$2:$AH$1001,0),0), INDEX($AO$1004:$BQ$1004,1,MATCH(COLUMNS($AO$1006:BO1006),$AO$1006:$BQ$1006,0)))),"Fix")))</f>
        <v>#N/A</v>
      </c>
      <c r="AC49" s="5" t="e">
        <f ca="1">IF(OR(INDEX($AI$2:$AI$1001,MATCH(ROWS($AH$2:AH49),$AH$2:$AH$1001,0),1)&gt;=100000,INDEX($AO$1005:$BQ$1005,1,MATCH(COLUMNS($AO$1006:BP1006),$AO$1006:$BQ$1006,0))&gt;=100000), " ",IF(INDEX($AO$2:$BQ$1001,MATCH(ROWS($AH$2:AH49),$AH$2:$AH$1001,0),MATCH(COLUMNS($AO$1006:BP1006),$AO$1006:$BQ$1006,0)), HYPERLINK("#",""), HYPERLINK(CONCATENATE("#Metadata!", ADDRESS(INDEX($AJ$2:$AJ$1001,MATCH(ROWS($AH$2:AH49),$AH$2:$AH$1001,0),0), INDEX($AO$1004:$BQ$1004,1,MATCH(COLUMNS($AO$1006:BP1006),$AO$1006:$BQ$1006,0)))),"Fix")))</f>
        <v>#N/A</v>
      </c>
      <c r="AD49" s="5" t="e">
        <f ca="1">IF(OR(INDEX($AI$2:$AI$1001,MATCH(ROWS($AH$2:AH49),$AH$2:$AH$1001,0),1)&gt;=100000,INDEX($AO$1005:$BQ$1005,1,MATCH(COLUMNS($AO$1006:BQ1006),$AO$1006:$BQ$1006,0))&gt;=100000), " ",IF(INDEX($AO$2:$BQ$1001,MATCH(ROWS($AH$2:AH49),$AH$2:$AH$1001,0),MATCH(COLUMNS($AO$1006:BQ1006),$AO$1006:$BQ$1006,0)), HYPERLINK("#",""), HYPERLINK(CONCATENATE("#Metadata!", ADDRESS(INDEX($AJ$2:$AJ$1001,MATCH(ROWS($AH$2:AH49),$AH$2:$AH$1001,0),0), INDEX($AO$1004:$BQ$1004,1,MATCH(COLUMNS($AO$1006:BQ1006),$AO$1006:$BQ$1006,0)))),"Fix")))</f>
        <v>#REF!</v>
      </c>
      <c r="AH49">
        <f ca="1"/>
        <v>46</v>
      </c>
      <c r="AI49">
        <f ca="1"/>
        <v>49</v>
      </c>
      <c r="AJ49">
        <v>49</v>
      </c>
      <c r="AK49" t="b">
        <f t="shared" ca="1" si="0"/>
        <v>0</v>
      </c>
      <c r="AL49" t="b">
        <f>COUNTBLANK(Metadata!B49:AD49)=COLUMNS(Metadata!B49:AD49)</f>
        <v>0</v>
      </c>
      <c r="AM49" t="str">
        <v>Environment.Lake.water.BTP.138Side.2</v>
      </c>
      <c r="AO49" t="b">
        <f ca="1">AND(IF(Metadata!B48="",FALSE,TRUE),COUNTIF(Metadata!B:B, Metadata!B48) = 1,NOT(ISERROR(SUMPRODUCT(SEARCH(MID(Metadata!B48,ROW(INDIRECT("1:"&amp;LEN(Metadata!B48))), 1),"0123456789abcdefghijklmnopqrstuvwxyzABCDEFGHIJKLMNOPQRSTUVWXYZ.")))))</f>
        <v>1</v>
      </c>
      <c r="AP49" t="b">
        <f>IF(Metadata!C48="",FALSE,TRUE)</f>
        <v>1</v>
      </c>
      <c r="AQ49" t="b">
        <f>IF(Metadata!D48="",FALSE,TRUE)</f>
        <v>1</v>
      </c>
      <c r="AR49" t="b">
        <f ca="1">OR(AND(IF(Metadata!E48="",FALSE,TRUE),OR(EXACT(Metadata!E48,"not collected"),EXACT(Metadata!E48,"not provided"),EXACT(Metadata!E48,"restricted access"))),AND(IF(Metadata!E48="",FALSE,TRUE),AND(AND(IFERROR(INT(LEFT(Metadata!E48,4))&gt;1900,FALSE),IFERROR(INT(LEFT(Metadata!E48,4))&lt;=YEAR(NOW()),FALSE)), OR(MID(Metadata!E48,5,1)="", AND(AND(MID(Metadata!E48,5,1)="-",IFERROR(INT(MID(Metadata!E48,6,1))&gt;=0,FALSE),IFERROR(INT(MID(Metadata!E48,6,1))&lt;=1,FALSE),NOT(MID(Metadata!E48,7,1)=""),IFERROR(INT(MID(Metadata!E48,6,2))&gt;=1,FALSE),IFERROR(INT(MID(Metadata!E48,6,2))&lt;=12,FALSE)), OR(MID(Metadata!E48,8,1)="", AND(AND(MID(Metadata!E48,8,1)="-",IFERROR(INT(MID(Metadata!E48,9,1))&gt;=0,FALSE),IFERROR(INT(MID(Metadata!E48,9,1))&lt;=3,FALSE),NOT(MID(Metadata!E48,10,1)=""),IFERROR(INT(MID(Metadata!E48,9,2))&gt;=1,FALSE),IFERROR(INT(MID(Metadata!E48,9,2))&lt;=31,FALSE)), OR(MID(Metadata!E48,11,1)="", AND(AND(MID(Metadata!E48,11,1)=" ",IFERROR(INT(MID(Metadata!E48,12,1))&gt;=0,FALSE),IFERROR(INT(MID(Metadata!E48,12,1))&lt;=2,FALSE),NOT(MID(Metadata!E48,13,1)=""),IFERROR(INT(MID(Metadata!E48,12,2))&gt;=0,FALSE),IFERROR(INT(MID(Metadata!E48,12,2))&lt;=23,FALSE)), OR(MID(Metadata!E48,14,1)="", AND(AND(MID(Metadata!E48,14,1)=":",IFERROR(INT(MID(Metadata!E48,15,1))&gt;=0,FALSE),IFERROR(INT(MID(Metadata!E48,15,1))&lt;=5,FALSE),NOT(MID(Metadata!E48,16,1)=""),IFERROR(INT(MID(Metadata!E48,15,2))&gt;=0,FALSE),IFERROR(INT(MID(Metadata!E48,15,2))&lt;=59,FALSE)), OR(MID(Metadata!E48,17,1)="", AND(AND(MID(Metadata!E48,17,1)=":",IFERROR(INT(MID(Metadata!E48,18,1))&gt;=0,FALSE),IFERROR(INT(MID(Metadata!E48,18,1))&lt;=5,FALSE),NOT(MID(Metadata!E48,19,1)=""),IFERROR(INT(MID(Metadata!E48,18,2))&gt;=0,FALSE),IFERROR(INT(MID(Metadata!E48,18,2))&lt;=59,FALSE)), LEN(Metadata!E48)&lt;=19)))))))))))))</f>
        <v>0</v>
      </c>
      <c r="AS49" t="b">
        <f>IF(Metadata!F48="",FALSE,TRUE)</f>
        <v>1</v>
      </c>
      <c r="AT49" t="b">
        <f>OR(AND(IF(Metadata!G48="",FALSE,TRUE),OR(EXACT(Metadata!G48,"not collected"),EXACT(Metadata!G48,"not provided"))),AND(IF(Metadata!G48="",FALSE,TRUE),OR(EXACT(Metadata!G48,"TRUE"),EXACT(Metadata!G48,"FALSE"))))</f>
        <v>1</v>
      </c>
      <c r="AU49" t="b">
        <f>OR(AND(IF(Metadata!H48="",FALSE,TRUE),OR(EXACT(Metadata!H48,"not collected"),EXACT(Metadata!H48,"not provided"),EXACT(Metadata!H48,"restricted access"))),AND(IF(Metadata!H48="",FALSE,ISNUMBER(VALUE(Metadata!H48))),Metadata!H48&gt;=-413))</f>
        <v>0</v>
      </c>
      <c r="AV49" t="b">
        <f>AND(IF(Metadata!I48="",FALSE,TRUE),EXACT(Metadata!I48,"meters"))</f>
        <v>1</v>
      </c>
      <c r="AW49" t="b">
        <f>AND(IF(Metadata!J48="",FALSE,TRUE),EXACT(Metadata!J48,"free-living"))</f>
        <v>1</v>
      </c>
      <c r="AX49" t="b">
        <f>AND(IF(Metadata!K48="",FALSE,TRUE),OR(EXACT(Metadata!K48,"saline"),EXACT(Metadata!K48,"non-saline")))</f>
        <v>1</v>
      </c>
      <c r="AY49" t="b">
        <f>AND(IF(Metadata!L48="",FALSE,TRUE),OR(EXACT(Metadata!L48,"sub-surface (non-saline)"),EXACT(Metadata!L48,"surface (non-saline)"),EXACT(Metadata!L48,"water (non-saline)"),EXACT(Metadata!L48,"soil (non-saline)"),EXACT(Metadata!L48,"aerosol (non-saline)"),EXACT(Metadata!L48,"sediment (non-saline)"),EXACT(Metadata!L48,"surface (saline)"),EXACT(Metadata!L48,"water (saline)"),EXACT(Metadata!L48,"hypersaline (saline)"),EXACT(Metadata!L48,"aerosol (saline)"),EXACT(Metadata!L48,"sediment (saline)")))</f>
        <v>1</v>
      </c>
      <c r="AZ49" t="b">
        <f>IF(Metadata!M48="",FALSE,TRUE)</f>
        <v>1</v>
      </c>
      <c r="BA49" t="b">
        <f>IF(Metadata!N48="",FALSE,TRUE)</f>
        <v>1</v>
      </c>
      <c r="BB49" t="b">
        <f>IF(Metadata!O48="",FALSE,TRUE)</f>
        <v>1</v>
      </c>
      <c r="BC49" t="b">
        <f>AND(IF(Metadata!P48="",FALSE,TRUE),OR(EXACT(Metadata!P48,"air"),EXACT(Metadata!P48,"microbial mat/biofilm"),EXACT(Metadata!P48,"misc environment"),EXACT(Metadata!P48,"sediment"),EXACT(Metadata!P48,"soil"),EXACT(Metadata!P48,"wastewater/sludge"),EXACT(Metadata!P48,"water")))</f>
        <v>1</v>
      </c>
      <c r="BD49" t="b">
        <f>IF(Metadata!Q48="",FALSE,TRUE)</f>
        <v>1</v>
      </c>
      <c r="BE49" t="b">
        <f>IF(Metadata!R48="",FALSE,TRUE)</f>
        <v>1</v>
      </c>
      <c r="BF49" t="b">
        <f>OR(AND(IF(Metadata!S48="",FALSE,TRUE),OR(EXACT(Metadata!S48,"not collected"),EXACT(Metadata!S48,"not provided"),EXACT(Metadata!S48,"restricted access"))),AND(IF(Metadata!S48="",FALSE,ISNUMBER(VALUE(Metadata!S48))),Metadata!S48&gt;=-90,Metadata!S48&lt;=90))</f>
        <v>0</v>
      </c>
      <c r="BG49" t="b">
        <f>AND(IF(Metadata!T48="",FALSE,TRUE),EXACT(Metadata!T48,"Decimal degrees"))</f>
        <v>1</v>
      </c>
      <c r="BH49" t="b">
        <f>OR(AND(IF(Metadata!U48="",FALSE,TRUE),OR(EXACT(Metadata!U48,"not applicable"),EXACT(Metadata!U48,"not collected"))),IF(Metadata!U48="",FALSE,TRUE))</f>
        <v>1</v>
      </c>
      <c r="BI49" t="b">
        <f>OR(AND(IF(Metadata!V48="",FALSE,TRUE),OR(EXACT(Metadata!V48,"not collected"),EXACT(Metadata!V48,"not provided"),EXACT(Metadata!V48,"restricted access"))),AND(IF(Metadata!V48="",FALSE,ISNUMBER(VALUE(Metadata!V48))),Metadata!V48&gt;=-180,Metadata!V48&lt;=180))</f>
        <v>0</v>
      </c>
      <c r="BJ49" t="b">
        <f>AND(IF(Metadata!W48="",FALSE,TRUE),EXACT(Metadata!W48,"Decimal degrees"))</f>
        <v>1</v>
      </c>
      <c r="BK49" t="b">
        <f>IF(Metadata!X48="",FALSE,TRUE)</f>
        <v>1</v>
      </c>
      <c r="BL49" t="b">
        <f>OR(AND(IF(Metadata!Y48="",FALSE,TRUE),OR(EXACT(Metadata!Y48,"not collected"),EXACT(Metadata!Y48,"not provided"),EXACT(Metadata!Y48,"restricted access"))),AND(IF(Metadata!Y48="",FALSE,TRUE),OR(EXACT(Metadata!Y48,"TRUE"),EXACT(Metadata!Y48,"FALSE"))))</f>
        <v>1</v>
      </c>
      <c r="BM49" t="b">
        <f>OR(AND(IF(Metadata!Z48="",FALSE,TRUE),EXACT(Metadata!Z48,"not applicable")),AND(IF(Metadata!Z48="",FALSE,TRUE),OR(EXACT(Metadata!Z48,"beer"),EXACT(Metadata!Z48,"cheese"),EXACT(Metadata!Z48,"fresh water"),EXACT(Metadata!Z48,"marine sediment"),EXACT(Metadata!Z48,"sea water"),EXACT(Metadata!Z48,"sediment"),EXACT(Metadata!Z48,"soil"),EXACT(Metadata!Z48,"waste water"))))</f>
        <v>1</v>
      </c>
      <c r="BN49" t="b">
        <f>AND(IF(Metadata!AA48="",FALSE,TRUE),EXACT(Metadata!AA48,"metagenome"))</f>
        <v>1</v>
      </c>
      <c r="BO49" t="b">
        <f>AND(IF(Metadata!AB48="",FALSE,TRUE),EXACT(Metadata!AB48,"256318"))</f>
        <v>1</v>
      </c>
      <c r="BP49" t="b">
        <f>IF(Metadata!AC48="",FALSE,TRUE)</f>
        <v>1</v>
      </c>
      <c r="BQ49" t="b">
        <f>IF(Metadata!AD48="",FALSE,TRUE)</f>
        <v>1</v>
      </c>
    </row>
    <row r="50" spans="1:69" x14ac:dyDescent="0.2">
      <c r="A50" s="4" t="e">
        <f ca="1">IF(B50=" "," ",HYPERLINK(CONCATENATE("#metadata!",ADDRESS(INDEX($AJ$2:$AJ$1001,MATCH(ROWS($AH$2:AH50),$AH$2:$AH$1001,0),0),2)),INDEX($AM$2:$AM$1001,MATCH(ROWS($AH$2:AH50),$AH$2:$AH$1001,0),0)))</f>
        <v>#N/A</v>
      </c>
      <c r="B50" s="5" t="e">
        <f ca="1">IF(OR(INDEX($AI$2:$AI$1001,MATCH(ROWS($AH$2:AH50),$AH$2:$AH$1001,0),1)&gt;=100000,INDEX($AO$1005:$BQ$1005,1,MATCH(COLUMNS($AO$1006:AO1006),$AO$1006:$BQ$1006,0))&gt;=100000), " ",IF(INDEX($AO$2:$BQ$1001,MATCH(ROWS($AH$2:AH50),$AH$2:$AH$1001,0),MATCH(COLUMNS($AO$1006:AO1006),$AO$1006:$BQ$1006,0)), HYPERLINK("#",""), HYPERLINK(CONCATENATE("#Metadata!", ADDRESS(INDEX($AJ$2:$AJ$1001,MATCH(ROWS($AH$2:AH50),$AH$2:$AH$1001,0),0), INDEX($AO$1004:$BQ$1004,1,MATCH(COLUMNS($AO$1006:AO1006),$AO$1006:$BQ$1006,0)))),"Fix")))</f>
        <v>#N/A</v>
      </c>
      <c r="C50" s="5" t="e">
        <f ca="1">IF(OR(INDEX($AI$2:$AI$1001,MATCH(ROWS($AH$2:AH50),$AH$2:$AH$1001,0),1)&gt;=100000,INDEX($AO$1005:$BQ$1005,1,MATCH(COLUMNS($AO$1006:AP1006),$AO$1006:$BQ$1006,0))&gt;=100000), " ",IF(INDEX($AO$2:$BQ$1001,MATCH(ROWS($AH$2:AH50),$AH$2:$AH$1001,0),MATCH(COLUMNS($AO$1006:AP1006),$AO$1006:$BQ$1006,0)), HYPERLINK("#",""), HYPERLINK(CONCATENATE("#Metadata!", ADDRESS(INDEX($AJ$2:$AJ$1001,MATCH(ROWS($AH$2:AH50),$AH$2:$AH$1001,0),0), INDEX($AO$1004:$BQ$1004,1,MATCH(COLUMNS($AO$1006:AP1006),$AO$1006:$BQ$1006,0)))),"Fix")))</f>
        <v>#N/A</v>
      </c>
      <c r="D50" s="5" t="e">
        <f ca="1">IF(OR(INDEX($AI$2:$AI$1001,MATCH(ROWS($AH$2:AH50),$AH$2:$AH$1001,0),1)&gt;=100000,INDEX($AO$1005:$BQ$1005,1,MATCH(COLUMNS($AO$1006:AQ1006),$AO$1006:$BQ$1006,0))&gt;=100000), " ",IF(INDEX($AO$2:$BQ$1001,MATCH(ROWS($AH$2:AH50),$AH$2:$AH$1001,0),MATCH(COLUMNS($AO$1006:AQ1006),$AO$1006:$BQ$1006,0)), HYPERLINK("#",""), HYPERLINK(CONCATENATE("#Metadata!", ADDRESS(INDEX($AJ$2:$AJ$1001,MATCH(ROWS($AH$2:AH50),$AH$2:$AH$1001,0),0), INDEX($AO$1004:$BQ$1004,1,MATCH(COLUMNS($AO$1006:AQ1006),$AO$1006:$BQ$1006,0)))),"Fix")))</f>
        <v>#N/A</v>
      </c>
      <c r="E50" s="5" t="e">
        <f ca="1">IF(OR(INDEX($AI$2:$AI$1001,MATCH(ROWS($AH$2:AH50),$AH$2:$AH$1001,0),1)&gt;=100000,INDEX($AO$1005:$BQ$1005,1,MATCH(COLUMNS($AO$1006:AR1006),$AO$1006:$BQ$1006,0))&gt;=100000), " ",IF(INDEX($AO$2:$BQ$1001,MATCH(ROWS($AH$2:AH50),$AH$2:$AH$1001,0),MATCH(COLUMNS($AO$1006:AR1006),$AO$1006:$BQ$1006,0)), HYPERLINK("#",""), HYPERLINK(CONCATENATE("#Metadata!", ADDRESS(INDEX($AJ$2:$AJ$1001,MATCH(ROWS($AH$2:AH50),$AH$2:$AH$1001,0),0), INDEX($AO$1004:$BQ$1004,1,MATCH(COLUMNS($AO$1006:AR1006),$AO$1006:$BQ$1006,0)))),"Fix")))</f>
        <v>#N/A</v>
      </c>
      <c r="F50" s="5" t="e">
        <f ca="1">IF(OR(INDEX($AI$2:$AI$1001,MATCH(ROWS($AH$2:AH50),$AH$2:$AH$1001,0),1)&gt;=100000,INDEX($AO$1005:$BQ$1005,1,MATCH(COLUMNS($AO$1006:AS1006),$AO$1006:$BQ$1006,0))&gt;=100000), " ",IF(INDEX($AO$2:$BQ$1001,MATCH(ROWS($AH$2:AH50),$AH$2:$AH$1001,0),MATCH(COLUMNS($AO$1006:AS1006),$AO$1006:$BQ$1006,0)), HYPERLINK("#",""), HYPERLINK(CONCATENATE("#Metadata!", ADDRESS(INDEX($AJ$2:$AJ$1001,MATCH(ROWS($AH$2:AH50),$AH$2:$AH$1001,0),0), INDEX($AO$1004:$BQ$1004,1,MATCH(COLUMNS($AO$1006:AS1006),$AO$1006:$BQ$1006,0)))),"Fix")))</f>
        <v>#N/A</v>
      </c>
      <c r="G50" s="5" t="e">
        <f ca="1">IF(OR(INDEX($AI$2:$AI$1001,MATCH(ROWS($AH$2:AH50),$AH$2:$AH$1001,0),1)&gt;=100000,INDEX($AO$1005:$BQ$1005,1,MATCH(COLUMNS($AO$1006:AT1006),$AO$1006:$BQ$1006,0))&gt;=100000), " ",IF(INDEX($AO$2:$BQ$1001,MATCH(ROWS($AH$2:AH50),$AH$2:$AH$1001,0),MATCH(COLUMNS($AO$1006:AT1006),$AO$1006:$BQ$1006,0)), HYPERLINK("#",""), HYPERLINK(CONCATENATE("#Metadata!", ADDRESS(INDEX($AJ$2:$AJ$1001,MATCH(ROWS($AH$2:AH50),$AH$2:$AH$1001,0),0), INDEX($AO$1004:$BQ$1004,1,MATCH(COLUMNS($AO$1006:AT1006),$AO$1006:$BQ$1006,0)))),"Fix")))</f>
        <v>#N/A</v>
      </c>
      <c r="H50" s="5" t="e">
        <f ca="1">IF(OR(INDEX($AI$2:$AI$1001,MATCH(ROWS($AH$2:AH50),$AH$2:$AH$1001,0),1)&gt;=100000,INDEX($AO$1005:$BQ$1005,1,MATCH(COLUMNS($AO$1006:AU1006),$AO$1006:$BQ$1006,0))&gt;=100000), " ",IF(INDEX($AO$2:$BQ$1001,MATCH(ROWS($AH$2:AH50),$AH$2:$AH$1001,0),MATCH(COLUMNS($AO$1006:AU1006),$AO$1006:$BQ$1006,0)), HYPERLINK("#",""), HYPERLINK(CONCATENATE("#Metadata!", ADDRESS(INDEX($AJ$2:$AJ$1001,MATCH(ROWS($AH$2:AH50),$AH$2:$AH$1001,0),0), INDEX($AO$1004:$BQ$1004,1,MATCH(COLUMNS($AO$1006:AU1006),$AO$1006:$BQ$1006,0)))),"Fix")))</f>
        <v>#N/A</v>
      </c>
      <c r="I50" s="5" t="e">
        <f ca="1">IF(OR(INDEX($AI$2:$AI$1001,MATCH(ROWS($AH$2:AH50),$AH$2:$AH$1001,0),1)&gt;=100000,INDEX($AO$1005:$BQ$1005,1,MATCH(COLUMNS($AO$1006:AV1006),$AO$1006:$BQ$1006,0))&gt;=100000), " ",IF(INDEX($AO$2:$BQ$1001,MATCH(ROWS($AH$2:AH50),$AH$2:$AH$1001,0),MATCH(COLUMNS($AO$1006:AV1006),$AO$1006:$BQ$1006,0)), HYPERLINK("#",""), HYPERLINK(CONCATENATE("#Metadata!", ADDRESS(INDEX($AJ$2:$AJ$1001,MATCH(ROWS($AH$2:AH50),$AH$2:$AH$1001,0),0), INDEX($AO$1004:$BQ$1004,1,MATCH(COLUMNS($AO$1006:AV1006),$AO$1006:$BQ$1006,0)))),"Fix")))</f>
        <v>#N/A</v>
      </c>
      <c r="J50" s="5" t="e">
        <f ca="1">IF(OR(INDEX($AI$2:$AI$1001,MATCH(ROWS($AH$2:AH50),$AH$2:$AH$1001,0),1)&gt;=100000,INDEX($AO$1005:$BQ$1005,1,MATCH(COLUMNS($AO$1006:AW1006),$AO$1006:$BQ$1006,0))&gt;=100000), " ",IF(INDEX($AO$2:$BQ$1001,MATCH(ROWS($AH$2:AH50),$AH$2:$AH$1001,0),MATCH(COLUMNS($AO$1006:AW1006),$AO$1006:$BQ$1006,0)), HYPERLINK("#",""), HYPERLINK(CONCATENATE("#Metadata!", ADDRESS(INDEX($AJ$2:$AJ$1001,MATCH(ROWS($AH$2:AH50),$AH$2:$AH$1001,0),0), INDEX($AO$1004:$BQ$1004,1,MATCH(COLUMNS($AO$1006:AW1006),$AO$1006:$BQ$1006,0)))),"Fix")))</f>
        <v>#N/A</v>
      </c>
      <c r="K50" s="5" t="e">
        <f ca="1">IF(OR(INDEX($AI$2:$AI$1001,MATCH(ROWS($AH$2:AH50),$AH$2:$AH$1001,0),1)&gt;=100000,INDEX($AO$1005:$BQ$1005,1,MATCH(COLUMNS($AO$1006:AX1006),$AO$1006:$BQ$1006,0))&gt;=100000), " ",IF(INDEX($AO$2:$BQ$1001,MATCH(ROWS($AH$2:AH50),$AH$2:$AH$1001,0),MATCH(COLUMNS($AO$1006:AX1006),$AO$1006:$BQ$1006,0)), HYPERLINK("#",""), HYPERLINK(CONCATENATE("#Metadata!", ADDRESS(INDEX($AJ$2:$AJ$1001,MATCH(ROWS($AH$2:AH50),$AH$2:$AH$1001,0),0), INDEX($AO$1004:$BQ$1004,1,MATCH(COLUMNS($AO$1006:AX1006),$AO$1006:$BQ$1006,0)))),"Fix")))</f>
        <v>#N/A</v>
      </c>
      <c r="L50" s="5" t="e">
        <f ca="1">IF(OR(INDEX($AI$2:$AI$1001,MATCH(ROWS($AH$2:AH50),$AH$2:$AH$1001,0),1)&gt;=100000,INDEX($AO$1005:$BQ$1005,1,MATCH(COLUMNS($AO$1006:AY1006),$AO$1006:$BQ$1006,0))&gt;=100000), " ",IF(INDEX($AO$2:$BQ$1001,MATCH(ROWS($AH$2:AH50),$AH$2:$AH$1001,0),MATCH(COLUMNS($AO$1006:AY1006),$AO$1006:$BQ$1006,0)), HYPERLINK("#",""), HYPERLINK(CONCATENATE("#Metadata!", ADDRESS(INDEX($AJ$2:$AJ$1001,MATCH(ROWS($AH$2:AH50),$AH$2:$AH$1001,0),0), INDEX($AO$1004:$BQ$1004,1,MATCH(COLUMNS($AO$1006:AY1006),$AO$1006:$BQ$1006,0)))),"Fix")))</f>
        <v>#N/A</v>
      </c>
      <c r="M50" s="5" t="e">
        <f ca="1">IF(OR(INDEX($AI$2:$AI$1001,MATCH(ROWS($AH$2:AH50),$AH$2:$AH$1001,0),1)&gt;=100000,INDEX($AO$1005:$BQ$1005,1,MATCH(COLUMNS($AO$1006:AZ1006),$AO$1006:$BQ$1006,0))&gt;=100000), " ",IF(INDEX($AO$2:$BQ$1001,MATCH(ROWS($AH$2:AH50),$AH$2:$AH$1001,0),MATCH(COLUMNS($AO$1006:AZ1006),$AO$1006:$BQ$1006,0)), HYPERLINK("#",""), HYPERLINK(CONCATENATE("#Metadata!", ADDRESS(INDEX($AJ$2:$AJ$1001,MATCH(ROWS($AH$2:AH50),$AH$2:$AH$1001,0),0), INDEX($AO$1004:$BQ$1004,1,MATCH(COLUMNS($AO$1006:AZ1006),$AO$1006:$BQ$1006,0)))),"Fix")))</f>
        <v>#N/A</v>
      </c>
      <c r="N50" s="5" t="e">
        <f ca="1">IF(OR(INDEX($AI$2:$AI$1001,MATCH(ROWS($AH$2:AH50),$AH$2:$AH$1001,0),1)&gt;=100000,INDEX($AO$1005:$BQ$1005,1,MATCH(COLUMNS($AO$1006:BA1006),$AO$1006:$BQ$1006,0))&gt;=100000), " ",IF(INDEX($AO$2:$BQ$1001,MATCH(ROWS($AH$2:AH50),$AH$2:$AH$1001,0),MATCH(COLUMNS($AO$1006:BA1006),$AO$1006:$BQ$1006,0)), HYPERLINK("#",""), HYPERLINK(CONCATENATE("#Metadata!", ADDRESS(INDEX($AJ$2:$AJ$1001,MATCH(ROWS($AH$2:AH50),$AH$2:$AH$1001,0),0), INDEX($AO$1004:$BQ$1004,1,MATCH(COLUMNS($AO$1006:BA1006),$AO$1006:$BQ$1006,0)))),"Fix")))</f>
        <v>#N/A</v>
      </c>
      <c r="O50" s="5" t="e">
        <f ca="1">IF(OR(INDEX($AI$2:$AI$1001,MATCH(ROWS($AH$2:AH50),$AH$2:$AH$1001,0),1)&gt;=100000,INDEX($AO$1005:$BQ$1005,1,MATCH(COLUMNS($AO$1006:BB1006),$AO$1006:$BQ$1006,0))&gt;=100000), " ",IF(INDEX($AO$2:$BQ$1001,MATCH(ROWS($AH$2:AH50),$AH$2:$AH$1001,0),MATCH(COLUMNS($AO$1006:BB1006),$AO$1006:$BQ$1006,0)), HYPERLINK("#",""), HYPERLINK(CONCATENATE("#Metadata!", ADDRESS(INDEX($AJ$2:$AJ$1001,MATCH(ROWS($AH$2:AH50),$AH$2:$AH$1001,0),0), INDEX($AO$1004:$BQ$1004,1,MATCH(COLUMNS($AO$1006:BB1006),$AO$1006:$BQ$1006,0)))),"Fix")))</f>
        <v>#N/A</v>
      </c>
      <c r="P50" s="5" t="e">
        <f ca="1">IF(OR(INDEX($AI$2:$AI$1001,MATCH(ROWS($AH$2:AH50),$AH$2:$AH$1001,0),1)&gt;=100000,INDEX($AO$1005:$BQ$1005,1,MATCH(COLUMNS($AO$1006:BC1006),$AO$1006:$BQ$1006,0))&gt;=100000), " ",IF(INDEX($AO$2:$BQ$1001,MATCH(ROWS($AH$2:AH50),$AH$2:$AH$1001,0),MATCH(COLUMNS($AO$1006:BC1006),$AO$1006:$BQ$1006,0)), HYPERLINK("#",""), HYPERLINK(CONCATENATE("#Metadata!", ADDRESS(INDEX($AJ$2:$AJ$1001,MATCH(ROWS($AH$2:AH50),$AH$2:$AH$1001,0),0), INDEX($AO$1004:$BQ$1004,1,MATCH(COLUMNS($AO$1006:BC1006),$AO$1006:$BQ$1006,0)))),"Fix")))</f>
        <v>#N/A</v>
      </c>
      <c r="Q50" s="5" t="e">
        <f ca="1">IF(OR(INDEX($AI$2:$AI$1001,MATCH(ROWS($AH$2:AH50),$AH$2:$AH$1001,0),1)&gt;=100000,INDEX($AO$1005:$BQ$1005,1,MATCH(COLUMNS($AO$1006:BD1006),$AO$1006:$BQ$1006,0))&gt;=100000), " ",IF(INDEX($AO$2:$BQ$1001,MATCH(ROWS($AH$2:AH50),$AH$2:$AH$1001,0),MATCH(COLUMNS($AO$1006:BD1006),$AO$1006:$BQ$1006,0)), HYPERLINK("#",""), HYPERLINK(CONCATENATE("#Metadata!", ADDRESS(INDEX($AJ$2:$AJ$1001,MATCH(ROWS($AH$2:AH50),$AH$2:$AH$1001,0),0), INDEX($AO$1004:$BQ$1004,1,MATCH(COLUMNS($AO$1006:BD1006),$AO$1006:$BQ$1006,0)))),"Fix")))</f>
        <v>#N/A</v>
      </c>
      <c r="R50" s="5" t="e">
        <f ca="1">IF(OR(INDEX($AI$2:$AI$1001,MATCH(ROWS($AH$2:AH50),$AH$2:$AH$1001,0),1)&gt;=100000,INDEX($AO$1005:$BQ$1005,1,MATCH(COLUMNS($AO$1006:BE1006),$AO$1006:$BQ$1006,0))&gt;=100000), " ",IF(INDEX($AO$2:$BQ$1001,MATCH(ROWS($AH$2:AH50),$AH$2:$AH$1001,0),MATCH(COLUMNS($AO$1006:BE1006),$AO$1006:$BQ$1006,0)), HYPERLINK("#",""), HYPERLINK(CONCATENATE("#Metadata!", ADDRESS(INDEX($AJ$2:$AJ$1001,MATCH(ROWS($AH$2:AH50),$AH$2:$AH$1001,0),0), INDEX($AO$1004:$BQ$1004,1,MATCH(COLUMNS($AO$1006:BE1006),$AO$1006:$BQ$1006,0)))),"Fix")))</f>
        <v>#N/A</v>
      </c>
      <c r="S50" s="5" t="e">
        <f ca="1">IF(OR(INDEX($AI$2:$AI$1001,MATCH(ROWS($AH$2:AH50),$AH$2:$AH$1001,0),1)&gt;=100000,INDEX($AO$1005:$BQ$1005,1,MATCH(COLUMNS($AO$1006:BF1006),$AO$1006:$BQ$1006,0))&gt;=100000), " ",IF(INDEX($AO$2:$BQ$1001,MATCH(ROWS($AH$2:AH50),$AH$2:$AH$1001,0),MATCH(COLUMNS($AO$1006:BF1006),$AO$1006:$BQ$1006,0)), HYPERLINK("#",""), HYPERLINK(CONCATENATE("#Metadata!", ADDRESS(INDEX($AJ$2:$AJ$1001,MATCH(ROWS($AH$2:AH50),$AH$2:$AH$1001,0),0), INDEX($AO$1004:$BQ$1004,1,MATCH(COLUMNS($AO$1006:BF1006),$AO$1006:$BQ$1006,0)))),"Fix")))</f>
        <v>#N/A</v>
      </c>
      <c r="T50" s="5" t="e">
        <f ca="1">IF(OR(INDEX($AI$2:$AI$1001,MATCH(ROWS($AH$2:AH50),$AH$2:$AH$1001,0),1)&gt;=100000,INDEX($AO$1005:$BQ$1005,1,MATCH(COLUMNS($AO$1006:BG1006),$AO$1006:$BQ$1006,0))&gt;=100000), " ",IF(INDEX($AO$2:$BQ$1001,MATCH(ROWS($AH$2:AH50),$AH$2:$AH$1001,0),MATCH(COLUMNS($AO$1006:BG1006),$AO$1006:$BQ$1006,0)), HYPERLINK("#",""), HYPERLINK(CONCATENATE("#Metadata!", ADDRESS(INDEX($AJ$2:$AJ$1001,MATCH(ROWS($AH$2:AH50),$AH$2:$AH$1001,0),0), INDEX($AO$1004:$BQ$1004,1,MATCH(COLUMNS($AO$1006:BG1006),$AO$1006:$BQ$1006,0)))),"Fix")))</f>
        <v>#N/A</v>
      </c>
      <c r="U50" s="5" t="e">
        <f ca="1">IF(OR(INDEX($AI$2:$AI$1001,MATCH(ROWS($AH$2:AH50),$AH$2:$AH$1001,0),1)&gt;=100000,INDEX($AO$1005:$BQ$1005,1,MATCH(COLUMNS($AO$1006:BH1006),$AO$1006:$BQ$1006,0))&gt;=100000), " ",IF(INDEX($AO$2:$BQ$1001,MATCH(ROWS($AH$2:AH50),$AH$2:$AH$1001,0),MATCH(COLUMNS($AO$1006:BH1006),$AO$1006:$BQ$1006,0)), HYPERLINK("#",""), HYPERLINK(CONCATENATE("#Metadata!", ADDRESS(INDEX($AJ$2:$AJ$1001,MATCH(ROWS($AH$2:AH50),$AH$2:$AH$1001,0),0), INDEX($AO$1004:$BQ$1004,1,MATCH(COLUMNS($AO$1006:BH1006),$AO$1006:$BQ$1006,0)))),"Fix")))</f>
        <v>#N/A</v>
      </c>
      <c r="V50" s="5" t="e">
        <f ca="1">IF(OR(INDEX($AI$2:$AI$1001,MATCH(ROWS($AH$2:AH50),$AH$2:$AH$1001,0),1)&gt;=100000,INDEX($AO$1005:$BQ$1005,1,MATCH(COLUMNS($AO$1006:BI1006),$AO$1006:$BQ$1006,0))&gt;=100000), " ",IF(INDEX($AO$2:$BQ$1001,MATCH(ROWS($AH$2:AH50),$AH$2:$AH$1001,0),MATCH(COLUMNS($AO$1006:BI1006),$AO$1006:$BQ$1006,0)), HYPERLINK("#",""), HYPERLINK(CONCATENATE("#Metadata!", ADDRESS(INDEX($AJ$2:$AJ$1001,MATCH(ROWS($AH$2:AH50),$AH$2:$AH$1001,0),0), INDEX($AO$1004:$BQ$1004,1,MATCH(COLUMNS($AO$1006:BI1006),$AO$1006:$BQ$1006,0)))),"Fix")))</f>
        <v>#N/A</v>
      </c>
      <c r="W50" s="5" t="e">
        <f ca="1">IF(OR(INDEX($AI$2:$AI$1001,MATCH(ROWS($AH$2:AH50),$AH$2:$AH$1001,0),1)&gt;=100000,INDEX($AO$1005:$BQ$1005,1,MATCH(COLUMNS($AO$1006:BJ1006),$AO$1006:$BQ$1006,0))&gt;=100000), " ",IF(INDEX($AO$2:$BQ$1001,MATCH(ROWS($AH$2:AH50),$AH$2:$AH$1001,0),MATCH(COLUMNS($AO$1006:BJ1006),$AO$1006:$BQ$1006,0)), HYPERLINK("#",""), HYPERLINK(CONCATENATE("#Metadata!", ADDRESS(INDEX($AJ$2:$AJ$1001,MATCH(ROWS($AH$2:AH50),$AH$2:$AH$1001,0),0), INDEX($AO$1004:$BQ$1004,1,MATCH(COLUMNS($AO$1006:BJ1006),$AO$1006:$BQ$1006,0)))),"Fix")))</f>
        <v>#N/A</v>
      </c>
      <c r="X50" s="5" t="e">
        <f ca="1">IF(OR(INDEX($AI$2:$AI$1001,MATCH(ROWS($AH$2:AH50),$AH$2:$AH$1001,0),1)&gt;=100000,INDEX($AO$1005:$BQ$1005,1,MATCH(COLUMNS($AO$1006:BK1006),$AO$1006:$BQ$1006,0))&gt;=100000), " ",IF(INDEX($AO$2:$BQ$1001,MATCH(ROWS($AH$2:AH50),$AH$2:$AH$1001,0),MATCH(COLUMNS($AO$1006:BK1006),$AO$1006:$BQ$1006,0)), HYPERLINK("#",""), HYPERLINK(CONCATENATE("#Metadata!", ADDRESS(INDEX($AJ$2:$AJ$1001,MATCH(ROWS($AH$2:AH50),$AH$2:$AH$1001,0),0), INDEX($AO$1004:$BQ$1004,1,MATCH(COLUMNS($AO$1006:BK1006),$AO$1006:$BQ$1006,0)))),"Fix")))</f>
        <v>#N/A</v>
      </c>
      <c r="Y50" s="5" t="e">
        <f ca="1">IF(OR(INDEX($AI$2:$AI$1001,MATCH(ROWS($AH$2:AH50),$AH$2:$AH$1001,0),1)&gt;=100000,INDEX($AO$1005:$BQ$1005,1,MATCH(COLUMNS($AO$1006:BL1006),$AO$1006:$BQ$1006,0))&gt;=100000), " ",IF(INDEX($AO$2:$BQ$1001,MATCH(ROWS($AH$2:AH50),$AH$2:$AH$1001,0),MATCH(COLUMNS($AO$1006:BL1006),$AO$1006:$BQ$1006,0)), HYPERLINK("#",""), HYPERLINK(CONCATENATE("#Metadata!", ADDRESS(INDEX($AJ$2:$AJ$1001,MATCH(ROWS($AH$2:AH50),$AH$2:$AH$1001,0),0), INDEX($AO$1004:$BQ$1004,1,MATCH(COLUMNS($AO$1006:BL1006),$AO$1006:$BQ$1006,0)))),"Fix")))</f>
        <v>#N/A</v>
      </c>
      <c r="Z50" s="5" t="e">
        <f ca="1">IF(OR(INDEX($AI$2:$AI$1001,MATCH(ROWS($AH$2:AH50),$AH$2:$AH$1001,0),1)&gt;=100000,INDEX($AO$1005:$BQ$1005,1,MATCH(COLUMNS($AO$1006:BM1006),$AO$1006:$BQ$1006,0))&gt;=100000), " ",IF(INDEX($AO$2:$BQ$1001,MATCH(ROWS($AH$2:AH50),$AH$2:$AH$1001,0),MATCH(COLUMNS($AO$1006:BM1006),$AO$1006:$BQ$1006,0)), HYPERLINK("#",""), HYPERLINK(CONCATENATE("#Metadata!", ADDRESS(INDEX($AJ$2:$AJ$1001,MATCH(ROWS($AH$2:AH50),$AH$2:$AH$1001,0),0), INDEX($AO$1004:$BQ$1004,1,MATCH(COLUMNS($AO$1006:BM1006),$AO$1006:$BQ$1006,0)))),"Fix")))</f>
        <v>#N/A</v>
      </c>
      <c r="AA50" s="5" t="e">
        <f ca="1">IF(OR(INDEX($AI$2:$AI$1001,MATCH(ROWS($AH$2:AH50),$AH$2:$AH$1001,0),1)&gt;=100000,INDEX($AO$1005:$BQ$1005,1,MATCH(COLUMNS($AO$1006:BN1006),$AO$1006:$BQ$1006,0))&gt;=100000), " ",IF(INDEX($AO$2:$BQ$1001,MATCH(ROWS($AH$2:AH50),$AH$2:$AH$1001,0),MATCH(COLUMNS($AO$1006:BN1006),$AO$1006:$BQ$1006,0)), HYPERLINK("#",""), HYPERLINK(CONCATENATE("#Metadata!", ADDRESS(INDEX($AJ$2:$AJ$1001,MATCH(ROWS($AH$2:AH50),$AH$2:$AH$1001,0),0), INDEX($AO$1004:$BQ$1004,1,MATCH(COLUMNS($AO$1006:BN1006),$AO$1006:$BQ$1006,0)))),"Fix")))</f>
        <v>#N/A</v>
      </c>
      <c r="AB50" s="5" t="e">
        <f ca="1">IF(OR(INDEX($AI$2:$AI$1001,MATCH(ROWS($AH$2:AH50),$AH$2:$AH$1001,0),1)&gt;=100000,INDEX($AO$1005:$BQ$1005,1,MATCH(COLUMNS($AO$1006:BO1006),$AO$1006:$BQ$1006,0))&gt;=100000), " ",IF(INDEX($AO$2:$BQ$1001,MATCH(ROWS($AH$2:AH50),$AH$2:$AH$1001,0),MATCH(COLUMNS($AO$1006:BO1006),$AO$1006:$BQ$1006,0)), HYPERLINK("#",""), HYPERLINK(CONCATENATE("#Metadata!", ADDRESS(INDEX($AJ$2:$AJ$1001,MATCH(ROWS($AH$2:AH50),$AH$2:$AH$1001,0),0), INDEX($AO$1004:$BQ$1004,1,MATCH(COLUMNS($AO$1006:BO1006),$AO$1006:$BQ$1006,0)))),"Fix")))</f>
        <v>#N/A</v>
      </c>
      <c r="AC50" s="5" t="e">
        <f ca="1">IF(OR(INDEX($AI$2:$AI$1001,MATCH(ROWS($AH$2:AH50),$AH$2:$AH$1001,0),1)&gt;=100000,INDEX($AO$1005:$BQ$1005,1,MATCH(COLUMNS($AO$1006:BP1006),$AO$1006:$BQ$1006,0))&gt;=100000), " ",IF(INDEX($AO$2:$BQ$1001,MATCH(ROWS($AH$2:AH50),$AH$2:$AH$1001,0),MATCH(COLUMNS($AO$1006:BP1006),$AO$1006:$BQ$1006,0)), HYPERLINK("#",""), HYPERLINK(CONCATENATE("#Metadata!", ADDRESS(INDEX($AJ$2:$AJ$1001,MATCH(ROWS($AH$2:AH50),$AH$2:$AH$1001,0),0), INDEX($AO$1004:$BQ$1004,1,MATCH(COLUMNS($AO$1006:BP1006),$AO$1006:$BQ$1006,0)))),"Fix")))</f>
        <v>#N/A</v>
      </c>
      <c r="AD50" s="5" t="e">
        <f ca="1">IF(OR(INDEX($AI$2:$AI$1001,MATCH(ROWS($AH$2:AH50),$AH$2:$AH$1001,0),1)&gt;=100000,INDEX($AO$1005:$BQ$1005,1,MATCH(COLUMNS($AO$1006:BQ1006),$AO$1006:$BQ$1006,0))&gt;=100000), " ",IF(INDEX($AO$2:$BQ$1001,MATCH(ROWS($AH$2:AH50),$AH$2:$AH$1001,0),MATCH(COLUMNS($AO$1006:BQ1006),$AO$1006:$BQ$1006,0)), HYPERLINK("#",""), HYPERLINK(CONCATENATE("#Metadata!", ADDRESS(INDEX($AJ$2:$AJ$1001,MATCH(ROWS($AH$2:AH50),$AH$2:$AH$1001,0),0), INDEX($AO$1004:$BQ$1004,1,MATCH(COLUMNS($AO$1006:BQ1006),$AO$1006:$BQ$1006,0)))),"Fix")))</f>
        <v>#REF!</v>
      </c>
      <c r="AH50">
        <f ca="1"/>
        <v>47</v>
      </c>
      <c r="AI50">
        <f ca="1"/>
        <v>50</v>
      </c>
      <c r="AJ50">
        <v>50</v>
      </c>
      <c r="AK50" t="b">
        <f t="shared" ca="1" si="0"/>
        <v>0</v>
      </c>
      <c r="AL50" t="b">
        <f>COUNTBLANK(Metadata!B50:AD50)=COLUMNS(Metadata!B50:AD50)</f>
        <v>0</v>
      </c>
      <c r="AM50" t="str">
        <v>Environment.Water.3.BTP.178Water</v>
      </c>
      <c r="AO50" t="b">
        <f ca="1">AND(IF(Metadata!B49="",FALSE,TRUE),COUNTIF(Metadata!B:B, Metadata!B49) = 1,NOT(ISERROR(SUMPRODUCT(SEARCH(MID(Metadata!B49,ROW(INDIRECT("1:"&amp;LEN(Metadata!B49))), 1),"0123456789abcdefghijklmnopqrstuvwxyzABCDEFGHIJKLMNOPQRSTUVWXYZ.")))))</f>
        <v>1</v>
      </c>
      <c r="AP50" t="b">
        <f>IF(Metadata!C49="",FALSE,TRUE)</f>
        <v>1</v>
      </c>
      <c r="AQ50" t="b">
        <f>IF(Metadata!D49="",FALSE,TRUE)</f>
        <v>1</v>
      </c>
      <c r="AR50" t="b">
        <f ca="1">OR(AND(IF(Metadata!E49="",FALSE,TRUE),OR(EXACT(Metadata!E49,"not collected"),EXACT(Metadata!E49,"not provided"),EXACT(Metadata!E49,"restricted access"))),AND(IF(Metadata!E49="",FALSE,TRUE),AND(AND(IFERROR(INT(LEFT(Metadata!E49,4))&gt;1900,FALSE),IFERROR(INT(LEFT(Metadata!E49,4))&lt;=YEAR(NOW()),FALSE)), OR(MID(Metadata!E49,5,1)="", AND(AND(MID(Metadata!E49,5,1)="-",IFERROR(INT(MID(Metadata!E49,6,1))&gt;=0,FALSE),IFERROR(INT(MID(Metadata!E49,6,1))&lt;=1,FALSE),NOT(MID(Metadata!E49,7,1)=""),IFERROR(INT(MID(Metadata!E49,6,2))&gt;=1,FALSE),IFERROR(INT(MID(Metadata!E49,6,2))&lt;=12,FALSE)), OR(MID(Metadata!E49,8,1)="", AND(AND(MID(Metadata!E49,8,1)="-",IFERROR(INT(MID(Metadata!E49,9,1))&gt;=0,FALSE),IFERROR(INT(MID(Metadata!E49,9,1))&lt;=3,FALSE),NOT(MID(Metadata!E49,10,1)=""),IFERROR(INT(MID(Metadata!E49,9,2))&gt;=1,FALSE),IFERROR(INT(MID(Metadata!E49,9,2))&lt;=31,FALSE)), OR(MID(Metadata!E49,11,1)="", AND(AND(MID(Metadata!E49,11,1)=" ",IFERROR(INT(MID(Metadata!E49,12,1))&gt;=0,FALSE),IFERROR(INT(MID(Metadata!E49,12,1))&lt;=2,FALSE),NOT(MID(Metadata!E49,13,1)=""),IFERROR(INT(MID(Metadata!E49,12,2))&gt;=0,FALSE),IFERROR(INT(MID(Metadata!E49,12,2))&lt;=23,FALSE)), OR(MID(Metadata!E49,14,1)="", AND(AND(MID(Metadata!E49,14,1)=":",IFERROR(INT(MID(Metadata!E49,15,1))&gt;=0,FALSE),IFERROR(INT(MID(Metadata!E49,15,1))&lt;=5,FALSE),NOT(MID(Metadata!E49,16,1)=""),IFERROR(INT(MID(Metadata!E49,15,2))&gt;=0,FALSE),IFERROR(INT(MID(Metadata!E49,15,2))&lt;=59,FALSE)), OR(MID(Metadata!E49,17,1)="", AND(AND(MID(Metadata!E49,17,1)=":",IFERROR(INT(MID(Metadata!E49,18,1))&gt;=0,FALSE),IFERROR(INT(MID(Metadata!E49,18,1))&lt;=5,FALSE),NOT(MID(Metadata!E49,19,1)=""),IFERROR(INT(MID(Metadata!E49,18,2))&gt;=0,FALSE),IFERROR(INT(MID(Metadata!E49,18,2))&lt;=59,FALSE)), LEN(Metadata!E49)&lt;=19)))))))))))))</f>
        <v>0</v>
      </c>
      <c r="AS50" t="b">
        <f>IF(Metadata!F49="",FALSE,TRUE)</f>
        <v>1</v>
      </c>
      <c r="AT50" t="b">
        <f>OR(AND(IF(Metadata!G49="",FALSE,TRUE),OR(EXACT(Metadata!G49,"not collected"),EXACT(Metadata!G49,"not provided"))),AND(IF(Metadata!G49="",FALSE,TRUE),OR(EXACT(Metadata!G49,"TRUE"),EXACT(Metadata!G49,"FALSE"))))</f>
        <v>1</v>
      </c>
      <c r="AU50" t="b">
        <f>OR(AND(IF(Metadata!H49="",FALSE,TRUE),OR(EXACT(Metadata!H49,"not collected"),EXACT(Metadata!H49,"not provided"),EXACT(Metadata!H49,"restricted access"))),AND(IF(Metadata!H49="",FALSE,ISNUMBER(VALUE(Metadata!H49))),Metadata!H49&gt;=-413))</f>
        <v>0</v>
      </c>
      <c r="AV50" t="b">
        <f>AND(IF(Metadata!I49="",FALSE,TRUE),EXACT(Metadata!I49,"meters"))</f>
        <v>1</v>
      </c>
      <c r="AW50" t="b">
        <f>AND(IF(Metadata!J49="",FALSE,TRUE),EXACT(Metadata!J49,"free-living"))</f>
        <v>1</v>
      </c>
      <c r="AX50" t="b">
        <f>AND(IF(Metadata!K49="",FALSE,TRUE),OR(EXACT(Metadata!K49,"saline"),EXACT(Metadata!K49,"non-saline")))</f>
        <v>1</v>
      </c>
      <c r="AY50" t="b">
        <f>AND(IF(Metadata!L49="",FALSE,TRUE),OR(EXACT(Metadata!L49,"sub-surface (non-saline)"),EXACT(Metadata!L49,"surface (non-saline)"),EXACT(Metadata!L49,"water (non-saline)"),EXACT(Metadata!L49,"soil (non-saline)"),EXACT(Metadata!L49,"aerosol (non-saline)"),EXACT(Metadata!L49,"sediment (non-saline)"),EXACT(Metadata!L49,"surface (saline)"),EXACT(Metadata!L49,"water (saline)"),EXACT(Metadata!L49,"hypersaline (saline)"),EXACT(Metadata!L49,"aerosol (saline)"),EXACT(Metadata!L49,"sediment (saline)")))</f>
        <v>1</v>
      </c>
      <c r="AZ50" t="b">
        <f>IF(Metadata!M49="",FALSE,TRUE)</f>
        <v>1</v>
      </c>
      <c r="BA50" t="b">
        <f>IF(Metadata!N49="",FALSE,TRUE)</f>
        <v>1</v>
      </c>
      <c r="BB50" t="b">
        <f>IF(Metadata!O49="",FALSE,TRUE)</f>
        <v>1</v>
      </c>
      <c r="BC50" t="b">
        <f>AND(IF(Metadata!P49="",FALSE,TRUE),OR(EXACT(Metadata!P49,"air"),EXACT(Metadata!P49,"microbial mat/biofilm"),EXACT(Metadata!P49,"misc environment"),EXACT(Metadata!P49,"sediment"),EXACT(Metadata!P49,"soil"),EXACT(Metadata!P49,"wastewater/sludge"),EXACT(Metadata!P49,"water")))</f>
        <v>1</v>
      </c>
      <c r="BD50" t="b">
        <f>IF(Metadata!Q49="",FALSE,TRUE)</f>
        <v>1</v>
      </c>
      <c r="BE50" t="b">
        <f>IF(Metadata!R49="",FALSE,TRUE)</f>
        <v>1</v>
      </c>
      <c r="BF50" t="b">
        <f>OR(AND(IF(Metadata!S49="",FALSE,TRUE),OR(EXACT(Metadata!S49,"not collected"),EXACT(Metadata!S49,"not provided"),EXACT(Metadata!S49,"restricted access"))),AND(IF(Metadata!S49="",FALSE,ISNUMBER(VALUE(Metadata!S49))),Metadata!S49&gt;=-90,Metadata!S49&lt;=90))</f>
        <v>0</v>
      </c>
      <c r="BG50" t="b">
        <f>AND(IF(Metadata!T49="",FALSE,TRUE),EXACT(Metadata!T49,"Decimal degrees"))</f>
        <v>1</v>
      </c>
      <c r="BH50" t="b">
        <f>OR(AND(IF(Metadata!U49="",FALSE,TRUE),OR(EXACT(Metadata!U49,"not applicable"),EXACT(Metadata!U49,"not collected"))),IF(Metadata!U49="",FALSE,TRUE))</f>
        <v>1</v>
      </c>
      <c r="BI50" t="b">
        <f>OR(AND(IF(Metadata!V49="",FALSE,TRUE),OR(EXACT(Metadata!V49,"not collected"),EXACT(Metadata!V49,"not provided"),EXACT(Metadata!V49,"restricted access"))),AND(IF(Metadata!V49="",FALSE,ISNUMBER(VALUE(Metadata!V49))),Metadata!V49&gt;=-180,Metadata!V49&lt;=180))</f>
        <v>0</v>
      </c>
      <c r="BJ50" t="b">
        <f>AND(IF(Metadata!W49="",FALSE,TRUE),EXACT(Metadata!W49,"Decimal degrees"))</f>
        <v>1</v>
      </c>
      <c r="BK50" t="b">
        <f>IF(Metadata!X49="",FALSE,TRUE)</f>
        <v>1</v>
      </c>
      <c r="BL50" t="b">
        <f>OR(AND(IF(Metadata!Y49="",FALSE,TRUE),OR(EXACT(Metadata!Y49,"not collected"),EXACT(Metadata!Y49,"not provided"),EXACT(Metadata!Y49,"restricted access"))),AND(IF(Metadata!Y49="",FALSE,TRUE),OR(EXACT(Metadata!Y49,"TRUE"),EXACT(Metadata!Y49,"FALSE"))))</f>
        <v>1</v>
      </c>
      <c r="BM50" t="b">
        <f>OR(AND(IF(Metadata!Z49="",FALSE,TRUE),EXACT(Metadata!Z49,"not applicable")),AND(IF(Metadata!Z49="",FALSE,TRUE),OR(EXACT(Metadata!Z49,"beer"),EXACT(Metadata!Z49,"cheese"),EXACT(Metadata!Z49,"fresh water"),EXACT(Metadata!Z49,"marine sediment"),EXACT(Metadata!Z49,"sea water"),EXACT(Metadata!Z49,"sediment"),EXACT(Metadata!Z49,"soil"),EXACT(Metadata!Z49,"waste water"))))</f>
        <v>1</v>
      </c>
      <c r="BN50" t="b">
        <f>AND(IF(Metadata!AA49="",FALSE,TRUE),EXACT(Metadata!AA49,"metagenome"))</f>
        <v>1</v>
      </c>
      <c r="BO50" t="b">
        <f>AND(IF(Metadata!AB49="",FALSE,TRUE),EXACT(Metadata!AB49,"256318"))</f>
        <v>1</v>
      </c>
      <c r="BP50" t="b">
        <f>IF(Metadata!AC49="",FALSE,TRUE)</f>
        <v>1</v>
      </c>
      <c r="BQ50" t="b">
        <f>IF(Metadata!AD49="",FALSE,TRUE)</f>
        <v>1</v>
      </c>
    </row>
    <row r="51" spans="1:69" x14ac:dyDescent="0.2">
      <c r="A51" s="4" t="e">
        <f ca="1">IF(B51=" "," ",HYPERLINK(CONCATENATE("#metadata!",ADDRESS(INDEX($AJ$2:$AJ$1001,MATCH(ROWS($AH$2:AH51),$AH$2:$AH$1001,0),0),2)),INDEX($AM$2:$AM$1001,MATCH(ROWS($AH$2:AH51),$AH$2:$AH$1001,0),0)))</f>
        <v>#N/A</v>
      </c>
      <c r="B51" s="5" t="e">
        <f ca="1">IF(OR(INDEX($AI$2:$AI$1001,MATCH(ROWS($AH$2:AH51),$AH$2:$AH$1001,0),1)&gt;=100000,INDEX($AO$1005:$BQ$1005,1,MATCH(COLUMNS($AO$1006:AO1006),$AO$1006:$BQ$1006,0))&gt;=100000), " ",IF(INDEX($AO$2:$BQ$1001,MATCH(ROWS($AH$2:AH51),$AH$2:$AH$1001,0),MATCH(COLUMNS($AO$1006:AO1006),$AO$1006:$BQ$1006,0)), HYPERLINK("#",""), HYPERLINK(CONCATENATE("#Metadata!", ADDRESS(INDEX($AJ$2:$AJ$1001,MATCH(ROWS($AH$2:AH51),$AH$2:$AH$1001,0),0), INDEX($AO$1004:$BQ$1004,1,MATCH(COLUMNS($AO$1006:AO1006),$AO$1006:$BQ$1006,0)))),"Fix")))</f>
        <v>#N/A</v>
      </c>
      <c r="C51" s="5" t="e">
        <f ca="1">IF(OR(INDEX($AI$2:$AI$1001,MATCH(ROWS($AH$2:AH51),$AH$2:$AH$1001,0),1)&gt;=100000,INDEX($AO$1005:$BQ$1005,1,MATCH(COLUMNS($AO$1006:AP1006),$AO$1006:$BQ$1006,0))&gt;=100000), " ",IF(INDEX($AO$2:$BQ$1001,MATCH(ROWS($AH$2:AH51),$AH$2:$AH$1001,0),MATCH(COLUMNS($AO$1006:AP1006),$AO$1006:$BQ$1006,0)), HYPERLINK("#",""), HYPERLINK(CONCATENATE("#Metadata!", ADDRESS(INDEX($AJ$2:$AJ$1001,MATCH(ROWS($AH$2:AH51),$AH$2:$AH$1001,0),0), INDEX($AO$1004:$BQ$1004,1,MATCH(COLUMNS($AO$1006:AP1006),$AO$1006:$BQ$1006,0)))),"Fix")))</f>
        <v>#N/A</v>
      </c>
      <c r="D51" s="5" t="e">
        <f ca="1">IF(OR(INDEX($AI$2:$AI$1001,MATCH(ROWS($AH$2:AH51),$AH$2:$AH$1001,0),1)&gt;=100000,INDEX($AO$1005:$BQ$1005,1,MATCH(COLUMNS($AO$1006:AQ1006),$AO$1006:$BQ$1006,0))&gt;=100000), " ",IF(INDEX($AO$2:$BQ$1001,MATCH(ROWS($AH$2:AH51),$AH$2:$AH$1001,0),MATCH(COLUMNS($AO$1006:AQ1006),$AO$1006:$BQ$1006,0)), HYPERLINK("#",""), HYPERLINK(CONCATENATE("#Metadata!", ADDRESS(INDEX($AJ$2:$AJ$1001,MATCH(ROWS($AH$2:AH51),$AH$2:$AH$1001,0),0), INDEX($AO$1004:$BQ$1004,1,MATCH(COLUMNS($AO$1006:AQ1006),$AO$1006:$BQ$1006,0)))),"Fix")))</f>
        <v>#N/A</v>
      </c>
      <c r="E51" s="5" t="e">
        <f ca="1">IF(OR(INDEX($AI$2:$AI$1001,MATCH(ROWS($AH$2:AH51),$AH$2:$AH$1001,0),1)&gt;=100000,INDEX($AO$1005:$BQ$1005,1,MATCH(COLUMNS($AO$1006:AR1006),$AO$1006:$BQ$1006,0))&gt;=100000), " ",IF(INDEX($AO$2:$BQ$1001,MATCH(ROWS($AH$2:AH51),$AH$2:$AH$1001,0),MATCH(COLUMNS($AO$1006:AR1006),$AO$1006:$BQ$1006,0)), HYPERLINK("#",""), HYPERLINK(CONCATENATE("#Metadata!", ADDRESS(INDEX($AJ$2:$AJ$1001,MATCH(ROWS($AH$2:AH51),$AH$2:$AH$1001,0),0), INDEX($AO$1004:$BQ$1004,1,MATCH(COLUMNS($AO$1006:AR1006),$AO$1006:$BQ$1006,0)))),"Fix")))</f>
        <v>#N/A</v>
      </c>
      <c r="F51" s="5" t="e">
        <f ca="1">IF(OR(INDEX($AI$2:$AI$1001,MATCH(ROWS($AH$2:AH51),$AH$2:$AH$1001,0),1)&gt;=100000,INDEX($AO$1005:$BQ$1005,1,MATCH(COLUMNS($AO$1006:AS1006),$AO$1006:$BQ$1006,0))&gt;=100000), " ",IF(INDEX($AO$2:$BQ$1001,MATCH(ROWS($AH$2:AH51),$AH$2:$AH$1001,0),MATCH(COLUMNS($AO$1006:AS1006),$AO$1006:$BQ$1006,0)), HYPERLINK("#",""), HYPERLINK(CONCATENATE("#Metadata!", ADDRESS(INDEX($AJ$2:$AJ$1001,MATCH(ROWS($AH$2:AH51),$AH$2:$AH$1001,0),0), INDEX($AO$1004:$BQ$1004,1,MATCH(COLUMNS($AO$1006:AS1006),$AO$1006:$BQ$1006,0)))),"Fix")))</f>
        <v>#N/A</v>
      </c>
      <c r="G51" s="5" t="e">
        <f ca="1">IF(OR(INDEX($AI$2:$AI$1001,MATCH(ROWS($AH$2:AH51),$AH$2:$AH$1001,0),1)&gt;=100000,INDEX($AO$1005:$BQ$1005,1,MATCH(COLUMNS($AO$1006:AT1006),$AO$1006:$BQ$1006,0))&gt;=100000), " ",IF(INDEX($AO$2:$BQ$1001,MATCH(ROWS($AH$2:AH51),$AH$2:$AH$1001,0),MATCH(COLUMNS($AO$1006:AT1006),$AO$1006:$BQ$1006,0)), HYPERLINK("#",""), HYPERLINK(CONCATENATE("#Metadata!", ADDRESS(INDEX($AJ$2:$AJ$1001,MATCH(ROWS($AH$2:AH51),$AH$2:$AH$1001,0),0), INDEX($AO$1004:$BQ$1004,1,MATCH(COLUMNS($AO$1006:AT1006),$AO$1006:$BQ$1006,0)))),"Fix")))</f>
        <v>#N/A</v>
      </c>
      <c r="H51" s="5" t="e">
        <f ca="1">IF(OR(INDEX($AI$2:$AI$1001,MATCH(ROWS($AH$2:AH51),$AH$2:$AH$1001,0),1)&gt;=100000,INDEX($AO$1005:$BQ$1005,1,MATCH(COLUMNS($AO$1006:AU1006),$AO$1006:$BQ$1006,0))&gt;=100000), " ",IF(INDEX($AO$2:$BQ$1001,MATCH(ROWS($AH$2:AH51),$AH$2:$AH$1001,0),MATCH(COLUMNS($AO$1006:AU1006),$AO$1006:$BQ$1006,0)), HYPERLINK("#",""), HYPERLINK(CONCATENATE("#Metadata!", ADDRESS(INDEX($AJ$2:$AJ$1001,MATCH(ROWS($AH$2:AH51),$AH$2:$AH$1001,0),0), INDEX($AO$1004:$BQ$1004,1,MATCH(COLUMNS($AO$1006:AU1006),$AO$1006:$BQ$1006,0)))),"Fix")))</f>
        <v>#N/A</v>
      </c>
      <c r="I51" s="5" t="e">
        <f ca="1">IF(OR(INDEX($AI$2:$AI$1001,MATCH(ROWS($AH$2:AH51),$AH$2:$AH$1001,0),1)&gt;=100000,INDEX($AO$1005:$BQ$1005,1,MATCH(COLUMNS($AO$1006:AV1006),$AO$1006:$BQ$1006,0))&gt;=100000), " ",IF(INDEX($AO$2:$BQ$1001,MATCH(ROWS($AH$2:AH51),$AH$2:$AH$1001,0),MATCH(COLUMNS($AO$1006:AV1006),$AO$1006:$BQ$1006,0)), HYPERLINK("#",""), HYPERLINK(CONCATENATE("#Metadata!", ADDRESS(INDEX($AJ$2:$AJ$1001,MATCH(ROWS($AH$2:AH51),$AH$2:$AH$1001,0),0), INDEX($AO$1004:$BQ$1004,1,MATCH(COLUMNS($AO$1006:AV1006),$AO$1006:$BQ$1006,0)))),"Fix")))</f>
        <v>#N/A</v>
      </c>
      <c r="J51" s="5" t="e">
        <f ca="1">IF(OR(INDEX($AI$2:$AI$1001,MATCH(ROWS($AH$2:AH51),$AH$2:$AH$1001,0),1)&gt;=100000,INDEX($AO$1005:$BQ$1005,1,MATCH(COLUMNS($AO$1006:AW1006),$AO$1006:$BQ$1006,0))&gt;=100000), " ",IF(INDEX($AO$2:$BQ$1001,MATCH(ROWS($AH$2:AH51),$AH$2:$AH$1001,0),MATCH(COLUMNS($AO$1006:AW1006),$AO$1006:$BQ$1006,0)), HYPERLINK("#",""), HYPERLINK(CONCATENATE("#Metadata!", ADDRESS(INDEX($AJ$2:$AJ$1001,MATCH(ROWS($AH$2:AH51),$AH$2:$AH$1001,0),0), INDEX($AO$1004:$BQ$1004,1,MATCH(COLUMNS($AO$1006:AW1006),$AO$1006:$BQ$1006,0)))),"Fix")))</f>
        <v>#N/A</v>
      </c>
      <c r="K51" s="5" t="e">
        <f ca="1">IF(OR(INDEX($AI$2:$AI$1001,MATCH(ROWS($AH$2:AH51),$AH$2:$AH$1001,0),1)&gt;=100000,INDEX($AO$1005:$BQ$1005,1,MATCH(COLUMNS($AO$1006:AX1006),$AO$1006:$BQ$1006,0))&gt;=100000), " ",IF(INDEX($AO$2:$BQ$1001,MATCH(ROWS($AH$2:AH51),$AH$2:$AH$1001,0),MATCH(COLUMNS($AO$1006:AX1006),$AO$1006:$BQ$1006,0)), HYPERLINK("#",""), HYPERLINK(CONCATENATE("#Metadata!", ADDRESS(INDEX($AJ$2:$AJ$1001,MATCH(ROWS($AH$2:AH51),$AH$2:$AH$1001,0),0), INDEX($AO$1004:$BQ$1004,1,MATCH(COLUMNS($AO$1006:AX1006),$AO$1006:$BQ$1006,0)))),"Fix")))</f>
        <v>#N/A</v>
      </c>
      <c r="L51" s="5" t="e">
        <f ca="1">IF(OR(INDEX($AI$2:$AI$1001,MATCH(ROWS($AH$2:AH51),$AH$2:$AH$1001,0),1)&gt;=100000,INDEX($AO$1005:$BQ$1005,1,MATCH(COLUMNS($AO$1006:AY1006),$AO$1006:$BQ$1006,0))&gt;=100000), " ",IF(INDEX($AO$2:$BQ$1001,MATCH(ROWS($AH$2:AH51),$AH$2:$AH$1001,0),MATCH(COLUMNS($AO$1006:AY1006),$AO$1006:$BQ$1006,0)), HYPERLINK("#",""), HYPERLINK(CONCATENATE("#Metadata!", ADDRESS(INDEX($AJ$2:$AJ$1001,MATCH(ROWS($AH$2:AH51),$AH$2:$AH$1001,0),0), INDEX($AO$1004:$BQ$1004,1,MATCH(COLUMNS($AO$1006:AY1006),$AO$1006:$BQ$1006,0)))),"Fix")))</f>
        <v>#N/A</v>
      </c>
      <c r="M51" s="5" t="e">
        <f ca="1">IF(OR(INDEX($AI$2:$AI$1001,MATCH(ROWS($AH$2:AH51),$AH$2:$AH$1001,0),1)&gt;=100000,INDEX($AO$1005:$BQ$1005,1,MATCH(COLUMNS($AO$1006:AZ1006),$AO$1006:$BQ$1006,0))&gt;=100000), " ",IF(INDEX($AO$2:$BQ$1001,MATCH(ROWS($AH$2:AH51),$AH$2:$AH$1001,0),MATCH(COLUMNS($AO$1006:AZ1006),$AO$1006:$BQ$1006,0)), HYPERLINK("#",""), HYPERLINK(CONCATENATE("#Metadata!", ADDRESS(INDEX($AJ$2:$AJ$1001,MATCH(ROWS($AH$2:AH51),$AH$2:$AH$1001,0),0), INDEX($AO$1004:$BQ$1004,1,MATCH(COLUMNS($AO$1006:AZ1006),$AO$1006:$BQ$1006,0)))),"Fix")))</f>
        <v>#N/A</v>
      </c>
      <c r="N51" s="5" t="e">
        <f ca="1">IF(OR(INDEX($AI$2:$AI$1001,MATCH(ROWS($AH$2:AH51),$AH$2:$AH$1001,0),1)&gt;=100000,INDEX($AO$1005:$BQ$1005,1,MATCH(COLUMNS($AO$1006:BA1006),$AO$1006:$BQ$1006,0))&gt;=100000), " ",IF(INDEX($AO$2:$BQ$1001,MATCH(ROWS($AH$2:AH51),$AH$2:$AH$1001,0),MATCH(COLUMNS($AO$1006:BA1006),$AO$1006:$BQ$1006,0)), HYPERLINK("#",""), HYPERLINK(CONCATENATE("#Metadata!", ADDRESS(INDEX($AJ$2:$AJ$1001,MATCH(ROWS($AH$2:AH51),$AH$2:$AH$1001,0),0), INDEX($AO$1004:$BQ$1004,1,MATCH(COLUMNS($AO$1006:BA1006),$AO$1006:$BQ$1006,0)))),"Fix")))</f>
        <v>#N/A</v>
      </c>
      <c r="O51" s="5" t="e">
        <f ca="1">IF(OR(INDEX($AI$2:$AI$1001,MATCH(ROWS($AH$2:AH51),$AH$2:$AH$1001,0),1)&gt;=100000,INDEX($AO$1005:$BQ$1005,1,MATCH(COLUMNS($AO$1006:BB1006),$AO$1006:$BQ$1006,0))&gt;=100000), " ",IF(INDEX($AO$2:$BQ$1001,MATCH(ROWS($AH$2:AH51),$AH$2:$AH$1001,0),MATCH(COLUMNS($AO$1006:BB1006),$AO$1006:$BQ$1006,0)), HYPERLINK("#",""), HYPERLINK(CONCATENATE("#Metadata!", ADDRESS(INDEX($AJ$2:$AJ$1001,MATCH(ROWS($AH$2:AH51),$AH$2:$AH$1001,0),0), INDEX($AO$1004:$BQ$1004,1,MATCH(COLUMNS($AO$1006:BB1006),$AO$1006:$BQ$1006,0)))),"Fix")))</f>
        <v>#N/A</v>
      </c>
      <c r="P51" s="5" t="e">
        <f ca="1">IF(OR(INDEX($AI$2:$AI$1001,MATCH(ROWS($AH$2:AH51),$AH$2:$AH$1001,0),1)&gt;=100000,INDEX($AO$1005:$BQ$1005,1,MATCH(COLUMNS($AO$1006:BC1006),$AO$1006:$BQ$1006,0))&gt;=100000), " ",IF(INDEX($AO$2:$BQ$1001,MATCH(ROWS($AH$2:AH51),$AH$2:$AH$1001,0),MATCH(COLUMNS($AO$1006:BC1006),$AO$1006:$BQ$1006,0)), HYPERLINK("#",""), HYPERLINK(CONCATENATE("#Metadata!", ADDRESS(INDEX($AJ$2:$AJ$1001,MATCH(ROWS($AH$2:AH51),$AH$2:$AH$1001,0),0), INDEX($AO$1004:$BQ$1004,1,MATCH(COLUMNS($AO$1006:BC1006),$AO$1006:$BQ$1006,0)))),"Fix")))</f>
        <v>#N/A</v>
      </c>
      <c r="Q51" s="5" t="e">
        <f ca="1">IF(OR(INDEX($AI$2:$AI$1001,MATCH(ROWS($AH$2:AH51),$AH$2:$AH$1001,0),1)&gt;=100000,INDEX($AO$1005:$BQ$1005,1,MATCH(COLUMNS($AO$1006:BD1006),$AO$1006:$BQ$1006,0))&gt;=100000), " ",IF(INDEX($AO$2:$BQ$1001,MATCH(ROWS($AH$2:AH51),$AH$2:$AH$1001,0),MATCH(COLUMNS($AO$1006:BD1006),$AO$1006:$BQ$1006,0)), HYPERLINK("#",""), HYPERLINK(CONCATENATE("#Metadata!", ADDRESS(INDEX($AJ$2:$AJ$1001,MATCH(ROWS($AH$2:AH51),$AH$2:$AH$1001,0),0), INDEX($AO$1004:$BQ$1004,1,MATCH(COLUMNS($AO$1006:BD1006),$AO$1006:$BQ$1006,0)))),"Fix")))</f>
        <v>#N/A</v>
      </c>
      <c r="R51" s="5" t="e">
        <f ca="1">IF(OR(INDEX($AI$2:$AI$1001,MATCH(ROWS($AH$2:AH51),$AH$2:$AH$1001,0),1)&gt;=100000,INDEX($AO$1005:$BQ$1005,1,MATCH(COLUMNS($AO$1006:BE1006),$AO$1006:$BQ$1006,0))&gt;=100000), " ",IF(INDEX($AO$2:$BQ$1001,MATCH(ROWS($AH$2:AH51),$AH$2:$AH$1001,0),MATCH(COLUMNS($AO$1006:BE1006),$AO$1006:$BQ$1006,0)), HYPERLINK("#",""), HYPERLINK(CONCATENATE("#Metadata!", ADDRESS(INDEX($AJ$2:$AJ$1001,MATCH(ROWS($AH$2:AH51),$AH$2:$AH$1001,0),0), INDEX($AO$1004:$BQ$1004,1,MATCH(COLUMNS($AO$1006:BE1006),$AO$1006:$BQ$1006,0)))),"Fix")))</f>
        <v>#N/A</v>
      </c>
      <c r="S51" s="5" t="e">
        <f ca="1">IF(OR(INDEX($AI$2:$AI$1001,MATCH(ROWS($AH$2:AH51),$AH$2:$AH$1001,0),1)&gt;=100000,INDEX($AO$1005:$BQ$1005,1,MATCH(COLUMNS($AO$1006:BF1006),$AO$1006:$BQ$1006,0))&gt;=100000), " ",IF(INDEX($AO$2:$BQ$1001,MATCH(ROWS($AH$2:AH51),$AH$2:$AH$1001,0),MATCH(COLUMNS($AO$1006:BF1006),$AO$1006:$BQ$1006,0)), HYPERLINK("#",""), HYPERLINK(CONCATENATE("#Metadata!", ADDRESS(INDEX($AJ$2:$AJ$1001,MATCH(ROWS($AH$2:AH51),$AH$2:$AH$1001,0),0), INDEX($AO$1004:$BQ$1004,1,MATCH(COLUMNS($AO$1006:BF1006),$AO$1006:$BQ$1006,0)))),"Fix")))</f>
        <v>#N/A</v>
      </c>
      <c r="T51" s="5" t="e">
        <f ca="1">IF(OR(INDEX($AI$2:$AI$1001,MATCH(ROWS($AH$2:AH51),$AH$2:$AH$1001,0),1)&gt;=100000,INDEX($AO$1005:$BQ$1005,1,MATCH(COLUMNS($AO$1006:BG1006),$AO$1006:$BQ$1006,0))&gt;=100000), " ",IF(INDEX($AO$2:$BQ$1001,MATCH(ROWS($AH$2:AH51),$AH$2:$AH$1001,0),MATCH(COLUMNS($AO$1006:BG1006),$AO$1006:$BQ$1006,0)), HYPERLINK("#",""), HYPERLINK(CONCATENATE("#Metadata!", ADDRESS(INDEX($AJ$2:$AJ$1001,MATCH(ROWS($AH$2:AH51),$AH$2:$AH$1001,0),0), INDEX($AO$1004:$BQ$1004,1,MATCH(COLUMNS($AO$1006:BG1006),$AO$1006:$BQ$1006,0)))),"Fix")))</f>
        <v>#N/A</v>
      </c>
      <c r="U51" s="5" t="e">
        <f ca="1">IF(OR(INDEX($AI$2:$AI$1001,MATCH(ROWS($AH$2:AH51),$AH$2:$AH$1001,0),1)&gt;=100000,INDEX($AO$1005:$BQ$1005,1,MATCH(COLUMNS($AO$1006:BH1006),$AO$1006:$BQ$1006,0))&gt;=100000), " ",IF(INDEX($AO$2:$BQ$1001,MATCH(ROWS($AH$2:AH51),$AH$2:$AH$1001,0),MATCH(COLUMNS($AO$1006:BH1006),$AO$1006:$BQ$1006,0)), HYPERLINK("#",""), HYPERLINK(CONCATENATE("#Metadata!", ADDRESS(INDEX($AJ$2:$AJ$1001,MATCH(ROWS($AH$2:AH51),$AH$2:$AH$1001,0),0), INDEX($AO$1004:$BQ$1004,1,MATCH(COLUMNS($AO$1006:BH1006),$AO$1006:$BQ$1006,0)))),"Fix")))</f>
        <v>#N/A</v>
      </c>
      <c r="V51" s="5" t="e">
        <f ca="1">IF(OR(INDEX($AI$2:$AI$1001,MATCH(ROWS($AH$2:AH51),$AH$2:$AH$1001,0),1)&gt;=100000,INDEX($AO$1005:$BQ$1005,1,MATCH(COLUMNS($AO$1006:BI1006),$AO$1006:$BQ$1006,0))&gt;=100000), " ",IF(INDEX($AO$2:$BQ$1001,MATCH(ROWS($AH$2:AH51),$AH$2:$AH$1001,0),MATCH(COLUMNS($AO$1006:BI1006),$AO$1006:$BQ$1006,0)), HYPERLINK("#",""), HYPERLINK(CONCATENATE("#Metadata!", ADDRESS(INDEX($AJ$2:$AJ$1001,MATCH(ROWS($AH$2:AH51),$AH$2:$AH$1001,0),0), INDEX($AO$1004:$BQ$1004,1,MATCH(COLUMNS($AO$1006:BI1006),$AO$1006:$BQ$1006,0)))),"Fix")))</f>
        <v>#N/A</v>
      </c>
      <c r="W51" s="5" t="e">
        <f ca="1">IF(OR(INDEX($AI$2:$AI$1001,MATCH(ROWS($AH$2:AH51),$AH$2:$AH$1001,0),1)&gt;=100000,INDEX($AO$1005:$BQ$1005,1,MATCH(COLUMNS($AO$1006:BJ1006),$AO$1006:$BQ$1006,0))&gt;=100000), " ",IF(INDEX($AO$2:$BQ$1001,MATCH(ROWS($AH$2:AH51),$AH$2:$AH$1001,0),MATCH(COLUMNS($AO$1006:BJ1006),$AO$1006:$BQ$1006,0)), HYPERLINK("#",""), HYPERLINK(CONCATENATE("#Metadata!", ADDRESS(INDEX($AJ$2:$AJ$1001,MATCH(ROWS($AH$2:AH51),$AH$2:$AH$1001,0),0), INDEX($AO$1004:$BQ$1004,1,MATCH(COLUMNS($AO$1006:BJ1006),$AO$1006:$BQ$1006,0)))),"Fix")))</f>
        <v>#N/A</v>
      </c>
      <c r="X51" s="5" t="e">
        <f ca="1">IF(OR(INDEX($AI$2:$AI$1001,MATCH(ROWS($AH$2:AH51),$AH$2:$AH$1001,0),1)&gt;=100000,INDEX($AO$1005:$BQ$1005,1,MATCH(COLUMNS($AO$1006:BK1006),$AO$1006:$BQ$1006,0))&gt;=100000), " ",IF(INDEX($AO$2:$BQ$1001,MATCH(ROWS($AH$2:AH51),$AH$2:$AH$1001,0),MATCH(COLUMNS($AO$1006:BK1006),$AO$1006:$BQ$1006,0)), HYPERLINK("#",""), HYPERLINK(CONCATENATE("#Metadata!", ADDRESS(INDEX($AJ$2:$AJ$1001,MATCH(ROWS($AH$2:AH51),$AH$2:$AH$1001,0),0), INDEX($AO$1004:$BQ$1004,1,MATCH(COLUMNS($AO$1006:BK1006),$AO$1006:$BQ$1006,0)))),"Fix")))</f>
        <v>#N/A</v>
      </c>
      <c r="Y51" s="5" t="e">
        <f ca="1">IF(OR(INDEX($AI$2:$AI$1001,MATCH(ROWS($AH$2:AH51),$AH$2:$AH$1001,0),1)&gt;=100000,INDEX($AO$1005:$BQ$1005,1,MATCH(COLUMNS($AO$1006:BL1006),$AO$1006:$BQ$1006,0))&gt;=100000), " ",IF(INDEX($AO$2:$BQ$1001,MATCH(ROWS($AH$2:AH51),$AH$2:$AH$1001,0),MATCH(COLUMNS($AO$1006:BL1006),$AO$1006:$BQ$1006,0)), HYPERLINK("#",""), HYPERLINK(CONCATENATE("#Metadata!", ADDRESS(INDEX($AJ$2:$AJ$1001,MATCH(ROWS($AH$2:AH51),$AH$2:$AH$1001,0),0), INDEX($AO$1004:$BQ$1004,1,MATCH(COLUMNS($AO$1006:BL1006),$AO$1006:$BQ$1006,0)))),"Fix")))</f>
        <v>#N/A</v>
      </c>
      <c r="Z51" s="5" t="e">
        <f ca="1">IF(OR(INDEX($AI$2:$AI$1001,MATCH(ROWS($AH$2:AH51),$AH$2:$AH$1001,0),1)&gt;=100000,INDEX($AO$1005:$BQ$1005,1,MATCH(COLUMNS($AO$1006:BM1006),$AO$1006:$BQ$1006,0))&gt;=100000), " ",IF(INDEX($AO$2:$BQ$1001,MATCH(ROWS($AH$2:AH51),$AH$2:$AH$1001,0),MATCH(COLUMNS($AO$1006:BM1006),$AO$1006:$BQ$1006,0)), HYPERLINK("#",""), HYPERLINK(CONCATENATE("#Metadata!", ADDRESS(INDEX($AJ$2:$AJ$1001,MATCH(ROWS($AH$2:AH51),$AH$2:$AH$1001,0),0), INDEX($AO$1004:$BQ$1004,1,MATCH(COLUMNS($AO$1006:BM1006),$AO$1006:$BQ$1006,0)))),"Fix")))</f>
        <v>#N/A</v>
      </c>
      <c r="AA51" s="5" t="e">
        <f ca="1">IF(OR(INDEX($AI$2:$AI$1001,MATCH(ROWS($AH$2:AH51),$AH$2:$AH$1001,0),1)&gt;=100000,INDEX($AO$1005:$BQ$1005,1,MATCH(COLUMNS($AO$1006:BN1006),$AO$1006:$BQ$1006,0))&gt;=100000), " ",IF(INDEX($AO$2:$BQ$1001,MATCH(ROWS($AH$2:AH51),$AH$2:$AH$1001,0),MATCH(COLUMNS($AO$1006:BN1006),$AO$1006:$BQ$1006,0)), HYPERLINK("#",""), HYPERLINK(CONCATENATE("#Metadata!", ADDRESS(INDEX($AJ$2:$AJ$1001,MATCH(ROWS($AH$2:AH51),$AH$2:$AH$1001,0),0), INDEX($AO$1004:$BQ$1004,1,MATCH(COLUMNS($AO$1006:BN1006),$AO$1006:$BQ$1006,0)))),"Fix")))</f>
        <v>#N/A</v>
      </c>
      <c r="AB51" s="5" t="e">
        <f ca="1">IF(OR(INDEX($AI$2:$AI$1001,MATCH(ROWS($AH$2:AH51),$AH$2:$AH$1001,0),1)&gt;=100000,INDEX($AO$1005:$BQ$1005,1,MATCH(COLUMNS($AO$1006:BO1006),$AO$1006:$BQ$1006,0))&gt;=100000), " ",IF(INDEX($AO$2:$BQ$1001,MATCH(ROWS($AH$2:AH51),$AH$2:$AH$1001,0),MATCH(COLUMNS($AO$1006:BO1006),$AO$1006:$BQ$1006,0)), HYPERLINK("#",""), HYPERLINK(CONCATENATE("#Metadata!", ADDRESS(INDEX($AJ$2:$AJ$1001,MATCH(ROWS($AH$2:AH51),$AH$2:$AH$1001,0),0), INDEX($AO$1004:$BQ$1004,1,MATCH(COLUMNS($AO$1006:BO1006),$AO$1006:$BQ$1006,0)))),"Fix")))</f>
        <v>#N/A</v>
      </c>
      <c r="AC51" s="5" t="e">
        <f ca="1">IF(OR(INDEX($AI$2:$AI$1001,MATCH(ROWS($AH$2:AH51),$AH$2:$AH$1001,0),1)&gt;=100000,INDEX($AO$1005:$BQ$1005,1,MATCH(COLUMNS($AO$1006:BP1006),$AO$1006:$BQ$1006,0))&gt;=100000), " ",IF(INDEX($AO$2:$BQ$1001,MATCH(ROWS($AH$2:AH51),$AH$2:$AH$1001,0),MATCH(COLUMNS($AO$1006:BP1006),$AO$1006:$BQ$1006,0)), HYPERLINK("#",""), HYPERLINK(CONCATENATE("#Metadata!", ADDRESS(INDEX($AJ$2:$AJ$1001,MATCH(ROWS($AH$2:AH51),$AH$2:$AH$1001,0),0), INDEX($AO$1004:$BQ$1004,1,MATCH(COLUMNS($AO$1006:BP1006),$AO$1006:$BQ$1006,0)))),"Fix")))</f>
        <v>#N/A</v>
      </c>
      <c r="AD51" s="5" t="e">
        <f ca="1">IF(OR(INDEX($AI$2:$AI$1001,MATCH(ROWS($AH$2:AH51),$AH$2:$AH$1001,0),1)&gt;=100000,INDEX($AO$1005:$BQ$1005,1,MATCH(COLUMNS($AO$1006:BQ1006),$AO$1006:$BQ$1006,0))&gt;=100000), " ",IF(INDEX($AO$2:$BQ$1001,MATCH(ROWS($AH$2:AH51),$AH$2:$AH$1001,0),MATCH(COLUMNS($AO$1006:BQ1006),$AO$1006:$BQ$1006,0)), HYPERLINK("#",""), HYPERLINK(CONCATENATE("#Metadata!", ADDRESS(INDEX($AJ$2:$AJ$1001,MATCH(ROWS($AH$2:AH51),$AH$2:$AH$1001,0),0), INDEX($AO$1004:$BQ$1004,1,MATCH(COLUMNS($AO$1006:BQ1006),$AO$1006:$BQ$1006,0)))),"Fix")))</f>
        <v>#REF!</v>
      </c>
      <c r="AH51">
        <f ca="1"/>
        <v>48</v>
      </c>
      <c r="AI51">
        <f ca="1"/>
        <v>51</v>
      </c>
      <c r="AJ51">
        <v>51</v>
      </c>
      <c r="AK51" t="b">
        <f t="shared" ca="1" si="0"/>
        <v>0</v>
      </c>
      <c r="AL51" t="b">
        <f>COUNTBLANK(Metadata!B51:AD51)=COLUMNS(Metadata!B51:AD51)</f>
        <v>0</v>
      </c>
      <c r="AM51" t="str">
        <v>Environment.Water.2.BTP.179Water</v>
      </c>
      <c r="AO51" t="b">
        <f ca="1">AND(IF(Metadata!B50="",FALSE,TRUE),COUNTIF(Metadata!B:B, Metadata!B50) = 1,NOT(ISERROR(SUMPRODUCT(SEARCH(MID(Metadata!B50,ROW(INDIRECT("1:"&amp;LEN(Metadata!B50))), 1),"0123456789abcdefghijklmnopqrstuvwxyzABCDEFGHIJKLMNOPQRSTUVWXYZ.")))))</f>
        <v>1</v>
      </c>
      <c r="AP51" t="b">
        <f>IF(Metadata!C50="",FALSE,TRUE)</f>
        <v>1</v>
      </c>
      <c r="AQ51" t="b">
        <f>IF(Metadata!D50="",FALSE,TRUE)</f>
        <v>1</v>
      </c>
      <c r="AR51" t="b">
        <f ca="1">OR(AND(IF(Metadata!E50="",FALSE,TRUE),OR(EXACT(Metadata!E50,"not collected"),EXACT(Metadata!E50,"not provided"),EXACT(Metadata!E50,"restricted access"))),AND(IF(Metadata!E50="",FALSE,TRUE),AND(AND(IFERROR(INT(LEFT(Metadata!E50,4))&gt;1900,FALSE),IFERROR(INT(LEFT(Metadata!E50,4))&lt;=YEAR(NOW()),FALSE)), OR(MID(Metadata!E50,5,1)="", AND(AND(MID(Metadata!E50,5,1)="-",IFERROR(INT(MID(Metadata!E50,6,1))&gt;=0,FALSE),IFERROR(INT(MID(Metadata!E50,6,1))&lt;=1,FALSE),NOT(MID(Metadata!E50,7,1)=""),IFERROR(INT(MID(Metadata!E50,6,2))&gt;=1,FALSE),IFERROR(INT(MID(Metadata!E50,6,2))&lt;=12,FALSE)), OR(MID(Metadata!E50,8,1)="", AND(AND(MID(Metadata!E50,8,1)="-",IFERROR(INT(MID(Metadata!E50,9,1))&gt;=0,FALSE),IFERROR(INT(MID(Metadata!E50,9,1))&lt;=3,FALSE),NOT(MID(Metadata!E50,10,1)=""),IFERROR(INT(MID(Metadata!E50,9,2))&gt;=1,FALSE),IFERROR(INT(MID(Metadata!E50,9,2))&lt;=31,FALSE)), OR(MID(Metadata!E50,11,1)="", AND(AND(MID(Metadata!E50,11,1)=" ",IFERROR(INT(MID(Metadata!E50,12,1))&gt;=0,FALSE),IFERROR(INT(MID(Metadata!E50,12,1))&lt;=2,FALSE),NOT(MID(Metadata!E50,13,1)=""),IFERROR(INT(MID(Metadata!E50,12,2))&gt;=0,FALSE),IFERROR(INT(MID(Metadata!E50,12,2))&lt;=23,FALSE)), OR(MID(Metadata!E50,14,1)="", AND(AND(MID(Metadata!E50,14,1)=":",IFERROR(INT(MID(Metadata!E50,15,1))&gt;=0,FALSE),IFERROR(INT(MID(Metadata!E50,15,1))&lt;=5,FALSE),NOT(MID(Metadata!E50,16,1)=""),IFERROR(INT(MID(Metadata!E50,15,2))&gt;=0,FALSE),IFERROR(INT(MID(Metadata!E50,15,2))&lt;=59,FALSE)), OR(MID(Metadata!E50,17,1)="", AND(AND(MID(Metadata!E50,17,1)=":",IFERROR(INT(MID(Metadata!E50,18,1))&gt;=0,FALSE),IFERROR(INT(MID(Metadata!E50,18,1))&lt;=5,FALSE),NOT(MID(Metadata!E50,19,1)=""),IFERROR(INT(MID(Metadata!E50,18,2))&gt;=0,FALSE),IFERROR(INT(MID(Metadata!E50,18,2))&lt;=59,FALSE)), LEN(Metadata!E50)&lt;=19)))))))))))))</f>
        <v>0</v>
      </c>
      <c r="AS51" t="b">
        <f>IF(Metadata!F50="",FALSE,TRUE)</f>
        <v>1</v>
      </c>
      <c r="AT51" t="b">
        <f>OR(AND(IF(Metadata!G50="",FALSE,TRUE),OR(EXACT(Metadata!G50,"not collected"),EXACT(Metadata!G50,"not provided"))),AND(IF(Metadata!G50="",FALSE,TRUE),OR(EXACT(Metadata!G50,"TRUE"),EXACT(Metadata!G50,"FALSE"))))</f>
        <v>1</v>
      </c>
      <c r="AU51" t="b">
        <f>OR(AND(IF(Metadata!H50="",FALSE,TRUE),OR(EXACT(Metadata!H50,"not collected"),EXACT(Metadata!H50,"not provided"),EXACT(Metadata!H50,"restricted access"))),AND(IF(Metadata!H50="",FALSE,ISNUMBER(VALUE(Metadata!H50))),Metadata!H50&gt;=-413))</f>
        <v>0</v>
      </c>
      <c r="AV51" t="b">
        <f>AND(IF(Metadata!I50="",FALSE,TRUE),EXACT(Metadata!I50,"meters"))</f>
        <v>1</v>
      </c>
      <c r="AW51" t="b">
        <f>AND(IF(Metadata!J50="",FALSE,TRUE),EXACT(Metadata!J50,"free-living"))</f>
        <v>1</v>
      </c>
      <c r="AX51" t="b">
        <f>AND(IF(Metadata!K50="",FALSE,TRUE),OR(EXACT(Metadata!K50,"saline"),EXACT(Metadata!K50,"non-saline")))</f>
        <v>1</v>
      </c>
      <c r="AY51" t="b">
        <f>AND(IF(Metadata!L50="",FALSE,TRUE),OR(EXACT(Metadata!L50,"sub-surface (non-saline)"),EXACT(Metadata!L50,"surface (non-saline)"),EXACT(Metadata!L50,"water (non-saline)"),EXACT(Metadata!L50,"soil (non-saline)"),EXACT(Metadata!L50,"aerosol (non-saline)"),EXACT(Metadata!L50,"sediment (non-saline)"),EXACT(Metadata!L50,"surface (saline)"),EXACT(Metadata!L50,"water (saline)"),EXACT(Metadata!L50,"hypersaline (saline)"),EXACT(Metadata!L50,"aerosol (saline)"),EXACT(Metadata!L50,"sediment (saline)")))</f>
        <v>1</v>
      </c>
      <c r="AZ51" t="b">
        <f>IF(Metadata!M50="",FALSE,TRUE)</f>
        <v>1</v>
      </c>
      <c r="BA51" t="b">
        <f>IF(Metadata!N50="",FALSE,TRUE)</f>
        <v>1</v>
      </c>
      <c r="BB51" t="b">
        <f>IF(Metadata!O50="",FALSE,TRUE)</f>
        <v>1</v>
      </c>
      <c r="BC51" t="b">
        <f>AND(IF(Metadata!P50="",FALSE,TRUE),OR(EXACT(Metadata!P50,"air"),EXACT(Metadata!P50,"microbial mat/biofilm"),EXACT(Metadata!P50,"misc environment"),EXACT(Metadata!P50,"sediment"),EXACT(Metadata!P50,"soil"),EXACT(Metadata!P50,"wastewater/sludge"),EXACT(Metadata!P50,"water")))</f>
        <v>1</v>
      </c>
      <c r="BD51" t="b">
        <f>IF(Metadata!Q50="",FALSE,TRUE)</f>
        <v>1</v>
      </c>
      <c r="BE51" t="b">
        <f>IF(Metadata!R50="",FALSE,TRUE)</f>
        <v>1</v>
      </c>
      <c r="BF51" t="b">
        <f>OR(AND(IF(Metadata!S50="",FALSE,TRUE),OR(EXACT(Metadata!S50,"not collected"),EXACT(Metadata!S50,"not provided"),EXACT(Metadata!S50,"restricted access"))),AND(IF(Metadata!S50="",FALSE,ISNUMBER(VALUE(Metadata!S50))),Metadata!S50&gt;=-90,Metadata!S50&lt;=90))</f>
        <v>0</v>
      </c>
      <c r="BG51" t="b">
        <f>AND(IF(Metadata!T50="",FALSE,TRUE),EXACT(Metadata!T50,"Decimal degrees"))</f>
        <v>1</v>
      </c>
      <c r="BH51" t="b">
        <f>OR(AND(IF(Metadata!U50="",FALSE,TRUE),OR(EXACT(Metadata!U50,"not applicable"),EXACT(Metadata!U50,"not collected"))),IF(Metadata!U50="",FALSE,TRUE))</f>
        <v>1</v>
      </c>
      <c r="BI51" t="b">
        <f>OR(AND(IF(Metadata!V50="",FALSE,TRUE),OR(EXACT(Metadata!V50,"not collected"),EXACT(Metadata!V50,"not provided"),EXACT(Metadata!V50,"restricted access"))),AND(IF(Metadata!V50="",FALSE,ISNUMBER(VALUE(Metadata!V50))),Metadata!V50&gt;=-180,Metadata!V50&lt;=180))</f>
        <v>0</v>
      </c>
      <c r="BJ51" t="b">
        <f>AND(IF(Metadata!W50="",FALSE,TRUE),EXACT(Metadata!W50,"Decimal degrees"))</f>
        <v>1</v>
      </c>
      <c r="BK51" t="b">
        <f>IF(Metadata!X50="",FALSE,TRUE)</f>
        <v>1</v>
      </c>
      <c r="BL51" t="b">
        <f>OR(AND(IF(Metadata!Y50="",FALSE,TRUE),OR(EXACT(Metadata!Y50,"not collected"),EXACT(Metadata!Y50,"not provided"),EXACT(Metadata!Y50,"restricted access"))),AND(IF(Metadata!Y50="",FALSE,TRUE),OR(EXACT(Metadata!Y50,"TRUE"),EXACT(Metadata!Y50,"FALSE"))))</f>
        <v>1</v>
      </c>
      <c r="BM51" t="b">
        <f>OR(AND(IF(Metadata!Z50="",FALSE,TRUE),EXACT(Metadata!Z50,"not applicable")),AND(IF(Metadata!Z50="",FALSE,TRUE),OR(EXACT(Metadata!Z50,"beer"),EXACT(Metadata!Z50,"cheese"),EXACT(Metadata!Z50,"fresh water"),EXACT(Metadata!Z50,"marine sediment"),EXACT(Metadata!Z50,"sea water"),EXACT(Metadata!Z50,"sediment"),EXACT(Metadata!Z50,"soil"),EXACT(Metadata!Z50,"waste water"))))</f>
        <v>1</v>
      </c>
      <c r="BN51" t="b">
        <f>AND(IF(Metadata!AA50="",FALSE,TRUE),EXACT(Metadata!AA50,"metagenome"))</f>
        <v>1</v>
      </c>
      <c r="BO51" t="b">
        <f>AND(IF(Metadata!AB50="",FALSE,TRUE),EXACT(Metadata!AB50,"256318"))</f>
        <v>1</v>
      </c>
      <c r="BP51" t="b">
        <f>IF(Metadata!AC50="",FALSE,TRUE)</f>
        <v>1</v>
      </c>
      <c r="BQ51" t="b">
        <f>IF(Metadata!AD50="",FALSE,TRUE)</f>
        <v>1</v>
      </c>
    </row>
    <row r="52" spans="1:69" x14ac:dyDescent="0.2">
      <c r="A52" s="4" t="e">
        <f ca="1">IF(B52=" "," ",HYPERLINK(CONCATENATE("#metadata!",ADDRESS(INDEX($AJ$2:$AJ$1001,MATCH(ROWS($AH$2:AH52),$AH$2:$AH$1001,0),0),2)),INDEX($AM$2:$AM$1001,MATCH(ROWS($AH$2:AH52),$AH$2:$AH$1001,0),0)))</f>
        <v>#N/A</v>
      </c>
      <c r="B52" s="5" t="e">
        <f ca="1">IF(OR(INDEX($AI$2:$AI$1001,MATCH(ROWS($AH$2:AH52),$AH$2:$AH$1001,0),1)&gt;=100000,INDEX($AO$1005:$BQ$1005,1,MATCH(COLUMNS($AO$1006:AO1006),$AO$1006:$BQ$1006,0))&gt;=100000), " ",IF(INDEX($AO$2:$BQ$1001,MATCH(ROWS($AH$2:AH52),$AH$2:$AH$1001,0),MATCH(COLUMNS($AO$1006:AO1006),$AO$1006:$BQ$1006,0)), HYPERLINK("#",""), HYPERLINK(CONCATENATE("#Metadata!", ADDRESS(INDEX($AJ$2:$AJ$1001,MATCH(ROWS($AH$2:AH52),$AH$2:$AH$1001,0),0), INDEX($AO$1004:$BQ$1004,1,MATCH(COLUMNS($AO$1006:AO1006),$AO$1006:$BQ$1006,0)))),"Fix")))</f>
        <v>#N/A</v>
      </c>
      <c r="C52" s="5" t="e">
        <f ca="1">IF(OR(INDEX($AI$2:$AI$1001,MATCH(ROWS($AH$2:AH52),$AH$2:$AH$1001,0),1)&gt;=100000,INDEX($AO$1005:$BQ$1005,1,MATCH(COLUMNS($AO$1006:AP1006),$AO$1006:$BQ$1006,0))&gt;=100000), " ",IF(INDEX($AO$2:$BQ$1001,MATCH(ROWS($AH$2:AH52),$AH$2:$AH$1001,0),MATCH(COLUMNS($AO$1006:AP1006),$AO$1006:$BQ$1006,0)), HYPERLINK("#",""), HYPERLINK(CONCATENATE("#Metadata!", ADDRESS(INDEX($AJ$2:$AJ$1001,MATCH(ROWS($AH$2:AH52),$AH$2:$AH$1001,0),0), INDEX($AO$1004:$BQ$1004,1,MATCH(COLUMNS($AO$1006:AP1006),$AO$1006:$BQ$1006,0)))),"Fix")))</f>
        <v>#N/A</v>
      </c>
      <c r="D52" s="5" t="e">
        <f ca="1">IF(OR(INDEX($AI$2:$AI$1001,MATCH(ROWS($AH$2:AH52),$AH$2:$AH$1001,0),1)&gt;=100000,INDEX($AO$1005:$BQ$1005,1,MATCH(COLUMNS($AO$1006:AQ1006),$AO$1006:$BQ$1006,0))&gt;=100000), " ",IF(INDEX($AO$2:$BQ$1001,MATCH(ROWS($AH$2:AH52),$AH$2:$AH$1001,0),MATCH(COLUMNS($AO$1006:AQ1006),$AO$1006:$BQ$1006,0)), HYPERLINK("#",""), HYPERLINK(CONCATENATE("#Metadata!", ADDRESS(INDEX($AJ$2:$AJ$1001,MATCH(ROWS($AH$2:AH52),$AH$2:$AH$1001,0),0), INDEX($AO$1004:$BQ$1004,1,MATCH(COLUMNS($AO$1006:AQ1006),$AO$1006:$BQ$1006,0)))),"Fix")))</f>
        <v>#N/A</v>
      </c>
      <c r="E52" s="5" t="e">
        <f ca="1">IF(OR(INDEX($AI$2:$AI$1001,MATCH(ROWS($AH$2:AH52),$AH$2:$AH$1001,0),1)&gt;=100000,INDEX($AO$1005:$BQ$1005,1,MATCH(COLUMNS($AO$1006:AR1006),$AO$1006:$BQ$1006,0))&gt;=100000), " ",IF(INDEX($AO$2:$BQ$1001,MATCH(ROWS($AH$2:AH52),$AH$2:$AH$1001,0),MATCH(COLUMNS($AO$1006:AR1006),$AO$1006:$BQ$1006,0)), HYPERLINK("#",""), HYPERLINK(CONCATENATE("#Metadata!", ADDRESS(INDEX($AJ$2:$AJ$1001,MATCH(ROWS($AH$2:AH52),$AH$2:$AH$1001,0),0), INDEX($AO$1004:$BQ$1004,1,MATCH(COLUMNS($AO$1006:AR1006),$AO$1006:$BQ$1006,0)))),"Fix")))</f>
        <v>#N/A</v>
      </c>
      <c r="F52" s="5" t="e">
        <f ca="1">IF(OR(INDEX($AI$2:$AI$1001,MATCH(ROWS($AH$2:AH52),$AH$2:$AH$1001,0),1)&gt;=100000,INDEX($AO$1005:$BQ$1005,1,MATCH(COLUMNS($AO$1006:AS1006),$AO$1006:$BQ$1006,0))&gt;=100000), " ",IF(INDEX($AO$2:$BQ$1001,MATCH(ROWS($AH$2:AH52),$AH$2:$AH$1001,0),MATCH(COLUMNS($AO$1006:AS1006),$AO$1006:$BQ$1006,0)), HYPERLINK("#",""), HYPERLINK(CONCATENATE("#Metadata!", ADDRESS(INDEX($AJ$2:$AJ$1001,MATCH(ROWS($AH$2:AH52),$AH$2:$AH$1001,0),0), INDEX($AO$1004:$BQ$1004,1,MATCH(COLUMNS($AO$1006:AS1006),$AO$1006:$BQ$1006,0)))),"Fix")))</f>
        <v>#N/A</v>
      </c>
      <c r="G52" s="5" t="e">
        <f ca="1">IF(OR(INDEX($AI$2:$AI$1001,MATCH(ROWS($AH$2:AH52),$AH$2:$AH$1001,0),1)&gt;=100000,INDEX($AO$1005:$BQ$1005,1,MATCH(COLUMNS($AO$1006:AT1006),$AO$1006:$BQ$1006,0))&gt;=100000), " ",IF(INDEX($AO$2:$BQ$1001,MATCH(ROWS($AH$2:AH52),$AH$2:$AH$1001,0),MATCH(COLUMNS($AO$1006:AT1006),$AO$1006:$BQ$1006,0)), HYPERLINK("#",""), HYPERLINK(CONCATENATE("#Metadata!", ADDRESS(INDEX($AJ$2:$AJ$1001,MATCH(ROWS($AH$2:AH52),$AH$2:$AH$1001,0),0), INDEX($AO$1004:$BQ$1004,1,MATCH(COLUMNS($AO$1006:AT1006),$AO$1006:$BQ$1006,0)))),"Fix")))</f>
        <v>#N/A</v>
      </c>
      <c r="H52" s="5" t="e">
        <f ca="1">IF(OR(INDEX($AI$2:$AI$1001,MATCH(ROWS($AH$2:AH52),$AH$2:$AH$1001,0),1)&gt;=100000,INDEX($AO$1005:$BQ$1005,1,MATCH(COLUMNS($AO$1006:AU1006),$AO$1006:$BQ$1006,0))&gt;=100000), " ",IF(INDEX($AO$2:$BQ$1001,MATCH(ROWS($AH$2:AH52),$AH$2:$AH$1001,0),MATCH(COLUMNS($AO$1006:AU1006),$AO$1006:$BQ$1006,0)), HYPERLINK("#",""), HYPERLINK(CONCATENATE("#Metadata!", ADDRESS(INDEX($AJ$2:$AJ$1001,MATCH(ROWS($AH$2:AH52),$AH$2:$AH$1001,0),0), INDEX($AO$1004:$BQ$1004,1,MATCH(COLUMNS($AO$1006:AU1006),$AO$1006:$BQ$1006,0)))),"Fix")))</f>
        <v>#N/A</v>
      </c>
      <c r="I52" s="5" t="e">
        <f ca="1">IF(OR(INDEX($AI$2:$AI$1001,MATCH(ROWS($AH$2:AH52),$AH$2:$AH$1001,0),1)&gt;=100000,INDEX($AO$1005:$BQ$1005,1,MATCH(COLUMNS($AO$1006:AV1006),$AO$1006:$BQ$1006,0))&gt;=100000), " ",IF(INDEX($AO$2:$BQ$1001,MATCH(ROWS($AH$2:AH52),$AH$2:$AH$1001,0),MATCH(COLUMNS($AO$1006:AV1006),$AO$1006:$BQ$1006,0)), HYPERLINK("#",""), HYPERLINK(CONCATENATE("#Metadata!", ADDRESS(INDEX($AJ$2:$AJ$1001,MATCH(ROWS($AH$2:AH52),$AH$2:$AH$1001,0),0), INDEX($AO$1004:$BQ$1004,1,MATCH(COLUMNS($AO$1006:AV1006),$AO$1006:$BQ$1006,0)))),"Fix")))</f>
        <v>#N/A</v>
      </c>
      <c r="J52" s="5" t="e">
        <f ca="1">IF(OR(INDEX($AI$2:$AI$1001,MATCH(ROWS($AH$2:AH52),$AH$2:$AH$1001,0),1)&gt;=100000,INDEX($AO$1005:$BQ$1005,1,MATCH(COLUMNS($AO$1006:AW1006),$AO$1006:$BQ$1006,0))&gt;=100000), " ",IF(INDEX($AO$2:$BQ$1001,MATCH(ROWS($AH$2:AH52),$AH$2:$AH$1001,0),MATCH(COLUMNS($AO$1006:AW1006),$AO$1006:$BQ$1006,0)), HYPERLINK("#",""), HYPERLINK(CONCATENATE("#Metadata!", ADDRESS(INDEX($AJ$2:$AJ$1001,MATCH(ROWS($AH$2:AH52),$AH$2:$AH$1001,0),0), INDEX($AO$1004:$BQ$1004,1,MATCH(COLUMNS($AO$1006:AW1006),$AO$1006:$BQ$1006,0)))),"Fix")))</f>
        <v>#N/A</v>
      </c>
      <c r="K52" s="5" t="e">
        <f ca="1">IF(OR(INDEX($AI$2:$AI$1001,MATCH(ROWS($AH$2:AH52),$AH$2:$AH$1001,0),1)&gt;=100000,INDEX($AO$1005:$BQ$1005,1,MATCH(COLUMNS($AO$1006:AX1006),$AO$1006:$BQ$1006,0))&gt;=100000), " ",IF(INDEX($AO$2:$BQ$1001,MATCH(ROWS($AH$2:AH52),$AH$2:$AH$1001,0),MATCH(COLUMNS($AO$1006:AX1006),$AO$1006:$BQ$1006,0)), HYPERLINK("#",""), HYPERLINK(CONCATENATE("#Metadata!", ADDRESS(INDEX($AJ$2:$AJ$1001,MATCH(ROWS($AH$2:AH52),$AH$2:$AH$1001,0),0), INDEX($AO$1004:$BQ$1004,1,MATCH(COLUMNS($AO$1006:AX1006),$AO$1006:$BQ$1006,0)))),"Fix")))</f>
        <v>#N/A</v>
      </c>
      <c r="L52" s="5" t="e">
        <f ca="1">IF(OR(INDEX($AI$2:$AI$1001,MATCH(ROWS($AH$2:AH52),$AH$2:$AH$1001,0),1)&gt;=100000,INDEX($AO$1005:$BQ$1005,1,MATCH(COLUMNS($AO$1006:AY1006),$AO$1006:$BQ$1006,0))&gt;=100000), " ",IF(INDEX($AO$2:$BQ$1001,MATCH(ROWS($AH$2:AH52),$AH$2:$AH$1001,0),MATCH(COLUMNS($AO$1006:AY1006),$AO$1006:$BQ$1006,0)), HYPERLINK("#",""), HYPERLINK(CONCATENATE("#Metadata!", ADDRESS(INDEX($AJ$2:$AJ$1001,MATCH(ROWS($AH$2:AH52),$AH$2:$AH$1001,0),0), INDEX($AO$1004:$BQ$1004,1,MATCH(COLUMNS($AO$1006:AY1006),$AO$1006:$BQ$1006,0)))),"Fix")))</f>
        <v>#N/A</v>
      </c>
      <c r="M52" s="5" t="e">
        <f ca="1">IF(OR(INDEX($AI$2:$AI$1001,MATCH(ROWS($AH$2:AH52),$AH$2:$AH$1001,0),1)&gt;=100000,INDEX($AO$1005:$BQ$1005,1,MATCH(COLUMNS($AO$1006:AZ1006),$AO$1006:$BQ$1006,0))&gt;=100000), " ",IF(INDEX($AO$2:$BQ$1001,MATCH(ROWS($AH$2:AH52),$AH$2:$AH$1001,0),MATCH(COLUMNS($AO$1006:AZ1006),$AO$1006:$BQ$1006,0)), HYPERLINK("#",""), HYPERLINK(CONCATENATE("#Metadata!", ADDRESS(INDEX($AJ$2:$AJ$1001,MATCH(ROWS($AH$2:AH52),$AH$2:$AH$1001,0),0), INDEX($AO$1004:$BQ$1004,1,MATCH(COLUMNS($AO$1006:AZ1006),$AO$1006:$BQ$1006,0)))),"Fix")))</f>
        <v>#N/A</v>
      </c>
      <c r="N52" s="5" t="e">
        <f ca="1">IF(OR(INDEX($AI$2:$AI$1001,MATCH(ROWS($AH$2:AH52),$AH$2:$AH$1001,0),1)&gt;=100000,INDEX($AO$1005:$BQ$1005,1,MATCH(COLUMNS($AO$1006:BA1006),$AO$1006:$BQ$1006,0))&gt;=100000), " ",IF(INDEX($AO$2:$BQ$1001,MATCH(ROWS($AH$2:AH52),$AH$2:$AH$1001,0),MATCH(COLUMNS($AO$1006:BA1006),$AO$1006:$BQ$1006,0)), HYPERLINK("#",""), HYPERLINK(CONCATENATE("#Metadata!", ADDRESS(INDEX($AJ$2:$AJ$1001,MATCH(ROWS($AH$2:AH52),$AH$2:$AH$1001,0),0), INDEX($AO$1004:$BQ$1004,1,MATCH(COLUMNS($AO$1006:BA1006),$AO$1006:$BQ$1006,0)))),"Fix")))</f>
        <v>#N/A</v>
      </c>
      <c r="O52" s="5" t="e">
        <f ca="1">IF(OR(INDEX($AI$2:$AI$1001,MATCH(ROWS($AH$2:AH52),$AH$2:$AH$1001,0),1)&gt;=100000,INDEX($AO$1005:$BQ$1005,1,MATCH(COLUMNS($AO$1006:BB1006),$AO$1006:$BQ$1006,0))&gt;=100000), " ",IF(INDEX($AO$2:$BQ$1001,MATCH(ROWS($AH$2:AH52),$AH$2:$AH$1001,0),MATCH(COLUMNS($AO$1006:BB1006),$AO$1006:$BQ$1006,0)), HYPERLINK("#",""), HYPERLINK(CONCATENATE("#Metadata!", ADDRESS(INDEX($AJ$2:$AJ$1001,MATCH(ROWS($AH$2:AH52),$AH$2:$AH$1001,0),0), INDEX($AO$1004:$BQ$1004,1,MATCH(COLUMNS($AO$1006:BB1006),$AO$1006:$BQ$1006,0)))),"Fix")))</f>
        <v>#N/A</v>
      </c>
      <c r="P52" s="5" t="e">
        <f ca="1">IF(OR(INDEX($AI$2:$AI$1001,MATCH(ROWS($AH$2:AH52),$AH$2:$AH$1001,0),1)&gt;=100000,INDEX($AO$1005:$BQ$1005,1,MATCH(COLUMNS($AO$1006:BC1006),$AO$1006:$BQ$1006,0))&gt;=100000), " ",IF(INDEX($AO$2:$BQ$1001,MATCH(ROWS($AH$2:AH52),$AH$2:$AH$1001,0),MATCH(COLUMNS($AO$1006:BC1006),$AO$1006:$BQ$1006,0)), HYPERLINK("#",""), HYPERLINK(CONCATENATE("#Metadata!", ADDRESS(INDEX($AJ$2:$AJ$1001,MATCH(ROWS($AH$2:AH52),$AH$2:$AH$1001,0),0), INDEX($AO$1004:$BQ$1004,1,MATCH(COLUMNS($AO$1006:BC1006),$AO$1006:$BQ$1006,0)))),"Fix")))</f>
        <v>#N/A</v>
      </c>
      <c r="Q52" s="5" t="e">
        <f ca="1">IF(OR(INDEX($AI$2:$AI$1001,MATCH(ROWS($AH$2:AH52),$AH$2:$AH$1001,0),1)&gt;=100000,INDEX($AO$1005:$BQ$1005,1,MATCH(COLUMNS($AO$1006:BD1006),$AO$1006:$BQ$1006,0))&gt;=100000), " ",IF(INDEX($AO$2:$BQ$1001,MATCH(ROWS($AH$2:AH52),$AH$2:$AH$1001,0),MATCH(COLUMNS($AO$1006:BD1006),$AO$1006:$BQ$1006,0)), HYPERLINK("#",""), HYPERLINK(CONCATENATE("#Metadata!", ADDRESS(INDEX($AJ$2:$AJ$1001,MATCH(ROWS($AH$2:AH52),$AH$2:$AH$1001,0),0), INDEX($AO$1004:$BQ$1004,1,MATCH(COLUMNS($AO$1006:BD1006),$AO$1006:$BQ$1006,0)))),"Fix")))</f>
        <v>#N/A</v>
      </c>
      <c r="R52" s="5" t="e">
        <f ca="1">IF(OR(INDEX($AI$2:$AI$1001,MATCH(ROWS($AH$2:AH52),$AH$2:$AH$1001,0),1)&gt;=100000,INDEX($AO$1005:$BQ$1005,1,MATCH(COLUMNS($AO$1006:BE1006),$AO$1006:$BQ$1006,0))&gt;=100000), " ",IF(INDEX($AO$2:$BQ$1001,MATCH(ROWS($AH$2:AH52),$AH$2:$AH$1001,0),MATCH(COLUMNS($AO$1006:BE1006),$AO$1006:$BQ$1006,0)), HYPERLINK("#",""), HYPERLINK(CONCATENATE("#Metadata!", ADDRESS(INDEX($AJ$2:$AJ$1001,MATCH(ROWS($AH$2:AH52),$AH$2:$AH$1001,0),0), INDEX($AO$1004:$BQ$1004,1,MATCH(COLUMNS($AO$1006:BE1006),$AO$1006:$BQ$1006,0)))),"Fix")))</f>
        <v>#N/A</v>
      </c>
      <c r="S52" s="5" t="e">
        <f ca="1">IF(OR(INDEX($AI$2:$AI$1001,MATCH(ROWS($AH$2:AH52),$AH$2:$AH$1001,0),1)&gt;=100000,INDEX($AO$1005:$BQ$1005,1,MATCH(COLUMNS($AO$1006:BF1006),$AO$1006:$BQ$1006,0))&gt;=100000), " ",IF(INDEX($AO$2:$BQ$1001,MATCH(ROWS($AH$2:AH52),$AH$2:$AH$1001,0),MATCH(COLUMNS($AO$1006:BF1006),$AO$1006:$BQ$1006,0)), HYPERLINK("#",""), HYPERLINK(CONCATENATE("#Metadata!", ADDRESS(INDEX($AJ$2:$AJ$1001,MATCH(ROWS($AH$2:AH52),$AH$2:$AH$1001,0),0), INDEX($AO$1004:$BQ$1004,1,MATCH(COLUMNS($AO$1006:BF1006),$AO$1006:$BQ$1006,0)))),"Fix")))</f>
        <v>#N/A</v>
      </c>
      <c r="T52" s="5" t="e">
        <f ca="1">IF(OR(INDEX($AI$2:$AI$1001,MATCH(ROWS($AH$2:AH52),$AH$2:$AH$1001,0),1)&gt;=100000,INDEX($AO$1005:$BQ$1005,1,MATCH(COLUMNS($AO$1006:BG1006),$AO$1006:$BQ$1006,0))&gt;=100000), " ",IF(INDEX($AO$2:$BQ$1001,MATCH(ROWS($AH$2:AH52),$AH$2:$AH$1001,0),MATCH(COLUMNS($AO$1006:BG1006),$AO$1006:$BQ$1006,0)), HYPERLINK("#",""), HYPERLINK(CONCATENATE("#Metadata!", ADDRESS(INDEX($AJ$2:$AJ$1001,MATCH(ROWS($AH$2:AH52),$AH$2:$AH$1001,0),0), INDEX($AO$1004:$BQ$1004,1,MATCH(COLUMNS($AO$1006:BG1006),$AO$1006:$BQ$1006,0)))),"Fix")))</f>
        <v>#N/A</v>
      </c>
      <c r="U52" s="5" t="e">
        <f ca="1">IF(OR(INDEX($AI$2:$AI$1001,MATCH(ROWS($AH$2:AH52),$AH$2:$AH$1001,0),1)&gt;=100000,INDEX($AO$1005:$BQ$1005,1,MATCH(COLUMNS($AO$1006:BH1006),$AO$1006:$BQ$1006,0))&gt;=100000), " ",IF(INDEX($AO$2:$BQ$1001,MATCH(ROWS($AH$2:AH52),$AH$2:$AH$1001,0),MATCH(COLUMNS($AO$1006:BH1006),$AO$1006:$BQ$1006,0)), HYPERLINK("#",""), HYPERLINK(CONCATENATE("#Metadata!", ADDRESS(INDEX($AJ$2:$AJ$1001,MATCH(ROWS($AH$2:AH52),$AH$2:$AH$1001,0),0), INDEX($AO$1004:$BQ$1004,1,MATCH(COLUMNS($AO$1006:BH1006),$AO$1006:$BQ$1006,0)))),"Fix")))</f>
        <v>#N/A</v>
      </c>
      <c r="V52" s="5" t="e">
        <f ca="1">IF(OR(INDEX($AI$2:$AI$1001,MATCH(ROWS($AH$2:AH52),$AH$2:$AH$1001,0),1)&gt;=100000,INDEX($AO$1005:$BQ$1005,1,MATCH(COLUMNS($AO$1006:BI1006),$AO$1006:$BQ$1006,0))&gt;=100000), " ",IF(INDEX($AO$2:$BQ$1001,MATCH(ROWS($AH$2:AH52),$AH$2:$AH$1001,0),MATCH(COLUMNS($AO$1006:BI1006),$AO$1006:$BQ$1006,0)), HYPERLINK("#",""), HYPERLINK(CONCATENATE("#Metadata!", ADDRESS(INDEX($AJ$2:$AJ$1001,MATCH(ROWS($AH$2:AH52),$AH$2:$AH$1001,0),0), INDEX($AO$1004:$BQ$1004,1,MATCH(COLUMNS($AO$1006:BI1006),$AO$1006:$BQ$1006,0)))),"Fix")))</f>
        <v>#N/A</v>
      </c>
      <c r="W52" s="5" t="e">
        <f ca="1">IF(OR(INDEX($AI$2:$AI$1001,MATCH(ROWS($AH$2:AH52),$AH$2:$AH$1001,0),1)&gt;=100000,INDEX($AO$1005:$BQ$1005,1,MATCH(COLUMNS($AO$1006:BJ1006),$AO$1006:$BQ$1006,0))&gt;=100000), " ",IF(INDEX($AO$2:$BQ$1001,MATCH(ROWS($AH$2:AH52),$AH$2:$AH$1001,0),MATCH(COLUMNS($AO$1006:BJ1006),$AO$1006:$BQ$1006,0)), HYPERLINK("#",""), HYPERLINK(CONCATENATE("#Metadata!", ADDRESS(INDEX($AJ$2:$AJ$1001,MATCH(ROWS($AH$2:AH52),$AH$2:$AH$1001,0),0), INDEX($AO$1004:$BQ$1004,1,MATCH(COLUMNS($AO$1006:BJ1006),$AO$1006:$BQ$1006,0)))),"Fix")))</f>
        <v>#N/A</v>
      </c>
      <c r="X52" s="5" t="e">
        <f ca="1">IF(OR(INDEX($AI$2:$AI$1001,MATCH(ROWS($AH$2:AH52),$AH$2:$AH$1001,0),1)&gt;=100000,INDEX($AO$1005:$BQ$1005,1,MATCH(COLUMNS($AO$1006:BK1006),$AO$1006:$BQ$1006,0))&gt;=100000), " ",IF(INDEX($AO$2:$BQ$1001,MATCH(ROWS($AH$2:AH52),$AH$2:$AH$1001,0),MATCH(COLUMNS($AO$1006:BK1006),$AO$1006:$BQ$1006,0)), HYPERLINK("#",""), HYPERLINK(CONCATENATE("#Metadata!", ADDRESS(INDEX($AJ$2:$AJ$1001,MATCH(ROWS($AH$2:AH52),$AH$2:$AH$1001,0),0), INDEX($AO$1004:$BQ$1004,1,MATCH(COLUMNS($AO$1006:BK1006),$AO$1006:$BQ$1006,0)))),"Fix")))</f>
        <v>#N/A</v>
      </c>
      <c r="Y52" s="5" t="e">
        <f ca="1">IF(OR(INDEX($AI$2:$AI$1001,MATCH(ROWS($AH$2:AH52),$AH$2:$AH$1001,0),1)&gt;=100000,INDEX($AO$1005:$BQ$1005,1,MATCH(COLUMNS($AO$1006:BL1006),$AO$1006:$BQ$1006,0))&gt;=100000), " ",IF(INDEX($AO$2:$BQ$1001,MATCH(ROWS($AH$2:AH52),$AH$2:$AH$1001,0),MATCH(COLUMNS($AO$1006:BL1006),$AO$1006:$BQ$1006,0)), HYPERLINK("#",""), HYPERLINK(CONCATENATE("#Metadata!", ADDRESS(INDEX($AJ$2:$AJ$1001,MATCH(ROWS($AH$2:AH52),$AH$2:$AH$1001,0),0), INDEX($AO$1004:$BQ$1004,1,MATCH(COLUMNS($AO$1006:BL1006),$AO$1006:$BQ$1006,0)))),"Fix")))</f>
        <v>#N/A</v>
      </c>
      <c r="Z52" s="5" t="e">
        <f ca="1">IF(OR(INDEX($AI$2:$AI$1001,MATCH(ROWS($AH$2:AH52),$AH$2:$AH$1001,0),1)&gt;=100000,INDEX($AO$1005:$BQ$1005,1,MATCH(COLUMNS($AO$1006:BM1006),$AO$1006:$BQ$1006,0))&gt;=100000), " ",IF(INDEX($AO$2:$BQ$1001,MATCH(ROWS($AH$2:AH52),$AH$2:$AH$1001,0),MATCH(COLUMNS($AO$1006:BM1006),$AO$1006:$BQ$1006,0)), HYPERLINK("#",""), HYPERLINK(CONCATENATE("#Metadata!", ADDRESS(INDEX($AJ$2:$AJ$1001,MATCH(ROWS($AH$2:AH52),$AH$2:$AH$1001,0),0), INDEX($AO$1004:$BQ$1004,1,MATCH(COLUMNS($AO$1006:BM1006),$AO$1006:$BQ$1006,0)))),"Fix")))</f>
        <v>#N/A</v>
      </c>
      <c r="AA52" s="5" t="e">
        <f ca="1">IF(OR(INDEX($AI$2:$AI$1001,MATCH(ROWS($AH$2:AH52),$AH$2:$AH$1001,0),1)&gt;=100000,INDEX($AO$1005:$BQ$1005,1,MATCH(COLUMNS($AO$1006:BN1006),$AO$1006:$BQ$1006,0))&gt;=100000), " ",IF(INDEX($AO$2:$BQ$1001,MATCH(ROWS($AH$2:AH52),$AH$2:$AH$1001,0),MATCH(COLUMNS($AO$1006:BN1006),$AO$1006:$BQ$1006,0)), HYPERLINK("#",""), HYPERLINK(CONCATENATE("#Metadata!", ADDRESS(INDEX($AJ$2:$AJ$1001,MATCH(ROWS($AH$2:AH52),$AH$2:$AH$1001,0),0), INDEX($AO$1004:$BQ$1004,1,MATCH(COLUMNS($AO$1006:BN1006),$AO$1006:$BQ$1006,0)))),"Fix")))</f>
        <v>#N/A</v>
      </c>
      <c r="AB52" s="5" t="e">
        <f ca="1">IF(OR(INDEX($AI$2:$AI$1001,MATCH(ROWS($AH$2:AH52),$AH$2:$AH$1001,0),1)&gt;=100000,INDEX($AO$1005:$BQ$1005,1,MATCH(COLUMNS($AO$1006:BO1006),$AO$1006:$BQ$1006,0))&gt;=100000), " ",IF(INDEX($AO$2:$BQ$1001,MATCH(ROWS($AH$2:AH52),$AH$2:$AH$1001,0),MATCH(COLUMNS($AO$1006:BO1006),$AO$1006:$BQ$1006,0)), HYPERLINK("#",""), HYPERLINK(CONCATENATE("#Metadata!", ADDRESS(INDEX($AJ$2:$AJ$1001,MATCH(ROWS($AH$2:AH52),$AH$2:$AH$1001,0),0), INDEX($AO$1004:$BQ$1004,1,MATCH(COLUMNS($AO$1006:BO1006),$AO$1006:$BQ$1006,0)))),"Fix")))</f>
        <v>#N/A</v>
      </c>
      <c r="AC52" s="5" t="e">
        <f ca="1">IF(OR(INDEX($AI$2:$AI$1001,MATCH(ROWS($AH$2:AH52),$AH$2:$AH$1001,0),1)&gt;=100000,INDEX($AO$1005:$BQ$1005,1,MATCH(COLUMNS($AO$1006:BP1006),$AO$1006:$BQ$1006,0))&gt;=100000), " ",IF(INDEX($AO$2:$BQ$1001,MATCH(ROWS($AH$2:AH52),$AH$2:$AH$1001,0),MATCH(COLUMNS($AO$1006:BP1006),$AO$1006:$BQ$1006,0)), HYPERLINK("#",""), HYPERLINK(CONCATENATE("#Metadata!", ADDRESS(INDEX($AJ$2:$AJ$1001,MATCH(ROWS($AH$2:AH52),$AH$2:$AH$1001,0),0), INDEX($AO$1004:$BQ$1004,1,MATCH(COLUMNS($AO$1006:BP1006),$AO$1006:$BQ$1006,0)))),"Fix")))</f>
        <v>#N/A</v>
      </c>
      <c r="AD52" s="5" t="e">
        <f ca="1">IF(OR(INDEX($AI$2:$AI$1001,MATCH(ROWS($AH$2:AH52),$AH$2:$AH$1001,0),1)&gt;=100000,INDEX($AO$1005:$BQ$1005,1,MATCH(COLUMNS($AO$1006:BQ1006),$AO$1006:$BQ$1006,0))&gt;=100000), " ",IF(INDEX($AO$2:$BQ$1001,MATCH(ROWS($AH$2:AH52),$AH$2:$AH$1001,0),MATCH(COLUMNS($AO$1006:BQ1006),$AO$1006:$BQ$1006,0)), HYPERLINK("#",""), HYPERLINK(CONCATENATE("#Metadata!", ADDRESS(INDEX($AJ$2:$AJ$1001,MATCH(ROWS($AH$2:AH52),$AH$2:$AH$1001,0),0), INDEX($AO$1004:$BQ$1004,1,MATCH(COLUMNS($AO$1006:BQ1006),$AO$1006:$BQ$1006,0)))),"Fix")))</f>
        <v>#REF!</v>
      </c>
      <c r="AH52">
        <f ca="1"/>
        <v>49</v>
      </c>
      <c r="AI52">
        <f ca="1"/>
        <v>52</v>
      </c>
      <c r="AJ52">
        <v>52</v>
      </c>
      <c r="AK52" t="b">
        <f t="shared" ca="1" si="0"/>
        <v>0</v>
      </c>
      <c r="AL52" t="b">
        <f>COUNTBLANK(Metadata!B52:AD52)=COLUMNS(Metadata!B52:AD52)</f>
        <v>0</v>
      </c>
      <c r="AM52" t="str">
        <v>Environment.Water.1.BTP.180Water</v>
      </c>
      <c r="AO52" t="b">
        <f ca="1">AND(IF(Metadata!B51="",FALSE,TRUE),COUNTIF(Metadata!B:B, Metadata!B51) = 1,NOT(ISERROR(SUMPRODUCT(SEARCH(MID(Metadata!B51,ROW(INDIRECT("1:"&amp;LEN(Metadata!B51))), 1),"0123456789abcdefghijklmnopqrstuvwxyzABCDEFGHIJKLMNOPQRSTUVWXYZ.")))))</f>
        <v>1</v>
      </c>
      <c r="AP52" t="b">
        <f>IF(Metadata!C51="",FALSE,TRUE)</f>
        <v>1</v>
      </c>
      <c r="AQ52" t="b">
        <f>IF(Metadata!D51="",FALSE,TRUE)</f>
        <v>1</v>
      </c>
      <c r="AR52" t="b">
        <f ca="1">OR(AND(IF(Metadata!E51="",FALSE,TRUE),OR(EXACT(Metadata!E51,"not collected"),EXACT(Metadata!E51,"not provided"),EXACT(Metadata!E51,"restricted access"))),AND(IF(Metadata!E51="",FALSE,TRUE),AND(AND(IFERROR(INT(LEFT(Metadata!E51,4))&gt;1900,FALSE),IFERROR(INT(LEFT(Metadata!E51,4))&lt;=YEAR(NOW()),FALSE)), OR(MID(Metadata!E51,5,1)="", AND(AND(MID(Metadata!E51,5,1)="-",IFERROR(INT(MID(Metadata!E51,6,1))&gt;=0,FALSE),IFERROR(INT(MID(Metadata!E51,6,1))&lt;=1,FALSE),NOT(MID(Metadata!E51,7,1)=""),IFERROR(INT(MID(Metadata!E51,6,2))&gt;=1,FALSE),IFERROR(INT(MID(Metadata!E51,6,2))&lt;=12,FALSE)), OR(MID(Metadata!E51,8,1)="", AND(AND(MID(Metadata!E51,8,1)="-",IFERROR(INT(MID(Metadata!E51,9,1))&gt;=0,FALSE),IFERROR(INT(MID(Metadata!E51,9,1))&lt;=3,FALSE),NOT(MID(Metadata!E51,10,1)=""),IFERROR(INT(MID(Metadata!E51,9,2))&gt;=1,FALSE),IFERROR(INT(MID(Metadata!E51,9,2))&lt;=31,FALSE)), OR(MID(Metadata!E51,11,1)="", AND(AND(MID(Metadata!E51,11,1)=" ",IFERROR(INT(MID(Metadata!E51,12,1))&gt;=0,FALSE),IFERROR(INT(MID(Metadata!E51,12,1))&lt;=2,FALSE),NOT(MID(Metadata!E51,13,1)=""),IFERROR(INT(MID(Metadata!E51,12,2))&gt;=0,FALSE),IFERROR(INT(MID(Metadata!E51,12,2))&lt;=23,FALSE)), OR(MID(Metadata!E51,14,1)="", AND(AND(MID(Metadata!E51,14,1)=":",IFERROR(INT(MID(Metadata!E51,15,1))&gt;=0,FALSE),IFERROR(INT(MID(Metadata!E51,15,1))&lt;=5,FALSE),NOT(MID(Metadata!E51,16,1)=""),IFERROR(INT(MID(Metadata!E51,15,2))&gt;=0,FALSE),IFERROR(INT(MID(Metadata!E51,15,2))&lt;=59,FALSE)), OR(MID(Metadata!E51,17,1)="", AND(AND(MID(Metadata!E51,17,1)=":",IFERROR(INT(MID(Metadata!E51,18,1))&gt;=0,FALSE),IFERROR(INT(MID(Metadata!E51,18,1))&lt;=5,FALSE),NOT(MID(Metadata!E51,19,1)=""),IFERROR(INT(MID(Metadata!E51,18,2))&gt;=0,FALSE),IFERROR(INT(MID(Metadata!E51,18,2))&lt;=59,FALSE)), LEN(Metadata!E51)&lt;=19)))))))))))))</f>
        <v>0</v>
      </c>
      <c r="AS52" t="b">
        <f>IF(Metadata!F51="",FALSE,TRUE)</f>
        <v>1</v>
      </c>
      <c r="AT52" t="b">
        <f>OR(AND(IF(Metadata!G51="",FALSE,TRUE),OR(EXACT(Metadata!G51,"not collected"),EXACT(Metadata!G51,"not provided"))),AND(IF(Metadata!G51="",FALSE,TRUE),OR(EXACT(Metadata!G51,"TRUE"),EXACT(Metadata!G51,"FALSE"))))</f>
        <v>1</v>
      </c>
      <c r="AU52" t="b">
        <f>OR(AND(IF(Metadata!H51="",FALSE,TRUE),OR(EXACT(Metadata!H51,"not collected"),EXACT(Metadata!H51,"not provided"),EXACT(Metadata!H51,"restricted access"))),AND(IF(Metadata!H51="",FALSE,ISNUMBER(VALUE(Metadata!H51))),Metadata!H51&gt;=-413))</f>
        <v>0</v>
      </c>
      <c r="AV52" t="b">
        <f>AND(IF(Metadata!I51="",FALSE,TRUE),EXACT(Metadata!I51,"meters"))</f>
        <v>1</v>
      </c>
      <c r="AW52" t="b">
        <f>AND(IF(Metadata!J51="",FALSE,TRUE),EXACT(Metadata!J51,"free-living"))</f>
        <v>1</v>
      </c>
      <c r="AX52" t="b">
        <f>AND(IF(Metadata!K51="",FALSE,TRUE),OR(EXACT(Metadata!K51,"saline"),EXACT(Metadata!K51,"non-saline")))</f>
        <v>1</v>
      </c>
      <c r="AY52" t="b">
        <f>AND(IF(Metadata!L51="",FALSE,TRUE),OR(EXACT(Metadata!L51,"sub-surface (non-saline)"),EXACT(Metadata!L51,"surface (non-saline)"),EXACT(Metadata!L51,"water (non-saline)"),EXACT(Metadata!L51,"soil (non-saline)"),EXACT(Metadata!L51,"aerosol (non-saline)"),EXACT(Metadata!L51,"sediment (non-saline)"),EXACT(Metadata!L51,"surface (saline)"),EXACT(Metadata!L51,"water (saline)"),EXACT(Metadata!L51,"hypersaline (saline)"),EXACT(Metadata!L51,"aerosol (saline)"),EXACT(Metadata!L51,"sediment (saline)")))</f>
        <v>1</v>
      </c>
      <c r="AZ52" t="b">
        <f>IF(Metadata!M51="",FALSE,TRUE)</f>
        <v>1</v>
      </c>
      <c r="BA52" t="b">
        <f>IF(Metadata!N51="",FALSE,TRUE)</f>
        <v>1</v>
      </c>
      <c r="BB52" t="b">
        <f>IF(Metadata!O51="",FALSE,TRUE)</f>
        <v>1</v>
      </c>
      <c r="BC52" t="b">
        <f>AND(IF(Metadata!P51="",FALSE,TRUE),OR(EXACT(Metadata!P51,"air"),EXACT(Metadata!P51,"microbial mat/biofilm"),EXACT(Metadata!P51,"misc environment"),EXACT(Metadata!P51,"sediment"),EXACT(Metadata!P51,"soil"),EXACT(Metadata!P51,"wastewater/sludge"),EXACT(Metadata!P51,"water")))</f>
        <v>1</v>
      </c>
      <c r="BD52" t="b">
        <f>IF(Metadata!Q51="",FALSE,TRUE)</f>
        <v>1</v>
      </c>
      <c r="BE52" t="b">
        <f>IF(Metadata!R51="",FALSE,TRUE)</f>
        <v>1</v>
      </c>
      <c r="BF52" t="b">
        <f>OR(AND(IF(Metadata!S51="",FALSE,TRUE),OR(EXACT(Metadata!S51,"not collected"),EXACT(Metadata!S51,"not provided"),EXACT(Metadata!S51,"restricted access"))),AND(IF(Metadata!S51="",FALSE,ISNUMBER(VALUE(Metadata!S51))),Metadata!S51&gt;=-90,Metadata!S51&lt;=90))</f>
        <v>0</v>
      </c>
      <c r="BG52" t="b">
        <f>AND(IF(Metadata!T51="",FALSE,TRUE),EXACT(Metadata!T51,"Decimal degrees"))</f>
        <v>1</v>
      </c>
      <c r="BH52" t="b">
        <f>OR(AND(IF(Metadata!U51="",FALSE,TRUE),OR(EXACT(Metadata!U51,"not applicable"),EXACT(Metadata!U51,"not collected"))),IF(Metadata!U51="",FALSE,TRUE))</f>
        <v>1</v>
      </c>
      <c r="BI52" t="b">
        <f>OR(AND(IF(Metadata!V51="",FALSE,TRUE),OR(EXACT(Metadata!V51,"not collected"),EXACT(Metadata!V51,"not provided"),EXACT(Metadata!V51,"restricted access"))),AND(IF(Metadata!V51="",FALSE,ISNUMBER(VALUE(Metadata!V51))),Metadata!V51&gt;=-180,Metadata!V51&lt;=180))</f>
        <v>0</v>
      </c>
      <c r="BJ52" t="b">
        <f>AND(IF(Metadata!W51="",FALSE,TRUE),EXACT(Metadata!W51,"Decimal degrees"))</f>
        <v>1</v>
      </c>
      <c r="BK52" t="b">
        <f>IF(Metadata!X51="",FALSE,TRUE)</f>
        <v>1</v>
      </c>
      <c r="BL52" t="b">
        <f>OR(AND(IF(Metadata!Y51="",FALSE,TRUE),OR(EXACT(Metadata!Y51,"not collected"),EXACT(Metadata!Y51,"not provided"),EXACT(Metadata!Y51,"restricted access"))),AND(IF(Metadata!Y51="",FALSE,TRUE),OR(EXACT(Metadata!Y51,"TRUE"),EXACT(Metadata!Y51,"FALSE"))))</f>
        <v>1</v>
      </c>
      <c r="BM52" t="b">
        <f>OR(AND(IF(Metadata!Z51="",FALSE,TRUE),EXACT(Metadata!Z51,"not applicable")),AND(IF(Metadata!Z51="",FALSE,TRUE),OR(EXACT(Metadata!Z51,"beer"),EXACT(Metadata!Z51,"cheese"),EXACT(Metadata!Z51,"fresh water"),EXACT(Metadata!Z51,"marine sediment"),EXACT(Metadata!Z51,"sea water"),EXACT(Metadata!Z51,"sediment"),EXACT(Metadata!Z51,"soil"),EXACT(Metadata!Z51,"waste water"))))</f>
        <v>1</v>
      </c>
      <c r="BN52" t="b">
        <f>AND(IF(Metadata!AA51="",FALSE,TRUE),EXACT(Metadata!AA51,"metagenome"))</f>
        <v>1</v>
      </c>
      <c r="BO52" t="b">
        <f>AND(IF(Metadata!AB51="",FALSE,TRUE),EXACT(Metadata!AB51,"256318"))</f>
        <v>1</v>
      </c>
      <c r="BP52" t="b">
        <f>IF(Metadata!AC51="",FALSE,TRUE)</f>
        <v>1</v>
      </c>
      <c r="BQ52" t="b">
        <f>IF(Metadata!AD51="",FALSE,TRUE)</f>
        <v>1</v>
      </c>
    </row>
    <row r="53" spans="1:69" x14ac:dyDescent="0.2">
      <c r="A53" s="4" t="e">
        <f ca="1">IF(B53=" "," ",HYPERLINK(CONCATENATE("#metadata!",ADDRESS(INDEX($AJ$2:$AJ$1001,MATCH(ROWS($AH$2:AH53),$AH$2:$AH$1001,0),0),2)),INDEX($AM$2:$AM$1001,MATCH(ROWS($AH$2:AH53),$AH$2:$AH$1001,0),0)))</f>
        <v>#N/A</v>
      </c>
      <c r="B53" s="5" t="e">
        <f ca="1">IF(OR(INDEX($AI$2:$AI$1001,MATCH(ROWS($AH$2:AH53),$AH$2:$AH$1001,0),1)&gt;=100000,INDEX($AO$1005:$BQ$1005,1,MATCH(COLUMNS($AO$1006:AO1006),$AO$1006:$BQ$1006,0))&gt;=100000), " ",IF(INDEX($AO$2:$BQ$1001,MATCH(ROWS($AH$2:AH53),$AH$2:$AH$1001,0),MATCH(COLUMNS($AO$1006:AO1006),$AO$1006:$BQ$1006,0)), HYPERLINK("#",""), HYPERLINK(CONCATENATE("#Metadata!", ADDRESS(INDEX($AJ$2:$AJ$1001,MATCH(ROWS($AH$2:AH53),$AH$2:$AH$1001,0),0), INDEX($AO$1004:$BQ$1004,1,MATCH(COLUMNS($AO$1006:AO1006),$AO$1006:$BQ$1006,0)))),"Fix")))</f>
        <v>#N/A</v>
      </c>
      <c r="C53" s="5" t="e">
        <f ca="1">IF(OR(INDEX($AI$2:$AI$1001,MATCH(ROWS($AH$2:AH53),$AH$2:$AH$1001,0),1)&gt;=100000,INDEX($AO$1005:$BQ$1005,1,MATCH(COLUMNS($AO$1006:AP1006),$AO$1006:$BQ$1006,0))&gt;=100000), " ",IF(INDEX($AO$2:$BQ$1001,MATCH(ROWS($AH$2:AH53),$AH$2:$AH$1001,0),MATCH(COLUMNS($AO$1006:AP1006),$AO$1006:$BQ$1006,0)), HYPERLINK("#",""), HYPERLINK(CONCATENATE("#Metadata!", ADDRESS(INDEX($AJ$2:$AJ$1001,MATCH(ROWS($AH$2:AH53),$AH$2:$AH$1001,0),0), INDEX($AO$1004:$BQ$1004,1,MATCH(COLUMNS($AO$1006:AP1006),$AO$1006:$BQ$1006,0)))),"Fix")))</f>
        <v>#N/A</v>
      </c>
      <c r="D53" s="5" t="e">
        <f ca="1">IF(OR(INDEX($AI$2:$AI$1001,MATCH(ROWS($AH$2:AH53),$AH$2:$AH$1001,0),1)&gt;=100000,INDEX($AO$1005:$BQ$1005,1,MATCH(COLUMNS($AO$1006:AQ1006),$AO$1006:$BQ$1006,0))&gt;=100000), " ",IF(INDEX($AO$2:$BQ$1001,MATCH(ROWS($AH$2:AH53),$AH$2:$AH$1001,0),MATCH(COLUMNS($AO$1006:AQ1006),$AO$1006:$BQ$1006,0)), HYPERLINK("#",""), HYPERLINK(CONCATENATE("#Metadata!", ADDRESS(INDEX($AJ$2:$AJ$1001,MATCH(ROWS($AH$2:AH53),$AH$2:$AH$1001,0),0), INDEX($AO$1004:$BQ$1004,1,MATCH(COLUMNS($AO$1006:AQ1006),$AO$1006:$BQ$1006,0)))),"Fix")))</f>
        <v>#N/A</v>
      </c>
      <c r="E53" s="5" t="e">
        <f ca="1">IF(OR(INDEX($AI$2:$AI$1001,MATCH(ROWS($AH$2:AH53),$AH$2:$AH$1001,0),1)&gt;=100000,INDEX($AO$1005:$BQ$1005,1,MATCH(COLUMNS($AO$1006:AR1006),$AO$1006:$BQ$1006,0))&gt;=100000), " ",IF(INDEX($AO$2:$BQ$1001,MATCH(ROWS($AH$2:AH53),$AH$2:$AH$1001,0),MATCH(COLUMNS($AO$1006:AR1006),$AO$1006:$BQ$1006,0)), HYPERLINK("#",""), HYPERLINK(CONCATENATE("#Metadata!", ADDRESS(INDEX($AJ$2:$AJ$1001,MATCH(ROWS($AH$2:AH53),$AH$2:$AH$1001,0),0), INDEX($AO$1004:$BQ$1004,1,MATCH(COLUMNS($AO$1006:AR1006),$AO$1006:$BQ$1006,0)))),"Fix")))</f>
        <v>#N/A</v>
      </c>
      <c r="F53" s="5" t="e">
        <f ca="1">IF(OR(INDEX($AI$2:$AI$1001,MATCH(ROWS($AH$2:AH53),$AH$2:$AH$1001,0),1)&gt;=100000,INDEX($AO$1005:$BQ$1005,1,MATCH(COLUMNS($AO$1006:AS1006),$AO$1006:$BQ$1006,0))&gt;=100000), " ",IF(INDEX($AO$2:$BQ$1001,MATCH(ROWS($AH$2:AH53),$AH$2:$AH$1001,0),MATCH(COLUMNS($AO$1006:AS1006),$AO$1006:$BQ$1006,0)), HYPERLINK("#",""), HYPERLINK(CONCATENATE("#Metadata!", ADDRESS(INDEX($AJ$2:$AJ$1001,MATCH(ROWS($AH$2:AH53),$AH$2:$AH$1001,0),0), INDEX($AO$1004:$BQ$1004,1,MATCH(COLUMNS($AO$1006:AS1006),$AO$1006:$BQ$1006,0)))),"Fix")))</f>
        <v>#N/A</v>
      </c>
      <c r="G53" s="5" t="e">
        <f ca="1">IF(OR(INDEX($AI$2:$AI$1001,MATCH(ROWS($AH$2:AH53),$AH$2:$AH$1001,0),1)&gt;=100000,INDEX($AO$1005:$BQ$1005,1,MATCH(COLUMNS($AO$1006:AT1006),$AO$1006:$BQ$1006,0))&gt;=100000), " ",IF(INDEX($AO$2:$BQ$1001,MATCH(ROWS($AH$2:AH53),$AH$2:$AH$1001,0),MATCH(COLUMNS($AO$1006:AT1006),$AO$1006:$BQ$1006,0)), HYPERLINK("#",""), HYPERLINK(CONCATENATE("#Metadata!", ADDRESS(INDEX($AJ$2:$AJ$1001,MATCH(ROWS($AH$2:AH53),$AH$2:$AH$1001,0),0), INDEX($AO$1004:$BQ$1004,1,MATCH(COLUMNS($AO$1006:AT1006),$AO$1006:$BQ$1006,0)))),"Fix")))</f>
        <v>#N/A</v>
      </c>
      <c r="H53" s="5" t="e">
        <f ca="1">IF(OR(INDEX($AI$2:$AI$1001,MATCH(ROWS($AH$2:AH53),$AH$2:$AH$1001,0),1)&gt;=100000,INDEX($AO$1005:$BQ$1005,1,MATCH(COLUMNS($AO$1006:AU1006),$AO$1006:$BQ$1006,0))&gt;=100000), " ",IF(INDEX($AO$2:$BQ$1001,MATCH(ROWS($AH$2:AH53),$AH$2:$AH$1001,0),MATCH(COLUMNS($AO$1006:AU1006),$AO$1006:$BQ$1006,0)), HYPERLINK("#",""), HYPERLINK(CONCATENATE("#Metadata!", ADDRESS(INDEX($AJ$2:$AJ$1001,MATCH(ROWS($AH$2:AH53),$AH$2:$AH$1001,0),0), INDEX($AO$1004:$BQ$1004,1,MATCH(COLUMNS($AO$1006:AU1006),$AO$1006:$BQ$1006,0)))),"Fix")))</f>
        <v>#N/A</v>
      </c>
      <c r="I53" s="5" t="e">
        <f ca="1">IF(OR(INDEX($AI$2:$AI$1001,MATCH(ROWS($AH$2:AH53),$AH$2:$AH$1001,0),1)&gt;=100000,INDEX($AO$1005:$BQ$1005,1,MATCH(COLUMNS($AO$1006:AV1006),$AO$1006:$BQ$1006,0))&gt;=100000), " ",IF(INDEX($AO$2:$BQ$1001,MATCH(ROWS($AH$2:AH53),$AH$2:$AH$1001,0),MATCH(COLUMNS($AO$1006:AV1006),$AO$1006:$BQ$1006,0)), HYPERLINK("#",""), HYPERLINK(CONCATENATE("#Metadata!", ADDRESS(INDEX($AJ$2:$AJ$1001,MATCH(ROWS($AH$2:AH53),$AH$2:$AH$1001,0),0), INDEX($AO$1004:$BQ$1004,1,MATCH(COLUMNS($AO$1006:AV1006),$AO$1006:$BQ$1006,0)))),"Fix")))</f>
        <v>#N/A</v>
      </c>
      <c r="J53" s="5" t="e">
        <f ca="1">IF(OR(INDEX($AI$2:$AI$1001,MATCH(ROWS($AH$2:AH53),$AH$2:$AH$1001,0),1)&gt;=100000,INDEX($AO$1005:$BQ$1005,1,MATCH(COLUMNS($AO$1006:AW1006),$AO$1006:$BQ$1006,0))&gt;=100000), " ",IF(INDEX($AO$2:$BQ$1001,MATCH(ROWS($AH$2:AH53),$AH$2:$AH$1001,0),MATCH(COLUMNS($AO$1006:AW1006),$AO$1006:$BQ$1006,0)), HYPERLINK("#",""), HYPERLINK(CONCATENATE("#Metadata!", ADDRESS(INDEX($AJ$2:$AJ$1001,MATCH(ROWS($AH$2:AH53),$AH$2:$AH$1001,0),0), INDEX($AO$1004:$BQ$1004,1,MATCH(COLUMNS($AO$1006:AW1006),$AO$1006:$BQ$1006,0)))),"Fix")))</f>
        <v>#N/A</v>
      </c>
      <c r="K53" s="5" t="e">
        <f ca="1">IF(OR(INDEX($AI$2:$AI$1001,MATCH(ROWS($AH$2:AH53),$AH$2:$AH$1001,0),1)&gt;=100000,INDEX($AO$1005:$BQ$1005,1,MATCH(COLUMNS($AO$1006:AX1006),$AO$1006:$BQ$1006,0))&gt;=100000), " ",IF(INDEX($AO$2:$BQ$1001,MATCH(ROWS($AH$2:AH53),$AH$2:$AH$1001,0),MATCH(COLUMNS($AO$1006:AX1006),$AO$1006:$BQ$1006,0)), HYPERLINK("#",""), HYPERLINK(CONCATENATE("#Metadata!", ADDRESS(INDEX($AJ$2:$AJ$1001,MATCH(ROWS($AH$2:AH53),$AH$2:$AH$1001,0),0), INDEX($AO$1004:$BQ$1004,1,MATCH(COLUMNS($AO$1006:AX1006),$AO$1006:$BQ$1006,0)))),"Fix")))</f>
        <v>#N/A</v>
      </c>
      <c r="L53" s="5" t="e">
        <f ca="1">IF(OR(INDEX($AI$2:$AI$1001,MATCH(ROWS($AH$2:AH53),$AH$2:$AH$1001,0),1)&gt;=100000,INDEX($AO$1005:$BQ$1005,1,MATCH(COLUMNS($AO$1006:AY1006),$AO$1006:$BQ$1006,0))&gt;=100000), " ",IF(INDEX($AO$2:$BQ$1001,MATCH(ROWS($AH$2:AH53),$AH$2:$AH$1001,0),MATCH(COLUMNS($AO$1006:AY1006),$AO$1006:$BQ$1006,0)), HYPERLINK("#",""), HYPERLINK(CONCATENATE("#Metadata!", ADDRESS(INDEX($AJ$2:$AJ$1001,MATCH(ROWS($AH$2:AH53),$AH$2:$AH$1001,0),0), INDEX($AO$1004:$BQ$1004,1,MATCH(COLUMNS($AO$1006:AY1006),$AO$1006:$BQ$1006,0)))),"Fix")))</f>
        <v>#N/A</v>
      </c>
      <c r="M53" s="5" t="e">
        <f ca="1">IF(OR(INDEX($AI$2:$AI$1001,MATCH(ROWS($AH$2:AH53),$AH$2:$AH$1001,0),1)&gt;=100000,INDEX($AO$1005:$BQ$1005,1,MATCH(COLUMNS($AO$1006:AZ1006),$AO$1006:$BQ$1006,0))&gt;=100000), " ",IF(INDEX($AO$2:$BQ$1001,MATCH(ROWS($AH$2:AH53),$AH$2:$AH$1001,0),MATCH(COLUMNS($AO$1006:AZ1006),$AO$1006:$BQ$1006,0)), HYPERLINK("#",""), HYPERLINK(CONCATENATE("#Metadata!", ADDRESS(INDEX($AJ$2:$AJ$1001,MATCH(ROWS($AH$2:AH53),$AH$2:$AH$1001,0),0), INDEX($AO$1004:$BQ$1004,1,MATCH(COLUMNS($AO$1006:AZ1006),$AO$1006:$BQ$1006,0)))),"Fix")))</f>
        <v>#N/A</v>
      </c>
      <c r="N53" s="5" t="e">
        <f ca="1">IF(OR(INDEX($AI$2:$AI$1001,MATCH(ROWS($AH$2:AH53),$AH$2:$AH$1001,0),1)&gt;=100000,INDEX($AO$1005:$BQ$1005,1,MATCH(COLUMNS($AO$1006:BA1006),$AO$1006:$BQ$1006,0))&gt;=100000), " ",IF(INDEX($AO$2:$BQ$1001,MATCH(ROWS($AH$2:AH53),$AH$2:$AH$1001,0),MATCH(COLUMNS($AO$1006:BA1006),$AO$1006:$BQ$1006,0)), HYPERLINK("#",""), HYPERLINK(CONCATENATE("#Metadata!", ADDRESS(INDEX($AJ$2:$AJ$1001,MATCH(ROWS($AH$2:AH53),$AH$2:$AH$1001,0),0), INDEX($AO$1004:$BQ$1004,1,MATCH(COLUMNS($AO$1006:BA1006),$AO$1006:$BQ$1006,0)))),"Fix")))</f>
        <v>#N/A</v>
      </c>
      <c r="O53" s="5" t="e">
        <f ca="1">IF(OR(INDEX($AI$2:$AI$1001,MATCH(ROWS($AH$2:AH53),$AH$2:$AH$1001,0),1)&gt;=100000,INDEX($AO$1005:$BQ$1005,1,MATCH(COLUMNS($AO$1006:BB1006),$AO$1006:$BQ$1006,0))&gt;=100000), " ",IF(INDEX($AO$2:$BQ$1001,MATCH(ROWS($AH$2:AH53),$AH$2:$AH$1001,0),MATCH(COLUMNS($AO$1006:BB1006),$AO$1006:$BQ$1006,0)), HYPERLINK("#",""), HYPERLINK(CONCATENATE("#Metadata!", ADDRESS(INDEX($AJ$2:$AJ$1001,MATCH(ROWS($AH$2:AH53),$AH$2:$AH$1001,0),0), INDEX($AO$1004:$BQ$1004,1,MATCH(COLUMNS($AO$1006:BB1006),$AO$1006:$BQ$1006,0)))),"Fix")))</f>
        <v>#N/A</v>
      </c>
      <c r="P53" s="5" t="e">
        <f ca="1">IF(OR(INDEX($AI$2:$AI$1001,MATCH(ROWS($AH$2:AH53),$AH$2:$AH$1001,0),1)&gt;=100000,INDEX($AO$1005:$BQ$1005,1,MATCH(COLUMNS($AO$1006:BC1006),$AO$1006:$BQ$1006,0))&gt;=100000), " ",IF(INDEX($AO$2:$BQ$1001,MATCH(ROWS($AH$2:AH53),$AH$2:$AH$1001,0),MATCH(COLUMNS($AO$1006:BC1006),$AO$1006:$BQ$1006,0)), HYPERLINK("#",""), HYPERLINK(CONCATENATE("#Metadata!", ADDRESS(INDEX($AJ$2:$AJ$1001,MATCH(ROWS($AH$2:AH53),$AH$2:$AH$1001,0),0), INDEX($AO$1004:$BQ$1004,1,MATCH(COLUMNS($AO$1006:BC1006),$AO$1006:$BQ$1006,0)))),"Fix")))</f>
        <v>#N/A</v>
      </c>
      <c r="Q53" s="5" t="e">
        <f ca="1">IF(OR(INDEX($AI$2:$AI$1001,MATCH(ROWS($AH$2:AH53),$AH$2:$AH$1001,0),1)&gt;=100000,INDEX($AO$1005:$BQ$1005,1,MATCH(COLUMNS($AO$1006:BD1006),$AO$1006:$BQ$1006,0))&gt;=100000), " ",IF(INDEX($AO$2:$BQ$1001,MATCH(ROWS($AH$2:AH53),$AH$2:$AH$1001,0),MATCH(COLUMNS($AO$1006:BD1006),$AO$1006:$BQ$1006,0)), HYPERLINK("#",""), HYPERLINK(CONCATENATE("#Metadata!", ADDRESS(INDEX($AJ$2:$AJ$1001,MATCH(ROWS($AH$2:AH53),$AH$2:$AH$1001,0),0), INDEX($AO$1004:$BQ$1004,1,MATCH(COLUMNS($AO$1006:BD1006),$AO$1006:$BQ$1006,0)))),"Fix")))</f>
        <v>#N/A</v>
      </c>
      <c r="R53" s="5" t="e">
        <f ca="1">IF(OR(INDEX($AI$2:$AI$1001,MATCH(ROWS($AH$2:AH53),$AH$2:$AH$1001,0),1)&gt;=100000,INDEX($AO$1005:$BQ$1005,1,MATCH(COLUMNS($AO$1006:BE1006),$AO$1006:$BQ$1006,0))&gt;=100000), " ",IF(INDEX($AO$2:$BQ$1001,MATCH(ROWS($AH$2:AH53),$AH$2:$AH$1001,0),MATCH(COLUMNS($AO$1006:BE1006),$AO$1006:$BQ$1006,0)), HYPERLINK("#",""), HYPERLINK(CONCATENATE("#Metadata!", ADDRESS(INDEX($AJ$2:$AJ$1001,MATCH(ROWS($AH$2:AH53),$AH$2:$AH$1001,0),0), INDEX($AO$1004:$BQ$1004,1,MATCH(COLUMNS($AO$1006:BE1006),$AO$1006:$BQ$1006,0)))),"Fix")))</f>
        <v>#N/A</v>
      </c>
      <c r="S53" s="5" t="e">
        <f ca="1">IF(OR(INDEX($AI$2:$AI$1001,MATCH(ROWS($AH$2:AH53),$AH$2:$AH$1001,0),1)&gt;=100000,INDEX($AO$1005:$BQ$1005,1,MATCH(COLUMNS($AO$1006:BF1006),$AO$1006:$BQ$1006,0))&gt;=100000), " ",IF(INDEX($AO$2:$BQ$1001,MATCH(ROWS($AH$2:AH53),$AH$2:$AH$1001,0),MATCH(COLUMNS($AO$1006:BF1006),$AO$1006:$BQ$1006,0)), HYPERLINK("#",""), HYPERLINK(CONCATENATE("#Metadata!", ADDRESS(INDEX($AJ$2:$AJ$1001,MATCH(ROWS($AH$2:AH53),$AH$2:$AH$1001,0),0), INDEX($AO$1004:$BQ$1004,1,MATCH(COLUMNS($AO$1006:BF1006),$AO$1006:$BQ$1006,0)))),"Fix")))</f>
        <v>#N/A</v>
      </c>
      <c r="T53" s="5" t="e">
        <f ca="1">IF(OR(INDEX($AI$2:$AI$1001,MATCH(ROWS($AH$2:AH53),$AH$2:$AH$1001,0),1)&gt;=100000,INDEX($AO$1005:$BQ$1005,1,MATCH(COLUMNS($AO$1006:BG1006),$AO$1006:$BQ$1006,0))&gt;=100000), " ",IF(INDEX($AO$2:$BQ$1001,MATCH(ROWS($AH$2:AH53),$AH$2:$AH$1001,0),MATCH(COLUMNS($AO$1006:BG1006),$AO$1006:$BQ$1006,0)), HYPERLINK("#",""), HYPERLINK(CONCATENATE("#Metadata!", ADDRESS(INDEX($AJ$2:$AJ$1001,MATCH(ROWS($AH$2:AH53),$AH$2:$AH$1001,0),0), INDEX($AO$1004:$BQ$1004,1,MATCH(COLUMNS($AO$1006:BG1006),$AO$1006:$BQ$1006,0)))),"Fix")))</f>
        <v>#N/A</v>
      </c>
      <c r="U53" s="5" t="e">
        <f ca="1">IF(OR(INDEX($AI$2:$AI$1001,MATCH(ROWS($AH$2:AH53),$AH$2:$AH$1001,0),1)&gt;=100000,INDEX($AO$1005:$BQ$1005,1,MATCH(COLUMNS($AO$1006:BH1006),$AO$1006:$BQ$1006,0))&gt;=100000), " ",IF(INDEX($AO$2:$BQ$1001,MATCH(ROWS($AH$2:AH53),$AH$2:$AH$1001,0),MATCH(COLUMNS($AO$1006:BH1006),$AO$1006:$BQ$1006,0)), HYPERLINK("#",""), HYPERLINK(CONCATENATE("#Metadata!", ADDRESS(INDEX($AJ$2:$AJ$1001,MATCH(ROWS($AH$2:AH53),$AH$2:$AH$1001,0),0), INDEX($AO$1004:$BQ$1004,1,MATCH(COLUMNS($AO$1006:BH1006),$AO$1006:$BQ$1006,0)))),"Fix")))</f>
        <v>#N/A</v>
      </c>
      <c r="V53" s="5" t="e">
        <f ca="1">IF(OR(INDEX($AI$2:$AI$1001,MATCH(ROWS($AH$2:AH53),$AH$2:$AH$1001,0),1)&gt;=100000,INDEX($AO$1005:$BQ$1005,1,MATCH(COLUMNS($AO$1006:BI1006),$AO$1006:$BQ$1006,0))&gt;=100000), " ",IF(INDEX($AO$2:$BQ$1001,MATCH(ROWS($AH$2:AH53),$AH$2:$AH$1001,0),MATCH(COLUMNS($AO$1006:BI1006),$AO$1006:$BQ$1006,0)), HYPERLINK("#",""), HYPERLINK(CONCATENATE("#Metadata!", ADDRESS(INDEX($AJ$2:$AJ$1001,MATCH(ROWS($AH$2:AH53),$AH$2:$AH$1001,0),0), INDEX($AO$1004:$BQ$1004,1,MATCH(COLUMNS($AO$1006:BI1006),$AO$1006:$BQ$1006,0)))),"Fix")))</f>
        <v>#N/A</v>
      </c>
      <c r="W53" s="5" t="e">
        <f ca="1">IF(OR(INDEX($AI$2:$AI$1001,MATCH(ROWS($AH$2:AH53),$AH$2:$AH$1001,0),1)&gt;=100000,INDEX($AO$1005:$BQ$1005,1,MATCH(COLUMNS($AO$1006:BJ1006),$AO$1006:$BQ$1006,0))&gt;=100000), " ",IF(INDEX($AO$2:$BQ$1001,MATCH(ROWS($AH$2:AH53),$AH$2:$AH$1001,0),MATCH(COLUMNS($AO$1006:BJ1006),$AO$1006:$BQ$1006,0)), HYPERLINK("#",""), HYPERLINK(CONCATENATE("#Metadata!", ADDRESS(INDEX($AJ$2:$AJ$1001,MATCH(ROWS($AH$2:AH53),$AH$2:$AH$1001,0),0), INDEX($AO$1004:$BQ$1004,1,MATCH(COLUMNS($AO$1006:BJ1006),$AO$1006:$BQ$1006,0)))),"Fix")))</f>
        <v>#N/A</v>
      </c>
      <c r="X53" s="5" t="e">
        <f ca="1">IF(OR(INDEX($AI$2:$AI$1001,MATCH(ROWS($AH$2:AH53),$AH$2:$AH$1001,0),1)&gt;=100000,INDEX($AO$1005:$BQ$1005,1,MATCH(COLUMNS($AO$1006:BK1006),$AO$1006:$BQ$1006,0))&gt;=100000), " ",IF(INDEX($AO$2:$BQ$1001,MATCH(ROWS($AH$2:AH53),$AH$2:$AH$1001,0),MATCH(COLUMNS($AO$1006:BK1006),$AO$1006:$BQ$1006,0)), HYPERLINK("#",""), HYPERLINK(CONCATENATE("#Metadata!", ADDRESS(INDEX($AJ$2:$AJ$1001,MATCH(ROWS($AH$2:AH53),$AH$2:$AH$1001,0),0), INDEX($AO$1004:$BQ$1004,1,MATCH(COLUMNS($AO$1006:BK1006),$AO$1006:$BQ$1006,0)))),"Fix")))</f>
        <v>#N/A</v>
      </c>
      <c r="Y53" s="5" t="e">
        <f ca="1">IF(OR(INDEX($AI$2:$AI$1001,MATCH(ROWS($AH$2:AH53),$AH$2:$AH$1001,0),1)&gt;=100000,INDEX($AO$1005:$BQ$1005,1,MATCH(COLUMNS($AO$1006:BL1006),$AO$1006:$BQ$1006,0))&gt;=100000), " ",IF(INDEX($AO$2:$BQ$1001,MATCH(ROWS($AH$2:AH53),$AH$2:$AH$1001,0),MATCH(COLUMNS($AO$1006:BL1006),$AO$1006:$BQ$1006,0)), HYPERLINK("#",""), HYPERLINK(CONCATENATE("#Metadata!", ADDRESS(INDEX($AJ$2:$AJ$1001,MATCH(ROWS($AH$2:AH53),$AH$2:$AH$1001,0),0), INDEX($AO$1004:$BQ$1004,1,MATCH(COLUMNS($AO$1006:BL1006),$AO$1006:$BQ$1006,0)))),"Fix")))</f>
        <v>#N/A</v>
      </c>
      <c r="Z53" s="5" t="e">
        <f ca="1">IF(OR(INDEX($AI$2:$AI$1001,MATCH(ROWS($AH$2:AH53),$AH$2:$AH$1001,0),1)&gt;=100000,INDEX($AO$1005:$BQ$1005,1,MATCH(COLUMNS($AO$1006:BM1006),$AO$1006:$BQ$1006,0))&gt;=100000), " ",IF(INDEX($AO$2:$BQ$1001,MATCH(ROWS($AH$2:AH53),$AH$2:$AH$1001,0),MATCH(COLUMNS($AO$1006:BM1006),$AO$1006:$BQ$1006,0)), HYPERLINK("#",""), HYPERLINK(CONCATENATE("#Metadata!", ADDRESS(INDEX($AJ$2:$AJ$1001,MATCH(ROWS($AH$2:AH53),$AH$2:$AH$1001,0),0), INDEX($AO$1004:$BQ$1004,1,MATCH(COLUMNS($AO$1006:BM1006),$AO$1006:$BQ$1006,0)))),"Fix")))</f>
        <v>#N/A</v>
      </c>
      <c r="AA53" s="5" t="e">
        <f ca="1">IF(OR(INDEX($AI$2:$AI$1001,MATCH(ROWS($AH$2:AH53),$AH$2:$AH$1001,0),1)&gt;=100000,INDEX($AO$1005:$BQ$1005,1,MATCH(COLUMNS($AO$1006:BN1006),$AO$1006:$BQ$1006,0))&gt;=100000), " ",IF(INDEX($AO$2:$BQ$1001,MATCH(ROWS($AH$2:AH53),$AH$2:$AH$1001,0),MATCH(COLUMNS($AO$1006:BN1006),$AO$1006:$BQ$1006,0)), HYPERLINK("#",""), HYPERLINK(CONCATENATE("#Metadata!", ADDRESS(INDEX($AJ$2:$AJ$1001,MATCH(ROWS($AH$2:AH53),$AH$2:$AH$1001,0),0), INDEX($AO$1004:$BQ$1004,1,MATCH(COLUMNS($AO$1006:BN1006),$AO$1006:$BQ$1006,0)))),"Fix")))</f>
        <v>#N/A</v>
      </c>
      <c r="AB53" s="5" t="e">
        <f ca="1">IF(OR(INDEX($AI$2:$AI$1001,MATCH(ROWS($AH$2:AH53),$AH$2:$AH$1001,0),1)&gt;=100000,INDEX($AO$1005:$BQ$1005,1,MATCH(COLUMNS($AO$1006:BO1006),$AO$1006:$BQ$1006,0))&gt;=100000), " ",IF(INDEX($AO$2:$BQ$1001,MATCH(ROWS($AH$2:AH53),$AH$2:$AH$1001,0),MATCH(COLUMNS($AO$1006:BO1006),$AO$1006:$BQ$1006,0)), HYPERLINK("#",""), HYPERLINK(CONCATENATE("#Metadata!", ADDRESS(INDEX($AJ$2:$AJ$1001,MATCH(ROWS($AH$2:AH53),$AH$2:$AH$1001,0),0), INDEX($AO$1004:$BQ$1004,1,MATCH(COLUMNS($AO$1006:BO1006),$AO$1006:$BQ$1006,0)))),"Fix")))</f>
        <v>#N/A</v>
      </c>
      <c r="AC53" s="5" t="e">
        <f ca="1">IF(OR(INDEX($AI$2:$AI$1001,MATCH(ROWS($AH$2:AH53),$AH$2:$AH$1001,0),1)&gt;=100000,INDEX($AO$1005:$BQ$1005,1,MATCH(COLUMNS($AO$1006:BP1006),$AO$1006:$BQ$1006,0))&gt;=100000), " ",IF(INDEX($AO$2:$BQ$1001,MATCH(ROWS($AH$2:AH53),$AH$2:$AH$1001,0),MATCH(COLUMNS($AO$1006:BP1006),$AO$1006:$BQ$1006,0)), HYPERLINK("#",""), HYPERLINK(CONCATENATE("#Metadata!", ADDRESS(INDEX($AJ$2:$AJ$1001,MATCH(ROWS($AH$2:AH53),$AH$2:$AH$1001,0),0), INDEX($AO$1004:$BQ$1004,1,MATCH(COLUMNS($AO$1006:BP1006),$AO$1006:$BQ$1006,0)))),"Fix")))</f>
        <v>#N/A</v>
      </c>
      <c r="AD53" s="5" t="e">
        <f ca="1">IF(OR(INDEX($AI$2:$AI$1001,MATCH(ROWS($AH$2:AH53),$AH$2:$AH$1001,0),1)&gt;=100000,INDEX($AO$1005:$BQ$1005,1,MATCH(COLUMNS($AO$1006:BQ1006),$AO$1006:$BQ$1006,0))&gt;=100000), " ",IF(INDEX($AO$2:$BQ$1001,MATCH(ROWS($AH$2:AH53),$AH$2:$AH$1001,0),MATCH(COLUMNS($AO$1006:BQ1006),$AO$1006:$BQ$1006,0)), HYPERLINK("#",""), HYPERLINK(CONCATENATE("#Metadata!", ADDRESS(INDEX($AJ$2:$AJ$1001,MATCH(ROWS($AH$2:AH53),$AH$2:$AH$1001,0),0), INDEX($AO$1004:$BQ$1004,1,MATCH(COLUMNS($AO$1006:BQ1006),$AO$1006:$BQ$1006,0)))),"Fix")))</f>
        <v>#REF!</v>
      </c>
      <c r="AH53">
        <f ca="1"/>
        <v>50</v>
      </c>
      <c r="AI53">
        <f ca="1"/>
        <v>53</v>
      </c>
      <c r="AJ53">
        <v>53</v>
      </c>
      <c r="AK53" t="b">
        <f t="shared" ca="1" si="0"/>
        <v>0</v>
      </c>
      <c r="AL53" t="b">
        <f>COUNTBLANK(Metadata!B53:AD53)=COLUMNS(Metadata!B53:AD53)</f>
        <v>0</v>
      </c>
      <c r="AM53" t="str">
        <v>Environment.Water.3.BTP.220Water</v>
      </c>
      <c r="AO53" t="b">
        <f ca="1">AND(IF(Metadata!B52="",FALSE,TRUE),COUNTIF(Metadata!B:B, Metadata!B52) = 1,NOT(ISERROR(SUMPRODUCT(SEARCH(MID(Metadata!B52,ROW(INDIRECT("1:"&amp;LEN(Metadata!B52))), 1),"0123456789abcdefghijklmnopqrstuvwxyzABCDEFGHIJKLMNOPQRSTUVWXYZ.")))))</f>
        <v>1</v>
      </c>
      <c r="AP53" t="b">
        <f>IF(Metadata!C52="",FALSE,TRUE)</f>
        <v>1</v>
      </c>
      <c r="AQ53" t="b">
        <f>IF(Metadata!D52="",FALSE,TRUE)</f>
        <v>1</v>
      </c>
      <c r="AR53" t="b">
        <f ca="1">OR(AND(IF(Metadata!E52="",FALSE,TRUE),OR(EXACT(Metadata!E52,"not collected"),EXACT(Metadata!E52,"not provided"),EXACT(Metadata!E52,"restricted access"))),AND(IF(Metadata!E52="",FALSE,TRUE),AND(AND(IFERROR(INT(LEFT(Metadata!E52,4))&gt;1900,FALSE),IFERROR(INT(LEFT(Metadata!E52,4))&lt;=YEAR(NOW()),FALSE)), OR(MID(Metadata!E52,5,1)="", AND(AND(MID(Metadata!E52,5,1)="-",IFERROR(INT(MID(Metadata!E52,6,1))&gt;=0,FALSE),IFERROR(INT(MID(Metadata!E52,6,1))&lt;=1,FALSE),NOT(MID(Metadata!E52,7,1)=""),IFERROR(INT(MID(Metadata!E52,6,2))&gt;=1,FALSE),IFERROR(INT(MID(Metadata!E52,6,2))&lt;=12,FALSE)), OR(MID(Metadata!E52,8,1)="", AND(AND(MID(Metadata!E52,8,1)="-",IFERROR(INT(MID(Metadata!E52,9,1))&gt;=0,FALSE),IFERROR(INT(MID(Metadata!E52,9,1))&lt;=3,FALSE),NOT(MID(Metadata!E52,10,1)=""),IFERROR(INT(MID(Metadata!E52,9,2))&gt;=1,FALSE),IFERROR(INT(MID(Metadata!E52,9,2))&lt;=31,FALSE)), OR(MID(Metadata!E52,11,1)="", AND(AND(MID(Metadata!E52,11,1)=" ",IFERROR(INT(MID(Metadata!E52,12,1))&gt;=0,FALSE),IFERROR(INT(MID(Metadata!E52,12,1))&lt;=2,FALSE),NOT(MID(Metadata!E52,13,1)=""),IFERROR(INT(MID(Metadata!E52,12,2))&gt;=0,FALSE),IFERROR(INT(MID(Metadata!E52,12,2))&lt;=23,FALSE)), OR(MID(Metadata!E52,14,1)="", AND(AND(MID(Metadata!E52,14,1)=":",IFERROR(INT(MID(Metadata!E52,15,1))&gt;=0,FALSE),IFERROR(INT(MID(Metadata!E52,15,1))&lt;=5,FALSE),NOT(MID(Metadata!E52,16,1)=""),IFERROR(INT(MID(Metadata!E52,15,2))&gt;=0,FALSE),IFERROR(INT(MID(Metadata!E52,15,2))&lt;=59,FALSE)), OR(MID(Metadata!E52,17,1)="", AND(AND(MID(Metadata!E52,17,1)=":",IFERROR(INT(MID(Metadata!E52,18,1))&gt;=0,FALSE),IFERROR(INT(MID(Metadata!E52,18,1))&lt;=5,FALSE),NOT(MID(Metadata!E52,19,1)=""),IFERROR(INT(MID(Metadata!E52,18,2))&gt;=0,FALSE),IFERROR(INT(MID(Metadata!E52,18,2))&lt;=59,FALSE)), LEN(Metadata!E52)&lt;=19)))))))))))))</f>
        <v>0</v>
      </c>
      <c r="AS53" t="b">
        <f>IF(Metadata!F52="",FALSE,TRUE)</f>
        <v>1</v>
      </c>
      <c r="AT53" t="b">
        <f>OR(AND(IF(Metadata!G52="",FALSE,TRUE),OR(EXACT(Metadata!G52,"not collected"),EXACT(Metadata!G52,"not provided"))),AND(IF(Metadata!G52="",FALSE,TRUE),OR(EXACT(Metadata!G52,"TRUE"),EXACT(Metadata!G52,"FALSE"))))</f>
        <v>1</v>
      </c>
      <c r="AU53" t="b">
        <f>OR(AND(IF(Metadata!H52="",FALSE,TRUE),OR(EXACT(Metadata!H52,"not collected"),EXACT(Metadata!H52,"not provided"),EXACT(Metadata!H52,"restricted access"))),AND(IF(Metadata!H52="",FALSE,ISNUMBER(VALUE(Metadata!H52))),Metadata!H52&gt;=-413))</f>
        <v>0</v>
      </c>
      <c r="AV53" t="b">
        <f>AND(IF(Metadata!I52="",FALSE,TRUE),EXACT(Metadata!I52,"meters"))</f>
        <v>1</v>
      </c>
      <c r="AW53" t="b">
        <f>AND(IF(Metadata!J52="",FALSE,TRUE),EXACT(Metadata!J52,"free-living"))</f>
        <v>1</v>
      </c>
      <c r="AX53" t="b">
        <f>AND(IF(Metadata!K52="",FALSE,TRUE),OR(EXACT(Metadata!K52,"saline"),EXACT(Metadata!K52,"non-saline")))</f>
        <v>1</v>
      </c>
      <c r="AY53" t="b">
        <f>AND(IF(Metadata!L52="",FALSE,TRUE),OR(EXACT(Metadata!L52,"sub-surface (non-saline)"),EXACT(Metadata!L52,"surface (non-saline)"),EXACT(Metadata!L52,"water (non-saline)"),EXACT(Metadata!L52,"soil (non-saline)"),EXACT(Metadata!L52,"aerosol (non-saline)"),EXACT(Metadata!L52,"sediment (non-saline)"),EXACT(Metadata!L52,"surface (saline)"),EXACT(Metadata!L52,"water (saline)"),EXACT(Metadata!L52,"hypersaline (saline)"),EXACT(Metadata!L52,"aerosol (saline)"),EXACT(Metadata!L52,"sediment (saline)")))</f>
        <v>1</v>
      </c>
      <c r="AZ53" t="b">
        <f>IF(Metadata!M52="",FALSE,TRUE)</f>
        <v>1</v>
      </c>
      <c r="BA53" t="b">
        <f>IF(Metadata!N52="",FALSE,TRUE)</f>
        <v>1</v>
      </c>
      <c r="BB53" t="b">
        <f>IF(Metadata!O52="",FALSE,TRUE)</f>
        <v>1</v>
      </c>
      <c r="BC53" t="b">
        <f>AND(IF(Metadata!P52="",FALSE,TRUE),OR(EXACT(Metadata!P52,"air"),EXACT(Metadata!P52,"microbial mat/biofilm"),EXACT(Metadata!P52,"misc environment"),EXACT(Metadata!P52,"sediment"),EXACT(Metadata!P52,"soil"),EXACT(Metadata!P52,"wastewater/sludge"),EXACT(Metadata!P52,"water")))</f>
        <v>1</v>
      </c>
      <c r="BD53" t="b">
        <f>IF(Metadata!Q52="",FALSE,TRUE)</f>
        <v>1</v>
      </c>
      <c r="BE53" t="b">
        <f>IF(Metadata!R52="",FALSE,TRUE)</f>
        <v>1</v>
      </c>
      <c r="BF53" t="b">
        <f>OR(AND(IF(Metadata!S52="",FALSE,TRUE),OR(EXACT(Metadata!S52,"not collected"),EXACT(Metadata!S52,"not provided"),EXACT(Metadata!S52,"restricted access"))),AND(IF(Metadata!S52="",FALSE,ISNUMBER(VALUE(Metadata!S52))),Metadata!S52&gt;=-90,Metadata!S52&lt;=90))</f>
        <v>0</v>
      </c>
      <c r="BG53" t="b">
        <f>AND(IF(Metadata!T52="",FALSE,TRUE),EXACT(Metadata!T52,"Decimal degrees"))</f>
        <v>1</v>
      </c>
      <c r="BH53" t="b">
        <f>OR(AND(IF(Metadata!U52="",FALSE,TRUE),OR(EXACT(Metadata!U52,"not applicable"),EXACT(Metadata!U52,"not collected"))),IF(Metadata!U52="",FALSE,TRUE))</f>
        <v>1</v>
      </c>
      <c r="BI53" t="b">
        <f>OR(AND(IF(Metadata!V52="",FALSE,TRUE),OR(EXACT(Metadata!V52,"not collected"),EXACT(Metadata!V52,"not provided"),EXACT(Metadata!V52,"restricted access"))),AND(IF(Metadata!V52="",FALSE,ISNUMBER(VALUE(Metadata!V52))),Metadata!V52&gt;=-180,Metadata!V52&lt;=180))</f>
        <v>0</v>
      </c>
      <c r="BJ53" t="b">
        <f>AND(IF(Metadata!W52="",FALSE,TRUE),EXACT(Metadata!W52,"Decimal degrees"))</f>
        <v>1</v>
      </c>
      <c r="BK53" t="b">
        <f>IF(Metadata!X52="",FALSE,TRUE)</f>
        <v>1</v>
      </c>
      <c r="BL53" t="b">
        <f>OR(AND(IF(Metadata!Y52="",FALSE,TRUE),OR(EXACT(Metadata!Y52,"not collected"),EXACT(Metadata!Y52,"not provided"),EXACT(Metadata!Y52,"restricted access"))),AND(IF(Metadata!Y52="",FALSE,TRUE),OR(EXACT(Metadata!Y52,"TRUE"),EXACT(Metadata!Y52,"FALSE"))))</f>
        <v>1</v>
      </c>
      <c r="BM53" t="b">
        <f>OR(AND(IF(Metadata!Z52="",FALSE,TRUE),EXACT(Metadata!Z52,"not applicable")),AND(IF(Metadata!Z52="",FALSE,TRUE),OR(EXACT(Metadata!Z52,"beer"),EXACT(Metadata!Z52,"cheese"),EXACT(Metadata!Z52,"fresh water"),EXACT(Metadata!Z52,"marine sediment"),EXACT(Metadata!Z52,"sea water"),EXACT(Metadata!Z52,"sediment"),EXACT(Metadata!Z52,"soil"),EXACT(Metadata!Z52,"waste water"))))</f>
        <v>1</v>
      </c>
      <c r="BN53" t="b">
        <f>AND(IF(Metadata!AA52="",FALSE,TRUE),EXACT(Metadata!AA52,"metagenome"))</f>
        <v>1</v>
      </c>
      <c r="BO53" t="b">
        <f>AND(IF(Metadata!AB52="",FALSE,TRUE),EXACT(Metadata!AB52,"256318"))</f>
        <v>1</v>
      </c>
      <c r="BP53" t="b">
        <f>IF(Metadata!AC52="",FALSE,TRUE)</f>
        <v>1</v>
      </c>
      <c r="BQ53" t="b">
        <f>IF(Metadata!AD52="",FALSE,TRUE)</f>
        <v>1</v>
      </c>
    </row>
    <row r="54" spans="1:69" x14ac:dyDescent="0.2">
      <c r="A54" s="4" t="e">
        <f ca="1">IF(B54=" "," ",HYPERLINK(CONCATENATE("#metadata!",ADDRESS(INDEX($AJ$2:$AJ$1001,MATCH(ROWS($AH$2:AH54),$AH$2:$AH$1001,0),0),2)),INDEX($AM$2:$AM$1001,MATCH(ROWS($AH$2:AH54),$AH$2:$AH$1001,0),0)))</f>
        <v>#N/A</v>
      </c>
      <c r="B54" s="5" t="e">
        <f ca="1">IF(OR(INDEX($AI$2:$AI$1001,MATCH(ROWS($AH$2:AH54),$AH$2:$AH$1001,0),1)&gt;=100000,INDEX($AO$1005:$BQ$1005,1,MATCH(COLUMNS($AO$1006:AO1006),$AO$1006:$BQ$1006,0))&gt;=100000), " ",IF(INDEX($AO$2:$BQ$1001,MATCH(ROWS($AH$2:AH54),$AH$2:$AH$1001,0),MATCH(COLUMNS($AO$1006:AO1006),$AO$1006:$BQ$1006,0)), HYPERLINK("#",""), HYPERLINK(CONCATENATE("#Metadata!", ADDRESS(INDEX($AJ$2:$AJ$1001,MATCH(ROWS($AH$2:AH54),$AH$2:$AH$1001,0),0), INDEX($AO$1004:$BQ$1004,1,MATCH(COLUMNS($AO$1006:AO1006),$AO$1006:$BQ$1006,0)))),"Fix")))</f>
        <v>#N/A</v>
      </c>
      <c r="C54" s="5" t="e">
        <f ca="1">IF(OR(INDEX($AI$2:$AI$1001,MATCH(ROWS($AH$2:AH54),$AH$2:$AH$1001,0),1)&gt;=100000,INDEX($AO$1005:$BQ$1005,1,MATCH(COLUMNS($AO$1006:AP1006),$AO$1006:$BQ$1006,0))&gt;=100000), " ",IF(INDEX($AO$2:$BQ$1001,MATCH(ROWS($AH$2:AH54),$AH$2:$AH$1001,0),MATCH(COLUMNS($AO$1006:AP1006),$AO$1006:$BQ$1006,0)), HYPERLINK("#",""), HYPERLINK(CONCATENATE("#Metadata!", ADDRESS(INDEX($AJ$2:$AJ$1001,MATCH(ROWS($AH$2:AH54),$AH$2:$AH$1001,0),0), INDEX($AO$1004:$BQ$1004,1,MATCH(COLUMNS($AO$1006:AP1006),$AO$1006:$BQ$1006,0)))),"Fix")))</f>
        <v>#N/A</v>
      </c>
      <c r="D54" s="5" t="e">
        <f ca="1">IF(OR(INDEX($AI$2:$AI$1001,MATCH(ROWS($AH$2:AH54),$AH$2:$AH$1001,0),1)&gt;=100000,INDEX($AO$1005:$BQ$1005,1,MATCH(COLUMNS($AO$1006:AQ1006),$AO$1006:$BQ$1006,0))&gt;=100000), " ",IF(INDEX($AO$2:$BQ$1001,MATCH(ROWS($AH$2:AH54),$AH$2:$AH$1001,0),MATCH(COLUMNS($AO$1006:AQ1006),$AO$1006:$BQ$1006,0)), HYPERLINK("#",""), HYPERLINK(CONCATENATE("#Metadata!", ADDRESS(INDEX($AJ$2:$AJ$1001,MATCH(ROWS($AH$2:AH54),$AH$2:$AH$1001,0),0), INDEX($AO$1004:$BQ$1004,1,MATCH(COLUMNS($AO$1006:AQ1006),$AO$1006:$BQ$1006,0)))),"Fix")))</f>
        <v>#N/A</v>
      </c>
      <c r="E54" s="5" t="e">
        <f ca="1">IF(OR(INDEX($AI$2:$AI$1001,MATCH(ROWS($AH$2:AH54),$AH$2:$AH$1001,0),1)&gt;=100000,INDEX($AO$1005:$BQ$1005,1,MATCH(COLUMNS($AO$1006:AR1006),$AO$1006:$BQ$1006,0))&gt;=100000), " ",IF(INDEX($AO$2:$BQ$1001,MATCH(ROWS($AH$2:AH54),$AH$2:$AH$1001,0),MATCH(COLUMNS($AO$1006:AR1006),$AO$1006:$BQ$1006,0)), HYPERLINK("#",""), HYPERLINK(CONCATENATE("#Metadata!", ADDRESS(INDEX($AJ$2:$AJ$1001,MATCH(ROWS($AH$2:AH54),$AH$2:$AH$1001,0),0), INDEX($AO$1004:$BQ$1004,1,MATCH(COLUMNS($AO$1006:AR1006),$AO$1006:$BQ$1006,0)))),"Fix")))</f>
        <v>#N/A</v>
      </c>
      <c r="F54" s="5" t="e">
        <f ca="1">IF(OR(INDEX($AI$2:$AI$1001,MATCH(ROWS($AH$2:AH54),$AH$2:$AH$1001,0),1)&gt;=100000,INDEX($AO$1005:$BQ$1005,1,MATCH(COLUMNS($AO$1006:AS1006),$AO$1006:$BQ$1006,0))&gt;=100000), " ",IF(INDEX($AO$2:$BQ$1001,MATCH(ROWS($AH$2:AH54),$AH$2:$AH$1001,0),MATCH(COLUMNS($AO$1006:AS1006),$AO$1006:$BQ$1006,0)), HYPERLINK("#",""), HYPERLINK(CONCATENATE("#Metadata!", ADDRESS(INDEX($AJ$2:$AJ$1001,MATCH(ROWS($AH$2:AH54),$AH$2:$AH$1001,0),0), INDEX($AO$1004:$BQ$1004,1,MATCH(COLUMNS($AO$1006:AS1006),$AO$1006:$BQ$1006,0)))),"Fix")))</f>
        <v>#N/A</v>
      </c>
      <c r="G54" s="5" t="e">
        <f ca="1">IF(OR(INDEX($AI$2:$AI$1001,MATCH(ROWS($AH$2:AH54),$AH$2:$AH$1001,0),1)&gt;=100000,INDEX($AO$1005:$BQ$1005,1,MATCH(COLUMNS($AO$1006:AT1006),$AO$1006:$BQ$1006,0))&gt;=100000), " ",IF(INDEX($AO$2:$BQ$1001,MATCH(ROWS($AH$2:AH54),$AH$2:$AH$1001,0),MATCH(COLUMNS($AO$1006:AT1006),$AO$1006:$BQ$1006,0)), HYPERLINK("#",""), HYPERLINK(CONCATENATE("#Metadata!", ADDRESS(INDEX($AJ$2:$AJ$1001,MATCH(ROWS($AH$2:AH54),$AH$2:$AH$1001,0),0), INDEX($AO$1004:$BQ$1004,1,MATCH(COLUMNS($AO$1006:AT1006),$AO$1006:$BQ$1006,0)))),"Fix")))</f>
        <v>#N/A</v>
      </c>
      <c r="H54" s="5" t="e">
        <f ca="1">IF(OR(INDEX($AI$2:$AI$1001,MATCH(ROWS($AH$2:AH54),$AH$2:$AH$1001,0),1)&gt;=100000,INDEX($AO$1005:$BQ$1005,1,MATCH(COLUMNS($AO$1006:AU1006),$AO$1006:$BQ$1006,0))&gt;=100000), " ",IF(INDEX($AO$2:$BQ$1001,MATCH(ROWS($AH$2:AH54),$AH$2:$AH$1001,0),MATCH(COLUMNS($AO$1006:AU1006),$AO$1006:$BQ$1006,0)), HYPERLINK("#",""), HYPERLINK(CONCATENATE("#Metadata!", ADDRESS(INDEX($AJ$2:$AJ$1001,MATCH(ROWS($AH$2:AH54),$AH$2:$AH$1001,0),0), INDEX($AO$1004:$BQ$1004,1,MATCH(COLUMNS($AO$1006:AU1006),$AO$1006:$BQ$1006,0)))),"Fix")))</f>
        <v>#N/A</v>
      </c>
      <c r="I54" s="5" t="e">
        <f ca="1">IF(OR(INDEX($AI$2:$AI$1001,MATCH(ROWS($AH$2:AH54),$AH$2:$AH$1001,0),1)&gt;=100000,INDEX($AO$1005:$BQ$1005,1,MATCH(COLUMNS($AO$1006:AV1006),$AO$1006:$BQ$1006,0))&gt;=100000), " ",IF(INDEX($AO$2:$BQ$1001,MATCH(ROWS($AH$2:AH54),$AH$2:$AH$1001,0),MATCH(COLUMNS($AO$1006:AV1006),$AO$1006:$BQ$1006,0)), HYPERLINK("#",""), HYPERLINK(CONCATENATE("#Metadata!", ADDRESS(INDEX($AJ$2:$AJ$1001,MATCH(ROWS($AH$2:AH54),$AH$2:$AH$1001,0),0), INDEX($AO$1004:$BQ$1004,1,MATCH(COLUMNS($AO$1006:AV1006),$AO$1006:$BQ$1006,0)))),"Fix")))</f>
        <v>#N/A</v>
      </c>
      <c r="J54" s="5" t="e">
        <f ca="1">IF(OR(INDEX($AI$2:$AI$1001,MATCH(ROWS($AH$2:AH54),$AH$2:$AH$1001,0),1)&gt;=100000,INDEX($AO$1005:$BQ$1005,1,MATCH(COLUMNS($AO$1006:AW1006),$AO$1006:$BQ$1006,0))&gt;=100000), " ",IF(INDEX($AO$2:$BQ$1001,MATCH(ROWS($AH$2:AH54),$AH$2:$AH$1001,0),MATCH(COLUMNS($AO$1006:AW1006),$AO$1006:$BQ$1006,0)), HYPERLINK("#",""), HYPERLINK(CONCATENATE("#Metadata!", ADDRESS(INDEX($AJ$2:$AJ$1001,MATCH(ROWS($AH$2:AH54),$AH$2:$AH$1001,0),0), INDEX($AO$1004:$BQ$1004,1,MATCH(COLUMNS($AO$1006:AW1006),$AO$1006:$BQ$1006,0)))),"Fix")))</f>
        <v>#N/A</v>
      </c>
      <c r="K54" s="5" t="e">
        <f ca="1">IF(OR(INDEX($AI$2:$AI$1001,MATCH(ROWS($AH$2:AH54),$AH$2:$AH$1001,0),1)&gt;=100000,INDEX($AO$1005:$BQ$1005,1,MATCH(COLUMNS($AO$1006:AX1006),$AO$1006:$BQ$1006,0))&gt;=100000), " ",IF(INDEX($AO$2:$BQ$1001,MATCH(ROWS($AH$2:AH54),$AH$2:$AH$1001,0),MATCH(COLUMNS($AO$1006:AX1006),$AO$1006:$BQ$1006,0)), HYPERLINK("#",""), HYPERLINK(CONCATENATE("#Metadata!", ADDRESS(INDEX($AJ$2:$AJ$1001,MATCH(ROWS($AH$2:AH54),$AH$2:$AH$1001,0),0), INDEX($AO$1004:$BQ$1004,1,MATCH(COLUMNS($AO$1006:AX1006),$AO$1006:$BQ$1006,0)))),"Fix")))</f>
        <v>#N/A</v>
      </c>
      <c r="L54" s="5" t="e">
        <f ca="1">IF(OR(INDEX($AI$2:$AI$1001,MATCH(ROWS($AH$2:AH54),$AH$2:$AH$1001,0),1)&gt;=100000,INDEX($AO$1005:$BQ$1005,1,MATCH(COLUMNS($AO$1006:AY1006),$AO$1006:$BQ$1006,0))&gt;=100000), " ",IF(INDEX($AO$2:$BQ$1001,MATCH(ROWS($AH$2:AH54),$AH$2:$AH$1001,0),MATCH(COLUMNS($AO$1006:AY1006),$AO$1006:$BQ$1006,0)), HYPERLINK("#",""), HYPERLINK(CONCATENATE("#Metadata!", ADDRESS(INDEX($AJ$2:$AJ$1001,MATCH(ROWS($AH$2:AH54),$AH$2:$AH$1001,0),0), INDEX($AO$1004:$BQ$1004,1,MATCH(COLUMNS($AO$1006:AY1006),$AO$1006:$BQ$1006,0)))),"Fix")))</f>
        <v>#N/A</v>
      </c>
      <c r="M54" s="5" t="e">
        <f ca="1">IF(OR(INDEX($AI$2:$AI$1001,MATCH(ROWS($AH$2:AH54),$AH$2:$AH$1001,0),1)&gt;=100000,INDEX($AO$1005:$BQ$1005,1,MATCH(COLUMNS($AO$1006:AZ1006),$AO$1006:$BQ$1006,0))&gt;=100000), " ",IF(INDEX($AO$2:$BQ$1001,MATCH(ROWS($AH$2:AH54),$AH$2:$AH$1001,0),MATCH(COLUMNS($AO$1006:AZ1006),$AO$1006:$BQ$1006,0)), HYPERLINK("#",""), HYPERLINK(CONCATENATE("#Metadata!", ADDRESS(INDEX($AJ$2:$AJ$1001,MATCH(ROWS($AH$2:AH54),$AH$2:$AH$1001,0),0), INDEX($AO$1004:$BQ$1004,1,MATCH(COLUMNS($AO$1006:AZ1006),$AO$1006:$BQ$1006,0)))),"Fix")))</f>
        <v>#N/A</v>
      </c>
      <c r="N54" s="5" t="e">
        <f ca="1">IF(OR(INDEX($AI$2:$AI$1001,MATCH(ROWS($AH$2:AH54),$AH$2:$AH$1001,0),1)&gt;=100000,INDEX($AO$1005:$BQ$1005,1,MATCH(COLUMNS($AO$1006:BA1006),$AO$1006:$BQ$1006,0))&gt;=100000), " ",IF(INDEX($AO$2:$BQ$1001,MATCH(ROWS($AH$2:AH54),$AH$2:$AH$1001,0),MATCH(COLUMNS($AO$1006:BA1006),$AO$1006:$BQ$1006,0)), HYPERLINK("#",""), HYPERLINK(CONCATENATE("#Metadata!", ADDRESS(INDEX($AJ$2:$AJ$1001,MATCH(ROWS($AH$2:AH54),$AH$2:$AH$1001,0),0), INDEX($AO$1004:$BQ$1004,1,MATCH(COLUMNS($AO$1006:BA1006),$AO$1006:$BQ$1006,0)))),"Fix")))</f>
        <v>#N/A</v>
      </c>
      <c r="O54" s="5" t="e">
        <f ca="1">IF(OR(INDEX($AI$2:$AI$1001,MATCH(ROWS($AH$2:AH54),$AH$2:$AH$1001,0),1)&gt;=100000,INDEX($AO$1005:$BQ$1005,1,MATCH(COLUMNS($AO$1006:BB1006),$AO$1006:$BQ$1006,0))&gt;=100000), " ",IF(INDEX($AO$2:$BQ$1001,MATCH(ROWS($AH$2:AH54),$AH$2:$AH$1001,0),MATCH(COLUMNS($AO$1006:BB1006),$AO$1006:$BQ$1006,0)), HYPERLINK("#",""), HYPERLINK(CONCATENATE("#Metadata!", ADDRESS(INDEX($AJ$2:$AJ$1001,MATCH(ROWS($AH$2:AH54),$AH$2:$AH$1001,0),0), INDEX($AO$1004:$BQ$1004,1,MATCH(COLUMNS($AO$1006:BB1006),$AO$1006:$BQ$1006,0)))),"Fix")))</f>
        <v>#N/A</v>
      </c>
      <c r="P54" s="5" t="e">
        <f ca="1">IF(OR(INDEX($AI$2:$AI$1001,MATCH(ROWS($AH$2:AH54),$AH$2:$AH$1001,0),1)&gt;=100000,INDEX($AO$1005:$BQ$1005,1,MATCH(COLUMNS($AO$1006:BC1006),$AO$1006:$BQ$1006,0))&gt;=100000), " ",IF(INDEX($AO$2:$BQ$1001,MATCH(ROWS($AH$2:AH54),$AH$2:$AH$1001,0),MATCH(COLUMNS($AO$1006:BC1006),$AO$1006:$BQ$1006,0)), HYPERLINK("#",""), HYPERLINK(CONCATENATE("#Metadata!", ADDRESS(INDEX($AJ$2:$AJ$1001,MATCH(ROWS($AH$2:AH54),$AH$2:$AH$1001,0),0), INDEX($AO$1004:$BQ$1004,1,MATCH(COLUMNS($AO$1006:BC1006),$AO$1006:$BQ$1006,0)))),"Fix")))</f>
        <v>#N/A</v>
      </c>
      <c r="Q54" s="5" t="e">
        <f ca="1">IF(OR(INDEX($AI$2:$AI$1001,MATCH(ROWS($AH$2:AH54),$AH$2:$AH$1001,0),1)&gt;=100000,INDEX($AO$1005:$BQ$1005,1,MATCH(COLUMNS($AO$1006:BD1006),$AO$1006:$BQ$1006,0))&gt;=100000), " ",IF(INDEX($AO$2:$BQ$1001,MATCH(ROWS($AH$2:AH54),$AH$2:$AH$1001,0),MATCH(COLUMNS($AO$1006:BD1006),$AO$1006:$BQ$1006,0)), HYPERLINK("#",""), HYPERLINK(CONCATENATE("#Metadata!", ADDRESS(INDEX($AJ$2:$AJ$1001,MATCH(ROWS($AH$2:AH54),$AH$2:$AH$1001,0),0), INDEX($AO$1004:$BQ$1004,1,MATCH(COLUMNS($AO$1006:BD1006),$AO$1006:$BQ$1006,0)))),"Fix")))</f>
        <v>#N/A</v>
      </c>
      <c r="R54" s="5" t="e">
        <f ca="1">IF(OR(INDEX($AI$2:$AI$1001,MATCH(ROWS($AH$2:AH54),$AH$2:$AH$1001,0),1)&gt;=100000,INDEX($AO$1005:$BQ$1005,1,MATCH(COLUMNS($AO$1006:BE1006),$AO$1006:$BQ$1006,0))&gt;=100000), " ",IF(INDEX($AO$2:$BQ$1001,MATCH(ROWS($AH$2:AH54),$AH$2:$AH$1001,0),MATCH(COLUMNS($AO$1006:BE1006),$AO$1006:$BQ$1006,0)), HYPERLINK("#",""), HYPERLINK(CONCATENATE("#Metadata!", ADDRESS(INDEX($AJ$2:$AJ$1001,MATCH(ROWS($AH$2:AH54),$AH$2:$AH$1001,0),0), INDEX($AO$1004:$BQ$1004,1,MATCH(COLUMNS($AO$1006:BE1006),$AO$1006:$BQ$1006,0)))),"Fix")))</f>
        <v>#N/A</v>
      </c>
      <c r="S54" s="5" t="e">
        <f ca="1">IF(OR(INDEX($AI$2:$AI$1001,MATCH(ROWS($AH$2:AH54),$AH$2:$AH$1001,0),1)&gt;=100000,INDEX($AO$1005:$BQ$1005,1,MATCH(COLUMNS($AO$1006:BF1006),$AO$1006:$BQ$1006,0))&gt;=100000), " ",IF(INDEX($AO$2:$BQ$1001,MATCH(ROWS($AH$2:AH54),$AH$2:$AH$1001,0),MATCH(COLUMNS($AO$1006:BF1006),$AO$1006:$BQ$1006,0)), HYPERLINK("#",""), HYPERLINK(CONCATENATE("#Metadata!", ADDRESS(INDEX($AJ$2:$AJ$1001,MATCH(ROWS($AH$2:AH54),$AH$2:$AH$1001,0),0), INDEX($AO$1004:$BQ$1004,1,MATCH(COLUMNS($AO$1006:BF1006),$AO$1006:$BQ$1006,0)))),"Fix")))</f>
        <v>#N/A</v>
      </c>
      <c r="T54" s="5" t="e">
        <f ca="1">IF(OR(INDEX($AI$2:$AI$1001,MATCH(ROWS($AH$2:AH54),$AH$2:$AH$1001,0),1)&gt;=100000,INDEX($AO$1005:$BQ$1005,1,MATCH(COLUMNS($AO$1006:BG1006),$AO$1006:$BQ$1006,0))&gt;=100000), " ",IF(INDEX($AO$2:$BQ$1001,MATCH(ROWS($AH$2:AH54),$AH$2:$AH$1001,0),MATCH(COLUMNS($AO$1006:BG1006),$AO$1006:$BQ$1006,0)), HYPERLINK("#",""), HYPERLINK(CONCATENATE("#Metadata!", ADDRESS(INDEX($AJ$2:$AJ$1001,MATCH(ROWS($AH$2:AH54),$AH$2:$AH$1001,0),0), INDEX($AO$1004:$BQ$1004,1,MATCH(COLUMNS($AO$1006:BG1006),$AO$1006:$BQ$1006,0)))),"Fix")))</f>
        <v>#N/A</v>
      </c>
      <c r="U54" s="5" t="e">
        <f ca="1">IF(OR(INDEX($AI$2:$AI$1001,MATCH(ROWS($AH$2:AH54),$AH$2:$AH$1001,0),1)&gt;=100000,INDEX($AO$1005:$BQ$1005,1,MATCH(COLUMNS($AO$1006:BH1006),$AO$1006:$BQ$1006,0))&gt;=100000), " ",IF(INDEX($AO$2:$BQ$1001,MATCH(ROWS($AH$2:AH54),$AH$2:$AH$1001,0),MATCH(COLUMNS($AO$1006:BH1006),$AO$1006:$BQ$1006,0)), HYPERLINK("#",""), HYPERLINK(CONCATENATE("#Metadata!", ADDRESS(INDEX($AJ$2:$AJ$1001,MATCH(ROWS($AH$2:AH54),$AH$2:$AH$1001,0),0), INDEX($AO$1004:$BQ$1004,1,MATCH(COLUMNS($AO$1006:BH1006),$AO$1006:$BQ$1006,0)))),"Fix")))</f>
        <v>#N/A</v>
      </c>
      <c r="V54" s="5" t="e">
        <f ca="1">IF(OR(INDEX($AI$2:$AI$1001,MATCH(ROWS($AH$2:AH54),$AH$2:$AH$1001,0),1)&gt;=100000,INDEX($AO$1005:$BQ$1005,1,MATCH(COLUMNS($AO$1006:BI1006),$AO$1006:$BQ$1006,0))&gt;=100000), " ",IF(INDEX($AO$2:$BQ$1001,MATCH(ROWS($AH$2:AH54),$AH$2:$AH$1001,0),MATCH(COLUMNS($AO$1006:BI1006),$AO$1006:$BQ$1006,0)), HYPERLINK("#",""), HYPERLINK(CONCATENATE("#Metadata!", ADDRESS(INDEX($AJ$2:$AJ$1001,MATCH(ROWS($AH$2:AH54),$AH$2:$AH$1001,0),0), INDEX($AO$1004:$BQ$1004,1,MATCH(COLUMNS($AO$1006:BI1006),$AO$1006:$BQ$1006,0)))),"Fix")))</f>
        <v>#N/A</v>
      </c>
      <c r="W54" s="5" t="e">
        <f ca="1">IF(OR(INDEX($AI$2:$AI$1001,MATCH(ROWS($AH$2:AH54),$AH$2:$AH$1001,0),1)&gt;=100000,INDEX($AO$1005:$BQ$1005,1,MATCH(COLUMNS($AO$1006:BJ1006),$AO$1006:$BQ$1006,0))&gt;=100000), " ",IF(INDEX($AO$2:$BQ$1001,MATCH(ROWS($AH$2:AH54),$AH$2:$AH$1001,0),MATCH(COLUMNS($AO$1006:BJ1006),$AO$1006:$BQ$1006,0)), HYPERLINK("#",""), HYPERLINK(CONCATENATE("#Metadata!", ADDRESS(INDEX($AJ$2:$AJ$1001,MATCH(ROWS($AH$2:AH54),$AH$2:$AH$1001,0),0), INDEX($AO$1004:$BQ$1004,1,MATCH(COLUMNS($AO$1006:BJ1006),$AO$1006:$BQ$1006,0)))),"Fix")))</f>
        <v>#N/A</v>
      </c>
      <c r="X54" s="5" t="e">
        <f ca="1">IF(OR(INDEX($AI$2:$AI$1001,MATCH(ROWS($AH$2:AH54),$AH$2:$AH$1001,0),1)&gt;=100000,INDEX($AO$1005:$BQ$1005,1,MATCH(COLUMNS($AO$1006:BK1006),$AO$1006:$BQ$1006,0))&gt;=100000), " ",IF(INDEX($AO$2:$BQ$1001,MATCH(ROWS($AH$2:AH54),$AH$2:$AH$1001,0),MATCH(COLUMNS($AO$1006:BK1006),$AO$1006:$BQ$1006,0)), HYPERLINK("#",""), HYPERLINK(CONCATENATE("#Metadata!", ADDRESS(INDEX($AJ$2:$AJ$1001,MATCH(ROWS($AH$2:AH54),$AH$2:$AH$1001,0),0), INDEX($AO$1004:$BQ$1004,1,MATCH(COLUMNS($AO$1006:BK1006),$AO$1006:$BQ$1006,0)))),"Fix")))</f>
        <v>#N/A</v>
      </c>
      <c r="Y54" s="5" t="e">
        <f ca="1">IF(OR(INDEX($AI$2:$AI$1001,MATCH(ROWS($AH$2:AH54),$AH$2:$AH$1001,0),1)&gt;=100000,INDEX($AO$1005:$BQ$1005,1,MATCH(COLUMNS($AO$1006:BL1006),$AO$1006:$BQ$1006,0))&gt;=100000), " ",IF(INDEX($AO$2:$BQ$1001,MATCH(ROWS($AH$2:AH54),$AH$2:$AH$1001,0),MATCH(COLUMNS($AO$1006:BL1006),$AO$1006:$BQ$1006,0)), HYPERLINK("#",""), HYPERLINK(CONCATENATE("#Metadata!", ADDRESS(INDEX($AJ$2:$AJ$1001,MATCH(ROWS($AH$2:AH54),$AH$2:$AH$1001,0),0), INDEX($AO$1004:$BQ$1004,1,MATCH(COLUMNS($AO$1006:BL1006),$AO$1006:$BQ$1006,0)))),"Fix")))</f>
        <v>#N/A</v>
      </c>
      <c r="Z54" s="5" t="e">
        <f ca="1">IF(OR(INDEX($AI$2:$AI$1001,MATCH(ROWS($AH$2:AH54),$AH$2:$AH$1001,0),1)&gt;=100000,INDEX($AO$1005:$BQ$1005,1,MATCH(COLUMNS($AO$1006:BM1006),$AO$1006:$BQ$1006,0))&gt;=100000), " ",IF(INDEX($AO$2:$BQ$1001,MATCH(ROWS($AH$2:AH54),$AH$2:$AH$1001,0),MATCH(COLUMNS($AO$1006:BM1006),$AO$1006:$BQ$1006,0)), HYPERLINK("#",""), HYPERLINK(CONCATENATE("#Metadata!", ADDRESS(INDEX($AJ$2:$AJ$1001,MATCH(ROWS($AH$2:AH54),$AH$2:$AH$1001,0),0), INDEX($AO$1004:$BQ$1004,1,MATCH(COLUMNS($AO$1006:BM1006),$AO$1006:$BQ$1006,0)))),"Fix")))</f>
        <v>#N/A</v>
      </c>
      <c r="AA54" s="5" t="e">
        <f ca="1">IF(OR(INDEX($AI$2:$AI$1001,MATCH(ROWS($AH$2:AH54),$AH$2:$AH$1001,0),1)&gt;=100000,INDEX($AO$1005:$BQ$1005,1,MATCH(COLUMNS($AO$1006:BN1006),$AO$1006:$BQ$1006,0))&gt;=100000), " ",IF(INDEX($AO$2:$BQ$1001,MATCH(ROWS($AH$2:AH54),$AH$2:$AH$1001,0),MATCH(COLUMNS($AO$1006:BN1006),$AO$1006:$BQ$1006,0)), HYPERLINK("#",""), HYPERLINK(CONCATENATE("#Metadata!", ADDRESS(INDEX($AJ$2:$AJ$1001,MATCH(ROWS($AH$2:AH54),$AH$2:$AH$1001,0),0), INDEX($AO$1004:$BQ$1004,1,MATCH(COLUMNS($AO$1006:BN1006),$AO$1006:$BQ$1006,0)))),"Fix")))</f>
        <v>#N/A</v>
      </c>
      <c r="AB54" s="5" t="e">
        <f ca="1">IF(OR(INDEX($AI$2:$AI$1001,MATCH(ROWS($AH$2:AH54),$AH$2:$AH$1001,0),1)&gt;=100000,INDEX($AO$1005:$BQ$1005,1,MATCH(COLUMNS($AO$1006:BO1006),$AO$1006:$BQ$1006,0))&gt;=100000), " ",IF(INDEX($AO$2:$BQ$1001,MATCH(ROWS($AH$2:AH54),$AH$2:$AH$1001,0),MATCH(COLUMNS($AO$1006:BO1006),$AO$1006:$BQ$1006,0)), HYPERLINK("#",""), HYPERLINK(CONCATENATE("#Metadata!", ADDRESS(INDEX($AJ$2:$AJ$1001,MATCH(ROWS($AH$2:AH54),$AH$2:$AH$1001,0),0), INDEX($AO$1004:$BQ$1004,1,MATCH(COLUMNS($AO$1006:BO1006),$AO$1006:$BQ$1006,0)))),"Fix")))</f>
        <v>#N/A</v>
      </c>
      <c r="AC54" s="5" t="e">
        <f ca="1">IF(OR(INDEX($AI$2:$AI$1001,MATCH(ROWS($AH$2:AH54),$AH$2:$AH$1001,0),1)&gt;=100000,INDEX($AO$1005:$BQ$1005,1,MATCH(COLUMNS($AO$1006:BP1006),$AO$1006:$BQ$1006,0))&gt;=100000), " ",IF(INDEX($AO$2:$BQ$1001,MATCH(ROWS($AH$2:AH54),$AH$2:$AH$1001,0),MATCH(COLUMNS($AO$1006:BP1006),$AO$1006:$BQ$1006,0)), HYPERLINK("#",""), HYPERLINK(CONCATENATE("#Metadata!", ADDRESS(INDEX($AJ$2:$AJ$1001,MATCH(ROWS($AH$2:AH54),$AH$2:$AH$1001,0),0), INDEX($AO$1004:$BQ$1004,1,MATCH(COLUMNS($AO$1006:BP1006),$AO$1006:$BQ$1006,0)))),"Fix")))</f>
        <v>#N/A</v>
      </c>
      <c r="AD54" s="5" t="e">
        <f ca="1">IF(OR(INDEX($AI$2:$AI$1001,MATCH(ROWS($AH$2:AH54),$AH$2:$AH$1001,0),1)&gt;=100000,INDEX($AO$1005:$BQ$1005,1,MATCH(COLUMNS($AO$1006:BQ1006),$AO$1006:$BQ$1006,0))&gt;=100000), " ",IF(INDEX($AO$2:$BQ$1001,MATCH(ROWS($AH$2:AH54),$AH$2:$AH$1001,0),MATCH(COLUMNS($AO$1006:BQ1006),$AO$1006:$BQ$1006,0)), HYPERLINK("#",""), HYPERLINK(CONCATENATE("#Metadata!", ADDRESS(INDEX($AJ$2:$AJ$1001,MATCH(ROWS($AH$2:AH54),$AH$2:$AH$1001,0),0), INDEX($AO$1004:$BQ$1004,1,MATCH(COLUMNS($AO$1006:BQ1006),$AO$1006:$BQ$1006,0)))),"Fix")))</f>
        <v>#REF!</v>
      </c>
      <c r="AH54">
        <f ca="1"/>
        <v>51</v>
      </c>
      <c r="AI54">
        <f ca="1"/>
        <v>54</v>
      </c>
      <c r="AJ54">
        <v>54</v>
      </c>
      <c r="AK54" t="b">
        <f t="shared" ca="1" si="0"/>
        <v>0</v>
      </c>
      <c r="AL54" t="b">
        <f>COUNTBLANK(Metadata!B54:AD54)=COLUMNS(Metadata!B54:AD54)</f>
        <v>0</v>
      </c>
      <c r="AM54" t="str">
        <v>Environment.Water.2.BTP.221Water</v>
      </c>
      <c r="AO54" t="b">
        <f ca="1">AND(IF(Metadata!B53="",FALSE,TRUE),COUNTIF(Metadata!B:B, Metadata!B53) = 1,NOT(ISERROR(SUMPRODUCT(SEARCH(MID(Metadata!B53,ROW(INDIRECT("1:"&amp;LEN(Metadata!B53))), 1),"0123456789abcdefghijklmnopqrstuvwxyzABCDEFGHIJKLMNOPQRSTUVWXYZ.")))))</f>
        <v>1</v>
      </c>
      <c r="AP54" t="b">
        <f>IF(Metadata!C53="",FALSE,TRUE)</f>
        <v>1</v>
      </c>
      <c r="AQ54" t="b">
        <f>IF(Metadata!D53="",FALSE,TRUE)</f>
        <v>1</v>
      </c>
      <c r="AR54" t="b">
        <f ca="1">OR(AND(IF(Metadata!E53="",FALSE,TRUE),OR(EXACT(Metadata!E53,"not collected"),EXACT(Metadata!E53,"not provided"),EXACT(Metadata!E53,"restricted access"))),AND(IF(Metadata!E53="",FALSE,TRUE),AND(AND(IFERROR(INT(LEFT(Metadata!E53,4))&gt;1900,FALSE),IFERROR(INT(LEFT(Metadata!E53,4))&lt;=YEAR(NOW()),FALSE)), OR(MID(Metadata!E53,5,1)="", AND(AND(MID(Metadata!E53,5,1)="-",IFERROR(INT(MID(Metadata!E53,6,1))&gt;=0,FALSE),IFERROR(INT(MID(Metadata!E53,6,1))&lt;=1,FALSE),NOT(MID(Metadata!E53,7,1)=""),IFERROR(INT(MID(Metadata!E53,6,2))&gt;=1,FALSE),IFERROR(INT(MID(Metadata!E53,6,2))&lt;=12,FALSE)), OR(MID(Metadata!E53,8,1)="", AND(AND(MID(Metadata!E53,8,1)="-",IFERROR(INT(MID(Metadata!E53,9,1))&gt;=0,FALSE),IFERROR(INT(MID(Metadata!E53,9,1))&lt;=3,FALSE),NOT(MID(Metadata!E53,10,1)=""),IFERROR(INT(MID(Metadata!E53,9,2))&gt;=1,FALSE),IFERROR(INT(MID(Metadata!E53,9,2))&lt;=31,FALSE)), OR(MID(Metadata!E53,11,1)="", AND(AND(MID(Metadata!E53,11,1)=" ",IFERROR(INT(MID(Metadata!E53,12,1))&gt;=0,FALSE),IFERROR(INT(MID(Metadata!E53,12,1))&lt;=2,FALSE),NOT(MID(Metadata!E53,13,1)=""),IFERROR(INT(MID(Metadata!E53,12,2))&gt;=0,FALSE),IFERROR(INT(MID(Metadata!E53,12,2))&lt;=23,FALSE)), OR(MID(Metadata!E53,14,1)="", AND(AND(MID(Metadata!E53,14,1)=":",IFERROR(INT(MID(Metadata!E53,15,1))&gt;=0,FALSE),IFERROR(INT(MID(Metadata!E53,15,1))&lt;=5,FALSE),NOT(MID(Metadata!E53,16,1)=""),IFERROR(INT(MID(Metadata!E53,15,2))&gt;=0,FALSE),IFERROR(INT(MID(Metadata!E53,15,2))&lt;=59,FALSE)), OR(MID(Metadata!E53,17,1)="", AND(AND(MID(Metadata!E53,17,1)=":",IFERROR(INT(MID(Metadata!E53,18,1))&gt;=0,FALSE),IFERROR(INT(MID(Metadata!E53,18,1))&lt;=5,FALSE),NOT(MID(Metadata!E53,19,1)=""),IFERROR(INT(MID(Metadata!E53,18,2))&gt;=0,FALSE),IFERROR(INT(MID(Metadata!E53,18,2))&lt;=59,FALSE)), LEN(Metadata!E53)&lt;=19)))))))))))))</f>
        <v>0</v>
      </c>
      <c r="AS54" t="b">
        <f>IF(Metadata!F53="",FALSE,TRUE)</f>
        <v>1</v>
      </c>
      <c r="AT54" t="b">
        <f>OR(AND(IF(Metadata!G53="",FALSE,TRUE),OR(EXACT(Metadata!G53,"not collected"),EXACT(Metadata!G53,"not provided"))),AND(IF(Metadata!G53="",FALSE,TRUE),OR(EXACT(Metadata!G53,"TRUE"),EXACT(Metadata!G53,"FALSE"))))</f>
        <v>1</v>
      </c>
      <c r="AU54" t="b">
        <f>OR(AND(IF(Metadata!H53="",FALSE,TRUE),OR(EXACT(Metadata!H53,"not collected"),EXACT(Metadata!H53,"not provided"),EXACT(Metadata!H53,"restricted access"))),AND(IF(Metadata!H53="",FALSE,ISNUMBER(VALUE(Metadata!H53))),Metadata!H53&gt;=-413))</f>
        <v>0</v>
      </c>
      <c r="AV54" t="b">
        <f>AND(IF(Metadata!I53="",FALSE,TRUE),EXACT(Metadata!I53,"meters"))</f>
        <v>1</v>
      </c>
      <c r="AW54" t="b">
        <f>AND(IF(Metadata!J53="",FALSE,TRUE),EXACT(Metadata!J53,"free-living"))</f>
        <v>1</v>
      </c>
      <c r="AX54" t="b">
        <f>AND(IF(Metadata!K53="",FALSE,TRUE),OR(EXACT(Metadata!K53,"saline"),EXACT(Metadata!K53,"non-saline")))</f>
        <v>1</v>
      </c>
      <c r="AY54" t="b">
        <f>AND(IF(Metadata!L53="",FALSE,TRUE),OR(EXACT(Metadata!L53,"sub-surface (non-saline)"),EXACT(Metadata!L53,"surface (non-saline)"),EXACT(Metadata!L53,"water (non-saline)"),EXACT(Metadata!L53,"soil (non-saline)"),EXACT(Metadata!L53,"aerosol (non-saline)"),EXACT(Metadata!L53,"sediment (non-saline)"),EXACT(Metadata!L53,"surface (saline)"),EXACT(Metadata!L53,"water (saline)"),EXACT(Metadata!L53,"hypersaline (saline)"),EXACT(Metadata!L53,"aerosol (saline)"),EXACT(Metadata!L53,"sediment (saline)")))</f>
        <v>1</v>
      </c>
      <c r="AZ54" t="b">
        <f>IF(Metadata!M53="",FALSE,TRUE)</f>
        <v>1</v>
      </c>
      <c r="BA54" t="b">
        <f>IF(Metadata!N53="",FALSE,TRUE)</f>
        <v>1</v>
      </c>
      <c r="BB54" t="b">
        <f>IF(Metadata!O53="",FALSE,TRUE)</f>
        <v>1</v>
      </c>
      <c r="BC54" t="b">
        <f>AND(IF(Metadata!P53="",FALSE,TRUE),OR(EXACT(Metadata!P53,"air"),EXACT(Metadata!P53,"microbial mat/biofilm"),EXACT(Metadata!P53,"misc environment"),EXACT(Metadata!P53,"sediment"),EXACT(Metadata!P53,"soil"),EXACT(Metadata!P53,"wastewater/sludge"),EXACT(Metadata!P53,"water")))</f>
        <v>1</v>
      </c>
      <c r="BD54" t="b">
        <f>IF(Metadata!Q53="",FALSE,TRUE)</f>
        <v>1</v>
      </c>
      <c r="BE54" t="b">
        <f>IF(Metadata!R53="",FALSE,TRUE)</f>
        <v>1</v>
      </c>
      <c r="BF54" t="b">
        <f>OR(AND(IF(Metadata!S53="",FALSE,TRUE),OR(EXACT(Metadata!S53,"not collected"),EXACT(Metadata!S53,"not provided"),EXACT(Metadata!S53,"restricted access"))),AND(IF(Metadata!S53="",FALSE,ISNUMBER(VALUE(Metadata!S53))),Metadata!S53&gt;=-90,Metadata!S53&lt;=90))</f>
        <v>0</v>
      </c>
      <c r="BG54" t="b">
        <f>AND(IF(Metadata!T53="",FALSE,TRUE),EXACT(Metadata!T53,"Decimal degrees"))</f>
        <v>1</v>
      </c>
      <c r="BH54" t="b">
        <f>OR(AND(IF(Metadata!U53="",FALSE,TRUE),OR(EXACT(Metadata!U53,"not applicable"),EXACT(Metadata!U53,"not collected"))),IF(Metadata!U53="",FALSE,TRUE))</f>
        <v>1</v>
      </c>
      <c r="BI54" t="b">
        <f>OR(AND(IF(Metadata!V53="",FALSE,TRUE),OR(EXACT(Metadata!V53,"not collected"),EXACT(Metadata!V53,"not provided"),EXACT(Metadata!V53,"restricted access"))),AND(IF(Metadata!V53="",FALSE,ISNUMBER(VALUE(Metadata!V53))),Metadata!V53&gt;=-180,Metadata!V53&lt;=180))</f>
        <v>0</v>
      </c>
      <c r="BJ54" t="b">
        <f>AND(IF(Metadata!W53="",FALSE,TRUE),EXACT(Metadata!W53,"Decimal degrees"))</f>
        <v>1</v>
      </c>
      <c r="BK54" t="b">
        <f>IF(Metadata!X53="",FALSE,TRUE)</f>
        <v>1</v>
      </c>
      <c r="BL54" t="b">
        <f>OR(AND(IF(Metadata!Y53="",FALSE,TRUE),OR(EXACT(Metadata!Y53,"not collected"),EXACT(Metadata!Y53,"not provided"),EXACT(Metadata!Y53,"restricted access"))),AND(IF(Metadata!Y53="",FALSE,TRUE),OR(EXACT(Metadata!Y53,"TRUE"),EXACT(Metadata!Y53,"FALSE"))))</f>
        <v>1</v>
      </c>
      <c r="BM54" t="b">
        <f>OR(AND(IF(Metadata!Z53="",FALSE,TRUE),EXACT(Metadata!Z53,"not applicable")),AND(IF(Metadata!Z53="",FALSE,TRUE),OR(EXACT(Metadata!Z53,"beer"),EXACT(Metadata!Z53,"cheese"),EXACT(Metadata!Z53,"fresh water"),EXACT(Metadata!Z53,"marine sediment"),EXACT(Metadata!Z53,"sea water"),EXACT(Metadata!Z53,"sediment"),EXACT(Metadata!Z53,"soil"),EXACT(Metadata!Z53,"waste water"))))</f>
        <v>1</v>
      </c>
      <c r="BN54" t="b">
        <f>AND(IF(Metadata!AA53="",FALSE,TRUE),EXACT(Metadata!AA53,"metagenome"))</f>
        <v>1</v>
      </c>
      <c r="BO54" t="b">
        <f>AND(IF(Metadata!AB53="",FALSE,TRUE),EXACT(Metadata!AB53,"256318"))</f>
        <v>1</v>
      </c>
      <c r="BP54" t="b">
        <f>IF(Metadata!AC53="",FALSE,TRUE)</f>
        <v>1</v>
      </c>
      <c r="BQ54" t="b">
        <f>IF(Metadata!AD53="",FALSE,TRUE)</f>
        <v>1</v>
      </c>
    </row>
    <row r="55" spans="1:69" x14ac:dyDescent="0.2">
      <c r="A55" s="4" t="e">
        <f ca="1">IF(B55=" "," ",HYPERLINK(CONCATENATE("#metadata!",ADDRESS(INDEX($AJ$2:$AJ$1001,MATCH(ROWS($AH$2:AH55),$AH$2:$AH$1001,0),0),2)),INDEX($AM$2:$AM$1001,MATCH(ROWS($AH$2:AH55),$AH$2:$AH$1001,0),0)))</f>
        <v>#N/A</v>
      </c>
      <c r="B55" s="5" t="e">
        <f ca="1">IF(OR(INDEX($AI$2:$AI$1001,MATCH(ROWS($AH$2:AH55),$AH$2:$AH$1001,0),1)&gt;=100000,INDEX($AO$1005:$BQ$1005,1,MATCH(COLUMNS($AO$1006:AO1006),$AO$1006:$BQ$1006,0))&gt;=100000), " ",IF(INDEX($AO$2:$BQ$1001,MATCH(ROWS($AH$2:AH55),$AH$2:$AH$1001,0),MATCH(COLUMNS($AO$1006:AO1006),$AO$1006:$BQ$1006,0)), HYPERLINK("#",""), HYPERLINK(CONCATENATE("#Metadata!", ADDRESS(INDEX($AJ$2:$AJ$1001,MATCH(ROWS($AH$2:AH55),$AH$2:$AH$1001,0),0), INDEX($AO$1004:$BQ$1004,1,MATCH(COLUMNS($AO$1006:AO1006),$AO$1006:$BQ$1006,0)))),"Fix")))</f>
        <v>#N/A</v>
      </c>
      <c r="C55" s="5" t="e">
        <f ca="1">IF(OR(INDEX($AI$2:$AI$1001,MATCH(ROWS($AH$2:AH55),$AH$2:$AH$1001,0),1)&gt;=100000,INDEX($AO$1005:$BQ$1005,1,MATCH(COLUMNS($AO$1006:AP1006),$AO$1006:$BQ$1006,0))&gt;=100000), " ",IF(INDEX($AO$2:$BQ$1001,MATCH(ROWS($AH$2:AH55),$AH$2:$AH$1001,0),MATCH(COLUMNS($AO$1006:AP1006),$AO$1006:$BQ$1006,0)), HYPERLINK("#",""), HYPERLINK(CONCATENATE("#Metadata!", ADDRESS(INDEX($AJ$2:$AJ$1001,MATCH(ROWS($AH$2:AH55),$AH$2:$AH$1001,0),0), INDEX($AO$1004:$BQ$1004,1,MATCH(COLUMNS($AO$1006:AP1006),$AO$1006:$BQ$1006,0)))),"Fix")))</f>
        <v>#N/A</v>
      </c>
      <c r="D55" s="5" t="e">
        <f ca="1">IF(OR(INDEX($AI$2:$AI$1001,MATCH(ROWS($AH$2:AH55),$AH$2:$AH$1001,0),1)&gt;=100000,INDEX($AO$1005:$BQ$1005,1,MATCH(COLUMNS($AO$1006:AQ1006),$AO$1006:$BQ$1006,0))&gt;=100000), " ",IF(INDEX($AO$2:$BQ$1001,MATCH(ROWS($AH$2:AH55),$AH$2:$AH$1001,0),MATCH(COLUMNS($AO$1006:AQ1006),$AO$1006:$BQ$1006,0)), HYPERLINK("#",""), HYPERLINK(CONCATENATE("#Metadata!", ADDRESS(INDEX($AJ$2:$AJ$1001,MATCH(ROWS($AH$2:AH55),$AH$2:$AH$1001,0),0), INDEX($AO$1004:$BQ$1004,1,MATCH(COLUMNS($AO$1006:AQ1006),$AO$1006:$BQ$1006,0)))),"Fix")))</f>
        <v>#N/A</v>
      </c>
      <c r="E55" s="5" t="e">
        <f ca="1">IF(OR(INDEX($AI$2:$AI$1001,MATCH(ROWS($AH$2:AH55),$AH$2:$AH$1001,0),1)&gt;=100000,INDEX($AO$1005:$BQ$1005,1,MATCH(COLUMNS($AO$1006:AR1006),$AO$1006:$BQ$1006,0))&gt;=100000), " ",IF(INDEX($AO$2:$BQ$1001,MATCH(ROWS($AH$2:AH55),$AH$2:$AH$1001,0),MATCH(COLUMNS($AO$1006:AR1006),$AO$1006:$BQ$1006,0)), HYPERLINK("#",""), HYPERLINK(CONCATENATE("#Metadata!", ADDRESS(INDEX($AJ$2:$AJ$1001,MATCH(ROWS($AH$2:AH55),$AH$2:$AH$1001,0),0), INDEX($AO$1004:$BQ$1004,1,MATCH(COLUMNS($AO$1006:AR1006),$AO$1006:$BQ$1006,0)))),"Fix")))</f>
        <v>#N/A</v>
      </c>
      <c r="F55" s="5" t="e">
        <f ca="1">IF(OR(INDEX($AI$2:$AI$1001,MATCH(ROWS($AH$2:AH55),$AH$2:$AH$1001,0),1)&gt;=100000,INDEX($AO$1005:$BQ$1005,1,MATCH(COLUMNS($AO$1006:AS1006),$AO$1006:$BQ$1006,0))&gt;=100000), " ",IF(INDEX($AO$2:$BQ$1001,MATCH(ROWS($AH$2:AH55),$AH$2:$AH$1001,0),MATCH(COLUMNS($AO$1006:AS1006),$AO$1006:$BQ$1006,0)), HYPERLINK("#",""), HYPERLINK(CONCATENATE("#Metadata!", ADDRESS(INDEX($AJ$2:$AJ$1001,MATCH(ROWS($AH$2:AH55),$AH$2:$AH$1001,0),0), INDEX($AO$1004:$BQ$1004,1,MATCH(COLUMNS($AO$1006:AS1006),$AO$1006:$BQ$1006,0)))),"Fix")))</f>
        <v>#N/A</v>
      </c>
      <c r="G55" s="5" t="e">
        <f ca="1">IF(OR(INDEX($AI$2:$AI$1001,MATCH(ROWS($AH$2:AH55),$AH$2:$AH$1001,0),1)&gt;=100000,INDEX($AO$1005:$BQ$1005,1,MATCH(COLUMNS($AO$1006:AT1006),$AO$1006:$BQ$1006,0))&gt;=100000), " ",IF(INDEX($AO$2:$BQ$1001,MATCH(ROWS($AH$2:AH55),$AH$2:$AH$1001,0),MATCH(COLUMNS($AO$1006:AT1006),$AO$1006:$BQ$1006,0)), HYPERLINK("#",""), HYPERLINK(CONCATENATE("#Metadata!", ADDRESS(INDEX($AJ$2:$AJ$1001,MATCH(ROWS($AH$2:AH55),$AH$2:$AH$1001,0),0), INDEX($AO$1004:$BQ$1004,1,MATCH(COLUMNS($AO$1006:AT1006),$AO$1006:$BQ$1006,0)))),"Fix")))</f>
        <v>#N/A</v>
      </c>
      <c r="H55" s="5" t="e">
        <f ca="1">IF(OR(INDEX($AI$2:$AI$1001,MATCH(ROWS($AH$2:AH55),$AH$2:$AH$1001,0),1)&gt;=100000,INDEX($AO$1005:$BQ$1005,1,MATCH(COLUMNS($AO$1006:AU1006),$AO$1006:$BQ$1006,0))&gt;=100000), " ",IF(INDEX($AO$2:$BQ$1001,MATCH(ROWS($AH$2:AH55),$AH$2:$AH$1001,0),MATCH(COLUMNS($AO$1006:AU1006),$AO$1006:$BQ$1006,0)), HYPERLINK("#",""), HYPERLINK(CONCATENATE("#Metadata!", ADDRESS(INDEX($AJ$2:$AJ$1001,MATCH(ROWS($AH$2:AH55),$AH$2:$AH$1001,0),0), INDEX($AO$1004:$BQ$1004,1,MATCH(COLUMNS($AO$1006:AU1006),$AO$1006:$BQ$1006,0)))),"Fix")))</f>
        <v>#N/A</v>
      </c>
      <c r="I55" s="5" t="e">
        <f ca="1">IF(OR(INDEX($AI$2:$AI$1001,MATCH(ROWS($AH$2:AH55),$AH$2:$AH$1001,0),1)&gt;=100000,INDEX($AO$1005:$BQ$1005,1,MATCH(COLUMNS($AO$1006:AV1006),$AO$1006:$BQ$1006,0))&gt;=100000), " ",IF(INDEX($AO$2:$BQ$1001,MATCH(ROWS($AH$2:AH55),$AH$2:$AH$1001,0),MATCH(COLUMNS($AO$1006:AV1006),$AO$1006:$BQ$1006,0)), HYPERLINK("#",""), HYPERLINK(CONCATENATE("#Metadata!", ADDRESS(INDEX($AJ$2:$AJ$1001,MATCH(ROWS($AH$2:AH55),$AH$2:$AH$1001,0),0), INDEX($AO$1004:$BQ$1004,1,MATCH(COLUMNS($AO$1006:AV1006),$AO$1006:$BQ$1006,0)))),"Fix")))</f>
        <v>#N/A</v>
      </c>
      <c r="J55" s="5" t="e">
        <f ca="1">IF(OR(INDEX($AI$2:$AI$1001,MATCH(ROWS($AH$2:AH55),$AH$2:$AH$1001,0),1)&gt;=100000,INDEX($AO$1005:$BQ$1005,1,MATCH(COLUMNS($AO$1006:AW1006),$AO$1006:$BQ$1006,0))&gt;=100000), " ",IF(INDEX($AO$2:$BQ$1001,MATCH(ROWS($AH$2:AH55),$AH$2:$AH$1001,0),MATCH(COLUMNS($AO$1006:AW1006),$AO$1006:$BQ$1006,0)), HYPERLINK("#",""), HYPERLINK(CONCATENATE("#Metadata!", ADDRESS(INDEX($AJ$2:$AJ$1001,MATCH(ROWS($AH$2:AH55),$AH$2:$AH$1001,0),0), INDEX($AO$1004:$BQ$1004,1,MATCH(COLUMNS($AO$1006:AW1006),$AO$1006:$BQ$1006,0)))),"Fix")))</f>
        <v>#N/A</v>
      </c>
      <c r="K55" s="5" t="e">
        <f ca="1">IF(OR(INDEX($AI$2:$AI$1001,MATCH(ROWS($AH$2:AH55),$AH$2:$AH$1001,0),1)&gt;=100000,INDEX($AO$1005:$BQ$1005,1,MATCH(COLUMNS($AO$1006:AX1006),$AO$1006:$BQ$1006,0))&gt;=100000), " ",IF(INDEX($AO$2:$BQ$1001,MATCH(ROWS($AH$2:AH55),$AH$2:$AH$1001,0),MATCH(COLUMNS($AO$1006:AX1006),$AO$1006:$BQ$1006,0)), HYPERLINK("#",""), HYPERLINK(CONCATENATE("#Metadata!", ADDRESS(INDEX($AJ$2:$AJ$1001,MATCH(ROWS($AH$2:AH55),$AH$2:$AH$1001,0),0), INDEX($AO$1004:$BQ$1004,1,MATCH(COLUMNS($AO$1006:AX1006),$AO$1006:$BQ$1006,0)))),"Fix")))</f>
        <v>#N/A</v>
      </c>
      <c r="L55" s="5" t="e">
        <f ca="1">IF(OR(INDEX($AI$2:$AI$1001,MATCH(ROWS($AH$2:AH55),$AH$2:$AH$1001,0),1)&gt;=100000,INDEX($AO$1005:$BQ$1005,1,MATCH(COLUMNS($AO$1006:AY1006),$AO$1006:$BQ$1006,0))&gt;=100000), " ",IF(INDEX($AO$2:$BQ$1001,MATCH(ROWS($AH$2:AH55),$AH$2:$AH$1001,0),MATCH(COLUMNS($AO$1006:AY1006),$AO$1006:$BQ$1006,0)), HYPERLINK("#",""), HYPERLINK(CONCATENATE("#Metadata!", ADDRESS(INDEX($AJ$2:$AJ$1001,MATCH(ROWS($AH$2:AH55),$AH$2:$AH$1001,0),0), INDEX($AO$1004:$BQ$1004,1,MATCH(COLUMNS($AO$1006:AY1006),$AO$1006:$BQ$1006,0)))),"Fix")))</f>
        <v>#N/A</v>
      </c>
      <c r="M55" s="5" t="e">
        <f ca="1">IF(OR(INDEX($AI$2:$AI$1001,MATCH(ROWS($AH$2:AH55),$AH$2:$AH$1001,0),1)&gt;=100000,INDEX($AO$1005:$BQ$1005,1,MATCH(COLUMNS($AO$1006:AZ1006),$AO$1006:$BQ$1006,0))&gt;=100000), " ",IF(INDEX($AO$2:$BQ$1001,MATCH(ROWS($AH$2:AH55),$AH$2:$AH$1001,0),MATCH(COLUMNS($AO$1006:AZ1006),$AO$1006:$BQ$1006,0)), HYPERLINK("#",""), HYPERLINK(CONCATENATE("#Metadata!", ADDRESS(INDEX($AJ$2:$AJ$1001,MATCH(ROWS($AH$2:AH55),$AH$2:$AH$1001,0),0), INDEX($AO$1004:$BQ$1004,1,MATCH(COLUMNS($AO$1006:AZ1006),$AO$1006:$BQ$1006,0)))),"Fix")))</f>
        <v>#N/A</v>
      </c>
      <c r="N55" s="5" t="e">
        <f ca="1">IF(OR(INDEX($AI$2:$AI$1001,MATCH(ROWS($AH$2:AH55),$AH$2:$AH$1001,0),1)&gt;=100000,INDEX($AO$1005:$BQ$1005,1,MATCH(COLUMNS($AO$1006:BA1006),$AO$1006:$BQ$1006,0))&gt;=100000), " ",IF(INDEX($AO$2:$BQ$1001,MATCH(ROWS($AH$2:AH55),$AH$2:$AH$1001,0),MATCH(COLUMNS($AO$1006:BA1006),$AO$1006:$BQ$1006,0)), HYPERLINK("#",""), HYPERLINK(CONCATENATE("#Metadata!", ADDRESS(INDEX($AJ$2:$AJ$1001,MATCH(ROWS($AH$2:AH55),$AH$2:$AH$1001,0),0), INDEX($AO$1004:$BQ$1004,1,MATCH(COLUMNS($AO$1006:BA1006),$AO$1006:$BQ$1006,0)))),"Fix")))</f>
        <v>#N/A</v>
      </c>
      <c r="O55" s="5" t="e">
        <f ca="1">IF(OR(INDEX($AI$2:$AI$1001,MATCH(ROWS($AH$2:AH55),$AH$2:$AH$1001,0),1)&gt;=100000,INDEX($AO$1005:$BQ$1005,1,MATCH(COLUMNS($AO$1006:BB1006),$AO$1006:$BQ$1006,0))&gt;=100000), " ",IF(INDEX($AO$2:$BQ$1001,MATCH(ROWS($AH$2:AH55),$AH$2:$AH$1001,0),MATCH(COLUMNS($AO$1006:BB1006),$AO$1006:$BQ$1006,0)), HYPERLINK("#",""), HYPERLINK(CONCATENATE("#Metadata!", ADDRESS(INDEX($AJ$2:$AJ$1001,MATCH(ROWS($AH$2:AH55),$AH$2:$AH$1001,0),0), INDEX($AO$1004:$BQ$1004,1,MATCH(COLUMNS($AO$1006:BB1006),$AO$1006:$BQ$1006,0)))),"Fix")))</f>
        <v>#N/A</v>
      </c>
      <c r="P55" s="5" t="e">
        <f ca="1">IF(OR(INDEX($AI$2:$AI$1001,MATCH(ROWS($AH$2:AH55),$AH$2:$AH$1001,0),1)&gt;=100000,INDEX($AO$1005:$BQ$1005,1,MATCH(COLUMNS($AO$1006:BC1006),$AO$1006:$BQ$1006,0))&gt;=100000), " ",IF(INDEX($AO$2:$BQ$1001,MATCH(ROWS($AH$2:AH55),$AH$2:$AH$1001,0),MATCH(COLUMNS($AO$1006:BC1006),$AO$1006:$BQ$1006,0)), HYPERLINK("#",""), HYPERLINK(CONCATENATE("#Metadata!", ADDRESS(INDEX($AJ$2:$AJ$1001,MATCH(ROWS($AH$2:AH55),$AH$2:$AH$1001,0),0), INDEX($AO$1004:$BQ$1004,1,MATCH(COLUMNS($AO$1006:BC1006),$AO$1006:$BQ$1006,0)))),"Fix")))</f>
        <v>#N/A</v>
      </c>
      <c r="Q55" s="5" t="e">
        <f ca="1">IF(OR(INDEX($AI$2:$AI$1001,MATCH(ROWS($AH$2:AH55),$AH$2:$AH$1001,0),1)&gt;=100000,INDEX($AO$1005:$BQ$1005,1,MATCH(COLUMNS($AO$1006:BD1006),$AO$1006:$BQ$1006,0))&gt;=100000), " ",IF(INDEX($AO$2:$BQ$1001,MATCH(ROWS($AH$2:AH55),$AH$2:$AH$1001,0),MATCH(COLUMNS($AO$1006:BD1006),$AO$1006:$BQ$1006,0)), HYPERLINK("#",""), HYPERLINK(CONCATENATE("#Metadata!", ADDRESS(INDEX($AJ$2:$AJ$1001,MATCH(ROWS($AH$2:AH55),$AH$2:$AH$1001,0),0), INDEX($AO$1004:$BQ$1004,1,MATCH(COLUMNS($AO$1006:BD1006),$AO$1006:$BQ$1006,0)))),"Fix")))</f>
        <v>#N/A</v>
      </c>
      <c r="R55" s="5" t="e">
        <f ca="1">IF(OR(INDEX($AI$2:$AI$1001,MATCH(ROWS($AH$2:AH55),$AH$2:$AH$1001,0),1)&gt;=100000,INDEX($AO$1005:$BQ$1005,1,MATCH(COLUMNS($AO$1006:BE1006),$AO$1006:$BQ$1006,0))&gt;=100000), " ",IF(INDEX($AO$2:$BQ$1001,MATCH(ROWS($AH$2:AH55),$AH$2:$AH$1001,0),MATCH(COLUMNS($AO$1006:BE1006),$AO$1006:$BQ$1006,0)), HYPERLINK("#",""), HYPERLINK(CONCATENATE("#Metadata!", ADDRESS(INDEX($AJ$2:$AJ$1001,MATCH(ROWS($AH$2:AH55),$AH$2:$AH$1001,0),0), INDEX($AO$1004:$BQ$1004,1,MATCH(COLUMNS($AO$1006:BE1006),$AO$1006:$BQ$1006,0)))),"Fix")))</f>
        <v>#N/A</v>
      </c>
      <c r="S55" s="5" t="e">
        <f ca="1">IF(OR(INDEX($AI$2:$AI$1001,MATCH(ROWS($AH$2:AH55),$AH$2:$AH$1001,0),1)&gt;=100000,INDEX($AO$1005:$BQ$1005,1,MATCH(COLUMNS($AO$1006:BF1006),$AO$1006:$BQ$1006,0))&gt;=100000), " ",IF(INDEX($AO$2:$BQ$1001,MATCH(ROWS($AH$2:AH55),$AH$2:$AH$1001,0),MATCH(COLUMNS($AO$1006:BF1006),$AO$1006:$BQ$1006,0)), HYPERLINK("#",""), HYPERLINK(CONCATENATE("#Metadata!", ADDRESS(INDEX($AJ$2:$AJ$1001,MATCH(ROWS($AH$2:AH55),$AH$2:$AH$1001,0),0), INDEX($AO$1004:$BQ$1004,1,MATCH(COLUMNS($AO$1006:BF1006),$AO$1006:$BQ$1006,0)))),"Fix")))</f>
        <v>#N/A</v>
      </c>
      <c r="T55" s="5" t="e">
        <f ca="1">IF(OR(INDEX($AI$2:$AI$1001,MATCH(ROWS($AH$2:AH55),$AH$2:$AH$1001,0),1)&gt;=100000,INDEX($AO$1005:$BQ$1005,1,MATCH(COLUMNS($AO$1006:BG1006),$AO$1006:$BQ$1006,0))&gt;=100000), " ",IF(INDEX($AO$2:$BQ$1001,MATCH(ROWS($AH$2:AH55),$AH$2:$AH$1001,0),MATCH(COLUMNS($AO$1006:BG1006),$AO$1006:$BQ$1006,0)), HYPERLINK("#",""), HYPERLINK(CONCATENATE("#Metadata!", ADDRESS(INDEX($AJ$2:$AJ$1001,MATCH(ROWS($AH$2:AH55),$AH$2:$AH$1001,0),0), INDEX($AO$1004:$BQ$1004,1,MATCH(COLUMNS($AO$1006:BG1006),$AO$1006:$BQ$1006,0)))),"Fix")))</f>
        <v>#N/A</v>
      </c>
      <c r="U55" s="5" t="e">
        <f ca="1">IF(OR(INDEX($AI$2:$AI$1001,MATCH(ROWS($AH$2:AH55),$AH$2:$AH$1001,0),1)&gt;=100000,INDEX($AO$1005:$BQ$1005,1,MATCH(COLUMNS($AO$1006:BH1006),$AO$1006:$BQ$1006,0))&gt;=100000), " ",IF(INDEX($AO$2:$BQ$1001,MATCH(ROWS($AH$2:AH55),$AH$2:$AH$1001,0),MATCH(COLUMNS($AO$1006:BH1006),$AO$1006:$BQ$1006,0)), HYPERLINK("#",""), HYPERLINK(CONCATENATE("#Metadata!", ADDRESS(INDEX($AJ$2:$AJ$1001,MATCH(ROWS($AH$2:AH55),$AH$2:$AH$1001,0),0), INDEX($AO$1004:$BQ$1004,1,MATCH(COLUMNS($AO$1006:BH1006),$AO$1006:$BQ$1006,0)))),"Fix")))</f>
        <v>#N/A</v>
      </c>
      <c r="V55" s="5" t="e">
        <f ca="1">IF(OR(INDEX($AI$2:$AI$1001,MATCH(ROWS($AH$2:AH55),$AH$2:$AH$1001,0),1)&gt;=100000,INDEX($AO$1005:$BQ$1005,1,MATCH(COLUMNS($AO$1006:BI1006),$AO$1006:$BQ$1006,0))&gt;=100000), " ",IF(INDEX($AO$2:$BQ$1001,MATCH(ROWS($AH$2:AH55),$AH$2:$AH$1001,0),MATCH(COLUMNS($AO$1006:BI1006),$AO$1006:$BQ$1006,0)), HYPERLINK("#",""), HYPERLINK(CONCATENATE("#Metadata!", ADDRESS(INDEX($AJ$2:$AJ$1001,MATCH(ROWS($AH$2:AH55),$AH$2:$AH$1001,0),0), INDEX($AO$1004:$BQ$1004,1,MATCH(COLUMNS($AO$1006:BI1006),$AO$1006:$BQ$1006,0)))),"Fix")))</f>
        <v>#N/A</v>
      </c>
      <c r="W55" s="5" t="e">
        <f ca="1">IF(OR(INDEX($AI$2:$AI$1001,MATCH(ROWS($AH$2:AH55),$AH$2:$AH$1001,0),1)&gt;=100000,INDEX($AO$1005:$BQ$1005,1,MATCH(COLUMNS($AO$1006:BJ1006),$AO$1006:$BQ$1006,0))&gt;=100000), " ",IF(INDEX($AO$2:$BQ$1001,MATCH(ROWS($AH$2:AH55),$AH$2:$AH$1001,0),MATCH(COLUMNS($AO$1006:BJ1006),$AO$1006:$BQ$1006,0)), HYPERLINK("#",""), HYPERLINK(CONCATENATE("#Metadata!", ADDRESS(INDEX($AJ$2:$AJ$1001,MATCH(ROWS($AH$2:AH55),$AH$2:$AH$1001,0),0), INDEX($AO$1004:$BQ$1004,1,MATCH(COLUMNS($AO$1006:BJ1006),$AO$1006:$BQ$1006,0)))),"Fix")))</f>
        <v>#N/A</v>
      </c>
      <c r="X55" s="5" t="e">
        <f ca="1">IF(OR(INDEX($AI$2:$AI$1001,MATCH(ROWS($AH$2:AH55),$AH$2:$AH$1001,0),1)&gt;=100000,INDEX($AO$1005:$BQ$1005,1,MATCH(COLUMNS($AO$1006:BK1006),$AO$1006:$BQ$1006,0))&gt;=100000), " ",IF(INDEX($AO$2:$BQ$1001,MATCH(ROWS($AH$2:AH55),$AH$2:$AH$1001,0),MATCH(COLUMNS($AO$1006:BK1006),$AO$1006:$BQ$1006,0)), HYPERLINK("#",""), HYPERLINK(CONCATENATE("#Metadata!", ADDRESS(INDEX($AJ$2:$AJ$1001,MATCH(ROWS($AH$2:AH55),$AH$2:$AH$1001,0),0), INDEX($AO$1004:$BQ$1004,1,MATCH(COLUMNS($AO$1006:BK1006),$AO$1006:$BQ$1006,0)))),"Fix")))</f>
        <v>#N/A</v>
      </c>
      <c r="Y55" s="5" t="e">
        <f ca="1">IF(OR(INDEX($AI$2:$AI$1001,MATCH(ROWS($AH$2:AH55),$AH$2:$AH$1001,0),1)&gt;=100000,INDEX($AO$1005:$BQ$1005,1,MATCH(COLUMNS($AO$1006:BL1006),$AO$1006:$BQ$1006,0))&gt;=100000), " ",IF(INDEX($AO$2:$BQ$1001,MATCH(ROWS($AH$2:AH55),$AH$2:$AH$1001,0),MATCH(COLUMNS($AO$1006:BL1006),$AO$1006:$BQ$1006,0)), HYPERLINK("#",""), HYPERLINK(CONCATENATE("#Metadata!", ADDRESS(INDEX($AJ$2:$AJ$1001,MATCH(ROWS($AH$2:AH55),$AH$2:$AH$1001,0),0), INDEX($AO$1004:$BQ$1004,1,MATCH(COLUMNS($AO$1006:BL1006),$AO$1006:$BQ$1006,0)))),"Fix")))</f>
        <v>#N/A</v>
      </c>
      <c r="Z55" s="5" t="e">
        <f ca="1">IF(OR(INDEX($AI$2:$AI$1001,MATCH(ROWS($AH$2:AH55),$AH$2:$AH$1001,0),1)&gt;=100000,INDEX($AO$1005:$BQ$1005,1,MATCH(COLUMNS($AO$1006:BM1006),$AO$1006:$BQ$1006,0))&gt;=100000), " ",IF(INDEX($AO$2:$BQ$1001,MATCH(ROWS($AH$2:AH55),$AH$2:$AH$1001,0),MATCH(COLUMNS($AO$1006:BM1006),$AO$1006:$BQ$1006,0)), HYPERLINK("#",""), HYPERLINK(CONCATENATE("#Metadata!", ADDRESS(INDEX($AJ$2:$AJ$1001,MATCH(ROWS($AH$2:AH55),$AH$2:$AH$1001,0),0), INDEX($AO$1004:$BQ$1004,1,MATCH(COLUMNS($AO$1006:BM1006),$AO$1006:$BQ$1006,0)))),"Fix")))</f>
        <v>#N/A</v>
      </c>
      <c r="AA55" s="5" t="e">
        <f ca="1">IF(OR(INDEX($AI$2:$AI$1001,MATCH(ROWS($AH$2:AH55),$AH$2:$AH$1001,0),1)&gt;=100000,INDEX($AO$1005:$BQ$1005,1,MATCH(COLUMNS($AO$1006:BN1006),$AO$1006:$BQ$1006,0))&gt;=100000), " ",IF(INDEX($AO$2:$BQ$1001,MATCH(ROWS($AH$2:AH55),$AH$2:$AH$1001,0),MATCH(COLUMNS($AO$1006:BN1006),$AO$1006:$BQ$1006,0)), HYPERLINK("#",""), HYPERLINK(CONCATENATE("#Metadata!", ADDRESS(INDEX($AJ$2:$AJ$1001,MATCH(ROWS($AH$2:AH55),$AH$2:$AH$1001,0),0), INDEX($AO$1004:$BQ$1004,1,MATCH(COLUMNS($AO$1006:BN1006),$AO$1006:$BQ$1006,0)))),"Fix")))</f>
        <v>#N/A</v>
      </c>
      <c r="AB55" s="5" t="e">
        <f ca="1">IF(OR(INDEX($AI$2:$AI$1001,MATCH(ROWS($AH$2:AH55),$AH$2:$AH$1001,0),1)&gt;=100000,INDEX($AO$1005:$BQ$1005,1,MATCH(COLUMNS($AO$1006:BO1006),$AO$1006:$BQ$1006,0))&gt;=100000), " ",IF(INDEX($AO$2:$BQ$1001,MATCH(ROWS($AH$2:AH55),$AH$2:$AH$1001,0),MATCH(COLUMNS($AO$1006:BO1006),$AO$1006:$BQ$1006,0)), HYPERLINK("#",""), HYPERLINK(CONCATENATE("#Metadata!", ADDRESS(INDEX($AJ$2:$AJ$1001,MATCH(ROWS($AH$2:AH55),$AH$2:$AH$1001,0),0), INDEX($AO$1004:$BQ$1004,1,MATCH(COLUMNS($AO$1006:BO1006),$AO$1006:$BQ$1006,0)))),"Fix")))</f>
        <v>#N/A</v>
      </c>
      <c r="AC55" s="5" t="e">
        <f ca="1">IF(OR(INDEX($AI$2:$AI$1001,MATCH(ROWS($AH$2:AH55),$AH$2:$AH$1001,0),1)&gt;=100000,INDEX($AO$1005:$BQ$1005,1,MATCH(COLUMNS($AO$1006:BP1006),$AO$1006:$BQ$1006,0))&gt;=100000), " ",IF(INDEX($AO$2:$BQ$1001,MATCH(ROWS($AH$2:AH55),$AH$2:$AH$1001,0),MATCH(COLUMNS($AO$1006:BP1006),$AO$1006:$BQ$1006,0)), HYPERLINK("#",""), HYPERLINK(CONCATENATE("#Metadata!", ADDRESS(INDEX($AJ$2:$AJ$1001,MATCH(ROWS($AH$2:AH55),$AH$2:$AH$1001,0),0), INDEX($AO$1004:$BQ$1004,1,MATCH(COLUMNS($AO$1006:BP1006),$AO$1006:$BQ$1006,0)))),"Fix")))</f>
        <v>#N/A</v>
      </c>
      <c r="AD55" s="5" t="e">
        <f ca="1">IF(OR(INDEX($AI$2:$AI$1001,MATCH(ROWS($AH$2:AH55),$AH$2:$AH$1001,0),1)&gt;=100000,INDEX($AO$1005:$BQ$1005,1,MATCH(COLUMNS($AO$1006:BQ1006),$AO$1006:$BQ$1006,0))&gt;=100000), " ",IF(INDEX($AO$2:$BQ$1001,MATCH(ROWS($AH$2:AH55),$AH$2:$AH$1001,0),MATCH(COLUMNS($AO$1006:BQ1006),$AO$1006:$BQ$1006,0)), HYPERLINK("#",""), HYPERLINK(CONCATENATE("#Metadata!", ADDRESS(INDEX($AJ$2:$AJ$1001,MATCH(ROWS($AH$2:AH55),$AH$2:$AH$1001,0),0), INDEX($AO$1004:$BQ$1004,1,MATCH(COLUMNS($AO$1006:BQ1006),$AO$1006:$BQ$1006,0)))),"Fix")))</f>
        <v>#REF!</v>
      </c>
      <c r="AH55">
        <f ca="1"/>
        <v>52</v>
      </c>
      <c r="AI55">
        <f ca="1"/>
        <v>55</v>
      </c>
      <c r="AJ55">
        <v>55</v>
      </c>
      <c r="AK55" t="b">
        <f t="shared" ca="1" si="0"/>
        <v>0</v>
      </c>
      <c r="AL55" t="b">
        <f>COUNTBLANK(Metadata!B55:AD55)=COLUMNS(Metadata!B55:AD55)</f>
        <v>0</v>
      </c>
      <c r="AM55" t="str">
        <v>Environment.Water.1.BTP.222Water</v>
      </c>
      <c r="AO55" t="b">
        <f ca="1">AND(IF(Metadata!B54="",FALSE,TRUE),COUNTIF(Metadata!B:B, Metadata!B54) = 1,NOT(ISERROR(SUMPRODUCT(SEARCH(MID(Metadata!B54,ROW(INDIRECT("1:"&amp;LEN(Metadata!B54))), 1),"0123456789abcdefghijklmnopqrstuvwxyzABCDEFGHIJKLMNOPQRSTUVWXYZ.")))))</f>
        <v>1</v>
      </c>
      <c r="AP55" t="b">
        <f>IF(Metadata!C54="",FALSE,TRUE)</f>
        <v>1</v>
      </c>
      <c r="AQ55" t="b">
        <f>IF(Metadata!D54="",FALSE,TRUE)</f>
        <v>1</v>
      </c>
      <c r="AR55" t="b">
        <f ca="1">OR(AND(IF(Metadata!E54="",FALSE,TRUE),OR(EXACT(Metadata!E54,"not collected"),EXACT(Metadata!E54,"not provided"),EXACT(Metadata!E54,"restricted access"))),AND(IF(Metadata!E54="",FALSE,TRUE),AND(AND(IFERROR(INT(LEFT(Metadata!E54,4))&gt;1900,FALSE),IFERROR(INT(LEFT(Metadata!E54,4))&lt;=YEAR(NOW()),FALSE)), OR(MID(Metadata!E54,5,1)="", AND(AND(MID(Metadata!E54,5,1)="-",IFERROR(INT(MID(Metadata!E54,6,1))&gt;=0,FALSE),IFERROR(INT(MID(Metadata!E54,6,1))&lt;=1,FALSE),NOT(MID(Metadata!E54,7,1)=""),IFERROR(INT(MID(Metadata!E54,6,2))&gt;=1,FALSE),IFERROR(INT(MID(Metadata!E54,6,2))&lt;=12,FALSE)), OR(MID(Metadata!E54,8,1)="", AND(AND(MID(Metadata!E54,8,1)="-",IFERROR(INT(MID(Metadata!E54,9,1))&gt;=0,FALSE),IFERROR(INT(MID(Metadata!E54,9,1))&lt;=3,FALSE),NOT(MID(Metadata!E54,10,1)=""),IFERROR(INT(MID(Metadata!E54,9,2))&gt;=1,FALSE),IFERROR(INT(MID(Metadata!E54,9,2))&lt;=31,FALSE)), OR(MID(Metadata!E54,11,1)="", AND(AND(MID(Metadata!E54,11,1)=" ",IFERROR(INT(MID(Metadata!E54,12,1))&gt;=0,FALSE),IFERROR(INT(MID(Metadata!E54,12,1))&lt;=2,FALSE),NOT(MID(Metadata!E54,13,1)=""),IFERROR(INT(MID(Metadata!E54,12,2))&gt;=0,FALSE),IFERROR(INT(MID(Metadata!E54,12,2))&lt;=23,FALSE)), OR(MID(Metadata!E54,14,1)="", AND(AND(MID(Metadata!E54,14,1)=":",IFERROR(INT(MID(Metadata!E54,15,1))&gt;=0,FALSE),IFERROR(INT(MID(Metadata!E54,15,1))&lt;=5,FALSE),NOT(MID(Metadata!E54,16,1)=""),IFERROR(INT(MID(Metadata!E54,15,2))&gt;=0,FALSE),IFERROR(INT(MID(Metadata!E54,15,2))&lt;=59,FALSE)), OR(MID(Metadata!E54,17,1)="", AND(AND(MID(Metadata!E54,17,1)=":",IFERROR(INT(MID(Metadata!E54,18,1))&gt;=0,FALSE),IFERROR(INT(MID(Metadata!E54,18,1))&lt;=5,FALSE),NOT(MID(Metadata!E54,19,1)=""),IFERROR(INT(MID(Metadata!E54,18,2))&gt;=0,FALSE),IFERROR(INT(MID(Metadata!E54,18,2))&lt;=59,FALSE)), LEN(Metadata!E54)&lt;=19)))))))))))))</f>
        <v>1</v>
      </c>
      <c r="AS55" t="b">
        <f>IF(Metadata!F54="",FALSE,TRUE)</f>
        <v>1</v>
      </c>
      <c r="AT55" t="b">
        <f>OR(AND(IF(Metadata!G54="",FALSE,TRUE),OR(EXACT(Metadata!G54,"not collected"),EXACT(Metadata!G54,"not provided"))),AND(IF(Metadata!G54="",FALSE,TRUE),OR(EXACT(Metadata!G54,"TRUE"),EXACT(Metadata!G54,"FALSE"))))</f>
        <v>1</v>
      </c>
      <c r="AU55" t="b">
        <f>OR(AND(IF(Metadata!H54="",FALSE,TRUE),OR(EXACT(Metadata!H54,"not collected"),EXACT(Metadata!H54,"not provided"),EXACT(Metadata!H54,"restricted access"))),AND(IF(Metadata!H54="",FALSE,ISNUMBER(VALUE(Metadata!H54))),Metadata!H54&gt;=-413))</f>
        <v>0</v>
      </c>
      <c r="AV55" t="b">
        <f>AND(IF(Metadata!I54="",FALSE,TRUE),EXACT(Metadata!I54,"meters"))</f>
        <v>1</v>
      </c>
      <c r="AW55" t="b">
        <f>AND(IF(Metadata!J54="",FALSE,TRUE),EXACT(Metadata!J54,"free-living"))</f>
        <v>1</v>
      </c>
      <c r="AX55" t="b">
        <f>AND(IF(Metadata!K54="",FALSE,TRUE),OR(EXACT(Metadata!K54,"saline"),EXACT(Metadata!K54,"non-saline")))</f>
        <v>1</v>
      </c>
      <c r="AY55" t="b">
        <f>AND(IF(Metadata!L54="",FALSE,TRUE),OR(EXACT(Metadata!L54,"sub-surface (non-saline)"),EXACT(Metadata!L54,"surface (non-saline)"),EXACT(Metadata!L54,"water (non-saline)"),EXACT(Metadata!L54,"soil (non-saline)"),EXACT(Metadata!L54,"aerosol (non-saline)"),EXACT(Metadata!L54,"sediment (non-saline)"),EXACT(Metadata!L54,"surface (saline)"),EXACT(Metadata!L54,"water (saline)"),EXACT(Metadata!L54,"hypersaline (saline)"),EXACT(Metadata!L54,"aerosol (saline)"),EXACT(Metadata!L54,"sediment (saline)")))</f>
        <v>1</v>
      </c>
      <c r="AZ55" t="b">
        <f>IF(Metadata!M54="",FALSE,TRUE)</f>
        <v>1</v>
      </c>
      <c r="BA55" t="b">
        <f>IF(Metadata!N54="",FALSE,TRUE)</f>
        <v>1</v>
      </c>
      <c r="BB55" t="b">
        <f>IF(Metadata!O54="",FALSE,TRUE)</f>
        <v>1</v>
      </c>
      <c r="BC55" t="b">
        <f>AND(IF(Metadata!P54="",FALSE,TRUE),OR(EXACT(Metadata!P54,"air"),EXACT(Metadata!P54,"microbial mat/biofilm"),EXACT(Metadata!P54,"misc environment"),EXACT(Metadata!P54,"sediment"),EXACT(Metadata!P54,"soil"),EXACT(Metadata!P54,"wastewater/sludge"),EXACT(Metadata!P54,"water")))</f>
        <v>1</v>
      </c>
      <c r="BD55" t="b">
        <f>IF(Metadata!Q54="",FALSE,TRUE)</f>
        <v>1</v>
      </c>
      <c r="BE55" t="b">
        <f>IF(Metadata!R54="",FALSE,TRUE)</f>
        <v>1</v>
      </c>
      <c r="BF55" t="b">
        <f>OR(AND(IF(Metadata!S54="",FALSE,TRUE),OR(EXACT(Metadata!S54,"not collected"),EXACT(Metadata!S54,"not provided"),EXACT(Metadata!S54,"restricted access"))),AND(IF(Metadata!S54="",FALSE,ISNUMBER(VALUE(Metadata!S54))),Metadata!S54&gt;=-90,Metadata!S54&lt;=90))</f>
        <v>0</v>
      </c>
      <c r="BG55" t="b">
        <f>AND(IF(Metadata!T54="",FALSE,TRUE),EXACT(Metadata!T54,"Decimal degrees"))</f>
        <v>1</v>
      </c>
      <c r="BH55" t="b">
        <f>OR(AND(IF(Metadata!U54="",FALSE,TRUE),OR(EXACT(Metadata!U54,"not applicable"),EXACT(Metadata!U54,"not collected"))),IF(Metadata!U54="",FALSE,TRUE))</f>
        <v>1</v>
      </c>
      <c r="BI55" t="b">
        <f>OR(AND(IF(Metadata!V54="",FALSE,TRUE),OR(EXACT(Metadata!V54,"not collected"),EXACT(Metadata!V54,"not provided"),EXACT(Metadata!V54,"restricted access"))),AND(IF(Metadata!V54="",FALSE,ISNUMBER(VALUE(Metadata!V54))),Metadata!V54&gt;=-180,Metadata!V54&lt;=180))</f>
        <v>0</v>
      </c>
      <c r="BJ55" t="b">
        <f>AND(IF(Metadata!W54="",FALSE,TRUE),EXACT(Metadata!W54,"Decimal degrees"))</f>
        <v>1</v>
      </c>
      <c r="BK55" t="b">
        <f>IF(Metadata!X54="",FALSE,TRUE)</f>
        <v>1</v>
      </c>
      <c r="BL55" t="b">
        <f>OR(AND(IF(Metadata!Y54="",FALSE,TRUE),OR(EXACT(Metadata!Y54,"not collected"),EXACT(Metadata!Y54,"not provided"),EXACT(Metadata!Y54,"restricted access"))),AND(IF(Metadata!Y54="",FALSE,TRUE),OR(EXACT(Metadata!Y54,"TRUE"),EXACT(Metadata!Y54,"FALSE"))))</f>
        <v>1</v>
      </c>
      <c r="BM55" t="b">
        <f>OR(AND(IF(Metadata!Z54="",FALSE,TRUE),EXACT(Metadata!Z54,"not applicable")),AND(IF(Metadata!Z54="",FALSE,TRUE),OR(EXACT(Metadata!Z54,"beer"),EXACT(Metadata!Z54,"cheese"),EXACT(Metadata!Z54,"fresh water"),EXACT(Metadata!Z54,"marine sediment"),EXACT(Metadata!Z54,"sea water"),EXACT(Metadata!Z54,"sediment"),EXACT(Metadata!Z54,"soil"),EXACT(Metadata!Z54,"waste water"))))</f>
        <v>1</v>
      </c>
      <c r="BN55" t="b">
        <f>AND(IF(Metadata!AA54="",FALSE,TRUE),EXACT(Metadata!AA54,"metagenome"))</f>
        <v>1</v>
      </c>
      <c r="BO55" t="b">
        <f>AND(IF(Metadata!AB54="",FALSE,TRUE),EXACT(Metadata!AB54,"256318"))</f>
        <v>1</v>
      </c>
      <c r="BP55" t="b">
        <f>IF(Metadata!AC54="",FALSE,TRUE)</f>
        <v>1</v>
      </c>
      <c r="BQ55" t="b">
        <f>IF(Metadata!AD54="",FALSE,TRUE)</f>
        <v>1</v>
      </c>
    </row>
    <row r="56" spans="1:69" x14ac:dyDescent="0.2">
      <c r="A56" s="4" t="e">
        <f ca="1">IF(B56=" "," ",HYPERLINK(CONCATENATE("#metadata!",ADDRESS(INDEX($AJ$2:$AJ$1001,MATCH(ROWS($AH$2:AH56),$AH$2:$AH$1001,0),0),2)),INDEX($AM$2:$AM$1001,MATCH(ROWS($AH$2:AH56),$AH$2:$AH$1001,0),0)))</f>
        <v>#N/A</v>
      </c>
      <c r="B56" s="5" t="e">
        <f ca="1">IF(OR(INDEX($AI$2:$AI$1001,MATCH(ROWS($AH$2:AH56),$AH$2:$AH$1001,0),1)&gt;=100000,INDEX($AO$1005:$BQ$1005,1,MATCH(COLUMNS($AO$1006:AO1006),$AO$1006:$BQ$1006,0))&gt;=100000), " ",IF(INDEX($AO$2:$BQ$1001,MATCH(ROWS($AH$2:AH56),$AH$2:$AH$1001,0),MATCH(COLUMNS($AO$1006:AO1006),$AO$1006:$BQ$1006,0)), HYPERLINK("#",""), HYPERLINK(CONCATENATE("#Metadata!", ADDRESS(INDEX($AJ$2:$AJ$1001,MATCH(ROWS($AH$2:AH56),$AH$2:$AH$1001,0),0), INDEX($AO$1004:$BQ$1004,1,MATCH(COLUMNS($AO$1006:AO1006),$AO$1006:$BQ$1006,0)))),"Fix")))</f>
        <v>#N/A</v>
      </c>
      <c r="C56" s="5" t="e">
        <f ca="1">IF(OR(INDEX($AI$2:$AI$1001,MATCH(ROWS($AH$2:AH56),$AH$2:$AH$1001,0),1)&gt;=100000,INDEX($AO$1005:$BQ$1005,1,MATCH(COLUMNS($AO$1006:AP1006),$AO$1006:$BQ$1006,0))&gt;=100000), " ",IF(INDEX($AO$2:$BQ$1001,MATCH(ROWS($AH$2:AH56),$AH$2:$AH$1001,0),MATCH(COLUMNS($AO$1006:AP1006),$AO$1006:$BQ$1006,0)), HYPERLINK("#",""), HYPERLINK(CONCATENATE("#Metadata!", ADDRESS(INDEX($AJ$2:$AJ$1001,MATCH(ROWS($AH$2:AH56),$AH$2:$AH$1001,0),0), INDEX($AO$1004:$BQ$1004,1,MATCH(COLUMNS($AO$1006:AP1006),$AO$1006:$BQ$1006,0)))),"Fix")))</f>
        <v>#N/A</v>
      </c>
      <c r="D56" s="5" t="e">
        <f ca="1">IF(OR(INDEX($AI$2:$AI$1001,MATCH(ROWS($AH$2:AH56),$AH$2:$AH$1001,0),1)&gt;=100000,INDEX($AO$1005:$BQ$1005,1,MATCH(COLUMNS($AO$1006:AQ1006),$AO$1006:$BQ$1006,0))&gt;=100000), " ",IF(INDEX($AO$2:$BQ$1001,MATCH(ROWS($AH$2:AH56),$AH$2:$AH$1001,0),MATCH(COLUMNS($AO$1006:AQ1006),$AO$1006:$BQ$1006,0)), HYPERLINK("#",""), HYPERLINK(CONCATENATE("#Metadata!", ADDRESS(INDEX($AJ$2:$AJ$1001,MATCH(ROWS($AH$2:AH56),$AH$2:$AH$1001,0),0), INDEX($AO$1004:$BQ$1004,1,MATCH(COLUMNS($AO$1006:AQ1006),$AO$1006:$BQ$1006,0)))),"Fix")))</f>
        <v>#N/A</v>
      </c>
      <c r="E56" s="5" t="e">
        <f ca="1">IF(OR(INDEX($AI$2:$AI$1001,MATCH(ROWS($AH$2:AH56),$AH$2:$AH$1001,0),1)&gt;=100000,INDEX($AO$1005:$BQ$1005,1,MATCH(COLUMNS($AO$1006:AR1006),$AO$1006:$BQ$1006,0))&gt;=100000), " ",IF(INDEX($AO$2:$BQ$1001,MATCH(ROWS($AH$2:AH56),$AH$2:$AH$1001,0),MATCH(COLUMNS($AO$1006:AR1006),$AO$1006:$BQ$1006,0)), HYPERLINK("#",""), HYPERLINK(CONCATENATE("#Metadata!", ADDRESS(INDEX($AJ$2:$AJ$1001,MATCH(ROWS($AH$2:AH56),$AH$2:$AH$1001,0),0), INDEX($AO$1004:$BQ$1004,1,MATCH(COLUMNS($AO$1006:AR1006),$AO$1006:$BQ$1006,0)))),"Fix")))</f>
        <v>#N/A</v>
      </c>
      <c r="F56" s="5" t="e">
        <f ca="1">IF(OR(INDEX($AI$2:$AI$1001,MATCH(ROWS($AH$2:AH56),$AH$2:$AH$1001,0),1)&gt;=100000,INDEX($AO$1005:$BQ$1005,1,MATCH(COLUMNS($AO$1006:AS1006),$AO$1006:$BQ$1006,0))&gt;=100000), " ",IF(INDEX($AO$2:$BQ$1001,MATCH(ROWS($AH$2:AH56),$AH$2:$AH$1001,0),MATCH(COLUMNS($AO$1006:AS1006),$AO$1006:$BQ$1006,0)), HYPERLINK("#",""), HYPERLINK(CONCATENATE("#Metadata!", ADDRESS(INDEX($AJ$2:$AJ$1001,MATCH(ROWS($AH$2:AH56),$AH$2:$AH$1001,0),0), INDEX($AO$1004:$BQ$1004,1,MATCH(COLUMNS($AO$1006:AS1006),$AO$1006:$BQ$1006,0)))),"Fix")))</f>
        <v>#N/A</v>
      </c>
      <c r="G56" s="5" t="e">
        <f ca="1">IF(OR(INDEX($AI$2:$AI$1001,MATCH(ROWS($AH$2:AH56),$AH$2:$AH$1001,0),1)&gt;=100000,INDEX($AO$1005:$BQ$1005,1,MATCH(COLUMNS($AO$1006:AT1006),$AO$1006:$BQ$1006,0))&gt;=100000), " ",IF(INDEX($AO$2:$BQ$1001,MATCH(ROWS($AH$2:AH56),$AH$2:$AH$1001,0),MATCH(COLUMNS($AO$1006:AT1006),$AO$1006:$BQ$1006,0)), HYPERLINK("#",""), HYPERLINK(CONCATENATE("#Metadata!", ADDRESS(INDEX($AJ$2:$AJ$1001,MATCH(ROWS($AH$2:AH56),$AH$2:$AH$1001,0),0), INDEX($AO$1004:$BQ$1004,1,MATCH(COLUMNS($AO$1006:AT1006),$AO$1006:$BQ$1006,0)))),"Fix")))</f>
        <v>#N/A</v>
      </c>
      <c r="H56" s="5" t="e">
        <f ca="1">IF(OR(INDEX($AI$2:$AI$1001,MATCH(ROWS($AH$2:AH56),$AH$2:$AH$1001,0),1)&gt;=100000,INDEX($AO$1005:$BQ$1005,1,MATCH(COLUMNS($AO$1006:AU1006),$AO$1006:$BQ$1006,0))&gt;=100000), " ",IF(INDEX($AO$2:$BQ$1001,MATCH(ROWS($AH$2:AH56),$AH$2:$AH$1001,0),MATCH(COLUMNS($AO$1006:AU1006),$AO$1006:$BQ$1006,0)), HYPERLINK("#",""), HYPERLINK(CONCATENATE("#Metadata!", ADDRESS(INDEX($AJ$2:$AJ$1001,MATCH(ROWS($AH$2:AH56),$AH$2:$AH$1001,0),0), INDEX($AO$1004:$BQ$1004,1,MATCH(COLUMNS($AO$1006:AU1006),$AO$1006:$BQ$1006,0)))),"Fix")))</f>
        <v>#N/A</v>
      </c>
      <c r="I56" s="5" t="e">
        <f ca="1">IF(OR(INDEX($AI$2:$AI$1001,MATCH(ROWS($AH$2:AH56),$AH$2:$AH$1001,0),1)&gt;=100000,INDEX($AO$1005:$BQ$1005,1,MATCH(COLUMNS($AO$1006:AV1006),$AO$1006:$BQ$1006,0))&gt;=100000), " ",IF(INDEX($AO$2:$BQ$1001,MATCH(ROWS($AH$2:AH56),$AH$2:$AH$1001,0),MATCH(COLUMNS($AO$1006:AV1006),$AO$1006:$BQ$1006,0)), HYPERLINK("#",""), HYPERLINK(CONCATENATE("#Metadata!", ADDRESS(INDEX($AJ$2:$AJ$1001,MATCH(ROWS($AH$2:AH56),$AH$2:$AH$1001,0),0), INDEX($AO$1004:$BQ$1004,1,MATCH(COLUMNS($AO$1006:AV1006),$AO$1006:$BQ$1006,0)))),"Fix")))</f>
        <v>#N/A</v>
      </c>
      <c r="J56" s="5" t="e">
        <f ca="1">IF(OR(INDEX($AI$2:$AI$1001,MATCH(ROWS($AH$2:AH56),$AH$2:$AH$1001,0),1)&gt;=100000,INDEX($AO$1005:$BQ$1005,1,MATCH(COLUMNS($AO$1006:AW1006),$AO$1006:$BQ$1006,0))&gt;=100000), " ",IF(INDEX($AO$2:$BQ$1001,MATCH(ROWS($AH$2:AH56),$AH$2:$AH$1001,0),MATCH(COLUMNS($AO$1006:AW1006),$AO$1006:$BQ$1006,0)), HYPERLINK("#",""), HYPERLINK(CONCATENATE("#Metadata!", ADDRESS(INDEX($AJ$2:$AJ$1001,MATCH(ROWS($AH$2:AH56),$AH$2:$AH$1001,0),0), INDEX($AO$1004:$BQ$1004,1,MATCH(COLUMNS($AO$1006:AW1006),$AO$1006:$BQ$1006,0)))),"Fix")))</f>
        <v>#N/A</v>
      </c>
      <c r="K56" s="5" t="e">
        <f ca="1">IF(OR(INDEX($AI$2:$AI$1001,MATCH(ROWS($AH$2:AH56),$AH$2:$AH$1001,0),1)&gt;=100000,INDEX($AO$1005:$BQ$1005,1,MATCH(COLUMNS($AO$1006:AX1006),$AO$1006:$BQ$1006,0))&gt;=100000), " ",IF(INDEX($AO$2:$BQ$1001,MATCH(ROWS($AH$2:AH56),$AH$2:$AH$1001,0),MATCH(COLUMNS($AO$1006:AX1006),$AO$1006:$BQ$1006,0)), HYPERLINK("#",""), HYPERLINK(CONCATENATE("#Metadata!", ADDRESS(INDEX($AJ$2:$AJ$1001,MATCH(ROWS($AH$2:AH56),$AH$2:$AH$1001,0),0), INDEX($AO$1004:$BQ$1004,1,MATCH(COLUMNS($AO$1006:AX1006),$AO$1006:$BQ$1006,0)))),"Fix")))</f>
        <v>#N/A</v>
      </c>
      <c r="L56" s="5" t="e">
        <f ca="1">IF(OR(INDEX($AI$2:$AI$1001,MATCH(ROWS($AH$2:AH56),$AH$2:$AH$1001,0),1)&gt;=100000,INDEX($AO$1005:$BQ$1005,1,MATCH(COLUMNS($AO$1006:AY1006),$AO$1006:$BQ$1006,0))&gt;=100000), " ",IF(INDEX($AO$2:$BQ$1001,MATCH(ROWS($AH$2:AH56),$AH$2:$AH$1001,0),MATCH(COLUMNS($AO$1006:AY1006),$AO$1006:$BQ$1006,0)), HYPERLINK("#",""), HYPERLINK(CONCATENATE("#Metadata!", ADDRESS(INDEX($AJ$2:$AJ$1001,MATCH(ROWS($AH$2:AH56),$AH$2:$AH$1001,0),0), INDEX($AO$1004:$BQ$1004,1,MATCH(COLUMNS($AO$1006:AY1006),$AO$1006:$BQ$1006,0)))),"Fix")))</f>
        <v>#N/A</v>
      </c>
      <c r="M56" s="5" t="e">
        <f ca="1">IF(OR(INDEX($AI$2:$AI$1001,MATCH(ROWS($AH$2:AH56),$AH$2:$AH$1001,0),1)&gt;=100000,INDEX($AO$1005:$BQ$1005,1,MATCH(COLUMNS($AO$1006:AZ1006),$AO$1006:$BQ$1006,0))&gt;=100000), " ",IF(INDEX($AO$2:$BQ$1001,MATCH(ROWS($AH$2:AH56),$AH$2:$AH$1001,0),MATCH(COLUMNS($AO$1006:AZ1006),$AO$1006:$BQ$1006,0)), HYPERLINK("#",""), HYPERLINK(CONCATENATE("#Metadata!", ADDRESS(INDEX($AJ$2:$AJ$1001,MATCH(ROWS($AH$2:AH56),$AH$2:$AH$1001,0),0), INDEX($AO$1004:$BQ$1004,1,MATCH(COLUMNS($AO$1006:AZ1006),$AO$1006:$BQ$1006,0)))),"Fix")))</f>
        <v>#N/A</v>
      </c>
      <c r="N56" s="5" t="e">
        <f ca="1">IF(OR(INDEX($AI$2:$AI$1001,MATCH(ROWS($AH$2:AH56),$AH$2:$AH$1001,0),1)&gt;=100000,INDEX($AO$1005:$BQ$1005,1,MATCH(COLUMNS($AO$1006:BA1006),$AO$1006:$BQ$1006,0))&gt;=100000), " ",IF(INDEX($AO$2:$BQ$1001,MATCH(ROWS($AH$2:AH56),$AH$2:$AH$1001,0),MATCH(COLUMNS($AO$1006:BA1006),$AO$1006:$BQ$1006,0)), HYPERLINK("#",""), HYPERLINK(CONCATENATE("#Metadata!", ADDRESS(INDEX($AJ$2:$AJ$1001,MATCH(ROWS($AH$2:AH56),$AH$2:$AH$1001,0),0), INDEX($AO$1004:$BQ$1004,1,MATCH(COLUMNS($AO$1006:BA1006),$AO$1006:$BQ$1006,0)))),"Fix")))</f>
        <v>#N/A</v>
      </c>
      <c r="O56" s="5" t="e">
        <f ca="1">IF(OR(INDEX($AI$2:$AI$1001,MATCH(ROWS($AH$2:AH56),$AH$2:$AH$1001,0),1)&gt;=100000,INDEX($AO$1005:$BQ$1005,1,MATCH(COLUMNS($AO$1006:BB1006),$AO$1006:$BQ$1006,0))&gt;=100000), " ",IF(INDEX($AO$2:$BQ$1001,MATCH(ROWS($AH$2:AH56),$AH$2:$AH$1001,0),MATCH(COLUMNS($AO$1006:BB1006),$AO$1006:$BQ$1006,0)), HYPERLINK("#",""), HYPERLINK(CONCATENATE("#Metadata!", ADDRESS(INDEX($AJ$2:$AJ$1001,MATCH(ROWS($AH$2:AH56),$AH$2:$AH$1001,0),0), INDEX($AO$1004:$BQ$1004,1,MATCH(COLUMNS($AO$1006:BB1006),$AO$1006:$BQ$1006,0)))),"Fix")))</f>
        <v>#N/A</v>
      </c>
      <c r="P56" s="5" t="e">
        <f ca="1">IF(OR(INDEX($AI$2:$AI$1001,MATCH(ROWS($AH$2:AH56),$AH$2:$AH$1001,0),1)&gt;=100000,INDEX($AO$1005:$BQ$1005,1,MATCH(COLUMNS($AO$1006:BC1006),$AO$1006:$BQ$1006,0))&gt;=100000), " ",IF(INDEX($AO$2:$BQ$1001,MATCH(ROWS($AH$2:AH56),$AH$2:$AH$1001,0),MATCH(COLUMNS($AO$1006:BC1006),$AO$1006:$BQ$1006,0)), HYPERLINK("#",""), HYPERLINK(CONCATENATE("#Metadata!", ADDRESS(INDEX($AJ$2:$AJ$1001,MATCH(ROWS($AH$2:AH56),$AH$2:$AH$1001,0),0), INDEX($AO$1004:$BQ$1004,1,MATCH(COLUMNS($AO$1006:BC1006),$AO$1006:$BQ$1006,0)))),"Fix")))</f>
        <v>#N/A</v>
      </c>
      <c r="Q56" s="5" t="e">
        <f ca="1">IF(OR(INDEX($AI$2:$AI$1001,MATCH(ROWS($AH$2:AH56),$AH$2:$AH$1001,0),1)&gt;=100000,INDEX($AO$1005:$BQ$1005,1,MATCH(COLUMNS($AO$1006:BD1006),$AO$1006:$BQ$1006,0))&gt;=100000), " ",IF(INDEX($AO$2:$BQ$1001,MATCH(ROWS($AH$2:AH56),$AH$2:$AH$1001,0),MATCH(COLUMNS($AO$1006:BD1006),$AO$1006:$BQ$1006,0)), HYPERLINK("#",""), HYPERLINK(CONCATENATE("#Metadata!", ADDRESS(INDEX($AJ$2:$AJ$1001,MATCH(ROWS($AH$2:AH56),$AH$2:$AH$1001,0),0), INDEX($AO$1004:$BQ$1004,1,MATCH(COLUMNS($AO$1006:BD1006),$AO$1006:$BQ$1006,0)))),"Fix")))</f>
        <v>#N/A</v>
      </c>
      <c r="R56" s="5" t="e">
        <f ca="1">IF(OR(INDEX($AI$2:$AI$1001,MATCH(ROWS($AH$2:AH56),$AH$2:$AH$1001,0),1)&gt;=100000,INDEX($AO$1005:$BQ$1005,1,MATCH(COLUMNS($AO$1006:BE1006),$AO$1006:$BQ$1006,0))&gt;=100000), " ",IF(INDEX($AO$2:$BQ$1001,MATCH(ROWS($AH$2:AH56),$AH$2:$AH$1001,0),MATCH(COLUMNS($AO$1006:BE1006),$AO$1006:$BQ$1006,0)), HYPERLINK("#",""), HYPERLINK(CONCATENATE("#Metadata!", ADDRESS(INDEX($AJ$2:$AJ$1001,MATCH(ROWS($AH$2:AH56),$AH$2:$AH$1001,0),0), INDEX($AO$1004:$BQ$1004,1,MATCH(COLUMNS($AO$1006:BE1006),$AO$1006:$BQ$1006,0)))),"Fix")))</f>
        <v>#N/A</v>
      </c>
      <c r="S56" s="5" t="e">
        <f ca="1">IF(OR(INDEX($AI$2:$AI$1001,MATCH(ROWS($AH$2:AH56),$AH$2:$AH$1001,0),1)&gt;=100000,INDEX($AO$1005:$BQ$1005,1,MATCH(COLUMNS($AO$1006:BF1006),$AO$1006:$BQ$1006,0))&gt;=100000), " ",IF(INDEX($AO$2:$BQ$1001,MATCH(ROWS($AH$2:AH56),$AH$2:$AH$1001,0),MATCH(COLUMNS($AO$1006:BF1006),$AO$1006:$BQ$1006,0)), HYPERLINK("#",""), HYPERLINK(CONCATENATE("#Metadata!", ADDRESS(INDEX($AJ$2:$AJ$1001,MATCH(ROWS($AH$2:AH56),$AH$2:$AH$1001,0),0), INDEX($AO$1004:$BQ$1004,1,MATCH(COLUMNS($AO$1006:BF1006),$AO$1006:$BQ$1006,0)))),"Fix")))</f>
        <v>#N/A</v>
      </c>
      <c r="T56" s="5" t="e">
        <f ca="1">IF(OR(INDEX($AI$2:$AI$1001,MATCH(ROWS($AH$2:AH56),$AH$2:$AH$1001,0),1)&gt;=100000,INDEX($AO$1005:$BQ$1005,1,MATCH(COLUMNS($AO$1006:BG1006),$AO$1006:$BQ$1006,0))&gt;=100000), " ",IF(INDEX($AO$2:$BQ$1001,MATCH(ROWS($AH$2:AH56),$AH$2:$AH$1001,0),MATCH(COLUMNS($AO$1006:BG1006),$AO$1006:$BQ$1006,0)), HYPERLINK("#",""), HYPERLINK(CONCATENATE("#Metadata!", ADDRESS(INDEX($AJ$2:$AJ$1001,MATCH(ROWS($AH$2:AH56),$AH$2:$AH$1001,0),0), INDEX($AO$1004:$BQ$1004,1,MATCH(COLUMNS($AO$1006:BG1006),$AO$1006:$BQ$1006,0)))),"Fix")))</f>
        <v>#N/A</v>
      </c>
      <c r="U56" s="5" t="e">
        <f ca="1">IF(OR(INDEX($AI$2:$AI$1001,MATCH(ROWS($AH$2:AH56),$AH$2:$AH$1001,0),1)&gt;=100000,INDEX($AO$1005:$BQ$1005,1,MATCH(COLUMNS($AO$1006:BH1006),$AO$1006:$BQ$1006,0))&gt;=100000), " ",IF(INDEX($AO$2:$BQ$1001,MATCH(ROWS($AH$2:AH56),$AH$2:$AH$1001,0),MATCH(COLUMNS($AO$1006:BH1006),$AO$1006:$BQ$1006,0)), HYPERLINK("#",""), HYPERLINK(CONCATENATE("#Metadata!", ADDRESS(INDEX($AJ$2:$AJ$1001,MATCH(ROWS($AH$2:AH56),$AH$2:$AH$1001,0),0), INDEX($AO$1004:$BQ$1004,1,MATCH(COLUMNS($AO$1006:BH1006),$AO$1006:$BQ$1006,0)))),"Fix")))</f>
        <v>#N/A</v>
      </c>
      <c r="V56" s="5" t="e">
        <f ca="1">IF(OR(INDEX($AI$2:$AI$1001,MATCH(ROWS($AH$2:AH56),$AH$2:$AH$1001,0),1)&gt;=100000,INDEX($AO$1005:$BQ$1005,1,MATCH(COLUMNS($AO$1006:BI1006),$AO$1006:$BQ$1006,0))&gt;=100000), " ",IF(INDEX($AO$2:$BQ$1001,MATCH(ROWS($AH$2:AH56),$AH$2:$AH$1001,0),MATCH(COLUMNS($AO$1006:BI1006),$AO$1006:$BQ$1006,0)), HYPERLINK("#",""), HYPERLINK(CONCATENATE("#Metadata!", ADDRESS(INDEX($AJ$2:$AJ$1001,MATCH(ROWS($AH$2:AH56),$AH$2:$AH$1001,0),0), INDEX($AO$1004:$BQ$1004,1,MATCH(COLUMNS($AO$1006:BI1006),$AO$1006:$BQ$1006,0)))),"Fix")))</f>
        <v>#N/A</v>
      </c>
      <c r="W56" s="5" t="e">
        <f ca="1">IF(OR(INDEX($AI$2:$AI$1001,MATCH(ROWS($AH$2:AH56),$AH$2:$AH$1001,0),1)&gt;=100000,INDEX($AO$1005:$BQ$1005,1,MATCH(COLUMNS($AO$1006:BJ1006),$AO$1006:$BQ$1006,0))&gt;=100000), " ",IF(INDEX($AO$2:$BQ$1001,MATCH(ROWS($AH$2:AH56),$AH$2:$AH$1001,0),MATCH(COLUMNS($AO$1006:BJ1006),$AO$1006:$BQ$1006,0)), HYPERLINK("#",""), HYPERLINK(CONCATENATE("#Metadata!", ADDRESS(INDEX($AJ$2:$AJ$1001,MATCH(ROWS($AH$2:AH56),$AH$2:$AH$1001,0),0), INDEX($AO$1004:$BQ$1004,1,MATCH(COLUMNS($AO$1006:BJ1006),$AO$1006:$BQ$1006,0)))),"Fix")))</f>
        <v>#N/A</v>
      </c>
      <c r="X56" s="5" t="e">
        <f ca="1">IF(OR(INDEX($AI$2:$AI$1001,MATCH(ROWS($AH$2:AH56),$AH$2:$AH$1001,0),1)&gt;=100000,INDEX($AO$1005:$BQ$1005,1,MATCH(COLUMNS($AO$1006:BK1006),$AO$1006:$BQ$1006,0))&gt;=100000), " ",IF(INDEX($AO$2:$BQ$1001,MATCH(ROWS($AH$2:AH56),$AH$2:$AH$1001,0),MATCH(COLUMNS($AO$1006:BK1006),$AO$1006:$BQ$1006,0)), HYPERLINK("#",""), HYPERLINK(CONCATENATE("#Metadata!", ADDRESS(INDEX($AJ$2:$AJ$1001,MATCH(ROWS($AH$2:AH56),$AH$2:$AH$1001,0),0), INDEX($AO$1004:$BQ$1004,1,MATCH(COLUMNS($AO$1006:BK1006),$AO$1006:$BQ$1006,0)))),"Fix")))</f>
        <v>#N/A</v>
      </c>
      <c r="Y56" s="5" t="e">
        <f ca="1">IF(OR(INDEX($AI$2:$AI$1001,MATCH(ROWS($AH$2:AH56),$AH$2:$AH$1001,0),1)&gt;=100000,INDEX($AO$1005:$BQ$1005,1,MATCH(COLUMNS($AO$1006:BL1006),$AO$1006:$BQ$1006,0))&gt;=100000), " ",IF(INDEX($AO$2:$BQ$1001,MATCH(ROWS($AH$2:AH56),$AH$2:$AH$1001,0),MATCH(COLUMNS($AO$1006:BL1006),$AO$1006:$BQ$1006,0)), HYPERLINK("#",""), HYPERLINK(CONCATENATE("#Metadata!", ADDRESS(INDEX($AJ$2:$AJ$1001,MATCH(ROWS($AH$2:AH56),$AH$2:$AH$1001,0),0), INDEX($AO$1004:$BQ$1004,1,MATCH(COLUMNS($AO$1006:BL1006),$AO$1006:$BQ$1006,0)))),"Fix")))</f>
        <v>#N/A</v>
      </c>
      <c r="Z56" s="5" t="e">
        <f ca="1">IF(OR(INDEX($AI$2:$AI$1001,MATCH(ROWS($AH$2:AH56),$AH$2:$AH$1001,0),1)&gt;=100000,INDEX($AO$1005:$BQ$1005,1,MATCH(COLUMNS($AO$1006:BM1006),$AO$1006:$BQ$1006,0))&gt;=100000), " ",IF(INDEX($AO$2:$BQ$1001,MATCH(ROWS($AH$2:AH56),$AH$2:$AH$1001,0),MATCH(COLUMNS($AO$1006:BM1006),$AO$1006:$BQ$1006,0)), HYPERLINK("#",""), HYPERLINK(CONCATENATE("#Metadata!", ADDRESS(INDEX($AJ$2:$AJ$1001,MATCH(ROWS($AH$2:AH56),$AH$2:$AH$1001,0),0), INDEX($AO$1004:$BQ$1004,1,MATCH(COLUMNS($AO$1006:BM1006),$AO$1006:$BQ$1006,0)))),"Fix")))</f>
        <v>#N/A</v>
      </c>
      <c r="AA56" s="5" t="e">
        <f ca="1">IF(OR(INDEX($AI$2:$AI$1001,MATCH(ROWS($AH$2:AH56),$AH$2:$AH$1001,0),1)&gt;=100000,INDEX($AO$1005:$BQ$1005,1,MATCH(COLUMNS($AO$1006:BN1006),$AO$1006:$BQ$1006,0))&gt;=100000), " ",IF(INDEX($AO$2:$BQ$1001,MATCH(ROWS($AH$2:AH56),$AH$2:$AH$1001,0),MATCH(COLUMNS($AO$1006:BN1006),$AO$1006:$BQ$1006,0)), HYPERLINK("#",""), HYPERLINK(CONCATENATE("#Metadata!", ADDRESS(INDEX($AJ$2:$AJ$1001,MATCH(ROWS($AH$2:AH56),$AH$2:$AH$1001,0),0), INDEX($AO$1004:$BQ$1004,1,MATCH(COLUMNS($AO$1006:BN1006),$AO$1006:$BQ$1006,0)))),"Fix")))</f>
        <v>#N/A</v>
      </c>
      <c r="AB56" s="5" t="e">
        <f ca="1">IF(OR(INDEX($AI$2:$AI$1001,MATCH(ROWS($AH$2:AH56),$AH$2:$AH$1001,0),1)&gt;=100000,INDEX($AO$1005:$BQ$1005,1,MATCH(COLUMNS($AO$1006:BO1006),$AO$1006:$BQ$1006,0))&gt;=100000), " ",IF(INDEX($AO$2:$BQ$1001,MATCH(ROWS($AH$2:AH56),$AH$2:$AH$1001,0),MATCH(COLUMNS($AO$1006:BO1006),$AO$1006:$BQ$1006,0)), HYPERLINK("#",""), HYPERLINK(CONCATENATE("#Metadata!", ADDRESS(INDEX($AJ$2:$AJ$1001,MATCH(ROWS($AH$2:AH56),$AH$2:$AH$1001,0),0), INDEX($AO$1004:$BQ$1004,1,MATCH(COLUMNS($AO$1006:BO1006),$AO$1006:$BQ$1006,0)))),"Fix")))</f>
        <v>#N/A</v>
      </c>
      <c r="AC56" s="5" t="e">
        <f ca="1">IF(OR(INDEX($AI$2:$AI$1001,MATCH(ROWS($AH$2:AH56),$AH$2:$AH$1001,0),1)&gt;=100000,INDEX($AO$1005:$BQ$1005,1,MATCH(COLUMNS($AO$1006:BP1006),$AO$1006:$BQ$1006,0))&gt;=100000), " ",IF(INDEX($AO$2:$BQ$1001,MATCH(ROWS($AH$2:AH56),$AH$2:$AH$1001,0),MATCH(COLUMNS($AO$1006:BP1006),$AO$1006:$BQ$1006,0)), HYPERLINK("#",""), HYPERLINK(CONCATENATE("#Metadata!", ADDRESS(INDEX($AJ$2:$AJ$1001,MATCH(ROWS($AH$2:AH56),$AH$2:$AH$1001,0),0), INDEX($AO$1004:$BQ$1004,1,MATCH(COLUMNS($AO$1006:BP1006),$AO$1006:$BQ$1006,0)))),"Fix")))</f>
        <v>#N/A</v>
      </c>
      <c r="AD56" s="5" t="e">
        <f ca="1">IF(OR(INDEX($AI$2:$AI$1001,MATCH(ROWS($AH$2:AH56),$AH$2:$AH$1001,0),1)&gt;=100000,INDEX($AO$1005:$BQ$1005,1,MATCH(COLUMNS($AO$1006:BQ1006),$AO$1006:$BQ$1006,0))&gt;=100000), " ",IF(INDEX($AO$2:$BQ$1001,MATCH(ROWS($AH$2:AH56),$AH$2:$AH$1001,0),MATCH(COLUMNS($AO$1006:BQ1006),$AO$1006:$BQ$1006,0)), HYPERLINK("#",""), HYPERLINK(CONCATENATE("#Metadata!", ADDRESS(INDEX($AJ$2:$AJ$1001,MATCH(ROWS($AH$2:AH56),$AH$2:$AH$1001,0),0), INDEX($AO$1004:$BQ$1004,1,MATCH(COLUMNS($AO$1006:BQ1006),$AO$1006:$BQ$1006,0)))),"Fix")))</f>
        <v>#REF!</v>
      </c>
      <c r="AH56">
        <f ca="1"/>
        <v>53</v>
      </c>
      <c r="AI56">
        <f ca="1"/>
        <v>56</v>
      </c>
      <c r="AJ56">
        <v>56</v>
      </c>
      <c r="AK56" t="b">
        <f t="shared" ca="1" si="0"/>
        <v>0</v>
      </c>
      <c r="AL56" t="b">
        <f>COUNTBLANK(Metadata!B56:AD56)=COLUMNS(Metadata!B56:AD56)</f>
        <v>0</v>
      </c>
      <c r="AM56" t="str">
        <v>Environment.Side.1.BTP.244Water</v>
      </c>
      <c r="AO56" t="b">
        <f ca="1">AND(IF(Metadata!B55="",FALSE,TRUE),COUNTIF(Metadata!B:B, Metadata!B55) = 1,NOT(ISERROR(SUMPRODUCT(SEARCH(MID(Metadata!B55,ROW(INDIRECT("1:"&amp;LEN(Metadata!B55))), 1),"0123456789abcdefghijklmnopqrstuvwxyzABCDEFGHIJKLMNOPQRSTUVWXYZ.")))))</f>
        <v>1</v>
      </c>
      <c r="AP56" t="b">
        <f>IF(Metadata!C55="",FALSE,TRUE)</f>
        <v>1</v>
      </c>
      <c r="AQ56" t="b">
        <f>IF(Metadata!D55="",FALSE,TRUE)</f>
        <v>1</v>
      </c>
      <c r="AR56" t="b">
        <f ca="1">OR(AND(IF(Metadata!E55="",FALSE,TRUE),OR(EXACT(Metadata!E55,"not collected"),EXACT(Metadata!E55,"not provided"),EXACT(Metadata!E55,"restricted access"))),AND(IF(Metadata!E55="",FALSE,TRUE),AND(AND(IFERROR(INT(LEFT(Metadata!E55,4))&gt;1900,FALSE),IFERROR(INT(LEFT(Metadata!E55,4))&lt;=YEAR(NOW()),FALSE)), OR(MID(Metadata!E55,5,1)="", AND(AND(MID(Metadata!E55,5,1)="-",IFERROR(INT(MID(Metadata!E55,6,1))&gt;=0,FALSE),IFERROR(INT(MID(Metadata!E55,6,1))&lt;=1,FALSE),NOT(MID(Metadata!E55,7,1)=""),IFERROR(INT(MID(Metadata!E55,6,2))&gt;=1,FALSE),IFERROR(INT(MID(Metadata!E55,6,2))&lt;=12,FALSE)), OR(MID(Metadata!E55,8,1)="", AND(AND(MID(Metadata!E55,8,1)="-",IFERROR(INT(MID(Metadata!E55,9,1))&gt;=0,FALSE),IFERROR(INT(MID(Metadata!E55,9,1))&lt;=3,FALSE),NOT(MID(Metadata!E55,10,1)=""),IFERROR(INT(MID(Metadata!E55,9,2))&gt;=1,FALSE),IFERROR(INT(MID(Metadata!E55,9,2))&lt;=31,FALSE)), OR(MID(Metadata!E55,11,1)="", AND(AND(MID(Metadata!E55,11,1)=" ",IFERROR(INT(MID(Metadata!E55,12,1))&gt;=0,FALSE),IFERROR(INT(MID(Metadata!E55,12,1))&lt;=2,FALSE),NOT(MID(Metadata!E55,13,1)=""),IFERROR(INT(MID(Metadata!E55,12,2))&gt;=0,FALSE),IFERROR(INT(MID(Metadata!E55,12,2))&lt;=23,FALSE)), OR(MID(Metadata!E55,14,1)="", AND(AND(MID(Metadata!E55,14,1)=":",IFERROR(INT(MID(Metadata!E55,15,1))&gt;=0,FALSE),IFERROR(INT(MID(Metadata!E55,15,1))&lt;=5,FALSE),NOT(MID(Metadata!E55,16,1)=""),IFERROR(INT(MID(Metadata!E55,15,2))&gt;=0,FALSE),IFERROR(INT(MID(Metadata!E55,15,2))&lt;=59,FALSE)), OR(MID(Metadata!E55,17,1)="", AND(AND(MID(Metadata!E55,17,1)=":",IFERROR(INT(MID(Metadata!E55,18,1))&gt;=0,FALSE),IFERROR(INT(MID(Metadata!E55,18,1))&lt;=5,FALSE),NOT(MID(Metadata!E55,19,1)=""),IFERROR(INT(MID(Metadata!E55,18,2))&gt;=0,FALSE),IFERROR(INT(MID(Metadata!E55,18,2))&lt;=59,FALSE)), LEN(Metadata!E55)&lt;=19)))))))))))))</f>
        <v>0</v>
      </c>
      <c r="AS56" t="b">
        <f>IF(Metadata!F55="",FALSE,TRUE)</f>
        <v>1</v>
      </c>
      <c r="AT56" t="b">
        <f>OR(AND(IF(Metadata!G55="",FALSE,TRUE),OR(EXACT(Metadata!G55,"not collected"),EXACT(Metadata!G55,"not provided"))),AND(IF(Metadata!G55="",FALSE,TRUE),OR(EXACT(Metadata!G55,"TRUE"),EXACT(Metadata!G55,"FALSE"))))</f>
        <v>1</v>
      </c>
      <c r="AU56" t="b">
        <f>OR(AND(IF(Metadata!H55="",FALSE,TRUE),OR(EXACT(Metadata!H55,"not collected"),EXACT(Metadata!H55,"not provided"),EXACT(Metadata!H55,"restricted access"))),AND(IF(Metadata!H55="",FALSE,ISNUMBER(VALUE(Metadata!H55))),Metadata!H55&gt;=-413))</f>
        <v>0</v>
      </c>
      <c r="AV56" t="b">
        <f>AND(IF(Metadata!I55="",FALSE,TRUE),EXACT(Metadata!I55,"meters"))</f>
        <v>1</v>
      </c>
      <c r="AW56" t="b">
        <f>AND(IF(Metadata!J55="",FALSE,TRUE),EXACT(Metadata!J55,"free-living"))</f>
        <v>1</v>
      </c>
      <c r="AX56" t="b">
        <f>AND(IF(Metadata!K55="",FALSE,TRUE),OR(EXACT(Metadata!K55,"saline"),EXACT(Metadata!K55,"non-saline")))</f>
        <v>1</v>
      </c>
      <c r="AY56" t="b">
        <f>AND(IF(Metadata!L55="",FALSE,TRUE),OR(EXACT(Metadata!L55,"sub-surface (non-saline)"),EXACT(Metadata!L55,"surface (non-saline)"),EXACT(Metadata!L55,"water (non-saline)"),EXACT(Metadata!L55,"soil (non-saline)"),EXACT(Metadata!L55,"aerosol (non-saline)"),EXACT(Metadata!L55,"sediment (non-saline)"),EXACT(Metadata!L55,"surface (saline)"),EXACT(Metadata!L55,"water (saline)"),EXACT(Metadata!L55,"hypersaline (saline)"),EXACT(Metadata!L55,"aerosol (saline)"),EXACT(Metadata!L55,"sediment (saline)")))</f>
        <v>1</v>
      </c>
      <c r="AZ56" t="b">
        <f>IF(Metadata!M55="",FALSE,TRUE)</f>
        <v>1</v>
      </c>
      <c r="BA56" t="b">
        <f>IF(Metadata!N55="",FALSE,TRUE)</f>
        <v>1</v>
      </c>
      <c r="BB56" t="b">
        <f>IF(Metadata!O55="",FALSE,TRUE)</f>
        <v>1</v>
      </c>
      <c r="BC56" t="b">
        <f>AND(IF(Metadata!P55="",FALSE,TRUE),OR(EXACT(Metadata!P55,"air"),EXACT(Metadata!P55,"microbial mat/biofilm"),EXACT(Metadata!P55,"misc environment"),EXACT(Metadata!P55,"sediment"),EXACT(Metadata!P55,"soil"),EXACT(Metadata!P55,"wastewater/sludge"),EXACT(Metadata!P55,"water")))</f>
        <v>1</v>
      </c>
      <c r="BD56" t="b">
        <f>IF(Metadata!Q55="",FALSE,TRUE)</f>
        <v>1</v>
      </c>
      <c r="BE56" t="b">
        <f>IF(Metadata!R55="",FALSE,TRUE)</f>
        <v>1</v>
      </c>
      <c r="BF56" t="b">
        <f>OR(AND(IF(Metadata!S55="",FALSE,TRUE),OR(EXACT(Metadata!S55,"not collected"),EXACT(Metadata!S55,"not provided"),EXACT(Metadata!S55,"restricted access"))),AND(IF(Metadata!S55="",FALSE,ISNUMBER(VALUE(Metadata!S55))),Metadata!S55&gt;=-90,Metadata!S55&lt;=90))</f>
        <v>0</v>
      </c>
      <c r="BG56" t="b">
        <f>AND(IF(Metadata!T55="",FALSE,TRUE),EXACT(Metadata!T55,"Decimal degrees"))</f>
        <v>1</v>
      </c>
      <c r="BH56" t="b">
        <f>OR(AND(IF(Metadata!U55="",FALSE,TRUE),OR(EXACT(Metadata!U55,"not applicable"),EXACT(Metadata!U55,"not collected"))),IF(Metadata!U55="",FALSE,TRUE))</f>
        <v>1</v>
      </c>
      <c r="BI56" t="b">
        <f>OR(AND(IF(Metadata!V55="",FALSE,TRUE),OR(EXACT(Metadata!V55,"not collected"),EXACT(Metadata!V55,"not provided"),EXACT(Metadata!V55,"restricted access"))),AND(IF(Metadata!V55="",FALSE,ISNUMBER(VALUE(Metadata!V55))),Metadata!V55&gt;=-180,Metadata!V55&lt;=180))</f>
        <v>0</v>
      </c>
      <c r="BJ56" t="b">
        <f>AND(IF(Metadata!W55="",FALSE,TRUE),EXACT(Metadata!W55,"Decimal degrees"))</f>
        <v>1</v>
      </c>
      <c r="BK56" t="b">
        <f>IF(Metadata!X55="",FALSE,TRUE)</f>
        <v>1</v>
      </c>
      <c r="BL56" t="b">
        <f>OR(AND(IF(Metadata!Y55="",FALSE,TRUE),OR(EXACT(Metadata!Y55,"not collected"),EXACT(Metadata!Y55,"not provided"),EXACT(Metadata!Y55,"restricted access"))),AND(IF(Metadata!Y55="",FALSE,TRUE),OR(EXACT(Metadata!Y55,"TRUE"),EXACT(Metadata!Y55,"FALSE"))))</f>
        <v>1</v>
      </c>
      <c r="BM56" t="b">
        <f>OR(AND(IF(Metadata!Z55="",FALSE,TRUE),EXACT(Metadata!Z55,"not applicable")),AND(IF(Metadata!Z55="",FALSE,TRUE),OR(EXACT(Metadata!Z55,"beer"),EXACT(Metadata!Z55,"cheese"),EXACT(Metadata!Z55,"fresh water"),EXACT(Metadata!Z55,"marine sediment"),EXACT(Metadata!Z55,"sea water"),EXACT(Metadata!Z55,"sediment"),EXACT(Metadata!Z55,"soil"),EXACT(Metadata!Z55,"waste water"))))</f>
        <v>1</v>
      </c>
      <c r="BN56" t="b">
        <f>AND(IF(Metadata!AA55="",FALSE,TRUE),EXACT(Metadata!AA55,"metagenome"))</f>
        <v>1</v>
      </c>
      <c r="BO56" t="b">
        <f>AND(IF(Metadata!AB55="",FALSE,TRUE),EXACT(Metadata!AB55,"256318"))</f>
        <v>1</v>
      </c>
      <c r="BP56" t="b">
        <f>IF(Metadata!AC55="",FALSE,TRUE)</f>
        <v>1</v>
      </c>
      <c r="BQ56" t="b">
        <f>IF(Metadata!AD55="",FALSE,TRUE)</f>
        <v>1</v>
      </c>
    </row>
    <row r="57" spans="1:69" x14ac:dyDescent="0.2">
      <c r="A57" s="4" t="e">
        <f ca="1">IF(B57=" "," ",HYPERLINK(CONCATENATE("#metadata!",ADDRESS(INDEX($AJ$2:$AJ$1001,MATCH(ROWS($AH$2:AH57),$AH$2:$AH$1001,0),0),2)),INDEX($AM$2:$AM$1001,MATCH(ROWS($AH$2:AH57),$AH$2:$AH$1001,0),0)))</f>
        <v>#N/A</v>
      </c>
      <c r="B57" s="5" t="e">
        <f ca="1">IF(OR(INDEX($AI$2:$AI$1001,MATCH(ROWS($AH$2:AH57),$AH$2:$AH$1001,0),1)&gt;=100000,INDEX($AO$1005:$BQ$1005,1,MATCH(COLUMNS($AO$1006:AO1006),$AO$1006:$BQ$1006,0))&gt;=100000), " ",IF(INDEX($AO$2:$BQ$1001,MATCH(ROWS($AH$2:AH57),$AH$2:$AH$1001,0),MATCH(COLUMNS($AO$1006:AO1006),$AO$1006:$BQ$1006,0)), HYPERLINK("#",""), HYPERLINK(CONCATENATE("#Metadata!", ADDRESS(INDEX($AJ$2:$AJ$1001,MATCH(ROWS($AH$2:AH57),$AH$2:$AH$1001,0),0), INDEX($AO$1004:$BQ$1004,1,MATCH(COLUMNS($AO$1006:AO1006),$AO$1006:$BQ$1006,0)))),"Fix")))</f>
        <v>#N/A</v>
      </c>
      <c r="C57" s="5" t="e">
        <f ca="1">IF(OR(INDEX($AI$2:$AI$1001,MATCH(ROWS($AH$2:AH57),$AH$2:$AH$1001,0),1)&gt;=100000,INDEX($AO$1005:$BQ$1005,1,MATCH(COLUMNS($AO$1006:AP1006),$AO$1006:$BQ$1006,0))&gt;=100000), " ",IF(INDEX($AO$2:$BQ$1001,MATCH(ROWS($AH$2:AH57),$AH$2:$AH$1001,0),MATCH(COLUMNS($AO$1006:AP1006),$AO$1006:$BQ$1006,0)), HYPERLINK("#",""), HYPERLINK(CONCATENATE("#Metadata!", ADDRESS(INDEX($AJ$2:$AJ$1001,MATCH(ROWS($AH$2:AH57),$AH$2:$AH$1001,0),0), INDEX($AO$1004:$BQ$1004,1,MATCH(COLUMNS($AO$1006:AP1006),$AO$1006:$BQ$1006,0)))),"Fix")))</f>
        <v>#N/A</v>
      </c>
      <c r="D57" s="5" t="e">
        <f ca="1">IF(OR(INDEX($AI$2:$AI$1001,MATCH(ROWS($AH$2:AH57),$AH$2:$AH$1001,0),1)&gt;=100000,INDEX($AO$1005:$BQ$1005,1,MATCH(COLUMNS($AO$1006:AQ1006),$AO$1006:$BQ$1006,0))&gt;=100000), " ",IF(INDEX($AO$2:$BQ$1001,MATCH(ROWS($AH$2:AH57),$AH$2:$AH$1001,0),MATCH(COLUMNS($AO$1006:AQ1006),$AO$1006:$BQ$1006,0)), HYPERLINK("#",""), HYPERLINK(CONCATENATE("#Metadata!", ADDRESS(INDEX($AJ$2:$AJ$1001,MATCH(ROWS($AH$2:AH57),$AH$2:$AH$1001,0),0), INDEX($AO$1004:$BQ$1004,1,MATCH(COLUMNS($AO$1006:AQ1006),$AO$1006:$BQ$1006,0)))),"Fix")))</f>
        <v>#N/A</v>
      </c>
      <c r="E57" s="5" t="e">
        <f ca="1">IF(OR(INDEX($AI$2:$AI$1001,MATCH(ROWS($AH$2:AH57),$AH$2:$AH$1001,0),1)&gt;=100000,INDEX($AO$1005:$BQ$1005,1,MATCH(COLUMNS($AO$1006:AR1006),$AO$1006:$BQ$1006,0))&gt;=100000), " ",IF(INDEX($AO$2:$BQ$1001,MATCH(ROWS($AH$2:AH57),$AH$2:$AH$1001,0),MATCH(COLUMNS($AO$1006:AR1006),$AO$1006:$BQ$1006,0)), HYPERLINK("#",""), HYPERLINK(CONCATENATE("#Metadata!", ADDRESS(INDEX($AJ$2:$AJ$1001,MATCH(ROWS($AH$2:AH57),$AH$2:$AH$1001,0),0), INDEX($AO$1004:$BQ$1004,1,MATCH(COLUMNS($AO$1006:AR1006),$AO$1006:$BQ$1006,0)))),"Fix")))</f>
        <v>#N/A</v>
      </c>
      <c r="F57" s="5" t="e">
        <f ca="1">IF(OR(INDEX($AI$2:$AI$1001,MATCH(ROWS($AH$2:AH57),$AH$2:$AH$1001,0),1)&gt;=100000,INDEX($AO$1005:$BQ$1005,1,MATCH(COLUMNS($AO$1006:AS1006),$AO$1006:$BQ$1006,0))&gt;=100000), " ",IF(INDEX($AO$2:$BQ$1001,MATCH(ROWS($AH$2:AH57),$AH$2:$AH$1001,0),MATCH(COLUMNS($AO$1006:AS1006),$AO$1006:$BQ$1006,0)), HYPERLINK("#",""), HYPERLINK(CONCATENATE("#Metadata!", ADDRESS(INDEX($AJ$2:$AJ$1001,MATCH(ROWS($AH$2:AH57),$AH$2:$AH$1001,0),0), INDEX($AO$1004:$BQ$1004,1,MATCH(COLUMNS($AO$1006:AS1006),$AO$1006:$BQ$1006,0)))),"Fix")))</f>
        <v>#N/A</v>
      </c>
      <c r="G57" s="5" t="e">
        <f ca="1">IF(OR(INDEX($AI$2:$AI$1001,MATCH(ROWS($AH$2:AH57),$AH$2:$AH$1001,0),1)&gt;=100000,INDEX($AO$1005:$BQ$1005,1,MATCH(COLUMNS($AO$1006:AT1006),$AO$1006:$BQ$1006,0))&gt;=100000), " ",IF(INDEX($AO$2:$BQ$1001,MATCH(ROWS($AH$2:AH57),$AH$2:$AH$1001,0),MATCH(COLUMNS($AO$1006:AT1006),$AO$1006:$BQ$1006,0)), HYPERLINK("#",""), HYPERLINK(CONCATENATE("#Metadata!", ADDRESS(INDEX($AJ$2:$AJ$1001,MATCH(ROWS($AH$2:AH57),$AH$2:$AH$1001,0),0), INDEX($AO$1004:$BQ$1004,1,MATCH(COLUMNS($AO$1006:AT1006),$AO$1006:$BQ$1006,0)))),"Fix")))</f>
        <v>#N/A</v>
      </c>
      <c r="H57" s="5" t="e">
        <f ca="1">IF(OR(INDEX($AI$2:$AI$1001,MATCH(ROWS($AH$2:AH57),$AH$2:$AH$1001,0),1)&gt;=100000,INDEX($AO$1005:$BQ$1005,1,MATCH(COLUMNS($AO$1006:AU1006),$AO$1006:$BQ$1006,0))&gt;=100000), " ",IF(INDEX($AO$2:$BQ$1001,MATCH(ROWS($AH$2:AH57),$AH$2:$AH$1001,0),MATCH(COLUMNS($AO$1006:AU1006),$AO$1006:$BQ$1006,0)), HYPERLINK("#",""), HYPERLINK(CONCATENATE("#Metadata!", ADDRESS(INDEX($AJ$2:$AJ$1001,MATCH(ROWS($AH$2:AH57),$AH$2:$AH$1001,0),0), INDEX($AO$1004:$BQ$1004,1,MATCH(COLUMNS($AO$1006:AU1006),$AO$1006:$BQ$1006,0)))),"Fix")))</f>
        <v>#N/A</v>
      </c>
      <c r="I57" s="5" t="e">
        <f ca="1">IF(OR(INDEX($AI$2:$AI$1001,MATCH(ROWS($AH$2:AH57),$AH$2:$AH$1001,0),1)&gt;=100000,INDEX($AO$1005:$BQ$1005,1,MATCH(COLUMNS($AO$1006:AV1006),$AO$1006:$BQ$1006,0))&gt;=100000), " ",IF(INDEX($AO$2:$BQ$1001,MATCH(ROWS($AH$2:AH57),$AH$2:$AH$1001,0),MATCH(COLUMNS($AO$1006:AV1006),$AO$1006:$BQ$1006,0)), HYPERLINK("#",""), HYPERLINK(CONCATENATE("#Metadata!", ADDRESS(INDEX($AJ$2:$AJ$1001,MATCH(ROWS($AH$2:AH57),$AH$2:$AH$1001,0),0), INDEX($AO$1004:$BQ$1004,1,MATCH(COLUMNS($AO$1006:AV1006),$AO$1006:$BQ$1006,0)))),"Fix")))</f>
        <v>#N/A</v>
      </c>
      <c r="J57" s="5" t="e">
        <f ca="1">IF(OR(INDEX($AI$2:$AI$1001,MATCH(ROWS($AH$2:AH57),$AH$2:$AH$1001,0),1)&gt;=100000,INDEX($AO$1005:$BQ$1005,1,MATCH(COLUMNS($AO$1006:AW1006),$AO$1006:$BQ$1006,0))&gt;=100000), " ",IF(INDEX($AO$2:$BQ$1001,MATCH(ROWS($AH$2:AH57),$AH$2:$AH$1001,0),MATCH(COLUMNS($AO$1006:AW1006),$AO$1006:$BQ$1006,0)), HYPERLINK("#",""), HYPERLINK(CONCATENATE("#Metadata!", ADDRESS(INDEX($AJ$2:$AJ$1001,MATCH(ROWS($AH$2:AH57),$AH$2:$AH$1001,0),0), INDEX($AO$1004:$BQ$1004,1,MATCH(COLUMNS($AO$1006:AW1006),$AO$1006:$BQ$1006,0)))),"Fix")))</f>
        <v>#N/A</v>
      </c>
      <c r="K57" s="5" t="e">
        <f ca="1">IF(OR(INDEX($AI$2:$AI$1001,MATCH(ROWS($AH$2:AH57),$AH$2:$AH$1001,0),1)&gt;=100000,INDEX($AO$1005:$BQ$1005,1,MATCH(COLUMNS($AO$1006:AX1006),$AO$1006:$BQ$1006,0))&gt;=100000), " ",IF(INDEX($AO$2:$BQ$1001,MATCH(ROWS($AH$2:AH57),$AH$2:$AH$1001,0),MATCH(COLUMNS($AO$1006:AX1006),$AO$1006:$BQ$1006,0)), HYPERLINK("#",""), HYPERLINK(CONCATENATE("#Metadata!", ADDRESS(INDEX($AJ$2:$AJ$1001,MATCH(ROWS($AH$2:AH57),$AH$2:$AH$1001,0),0), INDEX($AO$1004:$BQ$1004,1,MATCH(COLUMNS($AO$1006:AX1006),$AO$1006:$BQ$1006,0)))),"Fix")))</f>
        <v>#N/A</v>
      </c>
      <c r="L57" s="5" t="e">
        <f ca="1">IF(OR(INDEX($AI$2:$AI$1001,MATCH(ROWS($AH$2:AH57),$AH$2:$AH$1001,0),1)&gt;=100000,INDEX($AO$1005:$BQ$1005,1,MATCH(COLUMNS($AO$1006:AY1006),$AO$1006:$BQ$1006,0))&gt;=100000), " ",IF(INDEX($AO$2:$BQ$1001,MATCH(ROWS($AH$2:AH57),$AH$2:$AH$1001,0),MATCH(COLUMNS($AO$1006:AY1006),$AO$1006:$BQ$1006,0)), HYPERLINK("#",""), HYPERLINK(CONCATENATE("#Metadata!", ADDRESS(INDEX($AJ$2:$AJ$1001,MATCH(ROWS($AH$2:AH57),$AH$2:$AH$1001,0),0), INDEX($AO$1004:$BQ$1004,1,MATCH(COLUMNS($AO$1006:AY1006),$AO$1006:$BQ$1006,0)))),"Fix")))</f>
        <v>#N/A</v>
      </c>
      <c r="M57" s="5" t="e">
        <f ca="1">IF(OR(INDEX($AI$2:$AI$1001,MATCH(ROWS($AH$2:AH57),$AH$2:$AH$1001,0),1)&gt;=100000,INDEX($AO$1005:$BQ$1005,1,MATCH(COLUMNS($AO$1006:AZ1006),$AO$1006:$BQ$1006,0))&gt;=100000), " ",IF(INDEX($AO$2:$BQ$1001,MATCH(ROWS($AH$2:AH57),$AH$2:$AH$1001,0),MATCH(COLUMNS($AO$1006:AZ1006),$AO$1006:$BQ$1006,0)), HYPERLINK("#",""), HYPERLINK(CONCATENATE("#Metadata!", ADDRESS(INDEX($AJ$2:$AJ$1001,MATCH(ROWS($AH$2:AH57),$AH$2:$AH$1001,0),0), INDEX($AO$1004:$BQ$1004,1,MATCH(COLUMNS($AO$1006:AZ1006),$AO$1006:$BQ$1006,0)))),"Fix")))</f>
        <v>#N/A</v>
      </c>
      <c r="N57" s="5" t="e">
        <f ca="1">IF(OR(INDEX($AI$2:$AI$1001,MATCH(ROWS($AH$2:AH57),$AH$2:$AH$1001,0),1)&gt;=100000,INDEX($AO$1005:$BQ$1005,1,MATCH(COLUMNS($AO$1006:BA1006),$AO$1006:$BQ$1006,0))&gt;=100000), " ",IF(INDEX($AO$2:$BQ$1001,MATCH(ROWS($AH$2:AH57),$AH$2:$AH$1001,0),MATCH(COLUMNS($AO$1006:BA1006),$AO$1006:$BQ$1006,0)), HYPERLINK("#",""), HYPERLINK(CONCATENATE("#Metadata!", ADDRESS(INDEX($AJ$2:$AJ$1001,MATCH(ROWS($AH$2:AH57),$AH$2:$AH$1001,0),0), INDEX($AO$1004:$BQ$1004,1,MATCH(COLUMNS($AO$1006:BA1006),$AO$1006:$BQ$1006,0)))),"Fix")))</f>
        <v>#N/A</v>
      </c>
      <c r="O57" s="5" t="e">
        <f ca="1">IF(OR(INDEX($AI$2:$AI$1001,MATCH(ROWS($AH$2:AH57),$AH$2:$AH$1001,0),1)&gt;=100000,INDEX($AO$1005:$BQ$1005,1,MATCH(COLUMNS($AO$1006:BB1006),$AO$1006:$BQ$1006,0))&gt;=100000), " ",IF(INDEX($AO$2:$BQ$1001,MATCH(ROWS($AH$2:AH57),$AH$2:$AH$1001,0),MATCH(COLUMNS($AO$1006:BB1006),$AO$1006:$BQ$1006,0)), HYPERLINK("#",""), HYPERLINK(CONCATENATE("#Metadata!", ADDRESS(INDEX($AJ$2:$AJ$1001,MATCH(ROWS($AH$2:AH57),$AH$2:$AH$1001,0),0), INDEX($AO$1004:$BQ$1004,1,MATCH(COLUMNS($AO$1006:BB1006),$AO$1006:$BQ$1006,0)))),"Fix")))</f>
        <v>#N/A</v>
      </c>
      <c r="P57" s="5" t="e">
        <f ca="1">IF(OR(INDEX($AI$2:$AI$1001,MATCH(ROWS($AH$2:AH57),$AH$2:$AH$1001,0),1)&gt;=100000,INDEX($AO$1005:$BQ$1005,1,MATCH(COLUMNS($AO$1006:BC1006),$AO$1006:$BQ$1006,0))&gt;=100000), " ",IF(INDEX($AO$2:$BQ$1001,MATCH(ROWS($AH$2:AH57),$AH$2:$AH$1001,0),MATCH(COLUMNS($AO$1006:BC1006),$AO$1006:$BQ$1006,0)), HYPERLINK("#",""), HYPERLINK(CONCATENATE("#Metadata!", ADDRESS(INDEX($AJ$2:$AJ$1001,MATCH(ROWS($AH$2:AH57),$AH$2:$AH$1001,0),0), INDEX($AO$1004:$BQ$1004,1,MATCH(COLUMNS($AO$1006:BC1006),$AO$1006:$BQ$1006,0)))),"Fix")))</f>
        <v>#N/A</v>
      </c>
      <c r="Q57" s="5" t="e">
        <f ca="1">IF(OR(INDEX($AI$2:$AI$1001,MATCH(ROWS($AH$2:AH57),$AH$2:$AH$1001,0),1)&gt;=100000,INDEX($AO$1005:$BQ$1005,1,MATCH(COLUMNS($AO$1006:BD1006),$AO$1006:$BQ$1006,0))&gt;=100000), " ",IF(INDEX($AO$2:$BQ$1001,MATCH(ROWS($AH$2:AH57),$AH$2:$AH$1001,0),MATCH(COLUMNS($AO$1006:BD1006),$AO$1006:$BQ$1006,0)), HYPERLINK("#",""), HYPERLINK(CONCATENATE("#Metadata!", ADDRESS(INDEX($AJ$2:$AJ$1001,MATCH(ROWS($AH$2:AH57),$AH$2:$AH$1001,0),0), INDEX($AO$1004:$BQ$1004,1,MATCH(COLUMNS($AO$1006:BD1006),$AO$1006:$BQ$1006,0)))),"Fix")))</f>
        <v>#N/A</v>
      </c>
      <c r="R57" s="5" t="e">
        <f ca="1">IF(OR(INDEX($AI$2:$AI$1001,MATCH(ROWS($AH$2:AH57),$AH$2:$AH$1001,0),1)&gt;=100000,INDEX($AO$1005:$BQ$1005,1,MATCH(COLUMNS($AO$1006:BE1006),$AO$1006:$BQ$1006,0))&gt;=100000), " ",IF(INDEX($AO$2:$BQ$1001,MATCH(ROWS($AH$2:AH57),$AH$2:$AH$1001,0),MATCH(COLUMNS($AO$1006:BE1006),$AO$1006:$BQ$1006,0)), HYPERLINK("#",""), HYPERLINK(CONCATENATE("#Metadata!", ADDRESS(INDEX($AJ$2:$AJ$1001,MATCH(ROWS($AH$2:AH57),$AH$2:$AH$1001,0),0), INDEX($AO$1004:$BQ$1004,1,MATCH(COLUMNS($AO$1006:BE1006),$AO$1006:$BQ$1006,0)))),"Fix")))</f>
        <v>#N/A</v>
      </c>
      <c r="S57" s="5" t="e">
        <f ca="1">IF(OR(INDEX($AI$2:$AI$1001,MATCH(ROWS($AH$2:AH57),$AH$2:$AH$1001,0),1)&gt;=100000,INDEX($AO$1005:$BQ$1005,1,MATCH(COLUMNS($AO$1006:BF1006),$AO$1006:$BQ$1006,0))&gt;=100000), " ",IF(INDEX($AO$2:$BQ$1001,MATCH(ROWS($AH$2:AH57),$AH$2:$AH$1001,0),MATCH(COLUMNS($AO$1006:BF1006),$AO$1006:$BQ$1006,0)), HYPERLINK("#",""), HYPERLINK(CONCATENATE("#Metadata!", ADDRESS(INDEX($AJ$2:$AJ$1001,MATCH(ROWS($AH$2:AH57),$AH$2:$AH$1001,0),0), INDEX($AO$1004:$BQ$1004,1,MATCH(COLUMNS($AO$1006:BF1006),$AO$1006:$BQ$1006,0)))),"Fix")))</f>
        <v>#N/A</v>
      </c>
      <c r="T57" s="5" t="e">
        <f ca="1">IF(OR(INDEX($AI$2:$AI$1001,MATCH(ROWS($AH$2:AH57),$AH$2:$AH$1001,0),1)&gt;=100000,INDEX($AO$1005:$BQ$1005,1,MATCH(COLUMNS($AO$1006:BG1006),$AO$1006:$BQ$1006,0))&gt;=100000), " ",IF(INDEX($AO$2:$BQ$1001,MATCH(ROWS($AH$2:AH57),$AH$2:$AH$1001,0),MATCH(COLUMNS($AO$1006:BG1006),$AO$1006:$BQ$1006,0)), HYPERLINK("#",""), HYPERLINK(CONCATENATE("#Metadata!", ADDRESS(INDEX($AJ$2:$AJ$1001,MATCH(ROWS($AH$2:AH57),$AH$2:$AH$1001,0),0), INDEX($AO$1004:$BQ$1004,1,MATCH(COLUMNS($AO$1006:BG1006),$AO$1006:$BQ$1006,0)))),"Fix")))</f>
        <v>#N/A</v>
      </c>
      <c r="U57" s="5" t="e">
        <f ca="1">IF(OR(INDEX($AI$2:$AI$1001,MATCH(ROWS($AH$2:AH57),$AH$2:$AH$1001,0),1)&gt;=100000,INDEX($AO$1005:$BQ$1005,1,MATCH(COLUMNS($AO$1006:BH1006),$AO$1006:$BQ$1006,0))&gt;=100000), " ",IF(INDEX($AO$2:$BQ$1001,MATCH(ROWS($AH$2:AH57),$AH$2:$AH$1001,0),MATCH(COLUMNS($AO$1006:BH1006),$AO$1006:$BQ$1006,0)), HYPERLINK("#",""), HYPERLINK(CONCATENATE("#Metadata!", ADDRESS(INDEX($AJ$2:$AJ$1001,MATCH(ROWS($AH$2:AH57),$AH$2:$AH$1001,0),0), INDEX($AO$1004:$BQ$1004,1,MATCH(COLUMNS($AO$1006:BH1006),$AO$1006:$BQ$1006,0)))),"Fix")))</f>
        <v>#N/A</v>
      </c>
      <c r="V57" s="5" t="e">
        <f ca="1">IF(OR(INDEX($AI$2:$AI$1001,MATCH(ROWS($AH$2:AH57),$AH$2:$AH$1001,0),1)&gt;=100000,INDEX($AO$1005:$BQ$1005,1,MATCH(COLUMNS($AO$1006:BI1006),$AO$1006:$BQ$1006,0))&gt;=100000), " ",IF(INDEX($AO$2:$BQ$1001,MATCH(ROWS($AH$2:AH57),$AH$2:$AH$1001,0),MATCH(COLUMNS($AO$1006:BI1006),$AO$1006:$BQ$1006,0)), HYPERLINK("#",""), HYPERLINK(CONCATENATE("#Metadata!", ADDRESS(INDEX($AJ$2:$AJ$1001,MATCH(ROWS($AH$2:AH57),$AH$2:$AH$1001,0),0), INDEX($AO$1004:$BQ$1004,1,MATCH(COLUMNS($AO$1006:BI1006),$AO$1006:$BQ$1006,0)))),"Fix")))</f>
        <v>#N/A</v>
      </c>
      <c r="W57" s="5" t="e">
        <f ca="1">IF(OR(INDEX($AI$2:$AI$1001,MATCH(ROWS($AH$2:AH57),$AH$2:$AH$1001,0),1)&gt;=100000,INDEX($AO$1005:$BQ$1005,1,MATCH(COLUMNS($AO$1006:BJ1006),$AO$1006:$BQ$1006,0))&gt;=100000), " ",IF(INDEX($AO$2:$BQ$1001,MATCH(ROWS($AH$2:AH57),$AH$2:$AH$1001,0),MATCH(COLUMNS($AO$1006:BJ1006),$AO$1006:$BQ$1006,0)), HYPERLINK("#",""), HYPERLINK(CONCATENATE("#Metadata!", ADDRESS(INDEX($AJ$2:$AJ$1001,MATCH(ROWS($AH$2:AH57),$AH$2:$AH$1001,0),0), INDEX($AO$1004:$BQ$1004,1,MATCH(COLUMNS($AO$1006:BJ1006),$AO$1006:$BQ$1006,0)))),"Fix")))</f>
        <v>#N/A</v>
      </c>
      <c r="X57" s="5" t="e">
        <f ca="1">IF(OR(INDEX($AI$2:$AI$1001,MATCH(ROWS($AH$2:AH57),$AH$2:$AH$1001,0),1)&gt;=100000,INDEX($AO$1005:$BQ$1005,1,MATCH(COLUMNS($AO$1006:BK1006),$AO$1006:$BQ$1006,0))&gt;=100000), " ",IF(INDEX($AO$2:$BQ$1001,MATCH(ROWS($AH$2:AH57),$AH$2:$AH$1001,0),MATCH(COLUMNS($AO$1006:BK1006),$AO$1006:$BQ$1006,0)), HYPERLINK("#",""), HYPERLINK(CONCATENATE("#Metadata!", ADDRESS(INDEX($AJ$2:$AJ$1001,MATCH(ROWS($AH$2:AH57),$AH$2:$AH$1001,0),0), INDEX($AO$1004:$BQ$1004,1,MATCH(COLUMNS($AO$1006:BK1006),$AO$1006:$BQ$1006,0)))),"Fix")))</f>
        <v>#N/A</v>
      </c>
      <c r="Y57" s="5" t="e">
        <f ca="1">IF(OR(INDEX($AI$2:$AI$1001,MATCH(ROWS($AH$2:AH57),$AH$2:$AH$1001,0),1)&gt;=100000,INDEX($AO$1005:$BQ$1005,1,MATCH(COLUMNS($AO$1006:BL1006),$AO$1006:$BQ$1006,0))&gt;=100000), " ",IF(INDEX($AO$2:$BQ$1001,MATCH(ROWS($AH$2:AH57),$AH$2:$AH$1001,0),MATCH(COLUMNS($AO$1006:BL1006),$AO$1006:$BQ$1006,0)), HYPERLINK("#",""), HYPERLINK(CONCATENATE("#Metadata!", ADDRESS(INDEX($AJ$2:$AJ$1001,MATCH(ROWS($AH$2:AH57),$AH$2:$AH$1001,0),0), INDEX($AO$1004:$BQ$1004,1,MATCH(COLUMNS($AO$1006:BL1006),$AO$1006:$BQ$1006,0)))),"Fix")))</f>
        <v>#N/A</v>
      </c>
      <c r="Z57" s="5" t="e">
        <f ca="1">IF(OR(INDEX($AI$2:$AI$1001,MATCH(ROWS($AH$2:AH57),$AH$2:$AH$1001,0),1)&gt;=100000,INDEX($AO$1005:$BQ$1005,1,MATCH(COLUMNS($AO$1006:BM1006),$AO$1006:$BQ$1006,0))&gt;=100000), " ",IF(INDEX($AO$2:$BQ$1001,MATCH(ROWS($AH$2:AH57),$AH$2:$AH$1001,0),MATCH(COLUMNS($AO$1006:BM1006),$AO$1006:$BQ$1006,0)), HYPERLINK("#",""), HYPERLINK(CONCATENATE("#Metadata!", ADDRESS(INDEX($AJ$2:$AJ$1001,MATCH(ROWS($AH$2:AH57),$AH$2:$AH$1001,0),0), INDEX($AO$1004:$BQ$1004,1,MATCH(COLUMNS($AO$1006:BM1006),$AO$1006:$BQ$1006,0)))),"Fix")))</f>
        <v>#N/A</v>
      </c>
      <c r="AA57" s="5" t="e">
        <f ca="1">IF(OR(INDEX($AI$2:$AI$1001,MATCH(ROWS($AH$2:AH57),$AH$2:$AH$1001,0),1)&gt;=100000,INDEX($AO$1005:$BQ$1005,1,MATCH(COLUMNS($AO$1006:BN1006),$AO$1006:$BQ$1006,0))&gt;=100000), " ",IF(INDEX($AO$2:$BQ$1001,MATCH(ROWS($AH$2:AH57),$AH$2:$AH$1001,0),MATCH(COLUMNS($AO$1006:BN1006),$AO$1006:$BQ$1006,0)), HYPERLINK("#",""), HYPERLINK(CONCATENATE("#Metadata!", ADDRESS(INDEX($AJ$2:$AJ$1001,MATCH(ROWS($AH$2:AH57),$AH$2:$AH$1001,0),0), INDEX($AO$1004:$BQ$1004,1,MATCH(COLUMNS($AO$1006:BN1006),$AO$1006:$BQ$1006,0)))),"Fix")))</f>
        <v>#N/A</v>
      </c>
      <c r="AB57" s="5" t="e">
        <f ca="1">IF(OR(INDEX($AI$2:$AI$1001,MATCH(ROWS($AH$2:AH57),$AH$2:$AH$1001,0),1)&gt;=100000,INDEX($AO$1005:$BQ$1005,1,MATCH(COLUMNS($AO$1006:BO1006),$AO$1006:$BQ$1006,0))&gt;=100000), " ",IF(INDEX($AO$2:$BQ$1001,MATCH(ROWS($AH$2:AH57),$AH$2:$AH$1001,0),MATCH(COLUMNS($AO$1006:BO1006),$AO$1006:$BQ$1006,0)), HYPERLINK("#",""), HYPERLINK(CONCATENATE("#Metadata!", ADDRESS(INDEX($AJ$2:$AJ$1001,MATCH(ROWS($AH$2:AH57),$AH$2:$AH$1001,0),0), INDEX($AO$1004:$BQ$1004,1,MATCH(COLUMNS($AO$1006:BO1006),$AO$1006:$BQ$1006,0)))),"Fix")))</f>
        <v>#N/A</v>
      </c>
      <c r="AC57" s="5" t="e">
        <f ca="1">IF(OR(INDEX($AI$2:$AI$1001,MATCH(ROWS($AH$2:AH57),$AH$2:$AH$1001,0),1)&gt;=100000,INDEX($AO$1005:$BQ$1005,1,MATCH(COLUMNS($AO$1006:BP1006),$AO$1006:$BQ$1006,0))&gt;=100000), " ",IF(INDEX($AO$2:$BQ$1001,MATCH(ROWS($AH$2:AH57),$AH$2:$AH$1001,0),MATCH(COLUMNS($AO$1006:BP1006),$AO$1006:$BQ$1006,0)), HYPERLINK("#",""), HYPERLINK(CONCATENATE("#Metadata!", ADDRESS(INDEX($AJ$2:$AJ$1001,MATCH(ROWS($AH$2:AH57),$AH$2:$AH$1001,0),0), INDEX($AO$1004:$BQ$1004,1,MATCH(COLUMNS($AO$1006:BP1006),$AO$1006:$BQ$1006,0)))),"Fix")))</f>
        <v>#N/A</v>
      </c>
      <c r="AD57" s="5" t="e">
        <f ca="1">IF(OR(INDEX($AI$2:$AI$1001,MATCH(ROWS($AH$2:AH57),$AH$2:$AH$1001,0),1)&gt;=100000,INDEX($AO$1005:$BQ$1005,1,MATCH(COLUMNS($AO$1006:BQ1006),$AO$1006:$BQ$1006,0))&gt;=100000), " ",IF(INDEX($AO$2:$BQ$1001,MATCH(ROWS($AH$2:AH57),$AH$2:$AH$1001,0),MATCH(COLUMNS($AO$1006:BQ1006),$AO$1006:$BQ$1006,0)), HYPERLINK("#",""), HYPERLINK(CONCATENATE("#Metadata!", ADDRESS(INDEX($AJ$2:$AJ$1001,MATCH(ROWS($AH$2:AH57),$AH$2:$AH$1001,0),0), INDEX($AO$1004:$BQ$1004,1,MATCH(COLUMNS($AO$1006:BQ1006),$AO$1006:$BQ$1006,0)))),"Fix")))</f>
        <v>#REF!</v>
      </c>
      <c r="AH57">
        <f ca="1"/>
        <v>54</v>
      </c>
      <c r="AI57">
        <f ca="1"/>
        <v>57</v>
      </c>
      <c r="AJ57">
        <v>57</v>
      </c>
      <c r="AK57" t="b">
        <f t="shared" ca="1" si="0"/>
        <v>0</v>
      </c>
      <c r="AL57" t="b">
        <f>COUNTBLANK(Metadata!B57:AD57)=COLUMNS(Metadata!B57:AD57)</f>
        <v>0</v>
      </c>
      <c r="AM57" t="str">
        <v>Environment.Side.2.BTP.235Lake.water</v>
      </c>
      <c r="AO57" t="b">
        <f ca="1">AND(IF(Metadata!B56="",FALSE,TRUE),COUNTIF(Metadata!B:B, Metadata!B56) = 1,NOT(ISERROR(SUMPRODUCT(SEARCH(MID(Metadata!B56,ROW(INDIRECT("1:"&amp;LEN(Metadata!B56))), 1),"0123456789abcdefghijklmnopqrstuvwxyzABCDEFGHIJKLMNOPQRSTUVWXYZ.")))))</f>
        <v>1</v>
      </c>
      <c r="AP57" t="b">
        <f>IF(Metadata!C56="",FALSE,TRUE)</f>
        <v>1</v>
      </c>
      <c r="AQ57" t="b">
        <f>IF(Metadata!D56="",FALSE,TRUE)</f>
        <v>1</v>
      </c>
      <c r="AR57" t="b">
        <f ca="1">OR(AND(IF(Metadata!E56="",FALSE,TRUE),OR(EXACT(Metadata!E56,"not collected"),EXACT(Metadata!E56,"not provided"),EXACT(Metadata!E56,"restricted access"))),AND(IF(Metadata!E56="",FALSE,TRUE),AND(AND(IFERROR(INT(LEFT(Metadata!E56,4))&gt;1900,FALSE),IFERROR(INT(LEFT(Metadata!E56,4))&lt;=YEAR(NOW()),FALSE)), OR(MID(Metadata!E56,5,1)="", AND(AND(MID(Metadata!E56,5,1)="-",IFERROR(INT(MID(Metadata!E56,6,1))&gt;=0,FALSE),IFERROR(INT(MID(Metadata!E56,6,1))&lt;=1,FALSE),NOT(MID(Metadata!E56,7,1)=""),IFERROR(INT(MID(Metadata!E56,6,2))&gt;=1,FALSE),IFERROR(INT(MID(Metadata!E56,6,2))&lt;=12,FALSE)), OR(MID(Metadata!E56,8,1)="", AND(AND(MID(Metadata!E56,8,1)="-",IFERROR(INT(MID(Metadata!E56,9,1))&gt;=0,FALSE),IFERROR(INT(MID(Metadata!E56,9,1))&lt;=3,FALSE),NOT(MID(Metadata!E56,10,1)=""),IFERROR(INT(MID(Metadata!E56,9,2))&gt;=1,FALSE),IFERROR(INT(MID(Metadata!E56,9,2))&lt;=31,FALSE)), OR(MID(Metadata!E56,11,1)="", AND(AND(MID(Metadata!E56,11,1)=" ",IFERROR(INT(MID(Metadata!E56,12,1))&gt;=0,FALSE),IFERROR(INT(MID(Metadata!E56,12,1))&lt;=2,FALSE),NOT(MID(Metadata!E56,13,1)=""),IFERROR(INT(MID(Metadata!E56,12,2))&gt;=0,FALSE),IFERROR(INT(MID(Metadata!E56,12,2))&lt;=23,FALSE)), OR(MID(Metadata!E56,14,1)="", AND(AND(MID(Metadata!E56,14,1)=":",IFERROR(INT(MID(Metadata!E56,15,1))&gt;=0,FALSE),IFERROR(INT(MID(Metadata!E56,15,1))&lt;=5,FALSE),NOT(MID(Metadata!E56,16,1)=""),IFERROR(INT(MID(Metadata!E56,15,2))&gt;=0,FALSE),IFERROR(INT(MID(Metadata!E56,15,2))&lt;=59,FALSE)), OR(MID(Metadata!E56,17,1)="", AND(AND(MID(Metadata!E56,17,1)=":",IFERROR(INT(MID(Metadata!E56,18,1))&gt;=0,FALSE),IFERROR(INT(MID(Metadata!E56,18,1))&lt;=5,FALSE),NOT(MID(Metadata!E56,19,1)=""),IFERROR(INT(MID(Metadata!E56,18,2))&gt;=0,FALSE),IFERROR(INT(MID(Metadata!E56,18,2))&lt;=59,FALSE)), LEN(Metadata!E56)&lt;=19)))))))))))))</f>
        <v>0</v>
      </c>
      <c r="AS57" t="b">
        <f>IF(Metadata!F56="",FALSE,TRUE)</f>
        <v>1</v>
      </c>
      <c r="AT57" t="b">
        <f>OR(AND(IF(Metadata!G56="",FALSE,TRUE),OR(EXACT(Metadata!G56,"not collected"),EXACT(Metadata!G56,"not provided"))),AND(IF(Metadata!G56="",FALSE,TRUE),OR(EXACT(Metadata!G56,"TRUE"),EXACT(Metadata!G56,"FALSE"))))</f>
        <v>1</v>
      </c>
      <c r="AU57" t="b">
        <f>OR(AND(IF(Metadata!H56="",FALSE,TRUE),OR(EXACT(Metadata!H56,"not collected"),EXACT(Metadata!H56,"not provided"),EXACT(Metadata!H56,"restricted access"))),AND(IF(Metadata!H56="",FALSE,ISNUMBER(VALUE(Metadata!H56))),Metadata!H56&gt;=-413))</f>
        <v>0</v>
      </c>
      <c r="AV57" t="b">
        <f>AND(IF(Metadata!I56="",FALSE,TRUE),EXACT(Metadata!I56,"meters"))</f>
        <v>1</v>
      </c>
      <c r="AW57" t="b">
        <f>AND(IF(Metadata!J56="",FALSE,TRUE),EXACT(Metadata!J56,"free-living"))</f>
        <v>1</v>
      </c>
      <c r="AX57" t="b">
        <f>AND(IF(Metadata!K56="",FALSE,TRUE),OR(EXACT(Metadata!K56,"saline"),EXACT(Metadata!K56,"non-saline")))</f>
        <v>1</v>
      </c>
      <c r="AY57" t="b">
        <f>AND(IF(Metadata!L56="",FALSE,TRUE),OR(EXACT(Metadata!L56,"sub-surface (non-saline)"),EXACT(Metadata!L56,"surface (non-saline)"),EXACT(Metadata!L56,"water (non-saline)"),EXACT(Metadata!L56,"soil (non-saline)"),EXACT(Metadata!L56,"aerosol (non-saline)"),EXACT(Metadata!L56,"sediment (non-saline)"),EXACT(Metadata!L56,"surface (saline)"),EXACT(Metadata!L56,"water (saline)"),EXACT(Metadata!L56,"hypersaline (saline)"),EXACT(Metadata!L56,"aerosol (saline)"),EXACT(Metadata!L56,"sediment (saline)")))</f>
        <v>1</v>
      </c>
      <c r="AZ57" t="b">
        <f>IF(Metadata!M56="",FALSE,TRUE)</f>
        <v>1</v>
      </c>
      <c r="BA57" t="b">
        <f>IF(Metadata!N56="",FALSE,TRUE)</f>
        <v>1</v>
      </c>
      <c r="BB57" t="b">
        <f>IF(Metadata!O56="",FALSE,TRUE)</f>
        <v>1</v>
      </c>
      <c r="BC57" t="b">
        <f>AND(IF(Metadata!P56="",FALSE,TRUE),OR(EXACT(Metadata!P56,"air"),EXACT(Metadata!P56,"microbial mat/biofilm"),EXACT(Metadata!P56,"misc environment"),EXACT(Metadata!P56,"sediment"),EXACT(Metadata!P56,"soil"),EXACT(Metadata!P56,"wastewater/sludge"),EXACT(Metadata!P56,"water")))</f>
        <v>1</v>
      </c>
      <c r="BD57" t="b">
        <f>IF(Metadata!Q56="",FALSE,TRUE)</f>
        <v>1</v>
      </c>
      <c r="BE57" t="b">
        <f>IF(Metadata!R56="",FALSE,TRUE)</f>
        <v>1</v>
      </c>
      <c r="BF57" t="b">
        <f>OR(AND(IF(Metadata!S56="",FALSE,TRUE),OR(EXACT(Metadata!S56,"not collected"),EXACT(Metadata!S56,"not provided"),EXACT(Metadata!S56,"restricted access"))),AND(IF(Metadata!S56="",FALSE,ISNUMBER(VALUE(Metadata!S56))),Metadata!S56&gt;=-90,Metadata!S56&lt;=90))</f>
        <v>0</v>
      </c>
      <c r="BG57" t="b">
        <f>AND(IF(Metadata!T56="",FALSE,TRUE),EXACT(Metadata!T56,"Decimal degrees"))</f>
        <v>1</v>
      </c>
      <c r="BH57" t="b">
        <f>OR(AND(IF(Metadata!U56="",FALSE,TRUE),OR(EXACT(Metadata!U56,"not applicable"),EXACT(Metadata!U56,"not collected"))),IF(Metadata!U56="",FALSE,TRUE))</f>
        <v>1</v>
      </c>
      <c r="BI57" t="b">
        <f>OR(AND(IF(Metadata!V56="",FALSE,TRUE),OR(EXACT(Metadata!V56,"not collected"),EXACT(Metadata!V56,"not provided"),EXACT(Metadata!V56,"restricted access"))),AND(IF(Metadata!V56="",FALSE,ISNUMBER(VALUE(Metadata!V56))),Metadata!V56&gt;=-180,Metadata!V56&lt;=180))</f>
        <v>0</v>
      </c>
      <c r="BJ57" t="b">
        <f>AND(IF(Metadata!W56="",FALSE,TRUE),EXACT(Metadata!W56,"Decimal degrees"))</f>
        <v>1</v>
      </c>
      <c r="BK57" t="b">
        <f>IF(Metadata!X56="",FALSE,TRUE)</f>
        <v>1</v>
      </c>
      <c r="BL57" t="b">
        <f>OR(AND(IF(Metadata!Y56="",FALSE,TRUE),OR(EXACT(Metadata!Y56,"not collected"),EXACT(Metadata!Y56,"not provided"),EXACT(Metadata!Y56,"restricted access"))),AND(IF(Metadata!Y56="",FALSE,TRUE),OR(EXACT(Metadata!Y56,"TRUE"),EXACT(Metadata!Y56,"FALSE"))))</f>
        <v>1</v>
      </c>
      <c r="BM57" t="b">
        <f>OR(AND(IF(Metadata!Z56="",FALSE,TRUE),EXACT(Metadata!Z56,"not applicable")),AND(IF(Metadata!Z56="",FALSE,TRUE),OR(EXACT(Metadata!Z56,"beer"),EXACT(Metadata!Z56,"cheese"),EXACT(Metadata!Z56,"fresh water"),EXACT(Metadata!Z56,"marine sediment"),EXACT(Metadata!Z56,"sea water"),EXACT(Metadata!Z56,"sediment"),EXACT(Metadata!Z56,"soil"),EXACT(Metadata!Z56,"waste water"))))</f>
        <v>1</v>
      </c>
      <c r="BN57" t="b">
        <f>AND(IF(Metadata!AA56="",FALSE,TRUE),EXACT(Metadata!AA56,"metagenome"))</f>
        <v>1</v>
      </c>
      <c r="BO57" t="b">
        <f>AND(IF(Metadata!AB56="",FALSE,TRUE),EXACT(Metadata!AB56,"256318"))</f>
        <v>1</v>
      </c>
      <c r="BP57" t="b">
        <f>IF(Metadata!AC56="",FALSE,TRUE)</f>
        <v>1</v>
      </c>
      <c r="BQ57" t="b">
        <f>IF(Metadata!AD56="",FALSE,TRUE)</f>
        <v>1</v>
      </c>
    </row>
    <row r="58" spans="1:69" x14ac:dyDescent="0.2">
      <c r="A58" s="4" t="e">
        <f ca="1">IF(B58=" "," ",HYPERLINK(CONCATENATE("#metadata!",ADDRESS(INDEX($AJ$2:$AJ$1001,MATCH(ROWS($AH$2:AH58),$AH$2:$AH$1001,0),0),2)),INDEX($AM$2:$AM$1001,MATCH(ROWS($AH$2:AH58),$AH$2:$AH$1001,0),0)))</f>
        <v>#N/A</v>
      </c>
      <c r="B58" s="5" t="e">
        <f ca="1">IF(OR(INDEX($AI$2:$AI$1001,MATCH(ROWS($AH$2:AH58),$AH$2:$AH$1001,0),1)&gt;=100000,INDEX($AO$1005:$BQ$1005,1,MATCH(COLUMNS($AO$1006:AO1006),$AO$1006:$BQ$1006,0))&gt;=100000), " ",IF(INDEX($AO$2:$BQ$1001,MATCH(ROWS($AH$2:AH58),$AH$2:$AH$1001,0),MATCH(COLUMNS($AO$1006:AO1006),$AO$1006:$BQ$1006,0)), HYPERLINK("#",""), HYPERLINK(CONCATENATE("#Metadata!", ADDRESS(INDEX($AJ$2:$AJ$1001,MATCH(ROWS($AH$2:AH58),$AH$2:$AH$1001,0),0), INDEX($AO$1004:$BQ$1004,1,MATCH(COLUMNS($AO$1006:AO1006),$AO$1006:$BQ$1006,0)))),"Fix")))</f>
        <v>#N/A</v>
      </c>
      <c r="C58" s="5" t="e">
        <f ca="1">IF(OR(INDEX($AI$2:$AI$1001,MATCH(ROWS($AH$2:AH58),$AH$2:$AH$1001,0),1)&gt;=100000,INDEX($AO$1005:$BQ$1005,1,MATCH(COLUMNS($AO$1006:AP1006),$AO$1006:$BQ$1006,0))&gt;=100000), " ",IF(INDEX($AO$2:$BQ$1001,MATCH(ROWS($AH$2:AH58),$AH$2:$AH$1001,0),MATCH(COLUMNS($AO$1006:AP1006),$AO$1006:$BQ$1006,0)), HYPERLINK("#",""), HYPERLINK(CONCATENATE("#Metadata!", ADDRESS(INDEX($AJ$2:$AJ$1001,MATCH(ROWS($AH$2:AH58),$AH$2:$AH$1001,0),0), INDEX($AO$1004:$BQ$1004,1,MATCH(COLUMNS($AO$1006:AP1006),$AO$1006:$BQ$1006,0)))),"Fix")))</f>
        <v>#N/A</v>
      </c>
      <c r="D58" s="5" t="e">
        <f ca="1">IF(OR(INDEX($AI$2:$AI$1001,MATCH(ROWS($AH$2:AH58),$AH$2:$AH$1001,0),1)&gt;=100000,INDEX($AO$1005:$BQ$1005,1,MATCH(COLUMNS($AO$1006:AQ1006),$AO$1006:$BQ$1006,0))&gt;=100000), " ",IF(INDEX($AO$2:$BQ$1001,MATCH(ROWS($AH$2:AH58),$AH$2:$AH$1001,0),MATCH(COLUMNS($AO$1006:AQ1006),$AO$1006:$BQ$1006,0)), HYPERLINK("#",""), HYPERLINK(CONCATENATE("#Metadata!", ADDRESS(INDEX($AJ$2:$AJ$1001,MATCH(ROWS($AH$2:AH58),$AH$2:$AH$1001,0),0), INDEX($AO$1004:$BQ$1004,1,MATCH(COLUMNS($AO$1006:AQ1006),$AO$1006:$BQ$1006,0)))),"Fix")))</f>
        <v>#N/A</v>
      </c>
      <c r="E58" s="5" t="e">
        <f ca="1">IF(OR(INDEX($AI$2:$AI$1001,MATCH(ROWS($AH$2:AH58),$AH$2:$AH$1001,0),1)&gt;=100000,INDEX($AO$1005:$BQ$1005,1,MATCH(COLUMNS($AO$1006:AR1006),$AO$1006:$BQ$1006,0))&gt;=100000), " ",IF(INDEX($AO$2:$BQ$1001,MATCH(ROWS($AH$2:AH58),$AH$2:$AH$1001,0),MATCH(COLUMNS($AO$1006:AR1006),$AO$1006:$BQ$1006,0)), HYPERLINK("#",""), HYPERLINK(CONCATENATE("#Metadata!", ADDRESS(INDEX($AJ$2:$AJ$1001,MATCH(ROWS($AH$2:AH58),$AH$2:$AH$1001,0),0), INDEX($AO$1004:$BQ$1004,1,MATCH(COLUMNS($AO$1006:AR1006),$AO$1006:$BQ$1006,0)))),"Fix")))</f>
        <v>#N/A</v>
      </c>
      <c r="F58" s="5" t="e">
        <f ca="1">IF(OR(INDEX($AI$2:$AI$1001,MATCH(ROWS($AH$2:AH58),$AH$2:$AH$1001,0),1)&gt;=100000,INDEX($AO$1005:$BQ$1005,1,MATCH(COLUMNS($AO$1006:AS1006),$AO$1006:$BQ$1006,0))&gt;=100000), " ",IF(INDEX($AO$2:$BQ$1001,MATCH(ROWS($AH$2:AH58),$AH$2:$AH$1001,0),MATCH(COLUMNS($AO$1006:AS1006),$AO$1006:$BQ$1006,0)), HYPERLINK("#",""), HYPERLINK(CONCATENATE("#Metadata!", ADDRESS(INDEX($AJ$2:$AJ$1001,MATCH(ROWS($AH$2:AH58),$AH$2:$AH$1001,0),0), INDEX($AO$1004:$BQ$1004,1,MATCH(COLUMNS($AO$1006:AS1006),$AO$1006:$BQ$1006,0)))),"Fix")))</f>
        <v>#N/A</v>
      </c>
      <c r="G58" s="5" t="e">
        <f ca="1">IF(OR(INDEX($AI$2:$AI$1001,MATCH(ROWS($AH$2:AH58),$AH$2:$AH$1001,0),1)&gt;=100000,INDEX($AO$1005:$BQ$1005,1,MATCH(COLUMNS($AO$1006:AT1006),$AO$1006:$BQ$1006,0))&gt;=100000), " ",IF(INDEX($AO$2:$BQ$1001,MATCH(ROWS($AH$2:AH58),$AH$2:$AH$1001,0),MATCH(COLUMNS($AO$1006:AT1006),$AO$1006:$BQ$1006,0)), HYPERLINK("#",""), HYPERLINK(CONCATENATE("#Metadata!", ADDRESS(INDEX($AJ$2:$AJ$1001,MATCH(ROWS($AH$2:AH58),$AH$2:$AH$1001,0),0), INDEX($AO$1004:$BQ$1004,1,MATCH(COLUMNS($AO$1006:AT1006),$AO$1006:$BQ$1006,0)))),"Fix")))</f>
        <v>#N/A</v>
      </c>
      <c r="H58" s="5" t="e">
        <f ca="1">IF(OR(INDEX($AI$2:$AI$1001,MATCH(ROWS($AH$2:AH58),$AH$2:$AH$1001,0),1)&gt;=100000,INDEX($AO$1005:$BQ$1005,1,MATCH(COLUMNS($AO$1006:AU1006),$AO$1006:$BQ$1006,0))&gt;=100000), " ",IF(INDEX($AO$2:$BQ$1001,MATCH(ROWS($AH$2:AH58),$AH$2:$AH$1001,0),MATCH(COLUMNS($AO$1006:AU1006),$AO$1006:$BQ$1006,0)), HYPERLINK("#",""), HYPERLINK(CONCATENATE("#Metadata!", ADDRESS(INDEX($AJ$2:$AJ$1001,MATCH(ROWS($AH$2:AH58),$AH$2:$AH$1001,0),0), INDEX($AO$1004:$BQ$1004,1,MATCH(COLUMNS($AO$1006:AU1006),$AO$1006:$BQ$1006,0)))),"Fix")))</f>
        <v>#N/A</v>
      </c>
      <c r="I58" s="5" t="e">
        <f ca="1">IF(OR(INDEX($AI$2:$AI$1001,MATCH(ROWS($AH$2:AH58),$AH$2:$AH$1001,0),1)&gt;=100000,INDEX($AO$1005:$BQ$1005,1,MATCH(COLUMNS($AO$1006:AV1006),$AO$1006:$BQ$1006,0))&gt;=100000), " ",IF(INDEX($AO$2:$BQ$1001,MATCH(ROWS($AH$2:AH58),$AH$2:$AH$1001,0),MATCH(COLUMNS($AO$1006:AV1006),$AO$1006:$BQ$1006,0)), HYPERLINK("#",""), HYPERLINK(CONCATENATE("#Metadata!", ADDRESS(INDEX($AJ$2:$AJ$1001,MATCH(ROWS($AH$2:AH58),$AH$2:$AH$1001,0),0), INDEX($AO$1004:$BQ$1004,1,MATCH(COLUMNS($AO$1006:AV1006),$AO$1006:$BQ$1006,0)))),"Fix")))</f>
        <v>#N/A</v>
      </c>
      <c r="J58" s="5" t="e">
        <f ca="1">IF(OR(INDEX($AI$2:$AI$1001,MATCH(ROWS($AH$2:AH58),$AH$2:$AH$1001,0),1)&gt;=100000,INDEX($AO$1005:$BQ$1005,1,MATCH(COLUMNS($AO$1006:AW1006),$AO$1006:$BQ$1006,0))&gt;=100000), " ",IF(INDEX($AO$2:$BQ$1001,MATCH(ROWS($AH$2:AH58),$AH$2:$AH$1001,0),MATCH(COLUMNS($AO$1006:AW1006),$AO$1006:$BQ$1006,0)), HYPERLINK("#",""), HYPERLINK(CONCATENATE("#Metadata!", ADDRESS(INDEX($AJ$2:$AJ$1001,MATCH(ROWS($AH$2:AH58),$AH$2:$AH$1001,0),0), INDEX($AO$1004:$BQ$1004,1,MATCH(COLUMNS($AO$1006:AW1006),$AO$1006:$BQ$1006,0)))),"Fix")))</f>
        <v>#N/A</v>
      </c>
      <c r="K58" s="5" t="e">
        <f ca="1">IF(OR(INDEX($AI$2:$AI$1001,MATCH(ROWS($AH$2:AH58),$AH$2:$AH$1001,0),1)&gt;=100000,INDEX($AO$1005:$BQ$1005,1,MATCH(COLUMNS($AO$1006:AX1006),$AO$1006:$BQ$1006,0))&gt;=100000), " ",IF(INDEX($AO$2:$BQ$1001,MATCH(ROWS($AH$2:AH58),$AH$2:$AH$1001,0),MATCH(COLUMNS($AO$1006:AX1006),$AO$1006:$BQ$1006,0)), HYPERLINK("#",""), HYPERLINK(CONCATENATE("#Metadata!", ADDRESS(INDEX($AJ$2:$AJ$1001,MATCH(ROWS($AH$2:AH58),$AH$2:$AH$1001,0),0), INDEX($AO$1004:$BQ$1004,1,MATCH(COLUMNS($AO$1006:AX1006),$AO$1006:$BQ$1006,0)))),"Fix")))</f>
        <v>#N/A</v>
      </c>
      <c r="L58" s="5" t="e">
        <f ca="1">IF(OR(INDEX($AI$2:$AI$1001,MATCH(ROWS($AH$2:AH58),$AH$2:$AH$1001,0),1)&gt;=100000,INDEX($AO$1005:$BQ$1005,1,MATCH(COLUMNS($AO$1006:AY1006),$AO$1006:$BQ$1006,0))&gt;=100000), " ",IF(INDEX($AO$2:$BQ$1001,MATCH(ROWS($AH$2:AH58),$AH$2:$AH$1001,0),MATCH(COLUMNS($AO$1006:AY1006),$AO$1006:$BQ$1006,0)), HYPERLINK("#",""), HYPERLINK(CONCATENATE("#Metadata!", ADDRESS(INDEX($AJ$2:$AJ$1001,MATCH(ROWS($AH$2:AH58),$AH$2:$AH$1001,0),0), INDEX($AO$1004:$BQ$1004,1,MATCH(COLUMNS($AO$1006:AY1006),$AO$1006:$BQ$1006,0)))),"Fix")))</f>
        <v>#N/A</v>
      </c>
      <c r="M58" s="5" t="e">
        <f ca="1">IF(OR(INDEX($AI$2:$AI$1001,MATCH(ROWS($AH$2:AH58),$AH$2:$AH$1001,0),1)&gt;=100000,INDEX($AO$1005:$BQ$1005,1,MATCH(COLUMNS($AO$1006:AZ1006),$AO$1006:$BQ$1006,0))&gt;=100000), " ",IF(INDEX($AO$2:$BQ$1001,MATCH(ROWS($AH$2:AH58),$AH$2:$AH$1001,0),MATCH(COLUMNS($AO$1006:AZ1006),$AO$1006:$BQ$1006,0)), HYPERLINK("#",""), HYPERLINK(CONCATENATE("#Metadata!", ADDRESS(INDEX($AJ$2:$AJ$1001,MATCH(ROWS($AH$2:AH58),$AH$2:$AH$1001,0),0), INDEX($AO$1004:$BQ$1004,1,MATCH(COLUMNS($AO$1006:AZ1006),$AO$1006:$BQ$1006,0)))),"Fix")))</f>
        <v>#N/A</v>
      </c>
      <c r="N58" s="5" t="e">
        <f ca="1">IF(OR(INDEX($AI$2:$AI$1001,MATCH(ROWS($AH$2:AH58),$AH$2:$AH$1001,0),1)&gt;=100000,INDEX($AO$1005:$BQ$1005,1,MATCH(COLUMNS($AO$1006:BA1006),$AO$1006:$BQ$1006,0))&gt;=100000), " ",IF(INDEX($AO$2:$BQ$1001,MATCH(ROWS($AH$2:AH58),$AH$2:$AH$1001,0),MATCH(COLUMNS($AO$1006:BA1006),$AO$1006:$BQ$1006,0)), HYPERLINK("#",""), HYPERLINK(CONCATENATE("#Metadata!", ADDRESS(INDEX($AJ$2:$AJ$1001,MATCH(ROWS($AH$2:AH58),$AH$2:$AH$1001,0),0), INDEX($AO$1004:$BQ$1004,1,MATCH(COLUMNS($AO$1006:BA1006),$AO$1006:$BQ$1006,0)))),"Fix")))</f>
        <v>#N/A</v>
      </c>
      <c r="O58" s="5" t="e">
        <f ca="1">IF(OR(INDEX($AI$2:$AI$1001,MATCH(ROWS($AH$2:AH58),$AH$2:$AH$1001,0),1)&gt;=100000,INDEX($AO$1005:$BQ$1005,1,MATCH(COLUMNS($AO$1006:BB1006),$AO$1006:$BQ$1006,0))&gt;=100000), " ",IF(INDEX($AO$2:$BQ$1001,MATCH(ROWS($AH$2:AH58),$AH$2:$AH$1001,0),MATCH(COLUMNS($AO$1006:BB1006),$AO$1006:$BQ$1006,0)), HYPERLINK("#",""), HYPERLINK(CONCATENATE("#Metadata!", ADDRESS(INDEX($AJ$2:$AJ$1001,MATCH(ROWS($AH$2:AH58),$AH$2:$AH$1001,0),0), INDEX($AO$1004:$BQ$1004,1,MATCH(COLUMNS($AO$1006:BB1006),$AO$1006:$BQ$1006,0)))),"Fix")))</f>
        <v>#N/A</v>
      </c>
      <c r="P58" s="5" t="e">
        <f ca="1">IF(OR(INDEX($AI$2:$AI$1001,MATCH(ROWS($AH$2:AH58),$AH$2:$AH$1001,0),1)&gt;=100000,INDEX($AO$1005:$BQ$1005,1,MATCH(COLUMNS($AO$1006:BC1006),$AO$1006:$BQ$1006,0))&gt;=100000), " ",IF(INDEX($AO$2:$BQ$1001,MATCH(ROWS($AH$2:AH58),$AH$2:$AH$1001,0),MATCH(COLUMNS($AO$1006:BC1006),$AO$1006:$BQ$1006,0)), HYPERLINK("#",""), HYPERLINK(CONCATENATE("#Metadata!", ADDRESS(INDEX($AJ$2:$AJ$1001,MATCH(ROWS($AH$2:AH58),$AH$2:$AH$1001,0),0), INDEX($AO$1004:$BQ$1004,1,MATCH(COLUMNS($AO$1006:BC1006),$AO$1006:$BQ$1006,0)))),"Fix")))</f>
        <v>#N/A</v>
      </c>
      <c r="Q58" s="5" t="e">
        <f ca="1">IF(OR(INDEX($AI$2:$AI$1001,MATCH(ROWS($AH$2:AH58),$AH$2:$AH$1001,0),1)&gt;=100000,INDEX($AO$1005:$BQ$1005,1,MATCH(COLUMNS($AO$1006:BD1006),$AO$1006:$BQ$1006,0))&gt;=100000), " ",IF(INDEX($AO$2:$BQ$1001,MATCH(ROWS($AH$2:AH58),$AH$2:$AH$1001,0),MATCH(COLUMNS($AO$1006:BD1006),$AO$1006:$BQ$1006,0)), HYPERLINK("#",""), HYPERLINK(CONCATENATE("#Metadata!", ADDRESS(INDEX($AJ$2:$AJ$1001,MATCH(ROWS($AH$2:AH58),$AH$2:$AH$1001,0),0), INDEX($AO$1004:$BQ$1004,1,MATCH(COLUMNS($AO$1006:BD1006),$AO$1006:$BQ$1006,0)))),"Fix")))</f>
        <v>#N/A</v>
      </c>
      <c r="R58" s="5" t="e">
        <f ca="1">IF(OR(INDEX($AI$2:$AI$1001,MATCH(ROWS($AH$2:AH58),$AH$2:$AH$1001,0),1)&gt;=100000,INDEX($AO$1005:$BQ$1005,1,MATCH(COLUMNS($AO$1006:BE1006),$AO$1006:$BQ$1006,0))&gt;=100000), " ",IF(INDEX($AO$2:$BQ$1001,MATCH(ROWS($AH$2:AH58),$AH$2:$AH$1001,0),MATCH(COLUMNS($AO$1006:BE1006),$AO$1006:$BQ$1006,0)), HYPERLINK("#",""), HYPERLINK(CONCATENATE("#Metadata!", ADDRESS(INDEX($AJ$2:$AJ$1001,MATCH(ROWS($AH$2:AH58),$AH$2:$AH$1001,0),0), INDEX($AO$1004:$BQ$1004,1,MATCH(COLUMNS($AO$1006:BE1006),$AO$1006:$BQ$1006,0)))),"Fix")))</f>
        <v>#N/A</v>
      </c>
      <c r="S58" s="5" t="e">
        <f ca="1">IF(OR(INDEX($AI$2:$AI$1001,MATCH(ROWS($AH$2:AH58),$AH$2:$AH$1001,0),1)&gt;=100000,INDEX($AO$1005:$BQ$1005,1,MATCH(COLUMNS($AO$1006:BF1006),$AO$1006:$BQ$1006,0))&gt;=100000), " ",IF(INDEX($AO$2:$BQ$1001,MATCH(ROWS($AH$2:AH58),$AH$2:$AH$1001,0),MATCH(COLUMNS($AO$1006:BF1006),$AO$1006:$BQ$1006,0)), HYPERLINK("#",""), HYPERLINK(CONCATENATE("#Metadata!", ADDRESS(INDEX($AJ$2:$AJ$1001,MATCH(ROWS($AH$2:AH58),$AH$2:$AH$1001,0),0), INDEX($AO$1004:$BQ$1004,1,MATCH(COLUMNS($AO$1006:BF1006),$AO$1006:$BQ$1006,0)))),"Fix")))</f>
        <v>#N/A</v>
      </c>
      <c r="T58" s="5" t="e">
        <f ca="1">IF(OR(INDEX($AI$2:$AI$1001,MATCH(ROWS($AH$2:AH58),$AH$2:$AH$1001,0),1)&gt;=100000,INDEX($AO$1005:$BQ$1005,1,MATCH(COLUMNS($AO$1006:BG1006),$AO$1006:$BQ$1006,0))&gt;=100000), " ",IF(INDEX($AO$2:$BQ$1001,MATCH(ROWS($AH$2:AH58),$AH$2:$AH$1001,0),MATCH(COLUMNS($AO$1006:BG1006),$AO$1006:$BQ$1006,0)), HYPERLINK("#",""), HYPERLINK(CONCATENATE("#Metadata!", ADDRESS(INDEX($AJ$2:$AJ$1001,MATCH(ROWS($AH$2:AH58),$AH$2:$AH$1001,0),0), INDEX($AO$1004:$BQ$1004,1,MATCH(COLUMNS($AO$1006:BG1006),$AO$1006:$BQ$1006,0)))),"Fix")))</f>
        <v>#N/A</v>
      </c>
      <c r="U58" s="5" t="e">
        <f ca="1">IF(OR(INDEX($AI$2:$AI$1001,MATCH(ROWS($AH$2:AH58),$AH$2:$AH$1001,0),1)&gt;=100000,INDEX($AO$1005:$BQ$1005,1,MATCH(COLUMNS($AO$1006:BH1006),$AO$1006:$BQ$1006,0))&gt;=100000), " ",IF(INDEX($AO$2:$BQ$1001,MATCH(ROWS($AH$2:AH58),$AH$2:$AH$1001,0),MATCH(COLUMNS($AO$1006:BH1006),$AO$1006:$BQ$1006,0)), HYPERLINK("#",""), HYPERLINK(CONCATENATE("#Metadata!", ADDRESS(INDEX($AJ$2:$AJ$1001,MATCH(ROWS($AH$2:AH58),$AH$2:$AH$1001,0),0), INDEX($AO$1004:$BQ$1004,1,MATCH(COLUMNS($AO$1006:BH1006),$AO$1006:$BQ$1006,0)))),"Fix")))</f>
        <v>#N/A</v>
      </c>
      <c r="V58" s="5" t="e">
        <f ca="1">IF(OR(INDEX($AI$2:$AI$1001,MATCH(ROWS($AH$2:AH58),$AH$2:$AH$1001,0),1)&gt;=100000,INDEX($AO$1005:$BQ$1005,1,MATCH(COLUMNS($AO$1006:BI1006),$AO$1006:$BQ$1006,0))&gt;=100000), " ",IF(INDEX($AO$2:$BQ$1001,MATCH(ROWS($AH$2:AH58),$AH$2:$AH$1001,0),MATCH(COLUMNS($AO$1006:BI1006),$AO$1006:$BQ$1006,0)), HYPERLINK("#",""), HYPERLINK(CONCATENATE("#Metadata!", ADDRESS(INDEX($AJ$2:$AJ$1001,MATCH(ROWS($AH$2:AH58),$AH$2:$AH$1001,0),0), INDEX($AO$1004:$BQ$1004,1,MATCH(COLUMNS($AO$1006:BI1006),$AO$1006:$BQ$1006,0)))),"Fix")))</f>
        <v>#N/A</v>
      </c>
      <c r="W58" s="5" t="e">
        <f ca="1">IF(OR(INDEX($AI$2:$AI$1001,MATCH(ROWS($AH$2:AH58),$AH$2:$AH$1001,0),1)&gt;=100000,INDEX($AO$1005:$BQ$1005,1,MATCH(COLUMNS($AO$1006:BJ1006),$AO$1006:$BQ$1006,0))&gt;=100000), " ",IF(INDEX($AO$2:$BQ$1001,MATCH(ROWS($AH$2:AH58),$AH$2:$AH$1001,0),MATCH(COLUMNS($AO$1006:BJ1006),$AO$1006:$BQ$1006,0)), HYPERLINK("#",""), HYPERLINK(CONCATENATE("#Metadata!", ADDRESS(INDEX($AJ$2:$AJ$1001,MATCH(ROWS($AH$2:AH58),$AH$2:$AH$1001,0),0), INDEX($AO$1004:$BQ$1004,1,MATCH(COLUMNS($AO$1006:BJ1006),$AO$1006:$BQ$1006,0)))),"Fix")))</f>
        <v>#N/A</v>
      </c>
      <c r="X58" s="5" t="e">
        <f ca="1">IF(OR(INDEX($AI$2:$AI$1001,MATCH(ROWS($AH$2:AH58),$AH$2:$AH$1001,0),1)&gt;=100000,INDEX($AO$1005:$BQ$1005,1,MATCH(COLUMNS($AO$1006:BK1006),$AO$1006:$BQ$1006,0))&gt;=100000), " ",IF(INDEX($AO$2:$BQ$1001,MATCH(ROWS($AH$2:AH58),$AH$2:$AH$1001,0),MATCH(COLUMNS($AO$1006:BK1006),$AO$1006:$BQ$1006,0)), HYPERLINK("#",""), HYPERLINK(CONCATENATE("#Metadata!", ADDRESS(INDEX($AJ$2:$AJ$1001,MATCH(ROWS($AH$2:AH58),$AH$2:$AH$1001,0),0), INDEX($AO$1004:$BQ$1004,1,MATCH(COLUMNS($AO$1006:BK1006),$AO$1006:$BQ$1006,0)))),"Fix")))</f>
        <v>#N/A</v>
      </c>
      <c r="Y58" s="5" t="e">
        <f ca="1">IF(OR(INDEX($AI$2:$AI$1001,MATCH(ROWS($AH$2:AH58),$AH$2:$AH$1001,0),1)&gt;=100000,INDEX($AO$1005:$BQ$1005,1,MATCH(COLUMNS($AO$1006:BL1006),$AO$1006:$BQ$1006,0))&gt;=100000), " ",IF(INDEX($AO$2:$BQ$1001,MATCH(ROWS($AH$2:AH58),$AH$2:$AH$1001,0),MATCH(COLUMNS($AO$1006:BL1006),$AO$1006:$BQ$1006,0)), HYPERLINK("#",""), HYPERLINK(CONCATENATE("#Metadata!", ADDRESS(INDEX($AJ$2:$AJ$1001,MATCH(ROWS($AH$2:AH58),$AH$2:$AH$1001,0),0), INDEX($AO$1004:$BQ$1004,1,MATCH(COLUMNS($AO$1006:BL1006),$AO$1006:$BQ$1006,0)))),"Fix")))</f>
        <v>#N/A</v>
      </c>
      <c r="Z58" s="5" t="e">
        <f ca="1">IF(OR(INDEX($AI$2:$AI$1001,MATCH(ROWS($AH$2:AH58),$AH$2:$AH$1001,0),1)&gt;=100000,INDEX($AO$1005:$BQ$1005,1,MATCH(COLUMNS($AO$1006:BM1006),$AO$1006:$BQ$1006,0))&gt;=100000), " ",IF(INDEX($AO$2:$BQ$1001,MATCH(ROWS($AH$2:AH58),$AH$2:$AH$1001,0),MATCH(COLUMNS($AO$1006:BM1006),$AO$1006:$BQ$1006,0)), HYPERLINK("#",""), HYPERLINK(CONCATENATE("#Metadata!", ADDRESS(INDEX($AJ$2:$AJ$1001,MATCH(ROWS($AH$2:AH58),$AH$2:$AH$1001,0),0), INDEX($AO$1004:$BQ$1004,1,MATCH(COLUMNS($AO$1006:BM1006),$AO$1006:$BQ$1006,0)))),"Fix")))</f>
        <v>#N/A</v>
      </c>
      <c r="AA58" s="5" t="e">
        <f ca="1">IF(OR(INDEX($AI$2:$AI$1001,MATCH(ROWS($AH$2:AH58),$AH$2:$AH$1001,0),1)&gt;=100000,INDEX($AO$1005:$BQ$1005,1,MATCH(COLUMNS($AO$1006:BN1006),$AO$1006:$BQ$1006,0))&gt;=100000), " ",IF(INDEX($AO$2:$BQ$1001,MATCH(ROWS($AH$2:AH58),$AH$2:$AH$1001,0),MATCH(COLUMNS($AO$1006:BN1006),$AO$1006:$BQ$1006,0)), HYPERLINK("#",""), HYPERLINK(CONCATENATE("#Metadata!", ADDRESS(INDEX($AJ$2:$AJ$1001,MATCH(ROWS($AH$2:AH58),$AH$2:$AH$1001,0),0), INDEX($AO$1004:$BQ$1004,1,MATCH(COLUMNS($AO$1006:BN1006),$AO$1006:$BQ$1006,0)))),"Fix")))</f>
        <v>#N/A</v>
      </c>
      <c r="AB58" s="5" t="e">
        <f ca="1">IF(OR(INDEX($AI$2:$AI$1001,MATCH(ROWS($AH$2:AH58),$AH$2:$AH$1001,0),1)&gt;=100000,INDEX($AO$1005:$BQ$1005,1,MATCH(COLUMNS($AO$1006:BO1006),$AO$1006:$BQ$1006,0))&gt;=100000), " ",IF(INDEX($AO$2:$BQ$1001,MATCH(ROWS($AH$2:AH58),$AH$2:$AH$1001,0),MATCH(COLUMNS($AO$1006:BO1006),$AO$1006:$BQ$1006,0)), HYPERLINK("#",""), HYPERLINK(CONCATENATE("#Metadata!", ADDRESS(INDEX($AJ$2:$AJ$1001,MATCH(ROWS($AH$2:AH58),$AH$2:$AH$1001,0),0), INDEX($AO$1004:$BQ$1004,1,MATCH(COLUMNS($AO$1006:BO1006),$AO$1006:$BQ$1006,0)))),"Fix")))</f>
        <v>#N/A</v>
      </c>
      <c r="AC58" s="5" t="e">
        <f ca="1">IF(OR(INDEX($AI$2:$AI$1001,MATCH(ROWS($AH$2:AH58),$AH$2:$AH$1001,0),1)&gt;=100000,INDEX($AO$1005:$BQ$1005,1,MATCH(COLUMNS($AO$1006:BP1006),$AO$1006:$BQ$1006,0))&gt;=100000), " ",IF(INDEX($AO$2:$BQ$1001,MATCH(ROWS($AH$2:AH58),$AH$2:$AH$1001,0),MATCH(COLUMNS($AO$1006:BP1006),$AO$1006:$BQ$1006,0)), HYPERLINK("#",""), HYPERLINK(CONCATENATE("#Metadata!", ADDRESS(INDEX($AJ$2:$AJ$1001,MATCH(ROWS($AH$2:AH58),$AH$2:$AH$1001,0),0), INDEX($AO$1004:$BQ$1004,1,MATCH(COLUMNS($AO$1006:BP1006),$AO$1006:$BQ$1006,0)))),"Fix")))</f>
        <v>#N/A</v>
      </c>
      <c r="AD58" s="5" t="e">
        <f ca="1">IF(OR(INDEX($AI$2:$AI$1001,MATCH(ROWS($AH$2:AH58),$AH$2:$AH$1001,0),1)&gt;=100000,INDEX($AO$1005:$BQ$1005,1,MATCH(COLUMNS($AO$1006:BQ1006),$AO$1006:$BQ$1006,0))&gt;=100000), " ",IF(INDEX($AO$2:$BQ$1001,MATCH(ROWS($AH$2:AH58),$AH$2:$AH$1001,0),MATCH(COLUMNS($AO$1006:BQ1006),$AO$1006:$BQ$1006,0)), HYPERLINK("#",""), HYPERLINK(CONCATENATE("#Metadata!", ADDRESS(INDEX($AJ$2:$AJ$1001,MATCH(ROWS($AH$2:AH58),$AH$2:$AH$1001,0),0), INDEX($AO$1004:$BQ$1004,1,MATCH(COLUMNS($AO$1006:BQ1006),$AO$1006:$BQ$1006,0)))),"Fix")))</f>
        <v>#REF!</v>
      </c>
      <c r="AH58">
        <f ca="1"/>
        <v>55</v>
      </c>
      <c r="AI58">
        <f ca="1"/>
        <v>58</v>
      </c>
      <c r="AJ58">
        <v>58</v>
      </c>
      <c r="AK58" t="b">
        <f t="shared" ca="1" si="0"/>
        <v>0</v>
      </c>
      <c r="AL58" t="b">
        <f>COUNTBLANK(Metadata!B58:AD58)=COLUMNS(Metadata!B58:AD58)</f>
        <v>0</v>
      </c>
      <c r="AM58" t="str">
        <v>Environment.Side.2.BTP.245Water</v>
      </c>
      <c r="AO58" t="b">
        <f ca="1">AND(IF(Metadata!B57="",FALSE,TRUE),COUNTIF(Metadata!B:B, Metadata!B57) = 1,NOT(ISERROR(SUMPRODUCT(SEARCH(MID(Metadata!B57,ROW(INDIRECT("1:"&amp;LEN(Metadata!B57))), 1),"0123456789abcdefghijklmnopqrstuvwxyzABCDEFGHIJKLMNOPQRSTUVWXYZ.")))))</f>
        <v>1</v>
      </c>
      <c r="AP58" t="b">
        <f>IF(Metadata!C57="",FALSE,TRUE)</f>
        <v>1</v>
      </c>
      <c r="AQ58" t="b">
        <f>IF(Metadata!D57="",FALSE,TRUE)</f>
        <v>1</v>
      </c>
      <c r="AR58" t="b">
        <f ca="1">OR(AND(IF(Metadata!E57="",FALSE,TRUE),OR(EXACT(Metadata!E57,"not collected"),EXACT(Metadata!E57,"not provided"),EXACT(Metadata!E57,"restricted access"))),AND(IF(Metadata!E57="",FALSE,TRUE),AND(AND(IFERROR(INT(LEFT(Metadata!E57,4))&gt;1900,FALSE),IFERROR(INT(LEFT(Metadata!E57,4))&lt;=YEAR(NOW()),FALSE)), OR(MID(Metadata!E57,5,1)="", AND(AND(MID(Metadata!E57,5,1)="-",IFERROR(INT(MID(Metadata!E57,6,1))&gt;=0,FALSE),IFERROR(INT(MID(Metadata!E57,6,1))&lt;=1,FALSE),NOT(MID(Metadata!E57,7,1)=""),IFERROR(INT(MID(Metadata!E57,6,2))&gt;=1,FALSE),IFERROR(INT(MID(Metadata!E57,6,2))&lt;=12,FALSE)), OR(MID(Metadata!E57,8,1)="", AND(AND(MID(Metadata!E57,8,1)="-",IFERROR(INT(MID(Metadata!E57,9,1))&gt;=0,FALSE),IFERROR(INT(MID(Metadata!E57,9,1))&lt;=3,FALSE),NOT(MID(Metadata!E57,10,1)=""),IFERROR(INT(MID(Metadata!E57,9,2))&gt;=1,FALSE),IFERROR(INT(MID(Metadata!E57,9,2))&lt;=31,FALSE)), OR(MID(Metadata!E57,11,1)="", AND(AND(MID(Metadata!E57,11,1)=" ",IFERROR(INT(MID(Metadata!E57,12,1))&gt;=0,FALSE),IFERROR(INT(MID(Metadata!E57,12,1))&lt;=2,FALSE),NOT(MID(Metadata!E57,13,1)=""),IFERROR(INT(MID(Metadata!E57,12,2))&gt;=0,FALSE),IFERROR(INT(MID(Metadata!E57,12,2))&lt;=23,FALSE)), OR(MID(Metadata!E57,14,1)="", AND(AND(MID(Metadata!E57,14,1)=":",IFERROR(INT(MID(Metadata!E57,15,1))&gt;=0,FALSE),IFERROR(INT(MID(Metadata!E57,15,1))&lt;=5,FALSE),NOT(MID(Metadata!E57,16,1)=""),IFERROR(INT(MID(Metadata!E57,15,2))&gt;=0,FALSE),IFERROR(INT(MID(Metadata!E57,15,2))&lt;=59,FALSE)), OR(MID(Metadata!E57,17,1)="", AND(AND(MID(Metadata!E57,17,1)=":",IFERROR(INT(MID(Metadata!E57,18,1))&gt;=0,FALSE),IFERROR(INT(MID(Metadata!E57,18,1))&lt;=5,FALSE),NOT(MID(Metadata!E57,19,1)=""),IFERROR(INT(MID(Metadata!E57,18,2))&gt;=0,FALSE),IFERROR(INT(MID(Metadata!E57,18,2))&lt;=59,FALSE)), LEN(Metadata!E57)&lt;=19)))))))))))))</f>
        <v>1</v>
      </c>
      <c r="AS58" t="b">
        <f>IF(Metadata!F57="",FALSE,TRUE)</f>
        <v>1</v>
      </c>
      <c r="AT58" t="b">
        <f>OR(AND(IF(Metadata!G57="",FALSE,TRUE),OR(EXACT(Metadata!G57,"not collected"),EXACT(Metadata!G57,"not provided"))),AND(IF(Metadata!G57="",FALSE,TRUE),OR(EXACT(Metadata!G57,"TRUE"),EXACT(Metadata!G57,"FALSE"))))</f>
        <v>1</v>
      </c>
      <c r="AU58" t="b">
        <f>OR(AND(IF(Metadata!H57="",FALSE,TRUE),OR(EXACT(Metadata!H57,"not collected"),EXACT(Metadata!H57,"not provided"),EXACT(Metadata!H57,"restricted access"))),AND(IF(Metadata!H57="",FALSE,ISNUMBER(VALUE(Metadata!H57))),Metadata!H57&gt;=-413))</f>
        <v>0</v>
      </c>
      <c r="AV58" t="b">
        <f>AND(IF(Metadata!I57="",FALSE,TRUE),EXACT(Metadata!I57,"meters"))</f>
        <v>1</v>
      </c>
      <c r="AW58" t="b">
        <f>AND(IF(Metadata!J57="",FALSE,TRUE),EXACT(Metadata!J57,"free-living"))</f>
        <v>1</v>
      </c>
      <c r="AX58" t="b">
        <f>AND(IF(Metadata!K57="",FALSE,TRUE),OR(EXACT(Metadata!K57,"saline"),EXACT(Metadata!K57,"non-saline")))</f>
        <v>1</v>
      </c>
      <c r="AY58" t="b">
        <f>AND(IF(Metadata!L57="",FALSE,TRUE),OR(EXACT(Metadata!L57,"sub-surface (non-saline)"),EXACT(Metadata!L57,"surface (non-saline)"),EXACT(Metadata!L57,"water (non-saline)"),EXACT(Metadata!L57,"soil (non-saline)"),EXACT(Metadata!L57,"aerosol (non-saline)"),EXACT(Metadata!L57,"sediment (non-saline)"),EXACT(Metadata!L57,"surface (saline)"),EXACT(Metadata!L57,"water (saline)"),EXACT(Metadata!L57,"hypersaline (saline)"),EXACT(Metadata!L57,"aerosol (saline)"),EXACT(Metadata!L57,"sediment (saline)")))</f>
        <v>1</v>
      </c>
      <c r="AZ58" t="b">
        <f>IF(Metadata!M57="",FALSE,TRUE)</f>
        <v>1</v>
      </c>
      <c r="BA58" t="b">
        <f>IF(Metadata!N57="",FALSE,TRUE)</f>
        <v>1</v>
      </c>
      <c r="BB58" t="b">
        <f>IF(Metadata!O57="",FALSE,TRUE)</f>
        <v>1</v>
      </c>
      <c r="BC58" t="b">
        <f>AND(IF(Metadata!P57="",FALSE,TRUE),OR(EXACT(Metadata!P57,"air"),EXACT(Metadata!P57,"microbial mat/biofilm"),EXACT(Metadata!P57,"misc environment"),EXACT(Metadata!P57,"sediment"),EXACT(Metadata!P57,"soil"),EXACT(Metadata!P57,"wastewater/sludge"),EXACT(Metadata!P57,"water")))</f>
        <v>1</v>
      </c>
      <c r="BD58" t="b">
        <f>IF(Metadata!Q57="",FALSE,TRUE)</f>
        <v>1</v>
      </c>
      <c r="BE58" t="b">
        <f>IF(Metadata!R57="",FALSE,TRUE)</f>
        <v>1</v>
      </c>
      <c r="BF58" t="b">
        <f>OR(AND(IF(Metadata!S57="",FALSE,TRUE),OR(EXACT(Metadata!S57,"not collected"),EXACT(Metadata!S57,"not provided"),EXACT(Metadata!S57,"restricted access"))),AND(IF(Metadata!S57="",FALSE,ISNUMBER(VALUE(Metadata!S57))),Metadata!S57&gt;=-90,Metadata!S57&lt;=90))</f>
        <v>0</v>
      </c>
      <c r="BG58" t="b">
        <f>AND(IF(Metadata!T57="",FALSE,TRUE),EXACT(Metadata!T57,"Decimal degrees"))</f>
        <v>1</v>
      </c>
      <c r="BH58" t="b">
        <f>OR(AND(IF(Metadata!U57="",FALSE,TRUE),OR(EXACT(Metadata!U57,"not applicable"),EXACT(Metadata!U57,"not collected"))),IF(Metadata!U57="",FALSE,TRUE))</f>
        <v>1</v>
      </c>
      <c r="BI58" t="b">
        <f>OR(AND(IF(Metadata!V57="",FALSE,TRUE),OR(EXACT(Metadata!V57,"not collected"),EXACT(Metadata!V57,"not provided"),EXACT(Metadata!V57,"restricted access"))),AND(IF(Metadata!V57="",FALSE,ISNUMBER(VALUE(Metadata!V57))),Metadata!V57&gt;=-180,Metadata!V57&lt;=180))</f>
        <v>0</v>
      </c>
      <c r="BJ58" t="b">
        <f>AND(IF(Metadata!W57="",FALSE,TRUE),EXACT(Metadata!W57,"Decimal degrees"))</f>
        <v>1</v>
      </c>
      <c r="BK58" t="b">
        <f>IF(Metadata!X57="",FALSE,TRUE)</f>
        <v>1</v>
      </c>
      <c r="BL58" t="b">
        <f>OR(AND(IF(Metadata!Y57="",FALSE,TRUE),OR(EXACT(Metadata!Y57,"not collected"),EXACT(Metadata!Y57,"not provided"),EXACT(Metadata!Y57,"restricted access"))),AND(IF(Metadata!Y57="",FALSE,TRUE),OR(EXACT(Metadata!Y57,"TRUE"),EXACT(Metadata!Y57,"FALSE"))))</f>
        <v>1</v>
      </c>
      <c r="BM58" t="b">
        <f>OR(AND(IF(Metadata!Z57="",FALSE,TRUE),EXACT(Metadata!Z57,"not applicable")),AND(IF(Metadata!Z57="",FALSE,TRUE),OR(EXACT(Metadata!Z57,"beer"),EXACT(Metadata!Z57,"cheese"),EXACT(Metadata!Z57,"fresh water"),EXACT(Metadata!Z57,"marine sediment"),EXACT(Metadata!Z57,"sea water"),EXACT(Metadata!Z57,"sediment"),EXACT(Metadata!Z57,"soil"),EXACT(Metadata!Z57,"waste water"))))</f>
        <v>1</v>
      </c>
      <c r="BN58" t="b">
        <f>AND(IF(Metadata!AA57="",FALSE,TRUE),EXACT(Metadata!AA57,"metagenome"))</f>
        <v>1</v>
      </c>
      <c r="BO58" t="b">
        <f>AND(IF(Metadata!AB57="",FALSE,TRUE),EXACT(Metadata!AB57,"256318"))</f>
        <v>1</v>
      </c>
      <c r="BP58" t="b">
        <f>IF(Metadata!AC57="",FALSE,TRUE)</f>
        <v>1</v>
      </c>
      <c r="BQ58" t="b">
        <f>IF(Metadata!AD57="",FALSE,TRUE)</f>
        <v>1</v>
      </c>
    </row>
    <row r="59" spans="1:69" x14ac:dyDescent="0.2">
      <c r="A59" s="4" t="e">
        <f ca="1">IF(B59=" "," ",HYPERLINK(CONCATENATE("#metadata!",ADDRESS(INDEX($AJ$2:$AJ$1001,MATCH(ROWS($AH$2:AH59),$AH$2:$AH$1001,0),0),2)),INDEX($AM$2:$AM$1001,MATCH(ROWS($AH$2:AH59),$AH$2:$AH$1001,0),0)))</f>
        <v>#N/A</v>
      </c>
      <c r="B59" s="5" t="e">
        <f ca="1">IF(OR(INDEX($AI$2:$AI$1001,MATCH(ROWS($AH$2:AH59),$AH$2:$AH$1001,0),1)&gt;=100000,INDEX($AO$1005:$BQ$1005,1,MATCH(COLUMNS($AO$1006:AO1006),$AO$1006:$BQ$1006,0))&gt;=100000), " ",IF(INDEX($AO$2:$BQ$1001,MATCH(ROWS($AH$2:AH59),$AH$2:$AH$1001,0),MATCH(COLUMNS($AO$1006:AO1006),$AO$1006:$BQ$1006,0)), HYPERLINK("#",""), HYPERLINK(CONCATENATE("#Metadata!", ADDRESS(INDEX($AJ$2:$AJ$1001,MATCH(ROWS($AH$2:AH59),$AH$2:$AH$1001,0),0), INDEX($AO$1004:$BQ$1004,1,MATCH(COLUMNS($AO$1006:AO1006),$AO$1006:$BQ$1006,0)))),"Fix")))</f>
        <v>#N/A</v>
      </c>
      <c r="C59" s="5" t="e">
        <f ca="1">IF(OR(INDEX($AI$2:$AI$1001,MATCH(ROWS($AH$2:AH59),$AH$2:$AH$1001,0),1)&gt;=100000,INDEX($AO$1005:$BQ$1005,1,MATCH(COLUMNS($AO$1006:AP1006),$AO$1006:$BQ$1006,0))&gt;=100000), " ",IF(INDEX($AO$2:$BQ$1001,MATCH(ROWS($AH$2:AH59),$AH$2:$AH$1001,0),MATCH(COLUMNS($AO$1006:AP1006),$AO$1006:$BQ$1006,0)), HYPERLINK("#",""), HYPERLINK(CONCATENATE("#Metadata!", ADDRESS(INDEX($AJ$2:$AJ$1001,MATCH(ROWS($AH$2:AH59),$AH$2:$AH$1001,0),0), INDEX($AO$1004:$BQ$1004,1,MATCH(COLUMNS($AO$1006:AP1006),$AO$1006:$BQ$1006,0)))),"Fix")))</f>
        <v>#N/A</v>
      </c>
      <c r="D59" s="5" t="e">
        <f ca="1">IF(OR(INDEX($AI$2:$AI$1001,MATCH(ROWS($AH$2:AH59),$AH$2:$AH$1001,0),1)&gt;=100000,INDEX($AO$1005:$BQ$1005,1,MATCH(COLUMNS($AO$1006:AQ1006),$AO$1006:$BQ$1006,0))&gt;=100000), " ",IF(INDEX($AO$2:$BQ$1001,MATCH(ROWS($AH$2:AH59),$AH$2:$AH$1001,0),MATCH(COLUMNS($AO$1006:AQ1006),$AO$1006:$BQ$1006,0)), HYPERLINK("#",""), HYPERLINK(CONCATENATE("#Metadata!", ADDRESS(INDEX($AJ$2:$AJ$1001,MATCH(ROWS($AH$2:AH59),$AH$2:$AH$1001,0),0), INDEX($AO$1004:$BQ$1004,1,MATCH(COLUMNS($AO$1006:AQ1006),$AO$1006:$BQ$1006,0)))),"Fix")))</f>
        <v>#N/A</v>
      </c>
      <c r="E59" s="5" t="e">
        <f ca="1">IF(OR(INDEX($AI$2:$AI$1001,MATCH(ROWS($AH$2:AH59),$AH$2:$AH$1001,0),1)&gt;=100000,INDEX($AO$1005:$BQ$1005,1,MATCH(COLUMNS($AO$1006:AR1006),$AO$1006:$BQ$1006,0))&gt;=100000), " ",IF(INDEX($AO$2:$BQ$1001,MATCH(ROWS($AH$2:AH59),$AH$2:$AH$1001,0),MATCH(COLUMNS($AO$1006:AR1006),$AO$1006:$BQ$1006,0)), HYPERLINK("#",""), HYPERLINK(CONCATENATE("#Metadata!", ADDRESS(INDEX($AJ$2:$AJ$1001,MATCH(ROWS($AH$2:AH59),$AH$2:$AH$1001,0),0), INDEX($AO$1004:$BQ$1004,1,MATCH(COLUMNS($AO$1006:AR1006),$AO$1006:$BQ$1006,0)))),"Fix")))</f>
        <v>#N/A</v>
      </c>
      <c r="F59" s="5" t="e">
        <f ca="1">IF(OR(INDEX($AI$2:$AI$1001,MATCH(ROWS($AH$2:AH59),$AH$2:$AH$1001,0),1)&gt;=100000,INDEX($AO$1005:$BQ$1005,1,MATCH(COLUMNS($AO$1006:AS1006),$AO$1006:$BQ$1006,0))&gt;=100000), " ",IF(INDEX($AO$2:$BQ$1001,MATCH(ROWS($AH$2:AH59),$AH$2:$AH$1001,0),MATCH(COLUMNS($AO$1006:AS1006),$AO$1006:$BQ$1006,0)), HYPERLINK("#",""), HYPERLINK(CONCATENATE("#Metadata!", ADDRESS(INDEX($AJ$2:$AJ$1001,MATCH(ROWS($AH$2:AH59),$AH$2:$AH$1001,0),0), INDEX($AO$1004:$BQ$1004,1,MATCH(COLUMNS($AO$1006:AS1006),$AO$1006:$BQ$1006,0)))),"Fix")))</f>
        <v>#N/A</v>
      </c>
      <c r="G59" s="5" t="e">
        <f ca="1">IF(OR(INDEX($AI$2:$AI$1001,MATCH(ROWS($AH$2:AH59),$AH$2:$AH$1001,0),1)&gt;=100000,INDEX($AO$1005:$BQ$1005,1,MATCH(COLUMNS($AO$1006:AT1006),$AO$1006:$BQ$1006,0))&gt;=100000), " ",IF(INDEX($AO$2:$BQ$1001,MATCH(ROWS($AH$2:AH59),$AH$2:$AH$1001,0),MATCH(COLUMNS($AO$1006:AT1006),$AO$1006:$BQ$1006,0)), HYPERLINK("#",""), HYPERLINK(CONCATENATE("#Metadata!", ADDRESS(INDEX($AJ$2:$AJ$1001,MATCH(ROWS($AH$2:AH59),$AH$2:$AH$1001,0),0), INDEX($AO$1004:$BQ$1004,1,MATCH(COLUMNS($AO$1006:AT1006),$AO$1006:$BQ$1006,0)))),"Fix")))</f>
        <v>#N/A</v>
      </c>
      <c r="H59" s="5" t="e">
        <f ca="1">IF(OR(INDEX($AI$2:$AI$1001,MATCH(ROWS($AH$2:AH59),$AH$2:$AH$1001,0),1)&gt;=100000,INDEX($AO$1005:$BQ$1005,1,MATCH(COLUMNS($AO$1006:AU1006),$AO$1006:$BQ$1006,0))&gt;=100000), " ",IF(INDEX($AO$2:$BQ$1001,MATCH(ROWS($AH$2:AH59),$AH$2:$AH$1001,0),MATCH(COLUMNS($AO$1006:AU1006),$AO$1006:$BQ$1006,0)), HYPERLINK("#",""), HYPERLINK(CONCATENATE("#Metadata!", ADDRESS(INDEX($AJ$2:$AJ$1001,MATCH(ROWS($AH$2:AH59),$AH$2:$AH$1001,0),0), INDEX($AO$1004:$BQ$1004,1,MATCH(COLUMNS($AO$1006:AU1006),$AO$1006:$BQ$1006,0)))),"Fix")))</f>
        <v>#N/A</v>
      </c>
      <c r="I59" s="5" t="e">
        <f ca="1">IF(OR(INDEX($AI$2:$AI$1001,MATCH(ROWS($AH$2:AH59),$AH$2:$AH$1001,0),1)&gt;=100000,INDEX($AO$1005:$BQ$1005,1,MATCH(COLUMNS($AO$1006:AV1006),$AO$1006:$BQ$1006,0))&gt;=100000), " ",IF(INDEX($AO$2:$BQ$1001,MATCH(ROWS($AH$2:AH59),$AH$2:$AH$1001,0),MATCH(COLUMNS($AO$1006:AV1006),$AO$1006:$BQ$1006,0)), HYPERLINK("#",""), HYPERLINK(CONCATENATE("#Metadata!", ADDRESS(INDEX($AJ$2:$AJ$1001,MATCH(ROWS($AH$2:AH59),$AH$2:$AH$1001,0),0), INDEX($AO$1004:$BQ$1004,1,MATCH(COLUMNS($AO$1006:AV1006),$AO$1006:$BQ$1006,0)))),"Fix")))</f>
        <v>#N/A</v>
      </c>
      <c r="J59" s="5" t="e">
        <f ca="1">IF(OR(INDEX($AI$2:$AI$1001,MATCH(ROWS($AH$2:AH59),$AH$2:$AH$1001,0),1)&gt;=100000,INDEX($AO$1005:$BQ$1005,1,MATCH(COLUMNS($AO$1006:AW1006),$AO$1006:$BQ$1006,0))&gt;=100000), " ",IF(INDEX($AO$2:$BQ$1001,MATCH(ROWS($AH$2:AH59),$AH$2:$AH$1001,0),MATCH(COLUMNS($AO$1006:AW1006),$AO$1006:$BQ$1006,0)), HYPERLINK("#",""), HYPERLINK(CONCATENATE("#Metadata!", ADDRESS(INDEX($AJ$2:$AJ$1001,MATCH(ROWS($AH$2:AH59),$AH$2:$AH$1001,0),0), INDEX($AO$1004:$BQ$1004,1,MATCH(COLUMNS($AO$1006:AW1006),$AO$1006:$BQ$1006,0)))),"Fix")))</f>
        <v>#N/A</v>
      </c>
      <c r="K59" s="5" t="e">
        <f ca="1">IF(OR(INDEX($AI$2:$AI$1001,MATCH(ROWS($AH$2:AH59),$AH$2:$AH$1001,0),1)&gt;=100000,INDEX($AO$1005:$BQ$1005,1,MATCH(COLUMNS($AO$1006:AX1006),$AO$1006:$BQ$1006,0))&gt;=100000), " ",IF(INDEX($AO$2:$BQ$1001,MATCH(ROWS($AH$2:AH59),$AH$2:$AH$1001,0),MATCH(COLUMNS($AO$1006:AX1006),$AO$1006:$BQ$1006,0)), HYPERLINK("#",""), HYPERLINK(CONCATENATE("#Metadata!", ADDRESS(INDEX($AJ$2:$AJ$1001,MATCH(ROWS($AH$2:AH59),$AH$2:$AH$1001,0),0), INDEX($AO$1004:$BQ$1004,1,MATCH(COLUMNS($AO$1006:AX1006),$AO$1006:$BQ$1006,0)))),"Fix")))</f>
        <v>#N/A</v>
      </c>
      <c r="L59" s="5" t="e">
        <f ca="1">IF(OR(INDEX($AI$2:$AI$1001,MATCH(ROWS($AH$2:AH59),$AH$2:$AH$1001,0),1)&gt;=100000,INDEX($AO$1005:$BQ$1005,1,MATCH(COLUMNS($AO$1006:AY1006),$AO$1006:$BQ$1006,0))&gt;=100000), " ",IF(INDEX($AO$2:$BQ$1001,MATCH(ROWS($AH$2:AH59),$AH$2:$AH$1001,0),MATCH(COLUMNS($AO$1006:AY1006),$AO$1006:$BQ$1006,0)), HYPERLINK("#",""), HYPERLINK(CONCATENATE("#Metadata!", ADDRESS(INDEX($AJ$2:$AJ$1001,MATCH(ROWS($AH$2:AH59),$AH$2:$AH$1001,0),0), INDEX($AO$1004:$BQ$1004,1,MATCH(COLUMNS($AO$1006:AY1006),$AO$1006:$BQ$1006,0)))),"Fix")))</f>
        <v>#N/A</v>
      </c>
      <c r="M59" s="5" t="e">
        <f ca="1">IF(OR(INDEX($AI$2:$AI$1001,MATCH(ROWS($AH$2:AH59),$AH$2:$AH$1001,0),1)&gt;=100000,INDEX($AO$1005:$BQ$1005,1,MATCH(COLUMNS($AO$1006:AZ1006),$AO$1006:$BQ$1006,0))&gt;=100000), " ",IF(INDEX($AO$2:$BQ$1001,MATCH(ROWS($AH$2:AH59),$AH$2:$AH$1001,0),MATCH(COLUMNS($AO$1006:AZ1006),$AO$1006:$BQ$1006,0)), HYPERLINK("#",""), HYPERLINK(CONCATENATE("#Metadata!", ADDRESS(INDEX($AJ$2:$AJ$1001,MATCH(ROWS($AH$2:AH59),$AH$2:$AH$1001,0),0), INDEX($AO$1004:$BQ$1004,1,MATCH(COLUMNS($AO$1006:AZ1006),$AO$1006:$BQ$1006,0)))),"Fix")))</f>
        <v>#N/A</v>
      </c>
      <c r="N59" s="5" t="e">
        <f ca="1">IF(OR(INDEX($AI$2:$AI$1001,MATCH(ROWS($AH$2:AH59),$AH$2:$AH$1001,0),1)&gt;=100000,INDEX($AO$1005:$BQ$1005,1,MATCH(COLUMNS($AO$1006:BA1006),$AO$1006:$BQ$1006,0))&gt;=100000), " ",IF(INDEX($AO$2:$BQ$1001,MATCH(ROWS($AH$2:AH59),$AH$2:$AH$1001,0),MATCH(COLUMNS($AO$1006:BA1006),$AO$1006:$BQ$1006,0)), HYPERLINK("#",""), HYPERLINK(CONCATENATE("#Metadata!", ADDRESS(INDEX($AJ$2:$AJ$1001,MATCH(ROWS($AH$2:AH59),$AH$2:$AH$1001,0),0), INDEX($AO$1004:$BQ$1004,1,MATCH(COLUMNS($AO$1006:BA1006),$AO$1006:$BQ$1006,0)))),"Fix")))</f>
        <v>#N/A</v>
      </c>
      <c r="O59" s="5" t="e">
        <f ca="1">IF(OR(INDEX($AI$2:$AI$1001,MATCH(ROWS($AH$2:AH59),$AH$2:$AH$1001,0),1)&gt;=100000,INDEX($AO$1005:$BQ$1005,1,MATCH(COLUMNS($AO$1006:BB1006),$AO$1006:$BQ$1006,0))&gt;=100000), " ",IF(INDEX($AO$2:$BQ$1001,MATCH(ROWS($AH$2:AH59),$AH$2:$AH$1001,0),MATCH(COLUMNS($AO$1006:BB1006),$AO$1006:$BQ$1006,0)), HYPERLINK("#",""), HYPERLINK(CONCATENATE("#Metadata!", ADDRESS(INDEX($AJ$2:$AJ$1001,MATCH(ROWS($AH$2:AH59),$AH$2:$AH$1001,0),0), INDEX($AO$1004:$BQ$1004,1,MATCH(COLUMNS($AO$1006:BB1006),$AO$1006:$BQ$1006,0)))),"Fix")))</f>
        <v>#N/A</v>
      </c>
      <c r="P59" s="5" t="e">
        <f ca="1">IF(OR(INDEX($AI$2:$AI$1001,MATCH(ROWS($AH$2:AH59),$AH$2:$AH$1001,0),1)&gt;=100000,INDEX($AO$1005:$BQ$1005,1,MATCH(COLUMNS($AO$1006:BC1006),$AO$1006:$BQ$1006,0))&gt;=100000), " ",IF(INDEX($AO$2:$BQ$1001,MATCH(ROWS($AH$2:AH59),$AH$2:$AH$1001,0),MATCH(COLUMNS($AO$1006:BC1006),$AO$1006:$BQ$1006,0)), HYPERLINK("#",""), HYPERLINK(CONCATENATE("#Metadata!", ADDRESS(INDEX($AJ$2:$AJ$1001,MATCH(ROWS($AH$2:AH59),$AH$2:$AH$1001,0),0), INDEX($AO$1004:$BQ$1004,1,MATCH(COLUMNS($AO$1006:BC1006),$AO$1006:$BQ$1006,0)))),"Fix")))</f>
        <v>#N/A</v>
      </c>
      <c r="Q59" s="5" t="e">
        <f ca="1">IF(OR(INDEX($AI$2:$AI$1001,MATCH(ROWS($AH$2:AH59),$AH$2:$AH$1001,0),1)&gt;=100000,INDEX($AO$1005:$BQ$1005,1,MATCH(COLUMNS($AO$1006:BD1006),$AO$1006:$BQ$1006,0))&gt;=100000), " ",IF(INDEX($AO$2:$BQ$1001,MATCH(ROWS($AH$2:AH59),$AH$2:$AH$1001,0),MATCH(COLUMNS($AO$1006:BD1006),$AO$1006:$BQ$1006,0)), HYPERLINK("#",""), HYPERLINK(CONCATENATE("#Metadata!", ADDRESS(INDEX($AJ$2:$AJ$1001,MATCH(ROWS($AH$2:AH59),$AH$2:$AH$1001,0),0), INDEX($AO$1004:$BQ$1004,1,MATCH(COLUMNS($AO$1006:BD1006),$AO$1006:$BQ$1006,0)))),"Fix")))</f>
        <v>#N/A</v>
      </c>
      <c r="R59" s="5" t="e">
        <f ca="1">IF(OR(INDEX($AI$2:$AI$1001,MATCH(ROWS($AH$2:AH59),$AH$2:$AH$1001,0),1)&gt;=100000,INDEX($AO$1005:$BQ$1005,1,MATCH(COLUMNS($AO$1006:BE1006),$AO$1006:$BQ$1006,0))&gt;=100000), " ",IF(INDEX($AO$2:$BQ$1001,MATCH(ROWS($AH$2:AH59),$AH$2:$AH$1001,0),MATCH(COLUMNS($AO$1006:BE1006),$AO$1006:$BQ$1006,0)), HYPERLINK("#",""), HYPERLINK(CONCATENATE("#Metadata!", ADDRESS(INDEX($AJ$2:$AJ$1001,MATCH(ROWS($AH$2:AH59),$AH$2:$AH$1001,0),0), INDEX($AO$1004:$BQ$1004,1,MATCH(COLUMNS($AO$1006:BE1006),$AO$1006:$BQ$1006,0)))),"Fix")))</f>
        <v>#N/A</v>
      </c>
      <c r="S59" s="5" t="e">
        <f ca="1">IF(OR(INDEX($AI$2:$AI$1001,MATCH(ROWS($AH$2:AH59),$AH$2:$AH$1001,0),1)&gt;=100000,INDEX($AO$1005:$BQ$1005,1,MATCH(COLUMNS($AO$1006:BF1006),$AO$1006:$BQ$1006,0))&gt;=100000), " ",IF(INDEX($AO$2:$BQ$1001,MATCH(ROWS($AH$2:AH59),$AH$2:$AH$1001,0),MATCH(COLUMNS($AO$1006:BF1006),$AO$1006:$BQ$1006,0)), HYPERLINK("#",""), HYPERLINK(CONCATENATE("#Metadata!", ADDRESS(INDEX($AJ$2:$AJ$1001,MATCH(ROWS($AH$2:AH59),$AH$2:$AH$1001,0),0), INDEX($AO$1004:$BQ$1004,1,MATCH(COLUMNS($AO$1006:BF1006),$AO$1006:$BQ$1006,0)))),"Fix")))</f>
        <v>#N/A</v>
      </c>
      <c r="T59" s="5" t="e">
        <f ca="1">IF(OR(INDEX($AI$2:$AI$1001,MATCH(ROWS($AH$2:AH59),$AH$2:$AH$1001,0),1)&gt;=100000,INDEX($AO$1005:$BQ$1005,1,MATCH(COLUMNS($AO$1006:BG1006),$AO$1006:$BQ$1006,0))&gt;=100000), " ",IF(INDEX($AO$2:$BQ$1001,MATCH(ROWS($AH$2:AH59),$AH$2:$AH$1001,0),MATCH(COLUMNS($AO$1006:BG1006),$AO$1006:$BQ$1006,0)), HYPERLINK("#",""), HYPERLINK(CONCATENATE("#Metadata!", ADDRESS(INDEX($AJ$2:$AJ$1001,MATCH(ROWS($AH$2:AH59),$AH$2:$AH$1001,0),0), INDEX($AO$1004:$BQ$1004,1,MATCH(COLUMNS($AO$1006:BG1006),$AO$1006:$BQ$1006,0)))),"Fix")))</f>
        <v>#N/A</v>
      </c>
      <c r="U59" s="5" t="e">
        <f ca="1">IF(OR(INDEX($AI$2:$AI$1001,MATCH(ROWS($AH$2:AH59),$AH$2:$AH$1001,0),1)&gt;=100000,INDEX($AO$1005:$BQ$1005,1,MATCH(COLUMNS($AO$1006:BH1006),$AO$1006:$BQ$1006,0))&gt;=100000), " ",IF(INDEX($AO$2:$BQ$1001,MATCH(ROWS($AH$2:AH59),$AH$2:$AH$1001,0),MATCH(COLUMNS($AO$1006:BH1006),$AO$1006:$BQ$1006,0)), HYPERLINK("#",""), HYPERLINK(CONCATENATE("#Metadata!", ADDRESS(INDEX($AJ$2:$AJ$1001,MATCH(ROWS($AH$2:AH59),$AH$2:$AH$1001,0),0), INDEX($AO$1004:$BQ$1004,1,MATCH(COLUMNS($AO$1006:BH1006),$AO$1006:$BQ$1006,0)))),"Fix")))</f>
        <v>#N/A</v>
      </c>
      <c r="V59" s="5" t="e">
        <f ca="1">IF(OR(INDEX($AI$2:$AI$1001,MATCH(ROWS($AH$2:AH59),$AH$2:$AH$1001,0),1)&gt;=100000,INDEX($AO$1005:$BQ$1005,1,MATCH(COLUMNS($AO$1006:BI1006),$AO$1006:$BQ$1006,0))&gt;=100000), " ",IF(INDEX($AO$2:$BQ$1001,MATCH(ROWS($AH$2:AH59),$AH$2:$AH$1001,0),MATCH(COLUMNS($AO$1006:BI1006),$AO$1006:$BQ$1006,0)), HYPERLINK("#",""), HYPERLINK(CONCATENATE("#Metadata!", ADDRESS(INDEX($AJ$2:$AJ$1001,MATCH(ROWS($AH$2:AH59),$AH$2:$AH$1001,0),0), INDEX($AO$1004:$BQ$1004,1,MATCH(COLUMNS($AO$1006:BI1006),$AO$1006:$BQ$1006,0)))),"Fix")))</f>
        <v>#N/A</v>
      </c>
      <c r="W59" s="5" t="e">
        <f ca="1">IF(OR(INDEX($AI$2:$AI$1001,MATCH(ROWS($AH$2:AH59),$AH$2:$AH$1001,0),1)&gt;=100000,INDEX($AO$1005:$BQ$1005,1,MATCH(COLUMNS($AO$1006:BJ1006),$AO$1006:$BQ$1006,0))&gt;=100000), " ",IF(INDEX($AO$2:$BQ$1001,MATCH(ROWS($AH$2:AH59),$AH$2:$AH$1001,0),MATCH(COLUMNS($AO$1006:BJ1006),$AO$1006:$BQ$1006,0)), HYPERLINK("#",""), HYPERLINK(CONCATENATE("#Metadata!", ADDRESS(INDEX($AJ$2:$AJ$1001,MATCH(ROWS($AH$2:AH59),$AH$2:$AH$1001,0),0), INDEX($AO$1004:$BQ$1004,1,MATCH(COLUMNS($AO$1006:BJ1006),$AO$1006:$BQ$1006,0)))),"Fix")))</f>
        <v>#N/A</v>
      </c>
      <c r="X59" s="5" t="e">
        <f ca="1">IF(OR(INDEX($AI$2:$AI$1001,MATCH(ROWS($AH$2:AH59),$AH$2:$AH$1001,0),1)&gt;=100000,INDEX($AO$1005:$BQ$1005,1,MATCH(COLUMNS($AO$1006:BK1006),$AO$1006:$BQ$1006,0))&gt;=100000), " ",IF(INDEX($AO$2:$BQ$1001,MATCH(ROWS($AH$2:AH59),$AH$2:$AH$1001,0),MATCH(COLUMNS($AO$1006:BK1006),$AO$1006:$BQ$1006,0)), HYPERLINK("#",""), HYPERLINK(CONCATENATE("#Metadata!", ADDRESS(INDEX($AJ$2:$AJ$1001,MATCH(ROWS($AH$2:AH59),$AH$2:$AH$1001,0),0), INDEX($AO$1004:$BQ$1004,1,MATCH(COLUMNS($AO$1006:BK1006),$AO$1006:$BQ$1006,0)))),"Fix")))</f>
        <v>#N/A</v>
      </c>
      <c r="Y59" s="5" t="e">
        <f ca="1">IF(OR(INDEX($AI$2:$AI$1001,MATCH(ROWS($AH$2:AH59),$AH$2:$AH$1001,0),1)&gt;=100000,INDEX($AO$1005:$BQ$1005,1,MATCH(COLUMNS($AO$1006:BL1006),$AO$1006:$BQ$1006,0))&gt;=100000), " ",IF(INDEX($AO$2:$BQ$1001,MATCH(ROWS($AH$2:AH59),$AH$2:$AH$1001,0),MATCH(COLUMNS($AO$1006:BL1006),$AO$1006:$BQ$1006,0)), HYPERLINK("#",""), HYPERLINK(CONCATENATE("#Metadata!", ADDRESS(INDEX($AJ$2:$AJ$1001,MATCH(ROWS($AH$2:AH59),$AH$2:$AH$1001,0),0), INDEX($AO$1004:$BQ$1004,1,MATCH(COLUMNS($AO$1006:BL1006),$AO$1006:$BQ$1006,0)))),"Fix")))</f>
        <v>#N/A</v>
      </c>
      <c r="Z59" s="5" t="e">
        <f ca="1">IF(OR(INDEX($AI$2:$AI$1001,MATCH(ROWS($AH$2:AH59),$AH$2:$AH$1001,0),1)&gt;=100000,INDEX($AO$1005:$BQ$1005,1,MATCH(COLUMNS($AO$1006:BM1006),$AO$1006:$BQ$1006,0))&gt;=100000), " ",IF(INDEX($AO$2:$BQ$1001,MATCH(ROWS($AH$2:AH59),$AH$2:$AH$1001,0),MATCH(COLUMNS($AO$1006:BM1006),$AO$1006:$BQ$1006,0)), HYPERLINK("#",""), HYPERLINK(CONCATENATE("#Metadata!", ADDRESS(INDEX($AJ$2:$AJ$1001,MATCH(ROWS($AH$2:AH59),$AH$2:$AH$1001,0),0), INDEX($AO$1004:$BQ$1004,1,MATCH(COLUMNS($AO$1006:BM1006),$AO$1006:$BQ$1006,0)))),"Fix")))</f>
        <v>#N/A</v>
      </c>
      <c r="AA59" s="5" t="e">
        <f ca="1">IF(OR(INDEX($AI$2:$AI$1001,MATCH(ROWS($AH$2:AH59),$AH$2:$AH$1001,0),1)&gt;=100000,INDEX($AO$1005:$BQ$1005,1,MATCH(COLUMNS($AO$1006:BN1006),$AO$1006:$BQ$1006,0))&gt;=100000), " ",IF(INDEX($AO$2:$BQ$1001,MATCH(ROWS($AH$2:AH59),$AH$2:$AH$1001,0),MATCH(COLUMNS($AO$1006:BN1006),$AO$1006:$BQ$1006,0)), HYPERLINK("#",""), HYPERLINK(CONCATENATE("#Metadata!", ADDRESS(INDEX($AJ$2:$AJ$1001,MATCH(ROWS($AH$2:AH59),$AH$2:$AH$1001,0),0), INDEX($AO$1004:$BQ$1004,1,MATCH(COLUMNS($AO$1006:BN1006),$AO$1006:$BQ$1006,0)))),"Fix")))</f>
        <v>#N/A</v>
      </c>
      <c r="AB59" s="5" t="e">
        <f ca="1">IF(OR(INDEX($AI$2:$AI$1001,MATCH(ROWS($AH$2:AH59),$AH$2:$AH$1001,0),1)&gt;=100000,INDEX($AO$1005:$BQ$1005,1,MATCH(COLUMNS($AO$1006:BO1006),$AO$1006:$BQ$1006,0))&gt;=100000), " ",IF(INDEX($AO$2:$BQ$1001,MATCH(ROWS($AH$2:AH59),$AH$2:$AH$1001,0),MATCH(COLUMNS($AO$1006:BO1006),$AO$1006:$BQ$1006,0)), HYPERLINK("#",""), HYPERLINK(CONCATENATE("#Metadata!", ADDRESS(INDEX($AJ$2:$AJ$1001,MATCH(ROWS($AH$2:AH59),$AH$2:$AH$1001,0),0), INDEX($AO$1004:$BQ$1004,1,MATCH(COLUMNS($AO$1006:BO1006),$AO$1006:$BQ$1006,0)))),"Fix")))</f>
        <v>#N/A</v>
      </c>
      <c r="AC59" s="5" t="e">
        <f ca="1">IF(OR(INDEX($AI$2:$AI$1001,MATCH(ROWS($AH$2:AH59),$AH$2:$AH$1001,0),1)&gt;=100000,INDEX($AO$1005:$BQ$1005,1,MATCH(COLUMNS($AO$1006:BP1006),$AO$1006:$BQ$1006,0))&gt;=100000), " ",IF(INDEX($AO$2:$BQ$1001,MATCH(ROWS($AH$2:AH59),$AH$2:$AH$1001,0),MATCH(COLUMNS($AO$1006:BP1006),$AO$1006:$BQ$1006,0)), HYPERLINK("#",""), HYPERLINK(CONCATENATE("#Metadata!", ADDRESS(INDEX($AJ$2:$AJ$1001,MATCH(ROWS($AH$2:AH59),$AH$2:$AH$1001,0),0), INDEX($AO$1004:$BQ$1004,1,MATCH(COLUMNS($AO$1006:BP1006),$AO$1006:$BQ$1006,0)))),"Fix")))</f>
        <v>#N/A</v>
      </c>
      <c r="AD59" s="5" t="e">
        <f ca="1">IF(OR(INDEX($AI$2:$AI$1001,MATCH(ROWS($AH$2:AH59),$AH$2:$AH$1001,0),1)&gt;=100000,INDEX($AO$1005:$BQ$1005,1,MATCH(COLUMNS($AO$1006:BQ1006),$AO$1006:$BQ$1006,0))&gt;=100000), " ",IF(INDEX($AO$2:$BQ$1001,MATCH(ROWS($AH$2:AH59),$AH$2:$AH$1001,0),MATCH(COLUMNS($AO$1006:BQ1006),$AO$1006:$BQ$1006,0)), HYPERLINK("#",""), HYPERLINK(CONCATENATE("#Metadata!", ADDRESS(INDEX($AJ$2:$AJ$1001,MATCH(ROWS($AH$2:AH59),$AH$2:$AH$1001,0),0), INDEX($AO$1004:$BQ$1004,1,MATCH(COLUMNS($AO$1006:BQ1006),$AO$1006:$BQ$1006,0)))),"Fix")))</f>
        <v>#REF!</v>
      </c>
      <c r="AH59">
        <f ca="1"/>
        <v>56</v>
      </c>
      <c r="AI59">
        <f ca="1"/>
        <v>59</v>
      </c>
      <c r="AJ59">
        <v>59</v>
      </c>
      <c r="AK59" t="b">
        <f t="shared" ca="1" si="0"/>
        <v>0</v>
      </c>
      <c r="AL59" t="b">
        <f>COUNTBLANK(Metadata!B59:AD59)=COLUMNS(Metadata!B59:AD59)</f>
        <v>0</v>
      </c>
      <c r="AM59" t="str">
        <v>Environment.Side.1.BTP.254Lake.water</v>
      </c>
      <c r="AO59" t="b">
        <f ca="1">AND(IF(Metadata!B58="",FALSE,TRUE),COUNTIF(Metadata!B:B, Metadata!B58) = 1,NOT(ISERROR(SUMPRODUCT(SEARCH(MID(Metadata!B58,ROW(INDIRECT("1:"&amp;LEN(Metadata!B58))), 1),"0123456789abcdefghijklmnopqrstuvwxyzABCDEFGHIJKLMNOPQRSTUVWXYZ.")))))</f>
        <v>1</v>
      </c>
      <c r="AP59" t="b">
        <f>IF(Metadata!C58="",FALSE,TRUE)</f>
        <v>1</v>
      </c>
      <c r="AQ59" t="b">
        <f>IF(Metadata!D58="",FALSE,TRUE)</f>
        <v>1</v>
      </c>
      <c r="AR59" t="b">
        <f ca="1">OR(AND(IF(Metadata!E58="",FALSE,TRUE),OR(EXACT(Metadata!E58,"not collected"),EXACT(Metadata!E58,"not provided"),EXACT(Metadata!E58,"restricted access"))),AND(IF(Metadata!E58="",FALSE,TRUE),AND(AND(IFERROR(INT(LEFT(Metadata!E58,4))&gt;1900,FALSE),IFERROR(INT(LEFT(Metadata!E58,4))&lt;=YEAR(NOW()),FALSE)), OR(MID(Metadata!E58,5,1)="", AND(AND(MID(Metadata!E58,5,1)="-",IFERROR(INT(MID(Metadata!E58,6,1))&gt;=0,FALSE),IFERROR(INT(MID(Metadata!E58,6,1))&lt;=1,FALSE),NOT(MID(Metadata!E58,7,1)=""),IFERROR(INT(MID(Metadata!E58,6,2))&gt;=1,FALSE),IFERROR(INT(MID(Metadata!E58,6,2))&lt;=12,FALSE)), OR(MID(Metadata!E58,8,1)="", AND(AND(MID(Metadata!E58,8,1)="-",IFERROR(INT(MID(Metadata!E58,9,1))&gt;=0,FALSE),IFERROR(INT(MID(Metadata!E58,9,1))&lt;=3,FALSE),NOT(MID(Metadata!E58,10,1)=""),IFERROR(INT(MID(Metadata!E58,9,2))&gt;=1,FALSE),IFERROR(INT(MID(Metadata!E58,9,2))&lt;=31,FALSE)), OR(MID(Metadata!E58,11,1)="", AND(AND(MID(Metadata!E58,11,1)=" ",IFERROR(INT(MID(Metadata!E58,12,1))&gt;=0,FALSE),IFERROR(INT(MID(Metadata!E58,12,1))&lt;=2,FALSE),NOT(MID(Metadata!E58,13,1)=""),IFERROR(INT(MID(Metadata!E58,12,2))&gt;=0,FALSE),IFERROR(INT(MID(Metadata!E58,12,2))&lt;=23,FALSE)), OR(MID(Metadata!E58,14,1)="", AND(AND(MID(Metadata!E58,14,1)=":",IFERROR(INT(MID(Metadata!E58,15,1))&gt;=0,FALSE),IFERROR(INT(MID(Metadata!E58,15,1))&lt;=5,FALSE),NOT(MID(Metadata!E58,16,1)=""),IFERROR(INT(MID(Metadata!E58,15,2))&gt;=0,FALSE),IFERROR(INT(MID(Metadata!E58,15,2))&lt;=59,FALSE)), OR(MID(Metadata!E58,17,1)="", AND(AND(MID(Metadata!E58,17,1)=":",IFERROR(INT(MID(Metadata!E58,18,1))&gt;=0,FALSE),IFERROR(INT(MID(Metadata!E58,18,1))&lt;=5,FALSE),NOT(MID(Metadata!E58,19,1)=""),IFERROR(INT(MID(Metadata!E58,18,2))&gt;=0,FALSE),IFERROR(INT(MID(Metadata!E58,18,2))&lt;=59,FALSE)), LEN(Metadata!E58)&lt;=19)))))))))))))</f>
        <v>0</v>
      </c>
      <c r="AS59" t="b">
        <f>IF(Metadata!F58="",FALSE,TRUE)</f>
        <v>1</v>
      </c>
      <c r="AT59" t="b">
        <f>OR(AND(IF(Metadata!G58="",FALSE,TRUE),OR(EXACT(Metadata!G58,"not collected"),EXACT(Metadata!G58,"not provided"))),AND(IF(Metadata!G58="",FALSE,TRUE),OR(EXACT(Metadata!G58,"TRUE"),EXACT(Metadata!G58,"FALSE"))))</f>
        <v>1</v>
      </c>
      <c r="AU59" t="b">
        <f>OR(AND(IF(Metadata!H58="",FALSE,TRUE),OR(EXACT(Metadata!H58,"not collected"),EXACT(Metadata!H58,"not provided"),EXACT(Metadata!H58,"restricted access"))),AND(IF(Metadata!H58="",FALSE,ISNUMBER(VALUE(Metadata!H58))),Metadata!H58&gt;=-413))</f>
        <v>0</v>
      </c>
      <c r="AV59" t="b">
        <f>AND(IF(Metadata!I58="",FALSE,TRUE),EXACT(Metadata!I58,"meters"))</f>
        <v>1</v>
      </c>
      <c r="AW59" t="b">
        <f>AND(IF(Metadata!J58="",FALSE,TRUE),EXACT(Metadata!J58,"free-living"))</f>
        <v>1</v>
      </c>
      <c r="AX59" t="b">
        <f>AND(IF(Metadata!K58="",FALSE,TRUE),OR(EXACT(Metadata!K58,"saline"),EXACT(Metadata!K58,"non-saline")))</f>
        <v>1</v>
      </c>
      <c r="AY59" t="b">
        <f>AND(IF(Metadata!L58="",FALSE,TRUE),OR(EXACT(Metadata!L58,"sub-surface (non-saline)"),EXACT(Metadata!L58,"surface (non-saline)"),EXACT(Metadata!L58,"water (non-saline)"),EXACT(Metadata!L58,"soil (non-saline)"),EXACT(Metadata!L58,"aerosol (non-saline)"),EXACT(Metadata!L58,"sediment (non-saline)"),EXACT(Metadata!L58,"surface (saline)"),EXACT(Metadata!L58,"water (saline)"),EXACT(Metadata!L58,"hypersaline (saline)"),EXACT(Metadata!L58,"aerosol (saline)"),EXACT(Metadata!L58,"sediment (saline)")))</f>
        <v>1</v>
      </c>
      <c r="AZ59" t="b">
        <f>IF(Metadata!M58="",FALSE,TRUE)</f>
        <v>1</v>
      </c>
      <c r="BA59" t="b">
        <f>IF(Metadata!N58="",FALSE,TRUE)</f>
        <v>1</v>
      </c>
      <c r="BB59" t="b">
        <f>IF(Metadata!O58="",FALSE,TRUE)</f>
        <v>1</v>
      </c>
      <c r="BC59" t="b">
        <f>AND(IF(Metadata!P58="",FALSE,TRUE),OR(EXACT(Metadata!P58,"air"),EXACT(Metadata!P58,"microbial mat/biofilm"),EXACT(Metadata!P58,"misc environment"),EXACT(Metadata!P58,"sediment"),EXACT(Metadata!P58,"soil"),EXACT(Metadata!P58,"wastewater/sludge"),EXACT(Metadata!P58,"water")))</f>
        <v>1</v>
      </c>
      <c r="BD59" t="b">
        <f>IF(Metadata!Q58="",FALSE,TRUE)</f>
        <v>1</v>
      </c>
      <c r="BE59" t="b">
        <f>IF(Metadata!R58="",FALSE,TRUE)</f>
        <v>1</v>
      </c>
      <c r="BF59" t="b">
        <f>OR(AND(IF(Metadata!S58="",FALSE,TRUE),OR(EXACT(Metadata!S58,"not collected"),EXACT(Metadata!S58,"not provided"),EXACT(Metadata!S58,"restricted access"))),AND(IF(Metadata!S58="",FALSE,ISNUMBER(VALUE(Metadata!S58))),Metadata!S58&gt;=-90,Metadata!S58&lt;=90))</f>
        <v>0</v>
      </c>
      <c r="BG59" t="b">
        <f>AND(IF(Metadata!T58="",FALSE,TRUE),EXACT(Metadata!T58,"Decimal degrees"))</f>
        <v>1</v>
      </c>
      <c r="BH59" t="b">
        <f>OR(AND(IF(Metadata!U58="",FALSE,TRUE),OR(EXACT(Metadata!U58,"not applicable"),EXACT(Metadata!U58,"not collected"))),IF(Metadata!U58="",FALSE,TRUE))</f>
        <v>1</v>
      </c>
      <c r="BI59" t="b">
        <f>OR(AND(IF(Metadata!V58="",FALSE,TRUE),OR(EXACT(Metadata!V58,"not collected"),EXACT(Metadata!V58,"not provided"),EXACT(Metadata!V58,"restricted access"))),AND(IF(Metadata!V58="",FALSE,ISNUMBER(VALUE(Metadata!V58))),Metadata!V58&gt;=-180,Metadata!V58&lt;=180))</f>
        <v>0</v>
      </c>
      <c r="BJ59" t="b">
        <f>AND(IF(Metadata!W58="",FALSE,TRUE),EXACT(Metadata!W58,"Decimal degrees"))</f>
        <v>1</v>
      </c>
      <c r="BK59" t="b">
        <f>IF(Metadata!X58="",FALSE,TRUE)</f>
        <v>1</v>
      </c>
      <c r="BL59" t="b">
        <f>OR(AND(IF(Metadata!Y58="",FALSE,TRUE),OR(EXACT(Metadata!Y58,"not collected"),EXACT(Metadata!Y58,"not provided"),EXACT(Metadata!Y58,"restricted access"))),AND(IF(Metadata!Y58="",FALSE,TRUE),OR(EXACT(Metadata!Y58,"TRUE"),EXACT(Metadata!Y58,"FALSE"))))</f>
        <v>1</v>
      </c>
      <c r="BM59" t="b">
        <f>OR(AND(IF(Metadata!Z58="",FALSE,TRUE),EXACT(Metadata!Z58,"not applicable")),AND(IF(Metadata!Z58="",FALSE,TRUE),OR(EXACT(Metadata!Z58,"beer"),EXACT(Metadata!Z58,"cheese"),EXACT(Metadata!Z58,"fresh water"),EXACT(Metadata!Z58,"marine sediment"),EXACT(Metadata!Z58,"sea water"),EXACT(Metadata!Z58,"sediment"),EXACT(Metadata!Z58,"soil"),EXACT(Metadata!Z58,"waste water"))))</f>
        <v>1</v>
      </c>
      <c r="BN59" t="b">
        <f>AND(IF(Metadata!AA58="",FALSE,TRUE),EXACT(Metadata!AA58,"metagenome"))</f>
        <v>1</v>
      </c>
      <c r="BO59" t="b">
        <f>AND(IF(Metadata!AB58="",FALSE,TRUE),EXACT(Metadata!AB58,"256318"))</f>
        <v>1</v>
      </c>
      <c r="BP59" t="b">
        <f>IF(Metadata!AC58="",FALSE,TRUE)</f>
        <v>1</v>
      </c>
      <c r="BQ59" t="b">
        <f>IF(Metadata!AD58="",FALSE,TRUE)</f>
        <v>1</v>
      </c>
    </row>
    <row r="60" spans="1:69" x14ac:dyDescent="0.2">
      <c r="A60" s="4" t="e">
        <f ca="1">IF(B60=" "," ",HYPERLINK(CONCATENATE("#metadata!",ADDRESS(INDEX($AJ$2:$AJ$1001,MATCH(ROWS($AH$2:AH60),$AH$2:$AH$1001,0),0),2)),INDEX($AM$2:$AM$1001,MATCH(ROWS($AH$2:AH60),$AH$2:$AH$1001,0),0)))</f>
        <v>#N/A</v>
      </c>
      <c r="B60" s="5" t="e">
        <f ca="1">IF(OR(INDEX($AI$2:$AI$1001,MATCH(ROWS($AH$2:AH60),$AH$2:$AH$1001,0),1)&gt;=100000,INDEX($AO$1005:$BQ$1005,1,MATCH(COLUMNS($AO$1006:AO1006),$AO$1006:$BQ$1006,0))&gt;=100000), " ",IF(INDEX($AO$2:$BQ$1001,MATCH(ROWS($AH$2:AH60),$AH$2:$AH$1001,0),MATCH(COLUMNS($AO$1006:AO1006),$AO$1006:$BQ$1006,0)), HYPERLINK("#",""), HYPERLINK(CONCATENATE("#Metadata!", ADDRESS(INDEX($AJ$2:$AJ$1001,MATCH(ROWS($AH$2:AH60),$AH$2:$AH$1001,0),0), INDEX($AO$1004:$BQ$1004,1,MATCH(COLUMNS($AO$1006:AO1006),$AO$1006:$BQ$1006,0)))),"Fix")))</f>
        <v>#N/A</v>
      </c>
      <c r="C60" s="5" t="e">
        <f ca="1">IF(OR(INDEX($AI$2:$AI$1001,MATCH(ROWS($AH$2:AH60),$AH$2:$AH$1001,0),1)&gt;=100000,INDEX($AO$1005:$BQ$1005,1,MATCH(COLUMNS($AO$1006:AP1006),$AO$1006:$BQ$1006,0))&gt;=100000), " ",IF(INDEX($AO$2:$BQ$1001,MATCH(ROWS($AH$2:AH60),$AH$2:$AH$1001,0),MATCH(COLUMNS($AO$1006:AP1006),$AO$1006:$BQ$1006,0)), HYPERLINK("#",""), HYPERLINK(CONCATENATE("#Metadata!", ADDRESS(INDEX($AJ$2:$AJ$1001,MATCH(ROWS($AH$2:AH60),$AH$2:$AH$1001,0),0), INDEX($AO$1004:$BQ$1004,1,MATCH(COLUMNS($AO$1006:AP1006),$AO$1006:$BQ$1006,0)))),"Fix")))</f>
        <v>#N/A</v>
      </c>
      <c r="D60" s="5" t="e">
        <f ca="1">IF(OR(INDEX($AI$2:$AI$1001,MATCH(ROWS($AH$2:AH60),$AH$2:$AH$1001,0),1)&gt;=100000,INDEX($AO$1005:$BQ$1005,1,MATCH(COLUMNS($AO$1006:AQ1006),$AO$1006:$BQ$1006,0))&gt;=100000), " ",IF(INDEX($AO$2:$BQ$1001,MATCH(ROWS($AH$2:AH60),$AH$2:$AH$1001,0),MATCH(COLUMNS($AO$1006:AQ1006),$AO$1006:$BQ$1006,0)), HYPERLINK("#",""), HYPERLINK(CONCATENATE("#Metadata!", ADDRESS(INDEX($AJ$2:$AJ$1001,MATCH(ROWS($AH$2:AH60),$AH$2:$AH$1001,0),0), INDEX($AO$1004:$BQ$1004,1,MATCH(COLUMNS($AO$1006:AQ1006),$AO$1006:$BQ$1006,0)))),"Fix")))</f>
        <v>#N/A</v>
      </c>
      <c r="E60" s="5" t="e">
        <f ca="1">IF(OR(INDEX($AI$2:$AI$1001,MATCH(ROWS($AH$2:AH60),$AH$2:$AH$1001,0),1)&gt;=100000,INDEX($AO$1005:$BQ$1005,1,MATCH(COLUMNS($AO$1006:AR1006),$AO$1006:$BQ$1006,0))&gt;=100000), " ",IF(INDEX($AO$2:$BQ$1001,MATCH(ROWS($AH$2:AH60),$AH$2:$AH$1001,0),MATCH(COLUMNS($AO$1006:AR1006),$AO$1006:$BQ$1006,0)), HYPERLINK("#",""), HYPERLINK(CONCATENATE("#Metadata!", ADDRESS(INDEX($AJ$2:$AJ$1001,MATCH(ROWS($AH$2:AH60),$AH$2:$AH$1001,0),0), INDEX($AO$1004:$BQ$1004,1,MATCH(COLUMNS($AO$1006:AR1006),$AO$1006:$BQ$1006,0)))),"Fix")))</f>
        <v>#N/A</v>
      </c>
      <c r="F60" s="5" t="e">
        <f ca="1">IF(OR(INDEX($AI$2:$AI$1001,MATCH(ROWS($AH$2:AH60),$AH$2:$AH$1001,0),1)&gt;=100000,INDEX($AO$1005:$BQ$1005,1,MATCH(COLUMNS($AO$1006:AS1006),$AO$1006:$BQ$1006,0))&gt;=100000), " ",IF(INDEX($AO$2:$BQ$1001,MATCH(ROWS($AH$2:AH60),$AH$2:$AH$1001,0),MATCH(COLUMNS($AO$1006:AS1006),$AO$1006:$BQ$1006,0)), HYPERLINK("#",""), HYPERLINK(CONCATENATE("#Metadata!", ADDRESS(INDEX($AJ$2:$AJ$1001,MATCH(ROWS($AH$2:AH60),$AH$2:$AH$1001,0),0), INDEX($AO$1004:$BQ$1004,1,MATCH(COLUMNS($AO$1006:AS1006),$AO$1006:$BQ$1006,0)))),"Fix")))</f>
        <v>#N/A</v>
      </c>
      <c r="G60" s="5" t="e">
        <f ca="1">IF(OR(INDEX($AI$2:$AI$1001,MATCH(ROWS($AH$2:AH60),$AH$2:$AH$1001,0),1)&gt;=100000,INDEX($AO$1005:$BQ$1005,1,MATCH(COLUMNS($AO$1006:AT1006),$AO$1006:$BQ$1006,0))&gt;=100000), " ",IF(INDEX($AO$2:$BQ$1001,MATCH(ROWS($AH$2:AH60),$AH$2:$AH$1001,0),MATCH(COLUMNS($AO$1006:AT1006),$AO$1006:$BQ$1006,0)), HYPERLINK("#",""), HYPERLINK(CONCATENATE("#Metadata!", ADDRESS(INDEX($AJ$2:$AJ$1001,MATCH(ROWS($AH$2:AH60),$AH$2:$AH$1001,0),0), INDEX($AO$1004:$BQ$1004,1,MATCH(COLUMNS($AO$1006:AT1006),$AO$1006:$BQ$1006,0)))),"Fix")))</f>
        <v>#N/A</v>
      </c>
      <c r="H60" s="5" t="e">
        <f ca="1">IF(OR(INDEX($AI$2:$AI$1001,MATCH(ROWS($AH$2:AH60),$AH$2:$AH$1001,0),1)&gt;=100000,INDEX($AO$1005:$BQ$1005,1,MATCH(COLUMNS($AO$1006:AU1006),$AO$1006:$BQ$1006,0))&gt;=100000), " ",IF(INDEX($AO$2:$BQ$1001,MATCH(ROWS($AH$2:AH60),$AH$2:$AH$1001,0),MATCH(COLUMNS($AO$1006:AU1006),$AO$1006:$BQ$1006,0)), HYPERLINK("#",""), HYPERLINK(CONCATENATE("#Metadata!", ADDRESS(INDEX($AJ$2:$AJ$1001,MATCH(ROWS($AH$2:AH60),$AH$2:$AH$1001,0),0), INDEX($AO$1004:$BQ$1004,1,MATCH(COLUMNS($AO$1006:AU1006),$AO$1006:$BQ$1006,0)))),"Fix")))</f>
        <v>#N/A</v>
      </c>
      <c r="I60" s="5" t="e">
        <f ca="1">IF(OR(INDEX($AI$2:$AI$1001,MATCH(ROWS($AH$2:AH60),$AH$2:$AH$1001,0),1)&gt;=100000,INDEX($AO$1005:$BQ$1005,1,MATCH(COLUMNS($AO$1006:AV1006),$AO$1006:$BQ$1006,0))&gt;=100000), " ",IF(INDEX($AO$2:$BQ$1001,MATCH(ROWS($AH$2:AH60),$AH$2:$AH$1001,0),MATCH(COLUMNS($AO$1006:AV1006),$AO$1006:$BQ$1006,0)), HYPERLINK("#",""), HYPERLINK(CONCATENATE("#Metadata!", ADDRESS(INDEX($AJ$2:$AJ$1001,MATCH(ROWS($AH$2:AH60),$AH$2:$AH$1001,0),0), INDEX($AO$1004:$BQ$1004,1,MATCH(COLUMNS($AO$1006:AV1006),$AO$1006:$BQ$1006,0)))),"Fix")))</f>
        <v>#N/A</v>
      </c>
      <c r="J60" s="5" t="e">
        <f ca="1">IF(OR(INDEX($AI$2:$AI$1001,MATCH(ROWS($AH$2:AH60),$AH$2:$AH$1001,0),1)&gt;=100000,INDEX($AO$1005:$BQ$1005,1,MATCH(COLUMNS($AO$1006:AW1006),$AO$1006:$BQ$1006,0))&gt;=100000), " ",IF(INDEX($AO$2:$BQ$1001,MATCH(ROWS($AH$2:AH60),$AH$2:$AH$1001,0),MATCH(COLUMNS($AO$1006:AW1006),$AO$1006:$BQ$1006,0)), HYPERLINK("#",""), HYPERLINK(CONCATENATE("#Metadata!", ADDRESS(INDEX($AJ$2:$AJ$1001,MATCH(ROWS($AH$2:AH60),$AH$2:$AH$1001,0),0), INDEX($AO$1004:$BQ$1004,1,MATCH(COLUMNS($AO$1006:AW1006),$AO$1006:$BQ$1006,0)))),"Fix")))</f>
        <v>#N/A</v>
      </c>
      <c r="K60" s="5" t="e">
        <f ca="1">IF(OR(INDEX($AI$2:$AI$1001,MATCH(ROWS($AH$2:AH60),$AH$2:$AH$1001,0),1)&gt;=100000,INDEX($AO$1005:$BQ$1005,1,MATCH(COLUMNS($AO$1006:AX1006),$AO$1006:$BQ$1006,0))&gt;=100000), " ",IF(INDEX($AO$2:$BQ$1001,MATCH(ROWS($AH$2:AH60),$AH$2:$AH$1001,0),MATCH(COLUMNS($AO$1006:AX1006),$AO$1006:$BQ$1006,0)), HYPERLINK("#",""), HYPERLINK(CONCATENATE("#Metadata!", ADDRESS(INDEX($AJ$2:$AJ$1001,MATCH(ROWS($AH$2:AH60),$AH$2:$AH$1001,0),0), INDEX($AO$1004:$BQ$1004,1,MATCH(COLUMNS($AO$1006:AX1006),$AO$1006:$BQ$1006,0)))),"Fix")))</f>
        <v>#N/A</v>
      </c>
      <c r="L60" s="5" t="e">
        <f ca="1">IF(OR(INDEX($AI$2:$AI$1001,MATCH(ROWS($AH$2:AH60),$AH$2:$AH$1001,0),1)&gt;=100000,INDEX($AO$1005:$BQ$1005,1,MATCH(COLUMNS($AO$1006:AY1006),$AO$1006:$BQ$1006,0))&gt;=100000), " ",IF(INDEX($AO$2:$BQ$1001,MATCH(ROWS($AH$2:AH60),$AH$2:$AH$1001,0),MATCH(COLUMNS($AO$1006:AY1006),$AO$1006:$BQ$1006,0)), HYPERLINK("#",""), HYPERLINK(CONCATENATE("#Metadata!", ADDRESS(INDEX($AJ$2:$AJ$1001,MATCH(ROWS($AH$2:AH60),$AH$2:$AH$1001,0),0), INDEX($AO$1004:$BQ$1004,1,MATCH(COLUMNS($AO$1006:AY1006),$AO$1006:$BQ$1006,0)))),"Fix")))</f>
        <v>#N/A</v>
      </c>
      <c r="M60" s="5" t="e">
        <f ca="1">IF(OR(INDEX($AI$2:$AI$1001,MATCH(ROWS($AH$2:AH60),$AH$2:$AH$1001,0),1)&gt;=100000,INDEX($AO$1005:$BQ$1005,1,MATCH(COLUMNS($AO$1006:AZ1006),$AO$1006:$BQ$1006,0))&gt;=100000), " ",IF(INDEX($AO$2:$BQ$1001,MATCH(ROWS($AH$2:AH60),$AH$2:$AH$1001,0),MATCH(COLUMNS($AO$1006:AZ1006),$AO$1006:$BQ$1006,0)), HYPERLINK("#",""), HYPERLINK(CONCATENATE("#Metadata!", ADDRESS(INDEX($AJ$2:$AJ$1001,MATCH(ROWS($AH$2:AH60),$AH$2:$AH$1001,0),0), INDEX($AO$1004:$BQ$1004,1,MATCH(COLUMNS($AO$1006:AZ1006),$AO$1006:$BQ$1006,0)))),"Fix")))</f>
        <v>#N/A</v>
      </c>
      <c r="N60" s="5" t="e">
        <f ca="1">IF(OR(INDEX($AI$2:$AI$1001,MATCH(ROWS($AH$2:AH60),$AH$2:$AH$1001,0),1)&gt;=100000,INDEX($AO$1005:$BQ$1005,1,MATCH(COLUMNS($AO$1006:BA1006),$AO$1006:$BQ$1006,0))&gt;=100000), " ",IF(INDEX($AO$2:$BQ$1001,MATCH(ROWS($AH$2:AH60),$AH$2:$AH$1001,0),MATCH(COLUMNS($AO$1006:BA1006),$AO$1006:$BQ$1006,0)), HYPERLINK("#",""), HYPERLINK(CONCATENATE("#Metadata!", ADDRESS(INDEX($AJ$2:$AJ$1001,MATCH(ROWS($AH$2:AH60),$AH$2:$AH$1001,0),0), INDEX($AO$1004:$BQ$1004,1,MATCH(COLUMNS($AO$1006:BA1006),$AO$1006:$BQ$1006,0)))),"Fix")))</f>
        <v>#N/A</v>
      </c>
      <c r="O60" s="5" t="e">
        <f ca="1">IF(OR(INDEX($AI$2:$AI$1001,MATCH(ROWS($AH$2:AH60),$AH$2:$AH$1001,0),1)&gt;=100000,INDEX($AO$1005:$BQ$1005,1,MATCH(COLUMNS($AO$1006:BB1006),$AO$1006:$BQ$1006,0))&gt;=100000), " ",IF(INDEX($AO$2:$BQ$1001,MATCH(ROWS($AH$2:AH60),$AH$2:$AH$1001,0),MATCH(COLUMNS($AO$1006:BB1006),$AO$1006:$BQ$1006,0)), HYPERLINK("#",""), HYPERLINK(CONCATENATE("#Metadata!", ADDRESS(INDEX($AJ$2:$AJ$1001,MATCH(ROWS($AH$2:AH60),$AH$2:$AH$1001,0),0), INDEX($AO$1004:$BQ$1004,1,MATCH(COLUMNS($AO$1006:BB1006),$AO$1006:$BQ$1006,0)))),"Fix")))</f>
        <v>#N/A</v>
      </c>
      <c r="P60" s="5" t="e">
        <f ca="1">IF(OR(INDEX($AI$2:$AI$1001,MATCH(ROWS($AH$2:AH60),$AH$2:$AH$1001,0),1)&gt;=100000,INDEX($AO$1005:$BQ$1005,1,MATCH(COLUMNS($AO$1006:BC1006),$AO$1006:$BQ$1006,0))&gt;=100000), " ",IF(INDEX($AO$2:$BQ$1001,MATCH(ROWS($AH$2:AH60),$AH$2:$AH$1001,0),MATCH(COLUMNS($AO$1006:BC1006),$AO$1006:$BQ$1006,0)), HYPERLINK("#",""), HYPERLINK(CONCATENATE("#Metadata!", ADDRESS(INDEX($AJ$2:$AJ$1001,MATCH(ROWS($AH$2:AH60),$AH$2:$AH$1001,0),0), INDEX($AO$1004:$BQ$1004,1,MATCH(COLUMNS($AO$1006:BC1006),$AO$1006:$BQ$1006,0)))),"Fix")))</f>
        <v>#N/A</v>
      </c>
      <c r="Q60" s="5" t="e">
        <f ca="1">IF(OR(INDEX($AI$2:$AI$1001,MATCH(ROWS($AH$2:AH60),$AH$2:$AH$1001,0),1)&gt;=100000,INDEX($AO$1005:$BQ$1005,1,MATCH(COLUMNS($AO$1006:BD1006),$AO$1006:$BQ$1006,0))&gt;=100000), " ",IF(INDEX($AO$2:$BQ$1001,MATCH(ROWS($AH$2:AH60),$AH$2:$AH$1001,0),MATCH(COLUMNS($AO$1006:BD1006),$AO$1006:$BQ$1006,0)), HYPERLINK("#",""), HYPERLINK(CONCATENATE("#Metadata!", ADDRESS(INDEX($AJ$2:$AJ$1001,MATCH(ROWS($AH$2:AH60),$AH$2:$AH$1001,0),0), INDEX($AO$1004:$BQ$1004,1,MATCH(COLUMNS($AO$1006:BD1006),$AO$1006:$BQ$1006,0)))),"Fix")))</f>
        <v>#N/A</v>
      </c>
      <c r="R60" s="5" t="e">
        <f ca="1">IF(OR(INDEX($AI$2:$AI$1001,MATCH(ROWS($AH$2:AH60),$AH$2:$AH$1001,0),1)&gt;=100000,INDEX($AO$1005:$BQ$1005,1,MATCH(COLUMNS($AO$1006:BE1006),$AO$1006:$BQ$1006,0))&gt;=100000), " ",IF(INDEX($AO$2:$BQ$1001,MATCH(ROWS($AH$2:AH60),$AH$2:$AH$1001,0),MATCH(COLUMNS($AO$1006:BE1006),$AO$1006:$BQ$1006,0)), HYPERLINK("#",""), HYPERLINK(CONCATENATE("#Metadata!", ADDRESS(INDEX($AJ$2:$AJ$1001,MATCH(ROWS($AH$2:AH60),$AH$2:$AH$1001,0),0), INDEX($AO$1004:$BQ$1004,1,MATCH(COLUMNS($AO$1006:BE1006),$AO$1006:$BQ$1006,0)))),"Fix")))</f>
        <v>#N/A</v>
      </c>
      <c r="S60" s="5" t="e">
        <f ca="1">IF(OR(INDEX($AI$2:$AI$1001,MATCH(ROWS($AH$2:AH60),$AH$2:$AH$1001,0),1)&gt;=100000,INDEX($AO$1005:$BQ$1005,1,MATCH(COLUMNS($AO$1006:BF1006),$AO$1006:$BQ$1006,0))&gt;=100000), " ",IF(INDEX($AO$2:$BQ$1001,MATCH(ROWS($AH$2:AH60),$AH$2:$AH$1001,0),MATCH(COLUMNS($AO$1006:BF1006),$AO$1006:$BQ$1006,0)), HYPERLINK("#",""), HYPERLINK(CONCATENATE("#Metadata!", ADDRESS(INDEX($AJ$2:$AJ$1001,MATCH(ROWS($AH$2:AH60),$AH$2:$AH$1001,0),0), INDEX($AO$1004:$BQ$1004,1,MATCH(COLUMNS($AO$1006:BF1006),$AO$1006:$BQ$1006,0)))),"Fix")))</f>
        <v>#N/A</v>
      </c>
      <c r="T60" s="5" t="e">
        <f ca="1">IF(OR(INDEX($AI$2:$AI$1001,MATCH(ROWS($AH$2:AH60),$AH$2:$AH$1001,0),1)&gt;=100000,INDEX($AO$1005:$BQ$1005,1,MATCH(COLUMNS($AO$1006:BG1006),$AO$1006:$BQ$1006,0))&gt;=100000), " ",IF(INDEX($AO$2:$BQ$1001,MATCH(ROWS($AH$2:AH60),$AH$2:$AH$1001,0),MATCH(COLUMNS($AO$1006:BG1006),$AO$1006:$BQ$1006,0)), HYPERLINK("#",""), HYPERLINK(CONCATENATE("#Metadata!", ADDRESS(INDEX($AJ$2:$AJ$1001,MATCH(ROWS($AH$2:AH60),$AH$2:$AH$1001,0),0), INDEX($AO$1004:$BQ$1004,1,MATCH(COLUMNS($AO$1006:BG1006),$AO$1006:$BQ$1006,0)))),"Fix")))</f>
        <v>#N/A</v>
      </c>
      <c r="U60" s="5" t="e">
        <f ca="1">IF(OR(INDEX($AI$2:$AI$1001,MATCH(ROWS($AH$2:AH60),$AH$2:$AH$1001,0),1)&gt;=100000,INDEX($AO$1005:$BQ$1005,1,MATCH(COLUMNS($AO$1006:BH1006),$AO$1006:$BQ$1006,0))&gt;=100000), " ",IF(INDEX($AO$2:$BQ$1001,MATCH(ROWS($AH$2:AH60),$AH$2:$AH$1001,0),MATCH(COLUMNS($AO$1006:BH1006),$AO$1006:$BQ$1006,0)), HYPERLINK("#",""), HYPERLINK(CONCATENATE("#Metadata!", ADDRESS(INDEX($AJ$2:$AJ$1001,MATCH(ROWS($AH$2:AH60),$AH$2:$AH$1001,0),0), INDEX($AO$1004:$BQ$1004,1,MATCH(COLUMNS($AO$1006:BH1006),$AO$1006:$BQ$1006,0)))),"Fix")))</f>
        <v>#N/A</v>
      </c>
      <c r="V60" s="5" t="e">
        <f ca="1">IF(OR(INDEX($AI$2:$AI$1001,MATCH(ROWS($AH$2:AH60),$AH$2:$AH$1001,0),1)&gt;=100000,INDEX($AO$1005:$BQ$1005,1,MATCH(COLUMNS($AO$1006:BI1006),$AO$1006:$BQ$1006,0))&gt;=100000), " ",IF(INDEX($AO$2:$BQ$1001,MATCH(ROWS($AH$2:AH60),$AH$2:$AH$1001,0),MATCH(COLUMNS($AO$1006:BI1006),$AO$1006:$BQ$1006,0)), HYPERLINK("#",""), HYPERLINK(CONCATENATE("#Metadata!", ADDRESS(INDEX($AJ$2:$AJ$1001,MATCH(ROWS($AH$2:AH60),$AH$2:$AH$1001,0),0), INDEX($AO$1004:$BQ$1004,1,MATCH(COLUMNS($AO$1006:BI1006),$AO$1006:$BQ$1006,0)))),"Fix")))</f>
        <v>#N/A</v>
      </c>
      <c r="W60" s="5" t="e">
        <f ca="1">IF(OR(INDEX($AI$2:$AI$1001,MATCH(ROWS($AH$2:AH60),$AH$2:$AH$1001,0),1)&gt;=100000,INDEX($AO$1005:$BQ$1005,1,MATCH(COLUMNS($AO$1006:BJ1006),$AO$1006:$BQ$1006,0))&gt;=100000), " ",IF(INDEX($AO$2:$BQ$1001,MATCH(ROWS($AH$2:AH60),$AH$2:$AH$1001,0),MATCH(COLUMNS($AO$1006:BJ1006),$AO$1006:$BQ$1006,0)), HYPERLINK("#",""), HYPERLINK(CONCATENATE("#Metadata!", ADDRESS(INDEX($AJ$2:$AJ$1001,MATCH(ROWS($AH$2:AH60),$AH$2:$AH$1001,0),0), INDEX($AO$1004:$BQ$1004,1,MATCH(COLUMNS($AO$1006:BJ1006),$AO$1006:$BQ$1006,0)))),"Fix")))</f>
        <v>#N/A</v>
      </c>
      <c r="X60" s="5" t="e">
        <f ca="1">IF(OR(INDEX($AI$2:$AI$1001,MATCH(ROWS($AH$2:AH60),$AH$2:$AH$1001,0),1)&gt;=100000,INDEX($AO$1005:$BQ$1005,1,MATCH(COLUMNS($AO$1006:BK1006),$AO$1006:$BQ$1006,0))&gt;=100000), " ",IF(INDEX($AO$2:$BQ$1001,MATCH(ROWS($AH$2:AH60),$AH$2:$AH$1001,0),MATCH(COLUMNS($AO$1006:BK1006),$AO$1006:$BQ$1006,0)), HYPERLINK("#",""), HYPERLINK(CONCATENATE("#Metadata!", ADDRESS(INDEX($AJ$2:$AJ$1001,MATCH(ROWS($AH$2:AH60),$AH$2:$AH$1001,0),0), INDEX($AO$1004:$BQ$1004,1,MATCH(COLUMNS($AO$1006:BK1006),$AO$1006:$BQ$1006,0)))),"Fix")))</f>
        <v>#N/A</v>
      </c>
      <c r="Y60" s="5" t="e">
        <f ca="1">IF(OR(INDEX($AI$2:$AI$1001,MATCH(ROWS($AH$2:AH60),$AH$2:$AH$1001,0),1)&gt;=100000,INDEX($AO$1005:$BQ$1005,1,MATCH(COLUMNS($AO$1006:BL1006),$AO$1006:$BQ$1006,0))&gt;=100000), " ",IF(INDEX($AO$2:$BQ$1001,MATCH(ROWS($AH$2:AH60),$AH$2:$AH$1001,0),MATCH(COLUMNS($AO$1006:BL1006),$AO$1006:$BQ$1006,0)), HYPERLINK("#",""), HYPERLINK(CONCATENATE("#Metadata!", ADDRESS(INDEX($AJ$2:$AJ$1001,MATCH(ROWS($AH$2:AH60),$AH$2:$AH$1001,0),0), INDEX($AO$1004:$BQ$1004,1,MATCH(COLUMNS($AO$1006:BL1006),$AO$1006:$BQ$1006,0)))),"Fix")))</f>
        <v>#N/A</v>
      </c>
      <c r="Z60" s="5" t="e">
        <f ca="1">IF(OR(INDEX($AI$2:$AI$1001,MATCH(ROWS($AH$2:AH60),$AH$2:$AH$1001,0),1)&gt;=100000,INDEX($AO$1005:$BQ$1005,1,MATCH(COLUMNS($AO$1006:BM1006),$AO$1006:$BQ$1006,0))&gt;=100000), " ",IF(INDEX($AO$2:$BQ$1001,MATCH(ROWS($AH$2:AH60),$AH$2:$AH$1001,0),MATCH(COLUMNS($AO$1006:BM1006),$AO$1006:$BQ$1006,0)), HYPERLINK("#",""), HYPERLINK(CONCATENATE("#Metadata!", ADDRESS(INDEX($AJ$2:$AJ$1001,MATCH(ROWS($AH$2:AH60),$AH$2:$AH$1001,0),0), INDEX($AO$1004:$BQ$1004,1,MATCH(COLUMNS($AO$1006:BM1006),$AO$1006:$BQ$1006,0)))),"Fix")))</f>
        <v>#N/A</v>
      </c>
      <c r="AA60" s="5" t="e">
        <f ca="1">IF(OR(INDEX($AI$2:$AI$1001,MATCH(ROWS($AH$2:AH60),$AH$2:$AH$1001,0),1)&gt;=100000,INDEX($AO$1005:$BQ$1005,1,MATCH(COLUMNS($AO$1006:BN1006),$AO$1006:$BQ$1006,0))&gt;=100000), " ",IF(INDEX($AO$2:$BQ$1001,MATCH(ROWS($AH$2:AH60),$AH$2:$AH$1001,0),MATCH(COLUMNS($AO$1006:BN1006),$AO$1006:$BQ$1006,0)), HYPERLINK("#",""), HYPERLINK(CONCATENATE("#Metadata!", ADDRESS(INDEX($AJ$2:$AJ$1001,MATCH(ROWS($AH$2:AH60),$AH$2:$AH$1001,0),0), INDEX($AO$1004:$BQ$1004,1,MATCH(COLUMNS($AO$1006:BN1006),$AO$1006:$BQ$1006,0)))),"Fix")))</f>
        <v>#N/A</v>
      </c>
      <c r="AB60" s="5" t="e">
        <f ca="1">IF(OR(INDEX($AI$2:$AI$1001,MATCH(ROWS($AH$2:AH60),$AH$2:$AH$1001,0),1)&gt;=100000,INDEX($AO$1005:$BQ$1005,1,MATCH(COLUMNS($AO$1006:BO1006),$AO$1006:$BQ$1006,0))&gt;=100000), " ",IF(INDEX($AO$2:$BQ$1001,MATCH(ROWS($AH$2:AH60),$AH$2:$AH$1001,0),MATCH(COLUMNS($AO$1006:BO1006),$AO$1006:$BQ$1006,0)), HYPERLINK("#",""), HYPERLINK(CONCATENATE("#Metadata!", ADDRESS(INDEX($AJ$2:$AJ$1001,MATCH(ROWS($AH$2:AH60),$AH$2:$AH$1001,0),0), INDEX($AO$1004:$BQ$1004,1,MATCH(COLUMNS($AO$1006:BO1006),$AO$1006:$BQ$1006,0)))),"Fix")))</f>
        <v>#N/A</v>
      </c>
      <c r="AC60" s="5" t="e">
        <f ca="1">IF(OR(INDEX($AI$2:$AI$1001,MATCH(ROWS($AH$2:AH60),$AH$2:$AH$1001,0),1)&gt;=100000,INDEX($AO$1005:$BQ$1005,1,MATCH(COLUMNS($AO$1006:BP1006),$AO$1006:$BQ$1006,0))&gt;=100000), " ",IF(INDEX($AO$2:$BQ$1001,MATCH(ROWS($AH$2:AH60),$AH$2:$AH$1001,0),MATCH(COLUMNS($AO$1006:BP1006),$AO$1006:$BQ$1006,0)), HYPERLINK("#",""), HYPERLINK(CONCATENATE("#Metadata!", ADDRESS(INDEX($AJ$2:$AJ$1001,MATCH(ROWS($AH$2:AH60),$AH$2:$AH$1001,0),0), INDEX($AO$1004:$BQ$1004,1,MATCH(COLUMNS($AO$1006:BP1006),$AO$1006:$BQ$1006,0)))),"Fix")))</f>
        <v>#N/A</v>
      </c>
      <c r="AD60" s="5" t="e">
        <f ca="1">IF(OR(INDEX($AI$2:$AI$1001,MATCH(ROWS($AH$2:AH60),$AH$2:$AH$1001,0),1)&gt;=100000,INDEX($AO$1005:$BQ$1005,1,MATCH(COLUMNS($AO$1006:BQ1006),$AO$1006:$BQ$1006,0))&gt;=100000), " ",IF(INDEX($AO$2:$BQ$1001,MATCH(ROWS($AH$2:AH60),$AH$2:$AH$1001,0),MATCH(COLUMNS($AO$1006:BQ1006),$AO$1006:$BQ$1006,0)), HYPERLINK("#",""), HYPERLINK(CONCATENATE("#Metadata!", ADDRESS(INDEX($AJ$2:$AJ$1001,MATCH(ROWS($AH$2:AH60),$AH$2:$AH$1001,0),0), INDEX($AO$1004:$BQ$1004,1,MATCH(COLUMNS($AO$1006:BQ1006),$AO$1006:$BQ$1006,0)))),"Fix")))</f>
        <v>#REF!</v>
      </c>
      <c r="AH60">
        <f ca="1"/>
        <v>57</v>
      </c>
      <c r="AI60">
        <f ca="1"/>
        <v>60</v>
      </c>
      <c r="AJ60">
        <v>60</v>
      </c>
      <c r="AK60" t="b">
        <f t="shared" ca="1" si="0"/>
        <v>0</v>
      </c>
      <c r="AL60" t="b">
        <f>COUNTBLANK(Metadata!B60:AD60)=COLUMNS(Metadata!B60:AD60)</f>
        <v>0</v>
      </c>
      <c r="AM60" t="str">
        <v>Environment.Side.2.BTP.255Lake.water</v>
      </c>
      <c r="AO60" t="b">
        <f ca="1">AND(IF(Metadata!B59="",FALSE,TRUE),COUNTIF(Metadata!B:B, Metadata!B59) = 1,NOT(ISERROR(SUMPRODUCT(SEARCH(MID(Metadata!B59,ROW(INDIRECT("1:"&amp;LEN(Metadata!B59))), 1),"0123456789abcdefghijklmnopqrstuvwxyzABCDEFGHIJKLMNOPQRSTUVWXYZ.")))))</f>
        <v>1</v>
      </c>
      <c r="AP60" t="b">
        <f>IF(Metadata!C59="",FALSE,TRUE)</f>
        <v>1</v>
      </c>
      <c r="AQ60" t="b">
        <f>IF(Metadata!D59="",FALSE,TRUE)</f>
        <v>1</v>
      </c>
      <c r="AR60" t="b">
        <f ca="1">OR(AND(IF(Metadata!E59="",FALSE,TRUE),OR(EXACT(Metadata!E59,"not collected"),EXACT(Metadata!E59,"not provided"),EXACT(Metadata!E59,"restricted access"))),AND(IF(Metadata!E59="",FALSE,TRUE),AND(AND(IFERROR(INT(LEFT(Metadata!E59,4))&gt;1900,FALSE),IFERROR(INT(LEFT(Metadata!E59,4))&lt;=YEAR(NOW()),FALSE)), OR(MID(Metadata!E59,5,1)="", AND(AND(MID(Metadata!E59,5,1)="-",IFERROR(INT(MID(Metadata!E59,6,1))&gt;=0,FALSE),IFERROR(INT(MID(Metadata!E59,6,1))&lt;=1,FALSE),NOT(MID(Metadata!E59,7,1)=""),IFERROR(INT(MID(Metadata!E59,6,2))&gt;=1,FALSE),IFERROR(INT(MID(Metadata!E59,6,2))&lt;=12,FALSE)), OR(MID(Metadata!E59,8,1)="", AND(AND(MID(Metadata!E59,8,1)="-",IFERROR(INT(MID(Metadata!E59,9,1))&gt;=0,FALSE),IFERROR(INT(MID(Metadata!E59,9,1))&lt;=3,FALSE),NOT(MID(Metadata!E59,10,1)=""),IFERROR(INT(MID(Metadata!E59,9,2))&gt;=1,FALSE),IFERROR(INT(MID(Metadata!E59,9,2))&lt;=31,FALSE)), OR(MID(Metadata!E59,11,1)="", AND(AND(MID(Metadata!E59,11,1)=" ",IFERROR(INT(MID(Metadata!E59,12,1))&gt;=0,FALSE),IFERROR(INT(MID(Metadata!E59,12,1))&lt;=2,FALSE),NOT(MID(Metadata!E59,13,1)=""),IFERROR(INT(MID(Metadata!E59,12,2))&gt;=0,FALSE),IFERROR(INT(MID(Metadata!E59,12,2))&lt;=23,FALSE)), OR(MID(Metadata!E59,14,1)="", AND(AND(MID(Metadata!E59,14,1)=":",IFERROR(INT(MID(Metadata!E59,15,1))&gt;=0,FALSE),IFERROR(INT(MID(Metadata!E59,15,1))&lt;=5,FALSE),NOT(MID(Metadata!E59,16,1)=""),IFERROR(INT(MID(Metadata!E59,15,2))&gt;=0,FALSE),IFERROR(INT(MID(Metadata!E59,15,2))&lt;=59,FALSE)), OR(MID(Metadata!E59,17,1)="", AND(AND(MID(Metadata!E59,17,1)=":",IFERROR(INT(MID(Metadata!E59,18,1))&gt;=0,FALSE),IFERROR(INT(MID(Metadata!E59,18,1))&lt;=5,FALSE),NOT(MID(Metadata!E59,19,1)=""),IFERROR(INT(MID(Metadata!E59,18,2))&gt;=0,FALSE),IFERROR(INT(MID(Metadata!E59,18,2))&lt;=59,FALSE)), LEN(Metadata!E59)&lt;=19)))))))))))))</f>
        <v>0</v>
      </c>
      <c r="AS60" t="b">
        <f>IF(Metadata!F59="",FALSE,TRUE)</f>
        <v>1</v>
      </c>
      <c r="AT60" t="b">
        <f>OR(AND(IF(Metadata!G59="",FALSE,TRUE),OR(EXACT(Metadata!G59,"not collected"),EXACT(Metadata!G59,"not provided"))),AND(IF(Metadata!G59="",FALSE,TRUE),OR(EXACT(Metadata!G59,"TRUE"),EXACT(Metadata!G59,"FALSE"))))</f>
        <v>1</v>
      </c>
      <c r="AU60" t="b">
        <f>OR(AND(IF(Metadata!H59="",FALSE,TRUE),OR(EXACT(Metadata!H59,"not collected"),EXACT(Metadata!H59,"not provided"),EXACT(Metadata!H59,"restricted access"))),AND(IF(Metadata!H59="",FALSE,ISNUMBER(VALUE(Metadata!H59))),Metadata!H59&gt;=-413))</f>
        <v>0</v>
      </c>
      <c r="AV60" t="b">
        <f>AND(IF(Metadata!I59="",FALSE,TRUE),EXACT(Metadata!I59,"meters"))</f>
        <v>1</v>
      </c>
      <c r="AW60" t="b">
        <f>AND(IF(Metadata!J59="",FALSE,TRUE),EXACT(Metadata!J59,"free-living"))</f>
        <v>1</v>
      </c>
      <c r="AX60" t="b">
        <f>AND(IF(Metadata!K59="",FALSE,TRUE),OR(EXACT(Metadata!K59,"saline"),EXACT(Metadata!K59,"non-saline")))</f>
        <v>1</v>
      </c>
      <c r="AY60" t="b">
        <f>AND(IF(Metadata!L59="",FALSE,TRUE),OR(EXACT(Metadata!L59,"sub-surface (non-saline)"),EXACT(Metadata!L59,"surface (non-saline)"),EXACT(Metadata!L59,"water (non-saline)"),EXACT(Metadata!L59,"soil (non-saline)"),EXACT(Metadata!L59,"aerosol (non-saline)"),EXACT(Metadata!L59,"sediment (non-saline)"),EXACT(Metadata!L59,"surface (saline)"),EXACT(Metadata!L59,"water (saline)"),EXACT(Metadata!L59,"hypersaline (saline)"),EXACT(Metadata!L59,"aerosol (saline)"),EXACT(Metadata!L59,"sediment (saline)")))</f>
        <v>1</v>
      </c>
      <c r="AZ60" t="b">
        <f>IF(Metadata!M59="",FALSE,TRUE)</f>
        <v>1</v>
      </c>
      <c r="BA60" t="b">
        <f>IF(Metadata!N59="",FALSE,TRUE)</f>
        <v>1</v>
      </c>
      <c r="BB60" t="b">
        <f>IF(Metadata!O59="",FALSE,TRUE)</f>
        <v>1</v>
      </c>
      <c r="BC60" t="b">
        <f>AND(IF(Metadata!P59="",FALSE,TRUE),OR(EXACT(Metadata!P59,"air"),EXACT(Metadata!P59,"microbial mat/biofilm"),EXACT(Metadata!P59,"misc environment"),EXACT(Metadata!P59,"sediment"),EXACT(Metadata!P59,"soil"),EXACT(Metadata!P59,"wastewater/sludge"),EXACT(Metadata!P59,"water")))</f>
        <v>1</v>
      </c>
      <c r="BD60" t="b">
        <f>IF(Metadata!Q59="",FALSE,TRUE)</f>
        <v>1</v>
      </c>
      <c r="BE60" t="b">
        <f>IF(Metadata!R59="",FALSE,TRUE)</f>
        <v>1</v>
      </c>
      <c r="BF60" t="b">
        <f>OR(AND(IF(Metadata!S59="",FALSE,TRUE),OR(EXACT(Metadata!S59,"not collected"),EXACT(Metadata!S59,"not provided"),EXACT(Metadata!S59,"restricted access"))),AND(IF(Metadata!S59="",FALSE,ISNUMBER(VALUE(Metadata!S59))),Metadata!S59&gt;=-90,Metadata!S59&lt;=90))</f>
        <v>0</v>
      </c>
      <c r="BG60" t="b">
        <f>AND(IF(Metadata!T59="",FALSE,TRUE),EXACT(Metadata!T59,"Decimal degrees"))</f>
        <v>1</v>
      </c>
      <c r="BH60" t="b">
        <f>OR(AND(IF(Metadata!U59="",FALSE,TRUE),OR(EXACT(Metadata!U59,"not applicable"),EXACT(Metadata!U59,"not collected"))),IF(Metadata!U59="",FALSE,TRUE))</f>
        <v>1</v>
      </c>
      <c r="BI60" t="b">
        <f>OR(AND(IF(Metadata!V59="",FALSE,TRUE),OR(EXACT(Metadata!V59,"not collected"),EXACT(Metadata!V59,"not provided"),EXACT(Metadata!V59,"restricted access"))),AND(IF(Metadata!V59="",FALSE,ISNUMBER(VALUE(Metadata!V59))),Metadata!V59&gt;=-180,Metadata!V59&lt;=180))</f>
        <v>0</v>
      </c>
      <c r="BJ60" t="b">
        <f>AND(IF(Metadata!W59="",FALSE,TRUE),EXACT(Metadata!W59,"Decimal degrees"))</f>
        <v>1</v>
      </c>
      <c r="BK60" t="b">
        <f>IF(Metadata!X59="",FALSE,TRUE)</f>
        <v>1</v>
      </c>
      <c r="BL60" t="b">
        <f>OR(AND(IF(Metadata!Y59="",FALSE,TRUE),OR(EXACT(Metadata!Y59,"not collected"),EXACT(Metadata!Y59,"not provided"),EXACT(Metadata!Y59,"restricted access"))),AND(IF(Metadata!Y59="",FALSE,TRUE),OR(EXACT(Metadata!Y59,"TRUE"),EXACT(Metadata!Y59,"FALSE"))))</f>
        <v>1</v>
      </c>
      <c r="BM60" t="b">
        <f>OR(AND(IF(Metadata!Z59="",FALSE,TRUE),EXACT(Metadata!Z59,"not applicable")),AND(IF(Metadata!Z59="",FALSE,TRUE),OR(EXACT(Metadata!Z59,"beer"),EXACT(Metadata!Z59,"cheese"),EXACT(Metadata!Z59,"fresh water"),EXACT(Metadata!Z59,"marine sediment"),EXACT(Metadata!Z59,"sea water"),EXACT(Metadata!Z59,"sediment"),EXACT(Metadata!Z59,"soil"),EXACT(Metadata!Z59,"waste water"))))</f>
        <v>1</v>
      </c>
      <c r="BN60" t="b">
        <f>AND(IF(Metadata!AA59="",FALSE,TRUE),EXACT(Metadata!AA59,"metagenome"))</f>
        <v>1</v>
      </c>
      <c r="BO60" t="b">
        <f>AND(IF(Metadata!AB59="",FALSE,TRUE),EXACT(Metadata!AB59,"256318"))</f>
        <v>1</v>
      </c>
      <c r="BP60" t="b">
        <f>IF(Metadata!AC59="",FALSE,TRUE)</f>
        <v>1</v>
      </c>
      <c r="BQ60" t="b">
        <f>IF(Metadata!AD59="",FALSE,TRUE)</f>
        <v>1</v>
      </c>
    </row>
    <row r="61" spans="1:69" x14ac:dyDescent="0.2">
      <c r="A61" s="4" t="e">
        <f ca="1">IF(B61=" "," ",HYPERLINK(CONCATENATE("#metadata!",ADDRESS(INDEX($AJ$2:$AJ$1001,MATCH(ROWS($AH$2:AH61),$AH$2:$AH$1001,0),0),2)),INDEX($AM$2:$AM$1001,MATCH(ROWS($AH$2:AH61),$AH$2:$AH$1001,0),0)))</f>
        <v>#N/A</v>
      </c>
      <c r="B61" s="5" t="e">
        <f ca="1">IF(OR(INDEX($AI$2:$AI$1001,MATCH(ROWS($AH$2:AH61),$AH$2:$AH$1001,0),1)&gt;=100000,INDEX($AO$1005:$BQ$1005,1,MATCH(COLUMNS($AO$1006:AO1006),$AO$1006:$BQ$1006,0))&gt;=100000), " ",IF(INDEX($AO$2:$BQ$1001,MATCH(ROWS($AH$2:AH61),$AH$2:$AH$1001,0),MATCH(COLUMNS($AO$1006:AO1006),$AO$1006:$BQ$1006,0)), HYPERLINK("#",""), HYPERLINK(CONCATENATE("#Metadata!", ADDRESS(INDEX($AJ$2:$AJ$1001,MATCH(ROWS($AH$2:AH61),$AH$2:$AH$1001,0),0), INDEX($AO$1004:$BQ$1004,1,MATCH(COLUMNS($AO$1006:AO1006),$AO$1006:$BQ$1006,0)))),"Fix")))</f>
        <v>#N/A</v>
      </c>
      <c r="C61" s="5" t="e">
        <f ca="1">IF(OR(INDEX($AI$2:$AI$1001,MATCH(ROWS($AH$2:AH61),$AH$2:$AH$1001,0),1)&gt;=100000,INDEX($AO$1005:$BQ$1005,1,MATCH(COLUMNS($AO$1006:AP1006),$AO$1006:$BQ$1006,0))&gt;=100000), " ",IF(INDEX($AO$2:$BQ$1001,MATCH(ROWS($AH$2:AH61),$AH$2:$AH$1001,0),MATCH(COLUMNS($AO$1006:AP1006),$AO$1006:$BQ$1006,0)), HYPERLINK("#",""), HYPERLINK(CONCATENATE("#Metadata!", ADDRESS(INDEX($AJ$2:$AJ$1001,MATCH(ROWS($AH$2:AH61),$AH$2:$AH$1001,0),0), INDEX($AO$1004:$BQ$1004,1,MATCH(COLUMNS($AO$1006:AP1006),$AO$1006:$BQ$1006,0)))),"Fix")))</f>
        <v>#N/A</v>
      </c>
      <c r="D61" s="5" t="e">
        <f ca="1">IF(OR(INDEX($AI$2:$AI$1001,MATCH(ROWS($AH$2:AH61),$AH$2:$AH$1001,0),1)&gt;=100000,INDEX($AO$1005:$BQ$1005,1,MATCH(COLUMNS($AO$1006:AQ1006),$AO$1006:$BQ$1006,0))&gt;=100000), " ",IF(INDEX($AO$2:$BQ$1001,MATCH(ROWS($AH$2:AH61),$AH$2:$AH$1001,0),MATCH(COLUMNS($AO$1006:AQ1006),$AO$1006:$BQ$1006,0)), HYPERLINK("#",""), HYPERLINK(CONCATENATE("#Metadata!", ADDRESS(INDEX($AJ$2:$AJ$1001,MATCH(ROWS($AH$2:AH61),$AH$2:$AH$1001,0),0), INDEX($AO$1004:$BQ$1004,1,MATCH(COLUMNS($AO$1006:AQ1006),$AO$1006:$BQ$1006,0)))),"Fix")))</f>
        <v>#N/A</v>
      </c>
      <c r="E61" s="5" t="e">
        <f ca="1">IF(OR(INDEX($AI$2:$AI$1001,MATCH(ROWS($AH$2:AH61),$AH$2:$AH$1001,0),1)&gt;=100000,INDEX($AO$1005:$BQ$1005,1,MATCH(COLUMNS($AO$1006:AR1006),$AO$1006:$BQ$1006,0))&gt;=100000), " ",IF(INDEX($AO$2:$BQ$1001,MATCH(ROWS($AH$2:AH61),$AH$2:$AH$1001,0),MATCH(COLUMNS($AO$1006:AR1006),$AO$1006:$BQ$1006,0)), HYPERLINK("#",""), HYPERLINK(CONCATENATE("#Metadata!", ADDRESS(INDEX($AJ$2:$AJ$1001,MATCH(ROWS($AH$2:AH61),$AH$2:$AH$1001,0),0), INDEX($AO$1004:$BQ$1004,1,MATCH(COLUMNS($AO$1006:AR1006),$AO$1006:$BQ$1006,0)))),"Fix")))</f>
        <v>#N/A</v>
      </c>
      <c r="F61" s="5" t="e">
        <f ca="1">IF(OR(INDEX($AI$2:$AI$1001,MATCH(ROWS($AH$2:AH61),$AH$2:$AH$1001,0),1)&gt;=100000,INDEX($AO$1005:$BQ$1005,1,MATCH(COLUMNS($AO$1006:AS1006),$AO$1006:$BQ$1006,0))&gt;=100000), " ",IF(INDEX($AO$2:$BQ$1001,MATCH(ROWS($AH$2:AH61),$AH$2:$AH$1001,0),MATCH(COLUMNS($AO$1006:AS1006),$AO$1006:$BQ$1006,0)), HYPERLINK("#",""), HYPERLINK(CONCATENATE("#Metadata!", ADDRESS(INDEX($AJ$2:$AJ$1001,MATCH(ROWS($AH$2:AH61),$AH$2:$AH$1001,0),0), INDEX($AO$1004:$BQ$1004,1,MATCH(COLUMNS($AO$1006:AS1006),$AO$1006:$BQ$1006,0)))),"Fix")))</f>
        <v>#N/A</v>
      </c>
      <c r="G61" s="5" t="e">
        <f ca="1">IF(OR(INDEX($AI$2:$AI$1001,MATCH(ROWS($AH$2:AH61),$AH$2:$AH$1001,0),1)&gt;=100000,INDEX($AO$1005:$BQ$1005,1,MATCH(COLUMNS($AO$1006:AT1006),$AO$1006:$BQ$1006,0))&gt;=100000), " ",IF(INDEX($AO$2:$BQ$1001,MATCH(ROWS($AH$2:AH61),$AH$2:$AH$1001,0),MATCH(COLUMNS($AO$1006:AT1006),$AO$1006:$BQ$1006,0)), HYPERLINK("#",""), HYPERLINK(CONCATENATE("#Metadata!", ADDRESS(INDEX($AJ$2:$AJ$1001,MATCH(ROWS($AH$2:AH61),$AH$2:$AH$1001,0),0), INDEX($AO$1004:$BQ$1004,1,MATCH(COLUMNS($AO$1006:AT1006),$AO$1006:$BQ$1006,0)))),"Fix")))</f>
        <v>#N/A</v>
      </c>
      <c r="H61" s="5" t="e">
        <f ca="1">IF(OR(INDEX($AI$2:$AI$1001,MATCH(ROWS($AH$2:AH61),$AH$2:$AH$1001,0),1)&gt;=100000,INDEX($AO$1005:$BQ$1005,1,MATCH(COLUMNS($AO$1006:AU1006),$AO$1006:$BQ$1006,0))&gt;=100000), " ",IF(INDEX($AO$2:$BQ$1001,MATCH(ROWS($AH$2:AH61),$AH$2:$AH$1001,0),MATCH(COLUMNS($AO$1006:AU1006),$AO$1006:$BQ$1006,0)), HYPERLINK("#",""), HYPERLINK(CONCATENATE("#Metadata!", ADDRESS(INDEX($AJ$2:$AJ$1001,MATCH(ROWS($AH$2:AH61),$AH$2:$AH$1001,0),0), INDEX($AO$1004:$BQ$1004,1,MATCH(COLUMNS($AO$1006:AU1006),$AO$1006:$BQ$1006,0)))),"Fix")))</f>
        <v>#N/A</v>
      </c>
      <c r="I61" s="5" t="e">
        <f ca="1">IF(OR(INDEX($AI$2:$AI$1001,MATCH(ROWS($AH$2:AH61),$AH$2:$AH$1001,0),1)&gt;=100000,INDEX($AO$1005:$BQ$1005,1,MATCH(COLUMNS($AO$1006:AV1006),$AO$1006:$BQ$1006,0))&gt;=100000), " ",IF(INDEX($AO$2:$BQ$1001,MATCH(ROWS($AH$2:AH61),$AH$2:$AH$1001,0),MATCH(COLUMNS($AO$1006:AV1006),$AO$1006:$BQ$1006,0)), HYPERLINK("#",""), HYPERLINK(CONCATENATE("#Metadata!", ADDRESS(INDEX($AJ$2:$AJ$1001,MATCH(ROWS($AH$2:AH61),$AH$2:$AH$1001,0),0), INDEX($AO$1004:$BQ$1004,1,MATCH(COLUMNS($AO$1006:AV1006),$AO$1006:$BQ$1006,0)))),"Fix")))</f>
        <v>#N/A</v>
      </c>
      <c r="J61" s="5" t="e">
        <f ca="1">IF(OR(INDEX($AI$2:$AI$1001,MATCH(ROWS($AH$2:AH61),$AH$2:$AH$1001,0),1)&gt;=100000,INDEX($AO$1005:$BQ$1005,1,MATCH(COLUMNS($AO$1006:AW1006),$AO$1006:$BQ$1006,0))&gt;=100000), " ",IF(INDEX($AO$2:$BQ$1001,MATCH(ROWS($AH$2:AH61),$AH$2:$AH$1001,0),MATCH(COLUMNS($AO$1006:AW1006),$AO$1006:$BQ$1006,0)), HYPERLINK("#",""), HYPERLINK(CONCATENATE("#Metadata!", ADDRESS(INDEX($AJ$2:$AJ$1001,MATCH(ROWS($AH$2:AH61),$AH$2:$AH$1001,0),0), INDEX($AO$1004:$BQ$1004,1,MATCH(COLUMNS($AO$1006:AW1006),$AO$1006:$BQ$1006,0)))),"Fix")))</f>
        <v>#N/A</v>
      </c>
      <c r="K61" s="5" t="e">
        <f ca="1">IF(OR(INDEX($AI$2:$AI$1001,MATCH(ROWS($AH$2:AH61),$AH$2:$AH$1001,0),1)&gt;=100000,INDEX($AO$1005:$BQ$1005,1,MATCH(COLUMNS($AO$1006:AX1006),$AO$1006:$BQ$1006,0))&gt;=100000), " ",IF(INDEX($AO$2:$BQ$1001,MATCH(ROWS($AH$2:AH61),$AH$2:$AH$1001,0),MATCH(COLUMNS($AO$1006:AX1006),$AO$1006:$BQ$1006,0)), HYPERLINK("#",""), HYPERLINK(CONCATENATE("#Metadata!", ADDRESS(INDEX($AJ$2:$AJ$1001,MATCH(ROWS($AH$2:AH61),$AH$2:$AH$1001,0),0), INDEX($AO$1004:$BQ$1004,1,MATCH(COLUMNS($AO$1006:AX1006),$AO$1006:$BQ$1006,0)))),"Fix")))</f>
        <v>#N/A</v>
      </c>
      <c r="L61" s="5" t="e">
        <f ca="1">IF(OR(INDEX($AI$2:$AI$1001,MATCH(ROWS($AH$2:AH61),$AH$2:$AH$1001,0),1)&gt;=100000,INDEX($AO$1005:$BQ$1005,1,MATCH(COLUMNS($AO$1006:AY1006),$AO$1006:$BQ$1006,0))&gt;=100000), " ",IF(INDEX($AO$2:$BQ$1001,MATCH(ROWS($AH$2:AH61),$AH$2:$AH$1001,0),MATCH(COLUMNS($AO$1006:AY1006),$AO$1006:$BQ$1006,0)), HYPERLINK("#",""), HYPERLINK(CONCATENATE("#Metadata!", ADDRESS(INDEX($AJ$2:$AJ$1001,MATCH(ROWS($AH$2:AH61),$AH$2:$AH$1001,0),0), INDEX($AO$1004:$BQ$1004,1,MATCH(COLUMNS($AO$1006:AY1006),$AO$1006:$BQ$1006,0)))),"Fix")))</f>
        <v>#N/A</v>
      </c>
      <c r="M61" s="5" t="e">
        <f ca="1">IF(OR(INDEX($AI$2:$AI$1001,MATCH(ROWS($AH$2:AH61),$AH$2:$AH$1001,0),1)&gt;=100000,INDEX($AO$1005:$BQ$1005,1,MATCH(COLUMNS($AO$1006:AZ1006),$AO$1006:$BQ$1006,0))&gt;=100000), " ",IF(INDEX($AO$2:$BQ$1001,MATCH(ROWS($AH$2:AH61),$AH$2:$AH$1001,0),MATCH(COLUMNS($AO$1006:AZ1006),$AO$1006:$BQ$1006,0)), HYPERLINK("#",""), HYPERLINK(CONCATENATE("#Metadata!", ADDRESS(INDEX($AJ$2:$AJ$1001,MATCH(ROWS($AH$2:AH61),$AH$2:$AH$1001,0),0), INDEX($AO$1004:$BQ$1004,1,MATCH(COLUMNS($AO$1006:AZ1006),$AO$1006:$BQ$1006,0)))),"Fix")))</f>
        <v>#N/A</v>
      </c>
      <c r="N61" s="5" t="e">
        <f ca="1">IF(OR(INDEX($AI$2:$AI$1001,MATCH(ROWS($AH$2:AH61),$AH$2:$AH$1001,0),1)&gt;=100000,INDEX($AO$1005:$BQ$1005,1,MATCH(COLUMNS($AO$1006:BA1006),$AO$1006:$BQ$1006,0))&gt;=100000), " ",IF(INDEX($AO$2:$BQ$1001,MATCH(ROWS($AH$2:AH61),$AH$2:$AH$1001,0),MATCH(COLUMNS($AO$1006:BA1006),$AO$1006:$BQ$1006,0)), HYPERLINK("#",""), HYPERLINK(CONCATENATE("#Metadata!", ADDRESS(INDEX($AJ$2:$AJ$1001,MATCH(ROWS($AH$2:AH61),$AH$2:$AH$1001,0),0), INDEX($AO$1004:$BQ$1004,1,MATCH(COLUMNS($AO$1006:BA1006),$AO$1006:$BQ$1006,0)))),"Fix")))</f>
        <v>#N/A</v>
      </c>
      <c r="O61" s="5" t="e">
        <f ca="1">IF(OR(INDEX($AI$2:$AI$1001,MATCH(ROWS($AH$2:AH61),$AH$2:$AH$1001,0),1)&gt;=100000,INDEX($AO$1005:$BQ$1005,1,MATCH(COLUMNS($AO$1006:BB1006),$AO$1006:$BQ$1006,0))&gt;=100000), " ",IF(INDEX($AO$2:$BQ$1001,MATCH(ROWS($AH$2:AH61),$AH$2:$AH$1001,0),MATCH(COLUMNS($AO$1006:BB1006),$AO$1006:$BQ$1006,0)), HYPERLINK("#",""), HYPERLINK(CONCATENATE("#Metadata!", ADDRESS(INDEX($AJ$2:$AJ$1001,MATCH(ROWS($AH$2:AH61),$AH$2:$AH$1001,0),0), INDEX($AO$1004:$BQ$1004,1,MATCH(COLUMNS($AO$1006:BB1006),$AO$1006:$BQ$1006,0)))),"Fix")))</f>
        <v>#N/A</v>
      </c>
      <c r="P61" s="5" t="e">
        <f ca="1">IF(OR(INDEX($AI$2:$AI$1001,MATCH(ROWS($AH$2:AH61),$AH$2:$AH$1001,0),1)&gt;=100000,INDEX($AO$1005:$BQ$1005,1,MATCH(COLUMNS($AO$1006:BC1006),$AO$1006:$BQ$1006,0))&gt;=100000), " ",IF(INDEX($AO$2:$BQ$1001,MATCH(ROWS($AH$2:AH61),$AH$2:$AH$1001,0),MATCH(COLUMNS($AO$1006:BC1006),$AO$1006:$BQ$1006,0)), HYPERLINK("#",""), HYPERLINK(CONCATENATE("#Metadata!", ADDRESS(INDEX($AJ$2:$AJ$1001,MATCH(ROWS($AH$2:AH61),$AH$2:$AH$1001,0),0), INDEX($AO$1004:$BQ$1004,1,MATCH(COLUMNS($AO$1006:BC1006),$AO$1006:$BQ$1006,0)))),"Fix")))</f>
        <v>#N/A</v>
      </c>
      <c r="Q61" s="5" t="e">
        <f ca="1">IF(OR(INDEX($AI$2:$AI$1001,MATCH(ROWS($AH$2:AH61),$AH$2:$AH$1001,0),1)&gt;=100000,INDEX($AO$1005:$BQ$1005,1,MATCH(COLUMNS($AO$1006:BD1006),$AO$1006:$BQ$1006,0))&gt;=100000), " ",IF(INDEX($AO$2:$BQ$1001,MATCH(ROWS($AH$2:AH61),$AH$2:$AH$1001,0),MATCH(COLUMNS($AO$1006:BD1006),$AO$1006:$BQ$1006,0)), HYPERLINK("#",""), HYPERLINK(CONCATENATE("#Metadata!", ADDRESS(INDEX($AJ$2:$AJ$1001,MATCH(ROWS($AH$2:AH61),$AH$2:$AH$1001,0),0), INDEX($AO$1004:$BQ$1004,1,MATCH(COLUMNS($AO$1006:BD1006),$AO$1006:$BQ$1006,0)))),"Fix")))</f>
        <v>#N/A</v>
      </c>
      <c r="R61" s="5" t="e">
        <f ca="1">IF(OR(INDEX($AI$2:$AI$1001,MATCH(ROWS($AH$2:AH61),$AH$2:$AH$1001,0),1)&gt;=100000,INDEX($AO$1005:$BQ$1005,1,MATCH(COLUMNS($AO$1006:BE1006),$AO$1006:$BQ$1006,0))&gt;=100000), " ",IF(INDEX($AO$2:$BQ$1001,MATCH(ROWS($AH$2:AH61),$AH$2:$AH$1001,0),MATCH(COLUMNS($AO$1006:BE1006),$AO$1006:$BQ$1006,0)), HYPERLINK("#",""), HYPERLINK(CONCATENATE("#Metadata!", ADDRESS(INDEX($AJ$2:$AJ$1001,MATCH(ROWS($AH$2:AH61),$AH$2:$AH$1001,0),0), INDEX($AO$1004:$BQ$1004,1,MATCH(COLUMNS($AO$1006:BE1006),$AO$1006:$BQ$1006,0)))),"Fix")))</f>
        <v>#N/A</v>
      </c>
      <c r="S61" s="5" t="e">
        <f ca="1">IF(OR(INDEX($AI$2:$AI$1001,MATCH(ROWS($AH$2:AH61),$AH$2:$AH$1001,0),1)&gt;=100000,INDEX($AO$1005:$BQ$1005,1,MATCH(COLUMNS($AO$1006:BF1006),$AO$1006:$BQ$1006,0))&gt;=100000), " ",IF(INDEX($AO$2:$BQ$1001,MATCH(ROWS($AH$2:AH61),$AH$2:$AH$1001,0),MATCH(COLUMNS($AO$1006:BF1006),$AO$1006:$BQ$1006,0)), HYPERLINK("#",""), HYPERLINK(CONCATENATE("#Metadata!", ADDRESS(INDEX($AJ$2:$AJ$1001,MATCH(ROWS($AH$2:AH61),$AH$2:$AH$1001,0),0), INDEX($AO$1004:$BQ$1004,1,MATCH(COLUMNS($AO$1006:BF1006),$AO$1006:$BQ$1006,0)))),"Fix")))</f>
        <v>#N/A</v>
      </c>
      <c r="T61" s="5" t="e">
        <f ca="1">IF(OR(INDEX($AI$2:$AI$1001,MATCH(ROWS($AH$2:AH61),$AH$2:$AH$1001,0),1)&gt;=100000,INDEX($AO$1005:$BQ$1005,1,MATCH(COLUMNS($AO$1006:BG1006),$AO$1006:$BQ$1006,0))&gt;=100000), " ",IF(INDEX($AO$2:$BQ$1001,MATCH(ROWS($AH$2:AH61),$AH$2:$AH$1001,0),MATCH(COLUMNS($AO$1006:BG1006),$AO$1006:$BQ$1006,0)), HYPERLINK("#",""), HYPERLINK(CONCATENATE("#Metadata!", ADDRESS(INDEX($AJ$2:$AJ$1001,MATCH(ROWS($AH$2:AH61),$AH$2:$AH$1001,0),0), INDEX($AO$1004:$BQ$1004,1,MATCH(COLUMNS($AO$1006:BG1006),$AO$1006:$BQ$1006,0)))),"Fix")))</f>
        <v>#N/A</v>
      </c>
      <c r="U61" s="5" t="e">
        <f ca="1">IF(OR(INDEX($AI$2:$AI$1001,MATCH(ROWS($AH$2:AH61),$AH$2:$AH$1001,0),1)&gt;=100000,INDEX($AO$1005:$BQ$1005,1,MATCH(COLUMNS($AO$1006:BH1006),$AO$1006:$BQ$1006,0))&gt;=100000), " ",IF(INDEX($AO$2:$BQ$1001,MATCH(ROWS($AH$2:AH61),$AH$2:$AH$1001,0),MATCH(COLUMNS($AO$1006:BH1006),$AO$1006:$BQ$1006,0)), HYPERLINK("#",""), HYPERLINK(CONCATENATE("#Metadata!", ADDRESS(INDEX($AJ$2:$AJ$1001,MATCH(ROWS($AH$2:AH61),$AH$2:$AH$1001,0),0), INDEX($AO$1004:$BQ$1004,1,MATCH(COLUMNS($AO$1006:BH1006),$AO$1006:$BQ$1006,0)))),"Fix")))</f>
        <v>#N/A</v>
      </c>
      <c r="V61" s="5" t="e">
        <f ca="1">IF(OR(INDEX($AI$2:$AI$1001,MATCH(ROWS($AH$2:AH61),$AH$2:$AH$1001,0),1)&gt;=100000,INDEX($AO$1005:$BQ$1005,1,MATCH(COLUMNS($AO$1006:BI1006),$AO$1006:$BQ$1006,0))&gt;=100000), " ",IF(INDEX($AO$2:$BQ$1001,MATCH(ROWS($AH$2:AH61),$AH$2:$AH$1001,0),MATCH(COLUMNS($AO$1006:BI1006),$AO$1006:$BQ$1006,0)), HYPERLINK("#",""), HYPERLINK(CONCATENATE("#Metadata!", ADDRESS(INDEX($AJ$2:$AJ$1001,MATCH(ROWS($AH$2:AH61),$AH$2:$AH$1001,0),0), INDEX($AO$1004:$BQ$1004,1,MATCH(COLUMNS($AO$1006:BI1006),$AO$1006:$BQ$1006,0)))),"Fix")))</f>
        <v>#N/A</v>
      </c>
      <c r="W61" s="5" t="e">
        <f ca="1">IF(OR(INDEX($AI$2:$AI$1001,MATCH(ROWS($AH$2:AH61),$AH$2:$AH$1001,0),1)&gt;=100000,INDEX($AO$1005:$BQ$1005,1,MATCH(COLUMNS($AO$1006:BJ1006),$AO$1006:$BQ$1006,0))&gt;=100000), " ",IF(INDEX($AO$2:$BQ$1001,MATCH(ROWS($AH$2:AH61),$AH$2:$AH$1001,0),MATCH(COLUMNS($AO$1006:BJ1006),$AO$1006:$BQ$1006,0)), HYPERLINK("#",""), HYPERLINK(CONCATENATE("#Metadata!", ADDRESS(INDEX($AJ$2:$AJ$1001,MATCH(ROWS($AH$2:AH61),$AH$2:$AH$1001,0),0), INDEX($AO$1004:$BQ$1004,1,MATCH(COLUMNS($AO$1006:BJ1006),$AO$1006:$BQ$1006,0)))),"Fix")))</f>
        <v>#N/A</v>
      </c>
      <c r="X61" s="5" t="e">
        <f ca="1">IF(OR(INDEX($AI$2:$AI$1001,MATCH(ROWS($AH$2:AH61),$AH$2:$AH$1001,0),1)&gt;=100000,INDEX($AO$1005:$BQ$1005,1,MATCH(COLUMNS($AO$1006:BK1006),$AO$1006:$BQ$1006,0))&gt;=100000), " ",IF(INDEX($AO$2:$BQ$1001,MATCH(ROWS($AH$2:AH61),$AH$2:$AH$1001,0),MATCH(COLUMNS($AO$1006:BK1006),$AO$1006:$BQ$1006,0)), HYPERLINK("#",""), HYPERLINK(CONCATENATE("#Metadata!", ADDRESS(INDEX($AJ$2:$AJ$1001,MATCH(ROWS($AH$2:AH61),$AH$2:$AH$1001,0),0), INDEX($AO$1004:$BQ$1004,1,MATCH(COLUMNS($AO$1006:BK1006),$AO$1006:$BQ$1006,0)))),"Fix")))</f>
        <v>#N/A</v>
      </c>
      <c r="Y61" s="5" t="e">
        <f ca="1">IF(OR(INDEX($AI$2:$AI$1001,MATCH(ROWS($AH$2:AH61),$AH$2:$AH$1001,0),1)&gt;=100000,INDEX($AO$1005:$BQ$1005,1,MATCH(COLUMNS($AO$1006:BL1006),$AO$1006:$BQ$1006,0))&gt;=100000), " ",IF(INDEX($AO$2:$BQ$1001,MATCH(ROWS($AH$2:AH61),$AH$2:$AH$1001,0),MATCH(COLUMNS($AO$1006:BL1006),$AO$1006:$BQ$1006,0)), HYPERLINK("#",""), HYPERLINK(CONCATENATE("#Metadata!", ADDRESS(INDEX($AJ$2:$AJ$1001,MATCH(ROWS($AH$2:AH61),$AH$2:$AH$1001,0),0), INDEX($AO$1004:$BQ$1004,1,MATCH(COLUMNS($AO$1006:BL1006),$AO$1006:$BQ$1006,0)))),"Fix")))</f>
        <v>#N/A</v>
      </c>
      <c r="Z61" s="5" t="e">
        <f ca="1">IF(OR(INDEX($AI$2:$AI$1001,MATCH(ROWS($AH$2:AH61),$AH$2:$AH$1001,0),1)&gt;=100000,INDEX($AO$1005:$BQ$1005,1,MATCH(COLUMNS($AO$1006:BM1006),$AO$1006:$BQ$1006,0))&gt;=100000), " ",IF(INDEX($AO$2:$BQ$1001,MATCH(ROWS($AH$2:AH61),$AH$2:$AH$1001,0),MATCH(COLUMNS($AO$1006:BM1006),$AO$1006:$BQ$1006,0)), HYPERLINK("#",""), HYPERLINK(CONCATENATE("#Metadata!", ADDRESS(INDEX($AJ$2:$AJ$1001,MATCH(ROWS($AH$2:AH61),$AH$2:$AH$1001,0),0), INDEX($AO$1004:$BQ$1004,1,MATCH(COLUMNS($AO$1006:BM1006),$AO$1006:$BQ$1006,0)))),"Fix")))</f>
        <v>#N/A</v>
      </c>
      <c r="AA61" s="5" t="e">
        <f ca="1">IF(OR(INDEX($AI$2:$AI$1001,MATCH(ROWS($AH$2:AH61),$AH$2:$AH$1001,0),1)&gt;=100000,INDEX($AO$1005:$BQ$1005,1,MATCH(COLUMNS($AO$1006:BN1006),$AO$1006:$BQ$1006,0))&gt;=100000), " ",IF(INDEX($AO$2:$BQ$1001,MATCH(ROWS($AH$2:AH61),$AH$2:$AH$1001,0),MATCH(COLUMNS($AO$1006:BN1006),$AO$1006:$BQ$1006,0)), HYPERLINK("#",""), HYPERLINK(CONCATENATE("#Metadata!", ADDRESS(INDEX($AJ$2:$AJ$1001,MATCH(ROWS($AH$2:AH61),$AH$2:$AH$1001,0),0), INDEX($AO$1004:$BQ$1004,1,MATCH(COLUMNS($AO$1006:BN1006),$AO$1006:$BQ$1006,0)))),"Fix")))</f>
        <v>#N/A</v>
      </c>
      <c r="AB61" s="5" t="e">
        <f ca="1">IF(OR(INDEX($AI$2:$AI$1001,MATCH(ROWS($AH$2:AH61),$AH$2:$AH$1001,0),1)&gt;=100000,INDEX($AO$1005:$BQ$1005,1,MATCH(COLUMNS($AO$1006:BO1006),$AO$1006:$BQ$1006,0))&gt;=100000), " ",IF(INDEX($AO$2:$BQ$1001,MATCH(ROWS($AH$2:AH61),$AH$2:$AH$1001,0),MATCH(COLUMNS($AO$1006:BO1006),$AO$1006:$BQ$1006,0)), HYPERLINK("#",""), HYPERLINK(CONCATENATE("#Metadata!", ADDRESS(INDEX($AJ$2:$AJ$1001,MATCH(ROWS($AH$2:AH61),$AH$2:$AH$1001,0),0), INDEX($AO$1004:$BQ$1004,1,MATCH(COLUMNS($AO$1006:BO1006),$AO$1006:$BQ$1006,0)))),"Fix")))</f>
        <v>#N/A</v>
      </c>
      <c r="AC61" s="5" t="e">
        <f ca="1">IF(OR(INDEX($AI$2:$AI$1001,MATCH(ROWS($AH$2:AH61),$AH$2:$AH$1001,0),1)&gt;=100000,INDEX($AO$1005:$BQ$1005,1,MATCH(COLUMNS($AO$1006:BP1006),$AO$1006:$BQ$1006,0))&gt;=100000), " ",IF(INDEX($AO$2:$BQ$1001,MATCH(ROWS($AH$2:AH61),$AH$2:$AH$1001,0),MATCH(COLUMNS($AO$1006:BP1006),$AO$1006:$BQ$1006,0)), HYPERLINK("#",""), HYPERLINK(CONCATENATE("#Metadata!", ADDRESS(INDEX($AJ$2:$AJ$1001,MATCH(ROWS($AH$2:AH61),$AH$2:$AH$1001,0),0), INDEX($AO$1004:$BQ$1004,1,MATCH(COLUMNS($AO$1006:BP1006),$AO$1006:$BQ$1006,0)))),"Fix")))</f>
        <v>#N/A</v>
      </c>
      <c r="AD61" s="5" t="e">
        <f ca="1">IF(OR(INDEX($AI$2:$AI$1001,MATCH(ROWS($AH$2:AH61),$AH$2:$AH$1001,0),1)&gt;=100000,INDEX($AO$1005:$BQ$1005,1,MATCH(COLUMNS($AO$1006:BQ1006),$AO$1006:$BQ$1006,0))&gt;=100000), " ",IF(INDEX($AO$2:$BQ$1001,MATCH(ROWS($AH$2:AH61),$AH$2:$AH$1001,0),MATCH(COLUMNS($AO$1006:BQ1006),$AO$1006:$BQ$1006,0)), HYPERLINK("#",""), HYPERLINK(CONCATENATE("#Metadata!", ADDRESS(INDEX($AJ$2:$AJ$1001,MATCH(ROWS($AH$2:AH61),$AH$2:$AH$1001,0),0), INDEX($AO$1004:$BQ$1004,1,MATCH(COLUMNS($AO$1006:BQ1006),$AO$1006:$BQ$1006,0)))),"Fix")))</f>
        <v>#REF!</v>
      </c>
      <c r="AH61">
        <f ca="1"/>
        <v>58</v>
      </c>
      <c r="AI61">
        <v>100061</v>
      </c>
      <c r="AJ61">
        <v>61</v>
      </c>
      <c r="AK61" t="b">
        <f t="shared" si="0"/>
        <v>1</v>
      </c>
      <c r="AL61" t="b">
        <f>COUNTBLANK(Metadata!B61:AD61)=COLUMNS(Metadata!B61:AD61)</f>
        <v>1</v>
      </c>
      <c r="AM61" t="str">
        <v/>
      </c>
      <c r="AO61" t="b">
        <f ca="1">AND(IF(Metadata!B60="",FALSE,TRUE),COUNTIF(Metadata!B:B, Metadata!B60) = 1,NOT(ISERROR(SUMPRODUCT(SEARCH(MID(Metadata!B60,ROW(INDIRECT("1:"&amp;LEN(Metadata!B60))), 1),"0123456789abcdefghijklmnopqrstuvwxyzABCDEFGHIJKLMNOPQRSTUVWXYZ.")))))</f>
        <v>1</v>
      </c>
      <c r="AP61" t="b">
        <f>IF(Metadata!C60="",FALSE,TRUE)</f>
        <v>1</v>
      </c>
      <c r="AQ61" t="b">
        <f>IF(Metadata!D60="",FALSE,TRUE)</f>
        <v>1</v>
      </c>
      <c r="AR61" t="b">
        <f ca="1">OR(AND(IF(Metadata!E60="",FALSE,TRUE),OR(EXACT(Metadata!E60,"not collected"),EXACT(Metadata!E60,"not provided"),EXACT(Metadata!E60,"restricted access"))),AND(IF(Metadata!E60="",FALSE,TRUE),AND(AND(IFERROR(INT(LEFT(Metadata!E60,4))&gt;1900,FALSE),IFERROR(INT(LEFT(Metadata!E60,4))&lt;=YEAR(NOW()),FALSE)), OR(MID(Metadata!E60,5,1)="", AND(AND(MID(Metadata!E60,5,1)="-",IFERROR(INT(MID(Metadata!E60,6,1))&gt;=0,FALSE),IFERROR(INT(MID(Metadata!E60,6,1))&lt;=1,FALSE),NOT(MID(Metadata!E60,7,1)=""),IFERROR(INT(MID(Metadata!E60,6,2))&gt;=1,FALSE),IFERROR(INT(MID(Metadata!E60,6,2))&lt;=12,FALSE)), OR(MID(Metadata!E60,8,1)="", AND(AND(MID(Metadata!E60,8,1)="-",IFERROR(INT(MID(Metadata!E60,9,1))&gt;=0,FALSE),IFERROR(INT(MID(Metadata!E60,9,1))&lt;=3,FALSE),NOT(MID(Metadata!E60,10,1)=""),IFERROR(INT(MID(Metadata!E60,9,2))&gt;=1,FALSE),IFERROR(INT(MID(Metadata!E60,9,2))&lt;=31,FALSE)), OR(MID(Metadata!E60,11,1)="", AND(AND(MID(Metadata!E60,11,1)=" ",IFERROR(INT(MID(Metadata!E60,12,1))&gt;=0,FALSE),IFERROR(INT(MID(Metadata!E60,12,1))&lt;=2,FALSE),NOT(MID(Metadata!E60,13,1)=""),IFERROR(INT(MID(Metadata!E60,12,2))&gt;=0,FALSE),IFERROR(INT(MID(Metadata!E60,12,2))&lt;=23,FALSE)), OR(MID(Metadata!E60,14,1)="", AND(AND(MID(Metadata!E60,14,1)=":",IFERROR(INT(MID(Metadata!E60,15,1))&gt;=0,FALSE),IFERROR(INT(MID(Metadata!E60,15,1))&lt;=5,FALSE),NOT(MID(Metadata!E60,16,1)=""),IFERROR(INT(MID(Metadata!E60,15,2))&gt;=0,FALSE),IFERROR(INT(MID(Metadata!E60,15,2))&lt;=59,FALSE)), OR(MID(Metadata!E60,17,1)="", AND(AND(MID(Metadata!E60,17,1)=":",IFERROR(INT(MID(Metadata!E60,18,1))&gt;=0,FALSE),IFERROR(INT(MID(Metadata!E60,18,1))&lt;=5,FALSE),NOT(MID(Metadata!E60,19,1)=""),IFERROR(INT(MID(Metadata!E60,18,2))&gt;=0,FALSE),IFERROR(INT(MID(Metadata!E60,18,2))&lt;=59,FALSE)), LEN(Metadata!E60)&lt;=19)))))))))))))</f>
        <v>0</v>
      </c>
      <c r="AS61" t="b">
        <f>IF(Metadata!F60="",FALSE,TRUE)</f>
        <v>1</v>
      </c>
      <c r="AT61" t="b">
        <f>OR(AND(IF(Metadata!G60="",FALSE,TRUE),OR(EXACT(Metadata!G60,"not collected"),EXACT(Metadata!G60,"not provided"))),AND(IF(Metadata!G60="",FALSE,TRUE),OR(EXACT(Metadata!G60,"TRUE"),EXACT(Metadata!G60,"FALSE"))))</f>
        <v>1</v>
      </c>
      <c r="AU61" t="b">
        <f>OR(AND(IF(Metadata!H60="",FALSE,TRUE),OR(EXACT(Metadata!H60,"not collected"),EXACT(Metadata!H60,"not provided"),EXACT(Metadata!H60,"restricted access"))),AND(IF(Metadata!H60="",FALSE,ISNUMBER(VALUE(Metadata!H60))),Metadata!H60&gt;=-413))</f>
        <v>0</v>
      </c>
      <c r="AV61" t="b">
        <f>AND(IF(Metadata!I60="",FALSE,TRUE),EXACT(Metadata!I60,"meters"))</f>
        <v>1</v>
      </c>
      <c r="AW61" t="b">
        <f>AND(IF(Metadata!J60="",FALSE,TRUE),EXACT(Metadata!J60,"free-living"))</f>
        <v>1</v>
      </c>
      <c r="AX61" t="b">
        <f>AND(IF(Metadata!K60="",FALSE,TRUE),OR(EXACT(Metadata!K60,"saline"),EXACT(Metadata!K60,"non-saline")))</f>
        <v>1</v>
      </c>
      <c r="AY61" t="b">
        <f>AND(IF(Metadata!L60="",FALSE,TRUE),OR(EXACT(Metadata!L60,"sub-surface (non-saline)"),EXACT(Metadata!L60,"surface (non-saline)"),EXACT(Metadata!L60,"water (non-saline)"),EXACT(Metadata!L60,"soil (non-saline)"),EXACT(Metadata!L60,"aerosol (non-saline)"),EXACT(Metadata!L60,"sediment (non-saline)"),EXACT(Metadata!L60,"surface (saline)"),EXACT(Metadata!L60,"water (saline)"),EXACT(Metadata!L60,"hypersaline (saline)"),EXACT(Metadata!L60,"aerosol (saline)"),EXACT(Metadata!L60,"sediment (saline)")))</f>
        <v>1</v>
      </c>
      <c r="AZ61" t="b">
        <f>IF(Metadata!M60="",FALSE,TRUE)</f>
        <v>1</v>
      </c>
      <c r="BA61" t="b">
        <f>IF(Metadata!N60="",FALSE,TRUE)</f>
        <v>1</v>
      </c>
      <c r="BB61" t="b">
        <f>IF(Metadata!O60="",FALSE,TRUE)</f>
        <v>1</v>
      </c>
      <c r="BC61" t="b">
        <f>AND(IF(Metadata!P60="",FALSE,TRUE),OR(EXACT(Metadata!P60,"air"),EXACT(Metadata!P60,"microbial mat/biofilm"),EXACT(Metadata!P60,"misc environment"),EXACT(Metadata!P60,"sediment"),EXACT(Metadata!P60,"soil"),EXACT(Metadata!P60,"wastewater/sludge"),EXACT(Metadata!P60,"water")))</f>
        <v>1</v>
      </c>
      <c r="BD61" t="b">
        <f>IF(Metadata!Q60="",FALSE,TRUE)</f>
        <v>1</v>
      </c>
      <c r="BE61" t="b">
        <f>IF(Metadata!R60="",FALSE,TRUE)</f>
        <v>1</v>
      </c>
      <c r="BF61" t="b">
        <f>OR(AND(IF(Metadata!S60="",FALSE,TRUE),OR(EXACT(Metadata!S60,"not collected"),EXACT(Metadata!S60,"not provided"),EXACT(Metadata!S60,"restricted access"))),AND(IF(Metadata!S60="",FALSE,ISNUMBER(VALUE(Metadata!S60))),Metadata!S60&gt;=-90,Metadata!S60&lt;=90))</f>
        <v>0</v>
      </c>
      <c r="BG61" t="b">
        <f>AND(IF(Metadata!T60="",FALSE,TRUE),EXACT(Metadata!T60,"Decimal degrees"))</f>
        <v>1</v>
      </c>
      <c r="BH61" t="b">
        <f>OR(AND(IF(Metadata!U60="",FALSE,TRUE),OR(EXACT(Metadata!U60,"not applicable"),EXACT(Metadata!U60,"not collected"))),IF(Metadata!U60="",FALSE,TRUE))</f>
        <v>1</v>
      </c>
      <c r="BI61" t="b">
        <f>OR(AND(IF(Metadata!V60="",FALSE,TRUE),OR(EXACT(Metadata!V60,"not collected"),EXACT(Metadata!V60,"not provided"),EXACT(Metadata!V60,"restricted access"))),AND(IF(Metadata!V60="",FALSE,ISNUMBER(VALUE(Metadata!V60))),Metadata!V60&gt;=-180,Metadata!V60&lt;=180))</f>
        <v>0</v>
      </c>
      <c r="BJ61" t="b">
        <f>AND(IF(Metadata!W60="",FALSE,TRUE),EXACT(Metadata!W60,"Decimal degrees"))</f>
        <v>1</v>
      </c>
      <c r="BK61" t="b">
        <f>IF(Metadata!X60="",FALSE,TRUE)</f>
        <v>1</v>
      </c>
      <c r="BL61" t="b">
        <f>OR(AND(IF(Metadata!Y60="",FALSE,TRUE),OR(EXACT(Metadata!Y60,"not collected"),EXACT(Metadata!Y60,"not provided"),EXACT(Metadata!Y60,"restricted access"))),AND(IF(Metadata!Y60="",FALSE,TRUE),OR(EXACT(Metadata!Y60,"TRUE"),EXACT(Metadata!Y60,"FALSE"))))</f>
        <v>1</v>
      </c>
      <c r="BM61" t="b">
        <f>OR(AND(IF(Metadata!Z60="",FALSE,TRUE),EXACT(Metadata!Z60,"not applicable")),AND(IF(Metadata!Z60="",FALSE,TRUE),OR(EXACT(Metadata!Z60,"beer"),EXACT(Metadata!Z60,"cheese"),EXACT(Metadata!Z60,"fresh water"),EXACT(Metadata!Z60,"marine sediment"),EXACT(Metadata!Z60,"sea water"),EXACT(Metadata!Z60,"sediment"),EXACT(Metadata!Z60,"soil"),EXACT(Metadata!Z60,"waste water"))))</f>
        <v>1</v>
      </c>
      <c r="BN61" t="b">
        <f>AND(IF(Metadata!AA60="",FALSE,TRUE),EXACT(Metadata!AA60,"metagenome"))</f>
        <v>1</v>
      </c>
      <c r="BO61" t="b">
        <f>AND(IF(Metadata!AB60="",FALSE,TRUE),EXACT(Metadata!AB60,"256318"))</f>
        <v>1</v>
      </c>
      <c r="BP61" t="b">
        <f>IF(Metadata!AC60="",FALSE,TRUE)</f>
        <v>1</v>
      </c>
      <c r="BQ61" t="b">
        <f>IF(Metadata!AD60="",FALSE,TRUE)</f>
        <v>1</v>
      </c>
    </row>
    <row r="62" spans="1:69" x14ac:dyDescent="0.2">
      <c r="A62" s="4" t="e">
        <f ca="1">IF(B62=" "," ",HYPERLINK(CONCATENATE("#metadata!",ADDRESS(INDEX($AJ$2:$AJ$1001,MATCH(ROWS($AH$2:AH62),$AH$2:$AH$1001,0),0),2)),INDEX($AM$2:$AM$1001,MATCH(ROWS($AH$2:AH62),$AH$2:$AH$1001,0),0)))</f>
        <v>#N/A</v>
      </c>
      <c r="B62" s="5" t="e">
        <f ca="1">IF(OR(INDEX($AI$2:$AI$1001,MATCH(ROWS($AH$2:AH62),$AH$2:$AH$1001,0),1)&gt;=100000,INDEX($AO$1005:$BQ$1005,1,MATCH(COLUMNS($AO$1006:AO1006),$AO$1006:$BQ$1006,0))&gt;=100000), " ",IF(INDEX($AO$2:$BQ$1001,MATCH(ROWS($AH$2:AH62),$AH$2:$AH$1001,0),MATCH(COLUMNS($AO$1006:AO1006),$AO$1006:$BQ$1006,0)), HYPERLINK("#",""), HYPERLINK(CONCATENATE("#Metadata!", ADDRESS(INDEX($AJ$2:$AJ$1001,MATCH(ROWS($AH$2:AH62),$AH$2:$AH$1001,0),0), INDEX($AO$1004:$BQ$1004,1,MATCH(COLUMNS($AO$1006:AO1006),$AO$1006:$BQ$1006,0)))),"Fix")))</f>
        <v>#N/A</v>
      </c>
      <c r="C62" s="5" t="e">
        <f ca="1">IF(OR(INDEX($AI$2:$AI$1001,MATCH(ROWS($AH$2:AH62),$AH$2:$AH$1001,0),1)&gt;=100000,INDEX($AO$1005:$BQ$1005,1,MATCH(COLUMNS($AO$1006:AP1006),$AO$1006:$BQ$1006,0))&gt;=100000), " ",IF(INDEX($AO$2:$BQ$1001,MATCH(ROWS($AH$2:AH62),$AH$2:$AH$1001,0),MATCH(COLUMNS($AO$1006:AP1006),$AO$1006:$BQ$1006,0)), HYPERLINK("#",""), HYPERLINK(CONCATENATE("#Metadata!", ADDRESS(INDEX($AJ$2:$AJ$1001,MATCH(ROWS($AH$2:AH62),$AH$2:$AH$1001,0),0), INDEX($AO$1004:$BQ$1004,1,MATCH(COLUMNS($AO$1006:AP1006),$AO$1006:$BQ$1006,0)))),"Fix")))</f>
        <v>#N/A</v>
      </c>
      <c r="D62" s="5" t="e">
        <f ca="1">IF(OR(INDEX($AI$2:$AI$1001,MATCH(ROWS($AH$2:AH62),$AH$2:$AH$1001,0),1)&gt;=100000,INDEX($AO$1005:$BQ$1005,1,MATCH(COLUMNS($AO$1006:AQ1006),$AO$1006:$BQ$1006,0))&gt;=100000), " ",IF(INDEX($AO$2:$BQ$1001,MATCH(ROWS($AH$2:AH62),$AH$2:$AH$1001,0),MATCH(COLUMNS($AO$1006:AQ1006),$AO$1006:$BQ$1006,0)), HYPERLINK("#",""), HYPERLINK(CONCATENATE("#Metadata!", ADDRESS(INDEX($AJ$2:$AJ$1001,MATCH(ROWS($AH$2:AH62),$AH$2:$AH$1001,0),0), INDEX($AO$1004:$BQ$1004,1,MATCH(COLUMNS($AO$1006:AQ1006),$AO$1006:$BQ$1006,0)))),"Fix")))</f>
        <v>#N/A</v>
      </c>
      <c r="E62" s="5" t="e">
        <f ca="1">IF(OR(INDEX($AI$2:$AI$1001,MATCH(ROWS($AH$2:AH62),$AH$2:$AH$1001,0),1)&gt;=100000,INDEX($AO$1005:$BQ$1005,1,MATCH(COLUMNS($AO$1006:AR1006),$AO$1006:$BQ$1006,0))&gt;=100000), " ",IF(INDEX($AO$2:$BQ$1001,MATCH(ROWS($AH$2:AH62),$AH$2:$AH$1001,0),MATCH(COLUMNS($AO$1006:AR1006),$AO$1006:$BQ$1006,0)), HYPERLINK("#",""), HYPERLINK(CONCATENATE("#Metadata!", ADDRESS(INDEX($AJ$2:$AJ$1001,MATCH(ROWS($AH$2:AH62),$AH$2:$AH$1001,0),0), INDEX($AO$1004:$BQ$1004,1,MATCH(COLUMNS($AO$1006:AR1006),$AO$1006:$BQ$1006,0)))),"Fix")))</f>
        <v>#N/A</v>
      </c>
      <c r="F62" s="5" t="e">
        <f ca="1">IF(OR(INDEX($AI$2:$AI$1001,MATCH(ROWS($AH$2:AH62),$AH$2:$AH$1001,0),1)&gt;=100000,INDEX($AO$1005:$BQ$1005,1,MATCH(COLUMNS($AO$1006:AS1006),$AO$1006:$BQ$1006,0))&gt;=100000), " ",IF(INDEX($AO$2:$BQ$1001,MATCH(ROWS($AH$2:AH62),$AH$2:$AH$1001,0),MATCH(COLUMNS($AO$1006:AS1006),$AO$1006:$BQ$1006,0)), HYPERLINK("#",""), HYPERLINK(CONCATENATE("#Metadata!", ADDRESS(INDEX($AJ$2:$AJ$1001,MATCH(ROWS($AH$2:AH62),$AH$2:$AH$1001,0),0), INDEX($AO$1004:$BQ$1004,1,MATCH(COLUMNS($AO$1006:AS1006),$AO$1006:$BQ$1006,0)))),"Fix")))</f>
        <v>#N/A</v>
      </c>
      <c r="G62" s="5" t="e">
        <f ca="1">IF(OR(INDEX($AI$2:$AI$1001,MATCH(ROWS($AH$2:AH62),$AH$2:$AH$1001,0),1)&gt;=100000,INDEX($AO$1005:$BQ$1005,1,MATCH(COLUMNS($AO$1006:AT1006),$AO$1006:$BQ$1006,0))&gt;=100000), " ",IF(INDEX($AO$2:$BQ$1001,MATCH(ROWS($AH$2:AH62),$AH$2:$AH$1001,0),MATCH(COLUMNS($AO$1006:AT1006),$AO$1006:$BQ$1006,0)), HYPERLINK("#",""), HYPERLINK(CONCATENATE("#Metadata!", ADDRESS(INDEX($AJ$2:$AJ$1001,MATCH(ROWS($AH$2:AH62),$AH$2:$AH$1001,0),0), INDEX($AO$1004:$BQ$1004,1,MATCH(COLUMNS($AO$1006:AT1006),$AO$1006:$BQ$1006,0)))),"Fix")))</f>
        <v>#N/A</v>
      </c>
      <c r="H62" s="5" t="e">
        <f ca="1">IF(OR(INDEX($AI$2:$AI$1001,MATCH(ROWS($AH$2:AH62),$AH$2:$AH$1001,0),1)&gt;=100000,INDEX($AO$1005:$BQ$1005,1,MATCH(COLUMNS($AO$1006:AU1006),$AO$1006:$BQ$1006,0))&gt;=100000), " ",IF(INDEX($AO$2:$BQ$1001,MATCH(ROWS($AH$2:AH62),$AH$2:$AH$1001,0),MATCH(COLUMNS($AO$1006:AU1006),$AO$1006:$BQ$1006,0)), HYPERLINK("#",""), HYPERLINK(CONCATENATE("#Metadata!", ADDRESS(INDEX($AJ$2:$AJ$1001,MATCH(ROWS($AH$2:AH62),$AH$2:$AH$1001,0),0), INDEX($AO$1004:$BQ$1004,1,MATCH(COLUMNS($AO$1006:AU1006),$AO$1006:$BQ$1006,0)))),"Fix")))</f>
        <v>#N/A</v>
      </c>
      <c r="I62" s="5" t="e">
        <f ca="1">IF(OR(INDEX($AI$2:$AI$1001,MATCH(ROWS($AH$2:AH62),$AH$2:$AH$1001,0),1)&gt;=100000,INDEX($AO$1005:$BQ$1005,1,MATCH(COLUMNS($AO$1006:AV1006),$AO$1006:$BQ$1006,0))&gt;=100000), " ",IF(INDEX($AO$2:$BQ$1001,MATCH(ROWS($AH$2:AH62),$AH$2:$AH$1001,0),MATCH(COLUMNS($AO$1006:AV1006),$AO$1006:$BQ$1006,0)), HYPERLINK("#",""), HYPERLINK(CONCATENATE("#Metadata!", ADDRESS(INDEX($AJ$2:$AJ$1001,MATCH(ROWS($AH$2:AH62),$AH$2:$AH$1001,0),0), INDEX($AO$1004:$BQ$1004,1,MATCH(COLUMNS($AO$1006:AV1006),$AO$1006:$BQ$1006,0)))),"Fix")))</f>
        <v>#N/A</v>
      </c>
      <c r="J62" s="5" t="e">
        <f ca="1">IF(OR(INDEX($AI$2:$AI$1001,MATCH(ROWS($AH$2:AH62),$AH$2:$AH$1001,0),1)&gt;=100000,INDEX($AO$1005:$BQ$1005,1,MATCH(COLUMNS($AO$1006:AW1006),$AO$1006:$BQ$1006,0))&gt;=100000), " ",IF(INDEX($AO$2:$BQ$1001,MATCH(ROWS($AH$2:AH62),$AH$2:$AH$1001,0),MATCH(COLUMNS($AO$1006:AW1006),$AO$1006:$BQ$1006,0)), HYPERLINK("#",""), HYPERLINK(CONCATENATE("#Metadata!", ADDRESS(INDEX($AJ$2:$AJ$1001,MATCH(ROWS($AH$2:AH62),$AH$2:$AH$1001,0),0), INDEX($AO$1004:$BQ$1004,1,MATCH(COLUMNS($AO$1006:AW1006),$AO$1006:$BQ$1006,0)))),"Fix")))</f>
        <v>#N/A</v>
      </c>
      <c r="K62" s="5" t="e">
        <f ca="1">IF(OR(INDEX($AI$2:$AI$1001,MATCH(ROWS($AH$2:AH62),$AH$2:$AH$1001,0),1)&gt;=100000,INDEX($AO$1005:$BQ$1005,1,MATCH(COLUMNS($AO$1006:AX1006),$AO$1006:$BQ$1006,0))&gt;=100000), " ",IF(INDEX($AO$2:$BQ$1001,MATCH(ROWS($AH$2:AH62),$AH$2:$AH$1001,0),MATCH(COLUMNS($AO$1006:AX1006),$AO$1006:$BQ$1006,0)), HYPERLINK("#",""), HYPERLINK(CONCATENATE("#Metadata!", ADDRESS(INDEX($AJ$2:$AJ$1001,MATCH(ROWS($AH$2:AH62),$AH$2:$AH$1001,0),0), INDEX($AO$1004:$BQ$1004,1,MATCH(COLUMNS($AO$1006:AX1006),$AO$1006:$BQ$1006,0)))),"Fix")))</f>
        <v>#N/A</v>
      </c>
      <c r="L62" s="5" t="e">
        <f ca="1">IF(OR(INDEX($AI$2:$AI$1001,MATCH(ROWS($AH$2:AH62),$AH$2:$AH$1001,0),1)&gt;=100000,INDEX($AO$1005:$BQ$1005,1,MATCH(COLUMNS($AO$1006:AY1006),$AO$1006:$BQ$1006,0))&gt;=100000), " ",IF(INDEX($AO$2:$BQ$1001,MATCH(ROWS($AH$2:AH62),$AH$2:$AH$1001,0),MATCH(COLUMNS($AO$1006:AY1006),$AO$1006:$BQ$1006,0)), HYPERLINK("#",""), HYPERLINK(CONCATENATE("#Metadata!", ADDRESS(INDEX($AJ$2:$AJ$1001,MATCH(ROWS($AH$2:AH62),$AH$2:$AH$1001,0),0), INDEX($AO$1004:$BQ$1004,1,MATCH(COLUMNS($AO$1006:AY1006),$AO$1006:$BQ$1006,0)))),"Fix")))</f>
        <v>#N/A</v>
      </c>
      <c r="M62" s="5" t="e">
        <f ca="1">IF(OR(INDEX($AI$2:$AI$1001,MATCH(ROWS($AH$2:AH62),$AH$2:$AH$1001,0),1)&gt;=100000,INDEX($AO$1005:$BQ$1005,1,MATCH(COLUMNS($AO$1006:AZ1006),$AO$1006:$BQ$1006,0))&gt;=100000), " ",IF(INDEX($AO$2:$BQ$1001,MATCH(ROWS($AH$2:AH62),$AH$2:$AH$1001,0),MATCH(COLUMNS($AO$1006:AZ1006),$AO$1006:$BQ$1006,0)), HYPERLINK("#",""), HYPERLINK(CONCATENATE("#Metadata!", ADDRESS(INDEX($AJ$2:$AJ$1001,MATCH(ROWS($AH$2:AH62),$AH$2:$AH$1001,0),0), INDEX($AO$1004:$BQ$1004,1,MATCH(COLUMNS($AO$1006:AZ1006),$AO$1006:$BQ$1006,0)))),"Fix")))</f>
        <v>#N/A</v>
      </c>
      <c r="N62" s="5" t="e">
        <f ca="1">IF(OR(INDEX($AI$2:$AI$1001,MATCH(ROWS($AH$2:AH62),$AH$2:$AH$1001,0),1)&gt;=100000,INDEX($AO$1005:$BQ$1005,1,MATCH(COLUMNS($AO$1006:BA1006),$AO$1006:$BQ$1006,0))&gt;=100000), " ",IF(INDEX($AO$2:$BQ$1001,MATCH(ROWS($AH$2:AH62),$AH$2:$AH$1001,0),MATCH(COLUMNS($AO$1006:BA1006),$AO$1006:$BQ$1006,0)), HYPERLINK("#",""), HYPERLINK(CONCATENATE("#Metadata!", ADDRESS(INDEX($AJ$2:$AJ$1001,MATCH(ROWS($AH$2:AH62),$AH$2:$AH$1001,0),0), INDEX($AO$1004:$BQ$1004,1,MATCH(COLUMNS($AO$1006:BA1006),$AO$1006:$BQ$1006,0)))),"Fix")))</f>
        <v>#N/A</v>
      </c>
      <c r="O62" s="5" t="e">
        <f ca="1">IF(OR(INDEX($AI$2:$AI$1001,MATCH(ROWS($AH$2:AH62),$AH$2:$AH$1001,0),1)&gt;=100000,INDEX($AO$1005:$BQ$1005,1,MATCH(COLUMNS($AO$1006:BB1006),$AO$1006:$BQ$1006,0))&gt;=100000), " ",IF(INDEX($AO$2:$BQ$1001,MATCH(ROWS($AH$2:AH62),$AH$2:$AH$1001,0),MATCH(COLUMNS($AO$1006:BB1006),$AO$1006:$BQ$1006,0)), HYPERLINK("#",""), HYPERLINK(CONCATENATE("#Metadata!", ADDRESS(INDEX($AJ$2:$AJ$1001,MATCH(ROWS($AH$2:AH62),$AH$2:$AH$1001,0),0), INDEX($AO$1004:$BQ$1004,1,MATCH(COLUMNS($AO$1006:BB1006),$AO$1006:$BQ$1006,0)))),"Fix")))</f>
        <v>#N/A</v>
      </c>
      <c r="P62" s="5" t="e">
        <f ca="1">IF(OR(INDEX($AI$2:$AI$1001,MATCH(ROWS($AH$2:AH62),$AH$2:$AH$1001,0),1)&gt;=100000,INDEX($AO$1005:$BQ$1005,1,MATCH(COLUMNS($AO$1006:BC1006),$AO$1006:$BQ$1006,0))&gt;=100000), " ",IF(INDEX($AO$2:$BQ$1001,MATCH(ROWS($AH$2:AH62),$AH$2:$AH$1001,0),MATCH(COLUMNS($AO$1006:BC1006),$AO$1006:$BQ$1006,0)), HYPERLINK("#",""), HYPERLINK(CONCATENATE("#Metadata!", ADDRESS(INDEX($AJ$2:$AJ$1001,MATCH(ROWS($AH$2:AH62),$AH$2:$AH$1001,0),0), INDEX($AO$1004:$BQ$1004,1,MATCH(COLUMNS($AO$1006:BC1006),$AO$1006:$BQ$1006,0)))),"Fix")))</f>
        <v>#N/A</v>
      </c>
      <c r="Q62" s="5" t="e">
        <f ca="1">IF(OR(INDEX($AI$2:$AI$1001,MATCH(ROWS($AH$2:AH62),$AH$2:$AH$1001,0),1)&gt;=100000,INDEX($AO$1005:$BQ$1005,1,MATCH(COLUMNS($AO$1006:BD1006),$AO$1006:$BQ$1006,0))&gt;=100000), " ",IF(INDEX($AO$2:$BQ$1001,MATCH(ROWS($AH$2:AH62),$AH$2:$AH$1001,0),MATCH(COLUMNS($AO$1006:BD1006),$AO$1006:$BQ$1006,0)), HYPERLINK("#",""), HYPERLINK(CONCATENATE("#Metadata!", ADDRESS(INDEX($AJ$2:$AJ$1001,MATCH(ROWS($AH$2:AH62),$AH$2:$AH$1001,0),0), INDEX($AO$1004:$BQ$1004,1,MATCH(COLUMNS($AO$1006:BD1006),$AO$1006:$BQ$1006,0)))),"Fix")))</f>
        <v>#N/A</v>
      </c>
      <c r="R62" s="5" t="e">
        <f ca="1">IF(OR(INDEX($AI$2:$AI$1001,MATCH(ROWS($AH$2:AH62),$AH$2:$AH$1001,0),1)&gt;=100000,INDEX($AO$1005:$BQ$1005,1,MATCH(COLUMNS($AO$1006:BE1006),$AO$1006:$BQ$1006,0))&gt;=100000), " ",IF(INDEX($AO$2:$BQ$1001,MATCH(ROWS($AH$2:AH62),$AH$2:$AH$1001,0),MATCH(COLUMNS($AO$1006:BE1006),$AO$1006:$BQ$1006,0)), HYPERLINK("#",""), HYPERLINK(CONCATENATE("#Metadata!", ADDRESS(INDEX($AJ$2:$AJ$1001,MATCH(ROWS($AH$2:AH62),$AH$2:$AH$1001,0),0), INDEX($AO$1004:$BQ$1004,1,MATCH(COLUMNS($AO$1006:BE1006),$AO$1006:$BQ$1006,0)))),"Fix")))</f>
        <v>#N/A</v>
      </c>
      <c r="S62" s="5" t="e">
        <f ca="1">IF(OR(INDEX($AI$2:$AI$1001,MATCH(ROWS($AH$2:AH62),$AH$2:$AH$1001,0),1)&gt;=100000,INDEX($AO$1005:$BQ$1005,1,MATCH(COLUMNS($AO$1006:BF1006),$AO$1006:$BQ$1006,0))&gt;=100000), " ",IF(INDEX($AO$2:$BQ$1001,MATCH(ROWS($AH$2:AH62),$AH$2:$AH$1001,0),MATCH(COLUMNS($AO$1006:BF1006),$AO$1006:$BQ$1006,0)), HYPERLINK("#",""), HYPERLINK(CONCATENATE("#Metadata!", ADDRESS(INDEX($AJ$2:$AJ$1001,MATCH(ROWS($AH$2:AH62),$AH$2:$AH$1001,0),0), INDEX($AO$1004:$BQ$1004,1,MATCH(COLUMNS($AO$1006:BF1006),$AO$1006:$BQ$1006,0)))),"Fix")))</f>
        <v>#N/A</v>
      </c>
      <c r="T62" s="5" t="e">
        <f ca="1">IF(OR(INDEX($AI$2:$AI$1001,MATCH(ROWS($AH$2:AH62),$AH$2:$AH$1001,0),1)&gt;=100000,INDEX($AO$1005:$BQ$1005,1,MATCH(COLUMNS($AO$1006:BG1006),$AO$1006:$BQ$1006,0))&gt;=100000), " ",IF(INDEX($AO$2:$BQ$1001,MATCH(ROWS($AH$2:AH62),$AH$2:$AH$1001,0),MATCH(COLUMNS($AO$1006:BG1006),$AO$1006:$BQ$1006,0)), HYPERLINK("#",""), HYPERLINK(CONCATENATE("#Metadata!", ADDRESS(INDEX($AJ$2:$AJ$1001,MATCH(ROWS($AH$2:AH62),$AH$2:$AH$1001,0),0), INDEX($AO$1004:$BQ$1004,1,MATCH(COLUMNS($AO$1006:BG1006),$AO$1006:$BQ$1006,0)))),"Fix")))</f>
        <v>#N/A</v>
      </c>
      <c r="U62" s="5" t="e">
        <f ca="1">IF(OR(INDEX($AI$2:$AI$1001,MATCH(ROWS($AH$2:AH62),$AH$2:$AH$1001,0),1)&gt;=100000,INDEX($AO$1005:$BQ$1005,1,MATCH(COLUMNS($AO$1006:BH1006),$AO$1006:$BQ$1006,0))&gt;=100000), " ",IF(INDEX($AO$2:$BQ$1001,MATCH(ROWS($AH$2:AH62),$AH$2:$AH$1001,0),MATCH(COLUMNS($AO$1006:BH1006),$AO$1006:$BQ$1006,0)), HYPERLINK("#",""), HYPERLINK(CONCATENATE("#Metadata!", ADDRESS(INDEX($AJ$2:$AJ$1001,MATCH(ROWS($AH$2:AH62),$AH$2:$AH$1001,0),0), INDEX($AO$1004:$BQ$1004,1,MATCH(COLUMNS($AO$1006:BH1006),$AO$1006:$BQ$1006,0)))),"Fix")))</f>
        <v>#N/A</v>
      </c>
      <c r="V62" s="5" t="e">
        <f ca="1">IF(OR(INDEX($AI$2:$AI$1001,MATCH(ROWS($AH$2:AH62),$AH$2:$AH$1001,0),1)&gt;=100000,INDEX($AO$1005:$BQ$1005,1,MATCH(COLUMNS($AO$1006:BI1006),$AO$1006:$BQ$1006,0))&gt;=100000), " ",IF(INDEX($AO$2:$BQ$1001,MATCH(ROWS($AH$2:AH62),$AH$2:$AH$1001,0),MATCH(COLUMNS($AO$1006:BI1006),$AO$1006:$BQ$1006,0)), HYPERLINK("#",""), HYPERLINK(CONCATENATE("#Metadata!", ADDRESS(INDEX($AJ$2:$AJ$1001,MATCH(ROWS($AH$2:AH62),$AH$2:$AH$1001,0),0), INDEX($AO$1004:$BQ$1004,1,MATCH(COLUMNS($AO$1006:BI1006),$AO$1006:$BQ$1006,0)))),"Fix")))</f>
        <v>#N/A</v>
      </c>
      <c r="W62" s="5" t="e">
        <f ca="1">IF(OR(INDEX($AI$2:$AI$1001,MATCH(ROWS($AH$2:AH62),$AH$2:$AH$1001,0),1)&gt;=100000,INDEX($AO$1005:$BQ$1005,1,MATCH(COLUMNS($AO$1006:BJ1006),$AO$1006:$BQ$1006,0))&gt;=100000), " ",IF(INDEX($AO$2:$BQ$1001,MATCH(ROWS($AH$2:AH62),$AH$2:$AH$1001,0),MATCH(COLUMNS($AO$1006:BJ1006),$AO$1006:$BQ$1006,0)), HYPERLINK("#",""), HYPERLINK(CONCATENATE("#Metadata!", ADDRESS(INDEX($AJ$2:$AJ$1001,MATCH(ROWS($AH$2:AH62),$AH$2:$AH$1001,0),0), INDEX($AO$1004:$BQ$1004,1,MATCH(COLUMNS($AO$1006:BJ1006),$AO$1006:$BQ$1006,0)))),"Fix")))</f>
        <v>#N/A</v>
      </c>
      <c r="X62" s="5" t="e">
        <f ca="1">IF(OR(INDEX($AI$2:$AI$1001,MATCH(ROWS($AH$2:AH62),$AH$2:$AH$1001,0),1)&gt;=100000,INDEX($AO$1005:$BQ$1005,1,MATCH(COLUMNS($AO$1006:BK1006),$AO$1006:$BQ$1006,0))&gt;=100000), " ",IF(INDEX($AO$2:$BQ$1001,MATCH(ROWS($AH$2:AH62),$AH$2:$AH$1001,0),MATCH(COLUMNS($AO$1006:BK1006),$AO$1006:$BQ$1006,0)), HYPERLINK("#",""), HYPERLINK(CONCATENATE("#Metadata!", ADDRESS(INDEX($AJ$2:$AJ$1001,MATCH(ROWS($AH$2:AH62),$AH$2:$AH$1001,0),0), INDEX($AO$1004:$BQ$1004,1,MATCH(COLUMNS($AO$1006:BK1006),$AO$1006:$BQ$1006,0)))),"Fix")))</f>
        <v>#N/A</v>
      </c>
      <c r="Y62" s="5" t="e">
        <f ca="1">IF(OR(INDEX($AI$2:$AI$1001,MATCH(ROWS($AH$2:AH62),$AH$2:$AH$1001,0),1)&gt;=100000,INDEX($AO$1005:$BQ$1005,1,MATCH(COLUMNS($AO$1006:BL1006),$AO$1006:$BQ$1006,0))&gt;=100000), " ",IF(INDEX($AO$2:$BQ$1001,MATCH(ROWS($AH$2:AH62),$AH$2:$AH$1001,0),MATCH(COLUMNS($AO$1006:BL1006),$AO$1006:$BQ$1006,0)), HYPERLINK("#",""), HYPERLINK(CONCATENATE("#Metadata!", ADDRESS(INDEX($AJ$2:$AJ$1001,MATCH(ROWS($AH$2:AH62),$AH$2:$AH$1001,0),0), INDEX($AO$1004:$BQ$1004,1,MATCH(COLUMNS($AO$1006:BL1006),$AO$1006:$BQ$1006,0)))),"Fix")))</f>
        <v>#N/A</v>
      </c>
      <c r="Z62" s="5" t="e">
        <f ca="1">IF(OR(INDEX($AI$2:$AI$1001,MATCH(ROWS($AH$2:AH62),$AH$2:$AH$1001,0),1)&gt;=100000,INDEX($AO$1005:$BQ$1005,1,MATCH(COLUMNS($AO$1006:BM1006),$AO$1006:$BQ$1006,0))&gt;=100000), " ",IF(INDEX($AO$2:$BQ$1001,MATCH(ROWS($AH$2:AH62),$AH$2:$AH$1001,0),MATCH(COLUMNS($AO$1006:BM1006),$AO$1006:$BQ$1006,0)), HYPERLINK("#",""), HYPERLINK(CONCATENATE("#Metadata!", ADDRESS(INDEX($AJ$2:$AJ$1001,MATCH(ROWS($AH$2:AH62),$AH$2:$AH$1001,0),0), INDEX($AO$1004:$BQ$1004,1,MATCH(COLUMNS($AO$1006:BM1006),$AO$1006:$BQ$1006,0)))),"Fix")))</f>
        <v>#N/A</v>
      </c>
      <c r="AA62" s="5" t="e">
        <f ca="1">IF(OR(INDEX($AI$2:$AI$1001,MATCH(ROWS($AH$2:AH62),$AH$2:$AH$1001,0),1)&gt;=100000,INDEX($AO$1005:$BQ$1005,1,MATCH(COLUMNS($AO$1006:BN1006),$AO$1006:$BQ$1006,0))&gt;=100000), " ",IF(INDEX($AO$2:$BQ$1001,MATCH(ROWS($AH$2:AH62),$AH$2:$AH$1001,0),MATCH(COLUMNS($AO$1006:BN1006),$AO$1006:$BQ$1006,0)), HYPERLINK("#",""), HYPERLINK(CONCATENATE("#Metadata!", ADDRESS(INDEX($AJ$2:$AJ$1001,MATCH(ROWS($AH$2:AH62),$AH$2:$AH$1001,0),0), INDEX($AO$1004:$BQ$1004,1,MATCH(COLUMNS($AO$1006:BN1006),$AO$1006:$BQ$1006,0)))),"Fix")))</f>
        <v>#N/A</v>
      </c>
      <c r="AB62" s="5" t="e">
        <f ca="1">IF(OR(INDEX($AI$2:$AI$1001,MATCH(ROWS($AH$2:AH62),$AH$2:$AH$1001,0),1)&gt;=100000,INDEX($AO$1005:$BQ$1005,1,MATCH(COLUMNS($AO$1006:BO1006),$AO$1006:$BQ$1006,0))&gt;=100000), " ",IF(INDEX($AO$2:$BQ$1001,MATCH(ROWS($AH$2:AH62),$AH$2:$AH$1001,0),MATCH(COLUMNS($AO$1006:BO1006),$AO$1006:$BQ$1006,0)), HYPERLINK("#",""), HYPERLINK(CONCATENATE("#Metadata!", ADDRESS(INDEX($AJ$2:$AJ$1001,MATCH(ROWS($AH$2:AH62),$AH$2:$AH$1001,0),0), INDEX($AO$1004:$BQ$1004,1,MATCH(COLUMNS($AO$1006:BO1006),$AO$1006:$BQ$1006,0)))),"Fix")))</f>
        <v>#N/A</v>
      </c>
      <c r="AC62" s="5" t="e">
        <f ca="1">IF(OR(INDEX($AI$2:$AI$1001,MATCH(ROWS($AH$2:AH62),$AH$2:$AH$1001,0),1)&gt;=100000,INDEX($AO$1005:$BQ$1005,1,MATCH(COLUMNS($AO$1006:BP1006),$AO$1006:$BQ$1006,0))&gt;=100000), " ",IF(INDEX($AO$2:$BQ$1001,MATCH(ROWS($AH$2:AH62),$AH$2:$AH$1001,0),MATCH(COLUMNS($AO$1006:BP1006),$AO$1006:$BQ$1006,0)), HYPERLINK("#",""), HYPERLINK(CONCATENATE("#Metadata!", ADDRESS(INDEX($AJ$2:$AJ$1001,MATCH(ROWS($AH$2:AH62),$AH$2:$AH$1001,0),0), INDEX($AO$1004:$BQ$1004,1,MATCH(COLUMNS($AO$1006:BP1006),$AO$1006:$BQ$1006,0)))),"Fix")))</f>
        <v>#N/A</v>
      </c>
      <c r="AD62" s="5" t="e">
        <f ca="1">IF(OR(INDEX($AI$2:$AI$1001,MATCH(ROWS($AH$2:AH62),$AH$2:$AH$1001,0),1)&gt;=100000,INDEX($AO$1005:$BQ$1005,1,MATCH(COLUMNS($AO$1006:BQ1006),$AO$1006:$BQ$1006,0))&gt;=100000), " ",IF(INDEX($AO$2:$BQ$1001,MATCH(ROWS($AH$2:AH62),$AH$2:$AH$1001,0),MATCH(COLUMNS($AO$1006:BQ1006),$AO$1006:$BQ$1006,0)), HYPERLINK("#",""), HYPERLINK(CONCATENATE("#Metadata!", ADDRESS(INDEX($AJ$2:$AJ$1001,MATCH(ROWS($AH$2:AH62),$AH$2:$AH$1001,0),0), INDEX($AO$1004:$BQ$1004,1,MATCH(COLUMNS($AO$1006:BQ1006),$AO$1006:$BQ$1006,0)))),"Fix")))</f>
        <v>#REF!</v>
      </c>
      <c r="AH62">
        <f ca="1"/>
        <v>59</v>
      </c>
      <c r="AI62">
        <v>100062</v>
      </c>
      <c r="AJ62">
        <v>62</v>
      </c>
      <c r="AK62" t="b">
        <f t="shared" si="0"/>
        <v>1</v>
      </c>
      <c r="AL62" t="b">
        <f>COUNTBLANK(Metadata!B62:AD62)=COLUMNS(Metadata!B62:AD62)</f>
        <v>1</v>
      </c>
      <c r="AM62" t="str">
        <v/>
      </c>
      <c r="AO62" t="b">
        <f ca="1">AND(IF(Metadata!B62="",FALSE,TRUE),COUNTIF(Metadata!B:B, Metadata!B62) = 1,NOT(ISERROR(SUMPRODUCT(SEARCH(MID(Metadata!B62,ROW(INDIRECT("1:"&amp;LEN(Metadata!B62))), 1),"0123456789abcdefghijklmnopqrstuvwxyzABCDEFGHIJKLMNOPQRSTUVWXYZ.")))))</f>
        <v>0</v>
      </c>
      <c r="AP62" t="b">
        <f>IF(Metadata!C62="",FALSE,TRUE)</f>
        <v>0</v>
      </c>
      <c r="AQ62" t="b">
        <f>IF(Metadata!D62="",FALSE,TRUE)</f>
        <v>0</v>
      </c>
      <c r="AR62" t="b">
        <f ca="1">OR(AND(IF(Metadata!E62="",FALSE,TRUE),OR(EXACT(Metadata!E62,"not collected"),EXACT(Metadata!E62,"not provided"),EXACT(Metadata!E62,"restricted access"))),AND(IF(Metadata!E62="",FALSE,TRUE),AND(AND(IFERROR(INT(LEFT(Metadata!E62,4))&gt;1900,FALSE),IFERROR(INT(LEFT(Metadata!E62,4))&lt;=YEAR(NOW()),FALSE)), OR(MID(Metadata!E62,5,1)="", AND(AND(MID(Metadata!E62,5,1)="-",IFERROR(INT(MID(Metadata!E62,6,1))&gt;=0,FALSE),IFERROR(INT(MID(Metadata!E62,6,1))&lt;=1,FALSE),NOT(MID(Metadata!E62,7,1)=""),IFERROR(INT(MID(Metadata!E62,6,2))&gt;=1,FALSE),IFERROR(INT(MID(Metadata!E62,6,2))&lt;=12,FALSE)), OR(MID(Metadata!E62,8,1)="", AND(AND(MID(Metadata!E62,8,1)="-",IFERROR(INT(MID(Metadata!E62,9,1))&gt;=0,FALSE),IFERROR(INT(MID(Metadata!E62,9,1))&lt;=3,FALSE),NOT(MID(Metadata!E62,10,1)=""),IFERROR(INT(MID(Metadata!E62,9,2))&gt;=1,FALSE),IFERROR(INT(MID(Metadata!E62,9,2))&lt;=31,FALSE)), OR(MID(Metadata!E62,11,1)="", AND(AND(MID(Metadata!E62,11,1)=" ",IFERROR(INT(MID(Metadata!E62,12,1))&gt;=0,FALSE),IFERROR(INT(MID(Metadata!E62,12,1))&lt;=2,FALSE),NOT(MID(Metadata!E62,13,1)=""),IFERROR(INT(MID(Metadata!E62,12,2))&gt;=0,FALSE),IFERROR(INT(MID(Metadata!E62,12,2))&lt;=23,FALSE)), OR(MID(Metadata!E62,14,1)="", AND(AND(MID(Metadata!E62,14,1)=":",IFERROR(INT(MID(Metadata!E62,15,1))&gt;=0,FALSE),IFERROR(INT(MID(Metadata!E62,15,1))&lt;=5,FALSE),NOT(MID(Metadata!E62,16,1)=""),IFERROR(INT(MID(Metadata!E62,15,2))&gt;=0,FALSE),IFERROR(INT(MID(Metadata!E62,15,2))&lt;=59,FALSE)), OR(MID(Metadata!E62,17,1)="", AND(AND(MID(Metadata!E62,17,1)=":",IFERROR(INT(MID(Metadata!E62,18,1))&gt;=0,FALSE),IFERROR(INT(MID(Metadata!E62,18,1))&lt;=5,FALSE),NOT(MID(Metadata!E62,19,1)=""),IFERROR(INT(MID(Metadata!E62,18,2))&gt;=0,FALSE),IFERROR(INT(MID(Metadata!E62,18,2))&lt;=59,FALSE)), LEN(Metadata!E62)&lt;=19)))))))))))))</f>
        <v>0</v>
      </c>
      <c r="AS62" t="b">
        <f>IF(Metadata!F62="",FALSE,TRUE)</f>
        <v>0</v>
      </c>
      <c r="AT62" t="b">
        <f>OR(AND(IF(Metadata!G62="",FALSE,TRUE),OR(EXACT(Metadata!G62,"not collected"),EXACT(Metadata!G62,"not provided"))),AND(IF(Metadata!G62="",FALSE,TRUE),OR(EXACT(Metadata!G62,"TRUE"),EXACT(Metadata!G62,"FALSE"))))</f>
        <v>0</v>
      </c>
      <c r="AU62" t="b">
        <f>OR(AND(IF(Metadata!H62="",FALSE,TRUE),OR(EXACT(Metadata!H62,"not collected"),EXACT(Metadata!H62,"not provided"),EXACT(Metadata!H62,"restricted access"))),AND(IF(Metadata!H62="",FALSE,ISNUMBER(VALUE(Metadata!H62))),Metadata!H62&gt;=-413))</f>
        <v>0</v>
      </c>
      <c r="AV62" t="b">
        <f>AND(IF(Metadata!I62="",FALSE,TRUE),EXACT(Metadata!I62,"meters"))</f>
        <v>0</v>
      </c>
      <c r="AW62" t="b">
        <f>AND(IF(Metadata!J62="",FALSE,TRUE),EXACT(Metadata!J62,"free-living"))</f>
        <v>0</v>
      </c>
      <c r="AX62" t="b">
        <f>AND(IF(Metadata!K62="",FALSE,TRUE),OR(EXACT(Metadata!K62,"saline"),EXACT(Metadata!K62,"non-saline")))</f>
        <v>0</v>
      </c>
      <c r="AY62" t="b">
        <f>AND(IF(Metadata!L62="",FALSE,TRUE),OR(EXACT(Metadata!L62,"sub-surface (non-saline)"),EXACT(Metadata!L62,"surface (non-saline)"),EXACT(Metadata!L62,"water (non-saline)"),EXACT(Metadata!L62,"soil (non-saline)"),EXACT(Metadata!L62,"aerosol (non-saline)"),EXACT(Metadata!L62,"sediment (non-saline)"),EXACT(Metadata!L62,"surface (saline)"),EXACT(Metadata!L62,"water (saline)"),EXACT(Metadata!L62,"hypersaline (saline)"),EXACT(Metadata!L62,"aerosol (saline)"),EXACT(Metadata!L62,"sediment (saline)")))</f>
        <v>0</v>
      </c>
      <c r="AZ62" t="b">
        <f>IF(Metadata!M62="",FALSE,TRUE)</f>
        <v>0</v>
      </c>
      <c r="BA62" t="b">
        <f>IF(Metadata!N62="",FALSE,TRUE)</f>
        <v>0</v>
      </c>
      <c r="BB62" t="b">
        <f>IF(Metadata!O62="",FALSE,TRUE)</f>
        <v>0</v>
      </c>
      <c r="BC62" t="b">
        <f>AND(IF(Metadata!P62="",FALSE,TRUE),OR(EXACT(Metadata!P62,"air"),EXACT(Metadata!P62,"microbial mat/biofilm"),EXACT(Metadata!P62,"misc environment"),EXACT(Metadata!P62,"sediment"),EXACT(Metadata!P62,"soil"),EXACT(Metadata!P62,"wastewater/sludge"),EXACT(Metadata!P62,"water")))</f>
        <v>0</v>
      </c>
      <c r="BD62" t="b">
        <f>IF(Metadata!Q62="",FALSE,TRUE)</f>
        <v>0</v>
      </c>
      <c r="BE62" t="b">
        <f>IF(Metadata!R62="",FALSE,TRUE)</f>
        <v>0</v>
      </c>
      <c r="BF62" t="b">
        <f>OR(AND(IF(Metadata!S62="",FALSE,TRUE),OR(EXACT(Metadata!S62,"not collected"),EXACT(Metadata!S62,"not provided"),EXACT(Metadata!S62,"restricted access"))),AND(IF(Metadata!S62="",FALSE,ISNUMBER(VALUE(Metadata!S62))),Metadata!S62&gt;=-90,Metadata!S62&lt;=90))</f>
        <v>0</v>
      </c>
      <c r="BG62" t="b">
        <f>AND(IF(Metadata!T62="",FALSE,TRUE),EXACT(Metadata!T62,"Decimal degrees"))</f>
        <v>0</v>
      </c>
      <c r="BH62" t="b">
        <f>OR(AND(IF(Metadata!U62="",FALSE,TRUE),OR(EXACT(Metadata!U62,"not applicable"),EXACT(Metadata!U62,"not collected"))),IF(Metadata!U62="",FALSE,TRUE))</f>
        <v>0</v>
      </c>
      <c r="BI62" t="b">
        <f>OR(AND(IF(Metadata!V62="",FALSE,TRUE),OR(EXACT(Metadata!V62,"not collected"),EXACT(Metadata!V62,"not provided"),EXACT(Metadata!V62,"restricted access"))),AND(IF(Metadata!V62="",FALSE,ISNUMBER(VALUE(Metadata!V62))),Metadata!V62&gt;=-180,Metadata!V62&lt;=180))</f>
        <v>0</v>
      </c>
      <c r="BJ62" t="b">
        <f>AND(IF(Metadata!W62="",FALSE,TRUE),EXACT(Metadata!W62,"Decimal degrees"))</f>
        <v>0</v>
      </c>
      <c r="BK62" t="b">
        <f>IF(Metadata!X62="",FALSE,TRUE)</f>
        <v>0</v>
      </c>
      <c r="BL62" t="b">
        <f>OR(AND(IF(Metadata!Y62="",FALSE,TRUE),OR(EXACT(Metadata!Y62,"not collected"),EXACT(Metadata!Y62,"not provided"),EXACT(Metadata!Y62,"restricted access"))),AND(IF(Metadata!Y62="",FALSE,TRUE),OR(EXACT(Metadata!Y62,"TRUE"),EXACT(Metadata!Y62,"FALSE"))))</f>
        <v>0</v>
      </c>
      <c r="BM62" t="b">
        <f>OR(AND(IF(Metadata!Z62="",FALSE,TRUE),EXACT(Metadata!Z62,"not applicable")),AND(IF(Metadata!Z62="",FALSE,TRUE),OR(EXACT(Metadata!Z62,"beer"),EXACT(Metadata!Z62,"cheese"),EXACT(Metadata!Z62,"fresh water"),EXACT(Metadata!Z62,"marine sediment"),EXACT(Metadata!Z62,"sea water"),EXACT(Metadata!Z62,"sediment"),EXACT(Metadata!Z62,"soil"),EXACT(Metadata!Z62,"waste water"))))</f>
        <v>0</v>
      </c>
      <c r="BN62" t="b">
        <f>AND(IF(Metadata!AA62="",FALSE,TRUE),EXACT(Metadata!AA62,"metagenome"))</f>
        <v>0</v>
      </c>
      <c r="BO62" t="b">
        <f>AND(IF(Metadata!AB62="",FALSE,TRUE),EXACT(Metadata!AB62,"256318"))</f>
        <v>0</v>
      </c>
      <c r="BP62" t="b">
        <f>IF(Metadata!AC62="",FALSE,TRUE)</f>
        <v>0</v>
      </c>
      <c r="BQ62" t="b">
        <f>IF(Metadata!AD62="",FALSE,TRUE)</f>
        <v>0</v>
      </c>
    </row>
    <row r="63" spans="1:69" x14ac:dyDescent="0.2">
      <c r="A63" s="4" t="e">
        <f ca="1">IF(B63=" "," ",HYPERLINK(CONCATENATE("#metadata!",ADDRESS(INDEX($AJ$2:$AJ$1001,MATCH(ROWS($AH$2:AH63),$AH$2:$AH$1001,0),0),2)),INDEX($AM$2:$AM$1001,MATCH(ROWS($AH$2:AH63),$AH$2:$AH$1001,0),0)))</f>
        <v>#N/A</v>
      </c>
      <c r="B63" s="5" t="e">
        <f ca="1">IF(OR(INDEX($AI$2:$AI$1001,MATCH(ROWS($AH$2:AH63),$AH$2:$AH$1001,0),1)&gt;=100000,INDEX($AO$1005:$BQ$1005,1,MATCH(COLUMNS($AO$1006:AO1006),$AO$1006:$BQ$1006,0))&gt;=100000), " ",IF(INDEX($AO$2:$BQ$1001,MATCH(ROWS($AH$2:AH63),$AH$2:$AH$1001,0),MATCH(COLUMNS($AO$1006:AO1006),$AO$1006:$BQ$1006,0)), HYPERLINK("#",""), HYPERLINK(CONCATENATE("#Metadata!", ADDRESS(INDEX($AJ$2:$AJ$1001,MATCH(ROWS($AH$2:AH63),$AH$2:$AH$1001,0),0), INDEX($AO$1004:$BQ$1004,1,MATCH(COLUMNS($AO$1006:AO1006),$AO$1006:$BQ$1006,0)))),"Fix")))</f>
        <v>#N/A</v>
      </c>
      <c r="C63" s="5" t="e">
        <f ca="1">IF(OR(INDEX($AI$2:$AI$1001,MATCH(ROWS($AH$2:AH63),$AH$2:$AH$1001,0),1)&gt;=100000,INDEX($AO$1005:$BQ$1005,1,MATCH(COLUMNS($AO$1006:AP1006),$AO$1006:$BQ$1006,0))&gt;=100000), " ",IF(INDEX($AO$2:$BQ$1001,MATCH(ROWS($AH$2:AH63),$AH$2:$AH$1001,0),MATCH(COLUMNS($AO$1006:AP1006),$AO$1006:$BQ$1006,0)), HYPERLINK("#",""), HYPERLINK(CONCATENATE("#Metadata!", ADDRESS(INDEX($AJ$2:$AJ$1001,MATCH(ROWS($AH$2:AH63),$AH$2:$AH$1001,0),0), INDEX($AO$1004:$BQ$1004,1,MATCH(COLUMNS($AO$1006:AP1006),$AO$1006:$BQ$1006,0)))),"Fix")))</f>
        <v>#N/A</v>
      </c>
      <c r="D63" s="5" t="e">
        <f ca="1">IF(OR(INDEX($AI$2:$AI$1001,MATCH(ROWS($AH$2:AH63),$AH$2:$AH$1001,0),1)&gt;=100000,INDEX($AO$1005:$BQ$1005,1,MATCH(COLUMNS($AO$1006:AQ1006),$AO$1006:$BQ$1006,0))&gt;=100000), " ",IF(INDEX($AO$2:$BQ$1001,MATCH(ROWS($AH$2:AH63),$AH$2:$AH$1001,0),MATCH(COLUMNS($AO$1006:AQ1006),$AO$1006:$BQ$1006,0)), HYPERLINK("#",""), HYPERLINK(CONCATENATE("#Metadata!", ADDRESS(INDEX($AJ$2:$AJ$1001,MATCH(ROWS($AH$2:AH63),$AH$2:$AH$1001,0),0), INDEX($AO$1004:$BQ$1004,1,MATCH(COLUMNS($AO$1006:AQ1006),$AO$1006:$BQ$1006,0)))),"Fix")))</f>
        <v>#N/A</v>
      </c>
      <c r="E63" s="5" t="e">
        <f ca="1">IF(OR(INDEX($AI$2:$AI$1001,MATCH(ROWS($AH$2:AH63),$AH$2:$AH$1001,0),1)&gt;=100000,INDEX($AO$1005:$BQ$1005,1,MATCH(COLUMNS($AO$1006:AR1006),$AO$1006:$BQ$1006,0))&gt;=100000), " ",IF(INDEX($AO$2:$BQ$1001,MATCH(ROWS($AH$2:AH63),$AH$2:$AH$1001,0),MATCH(COLUMNS($AO$1006:AR1006),$AO$1006:$BQ$1006,0)), HYPERLINK("#",""), HYPERLINK(CONCATENATE("#Metadata!", ADDRESS(INDEX($AJ$2:$AJ$1001,MATCH(ROWS($AH$2:AH63),$AH$2:$AH$1001,0),0), INDEX($AO$1004:$BQ$1004,1,MATCH(COLUMNS($AO$1006:AR1006),$AO$1006:$BQ$1006,0)))),"Fix")))</f>
        <v>#N/A</v>
      </c>
      <c r="F63" s="5" t="e">
        <f ca="1">IF(OR(INDEX($AI$2:$AI$1001,MATCH(ROWS($AH$2:AH63),$AH$2:$AH$1001,0),1)&gt;=100000,INDEX($AO$1005:$BQ$1005,1,MATCH(COLUMNS($AO$1006:AS1006),$AO$1006:$BQ$1006,0))&gt;=100000), " ",IF(INDEX($AO$2:$BQ$1001,MATCH(ROWS($AH$2:AH63),$AH$2:$AH$1001,0),MATCH(COLUMNS($AO$1006:AS1006),$AO$1006:$BQ$1006,0)), HYPERLINK("#",""), HYPERLINK(CONCATENATE("#Metadata!", ADDRESS(INDEX($AJ$2:$AJ$1001,MATCH(ROWS($AH$2:AH63),$AH$2:$AH$1001,0),0), INDEX($AO$1004:$BQ$1004,1,MATCH(COLUMNS($AO$1006:AS1006),$AO$1006:$BQ$1006,0)))),"Fix")))</f>
        <v>#N/A</v>
      </c>
      <c r="G63" s="5" t="e">
        <f ca="1">IF(OR(INDEX($AI$2:$AI$1001,MATCH(ROWS($AH$2:AH63),$AH$2:$AH$1001,0),1)&gt;=100000,INDEX($AO$1005:$BQ$1005,1,MATCH(COLUMNS($AO$1006:AT1006),$AO$1006:$BQ$1006,0))&gt;=100000), " ",IF(INDEX($AO$2:$BQ$1001,MATCH(ROWS($AH$2:AH63),$AH$2:$AH$1001,0),MATCH(COLUMNS($AO$1006:AT1006),$AO$1006:$BQ$1006,0)), HYPERLINK("#",""), HYPERLINK(CONCATENATE("#Metadata!", ADDRESS(INDEX($AJ$2:$AJ$1001,MATCH(ROWS($AH$2:AH63),$AH$2:$AH$1001,0),0), INDEX($AO$1004:$BQ$1004,1,MATCH(COLUMNS($AO$1006:AT1006),$AO$1006:$BQ$1006,0)))),"Fix")))</f>
        <v>#N/A</v>
      </c>
      <c r="H63" s="5" t="e">
        <f ca="1">IF(OR(INDEX($AI$2:$AI$1001,MATCH(ROWS($AH$2:AH63),$AH$2:$AH$1001,0),1)&gt;=100000,INDEX($AO$1005:$BQ$1005,1,MATCH(COLUMNS($AO$1006:AU1006),$AO$1006:$BQ$1006,0))&gt;=100000), " ",IF(INDEX($AO$2:$BQ$1001,MATCH(ROWS($AH$2:AH63),$AH$2:$AH$1001,0),MATCH(COLUMNS($AO$1006:AU1006),$AO$1006:$BQ$1006,0)), HYPERLINK("#",""), HYPERLINK(CONCATENATE("#Metadata!", ADDRESS(INDEX($AJ$2:$AJ$1001,MATCH(ROWS($AH$2:AH63),$AH$2:$AH$1001,0),0), INDEX($AO$1004:$BQ$1004,1,MATCH(COLUMNS($AO$1006:AU1006),$AO$1006:$BQ$1006,0)))),"Fix")))</f>
        <v>#N/A</v>
      </c>
      <c r="I63" s="5" t="e">
        <f ca="1">IF(OR(INDEX($AI$2:$AI$1001,MATCH(ROWS($AH$2:AH63),$AH$2:$AH$1001,0),1)&gt;=100000,INDEX($AO$1005:$BQ$1005,1,MATCH(COLUMNS($AO$1006:AV1006),$AO$1006:$BQ$1006,0))&gt;=100000), " ",IF(INDEX($AO$2:$BQ$1001,MATCH(ROWS($AH$2:AH63),$AH$2:$AH$1001,0),MATCH(COLUMNS($AO$1006:AV1006),$AO$1006:$BQ$1006,0)), HYPERLINK("#",""), HYPERLINK(CONCATENATE("#Metadata!", ADDRESS(INDEX($AJ$2:$AJ$1001,MATCH(ROWS($AH$2:AH63),$AH$2:$AH$1001,0),0), INDEX($AO$1004:$BQ$1004,1,MATCH(COLUMNS($AO$1006:AV1006),$AO$1006:$BQ$1006,0)))),"Fix")))</f>
        <v>#N/A</v>
      </c>
      <c r="J63" s="5" t="e">
        <f ca="1">IF(OR(INDEX($AI$2:$AI$1001,MATCH(ROWS($AH$2:AH63),$AH$2:$AH$1001,0),1)&gt;=100000,INDEX($AO$1005:$BQ$1005,1,MATCH(COLUMNS($AO$1006:AW1006),$AO$1006:$BQ$1006,0))&gt;=100000), " ",IF(INDEX($AO$2:$BQ$1001,MATCH(ROWS($AH$2:AH63),$AH$2:$AH$1001,0),MATCH(COLUMNS($AO$1006:AW1006),$AO$1006:$BQ$1006,0)), HYPERLINK("#",""), HYPERLINK(CONCATENATE("#Metadata!", ADDRESS(INDEX($AJ$2:$AJ$1001,MATCH(ROWS($AH$2:AH63),$AH$2:$AH$1001,0),0), INDEX($AO$1004:$BQ$1004,1,MATCH(COLUMNS($AO$1006:AW1006),$AO$1006:$BQ$1006,0)))),"Fix")))</f>
        <v>#N/A</v>
      </c>
      <c r="K63" s="5" t="e">
        <f ca="1">IF(OR(INDEX($AI$2:$AI$1001,MATCH(ROWS($AH$2:AH63),$AH$2:$AH$1001,0),1)&gt;=100000,INDEX($AO$1005:$BQ$1005,1,MATCH(COLUMNS($AO$1006:AX1006),$AO$1006:$BQ$1006,0))&gt;=100000), " ",IF(INDEX($AO$2:$BQ$1001,MATCH(ROWS($AH$2:AH63),$AH$2:$AH$1001,0),MATCH(COLUMNS($AO$1006:AX1006),$AO$1006:$BQ$1006,0)), HYPERLINK("#",""), HYPERLINK(CONCATENATE("#Metadata!", ADDRESS(INDEX($AJ$2:$AJ$1001,MATCH(ROWS($AH$2:AH63),$AH$2:$AH$1001,0),0), INDEX($AO$1004:$BQ$1004,1,MATCH(COLUMNS($AO$1006:AX1006),$AO$1006:$BQ$1006,0)))),"Fix")))</f>
        <v>#N/A</v>
      </c>
      <c r="L63" s="5" t="e">
        <f ca="1">IF(OR(INDEX($AI$2:$AI$1001,MATCH(ROWS($AH$2:AH63),$AH$2:$AH$1001,0),1)&gt;=100000,INDEX($AO$1005:$BQ$1005,1,MATCH(COLUMNS($AO$1006:AY1006),$AO$1006:$BQ$1006,0))&gt;=100000), " ",IF(INDEX($AO$2:$BQ$1001,MATCH(ROWS($AH$2:AH63),$AH$2:$AH$1001,0),MATCH(COLUMNS($AO$1006:AY1006),$AO$1006:$BQ$1006,0)), HYPERLINK("#",""), HYPERLINK(CONCATENATE("#Metadata!", ADDRESS(INDEX($AJ$2:$AJ$1001,MATCH(ROWS($AH$2:AH63),$AH$2:$AH$1001,0),0), INDEX($AO$1004:$BQ$1004,1,MATCH(COLUMNS($AO$1006:AY1006),$AO$1006:$BQ$1006,0)))),"Fix")))</f>
        <v>#N/A</v>
      </c>
      <c r="M63" s="5" t="e">
        <f ca="1">IF(OR(INDEX($AI$2:$AI$1001,MATCH(ROWS($AH$2:AH63),$AH$2:$AH$1001,0),1)&gt;=100000,INDEX($AO$1005:$BQ$1005,1,MATCH(COLUMNS($AO$1006:AZ1006),$AO$1006:$BQ$1006,0))&gt;=100000), " ",IF(INDEX($AO$2:$BQ$1001,MATCH(ROWS($AH$2:AH63),$AH$2:$AH$1001,0),MATCH(COLUMNS($AO$1006:AZ1006),$AO$1006:$BQ$1006,0)), HYPERLINK("#",""), HYPERLINK(CONCATENATE("#Metadata!", ADDRESS(INDEX($AJ$2:$AJ$1001,MATCH(ROWS($AH$2:AH63),$AH$2:$AH$1001,0),0), INDEX($AO$1004:$BQ$1004,1,MATCH(COLUMNS($AO$1006:AZ1006),$AO$1006:$BQ$1006,0)))),"Fix")))</f>
        <v>#N/A</v>
      </c>
      <c r="N63" s="5" t="e">
        <f ca="1">IF(OR(INDEX($AI$2:$AI$1001,MATCH(ROWS($AH$2:AH63),$AH$2:$AH$1001,0),1)&gt;=100000,INDEX($AO$1005:$BQ$1005,1,MATCH(COLUMNS($AO$1006:BA1006),$AO$1006:$BQ$1006,0))&gt;=100000), " ",IF(INDEX($AO$2:$BQ$1001,MATCH(ROWS($AH$2:AH63),$AH$2:$AH$1001,0),MATCH(COLUMNS($AO$1006:BA1006),$AO$1006:$BQ$1006,0)), HYPERLINK("#",""), HYPERLINK(CONCATENATE("#Metadata!", ADDRESS(INDEX($AJ$2:$AJ$1001,MATCH(ROWS($AH$2:AH63),$AH$2:$AH$1001,0),0), INDEX($AO$1004:$BQ$1004,1,MATCH(COLUMNS($AO$1006:BA1006),$AO$1006:$BQ$1006,0)))),"Fix")))</f>
        <v>#N/A</v>
      </c>
      <c r="O63" s="5" t="e">
        <f ca="1">IF(OR(INDEX($AI$2:$AI$1001,MATCH(ROWS($AH$2:AH63),$AH$2:$AH$1001,0),1)&gt;=100000,INDEX($AO$1005:$BQ$1005,1,MATCH(COLUMNS($AO$1006:BB1006),$AO$1006:$BQ$1006,0))&gt;=100000), " ",IF(INDEX($AO$2:$BQ$1001,MATCH(ROWS($AH$2:AH63),$AH$2:$AH$1001,0),MATCH(COLUMNS($AO$1006:BB1006),$AO$1006:$BQ$1006,0)), HYPERLINK("#",""), HYPERLINK(CONCATENATE("#Metadata!", ADDRESS(INDEX($AJ$2:$AJ$1001,MATCH(ROWS($AH$2:AH63),$AH$2:$AH$1001,0),0), INDEX($AO$1004:$BQ$1004,1,MATCH(COLUMNS($AO$1006:BB1006),$AO$1006:$BQ$1006,0)))),"Fix")))</f>
        <v>#N/A</v>
      </c>
      <c r="P63" s="5" t="e">
        <f ca="1">IF(OR(INDEX($AI$2:$AI$1001,MATCH(ROWS($AH$2:AH63),$AH$2:$AH$1001,0),1)&gt;=100000,INDEX($AO$1005:$BQ$1005,1,MATCH(COLUMNS($AO$1006:BC1006),$AO$1006:$BQ$1006,0))&gt;=100000), " ",IF(INDEX($AO$2:$BQ$1001,MATCH(ROWS($AH$2:AH63),$AH$2:$AH$1001,0),MATCH(COLUMNS($AO$1006:BC1006),$AO$1006:$BQ$1006,0)), HYPERLINK("#",""), HYPERLINK(CONCATENATE("#Metadata!", ADDRESS(INDEX($AJ$2:$AJ$1001,MATCH(ROWS($AH$2:AH63),$AH$2:$AH$1001,0),0), INDEX($AO$1004:$BQ$1004,1,MATCH(COLUMNS($AO$1006:BC1006),$AO$1006:$BQ$1006,0)))),"Fix")))</f>
        <v>#N/A</v>
      </c>
      <c r="Q63" s="5" t="e">
        <f ca="1">IF(OR(INDEX($AI$2:$AI$1001,MATCH(ROWS($AH$2:AH63),$AH$2:$AH$1001,0),1)&gt;=100000,INDEX($AO$1005:$BQ$1005,1,MATCH(COLUMNS($AO$1006:BD1006),$AO$1006:$BQ$1006,0))&gt;=100000), " ",IF(INDEX($AO$2:$BQ$1001,MATCH(ROWS($AH$2:AH63),$AH$2:$AH$1001,0),MATCH(COLUMNS($AO$1006:BD1006),$AO$1006:$BQ$1006,0)), HYPERLINK("#",""), HYPERLINK(CONCATENATE("#Metadata!", ADDRESS(INDEX($AJ$2:$AJ$1001,MATCH(ROWS($AH$2:AH63),$AH$2:$AH$1001,0),0), INDEX($AO$1004:$BQ$1004,1,MATCH(COLUMNS($AO$1006:BD1006),$AO$1006:$BQ$1006,0)))),"Fix")))</f>
        <v>#N/A</v>
      </c>
      <c r="R63" s="5" t="e">
        <f ca="1">IF(OR(INDEX($AI$2:$AI$1001,MATCH(ROWS($AH$2:AH63),$AH$2:$AH$1001,0),1)&gt;=100000,INDEX($AO$1005:$BQ$1005,1,MATCH(COLUMNS($AO$1006:BE1006),$AO$1006:$BQ$1006,0))&gt;=100000), " ",IF(INDEX($AO$2:$BQ$1001,MATCH(ROWS($AH$2:AH63),$AH$2:$AH$1001,0),MATCH(COLUMNS($AO$1006:BE1006),$AO$1006:$BQ$1006,0)), HYPERLINK("#",""), HYPERLINK(CONCATENATE("#Metadata!", ADDRESS(INDEX($AJ$2:$AJ$1001,MATCH(ROWS($AH$2:AH63),$AH$2:$AH$1001,0),0), INDEX($AO$1004:$BQ$1004,1,MATCH(COLUMNS($AO$1006:BE1006),$AO$1006:$BQ$1006,0)))),"Fix")))</f>
        <v>#N/A</v>
      </c>
      <c r="S63" s="5" t="e">
        <f ca="1">IF(OR(INDEX($AI$2:$AI$1001,MATCH(ROWS($AH$2:AH63),$AH$2:$AH$1001,0),1)&gt;=100000,INDEX($AO$1005:$BQ$1005,1,MATCH(COLUMNS($AO$1006:BF1006),$AO$1006:$BQ$1006,0))&gt;=100000), " ",IF(INDEX($AO$2:$BQ$1001,MATCH(ROWS($AH$2:AH63),$AH$2:$AH$1001,0),MATCH(COLUMNS($AO$1006:BF1006),$AO$1006:$BQ$1006,0)), HYPERLINK("#",""), HYPERLINK(CONCATENATE("#Metadata!", ADDRESS(INDEX($AJ$2:$AJ$1001,MATCH(ROWS($AH$2:AH63),$AH$2:$AH$1001,0),0), INDEX($AO$1004:$BQ$1004,1,MATCH(COLUMNS($AO$1006:BF1006),$AO$1006:$BQ$1006,0)))),"Fix")))</f>
        <v>#N/A</v>
      </c>
      <c r="T63" s="5" t="e">
        <f ca="1">IF(OR(INDEX($AI$2:$AI$1001,MATCH(ROWS($AH$2:AH63),$AH$2:$AH$1001,0),1)&gt;=100000,INDEX($AO$1005:$BQ$1005,1,MATCH(COLUMNS($AO$1006:BG1006),$AO$1006:$BQ$1006,0))&gt;=100000), " ",IF(INDEX($AO$2:$BQ$1001,MATCH(ROWS($AH$2:AH63),$AH$2:$AH$1001,0),MATCH(COLUMNS($AO$1006:BG1006),$AO$1006:$BQ$1006,0)), HYPERLINK("#",""), HYPERLINK(CONCATENATE("#Metadata!", ADDRESS(INDEX($AJ$2:$AJ$1001,MATCH(ROWS($AH$2:AH63),$AH$2:$AH$1001,0),0), INDEX($AO$1004:$BQ$1004,1,MATCH(COLUMNS($AO$1006:BG1006),$AO$1006:$BQ$1006,0)))),"Fix")))</f>
        <v>#N/A</v>
      </c>
      <c r="U63" s="5" t="e">
        <f ca="1">IF(OR(INDEX($AI$2:$AI$1001,MATCH(ROWS($AH$2:AH63),$AH$2:$AH$1001,0),1)&gt;=100000,INDEX($AO$1005:$BQ$1005,1,MATCH(COLUMNS($AO$1006:BH1006),$AO$1006:$BQ$1006,0))&gt;=100000), " ",IF(INDEX($AO$2:$BQ$1001,MATCH(ROWS($AH$2:AH63),$AH$2:$AH$1001,0),MATCH(COLUMNS($AO$1006:BH1006),$AO$1006:$BQ$1006,0)), HYPERLINK("#",""), HYPERLINK(CONCATENATE("#Metadata!", ADDRESS(INDEX($AJ$2:$AJ$1001,MATCH(ROWS($AH$2:AH63),$AH$2:$AH$1001,0),0), INDEX($AO$1004:$BQ$1004,1,MATCH(COLUMNS($AO$1006:BH1006),$AO$1006:$BQ$1006,0)))),"Fix")))</f>
        <v>#N/A</v>
      </c>
      <c r="V63" s="5" t="e">
        <f ca="1">IF(OR(INDEX($AI$2:$AI$1001,MATCH(ROWS($AH$2:AH63),$AH$2:$AH$1001,0),1)&gt;=100000,INDEX($AO$1005:$BQ$1005,1,MATCH(COLUMNS($AO$1006:BI1006),$AO$1006:$BQ$1006,0))&gt;=100000), " ",IF(INDEX($AO$2:$BQ$1001,MATCH(ROWS($AH$2:AH63),$AH$2:$AH$1001,0),MATCH(COLUMNS($AO$1006:BI1006),$AO$1006:$BQ$1006,0)), HYPERLINK("#",""), HYPERLINK(CONCATENATE("#Metadata!", ADDRESS(INDEX($AJ$2:$AJ$1001,MATCH(ROWS($AH$2:AH63),$AH$2:$AH$1001,0),0), INDEX($AO$1004:$BQ$1004,1,MATCH(COLUMNS($AO$1006:BI1006),$AO$1006:$BQ$1006,0)))),"Fix")))</f>
        <v>#N/A</v>
      </c>
      <c r="W63" s="5" t="e">
        <f ca="1">IF(OR(INDEX($AI$2:$AI$1001,MATCH(ROWS($AH$2:AH63),$AH$2:$AH$1001,0),1)&gt;=100000,INDEX($AO$1005:$BQ$1005,1,MATCH(COLUMNS($AO$1006:BJ1006),$AO$1006:$BQ$1006,0))&gt;=100000), " ",IF(INDEX($AO$2:$BQ$1001,MATCH(ROWS($AH$2:AH63),$AH$2:$AH$1001,0),MATCH(COLUMNS($AO$1006:BJ1006),$AO$1006:$BQ$1006,0)), HYPERLINK("#",""), HYPERLINK(CONCATENATE("#Metadata!", ADDRESS(INDEX($AJ$2:$AJ$1001,MATCH(ROWS($AH$2:AH63),$AH$2:$AH$1001,0),0), INDEX($AO$1004:$BQ$1004,1,MATCH(COLUMNS($AO$1006:BJ1006),$AO$1006:$BQ$1006,0)))),"Fix")))</f>
        <v>#N/A</v>
      </c>
      <c r="X63" s="5" t="e">
        <f ca="1">IF(OR(INDEX($AI$2:$AI$1001,MATCH(ROWS($AH$2:AH63),$AH$2:$AH$1001,0),1)&gt;=100000,INDEX($AO$1005:$BQ$1005,1,MATCH(COLUMNS($AO$1006:BK1006),$AO$1006:$BQ$1006,0))&gt;=100000), " ",IF(INDEX($AO$2:$BQ$1001,MATCH(ROWS($AH$2:AH63),$AH$2:$AH$1001,0),MATCH(COLUMNS($AO$1006:BK1006),$AO$1006:$BQ$1006,0)), HYPERLINK("#",""), HYPERLINK(CONCATENATE("#Metadata!", ADDRESS(INDEX($AJ$2:$AJ$1001,MATCH(ROWS($AH$2:AH63),$AH$2:$AH$1001,0),0), INDEX($AO$1004:$BQ$1004,1,MATCH(COLUMNS($AO$1006:BK1006),$AO$1006:$BQ$1006,0)))),"Fix")))</f>
        <v>#N/A</v>
      </c>
      <c r="Y63" s="5" t="e">
        <f ca="1">IF(OR(INDEX($AI$2:$AI$1001,MATCH(ROWS($AH$2:AH63),$AH$2:$AH$1001,0),1)&gt;=100000,INDEX($AO$1005:$BQ$1005,1,MATCH(COLUMNS($AO$1006:BL1006),$AO$1006:$BQ$1006,0))&gt;=100000), " ",IF(INDEX($AO$2:$BQ$1001,MATCH(ROWS($AH$2:AH63),$AH$2:$AH$1001,0),MATCH(COLUMNS($AO$1006:BL1006),$AO$1006:$BQ$1006,0)), HYPERLINK("#",""), HYPERLINK(CONCATENATE("#Metadata!", ADDRESS(INDEX($AJ$2:$AJ$1001,MATCH(ROWS($AH$2:AH63),$AH$2:$AH$1001,0),0), INDEX($AO$1004:$BQ$1004,1,MATCH(COLUMNS($AO$1006:BL1006),$AO$1006:$BQ$1006,0)))),"Fix")))</f>
        <v>#N/A</v>
      </c>
      <c r="Z63" s="5" t="e">
        <f ca="1">IF(OR(INDEX($AI$2:$AI$1001,MATCH(ROWS($AH$2:AH63),$AH$2:$AH$1001,0),1)&gt;=100000,INDEX($AO$1005:$BQ$1005,1,MATCH(COLUMNS($AO$1006:BM1006),$AO$1006:$BQ$1006,0))&gt;=100000), " ",IF(INDEX($AO$2:$BQ$1001,MATCH(ROWS($AH$2:AH63),$AH$2:$AH$1001,0),MATCH(COLUMNS($AO$1006:BM1006),$AO$1006:$BQ$1006,0)), HYPERLINK("#",""), HYPERLINK(CONCATENATE("#Metadata!", ADDRESS(INDEX($AJ$2:$AJ$1001,MATCH(ROWS($AH$2:AH63),$AH$2:$AH$1001,0),0), INDEX($AO$1004:$BQ$1004,1,MATCH(COLUMNS($AO$1006:BM1006),$AO$1006:$BQ$1006,0)))),"Fix")))</f>
        <v>#N/A</v>
      </c>
      <c r="AA63" s="5" t="e">
        <f ca="1">IF(OR(INDEX($AI$2:$AI$1001,MATCH(ROWS($AH$2:AH63),$AH$2:$AH$1001,0),1)&gt;=100000,INDEX($AO$1005:$BQ$1005,1,MATCH(COLUMNS($AO$1006:BN1006),$AO$1006:$BQ$1006,0))&gt;=100000), " ",IF(INDEX($AO$2:$BQ$1001,MATCH(ROWS($AH$2:AH63),$AH$2:$AH$1001,0),MATCH(COLUMNS($AO$1006:BN1006),$AO$1006:$BQ$1006,0)), HYPERLINK("#",""), HYPERLINK(CONCATENATE("#Metadata!", ADDRESS(INDEX($AJ$2:$AJ$1001,MATCH(ROWS($AH$2:AH63),$AH$2:$AH$1001,0),0), INDEX($AO$1004:$BQ$1004,1,MATCH(COLUMNS($AO$1006:BN1006),$AO$1006:$BQ$1006,0)))),"Fix")))</f>
        <v>#N/A</v>
      </c>
      <c r="AB63" s="5" t="e">
        <f ca="1">IF(OR(INDEX($AI$2:$AI$1001,MATCH(ROWS($AH$2:AH63),$AH$2:$AH$1001,0),1)&gt;=100000,INDEX($AO$1005:$BQ$1005,1,MATCH(COLUMNS($AO$1006:BO1006),$AO$1006:$BQ$1006,0))&gt;=100000), " ",IF(INDEX($AO$2:$BQ$1001,MATCH(ROWS($AH$2:AH63),$AH$2:$AH$1001,0),MATCH(COLUMNS($AO$1006:BO1006),$AO$1006:$BQ$1006,0)), HYPERLINK("#",""), HYPERLINK(CONCATENATE("#Metadata!", ADDRESS(INDEX($AJ$2:$AJ$1001,MATCH(ROWS($AH$2:AH63),$AH$2:$AH$1001,0),0), INDEX($AO$1004:$BQ$1004,1,MATCH(COLUMNS($AO$1006:BO1006),$AO$1006:$BQ$1006,0)))),"Fix")))</f>
        <v>#N/A</v>
      </c>
      <c r="AC63" s="5" t="e">
        <f ca="1">IF(OR(INDEX($AI$2:$AI$1001,MATCH(ROWS($AH$2:AH63),$AH$2:$AH$1001,0),1)&gt;=100000,INDEX($AO$1005:$BQ$1005,1,MATCH(COLUMNS($AO$1006:BP1006),$AO$1006:$BQ$1006,0))&gt;=100000), " ",IF(INDEX($AO$2:$BQ$1001,MATCH(ROWS($AH$2:AH63),$AH$2:$AH$1001,0),MATCH(COLUMNS($AO$1006:BP1006),$AO$1006:$BQ$1006,0)), HYPERLINK("#",""), HYPERLINK(CONCATENATE("#Metadata!", ADDRESS(INDEX($AJ$2:$AJ$1001,MATCH(ROWS($AH$2:AH63),$AH$2:$AH$1001,0),0), INDEX($AO$1004:$BQ$1004,1,MATCH(COLUMNS($AO$1006:BP1006),$AO$1006:$BQ$1006,0)))),"Fix")))</f>
        <v>#N/A</v>
      </c>
      <c r="AD63" s="5" t="e">
        <f ca="1">IF(OR(INDEX($AI$2:$AI$1001,MATCH(ROWS($AH$2:AH63),$AH$2:$AH$1001,0),1)&gt;=100000,INDEX($AO$1005:$BQ$1005,1,MATCH(COLUMNS($AO$1006:BQ1006),$AO$1006:$BQ$1006,0))&gt;=100000), " ",IF(INDEX($AO$2:$BQ$1001,MATCH(ROWS($AH$2:AH63),$AH$2:$AH$1001,0),MATCH(COLUMNS($AO$1006:BQ1006),$AO$1006:$BQ$1006,0)), HYPERLINK("#",""), HYPERLINK(CONCATENATE("#Metadata!", ADDRESS(INDEX($AJ$2:$AJ$1001,MATCH(ROWS($AH$2:AH63),$AH$2:$AH$1001,0),0), INDEX($AO$1004:$BQ$1004,1,MATCH(COLUMNS($AO$1006:BQ1006),$AO$1006:$BQ$1006,0)))),"Fix")))</f>
        <v>#REF!</v>
      </c>
      <c r="AH63">
        <f ca="1"/>
        <v>60</v>
      </c>
      <c r="AI63">
        <v>100063</v>
      </c>
      <c r="AJ63">
        <v>63</v>
      </c>
      <c r="AK63" t="b">
        <f t="shared" si="0"/>
        <v>1</v>
      </c>
      <c r="AL63" t="b">
        <f>COUNTBLANK(Metadata!B63:AD63)=COLUMNS(Metadata!B63:AD63)</f>
        <v>1</v>
      </c>
      <c r="AM63" t="str">
        <v/>
      </c>
      <c r="AO63" t="b">
        <f ca="1">AND(IF(Metadata!B63="",FALSE,TRUE),COUNTIF(Metadata!B:B, Metadata!B63) = 1,NOT(ISERROR(SUMPRODUCT(SEARCH(MID(Metadata!B63,ROW(INDIRECT("1:"&amp;LEN(Metadata!B63))), 1),"0123456789abcdefghijklmnopqrstuvwxyzABCDEFGHIJKLMNOPQRSTUVWXYZ.")))))</f>
        <v>0</v>
      </c>
      <c r="AP63" t="b">
        <f>IF(Metadata!C63="",FALSE,TRUE)</f>
        <v>0</v>
      </c>
      <c r="AQ63" t="b">
        <f>IF(Metadata!D63="",FALSE,TRUE)</f>
        <v>0</v>
      </c>
      <c r="AR63" t="b">
        <f ca="1">OR(AND(IF(Metadata!E63="",FALSE,TRUE),OR(EXACT(Metadata!E63,"not collected"),EXACT(Metadata!E63,"not provided"),EXACT(Metadata!E63,"restricted access"))),AND(IF(Metadata!E63="",FALSE,TRUE),AND(AND(IFERROR(INT(LEFT(Metadata!E63,4))&gt;1900,FALSE),IFERROR(INT(LEFT(Metadata!E63,4))&lt;=YEAR(NOW()),FALSE)), OR(MID(Metadata!E63,5,1)="", AND(AND(MID(Metadata!E63,5,1)="-",IFERROR(INT(MID(Metadata!E63,6,1))&gt;=0,FALSE),IFERROR(INT(MID(Metadata!E63,6,1))&lt;=1,FALSE),NOT(MID(Metadata!E63,7,1)=""),IFERROR(INT(MID(Metadata!E63,6,2))&gt;=1,FALSE),IFERROR(INT(MID(Metadata!E63,6,2))&lt;=12,FALSE)), OR(MID(Metadata!E63,8,1)="", AND(AND(MID(Metadata!E63,8,1)="-",IFERROR(INT(MID(Metadata!E63,9,1))&gt;=0,FALSE),IFERROR(INT(MID(Metadata!E63,9,1))&lt;=3,FALSE),NOT(MID(Metadata!E63,10,1)=""),IFERROR(INT(MID(Metadata!E63,9,2))&gt;=1,FALSE),IFERROR(INT(MID(Metadata!E63,9,2))&lt;=31,FALSE)), OR(MID(Metadata!E63,11,1)="", AND(AND(MID(Metadata!E63,11,1)=" ",IFERROR(INT(MID(Metadata!E63,12,1))&gt;=0,FALSE),IFERROR(INT(MID(Metadata!E63,12,1))&lt;=2,FALSE),NOT(MID(Metadata!E63,13,1)=""),IFERROR(INT(MID(Metadata!E63,12,2))&gt;=0,FALSE),IFERROR(INT(MID(Metadata!E63,12,2))&lt;=23,FALSE)), OR(MID(Metadata!E63,14,1)="", AND(AND(MID(Metadata!E63,14,1)=":",IFERROR(INT(MID(Metadata!E63,15,1))&gt;=0,FALSE),IFERROR(INT(MID(Metadata!E63,15,1))&lt;=5,FALSE),NOT(MID(Metadata!E63,16,1)=""),IFERROR(INT(MID(Metadata!E63,15,2))&gt;=0,FALSE),IFERROR(INT(MID(Metadata!E63,15,2))&lt;=59,FALSE)), OR(MID(Metadata!E63,17,1)="", AND(AND(MID(Metadata!E63,17,1)=":",IFERROR(INT(MID(Metadata!E63,18,1))&gt;=0,FALSE),IFERROR(INT(MID(Metadata!E63,18,1))&lt;=5,FALSE),NOT(MID(Metadata!E63,19,1)=""),IFERROR(INT(MID(Metadata!E63,18,2))&gt;=0,FALSE),IFERROR(INT(MID(Metadata!E63,18,2))&lt;=59,FALSE)), LEN(Metadata!E63)&lt;=19)))))))))))))</f>
        <v>0</v>
      </c>
      <c r="AS63" t="b">
        <f>IF(Metadata!F63="",FALSE,TRUE)</f>
        <v>0</v>
      </c>
      <c r="AT63" t="b">
        <f>OR(AND(IF(Metadata!G63="",FALSE,TRUE),OR(EXACT(Metadata!G63,"not collected"),EXACT(Metadata!G63,"not provided"))),AND(IF(Metadata!G63="",FALSE,TRUE),OR(EXACT(Metadata!G63,"TRUE"),EXACT(Metadata!G63,"FALSE"))))</f>
        <v>0</v>
      </c>
      <c r="AU63" t="b">
        <f>OR(AND(IF(Metadata!H63="",FALSE,TRUE),OR(EXACT(Metadata!H63,"not collected"),EXACT(Metadata!H63,"not provided"),EXACT(Metadata!H63,"restricted access"))),AND(IF(Metadata!H63="",FALSE,ISNUMBER(VALUE(Metadata!H63))),Metadata!H63&gt;=-413))</f>
        <v>0</v>
      </c>
      <c r="AV63" t="b">
        <f>AND(IF(Metadata!I63="",FALSE,TRUE),EXACT(Metadata!I63,"meters"))</f>
        <v>0</v>
      </c>
      <c r="AW63" t="b">
        <f>AND(IF(Metadata!J63="",FALSE,TRUE),EXACT(Metadata!J63,"free-living"))</f>
        <v>0</v>
      </c>
      <c r="AX63" t="b">
        <f>AND(IF(Metadata!K63="",FALSE,TRUE),OR(EXACT(Metadata!K63,"saline"),EXACT(Metadata!K63,"non-saline")))</f>
        <v>0</v>
      </c>
      <c r="AY63" t="b">
        <f>AND(IF(Metadata!L63="",FALSE,TRUE),OR(EXACT(Metadata!L63,"sub-surface (non-saline)"),EXACT(Metadata!L63,"surface (non-saline)"),EXACT(Metadata!L63,"water (non-saline)"),EXACT(Metadata!L63,"soil (non-saline)"),EXACT(Metadata!L63,"aerosol (non-saline)"),EXACT(Metadata!L63,"sediment (non-saline)"),EXACT(Metadata!L63,"surface (saline)"),EXACT(Metadata!L63,"water (saline)"),EXACT(Metadata!L63,"hypersaline (saline)"),EXACT(Metadata!L63,"aerosol (saline)"),EXACT(Metadata!L63,"sediment (saline)")))</f>
        <v>0</v>
      </c>
      <c r="AZ63" t="b">
        <f>IF(Metadata!M63="",FALSE,TRUE)</f>
        <v>0</v>
      </c>
      <c r="BA63" t="b">
        <f>IF(Metadata!N63="",FALSE,TRUE)</f>
        <v>0</v>
      </c>
      <c r="BB63" t="b">
        <f>IF(Metadata!O63="",FALSE,TRUE)</f>
        <v>0</v>
      </c>
      <c r="BC63" t="b">
        <f>AND(IF(Metadata!P63="",FALSE,TRUE),OR(EXACT(Metadata!P63,"air"),EXACT(Metadata!P63,"microbial mat/biofilm"),EXACT(Metadata!P63,"misc environment"),EXACT(Metadata!P63,"sediment"),EXACT(Metadata!P63,"soil"),EXACT(Metadata!P63,"wastewater/sludge"),EXACT(Metadata!P63,"water")))</f>
        <v>0</v>
      </c>
      <c r="BD63" t="b">
        <f>IF(Metadata!Q63="",FALSE,TRUE)</f>
        <v>0</v>
      </c>
      <c r="BE63" t="b">
        <f>IF(Metadata!R63="",FALSE,TRUE)</f>
        <v>0</v>
      </c>
      <c r="BF63" t="b">
        <f>OR(AND(IF(Metadata!S63="",FALSE,TRUE),OR(EXACT(Metadata!S63,"not collected"),EXACT(Metadata!S63,"not provided"),EXACT(Metadata!S63,"restricted access"))),AND(IF(Metadata!S63="",FALSE,ISNUMBER(VALUE(Metadata!S63))),Metadata!S63&gt;=-90,Metadata!S63&lt;=90))</f>
        <v>0</v>
      </c>
      <c r="BG63" t="b">
        <f>AND(IF(Metadata!T63="",FALSE,TRUE),EXACT(Metadata!T63,"Decimal degrees"))</f>
        <v>0</v>
      </c>
      <c r="BH63" t="b">
        <f>OR(AND(IF(Metadata!U63="",FALSE,TRUE),OR(EXACT(Metadata!U63,"not applicable"),EXACT(Metadata!U63,"not collected"))),IF(Metadata!U63="",FALSE,TRUE))</f>
        <v>0</v>
      </c>
      <c r="BI63" t="b">
        <f>OR(AND(IF(Metadata!V63="",FALSE,TRUE),OR(EXACT(Metadata!V63,"not collected"),EXACT(Metadata!V63,"not provided"),EXACT(Metadata!V63,"restricted access"))),AND(IF(Metadata!V63="",FALSE,ISNUMBER(VALUE(Metadata!V63))),Metadata!V63&gt;=-180,Metadata!V63&lt;=180))</f>
        <v>0</v>
      </c>
      <c r="BJ63" t="b">
        <f>AND(IF(Metadata!W63="",FALSE,TRUE),EXACT(Metadata!W63,"Decimal degrees"))</f>
        <v>0</v>
      </c>
      <c r="BK63" t="b">
        <f>IF(Metadata!X63="",FALSE,TRUE)</f>
        <v>0</v>
      </c>
      <c r="BL63" t="b">
        <f>OR(AND(IF(Metadata!Y63="",FALSE,TRUE),OR(EXACT(Metadata!Y63,"not collected"),EXACT(Metadata!Y63,"not provided"),EXACT(Metadata!Y63,"restricted access"))),AND(IF(Metadata!Y63="",FALSE,TRUE),OR(EXACT(Metadata!Y63,"TRUE"),EXACT(Metadata!Y63,"FALSE"))))</f>
        <v>0</v>
      </c>
      <c r="BM63" t="b">
        <f>OR(AND(IF(Metadata!Z63="",FALSE,TRUE),EXACT(Metadata!Z63,"not applicable")),AND(IF(Metadata!Z63="",FALSE,TRUE),OR(EXACT(Metadata!Z63,"beer"),EXACT(Metadata!Z63,"cheese"),EXACT(Metadata!Z63,"fresh water"),EXACT(Metadata!Z63,"marine sediment"),EXACT(Metadata!Z63,"sea water"),EXACT(Metadata!Z63,"sediment"),EXACT(Metadata!Z63,"soil"),EXACT(Metadata!Z63,"waste water"))))</f>
        <v>0</v>
      </c>
      <c r="BN63" t="b">
        <f>AND(IF(Metadata!AA63="",FALSE,TRUE),EXACT(Metadata!AA63,"metagenome"))</f>
        <v>0</v>
      </c>
      <c r="BO63" t="b">
        <f>AND(IF(Metadata!AB63="",FALSE,TRUE),EXACT(Metadata!AB63,"256318"))</f>
        <v>0</v>
      </c>
      <c r="BP63" t="b">
        <f>IF(Metadata!AC63="",FALSE,TRUE)</f>
        <v>0</v>
      </c>
      <c r="BQ63" t="b">
        <f>IF(Metadata!AD63="",FALSE,TRUE)</f>
        <v>0</v>
      </c>
    </row>
    <row r="64" spans="1:69" x14ac:dyDescent="0.2">
      <c r="A64" s="4" t="e">
        <f ca="1">IF(B64=" "," ",HYPERLINK(CONCATENATE("#metadata!",ADDRESS(INDEX($AJ$2:$AJ$1001,MATCH(ROWS($AH$2:AH64),$AH$2:$AH$1001,0),0),2)),INDEX($AM$2:$AM$1001,MATCH(ROWS($AH$2:AH64),$AH$2:$AH$1001,0),0)))</f>
        <v>#N/A</v>
      </c>
      <c r="B64" s="5" t="e">
        <f ca="1">IF(OR(INDEX($AI$2:$AI$1001,MATCH(ROWS($AH$2:AH64),$AH$2:$AH$1001,0),1)&gt;=100000,INDEX($AO$1005:$BQ$1005,1,MATCH(COLUMNS($AO$1006:AO1006),$AO$1006:$BQ$1006,0))&gt;=100000), " ",IF(INDEX($AO$2:$BQ$1001,MATCH(ROWS($AH$2:AH64),$AH$2:$AH$1001,0),MATCH(COLUMNS($AO$1006:AO1006),$AO$1006:$BQ$1006,0)), HYPERLINK("#",""), HYPERLINK(CONCATENATE("#Metadata!", ADDRESS(INDEX($AJ$2:$AJ$1001,MATCH(ROWS($AH$2:AH64),$AH$2:$AH$1001,0),0), INDEX($AO$1004:$BQ$1004,1,MATCH(COLUMNS($AO$1006:AO1006),$AO$1006:$BQ$1006,0)))),"Fix")))</f>
        <v>#N/A</v>
      </c>
      <c r="C64" s="5" t="e">
        <f ca="1">IF(OR(INDEX($AI$2:$AI$1001,MATCH(ROWS($AH$2:AH64),$AH$2:$AH$1001,0),1)&gt;=100000,INDEX($AO$1005:$BQ$1005,1,MATCH(COLUMNS($AO$1006:AP1006),$AO$1006:$BQ$1006,0))&gt;=100000), " ",IF(INDEX($AO$2:$BQ$1001,MATCH(ROWS($AH$2:AH64),$AH$2:$AH$1001,0),MATCH(COLUMNS($AO$1006:AP1006),$AO$1006:$BQ$1006,0)), HYPERLINK("#",""), HYPERLINK(CONCATENATE("#Metadata!", ADDRESS(INDEX($AJ$2:$AJ$1001,MATCH(ROWS($AH$2:AH64),$AH$2:$AH$1001,0),0), INDEX($AO$1004:$BQ$1004,1,MATCH(COLUMNS($AO$1006:AP1006),$AO$1006:$BQ$1006,0)))),"Fix")))</f>
        <v>#N/A</v>
      </c>
      <c r="D64" s="5" t="e">
        <f ca="1">IF(OR(INDEX($AI$2:$AI$1001,MATCH(ROWS($AH$2:AH64),$AH$2:$AH$1001,0),1)&gt;=100000,INDEX($AO$1005:$BQ$1005,1,MATCH(COLUMNS($AO$1006:AQ1006),$AO$1006:$BQ$1006,0))&gt;=100000), " ",IF(INDEX($AO$2:$BQ$1001,MATCH(ROWS($AH$2:AH64),$AH$2:$AH$1001,0),MATCH(COLUMNS($AO$1006:AQ1006),$AO$1006:$BQ$1006,0)), HYPERLINK("#",""), HYPERLINK(CONCATENATE("#Metadata!", ADDRESS(INDEX($AJ$2:$AJ$1001,MATCH(ROWS($AH$2:AH64),$AH$2:$AH$1001,0),0), INDEX($AO$1004:$BQ$1004,1,MATCH(COLUMNS($AO$1006:AQ1006),$AO$1006:$BQ$1006,0)))),"Fix")))</f>
        <v>#N/A</v>
      </c>
      <c r="E64" s="5" t="e">
        <f ca="1">IF(OR(INDEX($AI$2:$AI$1001,MATCH(ROWS($AH$2:AH64),$AH$2:$AH$1001,0),1)&gt;=100000,INDEX($AO$1005:$BQ$1005,1,MATCH(COLUMNS($AO$1006:AR1006),$AO$1006:$BQ$1006,0))&gt;=100000), " ",IF(INDEX($AO$2:$BQ$1001,MATCH(ROWS($AH$2:AH64),$AH$2:$AH$1001,0),MATCH(COLUMNS($AO$1006:AR1006),$AO$1006:$BQ$1006,0)), HYPERLINK("#",""), HYPERLINK(CONCATENATE("#Metadata!", ADDRESS(INDEX($AJ$2:$AJ$1001,MATCH(ROWS($AH$2:AH64),$AH$2:$AH$1001,0),0), INDEX($AO$1004:$BQ$1004,1,MATCH(COLUMNS($AO$1006:AR1006),$AO$1006:$BQ$1006,0)))),"Fix")))</f>
        <v>#N/A</v>
      </c>
      <c r="F64" s="5" t="e">
        <f ca="1">IF(OR(INDEX($AI$2:$AI$1001,MATCH(ROWS($AH$2:AH64),$AH$2:$AH$1001,0),1)&gt;=100000,INDEX($AO$1005:$BQ$1005,1,MATCH(COLUMNS($AO$1006:AS1006),$AO$1006:$BQ$1006,0))&gt;=100000), " ",IF(INDEX($AO$2:$BQ$1001,MATCH(ROWS($AH$2:AH64),$AH$2:$AH$1001,0),MATCH(COLUMNS($AO$1006:AS1006),$AO$1006:$BQ$1006,0)), HYPERLINK("#",""), HYPERLINK(CONCATENATE("#Metadata!", ADDRESS(INDEX($AJ$2:$AJ$1001,MATCH(ROWS($AH$2:AH64),$AH$2:$AH$1001,0),0), INDEX($AO$1004:$BQ$1004,1,MATCH(COLUMNS($AO$1006:AS1006),$AO$1006:$BQ$1006,0)))),"Fix")))</f>
        <v>#N/A</v>
      </c>
      <c r="G64" s="5" t="e">
        <f ca="1">IF(OR(INDEX($AI$2:$AI$1001,MATCH(ROWS($AH$2:AH64),$AH$2:$AH$1001,0),1)&gt;=100000,INDEX($AO$1005:$BQ$1005,1,MATCH(COLUMNS($AO$1006:AT1006),$AO$1006:$BQ$1006,0))&gt;=100000), " ",IF(INDEX($AO$2:$BQ$1001,MATCH(ROWS($AH$2:AH64),$AH$2:$AH$1001,0),MATCH(COLUMNS($AO$1006:AT1006),$AO$1006:$BQ$1006,0)), HYPERLINK("#",""), HYPERLINK(CONCATENATE("#Metadata!", ADDRESS(INDEX($AJ$2:$AJ$1001,MATCH(ROWS($AH$2:AH64),$AH$2:$AH$1001,0),0), INDEX($AO$1004:$BQ$1004,1,MATCH(COLUMNS($AO$1006:AT1006),$AO$1006:$BQ$1006,0)))),"Fix")))</f>
        <v>#N/A</v>
      </c>
      <c r="H64" s="5" t="e">
        <f ca="1">IF(OR(INDEX($AI$2:$AI$1001,MATCH(ROWS($AH$2:AH64),$AH$2:$AH$1001,0),1)&gt;=100000,INDEX($AO$1005:$BQ$1005,1,MATCH(COLUMNS($AO$1006:AU1006),$AO$1006:$BQ$1006,0))&gt;=100000), " ",IF(INDEX($AO$2:$BQ$1001,MATCH(ROWS($AH$2:AH64),$AH$2:$AH$1001,0),MATCH(COLUMNS($AO$1006:AU1006),$AO$1006:$BQ$1006,0)), HYPERLINK("#",""), HYPERLINK(CONCATENATE("#Metadata!", ADDRESS(INDEX($AJ$2:$AJ$1001,MATCH(ROWS($AH$2:AH64),$AH$2:$AH$1001,0),0), INDEX($AO$1004:$BQ$1004,1,MATCH(COLUMNS($AO$1006:AU1006),$AO$1006:$BQ$1006,0)))),"Fix")))</f>
        <v>#N/A</v>
      </c>
      <c r="I64" s="5" t="e">
        <f ca="1">IF(OR(INDEX($AI$2:$AI$1001,MATCH(ROWS($AH$2:AH64),$AH$2:$AH$1001,0),1)&gt;=100000,INDEX($AO$1005:$BQ$1005,1,MATCH(COLUMNS($AO$1006:AV1006),$AO$1006:$BQ$1006,0))&gt;=100000), " ",IF(INDEX($AO$2:$BQ$1001,MATCH(ROWS($AH$2:AH64),$AH$2:$AH$1001,0),MATCH(COLUMNS($AO$1006:AV1006),$AO$1006:$BQ$1006,0)), HYPERLINK("#",""), HYPERLINK(CONCATENATE("#Metadata!", ADDRESS(INDEX($AJ$2:$AJ$1001,MATCH(ROWS($AH$2:AH64),$AH$2:$AH$1001,0),0), INDEX($AO$1004:$BQ$1004,1,MATCH(COLUMNS($AO$1006:AV1006),$AO$1006:$BQ$1006,0)))),"Fix")))</f>
        <v>#N/A</v>
      </c>
      <c r="J64" s="5" t="e">
        <f ca="1">IF(OR(INDEX($AI$2:$AI$1001,MATCH(ROWS($AH$2:AH64),$AH$2:$AH$1001,0),1)&gt;=100000,INDEX($AO$1005:$BQ$1005,1,MATCH(COLUMNS($AO$1006:AW1006),$AO$1006:$BQ$1006,0))&gt;=100000), " ",IF(INDEX($AO$2:$BQ$1001,MATCH(ROWS($AH$2:AH64),$AH$2:$AH$1001,0),MATCH(COLUMNS($AO$1006:AW1006),$AO$1006:$BQ$1006,0)), HYPERLINK("#",""), HYPERLINK(CONCATENATE("#Metadata!", ADDRESS(INDEX($AJ$2:$AJ$1001,MATCH(ROWS($AH$2:AH64),$AH$2:$AH$1001,0),0), INDEX($AO$1004:$BQ$1004,1,MATCH(COLUMNS($AO$1006:AW1006),$AO$1006:$BQ$1006,0)))),"Fix")))</f>
        <v>#N/A</v>
      </c>
      <c r="K64" s="5" t="e">
        <f ca="1">IF(OR(INDEX($AI$2:$AI$1001,MATCH(ROWS($AH$2:AH64),$AH$2:$AH$1001,0),1)&gt;=100000,INDEX($AO$1005:$BQ$1005,1,MATCH(COLUMNS($AO$1006:AX1006),$AO$1006:$BQ$1006,0))&gt;=100000), " ",IF(INDEX($AO$2:$BQ$1001,MATCH(ROWS($AH$2:AH64),$AH$2:$AH$1001,0),MATCH(COLUMNS($AO$1006:AX1006),$AO$1006:$BQ$1006,0)), HYPERLINK("#",""), HYPERLINK(CONCATENATE("#Metadata!", ADDRESS(INDEX($AJ$2:$AJ$1001,MATCH(ROWS($AH$2:AH64),$AH$2:$AH$1001,0),0), INDEX($AO$1004:$BQ$1004,1,MATCH(COLUMNS($AO$1006:AX1006),$AO$1006:$BQ$1006,0)))),"Fix")))</f>
        <v>#N/A</v>
      </c>
      <c r="L64" s="5" t="e">
        <f ca="1">IF(OR(INDEX($AI$2:$AI$1001,MATCH(ROWS($AH$2:AH64),$AH$2:$AH$1001,0),1)&gt;=100000,INDEX($AO$1005:$BQ$1005,1,MATCH(COLUMNS($AO$1006:AY1006),$AO$1006:$BQ$1006,0))&gt;=100000), " ",IF(INDEX($AO$2:$BQ$1001,MATCH(ROWS($AH$2:AH64),$AH$2:$AH$1001,0),MATCH(COLUMNS($AO$1006:AY1006),$AO$1006:$BQ$1006,0)), HYPERLINK("#",""), HYPERLINK(CONCATENATE("#Metadata!", ADDRESS(INDEX($AJ$2:$AJ$1001,MATCH(ROWS($AH$2:AH64),$AH$2:$AH$1001,0),0), INDEX($AO$1004:$BQ$1004,1,MATCH(COLUMNS($AO$1006:AY1006),$AO$1006:$BQ$1006,0)))),"Fix")))</f>
        <v>#N/A</v>
      </c>
      <c r="M64" s="5" t="e">
        <f ca="1">IF(OR(INDEX($AI$2:$AI$1001,MATCH(ROWS($AH$2:AH64),$AH$2:$AH$1001,0),1)&gt;=100000,INDEX($AO$1005:$BQ$1005,1,MATCH(COLUMNS($AO$1006:AZ1006),$AO$1006:$BQ$1006,0))&gt;=100000), " ",IF(INDEX($AO$2:$BQ$1001,MATCH(ROWS($AH$2:AH64),$AH$2:$AH$1001,0),MATCH(COLUMNS($AO$1006:AZ1006),$AO$1006:$BQ$1006,0)), HYPERLINK("#",""), HYPERLINK(CONCATENATE("#Metadata!", ADDRESS(INDEX($AJ$2:$AJ$1001,MATCH(ROWS($AH$2:AH64),$AH$2:$AH$1001,0),0), INDEX($AO$1004:$BQ$1004,1,MATCH(COLUMNS($AO$1006:AZ1006),$AO$1006:$BQ$1006,0)))),"Fix")))</f>
        <v>#N/A</v>
      </c>
      <c r="N64" s="5" t="e">
        <f ca="1">IF(OR(INDEX($AI$2:$AI$1001,MATCH(ROWS($AH$2:AH64),$AH$2:$AH$1001,0),1)&gt;=100000,INDEX($AO$1005:$BQ$1005,1,MATCH(COLUMNS($AO$1006:BA1006),$AO$1006:$BQ$1006,0))&gt;=100000), " ",IF(INDEX($AO$2:$BQ$1001,MATCH(ROWS($AH$2:AH64),$AH$2:$AH$1001,0),MATCH(COLUMNS($AO$1006:BA1006),$AO$1006:$BQ$1006,0)), HYPERLINK("#",""), HYPERLINK(CONCATENATE("#Metadata!", ADDRESS(INDEX($AJ$2:$AJ$1001,MATCH(ROWS($AH$2:AH64),$AH$2:$AH$1001,0),0), INDEX($AO$1004:$BQ$1004,1,MATCH(COLUMNS($AO$1006:BA1006),$AO$1006:$BQ$1006,0)))),"Fix")))</f>
        <v>#N/A</v>
      </c>
      <c r="O64" s="5" t="e">
        <f ca="1">IF(OR(INDEX($AI$2:$AI$1001,MATCH(ROWS($AH$2:AH64),$AH$2:$AH$1001,0),1)&gt;=100000,INDEX($AO$1005:$BQ$1005,1,MATCH(COLUMNS($AO$1006:BB1006),$AO$1006:$BQ$1006,0))&gt;=100000), " ",IF(INDEX($AO$2:$BQ$1001,MATCH(ROWS($AH$2:AH64),$AH$2:$AH$1001,0),MATCH(COLUMNS($AO$1006:BB1006),$AO$1006:$BQ$1006,0)), HYPERLINK("#",""), HYPERLINK(CONCATENATE("#Metadata!", ADDRESS(INDEX($AJ$2:$AJ$1001,MATCH(ROWS($AH$2:AH64),$AH$2:$AH$1001,0),0), INDEX($AO$1004:$BQ$1004,1,MATCH(COLUMNS($AO$1006:BB1006),$AO$1006:$BQ$1006,0)))),"Fix")))</f>
        <v>#N/A</v>
      </c>
      <c r="P64" s="5" t="e">
        <f ca="1">IF(OR(INDEX($AI$2:$AI$1001,MATCH(ROWS($AH$2:AH64),$AH$2:$AH$1001,0),1)&gt;=100000,INDEX($AO$1005:$BQ$1005,1,MATCH(COLUMNS($AO$1006:BC1006),$AO$1006:$BQ$1006,0))&gt;=100000), " ",IF(INDEX($AO$2:$BQ$1001,MATCH(ROWS($AH$2:AH64),$AH$2:$AH$1001,0),MATCH(COLUMNS($AO$1006:BC1006),$AO$1006:$BQ$1006,0)), HYPERLINK("#",""), HYPERLINK(CONCATENATE("#Metadata!", ADDRESS(INDEX($AJ$2:$AJ$1001,MATCH(ROWS($AH$2:AH64),$AH$2:$AH$1001,0),0), INDEX($AO$1004:$BQ$1004,1,MATCH(COLUMNS($AO$1006:BC1006),$AO$1006:$BQ$1006,0)))),"Fix")))</f>
        <v>#N/A</v>
      </c>
      <c r="Q64" s="5" t="e">
        <f ca="1">IF(OR(INDEX($AI$2:$AI$1001,MATCH(ROWS($AH$2:AH64),$AH$2:$AH$1001,0),1)&gt;=100000,INDEX($AO$1005:$BQ$1005,1,MATCH(COLUMNS($AO$1006:BD1006),$AO$1006:$BQ$1006,0))&gt;=100000), " ",IF(INDEX($AO$2:$BQ$1001,MATCH(ROWS($AH$2:AH64),$AH$2:$AH$1001,0),MATCH(COLUMNS($AO$1006:BD1006),$AO$1006:$BQ$1006,0)), HYPERLINK("#",""), HYPERLINK(CONCATENATE("#Metadata!", ADDRESS(INDEX($AJ$2:$AJ$1001,MATCH(ROWS($AH$2:AH64),$AH$2:$AH$1001,0),0), INDEX($AO$1004:$BQ$1004,1,MATCH(COLUMNS($AO$1006:BD1006),$AO$1006:$BQ$1006,0)))),"Fix")))</f>
        <v>#N/A</v>
      </c>
      <c r="R64" s="5" t="e">
        <f ca="1">IF(OR(INDEX($AI$2:$AI$1001,MATCH(ROWS($AH$2:AH64),$AH$2:$AH$1001,0),1)&gt;=100000,INDEX($AO$1005:$BQ$1005,1,MATCH(COLUMNS($AO$1006:BE1006),$AO$1006:$BQ$1006,0))&gt;=100000), " ",IF(INDEX($AO$2:$BQ$1001,MATCH(ROWS($AH$2:AH64),$AH$2:$AH$1001,0),MATCH(COLUMNS($AO$1006:BE1006),$AO$1006:$BQ$1006,0)), HYPERLINK("#",""), HYPERLINK(CONCATENATE("#Metadata!", ADDRESS(INDEX($AJ$2:$AJ$1001,MATCH(ROWS($AH$2:AH64),$AH$2:$AH$1001,0),0), INDEX($AO$1004:$BQ$1004,1,MATCH(COLUMNS($AO$1006:BE1006),$AO$1006:$BQ$1006,0)))),"Fix")))</f>
        <v>#N/A</v>
      </c>
      <c r="S64" s="5" t="e">
        <f ca="1">IF(OR(INDEX($AI$2:$AI$1001,MATCH(ROWS($AH$2:AH64),$AH$2:$AH$1001,0),1)&gt;=100000,INDEX($AO$1005:$BQ$1005,1,MATCH(COLUMNS($AO$1006:BF1006),$AO$1006:$BQ$1006,0))&gt;=100000), " ",IF(INDEX($AO$2:$BQ$1001,MATCH(ROWS($AH$2:AH64),$AH$2:$AH$1001,0),MATCH(COLUMNS($AO$1006:BF1006),$AO$1006:$BQ$1006,0)), HYPERLINK("#",""), HYPERLINK(CONCATENATE("#Metadata!", ADDRESS(INDEX($AJ$2:$AJ$1001,MATCH(ROWS($AH$2:AH64),$AH$2:$AH$1001,0),0), INDEX($AO$1004:$BQ$1004,1,MATCH(COLUMNS($AO$1006:BF1006),$AO$1006:$BQ$1006,0)))),"Fix")))</f>
        <v>#N/A</v>
      </c>
      <c r="T64" s="5" t="e">
        <f ca="1">IF(OR(INDEX($AI$2:$AI$1001,MATCH(ROWS($AH$2:AH64),$AH$2:$AH$1001,0),1)&gt;=100000,INDEX($AO$1005:$BQ$1005,1,MATCH(COLUMNS($AO$1006:BG1006),$AO$1006:$BQ$1006,0))&gt;=100000), " ",IF(INDEX($AO$2:$BQ$1001,MATCH(ROWS($AH$2:AH64),$AH$2:$AH$1001,0),MATCH(COLUMNS($AO$1006:BG1006),$AO$1006:$BQ$1006,0)), HYPERLINK("#",""), HYPERLINK(CONCATENATE("#Metadata!", ADDRESS(INDEX($AJ$2:$AJ$1001,MATCH(ROWS($AH$2:AH64),$AH$2:$AH$1001,0),0), INDEX($AO$1004:$BQ$1004,1,MATCH(COLUMNS($AO$1006:BG1006),$AO$1006:$BQ$1006,0)))),"Fix")))</f>
        <v>#N/A</v>
      </c>
      <c r="U64" s="5" t="e">
        <f ca="1">IF(OR(INDEX($AI$2:$AI$1001,MATCH(ROWS($AH$2:AH64),$AH$2:$AH$1001,0),1)&gt;=100000,INDEX($AO$1005:$BQ$1005,1,MATCH(COLUMNS($AO$1006:BH1006),$AO$1006:$BQ$1006,0))&gt;=100000), " ",IF(INDEX($AO$2:$BQ$1001,MATCH(ROWS($AH$2:AH64),$AH$2:$AH$1001,0),MATCH(COLUMNS($AO$1006:BH1006),$AO$1006:$BQ$1006,0)), HYPERLINK("#",""), HYPERLINK(CONCATENATE("#Metadata!", ADDRESS(INDEX($AJ$2:$AJ$1001,MATCH(ROWS($AH$2:AH64),$AH$2:$AH$1001,0),0), INDEX($AO$1004:$BQ$1004,1,MATCH(COLUMNS($AO$1006:BH1006),$AO$1006:$BQ$1006,0)))),"Fix")))</f>
        <v>#N/A</v>
      </c>
      <c r="V64" s="5" t="e">
        <f ca="1">IF(OR(INDEX($AI$2:$AI$1001,MATCH(ROWS($AH$2:AH64),$AH$2:$AH$1001,0),1)&gt;=100000,INDEX($AO$1005:$BQ$1005,1,MATCH(COLUMNS($AO$1006:BI1006),$AO$1006:$BQ$1006,0))&gt;=100000), " ",IF(INDEX($AO$2:$BQ$1001,MATCH(ROWS($AH$2:AH64),$AH$2:$AH$1001,0),MATCH(COLUMNS($AO$1006:BI1006),$AO$1006:$BQ$1006,0)), HYPERLINK("#",""), HYPERLINK(CONCATENATE("#Metadata!", ADDRESS(INDEX($AJ$2:$AJ$1001,MATCH(ROWS($AH$2:AH64),$AH$2:$AH$1001,0),0), INDEX($AO$1004:$BQ$1004,1,MATCH(COLUMNS($AO$1006:BI1006),$AO$1006:$BQ$1006,0)))),"Fix")))</f>
        <v>#N/A</v>
      </c>
      <c r="W64" s="5" t="e">
        <f ca="1">IF(OR(INDEX($AI$2:$AI$1001,MATCH(ROWS($AH$2:AH64),$AH$2:$AH$1001,0),1)&gt;=100000,INDEX($AO$1005:$BQ$1005,1,MATCH(COLUMNS($AO$1006:BJ1006),$AO$1006:$BQ$1006,0))&gt;=100000), " ",IF(INDEX($AO$2:$BQ$1001,MATCH(ROWS($AH$2:AH64),$AH$2:$AH$1001,0),MATCH(COLUMNS($AO$1006:BJ1006),$AO$1006:$BQ$1006,0)), HYPERLINK("#",""), HYPERLINK(CONCATENATE("#Metadata!", ADDRESS(INDEX($AJ$2:$AJ$1001,MATCH(ROWS($AH$2:AH64),$AH$2:$AH$1001,0),0), INDEX($AO$1004:$BQ$1004,1,MATCH(COLUMNS($AO$1006:BJ1006),$AO$1006:$BQ$1006,0)))),"Fix")))</f>
        <v>#N/A</v>
      </c>
      <c r="X64" s="5" t="e">
        <f ca="1">IF(OR(INDEX($AI$2:$AI$1001,MATCH(ROWS($AH$2:AH64),$AH$2:$AH$1001,0),1)&gt;=100000,INDEX($AO$1005:$BQ$1005,1,MATCH(COLUMNS($AO$1006:BK1006),$AO$1006:$BQ$1006,0))&gt;=100000), " ",IF(INDEX($AO$2:$BQ$1001,MATCH(ROWS($AH$2:AH64),$AH$2:$AH$1001,0),MATCH(COLUMNS($AO$1006:BK1006),$AO$1006:$BQ$1006,0)), HYPERLINK("#",""), HYPERLINK(CONCATENATE("#Metadata!", ADDRESS(INDEX($AJ$2:$AJ$1001,MATCH(ROWS($AH$2:AH64),$AH$2:$AH$1001,0),0), INDEX($AO$1004:$BQ$1004,1,MATCH(COLUMNS($AO$1006:BK1006),$AO$1006:$BQ$1006,0)))),"Fix")))</f>
        <v>#N/A</v>
      </c>
      <c r="Y64" s="5" t="e">
        <f ca="1">IF(OR(INDEX($AI$2:$AI$1001,MATCH(ROWS($AH$2:AH64),$AH$2:$AH$1001,0),1)&gt;=100000,INDEX($AO$1005:$BQ$1005,1,MATCH(COLUMNS($AO$1006:BL1006),$AO$1006:$BQ$1006,0))&gt;=100000), " ",IF(INDEX($AO$2:$BQ$1001,MATCH(ROWS($AH$2:AH64),$AH$2:$AH$1001,0),MATCH(COLUMNS($AO$1006:BL1006),$AO$1006:$BQ$1006,0)), HYPERLINK("#",""), HYPERLINK(CONCATENATE("#Metadata!", ADDRESS(INDEX($AJ$2:$AJ$1001,MATCH(ROWS($AH$2:AH64),$AH$2:$AH$1001,0),0), INDEX($AO$1004:$BQ$1004,1,MATCH(COLUMNS($AO$1006:BL1006),$AO$1006:$BQ$1006,0)))),"Fix")))</f>
        <v>#N/A</v>
      </c>
      <c r="Z64" s="5" t="e">
        <f ca="1">IF(OR(INDEX($AI$2:$AI$1001,MATCH(ROWS($AH$2:AH64),$AH$2:$AH$1001,0),1)&gt;=100000,INDEX($AO$1005:$BQ$1005,1,MATCH(COLUMNS($AO$1006:BM1006),$AO$1006:$BQ$1006,0))&gt;=100000), " ",IF(INDEX($AO$2:$BQ$1001,MATCH(ROWS($AH$2:AH64),$AH$2:$AH$1001,0),MATCH(COLUMNS($AO$1006:BM1006),$AO$1006:$BQ$1006,0)), HYPERLINK("#",""), HYPERLINK(CONCATENATE("#Metadata!", ADDRESS(INDEX($AJ$2:$AJ$1001,MATCH(ROWS($AH$2:AH64),$AH$2:$AH$1001,0),0), INDEX($AO$1004:$BQ$1004,1,MATCH(COLUMNS($AO$1006:BM1006),$AO$1006:$BQ$1006,0)))),"Fix")))</f>
        <v>#N/A</v>
      </c>
      <c r="AA64" s="5" t="e">
        <f ca="1">IF(OR(INDEX($AI$2:$AI$1001,MATCH(ROWS($AH$2:AH64),$AH$2:$AH$1001,0),1)&gt;=100000,INDEX($AO$1005:$BQ$1005,1,MATCH(COLUMNS($AO$1006:BN1006),$AO$1006:$BQ$1006,0))&gt;=100000), " ",IF(INDEX($AO$2:$BQ$1001,MATCH(ROWS($AH$2:AH64),$AH$2:$AH$1001,0),MATCH(COLUMNS($AO$1006:BN1006),$AO$1006:$BQ$1006,0)), HYPERLINK("#",""), HYPERLINK(CONCATENATE("#Metadata!", ADDRESS(INDEX($AJ$2:$AJ$1001,MATCH(ROWS($AH$2:AH64),$AH$2:$AH$1001,0),0), INDEX($AO$1004:$BQ$1004,1,MATCH(COLUMNS($AO$1006:BN1006),$AO$1006:$BQ$1006,0)))),"Fix")))</f>
        <v>#N/A</v>
      </c>
      <c r="AB64" s="5" t="e">
        <f ca="1">IF(OR(INDEX($AI$2:$AI$1001,MATCH(ROWS($AH$2:AH64),$AH$2:$AH$1001,0),1)&gt;=100000,INDEX($AO$1005:$BQ$1005,1,MATCH(COLUMNS($AO$1006:BO1006),$AO$1006:$BQ$1006,0))&gt;=100000), " ",IF(INDEX($AO$2:$BQ$1001,MATCH(ROWS($AH$2:AH64),$AH$2:$AH$1001,0),MATCH(COLUMNS($AO$1006:BO1006),$AO$1006:$BQ$1006,0)), HYPERLINK("#",""), HYPERLINK(CONCATENATE("#Metadata!", ADDRESS(INDEX($AJ$2:$AJ$1001,MATCH(ROWS($AH$2:AH64),$AH$2:$AH$1001,0),0), INDEX($AO$1004:$BQ$1004,1,MATCH(COLUMNS($AO$1006:BO1006),$AO$1006:$BQ$1006,0)))),"Fix")))</f>
        <v>#N/A</v>
      </c>
      <c r="AC64" s="5" t="e">
        <f ca="1">IF(OR(INDEX($AI$2:$AI$1001,MATCH(ROWS($AH$2:AH64),$AH$2:$AH$1001,0),1)&gt;=100000,INDEX($AO$1005:$BQ$1005,1,MATCH(COLUMNS($AO$1006:BP1006),$AO$1006:$BQ$1006,0))&gt;=100000), " ",IF(INDEX($AO$2:$BQ$1001,MATCH(ROWS($AH$2:AH64),$AH$2:$AH$1001,0),MATCH(COLUMNS($AO$1006:BP1006),$AO$1006:$BQ$1006,0)), HYPERLINK("#",""), HYPERLINK(CONCATENATE("#Metadata!", ADDRESS(INDEX($AJ$2:$AJ$1001,MATCH(ROWS($AH$2:AH64),$AH$2:$AH$1001,0),0), INDEX($AO$1004:$BQ$1004,1,MATCH(COLUMNS($AO$1006:BP1006),$AO$1006:$BQ$1006,0)))),"Fix")))</f>
        <v>#N/A</v>
      </c>
      <c r="AD64" s="5" t="e">
        <f ca="1">IF(OR(INDEX($AI$2:$AI$1001,MATCH(ROWS($AH$2:AH64),$AH$2:$AH$1001,0),1)&gt;=100000,INDEX($AO$1005:$BQ$1005,1,MATCH(COLUMNS($AO$1006:BQ1006),$AO$1006:$BQ$1006,0))&gt;=100000), " ",IF(INDEX($AO$2:$BQ$1001,MATCH(ROWS($AH$2:AH64),$AH$2:$AH$1001,0),MATCH(COLUMNS($AO$1006:BQ1006),$AO$1006:$BQ$1006,0)), HYPERLINK("#",""), HYPERLINK(CONCATENATE("#Metadata!", ADDRESS(INDEX($AJ$2:$AJ$1001,MATCH(ROWS($AH$2:AH64),$AH$2:$AH$1001,0),0), INDEX($AO$1004:$BQ$1004,1,MATCH(COLUMNS($AO$1006:BQ1006),$AO$1006:$BQ$1006,0)))),"Fix")))</f>
        <v>#REF!</v>
      </c>
      <c r="AH64">
        <f ca="1"/>
        <v>61</v>
      </c>
      <c r="AI64">
        <v>100064</v>
      </c>
      <c r="AJ64">
        <v>64</v>
      </c>
      <c r="AK64" t="b">
        <f t="shared" si="0"/>
        <v>1</v>
      </c>
      <c r="AL64" t="b">
        <f>COUNTBLANK(Metadata!B64:AD64)=COLUMNS(Metadata!B64:AD64)</f>
        <v>1</v>
      </c>
      <c r="AM64" t="str">
        <v/>
      </c>
      <c r="AO64" t="b">
        <f ca="1">AND(IF(Metadata!B64="",FALSE,TRUE),COUNTIF(Metadata!B:B, Metadata!B64) = 1,NOT(ISERROR(SUMPRODUCT(SEARCH(MID(Metadata!B64,ROW(INDIRECT("1:"&amp;LEN(Metadata!B64))), 1),"0123456789abcdefghijklmnopqrstuvwxyzABCDEFGHIJKLMNOPQRSTUVWXYZ.")))))</f>
        <v>0</v>
      </c>
      <c r="AP64" t="b">
        <f>IF(Metadata!C64="",FALSE,TRUE)</f>
        <v>0</v>
      </c>
      <c r="AQ64" t="b">
        <f>IF(Metadata!D64="",FALSE,TRUE)</f>
        <v>0</v>
      </c>
      <c r="AR64" t="b">
        <f ca="1">OR(AND(IF(Metadata!E64="",FALSE,TRUE),OR(EXACT(Metadata!E64,"not collected"),EXACT(Metadata!E64,"not provided"),EXACT(Metadata!E64,"restricted access"))),AND(IF(Metadata!E64="",FALSE,TRUE),AND(AND(IFERROR(INT(LEFT(Metadata!E64,4))&gt;1900,FALSE),IFERROR(INT(LEFT(Metadata!E64,4))&lt;=YEAR(NOW()),FALSE)), OR(MID(Metadata!E64,5,1)="", AND(AND(MID(Metadata!E64,5,1)="-",IFERROR(INT(MID(Metadata!E64,6,1))&gt;=0,FALSE),IFERROR(INT(MID(Metadata!E64,6,1))&lt;=1,FALSE),NOT(MID(Metadata!E64,7,1)=""),IFERROR(INT(MID(Metadata!E64,6,2))&gt;=1,FALSE),IFERROR(INT(MID(Metadata!E64,6,2))&lt;=12,FALSE)), OR(MID(Metadata!E64,8,1)="", AND(AND(MID(Metadata!E64,8,1)="-",IFERROR(INT(MID(Metadata!E64,9,1))&gt;=0,FALSE),IFERROR(INT(MID(Metadata!E64,9,1))&lt;=3,FALSE),NOT(MID(Metadata!E64,10,1)=""),IFERROR(INT(MID(Metadata!E64,9,2))&gt;=1,FALSE),IFERROR(INT(MID(Metadata!E64,9,2))&lt;=31,FALSE)), OR(MID(Metadata!E64,11,1)="", AND(AND(MID(Metadata!E64,11,1)=" ",IFERROR(INT(MID(Metadata!E64,12,1))&gt;=0,FALSE),IFERROR(INT(MID(Metadata!E64,12,1))&lt;=2,FALSE),NOT(MID(Metadata!E64,13,1)=""),IFERROR(INT(MID(Metadata!E64,12,2))&gt;=0,FALSE),IFERROR(INT(MID(Metadata!E64,12,2))&lt;=23,FALSE)), OR(MID(Metadata!E64,14,1)="", AND(AND(MID(Metadata!E64,14,1)=":",IFERROR(INT(MID(Metadata!E64,15,1))&gt;=0,FALSE),IFERROR(INT(MID(Metadata!E64,15,1))&lt;=5,FALSE),NOT(MID(Metadata!E64,16,1)=""),IFERROR(INT(MID(Metadata!E64,15,2))&gt;=0,FALSE),IFERROR(INT(MID(Metadata!E64,15,2))&lt;=59,FALSE)), OR(MID(Metadata!E64,17,1)="", AND(AND(MID(Metadata!E64,17,1)=":",IFERROR(INT(MID(Metadata!E64,18,1))&gt;=0,FALSE),IFERROR(INT(MID(Metadata!E64,18,1))&lt;=5,FALSE),NOT(MID(Metadata!E64,19,1)=""),IFERROR(INT(MID(Metadata!E64,18,2))&gt;=0,FALSE),IFERROR(INT(MID(Metadata!E64,18,2))&lt;=59,FALSE)), LEN(Metadata!E64)&lt;=19)))))))))))))</f>
        <v>0</v>
      </c>
      <c r="AS64" t="b">
        <f>IF(Metadata!F64="",FALSE,TRUE)</f>
        <v>0</v>
      </c>
      <c r="AT64" t="b">
        <f>OR(AND(IF(Metadata!G64="",FALSE,TRUE),OR(EXACT(Metadata!G64,"not collected"),EXACT(Metadata!G64,"not provided"))),AND(IF(Metadata!G64="",FALSE,TRUE),OR(EXACT(Metadata!G64,"TRUE"),EXACT(Metadata!G64,"FALSE"))))</f>
        <v>0</v>
      </c>
      <c r="AU64" t="b">
        <f>OR(AND(IF(Metadata!H64="",FALSE,TRUE),OR(EXACT(Metadata!H64,"not collected"),EXACT(Metadata!H64,"not provided"),EXACT(Metadata!H64,"restricted access"))),AND(IF(Metadata!H64="",FALSE,ISNUMBER(VALUE(Metadata!H64))),Metadata!H64&gt;=-413))</f>
        <v>0</v>
      </c>
      <c r="AV64" t="b">
        <f>AND(IF(Metadata!I64="",FALSE,TRUE),EXACT(Metadata!I64,"meters"))</f>
        <v>0</v>
      </c>
      <c r="AW64" t="b">
        <f>AND(IF(Metadata!J64="",FALSE,TRUE),EXACT(Metadata!J64,"free-living"))</f>
        <v>0</v>
      </c>
      <c r="AX64" t="b">
        <f>AND(IF(Metadata!K64="",FALSE,TRUE),OR(EXACT(Metadata!K64,"saline"),EXACT(Metadata!K64,"non-saline")))</f>
        <v>0</v>
      </c>
      <c r="AY64" t="b">
        <f>AND(IF(Metadata!L64="",FALSE,TRUE),OR(EXACT(Metadata!L64,"sub-surface (non-saline)"),EXACT(Metadata!L64,"surface (non-saline)"),EXACT(Metadata!L64,"water (non-saline)"),EXACT(Metadata!L64,"soil (non-saline)"),EXACT(Metadata!L64,"aerosol (non-saline)"),EXACT(Metadata!L64,"sediment (non-saline)"),EXACT(Metadata!L64,"surface (saline)"),EXACT(Metadata!L64,"water (saline)"),EXACT(Metadata!L64,"hypersaline (saline)"),EXACT(Metadata!L64,"aerosol (saline)"),EXACT(Metadata!L64,"sediment (saline)")))</f>
        <v>0</v>
      </c>
      <c r="AZ64" t="b">
        <f>IF(Metadata!M64="",FALSE,TRUE)</f>
        <v>0</v>
      </c>
      <c r="BA64" t="b">
        <f>IF(Metadata!N64="",FALSE,TRUE)</f>
        <v>0</v>
      </c>
      <c r="BB64" t="b">
        <f>IF(Metadata!O64="",FALSE,TRUE)</f>
        <v>0</v>
      </c>
      <c r="BC64" t="b">
        <f>AND(IF(Metadata!P64="",FALSE,TRUE),OR(EXACT(Metadata!P64,"air"),EXACT(Metadata!P64,"microbial mat/biofilm"),EXACT(Metadata!P64,"misc environment"),EXACT(Metadata!P64,"sediment"),EXACT(Metadata!P64,"soil"),EXACT(Metadata!P64,"wastewater/sludge"),EXACT(Metadata!P64,"water")))</f>
        <v>0</v>
      </c>
      <c r="BD64" t="b">
        <f>IF(Metadata!Q64="",FALSE,TRUE)</f>
        <v>0</v>
      </c>
      <c r="BE64" t="b">
        <f>IF(Metadata!R64="",FALSE,TRUE)</f>
        <v>0</v>
      </c>
      <c r="BF64" t="b">
        <f>OR(AND(IF(Metadata!S64="",FALSE,TRUE),OR(EXACT(Metadata!S64,"not collected"),EXACT(Metadata!S64,"not provided"),EXACT(Metadata!S64,"restricted access"))),AND(IF(Metadata!S64="",FALSE,ISNUMBER(VALUE(Metadata!S64))),Metadata!S64&gt;=-90,Metadata!S64&lt;=90))</f>
        <v>0</v>
      </c>
      <c r="BG64" t="b">
        <f>AND(IF(Metadata!T64="",FALSE,TRUE),EXACT(Metadata!T64,"Decimal degrees"))</f>
        <v>0</v>
      </c>
      <c r="BH64" t="b">
        <f>OR(AND(IF(Metadata!U64="",FALSE,TRUE),OR(EXACT(Metadata!U64,"not applicable"),EXACT(Metadata!U64,"not collected"))),IF(Metadata!U64="",FALSE,TRUE))</f>
        <v>0</v>
      </c>
      <c r="BI64" t="b">
        <f>OR(AND(IF(Metadata!V64="",FALSE,TRUE),OR(EXACT(Metadata!V64,"not collected"),EXACT(Metadata!V64,"not provided"),EXACT(Metadata!V64,"restricted access"))),AND(IF(Metadata!V64="",FALSE,ISNUMBER(VALUE(Metadata!V64))),Metadata!V64&gt;=-180,Metadata!V64&lt;=180))</f>
        <v>0</v>
      </c>
      <c r="BJ64" t="b">
        <f>AND(IF(Metadata!W64="",FALSE,TRUE),EXACT(Metadata!W64,"Decimal degrees"))</f>
        <v>0</v>
      </c>
      <c r="BK64" t="b">
        <f>IF(Metadata!X64="",FALSE,TRUE)</f>
        <v>0</v>
      </c>
      <c r="BL64" t="b">
        <f>OR(AND(IF(Metadata!Y64="",FALSE,TRUE),OR(EXACT(Metadata!Y64,"not collected"),EXACT(Metadata!Y64,"not provided"),EXACT(Metadata!Y64,"restricted access"))),AND(IF(Metadata!Y64="",FALSE,TRUE),OR(EXACT(Metadata!Y64,"TRUE"),EXACT(Metadata!Y64,"FALSE"))))</f>
        <v>0</v>
      </c>
      <c r="BM64" t="b">
        <f>OR(AND(IF(Metadata!Z64="",FALSE,TRUE),EXACT(Metadata!Z64,"not applicable")),AND(IF(Metadata!Z64="",FALSE,TRUE),OR(EXACT(Metadata!Z64,"beer"),EXACT(Metadata!Z64,"cheese"),EXACT(Metadata!Z64,"fresh water"),EXACT(Metadata!Z64,"marine sediment"),EXACT(Metadata!Z64,"sea water"),EXACT(Metadata!Z64,"sediment"),EXACT(Metadata!Z64,"soil"),EXACT(Metadata!Z64,"waste water"))))</f>
        <v>0</v>
      </c>
      <c r="BN64" t="b">
        <f>AND(IF(Metadata!AA64="",FALSE,TRUE),EXACT(Metadata!AA64,"metagenome"))</f>
        <v>0</v>
      </c>
      <c r="BO64" t="b">
        <f>AND(IF(Metadata!AB64="",FALSE,TRUE),EXACT(Metadata!AB64,"256318"))</f>
        <v>0</v>
      </c>
      <c r="BP64" t="b">
        <f>IF(Metadata!AC64="",FALSE,TRUE)</f>
        <v>0</v>
      </c>
      <c r="BQ64" t="b">
        <f>IF(Metadata!AD64="",FALSE,TRUE)</f>
        <v>0</v>
      </c>
    </row>
    <row r="65" spans="1:69" x14ac:dyDescent="0.2">
      <c r="A65" s="4" t="e">
        <f ca="1">IF(B65=" "," ",HYPERLINK(CONCATENATE("#metadata!",ADDRESS(INDEX($AJ$2:$AJ$1001,MATCH(ROWS($AH$2:AH65),$AH$2:$AH$1001,0),0),2)),INDEX($AM$2:$AM$1001,MATCH(ROWS($AH$2:AH65),$AH$2:$AH$1001,0),0)))</f>
        <v>#N/A</v>
      </c>
      <c r="B65" s="5" t="e">
        <f ca="1">IF(OR(INDEX($AI$2:$AI$1001,MATCH(ROWS($AH$2:AH65),$AH$2:$AH$1001,0),1)&gt;=100000,INDEX($AO$1005:$BQ$1005,1,MATCH(COLUMNS($AO$1006:AO1006),$AO$1006:$BQ$1006,0))&gt;=100000), " ",IF(INDEX($AO$2:$BQ$1001,MATCH(ROWS($AH$2:AH65),$AH$2:$AH$1001,0),MATCH(COLUMNS($AO$1006:AO1006),$AO$1006:$BQ$1006,0)), HYPERLINK("#",""), HYPERLINK(CONCATENATE("#Metadata!", ADDRESS(INDEX($AJ$2:$AJ$1001,MATCH(ROWS($AH$2:AH65),$AH$2:$AH$1001,0),0), INDEX($AO$1004:$BQ$1004,1,MATCH(COLUMNS($AO$1006:AO1006),$AO$1006:$BQ$1006,0)))),"Fix")))</f>
        <v>#N/A</v>
      </c>
      <c r="C65" s="5" t="e">
        <f ca="1">IF(OR(INDEX($AI$2:$AI$1001,MATCH(ROWS($AH$2:AH65),$AH$2:$AH$1001,0),1)&gt;=100000,INDEX($AO$1005:$BQ$1005,1,MATCH(COLUMNS($AO$1006:AP1006),$AO$1006:$BQ$1006,0))&gt;=100000), " ",IF(INDEX($AO$2:$BQ$1001,MATCH(ROWS($AH$2:AH65),$AH$2:$AH$1001,0),MATCH(COLUMNS($AO$1006:AP1006),$AO$1006:$BQ$1006,0)), HYPERLINK("#",""), HYPERLINK(CONCATENATE("#Metadata!", ADDRESS(INDEX($AJ$2:$AJ$1001,MATCH(ROWS($AH$2:AH65),$AH$2:$AH$1001,0),0), INDEX($AO$1004:$BQ$1004,1,MATCH(COLUMNS($AO$1006:AP1006),$AO$1006:$BQ$1006,0)))),"Fix")))</f>
        <v>#N/A</v>
      </c>
      <c r="D65" s="5" t="e">
        <f ca="1">IF(OR(INDEX($AI$2:$AI$1001,MATCH(ROWS($AH$2:AH65),$AH$2:$AH$1001,0),1)&gt;=100000,INDEX($AO$1005:$BQ$1005,1,MATCH(COLUMNS($AO$1006:AQ1006),$AO$1006:$BQ$1006,0))&gt;=100000), " ",IF(INDEX($AO$2:$BQ$1001,MATCH(ROWS($AH$2:AH65),$AH$2:$AH$1001,0),MATCH(COLUMNS($AO$1006:AQ1006),$AO$1006:$BQ$1006,0)), HYPERLINK("#",""), HYPERLINK(CONCATENATE("#Metadata!", ADDRESS(INDEX($AJ$2:$AJ$1001,MATCH(ROWS($AH$2:AH65),$AH$2:$AH$1001,0),0), INDEX($AO$1004:$BQ$1004,1,MATCH(COLUMNS($AO$1006:AQ1006),$AO$1006:$BQ$1006,0)))),"Fix")))</f>
        <v>#N/A</v>
      </c>
      <c r="E65" s="5" t="e">
        <f ca="1">IF(OR(INDEX($AI$2:$AI$1001,MATCH(ROWS($AH$2:AH65),$AH$2:$AH$1001,0),1)&gt;=100000,INDEX($AO$1005:$BQ$1005,1,MATCH(COLUMNS($AO$1006:AR1006),$AO$1006:$BQ$1006,0))&gt;=100000), " ",IF(INDEX($AO$2:$BQ$1001,MATCH(ROWS($AH$2:AH65),$AH$2:$AH$1001,0),MATCH(COLUMNS($AO$1006:AR1006),$AO$1006:$BQ$1006,0)), HYPERLINK("#",""), HYPERLINK(CONCATENATE("#Metadata!", ADDRESS(INDEX($AJ$2:$AJ$1001,MATCH(ROWS($AH$2:AH65),$AH$2:$AH$1001,0),0), INDEX($AO$1004:$BQ$1004,1,MATCH(COLUMNS($AO$1006:AR1006),$AO$1006:$BQ$1006,0)))),"Fix")))</f>
        <v>#N/A</v>
      </c>
      <c r="F65" s="5" t="e">
        <f ca="1">IF(OR(INDEX($AI$2:$AI$1001,MATCH(ROWS($AH$2:AH65),$AH$2:$AH$1001,0),1)&gt;=100000,INDEX($AO$1005:$BQ$1005,1,MATCH(COLUMNS($AO$1006:AS1006),$AO$1006:$BQ$1006,0))&gt;=100000), " ",IF(INDEX($AO$2:$BQ$1001,MATCH(ROWS($AH$2:AH65),$AH$2:$AH$1001,0),MATCH(COLUMNS($AO$1006:AS1006),$AO$1006:$BQ$1006,0)), HYPERLINK("#",""), HYPERLINK(CONCATENATE("#Metadata!", ADDRESS(INDEX($AJ$2:$AJ$1001,MATCH(ROWS($AH$2:AH65),$AH$2:$AH$1001,0),0), INDEX($AO$1004:$BQ$1004,1,MATCH(COLUMNS($AO$1006:AS1006),$AO$1006:$BQ$1006,0)))),"Fix")))</f>
        <v>#N/A</v>
      </c>
      <c r="G65" s="5" t="e">
        <f ca="1">IF(OR(INDEX($AI$2:$AI$1001,MATCH(ROWS($AH$2:AH65),$AH$2:$AH$1001,0),1)&gt;=100000,INDEX($AO$1005:$BQ$1005,1,MATCH(COLUMNS($AO$1006:AT1006),$AO$1006:$BQ$1006,0))&gt;=100000), " ",IF(INDEX($AO$2:$BQ$1001,MATCH(ROWS($AH$2:AH65),$AH$2:$AH$1001,0),MATCH(COLUMNS($AO$1006:AT1006),$AO$1006:$BQ$1006,0)), HYPERLINK("#",""), HYPERLINK(CONCATENATE("#Metadata!", ADDRESS(INDEX($AJ$2:$AJ$1001,MATCH(ROWS($AH$2:AH65),$AH$2:$AH$1001,0),0), INDEX($AO$1004:$BQ$1004,1,MATCH(COLUMNS($AO$1006:AT1006),$AO$1006:$BQ$1006,0)))),"Fix")))</f>
        <v>#N/A</v>
      </c>
      <c r="H65" s="5" t="e">
        <f ca="1">IF(OR(INDEX($AI$2:$AI$1001,MATCH(ROWS($AH$2:AH65),$AH$2:$AH$1001,0),1)&gt;=100000,INDEX($AO$1005:$BQ$1005,1,MATCH(COLUMNS($AO$1006:AU1006),$AO$1006:$BQ$1006,0))&gt;=100000), " ",IF(INDEX($AO$2:$BQ$1001,MATCH(ROWS($AH$2:AH65),$AH$2:$AH$1001,0),MATCH(COLUMNS($AO$1006:AU1006),$AO$1006:$BQ$1006,0)), HYPERLINK("#",""), HYPERLINK(CONCATENATE("#Metadata!", ADDRESS(INDEX($AJ$2:$AJ$1001,MATCH(ROWS($AH$2:AH65),$AH$2:$AH$1001,0),0), INDEX($AO$1004:$BQ$1004,1,MATCH(COLUMNS($AO$1006:AU1006),$AO$1006:$BQ$1006,0)))),"Fix")))</f>
        <v>#N/A</v>
      </c>
      <c r="I65" s="5" t="e">
        <f ca="1">IF(OR(INDEX($AI$2:$AI$1001,MATCH(ROWS($AH$2:AH65),$AH$2:$AH$1001,0),1)&gt;=100000,INDEX($AO$1005:$BQ$1005,1,MATCH(COLUMNS($AO$1006:AV1006),$AO$1006:$BQ$1006,0))&gt;=100000), " ",IF(INDEX($AO$2:$BQ$1001,MATCH(ROWS($AH$2:AH65),$AH$2:$AH$1001,0),MATCH(COLUMNS($AO$1006:AV1006),$AO$1006:$BQ$1006,0)), HYPERLINK("#",""), HYPERLINK(CONCATENATE("#Metadata!", ADDRESS(INDEX($AJ$2:$AJ$1001,MATCH(ROWS($AH$2:AH65),$AH$2:$AH$1001,0),0), INDEX($AO$1004:$BQ$1004,1,MATCH(COLUMNS($AO$1006:AV1006),$AO$1006:$BQ$1006,0)))),"Fix")))</f>
        <v>#N/A</v>
      </c>
      <c r="J65" s="5" t="e">
        <f ca="1">IF(OR(INDEX($AI$2:$AI$1001,MATCH(ROWS($AH$2:AH65),$AH$2:$AH$1001,0),1)&gt;=100000,INDEX($AO$1005:$BQ$1005,1,MATCH(COLUMNS($AO$1006:AW1006),$AO$1006:$BQ$1006,0))&gt;=100000), " ",IF(INDEX($AO$2:$BQ$1001,MATCH(ROWS($AH$2:AH65),$AH$2:$AH$1001,0),MATCH(COLUMNS($AO$1006:AW1006),$AO$1006:$BQ$1006,0)), HYPERLINK("#",""), HYPERLINK(CONCATENATE("#Metadata!", ADDRESS(INDEX($AJ$2:$AJ$1001,MATCH(ROWS($AH$2:AH65),$AH$2:$AH$1001,0),0), INDEX($AO$1004:$BQ$1004,1,MATCH(COLUMNS($AO$1006:AW1006),$AO$1006:$BQ$1006,0)))),"Fix")))</f>
        <v>#N/A</v>
      </c>
      <c r="K65" s="5" t="e">
        <f ca="1">IF(OR(INDEX($AI$2:$AI$1001,MATCH(ROWS($AH$2:AH65),$AH$2:$AH$1001,0),1)&gt;=100000,INDEX($AO$1005:$BQ$1005,1,MATCH(COLUMNS($AO$1006:AX1006),$AO$1006:$BQ$1006,0))&gt;=100000), " ",IF(INDEX($AO$2:$BQ$1001,MATCH(ROWS($AH$2:AH65),$AH$2:$AH$1001,0),MATCH(COLUMNS($AO$1006:AX1006),$AO$1006:$BQ$1006,0)), HYPERLINK("#",""), HYPERLINK(CONCATENATE("#Metadata!", ADDRESS(INDEX($AJ$2:$AJ$1001,MATCH(ROWS($AH$2:AH65),$AH$2:$AH$1001,0),0), INDEX($AO$1004:$BQ$1004,1,MATCH(COLUMNS($AO$1006:AX1006),$AO$1006:$BQ$1006,0)))),"Fix")))</f>
        <v>#N/A</v>
      </c>
      <c r="L65" s="5" t="e">
        <f ca="1">IF(OR(INDEX($AI$2:$AI$1001,MATCH(ROWS($AH$2:AH65),$AH$2:$AH$1001,0),1)&gt;=100000,INDEX($AO$1005:$BQ$1005,1,MATCH(COLUMNS($AO$1006:AY1006),$AO$1006:$BQ$1006,0))&gt;=100000), " ",IF(INDEX($AO$2:$BQ$1001,MATCH(ROWS($AH$2:AH65),$AH$2:$AH$1001,0),MATCH(COLUMNS($AO$1006:AY1006),$AO$1006:$BQ$1006,0)), HYPERLINK("#",""), HYPERLINK(CONCATENATE("#Metadata!", ADDRESS(INDEX($AJ$2:$AJ$1001,MATCH(ROWS($AH$2:AH65),$AH$2:$AH$1001,0),0), INDEX($AO$1004:$BQ$1004,1,MATCH(COLUMNS($AO$1006:AY1006),$AO$1006:$BQ$1006,0)))),"Fix")))</f>
        <v>#N/A</v>
      </c>
      <c r="M65" s="5" t="e">
        <f ca="1">IF(OR(INDEX($AI$2:$AI$1001,MATCH(ROWS($AH$2:AH65),$AH$2:$AH$1001,0),1)&gt;=100000,INDEX($AO$1005:$BQ$1005,1,MATCH(COLUMNS($AO$1006:AZ1006),$AO$1006:$BQ$1006,0))&gt;=100000), " ",IF(INDEX($AO$2:$BQ$1001,MATCH(ROWS($AH$2:AH65),$AH$2:$AH$1001,0),MATCH(COLUMNS($AO$1006:AZ1006),$AO$1006:$BQ$1006,0)), HYPERLINK("#",""), HYPERLINK(CONCATENATE("#Metadata!", ADDRESS(INDEX($AJ$2:$AJ$1001,MATCH(ROWS($AH$2:AH65),$AH$2:$AH$1001,0),0), INDEX($AO$1004:$BQ$1004,1,MATCH(COLUMNS($AO$1006:AZ1006),$AO$1006:$BQ$1006,0)))),"Fix")))</f>
        <v>#N/A</v>
      </c>
      <c r="N65" s="5" t="e">
        <f ca="1">IF(OR(INDEX($AI$2:$AI$1001,MATCH(ROWS($AH$2:AH65),$AH$2:$AH$1001,0),1)&gt;=100000,INDEX($AO$1005:$BQ$1005,1,MATCH(COLUMNS($AO$1006:BA1006),$AO$1006:$BQ$1006,0))&gt;=100000), " ",IF(INDEX($AO$2:$BQ$1001,MATCH(ROWS($AH$2:AH65),$AH$2:$AH$1001,0),MATCH(COLUMNS($AO$1006:BA1006),$AO$1006:$BQ$1006,0)), HYPERLINK("#",""), HYPERLINK(CONCATENATE("#Metadata!", ADDRESS(INDEX($AJ$2:$AJ$1001,MATCH(ROWS($AH$2:AH65),$AH$2:$AH$1001,0),0), INDEX($AO$1004:$BQ$1004,1,MATCH(COLUMNS($AO$1006:BA1006),$AO$1006:$BQ$1006,0)))),"Fix")))</f>
        <v>#N/A</v>
      </c>
      <c r="O65" s="5" t="e">
        <f ca="1">IF(OR(INDEX($AI$2:$AI$1001,MATCH(ROWS($AH$2:AH65),$AH$2:$AH$1001,0),1)&gt;=100000,INDEX($AO$1005:$BQ$1005,1,MATCH(COLUMNS($AO$1006:BB1006),$AO$1006:$BQ$1006,0))&gt;=100000), " ",IF(INDEX($AO$2:$BQ$1001,MATCH(ROWS($AH$2:AH65),$AH$2:$AH$1001,0),MATCH(COLUMNS($AO$1006:BB1006),$AO$1006:$BQ$1006,0)), HYPERLINK("#",""), HYPERLINK(CONCATENATE("#Metadata!", ADDRESS(INDEX($AJ$2:$AJ$1001,MATCH(ROWS($AH$2:AH65),$AH$2:$AH$1001,0),0), INDEX($AO$1004:$BQ$1004,1,MATCH(COLUMNS($AO$1006:BB1006),$AO$1006:$BQ$1006,0)))),"Fix")))</f>
        <v>#N/A</v>
      </c>
      <c r="P65" s="5" t="e">
        <f ca="1">IF(OR(INDEX($AI$2:$AI$1001,MATCH(ROWS($AH$2:AH65),$AH$2:$AH$1001,0),1)&gt;=100000,INDEX($AO$1005:$BQ$1005,1,MATCH(COLUMNS($AO$1006:BC1006),$AO$1006:$BQ$1006,0))&gt;=100000), " ",IF(INDEX($AO$2:$BQ$1001,MATCH(ROWS($AH$2:AH65),$AH$2:$AH$1001,0),MATCH(COLUMNS($AO$1006:BC1006),$AO$1006:$BQ$1006,0)), HYPERLINK("#",""), HYPERLINK(CONCATENATE("#Metadata!", ADDRESS(INDEX($AJ$2:$AJ$1001,MATCH(ROWS($AH$2:AH65),$AH$2:$AH$1001,0),0), INDEX($AO$1004:$BQ$1004,1,MATCH(COLUMNS($AO$1006:BC1006),$AO$1006:$BQ$1006,0)))),"Fix")))</f>
        <v>#N/A</v>
      </c>
      <c r="Q65" s="5" t="e">
        <f ca="1">IF(OR(INDEX($AI$2:$AI$1001,MATCH(ROWS($AH$2:AH65),$AH$2:$AH$1001,0),1)&gt;=100000,INDEX($AO$1005:$BQ$1005,1,MATCH(COLUMNS($AO$1006:BD1006),$AO$1006:$BQ$1006,0))&gt;=100000), " ",IF(INDEX($AO$2:$BQ$1001,MATCH(ROWS($AH$2:AH65),$AH$2:$AH$1001,0),MATCH(COLUMNS($AO$1006:BD1006),$AO$1006:$BQ$1006,0)), HYPERLINK("#",""), HYPERLINK(CONCATENATE("#Metadata!", ADDRESS(INDEX($AJ$2:$AJ$1001,MATCH(ROWS($AH$2:AH65),$AH$2:$AH$1001,0),0), INDEX($AO$1004:$BQ$1004,1,MATCH(COLUMNS($AO$1006:BD1006),$AO$1006:$BQ$1006,0)))),"Fix")))</f>
        <v>#N/A</v>
      </c>
      <c r="R65" s="5" t="e">
        <f ca="1">IF(OR(INDEX($AI$2:$AI$1001,MATCH(ROWS($AH$2:AH65),$AH$2:$AH$1001,0),1)&gt;=100000,INDEX($AO$1005:$BQ$1005,1,MATCH(COLUMNS($AO$1006:BE1006),$AO$1006:$BQ$1006,0))&gt;=100000), " ",IF(INDEX($AO$2:$BQ$1001,MATCH(ROWS($AH$2:AH65),$AH$2:$AH$1001,0),MATCH(COLUMNS($AO$1006:BE1006),$AO$1006:$BQ$1006,0)), HYPERLINK("#",""), HYPERLINK(CONCATENATE("#Metadata!", ADDRESS(INDEX($AJ$2:$AJ$1001,MATCH(ROWS($AH$2:AH65),$AH$2:$AH$1001,0),0), INDEX($AO$1004:$BQ$1004,1,MATCH(COLUMNS($AO$1006:BE1006),$AO$1006:$BQ$1006,0)))),"Fix")))</f>
        <v>#N/A</v>
      </c>
      <c r="S65" s="5" t="e">
        <f ca="1">IF(OR(INDEX($AI$2:$AI$1001,MATCH(ROWS($AH$2:AH65),$AH$2:$AH$1001,0),1)&gt;=100000,INDEX($AO$1005:$BQ$1005,1,MATCH(COLUMNS($AO$1006:BF1006),$AO$1006:$BQ$1006,0))&gt;=100000), " ",IF(INDEX($AO$2:$BQ$1001,MATCH(ROWS($AH$2:AH65),$AH$2:$AH$1001,0),MATCH(COLUMNS($AO$1006:BF1006),$AO$1006:$BQ$1006,0)), HYPERLINK("#",""), HYPERLINK(CONCATENATE("#Metadata!", ADDRESS(INDEX($AJ$2:$AJ$1001,MATCH(ROWS($AH$2:AH65),$AH$2:$AH$1001,0),0), INDEX($AO$1004:$BQ$1004,1,MATCH(COLUMNS($AO$1006:BF1006),$AO$1006:$BQ$1006,0)))),"Fix")))</f>
        <v>#N/A</v>
      </c>
      <c r="T65" s="5" t="e">
        <f ca="1">IF(OR(INDEX($AI$2:$AI$1001,MATCH(ROWS($AH$2:AH65),$AH$2:$AH$1001,0),1)&gt;=100000,INDEX($AO$1005:$BQ$1005,1,MATCH(COLUMNS($AO$1006:BG1006),$AO$1006:$BQ$1006,0))&gt;=100000), " ",IF(INDEX($AO$2:$BQ$1001,MATCH(ROWS($AH$2:AH65),$AH$2:$AH$1001,0),MATCH(COLUMNS($AO$1006:BG1006),$AO$1006:$BQ$1006,0)), HYPERLINK("#",""), HYPERLINK(CONCATENATE("#Metadata!", ADDRESS(INDEX($AJ$2:$AJ$1001,MATCH(ROWS($AH$2:AH65),$AH$2:$AH$1001,0),0), INDEX($AO$1004:$BQ$1004,1,MATCH(COLUMNS($AO$1006:BG1006),$AO$1006:$BQ$1006,0)))),"Fix")))</f>
        <v>#N/A</v>
      </c>
      <c r="U65" s="5" t="e">
        <f ca="1">IF(OR(INDEX($AI$2:$AI$1001,MATCH(ROWS($AH$2:AH65),$AH$2:$AH$1001,0),1)&gt;=100000,INDEX($AO$1005:$BQ$1005,1,MATCH(COLUMNS($AO$1006:BH1006),$AO$1006:$BQ$1006,0))&gt;=100000), " ",IF(INDEX($AO$2:$BQ$1001,MATCH(ROWS($AH$2:AH65),$AH$2:$AH$1001,0),MATCH(COLUMNS($AO$1006:BH1006),$AO$1006:$BQ$1006,0)), HYPERLINK("#",""), HYPERLINK(CONCATENATE("#Metadata!", ADDRESS(INDEX($AJ$2:$AJ$1001,MATCH(ROWS($AH$2:AH65),$AH$2:$AH$1001,0),0), INDEX($AO$1004:$BQ$1004,1,MATCH(COLUMNS($AO$1006:BH1006),$AO$1006:$BQ$1006,0)))),"Fix")))</f>
        <v>#N/A</v>
      </c>
      <c r="V65" s="5" t="e">
        <f ca="1">IF(OR(INDEX($AI$2:$AI$1001,MATCH(ROWS($AH$2:AH65),$AH$2:$AH$1001,0),1)&gt;=100000,INDEX($AO$1005:$BQ$1005,1,MATCH(COLUMNS($AO$1006:BI1006),$AO$1006:$BQ$1006,0))&gt;=100000), " ",IF(INDEX($AO$2:$BQ$1001,MATCH(ROWS($AH$2:AH65),$AH$2:$AH$1001,0),MATCH(COLUMNS($AO$1006:BI1006),$AO$1006:$BQ$1006,0)), HYPERLINK("#",""), HYPERLINK(CONCATENATE("#Metadata!", ADDRESS(INDEX($AJ$2:$AJ$1001,MATCH(ROWS($AH$2:AH65),$AH$2:$AH$1001,0),0), INDEX($AO$1004:$BQ$1004,1,MATCH(COLUMNS($AO$1006:BI1006),$AO$1006:$BQ$1006,0)))),"Fix")))</f>
        <v>#N/A</v>
      </c>
      <c r="W65" s="5" t="e">
        <f ca="1">IF(OR(INDEX($AI$2:$AI$1001,MATCH(ROWS($AH$2:AH65),$AH$2:$AH$1001,0),1)&gt;=100000,INDEX($AO$1005:$BQ$1005,1,MATCH(COLUMNS($AO$1006:BJ1006),$AO$1006:$BQ$1006,0))&gt;=100000), " ",IF(INDEX($AO$2:$BQ$1001,MATCH(ROWS($AH$2:AH65),$AH$2:$AH$1001,0),MATCH(COLUMNS($AO$1006:BJ1006),$AO$1006:$BQ$1006,0)), HYPERLINK("#",""), HYPERLINK(CONCATENATE("#Metadata!", ADDRESS(INDEX($AJ$2:$AJ$1001,MATCH(ROWS($AH$2:AH65),$AH$2:$AH$1001,0),0), INDEX($AO$1004:$BQ$1004,1,MATCH(COLUMNS($AO$1006:BJ1006),$AO$1006:$BQ$1006,0)))),"Fix")))</f>
        <v>#N/A</v>
      </c>
      <c r="X65" s="5" t="e">
        <f ca="1">IF(OR(INDEX($AI$2:$AI$1001,MATCH(ROWS($AH$2:AH65),$AH$2:$AH$1001,0),1)&gt;=100000,INDEX($AO$1005:$BQ$1005,1,MATCH(COLUMNS($AO$1006:BK1006),$AO$1006:$BQ$1006,0))&gt;=100000), " ",IF(INDEX($AO$2:$BQ$1001,MATCH(ROWS($AH$2:AH65),$AH$2:$AH$1001,0),MATCH(COLUMNS($AO$1006:BK1006),$AO$1006:$BQ$1006,0)), HYPERLINK("#",""), HYPERLINK(CONCATENATE("#Metadata!", ADDRESS(INDEX($AJ$2:$AJ$1001,MATCH(ROWS($AH$2:AH65),$AH$2:$AH$1001,0),0), INDEX($AO$1004:$BQ$1004,1,MATCH(COLUMNS($AO$1006:BK1006),$AO$1006:$BQ$1006,0)))),"Fix")))</f>
        <v>#N/A</v>
      </c>
      <c r="Y65" s="5" t="e">
        <f ca="1">IF(OR(INDEX($AI$2:$AI$1001,MATCH(ROWS($AH$2:AH65),$AH$2:$AH$1001,0),1)&gt;=100000,INDEX($AO$1005:$BQ$1005,1,MATCH(COLUMNS($AO$1006:BL1006),$AO$1006:$BQ$1006,0))&gt;=100000), " ",IF(INDEX($AO$2:$BQ$1001,MATCH(ROWS($AH$2:AH65),$AH$2:$AH$1001,0),MATCH(COLUMNS($AO$1006:BL1006),$AO$1006:$BQ$1006,0)), HYPERLINK("#",""), HYPERLINK(CONCATENATE("#Metadata!", ADDRESS(INDEX($AJ$2:$AJ$1001,MATCH(ROWS($AH$2:AH65),$AH$2:$AH$1001,0),0), INDEX($AO$1004:$BQ$1004,1,MATCH(COLUMNS($AO$1006:BL1006),$AO$1006:$BQ$1006,0)))),"Fix")))</f>
        <v>#N/A</v>
      </c>
      <c r="Z65" s="5" t="e">
        <f ca="1">IF(OR(INDEX($AI$2:$AI$1001,MATCH(ROWS($AH$2:AH65),$AH$2:$AH$1001,0),1)&gt;=100000,INDEX($AO$1005:$BQ$1005,1,MATCH(COLUMNS($AO$1006:BM1006),$AO$1006:$BQ$1006,0))&gt;=100000), " ",IF(INDEX($AO$2:$BQ$1001,MATCH(ROWS($AH$2:AH65),$AH$2:$AH$1001,0),MATCH(COLUMNS($AO$1006:BM1006),$AO$1006:$BQ$1006,0)), HYPERLINK("#",""), HYPERLINK(CONCATENATE("#Metadata!", ADDRESS(INDEX($AJ$2:$AJ$1001,MATCH(ROWS($AH$2:AH65),$AH$2:$AH$1001,0),0), INDEX($AO$1004:$BQ$1004,1,MATCH(COLUMNS($AO$1006:BM1006),$AO$1006:$BQ$1006,0)))),"Fix")))</f>
        <v>#N/A</v>
      </c>
      <c r="AA65" s="5" t="e">
        <f ca="1">IF(OR(INDEX($AI$2:$AI$1001,MATCH(ROWS($AH$2:AH65),$AH$2:$AH$1001,0),1)&gt;=100000,INDEX($AO$1005:$BQ$1005,1,MATCH(COLUMNS($AO$1006:BN1006),$AO$1006:$BQ$1006,0))&gt;=100000), " ",IF(INDEX($AO$2:$BQ$1001,MATCH(ROWS($AH$2:AH65),$AH$2:$AH$1001,0),MATCH(COLUMNS($AO$1006:BN1006),$AO$1006:$BQ$1006,0)), HYPERLINK("#",""), HYPERLINK(CONCATENATE("#Metadata!", ADDRESS(INDEX($AJ$2:$AJ$1001,MATCH(ROWS($AH$2:AH65),$AH$2:$AH$1001,0),0), INDEX($AO$1004:$BQ$1004,1,MATCH(COLUMNS($AO$1006:BN1006),$AO$1006:$BQ$1006,0)))),"Fix")))</f>
        <v>#N/A</v>
      </c>
      <c r="AB65" s="5" t="e">
        <f ca="1">IF(OR(INDEX($AI$2:$AI$1001,MATCH(ROWS($AH$2:AH65),$AH$2:$AH$1001,0),1)&gt;=100000,INDEX($AO$1005:$BQ$1005,1,MATCH(COLUMNS($AO$1006:BO1006),$AO$1006:$BQ$1006,0))&gt;=100000), " ",IF(INDEX($AO$2:$BQ$1001,MATCH(ROWS($AH$2:AH65),$AH$2:$AH$1001,0),MATCH(COLUMNS($AO$1006:BO1006),$AO$1006:$BQ$1006,0)), HYPERLINK("#",""), HYPERLINK(CONCATENATE("#Metadata!", ADDRESS(INDEX($AJ$2:$AJ$1001,MATCH(ROWS($AH$2:AH65),$AH$2:$AH$1001,0),0), INDEX($AO$1004:$BQ$1004,1,MATCH(COLUMNS($AO$1006:BO1006),$AO$1006:$BQ$1006,0)))),"Fix")))</f>
        <v>#N/A</v>
      </c>
      <c r="AC65" s="5" t="e">
        <f ca="1">IF(OR(INDEX($AI$2:$AI$1001,MATCH(ROWS($AH$2:AH65),$AH$2:$AH$1001,0),1)&gt;=100000,INDEX($AO$1005:$BQ$1005,1,MATCH(COLUMNS($AO$1006:BP1006),$AO$1006:$BQ$1006,0))&gt;=100000), " ",IF(INDEX($AO$2:$BQ$1001,MATCH(ROWS($AH$2:AH65),$AH$2:$AH$1001,0),MATCH(COLUMNS($AO$1006:BP1006),$AO$1006:$BQ$1006,0)), HYPERLINK("#",""), HYPERLINK(CONCATENATE("#Metadata!", ADDRESS(INDEX($AJ$2:$AJ$1001,MATCH(ROWS($AH$2:AH65),$AH$2:$AH$1001,0),0), INDEX($AO$1004:$BQ$1004,1,MATCH(COLUMNS($AO$1006:BP1006),$AO$1006:$BQ$1006,0)))),"Fix")))</f>
        <v>#N/A</v>
      </c>
      <c r="AD65" s="5" t="e">
        <f ca="1">IF(OR(INDEX($AI$2:$AI$1001,MATCH(ROWS($AH$2:AH65),$AH$2:$AH$1001,0),1)&gt;=100000,INDEX($AO$1005:$BQ$1005,1,MATCH(COLUMNS($AO$1006:BQ1006),$AO$1006:$BQ$1006,0))&gt;=100000), " ",IF(INDEX($AO$2:$BQ$1001,MATCH(ROWS($AH$2:AH65),$AH$2:$AH$1001,0),MATCH(COLUMNS($AO$1006:BQ1006),$AO$1006:$BQ$1006,0)), HYPERLINK("#",""), HYPERLINK(CONCATENATE("#Metadata!", ADDRESS(INDEX($AJ$2:$AJ$1001,MATCH(ROWS($AH$2:AH65),$AH$2:$AH$1001,0),0), INDEX($AO$1004:$BQ$1004,1,MATCH(COLUMNS($AO$1006:BQ1006),$AO$1006:$BQ$1006,0)))),"Fix")))</f>
        <v>#REF!</v>
      </c>
      <c r="AH65">
        <f ca="1"/>
        <v>62</v>
      </c>
      <c r="AI65">
        <v>100065</v>
      </c>
      <c r="AJ65">
        <v>65</v>
      </c>
      <c r="AK65" t="b">
        <f t="shared" si="0"/>
        <v>1</v>
      </c>
      <c r="AL65" t="b">
        <f>COUNTBLANK(Metadata!B65:AD65)=COLUMNS(Metadata!B65:AD65)</f>
        <v>1</v>
      </c>
      <c r="AM65" t="str">
        <v/>
      </c>
      <c r="AO65" t="b">
        <f ca="1">AND(IF(Metadata!B65="",FALSE,TRUE),COUNTIF(Metadata!B:B, Metadata!B65) = 1,NOT(ISERROR(SUMPRODUCT(SEARCH(MID(Metadata!B65,ROW(INDIRECT("1:"&amp;LEN(Metadata!B65))), 1),"0123456789abcdefghijklmnopqrstuvwxyzABCDEFGHIJKLMNOPQRSTUVWXYZ.")))))</f>
        <v>0</v>
      </c>
      <c r="AP65" t="b">
        <f>IF(Metadata!C65="",FALSE,TRUE)</f>
        <v>0</v>
      </c>
      <c r="AQ65" t="b">
        <f>IF(Metadata!D65="",FALSE,TRUE)</f>
        <v>0</v>
      </c>
      <c r="AR65" t="b">
        <f ca="1">OR(AND(IF(Metadata!E65="",FALSE,TRUE),OR(EXACT(Metadata!E65,"not collected"),EXACT(Metadata!E65,"not provided"),EXACT(Metadata!E65,"restricted access"))),AND(IF(Metadata!E65="",FALSE,TRUE),AND(AND(IFERROR(INT(LEFT(Metadata!E65,4))&gt;1900,FALSE),IFERROR(INT(LEFT(Metadata!E65,4))&lt;=YEAR(NOW()),FALSE)), OR(MID(Metadata!E65,5,1)="", AND(AND(MID(Metadata!E65,5,1)="-",IFERROR(INT(MID(Metadata!E65,6,1))&gt;=0,FALSE),IFERROR(INT(MID(Metadata!E65,6,1))&lt;=1,FALSE),NOT(MID(Metadata!E65,7,1)=""),IFERROR(INT(MID(Metadata!E65,6,2))&gt;=1,FALSE),IFERROR(INT(MID(Metadata!E65,6,2))&lt;=12,FALSE)), OR(MID(Metadata!E65,8,1)="", AND(AND(MID(Metadata!E65,8,1)="-",IFERROR(INT(MID(Metadata!E65,9,1))&gt;=0,FALSE),IFERROR(INT(MID(Metadata!E65,9,1))&lt;=3,FALSE),NOT(MID(Metadata!E65,10,1)=""),IFERROR(INT(MID(Metadata!E65,9,2))&gt;=1,FALSE),IFERROR(INT(MID(Metadata!E65,9,2))&lt;=31,FALSE)), OR(MID(Metadata!E65,11,1)="", AND(AND(MID(Metadata!E65,11,1)=" ",IFERROR(INT(MID(Metadata!E65,12,1))&gt;=0,FALSE),IFERROR(INT(MID(Metadata!E65,12,1))&lt;=2,FALSE),NOT(MID(Metadata!E65,13,1)=""),IFERROR(INT(MID(Metadata!E65,12,2))&gt;=0,FALSE),IFERROR(INT(MID(Metadata!E65,12,2))&lt;=23,FALSE)), OR(MID(Metadata!E65,14,1)="", AND(AND(MID(Metadata!E65,14,1)=":",IFERROR(INT(MID(Metadata!E65,15,1))&gt;=0,FALSE),IFERROR(INT(MID(Metadata!E65,15,1))&lt;=5,FALSE),NOT(MID(Metadata!E65,16,1)=""),IFERROR(INT(MID(Metadata!E65,15,2))&gt;=0,FALSE),IFERROR(INT(MID(Metadata!E65,15,2))&lt;=59,FALSE)), OR(MID(Metadata!E65,17,1)="", AND(AND(MID(Metadata!E65,17,1)=":",IFERROR(INT(MID(Metadata!E65,18,1))&gt;=0,FALSE),IFERROR(INT(MID(Metadata!E65,18,1))&lt;=5,FALSE),NOT(MID(Metadata!E65,19,1)=""),IFERROR(INT(MID(Metadata!E65,18,2))&gt;=0,FALSE),IFERROR(INT(MID(Metadata!E65,18,2))&lt;=59,FALSE)), LEN(Metadata!E65)&lt;=19)))))))))))))</f>
        <v>0</v>
      </c>
      <c r="AS65" t="b">
        <f>IF(Metadata!F65="",FALSE,TRUE)</f>
        <v>0</v>
      </c>
      <c r="AT65" t="b">
        <f>OR(AND(IF(Metadata!G65="",FALSE,TRUE),OR(EXACT(Metadata!G65,"not collected"),EXACT(Metadata!G65,"not provided"))),AND(IF(Metadata!G65="",FALSE,TRUE),OR(EXACT(Metadata!G65,"TRUE"),EXACT(Metadata!G65,"FALSE"))))</f>
        <v>0</v>
      </c>
      <c r="AU65" t="b">
        <f>OR(AND(IF(Metadata!H65="",FALSE,TRUE),OR(EXACT(Metadata!H65,"not collected"),EXACT(Metadata!H65,"not provided"),EXACT(Metadata!H65,"restricted access"))),AND(IF(Metadata!H65="",FALSE,ISNUMBER(VALUE(Metadata!H65))),Metadata!H65&gt;=-413))</f>
        <v>0</v>
      </c>
      <c r="AV65" t="b">
        <f>AND(IF(Metadata!I65="",FALSE,TRUE),EXACT(Metadata!I65,"meters"))</f>
        <v>0</v>
      </c>
      <c r="AW65" t="b">
        <f>AND(IF(Metadata!J65="",FALSE,TRUE),EXACT(Metadata!J65,"free-living"))</f>
        <v>0</v>
      </c>
      <c r="AX65" t="b">
        <f>AND(IF(Metadata!K65="",FALSE,TRUE),OR(EXACT(Metadata!K65,"saline"),EXACT(Metadata!K65,"non-saline")))</f>
        <v>0</v>
      </c>
      <c r="AY65" t="b">
        <f>AND(IF(Metadata!L65="",FALSE,TRUE),OR(EXACT(Metadata!L65,"sub-surface (non-saline)"),EXACT(Metadata!L65,"surface (non-saline)"),EXACT(Metadata!L65,"water (non-saline)"),EXACT(Metadata!L65,"soil (non-saline)"),EXACT(Metadata!L65,"aerosol (non-saline)"),EXACT(Metadata!L65,"sediment (non-saline)"),EXACT(Metadata!L65,"surface (saline)"),EXACT(Metadata!L65,"water (saline)"),EXACT(Metadata!L65,"hypersaline (saline)"),EXACT(Metadata!L65,"aerosol (saline)"),EXACT(Metadata!L65,"sediment (saline)")))</f>
        <v>0</v>
      </c>
      <c r="AZ65" t="b">
        <f>IF(Metadata!M65="",FALSE,TRUE)</f>
        <v>0</v>
      </c>
      <c r="BA65" t="b">
        <f>IF(Metadata!N65="",FALSE,TRUE)</f>
        <v>0</v>
      </c>
      <c r="BB65" t="b">
        <f>IF(Metadata!O65="",FALSE,TRUE)</f>
        <v>0</v>
      </c>
      <c r="BC65" t="b">
        <f>AND(IF(Metadata!P65="",FALSE,TRUE),OR(EXACT(Metadata!P65,"air"),EXACT(Metadata!P65,"microbial mat/biofilm"),EXACT(Metadata!P65,"misc environment"),EXACT(Metadata!P65,"sediment"),EXACT(Metadata!P65,"soil"),EXACT(Metadata!P65,"wastewater/sludge"),EXACT(Metadata!P65,"water")))</f>
        <v>0</v>
      </c>
      <c r="BD65" t="b">
        <f>IF(Metadata!Q65="",FALSE,TRUE)</f>
        <v>0</v>
      </c>
      <c r="BE65" t="b">
        <f>IF(Metadata!R65="",FALSE,TRUE)</f>
        <v>0</v>
      </c>
      <c r="BF65" t="b">
        <f>OR(AND(IF(Metadata!S65="",FALSE,TRUE),OR(EXACT(Metadata!S65,"not collected"),EXACT(Metadata!S65,"not provided"),EXACT(Metadata!S65,"restricted access"))),AND(IF(Metadata!S65="",FALSE,ISNUMBER(VALUE(Metadata!S65))),Metadata!S65&gt;=-90,Metadata!S65&lt;=90))</f>
        <v>0</v>
      </c>
      <c r="BG65" t="b">
        <f>AND(IF(Metadata!T65="",FALSE,TRUE),EXACT(Metadata!T65,"Decimal degrees"))</f>
        <v>0</v>
      </c>
      <c r="BH65" t="b">
        <f>OR(AND(IF(Metadata!U65="",FALSE,TRUE),OR(EXACT(Metadata!U65,"not applicable"),EXACT(Metadata!U65,"not collected"))),IF(Metadata!U65="",FALSE,TRUE))</f>
        <v>0</v>
      </c>
      <c r="BI65" t="b">
        <f>OR(AND(IF(Metadata!V65="",FALSE,TRUE),OR(EXACT(Metadata!V65,"not collected"),EXACT(Metadata!V65,"not provided"),EXACT(Metadata!V65,"restricted access"))),AND(IF(Metadata!V65="",FALSE,ISNUMBER(VALUE(Metadata!V65))),Metadata!V65&gt;=-180,Metadata!V65&lt;=180))</f>
        <v>0</v>
      </c>
      <c r="BJ65" t="b">
        <f>AND(IF(Metadata!W65="",FALSE,TRUE),EXACT(Metadata!W65,"Decimal degrees"))</f>
        <v>0</v>
      </c>
      <c r="BK65" t="b">
        <f>IF(Metadata!X65="",FALSE,TRUE)</f>
        <v>0</v>
      </c>
      <c r="BL65" t="b">
        <f>OR(AND(IF(Metadata!Y65="",FALSE,TRUE),OR(EXACT(Metadata!Y65,"not collected"),EXACT(Metadata!Y65,"not provided"),EXACT(Metadata!Y65,"restricted access"))),AND(IF(Metadata!Y65="",FALSE,TRUE),OR(EXACT(Metadata!Y65,"TRUE"),EXACT(Metadata!Y65,"FALSE"))))</f>
        <v>0</v>
      </c>
      <c r="BM65" t="b">
        <f>OR(AND(IF(Metadata!Z65="",FALSE,TRUE),EXACT(Metadata!Z65,"not applicable")),AND(IF(Metadata!Z65="",FALSE,TRUE),OR(EXACT(Metadata!Z65,"beer"),EXACT(Metadata!Z65,"cheese"),EXACT(Metadata!Z65,"fresh water"),EXACT(Metadata!Z65,"marine sediment"),EXACT(Metadata!Z65,"sea water"),EXACT(Metadata!Z65,"sediment"),EXACT(Metadata!Z65,"soil"),EXACT(Metadata!Z65,"waste water"))))</f>
        <v>0</v>
      </c>
      <c r="BN65" t="b">
        <f>AND(IF(Metadata!AA65="",FALSE,TRUE),EXACT(Metadata!AA65,"metagenome"))</f>
        <v>0</v>
      </c>
      <c r="BO65" t="b">
        <f>AND(IF(Metadata!AB65="",FALSE,TRUE),EXACT(Metadata!AB65,"256318"))</f>
        <v>0</v>
      </c>
      <c r="BP65" t="b">
        <f>IF(Metadata!AC65="",FALSE,TRUE)</f>
        <v>0</v>
      </c>
      <c r="BQ65" t="b">
        <f>IF(Metadata!AD65="",FALSE,TRUE)</f>
        <v>0</v>
      </c>
    </row>
    <row r="66" spans="1:69" x14ac:dyDescent="0.2">
      <c r="A66" s="4" t="e">
        <f ca="1">IF(B66=" "," ",HYPERLINK(CONCATENATE("#metadata!",ADDRESS(INDEX($AJ$2:$AJ$1001,MATCH(ROWS($AH$2:AH66),$AH$2:$AH$1001,0),0),2)),INDEX($AM$2:$AM$1001,MATCH(ROWS($AH$2:AH66),$AH$2:$AH$1001,0),0)))</f>
        <v>#N/A</v>
      </c>
      <c r="B66" s="5" t="e">
        <f ca="1">IF(OR(INDEX($AI$2:$AI$1001,MATCH(ROWS($AH$2:AH66),$AH$2:$AH$1001,0),1)&gt;=100000,INDEX($AO$1005:$BQ$1005,1,MATCH(COLUMNS($AO$1006:AO1006),$AO$1006:$BQ$1006,0))&gt;=100000), " ",IF(INDEX($AO$2:$BQ$1001,MATCH(ROWS($AH$2:AH66),$AH$2:$AH$1001,0),MATCH(COLUMNS($AO$1006:AO1006),$AO$1006:$BQ$1006,0)), HYPERLINK("#",""), HYPERLINK(CONCATENATE("#Metadata!", ADDRESS(INDEX($AJ$2:$AJ$1001,MATCH(ROWS($AH$2:AH66),$AH$2:$AH$1001,0),0), INDEX($AO$1004:$BQ$1004,1,MATCH(COLUMNS($AO$1006:AO1006),$AO$1006:$BQ$1006,0)))),"Fix")))</f>
        <v>#N/A</v>
      </c>
      <c r="C66" s="5" t="e">
        <f ca="1">IF(OR(INDEX($AI$2:$AI$1001,MATCH(ROWS($AH$2:AH66),$AH$2:$AH$1001,0),1)&gt;=100000,INDEX($AO$1005:$BQ$1005,1,MATCH(COLUMNS($AO$1006:AP1006),$AO$1006:$BQ$1006,0))&gt;=100000), " ",IF(INDEX($AO$2:$BQ$1001,MATCH(ROWS($AH$2:AH66),$AH$2:$AH$1001,0),MATCH(COLUMNS($AO$1006:AP1006),$AO$1006:$BQ$1006,0)), HYPERLINK("#",""), HYPERLINK(CONCATENATE("#Metadata!", ADDRESS(INDEX($AJ$2:$AJ$1001,MATCH(ROWS($AH$2:AH66),$AH$2:$AH$1001,0),0), INDEX($AO$1004:$BQ$1004,1,MATCH(COLUMNS($AO$1006:AP1006),$AO$1006:$BQ$1006,0)))),"Fix")))</f>
        <v>#N/A</v>
      </c>
      <c r="D66" s="5" t="e">
        <f ca="1">IF(OR(INDEX($AI$2:$AI$1001,MATCH(ROWS($AH$2:AH66),$AH$2:$AH$1001,0),1)&gt;=100000,INDEX($AO$1005:$BQ$1005,1,MATCH(COLUMNS($AO$1006:AQ1006),$AO$1006:$BQ$1006,0))&gt;=100000), " ",IF(INDEX($AO$2:$BQ$1001,MATCH(ROWS($AH$2:AH66),$AH$2:$AH$1001,0),MATCH(COLUMNS($AO$1006:AQ1006),$AO$1006:$BQ$1006,0)), HYPERLINK("#",""), HYPERLINK(CONCATENATE("#Metadata!", ADDRESS(INDEX($AJ$2:$AJ$1001,MATCH(ROWS($AH$2:AH66),$AH$2:$AH$1001,0),0), INDEX($AO$1004:$BQ$1004,1,MATCH(COLUMNS($AO$1006:AQ1006),$AO$1006:$BQ$1006,0)))),"Fix")))</f>
        <v>#N/A</v>
      </c>
      <c r="E66" s="5" t="e">
        <f ca="1">IF(OR(INDEX($AI$2:$AI$1001,MATCH(ROWS($AH$2:AH66),$AH$2:$AH$1001,0),1)&gt;=100000,INDEX($AO$1005:$BQ$1005,1,MATCH(COLUMNS($AO$1006:AR1006),$AO$1006:$BQ$1006,0))&gt;=100000), " ",IF(INDEX($AO$2:$BQ$1001,MATCH(ROWS($AH$2:AH66),$AH$2:$AH$1001,0),MATCH(COLUMNS($AO$1006:AR1006),$AO$1006:$BQ$1006,0)), HYPERLINK("#",""), HYPERLINK(CONCATENATE("#Metadata!", ADDRESS(INDEX($AJ$2:$AJ$1001,MATCH(ROWS($AH$2:AH66),$AH$2:$AH$1001,0),0), INDEX($AO$1004:$BQ$1004,1,MATCH(COLUMNS($AO$1006:AR1006),$AO$1006:$BQ$1006,0)))),"Fix")))</f>
        <v>#N/A</v>
      </c>
      <c r="F66" s="5" t="e">
        <f ca="1">IF(OR(INDEX($AI$2:$AI$1001,MATCH(ROWS($AH$2:AH66),$AH$2:$AH$1001,0),1)&gt;=100000,INDEX($AO$1005:$BQ$1005,1,MATCH(COLUMNS($AO$1006:AS1006),$AO$1006:$BQ$1006,0))&gt;=100000), " ",IF(INDEX($AO$2:$BQ$1001,MATCH(ROWS($AH$2:AH66),$AH$2:$AH$1001,0),MATCH(COLUMNS($AO$1006:AS1006),$AO$1006:$BQ$1006,0)), HYPERLINK("#",""), HYPERLINK(CONCATENATE("#Metadata!", ADDRESS(INDEX($AJ$2:$AJ$1001,MATCH(ROWS($AH$2:AH66),$AH$2:$AH$1001,0),0), INDEX($AO$1004:$BQ$1004,1,MATCH(COLUMNS($AO$1006:AS1006),$AO$1006:$BQ$1006,0)))),"Fix")))</f>
        <v>#N/A</v>
      </c>
      <c r="G66" s="5" t="e">
        <f ca="1">IF(OR(INDEX($AI$2:$AI$1001,MATCH(ROWS($AH$2:AH66),$AH$2:$AH$1001,0),1)&gt;=100000,INDEX($AO$1005:$BQ$1005,1,MATCH(COLUMNS($AO$1006:AT1006),$AO$1006:$BQ$1006,0))&gt;=100000), " ",IF(INDEX($AO$2:$BQ$1001,MATCH(ROWS($AH$2:AH66),$AH$2:$AH$1001,0),MATCH(COLUMNS($AO$1006:AT1006),$AO$1006:$BQ$1006,0)), HYPERLINK("#",""), HYPERLINK(CONCATENATE("#Metadata!", ADDRESS(INDEX($AJ$2:$AJ$1001,MATCH(ROWS($AH$2:AH66),$AH$2:$AH$1001,0),0), INDEX($AO$1004:$BQ$1004,1,MATCH(COLUMNS($AO$1006:AT1006),$AO$1006:$BQ$1006,0)))),"Fix")))</f>
        <v>#N/A</v>
      </c>
      <c r="H66" s="5" t="e">
        <f ca="1">IF(OR(INDEX($AI$2:$AI$1001,MATCH(ROWS($AH$2:AH66),$AH$2:$AH$1001,0),1)&gt;=100000,INDEX($AO$1005:$BQ$1005,1,MATCH(COLUMNS($AO$1006:AU1006),$AO$1006:$BQ$1006,0))&gt;=100000), " ",IF(INDEX($AO$2:$BQ$1001,MATCH(ROWS($AH$2:AH66),$AH$2:$AH$1001,0),MATCH(COLUMNS($AO$1006:AU1006),$AO$1006:$BQ$1006,0)), HYPERLINK("#",""), HYPERLINK(CONCATENATE("#Metadata!", ADDRESS(INDEX($AJ$2:$AJ$1001,MATCH(ROWS($AH$2:AH66),$AH$2:$AH$1001,0),0), INDEX($AO$1004:$BQ$1004,1,MATCH(COLUMNS($AO$1006:AU1006),$AO$1006:$BQ$1006,0)))),"Fix")))</f>
        <v>#N/A</v>
      </c>
      <c r="I66" s="5" t="e">
        <f ca="1">IF(OR(INDEX($AI$2:$AI$1001,MATCH(ROWS($AH$2:AH66),$AH$2:$AH$1001,0),1)&gt;=100000,INDEX($AO$1005:$BQ$1005,1,MATCH(COLUMNS($AO$1006:AV1006),$AO$1006:$BQ$1006,0))&gt;=100000), " ",IF(INDEX($AO$2:$BQ$1001,MATCH(ROWS($AH$2:AH66),$AH$2:$AH$1001,0),MATCH(COLUMNS($AO$1006:AV1006),$AO$1006:$BQ$1006,0)), HYPERLINK("#",""), HYPERLINK(CONCATENATE("#Metadata!", ADDRESS(INDEX($AJ$2:$AJ$1001,MATCH(ROWS($AH$2:AH66),$AH$2:$AH$1001,0),0), INDEX($AO$1004:$BQ$1004,1,MATCH(COLUMNS($AO$1006:AV1006),$AO$1006:$BQ$1006,0)))),"Fix")))</f>
        <v>#N/A</v>
      </c>
      <c r="J66" s="5" t="e">
        <f ca="1">IF(OR(INDEX($AI$2:$AI$1001,MATCH(ROWS($AH$2:AH66),$AH$2:$AH$1001,0),1)&gt;=100000,INDEX($AO$1005:$BQ$1005,1,MATCH(COLUMNS($AO$1006:AW1006),$AO$1006:$BQ$1006,0))&gt;=100000), " ",IF(INDEX($AO$2:$BQ$1001,MATCH(ROWS($AH$2:AH66),$AH$2:$AH$1001,0),MATCH(COLUMNS($AO$1006:AW1006),$AO$1006:$BQ$1006,0)), HYPERLINK("#",""), HYPERLINK(CONCATENATE("#Metadata!", ADDRESS(INDEX($AJ$2:$AJ$1001,MATCH(ROWS($AH$2:AH66),$AH$2:$AH$1001,0),0), INDEX($AO$1004:$BQ$1004,1,MATCH(COLUMNS($AO$1006:AW1006),$AO$1006:$BQ$1006,0)))),"Fix")))</f>
        <v>#N/A</v>
      </c>
      <c r="K66" s="5" t="e">
        <f ca="1">IF(OR(INDEX($AI$2:$AI$1001,MATCH(ROWS($AH$2:AH66),$AH$2:$AH$1001,0),1)&gt;=100000,INDEX($AO$1005:$BQ$1005,1,MATCH(COLUMNS($AO$1006:AX1006),$AO$1006:$BQ$1006,0))&gt;=100000), " ",IF(INDEX($AO$2:$BQ$1001,MATCH(ROWS($AH$2:AH66),$AH$2:$AH$1001,0),MATCH(COLUMNS($AO$1006:AX1006),$AO$1006:$BQ$1006,0)), HYPERLINK("#",""), HYPERLINK(CONCATENATE("#Metadata!", ADDRESS(INDEX($AJ$2:$AJ$1001,MATCH(ROWS($AH$2:AH66),$AH$2:$AH$1001,0),0), INDEX($AO$1004:$BQ$1004,1,MATCH(COLUMNS($AO$1006:AX1006),$AO$1006:$BQ$1006,0)))),"Fix")))</f>
        <v>#N/A</v>
      </c>
      <c r="L66" s="5" t="e">
        <f ca="1">IF(OR(INDEX($AI$2:$AI$1001,MATCH(ROWS($AH$2:AH66),$AH$2:$AH$1001,0),1)&gt;=100000,INDEX($AO$1005:$BQ$1005,1,MATCH(COLUMNS($AO$1006:AY1006),$AO$1006:$BQ$1006,0))&gt;=100000), " ",IF(INDEX($AO$2:$BQ$1001,MATCH(ROWS($AH$2:AH66),$AH$2:$AH$1001,0),MATCH(COLUMNS($AO$1006:AY1006),$AO$1006:$BQ$1006,0)), HYPERLINK("#",""), HYPERLINK(CONCATENATE("#Metadata!", ADDRESS(INDEX($AJ$2:$AJ$1001,MATCH(ROWS($AH$2:AH66),$AH$2:$AH$1001,0),0), INDEX($AO$1004:$BQ$1004,1,MATCH(COLUMNS($AO$1006:AY1006),$AO$1006:$BQ$1006,0)))),"Fix")))</f>
        <v>#N/A</v>
      </c>
      <c r="M66" s="5" t="e">
        <f ca="1">IF(OR(INDEX($AI$2:$AI$1001,MATCH(ROWS($AH$2:AH66),$AH$2:$AH$1001,0),1)&gt;=100000,INDEX($AO$1005:$BQ$1005,1,MATCH(COLUMNS($AO$1006:AZ1006),$AO$1006:$BQ$1006,0))&gt;=100000), " ",IF(INDEX($AO$2:$BQ$1001,MATCH(ROWS($AH$2:AH66),$AH$2:$AH$1001,0),MATCH(COLUMNS($AO$1006:AZ1006),$AO$1006:$BQ$1006,0)), HYPERLINK("#",""), HYPERLINK(CONCATENATE("#Metadata!", ADDRESS(INDEX($AJ$2:$AJ$1001,MATCH(ROWS($AH$2:AH66),$AH$2:$AH$1001,0),0), INDEX($AO$1004:$BQ$1004,1,MATCH(COLUMNS($AO$1006:AZ1006),$AO$1006:$BQ$1006,0)))),"Fix")))</f>
        <v>#N/A</v>
      </c>
      <c r="N66" s="5" t="e">
        <f ca="1">IF(OR(INDEX($AI$2:$AI$1001,MATCH(ROWS($AH$2:AH66),$AH$2:$AH$1001,0),1)&gt;=100000,INDEX($AO$1005:$BQ$1005,1,MATCH(COLUMNS($AO$1006:BA1006),$AO$1006:$BQ$1006,0))&gt;=100000), " ",IF(INDEX($AO$2:$BQ$1001,MATCH(ROWS($AH$2:AH66),$AH$2:$AH$1001,0),MATCH(COLUMNS($AO$1006:BA1006),$AO$1006:$BQ$1006,0)), HYPERLINK("#",""), HYPERLINK(CONCATENATE("#Metadata!", ADDRESS(INDEX($AJ$2:$AJ$1001,MATCH(ROWS($AH$2:AH66),$AH$2:$AH$1001,0),0), INDEX($AO$1004:$BQ$1004,1,MATCH(COLUMNS($AO$1006:BA1006),$AO$1006:$BQ$1006,0)))),"Fix")))</f>
        <v>#N/A</v>
      </c>
      <c r="O66" s="5" t="e">
        <f ca="1">IF(OR(INDEX($AI$2:$AI$1001,MATCH(ROWS($AH$2:AH66),$AH$2:$AH$1001,0),1)&gt;=100000,INDEX($AO$1005:$BQ$1005,1,MATCH(COLUMNS($AO$1006:BB1006),$AO$1006:$BQ$1006,0))&gt;=100000), " ",IF(INDEX($AO$2:$BQ$1001,MATCH(ROWS($AH$2:AH66),$AH$2:$AH$1001,0),MATCH(COLUMNS($AO$1006:BB1006),$AO$1006:$BQ$1006,0)), HYPERLINK("#",""), HYPERLINK(CONCATENATE("#Metadata!", ADDRESS(INDEX($AJ$2:$AJ$1001,MATCH(ROWS($AH$2:AH66),$AH$2:$AH$1001,0),0), INDEX($AO$1004:$BQ$1004,1,MATCH(COLUMNS($AO$1006:BB1006),$AO$1006:$BQ$1006,0)))),"Fix")))</f>
        <v>#N/A</v>
      </c>
      <c r="P66" s="5" t="e">
        <f ca="1">IF(OR(INDEX($AI$2:$AI$1001,MATCH(ROWS($AH$2:AH66),$AH$2:$AH$1001,0),1)&gt;=100000,INDEX($AO$1005:$BQ$1005,1,MATCH(COLUMNS($AO$1006:BC1006),$AO$1006:$BQ$1006,0))&gt;=100000), " ",IF(INDEX($AO$2:$BQ$1001,MATCH(ROWS($AH$2:AH66),$AH$2:$AH$1001,0),MATCH(COLUMNS($AO$1006:BC1006),$AO$1006:$BQ$1006,0)), HYPERLINK("#",""), HYPERLINK(CONCATENATE("#Metadata!", ADDRESS(INDEX($AJ$2:$AJ$1001,MATCH(ROWS($AH$2:AH66),$AH$2:$AH$1001,0),0), INDEX($AO$1004:$BQ$1004,1,MATCH(COLUMNS($AO$1006:BC1006),$AO$1006:$BQ$1006,0)))),"Fix")))</f>
        <v>#N/A</v>
      </c>
      <c r="Q66" s="5" t="e">
        <f ca="1">IF(OR(INDEX($AI$2:$AI$1001,MATCH(ROWS($AH$2:AH66),$AH$2:$AH$1001,0),1)&gt;=100000,INDEX($AO$1005:$BQ$1005,1,MATCH(COLUMNS($AO$1006:BD1006),$AO$1006:$BQ$1006,0))&gt;=100000), " ",IF(INDEX($AO$2:$BQ$1001,MATCH(ROWS($AH$2:AH66),$AH$2:$AH$1001,0),MATCH(COLUMNS($AO$1006:BD1006),$AO$1006:$BQ$1006,0)), HYPERLINK("#",""), HYPERLINK(CONCATENATE("#Metadata!", ADDRESS(INDEX($AJ$2:$AJ$1001,MATCH(ROWS($AH$2:AH66),$AH$2:$AH$1001,0),0), INDEX($AO$1004:$BQ$1004,1,MATCH(COLUMNS($AO$1006:BD1006),$AO$1006:$BQ$1006,0)))),"Fix")))</f>
        <v>#N/A</v>
      </c>
      <c r="R66" s="5" t="e">
        <f ca="1">IF(OR(INDEX($AI$2:$AI$1001,MATCH(ROWS($AH$2:AH66),$AH$2:$AH$1001,0),1)&gt;=100000,INDEX($AO$1005:$BQ$1005,1,MATCH(COLUMNS($AO$1006:BE1006),$AO$1006:$BQ$1006,0))&gt;=100000), " ",IF(INDEX($AO$2:$BQ$1001,MATCH(ROWS($AH$2:AH66),$AH$2:$AH$1001,0),MATCH(COLUMNS($AO$1006:BE1006),$AO$1006:$BQ$1006,0)), HYPERLINK("#",""), HYPERLINK(CONCATENATE("#Metadata!", ADDRESS(INDEX($AJ$2:$AJ$1001,MATCH(ROWS($AH$2:AH66),$AH$2:$AH$1001,0),0), INDEX($AO$1004:$BQ$1004,1,MATCH(COLUMNS($AO$1006:BE1006),$AO$1006:$BQ$1006,0)))),"Fix")))</f>
        <v>#N/A</v>
      </c>
      <c r="S66" s="5" t="e">
        <f ca="1">IF(OR(INDEX($AI$2:$AI$1001,MATCH(ROWS($AH$2:AH66),$AH$2:$AH$1001,0),1)&gt;=100000,INDEX($AO$1005:$BQ$1005,1,MATCH(COLUMNS($AO$1006:BF1006),$AO$1006:$BQ$1006,0))&gt;=100000), " ",IF(INDEX($AO$2:$BQ$1001,MATCH(ROWS($AH$2:AH66),$AH$2:$AH$1001,0),MATCH(COLUMNS($AO$1006:BF1006),$AO$1006:$BQ$1006,0)), HYPERLINK("#",""), HYPERLINK(CONCATENATE("#Metadata!", ADDRESS(INDEX($AJ$2:$AJ$1001,MATCH(ROWS($AH$2:AH66),$AH$2:$AH$1001,0),0), INDEX($AO$1004:$BQ$1004,1,MATCH(COLUMNS($AO$1006:BF1006),$AO$1006:$BQ$1006,0)))),"Fix")))</f>
        <v>#N/A</v>
      </c>
      <c r="T66" s="5" t="e">
        <f ca="1">IF(OR(INDEX($AI$2:$AI$1001,MATCH(ROWS($AH$2:AH66),$AH$2:$AH$1001,0),1)&gt;=100000,INDEX($AO$1005:$BQ$1005,1,MATCH(COLUMNS($AO$1006:BG1006),$AO$1006:$BQ$1006,0))&gt;=100000), " ",IF(INDEX($AO$2:$BQ$1001,MATCH(ROWS($AH$2:AH66),$AH$2:$AH$1001,0),MATCH(COLUMNS($AO$1006:BG1006),$AO$1006:$BQ$1006,0)), HYPERLINK("#",""), HYPERLINK(CONCATENATE("#Metadata!", ADDRESS(INDEX($AJ$2:$AJ$1001,MATCH(ROWS($AH$2:AH66),$AH$2:$AH$1001,0),0), INDEX($AO$1004:$BQ$1004,1,MATCH(COLUMNS($AO$1006:BG1006),$AO$1006:$BQ$1006,0)))),"Fix")))</f>
        <v>#N/A</v>
      </c>
      <c r="U66" s="5" t="e">
        <f ca="1">IF(OR(INDEX($AI$2:$AI$1001,MATCH(ROWS($AH$2:AH66),$AH$2:$AH$1001,0),1)&gt;=100000,INDEX($AO$1005:$BQ$1005,1,MATCH(COLUMNS($AO$1006:BH1006),$AO$1006:$BQ$1006,0))&gt;=100000), " ",IF(INDEX($AO$2:$BQ$1001,MATCH(ROWS($AH$2:AH66),$AH$2:$AH$1001,0),MATCH(COLUMNS($AO$1006:BH1006),$AO$1006:$BQ$1006,0)), HYPERLINK("#",""), HYPERLINK(CONCATENATE("#Metadata!", ADDRESS(INDEX($AJ$2:$AJ$1001,MATCH(ROWS($AH$2:AH66),$AH$2:$AH$1001,0),0), INDEX($AO$1004:$BQ$1004,1,MATCH(COLUMNS($AO$1006:BH1006),$AO$1006:$BQ$1006,0)))),"Fix")))</f>
        <v>#N/A</v>
      </c>
      <c r="V66" s="5" t="e">
        <f ca="1">IF(OR(INDEX($AI$2:$AI$1001,MATCH(ROWS($AH$2:AH66),$AH$2:$AH$1001,0),1)&gt;=100000,INDEX($AO$1005:$BQ$1005,1,MATCH(COLUMNS($AO$1006:BI1006),$AO$1006:$BQ$1006,0))&gt;=100000), " ",IF(INDEX($AO$2:$BQ$1001,MATCH(ROWS($AH$2:AH66),$AH$2:$AH$1001,0),MATCH(COLUMNS($AO$1006:BI1006),$AO$1006:$BQ$1006,0)), HYPERLINK("#",""), HYPERLINK(CONCATENATE("#Metadata!", ADDRESS(INDEX($AJ$2:$AJ$1001,MATCH(ROWS($AH$2:AH66),$AH$2:$AH$1001,0),0), INDEX($AO$1004:$BQ$1004,1,MATCH(COLUMNS($AO$1006:BI1006),$AO$1006:$BQ$1006,0)))),"Fix")))</f>
        <v>#N/A</v>
      </c>
      <c r="W66" s="5" t="e">
        <f ca="1">IF(OR(INDEX($AI$2:$AI$1001,MATCH(ROWS($AH$2:AH66),$AH$2:$AH$1001,0),1)&gt;=100000,INDEX($AO$1005:$BQ$1005,1,MATCH(COLUMNS($AO$1006:BJ1006),$AO$1006:$BQ$1006,0))&gt;=100000), " ",IF(INDEX($AO$2:$BQ$1001,MATCH(ROWS($AH$2:AH66),$AH$2:$AH$1001,0),MATCH(COLUMNS($AO$1006:BJ1006),$AO$1006:$BQ$1006,0)), HYPERLINK("#",""), HYPERLINK(CONCATENATE("#Metadata!", ADDRESS(INDEX($AJ$2:$AJ$1001,MATCH(ROWS($AH$2:AH66),$AH$2:$AH$1001,0),0), INDEX($AO$1004:$BQ$1004,1,MATCH(COLUMNS($AO$1006:BJ1006),$AO$1006:$BQ$1006,0)))),"Fix")))</f>
        <v>#N/A</v>
      </c>
      <c r="X66" s="5" t="e">
        <f ca="1">IF(OR(INDEX($AI$2:$AI$1001,MATCH(ROWS($AH$2:AH66),$AH$2:$AH$1001,0),1)&gt;=100000,INDEX($AO$1005:$BQ$1005,1,MATCH(COLUMNS($AO$1006:BK1006),$AO$1006:$BQ$1006,0))&gt;=100000), " ",IF(INDEX($AO$2:$BQ$1001,MATCH(ROWS($AH$2:AH66),$AH$2:$AH$1001,0),MATCH(COLUMNS($AO$1006:BK1006),$AO$1006:$BQ$1006,0)), HYPERLINK("#",""), HYPERLINK(CONCATENATE("#Metadata!", ADDRESS(INDEX($AJ$2:$AJ$1001,MATCH(ROWS($AH$2:AH66),$AH$2:$AH$1001,0),0), INDEX($AO$1004:$BQ$1004,1,MATCH(COLUMNS($AO$1006:BK1006),$AO$1006:$BQ$1006,0)))),"Fix")))</f>
        <v>#N/A</v>
      </c>
      <c r="Y66" s="5" t="e">
        <f ca="1">IF(OR(INDEX($AI$2:$AI$1001,MATCH(ROWS($AH$2:AH66),$AH$2:$AH$1001,0),1)&gt;=100000,INDEX($AO$1005:$BQ$1005,1,MATCH(COLUMNS($AO$1006:BL1006),$AO$1006:$BQ$1006,0))&gt;=100000), " ",IF(INDEX($AO$2:$BQ$1001,MATCH(ROWS($AH$2:AH66),$AH$2:$AH$1001,0),MATCH(COLUMNS($AO$1006:BL1006),$AO$1006:$BQ$1006,0)), HYPERLINK("#",""), HYPERLINK(CONCATENATE("#Metadata!", ADDRESS(INDEX($AJ$2:$AJ$1001,MATCH(ROWS($AH$2:AH66),$AH$2:$AH$1001,0),0), INDEX($AO$1004:$BQ$1004,1,MATCH(COLUMNS($AO$1006:BL1006),$AO$1006:$BQ$1006,0)))),"Fix")))</f>
        <v>#N/A</v>
      </c>
      <c r="Z66" s="5" t="e">
        <f ca="1">IF(OR(INDEX($AI$2:$AI$1001,MATCH(ROWS($AH$2:AH66),$AH$2:$AH$1001,0),1)&gt;=100000,INDEX($AO$1005:$BQ$1005,1,MATCH(COLUMNS($AO$1006:BM1006),$AO$1006:$BQ$1006,0))&gt;=100000), " ",IF(INDEX($AO$2:$BQ$1001,MATCH(ROWS($AH$2:AH66),$AH$2:$AH$1001,0),MATCH(COLUMNS($AO$1006:BM1006),$AO$1006:$BQ$1006,0)), HYPERLINK("#",""), HYPERLINK(CONCATENATE("#Metadata!", ADDRESS(INDEX($AJ$2:$AJ$1001,MATCH(ROWS($AH$2:AH66),$AH$2:$AH$1001,0),0), INDEX($AO$1004:$BQ$1004,1,MATCH(COLUMNS($AO$1006:BM1006),$AO$1006:$BQ$1006,0)))),"Fix")))</f>
        <v>#N/A</v>
      </c>
      <c r="AA66" s="5" t="e">
        <f ca="1">IF(OR(INDEX($AI$2:$AI$1001,MATCH(ROWS($AH$2:AH66),$AH$2:$AH$1001,0),1)&gt;=100000,INDEX($AO$1005:$BQ$1005,1,MATCH(COLUMNS($AO$1006:BN1006),$AO$1006:$BQ$1006,0))&gt;=100000), " ",IF(INDEX($AO$2:$BQ$1001,MATCH(ROWS($AH$2:AH66),$AH$2:$AH$1001,0),MATCH(COLUMNS($AO$1006:BN1006),$AO$1006:$BQ$1006,0)), HYPERLINK("#",""), HYPERLINK(CONCATENATE("#Metadata!", ADDRESS(INDEX($AJ$2:$AJ$1001,MATCH(ROWS($AH$2:AH66),$AH$2:$AH$1001,0),0), INDEX($AO$1004:$BQ$1004,1,MATCH(COLUMNS($AO$1006:BN1006),$AO$1006:$BQ$1006,0)))),"Fix")))</f>
        <v>#N/A</v>
      </c>
      <c r="AB66" s="5" t="e">
        <f ca="1">IF(OR(INDEX($AI$2:$AI$1001,MATCH(ROWS($AH$2:AH66),$AH$2:$AH$1001,0),1)&gt;=100000,INDEX($AO$1005:$BQ$1005,1,MATCH(COLUMNS($AO$1006:BO1006),$AO$1006:$BQ$1006,0))&gt;=100000), " ",IF(INDEX($AO$2:$BQ$1001,MATCH(ROWS($AH$2:AH66),$AH$2:$AH$1001,0),MATCH(COLUMNS($AO$1006:BO1006),$AO$1006:$BQ$1006,0)), HYPERLINK("#",""), HYPERLINK(CONCATENATE("#Metadata!", ADDRESS(INDEX($AJ$2:$AJ$1001,MATCH(ROWS($AH$2:AH66),$AH$2:$AH$1001,0),0), INDEX($AO$1004:$BQ$1004,1,MATCH(COLUMNS($AO$1006:BO1006),$AO$1006:$BQ$1006,0)))),"Fix")))</f>
        <v>#N/A</v>
      </c>
      <c r="AC66" s="5" t="e">
        <f ca="1">IF(OR(INDEX($AI$2:$AI$1001,MATCH(ROWS($AH$2:AH66),$AH$2:$AH$1001,0),1)&gt;=100000,INDEX($AO$1005:$BQ$1005,1,MATCH(COLUMNS($AO$1006:BP1006),$AO$1006:$BQ$1006,0))&gt;=100000), " ",IF(INDEX($AO$2:$BQ$1001,MATCH(ROWS($AH$2:AH66),$AH$2:$AH$1001,0),MATCH(COLUMNS($AO$1006:BP1006),$AO$1006:$BQ$1006,0)), HYPERLINK("#",""), HYPERLINK(CONCATENATE("#Metadata!", ADDRESS(INDEX($AJ$2:$AJ$1001,MATCH(ROWS($AH$2:AH66),$AH$2:$AH$1001,0),0), INDEX($AO$1004:$BQ$1004,1,MATCH(COLUMNS($AO$1006:BP1006),$AO$1006:$BQ$1006,0)))),"Fix")))</f>
        <v>#N/A</v>
      </c>
      <c r="AD66" s="5" t="e">
        <f ca="1">IF(OR(INDEX($AI$2:$AI$1001,MATCH(ROWS($AH$2:AH66),$AH$2:$AH$1001,0),1)&gt;=100000,INDEX($AO$1005:$BQ$1005,1,MATCH(COLUMNS($AO$1006:BQ1006),$AO$1006:$BQ$1006,0))&gt;=100000), " ",IF(INDEX($AO$2:$BQ$1001,MATCH(ROWS($AH$2:AH66),$AH$2:$AH$1001,0),MATCH(COLUMNS($AO$1006:BQ1006),$AO$1006:$BQ$1006,0)), HYPERLINK("#",""), HYPERLINK(CONCATENATE("#Metadata!", ADDRESS(INDEX($AJ$2:$AJ$1001,MATCH(ROWS($AH$2:AH66),$AH$2:$AH$1001,0),0), INDEX($AO$1004:$BQ$1004,1,MATCH(COLUMNS($AO$1006:BQ1006),$AO$1006:$BQ$1006,0)))),"Fix")))</f>
        <v>#REF!</v>
      </c>
      <c r="AH66">
        <f ca="1"/>
        <v>63</v>
      </c>
      <c r="AI66">
        <v>100066</v>
      </c>
      <c r="AJ66">
        <v>66</v>
      </c>
      <c r="AK66" t="b">
        <f t="shared" ref="AK66:AK129" si="1">IF(AL66,TRUE,AND(AO66:BQ66))</f>
        <v>1</v>
      </c>
      <c r="AL66" t="b">
        <f>COUNTBLANK(Metadata!B66:AD66)=COLUMNS(Metadata!B66:AD66)</f>
        <v>1</v>
      </c>
      <c r="AM66" t="str">
        <v/>
      </c>
      <c r="AO66" t="b">
        <f ca="1">AND(IF(Metadata!B66="",FALSE,TRUE),COUNTIF(Metadata!B:B, Metadata!B66) = 1,NOT(ISERROR(SUMPRODUCT(SEARCH(MID(Metadata!B66,ROW(INDIRECT("1:"&amp;LEN(Metadata!B66))), 1),"0123456789abcdefghijklmnopqrstuvwxyzABCDEFGHIJKLMNOPQRSTUVWXYZ.")))))</f>
        <v>0</v>
      </c>
      <c r="AP66" t="b">
        <f>IF(Metadata!C66="",FALSE,TRUE)</f>
        <v>0</v>
      </c>
      <c r="AQ66" t="b">
        <f>IF(Metadata!D66="",FALSE,TRUE)</f>
        <v>0</v>
      </c>
      <c r="AR66" t="b">
        <f ca="1">OR(AND(IF(Metadata!E66="",FALSE,TRUE),OR(EXACT(Metadata!E66,"not collected"),EXACT(Metadata!E66,"not provided"),EXACT(Metadata!E66,"restricted access"))),AND(IF(Metadata!E66="",FALSE,TRUE),AND(AND(IFERROR(INT(LEFT(Metadata!E66,4))&gt;1900,FALSE),IFERROR(INT(LEFT(Metadata!E66,4))&lt;=YEAR(NOW()),FALSE)), OR(MID(Metadata!E66,5,1)="", AND(AND(MID(Metadata!E66,5,1)="-",IFERROR(INT(MID(Metadata!E66,6,1))&gt;=0,FALSE),IFERROR(INT(MID(Metadata!E66,6,1))&lt;=1,FALSE),NOT(MID(Metadata!E66,7,1)=""),IFERROR(INT(MID(Metadata!E66,6,2))&gt;=1,FALSE),IFERROR(INT(MID(Metadata!E66,6,2))&lt;=12,FALSE)), OR(MID(Metadata!E66,8,1)="", AND(AND(MID(Metadata!E66,8,1)="-",IFERROR(INT(MID(Metadata!E66,9,1))&gt;=0,FALSE),IFERROR(INT(MID(Metadata!E66,9,1))&lt;=3,FALSE),NOT(MID(Metadata!E66,10,1)=""),IFERROR(INT(MID(Metadata!E66,9,2))&gt;=1,FALSE),IFERROR(INT(MID(Metadata!E66,9,2))&lt;=31,FALSE)), OR(MID(Metadata!E66,11,1)="", AND(AND(MID(Metadata!E66,11,1)=" ",IFERROR(INT(MID(Metadata!E66,12,1))&gt;=0,FALSE),IFERROR(INT(MID(Metadata!E66,12,1))&lt;=2,FALSE),NOT(MID(Metadata!E66,13,1)=""),IFERROR(INT(MID(Metadata!E66,12,2))&gt;=0,FALSE),IFERROR(INT(MID(Metadata!E66,12,2))&lt;=23,FALSE)), OR(MID(Metadata!E66,14,1)="", AND(AND(MID(Metadata!E66,14,1)=":",IFERROR(INT(MID(Metadata!E66,15,1))&gt;=0,FALSE),IFERROR(INT(MID(Metadata!E66,15,1))&lt;=5,FALSE),NOT(MID(Metadata!E66,16,1)=""),IFERROR(INT(MID(Metadata!E66,15,2))&gt;=0,FALSE),IFERROR(INT(MID(Metadata!E66,15,2))&lt;=59,FALSE)), OR(MID(Metadata!E66,17,1)="", AND(AND(MID(Metadata!E66,17,1)=":",IFERROR(INT(MID(Metadata!E66,18,1))&gt;=0,FALSE),IFERROR(INT(MID(Metadata!E66,18,1))&lt;=5,FALSE),NOT(MID(Metadata!E66,19,1)=""),IFERROR(INT(MID(Metadata!E66,18,2))&gt;=0,FALSE),IFERROR(INT(MID(Metadata!E66,18,2))&lt;=59,FALSE)), LEN(Metadata!E66)&lt;=19)))))))))))))</f>
        <v>0</v>
      </c>
      <c r="AS66" t="b">
        <f>IF(Metadata!F66="",FALSE,TRUE)</f>
        <v>0</v>
      </c>
      <c r="AT66" t="b">
        <f>OR(AND(IF(Metadata!G66="",FALSE,TRUE),OR(EXACT(Metadata!G66,"not collected"),EXACT(Metadata!G66,"not provided"))),AND(IF(Metadata!G66="",FALSE,TRUE),OR(EXACT(Metadata!G66,"TRUE"),EXACT(Metadata!G66,"FALSE"))))</f>
        <v>0</v>
      </c>
      <c r="AU66" t="b">
        <f>OR(AND(IF(Metadata!H66="",FALSE,TRUE),OR(EXACT(Metadata!H66,"not collected"),EXACT(Metadata!H66,"not provided"),EXACT(Metadata!H66,"restricted access"))),AND(IF(Metadata!H66="",FALSE,ISNUMBER(VALUE(Metadata!H66))),Metadata!H66&gt;=-413))</f>
        <v>0</v>
      </c>
      <c r="AV66" t="b">
        <f>AND(IF(Metadata!I66="",FALSE,TRUE),EXACT(Metadata!I66,"meters"))</f>
        <v>0</v>
      </c>
      <c r="AW66" t="b">
        <f>AND(IF(Metadata!J66="",FALSE,TRUE),EXACT(Metadata!J66,"free-living"))</f>
        <v>0</v>
      </c>
      <c r="AX66" t="b">
        <f>AND(IF(Metadata!K66="",FALSE,TRUE),OR(EXACT(Metadata!K66,"saline"),EXACT(Metadata!K66,"non-saline")))</f>
        <v>0</v>
      </c>
      <c r="AY66" t="b">
        <f>AND(IF(Metadata!L66="",FALSE,TRUE),OR(EXACT(Metadata!L66,"sub-surface (non-saline)"),EXACT(Metadata!L66,"surface (non-saline)"),EXACT(Metadata!L66,"water (non-saline)"),EXACT(Metadata!L66,"soil (non-saline)"),EXACT(Metadata!L66,"aerosol (non-saline)"),EXACT(Metadata!L66,"sediment (non-saline)"),EXACT(Metadata!L66,"surface (saline)"),EXACT(Metadata!L66,"water (saline)"),EXACT(Metadata!L66,"hypersaline (saline)"),EXACT(Metadata!L66,"aerosol (saline)"),EXACT(Metadata!L66,"sediment (saline)")))</f>
        <v>0</v>
      </c>
      <c r="AZ66" t="b">
        <f>IF(Metadata!M66="",FALSE,TRUE)</f>
        <v>0</v>
      </c>
      <c r="BA66" t="b">
        <f>IF(Metadata!N66="",FALSE,TRUE)</f>
        <v>0</v>
      </c>
      <c r="BB66" t="b">
        <f>IF(Metadata!O66="",FALSE,TRUE)</f>
        <v>0</v>
      </c>
      <c r="BC66" t="b">
        <f>AND(IF(Metadata!P66="",FALSE,TRUE),OR(EXACT(Metadata!P66,"air"),EXACT(Metadata!P66,"microbial mat/biofilm"),EXACT(Metadata!P66,"misc environment"),EXACT(Metadata!P66,"sediment"),EXACT(Metadata!P66,"soil"),EXACT(Metadata!P66,"wastewater/sludge"),EXACT(Metadata!P66,"water")))</f>
        <v>0</v>
      </c>
      <c r="BD66" t="b">
        <f>IF(Metadata!Q66="",FALSE,TRUE)</f>
        <v>0</v>
      </c>
      <c r="BE66" t="b">
        <f>IF(Metadata!R66="",FALSE,TRUE)</f>
        <v>0</v>
      </c>
      <c r="BF66" t="b">
        <f>OR(AND(IF(Metadata!S66="",FALSE,TRUE),OR(EXACT(Metadata!S66,"not collected"),EXACT(Metadata!S66,"not provided"),EXACT(Metadata!S66,"restricted access"))),AND(IF(Metadata!S66="",FALSE,ISNUMBER(VALUE(Metadata!S66))),Metadata!S66&gt;=-90,Metadata!S66&lt;=90))</f>
        <v>0</v>
      </c>
      <c r="BG66" t="b">
        <f>AND(IF(Metadata!T66="",FALSE,TRUE),EXACT(Metadata!T66,"Decimal degrees"))</f>
        <v>0</v>
      </c>
      <c r="BH66" t="b">
        <f>OR(AND(IF(Metadata!U66="",FALSE,TRUE),OR(EXACT(Metadata!U66,"not applicable"),EXACT(Metadata!U66,"not collected"))),IF(Metadata!U66="",FALSE,TRUE))</f>
        <v>0</v>
      </c>
      <c r="BI66" t="b">
        <f>OR(AND(IF(Metadata!V66="",FALSE,TRUE),OR(EXACT(Metadata!V66,"not collected"),EXACT(Metadata!V66,"not provided"),EXACT(Metadata!V66,"restricted access"))),AND(IF(Metadata!V66="",FALSE,ISNUMBER(VALUE(Metadata!V66))),Metadata!V66&gt;=-180,Metadata!V66&lt;=180))</f>
        <v>0</v>
      </c>
      <c r="BJ66" t="b">
        <f>AND(IF(Metadata!W66="",FALSE,TRUE),EXACT(Metadata!W66,"Decimal degrees"))</f>
        <v>0</v>
      </c>
      <c r="BK66" t="b">
        <f>IF(Metadata!X66="",FALSE,TRUE)</f>
        <v>0</v>
      </c>
      <c r="BL66" t="b">
        <f>OR(AND(IF(Metadata!Y66="",FALSE,TRUE),OR(EXACT(Metadata!Y66,"not collected"),EXACT(Metadata!Y66,"not provided"),EXACT(Metadata!Y66,"restricted access"))),AND(IF(Metadata!Y66="",FALSE,TRUE),OR(EXACT(Metadata!Y66,"TRUE"),EXACT(Metadata!Y66,"FALSE"))))</f>
        <v>0</v>
      </c>
      <c r="BM66" t="b">
        <f>OR(AND(IF(Metadata!Z66="",FALSE,TRUE),EXACT(Metadata!Z66,"not applicable")),AND(IF(Metadata!Z66="",FALSE,TRUE),OR(EXACT(Metadata!Z66,"beer"),EXACT(Metadata!Z66,"cheese"),EXACT(Metadata!Z66,"fresh water"),EXACT(Metadata!Z66,"marine sediment"),EXACT(Metadata!Z66,"sea water"),EXACT(Metadata!Z66,"sediment"),EXACT(Metadata!Z66,"soil"),EXACT(Metadata!Z66,"waste water"))))</f>
        <v>0</v>
      </c>
      <c r="BN66" t="b">
        <f>AND(IF(Metadata!AA66="",FALSE,TRUE),EXACT(Metadata!AA66,"metagenome"))</f>
        <v>0</v>
      </c>
      <c r="BO66" t="b">
        <f>AND(IF(Metadata!AB66="",FALSE,TRUE),EXACT(Metadata!AB66,"256318"))</f>
        <v>0</v>
      </c>
      <c r="BP66" t="b">
        <f>IF(Metadata!AC66="",FALSE,TRUE)</f>
        <v>0</v>
      </c>
      <c r="BQ66" t="b">
        <f>IF(Metadata!AD66="",FALSE,TRUE)</f>
        <v>0</v>
      </c>
    </row>
    <row r="67" spans="1:69" x14ac:dyDescent="0.2">
      <c r="A67" s="4" t="e">
        <f ca="1">IF(B67=" "," ",HYPERLINK(CONCATENATE("#metadata!",ADDRESS(INDEX($AJ$2:$AJ$1001,MATCH(ROWS($AH$2:AH67),$AH$2:$AH$1001,0),0),2)),INDEX($AM$2:$AM$1001,MATCH(ROWS($AH$2:AH67),$AH$2:$AH$1001,0),0)))</f>
        <v>#N/A</v>
      </c>
      <c r="B67" s="5" t="e">
        <f ca="1">IF(OR(INDEX($AI$2:$AI$1001,MATCH(ROWS($AH$2:AH67),$AH$2:$AH$1001,0),1)&gt;=100000,INDEX($AO$1005:$BQ$1005,1,MATCH(COLUMNS($AO$1006:AO1006),$AO$1006:$BQ$1006,0))&gt;=100000), " ",IF(INDEX($AO$2:$BQ$1001,MATCH(ROWS($AH$2:AH67),$AH$2:$AH$1001,0),MATCH(COLUMNS($AO$1006:AO1006),$AO$1006:$BQ$1006,0)), HYPERLINK("#",""), HYPERLINK(CONCATENATE("#Metadata!", ADDRESS(INDEX($AJ$2:$AJ$1001,MATCH(ROWS($AH$2:AH67),$AH$2:$AH$1001,0),0), INDEX($AO$1004:$BQ$1004,1,MATCH(COLUMNS($AO$1006:AO1006),$AO$1006:$BQ$1006,0)))),"Fix")))</f>
        <v>#N/A</v>
      </c>
      <c r="C67" s="5" t="e">
        <f ca="1">IF(OR(INDEX($AI$2:$AI$1001,MATCH(ROWS($AH$2:AH67),$AH$2:$AH$1001,0),1)&gt;=100000,INDEX($AO$1005:$BQ$1005,1,MATCH(COLUMNS($AO$1006:AP1006),$AO$1006:$BQ$1006,0))&gt;=100000), " ",IF(INDEX($AO$2:$BQ$1001,MATCH(ROWS($AH$2:AH67),$AH$2:$AH$1001,0),MATCH(COLUMNS($AO$1006:AP1006),$AO$1006:$BQ$1006,0)), HYPERLINK("#",""), HYPERLINK(CONCATENATE("#Metadata!", ADDRESS(INDEX($AJ$2:$AJ$1001,MATCH(ROWS($AH$2:AH67),$AH$2:$AH$1001,0),0), INDEX($AO$1004:$BQ$1004,1,MATCH(COLUMNS($AO$1006:AP1006),$AO$1006:$BQ$1006,0)))),"Fix")))</f>
        <v>#N/A</v>
      </c>
      <c r="D67" s="5" t="e">
        <f ca="1">IF(OR(INDEX($AI$2:$AI$1001,MATCH(ROWS($AH$2:AH67),$AH$2:$AH$1001,0),1)&gt;=100000,INDEX($AO$1005:$BQ$1005,1,MATCH(COLUMNS($AO$1006:AQ1006),$AO$1006:$BQ$1006,0))&gt;=100000), " ",IF(INDEX($AO$2:$BQ$1001,MATCH(ROWS($AH$2:AH67),$AH$2:$AH$1001,0),MATCH(COLUMNS($AO$1006:AQ1006),$AO$1006:$BQ$1006,0)), HYPERLINK("#",""), HYPERLINK(CONCATENATE("#Metadata!", ADDRESS(INDEX($AJ$2:$AJ$1001,MATCH(ROWS($AH$2:AH67),$AH$2:$AH$1001,0),0), INDEX($AO$1004:$BQ$1004,1,MATCH(COLUMNS($AO$1006:AQ1006),$AO$1006:$BQ$1006,0)))),"Fix")))</f>
        <v>#N/A</v>
      </c>
      <c r="E67" s="5" t="e">
        <f ca="1">IF(OR(INDEX($AI$2:$AI$1001,MATCH(ROWS($AH$2:AH67),$AH$2:$AH$1001,0),1)&gt;=100000,INDEX($AO$1005:$BQ$1005,1,MATCH(COLUMNS($AO$1006:AR1006),$AO$1006:$BQ$1006,0))&gt;=100000), " ",IF(INDEX($AO$2:$BQ$1001,MATCH(ROWS($AH$2:AH67),$AH$2:$AH$1001,0),MATCH(COLUMNS($AO$1006:AR1006),$AO$1006:$BQ$1006,0)), HYPERLINK("#",""), HYPERLINK(CONCATENATE("#Metadata!", ADDRESS(INDEX($AJ$2:$AJ$1001,MATCH(ROWS($AH$2:AH67),$AH$2:$AH$1001,0),0), INDEX($AO$1004:$BQ$1004,1,MATCH(COLUMNS($AO$1006:AR1006),$AO$1006:$BQ$1006,0)))),"Fix")))</f>
        <v>#N/A</v>
      </c>
      <c r="F67" s="5" t="e">
        <f ca="1">IF(OR(INDEX($AI$2:$AI$1001,MATCH(ROWS($AH$2:AH67),$AH$2:$AH$1001,0),1)&gt;=100000,INDEX($AO$1005:$BQ$1005,1,MATCH(COLUMNS($AO$1006:AS1006),$AO$1006:$BQ$1006,0))&gt;=100000), " ",IF(INDEX($AO$2:$BQ$1001,MATCH(ROWS($AH$2:AH67),$AH$2:$AH$1001,0),MATCH(COLUMNS($AO$1006:AS1006),$AO$1006:$BQ$1006,0)), HYPERLINK("#",""), HYPERLINK(CONCATENATE("#Metadata!", ADDRESS(INDEX($AJ$2:$AJ$1001,MATCH(ROWS($AH$2:AH67),$AH$2:$AH$1001,0),0), INDEX($AO$1004:$BQ$1004,1,MATCH(COLUMNS($AO$1006:AS1006),$AO$1006:$BQ$1006,0)))),"Fix")))</f>
        <v>#N/A</v>
      </c>
      <c r="G67" s="5" t="e">
        <f ca="1">IF(OR(INDEX($AI$2:$AI$1001,MATCH(ROWS($AH$2:AH67),$AH$2:$AH$1001,0),1)&gt;=100000,INDEX($AO$1005:$BQ$1005,1,MATCH(COLUMNS($AO$1006:AT1006),$AO$1006:$BQ$1006,0))&gt;=100000), " ",IF(INDEX($AO$2:$BQ$1001,MATCH(ROWS($AH$2:AH67),$AH$2:$AH$1001,0),MATCH(COLUMNS($AO$1006:AT1006),$AO$1006:$BQ$1006,0)), HYPERLINK("#",""), HYPERLINK(CONCATENATE("#Metadata!", ADDRESS(INDEX($AJ$2:$AJ$1001,MATCH(ROWS($AH$2:AH67),$AH$2:$AH$1001,0),0), INDEX($AO$1004:$BQ$1004,1,MATCH(COLUMNS($AO$1006:AT1006),$AO$1006:$BQ$1006,0)))),"Fix")))</f>
        <v>#N/A</v>
      </c>
      <c r="H67" s="5" t="e">
        <f ca="1">IF(OR(INDEX($AI$2:$AI$1001,MATCH(ROWS($AH$2:AH67),$AH$2:$AH$1001,0),1)&gt;=100000,INDEX($AO$1005:$BQ$1005,1,MATCH(COLUMNS($AO$1006:AU1006),$AO$1006:$BQ$1006,0))&gt;=100000), " ",IF(INDEX($AO$2:$BQ$1001,MATCH(ROWS($AH$2:AH67),$AH$2:$AH$1001,0),MATCH(COLUMNS($AO$1006:AU1006),$AO$1006:$BQ$1006,0)), HYPERLINK("#",""), HYPERLINK(CONCATENATE("#Metadata!", ADDRESS(INDEX($AJ$2:$AJ$1001,MATCH(ROWS($AH$2:AH67),$AH$2:$AH$1001,0),0), INDEX($AO$1004:$BQ$1004,1,MATCH(COLUMNS($AO$1006:AU1006),$AO$1006:$BQ$1006,0)))),"Fix")))</f>
        <v>#N/A</v>
      </c>
      <c r="I67" s="5" t="e">
        <f ca="1">IF(OR(INDEX($AI$2:$AI$1001,MATCH(ROWS($AH$2:AH67),$AH$2:$AH$1001,0),1)&gt;=100000,INDEX($AO$1005:$BQ$1005,1,MATCH(COLUMNS($AO$1006:AV1006),$AO$1006:$BQ$1006,0))&gt;=100000), " ",IF(INDEX($AO$2:$BQ$1001,MATCH(ROWS($AH$2:AH67),$AH$2:$AH$1001,0),MATCH(COLUMNS($AO$1006:AV1006),$AO$1006:$BQ$1006,0)), HYPERLINK("#",""), HYPERLINK(CONCATENATE("#Metadata!", ADDRESS(INDEX($AJ$2:$AJ$1001,MATCH(ROWS($AH$2:AH67),$AH$2:$AH$1001,0),0), INDEX($AO$1004:$BQ$1004,1,MATCH(COLUMNS($AO$1006:AV1006),$AO$1006:$BQ$1006,0)))),"Fix")))</f>
        <v>#N/A</v>
      </c>
      <c r="J67" s="5" t="e">
        <f ca="1">IF(OR(INDEX($AI$2:$AI$1001,MATCH(ROWS($AH$2:AH67),$AH$2:$AH$1001,0),1)&gt;=100000,INDEX($AO$1005:$BQ$1005,1,MATCH(COLUMNS($AO$1006:AW1006),$AO$1006:$BQ$1006,0))&gt;=100000), " ",IF(INDEX($AO$2:$BQ$1001,MATCH(ROWS($AH$2:AH67),$AH$2:$AH$1001,0),MATCH(COLUMNS($AO$1006:AW1006),$AO$1006:$BQ$1006,0)), HYPERLINK("#",""), HYPERLINK(CONCATENATE("#Metadata!", ADDRESS(INDEX($AJ$2:$AJ$1001,MATCH(ROWS($AH$2:AH67),$AH$2:$AH$1001,0),0), INDEX($AO$1004:$BQ$1004,1,MATCH(COLUMNS($AO$1006:AW1006),$AO$1006:$BQ$1006,0)))),"Fix")))</f>
        <v>#N/A</v>
      </c>
      <c r="K67" s="5" t="e">
        <f ca="1">IF(OR(INDEX($AI$2:$AI$1001,MATCH(ROWS($AH$2:AH67),$AH$2:$AH$1001,0),1)&gt;=100000,INDEX($AO$1005:$BQ$1005,1,MATCH(COLUMNS($AO$1006:AX1006),$AO$1006:$BQ$1006,0))&gt;=100000), " ",IF(INDEX($AO$2:$BQ$1001,MATCH(ROWS($AH$2:AH67),$AH$2:$AH$1001,0),MATCH(COLUMNS($AO$1006:AX1006),$AO$1006:$BQ$1006,0)), HYPERLINK("#",""), HYPERLINK(CONCATENATE("#Metadata!", ADDRESS(INDEX($AJ$2:$AJ$1001,MATCH(ROWS($AH$2:AH67),$AH$2:$AH$1001,0),0), INDEX($AO$1004:$BQ$1004,1,MATCH(COLUMNS($AO$1006:AX1006),$AO$1006:$BQ$1006,0)))),"Fix")))</f>
        <v>#N/A</v>
      </c>
      <c r="L67" s="5" t="e">
        <f ca="1">IF(OR(INDEX($AI$2:$AI$1001,MATCH(ROWS($AH$2:AH67),$AH$2:$AH$1001,0),1)&gt;=100000,INDEX($AO$1005:$BQ$1005,1,MATCH(COLUMNS($AO$1006:AY1006),$AO$1006:$BQ$1006,0))&gt;=100000), " ",IF(INDEX($AO$2:$BQ$1001,MATCH(ROWS($AH$2:AH67),$AH$2:$AH$1001,0),MATCH(COLUMNS($AO$1006:AY1006),$AO$1006:$BQ$1006,0)), HYPERLINK("#",""), HYPERLINK(CONCATENATE("#Metadata!", ADDRESS(INDEX($AJ$2:$AJ$1001,MATCH(ROWS($AH$2:AH67),$AH$2:$AH$1001,0),0), INDEX($AO$1004:$BQ$1004,1,MATCH(COLUMNS($AO$1006:AY1006),$AO$1006:$BQ$1006,0)))),"Fix")))</f>
        <v>#N/A</v>
      </c>
      <c r="M67" s="5" t="e">
        <f ca="1">IF(OR(INDEX($AI$2:$AI$1001,MATCH(ROWS($AH$2:AH67),$AH$2:$AH$1001,0),1)&gt;=100000,INDEX($AO$1005:$BQ$1005,1,MATCH(COLUMNS($AO$1006:AZ1006),$AO$1006:$BQ$1006,0))&gt;=100000), " ",IF(INDEX($AO$2:$BQ$1001,MATCH(ROWS($AH$2:AH67),$AH$2:$AH$1001,0),MATCH(COLUMNS($AO$1006:AZ1006),$AO$1006:$BQ$1006,0)), HYPERLINK("#",""), HYPERLINK(CONCATENATE("#Metadata!", ADDRESS(INDEX($AJ$2:$AJ$1001,MATCH(ROWS($AH$2:AH67),$AH$2:$AH$1001,0),0), INDEX($AO$1004:$BQ$1004,1,MATCH(COLUMNS($AO$1006:AZ1006),$AO$1006:$BQ$1006,0)))),"Fix")))</f>
        <v>#N/A</v>
      </c>
      <c r="N67" s="5" t="e">
        <f ca="1">IF(OR(INDEX($AI$2:$AI$1001,MATCH(ROWS($AH$2:AH67),$AH$2:$AH$1001,0),1)&gt;=100000,INDEX($AO$1005:$BQ$1005,1,MATCH(COLUMNS($AO$1006:BA1006),$AO$1006:$BQ$1006,0))&gt;=100000), " ",IF(INDEX($AO$2:$BQ$1001,MATCH(ROWS($AH$2:AH67),$AH$2:$AH$1001,0),MATCH(COLUMNS($AO$1006:BA1006),$AO$1006:$BQ$1006,0)), HYPERLINK("#",""), HYPERLINK(CONCATENATE("#Metadata!", ADDRESS(INDEX($AJ$2:$AJ$1001,MATCH(ROWS($AH$2:AH67),$AH$2:$AH$1001,0),0), INDEX($AO$1004:$BQ$1004,1,MATCH(COLUMNS($AO$1006:BA1006),$AO$1006:$BQ$1006,0)))),"Fix")))</f>
        <v>#N/A</v>
      </c>
      <c r="O67" s="5" t="e">
        <f ca="1">IF(OR(INDEX($AI$2:$AI$1001,MATCH(ROWS($AH$2:AH67),$AH$2:$AH$1001,0),1)&gt;=100000,INDEX($AO$1005:$BQ$1005,1,MATCH(COLUMNS($AO$1006:BB1006),$AO$1006:$BQ$1006,0))&gt;=100000), " ",IF(INDEX($AO$2:$BQ$1001,MATCH(ROWS($AH$2:AH67),$AH$2:$AH$1001,0),MATCH(COLUMNS($AO$1006:BB1006),$AO$1006:$BQ$1006,0)), HYPERLINK("#",""), HYPERLINK(CONCATENATE("#Metadata!", ADDRESS(INDEX($AJ$2:$AJ$1001,MATCH(ROWS($AH$2:AH67),$AH$2:$AH$1001,0),0), INDEX($AO$1004:$BQ$1004,1,MATCH(COLUMNS($AO$1006:BB1006),$AO$1006:$BQ$1006,0)))),"Fix")))</f>
        <v>#N/A</v>
      </c>
      <c r="P67" s="5" t="e">
        <f ca="1">IF(OR(INDEX($AI$2:$AI$1001,MATCH(ROWS($AH$2:AH67),$AH$2:$AH$1001,0),1)&gt;=100000,INDEX($AO$1005:$BQ$1005,1,MATCH(COLUMNS($AO$1006:BC1006),$AO$1006:$BQ$1006,0))&gt;=100000), " ",IF(INDEX($AO$2:$BQ$1001,MATCH(ROWS($AH$2:AH67),$AH$2:$AH$1001,0),MATCH(COLUMNS($AO$1006:BC1006),$AO$1006:$BQ$1006,0)), HYPERLINK("#",""), HYPERLINK(CONCATENATE("#Metadata!", ADDRESS(INDEX($AJ$2:$AJ$1001,MATCH(ROWS($AH$2:AH67),$AH$2:$AH$1001,0),0), INDEX($AO$1004:$BQ$1004,1,MATCH(COLUMNS($AO$1006:BC1006),$AO$1006:$BQ$1006,0)))),"Fix")))</f>
        <v>#N/A</v>
      </c>
      <c r="Q67" s="5" t="e">
        <f ca="1">IF(OR(INDEX($AI$2:$AI$1001,MATCH(ROWS($AH$2:AH67),$AH$2:$AH$1001,0),1)&gt;=100000,INDEX($AO$1005:$BQ$1005,1,MATCH(COLUMNS($AO$1006:BD1006),$AO$1006:$BQ$1006,0))&gt;=100000), " ",IF(INDEX($AO$2:$BQ$1001,MATCH(ROWS($AH$2:AH67),$AH$2:$AH$1001,0),MATCH(COLUMNS($AO$1006:BD1006),$AO$1006:$BQ$1006,0)), HYPERLINK("#",""), HYPERLINK(CONCATENATE("#Metadata!", ADDRESS(INDEX($AJ$2:$AJ$1001,MATCH(ROWS($AH$2:AH67),$AH$2:$AH$1001,0),0), INDEX($AO$1004:$BQ$1004,1,MATCH(COLUMNS($AO$1006:BD1006),$AO$1006:$BQ$1006,0)))),"Fix")))</f>
        <v>#N/A</v>
      </c>
      <c r="R67" s="5" t="e">
        <f ca="1">IF(OR(INDEX($AI$2:$AI$1001,MATCH(ROWS($AH$2:AH67),$AH$2:$AH$1001,0),1)&gt;=100000,INDEX($AO$1005:$BQ$1005,1,MATCH(COLUMNS($AO$1006:BE1006),$AO$1006:$BQ$1006,0))&gt;=100000), " ",IF(INDEX($AO$2:$BQ$1001,MATCH(ROWS($AH$2:AH67),$AH$2:$AH$1001,0),MATCH(COLUMNS($AO$1006:BE1006),$AO$1006:$BQ$1006,0)), HYPERLINK("#",""), HYPERLINK(CONCATENATE("#Metadata!", ADDRESS(INDEX($AJ$2:$AJ$1001,MATCH(ROWS($AH$2:AH67),$AH$2:$AH$1001,0),0), INDEX($AO$1004:$BQ$1004,1,MATCH(COLUMNS($AO$1006:BE1006),$AO$1006:$BQ$1006,0)))),"Fix")))</f>
        <v>#N/A</v>
      </c>
      <c r="S67" s="5" t="e">
        <f ca="1">IF(OR(INDEX($AI$2:$AI$1001,MATCH(ROWS($AH$2:AH67),$AH$2:$AH$1001,0),1)&gt;=100000,INDEX($AO$1005:$BQ$1005,1,MATCH(COLUMNS($AO$1006:BF1006),$AO$1006:$BQ$1006,0))&gt;=100000), " ",IF(INDEX($AO$2:$BQ$1001,MATCH(ROWS($AH$2:AH67),$AH$2:$AH$1001,0),MATCH(COLUMNS($AO$1006:BF1006),$AO$1006:$BQ$1006,0)), HYPERLINK("#",""), HYPERLINK(CONCATENATE("#Metadata!", ADDRESS(INDEX($AJ$2:$AJ$1001,MATCH(ROWS($AH$2:AH67),$AH$2:$AH$1001,0),0), INDEX($AO$1004:$BQ$1004,1,MATCH(COLUMNS($AO$1006:BF1006),$AO$1006:$BQ$1006,0)))),"Fix")))</f>
        <v>#N/A</v>
      </c>
      <c r="T67" s="5" t="e">
        <f ca="1">IF(OR(INDEX($AI$2:$AI$1001,MATCH(ROWS($AH$2:AH67),$AH$2:$AH$1001,0),1)&gt;=100000,INDEX($AO$1005:$BQ$1005,1,MATCH(COLUMNS($AO$1006:BG1006),$AO$1006:$BQ$1006,0))&gt;=100000), " ",IF(INDEX($AO$2:$BQ$1001,MATCH(ROWS($AH$2:AH67),$AH$2:$AH$1001,0),MATCH(COLUMNS($AO$1006:BG1006),$AO$1006:$BQ$1006,0)), HYPERLINK("#",""), HYPERLINK(CONCATENATE("#Metadata!", ADDRESS(INDEX($AJ$2:$AJ$1001,MATCH(ROWS($AH$2:AH67),$AH$2:$AH$1001,0),0), INDEX($AO$1004:$BQ$1004,1,MATCH(COLUMNS($AO$1006:BG1006),$AO$1006:$BQ$1006,0)))),"Fix")))</f>
        <v>#N/A</v>
      </c>
      <c r="U67" s="5" t="e">
        <f ca="1">IF(OR(INDEX($AI$2:$AI$1001,MATCH(ROWS($AH$2:AH67),$AH$2:$AH$1001,0),1)&gt;=100000,INDEX($AO$1005:$BQ$1005,1,MATCH(COLUMNS($AO$1006:BH1006),$AO$1006:$BQ$1006,0))&gt;=100000), " ",IF(INDEX($AO$2:$BQ$1001,MATCH(ROWS($AH$2:AH67),$AH$2:$AH$1001,0),MATCH(COLUMNS($AO$1006:BH1006),$AO$1006:$BQ$1006,0)), HYPERLINK("#",""), HYPERLINK(CONCATENATE("#Metadata!", ADDRESS(INDEX($AJ$2:$AJ$1001,MATCH(ROWS($AH$2:AH67),$AH$2:$AH$1001,0),0), INDEX($AO$1004:$BQ$1004,1,MATCH(COLUMNS($AO$1006:BH1006),$AO$1006:$BQ$1006,0)))),"Fix")))</f>
        <v>#N/A</v>
      </c>
      <c r="V67" s="5" t="e">
        <f ca="1">IF(OR(INDEX($AI$2:$AI$1001,MATCH(ROWS($AH$2:AH67),$AH$2:$AH$1001,0),1)&gt;=100000,INDEX($AO$1005:$BQ$1005,1,MATCH(COLUMNS($AO$1006:BI1006),$AO$1006:$BQ$1006,0))&gt;=100000), " ",IF(INDEX($AO$2:$BQ$1001,MATCH(ROWS($AH$2:AH67),$AH$2:$AH$1001,0),MATCH(COLUMNS($AO$1006:BI1006),$AO$1006:$BQ$1006,0)), HYPERLINK("#",""), HYPERLINK(CONCATENATE("#Metadata!", ADDRESS(INDEX($AJ$2:$AJ$1001,MATCH(ROWS($AH$2:AH67),$AH$2:$AH$1001,0),0), INDEX($AO$1004:$BQ$1004,1,MATCH(COLUMNS($AO$1006:BI1006),$AO$1006:$BQ$1006,0)))),"Fix")))</f>
        <v>#N/A</v>
      </c>
      <c r="W67" s="5" t="e">
        <f ca="1">IF(OR(INDEX($AI$2:$AI$1001,MATCH(ROWS($AH$2:AH67),$AH$2:$AH$1001,0),1)&gt;=100000,INDEX($AO$1005:$BQ$1005,1,MATCH(COLUMNS($AO$1006:BJ1006),$AO$1006:$BQ$1006,0))&gt;=100000), " ",IF(INDEX($AO$2:$BQ$1001,MATCH(ROWS($AH$2:AH67),$AH$2:$AH$1001,0),MATCH(COLUMNS($AO$1006:BJ1006),$AO$1006:$BQ$1006,0)), HYPERLINK("#",""), HYPERLINK(CONCATENATE("#Metadata!", ADDRESS(INDEX($AJ$2:$AJ$1001,MATCH(ROWS($AH$2:AH67),$AH$2:$AH$1001,0),0), INDEX($AO$1004:$BQ$1004,1,MATCH(COLUMNS($AO$1006:BJ1006),$AO$1006:$BQ$1006,0)))),"Fix")))</f>
        <v>#N/A</v>
      </c>
      <c r="X67" s="5" t="e">
        <f ca="1">IF(OR(INDEX($AI$2:$AI$1001,MATCH(ROWS($AH$2:AH67),$AH$2:$AH$1001,0),1)&gt;=100000,INDEX($AO$1005:$BQ$1005,1,MATCH(COLUMNS($AO$1006:BK1006),$AO$1006:$BQ$1006,0))&gt;=100000), " ",IF(INDEX($AO$2:$BQ$1001,MATCH(ROWS($AH$2:AH67),$AH$2:$AH$1001,0),MATCH(COLUMNS($AO$1006:BK1006),$AO$1006:$BQ$1006,0)), HYPERLINK("#",""), HYPERLINK(CONCATENATE("#Metadata!", ADDRESS(INDEX($AJ$2:$AJ$1001,MATCH(ROWS($AH$2:AH67),$AH$2:$AH$1001,0),0), INDEX($AO$1004:$BQ$1004,1,MATCH(COLUMNS($AO$1006:BK1006),$AO$1006:$BQ$1006,0)))),"Fix")))</f>
        <v>#N/A</v>
      </c>
      <c r="Y67" s="5" t="e">
        <f ca="1">IF(OR(INDEX($AI$2:$AI$1001,MATCH(ROWS($AH$2:AH67),$AH$2:$AH$1001,0),1)&gt;=100000,INDEX($AO$1005:$BQ$1005,1,MATCH(COLUMNS($AO$1006:BL1006),$AO$1006:$BQ$1006,0))&gt;=100000), " ",IF(INDEX($AO$2:$BQ$1001,MATCH(ROWS($AH$2:AH67),$AH$2:$AH$1001,0),MATCH(COLUMNS($AO$1006:BL1006),$AO$1006:$BQ$1006,0)), HYPERLINK("#",""), HYPERLINK(CONCATENATE("#Metadata!", ADDRESS(INDEX($AJ$2:$AJ$1001,MATCH(ROWS($AH$2:AH67),$AH$2:$AH$1001,0),0), INDEX($AO$1004:$BQ$1004,1,MATCH(COLUMNS($AO$1006:BL1006),$AO$1006:$BQ$1006,0)))),"Fix")))</f>
        <v>#N/A</v>
      </c>
      <c r="Z67" s="5" t="e">
        <f ca="1">IF(OR(INDEX($AI$2:$AI$1001,MATCH(ROWS($AH$2:AH67),$AH$2:$AH$1001,0),1)&gt;=100000,INDEX($AO$1005:$BQ$1005,1,MATCH(COLUMNS($AO$1006:BM1006),$AO$1006:$BQ$1006,0))&gt;=100000), " ",IF(INDEX($AO$2:$BQ$1001,MATCH(ROWS($AH$2:AH67),$AH$2:$AH$1001,0),MATCH(COLUMNS($AO$1006:BM1006),$AO$1006:$BQ$1006,0)), HYPERLINK("#",""), HYPERLINK(CONCATENATE("#Metadata!", ADDRESS(INDEX($AJ$2:$AJ$1001,MATCH(ROWS($AH$2:AH67),$AH$2:$AH$1001,0),0), INDEX($AO$1004:$BQ$1004,1,MATCH(COLUMNS($AO$1006:BM1006),$AO$1006:$BQ$1006,0)))),"Fix")))</f>
        <v>#N/A</v>
      </c>
      <c r="AA67" s="5" t="e">
        <f ca="1">IF(OR(INDEX($AI$2:$AI$1001,MATCH(ROWS($AH$2:AH67),$AH$2:$AH$1001,0),1)&gt;=100000,INDEX($AO$1005:$BQ$1005,1,MATCH(COLUMNS($AO$1006:BN1006),$AO$1006:$BQ$1006,0))&gt;=100000), " ",IF(INDEX($AO$2:$BQ$1001,MATCH(ROWS($AH$2:AH67),$AH$2:$AH$1001,0),MATCH(COLUMNS($AO$1006:BN1006),$AO$1006:$BQ$1006,0)), HYPERLINK("#",""), HYPERLINK(CONCATENATE("#Metadata!", ADDRESS(INDEX($AJ$2:$AJ$1001,MATCH(ROWS($AH$2:AH67),$AH$2:$AH$1001,0),0), INDEX($AO$1004:$BQ$1004,1,MATCH(COLUMNS($AO$1006:BN1006),$AO$1006:$BQ$1006,0)))),"Fix")))</f>
        <v>#N/A</v>
      </c>
      <c r="AB67" s="5" t="e">
        <f ca="1">IF(OR(INDEX($AI$2:$AI$1001,MATCH(ROWS($AH$2:AH67),$AH$2:$AH$1001,0),1)&gt;=100000,INDEX($AO$1005:$BQ$1005,1,MATCH(COLUMNS($AO$1006:BO1006),$AO$1006:$BQ$1006,0))&gt;=100000), " ",IF(INDEX($AO$2:$BQ$1001,MATCH(ROWS($AH$2:AH67),$AH$2:$AH$1001,0),MATCH(COLUMNS($AO$1006:BO1006),$AO$1006:$BQ$1006,0)), HYPERLINK("#",""), HYPERLINK(CONCATENATE("#Metadata!", ADDRESS(INDEX($AJ$2:$AJ$1001,MATCH(ROWS($AH$2:AH67),$AH$2:$AH$1001,0),0), INDEX($AO$1004:$BQ$1004,1,MATCH(COLUMNS($AO$1006:BO1006),$AO$1006:$BQ$1006,0)))),"Fix")))</f>
        <v>#N/A</v>
      </c>
      <c r="AC67" s="5" t="e">
        <f ca="1">IF(OR(INDEX($AI$2:$AI$1001,MATCH(ROWS($AH$2:AH67),$AH$2:$AH$1001,0),1)&gt;=100000,INDEX($AO$1005:$BQ$1005,1,MATCH(COLUMNS($AO$1006:BP1006),$AO$1006:$BQ$1006,0))&gt;=100000), " ",IF(INDEX($AO$2:$BQ$1001,MATCH(ROWS($AH$2:AH67),$AH$2:$AH$1001,0),MATCH(COLUMNS($AO$1006:BP1006),$AO$1006:$BQ$1006,0)), HYPERLINK("#",""), HYPERLINK(CONCATENATE("#Metadata!", ADDRESS(INDEX($AJ$2:$AJ$1001,MATCH(ROWS($AH$2:AH67),$AH$2:$AH$1001,0),0), INDEX($AO$1004:$BQ$1004,1,MATCH(COLUMNS($AO$1006:BP1006),$AO$1006:$BQ$1006,0)))),"Fix")))</f>
        <v>#N/A</v>
      </c>
      <c r="AD67" s="5" t="e">
        <f ca="1">IF(OR(INDEX($AI$2:$AI$1001,MATCH(ROWS($AH$2:AH67),$AH$2:$AH$1001,0),1)&gt;=100000,INDEX($AO$1005:$BQ$1005,1,MATCH(COLUMNS($AO$1006:BQ1006),$AO$1006:$BQ$1006,0))&gt;=100000), " ",IF(INDEX($AO$2:$BQ$1001,MATCH(ROWS($AH$2:AH67),$AH$2:$AH$1001,0),MATCH(COLUMNS($AO$1006:BQ1006),$AO$1006:$BQ$1006,0)), HYPERLINK("#",""), HYPERLINK(CONCATENATE("#Metadata!", ADDRESS(INDEX($AJ$2:$AJ$1001,MATCH(ROWS($AH$2:AH67),$AH$2:$AH$1001,0),0), INDEX($AO$1004:$BQ$1004,1,MATCH(COLUMNS($AO$1006:BQ1006),$AO$1006:$BQ$1006,0)))),"Fix")))</f>
        <v>#REF!</v>
      </c>
      <c r="AH67">
        <f ca="1"/>
        <v>64</v>
      </c>
      <c r="AI67">
        <v>100067</v>
      </c>
      <c r="AJ67">
        <v>67</v>
      </c>
      <c r="AK67" t="b">
        <f t="shared" si="1"/>
        <v>1</v>
      </c>
      <c r="AL67" t="b">
        <f>COUNTBLANK(Metadata!B67:AD67)=COLUMNS(Metadata!B67:AD67)</f>
        <v>1</v>
      </c>
      <c r="AM67" t="str">
        <v/>
      </c>
      <c r="AO67" t="b">
        <f ca="1">AND(IF(Metadata!B67="",FALSE,TRUE),COUNTIF(Metadata!B:B, Metadata!B67) = 1,NOT(ISERROR(SUMPRODUCT(SEARCH(MID(Metadata!B67,ROW(INDIRECT("1:"&amp;LEN(Metadata!B67))), 1),"0123456789abcdefghijklmnopqrstuvwxyzABCDEFGHIJKLMNOPQRSTUVWXYZ.")))))</f>
        <v>0</v>
      </c>
      <c r="AP67" t="b">
        <f>IF(Metadata!C67="",FALSE,TRUE)</f>
        <v>0</v>
      </c>
      <c r="AQ67" t="b">
        <f>IF(Metadata!D67="",FALSE,TRUE)</f>
        <v>0</v>
      </c>
      <c r="AR67" t="b">
        <f ca="1">OR(AND(IF(Metadata!E67="",FALSE,TRUE),OR(EXACT(Metadata!E67,"not collected"),EXACT(Metadata!E67,"not provided"),EXACT(Metadata!E67,"restricted access"))),AND(IF(Metadata!E67="",FALSE,TRUE),AND(AND(IFERROR(INT(LEFT(Metadata!E67,4))&gt;1900,FALSE),IFERROR(INT(LEFT(Metadata!E67,4))&lt;=YEAR(NOW()),FALSE)), OR(MID(Metadata!E67,5,1)="", AND(AND(MID(Metadata!E67,5,1)="-",IFERROR(INT(MID(Metadata!E67,6,1))&gt;=0,FALSE),IFERROR(INT(MID(Metadata!E67,6,1))&lt;=1,FALSE),NOT(MID(Metadata!E67,7,1)=""),IFERROR(INT(MID(Metadata!E67,6,2))&gt;=1,FALSE),IFERROR(INT(MID(Metadata!E67,6,2))&lt;=12,FALSE)), OR(MID(Metadata!E67,8,1)="", AND(AND(MID(Metadata!E67,8,1)="-",IFERROR(INT(MID(Metadata!E67,9,1))&gt;=0,FALSE),IFERROR(INT(MID(Metadata!E67,9,1))&lt;=3,FALSE),NOT(MID(Metadata!E67,10,1)=""),IFERROR(INT(MID(Metadata!E67,9,2))&gt;=1,FALSE),IFERROR(INT(MID(Metadata!E67,9,2))&lt;=31,FALSE)), OR(MID(Metadata!E67,11,1)="", AND(AND(MID(Metadata!E67,11,1)=" ",IFERROR(INT(MID(Metadata!E67,12,1))&gt;=0,FALSE),IFERROR(INT(MID(Metadata!E67,12,1))&lt;=2,FALSE),NOT(MID(Metadata!E67,13,1)=""),IFERROR(INT(MID(Metadata!E67,12,2))&gt;=0,FALSE),IFERROR(INT(MID(Metadata!E67,12,2))&lt;=23,FALSE)), OR(MID(Metadata!E67,14,1)="", AND(AND(MID(Metadata!E67,14,1)=":",IFERROR(INT(MID(Metadata!E67,15,1))&gt;=0,FALSE),IFERROR(INT(MID(Metadata!E67,15,1))&lt;=5,FALSE),NOT(MID(Metadata!E67,16,1)=""),IFERROR(INT(MID(Metadata!E67,15,2))&gt;=0,FALSE),IFERROR(INT(MID(Metadata!E67,15,2))&lt;=59,FALSE)), OR(MID(Metadata!E67,17,1)="", AND(AND(MID(Metadata!E67,17,1)=":",IFERROR(INT(MID(Metadata!E67,18,1))&gt;=0,FALSE),IFERROR(INT(MID(Metadata!E67,18,1))&lt;=5,FALSE),NOT(MID(Metadata!E67,19,1)=""),IFERROR(INT(MID(Metadata!E67,18,2))&gt;=0,FALSE),IFERROR(INT(MID(Metadata!E67,18,2))&lt;=59,FALSE)), LEN(Metadata!E67)&lt;=19)))))))))))))</f>
        <v>0</v>
      </c>
      <c r="AS67" t="b">
        <f>IF(Metadata!F67="",FALSE,TRUE)</f>
        <v>0</v>
      </c>
      <c r="AT67" t="b">
        <f>OR(AND(IF(Metadata!G67="",FALSE,TRUE),OR(EXACT(Metadata!G67,"not collected"),EXACT(Metadata!G67,"not provided"))),AND(IF(Metadata!G67="",FALSE,TRUE),OR(EXACT(Metadata!G67,"TRUE"),EXACT(Metadata!G67,"FALSE"))))</f>
        <v>0</v>
      </c>
      <c r="AU67" t="b">
        <f>OR(AND(IF(Metadata!H67="",FALSE,TRUE),OR(EXACT(Metadata!H67,"not collected"),EXACT(Metadata!H67,"not provided"),EXACT(Metadata!H67,"restricted access"))),AND(IF(Metadata!H67="",FALSE,ISNUMBER(VALUE(Metadata!H67))),Metadata!H67&gt;=-413))</f>
        <v>0</v>
      </c>
      <c r="AV67" t="b">
        <f>AND(IF(Metadata!I67="",FALSE,TRUE),EXACT(Metadata!I67,"meters"))</f>
        <v>0</v>
      </c>
      <c r="AW67" t="b">
        <f>AND(IF(Metadata!J67="",FALSE,TRUE),EXACT(Metadata!J67,"free-living"))</f>
        <v>0</v>
      </c>
      <c r="AX67" t="b">
        <f>AND(IF(Metadata!K67="",FALSE,TRUE),OR(EXACT(Metadata!K67,"saline"),EXACT(Metadata!K67,"non-saline")))</f>
        <v>0</v>
      </c>
      <c r="AY67" t="b">
        <f>AND(IF(Metadata!L67="",FALSE,TRUE),OR(EXACT(Metadata!L67,"sub-surface (non-saline)"),EXACT(Metadata!L67,"surface (non-saline)"),EXACT(Metadata!L67,"water (non-saline)"),EXACT(Metadata!L67,"soil (non-saline)"),EXACT(Metadata!L67,"aerosol (non-saline)"),EXACT(Metadata!L67,"sediment (non-saline)"),EXACT(Metadata!L67,"surface (saline)"),EXACT(Metadata!L67,"water (saline)"),EXACT(Metadata!L67,"hypersaline (saline)"),EXACT(Metadata!L67,"aerosol (saline)"),EXACT(Metadata!L67,"sediment (saline)")))</f>
        <v>0</v>
      </c>
      <c r="AZ67" t="b">
        <f>IF(Metadata!M67="",FALSE,TRUE)</f>
        <v>0</v>
      </c>
      <c r="BA67" t="b">
        <f>IF(Metadata!N67="",FALSE,TRUE)</f>
        <v>0</v>
      </c>
      <c r="BB67" t="b">
        <f>IF(Metadata!O67="",FALSE,TRUE)</f>
        <v>0</v>
      </c>
      <c r="BC67" t="b">
        <f>AND(IF(Metadata!P67="",FALSE,TRUE),OR(EXACT(Metadata!P67,"air"),EXACT(Metadata!P67,"microbial mat/biofilm"),EXACT(Metadata!P67,"misc environment"),EXACT(Metadata!P67,"sediment"),EXACT(Metadata!P67,"soil"),EXACT(Metadata!P67,"wastewater/sludge"),EXACT(Metadata!P67,"water")))</f>
        <v>0</v>
      </c>
      <c r="BD67" t="b">
        <f>IF(Metadata!Q67="",FALSE,TRUE)</f>
        <v>0</v>
      </c>
      <c r="BE67" t="b">
        <f>IF(Metadata!R67="",FALSE,TRUE)</f>
        <v>0</v>
      </c>
      <c r="BF67" t="b">
        <f>OR(AND(IF(Metadata!S67="",FALSE,TRUE),OR(EXACT(Metadata!S67,"not collected"),EXACT(Metadata!S67,"not provided"),EXACT(Metadata!S67,"restricted access"))),AND(IF(Metadata!S67="",FALSE,ISNUMBER(VALUE(Metadata!S67))),Metadata!S67&gt;=-90,Metadata!S67&lt;=90))</f>
        <v>0</v>
      </c>
      <c r="BG67" t="b">
        <f>AND(IF(Metadata!T67="",FALSE,TRUE),EXACT(Metadata!T67,"Decimal degrees"))</f>
        <v>0</v>
      </c>
      <c r="BH67" t="b">
        <f>OR(AND(IF(Metadata!U67="",FALSE,TRUE),OR(EXACT(Metadata!U67,"not applicable"),EXACT(Metadata!U67,"not collected"))),IF(Metadata!U67="",FALSE,TRUE))</f>
        <v>0</v>
      </c>
      <c r="BI67" t="b">
        <f>OR(AND(IF(Metadata!V67="",FALSE,TRUE),OR(EXACT(Metadata!V67,"not collected"),EXACT(Metadata!V67,"not provided"),EXACT(Metadata!V67,"restricted access"))),AND(IF(Metadata!V67="",FALSE,ISNUMBER(VALUE(Metadata!V67))),Metadata!V67&gt;=-180,Metadata!V67&lt;=180))</f>
        <v>0</v>
      </c>
      <c r="BJ67" t="b">
        <f>AND(IF(Metadata!W67="",FALSE,TRUE),EXACT(Metadata!W67,"Decimal degrees"))</f>
        <v>0</v>
      </c>
      <c r="BK67" t="b">
        <f>IF(Metadata!X67="",FALSE,TRUE)</f>
        <v>0</v>
      </c>
      <c r="BL67" t="b">
        <f>OR(AND(IF(Metadata!Y67="",FALSE,TRUE),OR(EXACT(Metadata!Y67,"not collected"),EXACT(Metadata!Y67,"not provided"),EXACT(Metadata!Y67,"restricted access"))),AND(IF(Metadata!Y67="",FALSE,TRUE),OR(EXACT(Metadata!Y67,"TRUE"),EXACT(Metadata!Y67,"FALSE"))))</f>
        <v>0</v>
      </c>
      <c r="BM67" t="b">
        <f>OR(AND(IF(Metadata!Z67="",FALSE,TRUE),EXACT(Metadata!Z67,"not applicable")),AND(IF(Metadata!Z67="",FALSE,TRUE),OR(EXACT(Metadata!Z67,"beer"),EXACT(Metadata!Z67,"cheese"),EXACT(Metadata!Z67,"fresh water"),EXACT(Metadata!Z67,"marine sediment"),EXACT(Metadata!Z67,"sea water"),EXACT(Metadata!Z67,"sediment"),EXACT(Metadata!Z67,"soil"),EXACT(Metadata!Z67,"waste water"))))</f>
        <v>0</v>
      </c>
      <c r="BN67" t="b">
        <f>AND(IF(Metadata!AA67="",FALSE,TRUE),EXACT(Metadata!AA67,"metagenome"))</f>
        <v>0</v>
      </c>
      <c r="BO67" t="b">
        <f>AND(IF(Metadata!AB67="",FALSE,TRUE),EXACT(Metadata!AB67,"256318"))</f>
        <v>0</v>
      </c>
      <c r="BP67" t="b">
        <f>IF(Metadata!AC67="",FALSE,TRUE)</f>
        <v>0</v>
      </c>
      <c r="BQ67" t="b">
        <f>IF(Metadata!AD67="",FALSE,TRUE)</f>
        <v>0</v>
      </c>
    </row>
    <row r="68" spans="1:69" x14ac:dyDescent="0.2">
      <c r="A68" s="4" t="e">
        <f ca="1">IF(B68=" "," ",HYPERLINK(CONCATENATE("#metadata!",ADDRESS(INDEX($AJ$2:$AJ$1001,MATCH(ROWS($AH$2:AH68),$AH$2:$AH$1001,0),0),2)),INDEX($AM$2:$AM$1001,MATCH(ROWS($AH$2:AH68),$AH$2:$AH$1001,0),0)))</f>
        <v>#N/A</v>
      </c>
      <c r="B68" s="5" t="e">
        <f ca="1">IF(OR(INDEX($AI$2:$AI$1001,MATCH(ROWS($AH$2:AH68),$AH$2:$AH$1001,0),1)&gt;=100000,INDEX($AO$1005:$BQ$1005,1,MATCH(COLUMNS($AO$1006:AO1006),$AO$1006:$BQ$1006,0))&gt;=100000), " ",IF(INDEX($AO$2:$BQ$1001,MATCH(ROWS($AH$2:AH68),$AH$2:$AH$1001,0),MATCH(COLUMNS($AO$1006:AO1006),$AO$1006:$BQ$1006,0)), HYPERLINK("#",""), HYPERLINK(CONCATENATE("#Metadata!", ADDRESS(INDEX($AJ$2:$AJ$1001,MATCH(ROWS($AH$2:AH68),$AH$2:$AH$1001,0),0), INDEX($AO$1004:$BQ$1004,1,MATCH(COLUMNS($AO$1006:AO1006),$AO$1006:$BQ$1006,0)))),"Fix")))</f>
        <v>#N/A</v>
      </c>
      <c r="C68" s="5" t="e">
        <f ca="1">IF(OR(INDEX($AI$2:$AI$1001,MATCH(ROWS($AH$2:AH68),$AH$2:$AH$1001,0),1)&gt;=100000,INDEX($AO$1005:$BQ$1005,1,MATCH(COLUMNS($AO$1006:AP1006),$AO$1006:$BQ$1006,0))&gt;=100000), " ",IF(INDEX($AO$2:$BQ$1001,MATCH(ROWS($AH$2:AH68),$AH$2:$AH$1001,0),MATCH(COLUMNS($AO$1006:AP1006),$AO$1006:$BQ$1006,0)), HYPERLINK("#",""), HYPERLINK(CONCATENATE("#Metadata!", ADDRESS(INDEX($AJ$2:$AJ$1001,MATCH(ROWS($AH$2:AH68),$AH$2:$AH$1001,0),0), INDEX($AO$1004:$BQ$1004,1,MATCH(COLUMNS($AO$1006:AP1006),$AO$1006:$BQ$1006,0)))),"Fix")))</f>
        <v>#N/A</v>
      </c>
      <c r="D68" s="5" t="e">
        <f ca="1">IF(OR(INDEX($AI$2:$AI$1001,MATCH(ROWS($AH$2:AH68),$AH$2:$AH$1001,0),1)&gt;=100000,INDEX($AO$1005:$BQ$1005,1,MATCH(COLUMNS($AO$1006:AQ1006),$AO$1006:$BQ$1006,0))&gt;=100000), " ",IF(INDEX($AO$2:$BQ$1001,MATCH(ROWS($AH$2:AH68),$AH$2:$AH$1001,0),MATCH(COLUMNS($AO$1006:AQ1006),$AO$1006:$BQ$1006,0)), HYPERLINK("#",""), HYPERLINK(CONCATENATE("#Metadata!", ADDRESS(INDEX($AJ$2:$AJ$1001,MATCH(ROWS($AH$2:AH68),$AH$2:$AH$1001,0),0), INDEX($AO$1004:$BQ$1004,1,MATCH(COLUMNS($AO$1006:AQ1006),$AO$1006:$BQ$1006,0)))),"Fix")))</f>
        <v>#N/A</v>
      </c>
      <c r="E68" s="5" t="e">
        <f ca="1">IF(OR(INDEX($AI$2:$AI$1001,MATCH(ROWS($AH$2:AH68),$AH$2:$AH$1001,0),1)&gt;=100000,INDEX($AO$1005:$BQ$1005,1,MATCH(COLUMNS($AO$1006:AR1006),$AO$1006:$BQ$1006,0))&gt;=100000), " ",IF(INDEX($AO$2:$BQ$1001,MATCH(ROWS($AH$2:AH68),$AH$2:$AH$1001,0),MATCH(COLUMNS($AO$1006:AR1006),$AO$1006:$BQ$1006,0)), HYPERLINK("#",""), HYPERLINK(CONCATENATE("#Metadata!", ADDRESS(INDEX($AJ$2:$AJ$1001,MATCH(ROWS($AH$2:AH68),$AH$2:$AH$1001,0),0), INDEX($AO$1004:$BQ$1004,1,MATCH(COLUMNS($AO$1006:AR1006),$AO$1006:$BQ$1006,0)))),"Fix")))</f>
        <v>#N/A</v>
      </c>
      <c r="F68" s="5" t="e">
        <f ca="1">IF(OR(INDEX($AI$2:$AI$1001,MATCH(ROWS($AH$2:AH68),$AH$2:$AH$1001,0),1)&gt;=100000,INDEX($AO$1005:$BQ$1005,1,MATCH(COLUMNS($AO$1006:AS1006),$AO$1006:$BQ$1006,0))&gt;=100000), " ",IF(INDEX($AO$2:$BQ$1001,MATCH(ROWS($AH$2:AH68),$AH$2:$AH$1001,0),MATCH(COLUMNS($AO$1006:AS1006),$AO$1006:$BQ$1006,0)), HYPERLINK("#",""), HYPERLINK(CONCATENATE("#Metadata!", ADDRESS(INDEX($AJ$2:$AJ$1001,MATCH(ROWS($AH$2:AH68),$AH$2:$AH$1001,0),0), INDEX($AO$1004:$BQ$1004,1,MATCH(COLUMNS($AO$1006:AS1006),$AO$1006:$BQ$1006,0)))),"Fix")))</f>
        <v>#N/A</v>
      </c>
      <c r="G68" s="5" t="e">
        <f ca="1">IF(OR(INDEX($AI$2:$AI$1001,MATCH(ROWS($AH$2:AH68),$AH$2:$AH$1001,0),1)&gt;=100000,INDEX($AO$1005:$BQ$1005,1,MATCH(COLUMNS($AO$1006:AT1006),$AO$1006:$BQ$1006,0))&gt;=100000), " ",IF(INDEX($AO$2:$BQ$1001,MATCH(ROWS($AH$2:AH68),$AH$2:$AH$1001,0),MATCH(COLUMNS($AO$1006:AT1006),$AO$1006:$BQ$1006,0)), HYPERLINK("#",""), HYPERLINK(CONCATENATE("#Metadata!", ADDRESS(INDEX($AJ$2:$AJ$1001,MATCH(ROWS($AH$2:AH68),$AH$2:$AH$1001,0),0), INDEX($AO$1004:$BQ$1004,1,MATCH(COLUMNS($AO$1006:AT1006),$AO$1006:$BQ$1006,0)))),"Fix")))</f>
        <v>#N/A</v>
      </c>
      <c r="H68" s="5" t="e">
        <f ca="1">IF(OR(INDEX($AI$2:$AI$1001,MATCH(ROWS($AH$2:AH68),$AH$2:$AH$1001,0),1)&gt;=100000,INDEX($AO$1005:$BQ$1005,1,MATCH(COLUMNS($AO$1006:AU1006),$AO$1006:$BQ$1006,0))&gt;=100000), " ",IF(INDEX($AO$2:$BQ$1001,MATCH(ROWS($AH$2:AH68),$AH$2:$AH$1001,0),MATCH(COLUMNS($AO$1006:AU1006),$AO$1006:$BQ$1006,0)), HYPERLINK("#",""), HYPERLINK(CONCATENATE("#Metadata!", ADDRESS(INDEX($AJ$2:$AJ$1001,MATCH(ROWS($AH$2:AH68),$AH$2:$AH$1001,0),0), INDEX($AO$1004:$BQ$1004,1,MATCH(COLUMNS($AO$1006:AU1006),$AO$1006:$BQ$1006,0)))),"Fix")))</f>
        <v>#N/A</v>
      </c>
      <c r="I68" s="5" t="e">
        <f ca="1">IF(OR(INDEX($AI$2:$AI$1001,MATCH(ROWS($AH$2:AH68),$AH$2:$AH$1001,0),1)&gt;=100000,INDEX($AO$1005:$BQ$1005,1,MATCH(COLUMNS($AO$1006:AV1006),$AO$1006:$BQ$1006,0))&gt;=100000), " ",IF(INDEX($AO$2:$BQ$1001,MATCH(ROWS($AH$2:AH68),$AH$2:$AH$1001,0),MATCH(COLUMNS($AO$1006:AV1006),$AO$1006:$BQ$1006,0)), HYPERLINK("#",""), HYPERLINK(CONCATENATE("#Metadata!", ADDRESS(INDEX($AJ$2:$AJ$1001,MATCH(ROWS($AH$2:AH68),$AH$2:$AH$1001,0),0), INDEX($AO$1004:$BQ$1004,1,MATCH(COLUMNS($AO$1006:AV1006),$AO$1006:$BQ$1006,0)))),"Fix")))</f>
        <v>#N/A</v>
      </c>
      <c r="J68" s="5" t="e">
        <f ca="1">IF(OR(INDEX($AI$2:$AI$1001,MATCH(ROWS($AH$2:AH68),$AH$2:$AH$1001,0),1)&gt;=100000,INDEX($AO$1005:$BQ$1005,1,MATCH(COLUMNS($AO$1006:AW1006),$AO$1006:$BQ$1006,0))&gt;=100000), " ",IF(INDEX($AO$2:$BQ$1001,MATCH(ROWS($AH$2:AH68),$AH$2:$AH$1001,0),MATCH(COLUMNS($AO$1006:AW1006),$AO$1006:$BQ$1006,0)), HYPERLINK("#",""), HYPERLINK(CONCATENATE("#Metadata!", ADDRESS(INDEX($AJ$2:$AJ$1001,MATCH(ROWS($AH$2:AH68),$AH$2:$AH$1001,0),0), INDEX($AO$1004:$BQ$1004,1,MATCH(COLUMNS($AO$1006:AW1006),$AO$1006:$BQ$1006,0)))),"Fix")))</f>
        <v>#N/A</v>
      </c>
      <c r="K68" s="5" t="e">
        <f ca="1">IF(OR(INDEX($AI$2:$AI$1001,MATCH(ROWS($AH$2:AH68),$AH$2:$AH$1001,0),1)&gt;=100000,INDEX($AO$1005:$BQ$1005,1,MATCH(COLUMNS($AO$1006:AX1006),$AO$1006:$BQ$1006,0))&gt;=100000), " ",IF(INDEX($AO$2:$BQ$1001,MATCH(ROWS($AH$2:AH68),$AH$2:$AH$1001,0),MATCH(COLUMNS($AO$1006:AX1006),$AO$1006:$BQ$1006,0)), HYPERLINK("#",""), HYPERLINK(CONCATENATE("#Metadata!", ADDRESS(INDEX($AJ$2:$AJ$1001,MATCH(ROWS($AH$2:AH68),$AH$2:$AH$1001,0),0), INDEX($AO$1004:$BQ$1004,1,MATCH(COLUMNS($AO$1006:AX1006),$AO$1006:$BQ$1006,0)))),"Fix")))</f>
        <v>#N/A</v>
      </c>
      <c r="L68" s="5" t="e">
        <f ca="1">IF(OR(INDEX($AI$2:$AI$1001,MATCH(ROWS($AH$2:AH68),$AH$2:$AH$1001,0),1)&gt;=100000,INDEX($AO$1005:$BQ$1005,1,MATCH(COLUMNS($AO$1006:AY1006),$AO$1006:$BQ$1006,0))&gt;=100000), " ",IF(INDEX($AO$2:$BQ$1001,MATCH(ROWS($AH$2:AH68),$AH$2:$AH$1001,0),MATCH(COLUMNS($AO$1006:AY1006),$AO$1006:$BQ$1006,0)), HYPERLINK("#",""), HYPERLINK(CONCATENATE("#Metadata!", ADDRESS(INDEX($AJ$2:$AJ$1001,MATCH(ROWS($AH$2:AH68),$AH$2:$AH$1001,0),0), INDEX($AO$1004:$BQ$1004,1,MATCH(COLUMNS($AO$1006:AY1006),$AO$1006:$BQ$1006,0)))),"Fix")))</f>
        <v>#N/A</v>
      </c>
      <c r="M68" s="5" t="e">
        <f ca="1">IF(OR(INDEX($AI$2:$AI$1001,MATCH(ROWS($AH$2:AH68),$AH$2:$AH$1001,0),1)&gt;=100000,INDEX($AO$1005:$BQ$1005,1,MATCH(COLUMNS($AO$1006:AZ1006),$AO$1006:$BQ$1006,0))&gt;=100000), " ",IF(INDEX($AO$2:$BQ$1001,MATCH(ROWS($AH$2:AH68),$AH$2:$AH$1001,0),MATCH(COLUMNS($AO$1006:AZ1006),$AO$1006:$BQ$1006,0)), HYPERLINK("#",""), HYPERLINK(CONCATENATE("#Metadata!", ADDRESS(INDEX($AJ$2:$AJ$1001,MATCH(ROWS($AH$2:AH68),$AH$2:$AH$1001,0),0), INDEX($AO$1004:$BQ$1004,1,MATCH(COLUMNS($AO$1006:AZ1006),$AO$1006:$BQ$1006,0)))),"Fix")))</f>
        <v>#N/A</v>
      </c>
      <c r="N68" s="5" t="e">
        <f ca="1">IF(OR(INDEX($AI$2:$AI$1001,MATCH(ROWS($AH$2:AH68),$AH$2:$AH$1001,0),1)&gt;=100000,INDEX($AO$1005:$BQ$1005,1,MATCH(COLUMNS($AO$1006:BA1006),$AO$1006:$BQ$1006,0))&gt;=100000), " ",IF(INDEX($AO$2:$BQ$1001,MATCH(ROWS($AH$2:AH68),$AH$2:$AH$1001,0),MATCH(COLUMNS($AO$1006:BA1006),$AO$1006:$BQ$1006,0)), HYPERLINK("#",""), HYPERLINK(CONCATENATE("#Metadata!", ADDRESS(INDEX($AJ$2:$AJ$1001,MATCH(ROWS($AH$2:AH68),$AH$2:$AH$1001,0),0), INDEX($AO$1004:$BQ$1004,1,MATCH(COLUMNS($AO$1006:BA1006),$AO$1006:$BQ$1006,0)))),"Fix")))</f>
        <v>#N/A</v>
      </c>
      <c r="O68" s="5" t="e">
        <f ca="1">IF(OR(INDEX($AI$2:$AI$1001,MATCH(ROWS($AH$2:AH68),$AH$2:$AH$1001,0),1)&gt;=100000,INDEX($AO$1005:$BQ$1005,1,MATCH(COLUMNS($AO$1006:BB1006),$AO$1006:$BQ$1006,0))&gt;=100000), " ",IF(INDEX($AO$2:$BQ$1001,MATCH(ROWS($AH$2:AH68),$AH$2:$AH$1001,0),MATCH(COLUMNS($AO$1006:BB1006),$AO$1006:$BQ$1006,0)), HYPERLINK("#",""), HYPERLINK(CONCATENATE("#Metadata!", ADDRESS(INDEX($AJ$2:$AJ$1001,MATCH(ROWS($AH$2:AH68),$AH$2:$AH$1001,0),0), INDEX($AO$1004:$BQ$1004,1,MATCH(COLUMNS($AO$1006:BB1006),$AO$1006:$BQ$1006,0)))),"Fix")))</f>
        <v>#N/A</v>
      </c>
      <c r="P68" s="5" t="e">
        <f ca="1">IF(OR(INDEX($AI$2:$AI$1001,MATCH(ROWS($AH$2:AH68),$AH$2:$AH$1001,0),1)&gt;=100000,INDEX($AO$1005:$BQ$1005,1,MATCH(COLUMNS($AO$1006:BC1006),$AO$1006:$BQ$1006,0))&gt;=100000), " ",IF(INDEX($AO$2:$BQ$1001,MATCH(ROWS($AH$2:AH68),$AH$2:$AH$1001,0),MATCH(COLUMNS($AO$1006:BC1006),$AO$1006:$BQ$1006,0)), HYPERLINK("#",""), HYPERLINK(CONCATENATE("#Metadata!", ADDRESS(INDEX($AJ$2:$AJ$1001,MATCH(ROWS($AH$2:AH68),$AH$2:$AH$1001,0),0), INDEX($AO$1004:$BQ$1004,1,MATCH(COLUMNS($AO$1006:BC1006),$AO$1006:$BQ$1006,0)))),"Fix")))</f>
        <v>#N/A</v>
      </c>
      <c r="Q68" s="5" t="e">
        <f ca="1">IF(OR(INDEX($AI$2:$AI$1001,MATCH(ROWS($AH$2:AH68),$AH$2:$AH$1001,0),1)&gt;=100000,INDEX($AO$1005:$BQ$1005,1,MATCH(COLUMNS($AO$1006:BD1006),$AO$1006:$BQ$1006,0))&gt;=100000), " ",IF(INDEX($AO$2:$BQ$1001,MATCH(ROWS($AH$2:AH68),$AH$2:$AH$1001,0),MATCH(COLUMNS($AO$1006:BD1006),$AO$1006:$BQ$1006,0)), HYPERLINK("#",""), HYPERLINK(CONCATENATE("#Metadata!", ADDRESS(INDEX($AJ$2:$AJ$1001,MATCH(ROWS($AH$2:AH68),$AH$2:$AH$1001,0),0), INDEX($AO$1004:$BQ$1004,1,MATCH(COLUMNS($AO$1006:BD1006),$AO$1006:$BQ$1006,0)))),"Fix")))</f>
        <v>#N/A</v>
      </c>
      <c r="R68" s="5" t="e">
        <f ca="1">IF(OR(INDEX($AI$2:$AI$1001,MATCH(ROWS($AH$2:AH68),$AH$2:$AH$1001,0),1)&gt;=100000,INDEX($AO$1005:$BQ$1005,1,MATCH(COLUMNS($AO$1006:BE1006),$AO$1006:$BQ$1006,0))&gt;=100000), " ",IF(INDEX($AO$2:$BQ$1001,MATCH(ROWS($AH$2:AH68),$AH$2:$AH$1001,0),MATCH(COLUMNS($AO$1006:BE1006),$AO$1006:$BQ$1006,0)), HYPERLINK("#",""), HYPERLINK(CONCATENATE("#Metadata!", ADDRESS(INDEX($AJ$2:$AJ$1001,MATCH(ROWS($AH$2:AH68),$AH$2:$AH$1001,0),0), INDEX($AO$1004:$BQ$1004,1,MATCH(COLUMNS($AO$1006:BE1006),$AO$1006:$BQ$1006,0)))),"Fix")))</f>
        <v>#N/A</v>
      </c>
      <c r="S68" s="5" t="e">
        <f ca="1">IF(OR(INDEX($AI$2:$AI$1001,MATCH(ROWS($AH$2:AH68),$AH$2:$AH$1001,0),1)&gt;=100000,INDEX($AO$1005:$BQ$1005,1,MATCH(COLUMNS($AO$1006:BF1006),$AO$1006:$BQ$1006,0))&gt;=100000), " ",IF(INDEX($AO$2:$BQ$1001,MATCH(ROWS($AH$2:AH68),$AH$2:$AH$1001,0),MATCH(COLUMNS($AO$1006:BF1006),$AO$1006:$BQ$1006,0)), HYPERLINK("#",""), HYPERLINK(CONCATENATE("#Metadata!", ADDRESS(INDEX($AJ$2:$AJ$1001,MATCH(ROWS($AH$2:AH68),$AH$2:$AH$1001,0),0), INDEX($AO$1004:$BQ$1004,1,MATCH(COLUMNS($AO$1006:BF1006),$AO$1006:$BQ$1006,0)))),"Fix")))</f>
        <v>#N/A</v>
      </c>
      <c r="T68" s="5" t="e">
        <f ca="1">IF(OR(INDEX($AI$2:$AI$1001,MATCH(ROWS($AH$2:AH68),$AH$2:$AH$1001,0),1)&gt;=100000,INDEX($AO$1005:$BQ$1005,1,MATCH(COLUMNS($AO$1006:BG1006),$AO$1006:$BQ$1006,0))&gt;=100000), " ",IF(INDEX($AO$2:$BQ$1001,MATCH(ROWS($AH$2:AH68),$AH$2:$AH$1001,0),MATCH(COLUMNS($AO$1006:BG1006),$AO$1006:$BQ$1006,0)), HYPERLINK("#",""), HYPERLINK(CONCATENATE("#Metadata!", ADDRESS(INDEX($AJ$2:$AJ$1001,MATCH(ROWS($AH$2:AH68),$AH$2:$AH$1001,0),0), INDEX($AO$1004:$BQ$1004,1,MATCH(COLUMNS($AO$1006:BG1006),$AO$1006:$BQ$1006,0)))),"Fix")))</f>
        <v>#N/A</v>
      </c>
      <c r="U68" s="5" t="e">
        <f ca="1">IF(OR(INDEX($AI$2:$AI$1001,MATCH(ROWS($AH$2:AH68),$AH$2:$AH$1001,0),1)&gt;=100000,INDEX($AO$1005:$BQ$1005,1,MATCH(COLUMNS($AO$1006:BH1006),$AO$1006:$BQ$1006,0))&gt;=100000), " ",IF(INDEX($AO$2:$BQ$1001,MATCH(ROWS($AH$2:AH68),$AH$2:$AH$1001,0),MATCH(COLUMNS($AO$1006:BH1006),$AO$1006:$BQ$1006,0)), HYPERLINK("#",""), HYPERLINK(CONCATENATE("#Metadata!", ADDRESS(INDEX($AJ$2:$AJ$1001,MATCH(ROWS($AH$2:AH68),$AH$2:$AH$1001,0),0), INDEX($AO$1004:$BQ$1004,1,MATCH(COLUMNS($AO$1006:BH1006),$AO$1006:$BQ$1006,0)))),"Fix")))</f>
        <v>#N/A</v>
      </c>
      <c r="V68" s="5" t="e">
        <f ca="1">IF(OR(INDEX($AI$2:$AI$1001,MATCH(ROWS($AH$2:AH68),$AH$2:$AH$1001,0),1)&gt;=100000,INDEX($AO$1005:$BQ$1005,1,MATCH(COLUMNS($AO$1006:BI1006),$AO$1006:$BQ$1006,0))&gt;=100000), " ",IF(INDEX($AO$2:$BQ$1001,MATCH(ROWS($AH$2:AH68),$AH$2:$AH$1001,0),MATCH(COLUMNS($AO$1006:BI1006),$AO$1006:$BQ$1006,0)), HYPERLINK("#",""), HYPERLINK(CONCATENATE("#Metadata!", ADDRESS(INDEX($AJ$2:$AJ$1001,MATCH(ROWS($AH$2:AH68),$AH$2:$AH$1001,0),0), INDEX($AO$1004:$BQ$1004,1,MATCH(COLUMNS($AO$1006:BI1006),$AO$1006:$BQ$1006,0)))),"Fix")))</f>
        <v>#N/A</v>
      </c>
      <c r="W68" s="5" t="e">
        <f ca="1">IF(OR(INDEX($AI$2:$AI$1001,MATCH(ROWS($AH$2:AH68),$AH$2:$AH$1001,0),1)&gt;=100000,INDEX($AO$1005:$BQ$1005,1,MATCH(COLUMNS($AO$1006:BJ1006),$AO$1006:$BQ$1006,0))&gt;=100000), " ",IF(INDEX($AO$2:$BQ$1001,MATCH(ROWS($AH$2:AH68),$AH$2:$AH$1001,0),MATCH(COLUMNS($AO$1006:BJ1006),$AO$1006:$BQ$1006,0)), HYPERLINK("#",""), HYPERLINK(CONCATENATE("#Metadata!", ADDRESS(INDEX($AJ$2:$AJ$1001,MATCH(ROWS($AH$2:AH68),$AH$2:$AH$1001,0),0), INDEX($AO$1004:$BQ$1004,1,MATCH(COLUMNS($AO$1006:BJ1006),$AO$1006:$BQ$1006,0)))),"Fix")))</f>
        <v>#N/A</v>
      </c>
      <c r="X68" s="5" t="e">
        <f ca="1">IF(OR(INDEX($AI$2:$AI$1001,MATCH(ROWS($AH$2:AH68),$AH$2:$AH$1001,0),1)&gt;=100000,INDEX($AO$1005:$BQ$1005,1,MATCH(COLUMNS($AO$1006:BK1006),$AO$1006:$BQ$1006,0))&gt;=100000), " ",IF(INDEX($AO$2:$BQ$1001,MATCH(ROWS($AH$2:AH68),$AH$2:$AH$1001,0),MATCH(COLUMNS($AO$1006:BK1006),$AO$1006:$BQ$1006,0)), HYPERLINK("#",""), HYPERLINK(CONCATENATE("#Metadata!", ADDRESS(INDEX($AJ$2:$AJ$1001,MATCH(ROWS($AH$2:AH68),$AH$2:$AH$1001,0),0), INDEX($AO$1004:$BQ$1004,1,MATCH(COLUMNS($AO$1006:BK1006),$AO$1006:$BQ$1006,0)))),"Fix")))</f>
        <v>#N/A</v>
      </c>
      <c r="Y68" s="5" t="e">
        <f ca="1">IF(OR(INDEX($AI$2:$AI$1001,MATCH(ROWS($AH$2:AH68),$AH$2:$AH$1001,0),1)&gt;=100000,INDEX($AO$1005:$BQ$1005,1,MATCH(COLUMNS($AO$1006:BL1006),$AO$1006:$BQ$1006,0))&gt;=100000), " ",IF(INDEX($AO$2:$BQ$1001,MATCH(ROWS($AH$2:AH68),$AH$2:$AH$1001,0),MATCH(COLUMNS($AO$1006:BL1006),$AO$1006:$BQ$1006,0)), HYPERLINK("#",""), HYPERLINK(CONCATENATE("#Metadata!", ADDRESS(INDEX($AJ$2:$AJ$1001,MATCH(ROWS($AH$2:AH68),$AH$2:$AH$1001,0),0), INDEX($AO$1004:$BQ$1004,1,MATCH(COLUMNS($AO$1006:BL1006),$AO$1006:$BQ$1006,0)))),"Fix")))</f>
        <v>#N/A</v>
      </c>
      <c r="Z68" s="5" t="e">
        <f ca="1">IF(OR(INDEX($AI$2:$AI$1001,MATCH(ROWS($AH$2:AH68),$AH$2:$AH$1001,0),1)&gt;=100000,INDEX($AO$1005:$BQ$1005,1,MATCH(COLUMNS($AO$1006:BM1006),$AO$1006:$BQ$1006,0))&gt;=100000), " ",IF(INDEX($AO$2:$BQ$1001,MATCH(ROWS($AH$2:AH68),$AH$2:$AH$1001,0),MATCH(COLUMNS($AO$1006:BM1006),$AO$1006:$BQ$1006,0)), HYPERLINK("#",""), HYPERLINK(CONCATENATE("#Metadata!", ADDRESS(INDEX($AJ$2:$AJ$1001,MATCH(ROWS($AH$2:AH68),$AH$2:$AH$1001,0),0), INDEX($AO$1004:$BQ$1004,1,MATCH(COLUMNS($AO$1006:BM1006),$AO$1006:$BQ$1006,0)))),"Fix")))</f>
        <v>#N/A</v>
      </c>
      <c r="AA68" s="5" t="e">
        <f ca="1">IF(OR(INDEX($AI$2:$AI$1001,MATCH(ROWS($AH$2:AH68),$AH$2:$AH$1001,0),1)&gt;=100000,INDEX($AO$1005:$BQ$1005,1,MATCH(COLUMNS($AO$1006:BN1006),$AO$1006:$BQ$1006,0))&gt;=100000), " ",IF(INDEX($AO$2:$BQ$1001,MATCH(ROWS($AH$2:AH68),$AH$2:$AH$1001,0),MATCH(COLUMNS($AO$1006:BN1006),$AO$1006:$BQ$1006,0)), HYPERLINK("#",""), HYPERLINK(CONCATENATE("#Metadata!", ADDRESS(INDEX($AJ$2:$AJ$1001,MATCH(ROWS($AH$2:AH68),$AH$2:$AH$1001,0),0), INDEX($AO$1004:$BQ$1004,1,MATCH(COLUMNS($AO$1006:BN1006),$AO$1006:$BQ$1006,0)))),"Fix")))</f>
        <v>#N/A</v>
      </c>
      <c r="AB68" s="5" t="e">
        <f ca="1">IF(OR(INDEX($AI$2:$AI$1001,MATCH(ROWS($AH$2:AH68),$AH$2:$AH$1001,0),1)&gt;=100000,INDEX($AO$1005:$BQ$1005,1,MATCH(COLUMNS($AO$1006:BO1006),$AO$1006:$BQ$1006,0))&gt;=100000), " ",IF(INDEX($AO$2:$BQ$1001,MATCH(ROWS($AH$2:AH68),$AH$2:$AH$1001,0),MATCH(COLUMNS($AO$1006:BO1006),$AO$1006:$BQ$1006,0)), HYPERLINK("#",""), HYPERLINK(CONCATENATE("#Metadata!", ADDRESS(INDEX($AJ$2:$AJ$1001,MATCH(ROWS($AH$2:AH68),$AH$2:$AH$1001,0),0), INDEX($AO$1004:$BQ$1004,1,MATCH(COLUMNS($AO$1006:BO1006),$AO$1006:$BQ$1006,0)))),"Fix")))</f>
        <v>#N/A</v>
      </c>
      <c r="AC68" s="5" t="e">
        <f ca="1">IF(OR(INDEX($AI$2:$AI$1001,MATCH(ROWS($AH$2:AH68),$AH$2:$AH$1001,0),1)&gt;=100000,INDEX($AO$1005:$BQ$1005,1,MATCH(COLUMNS($AO$1006:BP1006),$AO$1006:$BQ$1006,0))&gt;=100000), " ",IF(INDEX($AO$2:$BQ$1001,MATCH(ROWS($AH$2:AH68),$AH$2:$AH$1001,0),MATCH(COLUMNS($AO$1006:BP1006),$AO$1006:$BQ$1006,0)), HYPERLINK("#",""), HYPERLINK(CONCATENATE("#Metadata!", ADDRESS(INDEX($AJ$2:$AJ$1001,MATCH(ROWS($AH$2:AH68),$AH$2:$AH$1001,0),0), INDEX($AO$1004:$BQ$1004,1,MATCH(COLUMNS($AO$1006:BP1006),$AO$1006:$BQ$1006,0)))),"Fix")))</f>
        <v>#N/A</v>
      </c>
      <c r="AD68" s="5" t="e">
        <f ca="1">IF(OR(INDEX($AI$2:$AI$1001,MATCH(ROWS($AH$2:AH68),$AH$2:$AH$1001,0),1)&gt;=100000,INDEX($AO$1005:$BQ$1005,1,MATCH(COLUMNS($AO$1006:BQ1006),$AO$1006:$BQ$1006,0))&gt;=100000), " ",IF(INDEX($AO$2:$BQ$1001,MATCH(ROWS($AH$2:AH68),$AH$2:$AH$1001,0),MATCH(COLUMNS($AO$1006:BQ1006),$AO$1006:$BQ$1006,0)), HYPERLINK("#",""), HYPERLINK(CONCATENATE("#Metadata!", ADDRESS(INDEX($AJ$2:$AJ$1001,MATCH(ROWS($AH$2:AH68),$AH$2:$AH$1001,0),0), INDEX($AO$1004:$BQ$1004,1,MATCH(COLUMNS($AO$1006:BQ1006),$AO$1006:$BQ$1006,0)))),"Fix")))</f>
        <v>#REF!</v>
      </c>
      <c r="AH68">
        <f ca="1"/>
        <v>65</v>
      </c>
      <c r="AI68">
        <v>100068</v>
      </c>
      <c r="AJ68">
        <v>68</v>
      </c>
      <c r="AK68" t="b">
        <f t="shared" si="1"/>
        <v>1</v>
      </c>
      <c r="AL68" t="b">
        <f>COUNTBLANK(Metadata!B68:AD68)=COLUMNS(Metadata!B68:AD68)</f>
        <v>1</v>
      </c>
      <c r="AM68" t="str">
        <v/>
      </c>
      <c r="AO68" t="b">
        <f ca="1">AND(IF(Metadata!B68="",FALSE,TRUE),COUNTIF(Metadata!B:B, Metadata!B68) = 1,NOT(ISERROR(SUMPRODUCT(SEARCH(MID(Metadata!B68,ROW(INDIRECT("1:"&amp;LEN(Metadata!B68))), 1),"0123456789abcdefghijklmnopqrstuvwxyzABCDEFGHIJKLMNOPQRSTUVWXYZ.")))))</f>
        <v>0</v>
      </c>
      <c r="AP68" t="b">
        <f>IF(Metadata!C68="",FALSE,TRUE)</f>
        <v>0</v>
      </c>
      <c r="AQ68" t="b">
        <f>IF(Metadata!D68="",FALSE,TRUE)</f>
        <v>0</v>
      </c>
      <c r="AR68" t="b">
        <f ca="1">OR(AND(IF(Metadata!E68="",FALSE,TRUE),OR(EXACT(Metadata!E68,"not collected"),EXACT(Metadata!E68,"not provided"),EXACT(Metadata!E68,"restricted access"))),AND(IF(Metadata!E68="",FALSE,TRUE),AND(AND(IFERROR(INT(LEFT(Metadata!E68,4))&gt;1900,FALSE),IFERROR(INT(LEFT(Metadata!E68,4))&lt;=YEAR(NOW()),FALSE)), OR(MID(Metadata!E68,5,1)="", AND(AND(MID(Metadata!E68,5,1)="-",IFERROR(INT(MID(Metadata!E68,6,1))&gt;=0,FALSE),IFERROR(INT(MID(Metadata!E68,6,1))&lt;=1,FALSE),NOT(MID(Metadata!E68,7,1)=""),IFERROR(INT(MID(Metadata!E68,6,2))&gt;=1,FALSE),IFERROR(INT(MID(Metadata!E68,6,2))&lt;=12,FALSE)), OR(MID(Metadata!E68,8,1)="", AND(AND(MID(Metadata!E68,8,1)="-",IFERROR(INT(MID(Metadata!E68,9,1))&gt;=0,FALSE),IFERROR(INT(MID(Metadata!E68,9,1))&lt;=3,FALSE),NOT(MID(Metadata!E68,10,1)=""),IFERROR(INT(MID(Metadata!E68,9,2))&gt;=1,FALSE),IFERROR(INT(MID(Metadata!E68,9,2))&lt;=31,FALSE)), OR(MID(Metadata!E68,11,1)="", AND(AND(MID(Metadata!E68,11,1)=" ",IFERROR(INT(MID(Metadata!E68,12,1))&gt;=0,FALSE),IFERROR(INT(MID(Metadata!E68,12,1))&lt;=2,FALSE),NOT(MID(Metadata!E68,13,1)=""),IFERROR(INT(MID(Metadata!E68,12,2))&gt;=0,FALSE),IFERROR(INT(MID(Metadata!E68,12,2))&lt;=23,FALSE)), OR(MID(Metadata!E68,14,1)="", AND(AND(MID(Metadata!E68,14,1)=":",IFERROR(INT(MID(Metadata!E68,15,1))&gt;=0,FALSE),IFERROR(INT(MID(Metadata!E68,15,1))&lt;=5,FALSE),NOT(MID(Metadata!E68,16,1)=""),IFERROR(INT(MID(Metadata!E68,15,2))&gt;=0,FALSE),IFERROR(INT(MID(Metadata!E68,15,2))&lt;=59,FALSE)), OR(MID(Metadata!E68,17,1)="", AND(AND(MID(Metadata!E68,17,1)=":",IFERROR(INT(MID(Metadata!E68,18,1))&gt;=0,FALSE),IFERROR(INT(MID(Metadata!E68,18,1))&lt;=5,FALSE),NOT(MID(Metadata!E68,19,1)=""),IFERROR(INT(MID(Metadata!E68,18,2))&gt;=0,FALSE),IFERROR(INT(MID(Metadata!E68,18,2))&lt;=59,FALSE)), LEN(Metadata!E68)&lt;=19)))))))))))))</f>
        <v>0</v>
      </c>
      <c r="AS68" t="b">
        <f>IF(Metadata!F68="",FALSE,TRUE)</f>
        <v>0</v>
      </c>
      <c r="AT68" t="b">
        <f>OR(AND(IF(Metadata!G68="",FALSE,TRUE),OR(EXACT(Metadata!G68,"not collected"),EXACT(Metadata!G68,"not provided"))),AND(IF(Metadata!G68="",FALSE,TRUE),OR(EXACT(Metadata!G68,"TRUE"),EXACT(Metadata!G68,"FALSE"))))</f>
        <v>0</v>
      </c>
      <c r="AU68" t="b">
        <f>OR(AND(IF(Metadata!H68="",FALSE,TRUE),OR(EXACT(Metadata!H68,"not collected"),EXACT(Metadata!H68,"not provided"),EXACT(Metadata!H68,"restricted access"))),AND(IF(Metadata!H68="",FALSE,ISNUMBER(VALUE(Metadata!H68))),Metadata!H68&gt;=-413))</f>
        <v>0</v>
      </c>
      <c r="AV68" t="b">
        <f>AND(IF(Metadata!I68="",FALSE,TRUE),EXACT(Metadata!I68,"meters"))</f>
        <v>0</v>
      </c>
      <c r="AW68" t="b">
        <f>AND(IF(Metadata!J68="",FALSE,TRUE),EXACT(Metadata!J68,"free-living"))</f>
        <v>0</v>
      </c>
      <c r="AX68" t="b">
        <f>AND(IF(Metadata!K68="",FALSE,TRUE),OR(EXACT(Metadata!K68,"saline"),EXACT(Metadata!K68,"non-saline")))</f>
        <v>0</v>
      </c>
      <c r="AY68" t="b">
        <f>AND(IF(Metadata!L68="",FALSE,TRUE),OR(EXACT(Metadata!L68,"sub-surface (non-saline)"),EXACT(Metadata!L68,"surface (non-saline)"),EXACT(Metadata!L68,"water (non-saline)"),EXACT(Metadata!L68,"soil (non-saline)"),EXACT(Metadata!L68,"aerosol (non-saline)"),EXACT(Metadata!L68,"sediment (non-saline)"),EXACT(Metadata!L68,"surface (saline)"),EXACT(Metadata!L68,"water (saline)"),EXACT(Metadata!L68,"hypersaline (saline)"),EXACT(Metadata!L68,"aerosol (saline)"),EXACT(Metadata!L68,"sediment (saline)")))</f>
        <v>0</v>
      </c>
      <c r="AZ68" t="b">
        <f>IF(Metadata!M68="",FALSE,TRUE)</f>
        <v>0</v>
      </c>
      <c r="BA68" t="b">
        <f>IF(Metadata!N68="",FALSE,TRUE)</f>
        <v>0</v>
      </c>
      <c r="BB68" t="b">
        <f>IF(Metadata!O68="",FALSE,TRUE)</f>
        <v>0</v>
      </c>
      <c r="BC68" t="b">
        <f>AND(IF(Metadata!P68="",FALSE,TRUE),OR(EXACT(Metadata!P68,"air"),EXACT(Metadata!P68,"microbial mat/biofilm"),EXACT(Metadata!P68,"misc environment"),EXACT(Metadata!P68,"sediment"),EXACT(Metadata!P68,"soil"),EXACT(Metadata!P68,"wastewater/sludge"),EXACT(Metadata!P68,"water")))</f>
        <v>0</v>
      </c>
      <c r="BD68" t="b">
        <f>IF(Metadata!Q68="",FALSE,TRUE)</f>
        <v>0</v>
      </c>
      <c r="BE68" t="b">
        <f>IF(Metadata!R68="",FALSE,TRUE)</f>
        <v>0</v>
      </c>
      <c r="BF68" t="b">
        <f>OR(AND(IF(Metadata!S68="",FALSE,TRUE),OR(EXACT(Metadata!S68,"not collected"),EXACT(Metadata!S68,"not provided"),EXACT(Metadata!S68,"restricted access"))),AND(IF(Metadata!S68="",FALSE,ISNUMBER(VALUE(Metadata!S68))),Metadata!S68&gt;=-90,Metadata!S68&lt;=90))</f>
        <v>0</v>
      </c>
      <c r="BG68" t="b">
        <f>AND(IF(Metadata!T68="",FALSE,TRUE),EXACT(Metadata!T68,"Decimal degrees"))</f>
        <v>0</v>
      </c>
      <c r="BH68" t="b">
        <f>OR(AND(IF(Metadata!U68="",FALSE,TRUE),OR(EXACT(Metadata!U68,"not applicable"),EXACT(Metadata!U68,"not collected"))),IF(Metadata!U68="",FALSE,TRUE))</f>
        <v>0</v>
      </c>
      <c r="BI68" t="b">
        <f>OR(AND(IF(Metadata!V68="",FALSE,TRUE),OR(EXACT(Metadata!V68,"not collected"),EXACT(Metadata!V68,"not provided"),EXACT(Metadata!V68,"restricted access"))),AND(IF(Metadata!V68="",FALSE,ISNUMBER(VALUE(Metadata!V68))),Metadata!V68&gt;=-180,Metadata!V68&lt;=180))</f>
        <v>0</v>
      </c>
      <c r="BJ68" t="b">
        <f>AND(IF(Metadata!W68="",FALSE,TRUE),EXACT(Metadata!W68,"Decimal degrees"))</f>
        <v>0</v>
      </c>
      <c r="BK68" t="b">
        <f>IF(Metadata!X68="",FALSE,TRUE)</f>
        <v>0</v>
      </c>
      <c r="BL68" t="b">
        <f>OR(AND(IF(Metadata!Y68="",FALSE,TRUE),OR(EXACT(Metadata!Y68,"not collected"),EXACT(Metadata!Y68,"not provided"),EXACT(Metadata!Y68,"restricted access"))),AND(IF(Metadata!Y68="",FALSE,TRUE),OR(EXACT(Metadata!Y68,"TRUE"),EXACT(Metadata!Y68,"FALSE"))))</f>
        <v>0</v>
      </c>
      <c r="BM68" t="b">
        <f>OR(AND(IF(Metadata!Z68="",FALSE,TRUE),EXACT(Metadata!Z68,"not applicable")),AND(IF(Metadata!Z68="",FALSE,TRUE),OR(EXACT(Metadata!Z68,"beer"),EXACT(Metadata!Z68,"cheese"),EXACT(Metadata!Z68,"fresh water"),EXACT(Metadata!Z68,"marine sediment"),EXACT(Metadata!Z68,"sea water"),EXACT(Metadata!Z68,"sediment"),EXACT(Metadata!Z68,"soil"),EXACT(Metadata!Z68,"waste water"))))</f>
        <v>0</v>
      </c>
      <c r="BN68" t="b">
        <f>AND(IF(Metadata!AA68="",FALSE,TRUE),EXACT(Metadata!AA68,"metagenome"))</f>
        <v>0</v>
      </c>
      <c r="BO68" t="b">
        <f>AND(IF(Metadata!AB68="",FALSE,TRUE),EXACT(Metadata!AB68,"256318"))</f>
        <v>0</v>
      </c>
      <c r="BP68" t="b">
        <f>IF(Metadata!AC68="",FALSE,TRUE)</f>
        <v>0</v>
      </c>
      <c r="BQ68" t="b">
        <f>IF(Metadata!AD68="",FALSE,TRUE)</f>
        <v>0</v>
      </c>
    </row>
    <row r="69" spans="1:69" x14ac:dyDescent="0.2">
      <c r="A69" s="4" t="e">
        <f ca="1">IF(B69=" "," ",HYPERLINK(CONCATENATE("#metadata!",ADDRESS(INDEX($AJ$2:$AJ$1001,MATCH(ROWS($AH$2:AH69),$AH$2:$AH$1001,0),0),2)),INDEX($AM$2:$AM$1001,MATCH(ROWS($AH$2:AH69),$AH$2:$AH$1001,0),0)))</f>
        <v>#N/A</v>
      </c>
      <c r="B69" s="5" t="e">
        <f ca="1">IF(OR(INDEX($AI$2:$AI$1001,MATCH(ROWS($AH$2:AH69),$AH$2:$AH$1001,0),1)&gt;=100000,INDEX($AO$1005:$BQ$1005,1,MATCH(COLUMNS($AO$1006:AO1006),$AO$1006:$BQ$1006,0))&gt;=100000), " ",IF(INDEX($AO$2:$BQ$1001,MATCH(ROWS($AH$2:AH69),$AH$2:$AH$1001,0),MATCH(COLUMNS($AO$1006:AO1006),$AO$1006:$BQ$1006,0)), HYPERLINK("#",""), HYPERLINK(CONCATENATE("#Metadata!", ADDRESS(INDEX($AJ$2:$AJ$1001,MATCH(ROWS($AH$2:AH69),$AH$2:$AH$1001,0),0), INDEX($AO$1004:$BQ$1004,1,MATCH(COLUMNS($AO$1006:AO1006),$AO$1006:$BQ$1006,0)))),"Fix")))</f>
        <v>#N/A</v>
      </c>
      <c r="C69" s="5" t="e">
        <f ca="1">IF(OR(INDEX($AI$2:$AI$1001,MATCH(ROWS($AH$2:AH69),$AH$2:$AH$1001,0),1)&gt;=100000,INDEX($AO$1005:$BQ$1005,1,MATCH(COLUMNS($AO$1006:AP1006),$AO$1006:$BQ$1006,0))&gt;=100000), " ",IF(INDEX($AO$2:$BQ$1001,MATCH(ROWS($AH$2:AH69),$AH$2:$AH$1001,0),MATCH(COLUMNS($AO$1006:AP1006),$AO$1006:$BQ$1006,0)), HYPERLINK("#",""), HYPERLINK(CONCATENATE("#Metadata!", ADDRESS(INDEX($AJ$2:$AJ$1001,MATCH(ROWS($AH$2:AH69),$AH$2:$AH$1001,0),0), INDEX($AO$1004:$BQ$1004,1,MATCH(COLUMNS($AO$1006:AP1006),$AO$1006:$BQ$1006,0)))),"Fix")))</f>
        <v>#N/A</v>
      </c>
      <c r="D69" s="5" t="e">
        <f ca="1">IF(OR(INDEX($AI$2:$AI$1001,MATCH(ROWS($AH$2:AH69),$AH$2:$AH$1001,0),1)&gt;=100000,INDEX($AO$1005:$BQ$1005,1,MATCH(COLUMNS($AO$1006:AQ1006),$AO$1006:$BQ$1006,0))&gt;=100000), " ",IF(INDEX($AO$2:$BQ$1001,MATCH(ROWS($AH$2:AH69),$AH$2:$AH$1001,0),MATCH(COLUMNS($AO$1006:AQ1006),$AO$1006:$BQ$1006,0)), HYPERLINK("#",""), HYPERLINK(CONCATENATE("#Metadata!", ADDRESS(INDEX($AJ$2:$AJ$1001,MATCH(ROWS($AH$2:AH69),$AH$2:$AH$1001,0),0), INDEX($AO$1004:$BQ$1004,1,MATCH(COLUMNS($AO$1006:AQ1006),$AO$1006:$BQ$1006,0)))),"Fix")))</f>
        <v>#N/A</v>
      </c>
      <c r="E69" s="5" t="e">
        <f ca="1">IF(OR(INDEX($AI$2:$AI$1001,MATCH(ROWS($AH$2:AH69),$AH$2:$AH$1001,0),1)&gt;=100000,INDEX($AO$1005:$BQ$1005,1,MATCH(COLUMNS($AO$1006:AR1006),$AO$1006:$BQ$1006,0))&gt;=100000), " ",IF(INDEX($AO$2:$BQ$1001,MATCH(ROWS($AH$2:AH69),$AH$2:$AH$1001,0),MATCH(COLUMNS($AO$1006:AR1006),$AO$1006:$BQ$1006,0)), HYPERLINK("#",""), HYPERLINK(CONCATENATE("#Metadata!", ADDRESS(INDEX($AJ$2:$AJ$1001,MATCH(ROWS($AH$2:AH69),$AH$2:$AH$1001,0),0), INDEX($AO$1004:$BQ$1004,1,MATCH(COLUMNS($AO$1006:AR1006),$AO$1006:$BQ$1006,0)))),"Fix")))</f>
        <v>#N/A</v>
      </c>
      <c r="F69" s="5" t="e">
        <f ca="1">IF(OR(INDEX($AI$2:$AI$1001,MATCH(ROWS($AH$2:AH69),$AH$2:$AH$1001,0),1)&gt;=100000,INDEX($AO$1005:$BQ$1005,1,MATCH(COLUMNS($AO$1006:AS1006),$AO$1006:$BQ$1006,0))&gt;=100000), " ",IF(INDEX($AO$2:$BQ$1001,MATCH(ROWS($AH$2:AH69),$AH$2:$AH$1001,0),MATCH(COLUMNS($AO$1006:AS1006),$AO$1006:$BQ$1006,0)), HYPERLINK("#",""), HYPERLINK(CONCATENATE("#Metadata!", ADDRESS(INDEX($AJ$2:$AJ$1001,MATCH(ROWS($AH$2:AH69),$AH$2:$AH$1001,0),0), INDEX($AO$1004:$BQ$1004,1,MATCH(COLUMNS($AO$1006:AS1006),$AO$1006:$BQ$1006,0)))),"Fix")))</f>
        <v>#N/A</v>
      </c>
      <c r="G69" s="5" t="e">
        <f ca="1">IF(OR(INDEX($AI$2:$AI$1001,MATCH(ROWS($AH$2:AH69),$AH$2:$AH$1001,0),1)&gt;=100000,INDEX($AO$1005:$BQ$1005,1,MATCH(COLUMNS($AO$1006:AT1006),$AO$1006:$BQ$1006,0))&gt;=100000), " ",IF(INDEX($AO$2:$BQ$1001,MATCH(ROWS($AH$2:AH69),$AH$2:$AH$1001,0),MATCH(COLUMNS($AO$1006:AT1006),$AO$1006:$BQ$1006,0)), HYPERLINK("#",""), HYPERLINK(CONCATENATE("#Metadata!", ADDRESS(INDEX($AJ$2:$AJ$1001,MATCH(ROWS($AH$2:AH69),$AH$2:$AH$1001,0),0), INDEX($AO$1004:$BQ$1004,1,MATCH(COLUMNS($AO$1006:AT1006),$AO$1006:$BQ$1006,0)))),"Fix")))</f>
        <v>#N/A</v>
      </c>
      <c r="H69" s="5" t="e">
        <f ca="1">IF(OR(INDEX($AI$2:$AI$1001,MATCH(ROWS($AH$2:AH69),$AH$2:$AH$1001,0),1)&gt;=100000,INDEX($AO$1005:$BQ$1005,1,MATCH(COLUMNS($AO$1006:AU1006),$AO$1006:$BQ$1006,0))&gt;=100000), " ",IF(INDEX($AO$2:$BQ$1001,MATCH(ROWS($AH$2:AH69),$AH$2:$AH$1001,0),MATCH(COLUMNS($AO$1006:AU1006),$AO$1006:$BQ$1006,0)), HYPERLINK("#",""), HYPERLINK(CONCATENATE("#Metadata!", ADDRESS(INDEX($AJ$2:$AJ$1001,MATCH(ROWS($AH$2:AH69),$AH$2:$AH$1001,0),0), INDEX($AO$1004:$BQ$1004,1,MATCH(COLUMNS($AO$1006:AU1006),$AO$1006:$BQ$1006,0)))),"Fix")))</f>
        <v>#N/A</v>
      </c>
      <c r="I69" s="5" t="e">
        <f ca="1">IF(OR(INDEX($AI$2:$AI$1001,MATCH(ROWS($AH$2:AH69),$AH$2:$AH$1001,0),1)&gt;=100000,INDEX($AO$1005:$BQ$1005,1,MATCH(COLUMNS($AO$1006:AV1006),$AO$1006:$BQ$1006,0))&gt;=100000), " ",IF(INDEX($AO$2:$BQ$1001,MATCH(ROWS($AH$2:AH69),$AH$2:$AH$1001,0),MATCH(COLUMNS($AO$1006:AV1006),$AO$1006:$BQ$1006,0)), HYPERLINK("#",""), HYPERLINK(CONCATENATE("#Metadata!", ADDRESS(INDEX($AJ$2:$AJ$1001,MATCH(ROWS($AH$2:AH69),$AH$2:$AH$1001,0),0), INDEX($AO$1004:$BQ$1004,1,MATCH(COLUMNS($AO$1006:AV1006),$AO$1006:$BQ$1006,0)))),"Fix")))</f>
        <v>#N/A</v>
      </c>
      <c r="J69" s="5" t="e">
        <f ca="1">IF(OR(INDEX($AI$2:$AI$1001,MATCH(ROWS($AH$2:AH69),$AH$2:$AH$1001,0),1)&gt;=100000,INDEX($AO$1005:$BQ$1005,1,MATCH(COLUMNS($AO$1006:AW1006),$AO$1006:$BQ$1006,0))&gt;=100000), " ",IF(INDEX($AO$2:$BQ$1001,MATCH(ROWS($AH$2:AH69),$AH$2:$AH$1001,0),MATCH(COLUMNS($AO$1006:AW1006),$AO$1006:$BQ$1006,0)), HYPERLINK("#",""), HYPERLINK(CONCATENATE("#Metadata!", ADDRESS(INDEX($AJ$2:$AJ$1001,MATCH(ROWS($AH$2:AH69),$AH$2:$AH$1001,0),0), INDEX($AO$1004:$BQ$1004,1,MATCH(COLUMNS($AO$1006:AW1006),$AO$1006:$BQ$1006,0)))),"Fix")))</f>
        <v>#N/A</v>
      </c>
      <c r="K69" s="5" t="e">
        <f ca="1">IF(OR(INDEX($AI$2:$AI$1001,MATCH(ROWS($AH$2:AH69),$AH$2:$AH$1001,0),1)&gt;=100000,INDEX($AO$1005:$BQ$1005,1,MATCH(COLUMNS($AO$1006:AX1006),$AO$1006:$BQ$1006,0))&gt;=100000), " ",IF(INDEX($AO$2:$BQ$1001,MATCH(ROWS($AH$2:AH69),$AH$2:$AH$1001,0),MATCH(COLUMNS($AO$1006:AX1006),$AO$1006:$BQ$1006,0)), HYPERLINK("#",""), HYPERLINK(CONCATENATE("#Metadata!", ADDRESS(INDEX($AJ$2:$AJ$1001,MATCH(ROWS($AH$2:AH69),$AH$2:$AH$1001,0),0), INDEX($AO$1004:$BQ$1004,1,MATCH(COLUMNS($AO$1006:AX1006),$AO$1006:$BQ$1006,0)))),"Fix")))</f>
        <v>#N/A</v>
      </c>
      <c r="L69" s="5" t="e">
        <f ca="1">IF(OR(INDEX($AI$2:$AI$1001,MATCH(ROWS($AH$2:AH69),$AH$2:$AH$1001,0),1)&gt;=100000,INDEX($AO$1005:$BQ$1005,1,MATCH(COLUMNS($AO$1006:AY1006),$AO$1006:$BQ$1006,0))&gt;=100000), " ",IF(INDEX($AO$2:$BQ$1001,MATCH(ROWS($AH$2:AH69),$AH$2:$AH$1001,0),MATCH(COLUMNS($AO$1006:AY1006),$AO$1006:$BQ$1006,0)), HYPERLINK("#",""), HYPERLINK(CONCATENATE("#Metadata!", ADDRESS(INDEX($AJ$2:$AJ$1001,MATCH(ROWS($AH$2:AH69),$AH$2:$AH$1001,0),0), INDEX($AO$1004:$BQ$1004,1,MATCH(COLUMNS($AO$1006:AY1006),$AO$1006:$BQ$1006,0)))),"Fix")))</f>
        <v>#N/A</v>
      </c>
      <c r="M69" s="5" t="e">
        <f ca="1">IF(OR(INDEX($AI$2:$AI$1001,MATCH(ROWS($AH$2:AH69),$AH$2:$AH$1001,0),1)&gt;=100000,INDEX($AO$1005:$BQ$1005,1,MATCH(COLUMNS($AO$1006:AZ1006),$AO$1006:$BQ$1006,0))&gt;=100000), " ",IF(INDEX($AO$2:$BQ$1001,MATCH(ROWS($AH$2:AH69),$AH$2:$AH$1001,0),MATCH(COLUMNS($AO$1006:AZ1006),$AO$1006:$BQ$1006,0)), HYPERLINK("#",""), HYPERLINK(CONCATENATE("#Metadata!", ADDRESS(INDEX($AJ$2:$AJ$1001,MATCH(ROWS($AH$2:AH69),$AH$2:$AH$1001,0),0), INDEX($AO$1004:$BQ$1004,1,MATCH(COLUMNS($AO$1006:AZ1006),$AO$1006:$BQ$1006,0)))),"Fix")))</f>
        <v>#N/A</v>
      </c>
      <c r="N69" s="5" t="e">
        <f ca="1">IF(OR(INDEX($AI$2:$AI$1001,MATCH(ROWS($AH$2:AH69),$AH$2:$AH$1001,0),1)&gt;=100000,INDEX($AO$1005:$BQ$1005,1,MATCH(COLUMNS($AO$1006:BA1006),$AO$1006:$BQ$1006,0))&gt;=100000), " ",IF(INDEX($AO$2:$BQ$1001,MATCH(ROWS($AH$2:AH69),$AH$2:$AH$1001,0),MATCH(COLUMNS($AO$1006:BA1006),$AO$1006:$BQ$1006,0)), HYPERLINK("#",""), HYPERLINK(CONCATENATE("#Metadata!", ADDRESS(INDEX($AJ$2:$AJ$1001,MATCH(ROWS($AH$2:AH69),$AH$2:$AH$1001,0),0), INDEX($AO$1004:$BQ$1004,1,MATCH(COLUMNS($AO$1006:BA1006),$AO$1006:$BQ$1006,0)))),"Fix")))</f>
        <v>#N/A</v>
      </c>
      <c r="O69" s="5" t="e">
        <f ca="1">IF(OR(INDEX($AI$2:$AI$1001,MATCH(ROWS($AH$2:AH69),$AH$2:$AH$1001,0),1)&gt;=100000,INDEX($AO$1005:$BQ$1005,1,MATCH(COLUMNS($AO$1006:BB1006),$AO$1006:$BQ$1006,0))&gt;=100000), " ",IF(INDEX($AO$2:$BQ$1001,MATCH(ROWS($AH$2:AH69),$AH$2:$AH$1001,0),MATCH(COLUMNS($AO$1006:BB1006),$AO$1006:$BQ$1006,0)), HYPERLINK("#",""), HYPERLINK(CONCATENATE("#Metadata!", ADDRESS(INDEX($AJ$2:$AJ$1001,MATCH(ROWS($AH$2:AH69),$AH$2:$AH$1001,0),0), INDEX($AO$1004:$BQ$1004,1,MATCH(COLUMNS($AO$1006:BB1006),$AO$1006:$BQ$1006,0)))),"Fix")))</f>
        <v>#N/A</v>
      </c>
      <c r="P69" s="5" t="e">
        <f ca="1">IF(OR(INDEX($AI$2:$AI$1001,MATCH(ROWS($AH$2:AH69),$AH$2:$AH$1001,0),1)&gt;=100000,INDEX($AO$1005:$BQ$1005,1,MATCH(COLUMNS($AO$1006:BC1006),$AO$1006:$BQ$1006,0))&gt;=100000), " ",IF(INDEX($AO$2:$BQ$1001,MATCH(ROWS($AH$2:AH69),$AH$2:$AH$1001,0),MATCH(COLUMNS($AO$1006:BC1006),$AO$1006:$BQ$1006,0)), HYPERLINK("#",""), HYPERLINK(CONCATENATE("#Metadata!", ADDRESS(INDEX($AJ$2:$AJ$1001,MATCH(ROWS($AH$2:AH69),$AH$2:$AH$1001,0),0), INDEX($AO$1004:$BQ$1004,1,MATCH(COLUMNS($AO$1006:BC1006),$AO$1006:$BQ$1006,0)))),"Fix")))</f>
        <v>#N/A</v>
      </c>
      <c r="Q69" s="5" t="e">
        <f ca="1">IF(OR(INDEX($AI$2:$AI$1001,MATCH(ROWS($AH$2:AH69),$AH$2:$AH$1001,0),1)&gt;=100000,INDEX($AO$1005:$BQ$1005,1,MATCH(COLUMNS($AO$1006:BD1006),$AO$1006:$BQ$1006,0))&gt;=100000), " ",IF(INDEX($AO$2:$BQ$1001,MATCH(ROWS($AH$2:AH69),$AH$2:$AH$1001,0),MATCH(COLUMNS($AO$1006:BD1006),$AO$1006:$BQ$1006,0)), HYPERLINK("#",""), HYPERLINK(CONCATENATE("#Metadata!", ADDRESS(INDEX($AJ$2:$AJ$1001,MATCH(ROWS($AH$2:AH69),$AH$2:$AH$1001,0),0), INDEX($AO$1004:$BQ$1004,1,MATCH(COLUMNS($AO$1006:BD1006),$AO$1006:$BQ$1006,0)))),"Fix")))</f>
        <v>#N/A</v>
      </c>
      <c r="R69" s="5" t="e">
        <f ca="1">IF(OR(INDEX($AI$2:$AI$1001,MATCH(ROWS($AH$2:AH69),$AH$2:$AH$1001,0),1)&gt;=100000,INDEX($AO$1005:$BQ$1005,1,MATCH(COLUMNS($AO$1006:BE1006),$AO$1006:$BQ$1006,0))&gt;=100000), " ",IF(INDEX($AO$2:$BQ$1001,MATCH(ROWS($AH$2:AH69),$AH$2:$AH$1001,0),MATCH(COLUMNS($AO$1006:BE1006),$AO$1006:$BQ$1006,0)), HYPERLINK("#",""), HYPERLINK(CONCATENATE("#Metadata!", ADDRESS(INDEX($AJ$2:$AJ$1001,MATCH(ROWS($AH$2:AH69),$AH$2:$AH$1001,0),0), INDEX($AO$1004:$BQ$1004,1,MATCH(COLUMNS($AO$1006:BE1006),$AO$1006:$BQ$1006,0)))),"Fix")))</f>
        <v>#N/A</v>
      </c>
      <c r="S69" s="5" t="e">
        <f ca="1">IF(OR(INDEX($AI$2:$AI$1001,MATCH(ROWS($AH$2:AH69),$AH$2:$AH$1001,0),1)&gt;=100000,INDEX($AO$1005:$BQ$1005,1,MATCH(COLUMNS($AO$1006:BF1006),$AO$1006:$BQ$1006,0))&gt;=100000), " ",IF(INDEX($AO$2:$BQ$1001,MATCH(ROWS($AH$2:AH69),$AH$2:$AH$1001,0),MATCH(COLUMNS($AO$1006:BF1006),$AO$1006:$BQ$1006,0)), HYPERLINK("#",""), HYPERLINK(CONCATENATE("#Metadata!", ADDRESS(INDEX($AJ$2:$AJ$1001,MATCH(ROWS($AH$2:AH69),$AH$2:$AH$1001,0),0), INDEX($AO$1004:$BQ$1004,1,MATCH(COLUMNS($AO$1006:BF1006),$AO$1006:$BQ$1006,0)))),"Fix")))</f>
        <v>#N/A</v>
      </c>
      <c r="T69" s="5" t="e">
        <f ca="1">IF(OR(INDEX($AI$2:$AI$1001,MATCH(ROWS($AH$2:AH69),$AH$2:$AH$1001,0),1)&gt;=100000,INDEX($AO$1005:$BQ$1005,1,MATCH(COLUMNS($AO$1006:BG1006),$AO$1006:$BQ$1006,0))&gt;=100000), " ",IF(INDEX($AO$2:$BQ$1001,MATCH(ROWS($AH$2:AH69),$AH$2:$AH$1001,0),MATCH(COLUMNS($AO$1006:BG1006),$AO$1006:$BQ$1006,0)), HYPERLINK("#",""), HYPERLINK(CONCATENATE("#Metadata!", ADDRESS(INDEX($AJ$2:$AJ$1001,MATCH(ROWS($AH$2:AH69),$AH$2:$AH$1001,0),0), INDEX($AO$1004:$BQ$1004,1,MATCH(COLUMNS($AO$1006:BG1006),$AO$1006:$BQ$1006,0)))),"Fix")))</f>
        <v>#N/A</v>
      </c>
      <c r="U69" s="5" t="e">
        <f ca="1">IF(OR(INDEX($AI$2:$AI$1001,MATCH(ROWS($AH$2:AH69),$AH$2:$AH$1001,0),1)&gt;=100000,INDEX($AO$1005:$BQ$1005,1,MATCH(COLUMNS($AO$1006:BH1006),$AO$1006:$BQ$1006,0))&gt;=100000), " ",IF(INDEX($AO$2:$BQ$1001,MATCH(ROWS($AH$2:AH69),$AH$2:$AH$1001,0),MATCH(COLUMNS($AO$1006:BH1006),$AO$1006:$BQ$1006,0)), HYPERLINK("#",""), HYPERLINK(CONCATENATE("#Metadata!", ADDRESS(INDEX($AJ$2:$AJ$1001,MATCH(ROWS($AH$2:AH69),$AH$2:$AH$1001,0),0), INDEX($AO$1004:$BQ$1004,1,MATCH(COLUMNS($AO$1006:BH1006),$AO$1006:$BQ$1006,0)))),"Fix")))</f>
        <v>#N/A</v>
      </c>
      <c r="V69" s="5" t="e">
        <f ca="1">IF(OR(INDEX($AI$2:$AI$1001,MATCH(ROWS($AH$2:AH69),$AH$2:$AH$1001,0),1)&gt;=100000,INDEX($AO$1005:$BQ$1005,1,MATCH(COLUMNS($AO$1006:BI1006),$AO$1006:$BQ$1006,0))&gt;=100000), " ",IF(INDEX($AO$2:$BQ$1001,MATCH(ROWS($AH$2:AH69),$AH$2:$AH$1001,0),MATCH(COLUMNS($AO$1006:BI1006),$AO$1006:$BQ$1006,0)), HYPERLINK("#",""), HYPERLINK(CONCATENATE("#Metadata!", ADDRESS(INDEX($AJ$2:$AJ$1001,MATCH(ROWS($AH$2:AH69),$AH$2:$AH$1001,0),0), INDEX($AO$1004:$BQ$1004,1,MATCH(COLUMNS($AO$1006:BI1006),$AO$1006:$BQ$1006,0)))),"Fix")))</f>
        <v>#N/A</v>
      </c>
      <c r="W69" s="5" t="e">
        <f ca="1">IF(OR(INDEX($AI$2:$AI$1001,MATCH(ROWS($AH$2:AH69),$AH$2:$AH$1001,0),1)&gt;=100000,INDEX($AO$1005:$BQ$1005,1,MATCH(COLUMNS($AO$1006:BJ1006),$AO$1006:$BQ$1006,0))&gt;=100000), " ",IF(INDEX($AO$2:$BQ$1001,MATCH(ROWS($AH$2:AH69),$AH$2:$AH$1001,0),MATCH(COLUMNS($AO$1006:BJ1006),$AO$1006:$BQ$1006,0)), HYPERLINK("#",""), HYPERLINK(CONCATENATE("#Metadata!", ADDRESS(INDEX($AJ$2:$AJ$1001,MATCH(ROWS($AH$2:AH69),$AH$2:$AH$1001,0),0), INDEX($AO$1004:$BQ$1004,1,MATCH(COLUMNS($AO$1006:BJ1006),$AO$1006:$BQ$1006,0)))),"Fix")))</f>
        <v>#N/A</v>
      </c>
      <c r="X69" s="5" t="e">
        <f ca="1">IF(OR(INDEX($AI$2:$AI$1001,MATCH(ROWS($AH$2:AH69),$AH$2:$AH$1001,0),1)&gt;=100000,INDEX($AO$1005:$BQ$1005,1,MATCH(COLUMNS($AO$1006:BK1006),$AO$1006:$BQ$1006,0))&gt;=100000), " ",IF(INDEX($AO$2:$BQ$1001,MATCH(ROWS($AH$2:AH69),$AH$2:$AH$1001,0),MATCH(COLUMNS($AO$1006:BK1006),$AO$1006:$BQ$1006,0)), HYPERLINK("#",""), HYPERLINK(CONCATENATE("#Metadata!", ADDRESS(INDEX($AJ$2:$AJ$1001,MATCH(ROWS($AH$2:AH69),$AH$2:$AH$1001,0),0), INDEX($AO$1004:$BQ$1004,1,MATCH(COLUMNS($AO$1006:BK1006),$AO$1006:$BQ$1006,0)))),"Fix")))</f>
        <v>#N/A</v>
      </c>
      <c r="Y69" s="5" t="e">
        <f ca="1">IF(OR(INDEX($AI$2:$AI$1001,MATCH(ROWS($AH$2:AH69),$AH$2:$AH$1001,0),1)&gt;=100000,INDEX($AO$1005:$BQ$1005,1,MATCH(COLUMNS($AO$1006:BL1006),$AO$1006:$BQ$1006,0))&gt;=100000), " ",IF(INDEX($AO$2:$BQ$1001,MATCH(ROWS($AH$2:AH69),$AH$2:$AH$1001,0),MATCH(COLUMNS($AO$1006:BL1006),$AO$1006:$BQ$1006,0)), HYPERLINK("#",""), HYPERLINK(CONCATENATE("#Metadata!", ADDRESS(INDEX($AJ$2:$AJ$1001,MATCH(ROWS($AH$2:AH69),$AH$2:$AH$1001,0),0), INDEX($AO$1004:$BQ$1004,1,MATCH(COLUMNS($AO$1006:BL1006),$AO$1006:$BQ$1006,0)))),"Fix")))</f>
        <v>#N/A</v>
      </c>
      <c r="Z69" s="5" t="e">
        <f ca="1">IF(OR(INDEX($AI$2:$AI$1001,MATCH(ROWS($AH$2:AH69),$AH$2:$AH$1001,0),1)&gt;=100000,INDEX($AO$1005:$BQ$1005,1,MATCH(COLUMNS($AO$1006:BM1006),$AO$1006:$BQ$1006,0))&gt;=100000), " ",IF(INDEX($AO$2:$BQ$1001,MATCH(ROWS($AH$2:AH69),$AH$2:$AH$1001,0),MATCH(COLUMNS($AO$1006:BM1006),$AO$1006:$BQ$1006,0)), HYPERLINK("#",""), HYPERLINK(CONCATENATE("#Metadata!", ADDRESS(INDEX($AJ$2:$AJ$1001,MATCH(ROWS($AH$2:AH69),$AH$2:$AH$1001,0),0), INDEX($AO$1004:$BQ$1004,1,MATCH(COLUMNS($AO$1006:BM1006),$AO$1006:$BQ$1006,0)))),"Fix")))</f>
        <v>#N/A</v>
      </c>
      <c r="AA69" s="5" t="e">
        <f ca="1">IF(OR(INDEX($AI$2:$AI$1001,MATCH(ROWS($AH$2:AH69),$AH$2:$AH$1001,0),1)&gt;=100000,INDEX($AO$1005:$BQ$1005,1,MATCH(COLUMNS($AO$1006:BN1006),$AO$1006:$BQ$1006,0))&gt;=100000), " ",IF(INDEX($AO$2:$BQ$1001,MATCH(ROWS($AH$2:AH69),$AH$2:$AH$1001,0),MATCH(COLUMNS($AO$1006:BN1006),$AO$1006:$BQ$1006,0)), HYPERLINK("#",""), HYPERLINK(CONCATENATE("#Metadata!", ADDRESS(INDEX($AJ$2:$AJ$1001,MATCH(ROWS($AH$2:AH69),$AH$2:$AH$1001,0),0), INDEX($AO$1004:$BQ$1004,1,MATCH(COLUMNS($AO$1006:BN1006),$AO$1006:$BQ$1006,0)))),"Fix")))</f>
        <v>#N/A</v>
      </c>
      <c r="AB69" s="5" t="e">
        <f ca="1">IF(OR(INDEX($AI$2:$AI$1001,MATCH(ROWS($AH$2:AH69),$AH$2:$AH$1001,0),1)&gt;=100000,INDEX($AO$1005:$BQ$1005,1,MATCH(COLUMNS($AO$1006:BO1006),$AO$1006:$BQ$1006,0))&gt;=100000), " ",IF(INDEX($AO$2:$BQ$1001,MATCH(ROWS($AH$2:AH69),$AH$2:$AH$1001,0),MATCH(COLUMNS($AO$1006:BO1006),$AO$1006:$BQ$1006,0)), HYPERLINK("#",""), HYPERLINK(CONCATENATE("#Metadata!", ADDRESS(INDEX($AJ$2:$AJ$1001,MATCH(ROWS($AH$2:AH69),$AH$2:$AH$1001,0),0), INDEX($AO$1004:$BQ$1004,1,MATCH(COLUMNS($AO$1006:BO1006),$AO$1006:$BQ$1006,0)))),"Fix")))</f>
        <v>#N/A</v>
      </c>
      <c r="AC69" s="5" t="e">
        <f ca="1">IF(OR(INDEX($AI$2:$AI$1001,MATCH(ROWS($AH$2:AH69),$AH$2:$AH$1001,0),1)&gt;=100000,INDEX($AO$1005:$BQ$1005,1,MATCH(COLUMNS($AO$1006:BP1006),$AO$1006:$BQ$1006,0))&gt;=100000), " ",IF(INDEX($AO$2:$BQ$1001,MATCH(ROWS($AH$2:AH69),$AH$2:$AH$1001,0),MATCH(COLUMNS($AO$1006:BP1006),$AO$1006:$BQ$1006,0)), HYPERLINK("#",""), HYPERLINK(CONCATENATE("#Metadata!", ADDRESS(INDEX($AJ$2:$AJ$1001,MATCH(ROWS($AH$2:AH69),$AH$2:$AH$1001,0),0), INDEX($AO$1004:$BQ$1004,1,MATCH(COLUMNS($AO$1006:BP1006),$AO$1006:$BQ$1006,0)))),"Fix")))</f>
        <v>#N/A</v>
      </c>
      <c r="AD69" s="5" t="e">
        <f ca="1">IF(OR(INDEX($AI$2:$AI$1001,MATCH(ROWS($AH$2:AH69),$AH$2:$AH$1001,0),1)&gt;=100000,INDEX($AO$1005:$BQ$1005,1,MATCH(COLUMNS($AO$1006:BQ1006),$AO$1006:$BQ$1006,0))&gt;=100000), " ",IF(INDEX($AO$2:$BQ$1001,MATCH(ROWS($AH$2:AH69),$AH$2:$AH$1001,0),MATCH(COLUMNS($AO$1006:BQ1006),$AO$1006:$BQ$1006,0)), HYPERLINK("#",""), HYPERLINK(CONCATENATE("#Metadata!", ADDRESS(INDEX($AJ$2:$AJ$1001,MATCH(ROWS($AH$2:AH69),$AH$2:$AH$1001,0),0), INDEX($AO$1004:$BQ$1004,1,MATCH(COLUMNS($AO$1006:BQ1006),$AO$1006:$BQ$1006,0)))),"Fix")))</f>
        <v>#REF!</v>
      </c>
      <c r="AH69">
        <f ca="1"/>
        <v>66</v>
      </c>
      <c r="AI69">
        <v>100069</v>
      </c>
      <c r="AJ69">
        <v>69</v>
      </c>
      <c r="AK69" t="b">
        <f t="shared" si="1"/>
        <v>1</v>
      </c>
      <c r="AL69" t="b">
        <f>COUNTBLANK(Metadata!B69:AD69)=COLUMNS(Metadata!B69:AD69)</f>
        <v>1</v>
      </c>
      <c r="AM69" t="str">
        <v/>
      </c>
      <c r="AO69" t="b">
        <f ca="1">AND(IF(Metadata!B69="",FALSE,TRUE),COUNTIF(Metadata!B:B, Metadata!B69) = 1,NOT(ISERROR(SUMPRODUCT(SEARCH(MID(Metadata!B69,ROW(INDIRECT("1:"&amp;LEN(Metadata!B69))), 1),"0123456789abcdefghijklmnopqrstuvwxyzABCDEFGHIJKLMNOPQRSTUVWXYZ.")))))</f>
        <v>0</v>
      </c>
      <c r="AP69" t="b">
        <f>IF(Metadata!C69="",FALSE,TRUE)</f>
        <v>0</v>
      </c>
      <c r="AQ69" t="b">
        <f>IF(Metadata!D69="",FALSE,TRUE)</f>
        <v>0</v>
      </c>
      <c r="AR69" t="b">
        <f ca="1">OR(AND(IF(Metadata!E69="",FALSE,TRUE),OR(EXACT(Metadata!E69,"not collected"),EXACT(Metadata!E69,"not provided"),EXACT(Metadata!E69,"restricted access"))),AND(IF(Metadata!E69="",FALSE,TRUE),AND(AND(IFERROR(INT(LEFT(Metadata!E69,4))&gt;1900,FALSE),IFERROR(INT(LEFT(Metadata!E69,4))&lt;=YEAR(NOW()),FALSE)), OR(MID(Metadata!E69,5,1)="", AND(AND(MID(Metadata!E69,5,1)="-",IFERROR(INT(MID(Metadata!E69,6,1))&gt;=0,FALSE),IFERROR(INT(MID(Metadata!E69,6,1))&lt;=1,FALSE),NOT(MID(Metadata!E69,7,1)=""),IFERROR(INT(MID(Metadata!E69,6,2))&gt;=1,FALSE),IFERROR(INT(MID(Metadata!E69,6,2))&lt;=12,FALSE)), OR(MID(Metadata!E69,8,1)="", AND(AND(MID(Metadata!E69,8,1)="-",IFERROR(INT(MID(Metadata!E69,9,1))&gt;=0,FALSE),IFERROR(INT(MID(Metadata!E69,9,1))&lt;=3,FALSE),NOT(MID(Metadata!E69,10,1)=""),IFERROR(INT(MID(Metadata!E69,9,2))&gt;=1,FALSE),IFERROR(INT(MID(Metadata!E69,9,2))&lt;=31,FALSE)), OR(MID(Metadata!E69,11,1)="", AND(AND(MID(Metadata!E69,11,1)=" ",IFERROR(INT(MID(Metadata!E69,12,1))&gt;=0,FALSE),IFERROR(INT(MID(Metadata!E69,12,1))&lt;=2,FALSE),NOT(MID(Metadata!E69,13,1)=""),IFERROR(INT(MID(Metadata!E69,12,2))&gt;=0,FALSE),IFERROR(INT(MID(Metadata!E69,12,2))&lt;=23,FALSE)), OR(MID(Metadata!E69,14,1)="", AND(AND(MID(Metadata!E69,14,1)=":",IFERROR(INT(MID(Metadata!E69,15,1))&gt;=0,FALSE),IFERROR(INT(MID(Metadata!E69,15,1))&lt;=5,FALSE),NOT(MID(Metadata!E69,16,1)=""),IFERROR(INT(MID(Metadata!E69,15,2))&gt;=0,FALSE),IFERROR(INT(MID(Metadata!E69,15,2))&lt;=59,FALSE)), OR(MID(Metadata!E69,17,1)="", AND(AND(MID(Metadata!E69,17,1)=":",IFERROR(INT(MID(Metadata!E69,18,1))&gt;=0,FALSE),IFERROR(INT(MID(Metadata!E69,18,1))&lt;=5,FALSE),NOT(MID(Metadata!E69,19,1)=""),IFERROR(INT(MID(Metadata!E69,18,2))&gt;=0,FALSE),IFERROR(INT(MID(Metadata!E69,18,2))&lt;=59,FALSE)), LEN(Metadata!E69)&lt;=19)))))))))))))</f>
        <v>0</v>
      </c>
      <c r="AS69" t="b">
        <f>IF(Metadata!F69="",FALSE,TRUE)</f>
        <v>0</v>
      </c>
      <c r="AT69" t="b">
        <f>OR(AND(IF(Metadata!G69="",FALSE,TRUE),OR(EXACT(Metadata!G69,"not collected"),EXACT(Metadata!G69,"not provided"))),AND(IF(Metadata!G69="",FALSE,TRUE),OR(EXACT(Metadata!G69,"TRUE"),EXACT(Metadata!G69,"FALSE"))))</f>
        <v>0</v>
      </c>
      <c r="AU69" t="b">
        <f>OR(AND(IF(Metadata!H69="",FALSE,TRUE),OR(EXACT(Metadata!H69,"not collected"),EXACT(Metadata!H69,"not provided"),EXACT(Metadata!H69,"restricted access"))),AND(IF(Metadata!H69="",FALSE,ISNUMBER(VALUE(Metadata!H69))),Metadata!H69&gt;=-413))</f>
        <v>0</v>
      </c>
      <c r="AV69" t="b">
        <f>AND(IF(Metadata!I69="",FALSE,TRUE),EXACT(Metadata!I69,"meters"))</f>
        <v>0</v>
      </c>
      <c r="AW69" t="b">
        <f>AND(IF(Metadata!J69="",FALSE,TRUE),EXACT(Metadata!J69,"free-living"))</f>
        <v>0</v>
      </c>
      <c r="AX69" t="b">
        <f>AND(IF(Metadata!K69="",FALSE,TRUE),OR(EXACT(Metadata!K69,"saline"),EXACT(Metadata!K69,"non-saline")))</f>
        <v>0</v>
      </c>
      <c r="AY69" t="b">
        <f>AND(IF(Metadata!L69="",FALSE,TRUE),OR(EXACT(Metadata!L69,"sub-surface (non-saline)"),EXACT(Metadata!L69,"surface (non-saline)"),EXACT(Metadata!L69,"water (non-saline)"),EXACT(Metadata!L69,"soil (non-saline)"),EXACT(Metadata!L69,"aerosol (non-saline)"),EXACT(Metadata!L69,"sediment (non-saline)"),EXACT(Metadata!L69,"surface (saline)"),EXACT(Metadata!L69,"water (saline)"),EXACT(Metadata!L69,"hypersaline (saline)"),EXACT(Metadata!L69,"aerosol (saline)"),EXACT(Metadata!L69,"sediment (saline)")))</f>
        <v>0</v>
      </c>
      <c r="AZ69" t="b">
        <f>IF(Metadata!M69="",FALSE,TRUE)</f>
        <v>0</v>
      </c>
      <c r="BA69" t="b">
        <f>IF(Metadata!N69="",FALSE,TRUE)</f>
        <v>0</v>
      </c>
      <c r="BB69" t="b">
        <f>IF(Metadata!O69="",FALSE,TRUE)</f>
        <v>0</v>
      </c>
      <c r="BC69" t="b">
        <f>AND(IF(Metadata!P69="",FALSE,TRUE),OR(EXACT(Metadata!P69,"air"),EXACT(Metadata!P69,"microbial mat/biofilm"),EXACT(Metadata!P69,"misc environment"),EXACT(Metadata!P69,"sediment"),EXACT(Metadata!P69,"soil"),EXACT(Metadata!P69,"wastewater/sludge"),EXACT(Metadata!P69,"water")))</f>
        <v>0</v>
      </c>
      <c r="BD69" t="b">
        <f>IF(Metadata!Q69="",FALSE,TRUE)</f>
        <v>0</v>
      </c>
      <c r="BE69" t="b">
        <f>IF(Metadata!R69="",FALSE,TRUE)</f>
        <v>0</v>
      </c>
      <c r="BF69" t="b">
        <f>OR(AND(IF(Metadata!S69="",FALSE,TRUE),OR(EXACT(Metadata!S69,"not collected"),EXACT(Metadata!S69,"not provided"),EXACT(Metadata!S69,"restricted access"))),AND(IF(Metadata!S69="",FALSE,ISNUMBER(VALUE(Metadata!S69))),Metadata!S69&gt;=-90,Metadata!S69&lt;=90))</f>
        <v>0</v>
      </c>
      <c r="BG69" t="b">
        <f>AND(IF(Metadata!T69="",FALSE,TRUE),EXACT(Metadata!T69,"Decimal degrees"))</f>
        <v>0</v>
      </c>
      <c r="BH69" t="b">
        <f>OR(AND(IF(Metadata!U69="",FALSE,TRUE),OR(EXACT(Metadata!U69,"not applicable"),EXACT(Metadata!U69,"not collected"))),IF(Metadata!U69="",FALSE,TRUE))</f>
        <v>0</v>
      </c>
      <c r="BI69" t="b">
        <f>OR(AND(IF(Metadata!V69="",FALSE,TRUE),OR(EXACT(Metadata!V69,"not collected"),EXACT(Metadata!V69,"not provided"),EXACT(Metadata!V69,"restricted access"))),AND(IF(Metadata!V69="",FALSE,ISNUMBER(VALUE(Metadata!V69))),Metadata!V69&gt;=-180,Metadata!V69&lt;=180))</f>
        <v>0</v>
      </c>
      <c r="BJ69" t="b">
        <f>AND(IF(Metadata!W69="",FALSE,TRUE),EXACT(Metadata!W69,"Decimal degrees"))</f>
        <v>0</v>
      </c>
      <c r="BK69" t="b">
        <f>IF(Metadata!X69="",FALSE,TRUE)</f>
        <v>0</v>
      </c>
      <c r="BL69" t="b">
        <f>OR(AND(IF(Metadata!Y69="",FALSE,TRUE),OR(EXACT(Metadata!Y69,"not collected"),EXACT(Metadata!Y69,"not provided"),EXACT(Metadata!Y69,"restricted access"))),AND(IF(Metadata!Y69="",FALSE,TRUE),OR(EXACT(Metadata!Y69,"TRUE"),EXACT(Metadata!Y69,"FALSE"))))</f>
        <v>0</v>
      </c>
      <c r="BM69" t="b">
        <f>OR(AND(IF(Metadata!Z69="",FALSE,TRUE),EXACT(Metadata!Z69,"not applicable")),AND(IF(Metadata!Z69="",FALSE,TRUE),OR(EXACT(Metadata!Z69,"beer"),EXACT(Metadata!Z69,"cheese"),EXACT(Metadata!Z69,"fresh water"),EXACT(Metadata!Z69,"marine sediment"),EXACT(Metadata!Z69,"sea water"),EXACT(Metadata!Z69,"sediment"),EXACT(Metadata!Z69,"soil"),EXACT(Metadata!Z69,"waste water"))))</f>
        <v>0</v>
      </c>
      <c r="BN69" t="b">
        <f>AND(IF(Metadata!AA69="",FALSE,TRUE),EXACT(Metadata!AA69,"metagenome"))</f>
        <v>0</v>
      </c>
      <c r="BO69" t="b">
        <f>AND(IF(Metadata!AB69="",FALSE,TRUE),EXACT(Metadata!AB69,"256318"))</f>
        <v>0</v>
      </c>
      <c r="BP69" t="b">
        <f>IF(Metadata!AC69="",FALSE,TRUE)</f>
        <v>0</v>
      </c>
      <c r="BQ69" t="b">
        <f>IF(Metadata!AD69="",FALSE,TRUE)</f>
        <v>0</v>
      </c>
    </row>
    <row r="70" spans="1:69" x14ac:dyDescent="0.2">
      <c r="A70" s="4" t="e">
        <f ca="1">IF(B70=" "," ",HYPERLINK(CONCATENATE("#metadata!",ADDRESS(INDEX($AJ$2:$AJ$1001,MATCH(ROWS($AH$2:AH70),$AH$2:$AH$1001,0),0),2)),INDEX($AM$2:$AM$1001,MATCH(ROWS($AH$2:AH70),$AH$2:$AH$1001,0),0)))</f>
        <v>#N/A</v>
      </c>
      <c r="B70" s="5" t="e">
        <f ca="1">IF(OR(INDEX($AI$2:$AI$1001,MATCH(ROWS($AH$2:AH70),$AH$2:$AH$1001,0),1)&gt;=100000,INDEX($AO$1005:$BQ$1005,1,MATCH(COLUMNS($AO$1006:AO1006),$AO$1006:$BQ$1006,0))&gt;=100000), " ",IF(INDEX($AO$2:$BQ$1001,MATCH(ROWS($AH$2:AH70),$AH$2:$AH$1001,0),MATCH(COLUMNS($AO$1006:AO1006),$AO$1006:$BQ$1006,0)), HYPERLINK("#",""), HYPERLINK(CONCATENATE("#Metadata!", ADDRESS(INDEX($AJ$2:$AJ$1001,MATCH(ROWS($AH$2:AH70),$AH$2:$AH$1001,0),0), INDEX($AO$1004:$BQ$1004,1,MATCH(COLUMNS($AO$1006:AO1006),$AO$1006:$BQ$1006,0)))),"Fix")))</f>
        <v>#N/A</v>
      </c>
      <c r="C70" s="5" t="e">
        <f ca="1">IF(OR(INDEX($AI$2:$AI$1001,MATCH(ROWS($AH$2:AH70),$AH$2:$AH$1001,0),1)&gt;=100000,INDEX($AO$1005:$BQ$1005,1,MATCH(COLUMNS($AO$1006:AP1006),$AO$1006:$BQ$1006,0))&gt;=100000), " ",IF(INDEX($AO$2:$BQ$1001,MATCH(ROWS($AH$2:AH70),$AH$2:$AH$1001,0),MATCH(COLUMNS($AO$1006:AP1006),$AO$1006:$BQ$1006,0)), HYPERLINK("#",""), HYPERLINK(CONCATENATE("#Metadata!", ADDRESS(INDEX($AJ$2:$AJ$1001,MATCH(ROWS($AH$2:AH70),$AH$2:$AH$1001,0),0), INDEX($AO$1004:$BQ$1004,1,MATCH(COLUMNS($AO$1006:AP1006),$AO$1006:$BQ$1006,0)))),"Fix")))</f>
        <v>#N/A</v>
      </c>
      <c r="D70" s="5" t="e">
        <f ca="1">IF(OR(INDEX($AI$2:$AI$1001,MATCH(ROWS($AH$2:AH70),$AH$2:$AH$1001,0),1)&gt;=100000,INDEX($AO$1005:$BQ$1005,1,MATCH(COLUMNS($AO$1006:AQ1006),$AO$1006:$BQ$1006,0))&gt;=100000), " ",IF(INDEX($AO$2:$BQ$1001,MATCH(ROWS($AH$2:AH70),$AH$2:$AH$1001,0),MATCH(COLUMNS($AO$1006:AQ1006),$AO$1006:$BQ$1006,0)), HYPERLINK("#",""), HYPERLINK(CONCATENATE("#Metadata!", ADDRESS(INDEX($AJ$2:$AJ$1001,MATCH(ROWS($AH$2:AH70),$AH$2:$AH$1001,0),0), INDEX($AO$1004:$BQ$1004,1,MATCH(COLUMNS($AO$1006:AQ1006),$AO$1006:$BQ$1006,0)))),"Fix")))</f>
        <v>#N/A</v>
      </c>
      <c r="E70" s="5" t="e">
        <f ca="1">IF(OR(INDEX($AI$2:$AI$1001,MATCH(ROWS($AH$2:AH70),$AH$2:$AH$1001,0),1)&gt;=100000,INDEX($AO$1005:$BQ$1005,1,MATCH(COLUMNS($AO$1006:AR1006),$AO$1006:$BQ$1006,0))&gt;=100000), " ",IF(INDEX($AO$2:$BQ$1001,MATCH(ROWS($AH$2:AH70),$AH$2:$AH$1001,0),MATCH(COLUMNS($AO$1006:AR1006),$AO$1006:$BQ$1006,0)), HYPERLINK("#",""), HYPERLINK(CONCATENATE("#Metadata!", ADDRESS(INDEX($AJ$2:$AJ$1001,MATCH(ROWS($AH$2:AH70),$AH$2:$AH$1001,0),0), INDEX($AO$1004:$BQ$1004,1,MATCH(COLUMNS($AO$1006:AR1006),$AO$1006:$BQ$1006,0)))),"Fix")))</f>
        <v>#N/A</v>
      </c>
      <c r="F70" s="5" t="e">
        <f ca="1">IF(OR(INDEX($AI$2:$AI$1001,MATCH(ROWS($AH$2:AH70),$AH$2:$AH$1001,0),1)&gt;=100000,INDEX($AO$1005:$BQ$1005,1,MATCH(COLUMNS($AO$1006:AS1006),$AO$1006:$BQ$1006,0))&gt;=100000), " ",IF(INDEX($AO$2:$BQ$1001,MATCH(ROWS($AH$2:AH70),$AH$2:$AH$1001,0),MATCH(COLUMNS($AO$1006:AS1006),$AO$1006:$BQ$1006,0)), HYPERLINK("#",""), HYPERLINK(CONCATENATE("#Metadata!", ADDRESS(INDEX($AJ$2:$AJ$1001,MATCH(ROWS($AH$2:AH70),$AH$2:$AH$1001,0),0), INDEX($AO$1004:$BQ$1004,1,MATCH(COLUMNS($AO$1006:AS1006),$AO$1006:$BQ$1006,0)))),"Fix")))</f>
        <v>#N/A</v>
      </c>
      <c r="G70" s="5" t="e">
        <f ca="1">IF(OR(INDEX($AI$2:$AI$1001,MATCH(ROWS($AH$2:AH70),$AH$2:$AH$1001,0),1)&gt;=100000,INDEX($AO$1005:$BQ$1005,1,MATCH(COLUMNS($AO$1006:AT1006),$AO$1006:$BQ$1006,0))&gt;=100000), " ",IF(INDEX($AO$2:$BQ$1001,MATCH(ROWS($AH$2:AH70),$AH$2:$AH$1001,0),MATCH(COLUMNS($AO$1006:AT1006),$AO$1006:$BQ$1006,0)), HYPERLINK("#",""), HYPERLINK(CONCATENATE("#Metadata!", ADDRESS(INDEX($AJ$2:$AJ$1001,MATCH(ROWS($AH$2:AH70),$AH$2:$AH$1001,0),0), INDEX($AO$1004:$BQ$1004,1,MATCH(COLUMNS($AO$1006:AT1006),$AO$1006:$BQ$1006,0)))),"Fix")))</f>
        <v>#N/A</v>
      </c>
      <c r="H70" s="5" t="e">
        <f ca="1">IF(OR(INDEX($AI$2:$AI$1001,MATCH(ROWS($AH$2:AH70),$AH$2:$AH$1001,0),1)&gt;=100000,INDEX($AO$1005:$BQ$1005,1,MATCH(COLUMNS($AO$1006:AU1006),$AO$1006:$BQ$1006,0))&gt;=100000), " ",IF(INDEX($AO$2:$BQ$1001,MATCH(ROWS($AH$2:AH70),$AH$2:$AH$1001,0),MATCH(COLUMNS($AO$1006:AU1006),$AO$1006:$BQ$1006,0)), HYPERLINK("#",""), HYPERLINK(CONCATENATE("#Metadata!", ADDRESS(INDEX($AJ$2:$AJ$1001,MATCH(ROWS($AH$2:AH70),$AH$2:$AH$1001,0),0), INDEX($AO$1004:$BQ$1004,1,MATCH(COLUMNS($AO$1006:AU1006),$AO$1006:$BQ$1006,0)))),"Fix")))</f>
        <v>#N/A</v>
      </c>
      <c r="I70" s="5" t="e">
        <f ca="1">IF(OR(INDEX($AI$2:$AI$1001,MATCH(ROWS($AH$2:AH70),$AH$2:$AH$1001,0),1)&gt;=100000,INDEX($AO$1005:$BQ$1005,1,MATCH(COLUMNS($AO$1006:AV1006),$AO$1006:$BQ$1006,0))&gt;=100000), " ",IF(INDEX($AO$2:$BQ$1001,MATCH(ROWS($AH$2:AH70),$AH$2:$AH$1001,0),MATCH(COLUMNS($AO$1006:AV1006),$AO$1006:$BQ$1006,0)), HYPERLINK("#",""), HYPERLINK(CONCATENATE("#Metadata!", ADDRESS(INDEX($AJ$2:$AJ$1001,MATCH(ROWS($AH$2:AH70),$AH$2:$AH$1001,0),0), INDEX($AO$1004:$BQ$1004,1,MATCH(COLUMNS($AO$1006:AV1006),$AO$1006:$BQ$1006,0)))),"Fix")))</f>
        <v>#N/A</v>
      </c>
      <c r="J70" s="5" t="e">
        <f ca="1">IF(OR(INDEX($AI$2:$AI$1001,MATCH(ROWS($AH$2:AH70),$AH$2:$AH$1001,0),1)&gt;=100000,INDEX($AO$1005:$BQ$1005,1,MATCH(COLUMNS($AO$1006:AW1006),$AO$1006:$BQ$1006,0))&gt;=100000), " ",IF(INDEX($AO$2:$BQ$1001,MATCH(ROWS($AH$2:AH70),$AH$2:$AH$1001,0),MATCH(COLUMNS($AO$1006:AW1006),$AO$1006:$BQ$1006,0)), HYPERLINK("#",""), HYPERLINK(CONCATENATE("#Metadata!", ADDRESS(INDEX($AJ$2:$AJ$1001,MATCH(ROWS($AH$2:AH70),$AH$2:$AH$1001,0),0), INDEX($AO$1004:$BQ$1004,1,MATCH(COLUMNS($AO$1006:AW1006),$AO$1006:$BQ$1006,0)))),"Fix")))</f>
        <v>#N/A</v>
      </c>
      <c r="K70" s="5" t="e">
        <f ca="1">IF(OR(INDEX($AI$2:$AI$1001,MATCH(ROWS($AH$2:AH70),$AH$2:$AH$1001,0),1)&gt;=100000,INDEX($AO$1005:$BQ$1005,1,MATCH(COLUMNS($AO$1006:AX1006),$AO$1006:$BQ$1006,0))&gt;=100000), " ",IF(INDEX($AO$2:$BQ$1001,MATCH(ROWS($AH$2:AH70),$AH$2:$AH$1001,0),MATCH(COLUMNS($AO$1006:AX1006),$AO$1006:$BQ$1006,0)), HYPERLINK("#",""), HYPERLINK(CONCATENATE("#Metadata!", ADDRESS(INDEX($AJ$2:$AJ$1001,MATCH(ROWS($AH$2:AH70),$AH$2:$AH$1001,0),0), INDEX($AO$1004:$BQ$1004,1,MATCH(COLUMNS($AO$1006:AX1006),$AO$1006:$BQ$1006,0)))),"Fix")))</f>
        <v>#N/A</v>
      </c>
      <c r="L70" s="5" t="e">
        <f ca="1">IF(OR(INDEX($AI$2:$AI$1001,MATCH(ROWS($AH$2:AH70),$AH$2:$AH$1001,0),1)&gt;=100000,INDEX($AO$1005:$BQ$1005,1,MATCH(COLUMNS($AO$1006:AY1006),$AO$1006:$BQ$1006,0))&gt;=100000), " ",IF(INDEX($AO$2:$BQ$1001,MATCH(ROWS($AH$2:AH70),$AH$2:$AH$1001,0),MATCH(COLUMNS($AO$1006:AY1006),$AO$1006:$BQ$1006,0)), HYPERLINK("#",""), HYPERLINK(CONCATENATE("#Metadata!", ADDRESS(INDEX($AJ$2:$AJ$1001,MATCH(ROWS($AH$2:AH70),$AH$2:$AH$1001,0),0), INDEX($AO$1004:$BQ$1004,1,MATCH(COLUMNS($AO$1006:AY1006),$AO$1006:$BQ$1006,0)))),"Fix")))</f>
        <v>#N/A</v>
      </c>
      <c r="M70" s="5" t="e">
        <f ca="1">IF(OR(INDEX($AI$2:$AI$1001,MATCH(ROWS($AH$2:AH70),$AH$2:$AH$1001,0),1)&gt;=100000,INDEX($AO$1005:$BQ$1005,1,MATCH(COLUMNS($AO$1006:AZ1006),$AO$1006:$BQ$1006,0))&gt;=100000), " ",IF(INDEX($AO$2:$BQ$1001,MATCH(ROWS($AH$2:AH70),$AH$2:$AH$1001,0),MATCH(COLUMNS($AO$1006:AZ1006),$AO$1006:$BQ$1006,0)), HYPERLINK("#",""), HYPERLINK(CONCATENATE("#Metadata!", ADDRESS(INDEX($AJ$2:$AJ$1001,MATCH(ROWS($AH$2:AH70),$AH$2:$AH$1001,0),0), INDEX($AO$1004:$BQ$1004,1,MATCH(COLUMNS($AO$1006:AZ1006),$AO$1006:$BQ$1006,0)))),"Fix")))</f>
        <v>#N/A</v>
      </c>
      <c r="N70" s="5" t="e">
        <f ca="1">IF(OR(INDEX($AI$2:$AI$1001,MATCH(ROWS($AH$2:AH70),$AH$2:$AH$1001,0),1)&gt;=100000,INDEX($AO$1005:$BQ$1005,1,MATCH(COLUMNS($AO$1006:BA1006),$AO$1006:$BQ$1006,0))&gt;=100000), " ",IF(INDEX($AO$2:$BQ$1001,MATCH(ROWS($AH$2:AH70),$AH$2:$AH$1001,0),MATCH(COLUMNS($AO$1006:BA1006),$AO$1006:$BQ$1006,0)), HYPERLINK("#",""), HYPERLINK(CONCATENATE("#Metadata!", ADDRESS(INDEX($AJ$2:$AJ$1001,MATCH(ROWS($AH$2:AH70),$AH$2:$AH$1001,0),0), INDEX($AO$1004:$BQ$1004,1,MATCH(COLUMNS($AO$1006:BA1006),$AO$1006:$BQ$1006,0)))),"Fix")))</f>
        <v>#N/A</v>
      </c>
      <c r="O70" s="5" t="e">
        <f ca="1">IF(OR(INDEX($AI$2:$AI$1001,MATCH(ROWS($AH$2:AH70),$AH$2:$AH$1001,0),1)&gt;=100000,INDEX($AO$1005:$BQ$1005,1,MATCH(COLUMNS($AO$1006:BB1006),$AO$1006:$BQ$1006,0))&gt;=100000), " ",IF(INDEX($AO$2:$BQ$1001,MATCH(ROWS($AH$2:AH70),$AH$2:$AH$1001,0),MATCH(COLUMNS($AO$1006:BB1006),$AO$1006:$BQ$1006,0)), HYPERLINK("#",""), HYPERLINK(CONCATENATE("#Metadata!", ADDRESS(INDEX($AJ$2:$AJ$1001,MATCH(ROWS($AH$2:AH70),$AH$2:$AH$1001,0),0), INDEX($AO$1004:$BQ$1004,1,MATCH(COLUMNS($AO$1006:BB1006),$AO$1006:$BQ$1006,0)))),"Fix")))</f>
        <v>#N/A</v>
      </c>
      <c r="P70" s="5" t="e">
        <f ca="1">IF(OR(INDEX($AI$2:$AI$1001,MATCH(ROWS($AH$2:AH70),$AH$2:$AH$1001,0),1)&gt;=100000,INDEX($AO$1005:$BQ$1005,1,MATCH(COLUMNS($AO$1006:BC1006),$AO$1006:$BQ$1006,0))&gt;=100000), " ",IF(INDEX($AO$2:$BQ$1001,MATCH(ROWS($AH$2:AH70),$AH$2:$AH$1001,0),MATCH(COLUMNS($AO$1006:BC1006),$AO$1006:$BQ$1006,0)), HYPERLINK("#",""), HYPERLINK(CONCATENATE("#Metadata!", ADDRESS(INDEX($AJ$2:$AJ$1001,MATCH(ROWS($AH$2:AH70),$AH$2:$AH$1001,0),0), INDEX($AO$1004:$BQ$1004,1,MATCH(COLUMNS($AO$1006:BC1006),$AO$1006:$BQ$1006,0)))),"Fix")))</f>
        <v>#N/A</v>
      </c>
      <c r="Q70" s="5" t="e">
        <f ca="1">IF(OR(INDEX($AI$2:$AI$1001,MATCH(ROWS($AH$2:AH70),$AH$2:$AH$1001,0),1)&gt;=100000,INDEX($AO$1005:$BQ$1005,1,MATCH(COLUMNS($AO$1006:BD1006),$AO$1006:$BQ$1006,0))&gt;=100000), " ",IF(INDEX($AO$2:$BQ$1001,MATCH(ROWS($AH$2:AH70),$AH$2:$AH$1001,0),MATCH(COLUMNS($AO$1006:BD1006),$AO$1006:$BQ$1006,0)), HYPERLINK("#",""), HYPERLINK(CONCATENATE("#Metadata!", ADDRESS(INDEX($AJ$2:$AJ$1001,MATCH(ROWS($AH$2:AH70),$AH$2:$AH$1001,0),0), INDEX($AO$1004:$BQ$1004,1,MATCH(COLUMNS($AO$1006:BD1006),$AO$1006:$BQ$1006,0)))),"Fix")))</f>
        <v>#N/A</v>
      </c>
      <c r="R70" s="5" t="e">
        <f ca="1">IF(OR(INDEX($AI$2:$AI$1001,MATCH(ROWS($AH$2:AH70),$AH$2:$AH$1001,0),1)&gt;=100000,INDEX($AO$1005:$BQ$1005,1,MATCH(COLUMNS($AO$1006:BE1006),$AO$1006:$BQ$1006,0))&gt;=100000), " ",IF(INDEX($AO$2:$BQ$1001,MATCH(ROWS($AH$2:AH70),$AH$2:$AH$1001,0),MATCH(COLUMNS($AO$1006:BE1006),$AO$1006:$BQ$1006,0)), HYPERLINK("#",""), HYPERLINK(CONCATENATE("#Metadata!", ADDRESS(INDEX($AJ$2:$AJ$1001,MATCH(ROWS($AH$2:AH70),$AH$2:$AH$1001,0),0), INDEX($AO$1004:$BQ$1004,1,MATCH(COLUMNS($AO$1006:BE1006),$AO$1006:$BQ$1006,0)))),"Fix")))</f>
        <v>#N/A</v>
      </c>
      <c r="S70" s="5" t="e">
        <f ca="1">IF(OR(INDEX($AI$2:$AI$1001,MATCH(ROWS($AH$2:AH70),$AH$2:$AH$1001,0),1)&gt;=100000,INDEX($AO$1005:$BQ$1005,1,MATCH(COLUMNS($AO$1006:BF1006),$AO$1006:$BQ$1006,0))&gt;=100000), " ",IF(INDEX($AO$2:$BQ$1001,MATCH(ROWS($AH$2:AH70),$AH$2:$AH$1001,0),MATCH(COLUMNS($AO$1006:BF1006),$AO$1006:$BQ$1006,0)), HYPERLINK("#",""), HYPERLINK(CONCATENATE("#Metadata!", ADDRESS(INDEX($AJ$2:$AJ$1001,MATCH(ROWS($AH$2:AH70),$AH$2:$AH$1001,0),0), INDEX($AO$1004:$BQ$1004,1,MATCH(COLUMNS($AO$1006:BF1006),$AO$1006:$BQ$1006,0)))),"Fix")))</f>
        <v>#N/A</v>
      </c>
      <c r="T70" s="5" t="e">
        <f ca="1">IF(OR(INDEX($AI$2:$AI$1001,MATCH(ROWS($AH$2:AH70),$AH$2:$AH$1001,0),1)&gt;=100000,INDEX($AO$1005:$BQ$1005,1,MATCH(COLUMNS($AO$1006:BG1006),$AO$1006:$BQ$1006,0))&gt;=100000), " ",IF(INDEX($AO$2:$BQ$1001,MATCH(ROWS($AH$2:AH70),$AH$2:$AH$1001,0),MATCH(COLUMNS($AO$1006:BG1006),$AO$1006:$BQ$1006,0)), HYPERLINK("#",""), HYPERLINK(CONCATENATE("#Metadata!", ADDRESS(INDEX($AJ$2:$AJ$1001,MATCH(ROWS($AH$2:AH70),$AH$2:$AH$1001,0),0), INDEX($AO$1004:$BQ$1004,1,MATCH(COLUMNS($AO$1006:BG1006),$AO$1006:$BQ$1006,0)))),"Fix")))</f>
        <v>#N/A</v>
      </c>
      <c r="U70" s="5" t="e">
        <f ca="1">IF(OR(INDEX($AI$2:$AI$1001,MATCH(ROWS($AH$2:AH70),$AH$2:$AH$1001,0),1)&gt;=100000,INDEX($AO$1005:$BQ$1005,1,MATCH(COLUMNS($AO$1006:BH1006),$AO$1006:$BQ$1006,0))&gt;=100000), " ",IF(INDEX($AO$2:$BQ$1001,MATCH(ROWS($AH$2:AH70),$AH$2:$AH$1001,0),MATCH(COLUMNS($AO$1006:BH1006),$AO$1006:$BQ$1006,0)), HYPERLINK("#",""), HYPERLINK(CONCATENATE("#Metadata!", ADDRESS(INDEX($AJ$2:$AJ$1001,MATCH(ROWS($AH$2:AH70),$AH$2:$AH$1001,0),0), INDEX($AO$1004:$BQ$1004,1,MATCH(COLUMNS($AO$1006:BH1006),$AO$1006:$BQ$1006,0)))),"Fix")))</f>
        <v>#N/A</v>
      </c>
      <c r="V70" s="5" t="e">
        <f ca="1">IF(OR(INDEX($AI$2:$AI$1001,MATCH(ROWS($AH$2:AH70),$AH$2:$AH$1001,0),1)&gt;=100000,INDEX($AO$1005:$BQ$1005,1,MATCH(COLUMNS($AO$1006:BI1006),$AO$1006:$BQ$1006,0))&gt;=100000), " ",IF(INDEX($AO$2:$BQ$1001,MATCH(ROWS($AH$2:AH70),$AH$2:$AH$1001,0),MATCH(COLUMNS($AO$1006:BI1006),$AO$1006:$BQ$1006,0)), HYPERLINK("#",""), HYPERLINK(CONCATENATE("#Metadata!", ADDRESS(INDEX($AJ$2:$AJ$1001,MATCH(ROWS($AH$2:AH70),$AH$2:$AH$1001,0),0), INDEX($AO$1004:$BQ$1004,1,MATCH(COLUMNS($AO$1006:BI1006),$AO$1006:$BQ$1006,0)))),"Fix")))</f>
        <v>#N/A</v>
      </c>
      <c r="W70" s="5" t="e">
        <f ca="1">IF(OR(INDEX($AI$2:$AI$1001,MATCH(ROWS($AH$2:AH70),$AH$2:$AH$1001,0),1)&gt;=100000,INDEX($AO$1005:$BQ$1005,1,MATCH(COLUMNS($AO$1006:BJ1006),$AO$1006:$BQ$1006,0))&gt;=100000), " ",IF(INDEX($AO$2:$BQ$1001,MATCH(ROWS($AH$2:AH70),$AH$2:$AH$1001,0),MATCH(COLUMNS($AO$1006:BJ1006),$AO$1006:$BQ$1006,0)), HYPERLINK("#",""), HYPERLINK(CONCATENATE("#Metadata!", ADDRESS(INDEX($AJ$2:$AJ$1001,MATCH(ROWS($AH$2:AH70),$AH$2:$AH$1001,0),0), INDEX($AO$1004:$BQ$1004,1,MATCH(COLUMNS($AO$1006:BJ1006),$AO$1006:$BQ$1006,0)))),"Fix")))</f>
        <v>#N/A</v>
      </c>
      <c r="X70" s="5" t="e">
        <f ca="1">IF(OR(INDEX($AI$2:$AI$1001,MATCH(ROWS($AH$2:AH70),$AH$2:$AH$1001,0),1)&gt;=100000,INDEX($AO$1005:$BQ$1005,1,MATCH(COLUMNS($AO$1006:BK1006),$AO$1006:$BQ$1006,0))&gt;=100000), " ",IF(INDEX($AO$2:$BQ$1001,MATCH(ROWS($AH$2:AH70),$AH$2:$AH$1001,0),MATCH(COLUMNS($AO$1006:BK1006),$AO$1006:$BQ$1006,0)), HYPERLINK("#",""), HYPERLINK(CONCATENATE("#Metadata!", ADDRESS(INDEX($AJ$2:$AJ$1001,MATCH(ROWS($AH$2:AH70),$AH$2:$AH$1001,0),0), INDEX($AO$1004:$BQ$1004,1,MATCH(COLUMNS($AO$1006:BK1006),$AO$1006:$BQ$1006,0)))),"Fix")))</f>
        <v>#N/A</v>
      </c>
      <c r="Y70" s="5" t="e">
        <f ca="1">IF(OR(INDEX($AI$2:$AI$1001,MATCH(ROWS($AH$2:AH70),$AH$2:$AH$1001,0),1)&gt;=100000,INDEX($AO$1005:$BQ$1005,1,MATCH(COLUMNS($AO$1006:BL1006),$AO$1006:$BQ$1006,0))&gt;=100000), " ",IF(INDEX($AO$2:$BQ$1001,MATCH(ROWS($AH$2:AH70),$AH$2:$AH$1001,0),MATCH(COLUMNS($AO$1006:BL1006),$AO$1006:$BQ$1006,0)), HYPERLINK("#",""), HYPERLINK(CONCATENATE("#Metadata!", ADDRESS(INDEX($AJ$2:$AJ$1001,MATCH(ROWS($AH$2:AH70),$AH$2:$AH$1001,0),0), INDEX($AO$1004:$BQ$1004,1,MATCH(COLUMNS($AO$1006:BL1006),$AO$1006:$BQ$1006,0)))),"Fix")))</f>
        <v>#N/A</v>
      </c>
      <c r="Z70" s="5" t="e">
        <f ca="1">IF(OR(INDEX($AI$2:$AI$1001,MATCH(ROWS($AH$2:AH70),$AH$2:$AH$1001,0),1)&gt;=100000,INDEX($AO$1005:$BQ$1005,1,MATCH(COLUMNS($AO$1006:BM1006),$AO$1006:$BQ$1006,0))&gt;=100000), " ",IF(INDEX($AO$2:$BQ$1001,MATCH(ROWS($AH$2:AH70),$AH$2:$AH$1001,0),MATCH(COLUMNS($AO$1006:BM1006),$AO$1006:$BQ$1006,0)), HYPERLINK("#",""), HYPERLINK(CONCATENATE("#Metadata!", ADDRESS(INDEX($AJ$2:$AJ$1001,MATCH(ROWS($AH$2:AH70),$AH$2:$AH$1001,0),0), INDEX($AO$1004:$BQ$1004,1,MATCH(COLUMNS($AO$1006:BM1006),$AO$1006:$BQ$1006,0)))),"Fix")))</f>
        <v>#N/A</v>
      </c>
      <c r="AA70" s="5" t="e">
        <f ca="1">IF(OR(INDEX($AI$2:$AI$1001,MATCH(ROWS($AH$2:AH70),$AH$2:$AH$1001,0),1)&gt;=100000,INDEX($AO$1005:$BQ$1005,1,MATCH(COLUMNS($AO$1006:BN1006),$AO$1006:$BQ$1006,0))&gt;=100000), " ",IF(INDEX($AO$2:$BQ$1001,MATCH(ROWS($AH$2:AH70),$AH$2:$AH$1001,0),MATCH(COLUMNS($AO$1006:BN1006),$AO$1006:$BQ$1006,0)), HYPERLINK("#",""), HYPERLINK(CONCATENATE("#Metadata!", ADDRESS(INDEX($AJ$2:$AJ$1001,MATCH(ROWS($AH$2:AH70),$AH$2:$AH$1001,0),0), INDEX($AO$1004:$BQ$1004,1,MATCH(COLUMNS($AO$1006:BN1006),$AO$1006:$BQ$1006,0)))),"Fix")))</f>
        <v>#N/A</v>
      </c>
      <c r="AB70" s="5" t="e">
        <f ca="1">IF(OR(INDEX($AI$2:$AI$1001,MATCH(ROWS($AH$2:AH70),$AH$2:$AH$1001,0),1)&gt;=100000,INDEX($AO$1005:$BQ$1005,1,MATCH(COLUMNS($AO$1006:BO1006),$AO$1006:$BQ$1006,0))&gt;=100000), " ",IF(INDEX($AO$2:$BQ$1001,MATCH(ROWS($AH$2:AH70),$AH$2:$AH$1001,0),MATCH(COLUMNS($AO$1006:BO1006),$AO$1006:$BQ$1006,0)), HYPERLINK("#",""), HYPERLINK(CONCATENATE("#Metadata!", ADDRESS(INDEX($AJ$2:$AJ$1001,MATCH(ROWS($AH$2:AH70),$AH$2:$AH$1001,0),0), INDEX($AO$1004:$BQ$1004,1,MATCH(COLUMNS($AO$1006:BO1006),$AO$1006:$BQ$1006,0)))),"Fix")))</f>
        <v>#N/A</v>
      </c>
      <c r="AC70" s="5" t="e">
        <f ca="1">IF(OR(INDEX($AI$2:$AI$1001,MATCH(ROWS($AH$2:AH70),$AH$2:$AH$1001,0),1)&gt;=100000,INDEX($AO$1005:$BQ$1005,1,MATCH(COLUMNS($AO$1006:BP1006),$AO$1006:$BQ$1006,0))&gt;=100000), " ",IF(INDEX($AO$2:$BQ$1001,MATCH(ROWS($AH$2:AH70),$AH$2:$AH$1001,0),MATCH(COLUMNS($AO$1006:BP1006),$AO$1006:$BQ$1006,0)), HYPERLINK("#",""), HYPERLINK(CONCATENATE("#Metadata!", ADDRESS(INDEX($AJ$2:$AJ$1001,MATCH(ROWS($AH$2:AH70),$AH$2:$AH$1001,0),0), INDEX($AO$1004:$BQ$1004,1,MATCH(COLUMNS($AO$1006:BP1006),$AO$1006:$BQ$1006,0)))),"Fix")))</f>
        <v>#N/A</v>
      </c>
      <c r="AD70" s="5" t="e">
        <f ca="1">IF(OR(INDEX($AI$2:$AI$1001,MATCH(ROWS($AH$2:AH70),$AH$2:$AH$1001,0),1)&gt;=100000,INDEX($AO$1005:$BQ$1005,1,MATCH(COLUMNS($AO$1006:BQ1006),$AO$1006:$BQ$1006,0))&gt;=100000), " ",IF(INDEX($AO$2:$BQ$1001,MATCH(ROWS($AH$2:AH70),$AH$2:$AH$1001,0),MATCH(COLUMNS($AO$1006:BQ1006),$AO$1006:$BQ$1006,0)), HYPERLINK("#",""), HYPERLINK(CONCATENATE("#Metadata!", ADDRESS(INDEX($AJ$2:$AJ$1001,MATCH(ROWS($AH$2:AH70),$AH$2:$AH$1001,0),0), INDEX($AO$1004:$BQ$1004,1,MATCH(COLUMNS($AO$1006:BQ1006),$AO$1006:$BQ$1006,0)))),"Fix")))</f>
        <v>#REF!</v>
      </c>
      <c r="AH70">
        <f ca="1"/>
        <v>67</v>
      </c>
      <c r="AI70">
        <v>100070</v>
      </c>
      <c r="AJ70">
        <v>70</v>
      </c>
      <c r="AK70" t="b">
        <f t="shared" si="1"/>
        <v>1</v>
      </c>
      <c r="AL70" t="b">
        <f>COUNTBLANK(Metadata!B70:AD70)=COLUMNS(Metadata!B70:AD70)</f>
        <v>1</v>
      </c>
      <c r="AM70" t="str">
        <v/>
      </c>
      <c r="AO70" t="b">
        <f ca="1">AND(IF(Metadata!B70="",FALSE,TRUE),COUNTIF(Metadata!B:B, Metadata!B70) = 1,NOT(ISERROR(SUMPRODUCT(SEARCH(MID(Metadata!B70,ROW(INDIRECT("1:"&amp;LEN(Metadata!B70))), 1),"0123456789abcdefghijklmnopqrstuvwxyzABCDEFGHIJKLMNOPQRSTUVWXYZ.")))))</f>
        <v>0</v>
      </c>
      <c r="AP70" t="b">
        <f>IF(Metadata!C70="",FALSE,TRUE)</f>
        <v>0</v>
      </c>
      <c r="AQ70" t="b">
        <f>IF(Metadata!D70="",FALSE,TRUE)</f>
        <v>0</v>
      </c>
      <c r="AR70" t="b">
        <f ca="1">OR(AND(IF(Metadata!E70="",FALSE,TRUE),OR(EXACT(Metadata!E70,"not collected"),EXACT(Metadata!E70,"not provided"),EXACT(Metadata!E70,"restricted access"))),AND(IF(Metadata!E70="",FALSE,TRUE),AND(AND(IFERROR(INT(LEFT(Metadata!E70,4))&gt;1900,FALSE),IFERROR(INT(LEFT(Metadata!E70,4))&lt;=YEAR(NOW()),FALSE)), OR(MID(Metadata!E70,5,1)="", AND(AND(MID(Metadata!E70,5,1)="-",IFERROR(INT(MID(Metadata!E70,6,1))&gt;=0,FALSE),IFERROR(INT(MID(Metadata!E70,6,1))&lt;=1,FALSE),NOT(MID(Metadata!E70,7,1)=""),IFERROR(INT(MID(Metadata!E70,6,2))&gt;=1,FALSE),IFERROR(INT(MID(Metadata!E70,6,2))&lt;=12,FALSE)), OR(MID(Metadata!E70,8,1)="", AND(AND(MID(Metadata!E70,8,1)="-",IFERROR(INT(MID(Metadata!E70,9,1))&gt;=0,FALSE),IFERROR(INT(MID(Metadata!E70,9,1))&lt;=3,FALSE),NOT(MID(Metadata!E70,10,1)=""),IFERROR(INT(MID(Metadata!E70,9,2))&gt;=1,FALSE),IFERROR(INT(MID(Metadata!E70,9,2))&lt;=31,FALSE)), OR(MID(Metadata!E70,11,1)="", AND(AND(MID(Metadata!E70,11,1)=" ",IFERROR(INT(MID(Metadata!E70,12,1))&gt;=0,FALSE),IFERROR(INT(MID(Metadata!E70,12,1))&lt;=2,FALSE),NOT(MID(Metadata!E70,13,1)=""),IFERROR(INT(MID(Metadata!E70,12,2))&gt;=0,FALSE),IFERROR(INT(MID(Metadata!E70,12,2))&lt;=23,FALSE)), OR(MID(Metadata!E70,14,1)="", AND(AND(MID(Metadata!E70,14,1)=":",IFERROR(INT(MID(Metadata!E70,15,1))&gt;=0,FALSE),IFERROR(INT(MID(Metadata!E70,15,1))&lt;=5,FALSE),NOT(MID(Metadata!E70,16,1)=""),IFERROR(INT(MID(Metadata!E70,15,2))&gt;=0,FALSE),IFERROR(INT(MID(Metadata!E70,15,2))&lt;=59,FALSE)), OR(MID(Metadata!E70,17,1)="", AND(AND(MID(Metadata!E70,17,1)=":",IFERROR(INT(MID(Metadata!E70,18,1))&gt;=0,FALSE),IFERROR(INT(MID(Metadata!E70,18,1))&lt;=5,FALSE),NOT(MID(Metadata!E70,19,1)=""),IFERROR(INT(MID(Metadata!E70,18,2))&gt;=0,FALSE),IFERROR(INT(MID(Metadata!E70,18,2))&lt;=59,FALSE)), LEN(Metadata!E70)&lt;=19)))))))))))))</f>
        <v>0</v>
      </c>
      <c r="AS70" t="b">
        <f>IF(Metadata!F70="",FALSE,TRUE)</f>
        <v>0</v>
      </c>
      <c r="AT70" t="b">
        <f>OR(AND(IF(Metadata!G70="",FALSE,TRUE),OR(EXACT(Metadata!G70,"not collected"),EXACT(Metadata!G70,"not provided"))),AND(IF(Metadata!G70="",FALSE,TRUE),OR(EXACT(Metadata!G70,"TRUE"),EXACT(Metadata!G70,"FALSE"))))</f>
        <v>0</v>
      </c>
      <c r="AU70" t="b">
        <f>OR(AND(IF(Metadata!H70="",FALSE,TRUE),OR(EXACT(Metadata!H70,"not collected"),EXACT(Metadata!H70,"not provided"),EXACT(Metadata!H70,"restricted access"))),AND(IF(Metadata!H70="",FALSE,ISNUMBER(VALUE(Metadata!H70))),Metadata!H70&gt;=-413))</f>
        <v>0</v>
      </c>
      <c r="AV70" t="b">
        <f>AND(IF(Metadata!I70="",FALSE,TRUE),EXACT(Metadata!I70,"meters"))</f>
        <v>0</v>
      </c>
      <c r="AW70" t="b">
        <f>AND(IF(Metadata!J70="",FALSE,TRUE),EXACT(Metadata!J70,"free-living"))</f>
        <v>0</v>
      </c>
      <c r="AX70" t="b">
        <f>AND(IF(Metadata!K70="",FALSE,TRUE),OR(EXACT(Metadata!K70,"saline"),EXACT(Metadata!K70,"non-saline")))</f>
        <v>0</v>
      </c>
      <c r="AY70" t="b">
        <f>AND(IF(Metadata!L70="",FALSE,TRUE),OR(EXACT(Metadata!L70,"sub-surface (non-saline)"),EXACT(Metadata!L70,"surface (non-saline)"),EXACT(Metadata!L70,"water (non-saline)"),EXACT(Metadata!L70,"soil (non-saline)"),EXACT(Metadata!L70,"aerosol (non-saline)"),EXACT(Metadata!L70,"sediment (non-saline)"),EXACT(Metadata!L70,"surface (saline)"),EXACT(Metadata!L70,"water (saline)"),EXACT(Metadata!L70,"hypersaline (saline)"),EXACT(Metadata!L70,"aerosol (saline)"),EXACT(Metadata!L70,"sediment (saline)")))</f>
        <v>0</v>
      </c>
      <c r="AZ70" t="b">
        <f>IF(Metadata!M70="",FALSE,TRUE)</f>
        <v>0</v>
      </c>
      <c r="BA70" t="b">
        <f>IF(Metadata!N70="",FALSE,TRUE)</f>
        <v>0</v>
      </c>
      <c r="BB70" t="b">
        <f>IF(Metadata!O70="",FALSE,TRUE)</f>
        <v>0</v>
      </c>
      <c r="BC70" t="b">
        <f>AND(IF(Metadata!P70="",FALSE,TRUE),OR(EXACT(Metadata!P70,"air"),EXACT(Metadata!P70,"microbial mat/biofilm"),EXACT(Metadata!P70,"misc environment"),EXACT(Metadata!P70,"sediment"),EXACT(Metadata!P70,"soil"),EXACT(Metadata!P70,"wastewater/sludge"),EXACT(Metadata!P70,"water")))</f>
        <v>0</v>
      </c>
      <c r="BD70" t="b">
        <f>IF(Metadata!Q70="",FALSE,TRUE)</f>
        <v>0</v>
      </c>
      <c r="BE70" t="b">
        <f>IF(Metadata!R70="",FALSE,TRUE)</f>
        <v>0</v>
      </c>
      <c r="BF70" t="b">
        <f>OR(AND(IF(Metadata!S70="",FALSE,TRUE),OR(EXACT(Metadata!S70,"not collected"),EXACT(Metadata!S70,"not provided"),EXACT(Metadata!S70,"restricted access"))),AND(IF(Metadata!S70="",FALSE,ISNUMBER(VALUE(Metadata!S70))),Metadata!S70&gt;=-90,Metadata!S70&lt;=90))</f>
        <v>0</v>
      </c>
      <c r="BG70" t="b">
        <f>AND(IF(Metadata!T70="",FALSE,TRUE),EXACT(Metadata!T70,"Decimal degrees"))</f>
        <v>0</v>
      </c>
      <c r="BH70" t="b">
        <f>OR(AND(IF(Metadata!U70="",FALSE,TRUE),OR(EXACT(Metadata!U70,"not applicable"),EXACT(Metadata!U70,"not collected"))),IF(Metadata!U70="",FALSE,TRUE))</f>
        <v>0</v>
      </c>
      <c r="BI70" t="b">
        <f>OR(AND(IF(Metadata!V70="",FALSE,TRUE),OR(EXACT(Metadata!V70,"not collected"),EXACT(Metadata!V70,"not provided"),EXACT(Metadata!V70,"restricted access"))),AND(IF(Metadata!V70="",FALSE,ISNUMBER(VALUE(Metadata!V70))),Metadata!V70&gt;=-180,Metadata!V70&lt;=180))</f>
        <v>0</v>
      </c>
      <c r="BJ70" t="b">
        <f>AND(IF(Metadata!W70="",FALSE,TRUE),EXACT(Metadata!W70,"Decimal degrees"))</f>
        <v>0</v>
      </c>
      <c r="BK70" t="b">
        <f>IF(Metadata!X70="",FALSE,TRUE)</f>
        <v>0</v>
      </c>
      <c r="BL70" t="b">
        <f>OR(AND(IF(Metadata!Y70="",FALSE,TRUE),OR(EXACT(Metadata!Y70,"not collected"),EXACT(Metadata!Y70,"not provided"),EXACT(Metadata!Y70,"restricted access"))),AND(IF(Metadata!Y70="",FALSE,TRUE),OR(EXACT(Metadata!Y70,"TRUE"),EXACT(Metadata!Y70,"FALSE"))))</f>
        <v>0</v>
      </c>
      <c r="BM70" t="b">
        <f>OR(AND(IF(Metadata!Z70="",FALSE,TRUE),EXACT(Metadata!Z70,"not applicable")),AND(IF(Metadata!Z70="",FALSE,TRUE),OR(EXACT(Metadata!Z70,"beer"),EXACT(Metadata!Z70,"cheese"),EXACT(Metadata!Z70,"fresh water"),EXACT(Metadata!Z70,"marine sediment"),EXACT(Metadata!Z70,"sea water"),EXACT(Metadata!Z70,"sediment"),EXACT(Metadata!Z70,"soil"),EXACT(Metadata!Z70,"waste water"))))</f>
        <v>0</v>
      </c>
      <c r="BN70" t="b">
        <f>AND(IF(Metadata!AA70="",FALSE,TRUE),EXACT(Metadata!AA70,"metagenome"))</f>
        <v>0</v>
      </c>
      <c r="BO70" t="b">
        <f>AND(IF(Metadata!AB70="",FALSE,TRUE),EXACT(Metadata!AB70,"256318"))</f>
        <v>0</v>
      </c>
      <c r="BP70" t="b">
        <f>IF(Metadata!AC70="",FALSE,TRUE)</f>
        <v>0</v>
      </c>
      <c r="BQ70" t="b">
        <f>IF(Metadata!AD70="",FALSE,TRUE)</f>
        <v>0</v>
      </c>
    </row>
    <row r="71" spans="1:69" x14ac:dyDescent="0.2">
      <c r="A71" s="4" t="e">
        <f ca="1">IF(B71=" "," ",HYPERLINK(CONCATENATE("#metadata!",ADDRESS(INDEX($AJ$2:$AJ$1001,MATCH(ROWS($AH$2:AH71),$AH$2:$AH$1001,0),0),2)),INDEX($AM$2:$AM$1001,MATCH(ROWS($AH$2:AH71),$AH$2:$AH$1001,0),0)))</f>
        <v>#N/A</v>
      </c>
      <c r="B71" s="5" t="e">
        <f ca="1">IF(OR(INDEX($AI$2:$AI$1001,MATCH(ROWS($AH$2:AH71),$AH$2:$AH$1001,0),1)&gt;=100000,INDEX($AO$1005:$BQ$1005,1,MATCH(COLUMNS($AO$1006:AO1006),$AO$1006:$BQ$1006,0))&gt;=100000), " ",IF(INDEX($AO$2:$BQ$1001,MATCH(ROWS($AH$2:AH71),$AH$2:$AH$1001,0),MATCH(COLUMNS($AO$1006:AO1006),$AO$1006:$BQ$1006,0)), HYPERLINK("#",""), HYPERLINK(CONCATENATE("#Metadata!", ADDRESS(INDEX($AJ$2:$AJ$1001,MATCH(ROWS($AH$2:AH71),$AH$2:$AH$1001,0),0), INDEX($AO$1004:$BQ$1004,1,MATCH(COLUMNS($AO$1006:AO1006),$AO$1006:$BQ$1006,0)))),"Fix")))</f>
        <v>#N/A</v>
      </c>
      <c r="C71" s="5" t="e">
        <f ca="1">IF(OR(INDEX($AI$2:$AI$1001,MATCH(ROWS($AH$2:AH71),$AH$2:$AH$1001,0),1)&gt;=100000,INDEX($AO$1005:$BQ$1005,1,MATCH(COLUMNS($AO$1006:AP1006),$AO$1006:$BQ$1006,0))&gt;=100000), " ",IF(INDEX($AO$2:$BQ$1001,MATCH(ROWS($AH$2:AH71),$AH$2:$AH$1001,0),MATCH(COLUMNS($AO$1006:AP1006),$AO$1006:$BQ$1006,0)), HYPERLINK("#",""), HYPERLINK(CONCATENATE("#Metadata!", ADDRESS(INDEX($AJ$2:$AJ$1001,MATCH(ROWS($AH$2:AH71),$AH$2:$AH$1001,0),0), INDEX($AO$1004:$BQ$1004,1,MATCH(COLUMNS($AO$1006:AP1006),$AO$1006:$BQ$1006,0)))),"Fix")))</f>
        <v>#N/A</v>
      </c>
      <c r="D71" s="5" t="e">
        <f ca="1">IF(OR(INDEX($AI$2:$AI$1001,MATCH(ROWS($AH$2:AH71),$AH$2:$AH$1001,0),1)&gt;=100000,INDEX($AO$1005:$BQ$1005,1,MATCH(COLUMNS($AO$1006:AQ1006),$AO$1006:$BQ$1006,0))&gt;=100000), " ",IF(INDEX($AO$2:$BQ$1001,MATCH(ROWS($AH$2:AH71),$AH$2:$AH$1001,0),MATCH(COLUMNS($AO$1006:AQ1006),$AO$1006:$BQ$1006,0)), HYPERLINK("#",""), HYPERLINK(CONCATENATE("#Metadata!", ADDRESS(INDEX($AJ$2:$AJ$1001,MATCH(ROWS($AH$2:AH71),$AH$2:$AH$1001,0),0), INDEX($AO$1004:$BQ$1004,1,MATCH(COLUMNS($AO$1006:AQ1006),$AO$1006:$BQ$1006,0)))),"Fix")))</f>
        <v>#N/A</v>
      </c>
      <c r="E71" s="5" t="e">
        <f ca="1">IF(OR(INDEX($AI$2:$AI$1001,MATCH(ROWS($AH$2:AH71),$AH$2:$AH$1001,0),1)&gt;=100000,INDEX($AO$1005:$BQ$1005,1,MATCH(COLUMNS($AO$1006:AR1006),$AO$1006:$BQ$1006,0))&gt;=100000), " ",IF(INDEX($AO$2:$BQ$1001,MATCH(ROWS($AH$2:AH71),$AH$2:$AH$1001,0),MATCH(COLUMNS($AO$1006:AR1006),$AO$1006:$BQ$1006,0)), HYPERLINK("#",""), HYPERLINK(CONCATENATE("#Metadata!", ADDRESS(INDEX($AJ$2:$AJ$1001,MATCH(ROWS($AH$2:AH71),$AH$2:$AH$1001,0),0), INDEX($AO$1004:$BQ$1004,1,MATCH(COLUMNS($AO$1006:AR1006),$AO$1006:$BQ$1006,0)))),"Fix")))</f>
        <v>#N/A</v>
      </c>
      <c r="F71" s="5" t="e">
        <f ca="1">IF(OR(INDEX($AI$2:$AI$1001,MATCH(ROWS($AH$2:AH71),$AH$2:$AH$1001,0),1)&gt;=100000,INDEX($AO$1005:$BQ$1005,1,MATCH(COLUMNS($AO$1006:AS1006),$AO$1006:$BQ$1006,0))&gt;=100000), " ",IF(INDEX($AO$2:$BQ$1001,MATCH(ROWS($AH$2:AH71),$AH$2:$AH$1001,0),MATCH(COLUMNS($AO$1006:AS1006),$AO$1006:$BQ$1006,0)), HYPERLINK("#",""), HYPERLINK(CONCATENATE("#Metadata!", ADDRESS(INDEX($AJ$2:$AJ$1001,MATCH(ROWS($AH$2:AH71),$AH$2:$AH$1001,0),0), INDEX($AO$1004:$BQ$1004,1,MATCH(COLUMNS($AO$1006:AS1006),$AO$1006:$BQ$1006,0)))),"Fix")))</f>
        <v>#N/A</v>
      </c>
      <c r="G71" s="5" t="e">
        <f ca="1">IF(OR(INDEX($AI$2:$AI$1001,MATCH(ROWS($AH$2:AH71),$AH$2:$AH$1001,0),1)&gt;=100000,INDEX($AO$1005:$BQ$1005,1,MATCH(COLUMNS($AO$1006:AT1006),$AO$1006:$BQ$1006,0))&gt;=100000), " ",IF(INDEX($AO$2:$BQ$1001,MATCH(ROWS($AH$2:AH71),$AH$2:$AH$1001,0),MATCH(COLUMNS($AO$1006:AT1006),$AO$1006:$BQ$1006,0)), HYPERLINK("#",""), HYPERLINK(CONCATENATE("#Metadata!", ADDRESS(INDEX($AJ$2:$AJ$1001,MATCH(ROWS($AH$2:AH71),$AH$2:$AH$1001,0),0), INDEX($AO$1004:$BQ$1004,1,MATCH(COLUMNS($AO$1006:AT1006),$AO$1006:$BQ$1006,0)))),"Fix")))</f>
        <v>#N/A</v>
      </c>
      <c r="H71" s="5" t="e">
        <f ca="1">IF(OR(INDEX($AI$2:$AI$1001,MATCH(ROWS($AH$2:AH71),$AH$2:$AH$1001,0),1)&gt;=100000,INDEX($AO$1005:$BQ$1005,1,MATCH(COLUMNS($AO$1006:AU1006),$AO$1006:$BQ$1006,0))&gt;=100000), " ",IF(INDEX($AO$2:$BQ$1001,MATCH(ROWS($AH$2:AH71),$AH$2:$AH$1001,0),MATCH(COLUMNS($AO$1006:AU1006),$AO$1006:$BQ$1006,0)), HYPERLINK("#",""), HYPERLINK(CONCATENATE("#Metadata!", ADDRESS(INDEX($AJ$2:$AJ$1001,MATCH(ROWS($AH$2:AH71),$AH$2:$AH$1001,0),0), INDEX($AO$1004:$BQ$1004,1,MATCH(COLUMNS($AO$1006:AU1006),$AO$1006:$BQ$1006,0)))),"Fix")))</f>
        <v>#N/A</v>
      </c>
      <c r="I71" s="5" t="e">
        <f ca="1">IF(OR(INDEX($AI$2:$AI$1001,MATCH(ROWS($AH$2:AH71),$AH$2:$AH$1001,0),1)&gt;=100000,INDEX($AO$1005:$BQ$1005,1,MATCH(COLUMNS($AO$1006:AV1006),$AO$1006:$BQ$1006,0))&gt;=100000), " ",IF(INDEX($AO$2:$BQ$1001,MATCH(ROWS($AH$2:AH71),$AH$2:$AH$1001,0),MATCH(COLUMNS($AO$1006:AV1006),$AO$1006:$BQ$1006,0)), HYPERLINK("#",""), HYPERLINK(CONCATENATE("#Metadata!", ADDRESS(INDEX($AJ$2:$AJ$1001,MATCH(ROWS($AH$2:AH71),$AH$2:$AH$1001,0),0), INDEX($AO$1004:$BQ$1004,1,MATCH(COLUMNS($AO$1006:AV1006),$AO$1006:$BQ$1006,0)))),"Fix")))</f>
        <v>#N/A</v>
      </c>
      <c r="J71" s="5" t="e">
        <f ca="1">IF(OR(INDEX($AI$2:$AI$1001,MATCH(ROWS($AH$2:AH71),$AH$2:$AH$1001,0),1)&gt;=100000,INDEX($AO$1005:$BQ$1005,1,MATCH(COLUMNS($AO$1006:AW1006),$AO$1006:$BQ$1006,0))&gt;=100000), " ",IF(INDEX($AO$2:$BQ$1001,MATCH(ROWS($AH$2:AH71),$AH$2:$AH$1001,0),MATCH(COLUMNS($AO$1006:AW1006),$AO$1006:$BQ$1006,0)), HYPERLINK("#",""), HYPERLINK(CONCATENATE("#Metadata!", ADDRESS(INDEX($AJ$2:$AJ$1001,MATCH(ROWS($AH$2:AH71),$AH$2:$AH$1001,0),0), INDEX($AO$1004:$BQ$1004,1,MATCH(COLUMNS($AO$1006:AW1006),$AO$1006:$BQ$1006,0)))),"Fix")))</f>
        <v>#N/A</v>
      </c>
      <c r="K71" s="5" t="e">
        <f ca="1">IF(OR(INDEX($AI$2:$AI$1001,MATCH(ROWS($AH$2:AH71),$AH$2:$AH$1001,0),1)&gt;=100000,INDEX($AO$1005:$BQ$1005,1,MATCH(COLUMNS($AO$1006:AX1006),$AO$1006:$BQ$1006,0))&gt;=100000), " ",IF(INDEX($AO$2:$BQ$1001,MATCH(ROWS($AH$2:AH71),$AH$2:$AH$1001,0),MATCH(COLUMNS($AO$1006:AX1006),$AO$1006:$BQ$1006,0)), HYPERLINK("#",""), HYPERLINK(CONCATENATE("#Metadata!", ADDRESS(INDEX($AJ$2:$AJ$1001,MATCH(ROWS($AH$2:AH71),$AH$2:$AH$1001,0),0), INDEX($AO$1004:$BQ$1004,1,MATCH(COLUMNS($AO$1006:AX1006),$AO$1006:$BQ$1006,0)))),"Fix")))</f>
        <v>#N/A</v>
      </c>
      <c r="L71" s="5" t="e">
        <f ca="1">IF(OR(INDEX($AI$2:$AI$1001,MATCH(ROWS($AH$2:AH71),$AH$2:$AH$1001,0),1)&gt;=100000,INDEX($AO$1005:$BQ$1005,1,MATCH(COLUMNS($AO$1006:AY1006),$AO$1006:$BQ$1006,0))&gt;=100000), " ",IF(INDEX($AO$2:$BQ$1001,MATCH(ROWS($AH$2:AH71),$AH$2:$AH$1001,0),MATCH(COLUMNS($AO$1006:AY1006),$AO$1006:$BQ$1006,0)), HYPERLINK("#",""), HYPERLINK(CONCATENATE("#Metadata!", ADDRESS(INDEX($AJ$2:$AJ$1001,MATCH(ROWS($AH$2:AH71),$AH$2:$AH$1001,0),0), INDEX($AO$1004:$BQ$1004,1,MATCH(COLUMNS($AO$1006:AY1006),$AO$1006:$BQ$1006,0)))),"Fix")))</f>
        <v>#N/A</v>
      </c>
      <c r="M71" s="5" t="e">
        <f ca="1">IF(OR(INDEX($AI$2:$AI$1001,MATCH(ROWS($AH$2:AH71),$AH$2:$AH$1001,0),1)&gt;=100000,INDEX($AO$1005:$BQ$1005,1,MATCH(COLUMNS($AO$1006:AZ1006),$AO$1006:$BQ$1006,0))&gt;=100000), " ",IF(INDEX($AO$2:$BQ$1001,MATCH(ROWS($AH$2:AH71),$AH$2:$AH$1001,0),MATCH(COLUMNS($AO$1006:AZ1006),$AO$1006:$BQ$1006,0)), HYPERLINK("#",""), HYPERLINK(CONCATENATE("#Metadata!", ADDRESS(INDEX($AJ$2:$AJ$1001,MATCH(ROWS($AH$2:AH71),$AH$2:$AH$1001,0),0), INDEX($AO$1004:$BQ$1004,1,MATCH(COLUMNS($AO$1006:AZ1006),$AO$1006:$BQ$1006,0)))),"Fix")))</f>
        <v>#N/A</v>
      </c>
      <c r="N71" s="5" t="e">
        <f ca="1">IF(OR(INDEX($AI$2:$AI$1001,MATCH(ROWS($AH$2:AH71),$AH$2:$AH$1001,0),1)&gt;=100000,INDEX($AO$1005:$BQ$1005,1,MATCH(COLUMNS($AO$1006:BA1006),$AO$1006:$BQ$1006,0))&gt;=100000), " ",IF(INDEX($AO$2:$BQ$1001,MATCH(ROWS($AH$2:AH71),$AH$2:$AH$1001,0),MATCH(COLUMNS($AO$1006:BA1006),$AO$1006:$BQ$1006,0)), HYPERLINK("#",""), HYPERLINK(CONCATENATE("#Metadata!", ADDRESS(INDEX($AJ$2:$AJ$1001,MATCH(ROWS($AH$2:AH71),$AH$2:$AH$1001,0),0), INDEX($AO$1004:$BQ$1004,1,MATCH(COLUMNS($AO$1006:BA1006),$AO$1006:$BQ$1006,0)))),"Fix")))</f>
        <v>#N/A</v>
      </c>
      <c r="O71" s="5" t="e">
        <f ca="1">IF(OR(INDEX($AI$2:$AI$1001,MATCH(ROWS($AH$2:AH71),$AH$2:$AH$1001,0),1)&gt;=100000,INDEX($AO$1005:$BQ$1005,1,MATCH(COLUMNS($AO$1006:BB1006),$AO$1006:$BQ$1006,0))&gt;=100000), " ",IF(INDEX($AO$2:$BQ$1001,MATCH(ROWS($AH$2:AH71),$AH$2:$AH$1001,0),MATCH(COLUMNS($AO$1006:BB1006),$AO$1006:$BQ$1006,0)), HYPERLINK("#",""), HYPERLINK(CONCATENATE("#Metadata!", ADDRESS(INDEX($AJ$2:$AJ$1001,MATCH(ROWS($AH$2:AH71),$AH$2:$AH$1001,0),0), INDEX($AO$1004:$BQ$1004,1,MATCH(COLUMNS($AO$1006:BB1006),$AO$1006:$BQ$1006,0)))),"Fix")))</f>
        <v>#N/A</v>
      </c>
      <c r="P71" s="5" t="e">
        <f ca="1">IF(OR(INDEX($AI$2:$AI$1001,MATCH(ROWS($AH$2:AH71),$AH$2:$AH$1001,0),1)&gt;=100000,INDEX($AO$1005:$BQ$1005,1,MATCH(COLUMNS($AO$1006:BC1006),$AO$1006:$BQ$1006,0))&gt;=100000), " ",IF(INDEX($AO$2:$BQ$1001,MATCH(ROWS($AH$2:AH71),$AH$2:$AH$1001,0),MATCH(COLUMNS($AO$1006:BC1006),$AO$1006:$BQ$1006,0)), HYPERLINK("#",""), HYPERLINK(CONCATENATE("#Metadata!", ADDRESS(INDEX($AJ$2:$AJ$1001,MATCH(ROWS($AH$2:AH71),$AH$2:$AH$1001,0),0), INDEX($AO$1004:$BQ$1004,1,MATCH(COLUMNS($AO$1006:BC1006),$AO$1006:$BQ$1006,0)))),"Fix")))</f>
        <v>#N/A</v>
      </c>
      <c r="Q71" s="5" t="e">
        <f ca="1">IF(OR(INDEX($AI$2:$AI$1001,MATCH(ROWS($AH$2:AH71),$AH$2:$AH$1001,0),1)&gt;=100000,INDEX($AO$1005:$BQ$1005,1,MATCH(COLUMNS($AO$1006:BD1006),$AO$1006:$BQ$1006,0))&gt;=100000), " ",IF(INDEX($AO$2:$BQ$1001,MATCH(ROWS($AH$2:AH71),$AH$2:$AH$1001,0),MATCH(COLUMNS($AO$1006:BD1006),$AO$1006:$BQ$1006,0)), HYPERLINK("#",""), HYPERLINK(CONCATENATE("#Metadata!", ADDRESS(INDEX($AJ$2:$AJ$1001,MATCH(ROWS($AH$2:AH71),$AH$2:$AH$1001,0),0), INDEX($AO$1004:$BQ$1004,1,MATCH(COLUMNS($AO$1006:BD1006),$AO$1006:$BQ$1006,0)))),"Fix")))</f>
        <v>#N/A</v>
      </c>
      <c r="R71" s="5" t="e">
        <f ca="1">IF(OR(INDEX($AI$2:$AI$1001,MATCH(ROWS($AH$2:AH71),$AH$2:$AH$1001,0),1)&gt;=100000,INDEX($AO$1005:$BQ$1005,1,MATCH(COLUMNS($AO$1006:BE1006),$AO$1006:$BQ$1006,0))&gt;=100000), " ",IF(INDEX($AO$2:$BQ$1001,MATCH(ROWS($AH$2:AH71),$AH$2:$AH$1001,0),MATCH(COLUMNS($AO$1006:BE1006),$AO$1006:$BQ$1006,0)), HYPERLINK("#",""), HYPERLINK(CONCATENATE("#Metadata!", ADDRESS(INDEX($AJ$2:$AJ$1001,MATCH(ROWS($AH$2:AH71),$AH$2:$AH$1001,0),0), INDEX($AO$1004:$BQ$1004,1,MATCH(COLUMNS($AO$1006:BE1006),$AO$1006:$BQ$1006,0)))),"Fix")))</f>
        <v>#N/A</v>
      </c>
      <c r="S71" s="5" t="e">
        <f ca="1">IF(OR(INDEX($AI$2:$AI$1001,MATCH(ROWS($AH$2:AH71),$AH$2:$AH$1001,0),1)&gt;=100000,INDEX($AO$1005:$BQ$1005,1,MATCH(COLUMNS($AO$1006:BF1006),$AO$1006:$BQ$1006,0))&gt;=100000), " ",IF(INDEX($AO$2:$BQ$1001,MATCH(ROWS($AH$2:AH71),$AH$2:$AH$1001,0),MATCH(COLUMNS($AO$1006:BF1006),$AO$1006:$BQ$1006,0)), HYPERLINK("#",""), HYPERLINK(CONCATENATE("#Metadata!", ADDRESS(INDEX($AJ$2:$AJ$1001,MATCH(ROWS($AH$2:AH71),$AH$2:$AH$1001,0),0), INDEX($AO$1004:$BQ$1004,1,MATCH(COLUMNS($AO$1006:BF1006),$AO$1006:$BQ$1006,0)))),"Fix")))</f>
        <v>#N/A</v>
      </c>
      <c r="T71" s="5" t="e">
        <f ca="1">IF(OR(INDEX($AI$2:$AI$1001,MATCH(ROWS($AH$2:AH71),$AH$2:$AH$1001,0),1)&gt;=100000,INDEX($AO$1005:$BQ$1005,1,MATCH(COLUMNS($AO$1006:BG1006),$AO$1006:$BQ$1006,0))&gt;=100000), " ",IF(INDEX($AO$2:$BQ$1001,MATCH(ROWS($AH$2:AH71),$AH$2:$AH$1001,0),MATCH(COLUMNS($AO$1006:BG1006),$AO$1006:$BQ$1006,0)), HYPERLINK("#",""), HYPERLINK(CONCATENATE("#Metadata!", ADDRESS(INDEX($AJ$2:$AJ$1001,MATCH(ROWS($AH$2:AH71),$AH$2:$AH$1001,0),0), INDEX($AO$1004:$BQ$1004,1,MATCH(COLUMNS($AO$1006:BG1006),$AO$1006:$BQ$1006,0)))),"Fix")))</f>
        <v>#N/A</v>
      </c>
      <c r="U71" s="5" t="e">
        <f ca="1">IF(OR(INDEX($AI$2:$AI$1001,MATCH(ROWS($AH$2:AH71),$AH$2:$AH$1001,0),1)&gt;=100000,INDEX($AO$1005:$BQ$1005,1,MATCH(COLUMNS($AO$1006:BH1006),$AO$1006:$BQ$1006,0))&gt;=100000), " ",IF(INDEX($AO$2:$BQ$1001,MATCH(ROWS($AH$2:AH71),$AH$2:$AH$1001,0),MATCH(COLUMNS($AO$1006:BH1006),$AO$1006:$BQ$1006,0)), HYPERLINK("#",""), HYPERLINK(CONCATENATE("#Metadata!", ADDRESS(INDEX($AJ$2:$AJ$1001,MATCH(ROWS($AH$2:AH71),$AH$2:$AH$1001,0),0), INDEX($AO$1004:$BQ$1004,1,MATCH(COLUMNS($AO$1006:BH1006),$AO$1006:$BQ$1006,0)))),"Fix")))</f>
        <v>#N/A</v>
      </c>
      <c r="V71" s="5" t="e">
        <f ca="1">IF(OR(INDEX($AI$2:$AI$1001,MATCH(ROWS($AH$2:AH71),$AH$2:$AH$1001,0),1)&gt;=100000,INDEX($AO$1005:$BQ$1005,1,MATCH(COLUMNS($AO$1006:BI1006),$AO$1006:$BQ$1006,0))&gt;=100000), " ",IF(INDEX($AO$2:$BQ$1001,MATCH(ROWS($AH$2:AH71),$AH$2:$AH$1001,0),MATCH(COLUMNS($AO$1006:BI1006),$AO$1006:$BQ$1006,0)), HYPERLINK("#",""), HYPERLINK(CONCATENATE("#Metadata!", ADDRESS(INDEX($AJ$2:$AJ$1001,MATCH(ROWS($AH$2:AH71),$AH$2:$AH$1001,0),0), INDEX($AO$1004:$BQ$1004,1,MATCH(COLUMNS($AO$1006:BI1006),$AO$1006:$BQ$1006,0)))),"Fix")))</f>
        <v>#N/A</v>
      </c>
      <c r="W71" s="5" t="e">
        <f ca="1">IF(OR(INDEX($AI$2:$AI$1001,MATCH(ROWS($AH$2:AH71),$AH$2:$AH$1001,0),1)&gt;=100000,INDEX($AO$1005:$BQ$1005,1,MATCH(COLUMNS($AO$1006:BJ1006),$AO$1006:$BQ$1006,0))&gt;=100000), " ",IF(INDEX($AO$2:$BQ$1001,MATCH(ROWS($AH$2:AH71),$AH$2:$AH$1001,0),MATCH(COLUMNS($AO$1006:BJ1006),$AO$1006:$BQ$1006,0)), HYPERLINK("#",""), HYPERLINK(CONCATENATE("#Metadata!", ADDRESS(INDEX($AJ$2:$AJ$1001,MATCH(ROWS($AH$2:AH71),$AH$2:$AH$1001,0),0), INDEX($AO$1004:$BQ$1004,1,MATCH(COLUMNS($AO$1006:BJ1006),$AO$1006:$BQ$1006,0)))),"Fix")))</f>
        <v>#N/A</v>
      </c>
      <c r="X71" s="5" t="e">
        <f ca="1">IF(OR(INDEX($AI$2:$AI$1001,MATCH(ROWS($AH$2:AH71),$AH$2:$AH$1001,0),1)&gt;=100000,INDEX($AO$1005:$BQ$1005,1,MATCH(COLUMNS($AO$1006:BK1006),$AO$1006:$BQ$1006,0))&gt;=100000), " ",IF(INDEX($AO$2:$BQ$1001,MATCH(ROWS($AH$2:AH71),$AH$2:$AH$1001,0),MATCH(COLUMNS($AO$1006:BK1006),$AO$1006:$BQ$1006,0)), HYPERLINK("#",""), HYPERLINK(CONCATENATE("#Metadata!", ADDRESS(INDEX($AJ$2:$AJ$1001,MATCH(ROWS($AH$2:AH71),$AH$2:$AH$1001,0),0), INDEX($AO$1004:$BQ$1004,1,MATCH(COLUMNS($AO$1006:BK1006),$AO$1006:$BQ$1006,0)))),"Fix")))</f>
        <v>#N/A</v>
      </c>
      <c r="Y71" s="5" t="e">
        <f ca="1">IF(OR(INDEX($AI$2:$AI$1001,MATCH(ROWS($AH$2:AH71),$AH$2:$AH$1001,0),1)&gt;=100000,INDEX($AO$1005:$BQ$1005,1,MATCH(COLUMNS($AO$1006:BL1006),$AO$1006:$BQ$1006,0))&gt;=100000), " ",IF(INDEX($AO$2:$BQ$1001,MATCH(ROWS($AH$2:AH71),$AH$2:$AH$1001,0),MATCH(COLUMNS($AO$1006:BL1006),$AO$1006:$BQ$1006,0)), HYPERLINK("#",""), HYPERLINK(CONCATENATE("#Metadata!", ADDRESS(INDEX($AJ$2:$AJ$1001,MATCH(ROWS($AH$2:AH71),$AH$2:$AH$1001,0),0), INDEX($AO$1004:$BQ$1004,1,MATCH(COLUMNS($AO$1006:BL1006),$AO$1006:$BQ$1006,0)))),"Fix")))</f>
        <v>#N/A</v>
      </c>
      <c r="Z71" s="5" t="e">
        <f ca="1">IF(OR(INDEX($AI$2:$AI$1001,MATCH(ROWS($AH$2:AH71),$AH$2:$AH$1001,0),1)&gt;=100000,INDEX($AO$1005:$BQ$1005,1,MATCH(COLUMNS($AO$1006:BM1006),$AO$1006:$BQ$1006,0))&gt;=100000), " ",IF(INDEX($AO$2:$BQ$1001,MATCH(ROWS($AH$2:AH71),$AH$2:$AH$1001,0),MATCH(COLUMNS($AO$1006:BM1006),$AO$1006:$BQ$1006,0)), HYPERLINK("#",""), HYPERLINK(CONCATENATE("#Metadata!", ADDRESS(INDEX($AJ$2:$AJ$1001,MATCH(ROWS($AH$2:AH71),$AH$2:$AH$1001,0),0), INDEX($AO$1004:$BQ$1004,1,MATCH(COLUMNS($AO$1006:BM1006),$AO$1006:$BQ$1006,0)))),"Fix")))</f>
        <v>#N/A</v>
      </c>
      <c r="AA71" s="5" t="e">
        <f ca="1">IF(OR(INDEX($AI$2:$AI$1001,MATCH(ROWS($AH$2:AH71),$AH$2:$AH$1001,0),1)&gt;=100000,INDEX($AO$1005:$BQ$1005,1,MATCH(COLUMNS($AO$1006:BN1006),$AO$1006:$BQ$1006,0))&gt;=100000), " ",IF(INDEX($AO$2:$BQ$1001,MATCH(ROWS($AH$2:AH71),$AH$2:$AH$1001,0),MATCH(COLUMNS($AO$1006:BN1006),$AO$1006:$BQ$1006,0)), HYPERLINK("#",""), HYPERLINK(CONCATENATE("#Metadata!", ADDRESS(INDEX($AJ$2:$AJ$1001,MATCH(ROWS($AH$2:AH71),$AH$2:$AH$1001,0),0), INDEX($AO$1004:$BQ$1004,1,MATCH(COLUMNS($AO$1006:BN1006),$AO$1006:$BQ$1006,0)))),"Fix")))</f>
        <v>#N/A</v>
      </c>
      <c r="AB71" s="5" t="e">
        <f ca="1">IF(OR(INDEX($AI$2:$AI$1001,MATCH(ROWS($AH$2:AH71),$AH$2:$AH$1001,0),1)&gt;=100000,INDEX($AO$1005:$BQ$1005,1,MATCH(COLUMNS($AO$1006:BO1006),$AO$1006:$BQ$1006,0))&gt;=100000), " ",IF(INDEX($AO$2:$BQ$1001,MATCH(ROWS($AH$2:AH71),$AH$2:$AH$1001,0),MATCH(COLUMNS($AO$1006:BO1006),$AO$1006:$BQ$1006,0)), HYPERLINK("#",""), HYPERLINK(CONCATENATE("#Metadata!", ADDRESS(INDEX($AJ$2:$AJ$1001,MATCH(ROWS($AH$2:AH71),$AH$2:$AH$1001,0),0), INDEX($AO$1004:$BQ$1004,1,MATCH(COLUMNS($AO$1006:BO1006),$AO$1006:$BQ$1006,0)))),"Fix")))</f>
        <v>#N/A</v>
      </c>
      <c r="AC71" s="5" t="e">
        <f ca="1">IF(OR(INDEX($AI$2:$AI$1001,MATCH(ROWS($AH$2:AH71),$AH$2:$AH$1001,0),1)&gt;=100000,INDEX($AO$1005:$BQ$1005,1,MATCH(COLUMNS($AO$1006:BP1006),$AO$1006:$BQ$1006,0))&gt;=100000), " ",IF(INDEX($AO$2:$BQ$1001,MATCH(ROWS($AH$2:AH71),$AH$2:$AH$1001,0),MATCH(COLUMNS($AO$1006:BP1006),$AO$1006:$BQ$1006,0)), HYPERLINK("#",""), HYPERLINK(CONCATENATE("#Metadata!", ADDRESS(INDEX($AJ$2:$AJ$1001,MATCH(ROWS($AH$2:AH71),$AH$2:$AH$1001,0),0), INDEX($AO$1004:$BQ$1004,1,MATCH(COLUMNS($AO$1006:BP1006),$AO$1006:$BQ$1006,0)))),"Fix")))</f>
        <v>#N/A</v>
      </c>
      <c r="AD71" s="5" t="e">
        <f ca="1">IF(OR(INDEX($AI$2:$AI$1001,MATCH(ROWS($AH$2:AH71),$AH$2:$AH$1001,0),1)&gt;=100000,INDEX($AO$1005:$BQ$1005,1,MATCH(COLUMNS($AO$1006:BQ1006),$AO$1006:$BQ$1006,0))&gt;=100000), " ",IF(INDEX($AO$2:$BQ$1001,MATCH(ROWS($AH$2:AH71),$AH$2:$AH$1001,0),MATCH(COLUMNS($AO$1006:BQ1006),$AO$1006:$BQ$1006,0)), HYPERLINK("#",""), HYPERLINK(CONCATENATE("#Metadata!", ADDRESS(INDEX($AJ$2:$AJ$1001,MATCH(ROWS($AH$2:AH71),$AH$2:$AH$1001,0),0), INDEX($AO$1004:$BQ$1004,1,MATCH(COLUMNS($AO$1006:BQ1006),$AO$1006:$BQ$1006,0)))),"Fix")))</f>
        <v>#REF!</v>
      </c>
      <c r="AH71">
        <f ca="1"/>
        <v>68</v>
      </c>
      <c r="AI71">
        <v>100071</v>
      </c>
      <c r="AJ71">
        <v>71</v>
      </c>
      <c r="AK71" t="b">
        <f t="shared" si="1"/>
        <v>1</v>
      </c>
      <c r="AL71" t="b">
        <f>COUNTBLANK(Metadata!B71:AD71)=COLUMNS(Metadata!B71:AD71)</f>
        <v>1</v>
      </c>
      <c r="AM71" t="str">
        <v/>
      </c>
      <c r="AO71" t="b">
        <f ca="1">AND(IF(Metadata!B71="",FALSE,TRUE),COUNTIF(Metadata!B:B, Metadata!B71) = 1,NOT(ISERROR(SUMPRODUCT(SEARCH(MID(Metadata!B71,ROW(INDIRECT("1:"&amp;LEN(Metadata!B71))), 1),"0123456789abcdefghijklmnopqrstuvwxyzABCDEFGHIJKLMNOPQRSTUVWXYZ.")))))</f>
        <v>0</v>
      </c>
      <c r="AP71" t="b">
        <f>IF(Metadata!C71="",FALSE,TRUE)</f>
        <v>0</v>
      </c>
      <c r="AQ71" t="b">
        <f>IF(Metadata!D71="",FALSE,TRUE)</f>
        <v>0</v>
      </c>
      <c r="AR71" t="b">
        <f ca="1">OR(AND(IF(Metadata!E71="",FALSE,TRUE),OR(EXACT(Metadata!E71,"not collected"),EXACT(Metadata!E71,"not provided"),EXACT(Metadata!E71,"restricted access"))),AND(IF(Metadata!E71="",FALSE,TRUE),AND(AND(IFERROR(INT(LEFT(Metadata!E71,4))&gt;1900,FALSE),IFERROR(INT(LEFT(Metadata!E71,4))&lt;=YEAR(NOW()),FALSE)), OR(MID(Metadata!E71,5,1)="", AND(AND(MID(Metadata!E71,5,1)="-",IFERROR(INT(MID(Metadata!E71,6,1))&gt;=0,FALSE),IFERROR(INT(MID(Metadata!E71,6,1))&lt;=1,FALSE),NOT(MID(Metadata!E71,7,1)=""),IFERROR(INT(MID(Metadata!E71,6,2))&gt;=1,FALSE),IFERROR(INT(MID(Metadata!E71,6,2))&lt;=12,FALSE)), OR(MID(Metadata!E71,8,1)="", AND(AND(MID(Metadata!E71,8,1)="-",IFERROR(INT(MID(Metadata!E71,9,1))&gt;=0,FALSE),IFERROR(INT(MID(Metadata!E71,9,1))&lt;=3,FALSE),NOT(MID(Metadata!E71,10,1)=""),IFERROR(INT(MID(Metadata!E71,9,2))&gt;=1,FALSE),IFERROR(INT(MID(Metadata!E71,9,2))&lt;=31,FALSE)), OR(MID(Metadata!E71,11,1)="", AND(AND(MID(Metadata!E71,11,1)=" ",IFERROR(INT(MID(Metadata!E71,12,1))&gt;=0,FALSE),IFERROR(INT(MID(Metadata!E71,12,1))&lt;=2,FALSE),NOT(MID(Metadata!E71,13,1)=""),IFERROR(INT(MID(Metadata!E71,12,2))&gt;=0,FALSE),IFERROR(INT(MID(Metadata!E71,12,2))&lt;=23,FALSE)), OR(MID(Metadata!E71,14,1)="", AND(AND(MID(Metadata!E71,14,1)=":",IFERROR(INT(MID(Metadata!E71,15,1))&gt;=0,FALSE),IFERROR(INT(MID(Metadata!E71,15,1))&lt;=5,FALSE),NOT(MID(Metadata!E71,16,1)=""),IFERROR(INT(MID(Metadata!E71,15,2))&gt;=0,FALSE),IFERROR(INT(MID(Metadata!E71,15,2))&lt;=59,FALSE)), OR(MID(Metadata!E71,17,1)="", AND(AND(MID(Metadata!E71,17,1)=":",IFERROR(INT(MID(Metadata!E71,18,1))&gt;=0,FALSE),IFERROR(INT(MID(Metadata!E71,18,1))&lt;=5,FALSE),NOT(MID(Metadata!E71,19,1)=""),IFERROR(INT(MID(Metadata!E71,18,2))&gt;=0,FALSE),IFERROR(INT(MID(Metadata!E71,18,2))&lt;=59,FALSE)), LEN(Metadata!E71)&lt;=19)))))))))))))</f>
        <v>0</v>
      </c>
      <c r="AS71" t="b">
        <f>IF(Metadata!F71="",FALSE,TRUE)</f>
        <v>0</v>
      </c>
      <c r="AT71" t="b">
        <f>OR(AND(IF(Metadata!G71="",FALSE,TRUE),OR(EXACT(Metadata!G71,"not collected"),EXACT(Metadata!G71,"not provided"))),AND(IF(Metadata!G71="",FALSE,TRUE),OR(EXACT(Metadata!G71,"TRUE"),EXACT(Metadata!G71,"FALSE"))))</f>
        <v>0</v>
      </c>
      <c r="AU71" t="b">
        <f>OR(AND(IF(Metadata!H71="",FALSE,TRUE),OR(EXACT(Metadata!H71,"not collected"),EXACT(Metadata!H71,"not provided"),EXACT(Metadata!H71,"restricted access"))),AND(IF(Metadata!H71="",FALSE,ISNUMBER(VALUE(Metadata!H71))),Metadata!H71&gt;=-413))</f>
        <v>0</v>
      </c>
      <c r="AV71" t="b">
        <f>AND(IF(Metadata!I71="",FALSE,TRUE),EXACT(Metadata!I71,"meters"))</f>
        <v>0</v>
      </c>
      <c r="AW71" t="b">
        <f>AND(IF(Metadata!J71="",FALSE,TRUE),EXACT(Metadata!J71,"free-living"))</f>
        <v>0</v>
      </c>
      <c r="AX71" t="b">
        <f>AND(IF(Metadata!K71="",FALSE,TRUE),OR(EXACT(Metadata!K71,"saline"),EXACT(Metadata!K71,"non-saline")))</f>
        <v>0</v>
      </c>
      <c r="AY71" t="b">
        <f>AND(IF(Metadata!L71="",FALSE,TRUE),OR(EXACT(Metadata!L71,"sub-surface (non-saline)"),EXACT(Metadata!L71,"surface (non-saline)"),EXACT(Metadata!L71,"water (non-saline)"),EXACT(Metadata!L71,"soil (non-saline)"),EXACT(Metadata!L71,"aerosol (non-saline)"),EXACT(Metadata!L71,"sediment (non-saline)"),EXACT(Metadata!L71,"surface (saline)"),EXACT(Metadata!L71,"water (saline)"),EXACT(Metadata!L71,"hypersaline (saline)"),EXACT(Metadata!L71,"aerosol (saline)"),EXACT(Metadata!L71,"sediment (saline)")))</f>
        <v>0</v>
      </c>
      <c r="AZ71" t="b">
        <f>IF(Metadata!M71="",FALSE,TRUE)</f>
        <v>0</v>
      </c>
      <c r="BA71" t="b">
        <f>IF(Metadata!N71="",FALSE,TRUE)</f>
        <v>0</v>
      </c>
      <c r="BB71" t="b">
        <f>IF(Metadata!O71="",FALSE,TRUE)</f>
        <v>0</v>
      </c>
      <c r="BC71" t="b">
        <f>AND(IF(Metadata!P71="",FALSE,TRUE),OR(EXACT(Metadata!P71,"air"),EXACT(Metadata!P71,"microbial mat/biofilm"),EXACT(Metadata!P71,"misc environment"),EXACT(Metadata!P71,"sediment"),EXACT(Metadata!P71,"soil"),EXACT(Metadata!P71,"wastewater/sludge"),EXACT(Metadata!P71,"water")))</f>
        <v>0</v>
      </c>
      <c r="BD71" t="b">
        <f>IF(Metadata!Q71="",FALSE,TRUE)</f>
        <v>0</v>
      </c>
      <c r="BE71" t="b">
        <f>IF(Metadata!R71="",FALSE,TRUE)</f>
        <v>0</v>
      </c>
      <c r="BF71" t="b">
        <f>OR(AND(IF(Metadata!S71="",FALSE,TRUE),OR(EXACT(Metadata!S71,"not collected"),EXACT(Metadata!S71,"not provided"),EXACT(Metadata!S71,"restricted access"))),AND(IF(Metadata!S71="",FALSE,ISNUMBER(VALUE(Metadata!S71))),Metadata!S71&gt;=-90,Metadata!S71&lt;=90))</f>
        <v>0</v>
      </c>
      <c r="BG71" t="b">
        <f>AND(IF(Metadata!T71="",FALSE,TRUE),EXACT(Metadata!T71,"Decimal degrees"))</f>
        <v>0</v>
      </c>
      <c r="BH71" t="b">
        <f>OR(AND(IF(Metadata!U71="",FALSE,TRUE),OR(EXACT(Metadata!U71,"not applicable"),EXACT(Metadata!U71,"not collected"))),IF(Metadata!U71="",FALSE,TRUE))</f>
        <v>0</v>
      </c>
      <c r="BI71" t="b">
        <f>OR(AND(IF(Metadata!V71="",FALSE,TRUE),OR(EXACT(Metadata!V71,"not collected"),EXACT(Metadata!V71,"not provided"),EXACT(Metadata!V71,"restricted access"))),AND(IF(Metadata!V71="",FALSE,ISNUMBER(VALUE(Metadata!V71))),Metadata!V71&gt;=-180,Metadata!V71&lt;=180))</f>
        <v>0</v>
      </c>
      <c r="BJ71" t="b">
        <f>AND(IF(Metadata!W71="",FALSE,TRUE),EXACT(Metadata!W71,"Decimal degrees"))</f>
        <v>0</v>
      </c>
      <c r="BK71" t="b">
        <f>IF(Metadata!X71="",FALSE,TRUE)</f>
        <v>0</v>
      </c>
      <c r="BL71" t="b">
        <f>OR(AND(IF(Metadata!Y71="",FALSE,TRUE),OR(EXACT(Metadata!Y71,"not collected"),EXACT(Metadata!Y71,"not provided"),EXACT(Metadata!Y71,"restricted access"))),AND(IF(Metadata!Y71="",FALSE,TRUE),OR(EXACT(Metadata!Y71,"TRUE"),EXACT(Metadata!Y71,"FALSE"))))</f>
        <v>0</v>
      </c>
      <c r="BM71" t="b">
        <f>OR(AND(IF(Metadata!Z71="",FALSE,TRUE),EXACT(Metadata!Z71,"not applicable")),AND(IF(Metadata!Z71="",FALSE,TRUE),OR(EXACT(Metadata!Z71,"beer"),EXACT(Metadata!Z71,"cheese"),EXACT(Metadata!Z71,"fresh water"),EXACT(Metadata!Z71,"marine sediment"),EXACT(Metadata!Z71,"sea water"),EXACT(Metadata!Z71,"sediment"),EXACT(Metadata!Z71,"soil"),EXACT(Metadata!Z71,"waste water"))))</f>
        <v>0</v>
      </c>
      <c r="BN71" t="b">
        <f>AND(IF(Metadata!AA71="",FALSE,TRUE),EXACT(Metadata!AA71,"metagenome"))</f>
        <v>0</v>
      </c>
      <c r="BO71" t="b">
        <f>AND(IF(Metadata!AB71="",FALSE,TRUE),EXACT(Metadata!AB71,"256318"))</f>
        <v>0</v>
      </c>
      <c r="BP71" t="b">
        <f>IF(Metadata!AC71="",FALSE,TRUE)</f>
        <v>0</v>
      </c>
      <c r="BQ71" t="b">
        <f>IF(Metadata!AD71="",FALSE,TRUE)</f>
        <v>0</v>
      </c>
    </row>
    <row r="72" spans="1:69" x14ac:dyDescent="0.2">
      <c r="A72" s="4" t="e">
        <f ca="1">IF(B72=" "," ",HYPERLINK(CONCATENATE("#metadata!",ADDRESS(INDEX($AJ$2:$AJ$1001,MATCH(ROWS($AH$2:AH72),$AH$2:$AH$1001,0),0),2)),INDEX($AM$2:$AM$1001,MATCH(ROWS($AH$2:AH72),$AH$2:$AH$1001,0),0)))</f>
        <v>#N/A</v>
      </c>
      <c r="B72" s="5" t="e">
        <f ca="1">IF(OR(INDEX($AI$2:$AI$1001,MATCH(ROWS($AH$2:AH72),$AH$2:$AH$1001,0),1)&gt;=100000,INDEX($AO$1005:$BQ$1005,1,MATCH(COLUMNS($AO$1006:AO1006),$AO$1006:$BQ$1006,0))&gt;=100000), " ",IF(INDEX($AO$2:$BQ$1001,MATCH(ROWS($AH$2:AH72),$AH$2:$AH$1001,0),MATCH(COLUMNS($AO$1006:AO1006),$AO$1006:$BQ$1006,0)), HYPERLINK("#",""), HYPERLINK(CONCATENATE("#Metadata!", ADDRESS(INDEX($AJ$2:$AJ$1001,MATCH(ROWS($AH$2:AH72),$AH$2:$AH$1001,0),0), INDEX($AO$1004:$BQ$1004,1,MATCH(COLUMNS($AO$1006:AO1006),$AO$1006:$BQ$1006,0)))),"Fix")))</f>
        <v>#N/A</v>
      </c>
      <c r="C72" s="5" t="e">
        <f ca="1">IF(OR(INDEX($AI$2:$AI$1001,MATCH(ROWS($AH$2:AH72),$AH$2:$AH$1001,0),1)&gt;=100000,INDEX($AO$1005:$BQ$1005,1,MATCH(COLUMNS($AO$1006:AP1006),$AO$1006:$BQ$1006,0))&gt;=100000), " ",IF(INDEX($AO$2:$BQ$1001,MATCH(ROWS($AH$2:AH72),$AH$2:$AH$1001,0),MATCH(COLUMNS($AO$1006:AP1006),$AO$1006:$BQ$1006,0)), HYPERLINK("#",""), HYPERLINK(CONCATENATE("#Metadata!", ADDRESS(INDEX($AJ$2:$AJ$1001,MATCH(ROWS($AH$2:AH72),$AH$2:$AH$1001,0),0), INDEX($AO$1004:$BQ$1004,1,MATCH(COLUMNS($AO$1006:AP1006),$AO$1006:$BQ$1006,0)))),"Fix")))</f>
        <v>#N/A</v>
      </c>
      <c r="D72" s="5" t="e">
        <f ca="1">IF(OR(INDEX($AI$2:$AI$1001,MATCH(ROWS($AH$2:AH72),$AH$2:$AH$1001,0),1)&gt;=100000,INDEX($AO$1005:$BQ$1005,1,MATCH(COLUMNS($AO$1006:AQ1006),$AO$1006:$BQ$1006,0))&gt;=100000), " ",IF(INDEX($AO$2:$BQ$1001,MATCH(ROWS($AH$2:AH72),$AH$2:$AH$1001,0),MATCH(COLUMNS($AO$1006:AQ1006),$AO$1006:$BQ$1006,0)), HYPERLINK("#",""), HYPERLINK(CONCATENATE("#Metadata!", ADDRESS(INDEX($AJ$2:$AJ$1001,MATCH(ROWS($AH$2:AH72),$AH$2:$AH$1001,0),0), INDEX($AO$1004:$BQ$1004,1,MATCH(COLUMNS($AO$1006:AQ1006),$AO$1006:$BQ$1006,0)))),"Fix")))</f>
        <v>#N/A</v>
      </c>
      <c r="E72" s="5" t="e">
        <f ca="1">IF(OR(INDEX($AI$2:$AI$1001,MATCH(ROWS($AH$2:AH72),$AH$2:$AH$1001,0),1)&gt;=100000,INDEX($AO$1005:$BQ$1005,1,MATCH(COLUMNS($AO$1006:AR1006),$AO$1006:$BQ$1006,0))&gt;=100000), " ",IF(INDEX($AO$2:$BQ$1001,MATCH(ROWS($AH$2:AH72),$AH$2:$AH$1001,0),MATCH(COLUMNS($AO$1006:AR1006),$AO$1006:$BQ$1006,0)), HYPERLINK("#",""), HYPERLINK(CONCATENATE("#Metadata!", ADDRESS(INDEX($AJ$2:$AJ$1001,MATCH(ROWS($AH$2:AH72),$AH$2:$AH$1001,0),0), INDEX($AO$1004:$BQ$1004,1,MATCH(COLUMNS($AO$1006:AR1006),$AO$1006:$BQ$1006,0)))),"Fix")))</f>
        <v>#N/A</v>
      </c>
      <c r="F72" s="5" t="e">
        <f ca="1">IF(OR(INDEX($AI$2:$AI$1001,MATCH(ROWS($AH$2:AH72),$AH$2:$AH$1001,0),1)&gt;=100000,INDEX($AO$1005:$BQ$1005,1,MATCH(COLUMNS($AO$1006:AS1006),$AO$1006:$BQ$1006,0))&gt;=100000), " ",IF(INDEX($AO$2:$BQ$1001,MATCH(ROWS($AH$2:AH72),$AH$2:$AH$1001,0),MATCH(COLUMNS($AO$1006:AS1006),$AO$1006:$BQ$1006,0)), HYPERLINK("#",""), HYPERLINK(CONCATENATE("#Metadata!", ADDRESS(INDEX($AJ$2:$AJ$1001,MATCH(ROWS($AH$2:AH72),$AH$2:$AH$1001,0),0), INDEX($AO$1004:$BQ$1004,1,MATCH(COLUMNS($AO$1006:AS1006),$AO$1006:$BQ$1006,0)))),"Fix")))</f>
        <v>#N/A</v>
      </c>
      <c r="G72" s="5" t="e">
        <f ca="1">IF(OR(INDEX($AI$2:$AI$1001,MATCH(ROWS($AH$2:AH72),$AH$2:$AH$1001,0),1)&gt;=100000,INDEX($AO$1005:$BQ$1005,1,MATCH(COLUMNS($AO$1006:AT1006),$AO$1006:$BQ$1006,0))&gt;=100000), " ",IF(INDEX($AO$2:$BQ$1001,MATCH(ROWS($AH$2:AH72),$AH$2:$AH$1001,0),MATCH(COLUMNS($AO$1006:AT1006),$AO$1006:$BQ$1006,0)), HYPERLINK("#",""), HYPERLINK(CONCATENATE("#Metadata!", ADDRESS(INDEX($AJ$2:$AJ$1001,MATCH(ROWS($AH$2:AH72),$AH$2:$AH$1001,0),0), INDEX($AO$1004:$BQ$1004,1,MATCH(COLUMNS($AO$1006:AT1006),$AO$1006:$BQ$1006,0)))),"Fix")))</f>
        <v>#N/A</v>
      </c>
      <c r="H72" s="5" t="e">
        <f ca="1">IF(OR(INDEX($AI$2:$AI$1001,MATCH(ROWS($AH$2:AH72),$AH$2:$AH$1001,0),1)&gt;=100000,INDEX($AO$1005:$BQ$1005,1,MATCH(COLUMNS($AO$1006:AU1006),$AO$1006:$BQ$1006,0))&gt;=100000), " ",IF(INDEX($AO$2:$BQ$1001,MATCH(ROWS($AH$2:AH72),$AH$2:$AH$1001,0),MATCH(COLUMNS($AO$1006:AU1006),$AO$1006:$BQ$1006,0)), HYPERLINK("#",""), HYPERLINK(CONCATENATE("#Metadata!", ADDRESS(INDEX($AJ$2:$AJ$1001,MATCH(ROWS($AH$2:AH72),$AH$2:$AH$1001,0),0), INDEX($AO$1004:$BQ$1004,1,MATCH(COLUMNS($AO$1006:AU1006),$AO$1006:$BQ$1006,0)))),"Fix")))</f>
        <v>#N/A</v>
      </c>
      <c r="I72" s="5" t="e">
        <f ca="1">IF(OR(INDEX($AI$2:$AI$1001,MATCH(ROWS($AH$2:AH72),$AH$2:$AH$1001,0),1)&gt;=100000,INDEX($AO$1005:$BQ$1005,1,MATCH(COLUMNS($AO$1006:AV1006),$AO$1006:$BQ$1006,0))&gt;=100000), " ",IF(INDEX($AO$2:$BQ$1001,MATCH(ROWS($AH$2:AH72),$AH$2:$AH$1001,0),MATCH(COLUMNS($AO$1006:AV1006),$AO$1006:$BQ$1006,0)), HYPERLINK("#",""), HYPERLINK(CONCATENATE("#Metadata!", ADDRESS(INDEX($AJ$2:$AJ$1001,MATCH(ROWS($AH$2:AH72),$AH$2:$AH$1001,0),0), INDEX($AO$1004:$BQ$1004,1,MATCH(COLUMNS($AO$1006:AV1006),$AO$1006:$BQ$1006,0)))),"Fix")))</f>
        <v>#N/A</v>
      </c>
      <c r="J72" s="5" t="e">
        <f ca="1">IF(OR(INDEX($AI$2:$AI$1001,MATCH(ROWS($AH$2:AH72),$AH$2:$AH$1001,0),1)&gt;=100000,INDEX($AO$1005:$BQ$1005,1,MATCH(COLUMNS($AO$1006:AW1006),$AO$1006:$BQ$1006,0))&gt;=100000), " ",IF(INDEX($AO$2:$BQ$1001,MATCH(ROWS($AH$2:AH72),$AH$2:$AH$1001,0),MATCH(COLUMNS($AO$1006:AW1006),$AO$1006:$BQ$1006,0)), HYPERLINK("#",""), HYPERLINK(CONCATENATE("#Metadata!", ADDRESS(INDEX($AJ$2:$AJ$1001,MATCH(ROWS($AH$2:AH72),$AH$2:$AH$1001,0),0), INDEX($AO$1004:$BQ$1004,1,MATCH(COLUMNS($AO$1006:AW1006),$AO$1006:$BQ$1006,0)))),"Fix")))</f>
        <v>#N/A</v>
      </c>
      <c r="K72" s="5" t="e">
        <f ca="1">IF(OR(INDEX($AI$2:$AI$1001,MATCH(ROWS($AH$2:AH72),$AH$2:$AH$1001,0),1)&gt;=100000,INDEX($AO$1005:$BQ$1005,1,MATCH(COLUMNS($AO$1006:AX1006),$AO$1006:$BQ$1006,0))&gt;=100000), " ",IF(INDEX($AO$2:$BQ$1001,MATCH(ROWS($AH$2:AH72),$AH$2:$AH$1001,0),MATCH(COLUMNS($AO$1006:AX1006),$AO$1006:$BQ$1006,0)), HYPERLINK("#",""), HYPERLINK(CONCATENATE("#Metadata!", ADDRESS(INDEX($AJ$2:$AJ$1001,MATCH(ROWS($AH$2:AH72),$AH$2:$AH$1001,0),0), INDEX($AO$1004:$BQ$1004,1,MATCH(COLUMNS($AO$1006:AX1006),$AO$1006:$BQ$1006,0)))),"Fix")))</f>
        <v>#N/A</v>
      </c>
      <c r="L72" s="5" t="e">
        <f ca="1">IF(OR(INDEX($AI$2:$AI$1001,MATCH(ROWS($AH$2:AH72),$AH$2:$AH$1001,0),1)&gt;=100000,INDEX($AO$1005:$BQ$1005,1,MATCH(COLUMNS($AO$1006:AY1006),$AO$1006:$BQ$1006,0))&gt;=100000), " ",IF(INDEX($AO$2:$BQ$1001,MATCH(ROWS($AH$2:AH72),$AH$2:$AH$1001,0),MATCH(COLUMNS($AO$1006:AY1006),$AO$1006:$BQ$1006,0)), HYPERLINK("#",""), HYPERLINK(CONCATENATE("#Metadata!", ADDRESS(INDEX($AJ$2:$AJ$1001,MATCH(ROWS($AH$2:AH72),$AH$2:$AH$1001,0),0), INDEX($AO$1004:$BQ$1004,1,MATCH(COLUMNS($AO$1006:AY1006),$AO$1006:$BQ$1006,0)))),"Fix")))</f>
        <v>#N/A</v>
      </c>
      <c r="M72" s="5" t="e">
        <f ca="1">IF(OR(INDEX($AI$2:$AI$1001,MATCH(ROWS($AH$2:AH72),$AH$2:$AH$1001,0),1)&gt;=100000,INDEX($AO$1005:$BQ$1005,1,MATCH(COLUMNS($AO$1006:AZ1006),$AO$1006:$BQ$1006,0))&gt;=100000), " ",IF(INDEX($AO$2:$BQ$1001,MATCH(ROWS($AH$2:AH72),$AH$2:$AH$1001,0),MATCH(COLUMNS($AO$1006:AZ1006),$AO$1006:$BQ$1006,0)), HYPERLINK("#",""), HYPERLINK(CONCATENATE("#Metadata!", ADDRESS(INDEX($AJ$2:$AJ$1001,MATCH(ROWS($AH$2:AH72),$AH$2:$AH$1001,0),0), INDEX($AO$1004:$BQ$1004,1,MATCH(COLUMNS($AO$1006:AZ1006),$AO$1006:$BQ$1006,0)))),"Fix")))</f>
        <v>#N/A</v>
      </c>
      <c r="N72" s="5" t="e">
        <f ca="1">IF(OR(INDEX($AI$2:$AI$1001,MATCH(ROWS($AH$2:AH72),$AH$2:$AH$1001,0),1)&gt;=100000,INDEX($AO$1005:$BQ$1005,1,MATCH(COLUMNS($AO$1006:BA1006),$AO$1006:$BQ$1006,0))&gt;=100000), " ",IF(INDEX($AO$2:$BQ$1001,MATCH(ROWS($AH$2:AH72),$AH$2:$AH$1001,0),MATCH(COLUMNS($AO$1006:BA1006),$AO$1006:$BQ$1006,0)), HYPERLINK("#",""), HYPERLINK(CONCATENATE("#Metadata!", ADDRESS(INDEX($AJ$2:$AJ$1001,MATCH(ROWS($AH$2:AH72),$AH$2:$AH$1001,0),0), INDEX($AO$1004:$BQ$1004,1,MATCH(COLUMNS($AO$1006:BA1006),$AO$1006:$BQ$1006,0)))),"Fix")))</f>
        <v>#N/A</v>
      </c>
      <c r="O72" s="5" t="e">
        <f ca="1">IF(OR(INDEX($AI$2:$AI$1001,MATCH(ROWS($AH$2:AH72),$AH$2:$AH$1001,0),1)&gt;=100000,INDEX($AO$1005:$BQ$1005,1,MATCH(COLUMNS($AO$1006:BB1006),$AO$1006:$BQ$1006,0))&gt;=100000), " ",IF(INDEX($AO$2:$BQ$1001,MATCH(ROWS($AH$2:AH72),$AH$2:$AH$1001,0),MATCH(COLUMNS($AO$1006:BB1006),$AO$1006:$BQ$1006,0)), HYPERLINK("#",""), HYPERLINK(CONCATENATE("#Metadata!", ADDRESS(INDEX($AJ$2:$AJ$1001,MATCH(ROWS($AH$2:AH72),$AH$2:$AH$1001,0),0), INDEX($AO$1004:$BQ$1004,1,MATCH(COLUMNS($AO$1006:BB1006),$AO$1006:$BQ$1006,0)))),"Fix")))</f>
        <v>#N/A</v>
      </c>
      <c r="P72" s="5" t="e">
        <f ca="1">IF(OR(INDEX($AI$2:$AI$1001,MATCH(ROWS($AH$2:AH72),$AH$2:$AH$1001,0),1)&gt;=100000,INDEX($AO$1005:$BQ$1005,1,MATCH(COLUMNS($AO$1006:BC1006),$AO$1006:$BQ$1006,0))&gt;=100000), " ",IF(INDEX($AO$2:$BQ$1001,MATCH(ROWS($AH$2:AH72),$AH$2:$AH$1001,0),MATCH(COLUMNS($AO$1006:BC1006),$AO$1006:$BQ$1006,0)), HYPERLINK("#",""), HYPERLINK(CONCATENATE("#Metadata!", ADDRESS(INDEX($AJ$2:$AJ$1001,MATCH(ROWS($AH$2:AH72),$AH$2:$AH$1001,0),0), INDEX($AO$1004:$BQ$1004,1,MATCH(COLUMNS($AO$1006:BC1006),$AO$1006:$BQ$1006,0)))),"Fix")))</f>
        <v>#N/A</v>
      </c>
      <c r="Q72" s="5" t="e">
        <f ca="1">IF(OR(INDEX($AI$2:$AI$1001,MATCH(ROWS($AH$2:AH72),$AH$2:$AH$1001,0),1)&gt;=100000,INDEX($AO$1005:$BQ$1005,1,MATCH(COLUMNS($AO$1006:BD1006),$AO$1006:$BQ$1006,0))&gt;=100000), " ",IF(INDEX($AO$2:$BQ$1001,MATCH(ROWS($AH$2:AH72),$AH$2:$AH$1001,0),MATCH(COLUMNS($AO$1006:BD1006),$AO$1006:$BQ$1006,0)), HYPERLINK("#",""), HYPERLINK(CONCATENATE("#Metadata!", ADDRESS(INDEX($AJ$2:$AJ$1001,MATCH(ROWS($AH$2:AH72),$AH$2:$AH$1001,0),0), INDEX($AO$1004:$BQ$1004,1,MATCH(COLUMNS($AO$1006:BD1006),$AO$1006:$BQ$1006,0)))),"Fix")))</f>
        <v>#N/A</v>
      </c>
      <c r="R72" s="5" t="e">
        <f ca="1">IF(OR(INDEX($AI$2:$AI$1001,MATCH(ROWS($AH$2:AH72),$AH$2:$AH$1001,0),1)&gt;=100000,INDEX($AO$1005:$BQ$1005,1,MATCH(COLUMNS($AO$1006:BE1006),$AO$1006:$BQ$1006,0))&gt;=100000), " ",IF(INDEX($AO$2:$BQ$1001,MATCH(ROWS($AH$2:AH72),$AH$2:$AH$1001,0),MATCH(COLUMNS($AO$1006:BE1006),$AO$1006:$BQ$1006,0)), HYPERLINK("#",""), HYPERLINK(CONCATENATE("#Metadata!", ADDRESS(INDEX($AJ$2:$AJ$1001,MATCH(ROWS($AH$2:AH72),$AH$2:$AH$1001,0),0), INDEX($AO$1004:$BQ$1004,1,MATCH(COLUMNS($AO$1006:BE1006),$AO$1006:$BQ$1006,0)))),"Fix")))</f>
        <v>#N/A</v>
      </c>
      <c r="S72" s="5" t="e">
        <f ca="1">IF(OR(INDEX($AI$2:$AI$1001,MATCH(ROWS($AH$2:AH72),$AH$2:$AH$1001,0),1)&gt;=100000,INDEX($AO$1005:$BQ$1005,1,MATCH(COLUMNS($AO$1006:BF1006),$AO$1006:$BQ$1006,0))&gt;=100000), " ",IF(INDEX($AO$2:$BQ$1001,MATCH(ROWS($AH$2:AH72),$AH$2:$AH$1001,0),MATCH(COLUMNS($AO$1006:BF1006),$AO$1006:$BQ$1006,0)), HYPERLINK("#",""), HYPERLINK(CONCATENATE("#Metadata!", ADDRESS(INDEX($AJ$2:$AJ$1001,MATCH(ROWS($AH$2:AH72),$AH$2:$AH$1001,0),0), INDEX($AO$1004:$BQ$1004,1,MATCH(COLUMNS($AO$1006:BF1006),$AO$1006:$BQ$1006,0)))),"Fix")))</f>
        <v>#N/A</v>
      </c>
      <c r="T72" s="5" t="e">
        <f ca="1">IF(OR(INDEX($AI$2:$AI$1001,MATCH(ROWS($AH$2:AH72),$AH$2:$AH$1001,0),1)&gt;=100000,INDEX($AO$1005:$BQ$1005,1,MATCH(COLUMNS($AO$1006:BG1006),$AO$1006:$BQ$1006,0))&gt;=100000), " ",IF(INDEX($AO$2:$BQ$1001,MATCH(ROWS($AH$2:AH72),$AH$2:$AH$1001,0),MATCH(COLUMNS($AO$1006:BG1006),$AO$1006:$BQ$1006,0)), HYPERLINK("#",""), HYPERLINK(CONCATENATE("#Metadata!", ADDRESS(INDEX($AJ$2:$AJ$1001,MATCH(ROWS($AH$2:AH72),$AH$2:$AH$1001,0),0), INDEX($AO$1004:$BQ$1004,1,MATCH(COLUMNS($AO$1006:BG1006),$AO$1006:$BQ$1006,0)))),"Fix")))</f>
        <v>#N/A</v>
      </c>
      <c r="U72" s="5" t="e">
        <f ca="1">IF(OR(INDEX($AI$2:$AI$1001,MATCH(ROWS($AH$2:AH72),$AH$2:$AH$1001,0),1)&gt;=100000,INDEX($AO$1005:$BQ$1005,1,MATCH(COLUMNS($AO$1006:BH1006),$AO$1006:$BQ$1006,0))&gt;=100000), " ",IF(INDEX($AO$2:$BQ$1001,MATCH(ROWS($AH$2:AH72),$AH$2:$AH$1001,0),MATCH(COLUMNS($AO$1006:BH1006),$AO$1006:$BQ$1006,0)), HYPERLINK("#",""), HYPERLINK(CONCATENATE("#Metadata!", ADDRESS(INDEX($AJ$2:$AJ$1001,MATCH(ROWS($AH$2:AH72),$AH$2:$AH$1001,0),0), INDEX($AO$1004:$BQ$1004,1,MATCH(COLUMNS($AO$1006:BH1006),$AO$1006:$BQ$1006,0)))),"Fix")))</f>
        <v>#N/A</v>
      </c>
      <c r="V72" s="5" t="e">
        <f ca="1">IF(OR(INDEX($AI$2:$AI$1001,MATCH(ROWS($AH$2:AH72),$AH$2:$AH$1001,0),1)&gt;=100000,INDEX($AO$1005:$BQ$1005,1,MATCH(COLUMNS($AO$1006:BI1006),$AO$1006:$BQ$1006,0))&gt;=100000), " ",IF(INDEX($AO$2:$BQ$1001,MATCH(ROWS($AH$2:AH72),$AH$2:$AH$1001,0),MATCH(COLUMNS($AO$1006:BI1006),$AO$1006:$BQ$1006,0)), HYPERLINK("#",""), HYPERLINK(CONCATENATE("#Metadata!", ADDRESS(INDEX($AJ$2:$AJ$1001,MATCH(ROWS($AH$2:AH72),$AH$2:$AH$1001,0),0), INDEX($AO$1004:$BQ$1004,1,MATCH(COLUMNS($AO$1006:BI1006),$AO$1006:$BQ$1006,0)))),"Fix")))</f>
        <v>#N/A</v>
      </c>
      <c r="W72" s="5" t="e">
        <f ca="1">IF(OR(INDEX($AI$2:$AI$1001,MATCH(ROWS($AH$2:AH72),$AH$2:$AH$1001,0),1)&gt;=100000,INDEX($AO$1005:$BQ$1005,1,MATCH(COLUMNS($AO$1006:BJ1006),$AO$1006:$BQ$1006,0))&gt;=100000), " ",IF(INDEX($AO$2:$BQ$1001,MATCH(ROWS($AH$2:AH72),$AH$2:$AH$1001,0),MATCH(COLUMNS($AO$1006:BJ1006),$AO$1006:$BQ$1006,0)), HYPERLINK("#",""), HYPERLINK(CONCATENATE("#Metadata!", ADDRESS(INDEX($AJ$2:$AJ$1001,MATCH(ROWS($AH$2:AH72),$AH$2:$AH$1001,0),0), INDEX($AO$1004:$BQ$1004,1,MATCH(COLUMNS($AO$1006:BJ1006),$AO$1006:$BQ$1006,0)))),"Fix")))</f>
        <v>#N/A</v>
      </c>
      <c r="X72" s="5" t="e">
        <f ca="1">IF(OR(INDEX($AI$2:$AI$1001,MATCH(ROWS($AH$2:AH72),$AH$2:$AH$1001,0),1)&gt;=100000,INDEX($AO$1005:$BQ$1005,1,MATCH(COLUMNS($AO$1006:BK1006),$AO$1006:$BQ$1006,0))&gt;=100000), " ",IF(INDEX($AO$2:$BQ$1001,MATCH(ROWS($AH$2:AH72),$AH$2:$AH$1001,0),MATCH(COLUMNS($AO$1006:BK1006),$AO$1006:$BQ$1006,0)), HYPERLINK("#",""), HYPERLINK(CONCATENATE("#Metadata!", ADDRESS(INDEX($AJ$2:$AJ$1001,MATCH(ROWS($AH$2:AH72),$AH$2:$AH$1001,0),0), INDEX($AO$1004:$BQ$1004,1,MATCH(COLUMNS($AO$1006:BK1006),$AO$1006:$BQ$1006,0)))),"Fix")))</f>
        <v>#N/A</v>
      </c>
      <c r="Y72" s="5" t="e">
        <f ca="1">IF(OR(INDEX($AI$2:$AI$1001,MATCH(ROWS($AH$2:AH72),$AH$2:$AH$1001,0),1)&gt;=100000,INDEX($AO$1005:$BQ$1005,1,MATCH(COLUMNS($AO$1006:BL1006),$AO$1006:$BQ$1006,0))&gt;=100000), " ",IF(INDEX($AO$2:$BQ$1001,MATCH(ROWS($AH$2:AH72),$AH$2:$AH$1001,0),MATCH(COLUMNS($AO$1006:BL1006),$AO$1006:$BQ$1006,0)), HYPERLINK("#",""), HYPERLINK(CONCATENATE("#Metadata!", ADDRESS(INDEX($AJ$2:$AJ$1001,MATCH(ROWS($AH$2:AH72),$AH$2:$AH$1001,0),0), INDEX($AO$1004:$BQ$1004,1,MATCH(COLUMNS($AO$1006:BL1006),$AO$1006:$BQ$1006,0)))),"Fix")))</f>
        <v>#N/A</v>
      </c>
      <c r="Z72" s="5" t="e">
        <f ca="1">IF(OR(INDEX($AI$2:$AI$1001,MATCH(ROWS($AH$2:AH72),$AH$2:$AH$1001,0),1)&gt;=100000,INDEX($AO$1005:$BQ$1005,1,MATCH(COLUMNS($AO$1006:BM1006),$AO$1006:$BQ$1006,0))&gt;=100000), " ",IF(INDEX($AO$2:$BQ$1001,MATCH(ROWS($AH$2:AH72),$AH$2:$AH$1001,0),MATCH(COLUMNS($AO$1006:BM1006),$AO$1006:$BQ$1006,0)), HYPERLINK("#",""), HYPERLINK(CONCATENATE("#Metadata!", ADDRESS(INDEX($AJ$2:$AJ$1001,MATCH(ROWS($AH$2:AH72),$AH$2:$AH$1001,0),0), INDEX($AO$1004:$BQ$1004,1,MATCH(COLUMNS($AO$1006:BM1006),$AO$1006:$BQ$1006,0)))),"Fix")))</f>
        <v>#N/A</v>
      </c>
      <c r="AA72" s="5" t="e">
        <f ca="1">IF(OR(INDEX($AI$2:$AI$1001,MATCH(ROWS($AH$2:AH72),$AH$2:$AH$1001,0),1)&gt;=100000,INDEX($AO$1005:$BQ$1005,1,MATCH(COLUMNS($AO$1006:BN1006),$AO$1006:$BQ$1006,0))&gt;=100000), " ",IF(INDEX($AO$2:$BQ$1001,MATCH(ROWS($AH$2:AH72),$AH$2:$AH$1001,0),MATCH(COLUMNS($AO$1006:BN1006),$AO$1006:$BQ$1006,0)), HYPERLINK("#",""), HYPERLINK(CONCATENATE("#Metadata!", ADDRESS(INDEX($AJ$2:$AJ$1001,MATCH(ROWS($AH$2:AH72),$AH$2:$AH$1001,0),0), INDEX($AO$1004:$BQ$1004,1,MATCH(COLUMNS($AO$1006:BN1006),$AO$1006:$BQ$1006,0)))),"Fix")))</f>
        <v>#N/A</v>
      </c>
      <c r="AB72" s="5" t="e">
        <f ca="1">IF(OR(INDEX($AI$2:$AI$1001,MATCH(ROWS($AH$2:AH72),$AH$2:$AH$1001,0),1)&gt;=100000,INDEX($AO$1005:$BQ$1005,1,MATCH(COLUMNS($AO$1006:BO1006),$AO$1006:$BQ$1006,0))&gt;=100000), " ",IF(INDEX($AO$2:$BQ$1001,MATCH(ROWS($AH$2:AH72),$AH$2:$AH$1001,0),MATCH(COLUMNS($AO$1006:BO1006),$AO$1006:$BQ$1006,0)), HYPERLINK("#",""), HYPERLINK(CONCATENATE("#Metadata!", ADDRESS(INDEX($AJ$2:$AJ$1001,MATCH(ROWS($AH$2:AH72),$AH$2:$AH$1001,0),0), INDEX($AO$1004:$BQ$1004,1,MATCH(COLUMNS($AO$1006:BO1006),$AO$1006:$BQ$1006,0)))),"Fix")))</f>
        <v>#N/A</v>
      </c>
      <c r="AC72" s="5" t="e">
        <f ca="1">IF(OR(INDEX($AI$2:$AI$1001,MATCH(ROWS($AH$2:AH72),$AH$2:$AH$1001,0),1)&gt;=100000,INDEX($AO$1005:$BQ$1005,1,MATCH(COLUMNS($AO$1006:BP1006),$AO$1006:$BQ$1006,0))&gt;=100000), " ",IF(INDEX($AO$2:$BQ$1001,MATCH(ROWS($AH$2:AH72),$AH$2:$AH$1001,0),MATCH(COLUMNS($AO$1006:BP1006),$AO$1006:$BQ$1006,0)), HYPERLINK("#",""), HYPERLINK(CONCATENATE("#Metadata!", ADDRESS(INDEX($AJ$2:$AJ$1001,MATCH(ROWS($AH$2:AH72),$AH$2:$AH$1001,0),0), INDEX($AO$1004:$BQ$1004,1,MATCH(COLUMNS($AO$1006:BP1006),$AO$1006:$BQ$1006,0)))),"Fix")))</f>
        <v>#N/A</v>
      </c>
      <c r="AD72" s="5" t="e">
        <f ca="1">IF(OR(INDEX($AI$2:$AI$1001,MATCH(ROWS($AH$2:AH72),$AH$2:$AH$1001,0),1)&gt;=100000,INDEX($AO$1005:$BQ$1005,1,MATCH(COLUMNS($AO$1006:BQ1006),$AO$1006:$BQ$1006,0))&gt;=100000), " ",IF(INDEX($AO$2:$BQ$1001,MATCH(ROWS($AH$2:AH72),$AH$2:$AH$1001,0),MATCH(COLUMNS($AO$1006:BQ1006),$AO$1006:$BQ$1006,0)), HYPERLINK("#",""), HYPERLINK(CONCATENATE("#Metadata!", ADDRESS(INDEX($AJ$2:$AJ$1001,MATCH(ROWS($AH$2:AH72),$AH$2:$AH$1001,0),0), INDEX($AO$1004:$BQ$1004,1,MATCH(COLUMNS($AO$1006:BQ1006),$AO$1006:$BQ$1006,0)))),"Fix")))</f>
        <v>#REF!</v>
      </c>
      <c r="AH72">
        <f ca="1"/>
        <v>69</v>
      </c>
      <c r="AI72">
        <v>100072</v>
      </c>
      <c r="AJ72">
        <v>72</v>
      </c>
      <c r="AK72" t="b">
        <f t="shared" si="1"/>
        <v>1</v>
      </c>
      <c r="AL72" t="b">
        <f>COUNTBLANK(Metadata!B72:AD72)=COLUMNS(Metadata!B72:AD72)</f>
        <v>1</v>
      </c>
      <c r="AM72" t="str">
        <v/>
      </c>
      <c r="AO72" t="b">
        <f ca="1">AND(IF(Metadata!B72="",FALSE,TRUE),COUNTIF(Metadata!B:B, Metadata!B72) = 1,NOT(ISERROR(SUMPRODUCT(SEARCH(MID(Metadata!B72,ROW(INDIRECT("1:"&amp;LEN(Metadata!B72))), 1),"0123456789abcdefghijklmnopqrstuvwxyzABCDEFGHIJKLMNOPQRSTUVWXYZ.")))))</f>
        <v>0</v>
      </c>
      <c r="AP72" t="b">
        <f>IF(Metadata!C72="",FALSE,TRUE)</f>
        <v>0</v>
      </c>
      <c r="AQ72" t="b">
        <f>IF(Metadata!D72="",FALSE,TRUE)</f>
        <v>0</v>
      </c>
      <c r="AR72" t="b">
        <f ca="1">OR(AND(IF(Metadata!E72="",FALSE,TRUE),OR(EXACT(Metadata!E72,"not collected"),EXACT(Metadata!E72,"not provided"),EXACT(Metadata!E72,"restricted access"))),AND(IF(Metadata!E72="",FALSE,TRUE),AND(AND(IFERROR(INT(LEFT(Metadata!E72,4))&gt;1900,FALSE),IFERROR(INT(LEFT(Metadata!E72,4))&lt;=YEAR(NOW()),FALSE)), OR(MID(Metadata!E72,5,1)="", AND(AND(MID(Metadata!E72,5,1)="-",IFERROR(INT(MID(Metadata!E72,6,1))&gt;=0,FALSE),IFERROR(INT(MID(Metadata!E72,6,1))&lt;=1,FALSE),NOT(MID(Metadata!E72,7,1)=""),IFERROR(INT(MID(Metadata!E72,6,2))&gt;=1,FALSE),IFERROR(INT(MID(Metadata!E72,6,2))&lt;=12,FALSE)), OR(MID(Metadata!E72,8,1)="", AND(AND(MID(Metadata!E72,8,1)="-",IFERROR(INT(MID(Metadata!E72,9,1))&gt;=0,FALSE),IFERROR(INT(MID(Metadata!E72,9,1))&lt;=3,FALSE),NOT(MID(Metadata!E72,10,1)=""),IFERROR(INT(MID(Metadata!E72,9,2))&gt;=1,FALSE),IFERROR(INT(MID(Metadata!E72,9,2))&lt;=31,FALSE)), OR(MID(Metadata!E72,11,1)="", AND(AND(MID(Metadata!E72,11,1)=" ",IFERROR(INT(MID(Metadata!E72,12,1))&gt;=0,FALSE),IFERROR(INT(MID(Metadata!E72,12,1))&lt;=2,FALSE),NOT(MID(Metadata!E72,13,1)=""),IFERROR(INT(MID(Metadata!E72,12,2))&gt;=0,FALSE),IFERROR(INT(MID(Metadata!E72,12,2))&lt;=23,FALSE)), OR(MID(Metadata!E72,14,1)="", AND(AND(MID(Metadata!E72,14,1)=":",IFERROR(INT(MID(Metadata!E72,15,1))&gt;=0,FALSE),IFERROR(INT(MID(Metadata!E72,15,1))&lt;=5,FALSE),NOT(MID(Metadata!E72,16,1)=""),IFERROR(INT(MID(Metadata!E72,15,2))&gt;=0,FALSE),IFERROR(INT(MID(Metadata!E72,15,2))&lt;=59,FALSE)), OR(MID(Metadata!E72,17,1)="", AND(AND(MID(Metadata!E72,17,1)=":",IFERROR(INT(MID(Metadata!E72,18,1))&gt;=0,FALSE),IFERROR(INT(MID(Metadata!E72,18,1))&lt;=5,FALSE),NOT(MID(Metadata!E72,19,1)=""),IFERROR(INT(MID(Metadata!E72,18,2))&gt;=0,FALSE),IFERROR(INT(MID(Metadata!E72,18,2))&lt;=59,FALSE)), LEN(Metadata!E72)&lt;=19)))))))))))))</f>
        <v>0</v>
      </c>
      <c r="AS72" t="b">
        <f>IF(Metadata!F72="",FALSE,TRUE)</f>
        <v>0</v>
      </c>
      <c r="AT72" t="b">
        <f>OR(AND(IF(Metadata!G72="",FALSE,TRUE),OR(EXACT(Metadata!G72,"not collected"),EXACT(Metadata!G72,"not provided"))),AND(IF(Metadata!G72="",FALSE,TRUE),OR(EXACT(Metadata!G72,"TRUE"),EXACT(Metadata!G72,"FALSE"))))</f>
        <v>0</v>
      </c>
      <c r="AU72" t="b">
        <f>OR(AND(IF(Metadata!H72="",FALSE,TRUE),OR(EXACT(Metadata!H72,"not collected"),EXACT(Metadata!H72,"not provided"),EXACT(Metadata!H72,"restricted access"))),AND(IF(Metadata!H72="",FALSE,ISNUMBER(VALUE(Metadata!H72))),Metadata!H72&gt;=-413))</f>
        <v>0</v>
      </c>
      <c r="AV72" t="b">
        <f>AND(IF(Metadata!I72="",FALSE,TRUE),EXACT(Metadata!I72,"meters"))</f>
        <v>0</v>
      </c>
      <c r="AW72" t="b">
        <f>AND(IF(Metadata!J72="",FALSE,TRUE),EXACT(Metadata!J72,"free-living"))</f>
        <v>0</v>
      </c>
      <c r="AX72" t="b">
        <f>AND(IF(Metadata!K72="",FALSE,TRUE),OR(EXACT(Metadata!K72,"saline"),EXACT(Metadata!K72,"non-saline")))</f>
        <v>0</v>
      </c>
      <c r="AY72" t="b">
        <f>AND(IF(Metadata!L72="",FALSE,TRUE),OR(EXACT(Metadata!L72,"sub-surface (non-saline)"),EXACT(Metadata!L72,"surface (non-saline)"),EXACT(Metadata!L72,"water (non-saline)"),EXACT(Metadata!L72,"soil (non-saline)"),EXACT(Metadata!L72,"aerosol (non-saline)"),EXACT(Metadata!L72,"sediment (non-saline)"),EXACT(Metadata!L72,"surface (saline)"),EXACT(Metadata!L72,"water (saline)"),EXACT(Metadata!L72,"hypersaline (saline)"),EXACT(Metadata!L72,"aerosol (saline)"),EXACT(Metadata!L72,"sediment (saline)")))</f>
        <v>0</v>
      </c>
      <c r="AZ72" t="b">
        <f>IF(Metadata!M72="",FALSE,TRUE)</f>
        <v>0</v>
      </c>
      <c r="BA72" t="b">
        <f>IF(Metadata!N72="",FALSE,TRUE)</f>
        <v>0</v>
      </c>
      <c r="BB72" t="b">
        <f>IF(Metadata!O72="",FALSE,TRUE)</f>
        <v>0</v>
      </c>
      <c r="BC72" t="b">
        <f>AND(IF(Metadata!P72="",FALSE,TRUE),OR(EXACT(Metadata!P72,"air"),EXACT(Metadata!P72,"microbial mat/biofilm"),EXACT(Metadata!P72,"misc environment"),EXACT(Metadata!P72,"sediment"),EXACT(Metadata!P72,"soil"),EXACT(Metadata!P72,"wastewater/sludge"),EXACT(Metadata!P72,"water")))</f>
        <v>0</v>
      </c>
      <c r="BD72" t="b">
        <f>IF(Metadata!Q72="",FALSE,TRUE)</f>
        <v>0</v>
      </c>
      <c r="BE72" t="b">
        <f>IF(Metadata!R72="",FALSE,TRUE)</f>
        <v>0</v>
      </c>
      <c r="BF72" t="b">
        <f>OR(AND(IF(Metadata!S72="",FALSE,TRUE),OR(EXACT(Metadata!S72,"not collected"),EXACT(Metadata!S72,"not provided"),EXACT(Metadata!S72,"restricted access"))),AND(IF(Metadata!S72="",FALSE,ISNUMBER(VALUE(Metadata!S72))),Metadata!S72&gt;=-90,Metadata!S72&lt;=90))</f>
        <v>0</v>
      </c>
      <c r="BG72" t="b">
        <f>AND(IF(Metadata!T72="",FALSE,TRUE),EXACT(Metadata!T72,"Decimal degrees"))</f>
        <v>0</v>
      </c>
      <c r="BH72" t="b">
        <f>OR(AND(IF(Metadata!U72="",FALSE,TRUE),OR(EXACT(Metadata!U72,"not applicable"),EXACT(Metadata!U72,"not collected"))),IF(Metadata!U72="",FALSE,TRUE))</f>
        <v>0</v>
      </c>
      <c r="BI72" t="b">
        <f>OR(AND(IF(Metadata!V72="",FALSE,TRUE),OR(EXACT(Metadata!V72,"not collected"),EXACT(Metadata!V72,"not provided"),EXACT(Metadata!V72,"restricted access"))),AND(IF(Metadata!V72="",FALSE,ISNUMBER(VALUE(Metadata!V72))),Metadata!V72&gt;=-180,Metadata!V72&lt;=180))</f>
        <v>0</v>
      </c>
      <c r="BJ72" t="b">
        <f>AND(IF(Metadata!W72="",FALSE,TRUE),EXACT(Metadata!W72,"Decimal degrees"))</f>
        <v>0</v>
      </c>
      <c r="BK72" t="b">
        <f>IF(Metadata!X72="",FALSE,TRUE)</f>
        <v>0</v>
      </c>
      <c r="BL72" t="b">
        <f>OR(AND(IF(Metadata!Y72="",FALSE,TRUE),OR(EXACT(Metadata!Y72,"not collected"),EXACT(Metadata!Y72,"not provided"),EXACT(Metadata!Y72,"restricted access"))),AND(IF(Metadata!Y72="",FALSE,TRUE),OR(EXACT(Metadata!Y72,"TRUE"),EXACT(Metadata!Y72,"FALSE"))))</f>
        <v>0</v>
      </c>
      <c r="BM72" t="b">
        <f>OR(AND(IF(Metadata!Z72="",FALSE,TRUE),EXACT(Metadata!Z72,"not applicable")),AND(IF(Metadata!Z72="",FALSE,TRUE),OR(EXACT(Metadata!Z72,"beer"),EXACT(Metadata!Z72,"cheese"),EXACT(Metadata!Z72,"fresh water"),EXACT(Metadata!Z72,"marine sediment"),EXACT(Metadata!Z72,"sea water"),EXACT(Metadata!Z72,"sediment"),EXACT(Metadata!Z72,"soil"),EXACT(Metadata!Z72,"waste water"))))</f>
        <v>0</v>
      </c>
      <c r="BN72" t="b">
        <f>AND(IF(Metadata!AA72="",FALSE,TRUE),EXACT(Metadata!AA72,"metagenome"))</f>
        <v>0</v>
      </c>
      <c r="BO72" t="b">
        <f>AND(IF(Metadata!AB72="",FALSE,TRUE),EXACT(Metadata!AB72,"256318"))</f>
        <v>0</v>
      </c>
      <c r="BP72" t="b">
        <f>IF(Metadata!AC72="",FALSE,TRUE)</f>
        <v>0</v>
      </c>
      <c r="BQ72" t="b">
        <f>IF(Metadata!AD72="",FALSE,TRUE)</f>
        <v>0</v>
      </c>
    </row>
    <row r="73" spans="1:69" x14ac:dyDescent="0.2">
      <c r="A73" s="4" t="e">
        <f ca="1">IF(B73=" "," ",HYPERLINK(CONCATENATE("#metadata!",ADDRESS(INDEX($AJ$2:$AJ$1001,MATCH(ROWS($AH$2:AH73),$AH$2:$AH$1001,0),0),2)),INDEX($AM$2:$AM$1001,MATCH(ROWS($AH$2:AH73),$AH$2:$AH$1001,0),0)))</f>
        <v>#N/A</v>
      </c>
      <c r="B73" s="5" t="e">
        <f ca="1">IF(OR(INDEX($AI$2:$AI$1001,MATCH(ROWS($AH$2:AH73),$AH$2:$AH$1001,0),1)&gt;=100000,INDEX($AO$1005:$BQ$1005,1,MATCH(COLUMNS($AO$1006:AO1006),$AO$1006:$BQ$1006,0))&gt;=100000), " ",IF(INDEX($AO$2:$BQ$1001,MATCH(ROWS($AH$2:AH73),$AH$2:$AH$1001,0),MATCH(COLUMNS($AO$1006:AO1006),$AO$1006:$BQ$1006,0)), HYPERLINK("#",""), HYPERLINK(CONCATENATE("#Metadata!", ADDRESS(INDEX($AJ$2:$AJ$1001,MATCH(ROWS($AH$2:AH73),$AH$2:$AH$1001,0),0), INDEX($AO$1004:$BQ$1004,1,MATCH(COLUMNS($AO$1006:AO1006),$AO$1006:$BQ$1006,0)))),"Fix")))</f>
        <v>#N/A</v>
      </c>
      <c r="C73" s="5" t="e">
        <f ca="1">IF(OR(INDEX($AI$2:$AI$1001,MATCH(ROWS($AH$2:AH73),$AH$2:$AH$1001,0),1)&gt;=100000,INDEX($AO$1005:$BQ$1005,1,MATCH(COLUMNS($AO$1006:AP1006),$AO$1006:$BQ$1006,0))&gt;=100000), " ",IF(INDEX($AO$2:$BQ$1001,MATCH(ROWS($AH$2:AH73),$AH$2:$AH$1001,0),MATCH(COLUMNS($AO$1006:AP1006),$AO$1006:$BQ$1006,0)), HYPERLINK("#",""), HYPERLINK(CONCATENATE("#Metadata!", ADDRESS(INDEX($AJ$2:$AJ$1001,MATCH(ROWS($AH$2:AH73),$AH$2:$AH$1001,0),0), INDEX($AO$1004:$BQ$1004,1,MATCH(COLUMNS($AO$1006:AP1006),$AO$1006:$BQ$1006,0)))),"Fix")))</f>
        <v>#N/A</v>
      </c>
      <c r="D73" s="5" t="e">
        <f ca="1">IF(OR(INDEX($AI$2:$AI$1001,MATCH(ROWS($AH$2:AH73),$AH$2:$AH$1001,0),1)&gt;=100000,INDEX($AO$1005:$BQ$1005,1,MATCH(COLUMNS($AO$1006:AQ1006),$AO$1006:$BQ$1006,0))&gt;=100000), " ",IF(INDEX($AO$2:$BQ$1001,MATCH(ROWS($AH$2:AH73),$AH$2:$AH$1001,0),MATCH(COLUMNS($AO$1006:AQ1006),$AO$1006:$BQ$1006,0)), HYPERLINK("#",""), HYPERLINK(CONCATENATE("#Metadata!", ADDRESS(INDEX($AJ$2:$AJ$1001,MATCH(ROWS($AH$2:AH73),$AH$2:$AH$1001,0),0), INDEX($AO$1004:$BQ$1004,1,MATCH(COLUMNS($AO$1006:AQ1006),$AO$1006:$BQ$1006,0)))),"Fix")))</f>
        <v>#N/A</v>
      </c>
      <c r="E73" s="5" t="e">
        <f ca="1">IF(OR(INDEX($AI$2:$AI$1001,MATCH(ROWS($AH$2:AH73),$AH$2:$AH$1001,0),1)&gt;=100000,INDEX($AO$1005:$BQ$1005,1,MATCH(COLUMNS($AO$1006:AR1006),$AO$1006:$BQ$1006,0))&gt;=100000), " ",IF(INDEX($AO$2:$BQ$1001,MATCH(ROWS($AH$2:AH73),$AH$2:$AH$1001,0),MATCH(COLUMNS($AO$1006:AR1006),$AO$1006:$BQ$1006,0)), HYPERLINK("#",""), HYPERLINK(CONCATENATE("#Metadata!", ADDRESS(INDEX($AJ$2:$AJ$1001,MATCH(ROWS($AH$2:AH73),$AH$2:$AH$1001,0),0), INDEX($AO$1004:$BQ$1004,1,MATCH(COLUMNS($AO$1006:AR1006),$AO$1006:$BQ$1006,0)))),"Fix")))</f>
        <v>#N/A</v>
      </c>
      <c r="F73" s="5" t="e">
        <f ca="1">IF(OR(INDEX($AI$2:$AI$1001,MATCH(ROWS($AH$2:AH73),$AH$2:$AH$1001,0),1)&gt;=100000,INDEX($AO$1005:$BQ$1005,1,MATCH(COLUMNS($AO$1006:AS1006),$AO$1006:$BQ$1006,0))&gt;=100000), " ",IF(INDEX($AO$2:$BQ$1001,MATCH(ROWS($AH$2:AH73),$AH$2:$AH$1001,0),MATCH(COLUMNS($AO$1006:AS1006),$AO$1006:$BQ$1006,0)), HYPERLINK("#",""), HYPERLINK(CONCATENATE("#Metadata!", ADDRESS(INDEX($AJ$2:$AJ$1001,MATCH(ROWS($AH$2:AH73),$AH$2:$AH$1001,0),0), INDEX($AO$1004:$BQ$1004,1,MATCH(COLUMNS($AO$1006:AS1006),$AO$1006:$BQ$1006,0)))),"Fix")))</f>
        <v>#N/A</v>
      </c>
      <c r="G73" s="5" t="e">
        <f ca="1">IF(OR(INDEX($AI$2:$AI$1001,MATCH(ROWS($AH$2:AH73),$AH$2:$AH$1001,0),1)&gt;=100000,INDEX($AO$1005:$BQ$1005,1,MATCH(COLUMNS($AO$1006:AT1006),$AO$1006:$BQ$1006,0))&gt;=100000), " ",IF(INDEX($AO$2:$BQ$1001,MATCH(ROWS($AH$2:AH73),$AH$2:$AH$1001,0),MATCH(COLUMNS($AO$1006:AT1006),$AO$1006:$BQ$1006,0)), HYPERLINK("#",""), HYPERLINK(CONCATENATE("#Metadata!", ADDRESS(INDEX($AJ$2:$AJ$1001,MATCH(ROWS($AH$2:AH73),$AH$2:$AH$1001,0),0), INDEX($AO$1004:$BQ$1004,1,MATCH(COLUMNS($AO$1006:AT1006),$AO$1006:$BQ$1006,0)))),"Fix")))</f>
        <v>#N/A</v>
      </c>
      <c r="H73" s="5" t="e">
        <f ca="1">IF(OR(INDEX($AI$2:$AI$1001,MATCH(ROWS($AH$2:AH73),$AH$2:$AH$1001,0),1)&gt;=100000,INDEX($AO$1005:$BQ$1005,1,MATCH(COLUMNS($AO$1006:AU1006),$AO$1006:$BQ$1006,0))&gt;=100000), " ",IF(INDEX($AO$2:$BQ$1001,MATCH(ROWS($AH$2:AH73),$AH$2:$AH$1001,0),MATCH(COLUMNS($AO$1006:AU1006),$AO$1006:$BQ$1006,0)), HYPERLINK("#",""), HYPERLINK(CONCATENATE("#Metadata!", ADDRESS(INDEX($AJ$2:$AJ$1001,MATCH(ROWS($AH$2:AH73),$AH$2:$AH$1001,0),0), INDEX($AO$1004:$BQ$1004,1,MATCH(COLUMNS($AO$1006:AU1006),$AO$1006:$BQ$1006,0)))),"Fix")))</f>
        <v>#N/A</v>
      </c>
      <c r="I73" s="5" t="e">
        <f ca="1">IF(OR(INDEX($AI$2:$AI$1001,MATCH(ROWS($AH$2:AH73),$AH$2:$AH$1001,0),1)&gt;=100000,INDEX($AO$1005:$BQ$1005,1,MATCH(COLUMNS($AO$1006:AV1006),$AO$1006:$BQ$1006,0))&gt;=100000), " ",IF(INDEX($AO$2:$BQ$1001,MATCH(ROWS($AH$2:AH73),$AH$2:$AH$1001,0),MATCH(COLUMNS($AO$1006:AV1006),$AO$1006:$BQ$1006,0)), HYPERLINK("#",""), HYPERLINK(CONCATENATE("#Metadata!", ADDRESS(INDEX($AJ$2:$AJ$1001,MATCH(ROWS($AH$2:AH73),$AH$2:$AH$1001,0),0), INDEX($AO$1004:$BQ$1004,1,MATCH(COLUMNS($AO$1006:AV1006),$AO$1006:$BQ$1006,0)))),"Fix")))</f>
        <v>#N/A</v>
      </c>
      <c r="J73" s="5" t="e">
        <f ca="1">IF(OR(INDEX($AI$2:$AI$1001,MATCH(ROWS($AH$2:AH73),$AH$2:$AH$1001,0),1)&gt;=100000,INDEX($AO$1005:$BQ$1005,1,MATCH(COLUMNS($AO$1006:AW1006),$AO$1006:$BQ$1006,0))&gt;=100000), " ",IF(INDEX($AO$2:$BQ$1001,MATCH(ROWS($AH$2:AH73),$AH$2:$AH$1001,0),MATCH(COLUMNS($AO$1006:AW1006),$AO$1006:$BQ$1006,0)), HYPERLINK("#",""), HYPERLINK(CONCATENATE("#Metadata!", ADDRESS(INDEX($AJ$2:$AJ$1001,MATCH(ROWS($AH$2:AH73),$AH$2:$AH$1001,0),0), INDEX($AO$1004:$BQ$1004,1,MATCH(COLUMNS($AO$1006:AW1006),$AO$1006:$BQ$1006,0)))),"Fix")))</f>
        <v>#N/A</v>
      </c>
      <c r="K73" s="5" t="e">
        <f ca="1">IF(OR(INDEX($AI$2:$AI$1001,MATCH(ROWS($AH$2:AH73),$AH$2:$AH$1001,0),1)&gt;=100000,INDEX($AO$1005:$BQ$1005,1,MATCH(COLUMNS($AO$1006:AX1006),$AO$1006:$BQ$1006,0))&gt;=100000), " ",IF(INDEX($AO$2:$BQ$1001,MATCH(ROWS($AH$2:AH73),$AH$2:$AH$1001,0),MATCH(COLUMNS($AO$1006:AX1006),$AO$1006:$BQ$1006,0)), HYPERLINK("#",""), HYPERLINK(CONCATENATE("#Metadata!", ADDRESS(INDEX($AJ$2:$AJ$1001,MATCH(ROWS($AH$2:AH73),$AH$2:$AH$1001,0),0), INDEX($AO$1004:$BQ$1004,1,MATCH(COLUMNS($AO$1006:AX1006),$AO$1006:$BQ$1006,0)))),"Fix")))</f>
        <v>#N/A</v>
      </c>
      <c r="L73" s="5" t="e">
        <f ca="1">IF(OR(INDEX($AI$2:$AI$1001,MATCH(ROWS($AH$2:AH73),$AH$2:$AH$1001,0),1)&gt;=100000,INDEX($AO$1005:$BQ$1005,1,MATCH(COLUMNS($AO$1006:AY1006),$AO$1006:$BQ$1006,0))&gt;=100000), " ",IF(INDEX($AO$2:$BQ$1001,MATCH(ROWS($AH$2:AH73),$AH$2:$AH$1001,0),MATCH(COLUMNS($AO$1006:AY1006),$AO$1006:$BQ$1006,0)), HYPERLINK("#",""), HYPERLINK(CONCATENATE("#Metadata!", ADDRESS(INDEX($AJ$2:$AJ$1001,MATCH(ROWS($AH$2:AH73),$AH$2:$AH$1001,0),0), INDEX($AO$1004:$BQ$1004,1,MATCH(COLUMNS($AO$1006:AY1006),$AO$1006:$BQ$1006,0)))),"Fix")))</f>
        <v>#N/A</v>
      </c>
      <c r="M73" s="5" t="e">
        <f ca="1">IF(OR(INDEX($AI$2:$AI$1001,MATCH(ROWS($AH$2:AH73),$AH$2:$AH$1001,0),1)&gt;=100000,INDEX($AO$1005:$BQ$1005,1,MATCH(COLUMNS($AO$1006:AZ1006),$AO$1006:$BQ$1006,0))&gt;=100000), " ",IF(INDEX($AO$2:$BQ$1001,MATCH(ROWS($AH$2:AH73),$AH$2:$AH$1001,0),MATCH(COLUMNS($AO$1006:AZ1006),$AO$1006:$BQ$1006,0)), HYPERLINK("#",""), HYPERLINK(CONCATENATE("#Metadata!", ADDRESS(INDEX($AJ$2:$AJ$1001,MATCH(ROWS($AH$2:AH73),$AH$2:$AH$1001,0),0), INDEX($AO$1004:$BQ$1004,1,MATCH(COLUMNS($AO$1006:AZ1006),$AO$1006:$BQ$1006,0)))),"Fix")))</f>
        <v>#N/A</v>
      </c>
      <c r="N73" s="5" t="e">
        <f ca="1">IF(OR(INDEX($AI$2:$AI$1001,MATCH(ROWS($AH$2:AH73),$AH$2:$AH$1001,0),1)&gt;=100000,INDEX($AO$1005:$BQ$1005,1,MATCH(COLUMNS($AO$1006:BA1006),$AO$1006:$BQ$1006,0))&gt;=100000), " ",IF(INDEX($AO$2:$BQ$1001,MATCH(ROWS($AH$2:AH73),$AH$2:$AH$1001,0),MATCH(COLUMNS($AO$1006:BA1006),$AO$1006:$BQ$1006,0)), HYPERLINK("#",""), HYPERLINK(CONCATENATE("#Metadata!", ADDRESS(INDEX($AJ$2:$AJ$1001,MATCH(ROWS($AH$2:AH73),$AH$2:$AH$1001,0),0), INDEX($AO$1004:$BQ$1004,1,MATCH(COLUMNS($AO$1006:BA1006),$AO$1006:$BQ$1006,0)))),"Fix")))</f>
        <v>#N/A</v>
      </c>
      <c r="O73" s="5" t="e">
        <f ca="1">IF(OR(INDEX($AI$2:$AI$1001,MATCH(ROWS($AH$2:AH73),$AH$2:$AH$1001,0),1)&gt;=100000,INDEX($AO$1005:$BQ$1005,1,MATCH(COLUMNS($AO$1006:BB1006),$AO$1006:$BQ$1006,0))&gt;=100000), " ",IF(INDEX($AO$2:$BQ$1001,MATCH(ROWS($AH$2:AH73),$AH$2:$AH$1001,0),MATCH(COLUMNS($AO$1006:BB1006),$AO$1006:$BQ$1006,0)), HYPERLINK("#",""), HYPERLINK(CONCATENATE("#Metadata!", ADDRESS(INDEX($AJ$2:$AJ$1001,MATCH(ROWS($AH$2:AH73),$AH$2:$AH$1001,0),0), INDEX($AO$1004:$BQ$1004,1,MATCH(COLUMNS($AO$1006:BB1006),$AO$1006:$BQ$1006,0)))),"Fix")))</f>
        <v>#N/A</v>
      </c>
      <c r="P73" s="5" t="e">
        <f ca="1">IF(OR(INDEX($AI$2:$AI$1001,MATCH(ROWS($AH$2:AH73),$AH$2:$AH$1001,0),1)&gt;=100000,INDEX($AO$1005:$BQ$1005,1,MATCH(COLUMNS($AO$1006:BC1006),$AO$1006:$BQ$1006,0))&gt;=100000), " ",IF(INDEX($AO$2:$BQ$1001,MATCH(ROWS($AH$2:AH73),$AH$2:$AH$1001,0),MATCH(COLUMNS($AO$1006:BC1006),$AO$1006:$BQ$1006,0)), HYPERLINK("#",""), HYPERLINK(CONCATENATE("#Metadata!", ADDRESS(INDEX($AJ$2:$AJ$1001,MATCH(ROWS($AH$2:AH73),$AH$2:$AH$1001,0),0), INDEX($AO$1004:$BQ$1004,1,MATCH(COLUMNS($AO$1006:BC1006),$AO$1006:$BQ$1006,0)))),"Fix")))</f>
        <v>#N/A</v>
      </c>
      <c r="Q73" s="5" t="e">
        <f ca="1">IF(OR(INDEX($AI$2:$AI$1001,MATCH(ROWS($AH$2:AH73),$AH$2:$AH$1001,0),1)&gt;=100000,INDEX($AO$1005:$BQ$1005,1,MATCH(COLUMNS($AO$1006:BD1006),$AO$1006:$BQ$1006,0))&gt;=100000), " ",IF(INDEX($AO$2:$BQ$1001,MATCH(ROWS($AH$2:AH73),$AH$2:$AH$1001,0),MATCH(COLUMNS($AO$1006:BD1006),$AO$1006:$BQ$1006,0)), HYPERLINK("#",""), HYPERLINK(CONCATENATE("#Metadata!", ADDRESS(INDEX($AJ$2:$AJ$1001,MATCH(ROWS($AH$2:AH73),$AH$2:$AH$1001,0),0), INDEX($AO$1004:$BQ$1004,1,MATCH(COLUMNS($AO$1006:BD1006),$AO$1006:$BQ$1006,0)))),"Fix")))</f>
        <v>#N/A</v>
      </c>
      <c r="R73" s="5" t="e">
        <f ca="1">IF(OR(INDEX($AI$2:$AI$1001,MATCH(ROWS($AH$2:AH73),$AH$2:$AH$1001,0),1)&gt;=100000,INDEX($AO$1005:$BQ$1005,1,MATCH(COLUMNS($AO$1006:BE1006),$AO$1006:$BQ$1006,0))&gt;=100000), " ",IF(INDEX($AO$2:$BQ$1001,MATCH(ROWS($AH$2:AH73),$AH$2:$AH$1001,0),MATCH(COLUMNS($AO$1006:BE1006),$AO$1006:$BQ$1006,0)), HYPERLINK("#",""), HYPERLINK(CONCATENATE("#Metadata!", ADDRESS(INDEX($AJ$2:$AJ$1001,MATCH(ROWS($AH$2:AH73),$AH$2:$AH$1001,0),0), INDEX($AO$1004:$BQ$1004,1,MATCH(COLUMNS($AO$1006:BE1006),$AO$1006:$BQ$1006,0)))),"Fix")))</f>
        <v>#N/A</v>
      </c>
      <c r="S73" s="5" t="e">
        <f ca="1">IF(OR(INDEX($AI$2:$AI$1001,MATCH(ROWS($AH$2:AH73),$AH$2:$AH$1001,0),1)&gt;=100000,INDEX($AO$1005:$BQ$1005,1,MATCH(COLUMNS($AO$1006:BF1006),$AO$1006:$BQ$1006,0))&gt;=100000), " ",IF(INDEX($AO$2:$BQ$1001,MATCH(ROWS($AH$2:AH73),$AH$2:$AH$1001,0),MATCH(COLUMNS($AO$1006:BF1006),$AO$1006:$BQ$1006,0)), HYPERLINK("#",""), HYPERLINK(CONCATENATE("#Metadata!", ADDRESS(INDEX($AJ$2:$AJ$1001,MATCH(ROWS($AH$2:AH73),$AH$2:$AH$1001,0),0), INDEX($AO$1004:$BQ$1004,1,MATCH(COLUMNS($AO$1006:BF1006),$AO$1006:$BQ$1006,0)))),"Fix")))</f>
        <v>#N/A</v>
      </c>
      <c r="T73" s="5" t="e">
        <f ca="1">IF(OR(INDEX($AI$2:$AI$1001,MATCH(ROWS($AH$2:AH73),$AH$2:$AH$1001,0),1)&gt;=100000,INDEX($AO$1005:$BQ$1005,1,MATCH(COLUMNS($AO$1006:BG1006),$AO$1006:$BQ$1006,0))&gt;=100000), " ",IF(INDEX($AO$2:$BQ$1001,MATCH(ROWS($AH$2:AH73),$AH$2:$AH$1001,0),MATCH(COLUMNS($AO$1006:BG1006),$AO$1006:$BQ$1006,0)), HYPERLINK("#",""), HYPERLINK(CONCATENATE("#Metadata!", ADDRESS(INDEX($AJ$2:$AJ$1001,MATCH(ROWS($AH$2:AH73),$AH$2:$AH$1001,0),0), INDEX($AO$1004:$BQ$1004,1,MATCH(COLUMNS($AO$1006:BG1006),$AO$1006:$BQ$1006,0)))),"Fix")))</f>
        <v>#N/A</v>
      </c>
      <c r="U73" s="5" t="e">
        <f ca="1">IF(OR(INDEX($AI$2:$AI$1001,MATCH(ROWS($AH$2:AH73),$AH$2:$AH$1001,0),1)&gt;=100000,INDEX($AO$1005:$BQ$1005,1,MATCH(COLUMNS($AO$1006:BH1006),$AO$1006:$BQ$1006,0))&gt;=100000), " ",IF(INDEX($AO$2:$BQ$1001,MATCH(ROWS($AH$2:AH73),$AH$2:$AH$1001,0),MATCH(COLUMNS($AO$1006:BH1006),$AO$1006:$BQ$1006,0)), HYPERLINK("#",""), HYPERLINK(CONCATENATE("#Metadata!", ADDRESS(INDEX($AJ$2:$AJ$1001,MATCH(ROWS($AH$2:AH73),$AH$2:$AH$1001,0),0), INDEX($AO$1004:$BQ$1004,1,MATCH(COLUMNS($AO$1006:BH1006),$AO$1006:$BQ$1006,0)))),"Fix")))</f>
        <v>#N/A</v>
      </c>
      <c r="V73" s="5" t="e">
        <f ca="1">IF(OR(INDEX($AI$2:$AI$1001,MATCH(ROWS($AH$2:AH73),$AH$2:$AH$1001,0),1)&gt;=100000,INDEX($AO$1005:$BQ$1005,1,MATCH(COLUMNS($AO$1006:BI1006),$AO$1006:$BQ$1006,0))&gt;=100000), " ",IF(INDEX($AO$2:$BQ$1001,MATCH(ROWS($AH$2:AH73),$AH$2:$AH$1001,0),MATCH(COLUMNS($AO$1006:BI1006),$AO$1006:$BQ$1006,0)), HYPERLINK("#",""), HYPERLINK(CONCATENATE("#Metadata!", ADDRESS(INDEX($AJ$2:$AJ$1001,MATCH(ROWS($AH$2:AH73),$AH$2:$AH$1001,0),0), INDEX($AO$1004:$BQ$1004,1,MATCH(COLUMNS($AO$1006:BI1006),$AO$1006:$BQ$1006,0)))),"Fix")))</f>
        <v>#N/A</v>
      </c>
      <c r="W73" s="5" t="e">
        <f ca="1">IF(OR(INDEX($AI$2:$AI$1001,MATCH(ROWS($AH$2:AH73),$AH$2:$AH$1001,0),1)&gt;=100000,INDEX($AO$1005:$BQ$1005,1,MATCH(COLUMNS($AO$1006:BJ1006),$AO$1006:$BQ$1006,0))&gt;=100000), " ",IF(INDEX($AO$2:$BQ$1001,MATCH(ROWS($AH$2:AH73),$AH$2:$AH$1001,0),MATCH(COLUMNS($AO$1006:BJ1006),$AO$1006:$BQ$1006,0)), HYPERLINK("#",""), HYPERLINK(CONCATENATE("#Metadata!", ADDRESS(INDEX($AJ$2:$AJ$1001,MATCH(ROWS($AH$2:AH73),$AH$2:$AH$1001,0),0), INDEX($AO$1004:$BQ$1004,1,MATCH(COLUMNS($AO$1006:BJ1006),$AO$1006:$BQ$1006,0)))),"Fix")))</f>
        <v>#N/A</v>
      </c>
      <c r="X73" s="5" t="e">
        <f ca="1">IF(OR(INDEX($AI$2:$AI$1001,MATCH(ROWS($AH$2:AH73),$AH$2:$AH$1001,0),1)&gt;=100000,INDEX($AO$1005:$BQ$1005,1,MATCH(COLUMNS($AO$1006:BK1006),$AO$1006:$BQ$1006,0))&gt;=100000), " ",IF(INDEX($AO$2:$BQ$1001,MATCH(ROWS($AH$2:AH73),$AH$2:$AH$1001,0),MATCH(COLUMNS($AO$1006:BK1006),$AO$1006:$BQ$1006,0)), HYPERLINK("#",""), HYPERLINK(CONCATENATE("#Metadata!", ADDRESS(INDEX($AJ$2:$AJ$1001,MATCH(ROWS($AH$2:AH73),$AH$2:$AH$1001,0),0), INDEX($AO$1004:$BQ$1004,1,MATCH(COLUMNS($AO$1006:BK1006),$AO$1006:$BQ$1006,0)))),"Fix")))</f>
        <v>#N/A</v>
      </c>
      <c r="Y73" s="5" t="e">
        <f ca="1">IF(OR(INDEX($AI$2:$AI$1001,MATCH(ROWS($AH$2:AH73),$AH$2:$AH$1001,0),1)&gt;=100000,INDEX($AO$1005:$BQ$1005,1,MATCH(COLUMNS($AO$1006:BL1006),$AO$1006:$BQ$1006,0))&gt;=100000), " ",IF(INDEX($AO$2:$BQ$1001,MATCH(ROWS($AH$2:AH73),$AH$2:$AH$1001,0),MATCH(COLUMNS($AO$1006:BL1006),$AO$1006:$BQ$1006,0)), HYPERLINK("#",""), HYPERLINK(CONCATENATE("#Metadata!", ADDRESS(INDEX($AJ$2:$AJ$1001,MATCH(ROWS($AH$2:AH73),$AH$2:$AH$1001,0),0), INDEX($AO$1004:$BQ$1004,1,MATCH(COLUMNS($AO$1006:BL1006),$AO$1006:$BQ$1006,0)))),"Fix")))</f>
        <v>#N/A</v>
      </c>
      <c r="Z73" s="5" t="e">
        <f ca="1">IF(OR(INDEX($AI$2:$AI$1001,MATCH(ROWS($AH$2:AH73),$AH$2:$AH$1001,0),1)&gt;=100000,INDEX($AO$1005:$BQ$1005,1,MATCH(COLUMNS($AO$1006:BM1006),$AO$1006:$BQ$1006,0))&gt;=100000), " ",IF(INDEX($AO$2:$BQ$1001,MATCH(ROWS($AH$2:AH73),$AH$2:$AH$1001,0),MATCH(COLUMNS($AO$1006:BM1006),$AO$1006:$BQ$1006,0)), HYPERLINK("#",""), HYPERLINK(CONCATENATE("#Metadata!", ADDRESS(INDEX($AJ$2:$AJ$1001,MATCH(ROWS($AH$2:AH73),$AH$2:$AH$1001,0),0), INDEX($AO$1004:$BQ$1004,1,MATCH(COLUMNS($AO$1006:BM1006),$AO$1006:$BQ$1006,0)))),"Fix")))</f>
        <v>#N/A</v>
      </c>
      <c r="AA73" s="5" t="e">
        <f ca="1">IF(OR(INDEX($AI$2:$AI$1001,MATCH(ROWS($AH$2:AH73),$AH$2:$AH$1001,0),1)&gt;=100000,INDEX($AO$1005:$BQ$1005,1,MATCH(COLUMNS($AO$1006:BN1006),$AO$1006:$BQ$1006,0))&gt;=100000), " ",IF(INDEX($AO$2:$BQ$1001,MATCH(ROWS($AH$2:AH73),$AH$2:$AH$1001,0),MATCH(COLUMNS($AO$1006:BN1006),$AO$1006:$BQ$1006,0)), HYPERLINK("#",""), HYPERLINK(CONCATENATE("#Metadata!", ADDRESS(INDEX($AJ$2:$AJ$1001,MATCH(ROWS($AH$2:AH73),$AH$2:$AH$1001,0),0), INDEX($AO$1004:$BQ$1004,1,MATCH(COLUMNS($AO$1006:BN1006),$AO$1006:$BQ$1006,0)))),"Fix")))</f>
        <v>#N/A</v>
      </c>
      <c r="AB73" s="5" t="e">
        <f ca="1">IF(OR(INDEX($AI$2:$AI$1001,MATCH(ROWS($AH$2:AH73),$AH$2:$AH$1001,0),1)&gt;=100000,INDEX($AO$1005:$BQ$1005,1,MATCH(COLUMNS($AO$1006:BO1006),$AO$1006:$BQ$1006,0))&gt;=100000), " ",IF(INDEX($AO$2:$BQ$1001,MATCH(ROWS($AH$2:AH73),$AH$2:$AH$1001,0),MATCH(COLUMNS($AO$1006:BO1006),$AO$1006:$BQ$1006,0)), HYPERLINK("#",""), HYPERLINK(CONCATENATE("#Metadata!", ADDRESS(INDEX($AJ$2:$AJ$1001,MATCH(ROWS($AH$2:AH73),$AH$2:$AH$1001,0),0), INDEX($AO$1004:$BQ$1004,1,MATCH(COLUMNS($AO$1006:BO1006),$AO$1006:$BQ$1006,0)))),"Fix")))</f>
        <v>#N/A</v>
      </c>
      <c r="AC73" s="5" t="e">
        <f ca="1">IF(OR(INDEX($AI$2:$AI$1001,MATCH(ROWS($AH$2:AH73),$AH$2:$AH$1001,0),1)&gt;=100000,INDEX($AO$1005:$BQ$1005,1,MATCH(COLUMNS($AO$1006:BP1006),$AO$1006:$BQ$1006,0))&gt;=100000), " ",IF(INDEX($AO$2:$BQ$1001,MATCH(ROWS($AH$2:AH73),$AH$2:$AH$1001,0),MATCH(COLUMNS($AO$1006:BP1006),$AO$1006:$BQ$1006,0)), HYPERLINK("#",""), HYPERLINK(CONCATENATE("#Metadata!", ADDRESS(INDEX($AJ$2:$AJ$1001,MATCH(ROWS($AH$2:AH73),$AH$2:$AH$1001,0),0), INDEX($AO$1004:$BQ$1004,1,MATCH(COLUMNS($AO$1006:BP1006),$AO$1006:$BQ$1006,0)))),"Fix")))</f>
        <v>#N/A</v>
      </c>
      <c r="AD73" s="5" t="e">
        <f ca="1">IF(OR(INDEX($AI$2:$AI$1001,MATCH(ROWS($AH$2:AH73),$AH$2:$AH$1001,0),1)&gt;=100000,INDEX($AO$1005:$BQ$1005,1,MATCH(COLUMNS($AO$1006:BQ1006),$AO$1006:$BQ$1006,0))&gt;=100000), " ",IF(INDEX($AO$2:$BQ$1001,MATCH(ROWS($AH$2:AH73),$AH$2:$AH$1001,0),MATCH(COLUMNS($AO$1006:BQ1006),$AO$1006:$BQ$1006,0)), HYPERLINK("#",""), HYPERLINK(CONCATENATE("#Metadata!", ADDRESS(INDEX($AJ$2:$AJ$1001,MATCH(ROWS($AH$2:AH73),$AH$2:$AH$1001,0),0), INDEX($AO$1004:$BQ$1004,1,MATCH(COLUMNS($AO$1006:BQ1006),$AO$1006:$BQ$1006,0)))),"Fix")))</f>
        <v>#REF!</v>
      </c>
      <c r="AH73">
        <f ca="1"/>
        <v>70</v>
      </c>
      <c r="AI73">
        <v>100073</v>
      </c>
      <c r="AJ73">
        <v>73</v>
      </c>
      <c r="AK73" t="b">
        <f t="shared" si="1"/>
        <v>1</v>
      </c>
      <c r="AL73" t="b">
        <f>COUNTBLANK(Metadata!B73:AD73)=COLUMNS(Metadata!B73:AD73)</f>
        <v>1</v>
      </c>
      <c r="AM73" t="str">
        <v/>
      </c>
      <c r="AO73" t="b">
        <f ca="1">AND(IF(Metadata!B73="",FALSE,TRUE),COUNTIF(Metadata!B:B, Metadata!B73) = 1,NOT(ISERROR(SUMPRODUCT(SEARCH(MID(Metadata!B73,ROW(INDIRECT("1:"&amp;LEN(Metadata!B73))), 1),"0123456789abcdefghijklmnopqrstuvwxyzABCDEFGHIJKLMNOPQRSTUVWXYZ.")))))</f>
        <v>0</v>
      </c>
      <c r="AP73" t="b">
        <f>IF(Metadata!C73="",FALSE,TRUE)</f>
        <v>0</v>
      </c>
      <c r="AQ73" t="b">
        <f>IF(Metadata!D73="",FALSE,TRUE)</f>
        <v>0</v>
      </c>
      <c r="AR73" t="b">
        <f ca="1">OR(AND(IF(Metadata!E73="",FALSE,TRUE),OR(EXACT(Metadata!E73,"not collected"),EXACT(Metadata!E73,"not provided"),EXACT(Metadata!E73,"restricted access"))),AND(IF(Metadata!E73="",FALSE,TRUE),AND(AND(IFERROR(INT(LEFT(Metadata!E73,4))&gt;1900,FALSE),IFERROR(INT(LEFT(Metadata!E73,4))&lt;=YEAR(NOW()),FALSE)), OR(MID(Metadata!E73,5,1)="", AND(AND(MID(Metadata!E73,5,1)="-",IFERROR(INT(MID(Metadata!E73,6,1))&gt;=0,FALSE),IFERROR(INT(MID(Metadata!E73,6,1))&lt;=1,FALSE),NOT(MID(Metadata!E73,7,1)=""),IFERROR(INT(MID(Metadata!E73,6,2))&gt;=1,FALSE),IFERROR(INT(MID(Metadata!E73,6,2))&lt;=12,FALSE)), OR(MID(Metadata!E73,8,1)="", AND(AND(MID(Metadata!E73,8,1)="-",IFERROR(INT(MID(Metadata!E73,9,1))&gt;=0,FALSE),IFERROR(INT(MID(Metadata!E73,9,1))&lt;=3,FALSE),NOT(MID(Metadata!E73,10,1)=""),IFERROR(INT(MID(Metadata!E73,9,2))&gt;=1,FALSE),IFERROR(INT(MID(Metadata!E73,9,2))&lt;=31,FALSE)), OR(MID(Metadata!E73,11,1)="", AND(AND(MID(Metadata!E73,11,1)=" ",IFERROR(INT(MID(Metadata!E73,12,1))&gt;=0,FALSE),IFERROR(INT(MID(Metadata!E73,12,1))&lt;=2,FALSE),NOT(MID(Metadata!E73,13,1)=""),IFERROR(INT(MID(Metadata!E73,12,2))&gt;=0,FALSE),IFERROR(INT(MID(Metadata!E73,12,2))&lt;=23,FALSE)), OR(MID(Metadata!E73,14,1)="", AND(AND(MID(Metadata!E73,14,1)=":",IFERROR(INT(MID(Metadata!E73,15,1))&gt;=0,FALSE),IFERROR(INT(MID(Metadata!E73,15,1))&lt;=5,FALSE),NOT(MID(Metadata!E73,16,1)=""),IFERROR(INT(MID(Metadata!E73,15,2))&gt;=0,FALSE),IFERROR(INT(MID(Metadata!E73,15,2))&lt;=59,FALSE)), OR(MID(Metadata!E73,17,1)="", AND(AND(MID(Metadata!E73,17,1)=":",IFERROR(INT(MID(Metadata!E73,18,1))&gt;=0,FALSE),IFERROR(INT(MID(Metadata!E73,18,1))&lt;=5,FALSE),NOT(MID(Metadata!E73,19,1)=""),IFERROR(INT(MID(Metadata!E73,18,2))&gt;=0,FALSE),IFERROR(INT(MID(Metadata!E73,18,2))&lt;=59,FALSE)), LEN(Metadata!E73)&lt;=19)))))))))))))</f>
        <v>0</v>
      </c>
      <c r="AS73" t="b">
        <f>IF(Metadata!F73="",FALSE,TRUE)</f>
        <v>0</v>
      </c>
      <c r="AT73" t="b">
        <f>OR(AND(IF(Metadata!G73="",FALSE,TRUE),OR(EXACT(Metadata!G73,"not collected"),EXACT(Metadata!G73,"not provided"))),AND(IF(Metadata!G73="",FALSE,TRUE),OR(EXACT(Metadata!G73,"TRUE"),EXACT(Metadata!G73,"FALSE"))))</f>
        <v>0</v>
      </c>
      <c r="AU73" t="b">
        <f>OR(AND(IF(Metadata!H73="",FALSE,TRUE),OR(EXACT(Metadata!H73,"not collected"),EXACT(Metadata!H73,"not provided"),EXACT(Metadata!H73,"restricted access"))),AND(IF(Metadata!H73="",FALSE,ISNUMBER(VALUE(Metadata!H73))),Metadata!H73&gt;=-413))</f>
        <v>0</v>
      </c>
      <c r="AV73" t="b">
        <f>AND(IF(Metadata!I73="",FALSE,TRUE),EXACT(Metadata!I73,"meters"))</f>
        <v>0</v>
      </c>
      <c r="AW73" t="b">
        <f>AND(IF(Metadata!J73="",FALSE,TRUE),EXACT(Metadata!J73,"free-living"))</f>
        <v>0</v>
      </c>
      <c r="AX73" t="b">
        <f>AND(IF(Metadata!K73="",FALSE,TRUE),OR(EXACT(Metadata!K73,"saline"),EXACT(Metadata!K73,"non-saline")))</f>
        <v>0</v>
      </c>
      <c r="AY73" t="b">
        <f>AND(IF(Metadata!L73="",FALSE,TRUE),OR(EXACT(Metadata!L73,"sub-surface (non-saline)"),EXACT(Metadata!L73,"surface (non-saline)"),EXACT(Metadata!L73,"water (non-saline)"),EXACT(Metadata!L73,"soil (non-saline)"),EXACT(Metadata!L73,"aerosol (non-saline)"),EXACT(Metadata!L73,"sediment (non-saline)"),EXACT(Metadata!L73,"surface (saline)"),EXACT(Metadata!L73,"water (saline)"),EXACT(Metadata!L73,"hypersaline (saline)"),EXACT(Metadata!L73,"aerosol (saline)"),EXACT(Metadata!L73,"sediment (saline)")))</f>
        <v>0</v>
      </c>
      <c r="AZ73" t="b">
        <f>IF(Metadata!M73="",FALSE,TRUE)</f>
        <v>0</v>
      </c>
      <c r="BA73" t="b">
        <f>IF(Metadata!N73="",FALSE,TRUE)</f>
        <v>0</v>
      </c>
      <c r="BB73" t="b">
        <f>IF(Metadata!O73="",FALSE,TRUE)</f>
        <v>0</v>
      </c>
      <c r="BC73" t="b">
        <f>AND(IF(Metadata!P73="",FALSE,TRUE),OR(EXACT(Metadata!P73,"air"),EXACT(Metadata!P73,"microbial mat/biofilm"),EXACT(Metadata!P73,"misc environment"),EXACT(Metadata!P73,"sediment"),EXACT(Metadata!P73,"soil"),EXACT(Metadata!P73,"wastewater/sludge"),EXACT(Metadata!P73,"water")))</f>
        <v>0</v>
      </c>
      <c r="BD73" t="b">
        <f>IF(Metadata!Q73="",FALSE,TRUE)</f>
        <v>0</v>
      </c>
      <c r="BE73" t="b">
        <f>IF(Metadata!R73="",FALSE,TRUE)</f>
        <v>0</v>
      </c>
      <c r="BF73" t="b">
        <f>OR(AND(IF(Metadata!S73="",FALSE,TRUE),OR(EXACT(Metadata!S73,"not collected"),EXACT(Metadata!S73,"not provided"),EXACT(Metadata!S73,"restricted access"))),AND(IF(Metadata!S73="",FALSE,ISNUMBER(VALUE(Metadata!S73))),Metadata!S73&gt;=-90,Metadata!S73&lt;=90))</f>
        <v>0</v>
      </c>
      <c r="BG73" t="b">
        <f>AND(IF(Metadata!T73="",FALSE,TRUE),EXACT(Metadata!T73,"Decimal degrees"))</f>
        <v>0</v>
      </c>
      <c r="BH73" t="b">
        <f>OR(AND(IF(Metadata!U73="",FALSE,TRUE),OR(EXACT(Metadata!U73,"not applicable"),EXACT(Metadata!U73,"not collected"))),IF(Metadata!U73="",FALSE,TRUE))</f>
        <v>0</v>
      </c>
      <c r="BI73" t="b">
        <f>OR(AND(IF(Metadata!V73="",FALSE,TRUE),OR(EXACT(Metadata!V73,"not collected"),EXACT(Metadata!V73,"not provided"),EXACT(Metadata!V73,"restricted access"))),AND(IF(Metadata!V73="",FALSE,ISNUMBER(VALUE(Metadata!V73))),Metadata!V73&gt;=-180,Metadata!V73&lt;=180))</f>
        <v>0</v>
      </c>
      <c r="BJ73" t="b">
        <f>AND(IF(Metadata!W73="",FALSE,TRUE),EXACT(Metadata!W73,"Decimal degrees"))</f>
        <v>0</v>
      </c>
      <c r="BK73" t="b">
        <f>IF(Metadata!X73="",FALSE,TRUE)</f>
        <v>0</v>
      </c>
      <c r="BL73" t="b">
        <f>OR(AND(IF(Metadata!Y73="",FALSE,TRUE),OR(EXACT(Metadata!Y73,"not collected"),EXACT(Metadata!Y73,"not provided"),EXACT(Metadata!Y73,"restricted access"))),AND(IF(Metadata!Y73="",FALSE,TRUE),OR(EXACT(Metadata!Y73,"TRUE"),EXACT(Metadata!Y73,"FALSE"))))</f>
        <v>0</v>
      </c>
      <c r="BM73" t="b">
        <f>OR(AND(IF(Metadata!Z73="",FALSE,TRUE),EXACT(Metadata!Z73,"not applicable")),AND(IF(Metadata!Z73="",FALSE,TRUE),OR(EXACT(Metadata!Z73,"beer"),EXACT(Metadata!Z73,"cheese"),EXACT(Metadata!Z73,"fresh water"),EXACT(Metadata!Z73,"marine sediment"),EXACT(Metadata!Z73,"sea water"),EXACT(Metadata!Z73,"sediment"),EXACT(Metadata!Z73,"soil"),EXACT(Metadata!Z73,"waste water"))))</f>
        <v>0</v>
      </c>
      <c r="BN73" t="b">
        <f>AND(IF(Metadata!AA73="",FALSE,TRUE),EXACT(Metadata!AA73,"metagenome"))</f>
        <v>0</v>
      </c>
      <c r="BO73" t="b">
        <f>AND(IF(Metadata!AB73="",FALSE,TRUE),EXACT(Metadata!AB73,"256318"))</f>
        <v>0</v>
      </c>
      <c r="BP73" t="b">
        <f>IF(Metadata!AC73="",FALSE,TRUE)</f>
        <v>0</v>
      </c>
      <c r="BQ73" t="b">
        <f>IF(Metadata!AD73="",FALSE,TRUE)</f>
        <v>0</v>
      </c>
    </row>
    <row r="74" spans="1:69" x14ac:dyDescent="0.2">
      <c r="A74" s="4" t="e">
        <f ca="1">IF(B74=" "," ",HYPERLINK(CONCATENATE("#metadata!",ADDRESS(INDEX($AJ$2:$AJ$1001,MATCH(ROWS($AH$2:AH74),$AH$2:$AH$1001,0),0),2)),INDEX($AM$2:$AM$1001,MATCH(ROWS($AH$2:AH74),$AH$2:$AH$1001,0),0)))</f>
        <v>#N/A</v>
      </c>
      <c r="B74" s="5" t="e">
        <f ca="1">IF(OR(INDEX($AI$2:$AI$1001,MATCH(ROWS($AH$2:AH74),$AH$2:$AH$1001,0),1)&gt;=100000,INDEX($AO$1005:$BQ$1005,1,MATCH(COLUMNS($AO$1006:AO1006),$AO$1006:$BQ$1006,0))&gt;=100000), " ",IF(INDEX($AO$2:$BQ$1001,MATCH(ROWS($AH$2:AH74),$AH$2:$AH$1001,0),MATCH(COLUMNS($AO$1006:AO1006),$AO$1006:$BQ$1006,0)), HYPERLINK("#",""), HYPERLINK(CONCATENATE("#Metadata!", ADDRESS(INDEX($AJ$2:$AJ$1001,MATCH(ROWS($AH$2:AH74),$AH$2:$AH$1001,0),0), INDEX($AO$1004:$BQ$1004,1,MATCH(COLUMNS($AO$1006:AO1006),$AO$1006:$BQ$1006,0)))),"Fix")))</f>
        <v>#N/A</v>
      </c>
      <c r="C74" s="5" t="e">
        <f ca="1">IF(OR(INDEX($AI$2:$AI$1001,MATCH(ROWS($AH$2:AH74),$AH$2:$AH$1001,0),1)&gt;=100000,INDEX($AO$1005:$BQ$1005,1,MATCH(COLUMNS($AO$1006:AP1006),$AO$1006:$BQ$1006,0))&gt;=100000), " ",IF(INDEX($AO$2:$BQ$1001,MATCH(ROWS($AH$2:AH74),$AH$2:$AH$1001,0),MATCH(COLUMNS($AO$1006:AP1006),$AO$1006:$BQ$1006,0)), HYPERLINK("#",""), HYPERLINK(CONCATENATE("#Metadata!", ADDRESS(INDEX($AJ$2:$AJ$1001,MATCH(ROWS($AH$2:AH74),$AH$2:$AH$1001,0),0), INDEX($AO$1004:$BQ$1004,1,MATCH(COLUMNS($AO$1006:AP1006),$AO$1006:$BQ$1006,0)))),"Fix")))</f>
        <v>#N/A</v>
      </c>
      <c r="D74" s="5" t="e">
        <f ca="1">IF(OR(INDEX($AI$2:$AI$1001,MATCH(ROWS($AH$2:AH74),$AH$2:$AH$1001,0),1)&gt;=100000,INDEX($AO$1005:$BQ$1005,1,MATCH(COLUMNS($AO$1006:AQ1006),$AO$1006:$BQ$1006,0))&gt;=100000), " ",IF(INDEX($AO$2:$BQ$1001,MATCH(ROWS($AH$2:AH74),$AH$2:$AH$1001,0),MATCH(COLUMNS($AO$1006:AQ1006),$AO$1006:$BQ$1006,0)), HYPERLINK("#",""), HYPERLINK(CONCATENATE("#Metadata!", ADDRESS(INDEX($AJ$2:$AJ$1001,MATCH(ROWS($AH$2:AH74),$AH$2:$AH$1001,0),0), INDEX($AO$1004:$BQ$1004,1,MATCH(COLUMNS($AO$1006:AQ1006),$AO$1006:$BQ$1006,0)))),"Fix")))</f>
        <v>#N/A</v>
      </c>
      <c r="E74" s="5" t="e">
        <f ca="1">IF(OR(INDEX($AI$2:$AI$1001,MATCH(ROWS($AH$2:AH74),$AH$2:$AH$1001,0),1)&gt;=100000,INDEX($AO$1005:$BQ$1005,1,MATCH(COLUMNS($AO$1006:AR1006),$AO$1006:$BQ$1006,0))&gt;=100000), " ",IF(INDEX($AO$2:$BQ$1001,MATCH(ROWS($AH$2:AH74),$AH$2:$AH$1001,0),MATCH(COLUMNS($AO$1006:AR1006),$AO$1006:$BQ$1006,0)), HYPERLINK("#",""), HYPERLINK(CONCATENATE("#Metadata!", ADDRESS(INDEX($AJ$2:$AJ$1001,MATCH(ROWS($AH$2:AH74),$AH$2:$AH$1001,0),0), INDEX($AO$1004:$BQ$1004,1,MATCH(COLUMNS($AO$1006:AR1006),$AO$1006:$BQ$1006,0)))),"Fix")))</f>
        <v>#N/A</v>
      </c>
      <c r="F74" s="5" t="e">
        <f ca="1">IF(OR(INDEX($AI$2:$AI$1001,MATCH(ROWS($AH$2:AH74),$AH$2:$AH$1001,0),1)&gt;=100000,INDEX($AO$1005:$BQ$1005,1,MATCH(COLUMNS($AO$1006:AS1006),$AO$1006:$BQ$1006,0))&gt;=100000), " ",IF(INDEX($AO$2:$BQ$1001,MATCH(ROWS($AH$2:AH74),$AH$2:$AH$1001,0),MATCH(COLUMNS($AO$1006:AS1006),$AO$1006:$BQ$1006,0)), HYPERLINK("#",""), HYPERLINK(CONCATENATE("#Metadata!", ADDRESS(INDEX($AJ$2:$AJ$1001,MATCH(ROWS($AH$2:AH74),$AH$2:$AH$1001,0),0), INDEX($AO$1004:$BQ$1004,1,MATCH(COLUMNS($AO$1006:AS1006),$AO$1006:$BQ$1006,0)))),"Fix")))</f>
        <v>#N/A</v>
      </c>
      <c r="G74" s="5" t="e">
        <f ca="1">IF(OR(INDEX($AI$2:$AI$1001,MATCH(ROWS($AH$2:AH74),$AH$2:$AH$1001,0),1)&gt;=100000,INDEX($AO$1005:$BQ$1005,1,MATCH(COLUMNS($AO$1006:AT1006),$AO$1006:$BQ$1006,0))&gt;=100000), " ",IF(INDEX($AO$2:$BQ$1001,MATCH(ROWS($AH$2:AH74),$AH$2:$AH$1001,0),MATCH(COLUMNS($AO$1006:AT1006),$AO$1006:$BQ$1006,0)), HYPERLINK("#",""), HYPERLINK(CONCATENATE("#Metadata!", ADDRESS(INDEX($AJ$2:$AJ$1001,MATCH(ROWS($AH$2:AH74),$AH$2:$AH$1001,0),0), INDEX($AO$1004:$BQ$1004,1,MATCH(COLUMNS($AO$1006:AT1006),$AO$1006:$BQ$1006,0)))),"Fix")))</f>
        <v>#N/A</v>
      </c>
      <c r="H74" s="5" t="e">
        <f ca="1">IF(OR(INDEX($AI$2:$AI$1001,MATCH(ROWS($AH$2:AH74),$AH$2:$AH$1001,0),1)&gt;=100000,INDEX($AO$1005:$BQ$1005,1,MATCH(COLUMNS($AO$1006:AU1006),$AO$1006:$BQ$1006,0))&gt;=100000), " ",IF(INDEX($AO$2:$BQ$1001,MATCH(ROWS($AH$2:AH74),$AH$2:$AH$1001,0),MATCH(COLUMNS($AO$1006:AU1006),$AO$1006:$BQ$1006,0)), HYPERLINK("#",""), HYPERLINK(CONCATENATE("#Metadata!", ADDRESS(INDEX($AJ$2:$AJ$1001,MATCH(ROWS($AH$2:AH74),$AH$2:$AH$1001,0),0), INDEX($AO$1004:$BQ$1004,1,MATCH(COLUMNS($AO$1006:AU1006),$AO$1006:$BQ$1006,0)))),"Fix")))</f>
        <v>#N/A</v>
      </c>
      <c r="I74" s="5" t="e">
        <f ca="1">IF(OR(INDEX($AI$2:$AI$1001,MATCH(ROWS($AH$2:AH74),$AH$2:$AH$1001,0),1)&gt;=100000,INDEX($AO$1005:$BQ$1005,1,MATCH(COLUMNS($AO$1006:AV1006),$AO$1006:$BQ$1006,0))&gt;=100000), " ",IF(INDEX($AO$2:$BQ$1001,MATCH(ROWS($AH$2:AH74),$AH$2:$AH$1001,0),MATCH(COLUMNS($AO$1006:AV1006),$AO$1006:$BQ$1006,0)), HYPERLINK("#",""), HYPERLINK(CONCATENATE("#Metadata!", ADDRESS(INDEX($AJ$2:$AJ$1001,MATCH(ROWS($AH$2:AH74),$AH$2:$AH$1001,0),0), INDEX($AO$1004:$BQ$1004,1,MATCH(COLUMNS($AO$1006:AV1006),$AO$1006:$BQ$1006,0)))),"Fix")))</f>
        <v>#N/A</v>
      </c>
      <c r="J74" s="5" t="e">
        <f ca="1">IF(OR(INDEX($AI$2:$AI$1001,MATCH(ROWS($AH$2:AH74),$AH$2:$AH$1001,0),1)&gt;=100000,INDEX($AO$1005:$BQ$1005,1,MATCH(COLUMNS($AO$1006:AW1006),$AO$1006:$BQ$1006,0))&gt;=100000), " ",IF(INDEX($AO$2:$BQ$1001,MATCH(ROWS($AH$2:AH74),$AH$2:$AH$1001,0),MATCH(COLUMNS($AO$1006:AW1006),$AO$1006:$BQ$1006,0)), HYPERLINK("#",""), HYPERLINK(CONCATENATE("#Metadata!", ADDRESS(INDEX($AJ$2:$AJ$1001,MATCH(ROWS($AH$2:AH74),$AH$2:$AH$1001,0),0), INDEX($AO$1004:$BQ$1004,1,MATCH(COLUMNS($AO$1006:AW1006),$AO$1006:$BQ$1006,0)))),"Fix")))</f>
        <v>#N/A</v>
      </c>
      <c r="K74" s="5" t="e">
        <f ca="1">IF(OR(INDEX($AI$2:$AI$1001,MATCH(ROWS($AH$2:AH74),$AH$2:$AH$1001,0),1)&gt;=100000,INDEX($AO$1005:$BQ$1005,1,MATCH(COLUMNS($AO$1006:AX1006),$AO$1006:$BQ$1006,0))&gt;=100000), " ",IF(INDEX($AO$2:$BQ$1001,MATCH(ROWS($AH$2:AH74),$AH$2:$AH$1001,0),MATCH(COLUMNS($AO$1006:AX1006),$AO$1006:$BQ$1006,0)), HYPERLINK("#",""), HYPERLINK(CONCATENATE("#Metadata!", ADDRESS(INDEX($AJ$2:$AJ$1001,MATCH(ROWS($AH$2:AH74),$AH$2:$AH$1001,0),0), INDEX($AO$1004:$BQ$1004,1,MATCH(COLUMNS($AO$1006:AX1006),$AO$1006:$BQ$1006,0)))),"Fix")))</f>
        <v>#N/A</v>
      </c>
      <c r="L74" s="5" t="e">
        <f ca="1">IF(OR(INDEX($AI$2:$AI$1001,MATCH(ROWS($AH$2:AH74),$AH$2:$AH$1001,0),1)&gt;=100000,INDEX($AO$1005:$BQ$1005,1,MATCH(COLUMNS($AO$1006:AY1006),$AO$1006:$BQ$1006,0))&gt;=100000), " ",IF(INDEX($AO$2:$BQ$1001,MATCH(ROWS($AH$2:AH74),$AH$2:$AH$1001,0),MATCH(COLUMNS($AO$1006:AY1006),$AO$1006:$BQ$1006,0)), HYPERLINK("#",""), HYPERLINK(CONCATENATE("#Metadata!", ADDRESS(INDEX($AJ$2:$AJ$1001,MATCH(ROWS($AH$2:AH74),$AH$2:$AH$1001,0),0), INDEX($AO$1004:$BQ$1004,1,MATCH(COLUMNS($AO$1006:AY1006),$AO$1006:$BQ$1006,0)))),"Fix")))</f>
        <v>#N/A</v>
      </c>
      <c r="M74" s="5" t="e">
        <f ca="1">IF(OR(INDEX($AI$2:$AI$1001,MATCH(ROWS($AH$2:AH74),$AH$2:$AH$1001,0),1)&gt;=100000,INDEX($AO$1005:$BQ$1005,1,MATCH(COLUMNS($AO$1006:AZ1006),$AO$1006:$BQ$1006,0))&gt;=100000), " ",IF(INDEX($AO$2:$BQ$1001,MATCH(ROWS($AH$2:AH74),$AH$2:$AH$1001,0),MATCH(COLUMNS($AO$1006:AZ1006),$AO$1006:$BQ$1006,0)), HYPERLINK("#",""), HYPERLINK(CONCATENATE("#Metadata!", ADDRESS(INDEX($AJ$2:$AJ$1001,MATCH(ROWS($AH$2:AH74),$AH$2:$AH$1001,0),0), INDEX($AO$1004:$BQ$1004,1,MATCH(COLUMNS($AO$1006:AZ1006),$AO$1006:$BQ$1006,0)))),"Fix")))</f>
        <v>#N/A</v>
      </c>
      <c r="N74" s="5" t="e">
        <f ca="1">IF(OR(INDEX($AI$2:$AI$1001,MATCH(ROWS($AH$2:AH74),$AH$2:$AH$1001,0),1)&gt;=100000,INDEX($AO$1005:$BQ$1005,1,MATCH(COLUMNS($AO$1006:BA1006),$AO$1006:$BQ$1006,0))&gt;=100000), " ",IF(INDEX($AO$2:$BQ$1001,MATCH(ROWS($AH$2:AH74),$AH$2:$AH$1001,0),MATCH(COLUMNS($AO$1006:BA1006),$AO$1006:$BQ$1006,0)), HYPERLINK("#",""), HYPERLINK(CONCATENATE("#Metadata!", ADDRESS(INDEX($AJ$2:$AJ$1001,MATCH(ROWS($AH$2:AH74),$AH$2:$AH$1001,0),0), INDEX($AO$1004:$BQ$1004,1,MATCH(COLUMNS($AO$1006:BA1006),$AO$1006:$BQ$1006,0)))),"Fix")))</f>
        <v>#N/A</v>
      </c>
      <c r="O74" s="5" t="e">
        <f ca="1">IF(OR(INDEX($AI$2:$AI$1001,MATCH(ROWS($AH$2:AH74),$AH$2:$AH$1001,0),1)&gt;=100000,INDEX($AO$1005:$BQ$1005,1,MATCH(COLUMNS($AO$1006:BB1006),$AO$1006:$BQ$1006,0))&gt;=100000), " ",IF(INDEX($AO$2:$BQ$1001,MATCH(ROWS($AH$2:AH74),$AH$2:$AH$1001,0),MATCH(COLUMNS($AO$1006:BB1006),$AO$1006:$BQ$1006,0)), HYPERLINK("#",""), HYPERLINK(CONCATENATE("#Metadata!", ADDRESS(INDEX($AJ$2:$AJ$1001,MATCH(ROWS($AH$2:AH74),$AH$2:$AH$1001,0),0), INDEX($AO$1004:$BQ$1004,1,MATCH(COLUMNS($AO$1006:BB1006),$AO$1006:$BQ$1006,0)))),"Fix")))</f>
        <v>#N/A</v>
      </c>
      <c r="P74" s="5" t="e">
        <f ca="1">IF(OR(INDEX($AI$2:$AI$1001,MATCH(ROWS($AH$2:AH74),$AH$2:$AH$1001,0),1)&gt;=100000,INDEX($AO$1005:$BQ$1005,1,MATCH(COLUMNS($AO$1006:BC1006),$AO$1006:$BQ$1006,0))&gt;=100000), " ",IF(INDEX($AO$2:$BQ$1001,MATCH(ROWS($AH$2:AH74),$AH$2:$AH$1001,0),MATCH(COLUMNS($AO$1006:BC1006),$AO$1006:$BQ$1006,0)), HYPERLINK("#",""), HYPERLINK(CONCATENATE("#Metadata!", ADDRESS(INDEX($AJ$2:$AJ$1001,MATCH(ROWS($AH$2:AH74),$AH$2:$AH$1001,0),0), INDEX($AO$1004:$BQ$1004,1,MATCH(COLUMNS($AO$1006:BC1006),$AO$1006:$BQ$1006,0)))),"Fix")))</f>
        <v>#N/A</v>
      </c>
      <c r="Q74" s="5" t="e">
        <f ca="1">IF(OR(INDEX($AI$2:$AI$1001,MATCH(ROWS($AH$2:AH74),$AH$2:$AH$1001,0),1)&gt;=100000,INDEX($AO$1005:$BQ$1005,1,MATCH(COLUMNS($AO$1006:BD1006),$AO$1006:$BQ$1006,0))&gt;=100000), " ",IF(INDEX($AO$2:$BQ$1001,MATCH(ROWS($AH$2:AH74),$AH$2:$AH$1001,0),MATCH(COLUMNS($AO$1006:BD1006),$AO$1006:$BQ$1006,0)), HYPERLINK("#",""), HYPERLINK(CONCATENATE("#Metadata!", ADDRESS(INDEX($AJ$2:$AJ$1001,MATCH(ROWS($AH$2:AH74),$AH$2:$AH$1001,0),0), INDEX($AO$1004:$BQ$1004,1,MATCH(COLUMNS($AO$1006:BD1006),$AO$1006:$BQ$1006,0)))),"Fix")))</f>
        <v>#N/A</v>
      </c>
      <c r="R74" s="5" t="e">
        <f ca="1">IF(OR(INDEX($AI$2:$AI$1001,MATCH(ROWS($AH$2:AH74),$AH$2:$AH$1001,0),1)&gt;=100000,INDEX($AO$1005:$BQ$1005,1,MATCH(COLUMNS($AO$1006:BE1006),$AO$1006:$BQ$1006,0))&gt;=100000), " ",IF(INDEX($AO$2:$BQ$1001,MATCH(ROWS($AH$2:AH74),$AH$2:$AH$1001,0),MATCH(COLUMNS($AO$1006:BE1006),$AO$1006:$BQ$1006,0)), HYPERLINK("#",""), HYPERLINK(CONCATENATE("#Metadata!", ADDRESS(INDEX($AJ$2:$AJ$1001,MATCH(ROWS($AH$2:AH74),$AH$2:$AH$1001,0),0), INDEX($AO$1004:$BQ$1004,1,MATCH(COLUMNS($AO$1006:BE1006),$AO$1006:$BQ$1006,0)))),"Fix")))</f>
        <v>#N/A</v>
      </c>
      <c r="S74" s="5" t="e">
        <f ca="1">IF(OR(INDEX($AI$2:$AI$1001,MATCH(ROWS($AH$2:AH74),$AH$2:$AH$1001,0),1)&gt;=100000,INDEX($AO$1005:$BQ$1005,1,MATCH(COLUMNS($AO$1006:BF1006),$AO$1006:$BQ$1006,0))&gt;=100000), " ",IF(INDEX($AO$2:$BQ$1001,MATCH(ROWS($AH$2:AH74),$AH$2:$AH$1001,0),MATCH(COLUMNS($AO$1006:BF1006),$AO$1006:$BQ$1006,0)), HYPERLINK("#",""), HYPERLINK(CONCATENATE("#Metadata!", ADDRESS(INDEX($AJ$2:$AJ$1001,MATCH(ROWS($AH$2:AH74),$AH$2:$AH$1001,0),0), INDEX($AO$1004:$BQ$1004,1,MATCH(COLUMNS($AO$1006:BF1006),$AO$1006:$BQ$1006,0)))),"Fix")))</f>
        <v>#N/A</v>
      </c>
      <c r="T74" s="5" t="e">
        <f ca="1">IF(OR(INDEX($AI$2:$AI$1001,MATCH(ROWS($AH$2:AH74),$AH$2:$AH$1001,0),1)&gt;=100000,INDEX($AO$1005:$BQ$1005,1,MATCH(COLUMNS($AO$1006:BG1006),$AO$1006:$BQ$1006,0))&gt;=100000), " ",IF(INDEX($AO$2:$BQ$1001,MATCH(ROWS($AH$2:AH74),$AH$2:$AH$1001,0),MATCH(COLUMNS($AO$1006:BG1006),$AO$1006:$BQ$1006,0)), HYPERLINK("#",""), HYPERLINK(CONCATENATE("#Metadata!", ADDRESS(INDEX($AJ$2:$AJ$1001,MATCH(ROWS($AH$2:AH74),$AH$2:$AH$1001,0),0), INDEX($AO$1004:$BQ$1004,1,MATCH(COLUMNS($AO$1006:BG1006),$AO$1006:$BQ$1006,0)))),"Fix")))</f>
        <v>#N/A</v>
      </c>
      <c r="U74" s="5" t="e">
        <f ca="1">IF(OR(INDEX($AI$2:$AI$1001,MATCH(ROWS($AH$2:AH74),$AH$2:$AH$1001,0),1)&gt;=100000,INDEX($AO$1005:$BQ$1005,1,MATCH(COLUMNS($AO$1006:BH1006),$AO$1006:$BQ$1006,0))&gt;=100000), " ",IF(INDEX($AO$2:$BQ$1001,MATCH(ROWS($AH$2:AH74),$AH$2:$AH$1001,0),MATCH(COLUMNS($AO$1006:BH1006),$AO$1006:$BQ$1006,0)), HYPERLINK("#",""), HYPERLINK(CONCATENATE("#Metadata!", ADDRESS(INDEX($AJ$2:$AJ$1001,MATCH(ROWS($AH$2:AH74),$AH$2:$AH$1001,0),0), INDEX($AO$1004:$BQ$1004,1,MATCH(COLUMNS($AO$1006:BH1006),$AO$1006:$BQ$1006,0)))),"Fix")))</f>
        <v>#N/A</v>
      </c>
      <c r="V74" s="5" t="e">
        <f ca="1">IF(OR(INDEX($AI$2:$AI$1001,MATCH(ROWS($AH$2:AH74),$AH$2:$AH$1001,0),1)&gt;=100000,INDEX($AO$1005:$BQ$1005,1,MATCH(COLUMNS($AO$1006:BI1006),$AO$1006:$BQ$1006,0))&gt;=100000), " ",IF(INDEX($AO$2:$BQ$1001,MATCH(ROWS($AH$2:AH74),$AH$2:$AH$1001,0),MATCH(COLUMNS($AO$1006:BI1006),$AO$1006:$BQ$1006,0)), HYPERLINK("#",""), HYPERLINK(CONCATENATE("#Metadata!", ADDRESS(INDEX($AJ$2:$AJ$1001,MATCH(ROWS($AH$2:AH74),$AH$2:$AH$1001,0),0), INDEX($AO$1004:$BQ$1004,1,MATCH(COLUMNS($AO$1006:BI1006),$AO$1006:$BQ$1006,0)))),"Fix")))</f>
        <v>#N/A</v>
      </c>
      <c r="W74" s="5" t="e">
        <f ca="1">IF(OR(INDEX($AI$2:$AI$1001,MATCH(ROWS($AH$2:AH74),$AH$2:$AH$1001,0),1)&gt;=100000,INDEX($AO$1005:$BQ$1005,1,MATCH(COLUMNS($AO$1006:BJ1006),$AO$1006:$BQ$1006,0))&gt;=100000), " ",IF(INDEX($AO$2:$BQ$1001,MATCH(ROWS($AH$2:AH74),$AH$2:$AH$1001,0),MATCH(COLUMNS($AO$1006:BJ1006),$AO$1006:$BQ$1006,0)), HYPERLINK("#",""), HYPERLINK(CONCATENATE("#Metadata!", ADDRESS(INDEX($AJ$2:$AJ$1001,MATCH(ROWS($AH$2:AH74),$AH$2:$AH$1001,0),0), INDEX($AO$1004:$BQ$1004,1,MATCH(COLUMNS($AO$1006:BJ1006),$AO$1006:$BQ$1006,0)))),"Fix")))</f>
        <v>#N/A</v>
      </c>
      <c r="X74" s="5" t="e">
        <f ca="1">IF(OR(INDEX($AI$2:$AI$1001,MATCH(ROWS($AH$2:AH74),$AH$2:$AH$1001,0),1)&gt;=100000,INDEX($AO$1005:$BQ$1005,1,MATCH(COLUMNS($AO$1006:BK1006),$AO$1006:$BQ$1006,0))&gt;=100000), " ",IF(INDEX($AO$2:$BQ$1001,MATCH(ROWS($AH$2:AH74),$AH$2:$AH$1001,0),MATCH(COLUMNS($AO$1006:BK1006),$AO$1006:$BQ$1006,0)), HYPERLINK("#",""), HYPERLINK(CONCATENATE("#Metadata!", ADDRESS(INDEX($AJ$2:$AJ$1001,MATCH(ROWS($AH$2:AH74),$AH$2:$AH$1001,0),0), INDEX($AO$1004:$BQ$1004,1,MATCH(COLUMNS($AO$1006:BK1006),$AO$1006:$BQ$1006,0)))),"Fix")))</f>
        <v>#N/A</v>
      </c>
      <c r="Y74" s="5" t="e">
        <f ca="1">IF(OR(INDEX($AI$2:$AI$1001,MATCH(ROWS($AH$2:AH74),$AH$2:$AH$1001,0),1)&gt;=100000,INDEX($AO$1005:$BQ$1005,1,MATCH(COLUMNS($AO$1006:BL1006),$AO$1006:$BQ$1006,0))&gt;=100000), " ",IF(INDEX($AO$2:$BQ$1001,MATCH(ROWS($AH$2:AH74),$AH$2:$AH$1001,0),MATCH(COLUMNS($AO$1006:BL1006),$AO$1006:$BQ$1006,0)), HYPERLINK("#",""), HYPERLINK(CONCATENATE("#Metadata!", ADDRESS(INDEX($AJ$2:$AJ$1001,MATCH(ROWS($AH$2:AH74),$AH$2:$AH$1001,0),0), INDEX($AO$1004:$BQ$1004,1,MATCH(COLUMNS($AO$1006:BL1006),$AO$1006:$BQ$1006,0)))),"Fix")))</f>
        <v>#N/A</v>
      </c>
      <c r="Z74" s="5" t="e">
        <f ca="1">IF(OR(INDEX($AI$2:$AI$1001,MATCH(ROWS($AH$2:AH74),$AH$2:$AH$1001,0),1)&gt;=100000,INDEX($AO$1005:$BQ$1005,1,MATCH(COLUMNS($AO$1006:BM1006),$AO$1006:$BQ$1006,0))&gt;=100000), " ",IF(INDEX($AO$2:$BQ$1001,MATCH(ROWS($AH$2:AH74),$AH$2:$AH$1001,0),MATCH(COLUMNS($AO$1006:BM1006),$AO$1006:$BQ$1006,0)), HYPERLINK("#",""), HYPERLINK(CONCATENATE("#Metadata!", ADDRESS(INDEX($AJ$2:$AJ$1001,MATCH(ROWS($AH$2:AH74),$AH$2:$AH$1001,0),0), INDEX($AO$1004:$BQ$1004,1,MATCH(COLUMNS($AO$1006:BM1006),$AO$1006:$BQ$1006,0)))),"Fix")))</f>
        <v>#N/A</v>
      </c>
      <c r="AA74" s="5" t="e">
        <f ca="1">IF(OR(INDEX($AI$2:$AI$1001,MATCH(ROWS($AH$2:AH74),$AH$2:$AH$1001,0),1)&gt;=100000,INDEX($AO$1005:$BQ$1005,1,MATCH(COLUMNS($AO$1006:BN1006),$AO$1006:$BQ$1006,0))&gt;=100000), " ",IF(INDEX($AO$2:$BQ$1001,MATCH(ROWS($AH$2:AH74),$AH$2:$AH$1001,0),MATCH(COLUMNS($AO$1006:BN1006),$AO$1006:$BQ$1006,0)), HYPERLINK("#",""), HYPERLINK(CONCATENATE("#Metadata!", ADDRESS(INDEX($AJ$2:$AJ$1001,MATCH(ROWS($AH$2:AH74),$AH$2:$AH$1001,0),0), INDEX($AO$1004:$BQ$1004,1,MATCH(COLUMNS($AO$1006:BN1006),$AO$1006:$BQ$1006,0)))),"Fix")))</f>
        <v>#N/A</v>
      </c>
      <c r="AB74" s="5" t="e">
        <f ca="1">IF(OR(INDEX($AI$2:$AI$1001,MATCH(ROWS($AH$2:AH74),$AH$2:$AH$1001,0),1)&gt;=100000,INDEX($AO$1005:$BQ$1005,1,MATCH(COLUMNS($AO$1006:BO1006),$AO$1006:$BQ$1006,0))&gt;=100000), " ",IF(INDEX($AO$2:$BQ$1001,MATCH(ROWS($AH$2:AH74),$AH$2:$AH$1001,0),MATCH(COLUMNS($AO$1006:BO1006),$AO$1006:$BQ$1006,0)), HYPERLINK("#",""), HYPERLINK(CONCATENATE("#Metadata!", ADDRESS(INDEX($AJ$2:$AJ$1001,MATCH(ROWS($AH$2:AH74),$AH$2:$AH$1001,0),0), INDEX($AO$1004:$BQ$1004,1,MATCH(COLUMNS($AO$1006:BO1006),$AO$1006:$BQ$1006,0)))),"Fix")))</f>
        <v>#N/A</v>
      </c>
      <c r="AC74" s="5" t="e">
        <f ca="1">IF(OR(INDEX($AI$2:$AI$1001,MATCH(ROWS($AH$2:AH74),$AH$2:$AH$1001,0),1)&gt;=100000,INDEX($AO$1005:$BQ$1005,1,MATCH(COLUMNS($AO$1006:BP1006),$AO$1006:$BQ$1006,0))&gt;=100000), " ",IF(INDEX($AO$2:$BQ$1001,MATCH(ROWS($AH$2:AH74),$AH$2:$AH$1001,0),MATCH(COLUMNS($AO$1006:BP1006),$AO$1006:$BQ$1006,0)), HYPERLINK("#",""), HYPERLINK(CONCATENATE("#Metadata!", ADDRESS(INDEX($AJ$2:$AJ$1001,MATCH(ROWS($AH$2:AH74),$AH$2:$AH$1001,0),0), INDEX($AO$1004:$BQ$1004,1,MATCH(COLUMNS($AO$1006:BP1006),$AO$1006:$BQ$1006,0)))),"Fix")))</f>
        <v>#N/A</v>
      </c>
      <c r="AD74" s="5" t="e">
        <f ca="1">IF(OR(INDEX($AI$2:$AI$1001,MATCH(ROWS($AH$2:AH74),$AH$2:$AH$1001,0),1)&gt;=100000,INDEX($AO$1005:$BQ$1005,1,MATCH(COLUMNS($AO$1006:BQ1006),$AO$1006:$BQ$1006,0))&gt;=100000), " ",IF(INDEX($AO$2:$BQ$1001,MATCH(ROWS($AH$2:AH74),$AH$2:$AH$1001,0),MATCH(COLUMNS($AO$1006:BQ1006),$AO$1006:$BQ$1006,0)), HYPERLINK("#",""), HYPERLINK(CONCATENATE("#Metadata!", ADDRESS(INDEX($AJ$2:$AJ$1001,MATCH(ROWS($AH$2:AH74),$AH$2:$AH$1001,0),0), INDEX($AO$1004:$BQ$1004,1,MATCH(COLUMNS($AO$1006:BQ1006),$AO$1006:$BQ$1006,0)))),"Fix")))</f>
        <v>#REF!</v>
      </c>
      <c r="AH74">
        <f ca="1"/>
        <v>71</v>
      </c>
      <c r="AI74">
        <v>100074</v>
      </c>
      <c r="AJ74">
        <v>74</v>
      </c>
      <c r="AK74" t="b">
        <f t="shared" si="1"/>
        <v>1</v>
      </c>
      <c r="AL74" t="b">
        <f>COUNTBLANK(Metadata!B74:AD74)=COLUMNS(Metadata!B74:AD74)</f>
        <v>1</v>
      </c>
      <c r="AM74" t="str">
        <v/>
      </c>
      <c r="AO74" t="b">
        <f ca="1">AND(IF(Metadata!B74="",FALSE,TRUE),COUNTIF(Metadata!B:B, Metadata!B74) = 1,NOT(ISERROR(SUMPRODUCT(SEARCH(MID(Metadata!B74,ROW(INDIRECT("1:"&amp;LEN(Metadata!B74))), 1),"0123456789abcdefghijklmnopqrstuvwxyzABCDEFGHIJKLMNOPQRSTUVWXYZ.")))))</f>
        <v>0</v>
      </c>
      <c r="AP74" t="b">
        <f>IF(Metadata!C74="",FALSE,TRUE)</f>
        <v>0</v>
      </c>
      <c r="AQ74" t="b">
        <f>IF(Metadata!D74="",FALSE,TRUE)</f>
        <v>0</v>
      </c>
      <c r="AR74" t="b">
        <f ca="1">OR(AND(IF(Metadata!E74="",FALSE,TRUE),OR(EXACT(Metadata!E74,"not collected"),EXACT(Metadata!E74,"not provided"),EXACT(Metadata!E74,"restricted access"))),AND(IF(Metadata!E74="",FALSE,TRUE),AND(AND(IFERROR(INT(LEFT(Metadata!E74,4))&gt;1900,FALSE),IFERROR(INT(LEFT(Metadata!E74,4))&lt;=YEAR(NOW()),FALSE)), OR(MID(Metadata!E74,5,1)="", AND(AND(MID(Metadata!E74,5,1)="-",IFERROR(INT(MID(Metadata!E74,6,1))&gt;=0,FALSE),IFERROR(INT(MID(Metadata!E74,6,1))&lt;=1,FALSE),NOT(MID(Metadata!E74,7,1)=""),IFERROR(INT(MID(Metadata!E74,6,2))&gt;=1,FALSE),IFERROR(INT(MID(Metadata!E74,6,2))&lt;=12,FALSE)), OR(MID(Metadata!E74,8,1)="", AND(AND(MID(Metadata!E74,8,1)="-",IFERROR(INT(MID(Metadata!E74,9,1))&gt;=0,FALSE),IFERROR(INT(MID(Metadata!E74,9,1))&lt;=3,FALSE),NOT(MID(Metadata!E74,10,1)=""),IFERROR(INT(MID(Metadata!E74,9,2))&gt;=1,FALSE),IFERROR(INT(MID(Metadata!E74,9,2))&lt;=31,FALSE)), OR(MID(Metadata!E74,11,1)="", AND(AND(MID(Metadata!E74,11,1)=" ",IFERROR(INT(MID(Metadata!E74,12,1))&gt;=0,FALSE),IFERROR(INT(MID(Metadata!E74,12,1))&lt;=2,FALSE),NOT(MID(Metadata!E74,13,1)=""),IFERROR(INT(MID(Metadata!E74,12,2))&gt;=0,FALSE),IFERROR(INT(MID(Metadata!E74,12,2))&lt;=23,FALSE)), OR(MID(Metadata!E74,14,1)="", AND(AND(MID(Metadata!E74,14,1)=":",IFERROR(INT(MID(Metadata!E74,15,1))&gt;=0,FALSE),IFERROR(INT(MID(Metadata!E74,15,1))&lt;=5,FALSE),NOT(MID(Metadata!E74,16,1)=""),IFERROR(INT(MID(Metadata!E74,15,2))&gt;=0,FALSE),IFERROR(INT(MID(Metadata!E74,15,2))&lt;=59,FALSE)), OR(MID(Metadata!E74,17,1)="", AND(AND(MID(Metadata!E74,17,1)=":",IFERROR(INT(MID(Metadata!E74,18,1))&gt;=0,FALSE),IFERROR(INT(MID(Metadata!E74,18,1))&lt;=5,FALSE),NOT(MID(Metadata!E74,19,1)=""),IFERROR(INT(MID(Metadata!E74,18,2))&gt;=0,FALSE),IFERROR(INT(MID(Metadata!E74,18,2))&lt;=59,FALSE)), LEN(Metadata!E74)&lt;=19)))))))))))))</f>
        <v>0</v>
      </c>
      <c r="AS74" t="b">
        <f>IF(Metadata!F74="",FALSE,TRUE)</f>
        <v>0</v>
      </c>
      <c r="AT74" t="b">
        <f>OR(AND(IF(Metadata!G74="",FALSE,TRUE),OR(EXACT(Metadata!G74,"not collected"),EXACT(Metadata!G74,"not provided"))),AND(IF(Metadata!G74="",FALSE,TRUE),OR(EXACT(Metadata!G74,"TRUE"),EXACT(Metadata!G74,"FALSE"))))</f>
        <v>0</v>
      </c>
      <c r="AU74" t="b">
        <f>OR(AND(IF(Metadata!H74="",FALSE,TRUE),OR(EXACT(Metadata!H74,"not collected"),EXACT(Metadata!H74,"not provided"),EXACT(Metadata!H74,"restricted access"))),AND(IF(Metadata!H74="",FALSE,ISNUMBER(VALUE(Metadata!H74))),Metadata!H74&gt;=-413))</f>
        <v>0</v>
      </c>
      <c r="AV74" t="b">
        <f>AND(IF(Metadata!I74="",FALSE,TRUE),EXACT(Metadata!I74,"meters"))</f>
        <v>0</v>
      </c>
      <c r="AW74" t="b">
        <f>AND(IF(Metadata!J74="",FALSE,TRUE),EXACT(Metadata!J74,"free-living"))</f>
        <v>0</v>
      </c>
      <c r="AX74" t="b">
        <f>AND(IF(Metadata!K74="",FALSE,TRUE),OR(EXACT(Metadata!K74,"saline"),EXACT(Metadata!K74,"non-saline")))</f>
        <v>0</v>
      </c>
      <c r="AY74" t="b">
        <f>AND(IF(Metadata!L74="",FALSE,TRUE),OR(EXACT(Metadata!L74,"sub-surface (non-saline)"),EXACT(Metadata!L74,"surface (non-saline)"),EXACT(Metadata!L74,"water (non-saline)"),EXACT(Metadata!L74,"soil (non-saline)"),EXACT(Metadata!L74,"aerosol (non-saline)"),EXACT(Metadata!L74,"sediment (non-saline)"),EXACT(Metadata!L74,"surface (saline)"),EXACT(Metadata!L74,"water (saline)"),EXACT(Metadata!L74,"hypersaline (saline)"),EXACT(Metadata!L74,"aerosol (saline)"),EXACT(Metadata!L74,"sediment (saline)")))</f>
        <v>0</v>
      </c>
      <c r="AZ74" t="b">
        <f>IF(Metadata!M74="",FALSE,TRUE)</f>
        <v>0</v>
      </c>
      <c r="BA74" t="b">
        <f>IF(Metadata!N74="",FALSE,TRUE)</f>
        <v>0</v>
      </c>
      <c r="BB74" t="b">
        <f>IF(Metadata!O74="",FALSE,TRUE)</f>
        <v>0</v>
      </c>
      <c r="BC74" t="b">
        <f>AND(IF(Metadata!P74="",FALSE,TRUE),OR(EXACT(Metadata!P74,"air"),EXACT(Metadata!P74,"microbial mat/biofilm"),EXACT(Metadata!P74,"misc environment"),EXACT(Metadata!P74,"sediment"),EXACT(Metadata!P74,"soil"),EXACT(Metadata!P74,"wastewater/sludge"),EXACT(Metadata!P74,"water")))</f>
        <v>0</v>
      </c>
      <c r="BD74" t="b">
        <f>IF(Metadata!Q74="",FALSE,TRUE)</f>
        <v>0</v>
      </c>
      <c r="BE74" t="b">
        <f>IF(Metadata!R74="",FALSE,TRUE)</f>
        <v>0</v>
      </c>
      <c r="BF74" t="b">
        <f>OR(AND(IF(Metadata!S74="",FALSE,TRUE),OR(EXACT(Metadata!S74,"not collected"),EXACT(Metadata!S74,"not provided"),EXACT(Metadata!S74,"restricted access"))),AND(IF(Metadata!S74="",FALSE,ISNUMBER(VALUE(Metadata!S74))),Metadata!S74&gt;=-90,Metadata!S74&lt;=90))</f>
        <v>0</v>
      </c>
      <c r="BG74" t="b">
        <f>AND(IF(Metadata!T74="",FALSE,TRUE),EXACT(Metadata!T74,"Decimal degrees"))</f>
        <v>0</v>
      </c>
      <c r="BH74" t="b">
        <f>OR(AND(IF(Metadata!U74="",FALSE,TRUE),OR(EXACT(Metadata!U74,"not applicable"),EXACT(Metadata!U74,"not collected"))),IF(Metadata!U74="",FALSE,TRUE))</f>
        <v>0</v>
      </c>
      <c r="BI74" t="b">
        <f>OR(AND(IF(Metadata!V74="",FALSE,TRUE),OR(EXACT(Metadata!V74,"not collected"),EXACT(Metadata!V74,"not provided"),EXACT(Metadata!V74,"restricted access"))),AND(IF(Metadata!V74="",FALSE,ISNUMBER(VALUE(Metadata!V74))),Metadata!V74&gt;=-180,Metadata!V74&lt;=180))</f>
        <v>0</v>
      </c>
      <c r="BJ74" t="b">
        <f>AND(IF(Metadata!W74="",FALSE,TRUE),EXACT(Metadata!W74,"Decimal degrees"))</f>
        <v>0</v>
      </c>
      <c r="BK74" t="b">
        <f>IF(Metadata!X74="",FALSE,TRUE)</f>
        <v>0</v>
      </c>
      <c r="BL74" t="b">
        <f>OR(AND(IF(Metadata!Y74="",FALSE,TRUE),OR(EXACT(Metadata!Y74,"not collected"),EXACT(Metadata!Y74,"not provided"),EXACT(Metadata!Y74,"restricted access"))),AND(IF(Metadata!Y74="",FALSE,TRUE),OR(EXACT(Metadata!Y74,"TRUE"),EXACT(Metadata!Y74,"FALSE"))))</f>
        <v>0</v>
      </c>
      <c r="BM74" t="b">
        <f>OR(AND(IF(Metadata!Z74="",FALSE,TRUE),EXACT(Metadata!Z74,"not applicable")),AND(IF(Metadata!Z74="",FALSE,TRUE),OR(EXACT(Metadata!Z74,"beer"),EXACT(Metadata!Z74,"cheese"),EXACT(Metadata!Z74,"fresh water"),EXACT(Metadata!Z74,"marine sediment"),EXACT(Metadata!Z74,"sea water"),EXACT(Metadata!Z74,"sediment"),EXACT(Metadata!Z74,"soil"),EXACT(Metadata!Z74,"waste water"))))</f>
        <v>0</v>
      </c>
      <c r="BN74" t="b">
        <f>AND(IF(Metadata!AA74="",FALSE,TRUE),EXACT(Metadata!AA74,"metagenome"))</f>
        <v>0</v>
      </c>
      <c r="BO74" t="b">
        <f>AND(IF(Metadata!AB74="",FALSE,TRUE),EXACT(Metadata!AB74,"256318"))</f>
        <v>0</v>
      </c>
      <c r="BP74" t="b">
        <f>IF(Metadata!AC74="",FALSE,TRUE)</f>
        <v>0</v>
      </c>
      <c r="BQ74" t="b">
        <f>IF(Metadata!AD74="",FALSE,TRUE)</f>
        <v>0</v>
      </c>
    </row>
    <row r="75" spans="1:69" x14ac:dyDescent="0.2">
      <c r="A75" s="4" t="e">
        <f ca="1">IF(B75=" "," ",HYPERLINK(CONCATENATE("#metadata!",ADDRESS(INDEX($AJ$2:$AJ$1001,MATCH(ROWS($AH$2:AH75),$AH$2:$AH$1001,0),0),2)),INDEX($AM$2:$AM$1001,MATCH(ROWS($AH$2:AH75),$AH$2:$AH$1001,0),0)))</f>
        <v>#N/A</v>
      </c>
      <c r="B75" s="5" t="e">
        <f ca="1">IF(OR(INDEX($AI$2:$AI$1001,MATCH(ROWS($AH$2:AH75),$AH$2:$AH$1001,0),1)&gt;=100000,INDEX($AO$1005:$BQ$1005,1,MATCH(COLUMNS($AO$1006:AO1006),$AO$1006:$BQ$1006,0))&gt;=100000), " ",IF(INDEX($AO$2:$BQ$1001,MATCH(ROWS($AH$2:AH75),$AH$2:$AH$1001,0),MATCH(COLUMNS($AO$1006:AO1006),$AO$1006:$BQ$1006,0)), HYPERLINK("#",""), HYPERLINK(CONCATENATE("#Metadata!", ADDRESS(INDEX($AJ$2:$AJ$1001,MATCH(ROWS($AH$2:AH75),$AH$2:$AH$1001,0),0), INDEX($AO$1004:$BQ$1004,1,MATCH(COLUMNS($AO$1006:AO1006),$AO$1006:$BQ$1006,0)))),"Fix")))</f>
        <v>#N/A</v>
      </c>
      <c r="C75" s="5" t="e">
        <f ca="1">IF(OR(INDEX($AI$2:$AI$1001,MATCH(ROWS($AH$2:AH75),$AH$2:$AH$1001,0),1)&gt;=100000,INDEX($AO$1005:$BQ$1005,1,MATCH(COLUMNS($AO$1006:AP1006),$AO$1006:$BQ$1006,0))&gt;=100000), " ",IF(INDEX($AO$2:$BQ$1001,MATCH(ROWS($AH$2:AH75),$AH$2:$AH$1001,0),MATCH(COLUMNS($AO$1006:AP1006),$AO$1006:$BQ$1006,0)), HYPERLINK("#",""), HYPERLINK(CONCATENATE("#Metadata!", ADDRESS(INDEX($AJ$2:$AJ$1001,MATCH(ROWS($AH$2:AH75),$AH$2:$AH$1001,0),0), INDEX($AO$1004:$BQ$1004,1,MATCH(COLUMNS($AO$1006:AP1006),$AO$1006:$BQ$1006,0)))),"Fix")))</f>
        <v>#N/A</v>
      </c>
      <c r="D75" s="5" t="e">
        <f ca="1">IF(OR(INDEX($AI$2:$AI$1001,MATCH(ROWS($AH$2:AH75),$AH$2:$AH$1001,0),1)&gt;=100000,INDEX($AO$1005:$BQ$1005,1,MATCH(COLUMNS($AO$1006:AQ1006),$AO$1006:$BQ$1006,0))&gt;=100000), " ",IF(INDEX($AO$2:$BQ$1001,MATCH(ROWS($AH$2:AH75),$AH$2:$AH$1001,0),MATCH(COLUMNS($AO$1006:AQ1006),$AO$1006:$BQ$1006,0)), HYPERLINK("#",""), HYPERLINK(CONCATENATE("#Metadata!", ADDRESS(INDEX($AJ$2:$AJ$1001,MATCH(ROWS($AH$2:AH75),$AH$2:$AH$1001,0),0), INDEX($AO$1004:$BQ$1004,1,MATCH(COLUMNS($AO$1006:AQ1006),$AO$1006:$BQ$1006,0)))),"Fix")))</f>
        <v>#N/A</v>
      </c>
      <c r="E75" s="5" t="e">
        <f ca="1">IF(OR(INDEX($AI$2:$AI$1001,MATCH(ROWS($AH$2:AH75),$AH$2:$AH$1001,0),1)&gt;=100000,INDEX($AO$1005:$BQ$1005,1,MATCH(COLUMNS($AO$1006:AR1006),$AO$1006:$BQ$1006,0))&gt;=100000), " ",IF(INDEX($AO$2:$BQ$1001,MATCH(ROWS($AH$2:AH75),$AH$2:$AH$1001,0),MATCH(COLUMNS($AO$1006:AR1006),$AO$1006:$BQ$1006,0)), HYPERLINK("#",""), HYPERLINK(CONCATENATE("#Metadata!", ADDRESS(INDEX($AJ$2:$AJ$1001,MATCH(ROWS($AH$2:AH75),$AH$2:$AH$1001,0),0), INDEX($AO$1004:$BQ$1004,1,MATCH(COLUMNS($AO$1006:AR1006),$AO$1006:$BQ$1006,0)))),"Fix")))</f>
        <v>#N/A</v>
      </c>
      <c r="F75" s="5" t="e">
        <f ca="1">IF(OR(INDEX($AI$2:$AI$1001,MATCH(ROWS($AH$2:AH75),$AH$2:$AH$1001,0),1)&gt;=100000,INDEX($AO$1005:$BQ$1005,1,MATCH(COLUMNS($AO$1006:AS1006),$AO$1006:$BQ$1006,0))&gt;=100000), " ",IF(INDEX($AO$2:$BQ$1001,MATCH(ROWS($AH$2:AH75),$AH$2:$AH$1001,0),MATCH(COLUMNS($AO$1006:AS1006),$AO$1006:$BQ$1006,0)), HYPERLINK("#",""), HYPERLINK(CONCATENATE("#Metadata!", ADDRESS(INDEX($AJ$2:$AJ$1001,MATCH(ROWS($AH$2:AH75),$AH$2:$AH$1001,0),0), INDEX($AO$1004:$BQ$1004,1,MATCH(COLUMNS($AO$1006:AS1006),$AO$1006:$BQ$1006,0)))),"Fix")))</f>
        <v>#N/A</v>
      </c>
      <c r="G75" s="5" t="e">
        <f ca="1">IF(OR(INDEX($AI$2:$AI$1001,MATCH(ROWS($AH$2:AH75),$AH$2:$AH$1001,0),1)&gt;=100000,INDEX($AO$1005:$BQ$1005,1,MATCH(COLUMNS($AO$1006:AT1006),$AO$1006:$BQ$1006,0))&gt;=100000), " ",IF(INDEX($AO$2:$BQ$1001,MATCH(ROWS($AH$2:AH75),$AH$2:$AH$1001,0),MATCH(COLUMNS($AO$1006:AT1006),$AO$1006:$BQ$1006,0)), HYPERLINK("#",""), HYPERLINK(CONCATENATE("#Metadata!", ADDRESS(INDEX($AJ$2:$AJ$1001,MATCH(ROWS($AH$2:AH75),$AH$2:$AH$1001,0),0), INDEX($AO$1004:$BQ$1004,1,MATCH(COLUMNS($AO$1006:AT1006),$AO$1006:$BQ$1006,0)))),"Fix")))</f>
        <v>#N/A</v>
      </c>
      <c r="H75" s="5" t="e">
        <f ca="1">IF(OR(INDEX($AI$2:$AI$1001,MATCH(ROWS($AH$2:AH75),$AH$2:$AH$1001,0),1)&gt;=100000,INDEX($AO$1005:$BQ$1005,1,MATCH(COLUMNS($AO$1006:AU1006),$AO$1006:$BQ$1006,0))&gt;=100000), " ",IF(INDEX($AO$2:$BQ$1001,MATCH(ROWS($AH$2:AH75),$AH$2:$AH$1001,0),MATCH(COLUMNS($AO$1006:AU1006),$AO$1006:$BQ$1006,0)), HYPERLINK("#",""), HYPERLINK(CONCATENATE("#Metadata!", ADDRESS(INDEX($AJ$2:$AJ$1001,MATCH(ROWS($AH$2:AH75),$AH$2:$AH$1001,0),0), INDEX($AO$1004:$BQ$1004,1,MATCH(COLUMNS($AO$1006:AU1006),$AO$1006:$BQ$1006,0)))),"Fix")))</f>
        <v>#N/A</v>
      </c>
      <c r="I75" s="5" t="e">
        <f ca="1">IF(OR(INDEX($AI$2:$AI$1001,MATCH(ROWS($AH$2:AH75),$AH$2:$AH$1001,0),1)&gt;=100000,INDEX($AO$1005:$BQ$1005,1,MATCH(COLUMNS($AO$1006:AV1006),$AO$1006:$BQ$1006,0))&gt;=100000), " ",IF(INDEX($AO$2:$BQ$1001,MATCH(ROWS($AH$2:AH75),$AH$2:$AH$1001,0),MATCH(COLUMNS($AO$1006:AV1006),$AO$1006:$BQ$1006,0)), HYPERLINK("#",""), HYPERLINK(CONCATENATE("#Metadata!", ADDRESS(INDEX($AJ$2:$AJ$1001,MATCH(ROWS($AH$2:AH75),$AH$2:$AH$1001,0),0), INDEX($AO$1004:$BQ$1004,1,MATCH(COLUMNS($AO$1006:AV1006),$AO$1006:$BQ$1006,0)))),"Fix")))</f>
        <v>#N/A</v>
      </c>
      <c r="J75" s="5" t="e">
        <f ca="1">IF(OR(INDEX($AI$2:$AI$1001,MATCH(ROWS($AH$2:AH75),$AH$2:$AH$1001,0),1)&gt;=100000,INDEX($AO$1005:$BQ$1005,1,MATCH(COLUMNS($AO$1006:AW1006),$AO$1006:$BQ$1006,0))&gt;=100000), " ",IF(INDEX($AO$2:$BQ$1001,MATCH(ROWS($AH$2:AH75),$AH$2:$AH$1001,0),MATCH(COLUMNS($AO$1006:AW1006),$AO$1006:$BQ$1006,0)), HYPERLINK("#",""), HYPERLINK(CONCATENATE("#Metadata!", ADDRESS(INDEX($AJ$2:$AJ$1001,MATCH(ROWS($AH$2:AH75),$AH$2:$AH$1001,0),0), INDEX($AO$1004:$BQ$1004,1,MATCH(COLUMNS($AO$1006:AW1006),$AO$1006:$BQ$1006,0)))),"Fix")))</f>
        <v>#N/A</v>
      </c>
      <c r="K75" s="5" t="e">
        <f ca="1">IF(OR(INDEX($AI$2:$AI$1001,MATCH(ROWS($AH$2:AH75),$AH$2:$AH$1001,0),1)&gt;=100000,INDEX($AO$1005:$BQ$1005,1,MATCH(COLUMNS($AO$1006:AX1006),$AO$1006:$BQ$1006,0))&gt;=100000), " ",IF(INDEX($AO$2:$BQ$1001,MATCH(ROWS($AH$2:AH75),$AH$2:$AH$1001,0),MATCH(COLUMNS($AO$1006:AX1006),$AO$1006:$BQ$1006,0)), HYPERLINK("#",""), HYPERLINK(CONCATENATE("#Metadata!", ADDRESS(INDEX($AJ$2:$AJ$1001,MATCH(ROWS($AH$2:AH75),$AH$2:$AH$1001,0),0), INDEX($AO$1004:$BQ$1004,1,MATCH(COLUMNS($AO$1006:AX1006),$AO$1006:$BQ$1006,0)))),"Fix")))</f>
        <v>#N/A</v>
      </c>
      <c r="L75" s="5" t="e">
        <f ca="1">IF(OR(INDEX($AI$2:$AI$1001,MATCH(ROWS($AH$2:AH75),$AH$2:$AH$1001,0),1)&gt;=100000,INDEX($AO$1005:$BQ$1005,1,MATCH(COLUMNS($AO$1006:AY1006),$AO$1006:$BQ$1006,0))&gt;=100000), " ",IF(INDEX($AO$2:$BQ$1001,MATCH(ROWS($AH$2:AH75),$AH$2:$AH$1001,0),MATCH(COLUMNS($AO$1006:AY1006),$AO$1006:$BQ$1006,0)), HYPERLINK("#",""), HYPERLINK(CONCATENATE("#Metadata!", ADDRESS(INDEX($AJ$2:$AJ$1001,MATCH(ROWS($AH$2:AH75),$AH$2:$AH$1001,0),0), INDEX($AO$1004:$BQ$1004,1,MATCH(COLUMNS($AO$1006:AY1006),$AO$1006:$BQ$1006,0)))),"Fix")))</f>
        <v>#N/A</v>
      </c>
      <c r="M75" s="5" t="e">
        <f ca="1">IF(OR(INDEX($AI$2:$AI$1001,MATCH(ROWS($AH$2:AH75),$AH$2:$AH$1001,0),1)&gt;=100000,INDEX($AO$1005:$BQ$1005,1,MATCH(COLUMNS($AO$1006:AZ1006),$AO$1006:$BQ$1006,0))&gt;=100000), " ",IF(INDEX($AO$2:$BQ$1001,MATCH(ROWS($AH$2:AH75),$AH$2:$AH$1001,0),MATCH(COLUMNS($AO$1006:AZ1006),$AO$1006:$BQ$1006,0)), HYPERLINK("#",""), HYPERLINK(CONCATENATE("#Metadata!", ADDRESS(INDEX($AJ$2:$AJ$1001,MATCH(ROWS($AH$2:AH75),$AH$2:$AH$1001,0),0), INDEX($AO$1004:$BQ$1004,1,MATCH(COLUMNS($AO$1006:AZ1006),$AO$1006:$BQ$1006,0)))),"Fix")))</f>
        <v>#N/A</v>
      </c>
      <c r="N75" s="5" t="e">
        <f ca="1">IF(OR(INDEX($AI$2:$AI$1001,MATCH(ROWS($AH$2:AH75),$AH$2:$AH$1001,0),1)&gt;=100000,INDEX($AO$1005:$BQ$1005,1,MATCH(COLUMNS($AO$1006:BA1006),$AO$1006:$BQ$1006,0))&gt;=100000), " ",IF(INDEX($AO$2:$BQ$1001,MATCH(ROWS($AH$2:AH75),$AH$2:$AH$1001,0),MATCH(COLUMNS($AO$1006:BA1006),$AO$1006:$BQ$1006,0)), HYPERLINK("#",""), HYPERLINK(CONCATENATE("#Metadata!", ADDRESS(INDEX($AJ$2:$AJ$1001,MATCH(ROWS($AH$2:AH75),$AH$2:$AH$1001,0),0), INDEX($AO$1004:$BQ$1004,1,MATCH(COLUMNS($AO$1006:BA1006),$AO$1006:$BQ$1006,0)))),"Fix")))</f>
        <v>#N/A</v>
      </c>
      <c r="O75" s="5" t="e">
        <f ca="1">IF(OR(INDEX($AI$2:$AI$1001,MATCH(ROWS($AH$2:AH75),$AH$2:$AH$1001,0),1)&gt;=100000,INDEX($AO$1005:$BQ$1005,1,MATCH(COLUMNS($AO$1006:BB1006),$AO$1006:$BQ$1006,0))&gt;=100000), " ",IF(INDEX($AO$2:$BQ$1001,MATCH(ROWS($AH$2:AH75),$AH$2:$AH$1001,0),MATCH(COLUMNS($AO$1006:BB1006),$AO$1006:$BQ$1006,0)), HYPERLINK("#",""), HYPERLINK(CONCATENATE("#Metadata!", ADDRESS(INDEX($AJ$2:$AJ$1001,MATCH(ROWS($AH$2:AH75),$AH$2:$AH$1001,0),0), INDEX($AO$1004:$BQ$1004,1,MATCH(COLUMNS($AO$1006:BB1006),$AO$1006:$BQ$1006,0)))),"Fix")))</f>
        <v>#N/A</v>
      </c>
      <c r="P75" s="5" t="e">
        <f ca="1">IF(OR(INDEX($AI$2:$AI$1001,MATCH(ROWS($AH$2:AH75),$AH$2:$AH$1001,0),1)&gt;=100000,INDEX($AO$1005:$BQ$1005,1,MATCH(COLUMNS($AO$1006:BC1006),$AO$1006:$BQ$1006,0))&gt;=100000), " ",IF(INDEX($AO$2:$BQ$1001,MATCH(ROWS($AH$2:AH75),$AH$2:$AH$1001,0),MATCH(COLUMNS($AO$1006:BC1006),$AO$1006:$BQ$1006,0)), HYPERLINK("#",""), HYPERLINK(CONCATENATE("#Metadata!", ADDRESS(INDEX($AJ$2:$AJ$1001,MATCH(ROWS($AH$2:AH75),$AH$2:$AH$1001,0),0), INDEX($AO$1004:$BQ$1004,1,MATCH(COLUMNS($AO$1006:BC1006),$AO$1006:$BQ$1006,0)))),"Fix")))</f>
        <v>#N/A</v>
      </c>
      <c r="Q75" s="5" t="e">
        <f ca="1">IF(OR(INDEX($AI$2:$AI$1001,MATCH(ROWS($AH$2:AH75),$AH$2:$AH$1001,0),1)&gt;=100000,INDEX($AO$1005:$BQ$1005,1,MATCH(COLUMNS($AO$1006:BD1006),$AO$1006:$BQ$1006,0))&gt;=100000), " ",IF(INDEX($AO$2:$BQ$1001,MATCH(ROWS($AH$2:AH75),$AH$2:$AH$1001,0),MATCH(COLUMNS($AO$1006:BD1006),$AO$1006:$BQ$1006,0)), HYPERLINK("#",""), HYPERLINK(CONCATENATE("#Metadata!", ADDRESS(INDEX($AJ$2:$AJ$1001,MATCH(ROWS($AH$2:AH75),$AH$2:$AH$1001,0),0), INDEX($AO$1004:$BQ$1004,1,MATCH(COLUMNS($AO$1006:BD1006),$AO$1006:$BQ$1006,0)))),"Fix")))</f>
        <v>#N/A</v>
      </c>
      <c r="R75" s="5" t="e">
        <f ca="1">IF(OR(INDEX($AI$2:$AI$1001,MATCH(ROWS($AH$2:AH75),$AH$2:$AH$1001,0),1)&gt;=100000,INDEX($AO$1005:$BQ$1005,1,MATCH(COLUMNS($AO$1006:BE1006),$AO$1006:$BQ$1006,0))&gt;=100000), " ",IF(INDEX($AO$2:$BQ$1001,MATCH(ROWS($AH$2:AH75),$AH$2:$AH$1001,0),MATCH(COLUMNS($AO$1006:BE1006),$AO$1006:$BQ$1006,0)), HYPERLINK("#",""), HYPERLINK(CONCATENATE("#Metadata!", ADDRESS(INDEX($AJ$2:$AJ$1001,MATCH(ROWS($AH$2:AH75),$AH$2:$AH$1001,0),0), INDEX($AO$1004:$BQ$1004,1,MATCH(COLUMNS($AO$1006:BE1006),$AO$1006:$BQ$1006,0)))),"Fix")))</f>
        <v>#N/A</v>
      </c>
      <c r="S75" s="5" t="e">
        <f ca="1">IF(OR(INDEX($AI$2:$AI$1001,MATCH(ROWS($AH$2:AH75),$AH$2:$AH$1001,0),1)&gt;=100000,INDEX($AO$1005:$BQ$1005,1,MATCH(COLUMNS($AO$1006:BF1006),$AO$1006:$BQ$1006,0))&gt;=100000), " ",IF(INDEX($AO$2:$BQ$1001,MATCH(ROWS($AH$2:AH75),$AH$2:$AH$1001,0),MATCH(COLUMNS($AO$1006:BF1006),$AO$1006:$BQ$1006,0)), HYPERLINK("#",""), HYPERLINK(CONCATENATE("#Metadata!", ADDRESS(INDEX($AJ$2:$AJ$1001,MATCH(ROWS($AH$2:AH75),$AH$2:$AH$1001,0),0), INDEX($AO$1004:$BQ$1004,1,MATCH(COLUMNS($AO$1006:BF1006),$AO$1006:$BQ$1006,0)))),"Fix")))</f>
        <v>#N/A</v>
      </c>
      <c r="T75" s="5" t="e">
        <f ca="1">IF(OR(INDEX($AI$2:$AI$1001,MATCH(ROWS($AH$2:AH75),$AH$2:$AH$1001,0),1)&gt;=100000,INDEX($AO$1005:$BQ$1005,1,MATCH(COLUMNS($AO$1006:BG1006),$AO$1006:$BQ$1006,0))&gt;=100000), " ",IF(INDEX($AO$2:$BQ$1001,MATCH(ROWS($AH$2:AH75),$AH$2:$AH$1001,0),MATCH(COLUMNS($AO$1006:BG1006),$AO$1006:$BQ$1006,0)), HYPERLINK("#",""), HYPERLINK(CONCATENATE("#Metadata!", ADDRESS(INDEX($AJ$2:$AJ$1001,MATCH(ROWS($AH$2:AH75),$AH$2:$AH$1001,0),0), INDEX($AO$1004:$BQ$1004,1,MATCH(COLUMNS($AO$1006:BG1006),$AO$1006:$BQ$1006,0)))),"Fix")))</f>
        <v>#N/A</v>
      </c>
      <c r="U75" s="5" t="e">
        <f ca="1">IF(OR(INDEX($AI$2:$AI$1001,MATCH(ROWS($AH$2:AH75),$AH$2:$AH$1001,0),1)&gt;=100000,INDEX($AO$1005:$BQ$1005,1,MATCH(COLUMNS($AO$1006:BH1006),$AO$1006:$BQ$1006,0))&gt;=100000), " ",IF(INDEX($AO$2:$BQ$1001,MATCH(ROWS($AH$2:AH75),$AH$2:$AH$1001,0),MATCH(COLUMNS($AO$1006:BH1006),$AO$1006:$BQ$1006,0)), HYPERLINK("#",""), HYPERLINK(CONCATENATE("#Metadata!", ADDRESS(INDEX($AJ$2:$AJ$1001,MATCH(ROWS($AH$2:AH75),$AH$2:$AH$1001,0),0), INDEX($AO$1004:$BQ$1004,1,MATCH(COLUMNS($AO$1006:BH1006),$AO$1006:$BQ$1006,0)))),"Fix")))</f>
        <v>#N/A</v>
      </c>
      <c r="V75" s="5" t="e">
        <f ca="1">IF(OR(INDEX($AI$2:$AI$1001,MATCH(ROWS($AH$2:AH75),$AH$2:$AH$1001,0),1)&gt;=100000,INDEX($AO$1005:$BQ$1005,1,MATCH(COLUMNS($AO$1006:BI1006),$AO$1006:$BQ$1006,0))&gt;=100000), " ",IF(INDEX($AO$2:$BQ$1001,MATCH(ROWS($AH$2:AH75),$AH$2:$AH$1001,0),MATCH(COLUMNS($AO$1006:BI1006),$AO$1006:$BQ$1006,0)), HYPERLINK("#",""), HYPERLINK(CONCATENATE("#Metadata!", ADDRESS(INDEX($AJ$2:$AJ$1001,MATCH(ROWS($AH$2:AH75),$AH$2:$AH$1001,0),0), INDEX($AO$1004:$BQ$1004,1,MATCH(COLUMNS($AO$1006:BI1006),$AO$1006:$BQ$1006,0)))),"Fix")))</f>
        <v>#N/A</v>
      </c>
      <c r="W75" s="5" t="e">
        <f ca="1">IF(OR(INDEX($AI$2:$AI$1001,MATCH(ROWS($AH$2:AH75),$AH$2:$AH$1001,0),1)&gt;=100000,INDEX($AO$1005:$BQ$1005,1,MATCH(COLUMNS($AO$1006:BJ1006),$AO$1006:$BQ$1006,0))&gt;=100000), " ",IF(INDEX($AO$2:$BQ$1001,MATCH(ROWS($AH$2:AH75),$AH$2:$AH$1001,0),MATCH(COLUMNS($AO$1006:BJ1006),$AO$1006:$BQ$1006,0)), HYPERLINK("#",""), HYPERLINK(CONCATENATE("#Metadata!", ADDRESS(INDEX($AJ$2:$AJ$1001,MATCH(ROWS($AH$2:AH75),$AH$2:$AH$1001,0),0), INDEX($AO$1004:$BQ$1004,1,MATCH(COLUMNS($AO$1006:BJ1006),$AO$1006:$BQ$1006,0)))),"Fix")))</f>
        <v>#N/A</v>
      </c>
      <c r="X75" s="5" t="e">
        <f ca="1">IF(OR(INDEX($AI$2:$AI$1001,MATCH(ROWS($AH$2:AH75),$AH$2:$AH$1001,0),1)&gt;=100000,INDEX($AO$1005:$BQ$1005,1,MATCH(COLUMNS($AO$1006:BK1006),$AO$1006:$BQ$1006,0))&gt;=100000), " ",IF(INDEX($AO$2:$BQ$1001,MATCH(ROWS($AH$2:AH75),$AH$2:$AH$1001,0),MATCH(COLUMNS($AO$1006:BK1006),$AO$1006:$BQ$1006,0)), HYPERLINK("#",""), HYPERLINK(CONCATENATE("#Metadata!", ADDRESS(INDEX($AJ$2:$AJ$1001,MATCH(ROWS($AH$2:AH75),$AH$2:$AH$1001,0),0), INDEX($AO$1004:$BQ$1004,1,MATCH(COLUMNS($AO$1006:BK1006),$AO$1006:$BQ$1006,0)))),"Fix")))</f>
        <v>#N/A</v>
      </c>
      <c r="Y75" s="5" t="e">
        <f ca="1">IF(OR(INDEX($AI$2:$AI$1001,MATCH(ROWS($AH$2:AH75),$AH$2:$AH$1001,0),1)&gt;=100000,INDEX($AO$1005:$BQ$1005,1,MATCH(COLUMNS($AO$1006:BL1006),$AO$1006:$BQ$1006,0))&gt;=100000), " ",IF(INDEX($AO$2:$BQ$1001,MATCH(ROWS($AH$2:AH75),$AH$2:$AH$1001,0),MATCH(COLUMNS($AO$1006:BL1006),$AO$1006:$BQ$1006,0)), HYPERLINK("#",""), HYPERLINK(CONCATENATE("#Metadata!", ADDRESS(INDEX($AJ$2:$AJ$1001,MATCH(ROWS($AH$2:AH75),$AH$2:$AH$1001,0),0), INDEX($AO$1004:$BQ$1004,1,MATCH(COLUMNS($AO$1006:BL1006),$AO$1006:$BQ$1006,0)))),"Fix")))</f>
        <v>#N/A</v>
      </c>
      <c r="Z75" s="5" t="e">
        <f ca="1">IF(OR(INDEX($AI$2:$AI$1001,MATCH(ROWS($AH$2:AH75),$AH$2:$AH$1001,0),1)&gt;=100000,INDEX($AO$1005:$BQ$1005,1,MATCH(COLUMNS($AO$1006:BM1006),$AO$1006:$BQ$1006,0))&gt;=100000), " ",IF(INDEX($AO$2:$BQ$1001,MATCH(ROWS($AH$2:AH75),$AH$2:$AH$1001,0),MATCH(COLUMNS($AO$1006:BM1006),$AO$1006:$BQ$1006,0)), HYPERLINK("#",""), HYPERLINK(CONCATENATE("#Metadata!", ADDRESS(INDEX($AJ$2:$AJ$1001,MATCH(ROWS($AH$2:AH75),$AH$2:$AH$1001,0),0), INDEX($AO$1004:$BQ$1004,1,MATCH(COLUMNS($AO$1006:BM1006),$AO$1006:$BQ$1006,0)))),"Fix")))</f>
        <v>#N/A</v>
      </c>
      <c r="AA75" s="5" t="e">
        <f ca="1">IF(OR(INDEX($AI$2:$AI$1001,MATCH(ROWS($AH$2:AH75),$AH$2:$AH$1001,0),1)&gt;=100000,INDEX($AO$1005:$BQ$1005,1,MATCH(COLUMNS($AO$1006:BN1006),$AO$1006:$BQ$1006,0))&gt;=100000), " ",IF(INDEX($AO$2:$BQ$1001,MATCH(ROWS($AH$2:AH75),$AH$2:$AH$1001,0),MATCH(COLUMNS($AO$1006:BN1006),$AO$1006:$BQ$1006,0)), HYPERLINK("#",""), HYPERLINK(CONCATENATE("#Metadata!", ADDRESS(INDEX($AJ$2:$AJ$1001,MATCH(ROWS($AH$2:AH75),$AH$2:$AH$1001,0),0), INDEX($AO$1004:$BQ$1004,1,MATCH(COLUMNS($AO$1006:BN1006),$AO$1006:$BQ$1006,0)))),"Fix")))</f>
        <v>#N/A</v>
      </c>
      <c r="AB75" s="5" t="e">
        <f ca="1">IF(OR(INDEX($AI$2:$AI$1001,MATCH(ROWS($AH$2:AH75),$AH$2:$AH$1001,0),1)&gt;=100000,INDEX($AO$1005:$BQ$1005,1,MATCH(COLUMNS($AO$1006:BO1006),$AO$1006:$BQ$1006,0))&gt;=100000), " ",IF(INDEX($AO$2:$BQ$1001,MATCH(ROWS($AH$2:AH75),$AH$2:$AH$1001,0),MATCH(COLUMNS($AO$1006:BO1006),$AO$1006:$BQ$1006,0)), HYPERLINK("#",""), HYPERLINK(CONCATENATE("#Metadata!", ADDRESS(INDEX($AJ$2:$AJ$1001,MATCH(ROWS($AH$2:AH75),$AH$2:$AH$1001,0),0), INDEX($AO$1004:$BQ$1004,1,MATCH(COLUMNS($AO$1006:BO1006),$AO$1006:$BQ$1006,0)))),"Fix")))</f>
        <v>#N/A</v>
      </c>
      <c r="AC75" s="5" t="e">
        <f ca="1">IF(OR(INDEX($AI$2:$AI$1001,MATCH(ROWS($AH$2:AH75),$AH$2:$AH$1001,0),1)&gt;=100000,INDEX($AO$1005:$BQ$1005,1,MATCH(COLUMNS($AO$1006:BP1006),$AO$1006:$BQ$1006,0))&gt;=100000), " ",IF(INDEX($AO$2:$BQ$1001,MATCH(ROWS($AH$2:AH75),$AH$2:$AH$1001,0),MATCH(COLUMNS($AO$1006:BP1006),$AO$1006:$BQ$1006,0)), HYPERLINK("#",""), HYPERLINK(CONCATENATE("#Metadata!", ADDRESS(INDEX($AJ$2:$AJ$1001,MATCH(ROWS($AH$2:AH75),$AH$2:$AH$1001,0),0), INDEX($AO$1004:$BQ$1004,1,MATCH(COLUMNS($AO$1006:BP1006),$AO$1006:$BQ$1006,0)))),"Fix")))</f>
        <v>#N/A</v>
      </c>
      <c r="AD75" s="5" t="e">
        <f ca="1">IF(OR(INDEX($AI$2:$AI$1001,MATCH(ROWS($AH$2:AH75),$AH$2:$AH$1001,0),1)&gt;=100000,INDEX($AO$1005:$BQ$1005,1,MATCH(COLUMNS($AO$1006:BQ1006),$AO$1006:$BQ$1006,0))&gt;=100000), " ",IF(INDEX($AO$2:$BQ$1001,MATCH(ROWS($AH$2:AH75),$AH$2:$AH$1001,0),MATCH(COLUMNS($AO$1006:BQ1006),$AO$1006:$BQ$1006,0)), HYPERLINK("#",""), HYPERLINK(CONCATENATE("#Metadata!", ADDRESS(INDEX($AJ$2:$AJ$1001,MATCH(ROWS($AH$2:AH75),$AH$2:$AH$1001,0),0), INDEX($AO$1004:$BQ$1004,1,MATCH(COLUMNS($AO$1006:BQ1006),$AO$1006:$BQ$1006,0)))),"Fix")))</f>
        <v>#REF!</v>
      </c>
      <c r="AH75">
        <f ca="1"/>
        <v>72</v>
      </c>
      <c r="AI75">
        <v>100075</v>
      </c>
      <c r="AJ75">
        <v>75</v>
      </c>
      <c r="AK75" t="b">
        <f t="shared" si="1"/>
        <v>1</v>
      </c>
      <c r="AL75" t="b">
        <f>COUNTBLANK(Metadata!B75:AD75)=COLUMNS(Metadata!B75:AD75)</f>
        <v>1</v>
      </c>
      <c r="AM75" t="str">
        <v/>
      </c>
      <c r="AO75" t="b">
        <f ca="1">AND(IF(Metadata!B75="",FALSE,TRUE),COUNTIF(Metadata!B:B, Metadata!B75) = 1,NOT(ISERROR(SUMPRODUCT(SEARCH(MID(Metadata!B75,ROW(INDIRECT("1:"&amp;LEN(Metadata!B75))), 1),"0123456789abcdefghijklmnopqrstuvwxyzABCDEFGHIJKLMNOPQRSTUVWXYZ.")))))</f>
        <v>0</v>
      </c>
      <c r="AP75" t="b">
        <f>IF(Metadata!C75="",FALSE,TRUE)</f>
        <v>0</v>
      </c>
      <c r="AQ75" t="b">
        <f>IF(Metadata!D75="",FALSE,TRUE)</f>
        <v>0</v>
      </c>
      <c r="AR75" t="b">
        <f ca="1">OR(AND(IF(Metadata!E75="",FALSE,TRUE),OR(EXACT(Metadata!E75,"not collected"),EXACT(Metadata!E75,"not provided"),EXACT(Metadata!E75,"restricted access"))),AND(IF(Metadata!E75="",FALSE,TRUE),AND(AND(IFERROR(INT(LEFT(Metadata!E75,4))&gt;1900,FALSE),IFERROR(INT(LEFT(Metadata!E75,4))&lt;=YEAR(NOW()),FALSE)), OR(MID(Metadata!E75,5,1)="", AND(AND(MID(Metadata!E75,5,1)="-",IFERROR(INT(MID(Metadata!E75,6,1))&gt;=0,FALSE),IFERROR(INT(MID(Metadata!E75,6,1))&lt;=1,FALSE),NOT(MID(Metadata!E75,7,1)=""),IFERROR(INT(MID(Metadata!E75,6,2))&gt;=1,FALSE),IFERROR(INT(MID(Metadata!E75,6,2))&lt;=12,FALSE)), OR(MID(Metadata!E75,8,1)="", AND(AND(MID(Metadata!E75,8,1)="-",IFERROR(INT(MID(Metadata!E75,9,1))&gt;=0,FALSE),IFERROR(INT(MID(Metadata!E75,9,1))&lt;=3,FALSE),NOT(MID(Metadata!E75,10,1)=""),IFERROR(INT(MID(Metadata!E75,9,2))&gt;=1,FALSE),IFERROR(INT(MID(Metadata!E75,9,2))&lt;=31,FALSE)), OR(MID(Metadata!E75,11,1)="", AND(AND(MID(Metadata!E75,11,1)=" ",IFERROR(INT(MID(Metadata!E75,12,1))&gt;=0,FALSE),IFERROR(INT(MID(Metadata!E75,12,1))&lt;=2,FALSE),NOT(MID(Metadata!E75,13,1)=""),IFERROR(INT(MID(Metadata!E75,12,2))&gt;=0,FALSE),IFERROR(INT(MID(Metadata!E75,12,2))&lt;=23,FALSE)), OR(MID(Metadata!E75,14,1)="", AND(AND(MID(Metadata!E75,14,1)=":",IFERROR(INT(MID(Metadata!E75,15,1))&gt;=0,FALSE),IFERROR(INT(MID(Metadata!E75,15,1))&lt;=5,FALSE),NOT(MID(Metadata!E75,16,1)=""),IFERROR(INT(MID(Metadata!E75,15,2))&gt;=0,FALSE),IFERROR(INT(MID(Metadata!E75,15,2))&lt;=59,FALSE)), OR(MID(Metadata!E75,17,1)="", AND(AND(MID(Metadata!E75,17,1)=":",IFERROR(INT(MID(Metadata!E75,18,1))&gt;=0,FALSE),IFERROR(INT(MID(Metadata!E75,18,1))&lt;=5,FALSE),NOT(MID(Metadata!E75,19,1)=""),IFERROR(INT(MID(Metadata!E75,18,2))&gt;=0,FALSE),IFERROR(INT(MID(Metadata!E75,18,2))&lt;=59,FALSE)), LEN(Metadata!E75)&lt;=19)))))))))))))</f>
        <v>0</v>
      </c>
      <c r="AS75" t="b">
        <f>IF(Metadata!F75="",FALSE,TRUE)</f>
        <v>0</v>
      </c>
      <c r="AT75" t="b">
        <f>OR(AND(IF(Metadata!G75="",FALSE,TRUE),OR(EXACT(Metadata!G75,"not collected"),EXACT(Metadata!G75,"not provided"))),AND(IF(Metadata!G75="",FALSE,TRUE),OR(EXACT(Metadata!G75,"TRUE"),EXACT(Metadata!G75,"FALSE"))))</f>
        <v>0</v>
      </c>
      <c r="AU75" t="b">
        <f>OR(AND(IF(Metadata!H75="",FALSE,TRUE),OR(EXACT(Metadata!H75,"not collected"),EXACT(Metadata!H75,"not provided"),EXACT(Metadata!H75,"restricted access"))),AND(IF(Metadata!H75="",FALSE,ISNUMBER(VALUE(Metadata!H75))),Metadata!H75&gt;=-413))</f>
        <v>0</v>
      </c>
      <c r="AV75" t="b">
        <f>AND(IF(Metadata!I75="",FALSE,TRUE),EXACT(Metadata!I75,"meters"))</f>
        <v>0</v>
      </c>
      <c r="AW75" t="b">
        <f>AND(IF(Metadata!J75="",FALSE,TRUE),EXACT(Metadata!J75,"free-living"))</f>
        <v>0</v>
      </c>
      <c r="AX75" t="b">
        <f>AND(IF(Metadata!K75="",FALSE,TRUE),OR(EXACT(Metadata!K75,"saline"),EXACT(Metadata!K75,"non-saline")))</f>
        <v>0</v>
      </c>
      <c r="AY75" t="b">
        <f>AND(IF(Metadata!L75="",FALSE,TRUE),OR(EXACT(Metadata!L75,"sub-surface (non-saline)"),EXACT(Metadata!L75,"surface (non-saline)"),EXACT(Metadata!L75,"water (non-saline)"),EXACT(Metadata!L75,"soil (non-saline)"),EXACT(Metadata!L75,"aerosol (non-saline)"),EXACT(Metadata!L75,"sediment (non-saline)"),EXACT(Metadata!L75,"surface (saline)"),EXACT(Metadata!L75,"water (saline)"),EXACT(Metadata!L75,"hypersaline (saline)"),EXACT(Metadata!L75,"aerosol (saline)"),EXACT(Metadata!L75,"sediment (saline)")))</f>
        <v>0</v>
      </c>
      <c r="AZ75" t="b">
        <f>IF(Metadata!M75="",FALSE,TRUE)</f>
        <v>0</v>
      </c>
      <c r="BA75" t="b">
        <f>IF(Metadata!N75="",FALSE,TRUE)</f>
        <v>0</v>
      </c>
      <c r="BB75" t="b">
        <f>IF(Metadata!O75="",FALSE,TRUE)</f>
        <v>0</v>
      </c>
      <c r="BC75" t="b">
        <f>AND(IF(Metadata!P75="",FALSE,TRUE),OR(EXACT(Metadata!P75,"air"),EXACT(Metadata!P75,"microbial mat/biofilm"),EXACT(Metadata!P75,"misc environment"),EXACT(Metadata!P75,"sediment"),EXACT(Metadata!P75,"soil"),EXACT(Metadata!P75,"wastewater/sludge"),EXACT(Metadata!P75,"water")))</f>
        <v>0</v>
      </c>
      <c r="BD75" t="b">
        <f>IF(Metadata!Q75="",FALSE,TRUE)</f>
        <v>0</v>
      </c>
      <c r="BE75" t="b">
        <f>IF(Metadata!R75="",FALSE,TRUE)</f>
        <v>0</v>
      </c>
      <c r="BF75" t="b">
        <f>OR(AND(IF(Metadata!S75="",FALSE,TRUE),OR(EXACT(Metadata!S75,"not collected"),EXACT(Metadata!S75,"not provided"),EXACT(Metadata!S75,"restricted access"))),AND(IF(Metadata!S75="",FALSE,ISNUMBER(VALUE(Metadata!S75))),Metadata!S75&gt;=-90,Metadata!S75&lt;=90))</f>
        <v>0</v>
      </c>
      <c r="BG75" t="b">
        <f>AND(IF(Metadata!T75="",FALSE,TRUE),EXACT(Metadata!T75,"Decimal degrees"))</f>
        <v>0</v>
      </c>
      <c r="BH75" t="b">
        <f>OR(AND(IF(Metadata!U75="",FALSE,TRUE),OR(EXACT(Metadata!U75,"not applicable"),EXACT(Metadata!U75,"not collected"))),IF(Metadata!U75="",FALSE,TRUE))</f>
        <v>0</v>
      </c>
      <c r="BI75" t="b">
        <f>OR(AND(IF(Metadata!V75="",FALSE,TRUE),OR(EXACT(Metadata!V75,"not collected"),EXACT(Metadata!V75,"not provided"),EXACT(Metadata!V75,"restricted access"))),AND(IF(Metadata!V75="",FALSE,ISNUMBER(VALUE(Metadata!V75))),Metadata!V75&gt;=-180,Metadata!V75&lt;=180))</f>
        <v>0</v>
      </c>
      <c r="BJ75" t="b">
        <f>AND(IF(Metadata!W75="",FALSE,TRUE),EXACT(Metadata!W75,"Decimal degrees"))</f>
        <v>0</v>
      </c>
      <c r="BK75" t="b">
        <f>IF(Metadata!X75="",FALSE,TRUE)</f>
        <v>0</v>
      </c>
      <c r="BL75" t="b">
        <f>OR(AND(IF(Metadata!Y75="",FALSE,TRUE),OR(EXACT(Metadata!Y75,"not collected"),EXACT(Metadata!Y75,"not provided"),EXACT(Metadata!Y75,"restricted access"))),AND(IF(Metadata!Y75="",FALSE,TRUE),OR(EXACT(Metadata!Y75,"TRUE"),EXACT(Metadata!Y75,"FALSE"))))</f>
        <v>0</v>
      </c>
      <c r="BM75" t="b">
        <f>OR(AND(IF(Metadata!Z75="",FALSE,TRUE),EXACT(Metadata!Z75,"not applicable")),AND(IF(Metadata!Z75="",FALSE,TRUE),OR(EXACT(Metadata!Z75,"beer"),EXACT(Metadata!Z75,"cheese"),EXACT(Metadata!Z75,"fresh water"),EXACT(Metadata!Z75,"marine sediment"),EXACT(Metadata!Z75,"sea water"),EXACT(Metadata!Z75,"sediment"),EXACT(Metadata!Z75,"soil"),EXACT(Metadata!Z75,"waste water"))))</f>
        <v>0</v>
      </c>
      <c r="BN75" t="b">
        <f>AND(IF(Metadata!AA75="",FALSE,TRUE),EXACT(Metadata!AA75,"metagenome"))</f>
        <v>0</v>
      </c>
      <c r="BO75" t="b">
        <f>AND(IF(Metadata!AB75="",FALSE,TRUE),EXACT(Metadata!AB75,"256318"))</f>
        <v>0</v>
      </c>
      <c r="BP75" t="b">
        <f>IF(Metadata!AC75="",FALSE,TRUE)</f>
        <v>0</v>
      </c>
      <c r="BQ75" t="b">
        <f>IF(Metadata!AD75="",FALSE,TRUE)</f>
        <v>0</v>
      </c>
    </row>
    <row r="76" spans="1:69" x14ac:dyDescent="0.2">
      <c r="A76" s="4" t="e">
        <f ca="1">IF(B76=" "," ",HYPERLINK(CONCATENATE("#metadata!",ADDRESS(INDEX($AJ$2:$AJ$1001,MATCH(ROWS($AH$2:AH76),$AH$2:$AH$1001,0),0),2)),INDEX($AM$2:$AM$1001,MATCH(ROWS($AH$2:AH76),$AH$2:$AH$1001,0),0)))</f>
        <v>#N/A</v>
      </c>
      <c r="B76" s="5" t="e">
        <f ca="1">IF(OR(INDEX($AI$2:$AI$1001,MATCH(ROWS($AH$2:AH76),$AH$2:$AH$1001,0),1)&gt;=100000,INDEX($AO$1005:$BQ$1005,1,MATCH(COLUMNS($AO$1006:AO1006),$AO$1006:$BQ$1006,0))&gt;=100000), " ",IF(INDEX($AO$2:$BQ$1001,MATCH(ROWS($AH$2:AH76),$AH$2:$AH$1001,0),MATCH(COLUMNS($AO$1006:AO1006),$AO$1006:$BQ$1006,0)), HYPERLINK("#",""), HYPERLINK(CONCATENATE("#Metadata!", ADDRESS(INDEX($AJ$2:$AJ$1001,MATCH(ROWS($AH$2:AH76),$AH$2:$AH$1001,0),0), INDEX($AO$1004:$BQ$1004,1,MATCH(COLUMNS($AO$1006:AO1006),$AO$1006:$BQ$1006,0)))),"Fix")))</f>
        <v>#N/A</v>
      </c>
      <c r="C76" s="5" t="e">
        <f ca="1">IF(OR(INDEX($AI$2:$AI$1001,MATCH(ROWS($AH$2:AH76),$AH$2:$AH$1001,0),1)&gt;=100000,INDEX($AO$1005:$BQ$1005,1,MATCH(COLUMNS($AO$1006:AP1006),$AO$1006:$BQ$1006,0))&gt;=100000), " ",IF(INDEX($AO$2:$BQ$1001,MATCH(ROWS($AH$2:AH76),$AH$2:$AH$1001,0),MATCH(COLUMNS($AO$1006:AP1006),$AO$1006:$BQ$1006,0)), HYPERLINK("#",""), HYPERLINK(CONCATENATE("#Metadata!", ADDRESS(INDEX($AJ$2:$AJ$1001,MATCH(ROWS($AH$2:AH76),$AH$2:$AH$1001,0),0), INDEX($AO$1004:$BQ$1004,1,MATCH(COLUMNS($AO$1006:AP1006),$AO$1006:$BQ$1006,0)))),"Fix")))</f>
        <v>#N/A</v>
      </c>
      <c r="D76" s="5" t="e">
        <f ca="1">IF(OR(INDEX($AI$2:$AI$1001,MATCH(ROWS($AH$2:AH76),$AH$2:$AH$1001,0),1)&gt;=100000,INDEX($AO$1005:$BQ$1005,1,MATCH(COLUMNS($AO$1006:AQ1006),$AO$1006:$BQ$1006,0))&gt;=100000), " ",IF(INDEX($AO$2:$BQ$1001,MATCH(ROWS($AH$2:AH76),$AH$2:$AH$1001,0),MATCH(COLUMNS($AO$1006:AQ1006),$AO$1006:$BQ$1006,0)), HYPERLINK("#",""), HYPERLINK(CONCATENATE("#Metadata!", ADDRESS(INDEX($AJ$2:$AJ$1001,MATCH(ROWS($AH$2:AH76),$AH$2:$AH$1001,0),0), INDEX($AO$1004:$BQ$1004,1,MATCH(COLUMNS($AO$1006:AQ1006),$AO$1006:$BQ$1006,0)))),"Fix")))</f>
        <v>#N/A</v>
      </c>
      <c r="E76" s="5" t="e">
        <f ca="1">IF(OR(INDEX($AI$2:$AI$1001,MATCH(ROWS($AH$2:AH76),$AH$2:$AH$1001,0),1)&gt;=100000,INDEX($AO$1005:$BQ$1005,1,MATCH(COLUMNS($AO$1006:AR1006),$AO$1006:$BQ$1006,0))&gt;=100000), " ",IF(INDEX($AO$2:$BQ$1001,MATCH(ROWS($AH$2:AH76),$AH$2:$AH$1001,0),MATCH(COLUMNS($AO$1006:AR1006),$AO$1006:$BQ$1006,0)), HYPERLINK("#",""), HYPERLINK(CONCATENATE("#Metadata!", ADDRESS(INDEX($AJ$2:$AJ$1001,MATCH(ROWS($AH$2:AH76),$AH$2:$AH$1001,0),0), INDEX($AO$1004:$BQ$1004,1,MATCH(COLUMNS($AO$1006:AR1006),$AO$1006:$BQ$1006,0)))),"Fix")))</f>
        <v>#N/A</v>
      </c>
      <c r="F76" s="5" t="e">
        <f ca="1">IF(OR(INDEX($AI$2:$AI$1001,MATCH(ROWS($AH$2:AH76),$AH$2:$AH$1001,0),1)&gt;=100000,INDEX($AO$1005:$BQ$1005,1,MATCH(COLUMNS($AO$1006:AS1006),$AO$1006:$BQ$1006,0))&gt;=100000), " ",IF(INDEX($AO$2:$BQ$1001,MATCH(ROWS($AH$2:AH76),$AH$2:$AH$1001,0),MATCH(COLUMNS($AO$1006:AS1006),$AO$1006:$BQ$1006,0)), HYPERLINK("#",""), HYPERLINK(CONCATENATE("#Metadata!", ADDRESS(INDEX($AJ$2:$AJ$1001,MATCH(ROWS($AH$2:AH76),$AH$2:$AH$1001,0),0), INDEX($AO$1004:$BQ$1004,1,MATCH(COLUMNS($AO$1006:AS1006),$AO$1006:$BQ$1006,0)))),"Fix")))</f>
        <v>#N/A</v>
      </c>
      <c r="G76" s="5" t="e">
        <f ca="1">IF(OR(INDEX($AI$2:$AI$1001,MATCH(ROWS($AH$2:AH76),$AH$2:$AH$1001,0),1)&gt;=100000,INDEX($AO$1005:$BQ$1005,1,MATCH(COLUMNS($AO$1006:AT1006),$AO$1006:$BQ$1006,0))&gt;=100000), " ",IF(INDEX($AO$2:$BQ$1001,MATCH(ROWS($AH$2:AH76),$AH$2:$AH$1001,0),MATCH(COLUMNS($AO$1006:AT1006),$AO$1006:$BQ$1006,0)), HYPERLINK("#",""), HYPERLINK(CONCATENATE("#Metadata!", ADDRESS(INDEX($AJ$2:$AJ$1001,MATCH(ROWS($AH$2:AH76),$AH$2:$AH$1001,0),0), INDEX($AO$1004:$BQ$1004,1,MATCH(COLUMNS($AO$1006:AT1006),$AO$1006:$BQ$1006,0)))),"Fix")))</f>
        <v>#N/A</v>
      </c>
      <c r="H76" s="5" t="e">
        <f ca="1">IF(OR(INDEX($AI$2:$AI$1001,MATCH(ROWS($AH$2:AH76),$AH$2:$AH$1001,0),1)&gt;=100000,INDEX($AO$1005:$BQ$1005,1,MATCH(COLUMNS($AO$1006:AU1006),$AO$1006:$BQ$1006,0))&gt;=100000), " ",IF(INDEX($AO$2:$BQ$1001,MATCH(ROWS($AH$2:AH76),$AH$2:$AH$1001,0),MATCH(COLUMNS($AO$1006:AU1006),$AO$1006:$BQ$1006,0)), HYPERLINK("#",""), HYPERLINK(CONCATENATE("#Metadata!", ADDRESS(INDEX($AJ$2:$AJ$1001,MATCH(ROWS($AH$2:AH76),$AH$2:$AH$1001,0),0), INDEX($AO$1004:$BQ$1004,1,MATCH(COLUMNS($AO$1006:AU1006),$AO$1006:$BQ$1006,0)))),"Fix")))</f>
        <v>#N/A</v>
      </c>
      <c r="I76" s="5" t="e">
        <f ca="1">IF(OR(INDEX($AI$2:$AI$1001,MATCH(ROWS($AH$2:AH76),$AH$2:$AH$1001,0),1)&gt;=100000,INDEX($AO$1005:$BQ$1005,1,MATCH(COLUMNS($AO$1006:AV1006),$AO$1006:$BQ$1006,0))&gt;=100000), " ",IF(INDEX($AO$2:$BQ$1001,MATCH(ROWS($AH$2:AH76),$AH$2:$AH$1001,0),MATCH(COLUMNS($AO$1006:AV1006),$AO$1006:$BQ$1006,0)), HYPERLINK("#",""), HYPERLINK(CONCATENATE("#Metadata!", ADDRESS(INDEX($AJ$2:$AJ$1001,MATCH(ROWS($AH$2:AH76),$AH$2:$AH$1001,0),0), INDEX($AO$1004:$BQ$1004,1,MATCH(COLUMNS($AO$1006:AV1006),$AO$1006:$BQ$1006,0)))),"Fix")))</f>
        <v>#N/A</v>
      </c>
      <c r="J76" s="5" t="e">
        <f ca="1">IF(OR(INDEX($AI$2:$AI$1001,MATCH(ROWS($AH$2:AH76),$AH$2:$AH$1001,0),1)&gt;=100000,INDEX($AO$1005:$BQ$1005,1,MATCH(COLUMNS($AO$1006:AW1006),$AO$1006:$BQ$1006,0))&gt;=100000), " ",IF(INDEX($AO$2:$BQ$1001,MATCH(ROWS($AH$2:AH76),$AH$2:$AH$1001,0),MATCH(COLUMNS($AO$1006:AW1006),$AO$1006:$BQ$1006,0)), HYPERLINK("#",""), HYPERLINK(CONCATENATE("#Metadata!", ADDRESS(INDEX($AJ$2:$AJ$1001,MATCH(ROWS($AH$2:AH76),$AH$2:$AH$1001,0),0), INDEX($AO$1004:$BQ$1004,1,MATCH(COLUMNS($AO$1006:AW1006),$AO$1006:$BQ$1006,0)))),"Fix")))</f>
        <v>#N/A</v>
      </c>
      <c r="K76" s="5" t="e">
        <f ca="1">IF(OR(INDEX($AI$2:$AI$1001,MATCH(ROWS($AH$2:AH76),$AH$2:$AH$1001,0),1)&gt;=100000,INDEX($AO$1005:$BQ$1005,1,MATCH(COLUMNS($AO$1006:AX1006),$AO$1006:$BQ$1006,0))&gt;=100000), " ",IF(INDEX($AO$2:$BQ$1001,MATCH(ROWS($AH$2:AH76),$AH$2:$AH$1001,0),MATCH(COLUMNS($AO$1006:AX1006),$AO$1006:$BQ$1006,0)), HYPERLINK("#",""), HYPERLINK(CONCATENATE("#Metadata!", ADDRESS(INDEX($AJ$2:$AJ$1001,MATCH(ROWS($AH$2:AH76),$AH$2:$AH$1001,0),0), INDEX($AO$1004:$BQ$1004,1,MATCH(COLUMNS($AO$1006:AX1006),$AO$1006:$BQ$1006,0)))),"Fix")))</f>
        <v>#N/A</v>
      </c>
      <c r="L76" s="5" t="e">
        <f ca="1">IF(OR(INDEX($AI$2:$AI$1001,MATCH(ROWS($AH$2:AH76),$AH$2:$AH$1001,0),1)&gt;=100000,INDEX($AO$1005:$BQ$1005,1,MATCH(COLUMNS($AO$1006:AY1006),$AO$1006:$BQ$1006,0))&gt;=100000), " ",IF(INDEX($AO$2:$BQ$1001,MATCH(ROWS($AH$2:AH76),$AH$2:$AH$1001,0),MATCH(COLUMNS($AO$1006:AY1006),$AO$1006:$BQ$1006,0)), HYPERLINK("#",""), HYPERLINK(CONCATENATE("#Metadata!", ADDRESS(INDEX($AJ$2:$AJ$1001,MATCH(ROWS($AH$2:AH76),$AH$2:$AH$1001,0),0), INDEX($AO$1004:$BQ$1004,1,MATCH(COLUMNS($AO$1006:AY1006),$AO$1006:$BQ$1006,0)))),"Fix")))</f>
        <v>#N/A</v>
      </c>
      <c r="M76" s="5" t="e">
        <f ca="1">IF(OR(INDEX($AI$2:$AI$1001,MATCH(ROWS($AH$2:AH76),$AH$2:$AH$1001,0),1)&gt;=100000,INDEX($AO$1005:$BQ$1005,1,MATCH(COLUMNS($AO$1006:AZ1006),$AO$1006:$BQ$1006,0))&gt;=100000), " ",IF(INDEX($AO$2:$BQ$1001,MATCH(ROWS($AH$2:AH76),$AH$2:$AH$1001,0),MATCH(COLUMNS($AO$1006:AZ1006),$AO$1006:$BQ$1006,0)), HYPERLINK("#",""), HYPERLINK(CONCATENATE("#Metadata!", ADDRESS(INDEX($AJ$2:$AJ$1001,MATCH(ROWS($AH$2:AH76),$AH$2:$AH$1001,0),0), INDEX($AO$1004:$BQ$1004,1,MATCH(COLUMNS($AO$1006:AZ1006),$AO$1006:$BQ$1006,0)))),"Fix")))</f>
        <v>#N/A</v>
      </c>
      <c r="N76" s="5" t="e">
        <f ca="1">IF(OR(INDEX($AI$2:$AI$1001,MATCH(ROWS($AH$2:AH76),$AH$2:$AH$1001,0),1)&gt;=100000,INDEX($AO$1005:$BQ$1005,1,MATCH(COLUMNS($AO$1006:BA1006),$AO$1006:$BQ$1006,0))&gt;=100000), " ",IF(INDEX($AO$2:$BQ$1001,MATCH(ROWS($AH$2:AH76),$AH$2:$AH$1001,0),MATCH(COLUMNS($AO$1006:BA1006),$AO$1006:$BQ$1006,0)), HYPERLINK("#",""), HYPERLINK(CONCATENATE("#Metadata!", ADDRESS(INDEX($AJ$2:$AJ$1001,MATCH(ROWS($AH$2:AH76),$AH$2:$AH$1001,0),0), INDEX($AO$1004:$BQ$1004,1,MATCH(COLUMNS($AO$1006:BA1006),$AO$1006:$BQ$1006,0)))),"Fix")))</f>
        <v>#N/A</v>
      </c>
      <c r="O76" s="5" t="e">
        <f ca="1">IF(OR(INDEX($AI$2:$AI$1001,MATCH(ROWS($AH$2:AH76),$AH$2:$AH$1001,0),1)&gt;=100000,INDEX($AO$1005:$BQ$1005,1,MATCH(COLUMNS($AO$1006:BB1006),$AO$1006:$BQ$1006,0))&gt;=100000), " ",IF(INDEX($AO$2:$BQ$1001,MATCH(ROWS($AH$2:AH76),$AH$2:$AH$1001,0),MATCH(COLUMNS($AO$1006:BB1006),$AO$1006:$BQ$1006,0)), HYPERLINK("#",""), HYPERLINK(CONCATENATE("#Metadata!", ADDRESS(INDEX($AJ$2:$AJ$1001,MATCH(ROWS($AH$2:AH76),$AH$2:$AH$1001,0),0), INDEX($AO$1004:$BQ$1004,1,MATCH(COLUMNS($AO$1006:BB1006),$AO$1006:$BQ$1006,0)))),"Fix")))</f>
        <v>#N/A</v>
      </c>
      <c r="P76" s="5" t="e">
        <f ca="1">IF(OR(INDEX($AI$2:$AI$1001,MATCH(ROWS($AH$2:AH76),$AH$2:$AH$1001,0),1)&gt;=100000,INDEX($AO$1005:$BQ$1005,1,MATCH(COLUMNS($AO$1006:BC1006),$AO$1006:$BQ$1006,0))&gt;=100000), " ",IF(INDEX($AO$2:$BQ$1001,MATCH(ROWS($AH$2:AH76),$AH$2:$AH$1001,0),MATCH(COLUMNS($AO$1006:BC1006),$AO$1006:$BQ$1006,0)), HYPERLINK("#",""), HYPERLINK(CONCATENATE("#Metadata!", ADDRESS(INDEX($AJ$2:$AJ$1001,MATCH(ROWS($AH$2:AH76),$AH$2:$AH$1001,0),0), INDEX($AO$1004:$BQ$1004,1,MATCH(COLUMNS($AO$1006:BC1006),$AO$1006:$BQ$1006,0)))),"Fix")))</f>
        <v>#N/A</v>
      </c>
      <c r="Q76" s="5" t="e">
        <f ca="1">IF(OR(INDEX($AI$2:$AI$1001,MATCH(ROWS($AH$2:AH76),$AH$2:$AH$1001,0),1)&gt;=100000,INDEX($AO$1005:$BQ$1005,1,MATCH(COLUMNS($AO$1006:BD1006),$AO$1006:$BQ$1006,0))&gt;=100000), " ",IF(INDEX($AO$2:$BQ$1001,MATCH(ROWS($AH$2:AH76),$AH$2:$AH$1001,0),MATCH(COLUMNS($AO$1006:BD1006),$AO$1006:$BQ$1006,0)), HYPERLINK("#",""), HYPERLINK(CONCATENATE("#Metadata!", ADDRESS(INDEX($AJ$2:$AJ$1001,MATCH(ROWS($AH$2:AH76),$AH$2:$AH$1001,0),0), INDEX($AO$1004:$BQ$1004,1,MATCH(COLUMNS($AO$1006:BD1006),$AO$1006:$BQ$1006,0)))),"Fix")))</f>
        <v>#N/A</v>
      </c>
      <c r="R76" s="5" t="e">
        <f ca="1">IF(OR(INDEX($AI$2:$AI$1001,MATCH(ROWS($AH$2:AH76),$AH$2:$AH$1001,0),1)&gt;=100000,INDEX($AO$1005:$BQ$1005,1,MATCH(COLUMNS($AO$1006:BE1006),$AO$1006:$BQ$1006,0))&gt;=100000), " ",IF(INDEX($AO$2:$BQ$1001,MATCH(ROWS($AH$2:AH76),$AH$2:$AH$1001,0),MATCH(COLUMNS($AO$1006:BE1006),$AO$1006:$BQ$1006,0)), HYPERLINK("#",""), HYPERLINK(CONCATENATE("#Metadata!", ADDRESS(INDEX($AJ$2:$AJ$1001,MATCH(ROWS($AH$2:AH76),$AH$2:$AH$1001,0),0), INDEX($AO$1004:$BQ$1004,1,MATCH(COLUMNS($AO$1006:BE1006),$AO$1006:$BQ$1006,0)))),"Fix")))</f>
        <v>#N/A</v>
      </c>
      <c r="S76" s="5" t="e">
        <f ca="1">IF(OR(INDEX($AI$2:$AI$1001,MATCH(ROWS($AH$2:AH76),$AH$2:$AH$1001,0),1)&gt;=100000,INDEX($AO$1005:$BQ$1005,1,MATCH(COLUMNS($AO$1006:BF1006),$AO$1006:$BQ$1006,0))&gt;=100000), " ",IF(INDEX($AO$2:$BQ$1001,MATCH(ROWS($AH$2:AH76),$AH$2:$AH$1001,0),MATCH(COLUMNS($AO$1006:BF1006),$AO$1006:$BQ$1006,0)), HYPERLINK("#",""), HYPERLINK(CONCATENATE("#Metadata!", ADDRESS(INDEX($AJ$2:$AJ$1001,MATCH(ROWS($AH$2:AH76),$AH$2:$AH$1001,0),0), INDEX($AO$1004:$BQ$1004,1,MATCH(COLUMNS($AO$1006:BF1006),$AO$1006:$BQ$1006,0)))),"Fix")))</f>
        <v>#N/A</v>
      </c>
      <c r="T76" s="5" t="e">
        <f ca="1">IF(OR(INDEX($AI$2:$AI$1001,MATCH(ROWS($AH$2:AH76),$AH$2:$AH$1001,0),1)&gt;=100000,INDEX($AO$1005:$BQ$1005,1,MATCH(COLUMNS($AO$1006:BG1006),$AO$1006:$BQ$1006,0))&gt;=100000), " ",IF(INDEX($AO$2:$BQ$1001,MATCH(ROWS($AH$2:AH76),$AH$2:$AH$1001,0),MATCH(COLUMNS($AO$1006:BG1006),$AO$1006:$BQ$1006,0)), HYPERLINK("#",""), HYPERLINK(CONCATENATE("#Metadata!", ADDRESS(INDEX($AJ$2:$AJ$1001,MATCH(ROWS($AH$2:AH76),$AH$2:$AH$1001,0),0), INDEX($AO$1004:$BQ$1004,1,MATCH(COLUMNS($AO$1006:BG1006),$AO$1006:$BQ$1006,0)))),"Fix")))</f>
        <v>#N/A</v>
      </c>
      <c r="U76" s="5" t="e">
        <f ca="1">IF(OR(INDEX($AI$2:$AI$1001,MATCH(ROWS($AH$2:AH76),$AH$2:$AH$1001,0),1)&gt;=100000,INDEX($AO$1005:$BQ$1005,1,MATCH(COLUMNS($AO$1006:BH1006),$AO$1006:$BQ$1006,0))&gt;=100000), " ",IF(INDEX($AO$2:$BQ$1001,MATCH(ROWS($AH$2:AH76),$AH$2:$AH$1001,0),MATCH(COLUMNS($AO$1006:BH1006),$AO$1006:$BQ$1006,0)), HYPERLINK("#",""), HYPERLINK(CONCATENATE("#Metadata!", ADDRESS(INDEX($AJ$2:$AJ$1001,MATCH(ROWS($AH$2:AH76),$AH$2:$AH$1001,0),0), INDEX($AO$1004:$BQ$1004,1,MATCH(COLUMNS($AO$1006:BH1006),$AO$1006:$BQ$1006,0)))),"Fix")))</f>
        <v>#N/A</v>
      </c>
      <c r="V76" s="5" t="e">
        <f ca="1">IF(OR(INDEX($AI$2:$AI$1001,MATCH(ROWS($AH$2:AH76),$AH$2:$AH$1001,0),1)&gt;=100000,INDEX($AO$1005:$BQ$1005,1,MATCH(COLUMNS($AO$1006:BI1006),$AO$1006:$BQ$1006,0))&gt;=100000), " ",IF(INDEX($AO$2:$BQ$1001,MATCH(ROWS($AH$2:AH76),$AH$2:$AH$1001,0),MATCH(COLUMNS($AO$1006:BI1006),$AO$1006:$BQ$1006,0)), HYPERLINK("#",""), HYPERLINK(CONCATENATE("#Metadata!", ADDRESS(INDEX($AJ$2:$AJ$1001,MATCH(ROWS($AH$2:AH76),$AH$2:$AH$1001,0),0), INDEX($AO$1004:$BQ$1004,1,MATCH(COLUMNS($AO$1006:BI1006),$AO$1006:$BQ$1006,0)))),"Fix")))</f>
        <v>#N/A</v>
      </c>
      <c r="W76" s="5" t="e">
        <f ca="1">IF(OR(INDEX($AI$2:$AI$1001,MATCH(ROWS($AH$2:AH76),$AH$2:$AH$1001,0),1)&gt;=100000,INDEX($AO$1005:$BQ$1005,1,MATCH(COLUMNS($AO$1006:BJ1006),$AO$1006:$BQ$1006,0))&gt;=100000), " ",IF(INDEX($AO$2:$BQ$1001,MATCH(ROWS($AH$2:AH76),$AH$2:$AH$1001,0),MATCH(COLUMNS($AO$1006:BJ1006),$AO$1006:$BQ$1006,0)), HYPERLINK("#",""), HYPERLINK(CONCATENATE("#Metadata!", ADDRESS(INDEX($AJ$2:$AJ$1001,MATCH(ROWS($AH$2:AH76),$AH$2:$AH$1001,0),0), INDEX($AO$1004:$BQ$1004,1,MATCH(COLUMNS($AO$1006:BJ1006),$AO$1006:$BQ$1006,0)))),"Fix")))</f>
        <v>#N/A</v>
      </c>
      <c r="X76" s="5" t="e">
        <f ca="1">IF(OR(INDEX($AI$2:$AI$1001,MATCH(ROWS($AH$2:AH76),$AH$2:$AH$1001,0),1)&gt;=100000,INDEX($AO$1005:$BQ$1005,1,MATCH(COLUMNS($AO$1006:BK1006),$AO$1006:$BQ$1006,0))&gt;=100000), " ",IF(INDEX($AO$2:$BQ$1001,MATCH(ROWS($AH$2:AH76),$AH$2:$AH$1001,0),MATCH(COLUMNS($AO$1006:BK1006),$AO$1006:$BQ$1006,0)), HYPERLINK("#",""), HYPERLINK(CONCATENATE("#Metadata!", ADDRESS(INDEX($AJ$2:$AJ$1001,MATCH(ROWS($AH$2:AH76),$AH$2:$AH$1001,0),0), INDEX($AO$1004:$BQ$1004,1,MATCH(COLUMNS($AO$1006:BK1006),$AO$1006:$BQ$1006,0)))),"Fix")))</f>
        <v>#N/A</v>
      </c>
      <c r="Y76" s="5" t="e">
        <f ca="1">IF(OR(INDEX($AI$2:$AI$1001,MATCH(ROWS($AH$2:AH76),$AH$2:$AH$1001,0),1)&gt;=100000,INDEX($AO$1005:$BQ$1005,1,MATCH(COLUMNS($AO$1006:BL1006),$AO$1006:$BQ$1006,0))&gt;=100000), " ",IF(INDEX($AO$2:$BQ$1001,MATCH(ROWS($AH$2:AH76),$AH$2:$AH$1001,0),MATCH(COLUMNS($AO$1006:BL1006),$AO$1006:$BQ$1006,0)), HYPERLINK("#",""), HYPERLINK(CONCATENATE("#Metadata!", ADDRESS(INDEX($AJ$2:$AJ$1001,MATCH(ROWS($AH$2:AH76),$AH$2:$AH$1001,0),0), INDEX($AO$1004:$BQ$1004,1,MATCH(COLUMNS($AO$1006:BL1006),$AO$1006:$BQ$1006,0)))),"Fix")))</f>
        <v>#N/A</v>
      </c>
      <c r="Z76" s="5" t="e">
        <f ca="1">IF(OR(INDEX($AI$2:$AI$1001,MATCH(ROWS($AH$2:AH76),$AH$2:$AH$1001,0),1)&gt;=100000,INDEX($AO$1005:$BQ$1005,1,MATCH(COLUMNS($AO$1006:BM1006),$AO$1006:$BQ$1006,0))&gt;=100000), " ",IF(INDEX($AO$2:$BQ$1001,MATCH(ROWS($AH$2:AH76),$AH$2:$AH$1001,0),MATCH(COLUMNS($AO$1006:BM1006),$AO$1006:$BQ$1006,0)), HYPERLINK("#",""), HYPERLINK(CONCATENATE("#Metadata!", ADDRESS(INDEX($AJ$2:$AJ$1001,MATCH(ROWS($AH$2:AH76),$AH$2:$AH$1001,0),0), INDEX($AO$1004:$BQ$1004,1,MATCH(COLUMNS($AO$1006:BM1006),$AO$1006:$BQ$1006,0)))),"Fix")))</f>
        <v>#N/A</v>
      </c>
      <c r="AA76" s="5" t="e">
        <f ca="1">IF(OR(INDEX($AI$2:$AI$1001,MATCH(ROWS($AH$2:AH76),$AH$2:$AH$1001,0),1)&gt;=100000,INDEX($AO$1005:$BQ$1005,1,MATCH(COLUMNS($AO$1006:BN1006),$AO$1006:$BQ$1006,0))&gt;=100000), " ",IF(INDEX($AO$2:$BQ$1001,MATCH(ROWS($AH$2:AH76),$AH$2:$AH$1001,0),MATCH(COLUMNS($AO$1006:BN1006),$AO$1006:$BQ$1006,0)), HYPERLINK("#",""), HYPERLINK(CONCATENATE("#Metadata!", ADDRESS(INDEX($AJ$2:$AJ$1001,MATCH(ROWS($AH$2:AH76),$AH$2:$AH$1001,0),0), INDEX($AO$1004:$BQ$1004,1,MATCH(COLUMNS($AO$1006:BN1006),$AO$1006:$BQ$1006,0)))),"Fix")))</f>
        <v>#N/A</v>
      </c>
      <c r="AB76" s="5" t="e">
        <f ca="1">IF(OR(INDEX($AI$2:$AI$1001,MATCH(ROWS($AH$2:AH76),$AH$2:$AH$1001,0),1)&gt;=100000,INDEX($AO$1005:$BQ$1005,1,MATCH(COLUMNS($AO$1006:BO1006),$AO$1006:$BQ$1006,0))&gt;=100000), " ",IF(INDEX($AO$2:$BQ$1001,MATCH(ROWS($AH$2:AH76),$AH$2:$AH$1001,0),MATCH(COLUMNS($AO$1006:BO1006),$AO$1006:$BQ$1006,0)), HYPERLINK("#",""), HYPERLINK(CONCATENATE("#Metadata!", ADDRESS(INDEX($AJ$2:$AJ$1001,MATCH(ROWS($AH$2:AH76),$AH$2:$AH$1001,0),0), INDEX($AO$1004:$BQ$1004,1,MATCH(COLUMNS($AO$1006:BO1006),$AO$1006:$BQ$1006,0)))),"Fix")))</f>
        <v>#N/A</v>
      </c>
      <c r="AC76" s="5" t="e">
        <f ca="1">IF(OR(INDEX($AI$2:$AI$1001,MATCH(ROWS($AH$2:AH76),$AH$2:$AH$1001,0),1)&gt;=100000,INDEX($AO$1005:$BQ$1005,1,MATCH(COLUMNS($AO$1006:BP1006),$AO$1006:$BQ$1006,0))&gt;=100000), " ",IF(INDEX($AO$2:$BQ$1001,MATCH(ROWS($AH$2:AH76),$AH$2:$AH$1001,0),MATCH(COLUMNS($AO$1006:BP1006),$AO$1006:$BQ$1006,0)), HYPERLINK("#",""), HYPERLINK(CONCATENATE("#Metadata!", ADDRESS(INDEX($AJ$2:$AJ$1001,MATCH(ROWS($AH$2:AH76),$AH$2:$AH$1001,0),0), INDEX($AO$1004:$BQ$1004,1,MATCH(COLUMNS($AO$1006:BP1006),$AO$1006:$BQ$1006,0)))),"Fix")))</f>
        <v>#N/A</v>
      </c>
      <c r="AD76" s="5" t="e">
        <f ca="1">IF(OR(INDEX($AI$2:$AI$1001,MATCH(ROWS($AH$2:AH76),$AH$2:$AH$1001,0),1)&gt;=100000,INDEX($AO$1005:$BQ$1005,1,MATCH(COLUMNS($AO$1006:BQ1006),$AO$1006:$BQ$1006,0))&gt;=100000), " ",IF(INDEX($AO$2:$BQ$1001,MATCH(ROWS($AH$2:AH76),$AH$2:$AH$1001,0),MATCH(COLUMNS($AO$1006:BQ1006),$AO$1006:$BQ$1006,0)), HYPERLINK("#",""), HYPERLINK(CONCATENATE("#Metadata!", ADDRESS(INDEX($AJ$2:$AJ$1001,MATCH(ROWS($AH$2:AH76),$AH$2:$AH$1001,0),0), INDEX($AO$1004:$BQ$1004,1,MATCH(COLUMNS($AO$1006:BQ1006),$AO$1006:$BQ$1006,0)))),"Fix")))</f>
        <v>#REF!</v>
      </c>
      <c r="AH76">
        <f ca="1"/>
        <v>73</v>
      </c>
      <c r="AI76">
        <v>100076</v>
      </c>
      <c r="AJ76">
        <v>76</v>
      </c>
      <c r="AK76" t="b">
        <f t="shared" si="1"/>
        <v>1</v>
      </c>
      <c r="AL76" t="b">
        <f>COUNTBLANK(Metadata!B76:AD76)=COLUMNS(Metadata!B76:AD76)</f>
        <v>1</v>
      </c>
      <c r="AM76" t="str">
        <v/>
      </c>
      <c r="AO76" t="b">
        <f ca="1">AND(IF(Metadata!B76="",FALSE,TRUE),COUNTIF(Metadata!B:B, Metadata!B76) = 1,NOT(ISERROR(SUMPRODUCT(SEARCH(MID(Metadata!B76,ROW(INDIRECT("1:"&amp;LEN(Metadata!B76))), 1),"0123456789abcdefghijklmnopqrstuvwxyzABCDEFGHIJKLMNOPQRSTUVWXYZ.")))))</f>
        <v>0</v>
      </c>
      <c r="AP76" t="b">
        <f>IF(Metadata!C76="",FALSE,TRUE)</f>
        <v>0</v>
      </c>
      <c r="AQ76" t="b">
        <f>IF(Metadata!D76="",FALSE,TRUE)</f>
        <v>0</v>
      </c>
      <c r="AR76" t="b">
        <f ca="1">OR(AND(IF(Metadata!E76="",FALSE,TRUE),OR(EXACT(Metadata!E76,"not collected"),EXACT(Metadata!E76,"not provided"),EXACT(Metadata!E76,"restricted access"))),AND(IF(Metadata!E76="",FALSE,TRUE),AND(AND(IFERROR(INT(LEFT(Metadata!E76,4))&gt;1900,FALSE),IFERROR(INT(LEFT(Metadata!E76,4))&lt;=YEAR(NOW()),FALSE)), OR(MID(Metadata!E76,5,1)="", AND(AND(MID(Metadata!E76,5,1)="-",IFERROR(INT(MID(Metadata!E76,6,1))&gt;=0,FALSE),IFERROR(INT(MID(Metadata!E76,6,1))&lt;=1,FALSE),NOT(MID(Metadata!E76,7,1)=""),IFERROR(INT(MID(Metadata!E76,6,2))&gt;=1,FALSE),IFERROR(INT(MID(Metadata!E76,6,2))&lt;=12,FALSE)), OR(MID(Metadata!E76,8,1)="", AND(AND(MID(Metadata!E76,8,1)="-",IFERROR(INT(MID(Metadata!E76,9,1))&gt;=0,FALSE),IFERROR(INT(MID(Metadata!E76,9,1))&lt;=3,FALSE),NOT(MID(Metadata!E76,10,1)=""),IFERROR(INT(MID(Metadata!E76,9,2))&gt;=1,FALSE),IFERROR(INT(MID(Metadata!E76,9,2))&lt;=31,FALSE)), OR(MID(Metadata!E76,11,1)="", AND(AND(MID(Metadata!E76,11,1)=" ",IFERROR(INT(MID(Metadata!E76,12,1))&gt;=0,FALSE),IFERROR(INT(MID(Metadata!E76,12,1))&lt;=2,FALSE),NOT(MID(Metadata!E76,13,1)=""),IFERROR(INT(MID(Metadata!E76,12,2))&gt;=0,FALSE),IFERROR(INT(MID(Metadata!E76,12,2))&lt;=23,FALSE)), OR(MID(Metadata!E76,14,1)="", AND(AND(MID(Metadata!E76,14,1)=":",IFERROR(INT(MID(Metadata!E76,15,1))&gt;=0,FALSE),IFERROR(INT(MID(Metadata!E76,15,1))&lt;=5,FALSE),NOT(MID(Metadata!E76,16,1)=""),IFERROR(INT(MID(Metadata!E76,15,2))&gt;=0,FALSE),IFERROR(INT(MID(Metadata!E76,15,2))&lt;=59,FALSE)), OR(MID(Metadata!E76,17,1)="", AND(AND(MID(Metadata!E76,17,1)=":",IFERROR(INT(MID(Metadata!E76,18,1))&gt;=0,FALSE),IFERROR(INT(MID(Metadata!E76,18,1))&lt;=5,FALSE),NOT(MID(Metadata!E76,19,1)=""),IFERROR(INT(MID(Metadata!E76,18,2))&gt;=0,FALSE),IFERROR(INT(MID(Metadata!E76,18,2))&lt;=59,FALSE)), LEN(Metadata!E76)&lt;=19)))))))))))))</f>
        <v>0</v>
      </c>
      <c r="AS76" t="b">
        <f>IF(Metadata!F76="",FALSE,TRUE)</f>
        <v>0</v>
      </c>
      <c r="AT76" t="b">
        <f>OR(AND(IF(Metadata!G76="",FALSE,TRUE),OR(EXACT(Metadata!G76,"not collected"),EXACT(Metadata!G76,"not provided"))),AND(IF(Metadata!G76="",FALSE,TRUE),OR(EXACT(Metadata!G76,"TRUE"),EXACT(Metadata!G76,"FALSE"))))</f>
        <v>0</v>
      </c>
      <c r="AU76" t="b">
        <f>OR(AND(IF(Metadata!H76="",FALSE,TRUE),OR(EXACT(Metadata!H76,"not collected"),EXACT(Metadata!H76,"not provided"),EXACT(Metadata!H76,"restricted access"))),AND(IF(Metadata!H76="",FALSE,ISNUMBER(VALUE(Metadata!H76))),Metadata!H76&gt;=-413))</f>
        <v>0</v>
      </c>
      <c r="AV76" t="b">
        <f>AND(IF(Metadata!I76="",FALSE,TRUE),EXACT(Metadata!I76,"meters"))</f>
        <v>0</v>
      </c>
      <c r="AW76" t="b">
        <f>AND(IF(Metadata!J76="",FALSE,TRUE),EXACT(Metadata!J76,"free-living"))</f>
        <v>0</v>
      </c>
      <c r="AX76" t="b">
        <f>AND(IF(Metadata!K76="",FALSE,TRUE),OR(EXACT(Metadata!K76,"saline"),EXACT(Metadata!K76,"non-saline")))</f>
        <v>0</v>
      </c>
      <c r="AY76" t="b">
        <f>AND(IF(Metadata!L76="",FALSE,TRUE),OR(EXACT(Metadata!L76,"sub-surface (non-saline)"),EXACT(Metadata!L76,"surface (non-saline)"),EXACT(Metadata!L76,"water (non-saline)"),EXACT(Metadata!L76,"soil (non-saline)"),EXACT(Metadata!L76,"aerosol (non-saline)"),EXACT(Metadata!L76,"sediment (non-saline)"),EXACT(Metadata!L76,"surface (saline)"),EXACT(Metadata!L76,"water (saline)"),EXACT(Metadata!L76,"hypersaline (saline)"),EXACT(Metadata!L76,"aerosol (saline)"),EXACT(Metadata!L76,"sediment (saline)")))</f>
        <v>0</v>
      </c>
      <c r="AZ76" t="b">
        <f>IF(Metadata!M76="",FALSE,TRUE)</f>
        <v>0</v>
      </c>
      <c r="BA76" t="b">
        <f>IF(Metadata!N76="",FALSE,TRUE)</f>
        <v>0</v>
      </c>
      <c r="BB76" t="b">
        <f>IF(Metadata!O76="",FALSE,TRUE)</f>
        <v>0</v>
      </c>
      <c r="BC76" t="b">
        <f>AND(IF(Metadata!P76="",FALSE,TRUE),OR(EXACT(Metadata!P76,"air"),EXACT(Metadata!P76,"microbial mat/biofilm"),EXACT(Metadata!P76,"misc environment"),EXACT(Metadata!P76,"sediment"),EXACT(Metadata!P76,"soil"),EXACT(Metadata!P76,"wastewater/sludge"),EXACT(Metadata!P76,"water")))</f>
        <v>0</v>
      </c>
      <c r="BD76" t="b">
        <f>IF(Metadata!Q76="",FALSE,TRUE)</f>
        <v>0</v>
      </c>
      <c r="BE76" t="b">
        <f>IF(Metadata!R76="",FALSE,TRUE)</f>
        <v>0</v>
      </c>
      <c r="BF76" t="b">
        <f>OR(AND(IF(Metadata!S76="",FALSE,TRUE),OR(EXACT(Metadata!S76,"not collected"),EXACT(Metadata!S76,"not provided"),EXACT(Metadata!S76,"restricted access"))),AND(IF(Metadata!S76="",FALSE,ISNUMBER(VALUE(Metadata!S76))),Metadata!S76&gt;=-90,Metadata!S76&lt;=90))</f>
        <v>0</v>
      </c>
      <c r="BG76" t="b">
        <f>AND(IF(Metadata!T76="",FALSE,TRUE),EXACT(Metadata!T76,"Decimal degrees"))</f>
        <v>0</v>
      </c>
      <c r="BH76" t="b">
        <f>OR(AND(IF(Metadata!U76="",FALSE,TRUE),OR(EXACT(Metadata!U76,"not applicable"),EXACT(Metadata!U76,"not collected"))),IF(Metadata!U76="",FALSE,TRUE))</f>
        <v>0</v>
      </c>
      <c r="BI76" t="b">
        <f>OR(AND(IF(Metadata!V76="",FALSE,TRUE),OR(EXACT(Metadata!V76,"not collected"),EXACT(Metadata!V76,"not provided"),EXACT(Metadata!V76,"restricted access"))),AND(IF(Metadata!V76="",FALSE,ISNUMBER(VALUE(Metadata!V76))),Metadata!V76&gt;=-180,Metadata!V76&lt;=180))</f>
        <v>0</v>
      </c>
      <c r="BJ76" t="b">
        <f>AND(IF(Metadata!W76="",FALSE,TRUE),EXACT(Metadata!W76,"Decimal degrees"))</f>
        <v>0</v>
      </c>
      <c r="BK76" t="b">
        <f>IF(Metadata!X76="",FALSE,TRUE)</f>
        <v>0</v>
      </c>
      <c r="BL76" t="b">
        <f>OR(AND(IF(Metadata!Y76="",FALSE,TRUE),OR(EXACT(Metadata!Y76,"not collected"),EXACT(Metadata!Y76,"not provided"),EXACT(Metadata!Y76,"restricted access"))),AND(IF(Metadata!Y76="",FALSE,TRUE),OR(EXACT(Metadata!Y76,"TRUE"),EXACT(Metadata!Y76,"FALSE"))))</f>
        <v>0</v>
      </c>
      <c r="BM76" t="b">
        <f>OR(AND(IF(Metadata!Z76="",FALSE,TRUE),EXACT(Metadata!Z76,"not applicable")),AND(IF(Metadata!Z76="",FALSE,TRUE),OR(EXACT(Metadata!Z76,"beer"),EXACT(Metadata!Z76,"cheese"),EXACT(Metadata!Z76,"fresh water"),EXACT(Metadata!Z76,"marine sediment"),EXACT(Metadata!Z76,"sea water"),EXACT(Metadata!Z76,"sediment"),EXACT(Metadata!Z76,"soil"),EXACT(Metadata!Z76,"waste water"))))</f>
        <v>0</v>
      </c>
      <c r="BN76" t="b">
        <f>AND(IF(Metadata!AA76="",FALSE,TRUE),EXACT(Metadata!AA76,"metagenome"))</f>
        <v>0</v>
      </c>
      <c r="BO76" t="b">
        <f>AND(IF(Metadata!AB76="",FALSE,TRUE),EXACT(Metadata!AB76,"256318"))</f>
        <v>0</v>
      </c>
      <c r="BP76" t="b">
        <f>IF(Metadata!AC76="",FALSE,TRUE)</f>
        <v>0</v>
      </c>
      <c r="BQ76" t="b">
        <f>IF(Metadata!AD76="",FALSE,TRUE)</f>
        <v>0</v>
      </c>
    </row>
    <row r="77" spans="1:69" x14ac:dyDescent="0.2">
      <c r="A77" s="4" t="e">
        <f ca="1">IF(B77=" "," ",HYPERLINK(CONCATENATE("#metadata!",ADDRESS(INDEX($AJ$2:$AJ$1001,MATCH(ROWS($AH$2:AH77),$AH$2:$AH$1001,0),0),2)),INDEX($AM$2:$AM$1001,MATCH(ROWS($AH$2:AH77),$AH$2:$AH$1001,0),0)))</f>
        <v>#N/A</v>
      </c>
      <c r="B77" s="5" t="e">
        <f ca="1">IF(OR(INDEX($AI$2:$AI$1001,MATCH(ROWS($AH$2:AH77),$AH$2:$AH$1001,0),1)&gt;=100000,INDEX($AO$1005:$BQ$1005,1,MATCH(COLUMNS($AO$1006:AO1006),$AO$1006:$BQ$1006,0))&gt;=100000), " ",IF(INDEX($AO$2:$BQ$1001,MATCH(ROWS($AH$2:AH77),$AH$2:$AH$1001,0),MATCH(COLUMNS($AO$1006:AO1006),$AO$1006:$BQ$1006,0)), HYPERLINK("#",""), HYPERLINK(CONCATENATE("#Metadata!", ADDRESS(INDEX($AJ$2:$AJ$1001,MATCH(ROWS($AH$2:AH77),$AH$2:$AH$1001,0),0), INDEX($AO$1004:$BQ$1004,1,MATCH(COLUMNS($AO$1006:AO1006),$AO$1006:$BQ$1006,0)))),"Fix")))</f>
        <v>#N/A</v>
      </c>
      <c r="C77" s="5" t="e">
        <f ca="1">IF(OR(INDEX($AI$2:$AI$1001,MATCH(ROWS($AH$2:AH77),$AH$2:$AH$1001,0),1)&gt;=100000,INDEX($AO$1005:$BQ$1005,1,MATCH(COLUMNS($AO$1006:AP1006),$AO$1006:$BQ$1006,0))&gt;=100000), " ",IF(INDEX($AO$2:$BQ$1001,MATCH(ROWS($AH$2:AH77),$AH$2:$AH$1001,0),MATCH(COLUMNS($AO$1006:AP1006),$AO$1006:$BQ$1006,0)), HYPERLINK("#",""), HYPERLINK(CONCATENATE("#Metadata!", ADDRESS(INDEX($AJ$2:$AJ$1001,MATCH(ROWS($AH$2:AH77),$AH$2:$AH$1001,0),0), INDEX($AO$1004:$BQ$1004,1,MATCH(COLUMNS($AO$1006:AP1006),$AO$1006:$BQ$1006,0)))),"Fix")))</f>
        <v>#N/A</v>
      </c>
      <c r="D77" s="5" t="e">
        <f ca="1">IF(OR(INDEX($AI$2:$AI$1001,MATCH(ROWS($AH$2:AH77),$AH$2:$AH$1001,0),1)&gt;=100000,INDEX($AO$1005:$BQ$1005,1,MATCH(COLUMNS($AO$1006:AQ1006),$AO$1006:$BQ$1006,0))&gt;=100000), " ",IF(INDEX($AO$2:$BQ$1001,MATCH(ROWS($AH$2:AH77),$AH$2:$AH$1001,0),MATCH(COLUMNS($AO$1006:AQ1006),$AO$1006:$BQ$1006,0)), HYPERLINK("#",""), HYPERLINK(CONCATENATE("#Metadata!", ADDRESS(INDEX($AJ$2:$AJ$1001,MATCH(ROWS($AH$2:AH77),$AH$2:$AH$1001,0),0), INDEX($AO$1004:$BQ$1004,1,MATCH(COLUMNS($AO$1006:AQ1006),$AO$1006:$BQ$1006,0)))),"Fix")))</f>
        <v>#N/A</v>
      </c>
      <c r="E77" s="5" t="e">
        <f ca="1">IF(OR(INDEX($AI$2:$AI$1001,MATCH(ROWS($AH$2:AH77),$AH$2:$AH$1001,0),1)&gt;=100000,INDEX($AO$1005:$BQ$1005,1,MATCH(COLUMNS($AO$1006:AR1006),$AO$1006:$BQ$1006,0))&gt;=100000), " ",IF(INDEX($AO$2:$BQ$1001,MATCH(ROWS($AH$2:AH77),$AH$2:$AH$1001,0),MATCH(COLUMNS($AO$1006:AR1006),$AO$1006:$BQ$1006,0)), HYPERLINK("#",""), HYPERLINK(CONCATENATE("#Metadata!", ADDRESS(INDEX($AJ$2:$AJ$1001,MATCH(ROWS($AH$2:AH77),$AH$2:$AH$1001,0),0), INDEX($AO$1004:$BQ$1004,1,MATCH(COLUMNS($AO$1006:AR1006),$AO$1006:$BQ$1006,0)))),"Fix")))</f>
        <v>#N/A</v>
      </c>
      <c r="F77" s="5" t="e">
        <f ca="1">IF(OR(INDEX($AI$2:$AI$1001,MATCH(ROWS($AH$2:AH77),$AH$2:$AH$1001,0),1)&gt;=100000,INDEX($AO$1005:$BQ$1005,1,MATCH(COLUMNS($AO$1006:AS1006),$AO$1006:$BQ$1006,0))&gt;=100000), " ",IF(INDEX($AO$2:$BQ$1001,MATCH(ROWS($AH$2:AH77),$AH$2:$AH$1001,0),MATCH(COLUMNS($AO$1006:AS1006),$AO$1006:$BQ$1006,0)), HYPERLINK("#",""), HYPERLINK(CONCATENATE("#Metadata!", ADDRESS(INDEX($AJ$2:$AJ$1001,MATCH(ROWS($AH$2:AH77),$AH$2:$AH$1001,0),0), INDEX($AO$1004:$BQ$1004,1,MATCH(COLUMNS($AO$1006:AS1006),$AO$1006:$BQ$1006,0)))),"Fix")))</f>
        <v>#N/A</v>
      </c>
      <c r="G77" s="5" t="e">
        <f ca="1">IF(OR(INDEX($AI$2:$AI$1001,MATCH(ROWS($AH$2:AH77),$AH$2:$AH$1001,0),1)&gt;=100000,INDEX($AO$1005:$BQ$1005,1,MATCH(COLUMNS($AO$1006:AT1006),$AO$1006:$BQ$1006,0))&gt;=100000), " ",IF(INDEX($AO$2:$BQ$1001,MATCH(ROWS($AH$2:AH77),$AH$2:$AH$1001,0),MATCH(COLUMNS($AO$1006:AT1006),$AO$1006:$BQ$1006,0)), HYPERLINK("#",""), HYPERLINK(CONCATENATE("#Metadata!", ADDRESS(INDEX($AJ$2:$AJ$1001,MATCH(ROWS($AH$2:AH77),$AH$2:$AH$1001,0),0), INDEX($AO$1004:$BQ$1004,1,MATCH(COLUMNS($AO$1006:AT1006),$AO$1006:$BQ$1006,0)))),"Fix")))</f>
        <v>#N/A</v>
      </c>
      <c r="H77" s="5" t="e">
        <f ca="1">IF(OR(INDEX($AI$2:$AI$1001,MATCH(ROWS($AH$2:AH77),$AH$2:$AH$1001,0),1)&gt;=100000,INDEX($AO$1005:$BQ$1005,1,MATCH(COLUMNS($AO$1006:AU1006),$AO$1006:$BQ$1006,0))&gt;=100000), " ",IF(INDEX($AO$2:$BQ$1001,MATCH(ROWS($AH$2:AH77),$AH$2:$AH$1001,0),MATCH(COLUMNS($AO$1006:AU1006),$AO$1006:$BQ$1006,0)), HYPERLINK("#",""), HYPERLINK(CONCATENATE("#Metadata!", ADDRESS(INDEX($AJ$2:$AJ$1001,MATCH(ROWS($AH$2:AH77),$AH$2:$AH$1001,0),0), INDEX($AO$1004:$BQ$1004,1,MATCH(COLUMNS($AO$1006:AU1006),$AO$1006:$BQ$1006,0)))),"Fix")))</f>
        <v>#N/A</v>
      </c>
      <c r="I77" s="5" t="e">
        <f ca="1">IF(OR(INDEX($AI$2:$AI$1001,MATCH(ROWS($AH$2:AH77),$AH$2:$AH$1001,0),1)&gt;=100000,INDEX($AO$1005:$BQ$1005,1,MATCH(COLUMNS($AO$1006:AV1006),$AO$1006:$BQ$1006,0))&gt;=100000), " ",IF(INDEX($AO$2:$BQ$1001,MATCH(ROWS($AH$2:AH77),$AH$2:$AH$1001,0),MATCH(COLUMNS($AO$1006:AV1006),$AO$1006:$BQ$1006,0)), HYPERLINK("#",""), HYPERLINK(CONCATENATE("#Metadata!", ADDRESS(INDEX($AJ$2:$AJ$1001,MATCH(ROWS($AH$2:AH77),$AH$2:$AH$1001,0),0), INDEX($AO$1004:$BQ$1004,1,MATCH(COLUMNS($AO$1006:AV1006),$AO$1006:$BQ$1006,0)))),"Fix")))</f>
        <v>#N/A</v>
      </c>
      <c r="J77" s="5" t="e">
        <f ca="1">IF(OR(INDEX($AI$2:$AI$1001,MATCH(ROWS($AH$2:AH77),$AH$2:$AH$1001,0),1)&gt;=100000,INDEX($AO$1005:$BQ$1005,1,MATCH(COLUMNS($AO$1006:AW1006),$AO$1006:$BQ$1006,0))&gt;=100000), " ",IF(INDEX($AO$2:$BQ$1001,MATCH(ROWS($AH$2:AH77),$AH$2:$AH$1001,0),MATCH(COLUMNS($AO$1006:AW1006),$AO$1006:$BQ$1006,0)), HYPERLINK("#",""), HYPERLINK(CONCATENATE("#Metadata!", ADDRESS(INDEX($AJ$2:$AJ$1001,MATCH(ROWS($AH$2:AH77),$AH$2:$AH$1001,0),0), INDEX($AO$1004:$BQ$1004,1,MATCH(COLUMNS($AO$1006:AW1006),$AO$1006:$BQ$1006,0)))),"Fix")))</f>
        <v>#N/A</v>
      </c>
      <c r="K77" s="5" t="e">
        <f ca="1">IF(OR(INDEX($AI$2:$AI$1001,MATCH(ROWS($AH$2:AH77),$AH$2:$AH$1001,0),1)&gt;=100000,INDEX($AO$1005:$BQ$1005,1,MATCH(COLUMNS($AO$1006:AX1006),$AO$1006:$BQ$1006,0))&gt;=100000), " ",IF(INDEX($AO$2:$BQ$1001,MATCH(ROWS($AH$2:AH77),$AH$2:$AH$1001,0),MATCH(COLUMNS($AO$1006:AX1006),$AO$1006:$BQ$1006,0)), HYPERLINK("#",""), HYPERLINK(CONCATENATE("#Metadata!", ADDRESS(INDEX($AJ$2:$AJ$1001,MATCH(ROWS($AH$2:AH77),$AH$2:$AH$1001,0),0), INDEX($AO$1004:$BQ$1004,1,MATCH(COLUMNS($AO$1006:AX1006),$AO$1006:$BQ$1006,0)))),"Fix")))</f>
        <v>#N/A</v>
      </c>
      <c r="L77" s="5" t="e">
        <f ca="1">IF(OR(INDEX($AI$2:$AI$1001,MATCH(ROWS($AH$2:AH77),$AH$2:$AH$1001,0),1)&gt;=100000,INDEX($AO$1005:$BQ$1005,1,MATCH(COLUMNS($AO$1006:AY1006),$AO$1006:$BQ$1006,0))&gt;=100000), " ",IF(INDEX($AO$2:$BQ$1001,MATCH(ROWS($AH$2:AH77),$AH$2:$AH$1001,0),MATCH(COLUMNS($AO$1006:AY1006),$AO$1006:$BQ$1006,0)), HYPERLINK("#",""), HYPERLINK(CONCATENATE("#Metadata!", ADDRESS(INDEX($AJ$2:$AJ$1001,MATCH(ROWS($AH$2:AH77),$AH$2:$AH$1001,0),0), INDEX($AO$1004:$BQ$1004,1,MATCH(COLUMNS($AO$1006:AY1006),$AO$1006:$BQ$1006,0)))),"Fix")))</f>
        <v>#N/A</v>
      </c>
      <c r="M77" s="5" t="e">
        <f ca="1">IF(OR(INDEX($AI$2:$AI$1001,MATCH(ROWS($AH$2:AH77),$AH$2:$AH$1001,0),1)&gt;=100000,INDEX($AO$1005:$BQ$1005,1,MATCH(COLUMNS($AO$1006:AZ1006),$AO$1006:$BQ$1006,0))&gt;=100000), " ",IF(INDEX($AO$2:$BQ$1001,MATCH(ROWS($AH$2:AH77),$AH$2:$AH$1001,0),MATCH(COLUMNS($AO$1006:AZ1006),$AO$1006:$BQ$1006,0)), HYPERLINK("#",""), HYPERLINK(CONCATENATE("#Metadata!", ADDRESS(INDEX($AJ$2:$AJ$1001,MATCH(ROWS($AH$2:AH77),$AH$2:$AH$1001,0),0), INDEX($AO$1004:$BQ$1004,1,MATCH(COLUMNS($AO$1006:AZ1006),$AO$1006:$BQ$1006,0)))),"Fix")))</f>
        <v>#N/A</v>
      </c>
      <c r="N77" s="5" t="e">
        <f ca="1">IF(OR(INDEX($AI$2:$AI$1001,MATCH(ROWS($AH$2:AH77),$AH$2:$AH$1001,0),1)&gt;=100000,INDEX($AO$1005:$BQ$1005,1,MATCH(COLUMNS($AO$1006:BA1006),$AO$1006:$BQ$1006,0))&gt;=100000), " ",IF(INDEX($AO$2:$BQ$1001,MATCH(ROWS($AH$2:AH77),$AH$2:$AH$1001,0),MATCH(COLUMNS($AO$1006:BA1006),$AO$1006:$BQ$1006,0)), HYPERLINK("#",""), HYPERLINK(CONCATENATE("#Metadata!", ADDRESS(INDEX($AJ$2:$AJ$1001,MATCH(ROWS($AH$2:AH77),$AH$2:$AH$1001,0),0), INDEX($AO$1004:$BQ$1004,1,MATCH(COLUMNS($AO$1006:BA1006),$AO$1006:$BQ$1006,0)))),"Fix")))</f>
        <v>#N/A</v>
      </c>
      <c r="O77" s="5" t="e">
        <f ca="1">IF(OR(INDEX($AI$2:$AI$1001,MATCH(ROWS($AH$2:AH77),$AH$2:$AH$1001,0),1)&gt;=100000,INDEX($AO$1005:$BQ$1005,1,MATCH(COLUMNS($AO$1006:BB1006),$AO$1006:$BQ$1006,0))&gt;=100000), " ",IF(INDEX($AO$2:$BQ$1001,MATCH(ROWS($AH$2:AH77),$AH$2:$AH$1001,0),MATCH(COLUMNS($AO$1006:BB1006),$AO$1006:$BQ$1006,0)), HYPERLINK("#",""), HYPERLINK(CONCATENATE("#Metadata!", ADDRESS(INDEX($AJ$2:$AJ$1001,MATCH(ROWS($AH$2:AH77),$AH$2:$AH$1001,0),0), INDEX($AO$1004:$BQ$1004,1,MATCH(COLUMNS($AO$1006:BB1006),$AO$1006:$BQ$1006,0)))),"Fix")))</f>
        <v>#N/A</v>
      </c>
      <c r="P77" s="5" t="e">
        <f ca="1">IF(OR(INDEX($AI$2:$AI$1001,MATCH(ROWS($AH$2:AH77),$AH$2:$AH$1001,0),1)&gt;=100000,INDEX($AO$1005:$BQ$1005,1,MATCH(COLUMNS($AO$1006:BC1006),$AO$1006:$BQ$1006,0))&gt;=100000), " ",IF(INDEX($AO$2:$BQ$1001,MATCH(ROWS($AH$2:AH77),$AH$2:$AH$1001,0),MATCH(COLUMNS($AO$1006:BC1006),$AO$1006:$BQ$1006,0)), HYPERLINK("#",""), HYPERLINK(CONCATENATE("#Metadata!", ADDRESS(INDEX($AJ$2:$AJ$1001,MATCH(ROWS($AH$2:AH77),$AH$2:$AH$1001,0),0), INDEX($AO$1004:$BQ$1004,1,MATCH(COLUMNS($AO$1006:BC1006),$AO$1006:$BQ$1006,0)))),"Fix")))</f>
        <v>#N/A</v>
      </c>
      <c r="Q77" s="5" t="e">
        <f ca="1">IF(OR(INDEX($AI$2:$AI$1001,MATCH(ROWS($AH$2:AH77),$AH$2:$AH$1001,0),1)&gt;=100000,INDEX($AO$1005:$BQ$1005,1,MATCH(COLUMNS($AO$1006:BD1006),$AO$1006:$BQ$1006,0))&gt;=100000), " ",IF(INDEX($AO$2:$BQ$1001,MATCH(ROWS($AH$2:AH77),$AH$2:$AH$1001,0),MATCH(COLUMNS($AO$1006:BD1006),$AO$1006:$BQ$1006,0)), HYPERLINK("#",""), HYPERLINK(CONCATENATE("#Metadata!", ADDRESS(INDEX($AJ$2:$AJ$1001,MATCH(ROWS($AH$2:AH77),$AH$2:$AH$1001,0),0), INDEX($AO$1004:$BQ$1004,1,MATCH(COLUMNS($AO$1006:BD1006),$AO$1006:$BQ$1006,0)))),"Fix")))</f>
        <v>#N/A</v>
      </c>
      <c r="R77" s="5" t="e">
        <f ca="1">IF(OR(INDEX($AI$2:$AI$1001,MATCH(ROWS($AH$2:AH77),$AH$2:$AH$1001,0),1)&gt;=100000,INDEX($AO$1005:$BQ$1005,1,MATCH(COLUMNS($AO$1006:BE1006),$AO$1006:$BQ$1006,0))&gt;=100000), " ",IF(INDEX($AO$2:$BQ$1001,MATCH(ROWS($AH$2:AH77),$AH$2:$AH$1001,0),MATCH(COLUMNS($AO$1006:BE1006),$AO$1006:$BQ$1006,0)), HYPERLINK("#",""), HYPERLINK(CONCATENATE("#Metadata!", ADDRESS(INDEX($AJ$2:$AJ$1001,MATCH(ROWS($AH$2:AH77),$AH$2:$AH$1001,0),0), INDEX($AO$1004:$BQ$1004,1,MATCH(COLUMNS($AO$1006:BE1006),$AO$1006:$BQ$1006,0)))),"Fix")))</f>
        <v>#N/A</v>
      </c>
      <c r="S77" s="5" t="e">
        <f ca="1">IF(OR(INDEX($AI$2:$AI$1001,MATCH(ROWS($AH$2:AH77),$AH$2:$AH$1001,0),1)&gt;=100000,INDEX($AO$1005:$BQ$1005,1,MATCH(COLUMNS($AO$1006:BF1006),$AO$1006:$BQ$1006,0))&gt;=100000), " ",IF(INDEX($AO$2:$BQ$1001,MATCH(ROWS($AH$2:AH77),$AH$2:$AH$1001,0),MATCH(COLUMNS($AO$1006:BF1006),$AO$1006:$BQ$1006,0)), HYPERLINK("#",""), HYPERLINK(CONCATENATE("#Metadata!", ADDRESS(INDEX($AJ$2:$AJ$1001,MATCH(ROWS($AH$2:AH77),$AH$2:$AH$1001,0),0), INDEX($AO$1004:$BQ$1004,1,MATCH(COLUMNS($AO$1006:BF1006),$AO$1006:$BQ$1006,0)))),"Fix")))</f>
        <v>#N/A</v>
      </c>
      <c r="T77" s="5" t="e">
        <f ca="1">IF(OR(INDEX($AI$2:$AI$1001,MATCH(ROWS($AH$2:AH77),$AH$2:$AH$1001,0),1)&gt;=100000,INDEX($AO$1005:$BQ$1005,1,MATCH(COLUMNS($AO$1006:BG1006),$AO$1006:$BQ$1006,0))&gt;=100000), " ",IF(INDEX($AO$2:$BQ$1001,MATCH(ROWS($AH$2:AH77),$AH$2:$AH$1001,0),MATCH(COLUMNS($AO$1006:BG1006),$AO$1006:$BQ$1006,0)), HYPERLINK("#",""), HYPERLINK(CONCATENATE("#Metadata!", ADDRESS(INDEX($AJ$2:$AJ$1001,MATCH(ROWS($AH$2:AH77),$AH$2:$AH$1001,0),0), INDEX($AO$1004:$BQ$1004,1,MATCH(COLUMNS($AO$1006:BG1006),$AO$1006:$BQ$1006,0)))),"Fix")))</f>
        <v>#N/A</v>
      </c>
      <c r="U77" s="5" t="e">
        <f ca="1">IF(OR(INDEX($AI$2:$AI$1001,MATCH(ROWS($AH$2:AH77),$AH$2:$AH$1001,0),1)&gt;=100000,INDEX($AO$1005:$BQ$1005,1,MATCH(COLUMNS($AO$1006:BH1006),$AO$1006:$BQ$1006,0))&gt;=100000), " ",IF(INDEX($AO$2:$BQ$1001,MATCH(ROWS($AH$2:AH77),$AH$2:$AH$1001,0),MATCH(COLUMNS($AO$1006:BH1006),$AO$1006:$BQ$1006,0)), HYPERLINK("#",""), HYPERLINK(CONCATENATE("#Metadata!", ADDRESS(INDEX($AJ$2:$AJ$1001,MATCH(ROWS($AH$2:AH77),$AH$2:$AH$1001,0),0), INDEX($AO$1004:$BQ$1004,1,MATCH(COLUMNS($AO$1006:BH1006),$AO$1006:$BQ$1006,0)))),"Fix")))</f>
        <v>#N/A</v>
      </c>
      <c r="V77" s="5" t="e">
        <f ca="1">IF(OR(INDEX($AI$2:$AI$1001,MATCH(ROWS($AH$2:AH77),$AH$2:$AH$1001,0),1)&gt;=100000,INDEX($AO$1005:$BQ$1005,1,MATCH(COLUMNS($AO$1006:BI1006),$AO$1006:$BQ$1006,0))&gt;=100000), " ",IF(INDEX($AO$2:$BQ$1001,MATCH(ROWS($AH$2:AH77),$AH$2:$AH$1001,0),MATCH(COLUMNS($AO$1006:BI1006),$AO$1006:$BQ$1006,0)), HYPERLINK("#",""), HYPERLINK(CONCATENATE("#Metadata!", ADDRESS(INDEX($AJ$2:$AJ$1001,MATCH(ROWS($AH$2:AH77),$AH$2:$AH$1001,0),0), INDEX($AO$1004:$BQ$1004,1,MATCH(COLUMNS($AO$1006:BI1006),$AO$1006:$BQ$1006,0)))),"Fix")))</f>
        <v>#N/A</v>
      </c>
      <c r="W77" s="5" t="e">
        <f ca="1">IF(OR(INDEX($AI$2:$AI$1001,MATCH(ROWS($AH$2:AH77),$AH$2:$AH$1001,0),1)&gt;=100000,INDEX($AO$1005:$BQ$1005,1,MATCH(COLUMNS($AO$1006:BJ1006),$AO$1006:$BQ$1006,0))&gt;=100000), " ",IF(INDEX($AO$2:$BQ$1001,MATCH(ROWS($AH$2:AH77),$AH$2:$AH$1001,0),MATCH(COLUMNS($AO$1006:BJ1006),$AO$1006:$BQ$1006,0)), HYPERLINK("#",""), HYPERLINK(CONCATENATE("#Metadata!", ADDRESS(INDEX($AJ$2:$AJ$1001,MATCH(ROWS($AH$2:AH77),$AH$2:$AH$1001,0),0), INDEX($AO$1004:$BQ$1004,1,MATCH(COLUMNS($AO$1006:BJ1006),$AO$1006:$BQ$1006,0)))),"Fix")))</f>
        <v>#N/A</v>
      </c>
      <c r="X77" s="5" t="e">
        <f ca="1">IF(OR(INDEX($AI$2:$AI$1001,MATCH(ROWS($AH$2:AH77),$AH$2:$AH$1001,0),1)&gt;=100000,INDEX($AO$1005:$BQ$1005,1,MATCH(COLUMNS($AO$1006:BK1006),$AO$1006:$BQ$1006,0))&gt;=100000), " ",IF(INDEX($AO$2:$BQ$1001,MATCH(ROWS($AH$2:AH77),$AH$2:$AH$1001,0),MATCH(COLUMNS($AO$1006:BK1006),$AO$1006:$BQ$1006,0)), HYPERLINK("#",""), HYPERLINK(CONCATENATE("#Metadata!", ADDRESS(INDEX($AJ$2:$AJ$1001,MATCH(ROWS($AH$2:AH77),$AH$2:$AH$1001,0),0), INDEX($AO$1004:$BQ$1004,1,MATCH(COLUMNS($AO$1006:BK1006),$AO$1006:$BQ$1006,0)))),"Fix")))</f>
        <v>#N/A</v>
      </c>
      <c r="Y77" s="5" t="e">
        <f ca="1">IF(OR(INDEX($AI$2:$AI$1001,MATCH(ROWS($AH$2:AH77),$AH$2:$AH$1001,0),1)&gt;=100000,INDEX($AO$1005:$BQ$1005,1,MATCH(COLUMNS($AO$1006:BL1006),$AO$1006:$BQ$1006,0))&gt;=100000), " ",IF(INDEX($AO$2:$BQ$1001,MATCH(ROWS($AH$2:AH77),$AH$2:$AH$1001,0),MATCH(COLUMNS($AO$1006:BL1006),$AO$1006:$BQ$1006,0)), HYPERLINK("#",""), HYPERLINK(CONCATENATE("#Metadata!", ADDRESS(INDEX($AJ$2:$AJ$1001,MATCH(ROWS($AH$2:AH77),$AH$2:$AH$1001,0),0), INDEX($AO$1004:$BQ$1004,1,MATCH(COLUMNS($AO$1006:BL1006),$AO$1006:$BQ$1006,0)))),"Fix")))</f>
        <v>#N/A</v>
      </c>
      <c r="Z77" s="5" t="e">
        <f ca="1">IF(OR(INDEX($AI$2:$AI$1001,MATCH(ROWS($AH$2:AH77),$AH$2:$AH$1001,0),1)&gt;=100000,INDEX($AO$1005:$BQ$1005,1,MATCH(COLUMNS($AO$1006:BM1006),$AO$1006:$BQ$1006,0))&gt;=100000), " ",IF(INDEX($AO$2:$BQ$1001,MATCH(ROWS($AH$2:AH77),$AH$2:$AH$1001,0),MATCH(COLUMNS($AO$1006:BM1006),$AO$1006:$BQ$1006,0)), HYPERLINK("#",""), HYPERLINK(CONCATENATE("#Metadata!", ADDRESS(INDEX($AJ$2:$AJ$1001,MATCH(ROWS($AH$2:AH77),$AH$2:$AH$1001,0),0), INDEX($AO$1004:$BQ$1004,1,MATCH(COLUMNS($AO$1006:BM1006),$AO$1006:$BQ$1006,0)))),"Fix")))</f>
        <v>#N/A</v>
      </c>
      <c r="AA77" s="5" t="e">
        <f ca="1">IF(OR(INDEX($AI$2:$AI$1001,MATCH(ROWS($AH$2:AH77),$AH$2:$AH$1001,0),1)&gt;=100000,INDEX($AO$1005:$BQ$1005,1,MATCH(COLUMNS($AO$1006:BN1006),$AO$1006:$BQ$1006,0))&gt;=100000), " ",IF(INDEX($AO$2:$BQ$1001,MATCH(ROWS($AH$2:AH77),$AH$2:$AH$1001,0),MATCH(COLUMNS($AO$1006:BN1006),$AO$1006:$BQ$1006,0)), HYPERLINK("#",""), HYPERLINK(CONCATENATE("#Metadata!", ADDRESS(INDEX($AJ$2:$AJ$1001,MATCH(ROWS($AH$2:AH77),$AH$2:$AH$1001,0),0), INDEX($AO$1004:$BQ$1004,1,MATCH(COLUMNS($AO$1006:BN1006),$AO$1006:$BQ$1006,0)))),"Fix")))</f>
        <v>#N/A</v>
      </c>
      <c r="AB77" s="5" t="e">
        <f ca="1">IF(OR(INDEX($AI$2:$AI$1001,MATCH(ROWS($AH$2:AH77),$AH$2:$AH$1001,0),1)&gt;=100000,INDEX($AO$1005:$BQ$1005,1,MATCH(COLUMNS($AO$1006:BO1006),$AO$1006:$BQ$1006,0))&gt;=100000), " ",IF(INDEX($AO$2:$BQ$1001,MATCH(ROWS($AH$2:AH77),$AH$2:$AH$1001,0),MATCH(COLUMNS($AO$1006:BO1006),$AO$1006:$BQ$1006,0)), HYPERLINK("#",""), HYPERLINK(CONCATENATE("#Metadata!", ADDRESS(INDEX($AJ$2:$AJ$1001,MATCH(ROWS($AH$2:AH77),$AH$2:$AH$1001,0),0), INDEX($AO$1004:$BQ$1004,1,MATCH(COLUMNS($AO$1006:BO1006),$AO$1006:$BQ$1006,0)))),"Fix")))</f>
        <v>#N/A</v>
      </c>
      <c r="AC77" s="5" t="e">
        <f ca="1">IF(OR(INDEX($AI$2:$AI$1001,MATCH(ROWS($AH$2:AH77),$AH$2:$AH$1001,0),1)&gt;=100000,INDEX($AO$1005:$BQ$1005,1,MATCH(COLUMNS($AO$1006:BP1006),$AO$1006:$BQ$1006,0))&gt;=100000), " ",IF(INDEX($AO$2:$BQ$1001,MATCH(ROWS($AH$2:AH77),$AH$2:$AH$1001,0),MATCH(COLUMNS($AO$1006:BP1006),$AO$1006:$BQ$1006,0)), HYPERLINK("#",""), HYPERLINK(CONCATENATE("#Metadata!", ADDRESS(INDEX($AJ$2:$AJ$1001,MATCH(ROWS($AH$2:AH77),$AH$2:$AH$1001,0),0), INDEX($AO$1004:$BQ$1004,1,MATCH(COLUMNS($AO$1006:BP1006),$AO$1006:$BQ$1006,0)))),"Fix")))</f>
        <v>#N/A</v>
      </c>
      <c r="AD77" s="5" t="e">
        <f ca="1">IF(OR(INDEX($AI$2:$AI$1001,MATCH(ROWS($AH$2:AH77),$AH$2:$AH$1001,0),1)&gt;=100000,INDEX($AO$1005:$BQ$1005,1,MATCH(COLUMNS($AO$1006:BQ1006),$AO$1006:$BQ$1006,0))&gt;=100000), " ",IF(INDEX($AO$2:$BQ$1001,MATCH(ROWS($AH$2:AH77),$AH$2:$AH$1001,0),MATCH(COLUMNS($AO$1006:BQ1006),$AO$1006:$BQ$1006,0)), HYPERLINK("#",""), HYPERLINK(CONCATENATE("#Metadata!", ADDRESS(INDEX($AJ$2:$AJ$1001,MATCH(ROWS($AH$2:AH77),$AH$2:$AH$1001,0),0), INDEX($AO$1004:$BQ$1004,1,MATCH(COLUMNS($AO$1006:BQ1006),$AO$1006:$BQ$1006,0)))),"Fix")))</f>
        <v>#REF!</v>
      </c>
      <c r="AH77">
        <f ca="1"/>
        <v>74</v>
      </c>
      <c r="AI77">
        <v>100077</v>
      </c>
      <c r="AJ77">
        <v>77</v>
      </c>
      <c r="AK77" t="b">
        <f t="shared" si="1"/>
        <v>1</v>
      </c>
      <c r="AL77" t="b">
        <f>COUNTBLANK(Metadata!B77:AD77)=COLUMNS(Metadata!B77:AD77)</f>
        <v>1</v>
      </c>
      <c r="AM77" t="str">
        <v/>
      </c>
      <c r="AO77" t="b">
        <f ca="1">AND(IF(Metadata!B77="",FALSE,TRUE),COUNTIF(Metadata!B:B, Metadata!B77) = 1,NOT(ISERROR(SUMPRODUCT(SEARCH(MID(Metadata!B77,ROW(INDIRECT("1:"&amp;LEN(Metadata!B77))), 1),"0123456789abcdefghijklmnopqrstuvwxyzABCDEFGHIJKLMNOPQRSTUVWXYZ.")))))</f>
        <v>0</v>
      </c>
      <c r="AP77" t="b">
        <f>IF(Metadata!C77="",FALSE,TRUE)</f>
        <v>0</v>
      </c>
      <c r="AQ77" t="b">
        <f>IF(Metadata!D77="",FALSE,TRUE)</f>
        <v>0</v>
      </c>
      <c r="AR77" t="b">
        <f ca="1">OR(AND(IF(Metadata!E77="",FALSE,TRUE),OR(EXACT(Metadata!E77,"not collected"),EXACT(Metadata!E77,"not provided"),EXACT(Metadata!E77,"restricted access"))),AND(IF(Metadata!E77="",FALSE,TRUE),AND(AND(IFERROR(INT(LEFT(Metadata!E77,4))&gt;1900,FALSE),IFERROR(INT(LEFT(Metadata!E77,4))&lt;=YEAR(NOW()),FALSE)), OR(MID(Metadata!E77,5,1)="", AND(AND(MID(Metadata!E77,5,1)="-",IFERROR(INT(MID(Metadata!E77,6,1))&gt;=0,FALSE),IFERROR(INT(MID(Metadata!E77,6,1))&lt;=1,FALSE),NOT(MID(Metadata!E77,7,1)=""),IFERROR(INT(MID(Metadata!E77,6,2))&gt;=1,FALSE),IFERROR(INT(MID(Metadata!E77,6,2))&lt;=12,FALSE)), OR(MID(Metadata!E77,8,1)="", AND(AND(MID(Metadata!E77,8,1)="-",IFERROR(INT(MID(Metadata!E77,9,1))&gt;=0,FALSE),IFERROR(INT(MID(Metadata!E77,9,1))&lt;=3,FALSE),NOT(MID(Metadata!E77,10,1)=""),IFERROR(INT(MID(Metadata!E77,9,2))&gt;=1,FALSE),IFERROR(INT(MID(Metadata!E77,9,2))&lt;=31,FALSE)), OR(MID(Metadata!E77,11,1)="", AND(AND(MID(Metadata!E77,11,1)=" ",IFERROR(INT(MID(Metadata!E77,12,1))&gt;=0,FALSE),IFERROR(INT(MID(Metadata!E77,12,1))&lt;=2,FALSE),NOT(MID(Metadata!E77,13,1)=""),IFERROR(INT(MID(Metadata!E77,12,2))&gt;=0,FALSE),IFERROR(INT(MID(Metadata!E77,12,2))&lt;=23,FALSE)), OR(MID(Metadata!E77,14,1)="", AND(AND(MID(Metadata!E77,14,1)=":",IFERROR(INT(MID(Metadata!E77,15,1))&gt;=0,FALSE),IFERROR(INT(MID(Metadata!E77,15,1))&lt;=5,FALSE),NOT(MID(Metadata!E77,16,1)=""),IFERROR(INT(MID(Metadata!E77,15,2))&gt;=0,FALSE),IFERROR(INT(MID(Metadata!E77,15,2))&lt;=59,FALSE)), OR(MID(Metadata!E77,17,1)="", AND(AND(MID(Metadata!E77,17,1)=":",IFERROR(INT(MID(Metadata!E77,18,1))&gt;=0,FALSE),IFERROR(INT(MID(Metadata!E77,18,1))&lt;=5,FALSE),NOT(MID(Metadata!E77,19,1)=""),IFERROR(INT(MID(Metadata!E77,18,2))&gt;=0,FALSE),IFERROR(INT(MID(Metadata!E77,18,2))&lt;=59,FALSE)), LEN(Metadata!E77)&lt;=19)))))))))))))</f>
        <v>0</v>
      </c>
      <c r="AS77" t="b">
        <f>IF(Metadata!F77="",FALSE,TRUE)</f>
        <v>0</v>
      </c>
      <c r="AT77" t="b">
        <f>OR(AND(IF(Metadata!G77="",FALSE,TRUE),OR(EXACT(Metadata!G77,"not collected"),EXACT(Metadata!G77,"not provided"))),AND(IF(Metadata!G77="",FALSE,TRUE),OR(EXACT(Metadata!G77,"TRUE"),EXACT(Metadata!G77,"FALSE"))))</f>
        <v>0</v>
      </c>
      <c r="AU77" t="b">
        <f>OR(AND(IF(Metadata!H77="",FALSE,TRUE),OR(EXACT(Metadata!H77,"not collected"),EXACT(Metadata!H77,"not provided"),EXACT(Metadata!H77,"restricted access"))),AND(IF(Metadata!H77="",FALSE,ISNUMBER(VALUE(Metadata!H77))),Metadata!H77&gt;=-413))</f>
        <v>0</v>
      </c>
      <c r="AV77" t="b">
        <f>AND(IF(Metadata!I77="",FALSE,TRUE),EXACT(Metadata!I77,"meters"))</f>
        <v>0</v>
      </c>
      <c r="AW77" t="b">
        <f>AND(IF(Metadata!J77="",FALSE,TRUE),EXACT(Metadata!J77,"free-living"))</f>
        <v>0</v>
      </c>
      <c r="AX77" t="b">
        <f>AND(IF(Metadata!K77="",FALSE,TRUE),OR(EXACT(Metadata!K77,"saline"),EXACT(Metadata!K77,"non-saline")))</f>
        <v>0</v>
      </c>
      <c r="AY77" t="b">
        <f>AND(IF(Metadata!L77="",FALSE,TRUE),OR(EXACT(Metadata!L77,"sub-surface (non-saline)"),EXACT(Metadata!L77,"surface (non-saline)"),EXACT(Metadata!L77,"water (non-saline)"),EXACT(Metadata!L77,"soil (non-saline)"),EXACT(Metadata!L77,"aerosol (non-saline)"),EXACT(Metadata!L77,"sediment (non-saline)"),EXACT(Metadata!L77,"surface (saline)"),EXACT(Metadata!L77,"water (saline)"),EXACT(Metadata!L77,"hypersaline (saline)"),EXACT(Metadata!L77,"aerosol (saline)"),EXACT(Metadata!L77,"sediment (saline)")))</f>
        <v>0</v>
      </c>
      <c r="AZ77" t="b">
        <f>IF(Metadata!M77="",FALSE,TRUE)</f>
        <v>0</v>
      </c>
      <c r="BA77" t="b">
        <f>IF(Metadata!N77="",FALSE,TRUE)</f>
        <v>0</v>
      </c>
      <c r="BB77" t="b">
        <f>IF(Metadata!O77="",FALSE,TRUE)</f>
        <v>0</v>
      </c>
      <c r="BC77" t="b">
        <f>AND(IF(Metadata!P77="",FALSE,TRUE),OR(EXACT(Metadata!P77,"air"),EXACT(Metadata!P77,"microbial mat/biofilm"),EXACT(Metadata!P77,"misc environment"),EXACT(Metadata!P77,"sediment"),EXACT(Metadata!P77,"soil"),EXACT(Metadata!P77,"wastewater/sludge"),EXACT(Metadata!P77,"water")))</f>
        <v>0</v>
      </c>
      <c r="BD77" t="b">
        <f>IF(Metadata!Q77="",FALSE,TRUE)</f>
        <v>0</v>
      </c>
      <c r="BE77" t="b">
        <f>IF(Metadata!R77="",FALSE,TRUE)</f>
        <v>0</v>
      </c>
      <c r="BF77" t="b">
        <f>OR(AND(IF(Metadata!S77="",FALSE,TRUE),OR(EXACT(Metadata!S77,"not collected"),EXACT(Metadata!S77,"not provided"),EXACT(Metadata!S77,"restricted access"))),AND(IF(Metadata!S77="",FALSE,ISNUMBER(VALUE(Metadata!S77))),Metadata!S77&gt;=-90,Metadata!S77&lt;=90))</f>
        <v>0</v>
      </c>
      <c r="BG77" t="b">
        <f>AND(IF(Metadata!T77="",FALSE,TRUE),EXACT(Metadata!T77,"Decimal degrees"))</f>
        <v>0</v>
      </c>
      <c r="BH77" t="b">
        <f>OR(AND(IF(Metadata!U77="",FALSE,TRUE),OR(EXACT(Metadata!U77,"not applicable"),EXACT(Metadata!U77,"not collected"))),IF(Metadata!U77="",FALSE,TRUE))</f>
        <v>0</v>
      </c>
      <c r="BI77" t="b">
        <f>OR(AND(IF(Metadata!V77="",FALSE,TRUE),OR(EXACT(Metadata!V77,"not collected"),EXACT(Metadata!V77,"not provided"),EXACT(Metadata!V77,"restricted access"))),AND(IF(Metadata!V77="",FALSE,ISNUMBER(VALUE(Metadata!V77))),Metadata!V77&gt;=-180,Metadata!V77&lt;=180))</f>
        <v>0</v>
      </c>
      <c r="BJ77" t="b">
        <f>AND(IF(Metadata!W77="",FALSE,TRUE),EXACT(Metadata!W77,"Decimal degrees"))</f>
        <v>0</v>
      </c>
      <c r="BK77" t="b">
        <f>IF(Metadata!X77="",FALSE,TRUE)</f>
        <v>0</v>
      </c>
      <c r="BL77" t="b">
        <f>OR(AND(IF(Metadata!Y77="",FALSE,TRUE),OR(EXACT(Metadata!Y77,"not collected"),EXACT(Metadata!Y77,"not provided"),EXACT(Metadata!Y77,"restricted access"))),AND(IF(Metadata!Y77="",FALSE,TRUE),OR(EXACT(Metadata!Y77,"TRUE"),EXACT(Metadata!Y77,"FALSE"))))</f>
        <v>0</v>
      </c>
      <c r="BM77" t="b">
        <f>OR(AND(IF(Metadata!Z77="",FALSE,TRUE),EXACT(Metadata!Z77,"not applicable")),AND(IF(Metadata!Z77="",FALSE,TRUE),OR(EXACT(Metadata!Z77,"beer"),EXACT(Metadata!Z77,"cheese"),EXACT(Metadata!Z77,"fresh water"),EXACT(Metadata!Z77,"marine sediment"),EXACT(Metadata!Z77,"sea water"),EXACT(Metadata!Z77,"sediment"),EXACT(Metadata!Z77,"soil"),EXACT(Metadata!Z77,"waste water"))))</f>
        <v>0</v>
      </c>
      <c r="BN77" t="b">
        <f>AND(IF(Metadata!AA77="",FALSE,TRUE),EXACT(Metadata!AA77,"metagenome"))</f>
        <v>0</v>
      </c>
      <c r="BO77" t="b">
        <f>AND(IF(Metadata!AB77="",FALSE,TRUE),EXACT(Metadata!AB77,"256318"))</f>
        <v>0</v>
      </c>
      <c r="BP77" t="b">
        <f>IF(Metadata!AC77="",FALSE,TRUE)</f>
        <v>0</v>
      </c>
      <c r="BQ77" t="b">
        <f>IF(Metadata!AD77="",FALSE,TRUE)</f>
        <v>0</v>
      </c>
    </row>
    <row r="78" spans="1:69" x14ac:dyDescent="0.2">
      <c r="A78" s="4" t="e">
        <f ca="1">IF(B78=" "," ",HYPERLINK(CONCATENATE("#metadata!",ADDRESS(INDEX($AJ$2:$AJ$1001,MATCH(ROWS($AH$2:AH78),$AH$2:$AH$1001,0),0),2)),INDEX($AM$2:$AM$1001,MATCH(ROWS($AH$2:AH78),$AH$2:$AH$1001,0),0)))</f>
        <v>#N/A</v>
      </c>
      <c r="B78" s="5" t="e">
        <f ca="1">IF(OR(INDEX($AI$2:$AI$1001,MATCH(ROWS($AH$2:AH78),$AH$2:$AH$1001,0),1)&gt;=100000,INDEX($AO$1005:$BQ$1005,1,MATCH(COLUMNS($AO$1006:AO1006),$AO$1006:$BQ$1006,0))&gt;=100000), " ",IF(INDEX($AO$2:$BQ$1001,MATCH(ROWS($AH$2:AH78),$AH$2:$AH$1001,0),MATCH(COLUMNS($AO$1006:AO1006),$AO$1006:$BQ$1006,0)), HYPERLINK("#",""), HYPERLINK(CONCATENATE("#Metadata!", ADDRESS(INDEX($AJ$2:$AJ$1001,MATCH(ROWS($AH$2:AH78),$AH$2:$AH$1001,0),0), INDEX($AO$1004:$BQ$1004,1,MATCH(COLUMNS($AO$1006:AO1006),$AO$1006:$BQ$1006,0)))),"Fix")))</f>
        <v>#N/A</v>
      </c>
      <c r="C78" s="5" t="e">
        <f ca="1">IF(OR(INDEX($AI$2:$AI$1001,MATCH(ROWS($AH$2:AH78),$AH$2:$AH$1001,0),1)&gt;=100000,INDEX($AO$1005:$BQ$1005,1,MATCH(COLUMNS($AO$1006:AP1006),$AO$1006:$BQ$1006,0))&gt;=100000), " ",IF(INDEX($AO$2:$BQ$1001,MATCH(ROWS($AH$2:AH78),$AH$2:$AH$1001,0),MATCH(COLUMNS($AO$1006:AP1006),$AO$1006:$BQ$1006,0)), HYPERLINK("#",""), HYPERLINK(CONCATENATE("#Metadata!", ADDRESS(INDEX($AJ$2:$AJ$1001,MATCH(ROWS($AH$2:AH78),$AH$2:$AH$1001,0),0), INDEX($AO$1004:$BQ$1004,1,MATCH(COLUMNS($AO$1006:AP1006),$AO$1006:$BQ$1006,0)))),"Fix")))</f>
        <v>#N/A</v>
      </c>
      <c r="D78" s="5" t="e">
        <f ca="1">IF(OR(INDEX($AI$2:$AI$1001,MATCH(ROWS($AH$2:AH78),$AH$2:$AH$1001,0),1)&gt;=100000,INDEX($AO$1005:$BQ$1005,1,MATCH(COLUMNS($AO$1006:AQ1006),$AO$1006:$BQ$1006,0))&gt;=100000), " ",IF(INDEX($AO$2:$BQ$1001,MATCH(ROWS($AH$2:AH78),$AH$2:$AH$1001,0),MATCH(COLUMNS($AO$1006:AQ1006),$AO$1006:$BQ$1006,0)), HYPERLINK("#",""), HYPERLINK(CONCATENATE("#Metadata!", ADDRESS(INDEX($AJ$2:$AJ$1001,MATCH(ROWS($AH$2:AH78),$AH$2:$AH$1001,0),0), INDEX($AO$1004:$BQ$1004,1,MATCH(COLUMNS($AO$1006:AQ1006),$AO$1006:$BQ$1006,0)))),"Fix")))</f>
        <v>#N/A</v>
      </c>
      <c r="E78" s="5" t="e">
        <f ca="1">IF(OR(INDEX($AI$2:$AI$1001,MATCH(ROWS($AH$2:AH78),$AH$2:$AH$1001,0),1)&gt;=100000,INDEX($AO$1005:$BQ$1005,1,MATCH(COLUMNS($AO$1006:AR1006),$AO$1006:$BQ$1006,0))&gt;=100000), " ",IF(INDEX($AO$2:$BQ$1001,MATCH(ROWS($AH$2:AH78),$AH$2:$AH$1001,0),MATCH(COLUMNS($AO$1006:AR1006),$AO$1006:$BQ$1006,0)), HYPERLINK("#",""), HYPERLINK(CONCATENATE("#Metadata!", ADDRESS(INDEX($AJ$2:$AJ$1001,MATCH(ROWS($AH$2:AH78),$AH$2:$AH$1001,0),0), INDEX($AO$1004:$BQ$1004,1,MATCH(COLUMNS($AO$1006:AR1006),$AO$1006:$BQ$1006,0)))),"Fix")))</f>
        <v>#N/A</v>
      </c>
      <c r="F78" s="5" t="e">
        <f ca="1">IF(OR(INDEX($AI$2:$AI$1001,MATCH(ROWS($AH$2:AH78),$AH$2:$AH$1001,0),1)&gt;=100000,INDEX($AO$1005:$BQ$1005,1,MATCH(COLUMNS($AO$1006:AS1006),$AO$1006:$BQ$1006,0))&gt;=100000), " ",IF(INDEX($AO$2:$BQ$1001,MATCH(ROWS($AH$2:AH78),$AH$2:$AH$1001,0),MATCH(COLUMNS($AO$1006:AS1006),$AO$1006:$BQ$1006,0)), HYPERLINK("#",""), HYPERLINK(CONCATENATE("#Metadata!", ADDRESS(INDEX($AJ$2:$AJ$1001,MATCH(ROWS($AH$2:AH78),$AH$2:$AH$1001,0),0), INDEX($AO$1004:$BQ$1004,1,MATCH(COLUMNS($AO$1006:AS1006),$AO$1006:$BQ$1006,0)))),"Fix")))</f>
        <v>#N/A</v>
      </c>
      <c r="G78" s="5" t="e">
        <f ca="1">IF(OR(INDEX($AI$2:$AI$1001,MATCH(ROWS($AH$2:AH78),$AH$2:$AH$1001,0),1)&gt;=100000,INDEX($AO$1005:$BQ$1005,1,MATCH(COLUMNS($AO$1006:AT1006),$AO$1006:$BQ$1006,0))&gt;=100000), " ",IF(INDEX($AO$2:$BQ$1001,MATCH(ROWS($AH$2:AH78),$AH$2:$AH$1001,0),MATCH(COLUMNS($AO$1006:AT1006),$AO$1006:$BQ$1006,0)), HYPERLINK("#",""), HYPERLINK(CONCATENATE("#Metadata!", ADDRESS(INDEX($AJ$2:$AJ$1001,MATCH(ROWS($AH$2:AH78),$AH$2:$AH$1001,0),0), INDEX($AO$1004:$BQ$1004,1,MATCH(COLUMNS($AO$1006:AT1006),$AO$1006:$BQ$1006,0)))),"Fix")))</f>
        <v>#N/A</v>
      </c>
      <c r="H78" s="5" t="e">
        <f ca="1">IF(OR(INDEX($AI$2:$AI$1001,MATCH(ROWS($AH$2:AH78),$AH$2:$AH$1001,0),1)&gt;=100000,INDEX($AO$1005:$BQ$1005,1,MATCH(COLUMNS($AO$1006:AU1006),$AO$1006:$BQ$1006,0))&gt;=100000), " ",IF(INDEX($AO$2:$BQ$1001,MATCH(ROWS($AH$2:AH78),$AH$2:$AH$1001,0),MATCH(COLUMNS($AO$1006:AU1006),$AO$1006:$BQ$1006,0)), HYPERLINK("#",""), HYPERLINK(CONCATENATE("#Metadata!", ADDRESS(INDEX($AJ$2:$AJ$1001,MATCH(ROWS($AH$2:AH78),$AH$2:$AH$1001,0),0), INDEX($AO$1004:$BQ$1004,1,MATCH(COLUMNS($AO$1006:AU1006),$AO$1006:$BQ$1006,0)))),"Fix")))</f>
        <v>#N/A</v>
      </c>
      <c r="I78" s="5" t="e">
        <f ca="1">IF(OR(INDEX($AI$2:$AI$1001,MATCH(ROWS($AH$2:AH78),$AH$2:$AH$1001,0),1)&gt;=100000,INDEX($AO$1005:$BQ$1005,1,MATCH(COLUMNS($AO$1006:AV1006),$AO$1006:$BQ$1006,0))&gt;=100000), " ",IF(INDEX($AO$2:$BQ$1001,MATCH(ROWS($AH$2:AH78),$AH$2:$AH$1001,0),MATCH(COLUMNS($AO$1006:AV1006),$AO$1006:$BQ$1006,0)), HYPERLINK("#",""), HYPERLINK(CONCATENATE("#Metadata!", ADDRESS(INDEX($AJ$2:$AJ$1001,MATCH(ROWS($AH$2:AH78),$AH$2:$AH$1001,0),0), INDEX($AO$1004:$BQ$1004,1,MATCH(COLUMNS($AO$1006:AV1006),$AO$1006:$BQ$1006,0)))),"Fix")))</f>
        <v>#N/A</v>
      </c>
      <c r="J78" s="5" t="e">
        <f ca="1">IF(OR(INDEX($AI$2:$AI$1001,MATCH(ROWS($AH$2:AH78),$AH$2:$AH$1001,0),1)&gt;=100000,INDEX($AO$1005:$BQ$1005,1,MATCH(COLUMNS($AO$1006:AW1006),$AO$1006:$BQ$1006,0))&gt;=100000), " ",IF(INDEX($AO$2:$BQ$1001,MATCH(ROWS($AH$2:AH78),$AH$2:$AH$1001,0),MATCH(COLUMNS($AO$1006:AW1006),$AO$1006:$BQ$1006,0)), HYPERLINK("#",""), HYPERLINK(CONCATENATE("#Metadata!", ADDRESS(INDEX($AJ$2:$AJ$1001,MATCH(ROWS($AH$2:AH78),$AH$2:$AH$1001,0),0), INDEX($AO$1004:$BQ$1004,1,MATCH(COLUMNS($AO$1006:AW1006),$AO$1006:$BQ$1006,0)))),"Fix")))</f>
        <v>#N/A</v>
      </c>
      <c r="K78" s="5" t="e">
        <f ca="1">IF(OR(INDEX($AI$2:$AI$1001,MATCH(ROWS($AH$2:AH78),$AH$2:$AH$1001,0),1)&gt;=100000,INDEX($AO$1005:$BQ$1005,1,MATCH(COLUMNS($AO$1006:AX1006),$AO$1006:$BQ$1006,0))&gt;=100000), " ",IF(INDEX($AO$2:$BQ$1001,MATCH(ROWS($AH$2:AH78),$AH$2:$AH$1001,0),MATCH(COLUMNS($AO$1006:AX1006),$AO$1006:$BQ$1006,0)), HYPERLINK("#",""), HYPERLINK(CONCATENATE("#Metadata!", ADDRESS(INDEX($AJ$2:$AJ$1001,MATCH(ROWS($AH$2:AH78),$AH$2:$AH$1001,0),0), INDEX($AO$1004:$BQ$1004,1,MATCH(COLUMNS($AO$1006:AX1006),$AO$1006:$BQ$1006,0)))),"Fix")))</f>
        <v>#N/A</v>
      </c>
      <c r="L78" s="5" t="e">
        <f ca="1">IF(OR(INDEX($AI$2:$AI$1001,MATCH(ROWS($AH$2:AH78),$AH$2:$AH$1001,0),1)&gt;=100000,INDEX($AO$1005:$BQ$1005,1,MATCH(COLUMNS($AO$1006:AY1006),$AO$1006:$BQ$1006,0))&gt;=100000), " ",IF(INDEX($AO$2:$BQ$1001,MATCH(ROWS($AH$2:AH78),$AH$2:$AH$1001,0),MATCH(COLUMNS($AO$1006:AY1006),$AO$1006:$BQ$1006,0)), HYPERLINK("#",""), HYPERLINK(CONCATENATE("#Metadata!", ADDRESS(INDEX($AJ$2:$AJ$1001,MATCH(ROWS($AH$2:AH78),$AH$2:$AH$1001,0),0), INDEX($AO$1004:$BQ$1004,1,MATCH(COLUMNS($AO$1006:AY1006),$AO$1006:$BQ$1006,0)))),"Fix")))</f>
        <v>#N/A</v>
      </c>
      <c r="M78" s="5" t="e">
        <f ca="1">IF(OR(INDEX($AI$2:$AI$1001,MATCH(ROWS($AH$2:AH78),$AH$2:$AH$1001,0),1)&gt;=100000,INDEX($AO$1005:$BQ$1005,1,MATCH(COLUMNS($AO$1006:AZ1006),$AO$1006:$BQ$1006,0))&gt;=100000), " ",IF(INDEX($AO$2:$BQ$1001,MATCH(ROWS($AH$2:AH78),$AH$2:$AH$1001,0),MATCH(COLUMNS($AO$1006:AZ1006),$AO$1006:$BQ$1006,0)), HYPERLINK("#",""), HYPERLINK(CONCATENATE("#Metadata!", ADDRESS(INDEX($AJ$2:$AJ$1001,MATCH(ROWS($AH$2:AH78),$AH$2:$AH$1001,0),0), INDEX($AO$1004:$BQ$1004,1,MATCH(COLUMNS($AO$1006:AZ1006),$AO$1006:$BQ$1006,0)))),"Fix")))</f>
        <v>#N/A</v>
      </c>
      <c r="N78" s="5" t="e">
        <f ca="1">IF(OR(INDEX($AI$2:$AI$1001,MATCH(ROWS($AH$2:AH78),$AH$2:$AH$1001,0),1)&gt;=100000,INDEX($AO$1005:$BQ$1005,1,MATCH(COLUMNS($AO$1006:BA1006),$AO$1006:$BQ$1006,0))&gt;=100000), " ",IF(INDEX($AO$2:$BQ$1001,MATCH(ROWS($AH$2:AH78),$AH$2:$AH$1001,0),MATCH(COLUMNS($AO$1006:BA1006),$AO$1006:$BQ$1006,0)), HYPERLINK("#",""), HYPERLINK(CONCATENATE("#Metadata!", ADDRESS(INDEX($AJ$2:$AJ$1001,MATCH(ROWS($AH$2:AH78),$AH$2:$AH$1001,0),0), INDEX($AO$1004:$BQ$1004,1,MATCH(COLUMNS($AO$1006:BA1006),$AO$1006:$BQ$1006,0)))),"Fix")))</f>
        <v>#N/A</v>
      </c>
      <c r="O78" s="5" t="e">
        <f ca="1">IF(OR(INDEX($AI$2:$AI$1001,MATCH(ROWS($AH$2:AH78),$AH$2:$AH$1001,0),1)&gt;=100000,INDEX($AO$1005:$BQ$1005,1,MATCH(COLUMNS($AO$1006:BB1006),$AO$1006:$BQ$1006,0))&gt;=100000), " ",IF(INDEX($AO$2:$BQ$1001,MATCH(ROWS($AH$2:AH78),$AH$2:$AH$1001,0),MATCH(COLUMNS($AO$1006:BB1006),$AO$1006:$BQ$1006,0)), HYPERLINK("#",""), HYPERLINK(CONCATENATE("#Metadata!", ADDRESS(INDEX($AJ$2:$AJ$1001,MATCH(ROWS($AH$2:AH78),$AH$2:$AH$1001,0),0), INDEX($AO$1004:$BQ$1004,1,MATCH(COLUMNS($AO$1006:BB1006),$AO$1006:$BQ$1006,0)))),"Fix")))</f>
        <v>#N/A</v>
      </c>
      <c r="P78" s="5" t="e">
        <f ca="1">IF(OR(INDEX($AI$2:$AI$1001,MATCH(ROWS($AH$2:AH78),$AH$2:$AH$1001,0),1)&gt;=100000,INDEX($AO$1005:$BQ$1005,1,MATCH(COLUMNS($AO$1006:BC1006),$AO$1006:$BQ$1006,0))&gt;=100000), " ",IF(INDEX($AO$2:$BQ$1001,MATCH(ROWS($AH$2:AH78),$AH$2:$AH$1001,0),MATCH(COLUMNS($AO$1006:BC1006),$AO$1006:$BQ$1006,0)), HYPERLINK("#",""), HYPERLINK(CONCATENATE("#Metadata!", ADDRESS(INDEX($AJ$2:$AJ$1001,MATCH(ROWS($AH$2:AH78),$AH$2:$AH$1001,0),0), INDEX($AO$1004:$BQ$1004,1,MATCH(COLUMNS($AO$1006:BC1006),$AO$1006:$BQ$1006,0)))),"Fix")))</f>
        <v>#N/A</v>
      </c>
      <c r="Q78" s="5" t="e">
        <f ca="1">IF(OR(INDEX($AI$2:$AI$1001,MATCH(ROWS($AH$2:AH78),$AH$2:$AH$1001,0),1)&gt;=100000,INDEX($AO$1005:$BQ$1005,1,MATCH(COLUMNS($AO$1006:BD1006),$AO$1006:$BQ$1006,0))&gt;=100000), " ",IF(INDEX($AO$2:$BQ$1001,MATCH(ROWS($AH$2:AH78),$AH$2:$AH$1001,0),MATCH(COLUMNS($AO$1006:BD1006),$AO$1006:$BQ$1006,0)), HYPERLINK("#",""), HYPERLINK(CONCATENATE("#Metadata!", ADDRESS(INDEX($AJ$2:$AJ$1001,MATCH(ROWS($AH$2:AH78),$AH$2:$AH$1001,0),0), INDEX($AO$1004:$BQ$1004,1,MATCH(COLUMNS($AO$1006:BD1006),$AO$1006:$BQ$1006,0)))),"Fix")))</f>
        <v>#N/A</v>
      </c>
      <c r="R78" s="5" t="e">
        <f ca="1">IF(OR(INDEX($AI$2:$AI$1001,MATCH(ROWS($AH$2:AH78),$AH$2:$AH$1001,0),1)&gt;=100000,INDEX($AO$1005:$BQ$1005,1,MATCH(COLUMNS($AO$1006:BE1006),$AO$1006:$BQ$1006,0))&gt;=100000), " ",IF(INDEX($AO$2:$BQ$1001,MATCH(ROWS($AH$2:AH78),$AH$2:$AH$1001,0),MATCH(COLUMNS($AO$1006:BE1006),$AO$1006:$BQ$1006,0)), HYPERLINK("#",""), HYPERLINK(CONCATENATE("#Metadata!", ADDRESS(INDEX($AJ$2:$AJ$1001,MATCH(ROWS($AH$2:AH78),$AH$2:$AH$1001,0),0), INDEX($AO$1004:$BQ$1004,1,MATCH(COLUMNS($AO$1006:BE1006),$AO$1006:$BQ$1006,0)))),"Fix")))</f>
        <v>#N/A</v>
      </c>
      <c r="S78" s="5" t="e">
        <f ca="1">IF(OR(INDEX($AI$2:$AI$1001,MATCH(ROWS($AH$2:AH78),$AH$2:$AH$1001,0),1)&gt;=100000,INDEX($AO$1005:$BQ$1005,1,MATCH(COLUMNS($AO$1006:BF1006),$AO$1006:$BQ$1006,0))&gt;=100000), " ",IF(INDEX($AO$2:$BQ$1001,MATCH(ROWS($AH$2:AH78),$AH$2:$AH$1001,0),MATCH(COLUMNS($AO$1006:BF1006),$AO$1006:$BQ$1006,0)), HYPERLINK("#",""), HYPERLINK(CONCATENATE("#Metadata!", ADDRESS(INDEX($AJ$2:$AJ$1001,MATCH(ROWS($AH$2:AH78),$AH$2:$AH$1001,0),0), INDEX($AO$1004:$BQ$1004,1,MATCH(COLUMNS($AO$1006:BF1006),$AO$1006:$BQ$1006,0)))),"Fix")))</f>
        <v>#N/A</v>
      </c>
      <c r="T78" s="5" t="e">
        <f ca="1">IF(OR(INDEX($AI$2:$AI$1001,MATCH(ROWS($AH$2:AH78),$AH$2:$AH$1001,0),1)&gt;=100000,INDEX($AO$1005:$BQ$1005,1,MATCH(COLUMNS($AO$1006:BG1006),$AO$1006:$BQ$1006,0))&gt;=100000), " ",IF(INDEX($AO$2:$BQ$1001,MATCH(ROWS($AH$2:AH78),$AH$2:$AH$1001,0),MATCH(COLUMNS($AO$1006:BG1006),$AO$1006:$BQ$1006,0)), HYPERLINK("#",""), HYPERLINK(CONCATENATE("#Metadata!", ADDRESS(INDEX($AJ$2:$AJ$1001,MATCH(ROWS($AH$2:AH78),$AH$2:$AH$1001,0),0), INDEX($AO$1004:$BQ$1004,1,MATCH(COLUMNS($AO$1006:BG1006),$AO$1006:$BQ$1006,0)))),"Fix")))</f>
        <v>#N/A</v>
      </c>
      <c r="U78" s="5" t="e">
        <f ca="1">IF(OR(INDEX($AI$2:$AI$1001,MATCH(ROWS($AH$2:AH78),$AH$2:$AH$1001,0),1)&gt;=100000,INDEX($AO$1005:$BQ$1005,1,MATCH(COLUMNS($AO$1006:BH1006),$AO$1006:$BQ$1006,0))&gt;=100000), " ",IF(INDEX($AO$2:$BQ$1001,MATCH(ROWS($AH$2:AH78),$AH$2:$AH$1001,0),MATCH(COLUMNS($AO$1006:BH1006),$AO$1006:$BQ$1006,0)), HYPERLINK("#",""), HYPERLINK(CONCATENATE("#Metadata!", ADDRESS(INDEX($AJ$2:$AJ$1001,MATCH(ROWS($AH$2:AH78),$AH$2:$AH$1001,0),0), INDEX($AO$1004:$BQ$1004,1,MATCH(COLUMNS($AO$1006:BH1006),$AO$1006:$BQ$1006,0)))),"Fix")))</f>
        <v>#N/A</v>
      </c>
      <c r="V78" s="5" t="e">
        <f ca="1">IF(OR(INDEX($AI$2:$AI$1001,MATCH(ROWS($AH$2:AH78),$AH$2:$AH$1001,0),1)&gt;=100000,INDEX($AO$1005:$BQ$1005,1,MATCH(COLUMNS($AO$1006:BI1006),$AO$1006:$BQ$1006,0))&gt;=100000), " ",IF(INDEX($AO$2:$BQ$1001,MATCH(ROWS($AH$2:AH78),$AH$2:$AH$1001,0),MATCH(COLUMNS($AO$1006:BI1006),$AO$1006:$BQ$1006,0)), HYPERLINK("#",""), HYPERLINK(CONCATENATE("#Metadata!", ADDRESS(INDEX($AJ$2:$AJ$1001,MATCH(ROWS($AH$2:AH78),$AH$2:$AH$1001,0),0), INDEX($AO$1004:$BQ$1004,1,MATCH(COLUMNS($AO$1006:BI1006),$AO$1006:$BQ$1006,0)))),"Fix")))</f>
        <v>#N/A</v>
      </c>
      <c r="W78" s="5" t="e">
        <f ca="1">IF(OR(INDEX($AI$2:$AI$1001,MATCH(ROWS($AH$2:AH78),$AH$2:$AH$1001,0),1)&gt;=100000,INDEX($AO$1005:$BQ$1005,1,MATCH(COLUMNS($AO$1006:BJ1006),$AO$1006:$BQ$1006,0))&gt;=100000), " ",IF(INDEX($AO$2:$BQ$1001,MATCH(ROWS($AH$2:AH78),$AH$2:$AH$1001,0),MATCH(COLUMNS($AO$1006:BJ1006),$AO$1006:$BQ$1006,0)), HYPERLINK("#",""), HYPERLINK(CONCATENATE("#Metadata!", ADDRESS(INDEX($AJ$2:$AJ$1001,MATCH(ROWS($AH$2:AH78),$AH$2:$AH$1001,0),0), INDEX($AO$1004:$BQ$1004,1,MATCH(COLUMNS($AO$1006:BJ1006),$AO$1006:$BQ$1006,0)))),"Fix")))</f>
        <v>#N/A</v>
      </c>
      <c r="X78" s="5" t="e">
        <f ca="1">IF(OR(INDEX($AI$2:$AI$1001,MATCH(ROWS($AH$2:AH78),$AH$2:$AH$1001,0),1)&gt;=100000,INDEX($AO$1005:$BQ$1005,1,MATCH(COLUMNS($AO$1006:BK1006),$AO$1006:$BQ$1006,0))&gt;=100000), " ",IF(INDEX($AO$2:$BQ$1001,MATCH(ROWS($AH$2:AH78),$AH$2:$AH$1001,0),MATCH(COLUMNS($AO$1006:BK1006),$AO$1006:$BQ$1006,0)), HYPERLINK("#",""), HYPERLINK(CONCATENATE("#Metadata!", ADDRESS(INDEX($AJ$2:$AJ$1001,MATCH(ROWS($AH$2:AH78),$AH$2:$AH$1001,0),0), INDEX($AO$1004:$BQ$1004,1,MATCH(COLUMNS($AO$1006:BK1006),$AO$1006:$BQ$1006,0)))),"Fix")))</f>
        <v>#N/A</v>
      </c>
      <c r="Y78" s="5" t="e">
        <f ca="1">IF(OR(INDEX($AI$2:$AI$1001,MATCH(ROWS($AH$2:AH78),$AH$2:$AH$1001,0),1)&gt;=100000,INDEX($AO$1005:$BQ$1005,1,MATCH(COLUMNS($AO$1006:BL1006),$AO$1006:$BQ$1006,0))&gt;=100000), " ",IF(INDEX($AO$2:$BQ$1001,MATCH(ROWS($AH$2:AH78),$AH$2:$AH$1001,0),MATCH(COLUMNS($AO$1006:BL1006),$AO$1006:$BQ$1006,0)), HYPERLINK("#",""), HYPERLINK(CONCATENATE("#Metadata!", ADDRESS(INDEX($AJ$2:$AJ$1001,MATCH(ROWS($AH$2:AH78),$AH$2:$AH$1001,0),0), INDEX($AO$1004:$BQ$1004,1,MATCH(COLUMNS($AO$1006:BL1006),$AO$1006:$BQ$1006,0)))),"Fix")))</f>
        <v>#N/A</v>
      </c>
      <c r="Z78" s="5" t="e">
        <f ca="1">IF(OR(INDEX($AI$2:$AI$1001,MATCH(ROWS($AH$2:AH78),$AH$2:$AH$1001,0),1)&gt;=100000,INDEX($AO$1005:$BQ$1005,1,MATCH(COLUMNS($AO$1006:BM1006),$AO$1006:$BQ$1006,0))&gt;=100000), " ",IF(INDEX($AO$2:$BQ$1001,MATCH(ROWS($AH$2:AH78),$AH$2:$AH$1001,0),MATCH(COLUMNS($AO$1006:BM1006),$AO$1006:$BQ$1006,0)), HYPERLINK("#",""), HYPERLINK(CONCATENATE("#Metadata!", ADDRESS(INDEX($AJ$2:$AJ$1001,MATCH(ROWS($AH$2:AH78),$AH$2:$AH$1001,0),0), INDEX($AO$1004:$BQ$1004,1,MATCH(COLUMNS($AO$1006:BM1006),$AO$1006:$BQ$1006,0)))),"Fix")))</f>
        <v>#N/A</v>
      </c>
      <c r="AA78" s="5" t="e">
        <f ca="1">IF(OR(INDEX($AI$2:$AI$1001,MATCH(ROWS($AH$2:AH78),$AH$2:$AH$1001,0),1)&gt;=100000,INDEX($AO$1005:$BQ$1005,1,MATCH(COLUMNS($AO$1006:BN1006),$AO$1006:$BQ$1006,0))&gt;=100000), " ",IF(INDEX($AO$2:$BQ$1001,MATCH(ROWS($AH$2:AH78),$AH$2:$AH$1001,0),MATCH(COLUMNS($AO$1006:BN1006),$AO$1006:$BQ$1006,0)), HYPERLINK("#",""), HYPERLINK(CONCATENATE("#Metadata!", ADDRESS(INDEX($AJ$2:$AJ$1001,MATCH(ROWS($AH$2:AH78),$AH$2:$AH$1001,0),0), INDEX($AO$1004:$BQ$1004,1,MATCH(COLUMNS($AO$1006:BN1006),$AO$1006:$BQ$1006,0)))),"Fix")))</f>
        <v>#N/A</v>
      </c>
      <c r="AB78" s="5" t="e">
        <f ca="1">IF(OR(INDEX($AI$2:$AI$1001,MATCH(ROWS($AH$2:AH78),$AH$2:$AH$1001,0),1)&gt;=100000,INDEX($AO$1005:$BQ$1005,1,MATCH(COLUMNS($AO$1006:BO1006),$AO$1006:$BQ$1006,0))&gt;=100000), " ",IF(INDEX($AO$2:$BQ$1001,MATCH(ROWS($AH$2:AH78),$AH$2:$AH$1001,0),MATCH(COLUMNS($AO$1006:BO1006),$AO$1006:$BQ$1006,0)), HYPERLINK("#",""), HYPERLINK(CONCATENATE("#Metadata!", ADDRESS(INDEX($AJ$2:$AJ$1001,MATCH(ROWS($AH$2:AH78),$AH$2:$AH$1001,0),0), INDEX($AO$1004:$BQ$1004,1,MATCH(COLUMNS($AO$1006:BO1006),$AO$1006:$BQ$1006,0)))),"Fix")))</f>
        <v>#N/A</v>
      </c>
      <c r="AC78" s="5" t="e">
        <f ca="1">IF(OR(INDEX($AI$2:$AI$1001,MATCH(ROWS($AH$2:AH78),$AH$2:$AH$1001,0),1)&gt;=100000,INDEX($AO$1005:$BQ$1005,1,MATCH(COLUMNS($AO$1006:BP1006),$AO$1006:$BQ$1006,0))&gt;=100000), " ",IF(INDEX($AO$2:$BQ$1001,MATCH(ROWS($AH$2:AH78),$AH$2:$AH$1001,0),MATCH(COLUMNS($AO$1006:BP1006),$AO$1006:$BQ$1006,0)), HYPERLINK("#",""), HYPERLINK(CONCATENATE("#Metadata!", ADDRESS(INDEX($AJ$2:$AJ$1001,MATCH(ROWS($AH$2:AH78),$AH$2:$AH$1001,0),0), INDEX($AO$1004:$BQ$1004,1,MATCH(COLUMNS($AO$1006:BP1006),$AO$1006:$BQ$1006,0)))),"Fix")))</f>
        <v>#N/A</v>
      </c>
      <c r="AD78" s="5" t="e">
        <f ca="1">IF(OR(INDEX($AI$2:$AI$1001,MATCH(ROWS($AH$2:AH78),$AH$2:$AH$1001,0),1)&gt;=100000,INDEX($AO$1005:$BQ$1005,1,MATCH(COLUMNS($AO$1006:BQ1006),$AO$1006:$BQ$1006,0))&gt;=100000), " ",IF(INDEX($AO$2:$BQ$1001,MATCH(ROWS($AH$2:AH78),$AH$2:$AH$1001,0),MATCH(COLUMNS($AO$1006:BQ1006),$AO$1006:$BQ$1006,0)), HYPERLINK("#",""), HYPERLINK(CONCATENATE("#Metadata!", ADDRESS(INDEX($AJ$2:$AJ$1001,MATCH(ROWS($AH$2:AH78),$AH$2:$AH$1001,0),0), INDEX($AO$1004:$BQ$1004,1,MATCH(COLUMNS($AO$1006:BQ1006),$AO$1006:$BQ$1006,0)))),"Fix")))</f>
        <v>#REF!</v>
      </c>
      <c r="AH78">
        <f ca="1"/>
        <v>75</v>
      </c>
      <c r="AI78">
        <v>100078</v>
      </c>
      <c r="AJ78">
        <v>78</v>
      </c>
      <c r="AK78" t="b">
        <f t="shared" si="1"/>
        <v>1</v>
      </c>
      <c r="AL78" t="b">
        <f>COUNTBLANK(Metadata!B78:AD78)=COLUMNS(Metadata!B78:AD78)</f>
        <v>1</v>
      </c>
      <c r="AM78" t="str">
        <v/>
      </c>
      <c r="AO78" t="b">
        <f ca="1">AND(IF(Metadata!B78="",FALSE,TRUE),COUNTIF(Metadata!B:B, Metadata!B78) = 1,NOT(ISERROR(SUMPRODUCT(SEARCH(MID(Metadata!B78,ROW(INDIRECT("1:"&amp;LEN(Metadata!B78))), 1),"0123456789abcdefghijklmnopqrstuvwxyzABCDEFGHIJKLMNOPQRSTUVWXYZ.")))))</f>
        <v>0</v>
      </c>
      <c r="AP78" t="b">
        <f>IF(Metadata!C78="",FALSE,TRUE)</f>
        <v>0</v>
      </c>
      <c r="AQ78" t="b">
        <f>IF(Metadata!D78="",FALSE,TRUE)</f>
        <v>0</v>
      </c>
      <c r="AR78" t="b">
        <f ca="1">OR(AND(IF(Metadata!E78="",FALSE,TRUE),OR(EXACT(Metadata!E78,"not collected"),EXACT(Metadata!E78,"not provided"),EXACT(Metadata!E78,"restricted access"))),AND(IF(Metadata!E78="",FALSE,TRUE),AND(AND(IFERROR(INT(LEFT(Metadata!E78,4))&gt;1900,FALSE),IFERROR(INT(LEFT(Metadata!E78,4))&lt;=YEAR(NOW()),FALSE)), OR(MID(Metadata!E78,5,1)="", AND(AND(MID(Metadata!E78,5,1)="-",IFERROR(INT(MID(Metadata!E78,6,1))&gt;=0,FALSE),IFERROR(INT(MID(Metadata!E78,6,1))&lt;=1,FALSE),NOT(MID(Metadata!E78,7,1)=""),IFERROR(INT(MID(Metadata!E78,6,2))&gt;=1,FALSE),IFERROR(INT(MID(Metadata!E78,6,2))&lt;=12,FALSE)), OR(MID(Metadata!E78,8,1)="", AND(AND(MID(Metadata!E78,8,1)="-",IFERROR(INT(MID(Metadata!E78,9,1))&gt;=0,FALSE),IFERROR(INT(MID(Metadata!E78,9,1))&lt;=3,FALSE),NOT(MID(Metadata!E78,10,1)=""),IFERROR(INT(MID(Metadata!E78,9,2))&gt;=1,FALSE),IFERROR(INT(MID(Metadata!E78,9,2))&lt;=31,FALSE)), OR(MID(Metadata!E78,11,1)="", AND(AND(MID(Metadata!E78,11,1)=" ",IFERROR(INT(MID(Metadata!E78,12,1))&gt;=0,FALSE),IFERROR(INT(MID(Metadata!E78,12,1))&lt;=2,FALSE),NOT(MID(Metadata!E78,13,1)=""),IFERROR(INT(MID(Metadata!E78,12,2))&gt;=0,FALSE),IFERROR(INT(MID(Metadata!E78,12,2))&lt;=23,FALSE)), OR(MID(Metadata!E78,14,1)="", AND(AND(MID(Metadata!E78,14,1)=":",IFERROR(INT(MID(Metadata!E78,15,1))&gt;=0,FALSE),IFERROR(INT(MID(Metadata!E78,15,1))&lt;=5,FALSE),NOT(MID(Metadata!E78,16,1)=""),IFERROR(INT(MID(Metadata!E78,15,2))&gt;=0,FALSE),IFERROR(INT(MID(Metadata!E78,15,2))&lt;=59,FALSE)), OR(MID(Metadata!E78,17,1)="", AND(AND(MID(Metadata!E78,17,1)=":",IFERROR(INT(MID(Metadata!E78,18,1))&gt;=0,FALSE),IFERROR(INT(MID(Metadata!E78,18,1))&lt;=5,FALSE),NOT(MID(Metadata!E78,19,1)=""),IFERROR(INT(MID(Metadata!E78,18,2))&gt;=0,FALSE),IFERROR(INT(MID(Metadata!E78,18,2))&lt;=59,FALSE)), LEN(Metadata!E78)&lt;=19)))))))))))))</f>
        <v>0</v>
      </c>
      <c r="AS78" t="b">
        <f>IF(Metadata!F78="",FALSE,TRUE)</f>
        <v>0</v>
      </c>
      <c r="AT78" t="b">
        <f>OR(AND(IF(Metadata!G78="",FALSE,TRUE),OR(EXACT(Metadata!G78,"not collected"),EXACT(Metadata!G78,"not provided"))),AND(IF(Metadata!G78="",FALSE,TRUE),OR(EXACT(Metadata!G78,"TRUE"),EXACT(Metadata!G78,"FALSE"))))</f>
        <v>0</v>
      </c>
      <c r="AU78" t="b">
        <f>OR(AND(IF(Metadata!H78="",FALSE,TRUE),OR(EXACT(Metadata!H78,"not collected"),EXACT(Metadata!H78,"not provided"),EXACT(Metadata!H78,"restricted access"))),AND(IF(Metadata!H78="",FALSE,ISNUMBER(VALUE(Metadata!H78))),Metadata!H78&gt;=-413))</f>
        <v>0</v>
      </c>
      <c r="AV78" t="b">
        <f>AND(IF(Metadata!I78="",FALSE,TRUE),EXACT(Metadata!I78,"meters"))</f>
        <v>0</v>
      </c>
      <c r="AW78" t="b">
        <f>AND(IF(Metadata!J78="",FALSE,TRUE),EXACT(Metadata!J78,"free-living"))</f>
        <v>0</v>
      </c>
      <c r="AX78" t="b">
        <f>AND(IF(Metadata!K78="",FALSE,TRUE),OR(EXACT(Metadata!K78,"saline"),EXACT(Metadata!K78,"non-saline")))</f>
        <v>0</v>
      </c>
      <c r="AY78" t="b">
        <f>AND(IF(Metadata!L78="",FALSE,TRUE),OR(EXACT(Metadata!L78,"sub-surface (non-saline)"),EXACT(Metadata!L78,"surface (non-saline)"),EXACT(Metadata!L78,"water (non-saline)"),EXACT(Metadata!L78,"soil (non-saline)"),EXACT(Metadata!L78,"aerosol (non-saline)"),EXACT(Metadata!L78,"sediment (non-saline)"),EXACT(Metadata!L78,"surface (saline)"),EXACT(Metadata!L78,"water (saline)"),EXACT(Metadata!L78,"hypersaline (saline)"),EXACT(Metadata!L78,"aerosol (saline)"),EXACT(Metadata!L78,"sediment (saline)")))</f>
        <v>0</v>
      </c>
      <c r="AZ78" t="b">
        <f>IF(Metadata!M78="",FALSE,TRUE)</f>
        <v>0</v>
      </c>
      <c r="BA78" t="b">
        <f>IF(Metadata!N78="",FALSE,TRUE)</f>
        <v>0</v>
      </c>
      <c r="BB78" t="b">
        <f>IF(Metadata!O78="",FALSE,TRUE)</f>
        <v>0</v>
      </c>
      <c r="BC78" t="b">
        <f>AND(IF(Metadata!P78="",FALSE,TRUE),OR(EXACT(Metadata!P78,"air"),EXACT(Metadata!P78,"microbial mat/biofilm"),EXACT(Metadata!P78,"misc environment"),EXACT(Metadata!P78,"sediment"),EXACT(Metadata!P78,"soil"),EXACT(Metadata!P78,"wastewater/sludge"),EXACT(Metadata!P78,"water")))</f>
        <v>0</v>
      </c>
      <c r="BD78" t="b">
        <f>IF(Metadata!Q78="",FALSE,TRUE)</f>
        <v>0</v>
      </c>
      <c r="BE78" t="b">
        <f>IF(Metadata!R78="",FALSE,TRUE)</f>
        <v>0</v>
      </c>
      <c r="BF78" t="b">
        <f>OR(AND(IF(Metadata!S78="",FALSE,TRUE),OR(EXACT(Metadata!S78,"not collected"),EXACT(Metadata!S78,"not provided"),EXACT(Metadata!S78,"restricted access"))),AND(IF(Metadata!S78="",FALSE,ISNUMBER(VALUE(Metadata!S78))),Metadata!S78&gt;=-90,Metadata!S78&lt;=90))</f>
        <v>0</v>
      </c>
      <c r="BG78" t="b">
        <f>AND(IF(Metadata!T78="",FALSE,TRUE),EXACT(Metadata!T78,"Decimal degrees"))</f>
        <v>0</v>
      </c>
      <c r="BH78" t="b">
        <f>OR(AND(IF(Metadata!U78="",FALSE,TRUE),OR(EXACT(Metadata!U78,"not applicable"),EXACT(Metadata!U78,"not collected"))),IF(Metadata!U78="",FALSE,TRUE))</f>
        <v>0</v>
      </c>
      <c r="BI78" t="b">
        <f>OR(AND(IF(Metadata!V78="",FALSE,TRUE),OR(EXACT(Metadata!V78,"not collected"),EXACT(Metadata!V78,"not provided"),EXACT(Metadata!V78,"restricted access"))),AND(IF(Metadata!V78="",FALSE,ISNUMBER(VALUE(Metadata!V78))),Metadata!V78&gt;=-180,Metadata!V78&lt;=180))</f>
        <v>0</v>
      </c>
      <c r="BJ78" t="b">
        <f>AND(IF(Metadata!W78="",FALSE,TRUE),EXACT(Metadata!W78,"Decimal degrees"))</f>
        <v>0</v>
      </c>
      <c r="BK78" t="b">
        <f>IF(Metadata!X78="",FALSE,TRUE)</f>
        <v>0</v>
      </c>
      <c r="BL78" t="b">
        <f>OR(AND(IF(Metadata!Y78="",FALSE,TRUE),OR(EXACT(Metadata!Y78,"not collected"),EXACT(Metadata!Y78,"not provided"),EXACT(Metadata!Y78,"restricted access"))),AND(IF(Metadata!Y78="",FALSE,TRUE),OR(EXACT(Metadata!Y78,"TRUE"),EXACT(Metadata!Y78,"FALSE"))))</f>
        <v>0</v>
      </c>
      <c r="BM78" t="b">
        <f>OR(AND(IF(Metadata!Z78="",FALSE,TRUE),EXACT(Metadata!Z78,"not applicable")),AND(IF(Metadata!Z78="",FALSE,TRUE),OR(EXACT(Metadata!Z78,"beer"),EXACT(Metadata!Z78,"cheese"),EXACT(Metadata!Z78,"fresh water"),EXACT(Metadata!Z78,"marine sediment"),EXACT(Metadata!Z78,"sea water"),EXACT(Metadata!Z78,"sediment"),EXACT(Metadata!Z78,"soil"),EXACT(Metadata!Z78,"waste water"))))</f>
        <v>0</v>
      </c>
      <c r="BN78" t="b">
        <f>AND(IF(Metadata!AA78="",FALSE,TRUE),EXACT(Metadata!AA78,"metagenome"))</f>
        <v>0</v>
      </c>
      <c r="BO78" t="b">
        <f>AND(IF(Metadata!AB78="",FALSE,TRUE),EXACT(Metadata!AB78,"256318"))</f>
        <v>0</v>
      </c>
      <c r="BP78" t="b">
        <f>IF(Metadata!AC78="",FALSE,TRUE)</f>
        <v>0</v>
      </c>
      <c r="BQ78" t="b">
        <f>IF(Metadata!AD78="",FALSE,TRUE)</f>
        <v>0</v>
      </c>
    </row>
    <row r="79" spans="1:69" x14ac:dyDescent="0.2">
      <c r="A79" s="4" t="e">
        <f ca="1">IF(B79=" "," ",HYPERLINK(CONCATENATE("#metadata!",ADDRESS(INDEX($AJ$2:$AJ$1001,MATCH(ROWS($AH$2:AH79),$AH$2:$AH$1001,0),0),2)),INDEX($AM$2:$AM$1001,MATCH(ROWS($AH$2:AH79),$AH$2:$AH$1001,0),0)))</f>
        <v>#N/A</v>
      </c>
      <c r="B79" s="5" t="e">
        <f ca="1">IF(OR(INDEX($AI$2:$AI$1001,MATCH(ROWS($AH$2:AH79),$AH$2:$AH$1001,0),1)&gt;=100000,INDEX($AO$1005:$BQ$1005,1,MATCH(COLUMNS($AO$1006:AO1006),$AO$1006:$BQ$1006,0))&gt;=100000), " ",IF(INDEX($AO$2:$BQ$1001,MATCH(ROWS($AH$2:AH79),$AH$2:$AH$1001,0),MATCH(COLUMNS($AO$1006:AO1006),$AO$1006:$BQ$1006,0)), HYPERLINK("#",""), HYPERLINK(CONCATENATE("#Metadata!", ADDRESS(INDEX($AJ$2:$AJ$1001,MATCH(ROWS($AH$2:AH79),$AH$2:$AH$1001,0),0), INDEX($AO$1004:$BQ$1004,1,MATCH(COLUMNS($AO$1006:AO1006),$AO$1006:$BQ$1006,0)))),"Fix")))</f>
        <v>#N/A</v>
      </c>
      <c r="C79" s="5" t="e">
        <f ca="1">IF(OR(INDEX($AI$2:$AI$1001,MATCH(ROWS($AH$2:AH79),$AH$2:$AH$1001,0),1)&gt;=100000,INDEX($AO$1005:$BQ$1005,1,MATCH(COLUMNS($AO$1006:AP1006),$AO$1006:$BQ$1006,0))&gt;=100000), " ",IF(INDEX($AO$2:$BQ$1001,MATCH(ROWS($AH$2:AH79),$AH$2:$AH$1001,0),MATCH(COLUMNS($AO$1006:AP1006),$AO$1006:$BQ$1006,0)), HYPERLINK("#",""), HYPERLINK(CONCATENATE("#Metadata!", ADDRESS(INDEX($AJ$2:$AJ$1001,MATCH(ROWS($AH$2:AH79),$AH$2:$AH$1001,0),0), INDEX($AO$1004:$BQ$1004,1,MATCH(COLUMNS($AO$1006:AP1006),$AO$1006:$BQ$1006,0)))),"Fix")))</f>
        <v>#N/A</v>
      </c>
      <c r="D79" s="5" t="e">
        <f ca="1">IF(OR(INDEX($AI$2:$AI$1001,MATCH(ROWS($AH$2:AH79),$AH$2:$AH$1001,0),1)&gt;=100000,INDEX($AO$1005:$BQ$1005,1,MATCH(COLUMNS($AO$1006:AQ1006),$AO$1006:$BQ$1006,0))&gt;=100000), " ",IF(INDEX($AO$2:$BQ$1001,MATCH(ROWS($AH$2:AH79),$AH$2:$AH$1001,0),MATCH(COLUMNS($AO$1006:AQ1006),$AO$1006:$BQ$1006,0)), HYPERLINK("#",""), HYPERLINK(CONCATENATE("#Metadata!", ADDRESS(INDEX($AJ$2:$AJ$1001,MATCH(ROWS($AH$2:AH79),$AH$2:$AH$1001,0),0), INDEX($AO$1004:$BQ$1004,1,MATCH(COLUMNS($AO$1006:AQ1006),$AO$1006:$BQ$1006,0)))),"Fix")))</f>
        <v>#N/A</v>
      </c>
      <c r="E79" s="5" t="e">
        <f ca="1">IF(OR(INDEX($AI$2:$AI$1001,MATCH(ROWS($AH$2:AH79),$AH$2:$AH$1001,0),1)&gt;=100000,INDEX($AO$1005:$BQ$1005,1,MATCH(COLUMNS($AO$1006:AR1006),$AO$1006:$BQ$1006,0))&gt;=100000), " ",IF(INDEX($AO$2:$BQ$1001,MATCH(ROWS($AH$2:AH79),$AH$2:$AH$1001,0),MATCH(COLUMNS($AO$1006:AR1006),$AO$1006:$BQ$1006,0)), HYPERLINK("#",""), HYPERLINK(CONCATENATE("#Metadata!", ADDRESS(INDEX($AJ$2:$AJ$1001,MATCH(ROWS($AH$2:AH79),$AH$2:$AH$1001,0),0), INDEX($AO$1004:$BQ$1004,1,MATCH(COLUMNS($AO$1006:AR1006),$AO$1006:$BQ$1006,0)))),"Fix")))</f>
        <v>#N/A</v>
      </c>
      <c r="F79" s="5" t="e">
        <f ca="1">IF(OR(INDEX($AI$2:$AI$1001,MATCH(ROWS($AH$2:AH79),$AH$2:$AH$1001,0),1)&gt;=100000,INDEX($AO$1005:$BQ$1005,1,MATCH(COLUMNS($AO$1006:AS1006),$AO$1006:$BQ$1006,0))&gt;=100000), " ",IF(INDEX($AO$2:$BQ$1001,MATCH(ROWS($AH$2:AH79),$AH$2:$AH$1001,0),MATCH(COLUMNS($AO$1006:AS1006),$AO$1006:$BQ$1006,0)), HYPERLINK("#",""), HYPERLINK(CONCATENATE("#Metadata!", ADDRESS(INDEX($AJ$2:$AJ$1001,MATCH(ROWS($AH$2:AH79),$AH$2:$AH$1001,0),0), INDEX($AO$1004:$BQ$1004,1,MATCH(COLUMNS($AO$1006:AS1006),$AO$1006:$BQ$1006,0)))),"Fix")))</f>
        <v>#N/A</v>
      </c>
      <c r="G79" s="5" t="e">
        <f ca="1">IF(OR(INDEX($AI$2:$AI$1001,MATCH(ROWS($AH$2:AH79),$AH$2:$AH$1001,0),1)&gt;=100000,INDEX($AO$1005:$BQ$1005,1,MATCH(COLUMNS($AO$1006:AT1006),$AO$1006:$BQ$1006,0))&gt;=100000), " ",IF(INDEX($AO$2:$BQ$1001,MATCH(ROWS($AH$2:AH79),$AH$2:$AH$1001,0),MATCH(COLUMNS($AO$1006:AT1006),$AO$1006:$BQ$1006,0)), HYPERLINK("#",""), HYPERLINK(CONCATENATE("#Metadata!", ADDRESS(INDEX($AJ$2:$AJ$1001,MATCH(ROWS($AH$2:AH79),$AH$2:$AH$1001,0),0), INDEX($AO$1004:$BQ$1004,1,MATCH(COLUMNS($AO$1006:AT1006),$AO$1006:$BQ$1006,0)))),"Fix")))</f>
        <v>#N/A</v>
      </c>
      <c r="H79" s="5" t="e">
        <f ca="1">IF(OR(INDEX($AI$2:$AI$1001,MATCH(ROWS($AH$2:AH79),$AH$2:$AH$1001,0),1)&gt;=100000,INDEX($AO$1005:$BQ$1005,1,MATCH(COLUMNS($AO$1006:AU1006),$AO$1006:$BQ$1006,0))&gt;=100000), " ",IF(INDEX($AO$2:$BQ$1001,MATCH(ROWS($AH$2:AH79),$AH$2:$AH$1001,0),MATCH(COLUMNS($AO$1006:AU1006),$AO$1006:$BQ$1006,0)), HYPERLINK("#",""), HYPERLINK(CONCATENATE("#Metadata!", ADDRESS(INDEX($AJ$2:$AJ$1001,MATCH(ROWS($AH$2:AH79),$AH$2:$AH$1001,0),0), INDEX($AO$1004:$BQ$1004,1,MATCH(COLUMNS($AO$1006:AU1006),$AO$1006:$BQ$1006,0)))),"Fix")))</f>
        <v>#N/A</v>
      </c>
      <c r="I79" s="5" t="e">
        <f ca="1">IF(OR(INDEX($AI$2:$AI$1001,MATCH(ROWS($AH$2:AH79),$AH$2:$AH$1001,0),1)&gt;=100000,INDEX($AO$1005:$BQ$1005,1,MATCH(COLUMNS($AO$1006:AV1006),$AO$1006:$BQ$1006,0))&gt;=100000), " ",IF(INDEX($AO$2:$BQ$1001,MATCH(ROWS($AH$2:AH79),$AH$2:$AH$1001,0),MATCH(COLUMNS($AO$1006:AV1006),$AO$1006:$BQ$1006,0)), HYPERLINK("#",""), HYPERLINK(CONCATENATE("#Metadata!", ADDRESS(INDEX($AJ$2:$AJ$1001,MATCH(ROWS($AH$2:AH79),$AH$2:$AH$1001,0),0), INDEX($AO$1004:$BQ$1004,1,MATCH(COLUMNS($AO$1006:AV1006),$AO$1006:$BQ$1006,0)))),"Fix")))</f>
        <v>#N/A</v>
      </c>
      <c r="J79" s="5" t="e">
        <f ca="1">IF(OR(INDEX($AI$2:$AI$1001,MATCH(ROWS($AH$2:AH79),$AH$2:$AH$1001,0),1)&gt;=100000,INDEX($AO$1005:$BQ$1005,1,MATCH(COLUMNS($AO$1006:AW1006),$AO$1006:$BQ$1006,0))&gt;=100000), " ",IF(INDEX($AO$2:$BQ$1001,MATCH(ROWS($AH$2:AH79),$AH$2:$AH$1001,0),MATCH(COLUMNS($AO$1006:AW1006),$AO$1006:$BQ$1006,0)), HYPERLINK("#",""), HYPERLINK(CONCATENATE("#Metadata!", ADDRESS(INDEX($AJ$2:$AJ$1001,MATCH(ROWS($AH$2:AH79),$AH$2:$AH$1001,0),0), INDEX($AO$1004:$BQ$1004,1,MATCH(COLUMNS($AO$1006:AW1006),$AO$1006:$BQ$1006,0)))),"Fix")))</f>
        <v>#N/A</v>
      </c>
      <c r="K79" s="5" t="e">
        <f ca="1">IF(OR(INDEX($AI$2:$AI$1001,MATCH(ROWS($AH$2:AH79),$AH$2:$AH$1001,0),1)&gt;=100000,INDEX($AO$1005:$BQ$1005,1,MATCH(COLUMNS($AO$1006:AX1006),$AO$1006:$BQ$1006,0))&gt;=100000), " ",IF(INDEX($AO$2:$BQ$1001,MATCH(ROWS($AH$2:AH79),$AH$2:$AH$1001,0),MATCH(COLUMNS($AO$1006:AX1006),$AO$1006:$BQ$1006,0)), HYPERLINK("#",""), HYPERLINK(CONCATENATE("#Metadata!", ADDRESS(INDEX($AJ$2:$AJ$1001,MATCH(ROWS($AH$2:AH79),$AH$2:$AH$1001,0),0), INDEX($AO$1004:$BQ$1004,1,MATCH(COLUMNS($AO$1006:AX1006),$AO$1006:$BQ$1006,0)))),"Fix")))</f>
        <v>#N/A</v>
      </c>
      <c r="L79" s="5" t="e">
        <f ca="1">IF(OR(INDEX($AI$2:$AI$1001,MATCH(ROWS($AH$2:AH79),$AH$2:$AH$1001,0),1)&gt;=100000,INDEX($AO$1005:$BQ$1005,1,MATCH(COLUMNS($AO$1006:AY1006),$AO$1006:$BQ$1006,0))&gt;=100000), " ",IF(INDEX($AO$2:$BQ$1001,MATCH(ROWS($AH$2:AH79),$AH$2:$AH$1001,0),MATCH(COLUMNS($AO$1006:AY1006),$AO$1006:$BQ$1006,0)), HYPERLINK("#",""), HYPERLINK(CONCATENATE("#Metadata!", ADDRESS(INDEX($AJ$2:$AJ$1001,MATCH(ROWS($AH$2:AH79),$AH$2:$AH$1001,0),0), INDEX($AO$1004:$BQ$1004,1,MATCH(COLUMNS($AO$1006:AY1006),$AO$1006:$BQ$1006,0)))),"Fix")))</f>
        <v>#N/A</v>
      </c>
      <c r="M79" s="5" t="e">
        <f ca="1">IF(OR(INDEX($AI$2:$AI$1001,MATCH(ROWS($AH$2:AH79),$AH$2:$AH$1001,0),1)&gt;=100000,INDEX($AO$1005:$BQ$1005,1,MATCH(COLUMNS($AO$1006:AZ1006),$AO$1006:$BQ$1006,0))&gt;=100000), " ",IF(INDEX($AO$2:$BQ$1001,MATCH(ROWS($AH$2:AH79),$AH$2:$AH$1001,0),MATCH(COLUMNS($AO$1006:AZ1006),$AO$1006:$BQ$1006,0)), HYPERLINK("#",""), HYPERLINK(CONCATENATE("#Metadata!", ADDRESS(INDEX($AJ$2:$AJ$1001,MATCH(ROWS($AH$2:AH79),$AH$2:$AH$1001,0),0), INDEX($AO$1004:$BQ$1004,1,MATCH(COLUMNS($AO$1006:AZ1006),$AO$1006:$BQ$1006,0)))),"Fix")))</f>
        <v>#N/A</v>
      </c>
      <c r="N79" s="5" t="e">
        <f ca="1">IF(OR(INDEX($AI$2:$AI$1001,MATCH(ROWS($AH$2:AH79),$AH$2:$AH$1001,0),1)&gt;=100000,INDEX($AO$1005:$BQ$1005,1,MATCH(COLUMNS($AO$1006:BA1006),$AO$1006:$BQ$1006,0))&gt;=100000), " ",IF(INDEX($AO$2:$BQ$1001,MATCH(ROWS($AH$2:AH79),$AH$2:$AH$1001,0),MATCH(COLUMNS($AO$1006:BA1006),$AO$1006:$BQ$1006,0)), HYPERLINK("#",""), HYPERLINK(CONCATENATE("#Metadata!", ADDRESS(INDEX($AJ$2:$AJ$1001,MATCH(ROWS($AH$2:AH79),$AH$2:$AH$1001,0),0), INDEX($AO$1004:$BQ$1004,1,MATCH(COLUMNS($AO$1006:BA1006),$AO$1006:$BQ$1006,0)))),"Fix")))</f>
        <v>#N/A</v>
      </c>
      <c r="O79" s="5" t="e">
        <f ca="1">IF(OR(INDEX($AI$2:$AI$1001,MATCH(ROWS($AH$2:AH79),$AH$2:$AH$1001,0),1)&gt;=100000,INDEX($AO$1005:$BQ$1005,1,MATCH(COLUMNS($AO$1006:BB1006),$AO$1006:$BQ$1006,0))&gt;=100000), " ",IF(INDEX($AO$2:$BQ$1001,MATCH(ROWS($AH$2:AH79),$AH$2:$AH$1001,0),MATCH(COLUMNS($AO$1006:BB1006),$AO$1006:$BQ$1006,0)), HYPERLINK("#",""), HYPERLINK(CONCATENATE("#Metadata!", ADDRESS(INDEX($AJ$2:$AJ$1001,MATCH(ROWS($AH$2:AH79),$AH$2:$AH$1001,0),0), INDEX($AO$1004:$BQ$1004,1,MATCH(COLUMNS($AO$1006:BB1006),$AO$1006:$BQ$1006,0)))),"Fix")))</f>
        <v>#N/A</v>
      </c>
      <c r="P79" s="5" t="e">
        <f ca="1">IF(OR(INDEX($AI$2:$AI$1001,MATCH(ROWS($AH$2:AH79),$AH$2:$AH$1001,0),1)&gt;=100000,INDEX($AO$1005:$BQ$1005,1,MATCH(COLUMNS($AO$1006:BC1006),$AO$1006:$BQ$1006,0))&gt;=100000), " ",IF(INDEX($AO$2:$BQ$1001,MATCH(ROWS($AH$2:AH79),$AH$2:$AH$1001,0),MATCH(COLUMNS($AO$1006:BC1006),$AO$1006:$BQ$1006,0)), HYPERLINK("#",""), HYPERLINK(CONCATENATE("#Metadata!", ADDRESS(INDEX($AJ$2:$AJ$1001,MATCH(ROWS($AH$2:AH79),$AH$2:$AH$1001,0),0), INDEX($AO$1004:$BQ$1004,1,MATCH(COLUMNS($AO$1006:BC1006),$AO$1006:$BQ$1006,0)))),"Fix")))</f>
        <v>#N/A</v>
      </c>
      <c r="Q79" s="5" t="e">
        <f ca="1">IF(OR(INDEX($AI$2:$AI$1001,MATCH(ROWS($AH$2:AH79),$AH$2:$AH$1001,0),1)&gt;=100000,INDEX($AO$1005:$BQ$1005,1,MATCH(COLUMNS($AO$1006:BD1006),$AO$1006:$BQ$1006,0))&gt;=100000), " ",IF(INDEX($AO$2:$BQ$1001,MATCH(ROWS($AH$2:AH79),$AH$2:$AH$1001,0),MATCH(COLUMNS($AO$1006:BD1006),$AO$1006:$BQ$1006,0)), HYPERLINK("#",""), HYPERLINK(CONCATENATE("#Metadata!", ADDRESS(INDEX($AJ$2:$AJ$1001,MATCH(ROWS($AH$2:AH79),$AH$2:$AH$1001,0),0), INDEX($AO$1004:$BQ$1004,1,MATCH(COLUMNS($AO$1006:BD1006),$AO$1006:$BQ$1006,0)))),"Fix")))</f>
        <v>#N/A</v>
      </c>
      <c r="R79" s="5" t="e">
        <f ca="1">IF(OR(INDEX($AI$2:$AI$1001,MATCH(ROWS($AH$2:AH79),$AH$2:$AH$1001,0),1)&gt;=100000,INDEX($AO$1005:$BQ$1005,1,MATCH(COLUMNS($AO$1006:BE1006),$AO$1006:$BQ$1006,0))&gt;=100000), " ",IF(INDEX($AO$2:$BQ$1001,MATCH(ROWS($AH$2:AH79),$AH$2:$AH$1001,0),MATCH(COLUMNS($AO$1006:BE1006),$AO$1006:$BQ$1006,0)), HYPERLINK("#",""), HYPERLINK(CONCATENATE("#Metadata!", ADDRESS(INDEX($AJ$2:$AJ$1001,MATCH(ROWS($AH$2:AH79),$AH$2:$AH$1001,0),0), INDEX($AO$1004:$BQ$1004,1,MATCH(COLUMNS($AO$1006:BE1006),$AO$1006:$BQ$1006,0)))),"Fix")))</f>
        <v>#N/A</v>
      </c>
      <c r="S79" s="5" t="e">
        <f ca="1">IF(OR(INDEX($AI$2:$AI$1001,MATCH(ROWS($AH$2:AH79),$AH$2:$AH$1001,0),1)&gt;=100000,INDEX($AO$1005:$BQ$1005,1,MATCH(COLUMNS($AO$1006:BF1006),$AO$1006:$BQ$1006,0))&gt;=100000), " ",IF(INDEX($AO$2:$BQ$1001,MATCH(ROWS($AH$2:AH79),$AH$2:$AH$1001,0),MATCH(COLUMNS($AO$1006:BF1006),$AO$1006:$BQ$1006,0)), HYPERLINK("#",""), HYPERLINK(CONCATENATE("#Metadata!", ADDRESS(INDEX($AJ$2:$AJ$1001,MATCH(ROWS($AH$2:AH79),$AH$2:$AH$1001,0),0), INDEX($AO$1004:$BQ$1004,1,MATCH(COLUMNS($AO$1006:BF1006),$AO$1006:$BQ$1006,0)))),"Fix")))</f>
        <v>#N/A</v>
      </c>
      <c r="T79" s="5" t="e">
        <f ca="1">IF(OR(INDEX($AI$2:$AI$1001,MATCH(ROWS($AH$2:AH79),$AH$2:$AH$1001,0),1)&gt;=100000,INDEX($AO$1005:$BQ$1005,1,MATCH(COLUMNS($AO$1006:BG1006),$AO$1006:$BQ$1006,0))&gt;=100000), " ",IF(INDEX($AO$2:$BQ$1001,MATCH(ROWS($AH$2:AH79),$AH$2:$AH$1001,0),MATCH(COLUMNS($AO$1006:BG1006),$AO$1006:$BQ$1006,0)), HYPERLINK("#",""), HYPERLINK(CONCATENATE("#Metadata!", ADDRESS(INDEX($AJ$2:$AJ$1001,MATCH(ROWS($AH$2:AH79),$AH$2:$AH$1001,0),0), INDEX($AO$1004:$BQ$1004,1,MATCH(COLUMNS($AO$1006:BG1006),$AO$1006:$BQ$1006,0)))),"Fix")))</f>
        <v>#N/A</v>
      </c>
      <c r="U79" s="5" t="e">
        <f ca="1">IF(OR(INDEX($AI$2:$AI$1001,MATCH(ROWS($AH$2:AH79),$AH$2:$AH$1001,0),1)&gt;=100000,INDEX($AO$1005:$BQ$1005,1,MATCH(COLUMNS($AO$1006:BH1006),$AO$1006:$BQ$1006,0))&gt;=100000), " ",IF(INDEX($AO$2:$BQ$1001,MATCH(ROWS($AH$2:AH79),$AH$2:$AH$1001,0),MATCH(COLUMNS($AO$1006:BH1006),$AO$1006:$BQ$1006,0)), HYPERLINK("#",""), HYPERLINK(CONCATENATE("#Metadata!", ADDRESS(INDEX($AJ$2:$AJ$1001,MATCH(ROWS($AH$2:AH79),$AH$2:$AH$1001,0),0), INDEX($AO$1004:$BQ$1004,1,MATCH(COLUMNS($AO$1006:BH1006),$AO$1006:$BQ$1006,0)))),"Fix")))</f>
        <v>#N/A</v>
      </c>
      <c r="V79" s="5" t="e">
        <f ca="1">IF(OR(INDEX($AI$2:$AI$1001,MATCH(ROWS($AH$2:AH79),$AH$2:$AH$1001,0),1)&gt;=100000,INDEX($AO$1005:$BQ$1005,1,MATCH(COLUMNS($AO$1006:BI1006),$AO$1006:$BQ$1006,0))&gt;=100000), " ",IF(INDEX($AO$2:$BQ$1001,MATCH(ROWS($AH$2:AH79),$AH$2:$AH$1001,0),MATCH(COLUMNS($AO$1006:BI1006),$AO$1006:$BQ$1006,0)), HYPERLINK("#",""), HYPERLINK(CONCATENATE("#Metadata!", ADDRESS(INDEX($AJ$2:$AJ$1001,MATCH(ROWS($AH$2:AH79),$AH$2:$AH$1001,0),0), INDEX($AO$1004:$BQ$1004,1,MATCH(COLUMNS($AO$1006:BI1006),$AO$1006:$BQ$1006,0)))),"Fix")))</f>
        <v>#N/A</v>
      </c>
      <c r="W79" s="5" t="e">
        <f ca="1">IF(OR(INDEX($AI$2:$AI$1001,MATCH(ROWS($AH$2:AH79),$AH$2:$AH$1001,0),1)&gt;=100000,INDEX($AO$1005:$BQ$1005,1,MATCH(COLUMNS($AO$1006:BJ1006),$AO$1006:$BQ$1006,0))&gt;=100000), " ",IF(INDEX($AO$2:$BQ$1001,MATCH(ROWS($AH$2:AH79),$AH$2:$AH$1001,0),MATCH(COLUMNS($AO$1006:BJ1006),$AO$1006:$BQ$1006,0)), HYPERLINK("#",""), HYPERLINK(CONCATENATE("#Metadata!", ADDRESS(INDEX($AJ$2:$AJ$1001,MATCH(ROWS($AH$2:AH79),$AH$2:$AH$1001,0),0), INDEX($AO$1004:$BQ$1004,1,MATCH(COLUMNS($AO$1006:BJ1006),$AO$1006:$BQ$1006,0)))),"Fix")))</f>
        <v>#N/A</v>
      </c>
      <c r="X79" s="5" t="e">
        <f ca="1">IF(OR(INDEX($AI$2:$AI$1001,MATCH(ROWS($AH$2:AH79),$AH$2:$AH$1001,0),1)&gt;=100000,INDEX($AO$1005:$BQ$1005,1,MATCH(COLUMNS($AO$1006:BK1006),$AO$1006:$BQ$1006,0))&gt;=100000), " ",IF(INDEX($AO$2:$BQ$1001,MATCH(ROWS($AH$2:AH79),$AH$2:$AH$1001,0),MATCH(COLUMNS($AO$1006:BK1006),$AO$1006:$BQ$1006,0)), HYPERLINK("#",""), HYPERLINK(CONCATENATE("#Metadata!", ADDRESS(INDEX($AJ$2:$AJ$1001,MATCH(ROWS($AH$2:AH79),$AH$2:$AH$1001,0),0), INDEX($AO$1004:$BQ$1004,1,MATCH(COLUMNS($AO$1006:BK1006),$AO$1006:$BQ$1006,0)))),"Fix")))</f>
        <v>#N/A</v>
      </c>
      <c r="Y79" s="5" t="e">
        <f ca="1">IF(OR(INDEX($AI$2:$AI$1001,MATCH(ROWS($AH$2:AH79),$AH$2:$AH$1001,0),1)&gt;=100000,INDEX($AO$1005:$BQ$1005,1,MATCH(COLUMNS($AO$1006:BL1006),$AO$1006:$BQ$1006,0))&gt;=100000), " ",IF(INDEX($AO$2:$BQ$1001,MATCH(ROWS($AH$2:AH79),$AH$2:$AH$1001,0),MATCH(COLUMNS($AO$1006:BL1006),$AO$1006:$BQ$1006,0)), HYPERLINK("#",""), HYPERLINK(CONCATENATE("#Metadata!", ADDRESS(INDEX($AJ$2:$AJ$1001,MATCH(ROWS($AH$2:AH79),$AH$2:$AH$1001,0),0), INDEX($AO$1004:$BQ$1004,1,MATCH(COLUMNS($AO$1006:BL1006),$AO$1006:$BQ$1006,0)))),"Fix")))</f>
        <v>#N/A</v>
      </c>
      <c r="Z79" s="5" t="e">
        <f ca="1">IF(OR(INDEX($AI$2:$AI$1001,MATCH(ROWS($AH$2:AH79),$AH$2:$AH$1001,0),1)&gt;=100000,INDEX($AO$1005:$BQ$1005,1,MATCH(COLUMNS($AO$1006:BM1006),$AO$1006:$BQ$1006,0))&gt;=100000), " ",IF(INDEX($AO$2:$BQ$1001,MATCH(ROWS($AH$2:AH79),$AH$2:$AH$1001,0),MATCH(COLUMNS($AO$1006:BM1006),$AO$1006:$BQ$1006,0)), HYPERLINK("#",""), HYPERLINK(CONCATENATE("#Metadata!", ADDRESS(INDEX($AJ$2:$AJ$1001,MATCH(ROWS($AH$2:AH79),$AH$2:$AH$1001,0),0), INDEX($AO$1004:$BQ$1004,1,MATCH(COLUMNS($AO$1006:BM1006),$AO$1006:$BQ$1006,0)))),"Fix")))</f>
        <v>#N/A</v>
      </c>
      <c r="AA79" s="5" t="e">
        <f ca="1">IF(OR(INDEX($AI$2:$AI$1001,MATCH(ROWS($AH$2:AH79),$AH$2:$AH$1001,0),1)&gt;=100000,INDEX($AO$1005:$BQ$1005,1,MATCH(COLUMNS($AO$1006:BN1006),$AO$1006:$BQ$1006,0))&gt;=100000), " ",IF(INDEX($AO$2:$BQ$1001,MATCH(ROWS($AH$2:AH79),$AH$2:$AH$1001,0),MATCH(COLUMNS($AO$1006:BN1006),$AO$1006:$BQ$1006,0)), HYPERLINK("#",""), HYPERLINK(CONCATENATE("#Metadata!", ADDRESS(INDEX($AJ$2:$AJ$1001,MATCH(ROWS($AH$2:AH79),$AH$2:$AH$1001,0),0), INDEX($AO$1004:$BQ$1004,1,MATCH(COLUMNS($AO$1006:BN1006),$AO$1006:$BQ$1006,0)))),"Fix")))</f>
        <v>#N/A</v>
      </c>
      <c r="AB79" s="5" t="e">
        <f ca="1">IF(OR(INDEX($AI$2:$AI$1001,MATCH(ROWS($AH$2:AH79),$AH$2:$AH$1001,0),1)&gt;=100000,INDEX($AO$1005:$BQ$1005,1,MATCH(COLUMNS($AO$1006:BO1006),$AO$1006:$BQ$1006,0))&gt;=100000), " ",IF(INDEX($AO$2:$BQ$1001,MATCH(ROWS($AH$2:AH79),$AH$2:$AH$1001,0),MATCH(COLUMNS($AO$1006:BO1006),$AO$1006:$BQ$1006,0)), HYPERLINK("#",""), HYPERLINK(CONCATENATE("#Metadata!", ADDRESS(INDEX($AJ$2:$AJ$1001,MATCH(ROWS($AH$2:AH79),$AH$2:$AH$1001,0),0), INDEX($AO$1004:$BQ$1004,1,MATCH(COLUMNS($AO$1006:BO1006),$AO$1006:$BQ$1006,0)))),"Fix")))</f>
        <v>#N/A</v>
      </c>
      <c r="AC79" s="5" t="e">
        <f ca="1">IF(OR(INDEX($AI$2:$AI$1001,MATCH(ROWS($AH$2:AH79),$AH$2:$AH$1001,0),1)&gt;=100000,INDEX($AO$1005:$BQ$1005,1,MATCH(COLUMNS($AO$1006:BP1006),$AO$1006:$BQ$1006,0))&gt;=100000), " ",IF(INDEX($AO$2:$BQ$1001,MATCH(ROWS($AH$2:AH79),$AH$2:$AH$1001,0),MATCH(COLUMNS($AO$1006:BP1006),$AO$1006:$BQ$1006,0)), HYPERLINK("#",""), HYPERLINK(CONCATENATE("#Metadata!", ADDRESS(INDEX($AJ$2:$AJ$1001,MATCH(ROWS($AH$2:AH79),$AH$2:$AH$1001,0),0), INDEX($AO$1004:$BQ$1004,1,MATCH(COLUMNS($AO$1006:BP1006),$AO$1006:$BQ$1006,0)))),"Fix")))</f>
        <v>#N/A</v>
      </c>
      <c r="AD79" s="5" t="e">
        <f ca="1">IF(OR(INDEX($AI$2:$AI$1001,MATCH(ROWS($AH$2:AH79),$AH$2:$AH$1001,0),1)&gt;=100000,INDEX($AO$1005:$BQ$1005,1,MATCH(COLUMNS($AO$1006:BQ1006),$AO$1006:$BQ$1006,0))&gt;=100000), " ",IF(INDEX($AO$2:$BQ$1001,MATCH(ROWS($AH$2:AH79),$AH$2:$AH$1001,0),MATCH(COLUMNS($AO$1006:BQ1006),$AO$1006:$BQ$1006,0)), HYPERLINK("#",""), HYPERLINK(CONCATENATE("#Metadata!", ADDRESS(INDEX($AJ$2:$AJ$1001,MATCH(ROWS($AH$2:AH79),$AH$2:$AH$1001,0),0), INDEX($AO$1004:$BQ$1004,1,MATCH(COLUMNS($AO$1006:BQ1006),$AO$1006:$BQ$1006,0)))),"Fix")))</f>
        <v>#REF!</v>
      </c>
      <c r="AH79">
        <f ca="1"/>
        <v>76</v>
      </c>
      <c r="AI79">
        <v>100079</v>
      </c>
      <c r="AJ79">
        <v>79</v>
      </c>
      <c r="AK79" t="b">
        <f t="shared" si="1"/>
        <v>1</v>
      </c>
      <c r="AL79" t="b">
        <f>COUNTBLANK(Metadata!B79:AD79)=COLUMNS(Metadata!B79:AD79)</f>
        <v>1</v>
      </c>
      <c r="AM79" t="str">
        <v/>
      </c>
      <c r="AO79" t="b">
        <f ca="1">AND(IF(Metadata!B79="",FALSE,TRUE),COUNTIF(Metadata!B:B, Metadata!B79) = 1,NOT(ISERROR(SUMPRODUCT(SEARCH(MID(Metadata!B79,ROW(INDIRECT("1:"&amp;LEN(Metadata!B79))), 1),"0123456789abcdefghijklmnopqrstuvwxyzABCDEFGHIJKLMNOPQRSTUVWXYZ.")))))</f>
        <v>0</v>
      </c>
      <c r="AP79" t="b">
        <f>IF(Metadata!C79="",FALSE,TRUE)</f>
        <v>0</v>
      </c>
      <c r="AQ79" t="b">
        <f>IF(Metadata!D79="",FALSE,TRUE)</f>
        <v>0</v>
      </c>
      <c r="AR79" t="b">
        <f ca="1">OR(AND(IF(Metadata!E79="",FALSE,TRUE),OR(EXACT(Metadata!E79,"not collected"),EXACT(Metadata!E79,"not provided"),EXACT(Metadata!E79,"restricted access"))),AND(IF(Metadata!E79="",FALSE,TRUE),AND(AND(IFERROR(INT(LEFT(Metadata!E79,4))&gt;1900,FALSE),IFERROR(INT(LEFT(Metadata!E79,4))&lt;=YEAR(NOW()),FALSE)), OR(MID(Metadata!E79,5,1)="", AND(AND(MID(Metadata!E79,5,1)="-",IFERROR(INT(MID(Metadata!E79,6,1))&gt;=0,FALSE),IFERROR(INT(MID(Metadata!E79,6,1))&lt;=1,FALSE),NOT(MID(Metadata!E79,7,1)=""),IFERROR(INT(MID(Metadata!E79,6,2))&gt;=1,FALSE),IFERROR(INT(MID(Metadata!E79,6,2))&lt;=12,FALSE)), OR(MID(Metadata!E79,8,1)="", AND(AND(MID(Metadata!E79,8,1)="-",IFERROR(INT(MID(Metadata!E79,9,1))&gt;=0,FALSE),IFERROR(INT(MID(Metadata!E79,9,1))&lt;=3,FALSE),NOT(MID(Metadata!E79,10,1)=""),IFERROR(INT(MID(Metadata!E79,9,2))&gt;=1,FALSE),IFERROR(INT(MID(Metadata!E79,9,2))&lt;=31,FALSE)), OR(MID(Metadata!E79,11,1)="", AND(AND(MID(Metadata!E79,11,1)=" ",IFERROR(INT(MID(Metadata!E79,12,1))&gt;=0,FALSE),IFERROR(INT(MID(Metadata!E79,12,1))&lt;=2,FALSE),NOT(MID(Metadata!E79,13,1)=""),IFERROR(INT(MID(Metadata!E79,12,2))&gt;=0,FALSE),IFERROR(INT(MID(Metadata!E79,12,2))&lt;=23,FALSE)), OR(MID(Metadata!E79,14,1)="", AND(AND(MID(Metadata!E79,14,1)=":",IFERROR(INT(MID(Metadata!E79,15,1))&gt;=0,FALSE),IFERROR(INT(MID(Metadata!E79,15,1))&lt;=5,FALSE),NOT(MID(Metadata!E79,16,1)=""),IFERROR(INT(MID(Metadata!E79,15,2))&gt;=0,FALSE),IFERROR(INT(MID(Metadata!E79,15,2))&lt;=59,FALSE)), OR(MID(Metadata!E79,17,1)="", AND(AND(MID(Metadata!E79,17,1)=":",IFERROR(INT(MID(Metadata!E79,18,1))&gt;=0,FALSE),IFERROR(INT(MID(Metadata!E79,18,1))&lt;=5,FALSE),NOT(MID(Metadata!E79,19,1)=""),IFERROR(INT(MID(Metadata!E79,18,2))&gt;=0,FALSE),IFERROR(INT(MID(Metadata!E79,18,2))&lt;=59,FALSE)), LEN(Metadata!E79)&lt;=19)))))))))))))</f>
        <v>0</v>
      </c>
      <c r="AS79" t="b">
        <f>IF(Metadata!F79="",FALSE,TRUE)</f>
        <v>0</v>
      </c>
      <c r="AT79" t="b">
        <f>OR(AND(IF(Metadata!G79="",FALSE,TRUE),OR(EXACT(Metadata!G79,"not collected"),EXACT(Metadata!G79,"not provided"))),AND(IF(Metadata!G79="",FALSE,TRUE),OR(EXACT(Metadata!G79,"TRUE"),EXACT(Metadata!G79,"FALSE"))))</f>
        <v>0</v>
      </c>
      <c r="AU79" t="b">
        <f>OR(AND(IF(Metadata!H79="",FALSE,TRUE),OR(EXACT(Metadata!H79,"not collected"),EXACT(Metadata!H79,"not provided"),EXACT(Metadata!H79,"restricted access"))),AND(IF(Metadata!H79="",FALSE,ISNUMBER(VALUE(Metadata!H79))),Metadata!H79&gt;=-413))</f>
        <v>0</v>
      </c>
      <c r="AV79" t="b">
        <f>AND(IF(Metadata!I79="",FALSE,TRUE),EXACT(Metadata!I79,"meters"))</f>
        <v>0</v>
      </c>
      <c r="AW79" t="b">
        <f>AND(IF(Metadata!J79="",FALSE,TRUE),EXACT(Metadata!J79,"free-living"))</f>
        <v>0</v>
      </c>
      <c r="AX79" t="b">
        <f>AND(IF(Metadata!K79="",FALSE,TRUE),OR(EXACT(Metadata!K79,"saline"),EXACT(Metadata!K79,"non-saline")))</f>
        <v>0</v>
      </c>
      <c r="AY79" t="b">
        <f>AND(IF(Metadata!L79="",FALSE,TRUE),OR(EXACT(Metadata!L79,"sub-surface (non-saline)"),EXACT(Metadata!L79,"surface (non-saline)"),EXACT(Metadata!L79,"water (non-saline)"),EXACT(Metadata!L79,"soil (non-saline)"),EXACT(Metadata!L79,"aerosol (non-saline)"),EXACT(Metadata!L79,"sediment (non-saline)"),EXACT(Metadata!L79,"surface (saline)"),EXACT(Metadata!L79,"water (saline)"),EXACT(Metadata!L79,"hypersaline (saline)"),EXACT(Metadata!L79,"aerosol (saline)"),EXACT(Metadata!L79,"sediment (saline)")))</f>
        <v>0</v>
      </c>
      <c r="AZ79" t="b">
        <f>IF(Metadata!M79="",FALSE,TRUE)</f>
        <v>0</v>
      </c>
      <c r="BA79" t="b">
        <f>IF(Metadata!N79="",FALSE,TRUE)</f>
        <v>0</v>
      </c>
      <c r="BB79" t="b">
        <f>IF(Metadata!O79="",FALSE,TRUE)</f>
        <v>0</v>
      </c>
      <c r="BC79" t="b">
        <f>AND(IF(Metadata!P79="",FALSE,TRUE),OR(EXACT(Metadata!P79,"air"),EXACT(Metadata!P79,"microbial mat/biofilm"),EXACT(Metadata!P79,"misc environment"),EXACT(Metadata!P79,"sediment"),EXACT(Metadata!P79,"soil"),EXACT(Metadata!P79,"wastewater/sludge"),EXACT(Metadata!P79,"water")))</f>
        <v>0</v>
      </c>
      <c r="BD79" t="b">
        <f>IF(Metadata!Q79="",FALSE,TRUE)</f>
        <v>0</v>
      </c>
      <c r="BE79" t="b">
        <f>IF(Metadata!R79="",FALSE,TRUE)</f>
        <v>0</v>
      </c>
      <c r="BF79" t="b">
        <f>OR(AND(IF(Metadata!S79="",FALSE,TRUE),OR(EXACT(Metadata!S79,"not collected"),EXACT(Metadata!S79,"not provided"),EXACT(Metadata!S79,"restricted access"))),AND(IF(Metadata!S79="",FALSE,ISNUMBER(VALUE(Metadata!S79))),Metadata!S79&gt;=-90,Metadata!S79&lt;=90))</f>
        <v>0</v>
      </c>
      <c r="BG79" t="b">
        <f>AND(IF(Metadata!T79="",FALSE,TRUE),EXACT(Metadata!T79,"Decimal degrees"))</f>
        <v>0</v>
      </c>
      <c r="BH79" t="b">
        <f>OR(AND(IF(Metadata!U79="",FALSE,TRUE),OR(EXACT(Metadata!U79,"not applicable"),EXACT(Metadata!U79,"not collected"))),IF(Metadata!U79="",FALSE,TRUE))</f>
        <v>0</v>
      </c>
      <c r="BI79" t="b">
        <f>OR(AND(IF(Metadata!V79="",FALSE,TRUE),OR(EXACT(Metadata!V79,"not collected"),EXACT(Metadata!V79,"not provided"),EXACT(Metadata!V79,"restricted access"))),AND(IF(Metadata!V79="",FALSE,ISNUMBER(VALUE(Metadata!V79))),Metadata!V79&gt;=-180,Metadata!V79&lt;=180))</f>
        <v>0</v>
      </c>
      <c r="BJ79" t="b">
        <f>AND(IF(Metadata!W79="",FALSE,TRUE),EXACT(Metadata!W79,"Decimal degrees"))</f>
        <v>0</v>
      </c>
      <c r="BK79" t="b">
        <f>IF(Metadata!X79="",FALSE,TRUE)</f>
        <v>0</v>
      </c>
      <c r="BL79" t="b">
        <f>OR(AND(IF(Metadata!Y79="",FALSE,TRUE),OR(EXACT(Metadata!Y79,"not collected"),EXACT(Metadata!Y79,"not provided"),EXACT(Metadata!Y79,"restricted access"))),AND(IF(Metadata!Y79="",FALSE,TRUE),OR(EXACT(Metadata!Y79,"TRUE"),EXACT(Metadata!Y79,"FALSE"))))</f>
        <v>0</v>
      </c>
      <c r="BM79" t="b">
        <f>OR(AND(IF(Metadata!Z79="",FALSE,TRUE),EXACT(Metadata!Z79,"not applicable")),AND(IF(Metadata!Z79="",FALSE,TRUE),OR(EXACT(Metadata!Z79,"beer"),EXACT(Metadata!Z79,"cheese"),EXACT(Metadata!Z79,"fresh water"),EXACT(Metadata!Z79,"marine sediment"),EXACT(Metadata!Z79,"sea water"),EXACT(Metadata!Z79,"sediment"),EXACT(Metadata!Z79,"soil"),EXACT(Metadata!Z79,"waste water"))))</f>
        <v>0</v>
      </c>
      <c r="BN79" t="b">
        <f>AND(IF(Metadata!AA79="",FALSE,TRUE),EXACT(Metadata!AA79,"metagenome"))</f>
        <v>0</v>
      </c>
      <c r="BO79" t="b">
        <f>AND(IF(Metadata!AB79="",FALSE,TRUE),EXACT(Metadata!AB79,"256318"))</f>
        <v>0</v>
      </c>
      <c r="BP79" t="b">
        <f>IF(Metadata!AC79="",FALSE,TRUE)</f>
        <v>0</v>
      </c>
      <c r="BQ79" t="b">
        <f>IF(Metadata!AD79="",FALSE,TRUE)</f>
        <v>0</v>
      </c>
    </row>
    <row r="80" spans="1:69" x14ac:dyDescent="0.2">
      <c r="A80" s="4" t="e">
        <f ca="1">IF(B80=" "," ",HYPERLINK(CONCATENATE("#metadata!",ADDRESS(INDEX($AJ$2:$AJ$1001,MATCH(ROWS($AH$2:AH80),$AH$2:$AH$1001,0),0),2)),INDEX($AM$2:$AM$1001,MATCH(ROWS($AH$2:AH80),$AH$2:$AH$1001,0),0)))</f>
        <v>#N/A</v>
      </c>
      <c r="B80" s="5" t="e">
        <f ca="1">IF(OR(INDEX($AI$2:$AI$1001,MATCH(ROWS($AH$2:AH80),$AH$2:$AH$1001,0),1)&gt;=100000,INDEX($AO$1005:$BQ$1005,1,MATCH(COLUMNS($AO$1006:AO1006),$AO$1006:$BQ$1006,0))&gt;=100000), " ",IF(INDEX($AO$2:$BQ$1001,MATCH(ROWS($AH$2:AH80),$AH$2:$AH$1001,0),MATCH(COLUMNS($AO$1006:AO1006),$AO$1006:$BQ$1006,0)), HYPERLINK("#",""), HYPERLINK(CONCATENATE("#Metadata!", ADDRESS(INDEX($AJ$2:$AJ$1001,MATCH(ROWS($AH$2:AH80),$AH$2:$AH$1001,0),0), INDEX($AO$1004:$BQ$1004,1,MATCH(COLUMNS($AO$1006:AO1006),$AO$1006:$BQ$1006,0)))),"Fix")))</f>
        <v>#N/A</v>
      </c>
      <c r="C80" s="5" t="e">
        <f ca="1">IF(OR(INDEX($AI$2:$AI$1001,MATCH(ROWS($AH$2:AH80),$AH$2:$AH$1001,0),1)&gt;=100000,INDEX($AO$1005:$BQ$1005,1,MATCH(COLUMNS($AO$1006:AP1006),$AO$1006:$BQ$1006,0))&gt;=100000), " ",IF(INDEX($AO$2:$BQ$1001,MATCH(ROWS($AH$2:AH80),$AH$2:$AH$1001,0),MATCH(COLUMNS($AO$1006:AP1006),$AO$1006:$BQ$1006,0)), HYPERLINK("#",""), HYPERLINK(CONCATENATE("#Metadata!", ADDRESS(INDEX($AJ$2:$AJ$1001,MATCH(ROWS($AH$2:AH80),$AH$2:$AH$1001,0),0), INDEX($AO$1004:$BQ$1004,1,MATCH(COLUMNS($AO$1006:AP1006),$AO$1006:$BQ$1006,0)))),"Fix")))</f>
        <v>#N/A</v>
      </c>
      <c r="D80" s="5" t="e">
        <f ca="1">IF(OR(INDEX($AI$2:$AI$1001,MATCH(ROWS($AH$2:AH80),$AH$2:$AH$1001,0),1)&gt;=100000,INDEX($AO$1005:$BQ$1005,1,MATCH(COLUMNS($AO$1006:AQ1006),$AO$1006:$BQ$1006,0))&gt;=100000), " ",IF(INDEX($AO$2:$BQ$1001,MATCH(ROWS($AH$2:AH80),$AH$2:$AH$1001,0),MATCH(COLUMNS($AO$1006:AQ1006),$AO$1006:$BQ$1006,0)), HYPERLINK("#",""), HYPERLINK(CONCATENATE("#Metadata!", ADDRESS(INDEX($AJ$2:$AJ$1001,MATCH(ROWS($AH$2:AH80),$AH$2:$AH$1001,0),0), INDEX($AO$1004:$BQ$1004,1,MATCH(COLUMNS($AO$1006:AQ1006),$AO$1006:$BQ$1006,0)))),"Fix")))</f>
        <v>#N/A</v>
      </c>
      <c r="E80" s="5" t="e">
        <f ca="1">IF(OR(INDEX($AI$2:$AI$1001,MATCH(ROWS($AH$2:AH80),$AH$2:$AH$1001,0),1)&gt;=100000,INDEX($AO$1005:$BQ$1005,1,MATCH(COLUMNS($AO$1006:AR1006),$AO$1006:$BQ$1006,0))&gt;=100000), " ",IF(INDEX($AO$2:$BQ$1001,MATCH(ROWS($AH$2:AH80),$AH$2:$AH$1001,0),MATCH(COLUMNS($AO$1006:AR1006),$AO$1006:$BQ$1006,0)), HYPERLINK("#",""), HYPERLINK(CONCATENATE("#Metadata!", ADDRESS(INDEX($AJ$2:$AJ$1001,MATCH(ROWS($AH$2:AH80),$AH$2:$AH$1001,0),0), INDEX($AO$1004:$BQ$1004,1,MATCH(COLUMNS($AO$1006:AR1006),$AO$1006:$BQ$1006,0)))),"Fix")))</f>
        <v>#N/A</v>
      </c>
      <c r="F80" s="5" t="e">
        <f ca="1">IF(OR(INDEX($AI$2:$AI$1001,MATCH(ROWS($AH$2:AH80),$AH$2:$AH$1001,0),1)&gt;=100000,INDEX($AO$1005:$BQ$1005,1,MATCH(COLUMNS($AO$1006:AS1006),$AO$1006:$BQ$1006,0))&gt;=100000), " ",IF(INDEX($AO$2:$BQ$1001,MATCH(ROWS($AH$2:AH80),$AH$2:$AH$1001,0),MATCH(COLUMNS($AO$1006:AS1006),$AO$1006:$BQ$1006,0)), HYPERLINK("#",""), HYPERLINK(CONCATENATE("#Metadata!", ADDRESS(INDEX($AJ$2:$AJ$1001,MATCH(ROWS($AH$2:AH80),$AH$2:$AH$1001,0),0), INDEX($AO$1004:$BQ$1004,1,MATCH(COLUMNS($AO$1006:AS1006),$AO$1006:$BQ$1006,0)))),"Fix")))</f>
        <v>#N/A</v>
      </c>
      <c r="G80" s="5" t="e">
        <f ca="1">IF(OR(INDEX($AI$2:$AI$1001,MATCH(ROWS($AH$2:AH80),$AH$2:$AH$1001,0),1)&gt;=100000,INDEX($AO$1005:$BQ$1005,1,MATCH(COLUMNS($AO$1006:AT1006),$AO$1006:$BQ$1006,0))&gt;=100000), " ",IF(INDEX($AO$2:$BQ$1001,MATCH(ROWS($AH$2:AH80),$AH$2:$AH$1001,0),MATCH(COLUMNS($AO$1006:AT1006),$AO$1006:$BQ$1006,0)), HYPERLINK("#",""), HYPERLINK(CONCATENATE("#Metadata!", ADDRESS(INDEX($AJ$2:$AJ$1001,MATCH(ROWS($AH$2:AH80),$AH$2:$AH$1001,0),0), INDEX($AO$1004:$BQ$1004,1,MATCH(COLUMNS($AO$1006:AT1006),$AO$1006:$BQ$1006,0)))),"Fix")))</f>
        <v>#N/A</v>
      </c>
      <c r="H80" s="5" t="e">
        <f ca="1">IF(OR(INDEX($AI$2:$AI$1001,MATCH(ROWS($AH$2:AH80),$AH$2:$AH$1001,0),1)&gt;=100000,INDEX($AO$1005:$BQ$1005,1,MATCH(COLUMNS($AO$1006:AU1006),$AO$1006:$BQ$1006,0))&gt;=100000), " ",IF(INDEX($AO$2:$BQ$1001,MATCH(ROWS($AH$2:AH80),$AH$2:$AH$1001,0),MATCH(COLUMNS($AO$1006:AU1006),$AO$1006:$BQ$1006,0)), HYPERLINK("#",""), HYPERLINK(CONCATENATE("#Metadata!", ADDRESS(INDEX($AJ$2:$AJ$1001,MATCH(ROWS($AH$2:AH80),$AH$2:$AH$1001,0),0), INDEX($AO$1004:$BQ$1004,1,MATCH(COLUMNS($AO$1006:AU1006),$AO$1006:$BQ$1006,0)))),"Fix")))</f>
        <v>#N/A</v>
      </c>
      <c r="I80" s="5" t="e">
        <f ca="1">IF(OR(INDEX($AI$2:$AI$1001,MATCH(ROWS($AH$2:AH80),$AH$2:$AH$1001,0),1)&gt;=100000,INDEX($AO$1005:$BQ$1005,1,MATCH(COLUMNS($AO$1006:AV1006),$AO$1006:$BQ$1006,0))&gt;=100000), " ",IF(INDEX($AO$2:$BQ$1001,MATCH(ROWS($AH$2:AH80),$AH$2:$AH$1001,0),MATCH(COLUMNS($AO$1006:AV1006),$AO$1006:$BQ$1006,0)), HYPERLINK("#",""), HYPERLINK(CONCATENATE("#Metadata!", ADDRESS(INDEX($AJ$2:$AJ$1001,MATCH(ROWS($AH$2:AH80),$AH$2:$AH$1001,0),0), INDEX($AO$1004:$BQ$1004,1,MATCH(COLUMNS($AO$1006:AV1006),$AO$1006:$BQ$1006,0)))),"Fix")))</f>
        <v>#N/A</v>
      </c>
      <c r="J80" s="5" t="e">
        <f ca="1">IF(OR(INDEX($AI$2:$AI$1001,MATCH(ROWS($AH$2:AH80),$AH$2:$AH$1001,0),1)&gt;=100000,INDEX($AO$1005:$BQ$1005,1,MATCH(COLUMNS($AO$1006:AW1006),$AO$1006:$BQ$1006,0))&gt;=100000), " ",IF(INDEX($AO$2:$BQ$1001,MATCH(ROWS($AH$2:AH80),$AH$2:$AH$1001,0),MATCH(COLUMNS($AO$1006:AW1006),$AO$1006:$BQ$1006,0)), HYPERLINK("#",""), HYPERLINK(CONCATENATE("#Metadata!", ADDRESS(INDEX($AJ$2:$AJ$1001,MATCH(ROWS($AH$2:AH80),$AH$2:$AH$1001,0),0), INDEX($AO$1004:$BQ$1004,1,MATCH(COLUMNS($AO$1006:AW1006),$AO$1006:$BQ$1006,0)))),"Fix")))</f>
        <v>#N/A</v>
      </c>
      <c r="K80" s="5" t="e">
        <f ca="1">IF(OR(INDEX($AI$2:$AI$1001,MATCH(ROWS($AH$2:AH80),$AH$2:$AH$1001,0),1)&gt;=100000,INDEX($AO$1005:$BQ$1005,1,MATCH(COLUMNS($AO$1006:AX1006),$AO$1006:$BQ$1006,0))&gt;=100000), " ",IF(INDEX($AO$2:$BQ$1001,MATCH(ROWS($AH$2:AH80),$AH$2:$AH$1001,0),MATCH(COLUMNS($AO$1006:AX1006),$AO$1006:$BQ$1006,0)), HYPERLINK("#",""), HYPERLINK(CONCATENATE("#Metadata!", ADDRESS(INDEX($AJ$2:$AJ$1001,MATCH(ROWS($AH$2:AH80),$AH$2:$AH$1001,0),0), INDEX($AO$1004:$BQ$1004,1,MATCH(COLUMNS($AO$1006:AX1006),$AO$1006:$BQ$1006,0)))),"Fix")))</f>
        <v>#N/A</v>
      </c>
      <c r="L80" s="5" t="e">
        <f ca="1">IF(OR(INDEX($AI$2:$AI$1001,MATCH(ROWS($AH$2:AH80),$AH$2:$AH$1001,0),1)&gt;=100000,INDEX($AO$1005:$BQ$1005,1,MATCH(COLUMNS($AO$1006:AY1006),$AO$1006:$BQ$1006,0))&gt;=100000), " ",IF(INDEX($AO$2:$BQ$1001,MATCH(ROWS($AH$2:AH80),$AH$2:$AH$1001,0),MATCH(COLUMNS($AO$1006:AY1006),$AO$1006:$BQ$1006,0)), HYPERLINK("#",""), HYPERLINK(CONCATENATE("#Metadata!", ADDRESS(INDEX($AJ$2:$AJ$1001,MATCH(ROWS($AH$2:AH80),$AH$2:$AH$1001,0),0), INDEX($AO$1004:$BQ$1004,1,MATCH(COLUMNS($AO$1006:AY1006),$AO$1006:$BQ$1006,0)))),"Fix")))</f>
        <v>#N/A</v>
      </c>
      <c r="M80" s="5" t="e">
        <f ca="1">IF(OR(INDEX($AI$2:$AI$1001,MATCH(ROWS($AH$2:AH80),$AH$2:$AH$1001,0),1)&gt;=100000,INDEX($AO$1005:$BQ$1005,1,MATCH(COLUMNS($AO$1006:AZ1006),$AO$1006:$BQ$1006,0))&gt;=100000), " ",IF(INDEX($AO$2:$BQ$1001,MATCH(ROWS($AH$2:AH80),$AH$2:$AH$1001,0),MATCH(COLUMNS($AO$1006:AZ1006),$AO$1006:$BQ$1006,0)), HYPERLINK("#",""), HYPERLINK(CONCATENATE("#Metadata!", ADDRESS(INDEX($AJ$2:$AJ$1001,MATCH(ROWS($AH$2:AH80),$AH$2:$AH$1001,0),0), INDEX($AO$1004:$BQ$1004,1,MATCH(COLUMNS($AO$1006:AZ1006),$AO$1006:$BQ$1006,0)))),"Fix")))</f>
        <v>#N/A</v>
      </c>
      <c r="N80" s="5" t="e">
        <f ca="1">IF(OR(INDEX($AI$2:$AI$1001,MATCH(ROWS($AH$2:AH80),$AH$2:$AH$1001,0),1)&gt;=100000,INDEX($AO$1005:$BQ$1005,1,MATCH(COLUMNS($AO$1006:BA1006),$AO$1006:$BQ$1006,0))&gt;=100000), " ",IF(INDEX($AO$2:$BQ$1001,MATCH(ROWS($AH$2:AH80),$AH$2:$AH$1001,0),MATCH(COLUMNS($AO$1006:BA1006),$AO$1006:$BQ$1006,0)), HYPERLINK("#",""), HYPERLINK(CONCATENATE("#Metadata!", ADDRESS(INDEX($AJ$2:$AJ$1001,MATCH(ROWS($AH$2:AH80),$AH$2:$AH$1001,0),0), INDEX($AO$1004:$BQ$1004,1,MATCH(COLUMNS($AO$1006:BA1006),$AO$1006:$BQ$1006,0)))),"Fix")))</f>
        <v>#N/A</v>
      </c>
      <c r="O80" s="5" t="e">
        <f ca="1">IF(OR(INDEX($AI$2:$AI$1001,MATCH(ROWS($AH$2:AH80),$AH$2:$AH$1001,0),1)&gt;=100000,INDEX($AO$1005:$BQ$1005,1,MATCH(COLUMNS($AO$1006:BB1006),$AO$1006:$BQ$1006,0))&gt;=100000), " ",IF(INDEX($AO$2:$BQ$1001,MATCH(ROWS($AH$2:AH80),$AH$2:$AH$1001,0),MATCH(COLUMNS($AO$1006:BB1006),$AO$1006:$BQ$1006,0)), HYPERLINK("#",""), HYPERLINK(CONCATENATE("#Metadata!", ADDRESS(INDEX($AJ$2:$AJ$1001,MATCH(ROWS($AH$2:AH80),$AH$2:$AH$1001,0),0), INDEX($AO$1004:$BQ$1004,1,MATCH(COLUMNS($AO$1006:BB1006),$AO$1006:$BQ$1006,0)))),"Fix")))</f>
        <v>#N/A</v>
      </c>
      <c r="P80" s="5" t="e">
        <f ca="1">IF(OR(INDEX($AI$2:$AI$1001,MATCH(ROWS($AH$2:AH80),$AH$2:$AH$1001,0),1)&gt;=100000,INDEX($AO$1005:$BQ$1005,1,MATCH(COLUMNS($AO$1006:BC1006),$AO$1006:$BQ$1006,0))&gt;=100000), " ",IF(INDEX($AO$2:$BQ$1001,MATCH(ROWS($AH$2:AH80),$AH$2:$AH$1001,0),MATCH(COLUMNS($AO$1006:BC1006),$AO$1006:$BQ$1006,0)), HYPERLINK("#",""), HYPERLINK(CONCATENATE("#Metadata!", ADDRESS(INDEX($AJ$2:$AJ$1001,MATCH(ROWS($AH$2:AH80),$AH$2:$AH$1001,0),0), INDEX($AO$1004:$BQ$1004,1,MATCH(COLUMNS($AO$1006:BC1006),$AO$1006:$BQ$1006,0)))),"Fix")))</f>
        <v>#N/A</v>
      </c>
      <c r="Q80" s="5" t="e">
        <f ca="1">IF(OR(INDEX($AI$2:$AI$1001,MATCH(ROWS($AH$2:AH80),$AH$2:$AH$1001,0),1)&gt;=100000,INDEX($AO$1005:$BQ$1005,1,MATCH(COLUMNS($AO$1006:BD1006),$AO$1006:$BQ$1006,0))&gt;=100000), " ",IF(INDEX($AO$2:$BQ$1001,MATCH(ROWS($AH$2:AH80),$AH$2:$AH$1001,0),MATCH(COLUMNS($AO$1006:BD1006),$AO$1006:$BQ$1006,0)), HYPERLINK("#",""), HYPERLINK(CONCATENATE("#Metadata!", ADDRESS(INDEX($AJ$2:$AJ$1001,MATCH(ROWS($AH$2:AH80),$AH$2:$AH$1001,0),0), INDEX($AO$1004:$BQ$1004,1,MATCH(COLUMNS($AO$1006:BD1006),$AO$1006:$BQ$1006,0)))),"Fix")))</f>
        <v>#N/A</v>
      </c>
      <c r="R80" s="5" t="e">
        <f ca="1">IF(OR(INDEX($AI$2:$AI$1001,MATCH(ROWS($AH$2:AH80),$AH$2:$AH$1001,0),1)&gt;=100000,INDEX($AO$1005:$BQ$1005,1,MATCH(COLUMNS($AO$1006:BE1006),$AO$1006:$BQ$1006,0))&gt;=100000), " ",IF(INDEX($AO$2:$BQ$1001,MATCH(ROWS($AH$2:AH80),$AH$2:$AH$1001,0),MATCH(COLUMNS($AO$1006:BE1006),$AO$1006:$BQ$1006,0)), HYPERLINK("#",""), HYPERLINK(CONCATENATE("#Metadata!", ADDRESS(INDEX($AJ$2:$AJ$1001,MATCH(ROWS($AH$2:AH80),$AH$2:$AH$1001,0),0), INDEX($AO$1004:$BQ$1004,1,MATCH(COLUMNS($AO$1006:BE1006),$AO$1006:$BQ$1006,0)))),"Fix")))</f>
        <v>#N/A</v>
      </c>
      <c r="S80" s="5" t="e">
        <f ca="1">IF(OR(INDEX($AI$2:$AI$1001,MATCH(ROWS($AH$2:AH80),$AH$2:$AH$1001,0),1)&gt;=100000,INDEX($AO$1005:$BQ$1005,1,MATCH(COLUMNS($AO$1006:BF1006),$AO$1006:$BQ$1006,0))&gt;=100000), " ",IF(INDEX($AO$2:$BQ$1001,MATCH(ROWS($AH$2:AH80),$AH$2:$AH$1001,0),MATCH(COLUMNS($AO$1006:BF1006),$AO$1006:$BQ$1006,0)), HYPERLINK("#",""), HYPERLINK(CONCATENATE("#Metadata!", ADDRESS(INDEX($AJ$2:$AJ$1001,MATCH(ROWS($AH$2:AH80),$AH$2:$AH$1001,0),0), INDEX($AO$1004:$BQ$1004,1,MATCH(COLUMNS($AO$1006:BF1006),$AO$1006:$BQ$1006,0)))),"Fix")))</f>
        <v>#N/A</v>
      </c>
      <c r="T80" s="5" t="e">
        <f ca="1">IF(OR(INDEX($AI$2:$AI$1001,MATCH(ROWS($AH$2:AH80),$AH$2:$AH$1001,0),1)&gt;=100000,INDEX($AO$1005:$BQ$1005,1,MATCH(COLUMNS($AO$1006:BG1006),$AO$1006:$BQ$1006,0))&gt;=100000), " ",IF(INDEX($AO$2:$BQ$1001,MATCH(ROWS($AH$2:AH80),$AH$2:$AH$1001,0),MATCH(COLUMNS($AO$1006:BG1006),$AO$1006:$BQ$1006,0)), HYPERLINK("#",""), HYPERLINK(CONCATENATE("#Metadata!", ADDRESS(INDEX($AJ$2:$AJ$1001,MATCH(ROWS($AH$2:AH80),$AH$2:$AH$1001,0),0), INDEX($AO$1004:$BQ$1004,1,MATCH(COLUMNS($AO$1006:BG1006),$AO$1006:$BQ$1006,0)))),"Fix")))</f>
        <v>#N/A</v>
      </c>
      <c r="U80" s="5" t="e">
        <f ca="1">IF(OR(INDEX($AI$2:$AI$1001,MATCH(ROWS($AH$2:AH80),$AH$2:$AH$1001,0),1)&gt;=100000,INDEX($AO$1005:$BQ$1005,1,MATCH(COLUMNS($AO$1006:BH1006),$AO$1006:$BQ$1006,0))&gt;=100000), " ",IF(INDEX($AO$2:$BQ$1001,MATCH(ROWS($AH$2:AH80),$AH$2:$AH$1001,0),MATCH(COLUMNS($AO$1006:BH1006),$AO$1006:$BQ$1006,0)), HYPERLINK("#",""), HYPERLINK(CONCATENATE("#Metadata!", ADDRESS(INDEX($AJ$2:$AJ$1001,MATCH(ROWS($AH$2:AH80),$AH$2:$AH$1001,0),0), INDEX($AO$1004:$BQ$1004,1,MATCH(COLUMNS($AO$1006:BH1006),$AO$1006:$BQ$1006,0)))),"Fix")))</f>
        <v>#N/A</v>
      </c>
      <c r="V80" s="5" t="e">
        <f ca="1">IF(OR(INDEX($AI$2:$AI$1001,MATCH(ROWS($AH$2:AH80),$AH$2:$AH$1001,0),1)&gt;=100000,INDEX($AO$1005:$BQ$1005,1,MATCH(COLUMNS($AO$1006:BI1006),$AO$1006:$BQ$1006,0))&gt;=100000), " ",IF(INDEX($AO$2:$BQ$1001,MATCH(ROWS($AH$2:AH80),$AH$2:$AH$1001,0),MATCH(COLUMNS($AO$1006:BI1006),$AO$1006:$BQ$1006,0)), HYPERLINK("#",""), HYPERLINK(CONCATENATE("#Metadata!", ADDRESS(INDEX($AJ$2:$AJ$1001,MATCH(ROWS($AH$2:AH80),$AH$2:$AH$1001,0),0), INDEX($AO$1004:$BQ$1004,1,MATCH(COLUMNS($AO$1006:BI1006),$AO$1006:$BQ$1006,0)))),"Fix")))</f>
        <v>#N/A</v>
      </c>
      <c r="W80" s="5" t="e">
        <f ca="1">IF(OR(INDEX($AI$2:$AI$1001,MATCH(ROWS($AH$2:AH80),$AH$2:$AH$1001,0),1)&gt;=100000,INDEX($AO$1005:$BQ$1005,1,MATCH(COLUMNS($AO$1006:BJ1006),$AO$1006:$BQ$1006,0))&gt;=100000), " ",IF(INDEX($AO$2:$BQ$1001,MATCH(ROWS($AH$2:AH80),$AH$2:$AH$1001,0),MATCH(COLUMNS($AO$1006:BJ1006),$AO$1006:$BQ$1006,0)), HYPERLINK("#",""), HYPERLINK(CONCATENATE("#Metadata!", ADDRESS(INDEX($AJ$2:$AJ$1001,MATCH(ROWS($AH$2:AH80),$AH$2:$AH$1001,0),0), INDEX($AO$1004:$BQ$1004,1,MATCH(COLUMNS($AO$1006:BJ1006),$AO$1006:$BQ$1006,0)))),"Fix")))</f>
        <v>#N/A</v>
      </c>
      <c r="X80" s="5" t="e">
        <f ca="1">IF(OR(INDEX($AI$2:$AI$1001,MATCH(ROWS($AH$2:AH80),$AH$2:$AH$1001,0),1)&gt;=100000,INDEX($AO$1005:$BQ$1005,1,MATCH(COLUMNS($AO$1006:BK1006),$AO$1006:$BQ$1006,0))&gt;=100000), " ",IF(INDEX($AO$2:$BQ$1001,MATCH(ROWS($AH$2:AH80),$AH$2:$AH$1001,0),MATCH(COLUMNS($AO$1006:BK1006),$AO$1006:$BQ$1006,0)), HYPERLINK("#",""), HYPERLINK(CONCATENATE("#Metadata!", ADDRESS(INDEX($AJ$2:$AJ$1001,MATCH(ROWS($AH$2:AH80),$AH$2:$AH$1001,0),0), INDEX($AO$1004:$BQ$1004,1,MATCH(COLUMNS($AO$1006:BK1006),$AO$1006:$BQ$1006,0)))),"Fix")))</f>
        <v>#N/A</v>
      </c>
      <c r="Y80" s="5" t="e">
        <f ca="1">IF(OR(INDEX($AI$2:$AI$1001,MATCH(ROWS($AH$2:AH80),$AH$2:$AH$1001,0),1)&gt;=100000,INDEX($AO$1005:$BQ$1005,1,MATCH(COLUMNS($AO$1006:BL1006),$AO$1006:$BQ$1006,0))&gt;=100000), " ",IF(INDEX($AO$2:$BQ$1001,MATCH(ROWS($AH$2:AH80),$AH$2:$AH$1001,0),MATCH(COLUMNS($AO$1006:BL1006),$AO$1006:$BQ$1006,0)), HYPERLINK("#",""), HYPERLINK(CONCATENATE("#Metadata!", ADDRESS(INDEX($AJ$2:$AJ$1001,MATCH(ROWS($AH$2:AH80),$AH$2:$AH$1001,0),0), INDEX($AO$1004:$BQ$1004,1,MATCH(COLUMNS($AO$1006:BL1006),$AO$1006:$BQ$1006,0)))),"Fix")))</f>
        <v>#N/A</v>
      </c>
      <c r="Z80" s="5" t="e">
        <f ca="1">IF(OR(INDEX($AI$2:$AI$1001,MATCH(ROWS($AH$2:AH80),$AH$2:$AH$1001,0),1)&gt;=100000,INDEX($AO$1005:$BQ$1005,1,MATCH(COLUMNS($AO$1006:BM1006),$AO$1006:$BQ$1006,0))&gt;=100000), " ",IF(INDEX($AO$2:$BQ$1001,MATCH(ROWS($AH$2:AH80),$AH$2:$AH$1001,0),MATCH(COLUMNS($AO$1006:BM1006),$AO$1006:$BQ$1006,0)), HYPERLINK("#",""), HYPERLINK(CONCATENATE("#Metadata!", ADDRESS(INDEX($AJ$2:$AJ$1001,MATCH(ROWS($AH$2:AH80),$AH$2:$AH$1001,0),0), INDEX($AO$1004:$BQ$1004,1,MATCH(COLUMNS($AO$1006:BM1006),$AO$1006:$BQ$1006,0)))),"Fix")))</f>
        <v>#N/A</v>
      </c>
      <c r="AA80" s="5" t="e">
        <f ca="1">IF(OR(INDEX($AI$2:$AI$1001,MATCH(ROWS($AH$2:AH80),$AH$2:$AH$1001,0),1)&gt;=100000,INDEX($AO$1005:$BQ$1005,1,MATCH(COLUMNS($AO$1006:BN1006),$AO$1006:$BQ$1006,0))&gt;=100000), " ",IF(INDEX($AO$2:$BQ$1001,MATCH(ROWS($AH$2:AH80),$AH$2:$AH$1001,0),MATCH(COLUMNS($AO$1006:BN1006),$AO$1006:$BQ$1006,0)), HYPERLINK("#",""), HYPERLINK(CONCATENATE("#Metadata!", ADDRESS(INDEX($AJ$2:$AJ$1001,MATCH(ROWS($AH$2:AH80),$AH$2:$AH$1001,0),0), INDEX($AO$1004:$BQ$1004,1,MATCH(COLUMNS($AO$1006:BN1006),$AO$1006:$BQ$1006,0)))),"Fix")))</f>
        <v>#N/A</v>
      </c>
      <c r="AB80" s="5" t="e">
        <f ca="1">IF(OR(INDEX($AI$2:$AI$1001,MATCH(ROWS($AH$2:AH80),$AH$2:$AH$1001,0),1)&gt;=100000,INDEX($AO$1005:$BQ$1005,1,MATCH(COLUMNS($AO$1006:BO1006),$AO$1006:$BQ$1006,0))&gt;=100000), " ",IF(INDEX($AO$2:$BQ$1001,MATCH(ROWS($AH$2:AH80),$AH$2:$AH$1001,0),MATCH(COLUMNS($AO$1006:BO1006),$AO$1006:$BQ$1006,0)), HYPERLINK("#",""), HYPERLINK(CONCATENATE("#Metadata!", ADDRESS(INDEX($AJ$2:$AJ$1001,MATCH(ROWS($AH$2:AH80),$AH$2:$AH$1001,0),0), INDEX($AO$1004:$BQ$1004,1,MATCH(COLUMNS($AO$1006:BO1006),$AO$1006:$BQ$1006,0)))),"Fix")))</f>
        <v>#N/A</v>
      </c>
      <c r="AC80" s="5" t="e">
        <f ca="1">IF(OR(INDEX($AI$2:$AI$1001,MATCH(ROWS($AH$2:AH80),$AH$2:$AH$1001,0),1)&gt;=100000,INDEX($AO$1005:$BQ$1005,1,MATCH(COLUMNS($AO$1006:BP1006),$AO$1006:$BQ$1006,0))&gt;=100000), " ",IF(INDEX($AO$2:$BQ$1001,MATCH(ROWS($AH$2:AH80),$AH$2:$AH$1001,0),MATCH(COLUMNS($AO$1006:BP1006),$AO$1006:$BQ$1006,0)), HYPERLINK("#",""), HYPERLINK(CONCATENATE("#Metadata!", ADDRESS(INDEX($AJ$2:$AJ$1001,MATCH(ROWS($AH$2:AH80),$AH$2:$AH$1001,0),0), INDEX($AO$1004:$BQ$1004,1,MATCH(COLUMNS($AO$1006:BP1006),$AO$1006:$BQ$1006,0)))),"Fix")))</f>
        <v>#N/A</v>
      </c>
      <c r="AD80" s="5" t="e">
        <f ca="1">IF(OR(INDEX($AI$2:$AI$1001,MATCH(ROWS($AH$2:AH80),$AH$2:$AH$1001,0),1)&gt;=100000,INDEX($AO$1005:$BQ$1005,1,MATCH(COLUMNS($AO$1006:BQ1006),$AO$1006:$BQ$1006,0))&gt;=100000), " ",IF(INDEX($AO$2:$BQ$1001,MATCH(ROWS($AH$2:AH80),$AH$2:$AH$1001,0),MATCH(COLUMNS($AO$1006:BQ1006),$AO$1006:$BQ$1006,0)), HYPERLINK("#",""), HYPERLINK(CONCATENATE("#Metadata!", ADDRESS(INDEX($AJ$2:$AJ$1001,MATCH(ROWS($AH$2:AH80),$AH$2:$AH$1001,0),0), INDEX($AO$1004:$BQ$1004,1,MATCH(COLUMNS($AO$1006:BQ1006),$AO$1006:$BQ$1006,0)))),"Fix")))</f>
        <v>#REF!</v>
      </c>
      <c r="AH80">
        <f ca="1"/>
        <v>77</v>
      </c>
      <c r="AI80">
        <v>100080</v>
      </c>
      <c r="AJ80">
        <v>80</v>
      </c>
      <c r="AK80" t="b">
        <f t="shared" si="1"/>
        <v>1</v>
      </c>
      <c r="AL80" t="b">
        <f>COUNTBLANK(Metadata!B80:AD80)=COLUMNS(Metadata!B80:AD80)</f>
        <v>1</v>
      </c>
      <c r="AM80" t="str">
        <v/>
      </c>
      <c r="AO80" t="b">
        <f ca="1">AND(IF(Metadata!B80="",FALSE,TRUE),COUNTIF(Metadata!B:B, Metadata!B80) = 1,NOT(ISERROR(SUMPRODUCT(SEARCH(MID(Metadata!B80,ROW(INDIRECT("1:"&amp;LEN(Metadata!B80))), 1),"0123456789abcdefghijklmnopqrstuvwxyzABCDEFGHIJKLMNOPQRSTUVWXYZ.")))))</f>
        <v>0</v>
      </c>
      <c r="AP80" t="b">
        <f>IF(Metadata!C80="",FALSE,TRUE)</f>
        <v>0</v>
      </c>
      <c r="AQ80" t="b">
        <f>IF(Metadata!D80="",FALSE,TRUE)</f>
        <v>0</v>
      </c>
      <c r="AR80" t="b">
        <f ca="1">OR(AND(IF(Metadata!E80="",FALSE,TRUE),OR(EXACT(Metadata!E80,"not collected"),EXACT(Metadata!E80,"not provided"),EXACT(Metadata!E80,"restricted access"))),AND(IF(Metadata!E80="",FALSE,TRUE),AND(AND(IFERROR(INT(LEFT(Metadata!E80,4))&gt;1900,FALSE),IFERROR(INT(LEFT(Metadata!E80,4))&lt;=YEAR(NOW()),FALSE)), OR(MID(Metadata!E80,5,1)="", AND(AND(MID(Metadata!E80,5,1)="-",IFERROR(INT(MID(Metadata!E80,6,1))&gt;=0,FALSE),IFERROR(INT(MID(Metadata!E80,6,1))&lt;=1,FALSE),NOT(MID(Metadata!E80,7,1)=""),IFERROR(INT(MID(Metadata!E80,6,2))&gt;=1,FALSE),IFERROR(INT(MID(Metadata!E80,6,2))&lt;=12,FALSE)), OR(MID(Metadata!E80,8,1)="", AND(AND(MID(Metadata!E80,8,1)="-",IFERROR(INT(MID(Metadata!E80,9,1))&gt;=0,FALSE),IFERROR(INT(MID(Metadata!E80,9,1))&lt;=3,FALSE),NOT(MID(Metadata!E80,10,1)=""),IFERROR(INT(MID(Metadata!E80,9,2))&gt;=1,FALSE),IFERROR(INT(MID(Metadata!E80,9,2))&lt;=31,FALSE)), OR(MID(Metadata!E80,11,1)="", AND(AND(MID(Metadata!E80,11,1)=" ",IFERROR(INT(MID(Metadata!E80,12,1))&gt;=0,FALSE),IFERROR(INT(MID(Metadata!E80,12,1))&lt;=2,FALSE),NOT(MID(Metadata!E80,13,1)=""),IFERROR(INT(MID(Metadata!E80,12,2))&gt;=0,FALSE),IFERROR(INT(MID(Metadata!E80,12,2))&lt;=23,FALSE)), OR(MID(Metadata!E80,14,1)="", AND(AND(MID(Metadata!E80,14,1)=":",IFERROR(INT(MID(Metadata!E80,15,1))&gt;=0,FALSE),IFERROR(INT(MID(Metadata!E80,15,1))&lt;=5,FALSE),NOT(MID(Metadata!E80,16,1)=""),IFERROR(INT(MID(Metadata!E80,15,2))&gt;=0,FALSE),IFERROR(INT(MID(Metadata!E80,15,2))&lt;=59,FALSE)), OR(MID(Metadata!E80,17,1)="", AND(AND(MID(Metadata!E80,17,1)=":",IFERROR(INT(MID(Metadata!E80,18,1))&gt;=0,FALSE),IFERROR(INT(MID(Metadata!E80,18,1))&lt;=5,FALSE),NOT(MID(Metadata!E80,19,1)=""),IFERROR(INT(MID(Metadata!E80,18,2))&gt;=0,FALSE),IFERROR(INT(MID(Metadata!E80,18,2))&lt;=59,FALSE)), LEN(Metadata!E80)&lt;=19)))))))))))))</f>
        <v>0</v>
      </c>
      <c r="AS80" t="b">
        <f>IF(Metadata!F80="",FALSE,TRUE)</f>
        <v>0</v>
      </c>
      <c r="AT80" t="b">
        <f>OR(AND(IF(Metadata!G80="",FALSE,TRUE),OR(EXACT(Metadata!G80,"not collected"),EXACT(Metadata!G80,"not provided"))),AND(IF(Metadata!G80="",FALSE,TRUE),OR(EXACT(Metadata!G80,"TRUE"),EXACT(Metadata!G80,"FALSE"))))</f>
        <v>0</v>
      </c>
      <c r="AU80" t="b">
        <f>OR(AND(IF(Metadata!H80="",FALSE,TRUE),OR(EXACT(Metadata!H80,"not collected"),EXACT(Metadata!H80,"not provided"),EXACT(Metadata!H80,"restricted access"))),AND(IF(Metadata!H80="",FALSE,ISNUMBER(VALUE(Metadata!H80))),Metadata!H80&gt;=-413))</f>
        <v>0</v>
      </c>
      <c r="AV80" t="b">
        <f>AND(IF(Metadata!I80="",FALSE,TRUE),EXACT(Metadata!I80,"meters"))</f>
        <v>0</v>
      </c>
      <c r="AW80" t="b">
        <f>AND(IF(Metadata!J80="",FALSE,TRUE),EXACT(Metadata!J80,"free-living"))</f>
        <v>0</v>
      </c>
      <c r="AX80" t="b">
        <f>AND(IF(Metadata!K80="",FALSE,TRUE),OR(EXACT(Metadata!K80,"saline"),EXACT(Metadata!K80,"non-saline")))</f>
        <v>0</v>
      </c>
      <c r="AY80" t="b">
        <f>AND(IF(Metadata!L80="",FALSE,TRUE),OR(EXACT(Metadata!L80,"sub-surface (non-saline)"),EXACT(Metadata!L80,"surface (non-saline)"),EXACT(Metadata!L80,"water (non-saline)"),EXACT(Metadata!L80,"soil (non-saline)"),EXACT(Metadata!L80,"aerosol (non-saline)"),EXACT(Metadata!L80,"sediment (non-saline)"),EXACT(Metadata!L80,"surface (saline)"),EXACT(Metadata!L80,"water (saline)"),EXACT(Metadata!L80,"hypersaline (saline)"),EXACT(Metadata!L80,"aerosol (saline)"),EXACT(Metadata!L80,"sediment (saline)")))</f>
        <v>0</v>
      </c>
      <c r="AZ80" t="b">
        <f>IF(Metadata!M80="",FALSE,TRUE)</f>
        <v>0</v>
      </c>
      <c r="BA80" t="b">
        <f>IF(Metadata!N80="",FALSE,TRUE)</f>
        <v>0</v>
      </c>
      <c r="BB80" t="b">
        <f>IF(Metadata!O80="",FALSE,TRUE)</f>
        <v>0</v>
      </c>
      <c r="BC80" t="b">
        <f>AND(IF(Metadata!P80="",FALSE,TRUE),OR(EXACT(Metadata!P80,"air"),EXACT(Metadata!P80,"microbial mat/biofilm"),EXACT(Metadata!P80,"misc environment"),EXACT(Metadata!P80,"sediment"),EXACT(Metadata!P80,"soil"),EXACT(Metadata!P80,"wastewater/sludge"),EXACT(Metadata!P80,"water")))</f>
        <v>0</v>
      </c>
      <c r="BD80" t="b">
        <f>IF(Metadata!Q80="",FALSE,TRUE)</f>
        <v>0</v>
      </c>
      <c r="BE80" t="b">
        <f>IF(Metadata!R80="",FALSE,TRUE)</f>
        <v>0</v>
      </c>
      <c r="BF80" t="b">
        <f>OR(AND(IF(Metadata!S80="",FALSE,TRUE),OR(EXACT(Metadata!S80,"not collected"),EXACT(Metadata!S80,"not provided"),EXACT(Metadata!S80,"restricted access"))),AND(IF(Metadata!S80="",FALSE,ISNUMBER(VALUE(Metadata!S80))),Metadata!S80&gt;=-90,Metadata!S80&lt;=90))</f>
        <v>0</v>
      </c>
      <c r="BG80" t="b">
        <f>AND(IF(Metadata!T80="",FALSE,TRUE),EXACT(Metadata!T80,"Decimal degrees"))</f>
        <v>0</v>
      </c>
      <c r="BH80" t="b">
        <f>OR(AND(IF(Metadata!U80="",FALSE,TRUE),OR(EXACT(Metadata!U80,"not applicable"),EXACT(Metadata!U80,"not collected"))),IF(Metadata!U80="",FALSE,TRUE))</f>
        <v>0</v>
      </c>
      <c r="BI80" t="b">
        <f>OR(AND(IF(Metadata!V80="",FALSE,TRUE),OR(EXACT(Metadata!V80,"not collected"),EXACT(Metadata!V80,"not provided"),EXACT(Metadata!V80,"restricted access"))),AND(IF(Metadata!V80="",FALSE,ISNUMBER(VALUE(Metadata!V80))),Metadata!V80&gt;=-180,Metadata!V80&lt;=180))</f>
        <v>0</v>
      </c>
      <c r="BJ80" t="b">
        <f>AND(IF(Metadata!W80="",FALSE,TRUE),EXACT(Metadata!W80,"Decimal degrees"))</f>
        <v>0</v>
      </c>
      <c r="BK80" t="b">
        <f>IF(Metadata!X80="",FALSE,TRUE)</f>
        <v>0</v>
      </c>
      <c r="BL80" t="b">
        <f>OR(AND(IF(Metadata!Y80="",FALSE,TRUE),OR(EXACT(Metadata!Y80,"not collected"),EXACT(Metadata!Y80,"not provided"),EXACT(Metadata!Y80,"restricted access"))),AND(IF(Metadata!Y80="",FALSE,TRUE),OR(EXACT(Metadata!Y80,"TRUE"),EXACT(Metadata!Y80,"FALSE"))))</f>
        <v>0</v>
      </c>
      <c r="BM80" t="b">
        <f>OR(AND(IF(Metadata!Z80="",FALSE,TRUE),EXACT(Metadata!Z80,"not applicable")),AND(IF(Metadata!Z80="",FALSE,TRUE),OR(EXACT(Metadata!Z80,"beer"),EXACT(Metadata!Z80,"cheese"),EXACT(Metadata!Z80,"fresh water"),EXACT(Metadata!Z80,"marine sediment"),EXACT(Metadata!Z80,"sea water"),EXACT(Metadata!Z80,"sediment"),EXACT(Metadata!Z80,"soil"),EXACT(Metadata!Z80,"waste water"))))</f>
        <v>0</v>
      </c>
      <c r="BN80" t="b">
        <f>AND(IF(Metadata!AA80="",FALSE,TRUE),EXACT(Metadata!AA80,"metagenome"))</f>
        <v>0</v>
      </c>
      <c r="BO80" t="b">
        <f>AND(IF(Metadata!AB80="",FALSE,TRUE),EXACT(Metadata!AB80,"256318"))</f>
        <v>0</v>
      </c>
      <c r="BP80" t="b">
        <f>IF(Metadata!AC80="",FALSE,TRUE)</f>
        <v>0</v>
      </c>
      <c r="BQ80" t="b">
        <f>IF(Metadata!AD80="",FALSE,TRUE)</f>
        <v>0</v>
      </c>
    </row>
    <row r="81" spans="1:69" x14ac:dyDescent="0.2">
      <c r="A81" s="4" t="e">
        <f ca="1">IF(B81=" "," ",HYPERLINK(CONCATENATE("#metadata!",ADDRESS(INDEX($AJ$2:$AJ$1001,MATCH(ROWS($AH$2:AH81),$AH$2:$AH$1001,0),0),2)),INDEX($AM$2:$AM$1001,MATCH(ROWS($AH$2:AH81),$AH$2:$AH$1001,0),0)))</f>
        <v>#N/A</v>
      </c>
      <c r="B81" s="5" t="e">
        <f ca="1">IF(OR(INDEX($AI$2:$AI$1001,MATCH(ROWS($AH$2:AH81),$AH$2:$AH$1001,0),1)&gt;=100000,INDEX($AO$1005:$BQ$1005,1,MATCH(COLUMNS($AO$1006:AO1006),$AO$1006:$BQ$1006,0))&gt;=100000), " ",IF(INDEX($AO$2:$BQ$1001,MATCH(ROWS($AH$2:AH81),$AH$2:$AH$1001,0),MATCH(COLUMNS($AO$1006:AO1006),$AO$1006:$BQ$1006,0)), HYPERLINK("#",""), HYPERLINK(CONCATENATE("#Metadata!", ADDRESS(INDEX($AJ$2:$AJ$1001,MATCH(ROWS($AH$2:AH81),$AH$2:$AH$1001,0),0), INDEX($AO$1004:$BQ$1004,1,MATCH(COLUMNS($AO$1006:AO1006),$AO$1006:$BQ$1006,0)))),"Fix")))</f>
        <v>#N/A</v>
      </c>
      <c r="C81" s="5" t="e">
        <f ca="1">IF(OR(INDEX($AI$2:$AI$1001,MATCH(ROWS($AH$2:AH81),$AH$2:$AH$1001,0),1)&gt;=100000,INDEX($AO$1005:$BQ$1005,1,MATCH(COLUMNS($AO$1006:AP1006),$AO$1006:$BQ$1006,0))&gt;=100000), " ",IF(INDEX($AO$2:$BQ$1001,MATCH(ROWS($AH$2:AH81),$AH$2:$AH$1001,0),MATCH(COLUMNS($AO$1006:AP1006),$AO$1006:$BQ$1006,0)), HYPERLINK("#",""), HYPERLINK(CONCATENATE("#Metadata!", ADDRESS(INDEX($AJ$2:$AJ$1001,MATCH(ROWS($AH$2:AH81),$AH$2:$AH$1001,0),0), INDEX($AO$1004:$BQ$1004,1,MATCH(COLUMNS($AO$1006:AP1006),$AO$1006:$BQ$1006,0)))),"Fix")))</f>
        <v>#N/A</v>
      </c>
      <c r="D81" s="5" t="e">
        <f ca="1">IF(OR(INDEX($AI$2:$AI$1001,MATCH(ROWS($AH$2:AH81),$AH$2:$AH$1001,0),1)&gt;=100000,INDEX($AO$1005:$BQ$1005,1,MATCH(COLUMNS($AO$1006:AQ1006),$AO$1006:$BQ$1006,0))&gt;=100000), " ",IF(INDEX($AO$2:$BQ$1001,MATCH(ROWS($AH$2:AH81),$AH$2:$AH$1001,0),MATCH(COLUMNS($AO$1006:AQ1006),$AO$1006:$BQ$1006,0)), HYPERLINK("#",""), HYPERLINK(CONCATENATE("#Metadata!", ADDRESS(INDEX($AJ$2:$AJ$1001,MATCH(ROWS($AH$2:AH81),$AH$2:$AH$1001,0),0), INDEX($AO$1004:$BQ$1004,1,MATCH(COLUMNS($AO$1006:AQ1006),$AO$1006:$BQ$1006,0)))),"Fix")))</f>
        <v>#N/A</v>
      </c>
      <c r="E81" s="5" t="e">
        <f ca="1">IF(OR(INDEX($AI$2:$AI$1001,MATCH(ROWS($AH$2:AH81),$AH$2:$AH$1001,0),1)&gt;=100000,INDEX($AO$1005:$BQ$1005,1,MATCH(COLUMNS($AO$1006:AR1006),$AO$1006:$BQ$1006,0))&gt;=100000), " ",IF(INDEX($AO$2:$BQ$1001,MATCH(ROWS($AH$2:AH81),$AH$2:$AH$1001,0),MATCH(COLUMNS($AO$1006:AR1006),$AO$1006:$BQ$1006,0)), HYPERLINK("#",""), HYPERLINK(CONCATENATE("#Metadata!", ADDRESS(INDEX($AJ$2:$AJ$1001,MATCH(ROWS($AH$2:AH81),$AH$2:$AH$1001,0),0), INDEX($AO$1004:$BQ$1004,1,MATCH(COLUMNS($AO$1006:AR1006),$AO$1006:$BQ$1006,0)))),"Fix")))</f>
        <v>#N/A</v>
      </c>
      <c r="F81" s="5" t="e">
        <f ca="1">IF(OR(INDEX($AI$2:$AI$1001,MATCH(ROWS($AH$2:AH81),$AH$2:$AH$1001,0),1)&gt;=100000,INDEX($AO$1005:$BQ$1005,1,MATCH(COLUMNS($AO$1006:AS1006),$AO$1006:$BQ$1006,0))&gt;=100000), " ",IF(INDEX($AO$2:$BQ$1001,MATCH(ROWS($AH$2:AH81),$AH$2:$AH$1001,0),MATCH(COLUMNS($AO$1006:AS1006),$AO$1006:$BQ$1006,0)), HYPERLINK("#",""), HYPERLINK(CONCATENATE("#Metadata!", ADDRESS(INDEX($AJ$2:$AJ$1001,MATCH(ROWS($AH$2:AH81),$AH$2:$AH$1001,0),0), INDEX($AO$1004:$BQ$1004,1,MATCH(COLUMNS($AO$1006:AS1006),$AO$1006:$BQ$1006,0)))),"Fix")))</f>
        <v>#N/A</v>
      </c>
      <c r="G81" s="5" t="e">
        <f ca="1">IF(OR(INDEX($AI$2:$AI$1001,MATCH(ROWS($AH$2:AH81),$AH$2:$AH$1001,0),1)&gt;=100000,INDEX($AO$1005:$BQ$1005,1,MATCH(COLUMNS($AO$1006:AT1006),$AO$1006:$BQ$1006,0))&gt;=100000), " ",IF(INDEX($AO$2:$BQ$1001,MATCH(ROWS($AH$2:AH81),$AH$2:$AH$1001,0),MATCH(COLUMNS($AO$1006:AT1006),$AO$1006:$BQ$1006,0)), HYPERLINK("#",""), HYPERLINK(CONCATENATE("#Metadata!", ADDRESS(INDEX($AJ$2:$AJ$1001,MATCH(ROWS($AH$2:AH81),$AH$2:$AH$1001,0),0), INDEX($AO$1004:$BQ$1004,1,MATCH(COLUMNS($AO$1006:AT1006),$AO$1006:$BQ$1006,0)))),"Fix")))</f>
        <v>#N/A</v>
      </c>
      <c r="H81" s="5" t="e">
        <f ca="1">IF(OR(INDEX($AI$2:$AI$1001,MATCH(ROWS($AH$2:AH81),$AH$2:$AH$1001,0),1)&gt;=100000,INDEX($AO$1005:$BQ$1005,1,MATCH(COLUMNS($AO$1006:AU1006),$AO$1006:$BQ$1006,0))&gt;=100000), " ",IF(INDEX($AO$2:$BQ$1001,MATCH(ROWS($AH$2:AH81),$AH$2:$AH$1001,0),MATCH(COLUMNS($AO$1006:AU1006),$AO$1006:$BQ$1006,0)), HYPERLINK("#",""), HYPERLINK(CONCATENATE("#Metadata!", ADDRESS(INDEX($AJ$2:$AJ$1001,MATCH(ROWS($AH$2:AH81),$AH$2:$AH$1001,0),0), INDEX($AO$1004:$BQ$1004,1,MATCH(COLUMNS($AO$1006:AU1006),$AO$1006:$BQ$1006,0)))),"Fix")))</f>
        <v>#N/A</v>
      </c>
      <c r="I81" s="5" t="e">
        <f ca="1">IF(OR(INDEX($AI$2:$AI$1001,MATCH(ROWS($AH$2:AH81),$AH$2:$AH$1001,0),1)&gt;=100000,INDEX($AO$1005:$BQ$1005,1,MATCH(COLUMNS($AO$1006:AV1006),$AO$1006:$BQ$1006,0))&gt;=100000), " ",IF(INDEX($AO$2:$BQ$1001,MATCH(ROWS($AH$2:AH81),$AH$2:$AH$1001,0),MATCH(COLUMNS($AO$1006:AV1006),$AO$1006:$BQ$1006,0)), HYPERLINK("#",""), HYPERLINK(CONCATENATE("#Metadata!", ADDRESS(INDEX($AJ$2:$AJ$1001,MATCH(ROWS($AH$2:AH81),$AH$2:$AH$1001,0),0), INDEX($AO$1004:$BQ$1004,1,MATCH(COLUMNS($AO$1006:AV1006),$AO$1006:$BQ$1006,0)))),"Fix")))</f>
        <v>#N/A</v>
      </c>
      <c r="J81" s="5" t="e">
        <f ca="1">IF(OR(INDEX($AI$2:$AI$1001,MATCH(ROWS($AH$2:AH81),$AH$2:$AH$1001,0),1)&gt;=100000,INDEX($AO$1005:$BQ$1005,1,MATCH(COLUMNS($AO$1006:AW1006),$AO$1006:$BQ$1006,0))&gt;=100000), " ",IF(INDEX($AO$2:$BQ$1001,MATCH(ROWS($AH$2:AH81),$AH$2:$AH$1001,0),MATCH(COLUMNS($AO$1006:AW1006),$AO$1006:$BQ$1006,0)), HYPERLINK("#",""), HYPERLINK(CONCATENATE("#Metadata!", ADDRESS(INDEX($AJ$2:$AJ$1001,MATCH(ROWS($AH$2:AH81),$AH$2:$AH$1001,0),0), INDEX($AO$1004:$BQ$1004,1,MATCH(COLUMNS($AO$1006:AW1006),$AO$1006:$BQ$1006,0)))),"Fix")))</f>
        <v>#N/A</v>
      </c>
      <c r="K81" s="5" t="e">
        <f ca="1">IF(OR(INDEX($AI$2:$AI$1001,MATCH(ROWS($AH$2:AH81),$AH$2:$AH$1001,0),1)&gt;=100000,INDEX($AO$1005:$BQ$1005,1,MATCH(COLUMNS($AO$1006:AX1006),$AO$1006:$BQ$1006,0))&gt;=100000), " ",IF(INDEX($AO$2:$BQ$1001,MATCH(ROWS($AH$2:AH81),$AH$2:$AH$1001,0),MATCH(COLUMNS($AO$1006:AX1006),$AO$1006:$BQ$1006,0)), HYPERLINK("#",""), HYPERLINK(CONCATENATE("#Metadata!", ADDRESS(INDEX($AJ$2:$AJ$1001,MATCH(ROWS($AH$2:AH81),$AH$2:$AH$1001,0),0), INDEX($AO$1004:$BQ$1004,1,MATCH(COLUMNS($AO$1006:AX1006),$AO$1006:$BQ$1006,0)))),"Fix")))</f>
        <v>#N/A</v>
      </c>
      <c r="L81" s="5" t="e">
        <f ca="1">IF(OR(INDEX($AI$2:$AI$1001,MATCH(ROWS($AH$2:AH81),$AH$2:$AH$1001,0),1)&gt;=100000,INDEX($AO$1005:$BQ$1005,1,MATCH(COLUMNS($AO$1006:AY1006),$AO$1006:$BQ$1006,0))&gt;=100000), " ",IF(INDEX($AO$2:$BQ$1001,MATCH(ROWS($AH$2:AH81),$AH$2:$AH$1001,0),MATCH(COLUMNS($AO$1006:AY1006),$AO$1006:$BQ$1006,0)), HYPERLINK("#",""), HYPERLINK(CONCATENATE("#Metadata!", ADDRESS(INDEX($AJ$2:$AJ$1001,MATCH(ROWS($AH$2:AH81),$AH$2:$AH$1001,0),0), INDEX($AO$1004:$BQ$1004,1,MATCH(COLUMNS($AO$1006:AY1006),$AO$1006:$BQ$1006,0)))),"Fix")))</f>
        <v>#N/A</v>
      </c>
      <c r="M81" s="5" t="e">
        <f ca="1">IF(OR(INDEX($AI$2:$AI$1001,MATCH(ROWS($AH$2:AH81),$AH$2:$AH$1001,0),1)&gt;=100000,INDEX($AO$1005:$BQ$1005,1,MATCH(COLUMNS($AO$1006:AZ1006),$AO$1006:$BQ$1006,0))&gt;=100000), " ",IF(INDEX($AO$2:$BQ$1001,MATCH(ROWS($AH$2:AH81),$AH$2:$AH$1001,0),MATCH(COLUMNS($AO$1006:AZ1006),$AO$1006:$BQ$1006,0)), HYPERLINK("#",""), HYPERLINK(CONCATENATE("#Metadata!", ADDRESS(INDEX($AJ$2:$AJ$1001,MATCH(ROWS($AH$2:AH81),$AH$2:$AH$1001,0),0), INDEX($AO$1004:$BQ$1004,1,MATCH(COLUMNS($AO$1006:AZ1006),$AO$1006:$BQ$1006,0)))),"Fix")))</f>
        <v>#N/A</v>
      </c>
      <c r="N81" s="5" t="e">
        <f ca="1">IF(OR(INDEX($AI$2:$AI$1001,MATCH(ROWS($AH$2:AH81),$AH$2:$AH$1001,0),1)&gt;=100000,INDEX($AO$1005:$BQ$1005,1,MATCH(COLUMNS($AO$1006:BA1006),$AO$1006:$BQ$1006,0))&gt;=100000), " ",IF(INDEX($AO$2:$BQ$1001,MATCH(ROWS($AH$2:AH81),$AH$2:$AH$1001,0),MATCH(COLUMNS($AO$1006:BA1006),$AO$1006:$BQ$1006,0)), HYPERLINK("#",""), HYPERLINK(CONCATENATE("#Metadata!", ADDRESS(INDEX($AJ$2:$AJ$1001,MATCH(ROWS($AH$2:AH81),$AH$2:$AH$1001,0),0), INDEX($AO$1004:$BQ$1004,1,MATCH(COLUMNS($AO$1006:BA1006),$AO$1006:$BQ$1006,0)))),"Fix")))</f>
        <v>#N/A</v>
      </c>
      <c r="O81" s="5" t="e">
        <f ca="1">IF(OR(INDEX($AI$2:$AI$1001,MATCH(ROWS($AH$2:AH81),$AH$2:$AH$1001,0),1)&gt;=100000,INDEX($AO$1005:$BQ$1005,1,MATCH(COLUMNS($AO$1006:BB1006),$AO$1006:$BQ$1006,0))&gt;=100000), " ",IF(INDEX($AO$2:$BQ$1001,MATCH(ROWS($AH$2:AH81),$AH$2:$AH$1001,0),MATCH(COLUMNS($AO$1006:BB1006),$AO$1006:$BQ$1006,0)), HYPERLINK("#",""), HYPERLINK(CONCATENATE("#Metadata!", ADDRESS(INDEX($AJ$2:$AJ$1001,MATCH(ROWS($AH$2:AH81),$AH$2:$AH$1001,0),0), INDEX($AO$1004:$BQ$1004,1,MATCH(COLUMNS($AO$1006:BB1006),$AO$1006:$BQ$1006,0)))),"Fix")))</f>
        <v>#N/A</v>
      </c>
      <c r="P81" s="5" t="e">
        <f ca="1">IF(OR(INDEX($AI$2:$AI$1001,MATCH(ROWS($AH$2:AH81),$AH$2:$AH$1001,0),1)&gt;=100000,INDEX($AO$1005:$BQ$1005,1,MATCH(COLUMNS($AO$1006:BC1006),$AO$1006:$BQ$1006,0))&gt;=100000), " ",IF(INDEX($AO$2:$BQ$1001,MATCH(ROWS($AH$2:AH81),$AH$2:$AH$1001,0),MATCH(COLUMNS($AO$1006:BC1006),$AO$1006:$BQ$1006,0)), HYPERLINK("#",""), HYPERLINK(CONCATENATE("#Metadata!", ADDRESS(INDEX($AJ$2:$AJ$1001,MATCH(ROWS($AH$2:AH81),$AH$2:$AH$1001,0),0), INDEX($AO$1004:$BQ$1004,1,MATCH(COLUMNS($AO$1006:BC1006),$AO$1006:$BQ$1006,0)))),"Fix")))</f>
        <v>#N/A</v>
      </c>
      <c r="Q81" s="5" t="e">
        <f ca="1">IF(OR(INDEX($AI$2:$AI$1001,MATCH(ROWS($AH$2:AH81),$AH$2:$AH$1001,0),1)&gt;=100000,INDEX($AO$1005:$BQ$1005,1,MATCH(COLUMNS($AO$1006:BD1006),$AO$1006:$BQ$1006,0))&gt;=100000), " ",IF(INDEX($AO$2:$BQ$1001,MATCH(ROWS($AH$2:AH81),$AH$2:$AH$1001,0),MATCH(COLUMNS($AO$1006:BD1006),$AO$1006:$BQ$1006,0)), HYPERLINK("#",""), HYPERLINK(CONCATENATE("#Metadata!", ADDRESS(INDEX($AJ$2:$AJ$1001,MATCH(ROWS($AH$2:AH81),$AH$2:$AH$1001,0),0), INDEX($AO$1004:$BQ$1004,1,MATCH(COLUMNS($AO$1006:BD1006),$AO$1006:$BQ$1006,0)))),"Fix")))</f>
        <v>#N/A</v>
      </c>
      <c r="R81" s="5" t="e">
        <f ca="1">IF(OR(INDEX($AI$2:$AI$1001,MATCH(ROWS($AH$2:AH81),$AH$2:$AH$1001,0),1)&gt;=100000,INDEX($AO$1005:$BQ$1005,1,MATCH(COLUMNS($AO$1006:BE1006),$AO$1006:$BQ$1006,0))&gt;=100000), " ",IF(INDEX($AO$2:$BQ$1001,MATCH(ROWS($AH$2:AH81),$AH$2:$AH$1001,0),MATCH(COLUMNS($AO$1006:BE1006),$AO$1006:$BQ$1006,0)), HYPERLINK("#",""), HYPERLINK(CONCATENATE("#Metadata!", ADDRESS(INDEX($AJ$2:$AJ$1001,MATCH(ROWS($AH$2:AH81),$AH$2:$AH$1001,0),0), INDEX($AO$1004:$BQ$1004,1,MATCH(COLUMNS($AO$1006:BE1006),$AO$1006:$BQ$1006,0)))),"Fix")))</f>
        <v>#N/A</v>
      </c>
      <c r="S81" s="5" t="e">
        <f ca="1">IF(OR(INDEX($AI$2:$AI$1001,MATCH(ROWS($AH$2:AH81),$AH$2:$AH$1001,0),1)&gt;=100000,INDEX($AO$1005:$BQ$1005,1,MATCH(COLUMNS($AO$1006:BF1006),$AO$1006:$BQ$1006,0))&gt;=100000), " ",IF(INDEX($AO$2:$BQ$1001,MATCH(ROWS($AH$2:AH81),$AH$2:$AH$1001,0),MATCH(COLUMNS($AO$1006:BF1006),$AO$1006:$BQ$1006,0)), HYPERLINK("#",""), HYPERLINK(CONCATENATE("#Metadata!", ADDRESS(INDEX($AJ$2:$AJ$1001,MATCH(ROWS($AH$2:AH81),$AH$2:$AH$1001,0),0), INDEX($AO$1004:$BQ$1004,1,MATCH(COLUMNS($AO$1006:BF1006),$AO$1006:$BQ$1006,0)))),"Fix")))</f>
        <v>#N/A</v>
      </c>
      <c r="T81" s="5" t="e">
        <f ca="1">IF(OR(INDEX($AI$2:$AI$1001,MATCH(ROWS($AH$2:AH81),$AH$2:$AH$1001,0),1)&gt;=100000,INDEX($AO$1005:$BQ$1005,1,MATCH(COLUMNS($AO$1006:BG1006),$AO$1006:$BQ$1006,0))&gt;=100000), " ",IF(INDEX($AO$2:$BQ$1001,MATCH(ROWS($AH$2:AH81),$AH$2:$AH$1001,0),MATCH(COLUMNS($AO$1006:BG1006),$AO$1006:$BQ$1006,0)), HYPERLINK("#",""), HYPERLINK(CONCATENATE("#Metadata!", ADDRESS(INDEX($AJ$2:$AJ$1001,MATCH(ROWS($AH$2:AH81),$AH$2:$AH$1001,0),0), INDEX($AO$1004:$BQ$1004,1,MATCH(COLUMNS($AO$1006:BG1006),$AO$1006:$BQ$1006,0)))),"Fix")))</f>
        <v>#N/A</v>
      </c>
      <c r="U81" s="5" t="e">
        <f ca="1">IF(OR(INDEX($AI$2:$AI$1001,MATCH(ROWS($AH$2:AH81),$AH$2:$AH$1001,0),1)&gt;=100000,INDEX($AO$1005:$BQ$1005,1,MATCH(COLUMNS($AO$1006:BH1006),$AO$1006:$BQ$1006,0))&gt;=100000), " ",IF(INDEX($AO$2:$BQ$1001,MATCH(ROWS($AH$2:AH81),$AH$2:$AH$1001,0),MATCH(COLUMNS($AO$1006:BH1006),$AO$1006:$BQ$1006,0)), HYPERLINK("#",""), HYPERLINK(CONCATENATE("#Metadata!", ADDRESS(INDEX($AJ$2:$AJ$1001,MATCH(ROWS($AH$2:AH81),$AH$2:$AH$1001,0),0), INDEX($AO$1004:$BQ$1004,1,MATCH(COLUMNS($AO$1006:BH1006),$AO$1006:$BQ$1006,0)))),"Fix")))</f>
        <v>#N/A</v>
      </c>
      <c r="V81" s="5" t="e">
        <f ca="1">IF(OR(INDEX($AI$2:$AI$1001,MATCH(ROWS($AH$2:AH81),$AH$2:$AH$1001,0),1)&gt;=100000,INDEX($AO$1005:$BQ$1005,1,MATCH(COLUMNS($AO$1006:BI1006),$AO$1006:$BQ$1006,0))&gt;=100000), " ",IF(INDEX($AO$2:$BQ$1001,MATCH(ROWS($AH$2:AH81),$AH$2:$AH$1001,0),MATCH(COLUMNS($AO$1006:BI1006),$AO$1006:$BQ$1006,0)), HYPERLINK("#",""), HYPERLINK(CONCATENATE("#Metadata!", ADDRESS(INDEX($AJ$2:$AJ$1001,MATCH(ROWS($AH$2:AH81),$AH$2:$AH$1001,0),0), INDEX($AO$1004:$BQ$1004,1,MATCH(COLUMNS($AO$1006:BI1006),$AO$1006:$BQ$1006,0)))),"Fix")))</f>
        <v>#N/A</v>
      </c>
      <c r="W81" s="5" t="e">
        <f ca="1">IF(OR(INDEX($AI$2:$AI$1001,MATCH(ROWS($AH$2:AH81),$AH$2:$AH$1001,0),1)&gt;=100000,INDEX($AO$1005:$BQ$1005,1,MATCH(COLUMNS($AO$1006:BJ1006),$AO$1006:$BQ$1006,0))&gt;=100000), " ",IF(INDEX($AO$2:$BQ$1001,MATCH(ROWS($AH$2:AH81),$AH$2:$AH$1001,0),MATCH(COLUMNS($AO$1006:BJ1006),$AO$1006:$BQ$1006,0)), HYPERLINK("#",""), HYPERLINK(CONCATENATE("#Metadata!", ADDRESS(INDEX($AJ$2:$AJ$1001,MATCH(ROWS($AH$2:AH81),$AH$2:$AH$1001,0),0), INDEX($AO$1004:$BQ$1004,1,MATCH(COLUMNS($AO$1006:BJ1006),$AO$1006:$BQ$1006,0)))),"Fix")))</f>
        <v>#N/A</v>
      </c>
      <c r="X81" s="5" t="e">
        <f ca="1">IF(OR(INDEX($AI$2:$AI$1001,MATCH(ROWS($AH$2:AH81),$AH$2:$AH$1001,0),1)&gt;=100000,INDEX($AO$1005:$BQ$1005,1,MATCH(COLUMNS($AO$1006:BK1006),$AO$1006:$BQ$1006,0))&gt;=100000), " ",IF(INDEX($AO$2:$BQ$1001,MATCH(ROWS($AH$2:AH81),$AH$2:$AH$1001,0),MATCH(COLUMNS($AO$1006:BK1006),$AO$1006:$BQ$1006,0)), HYPERLINK("#",""), HYPERLINK(CONCATENATE("#Metadata!", ADDRESS(INDEX($AJ$2:$AJ$1001,MATCH(ROWS($AH$2:AH81),$AH$2:$AH$1001,0),0), INDEX($AO$1004:$BQ$1004,1,MATCH(COLUMNS($AO$1006:BK1006),$AO$1006:$BQ$1006,0)))),"Fix")))</f>
        <v>#N/A</v>
      </c>
      <c r="Y81" s="5" t="e">
        <f ca="1">IF(OR(INDEX($AI$2:$AI$1001,MATCH(ROWS($AH$2:AH81),$AH$2:$AH$1001,0),1)&gt;=100000,INDEX($AO$1005:$BQ$1005,1,MATCH(COLUMNS($AO$1006:BL1006),$AO$1006:$BQ$1006,0))&gt;=100000), " ",IF(INDEX($AO$2:$BQ$1001,MATCH(ROWS($AH$2:AH81),$AH$2:$AH$1001,0),MATCH(COLUMNS($AO$1006:BL1006),$AO$1006:$BQ$1006,0)), HYPERLINK("#",""), HYPERLINK(CONCATENATE("#Metadata!", ADDRESS(INDEX($AJ$2:$AJ$1001,MATCH(ROWS($AH$2:AH81),$AH$2:$AH$1001,0),0), INDEX($AO$1004:$BQ$1004,1,MATCH(COLUMNS($AO$1006:BL1006),$AO$1006:$BQ$1006,0)))),"Fix")))</f>
        <v>#N/A</v>
      </c>
      <c r="Z81" s="5" t="e">
        <f ca="1">IF(OR(INDEX($AI$2:$AI$1001,MATCH(ROWS($AH$2:AH81),$AH$2:$AH$1001,0),1)&gt;=100000,INDEX($AO$1005:$BQ$1005,1,MATCH(COLUMNS($AO$1006:BM1006),$AO$1006:$BQ$1006,0))&gt;=100000), " ",IF(INDEX($AO$2:$BQ$1001,MATCH(ROWS($AH$2:AH81),$AH$2:$AH$1001,0),MATCH(COLUMNS($AO$1006:BM1006),$AO$1006:$BQ$1006,0)), HYPERLINK("#",""), HYPERLINK(CONCATENATE("#Metadata!", ADDRESS(INDEX($AJ$2:$AJ$1001,MATCH(ROWS($AH$2:AH81),$AH$2:$AH$1001,0),0), INDEX($AO$1004:$BQ$1004,1,MATCH(COLUMNS($AO$1006:BM1006),$AO$1006:$BQ$1006,0)))),"Fix")))</f>
        <v>#N/A</v>
      </c>
      <c r="AA81" s="5" t="e">
        <f ca="1">IF(OR(INDEX($AI$2:$AI$1001,MATCH(ROWS($AH$2:AH81),$AH$2:$AH$1001,0),1)&gt;=100000,INDEX($AO$1005:$BQ$1005,1,MATCH(COLUMNS($AO$1006:BN1006),$AO$1006:$BQ$1006,0))&gt;=100000), " ",IF(INDEX($AO$2:$BQ$1001,MATCH(ROWS($AH$2:AH81),$AH$2:$AH$1001,0),MATCH(COLUMNS($AO$1006:BN1006),$AO$1006:$BQ$1006,0)), HYPERLINK("#",""), HYPERLINK(CONCATENATE("#Metadata!", ADDRESS(INDEX($AJ$2:$AJ$1001,MATCH(ROWS($AH$2:AH81),$AH$2:$AH$1001,0),0), INDEX($AO$1004:$BQ$1004,1,MATCH(COLUMNS($AO$1006:BN1006),$AO$1006:$BQ$1006,0)))),"Fix")))</f>
        <v>#N/A</v>
      </c>
      <c r="AB81" s="5" t="e">
        <f ca="1">IF(OR(INDEX($AI$2:$AI$1001,MATCH(ROWS($AH$2:AH81),$AH$2:$AH$1001,0),1)&gt;=100000,INDEX($AO$1005:$BQ$1005,1,MATCH(COLUMNS($AO$1006:BO1006),$AO$1006:$BQ$1006,0))&gt;=100000), " ",IF(INDEX($AO$2:$BQ$1001,MATCH(ROWS($AH$2:AH81),$AH$2:$AH$1001,0),MATCH(COLUMNS($AO$1006:BO1006),$AO$1006:$BQ$1006,0)), HYPERLINK("#",""), HYPERLINK(CONCATENATE("#Metadata!", ADDRESS(INDEX($AJ$2:$AJ$1001,MATCH(ROWS($AH$2:AH81),$AH$2:$AH$1001,0),0), INDEX($AO$1004:$BQ$1004,1,MATCH(COLUMNS($AO$1006:BO1006),$AO$1006:$BQ$1006,0)))),"Fix")))</f>
        <v>#N/A</v>
      </c>
      <c r="AC81" s="5" t="e">
        <f ca="1">IF(OR(INDEX($AI$2:$AI$1001,MATCH(ROWS($AH$2:AH81),$AH$2:$AH$1001,0),1)&gt;=100000,INDEX($AO$1005:$BQ$1005,1,MATCH(COLUMNS($AO$1006:BP1006),$AO$1006:$BQ$1006,0))&gt;=100000), " ",IF(INDEX($AO$2:$BQ$1001,MATCH(ROWS($AH$2:AH81),$AH$2:$AH$1001,0),MATCH(COLUMNS($AO$1006:BP1006),$AO$1006:$BQ$1006,0)), HYPERLINK("#",""), HYPERLINK(CONCATENATE("#Metadata!", ADDRESS(INDEX($AJ$2:$AJ$1001,MATCH(ROWS($AH$2:AH81),$AH$2:$AH$1001,0),0), INDEX($AO$1004:$BQ$1004,1,MATCH(COLUMNS($AO$1006:BP1006),$AO$1006:$BQ$1006,0)))),"Fix")))</f>
        <v>#N/A</v>
      </c>
      <c r="AD81" s="5" t="e">
        <f ca="1">IF(OR(INDEX($AI$2:$AI$1001,MATCH(ROWS($AH$2:AH81),$AH$2:$AH$1001,0),1)&gt;=100000,INDEX($AO$1005:$BQ$1005,1,MATCH(COLUMNS($AO$1006:BQ1006),$AO$1006:$BQ$1006,0))&gt;=100000), " ",IF(INDEX($AO$2:$BQ$1001,MATCH(ROWS($AH$2:AH81),$AH$2:$AH$1001,0),MATCH(COLUMNS($AO$1006:BQ1006),$AO$1006:$BQ$1006,0)), HYPERLINK("#",""), HYPERLINK(CONCATENATE("#Metadata!", ADDRESS(INDEX($AJ$2:$AJ$1001,MATCH(ROWS($AH$2:AH81),$AH$2:$AH$1001,0),0), INDEX($AO$1004:$BQ$1004,1,MATCH(COLUMNS($AO$1006:BQ1006),$AO$1006:$BQ$1006,0)))),"Fix")))</f>
        <v>#REF!</v>
      </c>
      <c r="AH81">
        <f ca="1"/>
        <v>78</v>
      </c>
      <c r="AI81">
        <v>100081</v>
      </c>
      <c r="AJ81">
        <v>81</v>
      </c>
      <c r="AK81" t="b">
        <f t="shared" si="1"/>
        <v>1</v>
      </c>
      <c r="AL81" t="b">
        <f>COUNTBLANK(Metadata!B81:AD81)=COLUMNS(Metadata!B81:AD81)</f>
        <v>1</v>
      </c>
      <c r="AM81" t="str">
        <v/>
      </c>
      <c r="AO81" t="b">
        <f ca="1">AND(IF(Metadata!B81="",FALSE,TRUE),COUNTIF(Metadata!B:B, Metadata!B81) = 1,NOT(ISERROR(SUMPRODUCT(SEARCH(MID(Metadata!B81,ROW(INDIRECT("1:"&amp;LEN(Metadata!B81))), 1),"0123456789abcdefghijklmnopqrstuvwxyzABCDEFGHIJKLMNOPQRSTUVWXYZ.")))))</f>
        <v>0</v>
      </c>
      <c r="AP81" t="b">
        <f>IF(Metadata!C81="",FALSE,TRUE)</f>
        <v>0</v>
      </c>
      <c r="AQ81" t="b">
        <f>IF(Metadata!D81="",FALSE,TRUE)</f>
        <v>0</v>
      </c>
      <c r="AR81" t="b">
        <f ca="1">OR(AND(IF(Metadata!E81="",FALSE,TRUE),OR(EXACT(Metadata!E81,"not collected"),EXACT(Metadata!E81,"not provided"),EXACT(Metadata!E81,"restricted access"))),AND(IF(Metadata!E81="",FALSE,TRUE),AND(AND(IFERROR(INT(LEFT(Metadata!E81,4))&gt;1900,FALSE),IFERROR(INT(LEFT(Metadata!E81,4))&lt;=YEAR(NOW()),FALSE)), OR(MID(Metadata!E81,5,1)="", AND(AND(MID(Metadata!E81,5,1)="-",IFERROR(INT(MID(Metadata!E81,6,1))&gt;=0,FALSE),IFERROR(INT(MID(Metadata!E81,6,1))&lt;=1,FALSE),NOT(MID(Metadata!E81,7,1)=""),IFERROR(INT(MID(Metadata!E81,6,2))&gt;=1,FALSE),IFERROR(INT(MID(Metadata!E81,6,2))&lt;=12,FALSE)), OR(MID(Metadata!E81,8,1)="", AND(AND(MID(Metadata!E81,8,1)="-",IFERROR(INT(MID(Metadata!E81,9,1))&gt;=0,FALSE),IFERROR(INT(MID(Metadata!E81,9,1))&lt;=3,FALSE),NOT(MID(Metadata!E81,10,1)=""),IFERROR(INT(MID(Metadata!E81,9,2))&gt;=1,FALSE),IFERROR(INT(MID(Metadata!E81,9,2))&lt;=31,FALSE)), OR(MID(Metadata!E81,11,1)="", AND(AND(MID(Metadata!E81,11,1)=" ",IFERROR(INT(MID(Metadata!E81,12,1))&gt;=0,FALSE),IFERROR(INT(MID(Metadata!E81,12,1))&lt;=2,FALSE),NOT(MID(Metadata!E81,13,1)=""),IFERROR(INT(MID(Metadata!E81,12,2))&gt;=0,FALSE),IFERROR(INT(MID(Metadata!E81,12,2))&lt;=23,FALSE)), OR(MID(Metadata!E81,14,1)="", AND(AND(MID(Metadata!E81,14,1)=":",IFERROR(INT(MID(Metadata!E81,15,1))&gt;=0,FALSE),IFERROR(INT(MID(Metadata!E81,15,1))&lt;=5,FALSE),NOT(MID(Metadata!E81,16,1)=""),IFERROR(INT(MID(Metadata!E81,15,2))&gt;=0,FALSE),IFERROR(INT(MID(Metadata!E81,15,2))&lt;=59,FALSE)), OR(MID(Metadata!E81,17,1)="", AND(AND(MID(Metadata!E81,17,1)=":",IFERROR(INT(MID(Metadata!E81,18,1))&gt;=0,FALSE),IFERROR(INT(MID(Metadata!E81,18,1))&lt;=5,FALSE),NOT(MID(Metadata!E81,19,1)=""),IFERROR(INT(MID(Metadata!E81,18,2))&gt;=0,FALSE),IFERROR(INT(MID(Metadata!E81,18,2))&lt;=59,FALSE)), LEN(Metadata!E81)&lt;=19)))))))))))))</f>
        <v>0</v>
      </c>
      <c r="AS81" t="b">
        <f>IF(Metadata!F81="",FALSE,TRUE)</f>
        <v>0</v>
      </c>
      <c r="AT81" t="b">
        <f>OR(AND(IF(Metadata!G81="",FALSE,TRUE),OR(EXACT(Metadata!G81,"not collected"),EXACT(Metadata!G81,"not provided"))),AND(IF(Metadata!G81="",FALSE,TRUE),OR(EXACT(Metadata!G81,"TRUE"),EXACT(Metadata!G81,"FALSE"))))</f>
        <v>0</v>
      </c>
      <c r="AU81" t="b">
        <f>OR(AND(IF(Metadata!H81="",FALSE,TRUE),OR(EXACT(Metadata!H81,"not collected"),EXACT(Metadata!H81,"not provided"),EXACT(Metadata!H81,"restricted access"))),AND(IF(Metadata!H81="",FALSE,ISNUMBER(VALUE(Metadata!H81))),Metadata!H81&gt;=-413))</f>
        <v>0</v>
      </c>
      <c r="AV81" t="b">
        <f>AND(IF(Metadata!I81="",FALSE,TRUE),EXACT(Metadata!I81,"meters"))</f>
        <v>0</v>
      </c>
      <c r="AW81" t="b">
        <f>AND(IF(Metadata!J81="",FALSE,TRUE),EXACT(Metadata!J81,"free-living"))</f>
        <v>0</v>
      </c>
      <c r="AX81" t="b">
        <f>AND(IF(Metadata!K81="",FALSE,TRUE),OR(EXACT(Metadata!K81,"saline"),EXACT(Metadata!K81,"non-saline")))</f>
        <v>0</v>
      </c>
      <c r="AY81" t="b">
        <f>AND(IF(Metadata!L81="",FALSE,TRUE),OR(EXACT(Metadata!L81,"sub-surface (non-saline)"),EXACT(Metadata!L81,"surface (non-saline)"),EXACT(Metadata!L81,"water (non-saline)"),EXACT(Metadata!L81,"soil (non-saline)"),EXACT(Metadata!L81,"aerosol (non-saline)"),EXACT(Metadata!L81,"sediment (non-saline)"),EXACT(Metadata!L81,"surface (saline)"),EXACT(Metadata!L81,"water (saline)"),EXACT(Metadata!L81,"hypersaline (saline)"),EXACT(Metadata!L81,"aerosol (saline)"),EXACT(Metadata!L81,"sediment (saline)")))</f>
        <v>0</v>
      </c>
      <c r="AZ81" t="b">
        <f>IF(Metadata!M81="",FALSE,TRUE)</f>
        <v>0</v>
      </c>
      <c r="BA81" t="b">
        <f>IF(Metadata!N81="",FALSE,TRUE)</f>
        <v>0</v>
      </c>
      <c r="BB81" t="b">
        <f>IF(Metadata!O81="",FALSE,TRUE)</f>
        <v>0</v>
      </c>
      <c r="BC81" t="b">
        <f>AND(IF(Metadata!P81="",FALSE,TRUE),OR(EXACT(Metadata!P81,"air"),EXACT(Metadata!P81,"microbial mat/biofilm"),EXACT(Metadata!P81,"misc environment"),EXACT(Metadata!P81,"sediment"),EXACT(Metadata!P81,"soil"),EXACT(Metadata!P81,"wastewater/sludge"),EXACT(Metadata!P81,"water")))</f>
        <v>0</v>
      </c>
      <c r="BD81" t="b">
        <f>IF(Metadata!Q81="",FALSE,TRUE)</f>
        <v>0</v>
      </c>
      <c r="BE81" t="b">
        <f>IF(Metadata!R81="",FALSE,TRUE)</f>
        <v>0</v>
      </c>
      <c r="BF81" t="b">
        <f>OR(AND(IF(Metadata!S81="",FALSE,TRUE),OR(EXACT(Metadata!S81,"not collected"),EXACT(Metadata!S81,"not provided"),EXACT(Metadata!S81,"restricted access"))),AND(IF(Metadata!S81="",FALSE,ISNUMBER(VALUE(Metadata!S81))),Metadata!S81&gt;=-90,Metadata!S81&lt;=90))</f>
        <v>0</v>
      </c>
      <c r="BG81" t="b">
        <f>AND(IF(Metadata!T81="",FALSE,TRUE),EXACT(Metadata!T81,"Decimal degrees"))</f>
        <v>0</v>
      </c>
      <c r="BH81" t="b">
        <f>OR(AND(IF(Metadata!U81="",FALSE,TRUE),OR(EXACT(Metadata!U81,"not applicable"),EXACT(Metadata!U81,"not collected"))),IF(Metadata!U81="",FALSE,TRUE))</f>
        <v>0</v>
      </c>
      <c r="BI81" t="b">
        <f>OR(AND(IF(Metadata!V81="",FALSE,TRUE),OR(EXACT(Metadata!V81,"not collected"),EXACT(Metadata!V81,"not provided"),EXACT(Metadata!V81,"restricted access"))),AND(IF(Metadata!V81="",FALSE,ISNUMBER(VALUE(Metadata!V81))),Metadata!V81&gt;=-180,Metadata!V81&lt;=180))</f>
        <v>0</v>
      </c>
      <c r="BJ81" t="b">
        <f>AND(IF(Metadata!W81="",FALSE,TRUE),EXACT(Metadata!W81,"Decimal degrees"))</f>
        <v>0</v>
      </c>
      <c r="BK81" t="b">
        <f>IF(Metadata!X81="",FALSE,TRUE)</f>
        <v>0</v>
      </c>
      <c r="BL81" t="b">
        <f>OR(AND(IF(Metadata!Y81="",FALSE,TRUE),OR(EXACT(Metadata!Y81,"not collected"),EXACT(Metadata!Y81,"not provided"),EXACT(Metadata!Y81,"restricted access"))),AND(IF(Metadata!Y81="",FALSE,TRUE),OR(EXACT(Metadata!Y81,"TRUE"),EXACT(Metadata!Y81,"FALSE"))))</f>
        <v>0</v>
      </c>
      <c r="BM81" t="b">
        <f>OR(AND(IF(Metadata!Z81="",FALSE,TRUE),EXACT(Metadata!Z81,"not applicable")),AND(IF(Metadata!Z81="",FALSE,TRUE),OR(EXACT(Metadata!Z81,"beer"),EXACT(Metadata!Z81,"cheese"),EXACT(Metadata!Z81,"fresh water"),EXACT(Metadata!Z81,"marine sediment"),EXACT(Metadata!Z81,"sea water"),EXACT(Metadata!Z81,"sediment"),EXACT(Metadata!Z81,"soil"),EXACT(Metadata!Z81,"waste water"))))</f>
        <v>0</v>
      </c>
      <c r="BN81" t="b">
        <f>AND(IF(Metadata!AA81="",FALSE,TRUE),EXACT(Metadata!AA81,"metagenome"))</f>
        <v>0</v>
      </c>
      <c r="BO81" t="b">
        <f>AND(IF(Metadata!AB81="",FALSE,TRUE),EXACT(Metadata!AB81,"256318"))</f>
        <v>0</v>
      </c>
      <c r="BP81" t="b">
        <f>IF(Metadata!AC81="",FALSE,TRUE)</f>
        <v>0</v>
      </c>
      <c r="BQ81" t="b">
        <f>IF(Metadata!AD81="",FALSE,TRUE)</f>
        <v>0</v>
      </c>
    </row>
    <row r="82" spans="1:69" x14ac:dyDescent="0.2">
      <c r="A82" s="4" t="e">
        <f ca="1">IF(B82=" "," ",HYPERLINK(CONCATENATE("#metadata!",ADDRESS(INDEX($AJ$2:$AJ$1001,MATCH(ROWS($AH$2:AH82),$AH$2:$AH$1001,0),0),2)),INDEX($AM$2:$AM$1001,MATCH(ROWS($AH$2:AH82),$AH$2:$AH$1001,0),0)))</f>
        <v>#N/A</v>
      </c>
      <c r="B82" s="5" t="e">
        <f ca="1">IF(OR(INDEX($AI$2:$AI$1001,MATCH(ROWS($AH$2:AH82),$AH$2:$AH$1001,0),1)&gt;=100000,INDEX($AO$1005:$BQ$1005,1,MATCH(COLUMNS($AO$1006:AO1006),$AO$1006:$BQ$1006,0))&gt;=100000), " ",IF(INDEX($AO$2:$BQ$1001,MATCH(ROWS($AH$2:AH82),$AH$2:$AH$1001,0),MATCH(COLUMNS($AO$1006:AO1006),$AO$1006:$BQ$1006,0)), HYPERLINK("#",""), HYPERLINK(CONCATENATE("#Metadata!", ADDRESS(INDEX($AJ$2:$AJ$1001,MATCH(ROWS($AH$2:AH82),$AH$2:$AH$1001,0),0), INDEX($AO$1004:$BQ$1004,1,MATCH(COLUMNS($AO$1006:AO1006),$AO$1006:$BQ$1006,0)))),"Fix")))</f>
        <v>#N/A</v>
      </c>
      <c r="C82" s="5" t="e">
        <f ca="1">IF(OR(INDEX($AI$2:$AI$1001,MATCH(ROWS($AH$2:AH82),$AH$2:$AH$1001,0),1)&gt;=100000,INDEX($AO$1005:$BQ$1005,1,MATCH(COLUMNS($AO$1006:AP1006),$AO$1006:$BQ$1006,0))&gt;=100000), " ",IF(INDEX($AO$2:$BQ$1001,MATCH(ROWS($AH$2:AH82),$AH$2:$AH$1001,0),MATCH(COLUMNS($AO$1006:AP1006),$AO$1006:$BQ$1006,0)), HYPERLINK("#",""), HYPERLINK(CONCATENATE("#Metadata!", ADDRESS(INDEX($AJ$2:$AJ$1001,MATCH(ROWS($AH$2:AH82),$AH$2:$AH$1001,0),0), INDEX($AO$1004:$BQ$1004,1,MATCH(COLUMNS($AO$1006:AP1006),$AO$1006:$BQ$1006,0)))),"Fix")))</f>
        <v>#N/A</v>
      </c>
      <c r="D82" s="5" t="e">
        <f ca="1">IF(OR(INDEX($AI$2:$AI$1001,MATCH(ROWS($AH$2:AH82),$AH$2:$AH$1001,0),1)&gt;=100000,INDEX($AO$1005:$BQ$1005,1,MATCH(COLUMNS($AO$1006:AQ1006),$AO$1006:$BQ$1006,0))&gt;=100000), " ",IF(INDEX($AO$2:$BQ$1001,MATCH(ROWS($AH$2:AH82),$AH$2:$AH$1001,0),MATCH(COLUMNS($AO$1006:AQ1006),$AO$1006:$BQ$1006,0)), HYPERLINK("#",""), HYPERLINK(CONCATENATE("#Metadata!", ADDRESS(INDEX($AJ$2:$AJ$1001,MATCH(ROWS($AH$2:AH82),$AH$2:$AH$1001,0),0), INDEX($AO$1004:$BQ$1004,1,MATCH(COLUMNS($AO$1006:AQ1006),$AO$1006:$BQ$1006,0)))),"Fix")))</f>
        <v>#N/A</v>
      </c>
      <c r="E82" s="5" t="e">
        <f ca="1">IF(OR(INDEX($AI$2:$AI$1001,MATCH(ROWS($AH$2:AH82),$AH$2:$AH$1001,0),1)&gt;=100000,INDEX($AO$1005:$BQ$1005,1,MATCH(COLUMNS($AO$1006:AR1006),$AO$1006:$BQ$1006,0))&gt;=100000), " ",IF(INDEX($AO$2:$BQ$1001,MATCH(ROWS($AH$2:AH82),$AH$2:$AH$1001,0),MATCH(COLUMNS($AO$1006:AR1006),$AO$1006:$BQ$1006,0)), HYPERLINK("#",""), HYPERLINK(CONCATENATE("#Metadata!", ADDRESS(INDEX($AJ$2:$AJ$1001,MATCH(ROWS($AH$2:AH82),$AH$2:$AH$1001,0),0), INDEX($AO$1004:$BQ$1004,1,MATCH(COLUMNS($AO$1006:AR1006),$AO$1006:$BQ$1006,0)))),"Fix")))</f>
        <v>#N/A</v>
      </c>
      <c r="F82" s="5" t="e">
        <f ca="1">IF(OR(INDEX($AI$2:$AI$1001,MATCH(ROWS($AH$2:AH82),$AH$2:$AH$1001,0),1)&gt;=100000,INDEX($AO$1005:$BQ$1005,1,MATCH(COLUMNS($AO$1006:AS1006),$AO$1006:$BQ$1006,0))&gt;=100000), " ",IF(INDEX($AO$2:$BQ$1001,MATCH(ROWS($AH$2:AH82),$AH$2:$AH$1001,0),MATCH(COLUMNS($AO$1006:AS1006),$AO$1006:$BQ$1006,0)), HYPERLINK("#",""), HYPERLINK(CONCATENATE("#Metadata!", ADDRESS(INDEX($AJ$2:$AJ$1001,MATCH(ROWS($AH$2:AH82),$AH$2:$AH$1001,0),0), INDEX($AO$1004:$BQ$1004,1,MATCH(COLUMNS($AO$1006:AS1006),$AO$1006:$BQ$1006,0)))),"Fix")))</f>
        <v>#N/A</v>
      </c>
      <c r="G82" s="5" t="e">
        <f ca="1">IF(OR(INDEX($AI$2:$AI$1001,MATCH(ROWS($AH$2:AH82),$AH$2:$AH$1001,0),1)&gt;=100000,INDEX($AO$1005:$BQ$1005,1,MATCH(COLUMNS($AO$1006:AT1006),$AO$1006:$BQ$1006,0))&gt;=100000), " ",IF(INDEX($AO$2:$BQ$1001,MATCH(ROWS($AH$2:AH82),$AH$2:$AH$1001,0),MATCH(COLUMNS($AO$1006:AT1006),$AO$1006:$BQ$1006,0)), HYPERLINK("#",""), HYPERLINK(CONCATENATE("#Metadata!", ADDRESS(INDEX($AJ$2:$AJ$1001,MATCH(ROWS($AH$2:AH82),$AH$2:$AH$1001,0),0), INDEX($AO$1004:$BQ$1004,1,MATCH(COLUMNS($AO$1006:AT1006),$AO$1006:$BQ$1006,0)))),"Fix")))</f>
        <v>#N/A</v>
      </c>
      <c r="H82" s="5" t="e">
        <f ca="1">IF(OR(INDEX($AI$2:$AI$1001,MATCH(ROWS($AH$2:AH82),$AH$2:$AH$1001,0),1)&gt;=100000,INDEX($AO$1005:$BQ$1005,1,MATCH(COLUMNS($AO$1006:AU1006),$AO$1006:$BQ$1006,0))&gt;=100000), " ",IF(INDEX($AO$2:$BQ$1001,MATCH(ROWS($AH$2:AH82),$AH$2:$AH$1001,0),MATCH(COLUMNS($AO$1006:AU1006),$AO$1006:$BQ$1006,0)), HYPERLINK("#",""), HYPERLINK(CONCATENATE("#Metadata!", ADDRESS(INDEX($AJ$2:$AJ$1001,MATCH(ROWS($AH$2:AH82),$AH$2:$AH$1001,0),0), INDEX($AO$1004:$BQ$1004,1,MATCH(COLUMNS($AO$1006:AU1006),$AO$1006:$BQ$1006,0)))),"Fix")))</f>
        <v>#N/A</v>
      </c>
      <c r="I82" s="5" t="e">
        <f ca="1">IF(OR(INDEX($AI$2:$AI$1001,MATCH(ROWS($AH$2:AH82),$AH$2:$AH$1001,0),1)&gt;=100000,INDEX($AO$1005:$BQ$1005,1,MATCH(COLUMNS($AO$1006:AV1006),$AO$1006:$BQ$1006,0))&gt;=100000), " ",IF(INDEX($AO$2:$BQ$1001,MATCH(ROWS($AH$2:AH82),$AH$2:$AH$1001,0),MATCH(COLUMNS($AO$1006:AV1006),$AO$1006:$BQ$1006,0)), HYPERLINK("#",""), HYPERLINK(CONCATENATE("#Metadata!", ADDRESS(INDEX($AJ$2:$AJ$1001,MATCH(ROWS($AH$2:AH82),$AH$2:$AH$1001,0),0), INDEX($AO$1004:$BQ$1004,1,MATCH(COLUMNS($AO$1006:AV1006),$AO$1006:$BQ$1006,0)))),"Fix")))</f>
        <v>#N/A</v>
      </c>
      <c r="J82" s="5" t="e">
        <f ca="1">IF(OR(INDEX($AI$2:$AI$1001,MATCH(ROWS($AH$2:AH82),$AH$2:$AH$1001,0),1)&gt;=100000,INDEX($AO$1005:$BQ$1005,1,MATCH(COLUMNS($AO$1006:AW1006),$AO$1006:$BQ$1006,0))&gt;=100000), " ",IF(INDEX($AO$2:$BQ$1001,MATCH(ROWS($AH$2:AH82),$AH$2:$AH$1001,0),MATCH(COLUMNS($AO$1006:AW1006),$AO$1006:$BQ$1006,0)), HYPERLINK("#",""), HYPERLINK(CONCATENATE("#Metadata!", ADDRESS(INDEX($AJ$2:$AJ$1001,MATCH(ROWS($AH$2:AH82),$AH$2:$AH$1001,0),0), INDEX($AO$1004:$BQ$1004,1,MATCH(COLUMNS($AO$1006:AW1006),$AO$1006:$BQ$1006,0)))),"Fix")))</f>
        <v>#N/A</v>
      </c>
      <c r="K82" s="5" t="e">
        <f ca="1">IF(OR(INDEX($AI$2:$AI$1001,MATCH(ROWS($AH$2:AH82),$AH$2:$AH$1001,0),1)&gt;=100000,INDEX($AO$1005:$BQ$1005,1,MATCH(COLUMNS($AO$1006:AX1006),$AO$1006:$BQ$1006,0))&gt;=100000), " ",IF(INDEX($AO$2:$BQ$1001,MATCH(ROWS($AH$2:AH82),$AH$2:$AH$1001,0),MATCH(COLUMNS($AO$1006:AX1006),$AO$1006:$BQ$1006,0)), HYPERLINK("#",""), HYPERLINK(CONCATENATE("#Metadata!", ADDRESS(INDEX($AJ$2:$AJ$1001,MATCH(ROWS($AH$2:AH82),$AH$2:$AH$1001,0),0), INDEX($AO$1004:$BQ$1004,1,MATCH(COLUMNS($AO$1006:AX1006),$AO$1006:$BQ$1006,0)))),"Fix")))</f>
        <v>#N/A</v>
      </c>
      <c r="L82" s="5" t="e">
        <f ca="1">IF(OR(INDEX($AI$2:$AI$1001,MATCH(ROWS($AH$2:AH82),$AH$2:$AH$1001,0),1)&gt;=100000,INDEX($AO$1005:$BQ$1005,1,MATCH(COLUMNS($AO$1006:AY1006),$AO$1006:$BQ$1006,0))&gt;=100000), " ",IF(INDEX($AO$2:$BQ$1001,MATCH(ROWS($AH$2:AH82),$AH$2:$AH$1001,0),MATCH(COLUMNS($AO$1006:AY1006),$AO$1006:$BQ$1006,0)), HYPERLINK("#",""), HYPERLINK(CONCATENATE("#Metadata!", ADDRESS(INDEX($AJ$2:$AJ$1001,MATCH(ROWS($AH$2:AH82),$AH$2:$AH$1001,0),0), INDEX($AO$1004:$BQ$1004,1,MATCH(COLUMNS($AO$1006:AY1006),$AO$1006:$BQ$1006,0)))),"Fix")))</f>
        <v>#N/A</v>
      </c>
      <c r="M82" s="5" t="e">
        <f ca="1">IF(OR(INDEX($AI$2:$AI$1001,MATCH(ROWS($AH$2:AH82),$AH$2:$AH$1001,0),1)&gt;=100000,INDEX($AO$1005:$BQ$1005,1,MATCH(COLUMNS($AO$1006:AZ1006),$AO$1006:$BQ$1006,0))&gt;=100000), " ",IF(INDEX($AO$2:$BQ$1001,MATCH(ROWS($AH$2:AH82),$AH$2:$AH$1001,0),MATCH(COLUMNS($AO$1006:AZ1006),$AO$1006:$BQ$1006,0)), HYPERLINK("#",""), HYPERLINK(CONCATENATE("#Metadata!", ADDRESS(INDEX($AJ$2:$AJ$1001,MATCH(ROWS($AH$2:AH82),$AH$2:$AH$1001,0),0), INDEX($AO$1004:$BQ$1004,1,MATCH(COLUMNS($AO$1006:AZ1006),$AO$1006:$BQ$1006,0)))),"Fix")))</f>
        <v>#N/A</v>
      </c>
      <c r="N82" s="5" t="e">
        <f ca="1">IF(OR(INDEX($AI$2:$AI$1001,MATCH(ROWS($AH$2:AH82),$AH$2:$AH$1001,0),1)&gt;=100000,INDEX($AO$1005:$BQ$1005,1,MATCH(COLUMNS($AO$1006:BA1006),$AO$1006:$BQ$1006,0))&gt;=100000), " ",IF(INDEX($AO$2:$BQ$1001,MATCH(ROWS($AH$2:AH82),$AH$2:$AH$1001,0),MATCH(COLUMNS($AO$1006:BA1006),$AO$1006:$BQ$1006,0)), HYPERLINK("#",""), HYPERLINK(CONCATENATE("#Metadata!", ADDRESS(INDEX($AJ$2:$AJ$1001,MATCH(ROWS($AH$2:AH82),$AH$2:$AH$1001,0),0), INDEX($AO$1004:$BQ$1004,1,MATCH(COLUMNS($AO$1006:BA1006),$AO$1006:$BQ$1006,0)))),"Fix")))</f>
        <v>#N/A</v>
      </c>
      <c r="O82" s="5" t="e">
        <f ca="1">IF(OR(INDEX($AI$2:$AI$1001,MATCH(ROWS($AH$2:AH82),$AH$2:$AH$1001,0),1)&gt;=100000,INDEX($AO$1005:$BQ$1005,1,MATCH(COLUMNS($AO$1006:BB1006),$AO$1006:$BQ$1006,0))&gt;=100000), " ",IF(INDEX($AO$2:$BQ$1001,MATCH(ROWS($AH$2:AH82),$AH$2:$AH$1001,0),MATCH(COLUMNS($AO$1006:BB1006),$AO$1006:$BQ$1006,0)), HYPERLINK("#",""), HYPERLINK(CONCATENATE("#Metadata!", ADDRESS(INDEX($AJ$2:$AJ$1001,MATCH(ROWS($AH$2:AH82),$AH$2:$AH$1001,0),0), INDEX($AO$1004:$BQ$1004,1,MATCH(COLUMNS($AO$1006:BB1006),$AO$1006:$BQ$1006,0)))),"Fix")))</f>
        <v>#N/A</v>
      </c>
      <c r="P82" s="5" t="e">
        <f ca="1">IF(OR(INDEX($AI$2:$AI$1001,MATCH(ROWS($AH$2:AH82),$AH$2:$AH$1001,0),1)&gt;=100000,INDEX($AO$1005:$BQ$1005,1,MATCH(COLUMNS($AO$1006:BC1006),$AO$1006:$BQ$1006,0))&gt;=100000), " ",IF(INDEX($AO$2:$BQ$1001,MATCH(ROWS($AH$2:AH82),$AH$2:$AH$1001,0),MATCH(COLUMNS($AO$1006:BC1006),$AO$1006:$BQ$1006,0)), HYPERLINK("#",""), HYPERLINK(CONCATENATE("#Metadata!", ADDRESS(INDEX($AJ$2:$AJ$1001,MATCH(ROWS($AH$2:AH82),$AH$2:$AH$1001,0),0), INDEX($AO$1004:$BQ$1004,1,MATCH(COLUMNS($AO$1006:BC1006),$AO$1006:$BQ$1006,0)))),"Fix")))</f>
        <v>#N/A</v>
      </c>
      <c r="Q82" s="5" t="e">
        <f ca="1">IF(OR(INDEX($AI$2:$AI$1001,MATCH(ROWS($AH$2:AH82),$AH$2:$AH$1001,0),1)&gt;=100000,INDEX($AO$1005:$BQ$1005,1,MATCH(COLUMNS($AO$1006:BD1006),$AO$1006:$BQ$1006,0))&gt;=100000), " ",IF(INDEX($AO$2:$BQ$1001,MATCH(ROWS($AH$2:AH82),$AH$2:$AH$1001,0),MATCH(COLUMNS($AO$1006:BD1006),$AO$1006:$BQ$1006,0)), HYPERLINK("#",""), HYPERLINK(CONCATENATE("#Metadata!", ADDRESS(INDEX($AJ$2:$AJ$1001,MATCH(ROWS($AH$2:AH82),$AH$2:$AH$1001,0),0), INDEX($AO$1004:$BQ$1004,1,MATCH(COLUMNS($AO$1006:BD1006),$AO$1006:$BQ$1006,0)))),"Fix")))</f>
        <v>#N/A</v>
      </c>
      <c r="R82" s="5" t="e">
        <f ca="1">IF(OR(INDEX($AI$2:$AI$1001,MATCH(ROWS($AH$2:AH82),$AH$2:$AH$1001,0),1)&gt;=100000,INDEX($AO$1005:$BQ$1005,1,MATCH(COLUMNS($AO$1006:BE1006),$AO$1006:$BQ$1006,0))&gt;=100000), " ",IF(INDEX($AO$2:$BQ$1001,MATCH(ROWS($AH$2:AH82),$AH$2:$AH$1001,0),MATCH(COLUMNS($AO$1006:BE1006),$AO$1006:$BQ$1006,0)), HYPERLINK("#",""), HYPERLINK(CONCATENATE("#Metadata!", ADDRESS(INDEX($AJ$2:$AJ$1001,MATCH(ROWS($AH$2:AH82),$AH$2:$AH$1001,0),0), INDEX($AO$1004:$BQ$1004,1,MATCH(COLUMNS($AO$1006:BE1006),$AO$1006:$BQ$1006,0)))),"Fix")))</f>
        <v>#N/A</v>
      </c>
      <c r="S82" s="5" t="e">
        <f ca="1">IF(OR(INDEX($AI$2:$AI$1001,MATCH(ROWS($AH$2:AH82),$AH$2:$AH$1001,0),1)&gt;=100000,INDEX($AO$1005:$BQ$1005,1,MATCH(COLUMNS($AO$1006:BF1006),$AO$1006:$BQ$1006,0))&gt;=100000), " ",IF(INDEX($AO$2:$BQ$1001,MATCH(ROWS($AH$2:AH82),$AH$2:$AH$1001,0),MATCH(COLUMNS($AO$1006:BF1006),$AO$1006:$BQ$1006,0)), HYPERLINK("#",""), HYPERLINK(CONCATENATE("#Metadata!", ADDRESS(INDEX($AJ$2:$AJ$1001,MATCH(ROWS($AH$2:AH82),$AH$2:$AH$1001,0),0), INDEX($AO$1004:$BQ$1004,1,MATCH(COLUMNS($AO$1006:BF1006),$AO$1006:$BQ$1006,0)))),"Fix")))</f>
        <v>#N/A</v>
      </c>
      <c r="T82" s="5" t="e">
        <f ca="1">IF(OR(INDEX($AI$2:$AI$1001,MATCH(ROWS($AH$2:AH82),$AH$2:$AH$1001,0),1)&gt;=100000,INDEX($AO$1005:$BQ$1005,1,MATCH(COLUMNS($AO$1006:BG1006),$AO$1006:$BQ$1006,0))&gt;=100000), " ",IF(INDEX($AO$2:$BQ$1001,MATCH(ROWS($AH$2:AH82),$AH$2:$AH$1001,0),MATCH(COLUMNS($AO$1006:BG1006),$AO$1006:$BQ$1006,0)), HYPERLINK("#",""), HYPERLINK(CONCATENATE("#Metadata!", ADDRESS(INDEX($AJ$2:$AJ$1001,MATCH(ROWS($AH$2:AH82),$AH$2:$AH$1001,0),0), INDEX($AO$1004:$BQ$1004,1,MATCH(COLUMNS($AO$1006:BG1006),$AO$1006:$BQ$1006,0)))),"Fix")))</f>
        <v>#N/A</v>
      </c>
      <c r="U82" s="5" t="e">
        <f ca="1">IF(OR(INDEX($AI$2:$AI$1001,MATCH(ROWS($AH$2:AH82),$AH$2:$AH$1001,0),1)&gt;=100000,INDEX($AO$1005:$BQ$1005,1,MATCH(COLUMNS($AO$1006:BH1006),$AO$1006:$BQ$1006,0))&gt;=100000), " ",IF(INDEX($AO$2:$BQ$1001,MATCH(ROWS($AH$2:AH82),$AH$2:$AH$1001,0),MATCH(COLUMNS($AO$1006:BH1006),$AO$1006:$BQ$1006,0)), HYPERLINK("#",""), HYPERLINK(CONCATENATE("#Metadata!", ADDRESS(INDEX($AJ$2:$AJ$1001,MATCH(ROWS($AH$2:AH82),$AH$2:$AH$1001,0),0), INDEX($AO$1004:$BQ$1004,1,MATCH(COLUMNS($AO$1006:BH1006),$AO$1006:$BQ$1006,0)))),"Fix")))</f>
        <v>#N/A</v>
      </c>
      <c r="V82" s="5" t="e">
        <f ca="1">IF(OR(INDEX($AI$2:$AI$1001,MATCH(ROWS($AH$2:AH82),$AH$2:$AH$1001,0),1)&gt;=100000,INDEX($AO$1005:$BQ$1005,1,MATCH(COLUMNS($AO$1006:BI1006),$AO$1006:$BQ$1006,0))&gt;=100000), " ",IF(INDEX($AO$2:$BQ$1001,MATCH(ROWS($AH$2:AH82),$AH$2:$AH$1001,0),MATCH(COLUMNS($AO$1006:BI1006),$AO$1006:$BQ$1006,0)), HYPERLINK("#",""), HYPERLINK(CONCATENATE("#Metadata!", ADDRESS(INDEX($AJ$2:$AJ$1001,MATCH(ROWS($AH$2:AH82),$AH$2:$AH$1001,0),0), INDEX($AO$1004:$BQ$1004,1,MATCH(COLUMNS($AO$1006:BI1006),$AO$1006:$BQ$1006,0)))),"Fix")))</f>
        <v>#N/A</v>
      </c>
      <c r="W82" s="5" t="e">
        <f ca="1">IF(OR(INDEX($AI$2:$AI$1001,MATCH(ROWS($AH$2:AH82),$AH$2:$AH$1001,0),1)&gt;=100000,INDEX($AO$1005:$BQ$1005,1,MATCH(COLUMNS($AO$1006:BJ1006),$AO$1006:$BQ$1006,0))&gt;=100000), " ",IF(INDEX($AO$2:$BQ$1001,MATCH(ROWS($AH$2:AH82),$AH$2:$AH$1001,0),MATCH(COLUMNS($AO$1006:BJ1006),$AO$1006:$BQ$1006,0)), HYPERLINK("#",""), HYPERLINK(CONCATENATE("#Metadata!", ADDRESS(INDEX($AJ$2:$AJ$1001,MATCH(ROWS($AH$2:AH82),$AH$2:$AH$1001,0),0), INDEX($AO$1004:$BQ$1004,1,MATCH(COLUMNS($AO$1006:BJ1006),$AO$1006:$BQ$1006,0)))),"Fix")))</f>
        <v>#N/A</v>
      </c>
      <c r="X82" s="5" t="e">
        <f ca="1">IF(OR(INDEX($AI$2:$AI$1001,MATCH(ROWS($AH$2:AH82),$AH$2:$AH$1001,0),1)&gt;=100000,INDEX($AO$1005:$BQ$1005,1,MATCH(COLUMNS($AO$1006:BK1006),$AO$1006:$BQ$1006,0))&gt;=100000), " ",IF(INDEX($AO$2:$BQ$1001,MATCH(ROWS($AH$2:AH82),$AH$2:$AH$1001,0),MATCH(COLUMNS($AO$1006:BK1006),$AO$1006:$BQ$1006,0)), HYPERLINK("#",""), HYPERLINK(CONCATENATE("#Metadata!", ADDRESS(INDEX($AJ$2:$AJ$1001,MATCH(ROWS($AH$2:AH82),$AH$2:$AH$1001,0),0), INDEX($AO$1004:$BQ$1004,1,MATCH(COLUMNS($AO$1006:BK1006),$AO$1006:$BQ$1006,0)))),"Fix")))</f>
        <v>#N/A</v>
      </c>
      <c r="Y82" s="5" t="e">
        <f ca="1">IF(OR(INDEX($AI$2:$AI$1001,MATCH(ROWS($AH$2:AH82),$AH$2:$AH$1001,0),1)&gt;=100000,INDEX($AO$1005:$BQ$1005,1,MATCH(COLUMNS($AO$1006:BL1006),$AO$1006:$BQ$1006,0))&gt;=100000), " ",IF(INDEX($AO$2:$BQ$1001,MATCH(ROWS($AH$2:AH82),$AH$2:$AH$1001,0),MATCH(COLUMNS($AO$1006:BL1006),$AO$1006:$BQ$1006,0)), HYPERLINK("#",""), HYPERLINK(CONCATENATE("#Metadata!", ADDRESS(INDEX($AJ$2:$AJ$1001,MATCH(ROWS($AH$2:AH82),$AH$2:$AH$1001,0),0), INDEX($AO$1004:$BQ$1004,1,MATCH(COLUMNS($AO$1006:BL1006),$AO$1006:$BQ$1006,0)))),"Fix")))</f>
        <v>#N/A</v>
      </c>
      <c r="Z82" s="5" t="e">
        <f ca="1">IF(OR(INDEX($AI$2:$AI$1001,MATCH(ROWS($AH$2:AH82),$AH$2:$AH$1001,0),1)&gt;=100000,INDEX($AO$1005:$BQ$1005,1,MATCH(COLUMNS($AO$1006:BM1006),$AO$1006:$BQ$1006,0))&gt;=100000), " ",IF(INDEX($AO$2:$BQ$1001,MATCH(ROWS($AH$2:AH82),$AH$2:$AH$1001,0),MATCH(COLUMNS($AO$1006:BM1006),$AO$1006:$BQ$1006,0)), HYPERLINK("#",""), HYPERLINK(CONCATENATE("#Metadata!", ADDRESS(INDEX($AJ$2:$AJ$1001,MATCH(ROWS($AH$2:AH82),$AH$2:$AH$1001,0),0), INDEX($AO$1004:$BQ$1004,1,MATCH(COLUMNS($AO$1006:BM1006),$AO$1006:$BQ$1006,0)))),"Fix")))</f>
        <v>#N/A</v>
      </c>
      <c r="AA82" s="5" t="e">
        <f ca="1">IF(OR(INDEX($AI$2:$AI$1001,MATCH(ROWS($AH$2:AH82),$AH$2:$AH$1001,0),1)&gt;=100000,INDEX($AO$1005:$BQ$1005,1,MATCH(COLUMNS($AO$1006:BN1006),$AO$1006:$BQ$1006,0))&gt;=100000), " ",IF(INDEX($AO$2:$BQ$1001,MATCH(ROWS($AH$2:AH82),$AH$2:$AH$1001,0),MATCH(COLUMNS($AO$1006:BN1006),$AO$1006:$BQ$1006,0)), HYPERLINK("#",""), HYPERLINK(CONCATENATE("#Metadata!", ADDRESS(INDEX($AJ$2:$AJ$1001,MATCH(ROWS($AH$2:AH82),$AH$2:$AH$1001,0),0), INDEX($AO$1004:$BQ$1004,1,MATCH(COLUMNS($AO$1006:BN1006),$AO$1006:$BQ$1006,0)))),"Fix")))</f>
        <v>#N/A</v>
      </c>
      <c r="AB82" s="5" t="e">
        <f ca="1">IF(OR(INDEX($AI$2:$AI$1001,MATCH(ROWS($AH$2:AH82),$AH$2:$AH$1001,0),1)&gt;=100000,INDEX($AO$1005:$BQ$1005,1,MATCH(COLUMNS($AO$1006:BO1006),$AO$1006:$BQ$1006,0))&gt;=100000), " ",IF(INDEX($AO$2:$BQ$1001,MATCH(ROWS($AH$2:AH82),$AH$2:$AH$1001,0),MATCH(COLUMNS($AO$1006:BO1006),$AO$1006:$BQ$1006,0)), HYPERLINK("#",""), HYPERLINK(CONCATENATE("#Metadata!", ADDRESS(INDEX($AJ$2:$AJ$1001,MATCH(ROWS($AH$2:AH82),$AH$2:$AH$1001,0),0), INDEX($AO$1004:$BQ$1004,1,MATCH(COLUMNS($AO$1006:BO1006),$AO$1006:$BQ$1006,0)))),"Fix")))</f>
        <v>#N/A</v>
      </c>
      <c r="AC82" s="5" t="e">
        <f ca="1">IF(OR(INDEX($AI$2:$AI$1001,MATCH(ROWS($AH$2:AH82),$AH$2:$AH$1001,0),1)&gt;=100000,INDEX($AO$1005:$BQ$1005,1,MATCH(COLUMNS($AO$1006:BP1006),$AO$1006:$BQ$1006,0))&gt;=100000), " ",IF(INDEX($AO$2:$BQ$1001,MATCH(ROWS($AH$2:AH82),$AH$2:$AH$1001,0),MATCH(COLUMNS($AO$1006:BP1006),$AO$1006:$BQ$1006,0)), HYPERLINK("#",""), HYPERLINK(CONCATENATE("#Metadata!", ADDRESS(INDEX($AJ$2:$AJ$1001,MATCH(ROWS($AH$2:AH82),$AH$2:$AH$1001,0),0), INDEX($AO$1004:$BQ$1004,1,MATCH(COLUMNS($AO$1006:BP1006),$AO$1006:$BQ$1006,0)))),"Fix")))</f>
        <v>#N/A</v>
      </c>
      <c r="AD82" s="5" t="e">
        <f ca="1">IF(OR(INDEX($AI$2:$AI$1001,MATCH(ROWS($AH$2:AH82),$AH$2:$AH$1001,0),1)&gt;=100000,INDEX($AO$1005:$BQ$1005,1,MATCH(COLUMNS($AO$1006:BQ1006),$AO$1006:$BQ$1006,0))&gt;=100000), " ",IF(INDEX($AO$2:$BQ$1001,MATCH(ROWS($AH$2:AH82),$AH$2:$AH$1001,0),MATCH(COLUMNS($AO$1006:BQ1006),$AO$1006:$BQ$1006,0)), HYPERLINK("#",""), HYPERLINK(CONCATENATE("#Metadata!", ADDRESS(INDEX($AJ$2:$AJ$1001,MATCH(ROWS($AH$2:AH82),$AH$2:$AH$1001,0),0), INDEX($AO$1004:$BQ$1004,1,MATCH(COLUMNS($AO$1006:BQ1006),$AO$1006:$BQ$1006,0)))),"Fix")))</f>
        <v>#REF!</v>
      </c>
      <c r="AH82">
        <f ca="1"/>
        <v>79</v>
      </c>
      <c r="AI82">
        <v>100082</v>
      </c>
      <c r="AJ82">
        <v>82</v>
      </c>
      <c r="AK82" t="b">
        <f t="shared" si="1"/>
        <v>1</v>
      </c>
      <c r="AL82" t="b">
        <f>COUNTBLANK(Metadata!B82:AD82)=COLUMNS(Metadata!B82:AD82)</f>
        <v>1</v>
      </c>
      <c r="AM82" t="str">
        <v/>
      </c>
      <c r="AO82" t="b">
        <f ca="1">AND(IF(Metadata!B82="",FALSE,TRUE),COUNTIF(Metadata!B:B, Metadata!B82) = 1,NOT(ISERROR(SUMPRODUCT(SEARCH(MID(Metadata!B82,ROW(INDIRECT("1:"&amp;LEN(Metadata!B82))), 1),"0123456789abcdefghijklmnopqrstuvwxyzABCDEFGHIJKLMNOPQRSTUVWXYZ.")))))</f>
        <v>0</v>
      </c>
      <c r="AP82" t="b">
        <f>IF(Metadata!C82="",FALSE,TRUE)</f>
        <v>0</v>
      </c>
      <c r="AQ82" t="b">
        <f>IF(Metadata!D82="",FALSE,TRUE)</f>
        <v>0</v>
      </c>
      <c r="AR82" t="b">
        <f ca="1">OR(AND(IF(Metadata!E82="",FALSE,TRUE),OR(EXACT(Metadata!E82,"not collected"),EXACT(Metadata!E82,"not provided"),EXACT(Metadata!E82,"restricted access"))),AND(IF(Metadata!E82="",FALSE,TRUE),AND(AND(IFERROR(INT(LEFT(Metadata!E82,4))&gt;1900,FALSE),IFERROR(INT(LEFT(Metadata!E82,4))&lt;=YEAR(NOW()),FALSE)), OR(MID(Metadata!E82,5,1)="", AND(AND(MID(Metadata!E82,5,1)="-",IFERROR(INT(MID(Metadata!E82,6,1))&gt;=0,FALSE),IFERROR(INT(MID(Metadata!E82,6,1))&lt;=1,FALSE),NOT(MID(Metadata!E82,7,1)=""),IFERROR(INT(MID(Metadata!E82,6,2))&gt;=1,FALSE),IFERROR(INT(MID(Metadata!E82,6,2))&lt;=12,FALSE)), OR(MID(Metadata!E82,8,1)="", AND(AND(MID(Metadata!E82,8,1)="-",IFERROR(INT(MID(Metadata!E82,9,1))&gt;=0,FALSE),IFERROR(INT(MID(Metadata!E82,9,1))&lt;=3,FALSE),NOT(MID(Metadata!E82,10,1)=""),IFERROR(INT(MID(Metadata!E82,9,2))&gt;=1,FALSE),IFERROR(INT(MID(Metadata!E82,9,2))&lt;=31,FALSE)), OR(MID(Metadata!E82,11,1)="", AND(AND(MID(Metadata!E82,11,1)=" ",IFERROR(INT(MID(Metadata!E82,12,1))&gt;=0,FALSE),IFERROR(INT(MID(Metadata!E82,12,1))&lt;=2,FALSE),NOT(MID(Metadata!E82,13,1)=""),IFERROR(INT(MID(Metadata!E82,12,2))&gt;=0,FALSE),IFERROR(INT(MID(Metadata!E82,12,2))&lt;=23,FALSE)), OR(MID(Metadata!E82,14,1)="", AND(AND(MID(Metadata!E82,14,1)=":",IFERROR(INT(MID(Metadata!E82,15,1))&gt;=0,FALSE),IFERROR(INT(MID(Metadata!E82,15,1))&lt;=5,FALSE),NOT(MID(Metadata!E82,16,1)=""),IFERROR(INT(MID(Metadata!E82,15,2))&gt;=0,FALSE),IFERROR(INT(MID(Metadata!E82,15,2))&lt;=59,FALSE)), OR(MID(Metadata!E82,17,1)="", AND(AND(MID(Metadata!E82,17,1)=":",IFERROR(INT(MID(Metadata!E82,18,1))&gt;=0,FALSE),IFERROR(INT(MID(Metadata!E82,18,1))&lt;=5,FALSE),NOT(MID(Metadata!E82,19,1)=""),IFERROR(INT(MID(Metadata!E82,18,2))&gt;=0,FALSE),IFERROR(INT(MID(Metadata!E82,18,2))&lt;=59,FALSE)), LEN(Metadata!E82)&lt;=19)))))))))))))</f>
        <v>0</v>
      </c>
      <c r="AS82" t="b">
        <f>IF(Metadata!F82="",FALSE,TRUE)</f>
        <v>0</v>
      </c>
      <c r="AT82" t="b">
        <f>OR(AND(IF(Metadata!G82="",FALSE,TRUE),OR(EXACT(Metadata!G82,"not collected"),EXACT(Metadata!G82,"not provided"))),AND(IF(Metadata!G82="",FALSE,TRUE),OR(EXACT(Metadata!G82,"TRUE"),EXACT(Metadata!G82,"FALSE"))))</f>
        <v>0</v>
      </c>
      <c r="AU82" t="b">
        <f>OR(AND(IF(Metadata!H82="",FALSE,TRUE),OR(EXACT(Metadata!H82,"not collected"),EXACT(Metadata!H82,"not provided"),EXACT(Metadata!H82,"restricted access"))),AND(IF(Metadata!H82="",FALSE,ISNUMBER(VALUE(Metadata!H82))),Metadata!H82&gt;=-413))</f>
        <v>0</v>
      </c>
      <c r="AV82" t="b">
        <f>AND(IF(Metadata!I82="",FALSE,TRUE),EXACT(Metadata!I82,"meters"))</f>
        <v>0</v>
      </c>
      <c r="AW82" t="b">
        <f>AND(IF(Metadata!J82="",FALSE,TRUE),EXACT(Metadata!J82,"free-living"))</f>
        <v>0</v>
      </c>
      <c r="AX82" t="b">
        <f>AND(IF(Metadata!K82="",FALSE,TRUE),OR(EXACT(Metadata!K82,"saline"),EXACT(Metadata!K82,"non-saline")))</f>
        <v>0</v>
      </c>
      <c r="AY82" t="b">
        <f>AND(IF(Metadata!L82="",FALSE,TRUE),OR(EXACT(Metadata!L82,"sub-surface (non-saline)"),EXACT(Metadata!L82,"surface (non-saline)"),EXACT(Metadata!L82,"water (non-saline)"),EXACT(Metadata!L82,"soil (non-saline)"),EXACT(Metadata!L82,"aerosol (non-saline)"),EXACT(Metadata!L82,"sediment (non-saline)"),EXACT(Metadata!L82,"surface (saline)"),EXACT(Metadata!L82,"water (saline)"),EXACT(Metadata!L82,"hypersaline (saline)"),EXACT(Metadata!L82,"aerosol (saline)"),EXACT(Metadata!L82,"sediment (saline)")))</f>
        <v>0</v>
      </c>
      <c r="AZ82" t="b">
        <f>IF(Metadata!M82="",FALSE,TRUE)</f>
        <v>0</v>
      </c>
      <c r="BA82" t="b">
        <f>IF(Metadata!N82="",FALSE,TRUE)</f>
        <v>0</v>
      </c>
      <c r="BB82" t="b">
        <f>IF(Metadata!O82="",FALSE,TRUE)</f>
        <v>0</v>
      </c>
      <c r="BC82" t="b">
        <f>AND(IF(Metadata!P82="",FALSE,TRUE),OR(EXACT(Metadata!P82,"air"),EXACT(Metadata!P82,"microbial mat/biofilm"),EXACT(Metadata!P82,"misc environment"),EXACT(Metadata!P82,"sediment"),EXACT(Metadata!P82,"soil"),EXACT(Metadata!P82,"wastewater/sludge"),EXACT(Metadata!P82,"water")))</f>
        <v>0</v>
      </c>
      <c r="BD82" t="b">
        <f>IF(Metadata!Q82="",FALSE,TRUE)</f>
        <v>0</v>
      </c>
      <c r="BE82" t="b">
        <f>IF(Metadata!R82="",FALSE,TRUE)</f>
        <v>0</v>
      </c>
      <c r="BF82" t="b">
        <f>OR(AND(IF(Metadata!S82="",FALSE,TRUE),OR(EXACT(Metadata!S82,"not collected"),EXACT(Metadata!S82,"not provided"),EXACT(Metadata!S82,"restricted access"))),AND(IF(Metadata!S82="",FALSE,ISNUMBER(VALUE(Metadata!S82))),Metadata!S82&gt;=-90,Metadata!S82&lt;=90))</f>
        <v>0</v>
      </c>
      <c r="BG82" t="b">
        <f>AND(IF(Metadata!T82="",FALSE,TRUE),EXACT(Metadata!T82,"Decimal degrees"))</f>
        <v>0</v>
      </c>
      <c r="BH82" t="b">
        <f>OR(AND(IF(Metadata!U82="",FALSE,TRUE),OR(EXACT(Metadata!U82,"not applicable"),EXACT(Metadata!U82,"not collected"))),IF(Metadata!U82="",FALSE,TRUE))</f>
        <v>0</v>
      </c>
      <c r="BI82" t="b">
        <f>OR(AND(IF(Metadata!V82="",FALSE,TRUE),OR(EXACT(Metadata!V82,"not collected"),EXACT(Metadata!V82,"not provided"),EXACT(Metadata!V82,"restricted access"))),AND(IF(Metadata!V82="",FALSE,ISNUMBER(VALUE(Metadata!V82))),Metadata!V82&gt;=-180,Metadata!V82&lt;=180))</f>
        <v>0</v>
      </c>
      <c r="BJ82" t="b">
        <f>AND(IF(Metadata!W82="",FALSE,TRUE),EXACT(Metadata!W82,"Decimal degrees"))</f>
        <v>0</v>
      </c>
      <c r="BK82" t="b">
        <f>IF(Metadata!X82="",FALSE,TRUE)</f>
        <v>0</v>
      </c>
      <c r="BL82" t="b">
        <f>OR(AND(IF(Metadata!Y82="",FALSE,TRUE),OR(EXACT(Metadata!Y82,"not collected"),EXACT(Metadata!Y82,"not provided"),EXACT(Metadata!Y82,"restricted access"))),AND(IF(Metadata!Y82="",FALSE,TRUE),OR(EXACT(Metadata!Y82,"TRUE"),EXACT(Metadata!Y82,"FALSE"))))</f>
        <v>0</v>
      </c>
      <c r="BM82" t="b">
        <f>OR(AND(IF(Metadata!Z82="",FALSE,TRUE),EXACT(Metadata!Z82,"not applicable")),AND(IF(Metadata!Z82="",FALSE,TRUE),OR(EXACT(Metadata!Z82,"beer"),EXACT(Metadata!Z82,"cheese"),EXACT(Metadata!Z82,"fresh water"),EXACT(Metadata!Z82,"marine sediment"),EXACT(Metadata!Z82,"sea water"),EXACT(Metadata!Z82,"sediment"),EXACT(Metadata!Z82,"soil"),EXACT(Metadata!Z82,"waste water"))))</f>
        <v>0</v>
      </c>
      <c r="BN82" t="b">
        <f>AND(IF(Metadata!AA82="",FALSE,TRUE),EXACT(Metadata!AA82,"metagenome"))</f>
        <v>0</v>
      </c>
      <c r="BO82" t="b">
        <f>AND(IF(Metadata!AB82="",FALSE,TRUE),EXACT(Metadata!AB82,"256318"))</f>
        <v>0</v>
      </c>
      <c r="BP82" t="b">
        <f>IF(Metadata!AC82="",FALSE,TRUE)</f>
        <v>0</v>
      </c>
      <c r="BQ82" t="b">
        <f>IF(Metadata!AD82="",FALSE,TRUE)</f>
        <v>0</v>
      </c>
    </row>
    <row r="83" spans="1:69" x14ac:dyDescent="0.2">
      <c r="A83" s="4" t="e">
        <f ca="1">IF(B83=" "," ",HYPERLINK(CONCATENATE("#metadata!",ADDRESS(INDEX($AJ$2:$AJ$1001,MATCH(ROWS($AH$2:AH83),$AH$2:$AH$1001,0),0),2)),INDEX($AM$2:$AM$1001,MATCH(ROWS($AH$2:AH83),$AH$2:$AH$1001,0),0)))</f>
        <v>#N/A</v>
      </c>
      <c r="B83" s="5" t="e">
        <f ca="1">IF(OR(INDEX($AI$2:$AI$1001,MATCH(ROWS($AH$2:AH83),$AH$2:$AH$1001,0),1)&gt;=100000,INDEX($AO$1005:$BQ$1005,1,MATCH(COLUMNS($AO$1006:AO1006),$AO$1006:$BQ$1006,0))&gt;=100000), " ",IF(INDEX($AO$2:$BQ$1001,MATCH(ROWS($AH$2:AH83),$AH$2:$AH$1001,0),MATCH(COLUMNS($AO$1006:AO1006),$AO$1006:$BQ$1006,0)), HYPERLINK("#",""), HYPERLINK(CONCATENATE("#Metadata!", ADDRESS(INDEX($AJ$2:$AJ$1001,MATCH(ROWS($AH$2:AH83),$AH$2:$AH$1001,0),0), INDEX($AO$1004:$BQ$1004,1,MATCH(COLUMNS($AO$1006:AO1006),$AO$1006:$BQ$1006,0)))),"Fix")))</f>
        <v>#N/A</v>
      </c>
      <c r="C83" s="5" t="e">
        <f ca="1">IF(OR(INDEX($AI$2:$AI$1001,MATCH(ROWS($AH$2:AH83),$AH$2:$AH$1001,0),1)&gt;=100000,INDEX($AO$1005:$BQ$1005,1,MATCH(COLUMNS($AO$1006:AP1006),$AO$1006:$BQ$1006,0))&gt;=100000), " ",IF(INDEX($AO$2:$BQ$1001,MATCH(ROWS($AH$2:AH83),$AH$2:$AH$1001,0),MATCH(COLUMNS($AO$1006:AP1006),$AO$1006:$BQ$1006,0)), HYPERLINK("#",""), HYPERLINK(CONCATENATE("#Metadata!", ADDRESS(INDEX($AJ$2:$AJ$1001,MATCH(ROWS($AH$2:AH83),$AH$2:$AH$1001,0),0), INDEX($AO$1004:$BQ$1004,1,MATCH(COLUMNS($AO$1006:AP1006),$AO$1006:$BQ$1006,0)))),"Fix")))</f>
        <v>#N/A</v>
      </c>
      <c r="D83" s="5" t="e">
        <f ca="1">IF(OR(INDEX($AI$2:$AI$1001,MATCH(ROWS($AH$2:AH83),$AH$2:$AH$1001,0),1)&gt;=100000,INDEX($AO$1005:$BQ$1005,1,MATCH(COLUMNS($AO$1006:AQ1006),$AO$1006:$BQ$1006,0))&gt;=100000), " ",IF(INDEX($AO$2:$BQ$1001,MATCH(ROWS($AH$2:AH83),$AH$2:$AH$1001,0),MATCH(COLUMNS($AO$1006:AQ1006),$AO$1006:$BQ$1006,0)), HYPERLINK("#",""), HYPERLINK(CONCATENATE("#Metadata!", ADDRESS(INDEX($AJ$2:$AJ$1001,MATCH(ROWS($AH$2:AH83),$AH$2:$AH$1001,0),0), INDEX($AO$1004:$BQ$1004,1,MATCH(COLUMNS($AO$1006:AQ1006),$AO$1006:$BQ$1006,0)))),"Fix")))</f>
        <v>#N/A</v>
      </c>
      <c r="E83" s="5" t="e">
        <f ca="1">IF(OR(INDEX($AI$2:$AI$1001,MATCH(ROWS($AH$2:AH83),$AH$2:$AH$1001,0),1)&gt;=100000,INDEX($AO$1005:$BQ$1005,1,MATCH(COLUMNS($AO$1006:AR1006),$AO$1006:$BQ$1006,0))&gt;=100000), " ",IF(INDEX($AO$2:$BQ$1001,MATCH(ROWS($AH$2:AH83),$AH$2:$AH$1001,0),MATCH(COLUMNS($AO$1006:AR1006),$AO$1006:$BQ$1006,0)), HYPERLINK("#",""), HYPERLINK(CONCATENATE("#Metadata!", ADDRESS(INDEX($AJ$2:$AJ$1001,MATCH(ROWS($AH$2:AH83),$AH$2:$AH$1001,0),0), INDEX($AO$1004:$BQ$1004,1,MATCH(COLUMNS($AO$1006:AR1006),$AO$1006:$BQ$1006,0)))),"Fix")))</f>
        <v>#N/A</v>
      </c>
      <c r="F83" s="5" t="e">
        <f ca="1">IF(OR(INDEX($AI$2:$AI$1001,MATCH(ROWS($AH$2:AH83),$AH$2:$AH$1001,0),1)&gt;=100000,INDEX($AO$1005:$BQ$1005,1,MATCH(COLUMNS($AO$1006:AS1006),$AO$1006:$BQ$1006,0))&gt;=100000), " ",IF(INDEX($AO$2:$BQ$1001,MATCH(ROWS($AH$2:AH83),$AH$2:$AH$1001,0),MATCH(COLUMNS($AO$1006:AS1006),$AO$1006:$BQ$1006,0)), HYPERLINK("#",""), HYPERLINK(CONCATENATE("#Metadata!", ADDRESS(INDEX($AJ$2:$AJ$1001,MATCH(ROWS($AH$2:AH83),$AH$2:$AH$1001,0),0), INDEX($AO$1004:$BQ$1004,1,MATCH(COLUMNS($AO$1006:AS1006),$AO$1006:$BQ$1006,0)))),"Fix")))</f>
        <v>#N/A</v>
      </c>
      <c r="G83" s="5" t="e">
        <f ca="1">IF(OR(INDEX($AI$2:$AI$1001,MATCH(ROWS($AH$2:AH83),$AH$2:$AH$1001,0),1)&gt;=100000,INDEX($AO$1005:$BQ$1005,1,MATCH(COLUMNS($AO$1006:AT1006),$AO$1006:$BQ$1006,0))&gt;=100000), " ",IF(INDEX($AO$2:$BQ$1001,MATCH(ROWS($AH$2:AH83),$AH$2:$AH$1001,0),MATCH(COLUMNS($AO$1006:AT1006),$AO$1006:$BQ$1006,0)), HYPERLINK("#",""), HYPERLINK(CONCATENATE("#Metadata!", ADDRESS(INDEX($AJ$2:$AJ$1001,MATCH(ROWS($AH$2:AH83),$AH$2:$AH$1001,0),0), INDEX($AO$1004:$BQ$1004,1,MATCH(COLUMNS($AO$1006:AT1006),$AO$1006:$BQ$1006,0)))),"Fix")))</f>
        <v>#N/A</v>
      </c>
      <c r="H83" s="5" t="e">
        <f ca="1">IF(OR(INDEX($AI$2:$AI$1001,MATCH(ROWS($AH$2:AH83),$AH$2:$AH$1001,0),1)&gt;=100000,INDEX($AO$1005:$BQ$1005,1,MATCH(COLUMNS($AO$1006:AU1006),$AO$1006:$BQ$1006,0))&gt;=100000), " ",IF(INDEX($AO$2:$BQ$1001,MATCH(ROWS($AH$2:AH83),$AH$2:$AH$1001,0),MATCH(COLUMNS($AO$1006:AU1006),$AO$1006:$BQ$1006,0)), HYPERLINK("#",""), HYPERLINK(CONCATENATE("#Metadata!", ADDRESS(INDEX($AJ$2:$AJ$1001,MATCH(ROWS($AH$2:AH83),$AH$2:$AH$1001,0),0), INDEX($AO$1004:$BQ$1004,1,MATCH(COLUMNS($AO$1006:AU1006),$AO$1006:$BQ$1006,0)))),"Fix")))</f>
        <v>#N/A</v>
      </c>
      <c r="I83" s="5" t="e">
        <f ca="1">IF(OR(INDEX($AI$2:$AI$1001,MATCH(ROWS($AH$2:AH83),$AH$2:$AH$1001,0),1)&gt;=100000,INDEX($AO$1005:$BQ$1005,1,MATCH(COLUMNS($AO$1006:AV1006),$AO$1006:$BQ$1006,0))&gt;=100000), " ",IF(INDEX($AO$2:$BQ$1001,MATCH(ROWS($AH$2:AH83),$AH$2:$AH$1001,0),MATCH(COLUMNS($AO$1006:AV1006),$AO$1006:$BQ$1006,0)), HYPERLINK("#",""), HYPERLINK(CONCATENATE("#Metadata!", ADDRESS(INDEX($AJ$2:$AJ$1001,MATCH(ROWS($AH$2:AH83),$AH$2:$AH$1001,0),0), INDEX($AO$1004:$BQ$1004,1,MATCH(COLUMNS($AO$1006:AV1006),$AO$1006:$BQ$1006,0)))),"Fix")))</f>
        <v>#N/A</v>
      </c>
      <c r="J83" s="5" t="e">
        <f ca="1">IF(OR(INDEX($AI$2:$AI$1001,MATCH(ROWS($AH$2:AH83),$AH$2:$AH$1001,0),1)&gt;=100000,INDEX($AO$1005:$BQ$1005,1,MATCH(COLUMNS($AO$1006:AW1006),$AO$1006:$BQ$1006,0))&gt;=100000), " ",IF(INDEX($AO$2:$BQ$1001,MATCH(ROWS($AH$2:AH83),$AH$2:$AH$1001,0),MATCH(COLUMNS($AO$1006:AW1006),$AO$1006:$BQ$1006,0)), HYPERLINK("#",""), HYPERLINK(CONCATENATE("#Metadata!", ADDRESS(INDEX($AJ$2:$AJ$1001,MATCH(ROWS($AH$2:AH83),$AH$2:$AH$1001,0),0), INDEX($AO$1004:$BQ$1004,1,MATCH(COLUMNS($AO$1006:AW1006),$AO$1006:$BQ$1006,0)))),"Fix")))</f>
        <v>#N/A</v>
      </c>
      <c r="K83" s="5" t="e">
        <f ca="1">IF(OR(INDEX($AI$2:$AI$1001,MATCH(ROWS($AH$2:AH83),$AH$2:$AH$1001,0),1)&gt;=100000,INDEX($AO$1005:$BQ$1005,1,MATCH(COLUMNS($AO$1006:AX1006),$AO$1006:$BQ$1006,0))&gt;=100000), " ",IF(INDEX($AO$2:$BQ$1001,MATCH(ROWS($AH$2:AH83),$AH$2:$AH$1001,0),MATCH(COLUMNS($AO$1006:AX1006),$AO$1006:$BQ$1006,0)), HYPERLINK("#",""), HYPERLINK(CONCATENATE("#Metadata!", ADDRESS(INDEX($AJ$2:$AJ$1001,MATCH(ROWS($AH$2:AH83),$AH$2:$AH$1001,0),0), INDEX($AO$1004:$BQ$1004,1,MATCH(COLUMNS($AO$1006:AX1006),$AO$1006:$BQ$1006,0)))),"Fix")))</f>
        <v>#N/A</v>
      </c>
      <c r="L83" s="5" t="e">
        <f ca="1">IF(OR(INDEX($AI$2:$AI$1001,MATCH(ROWS($AH$2:AH83),$AH$2:$AH$1001,0),1)&gt;=100000,INDEX($AO$1005:$BQ$1005,1,MATCH(COLUMNS($AO$1006:AY1006),$AO$1006:$BQ$1006,0))&gt;=100000), " ",IF(INDEX($AO$2:$BQ$1001,MATCH(ROWS($AH$2:AH83),$AH$2:$AH$1001,0),MATCH(COLUMNS($AO$1006:AY1006),$AO$1006:$BQ$1006,0)), HYPERLINK("#",""), HYPERLINK(CONCATENATE("#Metadata!", ADDRESS(INDEX($AJ$2:$AJ$1001,MATCH(ROWS($AH$2:AH83),$AH$2:$AH$1001,0),0), INDEX($AO$1004:$BQ$1004,1,MATCH(COLUMNS($AO$1006:AY1006),$AO$1006:$BQ$1006,0)))),"Fix")))</f>
        <v>#N/A</v>
      </c>
      <c r="M83" s="5" t="e">
        <f ca="1">IF(OR(INDEX($AI$2:$AI$1001,MATCH(ROWS($AH$2:AH83),$AH$2:$AH$1001,0),1)&gt;=100000,INDEX($AO$1005:$BQ$1005,1,MATCH(COLUMNS($AO$1006:AZ1006),$AO$1006:$BQ$1006,0))&gt;=100000), " ",IF(INDEX($AO$2:$BQ$1001,MATCH(ROWS($AH$2:AH83),$AH$2:$AH$1001,0),MATCH(COLUMNS($AO$1006:AZ1006),$AO$1006:$BQ$1006,0)), HYPERLINK("#",""), HYPERLINK(CONCATENATE("#Metadata!", ADDRESS(INDEX($AJ$2:$AJ$1001,MATCH(ROWS($AH$2:AH83),$AH$2:$AH$1001,0),0), INDEX($AO$1004:$BQ$1004,1,MATCH(COLUMNS($AO$1006:AZ1006),$AO$1006:$BQ$1006,0)))),"Fix")))</f>
        <v>#N/A</v>
      </c>
      <c r="N83" s="5" t="e">
        <f ca="1">IF(OR(INDEX($AI$2:$AI$1001,MATCH(ROWS($AH$2:AH83),$AH$2:$AH$1001,0),1)&gt;=100000,INDEX($AO$1005:$BQ$1005,1,MATCH(COLUMNS($AO$1006:BA1006),$AO$1006:$BQ$1006,0))&gt;=100000), " ",IF(INDEX($AO$2:$BQ$1001,MATCH(ROWS($AH$2:AH83),$AH$2:$AH$1001,0),MATCH(COLUMNS($AO$1006:BA1006),$AO$1006:$BQ$1006,0)), HYPERLINK("#",""), HYPERLINK(CONCATENATE("#Metadata!", ADDRESS(INDEX($AJ$2:$AJ$1001,MATCH(ROWS($AH$2:AH83),$AH$2:$AH$1001,0),0), INDEX($AO$1004:$BQ$1004,1,MATCH(COLUMNS($AO$1006:BA1006),$AO$1006:$BQ$1006,0)))),"Fix")))</f>
        <v>#N/A</v>
      </c>
      <c r="O83" s="5" t="e">
        <f ca="1">IF(OR(INDEX($AI$2:$AI$1001,MATCH(ROWS($AH$2:AH83),$AH$2:$AH$1001,0),1)&gt;=100000,INDEX($AO$1005:$BQ$1005,1,MATCH(COLUMNS($AO$1006:BB1006),$AO$1006:$BQ$1006,0))&gt;=100000), " ",IF(INDEX($AO$2:$BQ$1001,MATCH(ROWS($AH$2:AH83),$AH$2:$AH$1001,0),MATCH(COLUMNS($AO$1006:BB1006),$AO$1006:$BQ$1006,0)), HYPERLINK("#",""), HYPERLINK(CONCATENATE("#Metadata!", ADDRESS(INDEX($AJ$2:$AJ$1001,MATCH(ROWS($AH$2:AH83),$AH$2:$AH$1001,0),0), INDEX($AO$1004:$BQ$1004,1,MATCH(COLUMNS($AO$1006:BB1006),$AO$1006:$BQ$1006,0)))),"Fix")))</f>
        <v>#N/A</v>
      </c>
      <c r="P83" s="5" t="e">
        <f ca="1">IF(OR(INDEX($AI$2:$AI$1001,MATCH(ROWS($AH$2:AH83),$AH$2:$AH$1001,0),1)&gt;=100000,INDEX($AO$1005:$BQ$1005,1,MATCH(COLUMNS($AO$1006:BC1006),$AO$1006:$BQ$1006,0))&gt;=100000), " ",IF(INDEX($AO$2:$BQ$1001,MATCH(ROWS($AH$2:AH83),$AH$2:$AH$1001,0),MATCH(COLUMNS($AO$1006:BC1006),$AO$1006:$BQ$1006,0)), HYPERLINK("#",""), HYPERLINK(CONCATENATE("#Metadata!", ADDRESS(INDEX($AJ$2:$AJ$1001,MATCH(ROWS($AH$2:AH83),$AH$2:$AH$1001,0),0), INDEX($AO$1004:$BQ$1004,1,MATCH(COLUMNS($AO$1006:BC1006),$AO$1006:$BQ$1006,0)))),"Fix")))</f>
        <v>#N/A</v>
      </c>
      <c r="Q83" s="5" t="e">
        <f ca="1">IF(OR(INDEX($AI$2:$AI$1001,MATCH(ROWS($AH$2:AH83),$AH$2:$AH$1001,0),1)&gt;=100000,INDEX($AO$1005:$BQ$1005,1,MATCH(COLUMNS($AO$1006:BD1006),$AO$1006:$BQ$1006,0))&gt;=100000), " ",IF(INDEX($AO$2:$BQ$1001,MATCH(ROWS($AH$2:AH83),$AH$2:$AH$1001,0),MATCH(COLUMNS($AO$1006:BD1006),$AO$1006:$BQ$1006,0)), HYPERLINK("#",""), HYPERLINK(CONCATENATE("#Metadata!", ADDRESS(INDEX($AJ$2:$AJ$1001,MATCH(ROWS($AH$2:AH83),$AH$2:$AH$1001,0),0), INDEX($AO$1004:$BQ$1004,1,MATCH(COLUMNS($AO$1006:BD1006),$AO$1006:$BQ$1006,0)))),"Fix")))</f>
        <v>#N/A</v>
      </c>
      <c r="R83" s="5" t="e">
        <f ca="1">IF(OR(INDEX($AI$2:$AI$1001,MATCH(ROWS($AH$2:AH83),$AH$2:$AH$1001,0),1)&gt;=100000,INDEX($AO$1005:$BQ$1005,1,MATCH(COLUMNS($AO$1006:BE1006),$AO$1006:$BQ$1006,0))&gt;=100000), " ",IF(INDEX($AO$2:$BQ$1001,MATCH(ROWS($AH$2:AH83),$AH$2:$AH$1001,0),MATCH(COLUMNS($AO$1006:BE1006),$AO$1006:$BQ$1006,0)), HYPERLINK("#",""), HYPERLINK(CONCATENATE("#Metadata!", ADDRESS(INDEX($AJ$2:$AJ$1001,MATCH(ROWS($AH$2:AH83),$AH$2:$AH$1001,0),0), INDEX($AO$1004:$BQ$1004,1,MATCH(COLUMNS($AO$1006:BE1006),$AO$1006:$BQ$1006,0)))),"Fix")))</f>
        <v>#N/A</v>
      </c>
      <c r="S83" s="5" t="e">
        <f ca="1">IF(OR(INDEX($AI$2:$AI$1001,MATCH(ROWS($AH$2:AH83),$AH$2:$AH$1001,0),1)&gt;=100000,INDEX($AO$1005:$BQ$1005,1,MATCH(COLUMNS($AO$1006:BF1006),$AO$1006:$BQ$1006,0))&gt;=100000), " ",IF(INDEX($AO$2:$BQ$1001,MATCH(ROWS($AH$2:AH83),$AH$2:$AH$1001,0),MATCH(COLUMNS($AO$1006:BF1006),$AO$1006:$BQ$1006,0)), HYPERLINK("#",""), HYPERLINK(CONCATENATE("#Metadata!", ADDRESS(INDEX($AJ$2:$AJ$1001,MATCH(ROWS($AH$2:AH83),$AH$2:$AH$1001,0),0), INDEX($AO$1004:$BQ$1004,1,MATCH(COLUMNS($AO$1006:BF1006),$AO$1006:$BQ$1006,0)))),"Fix")))</f>
        <v>#N/A</v>
      </c>
      <c r="T83" s="5" t="e">
        <f ca="1">IF(OR(INDEX($AI$2:$AI$1001,MATCH(ROWS($AH$2:AH83),$AH$2:$AH$1001,0),1)&gt;=100000,INDEX($AO$1005:$BQ$1005,1,MATCH(COLUMNS($AO$1006:BG1006),$AO$1006:$BQ$1006,0))&gt;=100000), " ",IF(INDEX($AO$2:$BQ$1001,MATCH(ROWS($AH$2:AH83),$AH$2:$AH$1001,0),MATCH(COLUMNS($AO$1006:BG1006),$AO$1006:$BQ$1006,0)), HYPERLINK("#",""), HYPERLINK(CONCATENATE("#Metadata!", ADDRESS(INDEX($AJ$2:$AJ$1001,MATCH(ROWS($AH$2:AH83),$AH$2:$AH$1001,0),0), INDEX($AO$1004:$BQ$1004,1,MATCH(COLUMNS($AO$1006:BG1006),$AO$1006:$BQ$1006,0)))),"Fix")))</f>
        <v>#N/A</v>
      </c>
      <c r="U83" s="5" t="e">
        <f ca="1">IF(OR(INDEX($AI$2:$AI$1001,MATCH(ROWS($AH$2:AH83),$AH$2:$AH$1001,0),1)&gt;=100000,INDEX($AO$1005:$BQ$1005,1,MATCH(COLUMNS($AO$1006:BH1006),$AO$1006:$BQ$1006,0))&gt;=100000), " ",IF(INDEX($AO$2:$BQ$1001,MATCH(ROWS($AH$2:AH83),$AH$2:$AH$1001,0),MATCH(COLUMNS($AO$1006:BH1006),$AO$1006:$BQ$1006,0)), HYPERLINK("#",""), HYPERLINK(CONCATENATE("#Metadata!", ADDRESS(INDEX($AJ$2:$AJ$1001,MATCH(ROWS($AH$2:AH83),$AH$2:$AH$1001,0),0), INDEX($AO$1004:$BQ$1004,1,MATCH(COLUMNS($AO$1006:BH1006),$AO$1006:$BQ$1006,0)))),"Fix")))</f>
        <v>#N/A</v>
      </c>
      <c r="V83" s="5" t="e">
        <f ca="1">IF(OR(INDEX($AI$2:$AI$1001,MATCH(ROWS($AH$2:AH83),$AH$2:$AH$1001,0),1)&gt;=100000,INDEX($AO$1005:$BQ$1005,1,MATCH(COLUMNS($AO$1006:BI1006),$AO$1006:$BQ$1006,0))&gt;=100000), " ",IF(INDEX($AO$2:$BQ$1001,MATCH(ROWS($AH$2:AH83),$AH$2:$AH$1001,0),MATCH(COLUMNS($AO$1006:BI1006),$AO$1006:$BQ$1006,0)), HYPERLINK("#",""), HYPERLINK(CONCATENATE("#Metadata!", ADDRESS(INDEX($AJ$2:$AJ$1001,MATCH(ROWS($AH$2:AH83),$AH$2:$AH$1001,0),0), INDEX($AO$1004:$BQ$1004,1,MATCH(COLUMNS($AO$1006:BI1006),$AO$1006:$BQ$1006,0)))),"Fix")))</f>
        <v>#N/A</v>
      </c>
      <c r="W83" s="5" t="e">
        <f ca="1">IF(OR(INDEX($AI$2:$AI$1001,MATCH(ROWS($AH$2:AH83),$AH$2:$AH$1001,0),1)&gt;=100000,INDEX($AO$1005:$BQ$1005,1,MATCH(COLUMNS($AO$1006:BJ1006),$AO$1006:$BQ$1006,0))&gt;=100000), " ",IF(INDEX($AO$2:$BQ$1001,MATCH(ROWS($AH$2:AH83),$AH$2:$AH$1001,0),MATCH(COLUMNS($AO$1006:BJ1006),$AO$1006:$BQ$1006,0)), HYPERLINK("#",""), HYPERLINK(CONCATENATE("#Metadata!", ADDRESS(INDEX($AJ$2:$AJ$1001,MATCH(ROWS($AH$2:AH83),$AH$2:$AH$1001,0),0), INDEX($AO$1004:$BQ$1004,1,MATCH(COLUMNS($AO$1006:BJ1006),$AO$1006:$BQ$1006,0)))),"Fix")))</f>
        <v>#N/A</v>
      </c>
      <c r="X83" s="5" t="e">
        <f ca="1">IF(OR(INDEX($AI$2:$AI$1001,MATCH(ROWS($AH$2:AH83),$AH$2:$AH$1001,0),1)&gt;=100000,INDEX($AO$1005:$BQ$1005,1,MATCH(COLUMNS($AO$1006:BK1006),$AO$1006:$BQ$1006,0))&gt;=100000), " ",IF(INDEX($AO$2:$BQ$1001,MATCH(ROWS($AH$2:AH83),$AH$2:$AH$1001,0),MATCH(COLUMNS($AO$1006:BK1006),$AO$1006:$BQ$1006,0)), HYPERLINK("#",""), HYPERLINK(CONCATENATE("#Metadata!", ADDRESS(INDEX($AJ$2:$AJ$1001,MATCH(ROWS($AH$2:AH83),$AH$2:$AH$1001,0),0), INDEX($AO$1004:$BQ$1004,1,MATCH(COLUMNS($AO$1006:BK1006),$AO$1006:$BQ$1006,0)))),"Fix")))</f>
        <v>#N/A</v>
      </c>
      <c r="Y83" s="5" t="e">
        <f ca="1">IF(OR(INDEX($AI$2:$AI$1001,MATCH(ROWS($AH$2:AH83),$AH$2:$AH$1001,0),1)&gt;=100000,INDEX($AO$1005:$BQ$1005,1,MATCH(COLUMNS($AO$1006:BL1006),$AO$1006:$BQ$1006,0))&gt;=100000), " ",IF(INDEX($AO$2:$BQ$1001,MATCH(ROWS($AH$2:AH83),$AH$2:$AH$1001,0),MATCH(COLUMNS($AO$1006:BL1006),$AO$1006:$BQ$1006,0)), HYPERLINK("#",""), HYPERLINK(CONCATENATE("#Metadata!", ADDRESS(INDEX($AJ$2:$AJ$1001,MATCH(ROWS($AH$2:AH83),$AH$2:$AH$1001,0),0), INDEX($AO$1004:$BQ$1004,1,MATCH(COLUMNS($AO$1006:BL1006),$AO$1006:$BQ$1006,0)))),"Fix")))</f>
        <v>#N/A</v>
      </c>
      <c r="Z83" s="5" t="e">
        <f ca="1">IF(OR(INDEX($AI$2:$AI$1001,MATCH(ROWS($AH$2:AH83),$AH$2:$AH$1001,0),1)&gt;=100000,INDEX($AO$1005:$BQ$1005,1,MATCH(COLUMNS($AO$1006:BM1006),$AO$1006:$BQ$1006,0))&gt;=100000), " ",IF(INDEX($AO$2:$BQ$1001,MATCH(ROWS($AH$2:AH83),$AH$2:$AH$1001,0),MATCH(COLUMNS($AO$1006:BM1006),$AO$1006:$BQ$1006,0)), HYPERLINK("#",""), HYPERLINK(CONCATENATE("#Metadata!", ADDRESS(INDEX($AJ$2:$AJ$1001,MATCH(ROWS($AH$2:AH83),$AH$2:$AH$1001,0),0), INDEX($AO$1004:$BQ$1004,1,MATCH(COLUMNS($AO$1006:BM1006),$AO$1006:$BQ$1006,0)))),"Fix")))</f>
        <v>#N/A</v>
      </c>
      <c r="AA83" s="5" t="e">
        <f ca="1">IF(OR(INDEX($AI$2:$AI$1001,MATCH(ROWS($AH$2:AH83),$AH$2:$AH$1001,0),1)&gt;=100000,INDEX($AO$1005:$BQ$1005,1,MATCH(COLUMNS($AO$1006:BN1006),$AO$1006:$BQ$1006,0))&gt;=100000), " ",IF(INDEX($AO$2:$BQ$1001,MATCH(ROWS($AH$2:AH83),$AH$2:$AH$1001,0),MATCH(COLUMNS($AO$1006:BN1006),$AO$1006:$BQ$1006,0)), HYPERLINK("#",""), HYPERLINK(CONCATENATE("#Metadata!", ADDRESS(INDEX($AJ$2:$AJ$1001,MATCH(ROWS($AH$2:AH83),$AH$2:$AH$1001,0),0), INDEX($AO$1004:$BQ$1004,1,MATCH(COLUMNS($AO$1006:BN1006),$AO$1006:$BQ$1006,0)))),"Fix")))</f>
        <v>#N/A</v>
      </c>
      <c r="AB83" s="5" t="e">
        <f ca="1">IF(OR(INDEX($AI$2:$AI$1001,MATCH(ROWS($AH$2:AH83),$AH$2:$AH$1001,0),1)&gt;=100000,INDEX($AO$1005:$BQ$1005,1,MATCH(COLUMNS($AO$1006:BO1006),$AO$1006:$BQ$1006,0))&gt;=100000), " ",IF(INDEX($AO$2:$BQ$1001,MATCH(ROWS($AH$2:AH83),$AH$2:$AH$1001,0),MATCH(COLUMNS($AO$1006:BO1006),$AO$1006:$BQ$1006,0)), HYPERLINK("#",""), HYPERLINK(CONCATENATE("#Metadata!", ADDRESS(INDEX($AJ$2:$AJ$1001,MATCH(ROWS($AH$2:AH83),$AH$2:$AH$1001,0),0), INDEX($AO$1004:$BQ$1004,1,MATCH(COLUMNS($AO$1006:BO1006),$AO$1006:$BQ$1006,0)))),"Fix")))</f>
        <v>#N/A</v>
      </c>
      <c r="AC83" s="5" t="e">
        <f ca="1">IF(OR(INDEX($AI$2:$AI$1001,MATCH(ROWS($AH$2:AH83),$AH$2:$AH$1001,0),1)&gt;=100000,INDEX($AO$1005:$BQ$1005,1,MATCH(COLUMNS($AO$1006:BP1006),$AO$1006:$BQ$1006,0))&gt;=100000), " ",IF(INDEX($AO$2:$BQ$1001,MATCH(ROWS($AH$2:AH83),$AH$2:$AH$1001,0),MATCH(COLUMNS($AO$1006:BP1006),$AO$1006:$BQ$1006,0)), HYPERLINK("#",""), HYPERLINK(CONCATENATE("#Metadata!", ADDRESS(INDEX($AJ$2:$AJ$1001,MATCH(ROWS($AH$2:AH83),$AH$2:$AH$1001,0),0), INDEX($AO$1004:$BQ$1004,1,MATCH(COLUMNS($AO$1006:BP1006),$AO$1006:$BQ$1006,0)))),"Fix")))</f>
        <v>#N/A</v>
      </c>
      <c r="AD83" s="5" t="e">
        <f ca="1">IF(OR(INDEX($AI$2:$AI$1001,MATCH(ROWS($AH$2:AH83),$AH$2:$AH$1001,0),1)&gt;=100000,INDEX($AO$1005:$BQ$1005,1,MATCH(COLUMNS($AO$1006:BQ1006),$AO$1006:$BQ$1006,0))&gt;=100000), " ",IF(INDEX($AO$2:$BQ$1001,MATCH(ROWS($AH$2:AH83),$AH$2:$AH$1001,0),MATCH(COLUMNS($AO$1006:BQ1006),$AO$1006:$BQ$1006,0)), HYPERLINK("#",""), HYPERLINK(CONCATENATE("#Metadata!", ADDRESS(INDEX($AJ$2:$AJ$1001,MATCH(ROWS($AH$2:AH83),$AH$2:$AH$1001,0),0), INDEX($AO$1004:$BQ$1004,1,MATCH(COLUMNS($AO$1006:BQ1006),$AO$1006:$BQ$1006,0)))),"Fix")))</f>
        <v>#REF!</v>
      </c>
      <c r="AH83">
        <f ca="1"/>
        <v>80</v>
      </c>
      <c r="AI83">
        <v>100083</v>
      </c>
      <c r="AJ83">
        <v>83</v>
      </c>
      <c r="AK83" t="b">
        <f t="shared" si="1"/>
        <v>1</v>
      </c>
      <c r="AL83" t="b">
        <f>COUNTBLANK(Metadata!B83:AD83)=COLUMNS(Metadata!B83:AD83)</f>
        <v>1</v>
      </c>
      <c r="AM83" t="str">
        <v/>
      </c>
      <c r="AO83" t="b">
        <f ca="1">AND(IF(Metadata!B83="",FALSE,TRUE),COUNTIF(Metadata!B:B, Metadata!B83) = 1,NOT(ISERROR(SUMPRODUCT(SEARCH(MID(Metadata!B83,ROW(INDIRECT("1:"&amp;LEN(Metadata!B83))), 1),"0123456789abcdefghijklmnopqrstuvwxyzABCDEFGHIJKLMNOPQRSTUVWXYZ.")))))</f>
        <v>0</v>
      </c>
      <c r="AP83" t="b">
        <f>IF(Metadata!C83="",FALSE,TRUE)</f>
        <v>0</v>
      </c>
      <c r="AQ83" t="b">
        <f>IF(Metadata!D83="",FALSE,TRUE)</f>
        <v>0</v>
      </c>
      <c r="AR83" t="b">
        <f ca="1">OR(AND(IF(Metadata!E83="",FALSE,TRUE),OR(EXACT(Metadata!E83,"not collected"),EXACT(Metadata!E83,"not provided"),EXACT(Metadata!E83,"restricted access"))),AND(IF(Metadata!E83="",FALSE,TRUE),AND(AND(IFERROR(INT(LEFT(Metadata!E83,4))&gt;1900,FALSE),IFERROR(INT(LEFT(Metadata!E83,4))&lt;=YEAR(NOW()),FALSE)), OR(MID(Metadata!E83,5,1)="", AND(AND(MID(Metadata!E83,5,1)="-",IFERROR(INT(MID(Metadata!E83,6,1))&gt;=0,FALSE),IFERROR(INT(MID(Metadata!E83,6,1))&lt;=1,FALSE),NOT(MID(Metadata!E83,7,1)=""),IFERROR(INT(MID(Metadata!E83,6,2))&gt;=1,FALSE),IFERROR(INT(MID(Metadata!E83,6,2))&lt;=12,FALSE)), OR(MID(Metadata!E83,8,1)="", AND(AND(MID(Metadata!E83,8,1)="-",IFERROR(INT(MID(Metadata!E83,9,1))&gt;=0,FALSE),IFERROR(INT(MID(Metadata!E83,9,1))&lt;=3,FALSE),NOT(MID(Metadata!E83,10,1)=""),IFERROR(INT(MID(Metadata!E83,9,2))&gt;=1,FALSE),IFERROR(INT(MID(Metadata!E83,9,2))&lt;=31,FALSE)), OR(MID(Metadata!E83,11,1)="", AND(AND(MID(Metadata!E83,11,1)=" ",IFERROR(INT(MID(Metadata!E83,12,1))&gt;=0,FALSE),IFERROR(INT(MID(Metadata!E83,12,1))&lt;=2,FALSE),NOT(MID(Metadata!E83,13,1)=""),IFERROR(INT(MID(Metadata!E83,12,2))&gt;=0,FALSE),IFERROR(INT(MID(Metadata!E83,12,2))&lt;=23,FALSE)), OR(MID(Metadata!E83,14,1)="", AND(AND(MID(Metadata!E83,14,1)=":",IFERROR(INT(MID(Metadata!E83,15,1))&gt;=0,FALSE),IFERROR(INT(MID(Metadata!E83,15,1))&lt;=5,FALSE),NOT(MID(Metadata!E83,16,1)=""),IFERROR(INT(MID(Metadata!E83,15,2))&gt;=0,FALSE),IFERROR(INT(MID(Metadata!E83,15,2))&lt;=59,FALSE)), OR(MID(Metadata!E83,17,1)="", AND(AND(MID(Metadata!E83,17,1)=":",IFERROR(INT(MID(Metadata!E83,18,1))&gt;=0,FALSE),IFERROR(INT(MID(Metadata!E83,18,1))&lt;=5,FALSE),NOT(MID(Metadata!E83,19,1)=""),IFERROR(INT(MID(Metadata!E83,18,2))&gt;=0,FALSE),IFERROR(INT(MID(Metadata!E83,18,2))&lt;=59,FALSE)), LEN(Metadata!E83)&lt;=19)))))))))))))</f>
        <v>0</v>
      </c>
      <c r="AS83" t="b">
        <f>IF(Metadata!F83="",FALSE,TRUE)</f>
        <v>0</v>
      </c>
      <c r="AT83" t="b">
        <f>OR(AND(IF(Metadata!G83="",FALSE,TRUE),OR(EXACT(Metadata!G83,"not collected"),EXACT(Metadata!G83,"not provided"))),AND(IF(Metadata!G83="",FALSE,TRUE),OR(EXACT(Metadata!G83,"TRUE"),EXACT(Metadata!G83,"FALSE"))))</f>
        <v>0</v>
      </c>
      <c r="AU83" t="b">
        <f>OR(AND(IF(Metadata!H83="",FALSE,TRUE),OR(EXACT(Metadata!H83,"not collected"),EXACT(Metadata!H83,"not provided"),EXACT(Metadata!H83,"restricted access"))),AND(IF(Metadata!H83="",FALSE,ISNUMBER(VALUE(Metadata!H83))),Metadata!H83&gt;=-413))</f>
        <v>0</v>
      </c>
      <c r="AV83" t="b">
        <f>AND(IF(Metadata!I83="",FALSE,TRUE),EXACT(Metadata!I83,"meters"))</f>
        <v>0</v>
      </c>
      <c r="AW83" t="b">
        <f>AND(IF(Metadata!J83="",FALSE,TRUE),EXACT(Metadata!J83,"free-living"))</f>
        <v>0</v>
      </c>
      <c r="AX83" t="b">
        <f>AND(IF(Metadata!K83="",FALSE,TRUE),OR(EXACT(Metadata!K83,"saline"),EXACT(Metadata!K83,"non-saline")))</f>
        <v>0</v>
      </c>
      <c r="AY83" t="b">
        <f>AND(IF(Metadata!L83="",FALSE,TRUE),OR(EXACT(Metadata!L83,"sub-surface (non-saline)"),EXACT(Metadata!L83,"surface (non-saline)"),EXACT(Metadata!L83,"water (non-saline)"),EXACT(Metadata!L83,"soil (non-saline)"),EXACT(Metadata!L83,"aerosol (non-saline)"),EXACT(Metadata!L83,"sediment (non-saline)"),EXACT(Metadata!L83,"surface (saline)"),EXACT(Metadata!L83,"water (saline)"),EXACT(Metadata!L83,"hypersaline (saline)"),EXACT(Metadata!L83,"aerosol (saline)"),EXACT(Metadata!L83,"sediment (saline)")))</f>
        <v>0</v>
      </c>
      <c r="AZ83" t="b">
        <f>IF(Metadata!M83="",FALSE,TRUE)</f>
        <v>0</v>
      </c>
      <c r="BA83" t="b">
        <f>IF(Metadata!N83="",FALSE,TRUE)</f>
        <v>0</v>
      </c>
      <c r="BB83" t="b">
        <f>IF(Metadata!O83="",FALSE,TRUE)</f>
        <v>0</v>
      </c>
      <c r="BC83" t="b">
        <f>AND(IF(Metadata!P83="",FALSE,TRUE),OR(EXACT(Metadata!P83,"air"),EXACT(Metadata!P83,"microbial mat/biofilm"),EXACT(Metadata!P83,"misc environment"),EXACT(Metadata!P83,"sediment"),EXACT(Metadata!P83,"soil"),EXACT(Metadata!P83,"wastewater/sludge"),EXACT(Metadata!P83,"water")))</f>
        <v>0</v>
      </c>
      <c r="BD83" t="b">
        <f>IF(Metadata!Q83="",FALSE,TRUE)</f>
        <v>0</v>
      </c>
      <c r="BE83" t="b">
        <f>IF(Metadata!R83="",FALSE,TRUE)</f>
        <v>0</v>
      </c>
      <c r="BF83" t="b">
        <f>OR(AND(IF(Metadata!S83="",FALSE,TRUE),OR(EXACT(Metadata!S83,"not collected"),EXACT(Metadata!S83,"not provided"),EXACT(Metadata!S83,"restricted access"))),AND(IF(Metadata!S83="",FALSE,ISNUMBER(VALUE(Metadata!S83))),Metadata!S83&gt;=-90,Metadata!S83&lt;=90))</f>
        <v>0</v>
      </c>
      <c r="BG83" t="b">
        <f>AND(IF(Metadata!T83="",FALSE,TRUE),EXACT(Metadata!T83,"Decimal degrees"))</f>
        <v>0</v>
      </c>
      <c r="BH83" t="b">
        <f>OR(AND(IF(Metadata!U83="",FALSE,TRUE),OR(EXACT(Metadata!U83,"not applicable"),EXACT(Metadata!U83,"not collected"))),IF(Metadata!U83="",FALSE,TRUE))</f>
        <v>0</v>
      </c>
      <c r="BI83" t="b">
        <f>OR(AND(IF(Metadata!V83="",FALSE,TRUE),OR(EXACT(Metadata!V83,"not collected"),EXACT(Metadata!V83,"not provided"),EXACT(Metadata!V83,"restricted access"))),AND(IF(Metadata!V83="",FALSE,ISNUMBER(VALUE(Metadata!V83))),Metadata!V83&gt;=-180,Metadata!V83&lt;=180))</f>
        <v>0</v>
      </c>
      <c r="BJ83" t="b">
        <f>AND(IF(Metadata!W83="",FALSE,TRUE),EXACT(Metadata!W83,"Decimal degrees"))</f>
        <v>0</v>
      </c>
      <c r="BK83" t="b">
        <f>IF(Metadata!X83="",FALSE,TRUE)</f>
        <v>0</v>
      </c>
      <c r="BL83" t="b">
        <f>OR(AND(IF(Metadata!Y83="",FALSE,TRUE),OR(EXACT(Metadata!Y83,"not collected"),EXACT(Metadata!Y83,"not provided"),EXACT(Metadata!Y83,"restricted access"))),AND(IF(Metadata!Y83="",FALSE,TRUE),OR(EXACT(Metadata!Y83,"TRUE"),EXACT(Metadata!Y83,"FALSE"))))</f>
        <v>0</v>
      </c>
      <c r="BM83" t="b">
        <f>OR(AND(IF(Metadata!Z83="",FALSE,TRUE),EXACT(Metadata!Z83,"not applicable")),AND(IF(Metadata!Z83="",FALSE,TRUE),OR(EXACT(Metadata!Z83,"beer"),EXACT(Metadata!Z83,"cheese"),EXACT(Metadata!Z83,"fresh water"),EXACT(Metadata!Z83,"marine sediment"),EXACT(Metadata!Z83,"sea water"),EXACT(Metadata!Z83,"sediment"),EXACT(Metadata!Z83,"soil"),EXACT(Metadata!Z83,"waste water"))))</f>
        <v>0</v>
      </c>
      <c r="BN83" t="b">
        <f>AND(IF(Metadata!AA83="",FALSE,TRUE),EXACT(Metadata!AA83,"metagenome"))</f>
        <v>0</v>
      </c>
      <c r="BO83" t="b">
        <f>AND(IF(Metadata!AB83="",FALSE,TRUE),EXACT(Metadata!AB83,"256318"))</f>
        <v>0</v>
      </c>
      <c r="BP83" t="b">
        <f>IF(Metadata!AC83="",FALSE,TRUE)</f>
        <v>0</v>
      </c>
      <c r="BQ83" t="b">
        <f>IF(Metadata!AD83="",FALSE,TRUE)</f>
        <v>0</v>
      </c>
    </row>
    <row r="84" spans="1:69" x14ac:dyDescent="0.2">
      <c r="A84" s="4" t="e">
        <f ca="1">IF(B84=" "," ",HYPERLINK(CONCATENATE("#metadata!",ADDRESS(INDEX($AJ$2:$AJ$1001,MATCH(ROWS($AH$2:AH84),$AH$2:$AH$1001,0),0),2)),INDEX($AM$2:$AM$1001,MATCH(ROWS($AH$2:AH84),$AH$2:$AH$1001,0),0)))</f>
        <v>#N/A</v>
      </c>
      <c r="B84" s="5" t="e">
        <f ca="1">IF(OR(INDEX($AI$2:$AI$1001,MATCH(ROWS($AH$2:AH84),$AH$2:$AH$1001,0),1)&gt;=100000,INDEX($AO$1005:$BQ$1005,1,MATCH(COLUMNS($AO$1006:AO1006),$AO$1006:$BQ$1006,0))&gt;=100000), " ",IF(INDEX($AO$2:$BQ$1001,MATCH(ROWS($AH$2:AH84),$AH$2:$AH$1001,0),MATCH(COLUMNS($AO$1006:AO1006),$AO$1006:$BQ$1006,0)), HYPERLINK("#",""), HYPERLINK(CONCATENATE("#Metadata!", ADDRESS(INDEX($AJ$2:$AJ$1001,MATCH(ROWS($AH$2:AH84),$AH$2:$AH$1001,0),0), INDEX($AO$1004:$BQ$1004,1,MATCH(COLUMNS($AO$1006:AO1006),$AO$1006:$BQ$1006,0)))),"Fix")))</f>
        <v>#N/A</v>
      </c>
      <c r="C84" s="5" t="e">
        <f ca="1">IF(OR(INDEX($AI$2:$AI$1001,MATCH(ROWS($AH$2:AH84),$AH$2:$AH$1001,0),1)&gt;=100000,INDEX($AO$1005:$BQ$1005,1,MATCH(COLUMNS($AO$1006:AP1006),$AO$1006:$BQ$1006,0))&gt;=100000), " ",IF(INDEX($AO$2:$BQ$1001,MATCH(ROWS($AH$2:AH84),$AH$2:$AH$1001,0),MATCH(COLUMNS($AO$1006:AP1006),$AO$1006:$BQ$1006,0)), HYPERLINK("#",""), HYPERLINK(CONCATENATE("#Metadata!", ADDRESS(INDEX($AJ$2:$AJ$1001,MATCH(ROWS($AH$2:AH84),$AH$2:$AH$1001,0),0), INDEX($AO$1004:$BQ$1004,1,MATCH(COLUMNS($AO$1006:AP1006),$AO$1006:$BQ$1006,0)))),"Fix")))</f>
        <v>#N/A</v>
      </c>
      <c r="D84" s="5" t="e">
        <f ca="1">IF(OR(INDEX($AI$2:$AI$1001,MATCH(ROWS($AH$2:AH84),$AH$2:$AH$1001,0),1)&gt;=100000,INDEX($AO$1005:$BQ$1005,1,MATCH(COLUMNS($AO$1006:AQ1006),$AO$1006:$BQ$1006,0))&gt;=100000), " ",IF(INDEX($AO$2:$BQ$1001,MATCH(ROWS($AH$2:AH84),$AH$2:$AH$1001,0),MATCH(COLUMNS($AO$1006:AQ1006),$AO$1006:$BQ$1006,0)), HYPERLINK("#",""), HYPERLINK(CONCATENATE("#Metadata!", ADDRESS(INDEX($AJ$2:$AJ$1001,MATCH(ROWS($AH$2:AH84),$AH$2:$AH$1001,0),0), INDEX($AO$1004:$BQ$1004,1,MATCH(COLUMNS($AO$1006:AQ1006),$AO$1006:$BQ$1006,0)))),"Fix")))</f>
        <v>#N/A</v>
      </c>
      <c r="E84" s="5" t="e">
        <f ca="1">IF(OR(INDEX($AI$2:$AI$1001,MATCH(ROWS($AH$2:AH84),$AH$2:$AH$1001,0),1)&gt;=100000,INDEX($AO$1005:$BQ$1005,1,MATCH(COLUMNS($AO$1006:AR1006),$AO$1006:$BQ$1006,0))&gt;=100000), " ",IF(INDEX($AO$2:$BQ$1001,MATCH(ROWS($AH$2:AH84),$AH$2:$AH$1001,0),MATCH(COLUMNS($AO$1006:AR1006),$AO$1006:$BQ$1006,0)), HYPERLINK("#",""), HYPERLINK(CONCATENATE("#Metadata!", ADDRESS(INDEX($AJ$2:$AJ$1001,MATCH(ROWS($AH$2:AH84),$AH$2:$AH$1001,0),0), INDEX($AO$1004:$BQ$1004,1,MATCH(COLUMNS($AO$1006:AR1006),$AO$1006:$BQ$1006,0)))),"Fix")))</f>
        <v>#N/A</v>
      </c>
      <c r="F84" s="5" t="e">
        <f ca="1">IF(OR(INDEX($AI$2:$AI$1001,MATCH(ROWS($AH$2:AH84),$AH$2:$AH$1001,0),1)&gt;=100000,INDEX($AO$1005:$BQ$1005,1,MATCH(COLUMNS($AO$1006:AS1006),$AO$1006:$BQ$1006,0))&gt;=100000), " ",IF(INDEX($AO$2:$BQ$1001,MATCH(ROWS($AH$2:AH84),$AH$2:$AH$1001,0),MATCH(COLUMNS($AO$1006:AS1006),$AO$1006:$BQ$1006,0)), HYPERLINK("#",""), HYPERLINK(CONCATENATE("#Metadata!", ADDRESS(INDEX($AJ$2:$AJ$1001,MATCH(ROWS($AH$2:AH84),$AH$2:$AH$1001,0),0), INDEX($AO$1004:$BQ$1004,1,MATCH(COLUMNS($AO$1006:AS1006),$AO$1006:$BQ$1006,0)))),"Fix")))</f>
        <v>#N/A</v>
      </c>
      <c r="G84" s="5" t="e">
        <f ca="1">IF(OR(INDEX($AI$2:$AI$1001,MATCH(ROWS($AH$2:AH84),$AH$2:$AH$1001,0),1)&gt;=100000,INDEX($AO$1005:$BQ$1005,1,MATCH(COLUMNS($AO$1006:AT1006),$AO$1006:$BQ$1006,0))&gt;=100000), " ",IF(INDEX($AO$2:$BQ$1001,MATCH(ROWS($AH$2:AH84),$AH$2:$AH$1001,0),MATCH(COLUMNS($AO$1006:AT1006),$AO$1006:$BQ$1006,0)), HYPERLINK("#",""), HYPERLINK(CONCATENATE("#Metadata!", ADDRESS(INDEX($AJ$2:$AJ$1001,MATCH(ROWS($AH$2:AH84),$AH$2:$AH$1001,0),0), INDEX($AO$1004:$BQ$1004,1,MATCH(COLUMNS($AO$1006:AT1006),$AO$1006:$BQ$1006,0)))),"Fix")))</f>
        <v>#N/A</v>
      </c>
      <c r="H84" s="5" t="e">
        <f ca="1">IF(OR(INDEX($AI$2:$AI$1001,MATCH(ROWS($AH$2:AH84),$AH$2:$AH$1001,0),1)&gt;=100000,INDEX($AO$1005:$BQ$1005,1,MATCH(COLUMNS($AO$1006:AU1006),$AO$1006:$BQ$1006,0))&gt;=100000), " ",IF(INDEX($AO$2:$BQ$1001,MATCH(ROWS($AH$2:AH84),$AH$2:$AH$1001,0),MATCH(COLUMNS($AO$1006:AU1006),$AO$1006:$BQ$1006,0)), HYPERLINK("#",""), HYPERLINK(CONCATENATE("#Metadata!", ADDRESS(INDEX($AJ$2:$AJ$1001,MATCH(ROWS($AH$2:AH84),$AH$2:$AH$1001,0),0), INDEX($AO$1004:$BQ$1004,1,MATCH(COLUMNS($AO$1006:AU1006),$AO$1006:$BQ$1006,0)))),"Fix")))</f>
        <v>#N/A</v>
      </c>
      <c r="I84" s="5" t="e">
        <f ca="1">IF(OR(INDEX($AI$2:$AI$1001,MATCH(ROWS($AH$2:AH84),$AH$2:$AH$1001,0),1)&gt;=100000,INDEX($AO$1005:$BQ$1005,1,MATCH(COLUMNS($AO$1006:AV1006),$AO$1006:$BQ$1006,0))&gt;=100000), " ",IF(INDEX($AO$2:$BQ$1001,MATCH(ROWS($AH$2:AH84),$AH$2:$AH$1001,0),MATCH(COLUMNS($AO$1006:AV1006),$AO$1006:$BQ$1006,0)), HYPERLINK("#",""), HYPERLINK(CONCATENATE("#Metadata!", ADDRESS(INDEX($AJ$2:$AJ$1001,MATCH(ROWS($AH$2:AH84),$AH$2:$AH$1001,0),0), INDEX($AO$1004:$BQ$1004,1,MATCH(COLUMNS($AO$1006:AV1006),$AO$1006:$BQ$1006,0)))),"Fix")))</f>
        <v>#N/A</v>
      </c>
      <c r="J84" s="5" t="e">
        <f ca="1">IF(OR(INDEX($AI$2:$AI$1001,MATCH(ROWS($AH$2:AH84),$AH$2:$AH$1001,0),1)&gt;=100000,INDEX($AO$1005:$BQ$1005,1,MATCH(COLUMNS($AO$1006:AW1006),$AO$1006:$BQ$1006,0))&gt;=100000), " ",IF(INDEX($AO$2:$BQ$1001,MATCH(ROWS($AH$2:AH84),$AH$2:$AH$1001,0),MATCH(COLUMNS($AO$1006:AW1006),$AO$1006:$BQ$1006,0)), HYPERLINK("#",""), HYPERLINK(CONCATENATE("#Metadata!", ADDRESS(INDEX($AJ$2:$AJ$1001,MATCH(ROWS($AH$2:AH84),$AH$2:$AH$1001,0),0), INDEX($AO$1004:$BQ$1004,1,MATCH(COLUMNS($AO$1006:AW1006),$AO$1006:$BQ$1006,0)))),"Fix")))</f>
        <v>#N/A</v>
      </c>
      <c r="K84" s="5" t="e">
        <f ca="1">IF(OR(INDEX($AI$2:$AI$1001,MATCH(ROWS($AH$2:AH84),$AH$2:$AH$1001,0),1)&gt;=100000,INDEX($AO$1005:$BQ$1005,1,MATCH(COLUMNS($AO$1006:AX1006),$AO$1006:$BQ$1006,0))&gt;=100000), " ",IF(INDEX($AO$2:$BQ$1001,MATCH(ROWS($AH$2:AH84),$AH$2:$AH$1001,0),MATCH(COLUMNS($AO$1006:AX1006),$AO$1006:$BQ$1006,0)), HYPERLINK("#",""), HYPERLINK(CONCATENATE("#Metadata!", ADDRESS(INDEX($AJ$2:$AJ$1001,MATCH(ROWS($AH$2:AH84),$AH$2:$AH$1001,0),0), INDEX($AO$1004:$BQ$1004,1,MATCH(COLUMNS($AO$1006:AX1006),$AO$1006:$BQ$1006,0)))),"Fix")))</f>
        <v>#N/A</v>
      </c>
      <c r="L84" s="5" t="e">
        <f ca="1">IF(OR(INDEX($AI$2:$AI$1001,MATCH(ROWS($AH$2:AH84),$AH$2:$AH$1001,0),1)&gt;=100000,INDEX($AO$1005:$BQ$1005,1,MATCH(COLUMNS($AO$1006:AY1006),$AO$1006:$BQ$1006,0))&gt;=100000), " ",IF(INDEX($AO$2:$BQ$1001,MATCH(ROWS($AH$2:AH84),$AH$2:$AH$1001,0),MATCH(COLUMNS($AO$1006:AY1006),$AO$1006:$BQ$1006,0)), HYPERLINK("#",""), HYPERLINK(CONCATENATE("#Metadata!", ADDRESS(INDEX($AJ$2:$AJ$1001,MATCH(ROWS($AH$2:AH84),$AH$2:$AH$1001,0),0), INDEX($AO$1004:$BQ$1004,1,MATCH(COLUMNS($AO$1006:AY1006),$AO$1006:$BQ$1006,0)))),"Fix")))</f>
        <v>#N/A</v>
      </c>
      <c r="M84" s="5" t="e">
        <f ca="1">IF(OR(INDEX($AI$2:$AI$1001,MATCH(ROWS($AH$2:AH84),$AH$2:$AH$1001,0),1)&gt;=100000,INDEX($AO$1005:$BQ$1005,1,MATCH(COLUMNS($AO$1006:AZ1006),$AO$1006:$BQ$1006,0))&gt;=100000), " ",IF(INDEX($AO$2:$BQ$1001,MATCH(ROWS($AH$2:AH84),$AH$2:$AH$1001,0),MATCH(COLUMNS($AO$1006:AZ1006),$AO$1006:$BQ$1006,0)), HYPERLINK("#",""), HYPERLINK(CONCATENATE("#Metadata!", ADDRESS(INDEX($AJ$2:$AJ$1001,MATCH(ROWS($AH$2:AH84),$AH$2:$AH$1001,0),0), INDEX($AO$1004:$BQ$1004,1,MATCH(COLUMNS($AO$1006:AZ1006),$AO$1006:$BQ$1006,0)))),"Fix")))</f>
        <v>#N/A</v>
      </c>
      <c r="N84" s="5" t="e">
        <f ca="1">IF(OR(INDEX($AI$2:$AI$1001,MATCH(ROWS($AH$2:AH84),$AH$2:$AH$1001,0),1)&gt;=100000,INDEX($AO$1005:$BQ$1005,1,MATCH(COLUMNS($AO$1006:BA1006),$AO$1006:$BQ$1006,0))&gt;=100000), " ",IF(INDEX($AO$2:$BQ$1001,MATCH(ROWS($AH$2:AH84),$AH$2:$AH$1001,0),MATCH(COLUMNS($AO$1006:BA1006),$AO$1006:$BQ$1006,0)), HYPERLINK("#",""), HYPERLINK(CONCATENATE("#Metadata!", ADDRESS(INDEX($AJ$2:$AJ$1001,MATCH(ROWS($AH$2:AH84),$AH$2:$AH$1001,0),0), INDEX($AO$1004:$BQ$1004,1,MATCH(COLUMNS($AO$1006:BA1006),$AO$1006:$BQ$1006,0)))),"Fix")))</f>
        <v>#N/A</v>
      </c>
      <c r="O84" s="5" t="e">
        <f ca="1">IF(OR(INDEX($AI$2:$AI$1001,MATCH(ROWS($AH$2:AH84),$AH$2:$AH$1001,0),1)&gt;=100000,INDEX($AO$1005:$BQ$1005,1,MATCH(COLUMNS($AO$1006:BB1006),$AO$1006:$BQ$1006,0))&gt;=100000), " ",IF(INDEX($AO$2:$BQ$1001,MATCH(ROWS($AH$2:AH84),$AH$2:$AH$1001,0),MATCH(COLUMNS($AO$1006:BB1006),$AO$1006:$BQ$1006,0)), HYPERLINK("#",""), HYPERLINK(CONCATENATE("#Metadata!", ADDRESS(INDEX($AJ$2:$AJ$1001,MATCH(ROWS($AH$2:AH84),$AH$2:$AH$1001,0),0), INDEX($AO$1004:$BQ$1004,1,MATCH(COLUMNS($AO$1006:BB1006),$AO$1006:$BQ$1006,0)))),"Fix")))</f>
        <v>#N/A</v>
      </c>
      <c r="P84" s="5" t="e">
        <f ca="1">IF(OR(INDEX($AI$2:$AI$1001,MATCH(ROWS($AH$2:AH84),$AH$2:$AH$1001,0),1)&gt;=100000,INDEX($AO$1005:$BQ$1005,1,MATCH(COLUMNS($AO$1006:BC1006),$AO$1006:$BQ$1006,0))&gt;=100000), " ",IF(INDEX($AO$2:$BQ$1001,MATCH(ROWS($AH$2:AH84),$AH$2:$AH$1001,0),MATCH(COLUMNS($AO$1006:BC1006),$AO$1006:$BQ$1006,0)), HYPERLINK("#",""), HYPERLINK(CONCATENATE("#Metadata!", ADDRESS(INDEX($AJ$2:$AJ$1001,MATCH(ROWS($AH$2:AH84),$AH$2:$AH$1001,0),0), INDEX($AO$1004:$BQ$1004,1,MATCH(COLUMNS($AO$1006:BC1006),$AO$1006:$BQ$1006,0)))),"Fix")))</f>
        <v>#N/A</v>
      </c>
      <c r="Q84" s="5" t="e">
        <f ca="1">IF(OR(INDEX($AI$2:$AI$1001,MATCH(ROWS($AH$2:AH84),$AH$2:$AH$1001,0),1)&gt;=100000,INDEX($AO$1005:$BQ$1005,1,MATCH(COLUMNS($AO$1006:BD1006),$AO$1006:$BQ$1006,0))&gt;=100000), " ",IF(INDEX($AO$2:$BQ$1001,MATCH(ROWS($AH$2:AH84),$AH$2:$AH$1001,0),MATCH(COLUMNS($AO$1006:BD1006),$AO$1006:$BQ$1006,0)), HYPERLINK("#",""), HYPERLINK(CONCATENATE("#Metadata!", ADDRESS(INDEX($AJ$2:$AJ$1001,MATCH(ROWS($AH$2:AH84),$AH$2:$AH$1001,0),0), INDEX($AO$1004:$BQ$1004,1,MATCH(COLUMNS($AO$1006:BD1006),$AO$1006:$BQ$1006,0)))),"Fix")))</f>
        <v>#N/A</v>
      </c>
      <c r="R84" s="5" t="e">
        <f ca="1">IF(OR(INDEX($AI$2:$AI$1001,MATCH(ROWS($AH$2:AH84),$AH$2:$AH$1001,0),1)&gt;=100000,INDEX($AO$1005:$BQ$1005,1,MATCH(COLUMNS($AO$1006:BE1006),$AO$1006:$BQ$1006,0))&gt;=100000), " ",IF(INDEX($AO$2:$BQ$1001,MATCH(ROWS($AH$2:AH84),$AH$2:$AH$1001,0),MATCH(COLUMNS($AO$1006:BE1006),$AO$1006:$BQ$1006,0)), HYPERLINK("#",""), HYPERLINK(CONCATENATE("#Metadata!", ADDRESS(INDEX($AJ$2:$AJ$1001,MATCH(ROWS($AH$2:AH84),$AH$2:$AH$1001,0),0), INDEX($AO$1004:$BQ$1004,1,MATCH(COLUMNS($AO$1006:BE1006),$AO$1006:$BQ$1006,0)))),"Fix")))</f>
        <v>#N/A</v>
      </c>
      <c r="S84" s="5" t="e">
        <f ca="1">IF(OR(INDEX($AI$2:$AI$1001,MATCH(ROWS($AH$2:AH84),$AH$2:$AH$1001,0),1)&gt;=100000,INDEX($AO$1005:$BQ$1005,1,MATCH(COLUMNS($AO$1006:BF1006),$AO$1006:$BQ$1006,0))&gt;=100000), " ",IF(INDEX($AO$2:$BQ$1001,MATCH(ROWS($AH$2:AH84),$AH$2:$AH$1001,0),MATCH(COLUMNS($AO$1006:BF1006),$AO$1006:$BQ$1006,0)), HYPERLINK("#",""), HYPERLINK(CONCATENATE("#Metadata!", ADDRESS(INDEX($AJ$2:$AJ$1001,MATCH(ROWS($AH$2:AH84),$AH$2:$AH$1001,0),0), INDEX($AO$1004:$BQ$1004,1,MATCH(COLUMNS($AO$1006:BF1006),$AO$1006:$BQ$1006,0)))),"Fix")))</f>
        <v>#N/A</v>
      </c>
      <c r="T84" s="5" t="e">
        <f ca="1">IF(OR(INDEX($AI$2:$AI$1001,MATCH(ROWS($AH$2:AH84),$AH$2:$AH$1001,0),1)&gt;=100000,INDEX($AO$1005:$BQ$1005,1,MATCH(COLUMNS($AO$1006:BG1006),$AO$1006:$BQ$1006,0))&gt;=100000), " ",IF(INDEX($AO$2:$BQ$1001,MATCH(ROWS($AH$2:AH84),$AH$2:$AH$1001,0),MATCH(COLUMNS($AO$1006:BG1006),$AO$1006:$BQ$1006,0)), HYPERLINK("#",""), HYPERLINK(CONCATENATE("#Metadata!", ADDRESS(INDEX($AJ$2:$AJ$1001,MATCH(ROWS($AH$2:AH84),$AH$2:$AH$1001,0),0), INDEX($AO$1004:$BQ$1004,1,MATCH(COLUMNS($AO$1006:BG1006),$AO$1006:$BQ$1006,0)))),"Fix")))</f>
        <v>#N/A</v>
      </c>
      <c r="U84" s="5" t="e">
        <f ca="1">IF(OR(INDEX($AI$2:$AI$1001,MATCH(ROWS($AH$2:AH84),$AH$2:$AH$1001,0),1)&gt;=100000,INDEX($AO$1005:$BQ$1005,1,MATCH(COLUMNS($AO$1006:BH1006),$AO$1006:$BQ$1006,0))&gt;=100000), " ",IF(INDEX($AO$2:$BQ$1001,MATCH(ROWS($AH$2:AH84),$AH$2:$AH$1001,0),MATCH(COLUMNS($AO$1006:BH1006),$AO$1006:$BQ$1006,0)), HYPERLINK("#",""), HYPERLINK(CONCATENATE("#Metadata!", ADDRESS(INDEX($AJ$2:$AJ$1001,MATCH(ROWS($AH$2:AH84),$AH$2:$AH$1001,0),0), INDEX($AO$1004:$BQ$1004,1,MATCH(COLUMNS($AO$1006:BH1006),$AO$1006:$BQ$1006,0)))),"Fix")))</f>
        <v>#N/A</v>
      </c>
      <c r="V84" s="5" t="e">
        <f ca="1">IF(OR(INDEX($AI$2:$AI$1001,MATCH(ROWS($AH$2:AH84),$AH$2:$AH$1001,0),1)&gt;=100000,INDEX($AO$1005:$BQ$1005,1,MATCH(COLUMNS($AO$1006:BI1006),$AO$1006:$BQ$1006,0))&gt;=100000), " ",IF(INDEX($AO$2:$BQ$1001,MATCH(ROWS($AH$2:AH84),$AH$2:$AH$1001,0),MATCH(COLUMNS($AO$1006:BI1006),$AO$1006:$BQ$1006,0)), HYPERLINK("#",""), HYPERLINK(CONCATENATE("#Metadata!", ADDRESS(INDEX($AJ$2:$AJ$1001,MATCH(ROWS($AH$2:AH84),$AH$2:$AH$1001,0),0), INDEX($AO$1004:$BQ$1004,1,MATCH(COLUMNS($AO$1006:BI1006),$AO$1006:$BQ$1006,0)))),"Fix")))</f>
        <v>#N/A</v>
      </c>
      <c r="W84" s="5" t="e">
        <f ca="1">IF(OR(INDEX($AI$2:$AI$1001,MATCH(ROWS($AH$2:AH84),$AH$2:$AH$1001,0),1)&gt;=100000,INDEX($AO$1005:$BQ$1005,1,MATCH(COLUMNS($AO$1006:BJ1006),$AO$1006:$BQ$1006,0))&gt;=100000), " ",IF(INDEX($AO$2:$BQ$1001,MATCH(ROWS($AH$2:AH84),$AH$2:$AH$1001,0),MATCH(COLUMNS($AO$1006:BJ1006),$AO$1006:$BQ$1006,0)), HYPERLINK("#",""), HYPERLINK(CONCATENATE("#Metadata!", ADDRESS(INDEX($AJ$2:$AJ$1001,MATCH(ROWS($AH$2:AH84),$AH$2:$AH$1001,0),0), INDEX($AO$1004:$BQ$1004,1,MATCH(COLUMNS($AO$1006:BJ1006),$AO$1006:$BQ$1006,0)))),"Fix")))</f>
        <v>#N/A</v>
      </c>
      <c r="X84" s="5" t="e">
        <f ca="1">IF(OR(INDEX($AI$2:$AI$1001,MATCH(ROWS($AH$2:AH84),$AH$2:$AH$1001,0),1)&gt;=100000,INDEX($AO$1005:$BQ$1005,1,MATCH(COLUMNS($AO$1006:BK1006),$AO$1006:$BQ$1006,0))&gt;=100000), " ",IF(INDEX($AO$2:$BQ$1001,MATCH(ROWS($AH$2:AH84),$AH$2:$AH$1001,0),MATCH(COLUMNS($AO$1006:BK1006),$AO$1006:$BQ$1006,0)), HYPERLINK("#",""), HYPERLINK(CONCATENATE("#Metadata!", ADDRESS(INDEX($AJ$2:$AJ$1001,MATCH(ROWS($AH$2:AH84),$AH$2:$AH$1001,0),0), INDEX($AO$1004:$BQ$1004,1,MATCH(COLUMNS($AO$1006:BK1006),$AO$1006:$BQ$1006,0)))),"Fix")))</f>
        <v>#N/A</v>
      </c>
      <c r="Y84" s="5" t="e">
        <f ca="1">IF(OR(INDEX($AI$2:$AI$1001,MATCH(ROWS($AH$2:AH84),$AH$2:$AH$1001,0),1)&gt;=100000,INDEX($AO$1005:$BQ$1005,1,MATCH(COLUMNS($AO$1006:BL1006),$AO$1006:$BQ$1006,0))&gt;=100000), " ",IF(INDEX($AO$2:$BQ$1001,MATCH(ROWS($AH$2:AH84),$AH$2:$AH$1001,0),MATCH(COLUMNS($AO$1006:BL1006),$AO$1006:$BQ$1006,0)), HYPERLINK("#",""), HYPERLINK(CONCATENATE("#Metadata!", ADDRESS(INDEX($AJ$2:$AJ$1001,MATCH(ROWS($AH$2:AH84),$AH$2:$AH$1001,0),0), INDEX($AO$1004:$BQ$1004,1,MATCH(COLUMNS($AO$1006:BL1006),$AO$1006:$BQ$1006,0)))),"Fix")))</f>
        <v>#N/A</v>
      </c>
      <c r="Z84" s="5" t="e">
        <f ca="1">IF(OR(INDEX($AI$2:$AI$1001,MATCH(ROWS($AH$2:AH84),$AH$2:$AH$1001,0),1)&gt;=100000,INDEX($AO$1005:$BQ$1005,1,MATCH(COLUMNS($AO$1006:BM1006),$AO$1006:$BQ$1006,0))&gt;=100000), " ",IF(INDEX($AO$2:$BQ$1001,MATCH(ROWS($AH$2:AH84),$AH$2:$AH$1001,0),MATCH(COLUMNS($AO$1006:BM1006),$AO$1006:$BQ$1006,0)), HYPERLINK("#",""), HYPERLINK(CONCATENATE("#Metadata!", ADDRESS(INDEX($AJ$2:$AJ$1001,MATCH(ROWS($AH$2:AH84),$AH$2:$AH$1001,0),0), INDEX($AO$1004:$BQ$1004,1,MATCH(COLUMNS($AO$1006:BM1006),$AO$1006:$BQ$1006,0)))),"Fix")))</f>
        <v>#N/A</v>
      </c>
      <c r="AA84" s="5" t="e">
        <f ca="1">IF(OR(INDEX($AI$2:$AI$1001,MATCH(ROWS($AH$2:AH84),$AH$2:$AH$1001,0),1)&gt;=100000,INDEX($AO$1005:$BQ$1005,1,MATCH(COLUMNS($AO$1006:BN1006),$AO$1006:$BQ$1006,0))&gt;=100000), " ",IF(INDEX($AO$2:$BQ$1001,MATCH(ROWS($AH$2:AH84),$AH$2:$AH$1001,0),MATCH(COLUMNS($AO$1006:BN1006),$AO$1006:$BQ$1006,0)), HYPERLINK("#",""), HYPERLINK(CONCATENATE("#Metadata!", ADDRESS(INDEX($AJ$2:$AJ$1001,MATCH(ROWS($AH$2:AH84),$AH$2:$AH$1001,0),0), INDEX($AO$1004:$BQ$1004,1,MATCH(COLUMNS($AO$1006:BN1006),$AO$1006:$BQ$1006,0)))),"Fix")))</f>
        <v>#N/A</v>
      </c>
      <c r="AB84" s="5" t="e">
        <f ca="1">IF(OR(INDEX($AI$2:$AI$1001,MATCH(ROWS($AH$2:AH84),$AH$2:$AH$1001,0),1)&gt;=100000,INDEX($AO$1005:$BQ$1005,1,MATCH(COLUMNS($AO$1006:BO1006),$AO$1006:$BQ$1006,0))&gt;=100000), " ",IF(INDEX($AO$2:$BQ$1001,MATCH(ROWS($AH$2:AH84),$AH$2:$AH$1001,0),MATCH(COLUMNS($AO$1006:BO1006),$AO$1006:$BQ$1006,0)), HYPERLINK("#",""), HYPERLINK(CONCATENATE("#Metadata!", ADDRESS(INDEX($AJ$2:$AJ$1001,MATCH(ROWS($AH$2:AH84),$AH$2:$AH$1001,0),0), INDEX($AO$1004:$BQ$1004,1,MATCH(COLUMNS($AO$1006:BO1006),$AO$1006:$BQ$1006,0)))),"Fix")))</f>
        <v>#N/A</v>
      </c>
      <c r="AC84" s="5" t="e">
        <f ca="1">IF(OR(INDEX($AI$2:$AI$1001,MATCH(ROWS($AH$2:AH84),$AH$2:$AH$1001,0),1)&gt;=100000,INDEX($AO$1005:$BQ$1005,1,MATCH(COLUMNS($AO$1006:BP1006),$AO$1006:$BQ$1006,0))&gt;=100000), " ",IF(INDEX($AO$2:$BQ$1001,MATCH(ROWS($AH$2:AH84),$AH$2:$AH$1001,0),MATCH(COLUMNS($AO$1006:BP1006),$AO$1006:$BQ$1006,0)), HYPERLINK("#",""), HYPERLINK(CONCATENATE("#Metadata!", ADDRESS(INDEX($AJ$2:$AJ$1001,MATCH(ROWS($AH$2:AH84),$AH$2:$AH$1001,0),0), INDEX($AO$1004:$BQ$1004,1,MATCH(COLUMNS($AO$1006:BP1006),$AO$1006:$BQ$1006,0)))),"Fix")))</f>
        <v>#N/A</v>
      </c>
      <c r="AD84" s="5" t="e">
        <f ca="1">IF(OR(INDEX($AI$2:$AI$1001,MATCH(ROWS($AH$2:AH84),$AH$2:$AH$1001,0),1)&gt;=100000,INDEX($AO$1005:$BQ$1005,1,MATCH(COLUMNS($AO$1006:BQ1006),$AO$1006:$BQ$1006,0))&gt;=100000), " ",IF(INDEX($AO$2:$BQ$1001,MATCH(ROWS($AH$2:AH84),$AH$2:$AH$1001,0),MATCH(COLUMNS($AO$1006:BQ1006),$AO$1006:$BQ$1006,0)), HYPERLINK("#",""), HYPERLINK(CONCATENATE("#Metadata!", ADDRESS(INDEX($AJ$2:$AJ$1001,MATCH(ROWS($AH$2:AH84),$AH$2:$AH$1001,0),0), INDEX($AO$1004:$BQ$1004,1,MATCH(COLUMNS($AO$1006:BQ1006),$AO$1006:$BQ$1006,0)))),"Fix")))</f>
        <v>#REF!</v>
      </c>
      <c r="AH84">
        <f ca="1"/>
        <v>81</v>
      </c>
      <c r="AI84">
        <v>100084</v>
      </c>
      <c r="AJ84">
        <v>84</v>
      </c>
      <c r="AK84" t="b">
        <f t="shared" si="1"/>
        <v>1</v>
      </c>
      <c r="AL84" t="b">
        <f>COUNTBLANK(Metadata!B84:AD84)=COLUMNS(Metadata!B84:AD84)</f>
        <v>1</v>
      </c>
      <c r="AM84" t="str">
        <v/>
      </c>
      <c r="AO84" t="b">
        <f ca="1">AND(IF(Metadata!B84="",FALSE,TRUE),COUNTIF(Metadata!B:B, Metadata!B84) = 1,NOT(ISERROR(SUMPRODUCT(SEARCH(MID(Metadata!B84,ROW(INDIRECT("1:"&amp;LEN(Metadata!B84))), 1),"0123456789abcdefghijklmnopqrstuvwxyzABCDEFGHIJKLMNOPQRSTUVWXYZ.")))))</f>
        <v>0</v>
      </c>
      <c r="AP84" t="b">
        <f>IF(Metadata!C84="",FALSE,TRUE)</f>
        <v>0</v>
      </c>
      <c r="AQ84" t="b">
        <f>IF(Metadata!D84="",FALSE,TRUE)</f>
        <v>0</v>
      </c>
      <c r="AR84" t="b">
        <f ca="1">OR(AND(IF(Metadata!E84="",FALSE,TRUE),OR(EXACT(Metadata!E84,"not collected"),EXACT(Metadata!E84,"not provided"),EXACT(Metadata!E84,"restricted access"))),AND(IF(Metadata!E84="",FALSE,TRUE),AND(AND(IFERROR(INT(LEFT(Metadata!E84,4))&gt;1900,FALSE),IFERROR(INT(LEFT(Metadata!E84,4))&lt;=YEAR(NOW()),FALSE)), OR(MID(Metadata!E84,5,1)="", AND(AND(MID(Metadata!E84,5,1)="-",IFERROR(INT(MID(Metadata!E84,6,1))&gt;=0,FALSE),IFERROR(INT(MID(Metadata!E84,6,1))&lt;=1,FALSE),NOT(MID(Metadata!E84,7,1)=""),IFERROR(INT(MID(Metadata!E84,6,2))&gt;=1,FALSE),IFERROR(INT(MID(Metadata!E84,6,2))&lt;=12,FALSE)), OR(MID(Metadata!E84,8,1)="", AND(AND(MID(Metadata!E84,8,1)="-",IFERROR(INT(MID(Metadata!E84,9,1))&gt;=0,FALSE),IFERROR(INT(MID(Metadata!E84,9,1))&lt;=3,FALSE),NOT(MID(Metadata!E84,10,1)=""),IFERROR(INT(MID(Metadata!E84,9,2))&gt;=1,FALSE),IFERROR(INT(MID(Metadata!E84,9,2))&lt;=31,FALSE)), OR(MID(Metadata!E84,11,1)="", AND(AND(MID(Metadata!E84,11,1)=" ",IFERROR(INT(MID(Metadata!E84,12,1))&gt;=0,FALSE),IFERROR(INT(MID(Metadata!E84,12,1))&lt;=2,FALSE),NOT(MID(Metadata!E84,13,1)=""),IFERROR(INT(MID(Metadata!E84,12,2))&gt;=0,FALSE),IFERROR(INT(MID(Metadata!E84,12,2))&lt;=23,FALSE)), OR(MID(Metadata!E84,14,1)="", AND(AND(MID(Metadata!E84,14,1)=":",IFERROR(INT(MID(Metadata!E84,15,1))&gt;=0,FALSE),IFERROR(INT(MID(Metadata!E84,15,1))&lt;=5,FALSE),NOT(MID(Metadata!E84,16,1)=""),IFERROR(INT(MID(Metadata!E84,15,2))&gt;=0,FALSE),IFERROR(INT(MID(Metadata!E84,15,2))&lt;=59,FALSE)), OR(MID(Metadata!E84,17,1)="", AND(AND(MID(Metadata!E84,17,1)=":",IFERROR(INT(MID(Metadata!E84,18,1))&gt;=0,FALSE),IFERROR(INT(MID(Metadata!E84,18,1))&lt;=5,FALSE),NOT(MID(Metadata!E84,19,1)=""),IFERROR(INT(MID(Metadata!E84,18,2))&gt;=0,FALSE),IFERROR(INT(MID(Metadata!E84,18,2))&lt;=59,FALSE)), LEN(Metadata!E84)&lt;=19)))))))))))))</f>
        <v>0</v>
      </c>
      <c r="AS84" t="b">
        <f>IF(Metadata!F84="",FALSE,TRUE)</f>
        <v>0</v>
      </c>
      <c r="AT84" t="b">
        <f>OR(AND(IF(Metadata!G84="",FALSE,TRUE),OR(EXACT(Metadata!G84,"not collected"),EXACT(Metadata!G84,"not provided"))),AND(IF(Metadata!G84="",FALSE,TRUE),OR(EXACT(Metadata!G84,"TRUE"),EXACT(Metadata!G84,"FALSE"))))</f>
        <v>0</v>
      </c>
      <c r="AU84" t="b">
        <f>OR(AND(IF(Metadata!H84="",FALSE,TRUE),OR(EXACT(Metadata!H84,"not collected"),EXACT(Metadata!H84,"not provided"),EXACT(Metadata!H84,"restricted access"))),AND(IF(Metadata!H84="",FALSE,ISNUMBER(VALUE(Metadata!H84))),Metadata!H84&gt;=-413))</f>
        <v>0</v>
      </c>
      <c r="AV84" t="b">
        <f>AND(IF(Metadata!I84="",FALSE,TRUE),EXACT(Metadata!I84,"meters"))</f>
        <v>0</v>
      </c>
      <c r="AW84" t="b">
        <f>AND(IF(Metadata!J84="",FALSE,TRUE),EXACT(Metadata!J84,"free-living"))</f>
        <v>0</v>
      </c>
      <c r="AX84" t="b">
        <f>AND(IF(Metadata!K84="",FALSE,TRUE),OR(EXACT(Metadata!K84,"saline"),EXACT(Metadata!K84,"non-saline")))</f>
        <v>0</v>
      </c>
      <c r="AY84" t="b">
        <f>AND(IF(Metadata!L84="",FALSE,TRUE),OR(EXACT(Metadata!L84,"sub-surface (non-saline)"),EXACT(Metadata!L84,"surface (non-saline)"),EXACT(Metadata!L84,"water (non-saline)"),EXACT(Metadata!L84,"soil (non-saline)"),EXACT(Metadata!L84,"aerosol (non-saline)"),EXACT(Metadata!L84,"sediment (non-saline)"),EXACT(Metadata!L84,"surface (saline)"),EXACT(Metadata!L84,"water (saline)"),EXACT(Metadata!L84,"hypersaline (saline)"),EXACT(Metadata!L84,"aerosol (saline)"),EXACT(Metadata!L84,"sediment (saline)")))</f>
        <v>0</v>
      </c>
      <c r="AZ84" t="b">
        <f>IF(Metadata!M84="",FALSE,TRUE)</f>
        <v>0</v>
      </c>
      <c r="BA84" t="b">
        <f>IF(Metadata!N84="",FALSE,TRUE)</f>
        <v>0</v>
      </c>
      <c r="BB84" t="b">
        <f>IF(Metadata!O84="",FALSE,TRUE)</f>
        <v>0</v>
      </c>
      <c r="BC84" t="b">
        <f>AND(IF(Metadata!P84="",FALSE,TRUE),OR(EXACT(Metadata!P84,"air"),EXACT(Metadata!P84,"microbial mat/biofilm"),EXACT(Metadata!P84,"misc environment"),EXACT(Metadata!P84,"sediment"),EXACT(Metadata!P84,"soil"),EXACT(Metadata!P84,"wastewater/sludge"),EXACT(Metadata!P84,"water")))</f>
        <v>0</v>
      </c>
      <c r="BD84" t="b">
        <f>IF(Metadata!Q84="",FALSE,TRUE)</f>
        <v>0</v>
      </c>
      <c r="BE84" t="b">
        <f>IF(Metadata!R84="",FALSE,TRUE)</f>
        <v>0</v>
      </c>
      <c r="BF84" t="b">
        <f>OR(AND(IF(Metadata!S84="",FALSE,TRUE),OR(EXACT(Metadata!S84,"not collected"),EXACT(Metadata!S84,"not provided"),EXACT(Metadata!S84,"restricted access"))),AND(IF(Metadata!S84="",FALSE,ISNUMBER(VALUE(Metadata!S84))),Metadata!S84&gt;=-90,Metadata!S84&lt;=90))</f>
        <v>0</v>
      </c>
      <c r="BG84" t="b">
        <f>AND(IF(Metadata!T84="",FALSE,TRUE),EXACT(Metadata!T84,"Decimal degrees"))</f>
        <v>0</v>
      </c>
      <c r="BH84" t="b">
        <f>OR(AND(IF(Metadata!U84="",FALSE,TRUE),OR(EXACT(Metadata!U84,"not applicable"),EXACT(Metadata!U84,"not collected"))),IF(Metadata!U84="",FALSE,TRUE))</f>
        <v>0</v>
      </c>
      <c r="BI84" t="b">
        <f>OR(AND(IF(Metadata!V84="",FALSE,TRUE),OR(EXACT(Metadata!V84,"not collected"),EXACT(Metadata!V84,"not provided"),EXACT(Metadata!V84,"restricted access"))),AND(IF(Metadata!V84="",FALSE,ISNUMBER(VALUE(Metadata!V84))),Metadata!V84&gt;=-180,Metadata!V84&lt;=180))</f>
        <v>0</v>
      </c>
      <c r="BJ84" t="b">
        <f>AND(IF(Metadata!W84="",FALSE,TRUE),EXACT(Metadata!W84,"Decimal degrees"))</f>
        <v>0</v>
      </c>
      <c r="BK84" t="b">
        <f>IF(Metadata!X84="",FALSE,TRUE)</f>
        <v>0</v>
      </c>
      <c r="BL84" t="b">
        <f>OR(AND(IF(Metadata!Y84="",FALSE,TRUE),OR(EXACT(Metadata!Y84,"not collected"),EXACT(Metadata!Y84,"not provided"),EXACT(Metadata!Y84,"restricted access"))),AND(IF(Metadata!Y84="",FALSE,TRUE),OR(EXACT(Metadata!Y84,"TRUE"),EXACT(Metadata!Y84,"FALSE"))))</f>
        <v>0</v>
      </c>
      <c r="BM84" t="b">
        <f>OR(AND(IF(Metadata!Z84="",FALSE,TRUE),EXACT(Metadata!Z84,"not applicable")),AND(IF(Metadata!Z84="",FALSE,TRUE),OR(EXACT(Metadata!Z84,"beer"),EXACT(Metadata!Z84,"cheese"),EXACT(Metadata!Z84,"fresh water"),EXACT(Metadata!Z84,"marine sediment"),EXACT(Metadata!Z84,"sea water"),EXACT(Metadata!Z84,"sediment"),EXACT(Metadata!Z84,"soil"),EXACT(Metadata!Z84,"waste water"))))</f>
        <v>0</v>
      </c>
      <c r="BN84" t="b">
        <f>AND(IF(Metadata!AA84="",FALSE,TRUE),EXACT(Metadata!AA84,"metagenome"))</f>
        <v>0</v>
      </c>
      <c r="BO84" t="b">
        <f>AND(IF(Metadata!AB84="",FALSE,TRUE),EXACT(Metadata!AB84,"256318"))</f>
        <v>0</v>
      </c>
      <c r="BP84" t="b">
        <f>IF(Metadata!AC84="",FALSE,TRUE)</f>
        <v>0</v>
      </c>
      <c r="BQ84" t="b">
        <f>IF(Metadata!AD84="",FALSE,TRUE)</f>
        <v>0</v>
      </c>
    </row>
    <row r="85" spans="1:69" x14ac:dyDescent="0.2">
      <c r="A85" s="4" t="e">
        <f ca="1">IF(B85=" "," ",HYPERLINK(CONCATENATE("#metadata!",ADDRESS(INDEX($AJ$2:$AJ$1001,MATCH(ROWS($AH$2:AH85),$AH$2:$AH$1001,0),0),2)),INDEX($AM$2:$AM$1001,MATCH(ROWS($AH$2:AH85),$AH$2:$AH$1001,0),0)))</f>
        <v>#N/A</v>
      </c>
      <c r="B85" s="5" t="e">
        <f ca="1">IF(OR(INDEX($AI$2:$AI$1001,MATCH(ROWS($AH$2:AH85),$AH$2:$AH$1001,0),1)&gt;=100000,INDEX($AO$1005:$BQ$1005,1,MATCH(COLUMNS($AO$1006:AO1006),$AO$1006:$BQ$1006,0))&gt;=100000), " ",IF(INDEX($AO$2:$BQ$1001,MATCH(ROWS($AH$2:AH85),$AH$2:$AH$1001,0),MATCH(COLUMNS($AO$1006:AO1006),$AO$1006:$BQ$1006,0)), HYPERLINK("#",""), HYPERLINK(CONCATENATE("#Metadata!", ADDRESS(INDEX($AJ$2:$AJ$1001,MATCH(ROWS($AH$2:AH85),$AH$2:$AH$1001,0),0), INDEX($AO$1004:$BQ$1004,1,MATCH(COLUMNS($AO$1006:AO1006),$AO$1006:$BQ$1006,0)))),"Fix")))</f>
        <v>#N/A</v>
      </c>
      <c r="C85" s="5" t="e">
        <f ca="1">IF(OR(INDEX($AI$2:$AI$1001,MATCH(ROWS($AH$2:AH85),$AH$2:$AH$1001,0),1)&gt;=100000,INDEX($AO$1005:$BQ$1005,1,MATCH(COLUMNS($AO$1006:AP1006),$AO$1006:$BQ$1006,0))&gt;=100000), " ",IF(INDEX($AO$2:$BQ$1001,MATCH(ROWS($AH$2:AH85),$AH$2:$AH$1001,0),MATCH(COLUMNS($AO$1006:AP1006),$AO$1006:$BQ$1006,0)), HYPERLINK("#",""), HYPERLINK(CONCATENATE("#Metadata!", ADDRESS(INDEX($AJ$2:$AJ$1001,MATCH(ROWS($AH$2:AH85),$AH$2:$AH$1001,0),0), INDEX($AO$1004:$BQ$1004,1,MATCH(COLUMNS($AO$1006:AP1006),$AO$1006:$BQ$1006,0)))),"Fix")))</f>
        <v>#N/A</v>
      </c>
      <c r="D85" s="5" t="e">
        <f ca="1">IF(OR(INDEX($AI$2:$AI$1001,MATCH(ROWS($AH$2:AH85),$AH$2:$AH$1001,0),1)&gt;=100000,INDEX($AO$1005:$BQ$1005,1,MATCH(COLUMNS($AO$1006:AQ1006),$AO$1006:$BQ$1006,0))&gt;=100000), " ",IF(INDEX($AO$2:$BQ$1001,MATCH(ROWS($AH$2:AH85),$AH$2:$AH$1001,0),MATCH(COLUMNS($AO$1006:AQ1006),$AO$1006:$BQ$1006,0)), HYPERLINK("#",""), HYPERLINK(CONCATENATE("#Metadata!", ADDRESS(INDEX($AJ$2:$AJ$1001,MATCH(ROWS($AH$2:AH85),$AH$2:$AH$1001,0),0), INDEX($AO$1004:$BQ$1004,1,MATCH(COLUMNS($AO$1006:AQ1006),$AO$1006:$BQ$1006,0)))),"Fix")))</f>
        <v>#N/A</v>
      </c>
      <c r="E85" s="5" t="e">
        <f ca="1">IF(OR(INDEX($AI$2:$AI$1001,MATCH(ROWS($AH$2:AH85),$AH$2:$AH$1001,0),1)&gt;=100000,INDEX($AO$1005:$BQ$1005,1,MATCH(COLUMNS($AO$1006:AR1006),$AO$1006:$BQ$1006,0))&gt;=100000), " ",IF(INDEX($AO$2:$BQ$1001,MATCH(ROWS($AH$2:AH85),$AH$2:$AH$1001,0),MATCH(COLUMNS($AO$1006:AR1006),$AO$1006:$BQ$1006,0)), HYPERLINK("#",""), HYPERLINK(CONCATENATE("#Metadata!", ADDRESS(INDEX($AJ$2:$AJ$1001,MATCH(ROWS($AH$2:AH85),$AH$2:$AH$1001,0),0), INDEX($AO$1004:$BQ$1004,1,MATCH(COLUMNS($AO$1006:AR1006),$AO$1006:$BQ$1006,0)))),"Fix")))</f>
        <v>#N/A</v>
      </c>
      <c r="F85" s="5" t="e">
        <f ca="1">IF(OR(INDEX($AI$2:$AI$1001,MATCH(ROWS($AH$2:AH85),$AH$2:$AH$1001,0),1)&gt;=100000,INDEX($AO$1005:$BQ$1005,1,MATCH(COLUMNS($AO$1006:AS1006),$AO$1006:$BQ$1006,0))&gt;=100000), " ",IF(INDEX($AO$2:$BQ$1001,MATCH(ROWS($AH$2:AH85),$AH$2:$AH$1001,0),MATCH(COLUMNS($AO$1006:AS1006),$AO$1006:$BQ$1006,0)), HYPERLINK("#",""), HYPERLINK(CONCATENATE("#Metadata!", ADDRESS(INDEX($AJ$2:$AJ$1001,MATCH(ROWS($AH$2:AH85),$AH$2:$AH$1001,0),0), INDEX($AO$1004:$BQ$1004,1,MATCH(COLUMNS($AO$1006:AS1006),$AO$1006:$BQ$1006,0)))),"Fix")))</f>
        <v>#N/A</v>
      </c>
      <c r="G85" s="5" t="e">
        <f ca="1">IF(OR(INDEX($AI$2:$AI$1001,MATCH(ROWS($AH$2:AH85),$AH$2:$AH$1001,0),1)&gt;=100000,INDEX($AO$1005:$BQ$1005,1,MATCH(COLUMNS($AO$1006:AT1006),$AO$1006:$BQ$1006,0))&gt;=100000), " ",IF(INDEX($AO$2:$BQ$1001,MATCH(ROWS($AH$2:AH85),$AH$2:$AH$1001,0),MATCH(COLUMNS($AO$1006:AT1006),$AO$1006:$BQ$1006,0)), HYPERLINK("#",""), HYPERLINK(CONCATENATE("#Metadata!", ADDRESS(INDEX($AJ$2:$AJ$1001,MATCH(ROWS($AH$2:AH85),$AH$2:$AH$1001,0),0), INDEX($AO$1004:$BQ$1004,1,MATCH(COLUMNS($AO$1006:AT1006),$AO$1006:$BQ$1006,0)))),"Fix")))</f>
        <v>#N/A</v>
      </c>
      <c r="H85" s="5" t="e">
        <f ca="1">IF(OR(INDEX($AI$2:$AI$1001,MATCH(ROWS($AH$2:AH85),$AH$2:$AH$1001,0),1)&gt;=100000,INDEX($AO$1005:$BQ$1005,1,MATCH(COLUMNS($AO$1006:AU1006),$AO$1006:$BQ$1006,0))&gt;=100000), " ",IF(INDEX($AO$2:$BQ$1001,MATCH(ROWS($AH$2:AH85),$AH$2:$AH$1001,0),MATCH(COLUMNS($AO$1006:AU1006),$AO$1006:$BQ$1006,0)), HYPERLINK("#",""), HYPERLINK(CONCATENATE("#Metadata!", ADDRESS(INDEX($AJ$2:$AJ$1001,MATCH(ROWS($AH$2:AH85),$AH$2:$AH$1001,0),0), INDEX($AO$1004:$BQ$1004,1,MATCH(COLUMNS($AO$1006:AU1006),$AO$1006:$BQ$1006,0)))),"Fix")))</f>
        <v>#N/A</v>
      </c>
      <c r="I85" s="5" t="e">
        <f ca="1">IF(OR(INDEX($AI$2:$AI$1001,MATCH(ROWS($AH$2:AH85),$AH$2:$AH$1001,0),1)&gt;=100000,INDEX($AO$1005:$BQ$1005,1,MATCH(COLUMNS($AO$1006:AV1006),$AO$1006:$BQ$1006,0))&gt;=100000), " ",IF(INDEX($AO$2:$BQ$1001,MATCH(ROWS($AH$2:AH85),$AH$2:$AH$1001,0),MATCH(COLUMNS($AO$1006:AV1006),$AO$1006:$BQ$1006,0)), HYPERLINK("#",""), HYPERLINK(CONCATENATE("#Metadata!", ADDRESS(INDEX($AJ$2:$AJ$1001,MATCH(ROWS($AH$2:AH85),$AH$2:$AH$1001,0),0), INDEX($AO$1004:$BQ$1004,1,MATCH(COLUMNS($AO$1006:AV1006),$AO$1006:$BQ$1006,0)))),"Fix")))</f>
        <v>#N/A</v>
      </c>
      <c r="J85" s="5" t="e">
        <f ca="1">IF(OR(INDEX($AI$2:$AI$1001,MATCH(ROWS($AH$2:AH85),$AH$2:$AH$1001,0),1)&gt;=100000,INDEX($AO$1005:$BQ$1005,1,MATCH(COLUMNS($AO$1006:AW1006),$AO$1006:$BQ$1006,0))&gt;=100000), " ",IF(INDEX($AO$2:$BQ$1001,MATCH(ROWS($AH$2:AH85),$AH$2:$AH$1001,0),MATCH(COLUMNS($AO$1006:AW1006),$AO$1006:$BQ$1006,0)), HYPERLINK("#",""), HYPERLINK(CONCATENATE("#Metadata!", ADDRESS(INDEX($AJ$2:$AJ$1001,MATCH(ROWS($AH$2:AH85),$AH$2:$AH$1001,0),0), INDEX($AO$1004:$BQ$1004,1,MATCH(COLUMNS($AO$1006:AW1006),$AO$1006:$BQ$1006,0)))),"Fix")))</f>
        <v>#N/A</v>
      </c>
      <c r="K85" s="5" t="e">
        <f ca="1">IF(OR(INDEX($AI$2:$AI$1001,MATCH(ROWS($AH$2:AH85),$AH$2:$AH$1001,0),1)&gt;=100000,INDEX($AO$1005:$BQ$1005,1,MATCH(COLUMNS($AO$1006:AX1006),$AO$1006:$BQ$1006,0))&gt;=100000), " ",IF(INDEX($AO$2:$BQ$1001,MATCH(ROWS($AH$2:AH85),$AH$2:$AH$1001,0),MATCH(COLUMNS($AO$1006:AX1006),$AO$1006:$BQ$1006,0)), HYPERLINK("#",""), HYPERLINK(CONCATENATE("#Metadata!", ADDRESS(INDEX($AJ$2:$AJ$1001,MATCH(ROWS($AH$2:AH85),$AH$2:$AH$1001,0),0), INDEX($AO$1004:$BQ$1004,1,MATCH(COLUMNS($AO$1006:AX1006),$AO$1006:$BQ$1006,0)))),"Fix")))</f>
        <v>#N/A</v>
      </c>
      <c r="L85" s="5" t="e">
        <f ca="1">IF(OR(INDEX($AI$2:$AI$1001,MATCH(ROWS($AH$2:AH85),$AH$2:$AH$1001,0),1)&gt;=100000,INDEX($AO$1005:$BQ$1005,1,MATCH(COLUMNS($AO$1006:AY1006),$AO$1006:$BQ$1006,0))&gt;=100000), " ",IF(INDEX($AO$2:$BQ$1001,MATCH(ROWS($AH$2:AH85),$AH$2:$AH$1001,0),MATCH(COLUMNS($AO$1006:AY1006),$AO$1006:$BQ$1006,0)), HYPERLINK("#",""), HYPERLINK(CONCATENATE("#Metadata!", ADDRESS(INDEX($AJ$2:$AJ$1001,MATCH(ROWS($AH$2:AH85),$AH$2:$AH$1001,0),0), INDEX($AO$1004:$BQ$1004,1,MATCH(COLUMNS($AO$1006:AY1006),$AO$1006:$BQ$1006,0)))),"Fix")))</f>
        <v>#N/A</v>
      </c>
      <c r="M85" s="5" t="e">
        <f ca="1">IF(OR(INDEX($AI$2:$AI$1001,MATCH(ROWS($AH$2:AH85),$AH$2:$AH$1001,0),1)&gt;=100000,INDEX($AO$1005:$BQ$1005,1,MATCH(COLUMNS($AO$1006:AZ1006),$AO$1006:$BQ$1006,0))&gt;=100000), " ",IF(INDEX($AO$2:$BQ$1001,MATCH(ROWS($AH$2:AH85),$AH$2:$AH$1001,0),MATCH(COLUMNS($AO$1006:AZ1006),$AO$1006:$BQ$1006,0)), HYPERLINK("#",""), HYPERLINK(CONCATENATE("#Metadata!", ADDRESS(INDEX($AJ$2:$AJ$1001,MATCH(ROWS($AH$2:AH85),$AH$2:$AH$1001,0),0), INDEX($AO$1004:$BQ$1004,1,MATCH(COLUMNS($AO$1006:AZ1006),$AO$1006:$BQ$1006,0)))),"Fix")))</f>
        <v>#N/A</v>
      </c>
      <c r="N85" s="5" t="e">
        <f ca="1">IF(OR(INDEX($AI$2:$AI$1001,MATCH(ROWS($AH$2:AH85),$AH$2:$AH$1001,0),1)&gt;=100000,INDEX($AO$1005:$BQ$1005,1,MATCH(COLUMNS($AO$1006:BA1006),$AO$1006:$BQ$1006,0))&gt;=100000), " ",IF(INDEX($AO$2:$BQ$1001,MATCH(ROWS($AH$2:AH85),$AH$2:$AH$1001,0),MATCH(COLUMNS($AO$1006:BA1006),$AO$1006:$BQ$1006,0)), HYPERLINK("#",""), HYPERLINK(CONCATENATE("#Metadata!", ADDRESS(INDEX($AJ$2:$AJ$1001,MATCH(ROWS($AH$2:AH85),$AH$2:$AH$1001,0),0), INDEX($AO$1004:$BQ$1004,1,MATCH(COLUMNS($AO$1006:BA1006),$AO$1006:$BQ$1006,0)))),"Fix")))</f>
        <v>#N/A</v>
      </c>
      <c r="O85" s="5" t="e">
        <f ca="1">IF(OR(INDEX($AI$2:$AI$1001,MATCH(ROWS($AH$2:AH85),$AH$2:$AH$1001,0),1)&gt;=100000,INDEX($AO$1005:$BQ$1005,1,MATCH(COLUMNS($AO$1006:BB1006),$AO$1006:$BQ$1006,0))&gt;=100000), " ",IF(INDEX($AO$2:$BQ$1001,MATCH(ROWS($AH$2:AH85),$AH$2:$AH$1001,0),MATCH(COLUMNS($AO$1006:BB1006),$AO$1006:$BQ$1006,0)), HYPERLINK("#",""), HYPERLINK(CONCATENATE("#Metadata!", ADDRESS(INDEX($AJ$2:$AJ$1001,MATCH(ROWS($AH$2:AH85),$AH$2:$AH$1001,0),0), INDEX($AO$1004:$BQ$1004,1,MATCH(COLUMNS($AO$1006:BB1006),$AO$1006:$BQ$1006,0)))),"Fix")))</f>
        <v>#N/A</v>
      </c>
      <c r="P85" s="5" t="e">
        <f ca="1">IF(OR(INDEX($AI$2:$AI$1001,MATCH(ROWS($AH$2:AH85),$AH$2:$AH$1001,0),1)&gt;=100000,INDEX($AO$1005:$BQ$1005,1,MATCH(COLUMNS($AO$1006:BC1006),$AO$1006:$BQ$1006,0))&gt;=100000), " ",IF(INDEX($AO$2:$BQ$1001,MATCH(ROWS($AH$2:AH85),$AH$2:$AH$1001,0),MATCH(COLUMNS($AO$1006:BC1006),$AO$1006:$BQ$1006,0)), HYPERLINK("#",""), HYPERLINK(CONCATENATE("#Metadata!", ADDRESS(INDEX($AJ$2:$AJ$1001,MATCH(ROWS($AH$2:AH85),$AH$2:$AH$1001,0),0), INDEX($AO$1004:$BQ$1004,1,MATCH(COLUMNS($AO$1006:BC1006),$AO$1006:$BQ$1006,0)))),"Fix")))</f>
        <v>#N/A</v>
      </c>
      <c r="Q85" s="5" t="e">
        <f ca="1">IF(OR(INDEX($AI$2:$AI$1001,MATCH(ROWS($AH$2:AH85),$AH$2:$AH$1001,0),1)&gt;=100000,INDEX($AO$1005:$BQ$1005,1,MATCH(COLUMNS($AO$1006:BD1006),$AO$1006:$BQ$1006,0))&gt;=100000), " ",IF(INDEX($AO$2:$BQ$1001,MATCH(ROWS($AH$2:AH85),$AH$2:$AH$1001,0),MATCH(COLUMNS($AO$1006:BD1006),$AO$1006:$BQ$1006,0)), HYPERLINK("#",""), HYPERLINK(CONCATENATE("#Metadata!", ADDRESS(INDEX($AJ$2:$AJ$1001,MATCH(ROWS($AH$2:AH85),$AH$2:$AH$1001,0),0), INDEX($AO$1004:$BQ$1004,1,MATCH(COLUMNS($AO$1006:BD1006),$AO$1006:$BQ$1006,0)))),"Fix")))</f>
        <v>#N/A</v>
      </c>
      <c r="R85" s="5" t="e">
        <f ca="1">IF(OR(INDEX($AI$2:$AI$1001,MATCH(ROWS($AH$2:AH85),$AH$2:$AH$1001,0),1)&gt;=100000,INDEX($AO$1005:$BQ$1005,1,MATCH(COLUMNS($AO$1006:BE1006),$AO$1006:$BQ$1006,0))&gt;=100000), " ",IF(INDEX($AO$2:$BQ$1001,MATCH(ROWS($AH$2:AH85),$AH$2:$AH$1001,0),MATCH(COLUMNS($AO$1006:BE1006),$AO$1006:$BQ$1006,0)), HYPERLINK("#",""), HYPERLINK(CONCATENATE("#Metadata!", ADDRESS(INDEX($AJ$2:$AJ$1001,MATCH(ROWS($AH$2:AH85),$AH$2:$AH$1001,0),0), INDEX($AO$1004:$BQ$1004,1,MATCH(COLUMNS($AO$1006:BE1006),$AO$1006:$BQ$1006,0)))),"Fix")))</f>
        <v>#N/A</v>
      </c>
      <c r="S85" s="5" t="e">
        <f ca="1">IF(OR(INDEX($AI$2:$AI$1001,MATCH(ROWS($AH$2:AH85),$AH$2:$AH$1001,0),1)&gt;=100000,INDEX($AO$1005:$BQ$1005,1,MATCH(COLUMNS($AO$1006:BF1006),$AO$1006:$BQ$1006,0))&gt;=100000), " ",IF(INDEX($AO$2:$BQ$1001,MATCH(ROWS($AH$2:AH85),$AH$2:$AH$1001,0),MATCH(COLUMNS($AO$1006:BF1006),$AO$1006:$BQ$1006,0)), HYPERLINK("#",""), HYPERLINK(CONCATENATE("#Metadata!", ADDRESS(INDEX($AJ$2:$AJ$1001,MATCH(ROWS($AH$2:AH85),$AH$2:$AH$1001,0),0), INDEX($AO$1004:$BQ$1004,1,MATCH(COLUMNS($AO$1006:BF1006),$AO$1006:$BQ$1006,0)))),"Fix")))</f>
        <v>#N/A</v>
      </c>
      <c r="T85" s="5" t="e">
        <f ca="1">IF(OR(INDEX($AI$2:$AI$1001,MATCH(ROWS($AH$2:AH85),$AH$2:$AH$1001,0),1)&gt;=100000,INDEX($AO$1005:$BQ$1005,1,MATCH(COLUMNS($AO$1006:BG1006),$AO$1006:$BQ$1006,0))&gt;=100000), " ",IF(INDEX($AO$2:$BQ$1001,MATCH(ROWS($AH$2:AH85),$AH$2:$AH$1001,0),MATCH(COLUMNS($AO$1006:BG1006),$AO$1006:$BQ$1006,0)), HYPERLINK("#",""), HYPERLINK(CONCATENATE("#Metadata!", ADDRESS(INDEX($AJ$2:$AJ$1001,MATCH(ROWS($AH$2:AH85),$AH$2:$AH$1001,0),0), INDEX($AO$1004:$BQ$1004,1,MATCH(COLUMNS($AO$1006:BG1006),$AO$1006:$BQ$1006,0)))),"Fix")))</f>
        <v>#N/A</v>
      </c>
      <c r="U85" s="5" t="e">
        <f ca="1">IF(OR(INDEX($AI$2:$AI$1001,MATCH(ROWS($AH$2:AH85),$AH$2:$AH$1001,0),1)&gt;=100000,INDEX($AO$1005:$BQ$1005,1,MATCH(COLUMNS($AO$1006:BH1006),$AO$1006:$BQ$1006,0))&gt;=100000), " ",IF(INDEX($AO$2:$BQ$1001,MATCH(ROWS($AH$2:AH85),$AH$2:$AH$1001,0),MATCH(COLUMNS($AO$1006:BH1006),$AO$1006:$BQ$1006,0)), HYPERLINK("#",""), HYPERLINK(CONCATENATE("#Metadata!", ADDRESS(INDEX($AJ$2:$AJ$1001,MATCH(ROWS($AH$2:AH85),$AH$2:$AH$1001,0),0), INDEX($AO$1004:$BQ$1004,1,MATCH(COLUMNS($AO$1006:BH1006),$AO$1006:$BQ$1006,0)))),"Fix")))</f>
        <v>#N/A</v>
      </c>
      <c r="V85" s="5" t="e">
        <f ca="1">IF(OR(INDEX($AI$2:$AI$1001,MATCH(ROWS($AH$2:AH85),$AH$2:$AH$1001,0),1)&gt;=100000,INDEX($AO$1005:$BQ$1005,1,MATCH(COLUMNS($AO$1006:BI1006),$AO$1006:$BQ$1006,0))&gt;=100000), " ",IF(INDEX($AO$2:$BQ$1001,MATCH(ROWS($AH$2:AH85),$AH$2:$AH$1001,0),MATCH(COLUMNS($AO$1006:BI1006),$AO$1006:$BQ$1006,0)), HYPERLINK("#",""), HYPERLINK(CONCATENATE("#Metadata!", ADDRESS(INDEX($AJ$2:$AJ$1001,MATCH(ROWS($AH$2:AH85),$AH$2:$AH$1001,0),0), INDEX($AO$1004:$BQ$1004,1,MATCH(COLUMNS($AO$1006:BI1006),$AO$1006:$BQ$1006,0)))),"Fix")))</f>
        <v>#N/A</v>
      </c>
      <c r="W85" s="5" t="e">
        <f ca="1">IF(OR(INDEX($AI$2:$AI$1001,MATCH(ROWS($AH$2:AH85),$AH$2:$AH$1001,0),1)&gt;=100000,INDEX($AO$1005:$BQ$1005,1,MATCH(COLUMNS($AO$1006:BJ1006),$AO$1006:$BQ$1006,0))&gt;=100000), " ",IF(INDEX($AO$2:$BQ$1001,MATCH(ROWS($AH$2:AH85),$AH$2:$AH$1001,0),MATCH(COLUMNS($AO$1006:BJ1006),$AO$1006:$BQ$1006,0)), HYPERLINK("#",""), HYPERLINK(CONCATENATE("#Metadata!", ADDRESS(INDEX($AJ$2:$AJ$1001,MATCH(ROWS($AH$2:AH85),$AH$2:$AH$1001,0),0), INDEX($AO$1004:$BQ$1004,1,MATCH(COLUMNS($AO$1006:BJ1006),$AO$1006:$BQ$1006,0)))),"Fix")))</f>
        <v>#N/A</v>
      </c>
      <c r="X85" s="5" t="e">
        <f ca="1">IF(OR(INDEX($AI$2:$AI$1001,MATCH(ROWS($AH$2:AH85),$AH$2:$AH$1001,0),1)&gt;=100000,INDEX($AO$1005:$BQ$1005,1,MATCH(COLUMNS($AO$1006:BK1006),$AO$1006:$BQ$1006,0))&gt;=100000), " ",IF(INDEX($AO$2:$BQ$1001,MATCH(ROWS($AH$2:AH85),$AH$2:$AH$1001,0),MATCH(COLUMNS($AO$1006:BK1006),$AO$1006:$BQ$1006,0)), HYPERLINK("#",""), HYPERLINK(CONCATENATE("#Metadata!", ADDRESS(INDEX($AJ$2:$AJ$1001,MATCH(ROWS($AH$2:AH85),$AH$2:$AH$1001,0),0), INDEX($AO$1004:$BQ$1004,1,MATCH(COLUMNS($AO$1006:BK1006),$AO$1006:$BQ$1006,0)))),"Fix")))</f>
        <v>#N/A</v>
      </c>
      <c r="Y85" s="5" t="e">
        <f ca="1">IF(OR(INDEX($AI$2:$AI$1001,MATCH(ROWS($AH$2:AH85),$AH$2:$AH$1001,0),1)&gt;=100000,INDEX($AO$1005:$BQ$1005,1,MATCH(COLUMNS($AO$1006:BL1006),$AO$1006:$BQ$1006,0))&gt;=100000), " ",IF(INDEX($AO$2:$BQ$1001,MATCH(ROWS($AH$2:AH85),$AH$2:$AH$1001,0),MATCH(COLUMNS($AO$1006:BL1006),$AO$1006:$BQ$1006,0)), HYPERLINK("#",""), HYPERLINK(CONCATENATE("#Metadata!", ADDRESS(INDEX($AJ$2:$AJ$1001,MATCH(ROWS($AH$2:AH85),$AH$2:$AH$1001,0),0), INDEX($AO$1004:$BQ$1004,1,MATCH(COLUMNS($AO$1006:BL1006),$AO$1006:$BQ$1006,0)))),"Fix")))</f>
        <v>#N/A</v>
      </c>
      <c r="Z85" s="5" t="e">
        <f ca="1">IF(OR(INDEX($AI$2:$AI$1001,MATCH(ROWS($AH$2:AH85),$AH$2:$AH$1001,0),1)&gt;=100000,INDEX($AO$1005:$BQ$1005,1,MATCH(COLUMNS($AO$1006:BM1006),$AO$1006:$BQ$1006,0))&gt;=100000), " ",IF(INDEX($AO$2:$BQ$1001,MATCH(ROWS($AH$2:AH85),$AH$2:$AH$1001,0),MATCH(COLUMNS($AO$1006:BM1006),$AO$1006:$BQ$1006,0)), HYPERLINK("#",""), HYPERLINK(CONCATENATE("#Metadata!", ADDRESS(INDEX($AJ$2:$AJ$1001,MATCH(ROWS($AH$2:AH85),$AH$2:$AH$1001,0),0), INDEX($AO$1004:$BQ$1004,1,MATCH(COLUMNS($AO$1006:BM1006),$AO$1006:$BQ$1006,0)))),"Fix")))</f>
        <v>#N/A</v>
      </c>
      <c r="AA85" s="5" t="e">
        <f ca="1">IF(OR(INDEX($AI$2:$AI$1001,MATCH(ROWS($AH$2:AH85),$AH$2:$AH$1001,0),1)&gt;=100000,INDEX($AO$1005:$BQ$1005,1,MATCH(COLUMNS($AO$1006:BN1006),$AO$1006:$BQ$1006,0))&gt;=100000), " ",IF(INDEX($AO$2:$BQ$1001,MATCH(ROWS($AH$2:AH85),$AH$2:$AH$1001,0),MATCH(COLUMNS($AO$1006:BN1006),$AO$1006:$BQ$1006,0)), HYPERLINK("#",""), HYPERLINK(CONCATENATE("#Metadata!", ADDRESS(INDEX($AJ$2:$AJ$1001,MATCH(ROWS($AH$2:AH85),$AH$2:$AH$1001,0),0), INDEX($AO$1004:$BQ$1004,1,MATCH(COLUMNS($AO$1006:BN1006),$AO$1006:$BQ$1006,0)))),"Fix")))</f>
        <v>#N/A</v>
      </c>
      <c r="AB85" s="5" t="e">
        <f ca="1">IF(OR(INDEX($AI$2:$AI$1001,MATCH(ROWS($AH$2:AH85),$AH$2:$AH$1001,0),1)&gt;=100000,INDEX($AO$1005:$BQ$1005,1,MATCH(COLUMNS($AO$1006:BO1006),$AO$1006:$BQ$1006,0))&gt;=100000), " ",IF(INDEX($AO$2:$BQ$1001,MATCH(ROWS($AH$2:AH85),$AH$2:$AH$1001,0),MATCH(COLUMNS($AO$1006:BO1006),$AO$1006:$BQ$1006,0)), HYPERLINK("#",""), HYPERLINK(CONCATENATE("#Metadata!", ADDRESS(INDEX($AJ$2:$AJ$1001,MATCH(ROWS($AH$2:AH85),$AH$2:$AH$1001,0),0), INDEX($AO$1004:$BQ$1004,1,MATCH(COLUMNS($AO$1006:BO1006),$AO$1006:$BQ$1006,0)))),"Fix")))</f>
        <v>#N/A</v>
      </c>
      <c r="AC85" s="5" t="e">
        <f ca="1">IF(OR(INDEX($AI$2:$AI$1001,MATCH(ROWS($AH$2:AH85),$AH$2:$AH$1001,0),1)&gt;=100000,INDEX($AO$1005:$BQ$1005,1,MATCH(COLUMNS($AO$1006:BP1006),$AO$1006:$BQ$1006,0))&gt;=100000), " ",IF(INDEX($AO$2:$BQ$1001,MATCH(ROWS($AH$2:AH85),$AH$2:$AH$1001,0),MATCH(COLUMNS($AO$1006:BP1006),$AO$1006:$BQ$1006,0)), HYPERLINK("#",""), HYPERLINK(CONCATENATE("#Metadata!", ADDRESS(INDEX($AJ$2:$AJ$1001,MATCH(ROWS($AH$2:AH85),$AH$2:$AH$1001,0),0), INDEX($AO$1004:$BQ$1004,1,MATCH(COLUMNS($AO$1006:BP1006),$AO$1006:$BQ$1006,0)))),"Fix")))</f>
        <v>#N/A</v>
      </c>
      <c r="AD85" s="5" t="e">
        <f ca="1">IF(OR(INDEX($AI$2:$AI$1001,MATCH(ROWS($AH$2:AH85),$AH$2:$AH$1001,0),1)&gt;=100000,INDEX($AO$1005:$BQ$1005,1,MATCH(COLUMNS($AO$1006:BQ1006),$AO$1006:$BQ$1006,0))&gt;=100000), " ",IF(INDEX($AO$2:$BQ$1001,MATCH(ROWS($AH$2:AH85),$AH$2:$AH$1001,0),MATCH(COLUMNS($AO$1006:BQ1006),$AO$1006:$BQ$1006,0)), HYPERLINK("#",""), HYPERLINK(CONCATENATE("#Metadata!", ADDRESS(INDEX($AJ$2:$AJ$1001,MATCH(ROWS($AH$2:AH85),$AH$2:$AH$1001,0),0), INDEX($AO$1004:$BQ$1004,1,MATCH(COLUMNS($AO$1006:BQ1006),$AO$1006:$BQ$1006,0)))),"Fix")))</f>
        <v>#REF!</v>
      </c>
      <c r="AH85">
        <f ca="1"/>
        <v>82</v>
      </c>
      <c r="AI85">
        <v>100085</v>
      </c>
      <c r="AJ85">
        <v>85</v>
      </c>
      <c r="AK85" t="b">
        <f t="shared" si="1"/>
        <v>1</v>
      </c>
      <c r="AL85" t="b">
        <f>COUNTBLANK(Metadata!B85:AD85)=COLUMNS(Metadata!B85:AD85)</f>
        <v>1</v>
      </c>
      <c r="AM85" t="str">
        <v/>
      </c>
      <c r="AO85" t="b">
        <f ca="1">AND(IF(Metadata!B85="",FALSE,TRUE),COUNTIF(Metadata!B:B, Metadata!B85) = 1,NOT(ISERROR(SUMPRODUCT(SEARCH(MID(Metadata!B85,ROW(INDIRECT("1:"&amp;LEN(Metadata!B85))), 1),"0123456789abcdefghijklmnopqrstuvwxyzABCDEFGHIJKLMNOPQRSTUVWXYZ.")))))</f>
        <v>0</v>
      </c>
      <c r="AP85" t="b">
        <f>IF(Metadata!C85="",FALSE,TRUE)</f>
        <v>0</v>
      </c>
      <c r="AQ85" t="b">
        <f>IF(Metadata!D85="",FALSE,TRUE)</f>
        <v>0</v>
      </c>
      <c r="AR85" t="b">
        <f ca="1">OR(AND(IF(Metadata!E85="",FALSE,TRUE),OR(EXACT(Metadata!E85,"not collected"),EXACT(Metadata!E85,"not provided"),EXACT(Metadata!E85,"restricted access"))),AND(IF(Metadata!E85="",FALSE,TRUE),AND(AND(IFERROR(INT(LEFT(Metadata!E85,4))&gt;1900,FALSE),IFERROR(INT(LEFT(Metadata!E85,4))&lt;=YEAR(NOW()),FALSE)), OR(MID(Metadata!E85,5,1)="", AND(AND(MID(Metadata!E85,5,1)="-",IFERROR(INT(MID(Metadata!E85,6,1))&gt;=0,FALSE),IFERROR(INT(MID(Metadata!E85,6,1))&lt;=1,FALSE),NOT(MID(Metadata!E85,7,1)=""),IFERROR(INT(MID(Metadata!E85,6,2))&gt;=1,FALSE),IFERROR(INT(MID(Metadata!E85,6,2))&lt;=12,FALSE)), OR(MID(Metadata!E85,8,1)="", AND(AND(MID(Metadata!E85,8,1)="-",IFERROR(INT(MID(Metadata!E85,9,1))&gt;=0,FALSE),IFERROR(INT(MID(Metadata!E85,9,1))&lt;=3,FALSE),NOT(MID(Metadata!E85,10,1)=""),IFERROR(INT(MID(Metadata!E85,9,2))&gt;=1,FALSE),IFERROR(INT(MID(Metadata!E85,9,2))&lt;=31,FALSE)), OR(MID(Metadata!E85,11,1)="", AND(AND(MID(Metadata!E85,11,1)=" ",IFERROR(INT(MID(Metadata!E85,12,1))&gt;=0,FALSE),IFERROR(INT(MID(Metadata!E85,12,1))&lt;=2,FALSE),NOT(MID(Metadata!E85,13,1)=""),IFERROR(INT(MID(Metadata!E85,12,2))&gt;=0,FALSE),IFERROR(INT(MID(Metadata!E85,12,2))&lt;=23,FALSE)), OR(MID(Metadata!E85,14,1)="", AND(AND(MID(Metadata!E85,14,1)=":",IFERROR(INT(MID(Metadata!E85,15,1))&gt;=0,FALSE),IFERROR(INT(MID(Metadata!E85,15,1))&lt;=5,FALSE),NOT(MID(Metadata!E85,16,1)=""),IFERROR(INT(MID(Metadata!E85,15,2))&gt;=0,FALSE),IFERROR(INT(MID(Metadata!E85,15,2))&lt;=59,FALSE)), OR(MID(Metadata!E85,17,1)="", AND(AND(MID(Metadata!E85,17,1)=":",IFERROR(INT(MID(Metadata!E85,18,1))&gt;=0,FALSE),IFERROR(INT(MID(Metadata!E85,18,1))&lt;=5,FALSE),NOT(MID(Metadata!E85,19,1)=""),IFERROR(INT(MID(Metadata!E85,18,2))&gt;=0,FALSE),IFERROR(INT(MID(Metadata!E85,18,2))&lt;=59,FALSE)), LEN(Metadata!E85)&lt;=19)))))))))))))</f>
        <v>0</v>
      </c>
      <c r="AS85" t="b">
        <f>IF(Metadata!F85="",FALSE,TRUE)</f>
        <v>0</v>
      </c>
      <c r="AT85" t="b">
        <f>OR(AND(IF(Metadata!G85="",FALSE,TRUE),OR(EXACT(Metadata!G85,"not collected"),EXACT(Metadata!G85,"not provided"))),AND(IF(Metadata!G85="",FALSE,TRUE),OR(EXACT(Metadata!G85,"TRUE"),EXACT(Metadata!G85,"FALSE"))))</f>
        <v>0</v>
      </c>
      <c r="AU85" t="b">
        <f>OR(AND(IF(Metadata!H85="",FALSE,TRUE),OR(EXACT(Metadata!H85,"not collected"),EXACT(Metadata!H85,"not provided"),EXACT(Metadata!H85,"restricted access"))),AND(IF(Metadata!H85="",FALSE,ISNUMBER(VALUE(Metadata!H85))),Metadata!H85&gt;=-413))</f>
        <v>0</v>
      </c>
      <c r="AV85" t="b">
        <f>AND(IF(Metadata!I85="",FALSE,TRUE),EXACT(Metadata!I85,"meters"))</f>
        <v>0</v>
      </c>
      <c r="AW85" t="b">
        <f>AND(IF(Metadata!J85="",FALSE,TRUE),EXACT(Metadata!J85,"free-living"))</f>
        <v>0</v>
      </c>
      <c r="AX85" t="b">
        <f>AND(IF(Metadata!K85="",FALSE,TRUE),OR(EXACT(Metadata!K85,"saline"),EXACT(Metadata!K85,"non-saline")))</f>
        <v>0</v>
      </c>
      <c r="AY85" t="b">
        <f>AND(IF(Metadata!L85="",FALSE,TRUE),OR(EXACT(Metadata!L85,"sub-surface (non-saline)"),EXACT(Metadata!L85,"surface (non-saline)"),EXACT(Metadata!L85,"water (non-saline)"),EXACT(Metadata!L85,"soil (non-saline)"),EXACT(Metadata!L85,"aerosol (non-saline)"),EXACT(Metadata!L85,"sediment (non-saline)"),EXACT(Metadata!L85,"surface (saline)"),EXACT(Metadata!L85,"water (saline)"),EXACT(Metadata!L85,"hypersaline (saline)"),EXACT(Metadata!L85,"aerosol (saline)"),EXACT(Metadata!L85,"sediment (saline)")))</f>
        <v>0</v>
      </c>
      <c r="AZ85" t="b">
        <f>IF(Metadata!M85="",FALSE,TRUE)</f>
        <v>0</v>
      </c>
      <c r="BA85" t="b">
        <f>IF(Metadata!N85="",FALSE,TRUE)</f>
        <v>0</v>
      </c>
      <c r="BB85" t="b">
        <f>IF(Metadata!O85="",FALSE,TRUE)</f>
        <v>0</v>
      </c>
      <c r="BC85" t="b">
        <f>AND(IF(Metadata!P85="",FALSE,TRUE),OR(EXACT(Metadata!P85,"air"),EXACT(Metadata!P85,"microbial mat/biofilm"),EXACT(Metadata!P85,"misc environment"),EXACT(Metadata!P85,"sediment"),EXACT(Metadata!P85,"soil"),EXACT(Metadata!P85,"wastewater/sludge"),EXACT(Metadata!P85,"water")))</f>
        <v>0</v>
      </c>
      <c r="BD85" t="b">
        <f>IF(Metadata!Q85="",FALSE,TRUE)</f>
        <v>0</v>
      </c>
      <c r="BE85" t="b">
        <f>IF(Metadata!R85="",FALSE,TRUE)</f>
        <v>0</v>
      </c>
      <c r="BF85" t="b">
        <f>OR(AND(IF(Metadata!S85="",FALSE,TRUE),OR(EXACT(Metadata!S85,"not collected"),EXACT(Metadata!S85,"not provided"),EXACT(Metadata!S85,"restricted access"))),AND(IF(Metadata!S85="",FALSE,ISNUMBER(VALUE(Metadata!S85))),Metadata!S85&gt;=-90,Metadata!S85&lt;=90))</f>
        <v>0</v>
      </c>
      <c r="BG85" t="b">
        <f>AND(IF(Metadata!T85="",FALSE,TRUE),EXACT(Metadata!T85,"Decimal degrees"))</f>
        <v>0</v>
      </c>
      <c r="BH85" t="b">
        <f>OR(AND(IF(Metadata!U85="",FALSE,TRUE),OR(EXACT(Metadata!U85,"not applicable"),EXACT(Metadata!U85,"not collected"))),IF(Metadata!U85="",FALSE,TRUE))</f>
        <v>0</v>
      </c>
      <c r="BI85" t="b">
        <f>OR(AND(IF(Metadata!V85="",FALSE,TRUE),OR(EXACT(Metadata!V85,"not collected"),EXACT(Metadata!V85,"not provided"),EXACT(Metadata!V85,"restricted access"))),AND(IF(Metadata!V85="",FALSE,ISNUMBER(VALUE(Metadata!V85))),Metadata!V85&gt;=-180,Metadata!V85&lt;=180))</f>
        <v>0</v>
      </c>
      <c r="BJ85" t="b">
        <f>AND(IF(Metadata!W85="",FALSE,TRUE),EXACT(Metadata!W85,"Decimal degrees"))</f>
        <v>0</v>
      </c>
      <c r="BK85" t="b">
        <f>IF(Metadata!X85="",FALSE,TRUE)</f>
        <v>0</v>
      </c>
      <c r="BL85" t="b">
        <f>OR(AND(IF(Metadata!Y85="",FALSE,TRUE),OR(EXACT(Metadata!Y85,"not collected"),EXACT(Metadata!Y85,"not provided"),EXACT(Metadata!Y85,"restricted access"))),AND(IF(Metadata!Y85="",FALSE,TRUE),OR(EXACT(Metadata!Y85,"TRUE"),EXACT(Metadata!Y85,"FALSE"))))</f>
        <v>0</v>
      </c>
      <c r="BM85" t="b">
        <f>OR(AND(IF(Metadata!Z85="",FALSE,TRUE),EXACT(Metadata!Z85,"not applicable")),AND(IF(Metadata!Z85="",FALSE,TRUE),OR(EXACT(Metadata!Z85,"beer"),EXACT(Metadata!Z85,"cheese"),EXACT(Metadata!Z85,"fresh water"),EXACT(Metadata!Z85,"marine sediment"),EXACT(Metadata!Z85,"sea water"),EXACT(Metadata!Z85,"sediment"),EXACT(Metadata!Z85,"soil"),EXACT(Metadata!Z85,"waste water"))))</f>
        <v>0</v>
      </c>
      <c r="BN85" t="b">
        <f>AND(IF(Metadata!AA85="",FALSE,TRUE),EXACT(Metadata!AA85,"metagenome"))</f>
        <v>0</v>
      </c>
      <c r="BO85" t="b">
        <f>AND(IF(Metadata!AB85="",FALSE,TRUE),EXACT(Metadata!AB85,"256318"))</f>
        <v>0</v>
      </c>
      <c r="BP85" t="b">
        <f>IF(Metadata!AC85="",FALSE,TRUE)</f>
        <v>0</v>
      </c>
      <c r="BQ85" t="b">
        <f>IF(Metadata!AD85="",FALSE,TRUE)</f>
        <v>0</v>
      </c>
    </row>
    <row r="86" spans="1:69" x14ac:dyDescent="0.2">
      <c r="A86" s="4" t="e">
        <f ca="1">IF(B86=" "," ",HYPERLINK(CONCATENATE("#metadata!",ADDRESS(INDEX($AJ$2:$AJ$1001,MATCH(ROWS($AH$2:AH86),$AH$2:$AH$1001,0),0),2)),INDEX($AM$2:$AM$1001,MATCH(ROWS($AH$2:AH86),$AH$2:$AH$1001,0),0)))</f>
        <v>#N/A</v>
      </c>
      <c r="B86" s="5" t="e">
        <f ca="1">IF(OR(INDEX($AI$2:$AI$1001,MATCH(ROWS($AH$2:AH86),$AH$2:$AH$1001,0),1)&gt;=100000,INDEX($AO$1005:$BQ$1005,1,MATCH(COLUMNS($AO$1006:AO1006),$AO$1006:$BQ$1006,0))&gt;=100000), " ",IF(INDEX($AO$2:$BQ$1001,MATCH(ROWS($AH$2:AH86),$AH$2:$AH$1001,0),MATCH(COLUMNS($AO$1006:AO1006),$AO$1006:$BQ$1006,0)), HYPERLINK("#",""), HYPERLINK(CONCATENATE("#Metadata!", ADDRESS(INDEX($AJ$2:$AJ$1001,MATCH(ROWS($AH$2:AH86),$AH$2:$AH$1001,0),0), INDEX($AO$1004:$BQ$1004,1,MATCH(COLUMNS($AO$1006:AO1006),$AO$1006:$BQ$1006,0)))),"Fix")))</f>
        <v>#N/A</v>
      </c>
      <c r="C86" s="5" t="e">
        <f ca="1">IF(OR(INDEX($AI$2:$AI$1001,MATCH(ROWS($AH$2:AH86),$AH$2:$AH$1001,0),1)&gt;=100000,INDEX($AO$1005:$BQ$1005,1,MATCH(COLUMNS($AO$1006:AP1006),$AO$1006:$BQ$1006,0))&gt;=100000), " ",IF(INDEX($AO$2:$BQ$1001,MATCH(ROWS($AH$2:AH86),$AH$2:$AH$1001,0),MATCH(COLUMNS($AO$1006:AP1006),$AO$1006:$BQ$1006,0)), HYPERLINK("#",""), HYPERLINK(CONCATENATE("#Metadata!", ADDRESS(INDEX($AJ$2:$AJ$1001,MATCH(ROWS($AH$2:AH86),$AH$2:$AH$1001,0),0), INDEX($AO$1004:$BQ$1004,1,MATCH(COLUMNS($AO$1006:AP1006),$AO$1006:$BQ$1006,0)))),"Fix")))</f>
        <v>#N/A</v>
      </c>
      <c r="D86" s="5" t="e">
        <f ca="1">IF(OR(INDEX($AI$2:$AI$1001,MATCH(ROWS($AH$2:AH86),$AH$2:$AH$1001,0),1)&gt;=100000,INDEX($AO$1005:$BQ$1005,1,MATCH(COLUMNS($AO$1006:AQ1006),$AO$1006:$BQ$1006,0))&gt;=100000), " ",IF(INDEX($AO$2:$BQ$1001,MATCH(ROWS($AH$2:AH86),$AH$2:$AH$1001,0),MATCH(COLUMNS($AO$1006:AQ1006),$AO$1006:$BQ$1006,0)), HYPERLINK("#",""), HYPERLINK(CONCATENATE("#Metadata!", ADDRESS(INDEX($AJ$2:$AJ$1001,MATCH(ROWS($AH$2:AH86),$AH$2:$AH$1001,0),0), INDEX($AO$1004:$BQ$1004,1,MATCH(COLUMNS($AO$1006:AQ1006),$AO$1006:$BQ$1006,0)))),"Fix")))</f>
        <v>#N/A</v>
      </c>
      <c r="E86" s="5" t="e">
        <f ca="1">IF(OR(INDEX($AI$2:$AI$1001,MATCH(ROWS($AH$2:AH86),$AH$2:$AH$1001,0),1)&gt;=100000,INDEX($AO$1005:$BQ$1005,1,MATCH(COLUMNS($AO$1006:AR1006),$AO$1006:$BQ$1006,0))&gt;=100000), " ",IF(INDEX($AO$2:$BQ$1001,MATCH(ROWS($AH$2:AH86),$AH$2:$AH$1001,0),MATCH(COLUMNS($AO$1006:AR1006),$AO$1006:$BQ$1006,0)), HYPERLINK("#",""), HYPERLINK(CONCATENATE("#Metadata!", ADDRESS(INDEX($AJ$2:$AJ$1001,MATCH(ROWS($AH$2:AH86),$AH$2:$AH$1001,0),0), INDEX($AO$1004:$BQ$1004,1,MATCH(COLUMNS($AO$1006:AR1006),$AO$1006:$BQ$1006,0)))),"Fix")))</f>
        <v>#N/A</v>
      </c>
      <c r="F86" s="5" t="e">
        <f ca="1">IF(OR(INDEX($AI$2:$AI$1001,MATCH(ROWS($AH$2:AH86),$AH$2:$AH$1001,0),1)&gt;=100000,INDEX($AO$1005:$BQ$1005,1,MATCH(COLUMNS($AO$1006:AS1006),$AO$1006:$BQ$1006,0))&gt;=100000), " ",IF(INDEX($AO$2:$BQ$1001,MATCH(ROWS($AH$2:AH86),$AH$2:$AH$1001,0),MATCH(COLUMNS($AO$1006:AS1006),$AO$1006:$BQ$1006,0)), HYPERLINK("#",""), HYPERLINK(CONCATENATE("#Metadata!", ADDRESS(INDEX($AJ$2:$AJ$1001,MATCH(ROWS($AH$2:AH86),$AH$2:$AH$1001,0),0), INDEX($AO$1004:$BQ$1004,1,MATCH(COLUMNS($AO$1006:AS1006),$AO$1006:$BQ$1006,0)))),"Fix")))</f>
        <v>#N/A</v>
      </c>
      <c r="G86" s="5" t="e">
        <f ca="1">IF(OR(INDEX($AI$2:$AI$1001,MATCH(ROWS($AH$2:AH86),$AH$2:$AH$1001,0),1)&gt;=100000,INDEX($AO$1005:$BQ$1005,1,MATCH(COLUMNS($AO$1006:AT1006),$AO$1006:$BQ$1006,0))&gt;=100000), " ",IF(INDEX($AO$2:$BQ$1001,MATCH(ROWS($AH$2:AH86),$AH$2:$AH$1001,0),MATCH(COLUMNS($AO$1006:AT1006),$AO$1006:$BQ$1006,0)), HYPERLINK("#",""), HYPERLINK(CONCATENATE("#Metadata!", ADDRESS(INDEX($AJ$2:$AJ$1001,MATCH(ROWS($AH$2:AH86),$AH$2:$AH$1001,0),0), INDEX($AO$1004:$BQ$1004,1,MATCH(COLUMNS($AO$1006:AT1006),$AO$1006:$BQ$1006,0)))),"Fix")))</f>
        <v>#N/A</v>
      </c>
      <c r="H86" s="5" t="e">
        <f ca="1">IF(OR(INDEX($AI$2:$AI$1001,MATCH(ROWS($AH$2:AH86),$AH$2:$AH$1001,0),1)&gt;=100000,INDEX($AO$1005:$BQ$1005,1,MATCH(COLUMNS($AO$1006:AU1006),$AO$1006:$BQ$1006,0))&gt;=100000), " ",IF(INDEX($AO$2:$BQ$1001,MATCH(ROWS($AH$2:AH86),$AH$2:$AH$1001,0),MATCH(COLUMNS($AO$1006:AU1006),$AO$1006:$BQ$1006,0)), HYPERLINK("#",""), HYPERLINK(CONCATENATE("#Metadata!", ADDRESS(INDEX($AJ$2:$AJ$1001,MATCH(ROWS($AH$2:AH86),$AH$2:$AH$1001,0),0), INDEX($AO$1004:$BQ$1004,1,MATCH(COLUMNS($AO$1006:AU1006),$AO$1006:$BQ$1006,0)))),"Fix")))</f>
        <v>#N/A</v>
      </c>
      <c r="I86" s="5" t="e">
        <f ca="1">IF(OR(INDEX($AI$2:$AI$1001,MATCH(ROWS($AH$2:AH86),$AH$2:$AH$1001,0),1)&gt;=100000,INDEX($AO$1005:$BQ$1005,1,MATCH(COLUMNS($AO$1006:AV1006),$AO$1006:$BQ$1006,0))&gt;=100000), " ",IF(INDEX($AO$2:$BQ$1001,MATCH(ROWS($AH$2:AH86),$AH$2:$AH$1001,0),MATCH(COLUMNS($AO$1006:AV1006),$AO$1006:$BQ$1006,0)), HYPERLINK("#",""), HYPERLINK(CONCATENATE("#Metadata!", ADDRESS(INDEX($AJ$2:$AJ$1001,MATCH(ROWS($AH$2:AH86),$AH$2:$AH$1001,0),0), INDEX($AO$1004:$BQ$1004,1,MATCH(COLUMNS($AO$1006:AV1006),$AO$1006:$BQ$1006,0)))),"Fix")))</f>
        <v>#N/A</v>
      </c>
      <c r="J86" s="5" t="e">
        <f ca="1">IF(OR(INDEX($AI$2:$AI$1001,MATCH(ROWS($AH$2:AH86),$AH$2:$AH$1001,0),1)&gt;=100000,INDEX($AO$1005:$BQ$1005,1,MATCH(COLUMNS($AO$1006:AW1006),$AO$1006:$BQ$1006,0))&gt;=100000), " ",IF(INDEX($AO$2:$BQ$1001,MATCH(ROWS($AH$2:AH86),$AH$2:$AH$1001,0),MATCH(COLUMNS($AO$1006:AW1006),$AO$1006:$BQ$1006,0)), HYPERLINK("#",""), HYPERLINK(CONCATENATE("#Metadata!", ADDRESS(INDEX($AJ$2:$AJ$1001,MATCH(ROWS($AH$2:AH86),$AH$2:$AH$1001,0),0), INDEX($AO$1004:$BQ$1004,1,MATCH(COLUMNS($AO$1006:AW1006),$AO$1006:$BQ$1006,0)))),"Fix")))</f>
        <v>#N/A</v>
      </c>
      <c r="K86" s="5" t="e">
        <f ca="1">IF(OR(INDEX($AI$2:$AI$1001,MATCH(ROWS($AH$2:AH86),$AH$2:$AH$1001,0),1)&gt;=100000,INDEX($AO$1005:$BQ$1005,1,MATCH(COLUMNS($AO$1006:AX1006),$AO$1006:$BQ$1006,0))&gt;=100000), " ",IF(INDEX($AO$2:$BQ$1001,MATCH(ROWS($AH$2:AH86),$AH$2:$AH$1001,0),MATCH(COLUMNS($AO$1006:AX1006),$AO$1006:$BQ$1006,0)), HYPERLINK("#",""), HYPERLINK(CONCATENATE("#Metadata!", ADDRESS(INDEX($AJ$2:$AJ$1001,MATCH(ROWS($AH$2:AH86),$AH$2:$AH$1001,0),0), INDEX($AO$1004:$BQ$1004,1,MATCH(COLUMNS($AO$1006:AX1006),$AO$1006:$BQ$1006,0)))),"Fix")))</f>
        <v>#N/A</v>
      </c>
      <c r="L86" s="5" t="e">
        <f ca="1">IF(OR(INDEX($AI$2:$AI$1001,MATCH(ROWS($AH$2:AH86),$AH$2:$AH$1001,0),1)&gt;=100000,INDEX($AO$1005:$BQ$1005,1,MATCH(COLUMNS($AO$1006:AY1006),$AO$1006:$BQ$1006,0))&gt;=100000), " ",IF(INDEX($AO$2:$BQ$1001,MATCH(ROWS($AH$2:AH86),$AH$2:$AH$1001,0),MATCH(COLUMNS($AO$1006:AY1006),$AO$1006:$BQ$1006,0)), HYPERLINK("#",""), HYPERLINK(CONCATENATE("#Metadata!", ADDRESS(INDEX($AJ$2:$AJ$1001,MATCH(ROWS($AH$2:AH86),$AH$2:$AH$1001,0),0), INDEX($AO$1004:$BQ$1004,1,MATCH(COLUMNS($AO$1006:AY1006),$AO$1006:$BQ$1006,0)))),"Fix")))</f>
        <v>#N/A</v>
      </c>
      <c r="M86" s="5" t="e">
        <f ca="1">IF(OR(INDEX($AI$2:$AI$1001,MATCH(ROWS($AH$2:AH86),$AH$2:$AH$1001,0),1)&gt;=100000,INDEX($AO$1005:$BQ$1005,1,MATCH(COLUMNS($AO$1006:AZ1006),$AO$1006:$BQ$1006,0))&gt;=100000), " ",IF(INDEX($AO$2:$BQ$1001,MATCH(ROWS($AH$2:AH86),$AH$2:$AH$1001,0),MATCH(COLUMNS($AO$1006:AZ1006),$AO$1006:$BQ$1006,0)), HYPERLINK("#",""), HYPERLINK(CONCATENATE("#Metadata!", ADDRESS(INDEX($AJ$2:$AJ$1001,MATCH(ROWS($AH$2:AH86),$AH$2:$AH$1001,0),0), INDEX($AO$1004:$BQ$1004,1,MATCH(COLUMNS($AO$1006:AZ1006),$AO$1006:$BQ$1006,0)))),"Fix")))</f>
        <v>#N/A</v>
      </c>
      <c r="N86" s="5" t="e">
        <f ca="1">IF(OR(INDEX($AI$2:$AI$1001,MATCH(ROWS($AH$2:AH86),$AH$2:$AH$1001,0),1)&gt;=100000,INDEX($AO$1005:$BQ$1005,1,MATCH(COLUMNS($AO$1006:BA1006),$AO$1006:$BQ$1006,0))&gt;=100000), " ",IF(INDEX($AO$2:$BQ$1001,MATCH(ROWS($AH$2:AH86),$AH$2:$AH$1001,0),MATCH(COLUMNS($AO$1006:BA1006),$AO$1006:$BQ$1006,0)), HYPERLINK("#",""), HYPERLINK(CONCATENATE("#Metadata!", ADDRESS(INDEX($AJ$2:$AJ$1001,MATCH(ROWS($AH$2:AH86),$AH$2:$AH$1001,0),0), INDEX($AO$1004:$BQ$1004,1,MATCH(COLUMNS($AO$1006:BA1006),$AO$1006:$BQ$1006,0)))),"Fix")))</f>
        <v>#N/A</v>
      </c>
      <c r="O86" s="5" t="e">
        <f ca="1">IF(OR(INDEX($AI$2:$AI$1001,MATCH(ROWS($AH$2:AH86),$AH$2:$AH$1001,0),1)&gt;=100000,INDEX($AO$1005:$BQ$1005,1,MATCH(COLUMNS($AO$1006:BB1006),$AO$1006:$BQ$1006,0))&gt;=100000), " ",IF(INDEX($AO$2:$BQ$1001,MATCH(ROWS($AH$2:AH86),$AH$2:$AH$1001,0),MATCH(COLUMNS($AO$1006:BB1006),$AO$1006:$BQ$1006,0)), HYPERLINK("#",""), HYPERLINK(CONCATENATE("#Metadata!", ADDRESS(INDEX($AJ$2:$AJ$1001,MATCH(ROWS($AH$2:AH86),$AH$2:$AH$1001,0),0), INDEX($AO$1004:$BQ$1004,1,MATCH(COLUMNS($AO$1006:BB1006),$AO$1006:$BQ$1006,0)))),"Fix")))</f>
        <v>#N/A</v>
      </c>
      <c r="P86" s="5" t="e">
        <f ca="1">IF(OR(INDEX($AI$2:$AI$1001,MATCH(ROWS($AH$2:AH86),$AH$2:$AH$1001,0),1)&gt;=100000,INDEX($AO$1005:$BQ$1005,1,MATCH(COLUMNS($AO$1006:BC1006),$AO$1006:$BQ$1006,0))&gt;=100000), " ",IF(INDEX($AO$2:$BQ$1001,MATCH(ROWS($AH$2:AH86),$AH$2:$AH$1001,0),MATCH(COLUMNS($AO$1006:BC1006),$AO$1006:$BQ$1006,0)), HYPERLINK("#",""), HYPERLINK(CONCATENATE("#Metadata!", ADDRESS(INDEX($AJ$2:$AJ$1001,MATCH(ROWS($AH$2:AH86),$AH$2:$AH$1001,0),0), INDEX($AO$1004:$BQ$1004,1,MATCH(COLUMNS($AO$1006:BC1006),$AO$1006:$BQ$1006,0)))),"Fix")))</f>
        <v>#N/A</v>
      </c>
      <c r="Q86" s="5" t="e">
        <f ca="1">IF(OR(INDEX($AI$2:$AI$1001,MATCH(ROWS($AH$2:AH86),$AH$2:$AH$1001,0),1)&gt;=100000,INDEX($AO$1005:$BQ$1005,1,MATCH(COLUMNS($AO$1006:BD1006),$AO$1006:$BQ$1006,0))&gt;=100000), " ",IF(INDEX($AO$2:$BQ$1001,MATCH(ROWS($AH$2:AH86),$AH$2:$AH$1001,0),MATCH(COLUMNS($AO$1006:BD1006),$AO$1006:$BQ$1006,0)), HYPERLINK("#",""), HYPERLINK(CONCATENATE("#Metadata!", ADDRESS(INDEX($AJ$2:$AJ$1001,MATCH(ROWS($AH$2:AH86),$AH$2:$AH$1001,0),0), INDEX($AO$1004:$BQ$1004,1,MATCH(COLUMNS($AO$1006:BD1006),$AO$1006:$BQ$1006,0)))),"Fix")))</f>
        <v>#N/A</v>
      </c>
      <c r="R86" s="5" t="e">
        <f ca="1">IF(OR(INDEX($AI$2:$AI$1001,MATCH(ROWS($AH$2:AH86),$AH$2:$AH$1001,0),1)&gt;=100000,INDEX($AO$1005:$BQ$1005,1,MATCH(COLUMNS($AO$1006:BE1006),$AO$1006:$BQ$1006,0))&gt;=100000), " ",IF(INDEX($AO$2:$BQ$1001,MATCH(ROWS($AH$2:AH86),$AH$2:$AH$1001,0),MATCH(COLUMNS($AO$1006:BE1006),$AO$1006:$BQ$1006,0)), HYPERLINK("#",""), HYPERLINK(CONCATENATE("#Metadata!", ADDRESS(INDEX($AJ$2:$AJ$1001,MATCH(ROWS($AH$2:AH86),$AH$2:$AH$1001,0),0), INDEX($AO$1004:$BQ$1004,1,MATCH(COLUMNS($AO$1006:BE1006),$AO$1006:$BQ$1006,0)))),"Fix")))</f>
        <v>#N/A</v>
      </c>
      <c r="S86" s="5" t="e">
        <f ca="1">IF(OR(INDEX($AI$2:$AI$1001,MATCH(ROWS($AH$2:AH86),$AH$2:$AH$1001,0),1)&gt;=100000,INDEX($AO$1005:$BQ$1005,1,MATCH(COLUMNS($AO$1006:BF1006),$AO$1006:$BQ$1006,0))&gt;=100000), " ",IF(INDEX($AO$2:$BQ$1001,MATCH(ROWS($AH$2:AH86),$AH$2:$AH$1001,0),MATCH(COLUMNS($AO$1006:BF1006),$AO$1006:$BQ$1006,0)), HYPERLINK("#",""), HYPERLINK(CONCATENATE("#Metadata!", ADDRESS(INDEX($AJ$2:$AJ$1001,MATCH(ROWS($AH$2:AH86),$AH$2:$AH$1001,0),0), INDEX($AO$1004:$BQ$1004,1,MATCH(COLUMNS($AO$1006:BF1006),$AO$1006:$BQ$1006,0)))),"Fix")))</f>
        <v>#N/A</v>
      </c>
      <c r="T86" s="5" t="e">
        <f ca="1">IF(OR(INDEX($AI$2:$AI$1001,MATCH(ROWS($AH$2:AH86),$AH$2:$AH$1001,0),1)&gt;=100000,INDEX($AO$1005:$BQ$1005,1,MATCH(COLUMNS($AO$1006:BG1006),$AO$1006:$BQ$1006,0))&gt;=100000), " ",IF(INDEX($AO$2:$BQ$1001,MATCH(ROWS($AH$2:AH86),$AH$2:$AH$1001,0),MATCH(COLUMNS($AO$1006:BG1006),$AO$1006:$BQ$1006,0)), HYPERLINK("#",""), HYPERLINK(CONCATENATE("#Metadata!", ADDRESS(INDEX($AJ$2:$AJ$1001,MATCH(ROWS($AH$2:AH86),$AH$2:$AH$1001,0),0), INDEX($AO$1004:$BQ$1004,1,MATCH(COLUMNS($AO$1006:BG1006),$AO$1006:$BQ$1006,0)))),"Fix")))</f>
        <v>#N/A</v>
      </c>
      <c r="U86" s="5" t="e">
        <f ca="1">IF(OR(INDEX($AI$2:$AI$1001,MATCH(ROWS($AH$2:AH86),$AH$2:$AH$1001,0),1)&gt;=100000,INDEX($AO$1005:$BQ$1005,1,MATCH(COLUMNS($AO$1006:BH1006),$AO$1006:$BQ$1006,0))&gt;=100000), " ",IF(INDEX($AO$2:$BQ$1001,MATCH(ROWS($AH$2:AH86),$AH$2:$AH$1001,0),MATCH(COLUMNS($AO$1006:BH1006),$AO$1006:$BQ$1006,0)), HYPERLINK("#",""), HYPERLINK(CONCATENATE("#Metadata!", ADDRESS(INDEX($AJ$2:$AJ$1001,MATCH(ROWS($AH$2:AH86),$AH$2:$AH$1001,0),0), INDEX($AO$1004:$BQ$1004,1,MATCH(COLUMNS($AO$1006:BH1006),$AO$1006:$BQ$1006,0)))),"Fix")))</f>
        <v>#N/A</v>
      </c>
      <c r="V86" s="5" t="e">
        <f ca="1">IF(OR(INDEX($AI$2:$AI$1001,MATCH(ROWS($AH$2:AH86),$AH$2:$AH$1001,0),1)&gt;=100000,INDEX($AO$1005:$BQ$1005,1,MATCH(COLUMNS($AO$1006:BI1006),$AO$1006:$BQ$1006,0))&gt;=100000), " ",IF(INDEX($AO$2:$BQ$1001,MATCH(ROWS($AH$2:AH86),$AH$2:$AH$1001,0),MATCH(COLUMNS($AO$1006:BI1006),$AO$1006:$BQ$1006,0)), HYPERLINK("#",""), HYPERLINK(CONCATENATE("#Metadata!", ADDRESS(INDEX($AJ$2:$AJ$1001,MATCH(ROWS($AH$2:AH86),$AH$2:$AH$1001,0),0), INDEX($AO$1004:$BQ$1004,1,MATCH(COLUMNS($AO$1006:BI1006),$AO$1006:$BQ$1006,0)))),"Fix")))</f>
        <v>#N/A</v>
      </c>
      <c r="W86" s="5" t="e">
        <f ca="1">IF(OR(INDEX($AI$2:$AI$1001,MATCH(ROWS($AH$2:AH86),$AH$2:$AH$1001,0),1)&gt;=100000,INDEX($AO$1005:$BQ$1005,1,MATCH(COLUMNS($AO$1006:BJ1006),$AO$1006:$BQ$1006,0))&gt;=100000), " ",IF(INDEX($AO$2:$BQ$1001,MATCH(ROWS($AH$2:AH86),$AH$2:$AH$1001,0),MATCH(COLUMNS($AO$1006:BJ1006),$AO$1006:$BQ$1006,0)), HYPERLINK("#",""), HYPERLINK(CONCATENATE("#Metadata!", ADDRESS(INDEX($AJ$2:$AJ$1001,MATCH(ROWS($AH$2:AH86),$AH$2:$AH$1001,0),0), INDEX($AO$1004:$BQ$1004,1,MATCH(COLUMNS($AO$1006:BJ1006),$AO$1006:$BQ$1006,0)))),"Fix")))</f>
        <v>#N/A</v>
      </c>
      <c r="X86" s="5" t="e">
        <f ca="1">IF(OR(INDEX($AI$2:$AI$1001,MATCH(ROWS($AH$2:AH86),$AH$2:$AH$1001,0),1)&gt;=100000,INDEX($AO$1005:$BQ$1005,1,MATCH(COLUMNS($AO$1006:BK1006),$AO$1006:$BQ$1006,0))&gt;=100000), " ",IF(INDEX($AO$2:$BQ$1001,MATCH(ROWS($AH$2:AH86),$AH$2:$AH$1001,0),MATCH(COLUMNS($AO$1006:BK1006),$AO$1006:$BQ$1006,0)), HYPERLINK("#",""), HYPERLINK(CONCATENATE("#Metadata!", ADDRESS(INDEX($AJ$2:$AJ$1001,MATCH(ROWS($AH$2:AH86),$AH$2:$AH$1001,0),0), INDEX($AO$1004:$BQ$1004,1,MATCH(COLUMNS($AO$1006:BK1006),$AO$1006:$BQ$1006,0)))),"Fix")))</f>
        <v>#N/A</v>
      </c>
      <c r="Y86" s="5" t="e">
        <f ca="1">IF(OR(INDEX($AI$2:$AI$1001,MATCH(ROWS($AH$2:AH86),$AH$2:$AH$1001,0),1)&gt;=100000,INDEX($AO$1005:$BQ$1005,1,MATCH(COLUMNS($AO$1006:BL1006),$AO$1006:$BQ$1006,0))&gt;=100000), " ",IF(INDEX($AO$2:$BQ$1001,MATCH(ROWS($AH$2:AH86),$AH$2:$AH$1001,0),MATCH(COLUMNS($AO$1006:BL1006),$AO$1006:$BQ$1006,0)), HYPERLINK("#",""), HYPERLINK(CONCATENATE("#Metadata!", ADDRESS(INDEX($AJ$2:$AJ$1001,MATCH(ROWS($AH$2:AH86),$AH$2:$AH$1001,0),0), INDEX($AO$1004:$BQ$1004,1,MATCH(COLUMNS($AO$1006:BL1006),$AO$1006:$BQ$1006,0)))),"Fix")))</f>
        <v>#N/A</v>
      </c>
      <c r="Z86" s="5" t="e">
        <f ca="1">IF(OR(INDEX($AI$2:$AI$1001,MATCH(ROWS($AH$2:AH86),$AH$2:$AH$1001,0),1)&gt;=100000,INDEX($AO$1005:$BQ$1005,1,MATCH(COLUMNS($AO$1006:BM1006),$AO$1006:$BQ$1006,0))&gt;=100000), " ",IF(INDEX($AO$2:$BQ$1001,MATCH(ROWS($AH$2:AH86),$AH$2:$AH$1001,0),MATCH(COLUMNS($AO$1006:BM1006),$AO$1006:$BQ$1006,0)), HYPERLINK("#",""), HYPERLINK(CONCATENATE("#Metadata!", ADDRESS(INDEX($AJ$2:$AJ$1001,MATCH(ROWS($AH$2:AH86),$AH$2:$AH$1001,0),0), INDEX($AO$1004:$BQ$1004,1,MATCH(COLUMNS($AO$1006:BM1006),$AO$1006:$BQ$1006,0)))),"Fix")))</f>
        <v>#N/A</v>
      </c>
      <c r="AA86" s="5" t="e">
        <f ca="1">IF(OR(INDEX($AI$2:$AI$1001,MATCH(ROWS($AH$2:AH86),$AH$2:$AH$1001,0),1)&gt;=100000,INDEX($AO$1005:$BQ$1005,1,MATCH(COLUMNS($AO$1006:BN1006),$AO$1006:$BQ$1006,0))&gt;=100000), " ",IF(INDEX($AO$2:$BQ$1001,MATCH(ROWS($AH$2:AH86),$AH$2:$AH$1001,0),MATCH(COLUMNS($AO$1006:BN1006),$AO$1006:$BQ$1006,0)), HYPERLINK("#",""), HYPERLINK(CONCATENATE("#Metadata!", ADDRESS(INDEX($AJ$2:$AJ$1001,MATCH(ROWS($AH$2:AH86),$AH$2:$AH$1001,0),0), INDEX($AO$1004:$BQ$1004,1,MATCH(COLUMNS($AO$1006:BN1006),$AO$1006:$BQ$1006,0)))),"Fix")))</f>
        <v>#N/A</v>
      </c>
      <c r="AB86" s="5" t="e">
        <f ca="1">IF(OR(INDEX($AI$2:$AI$1001,MATCH(ROWS($AH$2:AH86),$AH$2:$AH$1001,0),1)&gt;=100000,INDEX($AO$1005:$BQ$1005,1,MATCH(COLUMNS($AO$1006:BO1006),$AO$1006:$BQ$1006,0))&gt;=100000), " ",IF(INDEX($AO$2:$BQ$1001,MATCH(ROWS($AH$2:AH86),$AH$2:$AH$1001,0),MATCH(COLUMNS($AO$1006:BO1006),$AO$1006:$BQ$1006,0)), HYPERLINK("#",""), HYPERLINK(CONCATENATE("#Metadata!", ADDRESS(INDEX($AJ$2:$AJ$1001,MATCH(ROWS($AH$2:AH86),$AH$2:$AH$1001,0),0), INDEX($AO$1004:$BQ$1004,1,MATCH(COLUMNS($AO$1006:BO1006),$AO$1006:$BQ$1006,0)))),"Fix")))</f>
        <v>#N/A</v>
      </c>
      <c r="AC86" s="5" t="e">
        <f ca="1">IF(OR(INDEX($AI$2:$AI$1001,MATCH(ROWS($AH$2:AH86),$AH$2:$AH$1001,0),1)&gt;=100000,INDEX($AO$1005:$BQ$1005,1,MATCH(COLUMNS($AO$1006:BP1006),$AO$1006:$BQ$1006,0))&gt;=100000), " ",IF(INDEX($AO$2:$BQ$1001,MATCH(ROWS($AH$2:AH86),$AH$2:$AH$1001,0),MATCH(COLUMNS($AO$1006:BP1006),$AO$1006:$BQ$1006,0)), HYPERLINK("#",""), HYPERLINK(CONCATENATE("#Metadata!", ADDRESS(INDEX($AJ$2:$AJ$1001,MATCH(ROWS($AH$2:AH86),$AH$2:$AH$1001,0),0), INDEX($AO$1004:$BQ$1004,1,MATCH(COLUMNS($AO$1006:BP1006),$AO$1006:$BQ$1006,0)))),"Fix")))</f>
        <v>#N/A</v>
      </c>
      <c r="AD86" s="5" t="e">
        <f ca="1">IF(OR(INDEX($AI$2:$AI$1001,MATCH(ROWS($AH$2:AH86),$AH$2:$AH$1001,0),1)&gt;=100000,INDEX($AO$1005:$BQ$1005,1,MATCH(COLUMNS($AO$1006:BQ1006),$AO$1006:$BQ$1006,0))&gt;=100000), " ",IF(INDEX($AO$2:$BQ$1001,MATCH(ROWS($AH$2:AH86),$AH$2:$AH$1001,0),MATCH(COLUMNS($AO$1006:BQ1006),$AO$1006:$BQ$1006,0)), HYPERLINK("#",""), HYPERLINK(CONCATENATE("#Metadata!", ADDRESS(INDEX($AJ$2:$AJ$1001,MATCH(ROWS($AH$2:AH86),$AH$2:$AH$1001,0),0), INDEX($AO$1004:$BQ$1004,1,MATCH(COLUMNS($AO$1006:BQ1006),$AO$1006:$BQ$1006,0)))),"Fix")))</f>
        <v>#REF!</v>
      </c>
      <c r="AH86">
        <f ca="1"/>
        <v>83</v>
      </c>
      <c r="AI86">
        <v>100086</v>
      </c>
      <c r="AJ86">
        <v>86</v>
      </c>
      <c r="AK86" t="b">
        <f t="shared" si="1"/>
        <v>1</v>
      </c>
      <c r="AL86" t="b">
        <f>COUNTBLANK(Metadata!B86:AD86)=COLUMNS(Metadata!B86:AD86)</f>
        <v>1</v>
      </c>
      <c r="AM86" t="str">
        <v/>
      </c>
      <c r="AO86" t="b">
        <f ca="1">AND(IF(Metadata!B86="",FALSE,TRUE),COUNTIF(Metadata!B:B, Metadata!B86) = 1,NOT(ISERROR(SUMPRODUCT(SEARCH(MID(Metadata!B86,ROW(INDIRECT("1:"&amp;LEN(Metadata!B86))), 1),"0123456789abcdefghijklmnopqrstuvwxyzABCDEFGHIJKLMNOPQRSTUVWXYZ.")))))</f>
        <v>0</v>
      </c>
      <c r="AP86" t="b">
        <f>IF(Metadata!C86="",FALSE,TRUE)</f>
        <v>0</v>
      </c>
      <c r="AQ86" t="b">
        <f>IF(Metadata!D86="",FALSE,TRUE)</f>
        <v>0</v>
      </c>
      <c r="AR86" t="b">
        <f ca="1">OR(AND(IF(Metadata!E86="",FALSE,TRUE),OR(EXACT(Metadata!E86,"not collected"),EXACT(Metadata!E86,"not provided"),EXACT(Metadata!E86,"restricted access"))),AND(IF(Metadata!E86="",FALSE,TRUE),AND(AND(IFERROR(INT(LEFT(Metadata!E86,4))&gt;1900,FALSE),IFERROR(INT(LEFT(Metadata!E86,4))&lt;=YEAR(NOW()),FALSE)), OR(MID(Metadata!E86,5,1)="", AND(AND(MID(Metadata!E86,5,1)="-",IFERROR(INT(MID(Metadata!E86,6,1))&gt;=0,FALSE),IFERROR(INT(MID(Metadata!E86,6,1))&lt;=1,FALSE),NOT(MID(Metadata!E86,7,1)=""),IFERROR(INT(MID(Metadata!E86,6,2))&gt;=1,FALSE),IFERROR(INT(MID(Metadata!E86,6,2))&lt;=12,FALSE)), OR(MID(Metadata!E86,8,1)="", AND(AND(MID(Metadata!E86,8,1)="-",IFERROR(INT(MID(Metadata!E86,9,1))&gt;=0,FALSE),IFERROR(INT(MID(Metadata!E86,9,1))&lt;=3,FALSE),NOT(MID(Metadata!E86,10,1)=""),IFERROR(INT(MID(Metadata!E86,9,2))&gt;=1,FALSE),IFERROR(INT(MID(Metadata!E86,9,2))&lt;=31,FALSE)), OR(MID(Metadata!E86,11,1)="", AND(AND(MID(Metadata!E86,11,1)=" ",IFERROR(INT(MID(Metadata!E86,12,1))&gt;=0,FALSE),IFERROR(INT(MID(Metadata!E86,12,1))&lt;=2,FALSE),NOT(MID(Metadata!E86,13,1)=""),IFERROR(INT(MID(Metadata!E86,12,2))&gt;=0,FALSE),IFERROR(INT(MID(Metadata!E86,12,2))&lt;=23,FALSE)), OR(MID(Metadata!E86,14,1)="", AND(AND(MID(Metadata!E86,14,1)=":",IFERROR(INT(MID(Metadata!E86,15,1))&gt;=0,FALSE),IFERROR(INT(MID(Metadata!E86,15,1))&lt;=5,FALSE),NOT(MID(Metadata!E86,16,1)=""),IFERROR(INT(MID(Metadata!E86,15,2))&gt;=0,FALSE),IFERROR(INT(MID(Metadata!E86,15,2))&lt;=59,FALSE)), OR(MID(Metadata!E86,17,1)="", AND(AND(MID(Metadata!E86,17,1)=":",IFERROR(INT(MID(Metadata!E86,18,1))&gt;=0,FALSE),IFERROR(INT(MID(Metadata!E86,18,1))&lt;=5,FALSE),NOT(MID(Metadata!E86,19,1)=""),IFERROR(INT(MID(Metadata!E86,18,2))&gt;=0,FALSE),IFERROR(INT(MID(Metadata!E86,18,2))&lt;=59,FALSE)), LEN(Metadata!E86)&lt;=19)))))))))))))</f>
        <v>0</v>
      </c>
      <c r="AS86" t="b">
        <f>IF(Metadata!F86="",FALSE,TRUE)</f>
        <v>0</v>
      </c>
      <c r="AT86" t="b">
        <f>OR(AND(IF(Metadata!G86="",FALSE,TRUE),OR(EXACT(Metadata!G86,"not collected"),EXACT(Metadata!G86,"not provided"))),AND(IF(Metadata!G86="",FALSE,TRUE),OR(EXACT(Metadata!G86,"TRUE"),EXACT(Metadata!G86,"FALSE"))))</f>
        <v>0</v>
      </c>
      <c r="AU86" t="b">
        <f>OR(AND(IF(Metadata!H86="",FALSE,TRUE),OR(EXACT(Metadata!H86,"not collected"),EXACT(Metadata!H86,"not provided"),EXACT(Metadata!H86,"restricted access"))),AND(IF(Metadata!H86="",FALSE,ISNUMBER(VALUE(Metadata!H86))),Metadata!H86&gt;=-413))</f>
        <v>0</v>
      </c>
      <c r="AV86" t="b">
        <f>AND(IF(Metadata!I86="",FALSE,TRUE),EXACT(Metadata!I86,"meters"))</f>
        <v>0</v>
      </c>
      <c r="AW86" t="b">
        <f>AND(IF(Metadata!J86="",FALSE,TRUE),EXACT(Metadata!J86,"free-living"))</f>
        <v>0</v>
      </c>
      <c r="AX86" t="b">
        <f>AND(IF(Metadata!K86="",FALSE,TRUE),OR(EXACT(Metadata!K86,"saline"),EXACT(Metadata!K86,"non-saline")))</f>
        <v>0</v>
      </c>
      <c r="AY86" t="b">
        <f>AND(IF(Metadata!L86="",FALSE,TRUE),OR(EXACT(Metadata!L86,"sub-surface (non-saline)"),EXACT(Metadata!L86,"surface (non-saline)"),EXACT(Metadata!L86,"water (non-saline)"),EXACT(Metadata!L86,"soil (non-saline)"),EXACT(Metadata!L86,"aerosol (non-saline)"),EXACT(Metadata!L86,"sediment (non-saline)"),EXACT(Metadata!L86,"surface (saline)"),EXACT(Metadata!L86,"water (saline)"),EXACT(Metadata!L86,"hypersaline (saline)"),EXACT(Metadata!L86,"aerosol (saline)"),EXACT(Metadata!L86,"sediment (saline)")))</f>
        <v>0</v>
      </c>
      <c r="AZ86" t="b">
        <f>IF(Metadata!M86="",FALSE,TRUE)</f>
        <v>0</v>
      </c>
      <c r="BA86" t="b">
        <f>IF(Metadata!N86="",FALSE,TRUE)</f>
        <v>0</v>
      </c>
      <c r="BB86" t="b">
        <f>IF(Metadata!O86="",FALSE,TRUE)</f>
        <v>0</v>
      </c>
      <c r="BC86" t="b">
        <f>AND(IF(Metadata!P86="",FALSE,TRUE),OR(EXACT(Metadata!P86,"air"),EXACT(Metadata!P86,"microbial mat/biofilm"),EXACT(Metadata!P86,"misc environment"),EXACT(Metadata!P86,"sediment"),EXACT(Metadata!P86,"soil"),EXACT(Metadata!P86,"wastewater/sludge"),EXACT(Metadata!P86,"water")))</f>
        <v>0</v>
      </c>
      <c r="BD86" t="b">
        <f>IF(Metadata!Q86="",FALSE,TRUE)</f>
        <v>0</v>
      </c>
      <c r="BE86" t="b">
        <f>IF(Metadata!R86="",FALSE,TRUE)</f>
        <v>0</v>
      </c>
      <c r="BF86" t="b">
        <f>OR(AND(IF(Metadata!S86="",FALSE,TRUE),OR(EXACT(Metadata!S86,"not collected"),EXACT(Metadata!S86,"not provided"),EXACT(Metadata!S86,"restricted access"))),AND(IF(Metadata!S86="",FALSE,ISNUMBER(VALUE(Metadata!S86))),Metadata!S86&gt;=-90,Metadata!S86&lt;=90))</f>
        <v>0</v>
      </c>
      <c r="BG86" t="b">
        <f>AND(IF(Metadata!T86="",FALSE,TRUE),EXACT(Metadata!T86,"Decimal degrees"))</f>
        <v>0</v>
      </c>
      <c r="BH86" t="b">
        <f>OR(AND(IF(Metadata!U86="",FALSE,TRUE),OR(EXACT(Metadata!U86,"not applicable"),EXACT(Metadata!U86,"not collected"))),IF(Metadata!U86="",FALSE,TRUE))</f>
        <v>0</v>
      </c>
      <c r="BI86" t="b">
        <f>OR(AND(IF(Metadata!V86="",FALSE,TRUE),OR(EXACT(Metadata!V86,"not collected"),EXACT(Metadata!V86,"not provided"),EXACT(Metadata!V86,"restricted access"))),AND(IF(Metadata!V86="",FALSE,ISNUMBER(VALUE(Metadata!V86))),Metadata!V86&gt;=-180,Metadata!V86&lt;=180))</f>
        <v>0</v>
      </c>
      <c r="BJ86" t="b">
        <f>AND(IF(Metadata!W86="",FALSE,TRUE),EXACT(Metadata!W86,"Decimal degrees"))</f>
        <v>0</v>
      </c>
      <c r="BK86" t="b">
        <f>IF(Metadata!X86="",FALSE,TRUE)</f>
        <v>0</v>
      </c>
      <c r="BL86" t="b">
        <f>OR(AND(IF(Metadata!Y86="",FALSE,TRUE),OR(EXACT(Metadata!Y86,"not collected"),EXACT(Metadata!Y86,"not provided"),EXACT(Metadata!Y86,"restricted access"))),AND(IF(Metadata!Y86="",FALSE,TRUE),OR(EXACT(Metadata!Y86,"TRUE"),EXACT(Metadata!Y86,"FALSE"))))</f>
        <v>0</v>
      </c>
      <c r="BM86" t="b">
        <f>OR(AND(IF(Metadata!Z86="",FALSE,TRUE),EXACT(Metadata!Z86,"not applicable")),AND(IF(Metadata!Z86="",FALSE,TRUE),OR(EXACT(Metadata!Z86,"beer"),EXACT(Metadata!Z86,"cheese"),EXACT(Metadata!Z86,"fresh water"),EXACT(Metadata!Z86,"marine sediment"),EXACT(Metadata!Z86,"sea water"),EXACT(Metadata!Z86,"sediment"),EXACT(Metadata!Z86,"soil"),EXACT(Metadata!Z86,"waste water"))))</f>
        <v>0</v>
      </c>
      <c r="BN86" t="b">
        <f>AND(IF(Metadata!AA86="",FALSE,TRUE),EXACT(Metadata!AA86,"metagenome"))</f>
        <v>0</v>
      </c>
      <c r="BO86" t="b">
        <f>AND(IF(Metadata!AB86="",FALSE,TRUE),EXACT(Metadata!AB86,"256318"))</f>
        <v>0</v>
      </c>
      <c r="BP86" t="b">
        <f>IF(Metadata!AC86="",FALSE,TRUE)</f>
        <v>0</v>
      </c>
      <c r="BQ86" t="b">
        <f>IF(Metadata!AD86="",FALSE,TRUE)</f>
        <v>0</v>
      </c>
    </row>
    <row r="87" spans="1:69" x14ac:dyDescent="0.2">
      <c r="A87" s="4" t="e">
        <f ca="1">IF(B87=" "," ",HYPERLINK(CONCATENATE("#metadata!",ADDRESS(INDEX($AJ$2:$AJ$1001,MATCH(ROWS($AH$2:AH87),$AH$2:$AH$1001,0),0),2)),INDEX($AM$2:$AM$1001,MATCH(ROWS($AH$2:AH87),$AH$2:$AH$1001,0),0)))</f>
        <v>#N/A</v>
      </c>
      <c r="B87" s="5" t="e">
        <f ca="1">IF(OR(INDEX($AI$2:$AI$1001,MATCH(ROWS($AH$2:AH87),$AH$2:$AH$1001,0),1)&gt;=100000,INDEX($AO$1005:$BQ$1005,1,MATCH(COLUMNS($AO$1006:AO1006),$AO$1006:$BQ$1006,0))&gt;=100000), " ",IF(INDEX($AO$2:$BQ$1001,MATCH(ROWS($AH$2:AH87),$AH$2:$AH$1001,0),MATCH(COLUMNS($AO$1006:AO1006),$AO$1006:$BQ$1006,0)), HYPERLINK("#",""), HYPERLINK(CONCATENATE("#Metadata!", ADDRESS(INDEX($AJ$2:$AJ$1001,MATCH(ROWS($AH$2:AH87),$AH$2:$AH$1001,0),0), INDEX($AO$1004:$BQ$1004,1,MATCH(COLUMNS($AO$1006:AO1006),$AO$1006:$BQ$1006,0)))),"Fix")))</f>
        <v>#N/A</v>
      </c>
      <c r="C87" s="5" t="e">
        <f ca="1">IF(OR(INDEX($AI$2:$AI$1001,MATCH(ROWS($AH$2:AH87),$AH$2:$AH$1001,0),1)&gt;=100000,INDEX($AO$1005:$BQ$1005,1,MATCH(COLUMNS($AO$1006:AP1006),$AO$1006:$BQ$1006,0))&gt;=100000), " ",IF(INDEX($AO$2:$BQ$1001,MATCH(ROWS($AH$2:AH87),$AH$2:$AH$1001,0),MATCH(COLUMNS($AO$1006:AP1006),$AO$1006:$BQ$1006,0)), HYPERLINK("#",""), HYPERLINK(CONCATENATE("#Metadata!", ADDRESS(INDEX($AJ$2:$AJ$1001,MATCH(ROWS($AH$2:AH87),$AH$2:$AH$1001,0),0), INDEX($AO$1004:$BQ$1004,1,MATCH(COLUMNS($AO$1006:AP1006),$AO$1006:$BQ$1006,0)))),"Fix")))</f>
        <v>#N/A</v>
      </c>
      <c r="D87" s="5" t="e">
        <f ca="1">IF(OR(INDEX($AI$2:$AI$1001,MATCH(ROWS($AH$2:AH87),$AH$2:$AH$1001,0),1)&gt;=100000,INDEX($AO$1005:$BQ$1005,1,MATCH(COLUMNS($AO$1006:AQ1006),$AO$1006:$BQ$1006,0))&gt;=100000), " ",IF(INDEX($AO$2:$BQ$1001,MATCH(ROWS($AH$2:AH87),$AH$2:$AH$1001,0),MATCH(COLUMNS($AO$1006:AQ1006),$AO$1006:$BQ$1006,0)), HYPERLINK("#",""), HYPERLINK(CONCATENATE("#Metadata!", ADDRESS(INDEX($AJ$2:$AJ$1001,MATCH(ROWS($AH$2:AH87),$AH$2:$AH$1001,0),0), INDEX($AO$1004:$BQ$1004,1,MATCH(COLUMNS($AO$1006:AQ1006),$AO$1006:$BQ$1006,0)))),"Fix")))</f>
        <v>#N/A</v>
      </c>
      <c r="E87" s="5" t="e">
        <f ca="1">IF(OR(INDEX($AI$2:$AI$1001,MATCH(ROWS($AH$2:AH87),$AH$2:$AH$1001,0),1)&gt;=100000,INDEX($AO$1005:$BQ$1005,1,MATCH(COLUMNS($AO$1006:AR1006),$AO$1006:$BQ$1006,0))&gt;=100000), " ",IF(INDEX($AO$2:$BQ$1001,MATCH(ROWS($AH$2:AH87),$AH$2:$AH$1001,0),MATCH(COLUMNS($AO$1006:AR1006),$AO$1006:$BQ$1006,0)), HYPERLINK("#",""), HYPERLINK(CONCATENATE("#Metadata!", ADDRESS(INDEX($AJ$2:$AJ$1001,MATCH(ROWS($AH$2:AH87),$AH$2:$AH$1001,0),0), INDEX($AO$1004:$BQ$1004,1,MATCH(COLUMNS($AO$1006:AR1006),$AO$1006:$BQ$1006,0)))),"Fix")))</f>
        <v>#N/A</v>
      </c>
      <c r="F87" s="5" t="e">
        <f ca="1">IF(OR(INDEX($AI$2:$AI$1001,MATCH(ROWS($AH$2:AH87),$AH$2:$AH$1001,0),1)&gt;=100000,INDEX($AO$1005:$BQ$1005,1,MATCH(COLUMNS($AO$1006:AS1006),$AO$1006:$BQ$1006,0))&gt;=100000), " ",IF(INDEX($AO$2:$BQ$1001,MATCH(ROWS($AH$2:AH87),$AH$2:$AH$1001,0),MATCH(COLUMNS($AO$1006:AS1006),$AO$1006:$BQ$1006,0)), HYPERLINK("#",""), HYPERLINK(CONCATENATE("#Metadata!", ADDRESS(INDEX($AJ$2:$AJ$1001,MATCH(ROWS($AH$2:AH87),$AH$2:$AH$1001,0),0), INDEX($AO$1004:$BQ$1004,1,MATCH(COLUMNS($AO$1006:AS1006),$AO$1006:$BQ$1006,0)))),"Fix")))</f>
        <v>#N/A</v>
      </c>
      <c r="G87" s="5" t="e">
        <f ca="1">IF(OR(INDEX($AI$2:$AI$1001,MATCH(ROWS($AH$2:AH87),$AH$2:$AH$1001,0),1)&gt;=100000,INDEX($AO$1005:$BQ$1005,1,MATCH(COLUMNS($AO$1006:AT1006),$AO$1006:$BQ$1006,0))&gt;=100000), " ",IF(INDEX($AO$2:$BQ$1001,MATCH(ROWS($AH$2:AH87),$AH$2:$AH$1001,0),MATCH(COLUMNS($AO$1006:AT1006),$AO$1006:$BQ$1006,0)), HYPERLINK("#",""), HYPERLINK(CONCATENATE("#Metadata!", ADDRESS(INDEX($AJ$2:$AJ$1001,MATCH(ROWS($AH$2:AH87),$AH$2:$AH$1001,0),0), INDEX($AO$1004:$BQ$1004,1,MATCH(COLUMNS($AO$1006:AT1006),$AO$1006:$BQ$1006,0)))),"Fix")))</f>
        <v>#N/A</v>
      </c>
      <c r="H87" s="5" t="e">
        <f ca="1">IF(OR(INDEX($AI$2:$AI$1001,MATCH(ROWS($AH$2:AH87),$AH$2:$AH$1001,0),1)&gt;=100000,INDEX($AO$1005:$BQ$1005,1,MATCH(COLUMNS($AO$1006:AU1006),$AO$1006:$BQ$1006,0))&gt;=100000), " ",IF(INDEX($AO$2:$BQ$1001,MATCH(ROWS($AH$2:AH87),$AH$2:$AH$1001,0),MATCH(COLUMNS($AO$1006:AU1006),$AO$1006:$BQ$1006,0)), HYPERLINK("#",""), HYPERLINK(CONCATENATE("#Metadata!", ADDRESS(INDEX($AJ$2:$AJ$1001,MATCH(ROWS($AH$2:AH87),$AH$2:$AH$1001,0),0), INDEX($AO$1004:$BQ$1004,1,MATCH(COLUMNS($AO$1006:AU1006),$AO$1006:$BQ$1006,0)))),"Fix")))</f>
        <v>#N/A</v>
      </c>
      <c r="I87" s="5" t="e">
        <f ca="1">IF(OR(INDEX($AI$2:$AI$1001,MATCH(ROWS($AH$2:AH87),$AH$2:$AH$1001,0),1)&gt;=100000,INDEX($AO$1005:$BQ$1005,1,MATCH(COLUMNS($AO$1006:AV1006),$AO$1006:$BQ$1006,0))&gt;=100000), " ",IF(INDEX($AO$2:$BQ$1001,MATCH(ROWS($AH$2:AH87),$AH$2:$AH$1001,0),MATCH(COLUMNS($AO$1006:AV1006),$AO$1006:$BQ$1006,0)), HYPERLINK("#",""), HYPERLINK(CONCATENATE("#Metadata!", ADDRESS(INDEX($AJ$2:$AJ$1001,MATCH(ROWS($AH$2:AH87),$AH$2:$AH$1001,0),0), INDEX($AO$1004:$BQ$1004,1,MATCH(COLUMNS($AO$1006:AV1006),$AO$1006:$BQ$1006,0)))),"Fix")))</f>
        <v>#N/A</v>
      </c>
      <c r="J87" s="5" t="e">
        <f ca="1">IF(OR(INDEX($AI$2:$AI$1001,MATCH(ROWS($AH$2:AH87),$AH$2:$AH$1001,0),1)&gt;=100000,INDEX($AO$1005:$BQ$1005,1,MATCH(COLUMNS($AO$1006:AW1006),$AO$1006:$BQ$1006,0))&gt;=100000), " ",IF(INDEX($AO$2:$BQ$1001,MATCH(ROWS($AH$2:AH87),$AH$2:$AH$1001,0),MATCH(COLUMNS($AO$1006:AW1006),$AO$1006:$BQ$1006,0)), HYPERLINK("#",""), HYPERLINK(CONCATENATE("#Metadata!", ADDRESS(INDEX($AJ$2:$AJ$1001,MATCH(ROWS($AH$2:AH87),$AH$2:$AH$1001,0),0), INDEX($AO$1004:$BQ$1004,1,MATCH(COLUMNS($AO$1006:AW1006),$AO$1006:$BQ$1006,0)))),"Fix")))</f>
        <v>#N/A</v>
      </c>
      <c r="K87" s="5" t="e">
        <f ca="1">IF(OR(INDEX($AI$2:$AI$1001,MATCH(ROWS($AH$2:AH87),$AH$2:$AH$1001,0),1)&gt;=100000,INDEX($AO$1005:$BQ$1005,1,MATCH(COLUMNS($AO$1006:AX1006),$AO$1006:$BQ$1006,0))&gt;=100000), " ",IF(INDEX($AO$2:$BQ$1001,MATCH(ROWS($AH$2:AH87),$AH$2:$AH$1001,0),MATCH(COLUMNS($AO$1006:AX1006),$AO$1006:$BQ$1006,0)), HYPERLINK("#",""), HYPERLINK(CONCATENATE("#Metadata!", ADDRESS(INDEX($AJ$2:$AJ$1001,MATCH(ROWS($AH$2:AH87),$AH$2:$AH$1001,0),0), INDEX($AO$1004:$BQ$1004,1,MATCH(COLUMNS($AO$1006:AX1006),$AO$1006:$BQ$1006,0)))),"Fix")))</f>
        <v>#N/A</v>
      </c>
      <c r="L87" s="5" t="e">
        <f ca="1">IF(OR(INDEX($AI$2:$AI$1001,MATCH(ROWS($AH$2:AH87),$AH$2:$AH$1001,0),1)&gt;=100000,INDEX($AO$1005:$BQ$1005,1,MATCH(COLUMNS($AO$1006:AY1006),$AO$1006:$BQ$1006,0))&gt;=100000), " ",IF(INDEX($AO$2:$BQ$1001,MATCH(ROWS($AH$2:AH87),$AH$2:$AH$1001,0),MATCH(COLUMNS($AO$1006:AY1006),$AO$1006:$BQ$1006,0)), HYPERLINK("#",""), HYPERLINK(CONCATENATE("#Metadata!", ADDRESS(INDEX($AJ$2:$AJ$1001,MATCH(ROWS($AH$2:AH87),$AH$2:$AH$1001,0),0), INDEX($AO$1004:$BQ$1004,1,MATCH(COLUMNS($AO$1006:AY1006),$AO$1006:$BQ$1006,0)))),"Fix")))</f>
        <v>#N/A</v>
      </c>
      <c r="M87" s="5" t="e">
        <f ca="1">IF(OR(INDEX($AI$2:$AI$1001,MATCH(ROWS($AH$2:AH87),$AH$2:$AH$1001,0),1)&gt;=100000,INDEX($AO$1005:$BQ$1005,1,MATCH(COLUMNS($AO$1006:AZ1006),$AO$1006:$BQ$1006,0))&gt;=100000), " ",IF(INDEX($AO$2:$BQ$1001,MATCH(ROWS($AH$2:AH87),$AH$2:$AH$1001,0),MATCH(COLUMNS($AO$1006:AZ1006),$AO$1006:$BQ$1006,0)), HYPERLINK("#",""), HYPERLINK(CONCATENATE("#Metadata!", ADDRESS(INDEX($AJ$2:$AJ$1001,MATCH(ROWS($AH$2:AH87),$AH$2:$AH$1001,0),0), INDEX($AO$1004:$BQ$1004,1,MATCH(COLUMNS($AO$1006:AZ1006),$AO$1006:$BQ$1006,0)))),"Fix")))</f>
        <v>#N/A</v>
      </c>
      <c r="N87" s="5" t="e">
        <f ca="1">IF(OR(INDEX($AI$2:$AI$1001,MATCH(ROWS($AH$2:AH87),$AH$2:$AH$1001,0),1)&gt;=100000,INDEX($AO$1005:$BQ$1005,1,MATCH(COLUMNS($AO$1006:BA1006),$AO$1006:$BQ$1006,0))&gt;=100000), " ",IF(INDEX($AO$2:$BQ$1001,MATCH(ROWS($AH$2:AH87),$AH$2:$AH$1001,0),MATCH(COLUMNS($AO$1006:BA1006),$AO$1006:$BQ$1006,0)), HYPERLINK("#",""), HYPERLINK(CONCATENATE("#Metadata!", ADDRESS(INDEX($AJ$2:$AJ$1001,MATCH(ROWS($AH$2:AH87),$AH$2:$AH$1001,0),0), INDEX($AO$1004:$BQ$1004,1,MATCH(COLUMNS($AO$1006:BA1006),$AO$1006:$BQ$1006,0)))),"Fix")))</f>
        <v>#N/A</v>
      </c>
      <c r="O87" s="5" t="e">
        <f ca="1">IF(OR(INDEX($AI$2:$AI$1001,MATCH(ROWS($AH$2:AH87),$AH$2:$AH$1001,0),1)&gt;=100000,INDEX($AO$1005:$BQ$1005,1,MATCH(COLUMNS($AO$1006:BB1006),$AO$1006:$BQ$1006,0))&gt;=100000), " ",IF(INDEX($AO$2:$BQ$1001,MATCH(ROWS($AH$2:AH87),$AH$2:$AH$1001,0),MATCH(COLUMNS($AO$1006:BB1006),$AO$1006:$BQ$1006,0)), HYPERLINK("#",""), HYPERLINK(CONCATENATE("#Metadata!", ADDRESS(INDEX($AJ$2:$AJ$1001,MATCH(ROWS($AH$2:AH87),$AH$2:$AH$1001,0),0), INDEX($AO$1004:$BQ$1004,1,MATCH(COLUMNS($AO$1006:BB1006),$AO$1006:$BQ$1006,0)))),"Fix")))</f>
        <v>#N/A</v>
      </c>
      <c r="P87" s="5" t="e">
        <f ca="1">IF(OR(INDEX($AI$2:$AI$1001,MATCH(ROWS($AH$2:AH87),$AH$2:$AH$1001,0),1)&gt;=100000,INDEX($AO$1005:$BQ$1005,1,MATCH(COLUMNS($AO$1006:BC1006),$AO$1006:$BQ$1006,0))&gt;=100000), " ",IF(INDEX($AO$2:$BQ$1001,MATCH(ROWS($AH$2:AH87),$AH$2:$AH$1001,0),MATCH(COLUMNS($AO$1006:BC1006),$AO$1006:$BQ$1006,0)), HYPERLINK("#",""), HYPERLINK(CONCATENATE("#Metadata!", ADDRESS(INDEX($AJ$2:$AJ$1001,MATCH(ROWS($AH$2:AH87),$AH$2:$AH$1001,0),0), INDEX($AO$1004:$BQ$1004,1,MATCH(COLUMNS($AO$1006:BC1006),$AO$1006:$BQ$1006,0)))),"Fix")))</f>
        <v>#N/A</v>
      </c>
      <c r="Q87" s="5" t="e">
        <f ca="1">IF(OR(INDEX($AI$2:$AI$1001,MATCH(ROWS($AH$2:AH87),$AH$2:$AH$1001,0),1)&gt;=100000,INDEX($AO$1005:$BQ$1005,1,MATCH(COLUMNS($AO$1006:BD1006),$AO$1006:$BQ$1006,0))&gt;=100000), " ",IF(INDEX($AO$2:$BQ$1001,MATCH(ROWS($AH$2:AH87),$AH$2:$AH$1001,0),MATCH(COLUMNS($AO$1006:BD1006),$AO$1006:$BQ$1006,0)), HYPERLINK("#",""), HYPERLINK(CONCATENATE("#Metadata!", ADDRESS(INDEX($AJ$2:$AJ$1001,MATCH(ROWS($AH$2:AH87),$AH$2:$AH$1001,0),0), INDEX($AO$1004:$BQ$1004,1,MATCH(COLUMNS($AO$1006:BD1006),$AO$1006:$BQ$1006,0)))),"Fix")))</f>
        <v>#N/A</v>
      </c>
      <c r="R87" s="5" t="e">
        <f ca="1">IF(OR(INDEX($AI$2:$AI$1001,MATCH(ROWS($AH$2:AH87),$AH$2:$AH$1001,0),1)&gt;=100000,INDEX($AO$1005:$BQ$1005,1,MATCH(COLUMNS($AO$1006:BE1006),$AO$1006:$BQ$1006,0))&gt;=100000), " ",IF(INDEX($AO$2:$BQ$1001,MATCH(ROWS($AH$2:AH87),$AH$2:$AH$1001,0),MATCH(COLUMNS($AO$1006:BE1006),$AO$1006:$BQ$1006,0)), HYPERLINK("#",""), HYPERLINK(CONCATENATE("#Metadata!", ADDRESS(INDEX($AJ$2:$AJ$1001,MATCH(ROWS($AH$2:AH87),$AH$2:$AH$1001,0),0), INDEX($AO$1004:$BQ$1004,1,MATCH(COLUMNS($AO$1006:BE1006),$AO$1006:$BQ$1006,0)))),"Fix")))</f>
        <v>#N/A</v>
      </c>
      <c r="S87" s="5" t="e">
        <f ca="1">IF(OR(INDEX($AI$2:$AI$1001,MATCH(ROWS($AH$2:AH87),$AH$2:$AH$1001,0),1)&gt;=100000,INDEX($AO$1005:$BQ$1005,1,MATCH(COLUMNS($AO$1006:BF1006),$AO$1006:$BQ$1006,0))&gt;=100000), " ",IF(INDEX($AO$2:$BQ$1001,MATCH(ROWS($AH$2:AH87),$AH$2:$AH$1001,0),MATCH(COLUMNS($AO$1006:BF1006),$AO$1006:$BQ$1006,0)), HYPERLINK("#",""), HYPERLINK(CONCATENATE("#Metadata!", ADDRESS(INDEX($AJ$2:$AJ$1001,MATCH(ROWS($AH$2:AH87),$AH$2:$AH$1001,0),0), INDEX($AO$1004:$BQ$1004,1,MATCH(COLUMNS($AO$1006:BF1006),$AO$1006:$BQ$1006,0)))),"Fix")))</f>
        <v>#N/A</v>
      </c>
      <c r="T87" s="5" t="e">
        <f ca="1">IF(OR(INDEX($AI$2:$AI$1001,MATCH(ROWS($AH$2:AH87),$AH$2:$AH$1001,0),1)&gt;=100000,INDEX($AO$1005:$BQ$1005,1,MATCH(COLUMNS($AO$1006:BG1006),$AO$1006:$BQ$1006,0))&gt;=100000), " ",IF(INDEX($AO$2:$BQ$1001,MATCH(ROWS($AH$2:AH87),$AH$2:$AH$1001,0),MATCH(COLUMNS($AO$1006:BG1006),$AO$1006:$BQ$1006,0)), HYPERLINK("#",""), HYPERLINK(CONCATENATE("#Metadata!", ADDRESS(INDEX($AJ$2:$AJ$1001,MATCH(ROWS($AH$2:AH87),$AH$2:$AH$1001,0),0), INDEX($AO$1004:$BQ$1004,1,MATCH(COLUMNS($AO$1006:BG1006),$AO$1006:$BQ$1006,0)))),"Fix")))</f>
        <v>#N/A</v>
      </c>
      <c r="U87" s="5" t="e">
        <f ca="1">IF(OR(INDEX($AI$2:$AI$1001,MATCH(ROWS($AH$2:AH87),$AH$2:$AH$1001,0),1)&gt;=100000,INDEX($AO$1005:$BQ$1005,1,MATCH(COLUMNS($AO$1006:BH1006),$AO$1006:$BQ$1006,0))&gt;=100000), " ",IF(INDEX($AO$2:$BQ$1001,MATCH(ROWS($AH$2:AH87),$AH$2:$AH$1001,0),MATCH(COLUMNS($AO$1006:BH1006),$AO$1006:$BQ$1006,0)), HYPERLINK("#",""), HYPERLINK(CONCATENATE("#Metadata!", ADDRESS(INDEX($AJ$2:$AJ$1001,MATCH(ROWS($AH$2:AH87),$AH$2:$AH$1001,0),0), INDEX($AO$1004:$BQ$1004,1,MATCH(COLUMNS($AO$1006:BH1006),$AO$1006:$BQ$1006,0)))),"Fix")))</f>
        <v>#N/A</v>
      </c>
      <c r="V87" s="5" t="e">
        <f ca="1">IF(OR(INDEX($AI$2:$AI$1001,MATCH(ROWS($AH$2:AH87),$AH$2:$AH$1001,0),1)&gt;=100000,INDEX($AO$1005:$BQ$1005,1,MATCH(COLUMNS($AO$1006:BI1006),$AO$1006:$BQ$1006,0))&gt;=100000), " ",IF(INDEX($AO$2:$BQ$1001,MATCH(ROWS($AH$2:AH87),$AH$2:$AH$1001,0),MATCH(COLUMNS($AO$1006:BI1006),$AO$1006:$BQ$1006,0)), HYPERLINK("#",""), HYPERLINK(CONCATENATE("#Metadata!", ADDRESS(INDEX($AJ$2:$AJ$1001,MATCH(ROWS($AH$2:AH87),$AH$2:$AH$1001,0),0), INDEX($AO$1004:$BQ$1004,1,MATCH(COLUMNS($AO$1006:BI1006),$AO$1006:$BQ$1006,0)))),"Fix")))</f>
        <v>#N/A</v>
      </c>
      <c r="W87" s="5" t="e">
        <f ca="1">IF(OR(INDEX($AI$2:$AI$1001,MATCH(ROWS($AH$2:AH87),$AH$2:$AH$1001,0),1)&gt;=100000,INDEX($AO$1005:$BQ$1005,1,MATCH(COLUMNS($AO$1006:BJ1006),$AO$1006:$BQ$1006,0))&gt;=100000), " ",IF(INDEX($AO$2:$BQ$1001,MATCH(ROWS($AH$2:AH87),$AH$2:$AH$1001,0),MATCH(COLUMNS($AO$1006:BJ1006),$AO$1006:$BQ$1006,0)), HYPERLINK("#",""), HYPERLINK(CONCATENATE("#Metadata!", ADDRESS(INDEX($AJ$2:$AJ$1001,MATCH(ROWS($AH$2:AH87),$AH$2:$AH$1001,0),0), INDEX($AO$1004:$BQ$1004,1,MATCH(COLUMNS($AO$1006:BJ1006),$AO$1006:$BQ$1006,0)))),"Fix")))</f>
        <v>#N/A</v>
      </c>
      <c r="X87" s="5" t="e">
        <f ca="1">IF(OR(INDEX($AI$2:$AI$1001,MATCH(ROWS($AH$2:AH87),$AH$2:$AH$1001,0),1)&gt;=100000,INDEX($AO$1005:$BQ$1005,1,MATCH(COLUMNS($AO$1006:BK1006),$AO$1006:$BQ$1006,0))&gt;=100000), " ",IF(INDEX($AO$2:$BQ$1001,MATCH(ROWS($AH$2:AH87),$AH$2:$AH$1001,0),MATCH(COLUMNS($AO$1006:BK1006),$AO$1006:$BQ$1006,0)), HYPERLINK("#",""), HYPERLINK(CONCATENATE("#Metadata!", ADDRESS(INDEX($AJ$2:$AJ$1001,MATCH(ROWS($AH$2:AH87),$AH$2:$AH$1001,0),0), INDEX($AO$1004:$BQ$1004,1,MATCH(COLUMNS($AO$1006:BK1006),$AO$1006:$BQ$1006,0)))),"Fix")))</f>
        <v>#N/A</v>
      </c>
      <c r="Y87" s="5" t="e">
        <f ca="1">IF(OR(INDEX($AI$2:$AI$1001,MATCH(ROWS($AH$2:AH87),$AH$2:$AH$1001,0),1)&gt;=100000,INDEX($AO$1005:$BQ$1005,1,MATCH(COLUMNS($AO$1006:BL1006),$AO$1006:$BQ$1006,0))&gt;=100000), " ",IF(INDEX($AO$2:$BQ$1001,MATCH(ROWS($AH$2:AH87),$AH$2:$AH$1001,0),MATCH(COLUMNS($AO$1006:BL1006),$AO$1006:$BQ$1006,0)), HYPERLINK("#",""), HYPERLINK(CONCATENATE("#Metadata!", ADDRESS(INDEX($AJ$2:$AJ$1001,MATCH(ROWS($AH$2:AH87),$AH$2:$AH$1001,0),0), INDEX($AO$1004:$BQ$1004,1,MATCH(COLUMNS($AO$1006:BL1006),$AO$1006:$BQ$1006,0)))),"Fix")))</f>
        <v>#N/A</v>
      </c>
      <c r="Z87" s="5" t="e">
        <f ca="1">IF(OR(INDEX($AI$2:$AI$1001,MATCH(ROWS($AH$2:AH87),$AH$2:$AH$1001,0),1)&gt;=100000,INDEX($AO$1005:$BQ$1005,1,MATCH(COLUMNS($AO$1006:BM1006),$AO$1006:$BQ$1006,0))&gt;=100000), " ",IF(INDEX($AO$2:$BQ$1001,MATCH(ROWS($AH$2:AH87),$AH$2:$AH$1001,0),MATCH(COLUMNS($AO$1006:BM1006),$AO$1006:$BQ$1006,0)), HYPERLINK("#",""), HYPERLINK(CONCATENATE("#Metadata!", ADDRESS(INDEX($AJ$2:$AJ$1001,MATCH(ROWS($AH$2:AH87),$AH$2:$AH$1001,0),0), INDEX($AO$1004:$BQ$1004,1,MATCH(COLUMNS($AO$1006:BM1006),$AO$1006:$BQ$1006,0)))),"Fix")))</f>
        <v>#N/A</v>
      </c>
      <c r="AA87" s="5" t="e">
        <f ca="1">IF(OR(INDEX($AI$2:$AI$1001,MATCH(ROWS($AH$2:AH87),$AH$2:$AH$1001,0),1)&gt;=100000,INDEX($AO$1005:$BQ$1005,1,MATCH(COLUMNS($AO$1006:BN1006),$AO$1006:$BQ$1006,0))&gt;=100000), " ",IF(INDEX($AO$2:$BQ$1001,MATCH(ROWS($AH$2:AH87),$AH$2:$AH$1001,0),MATCH(COLUMNS($AO$1006:BN1006),$AO$1006:$BQ$1006,0)), HYPERLINK("#",""), HYPERLINK(CONCATENATE("#Metadata!", ADDRESS(INDEX($AJ$2:$AJ$1001,MATCH(ROWS($AH$2:AH87),$AH$2:$AH$1001,0),0), INDEX($AO$1004:$BQ$1004,1,MATCH(COLUMNS($AO$1006:BN1006),$AO$1006:$BQ$1006,0)))),"Fix")))</f>
        <v>#N/A</v>
      </c>
      <c r="AB87" s="5" t="e">
        <f ca="1">IF(OR(INDEX($AI$2:$AI$1001,MATCH(ROWS($AH$2:AH87),$AH$2:$AH$1001,0),1)&gt;=100000,INDEX($AO$1005:$BQ$1005,1,MATCH(COLUMNS($AO$1006:BO1006),$AO$1006:$BQ$1006,0))&gt;=100000), " ",IF(INDEX($AO$2:$BQ$1001,MATCH(ROWS($AH$2:AH87),$AH$2:$AH$1001,0),MATCH(COLUMNS($AO$1006:BO1006),$AO$1006:$BQ$1006,0)), HYPERLINK("#",""), HYPERLINK(CONCATENATE("#Metadata!", ADDRESS(INDEX($AJ$2:$AJ$1001,MATCH(ROWS($AH$2:AH87),$AH$2:$AH$1001,0),0), INDEX($AO$1004:$BQ$1004,1,MATCH(COLUMNS($AO$1006:BO1006),$AO$1006:$BQ$1006,0)))),"Fix")))</f>
        <v>#N/A</v>
      </c>
      <c r="AC87" s="5" t="e">
        <f ca="1">IF(OR(INDEX($AI$2:$AI$1001,MATCH(ROWS($AH$2:AH87),$AH$2:$AH$1001,0),1)&gt;=100000,INDEX($AO$1005:$BQ$1005,1,MATCH(COLUMNS($AO$1006:BP1006),$AO$1006:$BQ$1006,0))&gt;=100000), " ",IF(INDEX($AO$2:$BQ$1001,MATCH(ROWS($AH$2:AH87),$AH$2:$AH$1001,0),MATCH(COLUMNS($AO$1006:BP1006),$AO$1006:$BQ$1006,0)), HYPERLINK("#",""), HYPERLINK(CONCATENATE("#Metadata!", ADDRESS(INDEX($AJ$2:$AJ$1001,MATCH(ROWS($AH$2:AH87),$AH$2:$AH$1001,0),0), INDEX($AO$1004:$BQ$1004,1,MATCH(COLUMNS($AO$1006:BP1006),$AO$1006:$BQ$1006,0)))),"Fix")))</f>
        <v>#N/A</v>
      </c>
      <c r="AD87" s="5" t="e">
        <f ca="1">IF(OR(INDEX($AI$2:$AI$1001,MATCH(ROWS($AH$2:AH87),$AH$2:$AH$1001,0),1)&gt;=100000,INDEX($AO$1005:$BQ$1005,1,MATCH(COLUMNS($AO$1006:BQ1006),$AO$1006:$BQ$1006,0))&gt;=100000), " ",IF(INDEX($AO$2:$BQ$1001,MATCH(ROWS($AH$2:AH87),$AH$2:$AH$1001,0),MATCH(COLUMNS($AO$1006:BQ1006),$AO$1006:$BQ$1006,0)), HYPERLINK("#",""), HYPERLINK(CONCATENATE("#Metadata!", ADDRESS(INDEX($AJ$2:$AJ$1001,MATCH(ROWS($AH$2:AH87),$AH$2:$AH$1001,0),0), INDEX($AO$1004:$BQ$1004,1,MATCH(COLUMNS($AO$1006:BQ1006),$AO$1006:$BQ$1006,0)))),"Fix")))</f>
        <v>#REF!</v>
      </c>
      <c r="AH87">
        <f ca="1"/>
        <v>84</v>
      </c>
      <c r="AI87">
        <v>100087</v>
      </c>
      <c r="AJ87">
        <v>87</v>
      </c>
      <c r="AK87" t="b">
        <f t="shared" si="1"/>
        <v>1</v>
      </c>
      <c r="AL87" t="b">
        <f>COUNTBLANK(Metadata!B87:AD87)=COLUMNS(Metadata!B87:AD87)</f>
        <v>1</v>
      </c>
      <c r="AM87" t="str">
        <v/>
      </c>
      <c r="AO87" t="b">
        <f ca="1">AND(IF(Metadata!B87="",FALSE,TRUE),COUNTIF(Metadata!B:B, Metadata!B87) = 1,NOT(ISERROR(SUMPRODUCT(SEARCH(MID(Metadata!B87,ROW(INDIRECT("1:"&amp;LEN(Metadata!B87))), 1),"0123456789abcdefghijklmnopqrstuvwxyzABCDEFGHIJKLMNOPQRSTUVWXYZ.")))))</f>
        <v>0</v>
      </c>
      <c r="AP87" t="b">
        <f>IF(Metadata!C87="",FALSE,TRUE)</f>
        <v>0</v>
      </c>
      <c r="AQ87" t="b">
        <f>IF(Metadata!D87="",FALSE,TRUE)</f>
        <v>0</v>
      </c>
      <c r="AR87" t="b">
        <f ca="1">OR(AND(IF(Metadata!E87="",FALSE,TRUE),OR(EXACT(Metadata!E87,"not collected"),EXACT(Metadata!E87,"not provided"),EXACT(Metadata!E87,"restricted access"))),AND(IF(Metadata!E87="",FALSE,TRUE),AND(AND(IFERROR(INT(LEFT(Metadata!E87,4))&gt;1900,FALSE),IFERROR(INT(LEFT(Metadata!E87,4))&lt;=YEAR(NOW()),FALSE)), OR(MID(Metadata!E87,5,1)="", AND(AND(MID(Metadata!E87,5,1)="-",IFERROR(INT(MID(Metadata!E87,6,1))&gt;=0,FALSE),IFERROR(INT(MID(Metadata!E87,6,1))&lt;=1,FALSE),NOT(MID(Metadata!E87,7,1)=""),IFERROR(INT(MID(Metadata!E87,6,2))&gt;=1,FALSE),IFERROR(INT(MID(Metadata!E87,6,2))&lt;=12,FALSE)), OR(MID(Metadata!E87,8,1)="", AND(AND(MID(Metadata!E87,8,1)="-",IFERROR(INT(MID(Metadata!E87,9,1))&gt;=0,FALSE),IFERROR(INT(MID(Metadata!E87,9,1))&lt;=3,FALSE),NOT(MID(Metadata!E87,10,1)=""),IFERROR(INT(MID(Metadata!E87,9,2))&gt;=1,FALSE),IFERROR(INT(MID(Metadata!E87,9,2))&lt;=31,FALSE)), OR(MID(Metadata!E87,11,1)="", AND(AND(MID(Metadata!E87,11,1)=" ",IFERROR(INT(MID(Metadata!E87,12,1))&gt;=0,FALSE),IFERROR(INT(MID(Metadata!E87,12,1))&lt;=2,FALSE),NOT(MID(Metadata!E87,13,1)=""),IFERROR(INT(MID(Metadata!E87,12,2))&gt;=0,FALSE),IFERROR(INT(MID(Metadata!E87,12,2))&lt;=23,FALSE)), OR(MID(Metadata!E87,14,1)="", AND(AND(MID(Metadata!E87,14,1)=":",IFERROR(INT(MID(Metadata!E87,15,1))&gt;=0,FALSE),IFERROR(INT(MID(Metadata!E87,15,1))&lt;=5,FALSE),NOT(MID(Metadata!E87,16,1)=""),IFERROR(INT(MID(Metadata!E87,15,2))&gt;=0,FALSE),IFERROR(INT(MID(Metadata!E87,15,2))&lt;=59,FALSE)), OR(MID(Metadata!E87,17,1)="", AND(AND(MID(Metadata!E87,17,1)=":",IFERROR(INT(MID(Metadata!E87,18,1))&gt;=0,FALSE),IFERROR(INT(MID(Metadata!E87,18,1))&lt;=5,FALSE),NOT(MID(Metadata!E87,19,1)=""),IFERROR(INT(MID(Metadata!E87,18,2))&gt;=0,FALSE),IFERROR(INT(MID(Metadata!E87,18,2))&lt;=59,FALSE)), LEN(Metadata!E87)&lt;=19)))))))))))))</f>
        <v>0</v>
      </c>
      <c r="AS87" t="b">
        <f>IF(Metadata!F87="",FALSE,TRUE)</f>
        <v>0</v>
      </c>
      <c r="AT87" t="b">
        <f>OR(AND(IF(Metadata!G87="",FALSE,TRUE),OR(EXACT(Metadata!G87,"not collected"),EXACT(Metadata!G87,"not provided"))),AND(IF(Metadata!G87="",FALSE,TRUE),OR(EXACT(Metadata!G87,"TRUE"),EXACT(Metadata!G87,"FALSE"))))</f>
        <v>0</v>
      </c>
      <c r="AU87" t="b">
        <f>OR(AND(IF(Metadata!H87="",FALSE,TRUE),OR(EXACT(Metadata!H87,"not collected"),EXACT(Metadata!H87,"not provided"),EXACT(Metadata!H87,"restricted access"))),AND(IF(Metadata!H87="",FALSE,ISNUMBER(VALUE(Metadata!H87))),Metadata!H87&gt;=-413))</f>
        <v>0</v>
      </c>
      <c r="AV87" t="b">
        <f>AND(IF(Metadata!I87="",FALSE,TRUE),EXACT(Metadata!I87,"meters"))</f>
        <v>0</v>
      </c>
      <c r="AW87" t="b">
        <f>AND(IF(Metadata!J87="",FALSE,TRUE),EXACT(Metadata!J87,"free-living"))</f>
        <v>0</v>
      </c>
      <c r="AX87" t="b">
        <f>AND(IF(Metadata!K87="",FALSE,TRUE),OR(EXACT(Metadata!K87,"saline"),EXACT(Metadata!K87,"non-saline")))</f>
        <v>0</v>
      </c>
      <c r="AY87" t="b">
        <f>AND(IF(Metadata!L87="",FALSE,TRUE),OR(EXACT(Metadata!L87,"sub-surface (non-saline)"),EXACT(Metadata!L87,"surface (non-saline)"),EXACT(Metadata!L87,"water (non-saline)"),EXACT(Metadata!L87,"soil (non-saline)"),EXACT(Metadata!L87,"aerosol (non-saline)"),EXACT(Metadata!L87,"sediment (non-saline)"),EXACT(Metadata!L87,"surface (saline)"),EXACT(Metadata!L87,"water (saline)"),EXACT(Metadata!L87,"hypersaline (saline)"),EXACT(Metadata!L87,"aerosol (saline)"),EXACT(Metadata!L87,"sediment (saline)")))</f>
        <v>0</v>
      </c>
      <c r="AZ87" t="b">
        <f>IF(Metadata!M87="",FALSE,TRUE)</f>
        <v>0</v>
      </c>
      <c r="BA87" t="b">
        <f>IF(Metadata!N87="",FALSE,TRUE)</f>
        <v>0</v>
      </c>
      <c r="BB87" t="b">
        <f>IF(Metadata!O87="",FALSE,TRUE)</f>
        <v>0</v>
      </c>
      <c r="BC87" t="b">
        <f>AND(IF(Metadata!P87="",FALSE,TRUE),OR(EXACT(Metadata!P87,"air"),EXACT(Metadata!P87,"microbial mat/biofilm"),EXACT(Metadata!P87,"misc environment"),EXACT(Metadata!P87,"sediment"),EXACT(Metadata!P87,"soil"),EXACT(Metadata!P87,"wastewater/sludge"),EXACT(Metadata!P87,"water")))</f>
        <v>0</v>
      </c>
      <c r="BD87" t="b">
        <f>IF(Metadata!Q87="",FALSE,TRUE)</f>
        <v>0</v>
      </c>
      <c r="BE87" t="b">
        <f>IF(Metadata!R87="",FALSE,TRUE)</f>
        <v>0</v>
      </c>
      <c r="BF87" t="b">
        <f>OR(AND(IF(Metadata!S87="",FALSE,TRUE),OR(EXACT(Metadata!S87,"not collected"),EXACT(Metadata!S87,"not provided"),EXACT(Metadata!S87,"restricted access"))),AND(IF(Metadata!S87="",FALSE,ISNUMBER(VALUE(Metadata!S87))),Metadata!S87&gt;=-90,Metadata!S87&lt;=90))</f>
        <v>0</v>
      </c>
      <c r="BG87" t="b">
        <f>AND(IF(Metadata!T87="",FALSE,TRUE),EXACT(Metadata!T87,"Decimal degrees"))</f>
        <v>0</v>
      </c>
      <c r="BH87" t="b">
        <f>OR(AND(IF(Metadata!U87="",FALSE,TRUE),OR(EXACT(Metadata!U87,"not applicable"),EXACT(Metadata!U87,"not collected"))),IF(Metadata!U87="",FALSE,TRUE))</f>
        <v>0</v>
      </c>
      <c r="BI87" t="b">
        <f>OR(AND(IF(Metadata!V87="",FALSE,TRUE),OR(EXACT(Metadata!V87,"not collected"),EXACT(Metadata!V87,"not provided"),EXACT(Metadata!V87,"restricted access"))),AND(IF(Metadata!V87="",FALSE,ISNUMBER(VALUE(Metadata!V87))),Metadata!V87&gt;=-180,Metadata!V87&lt;=180))</f>
        <v>0</v>
      </c>
      <c r="BJ87" t="b">
        <f>AND(IF(Metadata!W87="",FALSE,TRUE),EXACT(Metadata!W87,"Decimal degrees"))</f>
        <v>0</v>
      </c>
      <c r="BK87" t="b">
        <f>IF(Metadata!X87="",FALSE,TRUE)</f>
        <v>0</v>
      </c>
      <c r="BL87" t="b">
        <f>OR(AND(IF(Metadata!Y87="",FALSE,TRUE),OR(EXACT(Metadata!Y87,"not collected"),EXACT(Metadata!Y87,"not provided"),EXACT(Metadata!Y87,"restricted access"))),AND(IF(Metadata!Y87="",FALSE,TRUE),OR(EXACT(Metadata!Y87,"TRUE"),EXACT(Metadata!Y87,"FALSE"))))</f>
        <v>0</v>
      </c>
      <c r="BM87" t="b">
        <f>OR(AND(IF(Metadata!Z87="",FALSE,TRUE),EXACT(Metadata!Z87,"not applicable")),AND(IF(Metadata!Z87="",FALSE,TRUE),OR(EXACT(Metadata!Z87,"beer"),EXACT(Metadata!Z87,"cheese"),EXACT(Metadata!Z87,"fresh water"),EXACT(Metadata!Z87,"marine sediment"),EXACT(Metadata!Z87,"sea water"),EXACT(Metadata!Z87,"sediment"),EXACT(Metadata!Z87,"soil"),EXACT(Metadata!Z87,"waste water"))))</f>
        <v>0</v>
      </c>
      <c r="BN87" t="b">
        <f>AND(IF(Metadata!AA87="",FALSE,TRUE),EXACT(Metadata!AA87,"metagenome"))</f>
        <v>0</v>
      </c>
      <c r="BO87" t="b">
        <f>AND(IF(Metadata!AB87="",FALSE,TRUE),EXACT(Metadata!AB87,"256318"))</f>
        <v>0</v>
      </c>
      <c r="BP87" t="b">
        <f>IF(Metadata!AC87="",FALSE,TRUE)</f>
        <v>0</v>
      </c>
      <c r="BQ87" t="b">
        <f>IF(Metadata!AD87="",FALSE,TRUE)</f>
        <v>0</v>
      </c>
    </row>
    <row r="88" spans="1:69" x14ac:dyDescent="0.2">
      <c r="A88" s="4" t="e">
        <f ca="1">IF(B88=" "," ",HYPERLINK(CONCATENATE("#metadata!",ADDRESS(INDEX($AJ$2:$AJ$1001,MATCH(ROWS($AH$2:AH88),$AH$2:$AH$1001,0),0),2)),INDEX($AM$2:$AM$1001,MATCH(ROWS($AH$2:AH88),$AH$2:$AH$1001,0),0)))</f>
        <v>#N/A</v>
      </c>
      <c r="B88" s="5" t="e">
        <f ca="1">IF(OR(INDEX($AI$2:$AI$1001,MATCH(ROWS($AH$2:AH88),$AH$2:$AH$1001,0),1)&gt;=100000,INDEX($AO$1005:$BQ$1005,1,MATCH(COLUMNS($AO$1006:AO1006),$AO$1006:$BQ$1006,0))&gt;=100000), " ",IF(INDEX($AO$2:$BQ$1001,MATCH(ROWS($AH$2:AH88),$AH$2:$AH$1001,0),MATCH(COLUMNS($AO$1006:AO1006),$AO$1006:$BQ$1006,0)), HYPERLINK("#",""), HYPERLINK(CONCATENATE("#Metadata!", ADDRESS(INDEX($AJ$2:$AJ$1001,MATCH(ROWS($AH$2:AH88),$AH$2:$AH$1001,0),0), INDEX($AO$1004:$BQ$1004,1,MATCH(COLUMNS($AO$1006:AO1006),$AO$1006:$BQ$1006,0)))),"Fix")))</f>
        <v>#N/A</v>
      </c>
      <c r="C88" s="5" t="e">
        <f ca="1">IF(OR(INDEX($AI$2:$AI$1001,MATCH(ROWS($AH$2:AH88),$AH$2:$AH$1001,0),1)&gt;=100000,INDEX($AO$1005:$BQ$1005,1,MATCH(COLUMNS($AO$1006:AP1006),$AO$1006:$BQ$1006,0))&gt;=100000), " ",IF(INDEX($AO$2:$BQ$1001,MATCH(ROWS($AH$2:AH88),$AH$2:$AH$1001,0),MATCH(COLUMNS($AO$1006:AP1006),$AO$1006:$BQ$1006,0)), HYPERLINK("#",""), HYPERLINK(CONCATENATE("#Metadata!", ADDRESS(INDEX($AJ$2:$AJ$1001,MATCH(ROWS($AH$2:AH88),$AH$2:$AH$1001,0),0), INDEX($AO$1004:$BQ$1004,1,MATCH(COLUMNS($AO$1006:AP1006),$AO$1006:$BQ$1006,0)))),"Fix")))</f>
        <v>#N/A</v>
      </c>
      <c r="D88" s="5" t="e">
        <f ca="1">IF(OR(INDEX($AI$2:$AI$1001,MATCH(ROWS($AH$2:AH88),$AH$2:$AH$1001,0),1)&gt;=100000,INDEX($AO$1005:$BQ$1005,1,MATCH(COLUMNS($AO$1006:AQ1006),$AO$1006:$BQ$1006,0))&gt;=100000), " ",IF(INDEX($AO$2:$BQ$1001,MATCH(ROWS($AH$2:AH88),$AH$2:$AH$1001,0),MATCH(COLUMNS($AO$1006:AQ1006),$AO$1006:$BQ$1006,0)), HYPERLINK("#",""), HYPERLINK(CONCATENATE("#Metadata!", ADDRESS(INDEX($AJ$2:$AJ$1001,MATCH(ROWS($AH$2:AH88),$AH$2:$AH$1001,0),0), INDEX($AO$1004:$BQ$1004,1,MATCH(COLUMNS($AO$1006:AQ1006),$AO$1006:$BQ$1006,0)))),"Fix")))</f>
        <v>#N/A</v>
      </c>
      <c r="E88" s="5" t="e">
        <f ca="1">IF(OR(INDEX($AI$2:$AI$1001,MATCH(ROWS($AH$2:AH88),$AH$2:$AH$1001,0),1)&gt;=100000,INDEX($AO$1005:$BQ$1005,1,MATCH(COLUMNS($AO$1006:AR1006),$AO$1006:$BQ$1006,0))&gt;=100000), " ",IF(INDEX($AO$2:$BQ$1001,MATCH(ROWS($AH$2:AH88),$AH$2:$AH$1001,0),MATCH(COLUMNS($AO$1006:AR1006),$AO$1006:$BQ$1006,0)), HYPERLINK("#",""), HYPERLINK(CONCATENATE("#Metadata!", ADDRESS(INDEX($AJ$2:$AJ$1001,MATCH(ROWS($AH$2:AH88),$AH$2:$AH$1001,0),0), INDEX($AO$1004:$BQ$1004,1,MATCH(COLUMNS($AO$1006:AR1006),$AO$1006:$BQ$1006,0)))),"Fix")))</f>
        <v>#N/A</v>
      </c>
      <c r="F88" s="5" t="e">
        <f ca="1">IF(OR(INDEX($AI$2:$AI$1001,MATCH(ROWS($AH$2:AH88),$AH$2:$AH$1001,0),1)&gt;=100000,INDEX($AO$1005:$BQ$1005,1,MATCH(COLUMNS($AO$1006:AS1006),$AO$1006:$BQ$1006,0))&gt;=100000), " ",IF(INDEX($AO$2:$BQ$1001,MATCH(ROWS($AH$2:AH88),$AH$2:$AH$1001,0),MATCH(COLUMNS($AO$1006:AS1006),$AO$1006:$BQ$1006,0)), HYPERLINK("#",""), HYPERLINK(CONCATENATE("#Metadata!", ADDRESS(INDEX($AJ$2:$AJ$1001,MATCH(ROWS($AH$2:AH88),$AH$2:$AH$1001,0),0), INDEX($AO$1004:$BQ$1004,1,MATCH(COLUMNS($AO$1006:AS1006),$AO$1006:$BQ$1006,0)))),"Fix")))</f>
        <v>#N/A</v>
      </c>
      <c r="G88" s="5" t="e">
        <f ca="1">IF(OR(INDEX($AI$2:$AI$1001,MATCH(ROWS($AH$2:AH88),$AH$2:$AH$1001,0),1)&gt;=100000,INDEX($AO$1005:$BQ$1005,1,MATCH(COLUMNS($AO$1006:AT1006),$AO$1006:$BQ$1006,0))&gt;=100000), " ",IF(INDEX($AO$2:$BQ$1001,MATCH(ROWS($AH$2:AH88),$AH$2:$AH$1001,0),MATCH(COLUMNS($AO$1006:AT1006),$AO$1006:$BQ$1006,0)), HYPERLINK("#",""), HYPERLINK(CONCATENATE("#Metadata!", ADDRESS(INDEX($AJ$2:$AJ$1001,MATCH(ROWS($AH$2:AH88),$AH$2:$AH$1001,0),0), INDEX($AO$1004:$BQ$1004,1,MATCH(COLUMNS($AO$1006:AT1006),$AO$1006:$BQ$1006,0)))),"Fix")))</f>
        <v>#N/A</v>
      </c>
      <c r="H88" s="5" t="e">
        <f ca="1">IF(OR(INDEX($AI$2:$AI$1001,MATCH(ROWS($AH$2:AH88),$AH$2:$AH$1001,0),1)&gt;=100000,INDEX($AO$1005:$BQ$1005,1,MATCH(COLUMNS($AO$1006:AU1006),$AO$1006:$BQ$1006,0))&gt;=100000), " ",IF(INDEX($AO$2:$BQ$1001,MATCH(ROWS($AH$2:AH88),$AH$2:$AH$1001,0),MATCH(COLUMNS($AO$1006:AU1006),$AO$1006:$BQ$1006,0)), HYPERLINK("#",""), HYPERLINK(CONCATENATE("#Metadata!", ADDRESS(INDEX($AJ$2:$AJ$1001,MATCH(ROWS($AH$2:AH88),$AH$2:$AH$1001,0),0), INDEX($AO$1004:$BQ$1004,1,MATCH(COLUMNS($AO$1006:AU1006),$AO$1006:$BQ$1006,0)))),"Fix")))</f>
        <v>#N/A</v>
      </c>
      <c r="I88" s="5" t="e">
        <f ca="1">IF(OR(INDEX($AI$2:$AI$1001,MATCH(ROWS($AH$2:AH88),$AH$2:$AH$1001,0),1)&gt;=100000,INDEX($AO$1005:$BQ$1005,1,MATCH(COLUMNS($AO$1006:AV1006),$AO$1006:$BQ$1006,0))&gt;=100000), " ",IF(INDEX($AO$2:$BQ$1001,MATCH(ROWS($AH$2:AH88),$AH$2:$AH$1001,0),MATCH(COLUMNS($AO$1006:AV1006),$AO$1006:$BQ$1006,0)), HYPERLINK("#",""), HYPERLINK(CONCATENATE("#Metadata!", ADDRESS(INDEX($AJ$2:$AJ$1001,MATCH(ROWS($AH$2:AH88),$AH$2:$AH$1001,0),0), INDEX($AO$1004:$BQ$1004,1,MATCH(COLUMNS($AO$1006:AV1006),$AO$1006:$BQ$1006,0)))),"Fix")))</f>
        <v>#N/A</v>
      </c>
      <c r="J88" s="5" t="e">
        <f ca="1">IF(OR(INDEX($AI$2:$AI$1001,MATCH(ROWS($AH$2:AH88),$AH$2:$AH$1001,0),1)&gt;=100000,INDEX($AO$1005:$BQ$1005,1,MATCH(COLUMNS($AO$1006:AW1006),$AO$1006:$BQ$1006,0))&gt;=100000), " ",IF(INDEX($AO$2:$BQ$1001,MATCH(ROWS($AH$2:AH88),$AH$2:$AH$1001,0),MATCH(COLUMNS($AO$1006:AW1006),$AO$1006:$BQ$1006,0)), HYPERLINK("#",""), HYPERLINK(CONCATENATE("#Metadata!", ADDRESS(INDEX($AJ$2:$AJ$1001,MATCH(ROWS($AH$2:AH88),$AH$2:$AH$1001,0),0), INDEX($AO$1004:$BQ$1004,1,MATCH(COLUMNS($AO$1006:AW1006),$AO$1006:$BQ$1006,0)))),"Fix")))</f>
        <v>#N/A</v>
      </c>
      <c r="K88" s="5" t="e">
        <f ca="1">IF(OR(INDEX($AI$2:$AI$1001,MATCH(ROWS($AH$2:AH88),$AH$2:$AH$1001,0),1)&gt;=100000,INDEX($AO$1005:$BQ$1005,1,MATCH(COLUMNS($AO$1006:AX1006),$AO$1006:$BQ$1006,0))&gt;=100000), " ",IF(INDEX($AO$2:$BQ$1001,MATCH(ROWS($AH$2:AH88),$AH$2:$AH$1001,0),MATCH(COLUMNS($AO$1006:AX1006),$AO$1006:$BQ$1006,0)), HYPERLINK("#",""), HYPERLINK(CONCATENATE("#Metadata!", ADDRESS(INDEX($AJ$2:$AJ$1001,MATCH(ROWS($AH$2:AH88),$AH$2:$AH$1001,0),0), INDEX($AO$1004:$BQ$1004,1,MATCH(COLUMNS($AO$1006:AX1006),$AO$1006:$BQ$1006,0)))),"Fix")))</f>
        <v>#N/A</v>
      </c>
      <c r="L88" s="5" t="e">
        <f ca="1">IF(OR(INDEX($AI$2:$AI$1001,MATCH(ROWS($AH$2:AH88),$AH$2:$AH$1001,0),1)&gt;=100000,INDEX($AO$1005:$BQ$1005,1,MATCH(COLUMNS($AO$1006:AY1006),$AO$1006:$BQ$1006,0))&gt;=100000), " ",IF(INDEX($AO$2:$BQ$1001,MATCH(ROWS($AH$2:AH88),$AH$2:$AH$1001,0),MATCH(COLUMNS($AO$1006:AY1006),$AO$1006:$BQ$1006,0)), HYPERLINK("#",""), HYPERLINK(CONCATENATE("#Metadata!", ADDRESS(INDEX($AJ$2:$AJ$1001,MATCH(ROWS($AH$2:AH88),$AH$2:$AH$1001,0),0), INDEX($AO$1004:$BQ$1004,1,MATCH(COLUMNS($AO$1006:AY1006),$AO$1006:$BQ$1006,0)))),"Fix")))</f>
        <v>#N/A</v>
      </c>
      <c r="M88" s="5" t="e">
        <f ca="1">IF(OR(INDEX($AI$2:$AI$1001,MATCH(ROWS($AH$2:AH88),$AH$2:$AH$1001,0),1)&gt;=100000,INDEX($AO$1005:$BQ$1005,1,MATCH(COLUMNS($AO$1006:AZ1006),$AO$1006:$BQ$1006,0))&gt;=100000), " ",IF(INDEX($AO$2:$BQ$1001,MATCH(ROWS($AH$2:AH88),$AH$2:$AH$1001,0),MATCH(COLUMNS($AO$1006:AZ1006),$AO$1006:$BQ$1006,0)), HYPERLINK("#",""), HYPERLINK(CONCATENATE("#Metadata!", ADDRESS(INDEX($AJ$2:$AJ$1001,MATCH(ROWS($AH$2:AH88),$AH$2:$AH$1001,0),0), INDEX($AO$1004:$BQ$1004,1,MATCH(COLUMNS($AO$1006:AZ1006),$AO$1006:$BQ$1006,0)))),"Fix")))</f>
        <v>#N/A</v>
      </c>
      <c r="N88" s="5" t="e">
        <f ca="1">IF(OR(INDEX($AI$2:$AI$1001,MATCH(ROWS($AH$2:AH88),$AH$2:$AH$1001,0),1)&gt;=100000,INDEX($AO$1005:$BQ$1005,1,MATCH(COLUMNS($AO$1006:BA1006),$AO$1006:$BQ$1006,0))&gt;=100000), " ",IF(INDEX($AO$2:$BQ$1001,MATCH(ROWS($AH$2:AH88),$AH$2:$AH$1001,0),MATCH(COLUMNS($AO$1006:BA1006),$AO$1006:$BQ$1006,0)), HYPERLINK("#",""), HYPERLINK(CONCATENATE("#Metadata!", ADDRESS(INDEX($AJ$2:$AJ$1001,MATCH(ROWS($AH$2:AH88),$AH$2:$AH$1001,0),0), INDEX($AO$1004:$BQ$1004,1,MATCH(COLUMNS($AO$1006:BA1006),$AO$1006:$BQ$1006,0)))),"Fix")))</f>
        <v>#N/A</v>
      </c>
      <c r="O88" s="5" t="e">
        <f ca="1">IF(OR(INDEX($AI$2:$AI$1001,MATCH(ROWS($AH$2:AH88),$AH$2:$AH$1001,0),1)&gt;=100000,INDEX($AO$1005:$BQ$1005,1,MATCH(COLUMNS($AO$1006:BB1006),$AO$1006:$BQ$1006,0))&gt;=100000), " ",IF(INDEX($AO$2:$BQ$1001,MATCH(ROWS($AH$2:AH88),$AH$2:$AH$1001,0),MATCH(COLUMNS($AO$1006:BB1006),$AO$1006:$BQ$1006,0)), HYPERLINK("#",""), HYPERLINK(CONCATENATE("#Metadata!", ADDRESS(INDEX($AJ$2:$AJ$1001,MATCH(ROWS($AH$2:AH88),$AH$2:$AH$1001,0),0), INDEX($AO$1004:$BQ$1004,1,MATCH(COLUMNS($AO$1006:BB1006),$AO$1006:$BQ$1006,0)))),"Fix")))</f>
        <v>#N/A</v>
      </c>
      <c r="P88" s="5" t="e">
        <f ca="1">IF(OR(INDEX($AI$2:$AI$1001,MATCH(ROWS($AH$2:AH88),$AH$2:$AH$1001,0),1)&gt;=100000,INDEX($AO$1005:$BQ$1005,1,MATCH(COLUMNS($AO$1006:BC1006),$AO$1006:$BQ$1006,0))&gt;=100000), " ",IF(INDEX($AO$2:$BQ$1001,MATCH(ROWS($AH$2:AH88),$AH$2:$AH$1001,0),MATCH(COLUMNS($AO$1006:BC1006),$AO$1006:$BQ$1006,0)), HYPERLINK("#",""), HYPERLINK(CONCATENATE("#Metadata!", ADDRESS(INDEX($AJ$2:$AJ$1001,MATCH(ROWS($AH$2:AH88),$AH$2:$AH$1001,0),0), INDEX($AO$1004:$BQ$1004,1,MATCH(COLUMNS($AO$1006:BC1006),$AO$1006:$BQ$1006,0)))),"Fix")))</f>
        <v>#N/A</v>
      </c>
      <c r="Q88" s="5" t="e">
        <f ca="1">IF(OR(INDEX($AI$2:$AI$1001,MATCH(ROWS($AH$2:AH88),$AH$2:$AH$1001,0),1)&gt;=100000,INDEX($AO$1005:$BQ$1005,1,MATCH(COLUMNS($AO$1006:BD1006),$AO$1006:$BQ$1006,0))&gt;=100000), " ",IF(INDEX($AO$2:$BQ$1001,MATCH(ROWS($AH$2:AH88),$AH$2:$AH$1001,0),MATCH(COLUMNS($AO$1006:BD1006),$AO$1006:$BQ$1006,0)), HYPERLINK("#",""), HYPERLINK(CONCATENATE("#Metadata!", ADDRESS(INDEX($AJ$2:$AJ$1001,MATCH(ROWS($AH$2:AH88),$AH$2:$AH$1001,0),0), INDEX($AO$1004:$BQ$1004,1,MATCH(COLUMNS($AO$1006:BD1006),$AO$1006:$BQ$1006,0)))),"Fix")))</f>
        <v>#N/A</v>
      </c>
      <c r="R88" s="5" t="e">
        <f ca="1">IF(OR(INDEX($AI$2:$AI$1001,MATCH(ROWS($AH$2:AH88),$AH$2:$AH$1001,0),1)&gt;=100000,INDEX($AO$1005:$BQ$1005,1,MATCH(COLUMNS($AO$1006:BE1006),$AO$1006:$BQ$1006,0))&gt;=100000), " ",IF(INDEX($AO$2:$BQ$1001,MATCH(ROWS($AH$2:AH88),$AH$2:$AH$1001,0),MATCH(COLUMNS($AO$1006:BE1006),$AO$1006:$BQ$1006,0)), HYPERLINK("#",""), HYPERLINK(CONCATENATE("#Metadata!", ADDRESS(INDEX($AJ$2:$AJ$1001,MATCH(ROWS($AH$2:AH88),$AH$2:$AH$1001,0),0), INDEX($AO$1004:$BQ$1004,1,MATCH(COLUMNS($AO$1006:BE1006),$AO$1006:$BQ$1006,0)))),"Fix")))</f>
        <v>#N/A</v>
      </c>
      <c r="S88" s="5" t="e">
        <f ca="1">IF(OR(INDEX($AI$2:$AI$1001,MATCH(ROWS($AH$2:AH88),$AH$2:$AH$1001,0),1)&gt;=100000,INDEX($AO$1005:$BQ$1005,1,MATCH(COLUMNS($AO$1006:BF1006),$AO$1006:$BQ$1006,0))&gt;=100000), " ",IF(INDEX($AO$2:$BQ$1001,MATCH(ROWS($AH$2:AH88),$AH$2:$AH$1001,0),MATCH(COLUMNS($AO$1006:BF1006),$AO$1006:$BQ$1006,0)), HYPERLINK("#",""), HYPERLINK(CONCATENATE("#Metadata!", ADDRESS(INDEX($AJ$2:$AJ$1001,MATCH(ROWS($AH$2:AH88),$AH$2:$AH$1001,0),0), INDEX($AO$1004:$BQ$1004,1,MATCH(COLUMNS($AO$1006:BF1006),$AO$1006:$BQ$1006,0)))),"Fix")))</f>
        <v>#N/A</v>
      </c>
      <c r="T88" s="5" t="e">
        <f ca="1">IF(OR(INDEX($AI$2:$AI$1001,MATCH(ROWS($AH$2:AH88),$AH$2:$AH$1001,0),1)&gt;=100000,INDEX($AO$1005:$BQ$1005,1,MATCH(COLUMNS($AO$1006:BG1006),$AO$1006:$BQ$1006,0))&gt;=100000), " ",IF(INDEX($AO$2:$BQ$1001,MATCH(ROWS($AH$2:AH88),$AH$2:$AH$1001,0),MATCH(COLUMNS($AO$1006:BG1006),$AO$1006:$BQ$1006,0)), HYPERLINK("#",""), HYPERLINK(CONCATENATE("#Metadata!", ADDRESS(INDEX($AJ$2:$AJ$1001,MATCH(ROWS($AH$2:AH88),$AH$2:$AH$1001,0),0), INDEX($AO$1004:$BQ$1004,1,MATCH(COLUMNS($AO$1006:BG1006),$AO$1006:$BQ$1006,0)))),"Fix")))</f>
        <v>#N/A</v>
      </c>
      <c r="U88" s="5" t="e">
        <f ca="1">IF(OR(INDEX($AI$2:$AI$1001,MATCH(ROWS($AH$2:AH88),$AH$2:$AH$1001,0),1)&gt;=100000,INDEX($AO$1005:$BQ$1005,1,MATCH(COLUMNS($AO$1006:BH1006),$AO$1006:$BQ$1006,0))&gt;=100000), " ",IF(INDEX($AO$2:$BQ$1001,MATCH(ROWS($AH$2:AH88),$AH$2:$AH$1001,0),MATCH(COLUMNS($AO$1006:BH1006),$AO$1006:$BQ$1006,0)), HYPERLINK("#",""), HYPERLINK(CONCATENATE("#Metadata!", ADDRESS(INDEX($AJ$2:$AJ$1001,MATCH(ROWS($AH$2:AH88),$AH$2:$AH$1001,0),0), INDEX($AO$1004:$BQ$1004,1,MATCH(COLUMNS($AO$1006:BH1006),$AO$1006:$BQ$1006,0)))),"Fix")))</f>
        <v>#N/A</v>
      </c>
      <c r="V88" s="5" t="e">
        <f ca="1">IF(OR(INDEX($AI$2:$AI$1001,MATCH(ROWS($AH$2:AH88),$AH$2:$AH$1001,0),1)&gt;=100000,INDEX($AO$1005:$BQ$1005,1,MATCH(COLUMNS($AO$1006:BI1006),$AO$1006:$BQ$1006,0))&gt;=100000), " ",IF(INDEX($AO$2:$BQ$1001,MATCH(ROWS($AH$2:AH88),$AH$2:$AH$1001,0),MATCH(COLUMNS($AO$1006:BI1006),$AO$1006:$BQ$1006,0)), HYPERLINK("#",""), HYPERLINK(CONCATENATE("#Metadata!", ADDRESS(INDEX($AJ$2:$AJ$1001,MATCH(ROWS($AH$2:AH88),$AH$2:$AH$1001,0),0), INDEX($AO$1004:$BQ$1004,1,MATCH(COLUMNS($AO$1006:BI1006),$AO$1006:$BQ$1006,0)))),"Fix")))</f>
        <v>#N/A</v>
      </c>
      <c r="W88" s="5" t="e">
        <f ca="1">IF(OR(INDEX($AI$2:$AI$1001,MATCH(ROWS($AH$2:AH88),$AH$2:$AH$1001,0),1)&gt;=100000,INDEX($AO$1005:$BQ$1005,1,MATCH(COLUMNS($AO$1006:BJ1006),$AO$1006:$BQ$1006,0))&gt;=100000), " ",IF(INDEX($AO$2:$BQ$1001,MATCH(ROWS($AH$2:AH88),$AH$2:$AH$1001,0),MATCH(COLUMNS($AO$1006:BJ1006),$AO$1006:$BQ$1006,0)), HYPERLINK("#",""), HYPERLINK(CONCATENATE("#Metadata!", ADDRESS(INDEX($AJ$2:$AJ$1001,MATCH(ROWS($AH$2:AH88),$AH$2:$AH$1001,0),0), INDEX($AO$1004:$BQ$1004,1,MATCH(COLUMNS($AO$1006:BJ1006),$AO$1006:$BQ$1006,0)))),"Fix")))</f>
        <v>#N/A</v>
      </c>
      <c r="X88" s="5" t="e">
        <f ca="1">IF(OR(INDEX($AI$2:$AI$1001,MATCH(ROWS($AH$2:AH88),$AH$2:$AH$1001,0),1)&gt;=100000,INDEX($AO$1005:$BQ$1005,1,MATCH(COLUMNS($AO$1006:BK1006),$AO$1006:$BQ$1006,0))&gt;=100000), " ",IF(INDEX($AO$2:$BQ$1001,MATCH(ROWS($AH$2:AH88),$AH$2:$AH$1001,0),MATCH(COLUMNS($AO$1006:BK1006),$AO$1006:$BQ$1006,0)), HYPERLINK("#",""), HYPERLINK(CONCATENATE("#Metadata!", ADDRESS(INDEX($AJ$2:$AJ$1001,MATCH(ROWS($AH$2:AH88),$AH$2:$AH$1001,0),0), INDEX($AO$1004:$BQ$1004,1,MATCH(COLUMNS($AO$1006:BK1006),$AO$1006:$BQ$1006,0)))),"Fix")))</f>
        <v>#N/A</v>
      </c>
      <c r="Y88" s="5" t="e">
        <f ca="1">IF(OR(INDEX($AI$2:$AI$1001,MATCH(ROWS($AH$2:AH88),$AH$2:$AH$1001,0),1)&gt;=100000,INDEX($AO$1005:$BQ$1005,1,MATCH(COLUMNS($AO$1006:BL1006),$AO$1006:$BQ$1006,0))&gt;=100000), " ",IF(INDEX($AO$2:$BQ$1001,MATCH(ROWS($AH$2:AH88),$AH$2:$AH$1001,0),MATCH(COLUMNS($AO$1006:BL1006),$AO$1006:$BQ$1006,0)), HYPERLINK("#",""), HYPERLINK(CONCATENATE("#Metadata!", ADDRESS(INDEX($AJ$2:$AJ$1001,MATCH(ROWS($AH$2:AH88),$AH$2:$AH$1001,0),0), INDEX($AO$1004:$BQ$1004,1,MATCH(COLUMNS($AO$1006:BL1006),$AO$1006:$BQ$1006,0)))),"Fix")))</f>
        <v>#N/A</v>
      </c>
      <c r="Z88" s="5" t="e">
        <f ca="1">IF(OR(INDEX($AI$2:$AI$1001,MATCH(ROWS($AH$2:AH88),$AH$2:$AH$1001,0),1)&gt;=100000,INDEX($AO$1005:$BQ$1005,1,MATCH(COLUMNS($AO$1006:BM1006),$AO$1006:$BQ$1006,0))&gt;=100000), " ",IF(INDEX($AO$2:$BQ$1001,MATCH(ROWS($AH$2:AH88),$AH$2:$AH$1001,0),MATCH(COLUMNS($AO$1006:BM1006),$AO$1006:$BQ$1006,0)), HYPERLINK("#",""), HYPERLINK(CONCATENATE("#Metadata!", ADDRESS(INDEX($AJ$2:$AJ$1001,MATCH(ROWS($AH$2:AH88),$AH$2:$AH$1001,0),0), INDEX($AO$1004:$BQ$1004,1,MATCH(COLUMNS($AO$1006:BM1006),$AO$1006:$BQ$1006,0)))),"Fix")))</f>
        <v>#N/A</v>
      </c>
      <c r="AA88" s="5" t="e">
        <f ca="1">IF(OR(INDEX($AI$2:$AI$1001,MATCH(ROWS($AH$2:AH88),$AH$2:$AH$1001,0),1)&gt;=100000,INDEX($AO$1005:$BQ$1005,1,MATCH(COLUMNS($AO$1006:BN1006),$AO$1006:$BQ$1006,0))&gt;=100000), " ",IF(INDEX($AO$2:$BQ$1001,MATCH(ROWS($AH$2:AH88),$AH$2:$AH$1001,0),MATCH(COLUMNS($AO$1006:BN1006),$AO$1006:$BQ$1006,0)), HYPERLINK("#",""), HYPERLINK(CONCATENATE("#Metadata!", ADDRESS(INDEX($AJ$2:$AJ$1001,MATCH(ROWS($AH$2:AH88),$AH$2:$AH$1001,0),0), INDEX($AO$1004:$BQ$1004,1,MATCH(COLUMNS($AO$1006:BN1006),$AO$1006:$BQ$1006,0)))),"Fix")))</f>
        <v>#N/A</v>
      </c>
      <c r="AB88" s="5" t="e">
        <f ca="1">IF(OR(INDEX($AI$2:$AI$1001,MATCH(ROWS($AH$2:AH88),$AH$2:$AH$1001,0),1)&gt;=100000,INDEX($AO$1005:$BQ$1005,1,MATCH(COLUMNS($AO$1006:BO1006),$AO$1006:$BQ$1006,0))&gt;=100000), " ",IF(INDEX($AO$2:$BQ$1001,MATCH(ROWS($AH$2:AH88),$AH$2:$AH$1001,0),MATCH(COLUMNS($AO$1006:BO1006),$AO$1006:$BQ$1006,0)), HYPERLINK("#",""), HYPERLINK(CONCATENATE("#Metadata!", ADDRESS(INDEX($AJ$2:$AJ$1001,MATCH(ROWS($AH$2:AH88),$AH$2:$AH$1001,0),0), INDEX($AO$1004:$BQ$1004,1,MATCH(COLUMNS($AO$1006:BO1006),$AO$1006:$BQ$1006,0)))),"Fix")))</f>
        <v>#N/A</v>
      </c>
      <c r="AC88" s="5" t="e">
        <f ca="1">IF(OR(INDEX($AI$2:$AI$1001,MATCH(ROWS($AH$2:AH88),$AH$2:$AH$1001,0),1)&gt;=100000,INDEX($AO$1005:$BQ$1005,1,MATCH(COLUMNS($AO$1006:BP1006),$AO$1006:$BQ$1006,0))&gt;=100000), " ",IF(INDEX($AO$2:$BQ$1001,MATCH(ROWS($AH$2:AH88),$AH$2:$AH$1001,0),MATCH(COLUMNS($AO$1006:BP1006),$AO$1006:$BQ$1006,0)), HYPERLINK("#",""), HYPERLINK(CONCATENATE("#Metadata!", ADDRESS(INDEX($AJ$2:$AJ$1001,MATCH(ROWS($AH$2:AH88),$AH$2:$AH$1001,0),0), INDEX($AO$1004:$BQ$1004,1,MATCH(COLUMNS($AO$1006:BP1006),$AO$1006:$BQ$1006,0)))),"Fix")))</f>
        <v>#N/A</v>
      </c>
      <c r="AD88" s="5" t="e">
        <f ca="1">IF(OR(INDEX($AI$2:$AI$1001,MATCH(ROWS($AH$2:AH88),$AH$2:$AH$1001,0),1)&gt;=100000,INDEX($AO$1005:$BQ$1005,1,MATCH(COLUMNS($AO$1006:BQ1006),$AO$1006:$BQ$1006,0))&gt;=100000), " ",IF(INDEX($AO$2:$BQ$1001,MATCH(ROWS($AH$2:AH88),$AH$2:$AH$1001,0),MATCH(COLUMNS($AO$1006:BQ1006),$AO$1006:$BQ$1006,0)), HYPERLINK("#",""), HYPERLINK(CONCATENATE("#Metadata!", ADDRESS(INDEX($AJ$2:$AJ$1001,MATCH(ROWS($AH$2:AH88),$AH$2:$AH$1001,0),0), INDEX($AO$1004:$BQ$1004,1,MATCH(COLUMNS($AO$1006:BQ1006),$AO$1006:$BQ$1006,0)))),"Fix")))</f>
        <v>#REF!</v>
      </c>
      <c r="AH88">
        <f ca="1"/>
        <v>85</v>
      </c>
      <c r="AI88">
        <v>100088</v>
      </c>
      <c r="AJ88">
        <v>88</v>
      </c>
      <c r="AK88" t="b">
        <f t="shared" si="1"/>
        <v>1</v>
      </c>
      <c r="AL88" t="b">
        <f>COUNTBLANK(Metadata!B88:AD88)=COLUMNS(Metadata!B88:AD88)</f>
        <v>1</v>
      </c>
      <c r="AM88" t="str">
        <v/>
      </c>
      <c r="AO88" t="b">
        <f ca="1">AND(IF(Metadata!B88="",FALSE,TRUE),COUNTIF(Metadata!B:B, Metadata!B88) = 1,NOT(ISERROR(SUMPRODUCT(SEARCH(MID(Metadata!B88,ROW(INDIRECT("1:"&amp;LEN(Metadata!B88))), 1),"0123456789abcdefghijklmnopqrstuvwxyzABCDEFGHIJKLMNOPQRSTUVWXYZ.")))))</f>
        <v>0</v>
      </c>
      <c r="AP88" t="b">
        <f>IF(Metadata!C88="",FALSE,TRUE)</f>
        <v>0</v>
      </c>
      <c r="AQ88" t="b">
        <f>IF(Metadata!D88="",FALSE,TRUE)</f>
        <v>0</v>
      </c>
      <c r="AR88" t="b">
        <f ca="1">OR(AND(IF(Metadata!E88="",FALSE,TRUE),OR(EXACT(Metadata!E88,"not collected"),EXACT(Metadata!E88,"not provided"),EXACT(Metadata!E88,"restricted access"))),AND(IF(Metadata!E88="",FALSE,TRUE),AND(AND(IFERROR(INT(LEFT(Metadata!E88,4))&gt;1900,FALSE),IFERROR(INT(LEFT(Metadata!E88,4))&lt;=YEAR(NOW()),FALSE)), OR(MID(Metadata!E88,5,1)="", AND(AND(MID(Metadata!E88,5,1)="-",IFERROR(INT(MID(Metadata!E88,6,1))&gt;=0,FALSE),IFERROR(INT(MID(Metadata!E88,6,1))&lt;=1,FALSE),NOT(MID(Metadata!E88,7,1)=""),IFERROR(INT(MID(Metadata!E88,6,2))&gt;=1,FALSE),IFERROR(INT(MID(Metadata!E88,6,2))&lt;=12,FALSE)), OR(MID(Metadata!E88,8,1)="", AND(AND(MID(Metadata!E88,8,1)="-",IFERROR(INT(MID(Metadata!E88,9,1))&gt;=0,FALSE),IFERROR(INT(MID(Metadata!E88,9,1))&lt;=3,FALSE),NOT(MID(Metadata!E88,10,1)=""),IFERROR(INT(MID(Metadata!E88,9,2))&gt;=1,FALSE),IFERROR(INT(MID(Metadata!E88,9,2))&lt;=31,FALSE)), OR(MID(Metadata!E88,11,1)="", AND(AND(MID(Metadata!E88,11,1)=" ",IFERROR(INT(MID(Metadata!E88,12,1))&gt;=0,FALSE),IFERROR(INT(MID(Metadata!E88,12,1))&lt;=2,FALSE),NOT(MID(Metadata!E88,13,1)=""),IFERROR(INT(MID(Metadata!E88,12,2))&gt;=0,FALSE),IFERROR(INT(MID(Metadata!E88,12,2))&lt;=23,FALSE)), OR(MID(Metadata!E88,14,1)="", AND(AND(MID(Metadata!E88,14,1)=":",IFERROR(INT(MID(Metadata!E88,15,1))&gt;=0,FALSE),IFERROR(INT(MID(Metadata!E88,15,1))&lt;=5,FALSE),NOT(MID(Metadata!E88,16,1)=""),IFERROR(INT(MID(Metadata!E88,15,2))&gt;=0,FALSE),IFERROR(INT(MID(Metadata!E88,15,2))&lt;=59,FALSE)), OR(MID(Metadata!E88,17,1)="", AND(AND(MID(Metadata!E88,17,1)=":",IFERROR(INT(MID(Metadata!E88,18,1))&gt;=0,FALSE),IFERROR(INT(MID(Metadata!E88,18,1))&lt;=5,FALSE),NOT(MID(Metadata!E88,19,1)=""),IFERROR(INT(MID(Metadata!E88,18,2))&gt;=0,FALSE),IFERROR(INT(MID(Metadata!E88,18,2))&lt;=59,FALSE)), LEN(Metadata!E88)&lt;=19)))))))))))))</f>
        <v>0</v>
      </c>
      <c r="AS88" t="b">
        <f>IF(Metadata!F88="",FALSE,TRUE)</f>
        <v>0</v>
      </c>
      <c r="AT88" t="b">
        <f>OR(AND(IF(Metadata!G88="",FALSE,TRUE),OR(EXACT(Metadata!G88,"not collected"),EXACT(Metadata!G88,"not provided"))),AND(IF(Metadata!G88="",FALSE,TRUE),OR(EXACT(Metadata!G88,"TRUE"),EXACT(Metadata!G88,"FALSE"))))</f>
        <v>0</v>
      </c>
      <c r="AU88" t="b">
        <f>OR(AND(IF(Metadata!H88="",FALSE,TRUE),OR(EXACT(Metadata!H88,"not collected"),EXACT(Metadata!H88,"not provided"),EXACT(Metadata!H88,"restricted access"))),AND(IF(Metadata!H88="",FALSE,ISNUMBER(VALUE(Metadata!H88))),Metadata!H88&gt;=-413))</f>
        <v>0</v>
      </c>
      <c r="AV88" t="b">
        <f>AND(IF(Metadata!I88="",FALSE,TRUE),EXACT(Metadata!I88,"meters"))</f>
        <v>0</v>
      </c>
      <c r="AW88" t="b">
        <f>AND(IF(Metadata!J88="",FALSE,TRUE),EXACT(Metadata!J88,"free-living"))</f>
        <v>0</v>
      </c>
      <c r="AX88" t="b">
        <f>AND(IF(Metadata!K88="",FALSE,TRUE),OR(EXACT(Metadata!K88,"saline"),EXACT(Metadata!K88,"non-saline")))</f>
        <v>0</v>
      </c>
      <c r="AY88" t="b">
        <f>AND(IF(Metadata!L88="",FALSE,TRUE),OR(EXACT(Metadata!L88,"sub-surface (non-saline)"),EXACT(Metadata!L88,"surface (non-saline)"),EXACT(Metadata!L88,"water (non-saline)"),EXACT(Metadata!L88,"soil (non-saline)"),EXACT(Metadata!L88,"aerosol (non-saline)"),EXACT(Metadata!L88,"sediment (non-saline)"),EXACT(Metadata!L88,"surface (saline)"),EXACT(Metadata!L88,"water (saline)"),EXACT(Metadata!L88,"hypersaline (saline)"),EXACT(Metadata!L88,"aerosol (saline)"),EXACT(Metadata!L88,"sediment (saline)")))</f>
        <v>0</v>
      </c>
      <c r="AZ88" t="b">
        <f>IF(Metadata!M88="",FALSE,TRUE)</f>
        <v>0</v>
      </c>
      <c r="BA88" t="b">
        <f>IF(Metadata!N88="",FALSE,TRUE)</f>
        <v>0</v>
      </c>
      <c r="BB88" t="b">
        <f>IF(Metadata!O88="",FALSE,TRUE)</f>
        <v>0</v>
      </c>
      <c r="BC88" t="b">
        <f>AND(IF(Metadata!P88="",FALSE,TRUE),OR(EXACT(Metadata!P88,"air"),EXACT(Metadata!P88,"microbial mat/biofilm"),EXACT(Metadata!P88,"misc environment"),EXACT(Metadata!P88,"sediment"),EXACT(Metadata!P88,"soil"),EXACT(Metadata!P88,"wastewater/sludge"),EXACT(Metadata!P88,"water")))</f>
        <v>0</v>
      </c>
      <c r="BD88" t="b">
        <f>IF(Metadata!Q88="",FALSE,TRUE)</f>
        <v>0</v>
      </c>
      <c r="BE88" t="b">
        <f>IF(Metadata!R88="",FALSE,TRUE)</f>
        <v>0</v>
      </c>
      <c r="BF88" t="b">
        <f>OR(AND(IF(Metadata!S88="",FALSE,TRUE),OR(EXACT(Metadata!S88,"not collected"),EXACT(Metadata!S88,"not provided"),EXACT(Metadata!S88,"restricted access"))),AND(IF(Metadata!S88="",FALSE,ISNUMBER(VALUE(Metadata!S88))),Metadata!S88&gt;=-90,Metadata!S88&lt;=90))</f>
        <v>0</v>
      </c>
      <c r="BG88" t="b">
        <f>AND(IF(Metadata!T88="",FALSE,TRUE),EXACT(Metadata!T88,"Decimal degrees"))</f>
        <v>0</v>
      </c>
      <c r="BH88" t="b">
        <f>OR(AND(IF(Metadata!U88="",FALSE,TRUE),OR(EXACT(Metadata!U88,"not applicable"),EXACT(Metadata!U88,"not collected"))),IF(Metadata!U88="",FALSE,TRUE))</f>
        <v>0</v>
      </c>
      <c r="BI88" t="b">
        <f>OR(AND(IF(Metadata!V88="",FALSE,TRUE),OR(EXACT(Metadata!V88,"not collected"),EXACT(Metadata!V88,"not provided"),EXACT(Metadata!V88,"restricted access"))),AND(IF(Metadata!V88="",FALSE,ISNUMBER(VALUE(Metadata!V88))),Metadata!V88&gt;=-180,Metadata!V88&lt;=180))</f>
        <v>0</v>
      </c>
      <c r="BJ88" t="b">
        <f>AND(IF(Metadata!W88="",FALSE,TRUE),EXACT(Metadata!W88,"Decimal degrees"))</f>
        <v>0</v>
      </c>
      <c r="BK88" t="b">
        <f>IF(Metadata!X88="",FALSE,TRUE)</f>
        <v>0</v>
      </c>
      <c r="BL88" t="b">
        <f>OR(AND(IF(Metadata!Y88="",FALSE,TRUE),OR(EXACT(Metadata!Y88,"not collected"),EXACT(Metadata!Y88,"not provided"),EXACT(Metadata!Y88,"restricted access"))),AND(IF(Metadata!Y88="",FALSE,TRUE),OR(EXACT(Metadata!Y88,"TRUE"),EXACT(Metadata!Y88,"FALSE"))))</f>
        <v>0</v>
      </c>
      <c r="BM88" t="b">
        <f>OR(AND(IF(Metadata!Z88="",FALSE,TRUE),EXACT(Metadata!Z88,"not applicable")),AND(IF(Metadata!Z88="",FALSE,TRUE),OR(EXACT(Metadata!Z88,"beer"),EXACT(Metadata!Z88,"cheese"),EXACT(Metadata!Z88,"fresh water"),EXACT(Metadata!Z88,"marine sediment"),EXACT(Metadata!Z88,"sea water"),EXACT(Metadata!Z88,"sediment"),EXACT(Metadata!Z88,"soil"),EXACT(Metadata!Z88,"waste water"))))</f>
        <v>0</v>
      </c>
      <c r="BN88" t="b">
        <f>AND(IF(Metadata!AA88="",FALSE,TRUE),EXACT(Metadata!AA88,"metagenome"))</f>
        <v>0</v>
      </c>
      <c r="BO88" t="b">
        <f>AND(IF(Metadata!AB88="",FALSE,TRUE),EXACT(Metadata!AB88,"256318"))</f>
        <v>0</v>
      </c>
      <c r="BP88" t="b">
        <f>IF(Metadata!AC88="",FALSE,TRUE)</f>
        <v>0</v>
      </c>
      <c r="BQ88" t="b">
        <f>IF(Metadata!AD88="",FALSE,TRUE)</f>
        <v>0</v>
      </c>
    </row>
    <row r="89" spans="1:69" x14ac:dyDescent="0.2">
      <c r="A89" s="4" t="e">
        <f ca="1">IF(B89=" "," ",HYPERLINK(CONCATENATE("#metadata!",ADDRESS(INDEX($AJ$2:$AJ$1001,MATCH(ROWS($AH$2:AH89),$AH$2:$AH$1001,0),0),2)),INDEX($AM$2:$AM$1001,MATCH(ROWS($AH$2:AH89),$AH$2:$AH$1001,0),0)))</f>
        <v>#N/A</v>
      </c>
      <c r="B89" s="5" t="e">
        <f ca="1">IF(OR(INDEX($AI$2:$AI$1001,MATCH(ROWS($AH$2:AH89),$AH$2:$AH$1001,0),1)&gt;=100000,INDEX($AO$1005:$BQ$1005,1,MATCH(COLUMNS($AO$1006:AO1006),$AO$1006:$BQ$1006,0))&gt;=100000), " ",IF(INDEX($AO$2:$BQ$1001,MATCH(ROWS($AH$2:AH89),$AH$2:$AH$1001,0),MATCH(COLUMNS($AO$1006:AO1006),$AO$1006:$BQ$1006,0)), HYPERLINK("#",""), HYPERLINK(CONCATENATE("#Metadata!", ADDRESS(INDEX($AJ$2:$AJ$1001,MATCH(ROWS($AH$2:AH89),$AH$2:$AH$1001,0),0), INDEX($AO$1004:$BQ$1004,1,MATCH(COLUMNS($AO$1006:AO1006),$AO$1006:$BQ$1006,0)))),"Fix")))</f>
        <v>#N/A</v>
      </c>
      <c r="C89" s="5" t="e">
        <f ca="1">IF(OR(INDEX($AI$2:$AI$1001,MATCH(ROWS($AH$2:AH89),$AH$2:$AH$1001,0),1)&gt;=100000,INDEX($AO$1005:$BQ$1005,1,MATCH(COLUMNS($AO$1006:AP1006),$AO$1006:$BQ$1006,0))&gt;=100000), " ",IF(INDEX($AO$2:$BQ$1001,MATCH(ROWS($AH$2:AH89),$AH$2:$AH$1001,0),MATCH(COLUMNS($AO$1006:AP1006),$AO$1006:$BQ$1006,0)), HYPERLINK("#",""), HYPERLINK(CONCATENATE("#Metadata!", ADDRESS(INDEX($AJ$2:$AJ$1001,MATCH(ROWS($AH$2:AH89),$AH$2:$AH$1001,0),0), INDEX($AO$1004:$BQ$1004,1,MATCH(COLUMNS($AO$1006:AP1006),$AO$1006:$BQ$1006,0)))),"Fix")))</f>
        <v>#N/A</v>
      </c>
      <c r="D89" s="5" t="e">
        <f ca="1">IF(OR(INDEX($AI$2:$AI$1001,MATCH(ROWS($AH$2:AH89),$AH$2:$AH$1001,0),1)&gt;=100000,INDEX($AO$1005:$BQ$1005,1,MATCH(COLUMNS($AO$1006:AQ1006),$AO$1006:$BQ$1006,0))&gt;=100000), " ",IF(INDEX($AO$2:$BQ$1001,MATCH(ROWS($AH$2:AH89),$AH$2:$AH$1001,0),MATCH(COLUMNS($AO$1006:AQ1006),$AO$1006:$BQ$1006,0)), HYPERLINK("#",""), HYPERLINK(CONCATENATE("#Metadata!", ADDRESS(INDEX($AJ$2:$AJ$1001,MATCH(ROWS($AH$2:AH89),$AH$2:$AH$1001,0),0), INDEX($AO$1004:$BQ$1004,1,MATCH(COLUMNS($AO$1006:AQ1006),$AO$1006:$BQ$1006,0)))),"Fix")))</f>
        <v>#N/A</v>
      </c>
      <c r="E89" s="5" t="e">
        <f ca="1">IF(OR(INDEX($AI$2:$AI$1001,MATCH(ROWS($AH$2:AH89),$AH$2:$AH$1001,0),1)&gt;=100000,INDEX($AO$1005:$BQ$1005,1,MATCH(COLUMNS($AO$1006:AR1006),$AO$1006:$BQ$1006,0))&gt;=100000), " ",IF(INDEX($AO$2:$BQ$1001,MATCH(ROWS($AH$2:AH89),$AH$2:$AH$1001,0),MATCH(COLUMNS($AO$1006:AR1006),$AO$1006:$BQ$1006,0)), HYPERLINK("#",""), HYPERLINK(CONCATENATE("#Metadata!", ADDRESS(INDEX($AJ$2:$AJ$1001,MATCH(ROWS($AH$2:AH89),$AH$2:$AH$1001,0),0), INDEX($AO$1004:$BQ$1004,1,MATCH(COLUMNS($AO$1006:AR1006),$AO$1006:$BQ$1006,0)))),"Fix")))</f>
        <v>#N/A</v>
      </c>
      <c r="F89" s="5" t="e">
        <f ca="1">IF(OR(INDEX($AI$2:$AI$1001,MATCH(ROWS($AH$2:AH89),$AH$2:$AH$1001,0),1)&gt;=100000,INDEX($AO$1005:$BQ$1005,1,MATCH(COLUMNS($AO$1006:AS1006),$AO$1006:$BQ$1006,0))&gt;=100000), " ",IF(INDEX($AO$2:$BQ$1001,MATCH(ROWS($AH$2:AH89),$AH$2:$AH$1001,0),MATCH(COLUMNS($AO$1006:AS1006),$AO$1006:$BQ$1006,0)), HYPERLINK("#",""), HYPERLINK(CONCATENATE("#Metadata!", ADDRESS(INDEX($AJ$2:$AJ$1001,MATCH(ROWS($AH$2:AH89),$AH$2:$AH$1001,0),0), INDEX($AO$1004:$BQ$1004,1,MATCH(COLUMNS($AO$1006:AS1006),$AO$1006:$BQ$1006,0)))),"Fix")))</f>
        <v>#N/A</v>
      </c>
      <c r="G89" s="5" t="e">
        <f ca="1">IF(OR(INDEX($AI$2:$AI$1001,MATCH(ROWS($AH$2:AH89),$AH$2:$AH$1001,0),1)&gt;=100000,INDEX($AO$1005:$BQ$1005,1,MATCH(COLUMNS($AO$1006:AT1006),$AO$1006:$BQ$1006,0))&gt;=100000), " ",IF(INDEX($AO$2:$BQ$1001,MATCH(ROWS($AH$2:AH89),$AH$2:$AH$1001,0),MATCH(COLUMNS($AO$1006:AT1006),$AO$1006:$BQ$1006,0)), HYPERLINK("#",""), HYPERLINK(CONCATENATE("#Metadata!", ADDRESS(INDEX($AJ$2:$AJ$1001,MATCH(ROWS($AH$2:AH89),$AH$2:$AH$1001,0),0), INDEX($AO$1004:$BQ$1004,1,MATCH(COLUMNS($AO$1006:AT1006),$AO$1006:$BQ$1006,0)))),"Fix")))</f>
        <v>#N/A</v>
      </c>
      <c r="H89" s="5" t="e">
        <f ca="1">IF(OR(INDEX($AI$2:$AI$1001,MATCH(ROWS($AH$2:AH89),$AH$2:$AH$1001,0),1)&gt;=100000,INDEX($AO$1005:$BQ$1005,1,MATCH(COLUMNS($AO$1006:AU1006),$AO$1006:$BQ$1006,0))&gt;=100000), " ",IF(INDEX($AO$2:$BQ$1001,MATCH(ROWS($AH$2:AH89),$AH$2:$AH$1001,0),MATCH(COLUMNS($AO$1006:AU1006),$AO$1006:$BQ$1006,0)), HYPERLINK("#",""), HYPERLINK(CONCATENATE("#Metadata!", ADDRESS(INDEX($AJ$2:$AJ$1001,MATCH(ROWS($AH$2:AH89),$AH$2:$AH$1001,0),0), INDEX($AO$1004:$BQ$1004,1,MATCH(COLUMNS($AO$1006:AU1006),$AO$1006:$BQ$1006,0)))),"Fix")))</f>
        <v>#N/A</v>
      </c>
      <c r="I89" s="5" t="e">
        <f ca="1">IF(OR(INDEX($AI$2:$AI$1001,MATCH(ROWS($AH$2:AH89),$AH$2:$AH$1001,0),1)&gt;=100000,INDEX($AO$1005:$BQ$1005,1,MATCH(COLUMNS($AO$1006:AV1006),$AO$1006:$BQ$1006,0))&gt;=100000), " ",IF(INDEX($AO$2:$BQ$1001,MATCH(ROWS($AH$2:AH89),$AH$2:$AH$1001,0),MATCH(COLUMNS($AO$1006:AV1006),$AO$1006:$BQ$1006,0)), HYPERLINK("#",""), HYPERLINK(CONCATENATE("#Metadata!", ADDRESS(INDEX($AJ$2:$AJ$1001,MATCH(ROWS($AH$2:AH89),$AH$2:$AH$1001,0),0), INDEX($AO$1004:$BQ$1004,1,MATCH(COLUMNS($AO$1006:AV1006),$AO$1006:$BQ$1006,0)))),"Fix")))</f>
        <v>#N/A</v>
      </c>
      <c r="J89" s="5" t="e">
        <f ca="1">IF(OR(INDEX($AI$2:$AI$1001,MATCH(ROWS($AH$2:AH89),$AH$2:$AH$1001,0),1)&gt;=100000,INDEX($AO$1005:$BQ$1005,1,MATCH(COLUMNS($AO$1006:AW1006),$AO$1006:$BQ$1006,0))&gt;=100000), " ",IF(INDEX($AO$2:$BQ$1001,MATCH(ROWS($AH$2:AH89),$AH$2:$AH$1001,0),MATCH(COLUMNS($AO$1006:AW1006),$AO$1006:$BQ$1006,0)), HYPERLINK("#",""), HYPERLINK(CONCATENATE("#Metadata!", ADDRESS(INDEX($AJ$2:$AJ$1001,MATCH(ROWS($AH$2:AH89),$AH$2:$AH$1001,0),0), INDEX($AO$1004:$BQ$1004,1,MATCH(COLUMNS($AO$1006:AW1006),$AO$1006:$BQ$1006,0)))),"Fix")))</f>
        <v>#N/A</v>
      </c>
      <c r="K89" s="5" t="e">
        <f ca="1">IF(OR(INDEX($AI$2:$AI$1001,MATCH(ROWS($AH$2:AH89),$AH$2:$AH$1001,0),1)&gt;=100000,INDEX($AO$1005:$BQ$1005,1,MATCH(COLUMNS($AO$1006:AX1006),$AO$1006:$BQ$1006,0))&gt;=100000), " ",IF(INDEX($AO$2:$BQ$1001,MATCH(ROWS($AH$2:AH89),$AH$2:$AH$1001,0),MATCH(COLUMNS($AO$1006:AX1006),$AO$1006:$BQ$1006,0)), HYPERLINK("#",""), HYPERLINK(CONCATENATE("#Metadata!", ADDRESS(INDEX($AJ$2:$AJ$1001,MATCH(ROWS($AH$2:AH89),$AH$2:$AH$1001,0),0), INDEX($AO$1004:$BQ$1004,1,MATCH(COLUMNS($AO$1006:AX1006),$AO$1006:$BQ$1006,0)))),"Fix")))</f>
        <v>#N/A</v>
      </c>
      <c r="L89" s="5" t="e">
        <f ca="1">IF(OR(INDEX($AI$2:$AI$1001,MATCH(ROWS($AH$2:AH89),$AH$2:$AH$1001,0),1)&gt;=100000,INDEX($AO$1005:$BQ$1005,1,MATCH(COLUMNS($AO$1006:AY1006),$AO$1006:$BQ$1006,0))&gt;=100000), " ",IF(INDEX($AO$2:$BQ$1001,MATCH(ROWS($AH$2:AH89),$AH$2:$AH$1001,0),MATCH(COLUMNS($AO$1006:AY1006),$AO$1006:$BQ$1006,0)), HYPERLINK("#",""), HYPERLINK(CONCATENATE("#Metadata!", ADDRESS(INDEX($AJ$2:$AJ$1001,MATCH(ROWS($AH$2:AH89),$AH$2:$AH$1001,0),0), INDEX($AO$1004:$BQ$1004,1,MATCH(COLUMNS($AO$1006:AY1006),$AO$1006:$BQ$1006,0)))),"Fix")))</f>
        <v>#N/A</v>
      </c>
      <c r="M89" s="5" t="e">
        <f ca="1">IF(OR(INDEX($AI$2:$AI$1001,MATCH(ROWS($AH$2:AH89),$AH$2:$AH$1001,0),1)&gt;=100000,INDEX($AO$1005:$BQ$1005,1,MATCH(COLUMNS($AO$1006:AZ1006),$AO$1006:$BQ$1006,0))&gt;=100000), " ",IF(INDEX($AO$2:$BQ$1001,MATCH(ROWS($AH$2:AH89),$AH$2:$AH$1001,0),MATCH(COLUMNS($AO$1006:AZ1006),$AO$1006:$BQ$1006,0)), HYPERLINK("#",""), HYPERLINK(CONCATENATE("#Metadata!", ADDRESS(INDEX($AJ$2:$AJ$1001,MATCH(ROWS($AH$2:AH89),$AH$2:$AH$1001,0),0), INDEX($AO$1004:$BQ$1004,1,MATCH(COLUMNS($AO$1006:AZ1006),$AO$1006:$BQ$1006,0)))),"Fix")))</f>
        <v>#N/A</v>
      </c>
      <c r="N89" s="5" t="e">
        <f ca="1">IF(OR(INDEX($AI$2:$AI$1001,MATCH(ROWS($AH$2:AH89),$AH$2:$AH$1001,0),1)&gt;=100000,INDEX($AO$1005:$BQ$1005,1,MATCH(COLUMNS($AO$1006:BA1006),$AO$1006:$BQ$1006,0))&gt;=100000), " ",IF(INDEX($AO$2:$BQ$1001,MATCH(ROWS($AH$2:AH89),$AH$2:$AH$1001,0),MATCH(COLUMNS($AO$1006:BA1006),$AO$1006:$BQ$1006,0)), HYPERLINK("#",""), HYPERLINK(CONCATENATE("#Metadata!", ADDRESS(INDEX($AJ$2:$AJ$1001,MATCH(ROWS($AH$2:AH89),$AH$2:$AH$1001,0),0), INDEX($AO$1004:$BQ$1004,1,MATCH(COLUMNS($AO$1006:BA1006),$AO$1006:$BQ$1006,0)))),"Fix")))</f>
        <v>#N/A</v>
      </c>
      <c r="O89" s="5" t="e">
        <f ca="1">IF(OR(INDEX($AI$2:$AI$1001,MATCH(ROWS($AH$2:AH89),$AH$2:$AH$1001,0),1)&gt;=100000,INDEX($AO$1005:$BQ$1005,1,MATCH(COLUMNS($AO$1006:BB1006),$AO$1006:$BQ$1006,0))&gt;=100000), " ",IF(INDEX($AO$2:$BQ$1001,MATCH(ROWS($AH$2:AH89),$AH$2:$AH$1001,0),MATCH(COLUMNS($AO$1006:BB1006),$AO$1006:$BQ$1006,0)), HYPERLINK("#",""), HYPERLINK(CONCATENATE("#Metadata!", ADDRESS(INDEX($AJ$2:$AJ$1001,MATCH(ROWS($AH$2:AH89),$AH$2:$AH$1001,0),0), INDEX($AO$1004:$BQ$1004,1,MATCH(COLUMNS($AO$1006:BB1006),$AO$1006:$BQ$1006,0)))),"Fix")))</f>
        <v>#N/A</v>
      </c>
      <c r="P89" s="5" t="e">
        <f ca="1">IF(OR(INDEX($AI$2:$AI$1001,MATCH(ROWS($AH$2:AH89),$AH$2:$AH$1001,0),1)&gt;=100000,INDEX($AO$1005:$BQ$1005,1,MATCH(COLUMNS($AO$1006:BC1006),$AO$1006:$BQ$1006,0))&gt;=100000), " ",IF(INDEX($AO$2:$BQ$1001,MATCH(ROWS($AH$2:AH89),$AH$2:$AH$1001,0),MATCH(COLUMNS($AO$1006:BC1006),$AO$1006:$BQ$1006,0)), HYPERLINK("#",""), HYPERLINK(CONCATENATE("#Metadata!", ADDRESS(INDEX($AJ$2:$AJ$1001,MATCH(ROWS($AH$2:AH89),$AH$2:$AH$1001,0),0), INDEX($AO$1004:$BQ$1004,1,MATCH(COLUMNS($AO$1006:BC1006),$AO$1006:$BQ$1006,0)))),"Fix")))</f>
        <v>#N/A</v>
      </c>
      <c r="Q89" s="5" t="e">
        <f ca="1">IF(OR(INDEX($AI$2:$AI$1001,MATCH(ROWS($AH$2:AH89),$AH$2:$AH$1001,0),1)&gt;=100000,INDEX($AO$1005:$BQ$1005,1,MATCH(COLUMNS($AO$1006:BD1006),$AO$1006:$BQ$1006,0))&gt;=100000), " ",IF(INDEX($AO$2:$BQ$1001,MATCH(ROWS($AH$2:AH89),$AH$2:$AH$1001,0),MATCH(COLUMNS($AO$1006:BD1006),$AO$1006:$BQ$1006,0)), HYPERLINK("#",""), HYPERLINK(CONCATENATE("#Metadata!", ADDRESS(INDEX($AJ$2:$AJ$1001,MATCH(ROWS($AH$2:AH89),$AH$2:$AH$1001,0),0), INDEX($AO$1004:$BQ$1004,1,MATCH(COLUMNS($AO$1006:BD1006),$AO$1006:$BQ$1006,0)))),"Fix")))</f>
        <v>#N/A</v>
      </c>
      <c r="R89" s="5" t="e">
        <f ca="1">IF(OR(INDEX($AI$2:$AI$1001,MATCH(ROWS($AH$2:AH89),$AH$2:$AH$1001,0),1)&gt;=100000,INDEX($AO$1005:$BQ$1005,1,MATCH(COLUMNS($AO$1006:BE1006),$AO$1006:$BQ$1006,0))&gt;=100000), " ",IF(INDEX($AO$2:$BQ$1001,MATCH(ROWS($AH$2:AH89),$AH$2:$AH$1001,0),MATCH(COLUMNS($AO$1006:BE1006),$AO$1006:$BQ$1006,0)), HYPERLINK("#",""), HYPERLINK(CONCATENATE("#Metadata!", ADDRESS(INDEX($AJ$2:$AJ$1001,MATCH(ROWS($AH$2:AH89),$AH$2:$AH$1001,0),0), INDEX($AO$1004:$BQ$1004,1,MATCH(COLUMNS($AO$1006:BE1006),$AO$1006:$BQ$1006,0)))),"Fix")))</f>
        <v>#N/A</v>
      </c>
      <c r="S89" s="5" t="e">
        <f ca="1">IF(OR(INDEX($AI$2:$AI$1001,MATCH(ROWS($AH$2:AH89),$AH$2:$AH$1001,0),1)&gt;=100000,INDEX($AO$1005:$BQ$1005,1,MATCH(COLUMNS($AO$1006:BF1006),$AO$1006:$BQ$1006,0))&gt;=100000), " ",IF(INDEX($AO$2:$BQ$1001,MATCH(ROWS($AH$2:AH89),$AH$2:$AH$1001,0),MATCH(COLUMNS($AO$1006:BF1006),$AO$1006:$BQ$1006,0)), HYPERLINK("#",""), HYPERLINK(CONCATENATE("#Metadata!", ADDRESS(INDEX($AJ$2:$AJ$1001,MATCH(ROWS($AH$2:AH89),$AH$2:$AH$1001,0),0), INDEX($AO$1004:$BQ$1004,1,MATCH(COLUMNS($AO$1006:BF1006),$AO$1006:$BQ$1006,0)))),"Fix")))</f>
        <v>#N/A</v>
      </c>
      <c r="T89" s="5" t="e">
        <f ca="1">IF(OR(INDEX($AI$2:$AI$1001,MATCH(ROWS($AH$2:AH89),$AH$2:$AH$1001,0),1)&gt;=100000,INDEX($AO$1005:$BQ$1005,1,MATCH(COLUMNS($AO$1006:BG1006),$AO$1006:$BQ$1006,0))&gt;=100000), " ",IF(INDEX($AO$2:$BQ$1001,MATCH(ROWS($AH$2:AH89),$AH$2:$AH$1001,0),MATCH(COLUMNS($AO$1006:BG1006),$AO$1006:$BQ$1006,0)), HYPERLINK("#",""), HYPERLINK(CONCATENATE("#Metadata!", ADDRESS(INDEX($AJ$2:$AJ$1001,MATCH(ROWS($AH$2:AH89),$AH$2:$AH$1001,0),0), INDEX($AO$1004:$BQ$1004,1,MATCH(COLUMNS($AO$1006:BG1006),$AO$1006:$BQ$1006,0)))),"Fix")))</f>
        <v>#N/A</v>
      </c>
      <c r="U89" s="5" t="e">
        <f ca="1">IF(OR(INDEX($AI$2:$AI$1001,MATCH(ROWS($AH$2:AH89),$AH$2:$AH$1001,0),1)&gt;=100000,INDEX($AO$1005:$BQ$1005,1,MATCH(COLUMNS($AO$1006:BH1006),$AO$1006:$BQ$1006,0))&gt;=100000), " ",IF(INDEX($AO$2:$BQ$1001,MATCH(ROWS($AH$2:AH89),$AH$2:$AH$1001,0),MATCH(COLUMNS($AO$1006:BH1006),$AO$1006:$BQ$1006,0)), HYPERLINK("#",""), HYPERLINK(CONCATENATE("#Metadata!", ADDRESS(INDEX($AJ$2:$AJ$1001,MATCH(ROWS($AH$2:AH89),$AH$2:$AH$1001,0),0), INDEX($AO$1004:$BQ$1004,1,MATCH(COLUMNS($AO$1006:BH1006),$AO$1006:$BQ$1006,0)))),"Fix")))</f>
        <v>#N/A</v>
      </c>
      <c r="V89" s="5" t="e">
        <f ca="1">IF(OR(INDEX($AI$2:$AI$1001,MATCH(ROWS($AH$2:AH89),$AH$2:$AH$1001,0),1)&gt;=100000,INDEX($AO$1005:$BQ$1005,1,MATCH(COLUMNS($AO$1006:BI1006),$AO$1006:$BQ$1006,0))&gt;=100000), " ",IF(INDEX($AO$2:$BQ$1001,MATCH(ROWS($AH$2:AH89),$AH$2:$AH$1001,0),MATCH(COLUMNS($AO$1006:BI1006),$AO$1006:$BQ$1006,0)), HYPERLINK("#",""), HYPERLINK(CONCATENATE("#Metadata!", ADDRESS(INDEX($AJ$2:$AJ$1001,MATCH(ROWS($AH$2:AH89),$AH$2:$AH$1001,0),0), INDEX($AO$1004:$BQ$1004,1,MATCH(COLUMNS($AO$1006:BI1006),$AO$1006:$BQ$1006,0)))),"Fix")))</f>
        <v>#N/A</v>
      </c>
      <c r="W89" s="5" t="e">
        <f ca="1">IF(OR(INDEX($AI$2:$AI$1001,MATCH(ROWS($AH$2:AH89),$AH$2:$AH$1001,0),1)&gt;=100000,INDEX($AO$1005:$BQ$1005,1,MATCH(COLUMNS($AO$1006:BJ1006),$AO$1006:$BQ$1006,0))&gt;=100000), " ",IF(INDEX($AO$2:$BQ$1001,MATCH(ROWS($AH$2:AH89),$AH$2:$AH$1001,0),MATCH(COLUMNS($AO$1006:BJ1006),$AO$1006:$BQ$1006,0)), HYPERLINK("#",""), HYPERLINK(CONCATENATE("#Metadata!", ADDRESS(INDEX($AJ$2:$AJ$1001,MATCH(ROWS($AH$2:AH89),$AH$2:$AH$1001,0),0), INDEX($AO$1004:$BQ$1004,1,MATCH(COLUMNS($AO$1006:BJ1006),$AO$1006:$BQ$1006,0)))),"Fix")))</f>
        <v>#N/A</v>
      </c>
      <c r="X89" s="5" t="e">
        <f ca="1">IF(OR(INDEX($AI$2:$AI$1001,MATCH(ROWS($AH$2:AH89),$AH$2:$AH$1001,0),1)&gt;=100000,INDEX($AO$1005:$BQ$1005,1,MATCH(COLUMNS($AO$1006:BK1006),$AO$1006:$BQ$1006,0))&gt;=100000), " ",IF(INDEX($AO$2:$BQ$1001,MATCH(ROWS($AH$2:AH89),$AH$2:$AH$1001,0),MATCH(COLUMNS($AO$1006:BK1006),$AO$1006:$BQ$1006,0)), HYPERLINK("#",""), HYPERLINK(CONCATENATE("#Metadata!", ADDRESS(INDEX($AJ$2:$AJ$1001,MATCH(ROWS($AH$2:AH89),$AH$2:$AH$1001,0),0), INDEX($AO$1004:$BQ$1004,1,MATCH(COLUMNS($AO$1006:BK1006),$AO$1006:$BQ$1006,0)))),"Fix")))</f>
        <v>#N/A</v>
      </c>
      <c r="Y89" s="5" t="e">
        <f ca="1">IF(OR(INDEX($AI$2:$AI$1001,MATCH(ROWS($AH$2:AH89),$AH$2:$AH$1001,0),1)&gt;=100000,INDEX($AO$1005:$BQ$1005,1,MATCH(COLUMNS($AO$1006:BL1006),$AO$1006:$BQ$1006,0))&gt;=100000), " ",IF(INDEX($AO$2:$BQ$1001,MATCH(ROWS($AH$2:AH89),$AH$2:$AH$1001,0),MATCH(COLUMNS($AO$1006:BL1006),$AO$1006:$BQ$1006,0)), HYPERLINK("#",""), HYPERLINK(CONCATENATE("#Metadata!", ADDRESS(INDEX($AJ$2:$AJ$1001,MATCH(ROWS($AH$2:AH89),$AH$2:$AH$1001,0),0), INDEX($AO$1004:$BQ$1004,1,MATCH(COLUMNS($AO$1006:BL1006),$AO$1006:$BQ$1006,0)))),"Fix")))</f>
        <v>#N/A</v>
      </c>
      <c r="Z89" s="5" t="e">
        <f ca="1">IF(OR(INDEX($AI$2:$AI$1001,MATCH(ROWS($AH$2:AH89),$AH$2:$AH$1001,0),1)&gt;=100000,INDEX($AO$1005:$BQ$1005,1,MATCH(COLUMNS($AO$1006:BM1006),$AO$1006:$BQ$1006,0))&gt;=100000), " ",IF(INDEX($AO$2:$BQ$1001,MATCH(ROWS($AH$2:AH89),$AH$2:$AH$1001,0),MATCH(COLUMNS($AO$1006:BM1006),$AO$1006:$BQ$1006,0)), HYPERLINK("#",""), HYPERLINK(CONCATENATE("#Metadata!", ADDRESS(INDEX($AJ$2:$AJ$1001,MATCH(ROWS($AH$2:AH89),$AH$2:$AH$1001,0),0), INDEX($AO$1004:$BQ$1004,1,MATCH(COLUMNS($AO$1006:BM1006),$AO$1006:$BQ$1006,0)))),"Fix")))</f>
        <v>#N/A</v>
      </c>
      <c r="AA89" s="5" t="e">
        <f ca="1">IF(OR(INDEX($AI$2:$AI$1001,MATCH(ROWS($AH$2:AH89),$AH$2:$AH$1001,0),1)&gt;=100000,INDEX($AO$1005:$BQ$1005,1,MATCH(COLUMNS($AO$1006:BN1006),$AO$1006:$BQ$1006,0))&gt;=100000), " ",IF(INDEX($AO$2:$BQ$1001,MATCH(ROWS($AH$2:AH89),$AH$2:$AH$1001,0),MATCH(COLUMNS($AO$1006:BN1006),$AO$1006:$BQ$1006,0)), HYPERLINK("#",""), HYPERLINK(CONCATENATE("#Metadata!", ADDRESS(INDEX($AJ$2:$AJ$1001,MATCH(ROWS($AH$2:AH89),$AH$2:$AH$1001,0),0), INDEX($AO$1004:$BQ$1004,1,MATCH(COLUMNS($AO$1006:BN1006),$AO$1006:$BQ$1006,0)))),"Fix")))</f>
        <v>#N/A</v>
      </c>
      <c r="AB89" s="5" t="e">
        <f ca="1">IF(OR(INDEX($AI$2:$AI$1001,MATCH(ROWS($AH$2:AH89),$AH$2:$AH$1001,0),1)&gt;=100000,INDEX($AO$1005:$BQ$1005,1,MATCH(COLUMNS($AO$1006:BO1006),$AO$1006:$BQ$1006,0))&gt;=100000), " ",IF(INDEX($AO$2:$BQ$1001,MATCH(ROWS($AH$2:AH89),$AH$2:$AH$1001,0),MATCH(COLUMNS($AO$1006:BO1006),$AO$1006:$BQ$1006,0)), HYPERLINK("#",""), HYPERLINK(CONCATENATE("#Metadata!", ADDRESS(INDEX($AJ$2:$AJ$1001,MATCH(ROWS($AH$2:AH89),$AH$2:$AH$1001,0),0), INDEX($AO$1004:$BQ$1004,1,MATCH(COLUMNS($AO$1006:BO1006),$AO$1006:$BQ$1006,0)))),"Fix")))</f>
        <v>#N/A</v>
      </c>
      <c r="AC89" s="5" t="e">
        <f ca="1">IF(OR(INDEX($AI$2:$AI$1001,MATCH(ROWS($AH$2:AH89),$AH$2:$AH$1001,0),1)&gt;=100000,INDEX($AO$1005:$BQ$1005,1,MATCH(COLUMNS($AO$1006:BP1006),$AO$1006:$BQ$1006,0))&gt;=100000), " ",IF(INDEX($AO$2:$BQ$1001,MATCH(ROWS($AH$2:AH89),$AH$2:$AH$1001,0),MATCH(COLUMNS($AO$1006:BP1006),$AO$1006:$BQ$1006,0)), HYPERLINK("#",""), HYPERLINK(CONCATENATE("#Metadata!", ADDRESS(INDEX($AJ$2:$AJ$1001,MATCH(ROWS($AH$2:AH89),$AH$2:$AH$1001,0),0), INDEX($AO$1004:$BQ$1004,1,MATCH(COLUMNS($AO$1006:BP1006),$AO$1006:$BQ$1006,0)))),"Fix")))</f>
        <v>#N/A</v>
      </c>
      <c r="AD89" s="5" t="e">
        <f ca="1">IF(OR(INDEX($AI$2:$AI$1001,MATCH(ROWS($AH$2:AH89),$AH$2:$AH$1001,0),1)&gt;=100000,INDEX($AO$1005:$BQ$1005,1,MATCH(COLUMNS($AO$1006:BQ1006),$AO$1006:$BQ$1006,0))&gt;=100000), " ",IF(INDEX($AO$2:$BQ$1001,MATCH(ROWS($AH$2:AH89),$AH$2:$AH$1001,0),MATCH(COLUMNS($AO$1006:BQ1006),$AO$1006:$BQ$1006,0)), HYPERLINK("#",""), HYPERLINK(CONCATENATE("#Metadata!", ADDRESS(INDEX($AJ$2:$AJ$1001,MATCH(ROWS($AH$2:AH89),$AH$2:$AH$1001,0),0), INDEX($AO$1004:$BQ$1004,1,MATCH(COLUMNS($AO$1006:BQ1006),$AO$1006:$BQ$1006,0)))),"Fix")))</f>
        <v>#REF!</v>
      </c>
      <c r="AH89">
        <f ca="1"/>
        <v>86</v>
      </c>
      <c r="AI89">
        <v>100089</v>
      </c>
      <c r="AJ89">
        <v>89</v>
      </c>
      <c r="AK89" t="b">
        <f t="shared" si="1"/>
        <v>1</v>
      </c>
      <c r="AL89" t="b">
        <f>COUNTBLANK(Metadata!B89:AD89)=COLUMNS(Metadata!B89:AD89)</f>
        <v>1</v>
      </c>
      <c r="AM89" t="str">
        <v/>
      </c>
      <c r="AO89" t="b">
        <f ca="1">AND(IF(Metadata!B89="",FALSE,TRUE),COUNTIF(Metadata!B:B, Metadata!B89) = 1,NOT(ISERROR(SUMPRODUCT(SEARCH(MID(Metadata!B89,ROW(INDIRECT("1:"&amp;LEN(Metadata!B89))), 1),"0123456789abcdefghijklmnopqrstuvwxyzABCDEFGHIJKLMNOPQRSTUVWXYZ.")))))</f>
        <v>0</v>
      </c>
      <c r="AP89" t="b">
        <f>IF(Metadata!C89="",FALSE,TRUE)</f>
        <v>0</v>
      </c>
      <c r="AQ89" t="b">
        <f>IF(Metadata!D89="",FALSE,TRUE)</f>
        <v>0</v>
      </c>
      <c r="AR89" t="b">
        <f ca="1">OR(AND(IF(Metadata!E89="",FALSE,TRUE),OR(EXACT(Metadata!E89,"not collected"),EXACT(Metadata!E89,"not provided"),EXACT(Metadata!E89,"restricted access"))),AND(IF(Metadata!E89="",FALSE,TRUE),AND(AND(IFERROR(INT(LEFT(Metadata!E89,4))&gt;1900,FALSE),IFERROR(INT(LEFT(Metadata!E89,4))&lt;=YEAR(NOW()),FALSE)), OR(MID(Metadata!E89,5,1)="", AND(AND(MID(Metadata!E89,5,1)="-",IFERROR(INT(MID(Metadata!E89,6,1))&gt;=0,FALSE),IFERROR(INT(MID(Metadata!E89,6,1))&lt;=1,FALSE),NOT(MID(Metadata!E89,7,1)=""),IFERROR(INT(MID(Metadata!E89,6,2))&gt;=1,FALSE),IFERROR(INT(MID(Metadata!E89,6,2))&lt;=12,FALSE)), OR(MID(Metadata!E89,8,1)="", AND(AND(MID(Metadata!E89,8,1)="-",IFERROR(INT(MID(Metadata!E89,9,1))&gt;=0,FALSE),IFERROR(INT(MID(Metadata!E89,9,1))&lt;=3,FALSE),NOT(MID(Metadata!E89,10,1)=""),IFERROR(INT(MID(Metadata!E89,9,2))&gt;=1,FALSE),IFERROR(INT(MID(Metadata!E89,9,2))&lt;=31,FALSE)), OR(MID(Metadata!E89,11,1)="", AND(AND(MID(Metadata!E89,11,1)=" ",IFERROR(INT(MID(Metadata!E89,12,1))&gt;=0,FALSE),IFERROR(INT(MID(Metadata!E89,12,1))&lt;=2,FALSE),NOT(MID(Metadata!E89,13,1)=""),IFERROR(INT(MID(Metadata!E89,12,2))&gt;=0,FALSE),IFERROR(INT(MID(Metadata!E89,12,2))&lt;=23,FALSE)), OR(MID(Metadata!E89,14,1)="", AND(AND(MID(Metadata!E89,14,1)=":",IFERROR(INT(MID(Metadata!E89,15,1))&gt;=0,FALSE),IFERROR(INT(MID(Metadata!E89,15,1))&lt;=5,FALSE),NOT(MID(Metadata!E89,16,1)=""),IFERROR(INT(MID(Metadata!E89,15,2))&gt;=0,FALSE),IFERROR(INT(MID(Metadata!E89,15,2))&lt;=59,FALSE)), OR(MID(Metadata!E89,17,1)="", AND(AND(MID(Metadata!E89,17,1)=":",IFERROR(INT(MID(Metadata!E89,18,1))&gt;=0,FALSE),IFERROR(INT(MID(Metadata!E89,18,1))&lt;=5,FALSE),NOT(MID(Metadata!E89,19,1)=""),IFERROR(INT(MID(Metadata!E89,18,2))&gt;=0,FALSE),IFERROR(INT(MID(Metadata!E89,18,2))&lt;=59,FALSE)), LEN(Metadata!E89)&lt;=19)))))))))))))</f>
        <v>0</v>
      </c>
      <c r="AS89" t="b">
        <f>IF(Metadata!F89="",FALSE,TRUE)</f>
        <v>0</v>
      </c>
      <c r="AT89" t="b">
        <f>OR(AND(IF(Metadata!G89="",FALSE,TRUE),OR(EXACT(Metadata!G89,"not collected"),EXACT(Metadata!G89,"not provided"))),AND(IF(Metadata!G89="",FALSE,TRUE),OR(EXACT(Metadata!G89,"TRUE"),EXACT(Metadata!G89,"FALSE"))))</f>
        <v>0</v>
      </c>
      <c r="AU89" t="b">
        <f>OR(AND(IF(Metadata!H89="",FALSE,TRUE),OR(EXACT(Metadata!H89,"not collected"),EXACT(Metadata!H89,"not provided"),EXACT(Metadata!H89,"restricted access"))),AND(IF(Metadata!H89="",FALSE,ISNUMBER(VALUE(Metadata!H89))),Metadata!H89&gt;=-413))</f>
        <v>0</v>
      </c>
      <c r="AV89" t="b">
        <f>AND(IF(Metadata!I89="",FALSE,TRUE),EXACT(Metadata!I89,"meters"))</f>
        <v>0</v>
      </c>
      <c r="AW89" t="b">
        <f>AND(IF(Metadata!J89="",FALSE,TRUE),EXACT(Metadata!J89,"free-living"))</f>
        <v>0</v>
      </c>
      <c r="AX89" t="b">
        <f>AND(IF(Metadata!K89="",FALSE,TRUE),OR(EXACT(Metadata!K89,"saline"),EXACT(Metadata!K89,"non-saline")))</f>
        <v>0</v>
      </c>
      <c r="AY89" t="b">
        <f>AND(IF(Metadata!L89="",FALSE,TRUE),OR(EXACT(Metadata!L89,"sub-surface (non-saline)"),EXACT(Metadata!L89,"surface (non-saline)"),EXACT(Metadata!L89,"water (non-saline)"),EXACT(Metadata!L89,"soil (non-saline)"),EXACT(Metadata!L89,"aerosol (non-saline)"),EXACT(Metadata!L89,"sediment (non-saline)"),EXACT(Metadata!L89,"surface (saline)"),EXACT(Metadata!L89,"water (saline)"),EXACT(Metadata!L89,"hypersaline (saline)"),EXACT(Metadata!L89,"aerosol (saline)"),EXACT(Metadata!L89,"sediment (saline)")))</f>
        <v>0</v>
      </c>
      <c r="AZ89" t="b">
        <f>IF(Metadata!M89="",FALSE,TRUE)</f>
        <v>0</v>
      </c>
      <c r="BA89" t="b">
        <f>IF(Metadata!N89="",FALSE,TRUE)</f>
        <v>0</v>
      </c>
      <c r="BB89" t="b">
        <f>IF(Metadata!O89="",FALSE,TRUE)</f>
        <v>0</v>
      </c>
      <c r="BC89" t="b">
        <f>AND(IF(Metadata!P89="",FALSE,TRUE),OR(EXACT(Metadata!P89,"air"),EXACT(Metadata!P89,"microbial mat/biofilm"),EXACT(Metadata!P89,"misc environment"),EXACT(Metadata!P89,"sediment"),EXACT(Metadata!P89,"soil"),EXACT(Metadata!P89,"wastewater/sludge"),EXACT(Metadata!P89,"water")))</f>
        <v>0</v>
      </c>
      <c r="BD89" t="b">
        <f>IF(Metadata!Q89="",FALSE,TRUE)</f>
        <v>0</v>
      </c>
      <c r="BE89" t="b">
        <f>IF(Metadata!R89="",FALSE,TRUE)</f>
        <v>0</v>
      </c>
      <c r="BF89" t="b">
        <f>OR(AND(IF(Metadata!S89="",FALSE,TRUE),OR(EXACT(Metadata!S89,"not collected"),EXACT(Metadata!S89,"not provided"),EXACT(Metadata!S89,"restricted access"))),AND(IF(Metadata!S89="",FALSE,ISNUMBER(VALUE(Metadata!S89))),Metadata!S89&gt;=-90,Metadata!S89&lt;=90))</f>
        <v>0</v>
      </c>
      <c r="BG89" t="b">
        <f>AND(IF(Metadata!T89="",FALSE,TRUE),EXACT(Metadata!T89,"Decimal degrees"))</f>
        <v>0</v>
      </c>
      <c r="BH89" t="b">
        <f>OR(AND(IF(Metadata!U89="",FALSE,TRUE),OR(EXACT(Metadata!U89,"not applicable"),EXACT(Metadata!U89,"not collected"))),IF(Metadata!U89="",FALSE,TRUE))</f>
        <v>0</v>
      </c>
      <c r="BI89" t="b">
        <f>OR(AND(IF(Metadata!V89="",FALSE,TRUE),OR(EXACT(Metadata!V89,"not collected"),EXACT(Metadata!V89,"not provided"),EXACT(Metadata!V89,"restricted access"))),AND(IF(Metadata!V89="",FALSE,ISNUMBER(VALUE(Metadata!V89))),Metadata!V89&gt;=-180,Metadata!V89&lt;=180))</f>
        <v>0</v>
      </c>
      <c r="BJ89" t="b">
        <f>AND(IF(Metadata!W89="",FALSE,TRUE),EXACT(Metadata!W89,"Decimal degrees"))</f>
        <v>0</v>
      </c>
      <c r="BK89" t="b">
        <f>IF(Metadata!X89="",FALSE,TRUE)</f>
        <v>0</v>
      </c>
      <c r="BL89" t="b">
        <f>OR(AND(IF(Metadata!Y89="",FALSE,TRUE),OR(EXACT(Metadata!Y89,"not collected"),EXACT(Metadata!Y89,"not provided"),EXACT(Metadata!Y89,"restricted access"))),AND(IF(Metadata!Y89="",FALSE,TRUE),OR(EXACT(Metadata!Y89,"TRUE"),EXACT(Metadata!Y89,"FALSE"))))</f>
        <v>0</v>
      </c>
      <c r="BM89" t="b">
        <f>OR(AND(IF(Metadata!Z89="",FALSE,TRUE),EXACT(Metadata!Z89,"not applicable")),AND(IF(Metadata!Z89="",FALSE,TRUE),OR(EXACT(Metadata!Z89,"beer"),EXACT(Metadata!Z89,"cheese"),EXACT(Metadata!Z89,"fresh water"),EXACT(Metadata!Z89,"marine sediment"),EXACT(Metadata!Z89,"sea water"),EXACT(Metadata!Z89,"sediment"),EXACT(Metadata!Z89,"soil"),EXACT(Metadata!Z89,"waste water"))))</f>
        <v>0</v>
      </c>
      <c r="BN89" t="b">
        <f>AND(IF(Metadata!AA89="",FALSE,TRUE),EXACT(Metadata!AA89,"metagenome"))</f>
        <v>0</v>
      </c>
      <c r="BO89" t="b">
        <f>AND(IF(Metadata!AB89="",FALSE,TRUE),EXACT(Metadata!AB89,"256318"))</f>
        <v>0</v>
      </c>
      <c r="BP89" t="b">
        <f>IF(Metadata!AC89="",FALSE,TRUE)</f>
        <v>0</v>
      </c>
      <c r="BQ89" t="b">
        <f>IF(Metadata!AD89="",FALSE,TRUE)</f>
        <v>0</v>
      </c>
    </row>
    <row r="90" spans="1:69" x14ac:dyDescent="0.2">
      <c r="A90" s="4" t="e">
        <f ca="1">IF(B90=" "," ",HYPERLINK(CONCATENATE("#metadata!",ADDRESS(INDEX($AJ$2:$AJ$1001,MATCH(ROWS($AH$2:AH90),$AH$2:$AH$1001,0),0),2)),INDEX($AM$2:$AM$1001,MATCH(ROWS($AH$2:AH90),$AH$2:$AH$1001,0),0)))</f>
        <v>#N/A</v>
      </c>
      <c r="B90" s="5" t="e">
        <f ca="1">IF(OR(INDEX($AI$2:$AI$1001,MATCH(ROWS($AH$2:AH90),$AH$2:$AH$1001,0),1)&gt;=100000,INDEX($AO$1005:$BQ$1005,1,MATCH(COLUMNS($AO$1006:AO1006),$AO$1006:$BQ$1006,0))&gt;=100000), " ",IF(INDEX($AO$2:$BQ$1001,MATCH(ROWS($AH$2:AH90),$AH$2:$AH$1001,0),MATCH(COLUMNS($AO$1006:AO1006),$AO$1006:$BQ$1006,0)), HYPERLINK("#",""), HYPERLINK(CONCATENATE("#Metadata!", ADDRESS(INDEX($AJ$2:$AJ$1001,MATCH(ROWS($AH$2:AH90),$AH$2:$AH$1001,0),0), INDEX($AO$1004:$BQ$1004,1,MATCH(COLUMNS($AO$1006:AO1006),$AO$1006:$BQ$1006,0)))),"Fix")))</f>
        <v>#N/A</v>
      </c>
      <c r="C90" s="5" t="e">
        <f ca="1">IF(OR(INDEX($AI$2:$AI$1001,MATCH(ROWS($AH$2:AH90),$AH$2:$AH$1001,0),1)&gt;=100000,INDEX($AO$1005:$BQ$1005,1,MATCH(COLUMNS($AO$1006:AP1006),$AO$1006:$BQ$1006,0))&gt;=100000), " ",IF(INDEX($AO$2:$BQ$1001,MATCH(ROWS($AH$2:AH90),$AH$2:$AH$1001,0),MATCH(COLUMNS($AO$1006:AP1006),$AO$1006:$BQ$1006,0)), HYPERLINK("#",""), HYPERLINK(CONCATENATE("#Metadata!", ADDRESS(INDEX($AJ$2:$AJ$1001,MATCH(ROWS($AH$2:AH90),$AH$2:$AH$1001,0),0), INDEX($AO$1004:$BQ$1004,1,MATCH(COLUMNS($AO$1006:AP1006),$AO$1006:$BQ$1006,0)))),"Fix")))</f>
        <v>#N/A</v>
      </c>
      <c r="D90" s="5" t="e">
        <f ca="1">IF(OR(INDEX($AI$2:$AI$1001,MATCH(ROWS($AH$2:AH90),$AH$2:$AH$1001,0),1)&gt;=100000,INDEX($AO$1005:$BQ$1005,1,MATCH(COLUMNS($AO$1006:AQ1006),$AO$1006:$BQ$1006,0))&gt;=100000), " ",IF(INDEX($AO$2:$BQ$1001,MATCH(ROWS($AH$2:AH90),$AH$2:$AH$1001,0),MATCH(COLUMNS($AO$1006:AQ1006),$AO$1006:$BQ$1006,0)), HYPERLINK("#",""), HYPERLINK(CONCATENATE("#Metadata!", ADDRESS(INDEX($AJ$2:$AJ$1001,MATCH(ROWS($AH$2:AH90),$AH$2:$AH$1001,0),0), INDEX($AO$1004:$BQ$1004,1,MATCH(COLUMNS($AO$1006:AQ1006),$AO$1006:$BQ$1006,0)))),"Fix")))</f>
        <v>#N/A</v>
      </c>
      <c r="E90" s="5" t="e">
        <f ca="1">IF(OR(INDEX($AI$2:$AI$1001,MATCH(ROWS($AH$2:AH90),$AH$2:$AH$1001,0),1)&gt;=100000,INDEX($AO$1005:$BQ$1005,1,MATCH(COLUMNS($AO$1006:AR1006),$AO$1006:$BQ$1006,0))&gt;=100000), " ",IF(INDEX($AO$2:$BQ$1001,MATCH(ROWS($AH$2:AH90),$AH$2:$AH$1001,0),MATCH(COLUMNS($AO$1006:AR1006),$AO$1006:$BQ$1006,0)), HYPERLINK("#",""), HYPERLINK(CONCATENATE("#Metadata!", ADDRESS(INDEX($AJ$2:$AJ$1001,MATCH(ROWS($AH$2:AH90),$AH$2:$AH$1001,0),0), INDEX($AO$1004:$BQ$1004,1,MATCH(COLUMNS($AO$1006:AR1006),$AO$1006:$BQ$1006,0)))),"Fix")))</f>
        <v>#N/A</v>
      </c>
      <c r="F90" s="5" t="e">
        <f ca="1">IF(OR(INDEX($AI$2:$AI$1001,MATCH(ROWS($AH$2:AH90),$AH$2:$AH$1001,0),1)&gt;=100000,INDEX($AO$1005:$BQ$1005,1,MATCH(COLUMNS($AO$1006:AS1006),$AO$1006:$BQ$1006,0))&gt;=100000), " ",IF(INDEX($AO$2:$BQ$1001,MATCH(ROWS($AH$2:AH90),$AH$2:$AH$1001,0),MATCH(COLUMNS($AO$1006:AS1006),$AO$1006:$BQ$1006,0)), HYPERLINK("#",""), HYPERLINK(CONCATENATE("#Metadata!", ADDRESS(INDEX($AJ$2:$AJ$1001,MATCH(ROWS($AH$2:AH90),$AH$2:$AH$1001,0),0), INDEX($AO$1004:$BQ$1004,1,MATCH(COLUMNS($AO$1006:AS1006),$AO$1006:$BQ$1006,0)))),"Fix")))</f>
        <v>#N/A</v>
      </c>
      <c r="G90" s="5" t="e">
        <f ca="1">IF(OR(INDEX($AI$2:$AI$1001,MATCH(ROWS($AH$2:AH90),$AH$2:$AH$1001,0),1)&gt;=100000,INDEX($AO$1005:$BQ$1005,1,MATCH(COLUMNS($AO$1006:AT1006),$AO$1006:$BQ$1006,0))&gt;=100000), " ",IF(INDEX($AO$2:$BQ$1001,MATCH(ROWS($AH$2:AH90),$AH$2:$AH$1001,0),MATCH(COLUMNS($AO$1006:AT1006),$AO$1006:$BQ$1006,0)), HYPERLINK("#",""), HYPERLINK(CONCATENATE("#Metadata!", ADDRESS(INDEX($AJ$2:$AJ$1001,MATCH(ROWS($AH$2:AH90),$AH$2:$AH$1001,0),0), INDEX($AO$1004:$BQ$1004,1,MATCH(COLUMNS($AO$1006:AT1006),$AO$1006:$BQ$1006,0)))),"Fix")))</f>
        <v>#N/A</v>
      </c>
      <c r="H90" s="5" t="e">
        <f ca="1">IF(OR(INDEX($AI$2:$AI$1001,MATCH(ROWS($AH$2:AH90),$AH$2:$AH$1001,0),1)&gt;=100000,INDEX($AO$1005:$BQ$1005,1,MATCH(COLUMNS($AO$1006:AU1006),$AO$1006:$BQ$1006,0))&gt;=100000), " ",IF(INDEX($AO$2:$BQ$1001,MATCH(ROWS($AH$2:AH90),$AH$2:$AH$1001,0),MATCH(COLUMNS($AO$1006:AU1006),$AO$1006:$BQ$1006,0)), HYPERLINK("#",""), HYPERLINK(CONCATENATE("#Metadata!", ADDRESS(INDEX($AJ$2:$AJ$1001,MATCH(ROWS($AH$2:AH90),$AH$2:$AH$1001,0),0), INDEX($AO$1004:$BQ$1004,1,MATCH(COLUMNS($AO$1006:AU1006),$AO$1006:$BQ$1006,0)))),"Fix")))</f>
        <v>#N/A</v>
      </c>
      <c r="I90" s="5" t="e">
        <f ca="1">IF(OR(INDEX($AI$2:$AI$1001,MATCH(ROWS($AH$2:AH90),$AH$2:$AH$1001,0),1)&gt;=100000,INDEX($AO$1005:$BQ$1005,1,MATCH(COLUMNS($AO$1006:AV1006),$AO$1006:$BQ$1006,0))&gt;=100000), " ",IF(INDEX($AO$2:$BQ$1001,MATCH(ROWS($AH$2:AH90),$AH$2:$AH$1001,0),MATCH(COLUMNS($AO$1006:AV1006),$AO$1006:$BQ$1006,0)), HYPERLINK("#",""), HYPERLINK(CONCATENATE("#Metadata!", ADDRESS(INDEX($AJ$2:$AJ$1001,MATCH(ROWS($AH$2:AH90),$AH$2:$AH$1001,0),0), INDEX($AO$1004:$BQ$1004,1,MATCH(COLUMNS($AO$1006:AV1006),$AO$1006:$BQ$1006,0)))),"Fix")))</f>
        <v>#N/A</v>
      </c>
      <c r="J90" s="5" t="e">
        <f ca="1">IF(OR(INDEX($AI$2:$AI$1001,MATCH(ROWS($AH$2:AH90),$AH$2:$AH$1001,0),1)&gt;=100000,INDEX($AO$1005:$BQ$1005,1,MATCH(COLUMNS($AO$1006:AW1006),$AO$1006:$BQ$1006,0))&gt;=100000), " ",IF(INDEX($AO$2:$BQ$1001,MATCH(ROWS($AH$2:AH90),$AH$2:$AH$1001,0),MATCH(COLUMNS($AO$1006:AW1006),$AO$1006:$BQ$1006,0)), HYPERLINK("#",""), HYPERLINK(CONCATENATE("#Metadata!", ADDRESS(INDEX($AJ$2:$AJ$1001,MATCH(ROWS($AH$2:AH90),$AH$2:$AH$1001,0),0), INDEX($AO$1004:$BQ$1004,1,MATCH(COLUMNS($AO$1006:AW1006),$AO$1006:$BQ$1006,0)))),"Fix")))</f>
        <v>#N/A</v>
      </c>
      <c r="K90" s="5" t="e">
        <f ca="1">IF(OR(INDEX($AI$2:$AI$1001,MATCH(ROWS($AH$2:AH90),$AH$2:$AH$1001,0),1)&gt;=100000,INDEX($AO$1005:$BQ$1005,1,MATCH(COLUMNS($AO$1006:AX1006),$AO$1006:$BQ$1006,0))&gt;=100000), " ",IF(INDEX($AO$2:$BQ$1001,MATCH(ROWS($AH$2:AH90),$AH$2:$AH$1001,0),MATCH(COLUMNS($AO$1006:AX1006),$AO$1006:$BQ$1006,0)), HYPERLINK("#",""), HYPERLINK(CONCATENATE("#Metadata!", ADDRESS(INDEX($AJ$2:$AJ$1001,MATCH(ROWS($AH$2:AH90),$AH$2:$AH$1001,0),0), INDEX($AO$1004:$BQ$1004,1,MATCH(COLUMNS($AO$1006:AX1006),$AO$1006:$BQ$1006,0)))),"Fix")))</f>
        <v>#N/A</v>
      </c>
      <c r="L90" s="5" t="e">
        <f ca="1">IF(OR(INDEX($AI$2:$AI$1001,MATCH(ROWS($AH$2:AH90),$AH$2:$AH$1001,0),1)&gt;=100000,INDEX($AO$1005:$BQ$1005,1,MATCH(COLUMNS($AO$1006:AY1006),$AO$1006:$BQ$1006,0))&gt;=100000), " ",IF(INDEX($AO$2:$BQ$1001,MATCH(ROWS($AH$2:AH90),$AH$2:$AH$1001,0),MATCH(COLUMNS($AO$1006:AY1006),$AO$1006:$BQ$1006,0)), HYPERLINK("#",""), HYPERLINK(CONCATENATE("#Metadata!", ADDRESS(INDEX($AJ$2:$AJ$1001,MATCH(ROWS($AH$2:AH90),$AH$2:$AH$1001,0),0), INDEX($AO$1004:$BQ$1004,1,MATCH(COLUMNS($AO$1006:AY1006),$AO$1006:$BQ$1006,0)))),"Fix")))</f>
        <v>#N/A</v>
      </c>
      <c r="M90" s="5" t="e">
        <f ca="1">IF(OR(INDEX($AI$2:$AI$1001,MATCH(ROWS($AH$2:AH90),$AH$2:$AH$1001,0),1)&gt;=100000,INDEX($AO$1005:$BQ$1005,1,MATCH(COLUMNS($AO$1006:AZ1006),$AO$1006:$BQ$1006,0))&gt;=100000), " ",IF(INDEX($AO$2:$BQ$1001,MATCH(ROWS($AH$2:AH90),$AH$2:$AH$1001,0),MATCH(COLUMNS($AO$1006:AZ1006),$AO$1006:$BQ$1006,0)), HYPERLINK("#",""), HYPERLINK(CONCATENATE("#Metadata!", ADDRESS(INDEX($AJ$2:$AJ$1001,MATCH(ROWS($AH$2:AH90),$AH$2:$AH$1001,0),0), INDEX($AO$1004:$BQ$1004,1,MATCH(COLUMNS($AO$1006:AZ1006),$AO$1006:$BQ$1006,0)))),"Fix")))</f>
        <v>#N/A</v>
      </c>
      <c r="N90" s="5" t="e">
        <f ca="1">IF(OR(INDEX($AI$2:$AI$1001,MATCH(ROWS($AH$2:AH90),$AH$2:$AH$1001,0),1)&gt;=100000,INDEX($AO$1005:$BQ$1005,1,MATCH(COLUMNS($AO$1006:BA1006),$AO$1006:$BQ$1006,0))&gt;=100000), " ",IF(INDEX($AO$2:$BQ$1001,MATCH(ROWS($AH$2:AH90),$AH$2:$AH$1001,0),MATCH(COLUMNS($AO$1006:BA1006),$AO$1006:$BQ$1006,0)), HYPERLINK("#",""), HYPERLINK(CONCATENATE("#Metadata!", ADDRESS(INDEX($AJ$2:$AJ$1001,MATCH(ROWS($AH$2:AH90),$AH$2:$AH$1001,0),0), INDEX($AO$1004:$BQ$1004,1,MATCH(COLUMNS($AO$1006:BA1006),$AO$1006:$BQ$1006,0)))),"Fix")))</f>
        <v>#N/A</v>
      </c>
      <c r="O90" s="5" t="e">
        <f ca="1">IF(OR(INDEX($AI$2:$AI$1001,MATCH(ROWS($AH$2:AH90),$AH$2:$AH$1001,0),1)&gt;=100000,INDEX($AO$1005:$BQ$1005,1,MATCH(COLUMNS($AO$1006:BB1006),$AO$1006:$BQ$1006,0))&gt;=100000), " ",IF(INDEX($AO$2:$BQ$1001,MATCH(ROWS($AH$2:AH90),$AH$2:$AH$1001,0),MATCH(COLUMNS($AO$1006:BB1006),$AO$1006:$BQ$1006,0)), HYPERLINK("#",""), HYPERLINK(CONCATENATE("#Metadata!", ADDRESS(INDEX($AJ$2:$AJ$1001,MATCH(ROWS($AH$2:AH90),$AH$2:$AH$1001,0),0), INDEX($AO$1004:$BQ$1004,1,MATCH(COLUMNS($AO$1006:BB1006),$AO$1006:$BQ$1006,0)))),"Fix")))</f>
        <v>#N/A</v>
      </c>
      <c r="P90" s="5" t="e">
        <f ca="1">IF(OR(INDEX($AI$2:$AI$1001,MATCH(ROWS($AH$2:AH90),$AH$2:$AH$1001,0),1)&gt;=100000,INDEX($AO$1005:$BQ$1005,1,MATCH(COLUMNS($AO$1006:BC1006),$AO$1006:$BQ$1006,0))&gt;=100000), " ",IF(INDEX($AO$2:$BQ$1001,MATCH(ROWS($AH$2:AH90),$AH$2:$AH$1001,0),MATCH(COLUMNS($AO$1006:BC1006),$AO$1006:$BQ$1006,0)), HYPERLINK("#",""), HYPERLINK(CONCATENATE("#Metadata!", ADDRESS(INDEX($AJ$2:$AJ$1001,MATCH(ROWS($AH$2:AH90),$AH$2:$AH$1001,0),0), INDEX($AO$1004:$BQ$1004,1,MATCH(COLUMNS($AO$1006:BC1006),$AO$1006:$BQ$1006,0)))),"Fix")))</f>
        <v>#N/A</v>
      </c>
      <c r="Q90" s="5" t="e">
        <f ca="1">IF(OR(INDEX($AI$2:$AI$1001,MATCH(ROWS($AH$2:AH90),$AH$2:$AH$1001,0),1)&gt;=100000,INDEX($AO$1005:$BQ$1005,1,MATCH(COLUMNS($AO$1006:BD1006),$AO$1006:$BQ$1006,0))&gt;=100000), " ",IF(INDEX($AO$2:$BQ$1001,MATCH(ROWS($AH$2:AH90),$AH$2:$AH$1001,0),MATCH(COLUMNS($AO$1006:BD1006),$AO$1006:$BQ$1006,0)), HYPERLINK("#",""), HYPERLINK(CONCATENATE("#Metadata!", ADDRESS(INDEX($AJ$2:$AJ$1001,MATCH(ROWS($AH$2:AH90),$AH$2:$AH$1001,0),0), INDEX($AO$1004:$BQ$1004,1,MATCH(COLUMNS($AO$1006:BD1006),$AO$1006:$BQ$1006,0)))),"Fix")))</f>
        <v>#N/A</v>
      </c>
      <c r="R90" s="5" t="e">
        <f ca="1">IF(OR(INDEX($AI$2:$AI$1001,MATCH(ROWS($AH$2:AH90),$AH$2:$AH$1001,0),1)&gt;=100000,INDEX($AO$1005:$BQ$1005,1,MATCH(COLUMNS($AO$1006:BE1006),$AO$1006:$BQ$1006,0))&gt;=100000), " ",IF(INDEX($AO$2:$BQ$1001,MATCH(ROWS($AH$2:AH90),$AH$2:$AH$1001,0),MATCH(COLUMNS($AO$1006:BE1006),$AO$1006:$BQ$1006,0)), HYPERLINK("#",""), HYPERLINK(CONCATENATE("#Metadata!", ADDRESS(INDEX($AJ$2:$AJ$1001,MATCH(ROWS($AH$2:AH90),$AH$2:$AH$1001,0),0), INDEX($AO$1004:$BQ$1004,1,MATCH(COLUMNS($AO$1006:BE1006),$AO$1006:$BQ$1006,0)))),"Fix")))</f>
        <v>#N/A</v>
      </c>
      <c r="S90" s="5" t="e">
        <f ca="1">IF(OR(INDEX($AI$2:$AI$1001,MATCH(ROWS($AH$2:AH90),$AH$2:$AH$1001,0),1)&gt;=100000,INDEX($AO$1005:$BQ$1005,1,MATCH(COLUMNS($AO$1006:BF1006),$AO$1006:$BQ$1006,0))&gt;=100000), " ",IF(INDEX($AO$2:$BQ$1001,MATCH(ROWS($AH$2:AH90),$AH$2:$AH$1001,0),MATCH(COLUMNS($AO$1006:BF1006),$AO$1006:$BQ$1006,0)), HYPERLINK("#",""), HYPERLINK(CONCATENATE("#Metadata!", ADDRESS(INDEX($AJ$2:$AJ$1001,MATCH(ROWS($AH$2:AH90),$AH$2:$AH$1001,0),0), INDEX($AO$1004:$BQ$1004,1,MATCH(COLUMNS($AO$1006:BF1006),$AO$1006:$BQ$1006,0)))),"Fix")))</f>
        <v>#N/A</v>
      </c>
      <c r="T90" s="5" t="e">
        <f ca="1">IF(OR(INDEX($AI$2:$AI$1001,MATCH(ROWS($AH$2:AH90),$AH$2:$AH$1001,0),1)&gt;=100000,INDEX($AO$1005:$BQ$1005,1,MATCH(COLUMNS($AO$1006:BG1006),$AO$1006:$BQ$1006,0))&gt;=100000), " ",IF(INDEX($AO$2:$BQ$1001,MATCH(ROWS($AH$2:AH90),$AH$2:$AH$1001,0),MATCH(COLUMNS($AO$1006:BG1006),$AO$1006:$BQ$1006,0)), HYPERLINK("#",""), HYPERLINK(CONCATENATE("#Metadata!", ADDRESS(INDEX($AJ$2:$AJ$1001,MATCH(ROWS($AH$2:AH90),$AH$2:$AH$1001,0),0), INDEX($AO$1004:$BQ$1004,1,MATCH(COLUMNS($AO$1006:BG1006),$AO$1006:$BQ$1006,0)))),"Fix")))</f>
        <v>#N/A</v>
      </c>
      <c r="U90" s="5" t="e">
        <f ca="1">IF(OR(INDEX($AI$2:$AI$1001,MATCH(ROWS($AH$2:AH90),$AH$2:$AH$1001,0),1)&gt;=100000,INDEX($AO$1005:$BQ$1005,1,MATCH(COLUMNS($AO$1006:BH1006),$AO$1006:$BQ$1006,0))&gt;=100000), " ",IF(INDEX($AO$2:$BQ$1001,MATCH(ROWS($AH$2:AH90),$AH$2:$AH$1001,0),MATCH(COLUMNS($AO$1006:BH1006),$AO$1006:$BQ$1006,0)), HYPERLINK("#",""), HYPERLINK(CONCATENATE("#Metadata!", ADDRESS(INDEX($AJ$2:$AJ$1001,MATCH(ROWS($AH$2:AH90),$AH$2:$AH$1001,0),0), INDEX($AO$1004:$BQ$1004,1,MATCH(COLUMNS($AO$1006:BH1006),$AO$1006:$BQ$1006,0)))),"Fix")))</f>
        <v>#N/A</v>
      </c>
      <c r="V90" s="5" t="e">
        <f ca="1">IF(OR(INDEX($AI$2:$AI$1001,MATCH(ROWS($AH$2:AH90),$AH$2:$AH$1001,0),1)&gt;=100000,INDEX($AO$1005:$BQ$1005,1,MATCH(COLUMNS($AO$1006:BI1006),$AO$1006:$BQ$1006,0))&gt;=100000), " ",IF(INDEX($AO$2:$BQ$1001,MATCH(ROWS($AH$2:AH90),$AH$2:$AH$1001,0),MATCH(COLUMNS($AO$1006:BI1006),$AO$1006:$BQ$1006,0)), HYPERLINK("#",""), HYPERLINK(CONCATENATE("#Metadata!", ADDRESS(INDEX($AJ$2:$AJ$1001,MATCH(ROWS($AH$2:AH90),$AH$2:$AH$1001,0),0), INDEX($AO$1004:$BQ$1004,1,MATCH(COLUMNS($AO$1006:BI1006),$AO$1006:$BQ$1006,0)))),"Fix")))</f>
        <v>#N/A</v>
      </c>
      <c r="W90" s="5" t="e">
        <f ca="1">IF(OR(INDEX($AI$2:$AI$1001,MATCH(ROWS($AH$2:AH90),$AH$2:$AH$1001,0),1)&gt;=100000,INDEX($AO$1005:$BQ$1005,1,MATCH(COLUMNS($AO$1006:BJ1006),$AO$1006:$BQ$1006,0))&gt;=100000), " ",IF(INDEX($AO$2:$BQ$1001,MATCH(ROWS($AH$2:AH90),$AH$2:$AH$1001,0),MATCH(COLUMNS($AO$1006:BJ1006),$AO$1006:$BQ$1006,0)), HYPERLINK("#",""), HYPERLINK(CONCATENATE("#Metadata!", ADDRESS(INDEX($AJ$2:$AJ$1001,MATCH(ROWS($AH$2:AH90),$AH$2:$AH$1001,0),0), INDEX($AO$1004:$BQ$1004,1,MATCH(COLUMNS($AO$1006:BJ1006),$AO$1006:$BQ$1006,0)))),"Fix")))</f>
        <v>#N/A</v>
      </c>
      <c r="X90" s="5" t="e">
        <f ca="1">IF(OR(INDEX($AI$2:$AI$1001,MATCH(ROWS($AH$2:AH90),$AH$2:$AH$1001,0),1)&gt;=100000,INDEX($AO$1005:$BQ$1005,1,MATCH(COLUMNS($AO$1006:BK1006),$AO$1006:$BQ$1006,0))&gt;=100000), " ",IF(INDEX($AO$2:$BQ$1001,MATCH(ROWS($AH$2:AH90),$AH$2:$AH$1001,0),MATCH(COLUMNS($AO$1006:BK1006),$AO$1006:$BQ$1006,0)), HYPERLINK("#",""), HYPERLINK(CONCATENATE("#Metadata!", ADDRESS(INDEX($AJ$2:$AJ$1001,MATCH(ROWS($AH$2:AH90),$AH$2:$AH$1001,0),0), INDEX($AO$1004:$BQ$1004,1,MATCH(COLUMNS($AO$1006:BK1006),$AO$1006:$BQ$1006,0)))),"Fix")))</f>
        <v>#N/A</v>
      </c>
      <c r="Y90" s="5" t="e">
        <f ca="1">IF(OR(INDEX($AI$2:$AI$1001,MATCH(ROWS($AH$2:AH90),$AH$2:$AH$1001,0),1)&gt;=100000,INDEX($AO$1005:$BQ$1005,1,MATCH(COLUMNS($AO$1006:BL1006),$AO$1006:$BQ$1006,0))&gt;=100000), " ",IF(INDEX($AO$2:$BQ$1001,MATCH(ROWS($AH$2:AH90),$AH$2:$AH$1001,0),MATCH(COLUMNS($AO$1006:BL1006),$AO$1006:$BQ$1006,0)), HYPERLINK("#",""), HYPERLINK(CONCATENATE("#Metadata!", ADDRESS(INDEX($AJ$2:$AJ$1001,MATCH(ROWS($AH$2:AH90),$AH$2:$AH$1001,0),0), INDEX($AO$1004:$BQ$1004,1,MATCH(COLUMNS($AO$1006:BL1006),$AO$1006:$BQ$1006,0)))),"Fix")))</f>
        <v>#N/A</v>
      </c>
      <c r="Z90" s="5" t="e">
        <f ca="1">IF(OR(INDEX($AI$2:$AI$1001,MATCH(ROWS($AH$2:AH90),$AH$2:$AH$1001,0),1)&gt;=100000,INDEX($AO$1005:$BQ$1005,1,MATCH(COLUMNS($AO$1006:BM1006),$AO$1006:$BQ$1006,0))&gt;=100000), " ",IF(INDEX($AO$2:$BQ$1001,MATCH(ROWS($AH$2:AH90),$AH$2:$AH$1001,0),MATCH(COLUMNS($AO$1006:BM1006),$AO$1006:$BQ$1006,0)), HYPERLINK("#",""), HYPERLINK(CONCATENATE("#Metadata!", ADDRESS(INDEX($AJ$2:$AJ$1001,MATCH(ROWS($AH$2:AH90),$AH$2:$AH$1001,0),0), INDEX($AO$1004:$BQ$1004,1,MATCH(COLUMNS($AO$1006:BM1006),$AO$1006:$BQ$1006,0)))),"Fix")))</f>
        <v>#N/A</v>
      </c>
      <c r="AA90" s="5" t="e">
        <f ca="1">IF(OR(INDEX($AI$2:$AI$1001,MATCH(ROWS($AH$2:AH90),$AH$2:$AH$1001,0),1)&gt;=100000,INDEX($AO$1005:$BQ$1005,1,MATCH(COLUMNS($AO$1006:BN1006),$AO$1006:$BQ$1006,0))&gt;=100000), " ",IF(INDEX($AO$2:$BQ$1001,MATCH(ROWS($AH$2:AH90),$AH$2:$AH$1001,0),MATCH(COLUMNS($AO$1006:BN1006),$AO$1006:$BQ$1006,0)), HYPERLINK("#",""), HYPERLINK(CONCATENATE("#Metadata!", ADDRESS(INDEX($AJ$2:$AJ$1001,MATCH(ROWS($AH$2:AH90),$AH$2:$AH$1001,0),0), INDEX($AO$1004:$BQ$1004,1,MATCH(COLUMNS($AO$1006:BN1006),$AO$1006:$BQ$1006,0)))),"Fix")))</f>
        <v>#N/A</v>
      </c>
      <c r="AB90" s="5" t="e">
        <f ca="1">IF(OR(INDEX($AI$2:$AI$1001,MATCH(ROWS($AH$2:AH90),$AH$2:$AH$1001,0),1)&gt;=100000,INDEX($AO$1005:$BQ$1005,1,MATCH(COLUMNS($AO$1006:BO1006),$AO$1006:$BQ$1006,0))&gt;=100000), " ",IF(INDEX($AO$2:$BQ$1001,MATCH(ROWS($AH$2:AH90),$AH$2:$AH$1001,0),MATCH(COLUMNS($AO$1006:BO1006),$AO$1006:$BQ$1006,0)), HYPERLINK("#",""), HYPERLINK(CONCATENATE("#Metadata!", ADDRESS(INDEX($AJ$2:$AJ$1001,MATCH(ROWS($AH$2:AH90),$AH$2:$AH$1001,0),0), INDEX($AO$1004:$BQ$1004,1,MATCH(COLUMNS($AO$1006:BO1006),$AO$1006:$BQ$1006,0)))),"Fix")))</f>
        <v>#N/A</v>
      </c>
      <c r="AC90" s="5" t="e">
        <f ca="1">IF(OR(INDEX($AI$2:$AI$1001,MATCH(ROWS($AH$2:AH90),$AH$2:$AH$1001,0),1)&gt;=100000,INDEX($AO$1005:$BQ$1005,1,MATCH(COLUMNS($AO$1006:BP1006),$AO$1006:$BQ$1006,0))&gt;=100000), " ",IF(INDEX($AO$2:$BQ$1001,MATCH(ROWS($AH$2:AH90),$AH$2:$AH$1001,0),MATCH(COLUMNS($AO$1006:BP1006),$AO$1006:$BQ$1006,0)), HYPERLINK("#",""), HYPERLINK(CONCATENATE("#Metadata!", ADDRESS(INDEX($AJ$2:$AJ$1001,MATCH(ROWS($AH$2:AH90),$AH$2:$AH$1001,0),0), INDEX($AO$1004:$BQ$1004,1,MATCH(COLUMNS($AO$1006:BP1006),$AO$1006:$BQ$1006,0)))),"Fix")))</f>
        <v>#N/A</v>
      </c>
      <c r="AD90" s="5" t="e">
        <f ca="1">IF(OR(INDEX($AI$2:$AI$1001,MATCH(ROWS($AH$2:AH90),$AH$2:$AH$1001,0),1)&gt;=100000,INDEX($AO$1005:$BQ$1005,1,MATCH(COLUMNS($AO$1006:BQ1006),$AO$1006:$BQ$1006,0))&gt;=100000), " ",IF(INDEX($AO$2:$BQ$1001,MATCH(ROWS($AH$2:AH90),$AH$2:$AH$1001,0),MATCH(COLUMNS($AO$1006:BQ1006),$AO$1006:$BQ$1006,0)), HYPERLINK("#",""), HYPERLINK(CONCATENATE("#Metadata!", ADDRESS(INDEX($AJ$2:$AJ$1001,MATCH(ROWS($AH$2:AH90),$AH$2:$AH$1001,0),0), INDEX($AO$1004:$BQ$1004,1,MATCH(COLUMNS($AO$1006:BQ1006),$AO$1006:$BQ$1006,0)))),"Fix")))</f>
        <v>#REF!</v>
      </c>
      <c r="AH90">
        <f ca="1"/>
        <v>87</v>
      </c>
      <c r="AI90">
        <v>100090</v>
      </c>
      <c r="AJ90">
        <v>90</v>
      </c>
      <c r="AK90" t="b">
        <f t="shared" si="1"/>
        <v>1</v>
      </c>
      <c r="AL90" t="b">
        <f>COUNTBLANK(Metadata!B90:AD90)=COLUMNS(Metadata!B90:AD90)</f>
        <v>1</v>
      </c>
      <c r="AM90" t="str">
        <v/>
      </c>
      <c r="AO90" t="b">
        <f ca="1">AND(IF(Metadata!B90="",FALSE,TRUE),COUNTIF(Metadata!B:B, Metadata!B90) = 1,NOT(ISERROR(SUMPRODUCT(SEARCH(MID(Metadata!B90,ROW(INDIRECT("1:"&amp;LEN(Metadata!B90))), 1),"0123456789abcdefghijklmnopqrstuvwxyzABCDEFGHIJKLMNOPQRSTUVWXYZ.")))))</f>
        <v>0</v>
      </c>
      <c r="AP90" t="b">
        <f>IF(Metadata!C90="",FALSE,TRUE)</f>
        <v>0</v>
      </c>
      <c r="AQ90" t="b">
        <f>IF(Metadata!D90="",FALSE,TRUE)</f>
        <v>0</v>
      </c>
      <c r="AR90" t="b">
        <f ca="1">OR(AND(IF(Metadata!E90="",FALSE,TRUE),OR(EXACT(Metadata!E90,"not collected"),EXACT(Metadata!E90,"not provided"),EXACT(Metadata!E90,"restricted access"))),AND(IF(Metadata!E90="",FALSE,TRUE),AND(AND(IFERROR(INT(LEFT(Metadata!E90,4))&gt;1900,FALSE),IFERROR(INT(LEFT(Metadata!E90,4))&lt;=YEAR(NOW()),FALSE)), OR(MID(Metadata!E90,5,1)="", AND(AND(MID(Metadata!E90,5,1)="-",IFERROR(INT(MID(Metadata!E90,6,1))&gt;=0,FALSE),IFERROR(INT(MID(Metadata!E90,6,1))&lt;=1,FALSE),NOT(MID(Metadata!E90,7,1)=""),IFERROR(INT(MID(Metadata!E90,6,2))&gt;=1,FALSE),IFERROR(INT(MID(Metadata!E90,6,2))&lt;=12,FALSE)), OR(MID(Metadata!E90,8,1)="", AND(AND(MID(Metadata!E90,8,1)="-",IFERROR(INT(MID(Metadata!E90,9,1))&gt;=0,FALSE),IFERROR(INT(MID(Metadata!E90,9,1))&lt;=3,FALSE),NOT(MID(Metadata!E90,10,1)=""),IFERROR(INT(MID(Metadata!E90,9,2))&gt;=1,FALSE),IFERROR(INT(MID(Metadata!E90,9,2))&lt;=31,FALSE)), OR(MID(Metadata!E90,11,1)="", AND(AND(MID(Metadata!E90,11,1)=" ",IFERROR(INT(MID(Metadata!E90,12,1))&gt;=0,FALSE),IFERROR(INT(MID(Metadata!E90,12,1))&lt;=2,FALSE),NOT(MID(Metadata!E90,13,1)=""),IFERROR(INT(MID(Metadata!E90,12,2))&gt;=0,FALSE),IFERROR(INT(MID(Metadata!E90,12,2))&lt;=23,FALSE)), OR(MID(Metadata!E90,14,1)="", AND(AND(MID(Metadata!E90,14,1)=":",IFERROR(INT(MID(Metadata!E90,15,1))&gt;=0,FALSE),IFERROR(INT(MID(Metadata!E90,15,1))&lt;=5,FALSE),NOT(MID(Metadata!E90,16,1)=""),IFERROR(INT(MID(Metadata!E90,15,2))&gt;=0,FALSE),IFERROR(INT(MID(Metadata!E90,15,2))&lt;=59,FALSE)), OR(MID(Metadata!E90,17,1)="", AND(AND(MID(Metadata!E90,17,1)=":",IFERROR(INT(MID(Metadata!E90,18,1))&gt;=0,FALSE),IFERROR(INT(MID(Metadata!E90,18,1))&lt;=5,FALSE),NOT(MID(Metadata!E90,19,1)=""),IFERROR(INT(MID(Metadata!E90,18,2))&gt;=0,FALSE),IFERROR(INT(MID(Metadata!E90,18,2))&lt;=59,FALSE)), LEN(Metadata!E90)&lt;=19)))))))))))))</f>
        <v>0</v>
      </c>
      <c r="AS90" t="b">
        <f>IF(Metadata!F90="",FALSE,TRUE)</f>
        <v>0</v>
      </c>
      <c r="AT90" t="b">
        <f>OR(AND(IF(Metadata!G90="",FALSE,TRUE),OR(EXACT(Metadata!G90,"not collected"),EXACT(Metadata!G90,"not provided"))),AND(IF(Metadata!G90="",FALSE,TRUE),OR(EXACT(Metadata!G90,"TRUE"),EXACT(Metadata!G90,"FALSE"))))</f>
        <v>0</v>
      </c>
      <c r="AU90" t="b">
        <f>OR(AND(IF(Metadata!H90="",FALSE,TRUE),OR(EXACT(Metadata!H90,"not collected"),EXACT(Metadata!H90,"not provided"),EXACT(Metadata!H90,"restricted access"))),AND(IF(Metadata!H90="",FALSE,ISNUMBER(VALUE(Metadata!H90))),Metadata!H90&gt;=-413))</f>
        <v>0</v>
      </c>
      <c r="AV90" t="b">
        <f>AND(IF(Metadata!I90="",FALSE,TRUE),EXACT(Metadata!I90,"meters"))</f>
        <v>0</v>
      </c>
      <c r="AW90" t="b">
        <f>AND(IF(Metadata!J90="",FALSE,TRUE),EXACT(Metadata!J90,"free-living"))</f>
        <v>0</v>
      </c>
      <c r="AX90" t="b">
        <f>AND(IF(Metadata!K90="",FALSE,TRUE),OR(EXACT(Metadata!K90,"saline"),EXACT(Metadata!K90,"non-saline")))</f>
        <v>0</v>
      </c>
      <c r="AY90" t="b">
        <f>AND(IF(Metadata!L90="",FALSE,TRUE),OR(EXACT(Metadata!L90,"sub-surface (non-saline)"),EXACT(Metadata!L90,"surface (non-saline)"),EXACT(Metadata!L90,"water (non-saline)"),EXACT(Metadata!L90,"soil (non-saline)"),EXACT(Metadata!L90,"aerosol (non-saline)"),EXACT(Metadata!L90,"sediment (non-saline)"),EXACT(Metadata!L90,"surface (saline)"),EXACT(Metadata!L90,"water (saline)"),EXACT(Metadata!L90,"hypersaline (saline)"),EXACT(Metadata!L90,"aerosol (saline)"),EXACT(Metadata!L90,"sediment (saline)")))</f>
        <v>0</v>
      </c>
      <c r="AZ90" t="b">
        <f>IF(Metadata!M90="",FALSE,TRUE)</f>
        <v>0</v>
      </c>
      <c r="BA90" t="b">
        <f>IF(Metadata!N90="",FALSE,TRUE)</f>
        <v>0</v>
      </c>
      <c r="BB90" t="b">
        <f>IF(Metadata!O90="",FALSE,TRUE)</f>
        <v>0</v>
      </c>
      <c r="BC90" t="b">
        <f>AND(IF(Metadata!P90="",FALSE,TRUE),OR(EXACT(Metadata!P90,"air"),EXACT(Metadata!P90,"microbial mat/biofilm"),EXACT(Metadata!P90,"misc environment"),EXACT(Metadata!P90,"sediment"),EXACT(Metadata!P90,"soil"),EXACT(Metadata!P90,"wastewater/sludge"),EXACT(Metadata!P90,"water")))</f>
        <v>0</v>
      </c>
      <c r="BD90" t="b">
        <f>IF(Metadata!Q90="",FALSE,TRUE)</f>
        <v>0</v>
      </c>
      <c r="BE90" t="b">
        <f>IF(Metadata!R90="",FALSE,TRUE)</f>
        <v>0</v>
      </c>
      <c r="BF90" t="b">
        <f>OR(AND(IF(Metadata!S90="",FALSE,TRUE),OR(EXACT(Metadata!S90,"not collected"),EXACT(Metadata!S90,"not provided"),EXACT(Metadata!S90,"restricted access"))),AND(IF(Metadata!S90="",FALSE,ISNUMBER(VALUE(Metadata!S90))),Metadata!S90&gt;=-90,Metadata!S90&lt;=90))</f>
        <v>0</v>
      </c>
      <c r="BG90" t="b">
        <f>AND(IF(Metadata!T90="",FALSE,TRUE),EXACT(Metadata!T90,"Decimal degrees"))</f>
        <v>0</v>
      </c>
      <c r="BH90" t="b">
        <f>OR(AND(IF(Metadata!U90="",FALSE,TRUE),OR(EXACT(Metadata!U90,"not applicable"),EXACT(Metadata!U90,"not collected"))),IF(Metadata!U90="",FALSE,TRUE))</f>
        <v>0</v>
      </c>
      <c r="BI90" t="b">
        <f>OR(AND(IF(Metadata!V90="",FALSE,TRUE),OR(EXACT(Metadata!V90,"not collected"),EXACT(Metadata!V90,"not provided"),EXACT(Metadata!V90,"restricted access"))),AND(IF(Metadata!V90="",FALSE,ISNUMBER(VALUE(Metadata!V90))),Metadata!V90&gt;=-180,Metadata!V90&lt;=180))</f>
        <v>0</v>
      </c>
      <c r="BJ90" t="b">
        <f>AND(IF(Metadata!W90="",FALSE,TRUE),EXACT(Metadata!W90,"Decimal degrees"))</f>
        <v>0</v>
      </c>
      <c r="BK90" t="b">
        <f>IF(Metadata!X90="",FALSE,TRUE)</f>
        <v>0</v>
      </c>
      <c r="BL90" t="b">
        <f>OR(AND(IF(Metadata!Y90="",FALSE,TRUE),OR(EXACT(Metadata!Y90,"not collected"),EXACT(Metadata!Y90,"not provided"),EXACT(Metadata!Y90,"restricted access"))),AND(IF(Metadata!Y90="",FALSE,TRUE),OR(EXACT(Metadata!Y90,"TRUE"),EXACT(Metadata!Y90,"FALSE"))))</f>
        <v>0</v>
      </c>
      <c r="BM90" t="b">
        <f>OR(AND(IF(Metadata!Z90="",FALSE,TRUE),EXACT(Metadata!Z90,"not applicable")),AND(IF(Metadata!Z90="",FALSE,TRUE),OR(EXACT(Metadata!Z90,"beer"),EXACT(Metadata!Z90,"cheese"),EXACT(Metadata!Z90,"fresh water"),EXACT(Metadata!Z90,"marine sediment"),EXACT(Metadata!Z90,"sea water"),EXACT(Metadata!Z90,"sediment"),EXACT(Metadata!Z90,"soil"),EXACT(Metadata!Z90,"waste water"))))</f>
        <v>0</v>
      </c>
      <c r="BN90" t="b">
        <f>AND(IF(Metadata!AA90="",FALSE,TRUE),EXACT(Metadata!AA90,"metagenome"))</f>
        <v>0</v>
      </c>
      <c r="BO90" t="b">
        <f>AND(IF(Metadata!AB90="",FALSE,TRUE),EXACT(Metadata!AB90,"256318"))</f>
        <v>0</v>
      </c>
      <c r="BP90" t="b">
        <f>IF(Metadata!AC90="",FALSE,TRUE)</f>
        <v>0</v>
      </c>
      <c r="BQ90" t="b">
        <f>IF(Metadata!AD90="",FALSE,TRUE)</f>
        <v>0</v>
      </c>
    </row>
    <row r="91" spans="1:69" x14ac:dyDescent="0.2">
      <c r="A91" s="4" t="e">
        <f ca="1">IF(B91=" "," ",HYPERLINK(CONCATENATE("#metadata!",ADDRESS(INDEX($AJ$2:$AJ$1001,MATCH(ROWS($AH$2:AH91),$AH$2:$AH$1001,0),0),2)),INDEX($AM$2:$AM$1001,MATCH(ROWS($AH$2:AH91),$AH$2:$AH$1001,0),0)))</f>
        <v>#N/A</v>
      </c>
      <c r="B91" s="5" t="e">
        <f ca="1">IF(OR(INDEX($AI$2:$AI$1001,MATCH(ROWS($AH$2:AH91),$AH$2:$AH$1001,0),1)&gt;=100000,INDEX($AO$1005:$BQ$1005,1,MATCH(COLUMNS($AO$1006:AO1006),$AO$1006:$BQ$1006,0))&gt;=100000), " ",IF(INDEX($AO$2:$BQ$1001,MATCH(ROWS($AH$2:AH91),$AH$2:$AH$1001,0),MATCH(COLUMNS($AO$1006:AO1006),$AO$1006:$BQ$1006,0)), HYPERLINK("#",""), HYPERLINK(CONCATENATE("#Metadata!", ADDRESS(INDEX($AJ$2:$AJ$1001,MATCH(ROWS($AH$2:AH91),$AH$2:$AH$1001,0),0), INDEX($AO$1004:$BQ$1004,1,MATCH(COLUMNS($AO$1006:AO1006),$AO$1006:$BQ$1006,0)))),"Fix")))</f>
        <v>#N/A</v>
      </c>
      <c r="C91" s="5" t="e">
        <f ca="1">IF(OR(INDEX($AI$2:$AI$1001,MATCH(ROWS($AH$2:AH91),$AH$2:$AH$1001,0),1)&gt;=100000,INDEX($AO$1005:$BQ$1005,1,MATCH(COLUMNS($AO$1006:AP1006),$AO$1006:$BQ$1006,0))&gt;=100000), " ",IF(INDEX($AO$2:$BQ$1001,MATCH(ROWS($AH$2:AH91),$AH$2:$AH$1001,0),MATCH(COLUMNS($AO$1006:AP1006),$AO$1006:$BQ$1006,0)), HYPERLINK("#",""), HYPERLINK(CONCATENATE("#Metadata!", ADDRESS(INDEX($AJ$2:$AJ$1001,MATCH(ROWS($AH$2:AH91),$AH$2:$AH$1001,0),0), INDEX($AO$1004:$BQ$1004,1,MATCH(COLUMNS($AO$1006:AP1006),$AO$1006:$BQ$1006,0)))),"Fix")))</f>
        <v>#N/A</v>
      </c>
      <c r="D91" s="5" t="e">
        <f ca="1">IF(OR(INDEX($AI$2:$AI$1001,MATCH(ROWS($AH$2:AH91),$AH$2:$AH$1001,0),1)&gt;=100000,INDEX($AO$1005:$BQ$1005,1,MATCH(COLUMNS($AO$1006:AQ1006),$AO$1006:$BQ$1006,0))&gt;=100000), " ",IF(INDEX($AO$2:$BQ$1001,MATCH(ROWS($AH$2:AH91),$AH$2:$AH$1001,0),MATCH(COLUMNS($AO$1006:AQ1006),$AO$1006:$BQ$1006,0)), HYPERLINK("#",""), HYPERLINK(CONCATENATE("#Metadata!", ADDRESS(INDEX($AJ$2:$AJ$1001,MATCH(ROWS($AH$2:AH91),$AH$2:$AH$1001,0),0), INDEX($AO$1004:$BQ$1004,1,MATCH(COLUMNS($AO$1006:AQ1006),$AO$1006:$BQ$1006,0)))),"Fix")))</f>
        <v>#N/A</v>
      </c>
      <c r="E91" s="5" t="e">
        <f ca="1">IF(OR(INDEX($AI$2:$AI$1001,MATCH(ROWS($AH$2:AH91),$AH$2:$AH$1001,0),1)&gt;=100000,INDEX($AO$1005:$BQ$1005,1,MATCH(COLUMNS($AO$1006:AR1006),$AO$1006:$BQ$1006,0))&gt;=100000), " ",IF(INDEX($AO$2:$BQ$1001,MATCH(ROWS($AH$2:AH91),$AH$2:$AH$1001,0),MATCH(COLUMNS($AO$1006:AR1006),$AO$1006:$BQ$1006,0)), HYPERLINK("#",""), HYPERLINK(CONCATENATE("#Metadata!", ADDRESS(INDEX($AJ$2:$AJ$1001,MATCH(ROWS($AH$2:AH91),$AH$2:$AH$1001,0),0), INDEX($AO$1004:$BQ$1004,1,MATCH(COLUMNS($AO$1006:AR1006),$AO$1006:$BQ$1006,0)))),"Fix")))</f>
        <v>#N/A</v>
      </c>
      <c r="F91" s="5" t="e">
        <f ca="1">IF(OR(INDEX($AI$2:$AI$1001,MATCH(ROWS($AH$2:AH91),$AH$2:$AH$1001,0),1)&gt;=100000,INDEX($AO$1005:$BQ$1005,1,MATCH(COLUMNS($AO$1006:AS1006),$AO$1006:$BQ$1006,0))&gt;=100000), " ",IF(INDEX($AO$2:$BQ$1001,MATCH(ROWS($AH$2:AH91),$AH$2:$AH$1001,0),MATCH(COLUMNS($AO$1006:AS1006),$AO$1006:$BQ$1006,0)), HYPERLINK("#",""), HYPERLINK(CONCATENATE("#Metadata!", ADDRESS(INDEX($AJ$2:$AJ$1001,MATCH(ROWS($AH$2:AH91),$AH$2:$AH$1001,0),0), INDEX($AO$1004:$BQ$1004,1,MATCH(COLUMNS($AO$1006:AS1006),$AO$1006:$BQ$1006,0)))),"Fix")))</f>
        <v>#N/A</v>
      </c>
      <c r="G91" s="5" t="e">
        <f ca="1">IF(OR(INDEX($AI$2:$AI$1001,MATCH(ROWS($AH$2:AH91),$AH$2:$AH$1001,0),1)&gt;=100000,INDEX($AO$1005:$BQ$1005,1,MATCH(COLUMNS($AO$1006:AT1006),$AO$1006:$BQ$1006,0))&gt;=100000), " ",IF(INDEX($AO$2:$BQ$1001,MATCH(ROWS($AH$2:AH91),$AH$2:$AH$1001,0),MATCH(COLUMNS($AO$1006:AT1006),$AO$1006:$BQ$1006,0)), HYPERLINK("#",""), HYPERLINK(CONCATENATE("#Metadata!", ADDRESS(INDEX($AJ$2:$AJ$1001,MATCH(ROWS($AH$2:AH91),$AH$2:$AH$1001,0),0), INDEX($AO$1004:$BQ$1004,1,MATCH(COLUMNS($AO$1006:AT1006),$AO$1006:$BQ$1006,0)))),"Fix")))</f>
        <v>#N/A</v>
      </c>
      <c r="H91" s="5" t="e">
        <f ca="1">IF(OR(INDEX($AI$2:$AI$1001,MATCH(ROWS($AH$2:AH91),$AH$2:$AH$1001,0),1)&gt;=100000,INDEX($AO$1005:$BQ$1005,1,MATCH(COLUMNS($AO$1006:AU1006),$AO$1006:$BQ$1006,0))&gt;=100000), " ",IF(INDEX($AO$2:$BQ$1001,MATCH(ROWS($AH$2:AH91),$AH$2:$AH$1001,0),MATCH(COLUMNS($AO$1006:AU1006),$AO$1006:$BQ$1006,0)), HYPERLINK("#",""), HYPERLINK(CONCATENATE("#Metadata!", ADDRESS(INDEX($AJ$2:$AJ$1001,MATCH(ROWS($AH$2:AH91),$AH$2:$AH$1001,0),0), INDEX($AO$1004:$BQ$1004,1,MATCH(COLUMNS($AO$1006:AU1006),$AO$1006:$BQ$1006,0)))),"Fix")))</f>
        <v>#N/A</v>
      </c>
      <c r="I91" s="5" t="e">
        <f ca="1">IF(OR(INDEX($AI$2:$AI$1001,MATCH(ROWS($AH$2:AH91),$AH$2:$AH$1001,0),1)&gt;=100000,INDEX($AO$1005:$BQ$1005,1,MATCH(COLUMNS($AO$1006:AV1006),$AO$1006:$BQ$1006,0))&gt;=100000), " ",IF(INDEX($AO$2:$BQ$1001,MATCH(ROWS($AH$2:AH91),$AH$2:$AH$1001,0),MATCH(COLUMNS($AO$1006:AV1006),$AO$1006:$BQ$1006,0)), HYPERLINK("#",""), HYPERLINK(CONCATENATE("#Metadata!", ADDRESS(INDEX($AJ$2:$AJ$1001,MATCH(ROWS($AH$2:AH91),$AH$2:$AH$1001,0),0), INDEX($AO$1004:$BQ$1004,1,MATCH(COLUMNS($AO$1006:AV1006),$AO$1006:$BQ$1006,0)))),"Fix")))</f>
        <v>#N/A</v>
      </c>
      <c r="J91" s="5" t="e">
        <f ca="1">IF(OR(INDEX($AI$2:$AI$1001,MATCH(ROWS($AH$2:AH91),$AH$2:$AH$1001,0),1)&gt;=100000,INDEX($AO$1005:$BQ$1005,1,MATCH(COLUMNS($AO$1006:AW1006),$AO$1006:$BQ$1006,0))&gt;=100000), " ",IF(INDEX($AO$2:$BQ$1001,MATCH(ROWS($AH$2:AH91),$AH$2:$AH$1001,0),MATCH(COLUMNS($AO$1006:AW1006),$AO$1006:$BQ$1006,0)), HYPERLINK("#",""), HYPERLINK(CONCATENATE("#Metadata!", ADDRESS(INDEX($AJ$2:$AJ$1001,MATCH(ROWS($AH$2:AH91),$AH$2:$AH$1001,0),0), INDEX($AO$1004:$BQ$1004,1,MATCH(COLUMNS($AO$1006:AW1006),$AO$1006:$BQ$1006,0)))),"Fix")))</f>
        <v>#N/A</v>
      </c>
      <c r="K91" s="5" t="e">
        <f ca="1">IF(OR(INDEX($AI$2:$AI$1001,MATCH(ROWS($AH$2:AH91),$AH$2:$AH$1001,0),1)&gt;=100000,INDEX($AO$1005:$BQ$1005,1,MATCH(COLUMNS($AO$1006:AX1006),$AO$1006:$BQ$1006,0))&gt;=100000), " ",IF(INDEX($AO$2:$BQ$1001,MATCH(ROWS($AH$2:AH91),$AH$2:$AH$1001,0),MATCH(COLUMNS($AO$1006:AX1006),$AO$1006:$BQ$1006,0)), HYPERLINK("#",""), HYPERLINK(CONCATENATE("#Metadata!", ADDRESS(INDEX($AJ$2:$AJ$1001,MATCH(ROWS($AH$2:AH91),$AH$2:$AH$1001,0),0), INDEX($AO$1004:$BQ$1004,1,MATCH(COLUMNS($AO$1006:AX1006),$AO$1006:$BQ$1006,0)))),"Fix")))</f>
        <v>#N/A</v>
      </c>
      <c r="L91" s="5" t="e">
        <f ca="1">IF(OR(INDEX($AI$2:$AI$1001,MATCH(ROWS($AH$2:AH91),$AH$2:$AH$1001,0),1)&gt;=100000,INDEX($AO$1005:$BQ$1005,1,MATCH(COLUMNS($AO$1006:AY1006),$AO$1006:$BQ$1006,0))&gt;=100000), " ",IF(INDEX($AO$2:$BQ$1001,MATCH(ROWS($AH$2:AH91),$AH$2:$AH$1001,0),MATCH(COLUMNS($AO$1006:AY1006),$AO$1006:$BQ$1006,0)), HYPERLINK("#",""), HYPERLINK(CONCATENATE("#Metadata!", ADDRESS(INDEX($AJ$2:$AJ$1001,MATCH(ROWS($AH$2:AH91),$AH$2:$AH$1001,0),0), INDEX($AO$1004:$BQ$1004,1,MATCH(COLUMNS($AO$1006:AY1006),$AO$1006:$BQ$1006,0)))),"Fix")))</f>
        <v>#N/A</v>
      </c>
      <c r="M91" s="5" t="e">
        <f ca="1">IF(OR(INDEX($AI$2:$AI$1001,MATCH(ROWS($AH$2:AH91),$AH$2:$AH$1001,0),1)&gt;=100000,INDEX($AO$1005:$BQ$1005,1,MATCH(COLUMNS($AO$1006:AZ1006),$AO$1006:$BQ$1006,0))&gt;=100000), " ",IF(INDEX($AO$2:$BQ$1001,MATCH(ROWS($AH$2:AH91),$AH$2:$AH$1001,0),MATCH(COLUMNS($AO$1006:AZ1006),$AO$1006:$BQ$1006,0)), HYPERLINK("#",""), HYPERLINK(CONCATENATE("#Metadata!", ADDRESS(INDEX($AJ$2:$AJ$1001,MATCH(ROWS($AH$2:AH91),$AH$2:$AH$1001,0),0), INDEX($AO$1004:$BQ$1004,1,MATCH(COLUMNS($AO$1006:AZ1006),$AO$1006:$BQ$1006,0)))),"Fix")))</f>
        <v>#N/A</v>
      </c>
      <c r="N91" s="5" t="e">
        <f ca="1">IF(OR(INDEX($AI$2:$AI$1001,MATCH(ROWS($AH$2:AH91),$AH$2:$AH$1001,0),1)&gt;=100000,INDEX($AO$1005:$BQ$1005,1,MATCH(COLUMNS($AO$1006:BA1006),$AO$1006:$BQ$1006,0))&gt;=100000), " ",IF(INDEX($AO$2:$BQ$1001,MATCH(ROWS($AH$2:AH91),$AH$2:$AH$1001,0),MATCH(COLUMNS($AO$1006:BA1006),$AO$1006:$BQ$1006,0)), HYPERLINK("#",""), HYPERLINK(CONCATENATE("#Metadata!", ADDRESS(INDEX($AJ$2:$AJ$1001,MATCH(ROWS($AH$2:AH91),$AH$2:$AH$1001,0),0), INDEX($AO$1004:$BQ$1004,1,MATCH(COLUMNS($AO$1006:BA1006),$AO$1006:$BQ$1006,0)))),"Fix")))</f>
        <v>#N/A</v>
      </c>
      <c r="O91" s="5" t="e">
        <f ca="1">IF(OR(INDEX($AI$2:$AI$1001,MATCH(ROWS($AH$2:AH91),$AH$2:$AH$1001,0),1)&gt;=100000,INDEX($AO$1005:$BQ$1005,1,MATCH(COLUMNS($AO$1006:BB1006),$AO$1006:$BQ$1006,0))&gt;=100000), " ",IF(INDEX($AO$2:$BQ$1001,MATCH(ROWS($AH$2:AH91),$AH$2:$AH$1001,0),MATCH(COLUMNS($AO$1006:BB1006),$AO$1006:$BQ$1006,0)), HYPERLINK("#",""), HYPERLINK(CONCATENATE("#Metadata!", ADDRESS(INDEX($AJ$2:$AJ$1001,MATCH(ROWS($AH$2:AH91),$AH$2:$AH$1001,0),0), INDEX($AO$1004:$BQ$1004,1,MATCH(COLUMNS($AO$1006:BB1006),$AO$1006:$BQ$1006,0)))),"Fix")))</f>
        <v>#N/A</v>
      </c>
      <c r="P91" s="5" t="e">
        <f ca="1">IF(OR(INDEX($AI$2:$AI$1001,MATCH(ROWS($AH$2:AH91),$AH$2:$AH$1001,0),1)&gt;=100000,INDEX($AO$1005:$BQ$1005,1,MATCH(COLUMNS($AO$1006:BC1006),$AO$1006:$BQ$1006,0))&gt;=100000), " ",IF(INDEX($AO$2:$BQ$1001,MATCH(ROWS($AH$2:AH91),$AH$2:$AH$1001,0),MATCH(COLUMNS($AO$1006:BC1006),$AO$1006:$BQ$1006,0)), HYPERLINK("#",""), HYPERLINK(CONCATENATE("#Metadata!", ADDRESS(INDEX($AJ$2:$AJ$1001,MATCH(ROWS($AH$2:AH91),$AH$2:$AH$1001,0),0), INDEX($AO$1004:$BQ$1004,1,MATCH(COLUMNS($AO$1006:BC1006),$AO$1006:$BQ$1006,0)))),"Fix")))</f>
        <v>#N/A</v>
      </c>
      <c r="Q91" s="5" t="e">
        <f ca="1">IF(OR(INDEX($AI$2:$AI$1001,MATCH(ROWS($AH$2:AH91),$AH$2:$AH$1001,0),1)&gt;=100000,INDEX($AO$1005:$BQ$1005,1,MATCH(COLUMNS($AO$1006:BD1006),$AO$1006:$BQ$1006,0))&gt;=100000), " ",IF(INDEX($AO$2:$BQ$1001,MATCH(ROWS($AH$2:AH91),$AH$2:$AH$1001,0),MATCH(COLUMNS($AO$1006:BD1006),$AO$1006:$BQ$1006,0)), HYPERLINK("#",""), HYPERLINK(CONCATENATE("#Metadata!", ADDRESS(INDEX($AJ$2:$AJ$1001,MATCH(ROWS($AH$2:AH91),$AH$2:$AH$1001,0),0), INDEX($AO$1004:$BQ$1004,1,MATCH(COLUMNS($AO$1006:BD1006),$AO$1006:$BQ$1006,0)))),"Fix")))</f>
        <v>#N/A</v>
      </c>
      <c r="R91" s="5" t="e">
        <f ca="1">IF(OR(INDEX($AI$2:$AI$1001,MATCH(ROWS($AH$2:AH91),$AH$2:$AH$1001,0),1)&gt;=100000,INDEX($AO$1005:$BQ$1005,1,MATCH(COLUMNS($AO$1006:BE1006),$AO$1006:$BQ$1006,0))&gt;=100000), " ",IF(INDEX($AO$2:$BQ$1001,MATCH(ROWS($AH$2:AH91),$AH$2:$AH$1001,0),MATCH(COLUMNS($AO$1006:BE1006),$AO$1006:$BQ$1006,0)), HYPERLINK("#",""), HYPERLINK(CONCATENATE("#Metadata!", ADDRESS(INDEX($AJ$2:$AJ$1001,MATCH(ROWS($AH$2:AH91),$AH$2:$AH$1001,0),0), INDEX($AO$1004:$BQ$1004,1,MATCH(COLUMNS($AO$1006:BE1006),$AO$1006:$BQ$1006,0)))),"Fix")))</f>
        <v>#N/A</v>
      </c>
      <c r="S91" s="5" t="e">
        <f ca="1">IF(OR(INDEX($AI$2:$AI$1001,MATCH(ROWS($AH$2:AH91),$AH$2:$AH$1001,0),1)&gt;=100000,INDEX($AO$1005:$BQ$1005,1,MATCH(COLUMNS($AO$1006:BF1006),$AO$1006:$BQ$1006,0))&gt;=100000), " ",IF(INDEX($AO$2:$BQ$1001,MATCH(ROWS($AH$2:AH91),$AH$2:$AH$1001,0),MATCH(COLUMNS($AO$1006:BF1006),$AO$1006:$BQ$1006,0)), HYPERLINK("#",""), HYPERLINK(CONCATENATE("#Metadata!", ADDRESS(INDEX($AJ$2:$AJ$1001,MATCH(ROWS($AH$2:AH91),$AH$2:$AH$1001,0),0), INDEX($AO$1004:$BQ$1004,1,MATCH(COLUMNS($AO$1006:BF1006),$AO$1006:$BQ$1006,0)))),"Fix")))</f>
        <v>#N/A</v>
      </c>
      <c r="T91" s="5" t="e">
        <f ca="1">IF(OR(INDEX($AI$2:$AI$1001,MATCH(ROWS($AH$2:AH91),$AH$2:$AH$1001,0),1)&gt;=100000,INDEX($AO$1005:$BQ$1005,1,MATCH(COLUMNS($AO$1006:BG1006),$AO$1006:$BQ$1006,0))&gt;=100000), " ",IF(INDEX($AO$2:$BQ$1001,MATCH(ROWS($AH$2:AH91),$AH$2:$AH$1001,0),MATCH(COLUMNS($AO$1006:BG1006),$AO$1006:$BQ$1006,0)), HYPERLINK("#",""), HYPERLINK(CONCATENATE("#Metadata!", ADDRESS(INDEX($AJ$2:$AJ$1001,MATCH(ROWS($AH$2:AH91),$AH$2:$AH$1001,0),0), INDEX($AO$1004:$BQ$1004,1,MATCH(COLUMNS($AO$1006:BG1006),$AO$1006:$BQ$1006,0)))),"Fix")))</f>
        <v>#N/A</v>
      </c>
      <c r="U91" s="5" t="e">
        <f ca="1">IF(OR(INDEX($AI$2:$AI$1001,MATCH(ROWS($AH$2:AH91),$AH$2:$AH$1001,0),1)&gt;=100000,INDEX($AO$1005:$BQ$1005,1,MATCH(COLUMNS($AO$1006:BH1006),$AO$1006:$BQ$1006,0))&gt;=100000), " ",IF(INDEX($AO$2:$BQ$1001,MATCH(ROWS($AH$2:AH91),$AH$2:$AH$1001,0),MATCH(COLUMNS($AO$1006:BH1006),$AO$1006:$BQ$1006,0)), HYPERLINK("#",""), HYPERLINK(CONCATENATE("#Metadata!", ADDRESS(INDEX($AJ$2:$AJ$1001,MATCH(ROWS($AH$2:AH91),$AH$2:$AH$1001,0),0), INDEX($AO$1004:$BQ$1004,1,MATCH(COLUMNS($AO$1006:BH1006),$AO$1006:$BQ$1006,0)))),"Fix")))</f>
        <v>#N/A</v>
      </c>
      <c r="V91" s="5" t="e">
        <f ca="1">IF(OR(INDEX($AI$2:$AI$1001,MATCH(ROWS($AH$2:AH91),$AH$2:$AH$1001,0),1)&gt;=100000,INDEX($AO$1005:$BQ$1005,1,MATCH(COLUMNS($AO$1006:BI1006),$AO$1006:$BQ$1006,0))&gt;=100000), " ",IF(INDEX($AO$2:$BQ$1001,MATCH(ROWS($AH$2:AH91),$AH$2:$AH$1001,0),MATCH(COLUMNS($AO$1006:BI1006),$AO$1006:$BQ$1006,0)), HYPERLINK("#",""), HYPERLINK(CONCATENATE("#Metadata!", ADDRESS(INDEX($AJ$2:$AJ$1001,MATCH(ROWS($AH$2:AH91),$AH$2:$AH$1001,0),0), INDEX($AO$1004:$BQ$1004,1,MATCH(COLUMNS($AO$1006:BI1006),$AO$1006:$BQ$1006,0)))),"Fix")))</f>
        <v>#N/A</v>
      </c>
      <c r="W91" s="5" t="e">
        <f ca="1">IF(OR(INDEX($AI$2:$AI$1001,MATCH(ROWS($AH$2:AH91),$AH$2:$AH$1001,0),1)&gt;=100000,INDEX($AO$1005:$BQ$1005,1,MATCH(COLUMNS($AO$1006:BJ1006),$AO$1006:$BQ$1006,0))&gt;=100000), " ",IF(INDEX($AO$2:$BQ$1001,MATCH(ROWS($AH$2:AH91),$AH$2:$AH$1001,0),MATCH(COLUMNS($AO$1006:BJ1006),$AO$1006:$BQ$1006,0)), HYPERLINK("#",""), HYPERLINK(CONCATENATE("#Metadata!", ADDRESS(INDEX($AJ$2:$AJ$1001,MATCH(ROWS($AH$2:AH91),$AH$2:$AH$1001,0),0), INDEX($AO$1004:$BQ$1004,1,MATCH(COLUMNS($AO$1006:BJ1006),$AO$1006:$BQ$1006,0)))),"Fix")))</f>
        <v>#N/A</v>
      </c>
      <c r="X91" s="5" t="e">
        <f ca="1">IF(OR(INDEX($AI$2:$AI$1001,MATCH(ROWS($AH$2:AH91),$AH$2:$AH$1001,0),1)&gt;=100000,INDEX($AO$1005:$BQ$1005,1,MATCH(COLUMNS($AO$1006:BK1006),$AO$1006:$BQ$1006,0))&gt;=100000), " ",IF(INDEX($AO$2:$BQ$1001,MATCH(ROWS($AH$2:AH91),$AH$2:$AH$1001,0),MATCH(COLUMNS($AO$1006:BK1006),$AO$1006:$BQ$1006,0)), HYPERLINK("#",""), HYPERLINK(CONCATENATE("#Metadata!", ADDRESS(INDEX($AJ$2:$AJ$1001,MATCH(ROWS($AH$2:AH91),$AH$2:$AH$1001,0),0), INDEX($AO$1004:$BQ$1004,1,MATCH(COLUMNS($AO$1006:BK1006),$AO$1006:$BQ$1006,0)))),"Fix")))</f>
        <v>#N/A</v>
      </c>
      <c r="Y91" s="5" t="e">
        <f ca="1">IF(OR(INDEX($AI$2:$AI$1001,MATCH(ROWS($AH$2:AH91),$AH$2:$AH$1001,0),1)&gt;=100000,INDEX($AO$1005:$BQ$1005,1,MATCH(COLUMNS($AO$1006:BL1006),$AO$1006:$BQ$1006,0))&gt;=100000), " ",IF(INDEX($AO$2:$BQ$1001,MATCH(ROWS($AH$2:AH91),$AH$2:$AH$1001,0),MATCH(COLUMNS($AO$1006:BL1006),$AO$1006:$BQ$1006,0)), HYPERLINK("#",""), HYPERLINK(CONCATENATE("#Metadata!", ADDRESS(INDEX($AJ$2:$AJ$1001,MATCH(ROWS($AH$2:AH91),$AH$2:$AH$1001,0),0), INDEX($AO$1004:$BQ$1004,1,MATCH(COLUMNS($AO$1006:BL1006),$AO$1006:$BQ$1006,0)))),"Fix")))</f>
        <v>#N/A</v>
      </c>
      <c r="Z91" s="5" t="e">
        <f ca="1">IF(OR(INDEX($AI$2:$AI$1001,MATCH(ROWS($AH$2:AH91),$AH$2:$AH$1001,0),1)&gt;=100000,INDEX($AO$1005:$BQ$1005,1,MATCH(COLUMNS($AO$1006:BM1006),$AO$1006:$BQ$1006,0))&gt;=100000), " ",IF(INDEX($AO$2:$BQ$1001,MATCH(ROWS($AH$2:AH91),$AH$2:$AH$1001,0),MATCH(COLUMNS($AO$1006:BM1006),$AO$1006:$BQ$1006,0)), HYPERLINK("#",""), HYPERLINK(CONCATENATE("#Metadata!", ADDRESS(INDEX($AJ$2:$AJ$1001,MATCH(ROWS($AH$2:AH91),$AH$2:$AH$1001,0),0), INDEX($AO$1004:$BQ$1004,1,MATCH(COLUMNS($AO$1006:BM1006),$AO$1006:$BQ$1006,0)))),"Fix")))</f>
        <v>#N/A</v>
      </c>
      <c r="AA91" s="5" t="e">
        <f ca="1">IF(OR(INDEX($AI$2:$AI$1001,MATCH(ROWS($AH$2:AH91),$AH$2:$AH$1001,0),1)&gt;=100000,INDEX($AO$1005:$BQ$1005,1,MATCH(COLUMNS($AO$1006:BN1006),$AO$1006:$BQ$1006,0))&gt;=100000), " ",IF(INDEX($AO$2:$BQ$1001,MATCH(ROWS($AH$2:AH91),$AH$2:$AH$1001,0),MATCH(COLUMNS($AO$1006:BN1006),$AO$1006:$BQ$1006,0)), HYPERLINK("#",""), HYPERLINK(CONCATENATE("#Metadata!", ADDRESS(INDEX($AJ$2:$AJ$1001,MATCH(ROWS($AH$2:AH91),$AH$2:$AH$1001,0),0), INDEX($AO$1004:$BQ$1004,1,MATCH(COLUMNS($AO$1006:BN1006),$AO$1006:$BQ$1006,0)))),"Fix")))</f>
        <v>#N/A</v>
      </c>
      <c r="AB91" s="5" t="e">
        <f ca="1">IF(OR(INDEX($AI$2:$AI$1001,MATCH(ROWS($AH$2:AH91),$AH$2:$AH$1001,0),1)&gt;=100000,INDEX($AO$1005:$BQ$1005,1,MATCH(COLUMNS($AO$1006:BO1006),$AO$1006:$BQ$1006,0))&gt;=100000), " ",IF(INDEX($AO$2:$BQ$1001,MATCH(ROWS($AH$2:AH91),$AH$2:$AH$1001,0),MATCH(COLUMNS($AO$1006:BO1006),$AO$1006:$BQ$1006,0)), HYPERLINK("#",""), HYPERLINK(CONCATENATE("#Metadata!", ADDRESS(INDEX($AJ$2:$AJ$1001,MATCH(ROWS($AH$2:AH91),$AH$2:$AH$1001,0),0), INDEX($AO$1004:$BQ$1004,1,MATCH(COLUMNS($AO$1006:BO1006),$AO$1006:$BQ$1006,0)))),"Fix")))</f>
        <v>#N/A</v>
      </c>
      <c r="AC91" s="5" t="e">
        <f ca="1">IF(OR(INDEX($AI$2:$AI$1001,MATCH(ROWS($AH$2:AH91),$AH$2:$AH$1001,0),1)&gt;=100000,INDEX($AO$1005:$BQ$1005,1,MATCH(COLUMNS($AO$1006:BP1006),$AO$1006:$BQ$1006,0))&gt;=100000), " ",IF(INDEX($AO$2:$BQ$1001,MATCH(ROWS($AH$2:AH91),$AH$2:$AH$1001,0),MATCH(COLUMNS($AO$1006:BP1006),$AO$1006:$BQ$1006,0)), HYPERLINK("#",""), HYPERLINK(CONCATENATE("#Metadata!", ADDRESS(INDEX($AJ$2:$AJ$1001,MATCH(ROWS($AH$2:AH91),$AH$2:$AH$1001,0),0), INDEX($AO$1004:$BQ$1004,1,MATCH(COLUMNS($AO$1006:BP1006),$AO$1006:$BQ$1006,0)))),"Fix")))</f>
        <v>#N/A</v>
      </c>
      <c r="AD91" s="5" t="e">
        <f ca="1">IF(OR(INDEX($AI$2:$AI$1001,MATCH(ROWS($AH$2:AH91),$AH$2:$AH$1001,0),1)&gt;=100000,INDEX($AO$1005:$BQ$1005,1,MATCH(COLUMNS($AO$1006:BQ1006),$AO$1006:$BQ$1006,0))&gt;=100000), " ",IF(INDEX($AO$2:$BQ$1001,MATCH(ROWS($AH$2:AH91),$AH$2:$AH$1001,0),MATCH(COLUMNS($AO$1006:BQ1006),$AO$1006:$BQ$1006,0)), HYPERLINK("#",""), HYPERLINK(CONCATENATE("#Metadata!", ADDRESS(INDEX($AJ$2:$AJ$1001,MATCH(ROWS($AH$2:AH91),$AH$2:$AH$1001,0),0), INDEX($AO$1004:$BQ$1004,1,MATCH(COLUMNS($AO$1006:BQ1006),$AO$1006:$BQ$1006,0)))),"Fix")))</f>
        <v>#REF!</v>
      </c>
      <c r="AH91">
        <f ca="1"/>
        <v>88</v>
      </c>
      <c r="AI91">
        <v>100091</v>
      </c>
      <c r="AJ91">
        <v>91</v>
      </c>
      <c r="AK91" t="b">
        <f t="shared" si="1"/>
        <v>1</v>
      </c>
      <c r="AL91" t="b">
        <f>COUNTBLANK(Metadata!B91:AD91)=COLUMNS(Metadata!B91:AD91)</f>
        <v>1</v>
      </c>
      <c r="AM91" t="str">
        <v/>
      </c>
      <c r="AO91" t="b">
        <f ca="1">AND(IF(Metadata!B91="",FALSE,TRUE),COUNTIF(Metadata!B:B, Metadata!B91) = 1,NOT(ISERROR(SUMPRODUCT(SEARCH(MID(Metadata!B91,ROW(INDIRECT("1:"&amp;LEN(Metadata!B91))), 1),"0123456789abcdefghijklmnopqrstuvwxyzABCDEFGHIJKLMNOPQRSTUVWXYZ.")))))</f>
        <v>0</v>
      </c>
      <c r="AP91" t="b">
        <f>IF(Metadata!C91="",FALSE,TRUE)</f>
        <v>0</v>
      </c>
      <c r="AQ91" t="b">
        <f>IF(Metadata!D91="",FALSE,TRUE)</f>
        <v>0</v>
      </c>
      <c r="AR91" t="b">
        <f ca="1">OR(AND(IF(Metadata!E91="",FALSE,TRUE),OR(EXACT(Metadata!E91,"not collected"),EXACT(Metadata!E91,"not provided"),EXACT(Metadata!E91,"restricted access"))),AND(IF(Metadata!E91="",FALSE,TRUE),AND(AND(IFERROR(INT(LEFT(Metadata!E91,4))&gt;1900,FALSE),IFERROR(INT(LEFT(Metadata!E91,4))&lt;=YEAR(NOW()),FALSE)), OR(MID(Metadata!E91,5,1)="", AND(AND(MID(Metadata!E91,5,1)="-",IFERROR(INT(MID(Metadata!E91,6,1))&gt;=0,FALSE),IFERROR(INT(MID(Metadata!E91,6,1))&lt;=1,FALSE),NOT(MID(Metadata!E91,7,1)=""),IFERROR(INT(MID(Metadata!E91,6,2))&gt;=1,FALSE),IFERROR(INT(MID(Metadata!E91,6,2))&lt;=12,FALSE)), OR(MID(Metadata!E91,8,1)="", AND(AND(MID(Metadata!E91,8,1)="-",IFERROR(INT(MID(Metadata!E91,9,1))&gt;=0,FALSE),IFERROR(INT(MID(Metadata!E91,9,1))&lt;=3,FALSE),NOT(MID(Metadata!E91,10,1)=""),IFERROR(INT(MID(Metadata!E91,9,2))&gt;=1,FALSE),IFERROR(INT(MID(Metadata!E91,9,2))&lt;=31,FALSE)), OR(MID(Metadata!E91,11,1)="", AND(AND(MID(Metadata!E91,11,1)=" ",IFERROR(INT(MID(Metadata!E91,12,1))&gt;=0,FALSE),IFERROR(INT(MID(Metadata!E91,12,1))&lt;=2,FALSE),NOT(MID(Metadata!E91,13,1)=""),IFERROR(INT(MID(Metadata!E91,12,2))&gt;=0,FALSE),IFERROR(INT(MID(Metadata!E91,12,2))&lt;=23,FALSE)), OR(MID(Metadata!E91,14,1)="", AND(AND(MID(Metadata!E91,14,1)=":",IFERROR(INT(MID(Metadata!E91,15,1))&gt;=0,FALSE),IFERROR(INT(MID(Metadata!E91,15,1))&lt;=5,FALSE),NOT(MID(Metadata!E91,16,1)=""),IFERROR(INT(MID(Metadata!E91,15,2))&gt;=0,FALSE),IFERROR(INT(MID(Metadata!E91,15,2))&lt;=59,FALSE)), OR(MID(Metadata!E91,17,1)="", AND(AND(MID(Metadata!E91,17,1)=":",IFERROR(INT(MID(Metadata!E91,18,1))&gt;=0,FALSE),IFERROR(INT(MID(Metadata!E91,18,1))&lt;=5,FALSE),NOT(MID(Metadata!E91,19,1)=""),IFERROR(INT(MID(Metadata!E91,18,2))&gt;=0,FALSE),IFERROR(INT(MID(Metadata!E91,18,2))&lt;=59,FALSE)), LEN(Metadata!E91)&lt;=19)))))))))))))</f>
        <v>0</v>
      </c>
      <c r="AS91" t="b">
        <f>IF(Metadata!F91="",FALSE,TRUE)</f>
        <v>0</v>
      </c>
      <c r="AT91" t="b">
        <f>OR(AND(IF(Metadata!G91="",FALSE,TRUE),OR(EXACT(Metadata!G91,"not collected"),EXACT(Metadata!G91,"not provided"))),AND(IF(Metadata!G91="",FALSE,TRUE),OR(EXACT(Metadata!G91,"TRUE"),EXACT(Metadata!G91,"FALSE"))))</f>
        <v>0</v>
      </c>
      <c r="AU91" t="b">
        <f>OR(AND(IF(Metadata!H91="",FALSE,TRUE),OR(EXACT(Metadata!H91,"not collected"),EXACT(Metadata!H91,"not provided"),EXACT(Metadata!H91,"restricted access"))),AND(IF(Metadata!H91="",FALSE,ISNUMBER(VALUE(Metadata!H91))),Metadata!H91&gt;=-413))</f>
        <v>0</v>
      </c>
      <c r="AV91" t="b">
        <f>AND(IF(Metadata!I91="",FALSE,TRUE),EXACT(Metadata!I91,"meters"))</f>
        <v>0</v>
      </c>
      <c r="AW91" t="b">
        <f>AND(IF(Metadata!J91="",FALSE,TRUE),EXACT(Metadata!J91,"free-living"))</f>
        <v>0</v>
      </c>
      <c r="AX91" t="b">
        <f>AND(IF(Metadata!K91="",FALSE,TRUE),OR(EXACT(Metadata!K91,"saline"),EXACT(Metadata!K91,"non-saline")))</f>
        <v>0</v>
      </c>
      <c r="AY91" t="b">
        <f>AND(IF(Metadata!L91="",FALSE,TRUE),OR(EXACT(Metadata!L91,"sub-surface (non-saline)"),EXACT(Metadata!L91,"surface (non-saline)"),EXACT(Metadata!L91,"water (non-saline)"),EXACT(Metadata!L91,"soil (non-saline)"),EXACT(Metadata!L91,"aerosol (non-saline)"),EXACT(Metadata!L91,"sediment (non-saline)"),EXACT(Metadata!L91,"surface (saline)"),EXACT(Metadata!L91,"water (saline)"),EXACT(Metadata!L91,"hypersaline (saline)"),EXACT(Metadata!L91,"aerosol (saline)"),EXACT(Metadata!L91,"sediment (saline)")))</f>
        <v>0</v>
      </c>
      <c r="AZ91" t="b">
        <f>IF(Metadata!M91="",FALSE,TRUE)</f>
        <v>0</v>
      </c>
      <c r="BA91" t="b">
        <f>IF(Metadata!N91="",FALSE,TRUE)</f>
        <v>0</v>
      </c>
      <c r="BB91" t="b">
        <f>IF(Metadata!O91="",FALSE,TRUE)</f>
        <v>0</v>
      </c>
      <c r="BC91" t="b">
        <f>AND(IF(Metadata!P91="",FALSE,TRUE),OR(EXACT(Metadata!P91,"air"),EXACT(Metadata!P91,"microbial mat/biofilm"),EXACT(Metadata!P91,"misc environment"),EXACT(Metadata!P91,"sediment"),EXACT(Metadata!P91,"soil"),EXACT(Metadata!P91,"wastewater/sludge"),EXACT(Metadata!P91,"water")))</f>
        <v>0</v>
      </c>
      <c r="BD91" t="b">
        <f>IF(Metadata!Q91="",FALSE,TRUE)</f>
        <v>0</v>
      </c>
      <c r="BE91" t="b">
        <f>IF(Metadata!R91="",FALSE,TRUE)</f>
        <v>0</v>
      </c>
      <c r="BF91" t="b">
        <f>OR(AND(IF(Metadata!S91="",FALSE,TRUE),OR(EXACT(Metadata!S91,"not collected"),EXACT(Metadata!S91,"not provided"),EXACT(Metadata!S91,"restricted access"))),AND(IF(Metadata!S91="",FALSE,ISNUMBER(VALUE(Metadata!S91))),Metadata!S91&gt;=-90,Metadata!S91&lt;=90))</f>
        <v>0</v>
      </c>
      <c r="BG91" t="b">
        <f>AND(IF(Metadata!T91="",FALSE,TRUE),EXACT(Metadata!T91,"Decimal degrees"))</f>
        <v>0</v>
      </c>
      <c r="BH91" t="b">
        <f>OR(AND(IF(Metadata!U91="",FALSE,TRUE),OR(EXACT(Metadata!U91,"not applicable"),EXACT(Metadata!U91,"not collected"))),IF(Metadata!U91="",FALSE,TRUE))</f>
        <v>0</v>
      </c>
      <c r="BI91" t="b">
        <f>OR(AND(IF(Metadata!V91="",FALSE,TRUE),OR(EXACT(Metadata!V91,"not collected"),EXACT(Metadata!V91,"not provided"),EXACT(Metadata!V91,"restricted access"))),AND(IF(Metadata!V91="",FALSE,ISNUMBER(VALUE(Metadata!V91))),Metadata!V91&gt;=-180,Metadata!V91&lt;=180))</f>
        <v>0</v>
      </c>
      <c r="BJ91" t="b">
        <f>AND(IF(Metadata!W91="",FALSE,TRUE),EXACT(Metadata!W91,"Decimal degrees"))</f>
        <v>0</v>
      </c>
      <c r="BK91" t="b">
        <f>IF(Metadata!X91="",FALSE,TRUE)</f>
        <v>0</v>
      </c>
      <c r="BL91" t="b">
        <f>OR(AND(IF(Metadata!Y91="",FALSE,TRUE),OR(EXACT(Metadata!Y91,"not collected"),EXACT(Metadata!Y91,"not provided"),EXACT(Metadata!Y91,"restricted access"))),AND(IF(Metadata!Y91="",FALSE,TRUE),OR(EXACT(Metadata!Y91,"TRUE"),EXACT(Metadata!Y91,"FALSE"))))</f>
        <v>0</v>
      </c>
      <c r="BM91" t="b">
        <f>OR(AND(IF(Metadata!Z91="",FALSE,TRUE),EXACT(Metadata!Z91,"not applicable")),AND(IF(Metadata!Z91="",FALSE,TRUE),OR(EXACT(Metadata!Z91,"beer"),EXACT(Metadata!Z91,"cheese"),EXACT(Metadata!Z91,"fresh water"),EXACT(Metadata!Z91,"marine sediment"),EXACT(Metadata!Z91,"sea water"),EXACT(Metadata!Z91,"sediment"),EXACT(Metadata!Z91,"soil"),EXACT(Metadata!Z91,"waste water"))))</f>
        <v>0</v>
      </c>
      <c r="BN91" t="b">
        <f>AND(IF(Metadata!AA91="",FALSE,TRUE),EXACT(Metadata!AA91,"metagenome"))</f>
        <v>0</v>
      </c>
      <c r="BO91" t="b">
        <f>AND(IF(Metadata!AB91="",FALSE,TRUE),EXACT(Metadata!AB91,"256318"))</f>
        <v>0</v>
      </c>
      <c r="BP91" t="b">
        <f>IF(Metadata!AC91="",FALSE,TRUE)</f>
        <v>0</v>
      </c>
      <c r="BQ91" t="b">
        <f>IF(Metadata!AD91="",FALSE,TRUE)</f>
        <v>0</v>
      </c>
    </row>
    <row r="92" spans="1:69" x14ac:dyDescent="0.2">
      <c r="A92" s="4" t="e">
        <f ca="1">IF(B92=" "," ",HYPERLINK(CONCATENATE("#metadata!",ADDRESS(INDEX($AJ$2:$AJ$1001,MATCH(ROWS($AH$2:AH92),$AH$2:$AH$1001,0),0),2)),INDEX($AM$2:$AM$1001,MATCH(ROWS($AH$2:AH92),$AH$2:$AH$1001,0),0)))</f>
        <v>#N/A</v>
      </c>
      <c r="B92" s="5" t="e">
        <f ca="1">IF(OR(INDEX($AI$2:$AI$1001,MATCH(ROWS($AH$2:AH92),$AH$2:$AH$1001,0),1)&gt;=100000,INDEX($AO$1005:$BQ$1005,1,MATCH(COLUMNS($AO$1006:AO1006),$AO$1006:$BQ$1006,0))&gt;=100000), " ",IF(INDEX($AO$2:$BQ$1001,MATCH(ROWS($AH$2:AH92),$AH$2:$AH$1001,0),MATCH(COLUMNS($AO$1006:AO1006),$AO$1006:$BQ$1006,0)), HYPERLINK("#",""), HYPERLINK(CONCATENATE("#Metadata!", ADDRESS(INDEX($AJ$2:$AJ$1001,MATCH(ROWS($AH$2:AH92),$AH$2:$AH$1001,0),0), INDEX($AO$1004:$BQ$1004,1,MATCH(COLUMNS($AO$1006:AO1006),$AO$1006:$BQ$1006,0)))),"Fix")))</f>
        <v>#N/A</v>
      </c>
      <c r="C92" s="5" t="e">
        <f ca="1">IF(OR(INDEX($AI$2:$AI$1001,MATCH(ROWS($AH$2:AH92),$AH$2:$AH$1001,0),1)&gt;=100000,INDEX($AO$1005:$BQ$1005,1,MATCH(COLUMNS($AO$1006:AP1006),$AO$1006:$BQ$1006,0))&gt;=100000), " ",IF(INDEX($AO$2:$BQ$1001,MATCH(ROWS($AH$2:AH92),$AH$2:$AH$1001,0),MATCH(COLUMNS($AO$1006:AP1006),$AO$1006:$BQ$1006,0)), HYPERLINK("#",""), HYPERLINK(CONCATENATE("#Metadata!", ADDRESS(INDEX($AJ$2:$AJ$1001,MATCH(ROWS($AH$2:AH92),$AH$2:$AH$1001,0),0), INDEX($AO$1004:$BQ$1004,1,MATCH(COLUMNS($AO$1006:AP1006),$AO$1006:$BQ$1006,0)))),"Fix")))</f>
        <v>#N/A</v>
      </c>
      <c r="D92" s="5" t="e">
        <f ca="1">IF(OR(INDEX($AI$2:$AI$1001,MATCH(ROWS($AH$2:AH92),$AH$2:$AH$1001,0),1)&gt;=100000,INDEX($AO$1005:$BQ$1005,1,MATCH(COLUMNS($AO$1006:AQ1006),$AO$1006:$BQ$1006,0))&gt;=100000), " ",IF(INDEX($AO$2:$BQ$1001,MATCH(ROWS($AH$2:AH92),$AH$2:$AH$1001,0),MATCH(COLUMNS($AO$1006:AQ1006),$AO$1006:$BQ$1006,0)), HYPERLINK("#",""), HYPERLINK(CONCATENATE("#Metadata!", ADDRESS(INDEX($AJ$2:$AJ$1001,MATCH(ROWS($AH$2:AH92),$AH$2:$AH$1001,0),0), INDEX($AO$1004:$BQ$1004,1,MATCH(COLUMNS($AO$1006:AQ1006),$AO$1006:$BQ$1006,0)))),"Fix")))</f>
        <v>#N/A</v>
      </c>
      <c r="E92" s="5" t="e">
        <f ca="1">IF(OR(INDEX($AI$2:$AI$1001,MATCH(ROWS($AH$2:AH92),$AH$2:$AH$1001,0),1)&gt;=100000,INDEX($AO$1005:$BQ$1005,1,MATCH(COLUMNS($AO$1006:AR1006),$AO$1006:$BQ$1006,0))&gt;=100000), " ",IF(INDEX($AO$2:$BQ$1001,MATCH(ROWS($AH$2:AH92),$AH$2:$AH$1001,0),MATCH(COLUMNS($AO$1006:AR1006),$AO$1006:$BQ$1006,0)), HYPERLINK("#",""), HYPERLINK(CONCATENATE("#Metadata!", ADDRESS(INDEX($AJ$2:$AJ$1001,MATCH(ROWS($AH$2:AH92),$AH$2:$AH$1001,0),0), INDEX($AO$1004:$BQ$1004,1,MATCH(COLUMNS($AO$1006:AR1006),$AO$1006:$BQ$1006,0)))),"Fix")))</f>
        <v>#N/A</v>
      </c>
      <c r="F92" s="5" t="e">
        <f ca="1">IF(OR(INDEX($AI$2:$AI$1001,MATCH(ROWS($AH$2:AH92),$AH$2:$AH$1001,0),1)&gt;=100000,INDEX($AO$1005:$BQ$1005,1,MATCH(COLUMNS($AO$1006:AS1006),$AO$1006:$BQ$1006,0))&gt;=100000), " ",IF(INDEX($AO$2:$BQ$1001,MATCH(ROWS($AH$2:AH92),$AH$2:$AH$1001,0),MATCH(COLUMNS($AO$1006:AS1006),$AO$1006:$BQ$1006,0)), HYPERLINK("#",""), HYPERLINK(CONCATENATE("#Metadata!", ADDRESS(INDEX($AJ$2:$AJ$1001,MATCH(ROWS($AH$2:AH92),$AH$2:$AH$1001,0),0), INDEX($AO$1004:$BQ$1004,1,MATCH(COLUMNS($AO$1006:AS1006),$AO$1006:$BQ$1006,0)))),"Fix")))</f>
        <v>#N/A</v>
      </c>
      <c r="G92" s="5" t="e">
        <f ca="1">IF(OR(INDEX($AI$2:$AI$1001,MATCH(ROWS($AH$2:AH92),$AH$2:$AH$1001,0),1)&gt;=100000,INDEX($AO$1005:$BQ$1005,1,MATCH(COLUMNS($AO$1006:AT1006),$AO$1006:$BQ$1006,0))&gt;=100000), " ",IF(INDEX($AO$2:$BQ$1001,MATCH(ROWS($AH$2:AH92),$AH$2:$AH$1001,0),MATCH(COLUMNS($AO$1006:AT1006),$AO$1006:$BQ$1006,0)), HYPERLINK("#",""), HYPERLINK(CONCATENATE("#Metadata!", ADDRESS(INDEX($AJ$2:$AJ$1001,MATCH(ROWS($AH$2:AH92),$AH$2:$AH$1001,0),0), INDEX($AO$1004:$BQ$1004,1,MATCH(COLUMNS($AO$1006:AT1006),$AO$1006:$BQ$1006,0)))),"Fix")))</f>
        <v>#N/A</v>
      </c>
      <c r="H92" s="5" t="e">
        <f ca="1">IF(OR(INDEX($AI$2:$AI$1001,MATCH(ROWS($AH$2:AH92),$AH$2:$AH$1001,0),1)&gt;=100000,INDEX($AO$1005:$BQ$1005,1,MATCH(COLUMNS($AO$1006:AU1006),$AO$1006:$BQ$1006,0))&gt;=100000), " ",IF(INDEX($AO$2:$BQ$1001,MATCH(ROWS($AH$2:AH92),$AH$2:$AH$1001,0),MATCH(COLUMNS($AO$1006:AU1006),$AO$1006:$BQ$1006,0)), HYPERLINK("#",""), HYPERLINK(CONCATENATE("#Metadata!", ADDRESS(INDEX($AJ$2:$AJ$1001,MATCH(ROWS($AH$2:AH92),$AH$2:$AH$1001,0),0), INDEX($AO$1004:$BQ$1004,1,MATCH(COLUMNS($AO$1006:AU1006),$AO$1006:$BQ$1006,0)))),"Fix")))</f>
        <v>#N/A</v>
      </c>
      <c r="I92" s="5" t="e">
        <f ca="1">IF(OR(INDEX($AI$2:$AI$1001,MATCH(ROWS($AH$2:AH92),$AH$2:$AH$1001,0),1)&gt;=100000,INDEX($AO$1005:$BQ$1005,1,MATCH(COLUMNS($AO$1006:AV1006),$AO$1006:$BQ$1006,0))&gt;=100000), " ",IF(INDEX($AO$2:$BQ$1001,MATCH(ROWS($AH$2:AH92),$AH$2:$AH$1001,0),MATCH(COLUMNS($AO$1006:AV1006),$AO$1006:$BQ$1006,0)), HYPERLINK("#",""), HYPERLINK(CONCATENATE("#Metadata!", ADDRESS(INDEX($AJ$2:$AJ$1001,MATCH(ROWS($AH$2:AH92),$AH$2:$AH$1001,0),0), INDEX($AO$1004:$BQ$1004,1,MATCH(COLUMNS($AO$1006:AV1006),$AO$1006:$BQ$1006,0)))),"Fix")))</f>
        <v>#N/A</v>
      </c>
      <c r="J92" s="5" t="e">
        <f ca="1">IF(OR(INDEX($AI$2:$AI$1001,MATCH(ROWS($AH$2:AH92),$AH$2:$AH$1001,0),1)&gt;=100000,INDEX($AO$1005:$BQ$1005,1,MATCH(COLUMNS($AO$1006:AW1006),$AO$1006:$BQ$1006,0))&gt;=100000), " ",IF(INDEX($AO$2:$BQ$1001,MATCH(ROWS($AH$2:AH92),$AH$2:$AH$1001,0),MATCH(COLUMNS($AO$1006:AW1006),$AO$1006:$BQ$1006,0)), HYPERLINK("#",""), HYPERLINK(CONCATENATE("#Metadata!", ADDRESS(INDEX($AJ$2:$AJ$1001,MATCH(ROWS($AH$2:AH92),$AH$2:$AH$1001,0),0), INDEX($AO$1004:$BQ$1004,1,MATCH(COLUMNS($AO$1006:AW1006),$AO$1006:$BQ$1006,0)))),"Fix")))</f>
        <v>#N/A</v>
      </c>
      <c r="K92" s="5" t="e">
        <f ca="1">IF(OR(INDEX($AI$2:$AI$1001,MATCH(ROWS($AH$2:AH92),$AH$2:$AH$1001,0),1)&gt;=100000,INDEX($AO$1005:$BQ$1005,1,MATCH(COLUMNS($AO$1006:AX1006),$AO$1006:$BQ$1006,0))&gt;=100000), " ",IF(INDEX($AO$2:$BQ$1001,MATCH(ROWS($AH$2:AH92),$AH$2:$AH$1001,0),MATCH(COLUMNS($AO$1006:AX1006),$AO$1006:$BQ$1006,0)), HYPERLINK("#",""), HYPERLINK(CONCATENATE("#Metadata!", ADDRESS(INDEX($AJ$2:$AJ$1001,MATCH(ROWS($AH$2:AH92),$AH$2:$AH$1001,0),0), INDEX($AO$1004:$BQ$1004,1,MATCH(COLUMNS($AO$1006:AX1006),$AO$1006:$BQ$1006,0)))),"Fix")))</f>
        <v>#N/A</v>
      </c>
      <c r="L92" s="5" t="e">
        <f ca="1">IF(OR(INDEX($AI$2:$AI$1001,MATCH(ROWS($AH$2:AH92),$AH$2:$AH$1001,0),1)&gt;=100000,INDEX($AO$1005:$BQ$1005,1,MATCH(COLUMNS($AO$1006:AY1006),$AO$1006:$BQ$1006,0))&gt;=100000), " ",IF(INDEX($AO$2:$BQ$1001,MATCH(ROWS($AH$2:AH92),$AH$2:$AH$1001,0),MATCH(COLUMNS($AO$1006:AY1006),$AO$1006:$BQ$1006,0)), HYPERLINK("#",""), HYPERLINK(CONCATENATE("#Metadata!", ADDRESS(INDEX($AJ$2:$AJ$1001,MATCH(ROWS($AH$2:AH92),$AH$2:$AH$1001,0),0), INDEX($AO$1004:$BQ$1004,1,MATCH(COLUMNS($AO$1006:AY1006),$AO$1006:$BQ$1006,0)))),"Fix")))</f>
        <v>#N/A</v>
      </c>
      <c r="M92" s="5" t="e">
        <f ca="1">IF(OR(INDEX($AI$2:$AI$1001,MATCH(ROWS($AH$2:AH92),$AH$2:$AH$1001,0),1)&gt;=100000,INDEX($AO$1005:$BQ$1005,1,MATCH(COLUMNS($AO$1006:AZ1006),$AO$1006:$BQ$1006,0))&gt;=100000), " ",IF(INDEX($AO$2:$BQ$1001,MATCH(ROWS($AH$2:AH92),$AH$2:$AH$1001,0),MATCH(COLUMNS($AO$1006:AZ1006),$AO$1006:$BQ$1006,0)), HYPERLINK("#",""), HYPERLINK(CONCATENATE("#Metadata!", ADDRESS(INDEX($AJ$2:$AJ$1001,MATCH(ROWS($AH$2:AH92),$AH$2:$AH$1001,0),0), INDEX($AO$1004:$BQ$1004,1,MATCH(COLUMNS($AO$1006:AZ1006),$AO$1006:$BQ$1006,0)))),"Fix")))</f>
        <v>#N/A</v>
      </c>
      <c r="N92" s="5" t="e">
        <f ca="1">IF(OR(INDEX($AI$2:$AI$1001,MATCH(ROWS($AH$2:AH92),$AH$2:$AH$1001,0),1)&gt;=100000,INDEX($AO$1005:$BQ$1005,1,MATCH(COLUMNS($AO$1006:BA1006),$AO$1006:$BQ$1006,0))&gt;=100000), " ",IF(INDEX($AO$2:$BQ$1001,MATCH(ROWS($AH$2:AH92),$AH$2:$AH$1001,0),MATCH(COLUMNS($AO$1006:BA1006),$AO$1006:$BQ$1006,0)), HYPERLINK("#",""), HYPERLINK(CONCATENATE("#Metadata!", ADDRESS(INDEX($AJ$2:$AJ$1001,MATCH(ROWS($AH$2:AH92),$AH$2:$AH$1001,0),0), INDEX($AO$1004:$BQ$1004,1,MATCH(COLUMNS($AO$1006:BA1006),$AO$1006:$BQ$1006,0)))),"Fix")))</f>
        <v>#N/A</v>
      </c>
      <c r="O92" s="5" t="e">
        <f ca="1">IF(OR(INDEX($AI$2:$AI$1001,MATCH(ROWS($AH$2:AH92),$AH$2:$AH$1001,0),1)&gt;=100000,INDEX($AO$1005:$BQ$1005,1,MATCH(COLUMNS($AO$1006:BB1006),$AO$1006:$BQ$1006,0))&gt;=100000), " ",IF(INDEX($AO$2:$BQ$1001,MATCH(ROWS($AH$2:AH92),$AH$2:$AH$1001,0),MATCH(COLUMNS($AO$1006:BB1006),$AO$1006:$BQ$1006,0)), HYPERLINK("#",""), HYPERLINK(CONCATENATE("#Metadata!", ADDRESS(INDEX($AJ$2:$AJ$1001,MATCH(ROWS($AH$2:AH92),$AH$2:$AH$1001,0),0), INDEX($AO$1004:$BQ$1004,1,MATCH(COLUMNS($AO$1006:BB1006),$AO$1006:$BQ$1006,0)))),"Fix")))</f>
        <v>#N/A</v>
      </c>
      <c r="P92" s="5" t="e">
        <f ca="1">IF(OR(INDEX($AI$2:$AI$1001,MATCH(ROWS($AH$2:AH92),$AH$2:$AH$1001,0),1)&gt;=100000,INDEX($AO$1005:$BQ$1005,1,MATCH(COLUMNS($AO$1006:BC1006),$AO$1006:$BQ$1006,0))&gt;=100000), " ",IF(INDEX($AO$2:$BQ$1001,MATCH(ROWS($AH$2:AH92),$AH$2:$AH$1001,0),MATCH(COLUMNS($AO$1006:BC1006),$AO$1006:$BQ$1006,0)), HYPERLINK("#",""), HYPERLINK(CONCATENATE("#Metadata!", ADDRESS(INDEX($AJ$2:$AJ$1001,MATCH(ROWS($AH$2:AH92),$AH$2:$AH$1001,0),0), INDEX($AO$1004:$BQ$1004,1,MATCH(COLUMNS($AO$1006:BC1006),$AO$1006:$BQ$1006,0)))),"Fix")))</f>
        <v>#N/A</v>
      </c>
      <c r="Q92" s="5" t="e">
        <f ca="1">IF(OR(INDEX($AI$2:$AI$1001,MATCH(ROWS($AH$2:AH92),$AH$2:$AH$1001,0),1)&gt;=100000,INDEX($AO$1005:$BQ$1005,1,MATCH(COLUMNS($AO$1006:BD1006),$AO$1006:$BQ$1006,0))&gt;=100000), " ",IF(INDEX($AO$2:$BQ$1001,MATCH(ROWS($AH$2:AH92),$AH$2:$AH$1001,0),MATCH(COLUMNS($AO$1006:BD1006),$AO$1006:$BQ$1006,0)), HYPERLINK("#",""), HYPERLINK(CONCATENATE("#Metadata!", ADDRESS(INDEX($AJ$2:$AJ$1001,MATCH(ROWS($AH$2:AH92),$AH$2:$AH$1001,0),0), INDEX($AO$1004:$BQ$1004,1,MATCH(COLUMNS($AO$1006:BD1006),$AO$1006:$BQ$1006,0)))),"Fix")))</f>
        <v>#N/A</v>
      </c>
      <c r="R92" s="5" t="e">
        <f ca="1">IF(OR(INDEX($AI$2:$AI$1001,MATCH(ROWS($AH$2:AH92),$AH$2:$AH$1001,0),1)&gt;=100000,INDEX($AO$1005:$BQ$1005,1,MATCH(COLUMNS($AO$1006:BE1006),$AO$1006:$BQ$1006,0))&gt;=100000), " ",IF(INDEX($AO$2:$BQ$1001,MATCH(ROWS($AH$2:AH92),$AH$2:$AH$1001,0),MATCH(COLUMNS($AO$1006:BE1006),$AO$1006:$BQ$1006,0)), HYPERLINK("#",""), HYPERLINK(CONCATENATE("#Metadata!", ADDRESS(INDEX($AJ$2:$AJ$1001,MATCH(ROWS($AH$2:AH92),$AH$2:$AH$1001,0),0), INDEX($AO$1004:$BQ$1004,1,MATCH(COLUMNS($AO$1006:BE1006),$AO$1006:$BQ$1006,0)))),"Fix")))</f>
        <v>#N/A</v>
      </c>
      <c r="S92" s="5" t="e">
        <f ca="1">IF(OR(INDEX($AI$2:$AI$1001,MATCH(ROWS($AH$2:AH92),$AH$2:$AH$1001,0),1)&gt;=100000,INDEX($AO$1005:$BQ$1005,1,MATCH(COLUMNS($AO$1006:BF1006),$AO$1006:$BQ$1006,0))&gt;=100000), " ",IF(INDEX($AO$2:$BQ$1001,MATCH(ROWS($AH$2:AH92),$AH$2:$AH$1001,0),MATCH(COLUMNS($AO$1006:BF1006),$AO$1006:$BQ$1006,0)), HYPERLINK("#",""), HYPERLINK(CONCATENATE("#Metadata!", ADDRESS(INDEX($AJ$2:$AJ$1001,MATCH(ROWS($AH$2:AH92),$AH$2:$AH$1001,0),0), INDEX($AO$1004:$BQ$1004,1,MATCH(COLUMNS($AO$1006:BF1006),$AO$1006:$BQ$1006,0)))),"Fix")))</f>
        <v>#N/A</v>
      </c>
      <c r="T92" s="5" t="e">
        <f ca="1">IF(OR(INDEX($AI$2:$AI$1001,MATCH(ROWS($AH$2:AH92),$AH$2:$AH$1001,0),1)&gt;=100000,INDEX($AO$1005:$BQ$1005,1,MATCH(COLUMNS($AO$1006:BG1006),$AO$1006:$BQ$1006,0))&gt;=100000), " ",IF(INDEX($AO$2:$BQ$1001,MATCH(ROWS($AH$2:AH92),$AH$2:$AH$1001,0),MATCH(COLUMNS($AO$1006:BG1006),$AO$1006:$BQ$1006,0)), HYPERLINK("#",""), HYPERLINK(CONCATENATE("#Metadata!", ADDRESS(INDEX($AJ$2:$AJ$1001,MATCH(ROWS($AH$2:AH92),$AH$2:$AH$1001,0),0), INDEX($AO$1004:$BQ$1004,1,MATCH(COLUMNS($AO$1006:BG1006),$AO$1006:$BQ$1006,0)))),"Fix")))</f>
        <v>#N/A</v>
      </c>
      <c r="U92" s="5" t="e">
        <f ca="1">IF(OR(INDEX($AI$2:$AI$1001,MATCH(ROWS($AH$2:AH92),$AH$2:$AH$1001,0),1)&gt;=100000,INDEX($AO$1005:$BQ$1005,1,MATCH(COLUMNS($AO$1006:BH1006),$AO$1006:$BQ$1006,0))&gt;=100000), " ",IF(INDEX($AO$2:$BQ$1001,MATCH(ROWS($AH$2:AH92),$AH$2:$AH$1001,0),MATCH(COLUMNS($AO$1006:BH1006),$AO$1006:$BQ$1006,0)), HYPERLINK("#",""), HYPERLINK(CONCATENATE("#Metadata!", ADDRESS(INDEX($AJ$2:$AJ$1001,MATCH(ROWS($AH$2:AH92),$AH$2:$AH$1001,0),0), INDEX($AO$1004:$BQ$1004,1,MATCH(COLUMNS($AO$1006:BH1006),$AO$1006:$BQ$1006,0)))),"Fix")))</f>
        <v>#N/A</v>
      </c>
      <c r="V92" s="5" t="e">
        <f ca="1">IF(OR(INDEX($AI$2:$AI$1001,MATCH(ROWS($AH$2:AH92),$AH$2:$AH$1001,0),1)&gt;=100000,INDEX($AO$1005:$BQ$1005,1,MATCH(COLUMNS($AO$1006:BI1006),$AO$1006:$BQ$1006,0))&gt;=100000), " ",IF(INDEX($AO$2:$BQ$1001,MATCH(ROWS($AH$2:AH92),$AH$2:$AH$1001,0),MATCH(COLUMNS($AO$1006:BI1006),$AO$1006:$BQ$1006,0)), HYPERLINK("#",""), HYPERLINK(CONCATENATE("#Metadata!", ADDRESS(INDEX($AJ$2:$AJ$1001,MATCH(ROWS($AH$2:AH92),$AH$2:$AH$1001,0),0), INDEX($AO$1004:$BQ$1004,1,MATCH(COLUMNS($AO$1006:BI1006),$AO$1006:$BQ$1006,0)))),"Fix")))</f>
        <v>#N/A</v>
      </c>
      <c r="W92" s="5" t="e">
        <f ca="1">IF(OR(INDEX($AI$2:$AI$1001,MATCH(ROWS($AH$2:AH92),$AH$2:$AH$1001,0),1)&gt;=100000,INDEX($AO$1005:$BQ$1005,1,MATCH(COLUMNS($AO$1006:BJ1006),$AO$1006:$BQ$1006,0))&gt;=100000), " ",IF(INDEX($AO$2:$BQ$1001,MATCH(ROWS($AH$2:AH92),$AH$2:$AH$1001,0),MATCH(COLUMNS($AO$1006:BJ1006),$AO$1006:$BQ$1006,0)), HYPERLINK("#",""), HYPERLINK(CONCATENATE("#Metadata!", ADDRESS(INDEX($AJ$2:$AJ$1001,MATCH(ROWS($AH$2:AH92),$AH$2:$AH$1001,0),0), INDEX($AO$1004:$BQ$1004,1,MATCH(COLUMNS($AO$1006:BJ1006),$AO$1006:$BQ$1006,0)))),"Fix")))</f>
        <v>#N/A</v>
      </c>
      <c r="X92" s="5" t="e">
        <f ca="1">IF(OR(INDEX($AI$2:$AI$1001,MATCH(ROWS($AH$2:AH92),$AH$2:$AH$1001,0),1)&gt;=100000,INDEX($AO$1005:$BQ$1005,1,MATCH(COLUMNS($AO$1006:BK1006),$AO$1006:$BQ$1006,0))&gt;=100000), " ",IF(INDEX($AO$2:$BQ$1001,MATCH(ROWS($AH$2:AH92),$AH$2:$AH$1001,0),MATCH(COLUMNS($AO$1006:BK1006),$AO$1006:$BQ$1006,0)), HYPERLINK("#",""), HYPERLINK(CONCATENATE("#Metadata!", ADDRESS(INDEX($AJ$2:$AJ$1001,MATCH(ROWS($AH$2:AH92),$AH$2:$AH$1001,0),0), INDEX($AO$1004:$BQ$1004,1,MATCH(COLUMNS($AO$1006:BK1006),$AO$1006:$BQ$1006,0)))),"Fix")))</f>
        <v>#N/A</v>
      </c>
      <c r="Y92" s="5" t="e">
        <f ca="1">IF(OR(INDEX($AI$2:$AI$1001,MATCH(ROWS($AH$2:AH92),$AH$2:$AH$1001,0),1)&gt;=100000,INDEX($AO$1005:$BQ$1005,1,MATCH(COLUMNS($AO$1006:BL1006),$AO$1006:$BQ$1006,0))&gt;=100000), " ",IF(INDEX($AO$2:$BQ$1001,MATCH(ROWS($AH$2:AH92),$AH$2:$AH$1001,0),MATCH(COLUMNS($AO$1006:BL1006),$AO$1006:$BQ$1006,0)), HYPERLINK("#",""), HYPERLINK(CONCATENATE("#Metadata!", ADDRESS(INDEX($AJ$2:$AJ$1001,MATCH(ROWS($AH$2:AH92),$AH$2:$AH$1001,0),0), INDEX($AO$1004:$BQ$1004,1,MATCH(COLUMNS($AO$1006:BL1006),$AO$1006:$BQ$1006,0)))),"Fix")))</f>
        <v>#N/A</v>
      </c>
      <c r="Z92" s="5" t="e">
        <f ca="1">IF(OR(INDEX($AI$2:$AI$1001,MATCH(ROWS($AH$2:AH92),$AH$2:$AH$1001,0),1)&gt;=100000,INDEX($AO$1005:$BQ$1005,1,MATCH(COLUMNS($AO$1006:BM1006),$AO$1006:$BQ$1006,0))&gt;=100000), " ",IF(INDEX($AO$2:$BQ$1001,MATCH(ROWS($AH$2:AH92),$AH$2:$AH$1001,0),MATCH(COLUMNS($AO$1006:BM1006),$AO$1006:$BQ$1006,0)), HYPERLINK("#",""), HYPERLINK(CONCATENATE("#Metadata!", ADDRESS(INDEX($AJ$2:$AJ$1001,MATCH(ROWS($AH$2:AH92),$AH$2:$AH$1001,0),0), INDEX($AO$1004:$BQ$1004,1,MATCH(COLUMNS($AO$1006:BM1006),$AO$1006:$BQ$1006,0)))),"Fix")))</f>
        <v>#N/A</v>
      </c>
      <c r="AA92" s="5" t="e">
        <f ca="1">IF(OR(INDEX($AI$2:$AI$1001,MATCH(ROWS($AH$2:AH92),$AH$2:$AH$1001,0),1)&gt;=100000,INDEX($AO$1005:$BQ$1005,1,MATCH(COLUMNS($AO$1006:BN1006),$AO$1006:$BQ$1006,0))&gt;=100000), " ",IF(INDEX($AO$2:$BQ$1001,MATCH(ROWS($AH$2:AH92),$AH$2:$AH$1001,0),MATCH(COLUMNS($AO$1006:BN1006),$AO$1006:$BQ$1006,0)), HYPERLINK("#",""), HYPERLINK(CONCATENATE("#Metadata!", ADDRESS(INDEX($AJ$2:$AJ$1001,MATCH(ROWS($AH$2:AH92),$AH$2:$AH$1001,0),0), INDEX($AO$1004:$BQ$1004,1,MATCH(COLUMNS($AO$1006:BN1006),$AO$1006:$BQ$1006,0)))),"Fix")))</f>
        <v>#N/A</v>
      </c>
      <c r="AB92" s="5" t="e">
        <f ca="1">IF(OR(INDEX($AI$2:$AI$1001,MATCH(ROWS($AH$2:AH92),$AH$2:$AH$1001,0),1)&gt;=100000,INDEX($AO$1005:$BQ$1005,1,MATCH(COLUMNS($AO$1006:BO1006),$AO$1006:$BQ$1006,0))&gt;=100000), " ",IF(INDEX($AO$2:$BQ$1001,MATCH(ROWS($AH$2:AH92),$AH$2:$AH$1001,0),MATCH(COLUMNS($AO$1006:BO1006),$AO$1006:$BQ$1006,0)), HYPERLINK("#",""), HYPERLINK(CONCATENATE("#Metadata!", ADDRESS(INDEX($AJ$2:$AJ$1001,MATCH(ROWS($AH$2:AH92),$AH$2:$AH$1001,0),0), INDEX($AO$1004:$BQ$1004,1,MATCH(COLUMNS($AO$1006:BO1006),$AO$1006:$BQ$1006,0)))),"Fix")))</f>
        <v>#N/A</v>
      </c>
      <c r="AC92" s="5" t="e">
        <f ca="1">IF(OR(INDEX($AI$2:$AI$1001,MATCH(ROWS($AH$2:AH92),$AH$2:$AH$1001,0),1)&gt;=100000,INDEX($AO$1005:$BQ$1005,1,MATCH(COLUMNS($AO$1006:BP1006),$AO$1006:$BQ$1006,0))&gt;=100000), " ",IF(INDEX($AO$2:$BQ$1001,MATCH(ROWS($AH$2:AH92),$AH$2:$AH$1001,0),MATCH(COLUMNS($AO$1006:BP1006),$AO$1006:$BQ$1006,0)), HYPERLINK("#",""), HYPERLINK(CONCATENATE("#Metadata!", ADDRESS(INDEX($AJ$2:$AJ$1001,MATCH(ROWS($AH$2:AH92),$AH$2:$AH$1001,0),0), INDEX($AO$1004:$BQ$1004,1,MATCH(COLUMNS($AO$1006:BP1006),$AO$1006:$BQ$1006,0)))),"Fix")))</f>
        <v>#N/A</v>
      </c>
      <c r="AD92" s="5" t="e">
        <f ca="1">IF(OR(INDEX($AI$2:$AI$1001,MATCH(ROWS($AH$2:AH92),$AH$2:$AH$1001,0),1)&gt;=100000,INDEX($AO$1005:$BQ$1005,1,MATCH(COLUMNS($AO$1006:BQ1006),$AO$1006:$BQ$1006,0))&gt;=100000), " ",IF(INDEX($AO$2:$BQ$1001,MATCH(ROWS($AH$2:AH92),$AH$2:$AH$1001,0),MATCH(COLUMNS($AO$1006:BQ1006),$AO$1006:$BQ$1006,0)), HYPERLINK("#",""), HYPERLINK(CONCATENATE("#Metadata!", ADDRESS(INDEX($AJ$2:$AJ$1001,MATCH(ROWS($AH$2:AH92),$AH$2:$AH$1001,0),0), INDEX($AO$1004:$BQ$1004,1,MATCH(COLUMNS($AO$1006:BQ1006),$AO$1006:$BQ$1006,0)))),"Fix")))</f>
        <v>#REF!</v>
      </c>
      <c r="AH92">
        <f ca="1"/>
        <v>89</v>
      </c>
      <c r="AI92">
        <v>100092</v>
      </c>
      <c r="AJ92">
        <v>92</v>
      </c>
      <c r="AK92" t="b">
        <f t="shared" si="1"/>
        <v>1</v>
      </c>
      <c r="AL92" t="b">
        <f>COUNTBLANK(Metadata!B92:AD92)=COLUMNS(Metadata!B92:AD92)</f>
        <v>1</v>
      </c>
      <c r="AM92" t="str">
        <v/>
      </c>
      <c r="AO92" t="b">
        <f ca="1">AND(IF(Metadata!B92="",FALSE,TRUE),COUNTIF(Metadata!B:B, Metadata!B92) = 1,NOT(ISERROR(SUMPRODUCT(SEARCH(MID(Metadata!B92,ROW(INDIRECT("1:"&amp;LEN(Metadata!B92))), 1),"0123456789abcdefghijklmnopqrstuvwxyzABCDEFGHIJKLMNOPQRSTUVWXYZ.")))))</f>
        <v>0</v>
      </c>
      <c r="AP92" t="b">
        <f>IF(Metadata!C92="",FALSE,TRUE)</f>
        <v>0</v>
      </c>
      <c r="AQ92" t="b">
        <f>IF(Metadata!D92="",FALSE,TRUE)</f>
        <v>0</v>
      </c>
      <c r="AR92" t="b">
        <f ca="1">OR(AND(IF(Metadata!E92="",FALSE,TRUE),OR(EXACT(Metadata!E92,"not collected"),EXACT(Metadata!E92,"not provided"),EXACT(Metadata!E92,"restricted access"))),AND(IF(Metadata!E92="",FALSE,TRUE),AND(AND(IFERROR(INT(LEFT(Metadata!E92,4))&gt;1900,FALSE),IFERROR(INT(LEFT(Metadata!E92,4))&lt;=YEAR(NOW()),FALSE)), OR(MID(Metadata!E92,5,1)="", AND(AND(MID(Metadata!E92,5,1)="-",IFERROR(INT(MID(Metadata!E92,6,1))&gt;=0,FALSE),IFERROR(INT(MID(Metadata!E92,6,1))&lt;=1,FALSE),NOT(MID(Metadata!E92,7,1)=""),IFERROR(INT(MID(Metadata!E92,6,2))&gt;=1,FALSE),IFERROR(INT(MID(Metadata!E92,6,2))&lt;=12,FALSE)), OR(MID(Metadata!E92,8,1)="", AND(AND(MID(Metadata!E92,8,1)="-",IFERROR(INT(MID(Metadata!E92,9,1))&gt;=0,FALSE),IFERROR(INT(MID(Metadata!E92,9,1))&lt;=3,FALSE),NOT(MID(Metadata!E92,10,1)=""),IFERROR(INT(MID(Metadata!E92,9,2))&gt;=1,FALSE),IFERROR(INT(MID(Metadata!E92,9,2))&lt;=31,FALSE)), OR(MID(Metadata!E92,11,1)="", AND(AND(MID(Metadata!E92,11,1)=" ",IFERROR(INT(MID(Metadata!E92,12,1))&gt;=0,FALSE),IFERROR(INT(MID(Metadata!E92,12,1))&lt;=2,FALSE),NOT(MID(Metadata!E92,13,1)=""),IFERROR(INT(MID(Metadata!E92,12,2))&gt;=0,FALSE),IFERROR(INT(MID(Metadata!E92,12,2))&lt;=23,FALSE)), OR(MID(Metadata!E92,14,1)="", AND(AND(MID(Metadata!E92,14,1)=":",IFERROR(INT(MID(Metadata!E92,15,1))&gt;=0,FALSE),IFERROR(INT(MID(Metadata!E92,15,1))&lt;=5,FALSE),NOT(MID(Metadata!E92,16,1)=""),IFERROR(INT(MID(Metadata!E92,15,2))&gt;=0,FALSE),IFERROR(INT(MID(Metadata!E92,15,2))&lt;=59,FALSE)), OR(MID(Metadata!E92,17,1)="", AND(AND(MID(Metadata!E92,17,1)=":",IFERROR(INT(MID(Metadata!E92,18,1))&gt;=0,FALSE),IFERROR(INT(MID(Metadata!E92,18,1))&lt;=5,FALSE),NOT(MID(Metadata!E92,19,1)=""),IFERROR(INT(MID(Metadata!E92,18,2))&gt;=0,FALSE),IFERROR(INT(MID(Metadata!E92,18,2))&lt;=59,FALSE)), LEN(Metadata!E92)&lt;=19)))))))))))))</f>
        <v>0</v>
      </c>
      <c r="AS92" t="b">
        <f>IF(Metadata!F92="",FALSE,TRUE)</f>
        <v>0</v>
      </c>
      <c r="AT92" t="b">
        <f>OR(AND(IF(Metadata!G92="",FALSE,TRUE),OR(EXACT(Metadata!G92,"not collected"),EXACT(Metadata!G92,"not provided"))),AND(IF(Metadata!G92="",FALSE,TRUE),OR(EXACT(Metadata!G92,"TRUE"),EXACT(Metadata!G92,"FALSE"))))</f>
        <v>0</v>
      </c>
      <c r="AU92" t="b">
        <f>OR(AND(IF(Metadata!H92="",FALSE,TRUE),OR(EXACT(Metadata!H92,"not collected"),EXACT(Metadata!H92,"not provided"),EXACT(Metadata!H92,"restricted access"))),AND(IF(Metadata!H92="",FALSE,ISNUMBER(VALUE(Metadata!H92))),Metadata!H92&gt;=-413))</f>
        <v>0</v>
      </c>
      <c r="AV92" t="b">
        <f>AND(IF(Metadata!I92="",FALSE,TRUE),EXACT(Metadata!I92,"meters"))</f>
        <v>0</v>
      </c>
      <c r="AW92" t="b">
        <f>AND(IF(Metadata!J92="",FALSE,TRUE),EXACT(Metadata!J92,"free-living"))</f>
        <v>0</v>
      </c>
      <c r="AX92" t="b">
        <f>AND(IF(Metadata!K92="",FALSE,TRUE),OR(EXACT(Metadata!K92,"saline"),EXACT(Metadata!K92,"non-saline")))</f>
        <v>0</v>
      </c>
      <c r="AY92" t="b">
        <f>AND(IF(Metadata!L92="",FALSE,TRUE),OR(EXACT(Metadata!L92,"sub-surface (non-saline)"),EXACT(Metadata!L92,"surface (non-saline)"),EXACT(Metadata!L92,"water (non-saline)"),EXACT(Metadata!L92,"soil (non-saline)"),EXACT(Metadata!L92,"aerosol (non-saline)"),EXACT(Metadata!L92,"sediment (non-saline)"),EXACT(Metadata!L92,"surface (saline)"),EXACT(Metadata!L92,"water (saline)"),EXACT(Metadata!L92,"hypersaline (saline)"),EXACT(Metadata!L92,"aerosol (saline)"),EXACT(Metadata!L92,"sediment (saline)")))</f>
        <v>0</v>
      </c>
      <c r="AZ92" t="b">
        <f>IF(Metadata!M92="",FALSE,TRUE)</f>
        <v>0</v>
      </c>
      <c r="BA92" t="b">
        <f>IF(Metadata!N92="",FALSE,TRUE)</f>
        <v>0</v>
      </c>
      <c r="BB92" t="b">
        <f>IF(Metadata!O92="",FALSE,TRUE)</f>
        <v>0</v>
      </c>
      <c r="BC92" t="b">
        <f>AND(IF(Metadata!P92="",FALSE,TRUE),OR(EXACT(Metadata!P92,"air"),EXACT(Metadata!P92,"microbial mat/biofilm"),EXACT(Metadata!P92,"misc environment"),EXACT(Metadata!P92,"sediment"),EXACT(Metadata!P92,"soil"),EXACT(Metadata!P92,"wastewater/sludge"),EXACT(Metadata!P92,"water")))</f>
        <v>0</v>
      </c>
      <c r="BD92" t="b">
        <f>IF(Metadata!Q92="",FALSE,TRUE)</f>
        <v>0</v>
      </c>
      <c r="BE92" t="b">
        <f>IF(Metadata!R92="",FALSE,TRUE)</f>
        <v>0</v>
      </c>
      <c r="BF92" t="b">
        <f>OR(AND(IF(Metadata!S92="",FALSE,TRUE),OR(EXACT(Metadata!S92,"not collected"),EXACT(Metadata!S92,"not provided"),EXACT(Metadata!S92,"restricted access"))),AND(IF(Metadata!S92="",FALSE,ISNUMBER(VALUE(Metadata!S92))),Metadata!S92&gt;=-90,Metadata!S92&lt;=90))</f>
        <v>0</v>
      </c>
      <c r="BG92" t="b">
        <f>AND(IF(Metadata!T92="",FALSE,TRUE),EXACT(Metadata!T92,"Decimal degrees"))</f>
        <v>0</v>
      </c>
      <c r="BH92" t="b">
        <f>OR(AND(IF(Metadata!U92="",FALSE,TRUE),OR(EXACT(Metadata!U92,"not applicable"),EXACT(Metadata!U92,"not collected"))),IF(Metadata!U92="",FALSE,TRUE))</f>
        <v>0</v>
      </c>
      <c r="BI92" t="b">
        <f>OR(AND(IF(Metadata!V92="",FALSE,TRUE),OR(EXACT(Metadata!V92,"not collected"),EXACT(Metadata!V92,"not provided"),EXACT(Metadata!V92,"restricted access"))),AND(IF(Metadata!V92="",FALSE,ISNUMBER(VALUE(Metadata!V92))),Metadata!V92&gt;=-180,Metadata!V92&lt;=180))</f>
        <v>0</v>
      </c>
      <c r="BJ92" t="b">
        <f>AND(IF(Metadata!W92="",FALSE,TRUE),EXACT(Metadata!W92,"Decimal degrees"))</f>
        <v>0</v>
      </c>
      <c r="BK92" t="b">
        <f>IF(Metadata!X92="",FALSE,TRUE)</f>
        <v>0</v>
      </c>
      <c r="BL92" t="b">
        <f>OR(AND(IF(Metadata!Y92="",FALSE,TRUE),OR(EXACT(Metadata!Y92,"not collected"),EXACT(Metadata!Y92,"not provided"),EXACT(Metadata!Y92,"restricted access"))),AND(IF(Metadata!Y92="",FALSE,TRUE),OR(EXACT(Metadata!Y92,"TRUE"),EXACT(Metadata!Y92,"FALSE"))))</f>
        <v>0</v>
      </c>
      <c r="BM92" t="b">
        <f>OR(AND(IF(Metadata!Z92="",FALSE,TRUE),EXACT(Metadata!Z92,"not applicable")),AND(IF(Metadata!Z92="",FALSE,TRUE),OR(EXACT(Metadata!Z92,"beer"),EXACT(Metadata!Z92,"cheese"),EXACT(Metadata!Z92,"fresh water"),EXACT(Metadata!Z92,"marine sediment"),EXACT(Metadata!Z92,"sea water"),EXACT(Metadata!Z92,"sediment"),EXACT(Metadata!Z92,"soil"),EXACT(Metadata!Z92,"waste water"))))</f>
        <v>0</v>
      </c>
      <c r="BN92" t="b">
        <f>AND(IF(Metadata!AA92="",FALSE,TRUE),EXACT(Metadata!AA92,"metagenome"))</f>
        <v>0</v>
      </c>
      <c r="BO92" t="b">
        <f>AND(IF(Metadata!AB92="",FALSE,TRUE),EXACT(Metadata!AB92,"256318"))</f>
        <v>0</v>
      </c>
      <c r="BP92" t="b">
        <f>IF(Metadata!AC92="",FALSE,TRUE)</f>
        <v>0</v>
      </c>
      <c r="BQ92" t="b">
        <f>IF(Metadata!AD92="",FALSE,TRUE)</f>
        <v>0</v>
      </c>
    </row>
    <row r="93" spans="1:69" x14ac:dyDescent="0.2">
      <c r="A93" s="4" t="e">
        <f ca="1">IF(B93=" "," ",HYPERLINK(CONCATENATE("#metadata!",ADDRESS(INDEX($AJ$2:$AJ$1001,MATCH(ROWS($AH$2:AH93),$AH$2:$AH$1001,0),0),2)),INDEX($AM$2:$AM$1001,MATCH(ROWS($AH$2:AH93),$AH$2:$AH$1001,0),0)))</f>
        <v>#N/A</v>
      </c>
      <c r="B93" s="5" t="e">
        <f ca="1">IF(OR(INDEX($AI$2:$AI$1001,MATCH(ROWS($AH$2:AH93),$AH$2:$AH$1001,0),1)&gt;=100000,INDEX($AO$1005:$BQ$1005,1,MATCH(COLUMNS($AO$1006:AO1006),$AO$1006:$BQ$1006,0))&gt;=100000), " ",IF(INDEX($AO$2:$BQ$1001,MATCH(ROWS($AH$2:AH93),$AH$2:$AH$1001,0),MATCH(COLUMNS($AO$1006:AO1006),$AO$1006:$BQ$1006,0)), HYPERLINK("#",""), HYPERLINK(CONCATENATE("#Metadata!", ADDRESS(INDEX($AJ$2:$AJ$1001,MATCH(ROWS($AH$2:AH93),$AH$2:$AH$1001,0),0), INDEX($AO$1004:$BQ$1004,1,MATCH(COLUMNS($AO$1006:AO1006),$AO$1006:$BQ$1006,0)))),"Fix")))</f>
        <v>#N/A</v>
      </c>
      <c r="C93" s="5" t="e">
        <f ca="1">IF(OR(INDEX($AI$2:$AI$1001,MATCH(ROWS($AH$2:AH93),$AH$2:$AH$1001,0),1)&gt;=100000,INDEX($AO$1005:$BQ$1005,1,MATCH(COLUMNS($AO$1006:AP1006),$AO$1006:$BQ$1006,0))&gt;=100000), " ",IF(INDEX($AO$2:$BQ$1001,MATCH(ROWS($AH$2:AH93),$AH$2:$AH$1001,0),MATCH(COLUMNS($AO$1006:AP1006),$AO$1006:$BQ$1006,0)), HYPERLINK("#",""), HYPERLINK(CONCATENATE("#Metadata!", ADDRESS(INDEX($AJ$2:$AJ$1001,MATCH(ROWS($AH$2:AH93),$AH$2:$AH$1001,0),0), INDEX($AO$1004:$BQ$1004,1,MATCH(COLUMNS($AO$1006:AP1006),$AO$1006:$BQ$1006,0)))),"Fix")))</f>
        <v>#N/A</v>
      </c>
      <c r="D93" s="5" t="e">
        <f ca="1">IF(OR(INDEX($AI$2:$AI$1001,MATCH(ROWS($AH$2:AH93),$AH$2:$AH$1001,0),1)&gt;=100000,INDEX($AO$1005:$BQ$1005,1,MATCH(COLUMNS($AO$1006:AQ1006),$AO$1006:$BQ$1006,0))&gt;=100000), " ",IF(INDEX($AO$2:$BQ$1001,MATCH(ROWS($AH$2:AH93),$AH$2:$AH$1001,0),MATCH(COLUMNS($AO$1006:AQ1006),$AO$1006:$BQ$1006,0)), HYPERLINK("#",""), HYPERLINK(CONCATENATE("#Metadata!", ADDRESS(INDEX($AJ$2:$AJ$1001,MATCH(ROWS($AH$2:AH93),$AH$2:$AH$1001,0),0), INDEX($AO$1004:$BQ$1004,1,MATCH(COLUMNS($AO$1006:AQ1006),$AO$1006:$BQ$1006,0)))),"Fix")))</f>
        <v>#N/A</v>
      </c>
      <c r="E93" s="5" t="e">
        <f ca="1">IF(OR(INDEX($AI$2:$AI$1001,MATCH(ROWS($AH$2:AH93),$AH$2:$AH$1001,0),1)&gt;=100000,INDEX($AO$1005:$BQ$1005,1,MATCH(COLUMNS($AO$1006:AR1006),$AO$1006:$BQ$1006,0))&gt;=100000), " ",IF(INDEX($AO$2:$BQ$1001,MATCH(ROWS($AH$2:AH93),$AH$2:$AH$1001,0),MATCH(COLUMNS($AO$1006:AR1006),$AO$1006:$BQ$1006,0)), HYPERLINK("#",""), HYPERLINK(CONCATENATE("#Metadata!", ADDRESS(INDEX($AJ$2:$AJ$1001,MATCH(ROWS($AH$2:AH93),$AH$2:$AH$1001,0),0), INDEX($AO$1004:$BQ$1004,1,MATCH(COLUMNS($AO$1006:AR1006),$AO$1006:$BQ$1006,0)))),"Fix")))</f>
        <v>#N/A</v>
      </c>
      <c r="F93" s="5" t="e">
        <f ca="1">IF(OR(INDEX($AI$2:$AI$1001,MATCH(ROWS($AH$2:AH93),$AH$2:$AH$1001,0),1)&gt;=100000,INDEX($AO$1005:$BQ$1005,1,MATCH(COLUMNS($AO$1006:AS1006),$AO$1006:$BQ$1006,0))&gt;=100000), " ",IF(INDEX($AO$2:$BQ$1001,MATCH(ROWS($AH$2:AH93),$AH$2:$AH$1001,0),MATCH(COLUMNS($AO$1006:AS1006),$AO$1006:$BQ$1006,0)), HYPERLINK("#",""), HYPERLINK(CONCATENATE("#Metadata!", ADDRESS(INDEX($AJ$2:$AJ$1001,MATCH(ROWS($AH$2:AH93),$AH$2:$AH$1001,0),0), INDEX($AO$1004:$BQ$1004,1,MATCH(COLUMNS($AO$1006:AS1006),$AO$1006:$BQ$1006,0)))),"Fix")))</f>
        <v>#N/A</v>
      </c>
      <c r="G93" s="5" t="e">
        <f ca="1">IF(OR(INDEX($AI$2:$AI$1001,MATCH(ROWS($AH$2:AH93),$AH$2:$AH$1001,0),1)&gt;=100000,INDEX($AO$1005:$BQ$1005,1,MATCH(COLUMNS($AO$1006:AT1006),$AO$1006:$BQ$1006,0))&gt;=100000), " ",IF(INDEX($AO$2:$BQ$1001,MATCH(ROWS($AH$2:AH93),$AH$2:$AH$1001,0),MATCH(COLUMNS($AO$1006:AT1006),$AO$1006:$BQ$1006,0)), HYPERLINK("#",""), HYPERLINK(CONCATENATE("#Metadata!", ADDRESS(INDEX($AJ$2:$AJ$1001,MATCH(ROWS($AH$2:AH93),$AH$2:$AH$1001,0),0), INDEX($AO$1004:$BQ$1004,1,MATCH(COLUMNS($AO$1006:AT1006),$AO$1006:$BQ$1006,0)))),"Fix")))</f>
        <v>#N/A</v>
      </c>
      <c r="H93" s="5" t="e">
        <f ca="1">IF(OR(INDEX($AI$2:$AI$1001,MATCH(ROWS($AH$2:AH93),$AH$2:$AH$1001,0),1)&gt;=100000,INDEX($AO$1005:$BQ$1005,1,MATCH(COLUMNS($AO$1006:AU1006),$AO$1006:$BQ$1006,0))&gt;=100000), " ",IF(INDEX($AO$2:$BQ$1001,MATCH(ROWS($AH$2:AH93),$AH$2:$AH$1001,0),MATCH(COLUMNS($AO$1006:AU1006),$AO$1006:$BQ$1006,0)), HYPERLINK("#",""), HYPERLINK(CONCATENATE("#Metadata!", ADDRESS(INDEX($AJ$2:$AJ$1001,MATCH(ROWS($AH$2:AH93),$AH$2:$AH$1001,0),0), INDEX($AO$1004:$BQ$1004,1,MATCH(COLUMNS($AO$1006:AU1006),$AO$1006:$BQ$1006,0)))),"Fix")))</f>
        <v>#N/A</v>
      </c>
      <c r="I93" s="5" t="e">
        <f ca="1">IF(OR(INDEX($AI$2:$AI$1001,MATCH(ROWS($AH$2:AH93),$AH$2:$AH$1001,0),1)&gt;=100000,INDEX($AO$1005:$BQ$1005,1,MATCH(COLUMNS($AO$1006:AV1006),$AO$1006:$BQ$1006,0))&gt;=100000), " ",IF(INDEX($AO$2:$BQ$1001,MATCH(ROWS($AH$2:AH93),$AH$2:$AH$1001,0),MATCH(COLUMNS($AO$1006:AV1006),$AO$1006:$BQ$1006,0)), HYPERLINK("#",""), HYPERLINK(CONCATENATE("#Metadata!", ADDRESS(INDEX($AJ$2:$AJ$1001,MATCH(ROWS($AH$2:AH93),$AH$2:$AH$1001,0),0), INDEX($AO$1004:$BQ$1004,1,MATCH(COLUMNS($AO$1006:AV1006),$AO$1006:$BQ$1006,0)))),"Fix")))</f>
        <v>#N/A</v>
      </c>
      <c r="J93" s="5" t="e">
        <f ca="1">IF(OR(INDEX($AI$2:$AI$1001,MATCH(ROWS($AH$2:AH93),$AH$2:$AH$1001,0),1)&gt;=100000,INDEX($AO$1005:$BQ$1005,1,MATCH(COLUMNS($AO$1006:AW1006),$AO$1006:$BQ$1006,0))&gt;=100000), " ",IF(INDEX($AO$2:$BQ$1001,MATCH(ROWS($AH$2:AH93),$AH$2:$AH$1001,0),MATCH(COLUMNS($AO$1006:AW1006),$AO$1006:$BQ$1006,0)), HYPERLINK("#",""), HYPERLINK(CONCATENATE("#Metadata!", ADDRESS(INDEX($AJ$2:$AJ$1001,MATCH(ROWS($AH$2:AH93),$AH$2:$AH$1001,0),0), INDEX($AO$1004:$BQ$1004,1,MATCH(COLUMNS($AO$1006:AW1006),$AO$1006:$BQ$1006,0)))),"Fix")))</f>
        <v>#N/A</v>
      </c>
      <c r="K93" s="5" t="e">
        <f ca="1">IF(OR(INDEX($AI$2:$AI$1001,MATCH(ROWS($AH$2:AH93),$AH$2:$AH$1001,0),1)&gt;=100000,INDEX($AO$1005:$BQ$1005,1,MATCH(COLUMNS($AO$1006:AX1006),$AO$1006:$BQ$1006,0))&gt;=100000), " ",IF(INDEX($AO$2:$BQ$1001,MATCH(ROWS($AH$2:AH93),$AH$2:$AH$1001,0),MATCH(COLUMNS($AO$1006:AX1006),$AO$1006:$BQ$1006,0)), HYPERLINK("#",""), HYPERLINK(CONCATENATE("#Metadata!", ADDRESS(INDEX($AJ$2:$AJ$1001,MATCH(ROWS($AH$2:AH93),$AH$2:$AH$1001,0),0), INDEX($AO$1004:$BQ$1004,1,MATCH(COLUMNS($AO$1006:AX1006),$AO$1006:$BQ$1006,0)))),"Fix")))</f>
        <v>#N/A</v>
      </c>
      <c r="L93" s="5" t="e">
        <f ca="1">IF(OR(INDEX($AI$2:$AI$1001,MATCH(ROWS($AH$2:AH93),$AH$2:$AH$1001,0),1)&gt;=100000,INDEX($AO$1005:$BQ$1005,1,MATCH(COLUMNS($AO$1006:AY1006),$AO$1006:$BQ$1006,0))&gt;=100000), " ",IF(INDEX($AO$2:$BQ$1001,MATCH(ROWS($AH$2:AH93),$AH$2:$AH$1001,0),MATCH(COLUMNS($AO$1006:AY1006),$AO$1006:$BQ$1006,0)), HYPERLINK("#",""), HYPERLINK(CONCATENATE("#Metadata!", ADDRESS(INDEX($AJ$2:$AJ$1001,MATCH(ROWS($AH$2:AH93),$AH$2:$AH$1001,0),0), INDEX($AO$1004:$BQ$1004,1,MATCH(COLUMNS($AO$1006:AY1006),$AO$1006:$BQ$1006,0)))),"Fix")))</f>
        <v>#N/A</v>
      </c>
      <c r="M93" s="5" t="e">
        <f ca="1">IF(OR(INDEX($AI$2:$AI$1001,MATCH(ROWS($AH$2:AH93),$AH$2:$AH$1001,0),1)&gt;=100000,INDEX($AO$1005:$BQ$1005,1,MATCH(COLUMNS($AO$1006:AZ1006),$AO$1006:$BQ$1006,0))&gt;=100000), " ",IF(INDEX($AO$2:$BQ$1001,MATCH(ROWS($AH$2:AH93),$AH$2:$AH$1001,0),MATCH(COLUMNS($AO$1006:AZ1006),$AO$1006:$BQ$1006,0)), HYPERLINK("#",""), HYPERLINK(CONCATENATE("#Metadata!", ADDRESS(INDEX($AJ$2:$AJ$1001,MATCH(ROWS($AH$2:AH93),$AH$2:$AH$1001,0),0), INDEX($AO$1004:$BQ$1004,1,MATCH(COLUMNS($AO$1006:AZ1006),$AO$1006:$BQ$1006,0)))),"Fix")))</f>
        <v>#N/A</v>
      </c>
      <c r="N93" s="5" t="e">
        <f ca="1">IF(OR(INDEX($AI$2:$AI$1001,MATCH(ROWS($AH$2:AH93),$AH$2:$AH$1001,0),1)&gt;=100000,INDEX($AO$1005:$BQ$1005,1,MATCH(COLUMNS($AO$1006:BA1006),$AO$1006:$BQ$1006,0))&gt;=100000), " ",IF(INDEX($AO$2:$BQ$1001,MATCH(ROWS($AH$2:AH93),$AH$2:$AH$1001,0),MATCH(COLUMNS($AO$1006:BA1006),$AO$1006:$BQ$1006,0)), HYPERLINK("#",""), HYPERLINK(CONCATENATE("#Metadata!", ADDRESS(INDEX($AJ$2:$AJ$1001,MATCH(ROWS($AH$2:AH93),$AH$2:$AH$1001,0),0), INDEX($AO$1004:$BQ$1004,1,MATCH(COLUMNS($AO$1006:BA1006),$AO$1006:$BQ$1006,0)))),"Fix")))</f>
        <v>#N/A</v>
      </c>
      <c r="O93" s="5" t="e">
        <f ca="1">IF(OR(INDEX($AI$2:$AI$1001,MATCH(ROWS($AH$2:AH93),$AH$2:$AH$1001,0),1)&gt;=100000,INDEX($AO$1005:$BQ$1005,1,MATCH(COLUMNS($AO$1006:BB1006),$AO$1006:$BQ$1006,0))&gt;=100000), " ",IF(INDEX($AO$2:$BQ$1001,MATCH(ROWS($AH$2:AH93),$AH$2:$AH$1001,0),MATCH(COLUMNS($AO$1006:BB1006),$AO$1006:$BQ$1006,0)), HYPERLINK("#",""), HYPERLINK(CONCATENATE("#Metadata!", ADDRESS(INDEX($AJ$2:$AJ$1001,MATCH(ROWS($AH$2:AH93),$AH$2:$AH$1001,0),0), INDEX($AO$1004:$BQ$1004,1,MATCH(COLUMNS($AO$1006:BB1006),$AO$1006:$BQ$1006,0)))),"Fix")))</f>
        <v>#N/A</v>
      </c>
      <c r="P93" s="5" t="e">
        <f ca="1">IF(OR(INDEX($AI$2:$AI$1001,MATCH(ROWS($AH$2:AH93),$AH$2:$AH$1001,0),1)&gt;=100000,INDEX($AO$1005:$BQ$1005,1,MATCH(COLUMNS($AO$1006:BC1006),$AO$1006:$BQ$1006,0))&gt;=100000), " ",IF(INDEX($AO$2:$BQ$1001,MATCH(ROWS($AH$2:AH93),$AH$2:$AH$1001,0),MATCH(COLUMNS($AO$1006:BC1006),$AO$1006:$BQ$1006,0)), HYPERLINK("#",""), HYPERLINK(CONCATENATE("#Metadata!", ADDRESS(INDEX($AJ$2:$AJ$1001,MATCH(ROWS($AH$2:AH93),$AH$2:$AH$1001,0),0), INDEX($AO$1004:$BQ$1004,1,MATCH(COLUMNS($AO$1006:BC1006),$AO$1006:$BQ$1006,0)))),"Fix")))</f>
        <v>#N/A</v>
      </c>
      <c r="Q93" s="5" t="e">
        <f ca="1">IF(OR(INDEX($AI$2:$AI$1001,MATCH(ROWS($AH$2:AH93),$AH$2:$AH$1001,0),1)&gt;=100000,INDEX($AO$1005:$BQ$1005,1,MATCH(COLUMNS($AO$1006:BD1006),$AO$1006:$BQ$1006,0))&gt;=100000), " ",IF(INDEX($AO$2:$BQ$1001,MATCH(ROWS($AH$2:AH93),$AH$2:$AH$1001,0),MATCH(COLUMNS($AO$1006:BD1006),$AO$1006:$BQ$1006,0)), HYPERLINK("#",""), HYPERLINK(CONCATENATE("#Metadata!", ADDRESS(INDEX($AJ$2:$AJ$1001,MATCH(ROWS($AH$2:AH93),$AH$2:$AH$1001,0),0), INDEX($AO$1004:$BQ$1004,1,MATCH(COLUMNS($AO$1006:BD1006),$AO$1006:$BQ$1006,0)))),"Fix")))</f>
        <v>#N/A</v>
      </c>
      <c r="R93" s="5" t="e">
        <f ca="1">IF(OR(INDEX($AI$2:$AI$1001,MATCH(ROWS($AH$2:AH93),$AH$2:$AH$1001,0),1)&gt;=100000,INDEX($AO$1005:$BQ$1005,1,MATCH(COLUMNS($AO$1006:BE1006),$AO$1006:$BQ$1006,0))&gt;=100000), " ",IF(INDEX($AO$2:$BQ$1001,MATCH(ROWS($AH$2:AH93),$AH$2:$AH$1001,0),MATCH(COLUMNS($AO$1006:BE1006),$AO$1006:$BQ$1006,0)), HYPERLINK("#",""), HYPERLINK(CONCATENATE("#Metadata!", ADDRESS(INDEX($AJ$2:$AJ$1001,MATCH(ROWS($AH$2:AH93),$AH$2:$AH$1001,0),0), INDEX($AO$1004:$BQ$1004,1,MATCH(COLUMNS($AO$1006:BE1006),$AO$1006:$BQ$1006,0)))),"Fix")))</f>
        <v>#N/A</v>
      </c>
      <c r="S93" s="5" t="e">
        <f ca="1">IF(OR(INDEX($AI$2:$AI$1001,MATCH(ROWS($AH$2:AH93),$AH$2:$AH$1001,0),1)&gt;=100000,INDEX($AO$1005:$BQ$1005,1,MATCH(COLUMNS($AO$1006:BF1006),$AO$1006:$BQ$1006,0))&gt;=100000), " ",IF(INDEX($AO$2:$BQ$1001,MATCH(ROWS($AH$2:AH93),$AH$2:$AH$1001,0),MATCH(COLUMNS($AO$1006:BF1006),$AO$1006:$BQ$1006,0)), HYPERLINK("#",""), HYPERLINK(CONCATENATE("#Metadata!", ADDRESS(INDEX($AJ$2:$AJ$1001,MATCH(ROWS($AH$2:AH93),$AH$2:$AH$1001,0),0), INDEX($AO$1004:$BQ$1004,1,MATCH(COLUMNS($AO$1006:BF1006),$AO$1006:$BQ$1006,0)))),"Fix")))</f>
        <v>#N/A</v>
      </c>
      <c r="T93" s="5" t="e">
        <f ca="1">IF(OR(INDEX($AI$2:$AI$1001,MATCH(ROWS($AH$2:AH93),$AH$2:$AH$1001,0),1)&gt;=100000,INDEX($AO$1005:$BQ$1005,1,MATCH(COLUMNS($AO$1006:BG1006),$AO$1006:$BQ$1006,0))&gt;=100000), " ",IF(INDEX($AO$2:$BQ$1001,MATCH(ROWS($AH$2:AH93),$AH$2:$AH$1001,0),MATCH(COLUMNS($AO$1006:BG1006),$AO$1006:$BQ$1006,0)), HYPERLINK("#",""), HYPERLINK(CONCATENATE("#Metadata!", ADDRESS(INDEX($AJ$2:$AJ$1001,MATCH(ROWS($AH$2:AH93),$AH$2:$AH$1001,0),0), INDEX($AO$1004:$BQ$1004,1,MATCH(COLUMNS($AO$1006:BG1006),$AO$1006:$BQ$1006,0)))),"Fix")))</f>
        <v>#N/A</v>
      </c>
      <c r="U93" s="5" t="e">
        <f ca="1">IF(OR(INDEX($AI$2:$AI$1001,MATCH(ROWS($AH$2:AH93),$AH$2:$AH$1001,0),1)&gt;=100000,INDEX($AO$1005:$BQ$1005,1,MATCH(COLUMNS($AO$1006:BH1006),$AO$1006:$BQ$1006,0))&gt;=100000), " ",IF(INDEX($AO$2:$BQ$1001,MATCH(ROWS($AH$2:AH93),$AH$2:$AH$1001,0),MATCH(COLUMNS($AO$1006:BH1006),$AO$1006:$BQ$1006,0)), HYPERLINK("#",""), HYPERLINK(CONCATENATE("#Metadata!", ADDRESS(INDEX($AJ$2:$AJ$1001,MATCH(ROWS($AH$2:AH93),$AH$2:$AH$1001,0),0), INDEX($AO$1004:$BQ$1004,1,MATCH(COLUMNS($AO$1006:BH1006),$AO$1006:$BQ$1006,0)))),"Fix")))</f>
        <v>#N/A</v>
      </c>
      <c r="V93" s="5" t="e">
        <f ca="1">IF(OR(INDEX($AI$2:$AI$1001,MATCH(ROWS($AH$2:AH93),$AH$2:$AH$1001,0),1)&gt;=100000,INDEX($AO$1005:$BQ$1005,1,MATCH(COLUMNS($AO$1006:BI1006),$AO$1006:$BQ$1006,0))&gt;=100000), " ",IF(INDEX($AO$2:$BQ$1001,MATCH(ROWS($AH$2:AH93),$AH$2:$AH$1001,0),MATCH(COLUMNS($AO$1006:BI1006),$AO$1006:$BQ$1006,0)), HYPERLINK("#",""), HYPERLINK(CONCATENATE("#Metadata!", ADDRESS(INDEX($AJ$2:$AJ$1001,MATCH(ROWS($AH$2:AH93),$AH$2:$AH$1001,0),0), INDEX($AO$1004:$BQ$1004,1,MATCH(COLUMNS($AO$1006:BI1006),$AO$1006:$BQ$1006,0)))),"Fix")))</f>
        <v>#N/A</v>
      </c>
      <c r="W93" s="5" t="e">
        <f ca="1">IF(OR(INDEX($AI$2:$AI$1001,MATCH(ROWS($AH$2:AH93),$AH$2:$AH$1001,0),1)&gt;=100000,INDEX($AO$1005:$BQ$1005,1,MATCH(COLUMNS($AO$1006:BJ1006),$AO$1006:$BQ$1006,0))&gt;=100000), " ",IF(INDEX($AO$2:$BQ$1001,MATCH(ROWS($AH$2:AH93),$AH$2:$AH$1001,0),MATCH(COLUMNS($AO$1006:BJ1006),$AO$1006:$BQ$1006,0)), HYPERLINK("#",""), HYPERLINK(CONCATENATE("#Metadata!", ADDRESS(INDEX($AJ$2:$AJ$1001,MATCH(ROWS($AH$2:AH93),$AH$2:$AH$1001,0),0), INDEX($AO$1004:$BQ$1004,1,MATCH(COLUMNS($AO$1006:BJ1006),$AO$1006:$BQ$1006,0)))),"Fix")))</f>
        <v>#N/A</v>
      </c>
      <c r="X93" s="5" t="e">
        <f ca="1">IF(OR(INDEX($AI$2:$AI$1001,MATCH(ROWS($AH$2:AH93),$AH$2:$AH$1001,0),1)&gt;=100000,INDEX($AO$1005:$BQ$1005,1,MATCH(COLUMNS($AO$1006:BK1006),$AO$1006:$BQ$1006,0))&gt;=100000), " ",IF(INDEX($AO$2:$BQ$1001,MATCH(ROWS($AH$2:AH93),$AH$2:$AH$1001,0),MATCH(COLUMNS($AO$1006:BK1006),$AO$1006:$BQ$1006,0)), HYPERLINK("#",""), HYPERLINK(CONCATENATE("#Metadata!", ADDRESS(INDEX($AJ$2:$AJ$1001,MATCH(ROWS($AH$2:AH93),$AH$2:$AH$1001,0),0), INDEX($AO$1004:$BQ$1004,1,MATCH(COLUMNS($AO$1006:BK1006),$AO$1006:$BQ$1006,0)))),"Fix")))</f>
        <v>#N/A</v>
      </c>
      <c r="Y93" s="5" t="e">
        <f ca="1">IF(OR(INDEX($AI$2:$AI$1001,MATCH(ROWS($AH$2:AH93),$AH$2:$AH$1001,0),1)&gt;=100000,INDEX($AO$1005:$BQ$1005,1,MATCH(COLUMNS($AO$1006:BL1006),$AO$1006:$BQ$1006,0))&gt;=100000), " ",IF(INDEX($AO$2:$BQ$1001,MATCH(ROWS($AH$2:AH93),$AH$2:$AH$1001,0),MATCH(COLUMNS($AO$1006:BL1006),$AO$1006:$BQ$1006,0)), HYPERLINK("#",""), HYPERLINK(CONCATENATE("#Metadata!", ADDRESS(INDEX($AJ$2:$AJ$1001,MATCH(ROWS($AH$2:AH93),$AH$2:$AH$1001,0),0), INDEX($AO$1004:$BQ$1004,1,MATCH(COLUMNS($AO$1006:BL1006),$AO$1006:$BQ$1006,0)))),"Fix")))</f>
        <v>#N/A</v>
      </c>
      <c r="Z93" s="5" t="e">
        <f ca="1">IF(OR(INDEX($AI$2:$AI$1001,MATCH(ROWS($AH$2:AH93),$AH$2:$AH$1001,0),1)&gt;=100000,INDEX($AO$1005:$BQ$1005,1,MATCH(COLUMNS($AO$1006:BM1006),$AO$1006:$BQ$1006,0))&gt;=100000), " ",IF(INDEX($AO$2:$BQ$1001,MATCH(ROWS($AH$2:AH93),$AH$2:$AH$1001,0),MATCH(COLUMNS($AO$1006:BM1006),$AO$1006:$BQ$1006,0)), HYPERLINK("#",""), HYPERLINK(CONCATENATE("#Metadata!", ADDRESS(INDEX($AJ$2:$AJ$1001,MATCH(ROWS($AH$2:AH93),$AH$2:$AH$1001,0),0), INDEX($AO$1004:$BQ$1004,1,MATCH(COLUMNS($AO$1006:BM1006),$AO$1006:$BQ$1006,0)))),"Fix")))</f>
        <v>#N/A</v>
      </c>
      <c r="AA93" s="5" t="e">
        <f ca="1">IF(OR(INDEX($AI$2:$AI$1001,MATCH(ROWS($AH$2:AH93),$AH$2:$AH$1001,0),1)&gt;=100000,INDEX($AO$1005:$BQ$1005,1,MATCH(COLUMNS($AO$1006:BN1006),$AO$1006:$BQ$1006,0))&gt;=100000), " ",IF(INDEX($AO$2:$BQ$1001,MATCH(ROWS($AH$2:AH93),$AH$2:$AH$1001,0),MATCH(COLUMNS($AO$1006:BN1006),$AO$1006:$BQ$1006,0)), HYPERLINK("#",""), HYPERLINK(CONCATENATE("#Metadata!", ADDRESS(INDEX($AJ$2:$AJ$1001,MATCH(ROWS($AH$2:AH93),$AH$2:$AH$1001,0),0), INDEX($AO$1004:$BQ$1004,1,MATCH(COLUMNS($AO$1006:BN1006),$AO$1006:$BQ$1006,0)))),"Fix")))</f>
        <v>#N/A</v>
      </c>
      <c r="AB93" s="5" t="e">
        <f ca="1">IF(OR(INDEX($AI$2:$AI$1001,MATCH(ROWS($AH$2:AH93),$AH$2:$AH$1001,0),1)&gt;=100000,INDEX($AO$1005:$BQ$1005,1,MATCH(COLUMNS($AO$1006:BO1006),$AO$1006:$BQ$1006,0))&gt;=100000), " ",IF(INDEX($AO$2:$BQ$1001,MATCH(ROWS($AH$2:AH93),$AH$2:$AH$1001,0),MATCH(COLUMNS($AO$1006:BO1006),$AO$1006:$BQ$1006,0)), HYPERLINK("#",""), HYPERLINK(CONCATENATE("#Metadata!", ADDRESS(INDEX($AJ$2:$AJ$1001,MATCH(ROWS($AH$2:AH93),$AH$2:$AH$1001,0),0), INDEX($AO$1004:$BQ$1004,1,MATCH(COLUMNS($AO$1006:BO1006),$AO$1006:$BQ$1006,0)))),"Fix")))</f>
        <v>#N/A</v>
      </c>
      <c r="AC93" s="5" t="e">
        <f ca="1">IF(OR(INDEX($AI$2:$AI$1001,MATCH(ROWS($AH$2:AH93),$AH$2:$AH$1001,0),1)&gt;=100000,INDEX($AO$1005:$BQ$1005,1,MATCH(COLUMNS($AO$1006:BP1006),$AO$1006:$BQ$1006,0))&gt;=100000), " ",IF(INDEX($AO$2:$BQ$1001,MATCH(ROWS($AH$2:AH93),$AH$2:$AH$1001,0),MATCH(COLUMNS($AO$1006:BP1006),$AO$1006:$BQ$1006,0)), HYPERLINK("#",""), HYPERLINK(CONCATENATE("#Metadata!", ADDRESS(INDEX($AJ$2:$AJ$1001,MATCH(ROWS($AH$2:AH93),$AH$2:$AH$1001,0),0), INDEX($AO$1004:$BQ$1004,1,MATCH(COLUMNS($AO$1006:BP1006),$AO$1006:$BQ$1006,0)))),"Fix")))</f>
        <v>#N/A</v>
      </c>
      <c r="AD93" s="5" t="e">
        <f ca="1">IF(OR(INDEX($AI$2:$AI$1001,MATCH(ROWS($AH$2:AH93),$AH$2:$AH$1001,0),1)&gt;=100000,INDEX($AO$1005:$BQ$1005,1,MATCH(COLUMNS($AO$1006:BQ1006),$AO$1006:$BQ$1006,0))&gt;=100000), " ",IF(INDEX($AO$2:$BQ$1001,MATCH(ROWS($AH$2:AH93),$AH$2:$AH$1001,0),MATCH(COLUMNS($AO$1006:BQ1006),$AO$1006:$BQ$1006,0)), HYPERLINK("#",""), HYPERLINK(CONCATENATE("#Metadata!", ADDRESS(INDEX($AJ$2:$AJ$1001,MATCH(ROWS($AH$2:AH93),$AH$2:$AH$1001,0),0), INDEX($AO$1004:$BQ$1004,1,MATCH(COLUMNS($AO$1006:BQ1006),$AO$1006:$BQ$1006,0)))),"Fix")))</f>
        <v>#REF!</v>
      </c>
      <c r="AH93">
        <f ca="1"/>
        <v>90</v>
      </c>
      <c r="AI93">
        <v>100093</v>
      </c>
      <c r="AJ93">
        <v>93</v>
      </c>
      <c r="AK93" t="b">
        <f t="shared" si="1"/>
        <v>1</v>
      </c>
      <c r="AL93" t="b">
        <f>COUNTBLANK(Metadata!B93:AD93)=COLUMNS(Metadata!B93:AD93)</f>
        <v>1</v>
      </c>
      <c r="AM93" t="str">
        <v/>
      </c>
      <c r="AO93" t="b">
        <f ca="1">AND(IF(Metadata!B93="",FALSE,TRUE),COUNTIF(Metadata!B:B, Metadata!B93) = 1,NOT(ISERROR(SUMPRODUCT(SEARCH(MID(Metadata!B93,ROW(INDIRECT("1:"&amp;LEN(Metadata!B93))), 1),"0123456789abcdefghijklmnopqrstuvwxyzABCDEFGHIJKLMNOPQRSTUVWXYZ.")))))</f>
        <v>0</v>
      </c>
      <c r="AP93" t="b">
        <f>IF(Metadata!C93="",FALSE,TRUE)</f>
        <v>0</v>
      </c>
      <c r="AQ93" t="b">
        <f>IF(Metadata!D93="",FALSE,TRUE)</f>
        <v>0</v>
      </c>
      <c r="AR93" t="b">
        <f ca="1">OR(AND(IF(Metadata!E93="",FALSE,TRUE),OR(EXACT(Metadata!E93,"not collected"),EXACT(Metadata!E93,"not provided"),EXACT(Metadata!E93,"restricted access"))),AND(IF(Metadata!E93="",FALSE,TRUE),AND(AND(IFERROR(INT(LEFT(Metadata!E93,4))&gt;1900,FALSE),IFERROR(INT(LEFT(Metadata!E93,4))&lt;=YEAR(NOW()),FALSE)), OR(MID(Metadata!E93,5,1)="", AND(AND(MID(Metadata!E93,5,1)="-",IFERROR(INT(MID(Metadata!E93,6,1))&gt;=0,FALSE),IFERROR(INT(MID(Metadata!E93,6,1))&lt;=1,FALSE),NOT(MID(Metadata!E93,7,1)=""),IFERROR(INT(MID(Metadata!E93,6,2))&gt;=1,FALSE),IFERROR(INT(MID(Metadata!E93,6,2))&lt;=12,FALSE)), OR(MID(Metadata!E93,8,1)="", AND(AND(MID(Metadata!E93,8,1)="-",IFERROR(INT(MID(Metadata!E93,9,1))&gt;=0,FALSE),IFERROR(INT(MID(Metadata!E93,9,1))&lt;=3,FALSE),NOT(MID(Metadata!E93,10,1)=""),IFERROR(INT(MID(Metadata!E93,9,2))&gt;=1,FALSE),IFERROR(INT(MID(Metadata!E93,9,2))&lt;=31,FALSE)), OR(MID(Metadata!E93,11,1)="", AND(AND(MID(Metadata!E93,11,1)=" ",IFERROR(INT(MID(Metadata!E93,12,1))&gt;=0,FALSE),IFERROR(INT(MID(Metadata!E93,12,1))&lt;=2,FALSE),NOT(MID(Metadata!E93,13,1)=""),IFERROR(INT(MID(Metadata!E93,12,2))&gt;=0,FALSE),IFERROR(INT(MID(Metadata!E93,12,2))&lt;=23,FALSE)), OR(MID(Metadata!E93,14,1)="", AND(AND(MID(Metadata!E93,14,1)=":",IFERROR(INT(MID(Metadata!E93,15,1))&gt;=0,FALSE),IFERROR(INT(MID(Metadata!E93,15,1))&lt;=5,FALSE),NOT(MID(Metadata!E93,16,1)=""),IFERROR(INT(MID(Metadata!E93,15,2))&gt;=0,FALSE),IFERROR(INT(MID(Metadata!E93,15,2))&lt;=59,FALSE)), OR(MID(Metadata!E93,17,1)="", AND(AND(MID(Metadata!E93,17,1)=":",IFERROR(INT(MID(Metadata!E93,18,1))&gt;=0,FALSE),IFERROR(INT(MID(Metadata!E93,18,1))&lt;=5,FALSE),NOT(MID(Metadata!E93,19,1)=""),IFERROR(INT(MID(Metadata!E93,18,2))&gt;=0,FALSE),IFERROR(INT(MID(Metadata!E93,18,2))&lt;=59,FALSE)), LEN(Metadata!E93)&lt;=19)))))))))))))</f>
        <v>0</v>
      </c>
      <c r="AS93" t="b">
        <f>IF(Metadata!F93="",FALSE,TRUE)</f>
        <v>0</v>
      </c>
      <c r="AT93" t="b">
        <f>OR(AND(IF(Metadata!G93="",FALSE,TRUE),OR(EXACT(Metadata!G93,"not collected"),EXACT(Metadata!G93,"not provided"))),AND(IF(Metadata!G93="",FALSE,TRUE),OR(EXACT(Metadata!G93,"TRUE"),EXACT(Metadata!G93,"FALSE"))))</f>
        <v>0</v>
      </c>
      <c r="AU93" t="b">
        <f>OR(AND(IF(Metadata!H93="",FALSE,TRUE),OR(EXACT(Metadata!H93,"not collected"),EXACT(Metadata!H93,"not provided"),EXACT(Metadata!H93,"restricted access"))),AND(IF(Metadata!H93="",FALSE,ISNUMBER(VALUE(Metadata!H93))),Metadata!H93&gt;=-413))</f>
        <v>0</v>
      </c>
      <c r="AV93" t="b">
        <f>AND(IF(Metadata!I93="",FALSE,TRUE),EXACT(Metadata!I93,"meters"))</f>
        <v>0</v>
      </c>
      <c r="AW93" t="b">
        <f>AND(IF(Metadata!J93="",FALSE,TRUE),EXACT(Metadata!J93,"free-living"))</f>
        <v>0</v>
      </c>
      <c r="AX93" t="b">
        <f>AND(IF(Metadata!K93="",FALSE,TRUE),OR(EXACT(Metadata!K93,"saline"),EXACT(Metadata!K93,"non-saline")))</f>
        <v>0</v>
      </c>
      <c r="AY93" t="b">
        <f>AND(IF(Metadata!L93="",FALSE,TRUE),OR(EXACT(Metadata!L93,"sub-surface (non-saline)"),EXACT(Metadata!L93,"surface (non-saline)"),EXACT(Metadata!L93,"water (non-saline)"),EXACT(Metadata!L93,"soil (non-saline)"),EXACT(Metadata!L93,"aerosol (non-saline)"),EXACT(Metadata!L93,"sediment (non-saline)"),EXACT(Metadata!L93,"surface (saline)"),EXACT(Metadata!L93,"water (saline)"),EXACT(Metadata!L93,"hypersaline (saline)"),EXACT(Metadata!L93,"aerosol (saline)"),EXACT(Metadata!L93,"sediment (saline)")))</f>
        <v>0</v>
      </c>
      <c r="AZ93" t="b">
        <f>IF(Metadata!M93="",FALSE,TRUE)</f>
        <v>0</v>
      </c>
      <c r="BA93" t="b">
        <f>IF(Metadata!N93="",FALSE,TRUE)</f>
        <v>0</v>
      </c>
      <c r="BB93" t="b">
        <f>IF(Metadata!O93="",FALSE,TRUE)</f>
        <v>0</v>
      </c>
      <c r="BC93" t="b">
        <f>AND(IF(Metadata!P93="",FALSE,TRUE),OR(EXACT(Metadata!P93,"air"),EXACT(Metadata!P93,"microbial mat/biofilm"),EXACT(Metadata!P93,"misc environment"),EXACT(Metadata!P93,"sediment"),EXACT(Metadata!P93,"soil"),EXACT(Metadata!P93,"wastewater/sludge"),EXACT(Metadata!P93,"water")))</f>
        <v>0</v>
      </c>
      <c r="BD93" t="b">
        <f>IF(Metadata!Q93="",FALSE,TRUE)</f>
        <v>0</v>
      </c>
      <c r="BE93" t="b">
        <f>IF(Metadata!R93="",FALSE,TRUE)</f>
        <v>0</v>
      </c>
      <c r="BF93" t="b">
        <f>OR(AND(IF(Metadata!S93="",FALSE,TRUE),OR(EXACT(Metadata!S93,"not collected"),EXACT(Metadata!S93,"not provided"),EXACT(Metadata!S93,"restricted access"))),AND(IF(Metadata!S93="",FALSE,ISNUMBER(VALUE(Metadata!S93))),Metadata!S93&gt;=-90,Metadata!S93&lt;=90))</f>
        <v>0</v>
      </c>
      <c r="BG93" t="b">
        <f>AND(IF(Metadata!T93="",FALSE,TRUE),EXACT(Metadata!T93,"Decimal degrees"))</f>
        <v>0</v>
      </c>
      <c r="BH93" t="b">
        <f>OR(AND(IF(Metadata!U93="",FALSE,TRUE),OR(EXACT(Metadata!U93,"not applicable"),EXACT(Metadata!U93,"not collected"))),IF(Metadata!U93="",FALSE,TRUE))</f>
        <v>0</v>
      </c>
      <c r="BI93" t="b">
        <f>OR(AND(IF(Metadata!V93="",FALSE,TRUE),OR(EXACT(Metadata!V93,"not collected"),EXACT(Metadata!V93,"not provided"),EXACT(Metadata!V93,"restricted access"))),AND(IF(Metadata!V93="",FALSE,ISNUMBER(VALUE(Metadata!V93))),Metadata!V93&gt;=-180,Metadata!V93&lt;=180))</f>
        <v>0</v>
      </c>
      <c r="BJ93" t="b">
        <f>AND(IF(Metadata!W93="",FALSE,TRUE),EXACT(Metadata!W93,"Decimal degrees"))</f>
        <v>0</v>
      </c>
      <c r="BK93" t="b">
        <f>IF(Metadata!X93="",FALSE,TRUE)</f>
        <v>0</v>
      </c>
      <c r="BL93" t="b">
        <f>OR(AND(IF(Metadata!Y93="",FALSE,TRUE),OR(EXACT(Metadata!Y93,"not collected"),EXACT(Metadata!Y93,"not provided"),EXACT(Metadata!Y93,"restricted access"))),AND(IF(Metadata!Y93="",FALSE,TRUE),OR(EXACT(Metadata!Y93,"TRUE"),EXACT(Metadata!Y93,"FALSE"))))</f>
        <v>0</v>
      </c>
      <c r="BM93" t="b">
        <f>OR(AND(IF(Metadata!Z93="",FALSE,TRUE),EXACT(Metadata!Z93,"not applicable")),AND(IF(Metadata!Z93="",FALSE,TRUE),OR(EXACT(Metadata!Z93,"beer"),EXACT(Metadata!Z93,"cheese"),EXACT(Metadata!Z93,"fresh water"),EXACT(Metadata!Z93,"marine sediment"),EXACT(Metadata!Z93,"sea water"),EXACT(Metadata!Z93,"sediment"),EXACT(Metadata!Z93,"soil"),EXACT(Metadata!Z93,"waste water"))))</f>
        <v>0</v>
      </c>
      <c r="BN93" t="b">
        <f>AND(IF(Metadata!AA93="",FALSE,TRUE),EXACT(Metadata!AA93,"metagenome"))</f>
        <v>0</v>
      </c>
      <c r="BO93" t="b">
        <f>AND(IF(Metadata!AB93="",FALSE,TRUE),EXACT(Metadata!AB93,"256318"))</f>
        <v>0</v>
      </c>
      <c r="BP93" t="b">
        <f>IF(Metadata!AC93="",FALSE,TRUE)</f>
        <v>0</v>
      </c>
      <c r="BQ93" t="b">
        <f>IF(Metadata!AD93="",FALSE,TRUE)</f>
        <v>0</v>
      </c>
    </row>
    <row r="94" spans="1:69" x14ac:dyDescent="0.2">
      <c r="A94" s="4" t="e">
        <f ca="1">IF(B94=" "," ",HYPERLINK(CONCATENATE("#metadata!",ADDRESS(INDEX($AJ$2:$AJ$1001,MATCH(ROWS($AH$2:AH94),$AH$2:$AH$1001,0),0),2)),INDEX($AM$2:$AM$1001,MATCH(ROWS($AH$2:AH94),$AH$2:$AH$1001,0),0)))</f>
        <v>#N/A</v>
      </c>
      <c r="B94" s="5" t="e">
        <f ca="1">IF(OR(INDEX($AI$2:$AI$1001,MATCH(ROWS($AH$2:AH94),$AH$2:$AH$1001,0),1)&gt;=100000,INDEX($AO$1005:$BQ$1005,1,MATCH(COLUMNS($AO$1006:AO1006),$AO$1006:$BQ$1006,0))&gt;=100000), " ",IF(INDEX($AO$2:$BQ$1001,MATCH(ROWS($AH$2:AH94),$AH$2:$AH$1001,0),MATCH(COLUMNS($AO$1006:AO1006),$AO$1006:$BQ$1006,0)), HYPERLINK("#",""), HYPERLINK(CONCATENATE("#Metadata!", ADDRESS(INDEX($AJ$2:$AJ$1001,MATCH(ROWS($AH$2:AH94),$AH$2:$AH$1001,0),0), INDEX($AO$1004:$BQ$1004,1,MATCH(COLUMNS($AO$1006:AO1006),$AO$1006:$BQ$1006,0)))),"Fix")))</f>
        <v>#N/A</v>
      </c>
      <c r="C94" s="5" t="e">
        <f ca="1">IF(OR(INDEX($AI$2:$AI$1001,MATCH(ROWS($AH$2:AH94),$AH$2:$AH$1001,0),1)&gt;=100000,INDEX($AO$1005:$BQ$1005,1,MATCH(COLUMNS($AO$1006:AP1006),$AO$1006:$BQ$1006,0))&gt;=100000), " ",IF(INDEX($AO$2:$BQ$1001,MATCH(ROWS($AH$2:AH94),$AH$2:$AH$1001,0),MATCH(COLUMNS($AO$1006:AP1006),$AO$1006:$BQ$1006,0)), HYPERLINK("#",""), HYPERLINK(CONCATENATE("#Metadata!", ADDRESS(INDEX($AJ$2:$AJ$1001,MATCH(ROWS($AH$2:AH94),$AH$2:$AH$1001,0),0), INDEX($AO$1004:$BQ$1004,1,MATCH(COLUMNS($AO$1006:AP1006),$AO$1006:$BQ$1006,0)))),"Fix")))</f>
        <v>#N/A</v>
      </c>
      <c r="D94" s="5" t="e">
        <f ca="1">IF(OR(INDEX($AI$2:$AI$1001,MATCH(ROWS($AH$2:AH94),$AH$2:$AH$1001,0),1)&gt;=100000,INDEX($AO$1005:$BQ$1005,1,MATCH(COLUMNS($AO$1006:AQ1006),$AO$1006:$BQ$1006,0))&gt;=100000), " ",IF(INDEX($AO$2:$BQ$1001,MATCH(ROWS($AH$2:AH94),$AH$2:$AH$1001,0),MATCH(COLUMNS($AO$1006:AQ1006),$AO$1006:$BQ$1006,0)), HYPERLINK("#",""), HYPERLINK(CONCATENATE("#Metadata!", ADDRESS(INDEX($AJ$2:$AJ$1001,MATCH(ROWS($AH$2:AH94),$AH$2:$AH$1001,0),0), INDEX($AO$1004:$BQ$1004,1,MATCH(COLUMNS($AO$1006:AQ1006),$AO$1006:$BQ$1006,0)))),"Fix")))</f>
        <v>#N/A</v>
      </c>
      <c r="E94" s="5" t="e">
        <f ca="1">IF(OR(INDEX($AI$2:$AI$1001,MATCH(ROWS($AH$2:AH94),$AH$2:$AH$1001,0),1)&gt;=100000,INDEX($AO$1005:$BQ$1005,1,MATCH(COLUMNS($AO$1006:AR1006),$AO$1006:$BQ$1006,0))&gt;=100000), " ",IF(INDEX($AO$2:$BQ$1001,MATCH(ROWS($AH$2:AH94),$AH$2:$AH$1001,0),MATCH(COLUMNS($AO$1006:AR1006),$AO$1006:$BQ$1006,0)), HYPERLINK("#",""), HYPERLINK(CONCATENATE("#Metadata!", ADDRESS(INDEX($AJ$2:$AJ$1001,MATCH(ROWS($AH$2:AH94),$AH$2:$AH$1001,0),0), INDEX($AO$1004:$BQ$1004,1,MATCH(COLUMNS($AO$1006:AR1006),$AO$1006:$BQ$1006,0)))),"Fix")))</f>
        <v>#N/A</v>
      </c>
      <c r="F94" s="5" t="e">
        <f ca="1">IF(OR(INDEX($AI$2:$AI$1001,MATCH(ROWS($AH$2:AH94),$AH$2:$AH$1001,0),1)&gt;=100000,INDEX($AO$1005:$BQ$1005,1,MATCH(COLUMNS($AO$1006:AS1006),$AO$1006:$BQ$1006,0))&gt;=100000), " ",IF(INDEX($AO$2:$BQ$1001,MATCH(ROWS($AH$2:AH94),$AH$2:$AH$1001,0),MATCH(COLUMNS($AO$1006:AS1006),$AO$1006:$BQ$1006,0)), HYPERLINK("#",""), HYPERLINK(CONCATENATE("#Metadata!", ADDRESS(INDEX($AJ$2:$AJ$1001,MATCH(ROWS($AH$2:AH94),$AH$2:$AH$1001,0),0), INDEX($AO$1004:$BQ$1004,1,MATCH(COLUMNS($AO$1006:AS1006),$AO$1006:$BQ$1006,0)))),"Fix")))</f>
        <v>#N/A</v>
      </c>
      <c r="G94" s="5" t="e">
        <f ca="1">IF(OR(INDEX($AI$2:$AI$1001,MATCH(ROWS($AH$2:AH94),$AH$2:$AH$1001,0),1)&gt;=100000,INDEX($AO$1005:$BQ$1005,1,MATCH(COLUMNS($AO$1006:AT1006),$AO$1006:$BQ$1006,0))&gt;=100000), " ",IF(INDEX($AO$2:$BQ$1001,MATCH(ROWS($AH$2:AH94),$AH$2:$AH$1001,0),MATCH(COLUMNS($AO$1006:AT1006),$AO$1006:$BQ$1006,0)), HYPERLINK("#",""), HYPERLINK(CONCATENATE("#Metadata!", ADDRESS(INDEX($AJ$2:$AJ$1001,MATCH(ROWS($AH$2:AH94),$AH$2:$AH$1001,0),0), INDEX($AO$1004:$BQ$1004,1,MATCH(COLUMNS($AO$1006:AT1006),$AO$1006:$BQ$1006,0)))),"Fix")))</f>
        <v>#N/A</v>
      </c>
      <c r="H94" s="5" t="e">
        <f ca="1">IF(OR(INDEX($AI$2:$AI$1001,MATCH(ROWS($AH$2:AH94),$AH$2:$AH$1001,0),1)&gt;=100000,INDEX($AO$1005:$BQ$1005,1,MATCH(COLUMNS($AO$1006:AU1006),$AO$1006:$BQ$1006,0))&gt;=100000), " ",IF(INDEX($AO$2:$BQ$1001,MATCH(ROWS($AH$2:AH94),$AH$2:$AH$1001,0),MATCH(COLUMNS($AO$1006:AU1006),$AO$1006:$BQ$1006,0)), HYPERLINK("#",""), HYPERLINK(CONCATENATE("#Metadata!", ADDRESS(INDEX($AJ$2:$AJ$1001,MATCH(ROWS($AH$2:AH94),$AH$2:$AH$1001,0),0), INDEX($AO$1004:$BQ$1004,1,MATCH(COLUMNS($AO$1006:AU1006),$AO$1006:$BQ$1006,0)))),"Fix")))</f>
        <v>#N/A</v>
      </c>
      <c r="I94" s="5" t="e">
        <f ca="1">IF(OR(INDEX($AI$2:$AI$1001,MATCH(ROWS($AH$2:AH94),$AH$2:$AH$1001,0),1)&gt;=100000,INDEX($AO$1005:$BQ$1005,1,MATCH(COLUMNS($AO$1006:AV1006),$AO$1006:$BQ$1006,0))&gt;=100000), " ",IF(INDEX($AO$2:$BQ$1001,MATCH(ROWS($AH$2:AH94),$AH$2:$AH$1001,0),MATCH(COLUMNS($AO$1006:AV1006),$AO$1006:$BQ$1006,0)), HYPERLINK("#",""), HYPERLINK(CONCATENATE("#Metadata!", ADDRESS(INDEX($AJ$2:$AJ$1001,MATCH(ROWS($AH$2:AH94),$AH$2:$AH$1001,0),0), INDEX($AO$1004:$BQ$1004,1,MATCH(COLUMNS($AO$1006:AV1006),$AO$1006:$BQ$1006,0)))),"Fix")))</f>
        <v>#N/A</v>
      </c>
      <c r="J94" s="5" t="e">
        <f ca="1">IF(OR(INDEX($AI$2:$AI$1001,MATCH(ROWS($AH$2:AH94),$AH$2:$AH$1001,0),1)&gt;=100000,INDEX($AO$1005:$BQ$1005,1,MATCH(COLUMNS($AO$1006:AW1006),$AO$1006:$BQ$1006,0))&gt;=100000), " ",IF(INDEX($AO$2:$BQ$1001,MATCH(ROWS($AH$2:AH94),$AH$2:$AH$1001,0),MATCH(COLUMNS($AO$1006:AW1006),$AO$1006:$BQ$1006,0)), HYPERLINK("#",""), HYPERLINK(CONCATENATE("#Metadata!", ADDRESS(INDEX($AJ$2:$AJ$1001,MATCH(ROWS($AH$2:AH94),$AH$2:$AH$1001,0),0), INDEX($AO$1004:$BQ$1004,1,MATCH(COLUMNS($AO$1006:AW1006),$AO$1006:$BQ$1006,0)))),"Fix")))</f>
        <v>#N/A</v>
      </c>
      <c r="K94" s="5" t="e">
        <f ca="1">IF(OR(INDEX($AI$2:$AI$1001,MATCH(ROWS($AH$2:AH94),$AH$2:$AH$1001,0),1)&gt;=100000,INDEX($AO$1005:$BQ$1005,1,MATCH(COLUMNS($AO$1006:AX1006),$AO$1006:$BQ$1006,0))&gt;=100000), " ",IF(INDEX($AO$2:$BQ$1001,MATCH(ROWS($AH$2:AH94),$AH$2:$AH$1001,0),MATCH(COLUMNS($AO$1006:AX1006),$AO$1006:$BQ$1006,0)), HYPERLINK("#",""), HYPERLINK(CONCATENATE("#Metadata!", ADDRESS(INDEX($AJ$2:$AJ$1001,MATCH(ROWS($AH$2:AH94),$AH$2:$AH$1001,0),0), INDEX($AO$1004:$BQ$1004,1,MATCH(COLUMNS($AO$1006:AX1006),$AO$1006:$BQ$1006,0)))),"Fix")))</f>
        <v>#N/A</v>
      </c>
      <c r="L94" s="5" t="e">
        <f ca="1">IF(OR(INDEX($AI$2:$AI$1001,MATCH(ROWS($AH$2:AH94),$AH$2:$AH$1001,0),1)&gt;=100000,INDEX($AO$1005:$BQ$1005,1,MATCH(COLUMNS($AO$1006:AY1006),$AO$1006:$BQ$1006,0))&gt;=100000), " ",IF(INDEX($AO$2:$BQ$1001,MATCH(ROWS($AH$2:AH94),$AH$2:$AH$1001,0),MATCH(COLUMNS($AO$1006:AY1006),$AO$1006:$BQ$1006,0)), HYPERLINK("#",""), HYPERLINK(CONCATENATE("#Metadata!", ADDRESS(INDEX($AJ$2:$AJ$1001,MATCH(ROWS($AH$2:AH94),$AH$2:$AH$1001,0),0), INDEX($AO$1004:$BQ$1004,1,MATCH(COLUMNS($AO$1006:AY1006),$AO$1006:$BQ$1006,0)))),"Fix")))</f>
        <v>#N/A</v>
      </c>
      <c r="M94" s="5" t="e">
        <f ca="1">IF(OR(INDEX($AI$2:$AI$1001,MATCH(ROWS($AH$2:AH94),$AH$2:$AH$1001,0),1)&gt;=100000,INDEX($AO$1005:$BQ$1005,1,MATCH(COLUMNS($AO$1006:AZ1006),$AO$1006:$BQ$1006,0))&gt;=100000), " ",IF(INDEX($AO$2:$BQ$1001,MATCH(ROWS($AH$2:AH94),$AH$2:$AH$1001,0),MATCH(COLUMNS($AO$1006:AZ1006),$AO$1006:$BQ$1006,0)), HYPERLINK("#",""), HYPERLINK(CONCATENATE("#Metadata!", ADDRESS(INDEX($AJ$2:$AJ$1001,MATCH(ROWS($AH$2:AH94),$AH$2:$AH$1001,0),0), INDEX($AO$1004:$BQ$1004,1,MATCH(COLUMNS($AO$1006:AZ1006),$AO$1006:$BQ$1006,0)))),"Fix")))</f>
        <v>#N/A</v>
      </c>
      <c r="N94" s="5" t="e">
        <f ca="1">IF(OR(INDEX($AI$2:$AI$1001,MATCH(ROWS($AH$2:AH94),$AH$2:$AH$1001,0),1)&gt;=100000,INDEX($AO$1005:$BQ$1005,1,MATCH(COLUMNS($AO$1006:BA1006),$AO$1006:$BQ$1006,0))&gt;=100000), " ",IF(INDEX($AO$2:$BQ$1001,MATCH(ROWS($AH$2:AH94),$AH$2:$AH$1001,0),MATCH(COLUMNS($AO$1006:BA1006),$AO$1006:$BQ$1006,0)), HYPERLINK("#",""), HYPERLINK(CONCATENATE("#Metadata!", ADDRESS(INDEX($AJ$2:$AJ$1001,MATCH(ROWS($AH$2:AH94),$AH$2:$AH$1001,0),0), INDEX($AO$1004:$BQ$1004,1,MATCH(COLUMNS($AO$1006:BA1006),$AO$1006:$BQ$1006,0)))),"Fix")))</f>
        <v>#N/A</v>
      </c>
      <c r="O94" s="5" t="e">
        <f ca="1">IF(OR(INDEX($AI$2:$AI$1001,MATCH(ROWS($AH$2:AH94),$AH$2:$AH$1001,0),1)&gt;=100000,INDEX($AO$1005:$BQ$1005,1,MATCH(COLUMNS($AO$1006:BB1006),$AO$1006:$BQ$1006,0))&gt;=100000), " ",IF(INDEX($AO$2:$BQ$1001,MATCH(ROWS($AH$2:AH94),$AH$2:$AH$1001,0),MATCH(COLUMNS($AO$1006:BB1006),$AO$1006:$BQ$1006,0)), HYPERLINK("#",""), HYPERLINK(CONCATENATE("#Metadata!", ADDRESS(INDEX($AJ$2:$AJ$1001,MATCH(ROWS($AH$2:AH94),$AH$2:$AH$1001,0),0), INDEX($AO$1004:$BQ$1004,1,MATCH(COLUMNS($AO$1006:BB1006),$AO$1006:$BQ$1006,0)))),"Fix")))</f>
        <v>#N/A</v>
      </c>
      <c r="P94" s="5" t="e">
        <f ca="1">IF(OR(INDEX($AI$2:$AI$1001,MATCH(ROWS($AH$2:AH94),$AH$2:$AH$1001,0),1)&gt;=100000,INDEX($AO$1005:$BQ$1005,1,MATCH(COLUMNS($AO$1006:BC1006),$AO$1006:$BQ$1006,0))&gt;=100000), " ",IF(INDEX($AO$2:$BQ$1001,MATCH(ROWS($AH$2:AH94),$AH$2:$AH$1001,0),MATCH(COLUMNS($AO$1006:BC1006),$AO$1006:$BQ$1006,0)), HYPERLINK("#",""), HYPERLINK(CONCATENATE("#Metadata!", ADDRESS(INDEX($AJ$2:$AJ$1001,MATCH(ROWS($AH$2:AH94),$AH$2:$AH$1001,0),0), INDEX($AO$1004:$BQ$1004,1,MATCH(COLUMNS($AO$1006:BC1006),$AO$1006:$BQ$1006,0)))),"Fix")))</f>
        <v>#N/A</v>
      </c>
      <c r="Q94" s="5" t="e">
        <f ca="1">IF(OR(INDEX($AI$2:$AI$1001,MATCH(ROWS($AH$2:AH94),$AH$2:$AH$1001,0),1)&gt;=100000,INDEX($AO$1005:$BQ$1005,1,MATCH(COLUMNS($AO$1006:BD1006),$AO$1006:$BQ$1006,0))&gt;=100000), " ",IF(INDEX($AO$2:$BQ$1001,MATCH(ROWS($AH$2:AH94),$AH$2:$AH$1001,0),MATCH(COLUMNS($AO$1006:BD1006),$AO$1006:$BQ$1006,0)), HYPERLINK("#",""), HYPERLINK(CONCATENATE("#Metadata!", ADDRESS(INDEX($AJ$2:$AJ$1001,MATCH(ROWS($AH$2:AH94),$AH$2:$AH$1001,0),0), INDEX($AO$1004:$BQ$1004,1,MATCH(COLUMNS($AO$1006:BD1006),$AO$1006:$BQ$1006,0)))),"Fix")))</f>
        <v>#N/A</v>
      </c>
      <c r="R94" s="5" t="e">
        <f ca="1">IF(OR(INDEX($AI$2:$AI$1001,MATCH(ROWS($AH$2:AH94),$AH$2:$AH$1001,0),1)&gt;=100000,INDEX($AO$1005:$BQ$1005,1,MATCH(COLUMNS($AO$1006:BE1006),$AO$1006:$BQ$1006,0))&gt;=100000), " ",IF(INDEX($AO$2:$BQ$1001,MATCH(ROWS($AH$2:AH94),$AH$2:$AH$1001,0),MATCH(COLUMNS($AO$1006:BE1006),$AO$1006:$BQ$1006,0)), HYPERLINK("#",""), HYPERLINK(CONCATENATE("#Metadata!", ADDRESS(INDEX($AJ$2:$AJ$1001,MATCH(ROWS($AH$2:AH94),$AH$2:$AH$1001,0),0), INDEX($AO$1004:$BQ$1004,1,MATCH(COLUMNS($AO$1006:BE1006),$AO$1006:$BQ$1006,0)))),"Fix")))</f>
        <v>#N/A</v>
      </c>
      <c r="S94" s="5" t="e">
        <f ca="1">IF(OR(INDEX($AI$2:$AI$1001,MATCH(ROWS($AH$2:AH94),$AH$2:$AH$1001,0),1)&gt;=100000,INDEX($AO$1005:$BQ$1005,1,MATCH(COLUMNS($AO$1006:BF1006),$AO$1006:$BQ$1006,0))&gt;=100000), " ",IF(INDEX($AO$2:$BQ$1001,MATCH(ROWS($AH$2:AH94),$AH$2:$AH$1001,0),MATCH(COLUMNS($AO$1006:BF1006),$AO$1006:$BQ$1006,0)), HYPERLINK("#",""), HYPERLINK(CONCATENATE("#Metadata!", ADDRESS(INDEX($AJ$2:$AJ$1001,MATCH(ROWS($AH$2:AH94),$AH$2:$AH$1001,0),0), INDEX($AO$1004:$BQ$1004,1,MATCH(COLUMNS($AO$1006:BF1006),$AO$1006:$BQ$1006,0)))),"Fix")))</f>
        <v>#N/A</v>
      </c>
      <c r="T94" s="5" t="e">
        <f ca="1">IF(OR(INDEX($AI$2:$AI$1001,MATCH(ROWS($AH$2:AH94),$AH$2:$AH$1001,0),1)&gt;=100000,INDEX($AO$1005:$BQ$1005,1,MATCH(COLUMNS($AO$1006:BG1006),$AO$1006:$BQ$1006,0))&gt;=100000), " ",IF(INDEX($AO$2:$BQ$1001,MATCH(ROWS($AH$2:AH94),$AH$2:$AH$1001,0),MATCH(COLUMNS($AO$1006:BG1006),$AO$1006:$BQ$1006,0)), HYPERLINK("#",""), HYPERLINK(CONCATENATE("#Metadata!", ADDRESS(INDEX($AJ$2:$AJ$1001,MATCH(ROWS($AH$2:AH94),$AH$2:$AH$1001,0),0), INDEX($AO$1004:$BQ$1004,1,MATCH(COLUMNS($AO$1006:BG1006),$AO$1006:$BQ$1006,0)))),"Fix")))</f>
        <v>#N/A</v>
      </c>
      <c r="U94" s="5" t="e">
        <f ca="1">IF(OR(INDEX($AI$2:$AI$1001,MATCH(ROWS($AH$2:AH94),$AH$2:$AH$1001,0),1)&gt;=100000,INDEX($AO$1005:$BQ$1005,1,MATCH(COLUMNS($AO$1006:BH1006),$AO$1006:$BQ$1006,0))&gt;=100000), " ",IF(INDEX($AO$2:$BQ$1001,MATCH(ROWS($AH$2:AH94),$AH$2:$AH$1001,0),MATCH(COLUMNS($AO$1006:BH1006),$AO$1006:$BQ$1006,0)), HYPERLINK("#",""), HYPERLINK(CONCATENATE("#Metadata!", ADDRESS(INDEX($AJ$2:$AJ$1001,MATCH(ROWS($AH$2:AH94),$AH$2:$AH$1001,0),0), INDEX($AO$1004:$BQ$1004,1,MATCH(COLUMNS($AO$1006:BH1006),$AO$1006:$BQ$1006,0)))),"Fix")))</f>
        <v>#N/A</v>
      </c>
      <c r="V94" s="5" t="e">
        <f ca="1">IF(OR(INDEX($AI$2:$AI$1001,MATCH(ROWS($AH$2:AH94),$AH$2:$AH$1001,0),1)&gt;=100000,INDEX($AO$1005:$BQ$1005,1,MATCH(COLUMNS($AO$1006:BI1006),$AO$1006:$BQ$1006,0))&gt;=100000), " ",IF(INDEX($AO$2:$BQ$1001,MATCH(ROWS($AH$2:AH94),$AH$2:$AH$1001,0),MATCH(COLUMNS($AO$1006:BI1006),$AO$1006:$BQ$1006,0)), HYPERLINK("#",""), HYPERLINK(CONCATENATE("#Metadata!", ADDRESS(INDEX($AJ$2:$AJ$1001,MATCH(ROWS($AH$2:AH94),$AH$2:$AH$1001,0),0), INDEX($AO$1004:$BQ$1004,1,MATCH(COLUMNS($AO$1006:BI1006),$AO$1006:$BQ$1006,0)))),"Fix")))</f>
        <v>#N/A</v>
      </c>
      <c r="W94" s="5" t="e">
        <f ca="1">IF(OR(INDEX($AI$2:$AI$1001,MATCH(ROWS($AH$2:AH94),$AH$2:$AH$1001,0),1)&gt;=100000,INDEX($AO$1005:$BQ$1005,1,MATCH(COLUMNS($AO$1006:BJ1006),$AO$1006:$BQ$1006,0))&gt;=100000), " ",IF(INDEX($AO$2:$BQ$1001,MATCH(ROWS($AH$2:AH94),$AH$2:$AH$1001,0),MATCH(COLUMNS($AO$1006:BJ1006),$AO$1006:$BQ$1006,0)), HYPERLINK("#",""), HYPERLINK(CONCATENATE("#Metadata!", ADDRESS(INDEX($AJ$2:$AJ$1001,MATCH(ROWS($AH$2:AH94),$AH$2:$AH$1001,0),0), INDEX($AO$1004:$BQ$1004,1,MATCH(COLUMNS($AO$1006:BJ1006),$AO$1006:$BQ$1006,0)))),"Fix")))</f>
        <v>#N/A</v>
      </c>
      <c r="X94" s="5" t="e">
        <f ca="1">IF(OR(INDEX($AI$2:$AI$1001,MATCH(ROWS($AH$2:AH94),$AH$2:$AH$1001,0),1)&gt;=100000,INDEX($AO$1005:$BQ$1005,1,MATCH(COLUMNS($AO$1006:BK1006),$AO$1006:$BQ$1006,0))&gt;=100000), " ",IF(INDEX($AO$2:$BQ$1001,MATCH(ROWS($AH$2:AH94),$AH$2:$AH$1001,0),MATCH(COLUMNS($AO$1006:BK1006),$AO$1006:$BQ$1006,0)), HYPERLINK("#",""), HYPERLINK(CONCATENATE("#Metadata!", ADDRESS(INDEX($AJ$2:$AJ$1001,MATCH(ROWS($AH$2:AH94),$AH$2:$AH$1001,0),0), INDEX($AO$1004:$BQ$1004,1,MATCH(COLUMNS($AO$1006:BK1006),$AO$1006:$BQ$1006,0)))),"Fix")))</f>
        <v>#N/A</v>
      </c>
      <c r="Y94" s="5" t="e">
        <f ca="1">IF(OR(INDEX($AI$2:$AI$1001,MATCH(ROWS($AH$2:AH94),$AH$2:$AH$1001,0),1)&gt;=100000,INDEX($AO$1005:$BQ$1005,1,MATCH(COLUMNS($AO$1006:BL1006),$AO$1006:$BQ$1006,0))&gt;=100000), " ",IF(INDEX($AO$2:$BQ$1001,MATCH(ROWS($AH$2:AH94),$AH$2:$AH$1001,0),MATCH(COLUMNS($AO$1006:BL1006),$AO$1006:$BQ$1006,0)), HYPERLINK("#",""), HYPERLINK(CONCATENATE("#Metadata!", ADDRESS(INDEX($AJ$2:$AJ$1001,MATCH(ROWS($AH$2:AH94),$AH$2:$AH$1001,0),0), INDEX($AO$1004:$BQ$1004,1,MATCH(COLUMNS($AO$1006:BL1006),$AO$1006:$BQ$1006,0)))),"Fix")))</f>
        <v>#N/A</v>
      </c>
      <c r="Z94" s="5" t="e">
        <f ca="1">IF(OR(INDEX($AI$2:$AI$1001,MATCH(ROWS($AH$2:AH94),$AH$2:$AH$1001,0),1)&gt;=100000,INDEX($AO$1005:$BQ$1005,1,MATCH(COLUMNS($AO$1006:BM1006),$AO$1006:$BQ$1006,0))&gt;=100000), " ",IF(INDEX($AO$2:$BQ$1001,MATCH(ROWS($AH$2:AH94),$AH$2:$AH$1001,0),MATCH(COLUMNS($AO$1006:BM1006),$AO$1006:$BQ$1006,0)), HYPERLINK("#",""), HYPERLINK(CONCATENATE("#Metadata!", ADDRESS(INDEX($AJ$2:$AJ$1001,MATCH(ROWS($AH$2:AH94),$AH$2:$AH$1001,0),0), INDEX($AO$1004:$BQ$1004,1,MATCH(COLUMNS($AO$1006:BM1006),$AO$1006:$BQ$1006,0)))),"Fix")))</f>
        <v>#N/A</v>
      </c>
      <c r="AA94" s="5" t="e">
        <f ca="1">IF(OR(INDEX($AI$2:$AI$1001,MATCH(ROWS($AH$2:AH94),$AH$2:$AH$1001,0),1)&gt;=100000,INDEX($AO$1005:$BQ$1005,1,MATCH(COLUMNS($AO$1006:BN1006),$AO$1006:$BQ$1006,0))&gt;=100000), " ",IF(INDEX($AO$2:$BQ$1001,MATCH(ROWS($AH$2:AH94),$AH$2:$AH$1001,0),MATCH(COLUMNS($AO$1006:BN1006),$AO$1006:$BQ$1006,0)), HYPERLINK("#",""), HYPERLINK(CONCATENATE("#Metadata!", ADDRESS(INDEX($AJ$2:$AJ$1001,MATCH(ROWS($AH$2:AH94),$AH$2:$AH$1001,0),0), INDEX($AO$1004:$BQ$1004,1,MATCH(COLUMNS($AO$1006:BN1006),$AO$1006:$BQ$1006,0)))),"Fix")))</f>
        <v>#N/A</v>
      </c>
      <c r="AB94" s="5" t="e">
        <f ca="1">IF(OR(INDEX($AI$2:$AI$1001,MATCH(ROWS($AH$2:AH94),$AH$2:$AH$1001,0),1)&gt;=100000,INDEX($AO$1005:$BQ$1005,1,MATCH(COLUMNS($AO$1006:BO1006),$AO$1006:$BQ$1006,0))&gt;=100000), " ",IF(INDEX($AO$2:$BQ$1001,MATCH(ROWS($AH$2:AH94),$AH$2:$AH$1001,0),MATCH(COLUMNS($AO$1006:BO1006),$AO$1006:$BQ$1006,0)), HYPERLINK("#",""), HYPERLINK(CONCATENATE("#Metadata!", ADDRESS(INDEX($AJ$2:$AJ$1001,MATCH(ROWS($AH$2:AH94),$AH$2:$AH$1001,0),0), INDEX($AO$1004:$BQ$1004,1,MATCH(COLUMNS($AO$1006:BO1006),$AO$1006:$BQ$1006,0)))),"Fix")))</f>
        <v>#N/A</v>
      </c>
      <c r="AC94" s="5" t="e">
        <f ca="1">IF(OR(INDEX($AI$2:$AI$1001,MATCH(ROWS($AH$2:AH94),$AH$2:$AH$1001,0),1)&gt;=100000,INDEX($AO$1005:$BQ$1005,1,MATCH(COLUMNS($AO$1006:BP1006),$AO$1006:$BQ$1006,0))&gt;=100000), " ",IF(INDEX($AO$2:$BQ$1001,MATCH(ROWS($AH$2:AH94),$AH$2:$AH$1001,0),MATCH(COLUMNS($AO$1006:BP1006),$AO$1006:$BQ$1006,0)), HYPERLINK("#",""), HYPERLINK(CONCATENATE("#Metadata!", ADDRESS(INDEX($AJ$2:$AJ$1001,MATCH(ROWS($AH$2:AH94),$AH$2:$AH$1001,0),0), INDEX($AO$1004:$BQ$1004,1,MATCH(COLUMNS($AO$1006:BP1006),$AO$1006:$BQ$1006,0)))),"Fix")))</f>
        <v>#N/A</v>
      </c>
      <c r="AD94" s="5" t="e">
        <f ca="1">IF(OR(INDEX($AI$2:$AI$1001,MATCH(ROWS($AH$2:AH94),$AH$2:$AH$1001,0),1)&gt;=100000,INDEX($AO$1005:$BQ$1005,1,MATCH(COLUMNS($AO$1006:BQ1006),$AO$1006:$BQ$1006,0))&gt;=100000), " ",IF(INDEX($AO$2:$BQ$1001,MATCH(ROWS($AH$2:AH94),$AH$2:$AH$1001,0),MATCH(COLUMNS($AO$1006:BQ1006),$AO$1006:$BQ$1006,0)), HYPERLINK("#",""), HYPERLINK(CONCATENATE("#Metadata!", ADDRESS(INDEX($AJ$2:$AJ$1001,MATCH(ROWS($AH$2:AH94),$AH$2:$AH$1001,0),0), INDEX($AO$1004:$BQ$1004,1,MATCH(COLUMNS($AO$1006:BQ1006),$AO$1006:$BQ$1006,0)))),"Fix")))</f>
        <v>#REF!</v>
      </c>
      <c r="AH94">
        <f ca="1"/>
        <v>91</v>
      </c>
      <c r="AI94">
        <v>100094</v>
      </c>
      <c r="AJ94">
        <v>94</v>
      </c>
      <c r="AK94" t="b">
        <f t="shared" si="1"/>
        <v>1</v>
      </c>
      <c r="AL94" t="b">
        <f>COUNTBLANK(Metadata!B94:AD94)=COLUMNS(Metadata!B94:AD94)</f>
        <v>1</v>
      </c>
      <c r="AM94" t="str">
        <v/>
      </c>
      <c r="AO94" t="b">
        <f ca="1">AND(IF(Metadata!B94="",FALSE,TRUE),COUNTIF(Metadata!B:B, Metadata!B94) = 1,NOT(ISERROR(SUMPRODUCT(SEARCH(MID(Metadata!B94,ROW(INDIRECT("1:"&amp;LEN(Metadata!B94))), 1),"0123456789abcdefghijklmnopqrstuvwxyzABCDEFGHIJKLMNOPQRSTUVWXYZ.")))))</f>
        <v>0</v>
      </c>
      <c r="AP94" t="b">
        <f>IF(Metadata!C94="",FALSE,TRUE)</f>
        <v>0</v>
      </c>
      <c r="AQ94" t="b">
        <f>IF(Metadata!D94="",FALSE,TRUE)</f>
        <v>0</v>
      </c>
      <c r="AR94" t="b">
        <f ca="1">OR(AND(IF(Metadata!E94="",FALSE,TRUE),OR(EXACT(Metadata!E94,"not collected"),EXACT(Metadata!E94,"not provided"),EXACT(Metadata!E94,"restricted access"))),AND(IF(Metadata!E94="",FALSE,TRUE),AND(AND(IFERROR(INT(LEFT(Metadata!E94,4))&gt;1900,FALSE),IFERROR(INT(LEFT(Metadata!E94,4))&lt;=YEAR(NOW()),FALSE)), OR(MID(Metadata!E94,5,1)="", AND(AND(MID(Metadata!E94,5,1)="-",IFERROR(INT(MID(Metadata!E94,6,1))&gt;=0,FALSE),IFERROR(INT(MID(Metadata!E94,6,1))&lt;=1,FALSE),NOT(MID(Metadata!E94,7,1)=""),IFERROR(INT(MID(Metadata!E94,6,2))&gt;=1,FALSE),IFERROR(INT(MID(Metadata!E94,6,2))&lt;=12,FALSE)), OR(MID(Metadata!E94,8,1)="", AND(AND(MID(Metadata!E94,8,1)="-",IFERROR(INT(MID(Metadata!E94,9,1))&gt;=0,FALSE),IFERROR(INT(MID(Metadata!E94,9,1))&lt;=3,FALSE),NOT(MID(Metadata!E94,10,1)=""),IFERROR(INT(MID(Metadata!E94,9,2))&gt;=1,FALSE),IFERROR(INT(MID(Metadata!E94,9,2))&lt;=31,FALSE)), OR(MID(Metadata!E94,11,1)="", AND(AND(MID(Metadata!E94,11,1)=" ",IFERROR(INT(MID(Metadata!E94,12,1))&gt;=0,FALSE),IFERROR(INT(MID(Metadata!E94,12,1))&lt;=2,FALSE),NOT(MID(Metadata!E94,13,1)=""),IFERROR(INT(MID(Metadata!E94,12,2))&gt;=0,FALSE),IFERROR(INT(MID(Metadata!E94,12,2))&lt;=23,FALSE)), OR(MID(Metadata!E94,14,1)="", AND(AND(MID(Metadata!E94,14,1)=":",IFERROR(INT(MID(Metadata!E94,15,1))&gt;=0,FALSE),IFERROR(INT(MID(Metadata!E94,15,1))&lt;=5,FALSE),NOT(MID(Metadata!E94,16,1)=""),IFERROR(INT(MID(Metadata!E94,15,2))&gt;=0,FALSE),IFERROR(INT(MID(Metadata!E94,15,2))&lt;=59,FALSE)), OR(MID(Metadata!E94,17,1)="", AND(AND(MID(Metadata!E94,17,1)=":",IFERROR(INT(MID(Metadata!E94,18,1))&gt;=0,FALSE),IFERROR(INT(MID(Metadata!E94,18,1))&lt;=5,FALSE),NOT(MID(Metadata!E94,19,1)=""),IFERROR(INT(MID(Metadata!E94,18,2))&gt;=0,FALSE),IFERROR(INT(MID(Metadata!E94,18,2))&lt;=59,FALSE)), LEN(Metadata!E94)&lt;=19)))))))))))))</f>
        <v>0</v>
      </c>
      <c r="AS94" t="b">
        <f>IF(Metadata!F94="",FALSE,TRUE)</f>
        <v>0</v>
      </c>
      <c r="AT94" t="b">
        <f>OR(AND(IF(Metadata!G94="",FALSE,TRUE),OR(EXACT(Metadata!G94,"not collected"),EXACT(Metadata!G94,"not provided"))),AND(IF(Metadata!G94="",FALSE,TRUE),OR(EXACT(Metadata!G94,"TRUE"),EXACT(Metadata!G94,"FALSE"))))</f>
        <v>0</v>
      </c>
      <c r="AU94" t="b">
        <f>OR(AND(IF(Metadata!H94="",FALSE,TRUE),OR(EXACT(Metadata!H94,"not collected"),EXACT(Metadata!H94,"not provided"),EXACT(Metadata!H94,"restricted access"))),AND(IF(Metadata!H94="",FALSE,ISNUMBER(VALUE(Metadata!H94))),Metadata!H94&gt;=-413))</f>
        <v>0</v>
      </c>
      <c r="AV94" t="b">
        <f>AND(IF(Metadata!I94="",FALSE,TRUE),EXACT(Metadata!I94,"meters"))</f>
        <v>0</v>
      </c>
      <c r="AW94" t="b">
        <f>AND(IF(Metadata!J94="",FALSE,TRUE),EXACT(Metadata!J94,"free-living"))</f>
        <v>0</v>
      </c>
      <c r="AX94" t="b">
        <f>AND(IF(Metadata!K94="",FALSE,TRUE),OR(EXACT(Metadata!K94,"saline"),EXACT(Metadata!K94,"non-saline")))</f>
        <v>0</v>
      </c>
      <c r="AY94" t="b">
        <f>AND(IF(Metadata!L94="",FALSE,TRUE),OR(EXACT(Metadata!L94,"sub-surface (non-saline)"),EXACT(Metadata!L94,"surface (non-saline)"),EXACT(Metadata!L94,"water (non-saline)"),EXACT(Metadata!L94,"soil (non-saline)"),EXACT(Metadata!L94,"aerosol (non-saline)"),EXACT(Metadata!L94,"sediment (non-saline)"),EXACT(Metadata!L94,"surface (saline)"),EXACT(Metadata!L94,"water (saline)"),EXACT(Metadata!L94,"hypersaline (saline)"),EXACT(Metadata!L94,"aerosol (saline)"),EXACT(Metadata!L94,"sediment (saline)")))</f>
        <v>0</v>
      </c>
      <c r="AZ94" t="b">
        <f>IF(Metadata!M94="",FALSE,TRUE)</f>
        <v>0</v>
      </c>
      <c r="BA94" t="b">
        <f>IF(Metadata!N94="",FALSE,TRUE)</f>
        <v>0</v>
      </c>
      <c r="BB94" t="b">
        <f>IF(Metadata!O94="",FALSE,TRUE)</f>
        <v>0</v>
      </c>
      <c r="BC94" t="b">
        <f>AND(IF(Metadata!P94="",FALSE,TRUE),OR(EXACT(Metadata!P94,"air"),EXACT(Metadata!P94,"microbial mat/biofilm"),EXACT(Metadata!P94,"misc environment"),EXACT(Metadata!P94,"sediment"),EXACT(Metadata!P94,"soil"),EXACT(Metadata!P94,"wastewater/sludge"),EXACT(Metadata!P94,"water")))</f>
        <v>0</v>
      </c>
      <c r="BD94" t="b">
        <f>IF(Metadata!Q94="",FALSE,TRUE)</f>
        <v>0</v>
      </c>
      <c r="BE94" t="b">
        <f>IF(Metadata!R94="",FALSE,TRUE)</f>
        <v>0</v>
      </c>
      <c r="BF94" t="b">
        <f>OR(AND(IF(Metadata!S94="",FALSE,TRUE),OR(EXACT(Metadata!S94,"not collected"),EXACT(Metadata!S94,"not provided"),EXACT(Metadata!S94,"restricted access"))),AND(IF(Metadata!S94="",FALSE,ISNUMBER(VALUE(Metadata!S94))),Metadata!S94&gt;=-90,Metadata!S94&lt;=90))</f>
        <v>0</v>
      </c>
      <c r="BG94" t="b">
        <f>AND(IF(Metadata!T94="",FALSE,TRUE),EXACT(Metadata!T94,"Decimal degrees"))</f>
        <v>0</v>
      </c>
      <c r="BH94" t="b">
        <f>OR(AND(IF(Metadata!U94="",FALSE,TRUE),OR(EXACT(Metadata!U94,"not applicable"),EXACT(Metadata!U94,"not collected"))),IF(Metadata!U94="",FALSE,TRUE))</f>
        <v>0</v>
      </c>
      <c r="BI94" t="b">
        <f>OR(AND(IF(Metadata!V94="",FALSE,TRUE),OR(EXACT(Metadata!V94,"not collected"),EXACT(Metadata!V94,"not provided"),EXACT(Metadata!V94,"restricted access"))),AND(IF(Metadata!V94="",FALSE,ISNUMBER(VALUE(Metadata!V94))),Metadata!V94&gt;=-180,Metadata!V94&lt;=180))</f>
        <v>0</v>
      </c>
      <c r="BJ94" t="b">
        <f>AND(IF(Metadata!W94="",FALSE,TRUE),EXACT(Metadata!W94,"Decimal degrees"))</f>
        <v>0</v>
      </c>
      <c r="BK94" t="b">
        <f>IF(Metadata!X94="",FALSE,TRUE)</f>
        <v>0</v>
      </c>
      <c r="BL94" t="b">
        <f>OR(AND(IF(Metadata!Y94="",FALSE,TRUE),OR(EXACT(Metadata!Y94,"not collected"),EXACT(Metadata!Y94,"not provided"),EXACT(Metadata!Y94,"restricted access"))),AND(IF(Metadata!Y94="",FALSE,TRUE),OR(EXACT(Metadata!Y94,"TRUE"),EXACT(Metadata!Y94,"FALSE"))))</f>
        <v>0</v>
      </c>
      <c r="BM94" t="b">
        <f>OR(AND(IF(Metadata!Z94="",FALSE,TRUE),EXACT(Metadata!Z94,"not applicable")),AND(IF(Metadata!Z94="",FALSE,TRUE),OR(EXACT(Metadata!Z94,"beer"),EXACT(Metadata!Z94,"cheese"),EXACT(Metadata!Z94,"fresh water"),EXACT(Metadata!Z94,"marine sediment"),EXACT(Metadata!Z94,"sea water"),EXACT(Metadata!Z94,"sediment"),EXACT(Metadata!Z94,"soil"),EXACT(Metadata!Z94,"waste water"))))</f>
        <v>0</v>
      </c>
      <c r="BN94" t="b">
        <f>AND(IF(Metadata!AA94="",FALSE,TRUE),EXACT(Metadata!AA94,"metagenome"))</f>
        <v>0</v>
      </c>
      <c r="BO94" t="b">
        <f>AND(IF(Metadata!AB94="",FALSE,TRUE),EXACT(Metadata!AB94,"256318"))</f>
        <v>0</v>
      </c>
      <c r="BP94" t="b">
        <f>IF(Metadata!AC94="",FALSE,TRUE)</f>
        <v>0</v>
      </c>
      <c r="BQ94" t="b">
        <f>IF(Metadata!AD94="",FALSE,TRUE)</f>
        <v>0</v>
      </c>
    </row>
    <row r="95" spans="1:69" x14ac:dyDescent="0.2">
      <c r="A95" s="4" t="e">
        <f ca="1">IF(B95=" "," ",HYPERLINK(CONCATENATE("#metadata!",ADDRESS(INDEX($AJ$2:$AJ$1001,MATCH(ROWS($AH$2:AH95),$AH$2:$AH$1001,0),0),2)),INDEX($AM$2:$AM$1001,MATCH(ROWS($AH$2:AH95),$AH$2:$AH$1001,0),0)))</f>
        <v>#N/A</v>
      </c>
      <c r="B95" s="5" t="e">
        <f ca="1">IF(OR(INDEX($AI$2:$AI$1001,MATCH(ROWS($AH$2:AH95),$AH$2:$AH$1001,0),1)&gt;=100000,INDEX($AO$1005:$BQ$1005,1,MATCH(COLUMNS($AO$1006:AO1006),$AO$1006:$BQ$1006,0))&gt;=100000), " ",IF(INDEX($AO$2:$BQ$1001,MATCH(ROWS($AH$2:AH95),$AH$2:$AH$1001,0),MATCH(COLUMNS($AO$1006:AO1006),$AO$1006:$BQ$1006,0)), HYPERLINK("#",""), HYPERLINK(CONCATENATE("#Metadata!", ADDRESS(INDEX($AJ$2:$AJ$1001,MATCH(ROWS($AH$2:AH95),$AH$2:$AH$1001,0),0), INDEX($AO$1004:$BQ$1004,1,MATCH(COLUMNS($AO$1006:AO1006),$AO$1006:$BQ$1006,0)))),"Fix")))</f>
        <v>#N/A</v>
      </c>
      <c r="C95" s="5" t="e">
        <f ca="1">IF(OR(INDEX($AI$2:$AI$1001,MATCH(ROWS($AH$2:AH95),$AH$2:$AH$1001,0),1)&gt;=100000,INDEX($AO$1005:$BQ$1005,1,MATCH(COLUMNS($AO$1006:AP1006),$AO$1006:$BQ$1006,0))&gt;=100000), " ",IF(INDEX($AO$2:$BQ$1001,MATCH(ROWS($AH$2:AH95),$AH$2:$AH$1001,0),MATCH(COLUMNS($AO$1006:AP1006),$AO$1006:$BQ$1006,0)), HYPERLINK("#",""), HYPERLINK(CONCATENATE("#Metadata!", ADDRESS(INDEX($AJ$2:$AJ$1001,MATCH(ROWS($AH$2:AH95),$AH$2:$AH$1001,0),0), INDEX($AO$1004:$BQ$1004,1,MATCH(COLUMNS($AO$1006:AP1006),$AO$1006:$BQ$1006,0)))),"Fix")))</f>
        <v>#N/A</v>
      </c>
      <c r="D95" s="5" t="e">
        <f ca="1">IF(OR(INDEX($AI$2:$AI$1001,MATCH(ROWS($AH$2:AH95),$AH$2:$AH$1001,0),1)&gt;=100000,INDEX($AO$1005:$BQ$1005,1,MATCH(COLUMNS($AO$1006:AQ1006),$AO$1006:$BQ$1006,0))&gt;=100000), " ",IF(INDEX($AO$2:$BQ$1001,MATCH(ROWS($AH$2:AH95),$AH$2:$AH$1001,0),MATCH(COLUMNS($AO$1006:AQ1006),$AO$1006:$BQ$1006,0)), HYPERLINK("#",""), HYPERLINK(CONCATENATE("#Metadata!", ADDRESS(INDEX($AJ$2:$AJ$1001,MATCH(ROWS($AH$2:AH95),$AH$2:$AH$1001,0),0), INDEX($AO$1004:$BQ$1004,1,MATCH(COLUMNS($AO$1006:AQ1006),$AO$1006:$BQ$1006,0)))),"Fix")))</f>
        <v>#N/A</v>
      </c>
      <c r="E95" s="5" t="e">
        <f ca="1">IF(OR(INDEX($AI$2:$AI$1001,MATCH(ROWS($AH$2:AH95),$AH$2:$AH$1001,0),1)&gt;=100000,INDEX($AO$1005:$BQ$1005,1,MATCH(COLUMNS($AO$1006:AR1006),$AO$1006:$BQ$1006,0))&gt;=100000), " ",IF(INDEX($AO$2:$BQ$1001,MATCH(ROWS($AH$2:AH95),$AH$2:$AH$1001,0),MATCH(COLUMNS($AO$1006:AR1006),$AO$1006:$BQ$1006,0)), HYPERLINK("#",""), HYPERLINK(CONCATENATE("#Metadata!", ADDRESS(INDEX($AJ$2:$AJ$1001,MATCH(ROWS($AH$2:AH95),$AH$2:$AH$1001,0),0), INDEX($AO$1004:$BQ$1004,1,MATCH(COLUMNS($AO$1006:AR1006),$AO$1006:$BQ$1006,0)))),"Fix")))</f>
        <v>#N/A</v>
      </c>
      <c r="F95" s="5" t="e">
        <f ca="1">IF(OR(INDEX($AI$2:$AI$1001,MATCH(ROWS($AH$2:AH95),$AH$2:$AH$1001,0),1)&gt;=100000,INDEX($AO$1005:$BQ$1005,1,MATCH(COLUMNS($AO$1006:AS1006),$AO$1006:$BQ$1006,0))&gt;=100000), " ",IF(INDEX($AO$2:$BQ$1001,MATCH(ROWS($AH$2:AH95),$AH$2:$AH$1001,0),MATCH(COLUMNS($AO$1006:AS1006),$AO$1006:$BQ$1006,0)), HYPERLINK("#",""), HYPERLINK(CONCATENATE("#Metadata!", ADDRESS(INDEX($AJ$2:$AJ$1001,MATCH(ROWS($AH$2:AH95),$AH$2:$AH$1001,0),0), INDEX($AO$1004:$BQ$1004,1,MATCH(COLUMNS($AO$1006:AS1006),$AO$1006:$BQ$1006,0)))),"Fix")))</f>
        <v>#N/A</v>
      </c>
      <c r="G95" s="5" t="e">
        <f ca="1">IF(OR(INDEX($AI$2:$AI$1001,MATCH(ROWS($AH$2:AH95),$AH$2:$AH$1001,0),1)&gt;=100000,INDEX($AO$1005:$BQ$1005,1,MATCH(COLUMNS($AO$1006:AT1006),$AO$1006:$BQ$1006,0))&gt;=100000), " ",IF(INDEX($AO$2:$BQ$1001,MATCH(ROWS($AH$2:AH95),$AH$2:$AH$1001,0),MATCH(COLUMNS($AO$1006:AT1006),$AO$1006:$BQ$1006,0)), HYPERLINK("#",""), HYPERLINK(CONCATENATE("#Metadata!", ADDRESS(INDEX($AJ$2:$AJ$1001,MATCH(ROWS($AH$2:AH95),$AH$2:$AH$1001,0),0), INDEX($AO$1004:$BQ$1004,1,MATCH(COLUMNS($AO$1006:AT1006),$AO$1006:$BQ$1006,0)))),"Fix")))</f>
        <v>#N/A</v>
      </c>
      <c r="H95" s="5" t="e">
        <f ca="1">IF(OR(INDEX($AI$2:$AI$1001,MATCH(ROWS($AH$2:AH95),$AH$2:$AH$1001,0),1)&gt;=100000,INDEX($AO$1005:$BQ$1005,1,MATCH(COLUMNS($AO$1006:AU1006),$AO$1006:$BQ$1006,0))&gt;=100000), " ",IF(INDEX($AO$2:$BQ$1001,MATCH(ROWS($AH$2:AH95),$AH$2:$AH$1001,0),MATCH(COLUMNS($AO$1006:AU1006),$AO$1006:$BQ$1006,0)), HYPERLINK("#",""), HYPERLINK(CONCATENATE("#Metadata!", ADDRESS(INDEX($AJ$2:$AJ$1001,MATCH(ROWS($AH$2:AH95),$AH$2:$AH$1001,0),0), INDEX($AO$1004:$BQ$1004,1,MATCH(COLUMNS($AO$1006:AU1006),$AO$1006:$BQ$1006,0)))),"Fix")))</f>
        <v>#N/A</v>
      </c>
      <c r="I95" s="5" t="e">
        <f ca="1">IF(OR(INDEX($AI$2:$AI$1001,MATCH(ROWS($AH$2:AH95),$AH$2:$AH$1001,0),1)&gt;=100000,INDEX($AO$1005:$BQ$1005,1,MATCH(COLUMNS($AO$1006:AV1006),$AO$1006:$BQ$1006,0))&gt;=100000), " ",IF(INDEX($AO$2:$BQ$1001,MATCH(ROWS($AH$2:AH95),$AH$2:$AH$1001,0),MATCH(COLUMNS($AO$1006:AV1006),$AO$1006:$BQ$1006,0)), HYPERLINK("#",""), HYPERLINK(CONCATENATE("#Metadata!", ADDRESS(INDEX($AJ$2:$AJ$1001,MATCH(ROWS($AH$2:AH95),$AH$2:$AH$1001,0),0), INDEX($AO$1004:$BQ$1004,1,MATCH(COLUMNS($AO$1006:AV1006),$AO$1006:$BQ$1006,0)))),"Fix")))</f>
        <v>#N/A</v>
      </c>
      <c r="J95" s="5" t="e">
        <f ca="1">IF(OR(INDEX($AI$2:$AI$1001,MATCH(ROWS($AH$2:AH95),$AH$2:$AH$1001,0),1)&gt;=100000,INDEX($AO$1005:$BQ$1005,1,MATCH(COLUMNS($AO$1006:AW1006),$AO$1006:$BQ$1006,0))&gt;=100000), " ",IF(INDEX($AO$2:$BQ$1001,MATCH(ROWS($AH$2:AH95),$AH$2:$AH$1001,0),MATCH(COLUMNS($AO$1006:AW1006),$AO$1006:$BQ$1006,0)), HYPERLINK("#",""), HYPERLINK(CONCATENATE("#Metadata!", ADDRESS(INDEX($AJ$2:$AJ$1001,MATCH(ROWS($AH$2:AH95),$AH$2:$AH$1001,0),0), INDEX($AO$1004:$BQ$1004,1,MATCH(COLUMNS($AO$1006:AW1006),$AO$1006:$BQ$1006,0)))),"Fix")))</f>
        <v>#N/A</v>
      </c>
      <c r="K95" s="5" t="e">
        <f ca="1">IF(OR(INDEX($AI$2:$AI$1001,MATCH(ROWS($AH$2:AH95),$AH$2:$AH$1001,0),1)&gt;=100000,INDEX($AO$1005:$BQ$1005,1,MATCH(COLUMNS($AO$1006:AX1006),$AO$1006:$BQ$1006,0))&gt;=100000), " ",IF(INDEX($AO$2:$BQ$1001,MATCH(ROWS($AH$2:AH95),$AH$2:$AH$1001,0),MATCH(COLUMNS($AO$1006:AX1006),$AO$1006:$BQ$1006,0)), HYPERLINK("#",""), HYPERLINK(CONCATENATE("#Metadata!", ADDRESS(INDEX($AJ$2:$AJ$1001,MATCH(ROWS($AH$2:AH95),$AH$2:$AH$1001,0),0), INDEX($AO$1004:$BQ$1004,1,MATCH(COLUMNS($AO$1006:AX1006),$AO$1006:$BQ$1006,0)))),"Fix")))</f>
        <v>#N/A</v>
      </c>
      <c r="L95" s="5" t="e">
        <f ca="1">IF(OR(INDEX($AI$2:$AI$1001,MATCH(ROWS($AH$2:AH95),$AH$2:$AH$1001,0),1)&gt;=100000,INDEX($AO$1005:$BQ$1005,1,MATCH(COLUMNS($AO$1006:AY1006),$AO$1006:$BQ$1006,0))&gt;=100000), " ",IF(INDEX($AO$2:$BQ$1001,MATCH(ROWS($AH$2:AH95),$AH$2:$AH$1001,0),MATCH(COLUMNS($AO$1006:AY1006),$AO$1006:$BQ$1006,0)), HYPERLINK("#",""), HYPERLINK(CONCATENATE("#Metadata!", ADDRESS(INDEX($AJ$2:$AJ$1001,MATCH(ROWS($AH$2:AH95),$AH$2:$AH$1001,0),0), INDEX($AO$1004:$BQ$1004,1,MATCH(COLUMNS($AO$1006:AY1006),$AO$1006:$BQ$1006,0)))),"Fix")))</f>
        <v>#N/A</v>
      </c>
      <c r="M95" s="5" t="e">
        <f ca="1">IF(OR(INDEX($AI$2:$AI$1001,MATCH(ROWS($AH$2:AH95),$AH$2:$AH$1001,0),1)&gt;=100000,INDEX($AO$1005:$BQ$1005,1,MATCH(COLUMNS($AO$1006:AZ1006),$AO$1006:$BQ$1006,0))&gt;=100000), " ",IF(INDEX($AO$2:$BQ$1001,MATCH(ROWS($AH$2:AH95),$AH$2:$AH$1001,0),MATCH(COLUMNS($AO$1006:AZ1006),$AO$1006:$BQ$1006,0)), HYPERLINK("#",""), HYPERLINK(CONCATENATE("#Metadata!", ADDRESS(INDEX($AJ$2:$AJ$1001,MATCH(ROWS($AH$2:AH95),$AH$2:$AH$1001,0),0), INDEX($AO$1004:$BQ$1004,1,MATCH(COLUMNS($AO$1006:AZ1006),$AO$1006:$BQ$1006,0)))),"Fix")))</f>
        <v>#N/A</v>
      </c>
      <c r="N95" s="5" t="e">
        <f ca="1">IF(OR(INDEX($AI$2:$AI$1001,MATCH(ROWS($AH$2:AH95),$AH$2:$AH$1001,0),1)&gt;=100000,INDEX($AO$1005:$BQ$1005,1,MATCH(COLUMNS($AO$1006:BA1006),$AO$1006:$BQ$1006,0))&gt;=100000), " ",IF(INDEX($AO$2:$BQ$1001,MATCH(ROWS($AH$2:AH95),$AH$2:$AH$1001,0),MATCH(COLUMNS($AO$1006:BA1006),$AO$1006:$BQ$1006,0)), HYPERLINK("#",""), HYPERLINK(CONCATENATE("#Metadata!", ADDRESS(INDEX($AJ$2:$AJ$1001,MATCH(ROWS($AH$2:AH95),$AH$2:$AH$1001,0),0), INDEX($AO$1004:$BQ$1004,1,MATCH(COLUMNS($AO$1006:BA1006),$AO$1006:$BQ$1006,0)))),"Fix")))</f>
        <v>#N/A</v>
      </c>
      <c r="O95" s="5" t="e">
        <f ca="1">IF(OR(INDEX($AI$2:$AI$1001,MATCH(ROWS($AH$2:AH95),$AH$2:$AH$1001,0),1)&gt;=100000,INDEX($AO$1005:$BQ$1005,1,MATCH(COLUMNS($AO$1006:BB1006),$AO$1006:$BQ$1006,0))&gt;=100000), " ",IF(INDEX($AO$2:$BQ$1001,MATCH(ROWS($AH$2:AH95),$AH$2:$AH$1001,0),MATCH(COLUMNS($AO$1006:BB1006),$AO$1006:$BQ$1006,0)), HYPERLINK("#",""), HYPERLINK(CONCATENATE("#Metadata!", ADDRESS(INDEX($AJ$2:$AJ$1001,MATCH(ROWS($AH$2:AH95),$AH$2:$AH$1001,0),0), INDEX($AO$1004:$BQ$1004,1,MATCH(COLUMNS($AO$1006:BB1006),$AO$1006:$BQ$1006,0)))),"Fix")))</f>
        <v>#N/A</v>
      </c>
      <c r="P95" s="5" t="e">
        <f ca="1">IF(OR(INDEX($AI$2:$AI$1001,MATCH(ROWS($AH$2:AH95),$AH$2:$AH$1001,0),1)&gt;=100000,INDEX($AO$1005:$BQ$1005,1,MATCH(COLUMNS($AO$1006:BC1006),$AO$1006:$BQ$1006,0))&gt;=100000), " ",IF(INDEX($AO$2:$BQ$1001,MATCH(ROWS($AH$2:AH95),$AH$2:$AH$1001,0),MATCH(COLUMNS($AO$1006:BC1006),$AO$1006:$BQ$1006,0)), HYPERLINK("#",""), HYPERLINK(CONCATENATE("#Metadata!", ADDRESS(INDEX($AJ$2:$AJ$1001,MATCH(ROWS($AH$2:AH95),$AH$2:$AH$1001,0),0), INDEX($AO$1004:$BQ$1004,1,MATCH(COLUMNS($AO$1006:BC1006),$AO$1006:$BQ$1006,0)))),"Fix")))</f>
        <v>#N/A</v>
      </c>
      <c r="Q95" s="5" t="e">
        <f ca="1">IF(OR(INDEX($AI$2:$AI$1001,MATCH(ROWS($AH$2:AH95),$AH$2:$AH$1001,0),1)&gt;=100000,INDEX($AO$1005:$BQ$1005,1,MATCH(COLUMNS($AO$1006:BD1006),$AO$1006:$BQ$1006,0))&gt;=100000), " ",IF(INDEX($AO$2:$BQ$1001,MATCH(ROWS($AH$2:AH95),$AH$2:$AH$1001,0),MATCH(COLUMNS($AO$1006:BD1006),$AO$1006:$BQ$1006,0)), HYPERLINK("#",""), HYPERLINK(CONCATENATE("#Metadata!", ADDRESS(INDEX($AJ$2:$AJ$1001,MATCH(ROWS($AH$2:AH95),$AH$2:$AH$1001,0),0), INDEX($AO$1004:$BQ$1004,1,MATCH(COLUMNS($AO$1006:BD1006),$AO$1006:$BQ$1006,0)))),"Fix")))</f>
        <v>#N/A</v>
      </c>
      <c r="R95" s="5" t="e">
        <f ca="1">IF(OR(INDEX($AI$2:$AI$1001,MATCH(ROWS($AH$2:AH95),$AH$2:$AH$1001,0),1)&gt;=100000,INDEX($AO$1005:$BQ$1005,1,MATCH(COLUMNS($AO$1006:BE1006),$AO$1006:$BQ$1006,0))&gt;=100000), " ",IF(INDEX($AO$2:$BQ$1001,MATCH(ROWS($AH$2:AH95),$AH$2:$AH$1001,0),MATCH(COLUMNS($AO$1006:BE1006),$AO$1006:$BQ$1006,0)), HYPERLINK("#",""), HYPERLINK(CONCATENATE("#Metadata!", ADDRESS(INDEX($AJ$2:$AJ$1001,MATCH(ROWS($AH$2:AH95),$AH$2:$AH$1001,0),0), INDEX($AO$1004:$BQ$1004,1,MATCH(COLUMNS($AO$1006:BE1006),$AO$1006:$BQ$1006,0)))),"Fix")))</f>
        <v>#N/A</v>
      </c>
      <c r="S95" s="5" t="e">
        <f ca="1">IF(OR(INDEX($AI$2:$AI$1001,MATCH(ROWS($AH$2:AH95),$AH$2:$AH$1001,0),1)&gt;=100000,INDEX($AO$1005:$BQ$1005,1,MATCH(COLUMNS($AO$1006:BF1006),$AO$1006:$BQ$1006,0))&gt;=100000), " ",IF(INDEX($AO$2:$BQ$1001,MATCH(ROWS($AH$2:AH95),$AH$2:$AH$1001,0),MATCH(COLUMNS($AO$1006:BF1006),$AO$1006:$BQ$1006,0)), HYPERLINK("#",""), HYPERLINK(CONCATENATE("#Metadata!", ADDRESS(INDEX($AJ$2:$AJ$1001,MATCH(ROWS($AH$2:AH95),$AH$2:$AH$1001,0),0), INDEX($AO$1004:$BQ$1004,1,MATCH(COLUMNS($AO$1006:BF1006),$AO$1006:$BQ$1006,0)))),"Fix")))</f>
        <v>#N/A</v>
      </c>
      <c r="T95" s="5" t="e">
        <f ca="1">IF(OR(INDEX($AI$2:$AI$1001,MATCH(ROWS($AH$2:AH95),$AH$2:$AH$1001,0),1)&gt;=100000,INDEX($AO$1005:$BQ$1005,1,MATCH(COLUMNS($AO$1006:BG1006),$AO$1006:$BQ$1006,0))&gt;=100000), " ",IF(INDEX($AO$2:$BQ$1001,MATCH(ROWS($AH$2:AH95),$AH$2:$AH$1001,0),MATCH(COLUMNS($AO$1006:BG1006),$AO$1006:$BQ$1006,0)), HYPERLINK("#",""), HYPERLINK(CONCATENATE("#Metadata!", ADDRESS(INDEX($AJ$2:$AJ$1001,MATCH(ROWS($AH$2:AH95),$AH$2:$AH$1001,0),0), INDEX($AO$1004:$BQ$1004,1,MATCH(COLUMNS($AO$1006:BG1006),$AO$1006:$BQ$1006,0)))),"Fix")))</f>
        <v>#N/A</v>
      </c>
      <c r="U95" s="5" t="e">
        <f ca="1">IF(OR(INDEX($AI$2:$AI$1001,MATCH(ROWS($AH$2:AH95),$AH$2:$AH$1001,0),1)&gt;=100000,INDEX($AO$1005:$BQ$1005,1,MATCH(COLUMNS($AO$1006:BH1006),$AO$1006:$BQ$1006,0))&gt;=100000), " ",IF(INDEX($AO$2:$BQ$1001,MATCH(ROWS($AH$2:AH95),$AH$2:$AH$1001,0),MATCH(COLUMNS($AO$1006:BH1006),$AO$1006:$BQ$1006,0)), HYPERLINK("#",""), HYPERLINK(CONCATENATE("#Metadata!", ADDRESS(INDEX($AJ$2:$AJ$1001,MATCH(ROWS($AH$2:AH95),$AH$2:$AH$1001,0),0), INDEX($AO$1004:$BQ$1004,1,MATCH(COLUMNS($AO$1006:BH1006),$AO$1006:$BQ$1006,0)))),"Fix")))</f>
        <v>#N/A</v>
      </c>
      <c r="V95" s="5" t="e">
        <f ca="1">IF(OR(INDEX($AI$2:$AI$1001,MATCH(ROWS($AH$2:AH95),$AH$2:$AH$1001,0),1)&gt;=100000,INDEX($AO$1005:$BQ$1005,1,MATCH(COLUMNS($AO$1006:BI1006),$AO$1006:$BQ$1006,0))&gt;=100000), " ",IF(INDEX($AO$2:$BQ$1001,MATCH(ROWS($AH$2:AH95),$AH$2:$AH$1001,0),MATCH(COLUMNS($AO$1006:BI1006),$AO$1006:$BQ$1006,0)), HYPERLINK("#",""), HYPERLINK(CONCATENATE("#Metadata!", ADDRESS(INDEX($AJ$2:$AJ$1001,MATCH(ROWS($AH$2:AH95),$AH$2:$AH$1001,0),0), INDEX($AO$1004:$BQ$1004,1,MATCH(COLUMNS($AO$1006:BI1006),$AO$1006:$BQ$1006,0)))),"Fix")))</f>
        <v>#N/A</v>
      </c>
      <c r="W95" s="5" t="e">
        <f ca="1">IF(OR(INDEX($AI$2:$AI$1001,MATCH(ROWS($AH$2:AH95),$AH$2:$AH$1001,0),1)&gt;=100000,INDEX($AO$1005:$BQ$1005,1,MATCH(COLUMNS($AO$1006:BJ1006),$AO$1006:$BQ$1006,0))&gt;=100000), " ",IF(INDEX($AO$2:$BQ$1001,MATCH(ROWS($AH$2:AH95),$AH$2:$AH$1001,0),MATCH(COLUMNS($AO$1006:BJ1006),$AO$1006:$BQ$1006,0)), HYPERLINK("#",""), HYPERLINK(CONCATENATE("#Metadata!", ADDRESS(INDEX($AJ$2:$AJ$1001,MATCH(ROWS($AH$2:AH95),$AH$2:$AH$1001,0),0), INDEX($AO$1004:$BQ$1004,1,MATCH(COLUMNS($AO$1006:BJ1006),$AO$1006:$BQ$1006,0)))),"Fix")))</f>
        <v>#N/A</v>
      </c>
      <c r="X95" s="5" t="e">
        <f ca="1">IF(OR(INDEX($AI$2:$AI$1001,MATCH(ROWS($AH$2:AH95),$AH$2:$AH$1001,0),1)&gt;=100000,INDEX($AO$1005:$BQ$1005,1,MATCH(COLUMNS($AO$1006:BK1006),$AO$1006:$BQ$1006,0))&gt;=100000), " ",IF(INDEX($AO$2:$BQ$1001,MATCH(ROWS($AH$2:AH95),$AH$2:$AH$1001,0),MATCH(COLUMNS($AO$1006:BK1006),$AO$1006:$BQ$1006,0)), HYPERLINK("#",""), HYPERLINK(CONCATENATE("#Metadata!", ADDRESS(INDEX($AJ$2:$AJ$1001,MATCH(ROWS($AH$2:AH95),$AH$2:$AH$1001,0),0), INDEX($AO$1004:$BQ$1004,1,MATCH(COLUMNS($AO$1006:BK1006),$AO$1006:$BQ$1006,0)))),"Fix")))</f>
        <v>#N/A</v>
      </c>
      <c r="Y95" s="5" t="e">
        <f ca="1">IF(OR(INDEX($AI$2:$AI$1001,MATCH(ROWS($AH$2:AH95),$AH$2:$AH$1001,0),1)&gt;=100000,INDEX($AO$1005:$BQ$1005,1,MATCH(COLUMNS($AO$1006:BL1006),$AO$1006:$BQ$1006,0))&gt;=100000), " ",IF(INDEX($AO$2:$BQ$1001,MATCH(ROWS($AH$2:AH95),$AH$2:$AH$1001,0),MATCH(COLUMNS($AO$1006:BL1006),$AO$1006:$BQ$1006,0)), HYPERLINK("#",""), HYPERLINK(CONCATENATE("#Metadata!", ADDRESS(INDEX($AJ$2:$AJ$1001,MATCH(ROWS($AH$2:AH95),$AH$2:$AH$1001,0),0), INDEX($AO$1004:$BQ$1004,1,MATCH(COLUMNS($AO$1006:BL1006),$AO$1006:$BQ$1006,0)))),"Fix")))</f>
        <v>#N/A</v>
      </c>
      <c r="Z95" s="5" t="e">
        <f ca="1">IF(OR(INDEX($AI$2:$AI$1001,MATCH(ROWS($AH$2:AH95),$AH$2:$AH$1001,0),1)&gt;=100000,INDEX($AO$1005:$BQ$1005,1,MATCH(COLUMNS($AO$1006:BM1006),$AO$1006:$BQ$1006,0))&gt;=100000), " ",IF(INDEX($AO$2:$BQ$1001,MATCH(ROWS($AH$2:AH95),$AH$2:$AH$1001,0),MATCH(COLUMNS($AO$1006:BM1006),$AO$1006:$BQ$1006,0)), HYPERLINK("#",""), HYPERLINK(CONCATENATE("#Metadata!", ADDRESS(INDEX($AJ$2:$AJ$1001,MATCH(ROWS($AH$2:AH95),$AH$2:$AH$1001,0),0), INDEX($AO$1004:$BQ$1004,1,MATCH(COLUMNS($AO$1006:BM1006),$AO$1006:$BQ$1006,0)))),"Fix")))</f>
        <v>#N/A</v>
      </c>
      <c r="AA95" s="5" t="e">
        <f ca="1">IF(OR(INDEX($AI$2:$AI$1001,MATCH(ROWS($AH$2:AH95),$AH$2:$AH$1001,0),1)&gt;=100000,INDEX($AO$1005:$BQ$1005,1,MATCH(COLUMNS($AO$1006:BN1006),$AO$1006:$BQ$1006,0))&gt;=100000), " ",IF(INDEX($AO$2:$BQ$1001,MATCH(ROWS($AH$2:AH95),$AH$2:$AH$1001,0),MATCH(COLUMNS($AO$1006:BN1006),$AO$1006:$BQ$1006,0)), HYPERLINK("#",""), HYPERLINK(CONCATENATE("#Metadata!", ADDRESS(INDEX($AJ$2:$AJ$1001,MATCH(ROWS($AH$2:AH95),$AH$2:$AH$1001,0),0), INDEX($AO$1004:$BQ$1004,1,MATCH(COLUMNS($AO$1006:BN1006),$AO$1006:$BQ$1006,0)))),"Fix")))</f>
        <v>#N/A</v>
      </c>
      <c r="AB95" s="5" t="e">
        <f ca="1">IF(OR(INDEX($AI$2:$AI$1001,MATCH(ROWS($AH$2:AH95),$AH$2:$AH$1001,0),1)&gt;=100000,INDEX($AO$1005:$BQ$1005,1,MATCH(COLUMNS($AO$1006:BO1006),$AO$1006:$BQ$1006,0))&gt;=100000), " ",IF(INDEX($AO$2:$BQ$1001,MATCH(ROWS($AH$2:AH95),$AH$2:$AH$1001,0),MATCH(COLUMNS($AO$1006:BO1006),$AO$1006:$BQ$1006,0)), HYPERLINK("#",""), HYPERLINK(CONCATENATE("#Metadata!", ADDRESS(INDEX($AJ$2:$AJ$1001,MATCH(ROWS($AH$2:AH95),$AH$2:$AH$1001,0),0), INDEX($AO$1004:$BQ$1004,1,MATCH(COLUMNS($AO$1006:BO1006),$AO$1006:$BQ$1006,0)))),"Fix")))</f>
        <v>#N/A</v>
      </c>
      <c r="AC95" s="5" t="e">
        <f ca="1">IF(OR(INDEX($AI$2:$AI$1001,MATCH(ROWS($AH$2:AH95),$AH$2:$AH$1001,0),1)&gt;=100000,INDEX($AO$1005:$BQ$1005,1,MATCH(COLUMNS($AO$1006:BP1006),$AO$1006:$BQ$1006,0))&gt;=100000), " ",IF(INDEX($AO$2:$BQ$1001,MATCH(ROWS($AH$2:AH95),$AH$2:$AH$1001,0),MATCH(COLUMNS($AO$1006:BP1006),$AO$1006:$BQ$1006,0)), HYPERLINK("#",""), HYPERLINK(CONCATENATE("#Metadata!", ADDRESS(INDEX($AJ$2:$AJ$1001,MATCH(ROWS($AH$2:AH95),$AH$2:$AH$1001,0),0), INDEX($AO$1004:$BQ$1004,1,MATCH(COLUMNS($AO$1006:BP1006),$AO$1006:$BQ$1006,0)))),"Fix")))</f>
        <v>#N/A</v>
      </c>
      <c r="AD95" s="5" t="e">
        <f ca="1">IF(OR(INDEX($AI$2:$AI$1001,MATCH(ROWS($AH$2:AH95),$AH$2:$AH$1001,0),1)&gt;=100000,INDEX($AO$1005:$BQ$1005,1,MATCH(COLUMNS($AO$1006:BQ1006),$AO$1006:$BQ$1006,0))&gt;=100000), " ",IF(INDEX($AO$2:$BQ$1001,MATCH(ROWS($AH$2:AH95),$AH$2:$AH$1001,0),MATCH(COLUMNS($AO$1006:BQ1006),$AO$1006:$BQ$1006,0)), HYPERLINK("#",""), HYPERLINK(CONCATENATE("#Metadata!", ADDRESS(INDEX($AJ$2:$AJ$1001,MATCH(ROWS($AH$2:AH95),$AH$2:$AH$1001,0),0), INDEX($AO$1004:$BQ$1004,1,MATCH(COLUMNS($AO$1006:BQ1006),$AO$1006:$BQ$1006,0)))),"Fix")))</f>
        <v>#REF!</v>
      </c>
      <c r="AH95">
        <f ca="1"/>
        <v>92</v>
      </c>
      <c r="AI95">
        <v>100095</v>
      </c>
      <c r="AJ95">
        <v>95</v>
      </c>
      <c r="AK95" t="b">
        <f t="shared" si="1"/>
        <v>1</v>
      </c>
      <c r="AL95" t="b">
        <f>COUNTBLANK(Metadata!B95:AD95)=COLUMNS(Metadata!B95:AD95)</f>
        <v>1</v>
      </c>
      <c r="AM95" t="str">
        <v/>
      </c>
      <c r="AO95" t="b">
        <f ca="1">AND(IF(Metadata!B95="",FALSE,TRUE),COUNTIF(Metadata!B:B, Metadata!B95) = 1,NOT(ISERROR(SUMPRODUCT(SEARCH(MID(Metadata!B95,ROW(INDIRECT("1:"&amp;LEN(Metadata!B95))), 1),"0123456789abcdefghijklmnopqrstuvwxyzABCDEFGHIJKLMNOPQRSTUVWXYZ.")))))</f>
        <v>0</v>
      </c>
      <c r="AP95" t="b">
        <f>IF(Metadata!C95="",FALSE,TRUE)</f>
        <v>0</v>
      </c>
      <c r="AQ95" t="b">
        <f>IF(Metadata!D95="",FALSE,TRUE)</f>
        <v>0</v>
      </c>
      <c r="AR95" t="b">
        <f ca="1">OR(AND(IF(Metadata!E95="",FALSE,TRUE),OR(EXACT(Metadata!E95,"not collected"),EXACT(Metadata!E95,"not provided"),EXACT(Metadata!E95,"restricted access"))),AND(IF(Metadata!E95="",FALSE,TRUE),AND(AND(IFERROR(INT(LEFT(Metadata!E95,4))&gt;1900,FALSE),IFERROR(INT(LEFT(Metadata!E95,4))&lt;=YEAR(NOW()),FALSE)), OR(MID(Metadata!E95,5,1)="", AND(AND(MID(Metadata!E95,5,1)="-",IFERROR(INT(MID(Metadata!E95,6,1))&gt;=0,FALSE),IFERROR(INT(MID(Metadata!E95,6,1))&lt;=1,FALSE),NOT(MID(Metadata!E95,7,1)=""),IFERROR(INT(MID(Metadata!E95,6,2))&gt;=1,FALSE),IFERROR(INT(MID(Metadata!E95,6,2))&lt;=12,FALSE)), OR(MID(Metadata!E95,8,1)="", AND(AND(MID(Metadata!E95,8,1)="-",IFERROR(INT(MID(Metadata!E95,9,1))&gt;=0,FALSE),IFERROR(INT(MID(Metadata!E95,9,1))&lt;=3,FALSE),NOT(MID(Metadata!E95,10,1)=""),IFERROR(INT(MID(Metadata!E95,9,2))&gt;=1,FALSE),IFERROR(INT(MID(Metadata!E95,9,2))&lt;=31,FALSE)), OR(MID(Metadata!E95,11,1)="", AND(AND(MID(Metadata!E95,11,1)=" ",IFERROR(INT(MID(Metadata!E95,12,1))&gt;=0,FALSE),IFERROR(INT(MID(Metadata!E95,12,1))&lt;=2,FALSE),NOT(MID(Metadata!E95,13,1)=""),IFERROR(INT(MID(Metadata!E95,12,2))&gt;=0,FALSE),IFERROR(INT(MID(Metadata!E95,12,2))&lt;=23,FALSE)), OR(MID(Metadata!E95,14,1)="", AND(AND(MID(Metadata!E95,14,1)=":",IFERROR(INT(MID(Metadata!E95,15,1))&gt;=0,FALSE),IFERROR(INT(MID(Metadata!E95,15,1))&lt;=5,FALSE),NOT(MID(Metadata!E95,16,1)=""),IFERROR(INT(MID(Metadata!E95,15,2))&gt;=0,FALSE),IFERROR(INT(MID(Metadata!E95,15,2))&lt;=59,FALSE)), OR(MID(Metadata!E95,17,1)="", AND(AND(MID(Metadata!E95,17,1)=":",IFERROR(INT(MID(Metadata!E95,18,1))&gt;=0,FALSE),IFERROR(INT(MID(Metadata!E95,18,1))&lt;=5,FALSE),NOT(MID(Metadata!E95,19,1)=""),IFERROR(INT(MID(Metadata!E95,18,2))&gt;=0,FALSE),IFERROR(INT(MID(Metadata!E95,18,2))&lt;=59,FALSE)), LEN(Metadata!E95)&lt;=19)))))))))))))</f>
        <v>0</v>
      </c>
      <c r="AS95" t="b">
        <f>IF(Metadata!F95="",FALSE,TRUE)</f>
        <v>0</v>
      </c>
      <c r="AT95" t="b">
        <f>OR(AND(IF(Metadata!G95="",FALSE,TRUE),OR(EXACT(Metadata!G95,"not collected"),EXACT(Metadata!G95,"not provided"))),AND(IF(Metadata!G95="",FALSE,TRUE),OR(EXACT(Metadata!G95,"TRUE"),EXACT(Metadata!G95,"FALSE"))))</f>
        <v>0</v>
      </c>
      <c r="AU95" t="b">
        <f>OR(AND(IF(Metadata!H95="",FALSE,TRUE),OR(EXACT(Metadata!H95,"not collected"),EXACT(Metadata!H95,"not provided"),EXACT(Metadata!H95,"restricted access"))),AND(IF(Metadata!H95="",FALSE,ISNUMBER(VALUE(Metadata!H95))),Metadata!H95&gt;=-413))</f>
        <v>0</v>
      </c>
      <c r="AV95" t="b">
        <f>AND(IF(Metadata!I95="",FALSE,TRUE),EXACT(Metadata!I95,"meters"))</f>
        <v>0</v>
      </c>
      <c r="AW95" t="b">
        <f>AND(IF(Metadata!J95="",FALSE,TRUE),EXACT(Metadata!J95,"free-living"))</f>
        <v>0</v>
      </c>
      <c r="AX95" t="b">
        <f>AND(IF(Metadata!K95="",FALSE,TRUE),OR(EXACT(Metadata!K95,"saline"),EXACT(Metadata!K95,"non-saline")))</f>
        <v>0</v>
      </c>
      <c r="AY95" t="b">
        <f>AND(IF(Metadata!L95="",FALSE,TRUE),OR(EXACT(Metadata!L95,"sub-surface (non-saline)"),EXACT(Metadata!L95,"surface (non-saline)"),EXACT(Metadata!L95,"water (non-saline)"),EXACT(Metadata!L95,"soil (non-saline)"),EXACT(Metadata!L95,"aerosol (non-saline)"),EXACT(Metadata!L95,"sediment (non-saline)"),EXACT(Metadata!L95,"surface (saline)"),EXACT(Metadata!L95,"water (saline)"),EXACT(Metadata!L95,"hypersaline (saline)"),EXACT(Metadata!L95,"aerosol (saline)"),EXACT(Metadata!L95,"sediment (saline)")))</f>
        <v>0</v>
      </c>
      <c r="AZ95" t="b">
        <f>IF(Metadata!M95="",FALSE,TRUE)</f>
        <v>0</v>
      </c>
      <c r="BA95" t="b">
        <f>IF(Metadata!N95="",FALSE,TRUE)</f>
        <v>0</v>
      </c>
      <c r="BB95" t="b">
        <f>IF(Metadata!O95="",FALSE,TRUE)</f>
        <v>0</v>
      </c>
      <c r="BC95" t="b">
        <f>AND(IF(Metadata!P95="",FALSE,TRUE),OR(EXACT(Metadata!P95,"air"),EXACT(Metadata!P95,"microbial mat/biofilm"),EXACT(Metadata!P95,"misc environment"),EXACT(Metadata!P95,"sediment"),EXACT(Metadata!P95,"soil"),EXACT(Metadata!P95,"wastewater/sludge"),EXACT(Metadata!P95,"water")))</f>
        <v>0</v>
      </c>
      <c r="BD95" t="b">
        <f>IF(Metadata!Q95="",FALSE,TRUE)</f>
        <v>0</v>
      </c>
      <c r="BE95" t="b">
        <f>IF(Metadata!R95="",FALSE,TRUE)</f>
        <v>0</v>
      </c>
      <c r="BF95" t="b">
        <f>OR(AND(IF(Metadata!S95="",FALSE,TRUE),OR(EXACT(Metadata!S95,"not collected"),EXACT(Metadata!S95,"not provided"),EXACT(Metadata!S95,"restricted access"))),AND(IF(Metadata!S95="",FALSE,ISNUMBER(VALUE(Metadata!S95))),Metadata!S95&gt;=-90,Metadata!S95&lt;=90))</f>
        <v>0</v>
      </c>
      <c r="BG95" t="b">
        <f>AND(IF(Metadata!T95="",FALSE,TRUE),EXACT(Metadata!T95,"Decimal degrees"))</f>
        <v>0</v>
      </c>
      <c r="BH95" t="b">
        <f>OR(AND(IF(Metadata!U95="",FALSE,TRUE),OR(EXACT(Metadata!U95,"not applicable"),EXACT(Metadata!U95,"not collected"))),IF(Metadata!U95="",FALSE,TRUE))</f>
        <v>0</v>
      </c>
      <c r="BI95" t="b">
        <f>OR(AND(IF(Metadata!V95="",FALSE,TRUE),OR(EXACT(Metadata!V95,"not collected"),EXACT(Metadata!V95,"not provided"),EXACT(Metadata!V95,"restricted access"))),AND(IF(Metadata!V95="",FALSE,ISNUMBER(VALUE(Metadata!V95))),Metadata!V95&gt;=-180,Metadata!V95&lt;=180))</f>
        <v>0</v>
      </c>
      <c r="BJ95" t="b">
        <f>AND(IF(Metadata!W95="",FALSE,TRUE),EXACT(Metadata!W95,"Decimal degrees"))</f>
        <v>0</v>
      </c>
      <c r="BK95" t="b">
        <f>IF(Metadata!X95="",FALSE,TRUE)</f>
        <v>0</v>
      </c>
      <c r="BL95" t="b">
        <f>OR(AND(IF(Metadata!Y95="",FALSE,TRUE),OR(EXACT(Metadata!Y95,"not collected"),EXACT(Metadata!Y95,"not provided"),EXACT(Metadata!Y95,"restricted access"))),AND(IF(Metadata!Y95="",FALSE,TRUE),OR(EXACT(Metadata!Y95,"TRUE"),EXACT(Metadata!Y95,"FALSE"))))</f>
        <v>0</v>
      </c>
      <c r="BM95" t="b">
        <f>OR(AND(IF(Metadata!Z95="",FALSE,TRUE),EXACT(Metadata!Z95,"not applicable")),AND(IF(Metadata!Z95="",FALSE,TRUE),OR(EXACT(Metadata!Z95,"beer"),EXACT(Metadata!Z95,"cheese"),EXACT(Metadata!Z95,"fresh water"),EXACT(Metadata!Z95,"marine sediment"),EXACT(Metadata!Z95,"sea water"),EXACT(Metadata!Z95,"sediment"),EXACT(Metadata!Z95,"soil"),EXACT(Metadata!Z95,"waste water"))))</f>
        <v>0</v>
      </c>
      <c r="BN95" t="b">
        <f>AND(IF(Metadata!AA95="",FALSE,TRUE),EXACT(Metadata!AA95,"metagenome"))</f>
        <v>0</v>
      </c>
      <c r="BO95" t="b">
        <f>AND(IF(Metadata!AB95="",FALSE,TRUE),EXACT(Metadata!AB95,"256318"))</f>
        <v>0</v>
      </c>
      <c r="BP95" t="b">
        <f>IF(Metadata!AC95="",FALSE,TRUE)</f>
        <v>0</v>
      </c>
      <c r="BQ95" t="b">
        <f>IF(Metadata!AD95="",FALSE,TRUE)</f>
        <v>0</v>
      </c>
    </row>
    <row r="96" spans="1:69" x14ac:dyDescent="0.2">
      <c r="A96" s="4" t="e">
        <f ca="1">IF(B96=" "," ",HYPERLINK(CONCATENATE("#metadata!",ADDRESS(INDEX($AJ$2:$AJ$1001,MATCH(ROWS($AH$2:AH96),$AH$2:$AH$1001,0),0),2)),INDEX($AM$2:$AM$1001,MATCH(ROWS($AH$2:AH96),$AH$2:$AH$1001,0),0)))</f>
        <v>#N/A</v>
      </c>
      <c r="B96" s="5" t="e">
        <f ca="1">IF(OR(INDEX($AI$2:$AI$1001,MATCH(ROWS($AH$2:AH96),$AH$2:$AH$1001,0),1)&gt;=100000,INDEX($AO$1005:$BQ$1005,1,MATCH(COLUMNS($AO$1006:AO1006),$AO$1006:$BQ$1006,0))&gt;=100000), " ",IF(INDEX($AO$2:$BQ$1001,MATCH(ROWS($AH$2:AH96),$AH$2:$AH$1001,0),MATCH(COLUMNS($AO$1006:AO1006),$AO$1006:$BQ$1006,0)), HYPERLINK("#",""), HYPERLINK(CONCATENATE("#Metadata!", ADDRESS(INDEX($AJ$2:$AJ$1001,MATCH(ROWS($AH$2:AH96),$AH$2:$AH$1001,0),0), INDEX($AO$1004:$BQ$1004,1,MATCH(COLUMNS($AO$1006:AO1006),$AO$1006:$BQ$1006,0)))),"Fix")))</f>
        <v>#N/A</v>
      </c>
      <c r="C96" s="5" t="e">
        <f ca="1">IF(OR(INDEX($AI$2:$AI$1001,MATCH(ROWS($AH$2:AH96),$AH$2:$AH$1001,0),1)&gt;=100000,INDEX($AO$1005:$BQ$1005,1,MATCH(COLUMNS($AO$1006:AP1006),$AO$1006:$BQ$1006,0))&gt;=100000), " ",IF(INDEX($AO$2:$BQ$1001,MATCH(ROWS($AH$2:AH96),$AH$2:$AH$1001,0),MATCH(COLUMNS($AO$1006:AP1006),$AO$1006:$BQ$1006,0)), HYPERLINK("#",""), HYPERLINK(CONCATENATE("#Metadata!", ADDRESS(INDEX($AJ$2:$AJ$1001,MATCH(ROWS($AH$2:AH96),$AH$2:$AH$1001,0),0), INDEX($AO$1004:$BQ$1004,1,MATCH(COLUMNS($AO$1006:AP1006),$AO$1006:$BQ$1006,0)))),"Fix")))</f>
        <v>#N/A</v>
      </c>
      <c r="D96" s="5" t="e">
        <f ca="1">IF(OR(INDEX($AI$2:$AI$1001,MATCH(ROWS($AH$2:AH96),$AH$2:$AH$1001,0),1)&gt;=100000,INDEX($AO$1005:$BQ$1005,1,MATCH(COLUMNS($AO$1006:AQ1006),$AO$1006:$BQ$1006,0))&gt;=100000), " ",IF(INDEX($AO$2:$BQ$1001,MATCH(ROWS($AH$2:AH96),$AH$2:$AH$1001,0),MATCH(COLUMNS($AO$1006:AQ1006),$AO$1006:$BQ$1006,0)), HYPERLINK("#",""), HYPERLINK(CONCATENATE("#Metadata!", ADDRESS(INDEX($AJ$2:$AJ$1001,MATCH(ROWS($AH$2:AH96),$AH$2:$AH$1001,0),0), INDEX($AO$1004:$BQ$1004,1,MATCH(COLUMNS($AO$1006:AQ1006),$AO$1006:$BQ$1006,0)))),"Fix")))</f>
        <v>#N/A</v>
      </c>
      <c r="E96" s="5" t="e">
        <f ca="1">IF(OR(INDEX($AI$2:$AI$1001,MATCH(ROWS($AH$2:AH96),$AH$2:$AH$1001,0),1)&gt;=100000,INDEX($AO$1005:$BQ$1005,1,MATCH(COLUMNS($AO$1006:AR1006),$AO$1006:$BQ$1006,0))&gt;=100000), " ",IF(INDEX($AO$2:$BQ$1001,MATCH(ROWS($AH$2:AH96),$AH$2:$AH$1001,0),MATCH(COLUMNS($AO$1006:AR1006),$AO$1006:$BQ$1006,0)), HYPERLINK("#",""), HYPERLINK(CONCATENATE("#Metadata!", ADDRESS(INDEX($AJ$2:$AJ$1001,MATCH(ROWS($AH$2:AH96),$AH$2:$AH$1001,0),0), INDEX($AO$1004:$BQ$1004,1,MATCH(COLUMNS($AO$1006:AR1006),$AO$1006:$BQ$1006,0)))),"Fix")))</f>
        <v>#N/A</v>
      </c>
      <c r="F96" s="5" t="e">
        <f ca="1">IF(OR(INDEX($AI$2:$AI$1001,MATCH(ROWS($AH$2:AH96),$AH$2:$AH$1001,0),1)&gt;=100000,INDEX($AO$1005:$BQ$1005,1,MATCH(COLUMNS($AO$1006:AS1006),$AO$1006:$BQ$1006,0))&gt;=100000), " ",IF(INDEX($AO$2:$BQ$1001,MATCH(ROWS($AH$2:AH96),$AH$2:$AH$1001,0),MATCH(COLUMNS($AO$1006:AS1006),$AO$1006:$BQ$1006,0)), HYPERLINK("#",""), HYPERLINK(CONCATENATE("#Metadata!", ADDRESS(INDEX($AJ$2:$AJ$1001,MATCH(ROWS($AH$2:AH96),$AH$2:$AH$1001,0),0), INDEX($AO$1004:$BQ$1004,1,MATCH(COLUMNS($AO$1006:AS1006),$AO$1006:$BQ$1006,0)))),"Fix")))</f>
        <v>#N/A</v>
      </c>
      <c r="G96" s="5" t="e">
        <f ca="1">IF(OR(INDEX($AI$2:$AI$1001,MATCH(ROWS($AH$2:AH96),$AH$2:$AH$1001,0),1)&gt;=100000,INDEX($AO$1005:$BQ$1005,1,MATCH(COLUMNS($AO$1006:AT1006),$AO$1006:$BQ$1006,0))&gt;=100000), " ",IF(INDEX($AO$2:$BQ$1001,MATCH(ROWS($AH$2:AH96),$AH$2:$AH$1001,0),MATCH(COLUMNS($AO$1006:AT1006),$AO$1006:$BQ$1006,0)), HYPERLINK("#",""), HYPERLINK(CONCATENATE("#Metadata!", ADDRESS(INDEX($AJ$2:$AJ$1001,MATCH(ROWS($AH$2:AH96),$AH$2:$AH$1001,0),0), INDEX($AO$1004:$BQ$1004,1,MATCH(COLUMNS($AO$1006:AT1006),$AO$1006:$BQ$1006,0)))),"Fix")))</f>
        <v>#N/A</v>
      </c>
      <c r="H96" s="5" t="e">
        <f ca="1">IF(OR(INDEX($AI$2:$AI$1001,MATCH(ROWS($AH$2:AH96),$AH$2:$AH$1001,0),1)&gt;=100000,INDEX($AO$1005:$BQ$1005,1,MATCH(COLUMNS($AO$1006:AU1006),$AO$1006:$BQ$1006,0))&gt;=100000), " ",IF(INDEX($AO$2:$BQ$1001,MATCH(ROWS($AH$2:AH96),$AH$2:$AH$1001,0),MATCH(COLUMNS($AO$1006:AU1006),$AO$1006:$BQ$1006,0)), HYPERLINK("#",""), HYPERLINK(CONCATENATE("#Metadata!", ADDRESS(INDEX($AJ$2:$AJ$1001,MATCH(ROWS($AH$2:AH96),$AH$2:$AH$1001,0),0), INDEX($AO$1004:$BQ$1004,1,MATCH(COLUMNS($AO$1006:AU1006),$AO$1006:$BQ$1006,0)))),"Fix")))</f>
        <v>#N/A</v>
      </c>
      <c r="I96" s="5" t="e">
        <f ca="1">IF(OR(INDEX($AI$2:$AI$1001,MATCH(ROWS($AH$2:AH96),$AH$2:$AH$1001,0),1)&gt;=100000,INDEX($AO$1005:$BQ$1005,1,MATCH(COLUMNS($AO$1006:AV1006),$AO$1006:$BQ$1006,0))&gt;=100000), " ",IF(INDEX($AO$2:$BQ$1001,MATCH(ROWS($AH$2:AH96),$AH$2:$AH$1001,0),MATCH(COLUMNS($AO$1006:AV1006),$AO$1006:$BQ$1006,0)), HYPERLINK("#",""), HYPERLINK(CONCATENATE("#Metadata!", ADDRESS(INDEX($AJ$2:$AJ$1001,MATCH(ROWS($AH$2:AH96),$AH$2:$AH$1001,0),0), INDEX($AO$1004:$BQ$1004,1,MATCH(COLUMNS($AO$1006:AV1006),$AO$1006:$BQ$1006,0)))),"Fix")))</f>
        <v>#N/A</v>
      </c>
      <c r="J96" s="5" t="e">
        <f ca="1">IF(OR(INDEX($AI$2:$AI$1001,MATCH(ROWS($AH$2:AH96),$AH$2:$AH$1001,0),1)&gt;=100000,INDEX($AO$1005:$BQ$1005,1,MATCH(COLUMNS($AO$1006:AW1006),$AO$1006:$BQ$1006,0))&gt;=100000), " ",IF(INDEX($AO$2:$BQ$1001,MATCH(ROWS($AH$2:AH96),$AH$2:$AH$1001,0),MATCH(COLUMNS($AO$1006:AW1006),$AO$1006:$BQ$1006,0)), HYPERLINK("#",""), HYPERLINK(CONCATENATE("#Metadata!", ADDRESS(INDEX($AJ$2:$AJ$1001,MATCH(ROWS($AH$2:AH96),$AH$2:$AH$1001,0),0), INDEX($AO$1004:$BQ$1004,1,MATCH(COLUMNS($AO$1006:AW1006),$AO$1006:$BQ$1006,0)))),"Fix")))</f>
        <v>#N/A</v>
      </c>
      <c r="K96" s="5" t="e">
        <f ca="1">IF(OR(INDEX($AI$2:$AI$1001,MATCH(ROWS($AH$2:AH96),$AH$2:$AH$1001,0),1)&gt;=100000,INDEX($AO$1005:$BQ$1005,1,MATCH(COLUMNS($AO$1006:AX1006),$AO$1006:$BQ$1006,0))&gt;=100000), " ",IF(INDEX($AO$2:$BQ$1001,MATCH(ROWS($AH$2:AH96),$AH$2:$AH$1001,0),MATCH(COLUMNS($AO$1006:AX1006),$AO$1006:$BQ$1006,0)), HYPERLINK("#",""), HYPERLINK(CONCATENATE("#Metadata!", ADDRESS(INDEX($AJ$2:$AJ$1001,MATCH(ROWS($AH$2:AH96),$AH$2:$AH$1001,0),0), INDEX($AO$1004:$BQ$1004,1,MATCH(COLUMNS($AO$1006:AX1006),$AO$1006:$BQ$1006,0)))),"Fix")))</f>
        <v>#N/A</v>
      </c>
      <c r="L96" s="5" t="e">
        <f ca="1">IF(OR(INDEX($AI$2:$AI$1001,MATCH(ROWS($AH$2:AH96),$AH$2:$AH$1001,0),1)&gt;=100000,INDEX($AO$1005:$BQ$1005,1,MATCH(COLUMNS($AO$1006:AY1006),$AO$1006:$BQ$1006,0))&gt;=100000), " ",IF(INDEX($AO$2:$BQ$1001,MATCH(ROWS($AH$2:AH96),$AH$2:$AH$1001,0),MATCH(COLUMNS($AO$1006:AY1006),$AO$1006:$BQ$1006,0)), HYPERLINK("#",""), HYPERLINK(CONCATENATE("#Metadata!", ADDRESS(INDEX($AJ$2:$AJ$1001,MATCH(ROWS($AH$2:AH96),$AH$2:$AH$1001,0),0), INDEX($AO$1004:$BQ$1004,1,MATCH(COLUMNS($AO$1006:AY1006),$AO$1006:$BQ$1006,0)))),"Fix")))</f>
        <v>#N/A</v>
      </c>
      <c r="M96" s="5" t="e">
        <f ca="1">IF(OR(INDEX($AI$2:$AI$1001,MATCH(ROWS($AH$2:AH96),$AH$2:$AH$1001,0),1)&gt;=100000,INDEX($AO$1005:$BQ$1005,1,MATCH(COLUMNS($AO$1006:AZ1006),$AO$1006:$BQ$1006,0))&gt;=100000), " ",IF(INDEX($AO$2:$BQ$1001,MATCH(ROWS($AH$2:AH96),$AH$2:$AH$1001,0),MATCH(COLUMNS($AO$1006:AZ1006),$AO$1006:$BQ$1006,0)), HYPERLINK("#",""), HYPERLINK(CONCATENATE("#Metadata!", ADDRESS(INDEX($AJ$2:$AJ$1001,MATCH(ROWS($AH$2:AH96),$AH$2:$AH$1001,0),0), INDEX($AO$1004:$BQ$1004,1,MATCH(COLUMNS($AO$1006:AZ1006),$AO$1006:$BQ$1006,0)))),"Fix")))</f>
        <v>#N/A</v>
      </c>
      <c r="N96" s="5" t="e">
        <f ca="1">IF(OR(INDEX($AI$2:$AI$1001,MATCH(ROWS($AH$2:AH96),$AH$2:$AH$1001,0),1)&gt;=100000,INDEX($AO$1005:$BQ$1005,1,MATCH(COLUMNS($AO$1006:BA1006),$AO$1006:$BQ$1006,0))&gt;=100000), " ",IF(INDEX($AO$2:$BQ$1001,MATCH(ROWS($AH$2:AH96),$AH$2:$AH$1001,0),MATCH(COLUMNS($AO$1006:BA1006),$AO$1006:$BQ$1006,0)), HYPERLINK("#",""), HYPERLINK(CONCATENATE("#Metadata!", ADDRESS(INDEX($AJ$2:$AJ$1001,MATCH(ROWS($AH$2:AH96),$AH$2:$AH$1001,0),0), INDEX($AO$1004:$BQ$1004,1,MATCH(COLUMNS($AO$1006:BA1006),$AO$1006:$BQ$1006,0)))),"Fix")))</f>
        <v>#N/A</v>
      </c>
      <c r="O96" s="5" t="e">
        <f ca="1">IF(OR(INDEX($AI$2:$AI$1001,MATCH(ROWS($AH$2:AH96),$AH$2:$AH$1001,0),1)&gt;=100000,INDEX($AO$1005:$BQ$1005,1,MATCH(COLUMNS($AO$1006:BB1006),$AO$1006:$BQ$1006,0))&gt;=100000), " ",IF(INDEX($AO$2:$BQ$1001,MATCH(ROWS($AH$2:AH96),$AH$2:$AH$1001,0),MATCH(COLUMNS($AO$1006:BB1006),$AO$1006:$BQ$1006,0)), HYPERLINK("#",""), HYPERLINK(CONCATENATE("#Metadata!", ADDRESS(INDEX($AJ$2:$AJ$1001,MATCH(ROWS($AH$2:AH96),$AH$2:$AH$1001,0),0), INDEX($AO$1004:$BQ$1004,1,MATCH(COLUMNS($AO$1006:BB1006),$AO$1006:$BQ$1006,0)))),"Fix")))</f>
        <v>#N/A</v>
      </c>
      <c r="P96" s="5" t="e">
        <f ca="1">IF(OR(INDEX($AI$2:$AI$1001,MATCH(ROWS($AH$2:AH96),$AH$2:$AH$1001,0),1)&gt;=100000,INDEX($AO$1005:$BQ$1005,1,MATCH(COLUMNS($AO$1006:BC1006),$AO$1006:$BQ$1006,0))&gt;=100000), " ",IF(INDEX($AO$2:$BQ$1001,MATCH(ROWS($AH$2:AH96),$AH$2:$AH$1001,0),MATCH(COLUMNS($AO$1006:BC1006),$AO$1006:$BQ$1006,0)), HYPERLINK("#",""), HYPERLINK(CONCATENATE("#Metadata!", ADDRESS(INDEX($AJ$2:$AJ$1001,MATCH(ROWS($AH$2:AH96),$AH$2:$AH$1001,0),0), INDEX($AO$1004:$BQ$1004,1,MATCH(COLUMNS($AO$1006:BC1006),$AO$1006:$BQ$1006,0)))),"Fix")))</f>
        <v>#N/A</v>
      </c>
      <c r="Q96" s="5" t="e">
        <f ca="1">IF(OR(INDEX($AI$2:$AI$1001,MATCH(ROWS($AH$2:AH96),$AH$2:$AH$1001,0),1)&gt;=100000,INDEX($AO$1005:$BQ$1005,1,MATCH(COLUMNS($AO$1006:BD1006),$AO$1006:$BQ$1006,0))&gt;=100000), " ",IF(INDEX($AO$2:$BQ$1001,MATCH(ROWS($AH$2:AH96),$AH$2:$AH$1001,0),MATCH(COLUMNS($AO$1006:BD1006),$AO$1006:$BQ$1006,0)), HYPERLINK("#",""), HYPERLINK(CONCATENATE("#Metadata!", ADDRESS(INDEX($AJ$2:$AJ$1001,MATCH(ROWS($AH$2:AH96),$AH$2:$AH$1001,0),0), INDEX($AO$1004:$BQ$1004,1,MATCH(COLUMNS($AO$1006:BD1006),$AO$1006:$BQ$1006,0)))),"Fix")))</f>
        <v>#N/A</v>
      </c>
      <c r="R96" s="5" t="e">
        <f ca="1">IF(OR(INDEX($AI$2:$AI$1001,MATCH(ROWS($AH$2:AH96),$AH$2:$AH$1001,0),1)&gt;=100000,INDEX($AO$1005:$BQ$1005,1,MATCH(COLUMNS($AO$1006:BE1006),$AO$1006:$BQ$1006,0))&gt;=100000), " ",IF(INDEX($AO$2:$BQ$1001,MATCH(ROWS($AH$2:AH96),$AH$2:$AH$1001,0),MATCH(COLUMNS($AO$1006:BE1006),$AO$1006:$BQ$1006,0)), HYPERLINK("#",""), HYPERLINK(CONCATENATE("#Metadata!", ADDRESS(INDEX($AJ$2:$AJ$1001,MATCH(ROWS($AH$2:AH96),$AH$2:$AH$1001,0),0), INDEX($AO$1004:$BQ$1004,1,MATCH(COLUMNS($AO$1006:BE1006),$AO$1006:$BQ$1006,0)))),"Fix")))</f>
        <v>#N/A</v>
      </c>
      <c r="S96" s="5" t="e">
        <f ca="1">IF(OR(INDEX($AI$2:$AI$1001,MATCH(ROWS($AH$2:AH96),$AH$2:$AH$1001,0),1)&gt;=100000,INDEX($AO$1005:$BQ$1005,1,MATCH(COLUMNS($AO$1006:BF1006),$AO$1006:$BQ$1006,0))&gt;=100000), " ",IF(INDEX($AO$2:$BQ$1001,MATCH(ROWS($AH$2:AH96),$AH$2:$AH$1001,0),MATCH(COLUMNS($AO$1006:BF1006),$AO$1006:$BQ$1006,0)), HYPERLINK("#",""), HYPERLINK(CONCATENATE("#Metadata!", ADDRESS(INDEX($AJ$2:$AJ$1001,MATCH(ROWS($AH$2:AH96),$AH$2:$AH$1001,0),0), INDEX($AO$1004:$BQ$1004,1,MATCH(COLUMNS($AO$1006:BF1006),$AO$1006:$BQ$1006,0)))),"Fix")))</f>
        <v>#N/A</v>
      </c>
      <c r="T96" s="5" t="e">
        <f ca="1">IF(OR(INDEX($AI$2:$AI$1001,MATCH(ROWS($AH$2:AH96),$AH$2:$AH$1001,0),1)&gt;=100000,INDEX($AO$1005:$BQ$1005,1,MATCH(COLUMNS($AO$1006:BG1006),$AO$1006:$BQ$1006,0))&gt;=100000), " ",IF(INDEX($AO$2:$BQ$1001,MATCH(ROWS($AH$2:AH96),$AH$2:$AH$1001,0),MATCH(COLUMNS($AO$1006:BG1006),$AO$1006:$BQ$1006,0)), HYPERLINK("#",""), HYPERLINK(CONCATENATE("#Metadata!", ADDRESS(INDEX($AJ$2:$AJ$1001,MATCH(ROWS($AH$2:AH96),$AH$2:$AH$1001,0),0), INDEX($AO$1004:$BQ$1004,1,MATCH(COLUMNS($AO$1006:BG1006),$AO$1006:$BQ$1006,0)))),"Fix")))</f>
        <v>#N/A</v>
      </c>
      <c r="U96" s="5" t="e">
        <f ca="1">IF(OR(INDEX($AI$2:$AI$1001,MATCH(ROWS($AH$2:AH96),$AH$2:$AH$1001,0),1)&gt;=100000,INDEX($AO$1005:$BQ$1005,1,MATCH(COLUMNS($AO$1006:BH1006),$AO$1006:$BQ$1006,0))&gt;=100000), " ",IF(INDEX($AO$2:$BQ$1001,MATCH(ROWS($AH$2:AH96),$AH$2:$AH$1001,0),MATCH(COLUMNS($AO$1006:BH1006),$AO$1006:$BQ$1006,0)), HYPERLINK("#",""), HYPERLINK(CONCATENATE("#Metadata!", ADDRESS(INDEX($AJ$2:$AJ$1001,MATCH(ROWS($AH$2:AH96),$AH$2:$AH$1001,0),0), INDEX($AO$1004:$BQ$1004,1,MATCH(COLUMNS($AO$1006:BH1006),$AO$1006:$BQ$1006,0)))),"Fix")))</f>
        <v>#N/A</v>
      </c>
      <c r="V96" s="5" t="e">
        <f ca="1">IF(OR(INDEX($AI$2:$AI$1001,MATCH(ROWS($AH$2:AH96),$AH$2:$AH$1001,0),1)&gt;=100000,INDEX($AO$1005:$BQ$1005,1,MATCH(COLUMNS($AO$1006:BI1006),$AO$1006:$BQ$1006,0))&gt;=100000), " ",IF(INDEX($AO$2:$BQ$1001,MATCH(ROWS($AH$2:AH96),$AH$2:$AH$1001,0),MATCH(COLUMNS($AO$1006:BI1006),$AO$1006:$BQ$1006,0)), HYPERLINK("#",""), HYPERLINK(CONCATENATE("#Metadata!", ADDRESS(INDEX($AJ$2:$AJ$1001,MATCH(ROWS($AH$2:AH96),$AH$2:$AH$1001,0),0), INDEX($AO$1004:$BQ$1004,1,MATCH(COLUMNS($AO$1006:BI1006),$AO$1006:$BQ$1006,0)))),"Fix")))</f>
        <v>#N/A</v>
      </c>
      <c r="W96" s="5" t="e">
        <f ca="1">IF(OR(INDEX($AI$2:$AI$1001,MATCH(ROWS($AH$2:AH96),$AH$2:$AH$1001,0),1)&gt;=100000,INDEX($AO$1005:$BQ$1005,1,MATCH(COLUMNS($AO$1006:BJ1006),$AO$1006:$BQ$1006,0))&gt;=100000), " ",IF(INDEX($AO$2:$BQ$1001,MATCH(ROWS($AH$2:AH96),$AH$2:$AH$1001,0),MATCH(COLUMNS($AO$1006:BJ1006),$AO$1006:$BQ$1006,0)), HYPERLINK("#",""), HYPERLINK(CONCATENATE("#Metadata!", ADDRESS(INDEX($AJ$2:$AJ$1001,MATCH(ROWS($AH$2:AH96),$AH$2:$AH$1001,0),0), INDEX($AO$1004:$BQ$1004,1,MATCH(COLUMNS($AO$1006:BJ1006),$AO$1006:$BQ$1006,0)))),"Fix")))</f>
        <v>#N/A</v>
      </c>
      <c r="X96" s="5" t="e">
        <f ca="1">IF(OR(INDEX($AI$2:$AI$1001,MATCH(ROWS($AH$2:AH96),$AH$2:$AH$1001,0),1)&gt;=100000,INDEX($AO$1005:$BQ$1005,1,MATCH(COLUMNS($AO$1006:BK1006),$AO$1006:$BQ$1006,0))&gt;=100000), " ",IF(INDEX($AO$2:$BQ$1001,MATCH(ROWS($AH$2:AH96),$AH$2:$AH$1001,0),MATCH(COLUMNS($AO$1006:BK1006),$AO$1006:$BQ$1006,0)), HYPERLINK("#",""), HYPERLINK(CONCATENATE("#Metadata!", ADDRESS(INDEX($AJ$2:$AJ$1001,MATCH(ROWS($AH$2:AH96),$AH$2:$AH$1001,0),0), INDEX($AO$1004:$BQ$1004,1,MATCH(COLUMNS($AO$1006:BK1006),$AO$1006:$BQ$1006,0)))),"Fix")))</f>
        <v>#N/A</v>
      </c>
      <c r="Y96" s="5" t="e">
        <f ca="1">IF(OR(INDEX($AI$2:$AI$1001,MATCH(ROWS($AH$2:AH96),$AH$2:$AH$1001,0),1)&gt;=100000,INDEX($AO$1005:$BQ$1005,1,MATCH(COLUMNS($AO$1006:BL1006),$AO$1006:$BQ$1006,0))&gt;=100000), " ",IF(INDEX($AO$2:$BQ$1001,MATCH(ROWS($AH$2:AH96),$AH$2:$AH$1001,0),MATCH(COLUMNS($AO$1006:BL1006),$AO$1006:$BQ$1006,0)), HYPERLINK("#",""), HYPERLINK(CONCATENATE("#Metadata!", ADDRESS(INDEX($AJ$2:$AJ$1001,MATCH(ROWS($AH$2:AH96),$AH$2:$AH$1001,0),0), INDEX($AO$1004:$BQ$1004,1,MATCH(COLUMNS($AO$1006:BL1006),$AO$1006:$BQ$1006,0)))),"Fix")))</f>
        <v>#N/A</v>
      </c>
      <c r="Z96" s="5" t="e">
        <f ca="1">IF(OR(INDEX($AI$2:$AI$1001,MATCH(ROWS($AH$2:AH96),$AH$2:$AH$1001,0),1)&gt;=100000,INDEX($AO$1005:$BQ$1005,1,MATCH(COLUMNS($AO$1006:BM1006),$AO$1006:$BQ$1006,0))&gt;=100000), " ",IF(INDEX($AO$2:$BQ$1001,MATCH(ROWS($AH$2:AH96),$AH$2:$AH$1001,0),MATCH(COLUMNS($AO$1006:BM1006),$AO$1006:$BQ$1006,0)), HYPERLINK("#",""), HYPERLINK(CONCATENATE("#Metadata!", ADDRESS(INDEX($AJ$2:$AJ$1001,MATCH(ROWS($AH$2:AH96),$AH$2:$AH$1001,0),0), INDEX($AO$1004:$BQ$1004,1,MATCH(COLUMNS($AO$1006:BM1006),$AO$1006:$BQ$1006,0)))),"Fix")))</f>
        <v>#N/A</v>
      </c>
      <c r="AA96" s="5" t="e">
        <f ca="1">IF(OR(INDEX($AI$2:$AI$1001,MATCH(ROWS($AH$2:AH96),$AH$2:$AH$1001,0),1)&gt;=100000,INDEX($AO$1005:$BQ$1005,1,MATCH(COLUMNS($AO$1006:BN1006),$AO$1006:$BQ$1006,0))&gt;=100000), " ",IF(INDEX($AO$2:$BQ$1001,MATCH(ROWS($AH$2:AH96),$AH$2:$AH$1001,0),MATCH(COLUMNS($AO$1006:BN1006),$AO$1006:$BQ$1006,0)), HYPERLINK("#",""), HYPERLINK(CONCATENATE("#Metadata!", ADDRESS(INDEX($AJ$2:$AJ$1001,MATCH(ROWS($AH$2:AH96),$AH$2:$AH$1001,0),0), INDEX($AO$1004:$BQ$1004,1,MATCH(COLUMNS($AO$1006:BN1006),$AO$1006:$BQ$1006,0)))),"Fix")))</f>
        <v>#N/A</v>
      </c>
      <c r="AB96" s="5" t="e">
        <f ca="1">IF(OR(INDEX($AI$2:$AI$1001,MATCH(ROWS($AH$2:AH96),$AH$2:$AH$1001,0),1)&gt;=100000,INDEX($AO$1005:$BQ$1005,1,MATCH(COLUMNS($AO$1006:BO1006),$AO$1006:$BQ$1006,0))&gt;=100000), " ",IF(INDEX($AO$2:$BQ$1001,MATCH(ROWS($AH$2:AH96),$AH$2:$AH$1001,0),MATCH(COLUMNS($AO$1006:BO1006),$AO$1006:$BQ$1006,0)), HYPERLINK("#",""), HYPERLINK(CONCATENATE("#Metadata!", ADDRESS(INDEX($AJ$2:$AJ$1001,MATCH(ROWS($AH$2:AH96),$AH$2:$AH$1001,0),0), INDEX($AO$1004:$BQ$1004,1,MATCH(COLUMNS($AO$1006:BO1006),$AO$1006:$BQ$1006,0)))),"Fix")))</f>
        <v>#N/A</v>
      </c>
      <c r="AC96" s="5" t="e">
        <f ca="1">IF(OR(INDEX($AI$2:$AI$1001,MATCH(ROWS($AH$2:AH96),$AH$2:$AH$1001,0),1)&gt;=100000,INDEX($AO$1005:$BQ$1005,1,MATCH(COLUMNS($AO$1006:BP1006),$AO$1006:$BQ$1006,0))&gt;=100000), " ",IF(INDEX($AO$2:$BQ$1001,MATCH(ROWS($AH$2:AH96),$AH$2:$AH$1001,0),MATCH(COLUMNS($AO$1006:BP1006),$AO$1006:$BQ$1006,0)), HYPERLINK("#",""), HYPERLINK(CONCATENATE("#Metadata!", ADDRESS(INDEX($AJ$2:$AJ$1001,MATCH(ROWS($AH$2:AH96),$AH$2:$AH$1001,0),0), INDEX($AO$1004:$BQ$1004,1,MATCH(COLUMNS($AO$1006:BP1006),$AO$1006:$BQ$1006,0)))),"Fix")))</f>
        <v>#N/A</v>
      </c>
      <c r="AD96" s="5" t="e">
        <f ca="1">IF(OR(INDEX($AI$2:$AI$1001,MATCH(ROWS($AH$2:AH96),$AH$2:$AH$1001,0),1)&gt;=100000,INDEX($AO$1005:$BQ$1005,1,MATCH(COLUMNS($AO$1006:BQ1006),$AO$1006:$BQ$1006,0))&gt;=100000), " ",IF(INDEX($AO$2:$BQ$1001,MATCH(ROWS($AH$2:AH96),$AH$2:$AH$1001,0),MATCH(COLUMNS($AO$1006:BQ1006),$AO$1006:$BQ$1006,0)), HYPERLINK("#",""), HYPERLINK(CONCATENATE("#Metadata!", ADDRESS(INDEX($AJ$2:$AJ$1001,MATCH(ROWS($AH$2:AH96),$AH$2:$AH$1001,0),0), INDEX($AO$1004:$BQ$1004,1,MATCH(COLUMNS($AO$1006:BQ1006),$AO$1006:$BQ$1006,0)))),"Fix")))</f>
        <v>#REF!</v>
      </c>
      <c r="AH96">
        <f ca="1"/>
        <v>93</v>
      </c>
      <c r="AI96">
        <v>100096</v>
      </c>
      <c r="AJ96">
        <v>96</v>
      </c>
      <c r="AK96" t="b">
        <f t="shared" si="1"/>
        <v>1</v>
      </c>
      <c r="AL96" t="b">
        <f>COUNTBLANK(Metadata!B96:AD96)=COLUMNS(Metadata!B96:AD96)</f>
        <v>1</v>
      </c>
      <c r="AM96" t="str">
        <v/>
      </c>
      <c r="AO96" t="b">
        <f ca="1">AND(IF(Metadata!B96="",FALSE,TRUE),COUNTIF(Metadata!B:B, Metadata!B96) = 1,NOT(ISERROR(SUMPRODUCT(SEARCH(MID(Metadata!B96,ROW(INDIRECT("1:"&amp;LEN(Metadata!B96))), 1),"0123456789abcdefghijklmnopqrstuvwxyzABCDEFGHIJKLMNOPQRSTUVWXYZ.")))))</f>
        <v>0</v>
      </c>
      <c r="AP96" t="b">
        <f>IF(Metadata!C96="",FALSE,TRUE)</f>
        <v>0</v>
      </c>
      <c r="AQ96" t="b">
        <f>IF(Metadata!D96="",FALSE,TRUE)</f>
        <v>0</v>
      </c>
      <c r="AR96" t="b">
        <f ca="1">OR(AND(IF(Metadata!E96="",FALSE,TRUE),OR(EXACT(Metadata!E96,"not collected"),EXACT(Metadata!E96,"not provided"),EXACT(Metadata!E96,"restricted access"))),AND(IF(Metadata!E96="",FALSE,TRUE),AND(AND(IFERROR(INT(LEFT(Metadata!E96,4))&gt;1900,FALSE),IFERROR(INT(LEFT(Metadata!E96,4))&lt;=YEAR(NOW()),FALSE)), OR(MID(Metadata!E96,5,1)="", AND(AND(MID(Metadata!E96,5,1)="-",IFERROR(INT(MID(Metadata!E96,6,1))&gt;=0,FALSE),IFERROR(INT(MID(Metadata!E96,6,1))&lt;=1,FALSE),NOT(MID(Metadata!E96,7,1)=""),IFERROR(INT(MID(Metadata!E96,6,2))&gt;=1,FALSE),IFERROR(INT(MID(Metadata!E96,6,2))&lt;=12,FALSE)), OR(MID(Metadata!E96,8,1)="", AND(AND(MID(Metadata!E96,8,1)="-",IFERROR(INT(MID(Metadata!E96,9,1))&gt;=0,FALSE),IFERROR(INT(MID(Metadata!E96,9,1))&lt;=3,FALSE),NOT(MID(Metadata!E96,10,1)=""),IFERROR(INT(MID(Metadata!E96,9,2))&gt;=1,FALSE),IFERROR(INT(MID(Metadata!E96,9,2))&lt;=31,FALSE)), OR(MID(Metadata!E96,11,1)="", AND(AND(MID(Metadata!E96,11,1)=" ",IFERROR(INT(MID(Metadata!E96,12,1))&gt;=0,FALSE),IFERROR(INT(MID(Metadata!E96,12,1))&lt;=2,FALSE),NOT(MID(Metadata!E96,13,1)=""),IFERROR(INT(MID(Metadata!E96,12,2))&gt;=0,FALSE),IFERROR(INT(MID(Metadata!E96,12,2))&lt;=23,FALSE)), OR(MID(Metadata!E96,14,1)="", AND(AND(MID(Metadata!E96,14,1)=":",IFERROR(INT(MID(Metadata!E96,15,1))&gt;=0,FALSE),IFERROR(INT(MID(Metadata!E96,15,1))&lt;=5,FALSE),NOT(MID(Metadata!E96,16,1)=""),IFERROR(INT(MID(Metadata!E96,15,2))&gt;=0,FALSE),IFERROR(INT(MID(Metadata!E96,15,2))&lt;=59,FALSE)), OR(MID(Metadata!E96,17,1)="", AND(AND(MID(Metadata!E96,17,1)=":",IFERROR(INT(MID(Metadata!E96,18,1))&gt;=0,FALSE),IFERROR(INT(MID(Metadata!E96,18,1))&lt;=5,FALSE),NOT(MID(Metadata!E96,19,1)=""),IFERROR(INT(MID(Metadata!E96,18,2))&gt;=0,FALSE),IFERROR(INT(MID(Metadata!E96,18,2))&lt;=59,FALSE)), LEN(Metadata!E96)&lt;=19)))))))))))))</f>
        <v>0</v>
      </c>
      <c r="AS96" t="b">
        <f>IF(Metadata!F96="",FALSE,TRUE)</f>
        <v>0</v>
      </c>
      <c r="AT96" t="b">
        <f>OR(AND(IF(Metadata!G96="",FALSE,TRUE),OR(EXACT(Metadata!G96,"not collected"),EXACT(Metadata!G96,"not provided"))),AND(IF(Metadata!G96="",FALSE,TRUE),OR(EXACT(Metadata!G96,"TRUE"),EXACT(Metadata!G96,"FALSE"))))</f>
        <v>0</v>
      </c>
      <c r="AU96" t="b">
        <f>OR(AND(IF(Metadata!H96="",FALSE,TRUE),OR(EXACT(Metadata!H96,"not collected"),EXACT(Metadata!H96,"not provided"),EXACT(Metadata!H96,"restricted access"))),AND(IF(Metadata!H96="",FALSE,ISNUMBER(VALUE(Metadata!H96))),Metadata!H96&gt;=-413))</f>
        <v>0</v>
      </c>
      <c r="AV96" t="b">
        <f>AND(IF(Metadata!I96="",FALSE,TRUE),EXACT(Metadata!I96,"meters"))</f>
        <v>0</v>
      </c>
      <c r="AW96" t="b">
        <f>AND(IF(Metadata!J96="",FALSE,TRUE),EXACT(Metadata!J96,"free-living"))</f>
        <v>0</v>
      </c>
      <c r="AX96" t="b">
        <f>AND(IF(Metadata!K96="",FALSE,TRUE),OR(EXACT(Metadata!K96,"saline"),EXACT(Metadata!K96,"non-saline")))</f>
        <v>0</v>
      </c>
      <c r="AY96" t="b">
        <f>AND(IF(Metadata!L96="",FALSE,TRUE),OR(EXACT(Metadata!L96,"sub-surface (non-saline)"),EXACT(Metadata!L96,"surface (non-saline)"),EXACT(Metadata!L96,"water (non-saline)"),EXACT(Metadata!L96,"soil (non-saline)"),EXACT(Metadata!L96,"aerosol (non-saline)"),EXACT(Metadata!L96,"sediment (non-saline)"),EXACT(Metadata!L96,"surface (saline)"),EXACT(Metadata!L96,"water (saline)"),EXACT(Metadata!L96,"hypersaline (saline)"),EXACT(Metadata!L96,"aerosol (saline)"),EXACT(Metadata!L96,"sediment (saline)")))</f>
        <v>0</v>
      </c>
      <c r="AZ96" t="b">
        <f>IF(Metadata!M96="",FALSE,TRUE)</f>
        <v>0</v>
      </c>
      <c r="BA96" t="b">
        <f>IF(Metadata!N96="",FALSE,TRUE)</f>
        <v>0</v>
      </c>
      <c r="BB96" t="b">
        <f>IF(Metadata!O96="",FALSE,TRUE)</f>
        <v>0</v>
      </c>
      <c r="BC96" t="b">
        <f>AND(IF(Metadata!P96="",FALSE,TRUE),OR(EXACT(Metadata!P96,"air"),EXACT(Metadata!P96,"microbial mat/biofilm"),EXACT(Metadata!P96,"misc environment"),EXACT(Metadata!P96,"sediment"),EXACT(Metadata!P96,"soil"),EXACT(Metadata!P96,"wastewater/sludge"),EXACT(Metadata!P96,"water")))</f>
        <v>0</v>
      </c>
      <c r="BD96" t="b">
        <f>IF(Metadata!Q96="",FALSE,TRUE)</f>
        <v>0</v>
      </c>
      <c r="BE96" t="b">
        <f>IF(Metadata!R96="",FALSE,TRUE)</f>
        <v>0</v>
      </c>
      <c r="BF96" t="b">
        <f>OR(AND(IF(Metadata!S96="",FALSE,TRUE),OR(EXACT(Metadata!S96,"not collected"),EXACT(Metadata!S96,"not provided"),EXACT(Metadata!S96,"restricted access"))),AND(IF(Metadata!S96="",FALSE,ISNUMBER(VALUE(Metadata!S96))),Metadata!S96&gt;=-90,Metadata!S96&lt;=90))</f>
        <v>0</v>
      </c>
      <c r="BG96" t="b">
        <f>AND(IF(Metadata!T96="",FALSE,TRUE),EXACT(Metadata!T96,"Decimal degrees"))</f>
        <v>0</v>
      </c>
      <c r="BH96" t="b">
        <f>OR(AND(IF(Metadata!U96="",FALSE,TRUE),OR(EXACT(Metadata!U96,"not applicable"),EXACT(Metadata!U96,"not collected"))),IF(Metadata!U96="",FALSE,TRUE))</f>
        <v>0</v>
      </c>
      <c r="BI96" t="b">
        <f>OR(AND(IF(Metadata!V96="",FALSE,TRUE),OR(EXACT(Metadata!V96,"not collected"),EXACT(Metadata!V96,"not provided"),EXACT(Metadata!V96,"restricted access"))),AND(IF(Metadata!V96="",FALSE,ISNUMBER(VALUE(Metadata!V96))),Metadata!V96&gt;=-180,Metadata!V96&lt;=180))</f>
        <v>0</v>
      </c>
      <c r="BJ96" t="b">
        <f>AND(IF(Metadata!W96="",FALSE,TRUE),EXACT(Metadata!W96,"Decimal degrees"))</f>
        <v>0</v>
      </c>
      <c r="BK96" t="b">
        <f>IF(Metadata!X96="",FALSE,TRUE)</f>
        <v>0</v>
      </c>
      <c r="BL96" t="b">
        <f>OR(AND(IF(Metadata!Y96="",FALSE,TRUE),OR(EXACT(Metadata!Y96,"not collected"),EXACT(Metadata!Y96,"not provided"),EXACT(Metadata!Y96,"restricted access"))),AND(IF(Metadata!Y96="",FALSE,TRUE),OR(EXACT(Metadata!Y96,"TRUE"),EXACT(Metadata!Y96,"FALSE"))))</f>
        <v>0</v>
      </c>
      <c r="BM96" t="b">
        <f>OR(AND(IF(Metadata!Z96="",FALSE,TRUE),EXACT(Metadata!Z96,"not applicable")),AND(IF(Metadata!Z96="",FALSE,TRUE),OR(EXACT(Metadata!Z96,"beer"),EXACT(Metadata!Z96,"cheese"),EXACT(Metadata!Z96,"fresh water"),EXACT(Metadata!Z96,"marine sediment"),EXACT(Metadata!Z96,"sea water"),EXACT(Metadata!Z96,"sediment"),EXACT(Metadata!Z96,"soil"),EXACT(Metadata!Z96,"waste water"))))</f>
        <v>0</v>
      </c>
      <c r="BN96" t="b">
        <f>AND(IF(Metadata!AA96="",FALSE,TRUE),EXACT(Metadata!AA96,"metagenome"))</f>
        <v>0</v>
      </c>
      <c r="BO96" t="b">
        <f>AND(IF(Metadata!AB96="",FALSE,TRUE),EXACT(Metadata!AB96,"256318"))</f>
        <v>0</v>
      </c>
      <c r="BP96" t="b">
        <f>IF(Metadata!AC96="",FALSE,TRUE)</f>
        <v>0</v>
      </c>
      <c r="BQ96" t="b">
        <f>IF(Metadata!AD96="",FALSE,TRUE)</f>
        <v>0</v>
      </c>
    </row>
    <row r="97" spans="1:69" x14ac:dyDescent="0.2">
      <c r="A97" s="4" t="e">
        <f ca="1">IF(B97=" "," ",HYPERLINK(CONCATENATE("#metadata!",ADDRESS(INDEX($AJ$2:$AJ$1001,MATCH(ROWS($AH$2:AH97),$AH$2:$AH$1001,0),0),2)),INDEX($AM$2:$AM$1001,MATCH(ROWS($AH$2:AH97),$AH$2:$AH$1001,0),0)))</f>
        <v>#N/A</v>
      </c>
      <c r="B97" s="5" t="e">
        <f ca="1">IF(OR(INDEX($AI$2:$AI$1001,MATCH(ROWS($AH$2:AH97),$AH$2:$AH$1001,0),1)&gt;=100000,INDEX($AO$1005:$BQ$1005,1,MATCH(COLUMNS($AO$1006:AO1006),$AO$1006:$BQ$1006,0))&gt;=100000), " ",IF(INDEX($AO$2:$BQ$1001,MATCH(ROWS($AH$2:AH97),$AH$2:$AH$1001,0),MATCH(COLUMNS($AO$1006:AO1006),$AO$1006:$BQ$1006,0)), HYPERLINK("#",""), HYPERLINK(CONCATENATE("#Metadata!", ADDRESS(INDEX($AJ$2:$AJ$1001,MATCH(ROWS($AH$2:AH97),$AH$2:$AH$1001,0),0), INDEX($AO$1004:$BQ$1004,1,MATCH(COLUMNS($AO$1006:AO1006),$AO$1006:$BQ$1006,0)))),"Fix")))</f>
        <v>#N/A</v>
      </c>
      <c r="C97" s="5" t="e">
        <f ca="1">IF(OR(INDEX($AI$2:$AI$1001,MATCH(ROWS($AH$2:AH97),$AH$2:$AH$1001,0),1)&gt;=100000,INDEX($AO$1005:$BQ$1005,1,MATCH(COLUMNS($AO$1006:AP1006),$AO$1006:$BQ$1006,0))&gt;=100000), " ",IF(INDEX($AO$2:$BQ$1001,MATCH(ROWS($AH$2:AH97),$AH$2:$AH$1001,0),MATCH(COLUMNS($AO$1006:AP1006),$AO$1006:$BQ$1006,0)), HYPERLINK("#",""), HYPERLINK(CONCATENATE("#Metadata!", ADDRESS(INDEX($AJ$2:$AJ$1001,MATCH(ROWS($AH$2:AH97),$AH$2:$AH$1001,0),0), INDEX($AO$1004:$BQ$1004,1,MATCH(COLUMNS($AO$1006:AP1006),$AO$1006:$BQ$1006,0)))),"Fix")))</f>
        <v>#N/A</v>
      </c>
      <c r="D97" s="5" t="e">
        <f ca="1">IF(OR(INDEX($AI$2:$AI$1001,MATCH(ROWS($AH$2:AH97),$AH$2:$AH$1001,0),1)&gt;=100000,INDEX($AO$1005:$BQ$1005,1,MATCH(COLUMNS($AO$1006:AQ1006),$AO$1006:$BQ$1006,0))&gt;=100000), " ",IF(INDEX($AO$2:$BQ$1001,MATCH(ROWS($AH$2:AH97),$AH$2:$AH$1001,0),MATCH(COLUMNS($AO$1006:AQ1006),$AO$1006:$BQ$1006,0)), HYPERLINK("#",""), HYPERLINK(CONCATENATE("#Metadata!", ADDRESS(INDEX($AJ$2:$AJ$1001,MATCH(ROWS($AH$2:AH97),$AH$2:$AH$1001,0),0), INDEX($AO$1004:$BQ$1004,1,MATCH(COLUMNS($AO$1006:AQ1006),$AO$1006:$BQ$1006,0)))),"Fix")))</f>
        <v>#N/A</v>
      </c>
      <c r="E97" s="5" t="e">
        <f ca="1">IF(OR(INDEX($AI$2:$AI$1001,MATCH(ROWS($AH$2:AH97),$AH$2:$AH$1001,0),1)&gt;=100000,INDEX($AO$1005:$BQ$1005,1,MATCH(COLUMNS($AO$1006:AR1006),$AO$1006:$BQ$1006,0))&gt;=100000), " ",IF(INDEX($AO$2:$BQ$1001,MATCH(ROWS($AH$2:AH97),$AH$2:$AH$1001,0),MATCH(COLUMNS($AO$1006:AR1006),$AO$1006:$BQ$1006,0)), HYPERLINK("#",""), HYPERLINK(CONCATENATE("#Metadata!", ADDRESS(INDEX($AJ$2:$AJ$1001,MATCH(ROWS($AH$2:AH97),$AH$2:$AH$1001,0),0), INDEX($AO$1004:$BQ$1004,1,MATCH(COLUMNS($AO$1006:AR1006),$AO$1006:$BQ$1006,0)))),"Fix")))</f>
        <v>#N/A</v>
      </c>
      <c r="F97" s="5" t="e">
        <f ca="1">IF(OR(INDEX($AI$2:$AI$1001,MATCH(ROWS($AH$2:AH97),$AH$2:$AH$1001,0),1)&gt;=100000,INDEX($AO$1005:$BQ$1005,1,MATCH(COLUMNS($AO$1006:AS1006),$AO$1006:$BQ$1006,0))&gt;=100000), " ",IF(INDEX($AO$2:$BQ$1001,MATCH(ROWS($AH$2:AH97),$AH$2:$AH$1001,0),MATCH(COLUMNS($AO$1006:AS1006),$AO$1006:$BQ$1006,0)), HYPERLINK("#",""), HYPERLINK(CONCATENATE("#Metadata!", ADDRESS(INDEX($AJ$2:$AJ$1001,MATCH(ROWS($AH$2:AH97),$AH$2:$AH$1001,0),0), INDEX($AO$1004:$BQ$1004,1,MATCH(COLUMNS($AO$1006:AS1006),$AO$1006:$BQ$1006,0)))),"Fix")))</f>
        <v>#N/A</v>
      </c>
      <c r="G97" s="5" t="e">
        <f ca="1">IF(OR(INDEX($AI$2:$AI$1001,MATCH(ROWS($AH$2:AH97),$AH$2:$AH$1001,0),1)&gt;=100000,INDEX($AO$1005:$BQ$1005,1,MATCH(COLUMNS($AO$1006:AT1006),$AO$1006:$BQ$1006,0))&gt;=100000), " ",IF(INDEX($AO$2:$BQ$1001,MATCH(ROWS($AH$2:AH97),$AH$2:$AH$1001,0),MATCH(COLUMNS($AO$1006:AT1006),$AO$1006:$BQ$1006,0)), HYPERLINK("#",""), HYPERLINK(CONCATENATE("#Metadata!", ADDRESS(INDEX($AJ$2:$AJ$1001,MATCH(ROWS($AH$2:AH97),$AH$2:$AH$1001,0),0), INDEX($AO$1004:$BQ$1004,1,MATCH(COLUMNS($AO$1006:AT1006),$AO$1006:$BQ$1006,0)))),"Fix")))</f>
        <v>#N/A</v>
      </c>
      <c r="H97" s="5" t="e">
        <f ca="1">IF(OR(INDEX($AI$2:$AI$1001,MATCH(ROWS($AH$2:AH97),$AH$2:$AH$1001,0),1)&gt;=100000,INDEX($AO$1005:$BQ$1005,1,MATCH(COLUMNS($AO$1006:AU1006),$AO$1006:$BQ$1006,0))&gt;=100000), " ",IF(INDEX($AO$2:$BQ$1001,MATCH(ROWS($AH$2:AH97),$AH$2:$AH$1001,0),MATCH(COLUMNS($AO$1006:AU1006),$AO$1006:$BQ$1006,0)), HYPERLINK("#",""), HYPERLINK(CONCATENATE("#Metadata!", ADDRESS(INDEX($AJ$2:$AJ$1001,MATCH(ROWS($AH$2:AH97),$AH$2:$AH$1001,0),0), INDEX($AO$1004:$BQ$1004,1,MATCH(COLUMNS($AO$1006:AU1006),$AO$1006:$BQ$1006,0)))),"Fix")))</f>
        <v>#N/A</v>
      </c>
      <c r="I97" s="5" t="e">
        <f ca="1">IF(OR(INDEX($AI$2:$AI$1001,MATCH(ROWS($AH$2:AH97),$AH$2:$AH$1001,0),1)&gt;=100000,INDEX($AO$1005:$BQ$1005,1,MATCH(COLUMNS($AO$1006:AV1006),$AO$1006:$BQ$1006,0))&gt;=100000), " ",IF(INDEX($AO$2:$BQ$1001,MATCH(ROWS($AH$2:AH97),$AH$2:$AH$1001,0),MATCH(COLUMNS($AO$1006:AV1006),$AO$1006:$BQ$1006,0)), HYPERLINK("#",""), HYPERLINK(CONCATENATE("#Metadata!", ADDRESS(INDEX($AJ$2:$AJ$1001,MATCH(ROWS($AH$2:AH97),$AH$2:$AH$1001,0),0), INDEX($AO$1004:$BQ$1004,1,MATCH(COLUMNS($AO$1006:AV1006),$AO$1006:$BQ$1006,0)))),"Fix")))</f>
        <v>#N/A</v>
      </c>
      <c r="J97" s="5" t="e">
        <f ca="1">IF(OR(INDEX($AI$2:$AI$1001,MATCH(ROWS($AH$2:AH97),$AH$2:$AH$1001,0),1)&gt;=100000,INDEX($AO$1005:$BQ$1005,1,MATCH(COLUMNS($AO$1006:AW1006),$AO$1006:$BQ$1006,0))&gt;=100000), " ",IF(INDEX($AO$2:$BQ$1001,MATCH(ROWS($AH$2:AH97),$AH$2:$AH$1001,0),MATCH(COLUMNS($AO$1006:AW1006),$AO$1006:$BQ$1006,0)), HYPERLINK("#",""), HYPERLINK(CONCATENATE("#Metadata!", ADDRESS(INDEX($AJ$2:$AJ$1001,MATCH(ROWS($AH$2:AH97),$AH$2:$AH$1001,0),0), INDEX($AO$1004:$BQ$1004,1,MATCH(COLUMNS($AO$1006:AW1006),$AO$1006:$BQ$1006,0)))),"Fix")))</f>
        <v>#N/A</v>
      </c>
      <c r="K97" s="5" t="e">
        <f ca="1">IF(OR(INDEX($AI$2:$AI$1001,MATCH(ROWS($AH$2:AH97),$AH$2:$AH$1001,0),1)&gt;=100000,INDEX($AO$1005:$BQ$1005,1,MATCH(COLUMNS($AO$1006:AX1006),$AO$1006:$BQ$1006,0))&gt;=100000), " ",IF(INDEX($AO$2:$BQ$1001,MATCH(ROWS($AH$2:AH97),$AH$2:$AH$1001,0),MATCH(COLUMNS($AO$1006:AX1006),$AO$1006:$BQ$1006,0)), HYPERLINK("#",""), HYPERLINK(CONCATENATE("#Metadata!", ADDRESS(INDEX($AJ$2:$AJ$1001,MATCH(ROWS($AH$2:AH97),$AH$2:$AH$1001,0),0), INDEX($AO$1004:$BQ$1004,1,MATCH(COLUMNS($AO$1006:AX1006),$AO$1006:$BQ$1006,0)))),"Fix")))</f>
        <v>#N/A</v>
      </c>
      <c r="L97" s="5" t="e">
        <f ca="1">IF(OR(INDEX($AI$2:$AI$1001,MATCH(ROWS($AH$2:AH97),$AH$2:$AH$1001,0),1)&gt;=100000,INDEX($AO$1005:$BQ$1005,1,MATCH(COLUMNS($AO$1006:AY1006),$AO$1006:$BQ$1006,0))&gt;=100000), " ",IF(INDEX($AO$2:$BQ$1001,MATCH(ROWS($AH$2:AH97),$AH$2:$AH$1001,0),MATCH(COLUMNS($AO$1006:AY1006),$AO$1006:$BQ$1006,0)), HYPERLINK("#",""), HYPERLINK(CONCATENATE("#Metadata!", ADDRESS(INDEX($AJ$2:$AJ$1001,MATCH(ROWS($AH$2:AH97),$AH$2:$AH$1001,0),0), INDEX($AO$1004:$BQ$1004,1,MATCH(COLUMNS($AO$1006:AY1006),$AO$1006:$BQ$1006,0)))),"Fix")))</f>
        <v>#N/A</v>
      </c>
      <c r="M97" s="5" t="e">
        <f ca="1">IF(OR(INDEX($AI$2:$AI$1001,MATCH(ROWS($AH$2:AH97),$AH$2:$AH$1001,0),1)&gt;=100000,INDEX($AO$1005:$BQ$1005,1,MATCH(COLUMNS($AO$1006:AZ1006),$AO$1006:$BQ$1006,0))&gt;=100000), " ",IF(INDEX($AO$2:$BQ$1001,MATCH(ROWS($AH$2:AH97),$AH$2:$AH$1001,0),MATCH(COLUMNS($AO$1006:AZ1006),$AO$1006:$BQ$1006,0)), HYPERLINK("#",""), HYPERLINK(CONCATENATE("#Metadata!", ADDRESS(INDEX($AJ$2:$AJ$1001,MATCH(ROWS($AH$2:AH97),$AH$2:$AH$1001,0),0), INDEX($AO$1004:$BQ$1004,1,MATCH(COLUMNS($AO$1006:AZ1006),$AO$1006:$BQ$1006,0)))),"Fix")))</f>
        <v>#N/A</v>
      </c>
      <c r="N97" s="5" t="e">
        <f ca="1">IF(OR(INDEX($AI$2:$AI$1001,MATCH(ROWS($AH$2:AH97),$AH$2:$AH$1001,0),1)&gt;=100000,INDEX($AO$1005:$BQ$1005,1,MATCH(COLUMNS($AO$1006:BA1006),$AO$1006:$BQ$1006,0))&gt;=100000), " ",IF(INDEX($AO$2:$BQ$1001,MATCH(ROWS($AH$2:AH97),$AH$2:$AH$1001,0),MATCH(COLUMNS($AO$1006:BA1006),$AO$1006:$BQ$1006,0)), HYPERLINK("#",""), HYPERLINK(CONCATENATE("#Metadata!", ADDRESS(INDEX($AJ$2:$AJ$1001,MATCH(ROWS($AH$2:AH97),$AH$2:$AH$1001,0),0), INDEX($AO$1004:$BQ$1004,1,MATCH(COLUMNS($AO$1006:BA1006),$AO$1006:$BQ$1006,0)))),"Fix")))</f>
        <v>#N/A</v>
      </c>
      <c r="O97" s="5" t="e">
        <f ca="1">IF(OR(INDEX($AI$2:$AI$1001,MATCH(ROWS($AH$2:AH97),$AH$2:$AH$1001,0),1)&gt;=100000,INDEX($AO$1005:$BQ$1005,1,MATCH(COLUMNS($AO$1006:BB1006),$AO$1006:$BQ$1006,0))&gt;=100000), " ",IF(INDEX($AO$2:$BQ$1001,MATCH(ROWS($AH$2:AH97),$AH$2:$AH$1001,0),MATCH(COLUMNS($AO$1006:BB1006),$AO$1006:$BQ$1006,0)), HYPERLINK("#",""), HYPERLINK(CONCATENATE("#Metadata!", ADDRESS(INDEX($AJ$2:$AJ$1001,MATCH(ROWS($AH$2:AH97),$AH$2:$AH$1001,0),0), INDEX($AO$1004:$BQ$1004,1,MATCH(COLUMNS($AO$1006:BB1006),$AO$1006:$BQ$1006,0)))),"Fix")))</f>
        <v>#N/A</v>
      </c>
      <c r="P97" s="5" t="e">
        <f ca="1">IF(OR(INDEX($AI$2:$AI$1001,MATCH(ROWS($AH$2:AH97),$AH$2:$AH$1001,0),1)&gt;=100000,INDEX($AO$1005:$BQ$1005,1,MATCH(COLUMNS($AO$1006:BC1006),$AO$1006:$BQ$1006,0))&gt;=100000), " ",IF(INDEX($AO$2:$BQ$1001,MATCH(ROWS($AH$2:AH97),$AH$2:$AH$1001,0),MATCH(COLUMNS($AO$1006:BC1006),$AO$1006:$BQ$1006,0)), HYPERLINK("#",""), HYPERLINK(CONCATENATE("#Metadata!", ADDRESS(INDEX($AJ$2:$AJ$1001,MATCH(ROWS($AH$2:AH97),$AH$2:$AH$1001,0),0), INDEX($AO$1004:$BQ$1004,1,MATCH(COLUMNS($AO$1006:BC1006),$AO$1006:$BQ$1006,0)))),"Fix")))</f>
        <v>#N/A</v>
      </c>
      <c r="Q97" s="5" t="e">
        <f ca="1">IF(OR(INDEX($AI$2:$AI$1001,MATCH(ROWS($AH$2:AH97),$AH$2:$AH$1001,0),1)&gt;=100000,INDEX($AO$1005:$BQ$1005,1,MATCH(COLUMNS($AO$1006:BD1006),$AO$1006:$BQ$1006,0))&gt;=100000), " ",IF(INDEX($AO$2:$BQ$1001,MATCH(ROWS($AH$2:AH97),$AH$2:$AH$1001,0),MATCH(COLUMNS($AO$1006:BD1006),$AO$1006:$BQ$1006,0)), HYPERLINK("#",""), HYPERLINK(CONCATENATE("#Metadata!", ADDRESS(INDEX($AJ$2:$AJ$1001,MATCH(ROWS($AH$2:AH97),$AH$2:$AH$1001,0),0), INDEX($AO$1004:$BQ$1004,1,MATCH(COLUMNS($AO$1006:BD1006),$AO$1006:$BQ$1006,0)))),"Fix")))</f>
        <v>#N/A</v>
      </c>
      <c r="R97" s="5" t="e">
        <f ca="1">IF(OR(INDEX($AI$2:$AI$1001,MATCH(ROWS($AH$2:AH97),$AH$2:$AH$1001,0),1)&gt;=100000,INDEX($AO$1005:$BQ$1005,1,MATCH(COLUMNS($AO$1006:BE1006),$AO$1006:$BQ$1006,0))&gt;=100000), " ",IF(INDEX($AO$2:$BQ$1001,MATCH(ROWS($AH$2:AH97),$AH$2:$AH$1001,0),MATCH(COLUMNS($AO$1006:BE1006),$AO$1006:$BQ$1006,0)), HYPERLINK("#",""), HYPERLINK(CONCATENATE("#Metadata!", ADDRESS(INDEX($AJ$2:$AJ$1001,MATCH(ROWS($AH$2:AH97),$AH$2:$AH$1001,0),0), INDEX($AO$1004:$BQ$1004,1,MATCH(COLUMNS($AO$1006:BE1006),$AO$1006:$BQ$1006,0)))),"Fix")))</f>
        <v>#N/A</v>
      </c>
      <c r="S97" s="5" t="e">
        <f ca="1">IF(OR(INDEX($AI$2:$AI$1001,MATCH(ROWS($AH$2:AH97),$AH$2:$AH$1001,0),1)&gt;=100000,INDEX($AO$1005:$BQ$1005,1,MATCH(COLUMNS($AO$1006:BF1006),$AO$1006:$BQ$1006,0))&gt;=100000), " ",IF(INDEX($AO$2:$BQ$1001,MATCH(ROWS($AH$2:AH97),$AH$2:$AH$1001,0),MATCH(COLUMNS($AO$1006:BF1006),$AO$1006:$BQ$1006,0)), HYPERLINK("#",""), HYPERLINK(CONCATENATE("#Metadata!", ADDRESS(INDEX($AJ$2:$AJ$1001,MATCH(ROWS($AH$2:AH97),$AH$2:$AH$1001,0),0), INDEX($AO$1004:$BQ$1004,1,MATCH(COLUMNS($AO$1006:BF1006),$AO$1006:$BQ$1006,0)))),"Fix")))</f>
        <v>#N/A</v>
      </c>
      <c r="T97" s="5" t="e">
        <f ca="1">IF(OR(INDEX($AI$2:$AI$1001,MATCH(ROWS($AH$2:AH97),$AH$2:$AH$1001,0),1)&gt;=100000,INDEX($AO$1005:$BQ$1005,1,MATCH(COLUMNS($AO$1006:BG1006),$AO$1006:$BQ$1006,0))&gt;=100000), " ",IF(INDEX($AO$2:$BQ$1001,MATCH(ROWS($AH$2:AH97),$AH$2:$AH$1001,0),MATCH(COLUMNS($AO$1006:BG1006),$AO$1006:$BQ$1006,0)), HYPERLINK("#",""), HYPERLINK(CONCATENATE("#Metadata!", ADDRESS(INDEX($AJ$2:$AJ$1001,MATCH(ROWS($AH$2:AH97),$AH$2:$AH$1001,0),0), INDEX($AO$1004:$BQ$1004,1,MATCH(COLUMNS($AO$1006:BG1006),$AO$1006:$BQ$1006,0)))),"Fix")))</f>
        <v>#N/A</v>
      </c>
      <c r="U97" s="5" t="e">
        <f ca="1">IF(OR(INDEX($AI$2:$AI$1001,MATCH(ROWS($AH$2:AH97),$AH$2:$AH$1001,0),1)&gt;=100000,INDEX($AO$1005:$BQ$1005,1,MATCH(COLUMNS($AO$1006:BH1006),$AO$1006:$BQ$1006,0))&gt;=100000), " ",IF(INDEX($AO$2:$BQ$1001,MATCH(ROWS($AH$2:AH97),$AH$2:$AH$1001,0),MATCH(COLUMNS($AO$1006:BH1006),$AO$1006:$BQ$1006,0)), HYPERLINK("#",""), HYPERLINK(CONCATENATE("#Metadata!", ADDRESS(INDEX($AJ$2:$AJ$1001,MATCH(ROWS($AH$2:AH97),$AH$2:$AH$1001,0),0), INDEX($AO$1004:$BQ$1004,1,MATCH(COLUMNS($AO$1006:BH1006),$AO$1006:$BQ$1006,0)))),"Fix")))</f>
        <v>#N/A</v>
      </c>
      <c r="V97" s="5" t="e">
        <f ca="1">IF(OR(INDEX($AI$2:$AI$1001,MATCH(ROWS($AH$2:AH97),$AH$2:$AH$1001,0),1)&gt;=100000,INDEX($AO$1005:$BQ$1005,1,MATCH(COLUMNS($AO$1006:BI1006),$AO$1006:$BQ$1006,0))&gt;=100000), " ",IF(INDEX($AO$2:$BQ$1001,MATCH(ROWS($AH$2:AH97),$AH$2:$AH$1001,0),MATCH(COLUMNS($AO$1006:BI1006),$AO$1006:$BQ$1006,0)), HYPERLINK("#",""), HYPERLINK(CONCATENATE("#Metadata!", ADDRESS(INDEX($AJ$2:$AJ$1001,MATCH(ROWS($AH$2:AH97),$AH$2:$AH$1001,0),0), INDEX($AO$1004:$BQ$1004,1,MATCH(COLUMNS($AO$1006:BI1006),$AO$1006:$BQ$1006,0)))),"Fix")))</f>
        <v>#N/A</v>
      </c>
      <c r="W97" s="5" t="e">
        <f ca="1">IF(OR(INDEX($AI$2:$AI$1001,MATCH(ROWS($AH$2:AH97),$AH$2:$AH$1001,0),1)&gt;=100000,INDEX($AO$1005:$BQ$1005,1,MATCH(COLUMNS($AO$1006:BJ1006),$AO$1006:$BQ$1006,0))&gt;=100000), " ",IF(INDEX($AO$2:$BQ$1001,MATCH(ROWS($AH$2:AH97),$AH$2:$AH$1001,0),MATCH(COLUMNS($AO$1006:BJ1006),$AO$1006:$BQ$1006,0)), HYPERLINK("#",""), HYPERLINK(CONCATENATE("#Metadata!", ADDRESS(INDEX($AJ$2:$AJ$1001,MATCH(ROWS($AH$2:AH97),$AH$2:$AH$1001,0),0), INDEX($AO$1004:$BQ$1004,1,MATCH(COLUMNS($AO$1006:BJ1006),$AO$1006:$BQ$1006,0)))),"Fix")))</f>
        <v>#N/A</v>
      </c>
      <c r="X97" s="5" t="e">
        <f ca="1">IF(OR(INDEX($AI$2:$AI$1001,MATCH(ROWS($AH$2:AH97),$AH$2:$AH$1001,0),1)&gt;=100000,INDEX($AO$1005:$BQ$1005,1,MATCH(COLUMNS($AO$1006:BK1006),$AO$1006:$BQ$1006,0))&gt;=100000), " ",IF(INDEX($AO$2:$BQ$1001,MATCH(ROWS($AH$2:AH97),$AH$2:$AH$1001,0),MATCH(COLUMNS($AO$1006:BK1006),$AO$1006:$BQ$1006,0)), HYPERLINK("#",""), HYPERLINK(CONCATENATE("#Metadata!", ADDRESS(INDEX($AJ$2:$AJ$1001,MATCH(ROWS($AH$2:AH97),$AH$2:$AH$1001,0),0), INDEX($AO$1004:$BQ$1004,1,MATCH(COLUMNS($AO$1006:BK1006),$AO$1006:$BQ$1006,0)))),"Fix")))</f>
        <v>#N/A</v>
      </c>
      <c r="Y97" s="5" t="e">
        <f ca="1">IF(OR(INDEX($AI$2:$AI$1001,MATCH(ROWS($AH$2:AH97),$AH$2:$AH$1001,0),1)&gt;=100000,INDEX($AO$1005:$BQ$1005,1,MATCH(COLUMNS($AO$1006:BL1006),$AO$1006:$BQ$1006,0))&gt;=100000), " ",IF(INDEX($AO$2:$BQ$1001,MATCH(ROWS($AH$2:AH97),$AH$2:$AH$1001,0),MATCH(COLUMNS($AO$1006:BL1006),$AO$1006:$BQ$1006,0)), HYPERLINK("#",""), HYPERLINK(CONCATENATE("#Metadata!", ADDRESS(INDEX($AJ$2:$AJ$1001,MATCH(ROWS($AH$2:AH97),$AH$2:$AH$1001,0),0), INDEX($AO$1004:$BQ$1004,1,MATCH(COLUMNS($AO$1006:BL1006),$AO$1006:$BQ$1006,0)))),"Fix")))</f>
        <v>#N/A</v>
      </c>
      <c r="Z97" s="5" t="e">
        <f ca="1">IF(OR(INDEX($AI$2:$AI$1001,MATCH(ROWS($AH$2:AH97),$AH$2:$AH$1001,0),1)&gt;=100000,INDEX($AO$1005:$BQ$1005,1,MATCH(COLUMNS($AO$1006:BM1006),$AO$1006:$BQ$1006,0))&gt;=100000), " ",IF(INDEX($AO$2:$BQ$1001,MATCH(ROWS($AH$2:AH97),$AH$2:$AH$1001,0),MATCH(COLUMNS($AO$1006:BM1006),$AO$1006:$BQ$1006,0)), HYPERLINK("#",""), HYPERLINK(CONCATENATE("#Metadata!", ADDRESS(INDEX($AJ$2:$AJ$1001,MATCH(ROWS($AH$2:AH97),$AH$2:$AH$1001,0),0), INDEX($AO$1004:$BQ$1004,1,MATCH(COLUMNS($AO$1006:BM1006),$AO$1006:$BQ$1006,0)))),"Fix")))</f>
        <v>#N/A</v>
      </c>
      <c r="AA97" s="5" t="e">
        <f ca="1">IF(OR(INDEX($AI$2:$AI$1001,MATCH(ROWS($AH$2:AH97),$AH$2:$AH$1001,0),1)&gt;=100000,INDEX($AO$1005:$BQ$1005,1,MATCH(COLUMNS($AO$1006:BN1006),$AO$1006:$BQ$1006,0))&gt;=100000), " ",IF(INDEX($AO$2:$BQ$1001,MATCH(ROWS($AH$2:AH97),$AH$2:$AH$1001,0),MATCH(COLUMNS($AO$1006:BN1006),$AO$1006:$BQ$1006,0)), HYPERLINK("#",""), HYPERLINK(CONCATENATE("#Metadata!", ADDRESS(INDEX($AJ$2:$AJ$1001,MATCH(ROWS($AH$2:AH97),$AH$2:$AH$1001,0),0), INDEX($AO$1004:$BQ$1004,1,MATCH(COLUMNS($AO$1006:BN1006),$AO$1006:$BQ$1006,0)))),"Fix")))</f>
        <v>#N/A</v>
      </c>
      <c r="AB97" s="5" t="e">
        <f ca="1">IF(OR(INDEX($AI$2:$AI$1001,MATCH(ROWS($AH$2:AH97),$AH$2:$AH$1001,0),1)&gt;=100000,INDEX($AO$1005:$BQ$1005,1,MATCH(COLUMNS($AO$1006:BO1006),$AO$1006:$BQ$1006,0))&gt;=100000), " ",IF(INDEX($AO$2:$BQ$1001,MATCH(ROWS($AH$2:AH97),$AH$2:$AH$1001,0),MATCH(COLUMNS($AO$1006:BO1006),$AO$1006:$BQ$1006,0)), HYPERLINK("#",""), HYPERLINK(CONCATENATE("#Metadata!", ADDRESS(INDEX($AJ$2:$AJ$1001,MATCH(ROWS($AH$2:AH97),$AH$2:$AH$1001,0),0), INDEX($AO$1004:$BQ$1004,1,MATCH(COLUMNS($AO$1006:BO1006),$AO$1006:$BQ$1006,0)))),"Fix")))</f>
        <v>#N/A</v>
      </c>
      <c r="AC97" s="5" t="e">
        <f ca="1">IF(OR(INDEX($AI$2:$AI$1001,MATCH(ROWS($AH$2:AH97),$AH$2:$AH$1001,0),1)&gt;=100000,INDEX($AO$1005:$BQ$1005,1,MATCH(COLUMNS($AO$1006:BP1006),$AO$1006:$BQ$1006,0))&gt;=100000), " ",IF(INDEX($AO$2:$BQ$1001,MATCH(ROWS($AH$2:AH97),$AH$2:$AH$1001,0),MATCH(COLUMNS($AO$1006:BP1006),$AO$1006:$BQ$1006,0)), HYPERLINK("#",""), HYPERLINK(CONCATENATE("#Metadata!", ADDRESS(INDEX($AJ$2:$AJ$1001,MATCH(ROWS($AH$2:AH97),$AH$2:$AH$1001,0),0), INDEX($AO$1004:$BQ$1004,1,MATCH(COLUMNS($AO$1006:BP1006),$AO$1006:$BQ$1006,0)))),"Fix")))</f>
        <v>#N/A</v>
      </c>
      <c r="AD97" s="5" t="e">
        <f ca="1">IF(OR(INDEX($AI$2:$AI$1001,MATCH(ROWS($AH$2:AH97),$AH$2:$AH$1001,0),1)&gt;=100000,INDEX($AO$1005:$BQ$1005,1,MATCH(COLUMNS($AO$1006:BQ1006),$AO$1006:$BQ$1006,0))&gt;=100000), " ",IF(INDEX($AO$2:$BQ$1001,MATCH(ROWS($AH$2:AH97),$AH$2:$AH$1001,0),MATCH(COLUMNS($AO$1006:BQ1006),$AO$1006:$BQ$1006,0)), HYPERLINK("#",""), HYPERLINK(CONCATENATE("#Metadata!", ADDRESS(INDEX($AJ$2:$AJ$1001,MATCH(ROWS($AH$2:AH97),$AH$2:$AH$1001,0),0), INDEX($AO$1004:$BQ$1004,1,MATCH(COLUMNS($AO$1006:BQ1006),$AO$1006:$BQ$1006,0)))),"Fix")))</f>
        <v>#REF!</v>
      </c>
      <c r="AH97">
        <f ca="1"/>
        <v>94</v>
      </c>
      <c r="AI97">
        <v>100097</v>
      </c>
      <c r="AJ97">
        <v>97</v>
      </c>
      <c r="AK97" t="b">
        <f t="shared" si="1"/>
        <v>1</v>
      </c>
      <c r="AL97" t="b">
        <f>COUNTBLANK(Metadata!B97:AD97)=COLUMNS(Metadata!B97:AD97)</f>
        <v>1</v>
      </c>
      <c r="AM97" t="str">
        <v/>
      </c>
      <c r="AO97" t="b">
        <f ca="1">AND(IF(Metadata!B97="",FALSE,TRUE),COUNTIF(Metadata!B:B, Metadata!B97) = 1,NOT(ISERROR(SUMPRODUCT(SEARCH(MID(Metadata!B97,ROW(INDIRECT("1:"&amp;LEN(Metadata!B97))), 1),"0123456789abcdefghijklmnopqrstuvwxyzABCDEFGHIJKLMNOPQRSTUVWXYZ.")))))</f>
        <v>0</v>
      </c>
      <c r="AP97" t="b">
        <f>IF(Metadata!C97="",FALSE,TRUE)</f>
        <v>0</v>
      </c>
      <c r="AQ97" t="b">
        <f>IF(Metadata!D97="",FALSE,TRUE)</f>
        <v>0</v>
      </c>
      <c r="AR97" t="b">
        <f ca="1">OR(AND(IF(Metadata!E97="",FALSE,TRUE),OR(EXACT(Metadata!E97,"not collected"),EXACT(Metadata!E97,"not provided"),EXACT(Metadata!E97,"restricted access"))),AND(IF(Metadata!E97="",FALSE,TRUE),AND(AND(IFERROR(INT(LEFT(Metadata!E97,4))&gt;1900,FALSE),IFERROR(INT(LEFT(Metadata!E97,4))&lt;=YEAR(NOW()),FALSE)), OR(MID(Metadata!E97,5,1)="", AND(AND(MID(Metadata!E97,5,1)="-",IFERROR(INT(MID(Metadata!E97,6,1))&gt;=0,FALSE),IFERROR(INT(MID(Metadata!E97,6,1))&lt;=1,FALSE),NOT(MID(Metadata!E97,7,1)=""),IFERROR(INT(MID(Metadata!E97,6,2))&gt;=1,FALSE),IFERROR(INT(MID(Metadata!E97,6,2))&lt;=12,FALSE)), OR(MID(Metadata!E97,8,1)="", AND(AND(MID(Metadata!E97,8,1)="-",IFERROR(INT(MID(Metadata!E97,9,1))&gt;=0,FALSE),IFERROR(INT(MID(Metadata!E97,9,1))&lt;=3,FALSE),NOT(MID(Metadata!E97,10,1)=""),IFERROR(INT(MID(Metadata!E97,9,2))&gt;=1,FALSE),IFERROR(INT(MID(Metadata!E97,9,2))&lt;=31,FALSE)), OR(MID(Metadata!E97,11,1)="", AND(AND(MID(Metadata!E97,11,1)=" ",IFERROR(INT(MID(Metadata!E97,12,1))&gt;=0,FALSE),IFERROR(INT(MID(Metadata!E97,12,1))&lt;=2,FALSE),NOT(MID(Metadata!E97,13,1)=""),IFERROR(INT(MID(Metadata!E97,12,2))&gt;=0,FALSE),IFERROR(INT(MID(Metadata!E97,12,2))&lt;=23,FALSE)), OR(MID(Metadata!E97,14,1)="", AND(AND(MID(Metadata!E97,14,1)=":",IFERROR(INT(MID(Metadata!E97,15,1))&gt;=0,FALSE),IFERROR(INT(MID(Metadata!E97,15,1))&lt;=5,FALSE),NOT(MID(Metadata!E97,16,1)=""),IFERROR(INT(MID(Metadata!E97,15,2))&gt;=0,FALSE),IFERROR(INT(MID(Metadata!E97,15,2))&lt;=59,FALSE)), OR(MID(Metadata!E97,17,1)="", AND(AND(MID(Metadata!E97,17,1)=":",IFERROR(INT(MID(Metadata!E97,18,1))&gt;=0,FALSE),IFERROR(INT(MID(Metadata!E97,18,1))&lt;=5,FALSE),NOT(MID(Metadata!E97,19,1)=""),IFERROR(INT(MID(Metadata!E97,18,2))&gt;=0,FALSE),IFERROR(INT(MID(Metadata!E97,18,2))&lt;=59,FALSE)), LEN(Metadata!E97)&lt;=19)))))))))))))</f>
        <v>0</v>
      </c>
      <c r="AS97" t="b">
        <f>IF(Metadata!F97="",FALSE,TRUE)</f>
        <v>0</v>
      </c>
      <c r="AT97" t="b">
        <f>OR(AND(IF(Metadata!G97="",FALSE,TRUE),OR(EXACT(Metadata!G97,"not collected"),EXACT(Metadata!G97,"not provided"))),AND(IF(Metadata!G97="",FALSE,TRUE),OR(EXACT(Metadata!G97,"TRUE"),EXACT(Metadata!G97,"FALSE"))))</f>
        <v>0</v>
      </c>
      <c r="AU97" t="b">
        <f>OR(AND(IF(Metadata!H97="",FALSE,TRUE),OR(EXACT(Metadata!H97,"not collected"),EXACT(Metadata!H97,"not provided"),EXACT(Metadata!H97,"restricted access"))),AND(IF(Metadata!H97="",FALSE,ISNUMBER(VALUE(Metadata!H97))),Metadata!H97&gt;=-413))</f>
        <v>0</v>
      </c>
      <c r="AV97" t="b">
        <f>AND(IF(Metadata!I97="",FALSE,TRUE),EXACT(Metadata!I97,"meters"))</f>
        <v>0</v>
      </c>
      <c r="AW97" t="b">
        <f>AND(IF(Metadata!J97="",FALSE,TRUE),EXACT(Metadata!J97,"free-living"))</f>
        <v>0</v>
      </c>
      <c r="AX97" t="b">
        <f>AND(IF(Metadata!K97="",FALSE,TRUE),OR(EXACT(Metadata!K97,"saline"),EXACT(Metadata!K97,"non-saline")))</f>
        <v>0</v>
      </c>
      <c r="AY97" t="b">
        <f>AND(IF(Metadata!L97="",FALSE,TRUE),OR(EXACT(Metadata!L97,"sub-surface (non-saline)"),EXACT(Metadata!L97,"surface (non-saline)"),EXACT(Metadata!L97,"water (non-saline)"),EXACT(Metadata!L97,"soil (non-saline)"),EXACT(Metadata!L97,"aerosol (non-saline)"),EXACT(Metadata!L97,"sediment (non-saline)"),EXACT(Metadata!L97,"surface (saline)"),EXACT(Metadata!L97,"water (saline)"),EXACT(Metadata!L97,"hypersaline (saline)"),EXACT(Metadata!L97,"aerosol (saline)"),EXACT(Metadata!L97,"sediment (saline)")))</f>
        <v>0</v>
      </c>
      <c r="AZ97" t="b">
        <f>IF(Metadata!M97="",FALSE,TRUE)</f>
        <v>0</v>
      </c>
      <c r="BA97" t="b">
        <f>IF(Metadata!N97="",FALSE,TRUE)</f>
        <v>0</v>
      </c>
      <c r="BB97" t="b">
        <f>IF(Metadata!O97="",FALSE,TRUE)</f>
        <v>0</v>
      </c>
      <c r="BC97" t="b">
        <f>AND(IF(Metadata!P97="",FALSE,TRUE),OR(EXACT(Metadata!P97,"air"),EXACT(Metadata!P97,"microbial mat/biofilm"),EXACT(Metadata!P97,"misc environment"),EXACT(Metadata!P97,"sediment"),EXACT(Metadata!P97,"soil"),EXACT(Metadata!P97,"wastewater/sludge"),EXACT(Metadata!P97,"water")))</f>
        <v>0</v>
      </c>
      <c r="BD97" t="b">
        <f>IF(Metadata!Q97="",FALSE,TRUE)</f>
        <v>0</v>
      </c>
      <c r="BE97" t="b">
        <f>IF(Metadata!R97="",FALSE,TRUE)</f>
        <v>0</v>
      </c>
      <c r="BF97" t="b">
        <f>OR(AND(IF(Metadata!S97="",FALSE,TRUE),OR(EXACT(Metadata!S97,"not collected"),EXACT(Metadata!S97,"not provided"),EXACT(Metadata!S97,"restricted access"))),AND(IF(Metadata!S97="",FALSE,ISNUMBER(VALUE(Metadata!S97))),Metadata!S97&gt;=-90,Metadata!S97&lt;=90))</f>
        <v>0</v>
      </c>
      <c r="BG97" t="b">
        <f>AND(IF(Metadata!T97="",FALSE,TRUE),EXACT(Metadata!T97,"Decimal degrees"))</f>
        <v>0</v>
      </c>
      <c r="BH97" t="b">
        <f>OR(AND(IF(Metadata!U97="",FALSE,TRUE),OR(EXACT(Metadata!U97,"not applicable"),EXACT(Metadata!U97,"not collected"))),IF(Metadata!U97="",FALSE,TRUE))</f>
        <v>0</v>
      </c>
      <c r="BI97" t="b">
        <f>OR(AND(IF(Metadata!V97="",FALSE,TRUE),OR(EXACT(Metadata!V97,"not collected"),EXACT(Metadata!V97,"not provided"),EXACT(Metadata!V97,"restricted access"))),AND(IF(Metadata!V97="",FALSE,ISNUMBER(VALUE(Metadata!V97))),Metadata!V97&gt;=-180,Metadata!V97&lt;=180))</f>
        <v>0</v>
      </c>
      <c r="BJ97" t="b">
        <f>AND(IF(Metadata!W97="",FALSE,TRUE),EXACT(Metadata!W97,"Decimal degrees"))</f>
        <v>0</v>
      </c>
      <c r="BK97" t="b">
        <f>IF(Metadata!X97="",FALSE,TRUE)</f>
        <v>0</v>
      </c>
      <c r="BL97" t="b">
        <f>OR(AND(IF(Metadata!Y97="",FALSE,TRUE),OR(EXACT(Metadata!Y97,"not collected"),EXACT(Metadata!Y97,"not provided"),EXACT(Metadata!Y97,"restricted access"))),AND(IF(Metadata!Y97="",FALSE,TRUE),OR(EXACT(Metadata!Y97,"TRUE"),EXACT(Metadata!Y97,"FALSE"))))</f>
        <v>0</v>
      </c>
      <c r="BM97" t="b">
        <f>OR(AND(IF(Metadata!Z97="",FALSE,TRUE),EXACT(Metadata!Z97,"not applicable")),AND(IF(Metadata!Z97="",FALSE,TRUE),OR(EXACT(Metadata!Z97,"beer"),EXACT(Metadata!Z97,"cheese"),EXACT(Metadata!Z97,"fresh water"),EXACT(Metadata!Z97,"marine sediment"),EXACT(Metadata!Z97,"sea water"),EXACT(Metadata!Z97,"sediment"),EXACT(Metadata!Z97,"soil"),EXACT(Metadata!Z97,"waste water"))))</f>
        <v>0</v>
      </c>
      <c r="BN97" t="b">
        <f>AND(IF(Metadata!AA97="",FALSE,TRUE),EXACT(Metadata!AA97,"metagenome"))</f>
        <v>0</v>
      </c>
      <c r="BO97" t="b">
        <f>AND(IF(Metadata!AB97="",FALSE,TRUE),EXACT(Metadata!AB97,"256318"))</f>
        <v>0</v>
      </c>
      <c r="BP97" t="b">
        <f>IF(Metadata!AC97="",FALSE,TRUE)</f>
        <v>0</v>
      </c>
      <c r="BQ97" t="b">
        <f>IF(Metadata!AD97="",FALSE,TRUE)</f>
        <v>0</v>
      </c>
    </row>
    <row r="98" spans="1:69" x14ac:dyDescent="0.2">
      <c r="A98" s="4" t="e">
        <f ca="1">IF(B98=" "," ",HYPERLINK(CONCATENATE("#metadata!",ADDRESS(INDEX($AJ$2:$AJ$1001,MATCH(ROWS($AH$2:AH98),$AH$2:$AH$1001,0),0),2)),INDEX($AM$2:$AM$1001,MATCH(ROWS($AH$2:AH98),$AH$2:$AH$1001,0),0)))</f>
        <v>#N/A</v>
      </c>
      <c r="B98" s="5" t="e">
        <f ca="1">IF(OR(INDEX($AI$2:$AI$1001,MATCH(ROWS($AH$2:AH98),$AH$2:$AH$1001,0),1)&gt;=100000,INDEX($AO$1005:$BQ$1005,1,MATCH(COLUMNS($AO$1006:AO1006),$AO$1006:$BQ$1006,0))&gt;=100000), " ",IF(INDEX($AO$2:$BQ$1001,MATCH(ROWS($AH$2:AH98),$AH$2:$AH$1001,0),MATCH(COLUMNS($AO$1006:AO1006),$AO$1006:$BQ$1006,0)), HYPERLINK("#",""), HYPERLINK(CONCATENATE("#Metadata!", ADDRESS(INDEX($AJ$2:$AJ$1001,MATCH(ROWS($AH$2:AH98),$AH$2:$AH$1001,0),0), INDEX($AO$1004:$BQ$1004,1,MATCH(COLUMNS($AO$1006:AO1006),$AO$1006:$BQ$1006,0)))),"Fix")))</f>
        <v>#N/A</v>
      </c>
      <c r="C98" s="5" t="e">
        <f ca="1">IF(OR(INDEX($AI$2:$AI$1001,MATCH(ROWS($AH$2:AH98),$AH$2:$AH$1001,0),1)&gt;=100000,INDEX($AO$1005:$BQ$1005,1,MATCH(COLUMNS($AO$1006:AP1006),$AO$1006:$BQ$1006,0))&gt;=100000), " ",IF(INDEX($AO$2:$BQ$1001,MATCH(ROWS($AH$2:AH98),$AH$2:$AH$1001,0),MATCH(COLUMNS($AO$1006:AP1006),$AO$1006:$BQ$1006,0)), HYPERLINK("#",""), HYPERLINK(CONCATENATE("#Metadata!", ADDRESS(INDEX($AJ$2:$AJ$1001,MATCH(ROWS($AH$2:AH98),$AH$2:$AH$1001,0),0), INDEX($AO$1004:$BQ$1004,1,MATCH(COLUMNS($AO$1006:AP1006),$AO$1006:$BQ$1006,0)))),"Fix")))</f>
        <v>#N/A</v>
      </c>
      <c r="D98" s="5" t="e">
        <f ca="1">IF(OR(INDEX($AI$2:$AI$1001,MATCH(ROWS($AH$2:AH98),$AH$2:$AH$1001,0),1)&gt;=100000,INDEX($AO$1005:$BQ$1005,1,MATCH(COLUMNS($AO$1006:AQ1006),$AO$1006:$BQ$1006,0))&gt;=100000), " ",IF(INDEX($AO$2:$BQ$1001,MATCH(ROWS($AH$2:AH98),$AH$2:$AH$1001,0),MATCH(COLUMNS($AO$1006:AQ1006),$AO$1006:$BQ$1006,0)), HYPERLINK("#",""), HYPERLINK(CONCATENATE("#Metadata!", ADDRESS(INDEX($AJ$2:$AJ$1001,MATCH(ROWS($AH$2:AH98),$AH$2:$AH$1001,0),0), INDEX($AO$1004:$BQ$1004,1,MATCH(COLUMNS($AO$1006:AQ1006),$AO$1006:$BQ$1006,0)))),"Fix")))</f>
        <v>#N/A</v>
      </c>
      <c r="E98" s="5" t="e">
        <f ca="1">IF(OR(INDEX($AI$2:$AI$1001,MATCH(ROWS($AH$2:AH98),$AH$2:$AH$1001,0),1)&gt;=100000,INDEX($AO$1005:$BQ$1005,1,MATCH(COLUMNS($AO$1006:AR1006),$AO$1006:$BQ$1006,0))&gt;=100000), " ",IF(INDEX($AO$2:$BQ$1001,MATCH(ROWS($AH$2:AH98),$AH$2:$AH$1001,0),MATCH(COLUMNS($AO$1006:AR1006),$AO$1006:$BQ$1006,0)), HYPERLINK("#",""), HYPERLINK(CONCATENATE("#Metadata!", ADDRESS(INDEX($AJ$2:$AJ$1001,MATCH(ROWS($AH$2:AH98),$AH$2:$AH$1001,0),0), INDEX($AO$1004:$BQ$1004,1,MATCH(COLUMNS($AO$1006:AR1006),$AO$1006:$BQ$1006,0)))),"Fix")))</f>
        <v>#N/A</v>
      </c>
      <c r="F98" s="5" t="e">
        <f ca="1">IF(OR(INDEX($AI$2:$AI$1001,MATCH(ROWS($AH$2:AH98),$AH$2:$AH$1001,0),1)&gt;=100000,INDEX($AO$1005:$BQ$1005,1,MATCH(COLUMNS($AO$1006:AS1006),$AO$1006:$BQ$1006,0))&gt;=100000), " ",IF(INDEX($AO$2:$BQ$1001,MATCH(ROWS($AH$2:AH98),$AH$2:$AH$1001,0),MATCH(COLUMNS($AO$1006:AS1006),$AO$1006:$BQ$1006,0)), HYPERLINK("#",""), HYPERLINK(CONCATENATE("#Metadata!", ADDRESS(INDEX($AJ$2:$AJ$1001,MATCH(ROWS($AH$2:AH98),$AH$2:$AH$1001,0),0), INDEX($AO$1004:$BQ$1004,1,MATCH(COLUMNS($AO$1006:AS1006),$AO$1006:$BQ$1006,0)))),"Fix")))</f>
        <v>#N/A</v>
      </c>
      <c r="G98" s="5" t="e">
        <f ca="1">IF(OR(INDEX($AI$2:$AI$1001,MATCH(ROWS($AH$2:AH98),$AH$2:$AH$1001,0),1)&gt;=100000,INDEX($AO$1005:$BQ$1005,1,MATCH(COLUMNS($AO$1006:AT1006),$AO$1006:$BQ$1006,0))&gt;=100000), " ",IF(INDEX($AO$2:$BQ$1001,MATCH(ROWS($AH$2:AH98),$AH$2:$AH$1001,0),MATCH(COLUMNS($AO$1006:AT1006),$AO$1006:$BQ$1006,0)), HYPERLINK("#",""), HYPERLINK(CONCATENATE("#Metadata!", ADDRESS(INDEX($AJ$2:$AJ$1001,MATCH(ROWS($AH$2:AH98),$AH$2:$AH$1001,0),0), INDEX($AO$1004:$BQ$1004,1,MATCH(COLUMNS($AO$1006:AT1006),$AO$1006:$BQ$1006,0)))),"Fix")))</f>
        <v>#N/A</v>
      </c>
      <c r="H98" s="5" t="e">
        <f ca="1">IF(OR(INDEX($AI$2:$AI$1001,MATCH(ROWS($AH$2:AH98),$AH$2:$AH$1001,0),1)&gt;=100000,INDEX($AO$1005:$BQ$1005,1,MATCH(COLUMNS($AO$1006:AU1006),$AO$1006:$BQ$1006,0))&gt;=100000), " ",IF(INDEX($AO$2:$BQ$1001,MATCH(ROWS($AH$2:AH98),$AH$2:$AH$1001,0),MATCH(COLUMNS($AO$1006:AU1006),$AO$1006:$BQ$1006,0)), HYPERLINK("#",""), HYPERLINK(CONCATENATE("#Metadata!", ADDRESS(INDEX($AJ$2:$AJ$1001,MATCH(ROWS($AH$2:AH98),$AH$2:$AH$1001,0),0), INDEX($AO$1004:$BQ$1004,1,MATCH(COLUMNS($AO$1006:AU1006),$AO$1006:$BQ$1006,0)))),"Fix")))</f>
        <v>#N/A</v>
      </c>
      <c r="I98" s="5" t="e">
        <f ca="1">IF(OR(INDEX($AI$2:$AI$1001,MATCH(ROWS($AH$2:AH98),$AH$2:$AH$1001,0),1)&gt;=100000,INDEX($AO$1005:$BQ$1005,1,MATCH(COLUMNS($AO$1006:AV1006),$AO$1006:$BQ$1006,0))&gt;=100000), " ",IF(INDEX($AO$2:$BQ$1001,MATCH(ROWS($AH$2:AH98),$AH$2:$AH$1001,0),MATCH(COLUMNS($AO$1006:AV1006),$AO$1006:$BQ$1006,0)), HYPERLINK("#",""), HYPERLINK(CONCATENATE("#Metadata!", ADDRESS(INDEX($AJ$2:$AJ$1001,MATCH(ROWS($AH$2:AH98),$AH$2:$AH$1001,0),0), INDEX($AO$1004:$BQ$1004,1,MATCH(COLUMNS($AO$1006:AV1006),$AO$1006:$BQ$1006,0)))),"Fix")))</f>
        <v>#N/A</v>
      </c>
      <c r="J98" s="5" t="e">
        <f ca="1">IF(OR(INDEX($AI$2:$AI$1001,MATCH(ROWS($AH$2:AH98),$AH$2:$AH$1001,0),1)&gt;=100000,INDEX($AO$1005:$BQ$1005,1,MATCH(COLUMNS($AO$1006:AW1006),$AO$1006:$BQ$1006,0))&gt;=100000), " ",IF(INDEX($AO$2:$BQ$1001,MATCH(ROWS($AH$2:AH98),$AH$2:$AH$1001,0),MATCH(COLUMNS($AO$1006:AW1006),$AO$1006:$BQ$1006,0)), HYPERLINK("#",""), HYPERLINK(CONCATENATE("#Metadata!", ADDRESS(INDEX($AJ$2:$AJ$1001,MATCH(ROWS($AH$2:AH98),$AH$2:$AH$1001,0),0), INDEX($AO$1004:$BQ$1004,1,MATCH(COLUMNS($AO$1006:AW1006),$AO$1006:$BQ$1006,0)))),"Fix")))</f>
        <v>#N/A</v>
      </c>
      <c r="K98" s="5" t="e">
        <f ca="1">IF(OR(INDEX($AI$2:$AI$1001,MATCH(ROWS($AH$2:AH98),$AH$2:$AH$1001,0),1)&gt;=100000,INDEX($AO$1005:$BQ$1005,1,MATCH(COLUMNS($AO$1006:AX1006),$AO$1006:$BQ$1006,0))&gt;=100000), " ",IF(INDEX($AO$2:$BQ$1001,MATCH(ROWS($AH$2:AH98),$AH$2:$AH$1001,0),MATCH(COLUMNS($AO$1006:AX1006),$AO$1006:$BQ$1006,0)), HYPERLINK("#",""), HYPERLINK(CONCATENATE("#Metadata!", ADDRESS(INDEX($AJ$2:$AJ$1001,MATCH(ROWS($AH$2:AH98),$AH$2:$AH$1001,0),0), INDEX($AO$1004:$BQ$1004,1,MATCH(COLUMNS($AO$1006:AX1006),$AO$1006:$BQ$1006,0)))),"Fix")))</f>
        <v>#N/A</v>
      </c>
      <c r="L98" s="5" t="e">
        <f ca="1">IF(OR(INDEX($AI$2:$AI$1001,MATCH(ROWS($AH$2:AH98),$AH$2:$AH$1001,0),1)&gt;=100000,INDEX($AO$1005:$BQ$1005,1,MATCH(COLUMNS($AO$1006:AY1006),$AO$1006:$BQ$1006,0))&gt;=100000), " ",IF(INDEX($AO$2:$BQ$1001,MATCH(ROWS($AH$2:AH98),$AH$2:$AH$1001,0),MATCH(COLUMNS($AO$1006:AY1006),$AO$1006:$BQ$1006,0)), HYPERLINK("#",""), HYPERLINK(CONCATENATE("#Metadata!", ADDRESS(INDEX($AJ$2:$AJ$1001,MATCH(ROWS($AH$2:AH98),$AH$2:$AH$1001,0),0), INDEX($AO$1004:$BQ$1004,1,MATCH(COLUMNS($AO$1006:AY1006),$AO$1006:$BQ$1006,0)))),"Fix")))</f>
        <v>#N/A</v>
      </c>
      <c r="M98" s="5" t="e">
        <f ca="1">IF(OR(INDEX($AI$2:$AI$1001,MATCH(ROWS($AH$2:AH98),$AH$2:$AH$1001,0),1)&gt;=100000,INDEX($AO$1005:$BQ$1005,1,MATCH(COLUMNS($AO$1006:AZ1006),$AO$1006:$BQ$1006,0))&gt;=100000), " ",IF(INDEX($AO$2:$BQ$1001,MATCH(ROWS($AH$2:AH98),$AH$2:$AH$1001,0),MATCH(COLUMNS($AO$1006:AZ1006),$AO$1006:$BQ$1006,0)), HYPERLINK("#",""), HYPERLINK(CONCATENATE("#Metadata!", ADDRESS(INDEX($AJ$2:$AJ$1001,MATCH(ROWS($AH$2:AH98),$AH$2:$AH$1001,0),0), INDEX($AO$1004:$BQ$1004,1,MATCH(COLUMNS($AO$1006:AZ1006),$AO$1006:$BQ$1006,0)))),"Fix")))</f>
        <v>#N/A</v>
      </c>
      <c r="N98" s="5" t="e">
        <f ca="1">IF(OR(INDEX($AI$2:$AI$1001,MATCH(ROWS($AH$2:AH98),$AH$2:$AH$1001,0),1)&gt;=100000,INDEX($AO$1005:$BQ$1005,1,MATCH(COLUMNS($AO$1006:BA1006),$AO$1006:$BQ$1006,0))&gt;=100000), " ",IF(INDEX($AO$2:$BQ$1001,MATCH(ROWS($AH$2:AH98),$AH$2:$AH$1001,0),MATCH(COLUMNS($AO$1006:BA1006),$AO$1006:$BQ$1006,0)), HYPERLINK("#",""), HYPERLINK(CONCATENATE("#Metadata!", ADDRESS(INDEX($AJ$2:$AJ$1001,MATCH(ROWS($AH$2:AH98),$AH$2:$AH$1001,0),0), INDEX($AO$1004:$BQ$1004,1,MATCH(COLUMNS($AO$1006:BA1006),$AO$1006:$BQ$1006,0)))),"Fix")))</f>
        <v>#N/A</v>
      </c>
      <c r="O98" s="5" t="e">
        <f ca="1">IF(OR(INDEX($AI$2:$AI$1001,MATCH(ROWS($AH$2:AH98),$AH$2:$AH$1001,0),1)&gt;=100000,INDEX($AO$1005:$BQ$1005,1,MATCH(COLUMNS($AO$1006:BB1006),$AO$1006:$BQ$1006,0))&gt;=100000), " ",IF(INDEX($AO$2:$BQ$1001,MATCH(ROWS($AH$2:AH98),$AH$2:$AH$1001,0),MATCH(COLUMNS($AO$1006:BB1006),$AO$1006:$BQ$1006,0)), HYPERLINK("#",""), HYPERLINK(CONCATENATE("#Metadata!", ADDRESS(INDEX($AJ$2:$AJ$1001,MATCH(ROWS($AH$2:AH98),$AH$2:$AH$1001,0),0), INDEX($AO$1004:$BQ$1004,1,MATCH(COLUMNS($AO$1006:BB1006),$AO$1006:$BQ$1006,0)))),"Fix")))</f>
        <v>#N/A</v>
      </c>
      <c r="P98" s="5" t="e">
        <f ca="1">IF(OR(INDEX($AI$2:$AI$1001,MATCH(ROWS($AH$2:AH98),$AH$2:$AH$1001,0),1)&gt;=100000,INDEX($AO$1005:$BQ$1005,1,MATCH(COLUMNS($AO$1006:BC1006),$AO$1006:$BQ$1006,0))&gt;=100000), " ",IF(INDEX($AO$2:$BQ$1001,MATCH(ROWS($AH$2:AH98),$AH$2:$AH$1001,0),MATCH(COLUMNS($AO$1006:BC1006),$AO$1006:$BQ$1006,0)), HYPERLINK("#",""), HYPERLINK(CONCATENATE("#Metadata!", ADDRESS(INDEX($AJ$2:$AJ$1001,MATCH(ROWS($AH$2:AH98),$AH$2:$AH$1001,0),0), INDEX($AO$1004:$BQ$1004,1,MATCH(COLUMNS($AO$1006:BC1006),$AO$1006:$BQ$1006,0)))),"Fix")))</f>
        <v>#N/A</v>
      </c>
      <c r="Q98" s="5" t="e">
        <f ca="1">IF(OR(INDEX($AI$2:$AI$1001,MATCH(ROWS($AH$2:AH98),$AH$2:$AH$1001,0),1)&gt;=100000,INDEX($AO$1005:$BQ$1005,1,MATCH(COLUMNS($AO$1006:BD1006),$AO$1006:$BQ$1006,0))&gt;=100000), " ",IF(INDEX($AO$2:$BQ$1001,MATCH(ROWS($AH$2:AH98),$AH$2:$AH$1001,0),MATCH(COLUMNS($AO$1006:BD1006),$AO$1006:$BQ$1006,0)), HYPERLINK("#",""), HYPERLINK(CONCATENATE("#Metadata!", ADDRESS(INDEX($AJ$2:$AJ$1001,MATCH(ROWS($AH$2:AH98),$AH$2:$AH$1001,0),0), INDEX($AO$1004:$BQ$1004,1,MATCH(COLUMNS($AO$1006:BD1006),$AO$1006:$BQ$1006,0)))),"Fix")))</f>
        <v>#N/A</v>
      </c>
      <c r="R98" s="5" t="e">
        <f ca="1">IF(OR(INDEX($AI$2:$AI$1001,MATCH(ROWS($AH$2:AH98),$AH$2:$AH$1001,0),1)&gt;=100000,INDEX($AO$1005:$BQ$1005,1,MATCH(COLUMNS($AO$1006:BE1006),$AO$1006:$BQ$1006,0))&gt;=100000), " ",IF(INDEX($AO$2:$BQ$1001,MATCH(ROWS($AH$2:AH98),$AH$2:$AH$1001,0),MATCH(COLUMNS($AO$1006:BE1006),$AO$1006:$BQ$1006,0)), HYPERLINK("#",""), HYPERLINK(CONCATENATE("#Metadata!", ADDRESS(INDEX($AJ$2:$AJ$1001,MATCH(ROWS($AH$2:AH98),$AH$2:$AH$1001,0),0), INDEX($AO$1004:$BQ$1004,1,MATCH(COLUMNS($AO$1006:BE1006),$AO$1006:$BQ$1006,0)))),"Fix")))</f>
        <v>#N/A</v>
      </c>
      <c r="S98" s="5" t="e">
        <f ca="1">IF(OR(INDEX($AI$2:$AI$1001,MATCH(ROWS($AH$2:AH98),$AH$2:$AH$1001,0),1)&gt;=100000,INDEX($AO$1005:$BQ$1005,1,MATCH(COLUMNS($AO$1006:BF1006),$AO$1006:$BQ$1006,0))&gt;=100000), " ",IF(INDEX($AO$2:$BQ$1001,MATCH(ROWS($AH$2:AH98),$AH$2:$AH$1001,0),MATCH(COLUMNS($AO$1006:BF1006),$AO$1006:$BQ$1006,0)), HYPERLINK("#",""), HYPERLINK(CONCATENATE("#Metadata!", ADDRESS(INDEX($AJ$2:$AJ$1001,MATCH(ROWS($AH$2:AH98),$AH$2:$AH$1001,0),0), INDEX($AO$1004:$BQ$1004,1,MATCH(COLUMNS($AO$1006:BF1006),$AO$1006:$BQ$1006,0)))),"Fix")))</f>
        <v>#N/A</v>
      </c>
      <c r="T98" s="5" t="e">
        <f ca="1">IF(OR(INDEX($AI$2:$AI$1001,MATCH(ROWS($AH$2:AH98),$AH$2:$AH$1001,0),1)&gt;=100000,INDEX($AO$1005:$BQ$1005,1,MATCH(COLUMNS($AO$1006:BG1006),$AO$1006:$BQ$1006,0))&gt;=100000), " ",IF(INDEX($AO$2:$BQ$1001,MATCH(ROWS($AH$2:AH98),$AH$2:$AH$1001,0),MATCH(COLUMNS($AO$1006:BG1006),$AO$1006:$BQ$1006,0)), HYPERLINK("#",""), HYPERLINK(CONCATENATE("#Metadata!", ADDRESS(INDEX($AJ$2:$AJ$1001,MATCH(ROWS($AH$2:AH98),$AH$2:$AH$1001,0),0), INDEX($AO$1004:$BQ$1004,1,MATCH(COLUMNS($AO$1006:BG1006),$AO$1006:$BQ$1006,0)))),"Fix")))</f>
        <v>#N/A</v>
      </c>
      <c r="U98" s="5" t="e">
        <f ca="1">IF(OR(INDEX($AI$2:$AI$1001,MATCH(ROWS($AH$2:AH98),$AH$2:$AH$1001,0),1)&gt;=100000,INDEX($AO$1005:$BQ$1005,1,MATCH(COLUMNS($AO$1006:BH1006),$AO$1006:$BQ$1006,0))&gt;=100000), " ",IF(INDEX($AO$2:$BQ$1001,MATCH(ROWS($AH$2:AH98),$AH$2:$AH$1001,0),MATCH(COLUMNS($AO$1006:BH1006),$AO$1006:$BQ$1006,0)), HYPERLINK("#",""), HYPERLINK(CONCATENATE("#Metadata!", ADDRESS(INDEX($AJ$2:$AJ$1001,MATCH(ROWS($AH$2:AH98),$AH$2:$AH$1001,0),0), INDEX($AO$1004:$BQ$1004,1,MATCH(COLUMNS($AO$1006:BH1006),$AO$1006:$BQ$1006,0)))),"Fix")))</f>
        <v>#N/A</v>
      </c>
      <c r="V98" s="5" t="e">
        <f ca="1">IF(OR(INDEX($AI$2:$AI$1001,MATCH(ROWS($AH$2:AH98),$AH$2:$AH$1001,0),1)&gt;=100000,INDEX($AO$1005:$BQ$1005,1,MATCH(COLUMNS($AO$1006:BI1006),$AO$1006:$BQ$1006,0))&gt;=100000), " ",IF(INDEX($AO$2:$BQ$1001,MATCH(ROWS($AH$2:AH98),$AH$2:$AH$1001,0),MATCH(COLUMNS($AO$1006:BI1006),$AO$1006:$BQ$1006,0)), HYPERLINK("#",""), HYPERLINK(CONCATENATE("#Metadata!", ADDRESS(INDEX($AJ$2:$AJ$1001,MATCH(ROWS($AH$2:AH98),$AH$2:$AH$1001,0),0), INDEX($AO$1004:$BQ$1004,1,MATCH(COLUMNS($AO$1006:BI1006),$AO$1006:$BQ$1006,0)))),"Fix")))</f>
        <v>#N/A</v>
      </c>
      <c r="W98" s="5" t="e">
        <f ca="1">IF(OR(INDEX($AI$2:$AI$1001,MATCH(ROWS($AH$2:AH98),$AH$2:$AH$1001,0),1)&gt;=100000,INDEX($AO$1005:$BQ$1005,1,MATCH(COLUMNS($AO$1006:BJ1006),$AO$1006:$BQ$1006,0))&gt;=100000), " ",IF(INDEX($AO$2:$BQ$1001,MATCH(ROWS($AH$2:AH98),$AH$2:$AH$1001,0),MATCH(COLUMNS($AO$1006:BJ1006),$AO$1006:$BQ$1006,0)), HYPERLINK("#",""), HYPERLINK(CONCATENATE("#Metadata!", ADDRESS(INDEX($AJ$2:$AJ$1001,MATCH(ROWS($AH$2:AH98),$AH$2:$AH$1001,0),0), INDEX($AO$1004:$BQ$1004,1,MATCH(COLUMNS($AO$1006:BJ1006),$AO$1006:$BQ$1006,0)))),"Fix")))</f>
        <v>#N/A</v>
      </c>
      <c r="X98" s="5" t="e">
        <f ca="1">IF(OR(INDEX($AI$2:$AI$1001,MATCH(ROWS($AH$2:AH98),$AH$2:$AH$1001,0),1)&gt;=100000,INDEX($AO$1005:$BQ$1005,1,MATCH(COLUMNS($AO$1006:BK1006),$AO$1006:$BQ$1006,0))&gt;=100000), " ",IF(INDEX($AO$2:$BQ$1001,MATCH(ROWS($AH$2:AH98),$AH$2:$AH$1001,0),MATCH(COLUMNS($AO$1006:BK1006),$AO$1006:$BQ$1006,0)), HYPERLINK("#",""), HYPERLINK(CONCATENATE("#Metadata!", ADDRESS(INDEX($AJ$2:$AJ$1001,MATCH(ROWS($AH$2:AH98),$AH$2:$AH$1001,0),0), INDEX($AO$1004:$BQ$1004,1,MATCH(COLUMNS($AO$1006:BK1006),$AO$1006:$BQ$1006,0)))),"Fix")))</f>
        <v>#N/A</v>
      </c>
      <c r="Y98" s="5" t="e">
        <f ca="1">IF(OR(INDEX($AI$2:$AI$1001,MATCH(ROWS($AH$2:AH98),$AH$2:$AH$1001,0),1)&gt;=100000,INDEX($AO$1005:$BQ$1005,1,MATCH(COLUMNS($AO$1006:BL1006),$AO$1006:$BQ$1006,0))&gt;=100000), " ",IF(INDEX($AO$2:$BQ$1001,MATCH(ROWS($AH$2:AH98),$AH$2:$AH$1001,0),MATCH(COLUMNS($AO$1006:BL1006),$AO$1006:$BQ$1006,0)), HYPERLINK("#",""), HYPERLINK(CONCATENATE("#Metadata!", ADDRESS(INDEX($AJ$2:$AJ$1001,MATCH(ROWS($AH$2:AH98),$AH$2:$AH$1001,0),0), INDEX($AO$1004:$BQ$1004,1,MATCH(COLUMNS($AO$1006:BL1006),$AO$1006:$BQ$1006,0)))),"Fix")))</f>
        <v>#N/A</v>
      </c>
      <c r="Z98" s="5" t="e">
        <f ca="1">IF(OR(INDEX($AI$2:$AI$1001,MATCH(ROWS($AH$2:AH98),$AH$2:$AH$1001,0),1)&gt;=100000,INDEX($AO$1005:$BQ$1005,1,MATCH(COLUMNS($AO$1006:BM1006),$AO$1006:$BQ$1006,0))&gt;=100000), " ",IF(INDEX($AO$2:$BQ$1001,MATCH(ROWS($AH$2:AH98),$AH$2:$AH$1001,0),MATCH(COLUMNS($AO$1006:BM1006),$AO$1006:$BQ$1006,0)), HYPERLINK("#",""), HYPERLINK(CONCATENATE("#Metadata!", ADDRESS(INDEX($AJ$2:$AJ$1001,MATCH(ROWS($AH$2:AH98),$AH$2:$AH$1001,0),0), INDEX($AO$1004:$BQ$1004,1,MATCH(COLUMNS($AO$1006:BM1006),$AO$1006:$BQ$1006,0)))),"Fix")))</f>
        <v>#N/A</v>
      </c>
      <c r="AA98" s="5" t="e">
        <f ca="1">IF(OR(INDEX($AI$2:$AI$1001,MATCH(ROWS($AH$2:AH98),$AH$2:$AH$1001,0),1)&gt;=100000,INDEX($AO$1005:$BQ$1005,1,MATCH(COLUMNS($AO$1006:BN1006),$AO$1006:$BQ$1006,0))&gt;=100000), " ",IF(INDEX($AO$2:$BQ$1001,MATCH(ROWS($AH$2:AH98),$AH$2:$AH$1001,0),MATCH(COLUMNS($AO$1006:BN1006),$AO$1006:$BQ$1006,0)), HYPERLINK("#",""), HYPERLINK(CONCATENATE("#Metadata!", ADDRESS(INDEX($AJ$2:$AJ$1001,MATCH(ROWS($AH$2:AH98),$AH$2:$AH$1001,0),0), INDEX($AO$1004:$BQ$1004,1,MATCH(COLUMNS($AO$1006:BN1006),$AO$1006:$BQ$1006,0)))),"Fix")))</f>
        <v>#N/A</v>
      </c>
      <c r="AB98" s="5" t="e">
        <f ca="1">IF(OR(INDEX($AI$2:$AI$1001,MATCH(ROWS($AH$2:AH98),$AH$2:$AH$1001,0),1)&gt;=100000,INDEX($AO$1005:$BQ$1005,1,MATCH(COLUMNS($AO$1006:BO1006),$AO$1006:$BQ$1006,0))&gt;=100000), " ",IF(INDEX($AO$2:$BQ$1001,MATCH(ROWS($AH$2:AH98),$AH$2:$AH$1001,0),MATCH(COLUMNS($AO$1006:BO1006),$AO$1006:$BQ$1006,0)), HYPERLINK("#",""), HYPERLINK(CONCATENATE("#Metadata!", ADDRESS(INDEX($AJ$2:$AJ$1001,MATCH(ROWS($AH$2:AH98),$AH$2:$AH$1001,0),0), INDEX($AO$1004:$BQ$1004,1,MATCH(COLUMNS($AO$1006:BO1006),$AO$1006:$BQ$1006,0)))),"Fix")))</f>
        <v>#N/A</v>
      </c>
      <c r="AC98" s="5" t="e">
        <f ca="1">IF(OR(INDEX($AI$2:$AI$1001,MATCH(ROWS($AH$2:AH98),$AH$2:$AH$1001,0),1)&gt;=100000,INDEX($AO$1005:$BQ$1005,1,MATCH(COLUMNS($AO$1006:BP1006),$AO$1006:$BQ$1006,0))&gt;=100000), " ",IF(INDEX($AO$2:$BQ$1001,MATCH(ROWS($AH$2:AH98),$AH$2:$AH$1001,0),MATCH(COLUMNS($AO$1006:BP1006),$AO$1006:$BQ$1006,0)), HYPERLINK("#",""), HYPERLINK(CONCATENATE("#Metadata!", ADDRESS(INDEX($AJ$2:$AJ$1001,MATCH(ROWS($AH$2:AH98),$AH$2:$AH$1001,0),0), INDEX($AO$1004:$BQ$1004,1,MATCH(COLUMNS($AO$1006:BP1006),$AO$1006:$BQ$1006,0)))),"Fix")))</f>
        <v>#N/A</v>
      </c>
      <c r="AD98" s="5" t="e">
        <f ca="1">IF(OR(INDEX($AI$2:$AI$1001,MATCH(ROWS($AH$2:AH98),$AH$2:$AH$1001,0),1)&gt;=100000,INDEX($AO$1005:$BQ$1005,1,MATCH(COLUMNS($AO$1006:BQ1006),$AO$1006:$BQ$1006,0))&gt;=100000), " ",IF(INDEX($AO$2:$BQ$1001,MATCH(ROWS($AH$2:AH98),$AH$2:$AH$1001,0),MATCH(COLUMNS($AO$1006:BQ1006),$AO$1006:$BQ$1006,0)), HYPERLINK("#",""), HYPERLINK(CONCATENATE("#Metadata!", ADDRESS(INDEX($AJ$2:$AJ$1001,MATCH(ROWS($AH$2:AH98),$AH$2:$AH$1001,0),0), INDEX($AO$1004:$BQ$1004,1,MATCH(COLUMNS($AO$1006:BQ1006),$AO$1006:$BQ$1006,0)))),"Fix")))</f>
        <v>#REF!</v>
      </c>
      <c r="AH98">
        <f ca="1"/>
        <v>95</v>
      </c>
      <c r="AI98">
        <v>100098</v>
      </c>
      <c r="AJ98">
        <v>98</v>
      </c>
      <c r="AK98" t="b">
        <f t="shared" si="1"/>
        <v>1</v>
      </c>
      <c r="AL98" t="b">
        <f>COUNTBLANK(Metadata!B98:AD98)=COLUMNS(Metadata!B98:AD98)</f>
        <v>1</v>
      </c>
      <c r="AM98" t="str">
        <v/>
      </c>
      <c r="AO98" t="b">
        <f ca="1">AND(IF(Metadata!B98="",FALSE,TRUE),COUNTIF(Metadata!B:B, Metadata!B98) = 1,NOT(ISERROR(SUMPRODUCT(SEARCH(MID(Metadata!B98,ROW(INDIRECT("1:"&amp;LEN(Metadata!B98))), 1),"0123456789abcdefghijklmnopqrstuvwxyzABCDEFGHIJKLMNOPQRSTUVWXYZ.")))))</f>
        <v>0</v>
      </c>
      <c r="AP98" t="b">
        <f>IF(Metadata!C98="",FALSE,TRUE)</f>
        <v>0</v>
      </c>
      <c r="AQ98" t="b">
        <f>IF(Metadata!D98="",FALSE,TRUE)</f>
        <v>0</v>
      </c>
      <c r="AR98" t="b">
        <f ca="1">OR(AND(IF(Metadata!E98="",FALSE,TRUE),OR(EXACT(Metadata!E98,"not collected"),EXACT(Metadata!E98,"not provided"),EXACT(Metadata!E98,"restricted access"))),AND(IF(Metadata!E98="",FALSE,TRUE),AND(AND(IFERROR(INT(LEFT(Metadata!E98,4))&gt;1900,FALSE),IFERROR(INT(LEFT(Metadata!E98,4))&lt;=YEAR(NOW()),FALSE)), OR(MID(Metadata!E98,5,1)="", AND(AND(MID(Metadata!E98,5,1)="-",IFERROR(INT(MID(Metadata!E98,6,1))&gt;=0,FALSE),IFERROR(INT(MID(Metadata!E98,6,1))&lt;=1,FALSE),NOT(MID(Metadata!E98,7,1)=""),IFERROR(INT(MID(Metadata!E98,6,2))&gt;=1,FALSE),IFERROR(INT(MID(Metadata!E98,6,2))&lt;=12,FALSE)), OR(MID(Metadata!E98,8,1)="", AND(AND(MID(Metadata!E98,8,1)="-",IFERROR(INT(MID(Metadata!E98,9,1))&gt;=0,FALSE),IFERROR(INT(MID(Metadata!E98,9,1))&lt;=3,FALSE),NOT(MID(Metadata!E98,10,1)=""),IFERROR(INT(MID(Metadata!E98,9,2))&gt;=1,FALSE),IFERROR(INT(MID(Metadata!E98,9,2))&lt;=31,FALSE)), OR(MID(Metadata!E98,11,1)="", AND(AND(MID(Metadata!E98,11,1)=" ",IFERROR(INT(MID(Metadata!E98,12,1))&gt;=0,FALSE),IFERROR(INT(MID(Metadata!E98,12,1))&lt;=2,FALSE),NOT(MID(Metadata!E98,13,1)=""),IFERROR(INT(MID(Metadata!E98,12,2))&gt;=0,FALSE),IFERROR(INT(MID(Metadata!E98,12,2))&lt;=23,FALSE)), OR(MID(Metadata!E98,14,1)="", AND(AND(MID(Metadata!E98,14,1)=":",IFERROR(INT(MID(Metadata!E98,15,1))&gt;=0,FALSE),IFERROR(INT(MID(Metadata!E98,15,1))&lt;=5,FALSE),NOT(MID(Metadata!E98,16,1)=""),IFERROR(INT(MID(Metadata!E98,15,2))&gt;=0,FALSE),IFERROR(INT(MID(Metadata!E98,15,2))&lt;=59,FALSE)), OR(MID(Metadata!E98,17,1)="", AND(AND(MID(Metadata!E98,17,1)=":",IFERROR(INT(MID(Metadata!E98,18,1))&gt;=0,FALSE),IFERROR(INT(MID(Metadata!E98,18,1))&lt;=5,FALSE),NOT(MID(Metadata!E98,19,1)=""),IFERROR(INT(MID(Metadata!E98,18,2))&gt;=0,FALSE),IFERROR(INT(MID(Metadata!E98,18,2))&lt;=59,FALSE)), LEN(Metadata!E98)&lt;=19)))))))))))))</f>
        <v>0</v>
      </c>
      <c r="AS98" t="b">
        <f>IF(Metadata!F98="",FALSE,TRUE)</f>
        <v>0</v>
      </c>
      <c r="AT98" t="b">
        <f>OR(AND(IF(Metadata!G98="",FALSE,TRUE),OR(EXACT(Metadata!G98,"not collected"),EXACT(Metadata!G98,"not provided"))),AND(IF(Metadata!G98="",FALSE,TRUE),OR(EXACT(Metadata!G98,"TRUE"),EXACT(Metadata!G98,"FALSE"))))</f>
        <v>0</v>
      </c>
      <c r="AU98" t="b">
        <f>OR(AND(IF(Metadata!H98="",FALSE,TRUE),OR(EXACT(Metadata!H98,"not collected"),EXACT(Metadata!H98,"not provided"),EXACT(Metadata!H98,"restricted access"))),AND(IF(Metadata!H98="",FALSE,ISNUMBER(VALUE(Metadata!H98))),Metadata!H98&gt;=-413))</f>
        <v>0</v>
      </c>
      <c r="AV98" t="b">
        <f>AND(IF(Metadata!I98="",FALSE,TRUE),EXACT(Metadata!I98,"meters"))</f>
        <v>0</v>
      </c>
      <c r="AW98" t="b">
        <f>AND(IF(Metadata!J98="",FALSE,TRUE),EXACT(Metadata!J98,"free-living"))</f>
        <v>0</v>
      </c>
      <c r="AX98" t="b">
        <f>AND(IF(Metadata!K98="",FALSE,TRUE),OR(EXACT(Metadata!K98,"saline"),EXACT(Metadata!K98,"non-saline")))</f>
        <v>0</v>
      </c>
      <c r="AY98" t="b">
        <f>AND(IF(Metadata!L98="",FALSE,TRUE),OR(EXACT(Metadata!L98,"sub-surface (non-saline)"),EXACT(Metadata!L98,"surface (non-saline)"),EXACT(Metadata!L98,"water (non-saline)"),EXACT(Metadata!L98,"soil (non-saline)"),EXACT(Metadata!L98,"aerosol (non-saline)"),EXACT(Metadata!L98,"sediment (non-saline)"),EXACT(Metadata!L98,"surface (saline)"),EXACT(Metadata!L98,"water (saline)"),EXACT(Metadata!L98,"hypersaline (saline)"),EXACT(Metadata!L98,"aerosol (saline)"),EXACT(Metadata!L98,"sediment (saline)")))</f>
        <v>0</v>
      </c>
      <c r="AZ98" t="b">
        <f>IF(Metadata!M98="",FALSE,TRUE)</f>
        <v>0</v>
      </c>
      <c r="BA98" t="b">
        <f>IF(Metadata!N98="",FALSE,TRUE)</f>
        <v>0</v>
      </c>
      <c r="BB98" t="b">
        <f>IF(Metadata!O98="",FALSE,TRUE)</f>
        <v>0</v>
      </c>
      <c r="BC98" t="b">
        <f>AND(IF(Metadata!P98="",FALSE,TRUE),OR(EXACT(Metadata!P98,"air"),EXACT(Metadata!P98,"microbial mat/biofilm"),EXACT(Metadata!P98,"misc environment"),EXACT(Metadata!P98,"sediment"),EXACT(Metadata!P98,"soil"),EXACT(Metadata!P98,"wastewater/sludge"),EXACT(Metadata!P98,"water")))</f>
        <v>0</v>
      </c>
      <c r="BD98" t="b">
        <f>IF(Metadata!Q98="",FALSE,TRUE)</f>
        <v>0</v>
      </c>
      <c r="BE98" t="b">
        <f>IF(Metadata!R98="",FALSE,TRUE)</f>
        <v>0</v>
      </c>
      <c r="BF98" t="b">
        <f>OR(AND(IF(Metadata!S98="",FALSE,TRUE),OR(EXACT(Metadata!S98,"not collected"),EXACT(Metadata!S98,"not provided"),EXACT(Metadata!S98,"restricted access"))),AND(IF(Metadata!S98="",FALSE,ISNUMBER(VALUE(Metadata!S98))),Metadata!S98&gt;=-90,Metadata!S98&lt;=90))</f>
        <v>0</v>
      </c>
      <c r="BG98" t="b">
        <f>AND(IF(Metadata!T98="",FALSE,TRUE),EXACT(Metadata!T98,"Decimal degrees"))</f>
        <v>0</v>
      </c>
      <c r="BH98" t="b">
        <f>OR(AND(IF(Metadata!U98="",FALSE,TRUE),OR(EXACT(Metadata!U98,"not applicable"),EXACT(Metadata!U98,"not collected"))),IF(Metadata!U98="",FALSE,TRUE))</f>
        <v>0</v>
      </c>
      <c r="BI98" t="b">
        <f>OR(AND(IF(Metadata!V98="",FALSE,TRUE),OR(EXACT(Metadata!V98,"not collected"),EXACT(Metadata!V98,"not provided"),EXACT(Metadata!V98,"restricted access"))),AND(IF(Metadata!V98="",FALSE,ISNUMBER(VALUE(Metadata!V98))),Metadata!V98&gt;=-180,Metadata!V98&lt;=180))</f>
        <v>0</v>
      </c>
      <c r="BJ98" t="b">
        <f>AND(IF(Metadata!W98="",FALSE,TRUE),EXACT(Metadata!W98,"Decimal degrees"))</f>
        <v>0</v>
      </c>
      <c r="BK98" t="b">
        <f>IF(Metadata!X98="",FALSE,TRUE)</f>
        <v>0</v>
      </c>
      <c r="BL98" t="b">
        <f>OR(AND(IF(Metadata!Y98="",FALSE,TRUE),OR(EXACT(Metadata!Y98,"not collected"),EXACT(Metadata!Y98,"not provided"),EXACT(Metadata!Y98,"restricted access"))),AND(IF(Metadata!Y98="",FALSE,TRUE),OR(EXACT(Metadata!Y98,"TRUE"),EXACT(Metadata!Y98,"FALSE"))))</f>
        <v>0</v>
      </c>
      <c r="BM98" t="b">
        <f>OR(AND(IF(Metadata!Z98="",FALSE,TRUE),EXACT(Metadata!Z98,"not applicable")),AND(IF(Metadata!Z98="",FALSE,TRUE),OR(EXACT(Metadata!Z98,"beer"),EXACT(Metadata!Z98,"cheese"),EXACT(Metadata!Z98,"fresh water"),EXACT(Metadata!Z98,"marine sediment"),EXACT(Metadata!Z98,"sea water"),EXACT(Metadata!Z98,"sediment"),EXACT(Metadata!Z98,"soil"),EXACT(Metadata!Z98,"waste water"))))</f>
        <v>0</v>
      </c>
      <c r="BN98" t="b">
        <f>AND(IF(Metadata!AA98="",FALSE,TRUE),EXACT(Metadata!AA98,"metagenome"))</f>
        <v>0</v>
      </c>
      <c r="BO98" t="b">
        <f>AND(IF(Metadata!AB98="",FALSE,TRUE),EXACT(Metadata!AB98,"256318"))</f>
        <v>0</v>
      </c>
      <c r="BP98" t="b">
        <f>IF(Metadata!AC98="",FALSE,TRUE)</f>
        <v>0</v>
      </c>
      <c r="BQ98" t="b">
        <f>IF(Metadata!AD98="",FALSE,TRUE)</f>
        <v>0</v>
      </c>
    </row>
    <row r="99" spans="1:69" x14ac:dyDescent="0.2">
      <c r="A99" s="4" t="e">
        <f ca="1">IF(B99=" "," ",HYPERLINK(CONCATENATE("#metadata!",ADDRESS(INDEX($AJ$2:$AJ$1001,MATCH(ROWS($AH$2:AH99),$AH$2:$AH$1001,0),0),2)),INDEX($AM$2:$AM$1001,MATCH(ROWS($AH$2:AH99),$AH$2:$AH$1001,0),0)))</f>
        <v>#N/A</v>
      </c>
      <c r="B99" s="5" t="e">
        <f ca="1">IF(OR(INDEX($AI$2:$AI$1001,MATCH(ROWS($AH$2:AH99),$AH$2:$AH$1001,0),1)&gt;=100000,INDEX($AO$1005:$BQ$1005,1,MATCH(COLUMNS($AO$1006:AO1006),$AO$1006:$BQ$1006,0))&gt;=100000), " ",IF(INDEX($AO$2:$BQ$1001,MATCH(ROWS($AH$2:AH99),$AH$2:$AH$1001,0),MATCH(COLUMNS($AO$1006:AO1006),$AO$1006:$BQ$1006,0)), HYPERLINK("#",""), HYPERLINK(CONCATENATE("#Metadata!", ADDRESS(INDEX($AJ$2:$AJ$1001,MATCH(ROWS($AH$2:AH99),$AH$2:$AH$1001,0),0), INDEX($AO$1004:$BQ$1004,1,MATCH(COLUMNS($AO$1006:AO1006),$AO$1006:$BQ$1006,0)))),"Fix")))</f>
        <v>#N/A</v>
      </c>
      <c r="C99" s="5" t="e">
        <f ca="1">IF(OR(INDEX($AI$2:$AI$1001,MATCH(ROWS($AH$2:AH99),$AH$2:$AH$1001,0),1)&gt;=100000,INDEX($AO$1005:$BQ$1005,1,MATCH(COLUMNS($AO$1006:AP1006),$AO$1006:$BQ$1006,0))&gt;=100000), " ",IF(INDEX($AO$2:$BQ$1001,MATCH(ROWS($AH$2:AH99),$AH$2:$AH$1001,0),MATCH(COLUMNS($AO$1006:AP1006),$AO$1006:$BQ$1006,0)), HYPERLINK("#",""), HYPERLINK(CONCATENATE("#Metadata!", ADDRESS(INDEX($AJ$2:$AJ$1001,MATCH(ROWS($AH$2:AH99),$AH$2:$AH$1001,0),0), INDEX($AO$1004:$BQ$1004,1,MATCH(COLUMNS($AO$1006:AP1006),$AO$1006:$BQ$1006,0)))),"Fix")))</f>
        <v>#N/A</v>
      </c>
      <c r="D99" s="5" t="e">
        <f ca="1">IF(OR(INDEX($AI$2:$AI$1001,MATCH(ROWS($AH$2:AH99),$AH$2:$AH$1001,0),1)&gt;=100000,INDEX($AO$1005:$BQ$1005,1,MATCH(COLUMNS($AO$1006:AQ1006),$AO$1006:$BQ$1006,0))&gt;=100000), " ",IF(INDEX($AO$2:$BQ$1001,MATCH(ROWS($AH$2:AH99),$AH$2:$AH$1001,0),MATCH(COLUMNS($AO$1006:AQ1006),$AO$1006:$BQ$1006,0)), HYPERLINK("#",""), HYPERLINK(CONCATENATE("#Metadata!", ADDRESS(INDEX($AJ$2:$AJ$1001,MATCH(ROWS($AH$2:AH99),$AH$2:$AH$1001,0),0), INDEX($AO$1004:$BQ$1004,1,MATCH(COLUMNS($AO$1006:AQ1006),$AO$1006:$BQ$1006,0)))),"Fix")))</f>
        <v>#N/A</v>
      </c>
      <c r="E99" s="5" t="e">
        <f ca="1">IF(OR(INDEX($AI$2:$AI$1001,MATCH(ROWS($AH$2:AH99),$AH$2:$AH$1001,0),1)&gt;=100000,INDEX($AO$1005:$BQ$1005,1,MATCH(COLUMNS($AO$1006:AR1006),$AO$1006:$BQ$1006,0))&gt;=100000), " ",IF(INDEX($AO$2:$BQ$1001,MATCH(ROWS($AH$2:AH99),$AH$2:$AH$1001,0),MATCH(COLUMNS($AO$1006:AR1006),$AO$1006:$BQ$1006,0)), HYPERLINK("#",""), HYPERLINK(CONCATENATE("#Metadata!", ADDRESS(INDEX($AJ$2:$AJ$1001,MATCH(ROWS($AH$2:AH99),$AH$2:$AH$1001,0),0), INDEX($AO$1004:$BQ$1004,1,MATCH(COLUMNS($AO$1006:AR1006),$AO$1006:$BQ$1006,0)))),"Fix")))</f>
        <v>#N/A</v>
      </c>
      <c r="F99" s="5" t="e">
        <f ca="1">IF(OR(INDEX($AI$2:$AI$1001,MATCH(ROWS($AH$2:AH99),$AH$2:$AH$1001,0),1)&gt;=100000,INDEX($AO$1005:$BQ$1005,1,MATCH(COLUMNS($AO$1006:AS1006),$AO$1006:$BQ$1006,0))&gt;=100000), " ",IF(INDEX($AO$2:$BQ$1001,MATCH(ROWS($AH$2:AH99),$AH$2:$AH$1001,0),MATCH(COLUMNS($AO$1006:AS1006),$AO$1006:$BQ$1006,0)), HYPERLINK("#",""), HYPERLINK(CONCATENATE("#Metadata!", ADDRESS(INDEX($AJ$2:$AJ$1001,MATCH(ROWS($AH$2:AH99),$AH$2:$AH$1001,0),0), INDEX($AO$1004:$BQ$1004,1,MATCH(COLUMNS($AO$1006:AS1006),$AO$1006:$BQ$1006,0)))),"Fix")))</f>
        <v>#N/A</v>
      </c>
      <c r="G99" s="5" t="e">
        <f ca="1">IF(OR(INDEX($AI$2:$AI$1001,MATCH(ROWS($AH$2:AH99),$AH$2:$AH$1001,0),1)&gt;=100000,INDEX($AO$1005:$BQ$1005,1,MATCH(COLUMNS($AO$1006:AT1006),$AO$1006:$BQ$1006,0))&gt;=100000), " ",IF(INDEX($AO$2:$BQ$1001,MATCH(ROWS($AH$2:AH99),$AH$2:$AH$1001,0),MATCH(COLUMNS($AO$1006:AT1006),$AO$1006:$BQ$1006,0)), HYPERLINK("#",""), HYPERLINK(CONCATENATE("#Metadata!", ADDRESS(INDEX($AJ$2:$AJ$1001,MATCH(ROWS($AH$2:AH99),$AH$2:$AH$1001,0),0), INDEX($AO$1004:$BQ$1004,1,MATCH(COLUMNS($AO$1006:AT1006),$AO$1006:$BQ$1006,0)))),"Fix")))</f>
        <v>#N/A</v>
      </c>
      <c r="H99" s="5" t="e">
        <f ca="1">IF(OR(INDEX($AI$2:$AI$1001,MATCH(ROWS($AH$2:AH99),$AH$2:$AH$1001,0),1)&gt;=100000,INDEX($AO$1005:$BQ$1005,1,MATCH(COLUMNS($AO$1006:AU1006),$AO$1006:$BQ$1006,0))&gt;=100000), " ",IF(INDEX($AO$2:$BQ$1001,MATCH(ROWS($AH$2:AH99),$AH$2:$AH$1001,0),MATCH(COLUMNS($AO$1006:AU1006),$AO$1006:$BQ$1006,0)), HYPERLINK("#",""), HYPERLINK(CONCATENATE("#Metadata!", ADDRESS(INDEX($AJ$2:$AJ$1001,MATCH(ROWS($AH$2:AH99),$AH$2:$AH$1001,0),0), INDEX($AO$1004:$BQ$1004,1,MATCH(COLUMNS($AO$1006:AU1006),$AO$1006:$BQ$1006,0)))),"Fix")))</f>
        <v>#N/A</v>
      </c>
      <c r="I99" s="5" t="e">
        <f ca="1">IF(OR(INDEX($AI$2:$AI$1001,MATCH(ROWS($AH$2:AH99),$AH$2:$AH$1001,0),1)&gt;=100000,INDEX($AO$1005:$BQ$1005,1,MATCH(COLUMNS($AO$1006:AV1006),$AO$1006:$BQ$1006,0))&gt;=100000), " ",IF(INDEX($AO$2:$BQ$1001,MATCH(ROWS($AH$2:AH99),$AH$2:$AH$1001,0),MATCH(COLUMNS($AO$1006:AV1006),$AO$1006:$BQ$1006,0)), HYPERLINK("#",""), HYPERLINK(CONCATENATE("#Metadata!", ADDRESS(INDEX($AJ$2:$AJ$1001,MATCH(ROWS($AH$2:AH99),$AH$2:$AH$1001,0),0), INDEX($AO$1004:$BQ$1004,1,MATCH(COLUMNS($AO$1006:AV1006),$AO$1006:$BQ$1006,0)))),"Fix")))</f>
        <v>#N/A</v>
      </c>
      <c r="J99" s="5" t="e">
        <f ca="1">IF(OR(INDEX($AI$2:$AI$1001,MATCH(ROWS($AH$2:AH99),$AH$2:$AH$1001,0),1)&gt;=100000,INDEX($AO$1005:$BQ$1005,1,MATCH(COLUMNS($AO$1006:AW1006),$AO$1006:$BQ$1006,0))&gt;=100000), " ",IF(INDEX($AO$2:$BQ$1001,MATCH(ROWS($AH$2:AH99),$AH$2:$AH$1001,0),MATCH(COLUMNS($AO$1006:AW1006),$AO$1006:$BQ$1006,0)), HYPERLINK("#",""), HYPERLINK(CONCATENATE("#Metadata!", ADDRESS(INDEX($AJ$2:$AJ$1001,MATCH(ROWS($AH$2:AH99),$AH$2:$AH$1001,0),0), INDEX($AO$1004:$BQ$1004,1,MATCH(COLUMNS($AO$1006:AW1006),$AO$1006:$BQ$1006,0)))),"Fix")))</f>
        <v>#N/A</v>
      </c>
      <c r="K99" s="5" t="e">
        <f ca="1">IF(OR(INDEX($AI$2:$AI$1001,MATCH(ROWS($AH$2:AH99),$AH$2:$AH$1001,0),1)&gt;=100000,INDEX($AO$1005:$BQ$1005,1,MATCH(COLUMNS($AO$1006:AX1006),$AO$1006:$BQ$1006,0))&gt;=100000), " ",IF(INDEX($AO$2:$BQ$1001,MATCH(ROWS($AH$2:AH99),$AH$2:$AH$1001,0),MATCH(COLUMNS($AO$1006:AX1006),$AO$1006:$BQ$1006,0)), HYPERLINK("#",""), HYPERLINK(CONCATENATE("#Metadata!", ADDRESS(INDEX($AJ$2:$AJ$1001,MATCH(ROWS($AH$2:AH99),$AH$2:$AH$1001,0),0), INDEX($AO$1004:$BQ$1004,1,MATCH(COLUMNS($AO$1006:AX1006),$AO$1006:$BQ$1006,0)))),"Fix")))</f>
        <v>#N/A</v>
      </c>
      <c r="L99" s="5" t="e">
        <f ca="1">IF(OR(INDEX($AI$2:$AI$1001,MATCH(ROWS($AH$2:AH99),$AH$2:$AH$1001,0),1)&gt;=100000,INDEX($AO$1005:$BQ$1005,1,MATCH(COLUMNS($AO$1006:AY1006),$AO$1006:$BQ$1006,0))&gt;=100000), " ",IF(INDEX($AO$2:$BQ$1001,MATCH(ROWS($AH$2:AH99),$AH$2:$AH$1001,0),MATCH(COLUMNS($AO$1006:AY1006),$AO$1006:$BQ$1006,0)), HYPERLINK("#",""), HYPERLINK(CONCATENATE("#Metadata!", ADDRESS(INDEX($AJ$2:$AJ$1001,MATCH(ROWS($AH$2:AH99),$AH$2:$AH$1001,0),0), INDEX($AO$1004:$BQ$1004,1,MATCH(COLUMNS($AO$1006:AY1006),$AO$1006:$BQ$1006,0)))),"Fix")))</f>
        <v>#N/A</v>
      </c>
      <c r="M99" s="5" t="e">
        <f ca="1">IF(OR(INDEX($AI$2:$AI$1001,MATCH(ROWS($AH$2:AH99),$AH$2:$AH$1001,0),1)&gt;=100000,INDEX($AO$1005:$BQ$1005,1,MATCH(COLUMNS($AO$1006:AZ1006),$AO$1006:$BQ$1006,0))&gt;=100000), " ",IF(INDEX($AO$2:$BQ$1001,MATCH(ROWS($AH$2:AH99),$AH$2:$AH$1001,0),MATCH(COLUMNS($AO$1006:AZ1006),$AO$1006:$BQ$1006,0)), HYPERLINK("#",""), HYPERLINK(CONCATENATE("#Metadata!", ADDRESS(INDEX($AJ$2:$AJ$1001,MATCH(ROWS($AH$2:AH99),$AH$2:$AH$1001,0),0), INDEX($AO$1004:$BQ$1004,1,MATCH(COLUMNS($AO$1006:AZ1006),$AO$1006:$BQ$1006,0)))),"Fix")))</f>
        <v>#N/A</v>
      </c>
      <c r="N99" s="5" t="e">
        <f ca="1">IF(OR(INDEX($AI$2:$AI$1001,MATCH(ROWS($AH$2:AH99),$AH$2:$AH$1001,0),1)&gt;=100000,INDEX($AO$1005:$BQ$1005,1,MATCH(COLUMNS($AO$1006:BA1006),$AO$1006:$BQ$1006,0))&gt;=100000), " ",IF(INDEX($AO$2:$BQ$1001,MATCH(ROWS($AH$2:AH99),$AH$2:$AH$1001,0),MATCH(COLUMNS($AO$1006:BA1006),$AO$1006:$BQ$1006,0)), HYPERLINK("#",""), HYPERLINK(CONCATENATE("#Metadata!", ADDRESS(INDEX($AJ$2:$AJ$1001,MATCH(ROWS($AH$2:AH99),$AH$2:$AH$1001,0),0), INDEX($AO$1004:$BQ$1004,1,MATCH(COLUMNS($AO$1006:BA1006),$AO$1006:$BQ$1006,0)))),"Fix")))</f>
        <v>#N/A</v>
      </c>
      <c r="O99" s="5" t="e">
        <f ca="1">IF(OR(INDEX($AI$2:$AI$1001,MATCH(ROWS($AH$2:AH99),$AH$2:$AH$1001,0),1)&gt;=100000,INDEX($AO$1005:$BQ$1005,1,MATCH(COLUMNS($AO$1006:BB1006),$AO$1006:$BQ$1006,0))&gt;=100000), " ",IF(INDEX($AO$2:$BQ$1001,MATCH(ROWS($AH$2:AH99),$AH$2:$AH$1001,0),MATCH(COLUMNS($AO$1006:BB1006),$AO$1006:$BQ$1006,0)), HYPERLINK("#",""), HYPERLINK(CONCATENATE("#Metadata!", ADDRESS(INDEX($AJ$2:$AJ$1001,MATCH(ROWS($AH$2:AH99),$AH$2:$AH$1001,0),0), INDEX($AO$1004:$BQ$1004,1,MATCH(COLUMNS($AO$1006:BB1006),$AO$1006:$BQ$1006,0)))),"Fix")))</f>
        <v>#N/A</v>
      </c>
      <c r="P99" s="5" t="e">
        <f ca="1">IF(OR(INDEX($AI$2:$AI$1001,MATCH(ROWS($AH$2:AH99),$AH$2:$AH$1001,0),1)&gt;=100000,INDEX($AO$1005:$BQ$1005,1,MATCH(COLUMNS($AO$1006:BC1006),$AO$1006:$BQ$1006,0))&gt;=100000), " ",IF(INDEX($AO$2:$BQ$1001,MATCH(ROWS($AH$2:AH99),$AH$2:$AH$1001,0),MATCH(COLUMNS($AO$1006:BC1006),$AO$1006:$BQ$1006,0)), HYPERLINK("#",""), HYPERLINK(CONCATENATE("#Metadata!", ADDRESS(INDEX($AJ$2:$AJ$1001,MATCH(ROWS($AH$2:AH99),$AH$2:$AH$1001,0),0), INDEX($AO$1004:$BQ$1004,1,MATCH(COLUMNS($AO$1006:BC1006),$AO$1006:$BQ$1006,0)))),"Fix")))</f>
        <v>#N/A</v>
      </c>
      <c r="Q99" s="5" t="e">
        <f ca="1">IF(OR(INDEX($AI$2:$AI$1001,MATCH(ROWS($AH$2:AH99),$AH$2:$AH$1001,0),1)&gt;=100000,INDEX($AO$1005:$BQ$1005,1,MATCH(COLUMNS($AO$1006:BD1006),$AO$1006:$BQ$1006,0))&gt;=100000), " ",IF(INDEX($AO$2:$BQ$1001,MATCH(ROWS($AH$2:AH99),$AH$2:$AH$1001,0),MATCH(COLUMNS($AO$1006:BD1006),$AO$1006:$BQ$1006,0)), HYPERLINK("#",""), HYPERLINK(CONCATENATE("#Metadata!", ADDRESS(INDEX($AJ$2:$AJ$1001,MATCH(ROWS($AH$2:AH99),$AH$2:$AH$1001,0),0), INDEX($AO$1004:$BQ$1004,1,MATCH(COLUMNS($AO$1006:BD1006),$AO$1006:$BQ$1006,0)))),"Fix")))</f>
        <v>#N/A</v>
      </c>
      <c r="R99" s="5" t="e">
        <f ca="1">IF(OR(INDEX($AI$2:$AI$1001,MATCH(ROWS($AH$2:AH99),$AH$2:$AH$1001,0),1)&gt;=100000,INDEX($AO$1005:$BQ$1005,1,MATCH(COLUMNS($AO$1006:BE1006),$AO$1006:$BQ$1006,0))&gt;=100000), " ",IF(INDEX($AO$2:$BQ$1001,MATCH(ROWS($AH$2:AH99),$AH$2:$AH$1001,0),MATCH(COLUMNS($AO$1006:BE1006),$AO$1006:$BQ$1006,0)), HYPERLINK("#",""), HYPERLINK(CONCATENATE("#Metadata!", ADDRESS(INDEX($AJ$2:$AJ$1001,MATCH(ROWS($AH$2:AH99),$AH$2:$AH$1001,0),0), INDEX($AO$1004:$BQ$1004,1,MATCH(COLUMNS($AO$1006:BE1006),$AO$1006:$BQ$1006,0)))),"Fix")))</f>
        <v>#N/A</v>
      </c>
      <c r="S99" s="5" t="e">
        <f ca="1">IF(OR(INDEX($AI$2:$AI$1001,MATCH(ROWS($AH$2:AH99),$AH$2:$AH$1001,0),1)&gt;=100000,INDEX($AO$1005:$BQ$1005,1,MATCH(COLUMNS($AO$1006:BF1006),$AO$1006:$BQ$1006,0))&gt;=100000), " ",IF(INDEX($AO$2:$BQ$1001,MATCH(ROWS($AH$2:AH99),$AH$2:$AH$1001,0),MATCH(COLUMNS($AO$1006:BF1006),$AO$1006:$BQ$1006,0)), HYPERLINK("#",""), HYPERLINK(CONCATENATE("#Metadata!", ADDRESS(INDEX($AJ$2:$AJ$1001,MATCH(ROWS($AH$2:AH99),$AH$2:$AH$1001,0),0), INDEX($AO$1004:$BQ$1004,1,MATCH(COLUMNS($AO$1006:BF1006),$AO$1006:$BQ$1006,0)))),"Fix")))</f>
        <v>#N/A</v>
      </c>
      <c r="T99" s="5" t="e">
        <f ca="1">IF(OR(INDEX($AI$2:$AI$1001,MATCH(ROWS($AH$2:AH99),$AH$2:$AH$1001,0),1)&gt;=100000,INDEX($AO$1005:$BQ$1005,1,MATCH(COLUMNS($AO$1006:BG1006),$AO$1006:$BQ$1006,0))&gt;=100000), " ",IF(INDEX($AO$2:$BQ$1001,MATCH(ROWS($AH$2:AH99),$AH$2:$AH$1001,0),MATCH(COLUMNS($AO$1006:BG1006),$AO$1006:$BQ$1006,0)), HYPERLINK("#",""), HYPERLINK(CONCATENATE("#Metadata!", ADDRESS(INDEX($AJ$2:$AJ$1001,MATCH(ROWS($AH$2:AH99),$AH$2:$AH$1001,0),0), INDEX($AO$1004:$BQ$1004,1,MATCH(COLUMNS($AO$1006:BG1006),$AO$1006:$BQ$1006,0)))),"Fix")))</f>
        <v>#N/A</v>
      </c>
      <c r="U99" s="5" t="e">
        <f ca="1">IF(OR(INDEX($AI$2:$AI$1001,MATCH(ROWS($AH$2:AH99),$AH$2:$AH$1001,0),1)&gt;=100000,INDEX($AO$1005:$BQ$1005,1,MATCH(COLUMNS($AO$1006:BH1006),$AO$1006:$BQ$1006,0))&gt;=100000), " ",IF(INDEX($AO$2:$BQ$1001,MATCH(ROWS($AH$2:AH99),$AH$2:$AH$1001,0),MATCH(COLUMNS($AO$1006:BH1006),$AO$1006:$BQ$1006,0)), HYPERLINK("#",""), HYPERLINK(CONCATENATE("#Metadata!", ADDRESS(INDEX($AJ$2:$AJ$1001,MATCH(ROWS($AH$2:AH99),$AH$2:$AH$1001,0),0), INDEX($AO$1004:$BQ$1004,1,MATCH(COLUMNS($AO$1006:BH1006),$AO$1006:$BQ$1006,0)))),"Fix")))</f>
        <v>#N/A</v>
      </c>
      <c r="V99" s="5" t="e">
        <f ca="1">IF(OR(INDEX($AI$2:$AI$1001,MATCH(ROWS($AH$2:AH99),$AH$2:$AH$1001,0),1)&gt;=100000,INDEX($AO$1005:$BQ$1005,1,MATCH(COLUMNS($AO$1006:BI1006),$AO$1006:$BQ$1006,0))&gt;=100000), " ",IF(INDEX($AO$2:$BQ$1001,MATCH(ROWS($AH$2:AH99),$AH$2:$AH$1001,0),MATCH(COLUMNS($AO$1006:BI1006),$AO$1006:$BQ$1006,0)), HYPERLINK("#",""), HYPERLINK(CONCATENATE("#Metadata!", ADDRESS(INDEX($AJ$2:$AJ$1001,MATCH(ROWS($AH$2:AH99),$AH$2:$AH$1001,0),0), INDEX($AO$1004:$BQ$1004,1,MATCH(COLUMNS($AO$1006:BI1006),$AO$1006:$BQ$1006,0)))),"Fix")))</f>
        <v>#N/A</v>
      </c>
      <c r="W99" s="5" t="e">
        <f ca="1">IF(OR(INDEX($AI$2:$AI$1001,MATCH(ROWS($AH$2:AH99),$AH$2:$AH$1001,0),1)&gt;=100000,INDEX($AO$1005:$BQ$1005,1,MATCH(COLUMNS($AO$1006:BJ1006),$AO$1006:$BQ$1006,0))&gt;=100000), " ",IF(INDEX($AO$2:$BQ$1001,MATCH(ROWS($AH$2:AH99),$AH$2:$AH$1001,0),MATCH(COLUMNS($AO$1006:BJ1006),$AO$1006:$BQ$1006,0)), HYPERLINK("#",""), HYPERLINK(CONCATENATE("#Metadata!", ADDRESS(INDEX($AJ$2:$AJ$1001,MATCH(ROWS($AH$2:AH99),$AH$2:$AH$1001,0),0), INDEX($AO$1004:$BQ$1004,1,MATCH(COLUMNS($AO$1006:BJ1006),$AO$1006:$BQ$1006,0)))),"Fix")))</f>
        <v>#N/A</v>
      </c>
      <c r="X99" s="5" t="e">
        <f ca="1">IF(OR(INDEX($AI$2:$AI$1001,MATCH(ROWS($AH$2:AH99),$AH$2:$AH$1001,0),1)&gt;=100000,INDEX($AO$1005:$BQ$1005,1,MATCH(COLUMNS($AO$1006:BK1006),$AO$1006:$BQ$1006,0))&gt;=100000), " ",IF(INDEX($AO$2:$BQ$1001,MATCH(ROWS($AH$2:AH99),$AH$2:$AH$1001,0),MATCH(COLUMNS($AO$1006:BK1006),$AO$1006:$BQ$1006,0)), HYPERLINK("#",""), HYPERLINK(CONCATENATE("#Metadata!", ADDRESS(INDEX($AJ$2:$AJ$1001,MATCH(ROWS($AH$2:AH99),$AH$2:$AH$1001,0),0), INDEX($AO$1004:$BQ$1004,1,MATCH(COLUMNS($AO$1006:BK1006),$AO$1006:$BQ$1006,0)))),"Fix")))</f>
        <v>#N/A</v>
      </c>
      <c r="Y99" s="5" t="e">
        <f ca="1">IF(OR(INDEX($AI$2:$AI$1001,MATCH(ROWS($AH$2:AH99),$AH$2:$AH$1001,0),1)&gt;=100000,INDEX($AO$1005:$BQ$1005,1,MATCH(COLUMNS($AO$1006:BL1006),$AO$1006:$BQ$1006,0))&gt;=100000), " ",IF(INDEX($AO$2:$BQ$1001,MATCH(ROWS($AH$2:AH99),$AH$2:$AH$1001,0),MATCH(COLUMNS($AO$1006:BL1006),$AO$1006:$BQ$1006,0)), HYPERLINK("#",""), HYPERLINK(CONCATENATE("#Metadata!", ADDRESS(INDEX($AJ$2:$AJ$1001,MATCH(ROWS($AH$2:AH99),$AH$2:$AH$1001,0),0), INDEX($AO$1004:$BQ$1004,1,MATCH(COLUMNS($AO$1006:BL1006),$AO$1006:$BQ$1006,0)))),"Fix")))</f>
        <v>#N/A</v>
      </c>
      <c r="Z99" s="5" t="e">
        <f ca="1">IF(OR(INDEX($AI$2:$AI$1001,MATCH(ROWS($AH$2:AH99),$AH$2:$AH$1001,0),1)&gt;=100000,INDEX($AO$1005:$BQ$1005,1,MATCH(COLUMNS($AO$1006:BM1006),$AO$1006:$BQ$1006,0))&gt;=100000), " ",IF(INDEX($AO$2:$BQ$1001,MATCH(ROWS($AH$2:AH99),$AH$2:$AH$1001,0),MATCH(COLUMNS($AO$1006:BM1006),$AO$1006:$BQ$1006,0)), HYPERLINK("#",""), HYPERLINK(CONCATENATE("#Metadata!", ADDRESS(INDEX($AJ$2:$AJ$1001,MATCH(ROWS($AH$2:AH99),$AH$2:$AH$1001,0),0), INDEX($AO$1004:$BQ$1004,1,MATCH(COLUMNS($AO$1006:BM1006),$AO$1006:$BQ$1006,0)))),"Fix")))</f>
        <v>#N/A</v>
      </c>
      <c r="AA99" s="5" t="e">
        <f ca="1">IF(OR(INDEX($AI$2:$AI$1001,MATCH(ROWS($AH$2:AH99),$AH$2:$AH$1001,0),1)&gt;=100000,INDEX($AO$1005:$BQ$1005,1,MATCH(COLUMNS($AO$1006:BN1006),$AO$1006:$BQ$1006,0))&gt;=100000), " ",IF(INDEX($AO$2:$BQ$1001,MATCH(ROWS($AH$2:AH99),$AH$2:$AH$1001,0),MATCH(COLUMNS($AO$1006:BN1006),$AO$1006:$BQ$1006,0)), HYPERLINK("#",""), HYPERLINK(CONCATENATE("#Metadata!", ADDRESS(INDEX($AJ$2:$AJ$1001,MATCH(ROWS($AH$2:AH99),$AH$2:$AH$1001,0),0), INDEX($AO$1004:$BQ$1004,1,MATCH(COLUMNS($AO$1006:BN1006),$AO$1006:$BQ$1006,0)))),"Fix")))</f>
        <v>#N/A</v>
      </c>
      <c r="AB99" s="5" t="e">
        <f ca="1">IF(OR(INDEX($AI$2:$AI$1001,MATCH(ROWS($AH$2:AH99),$AH$2:$AH$1001,0),1)&gt;=100000,INDEX($AO$1005:$BQ$1005,1,MATCH(COLUMNS($AO$1006:BO1006),$AO$1006:$BQ$1006,0))&gt;=100000), " ",IF(INDEX($AO$2:$BQ$1001,MATCH(ROWS($AH$2:AH99),$AH$2:$AH$1001,0),MATCH(COLUMNS($AO$1006:BO1006),$AO$1006:$BQ$1006,0)), HYPERLINK("#",""), HYPERLINK(CONCATENATE("#Metadata!", ADDRESS(INDEX($AJ$2:$AJ$1001,MATCH(ROWS($AH$2:AH99),$AH$2:$AH$1001,0),0), INDEX($AO$1004:$BQ$1004,1,MATCH(COLUMNS($AO$1006:BO1006),$AO$1006:$BQ$1006,0)))),"Fix")))</f>
        <v>#N/A</v>
      </c>
      <c r="AC99" s="5" t="e">
        <f ca="1">IF(OR(INDEX($AI$2:$AI$1001,MATCH(ROWS($AH$2:AH99),$AH$2:$AH$1001,0),1)&gt;=100000,INDEX($AO$1005:$BQ$1005,1,MATCH(COLUMNS($AO$1006:BP1006),$AO$1006:$BQ$1006,0))&gt;=100000), " ",IF(INDEX($AO$2:$BQ$1001,MATCH(ROWS($AH$2:AH99),$AH$2:$AH$1001,0),MATCH(COLUMNS($AO$1006:BP1006),$AO$1006:$BQ$1006,0)), HYPERLINK("#",""), HYPERLINK(CONCATENATE("#Metadata!", ADDRESS(INDEX($AJ$2:$AJ$1001,MATCH(ROWS($AH$2:AH99),$AH$2:$AH$1001,0),0), INDEX($AO$1004:$BQ$1004,1,MATCH(COLUMNS($AO$1006:BP1006),$AO$1006:$BQ$1006,0)))),"Fix")))</f>
        <v>#N/A</v>
      </c>
      <c r="AD99" s="5" t="e">
        <f ca="1">IF(OR(INDEX($AI$2:$AI$1001,MATCH(ROWS($AH$2:AH99),$AH$2:$AH$1001,0),1)&gt;=100000,INDEX($AO$1005:$BQ$1005,1,MATCH(COLUMNS($AO$1006:BQ1006),$AO$1006:$BQ$1006,0))&gt;=100000), " ",IF(INDEX($AO$2:$BQ$1001,MATCH(ROWS($AH$2:AH99),$AH$2:$AH$1001,0),MATCH(COLUMNS($AO$1006:BQ1006),$AO$1006:$BQ$1006,0)), HYPERLINK("#",""), HYPERLINK(CONCATENATE("#Metadata!", ADDRESS(INDEX($AJ$2:$AJ$1001,MATCH(ROWS($AH$2:AH99),$AH$2:$AH$1001,0),0), INDEX($AO$1004:$BQ$1004,1,MATCH(COLUMNS($AO$1006:BQ1006),$AO$1006:$BQ$1006,0)))),"Fix")))</f>
        <v>#REF!</v>
      </c>
      <c r="AH99">
        <f ca="1"/>
        <v>96</v>
      </c>
      <c r="AI99">
        <v>100099</v>
      </c>
      <c r="AJ99">
        <v>99</v>
      </c>
      <c r="AK99" t="b">
        <f t="shared" si="1"/>
        <v>1</v>
      </c>
      <c r="AL99" t="b">
        <f>COUNTBLANK(Metadata!B99:AD99)=COLUMNS(Metadata!B99:AD99)</f>
        <v>1</v>
      </c>
      <c r="AM99" t="str">
        <v/>
      </c>
      <c r="AO99" t="b">
        <f ca="1">AND(IF(Metadata!B99="",FALSE,TRUE),COUNTIF(Metadata!B:B, Metadata!B99) = 1,NOT(ISERROR(SUMPRODUCT(SEARCH(MID(Metadata!B99,ROW(INDIRECT("1:"&amp;LEN(Metadata!B99))), 1),"0123456789abcdefghijklmnopqrstuvwxyzABCDEFGHIJKLMNOPQRSTUVWXYZ.")))))</f>
        <v>0</v>
      </c>
      <c r="AP99" t="b">
        <f>IF(Metadata!C99="",FALSE,TRUE)</f>
        <v>0</v>
      </c>
      <c r="AQ99" t="b">
        <f>IF(Metadata!D99="",FALSE,TRUE)</f>
        <v>0</v>
      </c>
      <c r="AR99" t="b">
        <f ca="1">OR(AND(IF(Metadata!E99="",FALSE,TRUE),OR(EXACT(Metadata!E99,"not collected"),EXACT(Metadata!E99,"not provided"),EXACT(Metadata!E99,"restricted access"))),AND(IF(Metadata!E99="",FALSE,TRUE),AND(AND(IFERROR(INT(LEFT(Metadata!E99,4))&gt;1900,FALSE),IFERROR(INT(LEFT(Metadata!E99,4))&lt;=YEAR(NOW()),FALSE)), OR(MID(Metadata!E99,5,1)="", AND(AND(MID(Metadata!E99,5,1)="-",IFERROR(INT(MID(Metadata!E99,6,1))&gt;=0,FALSE),IFERROR(INT(MID(Metadata!E99,6,1))&lt;=1,FALSE),NOT(MID(Metadata!E99,7,1)=""),IFERROR(INT(MID(Metadata!E99,6,2))&gt;=1,FALSE),IFERROR(INT(MID(Metadata!E99,6,2))&lt;=12,FALSE)), OR(MID(Metadata!E99,8,1)="", AND(AND(MID(Metadata!E99,8,1)="-",IFERROR(INT(MID(Metadata!E99,9,1))&gt;=0,FALSE),IFERROR(INT(MID(Metadata!E99,9,1))&lt;=3,FALSE),NOT(MID(Metadata!E99,10,1)=""),IFERROR(INT(MID(Metadata!E99,9,2))&gt;=1,FALSE),IFERROR(INT(MID(Metadata!E99,9,2))&lt;=31,FALSE)), OR(MID(Metadata!E99,11,1)="", AND(AND(MID(Metadata!E99,11,1)=" ",IFERROR(INT(MID(Metadata!E99,12,1))&gt;=0,FALSE),IFERROR(INT(MID(Metadata!E99,12,1))&lt;=2,FALSE),NOT(MID(Metadata!E99,13,1)=""),IFERROR(INT(MID(Metadata!E99,12,2))&gt;=0,FALSE),IFERROR(INT(MID(Metadata!E99,12,2))&lt;=23,FALSE)), OR(MID(Metadata!E99,14,1)="", AND(AND(MID(Metadata!E99,14,1)=":",IFERROR(INT(MID(Metadata!E99,15,1))&gt;=0,FALSE),IFERROR(INT(MID(Metadata!E99,15,1))&lt;=5,FALSE),NOT(MID(Metadata!E99,16,1)=""),IFERROR(INT(MID(Metadata!E99,15,2))&gt;=0,FALSE),IFERROR(INT(MID(Metadata!E99,15,2))&lt;=59,FALSE)), OR(MID(Metadata!E99,17,1)="", AND(AND(MID(Metadata!E99,17,1)=":",IFERROR(INT(MID(Metadata!E99,18,1))&gt;=0,FALSE),IFERROR(INT(MID(Metadata!E99,18,1))&lt;=5,FALSE),NOT(MID(Metadata!E99,19,1)=""),IFERROR(INT(MID(Metadata!E99,18,2))&gt;=0,FALSE),IFERROR(INT(MID(Metadata!E99,18,2))&lt;=59,FALSE)), LEN(Metadata!E99)&lt;=19)))))))))))))</f>
        <v>0</v>
      </c>
      <c r="AS99" t="b">
        <f>IF(Metadata!F99="",FALSE,TRUE)</f>
        <v>0</v>
      </c>
      <c r="AT99" t="b">
        <f>OR(AND(IF(Metadata!G99="",FALSE,TRUE),OR(EXACT(Metadata!G99,"not collected"),EXACT(Metadata!G99,"not provided"))),AND(IF(Metadata!G99="",FALSE,TRUE),OR(EXACT(Metadata!G99,"TRUE"),EXACT(Metadata!G99,"FALSE"))))</f>
        <v>0</v>
      </c>
      <c r="AU99" t="b">
        <f>OR(AND(IF(Metadata!H99="",FALSE,TRUE),OR(EXACT(Metadata!H99,"not collected"),EXACT(Metadata!H99,"not provided"),EXACT(Metadata!H99,"restricted access"))),AND(IF(Metadata!H99="",FALSE,ISNUMBER(VALUE(Metadata!H99))),Metadata!H99&gt;=-413))</f>
        <v>0</v>
      </c>
      <c r="AV99" t="b">
        <f>AND(IF(Metadata!I99="",FALSE,TRUE),EXACT(Metadata!I99,"meters"))</f>
        <v>0</v>
      </c>
      <c r="AW99" t="b">
        <f>AND(IF(Metadata!J99="",FALSE,TRUE),EXACT(Metadata!J99,"free-living"))</f>
        <v>0</v>
      </c>
      <c r="AX99" t="b">
        <f>AND(IF(Metadata!K99="",FALSE,TRUE),OR(EXACT(Metadata!K99,"saline"),EXACT(Metadata!K99,"non-saline")))</f>
        <v>0</v>
      </c>
      <c r="AY99" t="b">
        <f>AND(IF(Metadata!L99="",FALSE,TRUE),OR(EXACT(Metadata!L99,"sub-surface (non-saline)"),EXACT(Metadata!L99,"surface (non-saline)"),EXACT(Metadata!L99,"water (non-saline)"),EXACT(Metadata!L99,"soil (non-saline)"),EXACT(Metadata!L99,"aerosol (non-saline)"),EXACT(Metadata!L99,"sediment (non-saline)"),EXACT(Metadata!L99,"surface (saline)"),EXACT(Metadata!L99,"water (saline)"),EXACT(Metadata!L99,"hypersaline (saline)"),EXACT(Metadata!L99,"aerosol (saline)"),EXACT(Metadata!L99,"sediment (saline)")))</f>
        <v>0</v>
      </c>
      <c r="AZ99" t="b">
        <f>IF(Metadata!M99="",FALSE,TRUE)</f>
        <v>0</v>
      </c>
      <c r="BA99" t="b">
        <f>IF(Metadata!N99="",FALSE,TRUE)</f>
        <v>0</v>
      </c>
      <c r="BB99" t="b">
        <f>IF(Metadata!O99="",FALSE,TRUE)</f>
        <v>0</v>
      </c>
      <c r="BC99" t="b">
        <f>AND(IF(Metadata!P99="",FALSE,TRUE),OR(EXACT(Metadata!P99,"air"),EXACT(Metadata!P99,"microbial mat/biofilm"),EXACT(Metadata!P99,"misc environment"),EXACT(Metadata!P99,"sediment"),EXACT(Metadata!P99,"soil"),EXACT(Metadata!P99,"wastewater/sludge"),EXACT(Metadata!P99,"water")))</f>
        <v>0</v>
      </c>
      <c r="BD99" t="b">
        <f>IF(Metadata!Q99="",FALSE,TRUE)</f>
        <v>0</v>
      </c>
      <c r="BE99" t="b">
        <f>IF(Metadata!R99="",FALSE,TRUE)</f>
        <v>0</v>
      </c>
      <c r="BF99" t="b">
        <f>OR(AND(IF(Metadata!S99="",FALSE,TRUE),OR(EXACT(Metadata!S99,"not collected"),EXACT(Metadata!S99,"not provided"),EXACT(Metadata!S99,"restricted access"))),AND(IF(Metadata!S99="",FALSE,ISNUMBER(VALUE(Metadata!S99))),Metadata!S99&gt;=-90,Metadata!S99&lt;=90))</f>
        <v>0</v>
      </c>
      <c r="BG99" t="b">
        <f>AND(IF(Metadata!T99="",FALSE,TRUE),EXACT(Metadata!T99,"Decimal degrees"))</f>
        <v>0</v>
      </c>
      <c r="BH99" t="b">
        <f>OR(AND(IF(Metadata!U99="",FALSE,TRUE),OR(EXACT(Metadata!U99,"not applicable"),EXACT(Metadata!U99,"not collected"))),IF(Metadata!U99="",FALSE,TRUE))</f>
        <v>0</v>
      </c>
      <c r="BI99" t="b">
        <f>OR(AND(IF(Metadata!V99="",FALSE,TRUE),OR(EXACT(Metadata!V99,"not collected"),EXACT(Metadata!V99,"not provided"),EXACT(Metadata!V99,"restricted access"))),AND(IF(Metadata!V99="",FALSE,ISNUMBER(VALUE(Metadata!V99))),Metadata!V99&gt;=-180,Metadata!V99&lt;=180))</f>
        <v>0</v>
      </c>
      <c r="BJ99" t="b">
        <f>AND(IF(Metadata!W99="",FALSE,TRUE),EXACT(Metadata!W99,"Decimal degrees"))</f>
        <v>0</v>
      </c>
      <c r="BK99" t="b">
        <f>IF(Metadata!X99="",FALSE,TRUE)</f>
        <v>0</v>
      </c>
      <c r="BL99" t="b">
        <f>OR(AND(IF(Metadata!Y99="",FALSE,TRUE),OR(EXACT(Metadata!Y99,"not collected"),EXACT(Metadata!Y99,"not provided"),EXACT(Metadata!Y99,"restricted access"))),AND(IF(Metadata!Y99="",FALSE,TRUE),OR(EXACT(Metadata!Y99,"TRUE"),EXACT(Metadata!Y99,"FALSE"))))</f>
        <v>0</v>
      </c>
      <c r="BM99" t="b">
        <f>OR(AND(IF(Metadata!Z99="",FALSE,TRUE),EXACT(Metadata!Z99,"not applicable")),AND(IF(Metadata!Z99="",FALSE,TRUE),OR(EXACT(Metadata!Z99,"beer"),EXACT(Metadata!Z99,"cheese"),EXACT(Metadata!Z99,"fresh water"),EXACT(Metadata!Z99,"marine sediment"),EXACT(Metadata!Z99,"sea water"),EXACT(Metadata!Z99,"sediment"),EXACT(Metadata!Z99,"soil"),EXACT(Metadata!Z99,"waste water"))))</f>
        <v>0</v>
      </c>
      <c r="BN99" t="b">
        <f>AND(IF(Metadata!AA99="",FALSE,TRUE),EXACT(Metadata!AA99,"metagenome"))</f>
        <v>0</v>
      </c>
      <c r="BO99" t="b">
        <f>AND(IF(Metadata!AB99="",FALSE,TRUE),EXACT(Metadata!AB99,"256318"))</f>
        <v>0</v>
      </c>
      <c r="BP99" t="b">
        <f>IF(Metadata!AC99="",FALSE,TRUE)</f>
        <v>0</v>
      </c>
      <c r="BQ99" t="b">
        <f>IF(Metadata!AD99="",FALSE,TRUE)</f>
        <v>0</v>
      </c>
    </row>
    <row r="100" spans="1:69" x14ac:dyDescent="0.2">
      <c r="A100" s="4" t="e">
        <f ca="1">IF(B100=" "," ",HYPERLINK(CONCATENATE("#metadata!",ADDRESS(INDEX($AJ$2:$AJ$1001,MATCH(ROWS($AH$2:AH100),$AH$2:$AH$1001,0),0),2)),INDEX($AM$2:$AM$1001,MATCH(ROWS($AH$2:AH100),$AH$2:$AH$1001,0),0)))</f>
        <v>#N/A</v>
      </c>
      <c r="B100" s="5" t="e">
        <f ca="1">IF(OR(INDEX($AI$2:$AI$1001,MATCH(ROWS($AH$2:AH100),$AH$2:$AH$1001,0),1)&gt;=100000,INDEX($AO$1005:$BQ$1005,1,MATCH(COLUMNS($AO$1006:AO1006),$AO$1006:$BQ$1006,0))&gt;=100000), " ",IF(INDEX($AO$2:$BQ$1001,MATCH(ROWS($AH$2:AH100),$AH$2:$AH$1001,0),MATCH(COLUMNS($AO$1006:AO1006),$AO$1006:$BQ$1006,0)), HYPERLINK("#",""), HYPERLINK(CONCATENATE("#Metadata!", ADDRESS(INDEX($AJ$2:$AJ$1001,MATCH(ROWS($AH$2:AH100),$AH$2:$AH$1001,0),0), INDEX($AO$1004:$BQ$1004,1,MATCH(COLUMNS($AO$1006:AO1006),$AO$1006:$BQ$1006,0)))),"Fix")))</f>
        <v>#N/A</v>
      </c>
      <c r="C100" s="5" t="e">
        <f ca="1">IF(OR(INDEX($AI$2:$AI$1001,MATCH(ROWS($AH$2:AH100),$AH$2:$AH$1001,0),1)&gt;=100000,INDEX($AO$1005:$BQ$1005,1,MATCH(COLUMNS($AO$1006:AP1006),$AO$1006:$BQ$1006,0))&gt;=100000), " ",IF(INDEX($AO$2:$BQ$1001,MATCH(ROWS($AH$2:AH100),$AH$2:$AH$1001,0),MATCH(COLUMNS($AO$1006:AP1006),$AO$1006:$BQ$1006,0)), HYPERLINK("#",""), HYPERLINK(CONCATENATE("#Metadata!", ADDRESS(INDEX($AJ$2:$AJ$1001,MATCH(ROWS($AH$2:AH100),$AH$2:$AH$1001,0),0), INDEX($AO$1004:$BQ$1004,1,MATCH(COLUMNS($AO$1006:AP1006),$AO$1006:$BQ$1006,0)))),"Fix")))</f>
        <v>#N/A</v>
      </c>
      <c r="D100" s="5" t="e">
        <f ca="1">IF(OR(INDEX($AI$2:$AI$1001,MATCH(ROWS($AH$2:AH100),$AH$2:$AH$1001,0),1)&gt;=100000,INDEX($AO$1005:$BQ$1005,1,MATCH(COLUMNS($AO$1006:AQ1006),$AO$1006:$BQ$1006,0))&gt;=100000), " ",IF(INDEX($AO$2:$BQ$1001,MATCH(ROWS($AH$2:AH100),$AH$2:$AH$1001,0),MATCH(COLUMNS($AO$1006:AQ1006),$AO$1006:$BQ$1006,0)), HYPERLINK("#",""), HYPERLINK(CONCATENATE("#Metadata!", ADDRESS(INDEX($AJ$2:$AJ$1001,MATCH(ROWS($AH$2:AH100),$AH$2:$AH$1001,0),0), INDEX($AO$1004:$BQ$1004,1,MATCH(COLUMNS($AO$1006:AQ1006),$AO$1006:$BQ$1006,0)))),"Fix")))</f>
        <v>#N/A</v>
      </c>
      <c r="E100" s="5" t="e">
        <f ca="1">IF(OR(INDEX($AI$2:$AI$1001,MATCH(ROWS($AH$2:AH100),$AH$2:$AH$1001,0),1)&gt;=100000,INDEX($AO$1005:$BQ$1005,1,MATCH(COLUMNS($AO$1006:AR1006),$AO$1006:$BQ$1006,0))&gt;=100000), " ",IF(INDEX($AO$2:$BQ$1001,MATCH(ROWS($AH$2:AH100),$AH$2:$AH$1001,0),MATCH(COLUMNS($AO$1006:AR1006),$AO$1006:$BQ$1006,0)), HYPERLINK("#",""), HYPERLINK(CONCATENATE("#Metadata!", ADDRESS(INDEX($AJ$2:$AJ$1001,MATCH(ROWS($AH$2:AH100),$AH$2:$AH$1001,0),0), INDEX($AO$1004:$BQ$1004,1,MATCH(COLUMNS($AO$1006:AR1006),$AO$1006:$BQ$1006,0)))),"Fix")))</f>
        <v>#N/A</v>
      </c>
      <c r="F100" s="5" t="e">
        <f ca="1">IF(OR(INDEX($AI$2:$AI$1001,MATCH(ROWS($AH$2:AH100),$AH$2:$AH$1001,0),1)&gt;=100000,INDEX($AO$1005:$BQ$1005,1,MATCH(COLUMNS($AO$1006:AS1006),$AO$1006:$BQ$1006,0))&gt;=100000), " ",IF(INDEX($AO$2:$BQ$1001,MATCH(ROWS($AH$2:AH100),$AH$2:$AH$1001,0),MATCH(COLUMNS($AO$1006:AS1006),$AO$1006:$BQ$1006,0)), HYPERLINK("#",""), HYPERLINK(CONCATENATE("#Metadata!", ADDRESS(INDEX($AJ$2:$AJ$1001,MATCH(ROWS($AH$2:AH100),$AH$2:$AH$1001,0),0), INDEX($AO$1004:$BQ$1004,1,MATCH(COLUMNS($AO$1006:AS1006),$AO$1006:$BQ$1006,0)))),"Fix")))</f>
        <v>#N/A</v>
      </c>
      <c r="G100" s="5" t="e">
        <f ca="1">IF(OR(INDEX($AI$2:$AI$1001,MATCH(ROWS($AH$2:AH100),$AH$2:$AH$1001,0),1)&gt;=100000,INDEX($AO$1005:$BQ$1005,1,MATCH(COLUMNS($AO$1006:AT1006),$AO$1006:$BQ$1006,0))&gt;=100000), " ",IF(INDEX($AO$2:$BQ$1001,MATCH(ROWS($AH$2:AH100),$AH$2:$AH$1001,0),MATCH(COLUMNS($AO$1006:AT1006),$AO$1006:$BQ$1006,0)), HYPERLINK("#",""), HYPERLINK(CONCATENATE("#Metadata!", ADDRESS(INDEX($AJ$2:$AJ$1001,MATCH(ROWS($AH$2:AH100),$AH$2:$AH$1001,0),0), INDEX($AO$1004:$BQ$1004,1,MATCH(COLUMNS($AO$1006:AT1006),$AO$1006:$BQ$1006,0)))),"Fix")))</f>
        <v>#N/A</v>
      </c>
      <c r="H100" s="5" t="e">
        <f ca="1">IF(OR(INDEX($AI$2:$AI$1001,MATCH(ROWS($AH$2:AH100),$AH$2:$AH$1001,0),1)&gt;=100000,INDEX($AO$1005:$BQ$1005,1,MATCH(COLUMNS($AO$1006:AU1006),$AO$1006:$BQ$1006,0))&gt;=100000), " ",IF(INDEX($AO$2:$BQ$1001,MATCH(ROWS($AH$2:AH100),$AH$2:$AH$1001,0),MATCH(COLUMNS($AO$1006:AU1006),$AO$1006:$BQ$1006,0)), HYPERLINK("#",""), HYPERLINK(CONCATENATE("#Metadata!", ADDRESS(INDEX($AJ$2:$AJ$1001,MATCH(ROWS($AH$2:AH100),$AH$2:$AH$1001,0),0), INDEX($AO$1004:$BQ$1004,1,MATCH(COLUMNS($AO$1006:AU1006),$AO$1006:$BQ$1006,0)))),"Fix")))</f>
        <v>#N/A</v>
      </c>
      <c r="I100" s="5" t="e">
        <f ca="1">IF(OR(INDEX($AI$2:$AI$1001,MATCH(ROWS($AH$2:AH100),$AH$2:$AH$1001,0),1)&gt;=100000,INDEX($AO$1005:$BQ$1005,1,MATCH(COLUMNS($AO$1006:AV1006),$AO$1006:$BQ$1006,0))&gt;=100000), " ",IF(INDEX($AO$2:$BQ$1001,MATCH(ROWS($AH$2:AH100),$AH$2:$AH$1001,0),MATCH(COLUMNS($AO$1006:AV1006),$AO$1006:$BQ$1006,0)), HYPERLINK("#",""), HYPERLINK(CONCATENATE("#Metadata!", ADDRESS(INDEX($AJ$2:$AJ$1001,MATCH(ROWS($AH$2:AH100),$AH$2:$AH$1001,0),0), INDEX($AO$1004:$BQ$1004,1,MATCH(COLUMNS($AO$1006:AV1006),$AO$1006:$BQ$1006,0)))),"Fix")))</f>
        <v>#N/A</v>
      </c>
      <c r="J100" s="5" t="e">
        <f ca="1">IF(OR(INDEX($AI$2:$AI$1001,MATCH(ROWS($AH$2:AH100),$AH$2:$AH$1001,0),1)&gt;=100000,INDEX($AO$1005:$BQ$1005,1,MATCH(COLUMNS($AO$1006:AW1006),$AO$1006:$BQ$1006,0))&gt;=100000), " ",IF(INDEX($AO$2:$BQ$1001,MATCH(ROWS($AH$2:AH100),$AH$2:$AH$1001,0),MATCH(COLUMNS($AO$1006:AW1006),$AO$1006:$BQ$1006,0)), HYPERLINK("#",""), HYPERLINK(CONCATENATE("#Metadata!", ADDRESS(INDEX($AJ$2:$AJ$1001,MATCH(ROWS($AH$2:AH100),$AH$2:$AH$1001,0),0), INDEX($AO$1004:$BQ$1004,1,MATCH(COLUMNS($AO$1006:AW1006),$AO$1006:$BQ$1006,0)))),"Fix")))</f>
        <v>#N/A</v>
      </c>
      <c r="K100" s="5" t="e">
        <f ca="1">IF(OR(INDEX($AI$2:$AI$1001,MATCH(ROWS($AH$2:AH100),$AH$2:$AH$1001,0),1)&gt;=100000,INDEX($AO$1005:$BQ$1005,1,MATCH(COLUMNS($AO$1006:AX1006),$AO$1006:$BQ$1006,0))&gt;=100000), " ",IF(INDEX($AO$2:$BQ$1001,MATCH(ROWS($AH$2:AH100),$AH$2:$AH$1001,0),MATCH(COLUMNS($AO$1006:AX1006),$AO$1006:$BQ$1006,0)), HYPERLINK("#",""), HYPERLINK(CONCATENATE("#Metadata!", ADDRESS(INDEX($AJ$2:$AJ$1001,MATCH(ROWS($AH$2:AH100),$AH$2:$AH$1001,0),0), INDEX($AO$1004:$BQ$1004,1,MATCH(COLUMNS($AO$1006:AX1006),$AO$1006:$BQ$1006,0)))),"Fix")))</f>
        <v>#N/A</v>
      </c>
      <c r="L100" s="5" t="e">
        <f ca="1">IF(OR(INDEX($AI$2:$AI$1001,MATCH(ROWS($AH$2:AH100),$AH$2:$AH$1001,0),1)&gt;=100000,INDEX($AO$1005:$BQ$1005,1,MATCH(COLUMNS($AO$1006:AY1006),$AO$1006:$BQ$1006,0))&gt;=100000), " ",IF(INDEX($AO$2:$BQ$1001,MATCH(ROWS($AH$2:AH100),$AH$2:$AH$1001,0),MATCH(COLUMNS($AO$1006:AY1006),$AO$1006:$BQ$1006,0)), HYPERLINK("#",""), HYPERLINK(CONCATENATE("#Metadata!", ADDRESS(INDEX($AJ$2:$AJ$1001,MATCH(ROWS($AH$2:AH100),$AH$2:$AH$1001,0),0), INDEX($AO$1004:$BQ$1004,1,MATCH(COLUMNS($AO$1006:AY1006),$AO$1006:$BQ$1006,0)))),"Fix")))</f>
        <v>#N/A</v>
      </c>
      <c r="M100" s="5" t="e">
        <f ca="1">IF(OR(INDEX($AI$2:$AI$1001,MATCH(ROWS($AH$2:AH100),$AH$2:$AH$1001,0),1)&gt;=100000,INDEX($AO$1005:$BQ$1005,1,MATCH(COLUMNS($AO$1006:AZ1006),$AO$1006:$BQ$1006,0))&gt;=100000), " ",IF(INDEX($AO$2:$BQ$1001,MATCH(ROWS($AH$2:AH100),$AH$2:$AH$1001,0),MATCH(COLUMNS($AO$1006:AZ1006),$AO$1006:$BQ$1006,0)), HYPERLINK("#",""), HYPERLINK(CONCATENATE("#Metadata!", ADDRESS(INDEX($AJ$2:$AJ$1001,MATCH(ROWS($AH$2:AH100),$AH$2:$AH$1001,0),0), INDEX($AO$1004:$BQ$1004,1,MATCH(COLUMNS($AO$1006:AZ1006),$AO$1006:$BQ$1006,0)))),"Fix")))</f>
        <v>#N/A</v>
      </c>
      <c r="N100" s="5" t="e">
        <f ca="1">IF(OR(INDEX($AI$2:$AI$1001,MATCH(ROWS($AH$2:AH100),$AH$2:$AH$1001,0),1)&gt;=100000,INDEX($AO$1005:$BQ$1005,1,MATCH(COLUMNS($AO$1006:BA1006),$AO$1006:$BQ$1006,0))&gt;=100000), " ",IF(INDEX($AO$2:$BQ$1001,MATCH(ROWS($AH$2:AH100),$AH$2:$AH$1001,0),MATCH(COLUMNS($AO$1006:BA1006),$AO$1006:$BQ$1006,0)), HYPERLINK("#",""), HYPERLINK(CONCATENATE("#Metadata!", ADDRESS(INDEX($AJ$2:$AJ$1001,MATCH(ROWS($AH$2:AH100),$AH$2:$AH$1001,0),0), INDEX($AO$1004:$BQ$1004,1,MATCH(COLUMNS($AO$1006:BA1006),$AO$1006:$BQ$1006,0)))),"Fix")))</f>
        <v>#N/A</v>
      </c>
      <c r="O100" s="5" t="e">
        <f ca="1">IF(OR(INDEX($AI$2:$AI$1001,MATCH(ROWS($AH$2:AH100),$AH$2:$AH$1001,0),1)&gt;=100000,INDEX($AO$1005:$BQ$1005,1,MATCH(COLUMNS($AO$1006:BB1006),$AO$1006:$BQ$1006,0))&gt;=100000), " ",IF(INDEX($AO$2:$BQ$1001,MATCH(ROWS($AH$2:AH100),$AH$2:$AH$1001,0),MATCH(COLUMNS($AO$1006:BB1006),$AO$1006:$BQ$1006,0)), HYPERLINK("#",""), HYPERLINK(CONCATENATE("#Metadata!", ADDRESS(INDEX($AJ$2:$AJ$1001,MATCH(ROWS($AH$2:AH100),$AH$2:$AH$1001,0),0), INDEX($AO$1004:$BQ$1004,1,MATCH(COLUMNS($AO$1006:BB1006),$AO$1006:$BQ$1006,0)))),"Fix")))</f>
        <v>#N/A</v>
      </c>
      <c r="P100" s="5" t="e">
        <f ca="1">IF(OR(INDEX($AI$2:$AI$1001,MATCH(ROWS($AH$2:AH100),$AH$2:$AH$1001,0),1)&gt;=100000,INDEX($AO$1005:$BQ$1005,1,MATCH(COLUMNS($AO$1006:BC1006),$AO$1006:$BQ$1006,0))&gt;=100000), " ",IF(INDEX($AO$2:$BQ$1001,MATCH(ROWS($AH$2:AH100),$AH$2:$AH$1001,0),MATCH(COLUMNS($AO$1006:BC1006),$AO$1006:$BQ$1006,0)), HYPERLINK("#",""), HYPERLINK(CONCATENATE("#Metadata!", ADDRESS(INDEX($AJ$2:$AJ$1001,MATCH(ROWS($AH$2:AH100),$AH$2:$AH$1001,0),0), INDEX($AO$1004:$BQ$1004,1,MATCH(COLUMNS($AO$1006:BC1006),$AO$1006:$BQ$1006,0)))),"Fix")))</f>
        <v>#N/A</v>
      </c>
      <c r="Q100" s="5" t="e">
        <f ca="1">IF(OR(INDEX($AI$2:$AI$1001,MATCH(ROWS($AH$2:AH100),$AH$2:$AH$1001,0),1)&gt;=100000,INDEX($AO$1005:$BQ$1005,1,MATCH(COLUMNS($AO$1006:BD1006),$AO$1006:$BQ$1006,0))&gt;=100000), " ",IF(INDEX($AO$2:$BQ$1001,MATCH(ROWS($AH$2:AH100),$AH$2:$AH$1001,0),MATCH(COLUMNS($AO$1006:BD1006),$AO$1006:$BQ$1006,0)), HYPERLINK("#",""), HYPERLINK(CONCATENATE("#Metadata!", ADDRESS(INDEX($AJ$2:$AJ$1001,MATCH(ROWS($AH$2:AH100),$AH$2:$AH$1001,0),0), INDEX($AO$1004:$BQ$1004,1,MATCH(COLUMNS($AO$1006:BD1006),$AO$1006:$BQ$1006,0)))),"Fix")))</f>
        <v>#N/A</v>
      </c>
      <c r="R100" s="5" t="e">
        <f ca="1">IF(OR(INDEX($AI$2:$AI$1001,MATCH(ROWS($AH$2:AH100),$AH$2:$AH$1001,0),1)&gt;=100000,INDEX($AO$1005:$BQ$1005,1,MATCH(COLUMNS($AO$1006:BE1006),$AO$1006:$BQ$1006,0))&gt;=100000), " ",IF(INDEX($AO$2:$BQ$1001,MATCH(ROWS($AH$2:AH100),$AH$2:$AH$1001,0),MATCH(COLUMNS($AO$1006:BE1006),$AO$1006:$BQ$1006,0)), HYPERLINK("#",""), HYPERLINK(CONCATENATE("#Metadata!", ADDRESS(INDEX($AJ$2:$AJ$1001,MATCH(ROWS($AH$2:AH100),$AH$2:$AH$1001,0),0), INDEX($AO$1004:$BQ$1004,1,MATCH(COLUMNS($AO$1006:BE1006),$AO$1006:$BQ$1006,0)))),"Fix")))</f>
        <v>#N/A</v>
      </c>
      <c r="S100" s="5" t="e">
        <f ca="1">IF(OR(INDEX($AI$2:$AI$1001,MATCH(ROWS($AH$2:AH100),$AH$2:$AH$1001,0),1)&gt;=100000,INDEX($AO$1005:$BQ$1005,1,MATCH(COLUMNS($AO$1006:BF1006),$AO$1006:$BQ$1006,0))&gt;=100000), " ",IF(INDEX($AO$2:$BQ$1001,MATCH(ROWS($AH$2:AH100),$AH$2:$AH$1001,0),MATCH(COLUMNS($AO$1006:BF1006),$AO$1006:$BQ$1006,0)), HYPERLINK("#",""), HYPERLINK(CONCATENATE("#Metadata!", ADDRESS(INDEX($AJ$2:$AJ$1001,MATCH(ROWS($AH$2:AH100),$AH$2:$AH$1001,0),0), INDEX($AO$1004:$BQ$1004,1,MATCH(COLUMNS($AO$1006:BF1006),$AO$1006:$BQ$1006,0)))),"Fix")))</f>
        <v>#N/A</v>
      </c>
      <c r="T100" s="5" t="e">
        <f ca="1">IF(OR(INDEX($AI$2:$AI$1001,MATCH(ROWS($AH$2:AH100),$AH$2:$AH$1001,0),1)&gt;=100000,INDEX($AO$1005:$BQ$1005,1,MATCH(COLUMNS($AO$1006:BG1006),$AO$1006:$BQ$1006,0))&gt;=100000), " ",IF(INDEX($AO$2:$BQ$1001,MATCH(ROWS($AH$2:AH100),$AH$2:$AH$1001,0),MATCH(COLUMNS($AO$1006:BG1006),$AO$1006:$BQ$1006,0)), HYPERLINK("#",""), HYPERLINK(CONCATENATE("#Metadata!", ADDRESS(INDEX($AJ$2:$AJ$1001,MATCH(ROWS($AH$2:AH100),$AH$2:$AH$1001,0),0), INDEX($AO$1004:$BQ$1004,1,MATCH(COLUMNS($AO$1006:BG1006),$AO$1006:$BQ$1006,0)))),"Fix")))</f>
        <v>#N/A</v>
      </c>
      <c r="U100" s="5" t="e">
        <f ca="1">IF(OR(INDEX($AI$2:$AI$1001,MATCH(ROWS($AH$2:AH100),$AH$2:$AH$1001,0),1)&gt;=100000,INDEX($AO$1005:$BQ$1005,1,MATCH(COLUMNS($AO$1006:BH1006),$AO$1006:$BQ$1006,0))&gt;=100000), " ",IF(INDEX($AO$2:$BQ$1001,MATCH(ROWS($AH$2:AH100),$AH$2:$AH$1001,0),MATCH(COLUMNS($AO$1006:BH1006),$AO$1006:$BQ$1006,0)), HYPERLINK("#",""), HYPERLINK(CONCATENATE("#Metadata!", ADDRESS(INDEX($AJ$2:$AJ$1001,MATCH(ROWS($AH$2:AH100),$AH$2:$AH$1001,0),0), INDEX($AO$1004:$BQ$1004,1,MATCH(COLUMNS($AO$1006:BH1006),$AO$1006:$BQ$1006,0)))),"Fix")))</f>
        <v>#N/A</v>
      </c>
      <c r="V100" s="5" t="e">
        <f ca="1">IF(OR(INDEX($AI$2:$AI$1001,MATCH(ROWS($AH$2:AH100),$AH$2:$AH$1001,0),1)&gt;=100000,INDEX($AO$1005:$BQ$1005,1,MATCH(COLUMNS($AO$1006:BI1006),$AO$1006:$BQ$1006,0))&gt;=100000), " ",IF(INDEX($AO$2:$BQ$1001,MATCH(ROWS($AH$2:AH100),$AH$2:$AH$1001,0),MATCH(COLUMNS($AO$1006:BI1006),$AO$1006:$BQ$1006,0)), HYPERLINK("#",""), HYPERLINK(CONCATENATE("#Metadata!", ADDRESS(INDEX($AJ$2:$AJ$1001,MATCH(ROWS($AH$2:AH100),$AH$2:$AH$1001,0),0), INDEX($AO$1004:$BQ$1004,1,MATCH(COLUMNS($AO$1006:BI1006),$AO$1006:$BQ$1006,0)))),"Fix")))</f>
        <v>#N/A</v>
      </c>
      <c r="W100" s="5" t="e">
        <f ca="1">IF(OR(INDEX($AI$2:$AI$1001,MATCH(ROWS($AH$2:AH100),$AH$2:$AH$1001,0),1)&gt;=100000,INDEX($AO$1005:$BQ$1005,1,MATCH(COLUMNS($AO$1006:BJ1006),$AO$1006:$BQ$1006,0))&gt;=100000), " ",IF(INDEX($AO$2:$BQ$1001,MATCH(ROWS($AH$2:AH100),$AH$2:$AH$1001,0),MATCH(COLUMNS($AO$1006:BJ1006),$AO$1006:$BQ$1006,0)), HYPERLINK("#",""), HYPERLINK(CONCATENATE("#Metadata!", ADDRESS(INDEX($AJ$2:$AJ$1001,MATCH(ROWS($AH$2:AH100),$AH$2:$AH$1001,0),0), INDEX($AO$1004:$BQ$1004,1,MATCH(COLUMNS($AO$1006:BJ1006),$AO$1006:$BQ$1006,0)))),"Fix")))</f>
        <v>#N/A</v>
      </c>
      <c r="X100" s="5" t="e">
        <f ca="1">IF(OR(INDEX($AI$2:$AI$1001,MATCH(ROWS($AH$2:AH100),$AH$2:$AH$1001,0),1)&gt;=100000,INDEX($AO$1005:$BQ$1005,1,MATCH(COLUMNS($AO$1006:BK1006),$AO$1006:$BQ$1006,0))&gt;=100000), " ",IF(INDEX($AO$2:$BQ$1001,MATCH(ROWS($AH$2:AH100),$AH$2:$AH$1001,0),MATCH(COLUMNS($AO$1006:BK1006),$AO$1006:$BQ$1006,0)), HYPERLINK("#",""), HYPERLINK(CONCATENATE("#Metadata!", ADDRESS(INDEX($AJ$2:$AJ$1001,MATCH(ROWS($AH$2:AH100),$AH$2:$AH$1001,0),0), INDEX($AO$1004:$BQ$1004,1,MATCH(COLUMNS($AO$1006:BK1006),$AO$1006:$BQ$1006,0)))),"Fix")))</f>
        <v>#N/A</v>
      </c>
      <c r="Y100" s="5" t="e">
        <f ca="1">IF(OR(INDEX($AI$2:$AI$1001,MATCH(ROWS($AH$2:AH100),$AH$2:$AH$1001,0),1)&gt;=100000,INDEX($AO$1005:$BQ$1005,1,MATCH(COLUMNS($AO$1006:BL1006),$AO$1006:$BQ$1006,0))&gt;=100000), " ",IF(INDEX($AO$2:$BQ$1001,MATCH(ROWS($AH$2:AH100),$AH$2:$AH$1001,0),MATCH(COLUMNS($AO$1006:BL1006),$AO$1006:$BQ$1006,0)), HYPERLINK("#",""), HYPERLINK(CONCATENATE("#Metadata!", ADDRESS(INDEX($AJ$2:$AJ$1001,MATCH(ROWS($AH$2:AH100),$AH$2:$AH$1001,0),0), INDEX($AO$1004:$BQ$1004,1,MATCH(COLUMNS($AO$1006:BL1006),$AO$1006:$BQ$1006,0)))),"Fix")))</f>
        <v>#N/A</v>
      </c>
      <c r="Z100" s="5" t="e">
        <f ca="1">IF(OR(INDEX($AI$2:$AI$1001,MATCH(ROWS($AH$2:AH100),$AH$2:$AH$1001,0),1)&gt;=100000,INDEX($AO$1005:$BQ$1005,1,MATCH(COLUMNS($AO$1006:BM1006),$AO$1006:$BQ$1006,0))&gt;=100000), " ",IF(INDEX($AO$2:$BQ$1001,MATCH(ROWS($AH$2:AH100),$AH$2:$AH$1001,0),MATCH(COLUMNS($AO$1006:BM1006),$AO$1006:$BQ$1006,0)), HYPERLINK("#",""), HYPERLINK(CONCATENATE("#Metadata!", ADDRESS(INDEX($AJ$2:$AJ$1001,MATCH(ROWS($AH$2:AH100),$AH$2:$AH$1001,0),0), INDEX($AO$1004:$BQ$1004,1,MATCH(COLUMNS($AO$1006:BM1006),$AO$1006:$BQ$1006,0)))),"Fix")))</f>
        <v>#N/A</v>
      </c>
      <c r="AA100" s="5" t="e">
        <f ca="1">IF(OR(INDEX($AI$2:$AI$1001,MATCH(ROWS($AH$2:AH100),$AH$2:$AH$1001,0),1)&gt;=100000,INDEX($AO$1005:$BQ$1005,1,MATCH(COLUMNS($AO$1006:BN1006),$AO$1006:$BQ$1006,0))&gt;=100000), " ",IF(INDEX($AO$2:$BQ$1001,MATCH(ROWS($AH$2:AH100),$AH$2:$AH$1001,0),MATCH(COLUMNS($AO$1006:BN1006),$AO$1006:$BQ$1006,0)), HYPERLINK("#",""), HYPERLINK(CONCATENATE("#Metadata!", ADDRESS(INDEX($AJ$2:$AJ$1001,MATCH(ROWS($AH$2:AH100),$AH$2:$AH$1001,0),0), INDEX($AO$1004:$BQ$1004,1,MATCH(COLUMNS($AO$1006:BN1006),$AO$1006:$BQ$1006,0)))),"Fix")))</f>
        <v>#N/A</v>
      </c>
      <c r="AB100" s="5" t="e">
        <f ca="1">IF(OR(INDEX($AI$2:$AI$1001,MATCH(ROWS($AH$2:AH100),$AH$2:$AH$1001,0),1)&gt;=100000,INDEX($AO$1005:$BQ$1005,1,MATCH(COLUMNS($AO$1006:BO1006),$AO$1006:$BQ$1006,0))&gt;=100000), " ",IF(INDEX($AO$2:$BQ$1001,MATCH(ROWS($AH$2:AH100),$AH$2:$AH$1001,0),MATCH(COLUMNS($AO$1006:BO1006),$AO$1006:$BQ$1006,0)), HYPERLINK("#",""), HYPERLINK(CONCATENATE("#Metadata!", ADDRESS(INDEX($AJ$2:$AJ$1001,MATCH(ROWS($AH$2:AH100),$AH$2:$AH$1001,0),0), INDEX($AO$1004:$BQ$1004,1,MATCH(COLUMNS($AO$1006:BO1006),$AO$1006:$BQ$1006,0)))),"Fix")))</f>
        <v>#N/A</v>
      </c>
      <c r="AC100" s="5" t="e">
        <f ca="1">IF(OR(INDEX($AI$2:$AI$1001,MATCH(ROWS($AH$2:AH100),$AH$2:$AH$1001,0),1)&gt;=100000,INDEX($AO$1005:$BQ$1005,1,MATCH(COLUMNS($AO$1006:BP1006),$AO$1006:$BQ$1006,0))&gt;=100000), " ",IF(INDEX($AO$2:$BQ$1001,MATCH(ROWS($AH$2:AH100),$AH$2:$AH$1001,0),MATCH(COLUMNS($AO$1006:BP1006),$AO$1006:$BQ$1006,0)), HYPERLINK("#",""), HYPERLINK(CONCATENATE("#Metadata!", ADDRESS(INDEX($AJ$2:$AJ$1001,MATCH(ROWS($AH$2:AH100),$AH$2:$AH$1001,0),0), INDEX($AO$1004:$BQ$1004,1,MATCH(COLUMNS($AO$1006:BP1006),$AO$1006:$BQ$1006,0)))),"Fix")))</f>
        <v>#N/A</v>
      </c>
      <c r="AD100" s="5" t="e">
        <f ca="1">IF(OR(INDEX($AI$2:$AI$1001,MATCH(ROWS($AH$2:AH100),$AH$2:$AH$1001,0),1)&gt;=100000,INDEX($AO$1005:$BQ$1005,1,MATCH(COLUMNS($AO$1006:BQ1006),$AO$1006:$BQ$1006,0))&gt;=100000), " ",IF(INDEX($AO$2:$BQ$1001,MATCH(ROWS($AH$2:AH100),$AH$2:$AH$1001,0),MATCH(COLUMNS($AO$1006:BQ1006),$AO$1006:$BQ$1006,0)), HYPERLINK("#",""), HYPERLINK(CONCATENATE("#Metadata!", ADDRESS(INDEX($AJ$2:$AJ$1001,MATCH(ROWS($AH$2:AH100),$AH$2:$AH$1001,0),0), INDEX($AO$1004:$BQ$1004,1,MATCH(COLUMNS($AO$1006:BQ1006),$AO$1006:$BQ$1006,0)))),"Fix")))</f>
        <v>#REF!</v>
      </c>
      <c r="AH100">
        <f ca="1"/>
        <v>97</v>
      </c>
      <c r="AI100">
        <v>100100</v>
      </c>
      <c r="AJ100">
        <v>100</v>
      </c>
      <c r="AK100" t="b">
        <f t="shared" si="1"/>
        <v>1</v>
      </c>
      <c r="AL100" t="b">
        <f>COUNTBLANK(Metadata!B100:AD100)=COLUMNS(Metadata!B100:AD100)</f>
        <v>1</v>
      </c>
      <c r="AM100" t="str">
        <v/>
      </c>
      <c r="AO100" t="b">
        <f ca="1">AND(IF(Metadata!B100="",FALSE,TRUE),COUNTIF(Metadata!B:B, Metadata!B100) = 1,NOT(ISERROR(SUMPRODUCT(SEARCH(MID(Metadata!B100,ROW(INDIRECT("1:"&amp;LEN(Metadata!B100))), 1),"0123456789abcdefghijklmnopqrstuvwxyzABCDEFGHIJKLMNOPQRSTUVWXYZ.")))))</f>
        <v>0</v>
      </c>
      <c r="AP100" t="b">
        <f>IF(Metadata!C100="",FALSE,TRUE)</f>
        <v>0</v>
      </c>
      <c r="AQ100" t="b">
        <f>IF(Metadata!D100="",FALSE,TRUE)</f>
        <v>0</v>
      </c>
      <c r="AR100" t="b">
        <f ca="1">OR(AND(IF(Metadata!E100="",FALSE,TRUE),OR(EXACT(Metadata!E100,"not collected"),EXACT(Metadata!E100,"not provided"),EXACT(Metadata!E100,"restricted access"))),AND(IF(Metadata!E100="",FALSE,TRUE),AND(AND(IFERROR(INT(LEFT(Metadata!E100,4))&gt;1900,FALSE),IFERROR(INT(LEFT(Metadata!E100,4))&lt;=YEAR(NOW()),FALSE)), OR(MID(Metadata!E100,5,1)="", AND(AND(MID(Metadata!E100,5,1)="-",IFERROR(INT(MID(Metadata!E100,6,1))&gt;=0,FALSE),IFERROR(INT(MID(Metadata!E100,6,1))&lt;=1,FALSE),NOT(MID(Metadata!E100,7,1)=""),IFERROR(INT(MID(Metadata!E100,6,2))&gt;=1,FALSE),IFERROR(INT(MID(Metadata!E100,6,2))&lt;=12,FALSE)), OR(MID(Metadata!E100,8,1)="", AND(AND(MID(Metadata!E100,8,1)="-",IFERROR(INT(MID(Metadata!E100,9,1))&gt;=0,FALSE),IFERROR(INT(MID(Metadata!E100,9,1))&lt;=3,FALSE),NOT(MID(Metadata!E100,10,1)=""),IFERROR(INT(MID(Metadata!E100,9,2))&gt;=1,FALSE),IFERROR(INT(MID(Metadata!E100,9,2))&lt;=31,FALSE)), OR(MID(Metadata!E100,11,1)="", AND(AND(MID(Metadata!E100,11,1)=" ",IFERROR(INT(MID(Metadata!E100,12,1))&gt;=0,FALSE),IFERROR(INT(MID(Metadata!E100,12,1))&lt;=2,FALSE),NOT(MID(Metadata!E100,13,1)=""),IFERROR(INT(MID(Metadata!E100,12,2))&gt;=0,FALSE),IFERROR(INT(MID(Metadata!E100,12,2))&lt;=23,FALSE)), OR(MID(Metadata!E100,14,1)="", AND(AND(MID(Metadata!E100,14,1)=":",IFERROR(INT(MID(Metadata!E100,15,1))&gt;=0,FALSE),IFERROR(INT(MID(Metadata!E100,15,1))&lt;=5,FALSE),NOT(MID(Metadata!E100,16,1)=""),IFERROR(INT(MID(Metadata!E100,15,2))&gt;=0,FALSE),IFERROR(INT(MID(Metadata!E100,15,2))&lt;=59,FALSE)), OR(MID(Metadata!E100,17,1)="", AND(AND(MID(Metadata!E100,17,1)=":",IFERROR(INT(MID(Metadata!E100,18,1))&gt;=0,FALSE),IFERROR(INT(MID(Metadata!E100,18,1))&lt;=5,FALSE),NOT(MID(Metadata!E100,19,1)=""),IFERROR(INT(MID(Metadata!E100,18,2))&gt;=0,FALSE),IFERROR(INT(MID(Metadata!E100,18,2))&lt;=59,FALSE)), LEN(Metadata!E100)&lt;=19)))))))))))))</f>
        <v>0</v>
      </c>
      <c r="AS100" t="b">
        <f>IF(Metadata!F100="",FALSE,TRUE)</f>
        <v>0</v>
      </c>
      <c r="AT100" t="b">
        <f>OR(AND(IF(Metadata!G100="",FALSE,TRUE),OR(EXACT(Metadata!G100,"not collected"),EXACT(Metadata!G100,"not provided"))),AND(IF(Metadata!G100="",FALSE,TRUE),OR(EXACT(Metadata!G100,"TRUE"),EXACT(Metadata!G100,"FALSE"))))</f>
        <v>0</v>
      </c>
      <c r="AU100" t="b">
        <f>OR(AND(IF(Metadata!H100="",FALSE,TRUE),OR(EXACT(Metadata!H100,"not collected"),EXACT(Metadata!H100,"not provided"),EXACT(Metadata!H100,"restricted access"))),AND(IF(Metadata!H100="",FALSE,ISNUMBER(VALUE(Metadata!H100))),Metadata!H100&gt;=-413))</f>
        <v>0</v>
      </c>
      <c r="AV100" t="b">
        <f>AND(IF(Metadata!I100="",FALSE,TRUE),EXACT(Metadata!I100,"meters"))</f>
        <v>0</v>
      </c>
      <c r="AW100" t="b">
        <f>AND(IF(Metadata!J100="",FALSE,TRUE),EXACT(Metadata!J100,"free-living"))</f>
        <v>0</v>
      </c>
      <c r="AX100" t="b">
        <f>AND(IF(Metadata!K100="",FALSE,TRUE),OR(EXACT(Metadata!K100,"saline"),EXACT(Metadata!K100,"non-saline")))</f>
        <v>0</v>
      </c>
      <c r="AY100" t="b">
        <f>AND(IF(Metadata!L100="",FALSE,TRUE),OR(EXACT(Metadata!L100,"sub-surface (non-saline)"),EXACT(Metadata!L100,"surface (non-saline)"),EXACT(Metadata!L100,"water (non-saline)"),EXACT(Metadata!L100,"soil (non-saline)"),EXACT(Metadata!L100,"aerosol (non-saline)"),EXACT(Metadata!L100,"sediment (non-saline)"),EXACT(Metadata!L100,"surface (saline)"),EXACT(Metadata!L100,"water (saline)"),EXACT(Metadata!L100,"hypersaline (saline)"),EXACT(Metadata!L100,"aerosol (saline)"),EXACT(Metadata!L100,"sediment (saline)")))</f>
        <v>0</v>
      </c>
      <c r="AZ100" t="b">
        <f>IF(Metadata!M100="",FALSE,TRUE)</f>
        <v>0</v>
      </c>
      <c r="BA100" t="b">
        <f>IF(Metadata!N100="",FALSE,TRUE)</f>
        <v>0</v>
      </c>
      <c r="BB100" t="b">
        <f>IF(Metadata!O100="",FALSE,TRUE)</f>
        <v>0</v>
      </c>
      <c r="BC100" t="b">
        <f>AND(IF(Metadata!P100="",FALSE,TRUE),OR(EXACT(Metadata!P100,"air"),EXACT(Metadata!P100,"microbial mat/biofilm"),EXACT(Metadata!P100,"misc environment"),EXACT(Metadata!P100,"sediment"),EXACT(Metadata!P100,"soil"),EXACT(Metadata!P100,"wastewater/sludge"),EXACT(Metadata!P100,"water")))</f>
        <v>0</v>
      </c>
      <c r="BD100" t="b">
        <f>IF(Metadata!Q100="",FALSE,TRUE)</f>
        <v>0</v>
      </c>
      <c r="BE100" t="b">
        <f>IF(Metadata!R100="",FALSE,TRUE)</f>
        <v>0</v>
      </c>
      <c r="BF100" t="b">
        <f>OR(AND(IF(Metadata!S100="",FALSE,TRUE),OR(EXACT(Metadata!S100,"not collected"),EXACT(Metadata!S100,"not provided"),EXACT(Metadata!S100,"restricted access"))),AND(IF(Metadata!S100="",FALSE,ISNUMBER(VALUE(Metadata!S100))),Metadata!S100&gt;=-90,Metadata!S100&lt;=90))</f>
        <v>0</v>
      </c>
      <c r="BG100" t="b">
        <f>AND(IF(Metadata!T100="",FALSE,TRUE),EXACT(Metadata!T100,"Decimal degrees"))</f>
        <v>0</v>
      </c>
      <c r="BH100" t="b">
        <f>OR(AND(IF(Metadata!U100="",FALSE,TRUE),OR(EXACT(Metadata!U100,"not applicable"),EXACT(Metadata!U100,"not collected"))),IF(Metadata!U100="",FALSE,TRUE))</f>
        <v>0</v>
      </c>
      <c r="BI100" t="b">
        <f>OR(AND(IF(Metadata!V100="",FALSE,TRUE),OR(EXACT(Metadata!V100,"not collected"),EXACT(Metadata!V100,"not provided"),EXACT(Metadata!V100,"restricted access"))),AND(IF(Metadata!V100="",FALSE,ISNUMBER(VALUE(Metadata!V100))),Metadata!V100&gt;=-180,Metadata!V100&lt;=180))</f>
        <v>0</v>
      </c>
      <c r="BJ100" t="b">
        <f>AND(IF(Metadata!W100="",FALSE,TRUE),EXACT(Metadata!W100,"Decimal degrees"))</f>
        <v>0</v>
      </c>
      <c r="BK100" t="b">
        <f>IF(Metadata!X100="",FALSE,TRUE)</f>
        <v>0</v>
      </c>
      <c r="BL100" t="b">
        <f>OR(AND(IF(Metadata!Y100="",FALSE,TRUE),OR(EXACT(Metadata!Y100,"not collected"),EXACT(Metadata!Y100,"not provided"),EXACT(Metadata!Y100,"restricted access"))),AND(IF(Metadata!Y100="",FALSE,TRUE),OR(EXACT(Metadata!Y100,"TRUE"),EXACT(Metadata!Y100,"FALSE"))))</f>
        <v>0</v>
      </c>
      <c r="BM100" t="b">
        <f>OR(AND(IF(Metadata!Z100="",FALSE,TRUE),EXACT(Metadata!Z100,"not applicable")),AND(IF(Metadata!Z100="",FALSE,TRUE),OR(EXACT(Metadata!Z100,"beer"),EXACT(Metadata!Z100,"cheese"),EXACT(Metadata!Z100,"fresh water"),EXACT(Metadata!Z100,"marine sediment"),EXACT(Metadata!Z100,"sea water"),EXACT(Metadata!Z100,"sediment"),EXACT(Metadata!Z100,"soil"),EXACT(Metadata!Z100,"waste water"))))</f>
        <v>0</v>
      </c>
      <c r="BN100" t="b">
        <f>AND(IF(Metadata!AA100="",FALSE,TRUE),EXACT(Metadata!AA100,"metagenome"))</f>
        <v>0</v>
      </c>
      <c r="BO100" t="b">
        <f>AND(IF(Metadata!AB100="",FALSE,TRUE),EXACT(Metadata!AB100,"256318"))</f>
        <v>0</v>
      </c>
      <c r="BP100" t="b">
        <f>IF(Metadata!AC100="",FALSE,TRUE)</f>
        <v>0</v>
      </c>
      <c r="BQ100" t="b">
        <f>IF(Metadata!AD100="",FALSE,TRUE)</f>
        <v>0</v>
      </c>
    </row>
    <row r="101" spans="1:69" x14ac:dyDescent="0.2">
      <c r="A101" s="4" t="e">
        <f ca="1">IF(B101=" "," ",HYPERLINK(CONCATENATE("#metadata!",ADDRESS(INDEX($AJ$2:$AJ$1001,MATCH(ROWS($AH$2:AH101),$AH$2:$AH$1001,0),0),2)),INDEX($AM$2:$AM$1001,MATCH(ROWS($AH$2:AH101),$AH$2:$AH$1001,0),0)))</f>
        <v>#N/A</v>
      </c>
      <c r="B101" s="5" t="e">
        <f ca="1">IF(OR(INDEX($AI$2:$AI$1001,MATCH(ROWS($AH$2:AH101),$AH$2:$AH$1001,0),1)&gt;=100000,INDEX($AO$1005:$BQ$1005,1,MATCH(COLUMNS($AO$1006:AO1006),$AO$1006:$BQ$1006,0))&gt;=100000), " ",IF(INDEX($AO$2:$BQ$1001,MATCH(ROWS($AH$2:AH101),$AH$2:$AH$1001,0),MATCH(COLUMNS($AO$1006:AO1006),$AO$1006:$BQ$1006,0)), HYPERLINK("#",""), HYPERLINK(CONCATENATE("#Metadata!", ADDRESS(INDEX($AJ$2:$AJ$1001,MATCH(ROWS($AH$2:AH101),$AH$2:$AH$1001,0),0), INDEX($AO$1004:$BQ$1004,1,MATCH(COLUMNS($AO$1006:AO1006),$AO$1006:$BQ$1006,0)))),"Fix")))</f>
        <v>#N/A</v>
      </c>
      <c r="C101" s="5" t="e">
        <f ca="1">IF(OR(INDEX($AI$2:$AI$1001,MATCH(ROWS($AH$2:AH101),$AH$2:$AH$1001,0),1)&gt;=100000,INDEX($AO$1005:$BQ$1005,1,MATCH(COLUMNS($AO$1006:AP1006),$AO$1006:$BQ$1006,0))&gt;=100000), " ",IF(INDEX($AO$2:$BQ$1001,MATCH(ROWS($AH$2:AH101),$AH$2:$AH$1001,0),MATCH(COLUMNS($AO$1006:AP1006),$AO$1006:$BQ$1006,0)), HYPERLINK("#",""), HYPERLINK(CONCATENATE("#Metadata!", ADDRESS(INDEX($AJ$2:$AJ$1001,MATCH(ROWS($AH$2:AH101),$AH$2:$AH$1001,0),0), INDEX($AO$1004:$BQ$1004,1,MATCH(COLUMNS($AO$1006:AP1006),$AO$1006:$BQ$1006,0)))),"Fix")))</f>
        <v>#N/A</v>
      </c>
      <c r="D101" s="5" t="e">
        <f ca="1">IF(OR(INDEX($AI$2:$AI$1001,MATCH(ROWS($AH$2:AH101),$AH$2:$AH$1001,0),1)&gt;=100000,INDEX($AO$1005:$BQ$1005,1,MATCH(COLUMNS($AO$1006:AQ1006),$AO$1006:$BQ$1006,0))&gt;=100000), " ",IF(INDEX($AO$2:$BQ$1001,MATCH(ROWS($AH$2:AH101),$AH$2:$AH$1001,0),MATCH(COLUMNS($AO$1006:AQ1006),$AO$1006:$BQ$1006,0)), HYPERLINK("#",""), HYPERLINK(CONCATENATE("#Metadata!", ADDRESS(INDEX($AJ$2:$AJ$1001,MATCH(ROWS($AH$2:AH101),$AH$2:$AH$1001,0),0), INDEX($AO$1004:$BQ$1004,1,MATCH(COLUMNS($AO$1006:AQ1006),$AO$1006:$BQ$1006,0)))),"Fix")))</f>
        <v>#N/A</v>
      </c>
      <c r="E101" s="5" t="e">
        <f ca="1">IF(OR(INDEX($AI$2:$AI$1001,MATCH(ROWS($AH$2:AH101),$AH$2:$AH$1001,0),1)&gt;=100000,INDEX($AO$1005:$BQ$1005,1,MATCH(COLUMNS($AO$1006:AR1006),$AO$1006:$BQ$1006,0))&gt;=100000), " ",IF(INDEX($AO$2:$BQ$1001,MATCH(ROWS($AH$2:AH101),$AH$2:$AH$1001,0),MATCH(COLUMNS($AO$1006:AR1006),$AO$1006:$BQ$1006,0)), HYPERLINK("#",""), HYPERLINK(CONCATENATE("#Metadata!", ADDRESS(INDEX($AJ$2:$AJ$1001,MATCH(ROWS($AH$2:AH101),$AH$2:$AH$1001,0),0), INDEX($AO$1004:$BQ$1004,1,MATCH(COLUMNS($AO$1006:AR1006),$AO$1006:$BQ$1006,0)))),"Fix")))</f>
        <v>#N/A</v>
      </c>
      <c r="F101" s="5" t="e">
        <f ca="1">IF(OR(INDEX($AI$2:$AI$1001,MATCH(ROWS($AH$2:AH101),$AH$2:$AH$1001,0),1)&gt;=100000,INDEX($AO$1005:$BQ$1005,1,MATCH(COLUMNS($AO$1006:AS1006),$AO$1006:$BQ$1006,0))&gt;=100000), " ",IF(INDEX($AO$2:$BQ$1001,MATCH(ROWS($AH$2:AH101),$AH$2:$AH$1001,0),MATCH(COLUMNS($AO$1006:AS1006),$AO$1006:$BQ$1006,0)), HYPERLINK("#",""), HYPERLINK(CONCATENATE("#Metadata!", ADDRESS(INDEX($AJ$2:$AJ$1001,MATCH(ROWS($AH$2:AH101),$AH$2:$AH$1001,0),0), INDEX($AO$1004:$BQ$1004,1,MATCH(COLUMNS($AO$1006:AS1006),$AO$1006:$BQ$1006,0)))),"Fix")))</f>
        <v>#N/A</v>
      </c>
      <c r="G101" s="5" t="e">
        <f ca="1">IF(OR(INDEX($AI$2:$AI$1001,MATCH(ROWS($AH$2:AH101),$AH$2:$AH$1001,0),1)&gt;=100000,INDEX($AO$1005:$BQ$1005,1,MATCH(COLUMNS($AO$1006:AT1006),$AO$1006:$BQ$1006,0))&gt;=100000), " ",IF(INDEX($AO$2:$BQ$1001,MATCH(ROWS($AH$2:AH101),$AH$2:$AH$1001,0),MATCH(COLUMNS($AO$1006:AT1006),$AO$1006:$BQ$1006,0)), HYPERLINK("#",""), HYPERLINK(CONCATENATE("#Metadata!", ADDRESS(INDEX($AJ$2:$AJ$1001,MATCH(ROWS($AH$2:AH101),$AH$2:$AH$1001,0),0), INDEX($AO$1004:$BQ$1004,1,MATCH(COLUMNS($AO$1006:AT1006),$AO$1006:$BQ$1006,0)))),"Fix")))</f>
        <v>#N/A</v>
      </c>
      <c r="H101" s="5" t="e">
        <f ca="1">IF(OR(INDEX($AI$2:$AI$1001,MATCH(ROWS($AH$2:AH101),$AH$2:$AH$1001,0),1)&gt;=100000,INDEX($AO$1005:$BQ$1005,1,MATCH(COLUMNS($AO$1006:AU1006),$AO$1006:$BQ$1006,0))&gt;=100000), " ",IF(INDEX($AO$2:$BQ$1001,MATCH(ROWS($AH$2:AH101),$AH$2:$AH$1001,0),MATCH(COLUMNS($AO$1006:AU1006),$AO$1006:$BQ$1006,0)), HYPERLINK("#",""), HYPERLINK(CONCATENATE("#Metadata!", ADDRESS(INDEX($AJ$2:$AJ$1001,MATCH(ROWS($AH$2:AH101),$AH$2:$AH$1001,0),0), INDEX($AO$1004:$BQ$1004,1,MATCH(COLUMNS($AO$1006:AU1006),$AO$1006:$BQ$1006,0)))),"Fix")))</f>
        <v>#N/A</v>
      </c>
      <c r="I101" s="5" t="e">
        <f ca="1">IF(OR(INDEX($AI$2:$AI$1001,MATCH(ROWS($AH$2:AH101),$AH$2:$AH$1001,0),1)&gt;=100000,INDEX($AO$1005:$BQ$1005,1,MATCH(COLUMNS($AO$1006:AV1006),$AO$1006:$BQ$1006,0))&gt;=100000), " ",IF(INDEX($AO$2:$BQ$1001,MATCH(ROWS($AH$2:AH101),$AH$2:$AH$1001,0),MATCH(COLUMNS($AO$1006:AV1006),$AO$1006:$BQ$1006,0)), HYPERLINK("#",""), HYPERLINK(CONCATENATE("#Metadata!", ADDRESS(INDEX($AJ$2:$AJ$1001,MATCH(ROWS($AH$2:AH101),$AH$2:$AH$1001,0),0), INDEX($AO$1004:$BQ$1004,1,MATCH(COLUMNS($AO$1006:AV1006),$AO$1006:$BQ$1006,0)))),"Fix")))</f>
        <v>#N/A</v>
      </c>
      <c r="J101" s="5" t="e">
        <f ca="1">IF(OR(INDEX($AI$2:$AI$1001,MATCH(ROWS($AH$2:AH101),$AH$2:$AH$1001,0),1)&gt;=100000,INDEX($AO$1005:$BQ$1005,1,MATCH(COLUMNS($AO$1006:AW1006),$AO$1006:$BQ$1006,0))&gt;=100000), " ",IF(INDEX($AO$2:$BQ$1001,MATCH(ROWS($AH$2:AH101),$AH$2:$AH$1001,0),MATCH(COLUMNS($AO$1006:AW1006),$AO$1006:$BQ$1006,0)), HYPERLINK("#",""), HYPERLINK(CONCATENATE("#Metadata!", ADDRESS(INDEX($AJ$2:$AJ$1001,MATCH(ROWS($AH$2:AH101),$AH$2:$AH$1001,0),0), INDEX($AO$1004:$BQ$1004,1,MATCH(COLUMNS($AO$1006:AW1006),$AO$1006:$BQ$1006,0)))),"Fix")))</f>
        <v>#N/A</v>
      </c>
      <c r="K101" s="5" t="e">
        <f ca="1">IF(OR(INDEX($AI$2:$AI$1001,MATCH(ROWS($AH$2:AH101),$AH$2:$AH$1001,0),1)&gt;=100000,INDEX($AO$1005:$BQ$1005,1,MATCH(COLUMNS($AO$1006:AX1006),$AO$1006:$BQ$1006,0))&gt;=100000), " ",IF(INDEX($AO$2:$BQ$1001,MATCH(ROWS($AH$2:AH101),$AH$2:$AH$1001,0),MATCH(COLUMNS($AO$1006:AX1006),$AO$1006:$BQ$1006,0)), HYPERLINK("#",""), HYPERLINK(CONCATENATE("#Metadata!", ADDRESS(INDEX($AJ$2:$AJ$1001,MATCH(ROWS($AH$2:AH101),$AH$2:$AH$1001,0),0), INDEX($AO$1004:$BQ$1004,1,MATCH(COLUMNS($AO$1006:AX1006),$AO$1006:$BQ$1006,0)))),"Fix")))</f>
        <v>#N/A</v>
      </c>
      <c r="L101" s="5" t="e">
        <f ca="1">IF(OR(INDEX($AI$2:$AI$1001,MATCH(ROWS($AH$2:AH101),$AH$2:$AH$1001,0),1)&gt;=100000,INDEX($AO$1005:$BQ$1005,1,MATCH(COLUMNS($AO$1006:AY1006),$AO$1006:$BQ$1006,0))&gt;=100000), " ",IF(INDEX($AO$2:$BQ$1001,MATCH(ROWS($AH$2:AH101),$AH$2:$AH$1001,0),MATCH(COLUMNS($AO$1006:AY1006),$AO$1006:$BQ$1006,0)), HYPERLINK("#",""), HYPERLINK(CONCATENATE("#Metadata!", ADDRESS(INDEX($AJ$2:$AJ$1001,MATCH(ROWS($AH$2:AH101),$AH$2:$AH$1001,0),0), INDEX($AO$1004:$BQ$1004,1,MATCH(COLUMNS($AO$1006:AY1006),$AO$1006:$BQ$1006,0)))),"Fix")))</f>
        <v>#N/A</v>
      </c>
      <c r="M101" s="5" t="e">
        <f ca="1">IF(OR(INDEX($AI$2:$AI$1001,MATCH(ROWS($AH$2:AH101),$AH$2:$AH$1001,0),1)&gt;=100000,INDEX($AO$1005:$BQ$1005,1,MATCH(COLUMNS($AO$1006:AZ1006),$AO$1006:$BQ$1006,0))&gt;=100000), " ",IF(INDEX($AO$2:$BQ$1001,MATCH(ROWS($AH$2:AH101),$AH$2:$AH$1001,0),MATCH(COLUMNS($AO$1006:AZ1006),$AO$1006:$BQ$1006,0)), HYPERLINK("#",""), HYPERLINK(CONCATENATE("#Metadata!", ADDRESS(INDEX($AJ$2:$AJ$1001,MATCH(ROWS($AH$2:AH101),$AH$2:$AH$1001,0),0), INDEX($AO$1004:$BQ$1004,1,MATCH(COLUMNS($AO$1006:AZ1006),$AO$1006:$BQ$1006,0)))),"Fix")))</f>
        <v>#N/A</v>
      </c>
      <c r="N101" s="5" t="e">
        <f ca="1">IF(OR(INDEX($AI$2:$AI$1001,MATCH(ROWS($AH$2:AH101),$AH$2:$AH$1001,0),1)&gt;=100000,INDEX($AO$1005:$BQ$1005,1,MATCH(COLUMNS($AO$1006:BA1006),$AO$1006:$BQ$1006,0))&gt;=100000), " ",IF(INDEX($AO$2:$BQ$1001,MATCH(ROWS($AH$2:AH101),$AH$2:$AH$1001,0),MATCH(COLUMNS($AO$1006:BA1006),$AO$1006:$BQ$1006,0)), HYPERLINK("#",""), HYPERLINK(CONCATENATE("#Metadata!", ADDRESS(INDEX($AJ$2:$AJ$1001,MATCH(ROWS($AH$2:AH101),$AH$2:$AH$1001,0),0), INDEX($AO$1004:$BQ$1004,1,MATCH(COLUMNS($AO$1006:BA1006),$AO$1006:$BQ$1006,0)))),"Fix")))</f>
        <v>#N/A</v>
      </c>
      <c r="O101" s="5" t="e">
        <f ca="1">IF(OR(INDEX($AI$2:$AI$1001,MATCH(ROWS($AH$2:AH101),$AH$2:$AH$1001,0),1)&gt;=100000,INDEX($AO$1005:$BQ$1005,1,MATCH(COLUMNS($AO$1006:BB1006),$AO$1006:$BQ$1006,0))&gt;=100000), " ",IF(INDEX($AO$2:$BQ$1001,MATCH(ROWS($AH$2:AH101),$AH$2:$AH$1001,0),MATCH(COLUMNS($AO$1006:BB1006),$AO$1006:$BQ$1006,0)), HYPERLINK("#",""), HYPERLINK(CONCATENATE("#Metadata!", ADDRESS(INDEX($AJ$2:$AJ$1001,MATCH(ROWS($AH$2:AH101),$AH$2:$AH$1001,0),0), INDEX($AO$1004:$BQ$1004,1,MATCH(COLUMNS($AO$1006:BB1006),$AO$1006:$BQ$1006,0)))),"Fix")))</f>
        <v>#N/A</v>
      </c>
      <c r="P101" s="5" t="e">
        <f ca="1">IF(OR(INDEX($AI$2:$AI$1001,MATCH(ROWS($AH$2:AH101),$AH$2:$AH$1001,0),1)&gt;=100000,INDEX($AO$1005:$BQ$1005,1,MATCH(COLUMNS($AO$1006:BC1006),$AO$1006:$BQ$1006,0))&gt;=100000), " ",IF(INDEX($AO$2:$BQ$1001,MATCH(ROWS($AH$2:AH101),$AH$2:$AH$1001,0),MATCH(COLUMNS($AO$1006:BC1006),$AO$1006:$BQ$1006,0)), HYPERLINK("#",""), HYPERLINK(CONCATENATE("#Metadata!", ADDRESS(INDEX($AJ$2:$AJ$1001,MATCH(ROWS($AH$2:AH101),$AH$2:$AH$1001,0),0), INDEX($AO$1004:$BQ$1004,1,MATCH(COLUMNS($AO$1006:BC1006),$AO$1006:$BQ$1006,0)))),"Fix")))</f>
        <v>#N/A</v>
      </c>
      <c r="Q101" s="5" t="e">
        <f ca="1">IF(OR(INDEX($AI$2:$AI$1001,MATCH(ROWS($AH$2:AH101),$AH$2:$AH$1001,0),1)&gt;=100000,INDEX($AO$1005:$BQ$1005,1,MATCH(COLUMNS($AO$1006:BD1006),$AO$1006:$BQ$1006,0))&gt;=100000), " ",IF(INDEX($AO$2:$BQ$1001,MATCH(ROWS($AH$2:AH101),$AH$2:$AH$1001,0),MATCH(COLUMNS($AO$1006:BD1006),$AO$1006:$BQ$1006,0)), HYPERLINK("#",""), HYPERLINK(CONCATENATE("#Metadata!", ADDRESS(INDEX($AJ$2:$AJ$1001,MATCH(ROWS($AH$2:AH101),$AH$2:$AH$1001,0),0), INDEX($AO$1004:$BQ$1004,1,MATCH(COLUMNS($AO$1006:BD1006),$AO$1006:$BQ$1006,0)))),"Fix")))</f>
        <v>#N/A</v>
      </c>
      <c r="R101" s="5" t="e">
        <f ca="1">IF(OR(INDEX($AI$2:$AI$1001,MATCH(ROWS($AH$2:AH101),$AH$2:$AH$1001,0),1)&gt;=100000,INDEX($AO$1005:$BQ$1005,1,MATCH(COLUMNS($AO$1006:BE1006),$AO$1006:$BQ$1006,0))&gt;=100000), " ",IF(INDEX($AO$2:$BQ$1001,MATCH(ROWS($AH$2:AH101),$AH$2:$AH$1001,0),MATCH(COLUMNS($AO$1006:BE1006),$AO$1006:$BQ$1006,0)), HYPERLINK("#",""), HYPERLINK(CONCATENATE("#Metadata!", ADDRESS(INDEX($AJ$2:$AJ$1001,MATCH(ROWS($AH$2:AH101),$AH$2:$AH$1001,0),0), INDEX($AO$1004:$BQ$1004,1,MATCH(COLUMNS($AO$1006:BE1006),$AO$1006:$BQ$1006,0)))),"Fix")))</f>
        <v>#N/A</v>
      </c>
      <c r="S101" s="5" t="e">
        <f ca="1">IF(OR(INDEX($AI$2:$AI$1001,MATCH(ROWS($AH$2:AH101),$AH$2:$AH$1001,0),1)&gt;=100000,INDEX($AO$1005:$BQ$1005,1,MATCH(COLUMNS($AO$1006:BF1006),$AO$1006:$BQ$1006,0))&gt;=100000), " ",IF(INDEX($AO$2:$BQ$1001,MATCH(ROWS($AH$2:AH101),$AH$2:$AH$1001,0),MATCH(COLUMNS($AO$1006:BF1006),$AO$1006:$BQ$1006,0)), HYPERLINK("#",""), HYPERLINK(CONCATENATE("#Metadata!", ADDRESS(INDEX($AJ$2:$AJ$1001,MATCH(ROWS($AH$2:AH101),$AH$2:$AH$1001,0),0), INDEX($AO$1004:$BQ$1004,1,MATCH(COLUMNS($AO$1006:BF1006),$AO$1006:$BQ$1006,0)))),"Fix")))</f>
        <v>#N/A</v>
      </c>
      <c r="T101" s="5" t="e">
        <f ca="1">IF(OR(INDEX($AI$2:$AI$1001,MATCH(ROWS($AH$2:AH101),$AH$2:$AH$1001,0),1)&gt;=100000,INDEX($AO$1005:$BQ$1005,1,MATCH(COLUMNS($AO$1006:BG1006),$AO$1006:$BQ$1006,0))&gt;=100000), " ",IF(INDEX($AO$2:$BQ$1001,MATCH(ROWS($AH$2:AH101),$AH$2:$AH$1001,0),MATCH(COLUMNS($AO$1006:BG1006),$AO$1006:$BQ$1006,0)), HYPERLINK("#",""), HYPERLINK(CONCATENATE("#Metadata!", ADDRESS(INDEX($AJ$2:$AJ$1001,MATCH(ROWS($AH$2:AH101),$AH$2:$AH$1001,0),0), INDEX($AO$1004:$BQ$1004,1,MATCH(COLUMNS($AO$1006:BG1006),$AO$1006:$BQ$1006,0)))),"Fix")))</f>
        <v>#N/A</v>
      </c>
      <c r="U101" s="5" t="e">
        <f ca="1">IF(OR(INDEX($AI$2:$AI$1001,MATCH(ROWS($AH$2:AH101),$AH$2:$AH$1001,0),1)&gt;=100000,INDEX($AO$1005:$BQ$1005,1,MATCH(COLUMNS($AO$1006:BH1006),$AO$1006:$BQ$1006,0))&gt;=100000), " ",IF(INDEX($AO$2:$BQ$1001,MATCH(ROWS($AH$2:AH101),$AH$2:$AH$1001,0),MATCH(COLUMNS($AO$1006:BH1006),$AO$1006:$BQ$1006,0)), HYPERLINK("#",""), HYPERLINK(CONCATENATE("#Metadata!", ADDRESS(INDEX($AJ$2:$AJ$1001,MATCH(ROWS($AH$2:AH101),$AH$2:$AH$1001,0),0), INDEX($AO$1004:$BQ$1004,1,MATCH(COLUMNS($AO$1006:BH1006),$AO$1006:$BQ$1006,0)))),"Fix")))</f>
        <v>#N/A</v>
      </c>
      <c r="V101" s="5" t="e">
        <f ca="1">IF(OR(INDEX($AI$2:$AI$1001,MATCH(ROWS($AH$2:AH101),$AH$2:$AH$1001,0),1)&gt;=100000,INDEX($AO$1005:$BQ$1005,1,MATCH(COLUMNS($AO$1006:BI1006),$AO$1006:$BQ$1006,0))&gt;=100000), " ",IF(INDEX($AO$2:$BQ$1001,MATCH(ROWS($AH$2:AH101),$AH$2:$AH$1001,0),MATCH(COLUMNS($AO$1006:BI1006),$AO$1006:$BQ$1006,0)), HYPERLINK("#",""), HYPERLINK(CONCATENATE("#Metadata!", ADDRESS(INDEX($AJ$2:$AJ$1001,MATCH(ROWS($AH$2:AH101),$AH$2:$AH$1001,0),0), INDEX($AO$1004:$BQ$1004,1,MATCH(COLUMNS($AO$1006:BI1006),$AO$1006:$BQ$1006,0)))),"Fix")))</f>
        <v>#N/A</v>
      </c>
      <c r="W101" s="5" t="e">
        <f ca="1">IF(OR(INDEX($AI$2:$AI$1001,MATCH(ROWS($AH$2:AH101),$AH$2:$AH$1001,0),1)&gt;=100000,INDEX($AO$1005:$BQ$1005,1,MATCH(COLUMNS($AO$1006:BJ1006),$AO$1006:$BQ$1006,0))&gt;=100000), " ",IF(INDEX($AO$2:$BQ$1001,MATCH(ROWS($AH$2:AH101),$AH$2:$AH$1001,0),MATCH(COLUMNS($AO$1006:BJ1006),$AO$1006:$BQ$1006,0)), HYPERLINK("#",""), HYPERLINK(CONCATENATE("#Metadata!", ADDRESS(INDEX($AJ$2:$AJ$1001,MATCH(ROWS($AH$2:AH101),$AH$2:$AH$1001,0),0), INDEX($AO$1004:$BQ$1004,1,MATCH(COLUMNS($AO$1006:BJ1006),$AO$1006:$BQ$1006,0)))),"Fix")))</f>
        <v>#N/A</v>
      </c>
      <c r="X101" s="5" t="e">
        <f ca="1">IF(OR(INDEX($AI$2:$AI$1001,MATCH(ROWS($AH$2:AH101),$AH$2:$AH$1001,0),1)&gt;=100000,INDEX($AO$1005:$BQ$1005,1,MATCH(COLUMNS($AO$1006:BK1006),$AO$1006:$BQ$1006,0))&gt;=100000), " ",IF(INDEX($AO$2:$BQ$1001,MATCH(ROWS($AH$2:AH101),$AH$2:$AH$1001,0),MATCH(COLUMNS($AO$1006:BK1006),$AO$1006:$BQ$1006,0)), HYPERLINK("#",""), HYPERLINK(CONCATENATE("#Metadata!", ADDRESS(INDEX($AJ$2:$AJ$1001,MATCH(ROWS($AH$2:AH101),$AH$2:$AH$1001,0),0), INDEX($AO$1004:$BQ$1004,1,MATCH(COLUMNS($AO$1006:BK1006),$AO$1006:$BQ$1006,0)))),"Fix")))</f>
        <v>#N/A</v>
      </c>
      <c r="Y101" s="5" t="e">
        <f ca="1">IF(OR(INDEX($AI$2:$AI$1001,MATCH(ROWS($AH$2:AH101),$AH$2:$AH$1001,0),1)&gt;=100000,INDEX($AO$1005:$BQ$1005,1,MATCH(COLUMNS($AO$1006:BL1006),$AO$1006:$BQ$1006,0))&gt;=100000), " ",IF(INDEX($AO$2:$BQ$1001,MATCH(ROWS($AH$2:AH101),$AH$2:$AH$1001,0),MATCH(COLUMNS($AO$1006:BL1006),$AO$1006:$BQ$1006,0)), HYPERLINK("#",""), HYPERLINK(CONCATENATE("#Metadata!", ADDRESS(INDEX($AJ$2:$AJ$1001,MATCH(ROWS($AH$2:AH101),$AH$2:$AH$1001,0),0), INDEX($AO$1004:$BQ$1004,1,MATCH(COLUMNS($AO$1006:BL1006),$AO$1006:$BQ$1006,0)))),"Fix")))</f>
        <v>#N/A</v>
      </c>
      <c r="Z101" s="5" t="e">
        <f ca="1">IF(OR(INDEX($AI$2:$AI$1001,MATCH(ROWS($AH$2:AH101),$AH$2:$AH$1001,0),1)&gt;=100000,INDEX($AO$1005:$BQ$1005,1,MATCH(COLUMNS($AO$1006:BM1006),$AO$1006:$BQ$1006,0))&gt;=100000), " ",IF(INDEX($AO$2:$BQ$1001,MATCH(ROWS($AH$2:AH101),$AH$2:$AH$1001,0),MATCH(COLUMNS($AO$1006:BM1006),$AO$1006:$BQ$1006,0)), HYPERLINK("#",""), HYPERLINK(CONCATENATE("#Metadata!", ADDRESS(INDEX($AJ$2:$AJ$1001,MATCH(ROWS($AH$2:AH101),$AH$2:$AH$1001,0),0), INDEX($AO$1004:$BQ$1004,1,MATCH(COLUMNS($AO$1006:BM1006),$AO$1006:$BQ$1006,0)))),"Fix")))</f>
        <v>#N/A</v>
      </c>
      <c r="AA101" s="5" t="e">
        <f ca="1">IF(OR(INDEX($AI$2:$AI$1001,MATCH(ROWS($AH$2:AH101),$AH$2:$AH$1001,0),1)&gt;=100000,INDEX($AO$1005:$BQ$1005,1,MATCH(COLUMNS($AO$1006:BN1006),$AO$1006:$BQ$1006,0))&gt;=100000), " ",IF(INDEX($AO$2:$BQ$1001,MATCH(ROWS($AH$2:AH101),$AH$2:$AH$1001,0),MATCH(COLUMNS($AO$1006:BN1006),$AO$1006:$BQ$1006,0)), HYPERLINK("#",""), HYPERLINK(CONCATENATE("#Metadata!", ADDRESS(INDEX($AJ$2:$AJ$1001,MATCH(ROWS($AH$2:AH101),$AH$2:$AH$1001,0),0), INDEX($AO$1004:$BQ$1004,1,MATCH(COLUMNS($AO$1006:BN1006),$AO$1006:$BQ$1006,0)))),"Fix")))</f>
        <v>#N/A</v>
      </c>
      <c r="AB101" s="5" t="e">
        <f ca="1">IF(OR(INDEX($AI$2:$AI$1001,MATCH(ROWS($AH$2:AH101),$AH$2:$AH$1001,0),1)&gt;=100000,INDEX($AO$1005:$BQ$1005,1,MATCH(COLUMNS($AO$1006:BO1006),$AO$1006:$BQ$1006,0))&gt;=100000), " ",IF(INDEX($AO$2:$BQ$1001,MATCH(ROWS($AH$2:AH101),$AH$2:$AH$1001,0),MATCH(COLUMNS($AO$1006:BO1006),$AO$1006:$BQ$1006,0)), HYPERLINK("#",""), HYPERLINK(CONCATENATE("#Metadata!", ADDRESS(INDEX($AJ$2:$AJ$1001,MATCH(ROWS($AH$2:AH101),$AH$2:$AH$1001,0),0), INDEX($AO$1004:$BQ$1004,1,MATCH(COLUMNS($AO$1006:BO1006),$AO$1006:$BQ$1006,0)))),"Fix")))</f>
        <v>#N/A</v>
      </c>
      <c r="AC101" s="5" t="e">
        <f ca="1">IF(OR(INDEX($AI$2:$AI$1001,MATCH(ROWS($AH$2:AH101),$AH$2:$AH$1001,0),1)&gt;=100000,INDEX($AO$1005:$BQ$1005,1,MATCH(COLUMNS($AO$1006:BP1006),$AO$1006:$BQ$1006,0))&gt;=100000), " ",IF(INDEX($AO$2:$BQ$1001,MATCH(ROWS($AH$2:AH101),$AH$2:$AH$1001,0),MATCH(COLUMNS($AO$1006:BP1006),$AO$1006:$BQ$1006,0)), HYPERLINK("#",""), HYPERLINK(CONCATENATE("#Metadata!", ADDRESS(INDEX($AJ$2:$AJ$1001,MATCH(ROWS($AH$2:AH101),$AH$2:$AH$1001,0),0), INDEX($AO$1004:$BQ$1004,1,MATCH(COLUMNS($AO$1006:BP1006),$AO$1006:$BQ$1006,0)))),"Fix")))</f>
        <v>#N/A</v>
      </c>
      <c r="AD101" s="5" t="e">
        <f ca="1">IF(OR(INDEX($AI$2:$AI$1001,MATCH(ROWS($AH$2:AH101),$AH$2:$AH$1001,0),1)&gt;=100000,INDEX($AO$1005:$BQ$1005,1,MATCH(COLUMNS($AO$1006:BQ1006),$AO$1006:$BQ$1006,0))&gt;=100000), " ",IF(INDEX($AO$2:$BQ$1001,MATCH(ROWS($AH$2:AH101),$AH$2:$AH$1001,0),MATCH(COLUMNS($AO$1006:BQ1006),$AO$1006:$BQ$1006,0)), HYPERLINK("#",""), HYPERLINK(CONCATENATE("#Metadata!", ADDRESS(INDEX($AJ$2:$AJ$1001,MATCH(ROWS($AH$2:AH101),$AH$2:$AH$1001,0),0), INDEX($AO$1004:$BQ$1004,1,MATCH(COLUMNS($AO$1006:BQ1006),$AO$1006:$BQ$1006,0)))),"Fix")))</f>
        <v>#REF!</v>
      </c>
      <c r="AH101">
        <f ca="1"/>
        <v>98</v>
      </c>
      <c r="AI101">
        <v>100101</v>
      </c>
      <c r="AJ101">
        <v>101</v>
      </c>
      <c r="AK101" t="b">
        <f t="shared" si="1"/>
        <v>1</v>
      </c>
      <c r="AL101" t="b">
        <f>COUNTBLANK(Metadata!B101:AD101)=COLUMNS(Metadata!B101:AD101)</f>
        <v>1</v>
      </c>
      <c r="AM101" t="str">
        <v/>
      </c>
      <c r="AO101" t="b">
        <f ca="1">AND(IF(Metadata!B101="",FALSE,TRUE),COUNTIF(Metadata!B:B, Metadata!B101) = 1,NOT(ISERROR(SUMPRODUCT(SEARCH(MID(Metadata!B101,ROW(INDIRECT("1:"&amp;LEN(Metadata!B101))), 1),"0123456789abcdefghijklmnopqrstuvwxyzABCDEFGHIJKLMNOPQRSTUVWXYZ.")))))</f>
        <v>0</v>
      </c>
      <c r="AP101" t="b">
        <f>IF(Metadata!C101="",FALSE,TRUE)</f>
        <v>0</v>
      </c>
      <c r="AQ101" t="b">
        <f>IF(Metadata!D101="",FALSE,TRUE)</f>
        <v>0</v>
      </c>
      <c r="AR101" t="b">
        <f ca="1">OR(AND(IF(Metadata!E101="",FALSE,TRUE),OR(EXACT(Metadata!E101,"not collected"),EXACT(Metadata!E101,"not provided"),EXACT(Metadata!E101,"restricted access"))),AND(IF(Metadata!E101="",FALSE,TRUE),AND(AND(IFERROR(INT(LEFT(Metadata!E101,4))&gt;1900,FALSE),IFERROR(INT(LEFT(Metadata!E101,4))&lt;=YEAR(NOW()),FALSE)), OR(MID(Metadata!E101,5,1)="", AND(AND(MID(Metadata!E101,5,1)="-",IFERROR(INT(MID(Metadata!E101,6,1))&gt;=0,FALSE),IFERROR(INT(MID(Metadata!E101,6,1))&lt;=1,FALSE),NOT(MID(Metadata!E101,7,1)=""),IFERROR(INT(MID(Metadata!E101,6,2))&gt;=1,FALSE),IFERROR(INT(MID(Metadata!E101,6,2))&lt;=12,FALSE)), OR(MID(Metadata!E101,8,1)="", AND(AND(MID(Metadata!E101,8,1)="-",IFERROR(INT(MID(Metadata!E101,9,1))&gt;=0,FALSE),IFERROR(INT(MID(Metadata!E101,9,1))&lt;=3,FALSE),NOT(MID(Metadata!E101,10,1)=""),IFERROR(INT(MID(Metadata!E101,9,2))&gt;=1,FALSE),IFERROR(INT(MID(Metadata!E101,9,2))&lt;=31,FALSE)), OR(MID(Metadata!E101,11,1)="", AND(AND(MID(Metadata!E101,11,1)=" ",IFERROR(INT(MID(Metadata!E101,12,1))&gt;=0,FALSE),IFERROR(INT(MID(Metadata!E101,12,1))&lt;=2,FALSE),NOT(MID(Metadata!E101,13,1)=""),IFERROR(INT(MID(Metadata!E101,12,2))&gt;=0,FALSE),IFERROR(INT(MID(Metadata!E101,12,2))&lt;=23,FALSE)), OR(MID(Metadata!E101,14,1)="", AND(AND(MID(Metadata!E101,14,1)=":",IFERROR(INT(MID(Metadata!E101,15,1))&gt;=0,FALSE),IFERROR(INT(MID(Metadata!E101,15,1))&lt;=5,FALSE),NOT(MID(Metadata!E101,16,1)=""),IFERROR(INT(MID(Metadata!E101,15,2))&gt;=0,FALSE),IFERROR(INT(MID(Metadata!E101,15,2))&lt;=59,FALSE)), OR(MID(Metadata!E101,17,1)="", AND(AND(MID(Metadata!E101,17,1)=":",IFERROR(INT(MID(Metadata!E101,18,1))&gt;=0,FALSE),IFERROR(INT(MID(Metadata!E101,18,1))&lt;=5,FALSE),NOT(MID(Metadata!E101,19,1)=""),IFERROR(INT(MID(Metadata!E101,18,2))&gt;=0,FALSE),IFERROR(INT(MID(Metadata!E101,18,2))&lt;=59,FALSE)), LEN(Metadata!E101)&lt;=19)))))))))))))</f>
        <v>0</v>
      </c>
      <c r="AS101" t="b">
        <f>IF(Metadata!F101="",FALSE,TRUE)</f>
        <v>0</v>
      </c>
      <c r="AT101" t="b">
        <f>OR(AND(IF(Metadata!G101="",FALSE,TRUE),OR(EXACT(Metadata!G101,"not collected"),EXACT(Metadata!G101,"not provided"))),AND(IF(Metadata!G101="",FALSE,TRUE),OR(EXACT(Metadata!G101,"TRUE"),EXACT(Metadata!G101,"FALSE"))))</f>
        <v>0</v>
      </c>
      <c r="AU101" t="b">
        <f>OR(AND(IF(Metadata!H101="",FALSE,TRUE),OR(EXACT(Metadata!H101,"not collected"),EXACT(Metadata!H101,"not provided"),EXACT(Metadata!H101,"restricted access"))),AND(IF(Metadata!H101="",FALSE,ISNUMBER(VALUE(Metadata!H101))),Metadata!H101&gt;=-413))</f>
        <v>0</v>
      </c>
      <c r="AV101" t="b">
        <f>AND(IF(Metadata!I101="",FALSE,TRUE),EXACT(Metadata!I101,"meters"))</f>
        <v>0</v>
      </c>
      <c r="AW101" t="b">
        <f>AND(IF(Metadata!J101="",FALSE,TRUE),EXACT(Metadata!J101,"free-living"))</f>
        <v>0</v>
      </c>
      <c r="AX101" t="b">
        <f>AND(IF(Metadata!K101="",FALSE,TRUE),OR(EXACT(Metadata!K101,"saline"),EXACT(Metadata!K101,"non-saline")))</f>
        <v>0</v>
      </c>
      <c r="AY101" t="b">
        <f>AND(IF(Metadata!L101="",FALSE,TRUE),OR(EXACT(Metadata!L101,"sub-surface (non-saline)"),EXACT(Metadata!L101,"surface (non-saline)"),EXACT(Metadata!L101,"water (non-saline)"),EXACT(Metadata!L101,"soil (non-saline)"),EXACT(Metadata!L101,"aerosol (non-saline)"),EXACT(Metadata!L101,"sediment (non-saline)"),EXACT(Metadata!L101,"surface (saline)"),EXACT(Metadata!L101,"water (saline)"),EXACT(Metadata!L101,"hypersaline (saline)"),EXACT(Metadata!L101,"aerosol (saline)"),EXACT(Metadata!L101,"sediment (saline)")))</f>
        <v>0</v>
      </c>
      <c r="AZ101" t="b">
        <f>IF(Metadata!M101="",FALSE,TRUE)</f>
        <v>0</v>
      </c>
      <c r="BA101" t="b">
        <f>IF(Metadata!N101="",FALSE,TRUE)</f>
        <v>0</v>
      </c>
      <c r="BB101" t="b">
        <f>IF(Metadata!O101="",FALSE,TRUE)</f>
        <v>0</v>
      </c>
      <c r="BC101" t="b">
        <f>AND(IF(Metadata!P101="",FALSE,TRUE),OR(EXACT(Metadata!P101,"air"),EXACT(Metadata!P101,"microbial mat/biofilm"),EXACT(Metadata!P101,"misc environment"),EXACT(Metadata!P101,"sediment"),EXACT(Metadata!P101,"soil"),EXACT(Metadata!P101,"wastewater/sludge"),EXACT(Metadata!P101,"water")))</f>
        <v>0</v>
      </c>
      <c r="BD101" t="b">
        <f>IF(Metadata!Q101="",FALSE,TRUE)</f>
        <v>0</v>
      </c>
      <c r="BE101" t="b">
        <f>IF(Metadata!R101="",FALSE,TRUE)</f>
        <v>0</v>
      </c>
      <c r="BF101" t="b">
        <f>OR(AND(IF(Metadata!S101="",FALSE,TRUE),OR(EXACT(Metadata!S101,"not collected"),EXACT(Metadata!S101,"not provided"),EXACT(Metadata!S101,"restricted access"))),AND(IF(Metadata!S101="",FALSE,ISNUMBER(VALUE(Metadata!S101))),Metadata!S101&gt;=-90,Metadata!S101&lt;=90))</f>
        <v>0</v>
      </c>
      <c r="BG101" t="b">
        <f>AND(IF(Metadata!T101="",FALSE,TRUE),EXACT(Metadata!T101,"Decimal degrees"))</f>
        <v>0</v>
      </c>
      <c r="BH101" t="b">
        <f>OR(AND(IF(Metadata!U101="",FALSE,TRUE),OR(EXACT(Metadata!U101,"not applicable"),EXACT(Metadata!U101,"not collected"))),IF(Metadata!U101="",FALSE,TRUE))</f>
        <v>0</v>
      </c>
      <c r="BI101" t="b">
        <f>OR(AND(IF(Metadata!V101="",FALSE,TRUE),OR(EXACT(Metadata!V101,"not collected"),EXACT(Metadata!V101,"not provided"),EXACT(Metadata!V101,"restricted access"))),AND(IF(Metadata!V101="",FALSE,ISNUMBER(VALUE(Metadata!V101))),Metadata!V101&gt;=-180,Metadata!V101&lt;=180))</f>
        <v>0</v>
      </c>
      <c r="BJ101" t="b">
        <f>AND(IF(Metadata!W101="",FALSE,TRUE),EXACT(Metadata!W101,"Decimal degrees"))</f>
        <v>0</v>
      </c>
      <c r="BK101" t="b">
        <f>IF(Metadata!X101="",FALSE,TRUE)</f>
        <v>0</v>
      </c>
      <c r="BL101" t="b">
        <f>OR(AND(IF(Metadata!Y101="",FALSE,TRUE),OR(EXACT(Metadata!Y101,"not collected"),EXACT(Metadata!Y101,"not provided"),EXACT(Metadata!Y101,"restricted access"))),AND(IF(Metadata!Y101="",FALSE,TRUE),OR(EXACT(Metadata!Y101,"TRUE"),EXACT(Metadata!Y101,"FALSE"))))</f>
        <v>0</v>
      </c>
      <c r="BM101" t="b">
        <f>OR(AND(IF(Metadata!Z101="",FALSE,TRUE),EXACT(Metadata!Z101,"not applicable")),AND(IF(Metadata!Z101="",FALSE,TRUE),OR(EXACT(Metadata!Z101,"beer"),EXACT(Metadata!Z101,"cheese"),EXACT(Metadata!Z101,"fresh water"),EXACT(Metadata!Z101,"marine sediment"),EXACT(Metadata!Z101,"sea water"),EXACT(Metadata!Z101,"sediment"),EXACT(Metadata!Z101,"soil"),EXACT(Metadata!Z101,"waste water"))))</f>
        <v>0</v>
      </c>
      <c r="BN101" t="b">
        <f>AND(IF(Metadata!AA101="",FALSE,TRUE),EXACT(Metadata!AA101,"metagenome"))</f>
        <v>0</v>
      </c>
      <c r="BO101" t="b">
        <f>AND(IF(Metadata!AB101="",FALSE,TRUE),EXACT(Metadata!AB101,"256318"))</f>
        <v>0</v>
      </c>
      <c r="BP101" t="b">
        <f>IF(Metadata!AC101="",FALSE,TRUE)</f>
        <v>0</v>
      </c>
      <c r="BQ101" t="b">
        <f>IF(Metadata!AD101="",FALSE,TRUE)</f>
        <v>0</v>
      </c>
    </row>
    <row r="102" spans="1:69" x14ac:dyDescent="0.2">
      <c r="A102" s="4" t="e">
        <f ca="1">IF(B102=" "," ",HYPERLINK(CONCATENATE("#metadata!",ADDRESS(INDEX($AJ$2:$AJ$1001,MATCH(ROWS($AH$2:AH102),$AH$2:$AH$1001,0),0),2)),INDEX($AM$2:$AM$1001,MATCH(ROWS($AH$2:AH102),$AH$2:$AH$1001,0),0)))</f>
        <v>#N/A</v>
      </c>
      <c r="B102" s="5" t="e">
        <f ca="1">IF(OR(INDEX($AI$2:$AI$1001,MATCH(ROWS($AH$2:AH102),$AH$2:$AH$1001,0),1)&gt;=100000,INDEX($AO$1005:$BQ$1005,1,MATCH(COLUMNS($AO$1006:AO1006),$AO$1006:$BQ$1006,0))&gt;=100000), " ",IF(INDEX($AO$2:$BQ$1001,MATCH(ROWS($AH$2:AH102),$AH$2:$AH$1001,0),MATCH(COLUMNS($AO$1006:AO1006),$AO$1006:$BQ$1006,0)), HYPERLINK("#",""), HYPERLINK(CONCATENATE("#Metadata!", ADDRESS(INDEX($AJ$2:$AJ$1001,MATCH(ROWS($AH$2:AH102),$AH$2:$AH$1001,0),0), INDEX($AO$1004:$BQ$1004,1,MATCH(COLUMNS($AO$1006:AO1006),$AO$1006:$BQ$1006,0)))),"Fix")))</f>
        <v>#N/A</v>
      </c>
      <c r="C102" s="5" t="e">
        <f ca="1">IF(OR(INDEX($AI$2:$AI$1001,MATCH(ROWS($AH$2:AH102),$AH$2:$AH$1001,0),1)&gt;=100000,INDEX($AO$1005:$BQ$1005,1,MATCH(COLUMNS($AO$1006:AP1006),$AO$1006:$BQ$1006,0))&gt;=100000), " ",IF(INDEX($AO$2:$BQ$1001,MATCH(ROWS($AH$2:AH102),$AH$2:$AH$1001,0),MATCH(COLUMNS($AO$1006:AP1006),$AO$1006:$BQ$1006,0)), HYPERLINK("#",""), HYPERLINK(CONCATENATE("#Metadata!", ADDRESS(INDEX($AJ$2:$AJ$1001,MATCH(ROWS($AH$2:AH102),$AH$2:$AH$1001,0),0), INDEX($AO$1004:$BQ$1004,1,MATCH(COLUMNS($AO$1006:AP1006),$AO$1006:$BQ$1006,0)))),"Fix")))</f>
        <v>#N/A</v>
      </c>
      <c r="D102" s="5" t="e">
        <f ca="1">IF(OR(INDEX($AI$2:$AI$1001,MATCH(ROWS($AH$2:AH102),$AH$2:$AH$1001,0),1)&gt;=100000,INDEX($AO$1005:$BQ$1005,1,MATCH(COLUMNS($AO$1006:AQ1006),$AO$1006:$BQ$1006,0))&gt;=100000), " ",IF(INDEX($AO$2:$BQ$1001,MATCH(ROWS($AH$2:AH102),$AH$2:$AH$1001,0),MATCH(COLUMNS($AO$1006:AQ1006),$AO$1006:$BQ$1006,0)), HYPERLINK("#",""), HYPERLINK(CONCATENATE("#Metadata!", ADDRESS(INDEX($AJ$2:$AJ$1001,MATCH(ROWS($AH$2:AH102),$AH$2:$AH$1001,0),0), INDEX($AO$1004:$BQ$1004,1,MATCH(COLUMNS($AO$1006:AQ1006),$AO$1006:$BQ$1006,0)))),"Fix")))</f>
        <v>#N/A</v>
      </c>
      <c r="E102" s="5" t="e">
        <f ca="1">IF(OR(INDEX($AI$2:$AI$1001,MATCH(ROWS($AH$2:AH102),$AH$2:$AH$1001,0),1)&gt;=100000,INDEX($AO$1005:$BQ$1005,1,MATCH(COLUMNS($AO$1006:AR1006),$AO$1006:$BQ$1006,0))&gt;=100000), " ",IF(INDEX($AO$2:$BQ$1001,MATCH(ROWS($AH$2:AH102),$AH$2:$AH$1001,0),MATCH(COLUMNS($AO$1006:AR1006),$AO$1006:$BQ$1006,0)), HYPERLINK("#",""), HYPERLINK(CONCATENATE("#Metadata!", ADDRESS(INDEX($AJ$2:$AJ$1001,MATCH(ROWS($AH$2:AH102),$AH$2:$AH$1001,0),0), INDEX($AO$1004:$BQ$1004,1,MATCH(COLUMNS($AO$1006:AR1006),$AO$1006:$BQ$1006,0)))),"Fix")))</f>
        <v>#N/A</v>
      </c>
      <c r="F102" s="5" t="e">
        <f ca="1">IF(OR(INDEX($AI$2:$AI$1001,MATCH(ROWS($AH$2:AH102),$AH$2:$AH$1001,0),1)&gt;=100000,INDEX($AO$1005:$BQ$1005,1,MATCH(COLUMNS($AO$1006:AS1006),$AO$1006:$BQ$1006,0))&gt;=100000), " ",IF(INDEX($AO$2:$BQ$1001,MATCH(ROWS($AH$2:AH102),$AH$2:$AH$1001,0),MATCH(COLUMNS($AO$1006:AS1006),$AO$1006:$BQ$1006,0)), HYPERLINK("#",""), HYPERLINK(CONCATENATE("#Metadata!", ADDRESS(INDEX($AJ$2:$AJ$1001,MATCH(ROWS($AH$2:AH102),$AH$2:$AH$1001,0),0), INDEX($AO$1004:$BQ$1004,1,MATCH(COLUMNS($AO$1006:AS1006),$AO$1006:$BQ$1006,0)))),"Fix")))</f>
        <v>#N/A</v>
      </c>
      <c r="G102" s="5" t="e">
        <f ca="1">IF(OR(INDEX($AI$2:$AI$1001,MATCH(ROWS($AH$2:AH102),$AH$2:$AH$1001,0),1)&gt;=100000,INDEX($AO$1005:$BQ$1005,1,MATCH(COLUMNS($AO$1006:AT1006),$AO$1006:$BQ$1006,0))&gt;=100000), " ",IF(INDEX($AO$2:$BQ$1001,MATCH(ROWS($AH$2:AH102),$AH$2:$AH$1001,0),MATCH(COLUMNS($AO$1006:AT1006),$AO$1006:$BQ$1006,0)), HYPERLINK("#",""), HYPERLINK(CONCATENATE("#Metadata!", ADDRESS(INDEX($AJ$2:$AJ$1001,MATCH(ROWS($AH$2:AH102),$AH$2:$AH$1001,0),0), INDEX($AO$1004:$BQ$1004,1,MATCH(COLUMNS($AO$1006:AT1006),$AO$1006:$BQ$1006,0)))),"Fix")))</f>
        <v>#N/A</v>
      </c>
      <c r="H102" s="5" t="e">
        <f ca="1">IF(OR(INDEX($AI$2:$AI$1001,MATCH(ROWS($AH$2:AH102),$AH$2:$AH$1001,0),1)&gt;=100000,INDEX($AO$1005:$BQ$1005,1,MATCH(COLUMNS($AO$1006:AU1006),$AO$1006:$BQ$1006,0))&gt;=100000), " ",IF(INDEX($AO$2:$BQ$1001,MATCH(ROWS($AH$2:AH102),$AH$2:$AH$1001,0),MATCH(COLUMNS($AO$1006:AU1006),$AO$1006:$BQ$1006,0)), HYPERLINK("#",""), HYPERLINK(CONCATENATE("#Metadata!", ADDRESS(INDEX($AJ$2:$AJ$1001,MATCH(ROWS($AH$2:AH102),$AH$2:$AH$1001,0),0), INDEX($AO$1004:$BQ$1004,1,MATCH(COLUMNS($AO$1006:AU1006),$AO$1006:$BQ$1006,0)))),"Fix")))</f>
        <v>#N/A</v>
      </c>
      <c r="I102" s="5" t="e">
        <f ca="1">IF(OR(INDEX($AI$2:$AI$1001,MATCH(ROWS($AH$2:AH102),$AH$2:$AH$1001,0),1)&gt;=100000,INDEX($AO$1005:$BQ$1005,1,MATCH(COLUMNS($AO$1006:AV1006),$AO$1006:$BQ$1006,0))&gt;=100000), " ",IF(INDEX($AO$2:$BQ$1001,MATCH(ROWS($AH$2:AH102),$AH$2:$AH$1001,0),MATCH(COLUMNS($AO$1006:AV1006),$AO$1006:$BQ$1006,0)), HYPERLINK("#",""), HYPERLINK(CONCATENATE("#Metadata!", ADDRESS(INDEX($AJ$2:$AJ$1001,MATCH(ROWS($AH$2:AH102),$AH$2:$AH$1001,0),0), INDEX($AO$1004:$BQ$1004,1,MATCH(COLUMNS($AO$1006:AV1006),$AO$1006:$BQ$1006,0)))),"Fix")))</f>
        <v>#N/A</v>
      </c>
      <c r="J102" s="5" t="e">
        <f ca="1">IF(OR(INDEX($AI$2:$AI$1001,MATCH(ROWS($AH$2:AH102),$AH$2:$AH$1001,0),1)&gt;=100000,INDEX($AO$1005:$BQ$1005,1,MATCH(COLUMNS($AO$1006:AW1006),$AO$1006:$BQ$1006,0))&gt;=100000), " ",IF(INDEX($AO$2:$BQ$1001,MATCH(ROWS($AH$2:AH102),$AH$2:$AH$1001,0),MATCH(COLUMNS($AO$1006:AW1006),$AO$1006:$BQ$1006,0)), HYPERLINK("#",""), HYPERLINK(CONCATENATE("#Metadata!", ADDRESS(INDEX($AJ$2:$AJ$1001,MATCH(ROWS($AH$2:AH102),$AH$2:$AH$1001,0),0), INDEX($AO$1004:$BQ$1004,1,MATCH(COLUMNS($AO$1006:AW1006),$AO$1006:$BQ$1006,0)))),"Fix")))</f>
        <v>#N/A</v>
      </c>
      <c r="K102" s="5" t="e">
        <f ca="1">IF(OR(INDEX($AI$2:$AI$1001,MATCH(ROWS($AH$2:AH102),$AH$2:$AH$1001,0),1)&gt;=100000,INDEX($AO$1005:$BQ$1005,1,MATCH(COLUMNS($AO$1006:AX1006),$AO$1006:$BQ$1006,0))&gt;=100000), " ",IF(INDEX($AO$2:$BQ$1001,MATCH(ROWS($AH$2:AH102),$AH$2:$AH$1001,0),MATCH(COLUMNS($AO$1006:AX1006),$AO$1006:$BQ$1006,0)), HYPERLINK("#",""), HYPERLINK(CONCATENATE("#Metadata!", ADDRESS(INDEX($AJ$2:$AJ$1001,MATCH(ROWS($AH$2:AH102),$AH$2:$AH$1001,0),0), INDEX($AO$1004:$BQ$1004,1,MATCH(COLUMNS($AO$1006:AX1006),$AO$1006:$BQ$1006,0)))),"Fix")))</f>
        <v>#N/A</v>
      </c>
      <c r="L102" s="5" t="e">
        <f ca="1">IF(OR(INDEX($AI$2:$AI$1001,MATCH(ROWS($AH$2:AH102),$AH$2:$AH$1001,0),1)&gt;=100000,INDEX($AO$1005:$BQ$1005,1,MATCH(COLUMNS($AO$1006:AY1006),$AO$1006:$BQ$1006,0))&gt;=100000), " ",IF(INDEX($AO$2:$BQ$1001,MATCH(ROWS($AH$2:AH102),$AH$2:$AH$1001,0),MATCH(COLUMNS($AO$1006:AY1006),$AO$1006:$BQ$1006,0)), HYPERLINK("#",""), HYPERLINK(CONCATENATE("#Metadata!", ADDRESS(INDEX($AJ$2:$AJ$1001,MATCH(ROWS($AH$2:AH102),$AH$2:$AH$1001,0),0), INDEX($AO$1004:$BQ$1004,1,MATCH(COLUMNS($AO$1006:AY1006),$AO$1006:$BQ$1006,0)))),"Fix")))</f>
        <v>#N/A</v>
      </c>
      <c r="M102" s="5" t="e">
        <f ca="1">IF(OR(INDEX($AI$2:$AI$1001,MATCH(ROWS($AH$2:AH102),$AH$2:$AH$1001,0),1)&gt;=100000,INDEX($AO$1005:$BQ$1005,1,MATCH(COLUMNS($AO$1006:AZ1006),$AO$1006:$BQ$1006,0))&gt;=100000), " ",IF(INDEX($AO$2:$BQ$1001,MATCH(ROWS($AH$2:AH102),$AH$2:$AH$1001,0),MATCH(COLUMNS($AO$1006:AZ1006),$AO$1006:$BQ$1006,0)), HYPERLINK("#",""), HYPERLINK(CONCATENATE("#Metadata!", ADDRESS(INDEX($AJ$2:$AJ$1001,MATCH(ROWS($AH$2:AH102),$AH$2:$AH$1001,0),0), INDEX($AO$1004:$BQ$1004,1,MATCH(COLUMNS($AO$1006:AZ1006),$AO$1006:$BQ$1006,0)))),"Fix")))</f>
        <v>#N/A</v>
      </c>
      <c r="N102" s="5" t="e">
        <f ca="1">IF(OR(INDEX($AI$2:$AI$1001,MATCH(ROWS($AH$2:AH102),$AH$2:$AH$1001,0),1)&gt;=100000,INDEX($AO$1005:$BQ$1005,1,MATCH(COLUMNS($AO$1006:BA1006),$AO$1006:$BQ$1006,0))&gt;=100000), " ",IF(INDEX($AO$2:$BQ$1001,MATCH(ROWS($AH$2:AH102),$AH$2:$AH$1001,0),MATCH(COLUMNS($AO$1006:BA1006),$AO$1006:$BQ$1006,0)), HYPERLINK("#",""), HYPERLINK(CONCATENATE("#Metadata!", ADDRESS(INDEX($AJ$2:$AJ$1001,MATCH(ROWS($AH$2:AH102),$AH$2:$AH$1001,0),0), INDEX($AO$1004:$BQ$1004,1,MATCH(COLUMNS($AO$1006:BA1006),$AO$1006:$BQ$1006,0)))),"Fix")))</f>
        <v>#N/A</v>
      </c>
      <c r="O102" s="5" t="e">
        <f ca="1">IF(OR(INDEX($AI$2:$AI$1001,MATCH(ROWS($AH$2:AH102),$AH$2:$AH$1001,0),1)&gt;=100000,INDEX($AO$1005:$BQ$1005,1,MATCH(COLUMNS($AO$1006:BB1006),$AO$1006:$BQ$1006,0))&gt;=100000), " ",IF(INDEX($AO$2:$BQ$1001,MATCH(ROWS($AH$2:AH102),$AH$2:$AH$1001,0),MATCH(COLUMNS($AO$1006:BB1006),$AO$1006:$BQ$1006,0)), HYPERLINK("#",""), HYPERLINK(CONCATENATE("#Metadata!", ADDRESS(INDEX($AJ$2:$AJ$1001,MATCH(ROWS($AH$2:AH102),$AH$2:$AH$1001,0),0), INDEX($AO$1004:$BQ$1004,1,MATCH(COLUMNS($AO$1006:BB1006),$AO$1006:$BQ$1006,0)))),"Fix")))</f>
        <v>#N/A</v>
      </c>
      <c r="P102" s="5" t="e">
        <f ca="1">IF(OR(INDEX($AI$2:$AI$1001,MATCH(ROWS($AH$2:AH102),$AH$2:$AH$1001,0),1)&gt;=100000,INDEX($AO$1005:$BQ$1005,1,MATCH(COLUMNS($AO$1006:BC1006),$AO$1006:$BQ$1006,0))&gt;=100000), " ",IF(INDEX($AO$2:$BQ$1001,MATCH(ROWS($AH$2:AH102),$AH$2:$AH$1001,0),MATCH(COLUMNS($AO$1006:BC1006),$AO$1006:$BQ$1006,0)), HYPERLINK("#",""), HYPERLINK(CONCATENATE("#Metadata!", ADDRESS(INDEX($AJ$2:$AJ$1001,MATCH(ROWS($AH$2:AH102),$AH$2:$AH$1001,0),0), INDEX($AO$1004:$BQ$1004,1,MATCH(COLUMNS($AO$1006:BC1006),$AO$1006:$BQ$1006,0)))),"Fix")))</f>
        <v>#N/A</v>
      </c>
      <c r="Q102" s="5" t="e">
        <f ca="1">IF(OR(INDEX($AI$2:$AI$1001,MATCH(ROWS($AH$2:AH102),$AH$2:$AH$1001,0),1)&gt;=100000,INDEX($AO$1005:$BQ$1005,1,MATCH(COLUMNS($AO$1006:BD1006),$AO$1006:$BQ$1006,0))&gt;=100000), " ",IF(INDEX($AO$2:$BQ$1001,MATCH(ROWS($AH$2:AH102),$AH$2:$AH$1001,0),MATCH(COLUMNS($AO$1006:BD1006),$AO$1006:$BQ$1006,0)), HYPERLINK("#",""), HYPERLINK(CONCATENATE("#Metadata!", ADDRESS(INDEX($AJ$2:$AJ$1001,MATCH(ROWS($AH$2:AH102),$AH$2:$AH$1001,0),0), INDEX($AO$1004:$BQ$1004,1,MATCH(COLUMNS($AO$1006:BD1006),$AO$1006:$BQ$1006,0)))),"Fix")))</f>
        <v>#N/A</v>
      </c>
      <c r="R102" s="5" t="e">
        <f ca="1">IF(OR(INDEX($AI$2:$AI$1001,MATCH(ROWS($AH$2:AH102),$AH$2:$AH$1001,0),1)&gt;=100000,INDEX($AO$1005:$BQ$1005,1,MATCH(COLUMNS($AO$1006:BE1006),$AO$1006:$BQ$1006,0))&gt;=100000), " ",IF(INDEX($AO$2:$BQ$1001,MATCH(ROWS($AH$2:AH102),$AH$2:$AH$1001,0),MATCH(COLUMNS($AO$1006:BE1006),$AO$1006:$BQ$1006,0)), HYPERLINK("#",""), HYPERLINK(CONCATENATE("#Metadata!", ADDRESS(INDEX($AJ$2:$AJ$1001,MATCH(ROWS($AH$2:AH102),$AH$2:$AH$1001,0),0), INDEX($AO$1004:$BQ$1004,1,MATCH(COLUMNS($AO$1006:BE1006),$AO$1006:$BQ$1006,0)))),"Fix")))</f>
        <v>#N/A</v>
      </c>
      <c r="S102" s="5" t="e">
        <f ca="1">IF(OR(INDEX($AI$2:$AI$1001,MATCH(ROWS($AH$2:AH102),$AH$2:$AH$1001,0),1)&gt;=100000,INDEX($AO$1005:$BQ$1005,1,MATCH(COLUMNS($AO$1006:BF1006),$AO$1006:$BQ$1006,0))&gt;=100000), " ",IF(INDEX($AO$2:$BQ$1001,MATCH(ROWS($AH$2:AH102),$AH$2:$AH$1001,0),MATCH(COLUMNS($AO$1006:BF1006),$AO$1006:$BQ$1006,0)), HYPERLINK("#",""), HYPERLINK(CONCATENATE("#Metadata!", ADDRESS(INDEX($AJ$2:$AJ$1001,MATCH(ROWS($AH$2:AH102),$AH$2:$AH$1001,0),0), INDEX($AO$1004:$BQ$1004,1,MATCH(COLUMNS($AO$1006:BF1006),$AO$1006:$BQ$1006,0)))),"Fix")))</f>
        <v>#N/A</v>
      </c>
      <c r="T102" s="5" t="e">
        <f ca="1">IF(OR(INDEX($AI$2:$AI$1001,MATCH(ROWS($AH$2:AH102),$AH$2:$AH$1001,0),1)&gt;=100000,INDEX($AO$1005:$BQ$1005,1,MATCH(COLUMNS($AO$1006:BG1006),$AO$1006:$BQ$1006,0))&gt;=100000), " ",IF(INDEX($AO$2:$BQ$1001,MATCH(ROWS($AH$2:AH102),$AH$2:$AH$1001,0),MATCH(COLUMNS($AO$1006:BG1006),$AO$1006:$BQ$1006,0)), HYPERLINK("#",""), HYPERLINK(CONCATENATE("#Metadata!", ADDRESS(INDEX($AJ$2:$AJ$1001,MATCH(ROWS($AH$2:AH102),$AH$2:$AH$1001,0),0), INDEX($AO$1004:$BQ$1004,1,MATCH(COLUMNS($AO$1006:BG1006),$AO$1006:$BQ$1006,0)))),"Fix")))</f>
        <v>#N/A</v>
      </c>
      <c r="U102" s="5" t="e">
        <f ca="1">IF(OR(INDEX($AI$2:$AI$1001,MATCH(ROWS($AH$2:AH102),$AH$2:$AH$1001,0),1)&gt;=100000,INDEX($AO$1005:$BQ$1005,1,MATCH(COLUMNS($AO$1006:BH1006),$AO$1006:$BQ$1006,0))&gt;=100000), " ",IF(INDEX($AO$2:$BQ$1001,MATCH(ROWS($AH$2:AH102),$AH$2:$AH$1001,0),MATCH(COLUMNS($AO$1006:BH1006),$AO$1006:$BQ$1006,0)), HYPERLINK("#",""), HYPERLINK(CONCATENATE("#Metadata!", ADDRESS(INDEX($AJ$2:$AJ$1001,MATCH(ROWS($AH$2:AH102),$AH$2:$AH$1001,0),0), INDEX($AO$1004:$BQ$1004,1,MATCH(COLUMNS($AO$1006:BH1006),$AO$1006:$BQ$1006,0)))),"Fix")))</f>
        <v>#N/A</v>
      </c>
      <c r="V102" s="5" t="e">
        <f ca="1">IF(OR(INDEX($AI$2:$AI$1001,MATCH(ROWS($AH$2:AH102),$AH$2:$AH$1001,0),1)&gt;=100000,INDEX($AO$1005:$BQ$1005,1,MATCH(COLUMNS($AO$1006:BI1006),$AO$1006:$BQ$1006,0))&gt;=100000), " ",IF(INDEX($AO$2:$BQ$1001,MATCH(ROWS($AH$2:AH102),$AH$2:$AH$1001,0),MATCH(COLUMNS($AO$1006:BI1006),$AO$1006:$BQ$1006,0)), HYPERLINK("#",""), HYPERLINK(CONCATENATE("#Metadata!", ADDRESS(INDEX($AJ$2:$AJ$1001,MATCH(ROWS($AH$2:AH102),$AH$2:$AH$1001,0),0), INDEX($AO$1004:$BQ$1004,1,MATCH(COLUMNS($AO$1006:BI1006),$AO$1006:$BQ$1006,0)))),"Fix")))</f>
        <v>#N/A</v>
      </c>
      <c r="W102" s="5" t="e">
        <f ca="1">IF(OR(INDEX($AI$2:$AI$1001,MATCH(ROWS($AH$2:AH102),$AH$2:$AH$1001,0),1)&gt;=100000,INDEX($AO$1005:$BQ$1005,1,MATCH(COLUMNS($AO$1006:BJ1006),$AO$1006:$BQ$1006,0))&gt;=100000), " ",IF(INDEX($AO$2:$BQ$1001,MATCH(ROWS($AH$2:AH102),$AH$2:$AH$1001,0),MATCH(COLUMNS($AO$1006:BJ1006),$AO$1006:$BQ$1006,0)), HYPERLINK("#",""), HYPERLINK(CONCATENATE("#Metadata!", ADDRESS(INDEX($AJ$2:$AJ$1001,MATCH(ROWS($AH$2:AH102),$AH$2:$AH$1001,0),0), INDEX($AO$1004:$BQ$1004,1,MATCH(COLUMNS($AO$1006:BJ1006),$AO$1006:$BQ$1006,0)))),"Fix")))</f>
        <v>#N/A</v>
      </c>
      <c r="X102" s="5" t="e">
        <f ca="1">IF(OR(INDEX($AI$2:$AI$1001,MATCH(ROWS($AH$2:AH102),$AH$2:$AH$1001,0),1)&gt;=100000,INDEX($AO$1005:$BQ$1005,1,MATCH(COLUMNS($AO$1006:BK1006),$AO$1006:$BQ$1006,0))&gt;=100000), " ",IF(INDEX($AO$2:$BQ$1001,MATCH(ROWS($AH$2:AH102),$AH$2:$AH$1001,0),MATCH(COLUMNS($AO$1006:BK1006),$AO$1006:$BQ$1006,0)), HYPERLINK("#",""), HYPERLINK(CONCATENATE("#Metadata!", ADDRESS(INDEX($AJ$2:$AJ$1001,MATCH(ROWS($AH$2:AH102),$AH$2:$AH$1001,0),0), INDEX($AO$1004:$BQ$1004,1,MATCH(COLUMNS($AO$1006:BK1006),$AO$1006:$BQ$1006,0)))),"Fix")))</f>
        <v>#N/A</v>
      </c>
      <c r="Y102" s="5" t="e">
        <f ca="1">IF(OR(INDEX($AI$2:$AI$1001,MATCH(ROWS($AH$2:AH102),$AH$2:$AH$1001,0),1)&gt;=100000,INDEX($AO$1005:$BQ$1005,1,MATCH(COLUMNS($AO$1006:BL1006),$AO$1006:$BQ$1006,0))&gt;=100000), " ",IF(INDEX($AO$2:$BQ$1001,MATCH(ROWS($AH$2:AH102),$AH$2:$AH$1001,0),MATCH(COLUMNS($AO$1006:BL1006),$AO$1006:$BQ$1006,0)), HYPERLINK("#",""), HYPERLINK(CONCATENATE("#Metadata!", ADDRESS(INDEX($AJ$2:$AJ$1001,MATCH(ROWS($AH$2:AH102),$AH$2:$AH$1001,0),0), INDEX($AO$1004:$BQ$1004,1,MATCH(COLUMNS($AO$1006:BL1006),$AO$1006:$BQ$1006,0)))),"Fix")))</f>
        <v>#N/A</v>
      </c>
      <c r="Z102" s="5" t="e">
        <f ca="1">IF(OR(INDEX($AI$2:$AI$1001,MATCH(ROWS($AH$2:AH102),$AH$2:$AH$1001,0),1)&gt;=100000,INDEX($AO$1005:$BQ$1005,1,MATCH(COLUMNS($AO$1006:BM1006),$AO$1006:$BQ$1006,0))&gt;=100000), " ",IF(INDEX($AO$2:$BQ$1001,MATCH(ROWS($AH$2:AH102),$AH$2:$AH$1001,0),MATCH(COLUMNS($AO$1006:BM1006),$AO$1006:$BQ$1006,0)), HYPERLINK("#",""), HYPERLINK(CONCATENATE("#Metadata!", ADDRESS(INDEX($AJ$2:$AJ$1001,MATCH(ROWS($AH$2:AH102),$AH$2:$AH$1001,0),0), INDEX($AO$1004:$BQ$1004,1,MATCH(COLUMNS($AO$1006:BM1006),$AO$1006:$BQ$1006,0)))),"Fix")))</f>
        <v>#N/A</v>
      </c>
      <c r="AA102" s="5" t="e">
        <f ca="1">IF(OR(INDEX($AI$2:$AI$1001,MATCH(ROWS($AH$2:AH102),$AH$2:$AH$1001,0),1)&gt;=100000,INDEX($AO$1005:$BQ$1005,1,MATCH(COLUMNS($AO$1006:BN1006),$AO$1006:$BQ$1006,0))&gt;=100000), " ",IF(INDEX($AO$2:$BQ$1001,MATCH(ROWS($AH$2:AH102),$AH$2:$AH$1001,0),MATCH(COLUMNS($AO$1006:BN1006),$AO$1006:$BQ$1006,0)), HYPERLINK("#",""), HYPERLINK(CONCATENATE("#Metadata!", ADDRESS(INDEX($AJ$2:$AJ$1001,MATCH(ROWS($AH$2:AH102),$AH$2:$AH$1001,0),0), INDEX($AO$1004:$BQ$1004,1,MATCH(COLUMNS($AO$1006:BN1006),$AO$1006:$BQ$1006,0)))),"Fix")))</f>
        <v>#N/A</v>
      </c>
      <c r="AB102" s="5" t="e">
        <f ca="1">IF(OR(INDEX($AI$2:$AI$1001,MATCH(ROWS($AH$2:AH102),$AH$2:$AH$1001,0),1)&gt;=100000,INDEX($AO$1005:$BQ$1005,1,MATCH(COLUMNS($AO$1006:BO1006),$AO$1006:$BQ$1006,0))&gt;=100000), " ",IF(INDEX($AO$2:$BQ$1001,MATCH(ROWS($AH$2:AH102),$AH$2:$AH$1001,0),MATCH(COLUMNS($AO$1006:BO1006),$AO$1006:$BQ$1006,0)), HYPERLINK("#",""), HYPERLINK(CONCATENATE("#Metadata!", ADDRESS(INDEX($AJ$2:$AJ$1001,MATCH(ROWS($AH$2:AH102),$AH$2:$AH$1001,0),0), INDEX($AO$1004:$BQ$1004,1,MATCH(COLUMNS($AO$1006:BO1006),$AO$1006:$BQ$1006,0)))),"Fix")))</f>
        <v>#N/A</v>
      </c>
      <c r="AC102" s="5" t="e">
        <f ca="1">IF(OR(INDEX($AI$2:$AI$1001,MATCH(ROWS($AH$2:AH102),$AH$2:$AH$1001,0),1)&gt;=100000,INDEX($AO$1005:$BQ$1005,1,MATCH(COLUMNS($AO$1006:BP1006),$AO$1006:$BQ$1006,0))&gt;=100000), " ",IF(INDEX($AO$2:$BQ$1001,MATCH(ROWS($AH$2:AH102),$AH$2:$AH$1001,0),MATCH(COLUMNS($AO$1006:BP1006),$AO$1006:$BQ$1006,0)), HYPERLINK("#",""), HYPERLINK(CONCATENATE("#Metadata!", ADDRESS(INDEX($AJ$2:$AJ$1001,MATCH(ROWS($AH$2:AH102),$AH$2:$AH$1001,0),0), INDEX($AO$1004:$BQ$1004,1,MATCH(COLUMNS($AO$1006:BP1006),$AO$1006:$BQ$1006,0)))),"Fix")))</f>
        <v>#N/A</v>
      </c>
      <c r="AD102" s="5" t="e">
        <f ca="1">IF(OR(INDEX($AI$2:$AI$1001,MATCH(ROWS($AH$2:AH102),$AH$2:$AH$1001,0),1)&gt;=100000,INDEX($AO$1005:$BQ$1005,1,MATCH(COLUMNS($AO$1006:BQ1006),$AO$1006:$BQ$1006,0))&gt;=100000), " ",IF(INDEX($AO$2:$BQ$1001,MATCH(ROWS($AH$2:AH102),$AH$2:$AH$1001,0),MATCH(COLUMNS($AO$1006:BQ1006),$AO$1006:$BQ$1006,0)), HYPERLINK("#",""), HYPERLINK(CONCATENATE("#Metadata!", ADDRESS(INDEX($AJ$2:$AJ$1001,MATCH(ROWS($AH$2:AH102),$AH$2:$AH$1001,0),0), INDEX($AO$1004:$BQ$1004,1,MATCH(COLUMNS($AO$1006:BQ1006),$AO$1006:$BQ$1006,0)))),"Fix")))</f>
        <v>#REF!</v>
      </c>
      <c r="AH102">
        <f ca="1"/>
        <v>99</v>
      </c>
      <c r="AI102">
        <v>100102</v>
      </c>
      <c r="AJ102">
        <v>102</v>
      </c>
      <c r="AK102" t="b">
        <f t="shared" si="1"/>
        <v>1</v>
      </c>
      <c r="AL102" t="b">
        <f>COUNTBLANK(Metadata!B102:AD102)=COLUMNS(Metadata!B102:AD102)</f>
        <v>1</v>
      </c>
      <c r="AM102" t="str">
        <v/>
      </c>
      <c r="AO102" t="b">
        <f ca="1">AND(IF(Metadata!B102="",FALSE,TRUE),COUNTIF(Metadata!B:B, Metadata!B102) = 1,NOT(ISERROR(SUMPRODUCT(SEARCH(MID(Metadata!B102,ROW(INDIRECT("1:"&amp;LEN(Metadata!B102))), 1),"0123456789abcdefghijklmnopqrstuvwxyzABCDEFGHIJKLMNOPQRSTUVWXYZ.")))))</f>
        <v>0</v>
      </c>
      <c r="AP102" t="b">
        <f>IF(Metadata!C102="",FALSE,TRUE)</f>
        <v>0</v>
      </c>
      <c r="AQ102" t="b">
        <f>IF(Metadata!D102="",FALSE,TRUE)</f>
        <v>0</v>
      </c>
      <c r="AR102" t="b">
        <f ca="1">OR(AND(IF(Metadata!E102="",FALSE,TRUE),OR(EXACT(Metadata!E102,"not collected"),EXACT(Metadata!E102,"not provided"),EXACT(Metadata!E102,"restricted access"))),AND(IF(Metadata!E102="",FALSE,TRUE),AND(AND(IFERROR(INT(LEFT(Metadata!E102,4))&gt;1900,FALSE),IFERROR(INT(LEFT(Metadata!E102,4))&lt;=YEAR(NOW()),FALSE)), OR(MID(Metadata!E102,5,1)="", AND(AND(MID(Metadata!E102,5,1)="-",IFERROR(INT(MID(Metadata!E102,6,1))&gt;=0,FALSE),IFERROR(INT(MID(Metadata!E102,6,1))&lt;=1,FALSE),NOT(MID(Metadata!E102,7,1)=""),IFERROR(INT(MID(Metadata!E102,6,2))&gt;=1,FALSE),IFERROR(INT(MID(Metadata!E102,6,2))&lt;=12,FALSE)), OR(MID(Metadata!E102,8,1)="", AND(AND(MID(Metadata!E102,8,1)="-",IFERROR(INT(MID(Metadata!E102,9,1))&gt;=0,FALSE),IFERROR(INT(MID(Metadata!E102,9,1))&lt;=3,FALSE),NOT(MID(Metadata!E102,10,1)=""),IFERROR(INT(MID(Metadata!E102,9,2))&gt;=1,FALSE),IFERROR(INT(MID(Metadata!E102,9,2))&lt;=31,FALSE)), OR(MID(Metadata!E102,11,1)="", AND(AND(MID(Metadata!E102,11,1)=" ",IFERROR(INT(MID(Metadata!E102,12,1))&gt;=0,FALSE),IFERROR(INT(MID(Metadata!E102,12,1))&lt;=2,FALSE),NOT(MID(Metadata!E102,13,1)=""),IFERROR(INT(MID(Metadata!E102,12,2))&gt;=0,FALSE),IFERROR(INT(MID(Metadata!E102,12,2))&lt;=23,FALSE)), OR(MID(Metadata!E102,14,1)="", AND(AND(MID(Metadata!E102,14,1)=":",IFERROR(INT(MID(Metadata!E102,15,1))&gt;=0,FALSE),IFERROR(INT(MID(Metadata!E102,15,1))&lt;=5,FALSE),NOT(MID(Metadata!E102,16,1)=""),IFERROR(INT(MID(Metadata!E102,15,2))&gt;=0,FALSE),IFERROR(INT(MID(Metadata!E102,15,2))&lt;=59,FALSE)), OR(MID(Metadata!E102,17,1)="", AND(AND(MID(Metadata!E102,17,1)=":",IFERROR(INT(MID(Metadata!E102,18,1))&gt;=0,FALSE),IFERROR(INT(MID(Metadata!E102,18,1))&lt;=5,FALSE),NOT(MID(Metadata!E102,19,1)=""),IFERROR(INT(MID(Metadata!E102,18,2))&gt;=0,FALSE),IFERROR(INT(MID(Metadata!E102,18,2))&lt;=59,FALSE)), LEN(Metadata!E102)&lt;=19)))))))))))))</f>
        <v>0</v>
      </c>
      <c r="AS102" t="b">
        <f>IF(Metadata!F102="",FALSE,TRUE)</f>
        <v>0</v>
      </c>
      <c r="AT102" t="b">
        <f>OR(AND(IF(Metadata!G102="",FALSE,TRUE),OR(EXACT(Metadata!G102,"not collected"),EXACT(Metadata!G102,"not provided"))),AND(IF(Metadata!G102="",FALSE,TRUE),OR(EXACT(Metadata!G102,"TRUE"),EXACT(Metadata!G102,"FALSE"))))</f>
        <v>0</v>
      </c>
      <c r="AU102" t="b">
        <f>OR(AND(IF(Metadata!H102="",FALSE,TRUE),OR(EXACT(Metadata!H102,"not collected"),EXACT(Metadata!H102,"not provided"),EXACT(Metadata!H102,"restricted access"))),AND(IF(Metadata!H102="",FALSE,ISNUMBER(VALUE(Metadata!H102))),Metadata!H102&gt;=-413))</f>
        <v>0</v>
      </c>
      <c r="AV102" t="b">
        <f>AND(IF(Metadata!I102="",FALSE,TRUE),EXACT(Metadata!I102,"meters"))</f>
        <v>0</v>
      </c>
      <c r="AW102" t="b">
        <f>AND(IF(Metadata!J102="",FALSE,TRUE),EXACT(Metadata!J102,"free-living"))</f>
        <v>0</v>
      </c>
      <c r="AX102" t="b">
        <f>AND(IF(Metadata!K102="",FALSE,TRUE),OR(EXACT(Metadata!K102,"saline"),EXACT(Metadata!K102,"non-saline")))</f>
        <v>0</v>
      </c>
      <c r="AY102" t="b">
        <f>AND(IF(Metadata!L102="",FALSE,TRUE),OR(EXACT(Metadata!L102,"sub-surface (non-saline)"),EXACT(Metadata!L102,"surface (non-saline)"),EXACT(Metadata!L102,"water (non-saline)"),EXACT(Metadata!L102,"soil (non-saline)"),EXACT(Metadata!L102,"aerosol (non-saline)"),EXACT(Metadata!L102,"sediment (non-saline)"),EXACT(Metadata!L102,"surface (saline)"),EXACT(Metadata!L102,"water (saline)"),EXACT(Metadata!L102,"hypersaline (saline)"),EXACT(Metadata!L102,"aerosol (saline)"),EXACT(Metadata!L102,"sediment (saline)")))</f>
        <v>0</v>
      </c>
      <c r="AZ102" t="b">
        <f>IF(Metadata!M102="",FALSE,TRUE)</f>
        <v>0</v>
      </c>
      <c r="BA102" t="b">
        <f>IF(Metadata!N102="",FALSE,TRUE)</f>
        <v>0</v>
      </c>
      <c r="BB102" t="b">
        <f>IF(Metadata!O102="",FALSE,TRUE)</f>
        <v>0</v>
      </c>
      <c r="BC102" t="b">
        <f>AND(IF(Metadata!P102="",FALSE,TRUE),OR(EXACT(Metadata!P102,"air"),EXACT(Metadata!P102,"microbial mat/biofilm"),EXACT(Metadata!P102,"misc environment"),EXACT(Metadata!P102,"sediment"),EXACT(Metadata!P102,"soil"),EXACT(Metadata!P102,"wastewater/sludge"),EXACT(Metadata!P102,"water")))</f>
        <v>0</v>
      </c>
      <c r="BD102" t="b">
        <f>IF(Metadata!Q102="",FALSE,TRUE)</f>
        <v>0</v>
      </c>
      <c r="BE102" t="b">
        <f>IF(Metadata!R102="",FALSE,TRUE)</f>
        <v>0</v>
      </c>
      <c r="BF102" t="b">
        <f>OR(AND(IF(Metadata!S102="",FALSE,TRUE),OR(EXACT(Metadata!S102,"not collected"),EXACT(Metadata!S102,"not provided"),EXACT(Metadata!S102,"restricted access"))),AND(IF(Metadata!S102="",FALSE,ISNUMBER(VALUE(Metadata!S102))),Metadata!S102&gt;=-90,Metadata!S102&lt;=90))</f>
        <v>0</v>
      </c>
      <c r="BG102" t="b">
        <f>AND(IF(Metadata!T102="",FALSE,TRUE),EXACT(Metadata!T102,"Decimal degrees"))</f>
        <v>0</v>
      </c>
      <c r="BH102" t="b">
        <f>OR(AND(IF(Metadata!U102="",FALSE,TRUE),OR(EXACT(Metadata!U102,"not applicable"),EXACT(Metadata!U102,"not collected"))),IF(Metadata!U102="",FALSE,TRUE))</f>
        <v>0</v>
      </c>
      <c r="BI102" t="b">
        <f>OR(AND(IF(Metadata!V102="",FALSE,TRUE),OR(EXACT(Metadata!V102,"not collected"),EXACT(Metadata!V102,"not provided"),EXACT(Metadata!V102,"restricted access"))),AND(IF(Metadata!V102="",FALSE,ISNUMBER(VALUE(Metadata!V102))),Metadata!V102&gt;=-180,Metadata!V102&lt;=180))</f>
        <v>0</v>
      </c>
      <c r="BJ102" t="b">
        <f>AND(IF(Metadata!W102="",FALSE,TRUE),EXACT(Metadata!W102,"Decimal degrees"))</f>
        <v>0</v>
      </c>
      <c r="BK102" t="b">
        <f>IF(Metadata!X102="",FALSE,TRUE)</f>
        <v>0</v>
      </c>
      <c r="BL102" t="b">
        <f>OR(AND(IF(Metadata!Y102="",FALSE,TRUE),OR(EXACT(Metadata!Y102,"not collected"),EXACT(Metadata!Y102,"not provided"),EXACT(Metadata!Y102,"restricted access"))),AND(IF(Metadata!Y102="",FALSE,TRUE),OR(EXACT(Metadata!Y102,"TRUE"),EXACT(Metadata!Y102,"FALSE"))))</f>
        <v>0</v>
      </c>
      <c r="BM102" t="b">
        <f>OR(AND(IF(Metadata!Z102="",FALSE,TRUE),EXACT(Metadata!Z102,"not applicable")),AND(IF(Metadata!Z102="",FALSE,TRUE),OR(EXACT(Metadata!Z102,"beer"),EXACT(Metadata!Z102,"cheese"),EXACT(Metadata!Z102,"fresh water"),EXACT(Metadata!Z102,"marine sediment"),EXACT(Metadata!Z102,"sea water"),EXACT(Metadata!Z102,"sediment"),EXACT(Metadata!Z102,"soil"),EXACT(Metadata!Z102,"waste water"))))</f>
        <v>0</v>
      </c>
      <c r="BN102" t="b">
        <f>AND(IF(Metadata!AA102="",FALSE,TRUE),EXACT(Metadata!AA102,"metagenome"))</f>
        <v>0</v>
      </c>
      <c r="BO102" t="b">
        <f>AND(IF(Metadata!AB102="",FALSE,TRUE),EXACT(Metadata!AB102,"256318"))</f>
        <v>0</v>
      </c>
      <c r="BP102" t="b">
        <f>IF(Metadata!AC102="",FALSE,TRUE)</f>
        <v>0</v>
      </c>
      <c r="BQ102" t="b">
        <f>IF(Metadata!AD102="",FALSE,TRUE)</f>
        <v>0</v>
      </c>
    </row>
    <row r="103" spans="1:69" x14ac:dyDescent="0.2">
      <c r="A103" s="4" t="e">
        <f ca="1">IF(B103=" "," ",HYPERLINK(CONCATENATE("#metadata!",ADDRESS(INDEX($AJ$2:$AJ$1001,MATCH(ROWS($AH$2:AH103),$AH$2:$AH$1001,0),0),2)),INDEX($AM$2:$AM$1001,MATCH(ROWS($AH$2:AH103),$AH$2:$AH$1001,0),0)))</f>
        <v>#N/A</v>
      </c>
      <c r="B103" s="5" t="e">
        <f ca="1">IF(OR(INDEX($AI$2:$AI$1001,MATCH(ROWS($AH$2:AH103),$AH$2:$AH$1001,0),1)&gt;=100000,INDEX($AO$1005:$BQ$1005,1,MATCH(COLUMNS($AO$1006:AO1006),$AO$1006:$BQ$1006,0))&gt;=100000), " ",IF(INDEX($AO$2:$BQ$1001,MATCH(ROWS($AH$2:AH103),$AH$2:$AH$1001,0),MATCH(COLUMNS($AO$1006:AO1006),$AO$1006:$BQ$1006,0)), HYPERLINK("#",""), HYPERLINK(CONCATENATE("#Metadata!", ADDRESS(INDEX($AJ$2:$AJ$1001,MATCH(ROWS($AH$2:AH103),$AH$2:$AH$1001,0),0), INDEX($AO$1004:$BQ$1004,1,MATCH(COLUMNS($AO$1006:AO1006),$AO$1006:$BQ$1006,0)))),"Fix")))</f>
        <v>#N/A</v>
      </c>
      <c r="C103" s="5" t="e">
        <f ca="1">IF(OR(INDEX($AI$2:$AI$1001,MATCH(ROWS($AH$2:AH103),$AH$2:$AH$1001,0),1)&gt;=100000,INDEX($AO$1005:$BQ$1005,1,MATCH(COLUMNS($AO$1006:AP1006),$AO$1006:$BQ$1006,0))&gt;=100000), " ",IF(INDEX($AO$2:$BQ$1001,MATCH(ROWS($AH$2:AH103),$AH$2:$AH$1001,0),MATCH(COLUMNS($AO$1006:AP1006),$AO$1006:$BQ$1006,0)), HYPERLINK("#",""), HYPERLINK(CONCATENATE("#Metadata!", ADDRESS(INDEX($AJ$2:$AJ$1001,MATCH(ROWS($AH$2:AH103),$AH$2:$AH$1001,0),0), INDEX($AO$1004:$BQ$1004,1,MATCH(COLUMNS($AO$1006:AP1006),$AO$1006:$BQ$1006,0)))),"Fix")))</f>
        <v>#N/A</v>
      </c>
      <c r="D103" s="5" t="e">
        <f ca="1">IF(OR(INDEX($AI$2:$AI$1001,MATCH(ROWS($AH$2:AH103),$AH$2:$AH$1001,0),1)&gt;=100000,INDEX($AO$1005:$BQ$1005,1,MATCH(COLUMNS($AO$1006:AQ1006),$AO$1006:$BQ$1006,0))&gt;=100000), " ",IF(INDEX($AO$2:$BQ$1001,MATCH(ROWS($AH$2:AH103),$AH$2:$AH$1001,0),MATCH(COLUMNS($AO$1006:AQ1006),$AO$1006:$BQ$1006,0)), HYPERLINK("#",""), HYPERLINK(CONCATENATE("#Metadata!", ADDRESS(INDEX($AJ$2:$AJ$1001,MATCH(ROWS($AH$2:AH103),$AH$2:$AH$1001,0),0), INDEX($AO$1004:$BQ$1004,1,MATCH(COLUMNS($AO$1006:AQ1006),$AO$1006:$BQ$1006,0)))),"Fix")))</f>
        <v>#N/A</v>
      </c>
      <c r="E103" s="5" t="e">
        <f ca="1">IF(OR(INDEX($AI$2:$AI$1001,MATCH(ROWS($AH$2:AH103),$AH$2:$AH$1001,0),1)&gt;=100000,INDEX($AO$1005:$BQ$1005,1,MATCH(COLUMNS($AO$1006:AR1006),$AO$1006:$BQ$1006,0))&gt;=100000), " ",IF(INDEX($AO$2:$BQ$1001,MATCH(ROWS($AH$2:AH103),$AH$2:$AH$1001,0),MATCH(COLUMNS($AO$1006:AR1006),$AO$1006:$BQ$1006,0)), HYPERLINK("#",""), HYPERLINK(CONCATENATE("#Metadata!", ADDRESS(INDEX($AJ$2:$AJ$1001,MATCH(ROWS($AH$2:AH103),$AH$2:$AH$1001,0),0), INDEX($AO$1004:$BQ$1004,1,MATCH(COLUMNS($AO$1006:AR1006),$AO$1006:$BQ$1006,0)))),"Fix")))</f>
        <v>#N/A</v>
      </c>
      <c r="F103" s="5" t="e">
        <f ca="1">IF(OR(INDEX($AI$2:$AI$1001,MATCH(ROWS($AH$2:AH103),$AH$2:$AH$1001,0),1)&gt;=100000,INDEX($AO$1005:$BQ$1005,1,MATCH(COLUMNS($AO$1006:AS1006),$AO$1006:$BQ$1006,0))&gt;=100000), " ",IF(INDEX($AO$2:$BQ$1001,MATCH(ROWS($AH$2:AH103),$AH$2:$AH$1001,0),MATCH(COLUMNS($AO$1006:AS1006),$AO$1006:$BQ$1006,0)), HYPERLINK("#",""), HYPERLINK(CONCATENATE("#Metadata!", ADDRESS(INDEX($AJ$2:$AJ$1001,MATCH(ROWS($AH$2:AH103),$AH$2:$AH$1001,0),0), INDEX($AO$1004:$BQ$1004,1,MATCH(COLUMNS($AO$1006:AS1006),$AO$1006:$BQ$1006,0)))),"Fix")))</f>
        <v>#N/A</v>
      </c>
      <c r="G103" s="5" t="e">
        <f ca="1">IF(OR(INDEX($AI$2:$AI$1001,MATCH(ROWS($AH$2:AH103),$AH$2:$AH$1001,0),1)&gt;=100000,INDEX($AO$1005:$BQ$1005,1,MATCH(COLUMNS($AO$1006:AT1006),$AO$1006:$BQ$1006,0))&gt;=100000), " ",IF(INDEX($AO$2:$BQ$1001,MATCH(ROWS($AH$2:AH103),$AH$2:$AH$1001,0),MATCH(COLUMNS($AO$1006:AT1006),$AO$1006:$BQ$1006,0)), HYPERLINK("#",""), HYPERLINK(CONCATENATE("#Metadata!", ADDRESS(INDEX($AJ$2:$AJ$1001,MATCH(ROWS($AH$2:AH103),$AH$2:$AH$1001,0),0), INDEX($AO$1004:$BQ$1004,1,MATCH(COLUMNS($AO$1006:AT1006),$AO$1006:$BQ$1006,0)))),"Fix")))</f>
        <v>#N/A</v>
      </c>
      <c r="H103" s="5" t="e">
        <f ca="1">IF(OR(INDEX($AI$2:$AI$1001,MATCH(ROWS($AH$2:AH103),$AH$2:$AH$1001,0),1)&gt;=100000,INDEX($AO$1005:$BQ$1005,1,MATCH(COLUMNS($AO$1006:AU1006),$AO$1006:$BQ$1006,0))&gt;=100000), " ",IF(INDEX($AO$2:$BQ$1001,MATCH(ROWS($AH$2:AH103),$AH$2:$AH$1001,0),MATCH(COLUMNS($AO$1006:AU1006),$AO$1006:$BQ$1006,0)), HYPERLINK("#",""), HYPERLINK(CONCATENATE("#Metadata!", ADDRESS(INDEX($AJ$2:$AJ$1001,MATCH(ROWS($AH$2:AH103),$AH$2:$AH$1001,0),0), INDEX($AO$1004:$BQ$1004,1,MATCH(COLUMNS($AO$1006:AU1006),$AO$1006:$BQ$1006,0)))),"Fix")))</f>
        <v>#N/A</v>
      </c>
      <c r="I103" s="5" t="e">
        <f ca="1">IF(OR(INDEX($AI$2:$AI$1001,MATCH(ROWS($AH$2:AH103),$AH$2:$AH$1001,0),1)&gt;=100000,INDEX($AO$1005:$BQ$1005,1,MATCH(COLUMNS($AO$1006:AV1006),$AO$1006:$BQ$1006,0))&gt;=100000), " ",IF(INDEX($AO$2:$BQ$1001,MATCH(ROWS($AH$2:AH103),$AH$2:$AH$1001,0),MATCH(COLUMNS($AO$1006:AV1006),$AO$1006:$BQ$1006,0)), HYPERLINK("#",""), HYPERLINK(CONCATENATE("#Metadata!", ADDRESS(INDEX($AJ$2:$AJ$1001,MATCH(ROWS($AH$2:AH103),$AH$2:$AH$1001,0),0), INDEX($AO$1004:$BQ$1004,1,MATCH(COLUMNS($AO$1006:AV1006),$AO$1006:$BQ$1006,0)))),"Fix")))</f>
        <v>#N/A</v>
      </c>
      <c r="J103" s="5" t="e">
        <f ca="1">IF(OR(INDEX($AI$2:$AI$1001,MATCH(ROWS($AH$2:AH103),$AH$2:$AH$1001,0),1)&gt;=100000,INDEX($AO$1005:$BQ$1005,1,MATCH(COLUMNS($AO$1006:AW1006),$AO$1006:$BQ$1006,0))&gt;=100000), " ",IF(INDEX($AO$2:$BQ$1001,MATCH(ROWS($AH$2:AH103),$AH$2:$AH$1001,0),MATCH(COLUMNS($AO$1006:AW1006),$AO$1006:$BQ$1006,0)), HYPERLINK("#",""), HYPERLINK(CONCATENATE("#Metadata!", ADDRESS(INDEX($AJ$2:$AJ$1001,MATCH(ROWS($AH$2:AH103),$AH$2:$AH$1001,0),0), INDEX($AO$1004:$BQ$1004,1,MATCH(COLUMNS($AO$1006:AW1006),$AO$1006:$BQ$1006,0)))),"Fix")))</f>
        <v>#N/A</v>
      </c>
      <c r="K103" s="5" t="e">
        <f ca="1">IF(OR(INDEX($AI$2:$AI$1001,MATCH(ROWS($AH$2:AH103),$AH$2:$AH$1001,0),1)&gt;=100000,INDEX($AO$1005:$BQ$1005,1,MATCH(COLUMNS($AO$1006:AX1006),$AO$1006:$BQ$1006,0))&gt;=100000), " ",IF(INDEX($AO$2:$BQ$1001,MATCH(ROWS($AH$2:AH103),$AH$2:$AH$1001,0),MATCH(COLUMNS($AO$1006:AX1006),$AO$1006:$BQ$1006,0)), HYPERLINK("#",""), HYPERLINK(CONCATENATE("#Metadata!", ADDRESS(INDEX($AJ$2:$AJ$1001,MATCH(ROWS($AH$2:AH103),$AH$2:$AH$1001,0),0), INDEX($AO$1004:$BQ$1004,1,MATCH(COLUMNS($AO$1006:AX1006),$AO$1006:$BQ$1006,0)))),"Fix")))</f>
        <v>#N/A</v>
      </c>
      <c r="L103" s="5" t="e">
        <f ca="1">IF(OR(INDEX($AI$2:$AI$1001,MATCH(ROWS($AH$2:AH103),$AH$2:$AH$1001,0),1)&gt;=100000,INDEX($AO$1005:$BQ$1005,1,MATCH(COLUMNS($AO$1006:AY1006),$AO$1006:$BQ$1006,0))&gt;=100000), " ",IF(INDEX($AO$2:$BQ$1001,MATCH(ROWS($AH$2:AH103),$AH$2:$AH$1001,0),MATCH(COLUMNS($AO$1006:AY1006),$AO$1006:$BQ$1006,0)), HYPERLINK("#",""), HYPERLINK(CONCATENATE("#Metadata!", ADDRESS(INDEX($AJ$2:$AJ$1001,MATCH(ROWS($AH$2:AH103),$AH$2:$AH$1001,0),0), INDEX($AO$1004:$BQ$1004,1,MATCH(COLUMNS($AO$1006:AY1006),$AO$1006:$BQ$1006,0)))),"Fix")))</f>
        <v>#N/A</v>
      </c>
      <c r="M103" s="5" t="e">
        <f ca="1">IF(OR(INDEX($AI$2:$AI$1001,MATCH(ROWS($AH$2:AH103),$AH$2:$AH$1001,0),1)&gt;=100000,INDEX($AO$1005:$BQ$1005,1,MATCH(COLUMNS($AO$1006:AZ1006),$AO$1006:$BQ$1006,0))&gt;=100000), " ",IF(INDEX($AO$2:$BQ$1001,MATCH(ROWS($AH$2:AH103),$AH$2:$AH$1001,0),MATCH(COLUMNS($AO$1006:AZ1006),$AO$1006:$BQ$1006,0)), HYPERLINK("#",""), HYPERLINK(CONCATENATE("#Metadata!", ADDRESS(INDEX($AJ$2:$AJ$1001,MATCH(ROWS($AH$2:AH103),$AH$2:$AH$1001,0),0), INDEX($AO$1004:$BQ$1004,1,MATCH(COLUMNS($AO$1006:AZ1006),$AO$1006:$BQ$1006,0)))),"Fix")))</f>
        <v>#N/A</v>
      </c>
      <c r="N103" s="5" t="e">
        <f ca="1">IF(OR(INDEX($AI$2:$AI$1001,MATCH(ROWS($AH$2:AH103),$AH$2:$AH$1001,0),1)&gt;=100000,INDEX($AO$1005:$BQ$1005,1,MATCH(COLUMNS($AO$1006:BA1006),$AO$1006:$BQ$1006,0))&gt;=100000), " ",IF(INDEX($AO$2:$BQ$1001,MATCH(ROWS($AH$2:AH103),$AH$2:$AH$1001,0),MATCH(COLUMNS($AO$1006:BA1006),$AO$1006:$BQ$1006,0)), HYPERLINK("#",""), HYPERLINK(CONCATENATE("#Metadata!", ADDRESS(INDEX($AJ$2:$AJ$1001,MATCH(ROWS($AH$2:AH103),$AH$2:$AH$1001,0),0), INDEX($AO$1004:$BQ$1004,1,MATCH(COLUMNS($AO$1006:BA1006),$AO$1006:$BQ$1006,0)))),"Fix")))</f>
        <v>#N/A</v>
      </c>
      <c r="O103" s="5" t="e">
        <f ca="1">IF(OR(INDEX($AI$2:$AI$1001,MATCH(ROWS($AH$2:AH103),$AH$2:$AH$1001,0),1)&gt;=100000,INDEX($AO$1005:$BQ$1005,1,MATCH(COLUMNS($AO$1006:BB1006),$AO$1006:$BQ$1006,0))&gt;=100000), " ",IF(INDEX($AO$2:$BQ$1001,MATCH(ROWS($AH$2:AH103),$AH$2:$AH$1001,0),MATCH(COLUMNS($AO$1006:BB1006),$AO$1006:$BQ$1006,0)), HYPERLINK("#",""), HYPERLINK(CONCATENATE("#Metadata!", ADDRESS(INDEX($AJ$2:$AJ$1001,MATCH(ROWS($AH$2:AH103),$AH$2:$AH$1001,0),0), INDEX($AO$1004:$BQ$1004,1,MATCH(COLUMNS($AO$1006:BB1006),$AO$1006:$BQ$1006,0)))),"Fix")))</f>
        <v>#N/A</v>
      </c>
      <c r="P103" s="5" t="e">
        <f ca="1">IF(OR(INDEX($AI$2:$AI$1001,MATCH(ROWS($AH$2:AH103),$AH$2:$AH$1001,0),1)&gt;=100000,INDEX($AO$1005:$BQ$1005,1,MATCH(COLUMNS($AO$1006:BC1006),$AO$1006:$BQ$1006,0))&gt;=100000), " ",IF(INDEX($AO$2:$BQ$1001,MATCH(ROWS($AH$2:AH103),$AH$2:$AH$1001,0),MATCH(COLUMNS($AO$1006:BC1006),$AO$1006:$BQ$1006,0)), HYPERLINK("#",""), HYPERLINK(CONCATENATE("#Metadata!", ADDRESS(INDEX($AJ$2:$AJ$1001,MATCH(ROWS($AH$2:AH103),$AH$2:$AH$1001,0),0), INDEX($AO$1004:$BQ$1004,1,MATCH(COLUMNS($AO$1006:BC1006),$AO$1006:$BQ$1006,0)))),"Fix")))</f>
        <v>#N/A</v>
      </c>
      <c r="Q103" s="5" t="e">
        <f ca="1">IF(OR(INDEX($AI$2:$AI$1001,MATCH(ROWS($AH$2:AH103),$AH$2:$AH$1001,0),1)&gt;=100000,INDEX($AO$1005:$BQ$1005,1,MATCH(COLUMNS($AO$1006:BD1006),$AO$1006:$BQ$1006,0))&gt;=100000), " ",IF(INDEX($AO$2:$BQ$1001,MATCH(ROWS($AH$2:AH103),$AH$2:$AH$1001,0),MATCH(COLUMNS($AO$1006:BD1006),$AO$1006:$BQ$1006,0)), HYPERLINK("#",""), HYPERLINK(CONCATENATE("#Metadata!", ADDRESS(INDEX($AJ$2:$AJ$1001,MATCH(ROWS($AH$2:AH103),$AH$2:$AH$1001,0),0), INDEX($AO$1004:$BQ$1004,1,MATCH(COLUMNS($AO$1006:BD1006),$AO$1006:$BQ$1006,0)))),"Fix")))</f>
        <v>#N/A</v>
      </c>
      <c r="R103" s="5" t="e">
        <f ca="1">IF(OR(INDEX($AI$2:$AI$1001,MATCH(ROWS($AH$2:AH103),$AH$2:$AH$1001,0),1)&gt;=100000,INDEX($AO$1005:$BQ$1005,1,MATCH(COLUMNS($AO$1006:BE1006),$AO$1006:$BQ$1006,0))&gt;=100000), " ",IF(INDEX($AO$2:$BQ$1001,MATCH(ROWS($AH$2:AH103),$AH$2:$AH$1001,0),MATCH(COLUMNS($AO$1006:BE1006),$AO$1006:$BQ$1006,0)), HYPERLINK("#",""), HYPERLINK(CONCATENATE("#Metadata!", ADDRESS(INDEX($AJ$2:$AJ$1001,MATCH(ROWS($AH$2:AH103),$AH$2:$AH$1001,0),0), INDEX($AO$1004:$BQ$1004,1,MATCH(COLUMNS($AO$1006:BE1006),$AO$1006:$BQ$1006,0)))),"Fix")))</f>
        <v>#N/A</v>
      </c>
      <c r="S103" s="5" t="e">
        <f ca="1">IF(OR(INDEX($AI$2:$AI$1001,MATCH(ROWS($AH$2:AH103),$AH$2:$AH$1001,0),1)&gt;=100000,INDEX($AO$1005:$BQ$1005,1,MATCH(COLUMNS($AO$1006:BF1006),$AO$1006:$BQ$1006,0))&gt;=100000), " ",IF(INDEX($AO$2:$BQ$1001,MATCH(ROWS($AH$2:AH103),$AH$2:$AH$1001,0),MATCH(COLUMNS($AO$1006:BF1006),$AO$1006:$BQ$1006,0)), HYPERLINK("#",""), HYPERLINK(CONCATENATE("#Metadata!", ADDRESS(INDEX($AJ$2:$AJ$1001,MATCH(ROWS($AH$2:AH103),$AH$2:$AH$1001,0),0), INDEX($AO$1004:$BQ$1004,1,MATCH(COLUMNS($AO$1006:BF1006),$AO$1006:$BQ$1006,0)))),"Fix")))</f>
        <v>#N/A</v>
      </c>
      <c r="T103" s="5" t="e">
        <f ca="1">IF(OR(INDEX($AI$2:$AI$1001,MATCH(ROWS($AH$2:AH103),$AH$2:$AH$1001,0),1)&gt;=100000,INDEX($AO$1005:$BQ$1005,1,MATCH(COLUMNS($AO$1006:BG1006),$AO$1006:$BQ$1006,0))&gt;=100000), " ",IF(INDEX($AO$2:$BQ$1001,MATCH(ROWS($AH$2:AH103),$AH$2:$AH$1001,0),MATCH(COLUMNS($AO$1006:BG1006),$AO$1006:$BQ$1006,0)), HYPERLINK("#",""), HYPERLINK(CONCATENATE("#Metadata!", ADDRESS(INDEX($AJ$2:$AJ$1001,MATCH(ROWS($AH$2:AH103),$AH$2:$AH$1001,0),0), INDEX($AO$1004:$BQ$1004,1,MATCH(COLUMNS($AO$1006:BG1006),$AO$1006:$BQ$1006,0)))),"Fix")))</f>
        <v>#N/A</v>
      </c>
      <c r="U103" s="5" t="e">
        <f ca="1">IF(OR(INDEX($AI$2:$AI$1001,MATCH(ROWS($AH$2:AH103),$AH$2:$AH$1001,0),1)&gt;=100000,INDEX($AO$1005:$BQ$1005,1,MATCH(COLUMNS($AO$1006:BH1006),$AO$1006:$BQ$1006,0))&gt;=100000), " ",IF(INDEX($AO$2:$BQ$1001,MATCH(ROWS($AH$2:AH103),$AH$2:$AH$1001,0),MATCH(COLUMNS($AO$1006:BH1006),$AO$1006:$BQ$1006,0)), HYPERLINK("#",""), HYPERLINK(CONCATENATE("#Metadata!", ADDRESS(INDEX($AJ$2:$AJ$1001,MATCH(ROWS($AH$2:AH103),$AH$2:$AH$1001,0),0), INDEX($AO$1004:$BQ$1004,1,MATCH(COLUMNS($AO$1006:BH1006),$AO$1006:$BQ$1006,0)))),"Fix")))</f>
        <v>#N/A</v>
      </c>
      <c r="V103" s="5" t="e">
        <f ca="1">IF(OR(INDEX($AI$2:$AI$1001,MATCH(ROWS($AH$2:AH103),$AH$2:$AH$1001,0),1)&gt;=100000,INDEX($AO$1005:$BQ$1005,1,MATCH(COLUMNS($AO$1006:BI1006),$AO$1006:$BQ$1006,0))&gt;=100000), " ",IF(INDEX($AO$2:$BQ$1001,MATCH(ROWS($AH$2:AH103),$AH$2:$AH$1001,0),MATCH(COLUMNS($AO$1006:BI1006),$AO$1006:$BQ$1006,0)), HYPERLINK("#",""), HYPERLINK(CONCATENATE("#Metadata!", ADDRESS(INDEX($AJ$2:$AJ$1001,MATCH(ROWS($AH$2:AH103),$AH$2:$AH$1001,0),0), INDEX($AO$1004:$BQ$1004,1,MATCH(COLUMNS($AO$1006:BI1006),$AO$1006:$BQ$1006,0)))),"Fix")))</f>
        <v>#N/A</v>
      </c>
      <c r="W103" s="5" t="e">
        <f ca="1">IF(OR(INDEX($AI$2:$AI$1001,MATCH(ROWS($AH$2:AH103),$AH$2:$AH$1001,0),1)&gt;=100000,INDEX($AO$1005:$BQ$1005,1,MATCH(COLUMNS($AO$1006:BJ1006),$AO$1006:$BQ$1006,0))&gt;=100000), " ",IF(INDEX($AO$2:$BQ$1001,MATCH(ROWS($AH$2:AH103),$AH$2:$AH$1001,0),MATCH(COLUMNS($AO$1006:BJ1006),$AO$1006:$BQ$1006,0)), HYPERLINK("#",""), HYPERLINK(CONCATENATE("#Metadata!", ADDRESS(INDEX($AJ$2:$AJ$1001,MATCH(ROWS($AH$2:AH103),$AH$2:$AH$1001,0),0), INDEX($AO$1004:$BQ$1004,1,MATCH(COLUMNS($AO$1006:BJ1006),$AO$1006:$BQ$1006,0)))),"Fix")))</f>
        <v>#N/A</v>
      </c>
      <c r="X103" s="5" t="e">
        <f ca="1">IF(OR(INDEX($AI$2:$AI$1001,MATCH(ROWS($AH$2:AH103),$AH$2:$AH$1001,0),1)&gt;=100000,INDEX($AO$1005:$BQ$1005,1,MATCH(COLUMNS($AO$1006:BK1006),$AO$1006:$BQ$1006,0))&gt;=100000), " ",IF(INDEX($AO$2:$BQ$1001,MATCH(ROWS($AH$2:AH103),$AH$2:$AH$1001,0),MATCH(COLUMNS($AO$1006:BK1006),$AO$1006:$BQ$1006,0)), HYPERLINK("#",""), HYPERLINK(CONCATENATE("#Metadata!", ADDRESS(INDEX($AJ$2:$AJ$1001,MATCH(ROWS($AH$2:AH103),$AH$2:$AH$1001,0),0), INDEX($AO$1004:$BQ$1004,1,MATCH(COLUMNS($AO$1006:BK1006),$AO$1006:$BQ$1006,0)))),"Fix")))</f>
        <v>#N/A</v>
      </c>
      <c r="Y103" s="5" t="e">
        <f ca="1">IF(OR(INDEX($AI$2:$AI$1001,MATCH(ROWS($AH$2:AH103),$AH$2:$AH$1001,0),1)&gt;=100000,INDEX($AO$1005:$BQ$1005,1,MATCH(COLUMNS($AO$1006:BL1006),$AO$1006:$BQ$1006,0))&gt;=100000), " ",IF(INDEX($AO$2:$BQ$1001,MATCH(ROWS($AH$2:AH103),$AH$2:$AH$1001,0),MATCH(COLUMNS($AO$1006:BL1006),$AO$1006:$BQ$1006,0)), HYPERLINK("#",""), HYPERLINK(CONCATENATE("#Metadata!", ADDRESS(INDEX($AJ$2:$AJ$1001,MATCH(ROWS($AH$2:AH103),$AH$2:$AH$1001,0),0), INDEX($AO$1004:$BQ$1004,1,MATCH(COLUMNS($AO$1006:BL1006),$AO$1006:$BQ$1006,0)))),"Fix")))</f>
        <v>#N/A</v>
      </c>
      <c r="Z103" s="5" t="e">
        <f ca="1">IF(OR(INDEX($AI$2:$AI$1001,MATCH(ROWS($AH$2:AH103),$AH$2:$AH$1001,0),1)&gt;=100000,INDEX($AO$1005:$BQ$1005,1,MATCH(COLUMNS($AO$1006:BM1006),$AO$1006:$BQ$1006,0))&gt;=100000), " ",IF(INDEX($AO$2:$BQ$1001,MATCH(ROWS($AH$2:AH103),$AH$2:$AH$1001,0),MATCH(COLUMNS($AO$1006:BM1006),$AO$1006:$BQ$1006,0)), HYPERLINK("#",""), HYPERLINK(CONCATENATE("#Metadata!", ADDRESS(INDEX($AJ$2:$AJ$1001,MATCH(ROWS($AH$2:AH103),$AH$2:$AH$1001,0),0), INDEX($AO$1004:$BQ$1004,1,MATCH(COLUMNS($AO$1006:BM1006),$AO$1006:$BQ$1006,0)))),"Fix")))</f>
        <v>#N/A</v>
      </c>
      <c r="AA103" s="5" t="e">
        <f ca="1">IF(OR(INDEX($AI$2:$AI$1001,MATCH(ROWS($AH$2:AH103),$AH$2:$AH$1001,0),1)&gt;=100000,INDEX($AO$1005:$BQ$1005,1,MATCH(COLUMNS($AO$1006:BN1006),$AO$1006:$BQ$1006,0))&gt;=100000), " ",IF(INDEX($AO$2:$BQ$1001,MATCH(ROWS($AH$2:AH103),$AH$2:$AH$1001,0),MATCH(COLUMNS($AO$1006:BN1006),$AO$1006:$BQ$1006,0)), HYPERLINK("#",""), HYPERLINK(CONCATENATE("#Metadata!", ADDRESS(INDEX($AJ$2:$AJ$1001,MATCH(ROWS($AH$2:AH103),$AH$2:$AH$1001,0),0), INDEX($AO$1004:$BQ$1004,1,MATCH(COLUMNS($AO$1006:BN1006),$AO$1006:$BQ$1006,0)))),"Fix")))</f>
        <v>#N/A</v>
      </c>
      <c r="AB103" s="5" t="e">
        <f ca="1">IF(OR(INDEX($AI$2:$AI$1001,MATCH(ROWS($AH$2:AH103),$AH$2:$AH$1001,0),1)&gt;=100000,INDEX($AO$1005:$BQ$1005,1,MATCH(COLUMNS($AO$1006:BO1006),$AO$1006:$BQ$1006,0))&gt;=100000), " ",IF(INDEX($AO$2:$BQ$1001,MATCH(ROWS($AH$2:AH103),$AH$2:$AH$1001,0),MATCH(COLUMNS($AO$1006:BO1006),$AO$1006:$BQ$1006,0)), HYPERLINK("#",""), HYPERLINK(CONCATENATE("#Metadata!", ADDRESS(INDEX($AJ$2:$AJ$1001,MATCH(ROWS($AH$2:AH103),$AH$2:$AH$1001,0),0), INDEX($AO$1004:$BQ$1004,1,MATCH(COLUMNS($AO$1006:BO1006),$AO$1006:$BQ$1006,0)))),"Fix")))</f>
        <v>#N/A</v>
      </c>
      <c r="AC103" s="5" t="e">
        <f ca="1">IF(OR(INDEX($AI$2:$AI$1001,MATCH(ROWS($AH$2:AH103),$AH$2:$AH$1001,0),1)&gt;=100000,INDEX($AO$1005:$BQ$1005,1,MATCH(COLUMNS($AO$1006:BP1006),$AO$1006:$BQ$1006,0))&gt;=100000), " ",IF(INDEX($AO$2:$BQ$1001,MATCH(ROWS($AH$2:AH103),$AH$2:$AH$1001,0),MATCH(COLUMNS($AO$1006:BP1006),$AO$1006:$BQ$1006,0)), HYPERLINK("#",""), HYPERLINK(CONCATENATE("#Metadata!", ADDRESS(INDEX($AJ$2:$AJ$1001,MATCH(ROWS($AH$2:AH103),$AH$2:$AH$1001,0),0), INDEX($AO$1004:$BQ$1004,1,MATCH(COLUMNS($AO$1006:BP1006),$AO$1006:$BQ$1006,0)))),"Fix")))</f>
        <v>#N/A</v>
      </c>
      <c r="AD103" s="5" t="e">
        <f ca="1">IF(OR(INDEX($AI$2:$AI$1001,MATCH(ROWS($AH$2:AH103),$AH$2:$AH$1001,0),1)&gt;=100000,INDEX($AO$1005:$BQ$1005,1,MATCH(COLUMNS($AO$1006:BQ1006),$AO$1006:$BQ$1006,0))&gt;=100000), " ",IF(INDEX($AO$2:$BQ$1001,MATCH(ROWS($AH$2:AH103),$AH$2:$AH$1001,0),MATCH(COLUMNS($AO$1006:BQ1006),$AO$1006:$BQ$1006,0)), HYPERLINK("#",""), HYPERLINK(CONCATENATE("#Metadata!", ADDRESS(INDEX($AJ$2:$AJ$1001,MATCH(ROWS($AH$2:AH103),$AH$2:$AH$1001,0),0), INDEX($AO$1004:$BQ$1004,1,MATCH(COLUMNS($AO$1006:BQ1006),$AO$1006:$BQ$1006,0)))),"Fix")))</f>
        <v>#REF!</v>
      </c>
      <c r="AH103">
        <f ca="1"/>
        <v>100</v>
      </c>
      <c r="AI103">
        <v>100103</v>
      </c>
      <c r="AJ103">
        <v>103</v>
      </c>
      <c r="AK103" t="b">
        <f t="shared" si="1"/>
        <v>1</v>
      </c>
      <c r="AL103" t="b">
        <f>COUNTBLANK(Metadata!B103:AD103)=COLUMNS(Metadata!B103:AD103)</f>
        <v>1</v>
      </c>
      <c r="AM103" t="str">
        <v/>
      </c>
      <c r="AO103" t="b">
        <f ca="1">AND(IF(Metadata!B103="",FALSE,TRUE),COUNTIF(Metadata!B:B, Metadata!B103) = 1,NOT(ISERROR(SUMPRODUCT(SEARCH(MID(Metadata!B103,ROW(INDIRECT("1:"&amp;LEN(Metadata!B103))), 1),"0123456789abcdefghijklmnopqrstuvwxyzABCDEFGHIJKLMNOPQRSTUVWXYZ.")))))</f>
        <v>0</v>
      </c>
      <c r="AP103" t="b">
        <f>IF(Metadata!C103="",FALSE,TRUE)</f>
        <v>0</v>
      </c>
      <c r="AQ103" t="b">
        <f>IF(Metadata!D103="",FALSE,TRUE)</f>
        <v>0</v>
      </c>
      <c r="AR103" t="b">
        <f ca="1">OR(AND(IF(Metadata!E103="",FALSE,TRUE),OR(EXACT(Metadata!E103,"not collected"),EXACT(Metadata!E103,"not provided"),EXACT(Metadata!E103,"restricted access"))),AND(IF(Metadata!E103="",FALSE,TRUE),AND(AND(IFERROR(INT(LEFT(Metadata!E103,4))&gt;1900,FALSE),IFERROR(INT(LEFT(Metadata!E103,4))&lt;=YEAR(NOW()),FALSE)), OR(MID(Metadata!E103,5,1)="", AND(AND(MID(Metadata!E103,5,1)="-",IFERROR(INT(MID(Metadata!E103,6,1))&gt;=0,FALSE),IFERROR(INT(MID(Metadata!E103,6,1))&lt;=1,FALSE),NOT(MID(Metadata!E103,7,1)=""),IFERROR(INT(MID(Metadata!E103,6,2))&gt;=1,FALSE),IFERROR(INT(MID(Metadata!E103,6,2))&lt;=12,FALSE)), OR(MID(Metadata!E103,8,1)="", AND(AND(MID(Metadata!E103,8,1)="-",IFERROR(INT(MID(Metadata!E103,9,1))&gt;=0,FALSE),IFERROR(INT(MID(Metadata!E103,9,1))&lt;=3,FALSE),NOT(MID(Metadata!E103,10,1)=""),IFERROR(INT(MID(Metadata!E103,9,2))&gt;=1,FALSE),IFERROR(INT(MID(Metadata!E103,9,2))&lt;=31,FALSE)), OR(MID(Metadata!E103,11,1)="", AND(AND(MID(Metadata!E103,11,1)=" ",IFERROR(INT(MID(Metadata!E103,12,1))&gt;=0,FALSE),IFERROR(INT(MID(Metadata!E103,12,1))&lt;=2,FALSE),NOT(MID(Metadata!E103,13,1)=""),IFERROR(INT(MID(Metadata!E103,12,2))&gt;=0,FALSE),IFERROR(INT(MID(Metadata!E103,12,2))&lt;=23,FALSE)), OR(MID(Metadata!E103,14,1)="", AND(AND(MID(Metadata!E103,14,1)=":",IFERROR(INT(MID(Metadata!E103,15,1))&gt;=0,FALSE),IFERROR(INT(MID(Metadata!E103,15,1))&lt;=5,FALSE),NOT(MID(Metadata!E103,16,1)=""),IFERROR(INT(MID(Metadata!E103,15,2))&gt;=0,FALSE),IFERROR(INT(MID(Metadata!E103,15,2))&lt;=59,FALSE)), OR(MID(Metadata!E103,17,1)="", AND(AND(MID(Metadata!E103,17,1)=":",IFERROR(INT(MID(Metadata!E103,18,1))&gt;=0,FALSE),IFERROR(INT(MID(Metadata!E103,18,1))&lt;=5,FALSE),NOT(MID(Metadata!E103,19,1)=""),IFERROR(INT(MID(Metadata!E103,18,2))&gt;=0,FALSE),IFERROR(INT(MID(Metadata!E103,18,2))&lt;=59,FALSE)), LEN(Metadata!E103)&lt;=19)))))))))))))</f>
        <v>0</v>
      </c>
      <c r="AS103" t="b">
        <f>IF(Metadata!F103="",FALSE,TRUE)</f>
        <v>0</v>
      </c>
      <c r="AT103" t="b">
        <f>OR(AND(IF(Metadata!G103="",FALSE,TRUE),OR(EXACT(Metadata!G103,"not collected"),EXACT(Metadata!G103,"not provided"))),AND(IF(Metadata!G103="",FALSE,TRUE),OR(EXACT(Metadata!G103,"TRUE"),EXACT(Metadata!G103,"FALSE"))))</f>
        <v>0</v>
      </c>
      <c r="AU103" t="b">
        <f>OR(AND(IF(Metadata!H103="",FALSE,TRUE),OR(EXACT(Metadata!H103,"not collected"),EXACT(Metadata!H103,"not provided"),EXACT(Metadata!H103,"restricted access"))),AND(IF(Metadata!H103="",FALSE,ISNUMBER(VALUE(Metadata!H103))),Metadata!H103&gt;=-413))</f>
        <v>0</v>
      </c>
      <c r="AV103" t="b">
        <f>AND(IF(Metadata!I103="",FALSE,TRUE),EXACT(Metadata!I103,"meters"))</f>
        <v>0</v>
      </c>
      <c r="AW103" t="b">
        <f>AND(IF(Metadata!J103="",FALSE,TRUE),EXACT(Metadata!J103,"free-living"))</f>
        <v>0</v>
      </c>
      <c r="AX103" t="b">
        <f>AND(IF(Metadata!K103="",FALSE,TRUE),OR(EXACT(Metadata!K103,"saline"),EXACT(Metadata!K103,"non-saline")))</f>
        <v>0</v>
      </c>
      <c r="AY103" t="b">
        <f>AND(IF(Metadata!L103="",FALSE,TRUE),OR(EXACT(Metadata!L103,"sub-surface (non-saline)"),EXACT(Metadata!L103,"surface (non-saline)"),EXACT(Metadata!L103,"water (non-saline)"),EXACT(Metadata!L103,"soil (non-saline)"),EXACT(Metadata!L103,"aerosol (non-saline)"),EXACT(Metadata!L103,"sediment (non-saline)"),EXACT(Metadata!L103,"surface (saline)"),EXACT(Metadata!L103,"water (saline)"),EXACT(Metadata!L103,"hypersaline (saline)"),EXACT(Metadata!L103,"aerosol (saline)"),EXACT(Metadata!L103,"sediment (saline)")))</f>
        <v>0</v>
      </c>
      <c r="AZ103" t="b">
        <f>IF(Metadata!M103="",FALSE,TRUE)</f>
        <v>0</v>
      </c>
      <c r="BA103" t="b">
        <f>IF(Metadata!N103="",FALSE,TRUE)</f>
        <v>0</v>
      </c>
      <c r="BB103" t="b">
        <f>IF(Metadata!O103="",FALSE,TRUE)</f>
        <v>0</v>
      </c>
      <c r="BC103" t="b">
        <f>AND(IF(Metadata!P103="",FALSE,TRUE),OR(EXACT(Metadata!P103,"air"),EXACT(Metadata!P103,"microbial mat/biofilm"),EXACT(Metadata!P103,"misc environment"),EXACT(Metadata!P103,"sediment"),EXACT(Metadata!P103,"soil"),EXACT(Metadata!P103,"wastewater/sludge"),EXACT(Metadata!P103,"water")))</f>
        <v>0</v>
      </c>
      <c r="BD103" t="b">
        <f>IF(Metadata!Q103="",FALSE,TRUE)</f>
        <v>0</v>
      </c>
      <c r="BE103" t="b">
        <f>IF(Metadata!R103="",FALSE,TRUE)</f>
        <v>0</v>
      </c>
      <c r="BF103" t="b">
        <f>OR(AND(IF(Metadata!S103="",FALSE,TRUE),OR(EXACT(Metadata!S103,"not collected"),EXACT(Metadata!S103,"not provided"),EXACT(Metadata!S103,"restricted access"))),AND(IF(Metadata!S103="",FALSE,ISNUMBER(VALUE(Metadata!S103))),Metadata!S103&gt;=-90,Metadata!S103&lt;=90))</f>
        <v>0</v>
      </c>
      <c r="BG103" t="b">
        <f>AND(IF(Metadata!T103="",FALSE,TRUE),EXACT(Metadata!T103,"Decimal degrees"))</f>
        <v>0</v>
      </c>
      <c r="BH103" t="b">
        <f>OR(AND(IF(Metadata!U103="",FALSE,TRUE),OR(EXACT(Metadata!U103,"not applicable"),EXACT(Metadata!U103,"not collected"))),IF(Metadata!U103="",FALSE,TRUE))</f>
        <v>0</v>
      </c>
      <c r="BI103" t="b">
        <f>OR(AND(IF(Metadata!V103="",FALSE,TRUE),OR(EXACT(Metadata!V103,"not collected"),EXACT(Metadata!V103,"not provided"),EXACT(Metadata!V103,"restricted access"))),AND(IF(Metadata!V103="",FALSE,ISNUMBER(VALUE(Metadata!V103))),Metadata!V103&gt;=-180,Metadata!V103&lt;=180))</f>
        <v>0</v>
      </c>
      <c r="BJ103" t="b">
        <f>AND(IF(Metadata!W103="",FALSE,TRUE),EXACT(Metadata!W103,"Decimal degrees"))</f>
        <v>0</v>
      </c>
      <c r="BK103" t="b">
        <f>IF(Metadata!X103="",FALSE,TRUE)</f>
        <v>0</v>
      </c>
      <c r="BL103" t="b">
        <f>OR(AND(IF(Metadata!Y103="",FALSE,TRUE),OR(EXACT(Metadata!Y103,"not collected"),EXACT(Metadata!Y103,"not provided"),EXACT(Metadata!Y103,"restricted access"))),AND(IF(Metadata!Y103="",FALSE,TRUE),OR(EXACT(Metadata!Y103,"TRUE"),EXACT(Metadata!Y103,"FALSE"))))</f>
        <v>0</v>
      </c>
      <c r="BM103" t="b">
        <f>OR(AND(IF(Metadata!Z103="",FALSE,TRUE),EXACT(Metadata!Z103,"not applicable")),AND(IF(Metadata!Z103="",FALSE,TRUE),OR(EXACT(Metadata!Z103,"beer"),EXACT(Metadata!Z103,"cheese"),EXACT(Metadata!Z103,"fresh water"),EXACT(Metadata!Z103,"marine sediment"),EXACT(Metadata!Z103,"sea water"),EXACT(Metadata!Z103,"sediment"),EXACT(Metadata!Z103,"soil"),EXACT(Metadata!Z103,"waste water"))))</f>
        <v>0</v>
      </c>
      <c r="BN103" t="b">
        <f>AND(IF(Metadata!AA103="",FALSE,TRUE),EXACT(Metadata!AA103,"metagenome"))</f>
        <v>0</v>
      </c>
      <c r="BO103" t="b">
        <f>AND(IF(Metadata!AB103="",FALSE,TRUE),EXACT(Metadata!AB103,"256318"))</f>
        <v>0</v>
      </c>
      <c r="BP103" t="b">
        <f>IF(Metadata!AC103="",FALSE,TRUE)</f>
        <v>0</v>
      </c>
      <c r="BQ103" t="b">
        <f>IF(Metadata!AD103="",FALSE,TRUE)</f>
        <v>0</v>
      </c>
    </row>
    <row r="104" spans="1:69" x14ac:dyDescent="0.2">
      <c r="A104" s="4" t="e">
        <f ca="1">IF(B104=" "," ",HYPERLINK(CONCATENATE("#metadata!",ADDRESS(INDEX($AJ$2:$AJ$1001,MATCH(ROWS($AH$2:AH104),$AH$2:$AH$1001,0),0),2)),INDEX($AM$2:$AM$1001,MATCH(ROWS($AH$2:AH104),$AH$2:$AH$1001,0),0)))</f>
        <v>#N/A</v>
      </c>
      <c r="B104" s="5" t="e">
        <f ca="1">IF(OR(INDEX($AI$2:$AI$1001,MATCH(ROWS($AH$2:AH104),$AH$2:$AH$1001,0),1)&gt;=100000,INDEX($AO$1005:$BQ$1005,1,MATCH(COLUMNS($AO$1006:AO1006),$AO$1006:$BQ$1006,0))&gt;=100000), " ",IF(INDEX($AO$2:$BQ$1001,MATCH(ROWS($AH$2:AH104),$AH$2:$AH$1001,0),MATCH(COLUMNS($AO$1006:AO1006),$AO$1006:$BQ$1006,0)), HYPERLINK("#",""), HYPERLINK(CONCATENATE("#Metadata!", ADDRESS(INDEX($AJ$2:$AJ$1001,MATCH(ROWS($AH$2:AH104),$AH$2:$AH$1001,0),0), INDEX($AO$1004:$BQ$1004,1,MATCH(COLUMNS($AO$1006:AO1006),$AO$1006:$BQ$1006,0)))),"Fix")))</f>
        <v>#N/A</v>
      </c>
      <c r="C104" s="5" t="e">
        <f ca="1">IF(OR(INDEX($AI$2:$AI$1001,MATCH(ROWS($AH$2:AH104),$AH$2:$AH$1001,0),1)&gt;=100000,INDEX($AO$1005:$BQ$1005,1,MATCH(COLUMNS($AO$1006:AP1006),$AO$1006:$BQ$1006,0))&gt;=100000), " ",IF(INDEX($AO$2:$BQ$1001,MATCH(ROWS($AH$2:AH104),$AH$2:$AH$1001,0),MATCH(COLUMNS($AO$1006:AP1006),$AO$1006:$BQ$1006,0)), HYPERLINK("#",""), HYPERLINK(CONCATENATE("#Metadata!", ADDRESS(INDEX($AJ$2:$AJ$1001,MATCH(ROWS($AH$2:AH104),$AH$2:$AH$1001,0),0), INDEX($AO$1004:$BQ$1004,1,MATCH(COLUMNS($AO$1006:AP1006),$AO$1006:$BQ$1006,0)))),"Fix")))</f>
        <v>#N/A</v>
      </c>
      <c r="D104" s="5" t="e">
        <f ca="1">IF(OR(INDEX($AI$2:$AI$1001,MATCH(ROWS($AH$2:AH104),$AH$2:$AH$1001,0),1)&gt;=100000,INDEX($AO$1005:$BQ$1005,1,MATCH(COLUMNS($AO$1006:AQ1006),$AO$1006:$BQ$1006,0))&gt;=100000), " ",IF(INDEX($AO$2:$BQ$1001,MATCH(ROWS($AH$2:AH104),$AH$2:$AH$1001,0),MATCH(COLUMNS($AO$1006:AQ1006),$AO$1006:$BQ$1006,0)), HYPERLINK("#",""), HYPERLINK(CONCATENATE("#Metadata!", ADDRESS(INDEX($AJ$2:$AJ$1001,MATCH(ROWS($AH$2:AH104),$AH$2:$AH$1001,0),0), INDEX($AO$1004:$BQ$1004,1,MATCH(COLUMNS($AO$1006:AQ1006),$AO$1006:$BQ$1006,0)))),"Fix")))</f>
        <v>#N/A</v>
      </c>
      <c r="E104" s="5" t="e">
        <f ca="1">IF(OR(INDEX($AI$2:$AI$1001,MATCH(ROWS($AH$2:AH104),$AH$2:$AH$1001,0),1)&gt;=100000,INDEX($AO$1005:$BQ$1005,1,MATCH(COLUMNS($AO$1006:AR1006),$AO$1006:$BQ$1006,0))&gt;=100000), " ",IF(INDEX($AO$2:$BQ$1001,MATCH(ROWS($AH$2:AH104),$AH$2:$AH$1001,0),MATCH(COLUMNS($AO$1006:AR1006),$AO$1006:$BQ$1006,0)), HYPERLINK("#",""), HYPERLINK(CONCATENATE("#Metadata!", ADDRESS(INDEX($AJ$2:$AJ$1001,MATCH(ROWS($AH$2:AH104),$AH$2:$AH$1001,0),0), INDEX($AO$1004:$BQ$1004,1,MATCH(COLUMNS($AO$1006:AR1006),$AO$1006:$BQ$1006,0)))),"Fix")))</f>
        <v>#N/A</v>
      </c>
      <c r="F104" s="5" t="e">
        <f ca="1">IF(OR(INDEX($AI$2:$AI$1001,MATCH(ROWS($AH$2:AH104),$AH$2:$AH$1001,0),1)&gt;=100000,INDEX($AO$1005:$BQ$1005,1,MATCH(COLUMNS($AO$1006:AS1006),$AO$1006:$BQ$1006,0))&gt;=100000), " ",IF(INDEX($AO$2:$BQ$1001,MATCH(ROWS($AH$2:AH104),$AH$2:$AH$1001,0),MATCH(COLUMNS($AO$1006:AS1006),$AO$1006:$BQ$1006,0)), HYPERLINK("#",""), HYPERLINK(CONCATENATE("#Metadata!", ADDRESS(INDEX($AJ$2:$AJ$1001,MATCH(ROWS($AH$2:AH104),$AH$2:$AH$1001,0),0), INDEX($AO$1004:$BQ$1004,1,MATCH(COLUMNS($AO$1006:AS1006),$AO$1006:$BQ$1006,0)))),"Fix")))</f>
        <v>#N/A</v>
      </c>
      <c r="G104" s="5" t="e">
        <f ca="1">IF(OR(INDEX($AI$2:$AI$1001,MATCH(ROWS($AH$2:AH104),$AH$2:$AH$1001,0),1)&gt;=100000,INDEX($AO$1005:$BQ$1005,1,MATCH(COLUMNS($AO$1006:AT1006),$AO$1006:$BQ$1006,0))&gt;=100000), " ",IF(INDEX($AO$2:$BQ$1001,MATCH(ROWS($AH$2:AH104),$AH$2:$AH$1001,0),MATCH(COLUMNS($AO$1006:AT1006),$AO$1006:$BQ$1006,0)), HYPERLINK("#",""), HYPERLINK(CONCATENATE("#Metadata!", ADDRESS(INDEX($AJ$2:$AJ$1001,MATCH(ROWS($AH$2:AH104),$AH$2:$AH$1001,0),0), INDEX($AO$1004:$BQ$1004,1,MATCH(COLUMNS($AO$1006:AT1006),$AO$1006:$BQ$1006,0)))),"Fix")))</f>
        <v>#N/A</v>
      </c>
      <c r="H104" s="5" t="e">
        <f ca="1">IF(OR(INDEX($AI$2:$AI$1001,MATCH(ROWS($AH$2:AH104),$AH$2:$AH$1001,0),1)&gt;=100000,INDEX($AO$1005:$BQ$1005,1,MATCH(COLUMNS($AO$1006:AU1006),$AO$1006:$BQ$1006,0))&gt;=100000), " ",IF(INDEX($AO$2:$BQ$1001,MATCH(ROWS($AH$2:AH104),$AH$2:$AH$1001,0),MATCH(COLUMNS($AO$1006:AU1006),$AO$1006:$BQ$1006,0)), HYPERLINK("#",""), HYPERLINK(CONCATENATE("#Metadata!", ADDRESS(INDEX($AJ$2:$AJ$1001,MATCH(ROWS($AH$2:AH104),$AH$2:$AH$1001,0),0), INDEX($AO$1004:$BQ$1004,1,MATCH(COLUMNS($AO$1006:AU1006),$AO$1006:$BQ$1006,0)))),"Fix")))</f>
        <v>#N/A</v>
      </c>
      <c r="I104" s="5" t="e">
        <f ca="1">IF(OR(INDEX($AI$2:$AI$1001,MATCH(ROWS($AH$2:AH104),$AH$2:$AH$1001,0),1)&gt;=100000,INDEX($AO$1005:$BQ$1005,1,MATCH(COLUMNS($AO$1006:AV1006),$AO$1006:$BQ$1006,0))&gt;=100000), " ",IF(INDEX($AO$2:$BQ$1001,MATCH(ROWS($AH$2:AH104),$AH$2:$AH$1001,0),MATCH(COLUMNS($AO$1006:AV1006),$AO$1006:$BQ$1006,0)), HYPERLINK("#",""), HYPERLINK(CONCATENATE("#Metadata!", ADDRESS(INDEX($AJ$2:$AJ$1001,MATCH(ROWS($AH$2:AH104),$AH$2:$AH$1001,0),0), INDEX($AO$1004:$BQ$1004,1,MATCH(COLUMNS($AO$1006:AV1006),$AO$1006:$BQ$1006,0)))),"Fix")))</f>
        <v>#N/A</v>
      </c>
      <c r="J104" s="5" t="e">
        <f ca="1">IF(OR(INDEX($AI$2:$AI$1001,MATCH(ROWS($AH$2:AH104),$AH$2:$AH$1001,0),1)&gt;=100000,INDEX($AO$1005:$BQ$1005,1,MATCH(COLUMNS($AO$1006:AW1006),$AO$1006:$BQ$1006,0))&gt;=100000), " ",IF(INDEX($AO$2:$BQ$1001,MATCH(ROWS($AH$2:AH104),$AH$2:$AH$1001,0),MATCH(COLUMNS($AO$1006:AW1006),$AO$1006:$BQ$1006,0)), HYPERLINK("#",""), HYPERLINK(CONCATENATE("#Metadata!", ADDRESS(INDEX($AJ$2:$AJ$1001,MATCH(ROWS($AH$2:AH104),$AH$2:$AH$1001,0),0), INDEX($AO$1004:$BQ$1004,1,MATCH(COLUMNS($AO$1006:AW1006),$AO$1006:$BQ$1006,0)))),"Fix")))</f>
        <v>#N/A</v>
      </c>
      <c r="K104" s="5" t="e">
        <f ca="1">IF(OR(INDEX($AI$2:$AI$1001,MATCH(ROWS($AH$2:AH104),$AH$2:$AH$1001,0),1)&gt;=100000,INDEX($AO$1005:$BQ$1005,1,MATCH(COLUMNS($AO$1006:AX1006),$AO$1006:$BQ$1006,0))&gt;=100000), " ",IF(INDEX($AO$2:$BQ$1001,MATCH(ROWS($AH$2:AH104),$AH$2:$AH$1001,0),MATCH(COLUMNS($AO$1006:AX1006),$AO$1006:$BQ$1006,0)), HYPERLINK("#",""), HYPERLINK(CONCATENATE("#Metadata!", ADDRESS(INDEX($AJ$2:$AJ$1001,MATCH(ROWS($AH$2:AH104),$AH$2:$AH$1001,0),0), INDEX($AO$1004:$BQ$1004,1,MATCH(COLUMNS($AO$1006:AX1006),$AO$1006:$BQ$1006,0)))),"Fix")))</f>
        <v>#N/A</v>
      </c>
      <c r="L104" s="5" t="e">
        <f ca="1">IF(OR(INDEX($AI$2:$AI$1001,MATCH(ROWS($AH$2:AH104),$AH$2:$AH$1001,0),1)&gt;=100000,INDEX($AO$1005:$BQ$1005,1,MATCH(COLUMNS($AO$1006:AY1006),$AO$1006:$BQ$1006,0))&gt;=100000), " ",IF(INDEX($AO$2:$BQ$1001,MATCH(ROWS($AH$2:AH104),$AH$2:$AH$1001,0),MATCH(COLUMNS($AO$1006:AY1006),$AO$1006:$BQ$1006,0)), HYPERLINK("#",""), HYPERLINK(CONCATENATE("#Metadata!", ADDRESS(INDEX($AJ$2:$AJ$1001,MATCH(ROWS($AH$2:AH104),$AH$2:$AH$1001,0),0), INDEX($AO$1004:$BQ$1004,1,MATCH(COLUMNS($AO$1006:AY1006),$AO$1006:$BQ$1006,0)))),"Fix")))</f>
        <v>#N/A</v>
      </c>
      <c r="M104" s="5" t="e">
        <f ca="1">IF(OR(INDEX($AI$2:$AI$1001,MATCH(ROWS($AH$2:AH104),$AH$2:$AH$1001,0),1)&gt;=100000,INDEX($AO$1005:$BQ$1005,1,MATCH(COLUMNS($AO$1006:AZ1006),$AO$1006:$BQ$1006,0))&gt;=100000), " ",IF(INDEX($AO$2:$BQ$1001,MATCH(ROWS($AH$2:AH104),$AH$2:$AH$1001,0),MATCH(COLUMNS($AO$1006:AZ1006),$AO$1006:$BQ$1006,0)), HYPERLINK("#",""), HYPERLINK(CONCATENATE("#Metadata!", ADDRESS(INDEX($AJ$2:$AJ$1001,MATCH(ROWS($AH$2:AH104),$AH$2:$AH$1001,0),0), INDEX($AO$1004:$BQ$1004,1,MATCH(COLUMNS($AO$1006:AZ1006),$AO$1006:$BQ$1006,0)))),"Fix")))</f>
        <v>#N/A</v>
      </c>
      <c r="N104" s="5" t="e">
        <f ca="1">IF(OR(INDEX($AI$2:$AI$1001,MATCH(ROWS($AH$2:AH104),$AH$2:$AH$1001,0),1)&gt;=100000,INDEX($AO$1005:$BQ$1005,1,MATCH(COLUMNS($AO$1006:BA1006),$AO$1006:$BQ$1006,0))&gt;=100000), " ",IF(INDEX($AO$2:$BQ$1001,MATCH(ROWS($AH$2:AH104),$AH$2:$AH$1001,0),MATCH(COLUMNS($AO$1006:BA1006),$AO$1006:$BQ$1006,0)), HYPERLINK("#",""), HYPERLINK(CONCATENATE("#Metadata!", ADDRESS(INDEX($AJ$2:$AJ$1001,MATCH(ROWS($AH$2:AH104),$AH$2:$AH$1001,0),0), INDEX($AO$1004:$BQ$1004,1,MATCH(COLUMNS($AO$1006:BA1006),$AO$1006:$BQ$1006,0)))),"Fix")))</f>
        <v>#N/A</v>
      </c>
      <c r="O104" s="5" t="e">
        <f ca="1">IF(OR(INDEX($AI$2:$AI$1001,MATCH(ROWS($AH$2:AH104),$AH$2:$AH$1001,0),1)&gt;=100000,INDEX($AO$1005:$BQ$1005,1,MATCH(COLUMNS($AO$1006:BB1006),$AO$1006:$BQ$1006,0))&gt;=100000), " ",IF(INDEX($AO$2:$BQ$1001,MATCH(ROWS($AH$2:AH104),$AH$2:$AH$1001,0),MATCH(COLUMNS($AO$1006:BB1006),$AO$1006:$BQ$1006,0)), HYPERLINK("#",""), HYPERLINK(CONCATENATE("#Metadata!", ADDRESS(INDEX($AJ$2:$AJ$1001,MATCH(ROWS($AH$2:AH104),$AH$2:$AH$1001,0),0), INDEX($AO$1004:$BQ$1004,1,MATCH(COLUMNS($AO$1006:BB1006),$AO$1006:$BQ$1006,0)))),"Fix")))</f>
        <v>#N/A</v>
      </c>
      <c r="P104" s="5" t="e">
        <f ca="1">IF(OR(INDEX($AI$2:$AI$1001,MATCH(ROWS($AH$2:AH104),$AH$2:$AH$1001,0),1)&gt;=100000,INDEX($AO$1005:$BQ$1005,1,MATCH(COLUMNS($AO$1006:BC1006),$AO$1006:$BQ$1006,0))&gt;=100000), " ",IF(INDEX($AO$2:$BQ$1001,MATCH(ROWS($AH$2:AH104),$AH$2:$AH$1001,0),MATCH(COLUMNS($AO$1006:BC1006),$AO$1006:$BQ$1006,0)), HYPERLINK("#",""), HYPERLINK(CONCATENATE("#Metadata!", ADDRESS(INDEX($AJ$2:$AJ$1001,MATCH(ROWS($AH$2:AH104),$AH$2:$AH$1001,0),0), INDEX($AO$1004:$BQ$1004,1,MATCH(COLUMNS($AO$1006:BC1006),$AO$1006:$BQ$1006,0)))),"Fix")))</f>
        <v>#N/A</v>
      </c>
      <c r="Q104" s="5" t="e">
        <f ca="1">IF(OR(INDEX($AI$2:$AI$1001,MATCH(ROWS($AH$2:AH104),$AH$2:$AH$1001,0),1)&gt;=100000,INDEX($AO$1005:$BQ$1005,1,MATCH(COLUMNS($AO$1006:BD1006),$AO$1006:$BQ$1006,0))&gt;=100000), " ",IF(INDEX($AO$2:$BQ$1001,MATCH(ROWS($AH$2:AH104),$AH$2:$AH$1001,0),MATCH(COLUMNS($AO$1006:BD1006),$AO$1006:$BQ$1006,0)), HYPERLINK("#",""), HYPERLINK(CONCATENATE("#Metadata!", ADDRESS(INDEX($AJ$2:$AJ$1001,MATCH(ROWS($AH$2:AH104),$AH$2:$AH$1001,0),0), INDEX($AO$1004:$BQ$1004,1,MATCH(COLUMNS($AO$1006:BD1006),$AO$1006:$BQ$1006,0)))),"Fix")))</f>
        <v>#N/A</v>
      </c>
      <c r="R104" s="5" t="e">
        <f ca="1">IF(OR(INDEX($AI$2:$AI$1001,MATCH(ROWS($AH$2:AH104),$AH$2:$AH$1001,0),1)&gt;=100000,INDEX($AO$1005:$BQ$1005,1,MATCH(COLUMNS($AO$1006:BE1006),$AO$1006:$BQ$1006,0))&gt;=100000), " ",IF(INDEX($AO$2:$BQ$1001,MATCH(ROWS($AH$2:AH104),$AH$2:$AH$1001,0),MATCH(COLUMNS($AO$1006:BE1006),$AO$1006:$BQ$1006,0)), HYPERLINK("#",""), HYPERLINK(CONCATENATE("#Metadata!", ADDRESS(INDEX($AJ$2:$AJ$1001,MATCH(ROWS($AH$2:AH104),$AH$2:$AH$1001,0),0), INDEX($AO$1004:$BQ$1004,1,MATCH(COLUMNS($AO$1006:BE1006),$AO$1006:$BQ$1006,0)))),"Fix")))</f>
        <v>#N/A</v>
      </c>
      <c r="S104" s="5" t="e">
        <f ca="1">IF(OR(INDEX($AI$2:$AI$1001,MATCH(ROWS($AH$2:AH104),$AH$2:$AH$1001,0),1)&gt;=100000,INDEX($AO$1005:$BQ$1005,1,MATCH(COLUMNS($AO$1006:BF1006),$AO$1006:$BQ$1006,0))&gt;=100000), " ",IF(INDEX($AO$2:$BQ$1001,MATCH(ROWS($AH$2:AH104),$AH$2:$AH$1001,0),MATCH(COLUMNS($AO$1006:BF1006),$AO$1006:$BQ$1006,0)), HYPERLINK("#",""), HYPERLINK(CONCATENATE("#Metadata!", ADDRESS(INDEX($AJ$2:$AJ$1001,MATCH(ROWS($AH$2:AH104),$AH$2:$AH$1001,0),0), INDEX($AO$1004:$BQ$1004,1,MATCH(COLUMNS($AO$1006:BF1006),$AO$1006:$BQ$1006,0)))),"Fix")))</f>
        <v>#N/A</v>
      </c>
      <c r="T104" s="5" t="e">
        <f ca="1">IF(OR(INDEX($AI$2:$AI$1001,MATCH(ROWS($AH$2:AH104),$AH$2:$AH$1001,0),1)&gt;=100000,INDEX($AO$1005:$BQ$1005,1,MATCH(COLUMNS($AO$1006:BG1006),$AO$1006:$BQ$1006,0))&gt;=100000), " ",IF(INDEX($AO$2:$BQ$1001,MATCH(ROWS($AH$2:AH104),$AH$2:$AH$1001,0),MATCH(COLUMNS($AO$1006:BG1006),$AO$1006:$BQ$1006,0)), HYPERLINK("#",""), HYPERLINK(CONCATENATE("#Metadata!", ADDRESS(INDEX($AJ$2:$AJ$1001,MATCH(ROWS($AH$2:AH104),$AH$2:$AH$1001,0),0), INDEX($AO$1004:$BQ$1004,1,MATCH(COLUMNS($AO$1006:BG1006),$AO$1006:$BQ$1006,0)))),"Fix")))</f>
        <v>#N/A</v>
      </c>
      <c r="U104" s="5" t="e">
        <f ca="1">IF(OR(INDEX($AI$2:$AI$1001,MATCH(ROWS($AH$2:AH104),$AH$2:$AH$1001,0),1)&gt;=100000,INDEX($AO$1005:$BQ$1005,1,MATCH(COLUMNS($AO$1006:BH1006),$AO$1006:$BQ$1006,0))&gt;=100000), " ",IF(INDEX($AO$2:$BQ$1001,MATCH(ROWS($AH$2:AH104),$AH$2:$AH$1001,0),MATCH(COLUMNS($AO$1006:BH1006),$AO$1006:$BQ$1006,0)), HYPERLINK("#",""), HYPERLINK(CONCATENATE("#Metadata!", ADDRESS(INDEX($AJ$2:$AJ$1001,MATCH(ROWS($AH$2:AH104),$AH$2:$AH$1001,0),0), INDEX($AO$1004:$BQ$1004,1,MATCH(COLUMNS($AO$1006:BH1006),$AO$1006:$BQ$1006,0)))),"Fix")))</f>
        <v>#N/A</v>
      </c>
      <c r="V104" s="5" t="e">
        <f ca="1">IF(OR(INDEX($AI$2:$AI$1001,MATCH(ROWS($AH$2:AH104),$AH$2:$AH$1001,0),1)&gt;=100000,INDEX($AO$1005:$BQ$1005,1,MATCH(COLUMNS($AO$1006:BI1006),$AO$1006:$BQ$1006,0))&gt;=100000), " ",IF(INDEX($AO$2:$BQ$1001,MATCH(ROWS($AH$2:AH104),$AH$2:$AH$1001,0),MATCH(COLUMNS($AO$1006:BI1006),$AO$1006:$BQ$1006,0)), HYPERLINK("#",""), HYPERLINK(CONCATENATE("#Metadata!", ADDRESS(INDEX($AJ$2:$AJ$1001,MATCH(ROWS($AH$2:AH104),$AH$2:$AH$1001,0),0), INDEX($AO$1004:$BQ$1004,1,MATCH(COLUMNS($AO$1006:BI1006),$AO$1006:$BQ$1006,0)))),"Fix")))</f>
        <v>#N/A</v>
      </c>
      <c r="W104" s="5" t="e">
        <f ca="1">IF(OR(INDEX($AI$2:$AI$1001,MATCH(ROWS($AH$2:AH104),$AH$2:$AH$1001,0),1)&gt;=100000,INDEX($AO$1005:$BQ$1005,1,MATCH(COLUMNS($AO$1006:BJ1006),$AO$1006:$BQ$1006,0))&gt;=100000), " ",IF(INDEX($AO$2:$BQ$1001,MATCH(ROWS($AH$2:AH104),$AH$2:$AH$1001,0),MATCH(COLUMNS($AO$1006:BJ1006),$AO$1006:$BQ$1006,0)), HYPERLINK("#",""), HYPERLINK(CONCATENATE("#Metadata!", ADDRESS(INDEX($AJ$2:$AJ$1001,MATCH(ROWS($AH$2:AH104),$AH$2:$AH$1001,0),0), INDEX($AO$1004:$BQ$1004,1,MATCH(COLUMNS($AO$1006:BJ1006),$AO$1006:$BQ$1006,0)))),"Fix")))</f>
        <v>#N/A</v>
      </c>
      <c r="X104" s="5" t="e">
        <f ca="1">IF(OR(INDEX($AI$2:$AI$1001,MATCH(ROWS($AH$2:AH104),$AH$2:$AH$1001,0),1)&gt;=100000,INDEX($AO$1005:$BQ$1005,1,MATCH(COLUMNS($AO$1006:BK1006),$AO$1006:$BQ$1006,0))&gt;=100000), " ",IF(INDEX($AO$2:$BQ$1001,MATCH(ROWS($AH$2:AH104),$AH$2:$AH$1001,0),MATCH(COLUMNS($AO$1006:BK1006),$AO$1006:$BQ$1006,0)), HYPERLINK("#",""), HYPERLINK(CONCATENATE("#Metadata!", ADDRESS(INDEX($AJ$2:$AJ$1001,MATCH(ROWS($AH$2:AH104),$AH$2:$AH$1001,0),0), INDEX($AO$1004:$BQ$1004,1,MATCH(COLUMNS($AO$1006:BK1006),$AO$1006:$BQ$1006,0)))),"Fix")))</f>
        <v>#N/A</v>
      </c>
      <c r="Y104" s="5" t="e">
        <f ca="1">IF(OR(INDEX($AI$2:$AI$1001,MATCH(ROWS($AH$2:AH104),$AH$2:$AH$1001,0),1)&gt;=100000,INDEX($AO$1005:$BQ$1005,1,MATCH(COLUMNS($AO$1006:BL1006),$AO$1006:$BQ$1006,0))&gt;=100000), " ",IF(INDEX($AO$2:$BQ$1001,MATCH(ROWS($AH$2:AH104),$AH$2:$AH$1001,0),MATCH(COLUMNS($AO$1006:BL1006),$AO$1006:$BQ$1006,0)), HYPERLINK("#",""), HYPERLINK(CONCATENATE("#Metadata!", ADDRESS(INDEX($AJ$2:$AJ$1001,MATCH(ROWS($AH$2:AH104),$AH$2:$AH$1001,0),0), INDEX($AO$1004:$BQ$1004,1,MATCH(COLUMNS($AO$1006:BL1006),$AO$1006:$BQ$1006,0)))),"Fix")))</f>
        <v>#N/A</v>
      </c>
      <c r="Z104" s="5" t="e">
        <f ca="1">IF(OR(INDEX($AI$2:$AI$1001,MATCH(ROWS($AH$2:AH104),$AH$2:$AH$1001,0),1)&gt;=100000,INDEX($AO$1005:$BQ$1005,1,MATCH(COLUMNS($AO$1006:BM1006),$AO$1006:$BQ$1006,0))&gt;=100000), " ",IF(INDEX($AO$2:$BQ$1001,MATCH(ROWS($AH$2:AH104),$AH$2:$AH$1001,0),MATCH(COLUMNS($AO$1006:BM1006),$AO$1006:$BQ$1006,0)), HYPERLINK("#",""), HYPERLINK(CONCATENATE("#Metadata!", ADDRESS(INDEX($AJ$2:$AJ$1001,MATCH(ROWS($AH$2:AH104),$AH$2:$AH$1001,0),0), INDEX($AO$1004:$BQ$1004,1,MATCH(COLUMNS($AO$1006:BM1006),$AO$1006:$BQ$1006,0)))),"Fix")))</f>
        <v>#N/A</v>
      </c>
      <c r="AA104" s="5" t="e">
        <f ca="1">IF(OR(INDEX($AI$2:$AI$1001,MATCH(ROWS($AH$2:AH104),$AH$2:$AH$1001,0),1)&gt;=100000,INDEX($AO$1005:$BQ$1005,1,MATCH(COLUMNS($AO$1006:BN1006),$AO$1006:$BQ$1006,0))&gt;=100000), " ",IF(INDEX($AO$2:$BQ$1001,MATCH(ROWS($AH$2:AH104),$AH$2:$AH$1001,0),MATCH(COLUMNS($AO$1006:BN1006),$AO$1006:$BQ$1006,0)), HYPERLINK("#",""), HYPERLINK(CONCATENATE("#Metadata!", ADDRESS(INDEX($AJ$2:$AJ$1001,MATCH(ROWS($AH$2:AH104),$AH$2:$AH$1001,0),0), INDEX($AO$1004:$BQ$1004,1,MATCH(COLUMNS($AO$1006:BN1006),$AO$1006:$BQ$1006,0)))),"Fix")))</f>
        <v>#N/A</v>
      </c>
      <c r="AB104" s="5" t="e">
        <f ca="1">IF(OR(INDEX($AI$2:$AI$1001,MATCH(ROWS($AH$2:AH104),$AH$2:$AH$1001,0),1)&gt;=100000,INDEX($AO$1005:$BQ$1005,1,MATCH(COLUMNS($AO$1006:BO1006),$AO$1006:$BQ$1006,0))&gt;=100000), " ",IF(INDEX($AO$2:$BQ$1001,MATCH(ROWS($AH$2:AH104),$AH$2:$AH$1001,0),MATCH(COLUMNS($AO$1006:BO1006),$AO$1006:$BQ$1006,0)), HYPERLINK("#",""), HYPERLINK(CONCATENATE("#Metadata!", ADDRESS(INDEX($AJ$2:$AJ$1001,MATCH(ROWS($AH$2:AH104),$AH$2:$AH$1001,0),0), INDEX($AO$1004:$BQ$1004,1,MATCH(COLUMNS($AO$1006:BO1006),$AO$1006:$BQ$1006,0)))),"Fix")))</f>
        <v>#N/A</v>
      </c>
      <c r="AC104" s="5" t="e">
        <f ca="1">IF(OR(INDEX($AI$2:$AI$1001,MATCH(ROWS($AH$2:AH104),$AH$2:$AH$1001,0),1)&gt;=100000,INDEX($AO$1005:$BQ$1005,1,MATCH(COLUMNS($AO$1006:BP1006),$AO$1006:$BQ$1006,0))&gt;=100000), " ",IF(INDEX($AO$2:$BQ$1001,MATCH(ROWS($AH$2:AH104),$AH$2:$AH$1001,0),MATCH(COLUMNS($AO$1006:BP1006),$AO$1006:$BQ$1006,0)), HYPERLINK("#",""), HYPERLINK(CONCATENATE("#Metadata!", ADDRESS(INDEX($AJ$2:$AJ$1001,MATCH(ROWS($AH$2:AH104),$AH$2:$AH$1001,0),0), INDEX($AO$1004:$BQ$1004,1,MATCH(COLUMNS($AO$1006:BP1006),$AO$1006:$BQ$1006,0)))),"Fix")))</f>
        <v>#N/A</v>
      </c>
      <c r="AD104" s="5" t="e">
        <f ca="1">IF(OR(INDEX($AI$2:$AI$1001,MATCH(ROWS($AH$2:AH104),$AH$2:$AH$1001,0),1)&gt;=100000,INDEX($AO$1005:$BQ$1005,1,MATCH(COLUMNS($AO$1006:BQ1006),$AO$1006:$BQ$1006,0))&gt;=100000), " ",IF(INDEX($AO$2:$BQ$1001,MATCH(ROWS($AH$2:AH104),$AH$2:$AH$1001,0),MATCH(COLUMNS($AO$1006:BQ1006),$AO$1006:$BQ$1006,0)), HYPERLINK("#",""), HYPERLINK(CONCATENATE("#Metadata!", ADDRESS(INDEX($AJ$2:$AJ$1001,MATCH(ROWS($AH$2:AH104),$AH$2:$AH$1001,0),0), INDEX($AO$1004:$BQ$1004,1,MATCH(COLUMNS($AO$1006:BQ1006),$AO$1006:$BQ$1006,0)))),"Fix")))</f>
        <v>#REF!</v>
      </c>
      <c r="AH104">
        <f ca="1"/>
        <v>101</v>
      </c>
      <c r="AI104">
        <v>100104</v>
      </c>
      <c r="AJ104">
        <v>104</v>
      </c>
      <c r="AK104" t="b">
        <f t="shared" si="1"/>
        <v>1</v>
      </c>
      <c r="AL104" t="b">
        <f>COUNTBLANK(Metadata!B104:AD104)=COLUMNS(Metadata!B104:AD104)</f>
        <v>1</v>
      </c>
      <c r="AM104" t="str">
        <v/>
      </c>
      <c r="AO104" t="b">
        <f ca="1">AND(IF(Metadata!B104="",FALSE,TRUE),COUNTIF(Metadata!B:B, Metadata!B104) = 1,NOT(ISERROR(SUMPRODUCT(SEARCH(MID(Metadata!B104,ROW(INDIRECT("1:"&amp;LEN(Metadata!B104))), 1),"0123456789abcdefghijklmnopqrstuvwxyzABCDEFGHIJKLMNOPQRSTUVWXYZ.")))))</f>
        <v>0</v>
      </c>
      <c r="AP104" t="b">
        <f>IF(Metadata!C104="",FALSE,TRUE)</f>
        <v>0</v>
      </c>
      <c r="AQ104" t="b">
        <f>IF(Metadata!D104="",FALSE,TRUE)</f>
        <v>0</v>
      </c>
      <c r="AR104" t="b">
        <f ca="1">OR(AND(IF(Metadata!E104="",FALSE,TRUE),OR(EXACT(Metadata!E104,"not collected"),EXACT(Metadata!E104,"not provided"),EXACT(Metadata!E104,"restricted access"))),AND(IF(Metadata!E104="",FALSE,TRUE),AND(AND(IFERROR(INT(LEFT(Metadata!E104,4))&gt;1900,FALSE),IFERROR(INT(LEFT(Metadata!E104,4))&lt;=YEAR(NOW()),FALSE)), OR(MID(Metadata!E104,5,1)="", AND(AND(MID(Metadata!E104,5,1)="-",IFERROR(INT(MID(Metadata!E104,6,1))&gt;=0,FALSE),IFERROR(INT(MID(Metadata!E104,6,1))&lt;=1,FALSE),NOT(MID(Metadata!E104,7,1)=""),IFERROR(INT(MID(Metadata!E104,6,2))&gt;=1,FALSE),IFERROR(INT(MID(Metadata!E104,6,2))&lt;=12,FALSE)), OR(MID(Metadata!E104,8,1)="", AND(AND(MID(Metadata!E104,8,1)="-",IFERROR(INT(MID(Metadata!E104,9,1))&gt;=0,FALSE),IFERROR(INT(MID(Metadata!E104,9,1))&lt;=3,FALSE),NOT(MID(Metadata!E104,10,1)=""),IFERROR(INT(MID(Metadata!E104,9,2))&gt;=1,FALSE),IFERROR(INT(MID(Metadata!E104,9,2))&lt;=31,FALSE)), OR(MID(Metadata!E104,11,1)="", AND(AND(MID(Metadata!E104,11,1)=" ",IFERROR(INT(MID(Metadata!E104,12,1))&gt;=0,FALSE),IFERROR(INT(MID(Metadata!E104,12,1))&lt;=2,FALSE),NOT(MID(Metadata!E104,13,1)=""),IFERROR(INT(MID(Metadata!E104,12,2))&gt;=0,FALSE),IFERROR(INT(MID(Metadata!E104,12,2))&lt;=23,FALSE)), OR(MID(Metadata!E104,14,1)="", AND(AND(MID(Metadata!E104,14,1)=":",IFERROR(INT(MID(Metadata!E104,15,1))&gt;=0,FALSE),IFERROR(INT(MID(Metadata!E104,15,1))&lt;=5,FALSE),NOT(MID(Metadata!E104,16,1)=""),IFERROR(INT(MID(Metadata!E104,15,2))&gt;=0,FALSE),IFERROR(INT(MID(Metadata!E104,15,2))&lt;=59,FALSE)), OR(MID(Metadata!E104,17,1)="", AND(AND(MID(Metadata!E104,17,1)=":",IFERROR(INT(MID(Metadata!E104,18,1))&gt;=0,FALSE),IFERROR(INT(MID(Metadata!E104,18,1))&lt;=5,FALSE),NOT(MID(Metadata!E104,19,1)=""),IFERROR(INT(MID(Metadata!E104,18,2))&gt;=0,FALSE),IFERROR(INT(MID(Metadata!E104,18,2))&lt;=59,FALSE)), LEN(Metadata!E104)&lt;=19)))))))))))))</f>
        <v>0</v>
      </c>
      <c r="AS104" t="b">
        <f>IF(Metadata!F104="",FALSE,TRUE)</f>
        <v>0</v>
      </c>
      <c r="AT104" t="b">
        <f>OR(AND(IF(Metadata!G104="",FALSE,TRUE),OR(EXACT(Metadata!G104,"not collected"),EXACT(Metadata!G104,"not provided"))),AND(IF(Metadata!G104="",FALSE,TRUE),OR(EXACT(Metadata!G104,"TRUE"),EXACT(Metadata!G104,"FALSE"))))</f>
        <v>0</v>
      </c>
      <c r="AU104" t="b">
        <f>OR(AND(IF(Metadata!H104="",FALSE,TRUE),OR(EXACT(Metadata!H104,"not collected"),EXACT(Metadata!H104,"not provided"),EXACT(Metadata!H104,"restricted access"))),AND(IF(Metadata!H104="",FALSE,ISNUMBER(VALUE(Metadata!H104))),Metadata!H104&gt;=-413))</f>
        <v>0</v>
      </c>
      <c r="AV104" t="b">
        <f>AND(IF(Metadata!I104="",FALSE,TRUE),EXACT(Metadata!I104,"meters"))</f>
        <v>0</v>
      </c>
      <c r="AW104" t="b">
        <f>AND(IF(Metadata!J104="",FALSE,TRUE),EXACT(Metadata!J104,"free-living"))</f>
        <v>0</v>
      </c>
      <c r="AX104" t="b">
        <f>AND(IF(Metadata!K104="",FALSE,TRUE),OR(EXACT(Metadata!K104,"saline"),EXACT(Metadata!K104,"non-saline")))</f>
        <v>0</v>
      </c>
      <c r="AY104" t="b">
        <f>AND(IF(Metadata!L104="",FALSE,TRUE),OR(EXACT(Metadata!L104,"sub-surface (non-saline)"),EXACT(Metadata!L104,"surface (non-saline)"),EXACT(Metadata!L104,"water (non-saline)"),EXACT(Metadata!L104,"soil (non-saline)"),EXACT(Metadata!L104,"aerosol (non-saline)"),EXACT(Metadata!L104,"sediment (non-saline)"),EXACT(Metadata!L104,"surface (saline)"),EXACT(Metadata!L104,"water (saline)"),EXACT(Metadata!L104,"hypersaline (saline)"),EXACT(Metadata!L104,"aerosol (saline)"),EXACT(Metadata!L104,"sediment (saline)")))</f>
        <v>0</v>
      </c>
      <c r="AZ104" t="b">
        <f>IF(Metadata!M104="",FALSE,TRUE)</f>
        <v>0</v>
      </c>
      <c r="BA104" t="b">
        <f>IF(Metadata!N104="",FALSE,TRUE)</f>
        <v>0</v>
      </c>
      <c r="BB104" t="b">
        <f>IF(Metadata!O104="",FALSE,TRUE)</f>
        <v>0</v>
      </c>
      <c r="BC104" t="b">
        <f>AND(IF(Metadata!P104="",FALSE,TRUE),OR(EXACT(Metadata!P104,"air"),EXACT(Metadata!P104,"microbial mat/biofilm"),EXACT(Metadata!P104,"misc environment"),EXACT(Metadata!P104,"sediment"),EXACT(Metadata!P104,"soil"),EXACT(Metadata!P104,"wastewater/sludge"),EXACT(Metadata!P104,"water")))</f>
        <v>0</v>
      </c>
      <c r="BD104" t="b">
        <f>IF(Metadata!Q104="",FALSE,TRUE)</f>
        <v>0</v>
      </c>
      <c r="BE104" t="b">
        <f>IF(Metadata!R104="",FALSE,TRUE)</f>
        <v>0</v>
      </c>
      <c r="BF104" t="b">
        <f>OR(AND(IF(Metadata!S104="",FALSE,TRUE),OR(EXACT(Metadata!S104,"not collected"),EXACT(Metadata!S104,"not provided"),EXACT(Metadata!S104,"restricted access"))),AND(IF(Metadata!S104="",FALSE,ISNUMBER(VALUE(Metadata!S104))),Metadata!S104&gt;=-90,Metadata!S104&lt;=90))</f>
        <v>0</v>
      </c>
      <c r="BG104" t="b">
        <f>AND(IF(Metadata!T104="",FALSE,TRUE),EXACT(Metadata!T104,"Decimal degrees"))</f>
        <v>0</v>
      </c>
      <c r="BH104" t="b">
        <f>OR(AND(IF(Metadata!U104="",FALSE,TRUE),OR(EXACT(Metadata!U104,"not applicable"),EXACT(Metadata!U104,"not collected"))),IF(Metadata!U104="",FALSE,TRUE))</f>
        <v>0</v>
      </c>
      <c r="BI104" t="b">
        <f>OR(AND(IF(Metadata!V104="",FALSE,TRUE),OR(EXACT(Metadata!V104,"not collected"),EXACT(Metadata!V104,"not provided"),EXACT(Metadata!V104,"restricted access"))),AND(IF(Metadata!V104="",FALSE,ISNUMBER(VALUE(Metadata!V104))),Metadata!V104&gt;=-180,Metadata!V104&lt;=180))</f>
        <v>0</v>
      </c>
      <c r="BJ104" t="b">
        <f>AND(IF(Metadata!W104="",FALSE,TRUE),EXACT(Metadata!W104,"Decimal degrees"))</f>
        <v>0</v>
      </c>
      <c r="BK104" t="b">
        <f>IF(Metadata!X104="",FALSE,TRUE)</f>
        <v>0</v>
      </c>
      <c r="BL104" t="b">
        <f>OR(AND(IF(Metadata!Y104="",FALSE,TRUE),OR(EXACT(Metadata!Y104,"not collected"),EXACT(Metadata!Y104,"not provided"),EXACT(Metadata!Y104,"restricted access"))),AND(IF(Metadata!Y104="",FALSE,TRUE),OR(EXACT(Metadata!Y104,"TRUE"),EXACT(Metadata!Y104,"FALSE"))))</f>
        <v>0</v>
      </c>
      <c r="BM104" t="b">
        <f>OR(AND(IF(Metadata!Z104="",FALSE,TRUE),EXACT(Metadata!Z104,"not applicable")),AND(IF(Metadata!Z104="",FALSE,TRUE),OR(EXACT(Metadata!Z104,"beer"),EXACT(Metadata!Z104,"cheese"),EXACT(Metadata!Z104,"fresh water"),EXACT(Metadata!Z104,"marine sediment"),EXACT(Metadata!Z104,"sea water"),EXACT(Metadata!Z104,"sediment"),EXACT(Metadata!Z104,"soil"),EXACT(Metadata!Z104,"waste water"))))</f>
        <v>0</v>
      </c>
      <c r="BN104" t="b">
        <f>AND(IF(Metadata!AA104="",FALSE,TRUE),EXACT(Metadata!AA104,"metagenome"))</f>
        <v>0</v>
      </c>
      <c r="BO104" t="b">
        <f>AND(IF(Metadata!AB104="",FALSE,TRUE),EXACT(Metadata!AB104,"256318"))</f>
        <v>0</v>
      </c>
      <c r="BP104" t="b">
        <f>IF(Metadata!AC104="",FALSE,TRUE)</f>
        <v>0</v>
      </c>
      <c r="BQ104" t="b">
        <f>IF(Metadata!AD104="",FALSE,TRUE)</f>
        <v>0</v>
      </c>
    </row>
    <row r="105" spans="1:69" x14ac:dyDescent="0.2">
      <c r="A105" s="4" t="e">
        <f ca="1">IF(B105=" "," ",HYPERLINK(CONCATENATE("#metadata!",ADDRESS(INDEX($AJ$2:$AJ$1001,MATCH(ROWS($AH$2:AH105),$AH$2:$AH$1001,0),0),2)),INDEX($AM$2:$AM$1001,MATCH(ROWS($AH$2:AH105),$AH$2:$AH$1001,0),0)))</f>
        <v>#N/A</v>
      </c>
      <c r="B105" s="5" t="e">
        <f ca="1">IF(OR(INDEX($AI$2:$AI$1001,MATCH(ROWS($AH$2:AH105),$AH$2:$AH$1001,0),1)&gt;=100000,INDEX($AO$1005:$BQ$1005,1,MATCH(COLUMNS($AO$1006:AO1006),$AO$1006:$BQ$1006,0))&gt;=100000), " ",IF(INDEX($AO$2:$BQ$1001,MATCH(ROWS($AH$2:AH105),$AH$2:$AH$1001,0),MATCH(COLUMNS($AO$1006:AO1006),$AO$1006:$BQ$1006,0)), HYPERLINK("#",""), HYPERLINK(CONCATENATE("#Metadata!", ADDRESS(INDEX($AJ$2:$AJ$1001,MATCH(ROWS($AH$2:AH105),$AH$2:$AH$1001,0),0), INDEX($AO$1004:$BQ$1004,1,MATCH(COLUMNS($AO$1006:AO1006),$AO$1006:$BQ$1006,0)))),"Fix")))</f>
        <v>#N/A</v>
      </c>
      <c r="C105" s="5" t="e">
        <f ca="1">IF(OR(INDEX($AI$2:$AI$1001,MATCH(ROWS($AH$2:AH105),$AH$2:$AH$1001,0),1)&gt;=100000,INDEX($AO$1005:$BQ$1005,1,MATCH(COLUMNS($AO$1006:AP1006),$AO$1006:$BQ$1006,0))&gt;=100000), " ",IF(INDEX($AO$2:$BQ$1001,MATCH(ROWS($AH$2:AH105),$AH$2:$AH$1001,0),MATCH(COLUMNS($AO$1006:AP1006),$AO$1006:$BQ$1006,0)), HYPERLINK("#",""), HYPERLINK(CONCATENATE("#Metadata!", ADDRESS(INDEX($AJ$2:$AJ$1001,MATCH(ROWS($AH$2:AH105),$AH$2:$AH$1001,0),0), INDEX($AO$1004:$BQ$1004,1,MATCH(COLUMNS($AO$1006:AP1006),$AO$1006:$BQ$1006,0)))),"Fix")))</f>
        <v>#N/A</v>
      </c>
      <c r="D105" s="5" t="e">
        <f ca="1">IF(OR(INDEX($AI$2:$AI$1001,MATCH(ROWS($AH$2:AH105),$AH$2:$AH$1001,0),1)&gt;=100000,INDEX($AO$1005:$BQ$1005,1,MATCH(COLUMNS($AO$1006:AQ1006),$AO$1006:$BQ$1006,0))&gt;=100000), " ",IF(INDEX($AO$2:$BQ$1001,MATCH(ROWS($AH$2:AH105),$AH$2:$AH$1001,0),MATCH(COLUMNS($AO$1006:AQ1006),$AO$1006:$BQ$1006,0)), HYPERLINK("#",""), HYPERLINK(CONCATENATE("#Metadata!", ADDRESS(INDEX($AJ$2:$AJ$1001,MATCH(ROWS($AH$2:AH105),$AH$2:$AH$1001,0),0), INDEX($AO$1004:$BQ$1004,1,MATCH(COLUMNS($AO$1006:AQ1006),$AO$1006:$BQ$1006,0)))),"Fix")))</f>
        <v>#N/A</v>
      </c>
      <c r="E105" s="5" t="e">
        <f ca="1">IF(OR(INDEX($AI$2:$AI$1001,MATCH(ROWS($AH$2:AH105),$AH$2:$AH$1001,0),1)&gt;=100000,INDEX($AO$1005:$BQ$1005,1,MATCH(COLUMNS($AO$1006:AR1006),$AO$1006:$BQ$1006,0))&gt;=100000), " ",IF(INDEX($AO$2:$BQ$1001,MATCH(ROWS($AH$2:AH105),$AH$2:$AH$1001,0),MATCH(COLUMNS($AO$1006:AR1006),$AO$1006:$BQ$1006,0)), HYPERLINK("#",""), HYPERLINK(CONCATENATE("#Metadata!", ADDRESS(INDEX($AJ$2:$AJ$1001,MATCH(ROWS($AH$2:AH105),$AH$2:$AH$1001,0),0), INDEX($AO$1004:$BQ$1004,1,MATCH(COLUMNS($AO$1006:AR1006),$AO$1006:$BQ$1006,0)))),"Fix")))</f>
        <v>#N/A</v>
      </c>
      <c r="F105" s="5" t="e">
        <f ca="1">IF(OR(INDEX($AI$2:$AI$1001,MATCH(ROWS($AH$2:AH105),$AH$2:$AH$1001,0),1)&gt;=100000,INDEX($AO$1005:$BQ$1005,1,MATCH(COLUMNS($AO$1006:AS1006),$AO$1006:$BQ$1006,0))&gt;=100000), " ",IF(INDEX($AO$2:$BQ$1001,MATCH(ROWS($AH$2:AH105),$AH$2:$AH$1001,0),MATCH(COLUMNS($AO$1006:AS1006),$AO$1006:$BQ$1006,0)), HYPERLINK("#",""), HYPERLINK(CONCATENATE("#Metadata!", ADDRESS(INDEX($AJ$2:$AJ$1001,MATCH(ROWS($AH$2:AH105),$AH$2:$AH$1001,0),0), INDEX($AO$1004:$BQ$1004,1,MATCH(COLUMNS($AO$1006:AS1006),$AO$1006:$BQ$1006,0)))),"Fix")))</f>
        <v>#N/A</v>
      </c>
      <c r="G105" s="5" t="e">
        <f ca="1">IF(OR(INDEX($AI$2:$AI$1001,MATCH(ROWS($AH$2:AH105),$AH$2:$AH$1001,0),1)&gt;=100000,INDEX($AO$1005:$BQ$1005,1,MATCH(COLUMNS($AO$1006:AT1006),$AO$1006:$BQ$1006,0))&gt;=100000), " ",IF(INDEX($AO$2:$BQ$1001,MATCH(ROWS($AH$2:AH105),$AH$2:$AH$1001,0),MATCH(COLUMNS($AO$1006:AT1006),$AO$1006:$BQ$1006,0)), HYPERLINK("#",""), HYPERLINK(CONCATENATE("#Metadata!", ADDRESS(INDEX($AJ$2:$AJ$1001,MATCH(ROWS($AH$2:AH105),$AH$2:$AH$1001,0),0), INDEX($AO$1004:$BQ$1004,1,MATCH(COLUMNS($AO$1006:AT1006),$AO$1006:$BQ$1006,0)))),"Fix")))</f>
        <v>#N/A</v>
      </c>
      <c r="H105" s="5" t="e">
        <f ca="1">IF(OR(INDEX($AI$2:$AI$1001,MATCH(ROWS($AH$2:AH105),$AH$2:$AH$1001,0),1)&gt;=100000,INDEX($AO$1005:$BQ$1005,1,MATCH(COLUMNS($AO$1006:AU1006),$AO$1006:$BQ$1006,0))&gt;=100000), " ",IF(INDEX($AO$2:$BQ$1001,MATCH(ROWS($AH$2:AH105),$AH$2:$AH$1001,0),MATCH(COLUMNS($AO$1006:AU1006),$AO$1006:$BQ$1006,0)), HYPERLINK("#",""), HYPERLINK(CONCATENATE("#Metadata!", ADDRESS(INDEX($AJ$2:$AJ$1001,MATCH(ROWS($AH$2:AH105),$AH$2:$AH$1001,0),0), INDEX($AO$1004:$BQ$1004,1,MATCH(COLUMNS($AO$1006:AU1006),$AO$1006:$BQ$1006,0)))),"Fix")))</f>
        <v>#N/A</v>
      </c>
      <c r="I105" s="5" t="e">
        <f ca="1">IF(OR(INDEX($AI$2:$AI$1001,MATCH(ROWS($AH$2:AH105),$AH$2:$AH$1001,0),1)&gt;=100000,INDEX($AO$1005:$BQ$1005,1,MATCH(COLUMNS($AO$1006:AV1006),$AO$1006:$BQ$1006,0))&gt;=100000), " ",IF(INDEX($AO$2:$BQ$1001,MATCH(ROWS($AH$2:AH105),$AH$2:$AH$1001,0),MATCH(COLUMNS($AO$1006:AV1006),$AO$1006:$BQ$1006,0)), HYPERLINK("#",""), HYPERLINK(CONCATENATE("#Metadata!", ADDRESS(INDEX($AJ$2:$AJ$1001,MATCH(ROWS($AH$2:AH105),$AH$2:$AH$1001,0),0), INDEX($AO$1004:$BQ$1004,1,MATCH(COLUMNS($AO$1006:AV1006),$AO$1006:$BQ$1006,0)))),"Fix")))</f>
        <v>#N/A</v>
      </c>
      <c r="J105" s="5" t="e">
        <f ca="1">IF(OR(INDEX($AI$2:$AI$1001,MATCH(ROWS($AH$2:AH105),$AH$2:$AH$1001,0),1)&gt;=100000,INDEX($AO$1005:$BQ$1005,1,MATCH(COLUMNS($AO$1006:AW1006),$AO$1006:$BQ$1006,0))&gt;=100000), " ",IF(INDEX($AO$2:$BQ$1001,MATCH(ROWS($AH$2:AH105),$AH$2:$AH$1001,0),MATCH(COLUMNS($AO$1006:AW1006),$AO$1006:$BQ$1006,0)), HYPERLINK("#",""), HYPERLINK(CONCATENATE("#Metadata!", ADDRESS(INDEX($AJ$2:$AJ$1001,MATCH(ROWS($AH$2:AH105),$AH$2:$AH$1001,0),0), INDEX($AO$1004:$BQ$1004,1,MATCH(COLUMNS($AO$1006:AW1006),$AO$1006:$BQ$1006,0)))),"Fix")))</f>
        <v>#N/A</v>
      </c>
      <c r="K105" s="5" t="e">
        <f ca="1">IF(OR(INDEX($AI$2:$AI$1001,MATCH(ROWS($AH$2:AH105),$AH$2:$AH$1001,0),1)&gt;=100000,INDEX($AO$1005:$BQ$1005,1,MATCH(COLUMNS($AO$1006:AX1006),$AO$1006:$BQ$1006,0))&gt;=100000), " ",IF(INDEX($AO$2:$BQ$1001,MATCH(ROWS($AH$2:AH105),$AH$2:$AH$1001,0),MATCH(COLUMNS($AO$1006:AX1006),$AO$1006:$BQ$1006,0)), HYPERLINK("#",""), HYPERLINK(CONCATENATE("#Metadata!", ADDRESS(INDEX($AJ$2:$AJ$1001,MATCH(ROWS($AH$2:AH105),$AH$2:$AH$1001,0),0), INDEX($AO$1004:$BQ$1004,1,MATCH(COLUMNS($AO$1006:AX1006),$AO$1006:$BQ$1006,0)))),"Fix")))</f>
        <v>#N/A</v>
      </c>
      <c r="L105" s="5" t="e">
        <f ca="1">IF(OR(INDEX($AI$2:$AI$1001,MATCH(ROWS($AH$2:AH105),$AH$2:$AH$1001,0),1)&gt;=100000,INDEX($AO$1005:$BQ$1005,1,MATCH(COLUMNS($AO$1006:AY1006),$AO$1006:$BQ$1006,0))&gt;=100000), " ",IF(INDEX($AO$2:$BQ$1001,MATCH(ROWS($AH$2:AH105),$AH$2:$AH$1001,0),MATCH(COLUMNS($AO$1006:AY1006),$AO$1006:$BQ$1006,0)), HYPERLINK("#",""), HYPERLINK(CONCATENATE("#Metadata!", ADDRESS(INDEX($AJ$2:$AJ$1001,MATCH(ROWS($AH$2:AH105),$AH$2:$AH$1001,0),0), INDEX($AO$1004:$BQ$1004,1,MATCH(COLUMNS($AO$1006:AY1006),$AO$1006:$BQ$1006,0)))),"Fix")))</f>
        <v>#N/A</v>
      </c>
      <c r="M105" s="5" t="e">
        <f ca="1">IF(OR(INDEX($AI$2:$AI$1001,MATCH(ROWS($AH$2:AH105),$AH$2:$AH$1001,0),1)&gt;=100000,INDEX($AO$1005:$BQ$1005,1,MATCH(COLUMNS($AO$1006:AZ1006),$AO$1006:$BQ$1006,0))&gt;=100000), " ",IF(INDEX($AO$2:$BQ$1001,MATCH(ROWS($AH$2:AH105),$AH$2:$AH$1001,0),MATCH(COLUMNS($AO$1006:AZ1006),$AO$1006:$BQ$1006,0)), HYPERLINK("#",""), HYPERLINK(CONCATENATE("#Metadata!", ADDRESS(INDEX($AJ$2:$AJ$1001,MATCH(ROWS($AH$2:AH105),$AH$2:$AH$1001,0),0), INDEX($AO$1004:$BQ$1004,1,MATCH(COLUMNS($AO$1006:AZ1006),$AO$1006:$BQ$1006,0)))),"Fix")))</f>
        <v>#N/A</v>
      </c>
      <c r="N105" s="5" t="e">
        <f ca="1">IF(OR(INDEX($AI$2:$AI$1001,MATCH(ROWS($AH$2:AH105),$AH$2:$AH$1001,0),1)&gt;=100000,INDEX($AO$1005:$BQ$1005,1,MATCH(COLUMNS($AO$1006:BA1006),$AO$1006:$BQ$1006,0))&gt;=100000), " ",IF(INDEX($AO$2:$BQ$1001,MATCH(ROWS($AH$2:AH105),$AH$2:$AH$1001,0),MATCH(COLUMNS($AO$1006:BA1006),$AO$1006:$BQ$1006,0)), HYPERLINK("#",""), HYPERLINK(CONCATENATE("#Metadata!", ADDRESS(INDEX($AJ$2:$AJ$1001,MATCH(ROWS($AH$2:AH105),$AH$2:$AH$1001,0),0), INDEX($AO$1004:$BQ$1004,1,MATCH(COLUMNS($AO$1006:BA1006),$AO$1006:$BQ$1006,0)))),"Fix")))</f>
        <v>#N/A</v>
      </c>
      <c r="O105" s="5" t="e">
        <f ca="1">IF(OR(INDEX($AI$2:$AI$1001,MATCH(ROWS($AH$2:AH105),$AH$2:$AH$1001,0),1)&gt;=100000,INDEX($AO$1005:$BQ$1005,1,MATCH(COLUMNS($AO$1006:BB1006),$AO$1006:$BQ$1006,0))&gt;=100000), " ",IF(INDEX($AO$2:$BQ$1001,MATCH(ROWS($AH$2:AH105),$AH$2:$AH$1001,0),MATCH(COLUMNS($AO$1006:BB1006),$AO$1006:$BQ$1006,0)), HYPERLINK("#",""), HYPERLINK(CONCATENATE("#Metadata!", ADDRESS(INDEX($AJ$2:$AJ$1001,MATCH(ROWS($AH$2:AH105),$AH$2:$AH$1001,0),0), INDEX($AO$1004:$BQ$1004,1,MATCH(COLUMNS($AO$1006:BB1006),$AO$1006:$BQ$1006,0)))),"Fix")))</f>
        <v>#N/A</v>
      </c>
      <c r="P105" s="5" t="e">
        <f ca="1">IF(OR(INDEX($AI$2:$AI$1001,MATCH(ROWS($AH$2:AH105),$AH$2:$AH$1001,0),1)&gt;=100000,INDEX($AO$1005:$BQ$1005,1,MATCH(COLUMNS($AO$1006:BC1006),$AO$1006:$BQ$1006,0))&gt;=100000), " ",IF(INDEX($AO$2:$BQ$1001,MATCH(ROWS($AH$2:AH105),$AH$2:$AH$1001,0),MATCH(COLUMNS($AO$1006:BC1006),$AO$1006:$BQ$1006,0)), HYPERLINK("#",""), HYPERLINK(CONCATENATE("#Metadata!", ADDRESS(INDEX($AJ$2:$AJ$1001,MATCH(ROWS($AH$2:AH105),$AH$2:$AH$1001,0),0), INDEX($AO$1004:$BQ$1004,1,MATCH(COLUMNS($AO$1006:BC1006),$AO$1006:$BQ$1006,0)))),"Fix")))</f>
        <v>#N/A</v>
      </c>
      <c r="Q105" s="5" t="e">
        <f ca="1">IF(OR(INDEX($AI$2:$AI$1001,MATCH(ROWS($AH$2:AH105),$AH$2:$AH$1001,0),1)&gt;=100000,INDEX($AO$1005:$BQ$1005,1,MATCH(COLUMNS($AO$1006:BD1006),$AO$1006:$BQ$1006,0))&gt;=100000), " ",IF(INDEX($AO$2:$BQ$1001,MATCH(ROWS($AH$2:AH105),$AH$2:$AH$1001,0),MATCH(COLUMNS($AO$1006:BD1006),$AO$1006:$BQ$1006,0)), HYPERLINK("#",""), HYPERLINK(CONCATENATE("#Metadata!", ADDRESS(INDEX($AJ$2:$AJ$1001,MATCH(ROWS($AH$2:AH105),$AH$2:$AH$1001,0),0), INDEX($AO$1004:$BQ$1004,1,MATCH(COLUMNS($AO$1006:BD1006),$AO$1006:$BQ$1006,0)))),"Fix")))</f>
        <v>#N/A</v>
      </c>
      <c r="R105" s="5" t="e">
        <f ca="1">IF(OR(INDEX($AI$2:$AI$1001,MATCH(ROWS($AH$2:AH105),$AH$2:$AH$1001,0),1)&gt;=100000,INDEX($AO$1005:$BQ$1005,1,MATCH(COLUMNS($AO$1006:BE1006),$AO$1006:$BQ$1006,0))&gt;=100000), " ",IF(INDEX($AO$2:$BQ$1001,MATCH(ROWS($AH$2:AH105),$AH$2:$AH$1001,0),MATCH(COLUMNS($AO$1006:BE1006),$AO$1006:$BQ$1006,0)), HYPERLINK("#",""), HYPERLINK(CONCATENATE("#Metadata!", ADDRESS(INDEX($AJ$2:$AJ$1001,MATCH(ROWS($AH$2:AH105),$AH$2:$AH$1001,0),0), INDEX($AO$1004:$BQ$1004,1,MATCH(COLUMNS($AO$1006:BE1006),$AO$1006:$BQ$1006,0)))),"Fix")))</f>
        <v>#N/A</v>
      </c>
      <c r="S105" s="5" t="e">
        <f ca="1">IF(OR(INDEX($AI$2:$AI$1001,MATCH(ROWS($AH$2:AH105),$AH$2:$AH$1001,0),1)&gt;=100000,INDEX($AO$1005:$BQ$1005,1,MATCH(COLUMNS($AO$1006:BF1006),$AO$1006:$BQ$1006,0))&gt;=100000), " ",IF(INDEX($AO$2:$BQ$1001,MATCH(ROWS($AH$2:AH105),$AH$2:$AH$1001,0),MATCH(COLUMNS($AO$1006:BF1006),$AO$1006:$BQ$1006,0)), HYPERLINK("#",""), HYPERLINK(CONCATENATE("#Metadata!", ADDRESS(INDEX($AJ$2:$AJ$1001,MATCH(ROWS($AH$2:AH105),$AH$2:$AH$1001,0),0), INDEX($AO$1004:$BQ$1004,1,MATCH(COLUMNS($AO$1006:BF1006),$AO$1006:$BQ$1006,0)))),"Fix")))</f>
        <v>#N/A</v>
      </c>
      <c r="T105" s="5" t="e">
        <f ca="1">IF(OR(INDEX($AI$2:$AI$1001,MATCH(ROWS($AH$2:AH105),$AH$2:$AH$1001,0),1)&gt;=100000,INDEX($AO$1005:$BQ$1005,1,MATCH(COLUMNS($AO$1006:BG1006),$AO$1006:$BQ$1006,0))&gt;=100000), " ",IF(INDEX($AO$2:$BQ$1001,MATCH(ROWS($AH$2:AH105),$AH$2:$AH$1001,0),MATCH(COLUMNS($AO$1006:BG1006),$AO$1006:$BQ$1006,0)), HYPERLINK("#",""), HYPERLINK(CONCATENATE("#Metadata!", ADDRESS(INDEX($AJ$2:$AJ$1001,MATCH(ROWS($AH$2:AH105),$AH$2:$AH$1001,0),0), INDEX($AO$1004:$BQ$1004,1,MATCH(COLUMNS($AO$1006:BG1006),$AO$1006:$BQ$1006,0)))),"Fix")))</f>
        <v>#N/A</v>
      </c>
      <c r="U105" s="5" t="e">
        <f ca="1">IF(OR(INDEX($AI$2:$AI$1001,MATCH(ROWS($AH$2:AH105),$AH$2:$AH$1001,0),1)&gt;=100000,INDEX($AO$1005:$BQ$1005,1,MATCH(COLUMNS($AO$1006:BH1006),$AO$1006:$BQ$1006,0))&gt;=100000), " ",IF(INDEX($AO$2:$BQ$1001,MATCH(ROWS($AH$2:AH105),$AH$2:$AH$1001,0),MATCH(COLUMNS($AO$1006:BH1006),$AO$1006:$BQ$1006,0)), HYPERLINK("#",""), HYPERLINK(CONCATENATE("#Metadata!", ADDRESS(INDEX($AJ$2:$AJ$1001,MATCH(ROWS($AH$2:AH105),$AH$2:$AH$1001,0),0), INDEX($AO$1004:$BQ$1004,1,MATCH(COLUMNS($AO$1006:BH1006),$AO$1006:$BQ$1006,0)))),"Fix")))</f>
        <v>#N/A</v>
      </c>
      <c r="V105" s="5" t="e">
        <f ca="1">IF(OR(INDEX($AI$2:$AI$1001,MATCH(ROWS($AH$2:AH105),$AH$2:$AH$1001,0),1)&gt;=100000,INDEX($AO$1005:$BQ$1005,1,MATCH(COLUMNS($AO$1006:BI1006),$AO$1006:$BQ$1006,0))&gt;=100000), " ",IF(INDEX($AO$2:$BQ$1001,MATCH(ROWS($AH$2:AH105),$AH$2:$AH$1001,0),MATCH(COLUMNS($AO$1006:BI1006),$AO$1006:$BQ$1006,0)), HYPERLINK("#",""), HYPERLINK(CONCATENATE("#Metadata!", ADDRESS(INDEX($AJ$2:$AJ$1001,MATCH(ROWS($AH$2:AH105),$AH$2:$AH$1001,0),0), INDEX($AO$1004:$BQ$1004,1,MATCH(COLUMNS($AO$1006:BI1006),$AO$1006:$BQ$1006,0)))),"Fix")))</f>
        <v>#N/A</v>
      </c>
      <c r="W105" s="5" t="e">
        <f ca="1">IF(OR(INDEX($AI$2:$AI$1001,MATCH(ROWS($AH$2:AH105),$AH$2:$AH$1001,0),1)&gt;=100000,INDEX($AO$1005:$BQ$1005,1,MATCH(COLUMNS($AO$1006:BJ1006),$AO$1006:$BQ$1006,0))&gt;=100000), " ",IF(INDEX($AO$2:$BQ$1001,MATCH(ROWS($AH$2:AH105),$AH$2:$AH$1001,0),MATCH(COLUMNS($AO$1006:BJ1006),$AO$1006:$BQ$1006,0)), HYPERLINK("#",""), HYPERLINK(CONCATENATE("#Metadata!", ADDRESS(INDEX($AJ$2:$AJ$1001,MATCH(ROWS($AH$2:AH105),$AH$2:$AH$1001,0),0), INDEX($AO$1004:$BQ$1004,1,MATCH(COLUMNS($AO$1006:BJ1006),$AO$1006:$BQ$1006,0)))),"Fix")))</f>
        <v>#N/A</v>
      </c>
      <c r="X105" s="5" t="e">
        <f ca="1">IF(OR(INDEX($AI$2:$AI$1001,MATCH(ROWS($AH$2:AH105),$AH$2:$AH$1001,0),1)&gt;=100000,INDEX($AO$1005:$BQ$1005,1,MATCH(COLUMNS($AO$1006:BK1006),$AO$1006:$BQ$1006,0))&gt;=100000), " ",IF(INDEX($AO$2:$BQ$1001,MATCH(ROWS($AH$2:AH105),$AH$2:$AH$1001,0),MATCH(COLUMNS($AO$1006:BK1006),$AO$1006:$BQ$1006,0)), HYPERLINK("#",""), HYPERLINK(CONCATENATE("#Metadata!", ADDRESS(INDEX($AJ$2:$AJ$1001,MATCH(ROWS($AH$2:AH105),$AH$2:$AH$1001,0),0), INDEX($AO$1004:$BQ$1004,1,MATCH(COLUMNS($AO$1006:BK1006),$AO$1006:$BQ$1006,0)))),"Fix")))</f>
        <v>#N/A</v>
      </c>
      <c r="Y105" s="5" t="e">
        <f ca="1">IF(OR(INDEX($AI$2:$AI$1001,MATCH(ROWS($AH$2:AH105),$AH$2:$AH$1001,0),1)&gt;=100000,INDEX($AO$1005:$BQ$1005,1,MATCH(COLUMNS($AO$1006:BL1006),$AO$1006:$BQ$1006,0))&gt;=100000), " ",IF(INDEX($AO$2:$BQ$1001,MATCH(ROWS($AH$2:AH105),$AH$2:$AH$1001,0),MATCH(COLUMNS($AO$1006:BL1006),$AO$1006:$BQ$1006,0)), HYPERLINK("#",""), HYPERLINK(CONCATENATE("#Metadata!", ADDRESS(INDEX($AJ$2:$AJ$1001,MATCH(ROWS($AH$2:AH105),$AH$2:$AH$1001,0),0), INDEX($AO$1004:$BQ$1004,1,MATCH(COLUMNS($AO$1006:BL1006),$AO$1006:$BQ$1006,0)))),"Fix")))</f>
        <v>#N/A</v>
      </c>
      <c r="Z105" s="5" t="e">
        <f ca="1">IF(OR(INDEX($AI$2:$AI$1001,MATCH(ROWS($AH$2:AH105),$AH$2:$AH$1001,0),1)&gt;=100000,INDEX($AO$1005:$BQ$1005,1,MATCH(COLUMNS($AO$1006:BM1006),$AO$1006:$BQ$1006,0))&gt;=100000), " ",IF(INDEX($AO$2:$BQ$1001,MATCH(ROWS($AH$2:AH105),$AH$2:$AH$1001,0),MATCH(COLUMNS($AO$1006:BM1006),$AO$1006:$BQ$1006,0)), HYPERLINK("#",""), HYPERLINK(CONCATENATE("#Metadata!", ADDRESS(INDEX($AJ$2:$AJ$1001,MATCH(ROWS($AH$2:AH105),$AH$2:$AH$1001,0),0), INDEX($AO$1004:$BQ$1004,1,MATCH(COLUMNS($AO$1006:BM1006),$AO$1006:$BQ$1006,0)))),"Fix")))</f>
        <v>#N/A</v>
      </c>
      <c r="AA105" s="5" t="e">
        <f ca="1">IF(OR(INDEX($AI$2:$AI$1001,MATCH(ROWS($AH$2:AH105),$AH$2:$AH$1001,0),1)&gt;=100000,INDEX($AO$1005:$BQ$1005,1,MATCH(COLUMNS($AO$1006:BN1006),$AO$1006:$BQ$1006,0))&gt;=100000), " ",IF(INDEX($AO$2:$BQ$1001,MATCH(ROWS($AH$2:AH105),$AH$2:$AH$1001,0),MATCH(COLUMNS($AO$1006:BN1006),$AO$1006:$BQ$1006,0)), HYPERLINK("#",""), HYPERLINK(CONCATENATE("#Metadata!", ADDRESS(INDEX($AJ$2:$AJ$1001,MATCH(ROWS($AH$2:AH105),$AH$2:$AH$1001,0),0), INDEX($AO$1004:$BQ$1004,1,MATCH(COLUMNS($AO$1006:BN1006),$AO$1006:$BQ$1006,0)))),"Fix")))</f>
        <v>#N/A</v>
      </c>
      <c r="AB105" s="5" t="e">
        <f ca="1">IF(OR(INDEX($AI$2:$AI$1001,MATCH(ROWS($AH$2:AH105),$AH$2:$AH$1001,0),1)&gt;=100000,INDEX($AO$1005:$BQ$1005,1,MATCH(COLUMNS($AO$1006:BO1006),$AO$1006:$BQ$1006,0))&gt;=100000), " ",IF(INDEX($AO$2:$BQ$1001,MATCH(ROWS($AH$2:AH105),$AH$2:$AH$1001,0),MATCH(COLUMNS($AO$1006:BO1006),$AO$1006:$BQ$1006,0)), HYPERLINK("#",""), HYPERLINK(CONCATENATE("#Metadata!", ADDRESS(INDEX($AJ$2:$AJ$1001,MATCH(ROWS($AH$2:AH105),$AH$2:$AH$1001,0),0), INDEX($AO$1004:$BQ$1004,1,MATCH(COLUMNS($AO$1006:BO1006),$AO$1006:$BQ$1006,0)))),"Fix")))</f>
        <v>#N/A</v>
      </c>
      <c r="AC105" s="5" t="e">
        <f ca="1">IF(OR(INDEX($AI$2:$AI$1001,MATCH(ROWS($AH$2:AH105),$AH$2:$AH$1001,0),1)&gt;=100000,INDEX($AO$1005:$BQ$1005,1,MATCH(COLUMNS($AO$1006:BP1006),$AO$1006:$BQ$1006,0))&gt;=100000), " ",IF(INDEX($AO$2:$BQ$1001,MATCH(ROWS($AH$2:AH105),$AH$2:$AH$1001,0),MATCH(COLUMNS($AO$1006:BP1006),$AO$1006:$BQ$1006,0)), HYPERLINK("#",""), HYPERLINK(CONCATENATE("#Metadata!", ADDRESS(INDEX($AJ$2:$AJ$1001,MATCH(ROWS($AH$2:AH105),$AH$2:$AH$1001,0),0), INDEX($AO$1004:$BQ$1004,1,MATCH(COLUMNS($AO$1006:BP1006),$AO$1006:$BQ$1006,0)))),"Fix")))</f>
        <v>#N/A</v>
      </c>
      <c r="AD105" s="5" t="e">
        <f ca="1">IF(OR(INDEX($AI$2:$AI$1001,MATCH(ROWS($AH$2:AH105),$AH$2:$AH$1001,0),1)&gt;=100000,INDEX($AO$1005:$BQ$1005,1,MATCH(COLUMNS($AO$1006:BQ1006),$AO$1006:$BQ$1006,0))&gt;=100000), " ",IF(INDEX($AO$2:$BQ$1001,MATCH(ROWS($AH$2:AH105),$AH$2:$AH$1001,0),MATCH(COLUMNS($AO$1006:BQ1006),$AO$1006:$BQ$1006,0)), HYPERLINK("#",""), HYPERLINK(CONCATENATE("#Metadata!", ADDRESS(INDEX($AJ$2:$AJ$1001,MATCH(ROWS($AH$2:AH105),$AH$2:$AH$1001,0),0), INDEX($AO$1004:$BQ$1004,1,MATCH(COLUMNS($AO$1006:BQ1006),$AO$1006:$BQ$1006,0)))),"Fix")))</f>
        <v>#REF!</v>
      </c>
      <c r="AH105">
        <f ca="1"/>
        <v>102</v>
      </c>
      <c r="AI105">
        <v>100105</v>
      </c>
      <c r="AJ105">
        <v>105</v>
      </c>
      <c r="AK105" t="b">
        <f t="shared" si="1"/>
        <v>1</v>
      </c>
      <c r="AL105" t="b">
        <f>COUNTBLANK(Metadata!B105:AD105)=COLUMNS(Metadata!B105:AD105)</f>
        <v>1</v>
      </c>
      <c r="AM105" t="str">
        <v/>
      </c>
      <c r="AO105" t="b">
        <f ca="1">AND(IF(Metadata!B105="",FALSE,TRUE),COUNTIF(Metadata!B:B, Metadata!B105) = 1,NOT(ISERROR(SUMPRODUCT(SEARCH(MID(Metadata!B105,ROW(INDIRECT("1:"&amp;LEN(Metadata!B105))), 1),"0123456789abcdefghijklmnopqrstuvwxyzABCDEFGHIJKLMNOPQRSTUVWXYZ.")))))</f>
        <v>0</v>
      </c>
      <c r="AP105" t="b">
        <f>IF(Metadata!C105="",FALSE,TRUE)</f>
        <v>0</v>
      </c>
      <c r="AQ105" t="b">
        <f>IF(Metadata!D105="",FALSE,TRUE)</f>
        <v>0</v>
      </c>
      <c r="AR105" t="b">
        <f ca="1">OR(AND(IF(Metadata!E105="",FALSE,TRUE),OR(EXACT(Metadata!E105,"not collected"),EXACT(Metadata!E105,"not provided"),EXACT(Metadata!E105,"restricted access"))),AND(IF(Metadata!E105="",FALSE,TRUE),AND(AND(IFERROR(INT(LEFT(Metadata!E105,4))&gt;1900,FALSE),IFERROR(INT(LEFT(Metadata!E105,4))&lt;=YEAR(NOW()),FALSE)), OR(MID(Metadata!E105,5,1)="", AND(AND(MID(Metadata!E105,5,1)="-",IFERROR(INT(MID(Metadata!E105,6,1))&gt;=0,FALSE),IFERROR(INT(MID(Metadata!E105,6,1))&lt;=1,FALSE),NOT(MID(Metadata!E105,7,1)=""),IFERROR(INT(MID(Metadata!E105,6,2))&gt;=1,FALSE),IFERROR(INT(MID(Metadata!E105,6,2))&lt;=12,FALSE)), OR(MID(Metadata!E105,8,1)="", AND(AND(MID(Metadata!E105,8,1)="-",IFERROR(INT(MID(Metadata!E105,9,1))&gt;=0,FALSE),IFERROR(INT(MID(Metadata!E105,9,1))&lt;=3,FALSE),NOT(MID(Metadata!E105,10,1)=""),IFERROR(INT(MID(Metadata!E105,9,2))&gt;=1,FALSE),IFERROR(INT(MID(Metadata!E105,9,2))&lt;=31,FALSE)), OR(MID(Metadata!E105,11,1)="", AND(AND(MID(Metadata!E105,11,1)=" ",IFERROR(INT(MID(Metadata!E105,12,1))&gt;=0,FALSE),IFERROR(INT(MID(Metadata!E105,12,1))&lt;=2,FALSE),NOT(MID(Metadata!E105,13,1)=""),IFERROR(INT(MID(Metadata!E105,12,2))&gt;=0,FALSE),IFERROR(INT(MID(Metadata!E105,12,2))&lt;=23,FALSE)), OR(MID(Metadata!E105,14,1)="", AND(AND(MID(Metadata!E105,14,1)=":",IFERROR(INT(MID(Metadata!E105,15,1))&gt;=0,FALSE),IFERROR(INT(MID(Metadata!E105,15,1))&lt;=5,FALSE),NOT(MID(Metadata!E105,16,1)=""),IFERROR(INT(MID(Metadata!E105,15,2))&gt;=0,FALSE),IFERROR(INT(MID(Metadata!E105,15,2))&lt;=59,FALSE)), OR(MID(Metadata!E105,17,1)="", AND(AND(MID(Metadata!E105,17,1)=":",IFERROR(INT(MID(Metadata!E105,18,1))&gt;=0,FALSE),IFERROR(INT(MID(Metadata!E105,18,1))&lt;=5,FALSE),NOT(MID(Metadata!E105,19,1)=""),IFERROR(INT(MID(Metadata!E105,18,2))&gt;=0,FALSE),IFERROR(INT(MID(Metadata!E105,18,2))&lt;=59,FALSE)), LEN(Metadata!E105)&lt;=19)))))))))))))</f>
        <v>0</v>
      </c>
      <c r="AS105" t="b">
        <f>IF(Metadata!F105="",FALSE,TRUE)</f>
        <v>0</v>
      </c>
      <c r="AT105" t="b">
        <f>OR(AND(IF(Metadata!G105="",FALSE,TRUE),OR(EXACT(Metadata!G105,"not collected"),EXACT(Metadata!G105,"not provided"))),AND(IF(Metadata!G105="",FALSE,TRUE),OR(EXACT(Metadata!G105,"TRUE"),EXACT(Metadata!G105,"FALSE"))))</f>
        <v>0</v>
      </c>
      <c r="AU105" t="b">
        <f>OR(AND(IF(Metadata!H105="",FALSE,TRUE),OR(EXACT(Metadata!H105,"not collected"),EXACT(Metadata!H105,"not provided"),EXACT(Metadata!H105,"restricted access"))),AND(IF(Metadata!H105="",FALSE,ISNUMBER(VALUE(Metadata!H105))),Metadata!H105&gt;=-413))</f>
        <v>0</v>
      </c>
      <c r="AV105" t="b">
        <f>AND(IF(Metadata!I105="",FALSE,TRUE),EXACT(Metadata!I105,"meters"))</f>
        <v>0</v>
      </c>
      <c r="AW105" t="b">
        <f>AND(IF(Metadata!J105="",FALSE,TRUE),EXACT(Metadata!J105,"free-living"))</f>
        <v>0</v>
      </c>
      <c r="AX105" t="b">
        <f>AND(IF(Metadata!K105="",FALSE,TRUE),OR(EXACT(Metadata!K105,"saline"),EXACT(Metadata!K105,"non-saline")))</f>
        <v>0</v>
      </c>
      <c r="AY105" t="b">
        <f>AND(IF(Metadata!L105="",FALSE,TRUE),OR(EXACT(Metadata!L105,"sub-surface (non-saline)"),EXACT(Metadata!L105,"surface (non-saline)"),EXACT(Metadata!L105,"water (non-saline)"),EXACT(Metadata!L105,"soil (non-saline)"),EXACT(Metadata!L105,"aerosol (non-saline)"),EXACT(Metadata!L105,"sediment (non-saline)"),EXACT(Metadata!L105,"surface (saline)"),EXACT(Metadata!L105,"water (saline)"),EXACT(Metadata!L105,"hypersaline (saline)"),EXACT(Metadata!L105,"aerosol (saline)"),EXACT(Metadata!L105,"sediment (saline)")))</f>
        <v>0</v>
      </c>
      <c r="AZ105" t="b">
        <f>IF(Metadata!M105="",FALSE,TRUE)</f>
        <v>0</v>
      </c>
      <c r="BA105" t="b">
        <f>IF(Metadata!N105="",FALSE,TRUE)</f>
        <v>0</v>
      </c>
      <c r="BB105" t="b">
        <f>IF(Metadata!O105="",FALSE,TRUE)</f>
        <v>0</v>
      </c>
      <c r="BC105" t="b">
        <f>AND(IF(Metadata!P105="",FALSE,TRUE),OR(EXACT(Metadata!P105,"air"),EXACT(Metadata!P105,"microbial mat/biofilm"),EXACT(Metadata!P105,"misc environment"),EXACT(Metadata!P105,"sediment"),EXACT(Metadata!P105,"soil"),EXACT(Metadata!P105,"wastewater/sludge"),EXACT(Metadata!P105,"water")))</f>
        <v>0</v>
      </c>
      <c r="BD105" t="b">
        <f>IF(Metadata!Q105="",FALSE,TRUE)</f>
        <v>0</v>
      </c>
      <c r="BE105" t="b">
        <f>IF(Metadata!R105="",FALSE,TRUE)</f>
        <v>0</v>
      </c>
      <c r="BF105" t="b">
        <f>OR(AND(IF(Metadata!S105="",FALSE,TRUE),OR(EXACT(Metadata!S105,"not collected"),EXACT(Metadata!S105,"not provided"),EXACT(Metadata!S105,"restricted access"))),AND(IF(Metadata!S105="",FALSE,ISNUMBER(VALUE(Metadata!S105))),Metadata!S105&gt;=-90,Metadata!S105&lt;=90))</f>
        <v>0</v>
      </c>
      <c r="BG105" t="b">
        <f>AND(IF(Metadata!T105="",FALSE,TRUE),EXACT(Metadata!T105,"Decimal degrees"))</f>
        <v>0</v>
      </c>
      <c r="BH105" t="b">
        <f>OR(AND(IF(Metadata!U105="",FALSE,TRUE),OR(EXACT(Metadata!U105,"not applicable"),EXACT(Metadata!U105,"not collected"))),IF(Metadata!U105="",FALSE,TRUE))</f>
        <v>0</v>
      </c>
      <c r="BI105" t="b">
        <f>OR(AND(IF(Metadata!V105="",FALSE,TRUE),OR(EXACT(Metadata!V105,"not collected"),EXACT(Metadata!V105,"not provided"),EXACT(Metadata!V105,"restricted access"))),AND(IF(Metadata!V105="",FALSE,ISNUMBER(VALUE(Metadata!V105))),Metadata!V105&gt;=-180,Metadata!V105&lt;=180))</f>
        <v>0</v>
      </c>
      <c r="BJ105" t="b">
        <f>AND(IF(Metadata!W105="",FALSE,TRUE),EXACT(Metadata!W105,"Decimal degrees"))</f>
        <v>0</v>
      </c>
      <c r="BK105" t="b">
        <f>IF(Metadata!X105="",FALSE,TRUE)</f>
        <v>0</v>
      </c>
      <c r="BL105" t="b">
        <f>OR(AND(IF(Metadata!Y105="",FALSE,TRUE),OR(EXACT(Metadata!Y105,"not collected"),EXACT(Metadata!Y105,"not provided"),EXACT(Metadata!Y105,"restricted access"))),AND(IF(Metadata!Y105="",FALSE,TRUE),OR(EXACT(Metadata!Y105,"TRUE"),EXACT(Metadata!Y105,"FALSE"))))</f>
        <v>0</v>
      </c>
      <c r="BM105" t="b">
        <f>OR(AND(IF(Metadata!Z105="",FALSE,TRUE),EXACT(Metadata!Z105,"not applicable")),AND(IF(Metadata!Z105="",FALSE,TRUE),OR(EXACT(Metadata!Z105,"beer"),EXACT(Metadata!Z105,"cheese"),EXACT(Metadata!Z105,"fresh water"),EXACT(Metadata!Z105,"marine sediment"),EXACT(Metadata!Z105,"sea water"),EXACT(Metadata!Z105,"sediment"),EXACT(Metadata!Z105,"soil"),EXACT(Metadata!Z105,"waste water"))))</f>
        <v>0</v>
      </c>
      <c r="BN105" t="b">
        <f>AND(IF(Metadata!AA105="",FALSE,TRUE),EXACT(Metadata!AA105,"metagenome"))</f>
        <v>0</v>
      </c>
      <c r="BO105" t="b">
        <f>AND(IF(Metadata!AB105="",FALSE,TRUE),EXACT(Metadata!AB105,"256318"))</f>
        <v>0</v>
      </c>
      <c r="BP105" t="b">
        <f>IF(Metadata!AC105="",FALSE,TRUE)</f>
        <v>0</v>
      </c>
      <c r="BQ105" t="b">
        <f>IF(Metadata!AD105="",FALSE,TRUE)</f>
        <v>0</v>
      </c>
    </row>
    <row r="106" spans="1:69" x14ac:dyDescent="0.2">
      <c r="A106" s="4" t="e">
        <f ca="1">IF(B106=" "," ",HYPERLINK(CONCATENATE("#metadata!",ADDRESS(INDEX($AJ$2:$AJ$1001,MATCH(ROWS($AH$2:AH106),$AH$2:$AH$1001,0),0),2)),INDEX($AM$2:$AM$1001,MATCH(ROWS($AH$2:AH106),$AH$2:$AH$1001,0),0)))</f>
        <v>#N/A</v>
      </c>
      <c r="B106" s="5" t="e">
        <f ca="1">IF(OR(INDEX($AI$2:$AI$1001,MATCH(ROWS($AH$2:AH106),$AH$2:$AH$1001,0),1)&gt;=100000,INDEX($AO$1005:$BQ$1005,1,MATCH(COLUMNS($AO$1006:AO1006),$AO$1006:$BQ$1006,0))&gt;=100000), " ",IF(INDEX($AO$2:$BQ$1001,MATCH(ROWS($AH$2:AH106),$AH$2:$AH$1001,0),MATCH(COLUMNS($AO$1006:AO1006),$AO$1006:$BQ$1006,0)), HYPERLINK("#",""), HYPERLINK(CONCATENATE("#Metadata!", ADDRESS(INDEX($AJ$2:$AJ$1001,MATCH(ROWS($AH$2:AH106),$AH$2:$AH$1001,0),0), INDEX($AO$1004:$BQ$1004,1,MATCH(COLUMNS($AO$1006:AO1006),$AO$1006:$BQ$1006,0)))),"Fix")))</f>
        <v>#N/A</v>
      </c>
      <c r="C106" s="5" t="e">
        <f ca="1">IF(OR(INDEX($AI$2:$AI$1001,MATCH(ROWS($AH$2:AH106),$AH$2:$AH$1001,0),1)&gt;=100000,INDEX($AO$1005:$BQ$1005,1,MATCH(COLUMNS($AO$1006:AP1006),$AO$1006:$BQ$1006,0))&gt;=100000), " ",IF(INDEX($AO$2:$BQ$1001,MATCH(ROWS($AH$2:AH106),$AH$2:$AH$1001,0),MATCH(COLUMNS($AO$1006:AP1006),$AO$1006:$BQ$1006,0)), HYPERLINK("#",""), HYPERLINK(CONCATENATE("#Metadata!", ADDRESS(INDEX($AJ$2:$AJ$1001,MATCH(ROWS($AH$2:AH106),$AH$2:$AH$1001,0),0), INDEX($AO$1004:$BQ$1004,1,MATCH(COLUMNS($AO$1006:AP1006),$AO$1006:$BQ$1006,0)))),"Fix")))</f>
        <v>#N/A</v>
      </c>
      <c r="D106" s="5" t="e">
        <f ca="1">IF(OR(INDEX($AI$2:$AI$1001,MATCH(ROWS($AH$2:AH106),$AH$2:$AH$1001,0),1)&gt;=100000,INDEX($AO$1005:$BQ$1005,1,MATCH(COLUMNS($AO$1006:AQ1006),$AO$1006:$BQ$1006,0))&gt;=100000), " ",IF(INDEX($AO$2:$BQ$1001,MATCH(ROWS($AH$2:AH106),$AH$2:$AH$1001,0),MATCH(COLUMNS($AO$1006:AQ1006),$AO$1006:$BQ$1006,0)), HYPERLINK("#",""), HYPERLINK(CONCATENATE("#Metadata!", ADDRESS(INDEX($AJ$2:$AJ$1001,MATCH(ROWS($AH$2:AH106),$AH$2:$AH$1001,0),0), INDEX($AO$1004:$BQ$1004,1,MATCH(COLUMNS($AO$1006:AQ1006),$AO$1006:$BQ$1006,0)))),"Fix")))</f>
        <v>#N/A</v>
      </c>
      <c r="E106" s="5" t="e">
        <f ca="1">IF(OR(INDEX($AI$2:$AI$1001,MATCH(ROWS($AH$2:AH106),$AH$2:$AH$1001,0),1)&gt;=100000,INDEX($AO$1005:$BQ$1005,1,MATCH(COLUMNS($AO$1006:AR1006),$AO$1006:$BQ$1006,0))&gt;=100000), " ",IF(INDEX($AO$2:$BQ$1001,MATCH(ROWS($AH$2:AH106),$AH$2:$AH$1001,0),MATCH(COLUMNS($AO$1006:AR1006),$AO$1006:$BQ$1006,0)), HYPERLINK("#",""), HYPERLINK(CONCATENATE("#Metadata!", ADDRESS(INDEX($AJ$2:$AJ$1001,MATCH(ROWS($AH$2:AH106),$AH$2:$AH$1001,0),0), INDEX($AO$1004:$BQ$1004,1,MATCH(COLUMNS($AO$1006:AR1006),$AO$1006:$BQ$1006,0)))),"Fix")))</f>
        <v>#N/A</v>
      </c>
      <c r="F106" s="5" t="e">
        <f ca="1">IF(OR(INDEX($AI$2:$AI$1001,MATCH(ROWS($AH$2:AH106),$AH$2:$AH$1001,0),1)&gt;=100000,INDEX($AO$1005:$BQ$1005,1,MATCH(COLUMNS($AO$1006:AS1006),$AO$1006:$BQ$1006,0))&gt;=100000), " ",IF(INDEX($AO$2:$BQ$1001,MATCH(ROWS($AH$2:AH106),$AH$2:$AH$1001,0),MATCH(COLUMNS($AO$1006:AS1006),$AO$1006:$BQ$1006,0)), HYPERLINK("#",""), HYPERLINK(CONCATENATE("#Metadata!", ADDRESS(INDEX($AJ$2:$AJ$1001,MATCH(ROWS($AH$2:AH106),$AH$2:$AH$1001,0),0), INDEX($AO$1004:$BQ$1004,1,MATCH(COLUMNS($AO$1006:AS1006),$AO$1006:$BQ$1006,0)))),"Fix")))</f>
        <v>#N/A</v>
      </c>
      <c r="G106" s="5" t="e">
        <f ca="1">IF(OR(INDEX($AI$2:$AI$1001,MATCH(ROWS($AH$2:AH106),$AH$2:$AH$1001,0),1)&gt;=100000,INDEX($AO$1005:$BQ$1005,1,MATCH(COLUMNS($AO$1006:AT1006),$AO$1006:$BQ$1006,0))&gt;=100000), " ",IF(INDEX($AO$2:$BQ$1001,MATCH(ROWS($AH$2:AH106),$AH$2:$AH$1001,0),MATCH(COLUMNS($AO$1006:AT1006),$AO$1006:$BQ$1006,0)), HYPERLINK("#",""), HYPERLINK(CONCATENATE("#Metadata!", ADDRESS(INDEX($AJ$2:$AJ$1001,MATCH(ROWS($AH$2:AH106),$AH$2:$AH$1001,0),0), INDEX($AO$1004:$BQ$1004,1,MATCH(COLUMNS($AO$1006:AT1006),$AO$1006:$BQ$1006,0)))),"Fix")))</f>
        <v>#N/A</v>
      </c>
      <c r="H106" s="5" t="e">
        <f ca="1">IF(OR(INDEX($AI$2:$AI$1001,MATCH(ROWS($AH$2:AH106),$AH$2:$AH$1001,0),1)&gt;=100000,INDEX($AO$1005:$BQ$1005,1,MATCH(COLUMNS($AO$1006:AU1006),$AO$1006:$BQ$1006,0))&gt;=100000), " ",IF(INDEX($AO$2:$BQ$1001,MATCH(ROWS($AH$2:AH106),$AH$2:$AH$1001,0),MATCH(COLUMNS($AO$1006:AU1006),$AO$1006:$BQ$1006,0)), HYPERLINK("#",""), HYPERLINK(CONCATENATE("#Metadata!", ADDRESS(INDEX($AJ$2:$AJ$1001,MATCH(ROWS($AH$2:AH106),$AH$2:$AH$1001,0),0), INDEX($AO$1004:$BQ$1004,1,MATCH(COLUMNS($AO$1006:AU1006),$AO$1006:$BQ$1006,0)))),"Fix")))</f>
        <v>#N/A</v>
      </c>
      <c r="I106" s="5" t="e">
        <f ca="1">IF(OR(INDEX($AI$2:$AI$1001,MATCH(ROWS($AH$2:AH106),$AH$2:$AH$1001,0),1)&gt;=100000,INDEX($AO$1005:$BQ$1005,1,MATCH(COLUMNS($AO$1006:AV1006),$AO$1006:$BQ$1006,0))&gt;=100000), " ",IF(INDEX($AO$2:$BQ$1001,MATCH(ROWS($AH$2:AH106),$AH$2:$AH$1001,0),MATCH(COLUMNS($AO$1006:AV1006),$AO$1006:$BQ$1006,0)), HYPERLINK("#",""), HYPERLINK(CONCATENATE("#Metadata!", ADDRESS(INDEX($AJ$2:$AJ$1001,MATCH(ROWS($AH$2:AH106),$AH$2:$AH$1001,0),0), INDEX($AO$1004:$BQ$1004,1,MATCH(COLUMNS($AO$1006:AV1006),$AO$1006:$BQ$1006,0)))),"Fix")))</f>
        <v>#N/A</v>
      </c>
      <c r="J106" s="5" t="e">
        <f ca="1">IF(OR(INDEX($AI$2:$AI$1001,MATCH(ROWS($AH$2:AH106),$AH$2:$AH$1001,0),1)&gt;=100000,INDEX($AO$1005:$BQ$1005,1,MATCH(COLUMNS($AO$1006:AW1006),$AO$1006:$BQ$1006,0))&gt;=100000), " ",IF(INDEX($AO$2:$BQ$1001,MATCH(ROWS($AH$2:AH106),$AH$2:$AH$1001,0),MATCH(COLUMNS($AO$1006:AW1006),$AO$1006:$BQ$1006,0)), HYPERLINK("#",""), HYPERLINK(CONCATENATE("#Metadata!", ADDRESS(INDEX($AJ$2:$AJ$1001,MATCH(ROWS($AH$2:AH106),$AH$2:$AH$1001,0),0), INDEX($AO$1004:$BQ$1004,1,MATCH(COLUMNS($AO$1006:AW1006),$AO$1006:$BQ$1006,0)))),"Fix")))</f>
        <v>#N/A</v>
      </c>
      <c r="K106" s="5" t="e">
        <f ca="1">IF(OR(INDEX($AI$2:$AI$1001,MATCH(ROWS($AH$2:AH106),$AH$2:$AH$1001,0),1)&gt;=100000,INDEX($AO$1005:$BQ$1005,1,MATCH(COLUMNS($AO$1006:AX1006),$AO$1006:$BQ$1006,0))&gt;=100000), " ",IF(INDEX($AO$2:$BQ$1001,MATCH(ROWS($AH$2:AH106),$AH$2:$AH$1001,0),MATCH(COLUMNS($AO$1006:AX1006),$AO$1006:$BQ$1006,0)), HYPERLINK("#",""), HYPERLINK(CONCATENATE("#Metadata!", ADDRESS(INDEX($AJ$2:$AJ$1001,MATCH(ROWS($AH$2:AH106),$AH$2:$AH$1001,0),0), INDEX($AO$1004:$BQ$1004,1,MATCH(COLUMNS($AO$1006:AX1006),$AO$1006:$BQ$1006,0)))),"Fix")))</f>
        <v>#N/A</v>
      </c>
      <c r="L106" s="5" t="e">
        <f ca="1">IF(OR(INDEX($AI$2:$AI$1001,MATCH(ROWS($AH$2:AH106),$AH$2:$AH$1001,0),1)&gt;=100000,INDEX($AO$1005:$BQ$1005,1,MATCH(COLUMNS($AO$1006:AY1006),$AO$1006:$BQ$1006,0))&gt;=100000), " ",IF(INDEX($AO$2:$BQ$1001,MATCH(ROWS($AH$2:AH106),$AH$2:$AH$1001,0),MATCH(COLUMNS($AO$1006:AY1006),$AO$1006:$BQ$1006,0)), HYPERLINK("#",""), HYPERLINK(CONCATENATE("#Metadata!", ADDRESS(INDEX($AJ$2:$AJ$1001,MATCH(ROWS($AH$2:AH106),$AH$2:$AH$1001,0),0), INDEX($AO$1004:$BQ$1004,1,MATCH(COLUMNS($AO$1006:AY1006),$AO$1006:$BQ$1006,0)))),"Fix")))</f>
        <v>#N/A</v>
      </c>
      <c r="M106" s="5" t="e">
        <f ca="1">IF(OR(INDEX($AI$2:$AI$1001,MATCH(ROWS($AH$2:AH106),$AH$2:$AH$1001,0),1)&gt;=100000,INDEX($AO$1005:$BQ$1005,1,MATCH(COLUMNS($AO$1006:AZ1006),$AO$1006:$BQ$1006,0))&gt;=100000), " ",IF(INDEX($AO$2:$BQ$1001,MATCH(ROWS($AH$2:AH106),$AH$2:$AH$1001,0),MATCH(COLUMNS($AO$1006:AZ1006),$AO$1006:$BQ$1006,0)), HYPERLINK("#",""), HYPERLINK(CONCATENATE("#Metadata!", ADDRESS(INDEX($AJ$2:$AJ$1001,MATCH(ROWS($AH$2:AH106),$AH$2:$AH$1001,0),0), INDEX($AO$1004:$BQ$1004,1,MATCH(COLUMNS($AO$1006:AZ1006),$AO$1006:$BQ$1006,0)))),"Fix")))</f>
        <v>#N/A</v>
      </c>
      <c r="N106" s="5" t="e">
        <f ca="1">IF(OR(INDEX($AI$2:$AI$1001,MATCH(ROWS($AH$2:AH106),$AH$2:$AH$1001,0),1)&gt;=100000,INDEX($AO$1005:$BQ$1005,1,MATCH(COLUMNS($AO$1006:BA1006),$AO$1006:$BQ$1006,0))&gt;=100000), " ",IF(INDEX($AO$2:$BQ$1001,MATCH(ROWS($AH$2:AH106),$AH$2:$AH$1001,0),MATCH(COLUMNS($AO$1006:BA1006),$AO$1006:$BQ$1006,0)), HYPERLINK("#",""), HYPERLINK(CONCATENATE("#Metadata!", ADDRESS(INDEX($AJ$2:$AJ$1001,MATCH(ROWS($AH$2:AH106),$AH$2:$AH$1001,0),0), INDEX($AO$1004:$BQ$1004,1,MATCH(COLUMNS($AO$1006:BA1006),$AO$1006:$BQ$1006,0)))),"Fix")))</f>
        <v>#N/A</v>
      </c>
      <c r="O106" s="5" t="e">
        <f ca="1">IF(OR(INDEX($AI$2:$AI$1001,MATCH(ROWS($AH$2:AH106),$AH$2:$AH$1001,0),1)&gt;=100000,INDEX($AO$1005:$BQ$1005,1,MATCH(COLUMNS($AO$1006:BB1006),$AO$1006:$BQ$1006,0))&gt;=100000), " ",IF(INDEX($AO$2:$BQ$1001,MATCH(ROWS($AH$2:AH106),$AH$2:$AH$1001,0),MATCH(COLUMNS($AO$1006:BB1006),$AO$1006:$BQ$1006,0)), HYPERLINK("#",""), HYPERLINK(CONCATENATE("#Metadata!", ADDRESS(INDEX($AJ$2:$AJ$1001,MATCH(ROWS($AH$2:AH106),$AH$2:$AH$1001,0),0), INDEX($AO$1004:$BQ$1004,1,MATCH(COLUMNS($AO$1006:BB1006),$AO$1006:$BQ$1006,0)))),"Fix")))</f>
        <v>#N/A</v>
      </c>
      <c r="P106" s="5" t="e">
        <f ca="1">IF(OR(INDEX($AI$2:$AI$1001,MATCH(ROWS($AH$2:AH106),$AH$2:$AH$1001,0),1)&gt;=100000,INDEX($AO$1005:$BQ$1005,1,MATCH(COLUMNS($AO$1006:BC1006),$AO$1006:$BQ$1006,0))&gt;=100000), " ",IF(INDEX($AO$2:$BQ$1001,MATCH(ROWS($AH$2:AH106),$AH$2:$AH$1001,0),MATCH(COLUMNS($AO$1006:BC1006),$AO$1006:$BQ$1006,0)), HYPERLINK("#",""), HYPERLINK(CONCATENATE("#Metadata!", ADDRESS(INDEX($AJ$2:$AJ$1001,MATCH(ROWS($AH$2:AH106),$AH$2:$AH$1001,0),0), INDEX($AO$1004:$BQ$1004,1,MATCH(COLUMNS($AO$1006:BC1006),$AO$1006:$BQ$1006,0)))),"Fix")))</f>
        <v>#N/A</v>
      </c>
      <c r="Q106" s="5" t="e">
        <f ca="1">IF(OR(INDEX($AI$2:$AI$1001,MATCH(ROWS($AH$2:AH106),$AH$2:$AH$1001,0),1)&gt;=100000,INDEX($AO$1005:$BQ$1005,1,MATCH(COLUMNS($AO$1006:BD1006),$AO$1006:$BQ$1006,0))&gt;=100000), " ",IF(INDEX($AO$2:$BQ$1001,MATCH(ROWS($AH$2:AH106),$AH$2:$AH$1001,0),MATCH(COLUMNS($AO$1006:BD1006),$AO$1006:$BQ$1006,0)), HYPERLINK("#",""), HYPERLINK(CONCATENATE("#Metadata!", ADDRESS(INDEX($AJ$2:$AJ$1001,MATCH(ROWS($AH$2:AH106),$AH$2:$AH$1001,0),0), INDEX($AO$1004:$BQ$1004,1,MATCH(COLUMNS($AO$1006:BD1006),$AO$1006:$BQ$1006,0)))),"Fix")))</f>
        <v>#N/A</v>
      </c>
      <c r="R106" s="5" t="e">
        <f ca="1">IF(OR(INDEX($AI$2:$AI$1001,MATCH(ROWS($AH$2:AH106),$AH$2:$AH$1001,0),1)&gt;=100000,INDEX($AO$1005:$BQ$1005,1,MATCH(COLUMNS($AO$1006:BE1006),$AO$1006:$BQ$1006,0))&gt;=100000), " ",IF(INDEX($AO$2:$BQ$1001,MATCH(ROWS($AH$2:AH106),$AH$2:$AH$1001,0),MATCH(COLUMNS($AO$1006:BE1006),$AO$1006:$BQ$1006,0)), HYPERLINK("#",""), HYPERLINK(CONCATENATE("#Metadata!", ADDRESS(INDEX($AJ$2:$AJ$1001,MATCH(ROWS($AH$2:AH106),$AH$2:$AH$1001,0),0), INDEX($AO$1004:$BQ$1004,1,MATCH(COLUMNS($AO$1006:BE1006),$AO$1006:$BQ$1006,0)))),"Fix")))</f>
        <v>#N/A</v>
      </c>
      <c r="S106" s="5" t="e">
        <f ca="1">IF(OR(INDEX($AI$2:$AI$1001,MATCH(ROWS($AH$2:AH106),$AH$2:$AH$1001,0),1)&gt;=100000,INDEX($AO$1005:$BQ$1005,1,MATCH(COLUMNS($AO$1006:BF1006),$AO$1006:$BQ$1006,0))&gt;=100000), " ",IF(INDEX($AO$2:$BQ$1001,MATCH(ROWS($AH$2:AH106),$AH$2:$AH$1001,0),MATCH(COLUMNS($AO$1006:BF1006),$AO$1006:$BQ$1006,0)), HYPERLINK("#",""), HYPERLINK(CONCATENATE("#Metadata!", ADDRESS(INDEX($AJ$2:$AJ$1001,MATCH(ROWS($AH$2:AH106),$AH$2:$AH$1001,0),0), INDEX($AO$1004:$BQ$1004,1,MATCH(COLUMNS($AO$1006:BF1006),$AO$1006:$BQ$1006,0)))),"Fix")))</f>
        <v>#N/A</v>
      </c>
      <c r="T106" s="5" t="e">
        <f ca="1">IF(OR(INDEX($AI$2:$AI$1001,MATCH(ROWS($AH$2:AH106),$AH$2:$AH$1001,0),1)&gt;=100000,INDEX($AO$1005:$BQ$1005,1,MATCH(COLUMNS($AO$1006:BG1006),$AO$1006:$BQ$1006,0))&gt;=100000), " ",IF(INDEX($AO$2:$BQ$1001,MATCH(ROWS($AH$2:AH106),$AH$2:$AH$1001,0),MATCH(COLUMNS($AO$1006:BG1006),$AO$1006:$BQ$1006,0)), HYPERLINK("#",""), HYPERLINK(CONCATENATE("#Metadata!", ADDRESS(INDEX($AJ$2:$AJ$1001,MATCH(ROWS($AH$2:AH106),$AH$2:$AH$1001,0),0), INDEX($AO$1004:$BQ$1004,1,MATCH(COLUMNS($AO$1006:BG1006),$AO$1006:$BQ$1006,0)))),"Fix")))</f>
        <v>#N/A</v>
      </c>
      <c r="U106" s="5" t="e">
        <f ca="1">IF(OR(INDEX($AI$2:$AI$1001,MATCH(ROWS($AH$2:AH106),$AH$2:$AH$1001,0),1)&gt;=100000,INDEX($AO$1005:$BQ$1005,1,MATCH(COLUMNS($AO$1006:BH1006),$AO$1006:$BQ$1006,0))&gt;=100000), " ",IF(INDEX($AO$2:$BQ$1001,MATCH(ROWS($AH$2:AH106),$AH$2:$AH$1001,0),MATCH(COLUMNS($AO$1006:BH1006),$AO$1006:$BQ$1006,0)), HYPERLINK("#",""), HYPERLINK(CONCATENATE("#Metadata!", ADDRESS(INDEX($AJ$2:$AJ$1001,MATCH(ROWS($AH$2:AH106),$AH$2:$AH$1001,0),0), INDEX($AO$1004:$BQ$1004,1,MATCH(COLUMNS($AO$1006:BH1006),$AO$1006:$BQ$1006,0)))),"Fix")))</f>
        <v>#N/A</v>
      </c>
      <c r="V106" s="5" t="e">
        <f ca="1">IF(OR(INDEX($AI$2:$AI$1001,MATCH(ROWS($AH$2:AH106),$AH$2:$AH$1001,0),1)&gt;=100000,INDEX($AO$1005:$BQ$1005,1,MATCH(COLUMNS($AO$1006:BI1006),$AO$1006:$BQ$1006,0))&gt;=100000), " ",IF(INDEX($AO$2:$BQ$1001,MATCH(ROWS($AH$2:AH106),$AH$2:$AH$1001,0),MATCH(COLUMNS($AO$1006:BI1006),$AO$1006:$BQ$1006,0)), HYPERLINK("#",""), HYPERLINK(CONCATENATE("#Metadata!", ADDRESS(INDEX($AJ$2:$AJ$1001,MATCH(ROWS($AH$2:AH106),$AH$2:$AH$1001,0),0), INDEX($AO$1004:$BQ$1004,1,MATCH(COLUMNS($AO$1006:BI1006),$AO$1006:$BQ$1006,0)))),"Fix")))</f>
        <v>#N/A</v>
      </c>
      <c r="W106" s="5" t="e">
        <f ca="1">IF(OR(INDEX($AI$2:$AI$1001,MATCH(ROWS($AH$2:AH106),$AH$2:$AH$1001,0),1)&gt;=100000,INDEX($AO$1005:$BQ$1005,1,MATCH(COLUMNS($AO$1006:BJ1006),$AO$1006:$BQ$1006,0))&gt;=100000), " ",IF(INDEX($AO$2:$BQ$1001,MATCH(ROWS($AH$2:AH106),$AH$2:$AH$1001,0),MATCH(COLUMNS($AO$1006:BJ1006),$AO$1006:$BQ$1006,0)), HYPERLINK("#",""), HYPERLINK(CONCATENATE("#Metadata!", ADDRESS(INDEX($AJ$2:$AJ$1001,MATCH(ROWS($AH$2:AH106),$AH$2:$AH$1001,0),0), INDEX($AO$1004:$BQ$1004,1,MATCH(COLUMNS($AO$1006:BJ1006),$AO$1006:$BQ$1006,0)))),"Fix")))</f>
        <v>#N/A</v>
      </c>
      <c r="X106" s="5" t="e">
        <f ca="1">IF(OR(INDEX($AI$2:$AI$1001,MATCH(ROWS($AH$2:AH106),$AH$2:$AH$1001,0),1)&gt;=100000,INDEX($AO$1005:$BQ$1005,1,MATCH(COLUMNS($AO$1006:BK1006),$AO$1006:$BQ$1006,0))&gt;=100000), " ",IF(INDEX($AO$2:$BQ$1001,MATCH(ROWS($AH$2:AH106),$AH$2:$AH$1001,0),MATCH(COLUMNS($AO$1006:BK1006),$AO$1006:$BQ$1006,0)), HYPERLINK("#",""), HYPERLINK(CONCATENATE("#Metadata!", ADDRESS(INDEX($AJ$2:$AJ$1001,MATCH(ROWS($AH$2:AH106),$AH$2:$AH$1001,0),0), INDEX($AO$1004:$BQ$1004,1,MATCH(COLUMNS($AO$1006:BK1006),$AO$1006:$BQ$1006,0)))),"Fix")))</f>
        <v>#N/A</v>
      </c>
      <c r="Y106" s="5" t="e">
        <f ca="1">IF(OR(INDEX($AI$2:$AI$1001,MATCH(ROWS($AH$2:AH106),$AH$2:$AH$1001,0),1)&gt;=100000,INDEX($AO$1005:$BQ$1005,1,MATCH(COLUMNS($AO$1006:BL1006),$AO$1006:$BQ$1006,0))&gt;=100000), " ",IF(INDEX($AO$2:$BQ$1001,MATCH(ROWS($AH$2:AH106),$AH$2:$AH$1001,0),MATCH(COLUMNS($AO$1006:BL1006),$AO$1006:$BQ$1006,0)), HYPERLINK("#",""), HYPERLINK(CONCATENATE("#Metadata!", ADDRESS(INDEX($AJ$2:$AJ$1001,MATCH(ROWS($AH$2:AH106),$AH$2:$AH$1001,0),0), INDEX($AO$1004:$BQ$1004,1,MATCH(COLUMNS($AO$1006:BL1006),$AO$1006:$BQ$1006,0)))),"Fix")))</f>
        <v>#N/A</v>
      </c>
      <c r="Z106" s="5" t="e">
        <f ca="1">IF(OR(INDEX($AI$2:$AI$1001,MATCH(ROWS($AH$2:AH106),$AH$2:$AH$1001,0),1)&gt;=100000,INDEX($AO$1005:$BQ$1005,1,MATCH(COLUMNS($AO$1006:BM1006),$AO$1006:$BQ$1006,0))&gt;=100000), " ",IF(INDEX($AO$2:$BQ$1001,MATCH(ROWS($AH$2:AH106),$AH$2:$AH$1001,0),MATCH(COLUMNS($AO$1006:BM1006),$AO$1006:$BQ$1006,0)), HYPERLINK("#",""), HYPERLINK(CONCATENATE("#Metadata!", ADDRESS(INDEX($AJ$2:$AJ$1001,MATCH(ROWS($AH$2:AH106),$AH$2:$AH$1001,0),0), INDEX($AO$1004:$BQ$1004,1,MATCH(COLUMNS($AO$1006:BM1006),$AO$1006:$BQ$1006,0)))),"Fix")))</f>
        <v>#N/A</v>
      </c>
      <c r="AA106" s="5" t="e">
        <f ca="1">IF(OR(INDEX($AI$2:$AI$1001,MATCH(ROWS($AH$2:AH106),$AH$2:$AH$1001,0),1)&gt;=100000,INDEX($AO$1005:$BQ$1005,1,MATCH(COLUMNS($AO$1006:BN1006),$AO$1006:$BQ$1006,0))&gt;=100000), " ",IF(INDEX($AO$2:$BQ$1001,MATCH(ROWS($AH$2:AH106),$AH$2:$AH$1001,0),MATCH(COLUMNS($AO$1006:BN1006),$AO$1006:$BQ$1006,0)), HYPERLINK("#",""), HYPERLINK(CONCATENATE("#Metadata!", ADDRESS(INDEX($AJ$2:$AJ$1001,MATCH(ROWS($AH$2:AH106),$AH$2:$AH$1001,0),0), INDEX($AO$1004:$BQ$1004,1,MATCH(COLUMNS($AO$1006:BN1006),$AO$1006:$BQ$1006,0)))),"Fix")))</f>
        <v>#N/A</v>
      </c>
      <c r="AB106" s="5" t="e">
        <f ca="1">IF(OR(INDEX($AI$2:$AI$1001,MATCH(ROWS($AH$2:AH106),$AH$2:$AH$1001,0),1)&gt;=100000,INDEX($AO$1005:$BQ$1005,1,MATCH(COLUMNS($AO$1006:BO1006),$AO$1006:$BQ$1006,0))&gt;=100000), " ",IF(INDEX($AO$2:$BQ$1001,MATCH(ROWS($AH$2:AH106),$AH$2:$AH$1001,0),MATCH(COLUMNS($AO$1006:BO1006),$AO$1006:$BQ$1006,0)), HYPERLINK("#",""), HYPERLINK(CONCATENATE("#Metadata!", ADDRESS(INDEX($AJ$2:$AJ$1001,MATCH(ROWS($AH$2:AH106),$AH$2:$AH$1001,0),0), INDEX($AO$1004:$BQ$1004,1,MATCH(COLUMNS($AO$1006:BO1006),$AO$1006:$BQ$1006,0)))),"Fix")))</f>
        <v>#N/A</v>
      </c>
      <c r="AC106" s="5" t="e">
        <f ca="1">IF(OR(INDEX($AI$2:$AI$1001,MATCH(ROWS($AH$2:AH106),$AH$2:$AH$1001,0),1)&gt;=100000,INDEX($AO$1005:$BQ$1005,1,MATCH(COLUMNS($AO$1006:BP1006),$AO$1006:$BQ$1006,0))&gt;=100000), " ",IF(INDEX($AO$2:$BQ$1001,MATCH(ROWS($AH$2:AH106),$AH$2:$AH$1001,0),MATCH(COLUMNS($AO$1006:BP1006),$AO$1006:$BQ$1006,0)), HYPERLINK("#",""), HYPERLINK(CONCATENATE("#Metadata!", ADDRESS(INDEX($AJ$2:$AJ$1001,MATCH(ROWS($AH$2:AH106),$AH$2:$AH$1001,0),0), INDEX($AO$1004:$BQ$1004,1,MATCH(COLUMNS($AO$1006:BP1006),$AO$1006:$BQ$1006,0)))),"Fix")))</f>
        <v>#N/A</v>
      </c>
      <c r="AD106" s="5" t="e">
        <f ca="1">IF(OR(INDEX($AI$2:$AI$1001,MATCH(ROWS($AH$2:AH106),$AH$2:$AH$1001,0),1)&gt;=100000,INDEX($AO$1005:$BQ$1005,1,MATCH(COLUMNS($AO$1006:BQ1006),$AO$1006:$BQ$1006,0))&gt;=100000), " ",IF(INDEX($AO$2:$BQ$1001,MATCH(ROWS($AH$2:AH106),$AH$2:$AH$1001,0),MATCH(COLUMNS($AO$1006:BQ1006),$AO$1006:$BQ$1006,0)), HYPERLINK("#",""), HYPERLINK(CONCATENATE("#Metadata!", ADDRESS(INDEX($AJ$2:$AJ$1001,MATCH(ROWS($AH$2:AH106),$AH$2:$AH$1001,0),0), INDEX($AO$1004:$BQ$1004,1,MATCH(COLUMNS($AO$1006:BQ1006),$AO$1006:$BQ$1006,0)))),"Fix")))</f>
        <v>#REF!</v>
      </c>
      <c r="AH106">
        <f ca="1"/>
        <v>103</v>
      </c>
      <c r="AI106">
        <v>100106</v>
      </c>
      <c r="AJ106">
        <v>106</v>
      </c>
      <c r="AK106" t="b">
        <f t="shared" si="1"/>
        <v>1</v>
      </c>
      <c r="AL106" t="b">
        <f>COUNTBLANK(Metadata!B106:AD106)=COLUMNS(Metadata!B106:AD106)</f>
        <v>1</v>
      </c>
      <c r="AM106" t="str">
        <v/>
      </c>
      <c r="AO106" t="b">
        <f ca="1">AND(IF(Metadata!B106="",FALSE,TRUE),COUNTIF(Metadata!B:B, Metadata!B106) = 1,NOT(ISERROR(SUMPRODUCT(SEARCH(MID(Metadata!B106,ROW(INDIRECT("1:"&amp;LEN(Metadata!B106))), 1),"0123456789abcdefghijklmnopqrstuvwxyzABCDEFGHIJKLMNOPQRSTUVWXYZ.")))))</f>
        <v>0</v>
      </c>
      <c r="AP106" t="b">
        <f>IF(Metadata!C106="",FALSE,TRUE)</f>
        <v>0</v>
      </c>
      <c r="AQ106" t="b">
        <f>IF(Metadata!D106="",FALSE,TRUE)</f>
        <v>0</v>
      </c>
      <c r="AR106" t="b">
        <f ca="1">OR(AND(IF(Metadata!E106="",FALSE,TRUE),OR(EXACT(Metadata!E106,"not collected"),EXACT(Metadata!E106,"not provided"),EXACT(Metadata!E106,"restricted access"))),AND(IF(Metadata!E106="",FALSE,TRUE),AND(AND(IFERROR(INT(LEFT(Metadata!E106,4))&gt;1900,FALSE),IFERROR(INT(LEFT(Metadata!E106,4))&lt;=YEAR(NOW()),FALSE)), OR(MID(Metadata!E106,5,1)="", AND(AND(MID(Metadata!E106,5,1)="-",IFERROR(INT(MID(Metadata!E106,6,1))&gt;=0,FALSE),IFERROR(INT(MID(Metadata!E106,6,1))&lt;=1,FALSE),NOT(MID(Metadata!E106,7,1)=""),IFERROR(INT(MID(Metadata!E106,6,2))&gt;=1,FALSE),IFERROR(INT(MID(Metadata!E106,6,2))&lt;=12,FALSE)), OR(MID(Metadata!E106,8,1)="", AND(AND(MID(Metadata!E106,8,1)="-",IFERROR(INT(MID(Metadata!E106,9,1))&gt;=0,FALSE),IFERROR(INT(MID(Metadata!E106,9,1))&lt;=3,FALSE),NOT(MID(Metadata!E106,10,1)=""),IFERROR(INT(MID(Metadata!E106,9,2))&gt;=1,FALSE),IFERROR(INT(MID(Metadata!E106,9,2))&lt;=31,FALSE)), OR(MID(Metadata!E106,11,1)="", AND(AND(MID(Metadata!E106,11,1)=" ",IFERROR(INT(MID(Metadata!E106,12,1))&gt;=0,FALSE),IFERROR(INT(MID(Metadata!E106,12,1))&lt;=2,FALSE),NOT(MID(Metadata!E106,13,1)=""),IFERROR(INT(MID(Metadata!E106,12,2))&gt;=0,FALSE),IFERROR(INT(MID(Metadata!E106,12,2))&lt;=23,FALSE)), OR(MID(Metadata!E106,14,1)="", AND(AND(MID(Metadata!E106,14,1)=":",IFERROR(INT(MID(Metadata!E106,15,1))&gt;=0,FALSE),IFERROR(INT(MID(Metadata!E106,15,1))&lt;=5,FALSE),NOT(MID(Metadata!E106,16,1)=""),IFERROR(INT(MID(Metadata!E106,15,2))&gt;=0,FALSE),IFERROR(INT(MID(Metadata!E106,15,2))&lt;=59,FALSE)), OR(MID(Metadata!E106,17,1)="", AND(AND(MID(Metadata!E106,17,1)=":",IFERROR(INT(MID(Metadata!E106,18,1))&gt;=0,FALSE),IFERROR(INT(MID(Metadata!E106,18,1))&lt;=5,FALSE),NOT(MID(Metadata!E106,19,1)=""),IFERROR(INT(MID(Metadata!E106,18,2))&gt;=0,FALSE),IFERROR(INT(MID(Metadata!E106,18,2))&lt;=59,FALSE)), LEN(Metadata!E106)&lt;=19)))))))))))))</f>
        <v>0</v>
      </c>
      <c r="AS106" t="b">
        <f>IF(Metadata!F106="",FALSE,TRUE)</f>
        <v>0</v>
      </c>
      <c r="AT106" t="b">
        <f>OR(AND(IF(Metadata!G106="",FALSE,TRUE),OR(EXACT(Metadata!G106,"not collected"),EXACT(Metadata!G106,"not provided"))),AND(IF(Metadata!G106="",FALSE,TRUE),OR(EXACT(Metadata!G106,"TRUE"),EXACT(Metadata!G106,"FALSE"))))</f>
        <v>0</v>
      </c>
      <c r="AU106" t="b">
        <f>OR(AND(IF(Metadata!H106="",FALSE,TRUE),OR(EXACT(Metadata!H106,"not collected"),EXACT(Metadata!H106,"not provided"),EXACT(Metadata!H106,"restricted access"))),AND(IF(Metadata!H106="",FALSE,ISNUMBER(VALUE(Metadata!H106))),Metadata!H106&gt;=-413))</f>
        <v>0</v>
      </c>
      <c r="AV106" t="b">
        <f>AND(IF(Metadata!I106="",FALSE,TRUE),EXACT(Metadata!I106,"meters"))</f>
        <v>0</v>
      </c>
      <c r="AW106" t="b">
        <f>AND(IF(Metadata!J106="",FALSE,TRUE),EXACT(Metadata!J106,"free-living"))</f>
        <v>0</v>
      </c>
      <c r="AX106" t="b">
        <f>AND(IF(Metadata!K106="",FALSE,TRUE),OR(EXACT(Metadata!K106,"saline"),EXACT(Metadata!K106,"non-saline")))</f>
        <v>0</v>
      </c>
      <c r="AY106" t="b">
        <f>AND(IF(Metadata!L106="",FALSE,TRUE),OR(EXACT(Metadata!L106,"sub-surface (non-saline)"),EXACT(Metadata!L106,"surface (non-saline)"),EXACT(Metadata!L106,"water (non-saline)"),EXACT(Metadata!L106,"soil (non-saline)"),EXACT(Metadata!L106,"aerosol (non-saline)"),EXACT(Metadata!L106,"sediment (non-saline)"),EXACT(Metadata!L106,"surface (saline)"),EXACT(Metadata!L106,"water (saline)"),EXACT(Metadata!L106,"hypersaline (saline)"),EXACT(Metadata!L106,"aerosol (saline)"),EXACT(Metadata!L106,"sediment (saline)")))</f>
        <v>0</v>
      </c>
      <c r="AZ106" t="b">
        <f>IF(Metadata!M106="",FALSE,TRUE)</f>
        <v>0</v>
      </c>
      <c r="BA106" t="b">
        <f>IF(Metadata!N106="",FALSE,TRUE)</f>
        <v>0</v>
      </c>
      <c r="BB106" t="b">
        <f>IF(Metadata!O106="",FALSE,TRUE)</f>
        <v>0</v>
      </c>
      <c r="BC106" t="b">
        <f>AND(IF(Metadata!P106="",FALSE,TRUE),OR(EXACT(Metadata!P106,"air"),EXACT(Metadata!P106,"microbial mat/biofilm"),EXACT(Metadata!P106,"misc environment"),EXACT(Metadata!P106,"sediment"),EXACT(Metadata!P106,"soil"),EXACT(Metadata!P106,"wastewater/sludge"),EXACT(Metadata!P106,"water")))</f>
        <v>0</v>
      </c>
      <c r="BD106" t="b">
        <f>IF(Metadata!Q106="",FALSE,TRUE)</f>
        <v>0</v>
      </c>
      <c r="BE106" t="b">
        <f>IF(Metadata!R106="",FALSE,TRUE)</f>
        <v>0</v>
      </c>
      <c r="BF106" t="b">
        <f>OR(AND(IF(Metadata!S106="",FALSE,TRUE),OR(EXACT(Metadata!S106,"not collected"),EXACT(Metadata!S106,"not provided"),EXACT(Metadata!S106,"restricted access"))),AND(IF(Metadata!S106="",FALSE,ISNUMBER(VALUE(Metadata!S106))),Metadata!S106&gt;=-90,Metadata!S106&lt;=90))</f>
        <v>0</v>
      </c>
      <c r="BG106" t="b">
        <f>AND(IF(Metadata!T106="",FALSE,TRUE),EXACT(Metadata!T106,"Decimal degrees"))</f>
        <v>0</v>
      </c>
      <c r="BH106" t="b">
        <f>OR(AND(IF(Metadata!U106="",FALSE,TRUE),OR(EXACT(Metadata!U106,"not applicable"),EXACT(Metadata!U106,"not collected"))),IF(Metadata!U106="",FALSE,TRUE))</f>
        <v>0</v>
      </c>
      <c r="BI106" t="b">
        <f>OR(AND(IF(Metadata!V106="",FALSE,TRUE),OR(EXACT(Metadata!V106,"not collected"),EXACT(Metadata!V106,"not provided"),EXACT(Metadata!V106,"restricted access"))),AND(IF(Metadata!V106="",FALSE,ISNUMBER(VALUE(Metadata!V106))),Metadata!V106&gt;=-180,Metadata!V106&lt;=180))</f>
        <v>0</v>
      </c>
      <c r="BJ106" t="b">
        <f>AND(IF(Metadata!W106="",FALSE,TRUE),EXACT(Metadata!W106,"Decimal degrees"))</f>
        <v>0</v>
      </c>
      <c r="BK106" t="b">
        <f>IF(Metadata!X106="",FALSE,TRUE)</f>
        <v>0</v>
      </c>
      <c r="BL106" t="b">
        <f>OR(AND(IF(Metadata!Y106="",FALSE,TRUE),OR(EXACT(Metadata!Y106,"not collected"),EXACT(Metadata!Y106,"not provided"),EXACT(Metadata!Y106,"restricted access"))),AND(IF(Metadata!Y106="",FALSE,TRUE),OR(EXACT(Metadata!Y106,"TRUE"),EXACT(Metadata!Y106,"FALSE"))))</f>
        <v>0</v>
      </c>
      <c r="BM106" t="b">
        <f>OR(AND(IF(Metadata!Z106="",FALSE,TRUE),EXACT(Metadata!Z106,"not applicable")),AND(IF(Metadata!Z106="",FALSE,TRUE),OR(EXACT(Metadata!Z106,"beer"),EXACT(Metadata!Z106,"cheese"),EXACT(Metadata!Z106,"fresh water"),EXACT(Metadata!Z106,"marine sediment"),EXACT(Metadata!Z106,"sea water"),EXACT(Metadata!Z106,"sediment"),EXACT(Metadata!Z106,"soil"),EXACT(Metadata!Z106,"waste water"))))</f>
        <v>0</v>
      </c>
      <c r="BN106" t="b">
        <f>AND(IF(Metadata!AA106="",FALSE,TRUE),EXACT(Metadata!AA106,"metagenome"))</f>
        <v>0</v>
      </c>
      <c r="BO106" t="b">
        <f>AND(IF(Metadata!AB106="",FALSE,TRUE),EXACT(Metadata!AB106,"256318"))</f>
        <v>0</v>
      </c>
      <c r="BP106" t="b">
        <f>IF(Metadata!AC106="",FALSE,TRUE)</f>
        <v>0</v>
      </c>
      <c r="BQ106" t="b">
        <f>IF(Metadata!AD106="",FALSE,TRUE)</f>
        <v>0</v>
      </c>
    </row>
    <row r="107" spans="1:69" x14ac:dyDescent="0.2">
      <c r="A107" s="4" t="e">
        <f ca="1">IF(B107=" "," ",HYPERLINK(CONCATENATE("#metadata!",ADDRESS(INDEX($AJ$2:$AJ$1001,MATCH(ROWS($AH$2:AH107),$AH$2:$AH$1001,0),0),2)),INDEX($AM$2:$AM$1001,MATCH(ROWS($AH$2:AH107),$AH$2:$AH$1001,0),0)))</f>
        <v>#N/A</v>
      </c>
      <c r="B107" s="5" t="e">
        <f ca="1">IF(OR(INDEX($AI$2:$AI$1001,MATCH(ROWS($AH$2:AH107),$AH$2:$AH$1001,0),1)&gt;=100000,INDEX($AO$1005:$BQ$1005,1,MATCH(COLUMNS($AO$1006:AO1006),$AO$1006:$BQ$1006,0))&gt;=100000), " ",IF(INDEX($AO$2:$BQ$1001,MATCH(ROWS($AH$2:AH107),$AH$2:$AH$1001,0),MATCH(COLUMNS($AO$1006:AO1006),$AO$1006:$BQ$1006,0)), HYPERLINK("#",""), HYPERLINK(CONCATENATE("#Metadata!", ADDRESS(INDEX($AJ$2:$AJ$1001,MATCH(ROWS($AH$2:AH107),$AH$2:$AH$1001,0),0), INDEX($AO$1004:$BQ$1004,1,MATCH(COLUMNS($AO$1006:AO1006),$AO$1006:$BQ$1006,0)))),"Fix")))</f>
        <v>#N/A</v>
      </c>
      <c r="C107" s="5" t="e">
        <f ca="1">IF(OR(INDEX($AI$2:$AI$1001,MATCH(ROWS($AH$2:AH107),$AH$2:$AH$1001,0),1)&gt;=100000,INDEX($AO$1005:$BQ$1005,1,MATCH(COLUMNS($AO$1006:AP1006),$AO$1006:$BQ$1006,0))&gt;=100000), " ",IF(INDEX($AO$2:$BQ$1001,MATCH(ROWS($AH$2:AH107),$AH$2:$AH$1001,0),MATCH(COLUMNS($AO$1006:AP1006),$AO$1006:$BQ$1006,0)), HYPERLINK("#",""), HYPERLINK(CONCATENATE("#Metadata!", ADDRESS(INDEX($AJ$2:$AJ$1001,MATCH(ROWS($AH$2:AH107),$AH$2:$AH$1001,0),0), INDEX($AO$1004:$BQ$1004,1,MATCH(COLUMNS($AO$1006:AP1006),$AO$1006:$BQ$1006,0)))),"Fix")))</f>
        <v>#N/A</v>
      </c>
      <c r="D107" s="5" t="e">
        <f ca="1">IF(OR(INDEX($AI$2:$AI$1001,MATCH(ROWS($AH$2:AH107),$AH$2:$AH$1001,0),1)&gt;=100000,INDEX($AO$1005:$BQ$1005,1,MATCH(COLUMNS($AO$1006:AQ1006),$AO$1006:$BQ$1006,0))&gt;=100000), " ",IF(INDEX($AO$2:$BQ$1001,MATCH(ROWS($AH$2:AH107),$AH$2:$AH$1001,0),MATCH(COLUMNS($AO$1006:AQ1006),$AO$1006:$BQ$1006,0)), HYPERLINK("#",""), HYPERLINK(CONCATENATE("#Metadata!", ADDRESS(INDEX($AJ$2:$AJ$1001,MATCH(ROWS($AH$2:AH107),$AH$2:$AH$1001,0),0), INDEX($AO$1004:$BQ$1004,1,MATCH(COLUMNS($AO$1006:AQ1006),$AO$1006:$BQ$1006,0)))),"Fix")))</f>
        <v>#N/A</v>
      </c>
      <c r="E107" s="5" t="e">
        <f ca="1">IF(OR(INDEX($AI$2:$AI$1001,MATCH(ROWS($AH$2:AH107),$AH$2:$AH$1001,0),1)&gt;=100000,INDEX($AO$1005:$BQ$1005,1,MATCH(COLUMNS($AO$1006:AR1006),$AO$1006:$BQ$1006,0))&gt;=100000), " ",IF(INDEX($AO$2:$BQ$1001,MATCH(ROWS($AH$2:AH107),$AH$2:$AH$1001,0),MATCH(COLUMNS($AO$1006:AR1006),$AO$1006:$BQ$1006,0)), HYPERLINK("#",""), HYPERLINK(CONCATENATE("#Metadata!", ADDRESS(INDEX($AJ$2:$AJ$1001,MATCH(ROWS($AH$2:AH107),$AH$2:$AH$1001,0),0), INDEX($AO$1004:$BQ$1004,1,MATCH(COLUMNS($AO$1006:AR1006),$AO$1006:$BQ$1006,0)))),"Fix")))</f>
        <v>#N/A</v>
      </c>
      <c r="F107" s="5" t="e">
        <f ca="1">IF(OR(INDEX($AI$2:$AI$1001,MATCH(ROWS($AH$2:AH107),$AH$2:$AH$1001,0),1)&gt;=100000,INDEX($AO$1005:$BQ$1005,1,MATCH(COLUMNS($AO$1006:AS1006),$AO$1006:$BQ$1006,0))&gt;=100000), " ",IF(INDEX($AO$2:$BQ$1001,MATCH(ROWS($AH$2:AH107),$AH$2:$AH$1001,0),MATCH(COLUMNS($AO$1006:AS1006),$AO$1006:$BQ$1006,0)), HYPERLINK("#",""), HYPERLINK(CONCATENATE("#Metadata!", ADDRESS(INDEX($AJ$2:$AJ$1001,MATCH(ROWS($AH$2:AH107),$AH$2:$AH$1001,0),0), INDEX($AO$1004:$BQ$1004,1,MATCH(COLUMNS($AO$1006:AS1006),$AO$1006:$BQ$1006,0)))),"Fix")))</f>
        <v>#N/A</v>
      </c>
      <c r="G107" s="5" t="e">
        <f ca="1">IF(OR(INDEX($AI$2:$AI$1001,MATCH(ROWS($AH$2:AH107),$AH$2:$AH$1001,0),1)&gt;=100000,INDEX($AO$1005:$BQ$1005,1,MATCH(COLUMNS($AO$1006:AT1006),$AO$1006:$BQ$1006,0))&gt;=100000), " ",IF(INDEX($AO$2:$BQ$1001,MATCH(ROWS($AH$2:AH107),$AH$2:$AH$1001,0),MATCH(COLUMNS($AO$1006:AT1006),$AO$1006:$BQ$1006,0)), HYPERLINK("#",""), HYPERLINK(CONCATENATE("#Metadata!", ADDRESS(INDEX($AJ$2:$AJ$1001,MATCH(ROWS($AH$2:AH107),$AH$2:$AH$1001,0),0), INDEX($AO$1004:$BQ$1004,1,MATCH(COLUMNS($AO$1006:AT1006),$AO$1006:$BQ$1006,0)))),"Fix")))</f>
        <v>#N/A</v>
      </c>
      <c r="H107" s="5" t="e">
        <f ca="1">IF(OR(INDEX($AI$2:$AI$1001,MATCH(ROWS($AH$2:AH107),$AH$2:$AH$1001,0),1)&gt;=100000,INDEX($AO$1005:$BQ$1005,1,MATCH(COLUMNS($AO$1006:AU1006),$AO$1006:$BQ$1006,0))&gt;=100000), " ",IF(INDEX($AO$2:$BQ$1001,MATCH(ROWS($AH$2:AH107),$AH$2:$AH$1001,0),MATCH(COLUMNS($AO$1006:AU1006),$AO$1006:$BQ$1006,0)), HYPERLINK("#",""), HYPERLINK(CONCATENATE("#Metadata!", ADDRESS(INDEX($AJ$2:$AJ$1001,MATCH(ROWS($AH$2:AH107),$AH$2:$AH$1001,0),0), INDEX($AO$1004:$BQ$1004,1,MATCH(COLUMNS($AO$1006:AU1006),$AO$1006:$BQ$1006,0)))),"Fix")))</f>
        <v>#N/A</v>
      </c>
      <c r="I107" s="5" t="e">
        <f ca="1">IF(OR(INDEX($AI$2:$AI$1001,MATCH(ROWS($AH$2:AH107),$AH$2:$AH$1001,0),1)&gt;=100000,INDEX($AO$1005:$BQ$1005,1,MATCH(COLUMNS($AO$1006:AV1006),$AO$1006:$BQ$1006,0))&gt;=100000), " ",IF(INDEX($AO$2:$BQ$1001,MATCH(ROWS($AH$2:AH107),$AH$2:$AH$1001,0),MATCH(COLUMNS($AO$1006:AV1006),$AO$1006:$BQ$1006,0)), HYPERLINK("#",""), HYPERLINK(CONCATENATE("#Metadata!", ADDRESS(INDEX($AJ$2:$AJ$1001,MATCH(ROWS($AH$2:AH107),$AH$2:$AH$1001,0),0), INDEX($AO$1004:$BQ$1004,1,MATCH(COLUMNS($AO$1006:AV1006),$AO$1006:$BQ$1006,0)))),"Fix")))</f>
        <v>#N/A</v>
      </c>
      <c r="J107" s="5" t="e">
        <f ca="1">IF(OR(INDEX($AI$2:$AI$1001,MATCH(ROWS($AH$2:AH107),$AH$2:$AH$1001,0),1)&gt;=100000,INDEX($AO$1005:$BQ$1005,1,MATCH(COLUMNS($AO$1006:AW1006),$AO$1006:$BQ$1006,0))&gt;=100000), " ",IF(INDEX($AO$2:$BQ$1001,MATCH(ROWS($AH$2:AH107),$AH$2:$AH$1001,0),MATCH(COLUMNS($AO$1006:AW1006),$AO$1006:$BQ$1006,0)), HYPERLINK("#",""), HYPERLINK(CONCATENATE("#Metadata!", ADDRESS(INDEX($AJ$2:$AJ$1001,MATCH(ROWS($AH$2:AH107),$AH$2:$AH$1001,0),0), INDEX($AO$1004:$BQ$1004,1,MATCH(COLUMNS($AO$1006:AW1006),$AO$1006:$BQ$1006,0)))),"Fix")))</f>
        <v>#N/A</v>
      </c>
      <c r="K107" s="5" t="e">
        <f ca="1">IF(OR(INDEX($AI$2:$AI$1001,MATCH(ROWS($AH$2:AH107),$AH$2:$AH$1001,0),1)&gt;=100000,INDEX($AO$1005:$BQ$1005,1,MATCH(COLUMNS($AO$1006:AX1006),$AO$1006:$BQ$1006,0))&gt;=100000), " ",IF(INDEX($AO$2:$BQ$1001,MATCH(ROWS($AH$2:AH107),$AH$2:$AH$1001,0),MATCH(COLUMNS($AO$1006:AX1006),$AO$1006:$BQ$1006,0)), HYPERLINK("#",""), HYPERLINK(CONCATENATE("#Metadata!", ADDRESS(INDEX($AJ$2:$AJ$1001,MATCH(ROWS($AH$2:AH107),$AH$2:$AH$1001,0),0), INDEX($AO$1004:$BQ$1004,1,MATCH(COLUMNS($AO$1006:AX1006),$AO$1006:$BQ$1006,0)))),"Fix")))</f>
        <v>#N/A</v>
      </c>
      <c r="L107" s="5" t="e">
        <f ca="1">IF(OR(INDEX($AI$2:$AI$1001,MATCH(ROWS($AH$2:AH107),$AH$2:$AH$1001,0),1)&gt;=100000,INDEX($AO$1005:$BQ$1005,1,MATCH(COLUMNS($AO$1006:AY1006),$AO$1006:$BQ$1006,0))&gt;=100000), " ",IF(INDEX($AO$2:$BQ$1001,MATCH(ROWS($AH$2:AH107),$AH$2:$AH$1001,0),MATCH(COLUMNS($AO$1006:AY1006),$AO$1006:$BQ$1006,0)), HYPERLINK("#",""), HYPERLINK(CONCATENATE("#Metadata!", ADDRESS(INDEX($AJ$2:$AJ$1001,MATCH(ROWS($AH$2:AH107),$AH$2:$AH$1001,0),0), INDEX($AO$1004:$BQ$1004,1,MATCH(COLUMNS($AO$1006:AY1006),$AO$1006:$BQ$1006,0)))),"Fix")))</f>
        <v>#N/A</v>
      </c>
      <c r="M107" s="5" t="e">
        <f ca="1">IF(OR(INDEX($AI$2:$AI$1001,MATCH(ROWS($AH$2:AH107),$AH$2:$AH$1001,0),1)&gt;=100000,INDEX($AO$1005:$BQ$1005,1,MATCH(COLUMNS($AO$1006:AZ1006),$AO$1006:$BQ$1006,0))&gt;=100000), " ",IF(INDEX($AO$2:$BQ$1001,MATCH(ROWS($AH$2:AH107),$AH$2:$AH$1001,0),MATCH(COLUMNS($AO$1006:AZ1006),$AO$1006:$BQ$1006,0)), HYPERLINK("#",""), HYPERLINK(CONCATENATE("#Metadata!", ADDRESS(INDEX($AJ$2:$AJ$1001,MATCH(ROWS($AH$2:AH107),$AH$2:$AH$1001,0),0), INDEX($AO$1004:$BQ$1004,1,MATCH(COLUMNS($AO$1006:AZ1006),$AO$1006:$BQ$1006,0)))),"Fix")))</f>
        <v>#N/A</v>
      </c>
      <c r="N107" s="5" t="e">
        <f ca="1">IF(OR(INDEX($AI$2:$AI$1001,MATCH(ROWS($AH$2:AH107),$AH$2:$AH$1001,0),1)&gt;=100000,INDEX($AO$1005:$BQ$1005,1,MATCH(COLUMNS($AO$1006:BA1006),$AO$1006:$BQ$1006,0))&gt;=100000), " ",IF(INDEX($AO$2:$BQ$1001,MATCH(ROWS($AH$2:AH107),$AH$2:$AH$1001,0),MATCH(COLUMNS($AO$1006:BA1006),$AO$1006:$BQ$1006,0)), HYPERLINK("#",""), HYPERLINK(CONCATENATE("#Metadata!", ADDRESS(INDEX($AJ$2:$AJ$1001,MATCH(ROWS($AH$2:AH107),$AH$2:$AH$1001,0),0), INDEX($AO$1004:$BQ$1004,1,MATCH(COLUMNS($AO$1006:BA1006),$AO$1006:$BQ$1006,0)))),"Fix")))</f>
        <v>#N/A</v>
      </c>
      <c r="O107" s="5" t="e">
        <f ca="1">IF(OR(INDEX($AI$2:$AI$1001,MATCH(ROWS($AH$2:AH107),$AH$2:$AH$1001,0),1)&gt;=100000,INDEX($AO$1005:$BQ$1005,1,MATCH(COLUMNS($AO$1006:BB1006),$AO$1006:$BQ$1006,0))&gt;=100000), " ",IF(INDEX($AO$2:$BQ$1001,MATCH(ROWS($AH$2:AH107),$AH$2:$AH$1001,0),MATCH(COLUMNS($AO$1006:BB1006),$AO$1006:$BQ$1006,0)), HYPERLINK("#",""), HYPERLINK(CONCATENATE("#Metadata!", ADDRESS(INDEX($AJ$2:$AJ$1001,MATCH(ROWS($AH$2:AH107),$AH$2:$AH$1001,0),0), INDEX($AO$1004:$BQ$1004,1,MATCH(COLUMNS($AO$1006:BB1006),$AO$1006:$BQ$1006,0)))),"Fix")))</f>
        <v>#N/A</v>
      </c>
      <c r="P107" s="5" t="e">
        <f ca="1">IF(OR(INDEX($AI$2:$AI$1001,MATCH(ROWS($AH$2:AH107),$AH$2:$AH$1001,0),1)&gt;=100000,INDEX($AO$1005:$BQ$1005,1,MATCH(COLUMNS($AO$1006:BC1006),$AO$1006:$BQ$1006,0))&gt;=100000), " ",IF(INDEX($AO$2:$BQ$1001,MATCH(ROWS($AH$2:AH107),$AH$2:$AH$1001,0),MATCH(COLUMNS($AO$1006:BC1006),$AO$1006:$BQ$1006,0)), HYPERLINK("#",""), HYPERLINK(CONCATENATE("#Metadata!", ADDRESS(INDEX($AJ$2:$AJ$1001,MATCH(ROWS($AH$2:AH107),$AH$2:$AH$1001,0),0), INDEX($AO$1004:$BQ$1004,1,MATCH(COLUMNS($AO$1006:BC1006),$AO$1006:$BQ$1006,0)))),"Fix")))</f>
        <v>#N/A</v>
      </c>
      <c r="Q107" s="5" t="e">
        <f ca="1">IF(OR(INDEX($AI$2:$AI$1001,MATCH(ROWS($AH$2:AH107),$AH$2:$AH$1001,0),1)&gt;=100000,INDEX($AO$1005:$BQ$1005,1,MATCH(COLUMNS($AO$1006:BD1006),$AO$1006:$BQ$1006,0))&gt;=100000), " ",IF(INDEX($AO$2:$BQ$1001,MATCH(ROWS($AH$2:AH107),$AH$2:$AH$1001,0),MATCH(COLUMNS($AO$1006:BD1006),$AO$1006:$BQ$1006,0)), HYPERLINK("#",""), HYPERLINK(CONCATENATE("#Metadata!", ADDRESS(INDEX($AJ$2:$AJ$1001,MATCH(ROWS($AH$2:AH107),$AH$2:$AH$1001,0),0), INDEX($AO$1004:$BQ$1004,1,MATCH(COLUMNS($AO$1006:BD1006),$AO$1006:$BQ$1006,0)))),"Fix")))</f>
        <v>#N/A</v>
      </c>
      <c r="R107" s="5" t="e">
        <f ca="1">IF(OR(INDEX($AI$2:$AI$1001,MATCH(ROWS($AH$2:AH107),$AH$2:$AH$1001,0),1)&gt;=100000,INDEX($AO$1005:$BQ$1005,1,MATCH(COLUMNS($AO$1006:BE1006),$AO$1006:$BQ$1006,0))&gt;=100000), " ",IF(INDEX($AO$2:$BQ$1001,MATCH(ROWS($AH$2:AH107),$AH$2:$AH$1001,0),MATCH(COLUMNS($AO$1006:BE1006),$AO$1006:$BQ$1006,0)), HYPERLINK("#",""), HYPERLINK(CONCATENATE("#Metadata!", ADDRESS(INDEX($AJ$2:$AJ$1001,MATCH(ROWS($AH$2:AH107),$AH$2:$AH$1001,0),0), INDEX($AO$1004:$BQ$1004,1,MATCH(COLUMNS($AO$1006:BE1006),$AO$1006:$BQ$1006,0)))),"Fix")))</f>
        <v>#N/A</v>
      </c>
      <c r="S107" s="5" t="e">
        <f ca="1">IF(OR(INDEX($AI$2:$AI$1001,MATCH(ROWS($AH$2:AH107),$AH$2:$AH$1001,0),1)&gt;=100000,INDEX($AO$1005:$BQ$1005,1,MATCH(COLUMNS($AO$1006:BF1006),$AO$1006:$BQ$1006,0))&gt;=100000), " ",IF(INDEX($AO$2:$BQ$1001,MATCH(ROWS($AH$2:AH107),$AH$2:$AH$1001,0),MATCH(COLUMNS($AO$1006:BF1006),$AO$1006:$BQ$1006,0)), HYPERLINK("#",""), HYPERLINK(CONCATENATE("#Metadata!", ADDRESS(INDEX($AJ$2:$AJ$1001,MATCH(ROWS($AH$2:AH107),$AH$2:$AH$1001,0),0), INDEX($AO$1004:$BQ$1004,1,MATCH(COLUMNS($AO$1006:BF1006),$AO$1006:$BQ$1006,0)))),"Fix")))</f>
        <v>#N/A</v>
      </c>
      <c r="T107" s="5" t="e">
        <f ca="1">IF(OR(INDEX($AI$2:$AI$1001,MATCH(ROWS($AH$2:AH107),$AH$2:$AH$1001,0),1)&gt;=100000,INDEX($AO$1005:$BQ$1005,1,MATCH(COLUMNS($AO$1006:BG1006),$AO$1006:$BQ$1006,0))&gt;=100000), " ",IF(INDEX($AO$2:$BQ$1001,MATCH(ROWS($AH$2:AH107),$AH$2:$AH$1001,0),MATCH(COLUMNS($AO$1006:BG1006),$AO$1006:$BQ$1006,0)), HYPERLINK("#",""), HYPERLINK(CONCATENATE("#Metadata!", ADDRESS(INDEX($AJ$2:$AJ$1001,MATCH(ROWS($AH$2:AH107),$AH$2:$AH$1001,0),0), INDEX($AO$1004:$BQ$1004,1,MATCH(COLUMNS($AO$1006:BG1006),$AO$1006:$BQ$1006,0)))),"Fix")))</f>
        <v>#N/A</v>
      </c>
      <c r="U107" s="5" t="e">
        <f ca="1">IF(OR(INDEX($AI$2:$AI$1001,MATCH(ROWS($AH$2:AH107),$AH$2:$AH$1001,0),1)&gt;=100000,INDEX($AO$1005:$BQ$1005,1,MATCH(COLUMNS($AO$1006:BH1006),$AO$1006:$BQ$1006,0))&gt;=100000), " ",IF(INDEX($AO$2:$BQ$1001,MATCH(ROWS($AH$2:AH107),$AH$2:$AH$1001,0),MATCH(COLUMNS($AO$1006:BH1006),$AO$1006:$BQ$1006,0)), HYPERLINK("#",""), HYPERLINK(CONCATENATE("#Metadata!", ADDRESS(INDEX($AJ$2:$AJ$1001,MATCH(ROWS($AH$2:AH107),$AH$2:$AH$1001,0),0), INDEX($AO$1004:$BQ$1004,1,MATCH(COLUMNS($AO$1006:BH1006),$AO$1006:$BQ$1006,0)))),"Fix")))</f>
        <v>#N/A</v>
      </c>
      <c r="V107" s="5" t="e">
        <f ca="1">IF(OR(INDEX($AI$2:$AI$1001,MATCH(ROWS($AH$2:AH107),$AH$2:$AH$1001,0),1)&gt;=100000,INDEX($AO$1005:$BQ$1005,1,MATCH(COLUMNS($AO$1006:BI1006),$AO$1006:$BQ$1006,0))&gt;=100000), " ",IF(INDEX($AO$2:$BQ$1001,MATCH(ROWS($AH$2:AH107),$AH$2:$AH$1001,0),MATCH(COLUMNS($AO$1006:BI1006),$AO$1006:$BQ$1006,0)), HYPERLINK("#",""), HYPERLINK(CONCATENATE("#Metadata!", ADDRESS(INDEX($AJ$2:$AJ$1001,MATCH(ROWS($AH$2:AH107),$AH$2:$AH$1001,0),0), INDEX($AO$1004:$BQ$1004,1,MATCH(COLUMNS($AO$1006:BI1006),$AO$1006:$BQ$1006,0)))),"Fix")))</f>
        <v>#N/A</v>
      </c>
      <c r="W107" s="5" t="e">
        <f ca="1">IF(OR(INDEX($AI$2:$AI$1001,MATCH(ROWS($AH$2:AH107),$AH$2:$AH$1001,0),1)&gt;=100000,INDEX($AO$1005:$BQ$1005,1,MATCH(COLUMNS($AO$1006:BJ1006),$AO$1006:$BQ$1006,0))&gt;=100000), " ",IF(INDEX($AO$2:$BQ$1001,MATCH(ROWS($AH$2:AH107),$AH$2:$AH$1001,0),MATCH(COLUMNS($AO$1006:BJ1006),$AO$1006:$BQ$1006,0)), HYPERLINK("#",""), HYPERLINK(CONCATENATE("#Metadata!", ADDRESS(INDEX($AJ$2:$AJ$1001,MATCH(ROWS($AH$2:AH107),$AH$2:$AH$1001,0),0), INDEX($AO$1004:$BQ$1004,1,MATCH(COLUMNS($AO$1006:BJ1006),$AO$1006:$BQ$1006,0)))),"Fix")))</f>
        <v>#N/A</v>
      </c>
      <c r="X107" s="5" t="e">
        <f ca="1">IF(OR(INDEX($AI$2:$AI$1001,MATCH(ROWS($AH$2:AH107),$AH$2:$AH$1001,0),1)&gt;=100000,INDEX($AO$1005:$BQ$1005,1,MATCH(COLUMNS($AO$1006:BK1006),$AO$1006:$BQ$1006,0))&gt;=100000), " ",IF(INDEX($AO$2:$BQ$1001,MATCH(ROWS($AH$2:AH107),$AH$2:$AH$1001,0),MATCH(COLUMNS($AO$1006:BK1006),$AO$1006:$BQ$1006,0)), HYPERLINK("#",""), HYPERLINK(CONCATENATE("#Metadata!", ADDRESS(INDEX($AJ$2:$AJ$1001,MATCH(ROWS($AH$2:AH107),$AH$2:$AH$1001,0),0), INDEX($AO$1004:$BQ$1004,1,MATCH(COLUMNS($AO$1006:BK1006),$AO$1006:$BQ$1006,0)))),"Fix")))</f>
        <v>#N/A</v>
      </c>
      <c r="Y107" s="5" t="e">
        <f ca="1">IF(OR(INDEX($AI$2:$AI$1001,MATCH(ROWS($AH$2:AH107),$AH$2:$AH$1001,0),1)&gt;=100000,INDEX($AO$1005:$BQ$1005,1,MATCH(COLUMNS($AO$1006:BL1006),$AO$1006:$BQ$1006,0))&gt;=100000), " ",IF(INDEX($AO$2:$BQ$1001,MATCH(ROWS($AH$2:AH107),$AH$2:$AH$1001,0),MATCH(COLUMNS($AO$1006:BL1006),$AO$1006:$BQ$1006,0)), HYPERLINK("#",""), HYPERLINK(CONCATENATE("#Metadata!", ADDRESS(INDEX($AJ$2:$AJ$1001,MATCH(ROWS($AH$2:AH107),$AH$2:$AH$1001,0),0), INDEX($AO$1004:$BQ$1004,1,MATCH(COLUMNS($AO$1006:BL1006),$AO$1006:$BQ$1006,0)))),"Fix")))</f>
        <v>#N/A</v>
      </c>
      <c r="Z107" s="5" t="e">
        <f ca="1">IF(OR(INDEX($AI$2:$AI$1001,MATCH(ROWS($AH$2:AH107),$AH$2:$AH$1001,0),1)&gt;=100000,INDEX($AO$1005:$BQ$1005,1,MATCH(COLUMNS($AO$1006:BM1006),$AO$1006:$BQ$1006,0))&gt;=100000), " ",IF(INDEX($AO$2:$BQ$1001,MATCH(ROWS($AH$2:AH107),$AH$2:$AH$1001,0),MATCH(COLUMNS($AO$1006:BM1006),$AO$1006:$BQ$1006,0)), HYPERLINK("#",""), HYPERLINK(CONCATENATE("#Metadata!", ADDRESS(INDEX($AJ$2:$AJ$1001,MATCH(ROWS($AH$2:AH107),$AH$2:$AH$1001,0),0), INDEX($AO$1004:$BQ$1004,1,MATCH(COLUMNS($AO$1006:BM1006),$AO$1006:$BQ$1006,0)))),"Fix")))</f>
        <v>#N/A</v>
      </c>
      <c r="AA107" s="5" t="e">
        <f ca="1">IF(OR(INDEX($AI$2:$AI$1001,MATCH(ROWS($AH$2:AH107),$AH$2:$AH$1001,0),1)&gt;=100000,INDEX($AO$1005:$BQ$1005,1,MATCH(COLUMNS($AO$1006:BN1006),$AO$1006:$BQ$1006,0))&gt;=100000), " ",IF(INDEX($AO$2:$BQ$1001,MATCH(ROWS($AH$2:AH107),$AH$2:$AH$1001,0),MATCH(COLUMNS($AO$1006:BN1006),$AO$1006:$BQ$1006,0)), HYPERLINK("#",""), HYPERLINK(CONCATENATE("#Metadata!", ADDRESS(INDEX($AJ$2:$AJ$1001,MATCH(ROWS($AH$2:AH107),$AH$2:$AH$1001,0),0), INDEX($AO$1004:$BQ$1004,1,MATCH(COLUMNS($AO$1006:BN1006),$AO$1006:$BQ$1006,0)))),"Fix")))</f>
        <v>#N/A</v>
      </c>
      <c r="AB107" s="5" t="e">
        <f ca="1">IF(OR(INDEX($AI$2:$AI$1001,MATCH(ROWS($AH$2:AH107),$AH$2:$AH$1001,0),1)&gt;=100000,INDEX($AO$1005:$BQ$1005,1,MATCH(COLUMNS($AO$1006:BO1006),$AO$1006:$BQ$1006,0))&gt;=100000), " ",IF(INDEX($AO$2:$BQ$1001,MATCH(ROWS($AH$2:AH107),$AH$2:$AH$1001,0),MATCH(COLUMNS($AO$1006:BO1006),$AO$1006:$BQ$1006,0)), HYPERLINK("#",""), HYPERLINK(CONCATENATE("#Metadata!", ADDRESS(INDEX($AJ$2:$AJ$1001,MATCH(ROWS($AH$2:AH107),$AH$2:$AH$1001,0),0), INDEX($AO$1004:$BQ$1004,1,MATCH(COLUMNS($AO$1006:BO1006),$AO$1006:$BQ$1006,0)))),"Fix")))</f>
        <v>#N/A</v>
      </c>
      <c r="AC107" s="5" t="e">
        <f ca="1">IF(OR(INDEX($AI$2:$AI$1001,MATCH(ROWS($AH$2:AH107),$AH$2:$AH$1001,0),1)&gt;=100000,INDEX($AO$1005:$BQ$1005,1,MATCH(COLUMNS($AO$1006:BP1006),$AO$1006:$BQ$1006,0))&gt;=100000), " ",IF(INDEX($AO$2:$BQ$1001,MATCH(ROWS($AH$2:AH107),$AH$2:$AH$1001,0),MATCH(COLUMNS($AO$1006:BP1006),$AO$1006:$BQ$1006,0)), HYPERLINK("#",""), HYPERLINK(CONCATENATE("#Metadata!", ADDRESS(INDEX($AJ$2:$AJ$1001,MATCH(ROWS($AH$2:AH107),$AH$2:$AH$1001,0),0), INDEX($AO$1004:$BQ$1004,1,MATCH(COLUMNS($AO$1006:BP1006),$AO$1006:$BQ$1006,0)))),"Fix")))</f>
        <v>#N/A</v>
      </c>
      <c r="AD107" s="5" t="e">
        <f ca="1">IF(OR(INDEX($AI$2:$AI$1001,MATCH(ROWS($AH$2:AH107),$AH$2:$AH$1001,0),1)&gt;=100000,INDEX($AO$1005:$BQ$1005,1,MATCH(COLUMNS($AO$1006:BQ1006),$AO$1006:$BQ$1006,0))&gt;=100000), " ",IF(INDEX($AO$2:$BQ$1001,MATCH(ROWS($AH$2:AH107),$AH$2:$AH$1001,0),MATCH(COLUMNS($AO$1006:BQ1006),$AO$1006:$BQ$1006,0)), HYPERLINK("#",""), HYPERLINK(CONCATENATE("#Metadata!", ADDRESS(INDEX($AJ$2:$AJ$1001,MATCH(ROWS($AH$2:AH107),$AH$2:$AH$1001,0),0), INDEX($AO$1004:$BQ$1004,1,MATCH(COLUMNS($AO$1006:BQ1006),$AO$1006:$BQ$1006,0)))),"Fix")))</f>
        <v>#REF!</v>
      </c>
      <c r="AH107">
        <f ca="1"/>
        <v>104</v>
      </c>
      <c r="AI107">
        <v>100107</v>
      </c>
      <c r="AJ107">
        <v>107</v>
      </c>
      <c r="AK107" t="b">
        <f t="shared" si="1"/>
        <v>1</v>
      </c>
      <c r="AL107" t="b">
        <f>COUNTBLANK(Metadata!B107:AD107)=COLUMNS(Metadata!B107:AD107)</f>
        <v>1</v>
      </c>
      <c r="AM107" t="str">
        <v/>
      </c>
      <c r="AO107" t="b">
        <f ca="1">AND(IF(Metadata!B107="",FALSE,TRUE),COUNTIF(Metadata!B:B, Metadata!B107) = 1,NOT(ISERROR(SUMPRODUCT(SEARCH(MID(Metadata!B107,ROW(INDIRECT("1:"&amp;LEN(Metadata!B107))), 1),"0123456789abcdefghijklmnopqrstuvwxyzABCDEFGHIJKLMNOPQRSTUVWXYZ.")))))</f>
        <v>0</v>
      </c>
      <c r="AP107" t="b">
        <f>IF(Metadata!C107="",FALSE,TRUE)</f>
        <v>0</v>
      </c>
      <c r="AQ107" t="b">
        <f>IF(Metadata!D107="",FALSE,TRUE)</f>
        <v>0</v>
      </c>
      <c r="AR107" t="b">
        <f ca="1">OR(AND(IF(Metadata!E107="",FALSE,TRUE),OR(EXACT(Metadata!E107,"not collected"),EXACT(Metadata!E107,"not provided"),EXACT(Metadata!E107,"restricted access"))),AND(IF(Metadata!E107="",FALSE,TRUE),AND(AND(IFERROR(INT(LEFT(Metadata!E107,4))&gt;1900,FALSE),IFERROR(INT(LEFT(Metadata!E107,4))&lt;=YEAR(NOW()),FALSE)), OR(MID(Metadata!E107,5,1)="", AND(AND(MID(Metadata!E107,5,1)="-",IFERROR(INT(MID(Metadata!E107,6,1))&gt;=0,FALSE),IFERROR(INT(MID(Metadata!E107,6,1))&lt;=1,FALSE),NOT(MID(Metadata!E107,7,1)=""),IFERROR(INT(MID(Metadata!E107,6,2))&gt;=1,FALSE),IFERROR(INT(MID(Metadata!E107,6,2))&lt;=12,FALSE)), OR(MID(Metadata!E107,8,1)="", AND(AND(MID(Metadata!E107,8,1)="-",IFERROR(INT(MID(Metadata!E107,9,1))&gt;=0,FALSE),IFERROR(INT(MID(Metadata!E107,9,1))&lt;=3,FALSE),NOT(MID(Metadata!E107,10,1)=""),IFERROR(INT(MID(Metadata!E107,9,2))&gt;=1,FALSE),IFERROR(INT(MID(Metadata!E107,9,2))&lt;=31,FALSE)), OR(MID(Metadata!E107,11,1)="", AND(AND(MID(Metadata!E107,11,1)=" ",IFERROR(INT(MID(Metadata!E107,12,1))&gt;=0,FALSE),IFERROR(INT(MID(Metadata!E107,12,1))&lt;=2,FALSE),NOT(MID(Metadata!E107,13,1)=""),IFERROR(INT(MID(Metadata!E107,12,2))&gt;=0,FALSE),IFERROR(INT(MID(Metadata!E107,12,2))&lt;=23,FALSE)), OR(MID(Metadata!E107,14,1)="", AND(AND(MID(Metadata!E107,14,1)=":",IFERROR(INT(MID(Metadata!E107,15,1))&gt;=0,FALSE),IFERROR(INT(MID(Metadata!E107,15,1))&lt;=5,FALSE),NOT(MID(Metadata!E107,16,1)=""),IFERROR(INT(MID(Metadata!E107,15,2))&gt;=0,FALSE),IFERROR(INT(MID(Metadata!E107,15,2))&lt;=59,FALSE)), OR(MID(Metadata!E107,17,1)="", AND(AND(MID(Metadata!E107,17,1)=":",IFERROR(INT(MID(Metadata!E107,18,1))&gt;=0,FALSE),IFERROR(INT(MID(Metadata!E107,18,1))&lt;=5,FALSE),NOT(MID(Metadata!E107,19,1)=""),IFERROR(INT(MID(Metadata!E107,18,2))&gt;=0,FALSE),IFERROR(INT(MID(Metadata!E107,18,2))&lt;=59,FALSE)), LEN(Metadata!E107)&lt;=19)))))))))))))</f>
        <v>0</v>
      </c>
      <c r="AS107" t="b">
        <f>IF(Metadata!F107="",FALSE,TRUE)</f>
        <v>0</v>
      </c>
      <c r="AT107" t="b">
        <f>OR(AND(IF(Metadata!G107="",FALSE,TRUE),OR(EXACT(Metadata!G107,"not collected"),EXACT(Metadata!G107,"not provided"))),AND(IF(Metadata!G107="",FALSE,TRUE),OR(EXACT(Metadata!G107,"TRUE"),EXACT(Metadata!G107,"FALSE"))))</f>
        <v>0</v>
      </c>
      <c r="AU107" t="b">
        <f>OR(AND(IF(Metadata!H107="",FALSE,TRUE),OR(EXACT(Metadata!H107,"not collected"),EXACT(Metadata!H107,"not provided"),EXACT(Metadata!H107,"restricted access"))),AND(IF(Metadata!H107="",FALSE,ISNUMBER(VALUE(Metadata!H107))),Metadata!H107&gt;=-413))</f>
        <v>0</v>
      </c>
      <c r="AV107" t="b">
        <f>AND(IF(Metadata!I107="",FALSE,TRUE),EXACT(Metadata!I107,"meters"))</f>
        <v>0</v>
      </c>
      <c r="AW107" t="b">
        <f>AND(IF(Metadata!J107="",FALSE,TRUE),EXACT(Metadata!J107,"free-living"))</f>
        <v>0</v>
      </c>
      <c r="AX107" t="b">
        <f>AND(IF(Metadata!K107="",FALSE,TRUE),OR(EXACT(Metadata!K107,"saline"),EXACT(Metadata!K107,"non-saline")))</f>
        <v>0</v>
      </c>
      <c r="AY107" t="b">
        <f>AND(IF(Metadata!L107="",FALSE,TRUE),OR(EXACT(Metadata!L107,"sub-surface (non-saline)"),EXACT(Metadata!L107,"surface (non-saline)"),EXACT(Metadata!L107,"water (non-saline)"),EXACT(Metadata!L107,"soil (non-saline)"),EXACT(Metadata!L107,"aerosol (non-saline)"),EXACT(Metadata!L107,"sediment (non-saline)"),EXACT(Metadata!L107,"surface (saline)"),EXACT(Metadata!L107,"water (saline)"),EXACT(Metadata!L107,"hypersaline (saline)"),EXACT(Metadata!L107,"aerosol (saline)"),EXACT(Metadata!L107,"sediment (saline)")))</f>
        <v>0</v>
      </c>
      <c r="AZ107" t="b">
        <f>IF(Metadata!M107="",FALSE,TRUE)</f>
        <v>0</v>
      </c>
      <c r="BA107" t="b">
        <f>IF(Metadata!N107="",FALSE,TRUE)</f>
        <v>0</v>
      </c>
      <c r="BB107" t="b">
        <f>IF(Metadata!O107="",FALSE,TRUE)</f>
        <v>0</v>
      </c>
      <c r="BC107" t="b">
        <f>AND(IF(Metadata!P107="",FALSE,TRUE),OR(EXACT(Metadata!P107,"air"),EXACT(Metadata!P107,"microbial mat/biofilm"),EXACT(Metadata!P107,"misc environment"),EXACT(Metadata!P107,"sediment"),EXACT(Metadata!P107,"soil"),EXACT(Metadata!P107,"wastewater/sludge"),EXACT(Metadata!P107,"water")))</f>
        <v>0</v>
      </c>
      <c r="BD107" t="b">
        <f>IF(Metadata!Q107="",FALSE,TRUE)</f>
        <v>0</v>
      </c>
      <c r="BE107" t="b">
        <f>IF(Metadata!R107="",FALSE,TRUE)</f>
        <v>0</v>
      </c>
      <c r="BF107" t="b">
        <f>OR(AND(IF(Metadata!S107="",FALSE,TRUE),OR(EXACT(Metadata!S107,"not collected"),EXACT(Metadata!S107,"not provided"),EXACT(Metadata!S107,"restricted access"))),AND(IF(Metadata!S107="",FALSE,ISNUMBER(VALUE(Metadata!S107))),Metadata!S107&gt;=-90,Metadata!S107&lt;=90))</f>
        <v>0</v>
      </c>
      <c r="BG107" t="b">
        <f>AND(IF(Metadata!T107="",FALSE,TRUE),EXACT(Metadata!T107,"Decimal degrees"))</f>
        <v>0</v>
      </c>
      <c r="BH107" t="b">
        <f>OR(AND(IF(Metadata!U107="",FALSE,TRUE),OR(EXACT(Metadata!U107,"not applicable"),EXACT(Metadata!U107,"not collected"))),IF(Metadata!U107="",FALSE,TRUE))</f>
        <v>0</v>
      </c>
      <c r="BI107" t="b">
        <f>OR(AND(IF(Metadata!V107="",FALSE,TRUE),OR(EXACT(Metadata!V107,"not collected"),EXACT(Metadata!V107,"not provided"),EXACT(Metadata!V107,"restricted access"))),AND(IF(Metadata!V107="",FALSE,ISNUMBER(VALUE(Metadata!V107))),Metadata!V107&gt;=-180,Metadata!V107&lt;=180))</f>
        <v>0</v>
      </c>
      <c r="BJ107" t="b">
        <f>AND(IF(Metadata!W107="",FALSE,TRUE),EXACT(Metadata!W107,"Decimal degrees"))</f>
        <v>0</v>
      </c>
      <c r="BK107" t="b">
        <f>IF(Metadata!X107="",FALSE,TRUE)</f>
        <v>0</v>
      </c>
      <c r="BL107" t="b">
        <f>OR(AND(IF(Metadata!Y107="",FALSE,TRUE),OR(EXACT(Metadata!Y107,"not collected"),EXACT(Metadata!Y107,"not provided"),EXACT(Metadata!Y107,"restricted access"))),AND(IF(Metadata!Y107="",FALSE,TRUE),OR(EXACT(Metadata!Y107,"TRUE"),EXACT(Metadata!Y107,"FALSE"))))</f>
        <v>0</v>
      </c>
      <c r="BM107" t="b">
        <f>OR(AND(IF(Metadata!Z107="",FALSE,TRUE),EXACT(Metadata!Z107,"not applicable")),AND(IF(Metadata!Z107="",FALSE,TRUE),OR(EXACT(Metadata!Z107,"beer"),EXACT(Metadata!Z107,"cheese"),EXACT(Metadata!Z107,"fresh water"),EXACT(Metadata!Z107,"marine sediment"),EXACT(Metadata!Z107,"sea water"),EXACT(Metadata!Z107,"sediment"),EXACT(Metadata!Z107,"soil"),EXACT(Metadata!Z107,"waste water"))))</f>
        <v>0</v>
      </c>
      <c r="BN107" t="b">
        <f>AND(IF(Metadata!AA107="",FALSE,TRUE),EXACT(Metadata!AA107,"metagenome"))</f>
        <v>0</v>
      </c>
      <c r="BO107" t="b">
        <f>AND(IF(Metadata!AB107="",FALSE,TRUE),EXACT(Metadata!AB107,"256318"))</f>
        <v>0</v>
      </c>
      <c r="BP107" t="b">
        <f>IF(Metadata!AC107="",FALSE,TRUE)</f>
        <v>0</v>
      </c>
      <c r="BQ107" t="b">
        <f>IF(Metadata!AD107="",FALSE,TRUE)</f>
        <v>0</v>
      </c>
    </row>
    <row r="108" spans="1:69" x14ac:dyDescent="0.2">
      <c r="A108" s="4" t="e">
        <f ca="1">IF(B108=" "," ",HYPERLINK(CONCATENATE("#metadata!",ADDRESS(INDEX($AJ$2:$AJ$1001,MATCH(ROWS($AH$2:AH108),$AH$2:$AH$1001,0),0),2)),INDEX($AM$2:$AM$1001,MATCH(ROWS($AH$2:AH108),$AH$2:$AH$1001,0),0)))</f>
        <v>#N/A</v>
      </c>
      <c r="B108" s="5" t="e">
        <f ca="1">IF(OR(INDEX($AI$2:$AI$1001,MATCH(ROWS($AH$2:AH108),$AH$2:$AH$1001,0),1)&gt;=100000,INDEX($AO$1005:$BQ$1005,1,MATCH(COLUMNS($AO$1006:AO1006),$AO$1006:$BQ$1006,0))&gt;=100000), " ",IF(INDEX($AO$2:$BQ$1001,MATCH(ROWS($AH$2:AH108),$AH$2:$AH$1001,0),MATCH(COLUMNS($AO$1006:AO1006),$AO$1006:$BQ$1006,0)), HYPERLINK("#",""), HYPERLINK(CONCATENATE("#Metadata!", ADDRESS(INDEX($AJ$2:$AJ$1001,MATCH(ROWS($AH$2:AH108),$AH$2:$AH$1001,0),0), INDEX($AO$1004:$BQ$1004,1,MATCH(COLUMNS($AO$1006:AO1006),$AO$1006:$BQ$1006,0)))),"Fix")))</f>
        <v>#N/A</v>
      </c>
      <c r="C108" s="5" t="e">
        <f ca="1">IF(OR(INDEX($AI$2:$AI$1001,MATCH(ROWS($AH$2:AH108),$AH$2:$AH$1001,0),1)&gt;=100000,INDEX($AO$1005:$BQ$1005,1,MATCH(COLUMNS($AO$1006:AP1006),$AO$1006:$BQ$1006,0))&gt;=100000), " ",IF(INDEX($AO$2:$BQ$1001,MATCH(ROWS($AH$2:AH108),$AH$2:$AH$1001,0),MATCH(COLUMNS($AO$1006:AP1006),$AO$1006:$BQ$1006,0)), HYPERLINK("#",""), HYPERLINK(CONCATENATE("#Metadata!", ADDRESS(INDEX($AJ$2:$AJ$1001,MATCH(ROWS($AH$2:AH108),$AH$2:$AH$1001,0),0), INDEX($AO$1004:$BQ$1004,1,MATCH(COLUMNS($AO$1006:AP1006),$AO$1006:$BQ$1006,0)))),"Fix")))</f>
        <v>#N/A</v>
      </c>
      <c r="D108" s="5" t="e">
        <f ca="1">IF(OR(INDEX($AI$2:$AI$1001,MATCH(ROWS($AH$2:AH108),$AH$2:$AH$1001,0),1)&gt;=100000,INDEX($AO$1005:$BQ$1005,1,MATCH(COLUMNS($AO$1006:AQ1006),$AO$1006:$BQ$1006,0))&gt;=100000), " ",IF(INDEX($AO$2:$BQ$1001,MATCH(ROWS($AH$2:AH108),$AH$2:$AH$1001,0),MATCH(COLUMNS($AO$1006:AQ1006),$AO$1006:$BQ$1006,0)), HYPERLINK("#",""), HYPERLINK(CONCATENATE("#Metadata!", ADDRESS(INDEX($AJ$2:$AJ$1001,MATCH(ROWS($AH$2:AH108),$AH$2:$AH$1001,0),0), INDEX($AO$1004:$BQ$1004,1,MATCH(COLUMNS($AO$1006:AQ1006),$AO$1006:$BQ$1006,0)))),"Fix")))</f>
        <v>#N/A</v>
      </c>
      <c r="E108" s="5" t="e">
        <f ca="1">IF(OR(INDEX($AI$2:$AI$1001,MATCH(ROWS($AH$2:AH108),$AH$2:$AH$1001,0),1)&gt;=100000,INDEX($AO$1005:$BQ$1005,1,MATCH(COLUMNS($AO$1006:AR1006),$AO$1006:$BQ$1006,0))&gt;=100000), " ",IF(INDEX($AO$2:$BQ$1001,MATCH(ROWS($AH$2:AH108),$AH$2:$AH$1001,0),MATCH(COLUMNS($AO$1006:AR1006),$AO$1006:$BQ$1006,0)), HYPERLINK("#",""), HYPERLINK(CONCATENATE("#Metadata!", ADDRESS(INDEX($AJ$2:$AJ$1001,MATCH(ROWS($AH$2:AH108),$AH$2:$AH$1001,0),0), INDEX($AO$1004:$BQ$1004,1,MATCH(COLUMNS($AO$1006:AR1006),$AO$1006:$BQ$1006,0)))),"Fix")))</f>
        <v>#N/A</v>
      </c>
      <c r="F108" s="5" t="e">
        <f ca="1">IF(OR(INDEX($AI$2:$AI$1001,MATCH(ROWS($AH$2:AH108),$AH$2:$AH$1001,0),1)&gt;=100000,INDEX($AO$1005:$BQ$1005,1,MATCH(COLUMNS($AO$1006:AS1006),$AO$1006:$BQ$1006,0))&gt;=100000), " ",IF(INDEX($AO$2:$BQ$1001,MATCH(ROWS($AH$2:AH108),$AH$2:$AH$1001,0),MATCH(COLUMNS($AO$1006:AS1006),$AO$1006:$BQ$1006,0)), HYPERLINK("#",""), HYPERLINK(CONCATENATE("#Metadata!", ADDRESS(INDEX($AJ$2:$AJ$1001,MATCH(ROWS($AH$2:AH108),$AH$2:$AH$1001,0),0), INDEX($AO$1004:$BQ$1004,1,MATCH(COLUMNS($AO$1006:AS1006),$AO$1006:$BQ$1006,0)))),"Fix")))</f>
        <v>#N/A</v>
      </c>
      <c r="G108" s="5" t="e">
        <f ca="1">IF(OR(INDEX($AI$2:$AI$1001,MATCH(ROWS($AH$2:AH108),$AH$2:$AH$1001,0),1)&gt;=100000,INDEX($AO$1005:$BQ$1005,1,MATCH(COLUMNS($AO$1006:AT1006),$AO$1006:$BQ$1006,0))&gt;=100000), " ",IF(INDEX($AO$2:$BQ$1001,MATCH(ROWS($AH$2:AH108),$AH$2:$AH$1001,0),MATCH(COLUMNS($AO$1006:AT1006),$AO$1006:$BQ$1006,0)), HYPERLINK("#",""), HYPERLINK(CONCATENATE("#Metadata!", ADDRESS(INDEX($AJ$2:$AJ$1001,MATCH(ROWS($AH$2:AH108),$AH$2:$AH$1001,0),0), INDEX($AO$1004:$BQ$1004,1,MATCH(COLUMNS($AO$1006:AT1006),$AO$1006:$BQ$1006,0)))),"Fix")))</f>
        <v>#N/A</v>
      </c>
      <c r="H108" s="5" t="e">
        <f ca="1">IF(OR(INDEX($AI$2:$AI$1001,MATCH(ROWS($AH$2:AH108),$AH$2:$AH$1001,0),1)&gt;=100000,INDEX($AO$1005:$BQ$1005,1,MATCH(COLUMNS($AO$1006:AU1006),$AO$1006:$BQ$1006,0))&gt;=100000), " ",IF(INDEX($AO$2:$BQ$1001,MATCH(ROWS($AH$2:AH108),$AH$2:$AH$1001,0),MATCH(COLUMNS($AO$1006:AU1006),$AO$1006:$BQ$1006,0)), HYPERLINK("#",""), HYPERLINK(CONCATENATE("#Metadata!", ADDRESS(INDEX($AJ$2:$AJ$1001,MATCH(ROWS($AH$2:AH108),$AH$2:$AH$1001,0),0), INDEX($AO$1004:$BQ$1004,1,MATCH(COLUMNS($AO$1006:AU1006),$AO$1006:$BQ$1006,0)))),"Fix")))</f>
        <v>#N/A</v>
      </c>
      <c r="I108" s="5" t="e">
        <f ca="1">IF(OR(INDEX($AI$2:$AI$1001,MATCH(ROWS($AH$2:AH108),$AH$2:$AH$1001,0),1)&gt;=100000,INDEX($AO$1005:$BQ$1005,1,MATCH(COLUMNS($AO$1006:AV1006),$AO$1006:$BQ$1006,0))&gt;=100000), " ",IF(INDEX($AO$2:$BQ$1001,MATCH(ROWS($AH$2:AH108),$AH$2:$AH$1001,0),MATCH(COLUMNS($AO$1006:AV1006),$AO$1006:$BQ$1006,0)), HYPERLINK("#",""), HYPERLINK(CONCATENATE("#Metadata!", ADDRESS(INDEX($AJ$2:$AJ$1001,MATCH(ROWS($AH$2:AH108),$AH$2:$AH$1001,0),0), INDEX($AO$1004:$BQ$1004,1,MATCH(COLUMNS($AO$1006:AV1006),$AO$1006:$BQ$1006,0)))),"Fix")))</f>
        <v>#N/A</v>
      </c>
      <c r="J108" s="5" t="e">
        <f ca="1">IF(OR(INDEX($AI$2:$AI$1001,MATCH(ROWS($AH$2:AH108),$AH$2:$AH$1001,0),1)&gt;=100000,INDEX($AO$1005:$BQ$1005,1,MATCH(COLUMNS($AO$1006:AW1006),$AO$1006:$BQ$1006,0))&gt;=100000), " ",IF(INDEX($AO$2:$BQ$1001,MATCH(ROWS($AH$2:AH108),$AH$2:$AH$1001,0),MATCH(COLUMNS($AO$1006:AW1006),$AO$1006:$BQ$1006,0)), HYPERLINK("#",""), HYPERLINK(CONCATENATE("#Metadata!", ADDRESS(INDEX($AJ$2:$AJ$1001,MATCH(ROWS($AH$2:AH108),$AH$2:$AH$1001,0),0), INDEX($AO$1004:$BQ$1004,1,MATCH(COLUMNS($AO$1006:AW1006),$AO$1006:$BQ$1006,0)))),"Fix")))</f>
        <v>#N/A</v>
      </c>
      <c r="K108" s="5" t="e">
        <f ca="1">IF(OR(INDEX($AI$2:$AI$1001,MATCH(ROWS($AH$2:AH108),$AH$2:$AH$1001,0),1)&gt;=100000,INDEX($AO$1005:$BQ$1005,1,MATCH(COLUMNS($AO$1006:AX1006),$AO$1006:$BQ$1006,0))&gt;=100000), " ",IF(INDEX($AO$2:$BQ$1001,MATCH(ROWS($AH$2:AH108),$AH$2:$AH$1001,0),MATCH(COLUMNS($AO$1006:AX1006),$AO$1006:$BQ$1006,0)), HYPERLINK("#",""), HYPERLINK(CONCATENATE("#Metadata!", ADDRESS(INDEX($AJ$2:$AJ$1001,MATCH(ROWS($AH$2:AH108),$AH$2:$AH$1001,0),0), INDEX($AO$1004:$BQ$1004,1,MATCH(COLUMNS($AO$1006:AX1006),$AO$1006:$BQ$1006,0)))),"Fix")))</f>
        <v>#N/A</v>
      </c>
      <c r="L108" s="5" t="e">
        <f ca="1">IF(OR(INDEX($AI$2:$AI$1001,MATCH(ROWS($AH$2:AH108),$AH$2:$AH$1001,0),1)&gt;=100000,INDEX($AO$1005:$BQ$1005,1,MATCH(COLUMNS($AO$1006:AY1006),$AO$1006:$BQ$1006,0))&gt;=100000), " ",IF(INDEX($AO$2:$BQ$1001,MATCH(ROWS($AH$2:AH108),$AH$2:$AH$1001,0),MATCH(COLUMNS($AO$1006:AY1006),$AO$1006:$BQ$1006,0)), HYPERLINK("#",""), HYPERLINK(CONCATENATE("#Metadata!", ADDRESS(INDEX($AJ$2:$AJ$1001,MATCH(ROWS($AH$2:AH108),$AH$2:$AH$1001,0),0), INDEX($AO$1004:$BQ$1004,1,MATCH(COLUMNS($AO$1006:AY1006),$AO$1006:$BQ$1006,0)))),"Fix")))</f>
        <v>#N/A</v>
      </c>
      <c r="M108" s="5" t="e">
        <f ca="1">IF(OR(INDEX($AI$2:$AI$1001,MATCH(ROWS($AH$2:AH108),$AH$2:$AH$1001,0),1)&gt;=100000,INDEX($AO$1005:$BQ$1005,1,MATCH(COLUMNS($AO$1006:AZ1006),$AO$1006:$BQ$1006,0))&gt;=100000), " ",IF(INDEX($AO$2:$BQ$1001,MATCH(ROWS($AH$2:AH108),$AH$2:$AH$1001,0),MATCH(COLUMNS($AO$1006:AZ1006),$AO$1006:$BQ$1006,0)), HYPERLINK("#",""), HYPERLINK(CONCATENATE("#Metadata!", ADDRESS(INDEX($AJ$2:$AJ$1001,MATCH(ROWS($AH$2:AH108),$AH$2:$AH$1001,0),0), INDEX($AO$1004:$BQ$1004,1,MATCH(COLUMNS($AO$1006:AZ1006),$AO$1006:$BQ$1006,0)))),"Fix")))</f>
        <v>#N/A</v>
      </c>
      <c r="N108" s="5" t="e">
        <f ca="1">IF(OR(INDEX($AI$2:$AI$1001,MATCH(ROWS($AH$2:AH108),$AH$2:$AH$1001,0),1)&gt;=100000,INDEX($AO$1005:$BQ$1005,1,MATCH(COLUMNS($AO$1006:BA1006),$AO$1006:$BQ$1006,0))&gt;=100000), " ",IF(INDEX($AO$2:$BQ$1001,MATCH(ROWS($AH$2:AH108),$AH$2:$AH$1001,0),MATCH(COLUMNS($AO$1006:BA1006),$AO$1006:$BQ$1006,0)), HYPERLINK("#",""), HYPERLINK(CONCATENATE("#Metadata!", ADDRESS(INDEX($AJ$2:$AJ$1001,MATCH(ROWS($AH$2:AH108),$AH$2:$AH$1001,0),0), INDEX($AO$1004:$BQ$1004,1,MATCH(COLUMNS($AO$1006:BA1006),$AO$1006:$BQ$1006,0)))),"Fix")))</f>
        <v>#N/A</v>
      </c>
      <c r="O108" s="5" t="e">
        <f ca="1">IF(OR(INDEX($AI$2:$AI$1001,MATCH(ROWS($AH$2:AH108),$AH$2:$AH$1001,0),1)&gt;=100000,INDEX($AO$1005:$BQ$1005,1,MATCH(COLUMNS($AO$1006:BB1006),$AO$1006:$BQ$1006,0))&gt;=100000), " ",IF(INDEX($AO$2:$BQ$1001,MATCH(ROWS($AH$2:AH108),$AH$2:$AH$1001,0),MATCH(COLUMNS($AO$1006:BB1006),$AO$1006:$BQ$1006,0)), HYPERLINK("#",""), HYPERLINK(CONCATENATE("#Metadata!", ADDRESS(INDEX($AJ$2:$AJ$1001,MATCH(ROWS($AH$2:AH108),$AH$2:$AH$1001,0),0), INDEX($AO$1004:$BQ$1004,1,MATCH(COLUMNS($AO$1006:BB1006),$AO$1006:$BQ$1006,0)))),"Fix")))</f>
        <v>#N/A</v>
      </c>
      <c r="P108" s="5" t="e">
        <f ca="1">IF(OR(INDEX($AI$2:$AI$1001,MATCH(ROWS($AH$2:AH108),$AH$2:$AH$1001,0),1)&gt;=100000,INDEX($AO$1005:$BQ$1005,1,MATCH(COLUMNS($AO$1006:BC1006),$AO$1006:$BQ$1006,0))&gt;=100000), " ",IF(INDEX($AO$2:$BQ$1001,MATCH(ROWS($AH$2:AH108),$AH$2:$AH$1001,0),MATCH(COLUMNS($AO$1006:BC1006),$AO$1006:$BQ$1006,0)), HYPERLINK("#",""), HYPERLINK(CONCATENATE("#Metadata!", ADDRESS(INDEX($AJ$2:$AJ$1001,MATCH(ROWS($AH$2:AH108),$AH$2:$AH$1001,0),0), INDEX($AO$1004:$BQ$1004,1,MATCH(COLUMNS($AO$1006:BC1006),$AO$1006:$BQ$1006,0)))),"Fix")))</f>
        <v>#N/A</v>
      </c>
      <c r="Q108" s="5" t="e">
        <f ca="1">IF(OR(INDEX($AI$2:$AI$1001,MATCH(ROWS($AH$2:AH108),$AH$2:$AH$1001,0),1)&gt;=100000,INDEX($AO$1005:$BQ$1005,1,MATCH(COLUMNS($AO$1006:BD1006),$AO$1006:$BQ$1006,0))&gt;=100000), " ",IF(INDEX($AO$2:$BQ$1001,MATCH(ROWS($AH$2:AH108),$AH$2:$AH$1001,0),MATCH(COLUMNS($AO$1006:BD1006),$AO$1006:$BQ$1006,0)), HYPERLINK("#",""), HYPERLINK(CONCATENATE("#Metadata!", ADDRESS(INDEX($AJ$2:$AJ$1001,MATCH(ROWS($AH$2:AH108),$AH$2:$AH$1001,0),0), INDEX($AO$1004:$BQ$1004,1,MATCH(COLUMNS($AO$1006:BD1006),$AO$1006:$BQ$1006,0)))),"Fix")))</f>
        <v>#N/A</v>
      </c>
      <c r="R108" s="5" t="e">
        <f ca="1">IF(OR(INDEX($AI$2:$AI$1001,MATCH(ROWS($AH$2:AH108),$AH$2:$AH$1001,0),1)&gt;=100000,INDEX($AO$1005:$BQ$1005,1,MATCH(COLUMNS($AO$1006:BE1006),$AO$1006:$BQ$1006,0))&gt;=100000), " ",IF(INDEX($AO$2:$BQ$1001,MATCH(ROWS($AH$2:AH108),$AH$2:$AH$1001,0),MATCH(COLUMNS($AO$1006:BE1006),$AO$1006:$BQ$1006,0)), HYPERLINK("#",""), HYPERLINK(CONCATENATE("#Metadata!", ADDRESS(INDEX($AJ$2:$AJ$1001,MATCH(ROWS($AH$2:AH108),$AH$2:$AH$1001,0),0), INDEX($AO$1004:$BQ$1004,1,MATCH(COLUMNS($AO$1006:BE1006),$AO$1006:$BQ$1006,0)))),"Fix")))</f>
        <v>#N/A</v>
      </c>
      <c r="S108" s="5" t="e">
        <f ca="1">IF(OR(INDEX($AI$2:$AI$1001,MATCH(ROWS($AH$2:AH108),$AH$2:$AH$1001,0),1)&gt;=100000,INDEX($AO$1005:$BQ$1005,1,MATCH(COLUMNS($AO$1006:BF1006),$AO$1006:$BQ$1006,0))&gt;=100000), " ",IF(INDEX($AO$2:$BQ$1001,MATCH(ROWS($AH$2:AH108),$AH$2:$AH$1001,0),MATCH(COLUMNS($AO$1006:BF1006),$AO$1006:$BQ$1006,0)), HYPERLINK("#",""), HYPERLINK(CONCATENATE("#Metadata!", ADDRESS(INDEX($AJ$2:$AJ$1001,MATCH(ROWS($AH$2:AH108),$AH$2:$AH$1001,0),0), INDEX($AO$1004:$BQ$1004,1,MATCH(COLUMNS($AO$1006:BF1006),$AO$1006:$BQ$1006,0)))),"Fix")))</f>
        <v>#N/A</v>
      </c>
      <c r="T108" s="5" t="e">
        <f ca="1">IF(OR(INDEX($AI$2:$AI$1001,MATCH(ROWS($AH$2:AH108),$AH$2:$AH$1001,0),1)&gt;=100000,INDEX($AO$1005:$BQ$1005,1,MATCH(COLUMNS($AO$1006:BG1006),$AO$1006:$BQ$1006,0))&gt;=100000), " ",IF(INDEX($AO$2:$BQ$1001,MATCH(ROWS($AH$2:AH108),$AH$2:$AH$1001,0),MATCH(COLUMNS($AO$1006:BG1006),$AO$1006:$BQ$1006,0)), HYPERLINK("#",""), HYPERLINK(CONCATENATE("#Metadata!", ADDRESS(INDEX($AJ$2:$AJ$1001,MATCH(ROWS($AH$2:AH108),$AH$2:$AH$1001,0),0), INDEX($AO$1004:$BQ$1004,1,MATCH(COLUMNS($AO$1006:BG1006),$AO$1006:$BQ$1006,0)))),"Fix")))</f>
        <v>#N/A</v>
      </c>
      <c r="U108" s="5" t="e">
        <f ca="1">IF(OR(INDEX($AI$2:$AI$1001,MATCH(ROWS($AH$2:AH108),$AH$2:$AH$1001,0),1)&gt;=100000,INDEX($AO$1005:$BQ$1005,1,MATCH(COLUMNS($AO$1006:BH1006),$AO$1006:$BQ$1006,0))&gt;=100000), " ",IF(INDEX($AO$2:$BQ$1001,MATCH(ROWS($AH$2:AH108),$AH$2:$AH$1001,0),MATCH(COLUMNS($AO$1006:BH1006),$AO$1006:$BQ$1006,0)), HYPERLINK("#",""), HYPERLINK(CONCATENATE("#Metadata!", ADDRESS(INDEX($AJ$2:$AJ$1001,MATCH(ROWS($AH$2:AH108),$AH$2:$AH$1001,0),0), INDEX($AO$1004:$BQ$1004,1,MATCH(COLUMNS($AO$1006:BH1006),$AO$1006:$BQ$1006,0)))),"Fix")))</f>
        <v>#N/A</v>
      </c>
      <c r="V108" s="5" t="e">
        <f ca="1">IF(OR(INDEX($AI$2:$AI$1001,MATCH(ROWS($AH$2:AH108),$AH$2:$AH$1001,0),1)&gt;=100000,INDEX($AO$1005:$BQ$1005,1,MATCH(COLUMNS($AO$1006:BI1006),$AO$1006:$BQ$1006,0))&gt;=100000), " ",IF(INDEX($AO$2:$BQ$1001,MATCH(ROWS($AH$2:AH108),$AH$2:$AH$1001,0),MATCH(COLUMNS($AO$1006:BI1006),$AO$1006:$BQ$1006,0)), HYPERLINK("#",""), HYPERLINK(CONCATENATE("#Metadata!", ADDRESS(INDEX($AJ$2:$AJ$1001,MATCH(ROWS($AH$2:AH108),$AH$2:$AH$1001,0),0), INDEX($AO$1004:$BQ$1004,1,MATCH(COLUMNS($AO$1006:BI1006),$AO$1006:$BQ$1006,0)))),"Fix")))</f>
        <v>#N/A</v>
      </c>
      <c r="W108" s="5" t="e">
        <f ca="1">IF(OR(INDEX($AI$2:$AI$1001,MATCH(ROWS($AH$2:AH108),$AH$2:$AH$1001,0),1)&gt;=100000,INDEX($AO$1005:$BQ$1005,1,MATCH(COLUMNS($AO$1006:BJ1006),$AO$1006:$BQ$1006,0))&gt;=100000), " ",IF(INDEX($AO$2:$BQ$1001,MATCH(ROWS($AH$2:AH108),$AH$2:$AH$1001,0),MATCH(COLUMNS($AO$1006:BJ1006),$AO$1006:$BQ$1006,0)), HYPERLINK("#",""), HYPERLINK(CONCATENATE("#Metadata!", ADDRESS(INDEX($AJ$2:$AJ$1001,MATCH(ROWS($AH$2:AH108),$AH$2:$AH$1001,0),0), INDEX($AO$1004:$BQ$1004,1,MATCH(COLUMNS($AO$1006:BJ1006),$AO$1006:$BQ$1006,0)))),"Fix")))</f>
        <v>#N/A</v>
      </c>
      <c r="X108" s="5" t="e">
        <f ca="1">IF(OR(INDEX($AI$2:$AI$1001,MATCH(ROWS($AH$2:AH108),$AH$2:$AH$1001,0),1)&gt;=100000,INDEX($AO$1005:$BQ$1005,1,MATCH(COLUMNS($AO$1006:BK1006),$AO$1006:$BQ$1006,0))&gt;=100000), " ",IF(INDEX($AO$2:$BQ$1001,MATCH(ROWS($AH$2:AH108),$AH$2:$AH$1001,0),MATCH(COLUMNS($AO$1006:BK1006),$AO$1006:$BQ$1006,0)), HYPERLINK("#",""), HYPERLINK(CONCATENATE("#Metadata!", ADDRESS(INDEX($AJ$2:$AJ$1001,MATCH(ROWS($AH$2:AH108),$AH$2:$AH$1001,0),0), INDEX($AO$1004:$BQ$1004,1,MATCH(COLUMNS($AO$1006:BK1006),$AO$1006:$BQ$1006,0)))),"Fix")))</f>
        <v>#N/A</v>
      </c>
      <c r="Y108" s="5" t="e">
        <f ca="1">IF(OR(INDEX($AI$2:$AI$1001,MATCH(ROWS($AH$2:AH108),$AH$2:$AH$1001,0),1)&gt;=100000,INDEX($AO$1005:$BQ$1005,1,MATCH(COLUMNS($AO$1006:BL1006),$AO$1006:$BQ$1006,0))&gt;=100000), " ",IF(INDEX($AO$2:$BQ$1001,MATCH(ROWS($AH$2:AH108),$AH$2:$AH$1001,0),MATCH(COLUMNS($AO$1006:BL1006),$AO$1006:$BQ$1006,0)), HYPERLINK("#",""), HYPERLINK(CONCATENATE("#Metadata!", ADDRESS(INDEX($AJ$2:$AJ$1001,MATCH(ROWS($AH$2:AH108),$AH$2:$AH$1001,0),0), INDEX($AO$1004:$BQ$1004,1,MATCH(COLUMNS($AO$1006:BL1006),$AO$1006:$BQ$1006,0)))),"Fix")))</f>
        <v>#N/A</v>
      </c>
      <c r="Z108" s="5" t="e">
        <f ca="1">IF(OR(INDEX($AI$2:$AI$1001,MATCH(ROWS($AH$2:AH108),$AH$2:$AH$1001,0),1)&gt;=100000,INDEX($AO$1005:$BQ$1005,1,MATCH(COLUMNS($AO$1006:BM1006),$AO$1006:$BQ$1006,0))&gt;=100000), " ",IF(INDEX($AO$2:$BQ$1001,MATCH(ROWS($AH$2:AH108),$AH$2:$AH$1001,0),MATCH(COLUMNS($AO$1006:BM1006),$AO$1006:$BQ$1006,0)), HYPERLINK("#",""), HYPERLINK(CONCATENATE("#Metadata!", ADDRESS(INDEX($AJ$2:$AJ$1001,MATCH(ROWS($AH$2:AH108),$AH$2:$AH$1001,0),0), INDEX($AO$1004:$BQ$1004,1,MATCH(COLUMNS($AO$1006:BM1006),$AO$1006:$BQ$1006,0)))),"Fix")))</f>
        <v>#N/A</v>
      </c>
      <c r="AA108" s="5" t="e">
        <f ca="1">IF(OR(INDEX($AI$2:$AI$1001,MATCH(ROWS($AH$2:AH108),$AH$2:$AH$1001,0),1)&gt;=100000,INDEX($AO$1005:$BQ$1005,1,MATCH(COLUMNS($AO$1006:BN1006),$AO$1006:$BQ$1006,0))&gt;=100000), " ",IF(INDEX($AO$2:$BQ$1001,MATCH(ROWS($AH$2:AH108),$AH$2:$AH$1001,0),MATCH(COLUMNS($AO$1006:BN1006),$AO$1006:$BQ$1006,0)), HYPERLINK("#",""), HYPERLINK(CONCATENATE("#Metadata!", ADDRESS(INDEX($AJ$2:$AJ$1001,MATCH(ROWS($AH$2:AH108),$AH$2:$AH$1001,0),0), INDEX($AO$1004:$BQ$1004,1,MATCH(COLUMNS($AO$1006:BN1006),$AO$1006:$BQ$1006,0)))),"Fix")))</f>
        <v>#N/A</v>
      </c>
      <c r="AB108" s="5" t="e">
        <f ca="1">IF(OR(INDEX($AI$2:$AI$1001,MATCH(ROWS($AH$2:AH108),$AH$2:$AH$1001,0),1)&gt;=100000,INDEX($AO$1005:$BQ$1005,1,MATCH(COLUMNS($AO$1006:BO1006),$AO$1006:$BQ$1006,0))&gt;=100000), " ",IF(INDEX($AO$2:$BQ$1001,MATCH(ROWS($AH$2:AH108),$AH$2:$AH$1001,0),MATCH(COLUMNS($AO$1006:BO1006),$AO$1006:$BQ$1006,0)), HYPERLINK("#",""), HYPERLINK(CONCATENATE("#Metadata!", ADDRESS(INDEX($AJ$2:$AJ$1001,MATCH(ROWS($AH$2:AH108),$AH$2:$AH$1001,0),0), INDEX($AO$1004:$BQ$1004,1,MATCH(COLUMNS($AO$1006:BO1006),$AO$1006:$BQ$1006,0)))),"Fix")))</f>
        <v>#N/A</v>
      </c>
      <c r="AC108" s="5" t="e">
        <f ca="1">IF(OR(INDEX($AI$2:$AI$1001,MATCH(ROWS($AH$2:AH108),$AH$2:$AH$1001,0),1)&gt;=100000,INDEX($AO$1005:$BQ$1005,1,MATCH(COLUMNS($AO$1006:BP1006),$AO$1006:$BQ$1006,0))&gt;=100000), " ",IF(INDEX($AO$2:$BQ$1001,MATCH(ROWS($AH$2:AH108),$AH$2:$AH$1001,0),MATCH(COLUMNS($AO$1006:BP1006),$AO$1006:$BQ$1006,0)), HYPERLINK("#",""), HYPERLINK(CONCATENATE("#Metadata!", ADDRESS(INDEX($AJ$2:$AJ$1001,MATCH(ROWS($AH$2:AH108),$AH$2:$AH$1001,0),0), INDEX($AO$1004:$BQ$1004,1,MATCH(COLUMNS($AO$1006:BP1006),$AO$1006:$BQ$1006,0)))),"Fix")))</f>
        <v>#N/A</v>
      </c>
      <c r="AD108" s="5" t="e">
        <f ca="1">IF(OR(INDEX($AI$2:$AI$1001,MATCH(ROWS($AH$2:AH108),$AH$2:$AH$1001,0),1)&gt;=100000,INDEX($AO$1005:$BQ$1005,1,MATCH(COLUMNS($AO$1006:BQ1006),$AO$1006:$BQ$1006,0))&gt;=100000), " ",IF(INDEX($AO$2:$BQ$1001,MATCH(ROWS($AH$2:AH108),$AH$2:$AH$1001,0),MATCH(COLUMNS($AO$1006:BQ1006),$AO$1006:$BQ$1006,0)), HYPERLINK("#",""), HYPERLINK(CONCATENATE("#Metadata!", ADDRESS(INDEX($AJ$2:$AJ$1001,MATCH(ROWS($AH$2:AH108),$AH$2:$AH$1001,0),0), INDEX($AO$1004:$BQ$1004,1,MATCH(COLUMNS($AO$1006:BQ1006),$AO$1006:$BQ$1006,0)))),"Fix")))</f>
        <v>#REF!</v>
      </c>
      <c r="AH108">
        <f ca="1"/>
        <v>105</v>
      </c>
      <c r="AI108">
        <v>100108</v>
      </c>
      <c r="AJ108">
        <v>108</v>
      </c>
      <c r="AK108" t="b">
        <f t="shared" si="1"/>
        <v>1</v>
      </c>
      <c r="AL108" t="b">
        <f>COUNTBLANK(Metadata!B108:AD108)=COLUMNS(Metadata!B108:AD108)</f>
        <v>1</v>
      </c>
      <c r="AM108" t="str">
        <v/>
      </c>
      <c r="AO108" t="b">
        <f ca="1">AND(IF(Metadata!B108="",FALSE,TRUE),COUNTIF(Metadata!B:B, Metadata!B108) = 1,NOT(ISERROR(SUMPRODUCT(SEARCH(MID(Metadata!B108,ROW(INDIRECT("1:"&amp;LEN(Metadata!B108))), 1),"0123456789abcdefghijklmnopqrstuvwxyzABCDEFGHIJKLMNOPQRSTUVWXYZ.")))))</f>
        <v>0</v>
      </c>
      <c r="AP108" t="b">
        <f>IF(Metadata!C108="",FALSE,TRUE)</f>
        <v>0</v>
      </c>
      <c r="AQ108" t="b">
        <f>IF(Metadata!D108="",FALSE,TRUE)</f>
        <v>0</v>
      </c>
      <c r="AR108" t="b">
        <f ca="1">OR(AND(IF(Metadata!E108="",FALSE,TRUE),OR(EXACT(Metadata!E108,"not collected"),EXACT(Metadata!E108,"not provided"),EXACT(Metadata!E108,"restricted access"))),AND(IF(Metadata!E108="",FALSE,TRUE),AND(AND(IFERROR(INT(LEFT(Metadata!E108,4))&gt;1900,FALSE),IFERROR(INT(LEFT(Metadata!E108,4))&lt;=YEAR(NOW()),FALSE)), OR(MID(Metadata!E108,5,1)="", AND(AND(MID(Metadata!E108,5,1)="-",IFERROR(INT(MID(Metadata!E108,6,1))&gt;=0,FALSE),IFERROR(INT(MID(Metadata!E108,6,1))&lt;=1,FALSE),NOT(MID(Metadata!E108,7,1)=""),IFERROR(INT(MID(Metadata!E108,6,2))&gt;=1,FALSE),IFERROR(INT(MID(Metadata!E108,6,2))&lt;=12,FALSE)), OR(MID(Metadata!E108,8,1)="", AND(AND(MID(Metadata!E108,8,1)="-",IFERROR(INT(MID(Metadata!E108,9,1))&gt;=0,FALSE),IFERROR(INT(MID(Metadata!E108,9,1))&lt;=3,FALSE),NOT(MID(Metadata!E108,10,1)=""),IFERROR(INT(MID(Metadata!E108,9,2))&gt;=1,FALSE),IFERROR(INT(MID(Metadata!E108,9,2))&lt;=31,FALSE)), OR(MID(Metadata!E108,11,1)="", AND(AND(MID(Metadata!E108,11,1)=" ",IFERROR(INT(MID(Metadata!E108,12,1))&gt;=0,FALSE),IFERROR(INT(MID(Metadata!E108,12,1))&lt;=2,FALSE),NOT(MID(Metadata!E108,13,1)=""),IFERROR(INT(MID(Metadata!E108,12,2))&gt;=0,FALSE),IFERROR(INT(MID(Metadata!E108,12,2))&lt;=23,FALSE)), OR(MID(Metadata!E108,14,1)="", AND(AND(MID(Metadata!E108,14,1)=":",IFERROR(INT(MID(Metadata!E108,15,1))&gt;=0,FALSE),IFERROR(INT(MID(Metadata!E108,15,1))&lt;=5,FALSE),NOT(MID(Metadata!E108,16,1)=""),IFERROR(INT(MID(Metadata!E108,15,2))&gt;=0,FALSE),IFERROR(INT(MID(Metadata!E108,15,2))&lt;=59,FALSE)), OR(MID(Metadata!E108,17,1)="", AND(AND(MID(Metadata!E108,17,1)=":",IFERROR(INT(MID(Metadata!E108,18,1))&gt;=0,FALSE),IFERROR(INT(MID(Metadata!E108,18,1))&lt;=5,FALSE),NOT(MID(Metadata!E108,19,1)=""),IFERROR(INT(MID(Metadata!E108,18,2))&gt;=0,FALSE),IFERROR(INT(MID(Metadata!E108,18,2))&lt;=59,FALSE)), LEN(Metadata!E108)&lt;=19)))))))))))))</f>
        <v>0</v>
      </c>
      <c r="AS108" t="b">
        <f>IF(Metadata!F108="",FALSE,TRUE)</f>
        <v>0</v>
      </c>
      <c r="AT108" t="b">
        <f>OR(AND(IF(Metadata!G108="",FALSE,TRUE),OR(EXACT(Metadata!G108,"not collected"),EXACT(Metadata!G108,"not provided"))),AND(IF(Metadata!G108="",FALSE,TRUE),OR(EXACT(Metadata!G108,"TRUE"),EXACT(Metadata!G108,"FALSE"))))</f>
        <v>0</v>
      </c>
      <c r="AU108" t="b">
        <f>OR(AND(IF(Metadata!H108="",FALSE,TRUE),OR(EXACT(Metadata!H108,"not collected"),EXACT(Metadata!H108,"not provided"),EXACT(Metadata!H108,"restricted access"))),AND(IF(Metadata!H108="",FALSE,ISNUMBER(VALUE(Metadata!H108))),Metadata!H108&gt;=-413))</f>
        <v>0</v>
      </c>
      <c r="AV108" t="b">
        <f>AND(IF(Metadata!I108="",FALSE,TRUE),EXACT(Metadata!I108,"meters"))</f>
        <v>0</v>
      </c>
      <c r="AW108" t="b">
        <f>AND(IF(Metadata!J108="",FALSE,TRUE),EXACT(Metadata!J108,"free-living"))</f>
        <v>0</v>
      </c>
      <c r="AX108" t="b">
        <f>AND(IF(Metadata!K108="",FALSE,TRUE),OR(EXACT(Metadata!K108,"saline"),EXACT(Metadata!K108,"non-saline")))</f>
        <v>0</v>
      </c>
      <c r="AY108" t="b">
        <f>AND(IF(Metadata!L108="",FALSE,TRUE),OR(EXACT(Metadata!L108,"sub-surface (non-saline)"),EXACT(Metadata!L108,"surface (non-saline)"),EXACT(Metadata!L108,"water (non-saline)"),EXACT(Metadata!L108,"soil (non-saline)"),EXACT(Metadata!L108,"aerosol (non-saline)"),EXACT(Metadata!L108,"sediment (non-saline)"),EXACT(Metadata!L108,"surface (saline)"),EXACT(Metadata!L108,"water (saline)"),EXACT(Metadata!L108,"hypersaline (saline)"),EXACT(Metadata!L108,"aerosol (saline)"),EXACT(Metadata!L108,"sediment (saline)")))</f>
        <v>0</v>
      </c>
      <c r="AZ108" t="b">
        <f>IF(Metadata!M108="",FALSE,TRUE)</f>
        <v>0</v>
      </c>
      <c r="BA108" t="b">
        <f>IF(Metadata!N108="",FALSE,TRUE)</f>
        <v>0</v>
      </c>
      <c r="BB108" t="b">
        <f>IF(Metadata!O108="",FALSE,TRUE)</f>
        <v>0</v>
      </c>
      <c r="BC108" t="b">
        <f>AND(IF(Metadata!P108="",FALSE,TRUE),OR(EXACT(Metadata!P108,"air"),EXACT(Metadata!P108,"microbial mat/biofilm"),EXACT(Metadata!P108,"misc environment"),EXACT(Metadata!P108,"sediment"),EXACT(Metadata!P108,"soil"),EXACT(Metadata!P108,"wastewater/sludge"),EXACT(Metadata!P108,"water")))</f>
        <v>0</v>
      </c>
      <c r="BD108" t="b">
        <f>IF(Metadata!Q108="",FALSE,TRUE)</f>
        <v>0</v>
      </c>
      <c r="BE108" t="b">
        <f>IF(Metadata!R108="",FALSE,TRUE)</f>
        <v>0</v>
      </c>
      <c r="BF108" t="b">
        <f>OR(AND(IF(Metadata!S108="",FALSE,TRUE),OR(EXACT(Metadata!S108,"not collected"),EXACT(Metadata!S108,"not provided"),EXACT(Metadata!S108,"restricted access"))),AND(IF(Metadata!S108="",FALSE,ISNUMBER(VALUE(Metadata!S108))),Metadata!S108&gt;=-90,Metadata!S108&lt;=90))</f>
        <v>0</v>
      </c>
      <c r="BG108" t="b">
        <f>AND(IF(Metadata!T108="",FALSE,TRUE),EXACT(Metadata!T108,"Decimal degrees"))</f>
        <v>0</v>
      </c>
      <c r="BH108" t="b">
        <f>OR(AND(IF(Metadata!U108="",FALSE,TRUE),OR(EXACT(Metadata!U108,"not applicable"),EXACT(Metadata!U108,"not collected"))),IF(Metadata!U108="",FALSE,TRUE))</f>
        <v>0</v>
      </c>
      <c r="BI108" t="b">
        <f>OR(AND(IF(Metadata!V108="",FALSE,TRUE),OR(EXACT(Metadata!V108,"not collected"),EXACT(Metadata!V108,"not provided"),EXACT(Metadata!V108,"restricted access"))),AND(IF(Metadata!V108="",FALSE,ISNUMBER(VALUE(Metadata!V108))),Metadata!V108&gt;=-180,Metadata!V108&lt;=180))</f>
        <v>0</v>
      </c>
      <c r="BJ108" t="b">
        <f>AND(IF(Metadata!W108="",FALSE,TRUE),EXACT(Metadata!W108,"Decimal degrees"))</f>
        <v>0</v>
      </c>
      <c r="BK108" t="b">
        <f>IF(Metadata!X108="",FALSE,TRUE)</f>
        <v>0</v>
      </c>
      <c r="BL108" t="b">
        <f>OR(AND(IF(Metadata!Y108="",FALSE,TRUE),OR(EXACT(Metadata!Y108,"not collected"),EXACT(Metadata!Y108,"not provided"),EXACT(Metadata!Y108,"restricted access"))),AND(IF(Metadata!Y108="",FALSE,TRUE),OR(EXACT(Metadata!Y108,"TRUE"),EXACT(Metadata!Y108,"FALSE"))))</f>
        <v>0</v>
      </c>
      <c r="BM108" t="b">
        <f>OR(AND(IF(Metadata!Z108="",FALSE,TRUE),EXACT(Metadata!Z108,"not applicable")),AND(IF(Metadata!Z108="",FALSE,TRUE),OR(EXACT(Metadata!Z108,"beer"),EXACT(Metadata!Z108,"cheese"),EXACT(Metadata!Z108,"fresh water"),EXACT(Metadata!Z108,"marine sediment"),EXACT(Metadata!Z108,"sea water"),EXACT(Metadata!Z108,"sediment"),EXACT(Metadata!Z108,"soil"),EXACT(Metadata!Z108,"waste water"))))</f>
        <v>0</v>
      </c>
      <c r="BN108" t="b">
        <f>AND(IF(Metadata!AA108="",FALSE,TRUE),EXACT(Metadata!AA108,"metagenome"))</f>
        <v>0</v>
      </c>
      <c r="BO108" t="b">
        <f>AND(IF(Metadata!AB108="",FALSE,TRUE),EXACT(Metadata!AB108,"256318"))</f>
        <v>0</v>
      </c>
      <c r="BP108" t="b">
        <f>IF(Metadata!AC108="",FALSE,TRUE)</f>
        <v>0</v>
      </c>
      <c r="BQ108" t="b">
        <f>IF(Metadata!AD108="",FALSE,TRUE)</f>
        <v>0</v>
      </c>
    </row>
    <row r="109" spans="1:69" x14ac:dyDescent="0.2">
      <c r="A109" s="4" t="e">
        <f ca="1">IF(B109=" "," ",HYPERLINK(CONCATENATE("#metadata!",ADDRESS(INDEX($AJ$2:$AJ$1001,MATCH(ROWS($AH$2:AH109),$AH$2:$AH$1001,0),0),2)),INDEX($AM$2:$AM$1001,MATCH(ROWS($AH$2:AH109),$AH$2:$AH$1001,0),0)))</f>
        <v>#N/A</v>
      </c>
      <c r="B109" s="5" t="e">
        <f ca="1">IF(OR(INDEX($AI$2:$AI$1001,MATCH(ROWS($AH$2:AH109),$AH$2:$AH$1001,0),1)&gt;=100000,INDEX($AO$1005:$BQ$1005,1,MATCH(COLUMNS($AO$1006:AO1006),$AO$1006:$BQ$1006,0))&gt;=100000), " ",IF(INDEX($AO$2:$BQ$1001,MATCH(ROWS($AH$2:AH109),$AH$2:$AH$1001,0),MATCH(COLUMNS($AO$1006:AO1006),$AO$1006:$BQ$1006,0)), HYPERLINK("#",""), HYPERLINK(CONCATENATE("#Metadata!", ADDRESS(INDEX($AJ$2:$AJ$1001,MATCH(ROWS($AH$2:AH109),$AH$2:$AH$1001,0),0), INDEX($AO$1004:$BQ$1004,1,MATCH(COLUMNS($AO$1006:AO1006),$AO$1006:$BQ$1006,0)))),"Fix")))</f>
        <v>#N/A</v>
      </c>
      <c r="C109" s="5" t="e">
        <f ca="1">IF(OR(INDEX($AI$2:$AI$1001,MATCH(ROWS($AH$2:AH109),$AH$2:$AH$1001,0),1)&gt;=100000,INDEX($AO$1005:$BQ$1005,1,MATCH(COLUMNS($AO$1006:AP1006),$AO$1006:$BQ$1006,0))&gt;=100000), " ",IF(INDEX($AO$2:$BQ$1001,MATCH(ROWS($AH$2:AH109),$AH$2:$AH$1001,0),MATCH(COLUMNS($AO$1006:AP1006),$AO$1006:$BQ$1006,0)), HYPERLINK("#",""), HYPERLINK(CONCATENATE("#Metadata!", ADDRESS(INDEX($AJ$2:$AJ$1001,MATCH(ROWS($AH$2:AH109),$AH$2:$AH$1001,0),0), INDEX($AO$1004:$BQ$1004,1,MATCH(COLUMNS($AO$1006:AP1006),$AO$1006:$BQ$1006,0)))),"Fix")))</f>
        <v>#N/A</v>
      </c>
      <c r="D109" s="5" t="e">
        <f ca="1">IF(OR(INDEX($AI$2:$AI$1001,MATCH(ROWS($AH$2:AH109),$AH$2:$AH$1001,0),1)&gt;=100000,INDEX($AO$1005:$BQ$1005,1,MATCH(COLUMNS($AO$1006:AQ1006),$AO$1006:$BQ$1006,0))&gt;=100000), " ",IF(INDEX($AO$2:$BQ$1001,MATCH(ROWS($AH$2:AH109),$AH$2:$AH$1001,0),MATCH(COLUMNS($AO$1006:AQ1006),$AO$1006:$BQ$1006,0)), HYPERLINK("#",""), HYPERLINK(CONCATENATE("#Metadata!", ADDRESS(INDEX($AJ$2:$AJ$1001,MATCH(ROWS($AH$2:AH109),$AH$2:$AH$1001,0),0), INDEX($AO$1004:$BQ$1004,1,MATCH(COLUMNS($AO$1006:AQ1006),$AO$1006:$BQ$1006,0)))),"Fix")))</f>
        <v>#N/A</v>
      </c>
      <c r="E109" s="5" t="e">
        <f ca="1">IF(OR(INDEX($AI$2:$AI$1001,MATCH(ROWS($AH$2:AH109),$AH$2:$AH$1001,0),1)&gt;=100000,INDEX($AO$1005:$BQ$1005,1,MATCH(COLUMNS($AO$1006:AR1006),$AO$1006:$BQ$1006,0))&gt;=100000), " ",IF(INDEX($AO$2:$BQ$1001,MATCH(ROWS($AH$2:AH109),$AH$2:$AH$1001,0),MATCH(COLUMNS($AO$1006:AR1006),$AO$1006:$BQ$1006,0)), HYPERLINK("#",""), HYPERLINK(CONCATENATE("#Metadata!", ADDRESS(INDEX($AJ$2:$AJ$1001,MATCH(ROWS($AH$2:AH109),$AH$2:$AH$1001,0),0), INDEX($AO$1004:$BQ$1004,1,MATCH(COLUMNS($AO$1006:AR1006),$AO$1006:$BQ$1006,0)))),"Fix")))</f>
        <v>#N/A</v>
      </c>
      <c r="F109" s="5" t="e">
        <f ca="1">IF(OR(INDEX($AI$2:$AI$1001,MATCH(ROWS($AH$2:AH109),$AH$2:$AH$1001,0),1)&gt;=100000,INDEX($AO$1005:$BQ$1005,1,MATCH(COLUMNS($AO$1006:AS1006),$AO$1006:$BQ$1006,0))&gt;=100000), " ",IF(INDEX($AO$2:$BQ$1001,MATCH(ROWS($AH$2:AH109),$AH$2:$AH$1001,0),MATCH(COLUMNS($AO$1006:AS1006),$AO$1006:$BQ$1006,0)), HYPERLINK("#",""), HYPERLINK(CONCATENATE("#Metadata!", ADDRESS(INDEX($AJ$2:$AJ$1001,MATCH(ROWS($AH$2:AH109),$AH$2:$AH$1001,0),0), INDEX($AO$1004:$BQ$1004,1,MATCH(COLUMNS($AO$1006:AS1006),$AO$1006:$BQ$1006,0)))),"Fix")))</f>
        <v>#N/A</v>
      </c>
      <c r="G109" s="5" t="e">
        <f ca="1">IF(OR(INDEX($AI$2:$AI$1001,MATCH(ROWS($AH$2:AH109),$AH$2:$AH$1001,0),1)&gt;=100000,INDEX($AO$1005:$BQ$1005,1,MATCH(COLUMNS($AO$1006:AT1006),$AO$1006:$BQ$1006,0))&gt;=100000), " ",IF(INDEX($AO$2:$BQ$1001,MATCH(ROWS($AH$2:AH109),$AH$2:$AH$1001,0),MATCH(COLUMNS($AO$1006:AT1006),$AO$1006:$BQ$1006,0)), HYPERLINK("#",""), HYPERLINK(CONCATENATE("#Metadata!", ADDRESS(INDEX($AJ$2:$AJ$1001,MATCH(ROWS($AH$2:AH109),$AH$2:$AH$1001,0),0), INDEX($AO$1004:$BQ$1004,1,MATCH(COLUMNS($AO$1006:AT1006),$AO$1006:$BQ$1006,0)))),"Fix")))</f>
        <v>#N/A</v>
      </c>
      <c r="H109" s="5" t="e">
        <f ca="1">IF(OR(INDEX($AI$2:$AI$1001,MATCH(ROWS($AH$2:AH109),$AH$2:$AH$1001,0),1)&gt;=100000,INDEX($AO$1005:$BQ$1005,1,MATCH(COLUMNS($AO$1006:AU1006),$AO$1006:$BQ$1006,0))&gt;=100000), " ",IF(INDEX($AO$2:$BQ$1001,MATCH(ROWS($AH$2:AH109),$AH$2:$AH$1001,0),MATCH(COLUMNS($AO$1006:AU1006),$AO$1006:$BQ$1006,0)), HYPERLINK("#",""), HYPERLINK(CONCATENATE("#Metadata!", ADDRESS(INDEX($AJ$2:$AJ$1001,MATCH(ROWS($AH$2:AH109),$AH$2:$AH$1001,0),0), INDEX($AO$1004:$BQ$1004,1,MATCH(COLUMNS($AO$1006:AU1006),$AO$1006:$BQ$1006,0)))),"Fix")))</f>
        <v>#N/A</v>
      </c>
      <c r="I109" s="5" t="e">
        <f ca="1">IF(OR(INDEX($AI$2:$AI$1001,MATCH(ROWS($AH$2:AH109),$AH$2:$AH$1001,0),1)&gt;=100000,INDEX($AO$1005:$BQ$1005,1,MATCH(COLUMNS($AO$1006:AV1006),$AO$1006:$BQ$1006,0))&gt;=100000), " ",IF(INDEX($AO$2:$BQ$1001,MATCH(ROWS($AH$2:AH109),$AH$2:$AH$1001,0),MATCH(COLUMNS($AO$1006:AV1006),$AO$1006:$BQ$1006,0)), HYPERLINK("#",""), HYPERLINK(CONCATENATE("#Metadata!", ADDRESS(INDEX($AJ$2:$AJ$1001,MATCH(ROWS($AH$2:AH109),$AH$2:$AH$1001,0),0), INDEX($AO$1004:$BQ$1004,1,MATCH(COLUMNS($AO$1006:AV1006),$AO$1006:$BQ$1006,0)))),"Fix")))</f>
        <v>#N/A</v>
      </c>
      <c r="J109" s="5" t="e">
        <f ca="1">IF(OR(INDEX($AI$2:$AI$1001,MATCH(ROWS($AH$2:AH109),$AH$2:$AH$1001,0),1)&gt;=100000,INDEX($AO$1005:$BQ$1005,1,MATCH(COLUMNS($AO$1006:AW1006),$AO$1006:$BQ$1006,0))&gt;=100000), " ",IF(INDEX($AO$2:$BQ$1001,MATCH(ROWS($AH$2:AH109),$AH$2:$AH$1001,0),MATCH(COLUMNS($AO$1006:AW1006),$AO$1006:$BQ$1006,0)), HYPERLINK("#",""), HYPERLINK(CONCATENATE("#Metadata!", ADDRESS(INDEX($AJ$2:$AJ$1001,MATCH(ROWS($AH$2:AH109),$AH$2:$AH$1001,0),0), INDEX($AO$1004:$BQ$1004,1,MATCH(COLUMNS($AO$1006:AW1006),$AO$1006:$BQ$1006,0)))),"Fix")))</f>
        <v>#N/A</v>
      </c>
      <c r="K109" s="5" t="e">
        <f ca="1">IF(OR(INDEX($AI$2:$AI$1001,MATCH(ROWS($AH$2:AH109),$AH$2:$AH$1001,0),1)&gt;=100000,INDEX($AO$1005:$BQ$1005,1,MATCH(COLUMNS($AO$1006:AX1006),$AO$1006:$BQ$1006,0))&gt;=100000), " ",IF(INDEX($AO$2:$BQ$1001,MATCH(ROWS($AH$2:AH109),$AH$2:$AH$1001,0),MATCH(COLUMNS($AO$1006:AX1006),$AO$1006:$BQ$1006,0)), HYPERLINK("#",""), HYPERLINK(CONCATENATE("#Metadata!", ADDRESS(INDEX($AJ$2:$AJ$1001,MATCH(ROWS($AH$2:AH109),$AH$2:$AH$1001,0),0), INDEX($AO$1004:$BQ$1004,1,MATCH(COLUMNS($AO$1006:AX1006),$AO$1006:$BQ$1006,0)))),"Fix")))</f>
        <v>#N/A</v>
      </c>
      <c r="L109" s="5" t="e">
        <f ca="1">IF(OR(INDEX($AI$2:$AI$1001,MATCH(ROWS($AH$2:AH109),$AH$2:$AH$1001,0),1)&gt;=100000,INDEX($AO$1005:$BQ$1005,1,MATCH(COLUMNS($AO$1006:AY1006),$AO$1006:$BQ$1006,0))&gt;=100000), " ",IF(INDEX($AO$2:$BQ$1001,MATCH(ROWS($AH$2:AH109),$AH$2:$AH$1001,0),MATCH(COLUMNS($AO$1006:AY1006),$AO$1006:$BQ$1006,0)), HYPERLINK("#",""), HYPERLINK(CONCATENATE("#Metadata!", ADDRESS(INDEX($AJ$2:$AJ$1001,MATCH(ROWS($AH$2:AH109),$AH$2:$AH$1001,0),0), INDEX($AO$1004:$BQ$1004,1,MATCH(COLUMNS($AO$1006:AY1006),$AO$1006:$BQ$1006,0)))),"Fix")))</f>
        <v>#N/A</v>
      </c>
      <c r="M109" s="5" t="e">
        <f ca="1">IF(OR(INDEX($AI$2:$AI$1001,MATCH(ROWS($AH$2:AH109),$AH$2:$AH$1001,0),1)&gt;=100000,INDEX($AO$1005:$BQ$1005,1,MATCH(COLUMNS($AO$1006:AZ1006),$AO$1006:$BQ$1006,0))&gt;=100000), " ",IF(INDEX($AO$2:$BQ$1001,MATCH(ROWS($AH$2:AH109),$AH$2:$AH$1001,0),MATCH(COLUMNS($AO$1006:AZ1006),$AO$1006:$BQ$1006,0)), HYPERLINK("#",""), HYPERLINK(CONCATENATE("#Metadata!", ADDRESS(INDEX($AJ$2:$AJ$1001,MATCH(ROWS($AH$2:AH109),$AH$2:$AH$1001,0),0), INDEX($AO$1004:$BQ$1004,1,MATCH(COLUMNS($AO$1006:AZ1006),$AO$1006:$BQ$1006,0)))),"Fix")))</f>
        <v>#N/A</v>
      </c>
      <c r="N109" s="5" t="e">
        <f ca="1">IF(OR(INDEX($AI$2:$AI$1001,MATCH(ROWS($AH$2:AH109),$AH$2:$AH$1001,0),1)&gt;=100000,INDEX($AO$1005:$BQ$1005,1,MATCH(COLUMNS($AO$1006:BA1006),$AO$1006:$BQ$1006,0))&gt;=100000), " ",IF(INDEX($AO$2:$BQ$1001,MATCH(ROWS($AH$2:AH109),$AH$2:$AH$1001,0),MATCH(COLUMNS($AO$1006:BA1006),$AO$1006:$BQ$1006,0)), HYPERLINK("#",""), HYPERLINK(CONCATENATE("#Metadata!", ADDRESS(INDEX($AJ$2:$AJ$1001,MATCH(ROWS($AH$2:AH109),$AH$2:$AH$1001,0),0), INDEX($AO$1004:$BQ$1004,1,MATCH(COLUMNS($AO$1006:BA1006),$AO$1006:$BQ$1006,0)))),"Fix")))</f>
        <v>#N/A</v>
      </c>
      <c r="O109" s="5" t="e">
        <f ca="1">IF(OR(INDEX($AI$2:$AI$1001,MATCH(ROWS($AH$2:AH109),$AH$2:$AH$1001,0),1)&gt;=100000,INDEX($AO$1005:$BQ$1005,1,MATCH(COLUMNS($AO$1006:BB1006),$AO$1006:$BQ$1006,0))&gt;=100000), " ",IF(INDEX($AO$2:$BQ$1001,MATCH(ROWS($AH$2:AH109),$AH$2:$AH$1001,0),MATCH(COLUMNS($AO$1006:BB1006),$AO$1006:$BQ$1006,0)), HYPERLINK("#",""), HYPERLINK(CONCATENATE("#Metadata!", ADDRESS(INDEX($AJ$2:$AJ$1001,MATCH(ROWS($AH$2:AH109),$AH$2:$AH$1001,0),0), INDEX($AO$1004:$BQ$1004,1,MATCH(COLUMNS($AO$1006:BB1006),$AO$1006:$BQ$1006,0)))),"Fix")))</f>
        <v>#N/A</v>
      </c>
      <c r="P109" s="5" t="e">
        <f ca="1">IF(OR(INDEX($AI$2:$AI$1001,MATCH(ROWS($AH$2:AH109),$AH$2:$AH$1001,0),1)&gt;=100000,INDEX($AO$1005:$BQ$1005,1,MATCH(COLUMNS($AO$1006:BC1006),$AO$1006:$BQ$1006,0))&gt;=100000), " ",IF(INDEX($AO$2:$BQ$1001,MATCH(ROWS($AH$2:AH109),$AH$2:$AH$1001,0),MATCH(COLUMNS($AO$1006:BC1006),$AO$1006:$BQ$1006,0)), HYPERLINK("#",""), HYPERLINK(CONCATENATE("#Metadata!", ADDRESS(INDEX($AJ$2:$AJ$1001,MATCH(ROWS($AH$2:AH109),$AH$2:$AH$1001,0),0), INDEX($AO$1004:$BQ$1004,1,MATCH(COLUMNS($AO$1006:BC1006),$AO$1006:$BQ$1006,0)))),"Fix")))</f>
        <v>#N/A</v>
      </c>
      <c r="Q109" s="5" t="e">
        <f ca="1">IF(OR(INDEX($AI$2:$AI$1001,MATCH(ROWS($AH$2:AH109),$AH$2:$AH$1001,0),1)&gt;=100000,INDEX($AO$1005:$BQ$1005,1,MATCH(COLUMNS($AO$1006:BD1006),$AO$1006:$BQ$1006,0))&gt;=100000), " ",IF(INDEX($AO$2:$BQ$1001,MATCH(ROWS($AH$2:AH109),$AH$2:$AH$1001,0),MATCH(COLUMNS($AO$1006:BD1006),$AO$1006:$BQ$1006,0)), HYPERLINK("#",""), HYPERLINK(CONCATENATE("#Metadata!", ADDRESS(INDEX($AJ$2:$AJ$1001,MATCH(ROWS($AH$2:AH109),$AH$2:$AH$1001,0),0), INDEX($AO$1004:$BQ$1004,1,MATCH(COLUMNS($AO$1006:BD1006),$AO$1006:$BQ$1006,0)))),"Fix")))</f>
        <v>#N/A</v>
      </c>
      <c r="R109" s="5" t="e">
        <f ca="1">IF(OR(INDEX($AI$2:$AI$1001,MATCH(ROWS($AH$2:AH109),$AH$2:$AH$1001,0),1)&gt;=100000,INDEX($AO$1005:$BQ$1005,1,MATCH(COLUMNS($AO$1006:BE1006),$AO$1006:$BQ$1006,0))&gt;=100000), " ",IF(INDEX($AO$2:$BQ$1001,MATCH(ROWS($AH$2:AH109),$AH$2:$AH$1001,0),MATCH(COLUMNS($AO$1006:BE1006),$AO$1006:$BQ$1006,0)), HYPERLINK("#",""), HYPERLINK(CONCATENATE("#Metadata!", ADDRESS(INDEX($AJ$2:$AJ$1001,MATCH(ROWS($AH$2:AH109),$AH$2:$AH$1001,0),0), INDEX($AO$1004:$BQ$1004,1,MATCH(COLUMNS($AO$1006:BE1006),$AO$1006:$BQ$1006,0)))),"Fix")))</f>
        <v>#N/A</v>
      </c>
      <c r="S109" s="5" t="e">
        <f ca="1">IF(OR(INDEX($AI$2:$AI$1001,MATCH(ROWS($AH$2:AH109),$AH$2:$AH$1001,0),1)&gt;=100000,INDEX($AO$1005:$BQ$1005,1,MATCH(COLUMNS($AO$1006:BF1006),$AO$1006:$BQ$1006,0))&gt;=100000), " ",IF(INDEX($AO$2:$BQ$1001,MATCH(ROWS($AH$2:AH109),$AH$2:$AH$1001,0),MATCH(COLUMNS($AO$1006:BF1006),$AO$1006:$BQ$1006,0)), HYPERLINK("#",""), HYPERLINK(CONCATENATE("#Metadata!", ADDRESS(INDEX($AJ$2:$AJ$1001,MATCH(ROWS($AH$2:AH109),$AH$2:$AH$1001,0),0), INDEX($AO$1004:$BQ$1004,1,MATCH(COLUMNS($AO$1006:BF1006),$AO$1006:$BQ$1006,0)))),"Fix")))</f>
        <v>#N/A</v>
      </c>
      <c r="T109" s="5" t="e">
        <f ca="1">IF(OR(INDEX($AI$2:$AI$1001,MATCH(ROWS($AH$2:AH109),$AH$2:$AH$1001,0),1)&gt;=100000,INDEX($AO$1005:$BQ$1005,1,MATCH(COLUMNS($AO$1006:BG1006),$AO$1006:$BQ$1006,0))&gt;=100000), " ",IF(INDEX($AO$2:$BQ$1001,MATCH(ROWS($AH$2:AH109),$AH$2:$AH$1001,0),MATCH(COLUMNS($AO$1006:BG1006),$AO$1006:$BQ$1006,0)), HYPERLINK("#",""), HYPERLINK(CONCATENATE("#Metadata!", ADDRESS(INDEX($AJ$2:$AJ$1001,MATCH(ROWS($AH$2:AH109),$AH$2:$AH$1001,0),0), INDEX($AO$1004:$BQ$1004,1,MATCH(COLUMNS($AO$1006:BG1006),$AO$1006:$BQ$1006,0)))),"Fix")))</f>
        <v>#N/A</v>
      </c>
      <c r="U109" s="5" t="e">
        <f ca="1">IF(OR(INDEX($AI$2:$AI$1001,MATCH(ROWS($AH$2:AH109),$AH$2:$AH$1001,0),1)&gt;=100000,INDEX($AO$1005:$BQ$1005,1,MATCH(COLUMNS($AO$1006:BH1006),$AO$1006:$BQ$1006,0))&gt;=100000), " ",IF(INDEX($AO$2:$BQ$1001,MATCH(ROWS($AH$2:AH109),$AH$2:$AH$1001,0),MATCH(COLUMNS($AO$1006:BH1006),$AO$1006:$BQ$1006,0)), HYPERLINK("#",""), HYPERLINK(CONCATENATE("#Metadata!", ADDRESS(INDEX($AJ$2:$AJ$1001,MATCH(ROWS($AH$2:AH109),$AH$2:$AH$1001,0),0), INDEX($AO$1004:$BQ$1004,1,MATCH(COLUMNS($AO$1006:BH1006),$AO$1006:$BQ$1006,0)))),"Fix")))</f>
        <v>#N/A</v>
      </c>
      <c r="V109" s="5" t="e">
        <f ca="1">IF(OR(INDEX($AI$2:$AI$1001,MATCH(ROWS($AH$2:AH109),$AH$2:$AH$1001,0),1)&gt;=100000,INDEX($AO$1005:$BQ$1005,1,MATCH(COLUMNS($AO$1006:BI1006),$AO$1006:$BQ$1006,0))&gt;=100000), " ",IF(INDEX($AO$2:$BQ$1001,MATCH(ROWS($AH$2:AH109),$AH$2:$AH$1001,0),MATCH(COLUMNS($AO$1006:BI1006),$AO$1006:$BQ$1006,0)), HYPERLINK("#",""), HYPERLINK(CONCATENATE("#Metadata!", ADDRESS(INDEX($AJ$2:$AJ$1001,MATCH(ROWS($AH$2:AH109),$AH$2:$AH$1001,0),0), INDEX($AO$1004:$BQ$1004,1,MATCH(COLUMNS($AO$1006:BI1006),$AO$1006:$BQ$1006,0)))),"Fix")))</f>
        <v>#N/A</v>
      </c>
      <c r="W109" s="5" t="e">
        <f ca="1">IF(OR(INDEX($AI$2:$AI$1001,MATCH(ROWS($AH$2:AH109),$AH$2:$AH$1001,0),1)&gt;=100000,INDEX($AO$1005:$BQ$1005,1,MATCH(COLUMNS($AO$1006:BJ1006),$AO$1006:$BQ$1006,0))&gt;=100000), " ",IF(INDEX($AO$2:$BQ$1001,MATCH(ROWS($AH$2:AH109),$AH$2:$AH$1001,0),MATCH(COLUMNS($AO$1006:BJ1006),$AO$1006:$BQ$1006,0)), HYPERLINK("#",""), HYPERLINK(CONCATENATE("#Metadata!", ADDRESS(INDEX($AJ$2:$AJ$1001,MATCH(ROWS($AH$2:AH109),$AH$2:$AH$1001,0),0), INDEX($AO$1004:$BQ$1004,1,MATCH(COLUMNS($AO$1006:BJ1006),$AO$1006:$BQ$1006,0)))),"Fix")))</f>
        <v>#N/A</v>
      </c>
      <c r="X109" s="5" t="e">
        <f ca="1">IF(OR(INDEX($AI$2:$AI$1001,MATCH(ROWS($AH$2:AH109),$AH$2:$AH$1001,0),1)&gt;=100000,INDEX($AO$1005:$BQ$1005,1,MATCH(COLUMNS($AO$1006:BK1006),$AO$1006:$BQ$1006,0))&gt;=100000), " ",IF(INDEX($AO$2:$BQ$1001,MATCH(ROWS($AH$2:AH109),$AH$2:$AH$1001,0),MATCH(COLUMNS($AO$1006:BK1006),$AO$1006:$BQ$1006,0)), HYPERLINK("#",""), HYPERLINK(CONCATENATE("#Metadata!", ADDRESS(INDEX($AJ$2:$AJ$1001,MATCH(ROWS($AH$2:AH109),$AH$2:$AH$1001,0),0), INDEX($AO$1004:$BQ$1004,1,MATCH(COLUMNS($AO$1006:BK1006),$AO$1006:$BQ$1006,0)))),"Fix")))</f>
        <v>#N/A</v>
      </c>
      <c r="Y109" s="5" t="e">
        <f ca="1">IF(OR(INDEX($AI$2:$AI$1001,MATCH(ROWS($AH$2:AH109),$AH$2:$AH$1001,0),1)&gt;=100000,INDEX($AO$1005:$BQ$1005,1,MATCH(COLUMNS($AO$1006:BL1006),$AO$1006:$BQ$1006,0))&gt;=100000), " ",IF(INDEX($AO$2:$BQ$1001,MATCH(ROWS($AH$2:AH109),$AH$2:$AH$1001,0),MATCH(COLUMNS($AO$1006:BL1006),$AO$1006:$BQ$1006,0)), HYPERLINK("#",""), HYPERLINK(CONCATENATE("#Metadata!", ADDRESS(INDEX($AJ$2:$AJ$1001,MATCH(ROWS($AH$2:AH109),$AH$2:$AH$1001,0),0), INDEX($AO$1004:$BQ$1004,1,MATCH(COLUMNS($AO$1006:BL1006),$AO$1006:$BQ$1006,0)))),"Fix")))</f>
        <v>#N/A</v>
      </c>
      <c r="Z109" s="5" t="e">
        <f ca="1">IF(OR(INDEX($AI$2:$AI$1001,MATCH(ROWS($AH$2:AH109),$AH$2:$AH$1001,0),1)&gt;=100000,INDEX($AO$1005:$BQ$1005,1,MATCH(COLUMNS($AO$1006:BM1006),$AO$1006:$BQ$1006,0))&gt;=100000), " ",IF(INDEX($AO$2:$BQ$1001,MATCH(ROWS($AH$2:AH109),$AH$2:$AH$1001,0),MATCH(COLUMNS($AO$1006:BM1006),$AO$1006:$BQ$1006,0)), HYPERLINK("#",""), HYPERLINK(CONCATENATE("#Metadata!", ADDRESS(INDEX($AJ$2:$AJ$1001,MATCH(ROWS($AH$2:AH109),$AH$2:$AH$1001,0),0), INDEX($AO$1004:$BQ$1004,1,MATCH(COLUMNS($AO$1006:BM1006),$AO$1006:$BQ$1006,0)))),"Fix")))</f>
        <v>#N/A</v>
      </c>
      <c r="AA109" s="5" t="e">
        <f ca="1">IF(OR(INDEX($AI$2:$AI$1001,MATCH(ROWS($AH$2:AH109),$AH$2:$AH$1001,0),1)&gt;=100000,INDEX($AO$1005:$BQ$1005,1,MATCH(COLUMNS($AO$1006:BN1006),$AO$1006:$BQ$1006,0))&gt;=100000), " ",IF(INDEX($AO$2:$BQ$1001,MATCH(ROWS($AH$2:AH109),$AH$2:$AH$1001,0),MATCH(COLUMNS($AO$1006:BN1006),$AO$1006:$BQ$1006,0)), HYPERLINK("#",""), HYPERLINK(CONCATENATE("#Metadata!", ADDRESS(INDEX($AJ$2:$AJ$1001,MATCH(ROWS($AH$2:AH109),$AH$2:$AH$1001,0),0), INDEX($AO$1004:$BQ$1004,1,MATCH(COLUMNS($AO$1006:BN1006),$AO$1006:$BQ$1006,0)))),"Fix")))</f>
        <v>#N/A</v>
      </c>
      <c r="AB109" s="5" t="e">
        <f ca="1">IF(OR(INDEX($AI$2:$AI$1001,MATCH(ROWS($AH$2:AH109),$AH$2:$AH$1001,0),1)&gt;=100000,INDEX($AO$1005:$BQ$1005,1,MATCH(COLUMNS($AO$1006:BO1006),$AO$1006:$BQ$1006,0))&gt;=100000), " ",IF(INDEX($AO$2:$BQ$1001,MATCH(ROWS($AH$2:AH109),$AH$2:$AH$1001,0),MATCH(COLUMNS($AO$1006:BO1006),$AO$1006:$BQ$1006,0)), HYPERLINK("#",""), HYPERLINK(CONCATENATE("#Metadata!", ADDRESS(INDEX($AJ$2:$AJ$1001,MATCH(ROWS($AH$2:AH109),$AH$2:$AH$1001,0),0), INDEX($AO$1004:$BQ$1004,1,MATCH(COLUMNS($AO$1006:BO1006),$AO$1006:$BQ$1006,0)))),"Fix")))</f>
        <v>#N/A</v>
      </c>
      <c r="AC109" s="5" t="e">
        <f ca="1">IF(OR(INDEX($AI$2:$AI$1001,MATCH(ROWS($AH$2:AH109),$AH$2:$AH$1001,0),1)&gt;=100000,INDEX($AO$1005:$BQ$1005,1,MATCH(COLUMNS($AO$1006:BP1006),$AO$1006:$BQ$1006,0))&gt;=100000), " ",IF(INDEX($AO$2:$BQ$1001,MATCH(ROWS($AH$2:AH109),$AH$2:$AH$1001,0),MATCH(COLUMNS($AO$1006:BP1006),$AO$1006:$BQ$1006,0)), HYPERLINK("#",""), HYPERLINK(CONCATENATE("#Metadata!", ADDRESS(INDEX($AJ$2:$AJ$1001,MATCH(ROWS($AH$2:AH109),$AH$2:$AH$1001,0),0), INDEX($AO$1004:$BQ$1004,1,MATCH(COLUMNS($AO$1006:BP1006),$AO$1006:$BQ$1006,0)))),"Fix")))</f>
        <v>#N/A</v>
      </c>
      <c r="AD109" s="5" t="e">
        <f ca="1">IF(OR(INDEX($AI$2:$AI$1001,MATCH(ROWS($AH$2:AH109),$AH$2:$AH$1001,0),1)&gt;=100000,INDEX($AO$1005:$BQ$1005,1,MATCH(COLUMNS($AO$1006:BQ1006),$AO$1006:$BQ$1006,0))&gt;=100000), " ",IF(INDEX($AO$2:$BQ$1001,MATCH(ROWS($AH$2:AH109),$AH$2:$AH$1001,0),MATCH(COLUMNS($AO$1006:BQ1006),$AO$1006:$BQ$1006,0)), HYPERLINK("#",""), HYPERLINK(CONCATENATE("#Metadata!", ADDRESS(INDEX($AJ$2:$AJ$1001,MATCH(ROWS($AH$2:AH109),$AH$2:$AH$1001,0),0), INDEX($AO$1004:$BQ$1004,1,MATCH(COLUMNS($AO$1006:BQ1006),$AO$1006:$BQ$1006,0)))),"Fix")))</f>
        <v>#REF!</v>
      </c>
      <c r="AH109">
        <f ca="1"/>
        <v>106</v>
      </c>
      <c r="AI109">
        <v>100109</v>
      </c>
      <c r="AJ109">
        <v>109</v>
      </c>
      <c r="AK109" t="b">
        <f t="shared" si="1"/>
        <v>1</v>
      </c>
      <c r="AL109" t="b">
        <f>COUNTBLANK(Metadata!B109:AD109)=COLUMNS(Metadata!B109:AD109)</f>
        <v>1</v>
      </c>
      <c r="AM109" t="str">
        <v/>
      </c>
      <c r="AO109" t="b">
        <f ca="1">AND(IF(Metadata!B109="",FALSE,TRUE),COUNTIF(Metadata!B:B, Metadata!B109) = 1,NOT(ISERROR(SUMPRODUCT(SEARCH(MID(Metadata!B109,ROW(INDIRECT("1:"&amp;LEN(Metadata!B109))), 1),"0123456789abcdefghijklmnopqrstuvwxyzABCDEFGHIJKLMNOPQRSTUVWXYZ.")))))</f>
        <v>0</v>
      </c>
      <c r="AP109" t="b">
        <f>IF(Metadata!C109="",FALSE,TRUE)</f>
        <v>0</v>
      </c>
      <c r="AQ109" t="b">
        <f>IF(Metadata!D109="",FALSE,TRUE)</f>
        <v>0</v>
      </c>
      <c r="AR109" t="b">
        <f ca="1">OR(AND(IF(Metadata!E109="",FALSE,TRUE),OR(EXACT(Metadata!E109,"not collected"),EXACT(Metadata!E109,"not provided"),EXACT(Metadata!E109,"restricted access"))),AND(IF(Metadata!E109="",FALSE,TRUE),AND(AND(IFERROR(INT(LEFT(Metadata!E109,4))&gt;1900,FALSE),IFERROR(INT(LEFT(Metadata!E109,4))&lt;=YEAR(NOW()),FALSE)), OR(MID(Metadata!E109,5,1)="", AND(AND(MID(Metadata!E109,5,1)="-",IFERROR(INT(MID(Metadata!E109,6,1))&gt;=0,FALSE),IFERROR(INT(MID(Metadata!E109,6,1))&lt;=1,FALSE),NOT(MID(Metadata!E109,7,1)=""),IFERROR(INT(MID(Metadata!E109,6,2))&gt;=1,FALSE),IFERROR(INT(MID(Metadata!E109,6,2))&lt;=12,FALSE)), OR(MID(Metadata!E109,8,1)="", AND(AND(MID(Metadata!E109,8,1)="-",IFERROR(INT(MID(Metadata!E109,9,1))&gt;=0,FALSE),IFERROR(INT(MID(Metadata!E109,9,1))&lt;=3,FALSE),NOT(MID(Metadata!E109,10,1)=""),IFERROR(INT(MID(Metadata!E109,9,2))&gt;=1,FALSE),IFERROR(INT(MID(Metadata!E109,9,2))&lt;=31,FALSE)), OR(MID(Metadata!E109,11,1)="", AND(AND(MID(Metadata!E109,11,1)=" ",IFERROR(INT(MID(Metadata!E109,12,1))&gt;=0,FALSE),IFERROR(INT(MID(Metadata!E109,12,1))&lt;=2,FALSE),NOT(MID(Metadata!E109,13,1)=""),IFERROR(INT(MID(Metadata!E109,12,2))&gt;=0,FALSE),IFERROR(INT(MID(Metadata!E109,12,2))&lt;=23,FALSE)), OR(MID(Metadata!E109,14,1)="", AND(AND(MID(Metadata!E109,14,1)=":",IFERROR(INT(MID(Metadata!E109,15,1))&gt;=0,FALSE),IFERROR(INT(MID(Metadata!E109,15,1))&lt;=5,FALSE),NOT(MID(Metadata!E109,16,1)=""),IFERROR(INT(MID(Metadata!E109,15,2))&gt;=0,FALSE),IFERROR(INT(MID(Metadata!E109,15,2))&lt;=59,FALSE)), OR(MID(Metadata!E109,17,1)="", AND(AND(MID(Metadata!E109,17,1)=":",IFERROR(INT(MID(Metadata!E109,18,1))&gt;=0,FALSE),IFERROR(INT(MID(Metadata!E109,18,1))&lt;=5,FALSE),NOT(MID(Metadata!E109,19,1)=""),IFERROR(INT(MID(Metadata!E109,18,2))&gt;=0,FALSE),IFERROR(INT(MID(Metadata!E109,18,2))&lt;=59,FALSE)), LEN(Metadata!E109)&lt;=19)))))))))))))</f>
        <v>0</v>
      </c>
      <c r="AS109" t="b">
        <f>IF(Metadata!F109="",FALSE,TRUE)</f>
        <v>0</v>
      </c>
      <c r="AT109" t="b">
        <f>OR(AND(IF(Metadata!G109="",FALSE,TRUE),OR(EXACT(Metadata!G109,"not collected"),EXACT(Metadata!G109,"not provided"))),AND(IF(Metadata!G109="",FALSE,TRUE),OR(EXACT(Metadata!G109,"TRUE"),EXACT(Metadata!G109,"FALSE"))))</f>
        <v>0</v>
      </c>
      <c r="AU109" t="b">
        <f>OR(AND(IF(Metadata!H109="",FALSE,TRUE),OR(EXACT(Metadata!H109,"not collected"),EXACT(Metadata!H109,"not provided"),EXACT(Metadata!H109,"restricted access"))),AND(IF(Metadata!H109="",FALSE,ISNUMBER(VALUE(Metadata!H109))),Metadata!H109&gt;=-413))</f>
        <v>0</v>
      </c>
      <c r="AV109" t="b">
        <f>AND(IF(Metadata!I109="",FALSE,TRUE),EXACT(Metadata!I109,"meters"))</f>
        <v>0</v>
      </c>
      <c r="AW109" t="b">
        <f>AND(IF(Metadata!J109="",FALSE,TRUE),EXACT(Metadata!J109,"free-living"))</f>
        <v>0</v>
      </c>
      <c r="AX109" t="b">
        <f>AND(IF(Metadata!K109="",FALSE,TRUE),OR(EXACT(Metadata!K109,"saline"),EXACT(Metadata!K109,"non-saline")))</f>
        <v>0</v>
      </c>
      <c r="AY109" t="b">
        <f>AND(IF(Metadata!L109="",FALSE,TRUE),OR(EXACT(Metadata!L109,"sub-surface (non-saline)"),EXACT(Metadata!L109,"surface (non-saline)"),EXACT(Metadata!L109,"water (non-saline)"),EXACT(Metadata!L109,"soil (non-saline)"),EXACT(Metadata!L109,"aerosol (non-saline)"),EXACT(Metadata!L109,"sediment (non-saline)"),EXACT(Metadata!L109,"surface (saline)"),EXACT(Metadata!L109,"water (saline)"),EXACT(Metadata!L109,"hypersaline (saline)"),EXACT(Metadata!L109,"aerosol (saline)"),EXACT(Metadata!L109,"sediment (saline)")))</f>
        <v>0</v>
      </c>
      <c r="AZ109" t="b">
        <f>IF(Metadata!M109="",FALSE,TRUE)</f>
        <v>0</v>
      </c>
      <c r="BA109" t="b">
        <f>IF(Metadata!N109="",FALSE,TRUE)</f>
        <v>0</v>
      </c>
      <c r="BB109" t="b">
        <f>IF(Metadata!O109="",FALSE,TRUE)</f>
        <v>0</v>
      </c>
      <c r="BC109" t="b">
        <f>AND(IF(Metadata!P109="",FALSE,TRUE),OR(EXACT(Metadata!P109,"air"),EXACT(Metadata!P109,"microbial mat/biofilm"),EXACT(Metadata!P109,"misc environment"),EXACT(Metadata!P109,"sediment"),EXACT(Metadata!P109,"soil"),EXACT(Metadata!P109,"wastewater/sludge"),EXACT(Metadata!P109,"water")))</f>
        <v>0</v>
      </c>
      <c r="BD109" t="b">
        <f>IF(Metadata!Q109="",FALSE,TRUE)</f>
        <v>0</v>
      </c>
      <c r="BE109" t="b">
        <f>IF(Metadata!R109="",FALSE,TRUE)</f>
        <v>0</v>
      </c>
      <c r="BF109" t="b">
        <f>OR(AND(IF(Metadata!S109="",FALSE,TRUE),OR(EXACT(Metadata!S109,"not collected"),EXACT(Metadata!S109,"not provided"),EXACT(Metadata!S109,"restricted access"))),AND(IF(Metadata!S109="",FALSE,ISNUMBER(VALUE(Metadata!S109))),Metadata!S109&gt;=-90,Metadata!S109&lt;=90))</f>
        <v>0</v>
      </c>
      <c r="BG109" t="b">
        <f>AND(IF(Metadata!T109="",FALSE,TRUE),EXACT(Metadata!T109,"Decimal degrees"))</f>
        <v>0</v>
      </c>
      <c r="BH109" t="b">
        <f>OR(AND(IF(Metadata!U109="",FALSE,TRUE),OR(EXACT(Metadata!U109,"not applicable"),EXACT(Metadata!U109,"not collected"))),IF(Metadata!U109="",FALSE,TRUE))</f>
        <v>0</v>
      </c>
      <c r="BI109" t="b">
        <f>OR(AND(IF(Metadata!V109="",FALSE,TRUE),OR(EXACT(Metadata!V109,"not collected"),EXACT(Metadata!V109,"not provided"),EXACT(Metadata!V109,"restricted access"))),AND(IF(Metadata!V109="",FALSE,ISNUMBER(VALUE(Metadata!V109))),Metadata!V109&gt;=-180,Metadata!V109&lt;=180))</f>
        <v>0</v>
      </c>
      <c r="BJ109" t="b">
        <f>AND(IF(Metadata!W109="",FALSE,TRUE),EXACT(Metadata!W109,"Decimal degrees"))</f>
        <v>0</v>
      </c>
      <c r="BK109" t="b">
        <f>IF(Metadata!X109="",FALSE,TRUE)</f>
        <v>0</v>
      </c>
      <c r="BL109" t="b">
        <f>OR(AND(IF(Metadata!Y109="",FALSE,TRUE),OR(EXACT(Metadata!Y109,"not collected"),EXACT(Metadata!Y109,"not provided"),EXACT(Metadata!Y109,"restricted access"))),AND(IF(Metadata!Y109="",FALSE,TRUE),OR(EXACT(Metadata!Y109,"TRUE"),EXACT(Metadata!Y109,"FALSE"))))</f>
        <v>0</v>
      </c>
      <c r="BM109" t="b">
        <f>OR(AND(IF(Metadata!Z109="",FALSE,TRUE),EXACT(Metadata!Z109,"not applicable")),AND(IF(Metadata!Z109="",FALSE,TRUE),OR(EXACT(Metadata!Z109,"beer"),EXACT(Metadata!Z109,"cheese"),EXACT(Metadata!Z109,"fresh water"),EXACT(Metadata!Z109,"marine sediment"),EXACT(Metadata!Z109,"sea water"),EXACT(Metadata!Z109,"sediment"),EXACT(Metadata!Z109,"soil"),EXACT(Metadata!Z109,"waste water"))))</f>
        <v>0</v>
      </c>
      <c r="BN109" t="b">
        <f>AND(IF(Metadata!AA109="",FALSE,TRUE),EXACT(Metadata!AA109,"metagenome"))</f>
        <v>0</v>
      </c>
      <c r="BO109" t="b">
        <f>AND(IF(Metadata!AB109="",FALSE,TRUE),EXACT(Metadata!AB109,"256318"))</f>
        <v>0</v>
      </c>
      <c r="BP109" t="b">
        <f>IF(Metadata!AC109="",FALSE,TRUE)</f>
        <v>0</v>
      </c>
      <c r="BQ109" t="b">
        <f>IF(Metadata!AD109="",FALSE,TRUE)</f>
        <v>0</v>
      </c>
    </row>
    <row r="110" spans="1:69" x14ac:dyDescent="0.2">
      <c r="A110" s="4" t="e">
        <f ca="1">IF(B110=" "," ",HYPERLINK(CONCATENATE("#metadata!",ADDRESS(INDEX($AJ$2:$AJ$1001,MATCH(ROWS($AH$2:AH110),$AH$2:$AH$1001,0),0),2)),INDEX($AM$2:$AM$1001,MATCH(ROWS($AH$2:AH110),$AH$2:$AH$1001,0),0)))</f>
        <v>#N/A</v>
      </c>
      <c r="B110" s="5" t="e">
        <f ca="1">IF(OR(INDEX($AI$2:$AI$1001,MATCH(ROWS($AH$2:AH110),$AH$2:$AH$1001,0),1)&gt;=100000,INDEX($AO$1005:$BQ$1005,1,MATCH(COLUMNS($AO$1006:AO1006),$AO$1006:$BQ$1006,0))&gt;=100000), " ",IF(INDEX($AO$2:$BQ$1001,MATCH(ROWS($AH$2:AH110),$AH$2:$AH$1001,0),MATCH(COLUMNS($AO$1006:AO1006),$AO$1006:$BQ$1006,0)), HYPERLINK("#",""), HYPERLINK(CONCATENATE("#Metadata!", ADDRESS(INDEX($AJ$2:$AJ$1001,MATCH(ROWS($AH$2:AH110),$AH$2:$AH$1001,0),0), INDEX($AO$1004:$BQ$1004,1,MATCH(COLUMNS($AO$1006:AO1006),$AO$1006:$BQ$1006,0)))),"Fix")))</f>
        <v>#N/A</v>
      </c>
      <c r="C110" s="5" t="e">
        <f ca="1">IF(OR(INDEX($AI$2:$AI$1001,MATCH(ROWS($AH$2:AH110),$AH$2:$AH$1001,0),1)&gt;=100000,INDEX($AO$1005:$BQ$1005,1,MATCH(COLUMNS($AO$1006:AP1006),$AO$1006:$BQ$1006,0))&gt;=100000), " ",IF(INDEX($AO$2:$BQ$1001,MATCH(ROWS($AH$2:AH110),$AH$2:$AH$1001,0),MATCH(COLUMNS($AO$1006:AP1006),$AO$1006:$BQ$1006,0)), HYPERLINK("#",""), HYPERLINK(CONCATENATE("#Metadata!", ADDRESS(INDEX($AJ$2:$AJ$1001,MATCH(ROWS($AH$2:AH110),$AH$2:$AH$1001,0),0), INDEX($AO$1004:$BQ$1004,1,MATCH(COLUMNS($AO$1006:AP1006),$AO$1006:$BQ$1006,0)))),"Fix")))</f>
        <v>#N/A</v>
      </c>
      <c r="D110" s="5" t="e">
        <f ca="1">IF(OR(INDEX($AI$2:$AI$1001,MATCH(ROWS($AH$2:AH110),$AH$2:$AH$1001,0),1)&gt;=100000,INDEX($AO$1005:$BQ$1005,1,MATCH(COLUMNS($AO$1006:AQ1006),$AO$1006:$BQ$1006,0))&gt;=100000), " ",IF(INDEX($AO$2:$BQ$1001,MATCH(ROWS($AH$2:AH110),$AH$2:$AH$1001,0),MATCH(COLUMNS($AO$1006:AQ1006),$AO$1006:$BQ$1006,0)), HYPERLINK("#",""), HYPERLINK(CONCATENATE("#Metadata!", ADDRESS(INDEX($AJ$2:$AJ$1001,MATCH(ROWS($AH$2:AH110),$AH$2:$AH$1001,0),0), INDEX($AO$1004:$BQ$1004,1,MATCH(COLUMNS($AO$1006:AQ1006),$AO$1006:$BQ$1006,0)))),"Fix")))</f>
        <v>#N/A</v>
      </c>
      <c r="E110" s="5" t="e">
        <f ca="1">IF(OR(INDEX($AI$2:$AI$1001,MATCH(ROWS($AH$2:AH110),$AH$2:$AH$1001,0),1)&gt;=100000,INDEX($AO$1005:$BQ$1005,1,MATCH(COLUMNS($AO$1006:AR1006),$AO$1006:$BQ$1006,0))&gt;=100000), " ",IF(INDEX($AO$2:$BQ$1001,MATCH(ROWS($AH$2:AH110),$AH$2:$AH$1001,0),MATCH(COLUMNS($AO$1006:AR1006),$AO$1006:$BQ$1006,0)), HYPERLINK("#",""), HYPERLINK(CONCATENATE("#Metadata!", ADDRESS(INDEX($AJ$2:$AJ$1001,MATCH(ROWS($AH$2:AH110),$AH$2:$AH$1001,0),0), INDEX($AO$1004:$BQ$1004,1,MATCH(COLUMNS($AO$1006:AR1006),$AO$1006:$BQ$1006,0)))),"Fix")))</f>
        <v>#N/A</v>
      </c>
      <c r="F110" s="5" t="e">
        <f ca="1">IF(OR(INDEX($AI$2:$AI$1001,MATCH(ROWS($AH$2:AH110),$AH$2:$AH$1001,0),1)&gt;=100000,INDEX($AO$1005:$BQ$1005,1,MATCH(COLUMNS($AO$1006:AS1006),$AO$1006:$BQ$1006,0))&gt;=100000), " ",IF(INDEX($AO$2:$BQ$1001,MATCH(ROWS($AH$2:AH110),$AH$2:$AH$1001,0),MATCH(COLUMNS($AO$1006:AS1006),$AO$1006:$BQ$1006,0)), HYPERLINK("#",""), HYPERLINK(CONCATENATE("#Metadata!", ADDRESS(INDEX($AJ$2:$AJ$1001,MATCH(ROWS($AH$2:AH110),$AH$2:$AH$1001,0),0), INDEX($AO$1004:$BQ$1004,1,MATCH(COLUMNS($AO$1006:AS1006),$AO$1006:$BQ$1006,0)))),"Fix")))</f>
        <v>#N/A</v>
      </c>
      <c r="G110" s="5" t="e">
        <f ca="1">IF(OR(INDEX($AI$2:$AI$1001,MATCH(ROWS($AH$2:AH110),$AH$2:$AH$1001,0),1)&gt;=100000,INDEX($AO$1005:$BQ$1005,1,MATCH(COLUMNS($AO$1006:AT1006),$AO$1006:$BQ$1006,0))&gt;=100000), " ",IF(INDEX($AO$2:$BQ$1001,MATCH(ROWS($AH$2:AH110),$AH$2:$AH$1001,0),MATCH(COLUMNS($AO$1006:AT1006),$AO$1006:$BQ$1006,0)), HYPERLINK("#",""), HYPERLINK(CONCATENATE("#Metadata!", ADDRESS(INDEX($AJ$2:$AJ$1001,MATCH(ROWS($AH$2:AH110),$AH$2:$AH$1001,0),0), INDEX($AO$1004:$BQ$1004,1,MATCH(COLUMNS($AO$1006:AT1006),$AO$1006:$BQ$1006,0)))),"Fix")))</f>
        <v>#N/A</v>
      </c>
      <c r="H110" s="5" t="e">
        <f ca="1">IF(OR(INDEX($AI$2:$AI$1001,MATCH(ROWS($AH$2:AH110),$AH$2:$AH$1001,0),1)&gt;=100000,INDEX($AO$1005:$BQ$1005,1,MATCH(COLUMNS($AO$1006:AU1006),$AO$1006:$BQ$1006,0))&gt;=100000), " ",IF(INDEX($AO$2:$BQ$1001,MATCH(ROWS($AH$2:AH110),$AH$2:$AH$1001,0),MATCH(COLUMNS($AO$1006:AU1006),$AO$1006:$BQ$1006,0)), HYPERLINK("#",""), HYPERLINK(CONCATENATE("#Metadata!", ADDRESS(INDEX($AJ$2:$AJ$1001,MATCH(ROWS($AH$2:AH110),$AH$2:$AH$1001,0),0), INDEX($AO$1004:$BQ$1004,1,MATCH(COLUMNS($AO$1006:AU1006),$AO$1006:$BQ$1006,0)))),"Fix")))</f>
        <v>#N/A</v>
      </c>
      <c r="I110" s="5" t="e">
        <f ca="1">IF(OR(INDEX($AI$2:$AI$1001,MATCH(ROWS($AH$2:AH110),$AH$2:$AH$1001,0),1)&gt;=100000,INDEX($AO$1005:$BQ$1005,1,MATCH(COLUMNS($AO$1006:AV1006),$AO$1006:$BQ$1006,0))&gt;=100000), " ",IF(INDEX($AO$2:$BQ$1001,MATCH(ROWS($AH$2:AH110),$AH$2:$AH$1001,0),MATCH(COLUMNS($AO$1006:AV1006),$AO$1006:$BQ$1006,0)), HYPERLINK("#",""), HYPERLINK(CONCATENATE("#Metadata!", ADDRESS(INDEX($AJ$2:$AJ$1001,MATCH(ROWS($AH$2:AH110),$AH$2:$AH$1001,0),0), INDEX($AO$1004:$BQ$1004,1,MATCH(COLUMNS($AO$1006:AV1006),$AO$1006:$BQ$1006,0)))),"Fix")))</f>
        <v>#N/A</v>
      </c>
      <c r="J110" s="5" t="e">
        <f ca="1">IF(OR(INDEX($AI$2:$AI$1001,MATCH(ROWS($AH$2:AH110),$AH$2:$AH$1001,0),1)&gt;=100000,INDEX($AO$1005:$BQ$1005,1,MATCH(COLUMNS($AO$1006:AW1006),$AO$1006:$BQ$1006,0))&gt;=100000), " ",IF(INDEX($AO$2:$BQ$1001,MATCH(ROWS($AH$2:AH110),$AH$2:$AH$1001,0),MATCH(COLUMNS($AO$1006:AW1006),$AO$1006:$BQ$1006,0)), HYPERLINK("#",""), HYPERLINK(CONCATENATE("#Metadata!", ADDRESS(INDEX($AJ$2:$AJ$1001,MATCH(ROWS($AH$2:AH110),$AH$2:$AH$1001,0),0), INDEX($AO$1004:$BQ$1004,1,MATCH(COLUMNS($AO$1006:AW1006),$AO$1006:$BQ$1006,0)))),"Fix")))</f>
        <v>#N/A</v>
      </c>
      <c r="K110" s="5" t="e">
        <f ca="1">IF(OR(INDEX($AI$2:$AI$1001,MATCH(ROWS($AH$2:AH110),$AH$2:$AH$1001,0),1)&gt;=100000,INDEX($AO$1005:$BQ$1005,1,MATCH(COLUMNS($AO$1006:AX1006),$AO$1006:$BQ$1006,0))&gt;=100000), " ",IF(INDEX($AO$2:$BQ$1001,MATCH(ROWS($AH$2:AH110),$AH$2:$AH$1001,0),MATCH(COLUMNS($AO$1006:AX1006),$AO$1006:$BQ$1006,0)), HYPERLINK("#",""), HYPERLINK(CONCATENATE("#Metadata!", ADDRESS(INDEX($AJ$2:$AJ$1001,MATCH(ROWS($AH$2:AH110),$AH$2:$AH$1001,0),0), INDEX($AO$1004:$BQ$1004,1,MATCH(COLUMNS($AO$1006:AX1006),$AO$1006:$BQ$1006,0)))),"Fix")))</f>
        <v>#N/A</v>
      </c>
      <c r="L110" s="5" t="e">
        <f ca="1">IF(OR(INDEX($AI$2:$AI$1001,MATCH(ROWS($AH$2:AH110),$AH$2:$AH$1001,0),1)&gt;=100000,INDEX($AO$1005:$BQ$1005,1,MATCH(COLUMNS($AO$1006:AY1006),$AO$1006:$BQ$1006,0))&gt;=100000), " ",IF(INDEX($AO$2:$BQ$1001,MATCH(ROWS($AH$2:AH110),$AH$2:$AH$1001,0),MATCH(COLUMNS($AO$1006:AY1006),$AO$1006:$BQ$1006,0)), HYPERLINK("#",""), HYPERLINK(CONCATENATE("#Metadata!", ADDRESS(INDEX($AJ$2:$AJ$1001,MATCH(ROWS($AH$2:AH110),$AH$2:$AH$1001,0),0), INDEX($AO$1004:$BQ$1004,1,MATCH(COLUMNS($AO$1006:AY1006),$AO$1006:$BQ$1006,0)))),"Fix")))</f>
        <v>#N/A</v>
      </c>
      <c r="M110" s="5" t="e">
        <f ca="1">IF(OR(INDEX($AI$2:$AI$1001,MATCH(ROWS($AH$2:AH110),$AH$2:$AH$1001,0),1)&gt;=100000,INDEX($AO$1005:$BQ$1005,1,MATCH(COLUMNS($AO$1006:AZ1006),$AO$1006:$BQ$1006,0))&gt;=100000), " ",IF(INDEX($AO$2:$BQ$1001,MATCH(ROWS($AH$2:AH110),$AH$2:$AH$1001,0),MATCH(COLUMNS($AO$1006:AZ1006),$AO$1006:$BQ$1006,0)), HYPERLINK("#",""), HYPERLINK(CONCATENATE("#Metadata!", ADDRESS(INDEX($AJ$2:$AJ$1001,MATCH(ROWS($AH$2:AH110),$AH$2:$AH$1001,0),0), INDEX($AO$1004:$BQ$1004,1,MATCH(COLUMNS($AO$1006:AZ1006),$AO$1006:$BQ$1006,0)))),"Fix")))</f>
        <v>#N/A</v>
      </c>
      <c r="N110" s="5" t="e">
        <f ca="1">IF(OR(INDEX($AI$2:$AI$1001,MATCH(ROWS($AH$2:AH110),$AH$2:$AH$1001,0),1)&gt;=100000,INDEX($AO$1005:$BQ$1005,1,MATCH(COLUMNS($AO$1006:BA1006),$AO$1006:$BQ$1006,0))&gt;=100000), " ",IF(INDEX($AO$2:$BQ$1001,MATCH(ROWS($AH$2:AH110),$AH$2:$AH$1001,0),MATCH(COLUMNS($AO$1006:BA1006),$AO$1006:$BQ$1006,0)), HYPERLINK("#",""), HYPERLINK(CONCATENATE("#Metadata!", ADDRESS(INDEX($AJ$2:$AJ$1001,MATCH(ROWS($AH$2:AH110),$AH$2:$AH$1001,0),0), INDEX($AO$1004:$BQ$1004,1,MATCH(COLUMNS($AO$1006:BA1006),$AO$1006:$BQ$1006,0)))),"Fix")))</f>
        <v>#N/A</v>
      </c>
      <c r="O110" s="5" t="e">
        <f ca="1">IF(OR(INDEX($AI$2:$AI$1001,MATCH(ROWS($AH$2:AH110),$AH$2:$AH$1001,0),1)&gt;=100000,INDEX($AO$1005:$BQ$1005,1,MATCH(COLUMNS($AO$1006:BB1006),$AO$1006:$BQ$1006,0))&gt;=100000), " ",IF(INDEX($AO$2:$BQ$1001,MATCH(ROWS($AH$2:AH110),$AH$2:$AH$1001,0),MATCH(COLUMNS($AO$1006:BB1006),$AO$1006:$BQ$1006,0)), HYPERLINK("#",""), HYPERLINK(CONCATENATE("#Metadata!", ADDRESS(INDEX($AJ$2:$AJ$1001,MATCH(ROWS($AH$2:AH110),$AH$2:$AH$1001,0),0), INDEX($AO$1004:$BQ$1004,1,MATCH(COLUMNS($AO$1006:BB1006),$AO$1006:$BQ$1006,0)))),"Fix")))</f>
        <v>#N/A</v>
      </c>
      <c r="P110" s="5" t="e">
        <f ca="1">IF(OR(INDEX($AI$2:$AI$1001,MATCH(ROWS($AH$2:AH110),$AH$2:$AH$1001,0),1)&gt;=100000,INDEX($AO$1005:$BQ$1005,1,MATCH(COLUMNS($AO$1006:BC1006),$AO$1006:$BQ$1006,0))&gt;=100000), " ",IF(INDEX($AO$2:$BQ$1001,MATCH(ROWS($AH$2:AH110),$AH$2:$AH$1001,0),MATCH(COLUMNS($AO$1006:BC1006),$AO$1006:$BQ$1006,0)), HYPERLINK("#",""), HYPERLINK(CONCATENATE("#Metadata!", ADDRESS(INDEX($AJ$2:$AJ$1001,MATCH(ROWS($AH$2:AH110),$AH$2:$AH$1001,0),0), INDEX($AO$1004:$BQ$1004,1,MATCH(COLUMNS($AO$1006:BC1006),$AO$1006:$BQ$1006,0)))),"Fix")))</f>
        <v>#N/A</v>
      </c>
      <c r="Q110" s="5" t="e">
        <f ca="1">IF(OR(INDEX($AI$2:$AI$1001,MATCH(ROWS($AH$2:AH110),$AH$2:$AH$1001,0),1)&gt;=100000,INDEX($AO$1005:$BQ$1005,1,MATCH(COLUMNS($AO$1006:BD1006),$AO$1006:$BQ$1006,0))&gt;=100000), " ",IF(INDEX($AO$2:$BQ$1001,MATCH(ROWS($AH$2:AH110),$AH$2:$AH$1001,0),MATCH(COLUMNS($AO$1006:BD1006),$AO$1006:$BQ$1006,0)), HYPERLINK("#",""), HYPERLINK(CONCATENATE("#Metadata!", ADDRESS(INDEX($AJ$2:$AJ$1001,MATCH(ROWS($AH$2:AH110),$AH$2:$AH$1001,0),0), INDEX($AO$1004:$BQ$1004,1,MATCH(COLUMNS($AO$1006:BD1006),$AO$1006:$BQ$1006,0)))),"Fix")))</f>
        <v>#N/A</v>
      </c>
      <c r="R110" s="5" t="e">
        <f ca="1">IF(OR(INDEX($AI$2:$AI$1001,MATCH(ROWS($AH$2:AH110),$AH$2:$AH$1001,0),1)&gt;=100000,INDEX($AO$1005:$BQ$1005,1,MATCH(COLUMNS($AO$1006:BE1006),$AO$1006:$BQ$1006,0))&gt;=100000), " ",IF(INDEX($AO$2:$BQ$1001,MATCH(ROWS($AH$2:AH110),$AH$2:$AH$1001,0),MATCH(COLUMNS($AO$1006:BE1006),$AO$1006:$BQ$1006,0)), HYPERLINK("#",""), HYPERLINK(CONCATENATE("#Metadata!", ADDRESS(INDEX($AJ$2:$AJ$1001,MATCH(ROWS($AH$2:AH110),$AH$2:$AH$1001,0),0), INDEX($AO$1004:$BQ$1004,1,MATCH(COLUMNS($AO$1006:BE1006),$AO$1006:$BQ$1006,0)))),"Fix")))</f>
        <v>#N/A</v>
      </c>
      <c r="S110" s="5" t="e">
        <f ca="1">IF(OR(INDEX($AI$2:$AI$1001,MATCH(ROWS($AH$2:AH110),$AH$2:$AH$1001,0),1)&gt;=100000,INDEX($AO$1005:$BQ$1005,1,MATCH(COLUMNS($AO$1006:BF1006),$AO$1006:$BQ$1006,0))&gt;=100000), " ",IF(INDEX($AO$2:$BQ$1001,MATCH(ROWS($AH$2:AH110),$AH$2:$AH$1001,0),MATCH(COLUMNS($AO$1006:BF1006),$AO$1006:$BQ$1006,0)), HYPERLINK("#",""), HYPERLINK(CONCATENATE("#Metadata!", ADDRESS(INDEX($AJ$2:$AJ$1001,MATCH(ROWS($AH$2:AH110),$AH$2:$AH$1001,0),0), INDEX($AO$1004:$BQ$1004,1,MATCH(COLUMNS($AO$1006:BF1006),$AO$1006:$BQ$1006,0)))),"Fix")))</f>
        <v>#N/A</v>
      </c>
      <c r="T110" s="5" t="e">
        <f ca="1">IF(OR(INDEX($AI$2:$AI$1001,MATCH(ROWS($AH$2:AH110),$AH$2:$AH$1001,0),1)&gt;=100000,INDEX($AO$1005:$BQ$1005,1,MATCH(COLUMNS($AO$1006:BG1006),$AO$1006:$BQ$1006,0))&gt;=100000), " ",IF(INDEX($AO$2:$BQ$1001,MATCH(ROWS($AH$2:AH110),$AH$2:$AH$1001,0),MATCH(COLUMNS($AO$1006:BG1006),$AO$1006:$BQ$1006,0)), HYPERLINK("#",""), HYPERLINK(CONCATENATE("#Metadata!", ADDRESS(INDEX($AJ$2:$AJ$1001,MATCH(ROWS($AH$2:AH110),$AH$2:$AH$1001,0),0), INDEX($AO$1004:$BQ$1004,1,MATCH(COLUMNS($AO$1006:BG1006),$AO$1006:$BQ$1006,0)))),"Fix")))</f>
        <v>#N/A</v>
      </c>
      <c r="U110" s="5" t="e">
        <f ca="1">IF(OR(INDEX($AI$2:$AI$1001,MATCH(ROWS($AH$2:AH110),$AH$2:$AH$1001,0),1)&gt;=100000,INDEX($AO$1005:$BQ$1005,1,MATCH(COLUMNS($AO$1006:BH1006),$AO$1006:$BQ$1006,0))&gt;=100000), " ",IF(INDEX($AO$2:$BQ$1001,MATCH(ROWS($AH$2:AH110),$AH$2:$AH$1001,0),MATCH(COLUMNS($AO$1006:BH1006),$AO$1006:$BQ$1006,0)), HYPERLINK("#",""), HYPERLINK(CONCATENATE("#Metadata!", ADDRESS(INDEX($AJ$2:$AJ$1001,MATCH(ROWS($AH$2:AH110),$AH$2:$AH$1001,0),0), INDEX($AO$1004:$BQ$1004,1,MATCH(COLUMNS($AO$1006:BH1006),$AO$1006:$BQ$1006,0)))),"Fix")))</f>
        <v>#N/A</v>
      </c>
      <c r="V110" s="5" t="e">
        <f ca="1">IF(OR(INDEX($AI$2:$AI$1001,MATCH(ROWS($AH$2:AH110),$AH$2:$AH$1001,0),1)&gt;=100000,INDEX($AO$1005:$BQ$1005,1,MATCH(COLUMNS($AO$1006:BI1006),$AO$1006:$BQ$1006,0))&gt;=100000), " ",IF(INDEX($AO$2:$BQ$1001,MATCH(ROWS($AH$2:AH110),$AH$2:$AH$1001,0),MATCH(COLUMNS($AO$1006:BI1006),$AO$1006:$BQ$1006,0)), HYPERLINK("#",""), HYPERLINK(CONCATENATE("#Metadata!", ADDRESS(INDEX($AJ$2:$AJ$1001,MATCH(ROWS($AH$2:AH110),$AH$2:$AH$1001,0),0), INDEX($AO$1004:$BQ$1004,1,MATCH(COLUMNS($AO$1006:BI1006),$AO$1006:$BQ$1006,0)))),"Fix")))</f>
        <v>#N/A</v>
      </c>
      <c r="W110" s="5" t="e">
        <f ca="1">IF(OR(INDEX($AI$2:$AI$1001,MATCH(ROWS($AH$2:AH110),$AH$2:$AH$1001,0),1)&gt;=100000,INDEX($AO$1005:$BQ$1005,1,MATCH(COLUMNS($AO$1006:BJ1006),$AO$1006:$BQ$1006,0))&gt;=100000), " ",IF(INDEX($AO$2:$BQ$1001,MATCH(ROWS($AH$2:AH110),$AH$2:$AH$1001,0),MATCH(COLUMNS($AO$1006:BJ1006),$AO$1006:$BQ$1006,0)), HYPERLINK("#",""), HYPERLINK(CONCATENATE("#Metadata!", ADDRESS(INDEX($AJ$2:$AJ$1001,MATCH(ROWS($AH$2:AH110),$AH$2:$AH$1001,0),0), INDEX($AO$1004:$BQ$1004,1,MATCH(COLUMNS($AO$1006:BJ1006),$AO$1006:$BQ$1006,0)))),"Fix")))</f>
        <v>#N/A</v>
      </c>
      <c r="X110" s="5" t="e">
        <f ca="1">IF(OR(INDEX($AI$2:$AI$1001,MATCH(ROWS($AH$2:AH110),$AH$2:$AH$1001,0),1)&gt;=100000,INDEX($AO$1005:$BQ$1005,1,MATCH(COLUMNS($AO$1006:BK1006),$AO$1006:$BQ$1006,0))&gt;=100000), " ",IF(INDEX($AO$2:$BQ$1001,MATCH(ROWS($AH$2:AH110),$AH$2:$AH$1001,0),MATCH(COLUMNS($AO$1006:BK1006),$AO$1006:$BQ$1006,0)), HYPERLINK("#",""), HYPERLINK(CONCATENATE("#Metadata!", ADDRESS(INDEX($AJ$2:$AJ$1001,MATCH(ROWS($AH$2:AH110),$AH$2:$AH$1001,0),0), INDEX($AO$1004:$BQ$1004,1,MATCH(COLUMNS($AO$1006:BK1006),$AO$1006:$BQ$1006,0)))),"Fix")))</f>
        <v>#N/A</v>
      </c>
      <c r="Y110" s="5" t="e">
        <f ca="1">IF(OR(INDEX($AI$2:$AI$1001,MATCH(ROWS($AH$2:AH110),$AH$2:$AH$1001,0),1)&gt;=100000,INDEX($AO$1005:$BQ$1005,1,MATCH(COLUMNS($AO$1006:BL1006),$AO$1006:$BQ$1006,0))&gt;=100000), " ",IF(INDEX($AO$2:$BQ$1001,MATCH(ROWS($AH$2:AH110),$AH$2:$AH$1001,0),MATCH(COLUMNS($AO$1006:BL1006),$AO$1006:$BQ$1006,0)), HYPERLINK("#",""), HYPERLINK(CONCATENATE("#Metadata!", ADDRESS(INDEX($AJ$2:$AJ$1001,MATCH(ROWS($AH$2:AH110),$AH$2:$AH$1001,0),0), INDEX($AO$1004:$BQ$1004,1,MATCH(COLUMNS($AO$1006:BL1006),$AO$1006:$BQ$1006,0)))),"Fix")))</f>
        <v>#N/A</v>
      </c>
      <c r="Z110" s="5" t="e">
        <f ca="1">IF(OR(INDEX($AI$2:$AI$1001,MATCH(ROWS($AH$2:AH110),$AH$2:$AH$1001,0),1)&gt;=100000,INDEX($AO$1005:$BQ$1005,1,MATCH(COLUMNS($AO$1006:BM1006),$AO$1006:$BQ$1006,0))&gt;=100000), " ",IF(INDEX($AO$2:$BQ$1001,MATCH(ROWS($AH$2:AH110),$AH$2:$AH$1001,0),MATCH(COLUMNS($AO$1006:BM1006),$AO$1006:$BQ$1006,0)), HYPERLINK("#",""), HYPERLINK(CONCATENATE("#Metadata!", ADDRESS(INDEX($AJ$2:$AJ$1001,MATCH(ROWS($AH$2:AH110),$AH$2:$AH$1001,0),0), INDEX($AO$1004:$BQ$1004,1,MATCH(COLUMNS($AO$1006:BM1006),$AO$1006:$BQ$1006,0)))),"Fix")))</f>
        <v>#N/A</v>
      </c>
      <c r="AA110" s="5" t="e">
        <f ca="1">IF(OR(INDEX($AI$2:$AI$1001,MATCH(ROWS($AH$2:AH110),$AH$2:$AH$1001,0),1)&gt;=100000,INDEX($AO$1005:$BQ$1005,1,MATCH(COLUMNS($AO$1006:BN1006),$AO$1006:$BQ$1006,0))&gt;=100000), " ",IF(INDEX($AO$2:$BQ$1001,MATCH(ROWS($AH$2:AH110),$AH$2:$AH$1001,0),MATCH(COLUMNS($AO$1006:BN1006),$AO$1006:$BQ$1006,0)), HYPERLINK("#",""), HYPERLINK(CONCATENATE("#Metadata!", ADDRESS(INDEX($AJ$2:$AJ$1001,MATCH(ROWS($AH$2:AH110),$AH$2:$AH$1001,0),0), INDEX($AO$1004:$BQ$1004,1,MATCH(COLUMNS($AO$1006:BN1006),$AO$1006:$BQ$1006,0)))),"Fix")))</f>
        <v>#N/A</v>
      </c>
      <c r="AB110" s="5" t="e">
        <f ca="1">IF(OR(INDEX($AI$2:$AI$1001,MATCH(ROWS($AH$2:AH110),$AH$2:$AH$1001,0),1)&gt;=100000,INDEX($AO$1005:$BQ$1005,1,MATCH(COLUMNS($AO$1006:BO1006),$AO$1006:$BQ$1006,0))&gt;=100000), " ",IF(INDEX($AO$2:$BQ$1001,MATCH(ROWS($AH$2:AH110),$AH$2:$AH$1001,0),MATCH(COLUMNS($AO$1006:BO1006),$AO$1006:$BQ$1006,0)), HYPERLINK("#",""), HYPERLINK(CONCATENATE("#Metadata!", ADDRESS(INDEX($AJ$2:$AJ$1001,MATCH(ROWS($AH$2:AH110),$AH$2:$AH$1001,0),0), INDEX($AO$1004:$BQ$1004,1,MATCH(COLUMNS($AO$1006:BO1006),$AO$1006:$BQ$1006,0)))),"Fix")))</f>
        <v>#N/A</v>
      </c>
      <c r="AC110" s="5" t="e">
        <f ca="1">IF(OR(INDEX($AI$2:$AI$1001,MATCH(ROWS($AH$2:AH110),$AH$2:$AH$1001,0),1)&gt;=100000,INDEX($AO$1005:$BQ$1005,1,MATCH(COLUMNS($AO$1006:BP1006),$AO$1006:$BQ$1006,0))&gt;=100000), " ",IF(INDEX($AO$2:$BQ$1001,MATCH(ROWS($AH$2:AH110),$AH$2:$AH$1001,0),MATCH(COLUMNS($AO$1006:BP1006),$AO$1006:$BQ$1006,0)), HYPERLINK("#",""), HYPERLINK(CONCATENATE("#Metadata!", ADDRESS(INDEX($AJ$2:$AJ$1001,MATCH(ROWS($AH$2:AH110),$AH$2:$AH$1001,0),0), INDEX($AO$1004:$BQ$1004,1,MATCH(COLUMNS($AO$1006:BP1006),$AO$1006:$BQ$1006,0)))),"Fix")))</f>
        <v>#N/A</v>
      </c>
      <c r="AD110" s="5" t="e">
        <f ca="1">IF(OR(INDEX($AI$2:$AI$1001,MATCH(ROWS($AH$2:AH110),$AH$2:$AH$1001,0),1)&gt;=100000,INDEX($AO$1005:$BQ$1005,1,MATCH(COLUMNS($AO$1006:BQ1006),$AO$1006:$BQ$1006,0))&gt;=100000), " ",IF(INDEX($AO$2:$BQ$1001,MATCH(ROWS($AH$2:AH110),$AH$2:$AH$1001,0),MATCH(COLUMNS($AO$1006:BQ1006),$AO$1006:$BQ$1006,0)), HYPERLINK("#",""), HYPERLINK(CONCATENATE("#Metadata!", ADDRESS(INDEX($AJ$2:$AJ$1001,MATCH(ROWS($AH$2:AH110),$AH$2:$AH$1001,0),0), INDEX($AO$1004:$BQ$1004,1,MATCH(COLUMNS($AO$1006:BQ1006),$AO$1006:$BQ$1006,0)))),"Fix")))</f>
        <v>#REF!</v>
      </c>
      <c r="AH110">
        <f ca="1"/>
        <v>107</v>
      </c>
      <c r="AI110">
        <v>100110</v>
      </c>
      <c r="AJ110">
        <v>110</v>
      </c>
      <c r="AK110" t="b">
        <f t="shared" si="1"/>
        <v>1</v>
      </c>
      <c r="AL110" t="b">
        <f>COUNTBLANK(Metadata!B110:AD110)=COLUMNS(Metadata!B110:AD110)</f>
        <v>1</v>
      </c>
      <c r="AM110" t="str">
        <v/>
      </c>
      <c r="AO110" t="b">
        <f ca="1">AND(IF(Metadata!B110="",FALSE,TRUE),COUNTIF(Metadata!B:B, Metadata!B110) = 1,NOT(ISERROR(SUMPRODUCT(SEARCH(MID(Metadata!B110,ROW(INDIRECT("1:"&amp;LEN(Metadata!B110))), 1),"0123456789abcdefghijklmnopqrstuvwxyzABCDEFGHIJKLMNOPQRSTUVWXYZ.")))))</f>
        <v>0</v>
      </c>
      <c r="AP110" t="b">
        <f>IF(Metadata!C110="",FALSE,TRUE)</f>
        <v>0</v>
      </c>
      <c r="AQ110" t="b">
        <f>IF(Metadata!D110="",FALSE,TRUE)</f>
        <v>0</v>
      </c>
      <c r="AR110" t="b">
        <f ca="1">OR(AND(IF(Metadata!E110="",FALSE,TRUE),OR(EXACT(Metadata!E110,"not collected"),EXACT(Metadata!E110,"not provided"),EXACT(Metadata!E110,"restricted access"))),AND(IF(Metadata!E110="",FALSE,TRUE),AND(AND(IFERROR(INT(LEFT(Metadata!E110,4))&gt;1900,FALSE),IFERROR(INT(LEFT(Metadata!E110,4))&lt;=YEAR(NOW()),FALSE)), OR(MID(Metadata!E110,5,1)="", AND(AND(MID(Metadata!E110,5,1)="-",IFERROR(INT(MID(Metadata!E110,6,1))&gt;=0,FALSE),IFERROR(INT(MID(Metadata!E110,6,1))&lt;=1,FALSE),NOT(MID(Metadata!E110,7,1)=""),IFERROR(INT(MID(Metadata!E110,6,2))&gt;=1,FALSE),IFERROR(INT(MID(Metadata!E110,6,2))&lt;=12,FALSE)), OR(MID(Metadata!E110,8,1)="", AND(AND(MID(Metadata!E110,8,1)="-",IFERROR(INT(MID(Metadata!E110,9,1))&gt;=0,FALSE),IFERROR(INT(MID(Metadata!E110,9,1))&lt;=3,FALSE),NOT(MID(Metadata!E110,10,1)=""),IFERROR(INT(MID(Metadata!E110,9,2))&gt;=1,FALSE),IFERROR(INT(MID(Metadata!E110,9,2))&lt;=31,FALSE)), OR(MID(Metadata!E110,11,1)="", AND(AND(MID(Metadata!E110,11,1)=" ",IFERROR(INT(MID(Metadata!E110,12,1))&gt;=0,FALSE),IFERROR(INT(MID(Metadata!E110,12,1))&lt;=2,FALSE),NOT(MID(Metadata!E110,13,1)=""),IFERROR(INT(MID(Metadata!E110,12,2))&gt;=0,FALSE),IFERROR(INT(MID(Metadata!E110,12,2))&lt;=23,FALSE)), OR(MID(Metadata!E110,14,1)="", AND(AND(MID(Metadata!E110,14,1)=":",IFERROR(INT(MID(Metadata!E110,15,1))&gt;=0,FALSE),IFERROR(INT(MID(Metadata!E110,15,1))&lt;=5,FALSE),NOT(MID(Metadata!E110,16,1)=""),IFERROR(INT(MID(Metadata!E110,15,2))&gt;=0,FALSE),IFERROR(INT(MID(Metadata!E110,15,2))&lt;=59,FALSE)), OR(MID(Metadata!E110,17,1)="", AND(AND(MID(Metadata!E110,17,1)=":",IFERROR(INT(MID(Metadata!E110,18,1))&gt;=0,FALSE),IFERROR(INT(MID(Metadata!E110,18,1))&lt;=5,FALSE),NOT(MID(Metadata!E110,19,1)=""),IFERROR(INT(MID(Metadata!E110,18,2))&gt;=0,FALSE),IFERROR(INT(MID(Metadata!E110,18,2))&lt;=59,FALSE)), LEN(Metadata!E110)&lt;=19)))))))))))))</f>
        <v>0</v>
      </c>
      <c r="AS110" t="b">
        <f>IF(Metadata!F110="",FALSE,TRUE)</f>
        <v>0</v>
      </c>
      <c r="AT110" t="b">
        <f>OR(AND(IF(Metadata!G110="",FALSE,TRUE),OR(EXACT(Metadata!G110,"not collected"),EXACT(Metadata!G110,"not provided"))),AND(IF(Metadata!G110="",FALSE,TRUE),OR(EXACT(Metadata!G110,"TRUE"),EXACT(Metadata!G110,"FALSE"))))</f>
        <v>0</v>
      </c>
      <c r="AU110" t="b">
        <f>OR(AND(IF(Metadata!H110="",FALSE,TRUE),OR(EXACT(Metadata!H110,"not collected"),EXACT(Metadata!H110,"not provided"),EXACT(Metadata!H110,"restricted access"))),AND(IF(Metadata!H110="",FALSE,ISNUMBER(VALUE(Metadata!H110))),Metadata!H110&gt;=-413))</f>
        <v>0</v>
      </c>
      <c r="AV110" t="b">
        <f>AND(IF(Metadata!I110="",FALSE,TRUE),EXACT(Metadata!I110,"meters"))</f>
        <v>0</v>
      </c>
      <c r="AW110" t="b">
        <f>AND(IF(Metadata!J110="",FALSE,TRUE),EXACT(Metadata!J110,"free-living"))</f>
        <v>0</v>
      </c>
      <c r="AX110" t="b">
        <f>AND(IF(Metadata!K110="",FALSE,TRUE),OR(EXACT(Metadata!K110,"saline"),EXACT(Metadata!K110,"non-saline")))</f>
        <v>0</v>
      </c>
      <c r="AY110" t="b">
        <f>AND(IF(Metadata!L110="",FALSE,TRUE),OR(EXACT(Metadata!L110,"sub-surface (non-saline)"),EXACT(Metadata!L110,"surface (non-saline)"),EXACT(Metadata!L110,"water (non-saline)"),EXACT(Metadata!L110,"soil (non-saline)"),EXACT(Metadata!L110,"aerosol (non-saline)"),EXACT(Metadata!L110,"sediment (non-saline)"),EXACT(Metadata!L110,"surface (saline)"),EXACT(Metadata!L110,"water (saline)"),EXACT(Metadata!L110,"hypersaline (saline)"),EXACT(Metadata!L110,"aerosol (saline)"),EXACT(Metadata!L110,"sediment (saline)")))</f>
        <v>0</v>
      </c>
      <c r="AZ110" t="b">
        <f>IF(Metadata!M110="",FALSE,TRUE)</f>
        <v>0</v>
      </c>
      <c r="BA110" t="b">
        <f>IF(Metadata!N110="",FALSE,TRUE)</f>
        <v>0</v>
      </c>
      <c r="BB110" t="b">
        <f>IF(Metadata!O110="",FALSE,TRUE)</f>
        <v>0</v>
      </c>
      <c r="BC110" t="b">
        <f>AND(IF(Metadata!P110="",FALSE,TRUE),OR(EXACT(Metadata!P110,"air"),EXACT(Metadata!P110,"microbial mat/biofilm"),EXACT(Metadata!P110,"misc environment"),EXACT(Metadata!P110,"sediment"),EXACT(Metadata!P110,"soil"),EXACT(Metadata!P110,"wastewater/sludge"),EXACT(Metadata!P110,"water")))</f>
        <v>0</v>
      </c>
      <c r="BD110" t="b">
        <f>IF(Metadata!Q110="",FALSE,TRUE)</f>
        <v>0</v>
      </c>
      <c r="BE110" t="b">
        <f>IF(Metadata!R110="",FALSE,TRUE)</f>
        <v>0</v>
      </c>
      <c r="BF110" t="b">
        <f>OR(AND(IF(Metadata!S110="",FALSE,TRUE),OR(EXACT(Metadata!S110,"not collected"),EXACT(Metadata!S110,"not provided"),EXACT(Metadata!S110,"restricted access"))),AND(IF(Metadata!S110="",FALSE,ISNUMBER(VALUE(Metadata!S110))),Metadata!S110&gt;=-90,Metadata!S110&lt;=90))</f>
        <v>0</v>
      </c>
      <c r="BG110" t="b">
        <f>AND(IF(Metadata!T110="",FALSE,TRUE),EXACT(Metadata!T110,"Decimal degrees"))</f>
        <v>0</v>
      </c>
      <c r="BH110" t="b">
        <f>OR(AND(IF(Metadata!U110="",FALSE,TRUE),OR(EXACT(Metadata!U110,"not applicable"),EXACT(Metadata!U110,"not collected"))),IF(Metadata!U110="",FALSE,TRUE))</f>
        <v>0</v>
      </c>
      <c r="BI110" t="b">
        <f>OR(AND(IF(Metadata!V110="",FALSE,TRUE),OR(EXACT(Metadata!V110,"not collected"),EXACT(Metadata!V110,"not provided"),EXACT(Metadata!V110,"restricted access"))),AND(IF(Metadata!V110="",FALSE,ISNUMBER(VALUE(Metadata!V110))),Metadata!V110&gt;=-180,Metadata!V110&lt;=180))</f>
        <v>0</v>
      </c>
      <c r="BJ110" t="b">
        <f>AND(IF(Metadata!W110="",FALSE,TRUE),EXACT(Metadata!W110,"Decimal degrees"))</f>
        <v>0</v>
      </c>
      <c r="BK110" t="b">
        <f>IF(Metadata!X110="",FALSE,TRUE)</f>
        <v>0</v>
      </c>
      <c r="BL110" t="b">
        <f>OR(AND(IF(Metadata!Y110="",FALSE,TRUE),OR(EXACT(Metadata!Y110,"not collected"),EXACT(Metadata!Y110,"not provided"),EXACT(Metadata!Y110,"restricted access"))),AND(IF(Metadata!Y110="",FALSE,TRUE),OR(EXACT(Metadata!Y110,"TRUE"),EXACT(Metadata!Y110,"FALSE"))))</f>
        <v>0</v>
      </c>
      <c r="BM110" t="b">
        <f>OR(AND(IF(Metadata!Z110="",FALSE,TRUE),EXACT(Metadata!Z110,"not applicable")),AND(IF(Metadata!Z110="",FALSE,TRUE),OR(EXACT(Metadata!Z110,"beer"),EXACT(Metadata!Z110,"cheese"),EXACT(Metadata!Z110,"fresh water"),EXACT(Metadata!Z110,"marine sediment"),EXACT(Metadata!Z110,"sea water"),EXACT(Metadata!Z110,"sediment"),EXACT(Metadata!Z110,"soil"),EXACT(Metadata!Z110,"waste water"))))</f>
        <v>0</v>
      </c>
      <c r="BN110" t="b">
        <f>AND(IF(Metadata!AA110="",FALSE,TRUE),EXACT(Metadata!AA110,"metagenome"))</f>
        <v>0</v>
      </c>
      <c r="BO110" t="b">
        <f>AND(IF(Metadata!AB110="",FALSE,TRUE),EXACT(Metadata!AB110,"256318"))</f>
        <v>0</v>
      </c>
      <c r="BP110" t="b">
        <f>IF(Metadata!AC110="",FALSE,TRUE)</f>
        <v>0</v>
      </c>
      <c r="BQ110" t="b">
        <f>IF(Metadata!AD110="",FALSE,TRUE)</f>
        <v>0</v>
      </c>
    </row>
    <row r="111" spans="1:69" x14ac:dyDescent="0.2">
      <c r="A111" s="4" t="e">
        <f ca="1">IF(B111=" "," ",HYPERLINK(CONCATENATE("#metadata!",ADDRESS(INDEX($AJ$2:$AJ$1001,MATCH(ROWS($AH$2:AH111),$AH$2:$AH$1001,0),0),2)),INDEX($AM$2:$AM$1001,MATCH(ROWS($AH$2:AH111),$AH$2:$AH$1001,0),0)))</f>
        <v>#N/A</v>
      </c>
      <c r="B111" s="5" t="e">
        <f ca="1">IF(OR(INDEX($AI$2:$AI$1001,MATCH(ROWS($AH$2:AH111),$AH$2:$AH$1001,0),1)&gt;=100000,INDEX($AO$1005:$BQ$1005,1,MATCH(COLUMNS($AO$1006:AO1006),$AO$1006:$BQ$1006,0))&gt;=100000), " ",IF(INDEX($AO$2:$BQ$1001,MATCH(ROWS($AH$2:AH111),$AH$2:$AH$1001,0),MATCH(COLUMNS($AO$1006:AO1006),$AO$1006:$BQ$1006,0)), HYPERLINK("#",""), HYPERLINK(CONCATENATE("#Metadata!", ADDRESS(INDEX($AJ$2:$AJ$1001,MATCH(ROWS($AH$2:AH111),$AH$2:$AH$1001,0),0), INDEX($AO$1004:$BQ$1004,1,MATCH(COLUMNS($AO$1006:AO1006),$AO$1006:$BQ$1006,0)))),"Fix")))</f>
        <v>#N/A</v>
      </c>
      <c r="C111" s="5" t="e">
        <f ca="1">IF(OR(INDEX($AI$2:$AI$1001,MATCH(ROWS($AH$2:AH111),$AH$2:$AH$1001,0),1)&gt;=100000,INDEX($AO$1005:$BQ$1005,1,MATCH(COLUMNS($AO$1006:AP1006),$AO$1006:$BQ$1006,0))&gt;=100000), " ",IF(INDEX($AO$2:$BQ$1001,MATCH(ROWS($AH$2:AH111),$AH$2:$AH$1001,0),MATCH(COLUMNS($AO$1006:AP1006),$AO$1006:$BQ$1006,0)), HYPERLINK("#",""), HYPERLINK(CONCATENATE("#Metadata!", ADDRESS(INDEX($AJ$2:$AJ$1001,MATCH(ROWS($AH$2:AH111),$AH$2:$AH$1001,0),0), INDEX($AO$1004:$BQ$1004,1,MATCH(COLUMNS($AO$1006:AP1006),$AO$1006:$BQ$1006,0)))),"Fix")))</f>
        <v>#N/A</v>
      </c>
      <c r="D111" s="5" t="e">
        <f ca="1">IF(OR(INDEX($AI$2:$AI$1001,MATCH(ROWS($AH$2:AH111),$AH$2:$AH$1001,0),1)&gt;=100000,INDEX($AO$1005:$BQ$1005,1,MATCH(COLUMNS($AO$1006:AQ1006),$AO$1006:$BQ$1006,0))&gt;=100000), " ",IF(INDEX($AO$2:$BQ$1001,MATCH(ROWS($AH$2:AH111),$AH$2:$AH$1001,0),MATCH(COLUMNS($AO$1006:AQ1006),$AO$1006:$BQ$1006,0)), HYPERLINK("#",""), HYPERLINK(CONCATENATE("#Metadata!", ADDRESS(INDEX($AJ$2:$AJ$1001,MATCH(ROWS($AH$2:AH111),$AH$2:$AH$1001,0),0), INDEX($AO$1004:$BQ$1004,1,MATCH(COLUMNS($AO$1006:AQ1006),$AO$1006:$BQ$1006,0)))),"Fix")))</f>
        <v>#N/A</v>
      </c>
      <c r="E111" s="5" t="e">
        <f ca="1">IF(OR(INDEX($AI$2:$AI$1001,MATCH(ROWS($AH$2:AH111),$AH$2:$AH$1001,0),1)&gt;=100000,INDEX($AO$1005:$BQ$1005,1,MATCH(COLUMNS($AO$1006:AR1006),$AO$1006:$BQ$1006,0))&gt;=100000), " ",IF(INDEX($AO$2:$BQ$1001,MATCH(ROWS($AH$2:AH111),$AH$2:$AH$1001,0),MATCH(COLUMNS($AO$1006:AR1006),$AO$1006:$BQ$1006,0)), HYPERLINK("#",""), HYPERLINK(CONCATENATE("#Metadata!", ADDRESS(INDEX($AJ$2:$AJ$1001,MATCH(ROWS($AH$2:AH111),$AH$2:$AH$1001,0),0), INDEX($AO$1004:$BQ$1004,1,MATCH(COLUMNS($AO$1006:AR1006),$AO$1006:$BQ$1006,0)))),"Fix")))</f>
        <v>#N/A</v>
      </c>
      <c r="F111" s="5" t="e">
        <f ca="1">IF(OR(INDEX($AI$2:$AI$1001,MATCH(ROWS($AH$2:AH111),$AH$2:$AH$1001,0),1)&gt;=100000,INDEX($AO$1005:$BQ$1005,1,MATCH(COLUMNS($AO$1006:AS1006),$AO$1006:$BQ$1006,0))&gt;=100000), " ",IF(INDEX($AO$2:$BQ$1001,MATCH(ROWS($AH$2:AH111),$AH$2:$AH$1001,0),MATCH(COLUMNS($AO$1006:AS1006),$AO$1006:$BQ$1006,0)), HYPERLINK("#",""), HYPERLINK(CONCATENATE("#Metadata!", ADDRESS(INDEX($AJ$2:$AJ$1001,MATCH(ROWS($AH$2:AH111),$AH$2:$AH$1001,0),0), INDEX($AO$1004:$BQ$1004,1,MATCH(COLUMNS($AO$1006:AS1006),$AO$1006:$BQ$1006,0)))),"Fix")))</f>
        <v>#N/A</v>
      </c>
      <c r="G111" s="5" t="e">
        <f ca="1">IF(OR(INDEX($AI$2:$AI$1001,MATCH(ROWS($AH$2:AH111),$AH$2:$AH$1001,0),1)&gt;=100000,INDEX($AO$1005:$BQ$1005,1,MATCH(COLUMNS($AO$1006:AT1006),$AO$1006:$BQ$1006,0))&gt;=100000), " ",IF(INDEX($AO$2:$BQ$1001,MATCH(ROWS($AH$2:AH111),$AH$2:$AH$1001,0),MATCH(COLUMNS($AO$1006:AT1006),$AO$1006:$BQ$1006,0)), HYPERLINK("#",""), HYPERLINK(CONCATENATE("#Metadata!", ADDRESS(INDEX($AJ$2:$AJ$1001,MATCH(ROWS($AH$2:AH111),$AH$2:$AH$1001,0),0), INDEX($AO$1004:$BQ$1004,1,MATCH(COLUMNS($AO$1006:AT1006),$AO$1006:$BQ$1006,0)))),"Fix")))</f>
        <v>#N/A</v>
      </c>
      <c r="H111" s="5" t="e">
        <f ca="1">IF(OR(INDEX($AI$2:$AI$1001,MATCH(ROWS($AH$2:AH111),$AH$2:$AH$1001,0),1)&gt;=100000,INDEX($AO$1005:$BQ$1005,1,MATCH(COLUMNS($AO$1006:AU1006),$AO$1006:$BQ$1006,0))&gt;=100000), " ",IF(INDEX($AO$2:$BQ$1001,MATCH(ROWS($AH$2:AH111),$AH$2:$AH$1001,0),MATCH(COLUMNS($AO$1006:AU1006),$AO$1006:$BQ$1006,0)), HYPERLINK("#",""), HYPERLINK(CONCATENATE("#Metadata!", ADDRESS(INDEX($AJ$2:$AJ$1001,MATCH(ROWS($AH$2:AH111),$AH$2:$AH$1001,0),0), INDEX($AO$1004:$BQ$1004,1,MATCH(COLUMNS($AO$1006:AU1006),$AO$1006:$BQ$1006,0)))),"Fix")))</f>
        <v>#N/A</v>
      </c>
      <c r="I111" s="5" t="e">
        <f ca="1">IF(OR(INDEX($AI$2:$AI$1001,MATCH(ROWS($AH$2:AH111),$AH$2:$AH$1001,0),1)&gt;=100000,INDEX($AO$1005:$BQ$1005,1,MATCH(COLUMNS($AO$1006:AV1006),$AO$1006:$BQ$1006,0))&gt;=100000), " ",IF(INDEX($AO$2:$BQ$1001,MATCH(ROWS($AH$2:AH111),$AH$2:$AH$1001,0),MATCH(COLUMNS($AO$1006:AV1006),$AO$1006:$BQ$1006,0)), HYPERLINK("#",""), HYPERLINK(CONCATENATE("#Metadata!", ADDRESS(INDEX($AJ$2:$AJ$1001,MATCH(ROWS($AH$2:AH111),$AH$2:$AH$1001,0),0), INDEX($AO$1004:$BQ$1004,1,MATCH(COLUMNS($AO$1006:AV1006),$AO$1006:$BQ$1006,0)))),"Fix")))</f>
        <v>#N/A</v>
      </c>
      <c r="J111" s="5" t="e">
        <f ca="1">IF(OR(INDEX($AI$2:$AI$1001,MATCH(ROWS($AH$2:AH111),$AH$2:$AH$1001,0),1)&gt;=100000,INDEX($AO$1005:$BQ$1005,1,MATCH(COLUMNS($AO$1006:AW1006),$AO$1006:$BQ$1006,0))&gt;=100000), " ",IF(INDEX($AO$2:$BQ$1001,MATCH(ROWS($AH$2:AH111),$AH$2:$AH$1001,0),MATCH(COLUMNS($AO$1006:AW1006),$AO$1006:$BQ$1006,0)), HYPERLINK("#",""), HYPERLINK(CONCATENATE("#Metadata!", ADDRESS(INDEX($AJ$2:$AJ$1001,MATCH(ROWS($AH$2:AH111),$AH$2:$AH$1001,0),0), INDEX($AO$1004:$BQ$1004,1,MATCH(COLUMNS($AO$1006:AW1006),$AO$1006:$BQ$1006,0)))),"Fix")))</f>
        <v>#N/A</v>
      </c>
      <c r="K111" s="5" t="e">
        <f ca="1">IF(OR(INDEX($AI$2:$AI$1001,MATCH(ROWS($AH$2:AH111),$AH$2:$AH$1001,0),1)&gt;=100000,INDEX($AO$1005:$BQ$1005,1,MATCH(COLUMNS($AO$1006:AX1006),$AO$1006:$BQ$1006,0))&gt;=100000), " ",IF(INDEX($AO$2:$BQ$1001,MATCH(ROWS($AH$2:AH111),$AH$2:$AH$1001,0),MATCH(COLUMNS($AO$1006:AX1006),$AO$1006:$BQ$1006,0)), HYPERLINK("#",""), HYPERLINK(CONCATENATE("#Metadata!", ADDRESS(INDEX($AJ$2:$AJ$1001,MATCH(ROWS($AH$2:AH111),$AH$2:$AH$1001,0),0), INDEX($AO$1004:$BQ$1004,1,MATCH(COLUMNS($AO$1006:AX1006),$AO$1006:$BQ$1006,0)))),"Fix")))</f>
        <v>#N/A</v>
      </c>
      <c r="L111" s="5" t="e">
        <f ca="1">IF(OR(INDEX($AI$2:$AI$1001,MATCH(ROWS($AH$2:AH111),$AH$2:$AH$1001,0),1)&gt;=100000,INDEX($AO$1005:$BQ$1005,1,MATCH(COLUMNS($AO$1006:AY1006),$AO$1006:$BQ$1006,0))&gt;=100000), " ",IF(INDEX($AO$2:$BQ$1001,MATCH(ROWS($AH$2:AH111),$AH$2:$AH$1001,0),MATCH(COLUMNS($AO$1006:AY1006),$AO$1006:$BQ$1006,0)), HYPERLINK("#",""), HYPERLINK(CONCATENATE("#Metadata!", ADDRESS(INDEX($AJ$2:$AJ$1001,MATCH(ROWS($AH$2:AH111),$AH$2:$AH$1001,0),0), INDEX($AO$1004:$BQ$1004,1,MATCH(COLUMNS($AO$1006:AY1006),$AO$1006:$BQ$1006,0)))),"Fix")))</f>
        <v>#N/A</v>
      </c>
      <c r="M111" s="5" t="e">
        <f ca="1">IF(OR(INDEX($AI$2:$AI$1001,MATCH(ROWS($AH$2:AH111),$AH$2:$AH$1001,0),1)&gt;=100000,INDEX($AO$1005:$BQ$1005,1,MATCH(COLUMNS($AO$1006:AZ1006),$AO$1006:$BQ$1006,0))&gt;=100000), " ",IF(INDEX($AO$2:$BQ$1001,MATCH(ROWS($AH$2:AH111),$AH$2:$AH$1001,0),MATCH(COLUMNS($AO$1006:AZ1006),$AO$1006:$BQ$1006,0)), HYPERLINK("#",""), HYPERLINK(CONCATENATE("#Metadata!", ADDRESS(INDEX($AJ$2:$AJ$1001,MATCH(ROWS($AH$2:AH111),$AH$2:$AH$1001,0),0), INDEX($AO$1004:$BQ$1004,1,MATCH(COLUMNS($AO$1006:AZ1006),$AO$1006:$BQ$1006,0)))),"Fix")))</f>
        <v>#N/A</v>
      </c>
      <c r="N111" s="5" t="e">
        <f ca="1">IF(OR(INDEX($AI$2:$AI$1001,MATCH(ROWS($AH$2:AH111),$AH$2:$AH$1001,0),1)&gt;=100000,INDEX($AO$1005:$BQ$1005,1,MATCH(COLUMNS($AO$1006:BA1006),$AO$1006:$BQ$1006,0))&gt;=100000), " ",IF(INDEX($AO$2:$BQ$1001,MATCH(ROWS($AH$2:AH111),$AH$2:$AH$1001,0),MATCH(COLUMNS($AO$1006:BA1006),$AO$1006:$BQ$1006,0)), HYPERLINK("#",""), HYPERLINK(CONCATENATE("#Metadata!", ADDRESS(INDEX($AJ$2:$AJ$1001,MATCH(ROWS($AH$2:AH111),$AH$2:$AH$1001,0),0), INDEX($AO$1004:$BQ$1004,1,MATCH(COLUMNS($AO$1006:BA1006),$AO$1006:$BQ$1006,0)))),"Fix")))</f>
        <v>#N/A</v>
      </c>
      <c r="O111" s="5" t="e">
        <f ca="1">IF(OR(INDEX($AI$2:$AI$1001,MATCH(ROWS($AH$2:AH111),$AH$2:$AH$1001,0),1)&gt;=100000,INDEX($AO$1005:$BQ$1005,1,MATCH(COLUMNS($AO$1006:BB1006),$AO$1006:$BQ$1006,0))&gt;=100000), " ",IF(INDEX($AO$2:$BQ$1001,MATCH(ROWS($AH$2:AH111),$AH$2:$AH$1001,0),MATCH(COLUMNS($AO$1006:BB1006),$AO$1006:$BQ$1006,0)), HYPERLINK("#",""), HYPERLINK(CONCATENATE("#Metadata!", ADDRESS(INDEX($AJ$2:$AJ$1001,MATCH(ROWS($AH$2:AH111),$AH$2:$AH$1001,0),0), INDEX($AO$1004:$BQ$1004,1,MATCH(COLUMNS($AO$1006:BB1006),$AO$1006:$BQ$1006,0)))),"Fix")))</f>
        <v>#N/A</v>
      </c>
      <c r="P111" s="5" t="e">
        <f ca="1">IF(OR(INDEX($AI$2:$AI$1001,MATCH(ROWS($AH$2:AH111),$AH$2:$AH$1001,0),1)&gt;=100000,INDEX($AO$1005:$BQ$1005,1,MATCH(COLUMNS($AO$1006:BC1006),$AO$1006:$BQ$1006,0))&gt;=100000), " ",IF(INDEX($AO$2:$BQ$1001,MATCH(ROWS($AH$2:AH111),$AH$2:$AH$1001,0),MATCH(COLUMNS($AO$1006:BC1006),$AO$1006:$BQ$1006,0)), HYPERLINK("#",""), HYPERLINK(CONCATENATE("#Metadata!", ADDRESS(INDEX($AJ$2:$AJ$1001,MATCH(ROWS($AH$2:AH111),$AH$2:$AH$1001,0),0), INDEX($AO$1004:$BQ$1004,1,MATCH(COLUMNS($AO$1006:BC1006),$AO$1006:$BQ$1006,0)))),"Fix")))</f>
        <v>#N/A</v>
      </c>
      <c r="Q111" s="5" t="e">
        <f ca="1">IF(OR(INDEX($AI$2:$AI$1001,MATCH(ROWS($AH$2:AH111),$AH$2:$AH$1001,0),1)&gt;=100000,INDEX($AO$1005:$BQ$1005,1,MATCH(COLUMNS($AO$1006:BD1006),$AO$1006:$BQ$1006,0))&gt;=100000), " ",IF(INDEX($AO$2:$BQ$1001,MATCH(ROWS($AH$2:AH111),$AH$2:$AH$1001,0),MATCH(COLUMNS($AO$1006:BD1006),$AO$1006:$BQ$1006,0)), HYPERLINK("#",""), HYPERLINK(CONCATENATE("#Metadata!", ADDRESS(INDEX($AJ$2:$AJ$1001,MATCH(ROWS($AH$2:AH111),$AH$2:$AH$1001,0),0), INDEX($AO$1004:$BQ$1004,1,MATCH(COLUMNS($AO$1006:BD1006),$AO$1006:$BQ$1006,0)))),"Fix")))</f>
        <v>#N/A</v>
      </c>
      <c r="R111" s="5" t="e">
        <f ca="1">IF(OR(INDEX($AI$2:$AI$1001,MATCH(ROWS($AH$2:AH111),$AH$2:$AH$1001,0),1)&gt;=100000,INDEX($AO$1005:$BQ$1005,1,MATCH(COLUMNS($AO$1006:BE1006),$AO$1006:$BQ$1006,0))&gt;=100000), " ",IF(INDEX($AO$2:$BQ$1001,MATCH(ROWS($AH$2:AH111),$AH$2:$AH$1001,0),MATCH(COLUMNS($AO$1006:BE1006),$AO$1006:$BQ$1006,0)), HYPERLINK("#",""), HYPERLINK(CONCATENATE("#Metadata!", ADDRESS(INDEX($AJ$2:$AJ$1001,MATCH(ROWS($AH$2:AH111),$AH$2:$AH$1001,0),0), INDEX($AO$1004:$BQ$1004,1,MATCH(COLUMNS($AO$1006:BE1006),$AO$1006:$BQ$1006,0)))),"Fix")))</f>
        <v>#N/A</v>
      </c>
      <c r="S111" s="5" t="e">
        <f ca="1">IF(OR(INDEX($AI$2:$AI$1001,MATCH(ROWS($AH$2:AH111),$AH$2:$AH$1001,0),1)&gt;=100000,INDEX($AO$1005:$BQ$1005,1,MATCH(COLUMNS($AO$1006:BF1006),$AO$1006:$BQ$1006,0))&gt;=100000), " ",IF(INDEX($AO$2:$BQ$1001,MATCH(ROWS($AH$2:AH111),$AH$2:$AH$1001,0),MATCH(COLUMNS($AO$1006:BF1006),$AO$1006:$BQ$1006,0)), HYPERLINK("#",""), HYPERLINK(CONCATENATE("#Metadata!", ADDRESS(INDEX($AJ$2:$AJ$1001,MATCH(ROWS($AH$2:AH111),$AH$2:$AH$1001,0),0), INDEX($AO$1004:$BQ$1004,1,MATCH(COLUMNS($AO$1006:BF1006),$AO$1006:$BQ$1006,0)))),"Fix")))</f>
        <v>#N/A</v>
      </c>
      <c r="T111" s="5" t="e">
        <f ca="1">IF(OR(INDEX($AI$2:$AI$1001,MATCH(ROWS($AH$2:AH111),$AH$2:$AH$1001,0),1)&gt;=100000,INDEX($AO$1005:$BQ$1005,1,MATCH(COLUMNS($AO$1006:BG1006),$AO$1006:$BQ$1006,0))&gt;=100000), " ",IF(INDEX($AO$2:$BQ$1001,MATCH(ROWS($AH$2:AH111),$AH$2:$AH$1001,0),MATCH(COLUMNS($AO$1006:BG1006),$AO$1006:$BQ$1006,0)), HYPERLINK("#",""), HYPERLINK(CONCATENATE("#Metadata!", ADDRESS(INDEX($AJ$2:$AJ$1001,MATCH(ROWS($AH$2:AH111),$AH$2:$AH$1001,0),0), INDEX($AO$1004:$BQ$1004,1,MATCH(COLUMNS($AO$1006:BG1006),$AO$1006:$BQ$1006,0)))),"Fix")))</f>
        <v>#N/A</v>
      </c>
      <c r="U111" s="5" t="e">
        <f ca="1">IF(OR(INDEX($AI$2:$AI$1001,MATCH(ROWS($AH$2:AH111),$AH$2:$AH$1001,0),1)&gt;=100000,INDEX($AO$1005:$BQ$1005,1,MATCH(COLUMNS($AO$1006:BH1006),$AO$1006:$BQ$1006,0))&gt;=100000), " ",IF(INDEX($AO$2:$BQ$1001,MATCH(ROWS($AH$2:AH111),$AH$2:$AH$1001,0),MATCH(COLUMNS($AO$1006:BH1006),$AO$1006:$BQ$1006,0)), HYPERLINK("#",""), HYPERLINK(CONCATENATE("#Metadata!", ADDRESS(INDEX($AJ$2:$AJ$1001,MATCH(ROWS($AH$2:AH111),$AH$2:$AH$1001,0),0), INDEX($AO$1004:$BQ$1004,1,MATCH(COLUMNS($AO$1006:BH1006),$AO$1006:$BQ$1006,0)))),"Fix")))</f>
        <v>#N/A</v>
      </c>
      <c r="V111" s="5" t="e">
        <f ca="1">IF(OR(INDEX($AI$2:$AI$1001,MATCH(ROWS($AH$2:AH111),$AH$2:$AH$1001,0),1)&gt;=100000,INDEX($AO$1005:$BQ$1005,1,MATCH(COLUMNS($AO$1006:BI1006),$AO$1006:$BQ$1006,0))&gt;=100000), " ",IF(INDEX($AO$2:$BQ$1001,MATCH(ROWS($AH$2:AH111),$AH$2:$AH$1001,0),MATCH(COLUMNS($AO$1006:BI1006),$AO$1006:$BQ$1006,0)), HYPERLINK("#",""), HYPERLINK(CONCATENATE("#Metadata!", ADDRESS(INDEX($AJ$2:$AJ$1001,MATCH(ROWS($AH$2:AH111),$AH$2:$AH$1001,0),0), INDEX($AO$1004:$BQ$1004,1,MATCH(COLUMNS($AO$1006:BI1006),$AO$1006:$BQ$1006,0)))),"Fix")))</f>
        <v>#N/A</v>
      </c>
      <c r="W111" s="5" t="e">
        <f ca="1">IF(OR(INDEX($AI$2:$AI$1001,MATCH(ROWS($AH$2:AH111),$AH$2:$AH$1001,0),1)&gt;=100000,INDEX($AO$1005:$BQ$1005,1,MATCH(COLUMNS($AO$1006:BJ1006),$AO$1006:$BQ$1006,0))&gt;=100000), " ",IF(INDEX($AO$2:$BQ$1001,MATCH(ROWS($AH$2:AH111),$AH$2:$AH$1001,0),MATCH(COLUMNS($AO$1006:BJ1006),$AO$1006:$BQ$1006,0)), HYPERLINK("#",""), HYPERLINK(CONCATENATE("#Metadata!", ADDRESS(INDEX($AJ$2:$AJ$1001,MATCH(ROWS($AH$2:AH111),$AH$2:$AH$1001,0),0), INDEX($AO$1004:$BQ$1004,1,MATCH(COLUMNS($AO$1006:BJ1006),$AO$1006:$BQ$1006,0)))),"Fix")))</f>
        <v>#N/A</v>
      </c>
      <c r="X111" s="5" t="e">
        <f ca="1">IF(OR(INDEX($AI$2:$AI$1001,MATCH(ROWS($AH$2:AH111),$AH$2:$AH$1001,0),1)&gt;=100000,INDEX($AO$1005:$BQ$1005,1,MATCH(COLUMNS($AO$1006:BK1006),$AO$1006:$BQ$1006,0))&gt;=100000), " ",IF(INDEX($AO$2:$BQ$1001,MATCH(ROWS($AH$2:AH111),$AH$2:$AH$1001,0),MATCH(COLUMNS($AO$1006:BK1006),$AO$1006:$BQ$1006,0)), HYPERLINK("#",""), HYPERLINK(CONCATENATE("#Metadata!", ADDRESS(INDEX($AJ$2:$AJ$1001,MATCH(ROWS($AH$2:AH111),$AH$2:$AH$1001,0),0), INDEX($AO$1004:$BQ$1004,1,MATCH(COLUMNS($AO$1006:BK1006),$AO$1006:$BQ$1006,0)))),"Fix")))</f>
        <v>#N/A</v>
      </c>
      <c r="Y111" s="5" t="e">
        <f ca="1">IF(OR(INDEX($AI$2:$AI$1001,MATCH(ROWS($AH$2:AH111),$AH$2:$AH$1001,0),1)&gt;=100000,INDEX($AO$1005:$BQ$1005,1,MATCH(COLUMNS($AO$1006:BL1006),$AO$1006:$BQ$1006,0))&gt;=100000), " ",IF(INDEX($AO$2:$BQ$1001,MATCH(ROWS($AH$2:AH111),$AH$2:$AH$1001,0),MATCH(COLUMNS($AO$1006:BL1006),$AO$1006:$BQ$1006,0)), HYPERLINK("#",""), HYPERLINK(CONCATENATE("#Metadata!", ADDRESS(INDEX($AJ$2:$AJ$1001,MATCH(ROWS($AH$2:AH111),$AH$2:$AH$1001,0),0), INDEX($AO$1004:$BQ$1004,1,MATCH(COLUMNS($AO$1006:BL1006),$AO$1006:$BQ$1006,0)))),"Fix")))</f>
        <v>#N/A</v>
      </c>
      <c r="Z111" s="5" t="e">
        <f ca="1">IF(OR(INDEX($AI$2:$AI$1001,MATCH(ROWS($AH$2:AH111),$AH$2:$AH$1001,0),1)&gt;=100000,INDEX($AO$1005:$BQ$1005,1,MATCH(COLUMNS($AO$1006:BM1006),$AO$1006:$BQ$1006,0))&gt;=100000), " ",IF(INDEX($AO$2:$BQ$1001,MATCH(ROWS($AH$2:AH111),$AH$2:$AH$1001,0),MATCH(COLUMNS($AO$1006:BM1006),$AO$1006:$BQ$1006,0)), HYPERLINK("#",""), HYPERLINK(CONCATENATE("#Metadata!", ADDRESS(INDEX($AJ$2:$AJ$1001,MATCH(ROWS($AH$2:AH111),$AH$2:$AH$1001,0),0), INDEX($AO$1004:$BQ$1004,1,MATCH(COLUMNS($AO$1006:BM1006),$AO$1006:$BQ$1006,0)))),"Fix")))</f>
        <v>#N/A</v>
      </c>
      <c r="AA111" s="5" t="e">
        <f ca="1">IF(OR(INDEX($AI$2:$AI$1001,MATCH(ROWS($AH$2:AH111),$AH$2:$AH$1001,0),1)&gt;=100000,INDEX($AO$1005:$BQ$1005,1,MATCH(COLUMNS($AO$1006:BN1006),$AO$1006:$BQ$1006,0))&gt;=100000), " ",IF(INDEX($AO$2:$BQ$1001,MATCH(ROWS($AH$2:AH111),$AH$2:$AH$1001,0),MATCH(COLUMNS($AO$1006:BN1006),$AO$1006:$BQ$1006,0)), HYPERLINK("#",""), HYPERLINK(CONCATENATE("#Metadata!", ADDRESS(INDEX($AJ$2:$AJ$1001,MATCH(ROWS($AH$2:AH111),$AH$2:$AH$1001,0),0), INDEX($AO$1004:$BQ$1004,1,MATCH(COLUMNS($AO$1006:BN1006),$AO$1006:$BQ$1006,0)))),"Fix")))</f>
        <v>#N/A</v>
      </c>
      <c r="AB111" s="5" t="e">
        <f ca="1">IF(OR(INDEX($AI$2:$AI$1001,MATCH(ROWS($AH$2:AH111),$AH$2:$AH$1001,0),1)&gt;=100000,INDEX($AO$1005:$BQ$1005,1,MATCH(COLUMNS($AO$1006:BO1006),$AO$1006:$BQ$1006,0))&gt;=100000), " ",IF(INDEX($AO$2:$BQ$1001,MATCH(ROWS($AH$2:AH111),$AH$2:$AH$1001,0),MATCH(COLUMNS($AO$1006:BO1006),$AO$1006:$BQ$1006,0)), HYPERLINK("#",""), HYPERLINK(CONCATENATE("#Metadata!", ADDRESS(INDEX($AJ$2:$AJ$1001,MATCH(ROWS($AH$2:AH111),$AH$2:$AH$1001,0),0), INDEX($AO$1004:$BQ$1004,1,MATCH(COLUMNS($AO$1006:BO1006),$AO$1006:$BQ$1006,0)))),"Fix")))</f>
        <v>#N/A</v>
      </c>
      <c r="AC111" s="5" t="e">
        <f ca="1">IF(OR(INDEX($AI$2:$AI$1001,MATCH(ROWS($AH$2:AH111),$AH$2:$AH$1001,0),1)&gt;=100000,INDEX($AO$1005:$BQ$1005,1,MATCH(COLUMNS($AO$1006:BP1006),$AO$1006:$BQ$1006,0))&gt;=100000), " ",IF(INDEX($AO$2:$BQ$1001,MATCH(ROWS($AH$2:AH111),$AH$2:$AH$1001,0),MATCH(COLUMNS($AO$1006:BP1006),$AO$1006:$BQ$1006,0)), HYPERLINK("#",""), HYPERLINK(CONCATENATE("#Metadata!", ADDRESS(INDEX($AJ$2:$AJ$1001,MATCH(ROWS($AH$2:AH111),$AH$2:$AH$1001,0),0), INDEX($AO$1004:$BQ$1004,1,MATCH(COLUMNS($AO$1006:BP1006),$AO$1006:$BQ$1006,0)))),"Fix")))</f>
        <v>#N/A</v>
      </c>
      <c r="AD111" s="5" t="e">
        <f ca="1">IF(OR(INDEX($AI$2:$AI$1001,MATCH(ROWS($AH$2:AH111),$AH$2:$AH$1001,0),1)&gt;=100000,INDEX($AO$1005:$BQ$1005,1,MATCH(COLUMNS($AO$1006:BQ1006),$AO$1006:$BQ$1006,0))&gt;=100000), " ",IF(INDEX($AO$2:$BQ$1001,MATCH(ROWS($AH$2:AH111),$AH$2:$AH$1001,0),MATCH(COLUMNS($AO$1006:BQ1006),$AO$1006:$BQ$1006,0)), HYPERLINK("#",""), HYPERLINK(CONCATENATE("#Metadata!", ADDRESS(INDEX($AJ$2:$AJ$1001,MATCH(ROWS($AH$2:AH111),$AH$2:$AH$1001,0),0), INDEX($AO$1004:$BQ$1004,1,MATCH(COLUMNS($AO$1006:BQ1006),$AO$1006:$BQ$1006,0)))),"Fix")))</f>
        <v>#REF!</v>
      </c>
      <c r="AH111">
        <f ca="1"/>
        <v>108</v>
      </c>
      <c r="AI111">
        <v>100111</v>
      </c>
      <c r="AJ111">
        <v>111</v>
      </c>
      <c r="AK111" t="b">
        <f t="shared" si="1"/>
        <v>1</v>
      </c>
      <c r="AL111" t="b">
        <f>COUNTBLANK(Metadata!B111:AD111)=COLUMNS(Metadata!B111:AD111)</f>
        <v>1</v>
      </c>
      <c r="AM111" t="str">
        <v/>
      </c>
      <c r="AO111" t="b">
        <f ca="1">AND(IF(Metadata!B111="",FALSE,TRUE),COUNTIF(Metadata!B:B, Metadata!B111) = 1,NOT(ISERROR(SUMPRODUCT(SEARCH(MID(Metadata!B111,ROW(INDIRECT("1:"&amp;LEN(Metadata!B111))), 1),"0123456789abcdefghijklmnopqrstuvwxyzABCDEFGHIJKLMNOPQRSTUVWXYZ.")))))</f>
        <v>0</v>
      </c>
      <c r="AP111" t="b">
        <f>IF(Metadata!C111="",FALSE,TRUE)</f>
        <v>0</v>
      </c>
      <c r="AQ111" t="b">
        <f>IF(Metadata!D111="",FALSE,TRUE)</f>
        <v>0</v>
      </c>
      <c r="AR111" t="b">
        <f ca="1">OR(AND(IF(Metadata!E111="",FALSE,TRUE),OR(EXACT(Metadata!E111,"not collected"),EXACT(Metadata!E111,"not provided"),EXACT(Metadata!E111,"restricted access"))),AND(IF(Metadata!E111="",FALSE,TRUE),AND(AND(IFERROR(INT(LEFT(Metadata!E111,4))&gt;1900,FALSE),IFERROR(INT(LEFT(Metadata!E111,4))&lt;=YEAR(NOW()),FALSE)), OR(MID(Metadata!E111,5,1)="", AND(AND(MID(Metadata!E111,5,1)="-",IFERROR(INT(MID(Metadata!E111,6,1))&gt;=0,FALSE),IFERROR(INT(MID(Metadata!E111,6,1))&lt;=1,FALSE),NOT(MID(Metadata!E111,7,1)=""),IFERROR(INT(MID(Metadata!E111,6,2))&gt;=1,FALSE),IFERROR(INT(MID(Metadata!E111,6,2))&lt;=12,FALSE)), OR(MID(Metadata!E111,8,1)="", AND(AND(MID(Metadata!E111,8,1)="-",IFERROR(INT(MID(Metadata!E111,9,1))&gt;=0,FALSE),IFERROR(INT(MID(Metadata!E111,9,1))&lt;=3,FALSE),NOT(MID(Metadata!E111,10,1)=""),IFERROR(INT(MID(Metadata!E111,9,2))&gt;=1,FALSE),IFERROR(INT(MID(Metadata!E111,9,2))&lt;=31,FALSE)), OR(MID(Metadata!E111,11,1)="", AND(AND(MID(Metadata!E111,11,1)=" ",IFERROR(INT(MID(Metadata!E111,12,1))&gt;=0,FALSE),IFERROR(INT(MID(Metadata!E111,12,1))&lt;=2,FALSE),NOT(MID(Metadata!E111,13,1)=""),IFERROR(INT(MID(Metadata!E111,12,2))&gt;=0,FALSE),IFERROR(INT(MID(Metadata!E111,12,2))&lt;=23,FALSE)), OR(MID(Metadata!E111,14,1)="", AND(AND(MID(Metadata!E111,14,1)=":",IFERROR(INT(MID(Metadata!E111,15,1))&gt;=0,FALSE),IFERROR(INT(MID(Metadata!E111,15,1))&lt;=5,FALSE),NOT(MID(Metadata!E111,16,1)=""),IFERROR(INT(MID(Metadata!E111,15,2))&gt;=0,FALSE),IFERROR(INT(MID(Metadata!E111,15,2))&lt;=59,FALSE)), OR(MID(Metadata!E111,17,1)="", AND(AND(MID(Metadata!E111,17,1)=":",IFERROR(INT(MID(Metadata!E111,18,1))&gt;=0,FALSE),IFERROR(INT(MID(Metadata!E111,18,1))&lt;=5,FALSE),NOT(MID(Metadata!E111,19,1)=""),IFERROR(INT(MID(Metadata!E111,18,2))&gt;=0,FALSE),IFERROR(INT(MID(Metadata!E111,18,2))&lt;=59,FALSE)), LEN(Metadata!E111)&lt;=19)))))))))))))</f>
        <v>0</v>
      </c>
      <c r="AS111" t="b">
        <f>IF(Metadata!F111="",FALSE,TRUE)</f>
        <v>0</v>
      </c>
      <c r="AT111" t="b">
        <f>OR(AND(IF(Metadata!G111="",FALSE,TRUE),OR(EXACT(Metadata!G111,"not collected"),EXACT(Metadata!G111,"not provided"))),AND(IF(Metadata!G111="",FALSE,TRUE),OR(EXACT(Metadata!G111,"TRUE"),EXACT(Metadata!G111,"FALSE"))))</f>
        <v>0</v>
      </c>
      <c r="AU111" t="b">
        <f>OR(AND(IF(Metadata!H111="",FALSE,TRUE),OR(EXACT(Metadata!H111,"not collected"),EXACT(Metadata!H111,"not provided"),EXACT(Metadata!H111,"restricted access"))),AND(IF(Metadata!H111="",FALSE,ISNUMBER(VALUE(Metadata!H111))),Metadata!H111&gt;=-413))</f>
        <v>0</v>
      </c>
      <c r="AV111" t="b">
        <f>AND(IF(Metadata!I111="",FALSE,TRUE),EXACT(Metadata!I111,"meters"))</f>
        <v>0</v>
      </c>
      <c r="AW111" t="b">
        <f>AND(IF(Metadata!J111="",FALSE,TRUE),EXACT(Metadata!J111,"free-living"))</f>
        <v>0</v>
      </c>
      <c r="AX111" t="b">
        <f>AND(IF(Metadata!K111="",FALSE,TRUE),OR(EXACT(Metadata!K111,"saline"),EXACT(Metadata!K111,"non-saline")))</f>
        <v>0</v>
      </c>
      <c r="AY111" t="b">
        <f>AND(IF(Metadata!L111="",FALSE,TRUE),OR(EXACT(Metadata!L111,"sub-surface (non-saline)"),EXACT(Metadata!L111,"surface (non-saline)"),EXACT(Metadata!L111,"water (non-saline)"),EXACT(Metadata!L111,"soil (non-saline)"),EXACT(Metadata!L111,"aerosol (non-saline)"),EXACT(Metadata!L111,"sediment (non-saline)"),EXACT(Metadata!L111,"surface (saline)"),EXACT(Metadata!L111,"water (saline)"),EXACT(Metadata!L111,"hypersaline (saline)"),EXACT(Metadata!L111,"aerosol (saline)"),EXACT(Metadata!L111,"sediment (saline)")))</f>
        <v>0</v>
      </c>
      <c r="AZ111" t="b">
        <f>IF(Metadata!M111="",FALSE,TRUE)</f>
        <v>0</v>
      </c>
      <c r="BA111" t="b">
        <f>IF(Metadata!N111="",FALSE,TRUE)</f>
        <v>0</v>
      </c>
      <c r="BB111" t="b">
        <f>IF(Metadata!O111="",FALSE,TRUE)</f>
        <v>0</v>
      </c>
      <c r="BC111" t="b">
        <f>AND(IF(Metadata!P111="",FALSE,TRUE),OR(EXACT(Metadata!P111,"air"),EXACT(Metadata!P111,"microbial mat/biofilm"),EXACT(Metadata!P111,"misc environment"),EXACT(Metadata!P111,"sediment"),EXACT(Metadata!P111,"soil"),EXACT(Metadata!P111,"wastewater/sludge"),EXACT(Metadata!P111,"water")))</f>
        <v>0</v>
      </c>
      <c r="BD111" t="b">
        <f>IF(Metadata!Q111="",FALSE,TRUE)</f>
        <v>0</v>
      </c>
      <c r="BE111" t="b">
        <f>IF(Metadata!R111="",FALSE,TRUE)</f>
        <v>0</v>
      </c>
      <c r="BF111" t="b">
        <f>OR(AND(IF(Metadata!S111="",FALSE,TRUE),OR(EXACT(Metadata!S111,"not collected"),EXACT(Metadata!S111,"not provided"),EXACT(Metadata!S111,"restricted access"))),AND(IF(Metadata!S111="",FALSE,ISNUMBER(VALUE(Metadata!S111))),Metadata!S111&gt;=-90,Metadata!S111&lt;=90))</f>
        <v>0</v>
      </c>
      <c r="BG111" t="b">
        <f>AND(IF(Metadata!T111="",FALSE,TRUE),EXACT(Metadata!T111,"Decimal degrees"))</f>
        <v>0</v>
      </c>
      <c r="BH111" t="b">
        <f>OR(AND(IF(Metadata!U111="",FALSE,TRUE),OR(EXACT(Metadata!U111,"not applicable"),EXACT(Metadata!U111,"not collected"))),IF(Metadata!U111="",FALSE,TRUE))</f>
        <v>0</v>
      </c>
      <c r="BI111" t="b">
        <f>OR(AND(IF(Metadata!V111="",FALSE,TRUE),OR(EXACT(Metadata!V111,"not collected"),EXACT(Metadata!V111,"not provided"),EXACT(Metadata!V111,"restricted access"))),AND(IF(Metadata!V111="",FALSE,ISNUMBER(VALUE(Metadata!V111))),Metadata!V111&gt;=-180,Metadata!V111&lt;=180))</f>
        <v>0</v>
      </c>
      <c r="BJ111" t="b">
        <f>AND(IF(Metadata!W111="",FALSE,TRUE),EXACT(Metadata!W111,"Decimal degrees"))</f>
        <v>0</v>
      </c>
      <c r="BK111" t="b">
        <f>IF(Metadata!X111="",FALSE,TRUE)</f>
        <v>0</v>
      </c>
      <c r="BL111" t="b">
        <f>OR(AND(IF(Metadata!Y111="",FALSE,TRUE),OR(EXACT(Metadata!Y111,"not collected"),EXACT(Metadata!Y111,"not provided"),EXACT(Metadata!Y111,"restricted access"))),AND(IF(Metadata!Y111="",FALSE,TRUE),OR(EXACT(Metadata!Y111,"TRUE"),EXACT(Metadata!Y111,"FALSE"))))</f>
        <v>0</v>
      </c>
      <c r="BM111" t="b">
        <f>OR(AND(IF(Metadata!Z111="",FALSE,TRUE),EXACT(Metadata!Z111,"not applicable")),AND(IF(Metadata!Z111="",FALSE,TRUE),OR(EXACT(Metadata!Z111,"beer"),EXACT(Metadata!Z111,"cheese"),EXACT(Metadata!Z111,"fresh water"),EXACT(Metadata!Z111,"marine sediment"),EXACT(Metadata!Z111,"sea water"),EXACT(Metadata!Z111,"sediment"),EXACT(Metadata!Z111,"soil"),EXACT(Metadata!Z111,"waste water"))))</f>
        <v>0</v>
      </c>
      <c r="BN111" t="b">
        <f>AND(IF(Metadata!AA111="",FALSE,TRUE),EXACT(Metadata!AA111,"metagenome"))</f>
        <v>0</v>
      </c>
      <c r="BO111" t="b">
        <f>AND(IF(Metadata!AB111="",FALSE,TRUE),EXACT(Metadata!AB111,"256318"))</f>
        <v>0</v>
      </c>
      <c r="BP111" t="b">
        <f>IF(Metadata!AC111="",FALSE,TRUE)</f>
        <v>0</v>
      </c>
      <c r="BQ111" t="b">
        <f>IF(Metadata!AD111="",FALSE,TRUE)</f>
        <v>0</v>
      </c>
    </row>
    <row r="112" spans="1:69" x14ac:dyDescent="0.2">
      <c r="A112" s="4" t="e">
        <f ca="1">IF(B112=" "," ",HYPERLINK(CONCATENATE("#metadata!",ADDRESS(INDEX($AJ$2:$AJ$1001,MATCH(ROWS($AH$2:AH112),$AH$2:$AH$1001,0),0),2)),INDEX($AM$2:$AM$1001,MATCH(ROWS($AH$2:AH112),$AH$2:$AH$1001,0),0)))</f>
        <v>#N/A</v>
      </c>
      <c r="B112" s="5" t="e">
        <f ca="1">IF(OR(INDEX($AI$2:$AI$1001,MATCH(ROWS($AH$2:AH112),$AH$2:$AH$1001,0),1)&gt;=100000,INDEX($AO$1005:$BQ$1005,1,MATCH(COLUMNS($AO$1006:AO1006),$AO$1006:$BQ$1006,0))&gt;=100000), " ",IF(INDEX($AO$2:$BQ$1001,MATCH(ROWS($AH$2:AH112),$AH$2:$AH$1001,0),MATCH(COLUMNS($AO$1006:AO1006),$AO$1006:$BQ$1006,0)), HYPERLINK("#",""), HYPERLINK(CONCATENATE("#Metadata!", ADDRESS(INDEX($AJ$2:$AJ$1001,MATCH(ROWS($AH$2:AH112),$AH$2:$AH$1001,0),0), INDEX($AO$1004:$BQ$1004,1,MATCH(COLUMNS($AO$1006:AO1006),$AO$1006:$BQ$1006,0)))),"Fix")))</f>
        <v>#N/A</v>
      </c>
      <c r="C112" s="5" t="e">
        <f ca="1">IF(OR(INDEX($AI$2:$AI$1001,MATCH(ROWS($AH$2:AH112),$AH$2:$AH$1001,0),1)&gt;=100000,INDEX($AO$1005:$BQ$1005,1,MATCH(COLUMNS($AO$1006:AP1006),$AO$1006:$BQ$1006,0))&gt;=100000), " ",IF(INDEX($AO$2:$BQ$1001,MATCH(ROWS($AH$2:AH112),$AH$2:$AH$1001,0),MATCH(COLUMNS($AO$1006:AP1006),$AO$1006:$BQ$1006,0)), HYPERLINK("#",""), HYPERLINK(CONCATENATE("#Metadata!", ADDRESS(INDEX($AJ$2:$AJ$1001,MATCH(ROWS($AH$2:AH112),$AH$2:$AH$1001,0),0), INDEX($AO$1004:$BQ$1004,1,MATCH(COLUMNS($AO$1006:AP1006),$AO$1006:$BQ$1006,0)))),"Fix")))</f>
        <v>#N/A</v>
      </c>
      <c r="D112" s="5" t="e">
        <f ca="1">IF(OR(INDEX($AI$2:$AI$1001,MATCH(ROWS($AH$2:AH112),$AH$2:$AH$1001,0),1)&gt;=100000,INDEX($AO$1005:$BQ$1005,1,MATCH(COLUMNS($AO$1006:AQ1006),$AO$1006:$BQ$1006,0))&gt;=100000), " ",IF(INDEX($AO$2:$BQ$1001,MATCH(ROWS($AH$2:AH112),$AH$2:$AH$1001,0),MATCH(COLUMNS($AO$1006:AQ1006),$AO$1006:$BQ$1006,0)), HYPERLINK("#",""), HYPERLINK(CONCATENATE("#Metadata!", ADDRESS(INDEX($AJ$2:$AJ$1001,MATCH(ROWS($AH$2:AH112),$AH$2:$AH$1001,0),0), INDEX($AO$1004:$BQ$1004,1,MATCH(COLUMNS($AO$1006:AQ1006),$AO$1006:$BQ$1006,0)))),"Fix")))</f>
        <v>#N/A</v>
      </c>
      <c r="E112" s="5" t="e">
        <f ca="1">IF(OR(INDEX($AI$2:$AI$1001,MATCH(ROWS($AH$2:AH112),$AH$2:$AH$1001,0),1)&gt;=100000,INDEX($AO$1005:$BQ$1005,1,MATCH(COLUMNS($AO$1006:AR1006),$AO$1006:$BQ$1006,0))&gt;=100000), " ",IF(INDEX($AO$2:$BQ$1001,MATCH(ROWS($AH$2:AH112),$AH$2:$AH$1001,0),MATCH(COLUMNS($AO$1006:AR1006),$AO$1006:$BQ$1006,0)), HYPERLINK("#",""), HYPERLINK(CONCATENATE("#Metadata!", ADDRESS(INDEX($AJ$2:$AJ$1001,MATCH(ROWS($AH$2:AH112),$AH$2:$AH$1001,0),0), INDEX($AO$1004:$BQ$1004,1,MATCH(COLUMNS($AO$1006:AR1006),$AO$1006:$BQ$1006,0)))),"Fix")))</f>
        <v>#N/A</v>
      </c>
      <c r="F112" s="5" t="e">
        <f ca="1">IF(OR(INDEX($AI$2:$AI$1001,MATCH(ROWS($AH$2:AH112),$AH$2:$AH$1001,0),1)&gt;=100000,INDEX($AO$1005:$BQ$1005,1,MATCH(COLUMNS($AO$1006:AS1006),$AO$1006:$BQ$1006,0))&gt;=100000), " ",IF(INDEX($AO$2:$BQ$1001,MATCH(ROWS($AH$2:AH112),$AH$2:$AH$1001,0),MATCH(COLUMNS($AO$1006:AS1006),$AO$1006:$BQ$1006,0)), HYPERLINK("#",""), HYPERLINK(CONCATENATE("#Metadata!", ADDRESS(INDEX($AJ$2:$AJ$1001,MATCH(ROWS($AH$2:AH112),$AH$2:$AH$1001,0),0), INDEX($AO$1004:$BQ$1004,1,MATCH(COLUMNS($AO$1006:AS1006),$AO$1006:$BQ$1006,0)))),"Fix")))</f>
        <v>#N/A</v>
      </c>
      <c r="G112" s="5" t="e">
        <f ca="1">IF(OR(INDEX($AI$2:$AI$1001,MATCH(ROWS($AH$2:AH112),$AH$2:$AH$1001,0),1)&gt;=100000,INDEX($AO$1005:$BQ$1005,1,MATCH(COLUMNS($AO$1006:AT1006),$AO$1006:$BQ$1006,0))&gt;=100000), " ",IF(INDEX($AO$2:$BQ$1001,MATCH(ROWS($AH$2:AH112),$AH$2:$AH$1001,0),MATCH(COLUMNS($AO$1006:AT1006),$AO$1006:$BQ$1006,0)), HYPERLINK("#",""), HYPERLINK(CONCATENATE("#Metadata!", ADDRESS(INDEX($AJ$2:$AJ$1001,MATCH(ROWS($AH$2:AH112),$AH$2:$AH$1001,0),0), INDEX($AO$1004:$BQ$1004,1,MATCH(COLUMNS($AO$1006:AT1006),$AO$1006:$BQ$1006,0)))),"Fix")))</f>
        <v>#N/A</v>
      </c>
      <c r="H112" s="5" t="e">
        <f ca="1">IF(OR(INDEX($AI$2:$AI$1001,MATCH(ROWS($AH$2:AH112),$AH$2:$AH$1001,0),1)&gt;=100000,INDEX($AO$1005:$BQ$1005,1,MATCH(COLUMNS($AO$1006:AU1006),$AO$1006:$BQ$1006,0))&gt;=100000), " ",IF(INDEX($AO$2:$BQ$1001,MATCH(ROWS($AH$2:AH112),$AH$2:$AH$1001,0),MATCH(COLUMNS($AO$1006:AU1006),$AO$1006:$BQ$1006,0)), HYPERLINK("#",""), HYPERLINK(CONCATENATE("#Metadata!", ADDRESS(INDEX($AJ$2:$AJ$1001,MATCH(ROWS($AH$2:AH112),$AH$2:$AH$1001,0),0), INDEX($AO$1004:$BQ$1004,1,MATCH(COLUMNS($AO$1006:AU1006),$AO$1006:$BQ$1006,0)))),"Fix")))</f>
        <v>#N/A</v>
      </c>
      <c r="I112" s="5" t="e">
        <f ca="1">IF(OR(INDEX($AI$2:$AI$1001,MATCH(ROWS($AH$2:AH112),$AH$2:$AH$1001,0),1)&gt;=100000,INDEX($AO$1005:$BQ$1005,1,MATCH(COLUMNS($AO$1006:AV1006),$AO$1006:$BQ$1006,0))&gt;=100000), " ",IF(INDEX($AO$2:$BQ$1001,MATCH(ROWS($AH$2:AH112),$AH$2:$AH$1001,0),MATCH(COLUMNS($AO$1006:AV1006),$AO$1006:$BQ$1006,0)), HYPERLINK("#",""), HYPERLINK(CONCATENATE("#Metadata!", ADDRESS(INDEX($AJ$2:$AJ$1001,MATCH(ROWS($AH$2:AH112),$AH$2:$AH$1001,0),0), INDEX($AO$1004:$BQ$1004,1,MATCH(COLUMNS($AO$1006:AV1006),$AO$1006:$BQ$1006,0)))),"Fix")))</f>
        <v>#N/A</v>
      </c>
      <c r="J112" s="5" t="e">
        <f ca="1">IF(OR(INDEX($AI$2:$AI$1001,MATCH(ROWS($AH$2:AH112),$AH$2:$AH$1001,0),1)&gt;=100000,INDEX($AO$1005:$BQ$1005,1,MATCH(COLUMNS($AO$1006:AW1006),$AO$1006:$BQ$1006,0))&gt;=100000), " ",IF(INDEX($AO$2:$BQ$1001,MATCH(ROWS($AH$2:AH112),$AH$2:$AH$1001,0),MATCH(COLUMNS($AO$1006:AW1006),$AO$1006:$BQ$1006,0)), HYPERLINK("#",""), HYPERLINK(CONCATENATE("#Metadata!", ADDRESS(INDEX($AJ$2:$AJ$1001,MATCH(ROWS($AH$2:AH112),$AH$2:$AH$1001,0),0), INDEX($AO$1004:$BQ$1004,1,MATCH(COLUMNS($AO$1006:AW1006),$AO$1006:$BQ$1006,0)))),"Fix")))</f>
        <v>#N/A</v>
      </c>
      <c r="K112" s="5" t="e">
        <f ca="1">IF(OR(INDEX($AI$2:$AI$1001,MATCH(ROWS($AH$2:AH112),$AH$2:$AH$1001,0),1)&gt;=100000,INDEX($AO$1005:$BQ$1005,1,MATCH(COLUMNS($AO$1006:AX1006),$AO$1006:$BQ$1006,0))&gt;=100000), " ",IF(INDEX($AO$2:$BQ$1001,MATCH(ROWS($AH$2:AH112),$AH$2:$AH$1001,0),MATCH(COLUMNS($AO$1006:AX1006),$AO$1006:$BQ$1006,0)), HYPERLINK("#",""), HYPERLINK(CONCATENATE("#Metadata!", ADDRESS(INDEX($AJ$2:$AJ$1001,MATCH(ROWS($AH$2:AH112),$AH$2:$AH$1001,0),0), INDEX($AO$1004:$BQ$1004,1,MATCH(COLUMNS($AO$1006:AX1006),$AO$1006:$BQ$1006,0)))),"Fix")))</f>
        <v>#N/A</v>
      </c>
      <c r="L112" s="5" t="e">
        <f ca="1">IF(OR(INDEX($AI$2:$AI$1001,MATCH(ROWS($AH$2:AH112),$AH$2:$AH$1001,0),1)&gt;=100000,INDEX($AO$1005:$BQ$1005,1,MATCH(COLUMNS($AO$1006:AY1006),$AO$1006:$BQ$1006,0))&gt;=100000), " ",IF(INDEX($AO$2:$BQ$1001,MATCH(ROWS($AH$2:AH112),$AH$2:$AH$1001,0),MATCH(COLUMNS($AO$1006:AY1006),$AO$1006:$BQ$1006,0)), HYPERLINK("#",""), HYPERLINK(CONCATENATE("#Metadata!", ADDRESS(INDEX($AJ$2:$AJ$1001,MATCH(ROWS($AH$2:AH112),$AH$2:$AH$1001,0),0), INDEX($AO$1004:$BQ$1004,1,MATCH(COLUMNS($AO$1006:AY1006),$AO$1006:$BQ$1006,0)))),"Fix")))</f>
        <v>#N/A</v>
      </c>
      <c r="M112" s="5" t="e">
        <f ca="1">IF(OR(INDEX($AI$2:$AI$1001,MATCH(ROWS($AH$2:AH112),$AH$2:$AH$1001,0),1)&gt;=100000,INDEX($AO$1005:$BQ$1005,1,MATCH(COLUMNS($AO$1006:AZ1006),$AO$1006:$BQ$1006,0))&gt;=100000), " ",IF(INDEX($AO$2:$BQ$1001,MATCH(ROWS($AH$2:AH112),$AH$2:$AH$1001,0),MATCH(COLUMNS($AO$1006:AZ1006),$AO$1006:$BQ$1006,0)), HYPERLINK("#",""), HYPERLINK(CONCATENATE("#Metadata!", ADDRESS(INDEX($AJ$2:$AJ$1001,MATCH(ROWS($AH$2:AH112),$AH$2:$AH$1001,0),0), INDEX($AO$1004:$BQ$1004,1,MATCH(COLUMNS($AO$1006:AZ1006),$AO$1006:$BQ$1006,0)))),"Fix")))</f>
        <v>#N/A</v>
      </c>
      <c r="N112" s="5" t="e">
        <f ca="1">IF(OR(INDEX($AI$2:$AI$1001,MATCH(ROWS($AH$2:AH112),$AH$2:$AH$1001,0),1)&gt;=100000,INDEX($AO$1005:$BQ$1005,1,MATCH(COLUMNS($AO$1006:BA1006),$AO$1006:$BQ$1006,0))&gt;=100000), " ",IF(INDEX($AO$2:$BQ$1001,MATCH(ROWS($AH$2:AH112),$AH$2:$AH$1001,0),MATCH(COLUMNS($AO$1006:BA1006),$AO$1006:$BQ$1006,0)), HYPERLINK("#",""), HYPERLINK(CONCATENATE("#Metadata!", ADDRESS(INDEX($AJ$2:$AJ$1001,MATCH(ROWS($AH$2:AH112),$AH$2:$AH$1001,0),0), INDEX($AO$1004:$BQ$1004,1,MATCH(COLUMNS($AO$1006:BA1006),$AO$1006:$BQ$1006,0)))),"Fix")))</f>
        <v>#N/A</v>
      </c>
      <c r="O112" s="5" t="e">
        <f ca="1">IF(OR(INDEX($AI$2:$AI$1001,MATCH(ROWS($AH$2:AH112),$AH$2:$AH$1001,0),1)&gt;=100000,INDEX($AO$1005:$BQ$1005,1,MATCH(COLUMNS($AO$1006:BB1006),$AO$1006:$BQ$1006,0))&gt;=100000), " ",IF(INDEX($AO$2:$BQ$1001,MATCH(ROWS($AH$2:AH112),$AH$2:$AH$1001,0),MATCH(COLUMNS($AO$1006:BB1006),$AO$1006:$BQ$1006,0)), HYPERLINK("#",""), HYPERLINK(CONCATENATE("#Metadata!", ADDRESS(INDEX($AJ$2:$AJ$1001,MATCH(ROWS($AH$2:AH112),$AH$2:$AH$1001,0),0), INDEX($AO$1004:$BQ$1004,1,MATCH(COLUMNS($AO$1006:BB1006),$AO$1006:$BQ$1006,0)))),"Fix")))</f>
        <v>#N/A</v>
      </c>
      <c r="P112" s="5" t="e">
        <f ca="1">IF(OR(INDEX($AI$2:$AI$1001,MATCH(ROWS($AH$2:AH112),$AH$2:$AH$1001,0),1)&gt;=100000,INDEX($AO$1005:$BQ$1005,1,MATCH(COLUMNS($AO$1006:BC1006),$AO$1006:$BQ$1006,0))&gt;=100000), " ",IF(INDEX($AO$2:$BQ$1001,MATCH(ROWS($AH$2:AH112),$AH$2:$AH$1001,0),MATCH(COLUMNS($AO$1006:BC1006),$AO$1006:$BQ$1006,0)), HYPERLINK("#",""), HYPERLINK(CONCATENATE("#Metadata!", ADDRESS(INDEX($AJ$2:$AJ$1001,MATCH(ROWS($AH$2:AH112),$AH$2:$AH$1001,0),0), INDEX($AO$1004:$BQ$1004,1,MATCH(COLUMNS($AO$1006:BC1006),$AO$1006:$BQ$1006,0)))),"Fix")))</f>
        <v>#N/A</v>
      </c>
      <c r="Q112" s="5" t="e">
        <f ca="1">IF(OR(INDEX($AI$2:$AI$1001,MATCH(ROWS($AH$2:AH112),$AH$2:$AH$1001,0),1)&gt;=100000,INDEX($AO$1005:$BQ$1005,1,MATCH(COLUMNS($AO$1006:BD1006),$AO$1006:$BQ$1006,0))&gt;=100000), " ",IF(INDEX($AO$2:$BQ$1001,MATCH(ROWS($AH$2:AH112),$AH$2:$AH$1001,0),MATCH(COLUMNS($AO$1006:BD1006),$AO$1006:$BQ$1006,0)), HYPERLINK("#",""), HYPERLINK(CONCATENATE("#Metadata!", ADDRESS(INDEX($AJ$2:$AJ$1001,MATCH(ROWS($AH$2:AH112),$AH$2:$AH$1001,0),0), INDEX($AO$1004:$BQ$1004,1,MATCH(COLUMNS($AO$1006:BD1006),$AO$1006:$BQ$1006,0)))),"Fix")))</f>
        <v>#N/A</v>
      </c>
      <c r="R112" s="5" t="e">
        <f ca="1">IF(OR(INDEX($AI$2:$AI$1001,MATCH(ROWS($AH$2:AH112),$AH$2:$AH$1001,0),1)&gt;=100000,INDEX($AO$1005:$BQ$1005,1,MATCH(COLUMNS($AO$1006:BE1006),$AO$1006:$BQ$1006,0))&gt;=100000), " ",IF(INDEX($AO$2:$BQ$1001,MATCH(ROWS($AH$2:AH112),$AH$2:$AH$1001,0),MATCH(COLUMNS($AO$1006:BE1006),$AO$1006:$BQ$1006,0)), HYPERLINK("#",""), HYPERLINK(CONCATENATE("#Metadata!", ADDRESS(INDEX($AJ$2:$AJ$1001,MATCH(ROWS($AH$2:AH112),$AH$2:$AH$1001,0),0), INDEX($AO$1004:$BQ$1004,1,MATCH(COLUMNS($AO$1006:BE1006),$AO$1006:$BQ$1006,0)))),"Fix")))</f>
        <v>#N/A</v>
      </c>
      <c r="S112" s="5" t="e">
        <f ca="1">IF(OR(INDEX($AI$2:$AI$1001,MATCH(ROWS($AH$2:AH112),$AH$2:$AH$1001,0),1)&gt;=100000,INDEX($AO$1005:$BQ$1005,1,MATCH(COLUMNS($AO$1006:BF1006),$AO$1006:$BQ$1006,0))&gt;=100000), " ",IF(INDEX($AO$2:$BQ$1001,MATCH(ROWS($AH$2:AH112),$AH$2:$AH$1001,0),MATCH(COLUMNS($AO$1006:BF1006),$AO$1006:$BQ$1006,0)), HYPERLINK("#",""), HYPERLINK(CONCATENATE("#Metadata!", ADDRESS(INDEX($AJ$2:$AJ$1001,MATCH(ROWS($AH$2:AH112),$AH$2:$AH$1001,0),0), INDEX($AO$1004:$BQ$1004,1,MATCH(COLUMNS($AO$1006:BF1006),$AO$1006:$BQ$1006,0)))),"Fix")))</f>
        <v>#N/A</v>
      </c>
      <c r="T112" s="5" t="e">
        <f ca="1">IF(OR(INDEX($AI$2:$AI$1001,MATCH(ROWS($AH$2:AH112),$AH$2:$AH$1001,0),1)&gt;=100000,INDEX($AO$1005:$BQ$1005,1,MATCH(COLUMNS($AO$1006:BG1006),$AO$1006:$BQ$1006,0))&gt;=100000), " ",IF(INDEX($AO$2:$BQ$1001,MATCH(ROWS($AH$2:AH112),$AH$2:$AH$1001,0),MATCH(COLUMNS($AO$1006:BG1006),$AO$1006:$BQ$1006,0)), HYPERLINK("#",""), HYPERLINK(CONCATENATE("#Metadata!", ADDRESS(INDEX($AJ$2:$AJ$1001,MATCH(ROWS($AH$2:AH112),$AH$2:$AH$1001,0),0), INDEX($AO$1004:$BQ$1004,1,MATCH(COLUMNS($AO$1006:BG1006),$AO$1006:$BQ$1006,0)))),"Fix")))</f>
        <v>#N/A</v>
      </c>
      <c r="U112" s="5" t="e">
        <f ca="1">IF(OR(INDEX($AI$2:$AI$1001,MATCH(ROWS($AH$2:AH112),$AH$2:$AH$1001,0),1)&gt;=100000,INDEX($AO$1005:$BQ$1005,1,MATCH(COLUMNS($AO$1006:BH1006),$AO$1006:$BQ$1006,0))&gt;=100000), " ",IF(INDEX($AO$2:$BQ$1001,MATCH(ROWS($AH$2:AH112),$AH$2:$AH$1001,0),MATCH(COLUMNS($AO$1006:BH1006),$AO$1006:$BQ$1006,0)), HYPERLINK("#",""), HYPERLINK(CONCATENATE("#Metadata!", ADDRESS(INDEX($AJ$2:$AJ$1001,MATCH(ROWS($AH$2:AH112),$AH$2:$AH$1001,0),0), INDEX($AO$1004:$BQ$1004,1,MATCH(COLUMNS($AO$1006:BH1006),$AO$1006:$BQ$1006,0)))),"Fix")))</f>
        <v>#N/A</v>
      </c>
      <c r="V112" s="5" t="e">
        <f ca="1">IF(OR(INDEX($AI$2:$AI$1001,MATCH(ROWS($AH$2:AH112),$AH$2:$AH$1001,0),1)&gt;=100000,INDEX($AO$1005:$BQ$1005,1,MATCH(COLUMNS($AO$1006:BI1006),$AO$1006:$BQ$1006,0))&gt;=100000), " ",IF(INDEX($AO$2:$BQ$1001,MATCH(ROWS($AH$2:AH112),$AH$2:$AH$1001,0),MATCH(COLUMNS($AO$1006:BI1006),$AO$1006:$BQ$1006,0)), HYPERLINK("#",""), HYPERLINK(CONCATENATE("#Metadata!", ADDRESS(INDEX($AJ$2:$AJ$1001,MATCH(ROWS($AH$2:AH112),$AH$2:$AH$1001,0),0), INDEX($AO$1004:$BQ$1004,1,MATCH(COLUMNS($AO$1006:BI1006),$AO$1006:$BQ$1006,0)))),"Fix")))</f>
        <v>#N/A</v>
      </c>
      <c r="W112" s="5" t="e">
        <f ca="1">IF(OR(INDEX($AI$2:$AI$1001,MATCH(ROWS($AH$2:AH112),$AH$2:$AH$1001,0),1)&gt;=100000,INDEX($AO$1005:$BQ$1005,1,MATCH(COLUMNS($AO$1006:BJ1006),$AO$1006:$BQ$1006,0))&gt;=100000), " ",IF(INDEX($AO$2:$BQ$1001,MATCH(ROWS($AH$2:AH112),$AH$2:$AH$1001,0),MATCH(COLUMNS($AO$1006:BJ1006),$AO$1006:$BQ$1006,0)), HYPERLINK("#",""), HYPERLINK(CONCATENATE("#Metadata!", ADDRESS(INDEX($AJ$2:$AJ$1001,MATCH(ROWS($AH$2:AH112),$AH$2:$AH$1001,0),0), INDEX($AO$1004:$BQ$1004,1,MATCH(COLUMNS($AO$1006:BJ1006),$AO$1006:$BQ$1006,0)))),"Fix")))</f>
        <v>#N/A</v>
      </c>
      <c r="X112" s="5" t="e">
        <f ca="1">IF(OR(INDEX($AI$2:$AI$1001,MATCH(ROWS($AH$2:AH112),$AH$2:$AH$1001,0),1)&gt;=100000,INDEX($AO$1005:$BQ$1005,1,MATCH(COLUMNS($AO$1006:BK1006),$AO$1006:$BQ$1006,0))&gt;=100000), " ",IF(INDEX($AO$2:$BQ$1001,MATCH(ROWS($AH$2:AH112),$AH$2:$AH$1001,0),MATCH(COLUMNS($AO$1006:BK1006),$AO$1006:$BQ$1006,0)), HYPERLINK("#",""), HYPERLINK(CONCATENATE("#Metadata!", ADDRESS(INDEX($AJ$2:$AJ$1001,MATCH(ROWS($AH$2:AH112),$AH$2:$AH$1001,0),0), INDEX($AO$1004:$BQ$1004,1,MATCH(COLUMNS($AO$1006:BK1006),$AO$1006:$BQ$1006,0)))),"Fix")))</f>
        <v>#N/A</v>
      </c>
      <c r="Y112" s="5" t="e">
        <f ca="1">IF(OR(INDEX($AI$2:$AI$1001,MATCH(ROWS($AH$2:AH112),$AH$2:$AH$1001,0),1)&gt;=100000,INDEX($AO$1005:$BQ$1005,1,MATCH(COLUMNS($AO$1006:BL1006),$AO$1006:$BQ$1006,0))&gt;=100000), " ",IF(INDEX($AO$2:$BQ$1001,MATCH(ROWS($AH$2:AH112),$AH$2:$AH$1001,0),MATCH(COLUMNS($AO$1006:BL1006),$AO$1006:$BQ$1006,0)), HYPERLINK("#",""), HYPERLINK(CONCATENATE("#Metadata!", ADDRESS(INDEX($AJ$2:$AJ$1001,MATCH(ROWS($AH$2:AH112),$AH$2:$AH$1001,0),0), INDEX($AO$1004:$BQ$1004,1,MATCH(COLUMNS($AO$1006:BL1006),$AO$1006:$BQ$1006,0)))),"Fix")))</f>
        <v>#N/A</v>
      </c>
      <c r="Z112" s="5" t="e">
        <f ca="1">IF(OR(INDEX($AI$2:$AI$1001,MATCH(ROWS($AH$2:AH112),$AH$2:$AH$1001,0),1)&gt;=100000,INDEX($AO$1005:$BQ$1005,1,MATCH(COLUMNS($AO$1006:BM1006),$AO$1006:$BQ$1006,0))&gt;=100000), " ",IF(INDEX($AO$2:$BQ$1001,MATCH(ROWS($AH$2:AH112),$AH$2:$AH$1001,0),MATCH(COLUMNS($AO$1006:BM1006),$AO$1006:$BQ$1006,0)), HYPERLINK("#",""), HYPERLINK(CONCATENATE("#Metadata!", ADDRESS(INDEX($AJ$2:$AJ$1001,MATCH(ROWS($AH$2:AH112),$AH$2:$AH$1001,0),0), INDEX($AO$1004:$BQ$1004,1,MATCH(COLUMNS($AO$1006:BM1006),$AO$1006:$BQ$1006,0)))),"Fix")))</f>
        <v>#N/A</v>
      </c>
      <c r="AA112" s="5" t="e">
        <f ca="1">IF(OR(INDEX($AI$2:$AI$1001,MATCH(ROWS($AH$2:AH112),$AH$2:$AH$1001,0),1)&gt;=100000,INDEX($AO$1005:$BQ$1005,1,MATCH(COLUMNS($AO$1006:BN1006),$AO$1006:$BQ$1006,0))&gt;=100000), " ",IF(INDEX($AO$2:$BQ$1001,MATCH(ROWS($AH$2:AH112),$AH$2:$AH$1001,0),MATCH(COLUMNS($AO$1006:BN1006),$AO$1006:$BQ$1006,0)), HYPERLINK("#",""), HYPERLINK(CONCATENATE("#Metadata!", ADDRESS(INDEX($AJ$2:$AJ$1001,MATCH(ROWS($AH$2:AH112),$AH$2:$AH$1001,0),0), INDEX($AO$1004:$BQ$1004,1,MATCH(COLUMNS($AO$1006:BN1006),$AO$1006:$BQ$1006,0)))),"Fix")))</f>
        <v>#N/A</v>
      </c>
      <c r="AB112" s="5" t="e">
        <f ca="1">IF(OR(INDEX($AI$2:$AI$1001,MATCH(ROWS($AH$2:AH112),$AH$2:$AH$1001,0),1)&gt;=100000,INDEX($AO$1005:$BQ$1005,1,MATCH(COLUMNS($AO$1006:BO1006),$AO$1006:$BQ$1006,0))&gt;=100000), " ",IF(INDEX($AO$2:$BQ$1001,MATCH(ROWS($AH$2:AH112),$AH$2:$AH$1001,0),MATCH(COLUMNS($AO$1006:BO1006),$AO$1006:$BQ$1006,0)), HYPERLINK("#",""), HYPERLINK(CONCATENATE("#Metadata!", ADDRESS(INDEX($AJ$2:$AJ$1001,MATCH(ROWS($AH$2:AH112),$AH$2:$AH$1001,0),0), INDEX($AO$1004:$BQ$1004,1,MATCH(COLUMNS($AO$1006:BO1006),$AO$1006:$BQ$1006,0)))),"Fix")))</f>
        <v>#N/A</v>
      </c>
      <c r="AC112" s="5" t="e">
        <f ca="1">IF(OR(INDEX($AI$2:$AI$1001,MATCH(ROWS($AH$2:AH112),$AH$2:$AH$1001,0),1)&gt;=100000,INDEX($AO$1005:$BQ$1005,1,MATCH(COLUMNS($AO$1006:BP1006),$AO$1006:$BQ$1006,0))&gt;=100000), " ",IF(INDEX($AO$2:$BQ$1001,MATCH(ROWS($AH$2:AH112),$AH$2:$AH$1001,0),MATCH(COLUMNS($AO$1006:BP1006),$AO$1006:$BQ$1006,0)), HYPERLINK("#",""), HYPERLINK(CONCATENATE("#Metadata!", ADDRESS(INDEX($AJ$2:$AJ$1001,MATCH(ROWS($AH$2:AH112),$AH$2:$AH$1001,0),0), INDEX($AO$1004:$BQ$1004,1,MATCH(COLUMNS($AO$1006:BP1006),$AO$1006:$BQ$1006,0)))),"Fix")))</f>
        <v>#N/A</v>
      </c>
      <c r="AD112" s="5" t="e">
        <f ca="1">IF(OR(INDEX($AI$2:$AI$1001,MATCH(ROWS($AH$2:AH112),$AH$2:$AH$1001,0),1)&gt;=100000,INDEX($AO$1005:$BQ$1005,1,MATCH(COLUMNS($AO$1006:BQ1006),$AO$1006:$BQ$1006,0))&gt;=100000), " ",IF(INDEX($AO$2:$BQ$1001,MATCH(ROWS($AH$2:AH112),$AH$2:$AH$1001,0),MATCH(COLUMNS($AO$1006:BQ1006),$AO$1006:$BQ$1006,0)), HYPERLINK("#",""), HYPERLINK(CONCATENATE("#Metadata!", ADDRESS(INDEX($AJ$2:$AJ$1001,MATCH(ROWS($AH$2:AH112),$AH$2:$AH$1001,0),0), INDEX($AO$1004:$BQ$1004,1,MATCH(COLUMNS($AO$1006:BQ1006),$AO$1006:$BQ$1006,0)))),"Fix")))</f>
        <v>#REF!</v>
      </c>
      <c r="AH112">
        <f ca="1"/>
        <v>109</v>
      </c>
      <c r="AI112">
        <v>100112</v>
      </c>
      <c r="AJ112">
        <v>112</v>
      </c>
      <c r="AK112" t="b">
        <f t="shared" si="1"/>
        <v>1</v>
      </c>
      <c r="AL112" t="b">
        <f>COUNTBLANK(Metadata!B112:AD112)=COLUMNS(Metadata!B112:AD112)</f>
        <v>1</v>
      </c>
      <c r="AM112" t="str">
        <v/>
      </c>
      <c r="AO112" t="b">
        <f ca="1">AND(IF(Metadata!B112="",FALSE,TRUE),COUNTIF(Metadata!B:B, Metadata!B112) = 1,NOT(ISERROR(SUMPRODUCT(SEARCH(MID(Metadata!B112,ROW(INDIRECT("1:"&amp;LEN(Metadata!B112))), 1),"0123456789abcdefghijklmnopqrstuvwxyzABCDEFGHIJKLMNOPQRSTUVWXYZ.")))))</f>
        <v>0</v>
      </c>
      <c r="AP112" t="b">
        <f>IF(Metadata!C112="",FALSE,TRUE)</f>
        <v>0</v>
      </c>
      <c r="AQ112" t="b">
        <f>IF(Metadata!D112="",FALSE,TRUE)</f>
        <v>0</v>
      </c>
      <c r="AR112" t="b">
        <f ca="1">OR(AND(IF(Metadata!E112="",FALSE,TRUE),OR(EXACT(Metadata!E112,"not collected"),EXACT(Metadata!E112,"not provided"),EXACT(Metadata!E112,"restricted access"))),AND(IF(Metadata!E112="",FALSE,TRUE),AND(AND(IFERROR(INT(LEFT(Metadata!E112,4))&gt;1900,FALSE),IFERROR(INT(LEFT(Metadata!E112,4))&lt;=YEAR(NOW()),FALSE)), OR(MID(Metadata!E112,5,1)="", AND(AND(MID(Metadata!E112,5,1)="-",IFERROR(INT(MID(Metadata!E112,6,1))&gt;=0,FALSE),IFERROR(INT(MID(Metadata!E112,6,1))&lt;=1,FALSE),NOT(MID(Metadata!E112,7,1)=""),IFERROR(INT(MID(Metadata!E112,6,2))&gt;=1,FALSE),IFERROR(INT(MID(Metadata!E112,6,2))&lt;=12,FALSE)), OR(MID(Metadata!E112,8,1)="", AND(AND(MID(Metadata!E112,8,1)="-",IFERROR(INT(MID(Metadata!E112,9,1))&gt;=0,FALSE),IFERROR(INT(MID(Metadata!E112,9,1))&lt;=3,FALSE),NOT(MID(Metadata!E112,10,1)=""),IFERROR(INT(MID(Metadata!E112,9,2))&gt;=1,FALSE),IFERROR(INT(MID(Metadata!E112,9,2))&lt;=31,FALSE)), OR(MID(Metadata!E112,11,1)="", AND(AND(MID(Metadata!E112,11,1)=" ",IFERROR(INT(MID(Metadata!E112,12,1))&gt;=0,FALSE),IFERROR(INT(MID(Metadata!E112,12,1))&lt;=2,FALSE),NOT(MID(Metadata!E112,13,1)=""),IFERROR(INT(MID(Metadata!E112,12,2))&gt;=0,FALSE),IFERROR(INT(MID(Metadata!E112,12,2))&lt;=23,FALSE)), OR(MID(Metadata!E112,14,1)="", AND(AND(MID(Metadata!E112,14,1)=":",IFERROR(INT(MID(Metadata!E112,15,1))&gt;=0,FALSE),IFERROR(INT(MID(Metadata!E112,15,1))&lt;=5,FALSE),NOT(MID(Metadata!E112,16,1)=""),IFERROR(INT(MID(Metadata!E112,15,2))&gt;=0,FALSE),IFERROR(INT(MID(Metadata!E112,15,2))&lt;=59,FALSE)), OR(MID(Metadata!E112,17,1)="", AND(AND(MID(Metadata!E112,17,1)=":",IFERROR(INT(MID(Metadata!E112,18,1))&gt;=0,FALSE),IFERROR(INT(MID(Metadata!E112,18,1))&lt;=5,FALSE),NOT(MID(Metadata!E112,19,1)=""),IFERROR(INT(MID(Metadata!E112,18,2))&gt;=0,FALSE),IFERROR(INT(MID(Metadata!E112,18,2))&lt;=59,FALSE)), LEN(Metadata!E112)&lt;=19)))))))))))))</f>
        <v>0</v>
      </c>
      <c r="AS112" t="b">
        <f>IF(Metadata!F112="",FALSE,TRUE)</f>
        <v>0</v>
      </c>
      <c r="AT112" t="b">
        <f>OR(AND(IF(Metadata!G112="",FALSE,TRUE),OR(EXACT(Metadata!G112,"not collected"),EXACT(Metadata!G112,"not provided"))),AND(IF(Metadata!G112="",FALSE,TRUE),OR(EXACT(Metadata!G112,"TRUE"),EXACT(Metadata!G112,"FALSE"))))</f>
        <v>0</v>
      </c>
      <c r="AU112" t="b">
        <f>OR(AND(IF(Metadata!H112="",FALSE,TRUE),OR(EXACT(Metadata!H112,"not collected"),EXACT(Metadata!H112,"not provided"),EXACT(Metadata!H112,"restricted access"))),AND(IF(Metadata!H112="",FALSE,ISNUMBER(VALUE(Metadata!H112))),Metadata!H112&gt;=-413))</f>
        <v>0</v>
      </c>
      <c r="AV112" t="b">
        <f>AND(IF(Metadata!I112="",FALSE,TRUE),EXACT(Metadata!I112,"meters"))</f>
        <v>0</v>
      </c>
      <c r="AW112" t="b">
        <f>AND(IF(Metadata!J112="",FALSE,TRUE),EXACT(Metadata!J112,"free-living"))</f>
        <v>0</v>
      </c>
      <c r="AX112" t="b">
        <f>AND(IF(Metadata!K112="",FALSE,TRUE),OR(EXACT(Metadata!K112,"saline"),EXACT(Metadata!K112,"non-saline")))</f>
        <v>0</v>
      </c>
      <c r="AY112" t="b">
        <f>AND(IF(Metadata!L112="",FALSE,TRUE),OR(EXACT(Metadata!L112,"sub-surface (non-saline)"),EXACT(Metadata!L112,"surface (non-saline)"),EXACT(Metadata!L112,"water (non-saline)"),EXACT(Metadata!L112,"soil (non-saline)"),EXACT(Metadata!L112,"aerosol (non-saline)"),EXACT(Metadata!L112,"sediment (non-saline)"),EXACT(Metadata!L112,"surface (saline)"),EXACT(Metadata!L112,"water (saline)"),EXACT(Metadata!L112,"hypersaline (saline)"),EXACT(Metadata!L112,"aerosol (saline)"),EXACT(Metadata!L112,"sediment (saline)")))</f>
        <v>0</v>
      </c>
      <c r="AZ112" t="b">
        <f>IF(Metadata!M112="",FALSE,TRUE)</f>
        <v>0</v>
      </c>
      <c r="BA112" t="b">
        <f>IF(Metadata!N112="",FALSE,TRUE)</f>
        <v>0</v>
      </c>
      <c r="BB112" t="b">
        <f>IF(Metadata!O112="",FALSE,TRUE)</f>
        <v>0</v>
      </c>
      <c r="BC112" t="b">
        <f>AND(IF(Metadata!P112="",FALSE,TRUE),OR(EXACT(Metadata!P112,"air"),EXACT(Metadata!P112,"microbial mat/biofilm"),EXACT(Metadata!P112,"misc environment"),EXACT(Metadata!P112,"sediment"),EXACT(Metadata!P112,"soil"),EXACT(Metadata!P112,"wastewater/sludge"),EXACT(Metadata!P112,"water")))</f>
        <v>0</v>
      </c>
      <c r="BD112" t="b">
        <f>IF(Metadata!Q112="",FALSE,TRUE)</f>
        <v>0</v>
      </c>
      <c r="BE112" t="b">
        <f>IF(Metadata!R112="",FALSE,TRUE)</f>
        <v>0</v>
      </c>
      <c r="BF112" t="b">
        <f>OR(AND(IF(Metadata!S112="",FALSE,TRUE),OR(EXACT(Metadata!S112,"not collected"),EXACT(Metadata!S112,"not provided"),EXACT(Metadata!S112,"restricted access"))),AND(IF(Metadata!S112="",FALSE,ISNUMBER(VALUE(Metadata!S112))),Metadata!S112&gt;=-90,Metadata!S112&lt;=90))</f>
        <v>0</v>
      </c>
      <c r="BG112" t="b">
        <f>AND(IF(Metadata!T112="",FALSE,TRUE),EXACT(Metadata!T112,"Decimal degrees"))</f>
        <v>0</v>
      </c>
      <c r="BH112" t="b">
        <f>OR(AND(IF(Metadata!U112="",FALSE,TRUE),OR(EXACT(Metadata!U112,"not applicable"),EXACT(Metadata!U112,"not collected"))),IF(Metadata!U112="",FALSE,TRUE))</f>
        <v>0</v>
      </c>
      <c r="BI112" t="b">
        <f>OR(AND(IF(Metadata!V112="",FALSE,TRUE),OR(EXACT(Metadata!V112,"not collected"),EXACT(Metadata!V112,"not provided"),EXACT(Metadata!V112,"restricted access"))),AND(IF(Metadata!V112="",FALSE,ISNUMBER(VALUE(Metadata!V112))),Metadata!V112&gt;=-180,Metadata!V112&lt;=180))</f>
        <v>0</v>
      </c>
      <c r="BJ112" t="b">
        <f>AND(IF(Metadata!W112="",FALSE,TRUE),EXACT(Metadata!W112,"Decimal degrees"))</f>
        <v>0</v>
      </c>
      <c r="BK112" t="b">
        <f>IF(Metadata!X112="",FALSE,TRUE)</f>
        <v>0</v>
      </c>
      <c r="BL112" t="b">
        <f>OR(AND(IF(Metadata!Y112="",FALSE,TRUE),OR(EXACT(Metadata!Y112,"not collected"),EXACT(Metadata!Y112,"not provided"),EXACT(Metadata!Y112,"restricted access"))),AND(IF(Metadata!Y112="",FALSE,TRUE),OR(EXACT(Metadata!Y112,"TRUE"),EXACT(Metadata!Y112,"FALSE"))))</f>
        <v>0</v>
      </c>
      <c r="BM112" t="b">
        <f>OR(AND(IF(Metadata!Z112="",FALSE,TRUE),EXACT(Metadata!Z112,"not applicable")),AND(IF(Metadata!Z112="",FALSE,TRUE),OR(EXACT(Metadata!Z112,"beer"),EXACT(Metadata!Z112,"cheese"),EXACT(Metadata!Z112,"fresh water"),EXACT(Metadata!Z112,"marine sediment"),EXACT(Metadata!Z112,"sea water"),EXACT(Metadata!Z112,"sediment"),EXACT(Metadata!Z112,"soil"),EXACT(Metadata!Z112,"waste water"))))</f>
        <v>0</v>
      </c>
      <c r="BN112" t="b">
        <f>AND(IF(Metadata!AA112="",FALSE,TRUE),EXACT(Metadata!AA112,"metagenome"))</f>
        <v>0</v>
      </c>
      <c r="BO112" t="b">
        <f>AND(IF(Metadata!AB112="",FALSE,TRUE),EXACT(Metadata!AB112,"256318"))</f>
        <v>0</v>
      </c>
      <c r="BP112" t="b">
        <f>IF(Metadata!AC112="",FALSE,TRUE)</f>
        <v>0</v>
      </c>
      <c r="BQ112" t="b">
        <f>IF(Metadata!AD112="",FALSE,TRUE)</f>
        <v>0</v>
      </c>
    </row>
    <row r="113" spans="1:69" x14ac:dyDescent="0.2">
      <c r="A113" s="4" t="e">
        <f ca="1">IF(B113=" "," ",HYPERLINK(CONCATENATE("#metadata!",ADDRESS(INDEX($AJ$2:$AJ$1001,MATCH(ROWS($AH$2:AH113),$AH$2:$AH$1001,0),0),2)),INDEX($AM$2:$AM$1001,MATCH(ROWS($AH$2:AH113),$AH$2:$AH$1001,0),0)))</f>
        <v>#N/A</v>
      </c>
      <c r="B113" s="5" t="e">
        <f ca="1">IF(OR(INDEX($AI$2:$AI$1001,MATCH(ROWS($AH$2:AH113),$AH$2:$AH$1001,0),1)&gt;=100000,INDEX($AO$1005:$BQ$1005,1,MATCH(COLUMNS($AO$1006:AO1006),$AO$1006:$BQ$1006,0))&gt;=100000), " ",IF(INDEX($AO$2:$BQ$1001,MATCH(ROWS($AH$2:AH113),$AH$2:$AH$1001,0),MATCH(COLUMNS($AO$1006:AO1006),$AO$1006:$BQ$1006,0)), HYPERLINK("#",""), HYPERLINK(CONCATENATE("#Metadata!", ADDRESS(INDEX($AJ$2:$AJ$1001,MATCH(ROWS($AH$2:AH113),$AH$2:$AH$1001,0),0), INDEX($AO$1004:$BQ$1004,1,MATCH(COLUMNS($AO$1006:AO1006),$AO$1006:$BQ$1006,0)))),"Fix")))</f>
        <v>#N/A</v>
      </c>
      <c r="C113" s="5" t="e">
        <f ca="1">IF(OR(INDEX($AI$2:$AI$1001,MATCH(ROWS($AH$2:AH113),$AH$2:$AH$1001,0),1)&gt;=100000,INDEX($AO$1005:$BQ$1005,1,MATCH(COLUMNS($AO$1006:AP1006),$AO$1006:$BQ$1006,0))&gt;=100000), " ",IF(INDEX($AO$2:$BQ$1001,MATCH(ROWS($AH$2:AH113),$AH$2:$AH$1001,0),MATCH(COLUMNS($AO$1006:AP1006),$AO$1006:$BQ$1006,0)), HYPERLINK("#",""), HYPERLINK(CONCATENATE("#Metadata!", ADDRESS(INDEX($AJ$2:$AJ$1001,MATCH(ROWS($AH$2:AH113),$AH$2:$AH$1001,0),0), INDEX($AO$1004:$BQ$1004,1,MATCH(COLUMNS($AO$1006:AP1006),$AO$1006:$BQ$1006,0)))),"Fix")))</f>
        <v>#N/A</v>
      </c>
      <c r="D113" s="5" t="e">
        <f ca="1">IF(OR(INDEX($AI$2:$AI$1001,MATCH(ROWS($AH$2:AH113),$AH$2:$AH$1001,0),1)&gt;=100000,INDEX($AO$1005:$BQ$1005,1,MATCH(COLUMNS($AO$1006:AQ1006),$AO$1006:$BQ$1006,0))&gt;=100000), " ",IF(INDEX($AO$2:$BQ$1001,MATCH(ROWS($AH$2:AH113),$AH$2:$AH$1001,0),MATCH(COLUMNS($AO$1006:AQ1006),$AO$1006:$BQ$1006,0)), HYPERLINK("#",""), HYPERLINK(CONCATENATE("#Metadata!", ADDRESS(INDEX($AJ$2:$AJ$1001,MATCH(ROWS($AH$2:AH113),$AH$2:$AH$1001,0),0), INDEX($AO$1004:$BQ$1004,1,MATCH(COLUMNS($AO$1006:AQ1006),$AO$1006:$BQ$1006,0)))),"Fix")))</f>
        <v>#N/A</v>
      </c>
      <c r="E113" s="5" t="e">
        <f ca="1">IF(OR(INDEX($AI$2:$AI$1001,MATCH(ROWS($AH$2:AH113),$AH$2:$AH$1001,0),1)&gt;=100000,INDEX($AO$1005:$BQ$1005,1,MATCH(COLUMNS($AO$1006:AR1006),$AO$1006:$BQ$1006,0))&gt;=100000), " ",IF(INDEX($AO$2:$BQ$1001,MATCH(ROWS($AH$2:AH113),$AH$2:$AH$1001,0),MATCH(COLUMNS($AO$1006:AR1006),$AO$1006:$BQ$1006,0)), HYPERLINK("#",""), HYPERLINK(CONCATENATE("#Metadata!", ADDRESS(INDEX($AJ$2:$AJ$1001,MATCH(ROWS($AH$2:AH113),$AH$2:$AH$1001,0),0), INDEX($AO$1004:$BQ$1004,1,MATCH(COLUMNS($AO$1006:AR1006),$AO$1006:$BQ$1006,0)))),"Fix")))</f>
        <v>#N/A</v>
      </c>
      <c r="F113" s="5" t="e">
        <f ca="1">IF(OR(INDEX($AI$2:$AI$1001,MATCH(ROWS($AH$2:AH113),$AH$2:$AH$1001,0),1)&gt;=100000,INDEX($AO$1005:$BQ$1005,1,MATCH(COLUMNS($AO$1006:AS1006),$AO$1006:$BQ$1006,0))&gt;=100000), " ",IF(INDEX($AO$2:$BQ$1001,MATCH(ROWS($AH$2:AH113),$AH$2:$AH$1001,0),MATCH(COLUMNS($AO$1006:AS1006),$AO$1006:$BQ$1006,0)), HYPERLINK("#",""), HYPERLINK(CONCATENATE("#Metadata!", ADDRESS(INDEX($AJ$2:$AJ$1001,MATCH(ROWS($AH$2:AH113),$AH$2:$AH$1001,0),0), INDEX($AO$1004:$BQ$1004,1,MATCH(COLUMNS($AO$1006:AS1006),$AO$1006:$BQ$1006,0)))),"Fix")))</f>
        <v>#N/A</v>
      </c>
      <c r="G113" s="5" t="e">
        <f ca="1">IF(OR(INDEX($AI$2:$AI$1001,MATCH(ROWS($AH$2:AH113),$AH$2:$AH$1001,0),1)&gt;=100000,INDEX($AO$1005:$BQ$1005,1,MATCH(COLUMNS($AO$1006:AT1006),$AO$1006:$BQ$1006,0))&gt;=100000), " ",IF(INDEX($AO$2:$BQ$1001,MATCH(ROWS($AH$2:AH113),$AH$2:$AH$1001,0),MATCH(COLUMNS($AO$1006:AT1006),$AO$1006:$BQ$1006,0)), HYPERLINK("#",""), HYPERLINK(CONCATENATE("#Metadata!", ADDRESS(INDEX($AJ$2:$AJ$1001,MATCH(ROWS($AH$2:AH113),$AH$2:$AH$1001,0),0), INDEX($AO$1004:$BQ$1004,1,MATCH(COLUMNS($AO$1006:AT1006),$AO$1006:$BQ$1006,0)))),"Fix")))</f>
        <v>#N/A</v>
      </c>
      <c r="H113" s="5" t="e">
        <f ca="1">IF(OR(INDEX($AI$2:$AI$1001,MATCH(ROWS($AH$2:AH113),$AH$2:$AH$1001,0),1)&gt;=100000,INDEX($AO$1005:$BQ$1005,1,MATCH(COLUMNS($AO$1006:AU1006),$AO$1006:$BQ$1006,0))&gt;=100000), " ",IF(INDEX($AO$2:$BQ$1001,MATCH(ROWS($AH$2:AH113),$AH$2:$AH$1001,0),MATCH(COLUMNS($AO$1006:AU1006),$AO$1006:$BQ$1006,0)), HYPERLINK("#",""), HYPERLINK(CONCATENATE("#Metadata!", ADDRESS(INDEX($AJ$2:$AJ$1001,MATCH(ROWS($AH$2:AH113),$AH$2:$AH$1001,0),0), INDEX($AO$1004:$BQ$1004,1,MATCH(COLUMNS($AO$1006:AU1006),$AO$1006:$BQ$1006,0)))),"Fix")))</f>
        <v>#N/A</v>
      </c>
      <c r="I113" s="5" t="e">
        <f ca="1">IF(OR(INDEX($AI$2:$AI$1001,MATCH(ROWS($AH$2:AH113),$AH$2:$AH$1001,0),1)&gt;=100000,INDEX($AO$1005:$BQ$1005,1,MATCH(COLUMNS($AO$1006:AV1006),$AO$1006:$BQ$1006,0))&gt;=100000), " ",IF(INDEX($AO$2:$BQ$1001,MATCH(ROWS($AH$2:AH113),$AH$2:$AH$1001,0),MATCH(COLUMNS($AO$1006:AV1006),$AO$1006:$BQ$1006,0)), HYPERLINK("#",""), HYPERLINK(CONCATENATE("#Metadata!", ADDRESS(INDEX($AJ$2:$AJ$1001,MATCH(ROWS($AH$2:AH113),$AH$2:$AH$1001,0),0), INDEX($AO$1004:$BQ$1004,1,MATCH(COLUMNS($AO$1006:AV1006),$AO$1006:$BQ$1006,0)))),"Fix")))</f>
        <v>#N/A</v>
      </c>
      <c r="J113" s="5" t="e">
        <f ca="1">IF(OR(INDEX($AI$2:$AI$1001,MATCH(ROWS($AH$2:AH113),$AH$2:$AH$1001,0),1)&gt;=100000,INDEX($AO$1005:$BQ$1005,1,MATCH(COLUMNS($AO$1006:AW1006),$AO$1006:$BQ$1006,0))&gt;=100000), " ",IF(INDEX($AO$2:$BQ$1001,MATCH(ROWS($AH$2:AH113),$AH$2:$AH$1001,0),MATCH(COLUMNS($AO$1006:AW1006),$AO$1006:$BQ$1006,0)), HYPERLINK("#",""), HYPERLINK(CONCATENATE("#Metadata!", ADDRESS(INDEX($AJ$2:$AJ$1001,MATCH(ROWS($AH$2:AH113),$AH$2:$AH$1001,0),0), INDEX($AO$1004:$BQ$1004,1,MATCH(COLUMNS($AO$1006:AW1006),$AO$1006:$BQ$1006,0)))),"Fix")))</f>
        <v>#N/A</v>
      </c>
      <c r="K113" s="5" t="e">
        <f ca="1">IF(OR(INDEX($AI$2:$AI$1001,MATCH(ROWS($AH$2:AH113),$AH$2:$AH$1001,0),1)&gt;=100000,INDEX($AO$1005:$BQ$1005,1,MATCH(COLUMNS($AO$1006:AX1006),$AO$1006:$BQ$1006,0))&gt;=100000), " ",IF(INDEX($AO$2:$BQ$1001,MATCH(ROWS($AH$2:AH113),$AH$2:$AH$1001,0),MATCH(COLUMNS($AO$1006:AX1006),$AO$1006:$BQ$1006,0)), HYPERLINK("#",""), HYPERLINK(CONCATENATE("#Metadata!", ADDRESS(INDEX($AJ$2:$AJ$1001,MATCH(ROWS($AH$2:AH113),$AH$2:$AH$1001,0),0), INDEX($AO$1004:$BQ$1004,1,MATCH(COLUMNS($AO$1006:AX1006),$AO$1006:$BQ$1006,0)))),"Fix")))</f>
        <v>#N/A</v>
      </c>
      <c r="L113" s="5" t="e">
        <f ca="1">IF(OR(INDEX($AI$2:$AI$1001,MATCH(ROWS($AH$2:AH113),$AH$2:$AH$1001,0),1)&gt;=100000,INDEX($AO$1005:$BQ$1005,1,MATCH(COLUMNS($AO$1006:AY1006),$AO$1006:$BQ$1006,0))&gt;=100000), " ",IF(INDEX($AO$2:$BQ$1001,MATCH(ROWS($AH$2:AH113),$AH$2:$AH$1001,0),MATCH(COLUMNS($AO$1006:AY1006),$AO$1006:$BQ$1006,0)), HYPERLINK("#",""), HYPERLINK(CONCATENATE("#Metadata!", ADDRESS(INDEX($AJ$2:$AJ$1001,MATCH(ROWS($AH$2:AH113),$AH$2:$AH$1001,0),0), INDEX($AO$1004:$BQ$1004,1,MATCH(COLUMNS($AO$1006:AY1006),$AO$1006:$BQ$1006,0)))),"Fix")))</f>
        <v>#N/A</v>
      </c>
      <c r="M113" s="5" t="e">
        <f ca="1">IF(OR(INDEX($AI$2:$AI$1001,MATCH(ROWS($AH$2:AH113),$AH$2:$AH$1001,0),1)&gt;=100000,INDEX($AO$1005:$BQ$1005,1,MATCH(COLUMNS($AO$1006:AZ1006),$AO$1006:$BQ$1006,0))&gt;=100000), " ",IF(INDEX($AO$2:$BQ$1001,MATCH(ROWS($AH$2:AH113),$AH$2:$AH$1001,0),MATCH(COLUMNS($AO$1006:AZ1006),$AO$1006:$BQ$1006,0)), HYPERLINK("#",""), HYPERLINK(CONCATENATE("#Metadata!", ADDRESS(INDEX($AJ$2:$AJ$1001,MATCH(ROWS($AH$2:AH113),$AH$2:$AH$1001,0),0), INDEX($AO$1004:$BQ$1004,1,MATCH(COLUMNS($AO$1006:AZ1006),$AO$1006:$BQ$1006,0)))),"Fix")))</f>
        <v>#N/A</v>
      </c>
      <c r="N113" s="5" t="e">
        <f ca="1">IF(OR(INDEX($AI$2:$AI$1001,MATCH(ROWS($AH$2:AH113),$AH$2:$AH$1001,0),1)&gt;=100000,INDEX($AO$1005:$BQ$1005,1,MATCH(COLUMNS($AO$1006:BA1006),$AO$1006:$BQ$1006,0))&gt;=100000), " ",IF(INDEX($AO$2:$BQ$1001,MATCH(ROWS($AH$2:AH113),$AH$2:$AH$1001,0),MATCH(COLUMNS($AO$1006:BA1006),$AO$1006:$BQ$1006,0)), HYPERLINK("#",""), HYPERLINK(CONCATENATE("#Metadata!", ADDRESS(INDEX($AJ$2:$AJ$1001,MATCH(ROWS($AH$2:AH113),$AH$2:$AH$1001,0),0), INDEX($AO$1004:$BQ$1004,1,MATCH(COLUMNS($AO$1006:BA1006),$AO$1006:$BQ$1006,0)))),"Fix")))</f>
        <v>#N/A</v>
      </c>
      <c r="O113" s="5" t="e">
        <f ca="1">IF(OR(INDEX($AI$2:$AI$1001,MATCH(ROWS($AH$2:AH113),$AH$2:$AH$1001,0),1)&gt;=100000,INDEX($AO$1005:$BQ$1005,1,MATCH(COLUMNS($AO$1006:BB1006),$AO$1006:$BQ$1006,0))&gt;=100000), " ",IF(INDEX($AO$2:$BQ$1001,MATCH(ROWS($AH$2:AH113),$AH$2:$AH$1001,0),MATCH(COLUMNS($AO$1006:BB1006),$AO$1006:$BQ$1006,0)), HYPERLINK("#",""), HYPERLINK(CONCATENATE("#Metadata!", ADDRESS(INDEX($AJ$2:$AJ$1001,MATCH(ROWS($AH$2:AH113),$AH$2:$AH$1001,0),0), INDEX($AO$1004:$BQ$1004,1,MATCH(COLUMNS($AO$1006:BB1006),$AO$1006:$BQ$1006,0)))),"Fix")))</f>
        <v>#N/A</v>
      </c>
      <c r="P113" s="5" t="e">
        <f ca="1">IF(OR(INDEX($AI$2:$AI$1001,MATCH(ROWS($AH$2:AH113),$AH$2:$AH$1001,0),1)&gt;=100000,INDEX($AO$1005:$BQ$1005,1,MATCH(COLUMNS($AO$1006:BC1006),$AO$1006:$BQ$1006,0))&gt;=100000), " ",IF(INDEX($AO$2:$BQ$1001,MATCH(ROWS($AH$2:AH113),$AH$2:$AH$1001,0),MATCH(COLUMNS($AO$1006:BC1006),$AO$1006:$BQ$1006,0)), HYPERLINK("#",""), HYPERLINK(CONCATENATE("#Metadata!", ADDRESS(INDEX($AJ$2:$AJ$1001,MATCH(ROWS($AH$2:AH113),$AH$2:$AH$1001,0),0), INDEX($AO$1004:$BQ$1004,1,MATCH(COLUMNS($AO$1006:BC1006),$AO$1006:$BQ$1006,0)))),"Fix")))</f>
        <v>#N/A</v>
      </c>
      <c r="Q113" s="5" t="e">
        <f ca="1">IF(OR(INDEX($AI$2:$AI$1001,MATCH(ROWS($AH$2:AH113),$AH$2:$AH$1001,0),1)&gt;=100000,INDEX($AO$1005:$BQ$1005,1,MATCH(COLUMNS($AO$1006:BD1006),$AO$1006:$BQ$1006,0))&gt;=100000), " ",IF(INDEX($AO$2:$BQ$1001,MATCH(ROWS($AH$2:AH113),$AH$2:$AH$1001,0),MATCH(COLUMNS($AO$1006:BD1006),$AO$1006:$BQ$1006,0)), HYPERLINK("#",""), HYPERLINK(CONCATENATE("#Metadata!", ADDRESS(INDEX($AJ$2:$AJ$1001,MATCH(ROWS($AH$2:AH113),$AH$2:$AH$1001,0),0), INDEX($AO$1004:$BQ$1004,1,MATCH(COLUMNS($AO$1006:BD1006),$AO$1006:$BQ$1006,0)))),"Fix")))</f>
        <v>#N/A</v>
      </c>
      <c r="R113" s="5" t="e">
        <f ca="1">IF(OR(INDEX($AI$2:$AI$1001,MATCH(ROWS($AH$2:AH113),$AH$2:$AH$1001,0),1)&gt;=100000,INDEX($AO$1005:$BQ$1005,1,MATCH(COLUMNS($AO$1006:BE1006),$AO$1006:$BQ$1006,0))&gt;=100000), " ",IF(INDEX($AO$2:$BQ$1001,MATCH(ROWS($AH$2:AH113),$AH$2:$AH$1001,0),MATCH(COLUMNS($AO$1006:BE1006),$AO$1006:$BQ$1006,0)), HYPERLINK("#",""), HYPERLINK(CONCATENATE("#Metadata!", ADDRESS(INDEX($AJ$2:$AJ$1001,MATCH(ROWS($AH$2:AH113),$AH$2:$AH$1001,0),0), INDEX($AO$1004:$BQ$1004,1,MATCH(COLUMNS($AO$1006:BE1006),$AO$1006:$BQ$1006,0)))),"Fix")))</f>
        <v>#N/A</v>
      </c>
      <c r="S113" s="5" t="e">
        <f ca="1">IF(OR(INDEX($AI$2:$AI$1001,MATCH(ROWS($AH$2:AH113),$AH$2:$AH$1001,0),1)&gt;=100000,INDEX($AO$1005:$BQ$1005,1,MATCH(COLUMNS($AO$1006:BF1006),$AO$1006:$BQ$1006,0))&gt;=100000), " ",IF(INDEX($AO$2:$BQ$1001,MATCH(ROWS($AH$2:AH113),$AH$2:$AH$1001,0),MATCH(COLUMNS($AO$1006:BF1006),$AO$1006:$BQ$1006,0)), HYPERLINK("#",""), HYPERLINK(CONCATENATE("#Metadata!", ADDRESS(INDEX($AJ$2:$AJ$1001,MATCH(ROWS($AH$2:AH113),$AH$2:$AH$1001,0),0), INDEX($AO$1004:$BQ$1004,1,MATCH(COLUMNS($AO$1006:BF1006),$AO$1006:$BQ$1006,0)))),"Fix")))</f>
        <v>#N/A</v>
      </c>
      <c r="T113" s="5" t="e">
        <f ca="1">IF(OR(INDEX($AI$2:$AI$1001,MATCH(ROWS($AH$2:AH113),$AH$2:$AH$1001,0),1)&gt;=100000,INDEX($AO$1005:$BQ$1005,1,MATCH(COLUMNS($AO$1006:BG1006),$AO$1006:$BQ$1006,0))&gt;=100000), " ",IF(INDEX($AO$2:$BQ$1001,MATCH(ROWS($AH$2:AH113),$AH$2:$AH$1001,0),MATCH(COLUMNS($AO$1006:BG1006),$AO$1006:$BQ$1006,0)), HYPERLINK("#",""), HYPERLINK(CONCATENATE("#Metadata!", ADDRESS(INDEX($AJ$2:$AJ$1001,MATCH(ROWS($AH$2:AH113),$AH$2:$AH$1001,0),0), INDEX($AO$1004:$BQ$1004,1,MATCH(COLUMNS($AO$1006:BG1006),$AO$1006:$BQ$1006,0)))),"Fix")))</f>
        <v>#N/A</v>
      </c>
      <c r="U113" s="5" t="e">
        <f ca="1">IF(OR(INDEX($AI$2:$AI$1001,MATCH(ROWS($AH$2:AH113),$AH$2:$AH$1001,0),1)&gt;=100000,INDEX($AO$1005:$BQ$1005,1,MATCH(COLUMNS($AO$1006:BH1006),$AO$1006:$BQ$1006,0))&gt;=100000), " ",IF(INDEX($AO$2:$BQ$1001,MATCH(ROWS($AH$2:AH113),$AH$2:$AH$1001,0),MATCH(COLUMNS($AO$1006:BH1006),$AO$1006:$BQ$1006,0)), HYPERLINK("#",""), HYPERLINK(CONCATENATE("#Metadata!", ADDRESS(INDEX($AJ$2:$AJ$1001,MATCH(ROWS($AH$2:AH113),$AH$2:$AH$1001,0),0), INDEX($AO$1004:$BQ$1004,1,MATCH(COLUMNS($AO$1006:BH1006),$AO$1006:$BQ$1006,0)))),"Fix")))</f>
        <v>#N/A</v>
      </c>
      <c r="V113" s="5" t="e">
        <f ca="1">IF(OR(INDEX($AI$2:$AI$1001,MATCH(ROWS($AH$2:AH113),$AH$2:$AH$1001,0),1)&gt;=100000,INDEX($AO$1005:$BQ$1005,1,MATCH(COLUMNS($AO$1006:BI1006),$AO$1006:$BQ$1006,0))&gt;=100000), " ",IF(INDEX($AO$2:$BQ$1001,MATCH(ROWS($AH$2:AH113),$AH$2:$AH$1001,0),MATCH(COLUMNS($AO$1006:BI1006),$AO$1006:$BQ$1006,0)), HYPERLINK("#",""), HYPERLINK(CONCATENATE("#Metadata!", ADDRESS(INDEX($AJ$2:$AJ$1001,MATCH(ROWS($AH$2:AH113),$AH$2:$AH$1001,0),0), INDEX($AO$1004:$BQ$1004,1,MATCH(COLUMNS($AO$1006:BI1006),$AO$1006:$BQ$1006,0)))),"Fix")))</f>
        <v>#N/A</v>
      </c>
      <c r="W113" s="5" t="e">
        <f ca="1">IF(OR(INDEX($AI$2:$AI$1001,MATCH(ROWS($AH$2:AH113),$AH$2:$AH$1001,0),1)&gt;=100000,INDEX($AO$1005:$BQ$1005,1,MATCH(COLUMNS($AO$1006:BJ1006),$AO$1006:$BQ$1006,0))&gt;=100000), " ",IF(INDEX($AO$2:$BQ$1001,MATCH(ROWS($AH$2:AH113),$AH$2:$AH$1001,0),MATCH(COLUMNS($AO$1006:BJ1006),$AO$1006:$BQ$1006,0)), HYPERLINK("#",""), HYPERLINK(CONCATENATE("#Metadata!", ADDRESS(INDEX($AJ$2:$AJ$1001,MATCH(ROWS($AH$2:AH113),$AH$2:$AH$1001,0),0), INDEX($AO$1004:$BQ$1004,1,MATCH(COLUMNS($AO$1006:BJ1006),$AO$1006:$BQ$1006,0)))),"Fix")))</f>
        <v>#N/A</v>
      </c>
      <c r="X113" s="5" t="e">
        <f ca="1">IF(OR(INDEX($AI$2:$AI$1001,MATCH(ROWS($AH$2:AH113),$AH$2:$AH$1001,0),1)&gt;=100000,INDEX($AO$1005:$BQ$1005,1,MATCH(COLUMNS($AO$1006:BK1006),$AO$1006:$BQ$1006,0))&gt;=100000), " ",IF(INDEX($AO$2:$BQ$1001,MATCH(ROWS($AH$2:AH113),$AH$2:$AH$1001,0),MATCH(COLUMNS($AO$1006:BK1006),$AO$1006:$BQ$1006,0)), HYPERLINK("#",""), HYPERLINK(CONCATENATE("#Metadata!", ADDRESS(INDEX($AJ$2:$AJ$1001,MATCH(ROWS($AH$2:AH113),$AH$2:$AH$1001,0),0), INDEX($AO$1004:$BQ$1004,1,MATCH(COLUMNS($AO$1006:BK1006),$AO$1006:$BQ$1006,0)))),"Fix")))</f>
        <v>#N/A</v>
      </c>
      <c r="Y113" s="5" t="e">
        <f ca="1">IF(OR(INDEX($AI$2:$AI$1001,MATCH(ROWS($AH$2:AH113),$AH$2:$AH$1001,0),1)&gt;=100000,INDEX($AO$1005:$BQ$1005,1,MATCH(COLUMNS($AO$1006:BL1006),$AO$1006:$BQ$1006,0))&gt;=100000), " ",IF(INDEX($AO$2:$BQ$1001,MATCH(ROWS($AH$2:AH113),$AH$2:$AH$1001,0),MATCH(COLUMNS($AO$1006:BL1006),$AO$1006:$BQ$1006,0)), HYPERLINK("#",""), HYPERLINK(CONCATENATE("#Metadata!", ADDRESS(INDEX($AJ$2:$AJ$1001,MATCH(ROWS($AH$2:AH113),$AH$2:$AH$1001,0),0), INDEX($AO$1004:$BQ$1004,1,MATCH(COLUMNS($AO$1006:BL1006),$AO$1006:$BQ$1006,0)))),"Fix")))</f>
        <v>#N/A</v>
      </c>
      <c r="Z113" s="5" t="e">
        <f ca="1">IF(OR(INDEX($AI$2:$AI$1001,MATCH(ROWS($AH$2:AH113),$AH$2:$AH$1001,0),1)&gt;=100000,INDEX($AO$1005:$BQ$1005,1,MATCH(COLUMNS($AO$1006:BM1006),$AO$1006:$BQ$1006,0))&gt;=100000), " ",IF(INDEX($AO$2:$BQ$1001,MATCH(ROWS($AH$2:AH113),$AH$2:$AH$1001,0),MATCH(COLUMNS($AO$1006:BM1006),$AO$1006:$BQ$1006,0)), HYPERLINK("#",""), HYPERLINK(CONCATENATE("#Metadata!", ADDRESS(INDEX($AJ$2:$AJ$1001,MATCH(ROWS($AH$2:AH113),$AH$2:$AH$1001,0),0), INDEX($AO$1004:$BQ$1004,1,MATCH(COLUMNS($AO$1006:BM1006),$AO$1006:$BQ$1006,0)))),"Fix")))</f>
        <v>#N/A</v>
      </c>
      <c r="AA113" s="5" t="e">
        <f ca="1">IF(OR(INDEX($AI$2:$AI$1001,MATCH(ROWS($AH$2:AH113),$AH$2:$AH$1001,0),1)&gt;=100000,INDEX($AO$1005:$BQ$1005,1,MATCH(COLUMNS($AO$1006:BN1006),$AO$1006:$BQ$1006,0))&gt;=100000), " ",IF(INDEX($AO$2:$BQ$1001,MATCH(ROWS($AH$2:AH113),$AH$2:$AH$1001,0),MATCH(COLUMNS($AO$1006:BN1006),$AO$1006:$BQ$1006,0)), HYPERLINK("#",""), HYPERLINK(CONCATENATE("#Metadata!", ADDRESS(INDEX($AJ$2:$AJ$1001,MATCH(ROWS($AH$2:AH113),$AH$2:$AH$1001,0),0), INDEX($AO$1004:$BQ$1004,1,MATCH(COLUMNS($AO$1006:BN1006),$AO$1006:$BQ$1006,0)))),"Fix")))</f>
        <v>#N/A</v>
      </c>
      <c r="AB113" s="5" t="e">
        <f ca="1">IF(OR(INDEX($AI$2:$AI$1001,MATCH(ROWS($AH$2:AH113),$AH$2:$AH$1001,0),1)&gt;=100000,INDEX($AO$1005:$BQ$1005,1,MATCH(COLUMNS($AO$1006:BO1006),$AO$1006:$BQ$1006,0))&gt;=100000), " ",IF(INDEX($AO$2:$BQ$1001,MATCH(ROWS($AH$2:AH113),$AH$2:$AH$1001,0),MATCH(COLUMNS($AO$1006:BO1006),$AO$1006:$BQ$1006,0)), HYPERLINK("#",""), HYPERLINK(CONCATENATE("#Metadata!", ADDRESS(INDEX($AJ$2:$AJ$1001,MATCH(ROWS($AH$2:AH113),$AH$2:$AH$1001,0),0), INDEX($AO$1004:$BQ$1004,1,MATCH(COLUMNS($AO$1006:BO1006),$AO$1006:$BQ$1006,0)))),"Fix")))</f>
        <v>#N/A</v>
      </c>
      <c r="AC113" s="5" t="e">
        <f ca="1">IF(OR(INDEX($AI$2:$AI$1001,MATCH(ROWS($AH$2:AH113),$AH$2:$AH$1001,0),1)&gt;=100000,INDEX($AO$1005:$BQ$1005,1,MATCH(COLUMNS($AO$1006:BP1006),$AO$1006:$BQ$1006,0))&gt;=100000), " ",IF(INDEX($AO$2:$BQ$1001,MATCH(ROWS($AH$2:AH113),$AH$2:$AH$1001,0),MATCH(COLUMNS($AO$1006:BP1006),$AO$1006:$BQ$1006,0)), HYPERLINK("#",""), HYPERLINK(CONCATENATE("#Metadata!", ADDRESS(INDEX($AJ$2:$AJ$1001,MATCH(ROWS($AH$2:AH113),$AH$2:$AH$1001,0),0), INDEX($AO$1004:$BQ$1004,1,MATCH(COLUMNS($AO$1006:BP1006),$AO$1006:$BQ$1006,0)))),"Fix")))</f>
        <v>#N/A</v>
      </c>
      <c r="AD113" s="5" t="e">
        <f ca="1">IF(OR(INDEX($AI$2:$AI$1001,MATCH(ROWS($AH$2:AH113),$AH$2:$AH$1001,0),1)&gt;=100000,INDEX($AO$1005:$BQ$1005,1,MATCH(COLUMNS($AO$1006:BQ1006),$AO$1006:$BQ$1006,0))&gt;=100000), " ",IF(INDEX($AO$2:$BQ$1001,MATCH(ROWS($AH$2:AH113),$AH$2:$AH$1001,0),MATCH(COLUMNS($AO$1006:BQ1006),$AO$1006:$BQ$1006,0)), HYPERLINK("#",""), HYPERLINK(CONCATENATE("#Metadata!", ADDRESS(INDEX($AJ$2:$AJ$1001,MATCH(ROWS($AH$2:AH113),$AH$2:$AH$1001,0),0), INDEX($AO$1004:$BQ$1004,1,MATCH(COLUMNS($AO$1006:BQ1006),$AO$1006:$BQ$1006,0)))),"Fix")))</f>
        <v>#REF!</v>
      </c>
      <c r="AH113">
        <f ca="1"/>
        <v>110</v>
      </c>
      <c r="AI113">
        <v>100113</v>
      </c>
      <c r="AJ113">
        <v>113</v>
      </c>
      <c r="AK113" t="b">
        <f t="shared" si="1"/>
        <v>1</v>
      </c>
      <c r="AL113" t="b">
        <f>COUNTBLANK(Metadata!B113:AD113)=COLUMNS(Metadata!B113:AD113)</f>
        <v>1</v>
      </c>
      <c r="AM113" t="str">
        <v/>
      </c>
      <c r="AO113" t="b">
        <f ca="1">AND(IF(Metadata!B113="",FALSE,TRUE),COUNTIF(Metadata!B:B, Metadata!B113) = 1,NOT(ISERROR(SUMPRODUCT(SEARCH(MID(Metadata!B113,ROW(INDIRECT("1:"&amp;LEN(Metadata!B113))), 1),"0123456789abcdefghijklmnopqrstuvwxyzABCDEFGHIJKLMNOPQRSTUVWXYZ.")))))</f>
        <v>0</v>
      </c>
      <c r="AP113" t="b">
        <f>IF(Metadata!C113="",FALSE,TRUE)</f>
        <v>0</v>
      </c>
      <c r="AQ113" t="b">
        <f>IF(Metadata!D113="",FALSE,TRUE)</f>
        <v>0</v>
      </c>
      <c r="AR113" t="b">
        <f ca="1">OR(AND(IF(Metadata!E113="",FALSE,TRUE),OR(EXACT(Metadata!E113,"not collected"),EXACT(Metadata!E113,"not provided"),EXACT(Metadata!E113,"restricted access"))),AND(IF(Metadata!E113="",FALSE,TRUE),AND(AND(IFERROR(INT(LEFT(Metadata!E113,4))&gt;1900,FALSE),IFERROR(INT(LEFT(Metadata!E113,4))&lt;=YEAR(NOW()),FALSE)), OR(MID(Metadata!E113,5,1)="", AND(AND(MID(Metadata!E113,5,1)="-",IFERROR(INT(MID(Metadata!E113,6,1))&gt;=0,FALSE),IFERROR(INT(MID(Metadata!E113,6,1))&lt;=1,FALSE),NOT(MID(Metadata!E113,7,1)=""),IFERROR(INT(MID(Metadata!E113,6,2))&gt;=1,FALSE),IFERROR(INT(MID(Metadata!E113,6,2))&lt;=12,FALSE)), OR(MID(Metadata!E113,8,1)="", AND(AND(MID(Metadata!E113,8,1)="-",IFERROR(INT(MID(Metadata!E113,9,1))&gt;=0,FALSE),IFERROR(INT(MID(Metadata!E113,9,1))&lt;=3,FALSE),NOT(MID(Metadata!E113,10,1)=""),IFERROR(INT(MID(Metadata!E113,9,2))&gt;=1,FALSE),IFERROR(INT(MID(Metadata!E113,9,2))&lt;=31,FALSE)), OR(MID(Metadata!E113,11,1)="", AND(AND(MID(Metadata!E113,11,1)=" ",IFERROR(INT(MID(Metadata!E113,12,1))&gt;=0,FALSE),IFERROR(INT(MID(Metadata!E113,12,1))&lt;=2,FALSE),NOT(MID(Metadata!E113,13,1)=""),IFERROR(INT(MID(Metadata!E113,12,2))&gt;=0,FALSE),IFERROR(INT(MID(Metadata!E113,12,2))&lt;=23,FALSE)), OR(MID(Metadata!E113,14,1)="", AND(AND(MID(Metadata!E113,14,1)=":",IFERROR(INT(MID(Metadata!E113,15,1))&gt;=0,FALSE),IFERROR(INT(MID(Metadata!E113,15,1))&lt;=5,FALSE),NOT(MID(Metadata!E113,16,1)=""),IFERROR(INT(MID(Metadata!E113,15,2))&gt;=0,FALSE),IFERROR(INT(MID(Metadata!E113,15,2))&lt;=59,FALSE)), OR(MID(Metadata!E113,17,1)="", AND(AND(MID(Metadata!E113,17,1)=":",IFERROR(INT(MID(Metadata!E113,18,1))&gt;=0,FALSE),IFERROR(INT(MID(Metadata!E113,18,1))&lt;=5,FALSE),NOT(MID(Metadata!E113,19,1)=""),IFERROR(INT(MID(Metadata!E113,18,2))&gt;=0,FALSE),IFERROR(INT(MID(Metadata!E113,18,2))&lt;=59,FALSE)), LEN(Metadata!E113)&lt;=19)))))))))))))</f>
        <v>0</v>
      </c>
      <c r="AS113" t="b">
        <f>IF(Metadata!F113="",FALSE,TRUE)</f>
        <v>0</v>
      </c>
      <c r="AT113" t="b">
        <f>OR(AND(IF(Metadata!G113="",FALSE,TRUE),OR(EXACT(Metadata!G113,"not collected"),EXACT(Metadata!G113,"not provided"))),AND(IF(Metadata!G113="",FALSE,TRUE),OR(EXACT(Metadata!G113,"TRUE"),EXACT(Metadata!G113,"FALSE"))))</f>
        <v>0</v>
      </c>
      <c r="AU113" t="b">
        <f>OR(AND(IF(Metadata!H113="",FALSE,TRUE),OR(EXACT(Metadata!H113,"not collected"),EXACT(Metadata!H113,"not provided"),EXACT(Metadata!H113,"restricted access"))),AND(IF(Metadata!H113="",FALSE,ISNUMBER(VALUE(Metadata!H113))),Metadata!H113&gt;=-413))</f>
        <v>0</v>
      </c>
      <c r="AV113" t="b">
        <f>AND(IF(Metadata!I113="",FALSE,TRUE),EXACT(Metadata!I113,"meters"))</f>
        <v>0</v>
      </c>
      <c r="AW113" t="b">
        <f>AND(IF(Metadata!J113="",FALSE,TRUE),EXACT(Metadata!J113,"free-living"))</f>
        <v>0</v>
      </c>
      <c r="AX113" t="b">
        <f>AND(IF(Metadata!K113="",FALSE,TRUE),OR(EXACT(Metadata!K113,"saline"),EXACT(Metadata!K113,"non-saline")))</f>
        <v>0</v>
      </c>
      <c r="AY113" t="b">
        <f>AND(IF(Metadata!L113="",FALSE,TRUE),OR(EXACT(Metadata!L113,"sub-surface (non-saline)"),EXACT(Metadata!L113,"surface (non-saline)"),EXACT(Metadata!L113,"water (non-saline)"),EXACT(Metadata!L113,"soil (non-saline)"),EXACT(Metadata!L113,"aerosol (non-saline)"),EXACT(Metadata!L113,"sediment (non-saline)"),EXACT(Metadata!L113,"surface (saline)"),EXACT(Metadata!L113,"water (saline)"),EXACT(Metadata!L113,"hypersaline (saline)"),EXACT(Metadata!L113,"aerosol (saline)"),EXACT(Metadata!L113,"sediment (saline)")))</f>
        <v>0</v>
      </c>
      <c r="AZ113" t="b">
        <f>IF(Metadata!M113="",FALSE,TRUE)</f>
        <v>0</v>
      </c>
      <c r="BA113" t="b">
        <f>IF(Metadata!N113="",FALSE,TRUE)</f>
        <v>0</v>
      </c>
      <c r="BB113" t="b">
        <f>IF(Metadata!O113="",FALSE,TRUE)</f>
        <v>0</v>
      </c>
      <c r="BC113" t="b">
        <f>AND(IF(Metadata!P113="",FALSE,TRUE),OR(EXACT(Metadata!P113,"air"),EXACT(Metadata!P113,"microbial mat/biofilm"),EXACT(Metadata!P113,"misc environment"),EXACT(Metadata!P113,"sediment"),EXACT(Metadata!P113,"soil"),EXACT(Metadata!P113,"wastewater/sludge"),EXACT(Metadata!P113,"water")))</f>
        <v>0</v>
      </c>
      <c r="BD113" t="b">
        <f>IF(Metadata!Q113="",FALSE,TRUE)</f>
        <v>0</v>
      </c>
      <c r="BE113" t="b">
        <f>IF(Metadata!R113="",FALSE,TRUE)</f>
        <v>0</v>
      </c>
      <c r="BF113" t="b">
        <f>OR(AND(IF(Metadata!S113="",FALSE,TRUE),OR(EXACT(Metadata!S113,"not collected"),EXACT(Metadata!S113,"not provided"),EXACT(Metadata!S113,"restricted access"))),AND(IF(Metadata!S113="",FALSE,ISNUMBER(VALUE(Metadata!S113))),Metadata!S113&gt;=-90,Metadata!S113&lt;=90))</f>
        <v>0</v>
      </c>
      <c r="BG113" t="b">
        <f>AND(IF(Metadata!T113="",FALSE,TRUE),EXACT(Metadata!T113,"Decimal degrees"))</f>
        <v>0</v>
      </c>
      <c r="BH113" t="b">
        <f>OR(AND(IF(Metadata!U113="",FALSE,TRUE),OR(EXACT(Metadata!U113,"not applicable"),EXACT(Metadata!U113,"not collected"))),IF(Metadata!U113="",FALSE,TRUE))</f>
        <v>0</v>
      </c>
      <c r="BI113" t="b">
        <f>OR(AND(IF(Metadata!V113="",FALSE,TRUE),OR(EXACT(Metadata!V113,"not collected"),EXACT(Metadata!V113,"not provided"),EXACT(Metadata!V113,"restricted access"))),AND(IF(Metadata!V113="",FALSE,ISNUMBER(VALUE(Metadata!V113))),Metadata!V113&gt;=-180,Metadata!V113&lt;=180))</f>
        <v>0</v>
      </c>
      <c r="BJ113" t="b">
        <f>AND(IF(Metadata!W113="",FALSE,TRUE),EXACT(Metadata!W113,"Decimal degrees"))</f>
        <v>0</v>
      </c>
      <c r="BK113" t="b">
        <f>IF(Metadata!X113="",FALSE,TRUE)</f>
        <v>0</v>
      </c>
      <c r="BL113" t="b">
        <f>OR(AND(IF(Metadata!Y113="",FALSE,TRUE),OR(EXACT(Metadata!Y113,"not collected"),EXACT(Metadata!Y113,"not provided"),EXACT(Metadata!Y113,"restricted access"))),AND(IF(Metadata!Y113="",FALSE,TRUE),OR(EXACT(Metadata!Y113,"TRUE"),EXACT(Metadata!Y113,"FALSE"))))</f>
        <v>0</v>
      </c>
      <c r="BM113" t="b">
        <f>OR(AND(IF(Metadata!Z113="",FALSE,TRUE),EXACT(Metadata!Z113,"not applicable")),AND(IF(Metadata!Z113="",FALSE,TRUE),OR(EXACT(Metadata!Z113,"beer"),EXACT(Metadata!Z113,"cheese"),EXACT(Metadata!Z113,"fresh water"),EXACT(Metadata!Z113,"marine sediment"),EXACT(Metadata!Z113,"sea water"),EXACT(Metadata!Z113,"sediment"),EXACT(Metadata!Z113,"soil"),EXACT(Metadata!Z113,"waste water"))))</f>
        <v>0</v>
      </c>
      <c r="BN113" t="b">
        <f>AND(IF(Metadata!AA113="",FALSE,TRUE),EXACT(Metadata!AA113,"metagenome"))</f>
        <v>0</v>
      </c>
      <c r="BO113" t="b">
        <f>AND(IF(Metadata!AB113="",FALSE,TRUE),EXACT(Metadata!AB113,"256318"))</f>
        <v>0</v>
      </c>
      <c r="BP113" t="b">
        <f>IF(Metadata!AC113="",FALSE,TRUE)</f>
        <v>0</v>
      </c>
      <c r="BQ113" t="b">
        <f>IF(Metadata!AD113="",FALSE,TRUE)</f>
        <v>0</v>
      </c>
    </row>
    <row r="114" spans="1:69" x14ac:dyDescent="0.2">
      <c r="A114" s="4" t="e">
        <f ca="1">IF(B114=" "," ",HYPERLINK(CONCATENATE("#metadata!",ADDRESS(INDEX($AJ$2:$AJ$1001,MATCH(ROWS($AH$2:AH114),$AH$2:$AH$1001,0),0),2)),INDEX($AM$2:$AM$1001,MATCH(ROWS($AH$2:AH114),$AH$2:$AH$1001,0),0)))</f>
        <v>#N/A</v>
      </c>
      <c r="B114" s="5" t="e">
        <f ca="1">IF(OR(INDEX($AI$2:$AI$1001,MATCH(ROWS($AH$2:AH114),$AH$2:$AH$1001,0),1)&gt;=100000,INDEX($AO$1005:$BQ$1005,1,MATCH(COLUMNS($AO$1006:AO1006),$AO$1006:$BQ$1006,0))&gt;=100000), " ",IF(INDEX($AO$2:$BQ$1001,MATCH(ROWS($AH$2:AH114),$AH$2:$AH$1001,0),MATCH(COLUMNS($AO$1006:AO1006),$AO$1006:$BQ$1006,0)), HYPERLINK("#",""), HYPERLINK(CONCATENATE("#Metadata!", ADDRESS(INDEX($AJ$2:$AJ$1001,MATCH(ROWS($AH$2:AH114),$AH$2:$AH$1001,0),0), INDEX($AO$1004:$BQ$1004,1,MATCH(COLUMNS($AO$1006:AO1006),$AO$1006:$BQ$1006,0)))),"Fix")))</f>
        <v>#N/A</v>
      </c>
      <c r="C114" s="5" t="e">
        <f ca="1">IF(OR(INDEX($AI$2:$AI$1001,MATCH(ROWS($AH$2:AH114),$AH$2:$AH$1001,0),1)&gt;=100000,INDEX($AO$1005:$BQ$1005,1,MATCH(COLUMNS($AO$1006:AP1006),$AO$1006:$BQ$1006,0))&gt;=100000), " ",IF(INDEX($AO$2:$BQ$1001,MATCH(ROWS($AH$2:AH114),$AH$2:$AH$1001,0),MATCH(COLUMNS($AO$1006:AP1006),$AO$1006:$BQ$1006,0)), HYPERLINK("#",""), HYPERLINK(CONCATENATE("#Metadata!", ADDRESS(INDEX($AJ$2:$AJ$1001,MATCH(ROWS($AH$2:AH114),$AH$2:$AH$1001,0),0), INDEX($AO$1004:$BQ$1004,1,MATCH(COLUMNS($AO$1006:AP1006),$AO$1006:$BQ$1006,0)))),"Fix")))</f>
        <v>#N/A</v>
      </c>
      <c r="D114" s="5" t="e">
        <f ca="1">IF(OR(INDEX($AI$2:$AI$1001,MATCH(ROWS($AH$2:AH114),$AH$2:$AH$1001,0),1)&gt;=100000,INDEX($AO$1005:$BQ$1005,1,MATCH(COLUMNS($AO$1006:AQ1006),$AO$1006:$BQ$1006,0))&gt;=100000), " ",IF(INDEX($AO$2:$BQ$1001,MATCH(ROWS($AH$2:AH114),$AH$2:$AH$1001,0),MATCH(COLUMNS($AO$1006:AQ1006),$AO$1006:$BQ$1006,0)), HYPERLINK("#",""), HYPERLINK(CONCATENATE("#Metadata!", ADDRESS(INDEX($AJ$2:$AJ$1001,MATCH(ROWS($AH$2:AH114),$AH$2:$AH$1001,0),0), INDEX($AO$1004:$BQ$1004,1,MATCH(COLUMNS($AO$1006:AQ1006),$AO$1006:$BQ$1006,0)))),"Fix")))</f>
        <v>#N/A</v>
      </c>
      <c r="E114" s="5" t="e">
        <f ca="1">IF(OR(INDEX($AI$2:$AI$1001,MATCH(ROWS($AH$2:AH114),$AH$2:$AH$1001,0),1)&gt;=100000,INDEX($AO$1005:$BQ$1005,1,MATCH(COLUMNS($AO$1006:AR1006),$AO$1006:$BQ$1006,0))&gt;=100000), " ",IF(INDEX($AO$2:$BQ$1001,MATCH(ROWS($AH$2:AH114),$AH$2:$AH$1001,0),MATCH(COLUMNS($AO$1006:AR1006),$AO$1006:$BQ$1006,0)), HYPERLINK("#",""), HYPERLINK(CONCATENATE("#Metadata!", ADDRESS(INDEX($AJ$2:$AJ$1001,MATCH(ROWS($AH$2:AH114),$AH$2:$AH$1001,0),0), INDEX($AO$1004:$BQ$1004,1,MATCH(COLUMNS($AO$1006:AR1006),$AO$1006:$BQ$1006,0)))),"Fix")))</f>
        <v>#N/A</v>
      </c>
      <c r="F114" s="5" t="e">
        <f ca="1">IF(OR(INDEX($AI$2:$AI$1001,MATCH(ROWS($AH$2:AH114),$AH$2:$AH$1001,0),1)&gt;=100000,INDEX($AO$1005:$BQ$1005,1,MATCH(COLUMNS($AO$1006:AS1006),$AO$1006:$BQ$1006,0))&gt;=100000), " ",IF(INDEX($AO$2:$BQ$1001,MATCH(ROWS($AH$2:AH114),$AH$2:$AH$1001,0),MATCH(COLUMNS($AO$1006:AS1006),$AO$1006:$BQ$1006,0)), HYPERLINK("#",""), HYPERLINK(CONCATENATE("#Metadata!", ADDRESS(INDEX($AJ$2:$AJ$1001,MATCH(ROWS($AH$2:AH114),$AH$2:$AH$1001,0),0), INDEX($AO$1004:$BQ$1004,1,MATCH(COLUMNS($AO$1006:AS1006),$AO$1006:$BQ$1006,0)))),"Fix")))</f>
        <v>#N/A</v>
      </c>
      <c r="G114" s="5" t="e">
        <f ca="1">IF(OR(INDEX($AI$2:$AI$1001,MATCH(ROWS($AH$2:AH114),$AH$2:$AH$1001,0),1)&gt;=100000,INDEX($AO$1005:$BQ$1005,1,MATCH(COLUMNS($AO$1006:AT1006),$AO$1006:$BQ$1006,0))&gt;=100000), " ",IF(INDEX($AO$2:$BQ$1001,MATCH(ROWS($AH$2:AH114),$AH$2:$AH$1001,0),MATCH(COLUMNS($AO$1006:AT1006),$AO$1006:$BQ$1006,0)), HYPERLINK("#",""), HYPERLINK(CONCATENATE("#Metadata!", ADDRESS(INDEX($AJ$2:$AJ$1001,MATCH(ROWS($AH$2:AH114),$AH$2:$AH$1001,0),0), INDEX($AO$1004:$BQ$1004,1,MATCH(COLUMNS($AO$1006:AT1006),$AO$1006:$BQ$1006,0)))),"Fix")))</f>
        <v>#N/A</v>
      </c>
      <c r="H114" s="5" t="e">
        <f ca="1">IF(OR(INDEX($AI$2:$AI$1001,MATCH(ROWS($AH$2:AH114),$AH$2:$AH$1001,0),1)&gt;=100000,INDEX($AO$1005:$BQ$1005,1,MATCH(COLUMNS($AO$1006:AU1006),$AO$1006:$BQ$1006,0))&gt;=100000), " ",IF(INDEX($AO$2:$BQ$1001,MATCH(ROWS($AH$2:AH114),$AH$2:$AH$1001,0),MATCH(COLUMNS($AO$1006:AU1006),$AO$1006:$BQ$1006,0)), HYPERLINK("#",""), HYPERLINK(CONCATENATE("#Metadata!", ADDRESS(INDEX($AJ$2:$AJ$1001,MATCH(ROWS($AH$2:AH114),$AH$2:$AH$1001,0),0), INDEX($AO$1004:$BQ$1004,1,MATCH(COLUMNS($AO$1006:AU1006),$AO$1006:$BQ$1006,0)))),"Fix")))</f>
        <v>#N/A</v>
      </c>
      <c r="I114" s="5" t="e">
        <f ca="1">IF(OR(INDEX($AI$2:$AI$1001,MATCH(ROWS($AH$2:AH114),$AH$2:$AH$1001,0),1)&gt;=100000,INDEX($AO$1005:$BQ$1005,1,MATCH(COLUMNS($AO$1006:AV1006),$AO$1006:$BQ$1006,0))&gt;=100000), " ",IF(INDEX($AO$2:$BQ$1001,MATCH(ROWS($AH$2:AH114),$AH$2:$AH$1001,0),MATCH(COLUMNS($AO$1006:AV1006),$AO$1006:$BQ$1006,0)), HYPERLINK("#",""), HYPERLINK(CONCATENATE("#Metadata!", ADDRESS(INDEX($AJ$2:$AJ$1001,MATCH(ROWS($AH$2:AH114),$AH$2:$AH$1001,0),0), INDEX($AO$1004:$BQ$1004,1,MATCH(COLUMNS($AO$1006:AV1006),$AO$1006:$BQ$1006,0)))),"Fix")))</f>
        <v>#N/A</v>
      </c>
      <c r="J114" s="5" t="e">
        <f ca="1">IF(OR(INDEX($AI$2:$AI$1001,MATCH(ROWS($AH$2:AH114),$AH$2:$AH$1001,0),1)&gt;=100000,INDEX($AO$1005:$BQ$1005,1,MATCH(COLUMNS($AO$1006:AW1006),$AO$1006:$BQ$1006,0))&gt;=100000), " ",IF(INDEX($AO$2:$BQ$1001,MATCH(ROWS($AH$2:AH114),$AH$2:$AH$1001,0),MATCH(COLUMNS($AO$1006:AW1006),$AO$1006:$BQ$1006,0)), HYPERLINK("#",""), HYPERLINK(CONCATENATE("#Metadata!", ADDRESS(INDEX($AJ$2:$AJ$1001,MATCH(ROWS($AH$2:AH114),$AH$2:$AH$1001,0),0), INDEX($AO$1004:$BQ$1004,1,MATCH(COLUMNS($AO$1006:AW1006),$AO$1006:$BQ$1006,0)))),"Fix")))</f>
        <v>#N/A</v>
      </c>
      <c r="K114" s="5" t="e">
        <f ca="1">IF(OR(INDEX($AI$2:$AI$1001,MATCH(ROWS($AH$2:AH114),$AH$2:$AH$1001,0),1)&gt;=100000,INDEX($AO$1005:$BQ$1005,1,MATCH(COLUMNS($AO$1006:AX1006),$AO$1006:$BQ$1006,0))&gt;=100000), " ",IF(INDEX($AO$2:$BQ$1001,MATCH(ROWS($AH$2:AH114),$AH$2:$AH$1001,0),MATCH(COLUMNS($AO$1006:AX1006),$AO$1006:$BQ$1006,0)), HYPERLINK("#",""), HYPERLINK(CONCATENATE("#Metadata!", ADDRESS(INDEX($AJ$2:$AJ$1001,MATCH(ROWS($AH$2:AH114),$AH$2:$AH$1001,0),0), INDEX($AO$1004:$BQ$1004,1,MATCH(COLUMNS($AO$1006:AX1006),$AO$1006:$BQ$1006,0)))),"Fix")))</f>
        <v>#N/A</v>
      </c>
      <c r="L114" s="5" t="e">
        <f ca="1">IF(OR(INDEX($AI$2:$AI$1001,MATCH(ROWS($AH$2:AH114),$AH$2:$AH$1001,0),1)&gt;=100000,INDEX($AO$1005:$BQ$1005,1,MATCH(COLUMNS($AO$1006:AY1006),$AO$1006:$BQ$1006,0))&gt;=100000), " ",IF(INDEX($AO$2:$BQ$1001,MATCH(ROWS($AH$2:AH114),$AH$2:$AH$1001,0),MATCH(COLUMNS($AO$1006:AY1006),$AO$1006:$BQ$1006,0)), HYPERLINK("#",""), HYPERLINK(CONCATENATE("#Metadata!", ADDRESS(INDEX($AJ$2:$AJ$1001,MATCH(ROWS($AH$2:AH114),$AH$2:$AH$1001,0),0), INDEX($AO$1004:$BQ$1004,1,MATCH(COLUMNS($AO$1006:AY1006),$AO$1006:$BQ$1006,0)))),"Fix")))</f>
        <v>#N/A</v>
      </c>
      <c r="M114" s="5" t="e">
        <f ca="1">IF(OR(INDEX($AI$2:$AI$1001,MATCH(ROWS($AH$2:AH114),$AH$2:$AH$1001,0),1)&gt;=100000,INDEX($AO$1005:$BQ$1005,1,MATCH(COLUMNS($AO$1006:AZ1006),$AO$1006:$BQ$1006,0))&gt;=100000), " ",IF(INDEX($AO$2:$BQ$1001,MATCH(ROWS($AH$2:AH114),$AH$2:$AH$1001,0),MATCH(COLUMNS($AO$1006:AZ1006),$AO$1006:$BQ$1006,0)), HYPERLINK("#",""), HYPERLINK(CONCATENATE("#Metadata!", ADDRESS(INDEX($AJ$2:$AJ$1001,MATCH(ROWS($AH$2:AH114),$AH$2:$AH$1001,0),0), INDEX($AO$1004:$BQ$1004,1,MATCH(COLUMNS($AO$1006:AZ1006),$AO$1006:$BQ$1006,0)))),"Fix")))</f>
        <v>#N/A</v>
      </c>
      <c r="N114" s="5" t="e">
        <f ca="1">IF(OR(INDEX($AI$2:$AI$1001,MATCH(ROWS($AH$2:AH114),$AH$2:$AH$1001,0),1)&gt;=100000,INDEX($AO$1005:$BQ$1005,1,MATCH(COLUMNS($AO$1006:BA1006),$AO$1006:$BQ$1006,0))&gt;=100000), " ",IF(INDEX($AO$2:$BQ$1001,MATCH(ROWS($AH$2:AH114),$AH$2:$AH$1001,0),MATCH(COLUMNS($AO$1006:BA1006),$AO$1006:$BQ$1006,0)), HYPERLINK("#",""), HYPERLINK(CONCATENATE("#Metadata!", ADDRESS(INDEX($AJ$2:$AJ$1001,MATCH(ROWS($AH$2:AH114),$AH$2:$AH$1001,0),0), INDEX($AO$1004:$BQ$1004,1,MATCH(COLUMNS($AO$1006:BA1006),$AO$1006:$BQ$1006,0)))),"Fix")))</f>
        <v>#N/A</v>
      </c>
      <c r="O114" s="5" t="e">
        <f ca="1">IF(OR(INDEX($AI$2:$AI$1001,MATCH(ROWS($AH$2:AH114),$AH$2:$AH$1001,0),1)&gt;=100000,INDEX($AO$1005:$BQ$1005,1,MATCH(COLUMNS($AO$1006:BB1006),$AO$1006:$BQ$1006,0))&gt;=100000), " ",IF(INDEX($AO$2:$BQ$1001,MATCH(ROWS($AH$2:AH114),$AH$2:$AH$1001,0),MATCH(COLUMNS($AO$1006:BB1006),$AO$1006:$BQ$1006,0)), HYPERLINK("#",""), HYPERLINK(CONCATENATE("#Metadata!", ADDRESS(INDEX($AJ$2:$AJ$1001,MATCH(ROWS($AH$2:AH114),$AH$2:$AH$1001,0),0), INDEX($AO$1004:$BQ$1004,1,MATCH(COLUMNS($AO$1006:BB1006),$AO$1006:$BQ$1006,0)))),"Fix")))</f>
        <v>#N/A</v>
      </c>
      <c r="P114" s="5" t="e">
        <f ca="1">IF(OR(INDEX($AI$2:$AI$1001,MATCH(ROWS($AH$2:AH114),$AH$2:$AH$1001,0),1)&gt;=100000,INDEX($AO$1005:$BQ$1005,1,MATCH(COLUMNS($AO$1006:BC1006),$AO$1006:$BQ$1006,0))&gt;=100000), " ",IF(INDEX($AO$2:$BQ$1001,MATCH(ROWS($AH$2:AH114),$AH$2:$AH$1001,0),MATCH(COLUMNS($AO$1006:BC1006),$AO$1006:$BQ$1006,0)), HYPERLINK("#",""), HYPERLINK(CONCATENATE("#Metadata!", ADDRESS(INDEX($AJ$2:$AJ$1001,MATCH(ROWS($AH$2:AH114),$AH$2:$AH$1001,0),0), INDEX($AO$1004:$BQ$1004,1,MATCH(COLUMNS($AO$1006:BC1006),$AO$1006:$BQ$1006,0)))),"Fix")))</f>
        <v>#N/A</v>
      </c>
      <c r="Q114" s="5" t="e">
        <f ca="1">IF(OR(INDEX($AI$2:$AI$1001,MATCH(ROWS($AH$2:AH114),$AH$2:$AH$1001,0),1)&gt;=100000,INDEX($AO$1005:$BQ$1005,1,MATCH(COLUMNS($AO$1006:BD1006),$AO$1006:$BQ$1006,0))&gt;=100000), " ",IF(INDEX($AO$2:$BQ$1001,MATCH(ROWS($AH$2:AH114),$AH$2:$AH$1001,0),MATCH(COLUMNS($AO$1006:BD1006),$AO$1006:$BQ$1006,0)), HYPERLINK("#",""), HYPERLINK(CONCATENATE("#Metadata!", ADDRESS(INDEX($AJ$2:$AJ$1001,MATCH(ROWS($AH$2:AH114),$AH$2:$AH$1001,0),0), INDEX($AO$1004:$BQ$1004,1,MATCH(COLUMNS($AO$1006:BD1006),$AO$1006:$BQ$1006,0)))),"Fix")))</f>
        <v>#N/A</v>
      </c>
      <c r="R114" s="5" t="e">
        <f ca="1">IF(OR(INDEX($AI$2:$AI$1001,MATCH(ROWS($AH$2:AH114),$AH$2:$AH$1001,0),1)&gt;=100000,INDEX($AO$1005:$BQ$1005,1,MATCH(COLUMNS($AO$1006:BE1006),$AO$1006:$BQ$1006,0))&gt;=100000), " ",IF(INDEX($AO$2:$BQ$1001,MATCH(ROWS($AH$2:AH114),$AH$2:$AH$1001,0),MATCH(COLUMNS($AO$1006:BE1006),$AO$1006:$BQ$1006,0)), HYPERLINK("#",""), HYPERLINK(CONCATENATE("#Metadata!", ADDRESS(INDEX($AJ$2:$AJ$1001,MATCH(ROWS($AH$2:AH114),$AH$2:$AH$1001,0),0), INDEX($AO$1004:$BQ$1004,1,MATCH(COLUMNS($AO$1006:BE1006),$AO$1006:$BQ$1006,0)))),"Fix")))</f>
        <v>#N/A</v>
      </c>
      <c r="S114" s="5" t="e">
        <f ca="1">IF(OR(INDEX($AI$2:$AI$1001,MATCH(ROWS($AH$2:AH114),$AH$2:$AH$1001,0),1)&gt;=100000,INDEX($AO$1005:$BQ$1005,1,MATCH(COLUMNS($AO$1006:BF1006),$AO$1006:$BQ$1006,0))&gt;=100000), " ",IF(INDEX($AO$2:$BQ$1001,MATCH(ROWS($AH$2:AH114),$AH$2:$AH$1001,0),MATCH(COLUMNS($AO$1006:BF1006),$AO$1006:$BQ$1006,0)), HYPERLINK("#",""), HYPERLINK(CONCATENATE("#Metadata!", ADDRESS(INDEX($AJ$2:$AJ$1001,MATCH(ROWS($AH$2:AH114),$AH$2:$AH$1001,0),0), INDEX($AO$1004:$BQ$1004,1,MATCH(COLUMNS($AO$1006:BF1006),$AO$1006:$BQ$1006,0)))),"Fix")))</f>
        <v>#N/A</v>
      </c>
      <c r="T114" s="5" t="e">
        <f ca="1">IF(OR(INDEX($AI$2:$AI$1001,MATCH(ROWS($AH$2:AH114),$AH$2:$AH$1001,0),1)&gt;=100000,INDEX($AO$1005:$BQ$1005,1,MATCH(COLUMNS($AO$1006:BG1006),$AO$1006:$BQ$1006,0))&gt;=100000), " ",IF(INDEX($AO$2:$BQ$1001,MATCH(ROWS($AH$2:AH114),$AH$2:$AH$1001,0),MATCH(COLUMNS($AO$1006:BG1006),$AO$1006:$BQ$1006,0)), HYPERLINK("#",""), HYPERLINK(CONCATENATE("#Metadata!", ADDRESS(INDEX($AJ$2:$AJ$1001,MATCH(ROWS($AH$2:AH114),$AH$2:$AH$1001,0),0), INDEX($AO$1004:$BQ$1004,1,MATCH(COLUMNS($AO$1006:BG1006),$AO$1006:$BQ$1006,0)))),"Fix")))</f>
        <v>#N/A</v>
      </c>
      <c r="U114" s="5" t="e">
        <f ca="1">IF(OR(INDEX($AI$2:$AI$1001,MATCH(ROWS($AH$2:AH114),$AH$2:$AH$1001,0),1)&gt;=100000,INDEX($AO$1005:$BQ$1005,1,MATCH(COLUMNS($AO$1006:BH1006),$AO$1006:$BQ$1006,0))&gt;=100000), " ",IF(INDEX($AO$2:$BQ$1001,MATCH(ROWS($AH$2:AH114),$AH$2:$AH$1001,0),MATCH(COLUMNS($AO$1006:BH1006),$AO$1006:$BQ$1006,0)), HYPERLINK("#",""), HYPERLINK(CONCATENATE("#Metadata!", ADDRESS(INDEX($AJ$2:$AJ$1001,MATCH(ROWS($AH$2:AH114),$AH$2:$AH$1001,0),0), INDEX($AO$1004:$BQ$1004,1,MATCH(COLUMNS($AO$1006:BH1006),$AO$1006:$BQ$1006,0)))),"Fix")))</f>
        <v>#N/A</v>
      </c>
      <c r="V114" s="5" t="e">
        <f ca="1">IF(OR(INDEX($AI$2:$AI$1001,MATCH(ROWS($AH$2:AH114),$AH$2:$AH$1001,0),1)&gt;=100000,INDEX($AO$1005:$BQ$1005,1,MATCH(COLUMNS($AO$1006:BI1006),$AO$1006:$BQ$1006,0))&gt;=100000), " ",IF(INDEX($AO$2:$BQ$1001,MATCH(ROWS($AH$2:AH114),$AH$2:$AH$1001,0),MATCH(COLUMNS($AO$1006:BI1006),$AO$1006:$BQ$1006,0)), HYPERLINK("#",""), HYPERLINK(CONCATENATE("#Metadata!", ADDRESS(INDEX($AJ$2:$AJ$1001,MATCH(ROWS($AH$2:AH114),$AH$2:$AH$1001,0),0), INDEX($AO$1004:$BQ$1004,1,MATCH(COLUMNS($AO$1006:BI1006),$AO$1006:$BQ$1006,0)))),"Fix")))</f>
        <v>#N/A</v>
      </c>
      <c r="W114" s="5" t="e">
        <f ca="1">IF(OR(INDEX($AI$2:$AI$1001,MATCH(ROWS($AH$2:AH114),$AH$2:$AH$1001,0),1)&gt;=100000,INDEX($AO$1005:$BQ$1005,1,MATCH(COLUMNS($AO$1006:BJ1006),$AO$1006:$BQ$1006,0))&gt;=100000), " ",IF(INDEX($AO$2:$BQ$1001,MATCH(ROWS($AH$2:AH114),$AH$2:$AH$1001,0),MATCH(COLUMNS($AO$1006:BJ1006),$AO$1006:$BQ$1006,0)), HYPERLINK("#",""), HYPERLINK(CONCATENATE("#Metadata!", ADDRESS(INDEX($AJ$2:$AJ$1001,MATCH(ROWS($AH$2:AH114),$AH$2:$AH$1001,0),0), INDEX($AO$1004:$BQ$1004,1,MATCH(COLUMNS($AO$1006:BJ1006),$AO$1006:$BQ$1006,0)))),"Fix")))</f>
        <v>#N/A</v>
      </c>
      <c r="X114" s="5" t="e">
        <f ca="1">IF(OR(INDEX($AI$2:$AI$1001,MATCH(ROWS($AH$2:AH114),$AH$2:$AH$1001,0),1)&gt;=100000,INDEX($AO$1005:$BQ$1005,1,MATCH(COLUMNS($AO$1006:BK1006),$AO$1006:$BQ$1006,0))&gt;=100000), " ",IF(INDEX($AO$2:$BQ$1001,MATCH(ROWS($AH$2:AH114),$AH$2:$AH$1001,0),MATCH(COLUMNS($AO$1006:BK1006),$AO$1006:$BQ$1006,0)), HYPERLINK("#",""), HYPERLINK(CONCATENATE("#Metadata!", ADDRESS(INDEX($AJ$2:$AJ$1001,MATCH(ROWS($AH$2:AH114),$AH$2:$AH$1001,0),0), INDEX($AO$1004:$BQ$1004,1,MATCH(COLUMNS($AO$1006:BK1006),$AO$1006:$BQ$1006,0)))),"Fix")))</f>
        <v>#N/A</v>
      </c>
      <c r="Y114" s="5" t="e">
        <f ca="1">IF(OR(INDEX($AI$2:$AI$1001,MATCH(ROWS($AH$2:AH114),$AH$2:$AH$1001,0),1)&gt;=100000,INDEX($AO$1005:$BQ$1005,1,MATCH(COLUMNS($AO$1006:BL1006),$AO$1006:$BQ$1006,0))&gt;=100000), " ",IF(INDEX($AO$2:$BQ$1001,MATCH(ROWS($AH$2:AH114),$AH$2:$AH$1001,0),MATCH(COLUMNS($AO$1006:BL1006),$AO$1006:$BQ$1006,0)), HYPERLINK("#",""), HYPERLINK(CONCATENATE("#Metadata!", ADDRESS(INDEX($AJ$2:$AJ$1001,MATCH(ROWS($AH$2:AH114),$AH$2:$AH$1001,0),0), INDEX($AO$1004:$BQ$1004,1,MATCH(COLUMNS($AO$1006:BL1006),$AO$1006:$BQ$1006,0)))),"Fix")))</f>
        <v>#N/A</v>
      </c>
      <c r="Z114" s="5" t="e">
        <f ca="1">IF(OR(INDEX($AI$2:$AI$1001,MATCH(ROWS($AH$2:AH114),$AH$2:$AH$1001,0),1)&gt;=100000,INDEX($AO$1005:$BQ$1005,1,MATCH(COLUMNS($AO$1006:BM1006),$AO$1006:$BQ$1006,0))&gt;=100000), " ",IF(INDEX($AO$2:$BQ$1001,MATCH(ROWS($AH$2:AH114),$AH$2:$AH$1001,0),MATCH(COLUMNS($AO$1006:BM1006),$AO$1006:$BQ$1006,0)), HYPERLINK("#",""), HYPERLINK(CONCATENATE("#Metadata!", ADDRESS(INDEX($AJ$2:$AJ$1001,MATCH(ROWS($AH$2:AH114),$AH$2:$AH$1001,0),0), INDEX($AO$1004:$BQ$1004,1,MATCH(COLUMNS($AO$1006:BM1006),$AO$1006:$BQ$1006,0)))),"Fix")))</f>
        <v>#N/A</v>
      </c>
      <c r="AA114" s="5" t="e">
        <f ca="1">IF(OR(INDEX($AI$2:$AI$1001,MATCH(ROWS($AH$2:AH114),$AH$2:$AH$1001,0),1)&gt;=100000,INDEX($AO$1005:$BQ$1005,1,MATCH(COLUMNS($AO$1006:BN1006),$AO$1006:$BQ$1006,0))&gt;=100000), " ",IF(INDEX($AO$2:$BQ$1001,MATCH(ROWS($AH$2:AH114),$AH$2:$AH$1001,0),MATCH(COLUMNS($AO$1006:BN1006),$AO$1006:$BQ$1006,0)), HYPERLINK("#",""), HYPERLINK(CONCATENATE("#Metadata!", ADDRESS(INDEX($AJ$2:$AJ$1001,MATCH(ROWS($AH$2:AH114),$AH$2:$AH$1001,0),0), INDEX($AO$1004:$BQ$1004,1,MATCH(COLUMNS($AO$1006:BN1006),$AO$1006:$BQ$1006,0)))),"Fix")))</f>
        <v>#N/A</v>
      </c>
      <c r="AB114" s="5" t="e">
        <f ca="1">IF(OR(INDEX($AI$2:$AI$1001,MATCH(ROWS($AH$2:AH114),$AH$2:$AH$1001,0),1)&gt;=100000,INDEX($AO$1005:$BQ$1005,1,MATCH(COLUMNS($AO$1006:BO1006),$AO$1006:$BQ$1006,0))&gt;=100000), " ",IF(INDEX($AO$2:$BQ$1001,MATCH(ROWS($AH$2:AH114),$AH$2:$AH$1001,0),MATCH(COLUMNS($AO$1006:BO1006),$AO$1006:$BQ$1006,0)), HYPERLINK("#",""), HYPERLINK(CONCATENATE("#Metadata!", ADDRESS(INDEX($AJ$2:$AJ$1001,MATCH(ROWS($AH$2:AH114),$AH$2:$AH$1001,0),0), INDEX($AO$1004:$BQ$1004,1,MATCH(COLUMNS($AO$1006:BO1006),$AO$1006:$BQ$1006,0)))),"Fix")))</f>
        <v>#N/A</v>
      </c>
      <c r="AC114" s="5" t="e">
        <f ca="1">IF(OR(INDEX($AI$2:$AI$1001,MATCH(ROWS($AH$2:AH114),$AH$2:$AH$1001,0),1)&gt;=100000,INDEX($AO$1005:$BQ$1005,1,MATCH(COLUMNS($AO$1006:BP1006),$AO$1006:$BQ$1006,0))&gt;=100000), " ",IF(INDEX($AO$2:$BQ$1001,MATCH(ROWS($AH$2:AH114),$AH$2:$AH$1001,0),MATCH(COLUMNS($AO$1006:BP1006),$AO$1006:$BQ$1006,0)), HYPERLINK("#",""), HYPERLINK(CONCATENATE("#Metadata!", ADDRESS(INDEX($AJ$2:$AJ$1001,MATCH(ROWS($AH$2:AH114),$AH$2:$AH$1001,0),0), INDEX($AO$1004:$BQ$1004,1,MATCH(COLUMNS($AO$1006:BP1006),$AO$1006:$BQ$1006,0)))),"Fix")))</f>
        <v>#N/A</v>
      </c>
      <c r="AD114" s="5" t="e">
        <f ca="1">IF(OR(INDEX($AI$2:$AI$1001,MATCH(ROWS($AH$2:AH114),$AH$2:$AH$1001,0),1)&gt;=100000,INDEX($AO$1005:$BQ$1005,1,MATCH(COLUMNS($AO$1006:BQ1006),$AO$1006:$BQ$1006,0))&gt;=100000), " ",IF(INDEX($AO$2:$BQ$1001,MATCH(ROWS($AH$2:AH114),$AH$2:$AH$1001,0),MATCH(COLUMNS($AO$1006:BQ1006),$AO$1006:$BQ$1006,0)), HYPERLINK("#",""), HYPERLINK(CONCATENATE("#Metadata!", ADDRESS(INDEX($AJ$2:$AJ$1001,MATCH(ROWS($AH$2:AH114),$AH$2:$AH$1001,0),0), INDEX($AO$1004:$BQ$1004,1,MATCH(COLUMNS($AO$1006:BQ1006),$AO$1006:$BQ$1006,0)))),"Fix")))</f>
        <v>#REF!</v>
      </c>
      <c r="AH114">
        <f ca="1"/>
        <v>111</v>
      </c>
      <c r="AI114">
        <v>100114</v>
      </c>
      <c r="AJ114">
        <v>114</v>
      </c>
      <c r="AK114" t="b">
        <f t="shared" si="1"/>
        <v>1</v>
      </c>
      <c r="AL114" t="b">
        <f>COUNTBLANK(Metadata!B114:AD114)=COLUMNS(Metadata!B114:AD114)</f>
        <v>1</v>
      </c>
      <c r="AM114" t="str">
        <v/>
      </c>
      <c r="AO114" t="b">
        <f ca="1">AND(IF(Metadata!B114="",FALSE,TRUE),COUNTIF(Metadata!B:B, Metadata!B114) = 1,NOT(ISERROR(SUMPRODUCT(SEARCH(MID(Metadata!B114,ROW(INDIRECT("1:"&amp;LEN(Metadata!B114))), 1),"0123456789abcdefghijklmnopqrstuvwxyzABCDEFGHIJKLMNOPQRSTUVWXYZ.")))))</f>
        <v>0</v>
      </c>
      <c r="AP114" t="b">
        <f>IF(Metadata!C114="",FALSE,TRUE)</f>
        <v>0</v>
      </c>
      <c r="AQ114" t="b">
        <f>IF(Metadata!D114="",FALSE,TRUE)</f>
        <v>0</v>
      </c>
      <c r="AR114" t="b">
        <f ca="1">OR(AND(IF(Metadata!E114="",FALSE,TRUE),OR(EXACT(Metadata!E114,"not collected"),EXACT(Metadata!E114,"not provided"),EXACT(Metadata!E114,"restricted access"))),AND(IF(Metadata!E114="",FALSE,TRUE),AND(AND(IFERROR(INT(LEFT(Metadata!E114,4))&gt;1900,FALSE),IFERROR(INT(LEFT(Metadata!E114,4))&lt;=YEAR(NOW()),FALSE)), OR(MID(Metadata!E114,5,1)="", AND(AND(MID(Metadata!E114,5,1)="-",IFERROR(INT(MID(Metadata!E114,6,1))&gt;=0,FALSE),IFERROR(INT(MID(Metadata!E114,6,1))&lt;=1,FALSE),NOT(MID(Metadata!E114,7,1)=""),IFERROR(INT(MID(Metadata!E114,6,2))&gt;=1,FALSE),IFERROR(INT(MID(Metadata!E114,6,2))&lt;=12,FALSE)), OR(MID(Metadata!E114,8,1)="", AND(AND(MID(Metadata!E114,8,1)="-",IFERROR(INT(MID(Metadata!E114,9,1))&gt;=0,FALSE),IFERROR(INT(MID(Metadata!E114,9,1))&lt;=3,FALSE),NOT(MID(Metadata!E114,10,1)=""),IFERROR(INT(MID(Metadata!E114,9,2))&gt;=1,FALSE),IFERROR(INT(MID(Metadata!E114,9,2))&lt;=31,FALSE)), OR(MID(Metadata!E114,11,1)="", AND(AND(MID(Metadata!E114,11,1)=" ",IFERROR(INT(MID(Metadata!E114,12,1))&gt;=0,FALSE),IFERROR(INT(MID(Metadata!E114,12,1))&lt;=2,FALSE),NOT(MID(Metadata!E114,13,1)=""),IFERROR(INT(MID(Metadata!E114,12,2))&gt;=0,FALSE),IFERROR(INT(MID(Metadata!E114,12,2))&lt;=23,FALSE)), OR(MID(Metadata!E114,14,1)="", AND(AND(MID(Metadata!E114,14,1)=":",IFERROR(INT(MID(Metadata!E114,15,1))&gt;=0,FALSE),IFERROR(INT(MID(Metadata!E114,15,1))&lt;=5,FALSE),NOT(MID(Metadata!E114,16,1)=""),IFERROR(INT(MID(Metadata!E114,15,2))&gt;=0,FALSE),IFERROR(INT(MID(Metadata!E114,15,2))&lt;=59,FALSE)), OR(MID(Metadata!E114,17,1)="", AND(AND(MID(Metadata!E114,17,1)=":",IFERROR(INT(MID(Metadata!E114,18,1))&gt;=0,FALSE),IFERROR(INT(MID(Metadata!E114,18,1))&lt;=5,FALSE),NOT(MID(Metadata!E114,19,1)=""),IFERROR(INT(MID(Metadata!E114,18,2))&gt;=0,FALSE),IFERROR(INT(MID(Metadata!E114,18,2))&lt;=59,FALSE)), LEN(Metadata!E114)&lt;=19)))))))))))))</f>
        <v>0</v>
      </c>
      <c r="AS114" t="b">
        <f>IF(Metadata!F114="",FALSE,TRUE)</f>
        <v>0</v>
      </c>
      <c r="AT114" t="b">
        <f>OR(AND(IF(Metadata!G114="",FALSE,TRUE),OR(EXACT(Metadata!G114,"not collected"),EXACT(Metadata!G114,"not provided"))),AND(IF(Metadata!G114="",FALSE,TRUE),OR(EXACT(Metadata!G114,"TRUE"),EXACT(Metadata!G114,"FALSE"))))</f>
        <v>0</v>
      </c>
      <c r="AU114" t="b">
        <f>OR(AND(IF(Metadata!H114="",FALSE,TRUE),OR(EXACT(Metadata!H114,"not collected"),EXACT(Metadata!H114,"not provided"),EXACT(Metadata!H114,"restricted access"))),AND(IF(Metadata!H114="",FALSE,ISNUMBER(VALUE(Metadata!H114))),Metadata!H114&gt;=-413))</f>
        <v>0</v>
      </c>
      <c r="AV114" t="b">
        <f>AND(IF(Metadata!I114="",FALSE,TRUE),EXACT(Metadata!I114,"meters"))</f>
        <v>0</v>
      </c>
      <c r="AW114" t="b">
        <f>AND(IF(Metadata!J114="",FALSE,TRUE),EXACT(Metadata!J114,"free-living"))</f>
        <v>0</v>
      </c>
      <c r="AX114" t="b">
        <f>AND(IF(Metadata!K114="",FALSE,TRUE),OR(EXACT(Metadata!K114,"saline"),EXACT(Metadata!K114,"non-saline")))</f>
        <v>0</v>
      </c>
      <c r="AY114" t="b">
        <f>AND(IF(Metadata!L114="",FALSE,TRUE),OR(EXACT(Metadata!L114,"sub-surface (non-saline)"),EXACT(Metadata!L114,"surface (non-saline)"),EXACT(Metadata!L114,"water (non-saline)"),EXACT(Metadata!L114,"soil (non-saline)"),EXACT(Metadata!L114,"aerosol (non-saline)"),EXACT(Metadata!L114,"sediment (non-saline)"),EXACT(Metadata!L114,"surface (saline)"),EXACT(Metadata!L114,"water (saline)"),EXACT(Metadata!L114,"hypersaline (saline)"),EXACT(Metadata!L114,"aerosol (saline)"),EXACT(Metadata!L114,"sediment (saline)")))</f>
        <v>0</v>
      </c>
      <c r="AZ114" t="b">
        <f>IF(Metadata!M114="",FALSE,TRUE)</f>
        <v>0</v>
      </c>
      <c r="BA114" t="b">
        <f>IF(Metadata!N114="",FALSE,TRUE)</f>
        <v>0</v>
      </c>
      <c r="BB114" t="b">
        <f>IF(Metadata!O114="",FALSE,TRUE)</f>
        <v>0</v>
      </c>
      <c r="BC114" t="b">
        <f>AND(IF(Metadata!P114="",FALSE,TRUE),OR(EXACT(Metadata!P114,"air"),EXACT(Metadata!P114,"microbial mat/biofilm"),EXACT(Metadata!P114,"misc environment"),EXACT(Metadata!P114,"sediment"),EXACT(Metadata!P114,"soil"),EXACT(Metadata!P114,"wastewater/sludge"),EXACT(Metadata!P114,"water")))</f>
        <v>0</v>
      </c>
      <c r="BD114" t="b">
        <f>IF(Metadata!Q114="",FALSE,TRUE)</f>
        <v>0</v>
      </c>
      <c r="BE114" t="b">
        <f>IF(Metadata!R114="",FALSE,TRUE)</f>
        <v>0</v>
      </c>
      <c r="BF114" t="b">
        <f>OR(AND(IF(Metadata!S114="",FALSE,TRUE),OR(EXACT(Metadata!S114,"not collected"),EXACT(Metadata!S114,"not provided"),EXACT(Metadata!S114,"restricted access"))),AND(IF(Metadata!S114="",FALSE,ISNUMBER(VALUE(Metadata!S114))),Metadata!S114&gt;=-90,Metadata!S114&lt;=90))</f>
        <v>0</v>
      </c>
      <c r="BG114" t="b">
        <f>AND(IF(Metadata!T114="",FALSE,TRUE),EXACT(Metadata!T114,"Decimal degrees"))</f>
        <v>0</v>
      </c>
      <c r="BH114" t="b">
        <f>OR(AND(IF(Metadata!U114="",FALSE,TRUE),OR(EXACT(Metadata!U114,"not applicable"),EXACT(Metadata!U114,"not collected"))),IF(Metadata!U114="",FALSE,TRUE))</f>
        <v>0</v>
      </c>
      <c r="BI114" t="b">
        <f>OR(AND(IF(Metadata!V114="",FALSE,TRUE),OR(EXACT(Metadata!V114,"not collected"),EXACT(Metadata!V114,"not provided"),EXACT(Metadata!V114,"restricted access"))),AND(IF(Metadata!V114="",FALSE,ISNUMBER(VALUE(Metadata!V114))),Metadata!V114&gt;=-180,Metadata!V114&lt;=180))</f>
        <v>0</v>
      </c>
      <c r="BJ114" t="b">
        <f>AND(IF(Metadata!W114="",FALSE,TRUE),EXACT(Metadata!W114,"Decimal degrees"))</f>
        <v>0</v>
      </c>
      <c r="BK114" t="b">
        <f>IF(Metadata!X114="",FALSE,TRUE)</f>
        <v>0</v>
      </c>
      <c r="BL114" t="b">
        <f>OR(AND(IF(Metadata!Y114="",FALSE,TRUE),OR(EXACT(Metadata!Y114,"not collected"),EXACT(Metadata!Y114,"not provided"),EXACT(Metadata!Y114,"restricted access"))),AND(IF(Metadata!Y114="",FALSE,TRUE),OR(EXACT(Metadata!Y114,"TRUE"),EXACT(Metadata!Y114,"FALSE"))))</f>
        <v>0</v>
      </c>
      <c r="BM114" t="b">
        <f>OR(AND(IF(Metadata!Z114="",FALSE,TRUE),EXACT(Metadata!Z114,"not applicable")),AND(IF(Metadata!Z114="",FALSE,TRUE),OR(EXACT(Metadata!Z114,"beer"),EXACT(Metadata!Z114,"cheese"),EXACT(Metadata!Z114,"fresh water"),EXACT(Metadata!Z114,"marine sediment"),EXACT(Metadata!Z114,"sea water"),EXACT(Metadata!Z114,"sediment"),EXACT(Metadata!Z114,"soil"),EXACT(Metadata!Z114,"waste water"))))</f>
        <v>0</v>
      </c>
      <c r="BN114" t="b">
        <f>AND(IF(Metadata!AA114="",FALSE,TRUE),EXACT(Metadata!AA114,"metagenome"))</f>
        <v>0</v>
      </c>
      <c r="BO114" t="b">
        <f>AND(IF(Metadata!AB114="",FALSE,TRUE),EXACT(Metadata!AB114,"256318"))</f>
        <v>0</v>
      </c>
      <c r="BP114" t="b">
        <f>IF(Metadata!AC114="",FALSE,TRUE)</f>
        <v>0</v>
      </c>
      <c r="BQ114" t="b">
        <f>IF(Metadata!AD114="",FALSE,TRUE)</f>
        <v>0</v>
      </c>
    </row>
    <row r="115" spans="1:69" x14ac:dyDescent="0.2">
      <c r="A115" s="4" t="e">
        <f ca="1">IF(B115=" "," ",HYPERLINK(CONCATENATE("#metadata!",ADDRESS(INDEX($AJ$2:$AJ$1001,MATCH(ROWS($AH$2:AH115),$AH$2:$AH$1001,0),0),2)),INDEX($AM$2:$AM$1001,MATCH(ROWS($AH$2:AH115),$AH$2:$AH$1001,0),0)))</f>
        <v>#N/A</v>
      </c>
      <c r="B115" s="5" t="e">
        <f ca="1">IF(OR(INDEX($AI$2:$AI$1001,MATCH(ROWS($AH$2:AH115),$AH$2:$AH$1001,0),1)&gt;=100000,INDEX($AO$1005:$BQ$1005,1,MATCH(COLUMNS($AO$1006:AO1006),$AO$1006:$BQ$1006,0))&gt;=100000), " ",IF(INDEX($AO$2:$BQ$1001,MATCH(ROWS($AH$2:AH115),$AH$2:$AH$1001,0),MATCH(COLUMNS($AO$1006:AO1006),$AO$1006:$BQ$1006,0)), HYPERLINK("#",""), HYPERLINK(CONCATENATE("#Metadata!", ADDRESS(INDEX($AJ$2:$AJ$1001,MATCH(ROWS($AH$2:AH115),$AH$2:$AH$1001,0),0), INDEX($AO$1004:$BQ$1004,1,MATCH(COLUMNS($AO$1006:AO1006),$AO$1006:$BQ$1006,0)))),"Fix")))</f>
        <v>#N/A</v>
      </c>
      <c r="C115" s="5" t="e">
        <f ca="1">IF(OR(INDEX($AI$2:$AI$1001,MATCH(ROWS($AH$2:AH115),$AH$2:$AH$1001,0),1)&gt;=100000,INDEX($AO$1005:$BQ$1005,1,MATCH(COLUMNS($AO$1006:AP1006),$AO$1006:$BQ$1006,0))&gt;=100000), " ",IF(INDEX($AO$2:$BQ$1001,MATCH(ROWS($AH$2:AH115),$AH$2:$AH$1001,0),MATCH(COLUMNS($AO$1006:AP1006),$AO$1006:$BQ$1006,0)), HYPERLINK("#",""), HYPERLINK(CONCATENATE("#Metadata!", ADDRESS(INDEX($AJ$2:$AJ$1001,MATCH(ROWS($AH$2:AH115),$AH$2:$AH$1001,0),0), INDEX($AO$1004:$BQ$1004,1,MATCH(COLUMNS($AO$1006:AP1006),$AO$1006:$BQ$1006,0)))),"Fix")))</f>
        <v>#N/A</v>
      </c>
      <c r="D115" s="5" t="e">
        <f ca="1">IF(OR(INDEX($AI$2:$AI$1001,MATCH(ROWS($AH$2:AH115),$AH$2:$AH$1001,0),1)&gt;=100000,INDEX($AO$1005:$BQ$1005,1,MATCH(COLUMNS($AO$1006:AQ1006),$AO$1006:$BQ$1006,0))&gt;=100000), " ",IF(INDEX($AO$2:$BQ$1001,MATCH(ROWS($AH$2:AH115),$AH$2:$AH$1001,0),MATCH(COLUMNS($AO$1006:AQ1006),$AO$1006:$BQ$1006,0)), HYPERLINK("#",""), HYPERLINK(CONCATENATE("#Metadata!", ADDRESS(INDEX($AJ$2:$AJ$1001,MATCH(ROWS($AH$2:AH115),$AH$2:$AH$1001,0),0), INDEX($AO$1004:$BQ$1004,1,MATCH(COLUMNS($AO$1006:AQ1006),$AO$1006:$BQ$1006,0)))),"Fix")))</f>
        <v>#N/A</v>
      </c>
      <c r="E115" s="5" t="e">
        <f ca="1">IF(OR(INDEX($AI$2:$AI$1001,MATCH(ROWS($AH$2:AH115),$AH$2:$AH$1001,0),1)&gt;=100000,INDEX($AO$1005:$BQ$1005,1,MATCH(COLUMNS($AO$1006:AR1006),$AO$1006:$BQ$1006,0))&gt;=100000), " ",IF(INDEX($AO$2:$BQ$1001,MATCH(ROWS($AH$2:AH115),$AH$2:$AH$1001,0),MATCH(COLUMNS($AO$1006:AR1006),$AO$1006:$BQ$1006,0)), HYPERLINK("#",""), HYPERLINK(CONCATENATE("#Metadata!", ADDRESS(INDEX($AJ$2:$AJ$1001,MATCH(ROWS($AH$2:AH115),$AH$2:$AH$1001,0),0), INDEX($AO$1004:$BQ$1004,1,MATCH(COLUMNS($AO$1006:AR1006),$AO$1006:$BQ$1006,0)))),"Fix")))</f>
        <v>#N/A</v>
      </c>
      <c r="F115" s="5" t="e">
        <f ca="1">IF(OR(INDEX($AI$2:$AI$1001,MATCH(ROWS($AH$2:AH115),$AH$2:$AH$1001,0),1)&gt;=100000,INDEX($AO$1005:$BQ$1005,1,MATCH(COLUMNS($AO$1006:AS1006),$AO$1006:$BQ$1006,0))&gt;=100000), " ",IF(INDEX($AO$2:$BQ$1001,MATCH(ROWS($AH$2:AH115),$AH$2:$AH$1001,0),MATCH(COLUMNS($AO$1006:AS1006),$AO$1006:$BQ$1006,0)), HYPERLINK("#",""), HYPERLINK(CONCATENATE("#Metadata!", ADDRESS(INDEX($AJ$2:$AJ$1001,MATCH(ROWS($AH$2:AH115),$AH$2:$AH$1001,0),0), INDEX($AO$1004:$BQ$1004,1,MATCH(COLUMNS($AO$1006:AS1006),$AO$1006:$BQ$1006,0)))),"Fix")))</f>
        <v>#N/A</v>
      </c>
      <c r="G115" s="5" t="e">
        <f ca="1">IF(OR(INDEX($AI$2:$AI$1001,MATCH(ROWS($AH$2:AH115),$AH$2:$AH$1001,0),1)&gt;=100000,INDEX($AO$1005:$BQ$1005,1,MATCH(COLUMNS($AO$1006:AT1006),$AO$1006:$BQ$1006,0))&gt;=100000), " ",IF(INDEX($AO$2:$BQ$1001,MATCH(ROWS($AH$2:AH115),$AH$2:$AH$1001,0),MATCH(COLUMNS($AO$1006:AT1006),$AO$1006:$BQ$1006,0)), HYPERLINK("#",""), HYPERLINK(CONCATENATE("#Metadata!", ADDRESS(INDEX($AJ$2:$AJ$1001,MATCH(ROWS($AH$2:AH115),$AH$2:$AH$1001,0),0), INDEX($AO$1004:$BQ$1004,1,MATCH(COLUMNS($AO$1006:AT1006),$AO$1006:$BQ$1006,0)))),"Fix")))</f>
        <v>#N/A</v>
      </c>
      <c r="H115" s="5" t="e">
        <f ca="1">IF(OR(INDEX($AI$2:$AI$1001,MATCH(ROWS($AH$2:AH115),$AH$2:$AH$1001,0),1)&gt;=100000,INDEX($AO$1005:$BQ$1005,1,MATCH(COLUMNS($AO$1006:AU1006),$AO$1006:$BQ$1006,0))&gt;=100000), " ",IF(INDEX($AO$2:$BQ$1001,MATCH(ROWS($AH$2:AH115),$AH$2:$AH$1001,0),MATCH(COLUMNS($AO$1006:AU1006),$AO$1006:$BQ$1006,0)), HYPERLINK("#",""), HYPERLINK(CONCATENATE("#Metadata!", ADDRESS(INDEX($AJ$2:$AJ$1001,MATCH(ROWS($AH$2:AH115),$AH$2:$AH$1001,0),0), INDEX($AO$1004:$BQ$1004,1,MATCH(COLUMNS($AO$1006:AU1006),$AO$1006:$BQ$1006,0)))),"Fix")))</f>
        <v>#N/A</v>
      </c>
      <c r="I115" s="5" t="e">
        <f ca="1">IF(OR(INDEX($AI$2:$AI$1001,MATCH(ROWS($AH$2:AH115),$AH$2:$AH$1001,0),1)&gt;=100000,INDEX($AO$1005:$BQ$1005,1,MATCH(COLUMNS($AO$1006:AV1006),$AO$1006:$BQ$1006,0))&gt;=100000), " ",IF(INDEX($AO$2:$BQ$1001,MATCH(ROWS($AH$2:AH115),$AH$2:$AH$1001,0),MATCH(COLUMNS($AO$1006:AV1006),$AO$1006:$BQ$1006,0)), HYPERLINK("#",""), HYPERLINK(CONCATENATE("#Metadata!", ADDRESS(INDEX($AJ$2:$AJ$1001,MATCH(ROWS($AH$2:AH115),$AH$2:$AH$1001,0),0), INDEX($AO$1004:$BQ$1004,1,MATCH(COLUMNS($AO$1006:AV1006),$AO$1006:$BQ$1006,0)))),"Fix")))</f>
        <v>#N/A</v>
      </c>
      <c r="J115" s="5" t="e">
        <f ca="1">IF(OR(INDEX($AI$2:$AI$1001,MATCH(ROWS($AH$2:AH115),$AH$2:$AH$1001,0),1)&gt;=100000,INDEX($AO$1005:$BQ$1005,1,MATCH(COLUMNS($AO$1006:AW1006),$AO$1006:$BQ$1006,0))&gt;=100000), " ",IF(INDEX($AO$2:$BQ$1001,MATCH(ROWS($AH$2:AH115),$AH$2:$AH$1001,0),MATCH(COLUMNS($AO$1006:AW1006),$AO$1006:$BQ$1006,0)), HYPERLINK("#",""), HYPERLINK(CONCATENATE("#Metadata!", ADDRESS(INDEX($AJ$2:$AJ$1001,MATCH(ROWS($AH$2:AH115),$AH$2:$AH$1001,0),0), INDEX($AO$1004:$BQ$1004,1,MATCH(COLUMNS($AO$1006:AW1006),$AO$1006:$BQ$1006,0)))),"Fix")))</f>
        <v>#N/A</v>
      </c>
      <c r="K115" s="5" t="e">
        <f ca="1">IF(OR(INDEX($AI$2:$AI$1001,MATCH(ROWS($AH$2:AH115),$AH$2:$AH$1001,0),1)&gt;=100000,INDEX($AO$1005:$BQ$1005,1,MATCH(COLUMNS($AO$1006:AX1006),$AO$1006:$BQ$1006,0))&gt;=100000), " ",IF(INDEX($AO$2:$BQ$1001,MATCH(ROWS($AH$2:AH115),$AH$2:$AH$1001,0),MATCH(COLUMNS($AO$1006:AX1006),$AO$1006:$BQ$1006,0)), HYPERLINK("#",""), HYPERLINK(CONCATENATE("#Metadata!", ADDRESS(INDEX($AJ$2:$AJ$1001,MATCH(ROWS($AH$2:AH115),$AH$2:$AH$1001,0),0), INDEX($AO$1004:$BQ$1004,1,MATCH(COLUMNS($AO$1006:AX1006),$AO$1006:$BQ$1006,0)))),"Fix")))</f>
        <v>#N/A</v>
      </c>
      <c r="L115" s="5" t="e">
        <f ca="1">IF(OR(INDEX($AI$2:$AI$1001,MATCH(ROWS($AH$2:AH115),$AH$2:$AH$1001,0),1)&gt;=100000,INDEX($AO$1005:$BQ$1005,1,MATCH(COLUMNS($AO$1006:AY1006),$AO$1006:$BQ$1006,0))&gt;=100000), " ",IF(INDEX($AO$2:$BQ$1001,MATCH(ROWS($AH$2:AH115),$AH$2:$AH$1001,0),MATCH(COLUMNS($AO$1006:AY1006),$AO$1006:$BQ$1006,0)), HYPERLINK("#",""), HYPERLINK(CONCATENATE("#Metadata!", ADDRESS(INDEX($AJ$2:$AJ$1001,MATCH(ROWS($AH$2:AH115),$AH$2:$AH$1001,0),0), INDEX($AO$1004:$BQ$1004,1,MATCH(COLUMNS($AO$1006:AY1006),$AO$1006:$BQ$1006,0)))),"Fix")))</f>
        <v>#N/A</v>
      </c>
      <c r="M115" s="5" t="e">
        <f ca="1">IF(OR(INDEX($AI$2:$AI$1001,MATCH(ROWS($AH$2:AH115),$AH$2:$AH$1001,0),1)&gt;=100000,INDEX($AO$1005:$BQ$1005,1,MATCH(COLUMNS($AO$1006:AZ1006),$AO$1006:$BQ$1006,0))&gt;=100000), " ",IF(INDEX($AO$2:$BQ$1001,MATCH(ROWS($AH$2:AH115),$AH$2:$AH$1001,0),MATCH(COLUMNS($AO$1006:AZ1006),$AO$1006:$BQ$1006,0)), HYPERLINK("#",""), HYPERLINK(CONCATENATE("#Metadata!", ADDRESS(INDEX($AJ$2:$AJ$1001,MATCH(ROWS($AH$2:AH115),$AH$2:$AH$1001,0),0), INDEX($AO$1004:$BQ$1004,1,MATCH(COLUMNS($AO$1006:AZ1006),$AO$1006:$BQ$1006,0)))),"Fix")))</f>
        <v>#N/A</v>
      </c>
      <c r="N115" s="5" t="e">
        <f ca="1">IF(OR(INDEX($AI$2:$AI$1001,MATCH(ROWS($AH$2:AH115),$AH$2:$AH$1001,0),1)&gt;=100000,INDEX($AO$1005:$BQ$1005,1,MATCH(COLUMNS($AO$1006:BA1006),$AO$1006:$BQ$1006,0))&gt;=100000), " ",IF(INDEX($AO$2:$BQ$1001,MATCH(ROWS($AH$2:AH115),$AH$2:$AH$1001,0),MATCH(COLUMNS($AO$1006:BA1006),$AO$1006:$BQ$1006,0)), HYPERLINK("#",""), HYPERLINK(CONCATENATE("#Metadata!", ADDRESS(INDEX($AJ$2:$AJ$1001,MATCH(ROWS($AH$2:AH115),$AH$2:$AH$1001,0),0), INDEX($AO$1004:$BQ$1004,1,MATCH(COLUMNS($AO$1006:BA1006),$AO$1006:$BQ$1006,0)))),"Fix")))</f>
        <v>#N/A</v>
      </c>
      <c r="O115" s="5" t="e">
        <f ca="1">IF(OR(INDEX($AI$2:$AI$1001,MATCH(ROWS($AH$2:AH115),$AH$2:$AH$1001,0),1)&gt;=100000,INDEX($AO$1005:$BQ$1005,1,MATCH(COLUMNS($AO$1006:BB1006),$AO$1006:$BQ$1006,0))&gt;=100000), " ",IF(INDEX($AO$2:$BQ$1001,MATCH(ROWS($AH$2:AH115),$AH$2:$AH$1001,0),MATCH(COLUMNS($AO$1006:BB1006),$AO$1006:$BQ$1006,0)), HYPERLINK("#",""), HYPERLINK(CONCATENATE("#Metadata!", ADDRESS(INDEX($AJ$2:$AJ$1001,MATCH(ROWS($AH$2:AH115),$AH$2:$AH$1001,0),0), INDEX($AO$1004:$BQ$1004,1,MATCH(COLUMNS($AO$1006:BB1006),$AO$1006:$BQ$1006,0)))),"Fix")))</f>
        <v>#N/A</v>
      </c>
      <c r="P115" s="5" t="e">
        <f ca="1">IF(OR(INDEX($AI$2:$AI$1001,MATCH(ROWS($AH$2:AH115),$AH$2:$AH$1001,0),1)&gt;=100000,INDEX($AO$1005:$BQ$1005,1,MATCH(COLUMNS($AO$1006:BC1006),$AO$1006:$BQ$1006,0))&gt;=100000), " ",IF(INDEX($AO$2:$BQ$1001,MATCH(ROWS($AH$2:AH115),$AH$2:$AH$1001,0),MATCH(COLUMNS($AO$1006:BC1006),$AO$1006:$BQ$1006,0)), HYPERLINK("#",""), HYPERLINK(CONCATENATE("#Metadata!", ADDRESS(INDEX($AJ$2:$AJ$1001,MATCH(ROWS($AH$2:AH115),$AH$2:$AH$1001,0),0), INDEX($AO$1004:$BQ$1004,1,MATCH(COLUMNS($AO$1006:BC1006),$AO$1006:$BQ$1006,0)))),"Fix")))</f>
        <v>#N/A</v>
      </c>
      <c r="Q115" s="5" t="e">
        <f ca="1">IF(OR(INDEX($AI$2:$AI$1001,MATCH(ROWS($AH$2:AH115),$AH$2:$AH$1001,0),1)&gt;=100000,INDEX($AO$1005:$BQ$1005,1,MATCH(COLUMNS($AO$1006:BD1006),$AO$1006:$BQ$1006,0))&gt;=100000), " ",IF(INDEX($AO$2:$BQ$1001,MATCH(ROWS($AH$2:AH115),$AH$2:$AH$1001,0),MATCH(COLUMNS($AO$1006:BD1006),$AO$1006:$BQ$1006,0)), HYPERLINK("#",""), HYPERLINK(CONCATENATE("#Metadata!", ADDRESS(INDEX($AJ$2:$AJ$1001,MATCH(ROWS($AH$2:AH115),$AH$2:$AH$1001,0),0), INDEX($AO$1004:$BQ$1004,1,MATCH(COLUMNS($AO$1006:BD1006),$AO$1006:$BQ$1006,0)))),"Fix")))</f>
        <v>#N/A</v>
      </c>
      <c r="R115" s="5" t="e">
        <f ca="1">IF(OR(INDEX($AI$2:$AI$1001,MATCH(ROWS($AH$2:AH115),$AH$2:$AH$1001,0),1)&gt;=100000,INDEX($AO$1005:$BQ$1005,1,MATCH(COLUMNS($AO$1006:BE1006),$AO$1006:$BQ$1006,0))&gt;=100000), " ",IF(INDEX($AO$2:$BQ$1001,MATCH(ROWS($AH$2:AH115),$AH$2:$AH$1001,0),MATCH(COLUMNS($AO$1006:BE1006),$AO$1006:$BQ$1006,0)), HYPERLINK("#",""), HYPERLINK(CONCATENATE("#Metadata!", ADDRESS(INDEX($AJ$2:$AJ$1001,MATCH(ROWS($AH$2:AH115),$AH$2:$AH$1001,0),0), INDEX($AO$1004:$BQ$1004,1,MATCH(COLUMNS($AO$1006:BE1006),$AO$1006:$BQ$1006,0)))),"Fix")))</f>
        <v>#N/A</v>
      </c>
      <c r="S115" s="5" t="e">
        <f ca="1">IF(OR(INDEX($AI$2:$AI$1001,MATCH(ROWS($AH$2:AH115),$AH$2:$AH$1001,0),1)&gt;=100000,INDEX($AO$1005:$BQ$1005,1,MATCH(COLUMNS($AO$1006:BF1006),$AO$1006:$BQ$1006,0))&gt;=100000), " ",IF(INDEX($AO$2:$BQ$1001,MATCH(ROWS($AH$2:AH115),$AH$2:$AH$1001,0),MATCH(COLUMNS($AO$1006:BF1006),$AO$1006:$BQ$1006,0)), HYPERLINK("#",""), HYPERLINK(CONCATENATE("#Metadata!", ADDRESS(INDEX($AJ$2:$AJ$1001,MATCH(ROWS($AH$2:AH115),$AH$2:$AH$1001,0),0), INDEX($AO$1004:$BQ$1004,1,MATCH(COLUMNS($AO$1006:BF1006),$AO$1006:$BQ$1006,0)))),"Fix")))</f>
        <v>#N/A</v>
      </c>
      <c r="T115" s="5" t="e">
        <f ca="1">IF(OR(INDEX($AI$2:$AI$1001,MATCH(ROWS($AH$2:AH115),$AH$2:$AH$1001,0),1)&gt;=100000,INDEX($AO$1005:$BQ$1005,1,MATCH(COLUMNS($AO$1006:BG1006),$AO$1006:$BQ$1006,0))&gt;=100000), " ",IF(INDEX($AO$2:$BQ$1001,MATCH(ROWS($AH$2:AH115),$AH$2:$AH$1001,0),MATCH(COLUMNS($AO$1006:BG1006),$AO$1006:$BQ$1006,0)), HYPERLINK("#",""), HYPERLINK(CONCATENATE("#Metadata!", ADDRESS(INDEX($AJ$2:$AJ$1001,MATCH(ROWS($AH$2:AH115),$AH$2:$AH$1001,0),0), INDEX($AO$1004:$BQ$1004,1,MATCH(COLUMNS($AO$1006:BG1006),$AO$1006:$BQ$1006,0)))),"Fix")))</f>
        <v>#N/A</v>
      </c>
      <c r="U115" s="5" t="e">
        <f ca="1">IF(OR(INDEX($AI$2:$AI$1001,MATCH(ROWS($AH$2:AH115),$AH$2:$AH$1001,0),1)&gt;=100000,INDEX($AO$1005:$BQ$1005,1,MATCH(COLUMNS($AO$1006:BH1006),$AO$1006:$BQ$1006,0))&gt;=100000), " ",IF(INDEX($AO$2:$BQ$1001,MATCH(ROWS($AH$2:AH115),$AH$2:$AH$1001,0),MATCH(COLUMNS($AO$1006:BH1006),$AO$1006:$BQ$1006,0)), HYPERLINK("#",""), HYPERLINK(CONCATENATE("#Metadata!", ADDRESS(INDEX($AJ$2:$AJ$1001,MATCH(ROWS($AH$2:AH115),$AH$2:$AH$1001,0),0), INDEX($AO$1004:$BQ$1004,1,MATCH(COLUMNS($AO$1006:BH1006),$AO$1006:$BQ$1006,0)))),"Fix")))</f>
        <v>#N/A</v>
      </c>
      <c r="V115" s="5" t="e">
        <f ca="1">IF(OR(INDEX($AI$2:$AI$1001,MATCH(ROWS($AH$2:AH115),$AH$2:$AH$1001,0),1)&gt;=100000,INDEX($AO$1005:$BQ$1005,1,MATCH(COLUMNS($AO$1006:BI1006),$AO$1006:$BQ$1006,0))&gt;=100000), " ",IF(INDEX($AO$2:$BQ$1001,MATCH(ROWS($AH$2:AH115),$AH$2:$AH$1001,0),MATCH(COLUMNS($AO$1006:BI1006),$AO$1006:$BQ$1006,0)), HYPERLINK("#",""), HYPERLINK(CONCATENATE("#Metadata!", ADDRESS(INDEX($AJ$2:$AJ$1001,MATCH(ROWS($AH$2:AH115),$AH$2:$AH$1001,0),0), INDEX($AO$1004:$BQ$1004,1,MATCH(COLUMNS($AO$1006:BI1006),$AO$1006:$BQ$1006,0)))),"Fix")))</f>
        <v>#N/A</v>
      </c>
      <c r="W115" s="5" t="e">
        <f ca="1">IF(OR(INDEX($AI$2:$AI$1001,MATCH(ROWS($AH$2:AH115),$AH$2:$AH$1001,0),1)&gt;=100000,INDEX($AO$1005:$BQ$1005,1,MATCH(COLUMNS($AO$1006:BJ1006),$AO$1006:$BQ$1006,0))&gt;=100000), " ",IF(INDEX($AO$2:$BQ$1001,MATCH(ROWS($AH$2:AH115),$AH$2:$AH$1001,0),MATCH(COLUMNS($AO$1006:BJ1006),$AO$1006:$BQ$1006,0)), HYPERLINK("#",""), HYPERLINK(CONCATENATE("#Metadata!", ADDRESS(INDEX($AJ$2:$AJ$1001,MATCH(ROWS($AH$2:AH115),$AH$2:$AH$1001,0),0), INDEX($AO$1004:$BQ$1004,1,MATCH(COLUMNS($AO$1006:BJ1006),$AO$1006:$BQ$1006,0)))),"Fix")))</f>
        <v>#N/A</v>
      </c>
      <c r="X115" s="5" t="e">
        <f ca="1">IF(OR(INDEX($AI$2:$AI$1001,MATCH(ROWS($AH$2:AH115),$AH$2:$AH$1001,0),1)&gt;=100000,INDEX($AO$1005:$BQ$1005,1,MATCH(COLUMNS($AO$1006:BK1006),$AO$1006:$BQ$1006,0))&gt;=100000), " ",IF(INDEX($AO$2:$BQ$1001,MATCH(ROWS($AH$2:AH115),$AH$2:$AH$1001,0),MATCH(COLUMNS($AO$1006:BK1006),$AO$1006:$BQ$1006,0)), HYPERLINK("#",""), HYPERLINK(CONCATENATE("#Metadata!", ADDRESS(INDEX($AJ$2:$AJ$1001,MATCH(ROWS($AH$2:AH115),$AH$2:$AH$1001,0),0), INDEX($AO$1004:$BQ$1004,1,MATCH(COLUMNS($AO$1006:BK1006),$AO$1006:$BQ$1006,0)))),"Fix")))</f>
        <v>#N/A</v>
      </c>
      <c r="Y115" s="5" t="e">
        <f ca="1">IF(OR(INDEX($AI$2:$AI$1001,MATCH(ROWS($AH$2:AH115),$AH$2:$AH$1001,0),1)&gt;=100000,INDEX($AO$1005:$BQ$1005,1,MATCH(COLUMNS($AO$1006:BL1006),$AO$1006:$BQ$1006,0))&gt;=100000), " ",IF(INDEX($AO$2:$BQ$1001,MATCH(ROWS($AH$2:AH115),$AH$2:$AH$1001,0),MATCH(COLUMNS($AO$1006:BL1006),$AO$1006:$BQ$1006,0)), HYPERLINK("#",""), HYPERLINK(CONCATENATE("#Metadata!", ADDRESS(INDEX($AJ$2:$AJ$1001,MATCH(ROWS($AH$2:AH115),$AH$2:$AH$1001,0),0), INDEX($AO$1004:$BQ$1004,1,MATCH(COLUMNS($AO$1006:BL1006),$AO$1006:$BQ$1006,0)))),"Fix")))</f>
        <v>#N/A</v>
      </c>
      <c r="Z115" s="5" t="e">
        <f ca="1">IF(OR(INDEX($AI$2:$AI$1001,MATCH(ROWS($AH$2:AH115),$AH$2:$AH$1001,0),1)&gt;=100000,INDEX($AO$1005:$BQ$1005,1,MATCH(COLUMNS($AO$1006:BM1006),$AO$1006:$BQ$1006,0))&gt;=100000), " ",IF(INDEX($AO$2:$BQ$1001,MATCH(ROWS($AH$2:AH115),$AH$2:$AH$1001,0),MATCH(COLUMNS($AO$1006:BM1006),$AO$1006:$BQ$1006,0)), HYPERLINK("#",""), HYPERLINK(CONCATENATE("#Metadata!", ADDRESS(INDEX($AJ$2:$AJ$1001,MATCH(ROWS($AH$2:AH115),$AH$2:$AH$1001,0),0), INDEX($AO$1004:$BQ$1004,1,MATCH(COLUMNS($AO$1006:BM1006),$AO$1006:$BQ$1006,0)))),"Fix")))</f>
        <v>#N/A</v>
      </c>
      <c r="AA115" s="5" t="e">
        <f ca="1">IF(OR(INDEX($AI$2:$AI$1001,MATCH(ROWS($AH$2:AH115),$AH$2:$AH$1001,0),1)&gt;=100000,INDEX($AO$1005:$BQ$1005,1,MATCH(COLUMNS($AO$1006:BN1006),$AO$1006:$BQ$1006,0))&gt;=100000), " ",IF(INDEX($AO$2:$BQ$1001,MATCH(ROWS($AH$2:AH115),$AH$2:$AH$1001,0),MATCH(COLUMNS($AO$1006:BN1006),$AO$1006:$BQ$1006,0)), HYPERLINK("#",""), HYPERLINK(CONCATENATE("#Metadata!", ADDRESS(INDEX($AJ$2:$AJ$1001,MATCH(ROWS($AH$2:AH115),$AH$2:$AH$1001,0),0), INDEX($AO$1004:$BQ$1004,1,MATCH(COLUMNS($AO$1006:BN1006),$AO$1006:$BQ$1006,0)))),"Fix")))</f>
        <v>#N/A</v>
      </c>
      <c r="AB115" s="5" t="e">
        <f ca="1">IF(OR(INDEX($AI$2:$AI$1001,MATCH(ROWS($AH$2:AH115),$AH$2:$AH$1001,0),1)&gt;=100000,INDEX($AO$1005:$BQ$1005,1,MATCH(COLUMNS($AO$1006:BO1006),$AO$1006:$BQ$1006,0))&gt;=100000), " ",IF(INDEX($AO$2:$BQ$1001,MATCH(ROWS($AH$2:AH115),$AH$2:$AH$1001,0),MATCH(COLUMNS($AO$1006:BO1006),$AO$1006:$BQ$1006,0)), HYPERLINK("#",""), HYPERLINK(CONCATENATE("#Metadata!", ADDRESS(INDEX($AJ$2:$AJ$1001,MATCH(ROWS($AH$2:AH115),$AH$2:$AH$1001,0),0), INDEX($AO$1004:$BQ$1004,1,MATCH(COLUMNS($AO$1006:BO1006),$AO$1006:$BQ$1006,0)))),"Fix")))</f>
        <v>#N/A</v>
      </c>
      <c r="AC115" s="5" t="e">
        <f ca="1">IF(OR(INDEX($AI$2:$AI$1001,MATCH(ROWS($AH$2:AH115),$AH$2:$AH$1001,0),1)&gt;=100000,INDEX($AO$1005:$BQ$1005,1,MATCH(COLUMNS($AO$1006:BP1006),$AO$1006:$BQ$1006,0))&gt;=100000), " ",IF(INDEX($AO$2:$BQ$1001,MATCH(ROWS($AH$2:AH115),$AH$2:$AH$1001,0),MATCH(COLUMNS($AO$1006:BP1006),$AO$1006:$BQ$1006,0)), HYPERLINK("#",""), HYPERLINK(CONCATENATE("#Metadata!", ADDRESS(INDEX($AJ$2:$AJ$1001,MATCH(ROWS($AH$2:AH115),$AH$2:$AH$1001,0),0), INDEX($AO$1004:$BQ$1004,1,MATCH(COLUMNS($AO$1006:BP1006),$AO$1006:$BQ$1006,0)))),"Fix")))</f>
        <v>#N/A</v>
      </c>
      <c r="AD115" s="5" t="e">
        <f ca="1">IF(OR(INDEX($AI$2:$AI$1001,MATCH(ROWS($AH$2:AH115),$AH$2:$AH$1001,0),1)&gt;=100000,INDEX($AO$1005:$BQ$1005,1,MATCH(COLUMNS($AO$1006:BQ1006),$AO$1006:$BQ$1006,0))&gt;=100000), " ",IF(INDEX($AO$2:$BQ$1001,MATCH(ROWS($AH$2:AH115),$AH$2:$AH$1001,0),MATCH(COLUMNS($AO$1006:BQ1006),$AO$1006:$BQ$1006,0)), HYPERLINK("#",""), HYPERLINK(CONCATENATE("#Metadata!", ADDRESS(INDEX($AJ$2:$AJ$1001,MATCH(ROWS($AH$2:AH115),$AH$2:$AH$1001,0),0), INDEX($AO$1004:$BQ$1004,1,MATCH(COLUMNS($AO$1006:BQ1006),$AO$1006:$BQ$1006,0)))),"Fix")))</f>
        <v>#REF!</v>
      </c>
      <c r="AH115">
        <f ca="1"/>
        <v>112</v>
      </c>
      <c r="AI115">
        <v>100115</v>
      </c>
      <c r="AJ115">
        <v>115</v>
      </c>
      <c r="AK115" t="b">
        <f t="shared" si="1"/>
        <v>1</v>
      </c>
      <c r="AL115" t="b">
        <f>COUNTBLANK(Metadata!B115:AD115)=COLUMNS(Metadata!B115:AD115)</f>
        <v>1</v>
      </c>
      <c r="AM115" t="str">
        <v/>
      </c>
      <c r="AO115" t="b">
        <f ca="1">AND(IF(Metadata!B115="",FALSE,TRUE),COUNTIF(Metadata!B:B, Metadata!B115) = 1,NOT(ISERROR(SUMPRODUCT(SEARCH(MID(Metadata!B115,ROW(INDIRECT("1:"&amp;LEN(Metadata!B115))), 1),"0123456789abcdefghijklmnopqrstuvwxyzABCDEFGHIJKLMNOPQRSTUVWXYZ.")))))</f>
        <v>0</v>
      </c>
      <c r="AP115" t="b">
        <f>IF(Metadata!C115="",FALSE,TRUE)</f>
        <v>0</v>
      </c>
      <c r="AQ115" t="b">
        <f>IF(Metadata!D115="",FALSE,TRUE)</f>
        <v>0</v>
      </c>
      <c r="AR115" t="b">
        <f ca="1">OR(AND(IF(Metadata!E115="",FALSE,TRUE),OR(EXACT(Metadata!E115,"not collected"),EXACT(Metadata!E115,"not provided"),EXACT(Metadata!E115,"restricted access"))),AND(IF(Metadata!E115="",FALSE,TRUE),AND(AND(IFERROR(INT(LEFT(Metadata!E115,4))&gt;1900,FALSE),IFERROR(INT(LEFT(Metadata!E115,4))&lt;=YEAR(NOW()),FALSE)), OR(MID(Metadata!E115,5,1)="", AND(AND(MID(Metadata!E115,5,1)="-",IFERROR(INT(MID(Metadata!E115,6,1))&gt;=0,FALSE),IFERROR(INT(MID(Metadata!E115,6,1))&lt;=1,FALSE),NOT(MID(Metadata!E115,7,1)=""),IFERROR(INT(MID(Metadata!E115,6,2))&gt;=1,FALSE),IFERROR(INT(MID(Metadata!E115,6,2))&lt;=12,FALSE)), OR(MID(Metadata!E115,8,1)="", AND(AND(MID(Metadata!E115,8,1)="-",IFERROR(INT(MID(Metadata!E115,9,1))&gt;=0,FALSE),IFERROR(INT(MID(Metadata!E115,9,1))&lt;=3,FALSE),NOT(MID(Metadata!E115,10,1)=""),IFERROR(INT(MID(Metadata!E115,9,2))&gt;=1,FALSE),IFERROR(INT(MID(Metadata!E115,9,2))&lt;=31,FALSE)), OR(MID(Metadata!E115,11,1)="", AND(AND(MID(Metadata!E115,11,1)=" ",IFERROR(INT(MID(Metadata!E115,12,1))&gt;=0,FALSE),IFERROR(INT(MID(Metadata!E115,12,1))&lt;=2,FALSE),NOT(MID(Metadata!E115,13,1)=""),IFERROR(INT(MID(Metadata!E115,12,2))&gt;=0,FALSE),IFERROR(INT(MID(Metadata!E115,12,2))&lt;=23,FALSE)), OR(MID(Metadata!E115,14,1)="", AND(AND(MID(Metadata!E115,14,1)=":",IFERROR(INT(MID(Metadata!E115,15,1))&gt;=0,FALSE),IFERROR(INT(MID(Metadata!E115,15,1))&lt;=5,FALSE),NOT(MID(Metadata!E115,16,1)=""),IFERROR(INT(MID(Metadata!E115,15,2))&gt;=0,FALSE),IFERROR(INT(MID(Metadata!E115,15,2))&lt;=59,FALSE)), OR(MID(Metadata!E115,17,1)="", AND(AND(MID(Metadata!E115,17,1)=":",IFERROR(INT(MID(Metadata!E115,18,1))&gt;=0,FALSE),IFERROR(INT(MID(Metadata!E115,18,1))&lt;=5,FALSE),NOT(MID(Metadata!E115,19,1)=""),IFERROR(INT(MID(Metadata!E115,18,2))&gt;=0,FALSE),IFERROR(INT(MID(Metadata!E115,18,2))&lt;=59,FALSE)), LEN(Metadata!E115)&lt;=19)))))))))))))</f>
        <v>0</v>
      </c>
      <c r="AS115" t="b">
        <f>IF(Metadata!F115="",FALSE,TRUE)</f>
        <v>0</v>
      </c>
      <c r="AT115" t="b">
        <f>OR(AND(IF(Metadata!G115="",FALSE,TRUE),OR(EXACT(Metadata!G115,"not collected"),EXACT(Metadata!G115,"not provided"))),AND(IF(Metadata!G115="",FALSE,TRUE),OR(EXACT(Metadata!G115,"TRUE"),EXACT(Metadata!G115,"FALSE"))))</f>
        <v>0</v>
      </c>
      <c r="AU115" t="b">
        <f>OR(AND(IF(Metadata!H115="",FALSE,TRUE),OR(EXACT(Metadata!H115,"not collected"),EXACT(Metadata!H115,"not provided"),EXACT(Metadata!H115,"restricted access"))),AND(IF(Metadata!H115="",FALSE,ISNUMBER(VALUE(Metadata!H115))),Metadata!H115&gt;=-413))</f>
        <v>0</v>
      </c>
      <c r="AV115" t="b">
        <f>AND(IF(Metadata!I115="",FALSE,TRUE),EXACT(Metadata!I115,"meters"))</f>
        <v>0</v>
      </c>
      <c r="AW115" t="b">
        <f>AND(IF(Metadata!J115="",FALSE,TRUE),EXACT(Metadata!J115,"free-living"))</f>
        <v>0</v>
      </c>
      <c r="AX115" t="b">
        <f>AND(IF(Metadata!K115="",FALSE,TRUE),OR(EXACT(Metadata!K115,"saline"),EXACT(Metadata!K115,"non-saline")))</f>
        <v>0</v>
      </c>
      <c r="AY115" t="b">
        <f>AND(IF(Metadata!L115="",FALSE,TRUE),OR(EXACT(Metadata!L115,"sub-surface (non-saline)"),EXACT(Metadata!L115,"surface (non-saline)"),EXACT(Metadata!L115,"water (non-saline)"),EXACT(Metadata!L115,"soil (non-saline)"),EXACT(Metadata!L115,"aerosol (non-saline)"),EXACT(Metadata!L115,"sediment (non-saline)"),EXACT(Metadata!L115,"surface (saline)"),EXACT(Metadata!L115,"water (saline)"),EXACT(Metadata!L115,"hypersaline (saline)"),EXACT(Metadata!L115,"aerosol (saline)"),EXACT(Metadata!L115,"sediment (saline)")))</f>
        <v>0</v>
      </c>
      <c r="AZ115" t="b">
        <f>IF(Metadata!M115="",FALSE,TRUE)</f>
        <v>0</v>
      </c>
      <c r="BA115" t="b">
        <f>IF(Metadata!N115="",FALSE,TRUE)</f>
        <v>0</v>
      </c>
      <c r="BB115" t="b">
        <f>IF(Metadata!O115="",FALSE,TRUE)</f>
        <v>0</v>
      </c>
      <c r="BC115" t="b">
        <f>AND(IF(Metadata!P115="",FALSE,TRUE),OR(EXACT(Metadata!P115,"air"),EXACT(Metadata!P115,"microbial mat/biofilm"),EXACT(Metadata!P115,"misc environment"),EXACT(Metadata!P115,"sediment"),EXACT(Metadata!P115,"soil"),EXACT(Metadata!P115,"wastewater/sludge"),EXACT(Metadata!P115,"water")))</f>
        <v>0</v>
      </c>
      <c r="BD115" t="b">
        <f>IF(Metadata!Q115="",FALSE,TRUE)</f>
        <v>0</v>
      </c>
      <c r="BE115" t="b">
        <f>IF(Metadata!R115="",FALSE,TRUE)</f>
        <v>0</v>
      </c>
      <c r="BF115" t="b">
        <f>OR(AND(IF(Metadata!S115="",FALSE,TRUE),OR(EXACT(Metadata!S115,"not collected"),EXACT(Metadata!S115,"not provided"),EXACT(Metadata!S115,"restricted access"))),AND(IF(Metadata!S115="",FALSE,ISNUMBER(VALUE(Metadata!S115))),Metadata!S115&gt;=-90,Metadata!S115&lt;=90))</f>
        <v>0</v>
      </c>
      <c r="BG115" t="b">
        <f>AND(IF(Metadata!T115="",FALSE,TRUE),EXACT(Metadata!T115,"Decimal degrees"))</f>
        <v>0</v>
      </c>
      <c r="BH115" t="b">
        <f>OR(AND(IF(Metadata!U115="",FALSE,TRUE),OR(EXACT(Metadata!U115,"not applicable"),EXACT(Metadata!U115,"not collected"))),IF(Metadata!U115="",FALSE,TRUE))</f>
        <v>0</v>
      </c>
      <c r="BI115" t="b">
        <f>OR(AND(IF(Metadata!V115="",FALSE,TRUE),OR(EXACT(Metadata!V115,"not collected"),EXACT(Metadata!V115,"not provided"),EXACT(Metadata!V115,"restricted access"))),AND(IF(Metadata!V115="",FALSE,ISNUMBER(VALUE(Metadata!V115))),Metadata!V115&gt;=-180,Metadata!V115&lt;=180))</f>
        <v>0</v>
      </c>
      <c r="BJ115" t="b">
        <f>AND(IF(Metadata!W115="",FALSE,TRUE),EXACT(Metadata!W115,"Decimal degrees"))</f>
        <v>0</v>
      </c>
      <c r="BK115" t="b">
        <f>IF(Metadata!X115="",FALSE,TRUE)</f>
        <v>0</v>
      </c>
      <c r="BL115" t="b">
        <f>OR(AND(IF(Metadata!Y115="",FALSE,TRUE),OR(EXACT(Metadata!Y115,"not collected"),EXACT(Metadata!Y115,"not provided"),EXACT(Metadata!Y115,"restricted access"))),AND(IF(Metadata!Y115="",FALSE,TRUE),OR(EXACT(Metadata!Y115,"TRUE"),EXACT(Metadata!Y115,"FALSE"))))</f>
        <v>0</v>
      </c>
      <c r="BM115" t="b">
        <f>OR(AND(IF(Metadata!Z115="",FALSE,TRUE),EXACT(Metadata!Z115,"not applicable")),AND(IF(Metadata!Z115="",FALSE,TRUE),OR(EXACT(Metadata!Z115,"beer"),EXACT(Metadata!Z115,"cheese"),EXACT(Metadata!Z115,"fresh water"),EXACT(Metadata!Z115,"marine sediment"),EXACT(Metadata!Z115,"sea water"),EXACT(Metadata!Z115,"sediment"),EXACT(Metadata!Z115,"soil"),EXACT(Metadata!Z115,"waste water"))))</f>
        <v>0</v>
      </c>
      <c r="BN115" t="b">
        <f>AND(IF(Metadata!AA115="",FALSE,TRUE),EXACT(Metadata!AA115,"metagenome"))</f>
        <v>0</v>
      </c>
      <c r="BO115" t="b">
        <f>AND(IF(Metadata!AB115="",FALSE,TRUE),EXACT(Metadata!AB115,"256318"))</f>
        <v>0</v>
      </c>
      <c r="BP115" t="b">
        <f>IF(Metadata!AC115="",FALSE,TRUE)</f>
        <v>0</v>
      </c>
      <c r="BQ115" t="b">
        <f>IF(Metadata!AD115="",FALSE,TRUE)</f>
        <v>0</v>
      </c>
    </row>
    <row r="116" spans="1:69" x14ac:dyDescent="0.2">
      <c r="A116" s="4" t="e">
        <f ca="1">IF(B116=" "," ",HYPERLINK(CONCATENATE("#metadata!",ADDRESS(INDEX($AJ$2:$AJ$1001,MATCH(ROWS($AH$2:AH116),$AH$2:$AH$1001,0),0),2)),INDEX($AM$2:$AM$1001,MATCH(ROWS($AH$2:AH116),$AH$2:$AH$1001,0),0)))</f>
        <v>#N/A</v>
      </c>
      <c r="B116" s="5" t="e">
        <f ca="1">IF(OR(INDEX($AI$2:$AI$1001,MATCH(ROWS($AH$2:AH116),$AH$2:$AH$1001,0),1)&gt;=100000,INDEX($AO$1005:$BQ$1005,1,MATCH(COLUMNS($AO$1006:AO1006),$AO$1006:$BQ$1006,0))&gt;=100000), " ",IF(INDEX($AO$2:$BQ$1001,MATCH(ROWS($AH$2:AH116),$AH$2:$AH$1001,0),MATCH(COLUMNS($AO$1006:AO1006),$AO$1006:$BQ$1006,0)), HYPERLINK("#",""), HYPERLINK(CONCATENATE("#Metadata!", ADDRESS(INDEX($AJ$2:$AJ$1001,MATCH(ROWS($AH$2:AH116),$AH$2:$AH$1001,0),0), INDEX($AO$1004:$BQ$1004,1,MATCH(COLUMNS($AO$1006:AO1006),$AO$1006:$BQ$1006,0)))),"Fix")))</f>
        <v>#N/A</v>
      </c>
      <c r="C116" s="5" t="e">
        <f ca="1">IF(OR(INDEX($AI$2:$AI$1001,MATCH(ROWS($AH$2:AH116),$AH$2:$AH$1001,0),1)&gt;=100000,INDEX($AO$1005:$BQ$1005,1,MATCH(COLUMNS($AO$1006:AP1006),$AO$1006:$BQ$1006,0))&gt;=100000), " ",IF(INDEX($AO$2:$BQ$1001,MATCH(ROWS($AH$2:AH116),$AH$2:$AH$1001,0),MATCH(COLUMNS($AO$1006:AP1006),$AO$1006:$BQ$1006,0)), HYPERLINK("#",""), HYPERLINK(CONCATENATE("#Metadata!", ADDRESS(INDEX($AJ$2:$AJ$1001,MATCH(ROWS($AH$2:AH116),$AH$2:$AH$1001,0),0), INDEX($AO$1004:$BQ$1004,1,MATCH(COLUMNS($AO$1006:AP1006),$AO$1006:$BQ$1006,0)))),"Fix")))</f>
        <v>#N/A</v>
      </c>
      <c r="D116" s="5" t="e">
        <f ca="1">IF(OR(INDEX($AI$2:$AI$1001,MATCH(ROWS($AH$2:AH116),$AH$2:$AH$1001,0),1)&gt;=100000,INDEX($AO$1005:$BQ$1005,1,MATCH(COLUMNS($AO$1006:AQ1006),$AO$1006:$BQ$1006,0))&gt;=100000), " ",IF(INDEX($AO$2:$BQ$1001,MATCH(ROWS($AH$2:AH116),$AH$2:$AH$1001,0),MATCH(COLUMNS($AO$1006:AQ1006),$AO$1006:$BQ$1006,0)), HYPERLINK("#",""), HYPERLINK(CONCATENATE("#Metadata!", ADDRESS(INDEX($AJ$2:$AJ$1001,MATCH(ROWS($AH$2:AH116),$AH$2:$AH$1001,0),0), INDEX($AO$1004:$BQ$1004,1,MATCH(COLUMNS($AO$1006:AQ1006),$AO$1006:$BQ$1006,0)))),"Fix")))</f>
        <v>#N/A</v>
      </c>
      <c r="E116" s="5" t="e">
        <f ca="1">IF(OR(INDEX($AI$2:$AI$1001,MATCH(ROWS($AH$2:AH116),$AH$2:$AH$1001,0),1)&gt;=100000,INDEX($AO$1005:$BQ$1005,1,MATCH(COLUMNS($AO$1006:AR1006),$AO$1006:$BQ$1006,0))&gt;=100000), " ",IF(INDEX($AO$2:$BQ$1001,MATCH(ROWS($AH$2:AH116),$AH$2:$AH$1001,0),MATCH(COLUMNS($AO$1006:AR1006),$AO$1006:$BQ$1006,0)), HYPERLINK("#",""), HYPERLINK(CONCATENATE("#Metadata!", ADDRESS(INDEX($AJ$2:$AJ$1001,MATCH(ROWS($AH$2:AH116),$AH$2:$AH$1001,0),0), INDEX($AO$1004:$BQ$1004,1,MATCH(COLUMNS($AO$1006:AR1006),$AO$1006:$BQ$1006,0)))),"Fix")))</f>
        <v>#N/A</v>
      </c>
      <c r="F116" s="5" t="e">
        <f ca="1">IF(OR(INDEX($AI$2:$AI$1001,MATCH(ROWS($AH$2:AH116),$AH$2:$AH$1001,0),1)&gt;=100000,INDEX($AO$1005:$BQ$1005,1,MATCH(COLUMNS($AO$1006:AS1006),$AO$1006:$BQ$1006,0))&gt;=100000), " ",IF(INDEX($AO$2:$BQ$1001,MATCH(ROWS($AH$2:AH116),$AH$2:$AH$1001,0),MATCH(COLUMNS($AO$1006:AS1006),$AO$1006:$BQ$1006,0)), HYPERLINK("#",""), HYPERLINK(CONCATENATE("#Metadata!", ADDRESS(INDEX($AJ$2:$AJ$1001,MATCH(ROWS($AH$2:AH116),$AH$2:$AH$1001,0),0), INDEX($AO$1004:$BQ$1004,1,MATCH(COLUMNS($AO$1006:AS1006),$AO$1006:$BQ$1006,0)))),"Fix")))</f>
        <v>#N/A</v>
      </c>
      <c r="G116" s="5" t="e">
        <f ca="1">IF(OR(INDEX($AI$2:$AI$1001,MATCH(ROWS($AH$2:AH116),$AH$2:$AH$1001,0),1)&gt;=100000,INDEX($AO$1005:$BQ$1005,1,MATCH(COLUMNS($AO$1006:AT1006),$AO$1006:$BQ$1006,0))&gt;=100000), " ",IF(INDEX($AO$2:$BQ$1001,MATCH(ROWS($AH$2:AH116),$AH$2:$AH$1001,0),MATCH(COLUMNS($AO$1006:AT1006),$AO$1006:$BQ$1006,0)), HYPERLINK("#",""), HYPERLINK(CONCATENATE("#Metadata!", ADDRESS(INDEX($AJ$2:$AJ$1001,MATCH(ROWS($AH$2:AH116),$AH$2:$AH$1001,0),0), INDEX($AO$1004:$BQ$1004,1,MATCH(COLUMNS($AO$1006:AT1006),$AO$1006:$BQ$1006,0)))),"Fix")))</f>
        <v>#N/A</v>
      </c>
      <c r="H116" s="5" t="e">
        <f ca="1">IF(OR(INDEX($AI$2:$AI$1001,MATCH(ROWS($AH$2:AH116),$AH$2:$AH$1001,0),1)&gt;=100000,INDEX($AO$1005:$BQ$1005,1,MATCH(COLUMNS($AO$1006:AU1006),$AO$1006:$BQ$1006,0))&gt;=100000), " ",IF(INDEX($AO$2:$BQ$1001,MATCH(ROWS($AH$2:AH116),$AH$2:$AH$1001,0),MATCH(COLUMNS($AO$1006:AU1006),$AO$1006:$BQ$1006,0)), HYPERLINK("#",""), HYPERLINK(CONCATENATE("#Metadata!", ADDRESS(INDEX($AJ$2:$AJ$1001,MATCH(ROWS($AH$2:AH116),$AH$2:$AH$1001,0),0), INDEX($AO$1004:$BQ$1004,1,MATCH(COLUMNS($AO$1006:AU1006),$AO$1006:$BQ$1006,0)))),"Fix")))</f>
        <v>#N/A</v>
      </c>
      <c r="I116" s="5" t="e">
        <f ca="1">IF(OR(INDEX($AI$2:$AI$1001,MATCH(ROWS($AH$2:AH116),$AH$2:$AH$1001,0),1)&gt;=100000,INDEX($AO$1005:$BQ$1005,1,MATCH(COLUMNS($AO$1006:AV1006),$AO$1006:$BQ$1006,0))&gt;=100000), " ",IF(INDEX($AO$2:$BQ$1001,MATCH(ROWS($AH$2:AH116),$AH$2:$AH$1001,0),MATCH(COLUMNS($AO$1006:AV1006),$AO$1006:$BQ$1006,0)), HYPERLINK("#",""), HYPERLINK(CONCATENATE("#Metadata!", ADDRESS(INDEX($AJ$2:$AJ$1001,MATCH(ROWS($AH$2:AH116),$AH$2:$AH$1001,0),0), INDEX($AO$1004:$BQ$1004,1,MATCH(COLUMNS($AO$1006:AV1006),$AO$1006:$BQ$1006,0)))),"Fix")))</f>
        <v>#N/A</v>
      </c>
      <c r="J116" s="5" t="e">
        <f ca="1">IF(OR(INDEX($AI$2:$AI$1001,MATCH(ROWS($AH$2:AH116),$AH$2:$AH$1001,0),1)&gt;=100000,INDEX($AO$1005:$BQ$1005,1,MATCH(COLUMNS($AO$1006:AW1006),$AO$1006:$BQ$1006,0))&gt;=100000), " ",IF(INDEX($AO$2:$BQ$1001,MATCH(ROWS($AH$2:AH116),$AH$2:$AH$1001,0),MATCH(COLUMNS($AO$1006:AW1006),$AO$1006:$BQ$1006,0)), HYPERLINK("#",""), HYPERLINK(CONCATENATE("#Metadata!", ADDRESS(INDEX($AJ$2:$AJ$1001,MATCH(ROWS($AH$2:AH116),$AH$2:$AH$1001,0),0), INDEX($AO$1004:$BQ$1004,1,MATCH(COLUMNS($AO$1006:AW1006),$AO$1006:$BQ$1006,0)))),"Fix")))</f>
        <v>#N/A</v>
      </c>
      <c r="K116" s="5" t="e">
        <f ca="1">IF(OR(INDEX($AI$2:$AI$1001,MATCH(ROWS($AH$2:AH116),$AH$2:$AH$1001,0),1)&gt;=100000,INDEX($AO$1005:$BQ$1005,1,MATCH(COLUMNS($AO$1006:AX1006),$AO$1006:$BQ$1006,0))&gt;=100000), " ",IF(INDEX($AO$2:$BQ$1001,MATCH(ROWS($AH$2:AH116),$AH$2:$AH$1001,0),MATCH(COLUMNS($AO$1006:AX1006),$AO$1006:$BQ$1006,0)), HYPERLINK("#",""), HYPERLINK(CONCATENATE("#Metadata!", ADDRESS(INDEX($AJ$2:$AJ$1001,MATCH(ROWS($AH$2:AH116),$AH$2:$AH$1001,0),0), INDEX($AO$1004:$BQ$1004,1,MATCH(COLUMNS($AO$1006:AX1006),$AO$1006:$BQ$1006,0)))),"Fix")))</f>
        <v>#N/A</v>
      </c>
      <c r="L116" s="5" t="e">
        <f ca="1">IF(OR(INDEX($AI$2:$AI$1001,MATCH(ROWS($AH$2:AH116),$AH$2:$AH$1001,0),1)&gt;=100000,INDEX($AO$1005:$BQ$1005,1,MATCH(COLUMNS($AO$1006:AY1006),$AO$1006:$BQ$1006,0))&gt;=100000), " ",IF(INDEX($AO$2:$BQ$1001,MATCH(ROWS($AH$2:AH116),$AH$2:$AH$1001,0),MATCH(COLUMNS($AO$1006:AY1006),$AO$1006:$BQ$1006,0)), HYPERLINK("#",""), HYPERLINK(CONCATENATE("#Metadata!", ADDRESS(INDEX($AJ$2:$AJ$1001,MATCH(ROWS($AH$2:AH116),$AH$2:$AH$1001,0),0), INDEX($AO$1004:$BQ$1004,1,MATCH(COLUMNS($AO$1006:AY1006),$AO$1006:$BQ$1006,0)))),"Fix")))</f>
        <v>#N/A</v>
      </c>
      <c r="M116" s="5" t="e">
        <f ca="1">IF(OR(INDEX($AI$2:$AI$1001,MATCH(ROWS($AH$2:AH116),$AH$2:$AH$1001,0),1)&gt;=100000,INDEX($AO$1005:$BQ$1005,1,MATCH(COLUMNS($AO$1006:AZ1006),$AO$1006:$BQ$1006,0))&gt;=100000), " ",IF(INDEX($AO$2:$BQ$1001,MATCH(ROWS($AH$2:AH116),$AH$2:$AH$1001,0),MATCH(COLUMNS($AO$1006:AZ1006),$AO$1006:$BQ$1006,0)), HYPERLINK("#",""), HYPERLINK(CONCATENATE("#Metadata!", ADDRESS(INDEX($AJ$2:$AJ$1001,MATCH(ROWS($AH$2:AH116),$AH$2:$AH$1001,0),0), INDEX($AO$1004:$BQ$1004,1,MATCH(COLUMNS($AO$1006:AZ1006),$AO$1006:$BQ$1006,0)))),"Fix")))</f>
        <v>#N/A</v>
      </c>
      <c r="N116" s="5" t="e">
        <f ca="1">IF(OR(INDEX($AI$2:$AI$1001,MATCH(ROWS($AH$2:AH116),$AH$2:$AH$1001,0),1)&gt;=100000,INDEX($AO$1005:$BQ$1005,1,MATCH(COLUMNS($AO$1006:BA1006),$AO$1006:$BQ$1006,0))&gt;=100000), " ",IF(INDEX($AO$2:$BQ$1001,MATCH(ROWS($AH$2:AH116),$AH$2:$AH$1001,0),MATCH(COLUMNS($AO$1006:BA1006),$AO$1006:$BQ$1006,0)), HYPERLINK("#",""), HYPERLINK(CONCATENATE("#Metadata!", ADDRESS(INDEX($AJ$2:$AJ$1001,MATCH(ROWS($AH$2:AH116),$AH$2:$AH$1001,0),0), INDEX($AO$1004:$BQ$1004,1,MATCH(COLUMNS($AO$1006:BA1006),$AO$1006:$BQ$1006,0)))),"Fix")))</f>
        <v>#N/A</v>
      </c>
      <c r="O116" s="5" t="e">
        <f ca="1">IF(OR(INDEX($AI$2:$AI$1001,MATCH(ROWS($AH$2:AH116),$AH$2:$AH$1001,0),1)&gt;=100000,INDEX($AO$1005:$BQ$1005,1,MATCH(COLUMNS($AO$1006:BB1006),$AO$1006:$BQ$1006,0))&gt;=100000), " ",IF(INDEX($AO$2:$BQ$1001,MATCH(ROWS($AH$2:AH116),$AH$2:$AH$1001,0),MATCH(COLUMNS($AO$1006:BB1006),$AO$1006:$BQ$1006,0)), HYPERLINK("#",""), HYPERLINK(CONCATENATE("#Metadata!", ADDRESS(INDEX($AJ$2:$AJ$1001,MATCH(ROWS($AH$2:AH116),$AH$2:$AH$1001,0),0), INDEX($AO$1004:$BQ$1004,1,MATCH(COLUMNS($AO$1006:BB1006),$AO$1006:$BQ$1006,0)))),"Fix")))</f>
        <v>#N/A</v>
      </c>
      <c r="P116" s="5" t="e">
        <f ca="1">IF(OR(INDEX($AI$2:$AI$1001,MATCH(ROWS($AH$2:AH116),$AH$2:$AH$1001,0),1)&gt;=100000,INDEX($AO$1005:$BQ$1005,1,MATCH(COLUMNS($AO$1006:BC1006),$AO$1006:$BQ$1006,0))&gt;=100000), " ",IF(INDEX($AO$2:$BQ$1001,MATCH(ROWS($AH$2:AH116),$AH$2:$AH$1001,0),MATCH(COLUMNS($AO$1006:BC1006),$AO$1006:$BQ$1006,0)), HYPERLINK("#",""), HYPERLINK(CONCATENATE("#Metadata!", ADDRESS(INDEX($AJ$2:$AJ$1001,MATCH(ROWS($AH$2:AH116),$AH$2:$AH$1001,0),0), INDEX($AO$1004:$BQ$1004,1,MATCH(COLUMNS($AO$1006:BC1006),$AO$1006:$BQ$1006,0)))),"Fix")))</f>
        <v>#N/A</v>
      </c>
      <c r="Q116" s="5" t="e">
        <f ca="1">IF(OR(INDEX($AI$2:$AI$1001,MATCH(ROWS($AH$2:AH116),$AH$2:$AH$1001,0),1)&gt;=100000,INDEX($AO$1005:$BQ$1005,1,MATCH(COLUMNS($AO$1006:BD1006),$AO$1006:$BQ$1006,0))&gt;=100000), " ",IF(INDEX($AO$2:$BQ$1001,MATCH(ROWS($AH$2:AH116),$AH$2:$AH$1001,0),MATCH(COLUMNS($AO$1006:BD1006),$AO$1006:$BQ$1006,0)), HYPERLINK("#",""), HYPERLINK(CONCATENATE("#Metadata!", ADDRESS(INDEX($AJ$2:$AJ$1001,MATCH(ROWS($AH$2:AH116),$AH$2:$AH$1001,0),0), INDEX($AO$1004:$BQ$1004,1,MATCH(COLUMNS($AO$1006:BD1006),$AO$1006:$BQ$1006,0)))),"Fix")))</f>
        <v>#N/A</v>
      </c>
      <c r="R116" s="5" t="e">
        <f ca="1">IF(OR(INDEX($AI$2:$AI$1001,MATCH(ROWS($AH$2:AH116),$AH$2:$AH$1001,0),1)&gt;=100000,INDEX($AO$1005:$BQ$1005,1,MATCH(COLUMNS($AO$1006:BE1006),$AO$1006:$BQ$1006,0))&gt;=100000), " ",IF(INDEX($AO$2:$BQ$1001,MATCH(ROWS($AH$2:AH116),$AH$2:$AH$1001,0),MATCH(COLUMNS($AO$1006:BE1006),$AO$1006:$BQ$1006,0)), HYPERLINK("#",""), HYPERLINK(CONCATENATE("#Metadata!", ADDRESS(INDEX($AJ$2:$AJ$1001,MATCH(ROWS($AH$2:AH116),$AH$2:$AH$1001,0),0), INDEX($AO$1004:$BQ$1004,1,MATCH(COLUMNS($AO$1006:BE1006),$AO$1006:$BQ$1006,0)))),"Fix")))</f>
        <v>#N/A</v>
      </c>
      <c r="S116" s="5" t="e">
        <f ca="1">IF(OR(INDEX($AI$2:$AI$1001,MATCH(ROWS($AH$2:AH116),$AH$2:$AH$1001,0),1)&gt;=100000,INDEX($AO$1005:$BQ$1005,1,MATCH(COLUMNS($AO$1006:BF1006),$AO$1006:$BQ$1006,0))&gt;=100000), " ",IF(INDEX($AO$2:$BQ$1001,MATCH(ROWS($AH$2:AH116),$AH$2:$AH$1001,0),MATCH(COLUMNS($AO$1006:BF1006),$AO$1006:$BQ$1006,0)), HYPERLINK("#",""), HYPERLINK(CONCATENATE("#Metadata!", ADDRESS(INDEX($AJ$2:$AJ$1001,MATCH(ROWS($AH$2:AH116),$AH$2:$AH$1001,0),0), INDEX($AO$1004:$BQ$1004,1,MATCH(COLUMNS($AO$1006:BF1006),$AO$1006:$BQ$1006,0)))),"Fix")))</f>
        <v>#N/A</v>
      </c>
      <c r="T116" s="5" t="e">
        <f ca="1">IF(OR(INDEX($AI$2:$AI$1001,MATCH(ROWS($AH$2:AH116),$AH$2:$AH$1001,0),1)&gt;=100000,INDEX($AO$1005:$BQ$1005,1,MATCH(COLUMNS($AO$1006:BG1006),$AO$1006:$BQ$1006,0))&gt;=100000), " ",IF(INDEX($AO$2:$BQ$1001,MATCH(ROWS($AH$2:AH116),$AH$2:$AH$1001,0),MATCH(COLUMNS($AO$1006:BG1006),$AO$1006:$BQ$1006,0)), HYPERLINK("#",""), HYPERLINK(CONCATENATE("#Metadata!", ADDRESS(INDEX($AJ$2:$AJ$1001,MATCH(ROWS($AH$2:AH116),$AH$2:$AH$1001,0),0), INDEX($AO$1004:$BQ$1004,1,MATCH(COLUMNS($AO$1006:BG1006),$AO$1006:$BQ$1006,0)))),"Fix")))</f>
        <v>#N/A</v>
      </c>
      <c r="U116" s="5" t="e">
        <f ca="1">IF(OR(INDEX($AI$2:$AI$1001,MATCH(ROWS($AH$2:AH116),$AH$2:$AH$1001,0),1)&gt;=100000,INDEX($AO$1005:$BQ$1005,1,MATCH(COLUMNS($AO$1006:BH1006),$AO$1006:$BQ$1006,0))&gt;=100000), " ",IF(INDEX($AO$2:$BQ$1001,MATCH(ROWS($AH$2:AH116),$AH$2:$AH$1001,0),MATCH(COLUMNS($AO$1006:BH1006),$AO$1006:$BQ$1006,0)), HYPERLINK("#",""), HYPERLINK(CONCATENATE("#Metadata!", ADDRESS(INDEX($AJ$2:$AJ$1001,MATCH(ROWS($AH$2:AH116),$AH$2:$AH$1001,0),0), INDEX($AO$1004:$BQ$1004,1,MATCH(COLUMNS($AO$1006:BH1006),$AO$1006:$BQ$1006,0)))),"Fix")))</f>
        <v>#N/A</v>
      </c>
      <c r="V116" s="5" t="e">
        <f ca="1">IF(OR(INDEX($AI$2:$AI$1001,MATCH(ROWS($AH$2:AH116),$AH$2:$AH$1001,0),1)&gt;=100000,INDEX($AO$1005:$BQ$1005,1,MATCH(COLUMNS($AO$1006:BI1006),$AO$1006:$BQ$1006,0))&gt;=100000), " ",IF(INDEX($AO$2:$BQ$1001,MATCH(ROWS($AH$2:AH116),$AH$2:$AH$1001,0),MATCH(COLUMNS($AO$1006:BI1006),$AO$1006:$BQ$1006,0)), HYPERLINK("#",""), HYPERLINK(CONCATENATE("#Metadata!", ADDRESS(INDEX($AJ$2:$AJ$1001,MATCH(ROWS($AH$2:AH116),$AH$2:$AH$1001,0),0), INDEX($AO$1004:$BQ$1004,1,MATCH(COLUMNS($AO$1006:BI1006),$AO$1006:$BQ$1006,0)))),"Fix")))</f>
        <v>#N/A</v>
      </c>
      <c r="W116" s="5" t="e">
        <f ca="1">IF(OR(INDEX($AI$2:$AI$1001,MATCH(ROWS($AH$2:AH116),$AH$2:$AH$1001,0),1)&gt;=100000,INDEX($AO$1005:$BQ$1005,1,MATCH(COLUMNS($AO$1006:BJ1006),$AO$1006:$BQ$1006,0))&gt;=100000), " ",IF(INDEX($AO$2:$BQ$1001,MATCH(ROWS($AH$2:AH116),$AH$2:$AH$1001,0),MATCH(COLUMNS($AO$1006:BJ1006),$AO$1006:$BQ$1006,0)), HYPERLINK("#",""), HYPERLINK(CONCATENATE("#Metadata!", ADDRESS(INDEX($AJ$2:$AJ$1001,MATCH(ROWS($AH$2:AH116),$AH$2:$AH$1001,0),0), INDEX($AO$1004:$BQ$1004,1,MATCH(COLUMNS($AO$1006:BJ1006),$AO$1006:$BQ$1006,0)))),"Fix")))</f>
        <v>#N/A</v>
      </c>
      <c r="X116" s="5" t="e">
        <f ca="1">IF(OR(INDEX($AI$2:$AI$1001,MATCH(ROWS($AH$2:AH116),$AH$2:$AH$1001,0),1)&gt;=100000,INDEX($AO$1005:$BQ$1005,1,MATCH(COLUMNS($AO$1006:BK1006),$AO$1006:$BQ$1006,0))&gt;=100000), " ",IF(INDEX($AO$2:$BQ$1001,MATCH(ROWS($AH$2:AH116),$AH$2:$AH$1001,0),MATCH(COLUMNS($AO$1006:BK1006),$AO$1006:$BQ$1006,0)), HYPERLINK("#",""), HYPERLINK(CONCATENATE("#Metadata!", ADDRESS(INDEX($AJ$2:$AJ$1001,MATCH(ROWS($AH$2:AH116),$AH$2:$AH$1001,0),0), INDEX($AO$1004:$BQ$1004,1,MATCH(COLUMNS($AO$1006:BK1006),$AO$1006:$BQ$1006,0)))),"Fix")))</f>
        <v>#N/A</v>
      </c>
      <c r="Y116" s="5" t="e">
        <f ca="1">IF(OR(INDEX($AI$2:$AI$1001,MATCH(ROWS($AH$2:AH116),$AH$2:$AH$1001,0),1)&gt;=100000,INDEX($AO$1005:$BQ$1005,1,MATCH(COLUMNS($AO$1006:BL1006),$AO$1006:$BQ$1006,0))&gt;=100000), " ",IF(INDEX($AO$2:$BQ$1001,MATCH(ROWS($AH$2:AH116),$AH$2:$AH$1001,0),MATCH(COLUMNS($AO$1006:BL1006),$AO$1006:$BQ$1006,0)), HYPERLINK("#",""), HYPERLINK(CONCATENATE("#Metadata!", ADDRESS(INDEX($AJ$2:$AJ$1001,MATCH(ROWS($AH$2:AH116),$AH$2:$AH$1001,0),0), INDEX($AO$1004:$BQ$1004,1,MATCH(COLUMNS($AO$1006:BL1006),$AO$1006:$BQ$1006,0)))),"Fix")))</f>
        <v>#N/A</v>
      </c>
      <c r="Z116" s="5" t="e">
        <f ca="1">IF(OR(INDEX($AI$2:$AI$1001,MATCH(ROWS($AH$2:AH116),$AH$2:$AH$1001,0),1)&gt;=100000,INDEX($AO$1005:$BQ$1005,1,MATCH(COLUMNS($AO$1006:BM1006),$AO$1006:$BQ$1006,0))&gt;=100000), " ",IF(INDEX($AO$2:$BQ$1001,MATCH(ROWS($AH$2:AH116),$AH$2:$AH$1001,0),MATCH(COLUMNS($AO$1006:BM1006),$AO$1006:$BQ$1006,0)), HYPERLINK("#",""), HYPERLINK(CONCATENATE("#Metadata!", ADDRESS(INDEX($AJ$2:$AJ$1001,MATCH(ROWS($AH$2:AH116),$AH$2:$AH$1001,0),0), INDEX($AO$1004:$BQ$1004,1,MATCH(COLUMNS($AO$1006:BM1006),$AO$1006:$BQ$1006,0)))),"Fix")))</f>
        <v>#N/A</v>
      </c>
      <c r="AA116" s="5" t="e">
        <f ca="1">IF(OR(INDEX($AI$2:$AI$1001,MATCH(ROWS($AH$2:AH116),$AH$2:$AH$1001,0),1)&gt;=100000,INDEX($AO$1005:$BQ$1005,1,MATCH(COLUMNS($AO$1006:BN1006),$AO$1006:$BQ$1006,0))&gt;=100000), " ",IF(INDEX($AO$2:$BQ$1001,MATCH(ROWS($AH$2:AH116),$AH$2:$AH$1001,0),MATCH(COLUMNS($AO$1006:BN1006),$AO$1006:$BQ$1006,0)), HYPERLINK("#",""), HYPERLINK(CONCATENATE("#Metadata!", ADDRESS(INDEX($AJ$2:$AJ$1001,MATCH(ROWS($AH$2:AH116),$AH$2:$AH$1001,0),0), INDEX($AO$1004:$BQ$1004,1,MATCH(COLUMNS($AO$1006:BN1006),$AO$1006:$BQ$1006,0)))),"Fix")))</f>
        <v>#N/A</v>
      </c>
      <c r="AB116" s="5" t="e">
        <f ca="1">IF(OR(INDEX($AI$2:$AI$1001,MATCH(ROWS($AH$2:AH116),$AH$2:$AH$1001,0),1)&gt;=100000,INDEX($AO$1005:$BQ$1005,1,MATCH(COLUMNS($AO$1006:BO1006),$AO$1006:$BQ$1006,0))&gt;=100000), " ",IF(INDEX($AO$2:$BQ$1001,MATCH(ROWS($AH$2:AH116),$AH$2:$AH$1001,0),MATCH(COLUMNS($AO$1006:BO1006),$AO$1006:$BQ$1006,0)), HYPERLINK("#",""), HYPERLINK(CONCATENATE("#Metadata!", ADDRESS(INDEX($AJ$2:$AJ$1001,MATCH(ROWS($AH$2:AH116),$AH$2:$AH$1001,0),0), INDEX($AO$1004:$BQ$1004,1,MATCH(COLUMNS($AO$1006:BO1006),$AO$1006:$BQ$1006,0)))),"Fix")))</f>
        <v>#N/A</v>
      </c>
      <c r="AC116" s="5" t="e">
        <f ca="1">IF(OR(INDEX($AI$2:$AI$1001,MATCH(ROWS($AH$2:AH116),$AH$2:$AH$1001,0),1)&gt;=100000,INDEX($AO$1005:$BQ$1005,1,MATCH(COLUMNS($AO$1006:BP1006),$AO$1006:$BQ$1006,0))&gt;=100000), " ",IF(INDEX($AO$2:$BQ$1001,MATCH(ROWS($AH$2:AH116),$AH$2:$AH$1001,0),MATCH(COLUMNS($AO$1006:BP1006),$AO$1006:$BQ$1006,0)), HYPERLINK("#",""), HYPERLINK(CONCATENATE("#Metadata!", ADDRESS(INDEX($AJ$2:$AJ$1001,MATCH(ROWS($AH$2:AH116),$AH$2:$AH$1001,0),0), INDEX($AO$1004:$BQ$1004,1,MATCH(COLUMNS($AO$1006:BP1006),$AO$1006:$BQ$1006,0)))),"Fix")))</f>
        <v>#N/A</v>
      </c>
      <c r="AD116" s="5" t="e">
        <f ca="1">IF(OR(INDEX($AI$2:$AI$1001,MATCH(ROWS($AH$2:AH116),$AH$2:$AH$1001,0),1)&gt;=100000,INDEX($AO$1005:$BQ$1005,1,MATCH(COLUMNS($AO$1006:BQ1006),$AO$1006:$BQ$1006,0))&gt;=100000), " ",IF(INDEX($AO$2:$BQ$1001,MATCH(ROWS($AH$2:AH116),$AH$2:$AH$1001,0),MATCH(COLUMNS($AO$1006:BQ1006),$AO$1006:$BQ$1006,0)), HYPERLINK("#",""), HYPERLINK(CONCATENATE("#Metadata!", ADDRESS(INDEX($AJ$2:$AJ$1001,MATCH(ROWS($AH$2:AH116),$AH$2:$AH$1001,0),0), INDEX($AO$1004:$BQ$1004,1,MATCH(COLUMNS($AO$1006:BQ1006),$AO$1006:$BQ$1006,0)))),"Fix")))</f>
        <v>#REF!</v>
      </c>
      <c r="AH116">
        <f ca="1"/>
        <v>113</v>
      </c>
      <c r="AI116">
        <v>100116</v>
      </c>
      <c r="AJ116">
        <v>116</v>
      </c>
      <c r="AK116" t="b">
        <f t="shared" si="1"/>
        <v>1</v>
      </c>
      <c r="AL116" t="b">
        <f>COUNTBLANK(Metadata!B116:AD116)=COLUMNS(Metadata!B116:AD116)</f>
        <v>1</v>
      </c>
      <c r="AM116" t="str">
        <v/>
      </c>
      <c r="AO116" t="b">
        <f ca="1">AND(IF(Metadata!B116="",FALSE,TRUE),COUNTIF(Metadata!B:B, Metadata!B116) = 1,NOT(ISERROR(SUMPRODUCT(SEARCH(MID(Metadata!B116,ROW(INDIRECT("1:"&amp;LEN(Metadata!B116))), 1),"0123456789abcdefghijklmnopqrstuvwxyzABCDEFGHIJKLMNOPQRSTUVWXYZ.")))))</f>
        <v>0</v>
      </c>
      <c r="AP116" t="b">
        <f>IF(Metadata!C116="",FALSE,TRUE)</f>
        <v>0</v>
      </c>
      <c r="AQ116" t="b">
        <f>IF(Metadata!D116="",FALSE,TRUE)</f>
        <v>0</v>
      </c>
      <c r="AR116" t="b">
        <f ca="1">OR(AND(IF(Metadata!E116="",FALSE,TRUE),OR(EXACT(Metadata!E116,"not collected"),EXACT(Metadata!E116,"not provided"),EXACT(Metadata!E116,"restricted access"))),AND(IF(Metadata!E116="",FALSE,TRUE),AND(AND(IFERROR(INT(LEFT(Metadata!E116,4))&gt;1900,FALSE),IFERROR(INT(LEFT(Metadata!E116,4))&lt;=YEAR(NOW()),FALSE)), OR(MID(Metadata!E116,5,1)="", AND(AND(MID(Metadata!E116,5,1)="-",IFERROR(INT(MID(Metadata!E116,6,1))&gt;=0,FALSE),IFERROR(INT(MID(Metadata!E116,6,1))&lt;=1,FALSE),NOT(MID(Metadata!E116,7,1)=""),IFERROR(INT(MID(Metadata!E116,6,2))&gt;=1,FALSE),IFERROR(INT(MID(Metadata!E116,6,2))&lt;=12,FALSE)), OR(MID(Metadata!E116,8,1)="", AND(AND(MID(Metadata!E116,8,1)="-",IFERROR(INT(MID(Metadata!E116,9,1))&gt;=0,FALSE),IFERROR(INT(MID(Metadata!E116,9,1))&lt;=3,FALSE),NOT(MID(Metadata!E116,10,1)=""),IFERROR(INT(MID(Metadata!E116,9,2))&gt;=1,FALSE),IFERROR(INT(MID(Metadata!E116,9,2))&lt;=31,FALSE)), OR(MID(Metadata!E116,11,1)="", AND(AND(MID(Metadata!E116,11,1)=" ",IFERROR(INT(MID(Metadata!E116,12,1))&gt;=0,FALSE),IFERROR(INT(MID(Metadata!E116,12,1))&lt;=2,FALSE),NOT(MID(Metadata!E116,13,1)=""),IFERROR(INT(MID(Metadata!E116,12,2))&gt;=0,FALSE),IFERROR(INT(MID(Metadata!E116,12,2))&lt;=23,FALSE)), OR(MID(Metadata!E116,14,1)="", AND(AND(MID(Metadata!E116,14,1)=":",IFERROR(INT(MID(Metadata!E116,15,1))&gt;=0,FALSE),IFERROR(INT(MID(Metadata!E116,15,1))&lt;=5,FALSE),NOT(MID(Metadata!E116,16,1)=""),IFERROR(INT(MID(Metadata!E116,15,2))&gt;=0,FALSE),IFERROR(INT(MID(Metadata!E116,15,2))&lt;=59,FALSE)), OR(MID(Metadata!E116,17,1)="", AND(AND(MID(Metadata!E116,17,1)=":",IFERROR(INT(MID(Metadata!E116,18,1))&gt;=0,FALSE),IFERROR(INT(MID(Metadata!E116,18,1))&lt;=5,FALSE),NOT(MID(Metadata!E116,19,1)=""),IFERROR(INT(MID(Metadata!E116,18,2))&gt;=0,FALSE),IFERROR(INT(MID(Metadata!E116,18,2))&lt;=59,FALSE)), LEN(Metadata!E116)&lt;=19)))))))))))))</f>
        <v>0</v>
      </c>
      <c r="AS116" t="b">
        <f>IF(Metadata!F116="",FALSE,TRUE)</f>
        <v>0</v>
      </c>
      <c r="AT116" t="b">
        <f>OR(AND(IF(Metadata!G116="",FALSE,TRUE),OR(EXACT(Metadata!G116,"not collected"),EXACT(Metadata!G116,"not provided"))),AND(IF(Metadata!G116="",FALSE,TRUE),OR(EXACT(Metadata!G116,"TRUE"),EXACT(Metadata!G116,"FALSE"))))</f>
        <v>0</v>
      </c>
      <c r="AU116" t="b">
        <f>OR(AND(IF(Metadata!H116="",FALSE,TRUE),OR(EXACT(Metadata!H116,"not collected"),EXACT(Metadata!H116,"not provided"),EXACT(Metadata!H116,"restricted access"))),AND(IF(Metadata!H116="",FALSE,ISNUMBER(VALUE(Metadata!H116))),Metadata!H116&gt;=-413))</f>
        <v>0</v>
      </c>
      <c r="AV116" t="b">
        <f>AND(IF(Metadata!I116="",FALSE,TRUE),EXACT(Metadata!I116,"meters"))</f>
        <v>0</v>
      </c>
      <c r="AW116" t="b">
        <f>AND(IF(Metadata!J116="",FALSE,TRUE),EXACT(Metadata!J116,"free-living"))</f>
        <v>0</v>
      </c>
      <c r="AX116" t="b">
        <f>AND(IF(Metadata!K116="",FALSE,TRUE),OR(EXACT(Metadata!K116,"saline"),EXACT(Metadata!K116,"non-saline")))</f>
        <v>0</v>
      </c>
      <c r="AY116" t="b">
        <f>AND(IF(Metadata!L116="",FALSE,TRUE),OR(EXACT(Metadata!L116,"sub-surface (non-saline)"),EXACT(Metadata!L116,"surface (non-saline)"),EXACT(Metadata!L116,"water (non-saline)"),EXACT(Metadata!L116,"soil (non-saline)"),EXACT(Metadata!L116,"aerosol (non-saline)"),EXACT(Metadata!L116,"sediment (non-saline)"),EXACT(Metadata!L116,"surface (saline)"),EXACT(Metadata!L116,"water (saline)"),EXACT(Metadata!L116,"hypersaline (saline)"),EXACT(Metadata!L116,"aerosol (saline)"),EXACT(Metadata!L116,"sediment (saline)")))</f>
        <v>0</v>
      </c>
      <c r="AZ116" t="b">
        <f>IF(Metadata!M116="",FALSE,TRUE)</f>
        <v>0</v>
      </c>
      <c r="BA116" t="b">
        <f>IF(Metadata!N116="",FALSE,TRUE)</f>
        <v>0</v>
      </c>
      <c r="BB116" t="b">
        <f>IF(Metadata!O116="",FALSE,TRUE)</f>
        <v>0</v>
      </c>
      <c r="BC116" t="b">
        <f>AND(IF(Metadata!P116="",FALSE,TRUE),OR(EXACT(Metadata!P116,"air"),EXACT(Metadata!P116,"microbial mat/biofilm"),EXACT(Metadata!P116,"misc environment"),EXACT(Metadata!P116,"sediment"),EXACT(Metadata!P116,"soil"),EXACT(Metadata!P116,"wastewater/sludge"),EXACT(Metadata!P116,"water")))</f>
        <v>0</v>
      </c>
      <c r="BD116" t="b">
        <f>IF(Metadata!Q116="",FALSE,TRUE)</f>
        <v>0</v>
      </c>
      <c r="BE116" t="b">
        <f>IF(Metadata!R116="",FALSE,TRUE)</f>
        <v>0</v>
      </c>
      <c r="BF116" t="b">
        <f>OR(AND(IF(Metadata!S116="",FALSE,TRUE),OR(EXACT(Metadata!S116,"not collected"),EXACT(Metadata!S116,"not provided"),EXACT(Metadata!S116,"restricted access"))),AND(IF(Metadata!S116="",FALSE,ISNUMBER(VALUE(Metadata!S116))),Metadata!S116&gt;=-90,Metadata!S116&lt;=90))</f>
        <v>0</v>
      </c>
      <c r="BG116" t="b">
        <f>AND(IF(Metadata!T116="",FALSE,TRUE),EXACT(Metadata!T116,"Decimal degrees"))</f>
        <v>0</v>
      </c>
      <c r="BH116" t="b">
        <f>OR(AND(IF(Metadata!U116="",FALSE,TRUE),OR(EXACT(Metadata!U116,"not applicable"),EXACT(Metadata!U116,"not collected"))),IF(Metadata!U116="",FALSE,TRUE))</f>
        <v>0</v>
      </c>
      <c r="BI116" t="b">
        <f>OR(AND(IF(Metadata!V116="",FALSE,TRUE),OR(EXACT(Metadata!V116,"not collected"),EXACT(Metadata!V116,"not provided"),EXACT(Metadata!V116,"restricted access"))),AND(IF(Metadata!V116="",FALSE,ISNUMBER(VALUE(Metadata!V116))),Metadata!V116&gt;=-180,Metadata!V116&lt;=180))</f>
        <v>0</v>
      </c>
      <c r="BJ116" t="b">
        <f>AND(IF(Metadata!W116="",FALSE,TRUE),EXACT(Metadata!W116,"Decimal degrees"))</f>
        <v>0</v>
      </c>
      <c r="BK116" t="b">
        <f>IF(Metadata!X116="",FALSE,TRUE)</f>
        <v>0</v>
      </c>
      <c r="BL116" t="b">
        <f>OR(AND(IF(Metadata!Y116="",FALSE,TRUE),OR(EXACT(Metadata!Y116,"not collected"),EXACT(Metadata!Y116,"not provided"),EXACT(Metadata!Y116,"restricted access"))),AND(IF(Metadata!Y116="",FALSE,TRUE),OR(EXACT(Metadata!Y116,"TRUE"),EXACT(Metadata!Y116,"FALSE"))))</f>
        <v>0</v>
      </c>
      <c r="BM116" t="b">
        <f>OR(AND(IF(Metadata!Z116="",FALSE,TRUE),EXACT(Metadata!Z116,"not applicable")),AND(IF(Metadata!Z116="",FALSE,TRUE),OR(EXACT(Metadata!Z116,"beer"),EXACT(Metadata!Z116,"cheese"),EXACT(Metadata!Z116,"fresh water"),EXACT(Metadata!Z116,"marine sediment"),EXACT(Metadata!Z116,"sea water"),EXACT(Metadata!Z116,"sediment"),EXACT(Metadata!Z116,"soil"),EXACT(Metadata!Z116,"waste water"))))</f>
        <v>0</v>
      </c>
      <c r="BN116" t="b">
        <f>AND(IF(Metadata!AA116="",FALSE,TRUE),EXACT(Metadata!AA116,"metagenome"))</f>
        <v>0</v>
      </c>
      <c r="BO116" t="b">
        <f>AND(IF(Metadata!AB116="",FALSE,TRUE),EXACT(Metadata!AB116,"256318"))</f>
        <v>0</v>
      </c>
      <c r="BP116" t="b">
        <f>IF(Metadata!AC116="",FALSE,TRUE)</f>
        <v>0</v>
      </c>
      <c r="BQ116" t="b">
        <f>IF(Metadata!AD116="",FALSE,TRUE)</f>
        <v>0</v>
      </c>
    </row>
    <row r="117" spans="1:69" x14ac:dyDescent="0.2">
      <c r="A117" s="4" t="e">
        <f ca="1">IF(B117=" "," ",HYPERLINK(CONCATENATE("#metadata!",ADDRESS(INDEX($AJ$2:$AJ$1001,MATCH(ROWS($AH$2:AH117),$AH$2:$AH$1001,0),0),2)),INDEX($AM$2:$AM$1001,MATCH(ROWS($AH$2:AH117),$AH$2:$AH$1001,0),0)))</f>
        <v>#N/A</v>
      </c>
      <c r="B117" s="5" t="e">
        <f ca="1">IF(OR(INDEX($AI$2:$AI$1001,MATCH(ROWS($AH$2:AH117),$AH$2:$AH$1001,0),1)&gt;=100000,INDEX($AO$1005:$BQ$1005,1,MATCH(COLUMNS($AO$1006:AO1006),$AO$1006:$BQ$1006,0))&gt;=100000), " ",IF(INDEX($AO$2:$BQ$1001,MATCH(ROWS($AH$2:AH117),$AH$2:$AH$1001,0),MATCH(COLUMNS($AO$1006:AO1006),$AO$1006:$BQ$1006,0)), HYPERLINK("#",""), HYPERLINK(CONCATENATE("#Metadata!", ADDRESS(INDEX($AJ$2:$AJ$1001,MATCH(ROWS($AH$2:AH117),$AH$2:$AH$1001,0),0), INDEX($AO$1004:$BQ$1004,1,MATCH(COLUMNS($AO$1006:AO1006),$AO$1006:$BQ$1006,0)))),"Fix")))</f>
        <v>#N/A</v>
      </c>
      <c r="C117" s="5" t="e">
        <f ca="1">IF(OR(INDEX($AI$2:$AI$1001,MATCH(ROWS($AH$2:AH117),$AH$2:$AH$1001,0),1)&gt;=100000,INDEX($AO$1005:$BQ$1005,1,MATCH(COLUMNS($AO$1006:AP1006),$AO$1006:$BQ$1006,0))&gt;=100000), " ",IF(INDEX($AO$2:$BQ$1001,MATCH(ROWS($AH$2:AH117),$AH$2:$AH$1001,0),MATCH(COLUMNS($AO$1006:AP1006),$AO$1006:$BQ$1006,0)), HYPERLINK("#",""), HYPERLINK(CONCATENATE("#Metadata!", ADDRESS(INDEX($AJ$2:$AJ$1001,MATCH(ROWS($AH$2:AH117),$AH$2:$AH$1001,0),0), INDEX($AO$1004:$BQ$1004,1,MATCH(COLUMNS($AO$1006:AP1006),$AO$1006:$BQ$1006,0)))),"Fix")))</f>
        <v>#N/A</v>
      </c>
      <c r="D117" s="5" t="e">
        <f ca="1">IF(OR(INDEX($AI$2:$AI$1001,MATCH(ROWS($AH$2:AH117),$AH$2:$AH$1001,0),1)&gt;=100000,INDEX($AO$1005:$BQ$1005,1,MATCH(COLUMNS($AO$1006:AQ1006),$AO$1006:$BQ$1006,0))&gt;=100000), " ",IF(INDEX($AO$2:$BQ$1001,MATCH(ROWS($AH$2:AH117),$AH$2:$AH$1001,0),MATCH(COLUMNS($AO$1006:AQ1006),$AO$1006:$BQ$1006,0)), HYPERLINK("#",""), HYPERLINK(CONCATENATE("#Metadata!", ADDRESS(INDEX($AJ$2:$AJ$1001,MATCH(ROWS($AH$2:AH117),$AH$2:$AH$1001,0),0), INDEX($AO$1004:$BQ$1004,1,MATCH(COLUMNS($AO$1006:AQ1006),$AO$1006:$BQ$1006,0)))),"Fix")))</f>
        <v>#N/A</v>
      </c>
      <c r="E117" s="5" t="e">
        <f ca="1">IF(OR(INDEX($AI$2:$AI$1001,MATCH(ROWS($AH$2:AH117),$AH$2:$AH$1001,0),1)&gt;=100000,INDEX($AO$1005:$BQ$1005,1,MATCH(COLUMNS($AO$1006:AR1006),$AO$1006:$BQ$1006,0))&gt;=100000), " ",IF(INDEX($AO$2:$BQ$1001,MATCH(ROWS($AH$2:AH117),$AH$2:$AH$1001,0),MATCH(COLUMNS($AO$1006:AR1006),$AO$1006:$BQ$1006,0)), HYPERLINK("#",""), HYPERLINK(CONCATENATE("#Metadata!", ADDRESS(INDEX($AJ$2:$AJ$1001,MATCH(ROWS($AH$2:AH117),$AH$2:$AH$1001,0),0), INDEX($AO$1004:$BQ$1004,1,MATCH(COLUMNS($AO$1006:AR1006),$AO$1006:$BQ$1006,0)))),"Fix")))</f>
        <v>#N/A</v>
      </c>
      <c r="F117" s="5" t="e">
        <f ca="1">IF(OR(INDEX($AI$2:$AI$1001,MATCH(ROWS($AH$2:AH117),$AH$2:$AH$1001,0),1)&gt;=100000,INDEX($AO$1005:$BQ$1005,1,MATCH(COLUMNS($AO$1006:AS1006),$AO$1006:$BQ$1006,0))&gt;=100000), " ",IF(INDEX($AO$2:$BQ$1001,MATCH(ROWS($AH$2:AH117),$AH$2:$AH$1001,0),MATCH(COLUMNS($AO$1006:AS1006),$AO$1006:$BQ$1006,0)), HYPERLINK("#",""), HYPERLINK(CONCATENATE("#Metadata!", ADDRESS(INDEX($AJ$2:$AJ$1001,MATCH(ROWS($AH$2:AH117),$AH$2:$AH$1001,0),0), INDEX($AO$1004:$BQ$1004,1,MATCH(COLUMNS($AO$1006:AS1006),$AO$1006:$BQ$1006,0)))),"Fix")))</f>
        <v>#N/A</v>
      </c>
      <c r="G117" s="5" t="e">
        <f ca="1">IF(OR(INDEX($AI$2:$AI$1001,MATCH(ROWS($AH$2:AH117),$AH$2:$AH$1001,0),1)&gt;=100000,INDEX($AO$1005:$BQ$1005,1,MATCH(COLUMNS($AO$1006:AT1006),$AO$1006:$BQ$1006,0))&gt;=100000), " ",IF(INDEX($AO$2:$BQ$1001,MATCH(ROWS($AH$2:AH117),$AH$2:$AH$1001,0),MATCH(COLUMNS($AO$1006:AT1006),$AO$1006:$BQ$1006,0)), HYPERLINK("#",""), HYPERLINK(CONCATENATE("#Metadata!", ADDRESS(INDEX($AJ$2:$AJ$1001,MATCH(ROWS($AH$2:AH117),$AH$2:$AH$1001,0),0), INDEX($AO$1004:$BQ$1004,1,MATCH(COLUMNS($AO$1006:AT1006),$AO$1006:$BQ$1006,0)))),"Fix")))</f>
        <v>#N/A</v>
      </c>
      <c r="H117" s="5" t="e">
        <f ca="1">IF(OR(INDEX($AI$2:$AI$1001,MATCH(ROWS($AH$2:AH117),$AH$2:$AH$1001,0),1)&gt;=100000,INDEX($AO$1005:$BQ$1005,1,MATCH(COLUMNS($AO$1006:AU1006),$AO$1006:$BQ$1006,0))&gt;=100000), " ",IF(INDEX($AO$2:$BQ$1001,MATCH(ROWS($AH$2:AH117),$AH$2:$AH$1001,0),MATCH(COLUMNS($AO$1006:AU1006),$AO$1006:$BQ$1006,0)), HYPERLINK("#",""), HYPERLINK(CONCATENATE("#Metadata!", ADDRESS(INDEX($AJ$2:$AJ$1001,MATCH(ROWS($AH$2:AH117),$AH$2:$AH$1001,0),0), INDEX($AO$1004:$BQ$1004,1,MATCH(COLUMNS($AO$1006:AU1006),$AO$1006:$BQ$1006,0)))),"Fix")))</f>
        <v>#N/A</v>
      </c>
      <c r="I117" s="5" t="e">
        <f ca="1">IF(OR(INDEX($AI$2:$AI$1001,MATCH(ROWS($AH$2:AH117),$AH$2:$AH$1001,0),1)&gt;=100000,INDEX($AO$1005:$BQ$1005,1,MATCH(COLUMNS($AO$1006:AV1006),$AO$1006:$BQ$1006,0))&gt;=100000), " ",IF(INDEX($AO$2:$BQ$1001,MATCH(ROWS($AH$2:AH117),$AH$2:$AH$1001,0),MATCH(COLUMNS($AO$1006:AV1006),$AO$1006:$BQ$1006,0)), HYPERLINK("#",""), HYPERLINK(CONCATENATE("#Metadata!", ADDRESS(INDEX($AJ$2:$AJ$1001,MATCH(ROWS($AH$2:AH117),$AH$2:$AH$1001,0),0), INDEX($AO$1004:$BQ$1004,1,MATCH(COLUMNS($AO$1006:AV1006),$AO$1006:$BQ$1006,0)))),"Fix")))</f>
        <v>#N/A</v>
      </c>
      <c r="J117" s="5" t="e">
        <f ca="1">IF(OR(INDEX($AI$2:$AI$1001,MATCH(ROWS($AH$2:AH117),$AH$2:$AH$1001,0),1)&gt;=100000,INDEX($AO$1005:$BQ$1005,1,MATCH(COLUMNS($AO$1006:AW1006),$AO$1006:$BQ$1006,0))&gt;=100000), " ",IF(INDEX($AO$2:$BQ$1001,MATCH(ROWS($AH$2:AH117),$AH$2:$AH$1001,0),MATCH(COLUMNS($AO$1006:AW1006),$AO$1006:$BQ$1006,0)), HYPERLINK("#",""), HYPERLINK(CONCATENATE("#Metadata!", ADDRESS(INDEX($AJ$2:$AJ$1001,MATCH(ROWS($AH$2:AH117),$AH$2:$AH$1001,0),0), INDEX($AO$1004:$BQ$1004,1,MATCH(COLUMNS($AO$1006:AW1006),$AO$1006:$BQ$1006,0)))),"Fix")))</f>
        <v>#N/A</v>
      </c>
      <c r="K117" s="5" t="e">
        <f ca="1">IF(OR(INDEX($AI$2:$AI$1001,MATCH(ROWS($AH$2:AH117),$AH$2:$AH$1001,0),1)&gt;=100000,INDEX($AO$1005:$BQ$1005,1,MATCH(COLUMNS($AO$1006:AX1006),$AO$1006:$BQ$1006,0))&gt;=100000), " ",IF(INDEX($AO$2:$BQ$1001,MATCH(ROWS($AH$2:AH117),$AH$2:$AH$1001,0),MATCH(COLUMNS($AO$1006:AX1006),$AO$1006:$BQ$1006,0)), HYPERLINK("#",""), HYPERLINK(CONCATENATE("#Metadata!", ADDRESS(INDEX($AJ$2:$AJ$1001,MATCH(ROWS($AH$2:AH117),$AH$2:$AH$1001,0),0), INDEX($AO$1004:$BQ$1004,1,MATCH(COLUMNS($AO$1006:AX1006),$AO$1006:$BQ$1006,0)))),"Fix")))</f>
        <v>#N/A</v>
      </c>
      <c r="L117" s="5" t="e">
        <f ca="1">IF(OR(INDEX($AI$2:$AI$1001,MATCH(ROWS($AH$2:AH117),$AH$2:$AH$1001,0),1)&gt;=100000,INDEX($AO$1005:$BQ$1005,1,MATCH(COLUMNS($AO$1006:AY1006),$AO$1006:$BQ$1006,0))&gt;=100000), " ",IF(INDEX($AO$2:$BQ$1001,MATCH(ROWS($AH$2:AH117),$AH$2:$AH$1001,0),MATCH(COLUMNS($AO$1006:AY1006),$AO$1006:$BQ$1006,0)), HYPERLINK("#",""), HYPERLINK(CONCATENATE("#Metadata!", ADDRESS(INDEX($AJ$2:$AJ$1001,MATCH(ROWS($AH$2:AH117),$AH$2:$AH$1001,0),0), INDEX($AO$1004:$BQ$1004,1,MATCH(COLUMNS($AO$1006:AY1006),$AO$1006:$BQ$1006,0)))),"Fix")))</f>
        <v>#N/A</v>
      </c>
      <c r="M117" s="5" t="e">
        <f ca="1">IF(OR(INDEX($AI$2:$AI$1001,MATCH(ROWS($AH$2:AH117),$AH$2:$AH$1001,0),1)&gt;=100000,INDEX($AO$1005:$BQ$1005,1,MATCH(COLUMNS($AO$1006:AZ1006),$AO$1006:$BQ$1006,0))&gt;=100000), " ",IF(INDEX($AO$2:$BQ$1001,MATCH(ROWS($AH$2:AH117),$AH$2:$AH$1001,0),MATCH(COLUMNS($AO$1006:AZ1006),$AO$1006:$BQ$1006,0)), HYPERLINK("#",""), HYPERLINK(CONCATENATE("#Metadata!", ADDRESS(INDEX($AJ$2:$AJ$1001,MATCH(ROWS($AH$2:AH117),$AH$2:$AH$1001,0),0), INDEX($AO$1004:$BQ$1004,1,MATCH(COLUMNS($AO$1006:AZ1006),$AO$1006:$BQ$1006,0)))),"Fix")))</f>
        <v>#N/A</v>
      </c>
      <c r="N117" s="5" t="e">
        <f ca="1">IF(OR(INDEX($AI$2:$AI$1001,MATCH(ROWS($AH$2:AH117),$AH$2:$AH$1001,0),1)&gt;=100000,INDEX($AO$1005:$BQ$1005,1,MATCH(COLUMNS($AO$1006:BA1006),$AO$1006:$BQ$1006,0))&gt;=100000), " ",IF(INDEX($AO$2:$BQ$1001,MATCH(ROWS($AH$2:AH117),$AH$2:$AH$1001,0),MATCH(COLUMNS($AO$1006:BA1006),$AO$1006:$BQ$1006,0)), HYPERLINK("#",""), HYPERLINK(CONCATENATE("#Metadata!", ADDRESS(INDEX($AJ$2:$AJ$1001,MATCH(ROWS($AH$2:AH117),$AH$2:$AH$1001,0),0), INDEX($AO$1004:$BQ$1004,1,MATCH(COLUMNS($AO$1006:BA1006),$AO$1006:$BQ$1006,0)))),"Fix")))</f>
        <v>#N/A</v>
      </c>
      <c r="O117" s="5" t="e">
        <f ca="1">IF(OR(INDEX($AI$2:$AI$1001,MATCH(ROWS($AH$2:AH117),$AH$2:$AH$1001,0),1)&gt;=100000,INDEX($AO$1005:$BQ$1005,1,MATCH(COLUMNS($AO$1006:BB1006),$AO$1006:$BQ$1006,0))&gt;=100000), " ",IF(INDEX($AO$2:$BQ$1001,MATCH(ROWS($AH$2:AH117),$AH$2:$AH$1001,0),MATCH(COLUMNS($AO$1006:BB1006),$AO$1006:$BQ$1006,0)), HYPERLINK("#",""), HYPERLINK(CONCATENATE("#Metadata!", ADDRESS(INDEX($AJ$2:$AJ$1001,MATCH(ROWS($AH$2:AH117),$AH$2:$AH$1001,0),0), INDEX($AO$1004:$BQ$1004,1,MATCH(COLUMNS($AO$1006:BB1006),$AO$1006:$BQ$1006,0)))),"Fix")))</f>
        <v>#N/A</v>
      </c>
      <c r="P117" s="5" t="e">
        <f ca="1">IF(OR(INDEX($AI$2:$AI$1001,MATCH(ROWS($AH$2:AH117),$AH$2:$AH$1001,0),1)&gt;=100000,INDEX($AO$1005:$BQ$1005,1,MATCH(COLUMNS($AO$1006:BC1006),$AO$1006:$BQ$1006,0))&gt;=100000), " ",IF(INDEX($AO$2:$BQ$1001,MATCH(ROWS($AH$2:AH117),$AH$2:$AH$1001,0),MATCH(COLUMNS($AO$1006:BC1006),$AO$1006:$BQ$1006,0)), HYPERLINK("#",""), HYPERLINK(CONCATENATE("#Metadata!", ADDRESS(INDEX($AJ$2:$AJ$1001,MATCH(ROWS($AH$2:AH117),$AH$2:$AH$1001,0),0), INDEX($AO$1004:$BQ$1004,1,MATCH(COLUMNS($AO$1006:BC1006),$AO$1006:$BQ$1006,0)))),"Fix")))</f>
        <v>#N/A</v>
      </c>
      <c r="Q117" s="5" t="e">
        <f ca="1">IF(OR(INDEX($AI$2:$AI$1001,MATCH(ROWS($AH$2:AH117),$AH$2:$AH$1001,0),1)&gt;=100000,INDEX($AO$1005:$BQ$1005,1,MATCH(COLUMNS($AO$1006:BD1006),$AO$1006:$BQ$1006,0))&gt;=100000), " ",IF(INDEX($AO$2:$BQ$1001,MATCH(ROWS($AH$2:AH117),$AH$2:$AH$1001,0),MATCH(COLUMNS($AO$1006:BD1006),$AO$1006:$BQ$1006,0)), HYPERLINK("#",""), HYPERLINK(CONCATENATE("#Metadata!", ADDRESS(INDEX($AJ$2:$AJ$1001,MATCH(ROWS($AH$2:AH117),$AH$2:$AH$1001,0),0), INDEX($AO$1004:$BQ$1004,1,MATCH(COLUMNS($AO$1006:BD1006),$AO$1006:$BQ$1006,0)))),"Fix")))</f>
        <v>#N/A</v>
      </c>
      <c r="R117" s="5" t="e">
        <f ca="1">IF(OR(INDEX($AI$2:$AI$1001,MATCH(ROWS($AH$2:AH117),$AH$2:$AH$1001,0),1)&gt;=100000,INDEX($AO$1005:$BQ$1005,1,MATCH(COLUMNS($AO$1006:BE1006),$AO$1006:$BQ$1006,0))&gt;=100000), " ",IF(INDEX($AO$2:$BQ$1001,MATCH(ROWS($AH$2:AH117),$AH$2:$AH$1001,0),MATCH(COLUMNS($AO$1006:BE1006),$AO$1006:$BQ$1006,0)), HYPERLINK("#",""), HYPERLINK(CONCATENATE("#Metadata!", ADDRESS(INDEX($AJ$2:$AJ$1001,MATCH(ROWS($AH$2:AH117),$AH$2:$AH$1001,0),0), INDEX($AO$1004:$BQ$1004,1,MATCH(COLUMNS($AO$1006:BE1006),$AO$1006:$BQ$1006,0)))),"Fix")))</f>
        <v>#N/A</v>
      </c>
      <c r="S117" s="5" t="e">
        <f ca="1">IF(OR(INDEX($AI$2:$AI$1001,MATCH(ROWS($AH$2:AH117),$AH$2:$AH$1001,0),1)&gt;=100000,INDEX($AO$1005:$BQ$1005,1,MATCH(COLUMNS($AO$1006:BF1006),$AO$1006:$BQ$1006,0))&gt;=100000), " ",IF(INDEX($AO$2:$BQ$1001,MATCH(ROWS($AH$2:AH117),$AH$2:$AH$1001,0),MATCH(COLUMNS($AO$1006:BF1006),$AO$1006:$BQ$1006,0)), HYPERLINK("#",""), HYPERLINK(CONCATENATE("#Metadata!", ADDRESS(INDEX($AJ$2:$AJ$1001,MATCH(ROWS($AH$2:AH117),$AH$2:$AH$1001,0),0), INDEX($AO$1004:$BQ$1004,1,MATCH(COLUMNS($AO$1006:BF1006),$AO$1006:$BQ$1006,0)))),"Fix")))</f>
        <v>#N/A</v>
      </c>
      <c r="T117" s="5" t="e">
        <f ca="1">IF(OR(INDEX($AI$2:$AI$1001,MATCH(ROWS($AH$2:AH117),$AH$2:$AH$1001,0),1)&gt;=100000,INDEX($AO$1005:$BQ$1005,1,MATCH(COLUMNS($AO$1006:BG1006),$AO$1006:$BQ$1006,0))&gt;=100000), " ",IF(INDEX($AO$2:$BQ$1001,MATCH(ROWS($AH$2:AH117),$AH$2:$AH$1001,0),MATCH(COLUMNS($AO$1006:BG1006),$AO$1006:$BQ$1006,0)), HYPERLINK("#",""), HYPERLINK(CONCATENATE("#Metadata!", ADDRESS(INDEX($AJ$2:$AJ$1001,MATCH(ROWS($AH$2:AH117),$AH$2:$AH$1001,0),0), INDEX($AO$1004:$BQ$1004,1,MATCH(COLUMNS($AO$1006:BG1006),$AO$1006:$BQ$1006,0)))),"Fix")))</f>
        <v>#N/A</v>
      </c>
      <c r="U117" s="5" t="e">
        <f ca="1">IF(OR(INDEX($AI$2:$AI$1001,MATCH(ROWS($AH$2:AH117),$AH$2:$AH$1001,0),1)&gt;=100000,INDEX($AO$1005:$BQ$1005,1,MATCH(COLUMNS($AO$1006:BH1006),$AO$1006:$BQ$1006,0))&gt;=100000), " ",IF(INDEX($AO$2:$BQ$1001,MATCH(ROWS($AH$2:AH117),$AH$2:$AH$1001,0),MATCH(COLUMNS($AO$1006:BH1006),$AO$1006:$BQ$1006,0)), HYPERLINK("#",""), HYPERLINK(CONCATENATE("#Metadata!", ADDRESS(INDEX($AJ$2:$AJ$1001,MATCH(ROWS($AH$2:AH117),$AH$2:$AH$1001,0),0), INDEX($AO$1004:$BQ$1004,1,MATCH(COLUMNS($AO$1006:BH1006),$AO$1006:$BQ$1006,0)))),"Fix")))</f>
        <v>#N/A</v>
      </c>
      <c r="V117" s="5" t="e">
        <f ca="1">IF(OR(INDEX($AI$2:$AI$1001,MATCH(ROWS($AH$2:AH117),$AH$2:$AH$1001,0),1)&gt;=100000,INDEX($AO$1005:$BQ$1005,1,MATCH(COLUMNS($AO$1006:BI1006),$AO$1006:$BQ$1006,0))&gt;=100000), " ",IF(INDEX($AO$2:$BQ$1001,MATCH(ROWS($AH$2:AH117),$AH$2:$AH$1001,0),MATCH(COLUMNS($AO$1006:BI1006),$AO$1006:$BQ$1006,0)), HYPERLINK("#",""), HYPERLINK(CONCATENATE("#Metadata!", ADDRESS(INDEX($AJ$2:$AJ$1001,MATCH(ROWS($AH$2:AH117),$AH$2:$AH$1001,0),0), INDEX($AO$1004:$BQ$1004,1,MATCH(COLUMNS($AO$1006:BI1006),$AO$1006:$BQ$1006,0)))),"Fix")))</f>
        <v>#N/A</v>
      </c>
      <c r="W117" s="5" t="e">
        <f ca="1">IF(OR(INDEX($AI$2:$AI$1001,MATCH(ROWS($AH$2:AH117),$AH$2:$AH$1001,0),1)&gt;=100000,INDEX($AO$1005:$BQ$1005,1,MATCH(COLUMNS($AO$1006:BJ1006),$AO$1006:$BQ$1006,0))&gt;=100000), " ",IF(INDEX($AO$2:$BQ$1001,MATCH(ROWS($AH$2:AH117),$AH$2:$AH$1001,0),MATCH(COLUMNS($AO$1006:BJ1006),$AO$1006:$BQ$1006,0)), HYPERLINK("#",""), HYPERLINK(CONCATENATE("#Metadata!", ADDRESS(INDEX($AJ$2:$AJ$1001,MATCH(ROWS($AH$2:AH117),$AH$2:$AH$1001,0),0), INDEX($AO$1004:$BQ$1004,1,MATCH(COLUMNS($AO$1006:BJ1006),$AO$1006:$BQ$1006,0)))),"Fix")))</f>
        <v>#N/A</v>
      </c>
      <c r="X117" s="5" t="e">
        <f ca="1">IF(OR(INDEX($AI$2:$AI$1001,MATCH(ROWS($AH$2:AH117),$AH$2:$AH$1001,0),1)&gt;=100000,INDEX($AO$1005:$BQ$1005,1,MATCH(COLUMNS($AO$1006:BK1006),$AO$1006:$BQ$1006,0))&gt;=100000), " ",IF(INDEX($AO$2:$BQ$1001,MATCH(ROWS($AH$2:AH117),$AH$2:$AH$1001,0),MATCH(COLUMNS($AO$1006:BK1006),$AO$1006:$BQ$1006,0)), HYPERLINK("#",""), HYPERLINK(CONCATENATE("#Metadata!", ADDRESS(INDEX($AJ$2:$AJ$1001,MATCH(ROWS($AH$2:AH117),$AH$2:$AH$1001,0),0), INDEX($AO$1004:$BQ$1004,1,MATCH(COLUMNS($AO$1006:BK1006),$AO$1006:$BQ$1006,0)))),"Fix")))</f>
        <v>#N/A</v>
      </c>
      <c r="Y117" s="5" t="e">
        <f ca="1">IF(OR(INDEX($AI$2:$AI$1001,MATCH(ROWS($AH$2:AH117),$AH$2:$AH$1001,0),1)&gt;=100000,INDEX($AO$1005:$BQ$1005,1,MATCH(COLUMNS($AO$1006:BL1006),$AO$1006:$BQ$1006,0))&gt;=100000), " ",IF(INDEX($AO$2:$BQ$1001,MATCH(ROWS($AH$2:AH117),$AH$2:$AH$1001,0),MATCH(COLUMNS($AO$1006:BL1006),$AO$1006:$BQ$1006,0)), HYPERLINK("#",""), HYPERLINK(CONCATENATE("#Metadata!", ADDRESS(INDEX($AJ$2:$AJ$1001,MATCH(ROWS($AH$2:AH117),$AH$2:$AH$1001,0),0), INDEX($AO$1004:$BQ$1004,1,MATCH(COLUMNS($AO$1006:BL1006),$AO$1006:$BQ$1006,0)))),"Fix")))</f>
        <v>#N/A</v>
      </c>
      <c r="Z117" s="5" t="e">
        <f ca="1">IF(OR(INDEX($AI$2:$AI$1001,MATCH(ROWS($AH$2:AH117),$AH$2:$AH$1001,0),1)&gt;=100000,INDEX($AO$1005:$BQ$1005,1,MATCH(COLUMNS($AO$1006:BM1006),$AO$1006:$BQ$1006,0))&gt;=100000), " ",IF(INDEX($AO$2:$BQ$1001,MATCH(ROWS($AH$2:AH117),$AH$2:$AH$1001,0),MATCH(COLUMNS($AO$1006:BM1006),$AO$1006:$BQ$1006,0)), HYPERLINK("#",""), HYPERLINK(CONCATENATE("#Metadata!", ADDRESS(INDEX($AJ$2:$AJ$1001,MATCH(ROWS($AH$2:AH117),$AH$2:$AH$1001,0),0), INDEX($AO$1004:$BQ$1004,1,MATCH(COLUMNS($AO$1006:BM1006),$AO$1006:$BQ$1006,0)))),"Fix")))</f>
        <v>#N/A</v>
      </c>
      <c r="AA117" s="5" t="e">
        <f ca="1">IF(OR(INDEX($AI$2:$AI$1001,MATCH(ROWS($AH$2:AH117),$AH$2:$AH$1001,0),1)&gt;=100000,INDEX($AO$1005:$BQ$1005,1,MATCH(COLUMNS($AO$1006:BN1006),$AO$1006:$BQ$1006,0))&gt;=100000), " ",IF(INDEX($AO$2:$BQ$1001,MATCH(ROWS($AH$2:AH117),$AH$2:$AH$1001,0),MATCH(COLUMNS($AO$1006:BN1006),$AO$1006:$BQ$1006,0)), HYPERLINK("#",""), HYPERLINK(CONCATENATE("#Metadata!", ADDRESS(INDEX($AJ$2:$AJ$1001,MATCH(ROWS($AH$2:AH117),$AH$2:$AH$1001,0),0), INDEX($AO$1004:$BQ$1004,1,MATCH(COLUMNS($AO$1006:BN1006),$AO$1006:$BQ$1006,0)))),"Fix")))</f>
        <v>#N/A</v>
      </c>
      <c r="AB117" s="5" t="e">
        <f ca="1">IF(OR(INDEX($AI$2:$AI$1001,MATCH(ROWS($AH$2:AH117),$AH$2:$AH$1001,0),1)&gt;=100000,INDEX($AO$1005:$BQ$1005,1,MATCH(COLUMNS($AO$1006:BO1006),$AO$1006:$BQ$1006,0))&gt;=100000), " ",IF(INDEX($AO$2:$BQ$1001,MATCH(ROWS($AH$2:AH117),$AH$2:$AH$1001,0),MATCH(COLUMNS($AO$1006:BO1006),$AO$1006:$BQ$1006,0)), HYPERLINK("#",""), HYPERLINK(CONCATENATE("#Metadata!", ADDRESS(INDEX($AJ$2:$AJ$1001,MATCH(ROWS($AH$2:AH117),$AH$2:$AH$1001,0),0), INDEX($AO$1004:$BQ$1004,1,MATCH(COLUMNS($AO$1006:BO1006),$AO$1006:$BQ$1006,0)))),"Fix")))</f>
        <v>#N/A</v>
      </c>
      <c r="AC117" s="5" t="e">
        <f ca="1">IF(OR(INDEX($AI$2:$AI$1001,MATCH(ROWS($AH$2:AH117),$AH$2:$AH$1001,0),1)&gt;=100000,INDEX($AO$1005:$BQ$1005,1,MATCH(COLUMNS($AO$1006:BP1006),$AO$1006:$BQ$1006,0))&gt;=100000), " ",IF(INDEX($AO$2:$BQ$1001,MATCH(ROWS($AH$2:AH117),$AH$2:$AH$1001,0),MATCH(COLUMNS($AO$1006:BP1006),$AO$1006:$BQ$1006,0)), HYPERLINK("#",""), HYPERLINK(CONCATENATE("#Metadata!", ADDRESS(INDEX($AJ$2:$AJ$1001,MATCH(ROWS($AH$2:AH117),$AH$2:$AH$1001,0),0), INDEX($AO$1004:$BQ$1004,1,MATCH(COLUMNS($AO$1006:BP1006),$AO$1006:$BQ$1006,0)))),"Fix")))</f>
        <v>#N/A</v>
      </c>
      <c r="AD117" s="5" t="e">
        <f ca="1">IF(OR(INDEX($AI$2:$AI$1001,MATCH(ROWS($AH$2:AH117),$AH$2:$AH$1001,0),1)&gt;=100000,INDEX($AO$1005:$BQ$1005,1,MATCH(COLUMNS($AO$1006:BQ1006),$AO$1006:$BQ$1006,0))&gt;=100000), " ",IF(INDEX($AO$2:$BQ$1001,MATCH(ROWS($AH$2:AH117),$AH$2:$AH$1001,0),MATCH(COLUMNS($AO$1006:BQ1006),$AO$1006:$BQ$1006,0)), HYPERLINK("#",""), HYPERLINK(CONCATENATE("#Metadata!", ADDRESS(INDEX($AJ$2:$AJ$1001,MATCH(ROWS($AH$2:AH117),$AH$2:$AH$1001,0),0), INDEX($AO$1004:$BQ$1004,1,MATCH(COLUMNS($AO$1006:BQ1006),$AO$1006:$BQ$1006,0)))),"Fix")))</f>
        <v>#REF!</v>
      </c>
      <c r="AH117">
        <f ca="1"/>
        <v>114</v>
      </c>
      <c r="AI117">
        <v>100117</v>
      </c>
      <c r="AJ117">
        <v>117</v>
      </c>
      <c r="AK117" t="b">
        <f t="shared" si="1"/>
        <v>1</v>
      </c>
      <c r="AL117" t="b">
        <f>COUNTBLANK(Metadata!B117:AD117)=COLUMNS(Metadata!B117:AD117)</f>
        <v>1</v>
      </c>
      <c r="AM117" t="str">
        <v/>
      </c>
      <c r="AO117" t="b">
        <f ca="1">AND(IF(Metadata!B117="",FALSE,TRUE),COUNTIF(Metadata!B:B, Metadata!B117) = 1,NOT(ISERROR(SUMPRODUCT(SEARCH(MID(Metadata!B117,ROW(INDIRECT("1:"&amp;LEN(Metadata!B117))), 1),"0123456789abcdefghijklmnopqrstuvwxyzABCDEFGHIJKLMNOPQRSTUVWXYZ.")))))</f>
        <v>0</v>
      </c>
      <c r="AP117" t="b">
        <f>IF(Metadata!C117="",FALSE,TRUE)</f>
        <v>0</v>
      </c>
      <c r="AQ117" t="b">
        <f>IF(Metadata!D117="",FALSE,TRUE)</f>
        <v>0</v>
      </c>
      <c r="AR117" t="b">
        <f ca="1">OR(AND(IF(Metadata!E117="",FALSE,TRUE),OR(EXACT(Metadata!E117,"not collected"),EXACT(Metadata!E117,"not provided"),EXACT(Metadata!E117,"restricted access"))),AND(IF(Metadata!E117="",FALSE,TRUE),AND(AND(IFERROR(INT(LEFT(Metadata!E117,4))&gt;1900,FALSE),IFERROR(INT(LEFT(Metadata!E117,4))&lt;=YEAR(NOW()),FALSE)), OR(MID(Metadata!E117,5,1)="", AND(AND(MID(Metadata!E117,5,1)="-",IFERROR(INT(MID(Metadata!E117,6,1))&gt;=0,FALSE),IFERROR(INT(MID(Metadata!E117,6,1))&lt;=1,FALSE),NOT(MID(Metadata!E117,7,1)=""),IFERROR(INT(MID(Metadata!E117,6,2))&gt;=1,FALSE),IFERROR(INT(MID(Metadata!E117,6,2))&lt;=12,FALSE)), OR(MID(Metadata!E117,8,1)="", AND(AND(MID(Metadata!E117,8,1)="-",IFERROR(INT(MID(Metadata!E117,9,1))&gt;=0,FALSE),IFERROR(INT(MID(Metadata!E117,9,1))&lt;=3,FALSE),NOT(MID(Metadata!E117,10,1)=""),IFERROR(INT(MID(Metadata!E117,9,2))&gt;=1,FALSE),IFERROR(INT(MID(Metadata!E117,9,2))&lt;=31,FALSE)), OR(MID(Metadata!E117,11,1)="", AND(AND(MID(Metadata!E117,11,1)=" ",IFERROR(INT(MID(Metadata!E117,12,1))&gt;=0,FALSE),IFERROR(INT(MID(Metadata!E117,12,1))&lt;=2,FALSE),NOT(MID(Metadata!E117,13,1)=""),IFERROR(INT(MID(Metadata!E117,12,2))&gt;=0,FALSE),IFERROR(INT(MID(Metadata!E117,12,2))&lt;=23,FALSE)), OR(MID(Metadata!E117,14,1)="", AND(AND(MID(Metadata!E117,14,1)=":",IFERROR(INT(MID(Metadata!E117,15,1))&gt;=0,FALSE),IFERROR(INT(MID(Metadata!E117,15,1))&lt;=5,FALSE),NOT(MID(Metadata!E117,16,1)=""),IFERROR(INT(MID(Metadata!E117,15,2))&gt;=0,FALSE),IFERROR(INT(MID(Metadata!E117,15,2))&lt;=59,FALSE)), OR(MID(Metadata!E117,17,1)="", AND(AND(MID(Metadata!E117,17,1)=":",IFERROR(INT(MID(Metadata!E117,18,1))&gt;=0,FALSE),IFERROR(INT(MID(Metadata!E117,18,1))&lt;=5,FALSE),NOT(MID(Metadata!E117,19,1)=""),IFERROR(INT(MID(Metadata!E117,18,2))&gt;=0,FALSE),IFERROR(INT(MID(Metadata!E117,18,2))&lt;=59,FALSE)), LEN(Metadata!E117)&lt;=19)))))))))))))</f>
        <v>0</v>
      </c>
      <c r="AS117" t="b">
        <f>IF(Metadata!F117="",FALSE,TRUE)</f>
        <v>0</v>
      </c>
      <c r="AT117" t="b">
        <f>OR(AND(IF(Metadata!G117="",FALSE,TRUE),OR(EXACT(Metadata!G117,"not collected"),EXACT(Metadata!G117,"not provided"))),AND(IF(Metadata!G117="",FALSE,TRUE),OR(EXACT(Metadata!G117,"TRUE"),EXACT(Metadata!G117,"FALSE"))))</f>
        <v>0</v>
      </c>
      <c r="AU117" t="b">
        <f>OR(AND(IF(Metadata!H117="",FALSE,TRUE),OR(EXACT(Metadata!H117,"not collected"),EXACT(Metadata!H117,"not provided"),EXACT(Metadata!H117,"restricted access"))),AND(IF(Metadata!H117="",FALSE,ISNUMBER(VALUE(Metadata!H117))),Metadata!H117&gt;=-413))</f>
        <v>0</v>
      </c>
      <c r="AV117" t="b">
        <f>AND(IF(Metadata!I117="",FALSE,TRUE),EXACT(Metadata!I117,"meters"))</f>
        <v>0</v>
      </c>
      <c r="AW117" t="b">
        <f>AND(IF(Metadata!J117="",FALSE,TRUE),EXACT(Metadata!J117,"free-living"))</f>
        <v>0</v>
      </c>
      <c r="AX117" t="b">
        <f>AND(IF(Metadata!K117="",FALSE,TRUE),OR(EXACT(Metadata!K117,"saline"),EXACT(Metadata!K117,"non-saline")))</f>
        <v>0</v>
      </c>
      <c r="AY117" t="b">
        <f>AND(IF(Metadata!L117="",FALSE,TRUE),OR(EXACT(Metadata!L117,"sub-surface (non-saline)"),EXACT(Metadata!L117,"surface (non-saline)"),EXACT(Metadata!L117,"water (non-saline)"),EXACT(Metadata!L117,"soil (non-saline)"),EXACT(Metadata!L117,"aerosol (non-saline)"),EXACT(Metadata!L117,"sediment (non-saline)"),EXACT(Metadata!L117,"surface (saline)"),EXACT(Metadata!L117,"water (saline)"),EXACT(Metadata!L117,"hypersaline (saline)"),EXACT(Metadata!L117,"aerosol (saline)"),EXACT(Metadata!L117,"sediment (saline)")))</f>
        <v>0</v>
      </c>
      <c r="AZ117" t="b">
        <f>IF(Metadata!M117="",FALSE,TRUE)</f>
        <v>0</v>
      </c>
      <c r="BA117" t="b">
        <f>IF(Metadata!N117="",FALSE,TRUE)</f>
        <v>0</v>
      </c>
      <c r="BB117" t="b">
        <f>IF(Metadata!O117="",FALSE,TRUE)</f>
        <v>0</v>
      </c>
      <c r="BC117" t="b">
        <f>AND(IF(Metadata!P117="",FALSE,TRUE),OR(EXACT(Metadata!P117,"air"),EXACT(Metadata!P117,"microbial mat/biofilm"),EXACT(Metadata!P117,"misc environment"),EXACT(Metadata!P117,"sediment"),EXACT(Metadata!P117,"soil"),EXACT(Metadata!P117,"wastewater/sludge"),EXACT(Metadata!P117,"water")))</f>
        <v>0</v>
      </c>
      <c r="BD117" t="b">
        <f>IF(Metadata!Q117="",FALSE,TRUE)</f>
        <v>0</v>
      </c>
      <c r="BE117" t="b">
        <f>IF(Metadata!R117="",FALSE,TRUE)</f>
        <v>0</v>
      </c>
      <c r="BF117" t="b">
        <f>OR(AND(IF(Metadata!S117="",FALSE,TRUE),OR(EXACT(Metadata!S117,"not collected"),EXACT(Metadata!S117,"not provided"),EXACT(Metadata!S117,"restricted access"))),AND(IF(Metadata!S117="",FALSE,ISNUMBER(VALUE(Metadata!S117))),Metadata!S117&gt;=-90,Metadata!S117&lt;=90))</f>
        <v>0</v>
      </c>
      <c r="BG117" t="b">
        <f>AND(IF(Metadata!T117="",FALSE,TRUE),EXACT(Metadata!T117,"Decimal degrees"))</f>
        <v>0</v>
      </c>
      <c r="BH117" t="b">
        <f>OR(AND(IF(Metadata!U117="",FALSE,TRUE),OR(EXACT(Metadata!U117,"not applicable"),EXACT(Metadata!U117,"not collected"))),IF(Metadata!U117="",FALSE,TRUE))</f>
        <v>0</v>
      </c>
      <c r="BI117" t="b">
        <f>OR(AND(IF(Metadata!V117="",FALSE,TRUE),OR(EXACT(Metadata!V117,"not collected"),EXACT(Metadata!V117,"not provided"),EXACT(Metadata!V117,"restricted access"))),AND(IF(Metadata!V117="",FALSE,ISNUMBER(VALUE(Metadata!V117))),Metadata!V117&gt;=-180,Metadata!V117&lt;=180))</f>
        <v>0</v>
      </c>
      <c r="BJ117" t="b">
        <f>AND(IF(Metadata!W117="",FALSE,TRUE),EXACT(Metadata!W117,"Decimal degrees"))</f>
        <v>0</v>
      </c>
      <c r="BK117" t="b">
        <f>IF(Metadata!X117="",FALSE,TRUE)</f>
        <v>0</v>
      </c>
      <c r="BL117" t="b">
        <f>OR(AND(IF(Metadata!Y117="",FALSE,TRUE),OR(EXACT(Metadata!Y117,"not collected"),EXACT(Metadata!Y117,"not provided"),EXACT(Metadata!Y117,"restricted access"))),AND(IF(Metadata!Y117="",FALSE,TRUE),OR(EXACT(Metadata!Y117,"TRUE"),EXACT(Metadata!Y117,"FALSE"))))</f>
        <v>0</v>
      </c>
      <c r="BM117" t="b">
        <f>OR(AND(IF(Metadata!Z117="",FALSE,TRUE),EXACT(Metadata!Z117,"not applicable")),AND(IF(Metadata!Z117="",FALSE,TRUE),OR(EXACT(Metadata!Z117,"beer"),EXACT(Metadata!Z117,"cheese"),EXACT(Metadata!Z117,"fresh water"),EXACT(Metadata!Z117,"marine sediment"),EXACT(Metadata!Z117,"sea water"),EXACT(Metadata!Z117,"sediment"),EXACT(Metadata!Z117,"soil"),EXACT(Metadata!Z117,"waste water"))))</f>
        <v>0</v>
      </c>
      <c r="BN117" t="b">
        <f>AND(IF(Metadata!AA117="",FALSE,TRUE),EXACT(Metadata!AA117,"metagenome"))</f>
        <v>0</v>
      </c>
      <c r="BO117" t="b">
        <f>AND(IF(Metadata!AB117="",FALSE,TRUE),EXACT(Metadata!AB117,"256318"))</f>
        <v>0</v>
      </c>
      <c r="BP117" t="b">
        <f>IF(Metadata!AC117="",FALSE,TRUE)</f>
        <v>0</v>
      </c>
      <c r="BQ117" t="b">
        <f>IF(Metadata!AD117="",FALSE,TRUE)</f>
        <v>0</v>
      </c>
    </row>
    <row r="118" spans="1:69" x14ac:dyDescent="0.2">
      <c r="A118" s="4" t="e">
        <f ca="1">IF(B118=" "," ",HYPERLINK(CONCATENATE("#metadata!",ADDRESS(INDEX($AJ$2:$AJ$1001,MATCH(ROWS($AH$2:AH118),$AH$2:$AH$1001,0),0),2)),INDEX($AM$2:$AM$1001,MATCH(ROWS($AH$2:AH118),$AH$2:$AH$1001,0),0)))</f>
        <v>#N/A</v>
      </c>
      <c r="B118" s="5" t="e">
        <f ca="1">IF(OR(INDEX($AI$2:$AI$1001,MATCH(ROWS($AH$2:AH118),$AH$2:$AH$1001,0),1)&gt;=100000,INDEX($AO$1005:$BQ$1005,1,MATCH(COLUMNS($AO$1006:AO1006),$AO$1006:$BQ$1006,0))&gt;=100000), " ",IF(INDEX($AO$2:$BQ$1001,MATCH(ROWS($AH$2:AH118),$AH$2:$AH$1001,0),MATCH(COLUMNS($AO$1006:AO1006),$AO$1006:$BQ$1006,0)), HYPERLINK("#",""), HYPERLINK(CONCATENATE("#Metadata!", ADDRESS(INDEX($AJ$2:$AJ$1001,MATCH(ROWS($AH$2:AH118),$AH$2:$AH$1001,0),0), INDEX($AO$1004:$BQ$1004,1,MATCH(COLUMNS($AO$1006:AO1006),$AO$1006:$BQ$1006,0)))),"Fix")))</f>
        <v>#N/A</v>
      </c>
      <c r="C118" s="5" t="e">
        <f ca="1">IF(OR(INDEX($AI$2:$AI$1001,MATCH(ROWS($AH$2:AH118),$AH$2:$AH$1001,0),1)&gt;=100000,INDEX($AO$1005:$BQ$1005,1,MATCH(COLUMNS($AO$1006:AP1006),$AO$1006:$BQ$1006,0))&gt;=100000), " ",IF(INDEX($AO$2:$BQ$1001,MATCH(ROWS($AH$2:AH118),$AH$2:$AH$1001,0),MATCH(COLUMNS($AO$1006:AP1006),$AO$1006:$BQ$1006,0)), HYPERLINK("#",""), HYPERLINK(CONCATENATE("#Metadata!", ADDRESS(INDEX($AJ$2:$AJ$1001,MATCH(ROWS($AH$2:AH118),$AH$2:$AH$1001,0),0), INDEX($AO$1004:$BQ$1004,1,MATCH(COLUMNS($AO$1006:AP1006),$AO$1006:$BQ$1006,0)))),"Fix")))</f>
        <v>#N/A</v>
      </c>
      <c r="D118" s="5" t="e">
        <f ca="1">IF(OR(INDEX($AI$2:$AI$1001,MATCH(ROWS($AH$2:AH118),$AH$2:$AH$1001,0),1)&gt;=100000,INDEX($AO$1005:$BQ$1005,1,MATCH(COLUMNS($AO$1006:AQ1006),$AO$1006:$BQ$1006,0))&gt;=100000), " ",IF(INDEX($AO$2:$BQ$1001,MATCH(ROWS($AH$2:AH118),$AH$2:$AH$1001,0),MATCH(COLUMNS($AO$1006:AQ1006),$AO$1006:$BQ$1006,0)), HYPERLINK("#",""), HYPERLINK(CONCATENATE("#Metadata!", ADDRESS(INDEX($AJ$2:$AJ$1001,MATCH(ROWS($AH$2:AH118),$AH$2:$AH$1001,0),0), INDEX($AO$1004:$BQ$1004,1,MATCH(COLUMNS($AO$1006:AQ1006),$AO$1006:$BQ$1006,0)))),"Fix")))</f>
        <v>#N/A</v>
      </c>
      <c r="E118" s="5" t="e">
        <f ca="1">IF(OR(INDEX($AI$2:$AI$1001,MATCH(ROWS($AH$2:AH118),$AH$2:$AH$1001,0),1)&gt;=100000,INDEX($AO$1005:$BQ$1005,1,MATCH(COLUMNS($AO$1006:AR1006),$AO$1006:$BQ$1006,0))&gt;=100000), " ",IF(INDEX($AO$2:$BQ$1001,MATCH(ROWS($AH$2:AH118),$AH$2:$AH$1001,0),MATCH(COLUMNS($AO$1006:AR1006),$AO$1006:$BQ$1006,0)), HYPERLINK("#",""), HYPERLINK(CONCATENATE("#Metadata!", ADDRESS(INDEX($AJ$2:$AJ$1001,MATCH(ROWS($AH$2:AH118),$AH$2:$AH$1001,0),0), INDEX($AO$1004:$BQ$1004,1,MATCH(COLUMNS($AO$1006:AR1006),$AO$1006:$BQ$1006,0)))),"Fix")))</f>
        <v>#N/A</v>
      </c>
      <c r="F118" s="5" t="e">
        <f ca="1">IF(OR(INDEX($AI$2:$AI$1001,MATCH(ROWS($AH$2:AH118),$AH$2:$AH$1001,0),1)&gt;=100000,INDEX($AO$1005:$BQ$1005,1,MATCH(COLUMNS($AO$1006:AS1006),$AO$1006:$BQ$1006,0))&gt;=100000), " ",IF(INDEX($AO$2:$BQ$1001,MATCH(ROWS($AH$2:AH118),$AH$2:$AH$1001,0),MATCH(COLUMNS($AO$1006:AS1006),$AO$1006:$BQ$1006,0)), HYPERLINK("#",""), HYPERLINK(CONCATENATE("#Metadata!", ADDRESS(INDEX($AJ$2:$AJ$1001,MATCH(ROWS($AH$2:AH118),$AH$2:$AH$1001,0),0), INDEX($AO$1004:$BQ$1004,1,MATCH(COLUMNS($AO$1006:AS1006),$AO$1006:$BQ$1006,0)))),"Fix")))</f>
        <v>#N/A</v>
      </c>
      <c r="G118" s="5" t="e">
        <f ca="1">IF(OR(INDEX($AI$2:$AI$1001,MATCH(ROWS($AH$2:AH118),$AH$2:$AH$1001,0),1)&gt;=100000,INDEX($AO$1005:$BQ$1005,1,MATCH(COLUMNS($AO$1006:AT1006),$AO$1006:$BQ$1006,0))&gt;=100000), " ",IF(INDEX($AO$2:$BQ$1001,MATCH(ROWS($AH$2:AH118),$AH$2:$AH$1001,0),MATCH(COLUMNS($AO$1006:AT1006),$AO$1006:$BQ$1006,0)), HYPERLINK("#",""), HYPERLINK(CONCATENATE("#Metadata!", ADDRESS(INDEX($AJ$2:$AJ$1001,MATCH(ROWS($AH$2:AH118),$AH$2:$AH$1001,0),0), INDEX($AO$1004:$BQ$1004,1,MATCH(COLUMNS($AO$1006:AT1006),$AO$1006:$BQ$1006,0)))),"Fix")))</f>
        <v>#N/A</v>
      </c>
      <c r="H118" s="5" t="e">
        <f ca="1">IF(OR(INDEX($AI$2:$AI$1001,MATCH(ROWS($AH$2:AH118),$AH$2:$AH$1001,0),1)&gt;=100000,INDEX($AO$1005:$BQ$1005,1,MATCH(COLUMNS($AO$1006:AU1006),$AO$1006:$BQ$1006,0))&gt;=100000), " ",IF(INDEX($AO$2:$BQ$1001,MATCH(ROWS($AH$2:AH118),$AH$2:$AH$1001,0),MATCH(COLUMNS($AO$1006:AU1006),$AO$1006:$BQ$1006,0)), HYPERLINK("#",""), HYPERLINK(CONCATENATE("#Metadata!", ADDRESS(INDEX($AJ$2:$AJ$1001,MATCH(ROWS($AH$2:AH118),$AH$2:$AH$1001,0),0), INDEX($AO$1004:$BQ$1004,1,MATCH(COLUMNS($AO$1006:AU1006),$AO$1006:$BQ$1006,0)))),"Fix")))</f>
        <v>#N/A</v>
      </c>
      <c r="I118" s="5" t="e">
        <f ca="1">IF(OR(INDEX($AI$2:$AI$1001,MATCH(ROWS($AH$2:AH118),$AH$2:$AH$1001,0),1)&gt;=100000,INDEX($AO$1005:$BQ$1005,1,MATCH(COLUMNS($AO$1006:AV1006),$AO$1006:$BQ$1006,0))&gt;=100000), " ",IF(INDEX($AO$2:$BQ$1001,MATCH(ROWS($AH$2:AH118),$AH$2:$AH$1001,0),MATCH(COLUMNS($AO$1006:AV1006),$AO$1006:$BQ$1006,0)), HYPERLINK("#",""), HYPERLINK(CONCATENATE("#Metadata!", ADDRESS(INDEX($AJ$2:$AJ$1001,MATCH(ROWS($AH$2:AH118),$AH$2:$AH$1001,0),0), INDEX($AO$1004:$BQ$1004,1,MATCH(COLUMNS($AO$1006:AV1006),$AO$1006:$BQ$1006,0)))),"Fix")))</f>
        <v>#N/A</v>
      </c>
      <c r="J118" s="5" t="e">
        <f ca="1">IF(OR(INDEX($AI$2:$AI$1001,MATCH(ROWS($AH$2:AH118),$AH$2:$AH$1001,0),1)&gt;=100000,INDEX($AO$1005:$BQ$1005,1,MATCH(COLUMNS($AO$1006:AW1006),$AO$1006:$BQ$1006,0))&gt;=100000), " ",IF(INDEX($AO$2:$BQ$1001,MATCH(ROWS($AH$2:AH118),$AH$2:$AH$1001,0),MATCH(COLUMNS($AO$1006:AW1006),$AO$1006:$BQ$1006,0)), HYPERLINK("#",""), HYPERLINK(CONCATENATE("#Metadata!", ADDRESS(INDEX($AJ$2:$AJ$1001,MATCH(ROWS($AH$2:AH118),$AH$2:$AH$1001,0),0), INDEX($AO$1004:$BQ$1004,1,MATCH(COLUMNS($AO$1006:AW1006),$AO$1006:$BQ$1006,0)))),"Fix")))</f>
        <v>#N/A</v>
      </c>
      <c r="K118" s="5" t="e">
        <f ca="1">IF(OR(INDEX($AI$2:$AI$1001,MATCH(ROWS($AH$2:AH118),$AH$2:$AH$1001,0),1)&gt;=100000,INDEX($AO$1005:$BQ$1005,1,MATCH(COLUMNS($AO$1006:AX1006),$AO$1006:$BQ$1006,0))&gt;=100000), " ",IF(INDEX($AO$2:$BQ$1001,MATCH(ROWS($AH$2:AH118),$AH$2:$AH$1001,0),MATCH(COLUMNS($AO$1006:AX1006),$AO$1006:$BQ$1006,0)), HYPERLINK("#",""), HYPERLINK(CONCATENATE("#Metadata!", ADDRESS(INDEX($AJ$2:$AJ$1001,MATCH(ROWS($AH$2:AH118),$AH$2:$AH$1001,0),0), INDEX($AO$1004:$BQ$1004,1,MATCH(COLUMNS($AO$1006:AX1006),$AO$1006:$BQ$1006,0)))),"Fix")))</f>
        <v>#N/A</v>
      </c>
      <c r="L118" s="5" t="e">
        <f ca="1">IF(OR(INDEX($AI$2:$AI$1001,MATCH(ROWS($AH$2:AH118),$AH$2:$AH$1001,0),1)&gt;=100000,INDEX($AO$1005:$BQ$1005,1,MATCH(COLUMNS($AO$1006:AY1006),$AO$1006:$BQ$1006,0))&gt;=100000), " ",IF(INDEX($AO$2:$BQ$1001,MATCH(ROWS($AH$2:AH118),$AH$2:$AH$1001,0),MATCH(COLUMNS($AO$1006:AY1006),$AO$1006:$BQ$1006,0)), HYPERLINK("#",""), HYPERLINK(CONCATENATE("#Metadata!", ADDRESS(INDEX($AJ$2:$AJ$1001,MATCH(ROWS($AH$2:AH118),$AH$2:$AH$1001,0),0), INDEX($AO$1004:$BQ$1004,1,MATCH(COLUMNS($AO$1006:AY1006),$AO$1006:$BQ$1006,0)))),"Fix")))</f>
        <v>#N/A</v>
      </c>
      <c r="M118" s="5" t="e">
        <f ca="1">IF(OR(INDEX($AI$2:$AI$1001,MATCH(ROWS($AH$2:AH118),$AH$2:$AH$1001,0),1)&gt;=100000,INDEX($AO$1005:$BQ$1005,1,MATCH(COLUMNS($AO$1006:AZ1006),$AO$1006:$BQ$1006,0))&gt;=100000), " ",IF(INDEX($AO$2:$BQ$1001,MATCH(ROWS($AH$2:AH118),$AH$2:$AH$1001,0),MATCH(COLUMNS($AO$1006:AZ1006),$AO$1006:$BQ$1006,0)), HYPERLINK("#",""), HYPERLINK(CONCATENATE("#Metadata!", ADDRESS(INDEX($AJ$2:$AJ$1001,MATCH(ROWS($AH$2:AH118),$AH$2:$AH$1001,0),0), INDEX($AO$1004:$BQ$1004,1,MATCH(COLUMNS($AO$1006:AZ1006),$AO$1006:$BQ$1006,0)))),"Fix")))</f>
        <v>#N/A</v>
      </c>
      <c r="N118" s="5" t="e">
        <f ca="1">IF(OR(INDEX($AI$2:$AI$1001,MATCH(ROWS($AH$2:AH118),$AH$2:$AH$1001,0),1)&gt;=100000,INDEX($AO$1005:$BQ$1005,1,MATCH(COLUMNS($AO$1006:BA1006),$AO$1006:$BQ$1006,0))&gt;=100000), " ",IF(INDEX($AO$2:$BQ$1001,MATCH(ROWS($AH$2:AH118),$AH$2:$AH$1001,0),MATCH(COLUMNS($AO$1006:BA1006),$AO$1006:$BQ$1006,0)), HYPERLINK("#",""), HYPERLINK(CONCATENATE("#Metadata!", ADDRESS(INDEX($AJ$2:$AJ$1001,MATCH(ROWS($AH$2:AH118),$AH$2:$AH$1001,0),0), INDEX($AO$1004:$BQ$1004,1,MATCH(COLUMNS($AO$1006:BA1006),$AO$1006:$BQ$1006,0)))),"Fix")))</f>
        <v>#N/A</v>
      </c>
      <c r="O118" s="5" t="e">
        <f ca="1">IF(OR(INDEX($AI$2:$AI$1001,MATCH(ROWS($AH$2:AH118),$AH$2:$AH$1001,0),1)&gt;=100000,INDEX($AO$1005:$BQ$1005,1,MATCH(COLUMNS($AO$1006:BB1006),$AO$1006:$BQ$1006,0))&gt;=100000), " ",IF(INDEX($AO$2:$BQ$1001,MATCH(ROWS($AH$2:AH118),$AH$2:$AH$1001,0),MATCH(COLUMNS($AO$1006:BB1006),$AO$1006:$BQ$1006,0)), HYPERLINK("#",""), HYPERLINK(CONCATENATE("#Metadata!", ADDRESS(INDEX($AJ$2:$AJ$1001,MATCH(ROWS($AH$2:AH118),$AH$2:$AH$1001,0),0), INDEX($AO$1004:$BQ$1004,1,MATCH(COLUMNS($AO$1006:BB1006),$AO$1006:$BQ$1006,0)))),"Fix")))</f>
        <v>#N/A</v>
      </c>
      <c r="P118" s="5" t="e">
        <f ca="1">IF(OR(INDEX($AI$2:$AI$1001,MATCH(ROWS($AH$2:AH118),$AH$2:$AH$1001,0),1)&gt;=100000,INDEX($AO$1005:$BQ$1005,1,MATCH(COLUMNS($AO$1006:BC1006),$AO$1006:$BQ$1006,0))&gt;=100000), " ",IF(INDEX($AO$2:$BQ$1001,MATCH(ROWS($AH$2:AH118),$AH$2:$AH$1001,0),MATCH(COLUMNS($AO$1006:BC1006),$AO$1006:$BQ$1006,0)), HYPERLINK("#",""), HYPERLINK(CONCATENATE("#Metadata!", ADDRESS(INDEX($AJ$2:$AJ$1001,MATCH(ROWS($AH$2:AH118),$AH$2:$AH$1001,0),0), INDEX($AO$1004:$BQ$1004,1,MATCH(COLUMNS($AO$1006:BC1006),$AO$1006:$BQ$1006,0)))),"Fix")))</f>
        <v>#N/A</v>
      </c>
      <c r="Q118" s="5" t="e">
        <f ca="1">IF(OR(INDEX($AI$2:$AI$1001,MATCH(ROWS($AH$2:AH118),$AH$2:$AH$1001,0),1)&gt;=100000,INDEX($AO$1005:$BQ$1005,1,MATCH(COLUMNS($AO$1006:BD1006),$AO$1006:$BQ$1006,0))&gt;=100000), " ",IF(INDEX($AO$2:$BQ$1001,MATCH(ROWS($AH$2:AH118),$AH$2:$AH$1001,0),MATCH(COLUMNS($AO$1006:BD1006),$AO$1006:$BQ$1006,0)), HYPERLINK("#",""), HYPERLINK(CONCATENATE("#Metadata!", ADDRESS(INDEX($AJ$2:$AJ$1001,MATCH(ROWS($AH$2:AH118),$AH$2:$AH$1001,0),0), INDEX($AO$1004:$BQ$1004,1,MATCH(COLUMNS($AO$1006:BD1006),$AO$1006:$BQ$1006,0)))),"Fix")))</f>
        <v>#N/A</v>
      </c>
      <c r="R118" s="5" t="e">
        <f ca="1">IF(OR(INDEX($AI$2:$AI$1001,MATCH(ROWS($AH$2:AH118),$AH$2:$AH$1001,0),1)&gt;=100000,INDEX($AO$1005:$BQ$1005,1,MATCH(COLUMNS($AO$1006:BE1006),$AO$1006:$BQ$1006,0))&gt;=100000), " ",IF(INDEX($AO$2:$BQ$1001,MATCH(ROWS($AH$2:AH118),$AH$2:$AH$1001,0),MATCH(COLUMNS($AO$1006:BE1006),$AO$1006:$BQ$1006,0)), HYPERLINK("#",""), HYPERLINK(CONCATENATE("#Metadata!", ADDRESS(INDEX($AJ$2:$AJ$1001,MATCH(ROWS($AH$2:AH118),$AH$2:$AH$1001,0),0), INDEX($AO$1004:$BQ$1004,1,MATCH(COLUMNS($AO$1006:BE1006),$AO$1006:$BQ$1006,0)))),"Fix")))</f>
        <v>#N/A</v>
      </c>
      <c r="S118" s="5" t="e">
        <f ca="1">IF(OR(INDEX($AI$2:$AI$1001,MATCH(ROWS($AH$2:AH118),$AH$2:$AH$1001,0),1)&gt;=100000,INDEX($AO$1005:$BQ$1005,1,MATCH(COLUMNS($AO$1006:BF1006),$AO$1006:$BQ$1006,0))&gt;=100000), " ",IF(INDEX($AO$2:$BQ$1001,MATCH(ROWS($AH$2:AH118),$AH$2:$AH$1001,0),MATCH(COLUMNS($AO$1006:BF1006),$AO$1006:$BQ$1006,0)), HYPERLINK("#",""), HYPERLINK(CONCATENATE("#Metadata!", ADDRESS(INDEX($AJ$2:$AJ$1001,MATCH(ROWS($AH$2:AH118),$AH$2:$AH$1001,0),0), INDEX($AO$1004:$BQ$1004,1,MATCH(COLUMNS($AO$1006:BF1006),$AO$1006:$BQ$1006,0)))),"Fix")))</f>
        <v>#N/A</v>
      </c>
      <c r="T118" s="5" t="e">
        <f ca="1">IF(OR(INDEX($AI$2:$AI$1001,MATCH(ROWS($AH$2:AH118),$AH$2:$AH$1001,0),1)&gt;=100000,INDEX($AO$1005:$BQ$1005,1,MATCH(COLUMNS($AO$1006:BG1006),$AO$1006:$BQ$1006,0))&gt;=100000), " ",IF(INDEX($AO$2:$BQ$1001,MATCH(ROWS($AH$2:AH118),$AH$2:$AH$1001,0),MATCH(COLUMNS($AO$1006:BG1006),$AO$1006:$BQ$1006,0)), HYPERLINK("#",""), HYPERLINK(CONCATENATE("#Metadata!", ADDRESS(INDEX($AJ$2:$AJ$1001,MATCH(ROWS($AH$2:AH118),$AH$2:$AH$1001,0),0), INDEX($AO$1004:$BQ$1004,1,MATCH(COLUMNS($AO$1006:BG1006),$AO$1006:$BQ$1006,0)))),"Fix")))</f>
        <v>#N/A</v>
      </c>
      <c r="U118" s="5" t="e">
        <f ca="1">IF(OR(INDEX($AI$2:$AI$1001,MATCH(ROWS($AH$2:AH118),$AH$2:$AH$1001,0),1)&gt;=100000,INDEX($AO$1005:$BQ$1005,1,MATCH(COLUMNS($AO$1006:BH1006),$AO$1006:$BQ$1006,0))&gt;=100000), " ",IF(INDEX($AO$2:$BQ$1001,MATCH(ROWS($AH$2:AH118),$AH$2:$AH$1001,0),MATCH(COLUMNS($AO$1006:BH1006),$AO$1006:$BQ$1006,0)), HYPERLINK("#",""), HYPERLINK(CONCATENATE("#Metadata!", ADDRESS(INDEX($AJ$2:$AJ$1001,MATCH(ROWS($AH$2:AH118),$AH$2:$AH$1001,0),0), INDEX($AO$1004:$BQ$1004,1,MATCH(COLUMNS($AO$1006:BH1006),$AO$1006:$BQ$1006,0)))),"Fix")))</f>
        <v>#N/A</v>
      </c>
      <c r="V118" s="5" t="e">
        <f ca="1">IF(OR(INDEX($AI$2:$AI$1001,MATCH(ROWS($AH$2:AH118),$AH$2:$AH$1001,0),1)&gt;=100000,INDEX($AO$1005:$BQ$1005,1,MATCH(COLUMNS($AO$1006:BI1006),$AO$1006:$BQ$1006,0))&gt;=100000), " ",IF(INDEX($AO$2:$BQ$1001,MATCH(ROWS($AH$2:AH118),$AH$2:$AH$1001,0),MATCH(COLUMNS($AO$1006:BI1006),$AO$1006:$BQ$1006,0)), HYPERLINK("#",""), HYPERLINK(CONCATENATE("#Metadata!", ADDRESS(INDEX($AJ$2:$AJ$1001,MATCH(ROWS($AH$2:AH118),$AH$2:$AH$1001,0),0), INDEX($AO$1004:$BQ$1004,1,MATCH(COLUMNS($AO$1006:BI1006),$AO$1006:$BQ$1006,0)))),"Fix")))</f>
        <v>#N/A</v>
      </c>
      <c r="W118" s="5" t="e">
        <f ca="1">IF(OR(INDEX($AI$2:$AI$1001,MATCH(ROWS($AH$2:AH118),$AH$2:$AH$1001,0),1)&gt;=100000,INDEX($AO$1005:$BQ$1005,1,MATCH(COLUMNS($AO$1006:BJ1006),$AO$1006:$BQ$1006,0))&gt;=100000), " ",IF(INDEX($AO$2:$BQ$1001,MATCH(ROWS($AH$2:AH118),$AH$2:$AH$1001,0),MATCH(COLUMNS($AO$1006:BJ1006),$AO$1006:$BQ$1006,0)), HYPERLINK("#",""), HYPERLINK(CONCATENATE("#Metadata!", ADDRESS(INDEX($AJ$2:$AJ$1001,MATCH(ROWS($AH$2:AH118),$AH$2:$AH$1001,0),0), INDEX($AO$1004:$BQ$1004,1,MATCH(COLUMNS($AO$1006:BJ1006),$AO$1006:$BQ$1006,0)))),"Fix")))</f>
        <v>#N/A</v>
      </c>
      <c r="X118" s="5" t="e">
        <f ca="1">IF(OR(INDEX($AI$2:$AI$1001,MATCH(ROWS($AH$2:AH118),$AH$2:$AH$1001,0),1)&gt;=100000,INDEX($AO$1005:$BQ$1005,1,MATCH(COLUMNS($AO$1006:BK1006),$AO$1006:$BQ$1006,0))&gt;=100000), " ",IF(INDEX($AO$2:$BQ$1001,MATCH(ROWS($AH$2:AH118),$AH$2:$AH$1001,0),MATCH(COLUMNS($AO$1006:BK1006),$AO$1006:$BQ$1006,0)), HYPERLINK("#",""), HYPERLINK(CONCATENATE("#Metadata!", ADDRESS(INDEX($AJ$2:$AJ$1001,MATCH(ROWS($AH$2:AH118),$AH$2:$AH$1001,0),0), INDEX($AO$1004:$BQ$1004,1,MATCH(COLUMNS($AO$1006:BK1006),$AO$1006:$BQ$1006,0)))),"Fix")))</f>
        <v>#N/A</v>
      </c>
      <c r="Y118" s="5" t="e">
        <f ca="1">IF(OR(INDEX($AI$2:$AI$1001,MATCH(ROWS($AH$2:AH118),$AH$2:$AH$1001,0),1)&gt;=100000,INDEX($AO$1005:$BQ$1005,1,MATCH(COLUMNS($AO$1006:BL1006),$AO$1006:$BQ$1006,0))&gt;=100000), " ",IF(INDEX($AO$2:$BQ$1001,MATCH(ROWS($AH$2:AH118),$AH$2:$AH$1001,0),MATCH(COLUMNS($AO$1006:BL1006),$AO$1006:$BQ$1006,0)), HYPERLINK("#",""), HYPERLINK(CONCATENATE("#Metadata!", ADDRESS(INDEX($AJ$2:$AJ$1001,MATCH(ROWS($AH$2:AH118),$AH$2:$AH$1001,0),0), INDEX($AO$1004:$BQ$1004,1,MATCH(COLUMNS($AO$1006:BL1006),$AO$1006:$BQ$1006,0)))),"Fix")))</f>
        <v>#N/A</v>
      </c>
      <c r="Z118" s="5" t="e">
        <f ca="1">IF(OR(INDEX($AI$2:$AI$1001,MATCH(ROWS($AH$2:AH118),$AH$2:$AH$1001,0),1)&gt;=100000,INDEX($AO$1005:$BQ$1005,1,MATCH(COLUMNS($AO$1006:BM1006),$AO$1006:$BQ$1006,0))&gt;=100000), " ",IF(INDEX($AO$2:$BQ$1001,MATCH(ROWS($AH$2:AH118),$AH$2:$AH$1001,0),MATCH(COLUMNS($AO$1006:BM1006),$AO$1006:$BQ$1006,0)), HYPERLINK("#",""), HYPERLINK(CONCATENATE("#Metadata!", ADDRESS(INDEX($AJ$2:$AJ$1001,MATCH(ROWS($AH$2:AH118),$AH$2:$AH$1001,0),0), INDEX($AO$1004:$BQ$1004,1,MATCH(COLUMNS($AO$1006:BM1006),$AO$1006:$BQ$1006,0)))),"Fix")))</f>
        <v>#N/A</v>
      </c>
      <c r="AA118" s="5" t="e">
        <f ca="1">IF(OR(INDEX($AI$2:$AI$1001,MATCH(ROWS($AH$2:AH118),$AH$2:$AH$1001,0),1)&gt;=100000,INDEX($AO$1005:$BQ$1005,1,MATCH(COLUMNS($AO$1006:BN1006),$AO$1006:$BQ$1006,0))&gt;=100000), " ",IF(INDEX($AO$2:$BQ$1001,MATCH(ROWS($AH$2:AH118),$AH$2:$AH$1001,0),MATCH(COLUMNS($AO$1006:BN1006),$AO$1006:$BQ$1006,0)), HYPERLINK("#",""), HYPERLINK(CONCATENATE("#Metadata!", ADDRESS(INDEX($AJ$2:$AJ$1001,MATCH(ROWS($AH$2:AH118),$AH$2:$AH$1001,0),0), INDEX($AO$1004:$BQ$1004,1,MATCH(COLUMNS($AO$1006:BN1006),$AO$1006:$BQ$1006,0)))),"Fix")))</f>
        <v>#N/A</v>
      </c>
      <c r="AB118" s="5" t="e">
        <f ca="1">IF(OR(INDEX($AI$2:$AI$1001,MATCH(ROWS($AH$2:AH118),$AH$2:$AH$1001,0),1)&gt;=100000,INDEX($AO$1005:$BQ$1005,1,MATCH(COLUMNS($AO$1006:BO1006),$AO$1006:$BQ$1006,0))&gt;=100000), " ",IF(INDEX($AO$2:$BQ$1001,MATCH(ROWS($AH$2:AH118),$AH$2:$AH$1001,0),MATCH(COLUMNS($AO$1006:BO1006),$AO$1006:$BQ$1006,0)), HYPERLINK("#",""), HYPERLINK(CONCATENATE("#Metadata!", ADDRESS(INDEX($AJ$2:$AJ$1001,MATCH(ROWS($AH$2:AH118),$AH$2:$AH$1001,0),0), INDEX($AO$1004:$BQ$1004,1,MATCH(COLUMNS($AO$1006:BO1006),$AO$1006:$BQ$1006,0)))),"Fix")))</f>
        <v>#N/A</v>
      </c>
      <c r="AC118" s="5" t="e">
        <f ca="1">IF(OR(INDEX($AI$2:$AI$1001,MATCH(ROWS($AH$2:AH118),$AH$2:$AH$1001,0),1)&gt;=100000,INDEX($AO$1005:$BQ$1005,1,MATCH(COLUMNS($AO$1006:BP1006),$AO$1006:$BQ$1006,0))&gt;=100000), " ",IF(INDEX($AO$2:$BQ$1001,MATCH(ROWS($AH$2:AH118),$AH$2:$AH$1001,0),MATCH(COLUMNS($AO$1006:BP1006),$AO$1006:$BQ$1006,0)), HYPERLINK("#",""), HYPERLINK(CONCATENATE("#Metadata!", ADDRESS(INDEX($AJ$2:$AJ$1001,MATCH(ROWS($AH$2:AH118),$AH$2:$AH$1001,0),0), INDEX($AO$1004:$BQ$1004,1,MATCH(COLUMNS($AO$1006:BP1006),$AO$1006:$BQ$1006,0)))),"Fix")))</f>
        <v>#N/A</v>
      </c>
      <c r="AD118" s="5" t="e">
        <f ca="1">IF(OR(INDEX($AI$2:$AI$1001,MATCH(ROWS($AH$2:AH118),$AH$2:$AH$1001,0),1)&gt;=100000,INDEX($AO$1005:$BQ$1005,1,MATCH(COLUMNS($AO$1006:BQ1006),$AO$1006:$BQ$1006,0))&gt;=100000), " ",IF(INDEX($AO$2:$BQ$1001,MATCH(ROWS($AH$2:AH118),$AH$2:$AH$1001,0),MATCH(COLUMNS($AO$1006:BQ1006),$AO$1006:$BQ$1006,0)), HYPERLINK("#",""), HYPERLINK(CONCATENATE("#Metadata!", ADDRESS(INDEX($AJ$2:$AJ$1001,MATCH(ROWS($AH$2:AH118),$AH$2:$AH$1001,0),0), INDEX($AO$1004:$BQ$1004,1,MATCH(COLUMNS($AO$1006:BQ1006),$AO$1006:$BQ$1006,0)))),"Fix")))</f>
        <v>#REF!</v>
      </c>
      <c r="AH118">
        <f ca="1"/>
        <v>115</v>
      </c>
      <c r="AI118">
        <v>100118</v>
      </c>
      <c r="AJ118">
        <v>118</v>
      </c>
      <c r="AK118" t="b">
        <f t="shared" si="1"/>
        <v>1</v>
      </c>
      <c r="AL118" t="b">
        <f>COUNTBLANK(Metadata!B118:AD118)=COLUMNS(Metadata!B118:AD118)</f>
        <v>1</v>
      </c>
      <c r="AM118" t="str">
        <v/>
      </c>
      <c r="AO118" t="b">
        <f ca="1">AND(IF(Metadata!B118="",FALSE,TRUE),COUNTIF(Metadata!B:B, Metadata!B118) = 1,NOT(ISERROR(SUMPRODUCT(SEARCH(MID(Metadata!B118,ROW(INDIRECT("1:"&amp;LEN(Metadata!B118))), 1),"0123456789abcdefghijklmnopqrstuvwxyzABCDEFGHIJKLMNOPQRSTUVWXYZ.")))))</f>
        <v>0</v>
      </c>
      <c r="AP118" t="b">
        <f>IF(Metadata!C118="",FALSE,TRUE)</f>
        <v>0</v>
      </c>
      <c r="AQ118" t="b">
        <f>IF(Metadata!D118="",FALSE,TRUE)</f>
        <v>0</v>
      </c>
      <c r="AR118" t="b">
        <f ca="1">OR(AND(IF(Metadata!E118="",FALSE,TRUE),OR(EXACT(Metadata!E118,"not collected"),EXACT(Metadata!E118,"not provided"),EXACT(Metadata!E118,"restricted access"))),AND(IF(Metadata!E118="",FALSE,TRUE),AND(AND(IFERROR(INT(LEFT(Metadata!E118,4))&gt;1900,FALSE),IFERROR(INT(LEFT(Metadata!E118,4))&lt;=YEAR(NOW()),FALSE)), OR(MID(Metadata!E118,5,1)="", AND(AND(MID(Metadata!E118,5,1)="-",IFERROR(INT(MID(Metadata!E118,6,1))&gt;=0,FALSE),IFERROR(INT(MID(Metadata!E118,6,1))&lt;=1,FALSE),NOT(MID(Metadata!E118,7,1)=""),IFERROR(INT(MID(Metadata!E118,6,2))&gt;=1,FALSE),IFERROR(INT(MID(Metadata!E118,6,2))&lt;=12,FALSE)), OR(MID(Metadata!E118,8,1)="", AND(AND(MID(Metadata!E118,8,1)="-",IFERROR(INT(MID(Metadata!E118,9,1))&gt;=0,FALSE),IFERROR(INT(MID(Metadata!E118,9,1))&lt;=3,FALSE),NOT(MID(Metadata!E118,10,1)=""),IFERROR(INT(MID(Metadata!E118,9,2))&gt;=1,FALSE),IFERROR(INT(MID(Metadata!E118,9,2))&lt;=31,FALSE)), OR(MID(Metadata!E118,11,1)="", AND(AND(MID(Metadata!E118,11,1)=" ",IFERROR(INT(MID(Metadata!E118,12,1))&gt;=0,FALSE),IFERROR(INT(MID(Metadata!E118,12,1))&lt;=2,FALSE),NOT(MID(Metadata!E118,13,1)=""),IFERROR(INT(MID(Metadata!E118,12,2))&gt;=0,FALSE),IFERROR(INT(MID(Metadata!E118,12,2))&lt;=23,FALSE)), OR(MID(Metadata!E118,14,1)="", AND(AND(MID(Metadata!E118,14,1)=":",IFERROR(INT(MID(Metadata!E118,15,1))&gt;=0,FALSE),IFERROR(INT(MID(Metadata!E118,15,1))&lt;=5,FALSE),NOT(MID(Metadata!E118,16,1)=""),IFERROR(INT(MID(Metadata!E118,15,2))&gt;=0,FALSE),IFERROR(INT(MID(Metadata!E118,15,2))&lt;=59,FALSE)), OR(MID(Metadata!E118,17,1)="", AND(AND(MID(Metadata!E118,17,1)=":",IFERROR(INT(MID(Metadata!E118,18,1))&gt;=0,FALSE),IFERROR(INT(MID(Metadata!E118,18,1))&lt;=5,FALSE),NOT(MID(Metadata!E118,19,1)=""),IFERROR(INT(MID(Metadata!E118,18,2))&gt;=0,FALSE),IFERROR(INT(MID(Metadata!E118,18,2))&lt;=59,FALSE)), LEN(Metadata!E118)&lt;=19)))))))))))))</f>
        <v>0</v>
      </c>
      <c r="AS118" t="b">
        <f>IF(Metadata!F118="",FALSE,TRUE)</f>
        <v>0</v>
      </c>
      <c r="AT118" t="b">
        <f>OR(AND(IF(Metadata!G118="",FALSE,TRUE),OR(EXACT(Metadata!G118,"not collected"),EXACT(Metadata!G118,"not provided"))),AND(IF(Metadata!G118="",FALSE,TRUE),OR(EXACT(Metadata!G118,"TRUE"),EXACT(Metadata!G118,"FALSE"))))</f>
        <v>0</v>
      </c>
      <c r="AU118" t="b">
        <f>OR(AND(IF(Metadata!H118="",FALSE,TRUE),OR(EXACT(Metadata!H118,"not collected"),EXACT(Metadata!H118,"not provided"),EXACT(Metadata!H118,"restricted access"))),AND(IF(Metadata!H118="",FALSE,ISNUMBER(VALUE(Metadata!H118))),Metadata!H118&gt;=-413))</f>
        <v>0</v>
      </c>
      <c r="AV118" t="b">
        <f>AND(IF(Metadata!I118="",FALSE,TRUE),EXACT(Metadata!I118,"meters"))</f>
        <v>0</v>
      </c>
      <c r="AW118" t="b">
        <f>AND(IF(Metadata!J118="",FALSE,TRUE),EXACT(Metadata!J118,"free-living"))</f>
        <v>0</v>
      </c>
      <c r="AX118" t="b">
        <f>AND(IF(Metadata!K118="",FALSE,TRUE),OR(EXACT(Metadata!K118,"saline"),EXACT(Metadata!K118,"non-saline")))</f>
        <v>0</v>
      </c>
      <c r="AY118" t="b">
        <f>AND(IF(Metadata!L118="",FALSE,TRUE),OR(EXACT(Metadata!L118,"sub-surface (non-saline)"),EXACT(Metadata!L118,"surface (non-saline)"),EXACT(Metadata!L118,"water (non-saline)"),EXACT(Metadata!L118,"soil (non-saline)"),EXACT(Metadata!L118,"aerosol (non-saline)"),EXACT(Metadata!L118,"sediment (non-saline)"),EXACT(Metadata!L118,"surface (saline)"),EXACT(Metadata!L118,"water (saline)"),EXACT(Metadata!L118,"hypersaline (saline)"),EXACT(Metadata!L118,"aerosol (saline)"),EXACT(Metadata!L118,"sediment (saline)")))</f>
        <v>0</v>
      </c>
      <c r="AZ118" t="b">
        <f>IF(Metadata!M118="",FALSE,TRUE)</f>
        <v>0</v>
      </c>
      <c r="BA118" t="b">
        <f>IF(Metadata!N118="",FALSE,TRUE)</f>
        <v>0</v>
      </c>
      <c r="BB118" t="b">
        <f>IF(Metadata!O118="",FALSE,TRUE)</f>
        <v>0</v>
      </c>
      <c r="BC118" t="b">
        <f>AND(IF(Metadata!P118="",FALSE,TRUE),OR(EXACT(Metadata!P118,"air"),EXACT(Metadata!P118,"microbial mat/biofilm"),EXACT(Metadata!P118,"misc environment"),EXACT(Metadata!P118,"sediment"),EXACT(Metadata!P118,"soil"),EXACT(Metadata!P118,"wastewater/sludge"),EXACT(Metadata!P118,"water")))</f>
        <v>0</v>
      </c>
      <c r="BD118" t="b">
        <f>IF(Metadata!Q118="",FALSE,TRUE)</f>
        <v>0</v>
      </c>
      <c r="BE118" t="b">
        <f>IF(Metadata!R118="",FALSE,TRUE)</f>
        <v>0</v>
      </c>
      <c r="BF118" t="b">
        <f>OR(AND(IF(Metadata!S118="",FALSE,TRUE),OR(EXACT(Metadata!S118,"not collected"),EXACT(Metadata!S118,"not provided"),EXACT(Metadata!S118,"restricted access"))),AND(IF(Metadata!S118="",FALSE,ISNUMBER(VALUE(Metadata!S118))),Metadata!S118&gt;=-90,Metadata!S118&lt;=90))</f>
        <v>0</v>
      </c>
      <c r="BG118" t="b">
        <f>AND(IF(Metadata!T118="",FALSE,TRUE),EXACT(Metadata!T118,"Decimal degrees"))</f>
        <v>0</v>
      </c>
      <c r="BH118" t="b">
        <f>OR(AND(IF(Metadata!U118="",FALSE,TRUE),OR(EXACT(Metadata!U118,"not applicable"),EXACT(Metadata!U118,"not collected"))),IF(Metadata!U118="",FALSE,TRUE))</f>
        <v>0</v>
      </c>
      <c r="BI118" t="b">
        <f>OR(AND(IF(Metadata!V118="",FALSE,TRUE),OR(EXACT(Metadata!V118,"not collected"),EXACT(Metadata!V118,"not provided"),EXACT(Metadata!V118,"restricted access"))),AND(IF(Metadata!V118="",FALSE,ISNUMBER(VALUE(Metadata!V118))),Metadata!V118&gt;=-180,Metadata!V118&lt;=180))</f>
        <v>0</v>
      </c>
      <c r="BJ118" t="b">
        <f>AND(IF(Metadata!W118="",FALSE,TRUE),EXACT(Metadata!W118,"Decimal degrees"))</f>
        <v>0</v>
      </c>
      <c r="BK118" t="b">
        <f>IF(Metadata!X118="",FALSE,TRUE)</f>
        <v>0</v>
      </c>
      <c r="BL118" t="b">
        <f>OR(AND(IF(Metadata!Y118="",FALSE,TRUE),OR(EXACT(Metadata!Y118,"not collected"),EXACT(Metadata!Y118,"not provided"),EXACT(Metadata!Y118,"restricted access"))),AND(IF(Metadata!Y118="",FALSE,TRUE),OR(EXACT(Metadata!Y118,"TRUE"),EXACT(Metadata!Y118,"FALSE"))))</f>
        <v>0</v>
      </c>
      <c r="BM118" t="b">
        <f>OR(AND(IF(Metadata!Z118="",FALSE,TRUE),EXACT(Metadata!Z118,"not applicable")),AND(IF(Metadata!Z118="",FALSE,TRUE),OR(EXACT(Metadata!Z118,"beer"),EXACT(Metadata!Z118,"cheese"),EXACT(Metadata!Z118,"fresh water"),EXACT(Metadata!Z118,"marine sediment"),EXACT(Metadata!Z118,"sea water"),EXACT(Metadata!Z118,"sediment"),EXACT(Metadata!Z118,"soil"),EXACT(Metadata!Z118,"waste water"))))</f>
        <v>0</v>
      </c>
      <c r="BN118" t="b">
        <f>AND(IF(Metadata!AA118="",FALSE,TRUE),EXACT(Metadata!AA118,"metagenome"))</f>
        <v>0</v>
      </c>
      <c r="BO118" t="b">
        <f>AND(IF(Metadata!AB118="",FALSE,TRUE),EXACT(Metadata!AB118,"256318"))</f>
        <v>0</v>
      </c>
      <c r="BP118" t="b">
        <f>IF(Metadata!AC118="",FALSE,TRUE)</f>
        <v>0</v>
      </c>
      <c r="BQ118" t="b">
        <f>IF(Metadata!AD118="",FALSE,TRUE)</f>
        <v>0</v>
      </c>
    </row>
    <row r="119" spans="1:69" x14ac:dyDescent="0.2">
      <c r="A119" s="4" t="e">
        <f ca="1">IF(B119=" "," ",HYPERLINK(CONCATENATE("#metadata!",ADDRESS(INDEX($AJ$2:$AJ$1001,MATCH(ROWS($AH$2:AH119),$AH$2:$AH$1001,0),0),2)),INDEX($AM$2:$AM$1001,MATCH(ROWS($AH$2:AH119),$AH$2:$AH$1001,0),0)))</f>
        <v>#N/A</v>
      </c>
      <c r="B119" s="5" t="e">
        <f ca="1">IF(OR(INDEX($AI$2:$AI$1001,MATCH(ROWS($AH$2:AH119),$AH$2:$AH$1001,0),1)&gt;=100000,INDEX($AO$1005:$BQ$1005,1,MATCH(COLUMNS($AO$1006:AO1006),$AO$1006:$BQ$1006,0))&gt;=100000), " ",IF(INDEX($AO$2:$BQ$1001,MATCH(ROWS($AH$2:AH119),$AH$2:$AH$1001,0),MATCH(COLUMNS($AO$1006:AO1006),$AO$1006:$BQ$1006,0)), HYPERLINK("#",""), HYPERLINK(CONCATENATE("#Metadata!", ADDRESS(INDEX($AJ$2:$AJ$1001,MATCH(ROWS($AH$2:AH119),$AH$2:$AH$1001,0),0), INDEX($AO$1004:$BQ$1004,1,MATCH(COLUMNS($AO$1006:AO1006),$AO$1006:$BQ$1006,0)))),"Fix")))</f>
        <v>#N/A</v>
      </c>
      <c r="C119" s="5" t="e">
        <f ca="1">IF(OR(INDEX($AI$2:$AI$1001,MATCH(ROWS($AH$2:AH119),$AH$2:$AH$1001,0),1)&gt;=100000,INDEX($AO$1005:$BQ$1005,1,MATCH(COLUMNS($AO$1006:AP1006),$AO$1006:$BQ$1006,0))&gt;=100000), " ",IF(INDEX($AO$2:$BQ$1001,MATCH(ROWS($AH$2:AH119),$AH$2:$AH$1001,0),MATCH(COLUMNS($AO$1006:AP1006),$AO$1006:$BQ$1006,0)), HYPERLINK("#",""), HYPERLINK(CONCATENATE("#Metadata!", ADDRESS(INDEX($AJ$2:$AJ$1001,MATCH(ROWS($AH$2:AH119),$AH$2:$AH$1001,0),0), INDEX($AO$1004:$BQ$1004,1,MATCH(COLUMNS($AO$1006:AP1006),$AO$1006:$BQ$1006,0)))),"Fix")))</f>
        <v>#N/A</v>
      </c>
      <c r="D119" s="5" t="e">
        <f ca="1">IF(OR(INDEX($AI$2:$AI$1001,MATCH(ROWS($AH$2:AH119),$AH$2:$AH$1001,0),1)&gt;=100000,INDEX($AO$1005:$BQ$1005,1,MATCH(COLUMNS($AO$1006:AQ1006),$AO$1006:$BQ$1006,0))&gt;=100000), " ",IF(INDEX($AO$2:$BQ$1001,MATCH(ROWS($AH$2:AH119),$AH$2:$AH$1001,0),MATCH(COLUMNS($AO$1006:AQ1006),$AO$1006:$BQ$1006,0)), HYPERLINK("#",""), HYPERLINK(CONCATENATE("#Metadata!", ADDRESS(INDEX($AJ$2:$AJ$1001,MATCH(ROWS($AH$2:AH119),$AH$2:$AH$1001,0),0), INDEX($AO$1004:$BQ$1004,1,MATCH(COLUMNS($AO$1006:AQ1006),$AO$1006:$BQ$1006,0)))),"Fix")))</f>
        <v>#N/A</v>
      </c>
      <c r="E119" s="5" t="e">
        <f ca="1">IF(OR(INDEX($AI$2:$AI$1001,MATCH(ROWS($AH$2:AH119),$AH$2:$AH$1001,0),1)&gt;=100000,INDEX($AO$1005:$BQ$1005,1,MATCH(COLUMNS($AO$1006:AR1006),$AO$1006:$BQ$1006,0))&gt;=100000), " ",IF(INDEX($AO$2:$BQ$1001,MATCH(ROWS($AH$2:AH119),$AH$2:$AH$1001,0),MATCH(COLUMNS($AO$1006:AR1006),$AO$1006:$BQ$1006,0)), HYPERLINK("#",""), HYPERLINK(CONCATENATE("#Metadata!", ADDRESS(INDEX($AJ$2:$AJ$1001,MATCH(ROWS($AH$2:AH119),$AH$2:$AH$1001,0),0), INDEX($AO$1004:$BQ$1004,1,MATCH(COLUMNS($AO$1006:AR1006),$AO$1006:$BQ$1006,0)))),"Fix")))</f>
        <v>#N/A</v>
      </c>
      <c r="F119" s="5" t="e">
        <f ca="1">IF(OR(INDEX($AI$2:$AI$1001,MATCH(ROWS($AH$2:AH119),$AH$2:$AH$1001,0),1)&gt;=100000,INDEX($AO$1005:$BQ$1005,1,MATCH(COLUMNS($AO$1006:AS1006),$AO$1006:$BQ$1006,0))&gt;=100000), " ",IF(INDEX($AO$2:$BQ$1001,MATCH(ROWS($AH$2:AH119),$AH$2:$AH$1001,0),MATCH(COLUMNS($AO$1006:AS1006),$AO$1006:$BQ$1006,0)), HYPERLINK("#",""), HYPERLINK(CONCATENATE("#Metadata!", ADDRESS(INDEX($AJ$2:$AJ$1001,MATCH(ROWS($AH$2:AH119),$AH$2:$AH$1001,0),0), INDEX($AO$1004:$BQ$1004,1,MATCH(COLUMNS($AO$1006:AS1006),$AO$1006:$BQ$1006,0)))),"Fix")))</f>
        <v>#N/A</v>
      </c>
      <c r="G119" s="5" t="e">
        <f ca="1">IF(OR(INDEX($AI$2:$AI$1001,MATCH(ROWS($AH$2:AH119),$AH$2:$AH$1001,0),1)&gt;=100000,INDEX($AO$1005:$BQ$1005,1,MATCH(COLUMNS($AO$1006:AT1006),$AO$1006:$BQ$1006,0))&gt;=100000), " ",IF(INDEX($AO$2:$BQ$1001,MATCH(ROWS($AH$2:AH119),$AH$2:$AH$1001,0),MATCH(COLUMNS($AO$1006:AT1006),$AO$1006:$BQ$1006,0)), HYPERLINK("#",""), HYPERLINK(CONCATENATE("#Metadata!", ADDRESS(INDEX($AJ$2:$AJ$1001,MATCH(ROWS($AH$2:AH119),$AH$2:$AH$1001,0),0), INDEX($AO$1004:$BQ$1004,1,MATCH(COLUMNS($AO$1006:AT1006),$AO$1006:$BQ$1006,0)))),"Fix")))</f>
        <v>#N/A</v>
      </c>
      <c r="H119" s="5" t="e">
        <f ca="1">IF(OR(INDEX($AI$2:$AI$1001,MATCH(ROWS($AH$2:AH119),$AH$2:$AH$1001,0),1)&gt;=100000,INDEX($AO$1005:$BQ$1005,1,MATCH(COLUMNS($AO$1006:AU1006),$AO$1006:$BQ$1006,0))&gt;=100000), " ",IF(INDEX($AO$2:$BQ$1001,MATCH(ROWS($AH$2:AH119),$AH$2:$AH$1001,0),MATCH(COLUMNS($AO$1006:AU1006),$AO$1006:$BQ$1006,0)), HYPERLINK("#",""), HYPERLINK(CONCATENATE("#Metadata!", ADDRESS(INDEX($AJ$2:$AJ$1001,MATCH(ROWS($AH$2:AH119),$AH$2:$AH$1001,0),0), INDEX($AO$1004:$BQ$1004,1,MATCH(COLUMNS($AO$1006:AU1006),$AO$1006:$BQ$1006,0)))),"Fix")))</f>
        <v>#N/A</v>
      </c>
      <c r="I119" s="5" t="e">
        <f ca="1">IF(OR(INDEX($AI$2:$AI$1001,MATCH(ROWS($AH$2:AH119),$AH$2:$AH$1001,0),1)&gt;=100000,INDEX($AO$1005:$BQ$1005,1,MATCH(COLUMNS($AO$1006:AV1006),$AO$1006:$BQ$1006,0))&gt;=100000), " ",IF(INDEX($AO$2:$BQ$1001,MATCH(ROWS($AH$2:AH119),$AH$2:$AH$1001,0),MATCH(COLUMNS($AO$1006:AV1006),$AO$1006:$BQ$1006,0)), HYPERLINK("#",""), HYPERLINK(CONCATENATE("#Metadata!", ADDRESS(INDEX($AJ$2:$AJ$1001,MATCH(ROWS($AH$2:AH119),$AH$2:$AH$1001,0),0), INDEX($AO$1004:$BQ$1004,1,MATCH(COLUMNS($AO$1006:AV1006),$AO$1006:$BQ$1006,0)))),"Fix")))</f>
        <v>#N/A</v>
      </c>
      <c r="J119" s="5" t="e">
        <f ca="1">IF(OR(INDEX($AI$2:$AI$1001,MATCH(ROWS($AH$2:AH119),$AH$2:$AH$1001,0),1)&gt;=100000,INDEX($AO$1005:$BQ$1005,1,MATCH(COLUMNS($AO$1006:AW1006),$AO$1006:$BQ$1006,0))&gt;=100000), " ",IF(INDEX($AO$2:$BQ$1001,MATCH(ROWS($AH$2:AH119),$AH$2:$AH$1001,0),MATCH(COLUMNS($AO$1006:AW1006),$AO$1006:$BQ$1006,0)), HYPERLINK("#",""), HYPERLINK(CONCATENATE("#Metadata!", ADDRESS(INDEX($AJ$2:$AJ$1001,MATCH(ROWS($AH$2:AH119),$AH$2:$AH$1001,0),0), INDEX($AO$1004:$BQ$1004,1,MATCH(COLUMNS($AO$1006:AW1006),$AO$1006:$BQ$1006,0)))),"Fix")))</f>
        <v>#N/A</v>
      </c>
      <c r="K119" s="5" t="e">
        <f ca="1">IF(OR(INDEX($AI$2:$AI$1001,MATCH(ROWS($AH$2:AH119),$AH$2:$AH$1001,0),1)&gt;=100000,INDEX($AO$1005:$BQ$1005,1,MATCH(COLUMNS($AO$1006:AX1006),$AO$1006:$BQ$1006,0))&gt;=100000), " ",IF(INDEX($AO$2:$BQ$1001,MATCH(ROWS($AH$2:AH119),$AH$2:$AH$1001,0),MATCH(COLUMNS($AO$1006:AX1006),$AO$1006:$BQ$1006,0)), HYPERLINK("#",""), HYPERLINK(CONCATENATE("#Metadata!", ADDRESS(INDEX($AJ$2:$AJ$1001,MATCH(ROWS($AH$2:AH119),$AH$2:$AH$1001,0),0), INDEX($AO$1004:$BQ$1004,1,MATCH(COLUMNS($AO$1006:AX1006),$AO$1006:$BQ$1006,0)))),"Fix")))</f>
        <v>#N/A</v>
      </c>
      <c r="L119" s="5" t="e">
        <f ca="1">IF(OR(INDEX($AI$2:$AI$1001,MATCH(ROWS($AH$2:AH119),$AH$2:$AH$1001,0),1)&gt;=100000,INDEX($AO$1005:$BQ$1005,1,MATCH(COLUMNS($AO$1006:AY1006),$AO$1006:$BQ$1006,0))&gt;=100000), " ",IF(INDEX($AO$2:$BQ$1001,MATCH(ROWS($AH$2:AH119),$AH$2:$AH$1001,0),MATCH(COLUMNS($AO$1006:AY1006),$AO$1006:$BQ$1006,0)), HYPERLINK("#",""), HYPERLINK(CONCATENATE("#Metadata!", ADDRESS(INDEX($AJ$2:$AJ$1001,MATCH(ROWS($AH$2:AH119),$AH$2:$AH$1001,0),0), INDEX($AO$1004:$BQ$1004,1,MATCH(COLUMNS($AO$1006:AY1006),$AO$1006:$BQ$1006,0)))),"Fix")))</f>
        <v>#N/A</v>
      </c>
      <c r="M119" s="5" t="e">
        <f ca="1">IF(OR(INDEX($AI$2:$AI$1001,MATCH(ROWS($AH$2:AH119),$AH$2:$AH$1001,0),1)&gt;=100000,INDEX($AO$1005:$BQ$1005,1,MATCH(COLUMNS($AO$1006:AZ1006),$AO$1006:$BQ$1006,0))&gt;=100000), " ",IF(INDEX($AO$2:$BQ$1001,MATCH(ROWS($AH$2:AH119),$AH$2:$AH$1001,0),MATCH(COLUMNS($AO$1006:AZ1006),$AO$1006:$BQ$1006,0)), HYPERLINK("#",""), HYPERLINK(CONCATENATE("#Metadata!", ADDRESS(INDEX($AJ$2:$AJ$1001,MATCH(ROWS($AH$2:AH119),$AH$2:$AH$1001,0),0), INDEX($AO$1004:$BQ$1004,1,MATCH(COLUMNS($AO$1006:AZ1006),$AO$1006:$BQ$1006,0)))),"Fix")))</f>
        <v>#N/A</v>
      </c>
      <c r="N119" s="5" t="e">
        <f ca="1">IF(OR(INDEX($AI$2:$AI$1001,MATCH(ROWS($AH$2:AH119),$AH$2:$AH$1001,0),1)&gt;=100000,INDEX($AO$1005:$BQ$1005,1,MATCH(COLUMNS($AO$1006:BA1006),$AO$1006:$BQ$1006,0))&gt;=100000), " ",IF(INDEX($AO$2:$BQ$1001,MATCH(ROWS($AH$2:AH119),$AH$2:$AH$1001,0),MATCH(COLUMNS($AO$1006:BA1006),$AO$1006:$BQ$1006,0)), HYPERLINK("#",""), HYPERLINK(CONCATENATE("#Metadata!", ADDRESS(INDEX($AJ$2:$AJ$1001,MATCH(ROWS($AH$2:AH119),$AH$2:$AH$1001,0),0), INDEX($AO$1004:$BQ$1004,1,MATCH(COLUMNS($AO$1006:BA1006),$AO$1006:$BQ$1006,0)))),"Fix")))</f>
        <v>#N/A</v>
      </c>
      <c r="O119" s="5" t="e">
        <f ca="1">IF(OR(INDEX($AI$2:$AI$1001,MATCH(ROWS($AH$2:AH119),$AH$2:$AH$1001,0),1)&gt;=100000,INDEX($AO$1005:$BQ$1005,1,MATCH(COLUMNS($AO$1006:BB1006),$AO$1006:$BQ$1006,0))&gt;=100000), " ",IF(INDEX($AO$2:$BQ$1001,MATCH(ROWS($AH$2:AH119),$AH$2:$AH$1001,0),MATCH(COLUMNS($AO$1006:BB1006),$AO$1006:$BQ$1006,0)), HYPERLINK("#",""), HYPERLINK(CONCATENATE("#Metadata!", ADDRESS(INDEX($AJ$2:$AJ$1001,MATCH(ROWS($AH$2:AH119),$AH$2:$AH$1001,0),0), INDEX($AO$1004:$BQ$1004,1,MATCH(COLUMNS($AO$1006:BB1006),$AO$1006:$BQ$1006,0)))),"Fix")))</f>
        <v>#N/A</v>
      </c>
      <c r="P119" s="5" t="e">
        <f ca="1">IF(OR(INDEX($AI$2:$AI$1001,MATCH(ROWS($AH$2:AH119),$AH$2:$AH$1001,0),1)&gt;=100000,INDEX($AO$1005:$BQ$1005,1,MATCH(COLUMNS($AO$1006:BC1006),$AO$1006:$BQ$1006,0))&gt;=100000), " ",IF(INDEX($AO$2:$BQ$1001,MATCH(ROWS($AH$2:AH119),$AH$2:$AH$1001,0),MATCH(COLUMNS($AO$1006:BC1006),$AO$1006:$BQ$1006,0)), HYPERLINK("#",""), HYPERLINK(CONCATENATE("#Metadata!", ADDRESS(INDEX($AJ$2:$AJ$1001,MATCH(ROWS($AH$2:AH119),$AH$2:$AH$1001,0),0), INDEX($AO$1004:$BQ$1004,1,MATCH(COLUMNS($AO$1006:BC1006),$AO$1006:$BQ$1006,0)))),"Fix")))</f>
        <v>#N/A</v>
      </c>
      <c r="Q119" s="5" t="e">
        <f ca="1">IF(OR(INDEX($AI$2:$AI$1001,MATCH(ROWS($AH$2:AH119),$AH$2:$AH$1001,0),1)&gt;=100000,INDEX($AO$1005:$BQ$1005,1,MATCH(COLUMNS($AO$1006:BD1006),$AO$1006:$BQ$1006,0))&gt;=100000), " ",IF(INDEX($AO$2:$BQ$1001,MATCH(ROWS($AH$2:AH119),$AH$2:$AH$1001,0),MATCH(COLUMNS($AO$1006:BD1006),$AO$1006:$BQ$1006,0)), HYPERLINK("#",""), HYPERLINK(CONCATENATE("#Metadata!", ADDRESS(INDEX($AJ$2:$AJ$1001,MATCH(ROWS($AH$2:AH119),$AH$2:$AH$1001,0),0), INDEX($AO$1004:$BQ$1004,1,MATCH(COLUMNS($AO$1006:BD1006),$AO$1006:$BQ$1006,0)))),"Fix")))</f>
        <v>#N/A</v>
      </c>
      <c r="R119" s="5" t="e">
        <f ca="1">IF(OR(INDEX($AI$2:$AI$1001,MATCH(ROWS($AH$2:AH119),$AH$2:$AH$1001,0),1)&gt;=100000,INDEX($AO$1005:$BQ$1005,1,MATCH(COLUMNS($AO$1006:BE1006),$AO$1006:$BQ$1006,0))&gt;=100000), " ",IF(INDEX($AO$2:$BQ$1001,MATCH(ROWS($AH$2:AH119),$AH$2:$AH$1001,0),MATCH(COLUMNS($AO$1006:BE1006),$AO$1006:$BQ$1006,0)), HYPERLINK("#",""), HYPERLINK(CONCATENATE("#Metadata!", ADDRESS(INDEX($AJ$2:$AJ$1001,MATCH(ROWS($AH$2:AH119),$AH$2:$AH$1001,0),0), INDEX($AO$1004:$BQ$1004,1,MATCH(COLUMNS($AO$1006:BE1006),$AO$1006:$BQ$1006,0)))),"Fix")))</f>
        <v>#N/A</v>
      </c>
      <c r="S119" s="5" t="e">
        <f ca="1">IF(OR(INDEX($AI$2:$AI$1001,MATCH(ROWS($AH$2:AH119),$AH$2:$AH$1001,0),1)&gt;=100000,INDEX($AO$1005:$BQ$1005,1,MATCH(COLUMNS($AO$1006:BF1006),$AO$1006:$BQ$1006,0))&gt;=100000), " ",IF(INDEX($AO$2:$BQ$1001,MATCH(ROWS($AH$2:AH119),$AH$2:$AH$1001,0),MATCH(COLUMNS($AO$1006:BF1006),$AO$1006:$BQ$1006,0)), HYPERLINK("#",""), HYPERLINK(CONCATENATE("#Metadata!", ADDRESS(INDEX($AJ$2:$AJ$1001,MATCH(ROWS($AH$2:AH119),$AH$2:$AH$1001,0),0), INDEX($AO$1004:$BQ$1004,1,MATCH(COLUMNS($AO$1006:BF1006),$AO$1006:$BQ$1006,0)))),"Fix")))</f>
        <v>#N/A</v>
      </c>
      <c r="T119" s="5" t="e">
        <f ca="1">IF(OR(INDEX($AI$2:$AI$1001,MATCH(ROWS($AH$2:AH119),$AH$2:$AH$1001,0),1)&gt;=100000,INDEX($AO$1005:$BQ$1005,1,MATCH(COLUMNS($AO$1006:BG1006),$AO$1006:$BQ$1006,0))&gt;=100000), " ",IF(INDEX($AO$2:$BQ$1001,MATCH(ROWS($AH$2:AH119),$AH$2:$AH$1001,0),MATCH(COLUMNS($AO$1006:BG1006),$AO$1006:$BQ$1006,0)), HYPERLINK("#",""), HYPERLINK(CONCATENATE("#Metadata!", ADDRESS(INDEX($AJ$2:$AJ$1001,MATCH(ROWS($AH$2:AH119),$AH$2:$AH$1001,0),0), INDEX($AO$1004:$BQ$1004,1,MATCH(COLUMNS($AO$1006:BG1006),$AO$1006:$BQ$1006,0)))),"Fix")))</f>
        <v>#N/A</v>
      </c>
      <c r="U119" s="5" t="e">
        <f ca="1">IF(OR(INDEX($AI$2:$AI$1001,MATCH(ROWS($AH$2:AH119),$AH$2:$AH$1001,0),1)&gt;=100000,INDEX($AO$1005:$BQ$1005,1,MATCH(COLUMNS($AO$1006:BH1006),$AO$1006:$BQ$1006,0))&gt;=100000), " ",IF(INDEX($AO$2:$BQ$1001,MATCH(ROWS($AH$2:AH119),$AH$2:$AH$1001,0),MATCH(COLUMNS($AO$1006:BH1006),$AO$1006:$BQ$1006,0)), HYPERLINK("#",""), HYPERLINK(CONCATENATE("#Metadata!", ADDRESS(INDEX($AJ$2:$AJ$1001,MATCH(ROWS($AH$2:AH119),$AH$2:$AH$1001,0),0), INDEX($AO$1004:$BQ$1004,1,MATCH(COLUMNS($AO$1006:BH1006),$AO$1006:$BQ$1006,0)))),"Fix")))</f>
        <v>#N/A</v>
      </c>
      <c r="V119" s="5" t="e">
        <f ca="1">IF(OR(INDEX($AI$2:$AI$1001,MATCH(ROWS($AH$2:AH119),$AH$2:$AH$1001,0),1)&gt;=100000,INDEX($AO$1005:$BQ$1005,1,MATCH(COLUMNS($AO$1006:BI1006),$AO$1006:$BQ$1006,0))&gt;=100000), " ",IF(INDEX($AO$2:$BQ$1001,MATCH(ROWS($AH$2:AH119),$AH$2:$AH$1001,0),MATCH(COLUMNS($AO$1006:BI1006),$AO$1006:$BQ$1006,0)), HYPERLINK("#",""), HYPERLINK(CONCATENATE("#Metadata!", ADDRESS(INDEX($AJ$2:$AJ$1001,MATCH(ROWS($AH$2:AH119),$AH$2:$AH$1001,0),0), INDEX($AO$1004:$BQ$1004,1,MATCH(COLUMNS($AO$1006:BI1006),$AO$1006:$BQ$1006,0)))),"Fix")))</f>
        <v>#N/A</v>
      </c>
      <c r="W119" s="5" t="e">
        <f ca="1">IF(OR(INDEX($AI$2:$AI$1001,MATCH(ROWS($AH$2:AH119),$AH$2:$AH$1001,0),1)&gt;=100000,INDEX($AO$1005:$BQ$1005,1,MATCH(COLUMNS($AO$1006:BJ1006),$AO$1006:$BQ$1006,0))&gt;=100000), " ",IF(INDEX($AO$2:$BQ$1001,MATCH(ROWS($AH$2:AH119),$AH$2:$AH$1001,0),MATCH(COLUMNS($AO$1006:BJ1006),$AO$1006:$BQ$1006,0)), HYPERLINK("#",""), HYPERLINK(CONCATENATE("#Metadata!", ADDRESS(INDEX($AJ$2:$AJ$1001,MATCH(ROWS($AH$2:AH119),$AH$2:$AH$1001,0),0), INDEX($AO$1004:$BQ$1004,1,MATCH(COLUMNS($AO$1006:BJ1006),$AO$1006:$BQ$1006,0)))),"Fix")))</f>
        <v>#N/A</v>
      </c>
      <c r="X119" s="5" t="e">
        <f ca="1">IF(OR(INDEX($AI$2:$AI$1001,MATCH(ROWS($AH$2:AH119),$AH$2:$AH$1001,0),1)&gt;=100000,INDEX($AO$1005:$BQ$1005,1,MATCH(COLUMNS($AO$1006:BK1006),$AO$1006:$BQ$1006,0))&gt;=100000), " ",IF(INDEX($AO$2:$BQ$1001,MATCH(ROWS($AH$2:AH119),$AH$2:$AH$1001,0),MATCH(COLUMNS($AO$1006:BK1006),$AO$1006:$BQ$1006,0)), HYPERLINK("#",""), HYPERLINK(CONCATENATE("#Metadata!", ADDRESS(INDEX($AJ$2:$AJ$1001,MATCH(ROWS($AH$2:AH119),$AH$2:$AH$1001,0),0), INDEX($AO$1004:$BQ$1004,1,MATCH(COLUMNS($AO$1006:BK1006),$AO$1006:$BQ$1006,0)))),"Fix")))</f>
        <v>#N/A</v>
      </c>
      <c r="Y119" s="5" t="e">
        <f ca="1">IF(OR(INDEX($AI$2:$AI$1001,MATCH(ROWS($AH$2:AH119),$AH$2:$AH$1001,0),1)&gt;=100000,INDEX($AO$1005:$BQ$1005,1,MATCH(COLUMNS($AO$1006:BL1006),$AO$1006:$BQ$1006,0))&gt;=100000), " ",IF(INDEX($AO$2:$BQ$1001,MATCH(ROWS($AH$2:AH119),$AH$2:$AH$1001,0),MATCH(COLUMNS($AO$1006:BL1006),$AO$1006:$BQ$1006,0)), HYPERLINK("#",""), HYPERLINK(CONCATENATE("#Metadata!", ADDRESS(INDEX($AJ$2:$AJ$1001,MATCH(ROWS($AH$2:AH119),$AH$2:$AH$1001,0),0), INDEX($AO$1004:$BQ$1004,1,MATCH(COLUMNS($AO$1006:BL1006),$AO$1006:$BQ$1006,0)))),"Fix")))</f>
        <v>#N/A</v>
      </c>
      <c r="Z119" s="5" t="e">
        <f ca="1">IF(OR(INDEX($AI$2:$AI$1001,MATCH(ROWS($AH$2:AH119),$AH$2:$AH$1001,0),1)&gt;=100000,INDEX($AO$1005:$BQ$1005,1,MATCH(COLUMNS($AO$1006:BM1006),$AO$1006:$BQ$1006,0))&gt;=100000), " ",IF(INDEX($AO$2:$BQ$1001,MATCH(ROWS($AH$2:AH119),$AH$2:$AH$1001,0),MATCH(COLUMNS($AO$1006:BM1006),$AO$1006:$BQ$1006,0)), HYPERLINK("#",""), HYPERLINK(CONCATENATE("#Metadata!", ADDRESS(INDEX($AJ$2:$AJ$1001,MATCH(ROWS($AH$2:AH119),$AH$2:$AH$1001,0),0), INDEX($AO$1004:$BQ$1004,1,MATCH(COLUMNS($AO$1006:BM1006),$AO$1006:$BQ$1006,0)))),"Fix")))</f>
        <v>#N/A</v>
      </c>
      <c r="AA119" s="5" t="e">
        <f ca="1">IF(OR(INDEX($AI$2:$AI$1001,MATCH(ROWS($AH$2:AH119),$AH$2:$AH$1001,0),1)&gt;=100000,INDEX($AO$1005:$BQ$1005,1,MATCH(COLUMNS($AO$1006:BN1006),$AO$1006:$BQ$1006,0))&gt;=100000), " ",IF(INDEX($AO$2:$BQ$1001,MATCH(ROWS($AH$2:AH119),$AH$2:$AH$1001,0),MATCH(COLUMNS($AO$1006:BN1006),$AO$1006:$BQ$1006,0)), HYPERLINK("#",""), HYPERLINK(CONCATENATE("#Metadata!", ADDRESS(INDEX($AJ$2:$AJ$1001,MATCH(ROWS($AH$2:AH119),$AH$2:$AH$1001,0),0), INDEX($AO$1004:$BQ$1004,1,MATCH(COLUMNS($AO$1006:BN1006),$AO$1006:$BQ$1006,0)))),"Fix")))</f>
        <v>#N/A</v>
      </c>
      <c r="AB119" s="5" t="e">
        <f ca="1">IF(OR(INDEX($AI$2:$AI$1001,MATCH(ROWS($AH$2:AH119),$AH$2:$AH$1001,0),1)&gt;=100000,INDEX($AO$1005:$BQ$1005,1,MATCH(COLUMNS($AO$1006:BO1006),$AO$1006:$BQ$1006,0))&gt;=100000), " ",IF(INDEX($AO$2:$BQ$1001,MATCH(ROWS($AH$2:AH119),$AH$2:$AH$1001,0),MATCH(COLUMNS($AO$1006:BO1006),$AO$1006:$BQ$1006,0)), HYPERLINK("#",""), HYPERLINK(CONCATENATE("#Metadata!", ADDRESS(INDEX($AJ$2:$AJ$1001,MATCH(ROWS($AH$2:AH119),$AH$2:$AH$1001,0),0), INDEX($AO$1004:$BQ$1004,1,MATCH(COLUMNS($AO$1006:BO1006),$AO$1006:$BQ$1006,0)))),"Fix")))</f>
        <v>#N/A</v>
      </c>
      <c r="AC119" s="5" t="e">
        <f ca="1">IF(OR(INDEX($AI$2:$AI$1001,MATCH(ROWS($AH$2:AH119),$AH$2:$AH$1001,0),1)&gt;=100000,INDEX($AO$1005:$BQ$1005,1,MATCH(COLUMNS($AO$1006:BP1006),$AO$1006:$BQ$1006,0))&gt;=100000), " ",IF(INDEX($AO$2:$BQ$1001,MATCH(ROWS($AH$2:AH119),$AH$2:$AH$1001,0),MATCH(COLUMNS($AO$1006:BP1006),$AO$1006:$BQ$1006,0)), HYPERLINK("#",""), HYPERLINK(CONCATENATE("#Metadata!", ADDRESS(INDEX($AJ$2:$AJ$1001,MATCH(ROWS($AH$2:AH119),$AH$2:$AH$1001,0),0), INDEX($AO$1004:$BQ$1004,1,MATCH(COLUMNS($AO$1006:BP1006),$AO$1006:$BQ$1006,0)))),"Fix")))</f>
        <v>#N/A</v>
      </c>
      <c r="AD119" s="5" t="e">
        <f ca="1">IF(OR(INDEX($AI$2:$AI$1001,MATCH(ROWS($AH$2:AH119),$AH$2:$AH$1001,0),1)&gt;=100000,INDEX($AO$1005:$BQ$1005,1,MATCH(COLUMNS($AO$1006:BQ1006),$AO$1006:$BQ$1006,0))&gt;=100000), " ",IF(INDEX($AO$2:$BQ$1001,MATCH(ROWS($AH$2:AH119),$AH$2:$AH$1001,0),MATCH(COLUMNS($AO$1006:BQ1006),$AO$1006:$BQ$1006,0)), HYPERLINK("#",""), HYPERLINK(CONCATENATE("#Metadata!", ADDRESS(INDEX($AJ$2:$AJ$1001,MATCH(ROWS($AH$2:AH119),$AH$2:$AH$1001,0),0), INDEX($AO$1004:$BQ$1004,1,MATCH(COLUMNS($AO$1006:BQ1006),$AO$1006:$BQ$1006,0)))),"Fix")))</f>
        <v>#REF!</v>
      </c>
      <c r="AH119">
        <f ca="1"/>
        <v>116</v>
      </c>
      <c r="AI119">
        <v>100119</v>
      </c>
      <c r="AJ119">
        <v>119</v>
      </c>
      <c r="AK119" t="b">
        <f t="shared" si="1"/>
        <v>1</v>
      </c>
      <c r="AL119" t="b">
        <f>COUNTBLANK(Metadata!B119:AD119)=COLUMNS(Metadata!B119:AD119)</f>
        <v>1</v>
      </c>
      <c r="AM119" t="str">
        <v/>
      </c>
      <c r="AO119" t="b">
        <f ca="1">AND(IF(Metadata!B119="",FALSE,TRUE),COUNTIF(Metadata!B:B, Metadata!B119) = 1,NOT(ISERROR(SUMPRODUCT(SEARCH(MID(Metadata!B119,ROW(INDIRECT("1:"&amp;LEN(Metadata!B119))), 1),"0123456789abcdefghijklmnopqrstuvwxyzABCDEFGHIJKLMNOPQRSTUVWXYZ.")))))</f>
        <v>0</v>
      </c>
      <c r="AP119" t="b">
        <f>IF(Metadata!C119="",FALSE,TRUE)</f>
        <v>0</v>
      </c>
      <c r="AQ119" t="b">
        <f>IF(Metadata!D119="",FALSE,TRUE)</f>
        <v>0</v>
      </c>
      <c r="AR119" t="b">
        <f ca="1">OR(AND(IF(Metadata!E119="",FALSE,TRUE),OR(EXACT(Metadata!E119,"not collected"),EXACT(Metadata!E119,"not provided"),EXACT(Metadata!E119,"restricted access"))),AND(IF(Metadata!E119="",FALSE,TRUE),AND(AND(IFERROR(INT(LEFT(Metadata!E119,4))&gt;1900,FALSE),IFERROR(INT(LEFT(Metadata!E119,4))&lt;=YEAR(NOW()),FALSE)), OR(MID(Metadata!E119,5,1)="", AND(AND(MID(Metadata!E119,5,1)="-",IFERROR(INT(MID(Metadata!E119,6,1))&gt;=0,FALSE),IFERROR(INT(MID(Metadata!E119,6,1))&lt;=1,FALSE),NOT(MID(Metadata!E119,7,1)=""),IFERROR(INT(MID(Metadata!E119,6,2))&gt;=1,FALSE),IFERROR(INT(MID(Metadata!E119,6,2))&lt;=12,FALSE)), OR(MID(Metadata!E119,8,1)="", AND(AND(MID(Metadata!E119,8,1)="-",IFERROR(INT(MID(Metadata!E119,9,1))&gt;=0,FALSE),IFERROR(INT(MID(Metadata!E119,9,1))&lt;=3,FALSE),NOT(MID(Metadata!E119,10,1)=""),IFERROR(INT(MID(Metadata!E119,9,2))&gt;=1,FALSE),IFERROR(INT(MID(Metadata!E119,9,2))&lt;=31,FALSE)), OR(MID(Metadata!E119,11,1)="", AND(AND(MID(Metadata!E119,11,1)=" ",IFERROR(INT(MID(Metadata!E119,12,1))&gt;=0,FALSE),IFERROR(INT(MID(Metadata!E119,12,1))&lt;=2,FALSE),NOT(MID(Metadata!E119,13,1)=""),IFERROR(INT(MID(Metadata!E119,12,2))&gt;=0,FALSE),IFERROR(INT(MID(Metadata!E119,12,2))&lt;=23,FALSE)), OR(MID(Metadata!E119,14,1)="", AND(AND(MID(Metadata!E119,14,1)=":",IFERROR(INT(MID(Metadata!E119,15,1))&gt;=0,FALSE),IFERROR(INT(MID(Metadata!E119,15,1))&lt;=5,FALSE),NOT(MID(Metadata!E119,16,1)=""),IFERROR(INT(MID(Metadata!E119,15,2))&gt;=0,FALSE),IFERROR(INT(MID(Metadata!E119,15,2))&lt;=59,FALSE)), OR(MID(Metadata!E119,17,1)="", AND(AND(MID(Metadata!E119,17,1)=":",IFERROR(INT(MID(Metadata!E119,18,1))&gt;=0,FALSE),IFERROR(INT(MID(Metadata!E119,18,1))&lt;=5,FALSE),NOT(MID(Metadata!E119,19,1)=""),IFERROR(INT(MID(Metadata!E119,18,2))&gt;=0,FALSE),IFERROR(INT(MID(Metadata!E119,18,2))&lt;=59,FALSE)), LEN(Metadata!E119)&lt;=19)))))))))))))</f>
        <v>0</v>
      </c>
      <c r="AS119" t="b">
        <f>IF(Metadata!F119="",FALSE,TRUE)</f>
        <v>0</v>
      </c>
      <c r="AT119" t="b">
        <f>OR(AND(IF(Metadata!G119="",FALSE,TRUE),OR(EXACT(Metadata!G119,"not collected"),EXACT(Metadata!G119,"not provided"))),AND(IF(Metadata!G119="",FALSE,TRUE),OR(EXACT(Metadata!G119,"TRUE"),EXACT(Metadata!G119,"FALSE"))))</f>
        <v>0</v>
      </c>
      <c r="AU119" t="b">
        <f>OR(AND(IF(Metadata!H119="",FALSE,TRUE),OR(EXACT(Metadata!H119,"not collected"),EXACT(Metadata!H119,"not provided"),EXACT(Metadata!H119,"restricted access"))),AND(IF(Metadata!H119="",FALSE,ISNUMBER(VALUE(Metadata!H119))),Metadata!H119&gt;=-413))</f>
        <v>0</v>
      </c>
      <c r="AV119" t="b">
        <f>AND(IF(Metadata!I119="",FALSE,TRUE),EXACT(Metadata!I119,"meters"))</f>
        <v>0</v>
      </c>
      <c r="AW119" t="b">
        <f>AND(IF(Metadata!J119="",FALSE,TRUE),EXACT(Metadata!J119,"free-living"))</f>
        <v>0</v>
      </c>
      <c r="AX119" t="b">
        <f>AND(IF(Metadata!K119="",FALSE,TRUE),OR(EXACT(Metadata!K119,"saline"),EXACT(Metadata!K119,"non-saline")))</f>
        <v>0</v>
      </c>
      <c r="AY119" t="b">
        <f>AND(IF(Metadata!L119="",FALSE,TRUE),OR(EXACT(Metadata!L119,"sub-surface (non-saline)"),EXACT(Metadata!L119,"surface (non-saline)"),EXACT(Metadata!L119,"water (non-saline)"),EXACT(Metadata!L119,"soil (non-saline)"),EXACT(Metadata!L119,"aerosol (non-saline)"),EXACT(Metadata!L119,"sediment (non-saline)"),EXACT(Metadata!L119,"surface (saline)"),EXACT(Metadata!L119,"water (saline)"),EXACT(Metadata!L119,"hypersaline (saline)"),EXACT(Metadata!L119,"aerosol (saline)"),EXACT(Metadata!L119,"sediment (saline)")))</f>
        <v>0</v>
      </c>
      <c r="AZ119" t="b">
        <f>IF(Metadata!M119="",FALSE,TRUE)</f>
        <v>0</v>
      </c>
      <c r="BA119" t="b">
        <f>IF(Metadata!N119="",FALSE,TRUE)</f>
        <v>0</v>
      </c>
      <c r="BB119" t="b">
        <f>IF(Metadata!O119="",FALSE,TRUE)</f>
        <v>0</v>
      </c>
      <c r="BC119" t="b">
        <f>AND(IF(Metadata!P119="",FALSE,TRUE),OR(EXACT(Metadata!P119,"air"),EXACT(Metadata!P119,"microbial mat/biofilm"),EXACT(Metadata!P119,"misc environment"),EXACT(Metadata!P119,"sediment"),EXACT(Metadata!P119,"soil"),EXACT(Metadata!P119,"wastewater/sludge"),EXACT(Metadata!P119,"water")))</f>
        <v>0</v>
      </c>
      <c r="BD119" t="b">
        <f>IF(Metadata!Q119="",FALSE,TRUE)</f>
        <v>0</v>
      </c>
      <c r="BE119" t="b">
        <f>IF(Metadata!R119="",FALSE,TRUE)</f>
        <v>0</v>
      </c>
      <c r="BF119" t="b">
        <f>OR(AND(IF(Metadata!S119="",FALSE,TRUE),OR(EXACT(Metadata!S119,"not collected"),EXACT(Metadata!S119,"not provided"),EXACT(Metadata!S119,"restricted access"))),AND(IF(Metadata!S119="",FALSE,ISNUMBER(VALUE(Metadata!S119))),Metadata!S119&gt;=-90,Metadata!S119&lt;=90))</f>
        <v>0</v>
      </c>
      <c r="BG119" t="b">
        <f>AND(IF(Metadata!T119="",FALSE,TRUE),EXACT(Metadata!T119,"Decimal degrees"))</f>
        <v>0</v>
      </c>
      <c r="BH119" t="b">
        <f>OR(AND(IF(Metadata!U119="",FALSE,TRUE),OR(EXACT(Metadata!U119,"not applicable"),EXACT(Metadata!U119,"not collected"))),IF(Metadata!U119="",FALSE,TRUE))</f>
        <v>0</v>
      </c>
      <c r="BI119" t="b">
        <f>OR(AND(IF(Metadata!V119="",FALSE,TRUE),OR(EXACT(Metadata!V119,"not collected"),EXACT(Metadata!V119,"not provided"),EXACT(Metadata!V119,"restricted access"))),AND(IF(Metadata!V119="",FALSE,ISNUMBER(VALUE(Metadata!V119))),Metadata!V119&gt;=-180,Metadata!V119&lt;=180))</f>
        <v>0</v>
      </c>
      <c r="BJ119" t="b">
        <f>AND(IF(Metadata!W119="",FALSE,TRUE),EXACT(Metadata!W119,"Decimal degrees"))</f>
        <v>0</v>
      </c>
      <c r="BK119" t="b">
        <f>IF(Metadata!X119="",FALSE,TRUE)</f>
        <v>0</v>
      </c>
      <c r="BL119" t="b">
        <f>OR(AND(IF(Metadata!Y119="",FALSE,TRUE),OR(EXACT(Metadata!Y119,"not collected"),EXACT(Metadata!Y119,"not provided"),EXACT(Metadata!Y119,"restricted access"))),AND(IF(Metadata!Y119="",FALSE,TRUE),OR(EXACT(Metadata!Y119,"TRUE"),EXACT(Metadata!Y119,"FALSE"))))</f>
        <v>0</v>
      </c>
      <c r="BM119" t="b">
        <f>OR(AND(IF(Metadata!Z119="",FALSE,TRUE),EXACT(Metadata!Z119,"not applicable")),AND(IF(Metadata!Z119="",FALSE,TRUE),OR(EXACT(Metadata!Z119,"beer"),EXACT(Metadata!Z119,"cheese"),EXACT(Metadata!Z119,"fresh water"),EXACT(Metadata!Z119,"marine sediment"),EXACT(Metadata!Z119,"sea water"),EXACT(Metadata!Z119,"sediment"),EXACT(Metadata!Z119,"soil"),EXACT(Metadata!Z119,"waste water"))))</f>
        <v>0</v>
      </c>
      <c r="BN119" t="b">
        <f>AND(IF(Metadata!AA119="",FALSE,TRUE),EXACT(Metadata!AA119,"metagenome"))</f>
        <v>0</v>
      </c>
      <c r="BO119" t="b">
        <f>AND(IF(Metadata!AB119="",FALSE,TRUE),EXACT(Metadata!AB119,"256318"))</f>
        <v>0</v>
      </c>
      <c r="BP119" t="b">
        <f>IF(Metadata!AC119="",FALSE,TRUE)</f>
        <v>0</v>
      </c>
      <c r="BQ119" t="b">
        <f>IF(Metadata!AD119="",FALSE,TRUE)</f>
        <v>0</v>
      </c>
    </row>
    <row r="120" spans="1:69" x14ac:dyDescent="0.2">
      <c r="A120" s="4" t="e">
        <f ca="1">IF(B120=" "," ",HYPERLINK(CONCATENATE("#metadata!",ADDRESS(INDEX($AJ$2:$AJ$1001,MATCH(ROWS($AH$2:AH120),$AH$2:$AH$1001,0),0),2)),INDEX($AM$2:$AM$1001,MATCH(ROWS($AH$2:AH120),$AH$2:$AH$1001,0),0)))</f>
        <v>#N/A</v>
      </c>
      <c r="B120" s="5" t="e">
        <f ca="1">IF(OR(INDEX($AI$2:$AI$1001,MATCH(ROWS($AH$2:AH120),$AH$2:$AH$1001,0),1)&gt;=100000,INDEX($AO$1005:$BQ$1005,1,MATCH(COLUMNS($AO$1006:AO1006),$AO$1006:$BQ$1006,0))&gt;=100000), " ",IF(INDEX($AO$2:$BQ$1001,MATCH(ROWS($AH$2:AH120),$AH$2:$AH$1001,0),MATCH(COLUMNS($AO$1006:AO1006),$AO$1006:$BQ$1006,0)), HYPERLINK("#",""), HYPERLINK(CONCATENATE("#Metadata!", ADDRESS(INDEX($AJ$2:$AJ$1001,MATCH(ROWS($AH$2:AH120),$AH$2:$AH$1001,0),0), INDEX($AO$1004:$BQ$1004,1,MATCH(COLUMNS($AO$1006:AO1006),$AO$1006:$BQ$1006,0)))),"Fix")))</f>
        <v>#N/A</v>
      </c>
      <c r="C120" s="5" t="e">
        <f ca="1">IF(OR(INDEX($AI$2:$AI$1001,MATCH(ROWS($AH$2:AH120),$AH$2:$AH$1001,0),1)&gt;=100000,INDEX($AO$1005:$BQ$1005,1,MATCH(COLUMNS($AO$1006:AP1006),$AO$1006:$BQ$1006,0))&gt;=100000), " ",IF(INDEX($AO$2:$BQ$1001,MATCH(ROWS($AH$2:AH120),$AH$2:$AH$1001,0),MATCH(COLUMNS($AO$1006:AP1006),$AO$1006:$BQ$1006,0)), HYPERLINK("#",""), HYPERLINK(CONCATENATE("#Metadata!", ADDRESS(INDEX($AJ$2:$AJ$1001,MATCH(ROWS($AH$2:AH120),$AH$2:$AH$1001,0),0), INDEX($AO$1004:$BQ$1004,1,MATCH(COLUMNS($AO$1006:AP1006),$AO$1006:$BQ$1006,0)))),"Fix")))</f>
        <v>#N/A</v>
      </c>
      <c r="D120" s="5" t="e">
        <f ca="1">IF(OR(INDEX($AI$2:$AI$1001,MATCH(ROWS($AH$2:AH120),$AH$2:$AH$1001,0),1)&gt;=100000,INDEX($AO$1005:$BQ$1005,1,MATCH(COLUMNS($AO$1006:AQ1006),$AO$1006:$BQ$1006,0))&gt;=100000), " ",IF(INDEX($AO$2:$BQ$1001,MATCH(ROWS($AH$2:AH120),$AH$2:$AH$1001,0),MATCH(COLUMNS($AO$1006:AQ1006),$AO$1006:$BQ$1006,0)), HYPERLINK("#",""), HYPERLINK(CONCATENATE("#Metadata!", ADDRESS(INDEX($AJ$2:$AJ$1001,MATCH(ROWS($AH$2:AH120),$AH$2:$AH$1001,0),0), INDEX($AO$1004:$BQ$1004,1,MATCH(COLUMNS($AO$1006:AQ1006),$AO$1006:$BQ$1006,0)))),"Fix")))</f>
        <v>#N/A</v>
      </c>
      <c r="E120" s="5" t="e">
        <f ca="1">IF(OR(INDEX($AI$2:$AI$1001,MATCH(ROWS($AH$2:AH120),$AH$2:$AH$1001,0),1)&gt;=100000,INDEX($AO$1005:$BQ$1005,1,MATCH(COLUMNS($AO$1006:AR1006),$AO$1006:$BQ$1006,0))&gt;=100000), " ",IF(INDEX($AO$2:$BQ$1001,MATCH(ROWS($AH$2:AH120),$AH$2:$AH$1001,0),MATCH(COLUMNS($AO$1006:AR1006),$AO$1006:$BQ$1006,0)), HYPERLINK("#",""), HYPERLINK(CONCATENATE("#Metadata!", ADDRESS(INDEX($AJ$2:$AJ$1001,MATCH(ROWS($AH$2:AH120),$AH$2:$AH$1001,0),0), INDEX($AO$1004:$BQ$1004,1,MATCH(COLUMNS($AO$1006:AR1006),$AO$1006:$BQ$1006,0)))),"Fix")))</f>
        <v>#N/A</v>
      </c>
      <c r="F120" s="5" t="e">
        <f ca="1">IF(OR(INDEX($AI$2:$AI$1001,MATCH(ROWS($AH$2:AH120),$AH$2:$AH$1001,0),1)&gt;=100000,INDEX($AO$1005:$BQ$1005,1,MATCH(COLUMNS($AO$1006:AS1006),$AO$1006:$BQ$1006,0))&gt;=100000), " ",IF(INDEX($AO$2:$BQ$1001,MATCH(ROWS($AH$2:AH120),$AH$2:$AH$1001,0),MATCH(COLUMNS($AO$1006:AS1006),$AO$1006:$BQ$1006,0)), HYPERLINK("#",""), HYPERLINK(CONCATENATE("#Metadata!", ADDRESS(INDEX($AJ$2:$AJ$1001,MATCH(ROWS($AH$2:AH120),$AH$2:$AH$1001,0),0), INDEX($AO$1004:$BQ$1004,1,MATCH(COLUMNS($AO$1006:AS1006),$AO$1006:$BQ$1006,0)))),"Fix")))</f>
        <v>#N/A</v>
      </c>
      <c r="G120" s="5" t="e">
        <f ca="1">IF(OR(INDEX($AI$2:$AI$1001,MATCH(ROWS($AH$2:AH120),$AH$2:$AH$1001,0),1)&gt;=100000,INDEX($AO$1005:$BQ$1005,1,MATCH(COLUMNS($AO$1006:AT1006),$AO$1006:$BQ$1006,0))&gt;=100000), " ",IF(INDEX($AO$2:$BQ$1001,MATCH(ROWS($AH$2:AH120),$AH$2:$AH$1001,0),MATCH(COLUMNS($AO$1006:AT1006),$AO$1006:$BQ$1006,0)), HYPERLINK("#",""), HYPERLINK(CONCATENATE("#Metadata!", ADDRESS(INDEX($AJ$2:$AJ$1001,MATCH(ROWS($AH$2:AH120),$AH$2:$AH$1001,0),0), INDEX($AO$1004:$BQ$1004,1,MATCH(COLUMNS($AO$1006:AT1006),$AO$1006:$BQ$1006,0)))),"Fix")))</f>
        <v>#N/A</v>
      </c>
      <c r="H120" s="5" t="e">
        <f ca="1">IF(OR(INDEX($AI$2:$AI$1001,MATCH(ROWS($AH$2:AH120),$AH$2:$AH$1001,0),1)&gt;=100000,INDEX($AO$1005:$BQ$1005,1,MATCH(COLUMNS($AO$1006:AU1006),$AO$1006:$BQ$1006,0))&gt;=100000), " ",IF(INDEX($AO$2:$BQ$1001,MATCH(ROWS($AH$2:AH120),$AH$2:$AH$1001,0),MATCH(COLUMNS($AO$1006:AU1006),$AO$1006:$BQ$1006,0)), HYPERLINK("#",""), HYPERLINK(CONCATENATE("#Metadata!", ADDRESS(INDEX($AJ$2:$AJ$1001,MATCH(ROWS($AH$2:AH120),$AH$2:$AH$1001,0),0), INDEX($AO$1004:$BQ$1004,1,MATCH(COLUMNS($AO$1006:AU1006),$AO$1006:$BQ$1006,0)))),"Fix")))</f>
        <v>#N/A</v>
      </c>
      <c r="I120" s="5" t="e">
        <f ca="1">IF(OR(INDEX($AI$2:$AI$1001,MATCH(ROWS($AH$2:AH120),$AH$2:$AH$1001,0),1)&gt;=100000,INDEX($AO$1005:$BQ$1005,1,MATCH(COLUMNS($AO$1006:AV1006),$AO$1006:$BQ$1006,0))&gt;=100000), " ",IF(INDEX($AO$2:$BQ$1001,MATCH(ROWS($AH$2:AH120),$AH$2:$AH$1001,0),MATCH(COLUMNS($AO$1006:AV1006),$AO$1006:$BQ$1006,0)), HYPERLINK("#",""), HYPERLINK(CONCATENATE("#Metadata!", ADDRESS(INDEX($AJ$2:$AJ$1001,MATCH(ROWS($AH$2:AH120),$AH$2:$AH$1001,0),0), INDEX($AO$1004:$BQ$1004,1,MATCH(COLUMNS($AO$1006:AV1006),$AO$1006:$BQ$1006,0)))),"Fix")))</f>
        <v>#N/A</v>
      </c>
      <c r="J120" s="5" t="e">
        <f ca="1">IF(OR(INDEX($AI$2:$AI$1001,MATCH(ROWS($AH$2:AH120),$AH$2:$AH$1001,0),1)&gt;=100000,INDEX($AO$1005:$BQ$1005,1,MATCH(COLUMNS($AO$1006:AW1006),$AO$1006:$BQ$1006,0))&gt;=100000), " ",IF(INDEX($AO$2:$BQ$1001,MATCH(ROWS($AH$2:AH120),$AH$2:$AH$1001,0),MATCH(COLUMNS($AO$1006:AW1006),$AO$1006:$BQ$1006,0)), HYPERLINK("#",""), HYPERLINK(CONCATENATE("#Metadata!", ADDRESS(INDEX($AJ$2:$AJ$1001,MATCH(ROWS($AH$2:AH120),$AH$2:$AH$1001,0),0), INDEX($AO$1004:$BQ$1004,1,MATCH(COLUMNS($AO$1006:AW1006),$AO$1006:$BQ$1006,0)))),"Fix")))</f>
        <v>#N/A</v>
      </c>
      <c r="K120" s="5" t="e">
        <f ca="1">IF(OR(INDEX($AI$2:$AI$1001,MATCH(ROWS($AH$2:AH120),$AH$2:$AH$1001,0),1)&gt;=100000,INDEX($AO$1005:$BQ$1005,1,MATCH(COLUMNS($AO$1006:AX1006),$AO$1006:$BQ$1006,0))&gt;=100000), " ",IF(INDEX($AO$2:$BQ$1001,MATCH(ROWS($AH$2:AH120),$AH$2:$AH$1001,0),MATCH(COLUMNS($AO$1006:AX1006),$AO$1006:$BQ$1006,0)), HYPERLINK("#",""), HYPERLINK(CONCATENATE("#Metadata!", ADDRESS(INDEX($AJ$2:$AJ$1001,MATCH(ROWS($AH$2:AH120),$AH$2:$AH$1001,0),0), INDEX($AO$1004:$BQ$1004,1,MATCH(COLUMNS($AO$1006:AX1006),$AO$1006:$BQ$1006,0)))),"Fix")))</f>
        <v>#N/A</v>
      </c>
      <c r="L120" s="5" t="e">
        <f ca="1">IF(OR(INDEX($AI$2:$AI$1001,MATCH(ROWS($AH$2:AH120),$AH$2:$AH$1001,0),1)&gt;=100000,INDEX($AO$1005:$BQ$1005,1,MATCH(COLUMNS($AO$1006:AY1006),$AO$1006:$BQ$1006,0))&gt;=100000), " ",IF(INDEX($AO$2:$BQ$1001,MATCH(ROWS($AH$2:AH120),$AH$2:$AH$1001,0),MATCH(COLUMNS($AO$1006:AY1006),$AO$1006:$BQ$1006,0)), HYPERLINK("#",""), HYPERLINK(CONCATENATE("#Metadata!", ADDRESS(INDEX($AJ$2:$AJ$1001,MATCH(ROWS($AH$2:AH120),$AH$2:$AH$1001,0),0), INDEX($AO$1004:$BQ$1004,1,MATCH(COLUMNS($AO$1006:AY1006),$AO$1006:$BQ$1006,0)))),"Fix")))</f>
        <v>#N/A</v>
      </c>
      <c r="M120" s="5" t="e">
        <f ca="1">IF(OR(INDEX($AI$2:$AI$1001,MATCH(ROWS($AH$2:AH120),$AH$2:$AH$1001,0),1)&gt;=100000,INDEX($AO$1005:$BQ$1005,1,MATCH(COLUMNS($AO$1006:AZ1006),$AO$1006:$BQ$1006,0))&gt;=100000), " ",IF(INDEX($AO$2:$BQ$1001,MATCH(ROWS($AH$2:AH120),$AH$2:$AH$1001,0),MATCH(COLUMNS($AO$1006:AZ1006),$AO$1006:$BQ$1006,0)), HYPERLINK("#",""), HYPERLINK(CONCATENATE("#Metadata!", ADDRESS(INDEX($AJ$2:$AJ$1001,MATCH(ROWS($AH$2:AH120),$AH$2:$AH$1001,0),0), INDEX($AO$1004:$BQ$1004,1,MATCH(COLUMNS($AO$1006:AZ1006),$AO$1006:$BQ$1006,0)))),"Fix")))</f>
        <v>#N/A</v>
      </c>
      <c r="N120" s="5" t="e">
        <f ca="1">IF(OR(INDEX($AI$2:$AI$1001,MATCH(ROWS($AH$2:AH120),$AH$2:$AH$1001,0),1)&gt;=100000,INDEX($AO$1005:$BQ$1005,1,MATCH(COLUMNS($AO$1006:BA1006),$AO$1006:$BQ$1006,0))&gt;=100000), " ",IF(INDEX($AO$2:$BQ$1001,MATCH(ROWS($AH$2:AH120),$AH$2:$AH$1001,0),MATCH(COLUMNS($AO$1006:BA1006),$AO$1006:$BQ$1006,0)), HYPERLINK("#",""), HYPERLINK(CONCATENATE("#Metadata!", ADDRESS(INDEX($AJ$2:$AJ$1001,MATCH(ROWS($AH$2:AH120),$AH$2:$AH$1001,0),0), INDEX($AO$1004:$BQ$1004,1,MATCH(COLUMNS($AO$1006:BA1006),$AO$1006:$BQ$1006,0)))),"Fix")))</f>
        <v>#N/A</v>
      </c>
      <c r="O120" s="5" t="e">
        <f ca="1">IF(OR(INDEX($AI$2:$AI$1001,MATCH(ROWS($AH$2:AH120),$AH$2:$AH$1001,0),1)&gt;=100000,INDEX($AO$1005:$BQ$1005,1,MATCH(COLUMNS($AO$1006:BB1006),$AO$1006:$BQ$1006,0))&gt;=100000), " ",IF(INDEX($AO$2:$BQ$1001,MATCH(ROWS($AH$2:AH120),$AH$2:$AH$1001,0),MATCH(COLUMNS($AO$1006:BB1006),$AO$1006:$BQ$1006,0)), HYPERLINK("#",""), HYPERLINK(CONCATENATE("#Metadata!", ADDRESS(INDEX($AJ$2:$AJ$1001,MATCH(ROWS($AH$2:AH120),$AH$2:$AH$1001,0),0), INDEX($AO$1004:$BQ$1004,1,MATCH(COLUMNS($AO$1006:BB1006),$AO$1006:$BQ$1006,0)))),"Fix")))</f>
        <v>#N/A</v>
      </c>
      <c r="P120" s="5" t="e">
        <f ca="1">IF(OR(INDEX($AI$2:$AI$1001,MATCH(ROWS($AH$2:AH120),$AH$2:$AH$1001,0),1)&gt;=100000,INDEX($AO$1005:$BQ$1005,1,MATCH(COLUMNS($AO$1006:BC1006),$AO$1006:$BQ$1006,0))&gt;=100000), " ",IF(INDEX($AO$2:$BQ$1001,MATCH(ROWS($AH$2:AH120),$AH$2:$AH$1001,0),MATCH(COLUMNS($AO$1006:BC1006),$AO$1006:$BQ$1006,0)), HYPERLINK("#",""), HYPERLINK(CONCATENATE("#Metadata!", ADDRESS(INDEX($AJ$2:$AJ$1001,MATCH(ROWS($AH$2:AH120),$AH$2:$AH$1001,0),0), INDEX($AO$1004:$BQ$1004,1,MATCH(COLUMNS($AO$1006:BC1006),$AO$1006:$BQ$1006,0)))),"Fix")))</f>
        <v>#N/A</v>
      </c>
      <c r="Q120" s="5" t="e">
        <f ca="1">IF(OR(INDEX($AI$2:$AI$1001,MATCH(ROWS($AH$2:AH120),$AH$2:$AH$1001,0),1)&gt;=100000,INDEX($AO$1005:$BQ$1005,1,MATCH(COLUMNS($AO$1006:BD1006),$AO$1006:$BQ$1006,0))&gt;=100000), " ",IF(INDEX($AO$2:$BQ$1001,MATCH(ROWS($AH$2:AH120),$AH$2:$AH$1001,0),MATCH(COLUMNS($AO$1006:BD1006),$AO$1006:$BQ$1006,0)), HYPERLINK("#",""), HYPERLINK(CONCATENATE("#Metadata!", ADDRESS(INDEX($AJ$2:$AJ$1001,MATCH(ROWS($AH$2:AH120),$AH$2:$AH$1001,0),0), INDEX($AO$1004:$BQ$1004,1,MATCH(COLUMNS($AO$1006:BD1006),$AO$1006:$BQ$1006,0)))),"Fix")))</f>
        <v>#N/A</v>
      </c>
      <c r="R120" s="5" t="e">
        <f ca="1">IF(OR(INDEX($AI$2:$AI$1001,MATCH(ROWS($AH$2:AH120),$AH$2:$AH$1001,0),1)&gt;=100000,INDEX($AO$1005:$BQ$1005,1,MATCH(COLUMNS($AO$1006:BE1006),$AO$1006:$BQ$1006,0))&gt;=100000), " ",IF(INDEX($AO$2:$BQ$1001,MATCH(ROWS($AH$2:AH120),$AH$2:$AH$1001,0),MATCH(COLUMNS($AO$1006:BE1006),$AO$1006:$BQ$1006,0)), HYPERLINK("#",""), HYPERLINK(CONCATENATE("#Metadata!", ADDRESS(INDEX($AJ$2:$AJ$1001,MATCH(ROWS($AH$2:AH120),$AH$2:$AH$1001,0),0), INDEX($AO$1004:$BQ$1004,1,MATCH(COLUMNS($AO$1006:BE1006),$AO$1006:$BQ$1006,0)))),"Fix")))</f>
        <v>#N/A</v>
      </c>
      <c r="S120" s="5" t="e">
        <f ca="1">IF(OR(INDEX($AI$2:$AI$1001,MATCH(ROWS($AH$2:AH120),$AH$2:$AH$1001,0),1)&gt;=100000,INDEX($AO$1005:$BQ$1005,1,MATCH(COLUMNS($AO$1006:BF1006),$AO$1006:$BQ$1006,0))&gt;=100000), " ",IF(INDEX($AO$2:$BQ$1001,MATCH(ROWS($AH$2:AH120),$AH$2:$AH$1001,0),MATCH(COLUMNS($AO$1006:BF1006),$AO$1006:$BQ$1006,0)), HYPERLINK("#",""), HYPERLINK(CONCATENATE("#Metadata!", ADDRESS(INDEX($AJ$2:$AJ$1001,MATCH(ROWS($AH$2:AH120),$AH$2:$AH$1001,0),0), INDEX($AO$1004:$BQ$1004,1,MATCH(COLUMNS($AO$1006:BF1006),$AO$1006:$BQ$1006,0)))),"Fix")))</f>
        <v>#N/A</v>
      </c>
      <c r="T120" s="5" t="e">
        <f ca="1">IF(OR(INDEX($AI$2:$AI$1001,MATCH(ROWS($AH$2:AH120),$AH$2:$AH$1001,0),1)&gt;=100000,INDEX($AO$1005:$BQ$1005,1,MATCH(COLUMNS($AO$1006:BG1006),$AO$1006:$BQ$1006,0))&gt;=100000), " ",IF(INDEX($AO$2:$BQ$1001,MATCH(ROWS($AH$2:AH120),$AH$2:$AH$1001,0),MATCH(COLUMNS($AO$1006:BG1006),$AO$1006:$BQ$1006,0)), HYPERLINK("#",""), HYPERLINK(CONCATENATE("#Metadata!", ADDRESS(INDEX($AJ$2:$AJ$1001,MATCH(ROWS($AH$2:AH120),$AH$2:$AH$1001,0),0), INDEX($AO$1004:$BQ$1004,1,MATCH(COLUMNS($AO$1006:BG1006),$AO$1006:$BQ$1006,0)))),"Fix")))</f>
        <v>#N/A</v>
      </c>
      <c r="U120" s="5" t="e">
        <f ca="1">IF(OR(INDEX($AI$2:$AI$1001,MATCH(ROWS($AH$2:AH120),$AH$2:$AH$1001,0),1)&gt;=100000,INDEX($AO$1005:$BQ$1005,1,MATCH(COLUMNS($AO$1006:BH1006),$AO$1006:$BQ$1006,0))&gt;=100000), " ",IF(INDEX($AO$2:$BQ$1001,MATCH(ROWS($AH$2:AH120),$AH$2:$AH$1001,0),MATCH(COLUMNS($AO$1006:BH1006),$AO$1006:$BQ$1006,0)), HYPERLINK("#",""), HYPERLINK(CONCATENATE("#Metadata!", ADDRESS(INDEX($AJ$2:$AJ$1001,MATCH(ROWS($AH$2:AH120),$AH$2:$AH$1001,0),0), INDEX($AO$1004:$BQ$1004,1,MATCH(COLUMNS($AO$1006:BH1006),$AO$1006:$BQ$1006,0)))),"Fix")))</f>
        <v>#N/A</v>
      </c>
      <c r="V120" s="5" t="e">
        <f ca="1">IF(OR(INDEX($AI$2:$AI$1001,MATCH(ROWS($AH$2:AH120),$AH$2:$AH$1001,0),1)&gt;=100000,INDEX($AO$1005:$BQ$1005,1,MATCH(COLUMNS($AO$1006:BI1006),$AO$1006:$BQ$1006,0))&gt;=100000), " ",IF(INDEX($AO$2:$BQ$1001,MATCH(ROWS($AH$2:AH120),$AH$2:$AH$1001,0),MATCH(COLUMNS($AO$1006:BI1006),$AO$1006:$BQ$1006,0)), HYPERLINK("#",""), HYPERLINK(CONCATENATE("#Metadata!", ADDRESS(INDEX($AJ$2:$AJ$1001,MATCH(ROWS($AH$2:AH120),$AH$2:$AH$1001,0),0), INDEX($AO$1004:$BQ$1004,1,MATCH(COLUMNS($AO$1006:BI1006),$AO$1006:$BQ$1006,0)))),"Fix")))</f>
        <v>#N/A</v>
      </c>
      <c r="W120" s="5" t="e">
        <f ca="1">IF(OR(INDEX($AI$2:$AI$1001,MATCH(ROWS($AH$2:AH120),$AH$2:$AH$1001,0),1)&gt;=100000,INDEX($AO$1005:$BQ$1005,1,MATCH(COLUMNS($AO$1006:BJ1006),$AO$1006:$BQ$1006,0))&gt;=100000), " ",IF(INDEX($AO$2:$BQ$1001,MATCH(ROWS($AH$2:AH120),$AH$2:$AH$1001,0),MATCH(COLUMNS($AO$1006:BJ1006),$AO$1006:$BQ$1006,0)), HYPERLINK("#",""), HYPERLINK(CONCATENATE("#Metadata!", ADDRESS(INDEX($AJ$2:$AJ$1001,MATCH(ROWS($AH$2:AH120),$AH$2:$AH$1001,0),0), INDEX($AO$1004:$BQ$1004,1,MATCH(COLUMNS($AO$1006:BJ1006),$AO$1006:$BQ$1006,0)))),"Fix")))</f>
        <v>#N/A</v>
      </c>
      <c r="X120" s="5" t="e">
        <f ca="1">IF(OR(INDEX($AI$2:$AI$1001,MATCH(ROWS($AH$2:AH120),$AH$2:$AH$1001,0),1)&gt;=100000,INDEX($AO$1005:$BQ$1005,1,MATCH(COLUMNS($AO$1006:BK1006),$AO$1006:$BQ$1006,0))&gt;=100000), " ",IF(INDEX($AO$2:$BQ$1001,MATCH(ROWS($AH$2:AH120),$AH$2:$AH$1001,0),MATCH(COLUMNS($AO$1006:BK1006),$AO$1006:$BQ$1006,0)), HYPERLINK("#",""), HYPERLINK(CONCATENATE("#Metadata!", ADDRESS(INDEX($AJ$2:$AJ$1001,MATCH(ROWS($AH$2:AH120),$AH$2:$AH$1001,0),0), INDEX($AO$1004:$BQ$1004,1,MATCH(COLUMNS($AO$1006:BK1006),$AO$1006:$BQ$1006,0)))),"Fix")))</f>
        <v>#N/A</v>
      </c>
      <c r="Y120" s="5" t="e">
        <f ca="1">IF(OR(INDEX($AI$2:$AI$1001,MATCH(ROWS($AH$2:AH120),$AH$2:$AH$1001,0),1)&gt;=100000,INDEX($AO$1005:$BQ$1005,1,MATCH(COLUMNS($AO$1006:BL1006),$AO$1006:$BQ$1006,0))&gt;=100000), " ",IF(INDEX($AO$2:$BQ$1001,MATCH(ROWS($AH$2:AH120),$AH$2:$AH$1001,0),MATCH(COLUMNS($AO$1006:BL1006),$AO$1006:$BQ$1006,0)), HYPERLINK("#",""), HYPERLINK(CONCATENATE("#Metadata!", ADDRESS(INDEX($AJ$2:$AJ$1001,MATCH(ROWS($AH$2:AH120),$AH$2:$AH$1001,0),0), INDEX($AO$1004:$BQ$1004,1,MATCH(COLUMNS($AO$1006:BL1006),$AO$1006:$BQ$1006,0)))),"Fix")))</f>
        <v>#N/A</v>
      </c>
      <c r="Z120" s="5" t="e">
        <f ca="1">IF(OR(INDEX($AI$2:$AI$1001,MATCH(ROWS($AH$2:AH120),$AH$2:$AH$1001,0),1)&gt;=100000,INDEX($AO$1005:$BQ$1005,1,MATCH(COLUMNS($AO$1006:BM1006),$AO$1006:$BQ$1006,0))&gt;=100000), " ",IF(INDEX($AO$2:$BQ$1001,MATCH(ROWS($AH$2:AH120),$AH$2:$AH$1001,0),MATCH(COLUMNS($AO$1006:BM1006),$AO$1006:$BQ$1006,0)), HYPERLINK("#",""), HYPERLINK(CONCATENATE("#Metadata!", ADDRESS(INDEX($AJ$2:$AJ$1001,MATCH(ROWS($AH$2:AH120),$AH$2:$AH$1001,0),0), INDEX($AO$1004:$BQ$1004,1,MATCH(COLUMNS($AO$1006:BM1006),$AO$1006:$BQ$1006,0)))),"Fix")))</f>
        <v>#N/A</v>
      </c>
      <c r="AA120" s="5" t="e">
        <f ca="1">IF(OR(INDEX($AI$2:$AI$1001,MATCH(ROWS($AH$2:AH120),$AH$2:$AH$1001,0),1)&gt;=100000,INDEX($AO$1005:$BQ$1005,1,MATCH(COLUMNS($AO$1006:BN1006),$AO$1006:$BQ$1006,0))&gt;=100000), " ",IF(INDEX($AO$2:$BQ$1001,MATCH(ROWS($AH$2:AH120),$AH$2:$AH$1001,0),MATCH(COLUMNS($AO$1006:BN1006),$AO$1006:$BQ$1006,0)), HYPERLINK("#",""), HYPERLINK(CONCATENATE("#Metadata!", ADDRESS(INDEX($AJ$2:$AJ$1001,MATCH(ROWS($AH$2:AH120),$AH$2:$AH$1001,0),0), INDEX($AO$1004:$BQ$1004,1,MATCH(COLUMNS($AO$1006:BN1006),$AO$1006:$BQ$1006,0)))),"Fix")))</f>
        <v>#N/A</v>
      </c>
      <c r="AB120" s="5" t="e">
        <f ca="1">IF(OR(INDEX($AI$2:$AI$1001,MATCH(ROWS($AH$2:AH120),$AH$2:$AH$1001,0),1)&gt;=100000,INDEX($AO$1005:$BQ$1005,1,MATCH(COLUMNS($AO$1006:BO1006),$AO$1006:$BQ$1006,0))&gt;=100000), " ",IF(INDEX($AO$2:$BQ$1001,MATCH(ROWS($AH$2:AH120),$AH$2:$AH$1001,0),MATCH(COLUMNS($AO$1006:BO1006),$AO$1006:$BQ$1006,0)), HYPERLINK("#",""), HYPERLINK(CONCATENATE("#Metadata!", ADDRESS(INDEX($AJ$2:$AJ$1001,MATCH(ROWS($AH$2:AH120),$AH$2:$AH$1001,0),0), INDEX($AO$1004:$BQ$1004,1,MATCH(COLUMNS($AO$1006:BO1006),$AO$1006:$BQ$1006,0)))),"Fix")))</f>
        <v>#N/A</v>
      </c>
      <c r="AC120" s="5" t="e">
        <f ca="1">IF(OR(INDEX($AI$2:$AI$1001,MATCH(ROWS($AH$2:AH120),$AH$2:$AH$1001,0),1)&gt;=100000,INDEX($AO$1005:$BQ$1005,1,MATCH(COLUMNS($AO$1006:BP1006),$AO$1006:$BQ$1006,0))&gt;=100000), " ",IF(INDEX($AO$2:$BQ$1001,MATCH(ROWS($AH$2:AH120),$AH$2:$AH$1001,0),MATCH(COLUMNS($AO$1006:BP1006),$AO$1006:$BQ$1006,0)), HYPERLINK("#",""), HYPERLINK(CONCATENATE("#Metadata!", ADDRESS(INDEX($AJ$2:$AJ$1001,MATCH(ROWS($AH$2:AH120),$AH$2:$AH$1001,0),0), INDEX($AO$1004:$BQ$1004,1,MATCH(COLUMNS($AO$1006:BP1006),$AO$1006:$BQ$1006,0)))),"Fix")))</f>
        <v>#N/A</v>
      </c>
      <c r="AD120" s="5" t="e">
        <f ca="1">IF(OR(INDEX($AI$2:$AI$1001,MATCH(ROWS($AH$2:AH120),$AH$2:$AH$1001,0),1)&gt;=100000,INDEX($AO$1005:$BQ$1005,1,MATCH(COLUMNS($AO$1006:BQ1006),$AO$1006:$BQ$1006,0))&gt;=100000), " ",IF(INDEX($AO$2:$BQ$1001,MATCH(ROWS($AH$2:AH120),$AH$2:$AH$1001,0),MATCH(COLUMNS($AO$1006:BQ1006),$AO$1006:$BQ$1006,0)), HYPERLINK("#",""), HYPERLINK(CONCATENATE("#Metadata!", ADDRESS(INDEX($AJ$2:$AJ$1001,MATCH(ROWS($AH$2:AH120),$AH$2:$AH$1001,0),0), INDEX($AO$1004:$BQ$1004,1,MATCH(COLUMNS($AO$1006:BQ1006),$AO$1006:$BQ$1006,0)))),"Fix")))</f>
        <v>#REF!</v>
      </c>
      <c r="AH120">
        <f ca="1"/>
        <v>117</v>
      </c>
      <c r="AI120">
        <v>100120</v>
      </c>
      <c r="AJ120">
        <v>120</v>
      </c>
      <c r="AK120" t="b">
        <f t="shared" si="1"/>
        <v>1</v>
      </c>
      <c r="AL120" t="b">
        <f>COUNTBLANK(Metadata!B120:AD120)=COLUMNS(Metadata!B120:AD120)</f>
        <v>1</v>
      </c>
      <c r="AM120" t="str">
        <v/>
      </c>
      <c r="AO120" t="b">
        <f ca="1">AND(IF(Metadata!B120="",FALSE,TRUE),COUNTIF(Metadata!B:B, Metadata!B120) = 1,NOT(ISERROR(SUMPRODUCT(SEARCH(MID(Metadata!B120,ROW(INDIRECT("1:"&amp;LEN(Metadata!B120))), 1),"0123456789abcdefghijklmnopqrstuvwxyzABCDEFGHIJKLMNOPQRSTUVWXYZ.")))))</f>
        <v>0</v>
      </c>
      <c r="AP120" t="b">
        <f>IF(Metadata!C120="",FALSE,TRUE)</f>
        <v>0</v>
      </c>
      <c r="AQ120" t="b">
        <f>IF(Metadata!D120="",FALSE,TRUE)</f>
        <v>0</v>
      </c>
      <c r="AR120" t="b">
        <f ca="1">OR(AND(IF(Metadata!E120="",FALSE,TRUE),OR(EXACT(Metadata!E120,"not collected"),EXACT(Metadata!E120,"not provided"),EXACT(Metadata!E120,"restricted access"))),AND(IF(Metadata!E120="",FALSE,TRUE),AND(AND(IFERROR(INT(LEFT(Metadata!E120,4))&gt;1900,FALSE),IFERROR(INT(LEFT(Metadata!E120,4))&lt;=YEAR(NOW()),FALSE)), OR(MID(Metadata!E120,5,1)="", AND(AND(MID(Metadata!E120,5,1)="-",IFERROR(INT(MID(Metadata!E120,6,1))&gt;=0,FALSE),IFERROR(INT(MID(Metadata!E120,6,1))&lt;=1,FALSE),NOT(MID(Metadata!E120,7,1)=""),IFERROR(INT(MID(Metadata!E120,6,2))&gt;=1,FALSE),IFERROR(INT(MID(Metadata!E120,6,2))&lt;=12,FALSE)), OR(MID(Metadata!E120,8,1)="", AND(AND(MID(Metadata!E120,8,1)="-",IFERROR(INT(MID(Metadata!E120,9,1))&gt;=0,FALSE),IFERROR(INT(MID(Metadata!E120,9,1))&lt;=3,FALSE),NOT(MID(Metadata!E120,10,1)=""),IFERROR(INT(MID(Metadata!E120,9,2))&gt;=1,FALSE),IFERROR(INT(MID(Metadata!E120,9,2))&lt;=31,FALSE)), OR(MID(Metadata!E120,11,1)="", AND(AND(MID(Metadata!E120,11,1)=" ",IFERROR(INT(MID(Metadata!E120,12,1))&gt;=0,FALSE),IFERROR(INT(MID(Metadata!E120,12,1))&lt;=2,FALSE),NOT(MID(Metadata!E120,13,1)=""),IFERROR(INT(MID(Metadata!E120,12,2))&gt;=0,FALSE),IFERROR(INT(MID(Metadata!E120,12,2))&lt;=23,FALSE)), OR(MID(Metadata!E120,14,1)="", AND(AND(MID(Metadata!E120,14,1)=":",IFERROR(INT(MID(Metadata!E120,15,1))&gt;=0,FALSE),IFERROR(INT(MID(Metadata!E120,15,1))&lt;=5,FALSE),NOT(MID(Metadata!E120,16,1)=""),IFERROR(INT(MID(Metadata!E120,15,2))&gt;=0,FALSE),IFERROR(INT(MID(Metadata!E120,15,2))&lt;=59,FALSE)), OR(MID(Metadata!E120,17,1)="", AND(AND(MID(Metadata!E120,17,1)=":",IFERROR(INT(MID(Metadata!E120,18,1))&gt;=0,FALSE),IFERROR(INT(MID(Metadata!E120,18,1))&lt;=5,FALSE),NOT(MID(Metadata!E120,19,1)=""),IFERROR(INT(MID(Metadata!E120,18,2))&gt;=0,FALSE),IFERROR(INT(MID(Metadata!E120,18,2))&lt;=59,FALSE)), LEN(Metadata!E120)&lt;=19)))))))))))))</f>
        <v>0</v>
      </c>
      <c r="AS120" t="b">
        <f>IF(Metadata!F120="",FALSE,TRUE)</f>
        <v>0</v>
      </c>
      <c r="AT120" t="b">
        <f>OR(AND(IF(Metadata!G120="",FALSE,TRUE),OR(EXACT(Metadata!G120,"not collected"),EXACT(Metadata!G120,"not provided"))),AND(IF(Metadata!G120="",FALSE,TRUE),OR(EXACT(Metadata!G120,"TRUE"),EXACT(Metadata!G120,"FALSE"))))</f>
        <v>0</v>
      </c>
      <c r="AU120" t="b">
        <f>OR(AND(IF(Metadata!H120="",FALSE,TRUE),OR(EXACT(Metadata!H120,"not collected"),EXACT(Metadata!H120,"not provided"),EXACT(Metadata!H120,"restricted access"))),AND(IF(Metadata!H120="",FALSE,ISNUMBER(VALUE(Metadata!H120))),Metadata!H120&gt;=-413))</f>
        <v>0</v>
      </c>
      <c r="AV120" t="b">
        <f>AND(IF(Metadata!I120="",FALSE,TRUE),EXACT(Metadata!I120,"meters"))</f>
        <v>0</v>
      </c>
      <c r="AW120" t="b">
        <f>AND(IF(Metadata!J120="",FALSE,TRUE),EXACT(Metadata!J120,"free-living"))</f>
        <v>0</v>
      </c>
      <c r="AX120" t="b">
        <f>AND(IF(Metadata!K120="",FALSE,TRUE),OR(EXACT(Metadata!K120,"saline"),EXACT(Metadata!K120,"non-saline")))</f>
        <v>0</v>
      </c>
      <c r="AY120" t="b">
        <f>AND(IF(Metadata!L120="",FALSE,TRUE),OR(EXACT(Metadata!L120,"sub-surface (non-saline)"),EXACT(Metadata!L120,"surface (non-saline)"),EXACT(Metadata!L120,"water (non-saline)"),EXACT(Metadata!L120,"soil (non-saline)"),EXACT(Metadata!L120,"aerosol (non-saline)"),EXACT(Metadata!L120,"sediment (non-saline)"),EXACT(Metadata!L120,"surface (saline)"),EXACT(Metadata!L120,"water (saline)"),EXACT(Metadata!L120,"hypersaline (saline)"),EXACT(Metadata!L120,"aerosol (saline)"),EXACT(Metadata!L120,"sediment (saline)")))</f>
        <v>0</v>
      </c>
      <c r="AZ120" t="b">
        <f>IF(Metadata!M120="",FALSE,TRUE)</f>
        <v>0</v>
      </c>
      <c r="BA120" t="b">
        <f>IF(Metadata!N120="",FALSE,TRUE)</f>
        <v>0</v>
      </c>
      <c r="BB120" t="b">
        <f>IF(Metadata!O120="",FALSE,TRUE)</f>
        <v>0</v>
      </c>
      <c r="BC120" t="b">
        <f>AND(IF(Metadata!P120="",FALSE,TRUE),OR(EXACT(Metadata!P120,"air"),EXACT(Metadata!P120,"microbial mat/biofilm"),EXACT(Metadata!P120,"misc environment"),EXACT(Metadata!P120,"sediment"),EXACT(Metadata!P120,"soil"),EXACT(Metadata!P120,"wastewater/sludge"),EXACT(Metadata!P120,"water")))</f>
        <v>0</v>
      </c>
      <c r="BD120" t="b">
        <f>IF(Metadata!Q120="",FALSE,TRUE)</f>
        <v>0</v>
      </c>
      <c r="BE120" t="b">
        <f>IF(Metadata!R120="",FALSE,TRUE)</f>
        <v>0</v>
      </c>
      <c r="BF120" t="b">
        <f>OR(AND(IF(Metadata!S120="",FALSE,TRUE),OR(EXACT(Metadata!S120,"not collected"),EXACT(Metadata!S120,"not provided"),EXACT(Metadata!S120,"restricted access"))),AND(IF(Metadata!S120="",FALSE,ISNUMBER(VALUE(Metadata!S120))),Metadata!S120&gt;=-90,Metadata!S120&lt;=90))</f>
        <v>0</v>
      </c>
      <c r="BG120" t="b">
        <f>AND(IF(Metadata!T120="",FALSE,TRUE),EXACT(Metadata!T120,"Decimal degrees"))</f>
        <v>0</v>
      </c>
      <c r="BH120" t="b">
        <f>OR(AND(IF(Metadata!U120="",FALSE,TRUE),OR(EXACT(Metadata!U120,"not applicable"),EXACT(Metadata!U120,"not collected"))),IF(Metadata!U120="",FALSE,TRUE))</f>
        <v>0</v>
      </c>
      <c r="BI120" t="b">
        <f>OR(AND(IF(Metadata!V120="",FALSE,TRUE),OR(EXACT(Metadata!V120,"not collected"),EXACT(Metadata!V120,"not provided"),EXACT(Metadata!V120,"restricted access"))),AND(IF(Metadata!V120="",FALSE,ISNUMBER(VALUE(Metadata!V120))),Metadata!V120&gt;=-180,Metadata!V120&lt;=180))</f>
        <v>0</v>
      </c>
      <c r="BJ120" t="b">
        <f>AND(IF(Metadata!W120="",FALSE,TRUE),EXACT(Metadata!W120,"Decimal degrees"))</f>
        <v>0</v>
      </c>
      <c r="BK120" t="b">
        <f>IF(Metadata!X120="",FALSE,TRUE)</f>
        <v>0</v>
      </c>
      <c r="BL120" t="b">
        <f>OR(AND(IF(Metadata!Y120="",FALSE,TRUE),OR(EXACT(Metadata!Y120,"not collected"),EXACT(Metadata!Y120,"not provided"),EXACT(Metadata!Y120,"restricted access"))),AND(IF(Metadata!Y120="",FALSE,TRUE),OR(EXACT(Metadata!Y120,"TRUE"),EXACT(Metadata!Y120,"FALSE"))))</f>
        <v>0</v>
      </c>
      <c r="BM120" t="b">
        <f>OR(AND(IF(Metadata!Z120="",FALSE,TRUE),EXACT(Metadata!Z120,"not applicable")),AND(IF(Metadata!Z120="",FALSE,TRUE),OR(EXACT(Metadata!Z120,"beer"),EXACT(Metadata!Z120,"cheese"),EXACT(Metadata!Z120,"fresh water"),EXACT(Metadata!Z120,"marine sediment"),EXACT(Metadata!Z120,"sea water"),EXACT(Metadata!Z120,"sediment"),EXACT(Metadata!Z120,"soil"),EXACT(Metadata!Z120,"waste water"))))</f>
        <v>0</v>
      </c>
      <c r="BN120" t="b">
        <f>AND(IF(Metadata!AA120="",FALSE,TRUE),EXACT(Metadata!AA120,"metagenome"))</f>
        <v>0</v>
      </c>
      <c r="BO120" t="b">
        <f>AND(IF(Metadata!AB120="",FALSE,TRUE),EXACT(Metadata!AB120,"256318"))</f>
        <v>0</v>
      </c>
      <c r="BP120" t="b">
        <f>IF(Metadata!AC120="",FALSE,TRUE)</f>
        <v>0</v>
      </c>
      <c r="BQ120" t="b">
        <f>IF(Metadata!AD120="",FALSE,TRUE)</f>
        <v>0</v>
      </c>
    </row>
    <row r="121" spans="1:69" x14ac:dyDescent="0.2">
      <c r="A121" s="4" t="e">
        <f ca="1">IF(B121=" "," ",HYPERLINK(CONCATENATE("#metadata!",ADDRESS(INDEX($AJ$2:$AJ$1001,MATCH(ROWS($AH$2:AH121),$AH$2:$AH$1001,0),0),2)),INDEX($AM$2:$AM$1001,MATCH(ROWS($AH$2:AH121),$AH$2:$AH$1001,0),0)))</f>
        <v>#N/A</v>
      </c>
      <c r="B121" s="5" t="e">
        <f ca="1">IF(OR(INDEX($AI$2:$AI$1001,MATCH(ROWS($AH$2:AH121),$AH$2:$AH$1001,0),1)&gt;=100000,INDEX($AO$1005:$BQ$1005,1,MATCH(COLUMNS($AO$1006:AO1006),$AO$1006:$BQ$1006,0))&gt;=100000), " ",IF(INDEX($AO$2:$BQ$1001,MATCH(ROWS($AH$2:AH121),$AH$2:$AH$1001,0),MATCH(COLUMNS($AO$1006:AO1006),$AO$1006:$BQ$1006,0)), HYPERLINK("#",""), HYPERLINK(CONCATENATE("#Metadata!", ADDRESS(INDEX($AJ$2:$AJ$1001,MATCH(ROWS($AH$2:AH121),$AH$2:$AH$1001,0),0), INDEX($AO$1004:$BQ$1004,1,MATCH(COLUMNS($AO$1006:AO1006),$AO$1006:$BQ$1006,0)))),"Fix")))</f>
        <v>#N/A</v>
      </c>
      <c r="C121" s="5" t="e">
        <f ca="1">IF(OR(INDEX($AI$2:$AI$1001,MATCH(ROWS($AH$2:AH121),$AH$2:$AH$1001,0),1)&gt;=100000,INDEX($AO$1005:$BQ$1005,1,MATCH(COLUMNS($AO$1006:AP1006),$AO$1006:$BQ$1006,0))&gt;=100000), " ",IF(INDEX($AO$2:$BQ$1001,MATCH(ROWS($AH$2:AH121),$AH$2:$AH$1001,0),MATCH(COLUMNS($AO$1006:AP1006),$AO$1006:$BQ$1006,0)), HYPERLINK("#",""), HYPERLINK(CONCATENATE("#Metadata!", ADDRESS(INDEX($AJ$2:$AJ$1001,MATCH(ROWS($AH$2:AH121),$AH$2:$AH$1001,0),0), INDEX($AO$1004:$BQ$1004,1,MATCH(COLUMNS($AO$1006:AP1006),$AO$1006:$BQ$1006,0)))),"Fix")))</f>
        <v>#N/A</v>
      </c>
      <c r="D121" s="5" t="e">
        <f ca="1">IF(OR(INDEX($AI$2:$AI$1001,MATCH(ROWS($AH$2:AH121),$AH$2:$AH$1001,0),1)&gt;=100000,INDEX($AO$1005:$BQ$1005,1,MATCH(COLUMNS($AO$1006:AQ1006),$AO$1006:$BQ$1006,0))&gt;=100000), " ",IF(INDEX($AO$2:$BQ$1001,MATCH(ROWS($AH$2:AH121),$AH$2:$AH$1001,0),MATCH(COLUMNS($AO$1006:AQ1006),$AO$1006:$BQ$1006,0)), HYPERLINK("#",""), HYPERLINK(CONCATENATE("#Metadata!", ADDRESS(INDEX($AJ$2:$AJ$1001,MATCH(ROWS($AH$2:AH121),$AH$2:$AH$1001,0),0), INDEX($AO$1004:$BQ$1004,1,MATCH(COLUMNS($AO$1006:AQ1006),$AO$1006:$BQ$1006,0)))),"Fix")))</f>
        <v>#N/A</v>
      </c>
      <c r="E121" s="5" t="e">
        <f ca="1">IF(OR(INDEX($AI$2:$AI$1001,MATCH(ROWS($AH$2:AH121),$AH$2:$AH$1001,0),1)&gt;=100000,INDEX($AO$1005:$BQ$1005,1,MATCH(COLUMNS($AO$1006:AR1006),$AO$1006:$BQ$1006,0))&gt;=100000), " ",IF(INDEX($AO$2:$BQ$1001,MATCH(ROWS($AH$2:AH121),$AH$2:$AH$1001,0),MATCH(COLUMNS($AO$1006:AR1006),$AO$1006:$BQ$1006,0)), HYPERLINK("#",""), HYPERLINK(CONCATENATE("#Metadata!", ADDRESS(INDEX($AJ$2:$AJ$1001,MATCH(ROWS($AH$2:AH121),$AH$2:$AH$1001,0),0), INDEX($AO$1004:$BQ$1004,1,MATCH(COLUMNS($AO$1006:AR1006),$AO$1006:$BQ$1006,0)))),"Fix")))</f>
        <v>#N/A</v>
      </c>
      <c r="F121" s="5" t="e">
        <f ca="1">IF(OR(INDEX($AI$2:$AI$1001,MATCH(ROWS($AH$2:AH121),$AH$2:$AH$1001,0),1)&gt;=100000,INDEX($AO$1005:$BQ$1005,1,MATCH(COLUMNS($AO$1006:AS1006),$AO$1006:$BQ$1006,0))&gt;=100000), " ",IF(INDEX($AO$2:$BQ$1001,MATCH(ROWS($AH$2:AH121),$AH$2:$AH$1001,0),MATCH(COLUMNS($AO$1006:AS1006),$AO$1006:$BQ$1006,0)), HYPERLINK("#",""), HYPERLINK(CONCATENATE("#Metadata!", ADDRESS(INDEX($AJ$2:$AJ$1001,MATCH(ROWS($AH$2:AH121),$AH$2:$AH$1001,0),0), INDEX($AO$1004:$BQ$1004,1,MATCH(COLUMNS($AO$1006:AS1006),$AO$1006:$BQ$1006,0)))),"Fix")))</f>
        <v>#N/A</v>
      </c>
      <c r="G121" s="5" t="e">
        <f ca="1">IF(OR(INDEX($AI$2:$AI$1001,MATCH(ROWS($AH$2:AH121),$AH$2:$AH$1001,0),1)&gt;=100000,INDEX($AO$1005:$BQ$1005,1,MATCH(COLUMNS($AO$1006:AT1006),$AO$1006:$BQ$1006,0))&gt;=100000), " ",IF(INDEX($AO$2:$BQ$1001,MATCH(ROWS($AH$2:AH121),$AH$2:$AH$1001,0),MATCH(COLUMNS($AO$1006:AT1006),$AO$1006:$BQ$1006,0)), HYPERLINK("#",""), HYPERLINK(CONCATENATE("#Metadata!", ADDRESS(INDEX($AJ$2:$AJ$1001,MATCH(ROWS($AH$2:AH121),$AH$2:$AH$1001,0),0), INDEX($AO$1004:$BQ$1004,1,MATCH(COLUMNS($AO$1006:AT1006),$AO$1006:$BQ$1006,0)))),"Fix")))</f>
        <v>#N/A</v>
      </c>
      <c r="H121" s="5" t="e">
        <f ca="1">IF(OR(INDEX($AI$2:$AI$1001,MATCH(ROWS($AH$2:AH121),$AH$2:$AH$1001,0),1)&gt;=100000,INDEX($AO$1005:$BQ$1005,1,MATCH(COLUMNS($AO$1006:AU1006),$AO$1006:$BQ$1006,0))&gt;=100000), " ",IF(INDEX($AO$2:$BQ$1001,MATCH(ROWS($AH$2:AH121),$AH$2:$AH$1001,0),MATCH(COLUMNS($AO$1006:AU1006),$AO$1006:$BQ$1006,0)), HYPERLINK("#",""), HYPERLINK(CONCATENATE("#Metadata!", ADDRESS(INDEX($AJ$2:$AJ$1001,MATCH(ROWS($AH$2:AH121),$AH$2:$AH$1001,0),0), INDEX($AO$1004:$BQ$1004,1,MATCH(COLUMNS($AO$1006:AU1006),$AO$1006:$BQ$1006,0)))),"Fix")))</f>
        <v>#N/A</v>
      </c>
      <c r="I121" s="5" t="e">
        <f ca="1">IF(OR(INDEX($AI$2:$AI$1001,MATCH(ROWS($AH$2:AH121),$AH$2:$AH$1001,0),1)&gt;=100000,INDEX($AO$1005:$BQ$1005,1,MATCH(COLUMNS($AO$1006:AV1006),$AO$1006:$BQ$1006,0))&gt;=100000), " ",IF(INDEX($AO$2:$BQ$1001,MATCH(ROWS($AH$2:AH121),$AH$2:$AH$1001,0),MATCH(COLUMNS($AO$1006:AV1006),$AO$1006:$BQ$1006,0)), HYPERLINK("#",""), HYPERLINK(CONCATENATE("#Metadata!", ADDRESS(INDEX($AJ$2:$AJ$1001,MATCH(ROWS($AH$2:AH121),$AH$2:$AH$1001,0),0), INDEX($AO$1004:$BQ$1004,1,MATCH(COLUMNS($AO$1006:AV1006),$AO$1006:$BQ$1006,0)))),"Fix")))</f>
        <v>#N/A</v>
      </c>
      <c r="J121" s="5" t="e">
        <f ca="1">IF(OR(INDEX($AI$2:$AI$1001,MATCH(ROWS($AH$2:AH121),$AH$2:$AH$1001,0),1)&gt;=100000,INDEX($AO$1005:$BQ$1005,1,MATCH(COLUMNS($AO$1006:AW1006),$AO$1006:$BQ$1006,0))&gt;=100000), " ",IF(INDEX($AO$2:$BQ$1001,MATCH(ROWS($AH$2:AH121),$AH$2:$AH$1001,0),MATCH(COLUMNS($AO$1006:AW1006),$AO$1006:$BQ$1006,0)), HYPERLINK("#",""), HYPERLINK(CONCATENATE("#Metadata!", ADDRESS(INDEX($AJ$2:$AJ$1001,MATCH(ROWS($AH$2:AH121),$AH$2:$AH$1001,0),0), INDEX($AO$1004:$BQ$1004,1,MATCH(COLUMNS($AO$1006:AW1006),$AO$1006:$BQ$1006,0)))),"Fix")))</f>
        <v>#N/A</v>
      </c>
      <c r="K121" s="5" t="e">
        <f ca="1">IF(OR(INDEX($AI$2:$AI$1001,MATCH(ROWS($AH$2:AH121),$AH$2:$AH$1001,0),1)&gt;=100000,INDEX($AO$1005:$BQ$1005,1,MATCH(COLUMNS($AO$1006:AX1006),$AO$1006:$BQ$1006,0))&gt;=100000), " ",IF(INDEX($AO$2:$BQ$1001,MATCH(ROWS($AH$2:AH121),$AH$2:$AH$1001,0),MATCH(COLUMNS($AO$1006:AX1006),$AO$1006:$BQ$1006,0)), HYPERLINK("#",""), HYPERLINK(CONCATENATE("#Metadata!", ADDRESS(INDEX($AJ$2:$AJ$1001,MATCH(ROWS($AH$2:AH121),$AH$2:$AH$1001,0),0), INDEX($AO$1004:$BQ$1004,1,MATCH(COLUMNS($AO$1006:AX1006),$AO$1006:$BQ$1006,0)))),"Fix")))</f>
        <v>#N/A</v>
      </c>
      <c r="L121" s="5" t="e">
        <f ca="1">IF(OR(INDEX($AI$2:$AI$1001,MATCH(ROWS($AH$2:AH121),$AH$2:$AH$1001,0),1)&gt;=100000,INDEX($AO$1005:$BQ$1005,1,MATCH(COLUMNS($AO$1006:AY1006),$AO$1006:$BQ$1006,0))&gt;=100000), " ",IF(INDEX($AO$2:$BQ$1001,MATCH(ROWS($AH$2:AH121),$AH$2:$AH$1001,0),MATCH(COLUMNS($AO$1006:AY1006),$AO$1006:$BQ$1006,0)), HYPERLINK("#",""), HYPERLINK(CONCATENATE("#Metadata!", ADDRESS(INDEX($AJ$2:$AJ$1001,MATCH(ROWS($AH$2:AH121),$AH$2:$AH$1001,0),0), INDEX($AO$1004:$BQ$1004,1,MATCH(COLUMNS($AO$1006:AY1006),$AO$1006:$BQ$1006,0)))),"Fix")))</f>
        <v>#N/A</v>
      </c>
      <c r="M121" s="5" t="e">
        <f ca="1">IF(OR(INDEX($AI$2:$AI$1001,MATCH(ROWS($AH$2:AH121),$AH$2:$AH$1001,0),1)&gt;=100000,INDEX($AO$1005:$BQ$1005,1,MATCH(COLUMNS($AO$1006:AZ1006),$AO$1006:$BQ$1006,0))&gt;=100000), " ",IF(INDEX($AO$2:$BQ$1001,MATCH(ROWS($AH$2:AH121),$AH$2:$AH$1001,0),MATCH(COLUMNS($AO$1006:AZ1006),$AO$1006:$BQ$1006,0)), HYPERLINK("#",""), HYPERLINK(CONCATENATE("#Metadata!", ADDRESS(INDEX($AJ$2:$AJ$1001,MATCH(ROWS($AH$2:AH121),$AH$2:$AH$1001,0),0), INDEX($AO$1004:$BQ$1004,1,MATCH(COLUMNS($AO$1006:AZ1006),$AO$1006:$BQ$1006,0)))),"Fix")))</f>
        <v>#N/A</v>
      </c>
      <c r="N121" s="5" t="e">
        <f ca="1">IF(OR(INDEX($AI$2:$AI$1001,MATCH(ROWS($AH$2:AH121),$AH$2:$AH$1001,0),1)&gt;=100000,INDEX($AO$1005:$BQ$1005,1,MATCH(COLUMNS($AO$1006:BA1006),$AO$1006:$BQ$1006,0))&gt;=100000), " ",IF(INDEX($AO$2:$BQ$1001,MATCH(ROWS($AH$2:AH121),$AH$2:$AH$1001,0),MATCH(COLUMNS($AO$1006:BA1006),$AO$1006:$BQ$1006,0)), HYPERLINK("#",""), HYPERLINK(CONCATENATE("#Metadata!", ADDRESS(INDEX($AJ$2:$AJ$1001,MATCH(ROWS($AH$2:AH121),$AH$2:$AH$1001,0),0), INDEX($AO$1004:$BQ$1004,1,MATCH(COLUMNS($AO$1006:BA1006),$AO$1006:$BQ$1006,0)))),"Fix")))</f>
        <v>#N/A</v>
      </c>
      <c r="O121" s="5" t="e">
        <f ca="1">IF(OR(INDEX($AI$2:$AI$1001,MATCH(ROWS($AH$2:AH121),$AH$2:$AH$1001,0),1)&gt;=100000,INDEX($AO$1005:$BQ$1005,1,MATCH(COLUMNS($AO$1006:BB1006),$AO$1006:$BQ$1006,0))&gt;=100000), " ",IF(INDEX($AO$2:$BQ$1001,MATCH(ROWS($AH$2:AH121),$AH$2:$AH$1001,0),MATCH(COLUMNS($AO$1006:BB1006),$AO$1006:$BQ$1006,0)), HYPERLINK("#",""), HYPERLINK(CONCATENATE("#Metadata!", ADDRESS(INDEX($AJ$2:$AJ$1001,MATCH(ROWS($AH$2:AH121),$AH$2:$AH$1001,0),0), INDEX($AO$1004:$BQ$1004,1,MATCH(COLUMNS($AO$1006:BB1006),$AO$1006:$BQ$1006,0)))),"Fix")))</f>
        <v>#N/A</v>
      </c>
      <c r="P121" s="5" t="e">
        <f ca="1">IF(OR(INDEX($AI$2:$AI$1001,MATCH(ROWS($AH$2:AH121),$AH$2:$AH$1001,0),1)&gt;=100000,INDEX($AO$1005:$BQ$1005,1,MATCH(COLUMNS($AO$1006:BC1006),$AO$1006:$BQ$1006,0))&gt;=100000), " ",IF(INDEX($AO$2:$BQ$1001,MATCH(ROWS($AH$2:AH121),$AH$2:$AH$1001,0),MATCH(COLUMNS($AO$1006:BC1006),$AO$1006:$BQ$1006,0)), HYPERLINK("#",""), HYPERLINK(CONCATENATE("#Metadata!", ADDRESS(INDEX($AJ$2:$AJ$1001,MATCH(ROWS($AH$2:AH121),$AH$2:$AH$1001,0),0), INDEX($AO$1004:$BQ$1004,1,MATCH(COLUMNS($AO$1006:BC1006),$AO$1006:$BQ$1006,0)))),"Fix")))</f>
        <v>#N/A</v>
      </c>
      <c r="Q121" s="5" t="e">
        <f ca="1">IF(OR(INDEX($AI$2:$AI$1001,MATCH(ROWS($AH$2:AH121),$AH$2:$AH$1001,0),1)&gt;=100000,INDEX($AO$1005:$BQ$1005,1,MATCH(COLUMNS($AO$1006:BD1006),$AO$1006:$BQ$1006,0))&gt;=100000), " ",IF(INDEX($AO$2:$BQ$1001,MATCH(ROWS($AH$2:AH121),$AH$2:$AH$1001,0),MATCH(COLUMNS($AO$1006:BD1006),$AO$1006:$BQ$1006,0)), HYPERLINK("#",""), HYPERLINK(CONCATENATE("#Metadata!", ADDRESS(INDEX($AJ$2:$AJ$1001,MATCH(ROWS($AH$2:AH121),$AH$2:$AH$1001,0),0), INDEX($AO$1004:$BQ$1004,1,MATCH(COLUMNS($AO$1006:BD1006),$AO$1006:$BQ$1006,0)))),"Fix")))</f>
        <v>#N/A</v>
      </c>
      <c r="R121" s="5" t="e">
        <f ca="1">IF(OR(INDEX($AI$2:$AI$1001,MATCH(ROWS($AH$2:AH121),$AH$2:$AH$1001,0),1)&gt;=100000,INDEX($AO$1005:$BQ$1005,1,MATCH(COLUMNS($AO$1006:BE1006),$AO$1006:$BQ$1006,0))&gt;=100000), " ",IF(INDEX($AO$2:$BQ$1001,MATCH(ROWS($AH$2:AH121),$AH$2:$AH$1001,0),MATCH(COLUMNS($AO$1006:BE1006),$AO$1006:$BQ$1006,0)), HYPERLINK("#",""), HYPERLINK(CONCATENATE("#Metadata!", ADDRESS(INDEX($AJ$2:$AJ$1001,MATCH(ROWS($AH$2:AH121),$AH$2:$AH$1001,0),0), INDEX($AO$1004:$BQ$1004,1,MATCH(COLUMNS($AO$1006:BE1006),$AO$1006:$BQ$1006,0)))),"Fix")))</f>
        <v>#N/A</v>
      </c>
      <c r="S121" s="5" t="e">
        <f ca="1">IF(OR(INDEX($AI$2:$AI$1001,MATCH(ROWS($AH$2:AH121),$AH$2:$AH$1001,0),1)&gt;=100000,INDEX($AO$1005:$BQ$1005,1,MATCH(COLUMNS($AO$1006:BF1006),$AO$1006:$BQ$1006,0))&gt;=100000), " ",IF(INDEX($AO$2:$BQ$1001,MATCH(ROWS($AH$2:AH121),$AH$2:$AH$1001,0),MATCH(COLUMNS($AO$1006:BF1006),$AO$1006:$BQ$1006,0)), HYPERLINK("#",""), HYPERLINK(CONCATENATE("#Metadata!", ADDRESS(INDEX($AJ$2:$AJ$1001,MATCH(ROWS($AH$2:AH121),$AH$2:$AH$1001,0),0), INDEX($AO$1004:$BQ$1004,1,MATCH(COLUMNS($AO$1006:BF1006),$AO$1006:$BQ$1006,0)))),"Fix")))</f>
        <v>#N/A</v>
      </c>
      <c r="T121" s="5" t="e">
        <f ca="1">IF(OR(INDEX($AI$2:$AI$1001,MATCH(ROWS($AH$2:AH121),$AH$2:$AH$1001,0),1)&gt;=100000,INDEX($AO$1005:$BQ$1005,1,MATCH(COLUMNS($AO$1006:BG1006),$AO$1006:$BQ$1006,0))&gt;=100000), " ",IF(INDEX($AO$2:$BQ$1001,MATCH(ROWS($AH$2:AH121),$AH$2:$AH$1001,0),MATCH(COLUMNS($AO$1006:BG1006),$AO$1006:$BQ$1006,0)), HYPERLINK("#",""), HYPERLINK(CONCATENATE("#Metadata!", ADDRESS(INDEX($AJ$2:$AJ$1001,MATCH(ROWS($AH$2:AH121),$AH$2:$AH$1001,0),0), INDEX($AO$1004:$BQ$1004,1,MATCH(COLUMNS($AO$1006:BG1006),$AO$1006:$BQ$1006,0)))),"Fix")))</f>
        <v>#N/A</v>
      </c>
      <c r="U121" s="5" t="e">
        <f ca="1">IF(OR(INDEX($AI$2:$AI$1001,MATCH(ROWS($AH$2:AH121),$AH$2:$AH$1001,0),1)&gt;=100000,INDEX($AO$1005:$BQ$1005,1,MATCH(COLUMNS($AO$1006:BH1006),$AO$1006:$BQ$1006,0))&gt;=100000), " ",IF(INDEX($AO$2:$BQ$1001,MATCH(ROWS($AH$2:AH121),$AH$2:$AH$1001,0),MATCH(COLUMNS($AO$1006:BH1006),$AO$1006:$BQ$1006,0)), HYPERLINK("#",""), HYPERLINK(CONCATENATE("#Metadata!", ADDRESS(INDEX($AJ$2:$AJ$1001,MATCH(ROWS($AH$2:AH121),$AH$2:$AH$1001,0),0), INDEX($AO$1004:$BQ$1004,1,MATCH(COLUMNS($AO$1006:BH1006),$AO$1006:$BQ$1006,0)))),"Fix")))</f>
        <v>#N/A</v>
      </c>
      <c r="V121" s="5" t="e">
        <f ca="1">IF(OR(INDEX($AI$2:$AI$1001,MATCH(ROWS($AH$2:AH121),$AH$2:$AH$1001,0),1)&gt;=100000,INDEX($AO$1005:$BQ$1005,1,MATCH(COLUMNS($AO$1006:BI1006),$AO$1006:$BQ$1006,0))&gt;=100000), " ",IF(INDEX($AO$2:$BQ$1001,MATCH(ROWS($AH$2:AH121),$AH$2:$AH$1001,0),MATCH(COLUMNS($AO$1006:BI1006),$AO$1006:$BQ$1006,0)), HYPERLINK("#",""), HYPERLINK(CONCATENATE("#Metadata!", ADDRESS(INDEX($AJ$2:$AJ$1001,MATCH(ROWS($AH$2:AH121),$AH$2:$AH$1001,0),0), INDEX($AO$1004:$BQ$1004,1,MATCH(COLUMNS($AO$1006:BI1006),$AO$1006:$BQ$1006,0)))),"Fix")))</f>
        <v>#N/A</v>
      </c>
      <c r="W121" s="5" t="e">
        <f ca="1">IF(OR(INDEX($AI$2:$AI$1001,MATCH(ROWS($AH$2:AH121),$AH$2:$AH$1001,0),1)&gt;=100000,INDEX($AO$1005:$BQ$1005,1,MATCH(COLUMNS($AO$1006:BJ1006),$AO$1006:$BQ$1006,0))&gt;=100000), " ",IF(INDEX($AO$2:$BQ$1001,MATCH(ROWS($AH$2:AH121),$AH$2:$AH$1001,0),MATCH(COLUMNS($AO$1006:BJ1006),$AO$1006:$BQ$1006,0)), HYPERLINK("#",""), HYPERLINK(CONCATENATE("#Metadata!", ADDRESS(INDEX($AJ$2:$AJ$1001,MATCH(ROWS($AH$2:AH121),$AH$2:$AH$1001,0),0), INDEX($AO$1004:$BQ$1004,1,MATCH(COLUMNS($AO$1006:BJ1006),$AO$1006:$BQ$1006,0)))),"Fix")))</f>
        <v>#N/A</v>
      </c>
      <c r="X121" s="5" t="e">
        <f ca="1">IF(OR(INDEX($AI$2:$AI$1001,MATCH(ROWS($AH$2:AH121),$AH$2:$AH$1001,0),1)&gt;=100000,INDEX($AO$1005:$BQ$1005,1,MATCH(COLUMNS($AO$1006:BK1006),$AO$1006:$BQ$1006,0))&gt;=100000), " ",IF(INDEX($AO$2:$BQ$1001,MATCH(ROWS($AH$2:AH121),$AH$2:$AH$1001,0),MATCH(COLUMNS($AO$1006:BK1006),$AO$1006:$BQ$1006,0)), HYPERLINK("#",""), HYPERLINK(CONCATENATE("#Metadata!", ADDRESS(INDEX($AJ$2:$AJ$1001,MATCH(ROWS($AH$2:AH121),$AH$2:$AH$1001,0),0), INDEX($AO$1004:$BQ$1004,1,MATCH(COLUMNS($AO$1006:BK1006),$AO$1006:$BQ$1006,0)))),"Fix")))</f>
        <v>#N/A</v>
      </c>
      <c r="Y121" s="5" t="e">
        <f ca="1">IF(OR(INDEX($AI$2:$AI$1001,MATCH(ROWS($AH$2:AH121),$AH$2:$AH$1001,0),1)&gt;=100000,INDEX($AO$1005:$BQ$1005,1,MATCH(COLUMNS($AO$1006:BL1006),$AO$1006:$BQ$1006,0))&gt;=100000), " ",IF(INDEX($AO$2:$BQ$1001,MATCH(ROWS($AH$2:AH121),$AH$2:$AH$1001,0),MATCH(COLUMNS($AO$1006:BL1006),$AO$1006:$BQ$1006,0)), HYPERLINK("#",""), HYPERLINK(CONCATENATE("#Metadata!", ADDRESS(INDEX($AJ$2:$AJ$1001,MATCH(ROWS($AH$2:AH121),$AH$2:$AH$1001,0),0), INDEX($AO$1004:$BQ$1004,1,MATCH(COLUMNS($AO$1006:BL1006),$AO$1006:$BQ$1006,0)))),"Fix")))</f>
        <v>#N/A</v>
      </c>
      <c r="Z121" s="5" t="e">
        <f ca="1">IF(OR(INDEX($AI$2:$AI$1001,MATCH(ROWS($AH$2:AH121),$AH$2:$AH$1001,0),1)&gt;=100000,INDEX($AO$1005:$BQ$1005,1,MATCH(COLUMNS($AO$1006:BM1006),$AO$1006:$BQ$1006,0))&gt;=100000), " ",IF(INDEX($AO$2:$BQ$1001,MATCH(ROWS($AH$2:AH121),$AH$2:$AH$1001,0),MATCH(COLUMNS($AO$1006:BM1006),$AO$1006:$BQ$1006,0)), HYPERLINK("#",""), HYPERLINK(CONCATENATE("#Metadata!", ADDRESS(INDEX($AJ$2:$AJ$1001,MATCH(ROWS($AH$2:AH121),$AH$2:$AH$1001,0),0), INDEX($AO$1004:$BQ$1004,1,MATCH(COLUMNS($AO$1006:BM1006),$AO$1006:$BQ$1006,0)))),"Fix")))</f>
        <v>#N/A</v>
      </c>
      <c r="AA121" s="5" t="e">
        <f ca="1">IF(OR(INDEX($AI$2:$AI$1001,MATCH(ROWS($AH$2:AH121),$AH$2:$AH$1001,0),1)&gt;=100000,INDEX($AO$1005:$BQ$1005,1,MATCH(COLUMNS($AO$1006:BN1006),$AO$1006:$BQ$1006,0))&gt;=100000), " ",IF(INDEX($AO$2:$BQ$1001,MATCH(ROWS($AH$2:AH121),$AH$2:$AH$1001,0),MATCH(COLUMNS($AO$1006:BN1006),$AO$1006:$BQ$1006,0)), HYPERLINK("#",""), HYPERLINK(CONCATENATE("#Metadata!", ADDRESS(INDEX($AJ$2:$AJ$1001,MATCH(ROWS($AH$2:AH121),$AH$2:$AH$1001,0),0), INDEX($AO$1004:$BQ$1004,1,MATCH(COLUMNS($AO$1006:BN1006),$AO$1006:$BQ$1006,0)))),"Fix")))</f>
        <v>#N/A</v>
      </c>
      <c r="AB121" s="5" t="e">
        <f ca="1">IF(OR(INDEX($AI$2:$AI$1001,MATCH(ROWS($AH$2:AH121),$AH$2:$AH$1001,0),1)&gt;=100000,INDEX($AO$1005:$BQ$1005,1,MATCH(COLUMNS($AO$1006:BO1006),$AO$1006:$BQ$1006,0))&gt;=100000), " ",IF(INDEX($AO$2:$BQ$1001,MATCH(ROWS($AH$2:AH121),$AH$2:$AH$1001,0),MATCH(COLUMNS($AO$1006:BO1006),$AO$1006:$BQ$1006,0)), HYPERLINK("#",""), HYPERLINK(CONCATENATE("#Metadata!", ADDRESS(INDEX($AJ$2:$AJ$1001,MATCH(ROWS($AH$2:AH121),$AH$2:$AH$1001,0),0), INDEX($AO$1004:$BQ$1004,1,MATCH(COLUMNS($AO$1006:BO1006),$AO$1006:$BQ$1006,0)))),"Fix")))</f>
        <v>#N/A</v>
      </c>
      <c r="AC121" s="5" t="e">
        <f ca="1">IF(OR(INDEX($AI$2:$AI$1001,MATCH(ROWS($AH$2:AH121),$AH$2:$AH$1001,0),1)&gt;=100000,INDEX($AO$1005:$BQ$1005,1,MATCH(COLUMNS($AO$1006:BP1006),$AO$1006:$BQ$1006,0))&gt;=100000), " ",IF(INDEX($AO$2:$BQ$1001,MATCH(ROWS($AH$2:AH121),$AH$2:$AH$1001,0),MATCH(COLUMNS($AO$1006:BP1006),$AO$1006:$BQ$1006,0)), HYPERLINK("#",""), HYPERLINK(CONCATENATE("#Metadata!", ADDRESS(INDEX($AJ$2:$AJ$1001,MATCH(ROWS($AH$2:AH121),$AH$2:$AH$1001,0),0), INDEX($AO$1004:$BQ$1004,1,MATCH(COLUMNS($AO$1006:BP1006),$AO$1006:$BQ$1006,0)))),"Fix")))</f>
        <v>#N/A</v>
      </c>
      <c r="AD121" s="5" t="e">
        <f ca="1">IF(OR(INDEX($AI$2:$AI$1001,MATCH(ROWS($AH$2:AH121),$AH$2:$AH$1001,0),1)&gt;=100000,INDEX($AO$1005:$BQ$1005,1,MATCH(COLUMNS($AO$1006:BQ1006),$AO$1006:$BQ$1006,0))&gt;=100000), " ",IF(INDEX($AO$2:$BQ$1001,MATCH(ROWS($AH$2:AH121),$AH$2:$AH$1001,0),MATCH(COLUMNS($AO$1006:BQ1006),$AO$1006:$BQ$1006,0)), HYPERLINK("#",""), HYPERLINK(CONCATENATE("#Metadata!", ADDRESS(INDEX($AJ$2:$AJ$1001,MATCH(ROWS($AH$2:AH121),$AH$2:$AH$1001,0),0), INDEX($AO$1004:$BQ$1004,1,MATCH(COLUMNS($AO$1006:BQ1006),$AO$1006:$BQ$1006,0)))),"Fix")))</f>
        <v>#REF!</v>
      </c>
      <c r="AH121">
        <f ca="1"/>
        <v>118</v>
      </c>
      <c r="AI121">
        <v>100121</v>
      </c>
      <c r="AJ121">
        <v>121</v>
      </c>
      <c r="AK121" t="b">
        <f t="shared" si="1"/>
        <v>1</v>
      </c>
      <c r="AL121" t="b">
        <f>COUNTBLANK(Metadata!B121:AD121)=COLUMNS(Metadata!B121:AD121)</f>
        <v>1</v>
      </c>
      <c r="AM121" t="str">
        <v/>
      </c>
      <c r="AO121" t="b">
        <f ca="1">AND(IF(Metadata!B121="",FALSE,TRUE),COUNTIF(Metadata!B:B, Metadata!B121) = 1,NOT(ISERROR(SUMPRODUCT(SEARCH(MID(Metadata!B121,ROW(INDIRECT("1:"&amp;LEN(Metadata!B121))), 1),"0123456789abcdefghijklmnopqrstuvwxyzABCDEFGHIJKLMNOPQRSTUVWXYZ.")))))</f>
        <v>0</v>
      </c>
      <c r="AP121" t="b">
        <f>IF(Metadata!C121="",FALSE,TRUE)</f>
        <v>0</v>
      </c>
      <c r="AQ121" t="b">
        <f>IF(Metadata!D121="",FALSE,TRUE)</f>
        <v>0</v>
      </c>
      <c r="AR121" t="b">
        <f ca="1">OR(AND(IF(Metadata!E121="",FALSE,TRUE),OR(EXACT(Metadata!E121,"not collected"),EXACT(Metadata!E121,"not provided"),EXACT(Metadata!E121,"restricted access"))),AND(IF(Metadata!E121="",FALSE,TRUE),AND(AND(IFERROR(INT(LEFT(Metadata!E121,4))&gt;1900,FALSE),IFERROR(INT(LEFT(Metadata!E121,4))&lt;=YEAR(NOW()),FALSE)), OR(MID(Metadata!E121,5,1)="", AND(AND(MID(Metadata!E121,5,1)="-",IFERROR(INT(MID(Metadata!E121,6,1))&gt;=0,FALSE),IFERROR(INT(MID(Metadata!E121,6,1))&lt;=1,FALSE),NOT(MID(Metadata!E121,7,1)=""),IFERROR(INT(MID(Metadata!E121,6,2))&gt;=1,FALSE),IFERROR(INT(MID(Metadata!E121,6,2))&lt;=12,FALSE)), OR(MID(Metadata!E121,8,1)="", AND(AND(MID(Metadata!E121,8,1)="-",IFERROR(INT(MID(Metadata!E121,9,1))&gt;=0,FALSE),IFERROR(INT(MID(Metadata!E121,9,1))&lt;=3,FALSE),NOT(MID(Metadata!E121,10,1)=""),IFERROR(INT(MID(Metadata!E121,9,2))&gt;=1,FALSE),IFERROR(INT(MID(Metadata!E121,9,2))&lt;=31,FALSE)), OR(MID(Metadata!E121,11,1)="", AND(AND(MID(Metadata!E121,11,1)=" ",IFERROR(INT(MID(Metadata!E121,12,1))&gt;=0,FALSE),IFERROR(INT(MID(Metadata!E121,12,1))&lt;=2,FALSE),NOT(MID(Metadata!E121,13,1)=""),IFERROR(INT(MID(Metadata!E121,12,2))&gt;=0,FALSE),IFERROR(INT(MID(Metadata!E121,12,2))&lt;=23,FALSE)), OR(MID(Metadata!E121,14,1)="", AND(AND(MID(Metadata!E121,14,1)=":",IFERROR(INT(MID(Metadata!E121,15,1))&gt;=0,FALSE),IFERROR(INT(MID(Metadata!E121,15,1))&lt;=5,FALSE),NOT(MID(Metadata!E121,16,1)=""),IFERROR(INT(MID(Metadata!E121,15,2))&gt;=0,FALSE),IFERROR(INT(MID(Metadata!E121,15,2))&lt;=59,FALSE)), OR(MID(Metadata!E121,17,1)="", AND(AND(MID(Metadata!E121,17,1)=":",IFERROR(INT(MID(Metadata!E121,18,1))&gt;=0,FALSE),IFERROR(INT(MID(Metadata!E121,18,1))&lt;=5,FALSE),NOT(MID(Metadata!E121,19,1)=""),IFERROR(INT(MID(Metadata!E121,18,2))&gt;=0,FALSE),IFERROR(INT(MID(Metadata!E121,18,2))&lt;=59,FALSE)), LEN(Metadata!E121)&lt;=19)))))))))))))</f>
        <v>0</v>
      </c>
      <c r="AS121" t="b">
        <f>IF(Metadata!F121="",FALSE,TRUE)</f>
        <v>0</v>
      </c>
      <c r="AT121" t="b">
        <f>OR(AND(IF(Metadata!G121="",FALSE,TRUE),OR(EXACT(Metadata!G121,"not collected"),EXACT(Metadata!G121,"not provided"))),AND(IF(Metadata!G121="",FALSE,TRUE),OR(EXACT(Metadata!G121,"TRUE"),EXACT(Metadata!G121,"FALSE"))))</f>
        <v>0</v>
      </c>
      <c r="AU121" t="b">
        <f>OR(AND(IF(Metadata!H121="",FALSE,TRUE),OR(EXACT(Metadata!H121,"not collected"),EXACT(Metadata!H121,"not provided"),EXACT(Metadata!H121,"restricted access"))),AND(IF(Metadata!H121="",FALSE,ISNUMBER(VALUE(Metadata!H121))),Metadata!H121&gt;=-413))</f>
        <v>0</v>
      </c>
      <c r="AV121" t="b">
        <f>AND(IF(Metadata!I121="",FALSE,TRUE),EXACT(Metadata!I121,"meters"))</f>
        <v>0</v>
      </c>
      <c r="AW121" t="b">
        <f>AND(IF(Metadata!J121="",FALSE,TRUE),EXACT(Metadata!J121,"free-living"))</f>
        <v>0</v>
      </c>
      <c r="AX121" t="b">
        <f>AND(IF(Metadata!K121="",FALSE,TRUE),OR(EXACT(Metadata!K121,"saline"),EXACT(Metadata!K121,"non-saline")))</f>
        <v>0</v>
      </c>
      <c r="AY121" t="b">
        <f>AND(IF(Metadata!L121="",FALSE,TRUE),OR(EXACT(Metadata!L121,"sub-surface (non-saline)"),EXACT(Metadata!L121,"surface (non-saline)"),EXACT(Metadata!L121,"water (non-saline)"),EXACT(Metadata!L121,"soil (non-saline)"),EXACT(Metadata!L121,"aerosol (non-saline)"),EXACT(Metadata!L121,"sediment (non-saline)"),EXACT(Metadata!L121,"surface (saline)"),EXACT(Metadata!L121,"water (saline)"),EXACT(Metadata!L121,"hypersaline (saline)"),EXACT(Metadata!L121,"aerosol (saline)"),EXACT(Metadata!L121,"sediment (saline)")))</f>
        <v>0</v>
      </c>
      <c r="AZ121" t="b">
        <f>IF(Metadata!M121="",FALSE,TRUE)</f>
        <v>0</v>
      </c>
      <c r="BA121" t="b">
        <f>IF(Metadata!N121="",FALSE,TRUE)</f>
        <v>0</v>
      </c>
      <c r="BB121" t="b">
        <f>IF(Metadata!O121="",FALSE,TRUE)</f>
        <v>0</v>
      </c>
      <c r="BC121" t="b">
        <f>AND(IF(Metadata!P121="",FALSE,TRUE),OR(EXACT(Metadata!P121,"air"),EXACT(Metadata!P121,"microbial mat/biofilm"),EXACT(Metadata!P121,"misc environment"),EXACT(Metadata!P121,"sediment"),EXACT(Metadata!P121,"soil"),EXACT(Metadata!P121,"wastewater/sludge"),EXACT(Metadata!P121,"water")))</f>
        <v>0</v>
      </c>
      <c r="BD121" t="b">
        <f>IF(Metadata!Q121="",FALSE,TRUE)</f>
        <v>0</v>
      </c>
      <c r="BE121" t="b">
        <f>IF(Metadata!R121="",FALSE,TRUE)</f>
        <v>0</v>
      </c>
      <c r="BF121" t="b">
        <f>OR(AND(IF(Metadata!S121="",FALSE,TRUE),OR(EXACT(Metadata!S121,"not collected"),EXACT(Metadata!S121,"not provided"),EXACT(Metadata!S121,"restricted access"))),AND(IF(Metadata!S121="",FALSE,ISNUMBER(VALUE(Metadata!S121))),Metadata!S121&gt;=-90,Metadata!S121&lt;=90))</f>
        <v>0</v>
      </c>
      <c r="BG121" t="b">
        <f>AND(IF(Metadata!T121="",FALSE,TRUE),EXACT(Metadata!T121,"Decimal degrees"))</f>
        <v>0</v>
      </c>
      <c r="BH121" t="b">
        <f>OR(AND(IF(Metadata!U121="",FALSE,TRUE),OR(EXACT(Metadata!U121,"not applicable"),EXACT(Metadata!U121,"not collected"))),IF(Metadata!U121="",FALSE,TRUE))</f>
        <v>0</v>
      </c>
      <c r="BI121" t="b">
        <f>OR(AND(IF(Metadata!V121="",FALSE,TRUE),OR(EXACT(Metadata!V121,"not collected"),EXACT(Metadata!V121,"not provided"),EXACT(Metadata!V121,"restricted access"))),AND(IF(Metadata!V121="",FALSE,ISNUMBER(VALUE(Metadata!V121))),Metadata!V121&gt;=-180,Metadata!V121&lt;=180))</f>
        <v>0</v>
      </c>
      <c r="BJ121" t="b">
        <f>AND(IF(Metadata!W121="",FALSE,TRUE),EXACT(Metadata!W121,"Decimal degrees"))</f>
        <v>0</v>
      </c>
      <c r="BK121" t="b">
        <f>IF(Metadata!X121="",FALSE,TRUE)</f>
        <v>0</v>
      </c>
      <c r="BL121" t="b">
        <f>OR(AND(IF(Metadata!Y121="",FALSE,TRUE),OR(EXACT(Metadata!Y121,"not collected"),EXACT(Metadata!Y121,"not provided"),EXACT(Metadata!Y121,"restricted access"))),AND(IF(Metadata!Y121="",FALSE,TRUE),OR(EXACT(Metadata!Y121,"TRUE"),EXACT(Metadata!Y121,"FALSE"))))</f>
        <v>0</v>
      </c>
      <c r="BM121" t="b">
        <f>OR(AND(IF(Metadata!Z121="",FALSE,TRUE),EXACT(Metadata!Z121,"not applicable")),AND(IF(Metadata!Z121="",FALSE,TRUE),OR(EXACT(Metadata!Z121,"beer"),EXACT(Metadata!Z121,"cheese"),EXACT(Metadata!Z121,"fresh water"),EXACT(Metadata!Z121,"marine sediment"),EXACT(Metadata!Z121,"sea water"),EXACT(Metadata!Z121,"sediment"),EXACT(Metadata!Z121,"soil"),EXACT(Metadata!Z121,"waste water"))))</f>
        <v>0</v>
      </c>
      <c r="BN121" t="b">
        <f>AND(IF(Metadata!AA121="",FALSE,TRUE),EXACT(Metadata!AA121,"metagenome"))</f>
        <v>0</v>
      </c>
      <c r="BO121" t="b">
        <f>AND(IF(Metadata!AB121="",FALSE,TRUE),EXACT(Metadata!AB121,"256318"))</f>
        <v>0</v>
      </c>
      <c r="BP121" t="b">
        <f>IF(Metadata!AC121="",FALSE,TRUE)</f>
        <v>0</v>
      </c>
      <c r="BQ121" t="b">
        <f>IF(Metadata!AD121="",FALSE,TRUE)</f>
        <v>0</v>
      </c>
    </row>
    <row r="122" spans="1:69" x14ac:dyDescent="0.2">
      <c r="A122" s="4" t="e">
        <f ca="1">IF(B122=" "," ",HYPERLINK(CONCATENATE("#metadata!",ADDRESS(INDEX($AJ$2:$AJ$1001,MATCH(ROWS($AH$2:AH122),$AH$2:$AH$1001,0),0),2)),INDEX($AM$2:$AM$1001,MATCH(ROWS($AH$2:AH122),$AH$2:$AH$1001,0),0)))</f>
        <v>#N/A</v>
      </c>
      <c r="B122" s="5" t="e">
        <f ca="1">IF(OR(INDEX($AI$2:$AI$1001,MATCH(ROWS($AH$2:AH122),$AH$2:$AH$1001,0),1)&gt;=100000,INDEX($AO$1005:$BQ$1005,1,MATCH(COLUMNS($AO$1006:AO1006),$AO$1006:$BQ$1006,0))&gt;=100000), " ",IF(INDEX($AO$2:$BQ$1001,MATCH(ROWS($AH$2:AH122),$AH$2:$AH$1001,0),MATCH(COLUMNS($AO$1006:AO1006),$AO$1006:$BQ$1006,0)), HYPERLINK("#",""), HYPERLINK(CONCATENATE("#Metadata!", ADDRESS(INDEX($AJ$2:$AJ$1001,MATCH(ROWS($AH$2:AH122),$AH$2:$AH$1001,0),0), INDEX($AO$1004:$BQ$1004,1,MATCH(COLUMNS($AO$1006:AO1006),$AO$1006:$BQ$1006,0)))),"Fix")))</f>
        <v>#N/A</v>
      </c>
      <c r="C122" s="5" t="e">
        <f ca="1">IF(OR(INDEX($AI$2:$AI$1001,MATCH(ROWS($AH$2:AH122),$AH$2:$AH$1001,0),1)&gt;=100000,INDEX($AO$1005:$BQ$1005,1,MATCH(COLUMNS($AO$1006:AP1006),$AO$1006:$BQ$1006,0))&gt;=100000), " ",IF(INDEX($AO$2:$BQ$1001,MATCH(ROWS($AH$2:AH122),$AH$2:$AH$1001,0),MATCH(COLUMNS($AO$1006:AP1006),$AO$1006:$BQ$1006,0)), HYPERLINK("#",""), HYPERLINK(CONCATENATE("#Metadata!", ADDRESS(INDEX($AJ$2:$AJ$1001,MATCH(ROWS($AH$2:AH122),$AH$2:$AH$1001,0),0), INDEX($AO$1004:$BQ$1004,1,MATCH(COLUMNS($AO$1006:AP1006),$AO$1006:$BQ$1006,0)))),"Fix")))</f>
        <v>#N/A</v>
      </c>
      <c r="D122" s="5" t="e">
        <f ca="1">IF(OR(INDEX($AI$2:$AI$1001,MATCH(ROWS($AH$2:AH122),$AH$2:$AH$1001,0),1)&gt;=100000,INDEX($AO$1005:$BQ$1005,1,MATCH(COLUMNS($AO$1006:AQ1006),$AO$1006:$BQ$1006,0))&gt;=100000), " ",IF(INDEX($AO$2:$BQ$1001,MATCH(ROWS($AH$2:AH122),$AH$2:$AH$1001,0),MATCH(COLUMNS($AO$1006:AQ1006),$AO$1006:$BQ$1006,0)), HYPERLINK("#",""), HYPERLINK(CONCATENATE("#Metadata!", ADDRESS(INDEX($AJ$2:$AJ$1001,MATCH(ROWS($AH$2:AH122),$AH$2:$AH$1001,0),0), INDEX($AO$1004:$BQ$1004,1,MATCH(COLUMNS($AO$1006:AQ1006),$AO$1006:$BQ$1006,0)))),"Fix")))</f>
        <v>#N/A</v>
      </c>
      <c r="E122" s="5" t="e">
        <f ca="1">IF(OR(INDEX($AI$2:$AI$1001,MATCH(ROWS($AH$2:AH122),$AH$2:$AH$1001,0),1)&gt;=100000,INDEX($AO$1005:$BQ$1005,1,MATCH(COLUMNS($AO$1006:AR1006),$AO$1006:$BQ$1006,0))&gt;=100000), " ",IF(INDEX($AO$2:$BQ$1001,MATCH(ROWS($AH$2:AH122),$AH$2:$AH$1001,0),MATCH(COLUMNS($AO$1006:AR1006),$AO$1006:$BQ$1006,0)), HYPERLINK("#",""), HYPERLINK(CONCATENATE("#Metadata!", ADDRESS(INDEX($AJ$2:$AJ$1001,MATCH(ROWS($AH$2:AH122),$AH$2:$AH$1001,0),0), INDEX($AO$1004:$BQ$1004,1,MATCH(COLUMNS($AO$1006:AR1006),$AO$1006:$BQ$1006,0)))),"Fix")))</f>
        <v>#N/A</v>
      </c>
      <c r="F122" s="5" t="e">
        <f ca="1">IF(OR(INDEX($AI$2:$AI$1001,MATCH(ROWS($AH$2:AH122),$AH$2:$AH$1001,0),1)&gt;=100000,INDEX($AO$1005:$BQ$1005,1,MATCH(COLUMNS($AO$1006:AS1006),$AO$1006:$BQ$1006,0))&gt;=100000), " ",IF(INDEX($AO$2:$BQ$1001,MATCH(ROWS($AH$2:AH122),$AH$2:$AH$1001,0),MATCH(COLUMNS($AO$1006:AS1006),$AO$1006:$BQ$1006,0)), HYPERLINK("#",""), HYPERLINK(CONCATENATE("#Metadata!", ADDRESS(INDEX($AJ$2:$AJ$1001,MATCH(ROWS($AH$2:AH122),$AH$2:$AH$1001,0),0), INDEX($AO$1004:$BQ$1004,1,MATCH(COLUMNS($AO$1006:AS1006),$AO$1006:$BQ$1006,0)))),"Fix")))</f>
        <v>#N/A</v>
      </c>
      <c r="G122" s="5" t="e">
        <f ca="1">IF(OR(INDEX($AI$2:$AI$1001,MATCH(ROWS($AH$2:AH122),$AH$2:$AH$1001,0),1)&gt;=100000,INDEX($AO$1005:$BQ$1005,1,MATCH(COLUMNS($AO$1006:AT1006),$AO$1006:$BQ$1006,0))&gt;=100000), " ",IF(INDEX($AO$2:$BQ$1001,MATCH(ROWS($AH$2:AH122),$AH$2:$AH$1001,0),MATCH(COLUMNS($AO$1006:AT1006),$AO$1006:$BQ$1006,0)), HYPERLINK("#",""), HYPERLINK(CONCATENATE("#Metadata!", ADDRESS(INDEX($AJ$2:$AJ$1001,MATCH(ROWS($AH$2:AH122),$AH$2:$AH$1001,0),0), INDEX($AO$1004:$BQ$1004,1,MATCH(COLUMNS($AO$1006:AT1006),$AO$1006:$BQ$1006,0)))),"Fix")))</f>
        <v>#N/A</v>
      </c>
      <c r="H122" s="5" t="e">
        <f ca="1">IF(OR(INDEX($AI$2:$AI$1001,MATCH(ROWS($AH$2:AH122),$AH$2:$AH$1001,0),1)&gt;=100000,INDEX($AO$1005:$BQ$1005,1,MATCH(COLUMNS($AO$1006:AU1006),$AO$1006:$BQ$1006,0))&gt;=100000), " ",IF(INDEX($AO$2:$BQ$1001,MATCH(ROWS($AH$2:AH122),$AH$2:$AH$1001,0),MATCH(COLUMNS($AO$1006:AU1006),$AO$1006:$BQ$1006,0)), HYPERLINK("#",""), HYPERLINK(CONCATENATE("#Metadata!", ADDRESS(INDEX($AJ$2:$AJ$1001,MATCH(ROWS($AH$2:AH122),$AH$2:$AH$1001,0),0), INDEX($AO$1004:$BQ$1004,1,MATCH(COLUMNS($AO$1006:AU1006),$AO$1006:$BQ$1006,0)))),"Fix")))</f>
        <v>#N/A</v>
      </c>
      <c r="I122" s="5" t="e">
        <f ca="1">IF(OR(INDEX($AI$2:$AI$1001,MATCH(ROWS($AH$2:AH122),$AH$2:$AH$1001,0),1)&gt;=100000,INDEX($AO$1005:$BQ$1005,1,MATCH(COLUMNS($AO$1006:AV1006),$AO$1006:$BQ$1006,0))&gt;=100000), " ",IF(INDEX($AO$2:$BQ$1001,MATCH(ROWS($AH$2:AH122),$AH$2:$AH$1001,0),MATCH(COLUMNS($AO$1006:AV1006),$AO$1006:$BQ$1006,0)), HYPERLINK("#",""), HYPERLINK(CONCATENATE("#Metadata!", ADDRESS(INDEX($AJ$2:$AJ$1001,MATCH(ROWS($AH$2:AH122),$AH$2:$AH$1001,0),0), INDEX($AO$1004:$BQ$1004,1,MATCH(COLUMNS($AO$1006:AV1006),$AO$1006:$BQ$1006,0)))),"Fix")))</f>
        <v>#N/A</v>
      </c>
      <c r="J122" s="5" t="e">
        <f ca="1">IF(OR(INDEX($AI$2:$AI$1001,MATCH(ROWS($AH$2:AH122),$AH$2:$AH$1001,0),1)&gt;=100000,INDEX($AO$1005:$BQ$1005,1,MATCH(COLUMNS($AO$1006:AW1006),$AO$1006:$BQ$1006,0))&gt;=100000), " ",IF(INDEX($AO$2:$BQ$1001,MATCH(ROWS($AH$2:AH122),$AH$2:$AH$1001,0),MATCH(COLUMNS($AO$1006:AW1006),$AO$1006:$BQ$1006,0)), HYPERLINK("#",""), HYPERLINK(CONCATENATE("#Metadata!", ADDRESS(INDEX($AJ$2:$AJ$1001,MATCH(ROWS($AH$2:AH122),$AH$2:$AH$1001,0),0), INDEX($AO$1004:$BQ$1004,1,MATCH(COLUMNS($AO$1006:AW1006),$AO$1006:$BQ$1006,0)))),"Fix")))</f>
        <v>#N/A</v>
      </c>
      <c r="K122" s="5" t="e">
        <f ca="1">IF(OR(INDEX($AI$2:$AI$1001,MATCH(ROWS($AH$2:AH122),$AH$2:$AH$1001,0),1)&gt;=100000,INDEX($AO$1005:$BQ$1005,1,MATCH(COLUMNS($AO$1006:AX1006),$AO$1006:$BQ$1006,0))&gt;=100000), " ",IF(INDEX($AO$2:$BQ$1001,MATCH(ROWS($AH$2:AH122),$AH$2:$AH$1001,0),MATCH(COLUMNS($AO$1006:AX1006),$AO$1006:$BQ$1006,0)), HYPERLINK("#",""), HYPERLINK(CONCATENATE("#Metadata!", ADDRESS(INDEX($AJ$2:$AJ$1001,MATCH(ROWS($AH$2:AH122),$AH$2:$AH$1001,0),0), INDEX($AO$1004:$BQ$1004,1,MATCH(COLUMNS($AO$1006:AX1006),$AO$1006:$BQ$1006,0)))),"Fix")))</f>
        <v>#N/A</v>
      </c>
      <c r="L122" s="5" t="e">
        <f ca="1">IF(OR(INDEX($AI$2:$AI$1001,MATCH(ROWS($AH$2:AH122),$AH$2:$AH$1001,0),1)&gt;=100000,INDEX($AO$1005:$BQ$1005,1,MATCH(COLUMNS($AO$1006:AY1006),$AO$1006:$BQ$1006,0))&gt;=100000), " ",IF(INDEX($AO$2:$BQ$1001,MATCH(ROWS($AH$2:AH122),$AH$2:$AH$1001,0),MATCH(COLUMNS($AO$1006:AY1006),$AO$1006:$BQ$1006,0)), HYPERLINK("#",""), HYPERLINK(CONCATENATE("#Metadata!", ADDRESS(INDEX($AJ$2:$AJ$1001,MATCH(ROWS($AH$2:AH122),$AH$2:$AH$1001,0),0), INDEX($AO$1004:$BQ$1004,1,MATCH(COLUMNS($AO$1006:AY1006),$AO$1006:$BQ$1006,0)))),"Fix")))</f>
        <v>#N/A</v>
      </c>
      <c r="M122" s="5" t="e">
        <f ca="1">IF(OR(INDEX($AI$2:$AI$1001,MATCH(ROWS($AH$2:AH122),$AH$2:$AH$1001,0),1)&gt;=100000,INDEX($AO$1005:$BQ$1005,1,MATCH(COLUMNS($AO$1006:AZ1006),$AO$1006:$BQ$1006,0))&gt;=100000), " ",IF(INDEX($AO$2:$BQ$1001,MATCH(ROWS($AH$2:AH122),$AH$2:$AH$1001,0),MATCH(COLUMNS($AO$1006:AZ1006),$AO$1006:$BQ$1006,0)), HYPERLINK("#",""), HYPERLINK(CONCATENATE("#Metadata!", ADDRESS(INDEX($AJ$2:$AJ$1001,MATCH(ROWS($AH$2:AH122),$AH$2:$AH$1001,0),0), INDEX($AO$1004:$BQ$1004,1,MATCH(COLUMNS($AO$1006:AZ1006),$AO$1006:$BQ$1006,0)))),"Fix")))</f>
        <v>#N/A</v>
      </c>
      <c r="N122" s="5" t="e">
        <f ca="1">IF(OR(INDEX($AI$2:$AI$1001,MATCH(ROWS($AH$2:AH122),$AH$2:$AH$1001,0),1)&gt;=100000,INDEX($AO$1005:$BQ$1005,1,MATCH(COLUMNS($AO$1006:BA1006),$AO$1006:$BQ$1006,0))&gt;=100000), " ",IF(INDEX($AO$2:$BQ$1001,MATCH(ROWS($AH$2:AH122),$AH$2:$AH$1001,0),MATCH(COLUMNS($AO$1006:BA1006),$AO$1006:$BQ$1006,0)), HYPERLINK("#",""), HYPERLINK(CONCATENATE("#Metadata!", ADDRESS(INDEX($AJ$2:$AJ$1001,MATCH(ROWS($AH$2:AH122),$AH$2:$AH$1001,0),0), INDEX($AO$1004:$BQ$1004,1,MATCH(COLUMNS($AO$1006:BA1006),$AO$1006:$BQ$1006,0)))),"Fix")))</f>
        <v>#N/A</v>
      </c>
      <c r="O122" s="5" t="e">
        <f ca="1">IF(OR(INDEX($AI$2:$AI$1001,MATCH(ROWS($AH$2:AH122),$AH$2:$AH$1001,0),1)&gt;=100000,INDEX($AO$1005:$BQ$1005,1,MATCH(COLUMNS($AO$1006:BB1006),$AO$1006:$BQ$1006,0))&gt;=100000), " ",IF(INDEX($AO$2:$BQ$1001,MATCH(ROWS($AH$2:AH122),$AH$2:$AH$1001,0),MATCH(COLUMNS($AO$1006:BB1006),$AO$1006:$BQ$1006,0)), HYPERLINK("#",""), HYPERLINK(CONCATENATE("#Metadata!", ADDRESS(INDEX($AJ$2:$AJ$1001,MATCH(ROWS($AH$2:AH122),$AH$2:$AH$1001,0),0), INDEX($AO$1004:$BQ$1004,1,MATCH(COLUMNS($AO$1006:BB1006),$AO$1006:$BQ$1006,0)))),"Fix")))</f>
        <v>#N/A</v>
      </c>
      <c r="P122" s="5" t="e">
        <f ca="1">IF(OR(INDEX($AI$2:$AI$1001,MATCH(ROWS($AH$2:AH122),$AH$2:$AH$1001,0),1)&gt;=100000,INDEX($AO$1005:$BQ$1005,1,MATCH(COLUMNS($AO$1006:BC1006),$AO$1006:$BQ$1006,0))&gt;=100000), " ",IF(INDEX($AO$2:$BQ$1001,MATCH(ROWS($AH$2:AH122),$AH$2:$AH$1001,0),MATCH(COLUMNS($AO$1006:BC1006),$AO$1006:$BQ$1006,0)), HYPERLINK("#",""), HYPERLINK(CONCATENATE("#Metadata!", ADDRESS(INDEX($AJ$2:$AJ$1001,MATCH(ROWS($AH$2:AH122),$AH$2:$AH$1001,0),0), INDEX($AO$1004:$BQ$1004,1,MATCH(COLUMNS($AO$1006:BC1006),$AO$1006:$BQ$1006,0)))),"Fix")))</f>
        <v>#N/A</v>
      </c>
      <c r="Q122" s="5" t="e">
        <f ca="1">IF(OR(INDEX($AI$2:$AI$1001,MATCH(ROWS($AH$2:AH122),$AH$2:$AH$1001,0),1)&gt;=100000,INDEX($AO$1005:$BQ$1005,1,MATCH(COLUMNS($AO$1006:BD1006),$AO$1006:$BQ$1006,0))&gt;=100000), " ",IF(INDEX($AO$2:$BQ$1001,MATCH(ROWS($AH$2:AH122),$AH$2:$AH$1001,0),MATCH(COLUMNS($AO$1006:BD1006),$AO$1006:$BQ$1006,0)), HYPERLINK("#",""), HYPERLINK(CONCATENATE("#Metadata!", ADDRESS(INDEX($AJ$2:$AJ$1001,MATCH(ROWS($AH$2:AH122),$AH$2:$AH$1001,0),0), INDEX($AO$1004:$BQ$1004,1,MATCH(COLUMNS($AO$1006:BD1006),$AO$1006:$BQ$1006,0)))),"Fix")))</f>
        <v>#N/A</v>
      </c>
      <c r="R122" s="5" t="e">
        <f ca="1">IF(OR(INDEX($AI$2:$AI$1001,MATCH(ROWS($AH$2:AH122),$AH$2:$AH$1001,0),1)&gt;=100000,INDEX($AO$1005:$BQ$1005,1,MATCH(COLUMNS($AO$1006:BE1006),$AO$1006:$BQ$1006,0))&gt;=100000), " ",IF(INDEX($AO$2:$BQ$1001,MATCH(ROWS($AH$2:AH122),$AH$2:$AH$1001,0),MATCH(COLUMNS($AO$1006:BE1006),$AO$1006:$BQ$1006,0)), HYPERLINK("#",""), HYPERLINK(CONCATENATE("#Metadata!", ADDRESS(INDEX($AJ$2:$AJ$1001,MATCH(ROWS($AH$2:AH122),$AH$2:$AH$1001,0),0), INDEX($AO$1004:$BQ$1004,1,MATCH(COLUMNS($AO$1006:BE1006),$AO$1006:$BQ$1006,0)))),"Fix")))</f>
        <v>#N/A</v>
      </c>
      <c r="S122" s="5" t="e">
        <f ca="1">IF(OR(INDEX($AI$2:$AI$1001,MATCH(ROWS($AH$2:AH122),$AH$2:$AH$1001,0),1)&gt;=100000,INDEX($AO$1005:$BQ$1005,1,MATCH(COLUMNS($AO$1006:BF1006),$AO$1006:$BQ$1006,0))&gt;=100000), " ",IF(INDEX($AO$2:$BQ$1001,MATCH(ROWS($AH$2:AH122),$AH$2:$AH$1001,0),MATCH(COLUMNS($AO$1006:BF1006),$AO$1006:$BQ$1006,0)), HYPERLINK("#",""), HYPERLINK(CONCATENATE("#Metadata!", ADDRESS(INDEX($AJ$2:$AJ$1001,MATCH(ROWS($AH$2:AH122),$AH$2:$AH$1001,0),0), INDEX($AO$1004:$BQ$1004,1,MATCH(COLUMNS($AO$1006:BF1006),$AO$1006:$BQ$1006,0)))),"Fix")))</f>
        <v>#N/A</v>
      </c>
      <c r="T122" s="5" t="e">
        <f ca="1">IF(OR(INDEX($AI$2:$AI$1001,MATCH(ROWS($AH$2:AH122),$AH$2:$AH$1001,0),1)&gt;=100000,INDEX($AO$1005:$BQ$1005,1,MATCH(COLUMNS($AO$1006:BG1006),$AO$1006:$BQ$1006,0))&gt;=100000), " ",IF(INDEX($AO$2:$BQ$1001,MATCH(ROWS($AH$2:AH122),$AH$2:$AH$1001,0),MATCH(COLUMNS($AO$1006:BG1006),$AO$1006:$BQ$1006,0)), HYPERLINK("#",""), HYPERLINK(CONCATENATE("#Metadata!", ADDRESS(INDEX($AJ$2:$AJ$1001,MATCH(ROWS($AH$2:AH122),$AH$2:$AH$1001,0),0), INDEX($AO$1004:$BQ$1004,1,MATCH(COLUMNS($AO$1006:BG1006),$AO$1006:$BQ$1006,0)))),"Fix")))</f>
        <v>#N/A</v>
      </c>
      <c r="U122" s="5" t="e">
        <f ca="1">IF(OR(INDEX($AI$2:$AI$1001,MATCH(ROWS($AH$2:AH122),$AH$2:$AH$1001,0),1)&gt;=100000,INDEX($AO$1005:$BQ$1005,1,MATCH(COLUMNS($AO$1006:BH1006),$AO$1006:$BQ$1006,0))&gt;=100000), " ",IF(INDEX($AO$2:$BQ$1001,MATCH(ROWS($AH$2:AH122),$AH$2:$AH$1001,0),MATCH(COLUMNS($AO$1006:BH1006),$AO$1006:$BQ$1006,0)), HYPERLINK("#",""), HYPERLINK(CONCATENATE("#Metadata!", ADDRESS(INDEX($AJ$2:$AJ$1001,MATCH(ROWS($AH$2:AH122),$AH$2:$AH$1001,0),0), INDEX($AO$1004:$BQ$1004,1,MATCH(COLUMNS($AO$1006:BH1006),$AO$1006:$BQ$1006,0)))),"Fix")))</f>
        <v>#N/A</v>
      </c>
      <c r="V122" s="5" t="e">
        <f ca="1">IF(OR(INDEX($AI$2:$AI$1001,MATCH(ROWS($AH$2:AH122),$AH$2:$AH$1001,0),1)&gt;=100000,INDEX($AO$1005:$BQ$1005,1,MATCH(COLUMNS($AO$1006:BI1006),$AO$1006:$BQ$1006,0))&gt;=100000), " ",IF(INDEX($AO$2:$BQ$1001,MATCH(ROWS($AH$2:AH122),$AH$2:$AH$1001,0),MATCH(COLUMNS($AO$1006:BI1006),$AO$1006:$BQ$1006,0)), HYPERLINK("#",""), HYPERLINK(CONCATENATE("#Metadata!", ADDRESS(INDEX($AJ$2:$AJ$1001,MATCH(ROWS($AH$2:AH122),$AH$2:$AH$1001,0),0), INDEX($AO$1004:$BQ$1004,1,MATCH(COLUMNS($AO$1006:BI1006),$AO$1006:$BQ$1006,0)))),"Fix")))</f>
        <v>#N/A</v>
      </c>
      <c r="W122" s="5" t="e">
        <f ca="1">IF(OR(INDEX($AI$2:$AI$1001,MATCH(ROWS($AH$2:AH122),$AH$2:$AH$1001,0),1)&gt;=100000,INDEX($AO$1005:$BQ$1005,1,MATCH(COLUMNS($AO$1006:BJ1006),$AO$1006:$BQ$1006,0))&gt;=100000), " ",IF(INDEX($AO$2:$BQ$1001,MATCH(ROWS($AH$2:AH122),$AH$2:$AH$1001,0),MATCH(COLUMNS($AO$1006:BJ1006),$AO$1006:$BQ$1006,0)), HYPERLINK("#",""), HYPERLINK(CONCATENATE("#Metadata!", ADDRESS(INDEX($AJ$2:$AJ$1001,MATCH(ROWS($AH$2:AH122),$AH$2:$AH$1001,0),0), INDEX($AO$1004:$BQ$1004,1,MATCH(COLUMNS($AO$1006:BJ1006),$AO$1006:$BQ$1006,0)))),"Fix")))</f>
        <v>#N/A</v>
      </c>
      <c r="X122" s="5" t="e">
        <f ca="1">IF(OR(INDEX($AI$2:$AI$1001,MATCH(ROWS($AH$2:AH122),$AH$2:$AH$1001,0),1)&gt;=100000,INDEX($AO$1005:$BQ$1005,1,MATCH(COLUMNS($AO$1006:BK1006),$AO$1006:$BQ$1006,0))&gt;=100000), " ",IF(INDEX($AO$2:$BQ$1001,MATCH(ROWS($AH$2:AH122),$AH$2:$AH$1001,0),MATCH(COLUMNS($AO$1006:BK1006),$AO$1006:$BQ$1006,0)), HYPERLINK("#",""), HYPERLINK(CONCATENATE("#Metadata!", ADDRESS(INDEX($AJ$2:$AJ$1001,MATCH(ROWS($AH$2:AH122),$AH$2:$AH$1001,0),0), INDEX($AO$1004:$BQ$1004,1,MATCH(COLUMNS($AO$1006:BK1006),$AO$1006:$BQ$1006,0)))),"Fix")))</f>
        <v>#N/A</v>
      </c>
      <c r="Y122" s="5" t="e">
        <f ca="1">IF(OR(INDEX($AI$2:$AI$1001,MATCH(ROWS($AH$2:AH122),$AH$2:$AH$1001,0),1)&gt;=100000,INDEX($AO$1005:$BQ$1005,1,MATCH(COLUMNS($AO$1006:BL1006),$AO$1006:$BQ$1006,0))&gt;=100000), " ",IF(INDEX($AO$2:$BQ$1001,MATCH(ROWS($AH$2:AH122),$AH$2:$AH$1001,0),MATCH(COLUMNS($AO$1006:BL1006),$AO$1006:$BQ$1006,0)), HYPERLINK("#",""), HYPERLINK(CONCATENATE("#Metadata!", ADDRESS(INDEX($AJ$2:$AJ$1001,MATCH(ROWS($AH$2:AH122),$AH$2:$AH$1001,0),0), INDEX($AO$1004:$BQ$1004,1,MATCH(COLUMNS($AO$1006:BL1006),$AO$1006:$BQ$1006,0)))),"Fix")))</f>
        <v>#N/A</v>
      </c>
      <c r="Z122" s="5" t="e">
        <f ca="1">IF(OR(INDEX($AI$2:$AI$1001,MATCH(ROWS($AH$2:AH122),$AH$2:$AH$1001,0),1)&gt;=100000,INDEX($AO$1005:$BQ$1005,1,MATCH(COLUMNS($AO$1006:BM1006),$AO$1006:$BQ$1006,0))&gt;=100000), " ",IF(INDEX($AO$2:$BQ$1001,MATCH(ROWS($AH$2:AH122),$AH$2:$AH$1001,0),MATCH(COLUMNS($AO$1006:BM1006),$AO$1006:$BQ$1006,0)), HYPERLINK("#",""), HYPERLINK(CONCATENATE("#Metadata!", ADDRESS(INDEX($AJ$2:$AJ$1001,MATCH(ROWS($AH$2:AH122),$AH$2:$AH$1001,0),0), INDEX($AO$1004:$BQ$1004,1,MATCH(COLUMNS($AO$1006:BM1006),$AO$1006:$BQ$1006,0)))),"Fix")))</f>
        <v>#N/A</v>
      </c>
      <c r="AA122" s="5" t="e">
        <f ca="1">IF(OR(INDEX($AI$2:$AI$1001,MATCH(ROWS($AH$2:AH122),$AH$2:$AH$1001,0),1)&gt;=100000,INDEX($AO$1005:$BQ$1005,1,MATCH(COLUMNS($AO$1006:BN1006),$AO$1006:$BQ$1006,0))&gt;=100000), " ",IF(INDEX($AO$2:$BQ$1001,MATCH(ROWS($AH$2:AH122),$AH$2:$AH$1001,0),MATCH(COLUMNS($AO$1006:BN1006),$AO$1006:$BQ$1006,0)), HYPERLINK("#",""), HYPERLINK(CONCATENATE("#Metadata!", ADDRESS(INDEX($AJ$2:$AJ$1001,MATCH(ROWS($AH$2:AH122),$AH$2:$AH$1001,0),0), INDEX($AO$1004:$BQ$1004,1,MATCH(COLUMNS($AO$1006:BN1006),$AO$1006:$BQ$1006,0)))),"Fix")))</f>
        <v>#N/A</v>
      </c>
      <c r="AB122" s="5" t="e">
        <f ca="1">IF(OR(INDEX($AI$2:$AI$1001,MATCH(ROWS($AH$2:AH122),$AH$2:$AH$1001,0),1)&gt;=100000,INDEX($AO$1005:$BQ$1005,1,MATCH(COLUMNS($AO$1006:BO1006),$AO$1006:$BQ$1006,0))&gt;=100000), " ",IF(INDEX($AO$2:$BQ$1001,MATCH(ROWS($AH$2:AH122),$AH$2:$AH$1001,0),MATCH(COLUMNS($AO$1006:BO1006),$AO$1006:$BQ$1006,0)), HYPERLINK("#",""), HYPERLINK(CONCATENATE("#Metadata!", ADDRESS(INDEX($AJ$2:$AJ$1001,MATCH(ROWS($AH$2:AH122),$AH$2:$AH$1001,0),0), INDEX($AO$1004:$BQ$1004,1,MATCH(COLUMNS($AO$1006:BO1006),$AO$1006:$BQ$1006,0)))),"Fix")))</f>
        <v>#N/A</v>
      </c>
      <c r="AC122" s="5" t="e">
        <f ca="1">IF(OR(INDEX($AI$2:$AI$1001,MATCH(ROWS($AH$2:AH122),$AH$2:$AH$1001,0),1)&gt;=100000,INDEX($AO$1005:$BQ$1005,1,MATCH(COLUMNS($AO$1006:BP1006),$AO$1006:$BQ$1006,0))&gt;=100000), " ",IF(INDEX($AO$2:$BQ$1001,MATCH(ROWS($AH$2:AH122),$AH$2:$AH$1001,0),MATCH(COLUMNS($AO$1006:BP1006),$AO$1006:$BQ$1006,0)), HYPERLINK("#",""), HYPERLINK(CONCATENATE("#Metadata!", ADDRESS(INDEX($AJ$2:$AJ$1001,MATCH(ROWS($AH$2:AH122),$AH$2:$AH$1001,0),0), INDEX($AO$1004:$BQ$1004,1,MATCH(COLUMNS($AO$1006:BP1006),$AO$1006:$BQ$1006,0)))),"Fix")))</f>
        <v>#N/A</v>
      </c>
      <c r="AD122" s="5" t="e">
        <f ca="1">IF(OR(INDEX($AI$2:$AI$1001,MATCH(ROWS($AH$2:AH122),$AH$2:$AH$1001,0),1)&gt;=100000,INDEX($AO$1005:$BQ$1005,1,MATCH(COLUMNS($AO$1006:BQ1006),$AO$1006:$BQ$1006,0))&gt;=100000), " ",IF(INDEX($AO$2:$BQ$1001,MATCH(ROWS($AH$2:AH122),$AH$2:$AH$1001,0),MATCH(COLUMNS($AO$1006:BQ1006),$AO$1006:$BQ$1006,0)), HYPERLINK("#",""), HYPERLINK(CONCATENATE("#Metadata!", ADDRESS(INDEX($AJ$2:$AJ$1001,MATCH(ROWS($AH$2:AH122),$AH$2:$AH$1001,0),0), INDEX($AO$1004:$BQ$1004,1,MATCH(COLUMNS($AO$1006:BQ1006),$AO$1006:$BQ$1006,0)))),"Fix")))</f>
        <v>#REF!</v>
      </c>
      <c r="AH122">
        <f ca="1"/>
        <v>119</v>
      </c>
      <c r="AI122">
        <v>100122</v>
      </c>
      <c r="AJ122">
        <v>122</v>
      </c>
      <c r="AK122" t="b">
        <f t="shared" si="1"/>
        <v>1</v>
      </c>
      <c r="AL122" t="b">
        <f>COUNTBLANK(Metadata!B122:AD122)=COLUMNS(Metadata!B122:AD122)</f>
        <v>1</v>
      </c>
      <c r="AM122" t="str">
        <v/>
      </c>
      <c r="AO122" t="b">
        <f ca="1">AND(IF(Metadata!B122="",FALSE,TRUE),COUNTIF(Metadata!B:B, Metadata!B122) = 1,NOT(ISERROR(SUMPRODUCT(SEARCH(MID(Metadata!B122,ROW(INDIRECT("1:"&amp;LEN(Metadata!B122))), 1),"0123456789abcdefghijklmnopqrstuvwxyzABCDEFGHIJKLMNOPQRSTUVWXYZ.")))))</f>
        <v>0</v>
      </c>
      <c r="AP122" t="b">
        <f>IF(Metadata!C122="",FALSE,TRUE)</f>
        <v>0</v>
      </c>
      <c r="AQ122" t="b">
        <f>IF(Metadata!D122="",FALSE,TRUE)</f>
        <v>0</v>
      </c>
      <c r="AR122" t="b">
        <f ca="1">OR(AND(IF(Metadata!E122="",FALSE,TRUE),OR(EXACT(Metadata!E122,"not collected"),EXACT(Metadata!E122,"not provided"),EXACT(Metadata!E122,"restricted access"))),AND(IF(Metadata!E122="",FALSE,TRUE),AND(AND(IFERROR(INT(LEFT(Metadata!E122,4))&gt;1900,FALSE),IFERROR(INT(LEFT(Metadata!E122,4))&lt;=YEAR(NOW()),FALSE)), OR(MID(Metadata!E122,5,1)="", AND(AND(MID(Metadata!E122,5,1)="-",IFERROR(INT(MID(Metadata!E122,6,1))&gt;=0,FALSE),IFERROR(INT(MID(Metadata!E122,6,1))&lt;=1,FALSE),NOT(MID(Metadata!E122,7,1)=""),IFERROR(INT(MID(Metadata!E122,6,2))&gt;=1,FALSE),IFERROR(INT(MID(Metadata!E122,6,2))&lt;=12,FALSE)), OR(MID(Metadata!E122,8,1)="", AND(AND(MID(Metadata!E122,8,1)="-",IFERROR(INT(MID(Metadata!E122,9,1))&gt;=0,FALSE),IFERROR(INT(MID(Metadata!E122,9,1))&lt;=3,FALSE),NOT(MID(Metadata!E122,10,1)=""),IFERROR(INT(MID(Metadata!E122,9,2))&gt;=1,FALSE),IFERROR(INT(MID(Metadata!E122,9,2))&lt;=31,FALSE)), OR(MID(Metadata!E122,11,1)="", AND(AND(MID(Metadata!E122,11,1)=" ",IFERROR(INT(MID(Metadata!E122,12,1))&gt;=0,FALSE),IFERROR(INT(MID(Metadata!E122,12,1))&lt;=2,FALSE),NOT(MID(Metadata!E122,13,1)=""),IFERROR(INT(MID(Metadata!E122,12,2))&gt;=0,FALSE),IFERROR(INT(MID(Metadata!E122,12,2))&lt;=23,FALSE)), OR(MID(Metadata!E122,14,1)="", AND(AND(MID(Metadata!E122,14,1)=":",IFERROR(INT(MID(Metadata!E122,15,1))&gt;=0,FALSE),IFERROR(INT(MID(Metadata!E122,15,1))&lt;=5,FALSE),NOT(MID(Metadata!E122,16,1)=""),IFERROR(INT(MID(Metadata!E122,15,2))&gt;=0,FALSE),IFERROR(INT(MID(Metadata!E122,15,2))&lt;=59,FALSE)), OR(MID(Metadata!E122,17,1)="", AND(AND(MID(Metadata!E122,17,1)=":",IFERROR(INT(MID(Metadata!E122,18,1))&gt;=0,FALSE),IFERROR(INT(MID(Metadata!E122,18,1))&lt;=5,FALSE),NOT(MID(Metadata!E122,19,1)=""),IFERROR(INT(MID(Metadata!E122,18,2))&gt;=0,FALSE),IFERROR(INT(MID(Metadata!E122,18,2))&lt;=59,FALSE)), LEN(Metadata!E122)&lt;=19)))))))))))))</f>
        <v>0</v>
      </c>
      <c r="AS122" t="b">
        <f>IF(Metadata!F122="",FALSE,TRUE)</f>
        <v>0</v>
      </c>
      <c r="AT122" t="b">
        <f>OR(AND(IF(Metadata!G122="",FALSE,TRUE),OR(EXACT(Metadata!G122,"not collected"),EXACT(Metadata!G122,"not provided"))),AND(IF(Metadata!G122="",FALSE,TRUE),OR(EXACT(Metadata!G122,"TRUE"),EXACT(Metadata!G122,"FALSE"))))</f>
        <v>0</v>
      </c>
      <c r="AU122" t="b">
        <f>OR(AND(IF(Metadata!H122="",FALSE,TRUE),OR(EXACT(Metadata!H122,"not collected"),EXACT(Metadata!H122,"not provided"),EXACT(Metadata!H122,"restricted access"))),AND(IF(Metadata!H122="",FALSE,ISNUMBER(VALUE(Metadata!H122))),Metadata!H122&gt;=-413))</f>
        <v>0</v>
      </c>
      <c r="AV122" t="b">
        <f>AND(IF(Metadata!I122="",FALSE,TRUE),EXACT(Metadata!I122,"meters"))</f>
        <v>0</v>
      </c>
      <c r="AW122" t="b">
        <f>AND(IF(Metadata!J122="",FALSE,TRUE),EXACT(Metadata!J122,"free-living"))</f>
        <v>0</v>
      </c>
      <c r="AX122" t="b">
        <f>AND(IF(Metadata!K122="",FALSE,TRUE),OR(EXACT(Metadata!K122,"saline"),EXACT(Metadata!K122,"non-saline")))</f>
        <v>0</v>
      </c>
      <c r="AY122" t="b">
        <f>AND(IF(Metadata!L122="",FALSE,TRUE),OR(EXACT(Metadata!L122,"sub-surface (non-saline)"),EXACT(Metadata!L122,"surface (non-saline)"),EXACT(Metadata!L122,"water (non-saline)"),EXACT(Metadata!L122,"soil (non-saline)"),EXACT(Metadata!L122,"aerosol (non-saline)"),EXACT(Metadata!L122,"sediment (non-saline)"),EXACT(Metadata!L122,"surface (saline)"),EXACT(Metadata!L122,"water (saline)"),EXACT(Metadata!L122,"hypersaline (saline)"),EXACT(Metadata!L122,"aerosol (saline)"),EXACT(Metadata!L122,"sediment (saline)")))</f>
        <v>0</v>
      </c>
      <c r="AZ122" t="b">
        <f>IF(Metadata!M122="",FALSE,TRUE)</f>
        <v>0</v>
      </c>
      <c r="BA122" t="b">
        <f>IF(Metadata!N122="",FALSE,TRUE)</f>
        <v>0</v>
      </c>
      <c r="BB122" t="b">
        <f>IF(Metadata!O122="",FALSE,TRUE)</f>
        <v>0</v>
      </c>
      <c r="BC122" t="b">
        <f>AND(IF(Metadata!P122="",FALSE,TRUE),OR(EXACT(Metadata!P122,"air"),EXACT(Metadata!P122,"microbial mat/biofilm"),EXACT(Metadata!P122,"misc environment"),EXACT(Metadata!P122,"sediment"),EXACT(Metadata!P122,"soil"),EXACT(Metadata!P122,"wastewater/sludge"),EXACT(Metadata!P122,"water")))</f>
        <v>0</v>
      </c>
      <c r="BD122" t="b">
        <f>IF(Metadata!Q122="",FALSE,TRUE)</f>
        <v>0</v>
      </c>
      <c r="BE122" t="b">
        <f>IF(Metadata!R122="",FALSE,TRUE)</f>
        <v>0</v>
      </c>
      <c r="BF122" t="b">
        <f>OR(AND(IF(Metadata!S122="",FALSE,TRUE),OR(EXACT(Metadata!S122,"not collected"),EXACT(Metadata!S122,"not provided"),EXACT(Metadata!S122,"restricted access"))),AND(IF(Metadata!S122="",FALSE,ISNUMBER(VALUE(Metadata!S122))),Metadata!S122&gt;=-90,Metadata!S122&lt;=90))</f>
        <v>0</v>
      </c>
      <c r="BG122" t="b">
        <f>AND(IF(Metadata!T122="",FALSE,TRUE),EXACT(Metadata!T122,"Decimal degrees"))</f>
        <v>0</v>
      </c>
      <c r="BH122" t="b">
        <f>OR(AND(IF(Metadata!U122="",FALSE,TRUE),OR(EXACT(Metadata!U122,"not applicable"),EXACT(Metadata!U122,"not collected"))),IF(Metadata!U122="",FALSE,TRUE))</f>
        <v>0</v>
      </c>
      <c r="BI122" t="b">
        <f>OR(AND(IF(Metadata!V122="",FALSE,TRUE),OR(EXACT(Metadata!V122,"not collected"),EXACT(Metadata!V122,"not provided"),EXACT(Metadata!V122,"restricted access"))),AND(IF(Metadata!V122="",FALSE,ISNUMBER(VALUE(Metadata!V122))),Metadata!V122&gt;=-180,Metadata!V122&lt;=180))</f>
        <v>0</v>
      </c>
      <c r="BJ122" t="b">
        <f>AND(IF(Metadata!W122="",FALSE,TRUE),EXACT(Metadata!W122,"Decimal degrees"))</f>
        <v>0</v>
      </c>
      <c r="BK122" t="b">
        <f>IF(Metadata!X122="",FALSE,TRUE)</f>
        <v>0</v>
      </c>
      <c r="BL122" t="b">
        <f>OR(AND(IF(Metadata!Y122="",FALSE,TRUE),OR(EXACT(Metadata!Y122,"not collected"),EXACT(Metadata!Y122,"not provided"),EXACT(Metadata!Y122,"restricted access"))),AND(IF(Metadata!Y122="",FALSE,TRUE),OR(EXACT(Metadata!Y122,"TRUE"),EXACT(Metadata!Y122,"FALSE"))))</f>
        <v>0</v>
      </c>
      <c r="BM122" t="b">
        <f>OR(AND(IF(Metadata!Z122="",FALSE,TRUE),EXACT(Metadata!Z122,"not applicable")),AND(IF(Metadata!Z122="",FALSE,TRUE),OR(EXACT(Metadata!Z122,"beer"),EXACT(Metadata!Z122,"cheese"),EXACT(Metadata!Z122,"fresh water"),EXACT(Metadata!Z122,"marine sediment"),EXACT(Metadata!Z122,"sea water"),EXACT(Metadata!Z122,"sediment"),EXACT(Metadata!Z122,"soil"),EXACT(Metadata!Z122,"waste water"))))</f>
        <v>0</v>
      </c>
      <c r="BN122" t="b">
        <f>AND(IF(Metadata!AA122="",FALSE,TRUE),EXACT(Metadata!AA122,"metagenome"))</f>
        <v>0</v>
      </c>
      <c r="BO122" t="b">
        <f>AND(IF(Metadata!AB122="",FALSE,TRUE),EXACT(Metadata!AB122,"256318"))</f>
        <v>0</v>
      </c>
      <c r="BP122" t="b">
        <f>IF(Metadata!AC122="",FALSE,TRUE)</f>
        <v>0</v>
      </c>
      <c r="BQ122" t="b">
        <f>IF(Metadata!AD122="",FALSE,TRUE)</f>
        <v>0</v>
      </c>
    </row>
    <row r="123" spans="1:69" x14ac:dyDescent="0.2">
      <c r="A123" s="4" t="e">
        <f ca="1">IF(B123=" "," ",HYPERLINK(CONCATENATE("#metadata!",ADDRESS(INDEX($AJ$2:$AJ$1001,MATCH(ROWS($AH$2:AH123),$AH$2:$AH$1001,0),0),2)),INDEX($AM$2:$AM$1001,MATCH(ROWS($AH$2:AH123),$AH$2:$AH$1001,0),0)))</f>
        <v>#N/A</v>
      </c>
      <c r="B123" s="5" t="e">
        <f ca="1">IF(OR(INDEX($AI$2:$AI$1001,MATCH(ROWS($AH$2:AH123),$AH$2:$AH$1001,0),1)&gt;=100000,INDEX($AO$1005:$BQ$1005,1,MATCH(COLUMNS($AO$1006:AO1006),$AO$1006:$BQ$1006,0))&gt;=100000), " ",IF(INDEX($AO$2:$BQ$1001,MATCH(ROWS($AH$2:AH123),$AH$2:$AH$1001,0),MATCH(COLUMNS($AO$1006:AO1006),$AO$1006:$BQ$1006,0)), HYPERLINK("#",""), HYPERLINK(CONCATENATE("#Metadata!", ADDRESS(INDEX($AJ$2:$AJ$1001,MATCH(ROWS($AH$2:AH123),$AH$2:$AH$1001,0),0), INDEX($AO$1004:$BQ$1004,1,MATCH(COLUMNS($AO$1006:AO1006),$AO$1006:$BQ$1006,0)))),"Fix")))</f>
        <v>#N/A</v>
      </c>
      <c r="C123" s="5" t="e">
        <f ca="1">IF(OR(INDEX($AI$2:$AI$1001,MATCH(ROWS($AH$2:AH123),$AH$2:$AH$1001,0),1)&gt;=100000,INDEX($AO$1005:$BQ$1005,1,MATCH(COLUMNS($AO$1006:AP1006),$AO$1006:$BQ$1006,0))&gt;=100000), " ",IF(INDEX($AO$2:$BQ$1001,MATCH(ROWS($AH$2:AH123),$AH$2:$AH$1001,0),MATCH(COLUMNS($AO$1006:AP1006),$AO$1006:$BQ$1006,0)), HYPERLINK("#",""), HYPERLINK(CONCATENATE("#Metadata!", ADDRESS(INDEX($AJ$2:$AJ$1001,MATCH(ROWS($AH$2:AH123),$AH$2:$AH$1001,0),0), INDEX($AO$1004:$BQ$1004,1,MATCH(COLUMNS($AO$1006:AP1006),$AO$1006:$BQ$1006,0)))),"Fix")))</f>
        <v>#N/A</v>
      </c>
      <c r="D123" s="5" t="e">
        <f ca="1">IF(OR(INDEX($AI$2:$AI$1001,MATCH(ROWS($AH$2:AH123),$AH$2:$AH$1001,0),1)&gt;=100000,INDEX($AO$1005:$BQ$1005,1,MATCH(COLUMNS($AO$1006:AQ1006),$AO$1006:$BQ$1006,0))&gt;=100000), " ",IF(INDEX($AO$2:$BQ$1001,MATCH(ROWS($AH$2:AH123),$AH$2:$AH$1001,0),MATCH(COLUMNS($AO$1006:AQ1006),$AO$1006:$BQ$1006,0)), HYPERLINK("#",""), HYPERLINK(CONCATENATE("#Metadata!", ADDRESS(INDEX($AJ$2:$AJ$1001,MATCH(ROWS($AH$2:AH123),$AH$2:$AH$1001,0),0), INDEX($AO$1004:$BQ$1004,1,MATCH(COLUMNS($AO$1006:AQ1006),$AO$1006:$BQ$1006,0)))),"Fix")))</f>
        <v>#N/A</v>
      </c>
      <c r="E123" s="5" t="e">
        <f ca="1">IF(OR(INDEX($AI$2:$AI$1001,MATCH(ROWS($AH$2:AH123),$AH$2:$AH$1001,0),1)&gt;=100000,INDEX($AO$1005:$BQ$1005,1,MATCH(COLUMNS($AO$1006:AR1006),$AO$1006:$BQ$1006,0))&gt;=100000), " ",IF(INDEX($AO$2:$BQ$1001,MATCH(ROWS($AH$2:AH123),$AH$2:$AH$1001,0),MATCH(COLUMNS($AO$1006:AR1006),$AO$1006:$BQ$1006,0)), HYPERLINK("#",""), HYPERLINK(CONCATENATE("#Metadata!", ADDRESS(INDEX($AJ$2:$AJ$1001,MATCH(ROWS($AH$2:AH123),$AH$2:$AH$1001,0),0), INDEX($AO$1004:$BQ$1004,1,MATCH(COLUMNS($AO$1006:AR1006),$AO$1006:$BQ$1006,0)))),"Fix")))</f>
        <v>#N/A</v>
      </c>
      <c r="F123" s="5" t="e">
        <f ca="1">IF(OR(INDEX($AI$2:$AI$1001,MATCH(ROWS($AH$2:AH123),$AH$2:$AH$1001,0),1)&gt;=100000,INDEX($AO$1005:$BQ$1005,1,MATCH(COLUMNS($AO$1006:AS1006),$AO$1006:$BQ$1006,0))&gt;=100000), " ",IF(INDEX($AO$2:$BQ$1001,MATCH(ROWS($AH$2:AH123),$AH$2:$AH$1001,0),MATCH(COLUMNS($AO$1006:AS1006),$AO$1006:$BQ$1006,0)), HYPERLINK("#",""), HYPERLINK(CONCATENATE("#Metadata!", ADDRESS(INDEX($AJ$2:$AJ$1001,MATCH(ROWS($AH$2:AH123),$AH$2:$AH$1001,0),0), INDEX($AO$1004:$BQ$1004,1,MATCH(COLUMNS($AO$1006:AS1006),$AO$1006:$BQ$1006,0)))),"Fix")))</f>
        <v>#N/A</v>
      </c>
      <c r="G123" s="5" t="e">
        <f ca="1">IF(OR(INDEX($AI$2:$AI$1001,MATCH(ROWS($AH$2:AH123),$AH$2:$AH$1001,0),1)&gt;=100000,INDEX($AO$1005:$BQ$1005,1,MATCH(COLUMNS($AO$1006:AT1006),$AO$1006:$BQ$1006,0))&gt;=100000), " ",IF(INDEX($AO$2:$BQ$1001,MATCH(ROWS($AH$2:AH123),$AH$2:$AH$1001,0),MATCH(COLUMNS($AO$1006:AT1006),$AO$1006:$BQ$1006,0)), HYPERLINK("#",""), HYPERLINK(CONCATENATE("#Metadata!", ADDRESS(INDEX($AJ$2:$AJ$1001,MATCH(ROWS($AH$2:AH123),$AH$2:$AH$1001,0),0), INDEX($AO$1004:$BQ$1004,1,MATCH(COLUMNS($AO$1006:AT1006),$AO$1006:$BQ$1006,0)))),"Fix")))</f>
        <v>#N/A</v>
      </c>
      <c r="H123" s="5" t="e">
        <f ca="1">IF(OR(INDEX($AI$2:$AI$1001,MATCH(ROWS($AH$2:AH123),$AH$2:$AH$1001,0),1)&gt;=100000,INDEX($AO$1005:$BQ$1005,1,MATCH(COLUMNS($AO$1006:AU1006),$AO$1006:$BQ$1006,0))&gt;=100000), " ",IF(INDEX($AO$2:$BQ$1001,MATCH(ROWS($AH$2:AH123),$AH$2:$AH$1001,0),MATCH(COLUMNS($AO$1006:AU1006),$AO$1006:$BQ$1006,0)), HYPERLINK("#",""), HYPERLINK(CONCATENATE("#Metadata!", ADDRESS(INDEX($AJ$2:$AJ$1001,MATCH(ROWS($AH$2:AH123),$AH$2:$AH$1001,0),0), INDEX($AO$1004:$BQ$1004,1,MATCH(COLUMNS($AO$1006:AU1006),$AO$1006:$BQ$1006,0)))),"Fix")))</f>
        <v>#N/A</v>
      </c>
      <c r="I123" s="5" t="e">
        <f ca="1">IF(OR(INDEX($AI$2:$AI$1001,MATCH(ROWS($AH$2:AH123),$AH$2:$AH$1001,0),1)&gt;=100000,INDEX($AO$1005:$BQ$1005,1,MATCH(COLUMNS($AO$1006:AV1006),$AO$1006:$BQ$1006,0))&gt;=100000), " ",IF(INDEX($AO$2:$BQ$1001,MATCH(ROWS($AH$2:AH123),$AH$2:$AH$1001,0),MATCH(COLUMNS($AO$1006:AV1006),$AO$1006:$BQ$1006,0)), HYPERLINK("#",""), HYPERLINK(CONCATENATE("#Metadata!", ADDRESS(INDEX($AJ$2:$AJ$1001,MATCH(ROWS($AH$2:AH123),$AH$2:$AH$1001,0),0), INDEX($AO$1004:$BQ$1004,1,MATCH(COLUMNS($AO$1006:AV1006),$AO$1006:$BQ$1006,0)))),"Fix")))</f>
        <v>#N/A</v>
      </c>
      <c r="J123" s="5" t="e">
        <f ca="1">IF(OR(INDEX($AI$2:$AI$1001,MATCH(ROWS($AH$2:AH123),$AH$2:$AH$1001,0),1)&gt;=100000,INDEX($AO$1005:$BQ$1005,1,MATCH(COLUMNS($AO$1006:AW1006),$AO$1006:$BQ$1006,0))&gt;=100000), " ",IF(INDEX($AO$2:$BQ$1001,MATCH(ROWS($AH$2:AH123),$AH$2:$AH$1001,0),MATCH(COLUMNS($AO$1006:AW1006),$AO$1006:$BQ$1006,0)), HYPERLINK("#",""), HYPERLINK(CONCATENATE("#Metadata!", ADDRESS(INDEX($AJ$2:$AJ$1001,MATCH(ROWS($AH$2:AH123),$AH$2:$AH$1001,0),0), INDEX($AO$1004:$BQ$1004,1,MATCH(COLUMNS($AO$1006:AW1006),$AO$1006:$BQ$1006,0)))),"Fix")))</f>
        <v>#N/A</v>
      </c>
      <c r="K123" s="5" t="e">
        <f ca="1">IF(OR(INDEX($AI$2:$AI$1001,MATCH(ROWS($AH$2:AH123),$AH$2:$AH$1001,0),1)&gt;=100000,INDEX($AO$1005:$BQ$1005,1,MATCH(COLUMNS($AO$1006:AX1006),$AO$1006:$BQ$1006,0))&gt;=100000), " ",IF(INDEX($AO$2:$BQ$1001,MATCH(ROWS($AH$2:AH123),$AH$2:$AH$1001,0),MATCH(COLUMNS($AO$1006:AX1006),$AO$1006:$BQ$1006,0)), HYPERLINK("#",""), HYPERLINK(CONCATENATE("#Metadata!", ADDRESS(INDEX($AJ$2:$AJ$1001,MATCH(ROWS($AH$2:AH123),$AH$2:$AH$1001,0),0), INDEX($AO$1004:$BQ$1004,1,MATCH(COLUMNS($AO$1006:AX1006),$AO$1006:$BQ$1006,0)))),"Fix")))</f>
        <v>#N/A</v>
      </c>
      <c r="L123" s="5" t="e">
        <f ca="1">IF(OR(INDEX($AI$2:$AI$1001,MATCH(ROWS($AH$2:AH123),$AH$2:$AH$1001,0),1)&gt;=100000,INDEX($AO$1005:$BQ$1005,1,MATCH(COLUMNS($AO$1006:AY1006),$AO$1006:$BQ$1006,0))&gt;=100000), " ",IF(INDEX($AO$2:$BQ$1001,MATCH(ROWS($AH$2:AH123),$AH$2:$AH$1001,0),MATCH(COLUMNS($AO$1006:AY1006),$AO$1006:$BQ$1006,0)), HYPERLINK("#",""), HYPERLINK(CONCATENATE("#Metadata!", ADDRESS(INDEX($AJ$2:$AJ$1001,MATCH(ROWS($AH$2:AH123),$AH$2:$AH$1001,0),0), INDEX($AO$1004:$BQ$1004,1,MATCH(COLUMNS($AO$1006:AY1006),$AO$1006:$BQ$1006,0)))),"Fix")))</f>
        <v>#N/A</v>
      </c>
      <c r="M123" s="5" t="e">
        <f ca="1">IF(OR(INDEX($AI$2:$AI$1001,MATCH(ROWS($AH$2:AH123),$AH$2:$AH$1001,0),1)&gt;=100000,INDEX($AO$1005:$BQ$1005,1,MATCH(COLUMNS($AO$1006:AZ1006),$AO$1006:$BQ$1006,0))&gt;=100000), " ",IF(INDEX($AO$2:$BQ$1001,MATCH(ROWS($AH$2:AH123),$AH$2:$AH$1001,0),MATCH(COLUMNS($AO$1006:AZ1006),$AO$1006:$BQ$1006,0)), HYPERLINK("#",""), HYPERLINK(CONCATENATE("#Metadata!", ADDRESS(INDEX($AJ$2:$AJ$1001,MATCH(ROWS($AH$2:AH123),$AH$2:$AH$1001,0),0), INDEX($AO$1004:$BQ$1004,1,MATCH(COLUMNS($AO$1006:AZ1006),$AO$1006:$BQ$1006,0)))),"Fix")))</f>
        <v>#N/A</v>
      </c>
      <c r="N123" s="5" t="e">
        <f ca="1">IF(OR(INDEX($AI$2:$AI$1001,MATCH(ROWS($AH$2:AH123),$AH$2:$AH$1001,0),1)&gt;=100000,INDEX($AO$1005:$BQ$1005,1,MATCH(COLUMNS($AO$1006:BA1006),$AO$1006:$BQ$1006,0))&gt;=100000), " ",IF(INDEX($AO$2:$BQ$1001,MATCH(ROWS($AH$2:AH123),$AH$2:$AH$1001,0),MATCH(COLUMNS($AO$1006:BA1006),$AO$1006:$BQ$1006,0)), HYPERLINK("#",""), HYPERLINK(CONCATENATE("#Metadata!", ADDRESS(INDEX($AJ$2:$AJ$1001,MATCH(ROWS($AH$2:AH123),$AH$2:$AH$1001,0),0), INDEX($AO$1004:$BQ$1004,1,MATCH(COLUMNS($AO$1006:BA1006),$AO$1006:$BQ$1006,0)))),"Fix")))</f>
        <v>#N/A</v>
      </c>
      <c r="O123" s="5" t="e">
        <f ca="1">IF(OR(INDEX($AI$2:$AI$1001,MATCH(ROWS($AH$2:AH123),$AH$2:$AH$1001,0),1)&gt;=100000,INDEX($AO$1005:$BQ$1005,1,MATCH(COLUMNS($AO$1006:BB1006),$AO$1006:$BQ$1006,0))&gt;=100000), " ",IF(INDEX($AO$2:$BQ$1001,MATCH(ROWS($AH$2:AH123),$AH$2:$AH$1001,0),MATCH(COLUMNS($AO$1006:BB1006),$AO$1006:$BQ$1006,0)), HYPERLINK("#",""), HYPERLINK(CONCATENATE("#Metadata!", ADDRESS(INDEX($AJ$2:$AJ$1001,MATCH(ROWS($AH$2:AH123),$AH$2:$AH$1001,0),0), INDEX($AO$1004:$BQ$1004,1,MATCH(COLUMNS($AO$1006:BB1006),$AO$1006:$BQ$1006,0)))),"Fix")))</f>
        <v>#N/A</v>
      </c>
      <c r="P123" s="5" t="e">
        <f ca="1">IF(OR(INDEX($AI$2:$AI$1001,MATCH(ROWS($AH$2:AH123),$AH$2:$AH$1001,0),1)&gt;=100000,INDEX($AO$1005:$BQ$1005,1,MATCH(COLUMNS($AO$1006:BC1006),$AO$1006:$BQ$1006,0))&gt;=100000), " ",IF(INDEX($AO$2:$BQ$1001,MATCH(ROWS($AH$2:AH123),$AH$2:$AH$1001,0),MATCH(COLUMNS($AO$1006:BC1006),$AO$1006:$BQ$1006,0)), HYPERLINK("#",""), HYPERLINK(CONCATENATE("#Metadata!", ADDRESS(INDEX($AJ$2:$AJ$1001,MATCH(ROWS($AH$2:AH123),$AH$2:$AH$1001,0),0), INDEX($AO$1004:$BQ$1004,1,MATCH(COLUMNS($AO$1006:BC1006),$AO$1006:$BQ$1006,0)))),"Fix")))</f>
        <v>#N/A</v>
      </c>
      <c r="Q123" s="5" t="e">
        <f ca="1">IF(OR(INDEX($AI$2:$AI$1001,MATCH(ROWS($AH$2:AH123),$AH$2:$AH$1001,0),1)&gt;=100000,INDEX($AO$1005:$BQ$1005,1,MATCH(COLUMNS($AO$1006:BD1006),$AO$1006:$BQ$1006,0))&gt;=100000), " ",IF(INDEX($AO$2:$BQ$1001,MATCH(ROWS($AH$2:AH123),$AH$2:$AH$1001,0),MATCH(COLUMNS($AO$1006:BD1006),$AO$1006:$BQ$1006,0)), HYPERLINK("#",""), HYPERLINK(CONCATENATE("#Metadata!", ADDRESS(INDEX($AJ$2:$AJ$1001,MATCH(ROWS($AH$2:AH123),$AH$2:$AH$1001,0),0), INDEX($AO$1004:$BQ$1004,1,MATCH(COLUMNS($AO$1006:BD1006),$AO$1006:$BQ$1006,0)))),"Fix")))</f>
        <v>#N/A</v>
      </c>
      <c r="R123" s="5" t="e">
        <f ca="1">IF(OR(INDEX($AI$2:$AI$1001,MATCH(ROWS($AH$2:AH123),$AH$2:$AH$1001,0),1)&gt;=100000,INDEX($AO$1005:$BQ$1005,1,MATCH(COLUMNS($AO$1006:BE1006),$AO$1006:$BQ$1006,0))&gt;=100000), " ",IF(INDEX($AO$2:$BQ$1001,MATCH(ROWS($AH$2:AH123),$AH$2:$AH$1001,0),MATCH(COLUMNS($AO$1006:BE1006),$AO$1006:$BQ$1006,0)), HYPERLINK("#",""), HYPERLINK(CONCATENATE("#Metadata!", ADDRESS(INDEX($AJ$2:$AJ$1001,MATCH(ROWS($AH$2:AH123),$AH$2:$AH$1001,0),0), INDEX($AO$1004:$BQ$1004,1,MATCH(COLUMNS($AO$1006:BE1006),$AO$1006:$BQ$1006,0)))),"Fix")))</f>
        <v>#N/A</v>
      </c>
      <c r="S123" s="5" t="e">
        <f ca="1">IF(OR(INDEX($AI$2:$AI$1001,MATCH(ROWS($AH$2:AH123),$AH$2:$AH$1001,0),1)&gt;=100000,INDEX($AO$1005:$BQ$1005,1,MATCH(COLUMNS($AO$1006:BF1006),$AO$1006:$BQ$1006,0))&gt;=100000), " ",IF(INDEX($AO$2:$BQ$1001,MATCH(ROWS($AH$2:AH123),$AH$2:$AH$1001,0),MATCH(COLUMNS($AO$1006:BF1006),$AO$1006:$BQ$1006,0)), HYPERLINK("#",""), HYPERLINK(CONCATENATE("#Metadata!", ADDRESS(INDEX($AJ$2:$AJ$1001,MATCH(ROWS($AH$2:AH123),$AH$2:$AH$1001,0),0), INDEX($AO$1004:$BQ$1004,1,MATCH(COLUMNS($AO$1006:BF1006),$AO$1006:$BQ$1006,0)))),"Fix")))</f>
        <v>#N/A</v>
      </c>
      <c r="T123" s="5" t="e">
        <f ca="1">IF(OR(INDEX($AI$2:$AI$1001,MATCH(ROWS($AH$2:AH123),$AH$2:$AH$1001,0),1)&gt;=100000,INDEX($AO$1005:$BQ$1005,1,MATCH(COLUMNS($AO$1006:BG1006),$AO$1006:$BQ$1006,0))&gt;=100000), " ",IF(INDEX($AO$2:$BQ$1001,MATCH(ROWS($AH$2:AH123),$AH$2:$AH$1001,0),MATCH(COLUMNS($AO$1006:BG1006),$AO$1006:$BQ$1006,0)), HYPERLINK("#",""), HYPERLINK(CONCATENATE("#Metadata!", ADDRESS(INDEX($AJ$2:$AJ$1001,MATCH(ROWS($AH$2:AH123),$AH$2:$AH$1001,0),0), INDEX($AO$1004:$BQ$1004,1,MATCH(COLUMNS($AO$1006:BG1006),$AO$1006:$BQ$1006,0)))),"Fix")))</f>
        <v>#N/A</v>
      </c>
      <c r="U123" s="5" t="e">
        <f ca="1">IF(OR(INDEX($AI$2:$AI$1001,MATCH(ROWS($AH$2:AH123),$AH$2:$AH$1001,0),1)&gt;=100000,INDEX($AO$1005:$BQ$1005,1,MATCH(COLUMNS($AO$1006:BH1006),$AO$1006:$BQ$1006,0))&gt;=100000), " ",IF(INDEX($AO$2:$BQ$1001,MATCH(ROWS($AH$2:AH123),$AH$2:$AH$1001,0),MATCH(COLUMNS($AO$1006:BH1006),$AO$1006:$BQ$1006,0)), HYPERLINK("#",""), HYPERLINK(CONCATENATE("#Metadata!", ADDRESS(INDEX($AJ$2:$AJ$1001,MATCH(ROWS($AH$2:AH123),$AH$2:$AH$1001,0),0), INDEX($AO$1004:$BQ$1004,1,MATCH(COLUMNS($AO$1006:BH1006),$AO$1006:$BQ$1006,0)))),"Fix")))</f>
        <v>#N/A</v>
      </c>
      <c r="V123" s="5" t="e">
        <f ca="1">IF(OR(INDEX($AI$2:$AI$1001,MATCH(ROWS($AH$2:AH123),$AH$2:$AH$1001,0),1)&gt;=100000,INDEX($AO$1005:$BQ$1005,1,MATCH(COLUMNS($AO$1006:BI1006),$AO$1006:$BQ$1006,0))&gt;=100000), " ",IF(INDEX($AO$2:$BQ$1001,MATCH(ROWS($AH$2:AH123),$AH$2:$AH$1001,0),MATCH(COLUMNS($AO$1006:BI1006),$AO$1006:$BQ$1006,0)), HYPERLINK("#",""), HYPERLINK(CONCATENATE("#Metadata!", ADDRESS(INDEX($AJ$2:$AJ$1001,MATCH(ROWS($AH$2:AH123),$AH$2:$AH$1001,0),0), INDEX($AO$1004:$BQ$1004,1,MATCH(COLUMNS($AO$1006:BI1006),$AO$1006:$BQ$1006,0)))),"Fix")))</f>
        <v>#N/A</v>
      </c>
      <c r="W123" s="5" t="e">
        <f ca="1">IF(OR(INDEX($AI$2:$AI$1001,MATCH(ROWS($AH$2:AH123),$AH$2:$AH$1001,0),1)&gt;=100000,INDEX($AO$1005:$BQ$1005,1,MATCH(COLUMNS($AO$1006:BJ1006),$AO$1006:$BQ$1006,0))&gt;=100000), " ",IF(INDEX($AO$2:$BQ$1001,MATCH(ROWS($AH$2:AH123),$AH$2:$AH$1001,0),MATCH(COLUMNS($AO$1006:BJ1006),$AO$1006:$BQ$1006,0)), HYPERLINK("#",""), HYPERLINK(CONCATENATE("#Metadata!", ADDRESS(INDEX($AJ$2:$AJ$1001,MATCH(ROWS($AH$2:AH123),$AH$2:$AH$1001,0),0), INDEX($AO$1004:$BQ$1004,1,MATCH(COLUMNS($AO$1006:BJ1006),$AO$1006:$BQ$1006,0)))),"Fix")))</f>
        <v>#N/A</v>
      </c>
      <c r="X123" s="5" t="e">
        <f ca="1">IF(OR(INDEX($AI$2:$AI$1001,MATCH(ROWS($AH$2:AH123),$AH$2:$AH$1001,0),1)&gt;=100000,INDEX($AO$1005:$BQ$1005,1,MATCH(COLUMNS($AO$1006:BK1006),$AO$1006:$BQ$1006,0))&gt;=100000), " ",IF(INDEX($AO$2:$BQ$1001,MATCH(ROWS($AH$2:AH123),$AH$2:$AH$1001,0),MATCH(COLUMNS($AO$1006:BK1006),$AO$1006:$BQ$1006,0)), HYPERLINK("#",""), HYPERLINK(CONCATENATE("#Metadata!", ADDRESS(INDEX($AJ$2:$AJ$1001,MATCH(ROWS($AH$2:AH123),$AH$2:$AH$1001,0),0), INDEX($AO$1004:$BQ$1004,1,MATCH(COLUMNS($AO$1006:BK1006),$AO$1006:$BQ$1006,0)))),"Fix")))</f>
        <v>#N/A</v>
      </c>
      <c r="Y123" s="5" t="e">
        <f ca="1">IF(OR(INDEX($AI$2:$AI$1001,MATCH(ROWS($AH$2:AH123),$AH$2:$AH$1001,0),1)&gt;=100000,INDEX($AO$1005:$BQ$1005,1,MATCH(COLUMNS($AO$1006:BL1006),$AO$1006:$BQ$1006,0))&gt;=100000), " ",IF(INDEX($AO$2:$BQ$1001,MATCH(ROWS($AH$2:AH123),$AH$2:$AH$1001,0),MATCH(COLUMNS($AO$1006:BL1006),$AO$1006:$BQ$1006,0)), HYPERLINK("#",""), HYPERLINK(CONCATENATE("#Metadata!", ADDRESS(INDEX($AJ$2:$AJ$1001,MATCH(ROWS($AH$2:AH123),$AH$2:$AH$1001,0),0), INDEX($AO$1004:$BQ$1004,1,MATCH(COLUMNS($AO$1006:BL1006),$AO$1006:$BQ$1006,0)))),"Fix")))</f>
        <v>#N/A</v>
      </c>
      <c r="Z123" s="5" t="e">
        <f ca="1">IF(OR(INDEX($AI$2:$AI$1001,MATCH(ROWS($AH$2:AH123),$AH$2:$AH$1001,0),1)&gt;=100000,INDEX($AO$1005:$BQ$1005,1,MATCH(COLUMNS($AO$1006:BM1006),$AO$1006:$BQ$1006,0))&gt;=100000), " ",IF(INDEX($AO$2:$BQ$1001,MATCH(ROWS($AH$2:AH123),$AH$2:$AH$1001,0),MATCH(COLUMNS($AO$1006:BM1006),$AO$1006:$BQ$1006,0)), HYPERLINK("#",""), HYPERLINK(CONCATENATE("#Metadata!", ADDRESS(INDEX($AJ$2:$AJ$1001,MATCH(ROWS($AH$2:AH123),$AH$2:$AH$1001,0),0), INDEX($AO$1004:$BQ$1004,1,MATCH(COLUMNS($AO$1006:BM1006),$AO$1006:$BQ$1006,0)))),"Fix")))</f>
        <v>#N/A</v>
      </c>
      <c r="AA123" s="5" t="e">
        <f ca="1">IF(OR(INDEX($AI$2:$AI$1001,MATCH(ROWS($AH$2:AH123),$AH$2:$AH$1001,0),1)&gt;=100000,INDEX($AO$1005:$BQ$1005,1,MATCH(COLUMNS($AO$1006:BN1006),$AO$1006:$BQ$1006,0))&gt;=100000), " ",IF(INDEX($AO$2:$BQ$1001,MATCH(ROWS($AH$2:AH123),$AH$2:$AH$1001,0),MATCH(COLUMNS($AO$1006:BN1006),$AO$1006:$BQ$1006,0)), HYPERLINK("#",""), HYPERLINK(CONCATENATE("#Metadata!", ADDRESS(INDEX($AJ$2:$AJ$1001,MATCH(ROWS($AH$2:AH123),$AH$2:$AH$1001,0),0), INDEX($AO$1004:$BQ$1004,1,MATCH(COLUMNS($AO$1006:BN1006),$AO$1006:$BQ$1006,0)))),"Fix")))</f>
        <v>#N/A</v>
      </c>
      <c r="AB123" s="5" t="e">
        <f ca="1">IF(OR(INDEX($AI$2:$AI$1001,MATCH(ROWS($AH$2:AH123),$AH$2:$AH$1001,0),1)&gt;=100000,INDEX($AO$1005:$BQ$1005,1,MATCH(COLUMNS($AO$1006:BO1006),$AO$1006:$BQ$1006,0))&gt;=100000), " ",IF(INDEX($AO$2:$BQ$1001,MATCH(ROWS($AH$2:AH123),$AH$2:$AH$1001,0),MATCH(COLUMNS($AO$1006:BO1006),$AO$1006:$BQ$1006,0)), HYPERLINK("#",""), HYPERLINK(CONCATENATE("#Metadata!", ADDRESS(INDEX($AJ$2:$AJ$1001,MATCH(ROWS($AH$2:AH123),$AH$2:$AH$1001,0),0), INDEX($AO$1004:$BQ$1004,1,MATCH(COLUMNS($AO$1006:BO1006),$AO$1006:$BQ$1006,0)))),"Fix")))</f>
        <v>#N/A</v>
      </c>
      <c r="AC123" s="5" t="e">
        <f ca="1">IF(OR(INDEX($AI$2:$AI$1001,MATCH(ROWS($AH$2:AH123),$AH$2:$AH$1001,0),1)&gt;=100000,INDEX($AO$1005:$BQ$1005,1,MATCH(COLUMNS($AO$1006:BP1006),$AO$1006:$BQ$1006,0))&gt;=100000), " ",IF(INDEX($AO$2:$BQ$1001,MATCH(ROWS($AH$2:AH123),$AH$2:$AH$1001,0),MATCH(COLUMNS($AO$1006:BP1006),$AO$1006:$BQ$1006,0)), HYPERLINK("#",""), HYPERLINK(CONCATENATE("#Metadata!", ADDRESS(INDEX($AJ$2:$AJ$1001,MATCH(ROWS($AH$2:AH123),$AH$2:$AH$1001,0),0), INDEX($AO$1004:$BQ$1004,1,MATCH(COLUMNS($AO$1006:BP1006),$AO$1006:$BQ$1006,0)))),"Fix")))</f>
        <v>#N/A</v>
      </c>
      <c r="AD123" s="5" t="e">
        <f ca="1">IF(OR(INDEX($AI$2:$AI$1001,MATCH(ROWS($AH$2:AH123),$AH$2:$AH$1001,0),1)&gt;=100000,INDEX($AO$1005:$BQ$1005,1,MATCH(COLUMNS($AO$1006:BQ1006),$AO$1006:$BQ$1006,0))&gt;=100000), " ",IF(INDEX($AO$2:$BQ$1001,MATCH(ROWS($AH$2:AH123),$AH$2:$AH$1001,0),MATCH(COLUMNS($AO$1006:BQ1006),$AO$1006:$BQ$1006,0)), HYPERLINK("#",""), HYPERLINK(CONCATENATE("#Metadata!", ADDRESS(INDEX($AJ$2:$AJ$1001,MATCH(ROWS($AH$2:AH123),$AH$2:$AH$1001,0),0), INDEX($AO$1004:$BQ$1004,1,MATCH(COLUMNS($AO$1006:BQ1006),$AO$1006:$BQ$1006,0)))),"Fix")))</f>
        <v>#REF!</v>
      </c>
      <c r="AH123">
        <f ca="1"/>
        <v>120</v>
      </c>
      <c r="AI123">
        <v>100123</v>
      </c>
      <c r="AJ123">
        <v>123</v>
      </c>
      <c r="AK123" t="b">
        <f t="shared" si="1"/>
        <v>1</v>
      </c>
      <c r="AL123" t="b">
        <f>COUNTBLANK(Metadata!B123:AD123)=COLUMNS(Metadata!B123:AD123)</f>
        <v>1</v>
      </c>
      <c r="AM123" t="str">
        <v/>
      </c>
      <c r="AO123" t="b">
        <f ca="1">AND(IF(Metadata!B123="",FALSE,TRUE),COUNTIF(Metadata!B:B, Metadata!B123) = 1,NOT(ISERROR(SUMPRODUCT(SEARCH(MID(Metadata!B123,ROW(INDIRECT("1:"&amp;LEN(Metadata!B123))), 1),"0123456789abcdefghijklmnopqrstuvwxyzABCDEFGHIJKLMNOPQRSTUVWXYZ.")))))</f>
        <v>0</v>
      </c>
      <c r="AP123" t="b">
        <f>IF(Metadata!C123="",FALSE,TRUE)</f>
        <v>0</v>
      </c>
      <c r="AQ123" t="b">
        <f>IF(Metadata!D123="",FALSE,TRUE)</f>
        <v>0</v>
      </c>
      <c r="AR123" t="b">
        <f ca="1">OR(AND(IF(Metadata!E123="",FALSE,TRUE),OR(EXACT(Metadata!E123,"not collected"),EXACT(Metadata!E123,"not provided"),EXACT(Metadata!E123,"restricted access"))),AND(IF(Metadata!E123="",FALSE,TRUE),AND(AND(IFERROR(INT(LEFT(Metadata!E123,4))&gt;1900,FALSE),IFERROR(INT(LEFT(Metadata!E123,4))&lt;=YEAR(NOW()),FALSE)), OR(MID(Metadata!E123,5,1)="", AND(AND(MID(Metadata!E123,5,1)="-",IFERROR(INT(MID(Metadata!E123,6,1))&gt;=0,FALSE),IFERROR(INT(MID(Metadata!E123,6,1))&lt;=1,FALSE),NOT(MID(Metadata!E123,7,1)=""),IFERROR(INT(MID(Metadata!E123,6,2))&gt;=1,FALSE),IFERROR(INT(MID(Metadata!E123,6,2))&lt;=12,FALSE)), OR(MID(Metadata!E123,8,1)="", AND(AND(MID(Metadata!E123,8,1)="-",IFERROR(INT(MID(Metadata!E123,9,1))&gt;=0,FALSE),IFERROR(INT(MID(Metadata!E123,9,1))&lt;=3,FALSE),NOT(MID(Metadata!E123,10,1)=""),IFERROR(INT(MID(Metadata!E123,9,2))&gt;=1,FALSE),IFERROR(INT(MID(Metadata!E123,9,2))&lt;=31,FALSE)), OR(MID(Metadata!E123,11,1)="", AND(AND(MID(Metadata!E123,11,1)=" ",IFERROR(INT(MID(Metadata!E123,12,1))&gt;=0,FALSE),IFERROR(INT(MID(Metadata!E123,12,1))&lt;=2,FALSE),NOT(MID(Metadata!E123,13,1)=""),IFERROR(INT(MID(Metadata!E123,12,2))&gt;=0,FALSE),IFERROR(INT(MID(Metadata!E123,12,2))&lt;=23,FALSE)), OR(MID(Metadata!E123,14,1)="", AND(AND(MID(Metadata!E123,14,1)=":",IFERROR(INT(MID(Metadata!E123,15,1))&gt;=0,FALSE),IFERROR(INT(MID(Metadata!E123,15,1))&lt;=5,FALSE),NOT(MID(Metadata!E123,16,1)=""),IFERROR(INT(MID(Metadata!E123,15,2))&gt;=0,FALSE),IFERROR(INT(MID(Metadata!E123,15,2))&lt;=59,FALSE)), OR(MID(Metadata!E123,17,1)="", AND(AND(MID(Metadata!E123,17,1)=":",IFERROR(INT(MID(Metadata!E123,18,1))&gt;=0,FALSE),IFERROR(INT(MID(Metadata!E123,18,1))&lt;=5,FALSE),NOT(MID(Metadata!E123,19,1)=""),IFERROR(INT(MID(Metadata!E123,18,2))&gt;=0,FALSE),IFERROR(INT(MID(Metadata!E123,18,2))&lt;=59,FALSE)), LEN(Metadata!E123)&lt;=19)))))))))))))</f>
        <v>0</v>
      </c>
      <c r="AS123" t="b">
        <f>IF(Metadata!F123="",FALSE,TRUE)</f>
        <v>0</v>
      </c>
      <c r="AT123" t="b">
        <f>OR(AND(IF(Metadata!G123="",FALSE,TRUE),OR(EXACT(Metadata!G123,"not collected"),EXACT(Metadata!G123,"not provided"))),AND(IF(Metadata!G123="",FALSE,TRUE),OR(EXACT(Metadata!G123,"TRUE"),EXACT(Metadata!G123,"FALSE"))))</f>
        <v>0</v>
      </c>
      <c r="AU123" t="b">
        <f>OR(AND(IF(Metadata!H123="",FALSE,TRUE),OR(EXACT(Metadata!H123,"not collected"),EXACT(Metadata!H123,"not provided"),EXACT(Metadata!H123,"restricted access"))),AND(IF(Metadata!H123="",FALSE,ISNUMBER(VALUE(Metadata!H123))),Metadata!H123&gt;=-413))</f>
        <v>0</v>
      </c>
      <c r="AV123" t="b">
        <f>AND(IF(Metadata!I123="",FALSE,TRUE),EXACT(Metadata!I123,"meters"))</f>
        <v>0</v>
      </c>
      <c r="AW123" t="b">
        <f>AND(IF(Metadata!J123="",FALSE,TRUE),EXACT(Metadata!J123,"free-living"))</f>
        <v>0</v>
      </c>
      <c r="AX123" t="b">
        <f>AND(IF(Metadata!K123="",FALSE,TRUE),OR(EXACT(Metadata!K123,"saline"),EXACT(Metadata!K123,"non-saline")))</f>
        <v>0</v>
      </c>
      <c r="AY123" t="b">
        <f>AND(IF(Metadata!L123="",FALSE,TRUE),OR(EXACT(Metadata!L123,"sub-surface (non-saline)"),EXACT(Metadata!L123,"surface (non-saline)"),EXACT(Metadata!L123,"water (non-saline)"),EXACT(Metadata!L123,"soil (non-saline)"),EXACT(Metadata!L123,"aerosol (non-saline)"),EXACT(Metadata!L123,"sediment (non-saline)"),EXACT(Metadata!L123,"surface (saline)"),EXACT(Metadata!L123,"water (saline)"),EXACT(Metadata!L123,"hypersaline (saline)"),EXACT(Metadata!L123,"aerosol (saline)"),EXACT(Metadata!L123,"sediment (saline)")))</f>
        <v>0</v>
      </c>
      <c r="AZ123" t="b">
        <f>IF(Metadata!M123="",FALSE,TRUE)</f>
        <v>0</v>
      </c>
      <c r="BA123" t="b">
        <f>IF(Metadata!N123="",FALSE,TRUE)</f>
        <v>0</v>
      </c>
      <c r="BB123" t="b">
        <f>IF(Metadata!O123="",FALSE,TRUE)</f>
        <v>0</v>
      </c>
      <c r="BC123" t="b">
        <f>AND(IF(Metadata!P123="",FALSE,TRUE),OR(EXACT(Metadata!P123,"air"),EXACT(Metadata!P123,"microbial mat/biofilm"),EXACT(Metadata!P123,"misc environment"),EXACT(Metadata!P123,"sediment"),EXACT(Metadata!P123,"soil"),EXACT(Metadata!P123,"wastewater/sludge"),EXACT(Metadata!P123,"water")))</f>
        <v>0</v>
      </c>
      <c r="BD123" t="b">
        <f>IF(Metadata!Q123="",FALSE,TRUE)</f>
        <v>0</v>
      </c>
      <c r="BE123" t="b">
        <f>IF(Metadata!R123="",FALSE,TRUE)</f>
        <v>0</v>
      </c>
      <c r="BF123" t="b">
        <f>OR(AND(IF(Metadata!S123="",FALSE,TRUE),OR(EXACT(Metadata!S123,"not collected"),EXACT(Metadata!S123,"not provided"),EXACT(Metadata!S123,"restricted access"))),AND(IF(Metadata!S123="",FALSE,ISNUMBER(VALUE(Metadata!S123))),Metadata!S123&gt;=-90,Metadata!S123&lt;=90))</f>
        <v>0</v>
      </c>
      <c r="BG123" t="b">
        <f>AND(IF(Metadata!T123="",FALSE,TRUE),EXACT(Metadata!T123,"Decimal degrees"))</f>
        <v>0</v>
      </c>
      <c r="BH123" t="b">
        <f>OR(AND(IF(Metadata!U123="",FALSE,TRUE),OR(EXACT(Metadata!U123,"not applicable"),EXACT(Metadata!U123,"not collected"))),IF(Metadata!U123="",FALSE,TRUE))</f>
        <v>0</v>
      </c>
      <c r="BI123" t="b">
        <f>OR(AND(IF(Metadata!V123="",FALSE,TRUE),OR(EXACT(Metadata!V123,"not collected"),EXACT(Metadata!V123,"not provided"),EXACT(Metadata!V123,"restricted access"))),AND(IF(Metadata!V123="",FALSE,ISNUMBER(VALUE(Metadata!V123))),Metadata!V123&gt;=-180,Metadata!V123&lt;=180))</f>
        <v>0</v>
      </c>
      <c r="BJ123" t="b">
        <f>AND(IF(Metadata!W123="",FALSE,TRUE),EXACT(Metadata!W123,"Decimal degrees"))</f>
        <v>0</v>
      </c>
      <c r="BK123" t="b">
        <f>IF(Metadata!X123="",FALSE,TRUE)</f>
        <v>0</v>
      </c>
      <c r="BL123" t="b">
        <f>OR(AND(IF(Metadata!Y123="",FALSE,TRUE),OR(EXACT(Metadata!Y123,"not collected"),EXACT(Metadata!Y123,"not provided"),EXACT(Metadata!Y123,"restricted access"))),AND(IF(Metadata!Y123="",FALSE,TRUE),OR(EXACT(Metadata!Y123,"TRUE"),EXACT(Metadata!Y123,"FALSE"))))</f>
        <v>0</v>
      </c>
      <c r="BM123" t="b">
        <f>OR(AND(IF(Metadata!Z123="",FALSE,TRUE),EXACT(Metadata!Z123,"not applicable")),AND(IF(Metadata!Z123="",FALSE,TRUE),OR(EXACT(Metadata!Z123,"beer"),EXACT(Metadata!Z123,"cheese"),EXACT(Metadata!Z123,"fresh water"),EXACT(Metadata!Z123,"marine sediment"),EXACT(Metadata!Z123,"sea water"),EXACT(Metadata!Z123,"sediment"),EXACT(Metadata!Z123,"soil"),EXACT(Metadata!Z123,"waste water"))))</f>
        <v>0</v>
      </c>
      <c r="BN123" t="b">
        <f>AND(IF(Metadata!AA123="",FALSE,TRUE),EXACT(Metadata!AA123,"metagenome"))</f>
        <v>0</v>
      </c>
      <c r="BO123" t="b">
        <f>AND(IF(Metadata!AB123="",FALSE,TRUE),EXACT(Metadata!AB123,"256318"))</f>
        <v>0</v>
      </c>
      <c r="BP123" t="b">
        <f>IF(Metadata!AC123="",FALSE,TRUE)</f>
        <v>0</v>
      </c>
      <c r="BQ123" t="b">
        <f>IF(Metadata!AD123="",FALSE,TRUE)</f>
        <v>0</v>
      </c>
    </row>
    <row r="124" spans="1:69" x14ac:dyDescent="0.2">
      <c r="A124" s="4" t="e">
        <f ca="1">IF(B124=" "," ",HYPERLINK(CONCATENATE("#metadata!",ADDRESS(INDEX($AJ$2:$AJ$1001,MATCH(ROWS($AH$2:AH124),$AH$2:$AH$1001,0),0),2)),INDEX($AM$2:$AM$1001,MATCH(ROWS($AH$2:AH124),$AH$2:$AH$1001,0),0)))</f>
        <v>#N/A</v>
      </c>
      <c r="B124" s="5" t="e">
        <f ca="1">IF(OR(INDEX($AI$2:$AI$1001,MATCH(ROWS($AH$2:AH124),$AH$2:$AH$1001,0),1)&gt;=100000,INDEX($AO$1005:$BQ$1005,1,MATCH(COLUMNS($AO$1006:AO1006),$AO$1006:$BQ$1006,0))&gt;=100000), " ",IF(INDEX($AO$2:$BQ$1001,MATCH(ROWS($AH$2:AH124),$AH$2:$AH$1001,0),MATCH(COLUMNS($AO$1006:AO1006),$AO$1006:$BQ$1006,0)), HYPERLINK("#",""), HYPERLINK(CONCATENATE("#Metadata!", ADDRESS(INDEX($AJ$2:$AJ$1001,MATCH(ROWS($AH$2:AH124),$AH$2:$AH$1001,0),0), INDEX($AO$1004:$BQ$1004,1,MATCH(COLUMNS($AO$1006:AO1006),$AO$1006:$BQ$1006,0)))),"Fix")))</f>
        <v>#N/A</v>
      </c>
      <c r="C124" s="5" t="e">
        <f ca="1">IF(OR(INDEX($AI$2:$AI$1001,MATCH(ROWS($AH$2:AH124),$AH$2:$AH$1001,0),1)&gt;=100000,INDEX($AO$1005:$BQ$1005,1,MATCH(COLUMNS($AO$1006:AP1006),$AO$1006:$BQ$1006,0))&gt;=100000), " ",IF(INDEX($AO$2:$BQ$1001,MATCH(ROWS($AH$2:AH124),$AH$2:$AH$1001,0),MATCH(COLUMNS($AO$1006:AP1006),$AO$1006:$BQ$1006,0)), HYPERLINK("#",""), HYPERLINK(CONCATENATE("#Metadata!", ADDRESS(INDEX($AJ$2:$AJ$1001,MATCH(ROWS($AH$2:AH124),$AH$2:$AH$1001,0),0), INDEX($AO$1004:$BQ$1004,1,MATCH(COLUMNS($AO$1006:AP1006),$AO$1006:$BQ$1006,0)))),"Fix")))</f>
        <v>#N/A</v>
      </c>
      <c r="D124" s="5" t="e">
        <f ca="1">IF(OR(INDEX($AI$2:$AI$1001,MATCH(ROWS($AH$2:AH124),$AH$2:$AH$1001,0),1)&gt;=100000,INDEX($AO$1005:$BQ$1005,1,MATCH(COLUMNS($AO$1006:AQ1006),$AO$1006:$BQ$1006,0))&gt;=100000), " ",IF(INDEX($AO$2:$BQ$1001,MATCH(ROWS($AH$2:AH124),$AH$2:$AH$1001,0),MATCH(COLUMNS($AO$1006:AQ1006),$AO$1006:$BQ$1006,0)), HYPERLINK("#",""), HYPERLINK(CONCATENATE("#Metadata!", ADDRESS(INDEX($AJ$2:$AJ$1001,MATCH(ROWS($AH$2:AH124),$AH$2:$AH$1001,0),0), INDEX($AO$1004:$BQ$1004,1,MATCH(COLUMNS($AO$1006:AQ1006),$AO$1006:$BQ$1006,0)))),"Fix")))</f>
        <v>#N/A</v>
      </c>
      <c r="E124" s="5" t="e">
        <f ca="1">IF(OR(INDEX($AI$2:$AI$1001,MATCH(ROWS($AH$2:AH124),$AH$2:$AH$1001,0),1)&gt;=100000,INDEX($AO$1005:$BQ$1005,1,MATCH(COLUMNS($AO$1006:AR1006),$AO$1006:$BQ$1006,0))&gt;=100000), " ",IF(INDEX($AO$2:$BQ$1001,MATCH(ROWS($AH$2:AH124),$AH$2:$AH$1001,0),MATCH(COLUMNS($AO$1006:AR1006),$AO$1006:$BQ$1006,0)), HYPERLINK("#",""), HYPERLINK(CONCATENATE("#Metadata!", ADDRESS(INDEX($AJ$2:$AJ$1001,MATCH(ROWS($AH$2:AH124),$AH$2:$AH$1001,0),0), INDEX($AO$1004:$BQ$1004,1,MATCH(COLUMNS($AO$1006:AR1006),$AO$1006:$BQ$1006,0)))),"Fix")))</f>
        <v>#N/A</v>
      </c>
      <c r="F124" s="5" t="e">
        <f ca="1">IF(OR(INDEX($AI$2:$AI$1001,MATCH(ROWS($AH$2:AH124),$AH$2:$AH$1001,0),1)&gt;=100000,INDEX($AO$1005:$BQ$1005,1,MATCH(COLUMNS($AO$1006:AS1006),$AO$1006:$BQ$1006,0))&gt;=100000), " ",IF(INDEX($AO$2:$BQ$1001,MATCH(ROWS($AH$2:AH124),$AH$2:$AH$1001,0),MATCH(COLUMNS($AO$1006:AS1006),$AO$1006:$BQ$1006,0)), HYPERLINK("#",""), HYPERLINK(CONCATENATE("#Metadata!", ADDRESS(INDEX($AJ$2:$AJ$1001,MATCH(ROWS($AH$2:AH124),$AH$2:$AH$1001,0),0), INDEX($AO$1004:$BQ$1004,1,MATCH(COLUMNS($AO$1006:AS1006),$AO$1006:$BQ$1006,0)))),"Fix")))</f>
        <v>#N/A</v>
      </c>
      <c r="G124" s="5" t="e">
        <f ca="1">IF(OR(INDEX($AI$2:$AI$1001,MATCH(ROWS($AH$2:AH124),$AH$2:$AH$1001,0),1)&gt;=100000,INDEX($AO$1005:$BQ$1005,1,MATCH(COLUMNS($AO$1006:AT1006),$AO$1006:$BQ$1006,0))&gt;=100000), " ",IF(INDEX($AO$2:$BQ$1001,MATCH(ROWS($AH$2:AH124),$AH$2:$AH$1001,0),MATCH(COLUMNS($AO$1006:AT1006),$AO$1006:$BQ$1006,0)), HYPERLINK("#",""), HYPERLINK(CONCATENATE("#Metadata!", ADDRESS(INDEX($AJ$2:$AJ$1001,MATCH(ROWS($AH$2:AH124),$AH$2:$AH$1001,0),0), INDEX($AO$1004:$BQ$1004,1,MATCH(COLUMNS($AO$1006:AT1006),$AO$1006:$BQ$1006,0)))),"Fix")))</f>
        <v>#N/A</v>
      </c>
      <c r="H124" s="5" t="e">
        <f ca="1">IF(OR(INDEX($AI$2:$AI$1001,MATCH(ROWS($AH$2:AH124),$AH$2:$AH$1001,0),1)&gt;=100000,INDEX($AO$1005:$BQ$1005,1,MATCH(COLUMNS($AO$1006:AU1006),$AO$1006:$BQ$1006,0))&gt;=100000), " ",IF(INDEX($AO$2:$BQ$1001,MATCH(ROWS($AH$2:AH124),$AH$2:$AH$1001,0),MATCH(COLUMNS($AO$1006:AU1006),$AO$1006:$BQ$1006,0)), HYPERLINK("#",""), HYPERLINK(CONCATENATE("#Metadata!", ADDRESS(INDEX($AJ$2:$AJ$1001,MATCH(ROWS($AH$2:AH124),$AH$2:$AH$1001,0),0), INDEX($AO$1004:$BQ$1004,1,MATCH(COLUMNS($AO$1006:AU1006),$AO$1006:$BQ$1006,0)))),"Fix")))</f>
        <v>#N/A</v>
      </c>
      <c r="I124" s="5" t="e">
        <f ca="1">IF(OR(INDEX($AI$2:$AI$1001,MATCH(ROWS($AH$2:AH124),$AH$2:$AH$1001,0),1)&gt;=100000,INDEX($AO$1005:$BQ$1005,1,MATCH(COLUMNS($AO$1006:AV1006),$AO$1006:$BQ$1006,0))&gt;=100000), " ",IF(INDEX($AO$2:$BQ$1001,MATCH(ROWS($AH$2:AH124),$AH$2:$AH$1001,0),MATCH(COLUMNS($AO$1006:AV1006),$AO$1006:$BQ$1006,0)), HYPERLINK("#",""), HYPERLINK(CONCATENATE("#Metadata!", ADDRESS(INDEX($AJ$2:$AJ$1001,MATCH(ROWS($AH$2:AH124),$AH$2:$AH$1001,0),0), INDEX($AO$1004:$BQ$1004,1,MATCH(COLUMNS($AO$1006:AV1006),$AO$1006:$BQ$1006,0)))),"Fix")))</f>
        <v>#N/A</v>
      </c>
      <c r="J124" s="5" t="e">
        <f ca="1">IF(OR(INDEX($AI$2:$AI$1001,MATCH(ROWS($AH$2:AH124),$AH$2:$AH$1001,0),1)&gt;=100000,INDEX($AO$1005:$BQ$1005,1,MATCH(COLUMNS($AO$1006:AW1006),$AO$1006:$BQ$1006,0))&gt;=100000), " ",IF(INDEX($AO$2:$BQ$1001,MATCH(ROWS($AH$2:AH124),$AH$2:$AH$1001,0),MATCH(COLUMNS($AO$1006:AW1006),$AO$1006:$BQ$1006,0)), HYPERLINK("#",""), HYPERLINK(CONCATENATE("#Metadata!", ADDRESS(INDEX($AJ$2:$AJ$1001,MATCH(ROWS($AH$2:AH124),$AH$2:$AH$1001,0),0), INDEX($AO$1004:$BQ$1004,1,MATCH(COLUMNS($AO$1006:AW1006),$AO$1006:$BQ$1006,0)))),"Fix")))</f>
        <v>#N/A</v>
      </c>
      <c r="K124" s="5" t="e">
        <f ca="1">IF(OR(INDEX($AI$2:$AI$1001,MATCH(ROWS($AH$2:AH124),$AH$2:$AH$1001,0),1)&gt;=100000,INDEX($AO$1005:$BQ$1005,1,MATCH(COLUMNS($AO$1006:AX1006),$AO$1006:$BQ$1006,0))&gt;=100000), " ",IF(INDEX($AO$2:$BQ$1001,MATCH(ROWS($AH$2:AH124),$AH$2:$AH$1001,0),MATCH(COLUMNS($AO$1006:AX1006),$AO$1006:$BQ$1006,0)), HYPERLINK("#",""), HYPERLINK(CONCATENATE("#Metadata!", ADDRESS(INDEX($AJ$2:$AJ$1001,MATCH(ROWS($AH$2:AH124),$AH$2:$AH$1001,0),0), INDEX($AO$1004:$BQ$1004,1,MATCH(COLUMNS($AO$1006:AX1006),$AO$1006:$BQ$1006,0)))),"Fix")))</f>
        <v>#N/A</v>
      </c>
      <c r="L124" s="5" t="e">
        <f ca="1">IF(OR(INDEX($AI$2:$AI$1001,MATCH(ROWS($AH$2:AH124),$AH$2:$AH$1001,0),1)&gt;=100000,INDEX($AO$1005:$BQ$1005,1,MATCH(COLUMNS($AO$1006:AY1006),$AO$1006:$BQ$1006,0))&gt;=100000), " ",IF(INDEX($AO$2:$BQ$1001,MATCH(ROWS($AH$2:AH124),$AH$2:$AH$1001,0),MATCH(COLUMNS($AO$1006:AY1006),$AO$1006:$BQ$1006,0)), HYPERLINK("#",""), HYPERLINK(CONCATENATE("#Metadata!", ADDRESS(INDEX($AJ$2:$AJ$1001,MATCH(ROWS($AH$2:AH124),$AH$2:$AH$1001,0),0), INDEX($AO$1004:$BQ$1004,1,MATCH(COLUMNS($AO$1006:AY1006),$AO$1006:$BQ$1006,0)))),"Fix")))</f>
        <v>#N/A</v>
      </c>
      <c r="M124" s="5" t="e">
        <f ca="1">IF(OR(INDEX($AI$2:$AI$1001,MATCH(ROWS($AH$2:AH124),$AH$2:$AH$1001,0),1)&gt;=100000,INDEX($AO$1005:$BQ$1005,1,MATCH(COLUMNS($AO$1006:AZ1006),$AO$1006:$BQ$1006,0))&gt;=100000), " ",IF(INDEX($AO$2:$BQ$1001,MATCH(ROWS($AH$2:AH124),$AH$2:$AH$1001,0),MATCH(COLUMNS($AO$1006:AZ1006),$AO$1006:$BQ$1006,0)), HYPERLINK("#",""), HYPERLINK(CONCATENATE("#Metadata!", ADDRESS(INDEX($AJ$2:$AJ$1001,MATCH(ROWS($AH$2:AH124),$AH$2:$AH$1001,0),0), INDEX($AO$1004:$BQ$1004,1,MATCH(COLUMNS($AO$1006:AZ1006),$AO$1006:$BQ$1006,0)))),"Fix")))</f>
        <v>#N/A</v>
      </c>
      <c r="N124" s="5" t="e">
        <f ca="1">IF(OR(INDEX($AI$2:$AI$1001,MATCH(ROWS($AH$2:AH124),$AH$2:$AH$1001,0),1)&gt;=100000,INDEX($AO$1005:$BQ$1005,1,MATCH(COLUMNS($AO$1006:BA1006),$AO$1006:$BQ$1006,0))&gt;=100000), " ",IF(INDEX($AO$2:$BQ$1001,MATCH(ROWS($AH$2:AH124),$AH$2:$AH$1001,0),MATCH(COLUMNS($AO$1006:BA1006),$AO$1006:$BQ$1006,0)), HYPERLINK("#",""), HYPERLINK(CONCATENATE("#Metadata!", ADDRESS(INDEX($AJ$2:$AJ$1001,MATCH(ROWS($AH$2:AH124),$AH$2:$AH$1001,0),0), INDEX($AO$1004:$BQ$1004,1,MATCH(COLUMNS($AO$1006:BA1006),$AO$1006:$BQ$1006,0)))),"Fix")))</f>
        <v>#N/A</v>
      </c>
      <c r="O124" s="5" t="e">
        <f ca="1">IF(OR(INDEX($AI$2:$AI$1001,MATCH(ROWS($AH$2:AH124),$AH$2:$AH$1001,0),1)&gt;=100000,INDEX($AO$1005:$BQ$1005,1,MATCH(COLUMNS($AO$1006:BB1006),$AO$1006:$BQ$1006,0))&gt;=100000), " ",IF(INDEX($AO$2:$BQ$1001,MATCH(ROWS($AH$2:AH124),$AH$2:$AH$1001,0),MATCH(COLUMNS($AO$1006:BB1006),$AO$1006:$BQ$1006,0)), HYPERLINK("#",""), HYPERLINK(CONCATENATE("#Metadata!", ADDRESS(INDEX($AJ$2:$AJ$1001,MATCH(ROWS($AH$2:AH124),$AH$2:$AH$1001,0),0), INDEX($AO$1004:$BQ$1004,1,MATCH(COLUMNS($AO$1006:BB1006),$AO$1006:$BQ$1006,0)))),"Fix")))</f>
        <v>#N/A</v>
      </c>
      <c r="P124" s="5" t="e">
        <f ca="1">IF(OR(INDEX($AI$2:$AI$1001,MATCH(ROWS($AH$2:AH124),$AH$2:$AH$1001,0),1)&gt;=100000,INDEX($AO$1005:$BQ$1005,1,MATCH(COLUMNS($AO$1006:BC1006),$AO$1006:$BQ$1006,0))&gt;=100000), " ",IF(INDEX($AO$2:$BQ$1001,MATCH(ROWS($AH$2:AH124),$AH$2:$AH$1001,0),MATCH(COLUMNS($AO$1006:BC1006),$AO$1006:$BQ$1006,0)), HYPERLINK("#",""), HYPERLINK(CONCATENATE("#Metadata!", ADDRESS(INDEX($AJ$2:$AJ$1001,MATCH(ROWS($AH$2:AH124),$AH$2:$AH$1001,0),0), INDEX($AO$1004:$BQ$1004,1,MATCH(COLUMNS($AO$1006:BC1006),$AO$1006:$BQ$1006,0)))),"Fix")))</f>
        <v>#N/A</v>
      </c>
      <c r="Q124" s="5" t="e">
        <f ca="1">IF(OR(INDEX($AI$2:$AI$1001,MATCH(ROWS($AH$2:AH124),$AH$2:$AH$1001,0),1)&gt;=100000,INDEX($AO$1005:$BQ$1005,1,MATCH(COLUMNS($AO$1006:BD1006),$AO$1006:$BQ$1006,0))&gt;=100000), " ",IF(INDEX($AO$2:$BQ$1001,MATCH(ROWS($AH$2:AH124),$AH$2:$AH$1001,0),MATCH(COLUMNS($AO$1006:BD1006),$AO$1006:$BQ$1006,0)), HYPERLINK("#",""), HYPERLINK(CONCATENATE("#Metadata!", ADDRESS(INDEX($AJ$2:$AJ$1001,MATCH(ROWS($AH$2:AH124),$AH$2:$AH$1001,0),0), INDEX($AO$1004:$BQ$1004,1,MATCH(COLUMNS($AO$1006:BD1006),$AO$1006:$BQ$1006,0)))),"Fix")))</f>
        <v>#N/A</v>
      </c>
      <c r="R124" s="5" t="e">
        <f ca="1">IF(OR(INDEX($AI$2:$AI$1001,MATCH(ROWS($AH$2:AH124),$AH$2:$AH$1001,0),1)&gt;=100000,INDEX($AO$1005:$BQ$1005,1,MATCH(COLUMNS($AO$1006:BE1006),$AO$1006:$BQ$1006,0))&gt;=100000), " ",IF(INDEX($AO$2:$BQ$1001,MATCH(ROWS($AH$2:AH124),$AH$2:$AH$1001,0),MATCH(COLUMNS($AO$1006:BE1006),$AO$1006:$BQ$1006,0)), HYPERLINK("#",""), HYPERLINK(CONCATENATE("#Metadata!", ADDRESS(INDEX($AJ$2:$AJ$1001,MATCH(ROWS($AH$2:AH124),$AH$2:$AH$1001,0),0), INDEX($AO$1004:$BQ$1004,1,MATCH(COLUMNS($AO$1006:BE1006),$AO$1006:$BQ$1006,0)))),"Fix")))</f>
        <v>#N/A</v>
      </c>
      <c r="S124" s="5" t="e">
        <f ca="1">IF(OR(INDEX($AI$2:$AI$1001,MATCH(ROWS($AH$2:AH124),$AH$2:$AH$1001,0),1)&gt;=100000,INDEX($AO$1005:$BQ$1005,1,MATCH(COLUMNS($AO$1006:BF1006),$AO$1006:$BQ$1006,0))&gt;=100000), " ",IF(INDEX($AO$2:$BQ$1001,MATCH(ROWS($AH$2:AH124),$AH$2:$AH$1001,0),MATCH(COLUMNS($AO$1006:BF1006),$AO$1006:$BQ$1006,0)), HYPERLINK("#",""), HYPERLINK(CONCATENATE("#Metadata!", ADDRESS(INDEX($AJ$2:$AJ$1001,MATCH(ROWS($AH$2:AH124),$AH$2:$AH$1001,0),0), INDEX($AO$1004:$BQ$1004,1,MATCH(COLUMNS($AO$1006:BF1006),$AO$1006:$BQ$1006,0)))),"Fix")))</f>
        <v>#N/A</v>
      </c>
      <c r="T124" s="5" t="e">
        <f ca="1">IF(OR(INDEX($AI$2:$AI$1001,MATCH(ROWS($AH$2:AH124),$AH$2:$AH$1001,0),1)&gt;=100000,INDEX($AO$1005:$BQ$1005,1,MATCH(COLUMNS($AO$1006:BG1006),$AO$1006:$BQ$1006,0))&gt;=100000), " ",IF(INDEX($AO$2:$BQ$1001,MATCH(ROWS($AH$2:AH124),$AH$2:$AH$1001,0),MATCH(COLUMNS($AO$1006:BG1006),$AO$1006:$BQ$1006,0)), HYPERLINK("#",""), HYPERLINK(CONCATENATE("#Metadata!", ADDRESS(INDEX($AJ$2:$AJ$1001,MATCH(ROWS($AH$2:AH124),$AH$2:$AH$1001,0),0), INDEX($AO$1004:$BQ$1004,1,MATCH(COLUMNS($AO$1006:BG1006),$AO$1006:$BQ$1006,0)))),"Fix")))</f>
        <v>#N/A</v>
      </c>
      <c r="U124" s="5" t="e">
        <f ca="1">IF(OR(INDEX($AI$2:$AI$1001,MATCH(ROWS($AH$2:AH124),$AH$2:$AH$1001,0),1)&gt;=100000,INDEX($AO$1005:$BQ$1005,1,MATCH(COLUMNS($AO$1006:BH1006),$AO$1006:$BQ$1006,0))&gt;=100000), " ",IF(INDEX($AO$2:$BQ$1001,MATCH(ROWS($AH$2:AH124),$AH$2:$AH$1001,0),MATCH(COLUMNS($AO$1006:BH1006),$AO$1006:$BQ$1006,0)), HYPERLINK("#",""), HYPERLINK(CONCATENATE("#Metadata!", ADDRESS(INDEX($AJ$2:$AJ$1001,MATCH(ROWS($AH$2:AH124),$AH$2:$AH$1001,0),0), INDEX($AO$1004:$BQ$1004,1,MATCH(COLUMNS($AO$1006:BH1006),$AO$1006:$BQ$1006,0)))),"Fix")))</f>
        <v>#N/A</v>
      </c>
      <c r="V124" s="5" t="e">
        <f ca="1">IF(OR(INDEX($AI$2:$AI$1001,MATCH(ROWS($AH$2:AH124),$AH$2:$AH$1001,0),1)&gt;=100000,INDEX($AO$1005:$BQ$1005,1,MATCH(COLUMNS($AO$1006:BI1006),$AO$1006:$BQ$1006,0))&gt;=100000), " ",IF(INDEX($AO$2:$BQ$1001,MATCH(ROWS($AH$2:AH124),$AH$2:$AH$1001,0),MATCH(COLUMNS($AO$1006:BI1006),$AO$1006:$BQ$1006,0)), HYPERLINK("#",""), HYPERLINK(CONCATENATE("#Metadata!", ADDRESS(INDEX($AJ$2:$AJ$1001,MATCH(ROWS($AH$2:AH124),$AH$2:$AH$1001,0),0), INDEX($AO$1004:$BQ$1004,1,MATCH(COLUMNS($AO$1006:BI1006),$AO$1006:$BQ$1006,0)))),"Fix")))</f>
        <v>#N/A</v>
      </c>
      <c r="W124" s="5" t="e">
        <f ca="1">IF(OR(INDEX($AI$2:$AI$1001,MATCH(ROWS($AH$2:AH124),$AH$2:$AH$1001,0),1)&gt;=100000,INDEX($AO$1005:$BQ$1005,1,MATCH(COLUMNS($AO$1006:BJ1006),$AO$1006:$BQ$1006,0))&gt;=100000), " ",IF(INDEX($AO$2:$BQ$1001,MATCH(ROWS($AH$2:AH124),$AH$2:$AH$1001,0),MATCH(COLUMNS($AO$1006:BJ1006),$AO$1006:$BQ$1006,0)), HYPERLINK("#",""), HYPERLINK(CONCATENATE("#Metadata!", ADDRESS(INDEX($AJ$2:$AJ$1001,MATCH(ROWS($AH$2:AH124),$AH$2:$AH$1001,0),0), INDEX($AO$1004:$BQ$1004,1,MATCH(COLUMNS($AO$1006:BJ1006),$AO$1006:$BQ$1006,0)))),"Fix")))</f>
        <v>#N/A</v>
      </c>
      <c r="X124" s="5" t="e">
        <f ca="1">IF(OR(INDEX($AI$2:$AI$1001,MATCH(ROWS($AH$2:AH124),$AH$2:$AH$1001,0),1)&gt;=100000,INDEX($AO$1005:$BQ$1005,1,MATCH(COLUMNS($AO$1006:BK1006),$AO$1006:$BQ$1006,0))&gt;=100000), " ",IF(INDEX($AO$2:$BQ$1001,MATCH(ROWS($AH$2:AH124),$AH$2:$AH$1001,0),MATCH(COLUMNS($AO$1006:BK1006),$AO$1006:$BQ$1006,0)), HYPERLINK("#",""), HYPERLINK(CONCATENATE("#Metadata!", ADDRESS(INDEX($AJ$2:$AJ$1001,MATCH(ROWS($AH$2:AH124),$AH$2:$AH$1001,0),0), INDEX($AO$1004:$BQ$1004,1,MATCH(COLUMNS($AO$1006:BK1006),$AO$1006:$BQ$1006,0)))),"Fix")))</f>
        <v>#N/A</v>
      </c>
      <c r="Y124" s="5" t="e">
        <f ca="1">IF(OR(INDEX($AI$2:$AI$1001,MATCH(ROWS($AH$2:AH124),$AH$2:$AH$1001,0),1)&gt;=100000,INDEX($AO$1005:$BQ$1005,1,MATCH(COLUMNS($AO$1006:BL1006),$AO$1006:$BQ$1006,0))&gt;=100000), " ",IF(INDEX($AO$2:$BQ$1001,MATCH(ROWS($AH$2:AH124),$AH$2:$AH$1001,0),MATCH(COLUMNS($AO$1006:BL1006),$AO$1006:$BQ$1006,0)), HYPERLINK("#",""), HYPERLINK(CONCATENATE("#Metadata!", ADDRESS(INDEX($AJ$2:$AJ$1001,MATCH(ROWS($AH$2:AH124),$AH$2:$AH$1001,0),0), INDEX($AO$1004:$BQ$1004,1,MATCH(COLUMNS($AO$1006:BL1006),$AO$1006:$BQ$1006,0)))),"Fix")))</f>
        <v>#N/A</v>
      </c>
      <c r="Z124" s="5" t="e">
        <f ca="1">IF(OR(INDEX($AI$2:$AI$1001,MATCH(ROWS($AH$2:AH124),$AH$2:$AH$1001,0),1)&gt;=100000,INDEX($AO$1005:$BQ$1005,1,MATCH(COLUMNS($AO$1006:BM1006),$AO$1006:$BQ$1006,0))&gt;=100000), " ",IF(INDEX($AO$2:$BQ$1001,MATCH(ROWS($AH$2:AH124),$AH$2:$AH$1001,0),MATCH(COLUMNS($AO$1006:BM1006),$AO$1006:$BQ$1006,0)), HYPERLINK("#",""), HYPERLINK(CONCATENATE("#Metadata!", ADDRESS(INDEX($AJ$2:$AJ$1001,MATCH(ROWS($AH$2:AH124),$AH$2:$AH$1001,0),0), INDEX($AO$1004:$BQ$1004,1,MATCH(COLUMNS($AO$1006:BM1006),$AO$1006:$BQ$1006,0)))),"Fix")))</f>
        <v>#N/A</v>
      </c>
      <c r="AA124" s="5" t="e">
        <f ca="1">IF(OR(INDEX($AI$2:$AI$1001,MATCH(ROWS($AH$2:AH124),$AH$2:$AH$1001,0),1)&gt;=100000,INDEX($AO$1005:$BQ$1005,1,MATCH(COLUMNS($AO$1006:BN1006),$AO$1006:$BQ$1006,0))&gt;=100000), " ",IF(INDEX($AO$2:$BQ$1001,MATCH(ROWS($AH$2:AH124),$AH$2:$AH$1001,0),MATCH(COLUMNS($AO$1006:BN1006),$AO$1006:$BQ$1006,0)), HYPERLINK("#",""), HYPERLINK(CONCATENATE("#Metadata!", ADDRESS(INDEX($AJ$2:$AJ$1001,MATCH(ROWS($AH$2:AH124),$AH$2:$AH$1001,0),0), INDEX($AO$1004:$BQ$1004,1,MATCH(COLUMNS($AO$1006:BN1006),$AO$1006:$BQ$1006,0)))),"Fix")))</f>
        <v>#N/A</v>
      </c>
      <c r="AB124" s="5" t="e">
        <f ca="1">IF(OR(INDEX($AI$2:$AI$1001,MATCH(ROWS($AH$2:AH124),$AH$2:$AH$1001,0),1)&gt;=100000,INDEX($AO$1005:$BQ$1005,1,MATCH(COLUMNS($AO$1006:BO1006),$AO$1006:$BQ$1006,0))&gt;=100000), " ",IF(INDEX($AO$2:$BQ$1001,MATCH(ROWS($AH$2:AH124),$AH$2:$AH$1001,0),MATCH(COLUMNS($AO$1006:BO1006),$AO$1006:$BQ$1006,0)), HYPERLINK("#",""), HYPERLINK(CONCATENATE("#Metadata!", ADDRESS(INDEX($AJ$2:$AJ$1001,MATCH(ROWS($AH$2:AH124),$AH$2:$AH$1001,0),0), INDEX($AO$1004:$BQ$1004,1,MATCH(COLUMNS($AO$1006:BO1006),$AO$1006:$BQ$1006,0)))),"Fix")))</f>
        <v>#N/A</v>
      </c>
      <c r="AC124" s="5" t="e">
        <f ca="1">IF(OR(INDEX($AI$2:$AI$1001,MATCH(ROWS($AH$2:AH124),$AH$2:$AH$1001,0),1)&gt;=100000,INDEX($AO$1005:$BQ$1005,1,MATCH(COLUMNS($AO$1006:BP1006),$AO$1006:$BQ$1006,0))&gt;=100000), " ",IF(INDEX($AO$2:$BQ$1001,MATCH(ROWS($AH$2:AH124),$AH$2:$AH$1001,0),MATCH(COLUMNS($AO$1006:BP1006),$AO$1006:$BQ$1006,0)), HYPERLINK("#",""), HYPERLINK(CONCATENATE("#Metadata!", ADDRESS(INDEX($AJ$2:$AJ$1001,MATCH(ROWS($AH$2:AH124),$AH$2:$AH$1001,0),0), INDEX($AO$1004:$BQ$1004,1,MATCH(COLUMNS($AO$1006:BP1006),$AO$1006:$BQ$1006,0)))),"Fix")))</f>
        <v>#N/A</v>
      </c>
      <c r="AD124" s="5" t="e">
        <f ca="1">IF(OR(INDEX($AI$2:$AI$1001,MATCH(ROWS($AH$2:AH124),$AH$2:$AH$1001,0),1)&gt;=100000,INDEX($AO$1005:$BQ$1005,1,MATCH(COLUMNS($AO$1006:BQ1006),$AO$1006:$BQ$1006,0))&gt;=100000), " ",IF(INDEX($AO$2:$BQ$1001,MATCH(ROWS($AH$2:AH124),$AH$2:$AH$1001,0),MATCH(COLUMNS($AO$1006:BQ1006),$AO$1006:$BQ$1006,0)), HYPERLINK("#",""), HYPERLINK(CONCATENATE("#Metadata!", ADDRESS(INDEX($AJ$2:$AJ$1001,MATCH(ROWS($AH$2:AH124),$AH$2:$AH$1001,0),0), INDEX($AO$1004:$BQ$1004,1,MATCH(COLUMNS($AO$1006:BQ1006),$AO$1006:$BQ$1006,0)))),"Fix")))</f>
        <v>#REF!</v>
      </c>
      <c r="AH124">
        <f ca="1"/>
        <v>121</v>
      </c>
      <c r="AI124">
        <v>100124</v>
      </c>
      <c r="AJ124">
        <v>124</v>
      </c>
      <c r="AK124" t="b">
        <f t="shared" si="1"/>
        <v>1</v>
      </c>
      <c r="AL124" t="b">
        <f>COUNTBLANK(Metadata!B124:AD124)=COLUMNS(Metadata!B124:AD124)</f>
        <v>1</v>
      </c>
      <c r="AM124" t="str">
        <v/>
      </c>
      <c r="AO124" t="b">
        <f ca="1">AND(IF(Metadata!B124="",FALSE,TRUE),COUNTIF(Metadata!B:B, Metadata!B124) = 1,NOT(ISERROR(SUMPRODUCT(SEARCH(MID(Metadata!B124,ROW(INDIRECT("1:"&amp;LEN(Metadata!B124))), 1),"0123456789abcdefghijklmnopqrstuvwxyzABCDEFGHIJKLMNOPQRSTUVWXYZ.")))))</f>
        <v>0</v>
      </c>
      <c r="AP124" t="b">
        <f>IF(Metadata!C124="",FALSE,TRUE)</f>
        <v>0</v>
      </c>
      <c r="AQ124" t="b">
        <f>IF(Metadata!D124="",FALSE,TRUE)</f>
        <v>0</v>
      </c>
      <c r="AR124" t="b">
        <f ca="1">OR(AND(IF(Metadata!E124="",FALSE,TRUE),OR(EXACT(Metadata!E124,"not collected"),EXACT(Metadata!E124,"not provided"),EXACT(Metadata!E124,"restricted access"))),AND(IF(Metadata!E124="",FALSE,TRUE),AND(AND(IFERROR(INT(LEFT(Metadata!E124,4))&gt;1900,FALSE),IFERROR(INT(LEFT(Metadata!E124,4))&lt;=YEAR(NOW()),FALSE)), OR(MID(Metadata!E124,5,1)="", AND(AND(MID(Metadata!E124,5,1)="-",IFERROR(INT(MID(Metadata!E124,6,1))&gt;=0,FALSE),IFERROR(INT(MID(Metadata!E124,6,1))&lt;=1,FALSE),NOT(MID(Metadata!E124,7,1)=""),IFERROR(INT(MID(Metadata!E124,6,2))&gt;=1,FALSE),IFERROR(INT(MID(Metadata!E124,6,2))&lt;=12,FALSE)), OR(MID(Metadata!E124,8,1)="", AND(AND(MID(Metadata!E124,8,1)="-",IFERROR(INT(MID(Metadata!E124,9,1))&gt;=0,FALSE),IFERROR(INT(MID(Metadata!E124,9,1))&lt;=3,FALSE),NOT(MID(Metadata!E124,10,1)=""),IFERROR(INT(MID(Metadata!E124,9,2))&gt;=1,FALSE),IFERROR(INT(MID(Metadata!E124,9,2))&lt;=31,FALSE)), OR(MID(Metadata!E124,11,1)="", AND(AND(MID(Metadata!E124,11,1)=" ",IFERROR(INT(MID(Metadata!E124,12,1))&gt;=0,FALSE),IFERROR(INT(MID(Metadata!E124,12,1))&lt;=2,FALSE),NOT(MID(Metadata!E124,13,1)=""),IFERROR(INT(MID(Metadata!E124,12,2))&gt;=0,FALSE),IFERROR(INT(MID(Metadata!E124,12,2))&lt;=23,FALSE)), OR(MID(Metadata!E124,14,1)="", AND(AND(MID(Metadata!E124,14,1)=":",IFERROR(INT(MID(Metadata!E124,15,1))&gt;=0,FALSE),IFERROR(INT(MID(Metadata!E124,15,1))&lt;=5,FALSE),NOT(MID(Metadata!E124,16,1)=""),IFERROR(INT(MID(Metadata!E124,15,2))&gt;=0,FALSE),IFERROR(INT(MID(Metadata!E124,15,2))&lt;=59,FALSE)), OR(MID(Metadata!E124,17,1)="", AND(AND(MID(Metadata!E124,17,1)=":",IFERROR(INT(MID(Metadata!E124,18,1))&gt;=0,FALSE),IFERROR(INT(MID(Metadata!E124,18,1))&lt;=5,FALSE),NOT(MID(Metadata!E124,19,1)=""),IFERROR(INT(MID(Metadata!E124,18,2))&gt;=0,FALSE),IFERROR(INT(MID(Metadata!E124,18,2))&lt;=59,FALSE)), LEN(Metadata!E124)&lt;=19)))))))))))))</f>
        <v>0</v>
      </c>
      <c r="AS124" t="b">
        <f>IF(Metadata!F124="",FALSE,TRUE)</f>
        <v>0</v>
      </c>
      <c r="AT124" t="b">
        <f>OR(AND(IF(Metadata!G124="",FALSE,TRUE),OR(EXACT(Metadata!G124,"not collected"),EXACT(Metadata!G124,"not provided"))),AND(IF(Metadata!G124="",FALSE,TRUE),OR(EXACT(Metadata!G124,"TRUE"),EXACT(Metadata!G124,"FALSE"))))</f>
        <v>0</v>
      </c>
      <c r="AU124" t="b">
        <f>OR(AND(IF(Metadata!H124="",FALSE,TRUE),OR(EXACT(Metadata!H124,"not collected"),EXACT(Metadata!H124,"not provided"),EXACT(Metadata!H124,"restricted access"))),AND(IF(Metadata!H124="",FALSE,ISNUMBER(VALUE(Metadata!H124))),Metadata!H124&gt;=-413))</f>
        <v>0</v>
      </c>
      <c r="AV124" t="b">
        <f>AND(IF(Metadata!I124="",FALSE,TRUE),EXACT(Metadata!I124,"meters"))</f>
        <v>0</v>
      </c>
      <c r="AW124" t="b">
        <f>AND(IF(Metadata!J124="",FALSE,TRUE),EXACT(Metadata!J124,"free-living"))</f>
        <v>0</v>
      </c>
      <c r="AX124" t="b">
        <f>AND(IF(Metadata!K124="",FALSE,TRUE),OR(EXACT(Metadata!K124,"saline"),EXACT(Metadata!K124,"non-saline")))</f>
        <v>0</v>
      </c>
      <c r="AY124" t="b">
        <f>AND(IF(Metadata!L124="",FALSE,TRUE),OR(EXACT(Metadata!L124,"sub-surface (non-saline)"),EXACT(Metadata!L124,"surface (non-saline)"),EXACT(Metadata!L124,"water (non-saline)"),EXACT(Metadata!L124,"soil (non-saline)"),EXACT(Metadata!L124,"aerosol (non-saline)"),EXACT(Metadata!L124,"sediment (non-saline)"),EXACT(Metadata!L124,"surface (saline)"),EXACT(Metadata!L124,"water (saline)"),EXACT(Metadata!L124,"hypersaline (saline)"),EXACT(Metadata!L124,"aerosol (saline)"),EXACT(Metadata!L124,"sediment (saline)")))</f>
        <v>0</v>
      </c>
      <c r="AZ124" t="b">
        <f>IF(Metadata!M124="",FALSE,TRUE)</f>
        <v>0</v>
      </c>
      <c r="BA124" t="b">
        <f>IF(Metadata!N124="",FALSE,TRUE)</f>
        <v>0</v>
      </c>
      <c r="BB124" t="b">
        <f>IF(Metadata!O124="",FALSE,TRUE)</f>
        <v>0</v>
      </c>
      <c r="BC124" t="b">
        <f>AND(IF(Metadata!P124="",FALSE,TRUE),OR(EXACT(Metadata!P124,"air"),EXACT(Metadata!P124,"microbial mat/biofilm"),EXACT(Metadata!P124,"misc environment"),EXACT(Metadata!P124,"sediment"),EXACT(Metadata!P124,"soil"),EXACT(Metadata!P124,"wastewater/sludge"),EXACT(Metadata!P124,"water")))</f>
        <v>0</v>
      </c>
      <c r="BD124" t="b">
        <f>IF(Metadata!Q124="",FALSE,TRUE)</f>
        <v>0</v>
      </c>
      <c r="BE124" t="b">
        <f>IF(Metadata!R124="",FALSE,TRUE)</f>
        <v>0</v>
      </c>
      <c r="BF124" t="b">
        <f>OR(AND(IF(Metadata!S124="",FALSE,TRUE),OR(EXACT(Metadata!S124,"not collected"),EXACT(Metadata!S124,"not provided"),EXACT(Metadata!S124,"restricted access"))),AND(IF(Metadata!S124="",FALSE,ISNUMBER(VALUE(Metadata!S124))),Metadata!S124&gt;=-90,Metadata!S124&lt;=90))</f>
        <v>0</v>
      </c>
      <c r="BG124" t="b">
        <f>AND(IF(Metadata!T124="",FALSE,TRUE),EXACT(Metadata!T124,"Decimal degrees"))</f>
        <v>0</v>
      </c>
      <c r="BH124" t="b">
        <f>OR(AND(IF(Metadata!U124="",FALSE,TRUE),OR(EXACT(Metadata!U124,"not applicable"),EXACT(Metadata!U124,"not collected"))),IF(Metadata!U124="",FALSE,TRUE))</f>
        <v>0</v>
      </c>
      <c r="BI124" t="b">
        <f>OR(AND(IF(Metadata!V124="",FALSE,TRUE),OR(EXACT(Metadata!V124,"not collected"),EXACT(Metadata!V124,"not provided"),EXACT(Metadata!V124,"restricted access"))),AND(IF(Metadata!V124="",FALSE,ISNUMBER(VALUE(Metadata!V124))),Metadata!V124&gt;=-180,Metadata!V124&lt;=180))</f>
        <v>0</v>
      </c>
      <c r="BJ124" t="b">
        <f>AND(IF(Metadata!W124="",FALSE,TRUE),EXACT(Metadata!W124,"Decimal degrees"))</f>
        <v>0</v>
      </c>
      <c r="BK124" t="b">
        <f>IF(Metadata!X124="",FALSE,TRUE)</f>
        <v>0</v>
      </c>
      <c r="BL124" t="b">
        <f>OR(AND(IF(Metadata!Y124="",FALSE,TRUE),OR(EXACT(Metadata!Y124,"not collected"),EXACT(Metadata!Y124,"not provided"),EXACT(Metadata!Y124,"restricted access"))),AND(IF(Metadata!Y124="",FALSE,TRUE),OR(EXACT(Metadata!Y124,"TRUE"),EXACT(Metadata!Y124,"FALSE"))))</f>
        <v>0</v>
      </c>
      <c r="BM124" t="b">
        <f>OR(AND(IF(Metadata!Z124="",FALSE,TRUE),EXACT(Metadata!Z124,"not applicable")),AND(IF(Metadata!Z124="",FALSE,TRUE),OR(EXACT(Metadata!Z124,"beer"),EXACT(Metadata!Z124,"cheese"),EXACT(Metadata!Z124,"fresh water"),EXACT(Metadata!Z124,"marine sediment"),EXACT(Metadata!Z124,"sea water"),EXACT(Metadata!Z124,"sediment"),EXACT(Metadata!Z124,"soil"),EXACT(Metadata!Z124,"waste water"))))</f>
        <v>0</v>
      </c>
      <c r="BN124" t="b">
        <f>AND(IF(Metadata!AA124="",FALSE,TRUE),EXACT(Metadata!AA124,"metagenome"))</f>
        <v>0</v>
      </c>
      <c r="BO124" t="b">
        <f>AND(IF(Metadata!AB124="",FALSE,TRUE),EXACT(Metadata!AB124,"256318"))</f>
        <v>0</v>
      </c>
      <c r="BP124" t="b">
        <f>IF(Metadata!AC124="",FALSE,TRUE)</f>
        <v>0</v>
      </c>
      <c r="BQ124" t="b">
        <f>IF(Metadata!AD124="",FALSE,TRUE)</f>
        <v>0</v>
      </c>
    </row>
    <row r="125" spans="1:69" x14ac:dyDescent="0.2">
      <c r="A125" s="4" t="e">
        <f ca="1">IF(B125=" "," ",HYPERLINK(CONCATENATE("#metadata!",ADDRESS(INDEX($AJ$2:$AJ$1001,MATCH(ROWS($AH$2:AH125),$AH$2:$AH$1001,0),0),2)),INDEX($AM$2:$AM$1001,MATCH(ROWS($AH$2:AH125),$AH$2:$AH$1001,0),0)))</f>
        <v>#N/A</v>
      </c>
      <c r="B125" s="5" t="e">
        <f ca="1">IF(OR(INDEX($AI$2:$AI$1001,MATCH(ROWS($AH$2:AH125),$AH$2:$AH$1001,0),1)&gt;=100000,INDEX($AO$1005:$BQ$1005,1,MATCH(COLUMNS($AO$1006:AO1006),$AO$1006:$BQ$1006,0))&gt;=100000), " ",IF(INDEX($AO$2:$BQ$1001,MATCH(ROWS($AH$2:AH125),$AH$2:$AH$1001,0),MATCH(COLUMNS($AO$1006:AO1006),$AO$1006:$BQ$1006,0)), HYPERLINK("#",""), HYPERLINK(CONCATENATE("#Metadata!", ADDRESS(INDEX($AJ$2:$AJ$1001,MATCH(ROWS($AH$2:AH125),$AH$2:$AH$1001,0),0), INDEX($AO$1004:$BQ$1004,1,MATCH(COLUMNS($AO$1006:AO1006),$AO$1006:$BQ$1006,0)))),"Fix")))</f>
        <v>#N/A</v>
      </c>
      <c r="C125" s="5" t="e">
        <f ca="1">IF(OR(INDEX($AI$2:$AI$1001,MATCH(ROWS($AH$2:AH125),$AH$2:$AH$1001,0),1)&gt;=100000,INDEX($AO$1005:$BQ$1005,1,MATCH(COLUMNS($AO$1006:AP1006),$AO$1006:$BQ$1006,0))&gt;=100000), " ",IF(INDEX($AO$2:$BQ$1001,MATCH(ROWS($AH$2:AH125),$AH$2:$AH$1001,0),MATCH(COLUMNS($AO$1006:AP1006),$AO$1006:$BQ$1006,0)), HYPERLINK("#",""), HYPERLINK(CONCATENATE("#Metadata!", ADDRESS(INDEX($AJ$2:$AJ$1001,MATCH(ROWS($AH$2:AH125),$AH$2:$AH$1001,0),0), INDEX($AO$1004:$BQ$1004,1,MATCH(COLUMNS($AO$1006:AP1006),$AO$1006:$BQ$1006,0)))),"Fix")))</f>
        <v>#N/A</v>
      </c>
      <c r="D125" s="5" t="e">
        <f ca="1">IF(OR(INDEX($AI$2:$AI$1001,MATCH(ROWS($AH$2:AH125),$AH$2:$AH$1001,0),1)&gt;=100000,INDEX($AO$1005:$BQ$1005,1,MATCH(COLUMNS($AO$1006:AQ1006),$AO$1006:$BQ$1006,0))&gt;=100000), " ",IF(INDEX($AO$2:$BQ$1001,MATCH(ROWS($AH$2:AH125),$AH$2:$AH$1001,0),MATCH(COLUMNS($AO$1006:AQ1006),$AO$1006:$BQ$1006,0)), HYPERLINK("#",""), HYPERLINK(CONCATENATE("#Metadata!", ADDRESS(INDEX($AJ$2:$AJ$1001,MATCH(ROWS($AH$2:AH125),$AH$2:$AH$1001,0),0), INDEX($AO$1004:$BQ$1004,1,MATCH(COLUMNS($AO$1006:AQ1006),$AO$1006:$BQ$1006,0)))),"Fix")))</f>
        <v>#N/A</v>
      </c>
      <c r="E125" s="5" t="e">
        <f ca="1">IF(OR(INDEX($AI$2:$AI$1001,MATCH(ROWS($AH$2:AH125),$AH$2:$AH$1001,0),1)&gt;=100000,INDEX($AO$1005:$BQ$1005,1,MATCH(COLUMNS($AO$1006:AR1006),$AO$1006:$BQ$1006,0))&gt;=100000), " ",IF(INDEX($AO$2:$BQ$1001,MATCH(ROWS($AH$2:AH125),$AH$2:$AH$1001,0),MATCH(COLUMNS($AO$1006:AR1006),$AO$1006:$BQ$1006,0)), HYPERLINK("#",""), HYPERLINK(CONCATENATE("#Metadata!", ADDRESS(INDEX($AJ$2:$AJ$1001,MATCH(ROWS($AH$2:AH125),$AH$2:$AH$1001,0),0), INDEX($AO$1004:$BQ$1004,1,MATCH(COLUMNS($AO$1006:AR1006),$AO$1006:$BQ$1006,0)))),"Fix")))</f>
        <v>#N/A</v>
      </c>
      <c r="F125" s="5" t="e">
        <f ca="1">IF(OR(INDEX($AI$2:$AI$1001,MATCH(ROWS($AH$2:AH125),$AH$2:$AH$1001,0),1)&gt;=100000,INDEX($AO$1005:$BQ$1005,1,MATCH(COLUMNS($AO$1006:AS1006),$AO$1006:$BQ$1006,0))&gt;=100000), " ",IF(INDEX($AO$2:$BQ$1001,MATCH(ROWS($AH$2:AH125),$AH$2:$AH$1001,0),MATCH(COLUMNS($AO$1006:AS1006),$AO$1006:$BQ$1006,0)), HYPERLINK("#",""), HYPERLINK(CONCATENATE("#Metadata!", ADDRESS(INDEX($AJ$2:$AJ$1001,MATCH(ROWS($AH$2:AH125),$AH$2:$AH$1001,0),0), INDEX($AO$1004:$BQ$1004,1,MATCH(COLUMNS($AO$1006:AS1006),$AO$1006:$BQ$1006,0)))),"Fix")))</f>
        <v>#N/A</v>
      </c>
      <c r="G125" s="5" t="e">
        <f ca="1">IF(OR(INDEX($AI$2:$AI$1001,MATCH(ROWS($AH$2:AH125),$AH$2:$AH$1001,0),1)&gt;=100000,INDEX($AO$1005:$BQ$1005,1,MATCH(COLUMNS($AO$1006:AT1006),$AO$1006:$BQ$1006,0))&gt;=100000), " ",IF(INDEX($AO$2:$BQ$1001,MATCH(ROWS($AH$2:AH125),$AH$2:$AH$1001,0),MATCH(COLUMNS($AO$1006:AT1006),$AO$1006:$BQ$1006,0)), HYPERLINK("#",""), HYPERLINK(CONCATENATE("#Metadata!", ADDRESS(INDEX($AJ$2:$AJ$1001,MATCH(ROWS($AH$2:AH125),$AH$2:$AH$1001,0),0), INDEX($AO$1004:$BQ$1004,1,MATCH(COLUMNS($AO$1006:AT1006),$AO$1006:$BQ$1006,0)))),"Fix")))</f>
        <v>#N/A</v>
      </c>
      <c r="H125" s="5" t="e">
        <f ca="1">IF(OR(INDEX($AI$2:$AI$1001,MATCH(ROWS($AH$2:AH125),$AH$2:$AH$1001,0),1)&gt;=100000,INDEX($AO$1005:$BQ$1005,1,MATCH(COLUMNS($AO$1006:AU1006),$AO$1006:$BQ$1006,0))&gt;=100000), " ",IF(INDEX($AO$2:$BQ$1001,MATCH(ROWS($AH$2:AH125),$AH$2:$AH$1001,0),MATCH(COLUMNS($AO$1006:AU1006),$AO$1006:$BQ$1006,0)), HYPERLINK("#",""), HYPERLINK(CONCATENATE("#Metadata!", ADDRESS(INDEX($AJ$2:$AJ$1001,MATCH(ROWS($AH$2:AH125),$AH$2:$AH$1001,0),0), INDEX($AO$1004:$BQ$1004,1,MATCH(COLUMNS($AO$1006:AU1006),$AO$1006:$BQ$1006,0)))),"Fix")))</f>
        <v>#N/A</v>
      </c>
      <c r="I125" s="5" t="e">
        <f ca="1">IF(OR(INDEX($AI$2:$AI$1001,MATCH(ROWS($AH$2:AH125),$AH$2:$AH$1001,0),1)&gt;=100000,INDEX($AO$1005:$BQ$1005,1,MATCH(COLUMNS($AO$1006:AV1006),$AO$1006:$BQ$1006,0))&gt;=100000), " ",IF(INDEX($AO$2:$BQ$1001,MATCH(ROWS($AH$2:AH125),$AH$2:$AH$1001,0),MATCH(COLUMNS($AO$1006:AV1006),$AO$1006:$BQ$1006,0)), HYPERLINK("#",""), HYPERLINK(CONCATENATE("#Metadata!", ADDRESS(INDEX($AJ$2:$AJ$1001,MATCH(ROWS($AH$2:AH125),$AH$2:$AH$1001,0),0), INDEX($AO$1004:$BQ$1004,1,MATCH(COLUMNS($AO$1006:AV1006),$AO$1006:$BQ$1006,0)))),"Fix")))</f>
        <v>#N/A</v>
      </c>
      <c r="J125" s="5" t="e">
        <f ca="1">IF(OR(INDEX($AI$2:$AI$1001,MATCH(ROWS($AH$2:AH125),$AH$2:$AH$1001,0),1)&gt;=100000,INDEX($AO$1005:$BQ$1005,1,MATCH(COLUMNS($AO$1006:AW1006),$AO$1006:$BQ$1006,0))&gt;=100000), " ",IF(INDEX($AO$2:$BQ$1001,MATCH(ROWS($AH$2:AH125),$AH$2:$AH$1001,0),MATCH(COLUMNS($AO$1006:AW1006),$AO$1006:$BQ$1006,0)), HYPERLINK("#",""), HYPERLINK(CONCATENATE("#Metadata!", ADDRESS(INDEX($AJ$2:$AJ$1001,MATCH(ROWS($AH$2:AH125),$AH$2:$AH$1001,0),0), INDEX($AO$1004:$BQ$1004,1,MATCH(COLUMNS($AO$1006:AW1006),$AO$1006:$BQ$1006,0)))),"Fix")))</f>
        <v>#N/A</v>
      </c>
      <c r="K125" s="5" t="e">
        <f ca="1">IF(OR(INDEX($AI$2:$AI$1001,MATCH(ROWS($AH$2:AH125),$AH$2:$AH$1001,0),1)&gt;=100000,INDEX($AO$1005:$BQ$1005,1,MATCH(COLUMNS($AO$1006:AX1006),$AO$1006:$BQ$1006,0))&gt;=100000), " ",IF(INDEX($AO$2:$BQ$1001,MATCH(ROWS($AH$2:AH125),$AH$2:$AH$1001,0),MATCH(COLUMNS($AO$1006:AX1006),$AO$1006:$BQ$1006,0)), HYPERLINK("#",""), HYPERLINK(CONCATENATE("#Metadata!", ADDRESS(INDEX($AJ$2:$AJ$1001,MATCH(ROWS($AH$2:AH125),$AH$2:$AH$1001,0),0), INDEX($AO$1004:$BQ$1004,1,MATCH(COLUMNS($AO$1006:AX1006),$AO$1006:$BQ$1006,0)))),"Fix")))</f>
        <v>#N/A</v>
      </c>
      <c r="L125" s="5" t="e">
        <f ca="1">IF(OR(INDEX($AI$2:$AI$1001,MATCH(ROWS($AH$2:AH125),$AH$2:$AH$1001,0),1)&gt;=100000,INDEX($AO$1005:$BQ$1005,1,MATCH(COLUMNS($AO$1006:AY1006),$AO$1006:$BQ$1006,0))&gt;=100000), " ",IF(INDEX($AO$2:$BQ$1001,MATCH(ROWS($AH$2:AH125),$AH$2:$AH$1001,0),MATCH(COLUMNS($AO$1006:AY1006),$AO$1006:$BQ$1006,0)), HYPERLINK("#",""), HYPERLINK(CONCATENATE("#Metadata!", ADDRESS(INDEX($AJ$2:$AJ$1001,MATCH(ROWS($AH$2:AH125),$AH$2:$AH$1001,0),0), INDEX($AO$1004:$BQ$1004,1,MATCH(COLUMNS($AO$1006:AY1006),$AO$1006:$BQ$1006,0)))),"Fix")))</f>
        <v>#N/A</v>
      </c>
      <c r="M125" s="5" t="e">
        <f ca="1">IF(OR(INDEX($AI$2:$AI$1001,MATCH(ROWS($AH$2:AH125),$AH$2:$AH$1001,0),1)&gt;=100000,INDEX($AO$1005:$BQ$1005,1,MATCH(COLUMNS($AO$1006:AZ1006),$AO$1006:$BQ$1006,0))&gt;=100000), " ",IF(INDEX($AO$2:$BQ$1001,MATCH(ROWS($AH$2:AH125),$AH$2:$AH$1001,0),MATCH(COLUMNS($AO$1006:AZ1006),$AO$1006:$BQ$1006,0)), HYPERLINK("#",""), HYPERLINK(CONCATENATE("#Metadata!", ADDRESS(INDEX($AJ$2:$AJ$1001,MATCH(ROWS($AH$2:AH125),$AH$2:$AH$1001,0),0), INDEX($AO$1004:$BQ$1004,1,MATCH(COLUMNS($AO$1006:AZ1006),$AO$1006:$BQ$1006,0)))),"Fix")))</f>
        <v>#N/A</v>
      </c>
      <c r="N125" s="5" t="e">
        <f ca="1">IF(OR(INDEX($AI$2:$AI$1001,MATCH(ROWS($AH$2:AH125),$AH$2:$AH$1001,0),1)&gt;=100000,INDEX($AO$1005:$BQ$1005,1,MATCH(COLUMNS($AO$1006:BA1006),$AO$1006:$BQ$1006,0))&gt;=100000), " ",IF(INDEX($AO$2:$BQ$1001,MATCH(ROWS($AH$2:AH125),$AH$2:$AH$1001,0),MATCH(COLUMNS($AO$1006:BA1006),$AO$1006:$BQ$1006,0)), HYPERLINK("#",""), HYPERLINK(CONCATENATE("#Metadata!", ADDRESS(INDEX($AJ$2:$AJ$1001,MATCH(ROWS($AH$2:AH125),$AH$2:$AH$1001,0),0), INDEX($AO$1004:$BQ$1004,1,MATCH(COLUMNS($AO$1006:BA1006),$AO$1006:$BQ$1006,0)))),"Fix")))</f>
        <v>#N/A</v>
      </c>
      <c r="O125" s="5" t="e">
        <f ca="1">IF(OR(INDEX($AI$2:$AI$1001,MATCH(ROWS($AH$2:AH125),$AH$2:$AH$1001,0),1)&gt;=100000,INDEX($AO$1005:$BQ$1005,1,MATCH(COLUMNS($AO$1006:BB1006),$AO$1006:$BQ$1006,0))&gt;=100000), " ",IF(INDEX($AO$2:$BQ$1001,MATCH(ROWS($AH$2:AH125),$AH$2:$AH$1001,0),MATCH(COLUMNS($AO$1006:BB1006),$AO$1006:$BQ$1006,0)), HYPERLINK("#",""), HYPERLINK(CONCATENATE("#Metadata!", ADDRESS(INDEX($AJ$2:$AJ$1001,MATCH(ROWS($AH$2:AH125),$AH$2:$AH$1001,0),0), INDEX($AO$1004:$BQ$1004,1,MATCH(COLUMNS($AO$1006:BB1006),$AO$1006:$BQ$1006,0)))),"Fix")))</f>
        <v>#N/A</v>
      </c>
      <c r="P125" s="5" t="e">
        <f ca="1">IF(OR(INDEX($AI$2:$AI$1001,MATCH(ROWS($AH$2:AH125),$AH$2:$AH$1001,0),1)&gt;=100000,INDEX($AO$1005:$BQ$1005,1,MATCH(COLUMNS($AO$1006:BC1006),$AO$1006:$BQ$1006,0))&gt;=100000), " ",IF(INDEX($AO$2:$BQ$1001,MATCH(ROWS($AH$2:AH125),$AH$2:$AH$1001,0),MATCH(COLUMNS($AO$1006:BC1006),$AO$1006:$BQ$1006,0)), HYPERLINK("#",""), HYPERLINK(CONCATENATE("#Metadata!", ADDRESS(INDEX($AJ$2:$AJ$1001,MATCH(ROWS($AH$2:AH125),$AH$2:$AH$1001,0),0), INDEX($AO$1004:$BQ$1004,1,MATCH(COLUMNS($AO$1006:BC1006),$AO$1006:$BQ$1006,0)))),"Fix")))</f>
        <v>#N/A</v>
      </c>
      <c r="Q125" s="5" t="e">
        <f ca="1">IF(OR(INDEX($AI$2:$AI$1001,MATCH(ROWS($AH$2:AH125),$AH$2:$AH$1001,0),1)&gt;=100000,INDEX($AO$1005:$BQ$1005,1,MATCH(COLUMNS($AO$1006:BD1006),$AO$1006:$BQ$1006,0))&gt;=100000), " ",IF(INDEX($AO$2:$BQ$1001,MATCH(ROWS($AH$2:AH125),$AH$2:$AH$1001,0),MATCH(COLUMNS($AO$1006:BD1006),$AO$1006:$BQ$1006,0)), HYPERLINK("#",""), HYPERLINK(CONCATENATE("#Metadata!", ADDRESS(INDEX($AJ$2:$AJ$1001,MATCH(ROWS($AH$2:AH125),$AH$2:$AH$1001,0),0), INDEX($AO$1004:$BQ$1004,1,MATCH(COLUMNS($AO$1006:BD1006),$AO$1006:$BQ$1006,0)))),"Fix")))</f>
        <v>#N/A</v>
      </c>
      <c r="R125" s="5" t="e">
        <f ca="1">IF(OR(INDEX($AI$2:$AI$1001,MATCH(ROWS($AH$2:AH125),$AH$2:$AH$1001,0),1)&gt;=100000,INDEX($AO$1005:$BQ$1005,1,MATCH(COLUMNS($AO$1006:BE1006),$AO$1006:$BQ$1006,0))&gt;=100000), " ",IF(INDEX($AO$2:$BQ$1001,MATCH(ROWS($AH$2:AH125),$AH$2:$AH$1001,0),MATCH(COLUMNS($AO$1006:BE1006),$AO$1006:$BQ$1006,0)), HYPERLINK("#",""), HYPERLINK(CONCATENATE("#Metadata!", ADDRESS(INDEX($AJ$2:$AJ$1001,MATCH(ROWS($AH$2:AH125),$AH$2:$AH$1001,0),0), INDEX($AO$1004:$BQ$1004,1,MATCH(COLUMNS($AO$1006:BE1006),$AO$1006:$BQ$1006,0)))),"Fix")))</f>
        <v>#N/A</v>
      </c>
      <c r="S125" s="5" t="e">
        <f ca="1">IF(OR(INDEX($AI$2:$AI$1001,MATCH(ROWS($AH$2:AH125),$AH$2:$AH$1001,0),1)&gt;=100000,INDEX($AO$1005:$BQ$1005,1,MATCH(COLUMNS($AO$1006:BF1006),$AO$1006:$BQ$1006,0))&gt;=100000), " ",IF(INDEX($AO$2:$BQ$1001,MATCH(ROWS($AH$2:AH125),$AH$2:$AH$1001,0),MATCH(COLUMNS($AO$1006:BF1006),$AO$1006:$BQ$1006,0)), HYPERLINK("#",""), HYPERLINK(CONCATENATE("#Metadata!", ADDRESS(INDEX($AJ$2:$AJ$1001,MATCH(ROWS($AH$2:AH125),$AH$2:$AH$1001,0),0), INDEX($AO$1004:$BQ$1004,1,MATCH(COLUMNS($AO$1006:BF1006),$AO$1006:$BQ$1006,0)))),"Fix")))</f>
        <v>#N/A</v>
      </c>
      <c r="T125" s="5" t="e">
        <f ca="1">IF(OR(INDEX($AI$2:$AI$1001,MATCH(ROWS($AH$2:AH125),$AH$2:$AH$1001,0),1)&gt;=100000,INDEX($AO$1005:$BQ$1005,1,MATCH(COLUMNS($AO$1006:BG1006),$AO$1006:$BQ$1006,0))&gt;=100000), " ",IF(INDEX($AO$2:$BQ$1001,MATCH(ROWS($AH$2:AH125),$AH$2:$AH$1001,0),MATCH(COLUMNS($AO$1006:BG1006),$AO$1006:$BQ$1006,0)), HYPERLINK("#",""), HYPERLINK(CONCATENATE("#Metadata!", ADDRESS(INDEX($AJ$2:$AJ$1001,MATCH(ROWS($AH$2:AH125),$AH$2:$AH$1001,0),0), INDEX($AO$1004:$BQ$1004,1,MATCH(COLUMNS($AO$1006:BG1006),$AO$1006:$BQ$1006,0)))),"Fix")))</f>
        <v>#N/A</v>
      </c>
      <c r="U125" s="5" t="e">
        <f ca="1">IF(OR(INDEX($AI$2:$AI$1001,MATCH(ROWS($AH$2:AH125),$AH$2:$AH$1001,0),1)&gt;=100000,INDEX($AO$1005:$BQ$1005,1,MATCH(COLUMNS($AO$1006:BH1006),$AO$1006:$BQ$1006,0))&gt;=100000), " ",IF(INDEX($AO$2:$BQ$1001,MATCH(ROWS($AH$2:AH125),$AH$2:$AH$1001,0),MATCH(COLUMNS($AO$1006:BH1006),$AO$1006:$BQ$1006,0)), HYPERLINK("#",""), HYPERLINK(CONCATENATE("#Metadata!", ADDRESS(INDEX($AJ$2:$AJ$1001,MATCH(ROWS($AH$2:AH125),$AH$2:$AH$1001,0),0), INDEX($AO$1004:$BQ$1004,1,MATCH(COLUMNS($AO$1006:BH1006),$AO$1006:$BQ$1006,0)))),"Fix")))</f>
        <v>#N/A</v>
      </c>
      <c r="V125" s="5" t="e">
        <f ca="1">IF(OR(INDEX($AI$2:$AI$1001,MATCH(ROWS($AH$2:AH125),$AH$2:$AH$1001,0),1)&gt;=100000,INDEX($AO$1005:$BQ$1005,1,MATCH(COLUMNS($AO$1006:BI1006),$AO$1006:$BQ$1006,0))&gt;=100000), " ",IF(INDEX($AO$2:$BQ$1001,MATCH(ROWS($AH$2:AH125),$AH$2:$AH$1001,0),MATCH(COLUMNS($AO$1006:BI1006),$AO$1006:$BQ$1006,0)), HYPERLINK("#",""), HYPERLINK(CONCATENATE("#Metadata!", ADDRESS(INDEX($AJ$2:$AJ$1001,MATCH(ROWS($AH$2:AH125),$AH$2:$AH$1001,0),0), INDEX($AO$1004:$BQ$1004,1,MATCH(COLUMNS($AO$1006:BI1006),$AO$1006:$BQ$1006,0)))),"Fix")))</f>
        <v>#N/A</v>
      </c>
      <c r="W125" s="5" t="e">
        <f ca="1">IF(OR(INDEX($AI$2:$AI$1001,MATCH(ROWS($AH$2:AH125),$AH$2:$AH$1001,0),1)&gt;=100000,INDEX($AO$1005:$BQ$1005,1,MATCH(COLUMNS($AO$1006:BJ1006),$AO$1006:$BQ$1006,0))&gt;=100000), " ",IF(INDEX($AO$2:$BQ$1001,MATCH(ROWS($AH$2:AH125),$AH$2:$AH$1001,0),MATCH(COLUMNS($AO$1006:BJ1006),$AO$1006:$BQ$1006,0)), HYPERLINK("#",""), HYPERLINK(CONCATENATE("#Metadata!", ADDRESS(INDEX($AJ$2:$AJ$1001,MATCH(ROWS($AH$2:AH125),$AH$2:$AH$1001,0),0), INDEX($AO$1004:$BQ$1004,1,MATCH(COLUMNS($AO$1006:BJ1006),$AO$1006:$BQ$1006,0)))),"Fix")))</f>
        <v>#N/A</v>
      </c>
      <c r="X125" s="5" t="e">
        <f ca="1">IF(OR(INDEX($AI$2:$AI$1001,MATCH(ROWS($AH$2:AH125),$AH$2:$AH$1001,0),1)&gt;=100000,INDEX($AO$1005:$BQ$1005,1,MATCH(COLUMNS($AO$1006:BK1006),$AO$1006:$BQ$1006,0))&gt;=100000), " ",IF(INDEX($AO$2:$BQ$1001,MATCH(ROWS($AH$2:AH125),$AH$2:$AH$1001,0),MATCH(COLUMNS($AO$1006:BK1006),$AO$1006:$BQ$1006,0)), HYPERLINK("#",""), HYPERLINK(CONCATENATE("#Metadata!", ADDRESS(INDEX($AJ$2:$AJ$1001,MATCH(ROWS($AH$2:AH125),$AH$2:$AH$1001,0),0), INDEX($AO$1004:$BQ$1004,1,MATCH(COLUMNS($AO$1006:BK1006),$AO$1006:$BQ$1006,0)))),"Fix")))</f>
        <v>#N/A</v>
      </c>
      <c r="Y125" s="5" t="e">
        <f ca="1">IF(OR(INDEX($AI$2:$AI$1001,MATCH(ROWS($AH$2:AH125),$AH$2:$AH$1001,0),1)&gt;=100000,INDEX($AO$1005:$BQ$1005,1,MATCH(COLUMNS($AO$1006:BL1006),$AO$1006:$BQ$1006,0))&gt;=100000), " ",IF(INDEX($AO$2:$BQ$1001,MATCH(ROWS($AH$2:AH125),$AH$2:$AH$1001,0),MATCH(COLUMNS($AO$1006:BL1006),$AO$1006:$BQ$1006,0)), HYPERLINK("#",""), HYPERLINK(CONCATENATE("#Metadata!", ADDRESS(INDEX($AJ$2:$AJ$1001,MATCH(ROWS($AH$2:AH125),$AH$2:$AH$1001,0),0), INDEX($AO$1004:$BQ$1004,1,MATCH(COLUMNS($AO$1006:BL1006),$AO$1006:$BQ$1006,0)))),"Fix")))</f>
        <v>#N/A</v>
      </c>
      <c r="Z125" s="5" t="e">
        <f ca="1">IF(OR(INDEX($AI$2:$AI$1001,MATCH(ROWS($AH$2:AH125),$AH$2:$AH$1001,0),1)&gt;=100000,INDEX($AO$1005:$BQ$1005,1,MATCH(COLUMNS($AO$1006:BM1006),$AO$1006:$BQ$1006,0))&gt;=100000), " ",IF(INDEX($AO$2:$BQ$1001,MATCH(ROWS($AH$2:AH125),$AH$2:$AH$1001,0),MATCH(COLUMNS($AO$1006:BM1006),$AO$1006:$BQ$1006,0)), HYPERLINK("#",""), HYPERLINK(CONCATENATE("#Metadata!", ADDRESS(INDEX($AJ$2:$AJ$1001,MATCH(ROWS($AH$2:AH125),$AH$2:$AH$1001,0),0), INDEX($AO$1004:$BQ$1004,1,MATCH(COLUMNS($AO$1006:BM1006),$AO$1006:$BQ$1006,0)))),"Fix")))</f>
        <v>#N/A</v>
      </c>
      <c r="AA125" s="5" t="e">
        <f ca="1">IF(OR(INDEX($AI$2:$AI$1001,MATCH(ROWS($AH$2:AH125),$AH$2:$AH$1001,0),1)&gt;=100000,INDEX($AO$1005:$BQ$1005,1,MATCH(COLUMNS($AO$1006:BN1006),$AO$1006:$BQ$1006,0))&gt;=100000), " ",IF(INDEX($AO$2:$BQ$1001,MATCH(ROWS($AH$2:AH125),$AH$2:$AH$1001,0),MATCH(COLUMNS($AO$1006:BN1006),$AO$1006:$BQ$1006,0)), HYPERLINK("#",""), HYPERLINK(CONCATENATE("#Metadata!", ADDRESS(INDEX($AJ$2:$AJ$1001,MATCH(ROWS($AH$2:AH125),$AH$2:$AH$1001,0),0), INDEX($AO$1004:$BQ$1004,1,MATCH(COLUMNS($AO$1006:BN1006),$AO$1006:$BQ$1006,0)))),"Fix")))</f>
        <v>#N/A</v>
      </c>
      <c r="AB125" s="5" t="e">
        <f ca="1">IF(OR(INDEX($AI$2:$AI$1001,MATCH(ROWS($AH$2:AH125),$AH$2:$AH$1001,0),1)&gt;=100000,INDEX($AO$1005:$BQ$1005,1,MATCH(COLUMNS($AO$1006:BO1006),$AO$1006:$BQ$1006,0))&gt;=100000), " ",IF(INDEX($AO$2:$BQ$1001,MATCH(ROWS($AH$2:AH125),$AH$2:$AH$1001,0),MATCH(COLUMNS($AO$1006:BO1006),$AO$1006:$BQ$1006,0)), HYPERLINK("#",""), HYPERLINK(CONCATENATE("#Metadata!", ADDRESS(INDEX($AJ$2:$AJ$1001,MATCH(ROWS($AH$2:AH125),$AH$2:$AH$1001,0),0), INDEX($AO$1004:$BQ$1004,1,MATCH(COLUMNS($AO$1006:BO1006),$AO$1006:$BQ$1006,0)))),"Fix")))</f>
        <v>#N/A</v>
      </c>
      <c r="AC125" s="5" t="e">
        <f ca="1">IF(OR(INDEX($AI$2:$AI$1001,MATCH(ROWS($AH$2:AH125),$AH$2:$AH$1001,0),1)&gt;=100000,INDEX($AO$1005:$BQ$1005,1,MATCH(COLUMNS($AO$1006:BP1006),$AO$1006:$BQ$1006,0))&gt;=100000), " ",IF(INDEX($AO$2:$BQ$1001,MATCH(ROWS($AH$2:AH125),$AH$2:$AH$1001,0),MATCH(COLUMNS($AO$1006:BP1006),$AO$1006:$BQ$1006,0)), HYPERLINK("#",""), HYPERLINK(CONCATENATE("#Metadata!", ADDRESS(INDEX($AJ$2:$AJ$1001,MATCH(ROWS($AH$2:AH125),$AH$2:$AH$1001,0),0), INDEX($AO$1004:$BQ$1004,1,MATCH(COLUMNS($AO$1006:BP1006),$AO$1006:$BQ$1006,0)))),"Fix")))</f>
        <v>#N/A</v>
      </c>
      <c r="AD125" s="5" t="e">
        <f ca="1">IF(OR(INDEX($AI$2:$AI$1001,MATCH(ROWS($AH$2:AH125),$AH$2:$AH$1001,0),1)&gt;=100000,INDEX($AO$1005:$BQ$1005,1,MATCH(COLUMNS($AO$1006:BQ1006),$AO$1006:$BQ$1006,0))&gt;=100000), " ",IF(INDEX($AO$2:$BQ$1001,MATCH(ROWS($AH$2:AH125),$AH$2:$AH$1001,0),MATCH(COLUMNS($AO$1006:BQ1006),$AO$1006:$BQ$1006,0)), HYPERLINK("#",""), HYPERLINK(CONCATENATE("#Metadata!", ADDRESS(INDEX($AJ$2:$AJ$1001,MATCH(ROWS($AH$2:AH125),$AH$2:$AH$1001,0),0), INDEX($AO$1004:$BQ$1004,1,MATCH(COLUMNS($AO$1006:BQ1006),$AO$1006:$BQ$1006,0)))),"Fix")))</f>
        <v>#REF!</v>
      </c>
      <c r="AH125">
        <f ca="1"/>
        <v>122</v>
      </c>
      <c r="AI125">
        <v>100125</v>
      </c>
      <c r="AJ125">
        <v>125</v>
      </c>
      <c r="AK125" t="b">
        <f t="shared" si="1"/>
        <v>1</v>
      </c>
      <c r="AL125" t="b">
        <f>COUNTBLANK(Metadata!B125:AD125)=COLUMNS(Metadata!B125:AD125)</f>
        <v>1</v>
      </c>
      <c r="AM125" t="str">
        <v/>
      </c>
      <c r="AO125" t="b">
        <f ca="1">AND(IF(Metadata!B125="",FALSE,TRUE),COUNTIF(Metadata!B:B, Metadata!B125) = 1,NOT(ISERROR(SUMPRODUCT(SEARCH(MID(Metadata!B125,ROW(INDIRECT("1:"&amp;LEN(Metadata!B125))), 1),"0123456789abcdefghijklmnopqrstuvwxyzABCDEFGHIJKLMNOPQRSTUVWXYZ.")))))</f>
        <v>0</v>
      </c>
      <c r="AP125" t="b">
        <f>IF(Metadata!C125="",FALSE,TRUE)</f>
        <v>0</v>
      </c>
      <c r="AQ125" t="b">
        <f>IF(Metadata!D125="",FALSE,TRUE)</f>
        <v>0</v>
      </c>
      <c r="AR125" t="b">
        <f ca="1">OR(AND(IF(Metadata!E125="",FALSE,TRUE),OR(EXACT(Metadata!E125,"not collected"),EXACT(Metadata!E125,"not provided"),EXACT(Metadata!E125,"restricted access"))),AND(IF(Metadata!E125="",FALSE,TRUE),AND(AND(IFERROR(INT(LEFT(Metadata!E125,4))&gt;1900,FALSE),IFERROR(INT(LEFT(Metadata!E125,4))&lt;=YEAR(NOW()),FALSE)), OR(MID(Metadata!E125,5,1)="", AND(AND(MID(Metadata!E125,5,1)="-",IFERROR(INT(MID(Metadata!E125,6,1))&gt;=0,FALSE),IFERROR(INT(MID(Metadata!E125,6,1))&lt;=1,FALSE),NOT(MID(Metadata!E125,7,1)=""),IFERROR(INT(MID(Metadata!E125,6,2))&gt;=1,FALSE),IFERROR(INT(MID(Metadata!E125,6,2))&lt;=12,FALSE)), OR(MID(Metadata!E125,8,1)="", AND(AND(MID(Metadata!E125,8,1)="-",IFERROR(INT(MID(Metadata!E125,9,1))&gt;=0,FALSE),IFERROR(INT(MID(Metadata!E125,9,1))&lt;=3,FALSE),NOT(MID(Metadata!E125,10,1)=""),IFERROR(INT(MID(Metadata!E125,9,2))&gt;=1,FALSE),IFERROR(INT(MID(Metadata!E125,9,2))&lt;=31,FALSE)), OR(MID(Metadata!E125,11,1)="", AND(AND(MID(Metadata!E125,11,1)=" ",IFERROR(INT(MID(Metadata!E125,12,1))&gt;=0,FALSE),IFERROR(INT(MID(Metadata!E125,12,1))&lt;=2,FALSE),NOT(MID(Metadata!E125,13,1)=""),IFERROR(INT(MID(Metadata!E125,12,2))&gt;=0,FALSE),IFERROR(INT(MID(Metadata!E125,12,2))&lt;=23,FALSE)), OR(MID(Metadata!E125,14,1)="", AND(AND(MID(Metadata!E125,14,1)=":",IFERROR(INT(MID(Metadata!E125,15,1))&gt;=0,FALSE),IFERROR(INT(MID(Metadata!E125,15,1))&lt;=5,FALSE),NOT(MID(Metadata!E125,16,1)=""),IFERROR(INT(MID(Metadata!E125,15,2))&gt;=0,FALSE),IFERROR(INT(MID(Metadata!E125,15,2))&lt;=59,FALSE)), OR(MID(Metadata!E125,17,1)="", AND(AND(MID(Metadata!E125,17,1)=":",IFERROR(INT(MID(Metadata!E125,18,1))&gt;=0,FALSE),IFERROR(INT(MID(Metadata!E125,18,1))&lt;=5,FALSE),NOT(MID(Metadata!E125,19,1)=""),IFERROR(INT(MID(Metadata!E125,18,2))&gt;=0,FALSE),IFERROR(INT(MID(Metadata!E125,18,2))&lt;=59,FALSE)), LEN(Metadata!E125)&lt;=19)))))))))))))</f>
        <v>0</v>
      </c>
      <c r="AS125" t="b">
        <f>IF(Metadata!F125="",FALSE,TRUE)</f>
        <v>0</v>
      </c>
      <c r="AT125" t="b">
        <f>OR(AND(IF(Metadata!G125="",FALSE,TRUE),OR(EXACT(Metadata!G125,"not collected"),EXACT(Metadata!G125,"not provided"))),AND(IF(Metadata!G125="",FALSE,TRUE),OR(EXACT(Metadata!G125,"TRUE"),EXACT(Metadata!G125,"FALSE"))))</f>
        <v>0</v>
      </c>
      <c r="AU125" t="b">
        <f>OR(AND(IF(Metadata!H125="",FALSE,TRUE),OR(EXACT(Metadata!H125,"not collected"),EXACT(Metadata!H125,"not provided"),EXACT(Metadata!H125,"restricted access"))),AND(IF(Metadata!H125="",FALSE,ISNUMBER(VALUE(Metadata!H125))),Metadata!H125&gt;=-413))</f>
        <v>0</v>
      </c>
      <c r="AV125" t="b">
        <f>AND(IF(Metadata!I125="",FALSE,TRUE),EXACT(Metadata!I125,"meters"))</f>
        <v>0</v>
      </c>
      <c r="AW125" t="b">
        <f>AND(IF(Metadata!J125="",FALSE,TRUE),EXACT(Metadata!J125,"free-living"))</f>
        <v>0</v>
      </c>
      <c r="AX125" t="b">
        <f>AND(IF(Metadata!K125="",FALSE,TRUE),OR(EXACT(Metadata!K125,"saline"),EXACT(Metadata!K125,"non-saline")))</f>
        <v>0</v>
      </c>
      <c r="AY125" t="b">
        <f>AND(IF(Metadata!L125="",FALSE,TRUE),OR(EXACT(Metadata!L125,"sub-surface (non-saline)"),EXACT(Metadata!L125,"surface (non-saline)"),EXACT(Metadata!L125,"water (non-saline)"),EXACT(Metadata!L125,"soil (non-saline)"),EXACT(Metadata!L125,"aerosol (non-saline)"),EXACT(Metadata!L125,"sediment (non-saline)"),EXACT(Metadata!L125,"surface (saline)"),EXACT(Metadata!L125,"water (saline)"),EXACT(Metadata!L125,"hypersaline (saline)"),EXACT(Metadata!L125,"aerosol (saline)"),EXACT(Metadata!L125,"sediment (saline)")))</f>
        <v>0</v>
      </c>
      <c r="AZ125" t="b">
        <f>IF(Metadata!M125="",FALSE,TRUE)</f>
        <v>0</v>
      </c>
      <c r="BA125" t="b">
        <f>IF(Metadata!N125="",FALSE,TRUE)</f>
        <v>0</v>
      </c>
      <c r="BB125" t="b">
        <f>IF(Metadata!O125="",FALSE,TRUE)</f>
        <v>0</v>
      </c>
      <c r="BC125" t="b">
        <f>AND(IF(Metadata!P125="",FALSE,TRUE),OR(EXACT(Metadata!P125,"air"),EXACT(Metadata!P125,"microbial mat/biofilm"),EXACT(Metadata!P125,"misc environment"),EXACT(Metadata!P125,"sediment"),EXACT(Metadata!P125,"soil"),EXACT(Metadata!P125,"wastewater/sludge"),EXACT(Metadata!P125,"water")))</f>
        <v>0</v>
      </c>
      <c r="BD125" t="b">
        <f>IF(Metadata!Q125="",FALSE,TRUE)</f>
        <v>0</v>
      </c>
      <c r="BE125" t="b">
        <f>IF(Metadata!R125="",FALSE,TRUE)</f>
        <v>0</v>
      </c>
      <c r="BF125" t="b">
        <f>OR(AND(IF(Metadata!S125="",FALSE,TRUE),OR(EXACT(Metadata!S125,"not collected"),EXACT(Metadata!S125,"not provided"),EXACT(Metadata!S125,"restricted access"))),AND(IF(Metadata!S125="",FALSE,ISNUMBER(VALUE(Metadata!S125))),Metadata!S125&gt;=-90,Metadata!S125&lt;=90))</f>
        <v>0</v>
      </c>
      <c r="BG125" t="b">
        <f>AND(IF(Metadata!T125="",FALSE,TRUE),EXACT(Metadata!T125,"Decimal degrees"))</f>
        <v>0</v>
      </c>
      <c r="BH125" t="b">
        <f>OR(AND(IF(Metadata!U125="",FALSE,TRUE),OR(EXACT(Metadata!U125,"not applicable"),EXACT(Metadata!U125,"not collected"))),IF(Metadata!U125="",FALSE,TRUE))</f>
        <v>0</v>
      </c>
      <c r="BI125" t="b">
        <f>OR(AND(IF(Metadata!V125="",FALSE,TRUE),OR(EXACT(Metadata!V125,"not collected"),EXACT(Metadata!V125,"not provided"),EXACT(Metadata!V125,"restricted access"))),AND(IF(Metadata!V125="",FALSE,ISNUMBER(VALUE(Metadata!V125))),Metadata!V125&gt;=-180,Metadata!V125&lt;=180))</f>
        <v>0</v>
      </c>
      <c r="BJ125" t="b">
        <f>AND(IF(Metadata!W125="",FALSE,TRUE),EXACT(Metadata!W125,"Decimal degrees"))</f>
        <v>0</v>
      </c>
      <c r="BK125" t="b">
        <f>IF(Metadata!X125="",FALSE,TRUE)</f>
        <v>0</v>
      </c>
      <c r="BL125" t="b">
        <f>OR(AND(IF(Metadata!Y125="",FALSE,TRUE),OR(EXACT(Metadata!Y125,"not collected"),EXACT(Metadata!Y125,"not provided"),EXACT(Metadata!Y125,"restricted access"))),AND(IF(Metadata!Y125="",FALSE,TRUE),OR(EXACT(Metadata!Y125,"TRUE"),EXACT(Metadata!Y125,"FALSE"))))</f>
        <v>0</v>
      </c>
      <c r="BM125" t="b">
        <f>OR(AND(IF(Metadata!Z125="",FALSE,TRUE),EXACT(Metadata!Z125,"not applicable")),AND(IF(Metadata!Z125="",FALSE,TRUE),OR(EXACT(Metadata!Z125,"beer"),EXACT(Metadata!Z125,"cheese"),EXACT(Metadata!Z125,"fresh water"),EXACT(Metadata!Z125,"marine sediment"),EXACT(Metadata!Z125,"sea water"),EXACT(Metadata!Z125,"sediment"),EXACT(Metadata!Z125,"soil"),EXACT(Metadata!Z125,"waste water"))))</f>
        <v>0</v>
      </c>
      <c r="BN125" t="b">
        <f>AND(IF(Metadata!AA125="",FALSE,TRUE),EXACT(Metadata!AA125,"metagenome"))</f>
        <v>0</v>
      </c>
      <c r="BO125" t="b">
        <f>AND(IF(Metadata!AB125="",FALSE,TRUE),EXACT(Metadata!AB125,"256318"))</f>
        <v>0</v>
      </c>
      <c r="BP125" t="b">
        <f>IF(Metadata!AC125="",FALSE,TRUE)</f>
        <v>0</v>
      </c>
      <c r="BQ125" t="b">
        <f>IF(Metadata!AD125="",FALSE,TRUE)</f>
        <v>0</v>
      </c>
    </row>
    <row r="126" spans="1:69" x14ac:dyDescent="0.2">
      <c r="A126" s="4" t="e">
        <f ca="1">IF(B126=" "," ",HYPERLINK(CONCATENATE("#metadata!",ADDRESS(INDEX($AJ$2:$AJ$1001,MATCH(ROWS($AH$2:AH126),$AH$2:$AH$1001,0),0),2)),INDEX($AM$2:$AM$1001,MATCH(ROWS($AH$2:AH126),$AH$2:$AH$1001,0),0)))</f>
        <v>#N/A</v>
      </c>
      <c r="B126" s="5" t="e">
        <f ca="1">IF(OR(INDEX($AI$2:$AI$1001,MATCH(ROWS($AH$2:AH126),$AH$2:$AH$1001,0),1)&gt;=100000,INDEX($AO$1005:$BQ$1005,1,MATCH(COLUMNS($AO$1006:AO1006),$AO$1006:$BQ$1006,0))&gt;=100000), " ",IF(INDEX($AO$2:$BQ$1001,MATCH(ROWS($AH$2:AH126),$AH$2:$AH$1001,0),MATCH(COLUMNS($AO$1006:AO1006),$AO$1006:$BQ$1006,0)), HYPERLINK("#",""), HYPERLINK(CONCATENATE("#Metadata!", ADDRESS(INDEX($AJ$2:$AJ$1001,MATCH(ROWS($AH$2:AH126),$AH$2:$AH$1001,0),0), INDEX($AO$1004:$BQ$1004,1,MATCH(COLUMNS($AO$1006:AO1006),$AO$1006:$BQ$1006,0)))),"Fix")))</f>
        <v>#N/A</v>
      </c>
      <c r="C126" s="5" t="e">
        <f ca="1">IF(OR(INDEX($AI$2:$AI$1001,MATCH(ROWS($AH$2:AH126),$AH$2:$AH$1001,0),1)&gt;=100000,INDEX($AO$1005:$BQ$1005,1,MATCH(COLUMNS($AO$1006:AP1006),$AO$1006:$BQ$1006,0))&gt;=100000), " ",IF(INDEX($AO$2:$BQ$1001,MATCH(ROWS($AH$2:AH126),$AH$2:$AH$1001,0),MATCH(COLUMNS($AO$1006:AP1006),$AO$1006:$BQ$1006,0)), HYPERLINK("#",""), HYPERLINK(CONCATENATE("#Metadata!", ADDRESS(INDEX($AJ$2:$AJ$1001,MATCH(ROWS($AH$2:AH126),$AH$2:$AH$1001,0),0), INDEX($AO$1004:$BQ$1004,1,MATCH(COLUMNS($AO$1006:AP1006),$AO$1006:$BQ$1006,0)))),"Fix")))</f>
        <v>#N/A</v>
      </c>
      <c r="D126" s="5" t="e">
        <f ca="1">IF(OR(INDEX($AI$2:$AI$1001,MATCH(ROWS($AH$2:AH126),$AH$2:$AH$1001,0),1)&gt;=100000,INDEX($AO$1005:$BQ$1005,1,MATCH(COLUMNS($AO$1006:AQ1006),$AO$1006:$BQ$1006,0))&gt;=100000), " ",IF(INDEX($AO$2:$BQ$1001,MATCH(ROWS($AH$2:AH126),$AH$2:$AH$1001,0),MATCH(COLUMNS($AO$1006:AQ1006),$AO$1006:$BQ$1006,0)), HYPERLINK("#",""), HYPERLINK(CONCATENATE("#Metadata!", ADDRESS(INDEX($AJ$2:$AJ$1001,MATCH(ROWS($AH$2:AH126),$AH$2:$AH$1001,0),0), INDEX($AO$1004:$BQ$1004,1,MATCH(COLUMNS($AO$1006:AQ1006),$AO$1006:$BQ$1006,0)))),"Fix")))</f>
        <v>#N/A</v>
      </c>
      <c r="E126" s="5" t="e">
        <f ca="1">IF(OR(INDEX($AI$2:$AI$1001,MATCH(ROWS($AH$2:AH126),$AH$2:$AH$1001,0),1)&gt;=100000,INDEX($AO$1005:$BQ$1005,1,MATCH(COLUMNS($AO$1006:AR1006),$AO$1006:$BQ$1006,0))&gt;=100000), " ",IF(INDEX($AO$2:$BQ$1001,MATCH(ROWS($AH$2:AH126),$AH$2:$AH$1001,0),MATCH(COLUMNS($AO$1006:AR1006),$AO$1006:$BQ$1006,0)), HYPERLINK("#",""), HYPERLINK(CONCATENATE("#Metadata!", ADDRESS(INDEX($AJ$2:$AJ$1001,MATCH(ROWS($AH$2:AH126),$AH$2:$AH$1001,0),0), INDEX($AO$1004:$BQ$1004,1,MATCH(COLUMNS($AO$1006:AR1006),$AO$1006:$BQ$1006,0)))),"Fix")))</f>
        <v>#N/A</v>
      </c>
      <c r="F126" s="5" t="e">
        <f ca="1">IF(OR(INDEX($AI$2:$AI$1001,MATCH(ROWS($AH$2:AH126),$AH$2:$AH$1001,0),1)&gt;=100000,INDEX($AO$1005:$BQ$1005,1,MATCH(COLUMNS($AO$1006:AS1006),$AO$1006:$BQ$1006,0))&gt;=100000), " ",IF(INDEX($AO$2:$BQ$1001,MATCH(ROWS($AH$2:AH126),$AH$2:$AH$1001,0),MATCH(COLUMNS($AO$1006:AS1006),$AO$1006:$BQ$1006,0)), HYPERLINK("#",""), HYPERLINK(CONCATENATE("#Metadata!", ADDRESS(INDEX($AJ$2:$AJ$1001,MATCH(ROWS($AH$2:AH126),$AH$2:$AH$1001,0),0), INDEX($AO$1004:$BQ$1004,1,MATCH(COLUMNS($AO$1006:AS1006),$AO$1006:$BQ$1006,0)))),"Fix")))</f>
        <v>#N/A</v>
      </c>
      <c r="G126" s="5" t="e">
        <f ca="1">IF(OR(INDEX($AI$2:$AI$1001,MATCH(ROWS($AH$2:AH126),$AH$2:$AH$1001,0),1)&gt;=100000,INDEX($AO$1005:$BQ$1005,1,MATCH(COLUMNS($AO$1006:AT1006),$AO$1006:$BQ$1006,0))&gt;=100000), " ",IF(INDEX($AO$2:$BQ$1001,MATCH(ROWS($AH$2:AH126),$AH$2:$AH$1001,0),MATCH(COLUMNS($AO$1006:AT1006),$AO$1006:$BQ$1006,0)), HYPERLINK("#",""), HYPERLINK(CONCATENATE("#Metadata!", ADDRESS(INDEX($AJ$2:$AJ$1001,MATCH(ROWS($AH$2:AH126),$AH$2:$AH$1001,0),0), INDEX($AO$1004:$BQ$1004,1,MATCH(COLUMNS($AO$1006:AT1006),$AO$1006:$BQ$1006,0)))),"Fix")))</f>
        <v>#N/A</v>
      </c>
      <c r="H126" s="5" t="e">
        <f ca="1">IF(OR(INDEX($AI$2:$AI$1001,MATCH(ROWS($AH$2:AH126),$AH$2:$AH$1001,0),1)&gt;=100000,INDEX($AO$1005:$BQ$1005,1,MATCH(COLUMNS($AO$1006:AU1006),$AO$1006:$BQ$1006,0))&gt;=100000), " ",IF(INDEX($AO$2:$BQ$1001,MATCH(ROWS($AH$2:AH126),$AH$2:$AH$1001,0),MATCH(COLUMNS($AO$1006:AU1006),$AO$1006:$BQ$1006,0)), HYPERLINK("#",""), HYPERLINK(CONCATENATE("#Metadata!", ADDRESS(INDEX($AJ$2:$AJ$1001,MATCH(ROWS($AH$2:AH126),$AH$2:$AH$1001,0),0), INDEX($AO$1004:$BQ$1004,1,MATCH(COLUMNS($AO$1006:AU1006),$AO$1006:$BQ$1006,0)))),"Fix")))</f>
        <v>#N/A</v>
      </c>
      <c r="I126" s="5" t="e">
        <f ca="1">IF(OR(INDEX($AI$2:$AI$1001,MATCH(ROWS($AH$2:AH126),$AH$2:$AH$1001,0),1)&gt;=100000,INDEX($AO$1005:$BQ$1005,1,MATCH(COLUMNS($AO$1006:AV1006),$AO$1006:$BQ$1006,0))&gt;=100000), " ",IF(INDEX($AO$2:$BQ$1001,MATCH(ROWS($AH$2:AH126),$AH$2:$AH$1001,0),MATCH(COLUMNS($AO$1006:AV1006),$AO$1006:$BQ$1006,0)), HYPERLINK("#",""), HYPERLINK(CONCATENATE("#Metadata!", ADDRESS(INDEX($AJ$2:$AJ$1001,MATCH(ROWS($AH$2:AH126),$AH$2:$AH$1001,0),0), INDEX($AO$1004:$BQ$1004,1,MATCH(COLUMNS($AO$1006:AV1006),$AO$1006:$BQ$1006,0)))),"Fix")))</f>
        <v>#N/A</v>
      </c>
      <c r="J126" s="5" t="e">
        <f ca="1">IF(OR(INDEX($AI$2:$AI$1001,MATCH(ROWS($AH$2:AH126),$AH$2:$AH$1001,0),1)&gt;=100000,INDEX($AO$1005:$BQ$1005,1,MATCH(COLUMNS($AO$1006:AW1006),$AO$1006:$BQ$1006,0))&gt;=100000), " ",IF(INDEX($AO$2:$BQ$1001,MATCH(ROWS($AH$2:AH126),$AH$2:$AH$1001,0),MATCH(COLUMNS($AO$1006:AW1006),$AO$1006:$BQ$1006,0)), HYPERLINK("#",""), HYPERLINK(CONCATENATE("#Metadata!", ADDRESS(INDEX($AJ$2:$AJ$1001,MATCH(ROWS($AH$2:AH126),$AH$2:$AH$1001,0),0), INDEX($AO$1004:$BQ$1004,1,MATCH(COLUMNS($AO$1006:AW1006),$AO$1006:$BQ$1006,0)))),"Fix")))</f>
        <v>#N/A</v>
      </c>
      <c r="K126" s="5" t="e">
        <f ca="1">IF(OR(INDEX($AI$2:$AI$1001,MATCH(ROWS($AH$2:AH126),$AH$2:$AH$1001,0),1)&gt;=100000,INDEX($AO$1005:$BQ$1005,1,MATCH(COLUMNS($AO$1006:AX1006),$AO$1006:$BQ$1006,0))&gt;=100000), " ",IF(INDEX($AO$2:$BQ$1001,MATCH(ROWS($AH$2:AH126),$AH$2:$AH$1001,0),MATCH(COLUMNS($AO$1006:AX1006),$AO$1006:$BQ$1006,0)), HYPERLINK("#",""), HYPERLINK(CONCATENATE("#Metadata!", ADDRESS(INDEX($AJ$2:$AJ$1001,MATCH(ROWS($AH$2:AH126),$AH$2:$AH$1001,0),0), INDEX($AO$1004:$BQ$1004,1,MATCH(COLUMNS($AO$1006:AX1006),$AO$1006:$BQ$1006,0)))),"Fix")))</f>
        <v>#N/A</v>
      </c>
      <c r="L126" s="5" t="e">
        <f ca="1">IF(OR(INDEX($AI$2:$AI$1001,MATCH(ROWS($AH$2:AH126),$AH$2:$AH$1001,0),1)&gt;=100000,INDEX($AO$1005:$BQ$1005,1,MATCH(COLUMNS($AO$1006:AY1006),$AO$1006:$BQ$1006,0))&gt;=100000), " ",IF(INDEX($AO$2:$BQ$1001,MATCH(ROWS($AH$2:AH126),$AH$2:$AH$1001,0),MATCH(COLUMNS($AO$1006:AY1006),$AO$1006:$BQ$1006,0)), HYPERLINK("#",""), HYPERLINK(CONCATENATE("#Metadata!", ADDRESS(INDEX($AJ$2:$AJ$1001,MATCH(ROWS($AH$2:AH126),$AH$2:$AH$1001,0),0), INDEX($AO$1004:$BQ$1004,1,MATCH(COLUMNS($AO$1006:AY1006),$AO$1006:$BQ$1006,0)))),"Fix")))</f>
        <v>#N/A</v>
      </c>
      <c r="M126" s="5" t="e">
        <f ca="1">IF(OR(INDEX($AI$2:$AI$1001,MATCH(ROWS($AH$2:AH126),$AH$2:$AH$1001,0),1)&gt;=100000,INDEX($AO$1005:$BQ$1005,1,MATCH(COLUMNS($AO$1006:AZ1006),$AO$1006:$BQ$1006,0))&gt;=100000), " ",IF(INDEX($AO$2:$BQ$1001,MATCH(ROWS($AH$2:AH126),$AH$2:$AH$1001,0),MATCH(COLUMNS($AO$1006:AZ1006),$AO$1006:$BQ$1006,0)), HYPERLINK("#",""), HYPERLINK(CONCATENATE("#Metadata!", ADDRESS(INDEX($AJ$2:$AJ$1001,MATCH(ROWS($AH$2:AH126),$AH$2:$AH$1001,0),0), INDEX($AO$1004:$BQ$1004,1,MATCH(COLUMNS($AO$1006:AZ1006),$AO$1006:$BQ$1006,0)))),"Fix")))</f>
        <v>#N/A</v>
      </c>
      <c r="N126" s="5" t="e">
        <f ca="1">IF(OR(INDEX($AI$2:$AI$1001,MATCH(ROWS($AH$2:AH126),$AH$2:$AH$1001,0),1)&gt;=100000,INDEX($AO$1005:$BQ$1005,1,MATCH(COLUMNS($AO$1006:BA1006),$AO$1006:$BQ$1006,0))&gt;=100000), " ",IF(INDEX($AO$2:$BQ$1001,MATCH(ROWS($AH$2:AH126),$AH$2:$AH$1001,0),MATCH(COLUMNS($AO$1006:BA1006),$AO$1006:$BQ$1006,0)), HYPERLINK("#",""), HYPERLINK(CONCATENATE("#Metadata!", ADDRESS(INDEX($AJ$2:$AJ$1001,MATCH(ROWS($AH$2:AH126),$AH$2:$AH$1001,0),0), INDEX($AO$1004:$BQ$1004,1,MATCH(COLUMNS($AO$1006:BA1006),$AO$1006:$BQ$1006,0)))),"Fix")))</f>
        <v>#N/A</v>
      </c>
      <c r="O126" s="5" t="e">
        <f ca="1">IF(OR(INDEX($AI$2:$AI$1001,MATCH(ROWS($AH$2:AH126),$AH$2:$AH$1001,0),1)&gt;=100000,INDEX($AO$1005:$BQ$1005,1,MATCH(COLUMNS($AO$1006:BB1006),$AO$1006:$BQ$1006,0))&gt;=100000), " ",IF(INDEX($AO$2:$BQ$1001,MATCH(ROWS($AH$2:AH126),$AH$2:$AH$1001,0),MATCH(COLUMNS($AO$1006:BB1006),$AO$1006:$BQ$1006,0)), HYPERLINK("#",""), HYPERLINK(CONCATENATE("#Metadata!", ADDRESS(INDEX($AJ$2:$AJ$1001,MATCH(ROWS($AH$2:AH126),$AH$2:$AH$1001,0),0), INDEX($AO$1004:$BQ$1004,1,MATCH(COLUMNS($AO$1006:BB1006),$AO$1006:$BQ$1006,0)))),"Fix")))</f>
        <v>#N/A</v>
      </c>
      <c r="P126" s="5" t="e">
        <f ca="1">IF(OR(INDEX($AI$2:$AI$1001,MATCH(ROWS($AH$2:AH126),$AH$2:$AH$1001,0),1)&gt;=100000,INDEX($AO$1005:$BQ$1005,1,MATCH(COLUMNS($AO$1006:BC1006),$AO$1006:$BQ$1006,0))&gt;=100000), " ",IF(INDEX($AO$2:$BQ$1001,MATCH(ROWS($AH$2:AH126),$AH$2:$AH$1001,0),MATCH(COLUMNS($AO$1006:BC1006),$AO$1006:$BQ$1006,0)), HYPERLINK("#",""), HYPERLINK(CONCATENATE("#Metadata!", ADDRESS(INDEX($AJ$2:$AJ$1001,MATCH(ROWS($AH$2:AH126),$AH$2:$AH$1001,0),0), INDEX($AO$1004:$BQ$1004,1,MATCH(COLUMNS($AO$1006:BC1006),$AO$1006:$BQ$1006,0)))),"Fix")))</f>
        <v>#N/A</v>
      </c>
      <c r="Q126" s="5" t="e">
        <f ca="1">IF(OR(INDEX($AI$2:$AI$1001,MATCH(ROWS($AH$2:AH126),$AH$2:$AH$1001,0),1)&gt;=100000,INDEX($AO$1005:$BQ$1005,1,MATCH(COLUMNS($AO$1006:BD1006),$AO$1006:$BQ$1006,0))&gt;=100000), " ",IF(INDEX($AO$2:$BQ$1001,MATCH(ROWS($AH$2:AH126),$AH$2:$AH$1001,0),MATCH(COLUMNS($AO$1006:BD1006),$AO$1006:$BQ$1006,0)), HYPERLINK("#",""), HYPERLINK(CONCATENATE("#Metadata!", ADDRESS(INDEX($AJ$2:$AJ$1001,MATCH(ROWS($AH$2:AH126),$AH$2:$AH$1001,0),0), INDEX($AO$1004:$BQ$1004,1,MATCH(COLUMNS($AO$1006:BD1006),$AO$1006:$BQ$1006,0)))),"Fix")))</f>
        <v>#N/A</v>
      </c>
      <c r="R126" s="5" t="e">
        <f ca="1">IF(OR(INDEX($AI$2:$AI$1001,MATCH(ROWS($AH$2:AH126),$AH$2:$AH$1001,0),1)&gt;=100000,INDEX($AO$1005:$BQ$1005,1,MATCH(COLUMNS($AO$1006:BE1006),$AO$1006:$BQ$1006,0))&gt;=100000), " ",IF(INDEX($AO$2:$BQ$1001,MATCH(ROWS($AH$2:AH126),$AH$2:$AH$1001,0),MATCH(COLUMNS($AO$1006:BE1006),$AO$1006:$BQ$1006,0)), HYPERLINK("#",""), HYPERLINK(CONCATENATE("#Metadata!", ADDRESS(INDEX($AJ$2:$AJ$1001,MATCH(ROWS($AH$2:AH126),$AH$2:$AH$1001,0),0), INDEX($AO$1004:$BQ$1004,1,MATCH(COLUMNS($AO$1006:BE1006),$AO$1006:$BQ$1006,0)))),"Fix")))</f>
        <v>#N/A</v>
      </c>
      <c r="S126" s="5" t="e">
        <f ca="1">IF(OR(INDEX($AI$2:$AI$1001,MATCH(ROWS($AH$2:AH126),$AH$2:$AH$1001,0),1)&gt;=100000,INDEX($AO$1005:$BQ$1005,1,MATCH(COLUMNS($AO$1006:BF1006),$AO$1006:$BQ$1006,0))&gt;=100000), " ",IF(INDEX($AO$2:$BQ$1001,MATCH(ROWS($AH$2:AH126),$AH$2:$AH$1001,0),MATCH(COLUMNS($AO$1006:BF1006),$AO$1006:$BQ$1006,0)), HYPERLINK("#",""), HYPERLINK(CONCATENATE("#Metadata!", ADDRESS(INDEX($AJ$2:$AJ$1001,MATCH(ROWS($AH$2:AH126),$AH$2:$AH$1001,0),0), INDEX($AO$1004:$BQ$1004,1,MATCH(COLUMNS($AO$1006:BF1006),$AO$1006:$BQ$1006,0)))),"Fix")))</f>
        <v>#N/A</v>
      </c>
      <c r="T126" s="5" t="e">
        <f ca="1">IF(OR(INDEX($AI$2:$AI$1001,MATCH(ROWS($AH$2:AH126),$AH$2:$AH$1001,0),1)&gt;=100000,INDEX($AO$1005:$BQ$1005,1,MATCH(COLUMNS($AO$1006:BG1006),$AO$1006:$BQ$1006,0))&gt;=100000), " ",IF(INDEX($AO$2:$BQ$1001,MATCH(ROWS($AH$2:AH126),$AH$2:$AH$1001,0),MATCH(COLUMNS($AO$1006:BG1006),$AO$1006:$BQ$1006,0)), HYPERLINK("#",""), HYPERLINK(CONCATENATE("#Metadata!", ADDRESS(INDEX($AJ$2:$AJ$1001,MATCH(ROWS($AH$2:AH126),$AH$2:$AH$1001,0),0), INDEX($AO$1004:$BQ$1004,1,MATCH(COLUMNS($AO$1006:BG1006),$AO$1006:$BQ$1006,0)))),"Fix")))</f>
        <v>#N/A</v>
      </c>
      <c r="U126" s="5" t="e">
        <f ca="1">IF(OR(INDEX($AI$2:$AI$1001,MATCH(ROWS($AH$2:AH126),$AH$2:$AH$1001,0),1)&gt;=100000,INDEX($AO$1005:$BQ$1005,1,MATCH(COLUMNS($AO$1006:BH1006),$AO$1006:$BQ$1006,0))&gt;=100000), " ",IF(INDEX($AO$2:$BQ$1001,MATCH(ROWS($AH$2:AH126),$AH$2:$AH$1001,0),MATCH(COLUMNS($AO$1006:BH1006),$AO$1006:$BQ$1006,0)), HYPERLINK("#",""), HYPERLINK(CONCATENATE("#Metadata!", ADDRESS(INDEX($AJ$2:$AJ$1001,MATCH(ROWS($AH$2:AH126),$AH$2:$AH$1001,0),0), INDEX($AO$1004:$BQ$1004,1,MATCH(COLUMNS($AO$1006:BH1006),$AO$1006:$BQ$1006,0)))),"Fix")))</f>
        <v>#N/A</v>
      </c>
      <c r="V126" s="5" t="e">
        <f ca="1">IF(OR(INDEX($AI$2:$AI$1001,MATCH(ROWS($AH$2:AH126),$AH$2:$AH$1001,0),1)&gt;=100000,INDEX($AO$1005:$BQ$1005,1,MATCH(COLUMNS($AO$1006:BI1006),$AO$1006:$BQ$1006,0))&gt;=100000), " ",IF(INDEX($AO$2:$BQ$1001,MATCH(ROWS($AH$2:AH126),$AH$2:$AH$1001,0),MATCH(COLUMNS($AO$1006:BI1006),$AO$1006:$BQ$1006,0)), HYPERLINK("#",""), HYPERLINK(CONCATENATE("#Metadata!", ADDRESS(INDEX($AJ$2:$AJ$1001,MATCH(ROWS($AH$2:AH126),$AH$2:$AH$1001,0),0), INDEX($AO$1004:$BQ$1004,1,MATCH(COLUMNS($AO$1006:BI1006),$AO$1006:$BQ$1006,0)))),"Fix")))</f>
        <v>#N/A</v>
      </c>
      <c r="W126" s="5" t="e">
        <f ca="1">IF(OR(INDEX($AI$2:$AI$1001,MATCH(ROWS($AH$2:AH126),$AH$2:$AH$1001,0),1)&gt;=100000,INDEX($AO$1005:$BQ$1005,1,MATCH(COLUMNS($AO$1006:BJ1006),$AO$1006:$BQ$1006,0))&gt;=100000), " ",IF(INDEX($AO$2:$BQ$1001,MATCH(ROWS($AH$2:AH126),$AH$2:$AH$1001,0),MATCH(COLUMNS($AO$1006:BJ1006),$AO$1006:$BQ$1006,0)), HYPERLINK("#",""), HYPERLINK(CONCATENATE("#Metadata!", ADDRESS(INDEX($AJ$2:$AJ$1001,MATCH(ROWS($AH$2:AH126),$AH$2:$AH$1001,0),0), INDEX($AO$1004:$BQ$1004,1,MATCH(COLUMNS($AO$1006:BJ1006),$AO$1006:$BQ$1006,0)))),"Fix")))</f>
        <v>#N/A</v>
      </c>
      <c r="X126" s="5" t="e">
        <f ca="1">IF(OR(INDEX($AI$2:$AI$1001,MATCH(ROWS($AH$2:AH126),$AH$2:$AH$1001,0),1)&gt;=100000,INDEX($AO$1005:$BQ$1005,1,MATCH(COLUMNS($AO$1006:BK1006),$AO$1006:$BQ$1006,0))&gt;=100000), " ",IF(INDEX($AO$2:$BQ$1001,MATCH(ROWS($AH$2:AH126),$AH$2:$AH$1001,0),MATCH(COLUMNS($AO$1006:BK1006),$AO$1006:$BQ$1006,0)), HYPERLINK("#",""), HYPERLINK(CONCATENATE("#Metadata!", ADDRESS(INDEX($AJ$2:$AJ$1001,MATCH(ROWS($AH$2:AH126),$AH$2:$AH$1001,0),0), INDEX($AO$1004:$BQ$1004,1,MATCH(COLUMNS($AO$1006:BK1006),$AO$1006:$BQ$1006,0)))),"Fix")))</f>
        <v>#N/A</v>
      </c>
      <c r="Y126" s="5" t="e">
        <f ca="1">IF(OR(INDEX($AI$2:$AI$1001,MATCH(ROWS($AH$2:AH126),$AH$2:$AH$1001,0),1)&gt;=100000,INDEX($AO$1005:$BQ$1005,1,MATCH(COLUMNS($AO$1006:BL1006),$AO$1006:$BQ$1006,0))&gt;=100000), " ",IF(INDEX($AO$2:$BQ$1001,MATCH(ROWS($AH$2:AH126),$AH$2:$AH$1001,0),MATCH(COLUMNS($AO$1006:BL1006),$AO$1006:$BQ$1006,0)), HYPERLINK("#",""), HYPERLINK(CONCATENATE("#Metadata!", ADDRESS(INDEX($AJ$2:$AJ$1001,MATCH(ROWS($AH$2:AH126),$AH$2:$AH$1001,0),0), INDEX($AO$1004:$BQ$1004,1,MATCH(COLUMNS($AO$1006:BL1006),$AO$1006:$BQ$1006,0)))),"Fix")))</f>
        <v>#N/A</v>
      </c>
      <c r="Z126" s="5" t="e">
        <f ca="1">IF(OR(INDEX($AI$2:$AI$1001,MATCH(ROWS($AH$2:AH126),$AH$2:$AH$1001,0),1)&gt;=100000,INDEX($AO$1005:$BQ$1005,1,MATCH(COLUMNS($AO$1006:BM1006),$AO$1006:$BQ$1006,0))&gt;=100000), " ",IF(INDEX($AO$2:$BQ$1001,MATCH(ROWS($AH$2:AH126),$AH$2:$AH$1001,0),MATCH(COLUMNS($AO$1006:BM1006),$AO$1006:$BQ$1006,0)), HYPERLINK("#",""), HYPERLINK(CONCATENATE("#Metadata!", ADDRESS(INDEX($AJ$2:$AJ$1001,MATCH(ROWS($AH$2:AH126),$AH$2:$AH$1001,0),0), INDEX($AO$1004:$BQ$1004,1,MATCH(COLUMNS($AO$1006:BM1006),$AO$1006:$BQ$1006,0)))),"Fix")))</f>
        <v>#N/A</v>
      </c>
      <c r="AA126" s="5" t="e">
        <f ca="1">IF(OR(INDEX($AI$2:$AI$1001,MATCH(ROWS($AH$2:AH126),$AH$2:$AH$1001,0),1)&gt;=100000,INDEX($AO$1005:$BQ$1005,1,MATCH(COLUMNS($AO$1006:BN1006),$AO$1006:$BQ$1006,0))&gt;=100000), " ",IF(INDEX($AO$2:$BQ$1001,MATCH(ROWS($AH$2:AH126),$AH$2:$AH$1001,0),MATCH(COLUMNS($AO$1006:BN1006),$AO$1006:$BQ$1006,0)), HYPERLINK("#",""), HYPERLINK(CONCATENATE("#Metadata!", ADDRESS(INDEX($AJ$2:$AJ$1001,MATCH(ROWS($AH$2:AH126),$AH$2:$AH$1001,0),0), INDEX($AO$1004:$BQ$1004,1,MATCH(COLUMNS($AO$1006:BN1006),$AO$1006:$BQ$1006,0)))),"Fix")))</f>
        <v>#N/A</v>
      </c>
      <c r="AB126" s="5" t="e">
        <f ca="1">IF(OR(INDEX($AI$2:$AI$1001,MATCH(ROWS($AH$2:AH126),$AH$2:$AH$1001,0),1)&gt;=100000,INDEX($AO$1005:$BQ$1005,1,MATCH(COLUMNS($AO$1006:BO1006),$AO$1006:$BQ$1006,0))&gt;=100000), " ",IF(INDEX($AO$2:$BQ$1001,MATCH(ROWS($AH$2:AH126),$AH$2:$AH$1001,0),MATCH(COLUMNS($AO$1006:BO1006),$AO$1006:$BQ$1006,0)), HYPERLINK("#",""), HYPERLINK(CONCATENATE("#Metadata!", ADDRESS(INDEX($AJ$2:$AJ$1001,MATCH(ROWS($AH$2:AH126),$AH$2:$AH$1001,0),0), INDEX($AO$1004:$BQ$1004,1,MATCH(COLUMNS($AO$1006:BO1006),$AO$1006:$BQ$1006,0)))),"Fix")))</f>
        <v>#N/A</v>
      </c>
      <c r="AC126" s="5" t="e">
        <f ca="1">IF(OR(INDEX($AI$2:$AI$1001,MATCH(ROWS($AH$2:AH126),$AH$2:$AH$1001,0),1)&gt;=100000,INDEX($AO$1005:$BQ$1005,1,MATCH(COLUMNS($AO$1006:BP1006),$AO$1006:$BQ$1006,0))&gt;=100000), " ",IF(INDEX($AO$2:$BQ$1001,MATCH(ROWS($AH$2:AH126),$AH$2:$AH$1001,0),MATCH(COLUMNS($AO$1006:BP1006),$AO$1006:$BQ$1006,0)), HYPERLINK("#",""), HYPERLINK(CONCATENATE("#Metadata!", ADDRESS(INDEX($AJ$2:$AJ$1001,MATCH(ROWS($AH$2:AH126),$AH$2:$AH$1001,0),0), INDEX($AO$1004:$BQ$1004,1,MATCH(COLUMNS($AO$1006:BP1006),$AO$1006:$BQ$1006,0)))),"Fix")))</f>
        <v>#N/A</v>
      </c>
      <c r="AD126" s="5" t="e">
        <f ca="1">IF(OR(INDEX($AI$2:$AI$1001,MATCH(ROWS($AH$2:AH126),$AH$2:$AH$1001,0),1)&gt;=100000,INDEX($AO$1005:$BQ$1005,1,MATCH(COLUMNS($AO$1006:BQ1006),$AO$1006:$BQ$1006,0))&gt;=100000), " ",IF(INDEX($AO$2:$BQ$1001,MATCH(ROWS($AH$2:AH126),$AH$2:$AH$1001,0),MATCH(COLUMNS($AO$1006:BQ1006),$AO$1006:$BQ$1006,0)), HYPERLINK("#",""), HYPERLINK(CONCATENATE("#Metadata!", ADDRESS(INDEX($AJ$2:$AJ$1001,MATCH(ROWS($AH$2:AH126),$AH$2:$AH$1001,0),0), INDEX($AO$1004:$BQ$1004,1,MATCH(COLUMNS($AO$1006:BQ1006),$AO$1006:$BQ$1006,0)))),"Fix")))</f>
        <v>#REF!</v>
      </c>
      <c r="AH126">
        <f ca="1"/>
        <v>123</v>
      </c>
      <c r="AI126">
        <v>100126</v>
      </c>
      <c r="AJ126">
        <v>126</v>
      </c>
      <c r="AK126" t="b">
        <f t="shared" si="1"/>
        <v>1</v>
      </c>
      <c r="AL126" t="b">
        <f>COUNTBLANK(Metadata!B126:AD126)=COLUMNS(Metadata!B126:AD126)</f>
        <v>1</v>
      </c>
      <c r="AM126" t="str">
        <v/>
      </c>
      <c r="AO126" t="b">
        <f ca="1">AND(IF(Metadata!B126="",FALSE,TRUE),COUNTIF(Metadata!B:B, Metadata!B126) = 1,NOT(ISERROR(SUMPRODUCT(SEARCH(MID(Metadata!B126,ROW(INDIRECT("1:"&amp;LEN(Metadata!B126))), 1),"0123456789abcdefghijklmnopqrstuvwxyzABCDEFGHIJKLMNOPQRSTUVWXYZ.")))))</f>
        <v>0</v>
      </c>
      <c r="AP126" t="b">
        <f>IF(Metadata!C126="",FALSE,TRUE)</f>
        <v>0</v>
      </c>
      <c r="AQ126" t="b">
        <f>IF(Metadata!D126="",FALSE,TRUE)</f>
        <v>0</v>
      </c>
      <c r="AR126" t="b">
        <f ca="1">OR(AND(IF(Metadata!E126="",FALSE,TRUE),OR(EXACT(Metadata!E126,"not collected"),EXACT(Metadata!E126,"not provided"),EXACT(Metadata!E126,"restricted access"))),AND(IF(Metadata!E126="",FALSE,TRUE),AND(AND(IFERROR(INT(LEFT(Metadata!E126,4))&gt;1900,FALSE),IFERROR(INT(LEFT(Metadata!E126,4))&lt;=YEAR(NOW()),FALSE)), OR(MID(Metadata!E126,5,1)="", AND(AND(MID(Metadata!E126,5,1)="-",IFERROR(INT(MID(Metadata!E126,6,1))&gt;=0,FALSE),IFERROR(INT(MID(Metadata!E126,6,1))&lt;=1,FALSE),NOT(MID(Metadata!E126,7,1)=""),IFERROR(INT(MID(Metadata!E126,6,2))&gt;=1,FALSE),IFERROR(INT(MID(Metadata!E126,6,2))&lt;=12,FALSE)), OR(MID(Metadata!E126,8,1)="", AND(AND(MID(Metadata!E126,8,1)="-",IFERROR(INT(MID(Metadata!E126,9,1))&gt;=0,FALSE),IFERROR(INT(MID(Metadata!E126,9,1))&lt;=3,FALSE),NOT(MID(Metadata!E126,10,1)=""),IFERROR(INT(MID(Metadata!E126,9,2))&gt;=1,FALSE),IFERROR(INT(MID(Metadata!E126,9,2))&lt;=31,FALSE)), OR(MID(Metadata!E126,11,1)="", AND(AND(MID(Metadata!E126,11,1)=" ",IFERROR(INT(MID(Metadata!E126,12,1))&gt;=0,FALSE),IFERROR(INT(MID(Metadata!E126,12,1))&lt;=2,FALSE),NOT(MID(Metadata!E126,13,1)=""),IFERROR(INT(MID(Metadata!E126,12,2))&gt;=0,FALSE),IFERROR(INT(MID(Metadata!E126,12,2))&lt;=23,FALSE)), OR(MID(Metadata!E126,14,1)="", AND(AND(MID(Metadata!E126,14,1)=":",IFERROR(INT(MID(Metadata!E126,15,1))&gt;=0,FALSE),IFERROR(INT(MID(Metadata!E126,15,1))&lt;=5,FALSE),NOT(MID(Metadata!E126,16,1)=""),IFERROR(INT(MID(Metadata!E126,15,2))&gt;=0,FALSE),IFERROR(INT(MID(Metadata!E126,15,2))&lt;=59,FALSE)), OR(MID(Metadata!E126,17,1)="", AND(AND(MID(Metadata!E126,17,1)=":",IFERROR(INT(MID(Metadata!E126,18,1))&gt;=0,FALSE),IFERROR(INT(MID(Metadata!E126,18,1))&lt;=5,FALSE),NOT(MID(Metadata!E126,19,1)=""),IFERROR(INT(MID(Metadata!E126,18,2))&gt;=0,FALSE),IFERROR(INT(MID(Metadata!E126,18,2))&lt;=59,FALSE)), LEN(Metadata!E126)&lt;=19)))))))))))))</f>
        <v>0</v>
      </c>
      <c r="AS126" t="b">
        <f>IF(Metadata!F126="",FALSE,TRUE)</f>
        <v>0</v>
      </c>
      <c r="AT126" t="b">
        <f>OR(AND(IF(Metadata!G126="",FALSE,TRUE),OR(EXACT(Metadata!G126,"not collected"),EXACT(Metadata!G126,"not provided"))),AND(IF(Metadata!G126="",FALSE,TRUE),OR(EXACT(Metadata!G126,"TRUE"),EXACT(Metadata!G126,"FALSE"))))</f>
        <v>0</v>
      </c>
      <c r="AU126" t="b">
        <f>OR(AND(IF(Metadata!H126="",FALSE,TRUE),OR(EXACT(Metadata!H126,"not collected"),EXACT(Metadata!H126,"not provided"),EXACT(Metadata!H126,"restricted access"))),AND(IF(Metadata!H126="",FALSE,ISNUMBER(VALUE(Metadata!H126))),Metadata!H126&gt;=-413))</f>
        <v>0</v>
      </c>
      <c r="AV126" t="b">
        <f>AND(IF(Metadata!I126="",FALSE,TRUE),EXACT(Metadata!I126,"meters"))</f>
        <v>0</v>
      </c>
      <c r="AW126" t="b">
        <f>AND(IF(Metadata!J126="",FALSE,TRUE),EXACT(Metadata!J126,"free-living"))</f>
        <v>0</v>
      </c>
      <c r="AX126" t="b">
        <f>AND(IF(Metadata!K126="",FALSE,TRUE),OR(EXACT(Metadata!K126,"saline"),EXACT(Metadata!K126,"non-saline")))</f>
        <v>0</v>
      </c>
      <c r="AY126" t="b">
        <f>AND(IF(Metadata!L126="",FALSE,TRUE),OR(EXACT(Metadata!L126,"sub-surface (non-saline)"),EXACT(Metadata!L126,"surface (non-saline)"),EXACT(Metadata!L126,"water (non-saline)"),EXACT(Metadata!L126,"soil (non-saline)"),EXACT(Metadata!L126,"aerosol (non-saline)"),EXACT(Metadata!L126,"sediment (non-saline)"),EXACT(Metadata!L126,"surface (saline)"),EXACT(Metadata!L126,"water (saline)"),EXACT(Metadata!L126,"hypersaline (saline)"),EXACT(Metadata!L126,"aerosol (saline)"),EXACT(Metadata!L126,"sediment (saline)")))</f>
        <v>0</v>
      </c>
      <c r="AZ126" t="b">
        <f>IF(Metadata!M126="",FALSE,TRUE)</f>
        <v>0</v>
      </c>
      <c r="BA126" t="b">
        <f>IF(Metadata!N126="",FALSE,TRUE)</f>
        <v>0</v>
      </c>
      <c r="BB126" t="b">
        <f>IF(Metadata!O126="",FALSE,TRUE)</f>
        <v>0</v>
      </c>
      <c r="BC126" t="b">
        <f>AND(IF(Metadata!P126="",FALSE,TRUE),OR(EXACT(Metadata!P126,"air"),EXACT(Metadata!P126,"microbial mat/biofilm"),EXACT(Metadata!P126,"misc environment"),EXACT(Metadata!P126,"sediment"),EXACT(Metadata!P126,"soil"),EXACT(Metadata!P126,"wastewater/sludge"),EXACT(Metadata!P126,"water")))</f>
        <v>0</v>
      </c>
      <c r="BD126" t="b">
        <f>IF(Metadata!Q126="",FALSE,TRUE)</f>
        <v>0</v>
      </c>
      <c r="BE126" t="b">
        <f>IF(Metadata!R126="",FALSE,TRUE)</f>
        <v>0</v>
      </c>
      <c r="BF126" t="b">
        <f>OR(AND(IF(Metadata!S126="",FALSE,TRUE),OR(EXACT(Metadata!S126,"not collected"),EXACT(Metadata!S126,"not provided"),EXACT(Metadata!S126,"restricted access"))),AND(IF(Metadata!S126="",FALSE,ISNUMBER(VALUE(Metadata!S126))),Metadata!S126&gt;=-90,Metadata!S126&lt;=90))</f>
        <v>0</v>
      </c>
      <c r="BG126" t="b">
        <f>AND(IF(Metadata!T126="",FALSE,TRUE),EXACT(Metadata!T126,"Decimal degrees"))</f>
        <v>0</v>
      </c>
      <c r="BH126" t="b">
        <f>OR(AND(IF(Metadata!U126="",FALSE,TRUE),OR(EXACT(Metadata!U126,"not applicable"),EXACT(Metadata!U126,"not collected"))),IF(Metadata!U126="",FALSE,TRUE))</f>
        <v>0</v>
      </c>
      <c r="BI126" t="b">
        <f>OR(AND(IF(Metadata!V126="",FALSE,TRUE),OR(EXACT(Metadata!V126,"not collected"),EXACT(Metadata!V126,"not provided"),EXACT(Metadata!V126,"restricted access"))),AND(IF(Metadata!V126="",FALSE,ISNUMBER(VALUE(Metadata!V126))),Metadata!V126&gt;=-180,Metadata!V126&lt;=180))</f>
        <v>0</v>
      </c>
      <c r="BJ126" t="b">
        <f>AND(IF(Metadata!W126="",FALSE,TRUE),EXACT(Metadata!W126,"Decimal degrees"))</f>
        <v>0</v>
      </c>
      <c r="BK126" t="b">
        <f>IF(Metadata!X126="",FALSE,TRUE)</f>
        <v>0</v>
      </c>
      <c r="BL126" t="b">
        <f>OR(AND(IF(Metadata!Y126="",FALSE,TRUE),OR(EXACT(Metadata!Y126,"not collected"),EXACT(Metadata!Y126,"not provided"),EXACT(Metadata!Y126,"restricted access"))),AND(IF(Metadata!Y126="",FALSE,TRUE),OR(EXACT(Metadata!Y126,"TRUE"),EXACT(Metadata!Y126,"FALSE"))))</f>
        <v>0</v>
      </c>
      <c r="BM126" t="b">
        <f>OR(AND(IF(Metadata!Z126="",FALSE,TRUE),EXACT(Metadata!Z126,"not applicable")),AND(IF(Metadata!Z126="",FALSE,TRUE),OR(EXACT(Metadata!Z126,"beer"),EXACT(Metadata!Z126,"cheese"),EXACT(Metadata!Z126,"fresh water"),EXACT(Metadata!Z126,"marine sediment"),EXACT(Metadata!Z126,"sea water"),EXACT(Metadata!Z126,"sediment"),EXACT(Metadata!Z126,"soil"),EXACT(Metadata!Z126,"waste water"))))</f>
        <v>0</v>
      </c>
      <c r="BN126" t="b">
        <f>AND(IF(Metadata!AA126="",FALSE,TRUE),EXACT(Metadata!AA126,"metagenome"))</f>
        <v>0</v>
      </c>
      <c r="BO126" t="b">
        <f>AND(IF(Metadata!AB126="",FALSE,TRUE),EXACT(Metadata!AB126,"256318"))</f>
        <v>0</v>
      </c>
      <c r="BP126" t="b">
        <f>IF(Metadata!AC126="",FALSE,TRUE)</f>
        <v>0</v>
      </c>
      <c r="BQ126" t="b">
        <f>IF(Metadata!AD126="",FALSE,TRUE)</f>
        <v>0</v>
      </c>
    </row>
    <row r="127" spans="1:69" x14ac:dyDescent="0.2">
      <c r="A127" s="4" t="e">
        <f ca="1">IF(B127=" "," ",HYPERLINK(CONCATENATE("#metadata!",ADDRESS(INDEX($AJ$2:$AJ$1001,MATCH(ROWS($AH$2:AH127),$AH$2:$AH$1001,0),0),2)),INDEX($AM$2:$AM$1001,MATCH(ROWS($AH$2:AH127),$AH$2:$AH$1001,0),0)))</f>
        <v>#N/A</v>
      </c>
      <c r="B127" s="5" t="e">
        <f ca="1">IF(OR(INDEX($AI$2:$AI$1001,MATCH(ROWS($AH$2:AH127),$AH$2:$AH$1001,0),1)&gt;=100000,INDEX($AO$1005:$BQ$1005,1,MATCH(COLUMNS($AO$1006:AO1006),$AO$1006:$BQ$1006,0))&gt;=100000), " ",IF(INDEX($AO$2:$BQ$1001,MATCH(ROWS($AH$2:AH127),$AH$2:$AH$1001,0),MATCH(COLUMNS($AO$1006:AO1006),$AO$1006:$BQ$1006,0)), HYPERLINK("#",""), HYPERLINK(CONCATENATE("#Metadata!", ADDRESS(INDEX($AJ$2:$AJ$1001,MATCH(ROWS($AH$2:AH127),$AH$2:$AH$1001,0),0), INDEX($AO$1004:$BQ$1004,1,MATCH(COLUMNS($AO$1006:AO1006),$AO$1006:$BQ$1006,0)))),"Fix")))</f>
        <v>#N/A</v>
      </c>
      <c r="C127" s="5" t="e">
        <f ca="1">IF(OR(INDEX($AI$2:$AI$1001,MATCH(ROWS($AH$2:AH127),$AH$2:$AH$1001,0),1)&gt;=100000,INDEX($AO$1005:$BQ$1005,1,MATCH(COLUMNS($AO$1006:AP1006),$AO$1006:$BQ$1006,0))&gt;=100000), " ",IF(INDEX($AO$2:$BQ$1001,MATCH(ROWS($AH$2:AH127),$AH$2:$AH$1001,0),MATCH(COLUMNS($AO$1006:AP1006),$AO$1006:$BQ$1006,0)), HYPERLINK("#",""), HYPERLINK(CONCATENATE("#Metadata!", ADDRESS(INDEX($AJ$2:$AJ$1001,MATCH(ROWS($AH$2:AH127),$AH$2:$AH$1001,0),0), INDEX($AO$1004:$BQ$1004,1,MATCH(COLUMNS($AO$1006:AP1006),$AO$1006:$BQ$1006,0)))),"Fix")))</f>
        <v>#N/A</v>
      </c>
      <c r="D127" s="5" t="e">
        <f ca="1">IF(OR(INDEX($AI$2:$AI$1001,MATCH(ROWS($AH$2:AH127),$AH$2:$AH$1001,0),1)&gt;=100000,INDEX($AO$1005:$BQ$1005,1,MATCH(COLUMNS($AO$1006:AQ1006),$AO$1006:$BQ$1006,0))&gt;=100000), " ",IF(INDEX($AO$2:$BQ$1001,MATCH(ROWS($AH$2:AH127),$AH$2:$AH$1001,0),MATCH(COLUMNS($AO$1006:AQ1006),$AO$1006:$BQ$1006,0)), HYPERLINK("#",""), HYPERLINK(CONCATENATE("#Metadata!", ADDRESS(INDEX($AJ$2:$AJ$1001,MATCH(ROWS($AH$2:AH127),$AH$2:$AH$1001,0),0), INDEX($AO$1004:$BQ$1004,1,MATCH(COLUMNS($AO$1006:AQ1006),$AO$1006:$BQ$1006,0)))),"Fix")))</f>
        <v>#N/A</v>
      </c>
      <c r="E127" s="5" t="e">
        <f ca="1">IF(OR(INDEX($AI$2:$AI$1001,MATCH(ROWS($AH$2:AH127),$AH$2:$AH$1001,0),1)&gt;=100000,INDEX($AO$1005:$BQ$1005,1,MATCH(COLUMNS($AO$1006:AR1006),$AO$1006:$BQ$1006,0))&gt;=100000), " ",IF(INDEX($AO$2:$BQ$1001,MATCH(ROWS($AH$2:AH127),$AH$2:$AH$1001,0),MATCH(COLUMNS($AO$1006:AR1006),$AO$1006:$BQ$1006,0)), HYPERLINK("#",""), HYPERLINK(CONCATENATE("#Metadata!", ADDRESS(INDEX($AJ$2:$AJ$1001,MATCH(ROWS($AH$2:AH127),$AH$2:$AH$1001,0),0), INDEX($AO$1004:$BQ$1004,1,MATCH(COLUMNS($AO$1006:AR1006),$AO$1006:$BQ$1006,0)))),"Fix")))</f>
        <v>#N/A</v>
      </c>
      <c r="F127" s="5" t="e">
        <f ca="1">IF(OR(INDEX($AI$2:$AI$1001,MATCH(ROWS($AH$2:AH127),$AH$2:$AH$1001,0),1)&gt;=100000,INDEX($AO$1005:$BQ$1005,1,MATCH(COLUMNS($AO$1006:AS1006),$AO$1006:$BQ$1006,0))&gt;=100000), " ",IF(INDEX($AO$2:$BQ$1001,MATCH(ROWS($AH$2:AH127),$AH$2:$AH$1001,0),MATCH(COLUMNS($AO$1006:AS1006),$AO$1006:$BQ$1006,0)), HYPERLINK("#",""), HYPERLINK(CONCATENATE("#Metadata!", ADDRESS(INDEX($AJ$2:$AJ$1001,MATCH(ROWS($AH$2:AH127),$AH$2:$AH$1001,0),0), INDEX($AO$1004:$BQ$1004,1,MATCH(COLUMNS($AO$1006:AS1006),$AO$1006:$BQ$1006,0)))),"Fix")))</f>
        <v>#N/A</v>
      </c>
      <c r="G127" s="5" t="e">
        <f ca="1">IF(OR(INDEX($AI$2:$AI$1001,MATCH(ROWS($AH$2:AH127),$AH$2:$AH$1001,0),1)&gt;=100000,INDEX($AO$1005:$BQ$1005,1,MATCH(COLUMNS($AO$1006:AT1006),$AO$1006:$BQ$1006,0))&gt;=100000), " ",IF(INDEX($AO$2:$BQ$1001,MATCH(ROWS($AH$2:AH127),$AH$2:$AH$1001,0),MATCH(COLUMNS($AO$1006:AT1006),$AO$1006:$BQ$1006,0)), HYPERLINK("#",""), HYPERLINK(CONCATENATE("#Metadata!", ADDRESS(INDEX($AJ$2:$AJ$1001,MATCH(ROWS($AH$2:AH127),$AH$2:$AH$1001,0),0), INDEX($AO$1004:$BQ$1004,1,MATCH(COLUMNS($AO$1006:AT1006),$AO$1006:$BQ$1006,0)))),"Fix")))</f>
        <v>#N/A</v>
      </c>
      <c r="H127" s="5" t="e">
        <f ca="1">IF(OR(INDEX($AI$2:$AI$1001,MATCH(ROWS($AH$2:AH127),$AH$2:$AH$1001,0),1)&gt;=100000,INDEX($AO$1005:$BQ$1005,1,MATCH(COLUMNS($AO$1006:AU1006),$AO$1006:$BQ$1006,0))&gt;=100000), " ",IF(INDEX($AO$2:$BQ$1001,MATCH(ROWS($AH$2:AH127),$AH$2:$AH$1001,0),MATCH(COLUMNS($AO$1006:AU1006),$AO$1006:$BQ$1006,0)), HYPERLINK("#",""), HYPERLINK(CONCATENATE("#Metadata!", ADDRESS(INDEX($AJ$2:$AJ$1001,MATCH(ROWS($AH$2:AH127),$AH$2:$AH$1001,0),0), INDEX($AO$1004:$BQ$1004,1,MATCH(COLUMNS($AO$1006:AU1006),$AO$1006:$BQ$1006,0)))),"Fix")))</f>
        <v>#N/A</v>
      </c>
      <c r="I127" s="5" t="e">
        <f ca="1">IF(OR(INDEX($AI$2:$AI$1001,MATCH(ROWS($AH$2:AH127),$AH$2:$AH$1001,0),1)&gt;=100000,INDEX($AO$1005:$BQ$1005,1,MATCH(COLUMNS($AO$1006:AV1006),$AO$1006:$BQ$1006,0))&gt;=100000), " ",IF(INDEX($AO$2:$BQ$1001,MATCH(ROWS($AH$2:AH127),$AH$2:$AH$1001,0),MATCH(COLUMNS($AO$1006:AV1006),$AO$1006:$BQ$1006,0)), HYPERLINK("#",""), HYPERLINK(CONCATENATE("#Metadata!", ADDRESS(INDEX($AJ$2:$AJ$1001,MATCH(ROWS($AH$2:AH127),$AH$2:$AH$1001,0),0), INDEX($AO$1004:$BQ$1004,1,MATCH(COLUMNS($AO$1006:AV1006),$AO$1006:$BQ$1006,0)))),"Fix")))</f>
        <v>#N/A</v>
      </c>
      <c r="J127" s="5" t="e">
        <f ca="1">IF(OR(INDEX($AI$2:$AI$1001,MATCH(ROWS($AH$2:AH127),$AH$2:$AH$1001,0),1)&gt;=100000,INDEX($AO$1005:$BQ$1005,1,MATCH(COLUMNS($AO$1006:AW1006),$AO$1006:$BQ$1006,0))&gt;=100000), " ",IF(INDEX($AO$2:$BQ$1001,MATCH(ROWS($AH$2:AH127),$AH$2:$AH$1001,0),MATCH(COLUMNS($AO$1006:AW1006),$AO$1006:$BQ$1006,0)), HYPERLINK("#",""), HYPERLINK(CONCATENATE("#Metadata!", ADDRESS(INDEX($AJ$2:$AJ$1001,MATCH(ROWS($AH$2:AH127),$AH$2:$AH$1001,0),0), INDEX($AO$1004:$BQ$1004,1,MATCH(COLUMNS($AO$1006:AW1006),$AO$1006:$BQ$1006,0)))),"Fix")))</f>
        <v>#N/A</v>
      </c>
      <c r="K127" s="5" t="e">
        <f ca="1">IF(OR(INDEX($AI$2:$AI$1001,MATCH(ROWS($AH$2:AH127),$AH$2:$AH$1001,0),1)&gt;=100000,INDEX($AO$1005:$BQ$1005,1,MATCH(COLUMNS($AO$1006:AX1006),$AO$1006:$BQ$1006,0))&gt;=100000), " ",IF(INDEX($AO$2:$BQ$1001,MATCH(ROWS($AH$2:AH127),$AH$2:$AH$1001,0),MATCH(COLUMNS($AO$1006:AX1006),$AO$1006:$BQ$1006,0)), HYPERLINK("#",""), HYPERLINK(CONCATENATE("#Metadata!", ADDRESS(INDEX($AJ$2:$AJ$1001,MATCH(ROWS($AH$2:AH127),$AH$2:$AH$1001,0),0), INDEX($AO$1004:$BQ$1004,1,MATCH(COLUMNS($AO$1006:AX1006),$AO$1006:$BQ$1006,0)))),"Fix")))</f>
        <v>#N/A</v>
      </c>
      <c r="L127" s="5" t="e">
        <f ca="1">IF(OR(INDEX($AI$2:$AI$1001,MATCH(ROWS($AH$2:AH127),$AH$2:$AH$1001,0),1)&gt;=100000,INDEX($AO$1005:$BQ$1005,1,MATCH(COLUMNS($AO$1006:AY1006),$AO$1006:$BQ$1006,0))&gt;=100000), " ",IF(INDEX($AO$2:$BQ$1001,MATCH(ROWS($AH$2:AH127),$AH$2:$AH$1001,0),MATCH(COLUMNS($AO$1006:AY1006),$AO$1006:$BQ$1006,0)), HYPERLINK("#",""), HYPERLINK(CONCATENATE("#Metadata!", ADDRESS(INDEX($AJ$2:$AJ$1001,MATCH(ROWS($AH$2:AH127),$AH$2:$AH$1001,0),0), INDEX($AO$1004:$BQ$1004,1,MATCH(COLUMNS($AO$1006:AY1006),$AO$1006:$BQ$1006,0)))),"Fix")))</f>
        <v>#N/A</v>
      </c>
      <c r="M127" s="5" t="e">
        <f ca="1">IF(OR(INDEX($AI$2:$AI$1001,MATCH(ROWS($AH$2:AH127),$AH$2:$AH$1001,0),1)&gt;=100000,INDEX($AO$1005:$BQ$1005,1,MATCH(COLUMNS($AO$1006:AZ1006),$AO$1006:$BQ$1006,0))&gt;=100000), " ",IF(INDEX($AO$2:$BQ$1001,MATCH(ROWS($AH$2:AH127),$AH$2:$AH$1001,0),MATCH(COLUMNS($AO$1006:AZ1006),$AO$1006:$BQ$1006,0)), HYPERLINK("#",""), HYPERLINK(CONCATENATE("#Metadata!", ADDRESS(INDEX($AJ$2:$AJ$1001,MATCH(ROWS($AH$2:AH127),$AH$2:$AH$1001,0),0), INDEX($AO$1004:$BQ$1004,1,MATCH(COLUMNS($AO$1006:AZ1006),$AO$1006:$BQ$1006,0)))),"Fix")))</f>
        <v>#N/A</v>
      </c>
      <c r="N127" s="5" t="e">
        <f ca="1">IF(OR(INDEX($AI$2:$AI$1001,MATCH(ROWS($AH$2:AH127),$AH$2:$AH$1001,0),1)&gt;=100000,INDEX($AO$1005:$BQ$1005,1,MATCH(COLUMNS($AO$1006:BA1006),$AO$1006:$BQ$1006,0))&gt;=100000), " ",IF(INDEX($AO$2:$BQ$1001,MATCH(ROWS($AH$2:AH127),$AH$2:$AH$1001,0),MATCH(COLUMNS($AO$1006:BA1006),$AO$1006:$BQ$1006,0)), HYPERLINK("#",""), HYPERLINK(CONCATENATE("#Metadata!", ADDRESS(INDEX($AJ$2:$AJ$1001,MATCH(ROWS($AH$2:AH127),$AH$2:$AH$1001,0),0), INDEX($AO$1004:$BQ$1004,1,MATCH(COLUMNS($AO$1006:BA1006),$AO$1006:$BQ$1006,0)))),"Fix")))</f>
        <v>#N/A</v>
      </c>
      <c r="O127" s="5" t="e">
        <f ca="1">IF(OR(INDEX($AI$2:$AI$1001,MATCH(ROWS($AH$2:AH127),$AH$2:$AH$1001,0),1)&gt;=100000,INDEX($AO$1005:$BQ$1005,1,MATCH(COLUMNS($AO$1006:BB1006),$AO$1006:$BQ$1006,0))&gt;=100000), " ",IF(INDEX($AO$2:$BQ$1001,MATCH(ROWS($AH$2:AH127),$AH$2:$AH$1001,0),MATCH(COLUMNS($AO$1006:BB1006),$AO$1006:$BQ$1006,0)), HYPERLINK("#",""), HYPERLINK(CONCATENATE("#Metadata!", ADDRESS(INDEX($AJ$2:$AJ$1001,MATCH(ROWS($AH$2:AH127),$AH$2:$AH$1001,0),0), INDEX($AO$1004:$BQ$1004,1,MATCH(COLUMNS($AO$1006:BB1006),$AO$1006:$BQ$1006,0)))),"Fix")))</f>
        <v>#N/A</v>
      </c>
      <c r="P127" s="5" t="e">
        <f ca="1">IF(OR(INDEX($AI$2:$AI$1001,MATCH(ROWS($AH$2:AH127),$AH$2:$AH$1001,0),1)&gt;=100000,INDEX($AO$1005:$BQ$1005,1,MATCH(COLUMNS($AO$1006:BC1006),$AO$1006:$BQ$1006,0))&gt;=100000), " ",IF(INDEX($AO$2:$BQ$1001,MATCH(ROWS($AH$2:AH127),$AH$2:$AH$1001,0),MATCH(COLUMNS($AO$1006:BC1006),$AO$1006:$BQ$1006,0)), HYPERLINK("#",""), HYPERLINK(CONCATENATE("#Metadata!", ADDRESS(INDEX($AJ$2:$AJ$1001,MATCH(ROWS($AH$2:AH127),$AH$2:$AH$1001,0),0), INDEX($AO$1004:$BQ$1004,1,MATCH(COLUMNS($AO$1006:BC1006),$AO$1006:$BQ$1006,0)))),"Fix")))</f>
        <v>#N/A</v>
      </c>
      <c r="Q127" s="5" t="e">
        <f ca="1">IF(OR(INDEX($AI$2:$AI$1001,MATCH(ROWS($AH$2:AH127),$AH$2:$AH$1001,0),1)&gt;=100000,INDEX($AO$1005:$BQ$1005,1,MATCH(COLUMNS($AO$1006:BD1006),$AO$1006:$BQ$1006,0))&gt;=100000), " ",IF(INDEX($AO$2:$BQ$1001,MATCH(ROWS($AH$2:AH127),$AH$2:$AH$1001,0),MATCH(COLUMNS($AO$1006:BD1006),$AO$1006:$BQ$1006,0)), HYPERLINK("#",""), HYPERLINK(CONCATENATE("#Metadata!", ADDRESS(INDEX($AJ$2:$AJ$1001,MATCH(ROWS($AH$2:AH127),$AH$2:$AH$1001,0),0), INDEX($AO$1004:$BQ$1004,1,MATCH(COLUMNS($AO$1006:BD1006),$AO$1006:$BQ$1006,0)))),"Fix")))</f>
        <v>#N/A</v>
      </c>
      <c r="R127" s="5" t="e">
        <f ca="1">IF(OR(INDEX($AI$2:$AI$1001,MATCH(ROWS($AH$2:AH127),$AH$2:$AH$1001,0),1)&gt;=100000,INDEX($AO$1005:$BQ$1005,1,MATCH(COLUMNS($AO$1006:BE1006),$AO$1006:$BQ$1006,0))&gt;=100000), " ",IF(INDEX($AO$2:$BQ$1001,MATCH(ROWS($AH$2:AH127),$AH$2:$AH$1001,0),MATCH(COLUMNS($AO$1006:BE1006),$AO$1006:$BQ$1006,0)), HYPERLINK("#",""), HYPERLINK(CONCATENATE("#Metadata!", ADDRESS(INDEX($AJ$2:$AJ$1001,MATCH(ROWS($AH$2:AH127),$AH$2:$AH$1001,0),0), INDEX($AO$1004:$BQ$1004,1,MATCH(COLUMNS($AO$1006:BE1006),$AO$1006:$BQ$1006,0)))),"Fix")))</f>
        <v>#N/A</v>
      </c>
      <c r="S127" s="5" t="e">
        <f ca="1">IF(OR(INDEX($AI$2:$AI$1001,MATCH(ROWS($AH$2:AH127),$AH$2:$AH$1001,0),1)&gt;=100000,INDEX($AO$1005:$BQ$1005,1,MATCH(COLUMNS($AO$1006:BF1006),$AO$1006:$BQ$1006,0))&gt;=100000), " ",IF(INDEX($AO$2:$BQ$1001,MATCH(ROWS($AH$2:AH127),$AH$2:$AH$1001,0),MATCH(COLUMNS($AO$1006:BF1006),$AO$1006:$BQ$1006,0)), HYPERLINK("#",""), HYPERLINK(CONCATENATE("#Metadata!", ADDRESS(INDEX($AJ$2:$AJ$1001,MATCH(ROWS($AH$2:AH127),$AH$2:$AH$1001,0),0), INDEX($AO$1004:$BQ$1004,1,MATCH(COLUMNS($AO$1006:BF1006),$AO$1006:$BQ$1006,0)))),"Fix")))</f>
        <v>#N/A</v>
      </c>
      <c r="T127" s="5" t="e">
        <f ca="1">IF(OR(INDEX($AI$2:$AI$1001,MATCH(ROWS($AH$2:AH127),$AH$2:$AH$1001,0),1)&gt;=100000,INDEX($AO$1005:$BQ$1005,1,MATCH(COLUMNS($AO$1006:BG1006),$AO$1006:$BQ$1006,0))&gt;=100000), " ",IF(INDEX($AO$2:$BQ$1001,MATCH(ROWS($AH$2:AH127),$AH$2:$AH$1001,0),MATCH(COLUMNS($AO$1006:BG1006),$AO$1006:$BQ$1006,0)), HYPERLINK("#",""), HYPERLINK(CONCATENATE("#Metadata!", ADDRESS(INDEX($AJ$2:$AJ$1001,MATCH(ROWS($AH$2:AH127),$AH$2:$AH$1001,0),0), INDEX($AO$1004:$BQ$1004,1,MATCH(COLUMNS($AO$1006:BG1006),$AO$1006:$BQ$1006,0)))),"Fix")))</f>
        <v>#N/A</v>
      </c>
      <c r="U127" s="5" t="e">
        <f ca="1">IF(OR(INDEX($AI$2:$AI$1001,MATCH(ROWS($AH$2:AH127),$AH$2:$AH$1001,0),1)&gt;=100000,INDEX($AO$1005:$BQ$1005,1,MATCH(COLUMNS($AO$1006:BH1006),$AO$1006:$BQ$1006,0))&gt;=100000), " ",IF(INDEX($AO$2:$BQ$1001,MATCH(ROWS($AH$2:AH127),$AH$2:$AH$1001,0),MATCH(COLUMNS($AO$1006:BH1006),$AO$1006:$BQ$1006,0)), HYPERLINK("#",""), HYPERLINK(CONCATENATE("#Metadata!", ADDRESS(INDEX($AJ$2:$AJ$1001,MATCH(ROWS($AH$2:AH127),$AH$2:$AH$1001,0),0), INDEX($AO$1004:$BQ$1004,1,MATCH(COLUMNS($AO$1006:BH1006),$AO$1006:$BQ$1006,0)))),"Fix")))</f>
        <v>#N/A</v>
      </c>
      <c r="V127" s="5" t="e">
        <f ca="1">IF(OR(INDEX($AI$2:$AI$1001,MATCH(ROWS($AH$2:AH127),$AH$2:$AH$1001,0),1)&gt;=100000,INDEX($AO$1005:$BQ$1005,1,MATCH(COLUMNS($AO$1006:BI1006),$AO$1006:$BQ$1006,0))&gt;=100000), " ",IF(INDEX($AO$2:$BQ$1001,MATCH(ROWS($AH$2:AH127),$AH$2:$AH$1001,0),MATCH(COLUMNS($AO$1006:BI1006),$AO$1006:$BQ$1006,0)), HYPERLINK("#",""), HYPERLINK(CONCATENATE("#Metadata!", ADDRESS(INDEX($AJ$2:$AJ$1001,MATCH(ROWS($AH$2:AH127),$AH$2:$AH$1001,0),0), INDEX($AO$1004:$BQ$1004,1,MATCH(COLUMNS($AO$1006:BI1006),$AO$1006:$BQ$1006,0)))),"Fix")))</f>
        <v>#N/A</v>
      </c>
      <c r="W127" s="5" t="e">
        <f ca="1">IF(OR(INDEX($AI$2:$AI$1001,MATCH(ROWS($AH$2:AH127),$AH$2:$AH$1001,0),1)&gt;=100000,INDEX($AO$1005:$BQ$1005,1,MATCH(COLUMNS($AO$1006:BJ1006),$AO$1006:$BQ$1006,0))&gt;=100000), " ",IF(INDEX($AO$2:$BQ$1001,MATCH(ROWS($AH$2:AH127),$AH$2:$AH$1001,0),MATCH(COLUMNS($AO$1006:BJ1006),$AO$1006:$BQ$1006,0)), HYPERLINK("#",""), HYPERLINK(CONCATENATE("#Metadata!", ADDRESS(INDEX($AJ$2:$AJ$1001,MATCH(ROWS($AH$2:AH127),$AH$2:$AH$1001,0),0), INDEX($AO$1004:$BQ$1004,1,MATCH(COLUMNS($AO$1006:BJ1006),$AO$1006:$BQ$1006,0)))),"Fix")))</f>
        <v>#N/A</v>
      </c>
      <c r="X127" s="5" t="e">
        <f ca="1">IF(OR(INDEX($AI$2:$AI$1001,MATCH(ROWS($AH$2:AH127),$AH$2:$AH$1001,0),1)&gt;=100000,INDEX($AO$1005:$BQ$1005,1,MATCH(COLUMNS($AO$1006:BK1006),$AO$1006:$BQ$1006,0))&gt;=100000), " ",IF(INDEX($AO$2:$BQ$1001,MATCH(ROWS($AH$2:AH127),$AH$2:$AH$1001,0),MATCH(COLUMNS($AO$1006:BK1006),$AO$1006:$BQ$1006,0)), HYPERLINK("#",""), HYPERLINK(CONCATENATE("#Metadata!", ADDRESS(INDEX($AJ$2:$AJ$1001,MATCH(ROWS($AH$2:AH127),$AH$2:$AH$1001,0),0), INDEX($AO$1004:$BQ$1004,1,MATCH(COLUMNS($AO$1006:BK1006),$AO$1006:$BQ$1006,0)))),"Fix")))</f>
        <v>#N/A</v>
      </c>
      <c r="Y127" s="5" t="e">
        <f ca="1">IF(OR(INDEX($AI$2:$AI$1001,MATCH(ROWS($AH$2:AH127),$AH$2:$AH$1001,0),1)&gt;=100000,INDEX($AO$1005:$BQ$1005,1,MATCH(COLUMNS($AO$1006:BL1006),$AO$1006:$BQ$1006,0))&gt;=100000), " ",IF(INDEX($AO$2:$BQ$1001,MATCH(ROWS($AH$2:AH127),$AH$2:$AH$1001,0),MATCH(COLUMNS($AO$1006:BL1006),$AO$1006:$BQ$1006,0)), HYPERLINK("#",""), HYPERLINK(CONCATENATE("#Metadata!", ADDRESS(INDEX($AJ$2:$AJ$1001,MATCH(ROWS($AH$2:AH127),$AH$2:$AH$1001,0),0), INDEX($AO$1004:$BQ$1004,1,MATCH(COLUMNS($AO$1006:BL1006),$AO$1006:$BQ$1006,0)))),"Fix")))</f>
        <v>#N/A</v>
      </c>
      <c r="Z127" s="5" t="e">
        <f ca="1">IF(OR(INDEX($AI$2:$AI$1001,MATCH(ROWS($AH$2:AH127),$AH$2:$AH$1001,0),1)&gt;=100000,INDEX($AO$1005:$BQ$1005,1,MATCH(COLUMNS($AO$1006:BM1006),$AO$1006:$BQ$1006,0))&gt;=100000), " ",IF(INDEX($AO$2:$BQ$1001,MATCH(ROWS($AH$2:AH127),$AH$2:$AH$1001,0),MATCH(COLUMNS($AO$1006:BM1006),$AO$1006:$BQ$1006,0)), HYPERLINK("#",""), HYPERLINK(CONCATENATE("#Metadata!", ADDRESS(INDEX($AJ$2:$AJ$1001,MATCH(ROWS($AH$2:AH127),$AH$2:$AH$1001,0),0), INDEX($AO$1004:$BQ$1004,1,MATCH(COLUMNS($AO$1006:BM1006),$AO$1006:$BQ$1006,0)))),"Fix")))</f>
        <v>#N/A</v>
      </c>
      <c r="AA127" s="5" t="e">
        <f ca="1">IF(OR(INDEX($AI$2:$AI$1001,MATCH(ROWS($AH$2:AH127),$AH$2:$AH$1001,0),1)&gt;=100000,INDEX($AO$1005:$BQ$1005,1,MATCH(COLUMNS($AO$1006:BN1006),$AO$1006:$BQ$1006,0))&gt;=100000), " ",IF(INDEX($AO$2:$BQ$1001,MATCH(ROWS($AH$2:AH127),$AH$2:$AH$1001,0),MATCH(COLUMNS($AO$1006:BN1006),$AO$1006:$BQ$1006,0)), HYPERLINK("#",""), HYPERLINK(CONCATENATE("#Metadata!", ADDRESS(INDEX($AJ$2:$AJ$1001,MATCH(ROWS($AH$2:AH127),$AH$2:$AH$1001,0),0), INDEX($AO$1004:$BQ$1004,1,MATCH(COLUMNS($AO$1006:BN1006),$AO$1006:$BQ$1006,0)))),"Fix")))</f>
        <v>#N/A</v>
      </c>
      <c r="AB127" s="5" t="e">
        <f ca="1">IF(OR(INDEX($AI$2:$AI$1001,MATCH(ROWS($AH$2:AH127),$AH$2:$AH$1001,0),1)&gt;=100000,INDEX($AO$1005:$BQ$1005,1,MATCH(COLUMNS($AO$1006:BO1006),$AO$1006:$BQ$1006,0))&gt;=100000), " ",IF(INDEX($AO$2:$BQ$1001,MATCH(ROWS($AH$2:AH127),$AH$2:$AH$1001,0),MATCH(COLUMNS($AO$1006:BO1006),$AO$1006:$BQ$1006,0)), HYPERLINK("#",""), HYPERLINK(CONCATENATE("#Metadata!", ADDRESS(INDEX($AJ$2:$AJ$1001,MATCH(ROWS($AH$2:AH127),$AH$2:$AH$1001,0),0), INDEX($AO$1004:$BQ$1004,1,MATCH(COLUMNS($AO$1006:BO1006),$AO$1006:$BQ$1006,0)))),"Fix")))</f>
        <v>#N/A</v>
      </c>
      <c r="AC127" s="5" t="e">
        <f ca="1">IF(OR(INDEX($AI$2:$AI$1001,MATCH(ROWS($AH$2:AH127),$AH$2:$AH$1001,0),1)&gt;=100000,INDEX($AO$1005:$BQ$1005,1,MATCH(COLUMNS($AO$1006:BP1006),$AO$1006:$BQ$1006,0))&gt;=100000), " ",IF(INDEX($AO$2:$BQ$1001,MATCH(ROWS($AH$2:AH127),$AH$2:$AH$1001,0),MATCH(COLUMNS($AO$1006:BP1006),$AO$1006:$BQ$1006,0)), HYPERLINK("#",""), HYPERLINK(CONCATENATE("#Metadata!", ADDRESS(INDEX($AJ$2:$AJ$1001,MATCH(ROWS($AH$2:AH127),$AH$2:$AH$1001,0),0), INDEX($AO$1004:$BQ$1004,1,MATCH(COLUMNS($AO$1006:BP1006),$AO$1006:$BQ$1006,0)))),"Fix")))</f>
        <v>#N/A</v>
      </c>
      <c r="AD127" s="5" t="e">
        <f ca="1">IF(OR(INDEX($AI$2:$AI$1001,MATCH(ROWS($AH$2:AH127),$AH$2:$AH$1001,0),1)&gt;=100000,INDEX($AO$1005:$BQ$1005,1,MATCH(COLUMNS($AO$1006:BQ1006),$AO$1006:$BQ$1006,0))&gt;=100000), " ",IF(INDEX($AO$2:$BQ$1001,MATCH(ROWS($AH$2:AH127),$AH$2:$AH$1001,0),MATCH(COLUMNS($AO$1006:BQ1006),$AO$1006:$BQ$1006,0)), HYPERLINK("#",""), HYPERLINK(CONCATENATE("#Metadata!", ADDRESS(INDEX($AJ$2:$AJ$1001,MATCH(ROWS($AH$2:AH127),$AH$2:$AH$1001,0),0), INDEX($AO$1004:$BQ$1004,1,MATCH(COLUMNS($AO$1006:BQ1006),$AO$1006:$BQ$1006,0)))),"Fix")))</f>
        <v>#REF!</v>
      </c>
      <c r="AH127">
        <f ca="1"/>
        <v>124</v>
      </c>
      <c r="AI127">
        <v>100127</v>
      </c>
      <c r="AJ127">
        <v>127</v>
      </c>
      <c r="AK127" t="b">
        <f t="shared" si="1"/>
        <v>1</v>
      </c>
      <c r="AL127" t="b">
        <f>COUNTBLANK(Metadata!B127:AD127)=COLUMNS(Metadata!B127:AD127)</f>
        <v>1</v>
      </c>
      <c r="AM127" t="str">
        <v/>
      </c>
      <c r="AO127" t="b">
        <f ca="1">AND(IF(Metadata!B127="",FALSE,TRUE),COUNTIF(Metadata!B:B, Metadata!B127) = 1,NOT(ISERROR(SUMPRODUCT(SEARCH(MID(Metadata!B127,ROW(INDIRECT("1:"&amp;LEN(Metadata!B127))), 1),"0123456789abcdefghijklmnopqrstuvwxyzABCDEFGHIJKLMNOPQRSTUVWXYZ.")))))</f>
        <v>0</v>
      </c>
      <c r="AP127" t="b">
        <f>IF(Metadata!C127="",FALSE,TRUE)</f>
        <v>0</v>
      </c>
      <c r="AQ127" t="b">
        <f>IF(Metadata!D127="",FALSE,TRUE)</f>
        <v>0</v>
      </c>
      <c r="AR127" t="b">
        <f ca="1">OR(AND(IF(Metadata!E127="",FALSE,TRUE),OR(EXACT(Metadata!E127,"not collected"),EXACT(Metadata!E127,"not provided"),EXACT(Metadata!E127,"restricted access"))),AND(IF(Metadata!E127="",FALSE,TRUE),AND(AND(IFERROR(INT(LEFT(Metadata!E127,4))&gt;1900,FALSE),IFERROR(INT(LEFT(Metadata!E127,4))&lt;=YEAR(NOW()),FALSE)), OR(MID(Metadata!E127,5,1)="", AND(AND(MID(Metadata!E127,5,1)="-",IFERROR(INT(MID(Metadata!E127,6,1))&gt;=0,FALSE),IFERROR(INT(MID(Metadata!E127,6,1))&lt;=1,FALSE),NOT(MID(Metadata!E127,7,1)=""),IFERROR(INT(MID(Metadata!E127,6,2))&gt;=1,FALSE),IFERROR(INT(MID(Metadata!E127,6,2))&lt;=12,FALSE)), OR(MID(Metadata!E127,8,1)="", AND(AND(MID(Metadata!E127,8,1)="-",IFERROR(INT(MID(Metadata!E127,9,1))&gt;=0,FALSE),IFERROR(INT(MID(Metadata!E127,9,1))&lt;=3,FALSE),NOT(MID(Metadata!E127,10,1)=""),IFERROR(INT(MID(Metadata!E127,9,2))&gt;=1,FALSE),IFERROR(INT(MID(Metadata!E127,9,2))&lt;=31,FALSE)), OR(MID(Metadata!E127,11,1)="", AND(AND(MID(Metadata!E127,11,1)=" ",IFERROR(INT(MID(Metadata!E127,12,1))&gt;=0,FALSE),IFERROR(INT(MID(Metadata!E127,12,1))&lt;=2,FALSE),NOT(MID(Metadata!E127,13,1)=""),IFERROR(INT(MID(Metadata!E127,12,2))&gt;=0,FALSE),IFERROR(INT(MID(Metadata!E127,12,2))&lt;=23,FALSE)), OR(MID(Metadata!E127,14,1)="", AND(AND(MID(Metadata!E127,14,1)=":",IFERROR(INT(MID(Metadata!E127,15,1))&gt;=0,FALSE),IFERROR(INT(MID(Metadata!E127,15,1))&lt;=5,FALSE),NOT(MID(Metadata!E127,16,1)=""),IFERROR(INT(MID(Metadata!E127,15,2))&gt;=0,FALSE),IFERROR(INT(MID(Metadata!E127,15,2))&lt;=59,FALSE)), OR(MID(Metadata!E127,17,1)="", AND(AND(MID(Metadata!E127,17,1)=":",IFERROR(INT(MID(Metadata!E127,18,1))&gt;=0,FALSE),IFERROR(INT(MID(Metadata!E127,18,1))&lt;=5,FALSE),NOT(MID(Metadata!E127,19,1)=""),IFERROR(INT(MID(Metadata!E127,18,2))&gt;=0,FALSE),IFERROR(INT(MID(Metadata!E127,18,2))&lt;=59,FALSE)), LEN(Metadata!E127)&lt;=19)))))))))))))</f>
        <v>0</v>
      </c>
      <c r="AS127" t="b">
        <f>IF(Metadata!F127="",FALSE,TRUE)</f>
        <v>0</v>
      </c>
      <c r="AT127" t="b">
        <f>OR(AND(IF(Metadata!G127="",FALSE,TRUE),OR(EXACT(Metadata!G127,"not collected"),EXACT(Metadata!G127,"not provided"))),AND(IF(Metadata!G127="",FALSE,TRUE),OR(EXACT(Metadata!G127,"TRUE"),EXACT(Metadata!G127,"FALSE"))))</f>
        <v>0</v>
      </c>
      <c r="AU127" t="b">
        <f>OR(AND(IF(Metadata!H127="",FALSE,TRUE),OR(EXACT(Metadata!H127,"not collected"),EXACT(Metadata!H127,"not provided"),EXACT(Metadata!H127,"restricted access"))),AND(IF(Metadata!H127="",FALSE,ISNUMBER(VALUE(Metadata!H127))),Metadata!H127&gt;=-413))</f>
        <v>0</v>
      </c>
      <c r="AV127" t="b">
        <f>AND(IF(Metadata!I127="",FALSE,TRUE),EXACT(Metadata!I127,"meters"))</f>
        <v>0</v>
      </c>
      <c r="AW127" t="b">
        <f>AND(IF(Metadata!J127="",FALSE,TRUE),EXACT(Metadata!J127,"free-living"))</f>
        <v>0</v>
      </c>
      <c r="AX127" t="b">
        <f>AND(IF(Metadata!K127="",FALSE,TRUE),OR(EXACT(Metadata!K127,"saline"),EXACT(Metadata!K127,"non-saline")))</f>
        <v>0</v>
      </c>
      <c r="AY127" t="b">
        <f>AND(IF(Metadata!L127="",FALSE,TRUE),OR(EXACT(Metadata!L127,"sub-surface (non-saline)"),EXACT(Metadata!L127,"surface (non-saline)"),EXACT(Metadata!L127,"water (non-saline)"),EXACT(Metadata!L127,"soil (non-saline)"),EXACT(Metadata!L127,"aerosol (non-saline)"),EXACT(Metadata!L127,"sediment (non-saline)"),EXACT(Metadata!L127,"surface (saline)"),EXACT(Metadata!L127,"water (saline)"),EXACT(Metadata!L127,"hypersaline (saline)"),EXACT(Metadata!L127,"aerosol (saline)"),EXACT(Metadata!L127,"sediment (saline)")))</f>
        <v>0</v>
      </c>
      <c r="AZ127" t="b">
        <f>IF(Metadata!M127="",FALSE,TRUE)</f>
        <v>0</v>
      </c>
      <c r="BA127" t="b">
        <f>IF(Metadata!N127="",FALSE,TRUE)</f>
        <v>0</v>
      </c>
      <c r="BB127" t="b">
        <f>IF(Metadata!O127="",FALSE,TRUE)</f>
        <v>0</v>
      </c>
      <c r="BC127" t="b">
        <f>AND(IF(Metadata!P127="",FALSE,TRUE),OR(EXACT(Metadata!P127,"air"),EXACT(Metadata!P127,"microbial mat/biofilm"),EXACT(Metadata!P127,"misc environment"),EXACT(Metadata!P127,"sediment"),EXACT(Metadata!P127,"soil"),EXACT(Metadata!P127,"wastewater/sludge"),EXACT(Metadata!P127,"water")))</f>
        <v>0</v>
      </c>
      <c r="BD127" t="b">
        <f>IF(Metadata!Q127="",FALSE,TRUE)</f>
        <v>0</v>
      </c>
      <c r="BE127" t="b">
        <f>IF(Metadata!R127="",FALSE,TRUE)</f>
        <v>0</v>
      </c>
      <c r="BF127" t="b">
        <f>OR(AND(IF(Metadata!S127="",FALSE,TRUE),OR(EXACT(Metadata!S127,"not collected"),EXACT(Metadata!S127,"not provided"),EXACT(Metadata!S127,"restricted access"))),AND(IF(Metadata!S127="",FALSE,ISNUMBER(VALUE(Metadata!S127))),Metadata!S127&gt;=-90,Metadata!S127&lt;=90))</f>
        <v>0</v>
      </c>
      <c r="BG127" t="b">
        <f>AND(IF(Metadata!T127="",FALSE,TRUE),EXACT(Metadata!T127,"Decimal degrees"))</f>
        <v>0</v>
      </c>
      <c r="BH127" t="b">
        <f>OR(AND(IF(Metadata!U127="",FALSE,TRUE),OR(EXACT(Metadata!U127,"not applicable"),EXACT(Metadata!U127,"not collected"))),IF(Metadata!U127="",FALSE,TRUE))</f>
        <v>0</v>
      </c>
      <c r="BI127" t="b">
        <f>OR(AND(IF(Metadata!V127="",FALSE,TRUE),OR(EXACT(Metadata!V127,"not collected"),EXACT(Metadata!V127,"not provided"),EXACT(Metadata!V127,"restricted access"))),AND(IF(Metadata!V127="",FALSE,ISNUMBER(VALUE(Metadata!V127))),Metadata!V127&gt;=-180,Metadata!V127&lt;=180))</f>
        <v>0</v>
      </c>
      <c r="BJ127" t="b">
        <f>AND(IF(Metadata!W127="",FALSE,TRUE),EXACT(Metadata!W127,"Decimal degrees"))</f>
        <v>0</v>
      </c>
      <c r="BK127" t="b">
        <f>IF(Metadata!X127="",FALSE,TRUE)</f>
        <v>0</v>
      </c>
      <c r="BL127" t="b">
        <f>OR(AND(IF(Metadata!Y127="",FALSE,TRUE),OR(EXACT(Metadata!Y127,"not collected"),EXACT(Metadata!Y127,"not provided"),EXACT(Metadata!Y127,"restricted access"))),AND(IF(Metadata!Y127="",FALSE,TRUE),OR(EXACT(Metadata!Y127,"TRUE"),EXACT(Metadata!Y127,"FALSE"))))</f>
        <v>0</v>
      </c>
      <c r="BM127" t="b">
        <f>OR(AND(IF(Metadata!Z127="",FALSE,TRUE),EXACT(Metadata!Z127,"not applicable")),AND(IF(Metadata!Z127="",FALSE,TRUE),OR(EXACT(Metadata!Z127,"beer"),EXACT(Metadata!Z127,"cheese"),EXACT(Metadata!Z127,"fresh water"),EXACT(Metadata!Z127,"marine sediment"),EXACT(Metadata!Z127,"sea water"),EXACT(Metadata!Z127,"sediment"),EXACT(Metadata!Z127,"soil"),EXACT(Metadata!Z127,"waste water"))))</f>
        <v>0</v>
      </c>
      <c r="BN127" t="b">
        <f>AND(IF(Metadata!AA127="",FALSE,TRUE),EXACT(Metadata!AA127,"metagenome"))</f>
        <v>0</v>
      </c>
      <c r="BO127" t="b">
        <f>AND(IF(Metadata!AB127="",FALSE,TRUE),EXACT(Metadata!AB127,"256318"))</f>
        <v>0</v>
      </c>
      <c r="BP127" t="b">
        <f>IF(Metadata!AC127="",FALSE,TRUE)</f>
        <v>0</v>
      </c>
      <c r="BQ127" t="b">
        <f>IF(Metadata!AD127="",FALSE,TRUE)</f>
        <v>0</v>
      </c>
    </row>
    <row r="128" spans="1:69" x14ac:dyDescent="0.2">
      <c r="A128" s="4" t="e">
        <f ca="1">IF(B128=" "," ",HYPERLINK(CONCATENATE("#metadata!",ADDRESS(INDEX($AJ$2:$AJ$1001,MATCH(ROWS($AH$2:AH128),$AH$2:$AH$1001,0),0),2)),INDEX($AM$2:$AM$1001,MATCH(ROWS($AH$2:AH128),$AH$2:$AH$1001,0),0)))</f>
        <v>#N/A</v>
      </c>
      <c r="B128" s="5" t="e">
        <f ca="1">IF(OR(INDEX($AI$2:$AI$1001,MATCH(ROWS($AH$2:AH128),$AH$2:$AH$1001,0),1)&gt;=100000,INDEX($AO$1005:$BQ$1005,1,MATCH(COLUMNS($AO$1006:AO1006),$AO$1006:$BQ$1006,0))&gt;=100000), " ",IF(INDEX($AO$2:$BQ$1001,MATCH(ROWS($AH$2:AH128),$AH$2:$AH$1001,0),MATCH(COLUMNS($AO$1006:AO1006),$AO$1006:$BQ$1006,0)), HYPERLINK("#",""), HYPERLINK(CONCATENATE("#Metadata!", ADDRESS(INDEX($AJ$2:$AJ$1001,MATCH(ROWS($AH$2:AH128),$AH$2:$AH$1001,0),0), INDEX($AO$1004:$BQ$1004,1,MATCH(COLUMNS($AO$1006:AO1006),$AO$1006:$BQ$1006,0)))),"Fix")))</f>
        <v>#N/A</v>
      </c>
      <c r="C128" s="5" t="e">
        <f ca="1">IF(OR(INDEX($AI$2:$AI$1001,MATCH(ROWS($AH$2:AH128),$AH$2:$AH$1001,0),1)&gt;=100000,INDEX($AO$1005:$BQ$1005,1,MATCH(COLUMNS($AO$1006:AP1006),$AO$1006:$BQ$1006,0))&gt;=100000), " ",IF(INDEX($AO$2:$BQ$1001,MATCH(ROWS($AH$2:AH128),$AH$2:$AH$1001,0),MATCH(COLUMNS($AO$1006:AP1006),$AO$1006:$BQ$1006,0)), HYPERLINK("#",""), HYPERLINK(CONCATENATE("#Metadata!", ADDRESS(INDEX($AJ$2:$AJ$1001,MATCH(ROWS($AH$2:AH128),$AH$2:$AH$1001,0),0), INDEX($AO$1004:$BQ$1004,1,MATCH(COLUMNS($AO$1006:AP1006),$AO$1006:$BQ$1006,0)))),"Fix")))</f>
        <v>#N/A</v>
      </c>
      <c r="D128" s="5" t="e">
        <f ca="1">IF(OR(INDEX($AI$2:$AI$1001,MATCH(ROWS($AH$2:AH128),$AH$2:$AH$1001,0),1)&gt;=100000,INDEX($AO$1005:$BQ$1005,1,MATCH(COLUMNS($AO$1006:AQ1006),$AO$1006:$BQ$1006,0))&gt;=100000), " ",IF(INDEX($AO$2:$BQ$1001,MATCH(ROWS($AH$2:AH128),$AH$2:$AH$1001,0),MATCH(COLUMNS($AO$1006:AQ1006),$AO$1006:$BQ$1006,0)), HYPERLINK("#",""), HYPERLINK(CONCATENATE("#Metadata!", ADDRESS(INDEX($AJ$2:$AJ$1001,MATCH(ROWS($AH$2:AH128),$AH$2:$AH$1001,0),0), INDEX($AO$1004:$BQ$1004,1,MATCH(COLUMNS($AO$1006:AQ1006),$AO$1006:$BQ$1006,0)))),"Fix")))</f>
        <v>#N/A</v>
      </c>
      <c r="E128" s="5" t="e">
        <f ca="1">IF(OR(INDEX($AI$2:$AI$1001,MATCH(ROWS($AH$2:AH128),$AH$2:$AH$1001,0),1)&gt;=100000,INDEX($AO$1005:$BQ$1005,1,MATCH(COLUMNS($AO$1006:AR1006),$AO$1006:$BQ$1006,0))&gt;=100000), " ",IF(INDEX($AO$2:$BQ$1001,MATCH(ROWS($AH$2:AH128),$AH$2:$AH$1001,0),MATCH(COLUMNS($AO$1006:AR1006),$AO$1006:$BQ$1006,0)), HYPERLINK("#",""), HYPERLINK(CONCATENATE("#Metadata!", ADDRESS(INDEX($AJ$2:$AJ$1001,MATCH(ROWS($AH$2:AH128),$AH$2:$AH$1001,0),0), INDEX($AO$1004:$BQ$1004,1,MATCH(COLUMNS($AO$1006:AR1006),$AO$1006:$BQ$1006,0)))),"Fix")))</f>
        <v>#N/A</v>
      </c>
      <c r="F128" s="5" t="e">
        <f ca="1">IF(OR(INDEX($AI$2:$AI$1001,MATCH(ROWS($AH$2:AH128),$AH$2:$AH$1001,0),1)&gt;=100000,INDEX($AO$1005:$BQ$1005,1,MATCH(COLUMNS($AO$1006:AS1006),$AO$1006:$BQ$1006,0))&gt;=100000), " ",IF(INDEX($AO$2:$BQ$1001,MATCH(ROWS($AH$2:AH128),$AH$2:$AH$1001,0),MATCH(COLUMNS($AO$1006:AS1006),$AO$1006:$BQ$1006,0)), HYPERLINK("#",""), HYPERLINK(CONCATENATE("#Metadata!", ADDRESS(INDEX($AJ$2:$AJ$1001,MATCH(ROWS($AH$2:AH128),$AH$2:$AH$1001,0),0), INDEX($AO$1004:$BQ$1004,1,MATCH(COLUMNS($AO$1006:AS1006),$AO$1006:$BQ$1006,0)))),"Fix")))</f>
        <v>#N/A</v>
      </c>
      <c r="G128" s="5" t="e">
        <f ca="1">IF(OR(INDEX($AI$2:$AI$1001,MATCH(ROWS($AH$2:AH128),$AH$2:$AH$1001,0),1)&gt;=100000,INDEX($AO$1005:$BQ$1005,1,MATCH(COLUMNS($AO$1006:AT1006),$AO$1006:$BQ$1006,0))&gt;=100000), " ",IF(INDEX($AO$2:$BQ$1001,MATCH(ROWS($AH$2:AH128),$AH$2:$AH$1001,0),MATCH(COLUMNS($AO$1006:AT1006),$AO$1006:$BQ$1006,0)), HYPERLINK("#",""), HYPERLINK(CONCATENATE("#Metadata!", ADDRESS(INDEX($AJ$2:$AJ$1001,MATCH(ROWS($AH$2:AH128),$AH$2:$AH$1001,0),0), INDEX($AO$1004:$BQ$1004,1,MATCH(COLUMNS($AO$1006:AT1006),$AO$1006:$BQ$1006,0)))),"Fix")))</f>
        <v>#N/A</v>
      </c>
      <c r="H128" s="5" t="e">
        <f ca="1">IF(OR(INDEX($AI$2:$AI$1001,MATCH(ROWS($AH$2:AH128),$AH$2:$AH$1001,0),1)&gt;=100000,INDEX($AO$1005:$BQ$1005,1,MATCH(COLUMNS($AO$1006:AU1006),$AO$1006:$BQ$1006,0))&gt;=100000), " ",IF(INDEX($AO$2:$BQ$1001,MATCH(ROWS($AH$2:AH128),$AH$2:$AH$1001,0),MATCH(COLUMNS($AO$1006:AU1006),$AO$1006:$BQ$1006,0)), HYPERLINK("#",""), HYPERLINK(CONCATENATE("#Metadata!", ADDRESS(INDEX($AJ$2:$AJ$1001,MATCH(ROWS($AH$2:AH128),$AH$2:$AH$1001,0),0), INDEX($AO$1004:$BQ$1004,1,MATCH(COLUMNS($AO$1006:AU1006),$AO$1006:$BQ$1006,0)))),"Fix")))</f>
        <v>#N/A</v>
      </c>
      <c r="I128" s="5" t="e">
        <f ca="1">IF(OR(INDEX($AI$2:$AI$1001,MATCH(ROWS($AH$2:AH128),$AH$2:$AH$1001,0),1)&gt;=100000,INDEX($AO$1005:$BQ$1005,1,MATCH(COLUMNS($AO$1006:AV1006),$AO$1006:$BQ$1006,0))&gt;=100000), " ",IF(INDEX($AO$2:$BQ$1001,MATCH(ROWS($AH$2:AH128),$AH$2:$AH$1001,0),MATCH(COLUMNS($AO$1006:AV1006),$AO$1006:$BQ$1006,0)), HYPERLINK("#",""), HYPERLINK(CONCATENATE("#Metadata!", ADDRESS(INDEX($AJ$2:$AJ$1001,MATCH(ROWS($AH$2:AH128),$AH$2:$AH$1001,0),0), INDEX($AO$1004:$BQ$1004,1,MATCH(COLUMNS($AO$1006:AV1006),$AO$1006:$BQ$1006,0)))),"Fix")))</f>
        <v>#N/A</v>
      </c>
      <c r="J128" s="5" t="e">
        <f ca="1">IF(OR(INDEX($AI$2:$AI$1001,MATCH(ROWS($AH$2:AH128),$AH$2:$AH$1001,0),1)&gt;=100000,INDEX($AO$1005:$BQ$1005,1,MATCH(COLUMNS($AO$1006:AW1006),$AO$1006:$BQ$1006,0))&gt;=100000), " ",IF(INDEX($AO$2:$BQ$1001,MATCH(ROWS($AH$2:AH128),$AH$2:$AH$1001,0),MATCH(COLUMNS($AO$1006:AW1006),$AO$1006:$BQ$1006,0)), HYPERLINK("#",""), HYPERLINK(CONCATENATE("#Metadata!", ADDRESS(INDEX($AJ$2:$AJ$1001,MATCH(ROWS($AH$2:AH128),$AH$2:$AH$1001,0),0), INDEX($AO$1004:$BQ$1004,1,MATCH(COLUMNS($AO$1006:AW1006),$AO$1006:$BQ$1006,0)))),"Fix")))</f>
        <v>#N/A</v>
      </c>
      <c r="K128" s="5" t="e">
        <f ca="1">IF(OR(INDEX($AI$2:$AI$1001,MATCH(ROWS($AH$2:AH128),$AH$2:$AH$1001,0),1)&gt;=100000,INDEX($AO$1005:$BQ$1005,1,MATCH(COLUMNS($AO$1006:AX1006),$AO$1006:$BQ$1006,0))&gt;=100000), " ",IF(INDEX($AO$2:$BQ$1001,MATCH(ROWS($AH$2:AH128),$AH$2:$AH$1001,0),MATCH(COLUMNS($AO$1006:AX1006),$AO$1006:$BQ$1006,0)), HYPERLINK("#",""), HYPERLINK(CONCATENATE("#Metadata!", ADDRESS(INDEX($AJ$2:$AJ$1001,MATCH(ROWS($AH$2:AH128),$AH$2:$AH$1001,0),0), INDEX($AO$1004:$BQ$1004,1,MATCH(COLUMNS($AO$1006:AX1006),$AO$1006:$BQ$1006,0)))),"Fix")))</f>
        <v>#N/A</v>
      </c>
      <c r="L128" s="5" t="e">
        <f ca="1">IF(OR(INDEX($AI$2:$AI$1001,MATCH(ROWS($AH$2:AH128),$AH$2:$AH$1001,0),1)&gt;=100000,INDEX($AO$1005:$BQ$1005,1,MATCH(COLUMNS($AO$1006:AY1006),$AO$1006:$BQ$1006,0))&gt;=100000), " ",IF(INDEX($AO$2:$BQ$1001,MATCH(ROWS($AH$2:AH128),$AH$2:$AH$1001,0),MATCH(COLUMNS($AO$1006:AY1006),$AO$1006:$BQ$1006,0)), HYPERLINK("#",""), HYPERLINK(CONCATENATE("#Metadata!", ADDRESS(INDEX($AJ$2:$AJ$1001,MATCH(ROWS($AH$2:AH128),$AH$2:$AH$1001,0),0), INDEX($AO$1004:$BQ$1004,1,MATCH(COLUMNS($AO$1006:AY1006),$AO$1006:$BQ$1006,0)))),"Fix")))</f>
        <v>#N/A</v>
      </c>
      <c r="M128" s="5" t="e">
        <f ca="1">IF(OR(INDEX($AI$2:$AI$1001,MATCH(ROWS($AH$2:AH128),$AH$2:$AH$1001,0),1)&gt;=100000,INDEX($AO$1005:$BQ$1005,1,MATCH(COLUMNS($AO$1006:AZ1006),$AO$1006:$BQ$1006,0))&gt;=100000), " ",IF(INDEX($AO$2:$BQ$1001,MATCH(ROWS($AH$2:AH128),$AH$2:$AH$1001,0),MATCH(COLUMNS($AO$1006:AZ1006),$AO$1006:$BQ$1006,0)), HYPERLINK("#",""), HYPERLINK(CONCATENATE("#Metadata!", ADDRESS(INDEX($AJ$2:$AJ$1001,MATCH(ROWS($AH$2:AH128),$AH$2:$AH$1001,0),0), INDEX($AO$1004:$BQ$1004,1,MATCH(COLUMNS($AO$1006:AZ1006),$AO$1006:$BQ$1006,0)))),"Fix")))</f>
        <v>#N/A</v>
      </c>
      <c r="N128" s="5" t="e">
        <f ca="1">IF(OR(INDEX($AI$2:$AI$1001,MATCH(ROWS($AH$2:AH128),$AH$2:$AH$1001,0),1)&gt;=100000,INDEX($AO$1005:$BQ$1005,1,MATCH(COLUMNS($AO$1006:BA1006),$AO$1006:$BQ$1006,0))&gt;=100000), " ",IF(INDEX($AO$2:$BQ$1001,MATCH(ROWS($AH$2:AH128),$AH$2:$AH$1001,0),MATCH(COLUMNS($AO$1006:BA1006),$AO$1006:$BQ$1006,0)), HYPERLINK("#",""), HYPERLINK(CONCATENATE("#Metadata!", ADDRESS(INDEX($AJ$2:$AJ$1001,MATCH(ROWS($AH$2:AH128),$AH$2:$AH$1001,0),0), INDEX($AO$1004:$BQ$1004,1,MATCH(COLUMNS($AO$1006:BA1006),$AO$1006:$BQ$1006,0)))),"Fix")))</f>
        <v>#N/A</v>
      </c>
      <c r="O128" s="5" t="e">
        <f ca="1">IF(OR(INDEX($AI$2:$AI$1001,MATCH(ROWS($AH$2:AH128),$AH$2:$AH$1001,0),1)&gt;=100000,INDEX($AO$1005:$BQ$1005,1,MATCH(COLUMNS($AO$1006:BB1006),$AO$1006:$BQ$1006,0))&gt;=100000), " ",IF(INDEX($AO$2:$BQ$1001,MATCH(ROWS($AH$2:AH128),$AH$2:$AH$1001,0),MATCH(COLUMNS($AO$1006:BB1006),$AO$1006:$BQ$1006,0)), HYPERLINK("#",""), HYPERLINK(CONCATENATE("#Metadata!", ADDRESS(INDEX($AJ$2:$AJ$1001,MATCH(ROWS($AH$2:AH128),$AH$2:$AH$1001,0),0), INDEX($AO$1004:$BQ$1004,1,MATCH(COLUMNS($AO$1006:BB1006),$AO$1006:$BQ$1006,0)))),"Fix")))</f>
        <v>#N/A</v>
      </c>
      <c r="P128" s="5" t="e">
        <f ca="1">IF(OR(INDEX($AI$2:$AI$1001,MATCH(ROWS($AH$2:AH128),$AH$2:$AH$1001,0),1)&gt;=100000,INDEX($AO$1005:$BQ$1005,1,MATCH(COLUMNS($AO$1006:BC1006),$AO$1006:$BQ$1006,0))&gt;=100000), " ",IF(INDEX($AO$2:$BQ$1001,MATCH(ROWS($AH$2:AH128),$AH$2:$AH$1001,0),MATCH(COLUMNS($AO$1006:BC1006),$AO$1006:$BQ$1006,0)), HYPERLINK("#",""), HYPERLINK(CONCATENATE("#Metadata!", ADDRESS(INDEX($AJ$2:$AJ$1001,MATCH(ROWS($AH$2:AH128),$AH$2:$AH$1001,0),0), INDEX($AO$1004:$BQ$1004,1,MATCH(COLUMNS($AO$1006:BC1006),$AO$1006:$BQ$1006,0)))),"Fix")))</f>
        <v>#N/A</v>
      </c>
      <c r="Q128" s="5" t="e">
        <f ca="1">IF(OR(INDEX($AI$2:$AI$1001,MATCH(ROWS($AH$2:AH128),$AH$2:$AH$1001,0),1)&gt;=100000,INDEX($AO$1005:$BQ$1005,1,MATCH(COLUMNS($AO$1006:BD1006),$AO$1006:$BQ$1006,0))&gt;=100000), " ",IF(INDEX($AO$2:$BQ$1001,MATCH(ROWS($AH$2:AH128),$AH$2:$AH$1001,0),MATCH(COLUMNS($AO$1006:BD1006),$AO$1006:$BQ$1006,0)), HYPERLINK("#",""), HYPERLINK(CONCATENATE("#Metadata!", ADDRESS(INDEX($AJ$2:$AJ$1001,MATCH(ROWS($AH$2:AH128),$AH$2:$AH$1001,0),0), INDEX($AO$1004:$BQ$1004,1,MATCH(COLUMNS($AO$1006:BD1006),$AO$1006:$BQ$1006,0)))),"Fix")))</f>
        <v>#N/A</v>
      </c>
      <c r="R128" s="5" t="e">
        <f ca="1">IF(OR(INDEX($AI$2:$AI$1001,MATCH(ROWS($AH$2:AH128),$AH$2:$AH$1001,0),1)&gt;=100000,INDEX($AO$1005:$BQ$1005,1,MATCH(COLUMNS($AO$1006:BE1006),$AO$1006:$BQ$1006,0))&gt;=100000), " ",IF(INDEX($AO$2:$BQ$1001,MATCH(ROWS($AH$2:AH128),$AH$2:$AH$1001,0),MATCH(COLUMNS($AO$1006:BE1006),$AO$1006:$BQ$1006,0)), HYPERLINK("#",""), HYPERLINK(CONCATENATE("#Metadata!", ADDRESS(INDEX($AJ$2:$AJ$1001,MATCH(ROWS($AH$2:AH128),$AH$2:$AH$1001,0),0), INDEX($AO$1004:$BQ$1004,1,MATCH(COLUMNS($AO$1006:BE1006),$AO$1006:$BQ$1006,0)))),"Fix")))</f>
        <v>#N/A</v>
      </c>
      <c r="S128" s="5" t="e">
        <f ca="1">IF(OR(INDEX($AI$2:$AI$1001,MATCH(ROWS($AH$2:AH128),$AH$2:$AH$1001,0),1)&gt;=100000,INDEX($AO$1005:$BQ$1005,1,MATCH(COLUMNS($AO$1006:BF1006),$AO$1006:$BQ$1006,0))&gt;=100000), " ",IF(INDEX($AO$2:$BQ$1001,MATCH(ROWS($AH$2:AH128),$AH$2:$AH$1001,0),MATCH(COLUMNS($AO$1006:BF1006),$AO$1006:$BQ$1006,0)), HYPERLINK("#",""), HYPERLINK(CONCATENATE("#Metadata!", ADDRESS(INDEX($AJ$2:$AJ$1001,MATCH(ROWS($AH$2:AH128),$AH$2:$AH$1001,0),0), INDEX($AO$1004:$BQ$1004,1,MATCH(COLUMNS($AO$1006:BF1006),$AO$1006:$BQ$1006,0)))),"Fix")))</f>
        <v>#N/A</v>
      </c>
      <c r="T128" s="5" t="e">
        <f ca="1">IF(OR(INDEX($AI$2:$AI$1001,MATCH(ROWS($AH$2:AH128),$AH$2:$AH$1001,0),1)&gt;=100000,INDEX($AO$1005:$BQ$1005,1,MATCH(COLUMNS($AO$1006:BG1006),$AO$1006:$BQ$1006,0))&gt;=100000), " ",IF(INDEX($AO$2:$BQ$1001,MATCH(ROWS($AH$2:AH128),$AH$2:$AH$1001,0),MATCH(COLUMNS($AO$1006:BG1006),$AO$1006:$BQ$1006,0)), HYPERLINK("#",""), HYPERLINK(CONCATENATE("#Metadata!", ADDRESS(INDEX($AJ$2:$AJ$1001,MATCH(ROWS($AH$2:AH128),$AH$2:$AH$1001,0),0), INDEX($AO$1004:$BQ$1004,1,MATCH(COLUMNS($AO$1006:BG1006),$AO$1006:$BQ$1006,0)))),"Fix")))</f>
        <v>#N/A</v>
      </c>
      <c r="U128" s="5" t="e">
        <f ca="1">IF(OR(INDEX($AI$2:$AI$1001,MATCH(ROWS($AH$2:AH128),$AH$2:$AH$1001,0),1)&gt;=100000,INDEX($AO$1005:$BQ$1005,1,MATCH(COLUMNS($AO$1006:BH1006),$AO$1006:$BQ$1006,0))&gt;=100000), " ",IF(INDEX($AO$2:$BQ$1001,MATCH(ROWS($AH$2:AH128),$AH$2:$AH$1001,0),MATCH(COLUMNS($AO$1006:BH1006),$AO$1006:$BQ$1006,0)), HYPERLINK("#",""), HYPERLINK(CONCATENATE("#Metadata!", ADDRESS(INDEX($AJ$2:$AJ$1001,MATCH(ROWS($AH$2:AH128),$AH$2:$AH$1001,0),0), INDEX($AO$1004:$BQ$1004,1,MATCH(COLUMNS($AO$1006:BH1006),$AO$1006:$BQ$1006,0)))),"Fix")))</f>
        <v>#N/A</v>
      </c>
      <c r="V128" s="5" t="e">
        <f ca="1">IF(OR(INDEX($AI$2:$AI$1001,MATCH(ROWS($AH$2:AH128),$AH$2:$AH$1001,0),1)&gt;=100000,INDEX($AO$1005:$BQ$1005,1,MATCH(COLUMNS($AO$1006:BI1006),$AO$1006:$BQ$1006,0))&gt;=100000), " ",IF(INDEX($AO$2:$BQ$1001,MATCH(ROWS($AH$2:AH128),$AH$2:$AH$1001,0),MATCH(COLUMNS($AO$1006:BI1006),$AO$1006:$BQ$1006,0)), HYPERLINK("#",""), HYPERLINK(CONCATENATE("#Metadata!", ADDRESS(INDEX($AJ$2:$AJ$1001,MATCH(ROWS($AH$2:AH128),$AH$2:$AH$1001,0),0), INDEX($AO$1004:$BQ$1004,1,MATCH(COLUMNS($AO$1006:BI1006),$AO$1006:$BQ$1006,0)))),"Fix")))</f>
        <v>#N/A</v>
      </c>
      <c r="W128" s="5" t="e">
        <f ca="1">IF(OR(INDEX($AI$2:$AI$1001,MATCH(ROWS($AH$2:AH128),$AH$2:$AH$1001,0),1)&gt;=100000,INDEX($AO$1005:$BQ$1005,1,MATCH(COLUMNS($AO$1006:BJ1006),$AO$1006:$BQ$1006,0))&gt;=100000), " ",IF(INDEX($AO$2:$BQ$1001,MATCH(ROWS($AH$2:AH128),$AH$2:$AH$1001,0),MATCH(COLUMNS($AO$1006:BJ1006),$AO$1006:$BQ$1006,0)), HYPERLINK("#",""), HYPERLINK(CONCATENATE("#Metadata!", ADDRESS(INDEX($AJ$2:$AJ$1001,MATCH(ROWS($AH$2:AH128),$AH$2:$AH$1001,0),0), INDEX($AO$1004:$BQ$1004,1,MATCH(COLUMNS($AO$1006:BJ1006),$AO$1006:$BQ$1006,0)))),"Fix")))</f>
        <v>#N/A</v>
      </c>
      <c r="X128" s="5" t="e">
        <f ca="1">IF(OR(INDEX($AI$2:$AI$1001,MATCH(ROWS($AH$2:AH128),$AH$2:$AH$1001,0),1)&gt;=100000,INDEX($AO$1005:$BQ$1005,1,MATCH(COLUMNS($AO$1006:BK1006),$AO$1006:$BQ$1006,0))&gt;=100000), " ",IF(INDEX($AO$2:$BQ$1001,MATCH(ROWS($AH$2:AH128),$AH$2:$AH$1001,0),MATCH(COLUMNS($AO$1006:BK1006),$AO$1006:$BQ$1006,0)), HYPERLINK("#",""), HYPERLINK(CONCATENATE("#Metadata!", ADDRESS(INDEX($AJ$2:$AJ$1001,MATCH(ROWS($AH$2:AH128),$AH$2:$AH$1001,0),0), INDEX($AO$1004:$BQ$1004,1,MATCH(COLUMNS($AO$1006:BK1006),$AO$1006:$BQ$1006,0)))),"Fix")))</f>
        <v>#N/A</v>
      </c>
      <c r="Y128" s="5" t="e">
        <f ca="1">IF(OR(INDEX($AI$2:$AI$1001,MATCH(ROWS($AH$2:AH128),$AH$2:$AH$1001,0),1)&gt;=100000,INDEX($AO$1005:$BQ$1005,1,MATCH(COLUMNS($AO$1006:BL1006),$AO$1006:$BQ$1006,0))&gt;=100000), " ",IF(INDEX($AO$2:$BQ$1001,MATCH(ROWS($AH$2:AH128),$AH$2:$AH$1001,0),MATCH(COLUMNS($AO$1006:BL1006),$AO$1006:$BQ$1006,0)), HYPERLINK("#",""), HYPERLINK(CONCATENATE("#Metadata!", ADDRESS(INDEX($AJ$2:$AJ$1001,MATCH(ROWS($AH$2:AH128),$AH$2:$AH$1001,0),0), INDEX($AO$1004:$BQ$1004,1,MATCH(COLUMNS($AO$1006:BL1006),$AO$1006:$BQ$1006,0)))),"Fix")))</f>
        <v>#N/A</v>
      </c>
      <c r="Z128" s="5" t="e">
        <f ca="1">IF(OR(INDEX($AI$2:$AI$1001,MATCH(ROWS($AH$2:AH128),$AH$2:$AH$1001,0),1)&gt;=100000,INDEX($AO$1005:$BQ$1005,1,MATCH(COLUMNS($AO$1006:BM1006),$AO$1006:$BQ$1006,0))&gt;=100000), " ",IF(INDEX($AO$2:$BQ$1001,MATCH(ROWS($AH$2:AH128),$AH$2:$AH$1001,0),MATCH(COLUMNS($AO$1006:BM1006),$AO$1006:$BQ$1006,0)), HYPERLINK("#",""), HYPERLINK(CONCATENATE("#Metadata!", ADDRESS(INDEX($AJ$2:$AJ$1001,MATCH(ROWS($AH$2:AH128),$AH$2:$AH$1001,0),0), INDEX($AO$1004:$BQ$1004,1,MATCH(COLUMNS($AO$1006:BM1006),$AO$1006:$BQ$1006,0)))),"Fix")))</f>
        <v>#N/A</v>
      </c>
      <c r="AA128" s="5" t="e">
        <f ca="1">IF(OR(INDEX($AI$2:$AI$1001,MATCH(ROWS($AH$2:AH128),$AH$2:$AH$1001,0),1)&gt;=100000,INDEX($AO$1005:$BQ$1005,1,MATCH(COLUMNS($AO$1006:BN1006),$AO$1006:$BQ$1006,0))&gt;=100000), " ",IF(INDEX($AO$2:$BQ$1001,MATCH(ROWS($AH$2:AH128),$AH$2:$AH$1001,0),MATCH(COLUMNS($AO$1006:BN1006),$AO$1006:$BQ$1006,0)), HYPERLINK("#",""), HYPERLINK(CONCATENATE("#Metadata!", ADDRESS(INDEX($AJ$2:$AJ$1001,MATCH(ROWS($AH$2:AH128),$AH$2:$AH$1001,0),0), INDEX($AO$1004:$BQ$1004,1,MATCH(COLUMNS($AO$1006:BN1006),$AO$1006:$BQ$1006,0)))),"Fix")))</f>
        <v>#N/A</v>
      </c>
      <c r="AB128" s="5" t="e">
        <f ca="1">IF(OR(INDEX($AI$2:$AI$1001,MATCH(ROWS($AH$2:AH128),$AH$2:$AH$1001,0),1)&gt;=100000,INDEX($AO$1005:$BQ$1005,1,MATCH(COLUMNS($AO$1006:BO1006),$AO$1006:$BQ$1006,0))&gt;=100000), " ",IF(INDEX($AO$2:$BQ$1001,MATCH(ROWS($AH$2:AH128),$AH$2:$AH$1001,0),MATCH(COLUMNS($AO$1006:BO1006),$AO$1006:$BQ$1006,0)), HYPERLINK("#",""), HYPERLINK(CONCATENATE("#Metadata!", ADDRESS(INDEX($AJ$2:$AJ$1001,MATCH(ROWS($AH$2:AH128),$AH$2:$AH$1001,0),0), INDEX($AO$1004:$BQ$1004,1,MATCH(COLUMNS($AO$1006:BO1006),$AO$1006:$BQ$1006,0)))),"Fix")))</f>
        <v>#N/A</v>
      </c>
      <c r="AC128" s="5" t="e">
        <f ca="1">IF(OR(INDEX($AI$2:$AI$1001,MATCH(ROWS($AH$2:AH128),$AH$2:$AH$1001,0),1)&gt;=100000,INDEX($AO$1005:$BQ$1005,1,MATCH(COLUMNS($AO$1006:BP1006),$AO$1006:$BQ$1006,0))&gt;=100000), " ",IF(INDEX($AO$2:$BQ$1001,MATCH(ROWS($AH$2:AH128),$AH$2:$AH$1001,0),MATCH(COLUMNS($AO$1006:BP1006),$AO$1006:$BQ$1006,0)), HYPERLINK("#",""), HYPERLINK(CONCATENATE("#Metadata!", ADDRESS(INDEX($AJ$2:$AJ$1001,MATCH(ROWS($AH$2:AH128),$AH$2:$AH$1001,0),0), INDEX($AO$1004:$BQ$1004,1,MATCH(COLUMNS($AO$1006:BP1006),$AO$1006:$BQ$1006,0)))),"Fix")))</f>
        <v>#N/A</v>
      </c>
      <c r="AD128" s="5" t="e">
        <f ca="1">IF(OR(INDEX($AI$2:$AI$1001,MATCH(ROWS($AH$2:AH128),$AH$2:$AH$1001,0),1)&gt;=100000,INDEX($AO$1005:$BQ$1005,1,MATCH(COLUMNS($AO$1006:BQ1006),$AO$1006:$BQ$1006,0))&gt;=100000), " ",IF(INDEX($AO$2:$BQ$1001,MATCH(ROWS($AH$2:AH128),$AH$2:$AH$1001,0),MATCH(COLUMNS($AO$1006:BQ1006),$AO$1006:$BQ$1006,0)), HYPERLINK("#",""), HYPERLINK(CONCATENATE("#Metadata!", ADDRESS(INDEX($AJ$2:$AJ$1001,MATCH(ROWS($AH$2:AH128),$AH$2:$AH$1001,0),0), INDEX($AO$1004:$BQ$1004,1,MATCH(COLUMNS($AO$1006:BQ1006),$AO$1006:$BQ$1006,0)))),"Fix")))</f>
        <v>#REF!</v>
      </c>
      <c r="AH128">
        <f ca="1"/>
        <v>125</v>
      </c>
      <c r="AI128">
        <v>100128</v>
      </c>
      <c r="AJ128">
        <v>128</v>
      </c>
      <c r="AK128" t="b">
        <f t="shared" si="1"/>
        <v>1</v>
      </c>
      <c r="AL128" t="b">
        <f>COUNTBLANK(Metadata!B128:AD128)=COLUMNS(Metadata!B128:AD128)</f>
        <v>1</v>
      </c>
      <c r="AM128" t="str">
        <v/>
      </c>
      <c r="AO128" t="b">
        <f ca="1">AND(IF(Metadata!B128="",FALSE,TRUE),COUNTIF(Metadata!B:B, Metadata!B128) = 1,NOT(ISERROR(SUMPRODUCT(SEARCH(MID(Metadata!B128,ROW(INDIRECT("1:"&amp;LEN(Metadata!B128))), 1),"0123456789abcdefghijklmnopqrstuvwxyzABCDEFGHIJKLMNOPQRSTUVWXYZ.")))))</f>
        <v>0</v>
      </c>
      <c r="AP128" t="b">
        <f>IF(Metadata!C128="",FALSE,TRUE)</f>
        <v>0</v>
      </c>
      <c r="AQ128" t="b">
        <f>IF(Metadata!D128="",FALSE,TRUE)</f>
        <v>0</v>
      </c>
      <c r="AR128" t="b">
        <f ca="1">OR(AND(IF(Metadata!E128="",FALSE,TRUE),OR(EXACT(Metadata!E128,"not collected"),EXACT(Metadata!E128,"not provided"),EXACT(Metadata!E128,"restricted access"))),AND(IF(Metadata!E128="",FALSE,TRUE),AND(AND(IFERROR(INT(LEFT(Metadata!E128,4))&gt;1900,FALSE),IFERROR(INT(LEFT(Metadata!E128,4))&lt;=YEAR(NOW()),FALSE)), OR(MID(Metadata!E128,5,1)="", AND(AND(MID(Metadata!E128,5,1)="-",IFERROR(INT(MID(Metadata!E128,6,1))&gt;=0,FALSE),IFERROR(INT(MID(Metadata!E128,6,1))&lt;=1,FALSE),NOT(MID(Metadata!E128,7,1)=""),IFERROR(INT(MID(Metadata!E128,6,2))&gt;=1,FALSE),IFERROR(INT(MID(Metadata!E128,6,2))&lt;=12,FALSE)), OR(MID(Metadata!E128,8,1)="", AND(AND(MID(Metadata!E128,8,1)="-",IFERROR(INT(MID(Metadata!E128,9,1))&gt;=0,FALSE),IFERROR(INT(MID(Metadata!E128,9,1))&lt;=3,FALSE),NOT(MID(Metadata!E128,10,1)=""),IFERROR(INT(MID(Metadata!E128,9,2))&gt;=1,FALSE),IFERROR(INT(MID(Metadata!E128,9,2))&lt;=31,FALSE)), OR(MID(Metadata!E128,11,1)="", AND(AND(MID(Metadata!E128,11,1)=" ",IFERROR(INT(MID(Metadata!E128,12,1))&gt;=0,FALSE),IFERROR(INT(MID(Metadata!E128,12,1))&lt;=2,FALSE),NOT(MID(Metadata!E128,13,1)=""),IFERROR(INT(MID(Metadata!E128,12,2))&gt;=0,FALSE),IFERROR(INT(MID(Metadata!E128,12,2))&lt;=23,FALSE)), OR(MID(Metadata!E128,14,1)="", AND(AND(MID(Metadata!E128,14,1)=":",IFERROR(INT(MID(Metadata!E128,15,1))&gt;=0,FALSE),IFERROR(INT(MID(Metadata!E128,15,1))&lt;=5,FALSE),NOT(MID(Metadata!E128,16,1)=""),IFERROR(INT(MID(Metadata!E128,15,2))&gt;=0,FALSE),IFERROR(INT(MID(Metadata!E128,15,2))&lt;=59,FALSE)), OR(MID(Metadata!E128,17,1)="", AND(AND(MID(Metadata!E128,17,1)=":",IFERROR(INT(MID(Metadata!E128,18,1))&gt;=0,FALSE),IFERROR(INT(MID(Metadata!E128,18,1))&lt;=5,FALSE),NOT(MID(Metadata!E128,19,1)=""),IFERROR(INT(MID(Metadata!E128,18,2))&gt;=0,FALSE),IFERROR(INT(MID(Metadata!E128,18,2))&lt;=59,FALSE)), LEN(Metadata!E128)&lt;=19)))))))))))))</f>
        <v>0</v>
      </c>
      <c r="AS128" t="b">
        <f>IF(Metadata!F128="",FALSE,TRUE)</f>
        <v>0</v>
      </c>
      <c r="AT128" t="b">
        <f>OR(AND(IF(Metadata!G128="",FALSE,TRUE),OR(EXACT(Metadata!G128,"not collected"),EXACT(Metadata!G128,"not provided"))),AND(IF(Metadata!G128="",FALSE,TRUE),OR(EXACT(Metadata!G128,"TRUE"),EXACT(Metadata!G128,"FALSE"))))</f>
        <v>0</v>
      </c>
      <c r="AU128" t="b">
        <f>OR(AND(IF(Metadata!H128="",FALSE,TRUE),OR(EXACT(Metadata!H128,"not collected"),EXACT(Metadata!H128,"not provided"),EXACT(Metadata!H128,"restricted access"))),AND(IF(Metadata!H128="",FALSE,ISNUMBER(VALUE(Metadata!H128))),Metadata!H128&gt;=-413))</f>
        <v>0</v>
      </c>
      <c r="AV128" t="b">
        <f>AND(IF(Metadata!I128="",FALSE,TRUE),EXACT(Metadata!I128,"meters"))</f>
        <v>0</v>
      </c>
      <c r="AW128" t="b">
        <f>AND(IF(Metadata!J128="",FALSE,TRUE),EXACT(Metadata!J128,"free-living"))</f>
        <v>0</v>
      </c>
      <c r="AX128" t="b">
        <f>AND(IF(Metadata!K128="",FALSE,TRUE),OR(EXACT(Metadata!K128,"saline"),EXACT(Metadata!K128,"non-saline")))</f>
        <v>0</v>
      </c>
      <c r="AY128" t="b">
        <f>AND(IF(Metadata!L128="",FALSE,TRUE),OR(EXACT(Metadata!L128,"sub-surface (non-saline)"),EXACT(Metadata!L128,"surface (non-saline)"),EXACT(Metadata!L128,"water (non-saline)"),EXACT(Metadata!L128,"soil (non-saline)"),EXACT(Metadata!L128,"aerosol (non-saline)"),EXACT(Metadata!L128,"sediment (non-saline)"),EXACT(Metadata!L128,"surface (saline)"),EXACT(Metadata!L128,"water (saline)"),EXACT(Metadata!L128,"hypersaline (saline)"),EXACT(Metadata!L128,"aerosol (saline)"),EXACT(Metadata!L128,"sediment (saline)")))</f>
        <v>0</v>
      </c>
      <c r="AZ128" t="b">
        <f>IF(Metadata!M128="",FALSE,TRUE)</f>
        <v>0</v>
      </c>
      <c r="BA128" t="b">
        <f>IF(Metadata!N128="",FALSE,TRUE)</f>
        <v>0</v>
      </c>
      <c r="BB128" t="b">
        <f>IF(Metadata!O128="",FALSE,TRUE)</f>
        <v>0</v>
      </c>
      <c r="BC128" t="b">
        <f>AND(IF(Metadata!P128="",FALSE,TRUE),OR(EXACT(Metadata!P128,"air"),EXACT(Metadata!P128,"microbial mat/biofilm"),EXACT(Metadata!P128,"misc environment"),EXACT(Metadata!P128,"sediment"),EXACT(Metadata!P128,"soil"),EXACT(Metadata!P128,"wastewater/sludge"),EXACT(Metadata!P128,"water")))</f>
        <v>0</v>
      </c>
      <c r="BD128" t="b">
        <f>IF(Metadata!Q128="",FALSE,TRUE)</f>
        <v>0</v>
      </c>
      <c r="BE128" t="b">
        <f>IF(Metadata!R128="",FALSE,TRUE)</f>
        <v>0</v>
      </c>
      <c r="BF128" t="b">
        <f>OR(AND(IF(Metadata!S128="",FALSE,TRUE),OR(EXACT(Metadata!S128,"not collected"),EXACT(Metadata!S128,"not provided"),EXACT(Metadata!S128,"restricted access"))),AND(IF(Metadata!S128="",FALSE,ISNUMBER(VALUE(Metadata!S128))),Metadata!S128&gt;=-90,Metadata!S128&lt;=90))</f>
        <v>0</v>
      </c>
      <c r="BG128" t="b">
        <f>AND(IF(Metadata!T128="",FALSE,TRUE),EXACT(Metadata!T128,"Decimal degrees"))</f>
        <v>0</v>
      </c>
      <c r="BH128" t="b">
        <f>OR(AND(IF(Metadata!U128="",FALSE,TRUE),OR(EXACT(Metadata!U128,"not applicable"),EXACT(Metadata!U128,"not collected"))),IF(Metadata!U128="",FALSE,TRUE))</f>
        <v>0</v>
      </c>
      <c r="BI128" t="b">
        <f>OR(AND(IF(Metadata!V128="",FALSE,TRUE),OR(EXACT(Metadata!V128,"not collected"),EXACT(Metadata!V128,"not provided"),EXACT(Metadata!V128,"restricted access"))),AND(IF(Metadata!V128="",FALSE,ISNUMBER(VALUE(Metadata!V128))),Metadata!V128&gt;=-180,Metadata!V128&lt;=180))</f>
        <v>0</v>
      </c>
      <c r="BJ128" t="b">
        <f>AND(IF(Metadata!W128="",FALSE,TRUE),EXACT(Metadata!W128,"Decimal degrees"))</f>
        <v>0</v>
      </c>
      <c r="BK128" t="b">
        <f>IF(Metadata!X128="",FALSE,TRUE)</f>
        <v>0</v>
      </c>
      <c r="BL128" t="b">
        <f>OR(AND(IF(Metadata!Y128="",FALSE,TRUE),OR(EXACT(Metadata!Y128,"not collected"),EXACT(Metadata!Y128,"not provided"),EXACT(Metadata!Y128,"restricted access"))),AND(IF(Metadata!Y128="",FALSE,TRUE),OR(EXACT(Metadata!Y128,"TRUE"),EXACT(Metadata!Y128,"FALSE"))))</f>
        <v>0</v>
      </c>
      <c r="BM128" t="b">
        <f>OR(AND(IF(Metadata!Z128="",FALSE,TRUE),EXACT(Metadata!Z128,"not applicable")),AND(IF(Metadata!Z128="",FALSE,TRUE),OR(EXACT(Metadata!Z128,"beer"),EXACT(Metadata!Z128,"cheese"),EXACT(Metadata!Z128,"fresh water"),EXACT(Metadata!Z128,"marine sediment"),EXACT(Metadata!Z128,"sea water"),EXACT(Metadata!Z128,"sediment"),EXACT(Metadata!Z128,"soil"),EXACT(Metadata!Z128,"waste water"))))</f>
        <v>0</v>
      </c>
      <c r="BN128" t="b">
        <f>AND(IF(Metadata!AA128="",FALSE,TRUE),EXACT(Metadata!AA128,"metagenome"))</f>
        <v>0</v>
      </c>
      <c r="BO128" t="b">
        <f>AND(IF(Metadata!AB128="",FALSE,TRUE),EXACT(Metadata!AB128,"256318"))</f>
        <v>0</v>
      </c>
      <c r="BP128" t="b">
        <f>IF(Metadata!AC128="",FALSE,TRUE)</f>
        <v>0</v>
      </c>
      <c r="BQ128" t="b">
        <f>IF(Metadata!AD128="",FALSE,TRUE)</f>
        <v>0</v>
      </c>
    </row>
    <row r="129" spans="1:69" x14ac:dyDescent="0.2">
      <c r="A129" s="4" t="e">
        <f ca="1">IF(B129=" "," ",HYPERLINK(CONCATENATE("#metadata!",ADDRESS(INDEX($AJ$2:$AJ$1001,MATCH(ROWS($AH$2:AH129),$AH$2:$AH$1001,0),0),2)),INDEX($AM$2:$AM$1001,MATCH(ROWS($AH$2:AH129),$AH$2:$AH$1001,0),0)))</f>
        <v>#N/A</v>
      </c>
      <c r="B129" s="5" t="e">
        <f ca="1">IF(OR(INDEX($AI$2:$AI$1001,MATCH(ROWS($AH$2:AH129),$AH$2:$AH$1001,0),1)&gt;=100000,INDEX($AO$1005:$BQ$1005,1,MATCH(COLUMNS($AO$1006:AO1006),$AO$1006:$BQ$1006,0))&gt;=100000), " ",IF(INDEX($AO$2:$BQ$1001,MATCH(ROWS($AH$2:AH129),$AH$2:$AH$1001,0),MATCH(COLUMNS($AO$1006:AO1006),$AO$1006:$BQ$1006,0)), HYPERLINK("#",""), HYPERLINK(CONCATENATE("#Metadata!", ADDRESS(INDEX($AJ$2:$AJ$1001,MATCH(ROWS($AH$2:AH129),$AH$2:$AH$1001,0),0), INDEX($AO$1004:$BQ$1004,1,MATCH(COLUMNS($AO$1006:AO1006),$AO$1006:$BQ$1006,0)))),"Fix")))</f>
        <v>#N/A</v>
      </c>
      <c r="C129" s="5" t="e">
        <f ca="1">IF(OR(INDEX($AI$2:$AI$1001,MATCH(ROWS($AH$2:AH129),$AH$2:$AH$1001,0),1)&gt;=100000,INDEX($AO$1005:$BQ$1005,1,MATCH(COLUMNS($AO$1006:AP1006),$AO$1006:$BQ$1006,0))&gt;=100000), " ",IF(INDEX($AO$2:$BQ$1001,MATCH(ROWS($AH$2:AH129),$AH$2:$AH$1001,0),MATCH(COLUMNS($AO$1006:AP1006),$AO$1006:$BQ$1006,0)), HYPERLINK("#",""), HYPERLINK(CONCATENATE("#Metadata!", ADDRESS(INDEX($AJ$2:$AJ$1001,MATCH(ROWS($AH$2:AH129),$AH$2:$AH$1001,0),0), INDEX($AO$1004:$BQ$1004,1,MATCH(COLUMNS($AO$1006:AP1006),$AO$1006:$BQ$1006,0)))),"Fix")))</f>
        <v>#N/A</v>
      </c>
      <c r="D129" s="5" t="e">
        <f ca="1">IF(OR(INDEX($AI$2:$AI$1001,MATCH(ROWS($AH$2:AH129),$AH$2:$AH$1001,0),1)&gt;=100000,INDEX($AO$1005:$BQ$1005,1,MATCH(COLUMNS($AO$1006:AQ1006),$AO$1006:$BQ$1006,0))&gt;=100000), " ",IF(INDEX($AO$2:$BQ$1001,MATCH(ROWS($AH$2:AH129),$AH$2:$AH$1001,0),MATCH(COLUMNS($AO$1006:AQ1006),$AO$1006:$BQ$1006,0)), HYPERLINK("#",""), HYPERLINK(CONCATENATE("#Metadata!", ADDRESS(INDEX($AJ$2:$AJ$1001,MATCH(ROWS($AH$2:AH129),$AH$2:$AH$1001,0),0), INDEX($AO$1004:$BQ$1004,1,MATCH(COLUMNS($AO$1006:AQ1006),$AO$1006:$BQ$1006,0)))),"Fix")))</f>
        <v>#N/A</v>
      </c>
      <c r="E129" s="5" t="e">
        <f ca="1">IF(OR(INDEX($AI$2:$AI$1001,MATCH(ROWS($AH$2:AH129),$AH$2:$AH$1001,0),1)&gt;=100000,INDEX($AO$1005:$BQ$1005,1,MATCH(COLUMNS($AO$1006:AR1006),$AO$1006:$BQ$1006,0))&gt;=100000), " ",IF(INDEX($AO$2:$BQ$1001,MATCH(ROWS($AH$2:AH129),$AH$2:$AH$1001,0),MATCH(COLUMNS($AO$1006:AR1006),$AO$1006:$BQ$1006,0)), HYPERLINK("#",""), HYPERLINK(CONCATENATE("#Metadata!", ADDRESS(INDEX($AJ$2:$AJ$1001,MATCH(ROWS($AH$2:AH129),$AH$2:$AH$1001,0),0), INDEX($AO$1004:$BQ$1004,1,MATCH(COLUMNS($AO$1006:AR1006),$AO$1006:$BQ$1006,0)))),"Fix")))</f>
        <v>#N/A</v>
      </c>
      <c r="F129" s="5" t="e">
        <f ca="1">IF(OR(INDEX($AI$2:$AI$1001,MATCH(ROWS($AH$2:AH129),$AH$2:$AH$1001,0),1)&gt;=100000,INDEX($AO$1005:$BQ$1005,1,MATCH(COLUMNS($AO$1006:AS1006),$AO$1006:$BQ$1006,0))&gt;=100000), " ",IF(INDEX($AO$2:$BQ$1001,MATCH(ROWS($AH$2:AH129),$AH$2:$AH$1001,0),MATCH(COLUMNS($AO$1006:AS1006),$AO$1006:$BQ$1006,0)), HYPERLINK("#",""), HYPERLINK(CONCATENATE("#Metadata!", ADDRESS(INDEX($AJ$2:$AJ$1001,MATCH(ROWS($AH$2:AH129),$AH$2:$AH$1001,0),0), INDEX($AO$1004:$BQ$1004,1,MATCH(COLUMNS($AO$1006:AS1006),$AO$1006:$BQ$1006,0)))),"Fix")))</f>
        <v>#N/A</v>
      </c>
      <c r="G129" s="5" t="e">
        <f ca="1">IF(OR(INDEX($AI$2:$AI$1001,MATCH(ROWS($AH$2:AH129),$AH$2:$AH$1001,0),1)&gt;=100000,INDEX($AO$1005:$BQ$1005,1,MATCH(COLUMNS($AO$1006:AT1006),$AO$1006:$BQ$1006,0))&gt;=100000), " ",IF(INDEX($AO$2:$BQ$1001,MATCH(ROWS($AH$2:AH129),$AH$2:$AH$1001,0),MATCH(COLUMNS($AO$1006:AT1006),$AO$1006:$BQ$1006,0)), HYPERLINK("#",""), HYPERLINK(CONCATENATE("#Metadata!", ADDRESS(INDEX($AJ$2:$AJ$1001,MATCH(ROWS($AH$2:AH129),$AH$2:$AH$1001,0),0), INDEX($AO$1004:$BQ$1004,1,MATCH(COLUMNS($AO$1006:AT1006),$AO$1006:$BQ$1006,0)))),"Fix")))</f>
        <v>#N/A</v>
      </c>
      <c r="H129" s="5" t="e">
        <f ca="1">IF(OR(INDEX($AI$2:$AI$1001,MATCH(ROWS($AH$2:AH129),$AH$2:$AH$1001,0),1)&gt;=100000,INDEX($AO$1005:$BQ$1005,1,MATCH(COLUMNS($AO$1006:AU1006),$AO$1006:$BQ$1006,0))&gt;=100000), " ",IF(INDEX($AO$2:$BQ$1001,MATCH(ROWS($AH$2:AH129),$AH$2:$AH$1001,0),MATCH(COLUMNS($AO$1006:AU1006),$AO$1006:$BQ$1006,0)), HYPERLINK("#",""), HYPERLINK(CONCATENATE("#Metadata!", ADDRESS(INDEX($AJ$2:$AJ$1001,MATCH(ROWS($AH$2:AH129),$AH$2:$AH$1001,0),0), INDEX($AO$1004:$BQ$1004,1,MATCH(COLUMNS($AO$1006:AU1006),$AO$1006:$BQ$1006,0)))),"Fix")))</f>
        <v>#N/A</v>
      </c>
      <c r="I129" s="5" t="e">
        <f ca="1">IF(OR(INDEX($AI$2:$AI$1001,MATCH(ROWS($AH$2:AH129),$AH$2:$AH$1001,0),1)&gt;=100000,INDEX($AO$1005:$BQ$1005,1,MATCH(COLUMNS($AO$1006:AV1006),$AO$1006:$BQ$1006,0))&gt;=100000), " ",IF(INDEX($AO$2:$BQ$1001,MATCH(ROWS($AH$2:AH129),$AH$2:$AH$1001,0),MATCH(COLUMNS($AO$1006:AV1006),$AO$1006:$BQ$1006,0)), HYPERLINK("#",""), HYPERLINK(CONCATENATE("#Metadata!", ADDRESS(INDEX($AJ$2:$AJ$1001,MATCH(ROWS($AH$2:AH129),$AH$2:$AH$1001,0),0), INDEX($AO$1004:$BQ$1004,1,MATCH(COLUMNS($AO$1006:AV1006),$AO$1006:$BQ$1006,0)))),"Fix")))</f>
        <v>#N/A</v>
      </c>
      <c r="J129" s="5" t="e">
        <f ca="1">IF(OR(INDEX($AI$2:$AI$1001,MATCH(ROWS($AH$2:AH129),$AH$2:$AH$1001,0),1)&gt;=100000,INDEX($AO$1005:$BQ$1005,1,MATCH(COLUMNS($AO$1006:AW1006),$AO$1006:$BQ$1006,0))&gt;=100000), " ",IF(INDEX($AO$2:$BQ$1001,MATCH(ROWS($AH$2:AH129),$AH$2:$AH$1001,0),MATCH(COLUMNS($AO$1006:AW1006),$AO$1006:$BQ$1006,0)), HYPERLINK("#",""), HYPERLINK(CONCATENATE("#Metadata!", ADDRESS(INDEX($AJ$2:$AJ$1001,MATCH(ROWS($AH$2:AH129),$AH$2:$AH$1001,0),0), INDEX($AO$1004:$BQ$1004,1,MATCH(COLUMNS($AO$1006:AW1006),$AO$1006:$BQ$1006,0)))),"Fix")))</f>
        <v>#N/A</v>
      </c>
      <c r="K129" s="5" t="e">
        <f ca="1">IF(OR(INDEX($AI$2:$AI$1001,MATCH(ROWS($AH$2:AH129),$AH$2:$AH$1001,0),1)&gt;=100000,INDEX($AO$1005:$BQ$1005,1,MATCH(COLUMNS($AO$1006:AX1006),$AO$1006:$BQ$1006,0))&gt;=100000), " ",IF(INDEX($AO$2:$BQ$1001,MATCH(ROWS($AH$2:AH129),$AH$2:$AH$1001,0),MATCH(COLUMNS($AO$1006:AX1006),$AO$1006:$BQ$1006,0)), HYPERLINK("#",""), HYPERLINK(CONCATENATE("#Metadata!", ADDRESS(INDEX($AJ$2:$AJ$1001,MATCH(ROWS($AH$2:AH129),$AH$2:$AH$1001,0),0), INDEX($AO$1004:$BQ$1004,1,MATCH(COLUMNS($AO$1006:AX1006),$AO$1006:$BQ$1006,0)))),"Fix")))</f>
        <v>#N/A</v>
      </c>
      <c r="L129" s="5" t="e">
        <f ca="1">IF(OR(INDEX($AI$2:$AI$1001,MATCH(ROWS($AH$2:AH129),$AH$2:$AH$1001,0),1)&gt;=100000,INDEX($AO$1005:$BQ$1005,1,MATCH(COLUMNS($AO$1006:AY1006),$AO$1006:$BQ$1006,0))&gt;=100000), " ",IF(INDEX($AO$2:$BQ$1001,MATCH(ROWS($AH$2:AH129),$AH$2:$AH$1001,0),MATCH(COLUMNS($AO$1006:AY1006),$AO$1006:$BQ$1006,0)), HYPERLINK("#",""), HYPERLINK(CONCATENATE("#Metadata!", ADDRESS(INDEX($AJ$2:$AJ$1001,MATCH(ROWS($AH$2:AH129),$AH$2:$AH$1001,0),0), INDEX($AO$1004:$BQ$1004,1,MATCH(COLUMNS($AO$1006:AY1006),$AO$1006:$BQ$1006,0)))),"Fix")))</f>
        <v>#N/A</v>
      </c>
      <c r="M129" s="5" t="e">
        <f ca="1">IF(OR(INDEX($AI$2:$AI$1001,MATCH(ROWS($AH$2:AH129),$AH$2:$AH$1001,0),1)&gt;=100000,INDEX($AO$1005:$BQ$1005,1,MATCH(COLUMNS($AO$1006:AZ1006),$AO$1006:$BQ$1006,0))&gt;=100000), " ",IF(INDEX($AO$2:$BQ$1001,MATCH(ROWS($AH$2:AH129),$AH$2:$AH$1001,0),MATCH(COLUMNS($AO$1006:AZ1006),$AO$1006:$BQ$1006,0)), HYPERLINK("#",""), HYPERLINK(CONCATENATE("#Metadata!", ADDRESS(INDEX($AJ$2:$AJ$1001,MATCH(ROWS($AH$2:AH129),$AH$2:$AH$1001,0),0), INDEX($AO$1004:$BQ$1004,1,MATCH(COLUMNS($AO$1006:AZ1006),$AO$1006:$BQ$1006,0)))),"Fix")))</f>
        <v>#N/A</v>
      </c>
      <c r="N129" s="5" t="e">
        <f ca="1">IF(OR(INDEX($AI$2:$AI$1001,MATCH(ROWS($AH$2:AH129),$AH$2:$AH$1001,0),1)&gt;=100000,INDEX($AO$1005:$BQ$1005,1,MATCH(COLUMNS($AO$1006:BA1006),$AO$1006:$BQ$1006,0))&gt;=100000), " ",IF(INDEX($AO$2:$BQ$1001,MATCH(ROWS($AH$2:AH129),$AH$2:$AH$1001,0),MATCH(COLUMNS($AO$1006:BA1006),$AO$1006:$BQ$1006,0)), HYPERLINK("#",""), HYPERLINK(CONCATENATE("#Metadata!", ADDRESS(INDEX($AJ$2:$AJ$1001,MATCH(ROWS($AH$2:AH129),$AH$2:$AH$1001,0),0), INDEX($AO$1004:$BQ$1004,1,MATCH(COLUMNS($AO$1006:BA1006),$AO$1006:$BQ$1006,0)))),"Fix")))</f>
        <v>#N/A</v>
      </c>
      <c r="O129" s="5" t="e">
        <f ca="1">IF(OR(INDEX($AI$2:$AI$1001,MATCH(ROWS($AH$2:AH129),$AH$2:$AH$1001,0),1)&gt;=100000,INDEX($AO$1005:$BQ$1005,1,MATCH(COLUMNS($AO$1006:BB1006),$AO$1006:$BQ$1006,0))&gt;=100000), " ",IF(INDEX($AO$2:$BQ$1001,MATCH(ROWS($AH$2:AH129),$AH$2:$AH$1001,0),MATCH(COLUMNS($AO$1006:BB1006),$AO$1006:$BQ$1006,0)), HYPERLINK("#",""), HYPERLINK(CONCATENATE("#Metadata!", ADDRESS(INDEX($AJ$2:$AJ$1001,MATCH(ROWS($AH$2:AH129),$AH$2:$AH$1001,0),0), INDEX($AO$1004:$BQ$1004,1,MATCH(COLUMNS($AO$1006:BB1006),$AO$1006:$BQ$1006,0)))),"Fix")))</f>
        <v>#N/A</v>
      </c>
      <c r="P129" s="5" t="e">
        <f ca="1">IF(OR(INDEX($AI$2:$AI$1001,MATCH(ROWS($AH$2:AH129),$AH$2:$AH$1001,0),1)&gt;=100000,INDEX($AO$1005:$BQ$1005,1,MATCH(COLUMNS($AO$1006:BC1006),$AO$1006:$BQ$1006,0))&gt;=100000), " ",IF(INDEX($AO$2:$BQ$1001,MATCH(ROWS($AH$2:AH129),$AH$2:$AH$1001,0),MATCH(COLUMNS($AO$1006:BC1006),$AO$1006:$BQ$1006,0)), HYPERLINK("#",""), HYPERLINK(CONCATENATE("#Metadata!", ADDRESS(INDEX($AJ$2:$AJ$1001,MATCH(ROWS($AH$2:AH129),$AH$2:$AH$1001,0),0), INDEX($AO$1004:$BQ$1004,1,MATCH(COLUMNS($AO$1006:BC1006),$AO$1006:$BQ$1006,0)))),"Fix")))</f>
        <v>#N/A</v>
      </c>
      <c r="Q129" s="5" t="e">
        <f ca="1">IF(OR(INDEX($AI$2:$AI$1001,MATCH(ROWS($AH$2:AH129),$AH$2:$AH$1001,0),1)&gt;=100000,INDEX($AO$1005:$BQ$1005,1,MATCH(COLUMNS($AO$1006:BD1006),$AO$1006:$BQ$1006,0))&gt;=100000), " ",IF(INDEX($AO$2:$BQ$1001,MATCH(ROWS($AH$2:AH129),$AH$2:$AH$1001,0),MATCH(COLUMNS($AO$1006:BD1006),$AO$1006:$BQ$1006,0)), HYPERLINK("#",""), HYPERLINK(CONCATENATE("#Metadata!", ADDRESS(INDEX($AJ$2:$AJ$1001,MATCH(ROWS($AH$2:AH129),$AH$2:$AH$1001,0),0), INDEX($AO$1004:$BQ$1004,1,MATCH(COLUMNS($AO$1006:BD1006),$AO$1006:$BQ$1006,0)))),"Fix")))</f>
        <v>#N/A</v>
      </c>
      <c r="R129" s="5" t="e">
        <f ca="1">IF(OR(INDEX($AI$2:$AI$1001,MATCH(ROWS($AH$2:AH129),$AH$2:$AH$1001,0),1)&gt;=100000,INDEX($AO$1005:$BQ$1005,1,MATCH(COLUMNS($AO$1006:BE1006),$AO$1006:$BQ$1006,0))&gt;=100000), " ",IF(INDEX($AO$2:$BQ$1001,MATCH(ROWS($AH$2:AH129),$AH$2:$AH$1001,0),MATCH(COLUMNS($AO$1006:BE1006),$AO$1006:$BQ$1006,0)), HYPERLINK("#",""), HYPERLINK(CONCATENATE("#Metadata!", ADDRESS(INDEX($AJ$2:$AJ$1001,MATCH(ROWS($AH$2:AH129),$AH$2:$AH$1001,0),0), INDEX($AO$1004:$BQ$1004,1,MATCH(COLUMNS($AO$1006:BE1006),$AO$1006:$BQ$1006,0)))),"Fix")))</f>
        <v>#N/A</v>
      </c>
      <c r="S129" s="5" t="e">
        <f ca="1">IF(OR(INDEX($AI$2:$AI$1001,MATCH(ROWS($AH$2:AH129),$AH$2:$AH$1001,0),1)&gt;=100000,INDEX($AO$1005:$BQ$1005,1,MATCH(COLUMNS($AO$1006:BF1006),$AO$1006:$BQ$1006,0))&gt;=100000), " ",IF(INDEX($AO$2:$BQ$1001,MATCH(ROWS($AH$2:AH129),$AH$2:$AH$1001,0),MATCH(COLUMNS($AO$1006:BF1006),$AO$1006:$BQ$1006,0)), HYPERLINK("#",""), HYPERLINK(CONCATENATE("#Metadata!", ADDRESS(INDEX($AJ$2:$AJ$1001,MATCH(ROWS($AH$2:AH129),$AH$2:$AH$1001,0),0), INDEX($AO$1004:$BQ$1004,1,MATCH(COLUMNS($AO$1006:BF1006),$AO$1006:$BQ$1006,0)))),"Fix")))</f>
        <v>#N/A</v>
      </c>
      <c r="T129" s="5" t="e">
        <f ca="1">IF(OR(INDEX($AI$2:$AI$1001,MATCH(ROWS($AH$2:AH129),$AH$2:$AH$1001,0),1)&gt;=100000,INDEX($AO$1005:$BQ$1005,1,MATCH(COLUMNS($AO$1006:BG1006),$AO$1006:$BQ$1006,0))&gt;=100000), " ",IF(INDEX($AO$2:$BQ$1001,MATCH(ROWS($AH$2:AH129),$AH$2:$AH$1001,0),MATCH(COLUMNS($AO$1006:BG1006),$AO$1006:$BQ$1006,0)), HYPERLINK("#",""), HYPERLINK(CONCATENATE("#Metadata!", ADDRESS(INDEX($AJ$2:$AJ$1001,MATCH(ROWS($AH$2:AH129),$AH$2:$AH$1001,0),0), INDEX($AO$1004:$BQ$1004,1,MATCH(COLUMNS($AO$1006:BG1006),$AO$1006:$BQ$1006,0)))),"Fix")))</f>
        <v>#N/A</v>
      </c>
      <c r="U129" s="5" t="e">
        <f ca="1">IF(OR(INDEX($AI$2:$AI$1001,MATCH(ROWS($AH$2:AH129),$AH$2:$AH$1001,0),1)&gt;=100000,INDEX($AO$1005:$BQ$1005,1,MATCH(COLUMNS($AO$1006:BH1006),$AO$1006:$BQ$1006,0))&gt;=100000), " ",IF(INDEX($AO$2:$BQ$1001,MATCH(ROWS($AH$2:AH129),$AH$2:$AH$1001,0),MATCH(COLUMNS($AO$1006:BH1006),$AO$1006:$BQ$1006,0)), HYPERLINK("#",""), HYPERLINK(CONCATENATE("#Metadata!", ADDRESS(INDEX($AJ$2:$AJ$1001,MATCH(ROWS($AH$2:AH129),$AH$2:$AH$1001,0),0), INDEX($AO$1004:$BQ$1004,1,MATCH(COLUMNS($AO$1006:BH1006),$AO$1006:$BQ$1006,0)))),"Fix")))</f>
        <v>#N/A</v>
      </c>
      <c r="V129" s="5" t="e">
        <f ca="1">IF(OR(INDEX($AI$2:$AI$1001,MATCH(ROWS($AH$2:AH129),$AH$2:$AH$1001,0),1)&gt;=100000,INDEX($AO$1005:$BQ$1005,1,MATCH(COLUMNS($AO$1006:BI1006),$AO$1006:$BQ$1006,0))&gt;=100000), " ",IF(INDEX($AO$2:$BQ$1001,MATCH(ROWS($AH$2:AH129),$AH$2:$AH$1001,0),MATCH(COLUMNS($AO$1006:BI1006),$AO$1006:$BQ$1006,0)), HYPERLINK("#",""), HYPERLINK(CONCATENATE("#Metadata!", ADDRESS(INDEX($AJ$2:$AJ$1001,MATCH(ROWS($AH$2:AH129),$AH$2:$AH$1001,0),0), INDEX($AO$1004:$BQ$1004,1,MATCH(COLUMNS($AO$1006:BI1006),$AO$1006:$BQ$1006,0)))),"Fix")))</f>
        <v>#N/A</v>
      </c>
      <c r="W129" s="5" t="e">
        <f ca="1">IF(OR(INDEX($AI$2:$AI$1001,MATCH(ROWS($AH$2:AH129),$AH$2:$AH$1001,0),1)&gt;=100000,INDEX($AO$1005:$BQ$1005,1,MATCH(COLUMNS($AO$1006:BJ1006),$AO$1006:$BQ$1006,0))&gt;=100000), " ",IF(INDEX($AO$2:$BQ$1001,MATCH(ROWS($AH$2:AH129),$AH$2:$AH$1001,0),MATCH(COLUMNS($AO$1006:BJ1006),$AO$1006:$BQ$1006,0)), HYPERLINK("#",""), HYPERLINK(CONCATENATE("#Metadata!", ADDRESS(INDEX($AJ$2:$AJ$1001,MATCH(ROWS($AH$2:AH129),$AH$2:$AH$1001,0),0), INDEX($AO$1004:$BQ$1004,1,MATCH(COLUMNS($AO$1006:BJ1006),$AO$1006:$BQ$1006,0)))),"Fix")))</f>
        <v>#N/A</v>
      </c>
      <c r="X129" s="5" t="e">
        <f ca="1">IF(OR(INDEX($AI$2:$AI$1001,MATCH(ROWS($AH$2:AH129),$AH$2:$AH$1001,0),1)&gt;=100000,INDEX($AO$1005:$BQ$1005,1,MATCH(COLUMNS($AO$1006:BK1006),$AO$1006:$BQ$1006,0))&gt;=100000), " ",IF(INDEX($AO$2:$BQ$1001,MATCH(ROWS($AH$2:AH129),$AH$2:$AH$1001,0),MATCH(COLUMNS($AO$1006:BK1006),$AO$1006:$BQ$1006,0)), HYPERLINK("#",""), HYPERLINK(CONCATENATE("#Metadata!", ADDRESS(INDEX($AJ$2:$AJ$1001,MATCH(ROWS($AH$2:AH129),$AH$2:$AH$1001,0),0), INDEX($AO$1004:$BQ$1004,1,MATCH(COLUMNS($AO$1006:BK1006),$AO$1006:$BQ$1006,0)))),"Fix")))</f>
        <v>#N/A</v>
      </c>
      <c r="Y129" s="5" t="e">
        <f ca="1">IF(OR(INDEX($AI$2:$AI$1001,MATCH(ROWS($AH$2:AH129),$AH$2:$AH$1001,0),1)&gt;=100000,INDEX($AO$1005:$BQ$1005,1,MATCH(COLUMNS($AO$1006:BL1006),$AO$1006:$BQ$1006,0))&gt;=100000), " ",IF(INDEX($AO$2:$BQ$1001,MATCH(ROWS($AH$2:AH129),$AH$2:$AH$1001,0),MATCH(COLUMNS($AO$1006:BL1006),$AO$1006:$BQ$1006,0)), HYPERLINK("#",""), HYPERLINK(CONCATENATE("#Metadata!", ADDRESS(INDEX($AJ$2:$AJ$1001,MATCH(ROWS($AH$2:AH129),$AH$2:$AH$1001,0),0), INDEX($AO$1004:$BQ$1004,1,MATCH(COLUMNS($AO$1006:BL1006),$AO$1006:$BQ$1006,0)))),"Fix")))</f>
        <v>#N/A</v>
      </c>
      <c r="Z129" s="5" t="e">
        <f ca="1">IF(OR(INDEX($AI$2:$AI$1001,MATCH(ROWS($AH$2:AH129),$AH$2:$AH$1001,0),1)&gt;=100000,INDEX($AO$1005:$BQ$1005,1,MATCH(COLUMNS($AO$1006:BM1006),$AO$1006:$BQ$1006,0))&gt;=100000), " ",IF(INDEX($AO$2:$BQ$1001,MATCH(ROWS($AH$2:AH129),$AH$2:$AH$1001,0),MATCH(COLUMNS($AO$1006:BM1006),$AO$1006:$BQ$1006,0)), HYPERLINK("#",""), HYPERLINK(CONCATENATE("#Metadata!", ADDRESS(INDEX($AJ$2:$AJ$1001,MATCH(ROWS($AH$2:AH129),$AH$2:$AH$1001,0),0), INDEX($AO$1004:$BQ$1004,1,MATCH(COLUMNS($AO$1006:BM1006),$AO$1006:$BQ$1006,0)))),"Fix")))</f>
        <v>#N/A</v>
      </c>
      <c r="AA129" s="5" t="e">
        <f ca="1">IF(OR(INDEX($AI$2:$AI$1001,MATCH(ROWS($AH$2:AH129),$AH$2:$AH$1001,0),1)&gt;=100000,INDEX($AO$1005:$BQ$1005,1,MATCH(COLUMNS($AO$1006:BN1006),$AO$1006:$BQ$1006,0))&gt;=100000), " ",IF(INDEX($AO$2:$BQ$1001,MATCH(ROWS($AH$2:AH129),$AH$2:$AH$1001,0),MATCH(COLUMNS($AO$1006:BN1006),$AO$1006:$BQ$1006,0)), HYPERLINK("#",""), HYPERLINK(CONCATENATE("#Metadata!", ADDRESS(INDEX($AJ$2:$AJ$1001,MATCH(ROWS($AH$2:AH129),$AH$2:$AH$1001,0),0), INDEX($AO$1004:$BQ$1004,1,MATCH(COLUMNS($AO$1006:BN1006),$AO$1006:$BQ$1006,0)))),"Fix")))</f>
        <v>#N/A</v>
      </c>
      <c r="AB129" s="5" t="e">
        <f ca="1">IF(OR(INDEX($AI$2:$AI$1001,MATCH(ROWS($AH$2:AH129),$AH$2:$AH$1001,0),1)&gt;=100000,INDEX($AO$1005:$BQ$1005,1,MATCH(COLUMNS($AO$1006:BO1006),$AO$1006:$BQ$1006,0))&gt;=100000), " ",IF(INDEX($AO$2:$BQ$1001,MATCH(ROWS($AH$2:AH129),$AH$2:$AH$1001,0),MATCH(COLUMNS($AO$1006:BO1006),$AO$1006:$BQ$1006,0)), HYPERLINK("#",""), HYPERLINK(CONCATENATE("#Metadata!", ADDRESS(INDEX($AJ$2:$AJ$1001,MATCH(ROWS($AH$2:AH129),$AH$2:$AH$1001,0),0), INDEX($AO$1004:$BQ$1004,1,MATCH(COLUMNS($AO$1006:BO1006),$AO$1006:$BQ$1006,0)))),"Fix")))</f>
        <v>#N/A</v>
      </c>
      <c r="AC129" s="5" t="e">
        <f ca="1">IF(OR(INDEX($AI$2:$AI$1001,MATCH(ROWS($AH$2:AH129),$AH$2:$AH$1001,0),1)&gt;=100000,INDEX($AO$1005:$BQ$1005,1,MATCH(COLUMNS($AO$1006:BP1006),$AO$1006:$BQ$1006,0))&gt;=100000), " ",IF(INDEX($AO$2:$BQ$1001,MATCH(ROWS($AH$2:AH129),$AH$2:$AH$1001,0),MATCH(COLUMNS($AO$1006:BP1006),$AO$1006:$BQ$1006,0)), HYPERLINK("#",""), HYPERLINK(CONCATENATE("#Metadata!", ADDRESS(INDEX($AJ$2:$AJ$1001,MATCH(ROWS($AH$2:AH129),$AH$2:$AH$1001,0),0), INDEX($AO$1004:$BQ$1004,1,MATCH(COLUMNS($AO$1006:BP1006),$AO$1006:$BQ$1006,0)))),"Fix")))</f>
        <v>#N/A</v>
      </c>
      <c r="AD129" s="5" t="e">
        <f ca="1">IF(OR(INDEX($AI$2:$AI$1001,MATCH(ROWS($AH$2:AH129),$AH$2:$AH$1001,0),1)&gt;=100000,INDEX($AO$1005:$BQ$1005,1,MATCH(COLUMNS($AO$1006:BQ1006),$AO$1006:$BQ$1006,0))&gt;=100000), " ",IF(INDEX($AO$2:$BQ$1001,MATCH(ROWS($AH$2:AH129),$AH$2:$AH$1001,0),MATCH(COLUMNS($AO$1006:BQ1006),$AO$1006:$BQ$1006,0)), HYPERLINK("#",""), HYPERLINK(CONCATENATE("#Metadata!", ADDRESS(INDEX($AJ$2:$AJ$1001,MATCH(ROWS($AH$2:AH129),$AH$2:$AH$1001,0),0), INDEX($AO$1004:$BQ$1004,1,MATCH(COLUMNS($AO$1006:BQ1006),$AO$1006:$BQ$1006,0)))),"Fix")))</f>
        <v>#REF!</v>
      </c>
      <c r="AH129">
        <f ca="1"/>
        <v>126</v>
      </c>
      <c r="AI129">
        <v>100129</v>
      </c>
      <c r="AJ129">
        <v>129</v>
      </c>
      <c r="AK129" t="b">
        <f t="shared" si="1"/>
        <v>1</v>
      </c>
      <c r="AL129" t="b">
        <f>COUNTBLANK(Metadata!B129:AD129)=COLUMNS(Metadata!B129:AD129)</f>
        <v>1</v>
      </c>
      <c r="AM129" t="str">
        <v/>
      </c>
      <c r="AO129" t="b">
        <f ca="1">AND(IF(Metadata!B129="",FALSE,TRUE),COUNTIF(Metadata!B:B, Metadata!B129) = 1,NOT(ISERROR(SUMPRODUCT(SEARCH(MID(Metadata!B129,ROW(INDIRECT("1:"&amp;LEN(Metadata!B129))), 1),"0123456789abcdefghijklmnopqrstuvwxyzABCDEFGHIJKLMNOPQRSTUVWXYZ.")))))</f>
        <v>0</v>
      </c>
      <c r="AP129" t="b">
        <f>IF(Metadata!C129="",FALSE,TRUE)</f>
        <v>0</v>
      </c>
      <c r="AQ129" t="b">
        <f>IF(Metadata!D129="",FALSE,TRUE)</f>
        <v>0</v>
      </c>
      <c r="AR129" t="b">
        <f ca="1">OR(AND(IF(Metadata!E129="",FALSE,TRUE),OR(EXACT(Metadata!E129,"not collected"),EXACT(Metadata!E129,"not provided"),EXACT(Metadata!E129,"restricted access"))),AND(IF(Metadata!E129="",FALSE,TRUE),AND(AND(IFERROR(INT(LEFT(Metadata!E129,4))&gt;1900,FALSE),IFERROR(INT(LEFT(Metadata!E129,4))&lt;=YEAR(NOW()),FALSE)), OR(MID(Metadata!E129,5,1)="", AND(AND(MID(Metadata!E129,5,1)="-",IFERROR(INT(MID(Metadata!E129,6,1))&gt;=0,FALSE),IFERROR(INT(MID(Metadata!E129,6,1))&lt;=1,FALSE),NOT(MID(Metadata!E129,7,1)=""),IFERROR(INT(MID(Metadata!E129,6,2))&gt;=1,FALSE),IFERROR(INT(MID(Metadata!E129,6,2))&lt;=12,FALSE)), OR(MID(Metadata!E129,8,1)="", AND(AND(MID(Metadata!E129,8,1)="-",IFERROR(INT(MID(Metadata!E129,9,1))&gt;=0,FALSE),IFERROR(INT(MID(Metadata!E129,9,1))&lt;=3,FALSE),NOT(MID(Metadata!E129,10,1)=""),IFERROR(INT(MID(Metadata!E129,9,2))&gt;=1,FALSE),IFERROR(INT(MID(Metadata!E129,9,2))&lt;=31,FALSE)), OR(MID(Metadata!E129,11,1)="", AND(AND(MID(Metadata!E129,11,1)=" ",IFERROR(INT(MID(Metadata!E129,12,1))&gt;=0,FALSE),IFERROR(INT(MID(Metadata!E129,12,1))&lt;=2,FALSE),NOT(MID(Metadata!E129,13,1)=""),IFERROR(INT(MID(Metadata!E129,12,2))&gt;=0,FALSE),IFERROR(INT(MID(Metadata!E129,12,2))&lt;=23,FALSE)), OR(MID(Metadata!E129,14,1)="", AND(AND(MID(Metadata!E129,14,1)=":",IFERROR(INT(MID(Metadata!E129,15,1))&gt;=0,FALSE),IFERROR(INT(MID(Metadata!E129,15,1))&lt;=5,FALSE),NOT(MID(Metadata!E129,16,1)=""),IFERROR(INT(MID(Metadata!E129,15,2))&gt;=0,FALSE),IFERROR(INT(MID(Metadata!E129,15,2))&lt;=59,FALSE)), OR(MID(Metadata!E129,17,1)="", AND(AND(MID(Metadata!E129,17,1)=":",IFERROR(INT(MID(Metadata!E129,18,1))&gt;=0,FALSE),IFERROR(INT(MID(Metadata!E129,18,1))&lt;=5,FALSE),NOT(MID(Metadata!E129,19,1)=""),IFERROR(INT(MID(Metadata!E129,18,2))&gt;=0,FALSE),IFERROR(INT(MID(Metadata!E129,18,2))&lt;=59,FALSE)), LEN(Metadata!E129)&lt;=19)))))))))))))</f>
        <v>0</v>
      </c>
      <c r="AS129" t="b">
        <f>IF(Metadata!F129="",FALSE,TRUE)</f>
        <v>0</v>
      </c>
      <c r="AT129" t="b">
        <f>OR(AND(IF(Metadata!G129="",FALSE,TRUE),OR(EXACT(Metadata!G129,"not collected"),EXACT(Metadata!G129,"not provided"))),AND(IF(Metadata!G129="",FALSE,TRUE),OR(EXACT(Metadata!G129,"TRUE"),EXACT(Metadata!G129,"FALSE"))))</f>
        <v>0</v>
      </c>
      <c r="AU129" t="b">
        <f>OR(AND(IF(Metadata!H129="",FALSE,TRUE),OR(EXACT(Metadata!H129,"not collected"),EXACT(Metadata!H129,"not provided"),EXACT(Metadata!H129,"restricted access"))),AND(IF(Metadata!H129="",FALSE,ISNUMBER(VALUE(Metadata!H129))),Metadata!H129&gt;=-413))</f>
        <v>0</v>
      </c>
      <c r="AV129" t="b">
        <f>AND(IF(Metadata!I129="",FALSE,TRUE),EXACT(Metadata!I129,"meters"))</f>
        <v>0</v>
      </c>
      <c r="AW129" t="b">
        <f>AND(IF(Metadata!J129="",FALSE,TRUE),EXACT(Metadata!J129,"free-living"))</f>
        <v>0</v>
      </c>
      <c r="AX129" t="b">
        <f>AND(IF(Metadata!K129="",FALSE,TRUE),OR(EXACT(Metadata!K129,"saline"),EXACT(Metadata!K129,"non-saline")))</f>
        <v>0</v>
      </c>
      <c r="AY129" t="b">
        <f>AND(IF(Metadata!L129="",FALSE,TRUE),OR(EXACT(Metadata!L129,"sub-surface (non-saline)"),EXACT(Metadata!L129,"surface (non-saline)"),EXACT(Metadata!L129,"water (non-saline)"),EXACT(Metadata!L129,"soil (non-saline)"),EXACT(Metadata!L129,"aerosol (non-saline)"),EXACT(Metadata!L129,"sediment (non-saline)"),EXACT(Metadata!L129,"surface (saline)"),EXACT(Metadata!L129,"water (saline)"),EXACT(Metadata!L129,"hypersaline (saline)"),EXACT(Metadata!L129,"aerosol (saline)"),EXACT(Metadata!L129,"sediment (saline)")))</f>
        <v>0</v>
      </c>
      <c r="AZ129" t="b">
        <f>IF(Metadata!M129="",FALSE,TRUE)</f>
        <v>0</v>
      </c>
      <c r="BA129" t="b">
        <f>IF(Metadata!N129="",FALSE,TRUE)</f>
        <v>0</v>
      </c>
      <c r="BB129" t="b">
        <f>IF(Metadata!O129="",FALSE,TRUE)</f>
        <v>0</v>
      </c>
      <c r="BC129" t="b">
        <f>AND(IF(Metadata!P129="",FALSE,TRUE),OR(EXACT(Metadata!P129,"air"),EXACT(Metadata!P129,"microbial mat/biofilm"),EXACT(Metadata!P129,"misc environment"),EXACT(Metadata!P129,"sediment"),EXACT(Metadata!P129,"soil"),EXACT(Metadata!P129,"wastewater/sludge"),EXACT(Metadata!P129,"water")))</f>
        <v>0</v>
      </c>
      <c r="BD129" t="b">
        <f>IF(Metadata!Q129="",FALSE,TRUE)</f>
        <v>0</v>
      </c>
      <c r="BE129" t="b">
        <f>IF(Metadata!R129="",FALSE,TRUE)</f>
        <v>0</v>
      </c>
      <c r="BF129" t="b">
        <f>OR(AND(IF(Metadata!S129="",FALSE,TRUE),OR(EXACT(Metadata!S129,"not collected"),EXACT(Metadata!S129,"not provided"),EXACT(Metadata!S129,"restricted access"))),AND(IF(Metadata!S129="",FALSE,ISNUMBER(VALUE(Metadata!S129))),Metadata!S129&gt;=-90,Metadata!S129&lt;=90))</f>
        <v>0</v>
      </c>
      <c r="BG129" t="b">
        <f>AND(IF(Metadata!T129="",FALSE,TRUE),EXACT(Metadata!T129,"Decimal degrees"))</f>
        <v>0</v>
      </c>
      <c r="BH129" t="b">
        <f>OR(AND(IF(Metadata!U129="",FALSE,TRUE),OR(EXACT(Metadata!U129,"not applicable"),EXACT(Metadata!U129,"not collected"))),IF(Metadata!U129="",FALSE,TRUE))</f>
        <v>0</v>
      </c>
      <c r="BI129" t="b">
        <f>OR(AND(IF(Metadata!V129="",FALSE,TRUE),OR(EXACT(Metadata!V129,"not collected"),EXACT(Metadata!V129,"not provided"),EXACT(Metadata!V129,"restricted access"))),AND(IF(Metadata!V129="",FALSE,ISNUMBER(VALUE(Metadata!V129))),Metadata!V129&gt;=-180,Metadata!V129&lt;=180))</f>
        <v>0</v>
      </c>
      <c r="BJ129" t="b">
        <f>AND(IF(Metadata!W129="",FALSE,TRUE),EXACT(Metadata!W129,"Decimal degrees"))</f>
        <v>0</v>
      </c>
      <c r="BK129" t="b">
        <f>IF(Metadata!X129="",FALSE,TRUE)</f>
        <v>0</v>
      </c>
      <c r="BL129" t="b">
        <f>OR(AND(IF(Metadata!Y129="",FALSE,TRUE),OR(EXACT(Metadata!Y129,"not collected"),EXACT(Metadata!Y129,"not provided"),EXACT(Metadata!Y129,"restricted access"))),AND(IF(Metadata!Y129="",FALSE,TRUE),OR(EXACT(Metadata!Y129,"TRUE"),EXACT(Metadata!Y129,"FALSE"))))</f>
        <v>0</v>
      </c>
      <c r="BM129" t="b">
        <f>OR(AND(IF(Metadata!Z129="",FALSE,TRUE),EXACT(Metadata!Z129,"not applicable")),AND(IF(Metadata!Z129="",FALSE,TRUE),OR(EXACT(Metadata!Z129,"beer"),EXACT(Metadata!Z129,"cheese"),EXACT(Metadata!Z129,"fresh water"),EXACT(Metadata!Z129,"marine sediment"),EXACT(Metadata!Z129,"sea water"),EXACT(Metadata!Z129,"sediment"),EXACT(Metadata!Z129,"soil"),EXACT(Metadata!Z129,"waste water"))))</f>
        <v>0</v>
      </c>
      <c r="BN129" t="b">
        <f>AND(IF(Metadata!AA129="",FALSE,TRUE),EXACT(Metadata!AA129,"metagenome"))</f>
        <v>0</v>
      </c>
      <c r="BO129" t="b">
        <f>AND(IF(Metadata!AB129="",FALSE,TRUE),EXACT(Metadata!AB129,"256318"))</f>
        <v>0</v>
      </c>
      <c r="BP129" t="b">
        <f>IF(Metadata!AC129="",FALSE,TRUE)</f>
        <v>0</v>
      </c>
      <c r="BQ129" t="b">
        <f>IF(Metadata!AD129="",FALSE,TRUE)</f>
        <v>0</v>
      </c>
    </row>
    <row r="130" spans="1:69" x14ac:dyDescent="0.2">
      <c r="A130" s="4" t="e">
        <f ca="1">IF(B130=" "," ",HYPERLINK(CONCATENATE("#metadata!",ADDRESS(INDEX($AJ$2:$AJ$1001,MATCH(ROWS($AH$2:AH130),$AH$2:$AH$1001,0),0),2)),INDEX($AM$2:$AM$1001,MATCH(ROWS($AH$2:AH130),$AH$2:$AH$1001,0),0)))</f>
        <v>#N/A</v>
      </c>
      <c r="B130" s="5" t="e">
        <f ca="1">IF(OR(INDEX($AI$2:$AI$1001,MATCH(ROWS($AH$2:AH130),$AH$2:$AH$1001,0),1)&gt;=100000,INDEX($AO$1005:$BQ$1005,1,MATCH(COLUMNS($AO$1006:AO1006),$AO$1006:$BQ$1006,0))&gt;=100000), " ",IF(INDEX($AO$2:$BQ$1001,MATCH(ROWS($AH$2:AH130),$AH$2:$AH$1001,0),MATCH(COLUMNS($AO$1006:AO1006),$AO$1006:$BQ$1006,0)), HYPERLINK("#",""), HYPERLINK(CONCATENATE("#Metadata!", ADDRESS(INDEX($AJ$2:$AJ$1001,MATCH(ROWS($AH$2:AH130),$AH$2:$AH$1001,0),0), INDEX($AO$1004:$BQ$1004,1,MATCH(COLUMNS($AO$1006:AO1006),$AO$1006:$BQ$1006,0)))),"Fix")))</f>
        <v>#N/A</v>
      </c>
      <c r="C130" s="5" t="e">
        <f ca="1">IF(OR(INDEX($AI$2:$AI$1001,MATCH(ROWS($AH$2:AH130),$AH$2:$AH$1001,0),1)&gt;=100000,INDEX($AO$1005:$BQ$1005,1,MATCH(COLUMNS($AO$1006:AP1006),$AO$1006:$BQ$1006,0))&gt;=100000), " ",IF(INDEX($AO$2:$BQ$1001,MATCH(ROWS($AH$2:AH130),$AH$2:$AH$1001,0),MATCH(COLUMNS($AO$1006:AP1006),$AO$1006:$BQ$1006,0)), HYPERLINK("#",""), HYPERLINK(CONCATENATE("#Metadata!", ADDRESS(INDEX($AJ$2:$AJ$1001,MATCH(ROWS($AH$2:AH130),$AH$2:$AH$1001,0),0), INDEX($AO$1004:$BQ$1004,1,MATCH(COLUMNS($AO$1006:AP1006),$AO$1006:$BQ$1006,0)))),"Fix")))</f>
        <v>#N/A</v>
      </c>
      <c r="D130" s="5" t="e">
        <f ca="1">IF(OR(INDEX($AI$2:$AI$1001,MATCH(ROWS($AH$2:AH130),$AH$2:$AH$1001,0),1)&gt;=100000,INDEX($AO$1005:$BQ$1005,1,MATCH(COLUMNS($AO$1006:AQ1006),$AO$1006:$BQ$1006,0))&gt;=100000), " ",IF(INDEX($AO$2:$BQ$1001,MATCH(ROWS($AH$2:AH130),$AH$2:$AH$1001,0),MATCH(COLUMNS($AO$1006:AQ1006),$AO$1006:$BQ$1006,0)), HYPERLINK("#",""), HYPERLINK(CONCATENATE("#Metadata!", ADDRESS(INDEX($AJ$2:$AJ$1001,MATCH(ROWS($AH$2:AH130),$AH$2:$AH$1001,0),0), INDEX($AO$1004:$BQ$1004,1,MATCH(COLUMNS($AO$1006:AQ1006),$AO$1006:$BQ$1006,0)))),"Fix")))</f>
        <v>#N/A</v>
      </c>
      <c r="E130" s="5" t="e">
        <f ca="1">IF(OR(INDEX($AI$2:$AI$1001,MATCH(ROWS($AH$2:AH130),$AH$2:$AH$1001,0),1)&gt;=100000,INDEX($AO$1005:$BQ$1005,1,MATCH(COLUMNS($AO$1006:AR1006),$AO$1006:$BQ$1006,0))&gt;=100000), " ",IF(INDEX($AO$2:$BQ$1001,MATCH(ROWS($AH$2:AH130),$AH$2:$AH$1001,0),MATCH(COLUMNS($AO$1006:AR1006),$AO$1006:$BQ$1006,0)), HYPERLINK("#",""), HYPERLINK(CONCATENATE("#Metadata!", ADDRESS(INDEX($AJ$2:$AJ$1001,MATCH(ROWS($AH$2:AH130),$AH$2:$AH$1001,0),0), INDEX($AO$1004:$BQ$1004,1,MATCH(COLUMNS($AO$1006:AR1006),$AO$1006:$BQ$1006,0)))),"Fix")))</f>
        <v>#N/A</v>
      </c>
      <c r="F130" s="5" t="e">
        <f ca="1">IF(OR(INDEX($AI$2:$AI$1001,MATCH(ROWS($AH$2:AH130),$AH$2:$AH$1001,0),1)&gt;=100000,INDEX($AO$1005:$BQ$1005,1,MATCH(COLUMNS($AO$1006:AS1006),$AO$1006:$BQ$1006,0))&gt;=100000), " ",IF(INDEX($AO$2:$BQ$1001,MATCH(ROWS($AH$2:AH130),$AH$2:$AH$1001,0),MATCH(COLUMNS($AO$1006:AS1006),$AO$1006:$BQ$1006,0)), HYPERLINK("#",""), HYPERLINK(CONCATENATE("#Metadata!", ADDRESS(INDEX($AJ$2:$AJ$1001,MATCH(ROWS($AH$2:AH130),$AH$2:$AH$1001,0),0), INDEX($AO$1004:$BQ$1004,1,MATCH(COLUMNS($AO$1006:AS1006),$AO$1006:$BQ$1006,0)))),"Fix")))</f>
        <v>#N/A</v>
      </c>
      <c r="G130" s="5" t="e">
        <f ca="1">IF(OR(INDEX($AI$2:$AI$1001,MATCH(ROWS($AH$2:AH130),$AH$2:$AH$1001,0),1)&gt;=100000,INDEX($AO$1005:$BQ$1005,1,MATCH(COLUMNS($AO$1006:AT1006),$AO$1006:$BQ$1006,0))&gt;=100000), " ",IF(INDEX($AO$2:$BQ$1001,MATCH(ROWS($AH$2:AH130),$AH$2:$AH$1001,0),MATCH(COLUMNS($AO$1006:AT1006),$AO$1006:$BQ$1006,0)), HYPERLINK("#",""), HYPERLINK(CONCATENATE("#Metadata!", ADDRESS(INDEX($AJ$2:$AJ$1001,MATCH(ROWS($AH$2:AH130),$AH$2:$AH$1001,0),0), INDEX($AO$1004:$BQ$1004,1,MATCH(COLUMNS($AO$1006:AT1006),$AO$1006:$BQ$1006,0)))),"Fix")))</f>
        <v>#N/A</v>
      </c>
      <c r="H130" s="5" t="e">
        <f ca="1">IF(OR(INDEX($AI$2:$AI$1001,MATCH(ROWS($AH$2:AH130),$AH$2:$AH$1001,0),1)&gt;=100000,INDEX($AO$1005:$BQ$1005,1,MATCH(COLUMNS($AO$1006:AU1006),$AO$1006:$BQ$1006,0))&gt;=100000), " ",IF(INDEX($AO$2:$BQ$1001,MATCH(ROWS($AH$2:AH130),$AH$2:$AH$1001,0),MATCH(COLUMNS($AO$1006:AU1006),$AO$1006:$BQ$1006,0)), HYPERLINK("#",""), HYPERLINK(CONCATENATE("#Metadata!", ADDRESS(INDEX($AJ$2:$AJ$1001,MATCH(ROWS($AH$2:AH130),$AH$2:$AH$1001,0),0), INDEX($AO$1004:$BQ$1004,1,MATCH(COLUMNS($AO$1006:AU1006),$AO$1006:$BQ$1006,0)))),"Fix")))</f>
        <v>#N/A</v>
      </c>
      <c r="I130" s="5" t="e">
        <f ca="1">IF(OR(INDEX($AI$2:$AI$1001,MATCH(ROWS($AH$2:AH130),$AH$2:$AH$1001,0),1)&gt;=100000,INDEX($AO$1005:$BQ$1005,1,MATCH(COLUMNS($AO$1006:AV1006),$AO$1006:$BQ$1006,0))&gt;=100000), " ",IF(INDEX($AO$2:$BQ$1001,MATCH(ROWS($AH$2:AH130),$AH$2:$AH$1001,0),MATCH(COLUMNS($AO$1006:AV1006),$AO$1006:$BQ$1006,0)), HYPERLINK("#",""), HYPERLINK(CONCATENATE("#Metadata!", ADDRESS(INDEX($AJ$2:$AJ$1001,MATCH(ROWS($AH$2:AH130),$AH$2:$AH$1001,0),0), INDEX($AO$1004:$BQ$1004,1,MATCH(COLUMNS($AO$1006:AV1006),$AO$1006:$BQ$1006,0)))),"Fix")))</f>
        <v>#N/A</v>
      </c>
      <c r="J130" s="5" t="e">
        <f ca="1">IF(OR(INDEX($AI$2:$AI$1001,MATCH(ROWS($AH$2:AH130),$AH$2:$AH$1001,0),1)&gt;=100000,INDEX($AO$1005:$BQ$1005,1,MATCH(COLUMNS($AO$1006:AW1006),$AO$1006:$BQ$1006,0))&gt;=100000), " ",IF(INDEX($AO$2:$BQ$1001,MATCH(ROWS($AH$2:AH130),$AH$2:$AH$1001,0),MATCH(COLUMNS($AO$1006:AW1006),$AO$1006:$BQ$1006,0)), HYPERLINK("#",""), HYPERLINK(CONCATENATE("#Metadata!", ADDRESS(INDEX($AJ$2:$AJ$1001,MATCH(ROWS($AH$2:AH130),$AH$2:$AH$1001,0),0), INDEX($AO$1004:$BQ$1004,1,MATCH(COLUMNS($AO$1006:AW1006),$AO$1006:$BQ$1006,0)))),"Fix")))</f>
        <v>#N/A</v>
      </c>
      <c r="K130" s="5" t="e">
        <f ca="1">IF(OR(INDEX($AI$2:$AI$1001,MATCH(ROWS($AH$2:AH130),$AH$2:$AH$1001,0),1)&gt;=100000,INDEX($AO$1005:$BQ$1005,1,MATCH(COLUMNS($AO$1006:AX1006),$AO$1006:$BQ$1006,0))&gt;=100000), " ",IF(INDEX($AO$2:$BQ$1001,MATCH(ROWS($AH$2:AH130),$AH$2:$AH$1001,0),MATCH(COLUMNS($AO$1006:AX1006),$AO$1006:$BQ$1006,0)), HYPERLINK("#",""), HYPERLINK(CONCATENATE("#Metadata!", ADDRESS(INDEX($AJ$2:$AJ$1001,MATCH(ROWS($AH$2:AH130),$AH$2:$AH$1001,0),0), INDEX($AO$1004:$BQ$1004,1,MATCH(COLUMNS($AO$1006:AX1006),$AO$1006:$BQ$1006,0)))),"Fix")))</f>
        <v>#N/A</v>
      </c>
      <c r="L130" s="5" t="e">
        <f ca="1">IF(OR(INDEX($AI$2:$AI$1001,MATCH(ROWS($AH$2:AH130),$AH$2:$AH$1001,0),1)&gt;=100000,INDEX($AO$1005:$BQ$1005,1,MATCH(COLUMNS($AO$1006:AY1006),$AO$1006:$BQ$1006,0))&gt;=100000), " ",IF(INDEX($AO$2:$BQ$1001,MATCH(ROWS($AH$2:AH130),$AH$2:$AH$1001,0),MATCH(COLUMNS($AO$1006:AY1006),$AO$1006:$BQ$1006,0)), HYPERLINK("#",""), HYPERLINK(CONCATENATE("#Metadata!", ADDRESS(INDEX($AJ$2:$AJ$1001,MATCH(ROWS($AH$2:AH130),$AH$2:$AH$1001,0),0), INDEX($AO$1004:$BQ$1004,1,MATCH(COLUMNS($AO$1006:AY1006),$AO$1006:$BQ$1006,0)))),"Fix")))</f>
        <v>#N/A</v>
      </c>
      <c r="M130" s="5" t="e">
        <f ca="1">IF(OR(INDEX($AI$2:$AI$1001,MATCH(ROWS($AH$2:AH130),$AH$2:$AH$1001,0),1)&gt;=100000,INDEX($AO$1005:$BQ$1005,1,MATCH(COLUMNS($AO$1006:AZ1006),$AO$1006:$BQ$1006,0))&gt;=100000), " ",IF(INDEX($AO$2:$BQ$1001,MATCH(ROWS($AH$2:AH130),$AH$2:$AH$1001,0),MATCH(COLUMNS($AO$1006:AZ1006),$AO$1006:$BQ$1006,0)), HYPERLINK("#",""), HYPERLINK(CONCATENATE("#Metadata!", ADDRESS(INDEX($AJ$2:$AJ$1001,MATCH(ROWS($AH$2:AH130),$AH$2:$AH$1001,0),0), INDEX($AO$1004:$BQ$1004,1,MATCH(COLUMNS($AO$1006:AZ1006),$AO$1006:$BQ$1006,0)))),"Fix")))</f>
        <v>#N/A</v>
      </c>
      <c r="N130" s="5" t="e">
        <f ca="1">IF(OR(INDEX($AI$2:$AI$1001,MATCH(ROWS($AH$2:AH130),$AH$2:$AH$1001,0),1)&gt;=100000,INDEX($AO$1005:$BQ$1005,1,MATCH(COLUMNS($AO$1006:BA1006),$AO$1006:$BQ$1006,0))&gt;=100000), " ",IF(INDEX($AO$2:$BQ$1001,MATCH(ROWS($AH$2:AH130),$AH$2:$AH$1001,0),MATCH(COLUMNS($AO$1006:BA1006),$AO$1006:$BQ$1006,0)), HYPERLINK("#",""), HYPERLINK(CONCATENATE("#Metadata!", ADDRESS(INDEX($AJ$2:$AJ$1001,MATCH(ROWS($AH$2:AH130),$AH$2:$AH$1001,0),0), INDEX($AO$1004:$BQ$1004,1,MATCH(COLUMNS($AO$1006:BA1006),$AO$1006:$BQ$1006,0)))),"Fix")))</f>
        <v>#N/A</v>
      </c>
      <c r="O130" s="5" t="e">
        <f ca="1">IF(OR(INDEX($AI$2:$AI$1001,MATCH(ROWS($AH$2:AH130),$AH$2:$AH$1001,0),1)&gt;=100000,INDEX($AO$1005:$BQ$1005,1,MATCH(COLUMNS($AO$1006:BB1006),$AO$1006:$BQ$1006,0))&gt;=100000), " ",IF(INDEX($AO$2:$BQ$1001,MATCH(ROWS($AH$2:AH130),$AH$2:$AH$1001,0),MATCH(COLUMNS($AO$1006:BB1006),$AO$1006:$BQ$1006,0)), HYPERLINK("#",""), HYPERLINK(CONCATENATE("#Metadata!", ADDRESS(INDEX($AJ$2:$AJ$1001,MATCH(ROWS($AH$2:AH130),$AH$2:$AH$1001,0),0), INDEX($AO$1004:$BQ$1004,1,MATCH(COLUMNS($AO$1006:BB1006),$AO$1006:$BQ$1006,0)))),"Fix")))</f>
        <v>#N/A</v>
      </c>
      <c r="P130" s="5" t="e">
        <f ca="1">IF(OR(INDEX($AI$2:$AI$1001,MATCH(ROWS($AH$2:AH130),$AH$2:$AH$1001,0),1)&gt;=100000,INDEX($AO$1005:$BQ$1005,1,MATCH(COLUMNS($AO$1006:BC1006),$AO$1006:$BQ$1006,0))&gt;=100000), " ",IF(INDEX($AO$2:$BQ$1001,MATCH(ROWS($AH$2:AH130),$AH$2:$AH$1001,0),MATCH(COLUMNS($AO$1006:BC1006),$AO$1006:$BQ$1006,0)), HYPERLINK("#",""), HYPERLINK(CONCATENATE("#Metadata!", ADDRESS(INDEX($AJ$2:$AJ$1001,MATCH(ROWS($AH$2:AH130),$AH$2:$AH$1001,0),0), INDEX($AO$1004:$BQ$1004,1,MATCH(COLUMNS($AO$1006:BC1006),$AO$1006:$BQ$1006,0)))),"Fix")))</f>
        <v>#N/A</v>
      </c>
      <c r="Q130" s="5" t="e">
        <f ca="1">IF(OR(INDEX($AI$2:$AI$1001,MATCH(ROWS($AH$2:AH130),$AH$2:$AH$1001,0),1)&gt;=100000,INDEX($AO$1005:$BQ$1005,1,MATCH(COLUMNS($AO$1006:BD1006),$AO$1006:$BQ$1006,0))&gt;=100000), " ",IF(INDEX($AO$2:$BQ$1001,MATCH(ROWS($AH$2:AH130),$AH$2:$AH$1001,0),MATCH(COLUMNS($AO$1006:BD1006),$AO$1006:$BQ$1006,0)), HYPERLINK("#",""), HYPERLINK(CONCATENATE("#Metadata!", ADDRESS(INDEX($AJ$2:$AJ$1001,MATCH(ROWS($AH$2:AH130),$AH$2:$AH$1001,0),0), INDEX($AO$1004:$BQ$1004,1,MATCH(COLUMNS($AO$1006:BD1006),$AO$1006:$BQ$1006,0)))),"Fix")))</f>
        <v>#N/A</v>
      </c>
      <c r="R130" s="5" t="e">
        <f ca="1">IF(OR(INDEX($AI$2:$AI$1001,MATCH(ROWS($AH$2:AH130),$AH$2:$AH$1001,0),1)&gt;=100000,INDEX($AO$1005:$BQ$1005,1,MATCH(COLUMNS($AO$1006:BE1006),$AO$1006:$BQ$1006,0))&gt;=100000), " ",IF(INDEX($AO$2:$BQ$1001,MATCH(ROWS($AH$2:AH130),$AH$2:$AH$1001,0),MATCH(COLUMNS($AO$1006:BE1006),$AO$1006:$BQ$1006,0)), HYPERLINK("#",""), HYPERLINK(CONCATENATE("#Metadata!", ADDRESS(INDEX($AJ$2:$AJ$1001,MATCH(ROWS($AH$2:AH130),$AH$2:$AH$1001,0),0), INDEX($AO$1004:$BQ$1004,1,MATCH(COLUMNS($AO$1006:BE1006),$AO$1006:$BQ$1006,0)))),"Fix")))</f>
        <v>#N/A</v>
      </c>
      <c r="S130" s="5" t="e">
        <f ca="1">IF(OR(INDEX($AI$2:$AI$1001,MATCH(ROWS($AH$2:AH130),$AH$2:$AH$1001,0),1)&gt;=100000,INDEX($AO$1005:$BQ$1005,1,MATCH(COLUMNS($AO$1006:BF1006),$AO$1006:$BQ$1006,0))&gt;=100000), " ",IF(INDEX($AO$2:$BQ$1001,MATCH(ROWS($AH$2:AH130),$AH$2:$AH$1001,0),MATCH(COLUMNS($AO$1006:BF1006),$AO$1006:$BQ$1006,0)), HYPERLINK("#",""), HYPERLINK(CONCATENATE("#Metadata!", ADDRESS(INDEX($AJ$2:$AJ$1001,MATCH(ROWS($AH$2:AH130),$AH$2:$AH$1001,0),0), INDEX($AO$1004:$BQ$1004,1,MATCH(COLUMNS($AO$1006:BF1006),$AO$1006:$BQ$1006,0)))),"Fix")))</f>
        <v>#N/A</v>
      </c>
      <c r="T130" s="5" t="e">
        <f ca="1">IF(OR(INDEX($AI$2:$AI$1001,MATCH(ROWS($AH$2:AH130),$AH$2:$AH$1001,0),1)&gt;=100000,INDEX($AO$1005:$BQ$1005,1,MATCH(COLUMNS($AO$1006:BG1006),$AO$1006:$BQ$1006,0))&gt;=100000), " ",IF(INDEX($AO$2:$BQ$1001,MATCH(ROWS($AH$2:AH130),$AH$2:$AH$1001,0),MATCH(COLUMNS($AO$1006:BG1006),$AO$1006:$BQ$1006,0)), HYPERLINK("#",""), HYPERLINK(CONCATENATE("#Metadata!", ADDRESS(INDEX($AJ$2:$AJ$1001,MATCH(ROWS($AH$2:AH130),$AH$2:$AH$1001,0),0), INDEX($AO$1004:$BQ$1004,1,MATCH(COLUMNS($AO$1006:BG1006),$AO$1006:$BQ$1006,0)))),"Fix")))</f>
        <v>#N/A</v>
      </c>
      <c r="U130" s="5" t="e">
        <f ca="1">IF(OR(INDEX($AI$2:$AI$1001,MATCH(ROWS($AH$2:AH130),$AH$2:$AH$1001,0),1)&gt;=100000,INDEX($AO$1005:$BQ$1005,1,MATCH(COLUMNS($AO$1006:BH1006),$AO$1006:$BQ$1006,0))&gt;=100000), " ",IF(INDEX($AO$2:$BQ$1001,MATCH(ROWS($AH$2:AH130),$AH$2:$AH$1001,0),MATCH(COLUMNS($AO$1006:BH1006),$AO$1006:$BQ$1006,0)), HYPERLINK("#",""), HYPERLINK(CONCATENATE("#Metadata!", ADDRESS(INDEX($AJ$2:$AJ$1001,MATCH(ROWS($AH$2:AH130),$AH$2:$AH$1001,0),0), INDEX($AO$1004:$BQ$1004,1,MATCH(COLUMNS($AO$1006:BH1006),$AO$1006:$BQ$1006,0)))),"Fix")))</f>
        <v>#N/A</v>
      </c>
      <c r="V130" s="5" t="e">
        <f ca="1">IF(OR(INDEX($AI$2:$AI$1001,MATCH(ROWS($AH$2:AH130),$AH$2:$AH$1001,0),1)&gt;=100000,INDEX($AO$1005:$BQ$1005,1,MATCH(COLUMNS($AO$1006:BI1006),$AO$1006:$BQ$1006,0))&gt;=100000), " ",IF(INDEX($AO$2:$BQ$1001,MATCH(ROWS($AH$2:AH130),$AH$2:$AH$1001,0),MATCH(COLUMNS($AO$1006:BI1006),$AO$1006:$BQ$1006,0)), HYPERLINK("#",""), HYPERLINK(CONCATENATE("#Metadata!", ADDRESS(INDEX($AJ$2:$AJ$1001,MATCH(ROWS($AH$2:AH130),$AH$2:$AH$1001,0),0), INDEX($AO$1004:$BQ$1004,1,MATCH(COLUMNS($AO$1006:BI1006),$AO$1006:$BQ$1006,0)))),"Fix")))</f>
        <v>#N/A</v>
      </c>
      <c r="W130" s="5" t="e">
        <f ca="1">IF(OR(INDEX($AI$2:$AI$1001,MATCH(ROWS($AH$2:AH130),$AH$2:$AH$1001,0),1)&gt;=100000,INDEX($AO$1005:$BQ$1005,1,MATCH(COLUMNS($AO$1006:BJ1006),$AO$1006:$BQ$1006,0))&gt;=100000), " ",IF(INDEX($AO$2:$BQ$1001,MATCH(ROWS($AH$2:AH130),$AH$2:$AH$1001,0),MATCH(COLUMNS($AO$1006:BJ1006),$AO$1006:$BQ$1006,0)), HYPERLINK("#",""), HYPERLINK(CONCATENATE("#Metadata!", ADDRESS(INDEX($AJ$2:$AJ$1001,MATCH(ROWS($AH$2:AH130),$AH$2:$AH$1001,0),0), INDEX($AO$1004:$BQ$1004,1,MATCH(COLUMNS($AO$1006:BJ1006),$AO$1006:$BQ$1006,0)))),"Fix")))</f>
        <v>#N/A</v>
      </c>
      <c r="X130" s="5" t="e">
        <f ca="1">IF(OR(INDEX($AI$2:$AI$1001,MATCH(ROWS($AH$2:AH130),$AH$2:$AH$1001,0),1)&gt;=100000,INDEX($AO$1005:$BQ$1005,1,MATCH(COLUMNS($AO$1006:BK1006),$AO$1006:$BQ$1006,0))&gt;=100000), " ",IF(INDEX($AO$2:$BQ$1001,MATCH(ROWS($AH$2:AH130),$AH$2:$AH$1001,0),MATCH(COLUMNS($AO$1006:BK1006),$AO$1006:$BQ$1006,0)), HYPERLINK("#",""), HYPERLINK(CONCATENATE("#Metadata!", ADDRESS(INDEX($AJ$2:$AJ$1001,MATCH(ROWS($AH$2:AH130),$AH$2:$AH$1001,0),0), INDEX($AO$1004:$BQ$1004,1,MATCH(COLUMNS($AO$1006:BK1006),$AO$1006:$BQ$1006,0)))),"Fix")))</f>
        <v>#N/A</v>
      </c>
      <c r="Y130" s="5" t="e">
        <f ca="1">IF(OR(INDEX($AI$2:$AI$1001,MATCH(ROWS($AH$2:AH130),$AH$2:$AH$1001,0),1)&gt;=100000,INDEX($AO$1005:$BQ$1005,1,MATCH(COLUMNS($AO$1006:BL1006),$AO$1006:$BQ$1006,0))&gt;=100000), " ",IF(INDEX($AO$2:$BQ$1001,MATCH(ROWS($AH$2:AH130),$AH$2:$AH$1001,0),MATCH(COLUMNS($AO$1006:BL1006),$AO$1006:$BQ$1006,0)), HYPERLINK("#",""), HYPERLINK(CONCATENATE("#Metadata!", ADDRESS(INDEX($AJ$2:$AJ$1001,MATCH(ROWS($AH$2:AH130),$AH$2:$AH$1001,0),0), INDEX($AO$1004:$BQ$1004,1,MATCH(COLUMNS($AO$1006:BL1006),$AO$1006:$BQ$1006,0)))),"Fix")))</f>
        <v>#N/A</v>
      </c>
      <c r="Z130" s="5" t="e">
        <f ca="1">IF(OR(INDEX($AI$2:$AI$1001,MATCH(ROWS($AH$2:AH130),$AH$2:$AH$1001,0),1)&gt;=100000,INDEX($AO$1005:$BQ$1005,1,MATCH(COLUMNS($AO$1006:BM1006),$AO$1006:$BQ$1006,0))&gt;=100000), " ",IF(INDEX($AO$2:$BQ$1001,MATCH(ROWS($AH$2:AH130),$AH$2:$AH$1001,0),MATCH(COLUMNS($AO$1006:BM1006),$AO$1006:$BQ$1006,0)), HYPERLINK("#",""), HYPERLINK(CONCATENATE("#Metadata!", ADDRESS(INDEX($AJ$2:$AJ$1001,MATCH(ROWS($AH$2:AH130),$AH$2:$AH$1001,0),0), INDEX($AO$1004:$BQ$1004,1,MATCH(COLUMNS($AO$1006:BM1006),$AO$1006:$BQ$1006,0)))),"Fix")))</f>
        <v>#N/A</v>
      </c>
      <c r="AA130" s="5" t="e">
        <f ca="1">IF(OR(INDEX($AI$2:$AI$1001,MATCH(ROWS($AH$2:AH130),$AH$2:$AH$1001,0),1)&gt;=100000,INDEX($AO$1005:$BQ$1005,1,MATCH(COLUMNS($AO$1006:BN1006),$AO$1006:$BQ$1006,0))&gt;=100000), " ",IF(INDEX($AO$2:$BQ$1001,MATCH(ROWS($AH$2:AH130),$AH$2:$AH$1001,0),MATCH(COLUMNS($AO$1006:BN1006),$AO$1006:$BQ$1006,0)), HYPERLINK("#",""), HYPERLINK(CONCATENATE("#Metadata!", ADDRESS(INDEX($AJ$2:$AJ$1001,MATCH(ROWS($AH$2:AH130),$AH$2:$AH$1001,0),0), INDEX($AO$1004:$BQ$1004,1,MATCH(COLUMNS($AO$1006:BN1006),$AO$1006:$BQ$1006,0)))),"Fix")))</f>
        <v>#N/A</v>
      </c>
      <c r="AB130" s="5" t="e">
        <f ca="1">IF(OR(INDEX($AI$2:$AI$1001,MATCH(ROWS($AH$2:AH130),$AH$2:$AH$1001,0),1)&gt;=100000,INDEX($AO$1005:$BQ$1005,1,MATCH(COLUMNS($AO$1006:BO1006),$AO$1006:$BQ$1006,0))&gt;=100000), " ",IF(INDEX($AO$2:$BQ$1001,MATCH(ROWS($AH$2:AH130),$AH$2:$AH$1001,0),MATCH(COLUMNS($AO$1006:BO1006),$AO$1006:$BQ$1006,0)), HYPERLINK("#",""), HYPERLINK(CONCATENATE("#Metadata!", ADDRESS(INDEX($AJ$2:$AJ$1001,MATCH(ROWS($AH$2:AH130),$AH$2:$AH$1001,0),0), INDEX($AO$1004:$BQ$1004,1,MATCH(COLUMNS($AO$1006:BO1006),$AO$1006:$BQ$1006,0)))),"Fix")))</f>
        <v>#N/A</v>
      </c>
      <c r="AC130" s="5" t="e">
        <f ca="1">IF(OR(INDEX($AI$2:$AI$1001,MATCH(ROWS($AH$2:AH130),$AH$2:$AH$1001,0),1)&gt;=100000,INDEX($AO$1005:$BQ$1005,1,MATCH(COLUMNS($AO$1006:BP1006),$AO$1006:$BQ$1006,0))&gt;=100000), " ",IF(INDEX($AO$2:$BQ$1001,MATCH(ROWS($AH$2:AH130),$AH$2:$AH$1001,0),MATCH(COLUMNS($AO$1006:BP1006),$AO$1006:$BQ$1006,0)), HYPERLINK("#",""), HYPERLINK(CONCATENATE("#Metadata!", ADDRESS(INDEX($AJ$2:$AJ$1001,MATCH(ROWS($AH$2:AH130),$AH$2:$AH$1001,0),0), INDEX($AO$1004:$BQ$1004,1,MATCH(COLUMNS($AO$1006:BP1006),$AO$1006:$BQ$1006,0)))),"Fix")))</f>
        <v>#N/A</v>
      </c>
      <c r="AD130" s="5" t="e">
        <f ca="1">IF(OR(INDEX($AI$2:$AI$1001,MATCH(ROWS($AH$2:AH130),$AH$2:$AH$1001,0),1)&gt;=100000,INDEX($AO$1005:$BQ$1005,1,MATCH(COLUMNS($AO$1006:BQ1006),$AO$1006:$BQ$1006,0))&gt;=100000), " ",IF(INDEX($AO$2:$BQ$1001,MATCH(ROWS($AH$2:AH130),$AH$2:$AH$1001,0),MATCH(COLUMNS($AO$1006:BQ1006),$AO$1006:$BQ$1006,0)), HYPERLINK("#",""), HYPERLINK(CONCATENATE("#Metadata!", ADDRESS(INDEX($AJ$2:$AJ$1001,MATCH(ROWS($AH$2:AH130),$AH$2:$AH$1001,0),0), INDEX($AO$1004:$BQ$1004,1,MATCH(COLUMNS($AO$1006:BQ1006),$AO$1006:$BQ$1006,0)))),"Fix")))</f>
        <v>#REF!</v>
      </c>
      <c r="AH130">
        <f ca="1"/>
        <v>127</v>
      </c>
      <c r="AI130">
        <v>100130</v>
      </c>
      <c r="AJ130">
        <v>130</v>
      </c>
      <c r="AK130" t="b">
        <f t="shared" ref="AK130:AK193" si="2">IF(AL130,TRUE,AND(AO130:BQ130))</f>
        <v>1</v>
      </c>
      <c r="AL130" t="b">
        <f>COUNTBLANK(Metadata!B130:AD130)=COLUMNS(Metadata!B130:AD130)</f>
        <v>1</v>
      </c>
      <c r="AM130" t="str">
        <v/>
      </c>
      <c r="AO130" t="b">
        <f ca="1">AND(IF(Metadata!B130="",FALSE,TRUE),COUNTIF(Metadata!B:B, Metadata!B130) = 1,NOT(ISERROR(SUMPRODUCT(SEARCH(MID(Metadata!B130,ROW(INDIRECT("1:"&amp;LEN(Metadata!B130))), 1),"0123456789abcdefghijklmnopqrstuvwxyzABCDEFGHIJKLMNOPQRSTUVWXYZ.")))))</f>
        <v>0</v>
      </c>
      <c r="AP130" t="b">
        <f>IF(Metadata!C130="",FALSE,TRUE)</f>
        <v>0</v>
      </c>
      <c r="AQ130" t="b">
        <f>IF(Metadata!D130="",FALSE,TRUE)</f>
        <v>0</v>
      </c>
      <c r="AR130" t="b">
        <f ca="1">OR(AND(IF(Metadata!E130="",FALSE,TRUE),OR(EXACT(Metadata!E130,"not collected"),EXACT(Metadata!E130,"not provided"),EXACT(Metadata!E130,"restricted access"))),AND(IF(Metadata!E130="",FALSE,TRUE),AND(AND(IFERROR(INT(LEFT(Metadata!E130,4))&gt;1900,FALSE),IFERROR(INT(LEFT(Metadata!E130,4))&lt;=YEAR(NOW()),FALSE)), OR(MID(Metadata!E130,5,1)="", AND(AND(MID(Metadata!E130,5,1)="-",IFERROR(INT(MID(Metadata!E130,6,1))&gt;=0,FALSE),IFERROR(INT(MID(Metadata!E130,6,1))&lt;=1,FALSE),NOT(MID(Metadata!E130,7,1)=""),IFERROR(INT(MID(Metadata!E130,6,2))&gt;=1,FALSE),IFERROR(INT(MID(Metadata!E130,6,2))&lt;=12,FALSE)), OR(MID(Metadata!E130,8,1)="", AND(AND(MID(Metadata!E130,8,1)="-",IFERROR(INT(MID(Metadata!E130,9,1))&gt;=0,FALSE),IFERROR(INT(MID(Metadata!E130,9,1))&lt;=3,FALSE),NOT(MID(Metadata!E130,10,1)=""),IFERROR(INT(MID(Metadata!E130,9,2))&gt;=1,FALSE),IFERROR(INT(MID(Metadata!E130,9,2))&lt;=31,FALSE)), OR(MID(Metadata!E130,11,1)="", AND(AND(MID(Metadata!E130,11,1)=" ",IFERROR(INT(MID(Metadata!E130,12,1))&gt;=0,FALSE),IFERROR(INT(MID(Metadata!E130,12,1))&lt;=2,FALSE),NOT(MID(Metadata!E130,13,1)=""),IFERROR(INT(MID(Metadata!E130,12,2))&gt;=0,FALSE),IFERROR(INT(MID(Metadata!E130,12,2))&lt;=23,FALSE)), OR(MID(Metadata!E130,14,1)="", AND(AND(MID(Metadata!E130,14,1)=":",IFERROR(INT(MID(Metadata!E130,15,1))&gt;=0,FALSE),IFERROR(INT(MID(Metadata!E130,15,1))&lt;=5,FALSE),NOT(MID(Metadata!E130,16,1)=""),IFERROR(INT(MID(Metadata!E130,15,2))&gt;=0,FALSE),IFERROR(INT(MID(Metadata!E130,15,2))&lt;=59,FALSE)), OR(MID(Metadata!E130,17,1)="", AND(AND(MID(Metadata!E130,17,1)=":",IFERROR(INT(MID(Metadata!E130,18,1))&gt;=0,FALSE),IFERROR(INT(MID(Metadata!E130,18,1))&lt;=5,FALSE),NOT(MID(Metadata!E130,19,1)=""),IFERROR(INT(MID(Metadata!E130,18,2))&gt;=0,FALSE),IFERROR(INT(MID(Metadata!E130,18,2))&lt;=59,FALSE)), LEN(Metadata!E130)&lt;=19)))))))))))))</f>
        <v>0</v>
      </c>
      <c r="AS130" t="b">
        <f>IF(Metadata!F130="",FALSE,TRUE)</f>
        <v>0</v>
      </c>
      <c r="AT130" t="b">
        <f>OR(AND(IF(Metadata!G130="",FALSE,TRUE),OR(EXACT(Metadata!G130,"not collected"),EXACT(Metadata!G130,"not provided"))),AND(IF(Metadata!G130="",FALSE,TRUE),OR(EXACT(Metadata!G130,"TRUE"),EXACT(Metadata!G130,"FALSE"))))</f>
        <v>0</v>
      </c>
      <c r="AU130" t="b">
        <f>OR(AND(IF(Metadata!H130="",FALSE,TRUE),OR(EXACT(Metadata!H130,"not collected"),EXACT(Metadata!H130,"not provided"),EXACT(Metadata!H130,"restricted access"))),AND(IF(Metadata!H130="",FALSE,ISNUMBER(VALUE(Metadata!H130))),Metadata!H130&gt;=-413))</f>
        <v>0</v>
      </c>
      <c r="AV130" t="b">
        <f>AND(IF(Metadata!I130="",FALSE,TRUE),EXACT(Metadata!I130,"meters"))</f>
        <v>0</v>
      </c>
      <c r="AW130" t="b">
        <f>AND(IF(Metadata!J130="",FALSE,TRUE),EXACT(Metadata!J130,"free-living"))</f>
        <v>0</v>
      </c>
      <c r="AX130" t="b">
        <f>AND(IF(Metadata!K130="",FALSE,TRUE),OR(EXACT(Metadata!K130,"saline"),EXACT(Metadata!K130,"non-saline")))</f>
        <v>0</v>
      </c>
      <c r="AY130" t="b">
        <f>AND(IF(Metadata!L130="",FALSE,TRUE),OR(EXACT(Metadata!L130,"sub-surface (non-saline)"),EXACT(Metadata!L130,"surface (non-saline)"),EXACT(Metadata!L130,"water (non-saline)"),EXACT(Metadata!L130,"soil (non-saline)"),EXACT(Metadata!L130,"aerosol (non-saline)"),EXACT(Metadata!L130,"sediment (non-saline)"),EXACT(Metadata!L130,"surface (saline)"),EXACT(Metadata!L130,"water (saline)"),EXACT(Metadata!L130,"hypersaline (saline)"),EXACT(Metadata!L130,"aerosol (saline)"),EXACT(Metadata!L130,"sediment (saline)")))</f>
        <v>0</v>
      </c>
      <c r="AZ130" t="b">
        <f>IF(Metadata!M130="",FALSE,TRUE)</f>
        <v>0</v>
      </c>
      <c r="BA130" t="b">
        <f>IF(Metadata!N130="",FALSE,TRUE)</f>
        <v>0</v>
      </c>
      <c r="BB130" t="b">
        <f>IF(Metadata!O130="",FALSE,TRUE)</f>
        <v>0</v>
      </c>
      <c r="BC130" t="b">
        <f>AND(IF(Metadata!P130="",FALSE,TRUE),OR(EXACT(Metadata!P130,"air"),EXACT(Metadata!P130,"microbial mat/biofilm"),EXACT(Metadata!P130,"misc environment"),EXACT(Metadata!P130,"sediment"),EXACT(Metadata!P130,"soil"),EXACT(Metadata!P130,"wastewater/sludge"),EXACT(Metadata!P130,"water")))</f>
        <v>0</v>
      </c>
      <c r="BD130" t="b">
        <f>IF(Metadata!Q130="",FALSE,TRUE)</f>
        <v>0</v>
      </c>
      <c r="BE130" t="b">
        <f>IF(Metadata!R130="",FALSE,TRUE)</f>
        <v>0</v>
      </c>
      <c r="BF130" t="b">
        <f>OR(AND(IF(Metadata!S130="",FALSE,TRUE),OR(EXACT(Metadata!S130,"not collected"),EXACT(Metadata!S130,"not provided"),EXACT(Metadata!S130,"restricted access"))),AND(IF(Metadata!S130="",FALSE,ISNUMBER(VALUE(Metadata!S130))),Metadata!S130&gt;=-90,Metadata!S130&lt;=90))</f>
        <v>0</v>
      </c>
      <c r="BG130" t="b">
        <f>AND(IF(Metadata!T130="",FALSE,TRUE),EXACT(Metadata!T130,"Decimal degrees"))</f>
        <v>0</v>
      </c>
      <c r="BH130" t="b">
        <f>OR(AND(IF(Metadata!U130="",FALSE,TRUE),OR(EXACT(Metadata!U130,"not applicable"),EXACT(Metadata!U130,"not collected"))),IF(Metadata!U130="",FALSE,TRUE))</f>
        <v>0</v>
      </c>
      <c r="BI130" t="b">
        <f>OR(AND(IF(Metadata!V130="",FALSE,TRUE),OR(EXACT(Metadata!V130,"not collected"),EXACT(Metadata!V130,"not provided"),EXACT(Metadata!V130,"restricted access"))),AND(IF(Metadata!V130="",FALSE,ISNUMBER(VALUE(Metadata!V130))),Metadata!V130&gt;=-180,Metadata!V130&lt;=180))</f>
        <v>0</v>
      </c>
      <c r="BJ130" t="b">
        <f>AND(IF(Metadata!W130="",FALSE,TRUE),EXACT(Metadata!W130,"Decimal degrees"))</f>
        <v>0</v>
      </c>
      <c r="BK130" t="b">
        <f>IF(Metadata!X130="",FALSE,TRUE)</f>
        <v>0</v>
      </c>
      <c r="BL130" t="b">
        <f>OR(AND(IF(Metadata!Y130="",FALSE,TRUE),OR(EXACT(Metadata!Y130,"not collected"),EXACT(Metadata!Y130,"not provided"),EXACT(Metadata!Y130,"restricted access"))),AND(IF(Metadata!Y130="",FALSE,TRUE),OR(EXACT(Metadata!Y130,"TRUE"),EXACT(Metadata!Y130,"FALSE"))))</f>
        <v>0</v>
      </c>
      <c r="BM130" t="b">
        <f>OR(AND(IF(Metadata!Z130="",FALSE,TRUE),EXACT(Metadata!Z130,"not applicable")),AND(IF(Metadata!Z130="",FALSE,TRUE),OR(EXACT(Metadata!Z130,"beer"),EXACT(Metadata!Z130,"cheese"),EXACT(Metadata!Z130,"fresh water"),EXACT(Metadata!Z130,"marine sediment"),EXACT(Metadata!Z130,"sea water"),EXACT(Metadata!Z130,"sediment"),EXACT(Metadata!Z130,"soil"),EXACT(Metadata!Z130,"waste water"))))</f>
        <v>0</v>
      </c>
      <c r="BN130" t="b">
        <f>AND(IF(Metadata!AA130="",FALSE,TRUE),EXACT(Metadata!AA130,"metagenome"))</f>
        <v>0</v>
      </c>
      <c r="BO130" t="b">
        <f>AND(IF(Metadata!AB130="",FALSE,TRUE),EXACT(Metadata!AB130,"256318"))</f>
        <v>0</v>
      </c>
      <c r="BP130" t="b">
        <f>IF(Metadata!AC130="",FALSE,TRUE)</f>
        <v>0</v>
      </c>
      <c r="BQ130" t="b">
        <f>IF(Metadata!AD130="",FALSE,TRUE)</f>
        <v>0</v>
      </c>
    </row>
    <row r="131" spans="1:69" x14ac:dyDescent="0.2">
      <c r="A131" s="4" t="e">
        <f ca="1">IF(B131=" "," ",HYPERLINK(CONCATENATE("#metadata!",ADDRESS(INDEX($AJ$2:$AJ$1001,MATCH(ROWS($AH$2:AH131),$AH$2:$AH$1001,0),0),2)),INDEX($AM$2:$AM$1001,MATCH(ROWS($AH$2:AH131),$AH$2:$AH$1001,0),0)))</f>
        <v>#N/A</v>
      </c>
      <c r="B131" s="5" t="e">
        <f ca="1">IF(OR(INDEX($AI$2:$AI$1001,MATCH(ROWS($AH$2:AH131),$AH$2:$AH$1001,0),1)&gt;=100000,INDEX($AO$1005:$BQ$1005,1,MATCH(COLUMNS($AO$1006:AO1006),$AO$1006:$BQ$1006,0))&gt;=100000), " ",IF(INDEX($AO$2:$BQ$1001,MATCH(ROWS($AH$2:AH131),$AH$2:$AH$1001,0),MATCH(COLUMNS($AO$1006:AO1006),$AO$1006:$BQ$1006,0)), HYPERLINK("#",""), HYPERLINK(CONCATENATE("#Metadata!", ADDRESS(INDEX($AJ$2:$AJ$1001,MATCH(ROWS($AH$2:AH131),$AH$2:$AH$1001,0),0), INDEX($AO$1004:$BQ$1004,1,MATCH(COLUMNS($AO$1006:AO1006),$AO$1006:$BQ$1006,0)))),"Fix")))</f>
        <v>#N/A</v>
      </c>
      <c r="C131" s="5" t="e">
        <f ca="1">IF(OR(INDEX($AI$2:$AI$1001,MATCH(ROWS($AH$2:AH131),$AH$2:$AH$1001,0),1)&gt;=100000,INDEX($AO$1005:$BQ$1005,1,MATCH(COLUMNS($AO$1006:AP1006),$AO$1006:$BQ$1006,0))&gt;=100000), " ",IF(INDEX($AO$2:$BQ$1001,MATCH(ROWS($AH$2:AH131),$AH$2:$AH$1001,0),MATCH(COLUMNS($AO$1006:AP1006),$AO$1006:$BQ$1006,0)), HYPERLINK("#",""), HYPERLINK(CONCATENATE("#Metadata!", ADDRESS(INDEX($AJ$2:$AJ$1001,MATCH(ROWS($AH$2:AH131),$AH$2:$AH$1001,0),0), INDEX($AO$1004:$BQ$1004,1,MATCH(COLUMNS($AO$1006:AP1006),$AO$1006:$BQ$1006,0)))),"Fix")))</f>
        <v>#N/A</v>
      </c>
      <c r="D131" s="5" t="e">
        <f ca="1">IF(OR(INDEX($AI$2:$AI$1001,MATCH(ROWS($AH$2:AH131),$AH$2:$AH$1001,0),1)&gt;=100000,INDEX($AO$1005:$BQ$1005,1,MATCH(COLUMNS($AO$1006:AQ1006),$AO$1006:$BQ$1006,0))&gt;=100000), " ",IF(INDEX($AO$2:$BQ$1001,MATCH(ROWS($AH$2:AH131),$AH$2:$AH$1001,0),MATCH(COLUMNS($AO$1006:AQ1006),$AO$1006:$BQ$1006,0)), HYPERLINK("#",""), HYPERLINK(CONCATENATE("#Metadata!", ADDRESS(INDEX($AJ$2:$AJ$1001,MATCH(ROWS($AH$2:AH131),$AH$2:$AH$1001,0),0), INDEX($AO$1004:$BQ$1004,1,MATCH(COLUMNS($AO$1006:AQ1006),$AO$1006:$BQ$1006,0)))),"Fix")))</f>
        <v>#N/A</v>
      </c>
      <c r="E131" s="5" t="e">
        <f ca="1">IF(OR(INDEX($AI$2:$AI$1001,MATCH(ROWS($AH$2:AH131),$AH$2:$AH$1001,0),1)&gt;=100000,INDEX($AO$1005:$BQ$1005,1,MATCH(COLUMNS($AO$1006:AR1006),$AO$1006:$BQ$1006,0))&gt;=100000), " ",IF(INDEX($AO$2:$BQ$1001,MATCH(ROWS($AH$2:AH131),$AH$2:$AH$1001,0),MATCH(COLUMNS($AO$1006:AR1006),$AO$1006:$BQ$1006,0)), HYPERLINK("#",""), HYPERLINK(CONCATENATE("#Metadata!", ADDRESS(INDEX($AJ$2:$AJ$1001,MATCH(ROWS($AH$2:AH131),$AH$2:$AH$1001,0),0), INDEX($AO$1004:$BQ$1004,1,MATCH(COLUMNS($AO$1006:AR1006),$AO$1006:$BQ$1006,0)))),"Fix")))</f>
        <v>#N/A</v>
      </c>
      <c r="F131" s="5" t="e">
        <f ca="1">IF(OR(INDEX($AI$2:$AI$1001,MATCH(ROWS($AH$2:AH131),$AH$2:$AH$1001,0),1)&gt;=100000,INDEX($AO$1005:$BQ$1005,1,MATCH(COLUMNS($AO$1006:AS1006),$AO$1006:$BQ$1006,0))&gt;=100000), " ",IF(INDEX($AO$2:$BQ$1001,MATCH(ROWS($AH$2:AH131),$AH$2:$AH$1001,0),MATCH(COLUMNS($AO$1006:AS1006),$AO$1006:$BQ$1006,0)), HYPERLINK("#",""), HYPERLINK(CONCATENATE("#Metadata!", ADDRESS(INDEX($AJ$2:$AJ$1001,MATCH(ROWS($AH$2:AH131),$AH$2:$AH$1001,0),0), INDEX($AO$1004:$BQ$1004,1,MATCH(COLUMNS($AO$1006:AS1006),$AO$1006:$BQ$1006,0)))),"Fix")))</f>
        <v>#N/A</v>
      </c>
      <c r="G131" s="5" t="e">
        <f ca="1">IF(OR(INDEX($AI$2:$AI$1001,MATCH(ROWS($AH$2:AH131),$AH$2:$AH$1001,0),1)&gt;=100000,INDEX($AO$1005:$BQ$1005,1,MATCH(COLUMNS($AO$1006:AT1006),$AO$1006:$BQ$1006,0))&gt;=100000), " ",IF(INDEX($AO$2:$BQ$1001,MATCH(ROWS($AH$2:AH131),$AH$2:$AH$1001,0),MATCH(COLUMNS($AO$1006:AT1006),$AO$1006:$BQ$1006,0)), HYPERLINK("#",""), HYPERLINK(CONCATENATE("#Metadata!", ADDRESS(INDEX($AJ$2:$AJ$1001,MATCH(ROWS($AH$2:AH131),$AH$2:$AH$1001,0),0), INDEX($AO$1004:$BQ$1004,1,MATCH(COLUMNS($AO$1006:AT1006),$AO$1006:$BQ$1006,0)))),"Fix")))</f>
        <v>#N/A</v>
      </c>
      <c r="H131" s="5" t="e">
        <f ca="1">IF(OR(INDEX($AI$2:$AI$1001,MATCH(ROWS($AH$2:AH131),$AH$2:$AH$1001,0),1)&gt;=100000,INDEX($AO$1005:$BQ$1005,1,MATCH(COLUMNS($AO$1006:AU1006),$AO$1006:$BQ$1006,0))&gt;=100000), " ",IF(INDEX($AO$2:$BQ$1001,MATCH(ROWS($AH$2:AH131),$AH$2:$AH$1001,0),MATCH(COLUMNS($AO$1006:AU1006),$AO$1006:$BQ$1006,0)), HYPERLINK("#",""), HYPERLINK(CONCATENATE("#Metadata!", ADDRESS(INDEX($AJ$2:$AJ$1001,MATCH(ROWS($AH$2:AH131),$AH$2:$AH$1001,0),0), INDEX($AO$1004:$BQ$1004,1,MATCH(COLUMNS($AO$1006:AU1006),$AO$1006:$BQ$1006,0)))),"Fix")))</f>
        <v>#N/A</v>
      </c>
      <c r="I131" s="5" t="e">
        <f ca="1">IF(OR(INDEX($AI$2:$AI$1001,MATCH(ROWS($AH$2:AH131),$AH$2:$AH$1001,0),1)&gt;=100000,INDEX($AO$1005:$BQ$1005,1,MATCH(COLUMNS($AO$1006:AV1006),$AO$1006:$BQ$1006,0))&gt;=100000), " ",IF(INDEX($AO$2:$BQ$1001,MATCH(ROWS($AH$2:AH131),$AH$2:$AH$1001,0),MATCH(COLUMNS($AO$1006:AV1006),$AO$1006:$BQ$1006,0)), HYPERLINK("#",""), HYPERLINK(CONCATENATE("#Metadata!", ADDRESS(INDEX($AJ$2:$AJ$1001,MATCH(ROWS($AH$2:AH131),$AH$2:$AH$1001,0),0), INDEX($AO$1004:$BQ$1004,1,MATCH(COLUMNS($AO$1006:AV1006),$AO$1006:$BQ$1006,0)))),"Fix")))</f>
        <v>#N/A</v>
      </c>
      <c r="J131" s="5" t="e">
        <f ca="1">IF(OR(INDEX($AI$2:$AI$1001,MATCH(ROWS($AH$2:AH131),$AH$2:$AH$1001,0),1)&gt;=100000,INDEX($AO$1005:$BQ$1005,1,MATCH(COLUMNS($AO$1006:AW1006),$AO$1006:$BQ$1006,0))&gt;=100000), " ",IF(INDEX($AO$2:$BQ$1001,MATCH(ROWS($AH$2:AH131),$AH$2:$AH$1001,0),MATCH(COLUMNS($AO$1006:AW1006),$AO$1006:$BQ$1006,0)), HYPERLINK("#",""), HYPERLINK(CONCATENATE("#Metadata!", ADDRESS(INDEX($AJ$2:$AJ$1001,MATCH(ROWS($AH$2:AH131),$AH$2:$AH$1001,0),0), INDEX($AO$1004:$BQ$1004,1,MATCH(COLUMNS($AO$1006:AW1006),$AO$1006:$BQ$1006,0)))),"Fix")))</f>
        <v>#N/A</v>
      </c>
      <c r="K131" s="5" t="e">
        <f ca="1">IF(OR(INDEX($AI$2:$AI$1001,MATCH(ROWS($AH$2:AH131),$AH$2:$AH$1001,0),1)&gt;=100000,INDEX($AO$1005:$BQ$1005,1,MATCH(COLUMNS($AO$1006:AX1006),$AO$1006:$BQ$1006,0))&gt;=100000), " ",IF(INDEX($AO$2:$BQ$1001,MATCH(ROWS($AH$2:AH131),$AH$2:$AH$1001,0),MATCH(COLUMNS($AO$1006:AX1006),$AO$1006:$BQ$1006,0)), HYPERLINK("#",""), HYPERLINK(CONCATENATE("#Metadata!", ADDRESS(INDEX($AJ$2:$AJ$1001,MATCH(ROWS($AH$2:AH131),$AH$2:$AH$1001,0),0), INDEX($AO$1004:$BQ$1004,1,MATCH(COLUMNS($AO$1006:AX1006),$AO$1006:$BQ$1006,0)))),"Fix")))</f>
        <v>#N/A</v>
      </c>
      <c r="L131" s="5" t="e">
        <f ca="1">IF(OR(INDEX($AI$2:$AI$1001,MATCH(ROWS($AH$2:AH131),$AH$2:$AH$1001,0),1)&gt;=100000,INDEX($AO$1005:$BQ$1005,1,MATCH(COLUMNS($AO$1006:AY1006),$AO$1006:$BQ$1006,0))&gt;=100000), " ",IF(INDEX($AO$2:$BQ$1001,MATCH(ROWS($AH$2:AH131),$AH$2:$AH$1001,0),MATCH(COLUMNS($AO$1006:AY1006),$AO$1006:$BQ$1006,0)), HYPERLINK("#",""), HYPERLINK(CONCATENATE("#Metadata!", ADDRESS(INDEX($AJ$2:$AJ$1001,MATCH(ROWS($AH$2:AH131),$AH$2:$AH$1001,0),0), INDEX($AO$1004:$BQ$1004,1,MATCH(COLUMNS($AO$1006:AY1006),$AO$1006:$BQ$1006,0)))),"Fix")))</f>
        <v>#N/A</v>
      </c>
      <c r="M131" s="5" t="e">
        <f ca="1">IF(OR(INDEX($AI$2:$AI$1001,MATCH(ROWS($AH$2:AH131),$AH$2:$AH$1001,0),1)&gt;=100000,INDEX($AO$1005:$BQ$1005,1,MATCH(COLUMNS($AO$1006:AZ1006),$AO$1006:$BQ$1006,0))&gt;=100000), " ",IF(INDEX($AO$2:$BQ$1001,MATCH(ROWS($AH$2:AH131),$AH$2:$AH$1001,0),MATCH(COLUMNS($AO$1006:AZ1006),$AO$1006:$BQ$1006,0)), HYPERLINK("#",""), HYPERLINK(CONCATENATE("#Metadata!", ADDRESS(INDEX($AJ$2:$AJ$1001,MATCH(ROWS($AH$2:AH131),$AH$2:$AH$1001,0),0), INDEX($AO$1004:$BQ$1004,1,MATCH(COLUMNS($AO$1006:AZ1006),$AO$1006:$BQ$1006,0)))),"Fix")))</f>
        <v>#N/A</v>
      </c>
      <c r="N131" s="5" t="e">
        <f ca="1">IF(OR(INDEX($AI$2:$AI$1001,MATCH(ROWS($AH$2:AH131),$AH$2:$AH$1001,0),1)&gt;=100000,INDEX($AO$1005:$BQ$1005,1,MATCH(COLUMNS($AO$1006:BA1006),$AO$1006:$BQ$1006,0))&gt;=100000), " ",IF(INDEX($AO$2:$BQ$1001,MATCH(ROWS($AH$2:AH131),$AH$2:$AH$1001,0),MATCH(COLUMNS($AO$1006:BA1006),$AO$1006:$BQ$1006,0)), HYPERLINK("#",""), HYPERLINK(CONCATENATE("#Metadata!", ADDRESS(INDEX($AJ$2:$AJ$1001,MATCH(ROWS($AH$2:AH131),$AH$2:$AH$1001,0),0), INDEX($AO$1004:$BQ$1004,1,MATCH(COLUMNS($AO$1006:BA1006),$AO$1006:$BQ$1006,0)))),"Fix")))</f>
        <v>#N/A</v>
      </c>
      <c r="O131" s="5" t="e">
        <f ca="1">IF(OR(INDEX($AI$2:$AI$1001,MATCH(ROWS($AH$2:AH131),$AH$2:$AH$1001,0),1)&gt;=100000,INDEX($AO$1005:$BQ$1005,1,MATCH(COLUMNS($AO$1006:BB1006),$AO$1006:$BQ$1006,0))&gt;=100000), " ",IF(INDEX($AO$2:$BQ$1001,MATCH(ROWS($AH$2:AH131),$AH$2:$AH$1001,0),MATCH(COLUMNS($AO$1006:BB1006),$AO$1006:$BQ$1006,0)), HYPERLINK("#",""), HYPERLINK(CONCATENATE("#Metadata!", ADDRESS(INDEX($AJ$2:$AJ$1001,MATCH(ROWS($AH$2:AH131),$AH$2:$AH$1001,0),0), INDEX($AO$1004:$BQ$1004,1,MATCH(COLUMNS($AO$1006:BB1006),$AO$1006:$BQ$1006,0)))),"Fix")))</f>
        <v>#N/A</v>
      </c>
      <c r="P131" s="5" t="e">
        <f ca="1">IF(OR(INDEX($AI$2:$AI$1001,MATCH(ROWS($AH$2:AH131),$AH$2:$AH$1001,0),1)&gt;=100000,INDEX($AO$1005:$BQ$1005,1,MATCH(COLUMNS($AO$1006:BC1006),$AO$1006:$BQ$1006,0))&gt;=100000), " ",IF(INDEX($AO$2:$BQ$1001,MATCH(ROWS($AH$2:AH131),$AH$2:$AH$1001,0),MATCH(COLUMNS($AO$1006:BC1006),$AO$1006:$BQ$1006,0)), HYPERLINK("#",""), HYPERLINK(CONCATENATE("#Metadata!", ADDRESS(INDEX($AJ$2:$AJ$1001,MATCH(ROWS($AH$2:AH131),$AH$2:$AH$1001,0),0), INDEX($AO$1004:$BQ$1004,1,MATCH(COLUMNS($AO$1006:BC1006),$AO$1006:$BQ$1006,0)))),"Fix")))</f>
        <v>#N/A</v>
      </c>
      <c r="Q131" s="5" t="e">
        <f ca="1">IF(OR(INDEX($AI$2:$AI$1001,MATCH(ROWS($AH$2:AH131),$AH$2:$AH$1001,0),1)&gt;=100000,INDEX($AO$1005:$BQ$1005,1,MATCH(COLUMNS($AO$1006:BD1006),$AO$1006:$BQ$1006,0))&gt;=100000), " ",IF(INDEX($AO$2:$BQ$1001,MATCH(ROWS($AH$2:AH131),$AH$2:$AH$1001,0),MATCH(COLUMNS($AO$1006:BD1006),$AO$1006:$BQ$1006,0)), HYPERLINK("#",""), HYPERLINK(CONCATENATE("#Metadata!", ADDRESS(INDEX($AJ$2:$AJ$1001,MATCH(ROWS($AH$2:AH131),$AH$2:$AH$1001,0),0), INDEX($AO$1004:$BQ$1004,1,MATCH(COLUMNS($AO$1006:BD1006),$AO$1006:$BQ$1006,0)))),"Fix")))</f>
        <v>#N/A</v>
      </c>
      <c r="R131" s="5" t="e">
        <f ca="1">IF(OR(INDEX($AI$2:$AI$1001,MATCH(ROWS($AH$2:AH131),$AH$2:$AH$1001,0),1)&gt;=100000,INDEX($AO$1005:$BQ$1005,1,MATCH(COLUMNS($AO$1006:BE1006),$AO$1006:$BQ$1006,0))&gt;=100000), " ",IF(INDEX($AO$2:$BQ$1001,MATCH(ROWS($AH$2:AH131),$AH$2:$AH$1001,0),MATCH(COLUMNS($AO$1006:BE1006),$AO$1006:$BQ$1006,0)), HYPERLINK("#",""), HYPERLINK(CONCATENATE("#Metadata!", ADDRESS(INDEX($AJ$2:$AJ$1001,MATCH(ROWS($AH$2:AH131),$AH$2:$AH$1001,0),0), INDEX($AO$1004:$BQ$1004,1,MATCH(COLUMNS($AO$1006:BE1006),$AO$1006:$BQ$1006,0)))),"Fix")))</f>
        <v>#N/A</v>
      </c>
      <c r="S131" s="5" t="e">
        <f ca="1">IF(OR(INDEX($AI$2:$AI$1001,MATCH(ROWS($AH$2:AH131),$AH$2:$AH$1001,0),1)&gt;=100000,INDEX($AO$1005:$BQ$1005,1,MATCH(COLUMNS($AO$1006:BF1006),$AO$1006:$BQ$1006,0))&gt;=100000), " ",IF(INDEX($AO$2:$BQ$1001,MATCH(ROWS($AH$2:AH131),$AH$2:$AH$1001,0),MATCH(COLUMNS($AO$1006:BF1006),$AO$1006:$BQ$1006,0)), HYPERLINK("#",""), HYPERLINK(CONCATENATE("#Metadata!", ADDRESS(INDEX($AJ$2:$AJ$1001,MATCH(ROWS($AH$2:AH131),$AH$2:$AH$1001,0),0), INDEX($AO$1004:$BQ$1004,1,MATCH(COLUMNS($AO$1006:BF1006),$AO$1006:$BQ$1006,0)))),"Fix")))</f>
        <v>#N/A</v>
      </c>
      <c r="T131" s="5" t="e">
        <f ca="1">IF(OR(INDEX($AI$2:$AI$1001,MATCH(ROWS($AH$2:AH131),$AH$2:$AH$1001,0),1)&gt;=100000,INDEX($AO$1005:$BQ$1005,1,MATCH(COLUMNS($AO$1006:BG1006),$AO$1006:$BQ$1006,0))&gt;=100000), " ",IF(INDEX($AO$2:$BQ$1001,MATCH(ROWS($AH$2:AH131),$AH$2:$AH$1001,0),MATCH(COLUMNS($AO$1006:BG1006),$AO$1006:$BQ$1006,0)), HYPERLINK("#",""), HYPERLINK(CONCATENATE("#Metadata!", ADDRESS(INDEX($AJ$2:$AJ$1001,MATCH(ROWS($AH$2:AH131),$AH$2:$AH$1001,0),0), INDEX($AO$1004:$BQ$1004,1,MATCH(COLUMNS($AO$1006:BG1006),$AO$1006:$BQ$1006,0)))),"Fix")))</f>
        <v>#N/A</v>
      </c>
      <c r="U131" s="5" t="e">
        <f ca="1">IF(OR(INDEX($AI$2:$AI$1001,MATCH(ROWS($AH$2:AH131),$AH$2:$AH$1001,0),1)&gt;=100000,INDEX($AO$1005:$BQ$1005,1,MATCH(COLUMNS($AO$1006:BH1006),$AO$1006:$BQ$1006,0))&gt;=100000), " ",IF(INDEX($AO$2:$BQ$1001,MATCH(ROWS($AH$2:AH131),$AH$2:$AH$1001,0),MATCH(COLUMNS($AO$1006:BH1006),$AO$1006:$BQ$1006,0)), HYPERLINK("#",""), HYPERLINK(CONCATENATE("#Metadata!", ADDRESS(INDEX($AJ$2:$AJ$1001,MATCH(ROWS($AH$2:AH131),$AH$2:$AH$1001,0),0), INDEX($AO$1004:$BQ$1004,1,MATCH(COLUMNS($AO$1006:BH1006),$AO$1006:$BQ$1006,0)))),"Fix")))</f>
        <v>#N/A</v>
      </c>
      <c r="V131" s="5" t="e">
        <f ca="1">IF(OR(INDEX($AI$2:$AI$1001,MATCH(ROWS($AH$2:AH131),$AH$2:$AH$1001,0),1)&gt;=100000,INDEX($AO$1005:$BQ$1005,1,MATCH(COLUMNS($AO$1006:BI1006),$AO$1006:$BQ$1006,0))&gt;=100000), " ",IF(INDEX($AO$2:$BQ$1001,MATCH(ROWS($AH$2:AH131),$AH$2:$AH$1001,0),MATCH(COLUMNS($AO$1006:BI1006),$AO$1006:$BQ$1006,0)), HYPERLINK("#",""), HYPERLINK(CONCATENATE("#Metadata!", ADDRESS(INDEX($AJ$2:$AJ$1001,MATCH(ROWS($AH$2:AH131),$AH$2:$AH$1001,0),0), INDEX($AO$1004:$BQ$1004,1,MATCH(COLUMNS($AO$1006:BI1006),$AO$1006:$BQ$1006,0)))),"Fix")))</f>
        <v>#N/A</v>
      </c>
      <c r="W131" s="5" t="e">
        <f ca="1">IF(OR(INDEX($AI$2:$AI$1001,MATCH(ROWS($AH$2:AH131),$AH$2:$AH$1001,0),1)&gt;=100000,INDEX($AO$1005:$BQ$1005,1,MATCH(COLUMNS($AO$1006:BJ1006),$AO$1006:$BQ$1006,0))&gt;=100000), " ",IF(INDEX($AO$2:$BQ$1001,MATCH(ROWS($AH$2:AH131),$AH$2:$AH$1001,0),MATCH(COLUMNS($AO$1006:BJ1006),$AO$1006:$BQ$1006,0)), HYPERLINK("#",""), HYPERLINK(CONCATENATE("#Metadata!", ADDRESS(INDEX($AJ$2:$AJ$1001,MATCH(ROWS($AH$2:AH131),$AH$2:$AH$1001,0),0), INDEX($AO$1004:$BQ$1004,1,MATCH(COLUMNS($AO$1006:BJ1006),$AO$1006:$BQ$1006,0)))),"Fix")))</f>
        <v>#N/A</v>
      </c>
      <c r="X131" s="5" t="e">
        <f ca="1">IF(OR(INDEX($AI$2:$AI$1001,MATCH(ROWS($AH$2:AH131),$AH$2:$AH$1001,0),1)&gt;=100000,INDEX($AO$1005:$BQ$1005,1,MATCH(COLUMNS($AO$1006:BK1006),$AO$1006:$BQ$1006,0))&gt;=100000), " ",IF(INDEX($AO$2:$BQ$1001,MATCH(ROWS($AH$2:AH131),$AH$2:$AH$1001,0),MATCH(COLUMNS($AO$1006:BK1006),$AO$1006:$BQ$1006,0)), HYPERLINK("#",""), HYPERLINK(CONCATENATE("#Metadata!", ADDRESS(INDEX($AJ$2:$AJ$1001,MATCH(ROWS($AH$2:AH131),$AH$2:$AH$1001,0),0), INDEX($AO$1004:$BQ$1004,1,MATCH(COLUMNS($AO$1006:BK1006),$AO$1006:$BQ$1006,0)))),"Fix")))</f>
        <v>#N/A</v>
      </c>
      <c r="Y131" s="5" t="e">
        <f ca="1">IF(OR(INDEX($AI$2:$AI$1001,MATCH(ROWS($AH$2:AH131),$AH$2:$AH$1001,0),1)&gt;=100000,INDEX($AO$1005:$BQ$1005,1,MATCH(COLUMNS($AO$1006:BL1006),$AO$1006:$BQ$1006,0))&gt;=100000), " ",IF(INDEX($AO$2:$BQ$1001,MATCH(ROWS($AH$2:AH131),$AH$2:$AH$1001,0),MATCH(COLUMNS($AO$1006:BL1006),$AO$1006:$BQ$1006,0)), HYPERLINK("#",""), HYPERLINK(CONCATENATE("#Metadata!", ADDRESS(INDEX($AJ$2:$AJ$1001,MATCH(ROWS($AH$2:AH131),$AH$2:$AH$1001,0),0), INDEX($AO$1004:$BQ$1004,1,MATCH(COLUMNS($AO$1006:BL1006),$AO$1006:$BQ$1006,0)))),"Fix")))</f>
        <v>#N/A</v>
      </c>
      <c r="Z131" s="5" t="e">
        <f ca="1">IF(OR(INDEX($AI$2:$AI$1001,MATCH(ROWS($AH$2:AH131),$AH$2:$AH$1001,0),1)&gt;=100000,INDEX($AO$1005:$BQ$1005,1,MATCH(COLUMNS($AO$1006:BM1006),$AO$1006:$BQ$1006,0))&gt;=100000), " ",IF(INDEX($AO$2:$BQ$1001,MATCH(ROWS($AH$2:AH131),$AH$2:$AH$1001,0),MATCH(COLUMNS($AO$1006:BM1006),$AO$1006:$BQ$1006,0)), HYPERLINK("#",""), HYPERLINK(CONCATENATE("#Metadata!", ADDRESS(INDEX($AJ$2:$AJ$1001,MATCH(ROWS($AH$2:AH131),$AH$2:$AH$1001,0),0), INDEX($AO$1004:$BQ$1004,1,MATCH(COLUMNS($AO$1006:BM1006),$AO$1006:$BQ$1006,0)))),"Fix")))</f>
        <v>#N/A</v>
      </c>
      <c r="AA131" s="5" t="e">
        <f ca="1">IF(OR(INDEX($AI$2:$AI$1001,MATCH(ROWS($AH$2:AH131),$AH$2:$AH$1001,0),1)&gt;=100000,INDEX($AO$1005:$BQ$1005,1,MATCH(COLUMNS($AO$1006:BN1006),$AO$1006:$BQ$1006,0))&gt;=100000), " ",IF(INDEX($AO$2:$BQ$1001,MATCH(ROWS($AH$2:AH131),$AH$2:$AH$1001,0),MATCH(COLUMNS($AO$1006:BN1006),$AO$1006:$BQ$1006,0)), HYPERLINK("#",""), HYPERLINK(CONCATENATE("#Metadata!", ADDRESS(INDEX($AJ$2:$AJ$1001,MATCH(ROWS($AH$2:AH131),$AH$2:$AH$1001,0),0), INDEX($AO$1004:$BQ$1004,1,MATCH(COLUMNS($AO$1006:BN1006),$AO$1006:$BQ$1006,0)))),"Fix")))</f>
        <v>#N/A</v>
      </c>
      <c r="AB131" s="5" t="e">
        <f ca="1">IF(OR(INDEX($AI$2:$AI$1001,MATCH(ROWS($AH$2:AH131),$AH$2:$AH$1001,0),1)&gt;=100000,INDEX($AO$1005:$BQ$1005,1,MATCH(COLUMNS($AO$1006:BO1006),$AO$1006:$BQ$1006,0))&gt;=100000), " ",IF(INDEX($AO$2:$BQ$1001,MATCH(ROWS($AH$2:AH131),$AH$2:$AH$1001,0),MATCH(COLUMNS($AO$1006:BO1006),$AO$1006:$BQ$1006,0)), HYPERLINK("#",""), HYPERLINK(CONCATENATE("#Metadata!", ADDRESS(INDEX($AJ$2:$AJ$1001,MATCH(ROWS($AH$2:AH131),$AH$2:$AH$1001,0),0), INDEX($AO$1004:$BQ$1004,1,MATCH(COLUMNS($AO$1006:BO1006),$AO$1006:$BQ$1006,0)))),"Fix")))</f>
        <v>#N/A</v>
      </c>
      <c r="AC131" s="5" t="e">
        <f ca="1">IF(OR(INDEX($AI$2:$AI$1001,MATCH(ROWS($AH$2:AH131),$AH$2:$AH$1001,0),1)&gt;=100000,INDEX($AO$1005:$BQ$1005,1,MATCH(COLUMNS($AO$1006:BP1006),$AO$1006:$BQ$1006,0))&gt;=100000), " ",IF(INDEX($AO$2:$BQ$1001,MATCH(ROWS($AH$2:AH131),$AH$2:$AH$1001,0),MATCH(COLUMNS($AO$1006:BP1006),$AO$1006:$BQ$1006,0)), HYPERLINK("#",""), HYPERLINK(CONCATENATE("#Metadata!", ADDRESS(INDEX($AJ$2:$AJ$1001,MATCH(ROWS($AH$2:AH131),$AH$2:$AH$1001,0),0), INDEX($AO$1004:$BQ$1004,1,MATCH(COLUMNS($AO$1006:BP1006),$AO$1006:$BQ$1006,0)))),"Fix")))</f>
        <v>#N/A</v>
      </c>
      <c r="AD131" s="5" t="e">
        <f ca="1">IF(OR(INDEX($AI$2:$AI$1001,MATCH(ROWS($AH$2:AH131),$AH$2:$AH$1001,0),1)&gt;=100000,INDEX($AO$1005:$BQ$1005,1,MATCH(COLUMNS($AO$1006:BQ1006),$AO$1006:$BQ$1006,0))&gt;=100000), " ",IF(INDEX($AO$2:$BQ$1001,MATCH(ROWS($AH$2:AH131),$AH$2:$AH$1001,0),MATCH(COLUMNS($AO$1006:BQ1006),$AO$1006:$BQ$1006,0)), HYPERLINK("#",""), HYPERLINK(CONCATENATE("#Metadata!", ADDRESS(INDEX($AJ$2:$AJ$1001,MATCH(ROWS($AH$2:AH131),$AH$2:$AH$1001,0),0), INDEX($AO$1004:$BQ$1004,1,MATCH(COLUMNS($AO$1006:BQ1006),$AO$1006:$BQ$1006,0)))),"Fix")))</f>
        <v>#REF!</v>
      </c>
      <c r="AH131">
        <f ca="1"/>
        <v>128</v>
      </c>
      <c r="AI131">
        <v>100131</v>
      </c>
      <c r="AJ131">
        <v>131</v>
      </c>
      <c r="AK131" t="b">
        <f t="shared" si="2"/>
        <v>1</v>
      </c>
      <c r="AL131" t="b">
        <f>COUNTBLANK(Metadata!B131:AD131)=COLUMNS(Metadata!B131:AD131)</f>
        <v>1</v>
      </c>
      <c r="AM131" t="str">
        <v/>
      </c>
      <c r="AO131" t="b">
        <f ca="1">AND(IF(Metadata!B131="",FALSE,TRUE),COUNTIF(Metadata!B:B, Metadata!B131) = 1,NOT(ISERROR(SUMPRODUCT(SEARCH(MID(Metadata!B131,ROW(INDIRECT("1:"&amp;LEN(Metadata!B131))), 1),"0123456789abcdefghijklmnopqrstuvwxyzABCDEFGHIJKLMNOPQRSTUVWXYZ.")))))</f>
        <v>0</v>
      </c>
      <c r="AP131" t="b">
        <f>IF(Metadata!C131="",FALSE,TRUE)</f>
        <v>0</v>
      </c>
      <c r="AQ131" t="b">
        <f>IF(Metadata!D131="",FALSE,TRUE)</f>
        <v>0</v>
      </c>
      <c r="AR131" t="b">
        <f ca="1">OR(AND(IF(Metadata!E131="",FALSE,TRUE),OR(EXACT(Metadata!E131,"not collected"),EXACT(Metadata!E131,"not provided"),EXACT(Metadata!E131,"restricted access"))),AND(IF(Metadata!E131="",FALSE,TRUE),AND(AND(IFERROR(INT(LEFT(Metadata!E131,4))&gt;1900,FALSE),IFERROR(INT(LEFT(Metadata!E131,4))&lt;=YEAR(NOW()),FALSE)), OR(MID(Metadata!E131,5,1)="", AND(AND(MID(Metadata!E131,5,1)="-",IFERROR(INT(MID(Metadata!E131,6,1))&gt;=0,FALSE),IFERROR(INT(MID(Metadata!E131,6,1))&lt;=1,FALSE),NOT(MID(Metadata!E131,7,1)=""),IFERROR(INT(MID(Metadata!E131,6,2))&gt;=1,FALSE),IFERROR(INT(MID(Metadata!E131,6,2))&lt;=12,FALSE)), OR(MID(Metadata!E131,8,1)="", AND(AND(MID(Metadata!E131,8,1)="-",IFERROR(INT(MID(Metadata!E131,9,1))&gt;=0,FALSE),IFERROR(INT(MID(Metadata!E131,9,1))&lt;=3,FALSE),NOT(MID(Metadata!E131,10,1)=""),IFERROR(INT(MID(Metadata!E131,9,2))&gt;=1,FALSE),IFERROR(INT(MID(Metadata!E131,9,2))&lt;=31,FALSE)), OR(MID(Metadata!E131,11,1)="", AND(AND(MID(Metadata!E131,11,1)=" ",IFERROR(INT(MID(Metadata!E131,12,1))&gt;=0,FALSE),IFERROR(INT(MID(Metadata!E131,12,1))&lt;=2,FALSE),NOT(MID(Metadata!E131,13,1)=""),IFERROR(INT(MID(Metadata!E131,12,2))&gt;=0,FALSE),IFERROR(INT(MID(Metadata!E131,12,2))&lt;=23,FALSE)), OR(MID(Metadata!E131,14,1)="", AND(AND(MID(Metadata!E131,14,1)=":",IFERROR(INT(MID(Metadata!E131,15,1))&gt;=0,FALSE),IFERROR(INT(MID(Metadata!E131,15,1))&lt;=5,FALSE),NOT(MID(Metadata!E131,16,1)=""),IFERROR(INT(MID(Metadata!E131,15,2))&gt;=0,FALSE),IFERROR(INT(MID(Metadata!E131,15,2))&lt;=59,FALSE)), OR(MID(Metadata!E131,17,1)="", AND(AND(MID(Metadata!E131,17,1)=":",IFERROR(INT(MID(Metadata!E131,18,1))&gt;=0,FALSE),IFERROR(INT(MID(Metadata!E131,18,1))&lt;=5,FALSE),NOT(MID(Metadata!E131,19,1)=""),IFERROR(INT(MID(Metadata!E131,18,2))&gt;=0,FALSE),IFERROR(INT(MID(Metadata!E131,18,2))&lt;=59,FALSE)), LEN(Metadata!E131)&lt;=19)))))))))))))</f>
        <v>0</v>
      </c>
      <c r="AS131" t="b">
        <f>IF(Metadata!F131="",FALSE,TRUE)</f>
        <v>0</v>
      </c>
      <c r="AT131" t="b">
        <f>OR(AND(IF(Metadata!G131="",FALSE,TRUE),OR(EXACT(Metadata!G131,"not collected"),EXACT(Metadata!G131,"not provided"))),AND(IF(Metadata!G131="",FALSE,TRUE),OR(EXACT(Metadata!G131,"TRUE"),EXACT(Metadata!G131,"FALSE"))))</f>
        <v>0</v>
      </c>
      <c r="AU131" t="b">
        <f>OR(AND(IF(Metadata!H131="",FALSE,TRUE),OR(EXACT(Metadata!H131,"not collected"),EXACT(Metadata!H131,"not provided"),EXACT(Metadata!H131,"restricted access"))),AND(IF(Metadata!H131="",FALSE,ISNUMBER(VALUE(Metadata!H131))),Metadata!H131&gt;=-413))</f>
        <v>0</v>
      </c>
      <c r="AV131" t="b">
        <f>AND(IF(Metadata!I131="",FALSE,TRUE),EXACT(Metadata!I131,"meters"))</f>
        <v>0</v>
      </c>
      <c r="AW131" t="b">
        <f>AND(IF(Metadata!J131="",FALSE,TRUE),EXACT(Metadata!J131,"free-living"))</f>
        <v>0</v>
      </c>
      <c r="AX131" t="b">
        <f>AND(IF(Metadata!K131="",FALSE,TRUE),OR(EXACT(Metadata!K131,"saline"),EXACT(Metadata!K131,"non-saline")))</f>
        <v>0</v>
      </c>
      <c r="AY131" t="b">
        <f>AND(IF(Metadata!L131="",FALSE,TRUE),OR(EXACT(Metadata!L131,"sub-surface (non-saline)"),EXACT(Metadata!L131,"surface (non-saline)"),EXACT(Metadata!L131,"water (non-saline)"),EXACT(Metadata!L131,"soil (non-saline)"),EXACT(Metadata!L131,"aerosol (non-saline)"),EXACT(Metadata!L131,"sediment (non-saline)"),EXACT(Metadata!L131,"surface (saline)"),EXACT(Metadata!L131,"water (saline)"),EXACT(Metadata!L131,"hypersaline (saline)"),EXACT(Metadata!L131,"aerosol (saline)"),EXACT(Metadata!L131,"sediment (saline)")))</f>
        <v>0</v>
      </c>
      <c r="AZ131" t="b">
        <f>IF(Metadata!M131="",FALSE,TRUE)</f>
        <v>0</v>
      </c>
      <c r="BA131" t="b">
        <f>IF(Metadata!N131="",FALSE,TRUE)</f>
        <v>0</v>
      </c>
      <c r="BB131" t="b">
        <f>IF(Metadata!O131="",FALSE,TRUE)</f>
        <v>0</v>
      </c>
      <c r="BC131" t="b">
        <f>AND(IF(Metadata!P131="",FALSE,TRUE),OR(EXACT(Metadata!P131,"air"),EXACT(Metadata!P131,"microbial mat/biofilm"),EXACT(Metadata!P131,"misc environment"),EXACT(Metadata!P131,"sediment"),EXACT(Metadata!P131,"soil"),EXACT(Metadata!P131,"wastewater/sludge"),EXACT(Metadata!P131,"water")))</f>
        <v>0</v>
      </c>
      <c r="BD131" t="b">
        <f>IF(Metadata!Q131="",FALSE,TRUE)</f>
        <v>0</v>
      </c>
      <c r="BE131" t="b">
        <f>IF(Metadata!R131="",FALSE,TRUE)</f>
        <v>0</v>
      </c>
      <c r="BF131" t="b">
        <f>OR(AND(IF(Metadata!S131="",FALSE,TRUE),OR(EXACT(Metadata!S131,"not collected"),EXACT(Metadata!S131,"not provided"),EXACT(Metadata!S131,"restricted access"))),AND(IF(Metadata!S131="",FALSE,ISNUMBER(VALUE(Metadata!S131))),Metadata!S131&gt;=-90,Metadata!S131&lt;=90))</f>
        <v>0</v>
      </c>
      <c r="BG131" t="b">
        <f>AND(IF(Metadata!T131="",FALSE,TRUE),EXACT(Metadata!T131,"Decimal degrees"))</f>
        <v>0</v>
      </c>
      <c r="BH131" t="b">
        <f>OR(AND(IF(Metadata!U131="",FALSE,TRUE),OR(EXACT(Metadata!U131,"not applicable"),EXACT(Metadata!U131,"not collected"))),IF(Metadata!U131="",FALSE,TRUE))</f>
        <v>0</v>
      </c>
      <c r="BI131" t="b">
        <f>OR(AND(IF(Metadata!V131="",FALSE,TRUE),OR(EXACT(Metadata!V131,"not collected"),EXACT(Metadata!V131,"not provided"),EXACT(Metadata!V131,"restricted access"))),AND(IF(Metadata!V131="",FALSE,ISNUMBER(VALUE(Metadata!V131))),Metadata!V131&gt;=-180,Metadata!V131&lt;=180))</f>
        <v>0</v>
      </c>
      <c r="BJ131" t="b">
        <f>AND(IF(Metadata!W131="",FALSE,TRUE),EXACT(Metadata!W131,"Decimal degrees"))</f>
        <v>0</v>
      </c>
      <c r="BK131" t="b">
        <f>IF(Metadata!X131="",FALSE,TRUE)</f>
        <v>0</v>
      </c>
      <c r="BL131" t="b">
        <f>OR(AND(IF(Metadata!Y131="",FALSE,TRUE),OR(EXACT(Metadata!Y131,"not collected"),EXACT(Metadata!Y131,"not provided"),EXACT(Metadata!Y131,"restricted access"))),AND(IF(Metadata!Y131="",FALSE,TRUE),OR(EXACT(Metadata!Y131,"TRUE"),EXACT(Metadata!Y131,"FALSE"))))</f>
        <v>0</v>
      </c>
      <c r="BM131" t="b">
        <f>OR(AND(IF(Metadata!Z131="",FALSE,TRUE),EXACT(Metadata!Z131,"not applicable")),AND(IF(Metadata!Z131="",FALSE,TRUE),OR(EXACT(Metadata!Z131,"beer"),EXACT(Metadata!Z131,"cheese"),EXACT(Metadata!Z131,"fresh water"),EXACT(Metadata!Z131,"marine sediment"),EXACT(Metadata!Z131,"sea water"),EXACT(Metadata!Z131,"sediment"),EXACT(Metadata!Z131,"soil"),EXACT(Metadata!Z131,"waste water"))))</f>
        <v>0</v>
      </c>
      <c r="BN131" t="b">
        <f>AND(IF(Metadata!AA131="",FALSE,TRUE),EXACT(Metadata!AA131,"metagenome"))</f>
        <v>0</v>
      </c>
      <c r="BO131" t="b">
        <f>AND(IF(Metadata!AB131="",FALSE,TRUE),EXACT(Metadata!AB131,"256318"))</f>
        <v>0</v>
      </c>
      <c r="BP131" t="b">
        <f>IF(Metadata!AC131="",FALSE,TRUE)</f>
        <v>0</v>
      </c>
      <c r="BQ131" t="b">
        <f>IF(Metadata!AD131="",FALSE,TRUE)</f>
        <v>0</v>
      </c>
    </row>
    <row r="132" spans="1:69" x14ac:dyDescent="0.2">
      <c r="A132" s="4" t="e">
        <f ca="1">IF(B132=" "," ",HYPERLINK(CONCATENATE("#metadata!",ADDRESS(INDEX($AJ$2:$AJ$1001,MATCH(ROWS($AH$2:AH132),$AH$2:$AH$1001,0),0),2)),INDEX($AM$2:$AM$1001,MATCH(ROWS($AH$2:AH132),$AH$2:$AH$1001,0),0)))</f>
        <v>#N/A</v>
      </c>
      <c r="B132" s="5" t="e">
        <f ca="1">IF(OR(INDEX($AI$2:$AI$1001,MATCH(ROWS($AH$2:AH132),$AH$2:$AH$1001,0),1)&gt;=100000,INDEX($AO$1005:$BQ$1005,1,MATCH(COLUMNS($AO$1006:AO1006),$AO$1006:$BQ$1006,0))&gt;=100000), " ",IF(INDEX($AO$2:$BQ$1001,MATCH(ROWS($AH$2:AH132),$AH$2:$AH$1001,0),MATCH(COLUMNS($AO$1006:AO1006),$AO$1006:$BQ$1006,0)), HYPERLINK("#",""), HYPERLINK(CONCATENATE("#Metadata!", ADDRESS(INDEX($AJ$2:$AJ$1001,MATCH(ROWS($AH$2:AH132),$AH$2:$AH$1001,0),0), INDEX($AO$1004:$BQ$1004,1,MATCH(COLUMNS($AO$1006:AO1006),$AO$1006:$BQ$1006,0)))),"Fix")))</f>
        <v>#N/A</v>
      </c>
      <c r="C132" s="5" t="e">
        <f ca="1">IF(OR(INDEX($AI$2:$AI$1001,MATCH(ROWS($AH$2:AH132),$AH$2:$AH$1001,0),1)&gt;=100000,INDEX($AO$1005:$BQ$1005,1,MATCH(COLUMNS($AO$1006:AP1006),$AO$1006:$BQ$1006,0))&gt;=100000), " ",IF(INDEX($AO$2:$BQ$1001,MATCH(ROWS($AH$2:AH132),$AH$2:$AH$1001,0),MATCH(COLUMNS($AO$1006:AP1006),$AO$1006:$BQ$1006,0)), HYPERLINK("#",""), HYPERLINK(CONCATENATE("#Metadata!", ADDRESS(INDEX($AJ$2:$AJ$1001,MATCH(ROWS($AH$2:AH132),$AH$2:$AH$1001,0),0), INDEX($AO$1004:$BQ$1004,1,MATCH(COLUMNS($AO$1006:AP1006),$AO$1006:$BQ$1006,0)))),"Fix")))</f>
        <v>#N/A</v>
      </c>
      <c r="D132" s="5" t="e">
        <f ca="1">IF(OR(INDEX($AI$2:$AI$1001,MATCH(ROWS($AH$2:AH132),$AH$2:$AH$1001,0),1)&gt;=100000,INDEX($AO$1005:$BQ$1005,1,MATCH(COLUMNS($AO$1006:AQ1006),$AO$1006:$BQ$1006,0))&gt;=100000), " ",IF(INDEX($AO$2:$BQ$1001,MATCH(ROWS($AH$2:AH132),$AH$2:$AH$1001,0),MATCH(COLUMNS($AO$1006:AQ1006),$AO$1006:$BQ$1006,0)), HYPERLINK("#",""), HYPERLINK(CONCATENATE("#Metadata!", ADDRESS(INDEX($AJ$2:$AJ$1001,MATCH(ROWS($AH$2:AH132),$AH$2:$AH$1001,0),0), INDEX($AO$1004:$BQ$1004,1,MATCH(COLUMNS($AO$1006:AQ1006),$AO$1006:$BQ$1006,0)))),"Fix")))</f>
        <v>#N/A</v>
      </c>
      <c r="E132" s="5" t="e">
        <f ca="1">IF(OR(INDEX($AI$2:$AI$1001,MATCH(ROWS($AH$2:AH132),$AH$2:$AH$1001,0),1)&gt;=100000,INDEX($AO$1005:$BQ$1005,1,MATCH(COLUMNS($AO$1006:AR1006),$AO$1006:$BQ$1006,0))&gt;=100000), " ",IF(INDEX($AO$2:$BQ$1001,MATCH(ROWS($AH$2:AH132),$AH$2:$AH$1001,0),MATCH(COLUMNS($AO$1006:AR1006),$AO$1006:$BQ$1006,0)), HYPERLINK("#",""), HYPERLINK(CONCATENATE("#Metadata!", ADDRESS(INDEX($AJ$2:$AJ$1001,MATCH(ROWS($AH$2:AH132),$AH$2:$AH$1001,0),0), INDEX($AO$1004:$BQ$1004,1,MATCH(COLUMNS($AO$1006:AR1006),$AO$1006:$BQ$1006,0)))),"Fix")))</f>
        <v>#N/A</v>
      </c>
      <c r="F132" s="5" t="e">
        <f ca="1">IF(OR(INDEX($AI$2:$AI$1001,MATCH(ROWS($AH$2:AH132),$AH$2:$AH$1001,0),1)&gt;=100000,INDEX($AO$1005:$BQ$1005,1,MATCH(COLUMNS($AO$1006:AS1006),$AO$1006:$BQ$1006,0))&gt;=100000), " ",IF(INDEX($AO$2:$BQ$1001,MATCH(ROWS($AH$2:AH132),$AH$2:$AH$1001,0),MATCH(COLUMNS($AO$1006:AS1006),$AO$1006:$BQ$1006,0)), HYPERLINK("#",""), HYPERLINK(CONCATENATE("#Metadata!", ADDRESS(INDEX($AJ$2:$AJ$1001,MATCH(ROWS($AH$2:AH132),$AH$2:$AH$1001,0),0), INDEX($AO$1004:$BQ$1004,1,MATCH(COLUMNS($AO$1006:AS1006),$AO$1006:$BQ$1006,0)))),"Fix")))</f>
        <v>#N/A</v>
      </c>
      <c r="G132" s="5" t="e">
        <f ca="1">IF(OR(INDEX($AI$2:$AI$1001,MATCH(ROWS($AH$2:AH132),$AH$2:$AH$1001,0),1)&gt;=100000,INDEX($AO$1005:$BQ$1005,1,MATCH(COLUMNS($AO$1006:AT1006),$AO$1006:$BQ$1006,0))&gt;=100000), " ",IF(INDEX($AO$2:$BQ$1001,MATCH(ROWS($AH$2:AH132),$AH$2:$AH$1001,0),MATCH(COLUMNS($AO$1006:AT1006),$AO$1006:$BQ$1006,0)), HYPERLINK("#",""), HYPERLINK(CONCATENATE("#Metadata!", ADDRESS(INDEX($AJ$2:$AJ$1001,MATCH(ROWS($AH$2:AH132),$AH$2:$AH$1001,0),0), INDEX($AO$1004:$BQ$1004,1,MATCH(COLUMNS($AO$1006:AT1006),$AO$1006:$BQ$1006,0)))),"Fix")))</f>
        <v>#N/A</v>
      </c>
      <c r="H132" s="5" t="e">
        <f ca="1">IF(OR(INDEX($AI$2:$AI$1001,MATCH(ROWS($AH$2:AH132),$AH$2:$AH$1001,0),1)&gt;=100000,INDEX($AO$1005:$BQ$1005,1,MATCH(COLUMNS($AO$1006:AU1006),$AO$1006:$BQ$1006,0))&gt;=100000), " ",IF(INDEX($AO$2:$BQ$1001,MATCH(ROWS($AH$2:AH132),$AH$2:$AH$1001,0),MATCH(COLUMNS($AO$1006:AU1006),$AO$1006:$BQ$1006,0)), HYPERLINK("#",""), HYPERLINK(CONCATENATE("#Metadata!", ADDRESS(INDEX($AJ$2:$AJ$1001,MATCH(ROWS($AH$2:AH132),$AH$2:$AH$1001,0),0), INDEX($AO$1004:$BQ$1004,1,MATCH(COLUMNS($AO$1006:AU1006),$AO$1006:$BQ$1006,0)))),"Fix")))</f>
        <v>#N/A</v>
      </c>
      <c r="I132" s="5" t="e">
        <f ca="1">IF(OR(INDEX($AI$2:$AI$1001,MATCH(ROWS($AH$2:AH132),$AH$2:$AH$1001,0),1)&gt;=100000,INDEX($AO$1005:$BQ$1005,1,MATCH(COLUMNS($AO$1006:AV1006),$AO$1006:$BQ$1006,0))&gt;=100000), " ",IF(INDEX($AO$2:$BQ$1001,MATCH(ROWS($AH$2:AH132),$AH$2:$AH$1001,0),MATCH(COLUMNS($AO$1006:AV1006),$AO$1006:$BQ$1006,0)), HYPERLINK("#",""), HYPERLINK(CONCATENATE("#Metadata!", ADDRESS(INDEX($AJ$2:$AJ$1001,MATCH(ROWS($AH$2:AH132),$AH$2:$AH$1001,0),0), INDEX($AO$1004:$BQ$1004,1,MATCH(COLUMNS($AO$1006:AV1006),$AO$1006:$BQ$1006,0)))),"Fix")))</f>
        <v>#N/A</v>
      </c>
      <c r="J132" s="5" t="e">
        <f ca="1">IF(OR(INDEX($AI$2:$AI$1001,MATCH(ROWS($AH$2:AH132),$AH$2:$AH$1001,0),1)&gt;=100000,INDEX($AO$1005:$BQ$1005,1,MATCH(COLUMNS($AO$1006:AW1006),$AO$1006:$BQ$1006,0))&gt;=100000), " ",IF(INDEX($AO$2:$BQ$1001,MATCH(ROWS($AH$2:AH132),$AH$2:$AH$1001,0),MATCH(COLUMNS($AO$1006:AW1006),$AO$1006:$BQ$1006,0)), HYPERLINK("#",""), HYPERLINK(CONCATENATE("#Metadata!", ADDRESS(INDEX($AJ$2:$AJ$1001,MATCH(ROWS($AH$2:AH132),$AH$2:$AH$1001,0),0), INDEX($AO$1004:$BQ$1004,1,MATCH(COLUMNS($AO$1006:AW1006),$AO$1006:$BQ$1006,0)))),"Fix")))</f>
        <v>#N/A</v>
      </c>
      <c r="K132" s="5" t="e">
        <f ca="1">IF(OR(INDEX($AI$2:$AI$1001,MATCH(ROWS($AH$2:AH132),$AH$2:$AH$1001,0),1)&gt;=100000,INDEX($AO$1005:$BQ$1005,1,MATCH(COLUMNS($AO$1006:AX1006),$AO$1006:$BQ$1006,0))&gt;=100000), " ",IF(INDEX($AO$2:$BQ$1001,MATCH(ROWS($AH$2:AH132),$AH$2:$AH$1001,0),MATCH(COLUMNS($AO$1006:AX1006),$AO$1006:$BQ$1006,0)), HYPERLINK("#",""), HYPERLINK(CONCATENATE("#Metadata!", ADDRESS(INDEX($AJ$2:$AJ$1001,MATCH(ROWS($AH$2:AH132),$AH$2:$AH$1001,0),0), INDEX($AO$1004:$BQ$1004,1,MATCH(COLUMNS($AO$1006:AX1006),$AO$1006:$BQ$1006,0)))),"Fix")))</f>
        <v>#N/A</v>
      </c>
      <c r="L132" s="5" t="e">
        <f ca="1">IF(OR(INDEX($AI$2:$AI$1001,MATCH(ROWS($AH$2:AH132),$AH$2:$AH$1001,0),1)&gt;=100000,INDEX($AO$1005:$BQ$1005,1,MATCH(COLUMNS($AO$1006:AY1006),$AO$1006:$BQ$1006,0))&gt;=100000), " ",IF(INDEX($AO$2:$BQ$1001,MATCH(ROWS($AH$2:AH132),$AH$2:$AH$1001,0),MATCH(COLUMNS($AO$1006:AY1006),$AO$1006:$BQ$1006,0)), HYPERLINK("#",""), HYPERLINK(CONCATENATE("#Metadata!", ADDRESS(INDEX($AJ$2:$AJ$1001,MATCH(ROWS($AH$2:AH132),$AH$2:$AH$1001,0),0), INDEX($AO$1004:$BQ$1004,1,MATCH(COLUMNS($AO$1006:AY1006),$AO$1006:$BQ$1006,0)))),"Fix")))</f>
        <v>#N/A</v>
      </c>
      <c r="M132" s="5" t="e">
        <f ca="1">IF(OR(INDEX($AI$2:$AI$1001,MATCH(ROWS($AH$2:AH132),$AH$2:$AH$1001,0),1)&gt;=100000,INDEX($AO$1005:$BQ$1005,1,MATCH(COLUMNS($AO$1006:AZ1006),$AO$1006:$BQ$1006,0))&gt;=100000), " ",IF(INDEX($AO$2:$BQ$1001,MATCH(ROWS($AH$2:AH132),$AH$2:$AH$1001,0),MATCH(COLUMNS($AO$1006:AZ1006),$AO$1006:$BQ$1006,0)), HYPERLINK("#",""), HYPERLINK(CONCATENATE("#Metadata!", ADDRESS(INDEX($AJ$2:$AJ$1001,MATCH(ROWS($AH$2:AH132),$AH$2:$AH$1001,0),0), INDEX($AO$1004:$BQ$1004,1,MATCH(COLUMNS($AO$1006:AZ1006),$AO$1006:$BQ$1006,0)))),"Fix")))</f>
        <v>#N/A</v>
      </c>
      <c r="N132" s="5" t="e">
        <f ca="1">IF(OR(INDEX($AI$2:$AI$1001,MATCH(ROWS($AH$2:AH132),$AH$2:$AH$1001,0),1)&gt;=100000,INDEX($AO$1005:$BQ$1005,1,MATCH(COLUMNS($AO$1006:BA1006),$AO$1006:$BQ$1006,0))&gt;=100000), " ",IF(INDEX($AO$2:$BQ$1001,MATCH(ROWS($AH$2:AH132),$AH$2:$AH$1001,0),MATCH(COLUMNS($AO$1006:BA1006),$AO$1006:$BQ$1006,0)), HYPERLINK("#",""), HYPERLINK(CONCATENATE("#Metadata!", ADDRESS(INDEX($AJ$2:$AJ$1001,MATCH(ROWS($AH$2:AH132),$AH$2:$AH$1001,0),0), INDEX($AO$1004:$BQ$1004,1,MATCH(COLUMNS($AO$1006:BA1006),$AO$1006:$BQ$1006,0)))),"Fix")))</f>
        <v>#N/A</v>
      </c>
      <c r="O132" s="5" t="e">
        <f ca="1">IF(OR(INDEX($AI$2:$AI$1001,MATCH(ROWS($AH$2:AH132),$AH$2:$AH$1001,0),1)&gt;=100000,INDEX($AO$1005:$BQ$1005,1,MATCH(COLUMNS($AO$1006:BB1006),$AO$1006:$BQ$1006,0))&gt;=100000), " ",IF(INDEX($AO$2:$BQ$1001,MATCH(ROWS($AH$2:AH132),$AH$2:$AH$1001,0),MATCH(COLUMNS($AO$1006:BB1006),$AO$1006:$BQ$1006,0)), HYPERLINK("#",""), HYPERLINK(CONCATENATE("#Metadata!", ADDRESS(INDEX($AJ$2:$AJ$1001,MATCH(ROWS($AH$2:AH132),$AH$2:$AH$1001,0),0), INDEX($AO$1004:$BQ$1004,1,MATCH(COLUMNS($AO$1006:BB1006),$AO$1006:$BQ$1006,0)))),"Fix")))</f>
        <v>#N/A</v>
      </c>
      <c r="P132" s="5" t="e">
        <f ca="1">IF(OR(INDEX($AI$2:$AI$1001,MATCH(ROWS($AH$2:AH132),$AH$2:$AH$1001,0),1)&gt;=100000,INDEX($AO$1005:$BQ$1005,1,MATCH(COLUMNS($AO$1006:BC1006),$AO$1006:$BQ$1006,0))&gt;=100000), " ",IF(INDEX($AO$2:$BQ$1001,MATCH(ROWS($AH$2:AH132),$AH$2:$AH$1001,0),MATCH(COLUMNS($AO$1006:BC1006),$AO$1006:$BQ$1006,0)), HYPERLINK("#",""), HYPERLINK(CONCATENATE("#Metadata!", ADDRESS(INDEX($AJ$2:$AJ$1001,MATCH(ROWS($AH$2:AH132),$AH$2:$AH$1001,0),0), INDEX($AO$1004:$BQ$1004,1,MATCH(COLUMNS($AO$1006:BC1006),$AO$1006:$BQ$1006,0)))),"Fix")))</f>
        <v>#N/A</v>
      </c>
      <c r="Q132" s="5" t="e">
        <f ca="1">IF(OR(INDEX($AI$2:$AI$1001,MATCH(ROWS($AH$2:AH132),$AH$2:$AH$1001,0),1)&gt;=100000,INDEX($AO$1005:$BQ$1005,1,MATCH(COLUMNS($AO$1006:BD1006),$AO$1006:$BQ$1006,0))&gt;=100000), " ",IF(INDEX($AO$2:$BQ$1001,MATCH(ROWS($AH$2:AH132),$AH$2:$AH$1001,0),MATCH(COLUMNS($AO$1006:BD1006),$AO$1006:$BQ$1006,0)), HYPERLINK("#",""), HYPERLINK(CONCATENATE("#Metadata!", ADDRESS(INDEX($AJ$2:$AJ$1001,MATCH(ROWS($AH$2:AH132),$AH$2:$AH$1001,0),0), INDEX($AO$1004:$BQ$1004,1,MATCH(COLUMNS($AO$1006:BD1006),$AO$1006:$BQ$1006,0)))),"Fix")))</f>
        <v>#N/A</v>
      </c>
      <c r="R132" s="5" t="e">
        <f ca="1">IF(OR(INDEX($AI$2:$AI$1001,MATCH(ROWS($AH$2:AH132),$AH$2:$AH$1001,0),1)&gt;=100000,INDEX($AO$1005:$BQ$1005,1,MATCH(COLUMNS($AO$1006:BE1006),$AO$1006:$BQ$1006,0))&gt;=100000), " ",IF(INDEX($AO$2:$BQ$1001,MATCH(ROWS($AH$2:AH132),$AH$2:$AH$1001,0),MATCH(COLUMNS($AO$1006:BE1006),$AO$1006:$BQ$1006,0)), HYPERLINK("#",""), HYPERLINK(CONCATENATE("#Metadata!", ADDRESS(INDEX($AJ$2:$AJ$1001,MATCH(ROWS($AH$2:AH132),$AH$2:$AH$1001,0),0), INDEX($AO$1004:$BQ$1004,1,MATCH(COLUMNS($AO$1006:BE1006),$AO$1006:$BQ$1006,0)))),"Fix")))</f>
        <v>#N/A</v>
      </c>
      <c r="S132" s="5" t="e">
        <f ca="1">IF(OR(INDEX($AI$2:$AI$1001,MATCH(ROWS($AH$2:AH132),$AH$2:$AH$1001,0),1)&gt;=100000,INDEX($AO$1005:$BQ$1005,1,MATCH(COLUMNS($AO$1006:BF1006),$AO$1006:$BQ$1006,0))&gt;=100000), " ",IF(INDEX($AO$2:$BQ$1001,MATCH(ROWS($AH$2:AH132),$AH$2:$AH$1001,0),MATCH(COLUMNS($AO$1006:BF1006),$AO$1006:$BQ$1006,0)), HYPERLINK("#",""), HYPERLINK(CONCATENATE("#Metadata!", ADDRESS(INDEX($AJ$2:$AJ$1001,MATCH(ROWS($AH$2:AH132),$AH$2:$AH$1001,0),0), INDEX($AO$1004:$BQ$1004,1,MATCH(COLUMNS($AO$1006:BF1006),$AO$1006:$BQ$1006,0)))),"Fix")))</f>
        <v>#N/A</v>
      </c>
      <c r="T132" s="5" t="e">
        <f ca="1">IF(OR(INDEX($AI$2:$AI$1001,MATCH(ROWS($AH$2:AH132),$AH$2:$AH$1001,0),1)&gt;=100000,INDEX($AO$1005:$BQ$1005,1,MATCH(COLUMNS($AO$1006:BG1006),$AO$1006:$BQ$1006,0))&gt;=100000), " ",IF(INDEX($AO$2:$BQ$1001,MATCH(ROWS($AH$2:AH132),$AH$2:$AH$1001,0),MATCH(COLUMNS($AO$1006:BG1006),$AO$1006:$BQ$1006,0)), HYPERLINK("#",""), HYPERLINK(CONCATENATE("#Metadata!", ADDRESS(INDEX($AJ$2:$AJ$1001,MATCH(ROWS($AH$2:AH132),$AH$2:$AH$1001,0),0), INDEX($AO$1004:$BQ$1004,1,MATCH(COLUMNS($AO$1006:BG1006),$AO$1006:$BQ$1006,0)))),"Fix")))</f>
        <v>#N/A</v>
      </c>
      <c r="U132" s="5" t="e">
        <f ca="1">IF(OR(INDEX($AI$2:$AI$1001,MATCH(ROWS($AH$2:AH132),$AH$2:$AH$1001,0),1)&gt;=100000,INDEX($AO$1005:$BQ$1005,1,MATCH(COLUMNS($AO$1006:BH1006),$AO$1006:$BQ$1006,0))&gt;=100000), " ",IF(INDEX($AO$2:$BQ$1001,MATCH(ROWS($AH$2:AH132),$AH$2:$AH$1001,0),MATCH(COLUMNS($AO$1006:BH1006),$AO$1006:$BQ$1006,0)), HYPERLINK("#",""), HYPERLINK(CONCATENATE("#Metadata!", ADDRESS(INDEX($AJ$2:$AJ$1001,MATCH(ROWS($AH$2:AH132),$AH$2:$AH$1001,0),0), INDEX($AO$1004:$BQ$1004,1,MATCH(COLUMNS($AO$1006:BH1006),$AO$1006:$BQ$1006,0)))),"Fix")))</f>
        <v>#N/A</v>
      </c>
      <c r="V132" s="5" t="e">
        <f ca="1">IF(OR(INDEX($AI$2:$AI$1001,MATCH(ROWS($AH$2:AH132),$AH$2:$AH$1001,0),1)&gt;=100000,INDEX($AO$1005:$BQ$1005,1,MATCH(COLUMNS($AO$1006:BI1006),$AO$1006:$BQ$1006,0))&gt;=100000), " ",IF(INDEX($AO$2:$BQ$1001,MATCH(ROWS($AH$2:AH132),$AH$2:$AH$1001,0),MATCH(COLUMNS($AO$1006:BI1006),$AO$1006:$BQ$1006,0)), HYPERLINK("#",""), HYPERLINK(CONCATENATE("#Metadata!", ADDRESS(INDEX($AJ$2:$AJ$1001,MATCH(ROWS($AH$2:AH132),$AH$2:$AH$1001,0),0), INDEX($AO$1004:$BQ$1004,1,MATCH(COLUMNS($AO$1006:BI1006),$AO$1006:$BQ$1006,0)))),"Fix")))</f>
        <v>#N/A</v>
      </c>
      <c r="W132" s="5" t="e">
        <f ca="1">IF(OR(INDEX($AI$2:$AI$1001,MATCH(ROWS($AH$2:AH132),$AH$2:$AH$1001,0),1)&gt;=100000,INDEX($AO$1005:$BQ$1005,1,MATCH(COLUMNS($AO$1006:BJ1006),$AO$1006:$BQ$1006,0))&gt;=100000), " ",IF(INDEX($AO$2:$BQ$1001,MATCH(ROWS($AH$2:AH132),$AH$2:$AH$1001,0),MATCH(COLUMNS($AO$1006:BJ1006),$AO$1006:$BQ$1006,0)), HYPERLINK("#",""), HYPERLINK(CONCATENATE("#Metadata!", ADDRESS(INDEX($AJ$2:$AJ$1001,MATCH(ROWS($AH$2:AH132),$AH$2:$AH$1001,0),0), INDEX($AO$1004:$BQ$1004,1,MATCH(COLUMNS($AO$1006:BJ1006),$AO$1006:$BQ$1006,0)))),"Fix")))</f>
        <v>#N/A</v>
      </c>
      <c r="X132" s="5" t="e">
        <f ca="1">IF(OR(INDEX($AI$2:$AI$1001,MATCH(ROWS($AH$2:AH132),$AH$2:$AH$1001,0),1)&gt;=100000,INDEX($AO$1005:$BQ$1005,1,MATCH(COLUMNS($AO$1006:BK1006),$AO$1006:$BQ$1006,0))&gt;=100000), " ",IF(INDEX($AO$2:$BQ$1001,MATCH(ROWS($AH$2:AH132),$AH$2:$AH$1001,0),MATCH(COLUMNS($AO$1006:BK1006),$AO$1006:$BQ$1006,0)), HYPERLINK("#",""), HYPERLINK(CONCATENATE("#Metadata!", ADDRESS(INDEX($AJ$2:$AJ$1001,MATCH(ROWS($AH$2:AH132),$AH$2:$AH$1001,0),0), INDEX($AO$1004:$BQ$1004,1,MATCH(COLUMNS($AO$1006:BK1006),$AO$1006:$BQ$1006,0)))),"Fix")))</f>
        <v>#N/A</v>
      </c>
      <c r="Y132" s="5" t="e">
        <f ca="1">IF(OR(INDEX($AI$2:$AI$1001,MATCH(ROWS($AH$2:AH132),$AH$2:$AH$1001,0),1)&gt;=100000,INDEX($AO$1005:$BQ$1005,1,MATCH(COLUMNS($AO$1006:BL1006),$AO$1006:$BQ$1006,0))&gt;=100000), " ",IF(INDEX($AO$2:$BQ$1001,MATCH(ROWS($AH$2:AH132),$AH$2:$AH$1001,0),MATCH(COLUMNS($AO$1006:BL1006),$AO$1006:$BQ$1006,0)), HYPERLINK("#",""), HYPERLINK(CONCATENATE("#Metadata!", ADDRESS(INDEX($AJ$2:$AJ$1001,MATCH(ROWS($AH$2:AH132),$AH$2:$AH$1001,0),0), INDEX($AO$1004:$BQ$1004,1,MATCH(COLUMNS($AO$1006:BL1006),$AO$1006:$BQ$1006,0)))),"Fix")))</f>
        <v>#N/A</v>
      </c>
      <c r="Z132" s="5" t="e">
        <f ca="1">IF(OR(INDEX($AI$2:$AI$1001,MATCH(ROWS($AH$2:AH132),$AH$2:$AH$1001,0),1)&gt;=100000,INDEX($AO$1005:$BQ$1005,1,MATCH(COLUMNS($AO$1006:BM1006),$AO$1006:$BQ$1006,0))&gt;=100000), " ",IF(INDEX($AO$2:$BQ$1001,MATCH(ROWS($AH$2:AH132),$AH$2:$AH$1001,0),MATCH(COLUMNS($AO$1006:BM1006),$AO$1006:$BQ$1006,0)), HYPERLINK("#",""), HYPERLINK(CONCATENATE("#Metadata!", ADDRESS(INDEX($AJ$2:$AJ$1001,MATCH(ROWS($AH$2:AH132),$AH$2:$AH$1001,0),0), INDEX($AO$1004:$BQ$1004,1,MATCH(COLUMNS($AO$1006:BM1006),$AO$1006:$BQ$1006,0)))),"Fix")))</f>
        <v>#N/A</v>
      </c>
      <c r="AA132" s="5" t="e">
        <f ca="1">IF(OR(INDEX($AI$2:$AI$1001,MATCH(ROWS($AH$2:AH132),$AH$2:$AH$1001,0),1)&gt;=100000,INDEX($AO$1005:$BQ$1005,1,MATCH(COLUMNS($AO$1006:BN1006),$AO$1006:$BQ$1006,0))&gt;=100000), " ",IF(INDEX($AO$2:$BQ$1001,MATCH(ROWS($AH$2:AH132),$AH$2:$AH$1001,0),MATCH(COLUMNS($AO$1006:BN1006),$AO$1006:$BQ$1006,0)), HYPERLINK("#",""), HYPERLINK(CONCATENATE("#Metadata!", ADDRESS(INDEX($AJ$2:$AJ$1001,MATCH(ROWS($AH$2:AH132),$AH$2:$AH$1001,0),0), INDEX($AO$1004:$BQ$1004,1,MATCH(COLUMNS($AO$1006:BN1006),$AO$1006:$BQ$1006,0)))),"Fix")))</f>
        <v>#N/A</v>
      </c>
      <c r="AB132" s="5" t="e">
        <f ca="1">IF(OR(INDEX($AI$2:$AI$1001,MATCH(ROWS($AH$2:AH132),$AH$2:$AH$1001,0),1)&gt;=100000,INDEX($AO$1005:$BQ$1005,1,MATCH(COLUMNS($AO$1006:BO1006),$AO$1006:$BQ$1006,0))&gt;=100000), " ",IF(INDEX($AO$2:$BQ$1001,MATCH(ROWS($AH$2:AH132),$AH$2:$AH$1001,0),MATCH(COLUMNS($AO$1006:BO1006),$AO$1006:$BQ$1006,0)), HYPERLINK("#",""), HYPERLINK(CONCATENATE("#Metadata!", ADDRESS(INDEX($AJ$2:$AJ$1001,MATCH(ROWS($AH$2:AH132),$AH$2:$AH$1001,0),0), INDEX($AO$1004:$BQ$1004,1,MATCH(COLUMNS($AO$1006:BO1006),$AO$1006:$BQ$1006,0)))),"Fix")))</f>
        <v>#N/A</v>
      </c>
      <c r="AC132" s="5" t="e">
        <f ca="1">IF(OR(INDEX($AI$2:$AI$1001,MATCH(ROWS($AH$2:AH132),$AH$2:$AH$1001,0),1)&gt;=100000,INDEX($AO$1005:$BQ$1005,1,MATCH(COLUMNS($AO$1006:BP1006),$AO$1006:$BQ$1006,0))&gt;=100000), " ",IF(INDEX($AO$2:$BQ$1001,MATCH(ROWS($AH$2:AH132),$AH$2:$AH$1001,0),MATCH(COLUMNS($AO$1006:BP1006),$AO$1006:$BQ$1006,0)), HYPERLINK("#",""), HYPERLINK(CONCATENATE("#Metadata!", ADDRESS(INDEX($AJ$2:$AJ$1001,MATCH(ROWS($AH$2:AH132),$AH$2:$AH$1001,0),0), INDEX($AO$1004:$BQ$1004,1,MATCH(COLUMNS($AO$1006:BP1006),$AO$1006:$BQ$1006,0)))),"Fix")))</f>
        <v>#N/A</v>
      </c>
      <c r="AD132" s="5" t="e">
        <f ca="1">IF(OR(INDEX($AI$2:$AI$1001,MATCH(ROWS($AH$2:AH132),$AH$2:$AH$1001,0),1)&gt;=100000,INDEX($AO$1005:$BQ$1005,1,MATCH(COLUMNS($AO$1006:BQ1006),$AO$1006:$BQ$1006,0))&gt;=100000), " ",IF(INDEX($AO$2:$BQ$1001,MATCH(ROWS($AH$2:AH132),$AH$2:$AH$1001,0),MATCH(COLUMNS($AO$1006:BQ1006),$AO$1006:$BQ$1006,0)), HYPERLINK("#",""), HYPERLINK(CONCATENATE("#Metadata!", ADDRESS(INDEX($AJ$2:$AJ$1001,MATCH(ROWS($AH$2:AH132),$AH$2:$AH$1001,0),0), INDEX($AO$1004:$BQ$1004,1,MATCH(COLUMNS($AO$1006:BQ1006),$AO$1006:$BQ$1006,0)))),"Fix")))</f>
        <v>#REF!</v>
      </c>
      <c r="AH132">
        <f ca="1"/>
        <v>129</v>
      </c>
      <c r="AI132">
        <v>100132</v>
      </c>
      <c r="AJ132">
        <v>132</v>
      </c>
      <c r="AK132" t="b">
        <f t="shared" si="2"/>
        <v>1</v>
      </c>
      <c r="AL132" t="b">
        <f>COUNTBLANK(Metadata!B132:AD132)=COLUMNS(Metadata!B132:AD132)</f>
        <v>1</v>
      </c>
      <c r="AM132" t="str">
        <v/>
      </c>
      <c r="AO132" t="b">
        <f ca="1">AND(IF(Metadata!B132="",FALSE,TRUE),COUNTIF(Metadata!B:B, Metadata!B132) = 1,NOT(ISERROR(SUMPRODUCT(SEARCH(MID(Metadata!B132,ROW(INDIRECT("1:"&amp;LEN(Metadata!B132))), 1),"0123456789abcdefghijklmnopqrstuvwxyzABCDEFGHIJKLMNOPQRSTUVWXYZ.")))))</f>
        <v>0</v>
      </c>
      <c r="AP132" t="b">
        <f>IF(Metadata!C132="",FALSE,TRUE)</f>
        <v>0</v>
      </c>
      <c r="AQ132" t="b">
        <f>IF(Metadata!D132="",FALSE,TRUE)</f>
        <v>0</v>
      </c>
      <c r="AR132" t="b">
        <f ca="1">OR(AND(IF(Metadata!E132="",FALSE,TRUE),OR(EXACT(Metadata!E132,"not collected"),EXACT(Metadata!E132,"not provided"),EXACT(Metadata!E132,"restricted access"))),AND(IF(Metadata!E132="",FALSE,TRUE),AND(AND(IFERROR(INT(LEFT(Metadata!E132,4))&gt;1900,FALSE),IFERROR(INT(LEFT(Metadata!E132,4))&lt;=YEAR(NOW()),FALSE)), OR(MID(Metadata!E132,5,1)="", AND(AND(MID(Metadata!E132,5,1)="-",IFERROR(INT(MID(Metadata!E132,6,1))&gt;=0,FALSE),IFERROR(INT(MID(Metadata!E132,6,1))&lt;=1,FALSE),NOT(MID(Metadata!E132,7,1)=""),IFERROR(INT(MID(Metadata!E132,6,2))&gt;=1,FALSE),IFERROR(INT(MID(Metadata!E132,6,2))&lt;=12,FALSE)), OR(MID(Metadata!E132,8,1)="", AND(AND(MID(Metadata!E132,8,1)="-",IFERROR(INT(MID(Metadata!E132,9,1))&gt;=0,FALSE),IFERROR(INT(MID(Metadata!E132,9,1))&lt;=3,FALSE),NOT(MID(Metadata!E132,10,1)=""),IFERROR(INT(MID(Metadata!E132,9,2))&gt;=1,FALSE),IFERROR(INT(MID(Metadata!E132,9,2))&lt;=31,FALSE)), OR(MID(Metadata!E132,11,1)="", AND(AND(MID(Metadata!E132,11,1)=" ",IFERROR(INT(MID(Metadata!E132,12,1))&gt;=0,FALSE),IFERROR(INT(MID(Metadata!E132,12,1))&lt;=2,FALSE),NOT(MID(Metadata!E132,13,1)=""),IFERROR(INT(MID(Metadata!E132,12,2))&gt;=0,FALSE),IFERROR(INT(MID(Metadata!E132,12,2))&lt;=23,FALSE)), OR(MID(Metadata!E132,14,1)="", AND(AND(MID(Metadata!E132,14,1)=":",IFERROR(INT(MID(Metadata!E132,15,1))&gt;=0,FALSE),IFERROR(INT(MID(Metadata!E132,15,1))&lt;=5,FALSE),NOT(MID(Metadata!E132,16,1)=""),IFERROR(INT(MID(Metadata!E132,15,2))&gt;=0,FALSE),IFERROR(INT(MID(Metadata!E132,15,2))&lt;=59,FALSE)), OR(MID(Metadata!E132,17,1)="", AND(AND(MID(Metadata!E132,17,1)=":",IFERROR(INT(MID(Metadata!E132,18,1))&gt;=0,FALSE),IFERROR(INT(MID(Metadata!E132,18,1))&lt;=5,FALSE),NOT(MID(Metadata!E132,19,1)=""),IFERROR(INT(MID(Metadata!E132,18,2))&gt;=0,FALSE),IFERROR(INT(MID(Metadata!E132,18,2))&lt;=59,FALSE)), LEN(Metadata!E132)&lt;=19)))))))))))))</f>
        <v>0</v>
      </c>
      <c r="AS132" t="b">
        <f>IF(Metadata!F132="",FALSE,TRUE)</f>
        <v>0</v>
      </c>
      <c r="AT132" t="b">
        <f>OR(AND(IF(Metadata!G132="",FALSE,TRUE),OR(EXACT(Metadata!G132,"not collected"),EXACT(Metadata!G132,"not provided"))),AND(IF(Metadata!G132="",FALSE,TRUE),OR(EXACT(Metadata!G132,"TRUE"),EXACT(Metadata!G132,"FALSE"))))</f>
        <v>0</v>
      </c>
      <c r="AU132" t="b">
        <f>OR(AND(IF(Metadata!H132="",FALSE,TRUE),OR(EXACT(Metadata!H132,"not collected"),EXACT(Metadata!H132,"not provided"),EXACT(Metadata!H132,"restricted access"))),AND(IF(Metadata!H132="",FALSE,ISNUMBER(VALUE(Metadata!H132))),Metadata!H132&gt;=-413))</f>
        <v>0</v>
      </c>
      <c r="AV132" t="b">
        <f>AND(IF(Metadata!I132="",FALSE,TRUE),EXACT(Metadata!I132,"meters"))</f>
        <v>0</v>
      </c>
      <c r="AW132" t="b">
        <f>AND(IF(Metadata!J132="",FALSE,TRUE),EXACT(Metadata!J132,"free-living"))</f>
        <v>0</v>
      </c>
      <c r="AX132" t="b">
        <f>AND(IF(Metadata!K132="",FALSE,TRUE),OR(EXACT(Metadata!K132,"saline"),EXACT(Metadata!K132,"non-saline")))</f>
        <v>0</v>
      </c>
      <c r="AY132" t="b">
        <f>AND(IF(Metadata!L132="",FALSE,TRUE),OR(EXACT(Metadata!L132,"sub-surface (non-saline)"),EXACT(Metadata!L132,"surface (non-saline)"),EXACT(Metadata!L132,"water (non-saline)"),EXACT(Metadata!L132,"soil (non-saline)"),EXACT(Metadata!L132,"aerosol (non-saline)"),EXACT(Metadata!L132,"sediment (non-saline)"),EXACT(Metadata!L132,"surface (saline)"),EXACT(Metadata!L132,"water (saline)"),EXACT(Metadata!L132,"hypersaline (saline)"),EXACT(Metadata!L132,"aerosol (saline)"),EXACT(Metadata!L132,"sediment (saline)")))</f>
        <v>0</v>
      </c>
      <c r="AZ132" t="b">
        <f>IF(Metadata!M132="",FALSE,TRUE)</f>
        <v>0</v>
      </c>
      <c r="BA132" t="b">
        <f>IF(Metadata!N132="",FALSE,TRUE)</f>
        <v>0</v>
      </c>
      <c r="BB132" t="b">
        <f>IF(Metadata!O132="",FALSE,TRUE)</f>
        <v>0</v>
      </c>
      <c r="BC132" t="b">
        <f>AND(IF(Metadata!P132="",FALSE,TRUE),OR(EXACT(Metadata!P132,"air"),EXACT(Metadata!P132,"microbial mat/biofilm"),EXACT(Metadata!P132,"misc environment"),EXACT(Metadata!P132,"sediment"),EXACT(Metadata!P132,"soil"),EXACT(Metadata!P132,"wastewater/sludge"),EXACT(Metadata!P132,"water")))</f>
        <v>0</v>
      </c>
      <c r="BD132" t="b">
        <f>IF(Metadata!Q132="",FALSE,TRUE)</f>
        <v>0</v>
      </c>
      <c r="BE132" t="b">
        <f>IF(Metadata!R132="",FALSE,TRUE)</f>
        <v>0</v>
      </c>
      <c r="BF132" t="b">
        <f>OR(AND(IF(Metadata!S132="",FALSE,TRUE),OR(EXACT(Metadata!S132,"not collected"),EXACT(Metadata!S132,"not provided"),EXACT(Metadata!S132,"restricted access"))),AND(IF(Metadata!S132="",FALSE,ISNUMBER(VALUE(Metadata!S132))),Metadata!S132&gt;=-90,Metadata!S132&lt;=90))</f>
        <v>0</v>
      </c>
      <c r="BG132" t="b">
        <f>AND(IF(Metadata!T132="",FALSE,TRUE),EXACT(Metadata!T132,"Decimal degrees"))</f>
        <v>0</v>
      </c>
      <c r="BH132" t="b">
        <f>OR(AND(IF(Metadata!U132="",FALSE,TRUE),OR(EXACT(Metadata!U132,"not applicable"),EXACT(Metadata!U132,"not collected"))),IF(Metadata!U132="",FALSE,TRUE))</f>
        <v>0</v>
      </c>
      <c r="BI132" t="b">
        <f>OR(AND(IF(Metadata!V132="",FALSE,TRUE),OR(EXACT(Metadata!V132,"not collected"),EXACT(Metadata!V132,"not provided"),EXACT(Metadata!V132,"restricted access"))),AND(IF(Metadata!V132="",FALSE,ISNUMBER(VALUE(Metadata!V132))),Metadata!V132&gt;=-180,Metadata!V132&lt;=180))</f>
        <v>0</v>
      </c>
      <c r="BJ132" t="b">
        <f>AND(IF(Metadata!W132="",FALSE,TRUE),EXACT(Metadata!W132,"Decimal degrees"))</f>
        <v>0</v>
      </c>
      <c r="BK132" t="b">
        <f>IF(Metadata!X132="",FALSE,TRUE)</f>
        <v>0</v>
      </c>
      <c r="BL132" t="b">
        <f>OR(AND(IF(Metadata!Y132="",FALSE,TRUE),OR(EXACT(Metadata!Y132,"not collected"),EXACT(Metadata!Y132,"not provided"),EXACT(Metadata!Y132,"restricted access"))),AND(IF(Metadata!Y132="",FALSE,TRUE),OR(EXACT(Metadata!Y132,"TRUE"),EXACT(Metadata!Y132,"FALSE"))))</f>
        <v>0</v>
      </c>
      <c r="BM132" t="b">
        <f>OR(AND(IF(Metadata!Z132="",FALSE,TRUE),EXACT(Metadata!Z132,"not applicable")),AND(IF(Metadata!Z132="",FALSE,TRUE),OR(EXACT(Metadata!Z132,"beer"),EXACT(Metadata!Z132,"cheese"),EXACT(Metadata!Z132,"fresh water"),EXACT(Metadata!Z132,"marine sediment"),EXACT(Metadata!Z132,"sea water"),EXACT(Metadata!Z132,"sediment"),EXACT(Metadata!Z132,"soil"),EXACT(Metadata!Z132,"waste water"))))</f>
        <v>0</v>
      </c>
      <c r="BN132" t="b">
        <f>AND(IF(Metadata!AA132="",FALSE,TRUE),EXACT(Metadata!AA132,"metagenome"))</f>
        <v>0</v>
      </c>
      <c r="BO132" t="b">
        <f>AND(IF(Metadata!AB132="",FALSE,TRUE),EXACT(Metadata!AB132,"256318"))</f>
        <v>0</v>
      </c>
      <c r="BP132" t="b">
        <f>IF(Metadata!AC132="",FALSE,TRUE)</f>
        <v>0</v>
      </c>
      <c r="BQ132" t="b">
        <f>IF(Metadata!AD132="",FALSE,TRUE)</f>
        <v>0</v>
      </c>
    </row>
    <row r="133" spans="1:69" x14ac:dyDescent="0.2">
      <c r="A133" s="4" t="e">
        <f ca="1">IF(B133=" "," ",HYPERLINK(CONCATENATE("#metadata!",ADDRESS(INDEX($AJ$2:$AJ$1001,MATCH(ROWS($AH$2:AH133),$AH$2:$AH$1001,0),0),2)),INDEX($AM$2:$AM$1001,MATCH(ROWS($AH$2:AH133),$AH$2:$AH$1001,0),0)))</f>
        <v>#N/A</v>
      </c>
      <c r="B133" s="5" t="e">
        <f ca="1">IF(OR(INDEX($AI$2:$AI$1001,MATCH(ROWS($AH$2:AH133),$AH$2:$AH$1001,0),1)&gt;=100000,INDEX($AO$1005:$BQ$1005,1,MATCH(COLUMNS($AO$1006:AO1006),$AO$1006:$BQ$1006,0))&gt;=100000), " ",IF(INDEX($AO$2:$BQ$1001,MATCH(ROWS($AH$2:AH133),$AH$2:$AH$1001,0),MATCH(COLUMNS($AO$1006:AO1006),$AO$1006:$BQ$1006,0)), HYPERLINK("#",""), HYPERLINK(CONCATENATE("#Metadata!", ADDRESS(INDEX($AJ$2:$AJ$1001,MATCH(ROWS($AH$2:AH133),$AH$2:$AH$1001,0),0), INDEX($AO$1004:$BQ$1004,1,MATCH(COLUMNS($AO$1006:AO1006),$AO$1006:$BQ$1006,0)))),"Fix")))</f>
        <v>#N/A</v>
      </c>
      <c r="C133" s="5" t="e">
        <f ca="1">IF(OR(INDEX($AI$2:$AI$1001,MATCH(ROWS($AH$2:AH133),$AH$2:$AH$1001,0),1)&gt;=100000,INDEX($AO$1005:$BQ$1005,1,MATCH(COLUMNS($AO$1006:AP1006),$AO$1006:$BQ$1006,0))&gt;=100000), " ",IF(INDEX($AO$2:$BQ$1001,MATCH(ROWS($AH$2:AH133),$AH$2:$AH$1001,0),MATCH(COLUMNS($AO$1006:AP1006),$AO$1006:$BQ$1006,0)), HYPERLINK("#",""), HYPERLINK(CONCATENATE("#Metadata!", ADDRESS(INDEX($AJ$2:$AJ$1001,MATCH(ROWS($AH$2:AH133),$AH$2:$AH$1001,0),0), INDEX($AO$1004:$BQ$1004,1,MATCH(COLUMNS($AO$1006:AP1006),$AO$1006:$BQ$1006,0)))),"Fix")))</f>
        <v>#N/A</v>
      </c>
      <c r="D133" s="5" t="e">
        <f ca="1">IF(OR(INDEX($AI$2:$AI$1001,MATCH(ROWS($AH$2:AH133),$AH$2:$AH$1001,0),1)&gt;=100000,INDEX($AO$1005:$BQ$1005,1,MATCH(COLUMNS($AO$1006:AQ1006),$AO$1006:$BQ$1006,0))&gt;=100000), " ",IF(INDEX($AO$2:$BQ$1001,MATCH(ROWS($AH$2:AH133),$AH$2:$AH$1001,0),MATCH(COLUMNS($AO$1006:AQ1006),$AO$1006:$BQ$1006,0)), HYPERLINK("#",""), HYPERLINK(CONCATENATE("#Metadata!", ADDRESS(INDEX($AJ$2:$AJ$1001,MATCH(ROWS($AH$2:AH133),$AH$2:$AH$1001,0),0), INDEX($AO$1004:$BQ$1004,1,MATCH(COLUMNS($AO$1006:AQ1006),$AO$1006:$BQ$1006,0)))),"Fix")))</f>
        <v>#N/A</v>
      </c>
      <c r="E133" s="5" t="e">
        <f ca="1">IF(OR(INDEX($AI$2:$AI$1001,MATCH(ROWS($AH$2:AH133),$AH$2:$AH$1001,0),1)&gt;=100000,INDEX($AO$1005:$BQ$1005,1,MATCH(COLUMNS($AO$1006:AR1006),$AO$1006:$BQ$1006,0))&gt;=100000), " ",IF(INDEX($AO$2:$BQ$1001,MATCH(ROWS($AH$2:AH133),$AH$2:$AH$1001,0),MATCH(COLUMNS($AO$1006:AR1006),$AO$1006:$BQ$1006,0)), HYPERLINK("#",""), HYPERLINK(CONCATENATE("#Metadata!", ADDRESS(INDEX($AJ$2:$AJ$1001,MATCH(ROWS($AH$2:AH133),$AH$2:$AH$1001,0),0), INDEX($AO$1004:$BQ$1004,1,MATCH(COLUMNS($AO$1006:AR1006),$AO$1006:$BQ$1006,0)))),"Fix")))</f>
        <v>#N/A</v>
      </c>
      <c r="F133" s="5" t="e">
        <f ca="1">IF(OR(INDEX($AI$2:$AI$1001,MATCH(ROWS($AH$2:AH133),$AH$2:$AH$1001,0),1)&gt;=100000,INDEX($AO$1005:$BQ$1005,1,MATCH(COLUMNS($AO$1006:AS1006),$AO$1006:$BQ$1006,0))&gt;=100000), " ",IF(INDEX($AO$2:$BQ$1001,MATCH(ROWS($AH$2:AH133),$AH$2:$AH$1001,0),MATCH(COLUMNS($AO$1006:AS1006),$AO$1006:$BQ$1006,0)), HYPERLINK("#",""), HYPERLINK(CONCATENATE("#Metadata!", ADDRESS(INDEX($AJ$2:$AJ$1001,MATCH(ROWS($AH$2:AH133),$AH$2:$AH$1001,0),0), INDEX($AO$1004:$BQ$1004,1,MATCH(COLUMNS($AO$1006:AS1006),$AO$1006:$BQ$1006,0)))),"Fix")))</f>
        <v>#N/A</v>
      </c>
      <c r="G133" s="5" t="e">
        <f ca="1">IF(OR(INDEX($AI$2:$AI$1001,MATCH(ROWS($AH$2:AH133),$AH$2:$AH$1001,0),1)&gt;=100000,INDEX($AO$1005:$BQ$1005,1,MATCH(COLUMNS($AO$1006:AT1006),$AO$1006:$BQ$1006,0))&gt;=100000), " ",IF(INDEX($AO$2:$BQ$1001,MATCH(ROWS($AH$2:AH133),$AH$2:$AH$1001,0),MATCH(COLUMNS($AO$1006:AT1006),$AO$1006:$BQ$1006,0)), HYPERLINK("#",""), HYPERLINK(CONCATENATE("#Metadata!", ADDRESS(INDEX($AJ$2:$AJ$1001,MATCH(ROWS($AH$2:AH133),$AH$2:$AH$1001,0),0), INDEX($AO$1004:$BQ$1004,1,MATCH(COLUMNS($AO$1006:AT1006),$AO$1006:$BQ$1006,0)))),"Fix")))</f>
        <v>#N/A</v>
      </c>
      <c r="H133" s="5" t="e">
        <f ca="1">IF(OR(INDEX($AI$2:$AI$1001,MATCH(ROWS($AH$2:AH133),$AH$2:$AH$1001,0),1)&gt;=100000,INDEX($AO$1005:$BQ$1005,1,MATCH(COLUMNS($AO$1006:AU1006),$AO$1006:$BQ$1006,0))&gt;=100000), " ",IF(INDEX($AO$2:$BQ$1001,MATCH(ROWS($AH$2:AH133),$AH$2:$AH$1001,0),MATCH(COLUMNS($AO$1006:AU1006),$AO$1006:$BQ$1006,0)), HYPERLINK("#",""), HYPERLINK(CONCATENATE("#Metadata!", ADDRESS(INDEX($AJ$2:$AJ$1001,MATCH(ROWS($AH$2:AH133),$AH$2:$AH$1001,0),0), INDEX($AO$1004:$BQ$1004,1,MATCH(COLUMNS($AO$1006:AU1006),$AO$1006:$BQ$1006,0)))),"Fix")))</f>
        <v>#N/A</v>
      </c>
      <c r="I133" s="5" t="e">
        <f ca="1">IF(OR(INDEX($AI$2:$AI$1001,MATCH(ROWS($AH$2:AH133),$AH$2:$AH$1001,0),1)&gt;=100000,INDEX($AO$1005:$BQ$1005,1,MATCH(COLUMNS($AO$1006:AV1006),$AO$1006:$BQ$1006,0))&gt;=100000), " ",IF(INDEX($AO$2:$BQ$1001,MATCH(ROWS($AH$2:AH133),$AH$2:$AH$1001,0),MATCH(COLUMNS($AO$1006:AV1006),$AO$1006:$BQ$1006,0)), HYPERLINK("#",""), HYPERLINK(CONCATENATE("#Metadata!", ADDRESS(INDEX($AJ$2:$AJ$1001,MATCH(ROWS($AH$2:AH133),$AH$2:$AH$1001,0),0), INDEX($AO$1004:$BQ$1004,1,MATCH(COLUMNS($AO$1006:AV1006),$AO$1006:$BQ$1006,0)))),"Fix")))</f>
        <v>#N/A</v>
      </c>
      <c r="J133" s="5" t="e">
        <f ca="1">IF(OR(INDEX($AI$2:$AI$1001,MATCH(ROWS($AH$2:AH133),$AH$2:$AH$1001,0),1)&gt;=100000,INDEX($AO$1005:$BQ$1005,1,MATCH(COLUMNS($AO$1006:AW1006),$AO$1006:$BQ$1006,0))&gt;=100000), " ",IF(INDEX($AO$2:$BQ$1001,MATCH(ROWS($AH$2:AH133),$AH$2:$AH$1001,0),MATCH(COLUMNS($AO$1006:AW1006),$AO$1006:$BQ$1006,0)), HYPERLINK("#",""), HYPERLINK(CONCATENATE("#Metadata!", ADDRESS(INDEX($AJ$2:$AJ$1001,MATCH(ROWS($AH$2:AH133),$AH$2:$AH$1001,0),0), INDEX($AO$1004:$BQ$1004,1,MATCH(COLUMNS($AO$1006:AW1006),$AO$1006:$BQ$1006,0)))),"Fix")))</f>
        <v>#N/A</v>
      </c>
      <c r="K133" s="5" t="e">
        <f ca="1">IF(OR(INDEX($AI$2:$AI$1001,MATCH(ROWS($AH$2:AH133),$AH$2:$AH$1001,0),1)&gt;=100000,INDEX($AO$1005:$BQ$1005,1,MATCH(COLUMNS($AO$1006:AX1006),$AO$1006:$BQ$1006,0))&gt;=100000), " ",IF(INDEX($AO$2:$BQ$1001,MATCH(ROWS($AH$2:AH133),$AH$2:$AH$1001,0),MATCH(COLUMNS($AO$1006:AX1006),$AO$1006:$BQ$1006,0)), HYPERLINK("#",""), HYPERLINK(CONCATENATE("#Metadata!", ADDRESS(INDEX($AJ$2:$AJ$1001,MATCH(ROWS($AH$2:AH133),$AH$2:$AH$1001,0),0), INDEX($AO$1004:$BQ$1004,1,MATCH(COLUMNS($AO$1006:AX1006),$AO$1006:$BQ$1006,0)))),"Fix")))</f>
        <v>#N/A</v>
      </c>
      <c r="L133" s="5" t="e">
        <f ca="1">IF(OR(INDEX($AI$2:$AI$1001,MATCH(ROWS($AH$2:AH133),$AH$2:$AH$1001,0),1)&gt;=100000,INDEX($AO$1005:$BQ$1005,1,MATCH(COLUMNS($AO$1006:AY1006),$AO$1006:$BQ$1006,0))&gt;=100000), " ",IF(INDEX($AO$2:$BQ$1001,MATCH(ROWS($AH$2:AH133),$AH$2:$AH$1001,0),MATCH(COLUMNS($AO$1006:AY1006),$AO$1006:$BQ$1006,0)), HYPERLINK("#",""), HYPERLINK(CONCATENATE("#Metadata!", ADDRESS(INDEX($AJ$2:$AJ$1001,MATCH(ROWS($AH$2:AH133),$AH$2:$AH$1001,0),0), INDEX($AO$1004:$BQ$1004,1,MATCH(COLUMNS($AO$1006:AY1006),$AO$1006:$BQ$1006,0)))),"Fix")))</f>
        <v>#N/A</v>
      </c>
      <c r="M133" s="5" t="e">
        <f ca="1">IF(OR(INDEX($AI$2:$AI$1001,MATCH(ROWS($AH$2:AH133),$AH$2:$AH$1001,0),1)&gt;=100000,INDEX($AO$1005:$BQ$1005,1,MATCH(COLUMNS($AO$1006:AZ1006),$AO$1006:$BQ$1006,0))&gt;=100000), " ",IF(INDEX($AO$2:$BQ$1001,MATCH(ROWS($AH$2:AH133),$AH$2:$AH$1001,0),MATCH(COLUMNS($AO$1006:AZ1006),$AO$1006:$BQ$1006,0)), HYPERLINK("#",""), HYPERLINK(CONCATENATE("#Metadata!", ADDRESS(INDEX($AJ$2:$AJ$1001,MATCH(ROWS($AH$2:AH133),$AH$2:$AH$1001,0),0), INDEX($AO$1004:$BQ$1004,1,MATCH(COLUMNS($AO$1006:AZ1006),$AO$1006:$BQ$1006,0)))),"Fix")))</f>
        <v>#N/A</v>
      </c>
      <c r="N133" s="5" t="e">
        <f ca="1">IF(OR(INDEX($AI$2:$AI$1001,MATCH(ROWS($AH$2:AH133),$AH$2:$AH$1001,0),1)&gt;=100000,INDEX($AO$1005:$BQ$1005,1,MATCH(COLUMNS($AO$1006:BA1006),$AO$1006:$BQ$1006,0))&gt;=100000), " ",IF(INDEX($AO$2:$BQ$1001,MATCH(ROWS($AH$2:AH133),$AH$2:$AH$1001,0),MATCH(COLUMNS($AO$1006:BA1006),$AO$1006:$BQ$1006,0)), HYPERLINK("#",""), HYPERLINK(CONCATENATE("#Metadata!", ADDRESS(INDEX($AJ$2:$AJ$1001,MATCH(ROWS($AH$2:AH133),$AH$2:$AH$1001,0),0), INDEX($AO$1004:$BQ$1004,1,MATCH(COLUMNS($AO$1006:BA1006),$AO$1006:$BQ$1006,0)))),"Fix")))</f>
        <v>#N/A</v>
      </c>
      <c r="O133" s="5" t="e">
        <f ca="1">IF(OR(INDEX($AI$2:$AI$1001,MATCH(ROWS($AH$2:AH133),$AH$2:$AH$1001,0),1)&gt;=100000,INDEX($AO$1005:$BQ$1005,1,MATCH(COLUMNS($AO$1006:BB1006),$AO$1006:$BQ$1006,0))&gt;=100000), " ",IF(INDEX($AO$2:$BQ$1001,MATCH(ROWS($AH$2:AH133),$AH$2:$AH$1001,0),MATCH(COLUMNS($AO$1006:BB1006),$AO$1006:$BQ$1006,0)), HYPERLINK("#",""), HYPERLINK(CONCATENATE("#Metadata!", ADDRESS(INDEX($AJ$2:$AJ$1001,MATCH(ROWS($AH$2:AH133),$AH$2:$AH$1001,0),0), INDEX($AO$1004:$BQ$1004,1,MATCH(COLUMNS($AO$1006:BB1006),$AO$1006:$BQ$1006,0)))),"Fix")))</f>
        <v>#N/A</v>
      </c>
      <c r="P133" s="5" t="e">
        <f ca="1">IF(OR(INDEX($AI$2:$AI$1001,MATCH(ROWS($AH$2:AH133),$AH$2:$AH$1001,0),1)&gt;=100000,INDEX($AO$1005:$BQ$1005,1,MATCH(COLUMNS($AO$1006:BC1006),$AO$1006:$BQ$1006,0))&gt;=100000), " ",IF(INDEX($AO$2:$BQ$1001,MATCH(ROWS($AH$2:AH133),$AH$2:$AH$1001,0),MATCH(COLUMNS($AO$1006:BC1006),$AO$1006:$BQ$1006,0)), HYPERLINK("#",""), HYPERLINK(CONCATENATE("#Metadata!", ADDRESS(INDEX($AJ$2:$AJ$1001,MATCH(ROWS($AH$2:AH133),$AH$2:$AH$1001,0),0), INDEX($AO$1004:$BQ$1004,1,MATCH(COLUMNS($AO$1006:BC1006),$AO$1006:$BQ$1006,0)))),"Fix")))</f>
        <v>#N/A</v>
      </c>
      <c r="Q133" s="5" t="e">
        <f ca="1">IF(OR(INDEX($AI$2:$AI$1001,MATCH(ROWS($AH$2:AH133),$AH$2:$AH$1001,0),1)&gt;=100000,INDEX($AO$1005:$BQ$1005,1,MATCH(COLUMNS($AO$1006:BD1006),$AO$1006:$BQ$1006,0))&gt;=100000), " ",IF(INDEX($AO$2:$BQ$1001,MATCH(ROWS($AH$2:AH133),$AH$2:$AH$1001,0),MATCH(COLUMNS($AO$1006:BD1006),$AO$1006:$BQ$1006,0)), HYPERLINK("#",""), HYPERLINK(CONCATENATE("#Metadata!", ADDRESS(INDEX($AJ$2:$AJ$1001,MATCH(ROWS($AH$2:AH133),$AH$2:$AH$1001,0),0), INDEX($AO$1004:$BQ$1004,1,MATCH(COLUMNS($AO$1006:BD1006),$AO$1006:$BQ$1006,0)))),"Fix")))</f>
        <v>#N/A</v>
      </c>
      <c r="R133" s="5" t="e">
        <f ca="1">IF(OR(INDEX($AI$2:$AI$1001,MATCH(ROWS($AH$2:AH133),$AH$2:$AH$1001,0),1)&gt;=100000,INDEX($AO$1005:$BQ$1005,1,MATCH(COLUMNS($AO$1006:BE1006),$AO$1006:$BQ$1006,0))&gt;=100000), " ",IF(INDEX($AO$2:$BQ$1001,MATCH(ROWS($AH$2:AH133),$AH$2:$AH$1001,0),MATCH(COLUMNS($AO$1006:BE1006),$AO$1006:$BQ$1006,0)), HYPERLINK("#",""), HYPERLINK(CONCATENATE("#Metadata!", ADDRESS(INDEX($AJ$2:$AJ$1001,MATCH(ROWS($AH$2:AH133),$AH$2:$AH$1001,0),0), INDEX($AO$1004:$BQ$1004,1,MATCH(COLUMNS($AO$1006:BE1006),$AO$1006:$BQ$1006,0)))),"Fix")))</f>
        <v>#N/A</v>
      </c>
      <c r="S133" s="5" t="e">
        <f ca="1">IF(OR(INDEX($AI$2:$AI$1001,MATCH(ROWS($AH$2:AH133),$AH$2:$AH$1001,0),1)&gt;=100000,INDEX($AO$1005:$BQ$1005,1,MATCH(COLUMNS($AO$1006:BF1006),$AO$1006:$BQ$1006,0))&gt;=100000), " ",IF(INDEX($AO$2:$BQ$1001,MATCH(ROWS($AH$2:AH133),$AH$2:$AH$1001,0),MATCH(COLUMNS($AO$1006:BF1006),$AO$1006:$BQ$1006,0)), HYPERLINK("#",""), HYPERLINK(CONCATENATE("#Metadata!", ADDRESS(INDEX($AJ$2:$AJ$1001,MATCH(ROWS($AH$2:AH133),$AH$2:$AH$1001,0),0), INDEX($AO$1004:$BQ$1004,1,MATCH(COLUMNS($AO$1006:BF1006),$AO$1006:$BQ$1006,0)))),"Fix")))</f>
        <v>#N/A</v>
      </c>
      <c r="T133" s="5" t="e">
        <f ca="1">IF(OR(INDEX($AI$2:$AI$1001,MATCH(ROWS($AH$2:AH133),$AH$2:$AH$1001,0),1)&gt;=100000,INDEX($AO$1005:$BQ$1005,1,MATCH(COLUMNS($AO$1006:BG1006),$AO$1006:$BQ$1006,0))&gt;=100000), " ",IF(INDEX($AO$2:$BQ$1001,MATCH(ROWS($AH$2:AH133),$AH$2:$AH$1001,0),MATCH(COLUMNS($AO$1006:BG1006),$AO$1006:$BQ$1006,0)), HYPERLINK("#",""), HYPERLINK(CONCATENATE("#Metadata!", ADDRESS(INDEX($AJ$2:$AJ$1001,MATCH(ROWS($AH$2:AH133),$AH$2:$AH$1001,0),0), INDEX($AO$1004:$BQ$1004,1,MATCH(COLUMNS($AO$1006:BG1006),$AO$1006:$BQ$1006,0)))),"Fix")))</f>
        <v>#N/A</v>
      </c>
      <c r="U133" s="5" t="e">
        <f ca="1">IF(OR(INDEX($AI$2:$AI$1001,MATCH(ROWS($AH$2:AH133),$AH$2:$AH$1001,0),1)&gt;=100000,INDEX($AO$1005:$BQ$1005,1,MATCH(COLUMNS($AO$1006:BH1006),$AO$1006:$BQ$1006,0))&gt;=100000), " ",IF(INDEX($AO$2:$BQ$1001,MATCH(ROWS($AH$2:AH133),$AH$2:$AH$1001,0),MATCH(COLUMNS($AO$1006:BH1006),$AO$1006:$BQ$1006,0)), HYPERLINK("#",""), HYPERLINK(CONCATENATE("#Metadata!", ADDRESS(INDEX($AJ$2:$AJ$1001,MATCH(ROWS($AH$2:AH133),$AH$2:$AH$1001,0),0), INDEX($AO$1004:$BQ$1004,1,MATCH(COLUMNS($AO$1006:BH1006),$AO$1006:$BQ$1006,0)))),"Fix")))</f>
        <v>#N/A</v>
      </c>
      <c r="V133" s="5" t="e">
        <f ca="1">IF(OR(INDEX($AI$2:$AI$1001,MATCH(ROWS($AH$2:AH133),$AH$2:$AH$1001,0),1)&gt;=100000,INDEX($AO$1005:$BQ$1005,1,MATCH(COLUMNS($AO$1006:BI1006),$AO$1006:$BQ$1006,0))&gt;=100000), " ",IF(INDEX($AO$2:$BQ$1001,MATCH(ROWS($AH$2:AH133),$AH$2:$AH$1001,0),MATCH(COLUMNS($AO$1006:BI1006),$AO$1006:$BQ$1006,0)), HYPERLINK("#",""), HYPERLINK(CONCATENATE("#Metadata!", ADDRESS(INDEX($AJ$2:$AJ$1001,MATCH(ROWS($AH$2:AH133),$AH$2:$AH$1001,0),0), INDEX($AO$1004:$BQ$1004,1,MATCH(COLUMNS($AO$1006:BI1006),$AO$1006:$BQ$1006,0)))),"Fix")))</f>
        <v>#N/A</v>
      </c>
      <c r="W133" s="5" t="e">
        <f ca="1">IF(OR(INDEX($AI$2:$AI$1001,MATCH(ROWS($AH$2:AH133),$AH$2:$AH$1001,0),1)&gt;=100000,INDEX($AO$1005:$BQ$1005,1,MATCH(COLUMNS($AO$1006:BJ1006),$AO$1006:$BQ$1006,0))&gt;=100000), " ",IF(INDEX($AO$2:$BQ$1001,MATCH(ROWS($AH$2:AH133),$AH$2:$AH$1001,0),MATCH(COLUMNS($AO$1006:BJ1006),$AO$1006:$BQ$1006,0)), HYPERLINK("#",""), HYPERLINK(CONCATENATE("#Metadata!", ADDRESS(INDEX($AJ$2:$AJ$1001,MATCH(ROWS($AH$2:AH133),$AH$2:$AH$1001,0),0), INDEX($AO$1004:$BQ$1004,1,MATCH(COLUMNS($AO$1006:BJ1006),$AO$1006:$BQ$1006,0)))),"Fix")))</f>
        <v>#N/A</v>
      </c>
      <c r="X133" s="5" t="e">
        <f ca="1">IF(OR(INDEX($AI$2:$AI$1001,MATCH(ROWS($AH$2:AH133),$AH$2:$AH$1001,0),1)&gt;=100000,INDEX($AO$1005:$BQ$1005,1,MATCH(COLUMNS($AO$1006:BK1006),$AO$1006:$BQ$1006,0))&gt;=100000), " ",IF(INDEX($AO$2:$BQ$1001,MATCH(ROWS($AH$2:AH133),$AH$2:$AH$1001,0),MATCH(COLUMNS($AO$1006:BK1006),$AO$1006:$BQ$1006,0)), HYPERLINK("#",""), HYPERLINK(CONCATENATE("#Metadata!", ADDRESS(INDEX($AJ$2:$AJ$1001,MATCH(ROWS($AH$2:AH133),$AH$2:$AH$1001,0),0), INDEX($AO$1004:$BQ$1004,1,MATCH(COLUMNS($AO$1006:BK1006),$AO$1006:$BQ$1006,0)))),"Fix")))</f>
        <v>#N/A</v>
      </c>
      <c r="Y133" s="5" t="e">
        <f ca="1">IF(OR(INDEX($AI$2:$AI$1001,MATCH(ROWS($AH$2:AH133),$AH$2:$AH$1001,0),1)&gt;=100000,INDEX($AO$1005:$BQ$1005,1,MATCH(COLUMNS($AO$1006:BL1006),$AO$1006:$BQ$1006,0))&gt;=100000), " ",IF(INDEX($AO$2:$BQ$1001,MATCH(ROWS($AH$2:AH133),$AH$2:$AH$1001,0),MATCH(COLUMNS($AO$1006:BL1006),$AO$1006:$BQ$1006,0)), HYPERLINK("#",""), HYPERLINK(CONCATENATE("#Metadata!", ADDRESS(INDEX($AJ$2:$AJ$1001,MATCH(ROWS($AH$2:AH133),$AH$2:$AH$1001,0),0), INDEX($AO$1004:$BQ$1004,1,MATCH(COLUMNS($AO$1006:BL1006),$AO$1006:$BQ$1006,0)))),"Fix")))</f>
        <v>#N/A</v>
      </c>
      <c r="Z133" s="5" t="e">
        <f ca="1">IF(OR(INDEX($AI$2:$AI$1001,MATCH(ROWS($AH$2:AH133),$AH$2:$AH$1001,0),1)&gt;=100000,INDEX($AO$1005:$BQ$1005,1,MATCH(COLUMNS($AO$1006:BM1006),$AO$1006:$BQ$1006,0))&gt;=100000), " ",IF(INDEX($AO$2:$BQ$1001,MATCH(ROWS($AH$2:AH133),$AH$2:$AH$1001,0),MATCH(COLUMNS($AO$1006:BM1006),$AO$1006:$BQ$1006,0)), HYPERLINK("#",""), HYPERLINK(CONCATENATE("#Metadata!", ADDRESS(INDEX($AJ$2:$AJ$1001,MATCH(ROWS($AH$2:AH133),$AH$2:$AH$1001,0),0), INDEX($AO$1004:$BQ$1004,1,MATCH(COLUMNS($AO$1006:BM1006),$AO$1006:$BQ$1006,0)))),"Fix")))</f>
        <v>#N/A</v>
      </c>
      <c r="AA133" s="5" t="e">
        <f ca="1">IF(OR(INDEX($AI$2:$AI$1001,MATCH(ROWS($AH$2:AH133),$AH$2:$AH$1001,0),1)&gt;=100000,INDEX($AO$1005:$BQ$1005,1,MATCH(COLUMNS($AO$1006:BN1006),$AO$1006:$BQ$1006,0))&gt;=100000), " ",IF(INDEX($AO$2:$BQ$1001,MATCH(ROWS($AH$2:AH133),$AH$2:$AH$1001,0),MATCH(COLUMNS($AO$1006:BN1006),$AO$1006:$BQ$1006,0)), HYPERLINK("#",""), HYPERLINK(CONCATENATE("#Metadata!", ADDRESS(INDEX($AJ$2:$AJ$1001,MATCH(ROWS($AH$2:AH133),$AH$2:$AH$1001,0),0), INDEX($AO$1004:$BQ$1004,1,MATCH(COLUMNS($AO$1006:BN1006),$AO$1006:$BQ$1006,0)))),"Fix")))</f>
        <v>#N/A</v>
      </c>
      <c r="AB133" s="5" t="e">
        <f ca="1">IF(OR(INDEX($AI$2:$AI$1001,MATCH(ROWS($AH$2:AH133),$AH$2:$AH$1001,0),1)&gt;=100000,INDEX($AO$1005:$BQ$1005,1,MATCH(COLUMNS($AO$1006:BO1006),$AO$1006:$BQ$1006,0))&gt;=100000), " ",IF(INDEX($AO$2:$BQ$1001,MATCH(ROWS($AH$2:AH133),$AH$2:$AH$1001,0),MATCH(COLUMNS($AO$1006:BO1006),$AO$1006:$BQ$1006,0)), HYPERLINK("#",""), HYPERLINK(CONCATENATE("#Metadata!", ADDRESS(INDEX($AJ$2:$AJ$1001,MATCH(ROWS($AH$2:AH133),$AH$2:$AH$1001,0),0), INDEX($AO$1004:$BQ$1004,1,MATCH(COLUMNS($AO$1006:BO1006),$AO$1006:$BQ$1006,0)))),"Fix")))</f>
        <v>#N/A</v>
      </c>
      <c r="AC133" s="5" t="e">
        <f ca="1">IF(OR(INDEX($AI$2:$AI$1001,MATCH(ROWS($AH$2:AH133),$AH$2:$AH$1001,0),1)&gt;=100000,INDEX($AO$1005:$BQ$1005,1,MATCH(COLUMNS($AO$1006:BP1006),$AO$1006:$BQ$1006,0))&gt;=100000), " ",IF(INDEX($AO$2:$BQ$1001,MATCH(ROWS($AH$2:AH133),$AH$2:$AH$1001,0),MATCH(COLUMNS($AO$1006:BP1006),$AO$1006:$BQ$1006,0)), HYPERLINK("#",""), HYPERLINK(CONCATENATE("#Metadata!", ADDRESS(INDEX($AJ$2:$AJ$1001,MATCH(ROWS($AH$2:AH133),$AH$2:$AH$1001,0),0), INDEX($AO$1004:$BQ$1004,1,MATCH(COLUMNS($AO$1006:BP1006),$AO$1006:$BQ$1006,0)))),"Fix")))</f>
        <v>#N/A</v>
      </c>
      <c r="AD133" s="5" t="e">
        <f ca="1">IF(OR(INDEX($AI$2:$AI$1001,MATCH(ROWS($AH$2:AH133),$AH$2:$AH$1001,0),1)&gt;=100000,INDEX($AO$1005:$BQ$1005,1,MATCH(COLUMNS($AO$1006:BQ1006),$AO$1006:$BQ$1006,0))&gt;=100000), " ",IF(INDEX($AO$2:$BQ$1001,MATCH(ROWS($AH$2:AH133),$AH$2:$AH$1001,0),MATCH(COLUMNS($AO$1006:BQ1006),$AO$1006:$BQ$1006,0)), HYPERLINK("#",""), HYPERLINK(CONCATENATE("#Metadata!", ADDRESS(INDEX($AJ$2:$AJ$1001,MATCH(ROWS($AH$2:AH133),$AH$2:$AH$1001,0),0), INDEX($AO$1004:$BQ$1004,1,MATCH(COLUMNS($AO$1006:BQ1006),$AO$1006:$BQ$1006,0)))),"Fix")))</f>
        <v>#REF!</v>
      </c>
      <c r="AH133">
        <f ca="1"/>
        <v>130</v>
      </c>
      <c r="AI133">
        <v>100133</v>
      </c>
      <c r="AJ133">
        <v>133</v>
      </c>
      <c r="AK133" t="b">
        <f t="shared" si="2"/>
        <v>1</v>
      </c>
      <c r="AL133" t="b">
        <f>COUNTBLANK(Metadata!B133:AD133)=COLUMNS(Metadata!B133:AD133)</f>
        <v>1</v>
      </c>
      <c r="AM133" t="str">
        <v/>
      </c>
      <c r="AO133" t="b">
        <f ca="1">AND(IF(Metadata!B133="",FALSE,TRUE),COUNTIF(Metadata!B:B, Metadata!B133) = 1,NOT(ISERROR(SUMPRODUCT(SEARCH(MID(Metadata!B133,ROW(INDIRECT("1:"&amp;LEN(Metadata!B133))), 1),"0123456789abcdefghijklmnopqrstuvwxyzABCDEFGHIJKLMNOPQRSTUVWXYZ.")))))</f>
        <v>0</v>
      </c>
      <c r="AP133" t="b">
        <f>IF(Metadata!C133="",FALSE,TRUE)</f>
        <v>0</v>
      </c>
      <c r="AQ133" t="b">
        <f>IF(Metadata!D133="",FALSE,TRUE)</f>
        <v>0</v>
      </c>
      <c r="AR133" t="b">
        <f ca="1">OR(AND(IF(Metadata!E133="",FALSE,TRUE),OR(EXACT(Metadata!E133,"not collected"),EXACT(Metadata!E133,"not provided"),EXACT(Metadata!E133,"restricted access"))),AND(IF(Metadata!E133="",FALSE,TRUE),AND(AND(IFERROR(INT(LEFT(Metadata!E133,4))&gt;1900,FALSE),IFERROR(INT(LEFT(Metadata!E133,4))&lt;=YEAR(NOW()),FALSE)), OR(MID(Metadata!E133,5,1)="", AND(AND(MID(Metadata!E133,5,1)="-",IFERROR(INT(MID(Metadata!E133,6,1))&gt;=0,FALSE),IFERROR(INT(MID(Metadata!E133,6,1))&lt;=1,FALSE),NOT(MID(Metadata!E133,7,1)=""),IFERROR(INT(MID(Metadata!E133,6,2))&gt;=1,FALSE),IFERROR(INT(MID(Metadata!E133,6,2))&lt;=12,FALSE)), OR(MID(Metadata!E133,8,1)="", AND(AND(MID(Metadata!E133,8,1)="-",IFERROR(INT(MID(Metadata!E133,9,1))&gt;=0,FALSE),IFERROR(INT(MID(Metadata!E133,9,1))&lt;=3,FALSE),NOT(MID(Metadata!E133,10,1)=""),IFERROR(INT(MID(Metadata!E133,9,2))&gt;=1,FALSE),IFERROR(INT(MID(Metadata!E133,9,2))&lt;=31,FALSE)), OR(MID(Metadata!E133,11,1)="", AND(AND(MID(Metadata!E133,11,1)=" ",IFERROR(INT(MID(Metadata!E133,12,1))&gt;=0,FALSE),IFERROR(INT(MID(Metadata!E133,12,1))&lt;=2,FALSE),NOT(MID(Metadata!E133,13,1)=""),IFERROR(INT(MID(Metadata!E133,12,2))&gt;=0,FALSE),IFERROR(INT(MID(Metadata!E133,12,2))&lt;=23,FALSE)), OR(MID(Metadata!E133,14,1)="", AND(AND(MID(Metadata!E133,14,1)=":",IFERROR(INT(MID(Metadata!E133,15,1))&gt;=0,FALSE),IFERROR(INT(MID(Metadata!E133,15,1))&lt;=5,FALSE),NOT(MID(Metadata!E133,16,1)=""),IFERROR(INT(MID(Metadata!E133,15,2))&gt;=0,FALSE),IFERROR(INT(MID(Metadata!E133,15,2))&lt;=59,FALSE)), OR(MID(Metadata!E133,17,1)="", AND(AND(MID(Metadata!E133,17,1)=":",IFERROR(INT(MID(Metadata!E133,18,1))&gt;=0,FALSE),IFERROR(INT(MID(Metadata!E133,18,1))&lt;=5,FALSE),NOT(MID(Metadata!E133,19,1)=""),IFERROR(INT(MID(Metadata!E133,18,2))&gt;=0,FALSE),IFERROR(INT(MID(Metadata!E133,18,2))&lt;=59,FALSE)), LEN(Metadata!E133)&lt;=19)))))))))))))</f>
        <v>0</v>
      </c>
      <c r="AS133" t="b">
        <f>IF(Metadata!F133="",FALSE,TRUE)</f>
        <v>0</v>
      </c>
      <c r="AT133" t="b">
        <f>OR(AND(IF(Metadata!G133="",FALSE,TRUE),OR(EXACT(Metadata!G133,"not collected"),EXACT(Metadata!G133,"not provided"))),AND(IF(Metadata!G133="",FALSE,TRUE),OR(EXACT(Metadata!G133,"TRUE"),EXACT(Metadata!G133,"FALSE"))))</f>
        <v>0</v>
      </c>
      <c r="AU133" t="b">
        <f>OR(AND(IF(Metadata!H133="",FALSE,TRUE),OR(EXACT(Metadata!H133,"not collected"),EXACT(Metadata!H133,"not provided"),EXACT(Metadata!H133,"restricted access"))),AND(IF(Metadata!H133="",FALSE,ISNUMBER(VALUE(Metadata!H133))),Metadata!H133&gt;=-413))</f>
        <v>0</v>
      </c>
      <c r="AV133" t="b">
        <f>AND(IF(Metadata!I133="",FALSE,TRUE),EXACT(Metadata!I133,"meters"))</f>
        <v>0</v>
      </c>
      <c r="AW133" t="b">
        <f>AND(IF(Metadata!J133="",FALSE,TRUE),EXACT(Metadata!J133,"free-living"))</f>
        <v>0</v>
      </c>
      <c r="AX133" t="b">
        <f>AND(IF(Metadata!K133="",FALSE,TRUE),OR(EXACT(Metadata!K133,"saline"),EXACT(Metadata!K133,"non-saline")))</f>
        <v>0</v>
      </c>
      <c r="AY133" t="b">
        <f>AND(IF(Metadata!L133="",FALSE,TRUE),OR(EXACT(Metadata!L133,"sub-surface (non-saline)"),EXACT(Metadata!L133,"surface (non-saline)"),EXACT(Metadata!L133,"water (non-saline)"),EXACT(Metadata!L133,"soil (non-saline)"),EXACT(Metadata!L133,"aerosol (non-saline)"),EXACT(Metadata!L133,"sediment (non-saline)"),EXACT(Metadata!L133,"surface (saline)"),EXACT(Metadata!L133,"water (saline)"),EXACT(Metadata!L133,"hypersaline (saline)"),EXACT(Metadata!L133,"aerosol (saline)"),EXACT(Metadata!L133,"sediment (saline)")))</f>
        <v>0</v>
      </c>
      <c r="AZ133" t="b">
        <f>IF(Metadata!M133="",FALSE,TRUE)</f>
        <v>0</v>
      </c>
      <c r="BA133" t="b">
        <f>IF(Metadata!N133="",FALSE,TRUE)</f>
        <v>0</v>
      </c>
      <c r="BB133" t="b">
        <f>IF(Metadata!O133="",FALSE,TRUE)</f>
        <v>0</v>
      </c>
      <c r="BC133" t="b">
        <f>AND(IF(Metadata!P133="",FALSE,TRUE),OR(EXACT(Metadata!P133,"air"),EXACT(Metadata!P133,"microbial mat/biofilm"),EXACT(Metadata!P133,"misc environment"),EXACT(Metadata!P133,"sediment"),EXACT(Metadata!P133,"soil"),EXACT(Metadata!P133,"wastewater/sludge"),EXACT(Metadata!P133,"water")))</f>
        <v>0</v>
      </c>
      <c r="BD133" t="b">
        <f>IF(Metadata!Q133="",FALSE,TRUE)</f>
        <v>0</v>
      </c>
      <c r="BE133" t="b">
        <f>IF(Metadata!R133="",FALSE,TRUE)</f>
        <v>0</v>
      </c>
      <c r="BF133" t="b">
        <f>OR(AND(IF(Metadata!S133="",FALSE,TRUE),OR(EXACT(Metadata!S133,"not collected"),EXACT(Metadata!S133,"not provided"),EXACT(Metadata!S133,"restricted access"))),AND(IF(Metadata!S133="",FALSE,ISNUMBER(VALUE(Metadata!S133))),Metadata!S133&gt;=-90,Metadata!S133&lt;=90))</f>
        <v>0</v>
      </c>
      <c r="BG133" t="b">
        <f>AND(IF(Metadata!T133="",FALSE,TRUE),EXACT(Metadata!T133,"Decimal degrees"))</f>
        <v>0</v>
      </c>
      <c r="BH133" t="b">
        <f>OR(AND(IF(Metadata!U133="",FALSE,TRUE),OR(EXACT(Metadata!U133,"not applicable"),EXACT(Metadata!U133,"not collected"))),IF(Metadata!U133="",FALSE,TRUE))</f>
        <v>0</v>
      </c>
      <c r="BI133" t="b">
        <f>OR(AND(IF(Metadata!V133="",FALSE,TRUE),OR(EXACT(Metadata!V133,"not collected"),EXACT(Metadata!V133,"not provided"),EXACT(Metadata!V133,"restricted access"))),AND(IF(Metadata!V133="",FALSE,ISNUMBER(VALUE(Metadata!V133))),Metadata!V133&gt;=-180,Metadata!V133&lt;=180))</f>
        <v>0</v>
      </c>
      <c r="BJ133" t="b">
        <f>AND(IF(Metadata!W133="",FALSE,TRUE),EXACT(Metadata!W133,"Decimal degrees"))</f>
        <v>0</v>
      </c>
      <c r="BK133" t="b">
        <f>IF(Metadata!X133="",FALSE,TRUE)</f>
        <v>0</v>
      </c>
      <c r="BL133" t="b">
        <f>OR(AND(IF(Metadata!Y133="",FALSE,TRUE),OR(EXACT(Metadata!Y133,"not collected"),EXACT(Metadata!Y133,"not provided"),EXACT(Metadata!Y133,"restricted access"))),AND(IF(Metadata!Y133="",FALSE,TRUE),OR(EXACT(Metadata!Y133,"TRUE"),EXACT(Metadata!Y133,"FALSE"))))</f>
        <v>0</v>
      </c>
      <c r="BM133" t="b">
        <f>OR(AND(IF(Metadata!Z133="",FALSE,TRUE),EXACT(Metadata!Z133,"not applicable")),AND(IF(Metadata!Z133="",FALSE,TRUE),OR(EXACT(Metadata!Z133,"beer"),EXACT(Metadata!Z133,"cheese"),EXACT(Metadata!Z133,"fresh water"),EXACT(Metadata!Z133,"marine sediment"),EXACT(Metadata!Z133,"sea water"),EXACT(Metadata!Z133,"sediment"),EXACT(Metadata!Z133,"soil"),EXACT(Metadata!Z133,"waste water"))))</f>
        <v>0</v>
      </c>
      <c r="BN133" t="b">
        <f>AND(IF(Metadata!AA133="",FALSE,TRUE),EXACT(Metadata!AA133,"metagenome"))</f>
        <v>0</v>
      </c>
      <c r="BO133" t="b">
        <f>AND(IF(Metadata!AB133="",FALSE,TRUE),EXACT(Metadata!AB133,"256318"))</f>
        <v>0</v>
      </c>
      <c r="BP133" t="b">
        <f>IF(Metadata!AC133="",FALSE,TRUE)</f>
        <v>0</v>
      </c>
      <c r="BQ133" t="b">
        <f>IF(Metadata!AD133="",FALSE,TRUE)</f>
        <v>0</v>
      </c>
    </row>
    <row r="134" spans="1:69" x14ac:dyDescent="0.2">
      <c r="A134" s="4" t="e">
        <f ca="1">IF(B134=" "," ",HYPERLINK(CONCATENATE("#metadata!",ADDRESS(INDEX($AJ$2:$AJ$1001,MATCH(ROWS($AH$2:AH134),$AH$2:$AH$1001,0),0),2)),INDEX($AM$2:$AM$1001,MATCH(ROWS($AH$2:AH134),$AH$2:$AH$1001,0),0)))</f>
        <v>#N/A</v>
      </c>
      <c r="B134" s="5" t="e">
        <f ca="1">IF(OR(INDEX($AI$2:$AI$1001,MATCH(ROWS($AH$2:AH134),$AH$2:$AH$1001,0),1)&gt;=100000,INDEX($AO$1005:$BQ$1005,1,MATCH(COLUMNS($AO$1006:AO1006),$AO$1006:$BQ$1006,0))&gt;=100000), " ",IF(INDEX($AO$2:$BQ$1001,MATCH(ROWS($AH$2:AH134),$AH$2:$AH$1001,0),MATCH(COLUMNS($AO$1006:AO1006),$AO$1006:$BQ$1006,0)), HYPERLINK("#",""), HYPERLINK(CONCATENATE("#Metadata!", ADDRESS(INDEX($AJ$2:$AJ$1001,MATCH(ROWS($AH$2:AH134),$AH$2:$AH$1001,0),0), INDEX($AO$1004:$BQ$1004,1,MATCH(COLUMNS($AO$1006:AO1006),$AO$1006:$BQ$1006,0)))),"Fix")))</f>
        <v>#N/A</v>
      </c>
      <c r="C134" s="5" t="e">
        <f ca="1">IF(OR(INDEX($AI$2:$AI$1001,MATCH(ROWS($AH$2:AH134),$AH$2:$AH$1001,0),1)&gt;=100000,INDEX($AO$1005:$BQ$1005,1,MATCH(COLUMNS($AO$1006:AP1006),$AO$1006:$BQ$1006,0))&gt;=100000), " ",IF(INDEX($AO$2:$BQ$1001,MATCH(ROWS($AH$2:AH134),$AH$2:$AH$1001,0),MATCH(COLUMNS($AO$1006:AP1006),$AO$1006:$BQ$1006,0)), HYPERLINK("#",""), HYPERLINK(CONCATENATE("#Metadata!", ADDRESS(INDEX($AJ$2:$AJ$1001,MATCH(ROWS($AH$2:AH134),$AH$2:$AH$1001,0),0), INDEX($AO$1004:$BQ$1004,1,MATCH(COLUMNS($AO$1006:AP1006),$AO$1006:$BQ$1006,0)))),"Fix")))</f>
        <v>#N/A</v>
      </c>
      <c r="D134" s="5" t="e">
        <f ca="1">IF(OR(INDEX($AI$2:$AI$1001,MATCH(ROWS($AH$2:AH134),$AH$2:$AH$1001,0),1)&gt;=100000,INDEX($AO$1005:$BQ$1005,1,MATCH(COLUMNS($AO$1006:AQ1006),$AO$1006:$BQ$1006,0))&gt;=100000), " ",IF(INDEX($AO$2:$BQ$1001,MATCH(ROWS($AH$2:AH134),$AH$2:$AH$1001,0),MATCH(COLUMNS($AO$1006:AQ1006),$AO$1006:$BQ$1006,0)), HYPERLINK("#",""), HYPERLINK(CONCATENATE("#Metadata!", ADDRESS(INDEX($AJ$2:$AJ$1001,MATCH(ROWS($AH$2:AH134),$AH$2:$AH$1001,0),0), INDEX($AO$1004:$BQ$1004,1,MATCH(COLUMNS($AO$1006:AQ1006),$AO$1006:$BQ$1006,0)))),"Fix")))</f>
        <v>#N/A</v>
      </c>
      <c r="E134" s="5" t="e">
        <f ca="1">IF(OR(INDEX($AI$2:$AI$1001,MATCH(ROWS($AH$2:AH134),$AH$2:$AH$1001,0),1)&gt;=100000,INDEX($AO$1005:$BQ$1005,1,MATCH(COLUMNS($AO$1006:AR1006),$AO$1006:$BQ$1006,0))&gt;=100000), " ",IF(INDEX($AO$2:$BQ$1001,MATCH(ROWS($AH$2:AH134),$AH$2:$AH$1001,0),MATCH(COLUMNS($AO$1006:AR1006),$AO$1006:$BQ$1006,0)), HYPERLINK("#",""), HYPERLINK(CONCATENATE("#Metadata!", ADDRESS(INDEX($AJ$2:$AJ$1001,MATCH(ROWS($AH$2:AH134),$AH$2:$AH$1001,0),0), INDEX($AO$1004:$BQ$1004,1,MATCH(COLUMNS($AO$1006:AR1006),$AO$1006:$BQ$1006,0)))),"Fix")))</f>
        <v>#N/A</v>
      </c>
      <c r="F134" s="5" t="e">
        <f ca="1">IF(OR(INDEX($AI$2:$AI$1001,MATCH(ROWS($AH$2:AH134),$AH$2:$AH$1001,0),1)&gt;=100000,INDEX($AO$1005:$BQ$1005,1,MATCH(COLUMNS($AO$1006:AS1006),$AO$1006:$BQ$1006,0))&gt;=100000), " ",IF(INDEX($AO$2:$BQ$1001,MATCH(ROWS($AH$2:AH134),$AH$2:$AH$1001,0),MATCH(COLUMNS($AO$1006:AS1006),$AO$1006:$BQ$1006,0)), HYPERLINK("#",""), HYPERLINK(CONCATENATE("#Metadata!", ADDRESS(INDEX($AJ$2:$AJ$1001,MATCH(ROWS($AH$2:AH134),$AH$2:$AH$1001,0),0), INDEX($AO$1004:$BQ$1004,1,MATCH(COLUMNS($AO$1006:AS1006),$AO$1006:$BQ$1006,0)))),"Fix")))</f>
        <v>#N/A</v>
      </c>
      <c r="G134" s="5" t="e">
        <f ca="1">IF(OR(INDEX($AI$2:$AI$1001,MATCH(ROWS($AH$2:AH134),$AH$2:$AH$1001,0),1)&gt;=100000,INDEX($AO$1005:$BQ$1005,1,MATCH(COLUMNS($AO$1006:AT1006),$AO$1006:$BQ$1006,0))&gt;=100000), " ",IF(INDEX($AO$2:$BQ$1001,MATCH(ROWS($AH$2:AH134),$AH$2:$AH$1001,0),MATCH(COLUMNS($AO$1006:AT1006),$AO$1006:$BQ$1006,0)), HYPERLINK("#",""), HYPERLINK(CONCATENATE("#Metadata!", ADDRESS(INDEX($AJ$2:$AJ$1001,MATCH(ROWS($AH$2:AH134),$AH$2:$AH$1001,0),0), INDEX($AO$1004:$BQ$1004,1,MATCH(COLUMNS($AO$1006:AT1006),$AO$1006:$BQ$1006,0)))),"Fix")))</f>
        <v>#N/A</v>
      </c>
      <c r="H134" s="5" t="e">
        <f ca="1">IF(OR(INDEX($AI$2:$AI$1001,MATCH(ROWS($AH$2:AH134),$AH$2:$AH$1001,0),1)&gt;=100000,INDEX($AO$1005:$BQ$1005,1,MATCH(COLUMNS($AO$1006:AU1006),$AO$1006:$BQ$1006,0))&gt;=100000), " ",IF(INDEX($AO$2:$BQ$1001,MATCH(ROWS($AH$2:AH134),$AH$2:$AH$1001,0),MATCH(COLUMNS($AO$1006:AU1006),$AO$1006:$BQ$1006,0)), HYPERLINK("#",""), HYPERLINK(CONCATENATE("#Metadata!", ADDRESS(INDEX($AJ$2:$AJ$1001,MATCH(ROWS($AH$2:AH134),$AH$2:$AH$1001,0),0), INDEX($AO$1004:$BQ$1004,1,MATCH(COLUMNS($AO$1006:AU1006),$AO$1006:$BQ$1006,0)))),"Fix")))</f>
        <v>#N/A</v>
      </c>
      <c r="I134" s="5" t="e">
        <f ca="1">IF(OR(INDEX($AI$2:$AI$1001,MATCH(ROWS($AH$2:AH134),$AH$2:$AH$1001,0),1)&gt;=100000,INDEX($AO$1005:$BQ$1005,1,MATCH(COLUMNS($AO$1006:AV1006),$AO$1006:$BQ$1006,0))&gt;=100000), " ",IF(INDEX($AO$2:$BQ$1001,MATCH(ROWS($AH$2:AH134),$AH$2:$AH$1001,0),MATCH(COLUMNS($AO$1006:AV1006),$AO$1006:$BQ$1006,0)), HYPERLINK("#",""), HYPERLINK(CONCATENATE("#Metadata!", ADDRESS(INDEX($AJ$2:$AJ$1001,MATCH(ROWS($AH$2:AH134),$AH$2:$AH$1001,0),0), INDEX($AO$1004:$BQ$1004,1,MATCH(COLUMNS($AO$1006:AV1006),$AO$1006:$BQ$1006,0)))),"Fix")))</f>
        <v>#N/A</v>
      </c>
      <c r="J134" s="5" t="e">
        <f ca="1">IF(OR(INDEX($AI$2:$AI$1001,MATCH(ROWS($AH$2:AH134),$AH$2:$AH$1001,0),1)&gt;=100000,INDEX($AO$1005:$BQ$1005,1,MATCH(COLUMNS($AO$1006:AW1006),$AO$1006:$BQ$1006,0))&gt;=100000), " ",IF(INDEX($AO$2:$BQ$1001,MATCH(ROWS($AH$2:AH134),$AH$2:$AH$1001,0),MATCH(COLUMNS($AO$1006:AW1006),$AO$1006:$BQ$1006,0)), HYPERLINK("#",""), HYPERLINK(CONCATENATE("#Metadata!", ADDRESS(INDEX($AJ$2:$AJ$1001,MATCH(ROWS($AH$2:AH134),$AH$2:$AH$1001,0),0), INDEX($AO$1004:$BQ$1004,1,MATCH(COLUMNS($AO$1006:AW1006),$AO$1006:$BQ$1006,0)))),"Fix")))</f>
        <v>#N/A</v>
      </c>
      <c r="K134" s="5" t="e">
        <f ca="1">IF(OR(INDEX($AI$2:$AI$1001,MATCH(ROWS($AH$2:AH134),$AH$2:$AH$1001,0),1)&gt;=100000,INDEX($AO$1005:$BQ$1005,1,MATCH(COLUMNS($AO$1006:AX1006),$AO$1006:$BQ$1006,0))&gt;=100000), " ",IF(INDEX($AO$2:$BQ$1001,MATCH(ROWS($AH$2:AH134),$AH$2:$AH$1001,0),MATCH(COLUMNS($AO$1006:AX1006),$AO$1006:$BQ$1006,0)), HYPERLINK("#",""), HYPERLINK(CONCATENATE("#Metadata!", ADDRESS(INDEX($AJ$2:$AJ$1001,MATCH(ROWS($AH$2:AH134),$AH$2:$AH$1001,0),0), INDEX($AO$1004:$BQ$1004,1,MATCH(COLUMNS($AO$1006:AX1006),$AO$1006:$BQ$1006,0)))),"Fix")))</f>
        <v>#N/A</v>
      </c>
      <c r="L134" s="5" t="e">
        <f ca="1">IF(OR(INDEX($AI$2:$AI$1001,MATCH(ROWS($AH$2:AH134),$AH$2:$AH$1001,0),1)&gt;=100000,INDEX($AO$1005:$BQ$1005,1,MATCH(COLUMNS($AO$1006:AY1006),$AO$1006:$BQ$1006,0))&gt;=100000), " ",IF(INDEX($AO$2:$BQ$1001,MATCH(ROWS($AH$2:AH134),$AH$2:$AH$1001,0),MATCH(COLUMNS($AO$1006:AY1006),$AO$1006:$BQ$1006,0)), HYPERLINK("#",""), HYPERLINK(CONCATENATE("#Metadata!", ADDRESS(INDEX($AJ$2:$AJ$1001,MATCH(ROWS($AH$2:AH134),$AH$2:$AH$1001,0),0), INDEX($AO$1004:$BQ$1004,1,MATCH(COLUMNS($AO$1006:AY1006),$AO$1006:$BQ$1006,0)))),"Fix")))</f>
        <v>#N/A</v>
      </c>
      <c r="M134" s="5" t="e">
        <f ca="1">IF(OR(INDEX($AI$2:$AI$1001,MATCH(ROWS($AH$2:AH134),$AH$2:$AH$1001,0),1)&gt;=100000,INDEX($AO$1005:$BQ$1005,1,MATCH(COLUMNS($AO$1006:AZ1006),$AO$1006:$BQ$1006,0))&gt;=100000), " ",IF(INDEX($AO$2:$BQ$1001,MATCH(ROWS($AH$2:AH134),$AH$2:$AH$1001,0),MATCH(COLUMNS($AO$1006:AZ1006),$AO$1006:$BQ$1006,0)), HYPERLINK("#",""), HYPERLINK(CONCATENATE("#Metadata!", ADDRESS(INDEX($AJ$2:$AJ$1001,MATCH(ROWS($AH$2:AH134),$AH$2:$AH$1001,0),0), INDEX($AO$1004:$BQ$1004,1,MATCH(COLUMNS($AO$1006:AZ1006),$AO$1006:$BQ$1006,0)))),"Fix")))</f>
        <v>#N/A</v>
      </c>
      <c r="N134" s="5" t="e">
        <f ca="1">IF(OR(INDEX($AI$2:$AI$1001,MATCH(ROWS($AH$2:AH134),$AH$2:$AH$1001,0),1)&gt;=100000,INDEX($AO$1005:$BQ$1005,1,MATCH(COLUMNS($AO$1006:BA1006),$AO$1006:$BQ$1006,0))&gt;=100000), " ",IF(INDEX($AO$2:$BQ$1001,MATCH(ROWS($AH$2:AH134),$AH$2:$AH$1001,0),MATCH(COLUMNS($AO$1006:BA1006),$AO$1006:$BQ$1006,0)), HYPERLINK("#",""), HYPERLINK(CONCATENATE("#Metadata!", ADDRESS(INDEX($AJ$2:$AJ$1001,MATCH(ROWS($AH$2:AH134),$AH$2:$AH$1001,0),0), INDEX($AO$1004:$BQ$1004,1,MATCH(COLUMNS($AO$1006:BA1006),$AO$1006:$BQ$1006,0)))),"Fix")))</f>
        <v>#N/A</v>
      </c>
      <c r="O134" s="5" t="e">
        <f ca="1">IF(OR(INDEX($AI$2:$AI$1001,MATCH(ROWS($AH$2:AH134),$AH$2:$AH$1001,0),1)&gt;=100000,INDEX($AO$1005:$BQ$1005,1,MATCH(COLUMNS($AO$1006:BB1006),$AO$1006:$BQ$1006,0))&gt;=100000), " ",IF(INDEX($AO$2:$BQ$1001,MATCH(ROWS($AH$2:AH134),$AH$2:$AH$1001,0),MATCH(COLUMNS($AO$1006:BB1006),$AO$1006:$BQ$1006,0)), HYPERLINK("#",""), HYPERLINK(CONCATENATE("#Metadata!", ADDRESS(INDEX($AJ$2:$AJ$1001,MATCH(ROWS($AH$2:AH134),$AH$2:$AH$1001,0),0), INDEX($AO$1004:$BQ$1004,1,MATCH(COLUMNS($AO$1006:BB1006),$AO$1006:$BQ$1006,0)))),"Fix")))</f>
        <v>#N/A</v>
      </c>
      <c r="P134" s="5" t="e">
        <f ca="1">IF(OR(INDEX($AI$2:$AI$1001,MATCH(ROWS($AH$2:AH134),$AH$2:$AH$1001,0),1)&gt;=100000,INDEX($AO$1005:$BQ$1005,1,MATCH(COLUMNS($AO$1006:BC1006),$AO$1006:$BQ$1006,0))&gt;=100000), " ",IF(INDEX($AO$2:$BQ$1001,MATCH(ROWS($AH$2:AH134),$AH$2:$AH$1001,0),MATCH(COLUMNS($AO$1006:BC1006),$AO$1006:$BQ$1006,0)), HYPERLINK("#",""), HYPERLINK(CONCATENATE("#Metadata!", ADDRESS(INDEX($AJ$2:$AJ$1001,MATCH(ROWS($AH$2:AH134),$AH$2:$AH$1001,0),0), INDEX($AO$1004:$BQ$1004,1,MATCH(COLUMNS($AO$1006:BC1006),$AO$1006:$BQ$1006,0)))),"Fix")))</f>
        <v>#N/A</v>
      </c>
      <c r="Q134" s="5" t="e">
        <f ca="1">IF(OR(INDEX($AI$2:$AI$1001,MATCH(ROWS($AH$2:AH134),$AH$2:$AH$1001,0),1)&gt;=100000,INDEX($AO$1005:$BQ$1005,1,MATCH(COLUMNS($AO$1006:BD1006),$AO$1006:$BQ$1006,0))&gt;=100000), " ",IF(INDEX($AO$2:$BQ$1001,MATCH(ROWS($AH$2:AH134),$AH$2:$AH$1001,0),MATCH(COLUMNS($AO$1006:BD1006),$AO$1006:$BQ$1006,0)), HYPERLINK("#",""), HYPERLINK(CONCATENATE("#Metadata!", ADDRESS(INDEX($AJ$2:$AJ$1001,MATCH(ROWS($AH$2:AH134),$AH$2:$AH$1001,0),0), INDEX($AO$1004:$BQ$1004,1,MATCH(COLUMNS($AO$1006:BD1006),$AO$1006:$BQ$1006,0)))),"Fix")))</f>
        <v>#N/A</v>
      </c>
      <c r="R134" s="5" t="e">
        <f ca="1">IF(OR(INDEX($AI$2:$AI$1001,MATCH(ROWS($AH$2:AH134),$AH$2:$AH$1001,0),1)&gt;=100000,INDEX($AO$1005:$BQ$1005,1,MATCH(COLUMNS($AO$1006:BE1006),$AO$1006:$BQ$1006,0))&gt;=100000), " ",IF(INDEX($AO$2:$BQ$1001,MATCH(ROWS($AH$2:AH134),$AH$2:$AH$1001,0),MATCH(COLUMNS($AO$1006:BE1006),$AO$1006:$BQ$1006,0)), HYPERLINK("#",""), HYPERLINK(CONCATENATE("#Metadata!", ADDRESS(INDEX($AJ$2:$AJ$1001,MATCH(ROWS($AH$2:AH134),$AH$2:$AH$1001,0),0), INDEX($AO$1004:$BQ$1004,1,MATCH(COLUMNS($AO$1006:BE1006),$AO$1006:$BQ$1006,0)))),"Fix")))</f>
        <v>#N/A</v>
      </c>
      <c r="S134" s="5" t="e">
        <f ca="1">IF(OR(INDEX($AI$2:$AI$1001,MATCH(ROWS($AH$2:AH134),$AH$2:$AH$1001,0),1)&gt;=100000,INDEX($AO$1005:$BQ$1005,1,MATCH(COLUMNS($AO$1006:BF1006),$AO$1006:$BQ$1006,0))&gt;=100000), " ",IF(INDEX($AO$2:$BQ$1001,MATCH(ROWS($AH$2:AH134),$AH$2:$AH$1001,0),MATCH(COLUMNS($AO$1006:BF1006),$AO$1006:$BQ$1006,0)), HYPERLINK("#",""), HYPERLINK(CONCATENATE("#Metadata!", ADDRESS(INDEX($AJ$2:$AJ$1001,MATCH(ROWS($AH$2:AH134),$AH$2:$AH$1001,0),0), INDEX($AO$1004:$BQ$1004,1,MATCH(COLUMNS($AO$1006:BF1006),$AO$1006:$BQ$1006,0)))),"Fix")))</f>
        <v>#N/A</v>
      </c>
      <c r="T134" s="5" t="e">
        <f ca="1">IF(OR(INDEX($AI$2:$AI$1001,MATCH(ROWS($AH$2:AH134),$AH$2:$AH$1001,0),1)&gt;=100000,INDEX($AO$1005:$BQ$1005,1,MATCH(COLUMNS($AO$1006:BG1006),$AO$1006:$BQ$1006,0))&gt;=100000), " ",IF(INDEX($AO$2:$BQ$1001,MATCH(ROWS($AH$2:AH134),$AH$2:$AH$1001,0),MATCH(COLUMNS($AO$1006:BG1006),$AO$1006:$BQ$1006,0)), HYPERLINK("#",""), HYPERLINK(CONCATENATE("#Metadata!", ADDRESS(INDEX($AJ$2:$AJ$1001,MATCH(ROWS($AH$2:AH134),$AH$2:$AH$1001,0),0), INDEX($AO$1004:$BQ$1004,1,MATCH(COLUMNS($AO$1006:BG1006),$AO$1006:$BQ$1006,0)))),"Fix")))</f>
        <v>#N/A</v>
      </c>
      <c r="U134" s="5" t="e">
        <f ca="1">IF(OR(INDEX($AI$2:$AI$1001,MATCH(ROWS($AH$2:AH134),$AH$2:$AH$1001,0),1)&gt;=100000,INDEX($AO$1005:$BQ$1005,1,MATCH(COLUMNS($AO$1006:BH1006),$AO$1006:$BQ$1006,0))&gt;=100000), " ",IF(INDEX($AO$2:$BQ$1001,MATCH(ROWS($AH$2:AH134),$AH$2:$AH$1001,0),MATCH(COLUMNS($AO$1006:BH1006),$AO$1006:$BQ$1006,0)), HYPERLINK("#",""), HYPERLINK(CONCATENATE("#Metadata!", ADDRESS(INDEX($AJ$2:$AJ$1001,MATCH(ROWS($AH$2:AH134),$AH$2:$AH$1001,0),0), INDEX($AO$1004:$BQ$1004,1,MATCH(COLUMNS($AO$1006:BH1006),$AO$1006:$BQ$1006,0)))),"Fix")))</f>
        <v>#N/A</v>
      </c>
      <c r="V134" s="5" t="e">
        <f ca="1">IF(OR(INDEX($AI$2:$AI$1001,MATCH(ROWS($AH$2:AH134),$AH$2:$AH$1001,0),1)&gt;=100000,INDEX($AO$1005:$BQ$1005,1,MATCH(COLUMNS($AO$1006:BI1006),$AO$1006:$BQ$1006,0))&gt;=100000), " ",IF(INDEX($AO$2:$BQ$1001,MATCH(ROWS($AH$2:AH134),$AH$2:$AH$1001,0),MATCH(COLUMNS($AO$1006:BI1006),$AO$1006:$BQ$1006,0)), HYPERLINK("#",""), HYPERLINK(CONCATENATE("#Metadata!", ADDRESS(INDEX($AJ$2:$AJ$1001,MATCH(ROWS($AH$2:AH134),$AH$2:$AH$1001,0),0), INDEX($AO$1004:$BQ$1004,1,MATCH(COLUMNS($AO$1006:BI1006),$AO$1006:$BQ$1006,0)))),"Fix")))</f>
        <v>#N/A</v>
      </c>
      <c r="W134" s="5" t="e">
        <f ca="1">IF(OR(INDEX($AI$2:$AI$1001,MATCH(ROWS($AH$2:AH134),$AH$2:$AH$1001,0),1)&gt;=100000,INDEX($AO$1005:$BQ$1005,1,MATCH(COLUMNS($AO$1006:BJ1006),$AO$1006:$BQ$1006,0))&gt;=100000), " ",IF(INDEX($AO$2:$BQ$1001,MATCH(ROWS($AH$2:AH134),$AH$2:$AH$1001,0),MATCH(COLUMNS($AO$1006:BJ1006),$AO$1006:$BQ$1006,0)), HYPERLINK("#",""), HYPERLINK(CONCATENATE("#Metadata!", ADDRESS(INDEX($AJ$2:$AJ$1001,MATCH(ROWS($AH$2:AH134),$AH$2:$AH$1001,0),0), INDEX($AO$1004:$BQ$1004,1,MATCH(COLUMNS($AO$1006:BJ1006),$AO$1006:$BQ$1006,0)))),"Fix")))</f>
        <v>#N/A</v>
      </c>
      <c r="X134" s="5" t="e">
        <f ca="1">IF(OR(INDEX($AI$2:$AI$1001,MATCH(ROWS($AH$2:AH134),$AH$2:$AH$1001,0),1)&gt;=100000,INDEX($AO$1005:$BQ$1005,1,MATCH(COLUMNS($AO$1006:BK1006),$AO$1006:$BQ$1006,0))&gt;=100000), " ",IF(INDEX($AO$2:$BQ$1001,MATCH(ROWS($AH$2:AH134),$AH$2:$AH$1001,0),MATCH(COLUMNS($AO$1006:BK1006),$AO$1006:$BQ$1006,0)), HYPERLINK("#",""), HYPERLINK(CONCATENATE("#Metadata!", ADDRESS(INDEX($AJ$2:$AJ$1001,MATCH(ROWS($AH$2:AH134),$AH$2:$AH$1001,0),0), INDEX($AO$1004:$BQ$1004,1,MATCH(COLUMNS($AO$1006:BK1006),$AO$1006:$BQ$1006,0)))),"Fix")))</f>
        <v>#N/A</v>
      </c>
      <c r="Y134" s="5" t="e">
        <f ca="1">IF(OR(INDEX($AI$2:$AI$1001,MATCH(ROWS($AH$2:AH134),$AH$2:$AH$1001,0),1)&gt;=100000,INDEX($AO$1005:$BQ$1005,1,MATCH(COLUMNS($AO$1006:BL1006),$AO$1006:$BQ$1006,0))&gt;=100000), " ",IF(INDEX($AO$2:$BQ$1001,MATCH(ROWS($AH$2:AH134),$AH$2:$AH$1001,0),MATCH(COLUMNS($AO$1006:BL1006),$AO$1006:$BQ$1006,0)), HYPERLINK("#",""), HYPERLINK(CONCATENATE("#Metadata!", ADDRESS(INDEX($AJ$2:$AJ$1001,MATCH(ROWS($AH$2:AH134),$AH$2:$AH$1001,0),0), INDEX($AO$1004:$BQ$1004,1,MATCH(COLUMNS($AO$1006:BL1006),$AO$1006:$BQ$1006,0)))),"Fix")))</f>
        <v>#N/A</v>
      </c>
      <c r="Z134" s="5" t="e">
        <f ca="1">IF(OR(INDEX($AI$2:$AI$1001,MATCH(ROWS($AH$2:AH134),$AH$2:$AH$1001,0),1)&gt;=100000,INDEX($AO$1005:$BQ$1005,1,MATCH(COLUMNS($AO$1006:BM1006),$AO$1006:$BQ$1006,0))&gt;=100000), " ",IF(INDEX($AO$2:$BQ$1001,MATCH(ROWS($AH$2:AH134),$AH$2:$AH$1001,0),MATCH(COLUMNS($AO$1006:BM1006),$AO$1006:$BQ$1006,0)), HYPERLINK("#",""), HYPERLINK(CONCATENATE("#Metadata!", ADDRESS(INDEX($AJ$2:$AJ$1001,MATCH(ROWS($AH$2:AH134),$AH$2:$AH$1001,0),0), INDEX($AO$1004:$BQ$1004,1,MATCH(COLUMNS($AO$1006:BM1006),$AO$1006:$BQ$1006,0)))),"Fix")))</f>
        <v>#N/A</v>
      </c>
      <c r="AA134" s="5" t="e">
        <f ca="1">IF(OR(INDEX($AI$2:$AI$1001,MATCH(ROWS($AH$2:AH134),$AH$2:$AH$1001,0),1)&gt;=100000,INDEX($AO$1005:$BQ$1005,1,MATCH(COLUMNS($AO$1006:BN1006),$AO$1006:$BQ$1006,0))&gt;=100000), " ",IF(INDEX($AO$2:$BQ$1001,MATCH(ROWS($AH$2:AH134),$AH$2:$AH$1001,0),MATCH(COLUMNS($AO$1006:BN1006),$AO$1006:$BQ$1006,0)), HYPERLINK("#",""), HYPERLINK(CONCATENATE("#Metadata!", ADDRESS(INDEX($AJ$2:$AJ$1001,MATCH(ROWS($AH$2:AH134),$AH$2:$AH$1001,0),0), INDEX($AO$1004:$BQ$1004,1,MATCH(COLUMNS($AO$1006:BN1006),$AO$1006:$BQ$1006,0)))),"Fix")))</f>
        <v>#N/A</v>
      </c>
      <c r="AB134" s="5" t="e">
        <f ca="1">IF(OR(INDEX($AI$2:$AI$1001,MATCH(ROWS($AH$2:AH134),$AH$2:$AH$1001,0),1)&gt;=100000,INDEX($AO$1005:$BQ$1005,1,MATCH(COLUMNS($AO$1006:BO1006),$AO$1006:$BQ$1006,0))&gt;=100000), " ",IF(INDEX($AO$2:$BQ$1001,MATCH(ROWS($AH$2:AH134),$AH$2:$AH$1001,0),MATCH(COLUMNS($AO$1006:BO1006),$AO$1006:$BQ$1006,0)), HYPERLINK("#",""), HYPERLINK(CONCATENATE("#Metadata!", ADDRESS(INDEX($AJ$2:$AJ$1001,MATCH(ROWS($AH$2:AH134),$AH$2:$AH$1001,0),0), INDEX($AO$1004:$BQ$1004,1,MATCH(COLUMNS($AO$1006:BO1006),$AO$1006:$BQ$1006,0)))),"Fix")))</f>
        <v>#N/A</v>
      </c>
      <c r="AC134" s="5" t="e">
        <f ca="1">IF(OR(INDEX($AI$2:$AI$1001,MATCH(ROWS($AH$2:AH134),$AH$2:$AH$1001,0),1)&gt;=100000,INDEX($AO$1005:$BQ$1005,1,MATCH(COLUMNS($AO$1006:BP1006),$AO$1006:$BQ$1006,0))&gt;=100000), " ",IF(INDEX($AO$2:$BQ$1001,MATCH(ROWS($AH$2:AH134),$AH$2:$AH$1001,0),MATCH(COLUMNS($AO$1006:BP1006),$AO$1006:$BQ$1006,0)), HYPERLINK("#",""), HYPERLINK(CONCATENATE("#Metadata!", ADDRESS(INDEX($AJ$2:$AJ$1001,MATCH(ROWS($AH$2:AH134),$AH$2:$AH$1001,0),0), INDEX($AO$1004:$BQ$1004,1,MATCH(COLUMNS($AO$1006:BP1006),$AO$1006:$BQ$1006,0)))),"Fix")))</f>
        <v>#N/A</v>
      </c>
      <c r="AD134" s="5" t="e">
        <f ca="1">IF(OR(INDEX($AI$2:$AI$1001,MATCH(ROWS($AH$2:AH134),$AH$2:$AH$1001,0),1)&gt;=100000,INDEX($AO$1005:$BQ$1005,1,MATCH(COLUMNS($AO$1006:BQ1006),$AO$1006:$BQ$1006,0))&gt;=100000), " ",IF(INDEX($AO$2:$BQ$1001,MATCH(ROWS($AH$2:AH134),$AH$2:$AH$1001,0),MATCH(COLUMNS($AO$1006:BQ1006),$AO$1006:$BQ$1006,0)), HYPERLINK("#",""), HYPERLINK(CONCATENATE("#Metadata!", ADDRESS(INDEX($AJ$2:$AJ$1001,MATCH(ROWS($AH$2:AH134),$AH$2:$AH$1001,0),0), INDEX($AO$1004:$BQ$1004,1,MATCH(COLUMNS($AO$1006:BQ1006),$AO$1006:$BQ$1006,0)))),"Fix")))</f>
        <v>#REF!</v>
      </c>
      <c r="AH134">
        <f ca="1"/>
        <v>131</v>
      </c>
      <c r="AI134">
        <v>100134</v>
      </c>
      <c r="AJ134">
        <v>134</v>
      </c>
      <c r="AK134" t="b">
        <f t="shared" si="2"/>
        <v>1</v>
      </c>
      <c r="AL134" t="b">
        <f>COUNTBLANK(Metadata!B134:AD134)=COLUMNS(Metadata!B134:AD134)</f>
        <v>1</v>
      </c>
      <c r="AM134" t="str">
        <v/>
      </c>
      <c r="AO134" t="b">
        <f ca="1">AND(IF(Metadata!B134="",FALSE,TRUE),COUNTIF(Metadata!B:B, Metadata!B134) = 1,NOT(ISERROR(SUMPRODUCT(SEARCH(MID(Metadata!B134,ROW(INDIRECT("1:"&amp;LEN(Metadata!B134))), 1),"0123456789abcdefghijklmnopqrstuvwxyzABCDEFGHIJKLMNOPQRSTUVWXYZ.")))))</f>
        <v>0</v>
      </c>
      <c r="AP134" t="b">
        <f>IF(Metadata!C134="",FALSE,TRUE)</f>
        <v>0</v>
      </c>
      <c r="AQ134" t="b">
        <f>IF(Metadata!D134="",FALSE,TRUE)</f>
        <v>0</v>
      </c>
      <c r="AR134" t="b">
        <f ca="1">OR(AND(IF(Metadata!E134="",FALSE,TRUE),OR(EXACT(Metadata!E134,"not collected"),EXACT(Metadata!E134,"not provided"),EXACT(Metadata!E134,"restricted access"))),AND(IF(Metadata!E134="",FALSE,TRUE),AND(AND(IFERROR(INT(LEFT(Metadata!E134,4))&gt;1900,FALSE),IFERROR(INT(LEFT(Metadata!E134,4))&lt;=YEAR(NOW()),FALSE)), OR(MID(Metadata!E134,5,1)="", AND(AND(MID(Metadata!E134,5,1)="-",IFERROR(INT(MID(Metadata!E134,6,1))&gt;=0,FALSE),IFERROR(INT(MID(Metadata!E134,6,1))&lt;=1,FALSE),NOT(MID(Metadata!E134,7,1)=""),IFERROR(INT(MID(Metadata!E134,6,2))&gt;=1,FALSE),IFERROR(INT(MID(Metadata!E134,6,2))&lt;=12,FALSE)), OR(MID(Metadata!E134,8,1)="", AND(AND(MID(Metadata!E134,8,1)="-",IFERROR(INT(MID(Metadata!E134,9,1))&gt;=0,FALSE),IFERROR(INT(MID(Metadata!E134,9,1))&lt;=3,FALSE),NOT(MID(Metadata!E134,10,1)=""),IFERROR(INT(MID(Metadata!E134,9,2))&gt;=1,FALSE),IFERROR(INT(MID(Metadata!E134,9,2))&lt;=31,FALSE)), OR(MID(Metadata!E134,11,1)="", AND(AND(MID(Metadata!E134,11,1)=" ",IFERROR(INT(MID(Metadata!E134,12,1))&gt;=0,FALSE),IFERROR(INT(MID(Metadata!E134,12,1))&lt;=2,FALSE),NOT(MID(Metadata!E134,13,1)=""),IFERROR(INT(MID(Metadata!E134,12,2))&gt;=0,FALSE),IFERROR(INT(MID(Metadata!E134,12,2))&lt;=23,FALSE)), OR(MID(Metadata!E134,14,1)="", AND(AND(MID(Metadata!E134,14,1)=":",IFERROR(INT(MID(Metadata!E134,15,1))&gt;=0,FALSE),IFERROR(INT(MID(Metadata!E134,15,1))&lt;=5,FALSE),NOT(MID(Metadata!E134,16,1)=""),IFERROR(INT(MID(Metadata!E134,15,2))&gt;=0,FALSE),IFERROR(INT(MID(Metadata!E134,15,2))&lt;=59,FALSE)), OR(MID(Metadata!E134,17,1)="", AND(AND(MID(Metadata!E134,17,1)=":",IFERROR(INT(MID(Metadata!E134,18,1))&gt;=0,FALSE),IFERROR(INT(MID(Metadata!E134,18,1))&lt;=5,FALSE),NOT(MID(Metadata!E134,19,1)=""),IFERROR(INT(MID(Metadata!E134,18,2))&gt;=0,FALSE),IFERROR(INT(MID(Metadata!E134,18,2))&lt;=59,FALSE)), LEN(Metadata!E134)&lt;=19)))))))))))))</f>
        <v>0</v>
      </c>
      <c r="AS134" t="b">
        <f>IF(Metadata!F134="",FALSE,TRUE)</f>
        <v>0</v>
      </c>
      <c r="AT134" t="b">
        <f>OR(AND(IF(Metadata!G134="",FALSE,TRUE),OR(EXACT(Metadata!G134,"not collected"),EXACT(Metadata!G134,"not provided"))),AND(IF(Metadata!G134="",FALSE,TRUE),OR(EXACT(Metadata!G134,"TRUE"),EXACT(Metadata!G134,"FALSE"))))</f>
        <v>0</v>
      </c>
      <c r="AU134" t="b">
        <f>OR(AND(IF(Metadata!H134="",FALSE,TRUE),OR(EXACT(Metadata!H134,"not collected"),EXACT(Metadata!H134,"not provided"),EXACT(Metadata!H134,"restricted access"))),AND(IF(Metadata!H134="",FALSE,ISNUMBER(VALUE(Metadata!H134))),Metadata!H134&gt;=-413))</f>
        <v>0</v>
      </c>
      <c r="AV134" t="b">
        <f>AND(IF(Metadata!I134="",FALSE,TRUE),EXACT(Metadata!I134,"meters"))</f>
        <v>0</v>
      </c>
      <c r="AW134" t="b">
        <f>AND(IF(Metadata!J134="",FALSE,TRUE),EXACT(Metadata!J134,"free-living"))</f>
        <v>0</v>
      </c>
      <c r="AX134" t="b">
        <f>AND(IF(Metadata!K134="",FALSE,TRUE),OR(EXACT(Metadata!K134,"saline"),EXACT(Metadata!K134,"non-saline")))</f>
        <v>0</v>
      </c>
      <c r="AY134" t="b">
        <f>AND(IF(Metadata!L134="",FALSE,TRUE),OR(EXACT(Metadata!L134,"sub-surface (non-saline)"),EXACT(Metadata!L134,"surface (non-saline)"),EXACT(Metadata!L134,"water (non-saline)"),EXACT(Metadata!L134,"soil (non-saline)"),EXACT(Metadata!L134,"aerosol (non-saline)"),EXACT(Metadata!L134,"sediment (non-saline)"),EXACT(Metadata!L134,"surface (saline)"),EXACT(Metadata!L134,"water (saline)"),EXACT(Metadata!L134,"hypersaline (saline)"),EXACT(Metadata!L134,"aerosol (saline)"),EXACT(Metadata!L134,"sediment (saline)")))</f>
        <v>0</v>
      </c>
      <c r="AZ134" t="b">
        <f>IF(Metadata!M134="",FALSE,TRUE)</f>
        <v>0</v>
      </c>
      <c r="BA134" t="b">
        <f>IF(Metadata!N134="",FALSE,TRUE)</f>
        <v>0</v>
      </c>
      <c r="BB134" t="b">
        <f>IF(Metadata!O134="",FALSE,TRUE)</f>
        <v>0</v>
      </c>
      <c r="BC134" t="b">
        <f>AND(IF(Metadata!P134="",FALSE,TRUE),OR(EXACT(Metadata!P134,"air"),EXACT(Metadata!P134,"microbial mat/biofilm"),EXACT(Metadata!P134,"misc environment"),EXACT(Metadata!P134,"sediment"),EXACT(Metadata!P134,"soil"),EXACT(Metadata!P134,"wastewater/sludge"),EXACT(Metadata!P134,"water")))</f>
        <v>0</v>
      </c>
      <c r="BD134" t="b">
        <f>IF(Metadata!Q134="",FALSE,TRUE)</f>
        <v>0</v>
      </c>
      <c r="BE134" t="b">
        <f>IF(Metadata!R134="",FALSE,TRUE)</f>
        <v>0</v>
      </c>
      <c r="BF134" t="b">
        <f>OR(AND(IF(Metadata!S134="",FALSE,TRUE),OR(EXACT(Metadata!S134,"not collected"),EXACT(Metadata!S134,"not provided"),EXACT(Metadata!S134,"restricted access"))),AND(IF(Metadata!S134="",FALSE,ISNUMBER(VALUE(Metadata!S134))),Metadata!S134&gt;=-90,Metadata!S134&lt;=90))</f>
        <v>0</v>
      </c>
      <c r="BG134" t="b">
        <f>AND(IF(Metadata!T134="",FALSE,TRUE),EXACT(Metadata!T134,"Decimal degrees"))</f>
        <v>0</v>
      </c>
      <c r="BH134" t="b">
        <f>OR(AND(IF(Metadata!U134="",FALSE,TRUE),OR(EXACT(Metadata!U134,"not applicable"),EXACT(Metadata!U134,"not collected"))),IF(Metadata!U134="",FALSE,TRUE))</f>
        <v>0</v>
      </c>
      <c r="BI134" t="b">
        <f>OR(AND(IF(Metadata!V134="",FALSE,TRUE),OR(EXACT(Metadata!V134,"not collected"),EXACT(Metadata!V134,"not provided"),EXACT(Metadata!V134,"restricted access"))),AND(IF(Metadata!V134="",FALSE,ISNUMBER(VALUE(Metadata!V134))),Metadata!V134&gt;=-180,Metadata!V134&lt;=180))</f>
        <v>0</v>
      </c>
      <c r="BJ134" t="b">
        <f>AND(IF(Metadata!W134="",FALSE,TRUE),EXACT(Metadata!W134,"Decimal degrees"))</f>
        <v>0</v>
      </c>
      <c r="BK134" t="b">
        <f>IF(Metadata!X134="",FALSE,TRUE)</f>
        <v>0</v>
      </c>
      <c r="BL134" t="b">
        <f>OR(AND(IF(Metadata!Y134="",FALSE,TRUE),OR(EXACT(Metadata!Y134,"not collected"),EXACT(Metadata!Y134,"not provided"),EXACT(Metadata!Y134,"restricted access"))),AND(IF(Metadata!Y134="",FALSE,TRUE),OR(EXACT(Metadata!Y134,"TRUE"),EXACT(Metadata!Y134,"FALSE"))))</f>
        <v>0</v>
      </c>
      <c r="BM134" t="b">
        <f>OR(AND(IF(Metadata!Z134="",FALSE,TRUE),EXACT(Metadata!Z134,"not applicable")),AND(IF(Metadata!Z134="",FALSE,TRUE),OR(EXACT(Metadata!Z134,"beer"),EXACT(Metadata!Z134,"cheese"),EXACT(Metadata!Z134,"fresh water"),EXACT(Metadata!Z134,"marine sediment"),EXACT(Metadata!Z134,"sea water"),EXACT(Metadata!Z134,"sediment"),EXACT(Metadata!Z134,"soil"),EXACT(Metadata!Z134,"waste water"))))</f>
        <v>0</v>
      </c>
      <c r="BN134" t="b">
        <f>AND(IF(Metadata!AA134="",FALSE,TRUE),EXACT(Metadata!AA134,"metagenome"))</f>
        <v>0</v>
      </c>
      <c r="BO134" t="b">
        <f>AND(IF(Metadata!AB134="",FALSE,TRUE),EXACT(Metadata!AB134,"256318"))</f>
        <v>0</v>
      </c>
      <c r="BP134" t="b">
        <f>IF(Metadata!AC134="",FALSE,TRUE)</f>
        <v>0</v>
      </c>
      <c r="BQ134" t="b">
        <f>IF(Metadata!AD134="",FALSE,TRUE)</f>
        <v>0</v>
      </c>
    </row>
    <row r="135" spans="1:69" x14ac:dyDescent="0.2">
      <c r="A135" s="4" t="e">
        <f ca="1">IF(B135=" "," ",HYPERLINK(CONCATENATE("#metadata!",ADDRESS(INDEX($AJ$2:$AJ$1001,MATCH(ROWS($AH$2:AH135),$AH$2:$AH$1001,0),0),2)),INDEX($AM$2:$AM$1001,MATCH(ROWS($AH$2:AH135),$AH$2:$AH$1001,0),0)))</f>
        <v>#N/A</v>
      </c>
      <c r="B135" s="5" t="e">
        <f ca="1">IF(OR(INDEX($AI$2:$AI$1001,MATCH(ROWS($AH$2:AH135),$AH$2:$AH$1001,0),1)&gt;=100000,INDEX($AO$1005:$BQ$1005,1,MATCH(COLUMNS($AO$1006:AO1006),$AO$1006:$BQ$1006,0))&gt;=100000), " ",IF(INDEX($AO$2:$BQ$1001,MATCH(ROWS($AH$2:AH135),$AH$2:$AH$1001,0),MATCH(COLUMNS($AO$1006:AO1006),$AO$1006:$BQ$1006,0)), HYPERLINK("#",""), HYPERLINK(CONCATENATE("#Metadata!", ADDRESS(INDEX($AJ$2:$AJ$1001,MATCH(ROWS($AH$2:AH135),$AH$2:$AH$1001,0),0), INDEX($AO$1004:$BQ$1004,1,MATCH(COLUMNS($AO$1006:AO1006),$AO$1006:$BQ$1006,0)))),"Fix")))</f>
        <v>#N/A</v>
      </c>
      <c r="C135" s="5" t="e">
        <f ca="1">IF(OR(INDEX($AI$2:$AI$1001,MATCH(ROWS($AH$2:AH135),$AH$2:$AH$1001,0),1)&gt;=100000,INDEX($AO$1005:$BQ$1005,1,MATCH(COLUMNS($AO$1006:AP1006),$AO$1006:$BQ$1006,0))&gt;=100000), " ",IF(INDEX($AO$2:$BQ$1001,MATCH(ROWS($AH$2:AH135),$AH$2:$AH$1001,0),MATCH(COLUMNS($AO$1006:AP1006),$AO$1006:$BQ$1006,0)), HYPERLINK("#",""), HYPERLINK(CONCATENATE("#Metadata!", ADDRESS(INDEX($AJ$2:$AJ$1001,MATCH(ROWS($AH$2:AH135),$AH$2:$AH$1001,0),0), INDEX($AO$1004:$BQ$1004,1,MATCH(COLUMNS($AO$1006:AP1006),$AO$1006:$BQ$1006,0)))),"Fix")))</f>
        <v>#N/A</v>
      </c>
      <c r="D135" s="5" t="e">
        <f ca="1">IF(OR(INDEX($AI$2:$AI$1001,MATCH(ROWS($AH$2:AH135),$AH$2:$AH$1001,0),1)&gt;=100000,INDEX($AO$1005:$BQ$1005,1,MATCH(COLUMNS($AO$1006:AQ1006),$AO$1006:$BQ$1006,0))&gt;=100000), " ",IF(INDEX($AO$2:$BQ$1001,MATCH(ROWS($AH$2:AH135),$AH$2:$AH$1001,0),MATCH(COLUMNS($AO$1006:AQ1006),$AO$1006:$BQ$1006,0)), HYPERLINK("#",""), HYPERLINK(CONCATENATE("#Metadata!", ADDRESS(INDEX($AJ$2:$AJ$1001,MATCH(ROWS($AH$2:AH135),$AH$2:$AH$1001,0),0), INDEX($AO$1004:$BQ$1004,1,MATCH(COLUMNS($AO$1006:AQ1006),$AO$1006:$BQ$1006,0)))),"Fix")))</f>
        <v>#N/A</v>
      </c>
      <c r="E135" s="5" t="e">
        <f ca="1">IF(OR(INDEX($AI$2:$AI$1001,MATCH(ROWS($AH$2:AH135),$AH$2:$AH$1001,0),1)&gt;=100000,INDEX($AO$1005:$BQ$1005,1,MATCH(COLUMNS($AO$1006:AR1006),$AO$1006:$BQ$1006,0))&gt;=100000), " ",IF(INDEX($AO$2:$BQ$1001,MATCH(ROWS($AH$2:AH135),$AH$2:$AH$1001,0),MATCH(COLUMNS($AO$1006:AR1006),$AO$1006:$BQ$1006,0)), HYPERLINK("#",""), HYPERLINK(CONCATENATE("#Metadata!", ADDRESS(INDEX($AJ$2:$AJ$1001,MATCH(ROWS($AH$2:AH135),$AH$2:$AH$1001,0),0), INDEX($AO$1004:$BQ$1004,1,MATCH(COLUMNS($AO$1006:AR1006),$AO$1006:$BQ$1006,0)))),"Fix")))</f>
        <v>#N/A</v>
      </c>
      <c r="F135" s="5" t="e">
        <f ca="1">IF(OR(INDEX($AI$2:$AI$1001,MATCH(ROWS($AH$2:AH135),$AH$2:$AH$1001,0),1)&gt;=100000,INDEX($AO$1005:$BQ$1005,1,MATCH(COLUMNS($AO$1006:AS1006),$AO$1006:$BQ$1006,0))&gt;=100000), " ",IF(INDEX($AO$2:$BQ$1001,MATCH(ROWS($AH$2:AH135),$AH$2:$AH$1001,0),MATCH(COLUMNS($AO$1006:AS1006),$AO$1006:$BQ$1006,0)), HYPERLINK("#",""), HYPERLINK(CONCATENATE("#Metadata!", ADDRESS(INDEX($AJ$2:$AJ$1001,MATCH(ROWS($AH$2:AH135),$AH$2:$AH$1001,0),0), INDEX($AO$1004:$BQ$1004,1,MATCH(COLUMNS($AO$1006:AS1006),$AO$1006:$BQ$1006,0)))),"Fix")))</f>
        <v>#N/A</v>
      </c>
      <c r="G135" s="5" t="e">
        <f ca="1">IF(OR(INDEX($AI$2:$AI$1001,MATCH(ROWS($AH$2:AH135),$AH$2:$AH$1001,0),1)&gt;=100000,INDEX($AO$1005:$BQ$1005,1,MATCH(COLUMNS($AO$1006:AT1006),$AO$1006:$BQ$1006,0))&gt;=100000), " ",IF(INDEX($AO$2:$BQ$1001,MATCH(ROWS($AH$2:AH135),$AH$2:$AH$1001,0),MATCH(COLUMNS($AO$1006:AT1006),$AO$1006:$BQ$1006,0)), HYPERLINK("#",""), HYPERLINK(CONCATENATE("#Metadata!", ADDRESS(INDEX($AJ$2:$AJ$1001,MATCH(ROWS($AH$2:AH135),$AH$2:$AH$1001,0),0), INDEX($AO$1004:$BQ$1004,1,MATCH(COLUMNS($AO$1006:AT1006),$AO$1006:$BQ$1006,0)))),"Fix")))</f>
        <v>#N/A</v>
      </c>
      <c r="H135" s="5" t="e">
        <f ca="1">IF(OR(INDEX($AI$2:$AI$1001,MATCH(ROWS($AH$2:AH135),$AH$2:$AH$1001,0),1)&gt;=100000,INDEX($AO$1005:$BQ$1005,1,MATCH(COLUMNS($AO$1006:AU1006),$AO$1006:$BQ$1006,0))&gt;=100000), " ",IF(INDEX($AO$2:$BQ$1001,MATCH(ROWS($AH$2:AH135),$AH$2:$AH$1001,0),MATCH(COLUMNS($AO$1006:AU1006),$AO$1006:$BQ$1006,0)), HYPERLINK("#",""), HYPERLINK(CONCATENATE("#Metadata!", ADDRESS(INDEX($AJ$2:$AJ$1001,MATCH(ROWS($AH$2:AH135),$AH$2:$AH$1001,0),0), INDEX($AO$1004:$BQ$1004,1,MATCH(COLUMNS($AO$1006:AU1006),$AO$1006:$BQ$1006,0)))),"Fix")))</f>
        <v>#N/A</v>
      </c>
      <c r="I135" s="5" t="e">
        <f ca="1">IF(OR(INDEX($AI$2:$AI$1001,MATCH(ROWS($AH$2:AH135),$AH$2:$AH$1001,0),1)&gt;=100000,INDEX($AO$1005:$BQ$1005,1,MATCH(COLUMNS($AO$1006:AV1006),$AO$1006:$BQ$1006,0))&gt;=100000), " ",IF(INDEX($AO$2:$BQ$1001,MATCH(ROWS($AH$2:AH135),$AH$2:$AH$1001,0),MATCH(COLUMNS($AO$1006:AV1006),$AO$1006:$BQ$1006,0)), HYPERLINK("#",""), HYPERLINK(CONCATENATE("#Metadata!", ADDRESS(INDEX($AJ$2:$AJ$1001,MATCH(ROWS($AH$2:AH135),$AH$2:$AH$1001,0),0), INDEX($AO$1004:$BQ$1004,1,MATCH(COLUMNS($AO$1006:AV1006),$AO$1006:$BQ$1006,0)))),"Fix")))</f>
        <v>#N/A</v>
      </c>
      <c r="J135" s="5" t="e">
        <f ca="1">IF(OR(INDEX($AI$2:$AI$1001,MATCH(ROWS($AH$2:AH135),$AH$2:$AH$1001,0),1)&gt;=100000,INDEX($AO$1005:$BQ$1005,1,MATCH(COLUMNS($AO$1006:AW1006),$AO$1006:$BQ$1006,0))&gt;=100000), " ",IF(INDEX($AO$2:$BQ$1001,MATCH(ROWS($AH$2:AH135),$AH$2:$AH$1001,0),MATCH(COLUMNS($AO$1006:AW1006),$AO$1006:$BQ$1006,0)), HYPERLINK("#",""), HYPERLINK(CONCATENATE("#Metadata!", ADDRESS(INDEX($AJ$2:$AJ$1001,MATCH(ROWS($AH$2:AH135),$AH$2:$AH$1001,0),0), INDEX($AO$1004:$BQ$1004,1,MATCH(COLUMNS($AO$1006:AW1006),$AO$1006:$BQ$1006,0)))),"Fix")))</f>
        <v>#N/A</v>
      </c>
      <c r="K135" s="5" t="e">
        <f ca="1">IF(OR(INDEX($AI$2:$AI$1001,MATCH(ROWS($AH$2:AH135),$AH$2:$AH$1001,0),1)&gt;=100000,INDEX($AO$1005:$BQ$1005,1,MATCH(COLUMNS($AO$1006:AX1006),$AO$1006:$BQ$1006,0))&gt;=100000), " ",IF(INDEX($AO$2:$BQ$1001,MATCH(ROWS($AH$2:AH135),$AH$2:$AH$1001,0),MATCH(COLUMNS($AO$1006:AX1006),$AO$1006:$BQ$1006,0)), HYPERLINK("#",""), HYPERLINK(CONCATENATE("#Metadata!", ADDRESS(INDEX($AJ$2:$AJ$1001,MATCH(ROWS($AH$2:AH135),$AH$2:$AH$1001,0),0), INDEX($AO$1004:$BQ$1004,1,MATCH(COLUMNS($AO$1006:AX1006),$AO$1006:$BQ$1006,0)))),"Fix")))</f>
        <v>#N/A</v>
      </c>
      <c r="L135" s="5" t="e">
        <f ca="1">IF(OR(INDEX($AI$2:$AI$1001,MATCH(ROWS($AH$2:AH135),$AH$2:$AH$1001,0),1)&gt;=100000,INDEX($AO$1005:$BQ$1005,1,MATCH(COLUMNS($AO$1006:AY1006),$AO$1006:$BQ$1006,0))&gt;=100000), " ",IF(INDEX($AO$2:$BQ$1001,MATCH(ROWS($AH$2:AH135),$AH$2:$AH$1001,0),MATCH(COLUMNS($AO$1006:AY1006),$AO$1006:$BQ$1006,0)), HYPERLINK("#",""), HYPERLINK(CONCATENATE("#Metadata!", ADDRESS(INDEX($AJ$2:$AJ$1001,MATCH(ROWS($AH$2:AH135),$AH$2:$AH$1001,0),0), INDEX($AO$1004:$BQ$1004,1,MATCH(COLUMNS($AO$1006:AY1006),$AO$1006:$BQ$1006,0)))),"Fix")))</f>
        <v>#N/A</v>
      </c>
      <c r="M135" s="5" t="e">
        <f ca="1">IF(OR(INDEX($AI$2:$AI$1001,MATCH(ROWS($AH$2:AH135),$AH$2:$AH$1001,0),1)&gt;=100000,INDEX($AO$1005:$BQ$1005,1,MATCH(COLUMNS($AO$1006:AZ1006),$AO$1006:$BQ$1006,0))&gt;=100000), " ",IF(INDEX($AO$2:$BQ$1001,MATCH(ROWS($AH$2:AH135),$AH$2:$AH$1001,0),MATCH(COLUMNS($AO$1006:AZ1006),$AO$1006:$BQ$1006,0)), HYPERLINK("#",""), HYPERLINK(CONCATENATE("#Metadata!", ADDRESS(INDEX($AJ$2:$AJ$1001,MATCH(ROWS($AH$2:AH135),$AH$2:$AH$1001,0),0), INDEX($AO$1004:$BQ$1004,1,MATCH(COLUMNS($AO$1006:AZ1006),$AO$1006:$BQ$1006,0)))),"Fix")))</f>
        <v>#N/A</v>
      </c>
      <c r="N135" s="5" t="e">
        <f ca="1">IF(OR(INDEX($AI$2:$AI$1001,MATCH(ROWS($AH$2:AH135),$AH$2:$AH$1001,0),1)&gt;=100000,INDEX($AO$1005:$BQ$1005,1,MATCH(COLUMNS($AO$1006:BA1006),$AO$1006:$BQ$1006,0))&gt;=100000), " ",IF(INDEX($AO$2:$BQ$1001,MATCH(ROWS($AH$2:AH135),$AH$2:$AH$1001,0),MATCH(COLUMNS($AO$1006:BA1006),$AO$1006:$BQ$1006,0)), HYPERLINK("#",""), HYPERLINK(CONCATENATE("#Metadata!", ADDRESS(INDEX($AJ$2:$AJ$1001,MATCH(ROWS($AH$2:AH135),$AH$2:$AH$1001,0),0), INDEX($AO$1004:$BQ$1004,1,MATCH(COLUMNS($AO$1006:BA1006),$AO$1006:$BQ$1006,0)))),"Fix")))</f>
        <v>#N/A</v>
      </c>
      <c r="O135" s="5" t="e">
        <f ca="1">IF(OR(INDEX($AI$2:$AI$1001,MATCH(ROWS($AH$2:AH135),$AH$2:$AH$1001,0),1)&gt;=100000,INDEX($AO$1005:$BQ$1005,1,MATCH(COLUMNS($AO$1006:BB1006),$AO$1006:$BQ$1006,0))&gt;=100000), " ",IF(INDEX($AO$2:$BQ$1001,MATCH(ROWS($AH$2:AH135),$AH$2:$AH$1001,0),MATCH(COLUMNS($AO$1006:BB1006),$AO$1006:$BQ$1006,0)), HYPERLINK("#",""), HYPERLINK(CONCATENATE("#Metadata!", ADDRESS(INDEX($AJ$2:$AJ$1001,MATCH(ROWS($AH$2:AH135),$AH$2:$AH$1001,0),0), INDEX($AO$1004:$BQ$1004,1,MATCH(COLUMNS($AO$1006:BB1006),$AO$1006:$BQ$1006,0)))),"Fix")))</f>
        <v>#N/A</v>
      </c>
      <c r="P135" s="5" t="e">
        <f ca="1">IF(OR(INDEX($AI$2:$AI$1001,MATCH(ROWS($AH$2:AH135),$AH$2:$AH$1001,0),1)&gt;=100000,INDEX($AO$1005:$BQ$1005,1,MATCH(COLUMNS($AO$1006:BC1006),$AO$1006:$BQ$1006,0))&gt;=100000), " ",IF(INDEX($AO$2:$BQ$1001,MATCH(ROWS($AH$2:AH135),$AH$2:$AH$1001,0),MATCH(COLUMNS($AO$1006:BC1006),$AO$1006:$BQ$1006,0)), HYPERLINK("#",""), HYPERLINK(CONCATENATE("#Metadata!", ADDRESS(INDEX($AJ$2:$AJ$1001,MATCH(ROWS($AH$2:AH135),$AH$2:$AH$1001,0),0), INDEX($AO$1004:$BQ$1004,1,MATCH(COLUMNS($AO$1006:BC1006),$AO$1006:$BQ$1006,0)))),"Fix")))</f>
        <v>#N/A</v>
      </c>
      <c r="Q135" s="5" t="e">
        <f ca="1">IF(OR(INDEX($AI$2:$AI$1001,MATCH(ROWS($AH$2:AH135),$AH$2:$AH$1001,0),1)&gt;=100000,INDEX($AO$1005:$BQ$1005,1,MATCH(COLUMNS($AO$1006:BD1006),$AO$1006:$BQ$1006,0))&gt;=100000), " ",IF(INDEX($AO$2:$BQ$1001,MATCH(ROWS($AH$2:AH135),$AH$2:$AH$1001,0),MATCH(COLUMNS($AO$1006:BD1006),$AO$1006:$BQ$1006,0)), HYPERLINK("#",""), HYPERLINK(CONCATENATE("#Metadata!", ADDRESS(INDEX($AJ$2:$AJ$1001,MATCH(ROWS($AH$2:AH135),$AH$2:$AH$1001,0),0), INDEX($AO$1004:$BQ$1004,1,MATCH(COLUMNS($AO$1006:BD1006),$AO$1006:$BQ$1006,0)))),"Fix")))</f>
        <v>#N/A</v>
      </c>
      <c r="R135" s="5" t="e">
        <f ca="1">IF(OR(INDEX($AI$2:$AI$1001,MATCH(ROWS($AH$2:AH135),$AH$2:$AH$1001,0),1)&gt;=100000,INDEX($AO$1005:$BQ$1005,1,MATCH(COLUMNS($AO$1006:BE1006),$AO$1006:$BQ$1006,0))&gt;=100000), " ",IF(INDEX($AO$2:$BQ$1001,MATCH(ROWS($AH$2:AH135),$AH$2:$AH$1001,0),MATCH(COLUMNS($AO$1006:BE1006),$AO$1006:$BQ$1006,0)), HYPERLINK("#",""), HYPERLINK(CONCATENATE("#Metadata!", ADDRESS(INDEX($AJ$2:$AJ$1001,MATCH(ROWS($AH$2:AH135),$AH$2:$AH$1001,0),0), INDEX($AO$1004:$BQ$1004,1,MATCH(COLUMNS($AO$1006:BE1006),$AO$1006:$BQ$1006,0)))),"Fix")))</f>
        <v>#N/A</v>
      </c>
      <c r="S135" s="5" t="e">
        <f ca="1">IF(OR(INDEX($AI$2:$AI$1001,MATCH(ROWS($AH$2:AH135),$AH$2:$AH$1001,0),1)&gt;=100000,INDEX($AO$1005:$BQ$1005,1,MATCH(COLUMNS($AO$1006:BF1006),$AO$1006:$BQ$1006,0))&gt;=100000), " ",IF(INDEX($AO$2:$BQ$1001,MATCH(ROWS($AH$2:AH135),$AH$2:$AH$1001,0),MATCH(COLUMNS($AO$1006:BF1006),$AO$1006:$BQ$1006,0)), HYPERLINK("#",""), HYPERLINK(CONCATENATE("#Metadata!", ADDRESS(INDEX($AJ$2:$AJ$1001,MATCH(ROWS($AH$2:AH135),$AH$2:$AH$1001,0),0), INDEX($AO$1004:$BQ$1004,1,MATCH(COLUMNS($AO$1006:BF1006),$AO$1006:$BQ$1006,0)))),"Fix")))</f>
        <v>#N/A</v>
      </c>
      <c r="T135" s="5" t="e">
        <f ca="1">IF(OR(INDEX($AI$2:$AI$1001,MATCH(ROWS($AH$2:AH135),$AH$2:$AH$1001,0),1)&gt;=100000,INDEX($AO$1005:$BQ$1005,1,MATCH(COLUMNS($AO$1006:BG1006),$AO$1006:$BQ$1006,0))&gt;=100000), " ",IF(INDEX($AO$2:$BQ$1001,MATCH(ROWS($AH$2:AH135),$AH$2:$AH$1001,0),MATCH(COLUMNS($AO$1006:BG1006),$AO$1006:$BQ$1006,0)), HYPERLINK("#",""), HYPERLINK(CONCATENATE("#Metadata!", ADDRESS(INDEX($AJ$2:$AJ$1001,MATCH(ROWS($AH$2:AH135),$AH$2:$AH$1001,0),0), INDEX($AO$1004:$BQ$1004,1,MATCH(COLUMNS($AO$1006:BG1006),$AO$1006:$BQ$1006,0)))),"Fix")))</f>
        <v>#N/A</v>
      </c>
      <c r="U135" s="5" t="e">
        <f ca="1">IF(OR(INDEX($AI$2:$AI$1001,MATCH(ROWS($AH$2:AH135),$AH$2:$AH$1001,0),1)&gt;=100000,INDEX($AO$1005:$BQ$1005,1,MATCH(COLUMNS($AO$1006:BH1006),$AO$1006:$BQ$1006,0))&gt;=100000), " ",IF(INDEX($AO$2:$BQ$1001,MATCH(ROWS($AH$2:AH135),$AH$2:$AH$1001,0),MATCH(COLUMNS($AO$1006:BH1006),$AO$1006:$BQ$1006,0)), HYPERLINK("#",""), HYPERLINK(CONCATENATE("#Metadata!", ADDRESS(INDEX($AJ$2:$AJ$1001,MATCH(ROWS($AH$2:AH135),$AH$2:$AH$1001,0),0), INDEX($AO$1004:$BQ$1004,1,MATCH(COLUMNS($AO$1006:BH1006),$AO$1006:$BQ$1006,0)))),"Fix")))</f>
        <v>#N/A</v>
      </c>
      <c r="V135" s="5" t="e">
        <f ca="1">IF(OR(INDEX($AI$2:$AI$1001,MATCH(ROWS($AH$2:AH135),$AH$2:$AH$1001,0),1)&gt;=100000,INDEX($AO$1005:$BQ$1005,1,MATCH(COLUMNS($AO$1006:BI1006),$AO$1006:$BQ$1006,0))&gt;=100000), " ",IF(INDEX($AO$2:$BQ$1001,MATCH(ROWS($AH$2:AH135),$AH$2:$AH$1001,0),MATCH(COLUMNS($AO$1006:BI1006),$AO$1006:$BQ$1006,0)), HYPERLINK("#",""), HYPERLINK(CONCATENATE("#Metadata!", ADDRESS(INDEX($AJ$2:$AJ$1001,MATCH(ROWS($AH$2:AH135),$AH$2:$AH$1001,0),0), INDEX($AO$1004:$BQ$1004,1,MATCH(COLUMNS($AO$1006:BI1006),$AO$1006:$BQ$1006,0)))),"Fix")))</f>
        <v>#N/A</v>
      </c>
      <c r="W135" s="5" t="e">
        <f ca="1">IF(OR(INDEX($AI$2:$AI$1001,MATCH(ROWS($AH$2:AH135),$AH$2:$AH$1001,0),1)&gt;=100000,INDEX($AO$1005:$BQ$1005,1,MATCH(COLUMNS($AO$1006:BJ1006),$AO$1006:$BQ$1006,0))&gt;=100000), " ",IF(INDEX($AO$2:$BQ$1001,MATCH(ROWS($AH$2:AH135),$AH$2:$AH$1001,0),MATCH(COLUMNS($AO$1006:BJ1006),$AO$1006:$BQ$1006,0)), HYPERLINK("#",""), HYPERLINK(CONCATENATE("#Metadata!", ADDRESS(INDEX($AJ$2:$AJ$1001,MATCH(ROWS($AH$2:AH135),$AH$2:$AH$1001,0),0), INDEX($AO$1004:$BQ$1004,1,MATCH(COLUMNS($AO$1006:BJ1006),$AO$1006:$BQ$1006,0)))),"Fix")))</f>
        <v>#N/A</v>
      </c>
      <c r="X135" s="5" t="e">
        <f ca="1">IF(OR(INDEX($AI$2:$AI$1001,MATCH(ROWS($AH$2:AH135),$AH$2:$AH$1001,0),1)&gt;=100000,INDEX($AO$1005:$BQ$1005,1,MATCH(COLUMNS($AO$1006:BK1006),$AO$1006:$BQ$1006,0))&gt;=100000), " ",IF(INDEX($AO$2:$BQ$1001,MATCH(ROWS($AH$2:AH135),$AH$2:$AH$1001,0),MATCH(COLUMNS($AO$1006:BK1006),$AO$1006:$BQ$1006,0)), HYPERLINK("#",""), HYPERLINK(CONCATENATE("#Metadata!", ADDRESS(INDEX($AJ$2:$AJ$1001,MATCH(ROWS($AH$2:AH135),$AH$2:$AH$1001,0),0), INDEX($AO$1004:$BQ$1004,1,MATCH(COLUMNS($AO$1006:BK1006),$AO$1006:$BQ$1006,0)))),"Fix")))</f>
        <v>#N/A</v>
      </c>
      <c r="Y135" s="5" t="e">
        <f ca="1">IF(OR(INDEX($AI$2:$AI$1001,MATCH(ROWS($AH$2:AH135),$AH$2:$AH$1001,0),1)&gt;=100000,INDEX($AO$1005:$BQ$1005,1,MATCH(COLUMNS($AO$1006:BL1006),$AO$1006:$BQ$1006,0))&gt;=100000), " ",IF(INDEX($AO$2:$BQ$1001,MATCH(ROWS($AH$2:AH135),$AH$2:$AH$1001,0),MATCH(COLUMNS($AO$1006:BL1006),$AO$1006:$BQ$1006,0)), HYPERLINK("#",""), HYPERLINK(CONCATENATE("#Metadata!", ADDRESS(INDEX($AJ$2:$AJ$1001,MATCH(ROWS($AH$2:AH135),$AH$2:$AH$1001,0),0), INDEX($AO$1004:$BQ$1004,1,MATCH(COLUMNS($AO$1006:BL1006),$AO$1006:$BQ$1006,0)))),"Fix")))</f>
        <v>#N/A</v>
      </c>
      <c r="Z135" s="5" t="e">
        <f ca="1">IF(OR(INDEX($AI$2:$AI$1001,MATCH(ROWS($AH$2:AH135),$AH$2:$AH$1001,0),1)&gt;=100000,INDEX($AO$1005:$BQ$1005,1,MATCH(COLUMNS($AO$1006:BM1006),$AO$1006:$BQ$1006,0))&gt;=100000), " ",IF(INDEX($AO$2:$BQ$1001,MATCH(ROWS($AH$2:AH135),$AH$2:$AH$1001,0),MATCH(COLUMNS($AO$1006:BM1006),$AO$1006:$BQ$1006,0)), HYPERLINK("#",""), HYPERLINK(CONCATENATE("#Metadata!", ADDRESS(INDEX($AJ$2:$AJ$1001,MATCH(ROWS($AH$2:AH135),$AH$2:$AH$1001,0),0), INDEX($AO$1004:$BQ$1004,1,MATCH(COLUMNS($AO$1006:BM1006),$AO$1006:$BQ$1006,0)))),"Fix")))</f>
        <v>#N/A</v>
      </c>
      <c r="AA135" s="5" t="e">
        <f ca="1">IF(OR(INDEX($AI$2:$AI$1001,MATCH(ROWS($AH$2:AH135),$AH$2:$AH$1001,0),1)&gt;=100000,INDEX($AO$1005:$BQ$1005,1,MATCH(COLUMNS($AO$1006:BN1006),$AO$1006:$BQ$1006,0))&gt;=100000), " ",IF(INDEX($AO$2:$BQ$1001,MATCH(ROWS($AH$2:AH135),$AH$2:$AH$1001,0),MATCH(COLUMNS($AO$1006:BN1006),$AO$1006:$BQ$1006,0)), HYPERLINK("#",""), HYPERLINK(CONCATENATE("#Metadata!", ADDRESS(INDEX($AJ$2:$AJ$1001,MATCH(ROWS($AH$2:AH135),$AH$2:$AH$1001,0),0), INDEX($AO$1004:$BQ$1004,1,MATCH(COLUMNS($AO$1006:BN1006),$AO$1006:$BQ$1006,0)))),"Fix")))</f>
        <v>#N/A</v>
      </c>
      <c r="AB135" s="5" t="e">
        <f ca="1">IF(OR(INDEX($AI$2:$AI$1001,MATCH(ROWS($AH$2:AH135),$AH$2:$AH$1001,0),1)&gt;=100000,INDEX($AO$1005:$BQ$1005,1,MATCH(COLUMNS($AO$1006:BO1006),$AO$1006:$BQ$1006,0))&gt;=100000), " ",IF(INDEX($AO$2:$BQ$1001,MATCH(ROWS($AH$2:AH135),$AH$2:$AH$1001,0),MATCH(COLUMNS($AO$1006:BO1006),$AO$1006:$BQ$1006,0)), HYPERLINK("#",""), HYPERLINK(CONCATENATE("#Metadata!", ADDRESS(INDEX($AJ$2:$AJ$1001,MATCH(ROWS($AH$2:AH135),$AH$2:$AH$1001,0),0), INDEX($AO$1004:$BQ$1004,1,MATCH(COLUMNS($AO$1006:BO1006),$AO$1006:$BQ$1006,0)))),"Fix")))</f>
        <v>#N/A</v>
      </c>
      <c r="AC135" s="5" t="e">
        <f ca="1">IF(OR(INDEX($AI$2:$AI$1001,MATCH(ROWS($AH$2:AH135),$AH$2:$AH$1001,0),1)&gt;=100000,INDEX($AO$1005:$BQ$1005,1,MATCH(COLUMNS($AO$1006:BP1006),$AO$1006:$BQ$1006,0))&gt;=100000), " ",IF(INDEX($AO$2:$BQ$1001,MATCH(ROWS($AH$2:AH135),$AH$2:$AH$1001,0),MATCH(COLUMNS($AO$1006:BP1006),$AO$1006:$BQ$1006,0)), HYPERLINK("#",""), HYPERLINK(CONCATENATE("#Metadata!", ADDRESS(INDEX($AJ$2:$AJ$1001,MATCH(ROWS($AH$2:AH135),$AH$2:$AH$1001,0),0), INDEX($AO$1004:$BQ$1004,1,MATCH(COLUMNS($AO$1006:BP1006),$AO$1006:$BQ$1006,0)))),"Fix")))</f>
        <v>#N/A</v>
      </c>
      <c r="AD135" s="5" t="e">
        <f ca="1">IF(OR(INDEX($AI$2:$AI$1001,MATCH(ROWS($AH$2:AH135),$AH$2:$AH$1001,0),1)&gt;=100000,INDEX($AO$1005:$BQ$1005,1,MATCH(COLUMNS($AO$1006:BQ1006),$AO$1006:$BQ$1006,0))&gt;=100000), " ",IF(INDEX($AO$2:$BQ$1001,MATCH(ROWS($AH$2:AH135),$AH$2:$AH$1001,0),MATCH(COLUMNS($AO$1006:BQ1006),$AO$1006:$BQ$1006,0)), HYPERLINK("#",""), HYPERLINK(CONCATENATE("#Metadata!", ADDRESS(INDEX($AJ$2:$AJ$1001,MATCH(ROWS($AH$2:AH135),$AH$2:$AH$1001,0),0), INDEX($AO$1004:$BQ$1004,1,MATCH(COLUMNS($AO$1006:BQ1006),$AO$1006:$BQ$1006,0)))),"Fix")))</f>
        <v>#REF!</v>
      </c>
      <c r="AH135">
        <f ca="1"/>
        <v>132</v>
      </c>
      <c r="AI135">
        <v>100135</v>
      </c>
      <c r="AJ135">
        <v>135</v>
      </c>
      <c r="AK135" t="b">
        <f t="shared" si="2"/>
        <v>1</v>
      </c>
      <c r="AL135" t="b">
        <f>COUNTBLANK(Metadata!B135:AD135)=COLUMNS(Metadata!B135:AD135)</f>
        <v>1</v>
      </c>
      <c r="AM135" t="str">
        <v/>
      </c>
      <c r="AO135" t="b">
        <f ca="1">AND(IF(Metadata!B135="",FALSE,TRUE),COUNTIF(Metadata!B:B, Metadata!B135) = 1,NOT(ISERROR(SUMPRODUCT(SEARCH(MID(Metadata!B135,ROW(INDIRECT("1:"&amp;LEN(Metadata!B135))), 1),"0123456789abcdefghijklmnopqrstuvwxyzABCDEFGHIJKLMNOPQRSTUVWXYZ.")))))</f>
        <v>0</v>
      </c>
      <c r="AP135" t="b">
        <f>IF(Metadata!C135="",FALSE,TRUE)</f>
        <v>0</v>
      </c>
      <c r="AQ135" t="b">
        <f>IF(Metadata!D135="",FALSE,TRUE)</f>
        <v>0</v>
      </c>
      <c r="AR135" t="b">
        <f ca="1">OR(AND(IF(Metadata!E135="",FALSE,TRUE),OR(EXACT(Metadata!E135,"not collected"),EXACT(Metadata!E135,"not provided"),EXACT(Metadata!E135,"restricted access"))),AND(IF(Metadata!E135="",FALSE,TRUE),AND(AND(IFERROR(INT(LEFT(Metadata!E135,4))&gt;1900,FALSE),IFERROR(INT(LEFT(Metadata!E135,4))&lt;=YEAR(NOW()),FALSE)), OR(MID(Metadata!E135,5,1)="", AND(AND(MID(Metadata!E135,5,1)="-",IFERROR(INT(MID(Metadata!E135,6,1))&gt;=0,FALSE),IFERROR(INT(MID(Metadata!E135,6,1))&lt;=1,FALSE),NOT(MID(Metadata!E135,7,1)=""),IFERROR(INT(MID(Metadata!E135,6,2))&gt;=1,FALSE),IFERROR(INT(MID(Metadata!E135,6,2))&lt;=12,FALSE)), OR(MID(Metadata!E135,8,1)="", AND(AND(MID(Metadata!E135,8,1)="-",IFERROR(INT(MID(Metadata!E135,9,1))&gt;=0,FALSE),IFERROR(INT(MID(Metadata!E135,9,1))&lt;=3,FALSE),NOT(MID(Metadata!E135,10,1)=""),IFERROR(INT(MID(Metadata!E135,9,2))&gt;=1,FALSE),IFERROR(INT(MID(Metadata!E135,9,2))&lt;=31,FALSE)), OR(MID(Metadata!E135,11,1)="", AND(AND(MID(Metadata!E135,11,1)=" ",IFERROR(INT(MID(Metadata!E135,12,1))&gt;=0,FALSE),IFERROR(INT(MID(Metadata!E135,12,1))&lt;=2,FALSE),NOT(MID(Metadata!E135,13,1)=""),IFERROR(INT(MID(Metadata!E135,12,2))&gt;=0,FALSE),IFERROR(INT(MID(Metadata!E135,12,2))&lt;=23,FALSE)), OR(MID(Metadata!E135,14,1)="", AND(AND(MID(Metadata!E135,14,1)=":",IFERROR(INT(MID(Metadata!E135,15,1))&gt;=0,FALSE),IFERROR(INT(MID(Metadata!E135,15,1))&lt;=5,FALSE),NOT(MID(Metadata!E135,16,1)=""),IFERROR(INT(MID(Metadata!E135,15,2))&gt;=0,FALSE),IFERROR(INT(MID(Metadata!E135,15,2))&lt;=59,FALSE)), OR(MID(Metadata!E135,17,1)="", AND(AND(MID(Metadata!E135,17,1)=":",IFERROR(INT(MID(Metadata!E135,18,1))&gt;=0,FALSE),IFERROR(INT(MID(Metadata!E135,18,1))&lt;=5,FALSE),NOT(MID(Metadata!E135,19,1)=""),IFERROR(INT(MID(Metadata!E135,18,2))&gt;=0,FALSE),IFERROR(INT(MID(Metadata!E135,18,2))&lt;=59,FALSE)), LEN(Metadata!E135)&lt;=19)))))))))))))</f>
        <v>0</v>
      </c>
      <c r="AS135" t="b">
        <f>IF(Metadata!F135="",FALSE,TRUE)</f>
        <v>0</v>
      </c>
      <c r="AT135" t="b">
        <f>OR(AND(IF(Metadata!G135="",FALSE,TRUE),OR(EXACT(Metadata!G135,"not collected"),EXACT(Metadata!G135,"not provided"))),AND(IF(Metadata!G135="",FALSE,TRUE),OR(EXACT(Metadata!G135,"TRUE"),EXACT(Metadata!G135,"FALSE"))))</f>
        <v>0</v>
      </c>
      <c r="AU135" t="b">
        <f>OR(AND(IF(Metadata!H135="",FALSE,TRUE),OR(EXACT(Metadata!H135,"not collected"),EXACT(Metadata!H135,"not provided"),EXACT(Metadata!H135,"restricted access"))),AND(IF(Metadata!H135="",FALSE,ISNUMBER(VALUE(Metadata!H135))),Metadata!H135&gt;=-413))</f>
        <v>0</v>
      </c>
      <c r="AV135" t="b">
        <f>AND(IF(Metadata!I135="",FALSE,TRUE),EXACT(Metadata!I135,"meters"))</f>
        <v>0</v>
      </c>
      <c r="AW135" t="b">
        <f>AND(IF(Metadata!J135="",FALSE,TRUE),EXACT(Metadata!J135,"free-living"))</f>
        <v>0</v>
      </c>
      <c r="AX135" t="b">
        <f>AND(IF(Metadata!K135="",FALSE,TRUE),OR(EXACT(Metadata!K135,"saline"),EXACT(Metadata!K135,"non-saline")))</f>
        <v>0</v>
      </c>
      <c r="AY135" t="b">
        <f>AND(IF(Metadata!L135="",FALSE,TRUE),OR(EXACT(Metadata!L135,"sub-surface (non-saline)"),EXACT(Metadata!L135,"surface (non-saline)"),EXACT(Metadata!L135,"water (non-saline)"),EXACT(Metadata!L135,"soil (non-saline)"),EXACT(Metadata!L135,"aerosol (non-saline)"),EXACT(Metadata!L135,"sediment (non-saline)"),EXACT(Metadata!L135,"surface (saline)"),EXACT(Metadata!L135,"water (saline)"),EXACT(Metadata!L135,"hypersaline (saline)"),EXACT(Metadata!L135,"aerosol (saline)"),EXACT(Metadata!L135,"sediment (saline)")))</f>
        <v>0</v>
      </c>
      <c r="AZ135" t="b">
        <f>IF(Metadata!M135="",FALSE,TRUE)</f>
        <v>0</v>
      </c>
      <c r="BA135" t="b">
        <f>IF(Metadata!N135="",FALSE,TRUE)</f>
        <v>0</v>
      </c>
      <c r="BB135" t="b">
        <f>IF(Metadata!O135="",FALSE,TRUE)</f>
        <v>0</v>
      </c>
      <c r="BC135" t="b">
        <f>AND(IF(Metadata!P135="",FALSE,TRUE),OR(EXACT(Metadata!P135,"air"),EXACT(Metadata!P135,"microbial mat/biofilm"),EXACT(Metadata!P135,"misc environment"),EXACT(Metadata!P135,"sediment"),EXACT(Metadata!P135,"soil"),EXACT(Metadata!P135,"wastewater/sludge"),EXACT(Metadata!P135,"water")))</f>
        <v>0</v>
      </c>
      <c r="BD135" t="b">
        <f>IF(Metadata!Q135="",FALSE,TRUE)</f>
        <v>0</v>
      </c>
      <c r="BE135" t="b">
        <f>IF(Metadata!R135="",FALSE,TRUE)</f>
        <v>0</v>
      </c>
      <c r="BF135" t="b">
        <f>OR(AND(IF(Metadata!S135="",FALSE,TRUE),OR(EXACT(Metadata!S135,"not collected"),EXACT(Metadata!S135,"not provided"),EXACT(Metadata!S135,"restricted access"))),AND(IF(Metadata!S135="",FALSE,ISNUMBER(VALUE(Metadata!S135))),Metadata!S135&gt;=-90,Metadata!S135&lt;=90))</f>
        <v>0</v>
      </c>
      <c r="BG135" t="b">
        <f>AND(IF(Metadata!T135="",FALSE,TRUE),EXACT(Metadata!T135,"Decimal degrees"))</f>
        <v>0</v>
      </c>
      <c r="BH135" t="b">
        <f>OR(AND(IF(Metadata!U135="",FALSE,TRUE),OR(EXACT(Metadata!U135,"not applicable"),EXACT(Metadata!U135,"not collected"))),IF(Metadata!U135="",FALSE,TRUE))</f>
        <v>0</v>
      </c>
      <c r="BI135" t="b">
        <f>OR(AND(IF(Metadata!V135="",FALSE,TRUE),OR(EXACT(Metadata!V135,"not collected"),EXACT(Metadata!V135,"not provided"),EXACT(Metadata!V135,"restricted access"))),AND(IF(Metadata!V135="",FALSE,ISNUMBER(VALUE(Metadata!V135))),Metadata!V135&gt;=-180,Metadata!V135&lt;=180))</f>
        <v>0</v>
      </c>
      <c r="BJ135" t="b">
        <f>AND(IF(Metadata!W135="",FALSE,TRUE),EXACT(Metadata!W135,"Decimal degrees"))</f>
        <v>0</v>
      </c>
      <c r="BK135" t="b">
        <f>IF(Metadata!X135="",FALSE,TRUE)</f>
        <v>0</v>
      </c>
      <c r="BL135" t="b">
        <f>OR(AND(IF(Metadata!Y135="",FALSE,TRUE),OR(EXACT(Metadata!Y135,"not collected"),EXACT(Metadata!Y135,"not provided"),EXACT(Metadata!Y135,"restricted access"))),AND(IF(Metadata!Y135="",FALSE,TRUE),OR(EXACT(Metadata!Y135,"TRUE"),EXACT(Metadata!Y135,"FALSE"))))</f>
        <v>0</v>
      </c>
      <c r="BM135" t="b">
        <f>OR(AND(IF(Metadata!Z135="",FALSE,TRUE),EXACT(Metadata!Z135,"not applicable")),AND(IF(Metadata!Z135="",FALSE,TRUE),OR(EXACT(Metadata!Z135,"beer"),EXACT(Metadata!Z135,"cheese"),EXACT(Metadata!Z135,"fresh water"),EXACT(Metadata!Z135,"marine sediment"),EXACT(Metadata!Z135,"sea water"),EXACT(Metadata!Z135,"sediment"),EXACT(Metadata!Z135,"soil"),EXACT(Metadata!Z135,"waste water"))))</f>
        <v>0</v>
      </c>
      <c r="BN135" t="b">
        <f>AND(IF(Metadata!AA135="",FALSE,TRUE),EXACT(Metadata!AA135,"metagenome"))</f>
        <v>0</v>
      </c>
      <c r="BO135" t="b">
        <f>AND(IF(Metadata!AB135="",FALSE,TRUE),EXACT(Metadata!AB135,"256318"))</f>
        <v>0</v>
      </c>
      <c r="BP135" t="b">
        <f>IF(Metadata!AC135="",FALSE,TRUE)</f>
        <v>0</v>
      </c>
      <c r="BQ135" t="b">
        <f>IF(Metadata!AD135="",FALSE,TRUE)</f>
        <v>0</v>
      </c>
    </row>
    <row r="136" spans="1:69" x14ac:dyDescent="0.2">
      <c r="A136" s="4" t="e">
        <f ca="1">IF(B136=" "," ",HYPERLINK(CONCATENATE("#metadata!",ADDRESS(INDEX($AJ$2:$AJ$1001,MATCH(ROWS($AH$2:AH136),$AH$2:$AH$1001,0),0),2)),INDEX($AM$2:$AM$1001,MATCH(ROWS($AH$2:AH136),$AH$2:$AH$1001,0),0)))</f>
        <v>#N/A</v>
      </c>
      <c r="B136" s="5" t="e">
        <f ca="1">IF(OR(INDEX($AI$2:$AI$1001,MATCH(ROWS($AH$2:AH136),$AH$2:$AH$1001,0),1)&gt;=100000,INDEX($AO$1005:$BQ$1005,1,MATCH(COLUMNS($AO$1006:AO1006),$AO$1006:$BQ$1006,0))&gt;=100000), " ",IF(INDEX($AO$2:$BQ$1001,MATCH(ROWS($AH$2:AH136),$AH$2:$AH$1001,0),MATCH(COLUMNS($AO$1006:AO1006),$AO$1006:$BQ$1006,0)), HYPERLINK("#",""), HYPERLINK(CONCATENATE("#Metadata!", ADDRESS(INDEX($AJ$2:$AJ$1001,MATCH(ROWS($AH$2:AH136),$AH$2:$AH$1001,0),0), INDEX($AO$1004:$BQ$1004,1,MATCH(COLUMNS($AO$1006:AO1006),$AO$1006:$BQ$1006,0)))),"Fix")))</f>
        <v>#N/A</v>
      </c>
      <c r="C136" s="5" t="e">
        <f ca="1">IF(OR(INDEX($AI$2:$AI$1001,MATCH(ROWS($AH$2:AH136),$AH$2:$AH$1001,0),1)&gt;=100000,INDEX($AO$1005:$BQ$1005,1,MATCH(COLUMNS($AO$1006:AP1006),$AO$1006:$BQ$1006,0))&gt;=100000), " ",IF(INDEX($AO$2:$BQ$1001,MATCH(ROWS($AH$2:AH136),$AH$2:$AH$1001,0),MATCH(COLUMNS($AO$1006:AP1006),$AO$1006:$BQ$1006,0)), HYPERLINK("#",""), HYPERLINK(CONCATENATE("#Metadata!", ADDRESS(INDEX($AJ$2:$AJ$1001,MATCH(ROWS($AH$2:AH136),$AH$2:$AH$1001,0),0), INDEX($AO$1004:$BQ$1004,1,MATCH(COLUMNS($AO$1006:AP1006),$AO$1006:$BQ$1006,0)))),"Fix")))</f>
        <v>#N/A</v>
      </c>
      <c r="D136" s="5" t="e">
        <f ca="1">IF(OR(INDEX($AI$2:$AI$1001,MATCH(ROWS($AH$2:AH136),$AH$2:$AH$1001,0),1)&gt;=100000,INDEX($AO$1005:$BQ$1005,1,MATCH(COLUMNS($AO$1006:AQ1006),$AO$1006:$BQ$1006,0))&gt;=100000), " ",IF(INDEX($AO$2:$BQ$1001,MATCH(ROWS($AH$2:AH136),$AH$2:$AH$1001,0),MATCH(COLUMNS($AO$1006:AQ1006),$AO$1006:$BQ$1006,0)), HYPERLINK("#",""), HYPERLINK(CONCATENATE("#Metadata!", ADDRESS(INDEX($AJ$2:$AJ$1001,MATCH(ROWS($AH$2:AH136),$AH$2:$AH$1001,0),0), INDEX($AO$1004:$BQ$1004,1,MATCH(COLUMNS($AO$1006:AQ1006),$AO$1006:$BQ$1006,0)))),"Fix")))</f>
        <v>#N/A</v>
      </c>
      <c r="E136" s="5" t="e">
        <f ca="1">IF(OR(INDEX($AI$2:$AI$1001,MATCH(ROWS($AH$2:AH136),$AH$2:$AH$1001,0),1)&gt;=100000,INDEX($AO$1005:$BQ$1005,1,MATCH(COLUMNS($AO$1006:AR1006),$AO$1006:$BQ$1006,0))&gt;=100000), " ",IF(INDEX($AO$2:$BQ$1001,MATCH(ROWS($AH$2:AH136),$AH$2:$AH$1001,0),MATCH(COLUMNS($AO$1006:AR1006),$AO$1006:$BQ$1006,0)), HYPERLINK("#",""), HYPERLINK(CONCATENATE("#Metadata!", ADDRESS(INDEX($AJ$2:$AJ$1001,MATCH(ROWS($AH$2:AH136),$AH$2:$AH$1001,0),0), INDEX($AO$1004:$BQ$1004,1,MATCH(COLUMNS($AO$1006:AR1006),$AO$1006:$BQ$1006,0)))),"Fix")))</f>
        <v>#N/A</v>
      </c>
      <c r="F136" s="5" t="e">
        <f ca="1">IF(OR(INDEX($AI$2:$AI$1001,MATCH(ROWS($AH$2:AH136),$AH$2:$AH$1001,0),1)&gt;=100000,INDEX($AO$1005:$BQ$1005,1,MATCH(COLUMNS($AO$1006:AS1006),$AO$1006:$BQ$1006,0))&gt;=100000), " ",IF(INDEX($AO$2:$BQ$1001,MATCH(ROWS($AH$2:AH136),$AH$2:$AH$1001,0),MATCH(COLUMNS($AO$1006:AS1006),$AO$1006:$BQ$1006,0)), HYPERLINK("#",""), HYPERLINK(CONCATENATE("#Metadata!", ADDRESS(INDEX($AJ$2:$AJ$1001,MATCH(ROWS($AH$2:AH136),$AH$2:$AH$1001,0),0), INDEX($AO$1004:$BQ$1004,1,MATCH(COLUMNS($AO$1006:AS1006),$AO$1006:$BQ$1006,0)))),"Fix")))</f>
        <v>#N/A</v>
      </c>
      <c r="G136" s="5" t="e">
        <f ca="1">IF(OR(INDEX($AI$2:$AI$1001,MATCH(ROWS($AH$2:AH136),$AH$2:$AH$1001,0),1)&gt;=100000,INDEX($AO$1005:$BQ$1005,1,MATCH(COLUMNS($AO$1006:AT1006),$AO$1006:$BQ$1006,0))&gt;=100000), " ",IF(INDEX($AO$2:$BQ$1001,MATCH(ROWS($AH$2:AH136),$AH$2:$AH$1001,0),MATCH(COLUMNS($AO$1006:AT1006),$AO$1006:$BQ$1006,0)), HYPERLINK("#",""), HYPERLINK(CONCATENATE("#Metadata!", ADDRESS(INDEX($AJ$2:$AJ$1001,MATCH(ROWS($AH$2:AH136),$AH$2:$AH$1001,0),0), INDEX($AO$1004:$BQ$1004,1,MATCH(COLUMNS($AO$1006:AT1006),$AO$1006:$BQ$1006,0)))),"Fix")))</f>
        <v>#N/A</v>
      </c>
      <c r="H136" s="5" t="e">
        <f ca="1">IF(OR(INDEX($AI$2:$AI$1001,MATCH(ROWS($AH$2:AH136),$AH$2:$AH$1001,0),1)&gt;=100000,INDEX($AO$1005:$BQ$1005,1,MATCH(COLUMNS($AO$1006:AU1006),$AO$1006:$BQ$1006,0))&gt;=100000), " ",IF(INDEX($AO$2:$BQ$1001,MATCH(ROWS($AH$2:AH136),$AH$2:$AH$1001,0),MATCH(COLUMNS($AO$1006:AU1006),$AO$1006:$BQ$1006,0)), HYPERLINK("#",""), HYPERLINK(CONCATENATE("#Metadata!", ADDRESS(INDEX($AJ$2:$AJ$1001,MATCH(ROWS($AH$2:AH136),$AH$2:$AH$1001,0),0), INDEX($AO$1004:$BQ$1004,1,MATCH(COLUMNS($AO$1006:AU1006),$AO$1006:$BQ$1006,0)))),"Fix")))</f>
        <v>#N/A</v>
      </c>
      <c r="I136" s="5" t="e">
        <f ca="1">IF(OR(INDEX($AI$2:$AI$1001,MATCH(ROWS($AH$2:AH136),$AH$2:$AH$1001,0),1)&gt;=100000,INDEX($AO$1005:$BQ$1005,1,MATCH(COLUMNS($AO$1006:AV1006),$AO$1006:$BQ$1006,0))&gt;=100000), " ",IF(INDEX($AO$2:$BQ$1001,MATCH(ROWS($AH$2:AH136),$AH$2:$AH$1001,0),MATCH(COLUMNS($AO$1006:AV1006),$AO$1006:$BQ$1006,0)), HYPERLINK("#",""), HYPERLINK(CONCATENATE("#Metadata!", ADDRESS(INDEX($AJ$2:$AJ$1001,MATCH(ROWS($AH$2:AH136),$AH$2:$AH$1001,0),0), INDEX($AO$1004:$BQ$1004,1,MATCH(COLUMNS($AO$1006:AV1006),$AO$1006:$BQ$1006,0)))),"Fix")))</f>
        <v>#N/A</v>
      </c>
      <c r="J136" s="5" t="e">
        <f ca="1">IF(OR(INDEX($AI$2:$AI$1001,MATCH(ROWS($AH$2:AH136),$AH$2:$AH$1001,0),1)&gt;=100000,INDEX($AO$1005:$BQ$1005,1,MATCH(COLUMNS($AO$1006:AW1006),$AO$1006:$BQ$1006,0))&gt;=100000), " ",IF(INDEX($AO$2:$BQ$1001,MATCH(ROWS($AH$2:AH136),$AH$2:$AH$1001,0),MATCH(COLUMNS($AO$1006:AW1006),$AO$1006:$BQ$1006,0)), HYPERLINK("#",""), HYPERLINK(CONCATENATE("#Metadata!", ADDRESS(INDEX($AJ$2:$AJ$1001,MATCH(ROWS($AH$2:AH136),$AH$2:$AH$1001,0),0), INDEX($AO$1004:$BQ$1004,1,MATCH(COLUMNS($AO$1006:AW1006),$AO$1006:$BQ$1006,0)))),"Fix")))</f>
        <v>#N/A</v>
      </c>
      <c r="K136" s="5" t="e">
        <f ca="1">IF(OR(INDEX($AI$2:$AI$1001,MATCH(ROWS($AH$2:AH136),$AH$2:$AH$1001,0),1)&gt;=100000,INDEX($AO$1005:$BQ$1005,1,MATCH(COLUMNS($AO$1006:AX1006),$AO$1006:$BQ$1006,0))&gt;=100000), " ",IF(INDEX($AO$2:$BQ$1001,MATCH(ROWS($AH$2:AH136),$AH$2:$AH$1001,0),MATCH(COLUMNS($AO$1006:AX1006),$AO$1006:$BQ$1006,0)), HYPERLINK("#",""), HYPERLINK(CONCATENATE("#Metadata!", ADDRESS(INDEX($AJ$2:$AJ$1001,MATCH(ROWS($AH$2:AH136),$AH$2:$AH$1001,0),0), INDEX($AO$1004:$BQ$1004,1,MATCH(COLUMNS($AO$1006:AX1006),$AO$1006:$BQ$1006,0)))),"Fix")))</f>
        <v>#N/A</v>
      </c>
      <c r="L136" s="5" t="e">
        <f ca="1">IF(OR(INDEX($AI$2:$AI$1001,MATCH(ROWS($AH$2:AH136),$AH$2:$AH$1001,0),1)&gt;=100000,INDEX($AO$1005:$BQ$1005,1,MATCH(COLUMNS($AO$1006:AY1006),$AO$1006:$BQ$1006,0))&gt;=100000), " ",IF(INDEX($AO$2:$BQ$1001,MATCH(ROWS($AH$2:AH136),$AH$2:$AH$1001,0),MATCH(COLUMNS($AO$1006:AY1006),$AO$1006:$BQ$1006,0)), HYPERLINK("#",""), HYPERLINK(CONCATENATE("#Metadata!", ADDRESS(INDEX($AJ$2:$AJ$1001,MATCH(ROWS($AH$2:AH136),$AH$2:$AH$1001,0),0), INDEX($AO$1004:$BQ$1004,1,MATCH(COLUMNS($AO$1006:AY1006),$AO$1006:$BQ$1006,0)))),"Fix")))</f>
        <v>#N/A</v>
      </c>
      <c r="M136" s="5" t="e">
        <f ca="1">IF(OR(INDEX($AI$2:$AI$1001,MATCH(ROWS($AH$2:AH136),$AH$2:$AH$1001,0),1)&gt;=100000,INDEX($AO$1005:$BQ$1005,1,MATCH(COLUMNS($AO$1006:AZ1006),$AO$1006:$BQ$1006,0))&gt;=100000), " ",IF(INDEX($AO$2:$BQ$1001,MATCH(ROWS($AH$2:AH136),$AH$2:$AH$1001,0),MATCH(COLUMNS($AO$1006:AZ1006),$AO$1006:$BQ$1006,0)), HYPERLINK("#",""), HYPERLINK(CONCATENATE("#Metadata!", ADDRESS(INDEX($AJ$2:$AJ$1001,MATCH(ROWS($AH$2:AH136),$AH$2:$AH$1001,0),0), INDEX($AO$1004:$BQ$1004,1,MATCH(COLUMNS($AO$1006:AZ1006),$AO$1006:$BQ$1006,0)))),"Fix")))</f>
        <v>#N/A</v>
      </c>
      <c r="N136" s="5" t="e">
        <f ca="1">IF(OR(INDEX($AI$2:$AI$1001,MATCH(ROWS($AH$2:AH136),$AH$2:$AH$1001,0),1)&gt;=100000,INDEX($AO$1005:$BQ$1005,1,MATCH(COLUMNS($AO$1006:BA1006),$AO$1006:$BQ$1006,0))&gt;=100000), " ",IF(INDEX($AO$2:$BQ$1001,MATCH(ROWS($AH$2:AH136),$AH$2:$AH$1001,0),MATCH(COLUMNS($AO$1006:BA1006),$AO$1006:$BQ$1006,0)), HYPERLINK("#",""), HYPERLINK(CONCATENATE("#Metadata!", ADDRESS(INDEX($AJ$2:$AJ$1001,MATCH(ROWS($AH$2:AH136),$AH$2:$AH$1001,0),0), INDEX($AO$1004:$BQ$1004,1,MATCH(COLUMNS($AO$1006:BA1006),$AO$1006:$BQ$1006,0)))),"Fix")))</f>
        <v>#N/A</v>
      </c>
      <c r="O136" s="5" t="e">
        <f ca="1">IF(OR(INDEX($AI$2:$AI$1001,MATCH(ROWS($AH$2:AH136),$AH$2:$AH$1001,0),1)&gt;=100000,INDEX($AO$1005:$BQ$1005,1,MATCH(COLUMNS($AO$1006:BB1006),$AO$1006:$BQ$1006,0))&gt;=100000), " ",IF(INDEX($AO$2:$BQ$1001,MATCH(ROWS($AH$2:AH136),$AH$2:$AH$1001,0),MATCH(COLUMNS($AO$1006:BB1006),$AO$1006:$BQ$1006,0)), HYPERLINK("#",""), HYPERLINK(CONCATENATE("#Metadata!", ADDRESS(INDEX($AJ$2:$AJ$1001,MATCH(ROWS($AH$2:AH136),$AH$2:$AH$1001,0),0), INDEX($AO$1004:$BQ$1004,1,MATCH(COLUMNS($AO$1006:BB1006),$AO$1006:$BQ$1006,0)))),"Fix")))</f>
        <v>#N/A</v>
      </c>
      <c r="P136" s="5" t="e">
        <f ca="1">IF(OR(INDEX($AI$2:$AI$1001,MATCH(ROWS($AH$2:AH136),$AH$2:$AH$1001,0),1)&gt;=100000,INDEX($AO$1005:$BQ$1005,1,MATCH(COLUMNS($AO$1006:BC1006),$AO$1006:$BQ$1006,0))&gt;=100000), " ",IF(INDEX($AO$2:$BQ$1001,MATCH(ROWS($AH$2:AH136),$AH$2:$AH$1001,0),MATCH(COLUMNS($AO$1006:BC1006),$AO$1006:$BQ$1006,0)), HYPERLINK("#",""), HYPERLINK(CONCATENATE("#Metadata!", ADDRESS(INDEX($AJ$2:$AJ$1001,MATCH(ROWS($AH$2:AH136),$AH$2:$AH$1001,0),0), INDEX($AO$1004:$BQ$1004,1,MATCH(COLUMNS($AO$1006:BC1006),$AO$1006:$BQ$1006,0)))),"Fix")))</f>
        <v>#N/A</v>
      </c>
      <c r="Q136" s="5" t="e">
        <f ca="1">IF(OR(INDEX($AI$2:$AI$1001,MATCH(ROWS($AH$2:AH136),$AH$2:$AH$1001,0),1)&gt;=100000,INDEX($AO$1005:$BQ$1005,1,MATCH(COLUMNS($AO$1006:BD1006),$AO$1006:$BQ$1006,0))&gt;=100000), " ",IF(INDEX($AO$2:$BQ$1001,MATCH(ROWS($AH$2:AH136),$AH$2:$AH$1001,0),MATCH(COLUMNS($AO$1006:BD1006),$AO$1006:$BQ$1006,0)), HYPERLINK("#",""), HYPERLINK(CONCATENATE("#Metadata!", ADDRESS(INDEX($AJ$2:$AJ$1001,MATCH(ROWS($AH$2:AH136),$AH$2:$AH$1001,0),0), INDEX($AO$1004:$BQ$1004,1,MATCH(COLUMNS($AO$1006:BD1006),$AO$1006:$BQ$1006,0)))),"Fix")))</f>
        <v>#N/A</v>
      </c>
      <c r="R136" s="5" t="e">
        <f ca="1">IF(OR(INDEX($AI$2:$AI$1001,MATCH(ROWS($AH$2:AH136),$AH$2:$AH$1001,0),1)&gt;=100000,INDEX($AO$1005:$BQ$1005,1,MATCH(COLUMNS($AO$1006:BE1006),$AO$1006:$BQ$1006,0))&gt;=100000), " ",IF(INDEX($AO$2:$BQ$1001,MATCH(ROWS($AH$2:AH136),$AH$2:$AH$1001,0),MATCH(COLUMNS($AO$1006:BE1006),$AO$1006:$BQ$1006,0)), HYPERLINK("#",""), HYPERLINK(CONCATENATE("#Metadata!", ADDRESS(INDEX($AJ$2:$AJ$1001,MATCH(ROWS($AH$2:AH136),$AH$2:$AH$1001,0),0), INDEX($AO$1004:$BQ$1004,1,MATCH(COLUMNS($AO$1006:BE1006),$AO$1006:$BQ$1006,0)))),"Fix")))</f>
        <v>#N/A</v>
      </c>
      <c r="S136" s="5" t="e">
        <f ca="1">IF(OR(INDEX($AI$2:$AI$1001,MATCH(ROWS($AH$2:AH136),$AH$2:$AH$1001,0),1)&gt;=100000,INDEX($AO$1005:$BQ$1005,1,MATCH(COLUMNS($AO$1006:BF1006),$AO$1006:$BQ$1006,0))&gt;=100000), " ",IF(INDEX($AO$2:$BQ$1001,MATCH(ROWS($AH$2:AH136),$AH$2:$AH$1001,0),MATCH(COLUMNS($AO$1006:BF1006),$AO$1006:$BQ$1006,0)), HYPERLINK("#",""), HYPERLINK(CONCATENATE("#Metadata!", ADDRESS(INDEX($AJ$2:$AJ$1001,MATCH(ROWS($AH$2:AH136),$AH$2:$AH$1001,0),0), INDEX($AO$1004:$BQ$1004,1,MATCH(COLUMNS($AO$1006:BF1006),$AO$1006:$BQ$1006,0)))),"Fix")))</f>
        <v>#N/A</v>
      </c>
      <c r="T136" s="5" t="e">
        <f ca="1">IF(OR(INDEX($AI$2:$AI$1001,MATCH(ROWS($AH$2:AH136),$AH$2:$AH$1001,0),1)&gt;=100000,INDEX($AO$1005:$BQ$1005,1,MATCH(COLUMNS($AO$1006:BG1006),$AO$1006:$BQ$1006,0))&gt;=100000), " ",IF(INDEX($AO$2:$BQ$1001,MATCH(ROWS($AH$2:AH136),$AH$2:$AH$1001,0),MATCH(COLUMNS($AO$1006:BG1006),$AO$1006:$BQ$1006,0)), HYPERLINK("#",""), HYPERLINK(CONCATENATE("#Metadata!", ADDRESS(INDEX($AJ$2:$AJ$1001,MATCH(ROWS($AH$2:AH136),$AH$2:$AH$1001,0),0), INDEX($AO$1004:$BQ$1004,1,MATCH(COLUMNS($AO$1006:BG1006),$AO$1006:$BQ$1006,0)))),"Fix")))</f>
        <v>#N/A</v>
      </c>
      <c r="U136" s="5" t="e">
        <f ca="1">IF(OR(INDEX($AI$2:$AI$1001,MATCH(ROWS($AH$2:AH136),$AH$2:$AH$1001,0),1)&gt;=100000,INDEX($AO$1005:$BQ$1005,1,MATCH(COLUMNS($AO$1006:BH1006),$AO$1006:$BQ$1006,0))&gt;=100000), " ",IF(INDEX($AO$2:$BQ$1001,MATCH(ROWS($AH$2:AH136),$AH$2:$AH$1001,0),MATCH(COLUMNS($AO$1006:BH1006),$AO$1006:$BQ$1006,0)), HYPERLINK("#",""), HYPERLINK(CONCATENATE("#Metadata!", ADDRESS(INDEX($AJ$2:$AJ$1001,MATCH(ROWS($AH$2:AH136),$AH$2:$AH$1001,0),0), INDEX($AO$1004:$BQ$1004,1,MATCH(COLUMNS($AO$1006:BH1006),$AO$1006:$BQ$1006,0)))),"Fix")))</f>
        <v>#N/A</v>
      </c>
      <c r="V136" s="5" t="e">
        <f ca="1">IF(OR(INDEX($AI$2:$AI$1001,MATCH(ROWS($AH$2:AH136),$AH$2:$AH$1001,0),1)&gt;=100000,INDEX($AO$1005:$BQ$1005,1,MATCH(COLUMNS($AO$1006:BI1006),$AO$1006:$BQ$1006,0))&gt;=100000), " ",IF(INDEX($AO$2:$BQ$1001,MATCH(ROWS($AH$2:AH136),$AH$2:$AH$1001,0),MATCH(COLUMNS($AO$1006:BI1006),$AO$1006:$BQ$1006,0)), HYPERLINK("#",""), HYPERLINK(CONCATENATE("#Metadata!", ADDRESS(INDEX($AJ$2:$AJ$1001,MATCH(ROWS($AH$2:AH136),$AH$2:$AH$1001,0),0), INDEX($AO$1004:$BQ$1004,1,MATCH(COLUMNS($AO$1006:BI1006),$AO$1006:$BQ$1006,0)))),"Fix")))</f>
        <v>#N/A</v>
      </c>
      <c r="W136" s="5" t="e">
        <f ca="1">IF(OR(INDEX($AI$2:$AI$1001,MATCH(ROWS($AH$2:AH136),$AH$2:$AH$1001,0),1)&gt;=100000,INDEX($AO$1005:$BQ$1005,1,MATCH(COLUMNS($AO$1006:BJ1006),$AO$1006:$BQ$1006,0))&gt;=100000), " ",IF(INDEX($AO$2:$BQ$1001,MATCH(ROWS($AH$2:AH136),$AH$2:$AH$1001,0),MATCH(COLUMNS($AO$1006:BJ1006),$AO$1006:$BQ$1006,0)), HYPERLINK("#",""), HYPERLINK(CONCATENATE("#Metadata!", ADDRESS(INDEX($AJ$2:$AJ$1001,MATCH(ROWS($AH$2:AH136),$AH$2:$AH$1001,0),0), INDEX($AO$1004:$BQ$1004,1,MATCH(COLUMNS($AO$1006:BJ1006),$AO$1006:$BQ$1006,0)))),"Fix")))</f>
        <v>#N/A</v>
      </c>
      <c r="X136" s="5" t="e">
        <f ca="1">IF(OR(INDEX($AI$2:$AI$1001,MATCH(ROWS($AH$2:AH136),$AH$2:$AH$1001,0),1)&gt;=100000,INDEX($AO$1005:$BQ$1005,1,MATCH(COLUMNS($AO$1006:BK1006),$AO$1006:$BQ$1006,0))&gt;=100000), " ",IF(INDEX($AO$2:$BQ$1001,MATCH(ROWS($AH$2:AH136),$AH$2:$AH$1001,0),MATCH(COLUMNS($AO$1006:BK1006),$AO$1006:$BQ$1006,0)), HYPERLINK("#",""), HYPERLINK(CONCATENATE("#Metadata!", ADDRESS(INDEX($AJ$2:$AJ$1001,MATCH(ROWS($AH$2:AH136),$AH$2:$AH$1001,0),0), INDEX($AO$1004:$BQ$1004,1,MATCH(COLUMNS($AO$1006:BK1006),$AO$1006:$BQ$1006,0)))),"Fix")))</f>
        <v>#N/A</v>
      </c>
      <c r="Y136" s="5" t="e">
        <f ca="1">IF(OR(INDEX($AI$2:$AI$1001,MATCH(ROWS($AH$2:AH136),$AH$2:$AH$1001,0),1)&gt;=100000,INDEX($AO$1005:$BQ$1005,1,MATCH(COLUMNS($AO$1006:BL1006),$AO$1006:$BQ$1006,0))&gt;=100000), " ",IF(INDEX($AO$2:$BQ$1001,MATCH(ROWS($AH$2:AH136),$AH$2:$AH$1001,0),MATCH(COLUMNS($AO$1006:BL1006),$AO$1006:$BQ$1006,0)), HYPERLINK("#",""), HYPERLINK(CONCATENATE("#Metadata!", ADDRESS(INDEX($AJ$2:$AJ$1001,MATCH(ROWS($AH$2:AH136),$AH$2:$AH$1001,0),0), INDEX($AO$1004:$BQ$1004,1,MATCH(COLUMNS($AO$1006:BL1006),$AO$1006:$BQ$1006,0)))),"Fix")))</f>
        <v>#N/A</v>
      </c>
      <c r="Z136" s="5" t="e">
        <f ca="1">IF(OR(INDEX($AI$2:$AI$1001,MATCH(ROWS($AH$2:AH136),$AH$2:$AH$1001,0),1)&gt;=100000,INDEX($AO$1005:$BQ$1005,1,MATCH(COLUMNS($AO$1006:BM1006),$AO$1006:$BQ$1006,0))&gt;=100000), " ",IF(INDEX($AO$2:$BQ$1001,MATCH(ROWS($AH$2:AH136),$AH$2:$AH$1001,0),MATCH(COLUMNS($AO$1006:BM1006),$AO$1006:$BQ$1006,0)), HYPERLINK("#",""), HYPERLINK(CONCATENATE("#Metadata!", ADDRESS(INDEX($AJ$2:$AJ$1001,MATCH(ROWS($AH$2:AH136),$AH$2:$AH$1001,0),0), INDEX($AO$1004:$BQ$1004,1,MATCH(COLUMNS($AO$1006:BM1006),$AO$1006:$BQ$1006,0)))),"Fix")))</f>
        <v>#N/A</v>
      </c>
      <c r="AA136" s="5" t="e">
        <f ca="1">IF(OR(INDEX($AI$2:$AI$1001,MATCH(ROWS($AH$2:AH136),$AH$2:$AH$1001,0),1)&gt;=100000,INDEX($AO$1005:$BQ$1005,1,MATCH(COLUMNS($AO$1006:BN1006),$AO$1006:$BQ$1006,0))&gt;=100000), " ",IF(INDEX($AO$2:$BQ$1001,MATCH(ROWS($AH$2:AH136),$AH$2:$AH$1001,0),MATCH(COLUMNS($AO$1006:BN1006),$AO$1006:$BQ$1006,0)), HYPERLINK("#",""), HYPERLINK(CONCATENATE("#Metadata!", ADDRESS(INDEX($AJ$2:$AJ$1001,MATCH(ROWS($AH$2:AH136),$AH$2:$AH$1001,0),0), INDEX($AO$1004:$BQ$1004,1,MATCH(COLUMNS($AO$1006:BN1006),$AO$1006:$BQ$1006,0)))),"Fix")))</f>
        <v>#N/A</v>
      </c>
      <c r="AB136" s="5" t="e">
        <f ca="1">IF(OR(INDEX($AI$2:$AI$1001,MATCH(ROWS($AH$2:AH136),$AH$2:$AH$1001,0),1)&gt;=100000,INDEX($AO$1005:$BQ$1005,1,MATCH(COLUMNS($AO$1006:BO1006),$AO$1006:$BQ$1006,0))&gt;=100000), " ",IF(INDEX($AO$2:$BQ$1001,MATCH(ROWS($AH$2:AH136),$AH$2:$AH$1001,0),MATCH(COLUMNS($AO$1006:BO1006),$AO$1006:$BQ$1006,0)), HYPERLINK("#",""), HYPERLINK(CONCATENATE("#Metadata!", ADDRESS(INDEX($AJ$2:$AJ$1001,MATCH(ROWS($AH$2:AH136),$AH$2:$AH$1001,0),0), INDEX($AO$1004:$BQ$1004,1,MATCH(COLUMNS($AO$1006:BO1006),$AO$1006:$BQ$1006,0)))),"Fix")))</f>
        <v>#N/A</v>
      </c>
      <c r="AC136" s="5" t="e">
        <f ca="1">IF(OR(INDEX($AI$2:$AI$1001,MATCH(ROWS($AH$2:AH136),$AH$2:$AH$1001,0),1)&gt;=100000,INDEX($AO$1005:$BQ$1005,1,MATCH(COLUMNS($AO$1006:BP1006),$AO$1006:$BQ$1006,0))&gt;=100000), " ",IF(INDEX($AO$2:$BQ$1001,MATCH(ROWS($AH$2:AH136),$AH$2:$AH$1001,0),MATCH(COLUMNS($AO$1006:BP1006),$AO$1006:$BQ$1006,0)), HYPERLINK("#",""), HYPERLINK(CONCATENATE("#Metadata!", ADDRESS(INDEX($AJ$2:$AJ$1001,MATCH(ROWS($AH$2:AH136),$AH$2:$AH$1001,0),0), INDEX($AO$1004:$BQ$1004,1,MATCH(COLUMNS($AO$1006:BP1006),$AO$1006:$BQ$1006,0)))),"Fix")))</f>
        <v>#N/A</v>
      </c>
      <c r="AD136" s="5" t="e">
        <f ca="1">IF(OR(INDEX($AI$2:$AI$1001,MATCH(ROWS($AH$2:AH136),$AH$2:$AH$1001,0),1)&gt;=100000,INDEX($AO$1005:$BQ$1005,1,MATCH(COLUMNS($AO$1006:BQ1006),$AO$1006:$BQ$1006,0))&gt;=100000), " ",IF(INDEX($AO$2:$BQ$1001,MATCH(ROWS($AH$2:AH136),$AH$2:$AH$1001,0),MATCH(COLUMNS($AO$1006:BQ1006),$AO$1006:$BQ$1006,0)), HYPERLINK("#",""), HYPERLINK(CONCATENATE("#Metadata!", ADDRESS(INDEX($AJ$2:$AJ$1001,MATCH(ROWS($AH$2:AH136),$AH$2:$AH$1001,0),0), INDEX($AO$1004:$BQ$1004,1,MATCH(COLUMNS($AO$1006:BQ1006),$AO$1006:$BQ$1006,0)))),"Fix")))</f>
        <v>#REF!</v>
      </c>
      <c r="AH136">
        <f ca="1"/>
        <v>133</v>
      </c>
      <c r="AI136">
        <v>100136</v>
      </c>
      <c r="AJ136">
        <v>136</v>
      </c>
      <c r="AK136" t="b">
        <f t="shared" si="2"/>
        <v>1</v>
      </c>
      <c r="AL136" t="b">
        <f>COUNTBLANK(Metadata!B136:AD136)=COLUMNS(Metadata!B136:AD136)</f>
        <v>1</v>
      </c>
      <c r="AM136" t="str">
        <v/>
      </c>
      <c r="AO136" t="b">
        <f ca="1">AND(IF(Metadata!B136="",FALSE,TRUE),COUNTIF(Metadata!B:B, Metadata!B136) = 1,NOT(ISERROR(SUMPRODUCT(SEARCH(MID(Metadata!B136,ROW(INDIRECT("1:"&amp;LEN(Metadata!B136))), 1),"0123456789abcdefghijklmnopqrstuvwxyzABCDEFGHIJKLMNOPQRSTUVWXYZ.")))))</f>
        <v>0</v>
      </c>
      <c r="AP136" t="b">
        <f>IF(Metadata!C136="",FALSE,TRUE)</f>
        <v>0</v>
      </c>
      <c r="AQ136" t="b">
        <f>IF(Metadata!D136="",FALSE,TRUE)</f>
        <v>0</v>
      </c>
      <c r="AR136" t="b">
        <f ca="1">OR(AND(IF(Metadata!E136="",FALSE,TRUE),OR(EXACT(Metadata!E136,"not collected"),EXACT(Metadata!E136,"not provided"),EXACT(Metadata!E136,"restricted access"))),AND(IF(Metadata!E136="",FALSE,TRUE),AND(AND(IFERROR(INT(LEFT(Metadata!E136,4))&gt;1900,FALSE),IFERROR(INT(LEFT(Metadata!E136,4))&lt;=YEAR(NOW()),FALSE)), OR(MID(Metadata!E136,5,1)="", AND(AND(MID(Metadata!E136,5,1)="-",IFERROR(INT(MID(Metadata!E136,6,1))&gt;=0,FALSE),IFERROR(INT(MID(Metadata!E136,6,1))&lt;=1,FALSE),NOT(MID(Metadata!E136,7,1)=""),IFERROR(INT(MID(Metadata!E136,6,2))&gt;=1,FALSE),IFERROR(INT(MID(Metadata!E136,6,2))&lt;=12,FALSE)), OR(MID(Metadata!E136,8,1)="", AND(AND(MID(Metadata!E136,8,1)="-",IFERROR(INT(MID(Metadata!E136,9,1))&gt;=0,FALSE),IFERROR(INT(MID(Metadata!E136,9,1))&lt;=3,FALSE),NOT(MID(Metadata!E136,10,1)=""),IFERROR(INT(MID(Metadata!E136,9,2))&gt;=1,FALSE),IFERROR(INT(MID(Metadata!E136,9,2))&lt;=31,FALSE)), OR(MID(Metadata!E136,11,1)="", AND(AND(MID(Metadata!E136,11,1)=" ",IFERROR(INT(MID(Metadata!E136,12,1))&gt;=0,FALSE),IFERROR(INT(MID(Metadata!E136,12,1))&lt;=2,FALSE),NOT(MID(Metadata!E136,13,1)=""),IFERROR(INT(MID(Metadata!E136,12,2))&gt;=0,FALSE),IFERROR(INT(MID(Metadata!E136,12,2))&lt;=23,FALSE)), OR(MID(Metadata!E136,14,1)="", AND(AND(MID(Metadata!E136,14,1)=":",IFERROR(INT(MID(Metadata!E136,15,1))&gt;=0,FALSE),IFERROR(INT(MID(Metadata!E136,15,1))&lt;=5,FALSE),NOT(MID(Metadata!E136,16,1)=""),IFERROR(INT(MID(Metadata!E136,15,2))&gt;=0,FALSE),IFERROR(INT(MID(Metadata!E136,15,2))&lt;=59,FALSE)), OR(MID(Metadata!E136,17,1)="", AND(AND(MID(Metadata!E136,17,1)=":",IFERROR(INT(MID(Metadata!E136,18,1))&gt;=0,FALSE),IFERROR(INT(MID(Metadata!E136,18,1))&lt;=5,FALSE),NOT(MID(Metadata!E136,19,1)=""),IFERROR(INT(MID(Metadata!E136,18,2))&gt;=0,FALSE),IFERROR(INT(MID(Metadata!E136,18,2))&lt;=59,FALSE)), LEN(Metadata!E136)&lt;=19)))))))))))))</f>
        <v>0</v>
      </c>
      <c r="AS136" t="b">
        <f>IF(Metadata!F136="",FALSE,TRUE)</f>
        <v>0</v>
      </c>
      <c r="AT136" t="b">
        <f>OR(AND(IF(Metadata!G136="",FALSE,TRUE),OR(EXACT(Metadata!G136,"not collected"),EXACT(Metadata!G136,"not provided"))),AND(IF(Metadata!G136="",FALSE,TRUE),OR(EXACT(Metadata!G136,"TRUE"),EXACT(Metadata!G136,"FALSE"))))</f>
        <v>0</v>
      </c>
      <c r="AU136" t="b">
        <f>OR(AND(IF(Metadata!H136="",FALSE,TRUE),OR(EXACT(Metadata!H136,"not collected"),EXACT(Metadata!H136,"not provided"),EXACT(Metadata!H136,"restricted access"))),AND(IF(Metadata!H136="",FALSE,ISNUMBER(VALUE(Metadata!H136))),Metadata!H136&gt;=-413))</f>
        <v>0</v>
      </c>
      <c r="AV136" t="b">
        <f>AND(IF(Metadata!I136="",FALSE,TRUE),EXACT(Metadata!I136,"meters"))</f>
        <v>0</v>
      </c>
      <c r="AW136" t="b">
        <f>AND(IF(Metadata!J136="",FALSE,TRUE),EXACT(Metadata!J136,"free-living"))</f>
        <v>0</v>
      </c>
      <c r="AX136" t="b">
        <f>AND(IF(Metadata!K136="",FALSE,TRUE),OR(EXACT(Metadata!K136,"saline"),EXACT(Metadata!K136,"non-saline")))</f>
        <v>0</v>
      </c>
      <c r="AY136" t="b">
        <f>AND(IF(Metadata!L136="",FALSE,TRUE),OR(EXACT(Metadata!L136,"sub-surface (non-saline)"),EXACT(Metadata!L136,"surface (non-saline)"),EXACT(Metadata!L136,"water (non-saline)"),EXACT(Metadata!L136,"soil (non-saline)"),EXACT(Metadata!L136,"aerosol (non-saline)"),EXACT(Metadata!L136,"sediment (non-saline)"),EXACT(Metadata!L136,"surface (saline)"),EXACT(Metadata!L136,"water (saline)"),EXACT(Metadata!L136,"hypersaline (saline)"),EXACT(Metadata!L136,"aerosol (saline)"),EXACT(Metadata!L136,"sediment (saline)")))</f>
        <v>0</v>
      </c>
      <c r="AZ136" t="b">
        <f>IF(Metadata!M136="",FALSE,TRUE)</f>
        <v>0</v>
      </c>
      <c r="BA136" t="b">
        <f>IF(Metadata!N136="",FALSE,TRUE)</f>
        <v>0</v>
      </c>
      <c r="BB136" t="b">
        <f>IF(Metadata!O136="",FALSE,TRUE)</f>
        <v>0</v>
      </c>
      <c r="BC136" t="b">
        <f>AND(IF(Metadata!P136="",FALSE,TRUE),OR(EXACT(Metadata!P136,"air"),EXACT(Metadata!P136,"microbial mat/biofilm"),EXACT(Metadata!P136,"misc environment"),EXACT(Metadata!P136,"sediment"),EXACT(Metadata!P136,"soil"),EXACT(Metadata!P136,"wastewater/sludge"),EXACT(Metadata!P136,"water")))</f>
        <v>0</v>
      </c>
      <c r="BD136" t="b">
        <f>IF(Metadata!Q136="",FALSE,TRUE)</f>
        <v>0</v>
      </c>
      <c r="BE136" t="b">
        <f>IF(Metadata!R136="",FALSE,TRUE)</f>
        <v>0</v>
      </c>
      <c r="BF136" t="b">
        <f>OR(AND(IF(Metadata!S136="",FALSE,TRUE),OR(EXACT(Metadata!S136,"not collected"),EXACT(Metadata!S136,"not provided"),EXACT(Metadata!S136,"restricted access"))),AND(IF(Metadata!S136="",FALSE,ISNUMBER(VALUE(Metadata!S136))),Metadata!S136&gt;=-90,Metadata!S136&lt;=90))</f>
        <v>0</v>
      </c>
      <c r="BG136" t="b">
        <f>AND(IF(Metadata!T136="",FALSE,TRUE),EXACT(Metadata!T136,"Decimal degrees"))</f>
        <v>0</v>
      </c>
      <c r="BH136" t="b">
        <f>OR(AND(IF(Metadata!U136="",FALSE,TRUE),OR(EXACT(Metadata!U136,"not applicable"),EXACT(Metadata!U136,"not collected"))),IF(Metadata!U136="",FALSE,TRUE))</f>
        <v>0</v>
      </c>
      <c r="BI136" t="b">
        <f>OR(AND(IF(Metadata!V136="",FALSE,TRUE),OR(EXACT(Metadata!V136,"not collected"),EXACT(Metadata!V136,"not provided"),EXACT(Metadata!V136,"restricted access"))),AND(IF(Metadata!V136="",FALSE,ISNUMBER(VALUE(Metadata!V136))),Metadata!V136&gt;=-180,Metadata!V136&lt;=180))</f>
        <v>0</v>
      </c>
      <c r="BJ136" t="b">
        <f>AND(IF(Metadata!W136="",FALSE,TRUE),EXACT(Metadata!W136,"Decimal degrees"))</f>
        <v>0</v>
      </c>
      <c r="BK136" t="b">
        <f>IF(Metadata!X136="",FALSE,TRUE)</f>
        <v>0</v>
      </c>
      <c r="BL136" t="b">
        <f>OR(AND(IF(Metadata!Y136="",FALSE,TRUE),OR(EXACT(Metadata!Y136,"not collected"),EXACT(Metadata!Y136,"not provided"),EXACT(Metadata!Y136,"restricted access"))),AND(IF(Metadata!Y136="",FALSE,TRUE),OR(EXACT(Metadata!Y136,"TRUE"),EXACT(Metadata!Y136,"FALSE"))))</f>
        <v>0</v>
      </c>
      <c r="BM136" t="b">
        <f>OR(AND(IF(Metadata!Z136="",FALSE,TRUE),EXACT(Metadata!Z136,"not applicable")),AND(IF(Metadata!Z136="",FALSE,TRUE),OR(EXACT(Metadata!Z136,"beer"),EXACT(Metadata!Z136,"cheese"),EXACT(Metadata!Z136,"fresh water"),EXACT(Metadata!Z136,"marine sediment"),EXACT(Metadata!Z136,"sea water"),EXACT(Metadata!Z136,"sediment"),EXACT(Metadata!Z136,"soil"),EXACT(Metadata!Z136,"waste water"))))</f>
        <v>0</v>
      </c>
      <c r="BN136" t="b">
        <f>AND(IF(Metadata!AA136="",FALSE,TRUE),EXACT(Metadata!AA136,"metagenome"))</f>
        <v>0</v>
      </c>
      <c r="BO136" t="b">
        <f>AND(IF(Metadata!AB136="",FALSE,TRUE),EXACT(Metadata!AB136,"256318"))</f>
        <v>0</v>
      </c>
      <c r="BP136" t="b">
        <f>IF(Metadata!AC136="",FALSE,TRUE)</f>
        <v>0</v>
      </c>
      <c r="BQ136" t="b">
        <f>IF(Metadata!AD136="",FALSE,TRUE)</f>
        <v>0</v>
      </c>
    </row>
    <row r="137" spans="1:69" x14ac:dyDescent="0.2">
      <c r="A137" s="4" t="e">
        <f ca="1">IF(B137=" "," ",HYPERLINK(CONCATENATE("#metadata!",ADDRESS(INDEX($AJ$2:$AJ$1001,MATCH(ROWS($AH$2:AH137),$AH$2:$AH$1001,0),0),2)),INDEX($AM$2:$AM$1001,MATCH(ROWS($AH$2:AH137),$AH$2:$AH$1001,0),0)))</f>
        <v>#N/A</v>
      </c>
      <c r="B137" s="5" t="e">
        <f ca="1">IF(OR(INDEX($AI$2:$AI$1001,MATCH(ROWS($AH$2:AH137),$AH$2:$AH$1001,0),1)&gt;=100000,INDEX($AO$1005:$BQ$1005,1,MATCH(COLUMNS($AO$1006:AO1006),$AO$1006:$BQ$1006,0))&gt;=100000), " ",IF(INDEX($AO$2:$BQ$1001,MATCH(ROWS($AH$2:AH137),$AH$2:$AH$1001,0),MATCH(COLUMNS($AO$1006:AO1006),$AO$1006:$BQ$1006,0)), HYPERLINK("#",""), HYPERLINK(CONCATENATE("#Metadata!", ADDRESS(INDEX($AJ$2:$AJ$1001,MATCH(ROWS($AH$2:AH137),$AH$2:$AH$1001,0),0), INDEX($AO$1004:$BQ$1004,1,MATCH(COLUMNS($AO$1006:AO1006),$AO$1006:$BQ$1006,0)))),"Fix")))</f>
        <v>#N/A</v>
      </c>
      <c r="C137" s="5" t="e">
        <f ca="1">IF(OR(INDEX($AI$2:$AI$1001,MATCH(ROWS($AH$2:AH137),$AH$2:$AH$1001,0),1)&gt;=100000,INDEX($AO$1005:$BQ$1005,1,MATCH(COLUMNS($AO$1006:AP1006),$AO$1006:$BQ$1006,0))&gt;=100000), " ",IF(INDEX($AO$2:$BQ$1001,MATCH(ROWS($AH$2:AH137),$AH$2:$AH$1001,0),MATCH(COLUMNS($AO$1006:AP1006),$AO$1006:$BQ$1006,0)), HYPERLINK("#",""), HYPERLINK(CONCATENATE("#Metadata!", ADDRESS(INDEX($AJ$2:$AJ$1001,MATCH(ROWS($AH$2:AH137),$AH$2:$AH$1001,0),0), INDEX($AO$1004:$BQ$1004,1,MATCH(COLUMNS($AO$1006:AP1006),$AO$1006:$BQ$1006,0)))),"Fix")))</f>
        <v>#N/A</v>
      </c>
      <c r="D137" s="5" t="e">
        <f ca="1">IF(OR(INDEX($AI$2:$AI$1001,MATCH(ROWS($AH$2:AH137),$AH$2:$AH$1001,0),1)&gt;=100000,INDEX($AO$1005:$BQ$1005,1,MATCH(COLUMNS($AO$1006:AQ1006),$AO$1006:$BQ$1006,0))&gt;=100000), " ",IF(INDEX($AO$2:$BQ$1001,MATCH(ROWS($AH$2:AH137),$AH$2:$AH$1001,0),MATCH(COLUMNS($AO$1006:AQ1006),$AO$1006:$BQ$1006,0)), HYPERLINK("#",""), HYPERLINK(CONCATENATE("#Metadata!", ADDRESS(INDEX($AJ$2:$AJ$1001,MATCH(ROWS($AH$2:AH137),$AH$2:$AH$1001,0),0), INDEX($AO$1004:$BQ$1004,1,MATCH(COLUMNS($AO$1006:AQ1006),$AO$1006:$BQ$1006,0)))),"Fix")))</f>
        <v>#N/A</v>
      </c>
      <c r="E137" s="5" t="e">
        <f ca="1">IF(OR(INDEX($AI$2:$AI$1001,MATCH(ROWS($AH$2:AH137),$AH$2:$AH$1001,0),1)&gt;=100000,INDEX($AO$1005:$BQ$1005,1,MATCH(COLUMNS($AO$1006:AR1006),$AO$1006:$BQ$1006,0))&gt;=100000), " ",IF(INDEX($AO$2:$BQ$1001,MATCH(ROWS($AH$2:AH137),$AH$2:$AH$1001,0),MATCH(COLUMNS($AO$1006:AR1006),$AO$1006:$BQ$1006,0)), HYPERLINK("#",""), HYPERLINK(CONCATENATE("#Metadata!", ADDRESS(INDEX($AJ$2:$AJ$1001,MATCH(ROWS($AH$2:AH137),$AH$2:$AH$1001,0),0), INDEX($AO$1004:$BQ$1004,1,MATCH(COLUMNS($AO$1006:AR1006),$AO$1006:$BQ$1006,0)))),"Fix")))</f>
        <v>#N/A</v>
      </c>
      <c r="F137" s="5" t="e">
        <f ca="1">IF(OR(INDEX($AI$2:$AI$1001,MATCH(ROWS($AH$2:AH137),$AH$2:$AH$1001,0),1)&gt;=100000,INDEX($AO$1005:$BQ$1005,1,MATCH(COLUMNS($AO$1006:AS1006),$AO$1006:$BQ$1006,0))&gt;=100000), " ",IF(INDEX($AO$2:$BQ$1001,MATCH(ROWS($AH$2:AH137),$AH$2:$AH$1001,0),MATCH(COLUMNS($AO$1006:AS1006),$AO$1006:$BQ$1006,0)), HYPERLINK("#",""), HYPERLINK(CONCATENATE("#Metadata!", ADDRESS(INDEX($AJ$2:$AJ$1001,MATCH(ROWS($AH$2:AH137),$AH$2:$AH$1001,0),0), INDEX($AO$1004:$BQ$1004,1,MATCH(COLUMNS($AO$1006:AS1006),$AO$1006:$BQ$1006,0)))),"Fix")))</f>
        <v>#N/A</v>
      </c>
      <c r="G137" s="5" t="e">
        <f ca="1">IF(OR(INDEX($AI$2:$AI$1001,MATCH(ROWS($AH$2:AH137),$AH$2:$AH$1001,0),1)&gt;=100000,INDEX($AO$1005:$BQ$1005,1,MATCH(COLUMNS($AO$1006:AT1006),$AO$1006:$BQ$1006,0))&gt;=100000), " ",IF(INDEX($AO$2:$BQ$1001,MATCH(ROWS($AH$2:AH137),$AH$2:$AH$1001,0),MATCH(COLUMNS($AO$1006:AT1006),$AO$1006:$BQ$1006,0)), HYPERLINK("#",""), HYPERLINK(CONCATENATE("#Metadata!", ADDRESS(INDEX($AJ$2:$AJ$1001,MATCH(ROWS($AH$2:AH137),$AH$2:$AH$1001,0),0), INDEX($AO$1004:$BQ$1004,1,MATCH(COLUMNS($AO$1006:AT1006),$AO$1006:$BQ$1006,0)))),"Fix")))</f>
        <v>#N/A</v>
      </c>
      <c r="H137" s="5" t="e">
        <f ca="1">IF(OR(INDEX($AI$2:$AI$1001,MATCH(ROWS($AH$2:AH137),$AH$2:$AH$1001,0),1)&gt;=100000,INDEX($AO$1005:$BQ$1005,1,MATCH(COLUMNS($AO$1006:AU1006),$AO$1006:$BQ$1006,0))&gt;=100000), " ",IF(INDEX($AO$2:$BQ$1001,MATCH(ROWS($AH$2:AH137),$AH$2:$AH$1001,0),MATCH(COLUMNS($AO$1006:AU1006),$AO$1006:$BQ$1006,0)), HYPERLINK("#",""), HYPERLINK(CONCATENATE("#Metadata!", ADDRESS(INDEX($AJ$2:$AJ$1001,MATCH(ROWS($AH$2:AH137),$AH$2:$AH$1001,0),0), INDEX($AO$1004:$BQ$1004,1,MATCH(COLUMNS($AO$1006:AU1006),$AO$1006:$BQ$1006,0)))),"Fix")))</f>
        <v>#N/A</v>
      </c>
      <c r="I137" s="5" t="e">
        <f ca="1">IF(OR(INDEX($AI$2:$AI$1001,MATCH(ROWS($AH$2:AH137),$AH$2:$AH$1001,0),1)&gt;=100000,INDEX($AO$1005:$BQ$1005,1,MATCH(COLUMNS($AO$1006:AV1006),$AO$1006:$BQ$1006,0))&gt;=100000), " ",IF(INDEX($AO$2:$BQ$1001,MATCH(ROWS($AH$2:AH137),$AH$2:$AH$1001,0),MATCH(COLUMNS($AO$1006:AV1006),$AO$1006:$BQ$1006,0)), HYPERLINK("#",""), HYPERLINK(CONCATENATE("#Metadata!", ADDRESS(INDEX($AJ$2:$AJ$1001,MATCH(ROWS($AH$2:AH137),$AH$2:$AH$1001,0),0), INDEX($AO$1004:$BQ$1004,1,MATCH(COLUMNS($AO$1006:AV1006),$AO$1006:$BQ$1006,0)))),"Fix")))</f>
        <v>#N/A</v>
      </c>
      <c r="J137" s="5" t="e">
        <f ca="1">IF(OR(INDEX($AI$2:$AI$1001,MATCH(ROWS($AH$2:AH137),$AH$2:$AH$1001,0),1)&gt;=100000,INDEX($AO$1005:$BQ$1005,1,MATCH(COLUMNS($AO$1006:AW1006),$AO$1006:$BQ$1006,0))&gt;=100000), " ",IF(INDEX($AO$2:$BQ$1001,MATCH(ROWS($AH$2:AH137),$AH$2:$AH$1001,0),MATCH(COLUMNS($AO$1006:AW1006),$AO$1006:$BQ$1006,0)), HYPERLINK("#",""), HYPERLINK(CONCATENATE("#Metadata!", ADDRESS(INDEX($AJ$2:$AJ$1001,MATCH(ROWS($AH$2:AH137),$AH$2:$AH$1001,0),0), INDEX($AO$1004:$BQ$1004,1,MATCH(COLUMNS($AO$1006:AW1006),$AO$1006:$BQ$1006,0)))),"Fix")))</f>
        <v>#N/A</v>
      </c>
      <c r="K137" s="5" t="e">
        <f ca="1">IF(OR(INDEX($AI$2:$AI$1001,MATCH(ROWS($AH$2:AH137),$AH$2:$AH$1001,0),1)&gt;=100000,INDEX($AO$1005:$BQ$1005,1,MATCH(COLUMNS($AO$1006:AX1006),$AO$1006:$BQ$1006,0))&gt;=100000), " ",IF(INDEX($AO$2:$BQ$1001,MATCH(ROWS($AH$2:AH137),$AH$2:$AH$1001,0),MATCH(COLUMNS($AO$1006:AX1006),$AO$1006:$BQ$1006,0)), HYPERLINK("#",""), HYPERLINK(CONCATENATE("#Metadata!", ADDRESS(INDEX($AJ$2:$AJ$1001,MATCH(ROWS($AH$2:AH137),$AH$2:$AH$1001,0),0), INDEX($AO$1004:$BQ$1004,1,MATCH(COLUMNS($AO$1006:AX1006),$AO$1006:$BQ$1006,0)))),"Fix")))</f>
        <v>#N/A</v>
      </c>
      <c r="L137" s="5" t="e">
        <f ca="1">IF(OR(INDEX($AI$2:$AI$1001,MATCH(ROWS($AH$2:AH137),$AH$2:$AH$1001,0),1)&gt;=100000,INDEX($AO$1005:$BQ$1005,1,MATCH(COLUMNS($AO$1006:AY1006),$AO$1006:$BQ$1006,0))&gt;=100000), " ",IF(INDEX($AO$2:$BQ$1001,MATCH(ROWS($AH$2:AH137),$AH$2:$AH$1001,0),MATCH(COLUMNS($AO$1006:AY1006),$AO$1006:$BQ$1006,0)), HYPERLINK("#",""), HYPERLINK(CONCATENATE("#Metadata!", ADDRESS(INDEX($AJ$2:$AJ$1001,MATCH(ROWS($AH$2:AH137),$AH$2:$AH$1001,0),0), INDEX($AO$1004:$BQ$1004,1,MATCH(COLUMNS($AO$1006:AY1006),$AO$1006:$BQ$1006,0)))),"Fix")))</f>
        <v>#N/A</v>
      </c>
      <c r="M137" s="5" t="e">
        <f ca="1">IF(OR(INDEX($AI$2:$AI$1001,MATCH(ROWS($AH$2:AH137),$AH$2:$AH$1001,0),1)&gt;=100000,INDEX($AO$1005:$BQ$1005,1,MATCH(COLUMNS($AO$1006:AZ1006),$AO$1006:$BQ$1006,0))&gt;=100000), " ",IF(INDEX($AO$2:$BQ$1001,MATCH(ROWS($AH$2:AH137),$AH$2:$AH$1001,0),MATCH(COLUMNS($AO$1006:AZ1006),$AO$1006:$BQ$1006,0)), HYPERLINK("#",""), HYPERLINK(CONCATENATE("#Metadata!", ADDRESS(INDEX($AJ$2:$AJ$1001,MATCH(ROWS($AH$2:AH137),$AH$2:$AH$1001,0),0), INDEX($AO$1004:$BQ$1004,1,MATCH(COLUMNS($AO$1006:AZ1006),$AO$1006:$BQ$1006,0)))),"Fix")))</f>
        <v>#N/A</v>
      </c>
      <c r="N137" s="5" t="e">
        <f ca="1">IF(OR(INDEX($AI$2:$AI$1001,MATCH(ROWS($AH$2:AH137),$AH$2:$AH$1001,0),1)&gt;=100000,INDEX($AO$1005:$BQ$1005,1,MATCH(COLUMNS($AO$1006:BA1006),$AO$1006:$BQ$1006,0))&gt;=100000), " ",IF(INDEX($AO$2:$BQ$1001,MATCH(ROWS($AH$2:AH137),$AH$2:$AH$1001,0),MATCH(COLUMNS($AO$1006:BA1006),$AO$1006:$BQ$1006,0)), HYPERLINK("#",""), HYPERLINK(CONCATENATE("#Metadata!", ADDRESS(INDEX($AJ$2:$AJ$1001,MATCH(ROWS($AH$2:AH137),$AH$2:$AH$1001,0),0), INDEX($AO$1004:$BQ$1004,1,MATCH(COLUMNS($AO$1006:BA1006),$AO$1006:$BQ$1006,0)))),"Fix")))</f>
        <v>#N/A</v>
      </c>
      <c r="O137" s="5" t="e">
        <f ca="1">IF(OR(INDEX($AI$2:$AI$1001,MATCH(ROWS($AH$2:AH137),$AH$2:$AH$1001,0),1)&gt;=100000,INDEX($AO$1005:$BQ$1005,1,MATCH(COLUMNS($AO$1006:BB1006),$AO$1006:$BQ$1006,0))&gt;=100000), " ",IF(INDEX($AO$2:$BQ$1001,MATCH(ROWS($AH$2:AH137),$AH$2:$AH$1001,0),MATCH(COLUMNS($AO$1006:BB1006),$AO$1006:$BQ$1006,0)), HYPERLINK("#",""), HYPERLINK(CONCATENATE("#Metadata!", ADDRESS(INDEX($AJ$2:$AJ$1001,MATCH(ROWS($AH$2:AH137),$AH$2:$AH$1001,0),0), INDEX($AO$1004:$BQ$1004,1,MATCH(COLUMNS($AO$1006:BB1006),$AO$1006:$BQ$1006,0)))),"Fix")))</f>
        <v>#N/A</v>
      </c>
      <c r="P137" s="5" t="e">
        <f ca="1">IF(OR(INDEX($AI$2:$AI$1001,MATCH(ROWS($AH$2:AH137),$AH$2:$AH$1001,0),1)&gt;=100000,INDEX($AO$1005:$BQ$1005,1,MATCH(COLUMNS($AO$1006:BC1006),$AO$1006:$BQ$1006,0))&gt;=100000), " ",IF(INDEX($AO$2:$BQ$1001,MATCH(ROWS($AH$2:AH137),$AH$2:$AH$1001,0),MATCH(COLUMNS($AO$1006:BC1006),$AO$1006:$BQ$1006,0)), HYPERLINK("#",""), HYPERLINK(CONCATENATE("#Metadata!", ADDRESS(INDEX($AJ$2:$AJ$1001,MATCH(ROWS($AH$2:AH137),$AH$2:$AH$1001,0),0), INDEX($AO$1004:$BQ$1004,1,MATCH(COLUMNS($AO$1006:BC1006),$AO$1006:$BQ$1006,0)))),"Fix")))</f>
        <v>#N/A</v>
      </c>
      <c r="Q137" s="5" t="e">
        <f ca="1">IF(OR(INDEX($AI$2:$AI$1001,MATCH(ROWS($AH$2:AH137),$AH$2:$AH$1001,0),1)&gt;=100000,INDEX($AO$1005:$BQ$1005,1,MATCH(COLUMNS($AO$1006:BD1006),$AO$1006:$BQ$1006,0))&gt;=100000), " ",IF(INDEX($AO$2:$BQ$1001,MATCH(ROWS($AH$2:AH137),$AH$2:$AH$1001,0),MATCH(COLUMNS($AO$1006:BD1006),$AO$1006:$BQ$1006,0)), HYPERLINK("#",""), HYPERLINK(CONCATENATE("#Metadata!", ADDRESS(INDEX($AJ$2:$AJ$1001,MATCH(ROWS($AH$2:AH137),$AH$2:$AH$1001,0),0), INDEX($AO$1004:$BQ$1004,1,MATCH(COLUMNS($AO$1006:BD1006),$AO$1006:$BQ$1006,0)))),"Fix")))</f>
        <v>#N/A</v>
      </c>
      <c r="R137" s="5" t="e">
        <f ca="1">IF(OR(INDEX($AI$2:$AI$1001,MATCH(ROWS($AH$2:AH137),$AH$2:$AH$1001,0),1)&gt;=100000,INDEX($AO$1005:$BQ$1005,1,MATCH(COLUMNS($AO$1006:BE1006),$AO$1006:$BQ$1006,0))&gt;=100000), " ",IF(INDEX($AO$2:$BQ$1001,MATCH(ROWS($AH$2:AH137),$AH$2:$AH$1001,0),MATCH(COLUMNS($AO$1006:BE1006),$AO$1006:$BQ$1006,0)), HYPERLINK("#",""), HYPERLINK(CONCATENATE("#Metadata!", ADDRESS(INDEX($AJ$2:$AJ$1001,MATCH(ROWS($AH$2:AH137),$AH$2:$AH$1001,0),0), INDEX($AO$1004:$BQ$1004,1,MATCH(COLUMNS($AO$1006:BE1006),$AO$1006:$BQ$1006,0)))),"Fix")))</f>
        <v>#N/A</v>
      </c>
      <c r="S137" s="5" t="e">
        <f ca="1">IF(OR(INDEX($AI$2:$AI$1001,MATCH(ROWS($AH$2:AH137),$AH$2:$AH$1001,0),1)&gt;=100000,INDEX($AO$1005:$BQ$1005,1,MATCH(COLUMNS($AO$1006:BF1006),$AO$1006:$BQ$1006,0))&gt;=100000), " ",IF(INDEX($AO$2:$BQ$1001,MATCH(ROWS($AH$2:AH137),$AH$2:$AH$1001,0),MATCH(COLUMNS($AO$1006:BF1006),$AO$1006:$BQ$1006,0)), HYPERLINK("#",""), HYPERLINK(CONCATENATE("#Metadata!", ADDRESS(INDEX($AJ$2:$AJ$1001,MATCH(ROWS($AH$2:AH137),$AH$2:$AH$1001,0),0), INDEX($AO$1004:$BQ$1004,1,MATCH(COLUMNS($AO$1006:BF1006),$AO$1006:$BQ$1006,0)))),"Fix")))</f>
        <v>#N/A</v>
      </c>
      <c r="T137" s="5" t="e">
        <f ca="1">IF(OR(INDEX($AI$2:$AI$1001,MATCH(ROWS($AH$2:AH137),$AH$2:$AH$1001,0),1)&gt;=100000,INDEX($AO$1005:$BQ$1005,1,MATCH(COLUMNS($AO$1006:BG1006),$AO$1006:$BQ$1006,0))&gt;=100000), " ",IF(INDEX($AO$2:$BQ$1001,MATCH(ROWS($AH$2:AH137),$AH$2:$AH$1001,0),MATCH(COLUMNS($AO$1006:BG1006),$AO$1006:$BQ$1006,0)), HYPERLINK("#",""), HYPERLINK(CONCATENATE("#Metadata!", ADDRESS(INDEX($AJ$2:$AJ$1001,MATCH(ROWS($AH$2:AH137),$AH$2:$AH$1001,0),0), INDEX($AO$1004:$BQ$1004,1,MATCH(COLUMNS($AO$1006:BG1006),$AO$1006:$BQ$1006,0)))),"Fix")))</f>
        <v>#N/A</v>
      </c>
      <c r="U137" s="5" t="e">
        <f ca="1">IF(OR(INDEX($AI$2:$AI$1001,MATCH(ROWS($AH$2:AH137),$AH$2:$AH$1001,0),1)&gt;=100000,INDEX($AO$1005:$BQ$1005,1,MATCH(COLUMNS($AO$1006:BH1006),$AO$1006:$BQ$1006,0))&gt;=100000), " ",IF(INDEX($AO$2:$BQ$1001,MATCH(ROWS($AH$2:AH137),$AH$2:$AH$1001,0),MATCH(COLUMNS($AO$1006:BH1006),$AO$1006:$BQ$1006,0)), HYPERLINK("#",""), HYPERLINK(CONCATENATE("#Metadata!", ADDRESS(INDEX($AJ$2:$AJ$1001,MATCH(ROWS($AH$2:AH137),$AH$2:$AH$1001,0),0), INDEX($AO$1004:$BQ$1004,1,MATCH(COLUMNS($AO$1006:BH1006),$AO$1006:$BQ$1006,0)))),"Fix")))</f>
        <v>#N/A</v>
      </c>
      <c r="V137" s="5" t="e">
        <f ca="1">IF(OR(INDEX($AI$2:$AI$1001,MATCH(ROWS($AH$2:AH137),$AH$2:$AH$1001,0),1)&gt;=100000,INDEX($AO$1005:$BQ$1005,1,MATCH(COLUMNS($AO$1006:BI1006),$AO$1006:$BQ$1006,0))&gt;=100000), " ",IF(INDEX($AO$2:$BQ$1001,MATCH(ROWS($AH$2:AH137),$AH$2:$AH$1001,0),MATCH(COLUMNS($AO$1006:BI1006),$AO$1006:$BQ$1006,0)), HYPERLINK("#",""), HYPERLINK(CONCATENATE("#Metadata!", ADDRESS(INDEX($AJ$2:$AJ$1001,MATCH(ROWS($AH$2:AH137),$AH$2:$AH$1001,0),0), INDEX($AO$1004:$BQ$1004,1,MATCH(COLUMNS($AO$1006:BI1006),$AO$1006:$BQ$1006,0)))),"Fix")))</f>
        <v>#N/A</v>
      </c>
      <c r="W137" s="5" t="e">
        <f ca="1">IF(OR(INDEX($AI$2:$AI$1001,MATCH(ROWS($AH$2:AH137),$AH$2:$AH$1001,0),1)&gt;=100000,INDEX($AO$1005:$BQ$1005,1,MATCH(COLUMNS($AO$1006:BJ1006),$AO$1006:$BQ$1006,0))&gt;=100000), " ",IF(INDEX($AO$2:$BQ$1001,MATCH(ROWS($AH$2:AH137),$AH$2:$AH$1001,0),MATCH(COLUMNS($AO$1006:BJ1006),$AO$1006:$BQ$1006,0)), HYPERLINK("#",""), HYPERLINK(CONCATENATE("#Metadata!", ADDRESS(INDEX($AJ$2:$AJ$1001,MATCH(ROWS($AH$2:AH137),$AH$2:$AH$1001,0),0), INDEX($AO$1004:$BQ$1004,1,MATCH(COLUMNS($AO$1006:BJ1006),$AO$1006:$BQ$1006,0)))),"Fix")))</f>
        <v>#N/A</v>
      </c>
      <c r="X137" s="5" t="e">
        <f ca="1">IF(OR(INDEX($AI$2:$AI$1001,MATCH(ROWS($AH$2:AH137),$AH$2:$AH$1001,0),1)&gt;=100000,INDEX($AO$1005:$BQ$1005,1,MATCH(COLUMNS($AO$1006:BK1006),$AO$1006:$BQ$1006,0))&gt;=100000), " ",IF(INDEX($AO$2:$BQ$1001,MATCH(ROWS($AH$2:AH137),$AH$2:$AH$1001,0),MATCH(COLUMNS($AO$1006:BK1006),$AO$1006:$BQ$1006,0)), HYPERLINK("#",""), HYPERLINK(CONCATENATE("#Metadata!", ADDRESS(INDEX($AJ$2:$AJ$1001,MATCH(ROWS($AH$2:AH137),$AH$2:$AH$1001,0),0), INDEX($AO$1004:$BQ$1004,1,MATCH(COLUMNS($AO$1006:BK1006),$AO$1006:$BQ$1006,0)))),"Fix")))</f>
        <v>#N/A</v>
      </c>
      <c r="Y137" s="5" t="e">
        <f ca="1">IF(OR(INDEX($AI$2:$AI$1001,MATCH(ROWS($AH$2:AH137),$AH$2:$AH$1001,0),1)&gt;=100000,INDEX($AO$1005:$BQ$1005,1,MATCH(COLUMNS($AO$1006:BL1006),$AO$1006:$BQ$1006,0))&gt;=100000), " ",IF(INDEX($AO$2:$BQ$1001,MATCH(ROWS($AH$2:AH137),$AH$2:$AH$1001,0),MATCH(COLUMNS($AO$1006:BL1006),$AO$1006:$BQ$1006,0)), HYPERLINK("#",""), HYPERLINK(CONCATENATE("#Metadata!", ADDRESS(INDEX($AJ$2:$AJ$1001,MATCH(ROWS($AH$2:AH137),$AH$2:$AH$1001,0),0), INDEX($AO$1004:$BQ$1004,1,MATCH(COLUMNS($AO$1006:BL1006),$AO$1006:$BQ$1006,0)))),"Fix")))</f>
        <v>#N/A</v>
      </c>
      <c r="Z137" s="5" t="e">
        <f ca="1">IF(OR(INDEX($AI$2:$AI$1001,MATCH(ROWS($AH$2:AH137),$AH$2:$AH$1001,0),1)&gt;=100000,INDEX($AO$1005:$BQ$1005,1,MATCH(COLUMNS($AO$1006:BM1006),$AO$1006:$BQ$1006,0))&gt;=100000), " ",IF(INDEX($AO$2:$BQ$1001,MATCH(ROWS($AH$2:AH137),$AH$2:$AH$1001,0),MATCH(COLUMNS($AO$1006:BM1006),$AO$1006:$BQ$1006,0)), HYPERLINK("#",""), HYPERLINK(CONCATENATE("#Metadata!", ADDRESS(INDEX($AJ$2:$AJ$1001,MATCH(ROWS($AH$2:AH137),$AH$2:$AH$1001,0),0), INDEX($AO$1004:$BQ$1004,1,MATCH(COLUMNS($AO$1006:BM1006),$AO$1006:$BQ$1006,0)))),"Fix")))</f>
        <v>#N/A</v>
      </c>
      <c r="AA137" s="5" t="e">
        <f ca="1">IF(OR(INDEX($AI$2:$AI$1001,MATCH(ROWS($AH$2:AH137),$AH$2:$AH$1001,0),1)&gt;=100000,INDEX($AO$1005:$BQ$1005,1,MATCH(COLUMNS($AO$1006:BN1006),$AO$1006:$BQ$1006,0))&gt;=100000), " ",IF(INDEX($AO$2:$BQ$1001,MATCH(ROWS($AH$2:AH137),$AH$2:$AH$1001,0),MATCH(COLUMNS($AO$1006:BN1006),$AO$1006:$BQ$1006,0)), HYPERLINK("#",""), HYPERLINK(CONCATENATE("#Metadata!", ADDRESS(INDEX($AJ$2:$AJ$1001,MATCH(ROWS($AH$2:AH137),$AH$2:$AH$1001,0),0), INDEX($AO$1004:$BQ$1004,1,MATCH(COLUMNS($AO$1006:BN1006),$AO$1006:$BQ$1006,0)))),"Fix")))</f>
        <v>#N/A</v>
      </c>
      <c r="AB137" s="5" t="e">
        <f ca="1">IF(OR(INDEX($AI$2:$AI$1001,MATCH(ROWS($AH$2:AH137),$AH$2:$AH$1001,0),1)&gt;=100000,INDEX($AO$1005:$BQ$1005,1,MATCH(COLUMNS($AO$1006:BO1006),$AO$1006:$BQ$1006,0))&gt;=100000), " ",IF(INDEX($AO$2:$BQ$1001,MATCH(ROWS($AH$2:AH137),$AH$2:$AH$1001,0),MATCH(COLUMNS($AO$1006:BO1006),$AO$1006:$BQ$1006,0)), HYPERLINK("#",""), HYPERLINK(CONCATENATE("#Metadata!", ADDRESS(INDEX($AJ$2:$AJ$1001,MATCH(ROWS($AH$2:AH137),$AH$2:$AH$1001,0),0), INDEX($AO$1004:$BQ$1004,1,MATCH(COLUMNS($AO$1006:BO1006),$AO$1006:$BQ$1006,0)))),"Fix")))</f>
        <v>#N/A</v>
      </c>
      <c r="AC137" s="5" t="e">
        <f ca="1">IF(OR(INDEX($AI$2:$AI$1001,MATCH(ROWS($AH$2:AH137),$AH$2:$AH$1001,0),1)&gt;=100000,INDEX($AO$1005:$BQ$1005,1,MATCH(COLUMNS($AO$1006:BP1006),$AO$1006:$BQ$1006,0))&gt;=100000), " ",IF(INDEX($AO$2:$BQ$1001,MATCH(ROWS($AH$2:AH137),$AH$2:$AH$1001,0),MATCH(COLUMNS($AO$1006:BP1006),$AO$1006:$BQ$1006,0)), HYPERLINK("#",""), HYPERLINK(CONCATENATE("#Metadata!", ADDRESS(INDEX($AJ$2:$AJ$1001,MATCH(ROWS($AH$2:AH137),$AH$2:$AH$1001,0),0), INDEX($AO$1004:$BQ$1004,1,MATCH(COLUMNS($AO$1006:BP1006),$AO$1006:$BQ$1006,0)))),"Fix")))</f>
        <v>#N/A</v>
      </c>
      <c r="AD137" s="5" t="e">
        <f ca="1">IF(OR(INDEX($AI$2:$AI$1001,MATCH(ROWS($AH$2:AH137),$AH$2:$AH$1001,0),1)&gt;=100000,INDEX($AO$1005:$BQ$1005,1,MATCH(COLUMNS($AO$1006:BQ1006),$AO$1006:$BQ$1006,0))&gt;=100000), " ",IF(INDEX($AO$2:$BQ$1001,MATCH(ROWS($AH$2:AH137),$AH$2:$AH$1001,0),MATCH(COLUMNS($AO$1006:BQ1006),$AO$1006:$BQ$1006,0)), HYPERLINK("#",""), HYPERLINK(CONCATENATE("#Metadata!", ADDRESS(INDEX($AJ$2:$AJ$1001,MATCH(ROWS($AH$2:AH137),$AH$2:$AH$1001,0),0), INDEX($AO$1004:$BQ$1004,1,MATCH(COLUMNS($AO$1006:BQ1006),$AO$1006:$BQ$1006,0)))),"Fix")))</f>
        <v>#REF!</v>
      </c>
      <c r="AH137">
        <f ca="1"/>
        <v>134</v>
      </c>
      <c r="AI137">
        <v>100137</v>
      </c>
      <c r="AJ137">
        <v>137</v>
      </c>
      <c r="AK137" t="b">
        <f t="shared" si="2"/>
        <v>1</v>
      </c>
      <c r="AL137" t="b">
        <f>COUNTBLANK(Metadata!B137:AD137)=COLUMNS(Metadata!B137:AD137)</f>
        <v>1</v>
      </c>
      <c r="AM137" t="str">
        <v/>
      </c>
      <c r="AO137" t="b">
        <f ca="1">AND(IF(Metadata!B137="",FALSE,TRUE),COUNTIF(Metadata!B:B, Metadata!B137) = 1,NOT(ISERROR(SUMPRODUCT(SEARCH(MID(Metadata!B137,ROW(INDIRECT("1:"&amp;LEN(Metadata!B137))), 1),"0123456789abcdefghijklmnopqrstuvwxyzABCDEFGHIJKLMNOPQRSTUVWXYZ.")))))</f>
        <v>0</v>
      </c>
      <c r="AP137" t="b">
        <f>IF(Metadata!C137="",FALSE,TRUE)</f>
        <v>0</v>
      </c>
      <c r="AQ137" t="b">
        <f>IF(Metadata!D137="",FALSE,TRUE)</f>
        <v>0</v>
      </c>
      <c r="AR137" t="b">
        <f ca="1">OR(AND(IF(Metadata!E137="",FALSE,TRUE),OR(EXACT(Metadata!E137,"not collected"),EXACT(Metadata!E137,"not provided"),EXACT(Metadata!E137,"restricted access"))),AND(IF(Metadata!E137="",FALSE,TRUE),AND(AND(IFERROR(INT(LEFT(Metadata!E137,4))&gt;1900,FALSE),IFERROR(INT(LEFT(Metadata!E137,4))&lt;=YEAR(NOW()),FALSE)), OR(MID(Metadata!E137,5,1)="", AND(AND(MID(Metadata!E137,5,1)="-",IFERROR(INT(MID(Metadata!E137,6,1))&gt;=0,FALSE),IFERROR(INT(MID(Metadata!E137,6,1))&lt;=1,FALSE),NOT(MID(Metadata!E137,7,1)=""),IFERROR(INT(MID(Metadata!E137,6,2))&gt;=1,FALSE),IFERROR(INT(MID(Metadata!E137,6,2))&lt;=12,FALSE)), OR(MID(Metadata!E137,8,1)="", AND(AND(MID(Metadata!E137,8,1)="-",IFERROR(INT(MID(Metadata!E137,9,1))&gt;=0,FALSE),IFERROR(INT(MID(Metadata!E137,9,1))&lt;=3,FALSE),NOT(MID(Metadata!E137,10,1)=""),IFERROR(INT(MID(Metadata!E137,9,2))&gt;=1,FALSE),IFERROR(INT(MID(Metadata!E137,9,2))&lt;=31,FALSE)), OR(MID(Metadata!E137,11,1)="", AND(AND(MID(Metadata!E137,11,1)=" ",IFERROR(INT(MID(Metadata!E137,12,1))&gt;=0,FALSE),IFERROR(INT(MID(Metadata!E137,12,1))&lt;=2,FALSE),NOT(MID(Metadata!E137,13,1)=""),IFERROR(INT(MID(Metadata!E137,12,2))&gt;=0,FALSE),IFERROR(INT(MID(Metadata!E137,12,2))&lt;=23,FALSE)), OR(MID(Metadata!E137,14,1)="", AND(AND(MID(Metadata!E137,14,1)=":",IFERROR(INT(MID(Metadata!E137,15,1))&gt;=0,FALSE),IFERROR(INT(MID(Metadata!E137,15,1))&lt;=5,FALSE),NOT(MID(Metadata!E137,16,1)=""),IFERROR(INT(MID(Metadata!E137,15,2))&gt;=0,FALSE),IFERROR(INT(MID(Metadata!E137,15,2))&lt;=59,FALSE)), OR(MID(Metadata!E137,17,1)="", AND(AND(MID(Metadata!E137,17,1)=":",IFERROR(INT(MID(Metadata!E137,18,1))&gt;=0,FALSE),IFERROR(INT(MID(Metadata!E137,18,1))&lt;=5,FALSE),NOT(MID(Metadata!E137,19,1)=""),IFERROR(INT(MID(Metadata!E137,18,2))&gt;=0,FALSE),IFERROR(INT(MID(Metadata!E137,18,2))&lt;=59,FALSE)), LEN(Metadata!E137)&lt;=19)))))))))))))</f>
        <v>0</v>
      </c>
      <c r="AS137" t="b">
        <f>IF(Metadata!F137="",FALSE,TRUE)</f>
        <v>0</v>
      </c>
      <c r="AT137" t="b">
        <f>OR(AND(IF(Metadata!G137="",FALSE,TRUE),OR(EXACT(Metadata!G137,"not collected"),EXACT(Metadata!G137,"not provided"))),AND(IF(Metadata!G137="",FALSE,TRUE),OR(EXACT(Metadata!G137,"TRUE"),EXACT(Metadata!G137,"FALSE"))))</f>
        <v>0</v>
      </c>
      <c r="AU137" t="b">
        <f>OR(AND(IF(Metadata!H137="",FALSE,TRUE),OR(EXACT(Metadata!H137,"not collected"),EXACT(Metadata!H137,"not provided"),EXACT(Metadata!H137,"restricted access"))),AND(IF(Metadata!H137="",FALSE,ISNUMBER(VALUE(Metadata!H137))),Metadata!H137&gt;=-413))</f>
        <v>0</v>
      </c>
      <c r="AV137" t="b">
        <f>AND(IF(Metadata!I137="",FALSE,TRUE),EXACT(Metadata!I137,"meters"))</f>
        <v>0</v>
      </c>
      <c r="AW137" t="b">
        <f>AND(IF(Metadata!J137="",FALSE,TRUE),EXACT(Metadata!J137,"free-living"))</f>
        <v>0</v>
      </c>
      <c r="AX137" t="b">
        <f>AND(IF(Metadata!K137="",FALSE,TRUE),OR(EXACT(Metadata!K137,"saline"),EXACT(Metadata!K137,"non-saline")))</f>
        <v>0</v>
      </c>
      <c r="AY137" t="b">
        <f>AND(IF(Metadata!L137="",FALSE,TRUE),OR(EXACT(Metadata!L137,"sub-surface (non-saline)"),EXACT(Metadata!L137,"surface (non-saline)"),EXACT(Metadata!L137,"water (non-saline)"),EXACT(Metadata!L137,"soil (non-saline)"),EXACT(Metadata!L137,"aerosol (non-saline)"),EXACT(Metadata!L137,"sediment (non-saline)"),EXACT(Metadata!L137,"surface (saline)"),EXACT(Metadata!L137,"water (saline)"),EXACT(Metadata!L137,"hypersaline (saline)"),EXACT(Metadata!L137,"aerosol (saline)"),EXACT(Metadata!L137,"sediment (saline)")))</f>
        <v>0</v>
      </c>
      <c r="AZ137" t="b">
        <f>IF(Metadata!M137="",FALSE,TRUE)</f>
        <v>0</v>
      </c>
      <c r="BA137" t="b">
        <f>IF(Metadata!N137="",FALSE,TRUE)</f>
        <v>0</v>
      </c>
      <c r="BB137" t="b">
        <f>IF(Metadata!O137="",FALSE,TRUE)</f>
        <v>0</v>
      </c>
      <c r="BC137" t="b">
        <f>AND(IF(Metadata!P137="",FALSE,TRUE),OR(EXACT(Metadata!P137,"air"),EXACT(Metadata!P137,"microbial mat/biofilm"),EXACT(Metadata!P137,"misc environment"),EXACT(Metadata!P137,"sediment"),EXACT(Metadata!P137,"soil"),EXACT(Metadata!P137,"wastewater/sludge"),EXACT(Metadata!P137,"water")))</f>
        <v>0</v>
      </c>
      <c r="BD137" t="b">
        <f>IF(Metadata!Q137="",FALSE,TRUE)</f>
        <v>0</v>
      </c>
      <c r="BE137" t="b">
        <f>IF(Metadata!R137="",FALSE,TRUE)</f>
        <v>0</v>
      </c>
      <c r="BF137" t="b">
        <f>OR(AND(IF(Metadata!S137="",FALSE,TRUE),OR(EXACT(Metadata!S137,"not collected"),EXACT(Metadata!S137,"not provided"),EXACT(Metadata!S137,"restricted access"))),AND(IF(Metadata!S137="",FALSE,ISNUMBER(VALUE(Metadata!S137))),Metadata!S137&gt;=-90,Metadata!S137&lt;=90))</f>
        <v>0</v>
      </c>
      <c r="BG137" t="b">
        <f>AND(IF(Metadata!T137="",FALSE,TRUE),EXACT(Metadata!T137,"Decimal degrees"))</f>
        <v>0</v>
      </c>
      <c r="BH137" t="b">
        <f>OR(AND(IF(Metadata!U137="",FALSE,TRUE),OR(EXACT(Metadata!U137,"not applicable"),EXACT(Metadata!U137,"not collected"))),IF(Metadata!U137="",FALSE,TRUE))</f>
        <v>0</v>
      </c>
      <c r="BI137" t="b">
        <f>OR(AND(IF(Metadata!V137="",FALSE,TRUE),OR(EXACT(Metadata!V137,"not collected"),EXACT(Metadata!V137,"not provided"),EXACT(Metadata!V137,"restricted access"))),AND(IF(Metadata!V137="",FALSE,ISNUMBER(VALUE(Metadata!V137))),Metadata!V137&gt;=-180,Metadata!V137&lt;=180))</f>
        <v>0</v>
      </c>
      <c r="BJ137" t="b">
        <f>AND(IF(Metadata!W137="",FALSE,TRUE),EXACT(Metadata!W137,"Decimal degrees"))</f>
        <v>0</v>
      </c>
      <c r="BK137" t="b">
        <f>IF(Metadata!X137="",FALSE,TRUE)</f>
        <v>0</v>
      </c>
      <c r="BL137" t="b">
        <f>OR(AND(IF(Metadata!Y137="",FALSE,TRUE),OR(EXACT(Metadata!Y137,"not collected"),EXACT(Metadata!Y137,"not provided"),EXACT(Metadata!Y137,"restricted access"))),AND(IF(Metadata!Y137="",FALSE,TRUE),OR(EXACT(Metadata!Y137,"TRUE"),EXACT(Metadata!Y137,"FALSE"))))</f>
        <v>0</v>
      </c>
      <c r="BM137" t="b">
        <f>OR(AND(IF(Metadata!Z137="",FALSE,TRUE),EXACT(Metadata!Z137,"not applicable")),AND(IF(Metadata!Z137="",FALSE,TRUE),OR(EXACT(Metadata!Z137,"beer"),EXACT(Metadata!Z137,"cheese"),EXACT(Metadata!Z137,"fresh water"),EXACT(Metadata!Z137,"marine sediment"),EXACT(Metadata!Z137,"sea water"),EXACT(Metadata!Z137,"sediment"),EXACT(Metadata!Z137,"soil"),EXACT(Metadata!Z137,"waste water"))))</f>
        <v>0</v>
      </c>
      <c r="BN137" t="b">
        <f>AND(IF(Metadata!AA137="",FALSE,TRUE),EXACT(Metadata!AA137,"metagenome"))</f>
        <v>0</v>
      </c>
      <c r="BO137" t="b">
        <f>AND(IF(Metadata!AB137="",FALSE,TRUE),EXACT(Metadata!AB137,"256318"))</f>
        <v>0</v>
      </c>
      <c r="BP137" t="b">
        <f>IF(Metadata!AC137="",FALSE,TRUE)</f>
        <v>0</v>
      </c>
      <c r="BQ137" t="b">
        <f>IF(Metadata!AD137="",FALSE,TRUE)</f>
        <v>0</v>
      </c>
    </row>
    <row r="138" spans="1:69" x14ac:dyDescent="0.2">
      <c r="A138" s="4" t="e">
        <f ca="1">IF(B138=" "," ",HYPERLINK(CONCATENATE("#metadata!",ADDRESS(INDEX($AJ$2:$AJ$1001,MATCH(ROWS($AH$2:AH138),$AH$2:$AH$1001,0),0),2)),INDEX($AM$2:$AM$1001,MATCH(ROWS($AH$2:AH138),$AH$2:$AH$1001,0),0)))</f>
        <v>#N/A</v>
      </c>
      <c r="B138" s="5" t="e">
        <f ca="1">IF(OR(INDEX($AI$2:$AI$1001,MATCH(ROWS($AH$2:AH138),$AH$2:$AH$1001,0),1)&gt;=100000,INDEX($AO$1005:$BQ$1005,1,MATCH(COLUMNS($AO$1006:AO1006),$AO$1006:$BQ$1006,0))&gt;=100000), " ",IF(INDEX($AO$2:$BQ$1001,MATCH(ROWS($AH$2:AH138),$AH$2:$AH$1001,0),MATCH(COLUMNS($AO$1006:AO1006),$AO$1006:$BQ$1006,0)), HYPERLINK("#",""), HYPERLINK(CONCATENATE("#Metadata!", ADDRESS(INDEX($AJ$2:$AJ$1001,MATCH(ROWS($AH$2:AH138),$AH$2:$AH$1001,0),0), INDEX($AO$1004:$BQ$1004,1,MATCH(COLUMNS($AO$1006:AO1006),$AO$1006:$BQ$1006,0)))),"Fix")))</f>
        <v>#N/A</v>
      </c>
      <c r="C138" s="5" t="e">
        <f ca="1">IF(OR(INDEX($AI$2:$AI$1001,MATCH(ROWS($AH$2:AH138),$AH$2:$AH$1001,0),1)&gt;=100000,INDEX($AO$1005:$BQ$1005,1,MATCH(COLUMNS($AO$1006:AP1006),$AO$1006:$BQ$1006,0))&gt;=100000), " ",IF(INDEX($AO$2:$BQ$1001,MATCH(ROWS($AH$2:AH138),$AH$2:$AH$1001,0),MATCH(COLUMNS($AO$1006:AP1006),$AO$1006:$BQ$1006,0)), HYPERLINK("#",""), HYPERLINK(CONCATENATE("#Metadata!", ADDRESS(INDEX($AJ$2:$AJ$1001,MATCH(ROWS($AH$2:AH138),$AH$2:$AH$1001,0),0), INDEX($AO$1004:$BQ$1004,1,MATCH(COLUMNS($AO$1006:AP1006),$AO$1006:$BQ$1006,0)))),"Fix")))</f>
        <v>#N/A</v>
      </c>
      <c r="D138" s="5" t="e">
        <f ca="1">IF(OR(INDEX($AI$2:$AI$1001,MATCH(ROWS($AH$2:AH138),$AH$2:$AH$1001,0),1)&gt;=100000,INDEX($AO$1005:$BQ$1005,1,MATCH(COLUMNS($AO$1006:AQ1006),$AO$1006:$BQ$1006,0))&gt;=100000), " ",IF(INDEX($AO$2:$BQ$1001,MATCH(ROWS($AH$2:AH138),$AH$2:$AH$1001,0),MATCH(COLUMNS($AO$1006:AQ1006),$AO$1006:$BQ$1006,0)), HYPERLINK("#",""), HYPERLINK(CONCATENATE("#Metadata!", ADDRESS(INDEX($AJ$2:$AJ$1001,MATCH(ROWS($AH$2:AH138),$AH$2:$AH$1001,0),0), INDEX($AO$1004:$BQ$1004,1,MATCH(COLUMNS($AO$1006:AQ1006),$AO$1006:$BQ$1006,0)))),"Fix")))</f>
        <v>#N/A</v>
      </c>
      <c r="E138" s="5" t="e">
        <f ca="1">IF(OR(INDEX($AI$2:$AI$1001,MATCH(ROWS($AH$2:AH138),$AH$2:$AH$1001,0),1)&gt;=100000,INDEX($AO$1005:$BQ$1005,1,MATCH(COLUMNS($AO$1006:AR1006),$AO$1006:$BQ$1006,0))&gt;=100000), " ",IF(INDEX($AO$2:$BQ$1001,MATCH(ROWS($AH$2:AH138),$AH$2:$AH$1001,0),MATCH(COLUMNS($AO$1006:AR1006),$AO$1006:$BQ$1006,0)), HYPERLINK("#",""), HYPERLINK(CONCATENATE("#Metadata!", ADDRESS(INDEX($AJ$2:$AJ$1001,MATCH(ROWS($AH$2:AH138),$AH$2:$AH$1001,0),0), INDEX($AO$1004:$BQ$1004,1,MATCH(COLUMNS($AO$1006:AR1006),$AO$1006:$BQ$1006,0)))),"Fix")))</f>
        <v>#N/A</v>
      </c>
      <c r="F138" s="5" t="e">
        <f ca="1">IF(OR(INDEX($AI$2:$AI$1001,MATCH(ROWS($AH$2:AH138),$AH$2:$AH$1001,0),1)&gt;=100000,INDEX($AO$1005:$BQ$1005,1,MATCH(COLUMNS($AO$1006:AS1006),$AO$1006:$BQ$1006,0))&gt;=100000), " ",IF(INDEX($AO$2:$BQ$1001,MATCH(ROWS($AH$2:AH138),$AH$2:$AH$1001,0),MATCH(COLUMNS($AO$1006:AS1006),$AO$1006:$BQ$1006,0)), HYPERLINK("#",""), HYPERLINK(CONCATENATE("#Metadata!", ADDRESS(INDEX($AJ$2:$AJ$1001,MATCH(ROWS($AH$2:AH138),$AH$2:$AH$1001,0),0), INDEX($AO$1004:$BQ$1004,1,MATCH(COLUMNS($AO$1006:AS1006),$AO$1006:$BQ$1006,0)))),"Fix")))</f>
        <v>#N/A</v>
      </c>
      <c r="G138" s="5" t="e">
        <f ca="1">IF(OR(INDEX($AI$2:$AI$1001,MATCH(ROWS($AH$2:AH138),$AH$2:$AH$1001,0),1)&gt;=100000,INDEX($AO$1005:$BQ$1005,1,MATCH(COLUMNS($AO$1006:AT1006),$AO$1006:$BQ$1006,0))&gt;=100000), " ",IF(INDEX($AO$2:$BQ$1001,MATCH(ROWS($AH$2:AH138),$AH$2:$AH$1001,0),MATCH(COLUMNS($AO$1006:AT1006),$AO$1006:$BQ$1006,0)), HYPERLINK("#",""), HYPERLINK(CONCATENATE("#Metadata!", ADDRESS(INDEX($AJ$2:$AJ$1001,MATCH(ROWS($AH$2:AH138),$AH$2:$AH$1001,0),0), INDEX($AO$1004:$BQ$1004,1,MATCH(COLUMNS($AO$1006:AT1006),$AO$1006:$BQ$1006,0)))),"Fix")))</f>
        <v>#N/A</v>
      </c>
      <c r="H138" s="5" t="e">
        <f ca="1">IF(OR(INDEX($AI$2:$AI$1001,MATCH(ROWS($AH$2:AH138),$AH$2:$AH$1001,0),1)&gt;=100000,INDEX($AO$1005:$BQ$1005,1,MATCH(COLUMNS($AO$1006:AU1006),$AO$1006:$BQ$1006,0))&gt;=100000), " ",IF(INDEX($AO$2:$BQ$1001,MATCH(ROWS($AH$2:AH138),$AH$2:$AH$1001,0),MATCH(COLUMNS($AO$1006:AU1006),$AO$1006:$BQ$1006,0)), HYPERLINK("#",""), HYPERLINK(CONCATENATE("#Metadata!", ADDRESS(INDEX($AJ$2:$AJ$1001,MATCH(ROWS($AH$2:AH138),$AH$2:$AH$1001,0),0), INDEX($AO$1004:$BQ$1004,1,MATCH(COLUMNS($AO$1006:AU1006),$AO$1006:$BQ$1006,0)))),"Fix")))</f>
        <v>#N/A</v>
      </c>
      <c r="I138" s="5" t="e">
        <f ca="1">IF(OR(INDEX($AI$2:$AI$1001,MATCH(ROWS($AH$2:AH138),$AH$2:$AH$1001,0),1)&gt;=100000,INDEX($AO$1005:$BQ$1005,1,MATCH(COLUMNS($AO$1006:AV1006),$AO$1006:$BQ$1006,0))&gt;=100000), " ",IF(INDEX($AO$2:$BQ$1001,MATCH(ROWS($AH$2:AH138),$AH$2:$AH$1001,0),MATCH(COLUMNS($AO$1006:AV1006),$AO$1006:$BQ$1006,0)), HYPERLINK("#",""), HYPERLINK(CONCATENATE("#Metadata!", ADDRESS(INDEX($AJ$2:$AJ$1001,MATCH(ROWS($AH$2:AH138),$AH$2:$AH$1001,0),0), INDEX($AO$1004:$BQ$1004,1,MATCH(COLUMNS($AO$1006:AV1006),$AO$1006:$BQ$1006,0)))),"Fix")))</f>
        <v>#N/A</v>
      </c>
      <c r="J138" s="5" t="e">
        <f ca="1">IF(OR(INDEX($AI$2:$AI$1001,MATCH(ROWS($AH$2:AH138),$AH$2:$AH$1001,0),1)&gt;=100000,INDEX($AO$1005:$BQ$1005,1,MATCH(COLUMNS($AO$1006:AW1006),$AO$1006:$BQ$1006,0))&gt;=100000), " ",IF(INDEX($AO$2:$BQ$1001,MATCH(ROWS($AH$2:AH138),$AH$2:$AH$1001,0),MATCH(COLUMNS($AO$1006:AW1006),$AO$1006:$BQ$1006,0)), HYPERLINK("#",""), HYPERLINK(CONCATENATE("#Metadata!", ADDRESS(INDEX($AJ$2:$AJ$1001,MATCH(ROWS($AH$2:AH138),$AH$2:$AH$1001,0),0), INDEX($AO$1004:$BQ$1004,1,MATCH(COLUMNS($AO$1006:AW1006),$AO$1006:$BQ$1006,0)))),"Fix")))</f>
        <v>#N/A</v>
      </c>
      <c r="K138" s="5" t="e">
        <f ca="1">IF(OR(INDEX($AI$2:$AI$1001,MATCH(ROWS($AH$2:AH138),$AH$2:$AH$1001,0),1)&gt;=100000,INDEX($AO$1005:$BQ$1005,1,MATCH(COLUMNS($AO$1006:AX1006),$AO$1006:$BQ$1006,0))&gt;=100000), " ",IF(INDEX($AO$2:$BQ$1001,MATCH(ROWS($AH$2:AH138),$AH$2:$AH$1001,0),MATCH(COLUMNS($AO$1006:AX1006),$AO$1006:$BQ$1006,0)), HYPERLINK("#",""), HYPERLINK(CONCATENATE("#Metadata!", ADDRESS(INDEX($AJ$2:$AJ$1001,MATCH(ROWS($AH$2:AH138),$AH$2:$AH$1001,0),0), INDEX($AO$1004:$BQ$1004,1,MATCH(COLUMNS($AO$1006:AX1006),$AO$1006:$BQ$1006,0)))),"Fix")))</f>
        <v>#N/A</v>
      </c>
      <c r="L138" s="5" t="e">
        <f ca="1">IF(OR(INDEX($AI$2:$AI$1001,MATCH(ROWS($AH$2:AH138),$AH$2:$AH$1001,0),1)&gt;=100000,INDEX($AO$1005:$BQ$1005,1,MATCH(COLUMNS($AO$1006:AY1006),$AO$1006:$BQ$1006,0))&gt;=100000), " ",IF(INDEX($AO$2:$BQ$1001,MATCH(ROWS($AH$2:AH138),$AH$2:$AH$1001,0),MATCH(COLUMNS($AO$1006:AY1006),$AO$1006:$BQ$1006,0)), HYPERLINK("#",""), HYPERLINK(CONCATENATE("#Metadata!", ADDRESS(INDEX($AJ$2:$AJ$1001,MATCH(ROWS($AH$2:AH138),$AH$2:$AH$1001,0),0), INDEX($AO$1004:$BQ$1004,1,MATCH(COLUMNS($AO$1006:AY1006),$AO$1006:$BQ$1006,0)))),"Fix")))</f>
        <v>#N/A</v>
      </c>
      <c r="M138" s="5" t="e">
        <f ca="1">IF(OR(INDEX($AI$2:$AI$1001,MATCH(ROWS($AH$2:AH138),$AH$2:$AH$1001,0),1)&gt;=100000,INDEX($AO$1005:$BQ$1005,1,MATCH(COLUMNS($AO$1006:AZ1006),$AO$1006:$BQ$1006,0))&gt;=100000), " ",IF(INDEX($AO$2:$BQ$1001,MATCH(ROWS($AH$2:AH138),$AH$2:$AH$1001,0),MATCH(COLUMNS($AO$1006:AZ1006),$AO$1006:$BQ$1006,0)), HYPERLINK("#",""), HYPERLINK(CONCATENATE("#Metadata!", ADDRESS(INDEX($AJ$2:$AJ$1001,MATCH(ROWS($AH$2:AH138),$AH$2:$AH$1001,0),0), INDEX($AO$1004:$BQ$1004,1,MATCH(COLUMNS($AO$1006:AZ1006),$AO$1006:$BQ$1006,0)))),"Fix")))</f>
        <v>#N/A</v>
      </c>
      <c r="N138" s="5" t="e">
        <f ca="1">IF(OR(INDEX($AI$2:$AI$1001,MATCH(ROWS($AH$2:AH138),$AH$2:$AH$1001,0),1)&gt;=100000,INDEX($AO$1005:$BQ$1005,1,MATCH(COLUMNS($AO$1006:BA1006),$AO$1006:$BQ$1006,0))&gt;=100000), " ",IF(INDEX($AO$2:$BQ$1001,MATCH(ROWS($AH$2:AH138),$AH$2:$AH$1001,0),MATCH(COLUMNS($AO$1006:BA1006),$AO$1006:$BQ$1006,0)), HYPERLINK("#",""), HYPERLINK(CONCATENATE("#Metadata!", ADDRESS(INDEX($AJ$2:$AJ$1001,MATCH(ROWS($AH$2:AH138),$AH$2:$AH$1001,0),0), INDEX($AO$1004:$BQ$1004,1,MATCH(COLUMNS($AO$1006:BA1006),$AO$1006:$BQ$1006,0)))),"Fix")))</f>
        <v>#N/A</v>
      </c>
      <c r="O138" s="5" t="e">
        <f ca="1">IF(OR(INDEX($AI$2:$AI$1001,MATCH(ROWS($AH$2:AH138),$AH$2:$AH$1001,0),1)&gt;=100000,INDEX($AO$1005:$BQ$1005,1,MATCH(COLUMNS($AO$1006:BB1006),$AO$1006:$BQ$1006,0))&gt;=100000), " ",IF(INDEX($AO$2:$BQ$1001,MATCH(ROWS($AH$2:AH138),$AH$2:$AH$1001,0),MATCH(COLUMNS($AO$1006:BB1006),$AO$1006:$BQ$1006,0)), HYPERLINK("#",""), HYPERLINK(CONCATENATE("#Metadata!", ADDRESS(INDEX($AJ$2:$AJ$1001,MATCH(ROWS($AH$2:AH138),$AH$2:$AH$1001,0),0), INDEX($AO$1004:$BQ$1004,1,MATCH(COLUMNS($AO$1006:BB1006),$AO$1006:$BQ$1006,0)))),"Fix")))</f>
        <v>#N/A</v>
      </c>
      <c r="P138" s="5" t="e">
        <f ca="1">IF(OR(INDEX($AI$2:$AI$1001,MATCH(ROWS($AH$2:AH138),$AH$2:$AH$1001,0),1)&gt;=100000,INDEX($AO$1005:$BQ$1005,1,MATCH(COLUMNS($AO$1006:BC1006),$AO$1006:$BQ$1006,0))&gt;=100000), " ",IF(INDEX($AO$2:$BQ$1001,MATCH(ROWS($AH$2:AH138),$AH$2:$AH$1001,0),MATCH(COLUMNS($AO$1006:BC1006),$AO$1006:$BQ$1006,0)), HYPERLINK("#",""), HYPERLINK(CONCATENATE("#Metadata!", ADDRESS(INDEX($AJ$2:$AJ$1001,MATCH(ROWS($AH$2:AH138),$AH$2:$AH$1001,0),0), INDEX($AO$1004:$BQ$1004,1,MATCH(COLUMNS($AO$1006:BC1006),$AO$1006:$BQ$1006,0)))),"Fix")))</f>
        <v>#N/A</v>
      </c>
      <c r="Q138" s="5" t="e">
        <f ca="1">IF(OR(INDEX($AI$2:$AI$1001,MATCH(ROWS($AH$2:AH138),$AH$2:$AH$1001,0),1)&gt;=100000,INDEX($AO$1005:$BQ$1005,1,MATCH(COLUMNS($AO$1006:BD1006),$AO$1006:$BQ$1006,0))&gt;=100000), " ",IF(INDEX($AO$2:$BQ$1001,MATCH(ROWS($AH$2:AH138),$AH$2:$AH$1001,0),MATCH(COLUMNS($AO$1006:BD1006),$AO$1006:$BQ$1006,0)), HYPERLINK("#",""), HYPERLINK(CONCATENATE("#Metadata!", ADDRESS(INDEX($AJ$2:$AJ$1001,MATCH(ROWS($AH$2:AH138),$AH$2:$AH$1001,0),0), INDEX($AO$1004:$BQ$1004,1,MATCH(COLUMNS($AO$1006:BD1006),$AO$1006:$BQ$1006,0)))),"Fix")))</f>
        <v>#N/A</v>
      </c>
      <c r="R138" s="5" t="e">
        <f ca="1">IF(OR(INDEX($AI$2:$AI$1001,MATCH(ROWS($AH$2:AH138),$AH$2:$AH$1001,0),1)&gt;=100000,INDEX($AO$1005:$BQ$1005,1,MATCH(COLUMNS($AO$1006:BE1006),$AO$1006:$BQ$1006,0))&gt;=100000), " ",IF(INDEX($AO$2:$BQ$1001,MATCH(ROWS($AH$2:AH138),$AH$2:$AH$1001,0),MATCH(COLUMNS($AO$1006:BE1006),$AO$1006:$BQ$1006,0)), HYPERLINK("#",""), HYPERLINK(CONCATENATE("#Metadata!", ADDRESS(INDEX($AJ$2:$AJ$1001,MATCH(ROWS($AH$2:AH138),$AH$2:$AH$1001,0),0), INDEX($AO$1004:$BQ$1004,1,MATCH(COLUMNS($AO$1006:BE1006),$AO$1006:$BQ$1006,0)))),"Fix")))</f>
        <v>#N/A</v>
      </c>
      <c r="S138" s="5" t="e">
        <f ca="1">IF(OR(INDEX($AI$2:$AI$1001,MATCH(ROWS($AH$2:AH138),$AH$2:$AH$1001,0),1)&gt;=100000,INDEX($AO$1005:$BQ$1005,1,MATCH(COLUMNS($AO$1006:BF1006),$AO$1006:$BQ$1006,0))&gt;=100000), " ",IF(INDEX($AO$2:$BQ$1001,MATCH(ROWS($AH$2:AH138),$AH$2:$AH$1001,0),MATCH(COLUMNS($AO$1006:BF1006),$AO$1006:$BQ$1006,0)), HYPERLINK("#",""), HYPERLINK(CONCATENATE("#Metadata!", ADDRESS(INDEX($AJ$2:$AJ$1001,MATCH(ROWS($AH$2:AH138),$AH$2:$AH$1001,0),0), INDEX($AO$1004:$BQ$1004,1,MATCH(COLUMNS($AO$1006:BF1006),$AO$1006:$BQ$1006,0)))),"Fix")))</f>
        <v>#N/A</v>
      </c>
      <c r="T138" s="5" t="e">
        <f ca="1">IF(OR(INDEX($AI$2:$AI$1001,MATCH(ROWS($AH$2:AH138),$AH$2:$AH$1001,0),1)&gt;=100000,INDEX($AO$1005:$BQ$1005,1,MATCH(COLUMNS($AO$1006:BG1006),$AO$1006:$BQ$1006,0))&gt;=100000), " ",IF(INDEX($AO$2:$BQ$1001,MATCH(ROWS($AH$2:AH138),$AH$2:$AH$1001,0),MATCH(COLUMNS($AO$1006:BG1006),$AO$1006:$BQ$1006,0)), HYPERLINK("#",""), HYPERLINK(CONCATENATE("#Metadata!", ADDRESS(INDEX($AJ$2:$AJ$1001,MATCH(ROWS($AH$2:AH138),$AH$2:$AH$1001,0),0), INDEX($AO$1004:$BQ$1004,1,MATCH(COLUMNS($AO$1006:BG1006),$AO$1006:$BQ$1006,0)))),"Fix")))</f>
        <v>#N/A</v>
      </c>
      <c r="U138" s="5" t="e">
        <f ca="1">IF(OR(INDEX($AI$2:$AI$1001,MATCH(ROWS($AH$2:AH138),$AH$2:$AH$1001,0),1)&gt;=100000,INDEX($AO$1005:$BQ$1005,1,MATCH(COLUMNS($AO$1006:BH1006),$AO$1006:$BQ$1006,0))&gt;=100000), " ",IF(INDEX($AO$2:$BQ$1001,MATCH(ROWS($AH$2:AH138),$AH$2:$AH$1001,0),MATCH(COLUMNS($AO$1006:BH1006),$AO$1006:$BQ$1006,0)), HYPERLINK("#",""), HYPERLINK(CONCATENATE("#Metadata!", ADDRESS(INDEX($AJ$2:$AJ$1001,MATCH(ROWS($AH$2:AH138),$AH$2:$AH$1001,0),0), INDEX($AO$1004:$BQ$1004,1,MATCH(COLUMNS($AO$1006:BH1006),$AO$1006:$BQ$1006,0)))),"Fix")))</f>
        <v>#N/A</v>
      </c>
      <c r="V138" s="5" t="e">
        <f ca="1">IF(OR(INDEX($AI$2:$AI$1001,MATCH(ROWS($AH$2:AH138),$AH$2:$AH$1001,0),1)&gt;=100000,INDEX($AO$1005:$BQ$1005,1,MATCH(COLUMNS($AO$1006:BI1006),$AO$1006:$BQ$1006,0))&gt;=100000), " ",IF(INDEX($AO$2:$BQ$1001,MATCH(ROWS($AH$2:AH138),$AH$2:$AH$1001,0),MATCH(COLUMNS($AO$1006:BI1006),$AO$1006:$BQ$1006,0)), HYPERLINK("#",""), HYPERLINK(CONCATENATE("#Metadata!", ADDRESS(INDEX($AJ$2:$AJ$1001,MATCH(ROWS($AH$2:AH138),$AH$2:$AH$1001,0),0), INDEX($AO$1004:$BQ$1004,1,MATCH(COLUMNS($AO$1006:BI1006),$AO$1006:$BQ$1006,0)))),"Fix")))</f>
        <v>#N/A</v>
      </c>
      <c r="W138" s="5" t="e">
        <f ca="1">IF(OR(INDEX($AI$2:$AI$1001,MATCH(ROWS($AH$2:AH138),$AH$2:$AH$1001,0),1)&gt;=100000,INDEX($AO$1005:$BQ$1005,1,MATCH(COLUMNS($AO$1006:BJ1006),$AO$1006:$BQ$1006,0))&gt;=100000), " ",IF(INDEX($AO$2:$BQ$1001,MATCH(ROWS($AH$2:AH138),$AH$2:$AH$1001,0),MATCH(COLUMNS($AO$1006:BJ1006),$AO$1006:$BQ$1006,0)), HYPERLINK("#",""), HYPERLINK(CONCATENATE("#Metadata!", ADDRESS(INDEX($AJ$2:$AJ$1001,MATCH(ROWS($AH$2:AH138),$AH$2:$AH$1001,0),0), INDEX($AO$1004:$BQ$1004,1,MATCH(COLUMNS($AO$1006:BJ1006),$AO$1006:$BQ$1006,0)))),"Fix")))</f>
        <v>#N/A</v>
      </c>
      <c r="X138" s="5" t="e">
        <f ca="1">IF(OR(INDEX($AI$2:$AI$1001,MATCH(ROWS($AH$2:AH138),$AH$2:$AH$1001,0),1)&gt;=100000,INDEX($AO$1005:$BQ$1005,1,MATCH(COLUMNS($AO$1006:BK1006),$AO$1006:$BQ$1006,0))&gt;=100000), " ",IF(INDEX($AO$2:$BQ$1001,MATCH(ROWS($AH$2:AH138),$AH$2:$AH$1001,0),MATCH(COLUMNS($AO$1006:BK1006),$AO$1006:$BQ$1006,0)), HYPERLINK("#",""), HYPERLINK(CONCATENATE("#Metadata!", ADDRESS(INDEX($AJ$2:$AJ$1001,MATCH(ROWS($AH$2:AH138),$AH$2:$AH$1001,0),0), INDEX($AO$1004:$BQ$1004,1,MATCH(COLUMNS($AO$1006:BK1006),$AO$1006:$BQ$1006,0)))),"Fix")))</f>
        <v>#N/A</v>
      </c>
      <c r="Y138" s="5" t="e">
        <f ca="1">IF(OR(INDEX($AI$2:$AI$1001,MATCH(ROWS($AH$2:AH138),$AH$2:$AH$1001,0),1)&gt;=100000,INDEX($AO$1005:$BQ$1005,1,MATCH(COLUMNS($AO$1006:BL1006),$AO$1006:$BQ$1006,0))&gt;=100000), " ",IF(INDEX($AO$2:$BQ$1001,MATCH(ROWS($AH$2:AH138),$AH$2:$AH$1001,0),MATCH(COLUMNS($AO$1006:BL1006),$AO$1006:$BQ$1006,0)), HYPERLINK("#",""), HYPERLINK(CONCATENATE("#Metadata!", ADDRESS(INDEX($AJ$2:$AJ$1001,MATCH(ROWS($AH$2:AH138),$AH$2:$AH$1001,0),0), INDEX($AO$1004:$BQ$1004,1,MATCH(COLUMNS($AO$1006:BL1006),$AO$1006:$BQ$1006,0)))),"Fix")))</f>
        <v>#N/A</v>
      </c>
      <c r="Z138" s="5" t="e">
        <f ca="1">IF(OR(INDEX($AI$2:$AI$1001,MATCH(ROWS($AH$2:AH138),$AH$2:$AH$1001,0),1)&gt;=100000,INDEX($AO$1005:$BQ$1005,1,MATCH(COLUMNS($AO$1006:BM1006),$AO$1006:$BQ$1006,0))&gt;=100000), " ",IF(INDEX($AO$2:$BQ$1001,MATCH(ROWS($AH$2:AH138),$AH$2:$AH$1001,0),MATCH(COLUMNS($AO$1006:BM1006),$AO$1006:$BQ$1006,0)), HYPERLINK("#",""), HYPERLINK(CONCATENATE("#Metadata!", ADDRESS(INDEX($AJ$2:$AJ$1001,MATCH(ROWS($AH$2:AH138),$AH$2:$AH$1001,0),0), INDEX($AO$1004:$BQ$1004,1,MATCH(COLUMNS($AO$1006:BM1006),$AO$1006:$BQ$1006,0)))),"Fix")))</f>
        <v>#N/A</v>
      </c>
      <c r="AA138" s="5" t="e">
        <f ca="1">IF(OR(INDEX($AI$2:$AI$1001,MATCH(ROWS($AH$2:AH138),$AH$2:$AH$1001,0),1)&gt;=100000,INDEX($AO$1005:$BQ$1005,1,MATCH(COLUMNS($AO$1006:BN1006),$AO$1006:$BQ$1006,0))&gt;=100000), " ",IF(INDEX($AO$2:$BQ$1001,MATCH(ROWS($AH$2:AH138),$AH$2:$AH$1001,0),MATCH(COLUMNS($AO$1006:BN1006),$AO$1006:$BQ$1006,0)), HYPERLINK("#",""), HYPERLINK(CONCATENATE("#Metadata!", ADDRESS(INDEX($AJ$2:$AJ$1001,MATCH(ROWS($AH$2:AH138),$AH$2:$AH$1001,0),0), INDEX($AO$1004:$BQ$1004,1,MATCH(COLUMNS($AO$1006:BN1006),$AO$1006:$BQ$1006,0)))),"Fix")))</f>
        <v>#N/A</v>
      </c>
      <c r="AB138" s="5" t="e">
        <f ca="1">IF(OR(INDEX($AI$2:$AI$1001,MATCH(ROWS($AH$2:AH138),$AH$2:$AH$1001,0),1)&gt;=100000,INDEX($AO$1005:$BQ$1005,1,MATCH(COLUMNS($AO$1006:BO1006),$AO$1006:$BQ$1006,0))&gt;=100000), " ",IF(INDEX($AO$2:$BQ$1001,MATCH(ROWS($AH$2:AH138),$AH$2:$AH$1001,0),MATCH(COLUMNS($AO$1006:BO1006),$AO$1006:$BQ$1006,0)), HYPERLINK("#",""), HYPERLINK(CONCATENATE("#Metadata!", ADDRESS(INDEX($AJ$2:$AJ$1001,MATCH(ROWS($AH$2:AH138),$AH$2:$AH$1001,0),0), INDEX($AO$1004:$BQ$1004,1,MATCH(COLUMNS($AO$1006:BO1006),$AO$1006:$BQ$1006,0)))),"Fix")))</f>
        <v>#N/A</v>
      </c>
      <c r="AC138" s="5" t="e">
        <f ca="1">IF(OR(INDEX($AI$2:$AI$1001,MATCH(ROWS($AH$2:AH138),$AH$2:$AH$1001,0),1)&gt;=100000,INDEX($AO$1005:$BQ$1005,1,MATCH(COLUMNS($AO$1006:BP1006),$AO$1006:$BQ$1006,0))&gt;=100000), " ",IF(INDEX($AO$2:$BQ$1001,MATCH(ROWS($AH$2:AH138),$AH$2:$AH$1001,0),MATCH(COLUMNS($AO$1006:BP1006),$AO$1006:$BQ$1006,0)), HYPERLINK("#",""), HYPERLINK(CONCATENATE("#Metadata!", ADDRESS(INDEX($AJ$2:$AJ$1001,MATCH(ROWS($AH$2:AH138),$AH$2:$AH$1001,0),0), INDEX($AO$1004:$BQ$1004,1,MATCH(COLUMNS($AO$1006:BP1006),$AO$1006:$BQ$1006,0)))),"Fix")))</f>
        <v>#N/A</v>
      </c>
      <c r="AD138" s="5" t="e">
        <f ca="1">IF(OR(INDEX($AI$2:$AI$1001,MATCH(ROWS($AH$2:AH138),$AH$2:$AH$1001,0),1)&gt;=100000,INDEX($AO$1005:$BQ$1005,1,MATCH(COLUMNS($AO$1006:BQ1006),$AO$1006:$BQ$1006,0))&gt;=100000), " ",IF(INDEX($AO$2:$BQ$1001,MATCH(ROWS($AH$2:AH138),$AH$2:$AH$1001,0),MATCH(COLUMNS($AO$1006:BQ1006),$AO$1006:$BQ$1006,0)), HYPERLINK("#",""), HYPERLINK(CONCATENATE("#Metadata!", ADDRESS(INDEX($AJ$2:$AJ$1001,MATCH(ROWS($AH$2:AH138),$AH$2:$AH$1001,0),0), INDEX($AO$1004:$BQ$1004,1,MATCH(COLUMNS($AO$1006:BQ1006),$AO$1006:$BQ$1006,0)))),"Fix")))</f>
        <v>#REF!</v>
      </c>
      <c r="AH138">
        <f ca="1"/>
        <v>135</v>
      </c>
      <c r="AI138">
        <v>100138</v>
      </c>
      <c r="AJ138">
        <v>138</v>
      </c>
      <c r="AK138" t="b">
        <f t="shared" si="2"/>
        <v>1</v>
      </c>
      <c r="AL138" t="b">
        <f>COUNTBLANK(Metadata!B138:AD138)=COLUMNS(Metadata!B138:AD138)</f>
        <v>1</v>
      </c>
      <c r="AM138" t="str">
        <v/>
      </c>
      <c r="AO138" t="b">
        <f ca="1">AND(IF(Metadata!B138="",FALSE,TRUE),COUNTIF(Metadata!B:B, Metadata!B138) = 1,NOT(ISERROR(SUMPRODUCT(SEARCH(MID(Metadata!B138,ROW(INDIRECT("1:"&amp;LEN(Metadata!B138))), 1),"0123456789abcdefghijklmnopqrstuvwxyzABCDEFGHIJKLMNOPQRSTUVWXYZ.")))))</f>
        <v>0</v>
      </c>
      <c r="AP138" t="b">
        <f>IF(Metadata!C138="",FALSE,TRUE)</f>
        <v>0</v>
      </c>
      <c r="AQ138" t="b">
        <f>IF(Metadata!D138="",FALSE,TRUE)</f>
        <v>0</v>
      </c>
      <c r="AR138" t="b">
        <f ca="1">OR(AND(IF(Metadata!E138="",FALSE,TRUE),OR(EXACT(Metadata!E138,"not collected"),EXACT(Metadata!E138,"not provided"),EXACT(Metadata!E138,"restricted access"))),AND(IF(Metadata!E138="",FALSE,TRUE),AND(AND(IFERROR(INT(LEFT(Metadata!E138,4))&gt;1900,FALSE),IFERROR(INT(LEFT(Metadata!E138,4))&lt;=YEAR(NOW()),FALSE)), OR(MID(Metadata!E138,5,1)="", AND(AND(MID(Metadata!E138,5,1)="-",IFERROR(INT(MID(Metadata!E138,6,1))&gt;=0,FALSE),IFERROR(INT(MID(Metadata!E138,6,1))&lt;=1,FALSE),NOT(MID(Metadata!E138,7,1)=""),IFERROR(INT(MID(Metadata!E138,6,2))&gt;=1,FALSE),IFERROR(INT(MID(Metadata!E138,6,2))&lt;=12,FALSE)), OR(MID(Metadata!E138,8,1)="", AND(AND(MID(Metadata!E138,8,1)="-",IFERROR(INT(MID(Metadata!E138,9,1))&gt;=0,FALSE),IFERROR(INT(MID(Metadata!E138,9,1))&lt;=3,FALSE),NOT(MID(Metadata!E138,10,1)=""),IFERROR(INT(MID(Metadata!E138,9,2))&gt;=1,FALSE),IFERROR(INT(MID(Metadata!E138,9,2))&lt;=31,FALSE)), OR(MID(Metadata!E138,11,1)="", AND(AND(MID(Metadata!E138,11,1)=" ",IFERROR(INT(MID(Metadata!E138,12,1))&gt;=0,FALSE),IFERROR(INT(MID(Metadata!E138,12,1))&lt;=2,FALSE),NOT(MID(Metadata!E138,13,1)=""),IFERROR(INT(MID(Metadata!E138,12,2))&gt;=0,FALSE),IFERROR(INT(MID(Metadata!E138,12,2))&lt;=23,FALSE)), OR(MID(Metadata!E138,14,1)="", AND(AND(MID(Metadata!E138,14,1)=":",IFERROR(INT(MID(Metadata!E138,15,1))&gt;=0,FALSE),IFERROR(INT(MID(Metadata!E138,15,1))&lt;=5,FALSE),NOT(MID(Metadata!E138,16,1)=""),IFERROR(INT(MID(Metadata!E138,15,2))&gt;=0,FALSE),IFERROR(INT(MID(Metadata!E138,15,2))&lt;=59,FALSE)), OR(MID(Metadata!E138,17,1)="", AND(AND(MID(Metadata!E138,17,1)=":",IFERROR(INT(MID(Metadata!E138,18,1))&gt;=0,FALSE),IFERROR(INT(MID(Metadata!E138,18,1))&lt;=5,FALSE),NOT(MID(Metadata!E138,19,1)=""),IFERROR(INT(MID(Metadata!E138,18,2))&gt;=0,FALSE),IFERROR(INT(MID(Metadata!E138,18,2))&lt;=59,FALSE)), LEN(Metadata!E138)&lt;=19)))))))))))))</f>
        <v>0</v>
      </c>
      <c r="AS138" t="b">
        <f>IF(Metadata!F138="",FALSE,TRUE)</f>
        <v>0</v>
      </c>
      <c r="AT138" t="b">
        <f>OR(AND(IF(Metadata!G138="",FALSE,TRUE),OR(EXACT(Metadata!G138,"not collected"),EXACT(Metadata!G138,"not provided"))),AND(IF(Metadata!G138="",FALSE,TRUE),OR(EXACT(Metadata!G138,"TRUE"),EXACT(Metadata!G138,"FALSE"))))</f>
        <v>0</v>
      </c>
      <c r="AU138" t="b">
        <f>OR(AND(IF(Metadata!H138="",FALSE,TRUE),OR(EXACT(Metadata!H138,"not collected"),EXACT(Metadata!H138,"not provided"),EXACT(Metadata!H138,"restricted access"))),AND(IF(Metadata!H138="",FALSE,ISNUMBER(VALUE(Metadata!H138))),Metadata!H138&gt;=-413))</f>
        <v>0</v>
      </c>
      <c r="AV138" t="b">
        <f>AND(IF(Metadata!I138="",FALSE,TRUE),EXACT(Metadata!I138,"meters"))</f>
        <v>0</v>
      </c>
      <c r="AW138" t="b">
        <f>AND(IF(Metadata!J138="",FALSE,TRUE),EXACT(Metadata!J138,"free-living"))</f>
        <v>0</v>
      </c>
      <c r="AX138" t="b">
        <f>AND(IF(Metadata!K138="",FALSE,TRUE),OR(EXACT(Metadata!K138,"saline"),EXACT(Metadata!K138,"non-saline")))</f>
        <v>0</v>
      </c>
      <c r="AY138" t="b">
        <f>AND(IF(Metadata!L138="",FALSE,TRUE),OR(EXACT(Metadata!L138,"sub-surface (non-saline)"),EXACT(Metadata!L138,"surface (non-saline)"),EXACT(Metadata!L138,"water (non-saline)"),EXACT(Metadata!L138,"soil (non-saline)"),EXACT(Metadata!L138,"aerosol (non-saline)"),EXACT(Metadata!L138,"sediment (non-saline)"),EXACT(Metadata!L138,"surface (saline)"),EXACT(Metadata!L138,"water (saline)"),EXACT(Metadata!L138,"hypersaline (saline)"),EXACT(Metadata!L138,"aerosol (saline)"),EXACT(Metadata!L138,"sediment (saline)")))</f>
        <v>0</v>
      </c>
      <c r="AZ138" t="b">
        <f>IF(Metadata!M138="",FALSE,TRUE)</f>
        <v>0</v>
      </c>
      <c r="BA138" t="b">
        <f>IF(Metadata!N138="",FALSE,TRUE)</f>
        <v>0</v>
      </c>
      <c r="BB138" t="b">
        <f>IF(Metadata!O138="",FALSE,TRUE)</f>
        <v>0</v>
      </c>
      <c r="BC138" t="b">
        <f>AND(IF(Metadata!P138="",FALSE,TRUE),OR(EXACT(Metadata!P138,"air"),EXACT(Metadata!P138,"microbial mat/biofilm"),EXACT(Metadata!P138,"misc environment"),EXACT(Metadata!P138,"sediment"),EXACT(Metadata!P138,"soil"),EXACT(Metadata!P138,"wastewater/sludge"),EXACT(Metadata!P138,"water")))</f>
        <v>0</v>
      </c>
      <c r="BD138" t="b">
        <f>IF(Metadata!Q138="",FALSE,TRUE)</f>
        <v>0</v>
      </c>
      <c r="BE138" t="b">
        <f>IF(Metadata!R138="",FALSE,TRUE)</f>
        <v>0</v>
      </c>
      <c r="BF138" t="b">
        <f>OR(AND(IF(Metadata!S138="",FALSE,TRUE),OR(EXACT(Metadata!S138,"not collected"),EXACT(Metadata!S138,"not provided"),EXACT(Metadata!S138,"restricted access"))),AND(IF(Metadata!S138="",FALSE,ISNUMBER(VALUE(Metadata!S138))),Metadata!S138&gt;=-90,Metadata!S138&lt;=90))</f>
        <v>0</v>
      </c>
      <c r="BG138" t="b">
        <f>AND(IF(Metadata!T138="",FALSE,TRUE),EXACT(Metadata!T138,"Decimal degrees"))</f>
        <v>0</v>
      </c>
      <c r="BH138" t="b">
        <f>OR(AND(IF(Metadata!U138="",FALSE,TRUE),OR(EXACT(Metadata!U138,"not applicable"),EXACT(Metadata!U138,"not collected"))),IF(Metadata!U138="",FALSE,TRUE))</f>
        <v>0</v>
      </c>
      <c r="BI138" t="b">
        <f>OR(AND(IF(Metadata!V138="",FALSE,TRUE),OR(EXACT(Metadata!V138,"not collected"),EXACT(Metadata!V138,"not provided"),EXACT(Metadata!V138,"restricted access"))),AND(IF(Metadata!V138="",FALSE,ISNUMBER(VALUE(Metadata!V138))),Metadata!V138&gt;=-180,Metadata!V138&lt;=180))</f>
        <v>0</v>
      </c>
      <c r="BJ138" t="b">
        <f>AND(IF(Metadata!W138="",FALSE,TRUE),EXACT(Metadata!W138,"Decimal degrees"))</f>
        <v>0</v>
      </c>
      <c r="BK138" t="b">
        <f>IF(Metadata!X138="",FALSE,TRUE)</f>
        <v>0</v>
      </c>
      <c r="BL138" t="b">
        <f>OR(AND(IF(Metadata!Y138="",FALSE,TRUE),OR(EXACT(Metadata!Y138,"not collected"),EXACT(Metadata!Y138,"not provided"),EXACT(Metadata!Y138,"restricted access"))),AND(IF(Metadata!Y138="",FALSE,TRUE),OR(EXACT(Metadata!Y138,"TRUE"),EXACT(Metadata!Y138,"FALSE"))))</f>
        <v>0</v>
      </c>
      <c r="BM138" t="b">
        <f>OR(AND(IF(Metadata!Z138="",FALSE,TRUE),EXACT(Metadata!Z138,"not applicable")),AND(IF(Metadata!Z138="",FALSE,TRUE),OR(EXACT(Metadata!Z138,"beer"),EXACT(Metadata!Z138,"cheese"),EXACT(Metadata!Z138,"fresh water"),EXACT(Metadata!Z138,"marine sediment"),EXACT(Metadata!Z138,"sea water"),EXACT(Metadata!Z138,"sediment"),EXACT(Metadata!Z138,"soil"),EXACT(Metadata!Z138,"waste water"))))</f>
        <v>0</v>
      </c>
      <c r="BN138" t="b">
        <f>AND(IF(Metadata!AA138="",FALSE,TRUE),EXACT(Metadata!AA138,"metagenome"))</f>
        <v>0</v>
      </c>
      <c r="BO138" t="b">
        <f>AND(IF(Metadata!AB138="",FALSE,TRUE),EXACT(Metadata!AB138,"256318"))</f>
        <v>0</v>
      </c>
      <c r="BP138" t="b">
        <f>IF(Metadata!AC138="",FALSE,TRUE)</f>
        <v>0</v>
      </c>
      <c r="BQ138" t="b">
        <f>IF(Metadata!AD138="",FALSE,TRUE)</f>
        <v>0</v>
      </c>
    </row>
    <row r="139" spans="1:69" x14ac:dyDescent="0.2">
      <c r="A139" s="4" t="e">
        <f ca="1">IF(B139=" "," ",HYPERLINK(CONCATENATE("#metadata!",ADDRESS(INDEX($AJ$2:$AJ$1001,MATCH(ROWS($AH$2:AH139),$AH$2:$AH$1001,0),0),2)),INDEX($AM$2:$AM$1001,MATCH(ROWS($AH$2:AH139),$AH$2:$AH$1001,0),0)))</f>
        <v>#N/A</v>
      </c>
      <c r="B139" s="5" t="e">
        <f ca="1">IF(OR(INDEX($AI$2:$AI$1001,MATCH(ROWS($AH$2:AH139),$AH$2:$AH$1001,0),1)&gt;=100000,INDEX($AO$1005:$BQ$1005,1,MATCH(COLUMNS($AO$1006:AO1006),$AO$1006:$BQ$1006,0))&gt;=100000), " ",IF(INDEX($AO$2:$BQ$1001,MATCH(ROWS($AH$2:AH139),$AH$2:$AH$1001,0),MATCH(COLUMNS($AO$1006:AO1006),$AO$1006:$BQ$1006,0)), HYPERLINK("#",""), HYPERLINK(CONCATENATE("#Metadata!", ADDRESS(INDEX($AJ$2:$AJ$1001,MATCH(ROWS($AH$2:AH139),$AH$2:$AH$1001,0),0), INDEX($AO$1004:$BQ$1004,1,MATCH(COLUMNS($AO$1006:AO1006),$AO$1006:$BQ$1006,0)))),"Fix")))</f>
        <v>#N/A</v>
      </c>
      <c r="C139" s="5" t="e">
        <f ca="1">IF(OR(INDEX($AI$2:$AI$1001,MATCH(ROWS($AH$2:AH139),$AH$2:$AH$1001,0),1)&gt;=100000,INDEX($AO$1005:$BQ$1005,1,MATCH(COLUMNS($AO$1006:AP1006),$AO$1006:$BQ$1006,0))&gt;=100000), " ",IF(INDEX($AO$2:$BQ$1001,MATCH(ROWS($AH$2:AH139),$AH$2:$AH$1001,0),MATCH(COLUMNS($AO$1006:AP1006),$AO$1006:$BQ$1006,0)), HYPERLINK("#",""), HYPERLINK(CONCATENATE("#Metadata!", ADDRESS(INDEX($AJ$2:$AJ$1001,MATCH(ROWS($AH$2:AH139),$AH$2:$AH$1001,0),0), INDEX($AO$1004:$BQ$1004,1,MATCH(COLUMNS($AO$1006:AP1006),$AO$1006:$BQ$1006,0)))),"Fix")))</f>
        <v>#N/A</v>
      </c>
      <c r="D139" s="5" t="e">
        <f ca="1">IF(OR(INDEX($AI$2:$AI$1001,MATCH(ROWS($AH$2:AH139),$AH$2:$AH$1001,0),1)&gt;=100000,INDEX($AO$1005:$BQ$1005,1,MATCH(COLUMNS($AO$1006:AQ1006),$AO$1006:$BQ$1006,0))&gt;=100000), " ",IF(INDEX($AO$2:$BQ$1001,MATCH(ROWS($AH$2:AH139),$AH$2:$AH$1001,0),MATCH(COLUMNS($AO$1006:AQ1006),$AO$1006:$BQ$1006,0)), HYPERLINK("#",""), HYPERLINK(CONCATENATE("#Metadata!", ADDRESS(INDEX($AJ$2:$AJ$1001,MATCH(ROWS($AH$2:AH139),$AH$2:$AH$1001,0),0), INDEX($AO$1004:$BQ$1004,1,MATCH(COLUMNS($AO$1006:AQ1006),$AO$1006:$BQ$1006,0)))),"Fix")))</f>
        <v>#N/A</v>
      </c>
      <c r="E139" s="5" t="e">
        <f ca="1">IF(OR(INDEX($AI$2:$AI$1001,MATCH(ROWS($AH$2:AH139),$AH$2:$AH$1001,0),1)&gt;=100000,INDEX($AO$1005:$BQ$1005,1,MATCH(COLUMNS($AO$1006:AR1006),$AO$1006:$BQ$1006,0))&gt;=100000), " ",IF(INDEX($AO$2:$BQ$1001,MATCH(ROWS($AH$2:AH139),$AH$2:$AH$1001,0),MATCH(COLUMNS($AO$1006:AR1006),$AO$1006:$BQ$1006,0)), HYPERLINK("#",""), HYPERLINK(CONCATENATE("#Metadata!", ADDRESS(INDEX($AJ$2:$AJ$1001,MATCH(ROWS($AH$2:AH139),$AH$2:$AH$1001,0),0), INDEX($AO$1004:$BQ$1004,1,MATCH(COLUMNS($AO$1006:AR1006),$AO$1006:$BQ$1006,0)))),"Fix")))</f>
        <v>#N/A</v>
      </c>
      <c r="F139" s="5" t="e">
        <f ca="1">IF(OR(INDEX($AI$2:$AI$1001,MATCH(ROWS($AH$2:AH139),$AH$2:$AH$1001,0),1)&gt;=100000,INDEX($AO$1005:$BQ$1005,1,MATCH(COLUMNS($AO$1006:AS1006),$AO$1006:$BQ$1006,0))&gt;=100000), " ",IF(INDEX($AO$2:$BQ$1001,MATCH(ROWS($AH$2:AH139),$AH$2:$AH$1001,0),MATCH(COLUMNS($AO$1006:AS1006),$AO$1006:$BQ$1006,0)), HYPERLINK("#",""), HYPERLINK(CONCATENATE("#Metadata!", ADDRESS(INDEX($AJ$2:$AJ$1001,MATCH(ROWS($AH$2:AH139),$AH$2:$AH$1001,0),0), INDEX($AO$1004:$BQ$1004,1,MATCH(COLUMNS($AO$1006:AS1006),$AO$1006:$BQ$1006,0)))),"Fix")))</f>
        <v>#N/A</v>
      </c>
      <c r="G139" s="5" t="e">
        <f ca="1">IF(OR(INDEX($AI$2:$AI$1001,MATCH(ROWS($AH$2:AH139),$AH$2:$AH$1001,0),1)&gt;=100000,INDEX($AO$1005:$BQ$1005,1,MATCH(COLUMNS($AO$1006:AT1006),$AO$1006:$BQ$1006,0))&gt;=100000), " ",IF(INDEX($AO$2:$BQ$1001,MATCH(ROWS($AH$2:AH139),$AH$2:$AH$1001,0),MATCH(COLUMNS($AO$1006:AT1006),$AO$1006:$BQ$1006,0)), HYPERLINK("#",""), HYPERLINK(CONCATENATE("#Metadata!", ADDRESS(INDEX($AJ$2:$AJ$1001,MATCH(ROWS($AH$2:AH139),$AH$2:$AH$1001,0),0), INDEX($AO$1004:$BQ$1004,1,MATCH(COLUMNS($AO$1006:AT1006),$AO$1006:$BQ$1006,0)))),"Fix")))</f>
        <v>#N/A</v>
      </c>
      <c r="H139" s="5" t="e">
        <f ca="1">IF(OR(INDEX($AI$2:$AI$1001,MATCH(ROWS($AH$2:AH139),$AH$2:$AH$1001,0),1)&gt;=100000,INDEX($AO$1005:$BQ$1005,1,MATCH(COLUMNS($AO$1006:AU1006),$AO$1006:$BQ$1006,0))&gt;=100000), " ",IF(INDEX($AO$2:$BQ$1001,MATCH(ROWS($AH$2:AH139),$AH$2:$AH$1001,0),MATCH(COLUMNS($AO$1006:AU1006),$AO$1006:$BQ$1006,0)), HYPERLINK("#",""), HYPERLINK(CONCATENATE("#Metadata!", ADDRESS(INDEX($AJ$2:$AJ$1001,MATCH(ROWS($AH$2:AH139),$AH$2:$AH$1001,0),0), INDEX($AO$1004:$BQ$1004,1,MATCH(COLUMNS($AO$1006:AU1006),$AO$1006:$BQ$1006,0)))),"Fix")))</f>
        <v>#N/A</v>
      </c>
      <c r="I139" s="5" t="e">
        <f ca="1">IF(OR(INDEX($AI$2:$AI$1001,MATCH(ROWS($AH$2:AH139),$AH$2:$AH$1001,0),1)&gt;=100000,INDEX($AO$1005:$BQ$1005,1,MATCH(COLUMNS($AO$1006:AV1006),$AO$1006:$BQ$1006,0))&gt;=100000), " ",IF(INDEX($AO$2:$BQ$1001,MATCH(ROWS($AH$2:AH139),$AH$2:$AH$1001,0),MATCH(COLUMNS($AO$1006:AV1006),$AO$1006:$BQ$1006,0)), HYPERLINK("#",""), HYPERLINK(CONCATENATE("#Metadata!", ADDRESS(INDEX($AJ$2:$AJ$1001,MATCH(ROWS($AH$2:AH139),$AH$2:$AH$1001,0),0), INDEX($AO$1004:$BQ$1004,1,MATCH(COLUMNS($AO$1006:AV1006),$AO$1006:$BQ$1006,0)))),"Fix")))</f>
        <v>#N/A</v>
      </c>
      <c r="J139" s="5" t="e">
        <f ca="1">IF(OR(INDEX($AI$2:$AI$1001,MATCH(ROWS($AH$2:AH139),$AH$2:$AH$1001,0),1)&gt;=100000,INDEX($AO$1005:$BQ$1005,1,MATCH(COLUMNS($AO$1006:AW1006),$AO$1006:$BQ$1006,0))&gt;=100000), " ",IF(INDEX($AO$2:$BQ$1001,MATCH(ROWS($AH$2:AH139),$AH$2:$AH$1001,0),MATCH(COLUMNS($AO$1006:AW1006),$AO$1006:$BQ$1006,0)), HYPERLINK("#",""), HYPERLINK(CONCATENATE("#Metadata!", ADDRESS(INDEX($AJ$2:$AJ$1001,MATCH(ROWS($AH$2:AH139),$AH$2:$AH$1001,0),0), INDEX($AO$1004:$BQ$1004,1,MATCH(COLUMNS($AO$1006:AW1006),$AO$1006:$BQ$1006,0)))),"Fix")))</f>
        <v>#N/A</v>
      </c>
      <c r="K139" s="5" t="e">
        <f ca="1">IF(OR(INDEX($AI$2:$AI$1001,MATCH(ROWS($AH$2:AH139),$AH$2:$AH$1001,0),1)&gt;=100000,INDEX($AO$1005:$BQ$1005,1,MATCH(COLUMNS($AO$1006:AX1006),$AO$1006:$BQ$1006,0))&gt;=100000), " ",IF(INDEX($AO$2:$BQ$1001,MATCH(ROWS($AH$2:AH139),$AH$2:$AH$1001,0),MATCH(COLUMNS($AO$1006:AX1006),$AO$1006:$BQ$1006,0)), HYPERLINK("#",""), HYPERLINK(CONCATENATE("#Metadata!", ADDRESS(INDEX($AJ$2:$AJ$1001,MATCH(ROWS($AH$2:AH139),$AH$2:$AH$1001,0),0), INDEX($AO$1004:$BQ$1004,1,MATCH(COLUMNS($AO$1006:AX1006),$AO$1006:$BQ$1006,0)))),"Fix")))</f>
        <v>#N/A</v>
      </c>
      <c r="L139" s="5" t="e">
        <f ca="1">IF(OR(INDEX($AI$2:$AI$1001,MATCH(ROWS($AH$2:AH139),$AH$2:$AH$1001,0),1)&gt;=100000,INDEX($AO$1005:$BQ$1005,1,MATCH(COLUMNS($AO$1006:AY1006),$AO$1006:$BQ$1006,0))&gt;=100000), " ",IF(INDEX($AO$2:$BQ$1001,MATCH(ROWS($AH$2:AH139),$AH$2:$AH$1001,0),MATCH(COLUMNS($AO$1006:AY1006),$AO$1006:$BQ$1006,0)), HYPERLINK("#",""), HYPERLINK(CONCATENATE("#Metadata!", ADDRESS(INDEX($AJ$2:$AJ$1001,MATCH(ROWS($AH$2:AH139),$AH$2:$AH$1001,0),0), INDEX($AO$1004:$BQ$1004,1,MATCH(COLUMNS($AO$1006:AY1006),$AO$1006:$BQ$1006,0)))),"Fix")))</f>
        <v>#N/A</v>
      </c>
      <c r="M139" s="5" t="e">
        <f ca="1">IF(OR(INDEX($AI$2:$AI$1001,MATCH(ROWS($AH$2:AH139),$AH$2:$AH$1001,0),1)&gt;=100000,INDEX($AO$1005:$BQ$1005,1,MATCH(COLUMNS($AO$1006:AZ1006),$AO$1006:$BQ$1006,0))&gt;=100000), " ",IF(INDEX($AO$2:$BQ$1001,MATCH(ROWS($AH$2:AH139),$AH$2:$AH$1001,0),MATCH(COLUMNS($AO$1006:AZ1006),$AO$1006:$BQ$1006,0)), HYPERLINK("#",""), HYPERLINK(CONCATENATE("#Metadata!", ADDRESS(INDEX($AJ$2:$AJ$1001,MATCH(ROWS($AH$2:AH139),$AH$2:$AH$1001,0),0), INDEX($AO$1004:$BQ$1004,1,MATCH(COLUMNS($AO$1006:AZ1006),$AO$1006:$BQ$1006,0)))),"Fix")))</f>
        <v>#N/A</v>
      </c>
      <c r="N139" s="5" t="e">
        <f ca="1">IF(OR(INDEX($AI$2:$AI$1001,MATCH(ROWS($AH$2:AH139),$AH$2:$AH$1001,0),1)&gt;=100000,INDEX($AO$1005:$BQ$1005,1,MATCH(COLUMNS($AO$1006:BA1006),$AO$1006:$BQ$1006,0))&gt;=100000), " ",IF(INDEX($AO$2:$BQ$1001,MATCH(ROWS($AH$2:AH139),$AH$2:$AH$1001,0),MATCH(COLUMNS($AO$1006:BA1006),$AO$1006:$BQ$1006,0)), HYPERLINK("#",""), HYPERLINK(CONCATENATE("#Metadata!", ADDRESS(INDEX($AJ$2:$AJ$1001,MATCH(ROWS($AH$2:AH139),$AH$2:$AH$1001,0),0), INDEX($AO$1004:$BQ$1004,1,MATCH(COLUMNS($AO$1006:BA1006),$AO$1006:$BQ$1006,0)))),"Fix")))</f>
        <v>#N/A</v>
      </c>
      <c r="O139" s="5" t="e">
        <f ca="1">IF(OR(INDEX($AI$2:$AI$1001,MATCH(ROWS($AH$2:AH139),$AH$2:$AH$1001,0),1)&gt;=100000,INDEX($AO$1005:$BQ$1005,1,MATCH(COLUMNS($AO$1006:BB1006),$AO$1006:$BQ$1006,0))&gt;=100000), " ",IF(INDEX($AO$2:$BQ$1001,MATCH(ROWS($AH$2:AH139),$AH$2:$AH$1001,0),MATCH(COLUMNS($AO$1006:BB1006),$AO$1006:$BQ$1006,0)), HYPERLINK("#",""), HYPERLINK(CONCATENATE("#Metadata!", ADDRESS(INDEX($AJ$2:$AJ$1001,MATCH(ROWS($AH$2:AH139),$AH$2:$AH$1001,0),0), INDEX($AO$1004:$BQ$1004,1,MATCH(COLUMNS($AO$1006:BB1006),$AO$1006:$BQ$1006,0)))),"Fix")))</f>
        <v>#N/A</v>
      </c>
      <c r="P139" s="5" t="e">
        <f ca="1">IF(OR(INDEX($AI$2:$AI$1001,MATCH(ROWS($AH$2:AH139),$AH$2:$AH$1001,0),1)&gt;=100000,INDEX($AO$1005:$BQ$1005,1,MATCH(COLUMNS($AO$1006:BC1006),$AO$1006:$BQ$1006,0))&gt;=100000), " ",IF(INDEX($AO$2:$BQ$1001,MATCH(ROWS($AH$2:AH139),$AH$2:$AH$1001,0),MATCH(COLUMNS($AO$1006:BC1006),$AO$1006:$BQ$1006,0)), HYPERLINK("#",""), HYPERLINK(CONCATENATE("#Metadata!", ADDRESS(INDEX($AJ$2:$AJ$1001,MATCH(ROWS($AH$2:AH139),$AH$2:$AH$1001,0),0), INDEX($AO$1004:$BQ$1004,1,MATCH(COLUMNS($AO$1006:BC1006),$AO$1006:$BQ$1006,0)))),"Fix")))</f>
        <v>#N/A</v>
      </c>
      <c r="Q139" s="5" t="e">
        <f ca="1">IF(OR(INDEX($AI$2:$AI$1001,MATCH(ROWS($AH$2:AH139),$AH$2:$AH$1001,0),1)&gt;=100000,INDEX($AO$1005:$BQ$1005,1,MATCH(COLUMNS($AO$1006:BD1006),$AO$1006:$BQ$1006,0))&gt;=100000), " ",IF(INDEX($AO$2:$BQ$1001,MATCH(ROWS($AH$2:AH139),$AH$2:$AH$1001,0),MATCH(COLUMNS($AO$1006:BD1006),$AO$1006:$BQ$1006,0)), HYPERLINK("#",""), HYPERLINK(CONCATENATE("#Metadata!", ADDRESS(INDEX($AJ$2:$AJ$1001,MATCH(ROWS($AH$2:AH139),$AH$2:$AH$1001,0),0), INDEX($AO$1004:$BQ$1004,1,MATCH(COLUMNS($AO$1006:BD1006),$AO$1006:$BQ$1006,0)))),"Fix")))</f>
        <v>#N/A</v>
      </c>
      <c r="R139" s="5" t="e">
        <f ca="1">IF(OR(INDEX($AI$2:$AI$1001,MATCH(ROWS($AH$2:AH139),$AH$2:$AH$1001,0),1)&gt;=100000,INDEX($AO$1005:$BQ$1005,1,MATCH(COLUMNS($AO$1006:BE1006),$AO$1006:$BQ$1006,0))&gt;=100000), " ",IF(INDEX($AO$2:$BQ$1001,MATCH(ROWS($AH$2:AH139),$AH$2:$AH$1001,0),MATCH(COLUMNS($AO$1006:BE1006),$AO$1006:$BQ$1006,0)), HYPERLINK("#",""), HYPERLINK(CONCATENATE("#Metadata!", ADDRESS(INDEX($AJ$2:$AJ$1001,MATCH(ROWS($AH$2:AH139),$AH$2:$AH$1001,0),0), INDEX($AO$1004:$BQ$1004,1,MATCH(COLUMNS($AO$1006:BE1006),$AO$1006:$BQ$1006,0)))),"Fix")))</f>
        <v>#N/A</v>
      </c>
      <c r="S139" s="5" t="e">
        <f ca="1">IF(OR(INDEX($AI$2:$AI$1001,MATCH(ROWS($AH$2:AH139),$AH$2:$AH$1001,0),1)&gt;=100000,INDEX($AO$1005:$BQ$1005,1,MATCH(COLUMNS($AO$1006:BF1006),$AO$1006:$BQ$1006,0))&gt;=100000), " ",IF(INDEX($AO$2:$BQ$1001,MATCH(ROWS($AH$2:AH139),$AH$2:$AH$1001,0),MATCH(COLUMNS($AO$1006:BF1006),$AO$1006:$BQ$1006,0)), HYPERLINK("#",""), HYPERLINK(CONCATENATE("#Metadata!", ADDRESS(INDEX($AJ$2:$AJ$1001,MATCH(ROWS($AH$2:AH139),$AH$2:$AH$1001,0),0), INDEX($AO$1004:$BQ$1004,1,MATCH(COLUMNS($AO$1006:BF1006),$AO$1006:$BQ$1006,0)))),"Fix")))</f>
        <v>#N/A</v>
      </c>
      <c r="T139" s="5" t="e">
        <f ca="1">IF(OR(INDEX($AI$2:$AI$1001,MATCH(ROWS($AH$2:AH139),$AH$2:$AH$1001,0),1)&gt;=100000,INDEX($AO$1005:$BQ$1005,1,MATCH(COLUMNS($AO$1006:BG1006),$AO$1006:$BQ$1006,0))&gt;=100000), " ",IF(INDEX($AO$2:$BQ$1001,MATCH(ROWS($AH$2:AH139),$AH$2:$AH$1001,0),MATCH(COLUMNS($AO$1006:BG1006),$AO$1006:$BQ$1006,0)), HYPERLINK("#",""), HYPERLINK(CONCATENATE("#Metadata!", ADDRESS(INDEX($AJ$2:$AJ$1001,MATCH(ROWS($AH$2:AH139),$AH$2:$AH$1001,0),0), INDEX($AO$1004:$BQ$1004,1,MATCH(COLUMNS($AO$1006:BG1006),$AO$1006:$BQ$1006,0)))),"Fix")))</f>
        <v>#N/A</v>
      </c>
      <c r="U139" s="5" t="e">
        <f ca="1">IF(OR(INDEX($AI$2:$AI$1001,MATCH(ROWS($AH$2:AH139),$AH$2:$AH$1001,0),1)&gt;=100000,INDEX($AO$1005:$BQ$1005,1,MATCH(COLUMNS($AO$1006:BH1006),$AO$1006:$BQ$1006,0))&gt;=100000), " ",IF(INDEX($AO$2:$BQ$1001,MATCH(ROWS($AH$2:AH139),$AH$2:$AH$1001,0),MATCH(COLUMNS($AO$1006:BH1006),$AO$1006:$BQ$1006,0)), HYPERLINK("#",""), HYPERLINK(CONCATENATE("#Metadata!", ADDRESS(INDEX($AJ$2:$AJ$1001,MATCH(ROWS($AH$2:AH139),$AH$2:$AH$1001,0),0), INDEX($AO$1004:$BQ$1004,1,MATCH(COLUMNS($AO$1006:BH1006),$AO$1006:$BQ$1006,0)))),"Fix")))</f>
        <v>#N/A</v>
      </c>
      <c r="V139" s="5" t="e">
        <f ca="1">IF(OR(INDEX($AI$2:$AI$1001,MATCH(ROWS($AH$2:AH139),$AH$2:$AH$1001,0),1)&gt;=100000,INDEX($AO$1005:$BQ$1005,1,MATCH(COLUMNS($AO$1006:BI1006),$AO$1006:$BQ$1006,0))&gt;=100000), " ",IF(INDEX($AO$2:$BQ$1001,MATCH(ROWS($AH$2:AH139),$AH$2:$AH$1001,0),MATCH(COLUMNS($AO$1006:BI1006),$AO$1006:$BQ$1006,0)), HYPERLINK("#",""), HYPERLINK(CONCATENATE("#Metadata!", ADDRESS(INDEX($AJ$2:$AJ$1001,MATCH(ROWS($AH$2:AH139),$AH$2:$AH$1001,0),0), INDEX($AO$1004:$BQ$1004,1,MATCH(COLUMNS($AO$1006:BI1006),$AO$1006:$BQ$1006,0)))),"Fix")))</f>
        <v>#N/A</v>
      </c>
      <c r="W139" s="5" t="e">
        <f ca="1">IF(OR(INDEX($AI$2:$AI$1001,MATCH(ROWS($AH$2:AH139),$AH$2:$AH$1001,0),1)&gt;=100000,INDEX($AO$1005:$BQ$1005,1,MATCH(COLUMNS($AO$1006:BJ1006),$AO$1006:$BQ$1006,0))&gt;=100000), " ",IF(INDEX($AO$2:$BQ$1001,MATCH(ROWS($AH$2:AH139),$AH$2:$AH$1001,0),MATCH(COLUMNS($AO$1006:BJ1006),$AO$1006:$BQ$1006,0)), HYPERLINK("#",""), HYPERLINK(CONCATENATE("#Metadata!", ADDRESS(INDEX($AJ$2:$AJ$1001,MATCH(ROWS($AH$2:AH139),$AH$2:$AH$1001,0),0), INDEX($AO$1004:$BQ$1004,1,MATCH(COLUMNS($AO$1006:BJ1006),$AO$1006:$BQ$1006,0)))),"Fix")))</f>
        <v>#N/A</v>
      </c>
      <c r="X139" s="5" t="e">
        <f ca="1">IF(OR(INDEX($AI$2:$AI$1001,MATCH(ROWS($AH$2:AH139),$AH$2:$AH$1001,0),1)&gt;=100000,INDEX($AO$1005:$BQ$1005,1,MATCH(COLUMNS($AO$1006:BK1006),$AO$1006:$BQ$1006,0))&gt;=100000), " ",IF(INDEX($AO$2:$BQ$1001,MATCH(ROWS($AH$2:AH139),$AH$2:$AH$1001,0),MATCH(COLUMNS($AO$1006:BK1006),$AO$1006:$BQ$1006,0)), HYPERLINK("#",""), HYPERLINK(CONCATENATE("#Metadata!", ADDRESS(INDEX($AJ$2:$AJ$1001,MATCH(ROWS($AH$2:AH139),$AH$2:$AH$1001,0),0), INDEX($AO$1004:$BQ$1004,1,MATCH(COLUMNS($AO$1006:BK1006),$AO$1006:$BQ$1006,0)))),"Fix")))</f>
        <v>#N/A</v>
      </c>
      <c r="Y139" s="5" t="e">
        <f ca="1">IF(OR(INDEX($AI$2:$AI$1001,MATCH(ROWS($AH$2:AH139),$AH$2:$AH$1001,0),1)&gt;=100000,INDEX($AO$1005:$BQ$1005,1,MATCH(COLUMNS($AO$1006:BL1006),$AO$1006:$BQ$1006,0))&gt;=100000), " ",IF(INDEX($AO$2:$BQ$1001,MATCH(ROWS($AH$2:AH139),$AH$2:$AH$1001,0),MATCH(COLUMNS($AO$1006:BL1006),$AO$1006:$BQ$1006,0)), HYPERLINK("#",""), HYPERLINK(CONCATENATE("#Metadata!", ADDRESS(INDEX($AJ$2:$AJ$1001,MATCH(ROWS($AH$2:AH139),$AH$2:$AH$1001,0),0), INDEX($AO$1004:$BQ$1004,1,MATCH(COLUMNS($AO$1006:BL1006),$AO$1006:$BQ$1006,0)))),"Fix")))</f>
        <v>#N/A</v>
      </c>
      <c r="Z139" s="5" t="e">
        <f ca="1">IF(OR(INDEX($AI$2:$AI$1001,MATCH(ROWS($AH$2:AH139),$AH$2:$AH$1001,0),1)&gt;=100000,INDEX($AO$1005:$BQ$1005,1,MATCH(COLUMNS($AO$1006:BM1006),$AO$1006:$BQ$1006,0))&gt;=100000), " ",IF(INDEX($AO$2:$BQ$1001,MATCH(ROWS($AH$2:AH139),$AH$2:$AH$1001,0),MATCH(COLUMNS($AO$1006:BM1006),$AO$1006:$BQ$1006,0)), HYPERLINK("#",""), HYPERLINK(CONCATENATE("#Metadata!", ADDRESS(INDEX($AJ$2:$AJ$1001,MATCH(ROWS($AH$2:AH139),$AH$2:$AH$1001,0),0), INDEX($AO$1004:$BQ$1004,1,MATCH(COLUMNS($AO$1006:BM1006),$AO$1006:$BQ$1006,0)))),"Fix")))</f>
        <v>#N/A</v>
      </c>
      <c r="AA139" s="5" t="e">
        <f ca="1">IF(OR(INDEX($AI$2:$AI$1001,MATCH(ROWS($AH$2:AH139),$AH$2:$AH$1001,0),1)&gt;=100000,INDEX($AO$1005:$BQ$1005,1,MATCH(COLUMNS($AO$1006:BN1006),$AO$1006:$BQ$1006,0))&gt;=100000), " ",IF(INDEX($AO$2:$BQ$1001,MATCH(ROWS($AH$2:AH139),$AH$2:$AH$1001,0),MATCH(COLUMNS($AO$1006:BN1006),$AO$1006:$BQ$1006,0)), HYPERLINK("#",""), HYPERLINK(CONCATENATE("#Metadata!", ADDRESS(INDEX($AJ$2:$AJ$1001,MATCH(ROWS($AH$2:AH139),$AH$2:$AH$1001,0),0), INDEX($AO$1004:$BQ$1004,1,MATCH(COLUMNS($AO$1006:BN1006),$AO$1006:$BQ$1006,0)))),"Fix")))</f>
        <v>#N/A</v>
      </c>
      <c r="AB139" s="5" t="e">
        <f ca="1">IF(OR(INDEX($AI$2:$AI$1001,MATCH(ROWS($AH$2:AH139),$AH$2:$AH$1001,0),1)&gt;=100000,INDEX($AO$1005:$BQ$1005,1,MATCH(COLUMNS($AO$1006:BO1006),$AO$1006:$BQ$1006,0))&gt;=100000), " ",IF(INDEX($AO$2:$BQ$1001,MATCH(ROWS($AH$2:AH139),$AH$2:$AH$1001,0),MATCH(COLUMNS($AO$1006:BO1006),$AO$1006:$BQ$1006,0)), HYPERLINK("#",""), HYPERLINK(CONCATENATE("#Metadata!", ADDRESS(INDEX($AJ$2:$AJ$1001,MATCH(ROWS($AH$2:AH139),$AH$2:$AH$1001,0),0), INDEX($AO$1004:$BQ$1004,1,MATCH(COLUMNS($AO$1006:BO1006),$AO$1006:$BQ$1006,0)))),"Fix")))</f>
        <v>#N/A</v>
      </c>
      <c r="AC139" s="5" t="e">
        <f ca="1">IF(OR(INDEX($AI$2:$AI$1001,MATCH(ROWS($AH$2:AH139),$AH$2:$AH$1001,0),1)&gt;=100000,INDEX($AO$1005:$BQ$1005,1,MATCH(COLUMNS($AO$1006:BP1006),$AO$1006:$BQ$1006,0))&gt;=100000), " ",IF(INDEX($AO$2:$BQ$1001,MATCH(ROWS($AH$2:AH139),$AH$2:$AH$1001,0),MATCH(COLUMNS($AO$1006:BP1006),$AO$1006:$BQ$1006,0)), HYPERLINK("#",""), HYPERLINK(CONCATENATE("#Metadata!", ADDRESS(INDEX($AJ$2:$AJ$1001,MATCH(ROWS($AH$2:AH139),$AH$2:$AH$1001,0),0), INDEX($AO$1004:$BQ$1004,1,MATCH(COLUMNS($AO$1006:BP1006),$AO$1006:$BQ$1006,0)))),"Fix")))</f>
        <v>#N/A</v>
      </c>
      <c r="AD139" s="5" t="e">
        <f ca="1">IF(OR(INDEX($AI$2:$AI$1001,MATCH(ROWS($AH$2:AH139),$AH$2:$AH$1001,0),1)&gt;=100000,INDEX($AO$1005:$BQ$1005,1,MATCH(COLUMNS($AO$1006:BQ1006),$AO$1006:$BQ$1006,0))&gt;=100000), " ",IF(INDEX($AO$2:$BQ$1001,MATCH(ROWS($AH$2:AH139),$AH$2:$AH$1001,0),MATCH(COLUMNS($AO$1006:BQ1006),$AO$1006:$BQ$1006,0)), HYPERLINK("#",""), HYPERLINK(CONCATENATE("#Metadata!", ADDRESS(INDEX($AJ$2:$AJ$1001,MATCH(ROWS($AH$2:AH139),$AH$2:$AH$1001,0),0), INDEX($AO$1004:$BQ$1004,1,MATCH(COLUMNS($AO$1006:BQ1006),$AO$1006:$BQ$1006,0)))),"Fix")))</f>
        <v>#REF!</v>
      </c>
      <c r="AH139">
        <f ca="1"/>
        <v>136</v>
      </c>
      <c r="AI139">
        <v>100139</v>
      </c>
      <c r="AJ139">
        <v>139</v>
      </c>
      <c r="AK139" t="b">
        <f t="shared" si="2"/>
        <v>1</v>
      </c>
      <c r="AL139" t="b">
        <f>COUNTBLANK(Metadata!B139:AD139)=COLUMNS(Metadata!B139:AD139)</f>
        <v>1</v>
      </c>
      <c r="AM139" t="str">
        <v/>
      </c>
      <c r="AO139" t="b">
        <f ca="1">AND(IF(Metadata!B139="",FALSE,TRUE),COUNTIF(Metadata!B:B, Metadata!B139) = 1,NOT(ISERROR(SUMPRODUCT(SEARCH(MID(Metadata!B139,ROW(INDIRECT("1:"&amp;LEN(Metadata!B139))), 1),"0123456789abcdefghijklmnopqrstuvwxyzABCDEFGHIJKLMNOPQRSTUVWXYZ.")))))</f>
        <v>0</v>
      </c>
      <c r="AP139" t="b">
        <f>IF(Metadata!C139="",FALSE,TRUE)</f>
        <v>0</v>
      </c>
      <c r="AQ139" t="b">
        <f>IF(Metadata!D139="",FALSE,TRUE)</f>
        <v>0</v>
      </c>
      <c r="AR139" t="b">
        <f ca="1">OR(AND(IF(Metadata!E139="",FALSE,TRUE),OR(EXACT(Metadata!E139,"not collected"),EXACT(Metadata!E139,"not provided"),EXACT(Metadata!E139,"restricted access"))),AND(IF(Metadata!E139="",FALSE,TRUE),AND(AND(IFERROR(INT(LEFT(Metadata!E139,4))&gt;1900,FALSE),IFERROR(INT(LEFT(Metadata!E139,4))&lt;=YEAR(NOW()),FALSE)), OR(MID(Metadata!E139,5,1)="", AND(AND(MID(Metadata!E139,5,1)="-",IFERROR(INT(MID(Metadata!E139,6,1))&gt;=0,FALSE),IFERROR(INT(MID(Metadata!E139,6,1))&lt;=1,FALSE),NOT(MID(Metadata!E139,7,1)=""),IFERROR(INT(MID(Metadata!E139,6,2))&gt;=1,FALSE),IFERROR(INT(MID(Metadata!E139,6,2))&lt;=12,FALSE)), OR(MID(Metadata!E139,8,1)="", AND(AND(MID(Metadata!E139,8,1)="-",IFERROR(INT(MID(Metadata!E139,9,1))&gt;=0,FALSE),IFERROR(INT(MID(Metadata!E139,9,1))&lt;=3,FALSE),NOT(MID(Metadata!E139,10,1)=""),IFERROR(INT(MID(Metadata!E139,9,2))&gt;=1,FALSE),IFERROR(INT(MID(Metadata!E139,9,2))&lt;=31,FALSE)), OR(MID(Metadata!E139,11,1)="", AND(AND(MID(Metadata!E139,11,1)=" ",IFERROR(INT(MID(Metadata!E139,12,1))&gt;=0,FALSE),IFERROR(INT(MID(Metadata!E139,12,1))&lt;=2,FALSE),NOT(MID(Metadata!E139,13,1)=""),IFERROR(INT(MID(Metadata!E139,12,2))&gt;=0,FALSE),IFERROR(INT(MID(Metadata!E139,12,2))&lt;=23,FALSE)), OR(MID(Metadata!E139,14,1)="", AND(AND(MID(Metadata!E139,14,1)=":",IFERROR(INT(MID(Metadata!E139,15,1))&gt;=0,FALSE),IFERROR(INT(MID(Metadata!E139,15,1))&lt;=5,FALSE),NOT(MID(Metadata!E139,16,1)=""),IFERROR(INT(MID(Metadata!E139,15,2))&gt;=0,FALSE),IFERROR(INT(MID(Metadata!E139,15,2))&lt;=59,FALSE)), OR(MID(Metadata!E139,17,1)="", AND(AND(MID(Metadata!E139,17,1)=":",IFERROR(INT(MID(Metadata!E139,18,1))&gt;=0,FALSE),IFERROR(INT(MID(Metadata!E139,18,1))&lt;=5,FALSE),NOT(MID(Metadata!E139,19,1)=""),IFERROR(INT(MID(Metadata!E139,18,2))&gt;=0,FALSE),IFERROR(INT(MID(Metadata!E139,18,2))&lt;=59,FALSE)), LEN(Metadata!E139)&lt;=19)))))))))))))</f>
        <v>0</v>
      </c>
      <c r="AS139" t="b">
        <f>IF(Metadata!F139="",FALSE,TRUE)</f>
        <v>0</v>
      </c>
      <c r="AT139" t="b">
        <f>OR(AND(IF(Metadata!G139="",FALSE,TRUE),OR(EXACT(Metadata!G139,"not collected"),EXACT(Metadata!G139,"not provided"))),AND(IF(Metadata!G139="",FALSE,TRUE),OR(EXACT(Metadata!G139,"TRUE"),EXACT(Metadata!G139,"FALSE"))))</f>
        <v>0</v>
      </c>
      <c r="AU139" t="b">
        <f>OR(AND(IF(Metadata!H139="",FALSE,TRUE),OR(EXACT(Metadata!H139,"not collected"),EXACT(Metadata!H139,"not provided"),EXACT(Metadata!H139,"restricted access"))),AND(IF(Metadata!H139="",FALSE,ISNUMBER(VALUE(Metadata!H139))),Metadata!H139&gt;=-413))</f>
        <v>0</v>
      </c>
      <c r="AV139" t="b">
        <f>AND(IF(Metadata!I139="",FALSE,TRUE),EXACT(Metadata!I139,"meters"))</f>
        <v>0</v>
      </c>
      <c r="AW139" t="b">
        <f>AND(IF(Metadata!J139="",FALSE,TRUE),EXACT(Metadata!J139,"free-living"))</f>
        <v>0</v>
      </c>
      <c r="AX139" t="b">
        <f>AND(IF(Metadata!K139="",FALSE,TRUE),OR(EXACT(Metadata!K139,"saline"),EXACT(Metadata!K139,"non-saline")))</f>
        <v>0</v>
      </c>
      <c r="AY139" t="b">
        <f>AND(IF(Metadata!L139="",FALSE,TRUE),OR(EXACT(Metadata!L139,"sub-surface (non-saline)"),EXACT(Metadata!L139,"surface (non-saline)"),EXACT(Metadata!L139,"water (non-saline)"),EXACT(Metadata!L139,"soil (non-saline)"),EXACT(Metadata!L139,"aerosol (non-saline)"),EXACT(Metadata!L139,"sediment (non-saline)"),EXACT(Metadata!L139,"surface (saline)"),EXACT(Metadata!L139,"water (saline)"),EXACT(Metadata!L139,"hypersaline (saline)"),EXACT(Metadata!L139,"aerosol (saline)"),EXACT(Metadata!L139,"sediment (saline)")))</f>
        <v>0</v>
      </c>
      <c r="AZ139" t="b">
        <f>IF(Metadata!M139="",FALSE,TRUE)</f>
        <v>0</v>
      </c>
      <c r="BA139" t="b">
        <f>IF(Metadata!N139="",FALSE,TRUE)</f>
        <v>0</v>
      </c>
      <c r="BB139" t="b">
        <f>IF(Metadata!O139="",FALSE,TRUE)</f>
        <v>0</v>
      </c>
      <c r="BC139" t="b">
        <f>AND(IF(Metadata!P139="",FALSE,TRUE),OR(EXACT(Metadata!P139,"air"),EXACT(Metadata!P139,"microbial mat/biofilm"),EXACT(Metadata!P139,"misc environment"),EXACT(Metadata!P139,"sediment"),EXACT(Metadata!P139,"soil"),EXACT(Metadata!P139,"wastewater/sludge"),EXACT(Metadata!P139,"water")))</f>
        <v>0</v>
      </c>
      <c r="BD139" t="b">
        <f>IF(Metadata!Q139="",FALSE,TRUE)</f>
        <v>0</v>
      </c>
      <c r="BE139" t="b">
        <f>IF(Metadata!R139="",FALSE,TRUE)</f>
        <v>0</v>
      </c>
      <c r="BF139" t="b">
        <f>OR(AND(IF(Metadata!S139="",FALSE,TRUE),OR(EXACT(Metadata!S139,"not collected"),EXACT(Metadata!S139,"not provided"),EXACT(Metadata!S139,"restricted access"))),AND(IF(Metadata!S139="",FALSE,ISNUMBER(VALUE(Metadata!S139))),Metadata!S139&gt;=-90,Metadata!S139&lt;=90))</f>
        <v>0</v>
      </c>
      <c r="BG139" t="b">
        <f>AND(IF(Metadata!T139="",FALSE,TRUE),EXACT(Metadata!T139,"Decimal degrees"))</f>
        <v>0</v>
      </c>
      <c r="BH139" t="b">
        <f>OR(AND(IF(Metadata!U139="",FALSE,TRUE),OR(EXACT(Metadata!U139,"not applicable"),EXACT(Metadata!U139,"not collected"))),IF(Metadata!U139="",FALSE,TRUE))</f>
        <v>0</v>
      </c>
      <c r="BI139" t="b">
        <f>OR(AND(IF(Metadata!V139="",FALSE,TRUE),OR(EXACT(Metadata!V139,"not collected"),EXACT(Metadata!V139,"not provided"),EXACT(Metadata!V139,"restricted access"))),AND(IF(Metadata!V139="",FALSE,ISNUMBER(VALUE(Metadata!V139))),Metadata!V139&gt;=-180,Metadata!V139&lt;=180))</f>
        <v>0</v>
      </c>
      <c r="BJ139" t="b">
        <f>AND(IF(Metadata!W139="",FALSE,TRUE),EXACT(Metadata!W139,"Decimal degrees"))</f>
        <v>0</v>
      </c>
      <c r="BK139" t="b">
        <f>IF(Metadata!X139="",FALSE,TRUE)</f>
        <v>0</v>
      </c>
      <c r="BL139" t="b">
        <f>OR(AND(IF(Metadata!Y139="",FALSE,TRUE),OR(EXACT(Metadata!Y139,"not collected"),EXACT(Metadata!Y139,"not provided"),EXACT(Metadata!Y139,"restricted access"))),AND(IF(Metadata!Y139="",FALSE,TRUE),OR(EXACT(Metadata!Y139,"TRUE"),EXACT(Metadata!Y139,"FALSE"))))</f>
        <v>0</v>
      </c>
      <c r="BM139" t="b">
        <f>OR(AND(IF(Metadata!Z139="",FALSE,TRUE),EXACT(Metadata!Z139,"not applicable")),AND(IF(Metadata!Z139="",FALSE,TRUE),OR(EXACT(Metadata!Z139,"beer"),EXACT(Metadata!Z139,"cheese"),EXACT(Metadata!Z139,"fresh water"),EXACT(Metadata!Z139,"marine sediment"),EXACT(Metadata!Z139,"sea water"),EXACT(Metadata!Z139,"sediment"),EXACT(Metadata!Z139,"soil"),EXACT(Metadata!Z139,"waste water"))))</f>
        <v>0</v>
      </c>
      <c r="BN139" t="b">
        <f>AND(IF(Metadata!AA139="",FALSE,TRUE),EXACT(Metadata!AA139,"metagenome"))</f>
        <v>0</v>
      </c>
      <c r="BO139" t="b">
        <f>AND(IF(Metadata!AB139="",FALSE,TRUE),EXACT(Metadata!AB139,"256318"))</f>
        <v>0</v>
      </c>
      <c r="BP139" t="b">
        <f>IF(Metadata!AC139="",FALSE,TRUE)</f>
        <v>0</v>
      </c>
      <c r="BQ139" t="b">
        <f>IF(Metadata!AD139="",FALSE,TRUE)</f>
        <v>0</v>
      </c>
    </row>
    <row r="140" spans="1:69" x14ac:dyDescent="0.2">
      <c r="A140" s="4" t="e">
        <f ca="1">IF(B140=" "," ",HYPERLINK(CONCATENATE("#metadata!",ADDRESS(INDEX($AJ$2:$AJ$1001,MATCH(ROWS($AH$2:AH140),$AH$2:$AH$1001,0),0),2)),INDEX($AM$2:$AM$1001,MATCH(ROWS($AH$2:AH140),$AH$2:$AH$1001,0),0)))</f>
        <v>#N/A</v>
      </c>
      <c r="B140" s="5" t="e">
        <f ca="1">IF(OR(INDEX($AI$2:$AI$1001,MATCH(ROWS($AH$2:AH140),$AH$2:$AH$1001,0),1)&gt;=100000,INDEX($AO$1005:$BQ$1005,1,MATCH(COLUMNS($AO$1006:AO1006),$AO$1006:$BQ$1006,0))&gt;=100000), " ",IF(INDEX($AO$2:$BQ$1001,MATCH(ROWS($AH$2:AH140),$AH$2:$AH$1001,0),MATCH(COLUMNS($AO$1006:AO1006),$AO$1006:$BQ$1006,0)), HYPERLINK("#",""), HYPERLINK(CONCATENATE("#Metadata!", ADDRESS(INDEX($AJ$2:$AJ$1001,MATCH(ROWS($AH$2:AH140),$AH$2:$AH$1001,0),0), INDEX($AO$1004:$BQ$1004,1,MATCH(COLUMNS($AO$1006:AO1006),$AO$1006:$BQ$1006,0)))),"Fix")))</f>
        <v>#N/A</v>
      </c>
      <c r="C140" s="5" t="e">
        <f ca="1">IF(OR(INDEX($AI$2:$AI$1001,MATCH(ROWS($AH$2:AH140),$AH$2:$AH$1001,0),1)&gt;=100000,INDEX($AO$1005:$BQ$1005,1,MATCH(COLUMNS($AO$1006:AP1006),$AO$1006:$BQ$1006,0))&gt;=100000), " ",IF(INDEX($AO$2:$BQ$1001,MATCH(ROWS($AH$2:AH140),$AH$2:$AH$1001,0),MATCH(COLUMNS($AO$1006:AP1006),$AO$1006:$BQ$1006,0)), HYPERLINK("#",""), HYPERLINK(CONCATENATE("#Metadata!", ADDRESS(INDEX($AJ$2:$AJ$1001,MATCH(ROWS($AH$2:AH140),$AH$2:$AH$1001,0),0), INDEX($AO$1004:$BQ$1004,1,MATCH(COLUMNS($AO$1006:AP1006),$AO$1006:$BQ$1006,0)))),"Fix")))</f>
        <v>#N/A</v>
      </c>
      <c r="D140" s="5" t="e">
        <f ca="1">IF(OR(INDEX($AI$2:$AI$1001,MATCH(ROWS($AH$2:AH140),$AH$2:$AH$1001,0),1)&gt;=100000,INDEX($AO$1005:$BQ$1005,1,MATCH(COLUMNS($AO$1006:AQ1006),$AO$1006:$BQ$1006,0))&gt;=100000), " ",IF(INDEX($AO$2:$BQ$1001,MATCH(ROWS($AH$2:AH140),$AH$2:$AH$1001,0),MATCH(COLUMNS($AO$1006:AQ1006),$AO$1006:$BQ$1006,0)), HYPERLINK("#",""), HYPERLINK(CONCATENATE("#Metadata!", ADDRESS(INDEX($AJ$2:$AJ$1001,MATCH(ROWS($AH$2:AH140),$AH$2:$AH$1001,0),0), INDEX($AO$1004:$BQ$1004,1,MATCH(COLUMNS($AO$1006:AQ1006),$AO$1006:$BQ$1006,0)))),"Fix")))</f>
        <v>#N/A</v>
      </c>
      <c r="E140" s="5" t="e">
        <f ca="1">IF(OR(INDEX($AI$2:$AI$1001,MATCH(ROWS($AH$2:AH140),$AH$2:$AH$1001,0),1)&gt;=100000,INDEX($AO$1005:$BQ$1005,1,MATCH(COLUMNS($AO$1006:AR1006),$AO$1006:$BQ$1006,0))&gt;=100000), " ",IF(INDEX($AO$2:$BQ$1001,MATCH(ROWS($AH$2:AH140),$AH$2:$AH$1001,0),MATCH(COLUMNS($AO$1006:AR1006),$AO$1006:$BQ$1006,0)), HYPERLINK("#",""), HYPERLINK(CONCATENATE("#Metadata!", ADDRESS(INDEX($AJ$2:$AJ$1001,MATCH(ROWS($AH$2:AH140),$AH$2:$AH$1001,0),0), INDEX($AO$1004:$BQ$1004,1,MATCH(COLUMNS($AO$1006:AR1006),$AO$1006:$BQ$1006,0)))),"Fix")))</f>
        <v>#N/A</v>
      </c>
      <c r="F140" s="5" t="e">
        <f ca="1">IF(OR(INDEX($AI$2:$AI$1001,MATCH(ROWS($AH$2:AH140),$AH$2:$AH$1001,0),1)&gt;=100000,INDEX($AO$1005:$BQ$1005,1,MATCH(COLUMNS($AO$1006:AS1006),$AO$1006:$BQ$1006,0))&gt;=100000), " ",IF(INDEX($AO$2:$BQ$1001,MATCH(ROWS($AH$2:AH140),$AH$2:$AH$1001,0),MATCH(COLUMNS($AO$1006:AS1006),$AO$1006:$BQ$1006,0)), HYPERLINK("#",""), HYPERLINK(CONCATENATE("#Metadata!", ADDRESS(INDEX($AJ$2:$AJ$1001,MATCH(ROWS($AH$2:AH140),$AH$2:$AH$1001,0),0), INDEX($AO$1004:$BQ$1004,1,MATCH(COLUMNS($AO$1006:AS1006),$AO$1006:$BQ$1006,0)))),"Fix")))</f>
        <v>#N/A</v>
      </c>
      <c r="G140" s="5" t="e">
        <f ca="1">IF(OR(INDEX($AI$2:$AI$1001,MATCH(ROWS($AH$2:AH140),$AH$2:$AH$1001,0),1)&gt;=100000,INDEX($AO$1005:$BQ$1005,1,MATCH(COLUMNS($AO$1006:AT1006),$AO$1006:$BQ$1006,0))&gt;=100000), " ",IF(INDEX($AO$2:$BQ$1001,MATCH(ROWS($AH$2:AH140),$AH$2:$AH$1001,0),MATCH(COLUMNS($AO$1006:AT1006),$AO$1006:$BQ$1006,0)), HYPERLINK("#",""), HYPERLINK(CONCATENATE("#Metadata!", ADDRESS(INDEX($AJ$2:$AJ$1001,MATCH(ROWS($AH$2:AH140),$AH$2:$AH$1001,0),0), INDEX($AO$1004:$BQ$1004,1,MATCH(COLUMNS($AO$1006:AT1006),$AO$1006:$BQ$1006,0)))),"Fix")))</f>
        <v>#N/A</v>
      </c>
      <c r="H140" s="5" t="e">
        <f ca="1">IF(OR(INDEX($AI$2:$AI$1001,MATCH(ROWS($AH$2:AH140),$AH$2:$AH$1001,0),1)&gt;=100000,INDEX($AO$1005:$BQ$1005,1,MATCH(COLUMNS($AO$1006:AU1006),$AO$1006:$BQ$1006,0))&gt;=100000), " ",IF(INDEX($AO$2:$BQ$1001,MATCH(ROWS($AH$2:AH140),$AH$2:$AH$1001,0),MATCH(COLUMNS($AO$1006:AU1006),$AO$1006:$BQ$1006,0)), HYPERLINK("#",""), HYPERLINK(CONCATENATE("#Metadata!", ADDRESS(INDEX($AJ$2:$AJ$1001,MATCH(ROWS($AH$2:AH140),$AH$2:$AH$1001,0),0), INDEX($AO$1004:$BQ$1004,1,MATCH(COLUMNS($AO$1006:AU1006),$AO$1006:$BQ$1006,0)))),"Fix")))</f>
        <v>#N/A</v>
      </c>
      <c r="I140" s="5" t="e">
        <f ca="1">IF(OR(INDEX($AI$2:$AI$1001,MATCH(ROWS($AH$2:AH140),$AH$2:$AH$1001,0),1)&gt;=100000,INDEX($AO$1005:$BQ$1005,1,MATCH(COLUMNS($AO$1006:AV1006),$AO$1006:$BQ$1006,0))&gt;=100000), " ",IF(INDEX($AO$2:$BQ$1001,MATCH(ROWS($AH$2:AH140),$AH$2:$AH$1001,0),MATCH(COLUMNS($AO$1006:AV1006),$AO$1006:$BQ$1006,0)), HYPERLINK("#",""), HYPERLINK(CONCATENATE("#Metadata!", ADDRESS(INDEX($AJ$2:$AJ$1001,MATCH(ROWS($AH$2:AH140),$AH$2:$AH$1001,0),0), INDEX($AO$1004:$BQ$1004,1,MATCH(COLUMNS($AO$1006:AV1006),$AO$1006:$BQ$1006,0)))),"Fix")))</f>
        <v>#N/A</v>
      </c>
      <c r="J140" s="5" t="e">
        <f ca="1">IF(OR(INDEX($AI$2:$AI$1001,MATCH(ROWS($AH$2:AH140),$AH$2:$AH$1001,0),1)&gt;=100000,INDEX($AO$1005:$BQ$1005,1,MATCH(COLUMNS($AO$1006:AW1006),$AO$1006:$BQ$1006,0))&gt;=100000), " ",IF(INDEX($AO$2:$BQ$1001,MATCH(ROWS($AH$2:AH140),$AH$2:$AH$1001,0),MATCH(COLUMNS($AO$1006:AW1006),$AO$1006:$BQ$1006,0)), HYPERLINK("#",""), HYPERLINK(CONCATENATE("#Metadata!", ADDRESS(INDEX($AJ$2:$AJ$1001,MATCH(ROWS($AH$2:AH140),$AH$2:$AH$1001,0),0), INDEX($AO$1004:$BQ$1004,1,MATCH(COLUMNS($AO$1006:AW1006),$AO$1006:$BQ$1006,0)))),"Fix")))</f>
        <v>#N/A</v>
      </c>
      <c r="K140" s="5" t="e">
        <f ca="1">IF(OR(INDEX($AI$2:$AI$1001,MATCH(ROWS($AH$2:AH140),$AH$2:$AH$1001,0),1)&gt;=100000,INDEX($AO$1005:$BQ$1005,1,MATCH(COLUMNS($AO$1006:AX1006),$AO$1006:$BQ$1006,0))&gt;=100000), " ",IF(INDEX($AO$2:$BQ$1001,MATCH(ROWS($AH$2:AH140),$AH$2:$AH$1001,0),MATCH(COLUMNS($AO$1006:AX1006),$AO$1006:$BQ$1006,0)), HYPERLINK("#",""), HYPERLINK(CONCATENATE("#Metadata!", ADDRESS(INDEX($AJ$2:$AJ$1001,MATCH(ROWS($AH$2:AH140),$AH$2:$AH$1001,0),0), INDEX($AO$1004:$BQ$1004,1,MATCH(COLUMNS($AO$1006:AX1006),$AO$1006:$BQ$1006,0)))),"Fix")))</f>
        <v>#N/A</v>
      </c>
      <c r="L140" s="5" t="e">
        <f ca="1">IF(OR(INDEX($AI$2:$AI$1001,MATCH(ROWS($AH$2:AH140),$AH$2:$AH$1001,0),1)&gt;=100000,INDEX($AO$1005:$BQ$1005,1,MATCH(COLUMNS($AO$1006:AY1006),$AO$1006:$BQ$1006,0))&gt;=100000), " ",IF(INDEX($AO$2:$BQ$1001,MATCH(ROWS($AH$2:AH140),$AH$2:$AH$1001,0),MATCH(COLUMNS($AO$1006:AY1006),$AO$1006:$BQ$1006,0)), HYPERLINK("#",""), HYPERLINK(CONCATENATE("#Metadata!", ADDRESS(INDEX($AJ$2:$AJ$1001,MATCH(ROWS($AH$2:AH140),$AH$2:$AH$1001,0),0), INDEX($AO$1004:$BQ$1004,1,MATCH(COLUMNS($AO$1006:AY1006),$AO$1006:$BQ$1006,0)))),"Fix")))</f>
        <v>#N/A</v>
      </c>
      <c r="M140" s="5" t="e">
        <f ca="1">IF(OR(INDEX($AI$2:$AI$1001,MATCH(ROWS($AH$2:AH140),$AH$2:$AH$1001,0),1)&gt;=100000,INDEX($AO$1005:$BQ$1005,1,MATCH(COLUMNS($AO$1006:AZ1006),$AO$1006:$BQ$1006,0))&gt;=100000), " ",IF(INDEX($AO$2:$BQ$1001,MATCH(ROWS($AH$2:AH140),$AH$2:$AH$1001,0),MATCH(COLUMNS($AO$1006:AZ1006),$AO$1006:$BQ$1006,0)), HYPERLINK("#",""), HYPERLINK(CONCATENATE("#Metadata!", ADDRESS(INDEX($AJ$2:$AJ$1001,MATCH(ROWS($AH$2:AH140),$AH$2:$AH$1001,0),0), INDEX($AO$1004:$BQ$1004,1,MATCH(COLUMNS($AO$1006:AZ1006),$AO$1006:$BQ$1006,0)))),"Fix")))</f>
        <v>#N/A</v>
      </c>
      <c r="N140" s="5" t="e">
        <f ca="1">IF(OR(INDEX($AI$2:$AI$1001,MATCH(ROWS($AH$2:AH140),$AH$2:$AH$1001,0),1)&gt;=100000,INDEX($AO$1005:$BQ$1005,1,MATCH(COLUMNS($AO$1006:BA1006),$AO$1006:$BQ$1006,0))&gt;=100000), " ",IF(INDEX($AO$2:$BQ$1001,MATCH(ROWS($AH$2:AH140),$AH$2:$AH$1001,0),MATCH(COLUMNS($AO$1006:BA1006),$AO$1006:$BQ$1006,0)), HYPERLINK("#",""), HYPERLINK(CONCATENATE("#Metadata!", ADDRESS(INDEX($AJ$2:$AJ$1001,MATCH(ROWS($AH$2:AH140),$AH$2:$AH$1001,0),0), INDEX($AO$1004:$BQ$1004,1,MATCH(COLUMNS($AO$1006:BA1006),$AO$1006:$BQ$1006,0)))),"Fix")))</f>
        <v>#N/A</v>
      </c>
      <c r="O140" s="5" t="e">
        <f ca="1">IF(OR(INDEX($AI$2:$AI$1001,MATCH(ROWS($AH$2:AH140),$AH$2:$AH$1001,0),1)&gt;=100000,INDEX($AO$1005:$BQ$1005,1,MATCH(COLUMNS($AO$1006:BB1006),$AO$1006:$BQ$1006,0))&gt;=100000), " ",IF(INDEX($AO$2:$BQ$1001,MATCH(ROWS($AH$2:AH140),$AH$2:$AH$1001,0),MATCH(COLUMNS($AO$1006:BB1006),$AO$1006:$BQ$1006,0)), HYPERLINK("#",""), HYPERLINK(CONCATENATE("#Metadata!", ADDRESS(INDEX($AJ$2:$AJ$1001,MATCH(ROWS($AH$2:AH140),$AH$2:$AH$1001,0),0), INDEX($AO$1004:$BQ$1004,1,MATCH(COLUMNS($AO$1006:BB1006),$AO$1006:$BQ$1006,0)))),"Fix")))</f>
        <v>#N/A</v>
      </c>
      <c r="P140" s="5" t="e">
        <f ca="1">IF(OR(INDEX($AI$2:$AI$1001,MATCH(ROWS($AH$2:AH140),$AH$2:$AH$1001,0),1)&gt;=100000,INDEX($AO$1005:$BQ$1005,1,MATCH(COLUMNS($AO$1006:BC1006),$AO$1006:$BQ$1006,0))&gt;=100000), " ",IF(INDEX($AO$2:$BQ$1001,MATCH(ROWS($AH$2:AH140),$AH$2:$AH$1001,0),MATCH(COLUMNS($AO$1006:BC1006),$AO$1006:$BQ$1006,0)), HYPERLINK("#",""), HYPERLINK(CONCATENATE("#Metadata!", ADDRESS(INDEX($AJ$2:$AJ$1001,MATCH(ROWS($AH$2:AH140),$AH$2:$AH$1001,0),0), INDEX($AO$1004:$BQ$1004,1,MATCH(COLUMNS($AO$1006:BC1006),$AO$1006:$BQ$1006,0)))),"Fix")))</f>
        <v>#N/A</v>
      </c>
      <c r="Q140" s="5" t="e">
        <f ca="1">IF(OR(INDEX($AI$2:$AI$1001,MATCH(ROWS($AH$2:AH140),$AH$2:$AH$1001,0),1)&gt;=100000,INDEX($AO$1005:$BQ$1005,1,MATCH(COLUMNS($AO$1006:BD1006),$AO$1006:$BQ$1006,0))&gt;=100000), " ",IF(INDEX($AO$2:$BQ$1001,MATCH(ROWS($AH$2:AH140),$AH$2:$AH$1001,0),MATCH(COLUMNS($AO$1006:BD1006),$AO$1006:$BQ$1006,0)), HYPERLINK("#",""), HYPERLINK(CONCATENATE("#Metadata!", ADDRESS(INDEX($AJ$2:$AJ$1001,MATCH(ROWS($AH$2:AH140),$AH$2:$AH$1001,0),0), INDEX($AO$1004:$BQ$1004,1,MATCH(COLUMNS($AO$1006:BD1006),$AO$1006:$BQ$1006,0)))),"Fix")))</f>
        <v>#N/A</v>
      </c>
      <c r="R140" s="5" t="e">
        <f ca="1">IF(OR(INDEX($AI$2:$AI$1001,MATCH(ROWS($AH$2:AH140),$AH$2:$AH$1001,0),1)&gt;=100000,INDEX($AO$1005:$BQ$1005,1,MATCH(COLUMNS($AO$1006:BE1006),$AO$1006:$BQ$1006,0))&gt;=100000), " ",IF(INDEX($AO$2:$BQ$1001,MATCH(ROWS($AH$2:AH140),$AH$2:$AH$1001,0),MATCH(COLUMNS($AO$1006:BE1006),$AO$1006:$BQ$1006,0)), HYPERLINK("#",""), HYPERLINK(CONCATENATE("#Metadata!", ADDRESS(INDEX($AJ$2:$AJ$1001,MATCH(ROWS($AH$2:AH140),$AH$2:$AH$1001,0),0), INDEX($AO$1004:$BQ$1004,1,MATCH(COLUMNS($AO$1006:BE1006),$AO$1006:$BQ$1006,0)))),"Fix")))</f>
        <v>#N/A</v>
      </c>
      <c r="S140" s="5" t="e">
        <f ca="1">IF(OR(INDEX($AI$2:$AI$1001,MATCH(ROWS($AH$2:AH140),$AH$2:$AH$1001,0),1)&gt;=100000,INDEX($AO$1005:$BQ$1005,1,MATCH(COLUMNS($AO$1006:BF1006),$AO$1006:$BQ$1006,0))&gt;=100000), " ",IF(INDEX($AO$2:$BQ$1001,MATCH(ROWS($AH$2:AH140),$AH$2:$AH$1001,0),MATCH(COLUMNS($AO$1006:BF1006),$AO$1006:$BQ$1006,0)), HYPERLINK("#",""), HYPERLINK(CONCATENATE("#Metadata!", ADDRESS(INDEX($AJ$2:$AJ$1001,MATCH(ROWS($AH$2:AH140),$AH$2:$AH$1001,0),0), INDEX($AO$1004:$BQ$1004,1,MATCH(COLUMNS($AO$1006:BF1006),$AO$1006:$BQ$1006,0)))),"Fix")))</f>
        <v>#N/A</v>
      </c>
      <c r="T140" s="5" t="e">
        <f ca="1">IF(OR(INDEX($AI$2:$AI$1001,MATCH(ROWS($AH$2:AH140),$AH$2:$AH$1001,0),1)&gt;=100000,INDEX($AO$1005:$BQ$1005,1,MATCH(COLUMNS($AO$1006:BG1006),$AO$1006:$BQ$1006,0))&gt;=100000), " ",IF(INDEX($AO$2:$BQ$1001,MATCH(ROWS($AH$2:AH140),$AH$2:$AH$1001,0),MATCH(COLUMNS($AO$1006:BG1006),$AO$1006:$BQ$1006,0)), HYPERLINK("#",""), HYPERLINK(CONCATENATE("#Metadata!", ADDRESS(INDEX($AJ$2:$AJ$1001,MATCH(ROWS($AH$2:AH140),$AH$2:$AH$1001,0),0), INDEX($AO$1004:$BQ$1004,1,MATCH(COLUMNS($AO$1006:BG1006),$AO$1006:$BQ$1006,0)))),"Fix")))</f>
        <v>#N/A</v>
      </c>
      <c r="U140" s="5" t="e">
        <f ca="1">IF(OR(INDEX($AI$2:$AI$1001,MATCH(ROWS($AH$2:AH140),$AH$2:$AH$1001,0),1)&gt;=100000,INDEX($AO$1005:$BQ$1005,1,MATCH(COLUMNS($AO$1006:BH1006),$AO$1006:$BQ$1006,0))&gt;=100000), " ",IF(INDEX($AO$2:$BQ$1001,MATCH(ROWS($AH$2:AH140),$AH$2:$AH$1001,0),MATCH(COLUMNS($AO$1006:BH1006),$AO$1006:$BQ$1006,0)), HYPERLINK("#",""), HYPERLINK(CONCATENATE("#Metadata!", ADDRESS(INDEX($AJ$2:$AJ$1001,MATCH(ROWS($AH$2:AH140),$AH$2:$AH$1001,0),0), INDEX($AO$1004:$BQ$1004,1,MATCH(COLUMNS($AO$1006:BH1006),$AO$1006:$BQ$1006,0)))),"Fix")))</f>
        <v>#N/A</v>
      </c>
      <c r="V140" s="5" t="e">
        <f ca="1">IF(OR(INDEX($AI$2:$AI$1001,MATCH(ROWS($AH$2:AH140),$AH$2:$AH$1001,0),1)&gt;=100000,INDEX($AO$1005:$BQ$1005,1,MATCH(COLUMNS($AO$1006:BI1006),$AO$1006:$BQ$1006,0))&gt;=100000), " ",IF(INDEX($AO$2:$BQ$1001,MATCH(ROWS($AH$2:AH140),$AH$2:$AH$1001,0),MATCH(COLUMNS($AO$1006:BI1006),$AO$1006:$BQ$1006,0)), HYPERLINK("#",""), HYPERLINK(CONCATENATE("#Metadata!", ADDRESS(INDEX($AJ$2:$AJ$1001,MATCH(ROWS($AH$2:AH140),$AH$2:$AH$1001,0),0), INDEX($AO$1004:$BQ$1004,1,MATCH(COLUMNS($AO$1006:BI1006),$AO$1006:$BQ$1006,0)))),"Fix")))</f>
        <v>#N/A</v>
      </c>
      <c r="W140" s="5" t="e">
        <f ca="1">IF(OR(INDEX($AI$2:$AI$1001,MATCH(ROWS($AH$2:AH140),$AH$2:$AH$1001,0),1)&gt;=100000,INDEX($AO$1005:$BQ$1005,1,MATCH(COLUMNS($AO$1006:BJ1006),$AO$1006:$BQ$1006,0))&gt;=100000), " ",IF(INDEX($AO$2:$BQ$1001,MATCH(ROWS($AH$2:AH140),$AH$2:$AH$1001,0),MATCH(COLUMNS($AO$1006:BJ1006),$AO$1006:$BQ$1006,0)), HYPERLINK("#",""), HYPERLINK(CONCATENATE("#Metadata!", ADDRESS(INDEX($AJ$2:$AJ$1001,MATCH(ROWS($AH$2:AH140),$AH$2:$AH$1001,0),0), INDEX($AO$1004:$BQ$1004,1,MATCH(COLUMNS($AO$1006:BJ1006),$AO$1006:$BQ$1006,0)))),"Fix")))</f>
        <v>#N/A</v>
      </c>
      <c r="X140" s="5" t="e">
        <f ca="1">IF(OR(INDEX($AI$2:$AI$1001,MATCH(ROWS($AH$2:AH140),$AH$2:$AH$1001,0),1)&gt;=100000,INDEX($AO$1005:$BQ$1005,1,MATCH(COLUMNS($AO$1006:BK1006),$AO$1006:$BQ$1006,0))&gt;=100000), " ",IF(INDEX($AO$2:$BQ$1001,MATCH(ROWS($AH$2:AH140),$AH$2:$AH$1001,0),MATCH(COLUMNS($AO$1006:BK1006),$AO$1006:$BQ$1006,0)), HYPERLINK("#",""), HYPERLINK(CONCATENATE("#Metadata!", ADDRESS(INDEX($AJ$2:$AJ$1001,MATCH(ROWS($AH$2:AH140),$AH$2:$AH$1001,0),0), INDEX($AO$1004:$BQ$1004,1,MATCH(COLUMNS($AO$1006:BK1006),$AO$1006:$BQ$1006,0)))),"Fix")))</f>
        <v>#N/A</v>
      </c>
      <c r="Y140" s="5" t="e">
        <f ca="1">IF(OR(INDEX($AI$2:$AI$1001,MATCH(ROWS($AH$2:AH140),$AH$2:$AH$1001,0),1)&gt;=100000,INDEX($AO$1005:$BQ$1005,1,MATCH(COLUMNS($AO$1006:BL1006),$AO$1006:$BQ$1006,0))&gt;=100000), " ",IF(INDEX($AO$2:$BQ$1001,MATCH(ROWS($AH$2:AH140),$AH$2:$AH$1001,0),MATCH(COLUMNS($AO$1006:BL1006),$AO$1006:$BQ$1006,0)), HYPERLINK("#",""), HYPERLINK(CONCATENATE("#Metadata!", ADDRESS(INDEX($AJ$2:$AJ$1001,MATCH(ROWS($AH$2:AH140),$AH$2:$AH$1001,0),0), INDEX($AO$1004:$BQ$1004,1,MATCH(COLUMNS($AO$1006:BL1006),$AO$1006:$BQ$1006,0)))),"Fix")))</f>
        <v>#N/A</v>
      </c>
      <c r="Z140" s="5" t="e">
        <f ca="1">IF(OR(INDEX($AI$2:$AI$1001,MATCH(ROWS($AH$2:AH140),$AH$2:$AH$1001,0),1)&gt;=100000,INDEX($AO$1005:$BQ$1005,1,MATCH(COLUMNS($AO$1006:BM1006),$AO$1006:$BQ$1006,0))&gt;=100000), " ",IF(INDEX($AO$2:$BQ$1001,MATCH(ROWS($AH$2:AH140),$AH$2:$AH$1001,0),MATCH(COLUMNS($AO$1006:BM1006),$AO$1006:$BQ$1006,0)), HYPERLINK("#",""), HYPERLINK(CONCATENATE("#Metadata!", ADDRESS(INDEX($AJ$2:$AJ$1001,MATCH(ROWS($AH$2:AH140),$AH$2:$AH$1001,0),0), INDEX($AO$1004:$BQ$1004,1,MATCH(COLUMNS($AO$1006:BM1006),$AO$1006:$BQ$1006,0)))),"Fix")))</f>
        <v>#N/A</v>
      </c>
      <c r="AA140" s="5" t="e">
        <f ca="1">IF(OR(INDEX($AI$2:$AI$1001,MATCH(ROWS($AH$2:AH140),$AH$2:$AH$1001,0),1)&gt;=100000,INDEX($AO$1005:$BQ$1005,1,MATCH(COLUMNS($AO$1006:BN1006),$AO$1006:$BQ$1006,0))&gt;=100000), " ",IF(INDEX($AO$2:$BQ$1001,MATCH(ROWS($AH$2:AH140),$AH$2:$AH$1001,0),MATCH(COLUMNS($AO$1006:BN1006),$AO$1006:$BQ$1006,0)), HYPERLINK("#",""), HYPERLINK(CONCATENATE("#Metadata!", ADDRESS(INDEX($AJ$2:$AJ$1001,MATCH(ROWS($AH$2:AH140),$AH$2:$AH$1001,0),0), INDEX($AO$1004:$BQ$1004,1,MATCH(COLUMNS($AO$1006:BN1006),$AO$1006:$BQ$1006,0)))),"Fix")))</f>
        <v>#N/A</v>
      </c>
      <c r="AB140" s="5" t="e">
        <f ca="1">IF(OR(INDEX($AI$2:$AI$1001,MATCH(ROWS($AH$2:AH140),$AH$2:$AH$1001,0),1)&gt;=100000,INDEX($AO$1005:$BQ$1005,1,MATCH(COLUMNS($AO$1006:BO1006),$AO$1006:$BQ$1006,0))&gt;=100000), " ",IF(INDEX($AO$2:$BQ$1001,MATCH(ROWS($AH$2:AH140),$AH$2:$AH$1001,0),MATCH(COLUMNS($AO$1006:BO1006),$AO$1006:$BQ$1006,0)), HYPERLINK("#",""), HYPERLINK(CONCATENATE("#Metadata!", ADDRESS(INDEX($AJ$2:$AJ$1001,MATCH(ROWS($AH$2:AH140),$AH$2:$AH$1001,0),0), INDEX($AO$1004:$BQ$1004,1,MATCH(COLUMNS($AO$1006:BO1006),$AO$1006:$BQ$1006,0)))),"Fix")))</f>
        <v>#N/A</v>
      </c>
      <c r="AC140" s="5" t="e">
        <f ca="1">IF(OR(INDEX($AI$2:$AI$1001,MATCH(ROWS($AH$2:AH140),$AH$2:$AH$1001,0),1)&gt;=100000,INDEX($AO$1005:$BQ$1005,1,MATCH(COLUMNS($AO$1006:BP1006),$AO$1006:$BQ$1006,0))&gt;=100000), " ",IF(INDEX($AO$2:$BQ$1001,MATCH(ROWS($AH$2:AH140),$AH$2:$AH$1001,0),MATCH(COLUMNS($AO$1006:BP1006),$AO$1006:$BQ$1006,0)), HYPERLINK("#",""), HYPERLINK(CONCATENATE("#Metadata!", ADDRESS(INDEX($AJ$2:$AJ$1001,MATCH(ROWS($AH$2:AH140),$AH$2:$AH$1001,0),0), INDEX($AO$1004:$BQ$1004,1,MATCH(COLUMNS($AO$1006:BP1006),$AO$1006:$BQ$1006,0)))),"Fix")))</f>
        <v>#N/A</v>
      </c>
      <c r="AD140" s="5" t="e">
        <f ca="1">IF(OR(INDEX($AI$2:$AI$1001,MATCH(ROWS($AH$2:AH140),$AH$2:$AH$1001,0),1)&gt;=100000,INDEX($AO$1005:$BQ$1005,1,MATCH(COLUMNS($AO$1006:BQ1006),$AO$1006:$BQ$1006,0))&gt;=100000), " ",IF(INDEX($AO$2:$BQ$1001,MATCH(ROWS($AH$2:AH140),$AH$2:$AH$1001,0),MATCH(COLUMNS($AO$1006:BQ1006),$AO$1006:$BQ$1006,0)), HYPERLINK("#",""), HYPERLINK(CONCATENATE("#Metadata!", ADDRESS(INDEX($AJ$2:$AJ$1001,MATCH(ROWS($AH$2:AH140),$AH$2:$AH$1001,0),0), INDEX($AO$1004:$BQ$1004,1,MATCH(COLUMNS($AO$1006:BQ1006),$AO$1006:$BQ$1006,0)))),"Fix")))</f>
        <v>#REF!</v>
      </c>
      <c r="AH140">
        <f ca="1"/>
        <v>137</v>
      </c>
      <c r="AI140">
        <v>100140</v>
      </c>
      <c r="AJ140">
        <v>140</v>
      </c>
      <c r="AK140" t="b">
        <f t="shared" si="2"/>
        <v>1</v>
      </c>
      <c r="AL140" t="b">
        <f>COUNTBLANK(Metadata!B140:AD140)=COLUMNS(Metadata!B140:AD140)</f>
        <v>1</v>
      </c>
      <c r="AM140" t="str">
        <v/>
      </c>
      <c r="AO140" t="b">
        <f ca="1">AND(IF(Metadata!B140="",FALSE,TRUE),COUNTIF(Metadata!B:B, Metadata!B140) = 1,NOT(ISERROR(SUMPRODUCT(SEARCH(MID(Metadata!B140,ROW(INDIRECT("1:"&amp;LEN(Metadata!B140))), 1),"0123456789abcdefghijklmnopqrstuvwxyzABCDEFGHIJKLMNOPQRSTUVWXYZ.")))))</f>
        <v>0</v>
      </c>
      <c r="AP140" t="b">
        <f>IF(Metadata!C140="",FALSE,TRUE)</f>
        <v>0</v>
      </c>
      <c r="AQ140" t="b">
        <f>IF(Metadata!D140="",FALSE,TRUE)</f>
        <v>0</v>
      </c>
      <c r="AR140" t="b">
        <f ca="1">OR(AND(IF(Metadata!E140="",FALSE,TRUE),OR(EXACT(Metadata!E140,"not collected"),EXACT(Metadata!E140,"not provided"),EXACT(Metadata!E140,"restricted access"))),AND(IF(Metadata!E140="",FALSE,TRUE),AND(AND(IFERROR(INT(LEFT(Metadata!E140,4))&gt;1900,FALSE),IFERROR(INT(LEFT(Metadata!E140,4))&lt;=YEAR(NOW()),FALSE)), OR(MID(Metadata!E140,5,1)="", AND(AND(MID(Metadata!E140,5,1)="-",IFERROR(INT(MID(Metadata!E140,6,1))&gt;=0,FALSE),IFERROR(INT(MID(Metadata!E140,6,1))&lt;=1,FALSE),NOT(MID(Metadata!E140,7,1)=""),IFERROR(INT(MID(Metadata!E140,6,2))&gt;=1,FALSE),IFERROR(INT(MID(Metadata!E140,6,2))&lt;=12,FALSE)), OR(MID(Metadata!E140,8,1)="", AND(AND(MID(Metadata!E140,8,1)="-",IFERROR(INT(MID(Metadata!E140,9,1))&gt;=0,FALSE),IFERROR(INT(MID(Metadata!E140,9,1))&lt;=3,FALSE),NOT(MID(Metadata!E140,10,1)=""),IFERROR(INT(MID(Metadata!E140,9,2))&gt;=1,FALSE),IFERROR(INT(MID(Metadata!E140,9,2))&lt;=31,FALSE)), OR(MID(Metadata!E140,11,1)="", AND(AND(MID(Metadata!E140,11,1)=" ",IFERROR(INT(MID(Metadata!E140,12,1))&gt;=0,FALSE),IFERROR(INT(MID(Metadata!E140,12,1))&lt;=2,FALSE),NOT(MID(Metadata!E140,13,1)=""),IFERROR(INT(MID(Metadata!E140,12,2))&gt;=0,FALSE),IFERROR(INT(MID(Metadata!E140,12,2))&lt;=23,FALSE)), OR(MID(Metadata!E140,14,1)="", AND(AND(MID(Metadata!E140,14,1)=":",IFERROR(INT(MID(Metadata!E140,15,1))&gt;=0,FALSE),IFERROR(INT(MID(Metadata!E140,15,1))&lt;=5,FALSE),NOT(MID(Metadata!E140,16,1)=""),IFERROR(INT(MID(Metadata!E140,15,2))&gt;=0,FALSE),IFERROR(INT(MID(Metadata!E140,15,2))&lt;=59,FALSE)), OR(MID(Metadata!E140,17,1)="", AND(AND(MID(Metadata!E140,17,1)=":",IFERROR(INT(MID(Metadata!E140,18,1))&gt;=0,FALSE),IFERROR(INT(MID(Metadata!E140,18,1))&lt;=5,FALSE),NOT(MID(Metadata!E140,19,1)=""),IFERROR(INT(MID(Metadata!E140,18,2))&gt;=0,FALSE),IFERROR(INT(MID(Metadata!E140,18,2))&lt;=59,FALSE)), LEN(Metadata!E140)&lt;=19)))))))))))))</f>
        <v>0</v>
      </c>
      <c r="AS140" t="b">
        <f>IF(Metadata!F140="",FALSE,TRUE)</f>
        <v>0</v>
      </c>
      <c r="AT140" t="b">
        <f>OR(AND(IF(Metadata!G140="",FALSE,TRUE),OR(EXACT(Metadata!G140,"not collected"),EXACT(Metadata!G140,"not provided"))),AND(IF(Metadata!G140="",FALSE,TRUE),OR(EXACT(Metadata!G140,"TRUE"),EXACT(Metadata!G140,"FALSE"))))</f>
        <v>0</v>
      </c>
      <c r="AU140" t="b">
        <f>OR(AND(IF(Metadata!H140="",FALSE,TRUE),OR(EXACT(Metadata!H140,"not collected"),EXACT(Metadata!H140,"not provided"),EXACT(Metadata!H140,"restricted access"))),AND(IF(Metadata!H140="",FALSE,ISNUMBER(VALUE(Metadata!H140))),Metadata!H140&gt;=-413))</f>
        <v>0</v>
      </c>
      <c r="AV140" t="b">
        <f>AND(IF(Metadata!I140="",FALSE,TRUE),EXACT(Metadata!I140,"meters"))</f>
        <v>0</v>
      </c>
      <c r="AW140" t="b">
        <f>AND(IF(Metadata!J140="",FALSE,TRUE),EXACT(Metadata!J140,"free-living"))</f>
        <v>0</v>
      </c>
      <c r="AX140" t="b">
        <f>AND(IF(Metadata!K140="",FALSE,TRUE),OR(EXACT(Metadata!K140,"saline"),EXACT(Metadata!K140,"non-saline")))</f>
        <v>0</v>
      </c>
      <c r="AY140" t="b">
        <f>AND(IF(Metadata!L140="",FALSE,TRUE),OR(EXACT(Metadata!L140,"sub-surface (non-saline)"),EXACT(Metadata!L140,"surface (non-saline)"),EXACT(Metadata!L140,"water (non-saline)"),EXACT(Metadata!L140,"soil (non-saline)"),EXACT(Metadata!L140,"aerosol (non-saline)"),EXACT(Metadata!L140,"sediment (non-saline)"),EXACT(Metadata!L140,"surface (saline)"),EXACT(Metadata!L140,"water (saline)"),EXACT(Metadata!L140,"hypersaline (saline)"),EXACT(Metadata!L140,"aerosol (saline)"),EXACT(Metadata!L140,"sediment (saline)")))</f>
        <v>0</v>
      </c>
      <c r="AZ140" t="b">
        <f>IF(Metadata!M140="",FALSE,TRUE)</f>
        <v>0</v>
      </c>
      <c r="BA140" t="b">
        <f>IF(Metadata!N140="",FALSE,TRUE)</f>
        <v>0</v>
      </c>
      <c r="BB140" t="b">
        <f>IF(Metadata!O140="",FALSE,TRUE)</f>
        <v>0</v>
      </c>
      <c r="BC140" t="b">
        <f>AND(IF(Metadata!P140="",FALSE,TRUE),OR(EXACT(Metadata!P140,"air"),EXACT(Metadata!P140,"microbial mat/biofilm"),EXACT(Metadata!P140,"misc environment"),EXACT(Metadata!P140,"sediment"),EXACT(Metadata!P140,"soil"),EXACT(Metadata!P140,"wastewater/sludge"),EXACT(Metadata!P140,"water")))</f>
        <v>0</v>
      </c>
      <c r="BD140" t="b">
        <f>IF(Metadata!Q140="",FALSE,TRUE)</f>
        <v>0</v>
      </c>
      <c r="BE140" t="b">
        <f>IF(Metadata!R140="",FALSE,TRUE)</f>
        <v>0</v>
      </c>
      <c r="BF140" t="b">
        <f>OR(AND(IF(Metadata!S140="",FALSE,TRUE),OR(EXACT(Metadata!S140,"not collected"),EXACT(Metadata!S140,"not provided"),EXACT(Metadata!S140,"restricted access"))),AND(IF(Metadata!S140="",FALSE,ISNUMBER(VALUE(Metadata!S140))),Metadata!S140&gt;=-90,Metadata!S140&lt;=90))</f>
        <v>0</v>
      </c>
      <c r="BG140" t="b">
        <f>AND(IF(Metadata!T140="",FALSE,TRUE),EXACT(Metadata!T140,"Decimal degrees"))</f>
        <v>0</v>
      </c>
      <c r="BH140" t="b">
        <f>OR(AND(IF(Metadata!U140="",FALSE,TRUE),OR(EXACT(Metadata!U140,"not applicable"),EXACT(Metadata!U140,"not collected"))),IF(Metadata!U140="",FALSE,TRUE))</f>
        <v>0</v>
      </c>
      <c r="BI140" t="b">
        <f>OR(AND(IF(Metadata!V140="",FALSE,TRUE),OR(EXACT(Metadata!V140,"not collected"),EXACT(Metadata!V140,"not provided"),EXACT(Metadata!V140,"restricted access"))),AND(IF(Metadata!V140="",FALSE,ISNUMBER(VALUE(Metadata!V140))),Metadata!V140&gt;=-180,Metadata!V140&lt;=180))</f>
        <v>0</v>
      </c>
      <c r="BJ140" t="b">
        <f>AND(IF(Metadata!W140="",FALSE,TRUE),EXACT(Metadata!W140,"Decimal degrees"))</f>
        <v>0</v>
      </c>
      <c r="BK140" t="b">
        <f>IF(Metadata!X140="",FALSE,TRUE)</f>
        <v>0</v>
      </c>
      <c r="BL140" t="b">
        <f>OR(AND(IF(Metadata!Y140="",FALSE,TRUE),OR(EXACT(Metadata!Y140,"not collected"),EXACT(Metadata!Y140,"not provided"),EXACT(Metadata!Y140,"restricted access"))),AND(IF(Metadata!Y140="",FALSE,TRUE),OR(EXACT(Metadata!Y140,"TRUE"),EXACT(Metadata!Y140,"FALSE"))))</f>
        <v>0</v>
      </c>
      <c r="BM140" t="b">
        <f>OR(AND(IF(Metadata!Z140="",FALSE,TRUE),EXACT(Metadata!Z140,"not applicable")),AND(IF(Metadata!Z140="",FALSE,TRUE),OR(EXACT(Metadata!Z140,"beer"),EXACT(Metadata!Z140,"cheese"),EXACT(Metadata!Z140,"fresh water"),EXACT(Metadata!Z140,"marine sediment"),EXACT(Metadata!Z140,"sea water"),EXACT(Metadata!Z140,"sediment"),EXACT(Metadata!Z140,"soil"),EXACT(Metadata!Z140,"waste water"))))</f>
        <v>0</v>
      </c>
      <c r="BN140" t="b">
        <f>AND(IF(Metadata!AA140="",FALSE,TRUE),EXACT(Metadata!AA140,"metagenome"))</f>
        <v>0</v>
      </c>
      <c r="BO140" t="b">
        <f>AND(IF(Metadata!AB140="",FALSE,TRUE),EXACT(Metadata!AB140,"256318"))</f>
        <v>0</v>
      </c>
      <c r="BP140" t="b">
        <f>IF(Metadata!AC140="",FALSE,TRUE)</f>
        <v>0</v>
      </c>
      <c r="BQ140" t="b">
        <f>IF(Metadata!AD140="",FALSE,TRUE)</f>
        <v>0</v>
      </c>
    </row>
    <row r="141" spans="1:69" x14ac:dyDescent="0.2">
      <c r="A141" s="4" t="e">
        <f ca="1">IF(B141=" "," ",HYPERLINK(CONCATENATE("#metadata!",ADDRESS(INDEX($AJ$2:$AJ$1001,MATCH(ROWS($AH$2:AH141),$AH$2:$AH$1001,0),0),2)),INDEX($AM$2:$AM$1001,MATCH(ROWS($AH$2:AH141),$AH$2:$AH$1001,0),0)))</f>
        <v>#N/A</v>
      </c>
      <c r="B141" s="5" t="e">
        <f ca="1">IF(OR(INDEX($AI$2:$AI$1001,MATCH(ROWS($AH$2:AH141),$AH$2:$AH$1001,0),1)&gt;=100000,INDEX($AO$1005:$BQ$1005,1,MATCH(COLUMNS($AO$1006:AO1006),$AO$1006:$BQ$1006,0))&gt;=100000), " ",IF(INDEX($AO$2:$BQ$1001,MATCH(ROWS($AH$2:AH141),$AH$2:$AH$1001,0),MATCH(COLUMNS($AO$1006:AO1006),$AO$1006:$BQ$1006,0)), HYPERLINK("#",""), HYPERLINK(CONCATENATE("#Metadata!", ADDRESS(INDEX($AJ$2:$AJ$1001,MATCH(ROWS($AH$2:AH141),$AH$2:$AH$1001,0),0), INDEX($AO$1004:$BQ$1004,1,MATCH(COLUMNS($AO$1006:AO1006),$AO$1006:$BQ$1006,0)))),"Fix")))</f>
        <v>#N/A</v>
      </c>
      <c r="C141" s="5" t="e">
        <f ca="1">IF(OR(INDEX($AI$2:$AI$1001,MATCH(ROWS($AH$2:AH141),$AH$2:$AH$1001,0),1)&gt;=100000,INDEX($AO$1005:$BQ$1005,1,MATCH(COLUMNS($AO$1006:AP1006),$AO$1006:$BQ$1006,0))&gt;=100000), " ",IF(INDEX($AO$2:$BQ$1001,MATCH(ROWS($AH$2:AH141),$AH$2:$AH$1001,0),MATCH(COLUMNS($AO$1006:AP1006),$AO$1006:$BQ$1006,0)), HYPERLINK("#",""), HYPERLINK(CONCATENATE("#Metadata!", ADDRESS(INDEX($AJ$2:$AJ$1001,MATCH(ROWS($AH$2:AH141),$AH$2:$AH$1001,0),0), INDEX($AO$1004:$BQ$1004,1,MATCH(COLUMNS($AO$1006:AP1006),$AO$1006:$BQ$1006,0)))),"Fix")))</f>
        <v>#N/A</v>
      </c>
      <c r="D141" s="5" t="e">
        <f ca="1">IF(OR(INDEX($AI$2:$AI$1001,MATCH(ROWS($AH$2:AH141),$AH$2:$AH$1001,0),1)&gt;=100000,INDEX($AO$1005:$BQ$1005,1,MATCH(COLUMNS($AO$1006:AQ1006),$AO$1006:$BQ$1006,0))&gt;=100000), " ",IF(INDEX($AO$2:$BQ$1001,MATCH(ROWS($AH$2:AH141),$AH$2:$AH$1001,0),MATCH(COLUMNS($AO$1006:AQ1006),$AO$1006:$BQ$1006,0)), HYPERLINK("#",""), HYPERLINK(CONCATENATE("#Metadata!", ADDRESS(INDEX($AJ$2:$AJ$1001,MATCH(ROWS($AH$2:AH141),$AH$2:$AH$1001,0),0), INDEX($AO$1004:$BQ$1004,1,MATCH(COLUMNS($AO$1006:AQ1006),$AO$1006:$BQ$1006,0)))),"Fix")))</f>
        <v>#N/A</v>
      </c>
      <c r="E141" s="5" t="e">
        <f ca="1">IF(OR(INDEX($AI$2:$AI$1001,MATCH(ROWS($AH$2:AH141),$AH$2:$AH$1001,0),1)&gt;=100000,INDEX($AO$1005:$BQ$1005,1,MATCH(COLUMNS($AO$1006:AR1006),$AO$1006:$BQ$1006,0))&gt;=100000), " ",IF(INDEX($AO$2:$BQ$1001,MATCH(ROWS($AH$2:AH141),$AH$2:$AH$1001,0),MATCH(COLUMNS($AO$1006:AR1006),$AO$1006:$BQ$1006,0)), HYPERLINK("#",""), HYPERLINK(CONCATENATE("#Metadata!", ADDRESS(INDEX($AJ$2:$AJ$1001,MATCH(ROWS($AH$2:AH141),$AH$2:$AH$1001,0),0), INDEX($AO$1004:$BQ$1004,1,MATCH(COLUMNS($AO$1006:AR1006),$AO$1006:$BQ$1006,0)))),"Fix")))</f>
        <v>#N/A</v>
      </c>
      <c r="F141" s="5" t="e">
        <f ca="1">IF(OR(INDEX($AI$2:$AI$1001,MATCH(ROWS($AH$2:AH141),$AH$2:$AH$1001,0),1)&gt;=100000,INDEX($AO$1005:$BQ$1005,1,MATCH(COLUMNS($AO$1006:AS1006),$AO$1006:$BQ$1006,0))&gt;=100000), " ",IF(INDEX($AO$2:$BQ$1001,MATCH(ROWS($AH$2:AH141),$AH$2:$AH$1001,0),MATCH(COLUMNS($AO$1006:AS1006),$AO$1006:$BQ$1006,0)), HYPERLINK("#",""), HYPERLINK(CONCATENATE("#Metadata!", ADDRESS(INDEX($AJ$2:$AJ$1001,MATCH(ROWS($AH$2:AH141),$AH$2:$AH$1001,0),0), INDEX($AO$1004:$BQ$1004,1,MATCH(COLUMNS($AO$1006:AS1006),$AO$1006:$BQ$1006,0)))),"Fix")))</f>
        <v>#N/A</v>
      </c>
      <c r="G141" s="5" t="e">
        <f ca="1">IF(OR(INDEX($AI$2:$AI$1001,MATCH(ROWS($AH$2:AH141),$AH$2:$AH$1001,0),1)&gt;=100000,INDEX($AO$1005:$BQ$1005,1,MATCH(COLUMNS($AO$1006:AT1006),$AO$1006:$BQ$1006,0))&gt;=100000), " ",IF(INDEX($AO$2:$BQ$1001,MATCH(ROWS($AH$2:AH141),$AH$2:$AH$1001,0),MATCH(COLUMNS($AO$1006:AT1006),$AO$1006:$BQ$1006,0)), HYPERLINK("#",""), HYPERLINK(CONCATENATE("#Metadata!", ADDRESS(INDEX($AJ$2:$AJ$1001,MATCH(ROWS($AH$2:AH141),$AH$2:$AH$1001,0),0), INDEX($AO$1004:$BQ$1004,1,MATCH(COLUMNS($AO$1006:AT1006),$AO$1006:$BQ$1006,0)))),"Fix")))</f>
        <v>#N/A</v>
      </c>
      <c r="H141" s="5" t="e">
        <f ca="1">IF(OR(INDEX($AI$2:$AI$1001,MATCH(ROWS($AH$2:AH141),$AH$2:$AH$1001,0),1)&gt;=100000,INDEX($AO$1005:$BQ$1005,1,MATCH(COLUMNS($AO$1006:AU1006),$AO$1006:$BQ$1006,0))&gt;=100000), " ",IF(INDEX($AO$2:$BQ$1001,MATCH(ROWS($AH$2:AH141),$AH$2:$AH$1001,0),MATCH(COLUMNS($AO$1006:AU1006),$AO$1006:$BQ$1006,0)), HYPERLINK("#",""), HYPERLINK(CONCATENATE("#Metadata!", ADDRESS(INDEX($AJ$2:$AJ$1001,MATCH(ROWS($AH$2:AH141),$AH$2:$AH$1001,0),0), INDEX($AO$1004:$BQ$1004,1,MATCH(COLUMNS($AO$1006:AU1006),$AO$1006:$BQ$1006,0)))),"Fix")))</f>
        <v>#N/A</v>
      </c>
      <c r="I141" s="5" t="e">
        <f ca="1">IF(OR(INDEX($AI$2:$AI$1001,MATCH(ROWS($AH$2:AH141),$AH$2:$AH$1001,0),1)&gt;=100000,INDEX($AO$1005:$BQ$1005,1,MATCH(COLUMNS($AO$1006:AV1006),$AO$1006:$BQ$1006,0))&gt;=100000), " ",IF(INDEX($AO$2:$BQ$1001,MATCH(ROWS($AH$2:AH141),$AH$2:$AH$1001,0),MATCH(COLUMNS($AO$1006:AV1006),$AO$1006:$BQ$1006,0)), HYPERLINK("#",""), HYPERLINK(CONCATENATE("#Metadata!", ADDRESS(INDEX($AJ$2:$AJ$1001,MATCH(ROWS($AH$2:AH141),$AH$2:$AH$1001,0),0), INDEX($AO$1004:$BQ$1004,1,MATCH(COLUMNS($AO$1006:AV1006),$AO$1006:$BQ$1006,0)))),"Fix")))</f>
        <v>#N/A</v>
      </c>
      <c r="J141" s="5" t="e">
        <f ca="1">IF(OR(INDEX($AI$2:$AI$1001,MATCH(ROWS($AH$2:AH141),$AH$2:$AH$1001,0),1)&gt;=100000,INDEX($AO$1005:$BQ$1005,1,MATCH(COLUMNS($AO$1006:AW1006),$AO$1006:$BQ$1006,0))&gt;=100000), " ",IF(INDEX($AO$2:$BQ$1001,MATCH(ROWS($AH$2:AH141),$AH$2:$AH$1001,0),MATCH(COLUMNS($AO$1006:AW1006),$AO$1006:$BQ$1006,0)), HYPERLINK("#",""), HYPERLINK(CONCATENATE("#Metadata!", ADDRESS(INDEX($AJ$2:$AJ$1001,MATCH(ROWS($AH$2:AH141),$AH$2:$AH$1001,0),0), INDEX($AO$1004:$BQ$1004,1,MATCH(COLUMNS($AO$1006:AW1006),$AO$1006:$BQ$1006,0)))),"Fix")))</f>
        <v>#N/A</v>
      </c>
      <c r="K141" s="5" t="e">
        <f ca="1">IF(OR(INDEX($AI$2:$AI$1001,MATCH(ROWS($AH$2:AH141),$AH$2:$AH$1001,0),1)&gt;=100000,INDEX($AO$1005:$BQ$1005,1,MATCH(COLUMNS($AO$1006:AX1006),$AO$1006:$BQ$1006,0))&gt;=100000), " ",IF(INDEX($AO$2:$BQ$1001,MATCH(ROWS($AH$2:AH141),$AH$2:$AH$1001,0),MATCH(COLUMNS($AO$1006:AX1006),$AO$1006:$BQ$1006,0)), HYPERLINK("#",""), HYPERLINK(CONCATENATE("#Metadata!", ADDRESS(INDEX($AJ$2:$AJ$1001,MATCH(ROWS($AH$2:AH141),$AH$2:$AH$1001,0),0), INDEX($AO$1004:$BQ$1004,1,MATCH(COLUMNS($AO$1006:AX1006),$AO$1006:$BQ$1006,0)))),"Fix")))</f>
        <v>#N/A</v>
      </c>
      <c r="L141" s="5" t="e">
        <f ca="1">IF(OR(INDEX($AI$2:$AI$1001,MATCH(ROWS($AH$2:AH141),$AH$2:$AH$1001,0),1)&gt;=100000,INDEX($AO$1005:$BQ$1005,1,MATCH(COLUMNS($AO$1006:AY1006),$AO$1006:$BQ$1006,0))&gt;=100000), " ",IF(INDEX($AO$2:$BQ$1001,MATCH(ROWS($AH$2:AH141),$AH$2:$AH$1001,0),MATCH(COLUMNS($AO$1006:AY1006),$AO$1006:$BQ$1006,0)), HYPERLINK("#",""), HYPERLINK(CONCATENATE("#Metadata!", ADDRESS(INDEX($AJ$2:$AJ$1001,MATCH(ROWS($AH$2:AH141),$AH$2:$AH$1001,0),0), INDEX($AO$1004:$BQ$1004,1,MATCH(COLUMNS($AO$1006:AY1006),$AO$1006:$BQ$1006,0)))),"Fix")))</f>
        <v>#N/A</v>
      </c>
      <c r="M141" s="5" t="e">
        <f ca="1">IF(OR(INDEX($AI$2:$AI$1001,MATCH(ROWS($AH$2:AH141),$AH$2:$AH$1001,0),1)&gt;=100000,INDEX($AO$1005:$BQ$1005,1,MATCH(COLUMNS($AO$1006:AZ1006),$AO$1006:$BQ$1006,0))&gt;=100000), " ",IF(INDEX($AO$2:$BQ$1001,MATCH(ROWS($AH$2:AH141),$AH$2:$AH$1001,0),MATCH(COLUMNS($AO$1006:AZ1006),$AO$1006:$BQ$1006,0)), HYPERLINK("#",""), HYPERLINK(CONCATENATE("#Metadata!", ADDRESS(INDEX($AJ$2:$AJ$1001,MATCH(ROWS($AH$2:AH141),$AH$2:$AH$1001,0),0), INDEX($AO$1004:$BQ$1004,1,MATCH(COLUMNS($AO$1006:AZ1006),$AO$1006:$BQ$1006,0)))),"Fix")))</f>
        <v>#N/A</v>
      </c>
      <c r="N141" s="5" t="e">
        <f ca="1">IF(OR(INDEX($AI$2:$AI$1001,MATCH(ROWS($AH$2:AH141),$AH$2:$AH$1001,0),1)&gt;=100000,INDEX($AO$1005:$BQ$1005,1,MATCH(COLUMNS($AO$1006:BA1006),$AO$1006:$BQ$1006,0))&gt;=100000), " ",IF(INDEX($AO$2:$BQ$1001,MATCH(ROWS($AH$2:AH141),$AH$2:$AH$1001,0),MATCH(COLUMNS($AO$1006:BA1006),$AO$1006:$BQ$1006,0)), HYPERLINK("#",""), HYPERLINK(CONCATENATE("#Metadata!", ADDRESS(INDEX($AJ$2:$AJ$1001,MATCH(ROWS($AH$2:AH141),$AH$2:$AH$1001,0),0), INDEX($AO$1004:$BQ$1004,1,MATCH(COLUMNS($AO$1006:BA1006),$AO$1006:$BQ$1006,0)))),"Fix")))</f>
        <v>#N/A</v>
      </c>
      <c r="O141" s="5" t="e">
        <f ca="1">IF(OR(INDEX($AI$2:$AI$1001,MATCH(ROWS($AH$2:AH141),$AH$2:$AH$1001,0),1)&gt;=100000,INDEX($AO$1005:$BQ$1005,1,MATCH(COLUMNS($AO$1006:BB1006),$AO$1006:$BQ$1006,0))&gt;=100000), " ",IF(INDEX($AO$2:$BQ$1001,MATCH(ROWS($AH$2:AH141),$AH$2:$AH$1001,0),MATCH(COLUMNS($AO$1006:BB1006),$AO$1006:$BQ$1006,0)), HYPERLINK("#",""), HYPERLINK(CONCATENATE("#Metadata!", ADDRESS(INDEX($AJ$2:$AJ$1001,MATCH(ROWS($AH$2:AH141),$AH$2:$AH$1001,0),0), INDEX($AO$1004:$BQ$1004,1,MATCH(COLUMNS($AO$1006:BB1006),$AO$1006:$BQ$1006,0)))),"Fix")))</f>
        <v>#N/A</v>
      </c>
      <c r="P141" s="5" t="e">
        <f ca="1">IF(OR(INDEX($AI$2:$AI$1001,MATCH(ROWS($AH$2:AH141),$AH$2:$AH$1001,0),1)&gt;=100000,INDEX($AO$1005:$BQ$1005,1,MATCH(COLUMNS($AO$1006:BC1006),$AO$1006:$BQ$1006,0))&gt;=100000), " ",IF(INDEX($AO$2:$BQ$1001,MATCH(ROWS($AH$2:AH141),$AH$2:$AH$1001,0),MATCH(COLUMNS($AO$1006:BC1006),$AO$1006:$BQ$1006,0)), HYPERLINK("#",""), HYPERLINK(CONCATENATE("#Metadata!", ADDRESS(INDEX($AJ$2:$AJ$1001,MATCH(ROWS($AH$2:AH141),$AH$2:$AH$1001,0),0), INDEX($AO$1004:$BQ$1004,1,MATCH(COLUMNS($AO$1006:BC1006),$AO$1006:$BQ$1006,0)))),"Fix")))</f>
        <v>#N/A</v>
      </c>
      <c r="Q141" s="5" t="e">
        <f ca="1">IF(OR(INDEX($AI$2:$AI$1001,MATCH(ROWS($AH$2:AH141),$AH$2:$AH$1001,0),1)&gt;=100000,INDEX($AO$1005:$BQ$1005,1,MATCH(COLUMNS($AO$1006:BD1006),$AO$1006:$BQ$1006,0))&gt;=100000), " ",IF(INDEX($AO$2:$BQ$1001,MATCH(ROWS($AH$2:AH141),$AH$2:$AH$1001,0),MATCH(COLUMNS($AO$1006:BD1006),$AO$1006:$BQ$1006,0)), HYPERLINK("#",""), HYPERLINK(CONCATENATE("#Metadata!", ADDRESS(INDEX($AJ$2:$AJ$1001,MATCH(ROWS($AH$2:AH141),$AH$2:$AH$1001,0),0), INDEX($AO$1004:$BQ$1004,1,MATCH(COLUMNS($AO$1006:BD1006),$AO$1006:$BQ$1006,0)))),"Fix")))</f>
        <v>#N/A</v>
      </c>
      <c r="R141" s="5" t="e">
        <f ca="1">IF(OR(INDEX($AI$2:$AI$1001,MATCH(ROWS($AH$2:AH141),$AH$2:$AH$1001,0),1)&gt;=100000,INDEX($AO$1005:$BQ$1005,1,MATCH(COLUMNS($AO$1006:BE1006),$AO$1006:$BQ$1006,0))&gt;=100000), " ",IF(INDEX($AO$2:$BQ$1001,MATCH(ROWS($AH$2:AH141),$AH$2:$AH$1001,0),MATCH(COLUMNS($AO$1006:BE1006),$AO$1006:$BQ$1006,0)), HYPERLINK("#",""), HYPERLINK(CONCATENATE("#Metadata!", ADDRESS(INDEX($AJ$2:$AJ$1001,MATCH(ROWS($AH$2:AH141),$AH$2:$AH$1001,0),0), INDEX($AO$1004:$BQ$1004,1,MATCH(COLUMNS($AO$1006:BE1006),$AO$1006:$BQ$1006,0)))),"Fix")))</f>
        <v>#N/A</v>
      </c>
      <c r="S141" s="5" t="e">
        <f ca="1">IF(OR(INDEX($AI$2:$AI$1001,MATCH(ROWS($AH$2:AH141),$AH$2:$AH$1001,0),1)&gt;=100000,INDEX($AO$1005:$BQ$1005,1,MATCH(COLUMNS($AO$1006:BF1006),$AO$1006:$BQ$1006,0))&gt;=100000), " ",IF(INDEX($AO$2:$BQ$1001,MATCH(ROWS($AH$2:AH141),$AH$2:$AH$1001,0),MATCH(COLUMNS($AO$1006:BF1006),$AO$1006:$BQ$1006,0)), HYPERLINK("#",""), HYPERLINK(CONCATENATE("#Metadata!", ADDRESS(INDEX($AJ$2:$AJ$1001,MATCH(ROWS($AH$2:AH141),$AH$2:$AH$1001,0),0), INDEX($AO$1004:$BQ$1004,1,MATCH(COLUMNS($AO$1006:BF1006),$AO$1006:$BQ$1006,0)))),"Fix")))</f>
        <v>#N/A</v>
      </c>
      <c r="T141" s="5" t="e">
        <f ca="1">IF(OR(INDEX($AI$2:$AI$1001,MATCH(ROWS($AH$2:AH141),$AH$2:$AH$1001,0),1)&gt;=100000,INDEX($AO$1005:$BQ$1005,1,MATCH(COLUMNS($AO$1006:BG1006),$AO$1006:$BQ$1006,0))&gt;=100000), " ",IF(INDEX($AO$2:$BQ$1001,MATCH(ROWS($AH$2:AH141),$AH$2:$AH$1001,0),MATCH(COLUMNS($AO$1006:BG1006),$AO$1006:$BQ$1006,0)), HYPERLINK("#",""), HYPERLINK(CONCATENATE("#Metadata!", ADDRESS(INDEX($AJ$2:$AJ$1001,MATCH(ROWS($AH$2:AH141),$AH$2:$AH$1001,0),0), INDEX($AO$1004:$BQ$1004,1,MATCH(COLUMNS($AO$1006:BG1006),$AO$1006:$BQ$1006,0)))),"Fix")))</f>
        <v>#N/A</v>
      </c>
      <c r="U141" s="5" t="e">
        <f ca="1">IF(OR(INDEX($AI$2:$AI$1001,MATCH(ROWS($AH$2:AH141),$AH$2:$AH$1001,0),1)&gt;=100000,INDEX($AO$1005:$BQ$1005,1,MATCH(COLUMNS($AO$1006:BH1006),$AO$1006:$BQ$1006,0))&gt;=100000), " ",IF(INDEX($AO$2:$BQ$1001,MATCH(ROWS($AH$2:AH141),$AH$2:$AH$1001,0),MATCH(COLUMNS($AO$1006:BH1006),$AO$1006:$BQ$1006,0)), HYPERLINK("#",""), HYPERLINK(CONCATENATE("#Metadata!", ADDRESS(INDEX($AJ$2:$AJ$1001,MATCH(ROWS($AH$2:AH141),$AH$2:$AH$1001,0),0), INDEX($AO$1004:$BQ$1004,1,MATCH(COLUMNS($AO$1006:BH1006),$AO$1006:$BQ$1006,0)))),"Fix")))</f>
        <v>#N/A</v>
      </c>
      <c r="V141" s="5" t="e">
        <f ca="1">IF(OR(INDEX($AI$2:$AI$1001,MATCH(ROWS($AH$2:AH141),$AH$2:$AH$1001,0),1)&gt;=100000,INDEX($AO$1005:$BQ$1005,1,MATCH(COLUMNS($AO$1006:BI1006),$AO$1006:$BQ$1006,0))&gt;=100000), " ",IF(INDEX($AO$2:$BQ$1001,MATCH(ROWS($AH$2:AH141),$AH$2:$AH$1001,0),MATCH(COLUMNS($AO$1006:BI1006),$AO$1006:$BQ$1006,0)), HYPERLINK("#",""), HYPERLINK(CONCATENATE("#Metadata!", ADDRESS(INDEX($AJ$2:$AJ$1001,MATCH(ROWS($AH$2:AH141),$AH$2:$AH$1001,0),0), INDEX($AO$1004:$BQ$1004,1,MATCH(COLUMNS($AO$1006:BI1006),$AO$1006:$BQ$1006,0)))),"Fix")))</f>
        <v>#N/A</v>
      </c>
      <c r="W141" s="5" t="e">
        <f ca="1">IF(OR(INDEX($AI$2:$AI$1001,MATCH(ROWS($AH$2:AH141),$AH$2:$AH$1001,0),1)&gt;=100000,INDEX($AO$1005:$BQ$1005,1,MATCH(COLUMNS($AO$1006:BJ1006),$AO$1006:$BQ$1006,0))&gt;=100000), " ",IF(INDEX($AO$2:$BQ$1001,MATCH(ROWS($AH$2:AH141),$AH$2:$AH$1001,0),MATCH(COLUMNS($AO$1006:BJ1006),$AO$1006:$BQ$1006,0)), HYPERLINK("#",""), HYPERLINK(CONCATENATE("#Metadata!", ADDRESS(INDEX($AJ$2:$AJ$1001,MATCH(ROWS($AH$2:AH141),$AH$2:$AH$1001,0),0), INDEX($AO$1004:$BQ$1004,1,MATCH(COLUMNS($AO$1006:BJ1006),$AO$1006:$BQ$1006,0)))),"Fix")))</f>
        <v>#N/A</v>
      </c>
      <c r="X141" s="5" t="e">
        <f ca="1">IF(OR(INDEX($AI$2:$AI$1001,MATCH(ROWS($AH$2:AH141),$AH$2:$AH$1001,0),1)&gt;=100000,INDEX($AO$1005:$BQ$1005,1,MATCH(COLUMNS($AO$1006:BK1006),$AO$1006:$BQ$1006,0))&gt;=100000), " ",IF(INDEX($AO$2:$BQ$1001,MATCH(ROWS($AH$2:AH141),$AH$2:$AH$1001,0),MATCH(COLUMNS($AO$1006:BK1006),$AO$1006:$BQ$1006,0)), HYPERLINK("#",""), HYPERLINK(CONCATENATE("#Metadata!", ADDRESS(INDEX($AJ$2:$AJ$1001,MATCH(ROWS($AH$2:AH141),$AH$2:$AH$1001,0),0), INDEX($AO$1004:$BQ$1004,1,MATCH(COLUMNS($AO$1006:BK1006),$AO$1006:$BQ$1006,0)))),"Fix")))</f>
        <v>#N/A</v>
      </c>
      <c r="Y141" s="5" t="e">
        <f ca="1">IF(OR(INDEX($AI$2:$AI$1001,MATCH(ROWS($AH$2:AH141),$AH$2:$AH$1001,0),1)&gt;=100000,INDEX($AO$1005:$BQ$1005,1,MATCH(COLUMNS($AO$1006:BL1006),$AO$1006:$BQ$1006,0))&gt;=100000), " ",IF(INDEX($AO$2:$BQ$1001,MATCH(ROWS($AH$2:AH141),$AH$2:$AH$1001,0),MATCH(COLUMNS($AO$1006:BL1006),$AO$1006:$BQ$1006,0)), HYPERLINK("#",""), HYPERLINK(CONCATENATE("#Metadata!", ADDRESS(INDEX($AJ$2:$AJ$1001,MATCH(ROWS($AH$2:AH141),$AH$2:$AH$1001,0),0), INDEX($AO$1004:$BQ$1004,1,MATCH(COLUMNS($AO$1006:BL1006),$AO$1006:$BQ$1006,0)))),"Fix")))</f>
        <v>#N/A</v>
      </c>
      <c r="Z141" s="5" t="e">
        <f ca="1">IF(OR(INDEX($AI$2:$AI$1001,MATCH(ROWS($AH$2:AH141),$AH$2:$AH$1001,0),1)&gt;=100000,INDEX($AO$1005:$BQ$1005,1,MATCH(COLUMNS($AO$1006:BM1006),$AO$1006:$BQ$1006,0))&gt;=100000), " ",IF(INDEX($AO$2:$BQ$1001,MATCH(ROWS($AH$2:AH141),$AH$2:$AH$1001,0),MATCH(COLUMNS($AO$1006:BM1006),$AO$1006:$BQ$1006,0)), HYPERLINK("#",""), HYPERLINK(CONCATENATE("#Metadata!", ADDRESS(INDEX($AJ$2:$AJ$1001,MATCH(ROWS($AH$2:AH141),$AH$2:$AH$1001,0),0), INDEX($AO$1004:$BQ$1004,1,MATCH(COLUMNS($AO$1006:BM1006),$AO$1006:$BQ$1006,0)))),"Fix")))</f>
        <v>#N/A</v>
      </c>
      <c r="AA141" s="5" t="e">
        <f ca="1">IF(OR(INDEX($AI$2:$AI$1001,MATCH(ROWS($AH$2:AH141),$AH$2:$AH$1001,0),1)&gt;=100000,INDEX($AO$1005:$BQ$1005,1,MATCH(COLUMNS($AO$1006:BN1006),$AO$1006:$BQ$1006,0))&gt;=100000), " ",IF(INDEX($AO$2:$BQ$1001,MATCH(ROWS($AH$2:AH141),$AH$2:$AH$1001,0),MATCH(COLUMNS($AO$1006:BN1006),$AO$1006:$BQ$1006,0)), HYPERLINK("#",""), HYPERLINK(CONCATENATE("#Metadata!", ADDRESS(INDEX($AJ$2:$AJ$1001,MATCH(ROWS($AH$2:AH141),$AH$2:$AH$1001,0),0), INDEX($AO$1004:$BQ$1004,1,MATCH(COLUMNS($AO$1006:BN1006),$AO$1006:$BQ$1006,0)))),"Fix")))</f>
        <v>#N/A</v>
      </c>
      <c r="AB141" s="5" t="e">
        <f ca="1">IF(OR(INDEX($AI$2:$AI$1001,MATCH(ROWS($AH$2:AH141),$AH$2:$AH$1001,0),1)&gt;=100000,INDEX($AO$1005:$BQ$1005,1,MATCH(COLUMNS($AO$1006:BO1006),$AO$1006:$BQ$1006,0))&gt;=100000), " ",IF(INDEX($AO$2:$BQ$1001,MATCH(ROWS($AH$2:AH141),$AH$2:$AH$1001,0),MATCH(COLUMNS($AO$1006:BO1006),$AO$1006:$BQ$1006,0)), HYPERLINK("#",""), HYPERLINK(CONCATENATE("#Metadata!", ADDRESS(INDEX($AJ$2:$AJ$1001,MATCH(ROWS($AH$2:AH141),$AH$2:$AH$1001,0),0), INDEX($AO$1004:$BQ$1004,1,MATCH(COLUMNS($AO$1006:BO1006),$AO$1006:$BQ$1006,0)))),"Fix")))</f>
        <v>#N/A</v>
      </c>
      <c r="AC141" s="5" t="e">
        <f ca="1">IF(OR(INDEX($AI$2:$AI$1001,MATCH(ROWS($AH$2:AH141),$AH$2:$AH$1001,0),1)&gt;=100000,INDEX($AO$1005:$BQ$1005,1,MATCH(COLUMNS($AO$1006:BP1006),$AO$1006:$BQ$1006,0))&gt;=100000), " ",IF(INDEX($AO$2:$BQ$1001,MATCH(ROWS($AH$2:AH141),$AH$2:$AH$1001,0),MATCH(COLUMNS($AO$1006:BP1006),$AO$1006:$BQ$1006,0)), HYPERLINK("#",""), HYPERLINK(CONCATENATE("#Metadata!", ADDRESS(INDEX($AJ$2:$AJ$1001,MATCH(ROWS($AH$2:AH141),$AH$2:$AH$1001,0),0), INDEX($AO$1004:$BQ$1004,1,MATCH(COLUMNS($AO$1006:BP1006),$AO$1006:$BQ$1006,0)))),"Fix")))</f>
        <v>#N/A</v>
      </c>
      <c r="AD141" s="5" t="e">
        <f ca="1">IF(OR(INDEX($AI$2:$AI$1001,MATCH(ROWS($AH$2:AH141),$AH$2:$AH$1001,0),1)&gt;=100000,INDEX($AO$1005:$BQ$1005,1,MATCH(COLUMNS($AO$1006:BQ1006),$AO$1006:$BQ$1006,0))&gt;=100000), " ",IF(INDEX($AO$2:$BQ$1001,MATCH(ROWS($AH$2:AH141),$AH$2:$AH$1001,0),MATCH(COLUMNS($AO$1006:BQ1006),$AO$1006:$BQ$1006,0)), HYPERLINK("#",""), HYPERLINK(CONCATENATE("#Metadata!", ADDRESS(INDEX($AJ$2:$AJ$1001,MATCH(ROWS($AH$2:AH141),$AH$2:$AH$1001,0),0), INDEX($AO$1004:$BQ$1004,1,MATCH(COLUMNS($AO$1006:BQ1006),$AO$1006:$BQ$1006,0)))),"Fix")))</f>
        <v>#REF!</v>
      </c>
      <c r="AH141">
        <f ca="1"/>
        <v>138</v>
      </c>
      <c r="AI141">
        <v>100141</v>
      </c>
      <c r="AJ141">
        <v>141</v>
      </c>
      <c r="AK141" t="b">
        <f t="shared" si="2"/>
        <v>1</v>
      </c>
      <c r="AL141" t="b">
        <f>COUNTBLANK(Metadata!B141:AD141)=COLUMNS(Metadata!B141:AD141)</f>
        <v>1</v>
      </c>
      <c r="AM141" t="str">
        <v/>
      </c>
      <c r="AO141" t="b">
        <f ca="1">AND(IF(Metadata!B141="",FALSE,TRUE),COUNTIF(Metadata!B:B, Metadata!B141) = 1,NOT(ISERROR(SUMPRODUCT(SEARCH(MID(Metadata!B141,ROW(INDIRECT("1:"&amp;LEN(Metadata!B141))), 1),"0123456789abcdefghijklmnopqrstuvwxyzABCDEFGHIJKLMNOPQRSTUVWXYZ.")))))</f>
        <v>0</v>
      </c>
      <c r="AP141" t="b">
        <f>IF(Metadata!C141="",FALSE,TRUE)</f>
        <v>0</v>
      </c>
      <c r="AQ141" t="b">
        <f>IF(Metadata!D141="",FALSE,TRUE)</f>
        <v>0</v>
      </c>
      <c r="AR141" t="b">
        <f ca="1">OR(AND(IF(Metadata!E141="",FALSE,TRUE),OR(EXACT(Metadata!E141,"not collected"),EXACT(Metadata!E141,"not provided"),EXACT(Metadata!E141,"restricted access"))),AND(IF(Metadata!E141="",FALSE,TRUE),AND(AND(IFERROR(INT(LEFT(Metadata!E141,4))&gt;1900,FALSE),IFERROR(INT(LEFT(Metadata!E141,4))&lt;=YEAR(NOW()),FALSE)), OR(MID(Metadata!E141,5,1)="", AND(AND(MID(Metadata!E141,5,1)="-",IFERROR(INT(MID(Metadata!E141,6,1))&gt;=0,FALSE),IFERROR(INT(MID(Metadata!E141,6,1))&lt;=1,FALSE),NOT(MID(Metadata!E141,7,1)=""),IFERROR(INT(MID(Metadata!E141,6,2))&gt;=1,FALSE),IFERROR(INT(MID(Metadata!E141,6,2))&lt;=12,FALSE)), OR(MID(Metadata!E141,8,1)="", AND(AND(MID(Metadata!E141,8,1)="-",IFERROR(INT(MID(Metadata!E141,9,1))&gt;=0,FALSE),IFERROR(INT(MID(Metadata!E141,9,1))&lt;=3,FALSE),NOT(MID(Metadata!E141,10,1)=""),IFERROR(INT(MID(Metadata!E141,9,2))&gt;=1,FALSE),IFERROR(INT(MID(Metadata!E141,9,2))&lt;=31,FALSE)), OR(MID(Metadata!E141,11,1)="", AND(AND(MID(Metadata!E141,11,1)=" ",IFERROR(INT(MID(Metadata!E141,12,1))&gt;=0,FALSE),IFERROR(INT(MID(Metadata!E141,12,1))&lt;=2,FALSE),NOT(MID(Metadata!E141,13,1)=""),IFERROR(INT(MID(Metadata!E141,12,2))&gt;=0,FALSE),IFERROR(INT(MID(Metadata!E141,12,2))&lt;=23,FALSE)), OR(MID(Metadata!E141,14,1)="", AND(AND(MID(Metadata!E141,14,1)=":",IFERROR(INT(MID(Metadata!E141,15,1))&gt;=0,FALSE),IFERROR(INT(MID(Metadata!E141,15,1))&lt;=5,FALSE),NOT(MID(Metadata!E141,16,1)=""),IFERROR(INT(MID(Metadata!E141,15,2))&gt;=0,FALSE),IFERROR(INT(MID(Metadata!E141,15,2))&lt;=59,FALSE)), OR(MID(Metadata!E141,17,1)="", AND(AND(MID(Metadata!E141,17,1)=":",IFERROR(INT(MID(Metadata!E141,18,1))&gt;=0,FALSE),IFERROR(INT(MID(Metadata!E141,18,1))&lt;=5,FALSE),NOT(MID(Metadata!E141,19,1)=""),IFERROR(INT(MID(Metadata!E141,18,2))&gt;=0,FALSE),IFERROR(INT(MID(Metadata!E141,18,2))&lt;=59,FALSE)), LEN(Metadata!E141)&lt;=19)))))))))))))</f>
        <v>0</v>
      </c>
      <c r="AS141" t="b">
        <f>IF(Metadata!F141="",FALSE,TRUE)</f>
        <v>0</v>
      </c>
      <c r="AT141" t="b">
        <f>OR(AND(IF(Metadata!G141="",FALSE,TRUE),OR(EXACT(Metadata!G141,"not collected"),EXACT(Metadata!G141,"not provided"))),AND(IF(Metadata!G141="",FALSE,TRUE),OR(EXACT(Metadata!G141,"TRUE"),EXACT(Metadata!G141,"FALSE"))))</f>
        <v>0</v>
      </c>
      <c r="AU141" t="b">
        <f>OR(AND(IF(Metadata!H141="",FALSE,TRUE),OR(EXACT(Metadata!H141,"not collected"),EXACT(Metadata!H141,"not provided"),EXACT(Metadata!H141,"restricted access"))),AND(IF(Metadata!H141="",FALSE,ISNUMBER(VALUE(Metadata!H141))),Metadata!H141&gt;=-413))</f>
        <v>0</v>
      </c>
      <c r="AV141" t="b">
        <f>AND(IF(Metadata!I141="",FALSE,TRUE),EXACT(Metadata!I141,"meters"))</f>
        <v>0</v>
      </c>
      <c r="AW141" t="b">
        <f>AND(IF(Metadata!J141="",FALSE,TRUE),EXACT(Metadata!J141,"free-living"))</f>
        <v>0</v>
      </c>
      <c r="AX141" t="b">
        <f>AND(IF(Metadata!K141="",FALSE,TRUE),OR(EXACT(Metadata!K141,"saline"),EXACT(Metadata!K141,"non-saline")))</f>
        <v>0</v>
      </c>
      <c r="AY141" t="b">
        <f>AND(IF(Metadata!L141="",FALSE,TRUE),OR(EXACT(Metadata!L141,"sub-surface (non-saline)"),EXACT(Metadata!L141,"surface (non-saline)"),EXACT(Metadata!L141,"water (non-saline)"),EXACT(Metadata!L141,"soil (non-saline)"),EXACT(Metadata!L141,"aerosol (non-saline)"),EXACT(Metadata!L141,"sediment (non-saline)"),EXACT(Metadata!L141,"surface (saline)"),EXACT(Metadata!L141,"water (saline)"),EXACT(Metadata!L141,"hypersaline (saline)"),EXACT(Metadata!L141,"aerosol (saline)"),EXACT(Metadata!L141,"sediment (saline)")))</f>
        <v>0</v>
      </c>
      <c r="AZ141" t="b">
        <f>IF(Metadata!M141="",FALSE,TRUE)</f>
        <v>0</v>
      </c>
      <c r="BA141" t="b">
        <f>IF(Metadata!N141="",FALSE,TRUE)</f>
        <v>0</v>
      </c>
      <c r="BB141" t="b">
        <f>IF(Metadata!O141="",FALSE,TRUE)</f>
        <v>0</v>
      </c>
      <c r="BC141" t="b">
        <f>AND(IF(Metadata!P141="",FALSE,TRUE),OR(EXACT(Metadata!P141,"air"),EXACT(Metadata!P141,"microbial mat/biofilm"),EXACT(Metadata!P141,"misc environment"),EXACT(Metadata!P141,"sediment"),EXACT(Metadata!P141,"soil"),EXACT(Metadata!P141,"wastewater/sludge"),EXACT(Metadata!P141,"water")))</f>
        <v>0</v>
      </c>
      <c r="BD141" t="b">
        <f>IF(Metadata!Q141="",FALSE,TRUE)</f>
        <v>0</v>
      </c>
      <c r="BE141" t="b">
        <f>IF(Metadata!R141="",FALSE,TRUE)</f>
        <v>0</v>
      </c>
      <c r="BF141" t="b">
        <f>OR(AND(IF(Metadata!S141="",FALSE,TRUE),OR(EXACT(Metadata!S141,"not collected"),EXACT(Metadata!S141,"not provided"),EXACT(Metadata!S141,"restricted access"))),AND(IF(Metadata!S141="",FALSE,ISNUMBER(VALUE(Metadata!S141))),Metadata!S141&gt;=-90,Metadata!S141&lt;=90))</f>
        <v>0</v>
      </c>
      <c r="BG141" t="b">
        <f>AND(IF(Metadata!T141="",FALSE,TRUE),EXACT(Metadata!T141,"Decimal degrees"))</f>
        <v>0</v>
      </c>
      <c r="BH141" t="b">
        <f>OR(AND(IF(Metadata!U141="",FALSE,TRUE),OR(EXACT(Metadata!U141,"not applicable"),EXACT(Metadata!U141,"not collected"))),IF(Metadata!U141="",FALSE,TRUE))</f>
        <v>0</v>
      </c>
      <c r="BI141" t="b">
        <f>OR(AND(IF(Metadata!V141="",FALSE,TRUE),OR(EXACT(Metadata!V141,"not collected"),EXACT(Metadata!V141,"not provided"),EXACT(Metadata!V141,"restricted access"))),AND(IF(Metadata!V141="",FALSE,ISNUMBER(VALUE(Metadata!V141))),Metadata!V141&gt;=-180,Metadata!V141&lt;=180))</f>
        <v>0</v>
      </c>
      <c r="BJ141" t="b">
        <f>AND(IF(Metadata!W141="",FALSE,TRUE),EXACT(Metadata!W141,"Decimal degrees"))</f>
        <v>0</v>
      </c>
      <c r="BK141" t="b">
        <f>IF(Metadata!X141="",FALSE,TRUE)</f>
        <v>0</v>
      </c>
      <c r="BL141" t="b">
        <f>OR(AND(IF(Metadata!Y141="",FALSE,TRUE),OR(EXACT(Metadata!Y141,"not collected"),EXACT(Metadata!Y141,"not provided"),EXACT(Metadata!Y141,"restricted access"))),AND(IF(Metadata!Y141="",FALSE,TRUE),OR(EXACT(Metadata!Y141,"TRUE"),EXACT(Metadata!Y141,"FALSE"))))</f>
        <v>0</v>
      </c>
      <c r="BM141" t="b">
        <f>OR(AND(IF(Metadata!Z141="",FALSE,TRUE),EXACT(Metadata!Z141,"not applicable")),AND(IF(Metadata!Z141="",FALSE,TRUE),OR(EXACT(Metadata!Z141,"beer"),EXACT(Metadata!Z141,"cheese"),EXACT(Metadata!Z141,"fresh water"),EXACT(Metadata!Z141,"marine sediment"),EXACT(Metadata!Z141,"sea water"),EXACT(Metadata!Z141,"sediment"),EXACT(Metadata!Z141,"soil"),EXACT(Metadata!Z141,"waste water"))))</f>
        <v>0</v>
      </c>
      <c r="BN141" t="b">
        <f>AND(IF(Metadata!AA141="",FALSE,TRUE),EXACT(Metadata!AA141,"metagenome"))</f>
        <v>0</v>
      </c>
      <c r="BO141" t="b">
        <f>AND(IF(Metadata!AB141="",FALSE,TRUE),EXACT(Metadata!AB141,"256318"))</f>
        <v>0</v>
      </c>
      <c r="BP141" t="b">
        <f>IF(Metadata!AC141="",FALSE,TRUE)</f>
        <v>0</v>
      </c>
      <c r="BQ141" t="b">
        <f>IF(Metadata!AD141="",FALSE,TRUE)</f>
        <v>0</v>
      </c>
    </row>
    <row r="142" spans="1:69" x14ac:dyDescent="0.2">
      <c r="A142" s="4" t="e">
        <f ca="1">IF(B142=" "," ",HYPERLINK(CONCATENATE("#metadata!",ADDRESS(INDEX($AJ$2:$AJ$1001,MATCH(ROWS($AH$2:AH142),$AH$2:$AH$1001,0),0),2)),INDEX($AM$2:$AM$1001,MATCH(ROWS($AH$2:AH142),$AH$2:$AH$1001,0),0)))</f>
        <v>#N/A</v>
      </c>
      <c r="B142" s="5" t="e">
        <f ca="1">IF(OR(INDEX($AI$2:$AI$1001,MATCH(ROWS($AH$2:AH142),$AH$2:$AH$1001,0),1)&gt;=100000,INDEX($AO$1005:$BQ$1005,1,MATCH(COLUMNS($AO$1006:AO1006),$AO$1006:$BQ$1006,0))&gt;=100000), " ",IF(INDEX($AO$2:$BQ$1001,MATCH(ROWS($AH$2:AH142),$AH$2:$AH$1001,0),MATCH(COLUMNS($AO$1006:AO1006),$AO$1006:$BQ$1006,0)), HYPERLINK("#",""), HYPERLINK(CONCATENATE("#Metadata!", ADDRESS(INDEX($AJ$2:$AJ$1001,MATCH(ROWS($AH$2:AH142),$AH$2:$AH$1001,0),0), INDEX($AO$1004:$BQ$1004,1,MATCH(COLUMNS($AO$1006:AO1006),$AO$1006:$BQ$1006,0)))),"Fix")))</f>
        <v>#N/A</v>
      </c>
      <c r="C142" s="5" t="e">
        <f ca="1">IF(OR(INDEX($AI$2:$AI$1001,MATCH(ROWS($AH$2:AH142),$AH$2:$AH$1001,0),1)&gt;=100000,INDEX($AO$1005:$BQ$1005,1,MATCH(COLUMNS($AO$1006:AP1006),$AO$1006:$BQ$1006,0))&gt;=100000), " ",IF(INDEX($AO$2:$BQ$1001,MATCH(ROWS($AH$2:AH142),$AH$2:$AH$1001,0),MATCH(COLUMNS($AO$1006:AP1006),$AO$1006:$BQ$1006,0)), HYPERLINK("#",""), HYPERLINK(CONCATENATE("#Metadata!", ADDRESS(INDEX($AJ$2:$AJ$1001,MATCH(ROWS($AH$2:AH142),$AH$2:$AH$1001,0),0), INDEX($AO$1004:$BQ$1004,1,MATCH(COLUMNS($AO$1006:AP1006),$AO$1006:$BQ$1006,0)))),"Fix")))</f>
        <v>#N/A</v>
      </c>
      <c r="D142" s="5" t="e">
        <f ca="1">IF(OR(INDEX($AI$2:$AI$1001,MATCH(ROWS($AH$2:AH142),$AH$2:$AH$1001,0),1)&gt;=100000,INDEX($AO$1005:$BQ$1005,1,MATCH(COLUMNS($AO$1006:AQ1006),$AO$1006:$BQ$1006,0))&gt;=100000), " ",IF(INDEX($AO$2:$BQ$1001,MATCH(ROWS($AH$2:AH142),$AH$2:$AH$1001,0),MATCH(COLUMNS($AO$1006:AQ1006),$AO$1006:$BQ$1006,0)), HYPERLINK("#",""), HYPERLINK(CONCATENATE("#Metadata!", ADDRESS(INDEX($AJ$2:$AJ$1001,MATCH(ROWS($AH$2:AH142),$AH$2:$AH$1001,0),0), INDEX($AO$1004:$BQ$1004,1,MATCH(COLUMNS($AO$1006:AQ1006),$AO$1006:$BQ$1006,0)))),"Fix")))</f>
        <v>#N/A</v>
      </c>
      <c r="E142" s="5" t="e">
        <f ca="1">IF(OR(INDEX($AI$2:$AI$1001,MATCH(ROWS($AH$2:AH142),$AH$2:$AH$1001,0),1)&gt;=100000,INDEX($AO$1005:$BQ$1005,1,MATCH(COLUMNS($AO$1006:AR1006),$AO$1006:$BQ$1006,0))&gt;=100000), " ",IF(INDEX($AO$2:$BQ$1001,MATCH(ROWS($AH$2:AH142),$AH$2:$AH$1001,0),MATCH(COLUMNS($AO$1006:AR1006),$AO$1006:$BQ$1006,0)), HYPERLINK("#",""), HYPERLINK(CONCATENATE("#Metadata!", ADDRESS(INDEX($AJ$2:$AJ$1001,MATCH(ROWS($AH$2:AH142),$AH$2:$AH$1001,0),0), INDEX($AO$1004:$BQ$1004,1,MATCH(COLUMNS($AO$1006:AR1006),$AO$1006:$BQ$1006,0)))),"Fix")))</f>
        <v>#N/A</v>
      </c>
      <c r="F142" s="5" t="e">
        <f ca="1">IF(OR(INDEX($AI$2:$AI$1001,MATCH(ROWS($AH$2:AH142),$AH$2:$AH$1001,0),1)&gt;=100000,INDEX($AO$1005:$BQ$1005,1,MATCH(COLUMNS($AO$1006:AS1006),$AO$1006:$BQ$1006,0))&gt;=100000), " ",IF(INDEX($AO$2:$BQ$1001,MATCH(ROWS($AH$2:AH142),$AH$2:$AH$1001,0),MATCH(COLUMNS($AO$1006:AS1006),$AO$1006:$BQ$1006,0)), HYPERLINK("#",""), HYPERLINK(CONCATENATE("#Metadata!", ADDRESS(INDEX($AJ$2:$AJ$1001,MATCH(ROWS($AH$2:AH142),$AH$2:$AH$1001,0),0), INDEX($AO$1004:$BQ$1004,1,MATCH(COLUMNS($AO$1006:AS1006),$AO$1006:$BQ$1006,0)))),"Fix")))</f>
        <v>#N/A</v>
      </c>
      <c r="G142" s="5" t="e">
        <f ca="1">IF(OR(INDEX($AI$2:$AI$1001,MATCH(ROWS($AH$2:AH142),$AH$2:$AH$1001,0),1)&gt;=100000,INDEX($AO$1005:$BQ$1005,1,MATCH(COLUMNS($AO$1006:AT1006),$AO$1006:$BQ$1006,0))&gt;=100000), " ",IF(INDEX($AO$2:$BQ$1001,MATCH(ROWS($AH$2:AH142),$AH$2:$AH$1001,0),MATCH(COLUMNS($AO$1006:AT1006),$AO$1006:$BQ$1006,0)), HYPERLINK("#",""), HYPERLINK(CONCATENATE("#Metadata!", ADDRESS(INDEX($AJ$2:$AJ$1001,MATCH(ROWS($AH$2:AH142),$AH$2:$AH$1001,0),0), INDEX($AO$1004:$BQ$1004,1,MATCH(COLUMNS($AO$1006:AT1006),$AO$1006:$BQ$1006,0)))),"Fix")))</f>
        <v>#N/A</v>
      </c>
      <c r="H142" s="5" t="e">
        <f ca="1">IF(OR(INDEX($AI$2:$AI$1001,MATCH(ROWS($AH$2:AH142),$AH$2:$AH$1001,0),1)&gt;=100000,INDEX($AO$1005:$BQ$1005,1,MATCH(COLUMNS($AO$1006:AU1006),$AO$1006:$BQ$1006,0))&gt;=100000), " ",IF(INDEX($AO$2:$BQ$1001,MATCH(ROWS($AH$2:AH142),$AH$2:$AH$1001,0),MATCH(COLUMNS($AO$1006:AU1006),$AO$1006:$BQ$1006,0)), HYPERLINK("#",""), HYPERLINK(CONCATENATE("#Metadata!", ADDRESS(INDEX($AJ$2:$AJ$1001,MATCH(ROWS($AH$2:AH142),$AH$2:$AH$1001,0),0), INDEX($AO$1004:$BQ$1004,1,MATCH(COLUMNS($AO$1006:AU1006),$AO$1006:$BQ$1006,0)))),"Fix")))</f>
        <v>#N/A</v>
      </c>
      <c r="I142" s="5" t="e">
        <f ca="1">IF(OR(INDEX($AI$2:$AI$1001,MATCH(ROWS($AH$2:AH142),$AH$2:$AH$1001,0),1)&gt;=100000,INDEX($AO$1005:$BQ$1005,1,MATCH(COLUMNS($AO$1006:AV1006),$AO$1006:$BQ$1006,0))&gt;=100000), " ",IF(INDEX($AO$2:$BQ$1001,MATCH(ROWS($AH$2:AH142),$AH$2:$AH$1001,0),MATCH(COLUMNS($AO$1006:AV1006),$AO$1006:$BQ$1006,0)), HYPERLINK("#",""), HYPERLINK(CONCATENATE("#Metadata!", ADDRESS(INDEX($AJ$2:$AJ$1001,MATCH(ROWS($AH$2:AH142),$AH$2:$AH$1001,0),0), INDEX($AO$1004:$BQ$1004,1,MATCH(COLUMNS($AO$1006:AV1006),$AO$1006:$BQ$1006,0)))),"Fix")))</f>
        <v>#N/A</v>
      </c>
      <c r="J142" s="5" t="e">
        <f ca="1">IF(OR(INDEX($AI$2:$AI$1001,MATCH(ROWS($AH$2:AH142),$AH$2:$AH$1001,0),1)&gt;=100000,INDEX($AO$1005:$BQ$1005,1,MATCH(COLUMNS($AO$1006:AW1006),$AO$1006:$BQ$1006,0))&gt;=100000), " ",IF(INDEX($AO$2:$BQ$1001,MATCH(ROWS($AH$2:AH142),$AH$2:$AH$1001,0),MATCH(COLUMNS($AO$1006:AW1006),$AO$1006:$BQ$1006,0)), HYPERLINK("#",""), HYPERLINK(CONCATENATE("#Metadata!", ADDRESS(INDEX($AJ$2:$AJ$1001,MATCH(ROWS($AH$2:AH142),$AH$2:$AH$1001,0),0), INDEX($AO$1004:$BQ$1004,1,MATCH(COLUMNS($AO$1006:AW1006),$AO$1006:$BQ$1006,0)))),"Fix")))</f>
        <v>#N/A</v>
      </c>
      <c r="K142" s="5" t="e">
        <f ca="1">IF(OR(INDEX($AI$2:$AI$1001,MATCH(ROWS($AH$2:AH142),$AH$2:$AH$1001,0),1)&gt;=100000,INDEX($AO$1005:$BQ$1005,1,MATCH(COLUMNS($AO$1006:AX1006),$AO$1006:$BQ$1006,0))&gt;=100000), " ",IF(INDEX($AO$2:$BQ$1001,MATCH(ROWS($AH$2:AH142),$AH$2:$AH$1001,0),MATCH(COLUMNS($AO$1006:AX1006),$AO$1006:$BQ$1006,0)), HYPERLINK("#",""), HYPERLINK(CONCATENATE("#Metadata!", ADDRESS(INDEX($AJ$2:$AJ$1001,MATCH(ROWS($AH$2:AH142),$AH$2:$AH$1001,0),0), INDEX($AO$1004:$BQ$1004,1,MATCH(COLUMNS($AO$1006:AX1006),$AO$1006:$BQ$1006,0)))),"Fix")))</f>
        <v>#N/A</v>
      </c>
      <c r="L142" s="5" t="e">
        <f ca="1">IF(OR(INDEX($AI$2:$AI$1001,MATCH(ROWS($AH$2:AH142),$AH$2:$AH$1001,0),1)&gt;=100000,INDEX($AO$1005:$BQ$1005,1,MATCH(COLUMNS($AO$1006:AY1006),$AO$1006:$BQ$1006,0))&gt;=100000), " ",IF(INDEX($AO$2:$BQ$1001,MATCH(ROWS($AH$2:AH142),$AH$2:$AH$1001,0),MATCH(COLUMNS($AO$1006:AY1006),$AO$1006:$BQ$1006,0)), HYPERLINK("#",""), HYPERLINK(CONCATENATE("#Metadata!", ADDRESS(INDEX($AJ$2:$AJ$1001,MATCH(ROWS($AH$2:AH142),$AH$2:$AH$1001,0),0), INDEX($AO$1004:$BQ$1004,1,MATCH(COLUMNS($AO$1006:AY1006),$AO$1006:$BQ$1006,0)))),"Fix")))</f>
        <v>#N/A</v>
      </c>
      <c r="M142" s="5" t="e">
        <f ca="1">IF(OR(INDEX($AI$2:$AI$1001,MATCH(ROWS($AH$2:AH142),$AH$2:$AH$1001,0),1)&gt;=100000,INDEX($AO$1005:$BQ$1005,1,MATCH(COLUMNS($AO$1006:AZ1006),$AO$1006:$BQ$1006,0))&gt;=100000), " ",IF(INDEX($AO$2:$BQ$1001,MATCH(ROWS($AH$2:AH142),$AH$2:$AH$1001,0),MATCH(COLUMNS($AO$1006:AZ1006),$AO$1006:$BQ$1006,0)), HYPERLINK("#",""), HYPERLINK(CONCATENATE("#Metadata!", ADDRESS(INDEX($AJ$2:$AJ$1001,MATCH(ROWS($AH$2:AH142),$AH$2:$AH$1001,0),0), INDEX($AO$1004:$BQ$1004,1,MATCH(COLUMNS($AO$1006:AZ1006),$AO$1006:$BQ$1006,0)))),"Fix")))</f>
        <v>#N/A</v>
      </c>
      <c r="N142" s="5" t="e">
        <f ca="1">IF(OR(INDEX($AI$2:$AI$1001,MATCH(ROWS($AH$2:AH142),$AH$2:$AH$1001,0),1)&gt;=100000,INDEX($AO$1005:$BQ$1005,1,MATCH(COLUMNS($AO$1006:BA1006),$AO$1006:$BQ$1006,0))&gt;=100000), " ",IF(INDEX($AO$2:$BQ$1001,MATCH(ROWS($AH$2:AH142),$AH$2:$AH$1001,0),MATCH(COLUMNS($AO$1006:BA1006),$AO$1006:$BQ$1006,0)), HYPERLINK("#",""), HYPERLINK(CONCATENATE("#Metadata!", ADDRESS(INDEX($AJ$2:$AJ$1001,MATCH(ROWS($AH$2:AH142),$AH$2:$AH$1001,0),0), INDEX($AO$1004:$BQ$1004,1,MATCH(COLUMNS($AO$1006:BA1006),$AO$1006:$BQ$1006,0)))),"Fix")))</f>
        <v>#N/A</v>
      </c>
      <c r="O142" s="5" t="e">
        <f ca="1">IF(OR(INDEX($AI$2:$AI$1001,MATCH(ROWS($AH$2:AH142),$AH$2:$AH$1001,0),1)&gt;=100000,INDEX($AO$1005:$BQ$1005,1,MATCH(COLUMNS($AO$1006:BB1006),$AO$1006:$BQ$1006,0))&gt;=100000), " ",IF(INDEX($AO$2:$BQ$1001,MATCH(ROWS($AH$2:AH142),$AH$2:$AH$1001,0),MATCH(COLUMNS($AO$1006:BB1006),$AO$1006:$BQ$1006,0)), HYPERLINK("#",""), HYPERLINK(CONCATENATE("#Metadata!", ADDRESS(INDEX($AJ$2:$AJ$1001,MATCH(ROWS($AH$2:AH142),$AH$2:$AH$1001,0),0), INDEX($AO$1004:$BQ$1004,1,MATCH(COLUMNS($AO$1006:BB1006),$AO$1006:$BQ$1006,0)))),"Fix")))</f>
        <v>#N/A</v>
      </c>
      <c r="P142" s="5" t="e">
        <f ca="1">IF(OR(INDEX($AI$2:$AI$1001,MATCH(ROWS($AH$2:AH142),$AH$2:$AH$1001,0),1)&gt;=100000,INDEX($AO$1005:$BQ$1005,1,MATCH(COLUMNS($AO$1006:BC1006),$AO$1006:$BQ$1006,0))&gt;=100000), " ",IF(INDEX($AO$2:$BQ$1001,MATCH(ROWS($AH$2:AH142),$AH$2:$AH$1001,0),MATCH(COLUMNS($AO$1006:BC1006),$AO$1006:$BQ$1006,0)), HYPERLINK("#",""), HYPERLINK(CONCATENATE("#Metadata!", ADDRESS(INDEX($AJ$2:$AJ$1001,MATCH(ROWS($AH$2:AH142),$AH$2:$AH$1001,0),0), INDEX($AO$1004:$BQ$1004,1,MATCH(COLUMNS($AO$1006:BC1006),$AO$1006:$BQ$1006,0)))),"Fix")))</f>
        <v>#N/A</v>
      </c>
      <c r="Q142" s="5" t="e">
        <f ca="1">IF(OR(INDEX($AI$2:$AI$1001,MATCH(ROWS($AH$2:AH142),$AH$2:$AH$1001,0),1)&gt;=100000,INDEX($AO$1005:$BQ$1005,1,MATCH(COLUMNS($AO$1006:BD1006),$AO$1006:$BQ$1006,0))&gt;=100000), " ",IF(INDEX($AO$2:$BQ$1001,MATCH(ROWS($AH$2:AH142),$AH$2:$AH$1001,0),MATCH(COLUMNS($AO$1006:BD1006),$AO$1006:$BQ$1006,0)), HYPERLINK("#",""), HYPERLINK(CONCATENATE("#Metadata!", ADDRESS(INDEX($AJ$2:$AJ$1001,MATCH(ROWS($AH$2:AH142),$AH$2:$AH$1001,0),0), INDEX($AO$1004:$BQ$1004,1,MATCH(COLUMNS($AO$1006:BD1006),$AO$1006:$BQ$1006,0)))),"Fix")))</f>
        <v>#N/A</v>
      </c>
      <c r="R142" s="5" t="e">
        <f ca="1">IF(OR(INDEX($AI$2:$AI$1001,MATCH(ROWS($AH$2:AH142),$AH$2:$AH$1001,0),1)&gt;=100000,INDEX($AO$1005:$BQ$1005,1,MATCH(COLUMNS($AO$1006:BE1006),$AO$1006:$BQ$1006,0))&gt;=100000), " ",IF(INDEX($AO$2:$BQ$1001,MATCH(ROWS($AH$2:AH142),$AH$2:$AH$1001,0),MATCH(COLUMNS($AO$1006:BE1006),$AO$1006:$BQ$1006,0)), HYPERLINK("#",""), HYPERLINK(CONCATENATE("#Metadata!", ADDRESS(INDEX($AJ$2:$AJ$1001,MATCH(ROWS($AH$2:AH142),$AH$2:$AH$1001,0),0), INDEX($AO$1004:$BQ$1004,1,MATCH(COLUMNS($AO$1006:BE1006),$AO$1006:$BQ$1006,0)))),"Fix")))</f>
        <v>#N/A</v>
      </c>
      <c r="S142" s="5" t="e">
        <f ca="1">IF(OR(INDEX($AI$2:$AI$1001,MATCH(ROWS($AH$2:AH142),$AH$2:$AH$1001,0),1)&gt;=100000,INDEX($AO$1005:$BQ$1005,1,MATCH(COLUMNS($AO$1006:BF1006),$AO$1006:$BQ$1006,0))&gt;=100000), " ",IF(INDEX($AO$2:$BQ$1001,MATCH(ROWS($AH$2:AH142),$AH$2:$AH$1001,0),MATCH(COLUMNS($AO$1006:BF1006),$AO$1006:$BQ$1006,0)), HYPERLINK("#",""), HYPERLINK(CONCATENATE("#Metadata!", ADDRESS(INDEX($AJ$2:$AJ$1001,MATCH(ROWS($AH$2:AH142),$AH$2:$AH$1001,0),0), INDEX($AO$1004:$BQ$1004,1,MATCH(COLUMNS($AO$1006:BF1006),$AO$1006:$BQ$1006,0)))),"Fix")))</f>
        <v>#N/A</v>
      </c>
      <c r="T142" s="5" t="e">
        <f ca="1">IF(OR(INDEX($AI$2:$AI$1001,MATCH(ROWS($AH$2:AH142),$AH$2:$AH$1001,0),1)&gt;=100000,INDEX($AO$1005:$BQ$1005,1,MATCH(COLUMNS($AO$1006:BG1006),$AO$1006:$BQ$1006,0))&gt;=100000), " ",IF(INDEX($AO$2:$BQ$1001,MATCH(ROWS($AH$2:AH142),$AH$2:$AH$1001,0),MATCH(COLUMNS($AO$1006:BG1006),$AO$1006:$BQ$1006,0)), HYPERLINK("#",""), HYPERLINK(CONCATENATE("#Metadata!", ADDRESS(INDEX($AJ$2:$AJ$1001,MATCH(ROWS($AH$2:AH142),$AH$2:$AH$1001,0),0), INDEX($AO$1004:$BQ$1004,1,MATCH(COLUMNS($AO$1006:BG1006),$AO$1006:$BQ$1006,0)))),"Fix")))</f>
        <v>#N/A</v>
      </c>
      <c r="U142" s="5" t="e">
        <f ca="1">IF(OR(INDEX($AI$2:$AI$1001,MATCH(ROWS($AH$2:AH142),$AH$2:$AH$1001,0),1)&gt;=100000,INDEX($AO$1005:$BQ$1005,1,MATCH(COLUMNS($AO$1006:BH1006),$AO$1006:$BQ$1006,0))&gt;=100000), " ",IF(INDEX($AO$2:$BQ$1001,MATCH(ROWS($AH$2:AH142),$AH$2:$AH$1001,0),MATCH(COLUMNS($AO$1006:BH1006),$AO$1006:$BQ$1006,0)), HYPERLINK("#",""), HYPERLINK(CONCATENATE("#Metadata!", ADDRESS(INDEX($AJ$2:$AJ$1001,MATCH(ROWS($AH$2:AH142),$AH$2:$AH$1001,0),0), INDEX($AO$1004:$BQ$1004,1,MATCH(COLUMNS($AO$1006:BH1006),$AO$1006:$BQ$1006,0)))),"Fix")))</f>
        <v>#N/A</v>
      </c>
      <c r="V142" s="5" t="e">
        <f ca="1">IF(OR(INDEX($AI$2:$AI$1001,MATCH(ROWS($AH$2:AH142),$AH$2:$AH$1001,0),1)&gt;=100000,INDEX($AO$1005:$BQ$1005,1,MATCH(COLUMNS($AO$1006:BI1006),$AO$1006:$BQ$1006,0))&gt;=100000), " ",IF(INDEX($AO$2:$BQ$1001,MATCH(ROWS($AH$2:AH142),$AH$2:$AH$1001,0),MATCH(COLUMNS($AO$1006:BI1006),$AO$1006:$BQ$1006,0)), HYPERLINK("#",""), HYPERLINK(CONCATENATE("#Metadata!", ADDRESS(INDEX($AJ$2:$AJ$1001,MATCH(ROWS($AH$2:AH142),$AH$2:$AH$1001,0),0), INDEX($AO$1004:$BQ$1004,1,MATCH(COLUMNS($AO$1006:BI1006),$AO$1006:$BQ$1006,0)))),"Fix")))</f>
        <v>#N/A</v>
      </c>
      <c r="W142" s="5" t="e">
        <f ca="1">IF(OR(INDEX($AI$2:$AI$1001,MATCH(ROWS($AH$2:AH142),$AH$2:$AH$1001,0),1)&gt;=100000,INDEX($AO$1005:$BQ$1005,1,MATCH(COLUMNS($AO$1006:BJ1006),$AO$1006:$BQ$1006,0))&gt;=100000), " ",IF(INDEX($AO$2:$BQ$1001,MATCH(ROWS($AH$2:AH142),$AH$2:$AH$1001,0),MATCH(COLUMNS($AO$1006:BJ1006),$AO$1006:$BQ$1006,0)), HYPERLINK("#",""), HYPERLINK(CONCATENATE("#Metadata!", ADDRESS(INDEX($AJ$2:$AJ$1001,MATCH(ROWS($AH$2:AH142),$AH$2:$AH$1001,0),0), INDEX($AO$1004:$BQ$1004,1,MATCH(COLUMNS($AO$1006:BJ1006),$AO$1006:$BQ$1006,0)))),"Fix")))</f>
        <v>#N/A</v>
      </c>
      <c r="X142" s="5" t="e">
        <f ca="1">IF(OR(INDEX($AI$2:$AI$1001,MATCH(ROWS($AH$2:AH142),$AH$2:$AH$1001,0),1)&gt;=100000,INDEX($AO$1005:$BQ$1005,1,MATCH(COLUMNS($AO$1006:BK1006),$AO$1006:$BQ$1006,0))&gt;=100000), " ",IF(INDEX($AO$2:$BQ$1001,MATCH(ROWS($AH$2:AH142),$AH$2:$AH$1001,0),MATCH(COLUMNS($AO$1006:BK1006),$AO$1006:$BQ$1006,0)), HYPERLINK("#",""), HYPERLINK(CONCATENATE("#Metadata!", ADDRESS(INDEX($AJ$2:$AJ$1001,MATCH(ROWS($AH$2:AH142),$AH$2:$AH$1001,0),0), INDEX($AO$1004:$BQ$1004,1,MATCH(COLUMNS($AO$1006:BK1006),$AO$1006:$BQ$1006,0)))),"Fix")))</f>
        <v>#N/A</v>
      </c>
      <c r="Y142" s="5" t="e">
        <f ca="1">IF(OR(INDEX($AI$2:$AI$1001,MATCH(ROWS($AH$2:AH142),$AH$2:$AH$1001,0),1)&gt;=100000,INDEX($AO$1005:$BQ$1005,1,MATCH(COLUMNS($AO$1006:BL1006),$AO$1006:$BQ$1006,0))&gt;=100000), " ",IF(INDEX($AO$2:$BQ$1001,MATCH(ROWS($AH$2:AH142),$AH$2:$AH$1001,0),MATCH(COLUMNS($AO$1006:BL1006),$AO$1006:$BQ$1006,0)), HYPERLINK("#",""), HYPERLINK(CONCATENATE("#Metadata!", ADDRESS(INDEX($AJ$2:$AJ$1001,MATCH(ROWS($AH$2:AH142),$AH$2:$AH$1001,0),0), INDEX($AO$1004:$BQ$1004,1,MATCH(COLUMNS($AO$1006:BL1006),$AO$1006:$BQ$1006,0)))),"Fix")))</f>
        <v>#N/A</v>
      </c>
      <c r="Z142" s="5" t="e">
        <f ca="1">IF(OR(INDEX($AI$2:$AI$1001,MATCH(ROWS($AH$2:AH142),$AH$2:$AH$1001,0),1)&gt;=100000,INDEX($AO$1005:$BQ$1005,1,MATCH(COLUMNS($AO$1006:BM1006),$AO$1006:$BQ$1006,0))&gt;=100000), " ",IF(INDEX($AO$2:$BQ$1001,MATCH(ROWS($AH$2:AH142),$AH$2:$AH$1001,0),MATCH(COLUMNS($AO$1006:BM1006),$AO$1006:$BQ$1006,0)), HYPERLINK("#",""), HYPERLINK(CONCATENATE("#Metadata!", ADDRESS(INDEX($AJ$2:$AJ$1001,MATCH(ROWS($AH$2:AH142),$AH$2:$AH$1001,0),0), INDEX($AO$1004:$BQ$1004,1,MATCH(COLUMNS($AO$1006:BM1006),$AO$1006:$BQ$1006,0)))),"Fix")))</f>
        <v>#N/A</v>
      </c>
      <c r="AA142" s="5" t="e">
        <f ca="1">IF(OR(INDEX($AI$2:$AI$1001,MATCH(ROWS($AH$2:AH142),$AH$2:$AH$1001,0),1)&gt;=100000,INDEX($AO$1005:$BQ$1005,1,MATCH(COLUMNS($AO$1006:BN1006),$AO$1006:$BQ$1006,0))&gt;=100000), " ",IF(INDEX($AO$2:$BQ$1001,MATCH(ROWS($AH$2:AH142),$AH$2:$AH$1001,0),MATCH(COLUMNS($AO$1006:BN1006),$AO$1006:$BQ$1006,0)), HYPERLINK("#",""), HYPERLINK(CONCATENATE("#Metadata!", ADDRESS(INDEX($AJ$2:$AJ$1001,MATCH(ROWS($AH$2:AH142),$AH$2:$AH$1001,0),0), INDEX($AO$1004:$BQ$1004,1,MATCH(COLUMNS($AO$1006:BN1006),$AO$1006:$BQ$1006,0)))),"Fix")))</f>
        <v>#N/A</v>
      </c>
      <c r="AB142" s="5" t="e">
        <f ca="1">IF(OR(INDEX($AI$2:$AI$1001,MATCH(ROWS($AH$2:AH142),$AH$2:$AH$1001,0),1)&gt;=100000,INDEX($AO$1005:$BQ$1005,1,MATCH(COLUMNS($AO$1006:BO1006),$AO$1006:$BQ$1006,0))&gt;=100000), " ",IF(INDEX($AO$2:$BQ$1001,MATCH(ROWS($AH$2:AH142),$AH$2:$AH$1001,0),MATCH(COLUMNS($AO$1006:BO1006),$AO$1006:$BQ$1006,0)), HYPERLINK("#",""), HYPERLINK(CONCATENATE("#Metadata!", ADDRESS(INDEX($AJ$2:$AJ$1001,MATCH(ROWS($AH$2:AH142),$AH$2:$AH$1001,0),0), INDEX($AO$1004:$BQ$1004,1,MATCH(COLUMNS($AO$1006:BO1006),$AO$1006:$BQ$1006,0)))),"Fix")))</f>
        <v>#N/A</v>
      </c>
      <c r="AC142" s="5" t="e">
        <f ca="1">IF(OR(INDEX($AI$2:$AI$1001,MATCH(ROWS($AH$2:AH142),$AH$2:$AH$1001,0),1)&gt;=100000,INDEX($AO$1005:$BQ$1005,1,MATCH(COLUMNS($AO$1006:BP1006),$AO$1006:$BQ$1006,0))&gt;=100000), " ",IF(INDEX($AO$2:$BQ$1001,MATCH(ROWS($AH$2:AH142),$AH$2:$AH$1001,0),MATCH(COLUMNS($AO$1006:BP1006),$AO$1006:$BQ$1006,0)), HYPERLINK("#",""), HYPERLINK(CONCATENATE("#Metadata!", ADDRESS(INDEX($AJ$2:$AJ$1001,MATCH(ROWS($AH$2:AH142),$AH$2:$AH$1001,0),0), INDEX($AO$1004:$BQ$1004,1,MATCH(COLUMNS($AO$1006:BP1006),$AO$1006:$BQ$1006,0)))),"Fix")))</f>
        <v>#N/A</v>
      </c>
      <c r="AD142" s="5" t="e">
        <f ca="1">IF(OR(INDEX($AI$2:$AI$1001,MATCH(ROWS($AH$2:AH142),$AH$2:$AH$1001,0),1)&gt;=100000,INDEX($AO$1005:$BQ$1005,1,MATCH(COLUMNS($AO$1006:BQ1006),$AO$1006:$BQ$1006,0))&gt;=100000), " ",IF(INDEX($AO$2:$BQ$1001,MATCH(ROWS($AH$2:AH142),$AH$2:$AH$1001,0),MATCH(COLUMNS($AO$1006:BQ1006),$AO$1006:$BQ$1006,0)), HYPERLINK("#",""), HYPERLINK(CONCATENATE("#Metadata!", ADDRESS(INDEX($AJ$2:$AJ$1001,MATCH(ROWS($AH$2:AH142),$AH$2:$AH$1001,0),0), INDEX($AO$1004:$BQ$1004,1,MATCH(COLUMNS($AO$1006:BQ1006),$AO$1006:$BQ$1006,0)))),"Fix")))</f>
        <v>#REF!</v>
      </c>
      <c r="AH142">
        <f ca="1"/>
        <v>139</v>
      </c>
      <c r="AI142">
        <v>100142</v>
      </c>
      <c r="AJ142">
        <v>142</v>
      </c>
      <c r="AK142" t="b">
        <f t="shared" si="2"/>
        <v>1</v>
      </c>
      <c r="AL142" t="b">
        <f>COUNTBLANK(Metadata!B142:AD142)=COLUMNS(Metadata!B142:AD142)</f>
        <v>1</v>
      </c>
      <c r="AM142" t="str">
        <v/>
      </c>
      <c r="AO142" t="b">
        <f ca="1">AND(IF(Metadata!B142="",FALSE,TRUE),COUNTIF(Metadata!B:B, Metadata!B142) = 1,NOT(ISERROR(SUMPRODUCT(SEARCH(MID(Metadata!B142,ROW(INDIRECT("1:"&amp;LEN(Metadata!B142))), 1),"0123456789abcdefghijklmnopqrstuvwxyzABCDEFGHIJKLMNOPQRSTUVWXYZ.")))))</f>
        <v>0</v>
      </c>
      <c r="AP142" t="b">
        <f>IF(Metadata!C142="",FALSE,TRUE)</f>
        <v>0</v>
      </c>
      <c r="AQ142" t="b">
        <f>IF(Metadata!D142="",FALSE,TRUE)</f>
        <v>0</v>
      </c>
      <c r="AR142" t="b">
        <f ca="1">OR(AND(IF(Metadata!E142="",FALSE,TRUE),OR(EXACT(Metadata!E142,"not collected"),EXACT(Metadata!E142,"not provided"),EXACT(Metadata!E142,"restricted access"))),AND(IF(Metadata!E142="",FALSE,TRUE),AND(AND(IFERROR(INT(LEFT(Metadata!E142,4))&gt;1900,FALSE),IFERROR(INT(LEFT(Metadata!E142,4))&lt;=YEAR(NOW()),FALSE)), OR(MID(Metadata!E142,5,1)="", AND(AND(MID(Metadata!E142,5,1)="-",IFERROR(INT(MID(Metadata!E142,6,1))&gt;=0,FALSE),IFERROR(INT(MID(Metadata!E142,6,1))&lt;=1,FALSE),NOT(MID(Metadata!E142,7,1)=""),IFERROR(INT(MID(Metadata!E142,6,2))&gt;=1,FALSE),IFERROR(INT(MID(Metadata!E142,6,2))&lt;=12,FALSE)), OR(MID(Metadata!E142,8,1)="", AND(AND(MID(Metadata!E142,8,1)="-",IFERROR(INT(MID(Metadata!E142,9,1))&gt;=0,FALSE),IFERROR(INT(MID(Metadata!E142,9,1))&lt;=3,FALSE),NOT(MID(Metadata!E142,10,1)=""),IFERROR(INT(MID(Metadata!E142,9,2))&gt;=1,FALSE),IFERROR(INT(MID(Metadata!E142,9,2))&lt;=31,FALSE)), OR(MID(Metadata!E142,11,1)="", AND(AND(MID(Metadata!E142,11,1)=" ",IFERROR(INT(MID(Metadata!E142,12,1))&gt;=0,FALSE),IFERROR(INT(MID(Metadata!E142,12,1))&lt;=2,FALSE),NOT(MID(Metadata!E142,13,1)=""),IFERROR(INT(MID(Metadata!E142,12,2))&gt;=0,FALSE),IFERROR(INT(MID(Metadata!E142,12,2))&lt;=23,FALSE)), OR(MID(Metadata!E142,14,1)="", AND(AND(MID(Metadata!E142,14,1)=":",IFERROR(INT(MID(Metadata!E142,15,1))&gt;=0,FALSE),IFERROR(INT(MID(Metadata!E142,15,1))&lt;=5,FALSE),NOT(MID(Metadata!E142,16,1)=""),IFERROR(INT(MID(Metadata!E142,15,2))&gt;=0,FALSE),IFERROR(INT(MID(Metadata!E142,15,2))&lt;=59,FALSE)), OR(MID(Metadata!E142,17,1)="", AND(AND(MID(Metadata!E142,17,1)=":",IFERROR(INT(MID(Metadata!E142,18,1))&gt;=0,FALSE),IFERROR(INT(MID(Metadata!E142,18,1))&lt;=5,FALSE),NOT(MID(Metadata!E142,19,1)=""),IFERROR(INT(MID(Metadata!E142,18,2))&gt;=0,FALSE),IFERROR(INT(MID(Metadata!E142,18,2))&lt;=59,FALSE)), LEN(Metadata!E142)&lt;=19)))))))))))))</f>
        <v>0</v>
      </c>
      <c r="AS142" t="b">
        <f>IF(Metadata!F142="",FALSE,TRUE)</f>
        <v>0</v>
      </c>
      <c r="AT142" t="b">
        <f>OR(AND(IF(Metadata!G142="",FALSE,TRUE),OR(EXACT(Metadata!G142,"not collected"),EXACT(Metadata!G142,"not provided"))),AND(IF(Metadata!G142="",FALSE,TRUE),OR(EXACT(Metadata!G142,"TRUE"),EXACT(Metadata!G142,"FALSE"))))</f>
        <v>0</v>
      </c>
      <c r="AU142" t="b">
        <f>OR(AND(IF(Metadata!H142="",FALSE,TRUE),OR(EXACT(Metadata!H142,"not collected"),EXACT(Metadata!H142,"not provided"),EXACT(Metadata!H142,"restricted access"))),AND(IF(Metadata!H142="",FALSE,ISNUMBER(VALUE(Metadata!H142))),Metadata!H142&gt;=-413))</f>
        <v>0</v>
      </c>
      <c r="AV142" t="b">
        <f>AND(IF(Metadata!I142="",FALSE,TRUE),EXACT(Metadata!I142,"meters"))</f>
        <v>0</v>
      </c>
      <c r="AW142" t="b">
        <f>AND(IF(Metadata!J142="",FALSE,TRUE),EXACT(Metadata!J142,"free-living"))</f>
        <v>0</v>
      </c>
      <c r="AX142" t="b">
        <f>AND(IF(Metadata!K142="",FALSE,TRUE),OR(EXACT(Metadata!K142,"saline"),EXACT(Metadata!K142,"non-saline")))</f>
        <v>0</v>
      </c>
      <c r="AY142" t="b">
        <f>AND(IF(Metadata!L142="",FALSE,TRUE),OR(EXACT(Metadata!L142,"sub-surface (non-saline)"),EXACT(Metadata!L142,"surface (non-saline)"),EXACT(Metadata!L142,"water (non-saline)"),EXACT(Metadata!L142,"soil (non-saline)"),EXACT(Metadata!L142,"aerosol (non-saline)"),EXACT(Metadata!L142,"sediment (non-saline)"),EXACT(Metadata!L142,"surface (saline)"),EXACT(Metadata!L142,"water (saline)"),EXACT(Metadata!L142,"hypersaline (saline)"),EXACT(Metadata!L142,"aerosol (saline)"),EXACT(Metadata!L142,"sediment (saline)")))</f>
        <v>0</v>
      </c>
      <c r="AZ142" t="b">
        <f>IF(Metadata!M142="",FALSE,TRUE)</f>
        <v>0</v>
      </c>
      <c r="BA142" t="b">
        <f>IF(Metadata!N142="",FALSE,TRUE)</f>
        <v>0</v>
      </c>
      <c r="BB142" t="b">
        <f>IF(Metadata!O142="",FALSE,TRUE)</f>
        <v>0</v>
      </c>
      <c r="BC142" t="b">
        <f>AND(IF(Metadata!P142="",FALSE,TRUE),OR(EXACT(Metadata!P142,"air"),EXACT(Metadata!P142,"microbial mat/biofilm"),EXACT(Metadata!P142,"misc environment"),EXACT(Metadata!P142,"sediment"),EXACT(Metadata!P142,"soil"),EXACT(Metadata!P142,"wastewater/sludge"),EXACT(Metadata!P142,"water")))</f>
        <v>0</v>
      </c>
      <c r="BD142" t="b">
        <f>IF(Metadata!Q142="",FALSE,TRUE)</f>
        <v>0</v>
      </c>
      <c r="BE142" t="b">
        <f>IF(Metadata!R142="",FALSE,TRUE)</f>
        <v>0</v>
      </c>
      <c r="BF142" t="b">
        <f>OR(AND(IF(Metadata!S142="",FALSE,TRUE),OR(EXACT(Metadata!S142,"not collected"),EXACT(Metadata!S142,"not provided"),EXACT(Metadata!S142,"restricted access"))),AND(IF(Metadata!S142="",FALSE,ISNUMBER(VALUE(Metadata!S142))),Metadata!S142&gt;=-90,Metadata!S142&lt;=90))</f>
        <v>0</v>
      </c>
      <c r="BG142" t="b">
        <f>AND(IF(Metadata!T142="",FALSE,TRUE),EXACT(Metadata!T142,"Decimal degrees"))</f>
        <v>0</v>
      </c>
      <c r="BH142" t="b">
        <f>OR(AND(IF(Metadata!U142="",FALSE,TRUE),OR(EXACT(Metadata!U142,"not applicable"),EXACT(Metadata!U142,"not collected"))),IF(Metadata!U142="",FALSE,TRUE))</f>
        <v>0</v>
      </c>
      <c r="BI142" t="b">
        <f>OR(AND(IF(Metadata!V142="",FALSE,TRUE),OR(EXACT(Metadata!V142,"not collected"),EXACT(Metadata!V142,"not provided"),EXACT(Metadata!V142,"restricted access"))),AND(IF(Metadata!V142="",FALSE,ISNUMBER(VALUE(Metadata!V142))),Metadata!V142&gt;=-180,Metadata!V142&lt;=180))</f>
        <v>0</v>
      </c>
      <c r="BJ142" t="b">
        <f>AND(IF(Metadata!W142="",FALSE,TRUE),EXACT(Metadata!W142,"Decimal degrees"))</f>
        <v>0</v>
      </c>
      <c r="BK142" t="b">
        <f>IF(Metadata!X142="",FALSE,TRUE)</f>
        <v>0</v>
      </c>
      <c r="BL142" t="b">
        <f>OR(AND(IF(Metadata!Y142="",FALSE,TRUE),OR(EXACT(Metadata!Y142,"not collected"),EXACT(Metadata!Y142,"not provided"),EXACT(Metadata!Y142,"restricted access"))),AND(IF(Metadata!Y142="",FALSE,TRUE),OR(EXACT(Metadata!Y142,"TRUE"),EXACT(Metadata!Y142,"FALSE"))))</f>
        <v>0</v>
      </c>
      <c r="BM142" t="b">
        <f>OR(AND(IF(Metadata!Z142="",FALSE,TRUE),EXACT(Metadata!Z142,"not applicable")),AND(IF(Metadata!Z142="",FALSE,TRUE),OR(EXACT(Metadata!Z142,"beer"),EXACT(Metadata!Z142,"cheese"),EXACT(Metadata!Z142,"fresh water"),EXACT(Metadata!Z142,"marine sediment"),EXACT(Metadata!Z142,"sea water"),EXACT(Metadata!Z142,"sediment"),EXACT(Metadata!Z142,"soil"),EXACT(Metadata!Z142,"waste water"))))</f>
        <v>0</v>
      </c>
      <c r="BN142" t="b">
        <f>AND(IF(Metadata!AA142="",FALSE,TRUE),EXACT(Metadata!AA142,"metagenome"))</f>
        <v>0</v>
      </c>
      <c r="BO142" t="b">
        <f>AND(IF(Metadata!AB142="",FALSE,TRUE),EXACT(Metadata!AB142,"256318"))</f>
        <v>0</v>
      </c>
      <c r="BP142" t="b">
        <f>IF(Metadata!AC142="",FALSE,TRUE)</f>
        <v>0</v>
      </c>
      <c r="BQ142" t="b">
        <f>IF(Metadata!AD142="",FALSE,TRUE)</f>
        <v>0</v>
      </c>
    </row>
    <row r="143" spans="1:69" x14ac:dyDescent="0.2">
      <c r="A143" s="4" t="e">
        <f ca="1">IF(B143=" "," ",HYPERLINK(CONCATENATE("#metadata!",ADDRESS(INDEX($AJ$2:$AJ$1001,MATCH(ROWS($AH$2:AH143),$AH$2:$AH$1001,0),0),2)),INDEX($AM$2:$AM$1001,MATCH(ROWS($AH$2:AH143),$AH$2:$AH$1001,0),0)))</f>
        <v>#N/A</v>
      </c>
      <c r="B143" s="5" t="e">
        <f ca="1">IF(OR(INDEX($AI$2:$AI$1001,MATCH(ROWS($AH$2:AH143),$AH$2:$AH$1001,0),1)&gt;=100000,INDEX($AO$1005:$BQ$1005,1,MATCH(COLUMNS($AO$1006:AO1006),$AO$1006:$BQ$1006,0))&gt;=100000), " ",IF(INDEX($AO$2:$BQ$1001,MATCH(ROWS($AH$2:AH143),$AH$2:$AH$1001,0),MATCH(COLUMNS($AO$1006:AO1006),$AO$1006:$BQ$1006,0)), HYPERLINK("#",""), HYPERLINK(CONCATENATE("#Metadata!", ADDRESS(INDEX($AJ$2:$AJ$1001,MATCH(ROWS($AH$2:AH143),$AH$2:$AH$1001,0),0), INDEX($AO$1004:$BQ$1004,1,MATCH(COLUMNS($AO$1006:AO1006),$AO$1006:$BQ$1006,0)))),"Fix")))</f>
        <v>#N/A</v>
      </c>
      <c r="C143" s="5" t="e">
        <f ca="1">IF(OR(INDEX($AI$2:$AI$1001,MATCH(ROWS($AH$2:AH143),$AH$2:$AH$1001,0),1)&gt;=100000,INDEX($AO$1005:$BQ$1005,1,MATCH(COLUMNS($AO$1006:AP1006),$AO$1006:$BQ$1006,0))&gt;=100000), " ",IF(INDEX($AO$2:$BQ$1001,MATCH(ROWS($AH$2:AH143),$AH$2:$AH$1001,0),MATCH(COLUMNS($AO$1006:AP1006),$AO$1006:$BQ$1006,0)), HYPERLINK("#",""), HYPERLINK(CONCATENATE("#Metadata!", ADDRESS(INDEX($AJ$2:$AJ$1001,MATCH(ROWS($AH$2:AH143),$AH$2:$AH$1001,0),0), INDEX($AO$1004:$BQ$1004,1,MATCH(COLUMNS($AO$1006:AP1006),$AO$1006:$BQ$1006,0)))),"Fix")))</f>
        <v>#N/A</v>
      </c>
      <c r="D143" s="5" t="e">
        <f ca="1">IF(OR(INDEX($AI$2:$AI$1001,MATCH(ROWS($AH$2:AH143),$AH$2:$AH$1001,0),1)&gt;=100000,INDEX($AO$1005:$BQ$1005,1,MATCH(COLUMNS($AO$1006:AQ1006),$AO$1006:$BQ$1006,0))&gt;=100000), " ",IF(INDEX($AO$2:$BQ$1001,MATCH(ROWS($AH$2:AH143),$AH$2:$AH$1001,0),MATCH(COLUMNS($AO$1006:AQ1006),$AO$1006:$BQ$1006,0)), HYPERLINK("#",""), HYPERLINK(CONCATENATE("#Metadata!", ADDRESS(INDEX($AJ$2:$AJ$1001,MATCH(ROWS($AH$2:AH143),$AH$2:$AH$1001,0),0), INDEX($AO$1004:$BQ$1004,1,MATCH(COLUMNS($AO$1006:AQ1006),$AO$1006:$BQ$1006,0)))),"Fix")))</f>
        <v>#N/A</v>
      </c>
      <c r="E143" s="5" t="e">
        <f ca="1">IF(OR(INDEX($AI$2:$AI$1001,MATCH(ROWS($AH$2:AH143),$AH$2:$AH$1001,0),1)&gt;=100000,INDEX($AO$1005:$BQ$1005,1,MATCH(COLUMNS($AO$1006:AR1006),$AO$1006:$BQ$1006,0))&gt;=100000), " ",IF(INDEX($AO$2:$BQ$1001,MATCH(ROWS($AH$2:AH143),$AH$2:$AH$1001,0),MATCH(COLUMNS($AO$1006:AR1006),$AO$1006:$BQ$1006,0)), HYPERLINK("#",""), HYPERLINK(CONCATENATE("#Metadata!", ADDRESS(INDEX($AJ$2:$AJ$1001,MATCH(ROWS($AH$2:AH143),$AH$2:$AH$1001,0),0), INDEX($AO$1004:$BQ$1004,1,MATCH(COLUMNS($AO$1006:AR1006),$AO$1006:$BQ$1006,0)))),"Fix")))</f>
        <v>#N/A</v>
      </c>
      <c r="F143" s="5" t="e">
        <f ca="1">IF(OR(INDEX($AI$2:$AI$1001,MATCH(ROWS($AH$2:AH143),$AH$2:$AH$1001,0),1)&gt;=100000,INDEX($AO$1005:$BQ$1005,1,MATCH(COLUMNS($AO$1006:AS1006),$AO$1006:$BQ$1006,0))&gt;=100000), " ",IF(INDEX($AO$2:$BQ$1001,MATCH(ROWS($AH$2:AH143),$AH$2:$AH$1001,0),MATCH(COLUMNS($AO$1006:AS1006),$AO$1006:$BQ$1006,0)), HYPERLINK("#",""), HYPERLINK(CONCATENATE("#Metadata!", ADDRESS(INDEX($AJ$2:$AJ$1001,MATCH(ROWS($AH$2:AH143),$AH$2:$AH$1001,0),0), INDEX($AO$1004:$BQ$1004,1,MATCH(COLUMNS($AO$1006:AS1006),$AO$1006:$BQ$1006,0)))),"Fix")))</f>
        <v>#N/A</v>
      </c>
      <c r="G143" s="5" t="e">
        <f ca="1">IF(OR(INDEX($AI$2:$AI$1001,MATCH(ROWS($AH$2:AH143),$AH$2:$AH$1001,0),1)&gt;=100000,INDEX($AO$1005:$BQ$1005,1,MATCH(COLUMNS($AO$1006:AT1006),$AO$1006:$BQ$1006,0))&gt;=100000), " ",IF(INDEX($AO$2:$BQ$1001,MATCH(ROWS($AH$2:AH143),$AH$2:$AH$1001,0),MATCH(COLUMNS($AO$1006:AT1006),$AO$1006:$BQ$1006,0)), HYPERLINK("#",""), HYPERLINK(CONCATENATE("#Metadata!", ADDRESS(INDEX($AJ$2:$AJ$1001,MATCH(ROWS($AH$2:AH143),$AH$2:$AH$1001,0),0), INDEX($AO$1004:$BQ$1004,1,MATCH(COLUMNS($AO$1006:AT1006),$AO$1006:$BQ$1006,0)))),"Fix")))</f>
        <v>#N/A</v>
      </c>
      <c r="H143" s="5" t="e">
        <f ca="1">IF(OR(INDEX($AI$2:$AI$1001,MATCH(ROWS($AH$2:AH143),$AH$2:$AH$1001,0),1)&gt;=100000,INDEX($AO$1005:$BQ$1005,1,MATCH(COLUMNS($AO$1006:AU1006),$AO$1006:$BQ$1006,0))&gt;=100000), " ",IF(INDEX($AO$2:$BQ$1001,MATCH(ROWS($AH$2:AH143),$AH$2:$AH$1001,0),MATCH(COLUMNS($AO$1006:AU1006),$AO$1006:$BQ$1006,0)), HYPERLINK("#",""), HYPERLINK(CONCATENATE("#Metadata!", ADDRESS(INDEX($AJ$2:$AJ$1001,MATCH(ROWS($AH$2:AH143),$AH$2:$AH$1001,0),0), INDEX($AO$1004:$BQ$1004,1,MATCH(COLUMNS($AO$1006:AU1006),$AO$1006:$BQ$1006,0)))),"Fix")))</f>
        <v>#N/A</v>
      </c>
      <c r="I143" s="5" t="e">
        <f ca="1">IF(OR(INDEX($AI$2:$AI$1001,MATCH(ROWS($AH$2:AH143),$AH$2:$AH$1001,0),1)&gt;=100000,INDEX($AO$1005:$BQ$1005,1,MATCH(COLUMNS($AO$1006:AV1006),$AO$1006:$BQ$1006,0))&gt;=100000), " ",IF(INDEX($AO$2:$BQ$1001,MATCH(ROWS($AH$2:AH143),$AH$2:$AH$1001,0),MATCH(COLUMNS($AO$1006:AV1006),$AO$1006:$BQ$1006,0)), HYPERLINK("#",""), HYPERLINK(CONCATENATE("#Metadata!", ADDRESS(INDEX($AJ$2:$AJ$1001,MATCH(ROWS($AH$2:AH143),$AH$2:$AH$1001,0),0), INDEX($AO$1004:$BQ$1004,1,MATCH(COLUMNS($AO$1006:AV1006),$AO$1006:$BQ$1006,0)))),"Fix")))</f>
        <v>#N/A</v>
      </c>
      <c r="J143" s="5" t="e">
        <f ca="1">IF(OR(INDEX($AI$2:$AI$1001,MATCH(ROWS($AH$2:AH143),$AH$2:$AH$1001,0),1)&gt;=100000,INDEX($AO$1005:$BQ$1005,1,MATCH(COLUMNS($AO$1006:AW1006),$AO$1006:$BQ$1006,0))&gt;=100000), " ",IF(INDEX($AO$2:$BQ$1001,MATCH(ROWS($AH$2:AH143),$AH$2:$AH$1001,0),MATCH(COLUMNS($AO$1006:AW1006),$AO$1006:$BQ$1006,0)), HYPERLINK("#",""), HYPERLINK(CONCATENATE("#Metadata!", ADDRESS(INDEX($AJ$2:$AJ$1001,MATCH(ROWS($AH$2:AH143),$AH$2:$AH$1001,0),0), INDEX($AO$1004:$BQ$1004,1,MATCH(COLUMNS($AO$1006:AW1006),$AO$1006:$BQ$1006,0)))),"Fix")))</f>
        <v>#N/A</v>
      </c>
      <c r="K143" s="5" t="e">
        <f ca="1">IF(OR(INDEX($AI$2:$AI$1001,MATCH(ROWS($AH$2:AH143),$AH$2:$AH$1001,0),1)&gt;=100000,INDEX($AO$1005:$BQ$1005,1,MATCH(COLUMNS($AO$1006:AX1006),$AO$1006:$BQ$1006,0))&gt;=100000), " ",IF(INDEX($AO$2:$BQ$1001,MATCH(ROWS($AH$2:AH143),$AH$2:$AH$1001,0),MATCH(COLUMNS($AO$1006:AX1006),$AO$1006:$BQ$1006,0)), HYPERLINK("#",""), HYPERLINK(CONCATENATE("#Metadata!", ADDRESS(INDEX($AJ$2:$AJ$1001,MATCH(ROWS($AH$2:AH143),$AH$2:$AH$1001,0),0), INDEX($AO$1004:$BQ$1004,1,MATCH(COLUMNS($AO$1006:AX1006),$AO$1006:$BQ$1006,0)))),"Fix")))</f>
        <v>#N/A</v>
      </c>
      <c r="L143" s="5" t="e">
        <f ca="1">IF(OR(INDEX($AI$2:$AI$1001,MATCH(ROWS($AH$2:AH143),$AH$2:$AH$1001,0),1)&gt;=100000,INDEX($AO$1005:$BQ$1005,1,MATCH(COLUMNS($AO$1006:AY1006),$AO$1006:$BQ$1006,0))&gt;=100000), " ",IF(INDEX($AO$2:$BQ$1001,MATCH(ROWS($AH$2:AH143),$AH$2:$AH$1001,0),MATCH(COLUMNS($AO$1006:AY1006),$AO$1006:$BQ$1006,0)), HYPERLINK("#",""), HYPERLINK(CONCATENATE("#Metadata!", ADDRESS(INDEX($AJ$2:$AJ$1001,MATCH(ROWS($AH$2:AH143),$AH$2:$AH$1001,0),0), INDEX($AO$1004:$BQ$1004,1,MATCH(COLUMNS($AO$1006:AY1006),$AO$1006:$BQ$1006,0)))),"Fix")))</f>
        <v>#N/A</v>
      </c>
      <c r="M143" s="5" t="e">
        <f ca="1">IF(OR(INDEX($AI$2:$AI$1001,MATCH(ROWS($AH$2:AH143),$AH$2:$AH$1001,0),1)&gt;=100000,INDEX($AO$1005:$BQ$1005,1,MATCH(COLUMNS($AO$1006:AZ1006),$AO$1006:$BQ$1006,0))&gt;=100000), " ",IF(INDEX($AO$2:$BQ$1001,MATCH(ROWS($AH$2:AH143),$AH$2:$AH$1001,0),MATCH(COLUMNS($AO$1006:AZ1006),$AO$1006:$BQ$1006,0)), HYPERLINK("#",""), HYPERLINK(CONCATENATE("#Metadata!", ADDRESS(INDEX($AJ$2:$AJ$1001,MATCH(ROWS($AH$2:AH143),$AH$2:$AH$1001,0),0), INDEX($AO$1004:$BQ$1004,1,MATCH(COLUMNS($AO$1006:AZ1006),$AO$1006:$BQ$1006,0)))),"Fix")))</f>
        <v>#N/A</v>
      </c>
      <c r="N143" s="5" t="e">
        <f ca="1">IF(OR(INDEX($AI$2:$AI$1001,MATCH(ROWS($AH$2:AH143),$AH$2:$AH$1001,0),1)&gt;=100000,INDEX($AO$1005:$BQ$1005,1,MATCH(COLUMNS($AO$1006:BA1006),$AO$1006:$BQ$1006,0))&gt;=100000), " ",IF(INDEX($AO$2:$BQ$1001,MATCH(ROWS($AH$2:AH143),$AH$2:$AH$1001,0),MATCH(COLUMNS($AO$1006:BA1006),$AO$1006:$BQ$1006,0)), HYPERLINK("#",""), HYPERLINK(CONCATENATE("#Metadata!", ADDRESS(INDEX($AJ$2:$AJ$1001,MATCH(ROWS($AH$2:AH143),$AH$2:$AH$1001,0),0), INDEX($AO$1004:$BQ$1004,1,MATCH(COLUMNS($AO$1006:BA1006),$AO$1006:$BQ$1006,0)))),"Fix")))</f>
        <v>#N/A</v>
      </c>
      <c r="O143" s="5" t="e">
        <f ca="1">IF(OR(INDEX($AI$2:$AI$1001,MATCH(ROWS($AH$2:AH143),$AH$2:$AH$1001,0),1)&gt;=100000,INDEX($AO$1005:$BQ$1005,1,MATCH(COLUMNS($AO$1006:BB1006),$AO$1006:$BQ$1006,0))&gt;=100000), " ",IF(INDEX($AO$2:$BQ$1001,MATCH(ROWS($AH$2:AH143),$AH$2:$AH$1001,0),MATCH(COLUMNS($AO$1006:BB1006),$AO$1006:$BQ$1006,0)), HYPERLINK("#",""), HYPERLINK(CONCATENATE("#Metadata!", ADDRESS(INDEX($AJ$2:$AJ$1001,MATCH(ROWS($AH$2:AH143),$AH$2:$AH$1001,0),0), INDEX($AO$1004:$BQ$1004,1,MATCH(COLUMNS($AO$1006:BB1006),$AO$1006:$BQ$1006,0)))),"Fix")))</f>
        <v>#N/A</v>
      </c>
      <c r="P143" s="5" t="e">
        <f ca="1">IF(OR(INDEX($AI$2:$AI$1001,MATCH(ROWS($AH$2:AH143),$AH$2:$AH$1001,0),1)&gt;=100000,INDEX($AO$1005:$BQ$1005,1,MATCH(COLUMNS($AO$1006:BC1006),$AO$1006:$BQ$1006,0))&gt;=100000), " ",IF(INDEX($AO$2:$BQ$1001,MATCH(ROWS($AH$2:AH143),$AH$2:$AH$1001,0),MATCH(COLUMNS($AO$1006:BC1006),$AO$1006:$BQ$1006,0)), HYPERLINK("#",""), HYPERLINK(CONCATENATE("#Metadata!", ADDRESS(INDEX($AJ$2:$AJ$1001,MATCH(ROWS($AH$2:AH143),$AH$2:$AH$1001,0),0), INDEX($AO$1004:$BQ$1004,1,MATCH(COLUMNS($AO$1006:BC1006),$AO$1006:$BQ$1006,0)))),"Fix")))</f>
        <v>#N/A</v>
      </c>
      <c r="Q143" s="5" t="e">
        <f ca="1">IF(OR(INDEX($AI$2:$AI$1001,MATCH(ROWS($AH$2:AH143),$AH$2:$AH$1001,0),1)&gt;=100000,INDEX($AO$1005:$BQ$1005,1,MATCH(COLUMNS($AO$1006:BD1006),$AO$1006:$BQ$1006,0))&gt;=100000), " ",IF(INDEX($AO$2:$BQ$1001,MATCH(ROWS($AH$2:AH143),$AH$2:$AH$1001,0),MATCH(COLUMNS($AO$1006:BD1006),$AO$1006:$BQ$1006,0)), HYPERLINK("#",""), HYPERLINK(CONCATENATE("#Metadata!", ADDRESS(INDEX($AJ$2:$AJ$1001,MATCH(ROWS($AH$2:AH143),$AH$2:$AH$1001,0),0), INDEX($AO$1004:$BQ$1004,1,MATCH(COLUMNS($AO$1006:BD1006),$AO$1006:$BQ$1006,0)))),"Fix")))</f>
        <v>#N/A</v>
      </c>
      <c r="R143" s="5" t="e">
        <f ca="1">IF(OR(INDEX($AI$2:$AI$1001,MATCH(ROWS($AH$2:AH143),$AH$2:$AH$1001,0),1)&gt;=100000,INDEX($AO$1005:$BQ$1005,1,MATCH(COLUMNS($AO$1006:BE1006),$AO$1006:$BQ$1006,0))&gt;=100000), " ",IF(INDEX($AO$2:$BQ$1001,MATCH(ROWS($AH$2:AH143),$AH$2:$AH$1001,0),MATCH(COLUMNS($AO$1006:BE1006),$AO$1006:$BQ$1006,0)), HYPERLINK("#",""), HYPERLINK(CONCATENATE("#Metadata!", ADDRESS(INDEX($AJ$2:$AJ$1001,MATCH(ROWS($AH$2:AH143),$AH$2:$AH$1001,0),0), INDEX($AO$1004:$BQ$1004,1,MATCH(COLUMNS($AO$1006:BE1006),$AO$1006:$BQ$1006,0)))),"Fix")))</f>
        <v>#N/A</v>
      </c>
      <c r="S143" s="5" t="e">
        <f ca="1">IF(OR(INDEX($AI$2:$AI$1001,MATCH(ROWS($AH$2:AH143),$AH$2:$AH$1001,0),1)&gt;=100000,INDEX($AO$1005:$BQ$1005,1,MATCH(COLUMNS($AO$1006:BF1006),$AO$1006:$BQ$1006,0))&gt;=100000), " ",IF(INDEX($AO$2:$BQ$1001,MATCH(ROWS($AH$2:AH143),$AH$2:$AH$1001,0),MATCH(COLUMNS($AO$1006:BF1006),$AO$1006:$BQ$1006,0)), HYPERLINK("#",""), HYPERLINK(CONCATENATE("#Metadata!", ADDRESS(INDEX($AJ$2:$AJ$1001,MATCH(ROWS($AH$2:AH143),$AH$2:$AH$1001,0),0), INDEX($AO$1004:$BQ$1004,1,MATCH(COLUMNS($AO$1006:BF1006),$AO$1006:$BQ$1006,0)))),"Fix")))</f>
        <v>#N/A</v>
      </c>
      <c r="T143" s="5" t="e">
        <f ca="1">IF(OR(INDEX($AI$2:$AI$1001,MATCH(ROWS($AH$2:AH143),$AH$2:$AH$1001,0),1)&gt;=100000,INDEX($AO$1005:$BQ$1005,1,MATCH(COLUMNS($AO$1006:BG1006),$AO$1006:$BQ$1006,0))&gt;=100000), " ",IF(INDEX($AO$2:$BQ$1001,MATCH(ROWS($AH$2:AH143),$AH$2:$AH$1001,0),MATCH(COLUMNS($AO$1006:BG1006),$AO$1006:$BQ$1006,0)), HYPERLINK("#",""), HYPERLINK(CONCATENATE("#Metadata!", ADDRESS(INDEX($AJ$2:$AJ$1001,MATCH(ROWS($AH$2:AH143),$AH$2:$AH$1001,0),0), INDEX($AO$1004:$BQ$1004,1,MATCH(COLUMNS($AO$1006:BG1006),$AO$1006:$BQ$1006,0)))),"Fix")))</f>
        <v>#N/A</v>
      </c>
      <c r="U143" s="5" t="e">
        <f ca="1">IF(OR(INDEX($AI$2:$AI$1001,MATCH(ROWS($AH$2:AH143),$AH$2:$AH$1001,0),1)&gt;=100000,INDEX($AO$1005:$BQ$1005,1,MATCH(COLUMNS($AO$1006:BH1006),$AO$1006:$BQ$1006,0))&gt;=100000), " ",IF(INDEX($AO$2:$BQ$1001,MATCH(ROWS($AH$2:AH143),$AH$2:$AH$1001,0),MATCH(COLUMNS($AO$1006:BH1006),$AO$1006:$BQ$1006,0)), HYPERLINK("#",""), HYPERLINK(CONCATENATE("#Metadata!", ADDRESS(INDEX($AJ$2:$AJ$1001,MATCH(ROWS($AH$2:AH143),$AH$2:$AH$1001,0),0), INDEX($AO$1004:$BQ$1004,1,MATCH(COLUMNS($AO$1006:BH1006),$AO$1006:$BQ$1006,0)))),"Fix")))</f>
        <v>#N/A</v>
      </c>
      <c r="V143" s="5" t="e">
        <f ca="1">IF(OR(INDEX($AI$2:$AI$1001,MATCH(ROWS($AH$2:AH143),$AH$2:$AH$1001,0),1)&gt;=100000,INDEX($AO$1005:$BQ$1005,1,MATCH(COLUMNS($AO$1006:BI1006),$AO$1006:$BQ$1006,0))&gt;=100000), " ",IF(INDEX($AO$2:$BQ$1001,MATCH(ROWS($AH$2:AH143),$AH$2:$AH$1001,0),MATCH(COLUMNS($AO$1006:BI1006),$AO$1006:$BQ$1006,0)), HYPERLINK("#",""), HYPERLINK(CONCATENATE("#Metadata!", ADDRESS(INDEX($AJ$2:$AJ$1001,MATCH(ROWS($AH$2:AH143),$AH$2:$AH$1001,0),0), INDEX($AO$1004:$BQ$1004,1,MATCH(COLUMNS($AO$1006:BI1006),$AO$1006:$BQ$1006,0)))),"Fix")))</f>
        <v>#N/A</v>
      </c>
      <c r="W143" s="5" t="e">
        <f ca="1">IF(OR(INDEX($AI$2:$AI$1001,MATCH(ROWS($AH$2:AH143),$AH$2:$AH$1001,0),1)&gt;=100000,INDEX($AO$1005:$BQ$1005,1,MATCH(COLUMNS($AO$1006:BJ1006),$AO$1006:$BQ$1006,0))&gt;=100000), " ",IF(INDEX($AO$2:$BQ$1001,MATCH(ROWS($AH$2:AH143),$AH$2:$AH$1001,0),MATCH(COLUMNS($AO$1006:BJ1006),$AO$1006:$BQ$1006,0)), HYPERLINK("#",""), HYPERLINK(CONCATENATE("#Metadata!", ADDRESS(INDEX($AJ$2:$AJ$1001,MATCH(ROWS($AH$2:AH143),$AH$2:$AH$1001,0),0), INDEX($AO$1004:$BQ$1004,1,MATCH(COLUMNS($AO$1006:BJ1006),$AO$1006:$BQ$1006,0)))),"Fix")))</f>
        <v>#N/A</v>
      </c>
      <c r="X143" s="5" t="e">
        <f ca="1">IF(OR(INDEX($AI$2:$AI$1001,MATCH(ROWS($AH$2:AH143),$AH$2:$AH$1001,0),1)&gt;=100000,INDEX($AO$1005:$BQ$1005,1,MATCH(COLUMNS($AO$1006:BK1006),$AO$1006:$BQ$1006,0))&gt;=100000), " ",IF(INDEX($AO$2:$BQ$1001,MATCH(ROWS($AH$2:AH143),$AH$2:$AH$1001,0),MATCH(COLUMNS($AO$1006:BK1006),$AO$1006:$BQ$1006,0)), HYPERLINK("#",""), HYPERLINK(CONCATENATE("#Metadata!", ADDRESS(INDEX($AJ$2:$AJ$1001,MATCH(ROWS($AH$2:AH143),$AH$2:$AH$1001,0),0), INDEX($AO$1004:$BQ$1004,1,MATCH(COLUMNS($AO$1006:BK1006),$AO$1006:$BQ$1006,0)))),"Fix")))</f>
        <v>#N/A</v>
      </c>
      <c r="Y143" s="5" t="e">
        <f ca="1">IF(OR(INDEX($AI$2:$AI$1001,MATCH(ROWS($AH$2:AH143),$AH$2:$AH$1001,0),1)&gt;=100000,INDEX($AO$1005:$BQ$1005,1,MATCH(COLUMNS($AO$1006:BL1006),$AO$1006:$BQ$1006,0))&gt;=100000), " ",IF(INDEX($AO$2:$BQ$1001,MATCH(ROWS($AH$2:AH143),$AH$2:$AH$1001,0),MATCH(COLUMNS($AO$1006:BL1006),$AO$1006:$BQ$1006,0)), HYPERLINK("#",""), HYPERLINK(CONCATENATE("#Metadata!", ADDRESS(INDEX($AJ$2:$AJ$1001,MATCH(ROWS($AH$2:AH143),$AH$2:$AH$1001,0),0), INDEX($AO$1004:$BQ$1004,1,MATCH(COLUMNS($AO$1006:BL1006),$AO$1006:$BQ$1006,0)))),"Fix")))</f>
        <v>#N/A</v>
      </c>
      <c r="Z143" s="5" t="e">
        <f ca="1">IF(OR(INDEX($AI$2:$AI$1001,MATCH(ROWS($AH$2:AH143),$AH$2:$AH$1001,0),1)&gt;=100000,INDEX($AO$1005:$BQ$1005,1,MATCH(COLUMNS($AO$1006:BM1006),$AO$1006:$BQ$1006,0))&gt;=100000), " ",IF(INDEX($AO$2:$BQ$1001,MATCH(ROWS($AH$2:AH143),$AH$2:$AH$1001,0),MATCH(COLUMNS($AO$1006:BM1006),$AO$1006:$BQ$1006,0)), HYPERLINK("#",""), HYPERLINK(CONCATENATE("#Metadata!", ADDRESS(INDEX($AJ$2:$AJ$1001,MATCH(ROWS($AH$2:AH143),$AH$2:$AH$1001,0),0), INDEX($AO$1004:$BQ$1004,1,MATCH(COLUMNS($AO$1006:BM1006),$AO$1006:$BQ$1006,0)))),"Fix")))</f>
        <v>#N/A</v>
      </c>
      <c r="AA143" s="5" t="e">
        <f ca="1">IF(OR(INDEX($AI$2:$AI$1001,MATCH(ROWS($AH$2:AH143),$AH$2:$AH$1001,0),1)&gt;=100000,INDEX($AO$1005:$BQ$1005,1,MATCH(COLUMNS($AO$1006:BN1006),$AO$1006:$BQ$1006,0))&gt;=100000), " ",IF(INDEX($AO$2:$BQ$1001,MATCH(ROWS($AH$2:AH143),$AH$2:$AH$1001,0),MATCH(COLUMNS($AO$1006:BN1006),$AO$1006:$BQ$1006,0)), HYPERLINK("#",""), HYPERLINK(CONCATENATE("#Metadata!", ADDRESS(INDEX($AJ$2:$AJ$1001,MATCH(ROWS($AH$2:AH143),$AH$2:$AH$1001,0),0), INDEX($AO$1004:$BQ$1004,1,MATCH(COLUMNS($AO$1006:BN1006),$AO$1006:$BQ$1006,0)))),"Fix")))</f>
        <v>#N/A</v>
      </c>
      <c r="AB143" s="5" t="e">
        <f ca="1">IF(OR(INDEX($AI$2:$AI$1001,MATCH(ROWS($AH$2:AH143),$AH$2:$AH$1001,0),1)&gt;=100000,INDEX($AO$1005:$BQ$1005,1,MATCH(COLUMNS($AO$1006:BO1006),$AO$1006:$BQ$1006,0))&gt;=100000), " ",IF(INDEX($AO$2:$BQ$1001,MATCH(ROWS($AH$2:AH143),$AH$2:$AH$1001,0),MATCH(COLUMNS($AO$1006:BO1006),$AO$1006:$BQ$1006,0)), HYPERLINK("#",""), HYPERLINK(CONCATENATE("#Metadata!", ADDRESS(INDEX($AJ$2:$AJ$1001,MATCH(ROWS($AH$2:AH143),$AH$2:$AH$1001,0),0), INDEX($AO$1004:$BQ$1004,1,MATCH(COLUMNS($AO$1006:BO1006),$AO$1006:$BQ$1006,0)))),"Fix")))</f>
        <v>#N/A</v>
      </c>
      <c r="AC143" s="5" t="e">
        <f ca="1">IF(OR(INDEX($AI$2:$AI$1001,MATCH(ROWS($AH$2:AH143),$AH$2:$AH$1001,0),1)&gt;=100000,INDEX($AO$1005:$BQ$1005,1,MATCH(COLUMNS($AO$1006:BP1006),$AO$1006:$BQ$1006,0))&gt;=100000), " ",IF(INDEX($AO$2:$BQ$1001,MATCH(ROWS($AH$2:AH143),$AH$2:$AH$1001,0),MATCH(COLUMNS($AO$1006:BP1006),$AO$1006:$BQ$1006,0)), HYPERLINK("#",""), HYPERLINK(CONCATENATE("#Metadata!", ADDRESS(INDEX($AJ$2:$AJ$1001,MATCH(ROWS($AH$2:AH143),$AH$2:$AH$1001,0),0), INDEX($AO$1004:$BQ$1004,1,MATCH(COLUMNS($AO$1006:BP1006),$AO$1006:$BQ$1006,0)))),"Fix")))</f>
        <v>#N/A</v>
      </c>
      <c r="AD143" s="5" t="e">
        <f ca="1">IF(OR(INDEX($AI$2:$AI$1001,MATCH(ROWS($AH$2:AH143),$AH$2:$AH$1001,0),1)&gt;=100000,INDEX($AO$1005:$BQ$1005,1,MATCH(COLUMNS($AO$1006:BQ1006),$AO$1006:$BQ$1006,0))&gt;=100000), " ",IF(INDEX($AO$2:$BQ$1001,MATCH(ROWS($AH$2:AH143),$AH$2:$AH$1001,0),MATCH(COLUMNS($AO$1006:BQ1006),$AO$1006:$BQ$1006,0)), HYPERLINK("#",""), HYPERLINK(CONCATENATE("#Metadata!", ADDRESS(INDEX($AJ$2:$AJ$1001,MATCH(ROWS($AH$2:AH143),$AH$2:$AH$1001,0),0), INDEX($AO$1004:$BQ$1004,1,MATCH(COLUMNS($AO$1006:BQ1006),$AO$1006:$BQ$1006,0)))),"Fix")))</f>
        <v>#REF!</v>
      </c>
      <c r="AH143">
        <f ca="1"/>
        <v>140</v>
      </c>
      <c r="AI143">
        <v>100143</v>
      </c>
      <c r="AJ143">
        <v>143</v>
      </c>
      <c r="AK143" t="b">
        <f t="shared" si="2"/>
        <v>1</v>
      </c>
      <c r="AL143" t="b">
        <f>COUNTBLANK(Metadata!B143:AD143)=COLUMNS(Metadata!B143:AD143)</f>
        <v>1</v>
      </c>
      <c r="AM143" t="str">
        <v/>
      </c>
      <c r="AO143" t="b">
        <f ca="1">AND(IF(Metadata!B143="",FALSE,TRUE),COUNTIF(Metadata!B:B, Metadata!B143) = 1,NOT(ISERROR(SUMPRODUCT(SEARCH(MID(Metadata!B143,ROW(INDIRECT("1:"&amp;LEN(Metadata!B143))), 1),"0123456789abcdefghijklmnopqrstuvwxyzABCDEFGHIJKLMNOPQRSTUVWXYZ.")))))</f>
        <v>0</v>
      </c>
      <c r="AP143" t="b">
        <f>IF(Metadata!C143="",FALSE,TRUE)</f>
        <v>0</v>
      </c>
      <c r="AQ143" t="b">
        <f>IF(Metadata!D143="",FALSE,TRUE)</f>
        <v>0</v>
      </c>
      <c r="AR143" t="b">
        <f ca="1">OR(AND(IF(Metadata!E143="",FALSE,TRUE),OR(EXACT(Metadata!E143,"not collected"),EXACT(Metadata!E143,"not provided"),EXACT(Metadata!E143,"restricted access"))),AND(IF(Metadata!E143="",FALSE,TRUE),AND(AND(IFERROR(INT(LEFT(Metadata!E143,4))&gt;1900,FALSE),IFERROR(INT(LEFT(Metadata!E143,4))&lt;=YEAR(NOW()),FALSE)), OR(MID(Metadata!E143,5,1)="", AND(AND(MID(Metadata!E143,5,1)="-",IFERROR(INT(MID(Metadata!E143,6,1))&gt;=0,FALSE),IFERROR(INT(MID(Metadata!E143,6,1))&lt;=1,FALSE),NOT(MID(Metadata!E143,7,1)=""),IFERROR(INT(MID(Metadata!E143,6,2))&gt;=1,FALSE),IFERROR(INT(MID(Metadata!E143,6,2))&lt;=12,FALSE)), OR(MID(Metadata!E143,8,1)="", AND(AND(MID(Metadata!E143,8,1)="-",IFERROR(INT(MID(Metadata!E143,9,1))&gt;=0,FALSE),IFERROR(INT(MID(Metadata!E143,9,1))&lt;=3,FALSE),NOT(MID(Metadata!E143,10,1)=""),IFERROR(INT(MID(Metadata!E143,9,2))&gt;=1,FALSE),IFERROR(INT(MID(Metadata!E143,9,2))&lt;=31,FALSE)), OR(MID(Metadata!E143,11,1)="", AND(AND(MID(Metadata!E143,11,1)=" ",IFERROR(INT(MID(Metadata!E143,12,1))&gt;=0,FALSE),IFERROR(INT(MID(Metadata!E143,12,1))&lt;=2,FALSE),NOT(MID(Metadata!E143,13,1)=""),IFERROR(INT(MID(Metadata!E143,12,2))&gt;=0,FALSE),IFERROR(INT(MID(Metadata!E143,12,2))&lt;=23,FALSE)), OR(MID(Metadata!E143,14,1)="", AND(AND(MID(Metadata!E143,14,1)=":",IFERROR(INT(MID(Metadata!E143,15,1))&gt;=0,FALSE),IFERROR(INT(MID(Metadata!E143,15,1))&lt;=5,FALSE),NOT(MID(Metadata!E143,16,1)=""),IFERROR(INT(MID(Metadata!E143,15,2))&gt;=0,FALSE),IFERROR(INT(MID(Metadata!E143,15,2))&lt;=59,FALSE)), OR(MID(Metadata!E143,17,1)="", AND(AND(MID(Metadata!E143,17,1)=":",IFERROR(INT(MID(Metadata!E143,18,1))&gt;=0,FALSE),IFERROR(INT(MID(Metadata!E143,18,1))&lt;=5,FALSE),NOT(MID(Metadata!E143,19,1)=""),IFERROR(INT(MID(Metadata!E143,18,2))&gt;=0,FALSE),IFERROR(INT(MID(Metadata!E143,18,2))&lt;=59,FALSE)), LEN(Metadata!E143)&lt;=19)))))))))))))</f>
        <v>0</v>
      </c>
      <c r="AS143" t="b">
        <f>IF(Metadata!F143="",FALSE,TRUE)</f>
        <v>0</v>
      </c>
      <c r="AT143" t="b">
        <f>OR(AND(IF(Metadata!G143="",FALSE,TRUE),OR(EXACT(Metadata!G143,"not collected"),EXACT(Metadata!G143,"not provided"))),AND(IF(Metadata!G143="",FALSE,TRUE),OR(EXACT(Metadata!G143,"TRUE"),EXACT(Metadata!G143,"FALSE"))))</f>
        <v>0</v>
      </c>
      <c r="AU143" t="b">
        <f>OR(AND(IF(Metadata!H143="",FALSE,TRUE),OR(EXACT(Metadata!H143,"not collected"),EXACT(Metadata!H143,"not provided"),EXACT(Metadata!H143,"restricted access"))),AND(IF(Metadata!H143="",FALSE,ISNUMBER(VALUE(Metadata!H143))),Metadata!H143&gt;=-413))</f>
        <v>0</v>
      </c>
      <c r="AV143" t="b">
        <f>AND(IF(Metadata!I143="",FALSE,TRUE),EXACT(Metadata!I143,"meters"))</f>
        <v>0</v>
      </c>
      <c r="AW143" t="b">
        <f>AND(IF(Metadata!J143="",FALSE,TRUE),EXACT(Metadata!J143,"free-living"))</f>
        <v>0</v>
      </c>
      <c r="AX143" t="b">
        <f>AND(IF(Metadata!K143="",FALSE,TRUE),OR(EXACT(Metadata!K143,"saline"),EXACT(Metadata!K143,"non-saline")))</f>
        <v>0</v>
      </c>
      <c r="AY143" t="b">
        <f>AND(IF(Metadata!L143="",FALSE,TRUE),OR(EXACT(Metadata!L143,"sub-surface (non-saline)"),EXACT(Metadata!L143,"surface (non-saline)"),EXACT(Metadata!L143,"water (non-saline)"),EXACT(Metadata!L143,"soil (non-saline)"),EXACT(Metadata!L143,"aerosol (non-saline)"),EXACT(Metadata!L143,"sediment (non-saline)"),EXACT(Metadata!L143,"surface (saline)"),EXACT(Metadata!L143,"water (saline)"),EXACT(Metadata!L143,"hypersaline (saline)"),EXACT(Metadata!L143,"aerosol (saline)"),EXACT(Metadata!L143,"sediment (saline)")))</f>
        <v>0</v>
      </c>
      <c r="AZ143" t="b">
        <f>IF(Metadata!M143="",FALSE,TRUE)</f>
        <v>0</v>
      </c>
      <c r="BA143" t="b">
        <f>IF(Metadata!N143="",FALSE,TRUE)</f>
        <v>0</v>
      </c>
      <c r="BB143" t="b">
        <f>IF(Metadata!O143="",FALSE,TRUE)</f>
        <v>0</v>
      </c>
      <c r="BC143" t="b">
        <f>AND(IF(Metadata!P143="",FALSE,TRUE),OR(EXACT(Metadata!P143,"air"),EXACT(Metadata!P143,"microbial mat/biofilm"),EXACT(Metadata!P143,"misc environment"),EXACT(Metadata!P143,"sediment"),EXACT(Metadata!P143,"soil"),EXACT(Metadata!P143,"wastewater/sludge"),EXACT(Metadata!P143,"water")))</f>
        <v>0</v>
      </c>
      <c r="BD143" t="b">
        <f>IF(Metadata!Q143="",FALSE,TRUE)</f>
        <v>0</v>
      </c>
      <c r="BE143" t="b">
        <f>IF(Metadata!R143="",FALSE,TRUE)</f>
        <v>0</v>
      </c>
      <c r="BF143" t="b">
        <f>OR(AND(IF(Metadata!S143="",FALSE,TRUE),OR(EXACT(Metadata!S143,"not collected"),EXACT(Metadata!S143,"not provided"),EXACT(Metadata!S143,"restricted access"))),AND(IF(Metadata!S143="",FALSE,ISNUMBER(VALUE(Metadata!S143))),Metadata!S143&gt;=-90,Metadata!S143&lt;=90))</f>
        <v>0</v>
      </c>
      <c r="BG143" t="b">
        <f>AND(IF(Metadata!T143="",FALSE,TRUE),EXACT(Metadata!T143,"Decimal degrees"))</f>
        <v>0</v>
      </c>
      <c r="BH143" t="b">
        <f>OR(AND(IF(Metadata!U143="",FALSE,TRUE),OR(EXACT(Metadata!U143,"not applicable"),EXACT(Metadata!U143,"not collected"))),IF(Metadata!U143="",FALSE,TRUE))</f>
        <v>0</v>
      </c>
      <c r="BI143" t="b">
        <f>OR(AND(IF(Metadata!V143="",FALSE,TRUE),OR(EXACT(Metadata!V143,"not collected"),EXACT(Metadata!V143,"not provided"),EXACT(Metadata!V143,"restricted access"))),AND(IF(Metadata!V143="",FALSE,ISNUMBER(VALUE(Metadata!V143))),Metadata!V143&gt;=-180,Metadata!V143&lt;=180))</f>
        <v>0</v>
      </c>
      <c r="BJ143" t="b">
        <f>AND(IF(Metadata!W143="",FALSE,TRUE),EXACT(Metadata!W143,"Decimal degrees"))</f>
        <v>0</v>
      </c>
      <c r="BK143" t="b">
        <f>IF(Metadata!X143="",FALSE,TRUE)</f>
        <v>0</v>
      </c>
      <c r="BL143" t="b">
        <f>OR(AND(IF(Metadata!Y143="",FALSE,TRUE),OR(EXACT(Metadata!Y143,"not collected"),EXACT(Metadata!Y143,"not provided"),EXACT(Metadata!Y143,"restricted access"))),AND(IF(Metadata!Y143="",FALSE,TRUE),OR(EXACT(Metadata!Y143,"TRUE"),EXACT(Metadata!Y143,"FALSE"))))</f>
        <v>0</v>
      </c>
      <c r="BM143" t="b">
        <f>OR(AND(IF(Metadata!Z143="",FALSE,TRUE),EXACT(Metadata!Z143,"not applicable")),AND(IF(Metadata!Z143="",FALSE,TRUE),OR(EXACT(Metadata!Z143,"beer"),EXACT(Metadata!Z143,"cheese"),EXACT(Metadata!Z143,"fresh water"),EXACT(Metadata!Z143,"marine sediment"),EXACT(Metadata!Z143,"sea water"),EXACT(Metadata!Z143,"sediment"),EXACT(Metadata!Z143,"soil"),EXACT(Metadata!Z143,"waste water"))))</f>
        <v>0</v>
      </c>
      <c r="BN143" t="b">
        <f>AND(IF(Metadata!AA143="",FALSE,TRUE),EXACT(Metadata!AA143,"metagenome"))</f>
        <v>0</v>
      </c>
      <c r="BO143" t="b">
        <f>AND(IF(Metadata!AB143="",FALSE,TRUE),EXACT(Metadata!AB143,"256318"))</f>
        <v>0</v>
      </c>
      <c r="BP143" t="b">
        <f>IF(Metadata!AC143="",FALSE,TRUE)</f>
        <v>0</v>
      </c>
      <c r="BQ143" t="b">
        <f>IF(Metadata!AD143="",FALSE,TRUE)</f>
        <v>0</v>
      </c>
    </row>
    <row r="144" spans="1:69" x14ac:dyDescent="0.2">
      <c r="A144" s="4" t="e">
        <f ca="1">IF(B144=" "," ",HYPERLINK(CONCATENATE("#metadata!",ADDRESS(INDEX($AJ$2:$AJ$1001,MATCH(ROWS($AH$2:AH144),$AH$2:$AH$1001,0),0),2)),INDEX($AM$2:$AM$1001,MATCH(ROWS($AH$2:AH144),$AH$2:$AH$1001,0),0)))</f>
        <v>#N/A</v>
      </c>
      <c r="B144" s="5" t="e">
        <f ca="1">IF(OR(INDEX($AI$2:$AI$1001,MATCH(ROWS($AH$2:AH144),$AH$2:$AH$1001,0),1)&gt;=100000,INDEX($AO$1005:$BQ$1005,1,MATCH(COLUMNS($AO$1006:AO1006),$AO$1006:$BQ$1006,0))&gt;=100000), " ",IF(INDEX($AO$2:$BQ$1001,MATCH(ROWS($AH$2:AH144),$AH$2:$AH$1001,0),MATCH(COLUMNS($AO$1006:AO1006),$AO$1006:$BQ$1006,0)), HYPERLINK("#",""), HYPERLINK(CONCATENATE("#Metadata!", ADDRESS(INDEX($AJ$2:$AJ$1001,MATCH(ROWS($AH$2:AH144),$AH$2:$AH$1001,0),0), INDEX($AO$1004:$BQ$1004,1,MATCH(COLUMNS($AO$1006:AO1006),$AO$1006:$BQ$1006,0)))),"Fix")))</f>
        <v>#N/A</v>
      </c>
      <c r="C144" s="5" t="e">
        <f ca="1">IF(OR(INDEX($AI$2:$AI$1001,MATCH(ROWS($AH$2:AH144),$AH$2:$AH$1001,0),1)&gt;=100000,INDEX($AO$1005:$BQ$1005,1,MATCH(COLUMNS($AO$1006:AP1006),$AO$1006:$BQ$1006,0))&gt;=100000), " ",IF(INDEX($AO$2:$BQ$1001,MATCH(ROWS($AH$2:AH144),$AH$2:$AH$1001,0),MATCH(COLUMNS($AO$1006:AP1006),$AO$1006:$BQ$1006,0)), HYPERLINK("#",""), HYPERLINK(CONCATENATE("#Metadata!", ADDRESS(INDEX($AJ$2:$AJ$1001,MATCH(ROWS($AH$2:AH144),$AH$2:$AH$1001,0),0), INDEX($AO$1004:$BQ$1004,1,MATCH(COLUMNS($AO$1006:AP1006),$AO$1006:$BQ$1006,0)))),"Fix")))</f>
        <v>#N/A</v>
      </c>
      <c r="D144" s="5" t="e">
        <f ca="1">IF(OR(INDEX($AI$2:$AI$1001,MATCH(ROWS($AH$2:AH144),$AH$2:$AH$1001,0),1)&gt;=100000,INDEX($AO$1005:$BQ$1005,1,MATCH(COLUMNS($AO$1006:AQ1006),$AO$1006:$BQ$1006,0))&gt;=100000), " ",IF(INDEX($AO$2:$BQ$1001,MATCH(ROWS($AH$2:AH144),$AH$2:$AH$1001,0),MATCH(COLUMNS($AO$1006:AQ1006),$AO$1006:$BQ$1006,0)), HYPERLINK("#",""), HYPERLINK(CONCATENATE("#Metadata!", ADDRESS(INDEX($AJ$2:$AJ$1001,MATCH(ROWS($AH$2:AH144),$AH$2:$AH$1001,0),0), INDEX($AO$1004:$BQ$1004,1,MATCH(COLUMNS($AO$1006:AQ1006),$AO$1006:$BQ$1006,0)))),"Fix")))</f>
        <v>#N/A</v>
      </c>
      <c r="E144" s="5" t="e">
        <f ca="1">IF(OR(INDEX($AI$2:$AI$1001,MATCH(ROWS($AH$2:AH144),$AH$2:$AH$1001,0),1)&gt;=100000,INDEX($AO$1005:$BQ$1005,1,MATCH(COLUMNS($AO$1006:AR1006),$AO$1006:$BQ$1006,0))&gt;=100000), " ",IF(INDEX($AO$2:$BQ$1001,MATCH(ROWS($AH$2:AH144),$AH$2:$AH$1001,0),MATCH(COLUMNS($AO$1006:AR1006),$AO$1006:$BQ$1006,0)), HYPERLINK("#",""), HYPERLINK(CONCATENATE("#Metadata!", ADDRESS(INDEX($AJ$2:$AJ$1001,MATCH(ROWS($AH$2:AH144),$AH$2:$AH$1001,0),0), INDEX($AO$1004:$BQ$1004,1,MATCH(COLUMNS($AO$1006:AR1006),$AO$1006:$BQ$1006,0)))),"Fix")))</f>
        <v>#N/A</v>
      </c>
      <c r="F144" s="5" t="e">
        <f ca="1">IF(OR(INDEX($AI$2:$AI$1001,MATCH(ROWS($AH$2:AH144),$AH$2:$AH$1001,0),1)&gt;=100000,INDEX($AO$1005:$BQ$1005,1,MATCH(COLUMNS($AO$1006:AS1006),$AO$1006:$BQ$1006,0))&gt;=100000), " ",IF(INDEX($AO$2:$BQ$1001,MATCH(ROWS($AH$2:AH144),$AH$2:$AH$1001,0),MATCH(COLUMNS($AO$1006:AS1006),$AO$1006:$BQ$1006,0)), HYPERLINK("#",""), HYPERLINK(CONCATENATE("#Metadata!", ADDRESS(INDEX($AJ$2:$AJ$1001,MATCH(ROWS($AH$2:AH144),$AH$2:$AH$1001,0),0), INDEX($AO$1004:$BQ$1004,1,MATCH(COLUMNS($AO$1006:AS1006),$AO$1006:$BQ$1006,0)))),"Fix")))</f>
        <v>#N/A</v>
      </c>
      <c r="G144" s="5" t="e">
        <f ca="1">IF(OR(INDEX($AI$2:$AI$1001,MATCH(ROWS($AH$2:AH144),$AH$2:$AH$1001,0),1)&gt;=100000,INDEX($AO$1005:$BQ$1005,1,MATCH(COLUMNS($AO$1006:AT1006),$AO$1006:$BQ$1006,0))&gt;=100000), " ",IF(INDEX($AO$2:$BQ$1001,MATCH(ROWS($AH$2:AH144),$AH$2:$AH$1001,0),MATCH(COLUMNS($AO$1006:AT1006),$AO$1006:$BQ$1006,0)), HYPERLINK("#",""), HYPERLINK(CONCATENATE("#Metadata!", ADDRESS(INDEX($AJ$2:$AJ$1001,MATCH(ROWS($AH$2:AH144),$AH$2:$AH$1001,0),0), INDEX($AO$1004:$BQ$1004,1,MATCH(COLUMNS($AO$1006:AT1006),$AO$1006:$BQ$1006,0)))),"Fix")))</f>
        <v>#N/A</v>
      </c>
      <c r="H144" s="5" t="e">
        <f ca="1">IF(OR(INDEX($AI$2:$AI$1001,MATCH(ROWS($AH$2:AH144),$AH$2:$AH$1001,0),1)&gt;=100000,INDEX($AO$1005:$BQ$1005,1,MATCH(COLUMNS($AO$1006:AU1006),$AO$1006:$BQ$1006,0))&gt;=100000), " ",IF(INDEX($AO$2:$BQ$1001,MATCH(ROWS($AH$2:AH144),$AH$2:$AH$1001,0),MATCH(COLUMNS($AO$1006:AU1006),$AO$1006:$BQ$1006,0)), HYPERLINK("#",""), HYPERLINK(CONCATENATE("#Metadata!", ADDRESS(INDEX($AJ$2:$AJ$1001,MATCH(ROWS($AH$2:AH144),$AH$2:$AH$1001,0),0), INDEX($AO$1004:$BQ$1004,1,MATCH(COLUMNS($AO$1006:AU1006),$AO$1006:$BQ$1006,0)))),"Fix")))</f>
        <v>#N/A</v>
      </c>
      <c r="I144" s="5" t="e">
        <f ca="1">IF(OR(INDEX($AI$2:$AI$1001,MATCH(ROWS($AH$2:AH144),$AH$2:$AH$1001,0),1)&gt;=100000,INDEX($AO$1005:$BQ$1005,1,MATCH(COLUMNS($AO$1006:AV1006),$AO$1006:$BQ$1006,0))&gt;=100000), " ",IF(INDEX($AO$2:$BQ$1001,MATCH(ROWS($AH$2:AH144),$AH$2:$AH$1001,0),MATCH(COLUMNS($AO$1006:AV1006),$AO$1006:$BQ$1006,0)), HYPERLINK("#",""), HYPERLINK(CONCATENATE("#Metadata!", ADDRESS(INDEX($AJ$2:$AJ$1001,MATCH(ROWS($AH$2:AH144),$AH$2:$AH$1001,0),0), INDEX($AO$1004:$BQ$1004,1,MATCH(COLUMNS($AO$1006:AV1006),$AO$1006:$BQ$1006,0)))),"Fix")))</f>
        <v>#N/A</v>
      </c>
      <c r="J144" s="5" t="e">
        <f ca="1">IF(OR(INDEX($AI$2:$AI$1001,MATCH(ROWS($AH$2:AH144),$AH$2:$AH$1001,0),1)&gt;=100000,INDEX($AO$1005:$BQ$1005,1,MATCH(COLUMNS($AO$1006:AW1006),$AO$1006:$BQ$1006,0))&gt;=100000), " ",IF(INDEX($AO$2:$BQ$1001,MATCH(ROWS($AH$2:AH144),$AH$2:$AH$1001,0),MATCH(COLUMNS($AO$1006:AW1006),$AO$1006:$BQ$1006,0)), HYPERLINK("#",""), HYPERLINK(CONCATENATE("#Metadata!", ADDRESS(INDEX($AJ$2:$AJ$1001,MATCH(ROWS($AH$2:AH144),$AH$2:$AH$1001,0),0), INDEX($AO$1004:$BQ$1004,1,MATCH(COLUMNS($AO$1006:AW1006),$AO$1006:$BQ$1006,0)))),"Fix")))</f>
        <v>#N/A</v>
      </c>
      <c r="K144" s="5" t="e">
        <f ca="1">IF(OR(INDEX($AI$2:$AI$1001,MATCH(ROWS($AH$2:AH144),$AH$2:$AH$1001,0),1)&gt;=100000,INDEX($AO$1005:$BQ$1005,1,MATCH(COLUMNS($AO$1006:AX1006),$AO$1006:$BQ$1006,0))&gt;=100000), " ",IF(INDEX($AO$2:$BQ$1001,MATCH(ROWS($AH$2:AH144),$AH$2:$AH$1001,0),MATCH(COLUMNS($AO$1006:AX1006),$AO$1006:$BQ$1006,0)), HYPERLINK("#",""), HYPERLINK(CONCATENATE("#Metadata!", ADDRESS(INDEX($AJ$2:$AJ$1001,MATCH(ROWS($AH$2:AH144),$AH$2:$AH$1001,0),0), INDEX($AO$1004:$BQ$1004,1,MATCH(COLUMNS($AO$1006:AX1006),$AO$1006:$BQ$1006,0)))),"Fix")))</f>
        <v>#N/A</v>
      </c>
      <c r="L144" s="5" t="e">
        <f ca="1">IF(OR(INDEX($AI$2:$AI$1001,MATCH(ROWS($AH$2:AH144),$AH$2:$AH$1001,0),1)&gt;=100000,INDEX($AO$1005:$BQ$1005,1,MATCH(COLUMNS($AO$1006:AY1006),$AO$1006:$BQ$1006,0))&gt;=100000), " ",IF(INDEX($AO$2:$BQ$1001,MATCH(ROWS($AH$2:AH144),$AH$2:$AH$1001,0),MATCH(COLUMNS($AO$1006:AY1006),$AO$1006:$BQ$1006,0)), HYPERLINK("#",""), HYPERLINK(CONCATENATE("#Metadata!", ADDRESS(INDEX($AJ$2:$AJ$1001,MATCH(ROWS($AH$2:AH144),$AH$2:$AH$1001,0),0), INDEX($AO$1004:$BQ$1004,1,MATCH(COLUMNS($AO$1006:AY1006),$AO$1006:$BQ$1006,0)))),"Fix")))</f>
        <v>#N/A</v>
      </c>
      <c r="M144" s="5" t="e">
        <f ca="1">IF(OR(INDEX($AI$2:$AI$1001,MATCH(ROWS($AH$2:AH144),$AH$2:$AH$1001,0),1)&gt;=100000,INDEX($AO$1005:$BQ$1005,1,MATCH(COLUMNS($AO$1006:AZ1006),$AO$1006:$BQ$1006,0))&gt;=100000), " ",IF(INDEX($AO$2:$BQ$1001,MATCH(ROWS($AH$2:AH144),$AH$2:$AH$1001,0),MATCH(COLUMNS($AO$1006:AZ1006),$AO$1006:$BQ$1006,0)), HYPERLINK("#",""), HYPERLINK(CONCATENATE("#Metadata!", ADDRESS(INDEX($AJ$2:$AJ$1001,MATCH(ROWS($AH$2:AH144),$AH$2:$AH$1001,0),0), INDEX($AO$1004:$BQ$1004,1,MATCH(COLUMNS($AO$1006:AZ1006),$AO$1006:$BQ$1006,0)))),"Fix")))</f>
        <v>#N/A</v>
      </c>
      <c r="N144" s="5" t="e">
        <f ca="1">IF(OR(INDEX($AI$2:$AI$1001,MATCH(ROWS($AH$2:AH144),$AH$2:$AH$1001,0),1)&gt;=100000,INDEX($AO$1005:$BQ$1005,1,MATCH(COLUMNS($AO$1006:BA1006),$AO$1006:$BQ$1006,0))&gt;=100000), " ",IF(INDEX($AO$2:$BQ$1001,MATCH(ROWS($AH$2:AH144),$AH$2:$AH$1001,0),MATCH(COLUMNS($AO$1006:BA1006),$AO$1006:$BQ$1006,0)), HYPERLINK("#",""), HYPERLINK(CONCATENATE("#Metadata!", ADDRESS(INDEX($AJ$2:$AJ$1001,MATCH(ROWS($AH$2:AH144),$AH$2:$AH$1001,0),0), INDEX($AO$1004:$BQ$1004,1,MATCH(COLUMNS($AO$1006:BA1006),$AO$1006:$BQ$1006,0)))),"Fix")))</f>
        <v>#N/A</v>
      </c>
      <c r="O144" s="5" t="e">
        <f ca="1">IF(OR(INDEX($AI$2:$AI$1001,MATCH(ROWS($AH$2:AH144),$AH$2:$AH$1001,0),1)&gt;=100000,INDEX($AO$1005:$BQ$1005,1,MATCH(COLUMNS($AO$1006:BB1006),$AO$1006:$BQ$1006,0))&gt;=100000), " ",IF(INDEX($AO$2:$BQ$1001,MATCH(ROWS($AH$2:AH144),$AH$2:$AH$1001,0),MATCH(COLUMNS($AO$1006:BB1006),$AO$1006:$BQ$1006,0)), HYPERLINK("#",""), HYPERLINK(CONCATENATE("#Metadata!", ADDRESS(INDEX($AJ$2:$AJ$1001,MATCH(ROWS($AH$2:AH144),$AH$2:$AH$1001,0),0), INDEX($AO$1004:$BQ$1004,1,MATCH(COLUMNS($AO$1006:BB1006),$AO$1006:$BQ$1006,0)))),"Fix")))</f>
        <v>#N/A</v>
      </c>
      <c r="P144" s="5" t="e">
        <f ca="1">IF(OR(INDEX($AI$2:$AI$1001,MATCH(ROWS($AH$2:AH144),$AH$2:$AH$1001,0),1)&gt;=100000,INDEX($AO$1005:$BQ$1005,1,MATCH(COLUMNS($AO$1006:BC1006),$AO$1006:$BQ$1006,0))&gt;=100000), " ",IF(INDEX($AO$2:$BQ$1001,MATCH(ROWS($AH$2:AH144),$AH$2:$AH$1001,0),MATCH(COLUMNS($AO$1006:BC1006),$AO$1006:$BQ$1006,0)), HYPERLINK("#",""), HYPERLINK(CONCATENATE("#Metadata!", ADDRESS(INDEX($AJ$2:$AJ$1001,MATCH(ROWS($AH$2:AH144),$AH$2:$AH$1001,0),0), INDEX($AO$1004:$BQ$1004,1,MATCH(COLUMNS($AO$1006:BC1006),$AO$1006:$BQ$1006,0)))),"Fix")))</f>
        <v>#N/A</v>
      </c>
      <c r="Q144" s="5" t="e">
        <f ca="1">IF(OR(INDEX($AI$2:$AI$1001,MATCH(ROWS($AH$2:AH144),$AH$2:$AH$1001,0),1)&gt;=100000,INDEX($AO$1005:$BQ$1005,1,MATCH(COLUMNS($AO$1006:BD1006),$AO$1006:$BQ$1006,0))&gt;=100000), " ",IF(INDEX($AO$2:$BQ$1001,MATCH(ROWS($AH$2:AH144),$AH$2:$AH$1001,0),MATCH(COLUMNS($AO$1006:BD1006),$AO$1006:$BQ$1006,0)), HYPERLINK("#",""), HYPERLINK(CONCATENATE("#Metadata!", ADDRESS(INDEX($AJ$2:$AJ$1001,MATCH(ROWS($AH$2:AH144),$AH$2:$AH$1001,0),0), INDEX($AO$1004:$BQ$1004,1,MATCH(COLUMNS($AO$1006:BD1006),$AO$1006:$BQ$1006,0)))),"Fix")))</f>
        <v>#N/A</v>
      </c>
      <c r="R144" s="5" t="e">
        <f ca="1">IF(OR(INDEX($AI$2:$AI$1001,MATCH(ROWS($AH$2:AH144),$AH$2:$AH$1001,0),1)&gt;=100000,INDEX($AO$1005:$BQ$1005,1,MATCH(COLUMNS($AO$1006:BE1006),$AO$1006:$BQ$1006,0))&gt;=100000), " ",IF(INDEX($AO$2:$BQ$1001,MATCH(ROWS($AH$2:AH144),$AH$2:$AH$1001,0),MATCH(COLUMNS($AO$1006:BE1006),$AO$1006:$BQ$1006,0)), HYPERLINK("#",""), HYPERLINK(CONCATENATE("#Metadata!", ADDRESS(INDEX($AJ$2:$AJ$1001,MATCH(ROWS($AH$2:AH144),$AH$2:$AH$1001,0),0), INDEX($AO$1004:$BQ$1004,1,MATCH(COLUMNS($AO$1006:BE1006),$AO$1006:$BQ$1006,0)))),"Fix")))</f>
        <v>#N/A</v>
      </c>
      <c r="S144" s="5" t="e">
        <f ca="1">IF(OR(INDEX($AI$2:$AI$1001,MATCH(ROWS($AH$2:AH144),$AH$2:$AH$1001,0),1)&gt;=100000,INDEX($AO$1005:$BQ$1005,1,MATCH(COLUMNS($AO$1006:BF1006),$AO$1006:$BQ$1006,0))&gt;=100000), " ",IF(INDEX($AO$2:$BQ$1001,MATCH(ROWS($AH$2:AH144),$AH$2:$AH$1001,0),MATCH(COLUMNS($AO$1006:BF1006),$AO$1006:$BQ$1006,0)), HYPERLINK("#",""), HYPERLINK(CONCATENATE("#Metadata!", ADDRESS(INDEX($AJ$2:$AJ$1001,MATCH(ROWS($AH$2:AH144),$AH$2:$AH$1001,0),0), INDEX($AO$1004:$BQ$1004,1,MATCH(COLUMNS($AO$1006:BF1006),$AO$1006:$BQ$1006,0)))),"Fix")))</f>
        <v>#N/A</v>
      </c>
      <c r="T144" s="5" t="e">
        <f ca="1">IF(OR(INDEX($AI$2:$AI$1001,MATCH(ROWS($AH$2:AH144),$AH$2:$AH$1001,0),1)&gt;=100000,INDEX($AO$1005:$BQ$1005,1,MATCH(COLUMNS($AO$1006:BG1006),$AO$1006:$BQ$1006,0))&gt;=100000), " ",IF(INDEX($AO$2:$BQ$1001,MATCH(ROWS($AH$2:AH144),$AH$2:$AH$1001,0),MATCH(COLUMNS($AO$1006:BG1006),$AO$1006:$BQ$1006,0)), HYPERLINK("#",""), HYPERLINK(CONCATENATE("#Metadata!", ADDRESS(INDEX($AJ$2:$AJ$1001,MATCH(ROWS($AH$2:AH144),$AH$2:$AH$1001,0),0), INDEX($AO$1004:$BQ$1004,1,MATCH(COLUMNS($AO$1006:BG1006),$AO$1006:$BQ$1006,0)))),"Fix")))</f>
        <v>#N/A</v>
      </c>
      <c r="U144" s="5" t="e">
        <f ca="1">IF(OR(INDEX($AI$2:$AI$1001,MATCH(ROWS($AH$2:AH144),$AH$2:$AH$1001,0),1)&gt;=100000,INDEX($AO$1005:$BQ$1005,1,MATCH(COLUMNS($AO$1006:BH1006),$AO$1006:$BQ$1006,0))&gt;=100000), " ",IF(INDEX($AO$2:$BQ$1001,MATCH(ROWS($AH$2:AH144),$AH$2:$AH$1001,0),MATCH(COLUMNS($AO$1006:BH1006),$AO$1006:$BQ$1006,0)), HYPERLINK("#",""), HYPERLINK(CONCATENATE("#Metadata!", ADDRESS(INDEX($AJ$2:$AJ$1001,MATCH(ROWS($AH$2:AH144),$AH$2:$AH$1001,0),0), INDEX($AO$1004:$BQ$1004,1,MATCH(COLUMNS($AO$1006:BH1006),$AO$1006:$BQ$1006,0)))),"Fix")))</f>
        <v>#N/A</v>
      </c>
      <c r="V144" s="5" t="e">
        <f ca="1">IF(OR(INDEX($AI$2:$AI$1001,MATCH(ROWS($AH$2:AH144),$AH$2:$AH$1001,0),1)&gt;=100000,INDEX($AO$1005:$BQ$1005,1,MATCH(COLUMNS($AO$1006:BI1006),$AO$1006:$BQ$1006,0))&gt;=100000), " ",IF(INDEX($AO$2:$BQ$1001,MATCH(ROWS($AH$2:AH144),$AH$2:$AH$1001,0),MATCH(COLUMNS($AO$1006:BI1006),$AO$1006:$BQ$1006,0)), HYPERLINK("#",""), HYPERLINK(CONCATENATE("#Metadata!", ADDRESS(INDEX($AJ$2:$AJ$1001,MATCH(ROWS($AH$2:AH144),$AH$2:$AH$1001,0),0), INDEX($AO$1004:$BQ$1004,1,MATCH(COLUMNS($AO$1006:BI1006),$AO$1006:$BQ$1006,0)))),"Fix")))</f>
        <v>#N/A</v>
      </c>
      <c r="W144" s="5" t="e">
        <f ca="1">IF(OR(INDEX($AI$2:$AI$1001,MATCH(ROWS($AH$2:AH144),$AH$2:$AH$1001,0),1)&gt;=100000,INDEX($AO$1005:$BQ$1005,1,MATCH(COLUMNS($AO$1006:BJ1006),$AO$1006:$BQ$1006,0))&gt;=100000), " ",IF(INDEX($AO$2:$BQ$1001,MATCH(ROWS($AH$2:AH144),$AH$2:$AH$1001,0),MATCH(COLUMNS($AO$1006:BJ1006),$AO$1006:$BQ$1006,0)), HYPERLINK("#",""), HYPERLINK(CONCATENATE("#Metadata!", ADDRESS(INDEX($AJ$2:$AJ$1001,MATCH(ROWS($AH$2:AH144),$AH$2:$AH$1001,0),0), INDEX($AO$1004:$BQ$1004,1,MATCH(COLUMNS($AO$1006:BJ1006),$AO$1006:$BQ$1006,0)))),"Fix")))</f>
        <v>#N/A</v>
      </c>
      <c r="X144" s="5" t="e">
        <f ca="1">IF(OR(INDEX($AI$2:$AI$1001,MATCH(ROWS($AH$2:AH144),$AH$2:$AH$1001,0),1)&gt;=100000,INDEX($AO$1005:$BQ$1005,1,MATCH(COLUMNS($AO$1006:BK1006),$AO$1006:$BQ$1006,0))&gt;=100000), " ",IF(INDEX($AO$2:$BQ$1001,MATCH(ROWS($AH$2:AH144),$AH$2:$AH$1001,0),MATCH(COLUMNS($AO$1006:BK1006),$AO$1006:$BQ$1006,0)), HYPERLINK("#",""), HYPERLINK(CONCATENATE("#Metadata!", ADDRESS(INDEX($AJ$2:$AJ$1001,MATCH(ROWS($AH$2:AH144),$AH$2:$AH$1001,0),0), INDEX($AO$1004:$BQ$1004,1,MATCH(COLUMNS($AO$1006:BK1006),$AO$1006:$BQ$1006,0)))),"Fix")))</f>
        <v>#N/A</v>
      </c>
      <c r="Y144" s="5" t="e">
        <f ca="1">IF(OR(INDEX($AI$2:$AI$1001,MATCH(ROWS($AH$2:AH144),$AH$2:$AH$1001,0),1)&gt;=100000,INDEX($AO$1005:$BQ$1005,1,MATCH(COLUMNS($AO$1006:BL1006),$AO$1006:$BQ$1006,0))&gt;=100000), " ",IF(INDEX($AO$2:$BQ$1001,MATCH(ROWS($AH$2:AH144),$AH$2:$AH$1001,0),MATCH(COLUMNS($AO$1006:BL1006),$AO$1006:$BQ$1006,0)), HYPERLINK("#",""), HYPERLINK(CONCATENATE("#Metadata!", ADDRESS(INDEX($AJ$2:$AJ$1001,MATCH(ROWS($AH$2:AH144),$AH$2:$AH$1001,0),0), INDEX($AO$1004:$BQ$1004,1,MATCH(COLUMNS($AO$1006:BL1006),$AO$1006:$BQ$1006,0)))),"Fix")))</f>
        <v>#N/A</v>
      </c>
      <c r="Z144" s="5" t="e">
        <f ca="1">IF(OR(INDEX($AI$2:$AI$1001,MATCH(ROWS($AH$2:AH144),$AH$2:$AH$1001,0),1)&gt;=100000,INDEX($AO$1005:$BQ$1005,1,MATCH(COLUMNS($AO$1006:BM1006),$AO$1006:$BQ$1006,0))&gt;=100000), " ",IF(INDEX($AO$2:$BQ$1001,MATCH(ROWS($AH$2:AH144),$AH$2:$AH$1001,0),MATCH(COLUMNS($AO$1006:BM1006),$AO$1006:$BQ$1006,0)), HYPERLINK("#",""), HYPERLINK(CONCATENATE("#Metadata!", ADDRESS(INDEX($AJ$2:$AJ$1001,MATCH(ROWS($AH$2:AH144),$AH$2:$AH$1001,0),0), INDEX($AO$1004:$BQ$1004,1,MATCH(COLUMNS($AO$1006:BM1006),$AO$1006:$BQ$1006,0)))),"Fix")))</f>
        <v>#N/A</v>
      </c>
      <c r="AA144" s="5" t="e">
        <f ca="1">IF(OR(INDEX($AI$2:$AI$1001,MATCH(ROWS($AH$2:AH144),$AH$2:$AH$1001,0),1)&gt;=100000,INDEX($AO$1005:$BQ$1005,1,MATCH(COLUMNS($AO$1006:BN1006),$AO$1006:$BQ$1006,0))&gt;=100000), " ",IF(INDEX($AO$2:$BQ$1001,MATCH(ROWS($AH$2:AH144),$AH$2:$AH$1001,0),MATCH(COLUMNS($AO$1006:BN1006),$AO$1006:$BQ$1006,0)), HYPERLINK("#",""), HYPERLINK(CONCATENATE("#Metadata!", ADDRESS(INDEX($AJ$2:$AJ$1001,MATCH(ROWS($AH$2:AH144),$AH$2:$AH$1001,0),0), INDEX($AO$1004:$BQ$1004,1,MATCH(COLUMNS($AO$1006:BN1006),$AO$1006:$BQ$1006,0)))),"Fix")))</f>
        <v>#N/A</v>
      </c>
      <c r="AB144" s="5" t="e">
        <f ca="1">IF(OR(INDEX($AI$2:$AI$1001,MATCH(ROWS($AH$2:AH144),$AH$2:$AH$1001,0),1)&gt;=100000,INDEX($AO$1005:$BQ$1005,1,MATCH(COLUMNS($AO$1006:BO1006),$AO$1006:$BQ$1006,0))&gt;=100000), " ",IF(INDEX($AO$2:$BQ$1001,MATCH(ROWS($AH$2:AH144),$AH$2:$AH$1001,0),MATCH(COLUMNS($AO$1006:BO1006),$AO$1006:$BQ$1006,0)), HYPERLINK("#",""), HYPERLINK(CONCATENATE("#Metadata!", ADDRESS(INDEX($AJ$2:$AJ$1001,MATCH(ROWS($AH$2:AH144),$AH$2:$AH$1001,0),0), INDEX($AO$1004:$BQ$1004,1,MATCH(COLUMNS($AO$1006:BO1006),$AO$1006:$BQ$1006,0)))),"Fix")))</f>
        <v>#N/A</v>
      </c>
      <c r="AC144" s="5" t="e">
        <f ca="1">IF(OR(INDEX($AI$2:$AI$1001,MATCH(ROWS($AH$2:AH144),$AH$2:$AH$1001,0),1)&gt;=100000,INDEX($AO$1005:$BQ$1005,1,MATCH(COLUMNS($AO$1006:BP1006),$AO$1006:$BQ$1006,0))&gt;=100000), " ",IF(INDEX($AO$2:$BQ$1001,MATCH(ROWS($AH$2:AH144),$AH$2:$AH$1001,0),MATCH(COLUMNS($AO$1006:BP1006),$AO$1006:$BQ$1006,0)), HYPERLINK("#",""), HYPERLINK(CONCATENATE("#Metadata!", ADDRESS(INDEX($AJ$2:$AJ$1001,MATCH(ROWS($AH$2:AH144),$AH$2:$AH$1001,0),0), INDEX($AO$1004:$BQ$1004,1,MATCH(COLUMNS($AO$1006:BP1006),$AO$1006:$BQ$1006,0)))),"Fix")))</f>
        <v>#N/A</v>
      </c>
      <c r="AD144" s="5" t="e">
        <f ca="1">IF(OR(INDEX($AI$2:$AI$1001,MATCH(ROWS($AH$2:AH144),$AH$2:$AH$1001,0),1)&gt;=100000,INDEX($AO$1005:$BQ$1005,1,MATCH(COLUMNS($AO$1006:BQ1006),$AO$1006:$BQ$1006,0))&gt;=100000), " ",IF(INDEX($AO$2:$BQ$1001,MATCH(ROWS($AH$2:AH144),$AH$2:$AH$1001,0),MATCH(COLUMNS($AO$1006:BQ1006),$AO$1006:$BQ$1006,0)), HYPERLINK("#",""), HYPERLINK(CONCATENATE("#Metadata!", ADDRESS(INDEX($AJ$2:$AJ$1001,MATCH(ROWS($AH$2:AH144),$AH$2:$AH$1001,0),0), INDEX($AO$1004:$BQ$1004,1,MATCH(COLUMNS($AO$1006:BQ1006),$AO$1006:$BQ$1006,0)))),"Fix")))</f>
        <v>#REF!</v>
      </c>
      <c r="AH144">
        <f ca="1"/>
        <v>141</v>
      </c>
      <c r="AI144">
        <v>100144</v>
      </c>
      <c r="AJ144">
        <v>144</v>
      </c>
      <c r="AK144" t="b">
        <f t="shared" si="2"/>
        <v>1</v>
      </c>
      <c r="AL144" t="b">
        <f>COUNTBLANK(Metadata!B144:AD144)=COLUMNS(Metadata!B144:AD144)</f>
        <v>1</v>
      </c>
      <c r="AM144" t="str">
        <v/>
      </c>
      <c r="AO144" t="b">
        <f ca="1">AND(IF(Metadata!B144="",FALSE,TRUE),COUNTIF(Metadata!B:B, Metadata!B144) = 1,NOT(ISERROR(SUMPRODUCT(SEARCH(MID(Metadata!B144,ROW(INDIRECT("1:"&amp;LEN(Metadata!B144))), 1),"0123456789abcdefghijklmnopqrstuvwxyzABCDEFGHIJKLMNOPQRSTUVWXYZ.")))))</f>
        <v>0</v>
      </c>
      <c r="AP144" t="b">
        <f>IF(Metadata!C144="",FALSE,TRUE)</f>
        <v>0</v>
      </c>
      <c r="AQ144" t="b">
        <f>IF(Metadata!D144="",FALSE,TRUE)</f>
        <v>0</v>
      </c>
      <c r="AR144" t="b">
        <f ca="1">OR(AND(IF(Metadata!E144="",FALSE,TRUE),OR(EXACT(Metadata!E144,"not collected"),EXACT(Metadata!E144,"not provided"),EXACT(Metadata!E144,"restricted access"))),AND(IF(Metadata!E144="",FALSE,TRUE),AND(AND(IFERROR(INT(LEFT(Metadata!E144,4))&gt;1900,FALSE),IFERROR(INT(LEFT(Metadata!E144,4))&lt;=YEAR(NOW()),FALSE)), OR(MID(Metadata!E144,5,1)="", AND(AND(MID(Metadata!E144,5,1)="-",IFERROR(INT(MID(Metadata!E144,6,1))&gt;=0,FALSE),IFERROR(INT(MID(Metadata!E144,6,1))&lt;=1,FALSE),NOT(MID(Metadata!E144,7,1)=""),IFERROR(INT(MID(Metadata!E144,6,2))&gt;=1,FALSE),IFERROR(INT(MID(Metadata!E144,6,2))&lt;=12,FALSE)), OR(MID(Metadata!E144,8,1)="", AND(AND(MID(Metadata!E144,8,1)="-",IFERROR(INT(MID(Metadata!E144,9,1))&gt;=0,FALSE),IFERROR(INT(MID(Metadata!E144,9,1))&lt;=3,FALSE),NOT(MID(Metadata!E144,10,1)=""),IFERROR(INT(MID(Metadata!E144,9,2))&gt;=1,FALSE),IFERROR(INT(MID(Metadata!E144,9,2))&lt;=31,FALSE)), OR(MID(Metadata!E144,11,1)="", AND(AND(MID(Metadata!E144,11,1)=" ",IFERROR(INT(MID(Metadata!E144,12,1))&gt;=0,FALSE),IFERROR(INT(MID(Metadata!E144,12,1))&lt;=2,FALSE),NOT(MID(Metadata!E144,13,1)=""),IFERROR(INT(MID(Metadata!E144,12,2))&gt;=0,FALSE),IFERROR(INT(MID(Metadata!E144,12,2))&lt;=23,FALSE)), OR(MID(Metadata!E144,14,1)="", AND(AND(MID(Metadata!E144,14,1)=":",IFERROR(INT(MID(Metadata!E144,15,1))&gt;=0,FALSE),IFERROR(INT(MID(Metadata!E144,15,1))&lt;=5,FALSE),NOT(MID(Metadata!E144,16,1)=""),IFERROR(INT(MID(Metadata!E144,15,2))&gt;=0,FALSE),IFERROR(INT(MID(Metadata!E144,15,2))&lt;=59,FALSE)), OR(MID(Metadata!E144,17,1)="", AND(AND(MID(Metadata!E144,17,1)=":",IFERROR(INT(MID(Metadata!E144,18,1))&gt;=0,FALSE),IFERROR(INT(MID(Metadata!E144,18,1))&lt;=5,FALSE),NOT(MID(Metadata!E144,19,1)=""),IFERROR(INT(MID(Metadata!E144,18,2))&gt;=0,FALSE),IFERROR(INT(MID(Metadata!E144,18,2))&lt;=59,FALSE)), LEN(Metadata!E144)&lt;=19)))))))))))))</f>
        <v>0</v>
      </c>
      <c r="AS144" t="b">
        <f>IF(Metadata!F144="",FALSE,TRUE)</f>
        <v>0</v>
      </c>
      <c r="AT144" t="b">
        <f>OR(AND(IF(Metadata!G144="",FALSE,TRUE),OR(EXACT(Metadata!G144,"not collected"),EXACT(Metadata!G144,"not provided"))),AND(IF(Metadata!G144="",FALSE,TRUE),OR(EXACT(Metadata!G144,"TRUE"),EXACT(Metadata!G144,"FALSE"))))</f>
        <v>0</v>
      </c>
      <c r="AU144" t="b">
        <f>OR(AND(IF(Metadata!H144="",FALSE,TRUE),OR(EXACT(Metadata!H144,"not collected"),EXACT(Metadata!H144,"not provided"),EXACT(Metadata!H144,"restricted access"))),AND(IF(Metadata!H144="",FALSE,ISNUMBER(VALUE(Metadata!H144))),Metadata!H144&gt;=-413))</f>
        <v>0</v>
      </c>
      <c r="AV144" t="b">
        <f>AND(IF(Metadata!I144="",FALSE,TRUE),EXACT(Metadata!I144,"meters"))</f>
        <v>0</v>
      </c>
      <c r="AW144" t="b">
        <f>AND(IF(Metadata!J144="",FALSE,TRUE),EXACT(Metadata!J144,"free-living"))</f>
        <v>0</v>
      </c>
      <c r="AX144" t="b">
        <f>AND(IF(Metadata!K144="",FALSE,TRUE),OR(EXACT(Metadata!K144,"saline"),EXACT(Metadata!K144,"non-saline")))</f>
        <v>0</v>
      </c>
      <c r="AY144" t="b">
        <f>AND(IF(Metadata!L144="",FALSE,TRUE),OR(EXACT(Metadata!L144,"sub-surface (non-saline)"),EXACT(Metadata!L144,"surface (non-saline)"),EXACT(Metadata!L144,"water (non-saline)"),EXACT(Metadata!L144,"soil (non-saline)"),EXACT(Metadata!L144,"aerosol (non-saline)"),EXACT(Metadata!L144,"sediment (non-saline)"),EXACT(Metadata!L144,"surface (saline)"),EXACT(Metadata!L144,"water (saline)"),EXACT(Metadata!L144,"hypersaline (saline)"),EXACT(Metadata!L144,"aerosol (saline)"),EXACT(Metadata!L144,"sediment (saline)")))</f>
        <v>0</v>
      </c>
      <c r="AZ144" t="b">
        <f>IF(Metadata!M144="",FALSE,TRUE)</f>
        <v>0</v>
      </c>
      <c r="BA144" t="b">
        <f>IF(Metadata!N144="",FALSE,TRUE)</f>
        <v>0</v>
      </c>
      <c r="BB144" t="b">
        <f>IF(Metadata!O144="",FALSE,TRUE)</f>
        <v>0</v>
      </c>
      <c r="BC144" t="b">
        <f>AND(IF(Metadata!P144="",FALSE,TRUE),OR(EXACT(Metadata!P144,"air"),EXACT(Metadata!P144,"microbial mat/biofilm"),EXACT(Metadata!P144,"misc environment"),EXACT(Metadata!P144,"sediment"),EXACT(Metadata!P144,"soil"),EXACT(Metadata!P144,"wastewater/sludge"),EXACT(Metadata!P144,"water")))</f>
        <v>0</v>
      </c>
      <c r="BD144" t="b">
        <f>IF(Metadata!Q144="",FALSE,TRUE)</f>
        <v>0</v>
      </c>
      <c r="BE144" t="b">
        <f>IF(Metadata!R144="",FALSE,TRUE)</f>
        <v>0</v>
      </c>
      <c r="BF144" t="b">
        <f>OR(AND(IF(Metadata!S144="",FALSE,TRUE),OR(EXACT(Metadata!S144,"not collected"),EXACT(Metadata!S144,"not provided"),EXACT(Metadata!S144,"restricted access"))),AND(IF(Metadata!S144="",FALSE,ISNUMBER(VALUE(Metadata!S144))),Metadata!S144&gt;=-90,Metadata!S144&lt;=90))</f>
        <v>0</v>
      </c>
      <c r="BG144" t="b">
        <f>AND(IF(Metadata!T144="",FALSE,TRUE),EXACT(Metadata!T144,"Decimal degrees"))</f>
        <v>0</v>
      </c>
      <c r="BH144" t="b">
        <f>OR(AND(IF(Metadata!U144="",FALSE,TRUE),OR(EXACT(Metadata!U144,"not applicable"),EXACT(Metadata!U144,"not collected"))),IF(Metadata!U144="",FALSE,TRUE))</f>
        <v>0</v>
      </c>
      <c r="BI144" t="b">
        <f>OR(AND(IF(Metadata!V144="",FALSE,TRUE),OR(EXACT(Metadata!V144,"not collected"),EXACT(Metadata!V144,"not provided"),EXACT(Metadata!V144,"restricted access"))),AND(IF(Metadata!V144="",FALSE,ISNUMBER(VALUE(Metadata!V144))),Metadata!V144&gt;=-180,Metadata!V144&lt;=180))</f>
        <v>0</v>
      </c>
      <c r="BJ144" t="b">
        <f>AND(IF(Metadata!W144="",FALSE,TRUE),EXACT(Metadata!W144,"Decimal degrees"))</f>
        <v>0</v>
      </c>
      <c r="BK144" t="b">
        <f>IF(Metadata!X144="",FALSE,TRUE)</f>
        <v>0</v>
      </c>
      <c r="BL144" t="b">
        <f>OR(AND(IF(Metadata!Y144="",FALSE,TRUE),OR(EXACT(Metadata!Y144,"not collected"),EXACT(Metadata!Y144,"not provided"),EXACT(Metadata!Y144,"restricted access"))),AND(IF(Metadata!Y144="",FALSE,TRUE),OR(EXACT(Metadata!Y144,"TRUE"),EXACT(Metadata!Y144,"FALSE"))))</f>
        <v>0</v>
      </c>
      <c r="BM144" t="b">
        <f>OR(AND(IF(Metadata!Z144="",FALSE,TRUE),EXACT(Metadata!Z144,"not applicable")),AND(IF(Metadata!Z144="",FALSE,TRUE),OR(EXACT(Metadata!Z144,"beer"),EXACT(Metadata!Z144,"cheese"),EXACT(Metadata!Z144,"fresh water"),EXACT(Metadata!Z144,"marine sediment"),EXACT(Metadata!Z144,"sea water"),EXACT(Metadata!Z144,"sediment"),EXACT(Metadata!Z144,"soil"),EXACT(Metadata!Z144,"waste water"))))</f>
        <v>0</v>
      </c>
      <c r="BN144" t="b">
        <f>AND(IF(Metadata!AA144="",FALSE,TRUE),EXACT(Metadata!AA144,"metagenome"))</f>
        <v>0</v>
      </c>
      <c r="BO144" t="b">
        <f>AND(IF(Metadata!AB144="",FALSE,TRUE),EXACT(Metadata!AB144,"256318"))</f>
        <v>0</v>
      </c>
      <c r="BP144" t="b">
        <f>IF(Metadata!AC144="",FALSE,TRUE)</f>
        <v>0</v>
      </c>
      <c r="BQ144" t="b">
        <f>IF(Metadata!AD144="",FALSE,TRUE)</f>
        <v>0</v>
      </c>
    </row>
    <row r="145" spans="1:69" x14ac:dyDescent="0.2">
      <c r="A145" s="4" t="e">
        <f ca="1">IF(B145=" "," ",HYPERLINK(CONCATENATE("#metadata!",ADDRESS(INDEX($AJ$2:$AJ$1001,MATCH(ROWS($AH$2:AH145),$AH$2:$AH$1001,0),0),2)),INDEX($AM$2:$AM$1001,MATCH(ROWS($AH$2:AH145),$AH$2:$AH$1001,0),0)))</f>
        <v>#N/A</v>
      </c>
      <c r="B145" s="5" t="e">
        <f ca="1">IF(OR(INDEX($AI$2:$AI$1001,MATCH(ROWS($AH$2:AH145),$AH$2:$AH$1001,0),1)&gt;=100000,INDEX($AO$1005:$BQ$1005,1,MATCH(COLUMNS($AO$1006:AO1006),$AO$1006:$BQ$1006,0))&gt;=100000), " ",IF(INDEX($AO$2:$BQ$1001,MATCH(ROWS($AH$2:AH145),$AH$2:$AH$1001,0),MATCH(COLUMNS($AO$1006:AO1006),$AO$1006:$BQ$1006,0)), HYPERLINK("#",""), HYPERLINK(CONCATENATE("#Metadata!", ADDRESS(INDEX($AJ$2:$AJ$1001,MATCH(ROWS($AH$2:AH145),$AH$2:$AH$1001,0),0), INDEX($AO$1004:$BQ$1004,1,MATCH(COLUMNS($AO$1006:AO1006),$AO$1006:$BQ$1006,0)))),"Fix")))</f>
        <v>#N/A</v>
      </c>
      <c r="C145" s="5" t="e">
        <f ca="1">IF(OR(INDEX($AI$2:$AI$1001,MATCH(ROWS($AH$2:AH145),$AH$2:$AH$1001,0),1)&gt;=100000,INDEX($AO$1005:$BQ$1005,1,MATCH(COLUMNS($AO$1006:AP1006),$AO$1006:$BQ$1006,0))&gt;=100000), " ",IF(INDEX($AO$2:$BQ$1001,MATCH(ROWS($AH$2:AH145),$AH$2:$AH$1001,0),MATCH(COLUMNS($AO$1006:AP1006),$AO$1006:$BQ$1006,0)), HYPERLINK("#",""), HYPERLINK(CONCATENATE("#Metadata!", ADDRESS(INDEX($AJ$2:$AJ$1001,MATCH(ROWS($AH$2:AH145),$AH$2:$AH$1001,0),0), INDEX($AO$1004:$BQ$1004,1,MATCH(COLUMNS($AO$1006:AP1006),$AO$1006:$BQ$1006,0)))),"Fix")))</f>
        <v>#N/A</v>
      </c>
      <c r="D145" s="5" t="e">
        <f ca="1">IF(OR(INDEX($AI$2:$AI$1001,MATCH(ROWS($AH$2:AH145),$AH$2:$AH$1001,0),1)&gt;=100000,INDEX($AO$1005:$BQ$1005,1,MATCH(COLUMNS($AO$1006:AQ1006),$AO$1006:$BQ$1006,0))&gt;=100000), " ",IF(INDEX($AO$2:$BQ$1001,MATCH(ROWS($AH$2:AH145),$AH$2:$AH$1001,0),MATCH(COLUMNS($AO$1006:AQ1006),$AO$1006:$BQ$1006,0)), HYPERLINK("#",""), HYPERLINK(CONCATENATE("#Metadata!", ADDRESS(INDEX($AJ$2:$AJ$1001,MATCH(ROWS($AH$2:AH145),$AH$2:$AH$1001,0),0), INDEX($AO$1004:$BQ$1004,1,MATCH(COLUMNS($AO$1006:AQ1006),$AO$1006:$BQ$1006,0)))),"Fix")))</f>
        <v>#N/A</v>
      </c>
      <c r="E145" s="5" t="e">
        <f ca="1">IF(OR(INDEX($AI$2:$AI$1001,MATCH(ROWS($AH$2:AH145),$AH$2:$AH$1001,0),1)&gt;=100000,INDEX($AO$1005:$BQ$1005,1,MATCH(COLUMNS($AO$1006:AR1006),$AO$1006:$BQ$1006,0))&gt;=100000), " ",IF(INDEX($AO$2:$BQ$1001,MATCH(ROWS($AH$2:AH145),$AH$2:$AH$1001,0),MATCH(COLUMNS($AO$1006:AR1006),$AO$1006:$BQ$1006,0)), HYPERLINK("#",""), HYPERLINK(CONCATENATE("#Metadata!", ADDRESS(INDEX($AJ$2:$AJ$1001,MATCH(ROWS($AH$2:AH145),$AH$2:$AH$1001,0),0), INDEX($AO$1004:$BQ$1004,1,MATCH(COLUMNS($AO$1006:AR1006),$AO$1006:$BQ$1006,0)))),"Fix")))</f>
        <v>#N/A</v>
      </c>
      <c r="F145" s="5" t="e">
        <f ca="1">IF(OR(INDEX($AI$2:$AI$1001,MATCH(ROWS($AH$2:AH145),$AH$2:$AH$1001,0),1)&gt;=100000,INDEX($AO$1005:$BQ$1005,1,MATCH(COLUMNS($AO$1006:AS1006),$AO$1006:$BQ$1006,0))&gt;=100000), " ",IF(INDEX($AO$2:$BQ$1001,MATCH(ROWS($AH$2:AH145),$AH$2:$AH$1001,0),MATCH(COLUMNS($AO$1006:AS1006),$AO$1006:$BQ$1006,0)), HYPERLINK("#",""), HYPERLINK(CONCATENATE("#Metadata!", ADDRESS(INDEX($AJ$2:$AJ$1001,MATCH(ROWS($AH$2:AH145),$AH$2:$AH$1001,0),0), INDEX($AO$1004:$BQ$1004,1,MATCH(COLUMNS($AO$1006:AS1006),$AO$1006:$BQ$1006,0)))),"Fix")))</f>
        <v>#N/A</v>
      </c>
      <c r="G145" s="5" t="e">
        <f ca="1">IF(OR(INDEX($AI$2:$AI$1001,MATCH(ROWS($AH$2:AH145),$AH$2:$AH$1001,0),1)&gt;=100000,INDEX($AO$1005:$BQ$1005,1,MATCH(COLUMNS($AO$1006:AT1006),$AO$1006:$BQ$1006,0))&gt;=100000), " ",IF(INDEX($AO$2:$BQ$1001,MATCH(ROWS($AH$2:AH145),$AH$2:$AH$1001,0),MATCH(COLUMNS($AO$1006:AT1006),$AO$1006:$BQ$1006,0)), HYPERLINK("#",""), HYPERLINK(CONCATENATE("#Metadata!", ADDRESS(INDEX($AJ$2:$AJ$1001,MATCH(ROWS($AH$2:AH145),$AH$2:$AH$1001,0),0), INDEX($AO$1004:$BQ$1004,1,MATCH(COLUMNS($AO$1006:AT1006),$AO$1006:$BQ$1006,0)))),"Fix")))</f>
        <v>#N/A</v>
      </c>
      <c r="H145" s="5" t="e">
        <f ca="1">IF(OR(INDEX($AI$2:$AI$1001,MATCH(ROWS($AH$2:AH145),$AH$2:$AH$1001,0),1)&gt;=100000,INDEX($AO$1005:$BQ$1005,1,MATCH(COLUMNS($AO$1006:AU1006),$AO$1006:$BQ$1006,0))&gt;=100000), " ",IF(INDEX($AO$2:$BQ$1001,MATCH(ROWS($AH$2:AH145),$AH$2:$AH$1001,0),MATCH(COLUMNS($AO$1006:AU1006),$AO$1006:$BQ$1006,0)), HYPERLINK("#",""), HYPERLINK(CONCATENATE("#Metadata!", ADDRESS(INDEX($AJ$2:$AJ$1001,MATCH(ROWS($AH$2:AH145),$AH$2:$AH$1001,0),0), INDEX($AO$1004:$BQ$1004,1,MATCH(COLUMNS($AO$1006:AU1006),$AO$1006:$BQ$1006,0)))),"Fix")))</f>
        <v>#N/A</v>
      </c>
      <c r="I145" s="5" t="e">
        <f ca="1">IF(OR(INDEX($AI$2:$AI$1001,MATCH(ROWS($AH$2:AH145),$AH$2:$AH$1001,0),1)&gt;=100000,INDEX($AO$1005:$BQ$1005,1,MATCH(COLUMNS($AO$1006:AV1006),$AO$1006:$BQ$1006,0))&gt;=100000), " ",IF(INDEX($AO$2:$BQ$1001,MATCH(ROWS($AH$2:AH145),$AH$2:$AH$1001,0),MATCH(COLUMNS($AO$1006:AV1006),$AO$1006:$BQ$1006,0)), HYPERLINK("#",""), HYPERLINK(CONCATENATE("#Metadata!", ADDRESS(INDEX($AJ$2:$AJ$1001,MATCH(ROWS($AH$2:AH145),$AH$2:$AH$1001,0),0), INDEX($AO$1004:$BQ$1004,1,MATCH(COLUMNS($AO$1006:AV1006),$AO$1006:$BQ$1006,0)))),"Fix")))</f>
        <v>#N/A</v>
      </c>
      <c r="J145" s="5" t="e">
        <f ca="1">IF(OR(INDEX($AI$2:$AI$1001,MATCH(ROWS($AH$2:AH145),$AH$2:$AH$1001,0),1)&gt;=100000,INDEX($AO$1005:$BQ$1005,1,MATCH(COLUMNS($AO$1006:AW1006),$AO$1006:$BQ$1006,0))&gt;=100000), " ",IF(INDEX($AO$2:$BQ$1001,MATCH(ROWS($AH$2:AH145),$AH$2:$AH$1001,0),MATCH(COLUMNS($AO$1006:AW1006),$AO$1006:$BQ$1006,0)), HYPERLINK("#",""), HYPERLINK(CONCATENATE("#Metadata!", ADDRESS(INDEX($AJ$2:$AJ$1001,MATCH(ROWS($AH$2:AH145),$AH$2:$AH$1001,0),0), INDEX($AO$1004:$BQ$1004,1,MATCH(COLUMNS($AO$1006:AW1006),$AO$1006:$BQ$1006,0)))),"Fix")))</f>
        <v>#N/A</v>
      </c>
      <c r="K145" s="5" t="e">
        <f ca="1">IF(OR(INDEX($AI$2:$AI$1001,MATCH(ROWS($AH$2:AH145),$AH$2:$AH$1001,0),1)&gt;=100000,INDEX($AO$1005:$BQ$1005,1,MATCH(COLUMNS($AO$1006:AX1006),$AO$1006:$BQ$1006,0))&gt;=100000), " ",IF(INDEX($AO$2:$BQ$1001,MATCH(ROWS($AH$2:AH145),$AH$2:$AH$1001,0),MATCH(COLUMNS($AO$1006:AX1006),$AO$1006:$BQ$1006,0)), HYPERLINK("#",""), HYPERLINK(CONCATENATE("#Metadata!", ADDRESS(INDEX($AJ$2:$AJ$1001,MATCH(ROWS($AH$2:AH145),$AH$2:$AH$1001,0),0), INDEX($AO$1004:$BQ$1004,1,MATCH(COLUMNS($AO$1006:AX1006),$AO$1006:$BQ$1006,0)))),"Fix")))</f>
        <v>#N/A</v>
      </c>
      <c r="L145" s="5" t="e">
        <f ca="1">IF(OR(INDEX($AI$2:$AI$1001,MATCH(ROWS($AH$2:AH145),$AH$2:$AH$1001,0),1)&gt;=100000,INDEX($AO$1005:$BQ$1005,1,MATCH(COLUMNS($AO$1006:AY1006),$AO$1006:$BQ$1006,0))&gt;=100000), " ",IF(INDEX($AO$2:$BQ$1001,MATCH(ROWS($AH$2:AH145),$AH$2:$AH$1001,0),MATCH(COLUMNS($AO$1006:AY1006),$AO$1006:$BQ$1006,0)), HYPERLINK("#",""), HYPERLINK(CONCATENATE("#Metadata!", ADDRESS(INDEX($AJ$2:$AJ$1001,MATCH(ROWS($AH$2:AH145),$AH$2:$AH$1001,0),0), INDEX($AO$1004:$BQ$1004,1,MATCH(COLUMNS($AO$1006:AY1006),$AO$1006:$BQ$1006,0)))),"Fix")))</f>
        <v>#N/A</v>
      </c>
      <c r="M145" s="5" t="e">
        <f ca="1">IF(OR(INDEX($AI$2:$AI$1001,MATCH(ROWS($AH$2:AH145),$AH$2:$AH$1001,0),1)&gt;=100000,INDEX($AO$1005:$BQ$1005,1,MATCH(COLUMNS($AO$1006:AZ1006),$AO$1006:$BQ$1006,0))&gt;=100000), " ",IF(INDEX($AO$2:$BQ$1001,MATCH(ROWS($AH$2:AH145),$AH$2:$AH$1001,0),MATCH(COLUMNS($AO$1006:AZ1006),$AO$1006:$BQ$1006,0)), HYPERLINK("#",""), HYPERLINK(CONCATENATE("#Metadata!", ADDRESS(INDEX($AJ$2:$AJ$1001,MATCH(ROWS($AH$2:AH145),$AH$2:$AH$1001,0),0), INDEX($AO$1004:$BQ$1004,1,MATCH(COLUMNS($AO$1006:AZ1006),$AO$1006:$BQ$1006,0)))),"Fix")))</f>
        <v>#N/A</v>
      </c>
      <c r="N145" s="5" t="e">
        <f ca="1">IF(OR(INDEX($AI$2:$AI$1001,MATCH(ROWS($AH$2:AH145),$AH$2:$AH$1001,0),1)&gt;=100000,INDEX($AO$1005:$BQ$1005,1,MATCH(COLUMNS($AO$1006:BA1006),$AO$1006:$BQ$1006,0))&gt;=100000), " ",IF(INDEX($AO$2:$BQ$1001,MATCH(ROWS($AH$2:AH145),$AH$2:$AH$1001,0),MATCH(COLUMNS($AO$1006:BA1006),$AO$1006:$BQ$1006,0)), HYPERLINK("#",""), HYPERLINK(CONCATENATE("#Metadata!", ADDRESS(INDEX($AJ$2:$AJ$1001,MATCH(ROWS($AH$2:AH145),$AH$2:$AH$1001,0),0), INDEX($AO$1004:$BQ$1004,1,MATCH(COLUMNS($AO$1006:BA1006),$AO$1006:$BQ$1006,0)))),"Fix")))</f>
        <v>#N/A</v>
      </c>
      <c r="O145" s="5" t="e">
        <f ca="1">IF(OR(INDEX($AI$2:$AI$1001,MATCH(ROWS($AH$2:AH145),$AH$2:$AH$1001,0),1)&gt;=100000,INDEX($AO$1005:$BQ$1005,1,MATCH(COLUMNS($AO$1006:BB1006),$AO$1006:$BQ$1006,0))&gt;=100000), " ",IF(INDEX($AO$2:$BQ$1001,MATCH(ROWS($AH$2:AH145),$AH$2:$AH$1001,0),MATCH(COLUMNS($AO$1006:BB1006),$AO$1006:$BQ$1006,0)), HYPERLINK("#",""), HYPERLINK(CONCATENATE("#Metadata!", ADDRESS(INDEX($AJ$2:$AJ$1001,MATCH(ROWS($AH$2:AH145),$AH$2:$AH$1001,0),0), INDEX($AO$1004:$BQ$1004,1,MATCH(COLUMNS($AO$1006:BB1006),$AO$1006:$BQ$1006,0)))),"Fix")))</f>
        <v>#N/A</v>
      </c>
      <c r="P145" s="5" t="e">
        <f ca="1">IF(OR(INDEX($AI$2:$AI$1001,MATCH(ROWS($AH$2:AH145),$AH$2:$AH$1001,0),1)&gt;=100000,INDEX($AO$1005:$BQ$1005,1,MATCH(COLUMNS($AO$1006:BC1006),$AO$1006:$BQ$1006,0))&gt;=100000), " ",IF(INDEX($AO$2:$BQ$1001,MATCH(ROWS($AH$2:AH145),$AH$2:$AH$1001,0),MATCH(COLUMNS($AO$1006:BC1006),$AO$1006:$BQ$1006,0)), HYPERLINK("#",""), HYPERLINK(CONCATENATE("#Metadata!", ADDRESS(INDEX($AJ$2:$AJ$1001,MATCH(ROWS($AH$2:AH145),$AH$2:$AH$1001,0),0), INDEX($AO$1004:$BQ$1004,1,MATCH(COLUMNS($AO$1006:BC1006),$AO$1006:$BQ$1006,0)))),"Fix")))</f>
        <v>#N/A</v>
      </c>
      <c r="Q145" s="5" t="e">
        <f ca="1">IF(OR(INDEX($AI$2:$AI$1001,MATCH(ROWS($AH$2:AH145),$AH$2:$AH$1001,0),1)&gt;=100000,INDEX($AO$1005:$BQ$1005,1,MATCH(COLUMNS($AO$1006:BD1006),$AO$1006:$BQ$1006,0))&gt;=100000), " ",IF(INDEX($AO$2:$BQ$1001,MATCH(ROWS($AH$2:AH145),$AH$2:$AH$1001,0),MATCH(COLUMNS($AO$1006:BD1006),$AO$1006:$BQ$1006,0)), HYPERLINK("#",""), HYPERLINK(CONCATENATE("#Metadata!", ADDRESS(INDEX($AJ$2:$AJ$1001,MATCH(ROWS($AH$2:AH145),$AH$2:$AH$1001,0),0), INDEX($AO$1004:$BQ$1004,1,MATCH(COLUMNS($AO$1006:BD1006),$AO$1006:$BQ$1006,0)))),"Fix")))</f>
        <v>#N/A</v>
      </c>
      <c r="R145" s="5" t="e">
        <f ca="1">IF(OR(INDEX($AI$2:$AI$1001,MATCH(ROWS($AH$2:AH145),$AH$2:$AH$1001,0),1)&gt;=100000,INDEX($AO$1005:$BQ$1005,1,MATCH(COLUMNS($AO$1006:BE1006),$AO$1006:$BQ$1006,0))&gt;=100000), " ",IF(INDEX($AO$2:$BQ$1001,MATCH(ROWS($AH$2:AH145),$AH$2:$AH$1001,0),MATCH(COLUMNS($AO$1006:BE1006),$AO$1006:$BQ$1006,0)), HYPERLINK("#",""), HYPERLINK(CONCATENATE("#Metadata!", ADDRESS(INDEX($AJ$2:$AJ$1001,MATCH(ROWS($AH$2:AH145),$AH$2:$AH$1001,0),0), INDEX($AO$1004:$BQ$1004,1,MATCH(COLUMNS($AO$1006:BE1006),$AO$1006:$BQ$1006,0)))),"Fix")))</f>
        <v>#N/A</v>
      </c>
      <c r="S145" s="5" t="e">
        <f ca="1">IF(OR(INDEX($AI$2:$AI$1001,MATCH(ROWS($AH$2:AH145),$AH$2:$AH$1001,0),1)&gt;=100000,INDEX($AO$1005:$BQ$1005,1,MATCH(COLUMNS($AO$1006:BF1006),$AO$1006:$BQ$1006,0))&gt;=100000), " ",IF(INDEX($AO$2:$BQ$1001,MATCH(ROWS($AH$2:AH145),$AH$2:$AH$1001,0),MATCH(COLUMNS($AO$1006:BF1006),$AO$1006:$BQ$1006,0)), HYPERLINK("#",""), HYPERLINK(CONCATENATE("#Metadata!", ADDRESS(INDEX($AJ$2:$AJ$1001,MATCH(ROWS($AH$2:AH145),$AH$2:$AH$1001,0),0), INDEX($AO$1004:$BQ$1004,1,MATCH(COLUMNS($AO$1006:BF1006),$AO$1006:$BQ$1006,0)))),"Fix")))</f>
        <v>#N/A</v>
      </c>
      <c r="T145" s="5" t="e">
        <f ca="1">IF(OR(INDEX($AI$2:$AI$1001,MATCH(ROWS($AH$2:AH145),$AH$2:$AH$1001,0),1)&gt;=100000,INDEX($AO$1005:$BQ$1005,1,MATCH(COLUMNS($AO$1006:BG1006),$AO$1006:$BQ$1006,0))&gt;=100000), " ",IF(INDEX($AO$2:$BQ$1001,MATCH(ROWS($AH$2:AH145),$AH$2:$AH$1001,0),MATCH(COLUMNS($AO$1006:BG1006),$AO$1006:$BQ$1006,0)), HYPERLINK("#",""), HYPERLINK(CONCATENATE("#Metadata!", ADDRESS(INDEX($AJ$2:$AJ$1001,MATCH(ROWS($AH$2:AH145),$AH$2:$AH$1001,0),0), INDEX($AO$1004:$BQ$1004,1,MATCH(COLUMNS($AO$1006:BG1006),$AO$1006:$BQ$1006,0)))),"Fix")))</f>
        <v>#N/A</v>
      </c>
      <c r="U145" s="5" t="e">
        <f ca="1">IF(OR(INDEX($AI$2:$AI$1001,MATCH(ROWS($AH$2:AH145),$AH$2:$AH$1001,0),1)&gt;=100000,INDEX($AO$1005:$BQ$1005,1,MATCH(COLUMNS($AO$1006:BH1006),$AO$1006:$BQ$1006,0))&gt;=100000), " ",IF(INDEX($AO$2:$BQ$1001,MATCH(ROWS($AH$2:AH145),$AH$2:$AH$1001,0),MATCH(COLUMNS($AO$1006:BH1006),$AO$1006:$BQ$1006,0)), HYPERLINK("#",""), HYPERLINK(CONCATENATE("#Metadata!", ADDRESS(INDEX($AJ$2:$AJ$1001,MATCH(ROWS($AH$2:AH145),$AH$2:$AH$1001,0),0), INDEX($AO$1004:$BQ$1004,1,MATCH(COLUMNS($AO$1006:BH1006),$AO$1006:$BQ$1006,0)))),"Fix")))</f>
        <v>#N/A</v>
      </c>
      <c r="V145" s="5" t="e">
        <f ca="1">IF(OR(INDEX($AI$2:$AI$1001,MATCH(ROWS($AH$2:AH145),$AH$2:$AH$1001,0),1)&gt;=100000,INDEX($AO$1005:$BQ$1005,1,MATCH(COLUMNS($AO$1006:BI1006),$AO$1006:$BQ$1006,0))&gt;=100000), " ",IF(INDEX($AO$2:$BQ$1001,MATCH(ROWS($AH$2:AH145),$AH$2:$AH$1001,0),MATCH(COLUMNS($AO$1006:BI1006),$AO$1006:$BQ$1006,0)), HYPERLINK("#",""), HYPERLINK(CONCATENATE("#Metadata!", ADDRESS(INDEX($AJ$2:$AJ$1001,MATCH(ROWS($AH$2:AH145),$AH$2:$AH$1001,0),0), INDEX($AO$1004:$BQ$1004,1,MATCH(COLUMNS($AO$1006:BI1006),$AO$1006:$BQ$1006,0)))),"Fix")))</f>
        <v>#N/A</v>
      </c>
      <c r="W145" s="5" t="e">
        <f ca="1">IF(OR(INDEX($AI$2:$AI$1001,MATCH(ROWS($AH$2:AH145),$AH$2:$AH$1001,0),1)&gt;=100000,INDEX($AO$1005:$BQ$1005,1,MATCH(COLUMNS($AO$1006:BJ1006),$AO$1006:$BQ$1006,0))&gt;=100000), " ",IF(INDEX($AO$2:$BQ$1001,MATCH(ROWS($AH$2:AH145),$AH$2:$AH$1001,0),MATCH(COLUMNS($AO$1006:BJ1006),$AO$1006:$BQ$1006,0)), HYPERLINK("#",""), HYPERLINK(CONCATENATE("#Metadata!", ADDRESS(INDEX($AJ$2:$AJ$1001,MATCH(ROWS($AH$2:AH145),$AH$2:$AH$1001,0),0), INDEX($AO$1004:$BQ$1004,1,MATCH(COLUMNS($AO$1006:BJ1006),$AO$1006:$BQ$1006,0)))),"Fix")))</f>
        <v>#N/A</v>
      </c>
      <c r="X145" s="5" t="e">
        <f ca="1">IF(OR(INDEX($AI$2:$AI$1001,MATCH(ROWS($AH$2:AH145),$AH$2:$AH$1001,0),1)&gt;=100000,INDEX($AO$1005:$BQ$1005,1,MATCH(COLUMNS($AO$1006:BK1006),$AO$1006:$BQ$1006,0))&gt;=100000), " ",IF(INDEX($AO$2:$BQ$1001,MATCH(ROWS($AH$2:AH145),$AH$2:$AH$1001,0),MATCH(COLUMNS($AO$1006:BK1006),$AO$1006:$BQ$1006,0)), HYPERLINK("#",""), HYPERLINK(CONCATENATE("#Metadata!", ADDRESS(INDEX($AJ$2:$AJ$1001,MATCH(ROWS($AH$2:AH145),$AH$2:$AH$1001,0),0), INDEX($AO$1004:$BQ$1004,1,MATCH(COLUMNS($AO$1006:BK1006),$AO$1006:$BQ$1006,0)))),"Fix")))</f>
        <v>#N/A</v>
      </c>
      <c r="Y145" s="5" t="e">
        <f ca="1">IF(OR(INDEX($AI$2:$AI$1001,MATCH(ROWS($AH$2:AH145),$AH$2:$AH$1001,0),1)&gt;=100000,INDEX($AO$1005:$BQ$1005,1,MATCH(COLUMNS($AO$1006:BL1006),$AO$1006:$BQ$1006,0))&gt;=100000), " ",IF(INDEX($AO$2:$BQ$1001,MATCH(ROWS($AH$2:AH145),$AH$2:$AH$1001,0),MATCH(COLUMNS($AO$1006:BL1006),$AO$1006:$BQ$1006,0)), HYPERLINK("#",""), HYPERLINK(CONCATENATE("#Metadata!", ADDRESS(INDEX($AJ$2:$AJ$1001,MATCH(ROWS($AH$2:AH145),$AH$2:$AH$1001,0),0), INDEX($AO$1004:$BQ$1004,1,MATCH(COLUMNS($AO$1006:BL1006),$AO$1006:$BQ$1006,0)))),"Fix")))</f>
        <v>#N/A</v>
      </c>
      <c r="Z145" s="5" t="e">
        <f ca="1">IF(OR(INDEX($AI$2:$AI$1001,MATCH(ROWS($AH$2:AH145),$AH$2:$AH$1001,0),1)&gt;=100000,INDEX($AO$1005:$BQ$1005,1,MATCH(COLUMNS($AO$1006:BM1006),$AO$1006:$BQ$1006,0))&gt;=100000), " ",IF(INDEX($AO$2:$BQ$1001,MATCH(ROWS($AH$2:AH145),$AH$2:$AH$1001,0),MATCH(COLUMNS($AO$1006:BM1006),$AO$1006:$BQ$1006,0)), HYPERLINK("#",""), HYPERLINK(CONCATENATE("#Metadata!", ADDRESS(INDEX($AJ$2:$AJ$1001,MATCH(ROWS($AH$2:AH145),$AH$2:$AH$1001,0),0), INDEX($AO$1004:$BQ$1004,1,MATCH(COLUMNS($AO$1006:BM1006),$AO$1006:$BQ$1006,0)))),"Fix")))</f>
        <v>#N/A</v>
      </c>
      <c r="AA145" s="5" t="e">
        <f ca="1">IF(OR(INDEX($AI$2:$AI$1001,MATCH(ROWS($AH$2:AH145),$AH$2:$AH$1001,0),1)&gt;=100000,INDEX($AO$1005:$BQ$1005,1,MATCH(COLUMNS($AO$1006:BN1006),$AO$1006:$BQ$1006,0))&gt;=100000), " ",IF(INDEX($AO$2:$BQ$1001,MATCH(ROWS($AH$2:AH145),$AH$2:$AH$1001,0),MATCH(COLUMNS($AO$1006:BN1006),$AO$1006:$BQ$1006,0)), HYPERLINK("#",""), HYPERLINK(CONCATENATE("#Metadata!", ADDRESS(INDEX($AJ$2:$AJ$1001,MATCH(ROWS($AH$2:AH145),$AH$2:$AH$1001,0),0), INDEX($AO$1004:$BQ$1004,1,MATCH(COLUMNS($AO$1006:BN1006),$AO$1006:$BQ$1006,0)))),"Fix")))</f>
        <v>#N/A</v>
      </c>
      <c r="AB145" s="5" t="e">
        <f ca="1">IF(OR(INDEX($AI$2:$AI$1001,MATCH(ROWS($AH$2:AH145),$AH$2:$AH$1001,0),1)&gt;=100000,INDEX($AO$1005:$BQ$1005,1,MATCH(COLUMNS($AO$1006:BO1006),$AO$1006:$BQ$1006,0))&gt;=100000), " ",IF(INDEX($AO$2:$BQ$1001,MATCH(ROWS($AH$2:AH145),$AH$2:$AH$1001,0),MATCH(COLUMNS($AO$1006:BO1006),$AO$1006:$BQ$1006,0)), HYPERLINK("#",""), HYPERLINK(CONCATENATE("#Metadata!", ADDRESS(INDEX($AJ$2:$AJ$1001,MATCH(ROWS($AH$2:AH145),$AH$2:$AH$1001,0),0), INDEX($AO$1004:$BQ$1004,1,MATCH(COLUMNS($AO$1006:BO1006),$AO$1006:$BQ$1006,0)))),"Fix")))</f>
        <v>#N/A</v>
      </c>
      <c r="AC145" s="5" t="e">
        <f ca="1">IF(OR(INDEX($AI$2:$AI$1001,MATCH(ROWS($AH$2:AH145),$AH$2:$AH$1001,0),1)&gt;=100000,INDEX($AO$1005:$BQ$1005,1,MATCH(COLUMNS($AO$1006:BP1006),$AO$1006:$BQ$1006,0))&gt;=100000), " ",IF(INDEX($AO$2:$BQ$1001,MATCH(ROWS($AH$2:AH145),$AH$2:$AH$1001,0),MATCH(COLUMNS($AO$1006:BP1006),$AO$1006:$BQ$1006,0)), HYPERLINK("#",""), HYPERLINK(CONCATENATE("#Metadata!", ADDRESS(INDEX($AJ$2:$AJ$1001,MATCH(ROWS($AH$2:AH145),$AH$2:$AH$1001,0),0), INDEX($AO$1004:$BQ$1004,1,MATCH(COLUMNS($AO$1006:BP1006),$AO$1006:$BQ$1006,0)))),"Fix")))</f>
        <v>#N/A</v>
      </c>
      <c r="AD145" s="5" t="e">
        <f ca="1">IF(OR(INDEX($AI$2:$AI$1001,MATCH(ROWS($AH$2:AH145),$AH$2:$AH$1001,0),1)&gt;=100000,INDEX($AO$1005:$BQ$1005,1,MATCH(COLUMNS($AO$1006:BQ1006),$AO$1006:$BQ$1006,0))&gt;=100000), " ",IF(INDEX($AO$2:$BQ$1001,MATCH(ROWS($AH$2:AH145),$AH$2:$AH$1001,0),MATCH(COLUMNS($AO$1006:BQ1006),$AO$1006:$BQ$1006,0)), HYPERLINK("#",""), HYPERLINK(CONCATENATE("#Metadata!", ADDRESS(INDEX($AJ$2:$AJ$1001,MATCH(ROWS($AH$2:AH145),$AH$2:$AH$1001,0),0), INDEX($AO$1004:$BQ$1004,1,MATCH(COLUMNS($AO$1006:BQ1006),$AO$1006:$BQ$1006,0)))),"Fix")))</f>
        <v>#REF!</v>
      </c>
      <c r="AH145">
        <f ca="1"/>
        <v>142</v>
      </c>
      <c r="AI145">
        <v>100145</v>
      </c>
      <c r="AJ145">
        <v>145</v>
      </c>
      <c r="AK145" t="b">
        <f t="shared" si="2"/>
        <v>1</v>
      </c>
      <c r="AL145" t="b">
        <f>COUNTBLANK(Metadata!B145:AD145)=COLUMNS(Metadata!B145:AD145)</f>
        <v>1</v>
      </c>
      <c r="AM145" t="str">
        <v/>
      </c>
      <c r="AO145" t="b">
        <f ca="1">AND(IF(Metadata!B145="",FALSE,TRUE),COUNTIF(Metadata!B:B, Metadata!B145) = 1,NOT(ISERROR(SUMPRODUCT(SEARCH(MID(Metadata!B145,ROW(INDIRECT("1:"&amp;LEN(Metadata!B145))), 1),"0123456789abcdefghijklmnopqrstuvwxyzABCDEFGHIJKLMNOPQRSTUVWXYZ.")))))</f>
        <v>0</v>
      </c>
      <c r="AP145" t="b">
        <f>IF(Metadata!C145="",FALSE,TRUE)</f>
        <v>0</v>
      </c>
      <c r="AQ145" t="b">
        <f>IF(Metadata!D145="",FALSE,TRUE)</f>
        <v>0</v>
      </c>
      <c r="AR145" t="b">
        <f ca="1">OR(AND(IF(Metadata!E145="",FALSE,TRUE),OR(EXACT(Metadata!E145,"not collected"),EXACT(Metadata!E145,"not provided"),EXACT(Metadata!E145,"restricted access"))),AND(IF(Metadata!E145="",FALSE,TRUE),AND(AND(IFERROR(INT(LEFT(Metadata!E145,4))&gt;1900,FALSE),IFERROR(INT(LEFT(Metadata!E145,4))&lt;=YEAR(NOW()),FALSE)), OR(MID(Metadata!E145,5,1)="", AND(AND(MID(Metadata!E145,5,1)="-",IFERROR(INT(MID(Metadata!E145,6,1))&gt;=0,FALSE),IFERROR(INT(MID(Metadata!E145,6,1))&lt;=1,FALSE),NOT(MID(Metadata!E145,7,1)=""),IFERROR(INT(MID(Metadata!E145,6,2))&gt;=1,FALSE),IFERROR(INT(MID(Metadata!E145,6,2))&lt;=12,FALSE)), OR(MID(Metadata!E145,8,1)="", AND(AND(MID(Metadata!E145,8,1)="-",IFERROR(INT(MID(Metadata!E145,9,1))&gt;=0,FALSE),IFERROR(INT(MID(Metadata!E145,9,1))&lt;=3,FALSE),NOT(MID(Metadata!E145,10,1)=""),IFERROR(INT(MID(Metadata!E145,9,2))&gt;=1,FALSE),IFERROR(INT(MID(Metadata!E145,9,2))&lt;=31,FALSE)), OR(MID(Metadata!E145,11,1)="", AND(AND(MID(Metadata!E145,11,1)=" ",IFERROR(INT(MID(Metadata!E145,12,1))&gt;=0,FALSE),IFERROR(INT(MID(Metadata!E145,12,1))&lt;=2,FALSE),NOT(MID(Metadata!E145,13,1)=""),IFERROR(INT(MID(Metadata!E145,12,2))&gt;=0,FALSE),IFERROR(INT(MID(Metadata!E145,12,2))&lt;=23,FALSE)), OR(MID(Metadata!E145,14,1)="", AND(AND(MID(Metadata!E145,14,1)=":",IFERROR(INT(MID(Metadata!E145,15,1))&gt;=0,FALSE),IFERROR(INT(MID(Metadata!E145,15,1))&lt;=5,FALSE),NOT(MID(Metadata!E145,16,1)=""),IFERROR(INT(MID(Metadata!E145,15,2))&gt;=0,FALSE),IFERROR(INT(MID(Metadata!E145,15,2))&lt;=59,FALSE)), OR(MID(Metadata!E145,17,1)="", AND(AND(MID(Metadata!E145,17,1)=":",IFERROR(INT(MID(Metadata!E145,18,1))&gt;=0,FALSE),IFERROR(INT(MID(Metadata!E145,18,1))&lt;=5,FALSE),NOT(MID(Metadata!E145,19,1)=""),IFERROR(INT(MID(Metadata!E145,18,2))&gt;=0,FALSE),IFERROR(INT(MID(Metadata!E145,18,2))&lt;=59,FALSE)), LEN(Metadata!E145)&lt;=19)))))))))))))</f>
        <v>0</v>
      </c>
      <c r="AS145" t="b">
        <f>IF(Metadata!F145="",FALSE,TRUE)</f>
        <v>0</v>
      </c>
      <c r="AT145" t="b">
        <f>OR(AND(IF(Metadata!G145="",FALSE,TRUE),OR(EXACT(Metadata!G145,"not collected"),EXACT(Metadata!G145,"not provided"))),AND(IF(Metadata!G145="",FALSE,TRUE),OR(EXACT(Metadata!G145,"TRUE"),EXACT(Metadata!G145,"FALSE"))))</f>
        <v>0</v>
      </c>
      <c r="AU145" t="b">
        <f>OR(AND(IF(Metadata!H145="",FALSE,TRUE),OR(EXACT(Metadata!H145,"not collected"),EXACT(Metadata!H145,"not provided"),EXACT(Metadata!H145,"restricted access"))),AND(IF(Metadata!H145="",FALSE,ISNUMBER(VALUE(Metadata!H145))),Metadata!H145&gt;=-413))</f>
        <v>0</v>
      </c>
      <c r="AV145" t="b">
        <f>AND(IF(Metadata!I145="",FALSE,TRUE),EXACT(Metadata!I145,"meters"))</f>
        <v>0</v>
      </c>
      <c r="AW145" t="b">
        <f>AND(IF(Metadata!J145="",FALSE,TRUE),EXACT(Metadata!J145,"free-living"))</f>
        <v>0</v>
      </c>
      <c r="AX145" t="b">
        <f>AND(IF(Metadata!K145="",FALSE,TRUE),OR(EXACT(Metadata!K145,"saline"),EXACT(Metadata!K145,"non-saline")))</f>
        <v>0</v>
      </c>
      <c r="AY145" t="b">
        <f>AND(IF(Metadata!L145="",FALSE,TRUE),OR(EXACT(Metadata!L145,"sub-surface (non-saline)"),EXACT(Metadata!L145,"surface (non-saline)"),EXACT(Metadata!L145,"water (non-saline)"),EXACT(Metadata!L145,"soil (non-saline)"),EXACT(Metadata!L145,"aerosol (non-saline)"),EXACT(Metadata!L145,"sediment (non-saline)"),EXACT(Metadata!L145,"surface (saline)"),EXACT(Metadata!L145,"water (saline)"),EXACT(Metadata!L145,"hypersaline (saline)"),EXACT(Metadata!L145,"aerosol (saline)"),EXACT(Metadata!L145,"sediment (saline)")))</f>
        <v>0</v>
      </c>
      <c r="AZ145" t="b">
        <f>IF(Metadata!M145="",FALSE,TRUE)</f>
        <v>0</v>
      </c>
      <c r="BA145" t="b">
        <f>IF(Metadata!N145="",FALSE,TRUE)</f>
        <v>0</v>
      </c>
      <c r="BB145" t="b">
        <f>IF(Metadata!O145="",FALSE,TRUE)</f>
        <v>0</v>
      </c>
      <c r="BC145" t="b">
        <f>AND(IF(Metadata!P145="",FALSE,TRUE),OR(EXACT(Metadata!P145,"air"),EXACT(Metadata!P145,"microbial mat/biofilm"),EXACT(Metadata!P145,"misc environment"),EXACT(Metadata!P145,"sediment"),EXACT(Metadata!P145,"soil"),EXACT(Metadata!P145,"wastewater/sludge"),EXACT(Metadata!P145,"water")))</f>
        <v>0</v>
      </c>
      <c r="BD145" t="b">
        <f>IF(Metadata!Q145="",FALSE,TRUE)</f>
        <v>0</v>
      </c>
      <c r="BE145" t="b">
        <f>IF(Metadata!R145="",FALSE,TRUE)</f>
        <v>0</v>
      </c>
      <c r="BF145" t="b">
        <f>OR(AND(IF(Metadata!S145="",FALSE,TRUE),OR(EXACT(Metadata!S145,"not collected"),EXACT(Metadata!S145,"not provided"),EXACT(Metadata!S145,"restricted access"))),AND(IF(Metadata!S145="",FALSE,ISNUMBER(VALUE(Metadata!S145))),Metadata!S145&gt;=-90,Metadata!S145&lt;=90))</f>
        <v>0</v>
      </c>
      <c r="BG145" t="b">
        <f>AND(IF(Metadata!T145="",FALSE,TRUE),EXACT(Metadata!T145,"Decimal degrees"))</f>
        <v>0</v>
      </c>
      <c r="BH145" t="b">
        <f>OR(AND(IF(Metadata!U145="",FALSE,TRUE),OR(EXACT(Metadata!U145,"not applicable"),EXACT(Metadata!U145,"not collected"))),IF(Metadata!U145="",FALSE,TRUE))</f>
        <v>0</v>
      </c>
      <c r="BI145" t="b">
        <f>OR(AND(IF(Metadata!V145="",FALSE,TRUE),OR(EXACT(Metadata!V145,"not collected"),EXACT(Metadata!V145,"not provided"),EXACT(Metadata!V145,"restricted access"))),AND(IF(Metadata!V145="",FALSE,ISNUMBER(VALUE(Metadata!V145))),Metadata!V145&gt;=-180,Metadata!V145&lt;=180))</f>
        <v>0</v>
      </c>
      <c r="BJ145" t="b">
        <f>AND(IF(Metadata!W145="",FALSE,TRUE),EXACT(Metadata!W145,"Decimal degrees"))</f>
        <v>0</v>
      </c>
      <c r="BK145" t="b">
        <f>IF(Metadata!X145="",FALSE,TRUE)</f>
        <v>0</v>
      </c>
      <c r="BL145" t="b">
        <f>OR(AND(IF(Metadata!Y145="",FALSE,TRUE),OR(EXACT(Metadata!Y145,"not collected"),EXACT(Metadata!Y145,"not provided"),EXACT(Metadata!Y145,"restricted access"))),AND(IF(Metadata!Y145="",FALSE,TRUE),OR(EXACT(Metadata!Y145,"TRUE"),EXACT(Metadata!Y145,"FALSE"))))</f>
        <v>0</v>
      </c>
      <c r="BM145" t="b">
        <f>OR(AND(IF(Metadata!Z145="",FALSE,TRUE),EXACT(Metadata!Z145,"not applicable")),AND(IF(Metadata!Z145="",FALSE,TRUE),OR(EXACT(Metadata!Z145,"beer"),EXACT(Metadata!Z145,"cheese"),EXACT(Metadata!Z145,"fresh water"),EXACT(Metadata!Z145,"marine sediment"),EXACT(Metadata!Z145,"sea water"),EXACT(Metadata!Z145,"sediment"),EXACT(Metadata!Z145,"soil"),EXACT(Metadata!Z145,"waste water"))))</f>
        <v>0</v>
      </c>
      <c r="BN145" t="b">
        <f>AND(IF(Metadata!AA145="",FALSE,TRUE),EXACT(Metadata!AA145,"metagenome"))</f>
        <v>0</v>
      </c>
      <c r="BO145" t="b">
        <f>AND(IF(Metadata!AB145="",FALSE,TRUE),EXACT(Metadata!AB145,"256318"))</f>
        <v>0</v>
      </c>
      <c r="BP145" t="b">
        <f>IF(Metadata!AC145="",FALSE,TRUE)</f>
        <v>0</v>
      </c>
      <c r="BQ145" t="b">
        <f>IF(Metadata!AD145="",FALSE,TRUE)</f>
        <v>0</v>
      </c>
    </row>
    <row r="146" spans="1:69" x14ac:dyDescent="0.2">
      <c r="A146" s="4" t="e">
        <f ca="1">IF(B146=" "," ",HYPERLINK(CONCATENATE("#metadata!",ADDRESS(INDEX($AJ$2:$AJ$1001,MATCH(ROWS($AH$2:AH146),$AH$2:$AH$1001,0),0),2)),INDEX($AM$2:$AM$1001,MATCH(ROWS($AH$2:AH146),$AH$2:$AH$1001,0),0)))</f>
        <v>#N/A</v>
      </c>
      <c r="B146" s="5" t="e">
        <f ca="1">IF(OR(INDEX($AI$2:$AI$1001,MATCH(ROWS($AH$2:AH146),$AH$2:$AH$1001,0),1)&gt;=100000,INDEX($AO$1005:$BQ$1005,1,MATCH(COLUMNS($AO$1006:AO1006),$AO$1006:$BQ$1006,0))&gt;=100000), " ",IF(INDEX($AO$2:$BQ$1001,MATCH(ROWS($AH$2:AH146),$AH$2:$AH$1001,0),MATCH(COLUMNS($AO$1006:AO1006),$AO$1006:$BQ$1006,0)), HYPERLINK("#",""), HYPERLINK(CONCATENATE("#Metadata!", ADDRESS(INDEX($AJ$2:$AJ$1001,MATCH(ROWS($AH$2:AH146),$AH$2:$AH$1001,0),0), INDEX($AO$1004:$BQ$1004,1,MATCH(COLUMNS($AO$1006:AO1006),$AO$1006:$BQ$1006,0)))),"Fix")))</f>
        <v>#N/A</v>
      </c>
      <c r="C146" s="5" t="e">
        <f ca="1">IF(OR(INDEX($AI$2:$AI$1001,MATCH(ROWS($AH$2:AH146),$AH$2:$AH$1001,0),1)&gt;=100000,INDEX($AO$1005:$BQ$1005,1,MATCH(COLUMNS($AO$1006:AP1006),$AO$1006:$BQ$1006,0))&gt;=100000), " ",IF(INDEX($AO$2:$BQ$1001,MATCH(ROWS($AH$2:AH146),$AH$2:$AH$1001,0),MATCH(COLUMNS($AO$1006:AP1006),$AO$1006:$BQ$1006,0)), HYPERLINK("#",""), HYPERLINK(CONCATENATE("#Metadata!", ADDRESS(INDEX($AJ$2:$AJ$1001,MATCH(ROWS($AH$2:AH146),$AH$2:$AH$1001,0),0), INDEX($AO$1004:$BQ$1004,1,MATCH(COLUMNS($AO$1006:AP1006),$AO$1006:$BQ$1006,0)))),"Fix")))</f>
        <v>#N/A</v>
      </c>
      <c r="D146" s="5" t="e">
        <f ca="1">IF(OR(INDEX($AI$2:$AI$1001,MATCH(ROWS($AH$2:AH146),$AH$2:$AH$1001,0),1)&gt;=100000,INDEX($AO$1005:$BQ$1005,1,MATCH(COLUMNS($AO$1006:AQ1006),$AO$1006:$BQ$1006,0))&gt;=100000), " ",IF(INDEX($AO$2:$BQ$1001,MATCH(ROWS($AH$2:AH146),$AH$2:$AH$1001,0),MATCH(COLUMNS($AO$1006:AQ1006),$AO$1006:$BQ$1006,0)), HYPERLINK("#",""), HYPERLINK(CONCATENATE("#Metadata!", ADDRESS(INDEX($AJ$2:$AJ$1001,MATCH(ROWS($AH$2:AH146),$AH$2:$AH$1001,0),0), INDEX($AO$1004:$BQ$1004,1,MATCH(COLUMNS($AO$1006:AQ1006),$AO$1006:$BQ$1006,0)))),"Fix")))</f>
        <v>#N/A</v>
      </c>
      <c r="E146" s="5" t="e">
        <f ca="1">IF(OR(INDEX($AI$2:$AI$1001,MATCH(ROWS($AH$2:AH146),$AH$2:$AH$1001,0),1)&gt;=100000,INDEX($AO$1005:$BQ$1005,1,MATCH(COLUMNS($AO$1006:AR1006),$AO$1006:$BQ$1006,0))&gt;=100000), " ",IF(INDEX($AO$2:$BQ$1001,MATCH(ROWS($AH$2:AH146),$AH$2:$AH$1001,0),MATCH(COLUMNS($AO$1006:AR1006),$AO$1006:$BQ$1006,0)), HYPERLINK("#",""), HYPERLINK(CONCATENATE("#Metadata!", ADDRESS(INDEX($AJ$2:$AJ$1001,MATCH(ROWS($AH$2:AH146),$AH$2:$AH$1001,0),0), INDEX($AO$1004:$BQ$1004,1,MATCH(COLUMNS($AO$1006:AR1006),$AO$1006:$BQ$1006,0)))),"Fix")))</f>
        <v>#N/A</v>
      </c>
      <c r="F146" s="5" t="e">
        <f ca="1">IF(OR(INDEX($AI$2:$AI$1001,MATCH(ROWS($AH$2:AH146),$AH$2:$AH$1001,0),1)&gt;=100000,INDEX($AO$1005:$BQ$1005,1,MATCH(COLUMNS($AO$1006:AS1006),$AO$1006:$BQ$1006,0))&gt;=100000), " ",IF(INDEX($AO$2:$BQ$1001,MATCH(ROWS($AH$2:AH146),$AH$2:$AH$1001,0),MATCH(COLUMNS($AO$1006:AS1006),$AO$1006:$BQ$1006,0)), HYPERLINK("#",""), HYPERLINK(CONCATENATE("#Metadata!", ADDRESS(INDEX($AJ$2:$AJ$1001,MATCH(ROWS($AH$2:AH146),$AH$2:$AH$1001,0),0), INDEX($AO$1004:$BQ$1004,1,MATCH(COLUMNS($AO$1006:AS1006),$AO$1006:$BQ$1006,0)))),"Fix")))</f>
        <v>#N/A</v>
      </c>
      <c r="G146" s="5" t="e">
        <f ca="1">IF(OR(INDEX($AI$2:$AI$1001,MATCH(ROWS($AH$2:AH146),$AH$2:$AH$1001,0),1)&gt;=100000,INDEX($AO$1005:$BQ$1005,1,MATCH(COLUMNS($AO$1006:AT1006),$AO$1006:$BQ$1006,0))&gt;=100000), " ",IF(INDEX($AO$2:$BQ$1001,MATCH(ROWS($AH$2:AH146),$AH$2:$AH$1001,0),MATCH(COLUMNS($AO$1006:AT1006),$AO$1006:$BQ$1006,0)), HYPERLINK("#",""), HYPERLINK(CONCATENATE("#Metadata!", ADDRESS(INDEX($AJ$2:$AJ$1001,MATCH(ROWS($AH$2:AH146),$AH$2:$AH$1001,0),0), INDEX($AO$1004:$BQ$1004,1,MATCH(COLUMNS($AO$1006:AT1006),$AO$1006:$BQ$1006,0)))),"Fix")))</f>
        <v>#N/A</v>
      </c>
      <c r="H146" s="5" t="e">
        <f ca="1">IF(OR(INDEX($AI$2:$AI$1001,MATCH(ROWS($AH$2:AH146),$AH$2:$AH$1001,0),1)&gt;=100000,INDEX($AO$1005:$BQ$1005,1,MATCH(COLUMNS($AO$1006:AU1006),$AO$1006:$BQ$1006,0))&gt;=100000), " ",IF(INDEX($AO$2:$BQ$1001,MATCH(ROWS($AH$2:AH146),$AH$2:$AH$1001,0),MATCH(COLUMNS($AO$1006:AU1006),$AO$1006:$BQ$1006,0)), HYPERLINK("#",""), HYPERLINK(CONCATENATE("#Metadata!", ADDRESS(INDEX($AJ$2:$AJ$1001,MATCH(ROWS($AH$2:AH146),$AH$2:$AH$1001,0),0), INDEX($AO$1004:$BQ$1004,1,MATCH(COLUMNS($AO$1006:AU1006),$AO$1006:$BQ$1006,0)))),"Fix")))</f>
        <v>#N/A</v>
      </c>
      <c r="I146" s="5" t="e">
        <f ca="1">IF(OR(INDEX($AI$2:$AI$1001,MATCH(ROWS($AH$2:AH146),$AH$2:$AH$1001,0),1)&gt;=100000,INDEX($AO$1005:$BQ$1005,1,MATCH(COLUMNS($AO$1006:AV1006),$AO$1006:$BQ$1006,0))&gt;=100000), " ",IF(INDEX($AO$2:$BQ$1001,MATCH(ROWS($AH$2:AH146),$AH$2:$AH$1001,0),MATCH(COLUMNS($AO$1006:AV1006),$AO$1006:$BQ$1006,0)), HYPERLINK("#",""), HYPERLINK(CONCATENATE("#Metadata!", ADDRESS(INDEX($AJ$2:$AJ$1001,MATCH(ROWS($AH$2:AH146),$AH$2:$AH$1001,0),0), INDEX($AO$1004:$BQ$1004,1,MATCH(COLUMNS($AO$1006:AV1006),$AO$1006:$BQ$1006,0)))),"Fix")))</f>
        <v>#N/A</v>
      </c>
      <c r="J146" s="5" t="e">
        <f ca="1">IF(OR(INDEX($AI$2:$AI$1001,MATCH(ROWS($AH$2:AH146),$AH$2:$AH$1001,0),1)&gt;=100000,INDEX($AO$1005:$BQ$1005,1,MATCH(COLUMNS($AO$1006:AW1006),$AO$1006:$BQ$1006,0))&gt;=100000), " ",IF(INDEX($AO$2:$BQ$1001,MATCH(ROWS($AH$2:AH146),$AH$2:$AH$1001,0),MATCH(COLUMNS($AO$1006:AW1006),$AO$1006:$BQ$1006,0)), HYPERLINK("#",""), HYPERLINK(CONCATENATE("#Metadata!", ADDRESS(INDEX($AJ$2:$AJ$1001,MATCH(ROWS($AH$2:AH146),$AH$2:$AH$1001,0),0), INDEX($AO$1004:$BQ$1004,1,MATCH(COLUMNS($AO$1006:AW1006),$AO$1006:$BQ$1006,0)))),"Fix")))</f>
        <v>#N/A</v>
      </c>
      <c r="K146" s="5" t="e">
        <f ca="1">IF(OR(INDEX($AI$2:$AI$1001,MATCH(ROWS($AH$2:AH146),$AH$2:$AH$1001,0),1)&gt;=100000,INDEX($AO$1005:$BQ$1005,1,MATCH(COLUMNS($AO$1006:AX1006),$AO$1006:$BQ$1006,0))&gt;=100000), " ",IF(INDEX($AO$2:$BQ$1001,MATCH(ROWS($AH$2:AH146),$AH$2:$AH$1001,0),MATCH(COLUMNS($AO$1006:AX1006),$AO$1006:$BQ$1006,0)), HYPERLINK("#",""), HYPERLINK(CONCATENATE("#Metadata!", ADDRESS(INDEX($AJ$2:$AJ$1001,MATCH(ROWS($AH$2:AH146),$AH$2:$AH$1001,0),0), INDEX($AO$1004:$BQ$1004,1,MATCH(COLUMNS($AO$1006:AX1006),$AO$1006:$BQ$1006,0)))),"Fix")))</f>
        <v>#N/A</v>
      </c>
      <c r="L146" s="5" t="e">
        <f ca="1">IF(OR(INDEX($AI$2:$AI$1001,MATCH(ROWS($AH$2:AH146),$AH$2:$AH$1001,0),1)&gt;=100000,INDEX($AO$1005:$BQ$1005,1,MATCH(COLUMNS($AO$1006:AY1006),$AO$1006:$BQ$1006,0))&gt;=100000), " ",IF(INDEX($AO$2:$BQ$1001,MATCH(ROWS($AH$2:AH146),$AH$2:$AH$1001,0),MATCH(COLUMNS($AO$1006:AY1006),$AO$1006:$BQ$1006,0)), HYPERLINK("#",""), HYPERLINK(CONCATENATE("#Metadata!", ADDRESS(INDEX($AJ$2:$AJ$1001,MATCH(ROWS($AH$2:AH146),$AH$2:$AH$1001,0),0), INDEX($AO$1004:$BQ$1004,1,MATCH(COLUMNS($AO$1006:AY1006),$AO$1006:$BQ$1006,0)))),"Fix")))</f>
        <v>#N/A</v>
      </c>
      <c r="M146" s="5" t="e">
        <f ca="1">IF(OR(INDEX($AI$2:$AI$1001,MATCH(ROWS($AH$2:AH146),$AH$2:$AH$1001,0),1)&gt;=100000,INDEX($AO$1005:$BQ$1005,1,MATCH(COLUMNS($AO$1006:AZ1006),$AO$1006:$BQ$1006,0))&gt;=100000), " ",IF(INDEX($AO$2:$BQ$1001,MATCH(ROWS($AH$2:AH146),$AH$2:$AH$1001,0),MATCH(COLUMNS($AO$1006:AZ1006),$AO$1006:$BQ$1006,0)), HYPERLINK("#",""), HYPERLINK(CONCATENATE("#Metadata!", ADDRESS(INDEX($AJ$2:$AJ$1001,MATCH(ROWS($AH$2:AH146),$AH$2:$AH$1001,0),0), INDEX($AO$1004:$BQ$1004,1,MATCH(COLUMNS($AO$1006:AZ1006),$AO$1006:$BQ$1006,0)))),"Fix")))</f>
        <v>#N/A</v>
      </c>
      <c r="N146" s="5" t="e">
        <f ca="1">IF(OR(INDEX($AI$2:$AI$1001,MATCH(ROWS($AH$2:AH146),$AH$2:$AH$1001,0),1)&gt;=100000,INDEX($AO$1005:$BQ$1005,1,MATCH(COLUMNS($AO$1006:BA1006),$AO$1006:$BQ$1006,0))&gt;=100000), " ",IF(INDEX($AO$2:$BQ$1001,MATCH(ROWS($AH$2:AH146),$AH$2:$AH$1001,0),MATCH(COLUMNS($AO$1006:BA1006),$AO$1006:$BQ$1006,0)), HYPERLINK("#",""), HYPERLINK(CONCATENATE("#Metadata!", ADDRESS(INDEX($AJ$2:$AJ$1001,MATCH(ROWS($AH$2:AH146),$AH$2:$AH$1001,0),0), INDEX($AO$1004:$BQ$1004,1,MATCH(COLUMNS($AO$1006:BA1006),$AO$1006:$BQ$1006,0)))),"Fix")))</f>
        <v>#N/A</v>
      </c>
      <c r="O146" s="5" t="e">
        <f ca="1">IF(OR(INDEX($AI$2:$AI$1001,MATCH(ROWS($AH$2:AH146),$AH$2:$AH$1001,0),1)&gt;=100000,INDEX($AO$1005:$BQ$1005,1,MATCH(COLUMNS($AO$1006:BB1006),$AO$1006:$BQ$1006,0))&gt;=100000), " ",IF(INDEX($AO$2:$BQ$1001,MATCH(ROWS($AH$2:AH146),$AH$2:$AH$1001,0),MATCH(COLUMNS($AO$1006:BB1006),$AO$1006:$BQ$1006,0)), HYPERLINK("#",""), HYPERLINK(CONCATENATE("#Metadata!", ADDRESS(INDEX($AJ$2:$AJ$1001,MATCH(ROWS($AH$2:AH146),$AH$2:$AH$1001,0),0), INDEX($AO$1004:$BQ$1004,1,MATCH(COLUMNS($AO$1006:BB1006),$AO$1006:$BQ$1006,0)))),"Fix")))</f>
        <v>#N/A</v>
      </c>
      <c r="P146" s="5" t="e">
        <f ca="1">IF(OR(INDEX($AI$2:$AI$1001,MATCH(ROWS($AH$2:AH146),$AH$2:$AH$1001,0),1)&gt;=100000,INDEX($AO$1005:$BQ$1005,1,MATCH(COLUMNS($AO$1006:BC1006),$AO$1006:$BQ$1006,0))&gt;=100000), " ",IF(INDEX($AO$2:$BQ$1001,MATCH(ROWS($AH$2:AH146),$AH$2:$AH$1001,0),MATCH(COLUMNS($AO$1006:BC1006),$AO$1006:$BQ$1006,0)), HYPERLINK("#",""), HYPERLINK(CONCATENATE("#Metadata!", ADDRESS(INDEX($AJ$2:$AJ$1001,MATCH(ROWS($AH$2:AH146),$AH$2:$AH$1001,0),0), INDEX($AO$1004:$BQ$1004,1,MATCH(COLUMNS($AO$1006:BC1006),$AO$1006:$BQ$1006,0)))),"Fix")))</f>
        <v>#N/A</v>
      </c>
      <c r="Q146" s="5" t="e">
        <f ca="1">IF(OR(INDEX($AI$2:$AI$1001,MATCH(ROWS($AH$2:AH146),$AH$2:$AH$1001,0),1)&gt;=100000,INDEX($AO$1005:$BQ$1005,1,MATCH(COLUMNS($AO$1006:BD1006),$AO$1006:$BQ$1006,0))&gt;=100000), " ",IF(INDEX($AO$2:$BQ$1001,MATCH(ROWS($AH$2:AH146),$AH$2:$AH$1001,0),MATCH(COLUMNS($AO$1006:BD1006),$AO$1006:$BQ$1006,0)), HYPERLINK("#",""), HYPERLINK(CONCATENATE("#Metadata!", ADDRESS(INDEX($AJ$2:$AJ$1001,MATCH(ROWS($AH$2:AH146),$AH$2:$AH$1001,0),0), INDEX($AO$1004:$BQ$1004,1,MATCH(COLUMNS($AO$1006:BD1006),$AO$1006:$BQ$1006,0)))),"Fix")))</f>
        <v>#N/A</v>
      </c>
      <c r="R146" s="5" t="e">
        <f ca="1">IF(OR(INDEX($AI$2:$AI$1001,MATCH(ROWS($AH$2:AH146),$AH$2:$AH$1001,0),1)&gt;=100000,INDEX($AO$1005:$BQ$1005,1,MATCH(COLUMNS($AO$1006:BE1006),$AO$1006:$BQ$1006,0))&gt;=100000), " ",IF(INDEX($AO$2:$BQ$1001,MATCH(ROWS($AH$2:AH146),$AH$2:$AH$1001,0),MATCH(COLUMNS($AO$1006:BE1006),$AO$1006:$BQ$1006,0)), HYPERLINK("#",""), HYPERLINK(CONCATENATE("#Metadata!", ADDRESS(INDEX($AJ$2:$AJ$1001,MATCH(ROWS($AH$2:AH146),$AH$2:$AH$1001,0),0), INDEX($AO$1004:$BQ$1004,1,MATCH(COLUMNS($AO$1006:BE1006),$AO$1006:$BQ$1006,0)))),"Fix")))</f>
        <v>#N/A</v>
      </c>
      <c r="S146" s="5" t="e">
        <f ca="1">IF(OR(INDEX($AI$2:$AI$1001,MATCH(ROWS($AH$2:AH146),$AH$2:$AH$1001,0),1)&gt;=100000,INDEX($AO$1005:$BQ$1005,1,MATCH(COLUMNS($AO$1006:BF1006),$AO$1006:$BQ$1006,0))&gt;=100000), " ",IF(INDEX($AO$2:$BQ$1001,MATCH(ROWS($AH$2:AH146),$AH$2:$AH$1001,0),MATCH(COLUMNS($AO$1006:BF1006),$AO$1006:$BQ$1006,0)), HYPERLINK("#",""), HYPERLINK(CONCATENATE("#Metadata!", ADDRESS(INDEX($AJ$2:$AJ$1001,MATCH(ROWS($AH$2:AH146),$AH$2:$AH$1001,0),0), INDEX($AO$1004:$BQ$1004,1,MATCH(COLUMNS($AO$1006:BF1006),$AO$1006:$BQ$1006,0)))),"Fix")))</f>
        <v>#N/A</v>
      </c>
      <c r="T146" s="5" t="e">
        <f ca="1">IF(OR(INDEX($AI$2:$AI$1001,MATCH(ROWS($AH$2:AH146),$AH$2:$AH$1001,0),1)&gt;=100000,INDEX($AO$1005:$BQ$1005,1,MATCH(COLUMNS($AO$1006:BG1006),$AO$1006:$BQ$1006,0))&gt;=100000), " ",IF(INDEX($AO$2:$BQ$1001,MATCH(ROWS($AH$2:AH146),$AH$2:$AH$1001,0),MATCH(COLUMNS($AO$1006:BG1006),$AO$1006:$BQ$1006,0)), HYPERLINK("#",""), HYPERLINK(CONCATENATE("#Metadata!", ADDRESS(INDEX($AJ$2:$AJ$1001,MATCH(ROWS($AH$2:AH146),$AH$2:$AH$1001,0),0), INDEX($AO$1004:$BQ$1004,1,MATCH(COLUMNS($AO$1006:BG1006),$AO$1006:$BQ$1006,0)))),"Fix")))</f>
        <v>#N/A</v>
      </c>
      <c r="U146" s="5" t="e">
        <f ca="1">IF(OR(INDEX($AI$2:$AI$1001,MATCH(ROWS($AH$2:AH146),$AH$2:$AH$1001,0),1)&gt;=100000,INDEX($AO$1005:$BQ$1005,1,MATCH(COLUMNS($AO$1006:BH1006),$AO$1006:$BQ$1006,0))&gt;=100000), " ",IF(INDEX($AO$2:$BQ$1001,MATCH(ROWS($AH$2:AH146),$AH$2:$AH$1001,0),MATCH(COLUMNS($AO$1006:BH1006),$AO$1006:$BQ$1006,0)), HYPERLINK("#",""), HYPERLINK(CONCATENATE("#Metadata!", ADDRESS(INDEX($AJ$2:$AJ$1001,MATCH(ROWS($AH$2:AH146),$AH$2:$AH$1001,0),0), INDEX($AO$1004:$BQ$1004,1,MATCH(COLUMNS($AO$1006:BH1006),$AO$1006:$BQ$1006,0)))),"Fix")))</f>
        <v>#N/A</v>
      </c>
      <c r="V146" s="5" t="e">
        <f ca="1">IF(OR(INDEX($AI$2:$AI$1001,MATCH(ROWS($AH$2:AH146),$AH$2:$AH$1001,0),1)&gt;=100000,INDEX($AO$1005:$BQ$1005,1,MATCH(COLUMNS($AO$1006:BI1006),$AO$1006:$BQ$1006,0))&gt;=100000), " ",IF(INDEX($AO$2:$BQ$1001,MATCH(ROWS($AH$2:AH146),$AH$2:$AH$1001,0),MATCH(COLUMNS($AO$1006:BI1006),$AO$1006:$BQ$1006,0)), HYPERLINK("#",""), HYPERLINK(CONCATENATE("#Metadata!", ADDRESS(INDEX($AJ$2:$AJ$1001,MATCH(ROWS($AH$2:AH146),$AH$2:$AH$1001,0),0), INDEX($AO$1004:$BQ$1004,1,MATCH(COLUMNS($AO$1006:BI1006),$AO$1006:$BQ$1006,0)))),"Fix")))</f>
        <v>#N/A</v>
      </c>
      <c r="W146" s="5" t="e">
        <f ca="1">IF(OR(INDEX($AI$2:$AI$1001,MATCH(ROWS($AH$2:AH146),$AH$2:$AH$1001,0),1)&gt;=100000,INDEX($AO$1005:$BQ$1005,1,MATCH(COLUMNS($AO$1006:BJ1006),$AO$1006:$BQ$1006,0))&gt;=100000), " ",IF(INDEX($AO$2:$BQ$1001,MATCH(ROWS($AH$2:AH146),$AH$2:$AH$1001,0),MATCH(COLUMNS($AO$1006:BJ1006),$AO$1006:$BQ$1006,0)), HYPERLINK("#",""), HYPERLINK(CONCATENATE("#Metadata!", ADDRESS(INDEX($AJ$2:$AJ$1001,MATCH(ROWS($AH$2:AH146),$AH$2:$AH$1001,0),0), INDEX($AO$1004:$BQ$1004,1,MATCH(COLUMNS($AO$1006:BJ1006),$AO$1006:$BQ$1006,0)))),"Fix")))</f>
        <v>#N/A</v>
      </c>
      <c r="X146" s="5" t="e">
        <f ca="1">IF(OR(INDEX($AI$2:$AI$1001,MATCH(ROWS($AH$2:AH146),$AH$2:$AH$1001,0),1)&gt;=100000,INDEX($AO$1005:$BQ$1005,1,MATCH(COLUMNS($AO$1006:BK1006),$AO$1006:$BQ$1006,0))&gt;=100000), " ",IF(INDEX($AO$2:$BQ$1001,MATCH(ROWS($AH$2:AH146),$AH$2:$AH$1001,0),MATCH(COLUMNS($AO$1006:BK1006),$AO$1006:$BQ$1006,0)), HYPERLINK("#",""), HYPERLINK(CONCATENATE("#Metadata!", ADDRESS(INDEX($AJ$2:$AJ$1001,MATCH(ROWS($AH$2:AH146),$AH$2:$AH$1001,0),0), INDEX($AO$1004:$BQ$1004,1,MATCH(COLUMNS($AO$1006:BK1006),$AO$1006:$BQ$1006,0)))),"Fix")))</f>
        <v>#N/A</v>
      </c>
      <c r="Y146" s="5" t="e">
        <f ca="1">IF(OR(INDEX($AI$2:$AI$1001,MATCH(ROWS($AH$2:AH146),$AH$2:$AH$1001,0),1)&gt;=100000,INDEX($AO$1005:$BQ$1005,1,MATCH(COLUMNS($AO$1006:BL1006),$AO$1006:$BQ$1006,0))&gt;=100000), " ",IF(INDEX($AO$2:$BQ$1001,MATCH(ROWS($AH$2:AH146),$AH$2:$AH$1001,0),MATCH(COLUMNS($AO$1006:BL1006),$AO$1006:$BQ$1006,0)), HYPERLINK("#",""), HYPERLINK(CONCATENATE("#Metadata!", ADDRESS(INDEX($AJ$2:$AJ$1001,MATCH(ROWS($AH$2:AH146),$AH$2:$AH$1001,0),0), INDEX($AO$1004:$BQ$1004,1,MATCH(COLUMNS($AO$1006:BL1006),$AO$1006:$BQ$1006,0)))),"Fix")))</f>
        <v>#N/A</v>
      </c>
      <c r="Z146" s="5" t="e">
        <f ca="1">IF(OR(INDEX($AI$2:$AI$1001,MATCH(ROWS($AH$2:AH146),$AH$2:$AH$1001,0),1)&gt;=100000,INDEX($AO$1005:$BQ$1005,1,MATCH(COLUMNS($AO$1006:BM1006),$AO$1006:$BQ$1006,0))&gt;=100000), " ",IF(INDEX($AO$2:$BQ$1001,MATCH(ROWS($AH$2:AH146),$AH$2:$AH$1001,0),MATCH(COLUMNS($AO$1006:BM1006),$AO$1006:$BQ$1006,0)), HYPERLINK("#",""), HYPERLINK(CONCATENATE("#Metadata!", ADDRESS(INDEX($AJ$2:$AJ$1001,MATCH(ROWS($AH$2:AH146),$AH$2:$AH$1001,0),0), INDEX($AO$1004:$BQ$1004,1,MATCH(COLUMNS($AO$1006:BM1006),$AO$1006:$BQ$1006,0)))),"Fix")))</f>
        <v>#N/A</v>
      </c>
      <c r="AA146" s="5" t="e">
        <f ca="1">IF(OR(INDEX($AI$2:$AI$1001,MATCH(ROWS($AH$2:AH146),$AH$2:$AH$1001,0),1)&gt;=100000,INDEX($AO$1005:$BQ$1005,1,MATCH(COLUMNS($AO$1006:BN1006),$AO$1006:$BQ$1006,0))&gt;=100000), " ",IF(INDEX($AO$2:$BQ$1001,MATCH(ROWS($AH$2:AH146),$AH$2:$AH$1001,0),MATCH(COLUMNS($AO$1006:BN1006),$AO$1006:$BQ$1006,0)), HYPERLINK("#",""), HYPERLINK(CONCATENATE("#Metadata!", ADDRESS(INDEX($AJ$2:$AJ$1001,MATCH(ROWS($AH$2:AH146),$AH$2:$AH$1001,0),0), INDEX($AO$1004:$BQ$1004,1,MATCH(COLUMNS($AO$1006:BN1006),$AO$1006:$BQ$1006,0)))),"Fix")))</f>
        <v>#N/A</v>
      </c>
      <c r="AB146" s="5" t="e">
        <f ca="1">IF(OR(INDEX($AI$2:$AI$1001,MATCH(ROWS($AH$2:AH146),$AH$2:$AH$1001,0),1)&gt;=100000,INDEX($AO$1005:$BQ$1005,1,MATCH(COLUMNS($AO$1006:BO1006),$AO$1006:$BQ$1006,0))&gt;=100000), " ",IF(INDEX($AO$2:$BQ$1001,MATCH(ROWS($AH$2:AH146),$AH$2:$AH$1001,0),MATCH(COLUMNS($AO$1006:BO1006),$AO$1006:$BQ$1006,0)), HYPERLINK("#",""), HYPERLINK(CONCATENATE("#Metadata!", ADDRESS(INDEX($AJ$2:$AJ$1001,MATCH(ROWS($AH$2:AH146),$AH$2:$AH$1001,0),0), INDEX($AO$1004:$BQ$1004,1,MATCH(COLUMNS($AO$1006:BO1006),$AO$1006:$BQ$1006,0)))),"Fix")))</f>
        <v>#N/A</v>
      </c>
      <c r="AC146" s="5" t="e">
        <f ca="1">IF(OR(INDEX($AI$2:$AI$1001,MATCH(ROWS($AH$2:AH146),$AH$2:$AH$1001,0),1)&gt;=100000,INDEX($AO$1005:$BQ$1005,1,MATCH(COLUMNS($AO$1006:BP1006),$AO$1006:$BQ$1006,0))&gt;=100000), " ",IF(INDEX($AO$2:$BQ$1001,MATCH(ROWS($AH$2:AH146),$AH$2:$AH$1001,0),MATCH(COLUMNS($AO$1006:BP1006),$AO$1006:$BQ$1006,0)), HYPERLINK("#",""), HYPERLINK(CONCATENATE("#Metadata!", ADDRESS(INDEX($AJ$2:$AJ$1001,MATCH(ROWS($AH$2:AH146),$AH$2:$AH$1001,0),0), INDEX($AO$1004:$BQ$1004,1,MATCH(COLUMNS($AO$1006:BP1006),$AO$1006:$BQ$1006,0)))),"Fix")))</f>
        <v>#N/A</v>
      </c>
      <c r="AD146" s="5" t="e">
        <f ca="1">IF(OR(INDEX($AI$2:$AI$1001,MATCH(ROWS($AH$2:AH146),$AH$2:$AH$1001,0),1)&gt;=100000,INDEX($AO$1005:$BQ$1005,1,MATCH(COLUMNS($AO$1006:BQ1006),$AO$1006:$BQ$1006,0))&gt;=100000), " ",IF(INDEX($AO$2:$BQ$1001,MATCH(ROWS($AH$2:AH146),$AH$2:$AH$1001,0),MATCH(COLUMNS($AO$1006:BQ1006),$AO$1006:$BQ$1006,0)), HYPERLINK("#",""), HYPERLINK(CONCATENATE("#Metadata!", ADDRESS(INDEX($AJ$2:$AJ$1001,MATCH(ROWS($AH$2:AH146),$AH$2:$AH$1001,0),0), INDEX($AO$1004:$BQ$1004,1,MATCH(COLUMNS($AO$1006:BQ1006),$AO$1006:$BQ$1006,0)))),"Fix")))</f>
        <v>#REF!</v>
      </c>
      <c r="AH146">
        <f ca="1"/>
        <v>143</v>
      </c>
      <c r="AI146">
        <v>100146</v>
      </c>
      <c r="AJ146">
        <v>146</v>
      </c>
      <c r="AK146" t="b">
        <f t="shared" si="2"/>
        <v>1</v>
      </c>
      <c r="AL146" t="b">
        <f>COUNTBLANK(Metadata!B146:AD146)=COLUMNS(Metadata!B146:AD146)</f>
        <v>1</v>
      </c>
      <c r="AM146" t="str">
        <v/>
      </c>
      <c r="AO146" t="b">
        <f ca="1">AND(IF(Metadata!B146="",FALSE,TRUE),COUNTIF(Metadata!B:B, Metadata!B146) = 1,NOT(ISERROR(SUMPRODUCT(SEARCH(MID(Metadata!B146,ROW(INDIRECT("1:"&amp;LEN(Metadata!B146))), 1),"0123456789abcdefghijklmnopqrstuvwxyzABCDEFGHIJKLMNOPQRSTUVWXYZ.")))))</f>
        <v>0</v>
      </c>
      <c r="AP146" t="b">
        <f>IF(Metadata!C146="",FALSE,TRUE)</f>
        <v>0</v>
      </c>
      <c r="AQ146" t="b">
        <f>IF(Metadata!D146="",FALSE,TRUE)</f>
        <v>0</v>
      </c>
      <c r="AR146" t="b">
        <f ca="1">OR(AND(IF(Metadata!E146="",FALSE,TRUE),OR(EXACT(Metadata!E146,"not collected"),EXACT(Metadata!E146,"not provided"),EXACT(Metadata!E146,"restricted access"))),AND(IF(Metadata!E146="",FALSE,TRUE),AND(AND(IFERROR(INT(LEFT(Metadata!E146,4))&gt;1900,FALSE),IFERROR(INT(LEFT(Metadata!E146,4))&lt;=YEAR(NOW()),FALSE)), OR(MID(Metadata!E146,5,1)="", AND(AND(MID(Metadata!E146,5,1)="-",IFERROR(INT(MID(Metadata!E146,6,1))&gt;=0,FALSE),IFERROR(INT(MID(Metadata!E146,6,1))&lt;=1,FALSE),NOT(MID(Metadata!E146,7,1)=""),IFERROR(INT(MID(Metadata!E146,6,2))&gt;=1,FALSE),IFERROR(INT(MID(Metadata!E146,6,2))&lt;=12,FALSE)), OR(MID(Metadata!E146,8,1)="", AND(AND(MID(Metadata!E146,8,1)="-",IFERROR(INT(MID(Metadata!E146,9,1))&gt;=0,FALSE),IFERROR(INT(MID(Metadata!E146,9,1))&lt;=3,FALSE),NOT(MID(Metadata!E146,10,1)=""),IFERROR(INT(MID(Metadata!E146,9,2))&gt;=1,FALSE),IFERROR(INT(MID(Metadata!E146,9,2))&lt;=31,FALSE)), OR(MID(Metadata!E146,11,1)="", AND(AND(MID(Metadata!E146,11,1)=" ",IFERROR(INT(MID(Metadata!E146,12,1))&gt;=0,FALSE),IFERROR(INT(MID(Metadata!E146,12,1))&lt;=2,FALSE),NOT(MID(Metadata!E146,13,1)=""),IFERROR(INT(MID(Metadata!E146,12,2))&gt;=0,FALSE),IFERROR(INT(MID(Metadata!E146,12,2))&lt;=23,FALSE)), OR(MID(Metadata!E146,14,1)="", AND(AND(MID(Metadata!E146,14,1)=":",IFERROR(INT(MID(Metadata!E146,15,1))&gt;=0,FALSE),IFERROR(INT(MID(Metadata!E146,15,1))&lt;=5,FALSE),NOT(MID(Metadata!E146,16,1)=""),IFERROR(INT(MID(Metadata!E146,15,2))&gt;=0,FALSE),IFERROR(INT(MID(Metadata!E146,15,2))&lt;=59,FALSE)), OR(MID(Metadata!E146,17,1)="", AND(AND(MID(Metadata!E146,17,1)=":",IFERROR(INT(MID(Metadata!E146,18,1))&gt;=0,FALSE),IFERROR(INT(MID(Metadata!E146,18,1))&lt;=5,FALSE),NOT(MID(Metadata!E146,19,1)=""),IFERROR(INT(MID(Metadata!E146,18,2))&gt;=0,FALSE),IFERROR(INT(MID(Metadata!E146,18,2))&lt;=59,FALSE)), LEN(Metadata!E146)&lt;=19)))))))))))))</f>
        <v>0</v>
      </c>
      <c r="AS146" t="b">
        <f>IF(Metadata!F146="",FALSE,TRUE)</f>
        <v>0</v>
      </c>
      <c r="AT146" t="b">
        <f>OR(AND(IF(Metadata!G146="",FALSE,TRUE),OR(EXACT(Metadata!G146,"not collected"),EXACT(Metadata!G146,"not provided"))),AND(IF(Metadata!G146="",FALSE,TRUE),OR(EXACT(Metadata!G146,"TRUE"),EXACT(Metadata!G146,"FALSE"))))</f>
        <v>0</v>
      </c>
      <c r="AU146" t="b">
        <f>OR(AND(IF(Metadata!H146="",FALSE,TRUE),OR(EXACT(Metadata!H146,"not collected"),EXACT(Metadata!H146,"not provided"),EXACT(Metadata!H146,"restricted access"))),AND(IF(Metadata!H146="",FALSE,ISNUMBER(VALUE(Metadata!H146))),Metadata!H146&gt;=-413))</f>
        <v>0</v>
      </c>
      <c r="AV146" t="b">
        <f>AND(IF(Metadata!I146="",FALSE,TRUE),EXACT(Metadata!I146,"meters"))</f>
        <v>0</v>
      </c>
      <c r="AW146" t="b">
        <f>AND(IF(Metadata!J146="",FALSE,TRUE),EXACT(Metadata!J146,"free-living"))</f>
        <v>0</v>
      </c>
      <c r="AX146" t="b">
        <f>AND(IF(Metadata!K146="",FALSE,TRUE),OR(EXACT(Metadata!K146,"saline"),EXACT(Metadata!K146,"non-saline")))</f>
        <v>0</v>
      </c>
      <c r="AY146" t="b">
        <f>AND(IF(Metadata!L146="",FALSE,TRUE),OR(EXACT(Metadata!L146,"sub-surface (non-saline)"),EXACT(Metadata!L146,"surface (non-saline)"),EXACT(Metadata!L146,"water (non-saline)"),EXACT(Metadata!L146,"soil (non-saline)"),EXACT(Metadata!L146,"aerosol (non-saline)"),EXACT(Metadata!L146,"sediment (non-saline)"),EXACT(Metadata!L146,"surface (saline)"),EXACT(Metadata!L146,"water (saline)"),EXACT(Metadata!L146,"hypersaline (saline)"),EXACT(Metadata!L146,"aerosol (saline)"),EXACT(Metadata!L146,"sediment (saline)")))</f>
        <v>0</v>
      </c>
      <c r="AZ146" t="b">
        <f>IF(Metadata!M146="",FALSE,TRUE)</f>
        <v>0</v>
      </c>
      <c r="BA146" t="b">
        <f>IF(Metadata!N146="",FALSE,TRUE)</f>
        <v>0</v>
      </c>
      <c r="BB146" t="b">
        <f>IF(Metadata!O146="",FALSE,TRUE)</f>
        <v>0</v>
      </c>
      <c r="BC146" t="b">
        <f>AND(IF(Metadata!P146="",FALSE,TRUE),OR(EXACT(Metadata!P146,"air"),EXACT(Metadata!P146,"microbial mat/biofilm"),EXACT(Metadata!P146,"misc environment"),EXACT(Metadata!P146,"sediment"),EXACT(Metadata!P146,"soil"),EXACT(Metadata!P146,"wastewater/sludge"),EXACT(Metadata!P146,"water")))</f>
        <v>0</v>
      </c>
      <c r="BD146" t="b">
        <f>IF(Metadata!Q146="",FALSE,TRUE)</f>
        <v>0</v>
      </c>
      <c r="BE146" t="b">
        <f>IF(Metadata!R146="",FALSE,TRUE)</f>
        <v>0</v>
      </c>
      <c r="BF146" t="b">
        <f>OR(AND(IF(Metadata!S146="",FALSE,TRUE),OR(EXACT(Metadata!S146,"not collected"),EXACT(Metadata!S146,"not provided"),EXACT(Metadata!S146,"restricted access"))),AND(IF(Metadata!S146="",FALSE,ISNUMBER(VALUE(Metadata!S146))),Metadata!S146&gt;=-90,Metadata!S146&lt;=90))</f>
        <v>0</v>
      </c>
      <c r="BG146" t="b">
        <f>AND(IF(Metadata!T146="",FALSE,TRUE),EXACT(Metadata!T146,"Decimal degrees"))</f>
        <v>0</v>
      </c>
      <c r="BH146" t="b">
        <f>OR(AND(IF(Metadata!U146="",FALSE,TRUE),OR(EXACT(Metadata!U146,"not applicable"),EXACT(Metadata!U146,"not collected"))),IF(Metadata!U146="",FALSE,TRUE))</f>
        <v>0</v>
      </c>
      <c r="BI146" t="b">
        <f>OR(AND(IF(Metadata!V146="",FALSE,TRUE),OR(EXACT(Metadata!V146,"not collected"),EXACT(Metadata!V146,"not provided"),EXACT(Metadata!V146,"restricted access"))),AND(IF(Metadata!V146="",FALSE,ISNUMBER(VALUE(Metadata!V146))),Metadata!V146&gt;=-180,Metadata!V146&lt;=180))</f>
        <v>0</v>
      </c>
      <c r="BJ146" t="b">
        <f>AND(IF(Metadata!W146="",FALSE,TRUE),EXACT(Metadata!W146,"Decimal degrees"))</f>
        <v>0</v>
      </c>
      <c r="BK146" t="b">
        <f>IF(Metadata!X146="",FALSE,TRUE)</f>
        <v>0</v>
      </c>
      <c r="BL146" t="b">
        <f>OR(AND(IF(Metadata!Y146="",FALSE,TRUE),OR(EXACT(Metadata!Y146,"not collected"),EXACT(Metadata!Y146,"not provided"),EXACT(Metadata!Y146,"restricted access"))),AND(IF(Metadata!Y146="",FALSE,TRUE),OR(EXACT(Metadata!Y146,"TRUE"),EXACT(Metadata!Y146,"FALSE"))))</f>
        <v>0</v>
      </c>
      <c r="BM146" t="b">
        <f>OR(AND(IF(Metadata!Z146="",FALSE,TRUE),EXACT(Metadata!Z146,"not applicable")),AND(IF(Metadata!Z146="",FALSE,TRUE),OR(EXACT(Metadata!Z146,"beer"),EXACT(Metadata!Z146,"cheese"),EXACT(Metadata!Z146,"fresh water"),EXACT(Metadata!Z146,"marine sediment"),EXACT(Metadata!Z146,"sea water"),EXACT(Metadata!Z146,"sediment"),EXACT(Metadata!Z146,"soil"),EXACT(Metadata!Z146,"waste water"))))</f>
        <v>0</v>
      </c>
      <c r="BN146" t="b">
        <f>AND(IF(Metadata!AA146="",FALSE,TRUE),EXACT(Metadata!AA146,"metagenome"))</f>
        <v>0</v>
      </c>
      <c r="BO146" t="b">
        <f>AND(IF(Metadata!AB146="",FALSE,TRUE),EXACT(Metadata!AB146,"256318"))</f>
        <v>0</v>
      </c>
      <c r="BP146" t="b">
        <f>IF(Metadata!AC146="",FALSE,TRUE)</f>
        <v>0</v>
      </c>
      <c r="BQ146" t="b">
        <f>IF(Metadata!AD146="",FALSE,TRUE)</f>
        <v>0</v>
      </c>
    </row>
    <row r="147" spans="1:69" x14ac:dyDescent="0.2">
      <c r="A147" s="4" t="e">
        <f ca="1">IF(B147=" "," ",HYPERLINK(CONCATENATE("#metadata!",ADDRESS(INDEX($AJ$2:$AJ$1001,MATCH(ROWS($AH$2:AH147),$AH$2:$AH$1001,0),0),2)),INDEX($AM$2:$AM$1001,MATCH(ROWS($AH$2:AH147),$AH$2:$AH$1001,0),0)))</f>
        <v>#N/A</v>
      </c>
      <c r="B147" s="5" t="e">
        <f ca="1">IF(OR(INDEX($AI$2:$AI$1001,MATCH(ROWS($AH$2:AH147),$AH$2:$AH$1001,0),1)&gt;=100000,INDEX($AO$1005:$BQ$1005,1,MATCH(COLUMNS($AO$1006:AO1006),$AO$1006:$BQ$1006,0))&gt;=100000), " ",IF(INDEX($AO$2:$BQ$1001,MATCH(ROWS($AH$2:AH147),$AH$2:$AH$1001,0),MATCH(COLUMNS($AO$1006:AO1006),$AO$1006:$BQ$1006,0)), HYPERLINK("#",""), HYPERLINK(CONCATENATE("#Metadata!", ADDRESS(INDEX($AJ$2:$AJ$1001,MATCH(ROWS($AH$2:AH147),$AH$2:$AH$1001,0),0), INDEX($AO$1004:$BQ$1004,1,MATCH(COLUMNS($AO$1006:AO1006),$AO$1006:$BQ$1006,0)))),"Fix")))</f>
        <v>#N/A</v>
      </c>
      <c r="C147" s="5" t="e">
        <f ca="1">IF(OR(INDEX($AI$2:$AI$1001,MATCH(ROWS($AH$2:AH147),$AH$2:$AH$1001,0),1)&gt;=100000,INDEX($AO$1005:$BQ$1005,1,MATCH(COLUMNS($AO$1006:AP1006),$AO$1006:$BQ$1006,0))&gt;=100000), " ",IF(INDEX($AO$2:$BQ$1001,MATCH(ROWS($AH$2:AH147),$AH$2:$AH$1001,0),MATCH(COLUMNS($AO$1006:AP1006),$AO$1006:$BQ$1006,0)), HYPERLINK("#",""), HYPERLINK(CONCATENATE("#Metadata!", ADDRESS(INDEX($AJ$2:$AJ$1001,MATCH(ROWS($AH$2:AH147),$AH$2:$AH$1001,0),0), INDEX($AO$1004:$BQ$1004,1,MATCH(COLUMNS($AO$1006:AP1006),$AO$1006:$BQ$1006,0)))),"Fix")))</f>
        <v>#N/A</v>
      </c>
      <c r="D147" s="5" t="e">
        <f ca="1">IF(OR(INDEX($AI$2:$AI$1001,MATCH(ROWS($AH$2:AH147),$AH$2:$AH$1001,0),1)&gt;=100000,INDEX($AO$1005:$BQ$1005,1,MATCH(COLUMNS($AO$1006:AQ1006),$AO$1006:$BQ$1006,0))&gt;=100000), " ",IF(INDEX($AO$2:$BQ$1001,MATCH(ROWS($AH$2:AH147),$AH$2:$AH$1001,0),MATCH(COLUMNS($AO$1006:AQ1006),$AO$1006:$BQ$1006,0)), HYPERLINK("#",""), HYPERLINK(CONCATENATE("#Metadata!", ADDRESS(INDEX($AJ$2:$AJ$1001,MATCH(ROWS($AH$2:AH147),$AH$2:$AH$1001,0),0), INDEX($AO$1004:$BQ$1004,1,MATCH(COLUMNS($AO$1006:AQ1006),$AO$1006:$BQ$1006,0)))),"Fix")))</f>
        <v>#N/A</v>
      </c>
      <c r="E147" s="5" t="e">
        <f ca="1">IF(OR(INDEX($AI$2:$AI$1001,MATCH(ROWS($AH$2:AH147),$AH$2:$AH$1001,0),1)&gt;=100000,INDEX($AO$1005:$BQ$1005,1,MATCH(COLUMNS($AO$1006:AR1006),$AO$1006:$BQ$1006,0))&gt;=100000), " ",IF(INDEX($AO$2:$BQ$1001,MATCH(ROWS($AH$2:AH147),$AH$2:$AH$1001,0),MATCH(COLUMNS($AO$1006:AR1006),$AO$1006:$BQ$1006,0)), HYPERLINK("#",""), HYPERLINK(CONCATENATE("#Metadata!", ADDRESS(INDEX($AJ$2:$AJ$1001,MATCH(ROWS($AH$2:AH147),$AH$2:$AH$1001,0),0), INDEX($AO$1004:$BQ$1004,1,MATCH(COLUMNS($AO$1006:AR1006),$AO$1006:$BQ$1006,0)))),"Fix")))</f>
        <v>#N/A</v>
      </c>
      <c r="F147" s="5" t="e">
        <f ca="1">IF(OR(INDEX($AI$2:$AI$1001,MATCH(ROWS($AH$2:AH147),$AH$2:$AH$1001,0),1)&gt;=100000,INDEX($AO$1005:$BQ$1005,1,MATCH(COLUMNS($AO$1006:AS1006),$AO$1006:$BQ$1006,0))&gt;=100000), " ",IF(INDEX($AO$2:$BQ$1001,MATCH(ROWS($AH$2:AH147),$AH$2:$AH$1001,0),MATCH(COLUMNS($AO$1006:AS1006),$AO$1006:$BQ$1006,0)), HYPERLINK("#",""), HYPERLINK(CONCATENATE("#Metadata!", ADDRESS(INDEX($AJ$2:$AJ$1001,MATCH(ROWS($AH$2:AH147),$AH$2:$AH$1001,0),0), INDEX($AO$1004:$BQ$1004,1,MATCH(COLUMNS($AO$1006:AS1006),$AO$1006:$BQ$1006,0)))),"Fix")))</f>
        <v>#N/A</v>
      </c>
      <c r="G147" s="5" t="e">
        <f ca="1">IF(OR(INDEX($AI$2:$AI$1001,MATCH(ROWS($AH$2:AH147),$AH$2:$AH$1001,0),1)&gt;=100000,INDEX($AO$1005:$BQ$1005,1,MATCH(COLUMNS($AO$1006:AT1006),$AO$1006:$BQ$1006,0))&gt;=100000), " ",IF(INDEX($AO$2:$BQ$1001,MATCH(ROWS($AH$2:AH147),$AH$2:$AH$1001,0),MATCH(COLUMNS($AO$1006:AT1006),$AO$1006:$BQ$1006,0)), HYPERLINK("#",""), HYPERLINK(CONCATENATE("#Metadata!", ADDRESS(INDEX($AJ$2:$AJ$1001,MATCH(ROWS($AH$2:AH147),$AH$2:$AH$1001,0),0), INDEX($AO$1004:$BQ$1004,1,MATCH(COLUMNS($AO$1006:AT1006),$AO$1006:$BQ$1006,0)))),"Fix")))</f>
        <v>#N/A</v>
      </c>
      <c r="H147" s="5" t="e">
        <f ca="1">IF(OR(INDEX($AI$2:$AI$1001,MATCH(ROWS($AH$2:AH147),$AH$2:$AH$1001,0),1)&gt;=100000,INDEX($AO$1005:$BQ$1005,1,MATCH(COLUMNS($AO$1006:AU1006),$AO$1006:$BQ$1006,0))&gt;=100000), " ",IF(INDEX($AO$2:$BQ$1001,MATCH(ROWS($AH$2:AH147),$AH$2:$AH$1001,0),MATCH(COLUMNS($AO$1006:AU1006),$AO$1006:$BQ$1006,0)), HYPERLINK("#",""), HYPERLINK(CONCATENATE("#Metadata!", ADDRESS(INDEX($AJ$2:$AJ$1001,MATCH(ROWS($AH$2:AH147),$AH$2:$AH$1001,0),0), INDEX($AO$1004:$BQ$1004,1,MATCH(COLUMNS($AO$1006:AU1006),$AO$1006:$BQ$1006,0)))),"Fix")))</f>
        <v>#N/A</v>
      </c>
      <c r="I147" s="5" t="e">
        <f ca="1">IF(OR(INDEX($AI$2:$AI$1001,MATCH(ROWS($AH$2:AH147),$AH$2:$AH$1001,0),1)&gt;=100000,INDEX($AO$1005:$BQ$1005,1,MATCH(COLUMNS($AO$1006:AV1006),$AO$1006:$BQ$1006,0))&gt;=100000), " ",IF(INDEX($AO$2:$BQ$1001,MATCH(ROWS($AH$2:AH147),$AH$2:$AH$1001,0),MATCH(COLUMNS($AO$1006:AV1006),$AO$1006:$BQ$1006,0)), HYPERLINK("#",""), HYPERLINK(CONCATENATE("#Metadata!", ADDRESS(INDEX($AJ$2:$AJ$1001,MATCH(ROWS($AH$2:AH147),$AH$2:$AH$1001,0),0), INDEX($AO$1004:$BQ$1004,1,MATCH(COLUMNS($AO$1006:AV1006),$AO$1006:$BQ$1006,0)))),"Fix")))</f>
        <v>#N/A</v>
      </c>
      <c r="J147" s="5" t="e">
        <f ca="1">IF(OR(INDEX($AI$2:$AI$1001,MATCH(ROWS($AH$2:AH147),$AH$2:$AH$1001,0),1)&gt;=100000,INDEX($AO$1005:$BQ$1005,1,MATCH(COLUMNS($AO$1006:AW1006),$AO$1006:$BQ$1006,0))&gt;=100000), " ",IF(INDEX($AO$2:$BQ$1001,MATCH(ROWS($AH$2:AH147),$AH$2:$AH$1001,0),MATCH(COLUMNS($AO$1006:AW1006),$AO$1006:$BQ$1006,0)), HYPERLINK("#",""), HYPERLINK(CONCATENATE("#Metadata!", ADDRESS(INDEX($AJ$2:$AJ$1001,MATCH(ROWS($AH$2:AH147),$AH$2:$AH$1001,0),0), INDEX($AO$1004:$BQ$1004,1,MATCH(COLUMNS($AO$1006:AW1006),$AO$1006:$BQ$1006,0)))),"Fix")))</f>
        <v>#N/A</v>
      </c>
      <c r="K147" s="5" t="e">
        <f ca="1">IF(OR(INDEX($AI$2:$AI$1001,MATCH(ROWS($AH$2:AH147),$AH$2:$AH$1001,0),1)&gt;=100000,INDEX($AO$1005:$BQ$1005,1,MATCH(COLUMNS($AO$1006:AX1006),$AO$1006:$BQ$1006,0))&gt;=100000), " ",IF(INDEX($AO$2:$BQ$1001,MATCH(ROWS($AH$2:AH147),$AH$2:$AH$1001,0),MATCH(COLUMNS($AO$1006:AX1006),$AO$1006:$BQ$1006,0)), HYPERLINK("#",""), HYPERLINK(CONCATENATE("#Metadata!", ADDRESS(INDEX($AJ$2:$AJ$1001,MATCH(ROWS($AH$2:AH147),$AH$2:$AH$1001,0),0), INDEX($AO$1004:$BQ$1004,1,MATCH(COLUMNS($AO$1006:AX1006),$AO$1006:$BQ$1006,0)))),"Fix")))</f>
        <v>#N/A</v>
      </c>
      <c r="L147" s="5" t="e">
        <f ca="1">IF(OR(INDEX($AI$2:$AI$1001,MATCH(ROWS($AH$2:AH147),$AH$2:$AH$1001,0),1)&gt;=100000,INDEX($AO$1005:$BQ$1005,1,MATCH(COLUMNS($AO$1006:AY1006),$AO$1006:$BQ$1006,0))&gt;=100000), " ",IF(INDEX($AO$2:$BQ$1001,MATCH(ROWS($AH$2:AH147),$AH$2:$AH$1001,0),MATCH(COLUMNS($AO$1006:AY1006),$AO$1006:$BQ$1006,0)), HYPERLINK("#",""), HYPERLINK(CONCATENATE("#Metadata!", ADDRESS(INDEX($AJ$2:$AJ$1001,MATCH(ROWS($AH$2:AH147),$AH$2:$AH$1001,0),0), INDEX($AO$1004:$BQ$1004,1,MATCH(COLUMNS($AO$1006:AY1006),$AO$1006:$BQ$1006,0)))),"Fix")))</f>
        <v>#N/A</v>
      </c>
      <c r="M147" s="5" t="e">
        <f ca="1">IF(OR(INDEX($AI$2:$AI$1001,MATCH(ROWS($AH$2:AH147),$AH$2:$AH$1001,0),1)&gt;=100000,INDEX($AO$1005:$BQ$1005,1,MATCH(COLUMNS($AO$1006:AZ1006),$AO$1006:$BQ$1006,0))&gt;=100000), " ",IF(INDEX($AO$2:$BQ$1001,MATCH(ROWS($AH$2:AH147),$AH$2:$AH$1001,0),MATCH(COLUMNS($AO$1006:AZ1006),$AO$1006:$BQ$1006,0)), HYPERLINK("#",""), HYPERLINK(CONCATENATE("#Metadata!", ADDRESS(INDEX($AJ$2:$AJ$1001,MATCH(ROWS($AH$2:AH147),$AH$2:$AH$1001,0),0), INDEX($AO$1004:$BQ$1004,1,MATCH(COLUMNS($AO$1006:AZ1006),$AO$1006:$BQ$1006,0)))),"Fix")))</f>
        <v>#N/A</v>
      </c>
      <c r="N147" s="5" t="e">
        <f ca="1">IF(OR(INDEX($AI$2:$AI$1001,MATCH(ROWS($AH$2:AH147),$AH$2:$AH$1001,0),1)&gt;=100000,INDEX($AO$1005:$BQ$1005,1,MATCH(COLUMNS($AO$1006:BA1006),$AO$1006:$BQ$1006,0))&gt;=100000), " ",IF(INDEX($AO$2:$BQ$1001,MATCH(ROWS($AH$2:AH147),$AH$2:$AH$1001,0),MATCH(COLUMNS($AO$1006:BA1006),$AO$1006:$BQ$1006,0)), HYPERLINK("#",""), HYPERLINK(CONCATENATE("#Metadata!", ADDRESS(INDEX($AJ$2:$AJ$1001,MATCH(ROWS($AH$2:AH147),$AH$2:$AH$1001,0),0), INDEX($AO$1004:$BQ$1004,1,MATCH(COLUMNS($AO$1006:BA1006),$AO$1006:$BQ$1006,0)))),"Fix")))</f>
        <v>#N/A</v>
      </c>
      <c r="O147" s="5" t="e">
        <f ca="1">IF(OR(INDEX($AI$2:$AI$1001,MATCH(ROWS($AH$2:AH147),$AH$2:$AH$1001,0),1)&gt;=100000,INDEX($AO$1005:$BQ$1005,1,MATCH(COLUMNS($AO$1006:BB1006),$AO$1006:$BQ$1006,0))&gt;=100000), " ",IF(INDEX($AO$2:$BQ$1001,MATCH(ROWS($AH$2:AH147),$AH$2:$AH$1001,0),MATCH(COLUMNS($AO$1006:BB1006),$AO$1006:$BQ$1006,0)), HYPERLINK("#",""), HYPERLINK(CONCATENATE("#Metadata!", ADDRESS(INDEX($AJ$2:$AJ$1001,MATCH(ROWS($AH$2:AH147),$AH$2:$AH$1001,0),0), INDEX($AO$1004:$BQ$1004,1,MATCH(COLUMNS($AO$1006:BB1006),$AO$1006:$BQ$1006,0)))),"Fix")))</f>
        <v>#N/A</v>
      </c>
      <c r="P147" s="5" t="e">
        <f ca="1">IF(OR(INDEX($AI$2:$AI$1001,MATCH(ROWS($AH$2:AH147),$AH$2:$AH$1001,0),1)&gt;=100000,INDEX($AO$1005:$BQ$1005,1,MATCH(COLUMNS($AO$1006:BC1006),$AO$1006:$BQ$1006,0))&gt;=100000), " ",IF(INDEX($AO$2:$BQ$1001,MATCH(ROWS($AH$2:AH147),$AH$2:$AH$1001,0),MATCH(COLUMNS($AO$1006:BC1006),$AO$1006:$BQ$1006,0)), HYPERLINK("#",""), HYPERLINK(CONCATENATE("#Metadata!", ADDRESS(INDEX($AJ$2:$AJ$1001,MATCH(ROWS($AH$2:AH147),$AH$2:$AH$1001,0),0), INDEX($AO$1004:$BQ$1004,1,MATCH(COLUMNS($AO$1006:BC1006),$AO$1006:$BQ$1006,0)))),"Fix")))</f>
        <v>#N/A</v>
      </c>
      <c r="Q147" s="5" t="e">
        <f ca="1">IF(OR(INDEX($AI$2:$AI$1001,MATCH(ROWS($AH$2:AH147),$AH$2:$AH$1001,0),1)&gt;=100000,INDEX($AO$1005:$BQ$1005,1,MATCH(COLUMNS($AO$1006:BD1006),$AO$1006:$BQ$1006,0))&gt;=100000), " ",IF(INDEX($AO$2:$BQ$1001,MATCH(ROWS($AH$2:AH147),$AH$2:$AH$1001,0),MATCH(COLUMNS($AO$1006:BD1006),$AO$1006:$BQ$1006,0)), HYPERLINK("#",""), HYPERLINK(CONCATENATE("#Metadata!", ADDRESS(INDEX($AJ$2:$AJ$1001,MATCH(ROWS($AH$2:AH147),$AH$2:$AH$1001,0),0), INDEX($AO$1004:$BQ$1004,1,MATCH(COLUMNS($AO$1006:BD1006),$AO$1006:$BQ$1006,0)))),"Fix")))</f>
        <v>#N/A</v>
      </c>
      <c r="R147" s="5" t="e">
        <f ca="1">IF(OR(INDEX($AI$2:$AI$1001,MATCH(ROWS($AH$2:AH147),$AH$2:$AH$1001,0),1)&gt;=100000,INDEX($AO$1005:$BQ$1005,1,MATCH(COLUMNS($AO$1006:BE1006),$AO$1006:$BQ$1006,0))&gt;=100000), " ",IF(INDEX($AO$2:$BQ$1001,MATCH(ROWS($AH$2:AH147),$AH$2:$AH$1001,0),MATCH(COLUMNS($AO$1006:BE1006),$AO$1006:$BQ$1006,0)), HYPERLINK("#",""), HYPERLINK(CONCATENATE("#Metadata!", ADDRESS(INDEX($AJ$2:$AJ$1001,MATCH(ROWS($AH$2:AH147),$AH$2:$AH$1001,0),0), INDEX($AO$1004:$BQ$1004,1,MATCH(COLUMNS($AO$1006:BE1006),$AO$1006:$BQ$1006,0)))),"Fix")))</f>
        <v>#N/A</v>
      </c>
      <c r="S147" s="5" t="e">
        <f ca="1">IF(OR(INDEX($AI$2:$AI$1001,MATCH(ROWS($AH$2:AH147),$AH$2:$AH$1001,0),1)&gt;=100000,INDEX($AO$1005:$BQ$1005,1,MATCH(COLUMNS($AO$1006:BF1006),$AO$1006:$BQ$1006,0))&gt;=100000), " ",IF(INDEX($AO$2:$BQ$1001,MATCH(ROWS($AH$2:AH147),$AH$2:$AH$1001,0),MATCH(COLUMNS($AO$1006:BF1006),$AO$1006:$BQ$1006,0)), HYPERLINK("#",""), HYPERLINK(CONCATENATE("#Metadata!", ADDRESS(INDEX($AJ$2:$AJ$1001,MATCH(ROWS($AH$2:AH147),$AH$2:$AH$1001,0),0), INDEX($AO$1004:$BQ$1004,1,MATCH(COLUMNS($AO$1006:BF1006),$AO$1006:$BQ$1006,0)))),"Fix")))</f>
        <v>#N/A</v>
      </c>
      <c r="T147" s="5" t="e">
        <f ca="1">IF(OR(INDEX($AI$2:$AI$1001,MATCH(ROWS($AH$2:AH147),$AH$2:$AH$1001,0),1)&gt;=100000,INDEX($AO$1005:$BQ$1005,1,MATCH(COLUMNS($AO$1006:BG1006),$AO$1006:$BQ$1006,0))&gt;=100000), " ",IF(INDEX($AO$2:$BQ$1001,MATCH(ROWS($AH$2:AH147),$AH$2:$AH$1001,0),MATCH(COLUMNS($AO$1006:BG1006),$AO$1006:$BQ$1006,0)), HYPERLINK("#",""), HYPERLINK(CONCATENATE("#Metadata!", ADDRESS(INDEX($AJ$2:$AJ$1001,MATCH(ROWS($AH$2:AH147),$AH$2:$AH$1001,0),0), INDEX($AO$1004:$BQ$1004,1,MATCH(COLUMNS($AO$1006:BG1006),$AO$1006:$BQ$1006,0)))),"Fix")))</f>
        <v>#N/A</v>
      </c>
      <c r="U147" s="5" t="e">
        <f ca="1">IF(OR(INDEX($AI$2:$AI$1001,MATCH(ROWS($AH$2:AH147),$AH$2:$AH$1001,0),1)&gt;=100000,INDEX($AO$1005:$BQ$1005,1,MATCH(COLUMNS($AO$1006:BH1006),$AO$1006:$BQ$1006,0))&gt;=100000), " ",IF(INDEX($AO$2:$BQ$1001,MATCH(ROWS($AH$2:AH147),$AH$2:$AH$1001,0),MATCH(COLUMNS($AO$1006:BH1006),$AO$1006:$BQ$1006,0)), HYPERLINK("#",""), HYPERLINK(CONCATENATE("#Metadata!", ADDRESS(INDEX($AJ$2:$AJ$1001,MATCH(ROWS($AH$2:AH147),$AH$2:$AH$1001,0),0), INDEX($AO$1004:$BQ$1004,1,MATCH(COLUMNS($AO$1006:BH1006),$AO$1006:$BQ$1006,0)))),"Fix")))</f>
        <v>#N/A</v>
      </c>
      <c r="V147" s="5" t="e">
        <f ca="1">IF(OR(INDEX($AI$2:$AI$1001,MATCH(ROWS($AH$2:AH147),$AH$2:$AH$1001,0),1)&gt;=100000,INDEX($AO$1005:$BQ$1005,1,MATCH(COLUMNS($AO$1006:BI1006),$AO$1006:$BQ$1006,0))&gt;=100000), " ",IF(INDEX($AO$2:$BQ$1001,MATCH(ROWS($AH$2:AH147),$AH$2:$AH$1001,0),MATCH(COLUMNS($AO$1006:BI1006),$AO$1006:$BQ$1006,0)), HYPERLINK("#",""), HYPERLINK(CONCATENATE("#Metadata!", ADDRESS(INDEX($AJ$2:$AJ$1001,MATCH(ROWS($AH$2:AH147),$AH$2:$AH$1001,0),0), INDEX($AO$1004:$BQ$1004,1,MATCH(COLUMNS($AO$1006:BI1006),$AO$1006:$BQ$1006,0)))),"Fix")))</f>
        <v>#N/A</v>
      </c>
      <c r="W147" s="5" t="e">
        <f ca="1">IF(OR(INDEX($AI$2:$AI$1001,MATCH(ROWS($AH$2:AH147),$AH$2:$AH$1001,0),1)&gt;=100000,INDEX($AO$1005:$BQ$1005,1,MATCH(COLUMNS($AO$1006:BJ1006),$AO$1006:$BQ$1006,0))&gt;=100000), " ",IF(INDEX($AO$2:$BQ$1001,MATCH(ROWS($AH$2:AH147),$AH$2:$AH$1001,0),MATCH(COLUMNS($AO$1006:BJ1006),$AO$1006:$BQ$1006,0)), HYPERLINK("#",""), HYPERLINK(CONCATENATE("#Metadata!", ADDRESS(INDEX($AJ$2:$AJ$1001,MATCH(ROWS($AH$2:AH147),$AH$2:$AH$1001,0),0), INDEX($AO$1004:$BQ$1004,1,MATCH(COLUMNS($AO$1006:BJ1006),$AO$1006:$BQ$1006,0)))),"Fix")))</f>
        <v>#N/A</v>
      </c>
      <c r="X147" s="5" t="e">
        <f ca="1">IF(OR(INDEX($AI$2:$AI$1001,MATCH(ROWS($AH$2:AH147),$AH$2:$AH$1001,0),1)&gt;=100000,INDEX($AO$1005:$BQ$1005,1,MATCH(COLUMNS($AO$1006:BK1006),$AO$1006:$BQ$1006,0))&gt;=100000), " ",IF(INDEX($AO$2:$BQ$1001,MATCH(ROWS($AH$2:AH147),$AH$2:$AH$1001,0),MATCH(COLUMNS($AO$1006:BK1006),$AO$1006:$BQ$1006,0)), HYPERLINK("#",""), HYPERLINK(CONCATENATE("#Metadata!", ADDRESS(INDEX($AJ$2:$AJ$1001,MATCH(ROWS($AH$2:AH147),$AH$2:$AH$1001,0),0), INDEX($AO$1004:$BQ$1004,1,MATCH(COLUMNS($AO$1006:BK1006),$AO$1006:$BQ$1006,0)))),"Fix")))</f>
        <v>#N/A</v>
      </c>
      <c r="Y147" s="5" t="e">
        <f ca="1">IF(OR(INDEX($AI$2:$AI$1001,MATCH(ROWS($AH$2:AH147),$AH$2:$AH$1001,0),1)&gt;=100000,INDEX($AO$1005:$BQ$1005,1,MATCH(COLUMNS($AO$1006:BL1006),$AO$1006:$BQ$1006,0))&gt;=100000), " ",IF(INDEX($AO$2:$BQ$1001,MATCH(ROWS($AH$2:AH147),$AH$2:$AH$1001,0),MATCH(COLUMNS($AO$1006:BL1006),$AO$1006:$BQ$1006,0)), HYPERLINK("#",""), HYPERLINK(CONCATENATE("#Metadata!", ADDRESS(INDEX($AJ$2:$AJ$1001,MATCH(ROWS($AH$2:AH147),$AH$2:$AH$1001,0),0), INDEX($AO$1004:$BQ$1004,1,MATCH(COLUMNS($AO$1006:BL1006),$AO$1006:$BQ$1006,0)))),"Fix")))</f>
        <v>#N/A</v>
      </c>
      <c r="Z147" s="5" t="e">
        <f ca="1">IF(OR(INDEX($AI$2:$AI$1001,MATCH(ROWS($AH$2:AH147),$AH$2:$AH$1001,0),1)&gt;=100000,INDEX($AO$1005:$BQ$1005,1,MATCH(COLUMNS($AO$1006:BM1006),$AO$1006:$BQ$1006,0))&gt;=100000), " ",IF(INDEX($AO$2:$BQ$1001,MATCH(ROWS($AH$2:AH147),$AH$2:$AH$1001,0),MATCH(COLUMNS($AO$1006:BM1006),$AO$1006:$BQ$1006,0)), HYPERLINK("#",""), HYPERLINK(CONCATENATE("#Metadata!", ADDRESS(INDEX($AJ$2:$AJ$1001,MATCH(ROWS($AH$2:AH147),$AH$2:$AH$1001,0),0), INDEX($AO$1004:$BQ$1004,1,MATCH(COLUMNS($AO$1006:BM1006),$AO$1006:$BQ$1006,0)))),"Fix")))</f>
        <v>#N/A</v>
      </c>
      <c r="AA147" s="5" t="e">
        <f ca="1">IF(OR(INDEX($AI$2:$AI$1001,MATCH(ROWS($AH$2:AH147),$AH$2:$AH$1001,0),1)&gt;=100000,INDEX($AO$1005:$BQ$1005,1,MATCH(COLUMNS($AO$1006:BN1006),$AO$1006:$BQ$1006,0))&gt;=100000), " ",IF(INDEX($AO$2:$BQ$1001,MATCH(ROWS($AH$2:AH147),$AH$2:$AH$1001,0),MATCH(COLUMNS($AO$1006:BN1006),$AO$1006:$BQ$1006,0)), HYPERLINK("#",""), HYPERLINK(CONCATENATE("#Metadata!", ADDRESS(INDEX($AJ$2:$AJ$1001,MATCH(ROWS($AH$2:AH147),$AH$2:$AH$1001,0),0), INDEX($AO$1004:$BQ$1004,1,MATCH(COLUMNS($AO$1006:BN1006),$AO$1006:$BQ$1006,0)))),"Fix")))</f>
        <v>#N/A</v>
      </c>
      <c r="AB147" s="5" t="e">
        <f ca="1">IF(OR(INDEX($AI$2:$AI$1001,MATCH(ROWS($AH$2:AH147),$AH$2:$AH$1001,0),1)&gt;=100000,INDEX($AO$1005:$BQ$1005,1,MATCH(COLUMNS($AO$1006:BO1006),$AO$1006:$BQ$1006,0))&gt;=100000), " ",IF(INDEX($AO$2:$BQ$1001,MATCH(ROWS($AH$2:AH147),$AH$2:$AH$1001,0),MATCH(COLUMNS($AO$1006:BO1006),$AO$1006:$BQ$1006,0)), HYPERLINK("#",""), HYPERLINK(CONCATENATE("#Metadata!", ADDRESS(INDEX($AJ$2:$AJ$1001,MATCH(ROWS($AH$2:AH147),$AH$2:$AH$1001,0),0), INDEX($AO$1004:$BQ$1004,1,MATCH(COLUMNS($AO$1006:BO1006),$AO$1006:$BQ$1006,0)))),"Fix")))</f>
        <v>#N/A</v>
      </c>
      <c r="AC147" s="5" t="e">
        <f ca="1">IF(OR(INDEX($AI$2:$AI$1001,MATCH(ROWS($AH$2:AH147),$AH$2:$AH$1001,0),1)&gt;=100000,INDEX($AO$1005:$BQ$1005,1,MATCH(COLUMNS($AO$1006:BP1006),$AO$1006:$BQ$1006,0))&gt;=100000), " ",IF(INDEX($AO$2:$BQ$1001,MATCH(ROWS($AH$2:AH147),$AH$2:$AH$1001,0),MATCH(COLUMNS($AO$1006:BP1006),$AO$1006:$BQ$1006,0)), HYPERLINK("#",""), HYPERLINK(CONCATENATE("#Metadata!", ADDRESS(INDEX($AJ$2:$AJ$1001,MATCH(ROWS($AH$2:AH147),$AH$2:$AH$1001,0),0), INDEX($AO$1004:$BQ$1004,1,MATCH(COLUMNS($AO$1006:BP1006),$AO$1006:$BQ$1006,0)))),"Fix")))</f>
        <v>#N/A</v>
      </c>
      <c r="AD147" s="5" t="e">
        <f ca="1">IF(OR(INDEX($AI$2:$AI$1001,MATCH(ROWS($AH$2:AH147),$AH$2:$AH$1001,0),1)&gt;=100000,INDEX($AO$1005:$BQ$1005,1,MATCH(COLUMNS($AO$1006:BQ1006),$AO$1006:$BQ$1006,0))&gt;=100000), " ",IF(INDEX($AO$2:$BQ$1001,MATCH(ROWS($AH$2:AH147),$AH$2:$AH$1001,0),MATCH(COLUMNS($AO$1006:BQ1006),$AO$1006:$BQ$1006,0)), HYPERLINK("#",""), HYPERLINK(CONCATENATE("#Metadata!", ADDRESS(INDEX($AJ$2:$AJ$1001,MATCH(ROWS($AH$2:AH147),$AH$2:$AH$1001,0),0), INDEX($AO$1004:$BQ$1004,1,MATCH(COLUMNS($AO$1006:BQ1006),$AO$1006:$BQ$1006,0)))),"Fix")))</f>
        <v>#REF!</v>
      </c>
      <c r="AH147">
        <f ca="1"/>
        <v>144</v>
      </c>
      <c r="AI147">
        <v>100147</v>
      </c>
      <c r="AJ147">
        <v>147</v>
      </c>
      <c r="AK147" t="b">
        <f t="shared" si="2"/>
        <v>1</v>
      </c>
      <c r="AL147" t="b">
        <f>COUNTBLANK(Metadata!B147:AD147)=COLUMNS(Metadata!B147:AD147)</f>
        <v>1</v>
      </c>
      <c r="AM147" t="str">
        <v/>
      </c>
      <c r="AO147" t="b">
        <f ca="1">AND(IF(Metadata!B147="",FALSE,TRUE),COUNTIF(Metadata!B:B, Metadata!B147) = 1,NOT(ISERROR(SUMPRODUCT(SEARCH(MID(Metadata!B147,ROW(INDIRECT("1:"&amp;LEN(Metadata!B147))), 1),"0123456789abcdefghijklmnopqrstuvwxyzABCDEFGHIJKLMNOPQRSTUVWXYZ.")))))</f>
        <v>0</v>
      </c>
      <c r="AP147" t="b">
        <f>IF(Metadata!C147="",FALSE,TRUE)</f>
        <v>0</v>
      </c>
      <c r="AQ147" t="b">
        <f>IF(Metadata!D147="",FALSE,TRUE)</f>
        <v>0</v>
      </c>
      <c r="AR147" t="b">
        <f ca="1">OR(AND(IF(Metadata!E147="",FALSE,TRUE),OR(EXACT(Metadata!E147,"not collected"),EXACT(Metadata!E147,"not provided"),EXACT(Metadata!E147,"restricted access"))),AND(IF(Metadata!E147="",FALSE,TRUE),AND(AND(IFERROR(INT(LEFT(Metadata!E147,4))&gt;1900,FALSE),IFERROR(INT(LEFT(Metadata!E147,4))&lt;=YEAR(NOW()),FALSE)), OR(MID(Metadata!E147,5,1)="", AND(AND(MID(Metadata!E147,5,1)="-",IFERROR(INT(MID(Metadata!E147,6,1))&gt;=0,FALSE),IFERROR(INT(MID(Metadata!E147,6,1))&lt;=1,FALSE),NOT(MID(Metadata!E147,7,1)=""),IFERROR(INT(MID(Metadata!E147,6,2))&gt;=1,FALSE),IFERROR(INT(MID(Metadata!E147,6,2))&lt;=12,FALSE)), OR(MID(Metadata!E147,8,1)="", AND(AND(MID(Metadata!E147,8,1)="-",IFERROR(INT(MID(Metadata!E147,9,1))&gt;=0,FALSE),IFERROR(INT(MID(Metadata!E147,9,1))&lt;=3,FALSE),NOT(MID(Metadata!E147,10,1)=""),IFERROR(INT(MID(Metadata!E147,9,2))&gt;=1,FALSE),IFERROR(INT(MID(Metadata!E147,9,2))&lt;=31,FALSE)), OR(MID(Metadata!E147,11,1)="", AND(AND(MID(Metadata!E147,11,1)=" ",IFERROR(INT(MID(Metadata!E147,12,1))&gt;=0,FALSE),IFERROR(INT(MID(Metadata!E147,12,1))&lt;=2,FALSE),NOT(MID(Metadata!E147,13,1)=""),IFERROR(INT(MID(Metadata!E147,12,2))&gt;=0,FALSE),IFERROR(INT(MID(Metadata!E147,12,2))&lt;=23,FALSE)), OR(MID(Metadata!E147,14,1)="", AND(AND(MID(Metadata!E147,14,1)=":",IFERROR(INT(MID(Metadata!E147,15,1))&gt;=0,FALSE),IFERROR(INT(MID(Metadata!E147,15,1))&lt;=5,FALSE),NOT(MID(Metadata!E147,16,1)=""),IFERROR(INT(MID(Metadata!E147,15,2))&gt;=0,FALSE),IFERROR(INT(MID(Metadata!E147,15,2))&lt;=59,FALSE)), OR(MID(Metadata!E147,17,1)="", AND(AND(MID(Metadata!E147,17,1)=":",IFERROR(INT(MID(Metadata!E147,18,1))&gt;=0,FALSE),IFERROR(INT(MID(Metadata!E147,18,1))&lt;=5,FALSE),NOT(MID(Metadata!E147,19,1)=""),IFERROR(INT(MID(Metadata!E147,18,2))&gt;=0,FALSE),IFERROR(INT(MID(Metadata!E147,18,2))&lt;=59,FALSE)), LEN(Metadata!E147)&lt;=19)))))))))))))</f>
        <v>0</v>
      </c>
      <c r="AS147" t="b">
        <f>IF(Metadata!F147="",FALSE,TRUE)</f>
        <v>0</v>
      </c>
      <c r="AT147" t="b">
        <f>OR(AND(IF(Metadata!G147="",FALSE,TRUE),OR(EXACT(Metadata!G147,"not collected"),EXACT(Metadata!G147,"not provided"))),AND(IF(Metadata!G147="",FALSE,TRUE),OR(EXACT(Metadata!G147,"TRUE"),EXACT(Metadata!G147,"FALSE"))))</f>
        <v>0</v>
      </c>
      <c r="AU147" t="b">
        <f>OR(AND(IF(Metadata!H147="",FALSE,TRUE),OR(EXACT(Metadata!H147,"not collected"),EXACT(Metadata!H147,"not provided"),EXACT(Metadata!H147,"restricted access"))),AND(IF(Metadata!H147="",FALSE,ISNUMBER(VALUE(Metadata!H147))),Metadata!H147&gt;=-413))</f>
        <v>0</v>
      </c>
      <c r="AV147" t="b">
        <f>AND(IF(Metadata!I147="",FALSE,TRUE),EXACT(Metadata!I147,"meters"))</f>
        <v>0</v>
      </c>
      <c r="AW147" t="b">
        <f>AND(IF(Metadata!J147="",FALSE,TRUE),EXACT(Metadata!J147,"free-living"))</f>
        <v>0</v>
      </c>
      <c r="AX147" t="b">
        <f>AND(IF(Metadata!K147="",FALSE,TRUE),OR(EXACT(Metadata!K147,"saline"),EXACT(Metadata!K147,"non-saline")))</f>
        <v>0</v>
      </c>
      <c r="AY147" t="b">
        <f>AND(IF(Metadata!L147="",FALSE,TRUE),OR(EXACT(Metadata!L147,"sub-surface (non-saline)"),EXACT(Metadata!L147,"surface (non-saline)"),EXACT(Metadata!L147,"water (non-saline)"),EXACT(Metadata!L147,"soil (non-saline)"),EXACT(Metadata!L147,"aerosol (non-saline)"),EXACT(Metadata!L147,"sediment (non-saline)"),EXACT(Metadata!L147,"surface (saline)"),EXACT(Metadata!L147,"water (saline)"),EXACT(Metadata!L147,"hypersaline (saline)"),EXACT(Metadata!L147,"aerosol (saline)"),EXACT(Metadata!L147,"sediment (saline)")))</f>
        <v>0</v>
      </c>
      <c r="AZ147" t="b">
        <f>IF(Metadata!M147="",FALSE,TRUE)</f>
        <v>0</v>
      </c>
      <c r="BA147" t="b">
        <f>IF(Metadata!N147="",FALSE,TRUE)</f>
        <v>0</v>
      </c>
      <c r="BB147" t="b">
        <f>IF(Metadata!O147="",FALSE,TRUE)</f>
        <v>0</v>
      </c>
      <c r="BC147" t="b">
        <f>AND(IF(Metadata!P147="",FALSE,TRUE),OR(EXACT(Metadata!P147,"air"),EXACT(Metadata!P147,"microbial mat/biofilm"),EXACT(Metadata!P147,"misc environment"),EXACT(Metadata!P147,"sediment"),EXACT(Metadata!P147,"soil"),EXACT(Metadata!P147,"wastewater/sludge"),EXACT(Metadata!P147,"water")))</f>
        <v>0</v>
      </c>
      <c r="BD147" t="b">
        <f>IF(Metadata!Q147="",FALSE,TRUE)</f>
        <v>0</v>
      </c>
      <c r="BE147" t="b">
        <f>IF(Metadata!R147="",FALSE,TRUE)</f>
        <v>0</v>
      </c>
      <c r="BF147" t="b">
        <f>OR(AND(IF(Metadata!S147="",FALSE,TRUE),OR(EXACT(Metadata!S147,"not collected"),EXACT(Metadata!S147,"not provided"),EXACT(Metadata!S147,"restricted access"))),AND(IF(Metadata!S147="",FALSE,ISNUMBER(VALUE(Metadata!S147))),Metadata!S147&gt;=-90,Metadata!S147&lt;=90))</f>
        <v>0</v>
      </c>
      <c r="BG147" t="b">
        <f>AND(IF(Metadata!T147="",FALSE,TRUE),EXACT(Metadata!T147,"Decimal degrees"))</f>
        <v>0</v>
      </c>
      <c r="BH147" t="b">
        <f>OR(AND(IF(Metadata!U147="",FALSE,TRUE),OR(EXACT(Metadata!U147,"not applicable"),EXACT(Metadata!U147,"not collected"))),IF(Metadata!U147="",FALSE,TRUE))</f>
        <v>0</v>
      </c>
      <c r="BI147" t="b">
        <f>OR(AND(IF(Metadata!V147="",FALSE,TRUE),OR(EXACT(Metadata!V147,"not collected"),EXACT(Metadata!V147,"not provided"),EXACT(Metadata!V147,"restricted access"))),AND(IF(Metadata!V147="",FALSE,ISNUMBER(VALUE(Metadata!V147))),Metadata!V147&gt;=-180,Metadata!V147&lt;=180))</f>
        <v>0</v>
      </c>
      <c r="BJ147" t="b">
        <f>AND(IF(Metadata!W147="",FALSE,TRUE),EXACT(Metadata!W147,"Decimal degrees"))</f>
        <v>0</v>
      </c>
      <c r="BK147" t="b">
        <f>IF(Metadata!X147="",FALSE,TRUE)</f>
        <v>0</v>
      </c>
      <c r="BL147" t="b">
        <f>OR(AND(IF(Metadata!Y147="",FALSE,TRUE),OR(EXACT(Metadata!Y147,"not collected"),EXACT(Metadata!Y147,"not provided"),EXACT(Metadata!Y147,"restricted access"))),AND(IF(Metadata!Y147="",FALSE,TRUE),OR(EXACT(Metadata!Y147,"TRUE"),EXACT(Metadata!Y147,"FALSE"))))</f>
        <v>0</v>
      </c>
      <c r="BM147" t="b">
        <f>OR(AND(IF(Metadata!Z147="",FALSE,TRUE),EXACT(Metadata!Z147,"not applicable")),AND(IF(Metadata!Z147="",FALSE,TRUE),OR(EXACT(Metadata!Z147,"beer"),EXACT(Metadata!Z147,"cheese"),EXACT(Metadata!Z147,"fresh water"),EXACT(Metadata!Z147,"marine sediment"),EXACT(Metadata!Z147,"sea water"),EXACT(Metadata!Z147,"sediment"),EXACT(Metadata!Z147,"soil"),EXACT(Metadata!Z147,"waste water"))))</f>
        <v>0</v>
      </c>
      <c r="BN147" t="b">
        <f>AND(IF(Metadata!AA147="",FALSE,TRUE),EXACT(Metadata!AA147,"metagenome"))</f>
        <v>0</v>
      </c>
      <c r="BO147" t="b">
        <f>AND(IF(Metadata!AB147="",FALSE,TRUE),EXACT(Metadata!AB147,"256318"))</f>
        <v>0</v>
      </c>
      <c r="BP147" t="b">
        <f>IF(Metadata!AC147="",FALSE,TRUE)</f>
        <v>0</v>
      </c>
      <c r="BQ147" t="b">
        <f>IF(Metadata!AD147="",FALSE,TRUE)</f>
        <v>0</v>
      </c>
    </row>
    <row r="148" spans="1:69" x14ac:dyDescent="0.2">
      <c r="A148" s="4" t="e">
        <f ca="1">IF(B148=" "," ",HYPERLINK(CONCATENATE("#metadata!",ADDRESS(INDEX($AJ$2:$AJ$1001,MATCH(ROWS($AH$2:AH148),$AH$2:$AH$1001,0),0),2)),INDEX($AM$2:$AM$1001,MATCH(ROWS($AH$2:AH148),$AH$2:$AH$1001,0),0)))</f>
        <v>#N/A</v>
      </c>
      <c r="B148" s="5" t="e">
        <f ca="1">IF(OR(INDEX($AI$2:$AI$1001,MATCH(ROWS($AH$2:AH148),$AH$2:$AH$1001,0),1)&gt;=100000,INDEX($AO$1005:$BQ$1005,1,MATCH(COLUMNS($AO$1006:AO1006),$AO$1006:$BQ$1006,0))&gt;=100000), " ",IF(INDEX($AO$2:$BQ$1001,MATCH(ROWS($AH$2:AH148),$AH$2:$AH$1001,0),MATCH(COLUMNS($AO$1006:AO1006),$AO$1006:$BQ$1006,0)), HYPERLINK("#",""), HYPERLINK(CONCATENATE("#Metadata!", ADDRESS(INDEX($AJ$2:$AJ$1001,MATCH(ROWS($AH$2:AH148),$AH$2:$AH$1001,0),0), INDEX($AO$1004:$BQ$1004,1,MATCH(COLUMNS($AO$1006:AO1006),$AO$1006:$BQ$1006,0)))),"Fix")))</f>
        <v>#N/A</v>
      </c>
      <c r="C148" s="5" t="e">
        <f ca="1">IF(OR(INDEX($AI$2:$AI$1001,MATCH(ROWS($AH$2:AH148),$AH$2:$AH$1001,0),1)&gt;=100000,INDEX($AO$1005:$BQ$1005,1,MATCH(COLUMNS($AO$1006:AP1006),$AO$1006:$BQ$1006,0))&gt;=100000), " ",IF(INDEX($AO$2:$BQ$1001,MATCH(ROWS($AH$2:AH148),$AH$2:$AH$1001,0),MATCH(COLUMNS($AO$1006:AP1006),$AO$1006:$BQ$1006,0)), HYPERLINK("#",""), HYPERLINK(CONCATENATE("#Metadata!", ADDRESS(INDEX($AJ$2:$AJ$1001,MATCH(ROWS($AH$2:AH148),$AH$2:$AH$1001,0),0), INDEX($AO$1004:$BQ$1004,1,MATCH(COLUMNS($AO$1006:AP1006),$AO$1006:$BQ$1006,0)))),"Fix")))</f>
        <v>#N/A</v>
      </c>
      <c r="D148" s="5" t="e">
        <f ca="1">IF(OR(INDEX($AI$2:$AI$1001,MATCH(ROWS($AH$2:AH148),$AH$2:$AH$1001,0),1)&gt;=100000,INDEX($AO$1005:$BQ$1005,1,MATCH(COLUMNS($AO$1006:AQ1006),$AO$1006:$BQ$1006,0))&gt;=100000), " ",IF(INDEX($AO$2:$BQ$1001,MATCH(ROWS($AH$2:AH148),$AH$2:$AH$1001,0),MATCH(COLUMNS($AO$1006:AQ1006),$AO$1006:$BQ$1006,0)), HYPERLINK("#",""), HYPERLINK(CONCATENATE("#Metadata!", ADDRESS(INDEX($AJ$2:$AJ$1001,MATCH(ROWS($AH$2:AH148),$AH$2:$AH$1001,0),0), INDEX($AO$1004:$BQ$1004,1,MATCH(COLUMNS($AO$1006:AQ1006),$AO$1006:$BQ$1006,0)))),"Fix")))</f>
        <v>#N/A</v>
      </c>
      <c r="E148" s="5" t="e">
        <f ca="1">IF(OR(INDEX($AI$2:$AI$1001,MATCH(ROWS($AH$2:AH148),$AH$2:$AH$1001,0),1)&gt;=100000,INDEX($AO$1005:$BQ$1005,1,MATCH(COLUMNS($AO$1006:AR1006),$AO$1006:$BQ$1006,0))&gt;=100000), " ",IF(INDEX($AO$2:$BQ$1001,MATCH(ROWS($AH$2:AH148),$AH$2:$AH$1001,0),MATCH(COLUMNS($AO$1006:AR1006),$AO$1006:$BQ$1006,0)), HYPERLINK("#",""), HYPERLINK(CONCATENATE("#Metadata!", ADDRESS(INDEX($AJ$2:$AJ$1001,MATCH(ROWS($AH$2:AH148),$AH$2:$AH$1001,0),0), INDEX($AO$1004:$BQ$1004,1,MATCH(COLUMNS($AO$1006:AR1006),$AO$1006:$BQ$1006,0)))),"Fix")))</f>
        <v>#N/A</v>
      </c>
      <c r="F148" s="5" t="e">
        <f ca="1">IF(OR(INDEX($AI$2:$AI$1001,MATCH(ROWS($AH$2:AH148),$AH$2:$AH$1001,0),1)&gt;=100000,INDEX($AO$1005:$BQ$1005,1,MATCH(COLUMNS($AO$1006:AS1006),$AO$1006:$BQ$1006,0))&gt;=100000), " ",IF(INDEX($AO$2:$BQ$1001,MATCH(ROWS($AH$2:AH148),$AH$2:$AH$1001,0),MATCH(COLUMNS($AO$1006:AS1006),$AO$1006:$BQ$1006,0)), HYPERLINK("#",""), HYPERLINK(CONCATENATE("#Metadata!", ADDRESS(INDEX($AJ$2:$AJ$1001,MATCH(ROWS($AH$2:AH148),$AH$2:$AH$1001,0),0), INDEX($AO$1004:$BQ$1004,1,MATCH(COLUMNS($AO$1006:AS1006),$AO$1006:$BQ$1006,0)))),"Fix")))</f>
        <v>#N/A</v>
      </c>
      <c r="G148" s="5" t="e">
        <f ca="1">IF(OR(INDEX($AI$2:$AI$1001,MATCH(ROWS($AH$2:AH148),$AH$2:$AH$1001,0),1)&gt;=100000,INDEX($AO$1005:$BQ$1005,1,MATCH(COLUMNS($AO$1006:AT1006),$AO$1006:$BQ$1006,0))&gt;=100000), " ",IF(INDEX($AO$2:$BQ$1001,MATCH(ROWS($AH$2:AH148),$AH$2:$AH$1001,0),MATCH(COLUMNS($AO$1006:AT1006),$AO$1006:$BQ$1006,0)), HYPERLINK("#",""), HYPERLINK(CONCATENATE("#Metadata!", ADDRESS(INDEX($AJ$2:$AJ$1001,MATCH(ROWS($AH$2:AH148),$AH$2:$AH$1001,0),0), INDEX($AO$1004:$BQ$1004,1,MATCH(COLUMNS($AO$1006:AT1006),$AO$1006:$BQ$1006,0)))),"Fix")))</f>
        <v>#N/A</v>
      </c>
      <c r="H148" s="5" t="e">
        <f ca="1">IF(OR(INDEX($AI$2:$AI$1001,MATCH(ROWS($AH$2:AH148),$AH$2:$AH$1001,0),1)&gt;=100000,INDEX($AO$1005:$BQ$1005,1,MATCH(COLUMNS($AO$1006:AU1006),$AO$1006:$BQ$1006,0))&gt;=100000), " ",IF(INDEX($AO$2:$BQ$1001,MATCH(ROWS($AH$2:AH148),$AH$2:$AH$1001,0),MATCH(COLUMNS($AO$1006:AU1006),$AO$1006:$BQ$1006,0)), HYPERLINK("#",""), HYPERLINK(CONCATENATE("#Metadata!", ADDRESS(INDEX($AJ$2:$AJ$1001,MATCH(ROWS($AH$2:AH148),$AH$2:$AH$1001,0),0), INDEX($AO$1004:$BQ$1004,1,MATCH(COLUMNS($AO$1006:AU1006),$AO$1006:$BQ$1006,0)))),"Fix")))</f>
        <v>#N/A</v>
      </c>
      <c r="I148" s="5" t="e">
        <f ca="1">IF(OR(INDEX($AI$2:$AI$1001,MATCH(ROWS($AH$2:AH148),$AH$2:$AH$1001,0),1)&gt;=100000,INDEX($AO$1005:$BQ$1005,1,MATCH(COLUMNS($AO$1006:AV1006),$AO$1006:$BQ$1006,0))&gt;=100000), " ",IF(INDEX($AO$2:$BQ$1001,MATCH(ROWS($AH$2:AH148),$AH$2:$AH$1001,0),MATCH(COLUMNS($AO$1006:AV1006),$AO$1006:$BQ$1006,0)), HYPERLINK("#",""), HYPERLINK(CONCATENATE("#Metadata!", ADDRESS(INDEX($AJ$2:$AJ$1001,MATCH(ROWS($AH$2:AH148),$AH$2:$AH$1001,0),0), INDEX($AO$1004:$BQ$1004,1,MATCH(COLUMNS($AO$1006:AV1006),$AO$1006:$BQ$1006,0)))),"Fix")))</f>
        <v>#N/A</v>
      </c>
      <c r="J148" s="5" t="e">
        <f ca="1">IF(OR(INDEX($AI$2:$AI$1001,MATCH(ROWS($AH$2:AH148),$AH$2:$AH$1001,0),1)&gt;=100000,INDEX($AO$1005:$BQ$1005,1,MATCH(COLUMNS($AO$1006:AW1006),$AO$1006:$BQ$1006,0))&gt;=100000), " ",IF(INDEX($AO$2:$BQ$1001,MATCH(ROWS($AH$2:AH148),$AH$2:$AH$1001,0),MATCH(COLUMNS($AO$1006:AW1006),$AO$1006:$BQ$1006,0)), HYPERLINK("#",""), HYPERLINK(CONCATENATE("#Metadata!", ADDRESS(INDEX($AJ$2:$AJ$1001,MATCH(ROWS($AH$2:AH148),$AH$2:$AH$1001,0),0), INDEX($AO$1004:$BQ$1004,1,MATCH(COLUMNS($AO$1006:AW1006),$AO$1006:$BQ$1006,0)))),"Fix")))</f>
        <v>#N/A</v>
      </c>
      <c r="K148" s="5" t="e">
        <f ca="1">IF(OR(INDEX($AI$2:$AI$1001,MATCH(ROWS($AH$2:AH148),$AH$2:$AH$1001,0),1)&gt;=100000,INDEX($AO$1005:$BQ$1005,1,MATCH(COLUMNS($AO$1006:AX1006),$AO$1006:$BQ$1006,0))&gt;=100000), " ",IF(INDEX($AO$2:$BQ$1001,MATCH(ROWS($AH$2:AH148),$AH$2:$AH$1001,0),MATCH(COLUMNS($AO$1006:AX1006),$AO$1006:$BQ$1006,0)), HYPERLINK("#",""), HYPERLINK(CONCATENATE("#Metadata!", ADDRESS(INDEX($AJ$2:$AJ$1001,MATCH(ROWS($AH$2:AH148),$AH$2:$AH$1001,0),0), INDEX($AO$1004:$BQ$1004,1,MATCH(COLUMNS($AO$1006:AX1006),$AO$1006:$BQ$1006,0)))),"Fix")))</f>
        <v>#N/A</v>
      </c>
      <c r="L148" s="5" t="e">
        <f ca="1">IF(OR(INDEX($AI$2:$AI$1001,MATCH(ROWS($AH$2:AH148),$AH$2:$AH$1001,0),1)&gt;=100000,INDEX($AO$1005:$BQ$1005,1,MATCH(COLUMNS($AO$1006:AY1006),$AO$1006:$BQ$1006,0))&gt;=100000), " ",IF(INDEX($AO$2:$BQ$1001,MATCH(ROWS($AH$2:AH148),$AH$2:$AH$1001,0),MATCH(COLUMNS($AO$1006:AY1006),$AO$1006:$BQ$1006,0)), HYPERLINK("#",""), HYPERLINK(CONCATENATE("#Metadata!", ADDRESS(INDEX($AJ$2:$AJ$1001,MATCH(ROWS($AH$2:AH148),$AH$2:$AH$1001,0),0), INDEX($AO$1004:$BQ$1004,1,MATCH(COLUMNS($AO$1006:AY1006),$AO$1006:$BQ$1006,0)))),"Fix")))</f>
        <v>#N/A</v>
      </c>
      <c r="M148" s="5" t="e">
        <f ca="1">IF(OR(INDEX($AI$2:$AI$1001,MATCH(ROWS($AH$2:AH148),$AH$2:$AH$1001,0),1)&gt;=100000,INDEX($AO$1005:$BQ$1005,1,MATCH(COLUMNS($AO$1006:AZ1006),$AO$1006:$BQ$1006,0))&gt;=100000), " ",IF(INDEX($AO$2:$BQ$1001,MATCH(ROWS($AH$2:AH148),$AH$2:$AH$1001,0),MATCH(COLUMNS($AO$1006:AZ1006),$AO$1006:$BQ$1006,0)), HYPERLINK("#",""), HYPERLINK(CONCATENATE("#Metadata!", ADDRESS(INDEX($AJ$2:$AJ$1001,MATCH(ROWS($AH$2:AH148),$AH$2:$AH$1001,0),0), INDEX($AO$1004:$BQ$1004,1,MATCH(COLUMNS($AO$1006:AZ1006),$AO$1006:$BQ$1006,0)))),"Fix")))</f>
        <v>#N/A</v>
      </c>
      <c r="N148" s="5" t="e">
        <f ca="1">IF(OR(INDEX($AI$2:$AI$1001,MATCH(ROWS($AH$2:AH148),$AH$2:$AH$1001,0),1)&gt;=100000,INDEX($AO$1005:$BQ$1005,1,MATCH(COLUMNS($AO$1006:BA1006),$AO$1006:$BQ$1006,0))&gt;=100000), " ",IF(INDEX($AO$2:$BQ$1001,MATCH(ROWS($AH$2:AH148),$AH$2:$AH$1001,0),MATCH(COLUMNS($AO$1006:BA1006),$AO$1006:$BQ$1006,0)), HYPERLINK("#",""), HYPERLINK(CONCATENATE("#Metadata!", ADDRESS(INDEX($AJ$2:$AJ$1001,MATCH(ROWS($AH$2:AH148),$AH$2:$AH$1001,0),0), INDEX($AO$1004:$BQ$1004,1,MATCH(COLUMNS($AO$1006:BA1006),$AO$1006:$BQ$1006,0)))),"Fix")))</f>
        <v>#N/A</v>
      </c>
      <c r="O148" s="5" t="e">
        <f ca="1">IF(OR(INDEX($AI$2:$AI$1001,MATCH(ROWS($AH$2:AH148),$AH$2:$AH$1001,0),1)&gt;=100000,INDEX($AO$1005:$BQ$1005,1,MATCH(COLUMNS($AO$1006:BB1006),$AO$1006:$BQ$1006,0))&gt;=100000), " ",IF(INDEX($AO$2:$BQ$1001,MATCH(ROWS($AH$2:AH148),$AH$2:$AH$1001,0),MATCH(COLUMNS($AO$1006:BB1006),$AO$1006:$BQ$1006,0)), HYPERLINK("#",""), HYPERLINK(CONCATENATE("#Metadata!", ADDRESS(INDEX($AJ$2:$AJ$1001,MATCH(ROWS($AH$2:AH148),$AH$2:$AH$1001,0),0), INDEX($AO$1004:$BQ$1004,1,MATCH(COLUMNS($AO$1006:BB1006),$AO$1006:$BQ$1006,0)))),"Fix")))</f>
        <v>#N/A</v>
      </c>
      <c r="P148" s="5" t="e">
        <f ca="1">IF(OR(INDEX($AI$2:$AI$1001,MATCH(ROWS($AH$2:AH148),$AH$2:$AH$1001,0),1)&gt;=100000,INDEX($AO$1005:$BQ$1005,1,MATCH(COLUMNS($AO$1006:BC1006),$AO$1006:$BQ$1006,0))&gt;=100000), " ",IF(INDEX($AO$2:$BQ$1001,MATCH(ROWS($AH$2:AH148),$AH$2:$AH$1001,0),MATCH(COLUMNS($AO$1006:BC1006),$AO$1006:$BQ$1006,0)), HYPERLINK("#",""), HYPERLINK(CONCATENATE("#Metadata!", ADDRESS(INDEX($AJ$2:$AJ$1001,MATCH(ROWS($AH$2:AH148),$AH$2:$AH$1001,0),0), INDEX($AO$1004:$BQ$1004,1,MATCH(COLUMNS($AO$1006:BC1006),$AO$1006:$BQ$1006,0)))),"Fix")))</f>
        <v>#N/A</v>
      </c>
      <c r="Q148" s="5" t="e">
        <f ca="1">IF(OR(INDEX($AI$2:$AI$1001,MATCH(ROWS($AH$2:AH148),$AH$2:$AH$1001,0),1)&gt;=100000,INDEX($AO$1005:$BQ$1005,1,MATCH(COLUMNS($AO$1006:BD1006),$AO$1006:$BQ$1006,0))&gt;=100000), " ",IF(INDEX($AO$2:$BQ$1001,MATCH(ROWS($AH$2:AH148),$AH$2:$AH$1001,0),MATCH(COLUMNS($AO$1006:BD1006),$AO$1006:$BQ$1006,0)), HYPERLINK("#",""), HYPERLINK(CONCATENATE("#Metadata!", ADDRESS(INDEX($AJ$2:$AJ$1001,MATCH(ROWS($AH$2:AH148),$AH$2:$AH$1001,0),0), INDEX($AO$1004:$BQ$1004,1,MATCH(COLUMNS($AO$1006:BD1006),$AO$1006:$BQ$1006,0)))),"Fix")))</f>
        <v>#N/A</v>
      </c>
      <c r="R148" s="5" t="e">
        <f ca="1">IF(OR(INDEX($AI$2:$AI$1001,MATCH(ROWS($AH$2:AH148),$AH$2:$AH$1001,0),1)&gt;=100000,INDEX($AO$1005:$BQ$1005,1,MATCH(COLUMNS($AO$1006:BE1006),$AO$1006:$BQ$1006,0))&gt;=100000), " ",IF(INDEX($AO$2:$BQ$1001,MATCH(ROWS($AH$2:AH148),$AH$2:$AH$1001,0),MATCH(COLUMNS($AO$1006:BE1006),$AO$1006:$BQ$1006,0)), HYPERLINK("#",""), HYPERLINK(CONCATENATE("#Metadata!", ADDRESS(INDEX($AJ$2:$AJ$1001,MATCH(ROWS($AH$2:AH148),$AH$2:$AH$1001,0),0), INDEX($AO$1004:$BQ$1004,1,MATCH(COLUMNS($AO$1006:BE1006),$AO$1006:$BQ$1006,0)))),"Fix")))</f>
        <v>#N/A</v>
      </c>
      <c r="S148" s="5" t="e">
        <f ca="1">IF(OR(INDEX($AI$2:$AI$1001,MATCH(ROWS($AH$2:AH148),$AH$2:$AH$1001,0),1)&gt;=100000,INDEX($AO$1005:$BQ$1005,1,MATCH(COLUMNS($AO$1006:BF1006),$AO$1006:$BQ$1006,0))&gt;=100000), " ",IF(INDEX($AO$2:$BQ$1001,MATCH(ROWS($AH$2:AH148),$AH$2:$AH$1001,0),MATCH(COLUMNS($AO$1006:BF1006),$AO$1006:$BQ$1006,0)), HYPERLINK("#",""), HYPERLINK(CONCATENATE("#Metadata!", ADDRESS(INDEX($AJ$2:$AJ$1001,MATCH(ROWS($AH$2:AH148),$AH$2:$AH$1001,0),0), INDEX($AO$1004:$BQ$1004,1,MATCH(COLUMNS($AO$1006:BF1006),$AO$1006:$BQ$1006,0)))),"Fix")))</f>
        <v>#N/A</v>
      </c>
      <c r="T148" s="5" t="e">
        <f ca="1">IF(OR(INDEX($AI$2:$AI$1001,MATCH(ROWS($AH$2:AH148),$AH$2:$AH$1001,0),1)&gt;=100000,INDEX($AO$1005:$BQ$1005,1,MATCH(COLUMNS($AO$1006:BG1006),$AO$1006:$BQ$1006,0))&gt;=100000), " ",IF(INDEX($AO$2:$BQ$1001,MATCH(ROWS($AH$2:AH148),$AH$2:$AH$1001,0),MATCH(COLUMNS($AO$1006:BG1006),$AO$1006:$BQ$1006,0)), HYPERLINK("#",""), HYPERLINK(CONCATENATE("#Metadata!", ADDRESS(INDEX($AJ$2:$AJ$1001,MATCH(ROWS($AH$2:AH148),$AH$2:$AH$1001,0),0), INDEX($AO$1004:$BQ$1004,1,MATCH(COLUMNS($AO$1006:BG1006),$AO$1006:$BQ$1006,0)))),"Fix")))</f>
        <v>#N/A</v>
      </c>
      <c r="U148" s="5" t="e">
        <f ca="1">IF(OR(INDEX($AI$2:$AI$1001,MATCH(ROWS($AH$2:AH148),$AH$2:$AH$1001,0),1)&gt;=100000,INDEX($AO$1005:$BQ$1005,1,MATCH(COLUMNS($AO$1006:BH1006),$AO$1006:$BQ$1006,0))&gt;=100000), " ",IF(INDEX($AO$2:$BQ$1001,MATCH(ROWS($AH$2:AH148),$AH$2:$AH$1001,0),MATCH(COLUMNS($AO$1006:BH1006),$AO$1006:$BQ$1006,0)), HYPERLINK("#",""), HYPERLINK(CONCATENATE("#Metadata!", ADDRESS(INDEX($AJ$2:$AJ$1001,MATCH(ROWS($AH$2:AH148),$AH$2:$AH$1001,0),0), INDEX($AO$1004:$BQ$1004,1,MATCH(COLUMNS($AO$1006:BH1006),$AO$1006:$BQ$1006,0)))),"Fix")))</f>
        <v>#N/A</v>
      </c>
      <c r="V148" s="5" t="e">
        <f ca="1">IF(OR(INDEX($AI$2:$AI$1001,MATCH(ROWS($AH$2:AH148),$AH$2:$AH$1001,0),1)&gt;=100000,INDEX($AO$1005:$BQ$1005,1,MATCH(COLUMNS($AO$1006:BI1006),$AO$1006:$BQ$1006,0))&gt;=100000), " ",IF(INDEX($AO$2:$BQ$1001,MATCH(ROWS($AH$2:AH148),$AH$2:$AH$1001,0),MATCH(COLUMNS($AO$1006:BI1006),$AO$1006:$BQ$1006,0)), HYPERLINK("#",""), HYPERLINK(CONCATENATE("#Metadata!", ADDRESS(INDEX($AJ$2:$AJ$1001,MATCH(ROWS($AH$2:AH148),$AH$2:$AH$1001,0),0), INDEX($AO$1004:$BQ$1004,1,MATCH(COLUMNS($AO$1006:BI1006),$AO$1006:$BQ$1006,0)))),"Fix")))</f>
        <v>#N/A</v>
      </c>
      <c r="W148" s="5" t="e">
        <f ca="1">IF(OR(INDEX($AI$2:$AI$1001,MATCH(ROWS($AH$2:AH148),$AH$2:$AH$1001,0),1)&gt;=100000,INDEX($AO$1005:$BQ$1005,1,MATCH(COLUMNS($AO$1006:BJ1006),$AO$1006:$BQ$1006,0))&gt;=100000), " ",IF(INDEX($AO$2:$BQ$1001,MATCH(ROWS($AH$2:AH148),$AH$2:$AH$1001,0),MATCH(COLUMNS($AO$1006:BJ1006),$AO$1006:$BQ$1006,0)), HYPERLINK("#",""), HYPERLINK(CONCATENATE("#Metadata!", ADDRESS(INDEX($AJ$2:$AJ$1001,MATCH(ROWS($AH$2:AH148),$AH$2:$AH$1001,0),0), INDEX($AO$1004:$BQ$1004,1,MATCH(COLUMNS($AO$1006:BJ1006),$AO$1006:$BQ$1006,0)))),"Fix")))</f>
        <v>#N/A</v>
      </c>
      <c r="X148" s="5" t="e">
        <f ca="1">IF(OR(INDEX($AI$2:$AI$1001,MATCH(ROWS($AH$2:AH148),$AH$2:$AH$1001,0),1)&gt;=100000,INDEX($AO$1005:$BQ$1005,1,MATCH(COLUMNS($AO$1006:BK1006),$AO$1006:$BQ$1006,0))&gt;=100000), " ",IF(INDEX($AO$2:$BQ$1001,MATCH(ROWS($AH$2:AH148),$AH$2:$AH$1001,0),MATCH(COLUMNS($AO$1006:BK1006),$AO$1006:$BQ$1006,0)), HYPERLINK("#",""), HYPERLINK(CONCATENATE("#Metadata!", ADDRESS(INDEX($AJ$2:$AJ$1001,MATCH(ROWS($AH$2:AH148),$AH$2:$AH$1001,0),0), INDEX($AO$1004:$BQ$1004,1,MATCH(COLUMNS($AO$1006:BK1006),$AO$1006:$BQ$1006,0)))),"Fix")))</f>
        <v>#N/A</v>
      </c>
      <c r="Y148" s="5" t="e">
        <f ca="1">IF(OR(INDEX($AI$2:$AI$1001,MATCH(ROWS($AH$2:AH148),$AH$2:$AH$1001,0),1)&gt;=100000,INDEX($AO$1005:$BQ$1005,1,MATCH(COLUMNS($AO$1006:BL1006),$AO$1006:$BQ$1006,0))&gt;=100000), " ",IF(INDEX($AO$2:$BQ$1001,MATCH(ROWS($AH$2:AH148),$AH$2:$AH$1001,0),MATCH(COLUMNS($AO$1006:BL1006),$AO$1006:$BQ$1006,0)), HYPERLINK("#",""), HYPERLINK(CONCATENATE("#Metadata!", ADDRESS(INDEX($AJ$2:$AJ$1001,MATCH(ROWS($AH$2:AH148),$AH$2:$AH$1001,0),0), INDEX($AO$1004:$BQ$1004,1,MATCH(COLUMNS($AO$1006:BL1006),$AO$1006:$BQ$1006,0)))),"Fix")))</f>
        <v>#N/A</v>
      </c>
      <c r="Z148" s="5" t="e">
        <f ca="1">IF(OR(INDEX($AI$2:$AI$1001,MATCH(ROWS($AH$2:AH148),$AH$2:$AH$1001,0),1)&gt;=100000,INDEX($AO$1005:$BQ$1005,1,MATCH(COLUMNS($AO$1006:BM1006),$AO$1006:$BQ$1006,0))&gt;=100000), " ",IF(INDEX($AO$2:$BQ$1001,MATCH(ROWS($AH$2:AH148),$AH$2:$AH$1001,0),MATCH(COLUMNS($AO$1006:BM1006),$AO$1006:$BQ$1006,0)), HYPERLINK("#",""), HYPERLINK(CONCATENATE("#Metadata!", ADDRESS(INDEX($AJ$2:$AJ$1001,MATCH(ROWS($AH$2:AH148),$AH$2:$AH$1001,0),0), INDEX($AO$1004:$BQ$1004,1,MATCH(COLUMNS($AO$1006:BM1006),$AO$1006:$BQ$1006,0)))),"Fix")))</f>
        <v>#N/A</v>
      </c>
      <c r="AA148" s="5" t="e">
        <f ca="1">IF(OR(INDEX($AI$2:$AI$1001,MATCH(ROWS($AH$2:AH148),$AH$2:$AH$1001,0),1)&gt;=100000,INDEX($AO$1005:$BQ$1005,1,MATCH(COLUMNS($AO$1006:BN1006),$AO$1006:$BQ$1006,0))&gt;=100000), " ",IF(INDEX($AO$2:$BQ$1001,MATCH(ROWS($AH$2:AH148),$AH$2:$AH$1001,0),MATCH(COLUMNS($AO$1006:BN1006),$AO$1006:$BQ$1006,0)), HYPERLINK("#",""), HYPERLINK(CONCATENATE("#Metadata!", ADDRESS(INDEX($AJ$2:$AJ$1001,MATCH(ROWS($AH$2:AH148),$AH$2:$AH$1001,0),0), INDEX($AO$1004:$BQ$1004,1,MATCH(COLUMNS($AO$1006:BN1006),$AO$1006:$BQ$1006,0)))),"Fix")))</f>
        <v>#N/A</v>
      </c>
      <c r="AB148" s="5" t="e">
        <f ca="1">IF(OR(INDEX($AI$2:$AI$1001,MATCH(ROWS($AH$2:AH148),$AH$2:$AH$1001,0),1)&gt;=100000,INDEX($AO$1005:$BQ$1005,1,MATCH(COLUMNS($AO$1006:BO1006),$AO$1006:$BQ$1006,0))&gt;=100000), " ",IF(INDEX($AO$2:$BQ$1001,MATCH(ROWS($AH$2:AH148),$AH$2:$AH$1001,0),MATCH(COLUMNS($AO$1006:BO1006),$AO$1006:$BQ$1006,0)), HYPERLINK("#",""), HYPERLINK(CONCATENATE("#Metadata!", ADDRESS(INDEX($AJ$2:$AJ$1001,MATCH(ROWS($AH$2:AH148),$AH$2:$AH$1001,0),0), INDEX($AO$1004:$BQ$1004,1,MATCH(COLUMNS($AO$1006:BO1006),$AO$1006:$BQ$1006,0)))),"Fix")))</f>
        <v>#N/A</v>
      </c>
      <c r="AC148" s="5" t="e">
        <f ca="1">IF(OR(INDEX($AI$2:$AI$1001,MATCH(ROWS($AH$2:AH148),$AH$2:$AH$1001,0),1)&gt;=100000,INDEX($AO$1005:$BQ$1005,1,MATCH(COLUMNS($AO$1006:BP1006),$AO$1006:$BQ$1006,0))&gt;=100000), " ",IF(INDEX($AO$2:$BQ$1001,MATCH(ROWS($AH$2:AH148),$AH$2:$AH$1001,0),MATCH(COLUMNS($AO$1006:BP1006),$AO$1006:$BQ$1006,0)), HYPERLINK("#",""), HYPERLINK(CONCATENATE("#Metadata!", ADDRESS(INDEX($AJ$2:$AJ$1001,MATCH(ROWS($AH$2:AH148),$AH$2:$AH$1001,0),0), INDEX($AO$1004:$BQ$1004,1,MATCH(COLUMNS($AO$1006:BP1006),$AO$1006:$BQ$1006,0)))),"Fix")))</f>
        <v>#N/A</v>
      </c>
      <c r="AD148" s="5" t="e">
        <f ca="1">IF(OR(INDEX($AI$2:$AI$1001,MATCH(ROWS($AH$2:AH148),$AH$2:$AH$1001,0),1)&gt;=100000,INDEX($AO$1005:$BQ$1005,1,MATCH(COLUMNS($AO$1006:BQ1006),$AO$1006:$BQ$1006,0))&gt;=100000), " ",IF(INDEX($AO$2:$BQ$1001,MATCH(ROWS($AH$2:AH148),$AH$2:$AH$1001,0),MATCH(COLUMNS($AO$1006:BQ1006),$AO$1006:$BQ$1006,0)), HYPERLINK("#",""), HYPERLINK(CONCATENATE("#Metadata!", ADDRESS(INDEX($AJ$2:$AJ$1001,MATCH(ROWS($AH$2:AH148),$AH$2:$AH$1001,0),0), INDEX($AO$1004:$BQ$1004,1,MATCH(COLUMNS($AO$1006:BQ1006),$AO$1006:$BQ$1006,0)))),"Fix")))</f>
        <v>#REF!</v>
      </c>
      <c r="AH148">
        <f ca="1"/>
        <v>145</v>
      </c>
      <c r="AI148">
        <v>100148</v>
      </c>
      <c r="AJ148">
        <v>148</v>
      </c>
      <c r="AK148" t="b">
        <f t="shared" si="2"/>
        <v>1</v>
      </c>
      <c r="AL148" t="b">
        <f>COUNTBLANK(Metadata!B148:AD148)=COLUMNS(Metadata!B148:AD148)</f>
        <v>1</v>
      </c>
      <c r="AM148" t="str">
        <v/>
      </c>
      <c r="AO148" t="b">
        <f ca="1">AND(IF(Metadata!B148="",FALSE,TRUE),COUNTIF(Metadata!B:B, Metadata!B148) = 1,NOT(ISERROR(SUMPRODUCT(SEARCH(MID(Metadata!B148,ROW(INDIRECT("1:"&amp;LEN(Metadata!B148))), 1),"0123456789abcdefghijklmnopqrstuvwxyzABCDEFGHIJKLMNOPQRSTUVWXYZ.")))))</f>
        <v>0</v>
      </c>
      <c r="AP148" t="b">
        <f>IF(Metadata!C148="",FALSE,TRUE)</f>
        <v>0</v>
      </c>
      <c r="AQ148" t="b">
        <f>IF(Metadata!D148="",FALSE,TRUE)</f>
        <v>0</v>
      </c>
      <c r="AR148" t="b">
        <f ca="1">OR(AND(IF(Metadata!E148="",FALSE,TRUE),OR(EXACT(Metadata!E148,"not collected"),EXACT(Metadata!E148,"not provided"),EXACT(Metadata!E148,"restricted access"))),AND(IF(Metadata!E148="",FALSE,TRUE),AND(AND(IFERROR(INT(LEFT(Metadata!E148,4))&gt;1900,FALSE),IFERROR(INT(LEFT(Metadata!E148,4))&lt;=YEAR(NOW()),FALSE)), OR(MID(Metadata!E148,5,1)="", AND(AND(MID(Metadata!E148,5,1)="-",IFERROR(INT(MID(Metadata!E148,6,1))&gt;=0,FALSE),IFERROR(INT(MID(Metadata!E148,6,1))&lt;=1,FALSE),NOT(MID(Metadata!E148,7,1)=""),IFERROR(INT(MID(Metadata!E148,6,2))&gt;=1,FALSE),IFERROR(INT(MID(Metadata!E148,6,2))&lt;=12,FALSE)), OR(MID(Metadata!E148,8,1)="", AND(AND(MID(Metadata!E148,8,1)="-",IFERROR(INT(MID(Metadata!E148,9,1))&gt;=0,FALSE),IFERROR(INT(MID(Metadata!E148,9,1))&lt;=3,FALSE),NOT(MID(Metadata!E148,10,1)=""),IFERROR(INT(MID(Metadata!E148,9,2))&gt;=1,FALSE),IFERROR(INT(MID(Metadata!E148,9,2))&lt;=31,FALSE)), OR(MID(Metadata!E148,11,1)="", AND(AND(MID(Metadata!E148,11,1)=" ",IFERROR(INT(MID(Metadata!E148,12,1))&gt;=0,FALSE),IFERROR(INT(MID(Metadata!E148,12,1))&lt;=2,FALSE),NOT(MID(Metadata!E148,13,1)=""),IFERROR(INT(MID(Metadata!E148,12,2))&gt;=0,FALSE),IFERROR(INT(MID(Metadata!E148,12,2))&lt;=23,FALSE)), OR(MID(Metadata!E148,14,1)="", AND(AND(MID(Metadata!E148,14,1)=":",IFERROR(INT(MID(Metadata!E148,15,1))&gt;=0,FALSE),IFERROR(INT(MID(Metadata!E148,15,1))&lt;=5,FALSE),NOT(MID(Metadata!E148,16,1)=""),IFERROR(INT(MID(Metadata!E148,15,2))&gt;=0,FALSE),IFERROR(INT(MID(Metadata!E148,15,2))&lt;=59,FALSE)), OR(MID(Metadata!E148,17,1)="", AND(AND(MID(Metadata!E148,17,1)=":",IFERROR(INT(MID(Metadata!E148,18,1))&gt;=0,FALSE),IFERROR(INT(MID(Metadata!E148,18,1))&lt;=5,FALSE),NOT(MID(Metadata!E148,19,1)=""),IFERROR(INT(MID(Metadata!E148,18,2))&gt;=0,FALSE),IFERROR(INT(MID(Metadata!E148,18,2))&lt;=59,FALSE)), LEN(Metadata!E148)&lt;=19)))))))))))))</f>
        <v>0</v>
      </c>
      <c r="AS148" t="b">
        <f>IF(Metadata!F148="",FALSE,TRUE)</f>
        <v>0</v>
      </c>
      <c r="AT148" t="b">
        <f>OR(AND(IF(Metadata!G148="",FALSE,TRUE),OR(EXACT(Metadata!G148,"not collected"),EXACT(Metadata!G148,"not provided"))),AND(IF(Metadata!G148="",FALSE,TRUE),OR(EXACT(Metadata!G148,"TRUE"),EXACT(Metadata!G148,"FALSE"))))</f>
        <v>0</v>
      </c>
      <c r="AU148" t="b">
        <f>OR(AND(IF(Metadata!H148="",FALSE,TRUE),OR(EXACT(Metadata!H148,"not collected"),EXACT(Metadata!H148,"not provided"),EXACT(Metadata!H148,"restricted access"))),AND(IF(Metadata!H148="",FALSE,ISNUMBER(VALUE(Metadata!H148))),Metadata!H148&gt;=-413))</f>
        <v>0</v>
      </c>
      <c r="AV148" t="b">
        <f>AND(IF(Metadata!I148="",FALSE,TRUE),EXACT(Metadata!I148,"meters"))</f>
        <v>0</v>
      </c>
      <c r="AW148" t="b">
        <f>AND(IF(Metadata!J148="",FALSE,TRUE),EXACT(Metadata!J148,"free-living"))</f>
        <v>0</v>
      </c>
      <c r="AX148" t="b">
        <f>AND(IF(Metadata!K148="",FALSE,TRUE),OR(EXACT(Metadata!K148,"saline"),EXACT(Metadata!K148,"non-saline")))</f>
        <v>0</v>
      </c>
      <c r="AY148" t="b">
        <f>AND(IF(Metadata!L148="",FALSE,TRUE),OR(EXACT(Metadata!L148,"sub-surface (non-saline)"),EXACT(Metadata!L148,"surface (non-saline)"),EXACT(Metadata!L148,"water (non-saline)"),EXACT(Metadata!L148,"soil (non-saline)"),EXACT(Metadata!L148,"aerosol (non-saline)"),EXACT(Metadata!L148,"sediment (non-saline)"),EXACT(Metadata!L148,"surface (saline)"),EXACT(Metadata!L148,"water (saline)"),EXACT(Metadata!L148,"hypersaline (saline)"),EXACT(Metadata!L148,"aerosol (saline)"),EXACT(Metadata!L148,"sediment (saline)")))</f>
        <v>0</v>
      </c>
      <c r="AZ148" t="b">
        <f>IF(Metadata!M148="",FALSE,TRUE)</f>
        <v>0</v>
      </c>
      <c r="BA148" t="b">
        <f>IF(Metadata!N148="",FALSE,TRUE)</f>
        <v>0</v>
      </c>
      <c r="BB148" t="b">
        <f>IF(Metadata!O148="",FALSE,TRUE)</f>
        <v>0</v>
      </c>
      <c r="BC148" t="b">
        <f>AND(IF(Metadata!P148="",FALSE,TRUE),OR(EXACT(Metadata!P148,"air"),EXACT(Metadata!P148,"microbial mat/biofilm"),EXACT(Metadata!P148,"misc environment"),EXACT(Metadata!P148,"sediment"),EXACT(Metadata!P148,"soil"),EXACT(Metadata!P148,"wastewater/sludge"),EXACT(Metadata!P148,"water")))</f>
        <v>0</v>
      </c>
      <c r="BD148" t="b">
        <f>IF(Metadata!Q148="",FALSE,TRUE)</f>
        <v>0</v>
      </c>
      <c r="BE148" t="b">
        <f>IF(Metadata!R148="",FALSE,TRUE)</f>
        <v>0</v>
      </c>
      <c r="BF148" t="b">
        <f>OR(AND(IF(Metadata!S148="",FALSE,TRUE),OR(EXACT(Metadata!S148,"not collected"),EXACT(Metadata!S148,"not provided"),EXACT(Metadata!S148,"restricted access"))),AND(IF(Metadata!S148="",FALSE,ISNUMBER(VALUE(Metadata!S148))),Metadata!S148&gt;=-90,Metadata!S148&lt;=90))</f>
        <v>0</v>
      </c>
      <c r="BG148" t="b">
        <f>AND(IF(Metadata!T148="",FALSE,TRUE),EXACT(Metadata!T148,"Decimal degrees"))</f>
        <v>0</v>
      </c>
      <c r="BH148" t="b">
        <f>OR(AND(IF(Metadata!U148="",FALSE,TRUE),OR(EXACT(Metadata!U148,"not applicable"),EXACT(Metadata!U148,"not collected"))),IF(Metadata!U148="",FALSE,TRUE))</f>
        <v>0</v>
      </c>
      <c r="BI148" t="b">
        <f>OR(AND(IF(Metadata!V148="",FALSE,TRUE),OR(EXACT(Metadata!V148,"not collected"),EXACT(Metadata!V148,"not provided"),EXACT(Metadata!V148,"restricted access"))),AND(IF(Metadata!V148="",FALSE,ISNUMBER(VALUE(Metadata!V148))),Metadata!V148&gt;=-180,Metadata!V148&lt;=180))</f>
        <v>0</v>
      </c>
      <c r="BJ148" t="b">
        <f>AND(IF(Metadata!W148="",FALSE,TRUE),EXACT(Metadata!W148,"Decimal degrees"))</f>
        <v>0</v>
      </c>
      <c r="BK148" t="b">
        <f>IF(Metadata!X148="",FALSE,TRUE)</f>
        <v>0</v>
      </c>
      <c r="BL148" t="b">
        <f>OR(AND(IF(Metadata!Y148="",FALSE,TRUE),OR(EXACT(Metadata!Y148,"not collected"),EXACT(Metadata!Y148,"not provided"),EXACT(Metadata!Y148,"restricted access"))),AND(IF(Metadata!Y148="",FALSE,TRUE),OR(EXACT(Metadata!Y148,"TRUE"),EXACT(Metadata!Y148,"FALSE"))))</f>
        <v>0</v>
      </c>
      <c r="BM148" t="b">
        <f>OR(AND(IF(Metadata!Z148="",FALSE,TRUE),EXACT(Metadata!Z148,"not applicable")),AND(IF(Metadata!Z148="",FALSE,TRUE),OR(EXACT(Metadata!Z148,"beer"),EXACT(Metadata!Z148,"cheese"),EXACT(Metadata!Z148,"fresh water"),EXACT(Metadata!Z148,"marine sediment"),EXACT(Metadata!Z148,"sea water"),EXACT(Metadata!Z148,"sediment"),EXACT(Metadata!Z148,"soil"),EXACT(Metadata!Z148,"waste water"))))</f>
        <v>0</v>
      </c>
      <c r="BN148" t="b">
        <f>AND(IF(Metadata!AA148="",FALSE,TRUE),EXACT(Metadata!AA148,"metagenome"))</f>
        <v>0</v>
      </c>
      <c r="BO148" t="b">
        <f>AND(IF(Metadata!AB148="",FALSE,TRUE),EXACT(Metadata!AB148,"256318"))</f>
        <v>0</v>
      </c>
      <c r="BP148" t="b">
        <f>IF(Metadata!AC148="",FALSE,TRUE)</f>
        <v>0</v>
      </c>
      <c r="BQ148" t="b">
        <f>IF(Metadata!AD148="",FALSE,TRUE)</f>
        <v>0</v>
      </c>
    </row>
    <row r="149" spans="1:69" x14ac:dyDescent="0.2">
      <c r="A149" s="4" t="e">
        <f ca="1">IF(B149=" "," ",HYPERLINK(CONCATENATE("#metadata!",ADDRESS(INDEX($AJ$2:$AJ$1001,MATCH(ROWS($AH$2:AH149),$AH$2:$AH$1001,0),0),2)),INDEX($AM$2:$AM$1001,MATCH(ROWS($AH$2:AH149),$AH$2:$AH$1001,0),0)))</f>
        <v>#N/A</v>
      </c>
      <c r="B149" s="5" t="e">
        <f ca="1">IF(OR(INDEX($AI$2:$AI$1001,MATCH(ROWS($AH$2:AH149),$AH$2:$AH$1001,0),1)&gt;=100000,INDEX($AO$1005:$BQ$1005,1,MATCH(COLUMNS($AO$1006:AO1006),$AO$1006:$BQ$1006,0))&gt;=100000), " ",IF(INDEX($AO$2:$BQ$1001,MATCH(ROWS($AH$2:AH149),$AH$2:$AH$1001,0),MATCH(COLUMNS($AO$1006:AO1006),$AO$1006:$BQ$1006,0)), HYPERLINK("#",""), HYPERLINK(CONCATENATE("#Metadata!", ADDRESS(INDEX($AJ$2:$AJ$1001,MATCH(ROWS($AH$2:AH149),$AH$2:$AH$1001,0),0), INDEX($AO$1004:$BQ$1004,1,MATCH(COLUMNS($AO$1006:AO1006),$AO$1006:$BQ$1006,0)))),"Fix")))</f>
        <v>#N/A</v>
      </c>
      <c r="C149" s="5" t="e">
        <f ca="1">IF(OR(INDEX($AI$2:$AI$1001,MATCH(ROWS($AH$2:AH149),$AH$2:$AH$1001,0),1)&gt;=100000,INDEX($AO$1005:$BQ$1005,1,MATCH(COLUMNS($AO$1006:AP1006),$AO$1006:$BQ$1006,0))&gt;=100000), " ",IF(INDEX($AO$2:$BQ$1001,MATCH(ROWS($AH$2:AH149),$AH$2:$AH$1001,0),MATCH(COLUMNS($AO$1006:AP1006),$AO$1006:$BQ$1006,0)), HYPERLINK("#",""), HYPERLINK(CONCATENATE("#Metadata!", ADDRESS(INDEX($AJ$2:$AJ$1001,MATCH(ROWS($AH$2:AH149),$AH$2:$AH$1001,0),0), INDEX($AO$1004:$BQ$1004,1,MATCH(COLUMNS($AO$1006:AP1006),$AO$1006:$BQ$1006,0)))),"Fix")))</f>
        <v>#N/A</v>
      </c>
      <c r="D149" s="5" t="e">
        <f ca="1">IF(OR(INDEX($AI$2:$AI$1001,MATCH(ROWS($AH$2:AH149),$AH$2:$AH$1001,0),1)&gt;=100000,INDEX($AO$1005:$BQ$1005,1,MATCH(COLUMNS($AO$1006:AQ1006),$AO$1006:$BQ$1006,0))&gt;=100000), " ",IF(INDEX($AO$2:$BQ$1001,MATCH(ROWS($AH$2:AH149),$AH$2:$AH$1001,0),MATCH(COLUMNS($AO$1006:AQ1006),$AO$1006:$BQ$1006,0)), HYPERLINK("#",""), HYPERLINK(CONCATENATE("#Metadata!", ADDRESS(INDEX($AJ$2:$AJ$1001,MATCH(ROWS($AH$2:AH149),$AH$2:$AH$1001,0),0), INDEX($AO$1004:$BQ$1004,1,MATCH(COLUMNS($AO$1006:AQ1006),$AO$1006:$BQ$1006,0)))),"Fix")))</f>
        <v>#N/A</v>
      </c>
      <c r="E149" s="5" t="e">
        <f ca="1">IF(OR(INDEX($AI$2:$AI$1001,MATCH(ROWS($AH$2:AH149),$AH$2:$AH$1001,0),1)&gt;=100000,INDEX($AO$1005:$BQ$1005,1,MATCH(COLUMNS($AO$1006:AR1006),$AO$1006:$BQ$1006,0))&gt;=100000), " ",IF(INDEX($AO$2:$BQ$1001,MATCH(ROWS($AH$2:AH149),$AH$2:$AH$1001,0),MATCH(COLUMNS($AO$1006:AR1006),$AO$1006:$BQ$1006,0)), HYPERLINK("#",""), HYPERLINK(CONCATENATE("#Metadata!", ADDRESS(INDEX($AJ$2:$AJ$1001,MATCH(ROWS($AH$2:AH149),$AH$2:$AH$1001,0),0), INDEX($AO$1004:$BQ$1004,1,MATCH(COLUMNS($AO$1006:AR1006),$AO$1006:$BQ$1006,0)))),"Fix")))</f>
        <v>#N/A</v>
      </c>
      <c r="F149" s="5" t="e">
        <f ca="1">IF(OR(INDEX($AI$2:$AI$1001,MATCH(ROWS($AH$2:AH149),$AH$2:$AH$1001,0),1)&gt;=100000,INDEX($AO$1005:$BQ$1005,1,MATCH(COLUMNS($AO$1006:AS1006),$AO$1006:$BQ$1006,0))&gt;=100000), " ",IF(INDEX($AO$2:$BQ$1001,MATCH(ROWS($AH$2:AH149),$AH$2:$AH$1001,0),MATCH(COLUMNS($AO$1006:AS1006),$AO$1006:$BQ$1006,0)), HYPERLINK("#",""), HYPERLINK(CONCATENATE("#Metadata!", ADDRESS(INDEX($AJ$2:$AJ$1001,MATCH(ROWS($AH$2:AH149),$AH$2:$AH$1001,0),0), INDEX($AO$1004:$BQ$1004,1,MATCH(COLUMNS($AO$1006:AS1006),$AO$1006:$BQ$1006,0)))),"Fix")))</f>
        <v>#N/A</v>
      </c>
      <c r="G149" s="5" t="e">
        <f ca="1">IF(OR(INDEX($AI$2:$AI$1001,MATCH(ROWS($AH$2:AH149),$AH$2:$AH$1001,0),1)&gt;=100000,INDEX($AO$1005:$BQ$1005,1,MATCH(COLUMNS($AO$1006:AT1006),$AO$1006:$BQ$1006,0))&gt;=100000), " ",IF(INDEX($AO$2:$BQ$1001,MATCH(ROWS($AH$2:AH149),$AH$2:$AH$1001,0),MATCH(COLUMNS($AO$1006:AT1006),$AO$1006:$BQ$1006,0)), HYPERLINK("#",""), HYPERLINK(CONCATENATE("#Metadata!", ADDRESS(INDEX($AJ$2:$AJ$1001,MATCH(ROWS($AH$2:AH149),$AH$2:$AH$1001,0),0), INDEX($AO$1004:$BQ$1004,1,MATCH(COLUMNS($AO$1006:AT1006),$AO$1006:$BQ$1006,0)))),"Fix")))</f>
        <v>#N/A</v>
      </c>
      <c r="H149" s="5" t="e">
        <f ca="1">IF(OR(INDEX($AI$2:$AI$1001,MATCH(ROWS($AH$2:AH149),$AH$2:$AH$1001,0),1)&gt;=100000,INDEX($AO$1005:$BQ$1005,1,MATCH(COLUMNS($AO$1006:AU1006),$AO$1006:$BQ$1006,0))&gt;=100000), " ",IF(INDEX($AO$2:$BQ$1001,MATCH(ROWS($AH$2:AH149),$AH$2:$AH$1001,0),MATCH(COLUMNS($AO$1006:AU1006),$AO$1006:$BQ$1006,0)), HYPERLINK("#",""), HYPERLINK(CONCATENATE("#Metadata!", ADDRESS(INDEX($AJ$2:$AJ$1001,MATCH(ROWS($AH$2:AH149),$AH$2:$AH$1001,0),0), INDEX($AO$1004:$BQ$1004,1,MATCH(COLUMNS($AO$1006:AU1006),$AO$1006:$BQ$1006,0)))),"Fix")))</f>
        <v>#N/A</v>
      </c>
      <c r="I149" s="5" t="e">
        <f ca="1">IF(OR(INDEX($AI$2:$AI$1001,MATCH(ROWS($AH$2:AH149),$AH$2:$AH$1001,0),1)&gt;=100000,INDEX($AO$1005:$BQ$1005,1,MATCH(COLUMNS($AO$1006:AV1006),$AO$1006:$BQ$1006,0))&gt;=100000), " ",IF(INDEX($AO$2:$BQ$1001,MATCH(ROWS($AH$2:AH149),$AH$2:$AH$1001,0),MATCH(COLUMNS($AO$1006:AV1006),$AO$1006:$BQ$1006,0)), HYPERLINK("#",""), HYPERLINK(CONCATENATE("#Metadata!", ADDRESS(INDEX($AJ$2:$AJ$1001,MATCH(ROWS($AH$2:AH149),$AH$2:$AH$1001,0),0), INDEX($AO$1004:$BQ$1004,1,MATCH(COLUMNS($AO$1006:AV1006),$AO$1006:$BQ$1006,0)))),"Fix")))</f>
        <v>#N/A</v>
      </c>
      <c r="J149" s="5" t="e">
        <f ca="1">IF(OR(INDEX($AI$2:$AI$1001,MATCH(ROWS($AH$2:AH149),$AH$2:$AH$1001,0),1)&gt;=100000,INDEX($AO$1005:$BQ$1005,1,MATCH(COLUMNS($AO$1006:AW1006),$AO$1006:$BQ$1006,0))&gt;=100000), " ",IF(INDEX($AO$2:$BQ$1001,MATCH(ROWS($AH$2:AH149),$AH$2:$AH$1001,0),MATCH(COLUMNS($AO$1006:AW1006),$AO$1006:$BQ$1006,0)), HYPERLINK("#",""), HYPERLINK(CONCATENATE("#Metadata!", ADDRESS(INDEX($AJ$2:$AJ$1001,MATCH(ROWS($AH$2:AH149),$AH$2:$AH$1001,0),0), INDEX($AO$1004:$BQ$1004,1,MATCH(COLUMNS($AO$1006:AW1006),$AO$1006:$BQ$1006,0)))),"Fix")))</f>
        <v>#N/A</v>
      </c>
      <c r="K149" s="5" t="e">
        <f ca="1">IF(OR(INDEX($AI$2:$AI$1001,MATCH(ROWS($AH$2:AH149),$AH$2:$AH$1001,0),1)&gt;=100000,INDEX($AO$1005:$BQ$1005,1,MATCH(COLUMNS($AO$1006:AX1006),$AO$1006:$BQ$1006,0))&gt;=100000), " ",IF(INDEX($AO$2:$BQ$1001,MATCH(ROWS($AH$2:AH149),$AH$2:$AH$1001,0),MATCH(COLUMNS($AO$1006:AX1006),$AO$1006:$BQ$1006,0)), HYPERLINK("#",""), HYPERLINK(CONCATENATE("#Metadata!", ADDRESS(INDEX($AJ$2:$AJ$1001,MATCH(ROWS($AH$2:AH149),$AH$2:$AH$1001,0),0), INDEX($AO$1004:$BQ$1004,1,MATCH(COLUMNS($AO$1006:AX1006),$AO$1006:$BQ$1006,0)))),"Fix")))</f>
        <v>#N/A</v>
      </c>
      <c r="L149" s="5" t="e">
        <f ca="1">IF(OR(INDEX($AI$2:$AI$1001,MATCH(ROWS($AH$2:AH149),$AH$2:$AH$1001,0),1)&gt;=100000,INDEX($AO$1005:$BQ$1005,1,MATCH(COLUMNS($AO$1006:AY1006),$AO$1006:$BQ$1006,0))&gt;=100000), " ",IF(INDEX($AO$2:$BQ$1001,MATCH(ROWS($AH$2:AH149),$AH$2:$AH$1001,0),MATCH(COLUMNS($AO$1006:AY1006),$AO$1006:$BQ$1006,0)), HYPERLINK("#",""), HYPERLINK(CONCATENATE("#Metadata!", ADDRESS(INDEX($AJ$2:$AJ$1001,MATCH(ROWS($AH$2:AH149),$AH$2:$AH$1001,0),0), INDEX($AO$1004:$BQ$1004,1,MATCH(COLUMNS($AO$1006:AY1006),$AO$1006:$BQ$1006,0)))),"Fix")))</f>
        <v>#N/A</v>
      </c>
      <c r="M149" s="5" t="e">
        <f ca="1">IF(OR(INDEX($AI$2:$AI$1001,MATCH(ROWS($AH$2:AH149),$AH$2:$AH$1001,0),1)&gt;=100000,INDEX($AO$1005:$BQ$1005,1,MATCH(COLUMNS($AO$1006:AZ1006),$AO$1006:$BQ$1006,0))&gt;=100000), " ",IF(INDEX($AO$2:$BQ$1001,MATCH(ROWS($AH$2:AH149),$AH$2:$AH$1001,0),MATCH(COLUMNS($AO$1006:AZ1006),$AO$1006:$BQ$1006,0)), HYPERLINK("#",""), HYPERLINK(CONCATENATE("#Metadata!", ADDRESS(INDEX($AJ$2:$AJ$1001,MATCH(ROWS($AH$2:AH149),$AH$2:$AH$1001,0),0), INDEX($AO$1004:$BQ$1004,1,MATCH(COLUMNS($AO$1006:AZ1006),$AO$1006:$BQ$1006,0)))),"Fix")))</f>
        <v>#N/A</v>
      </c>
      <c r="N149" s="5" t="e">
        <f ca="1">IF(OR(INDEX($AI$2:$AI$1001,MATCH(ROWS($AH$2:AH149),$AH$2:$AH$1001,0),1)&gt;=100000,INDEX($AO$1005:$BQ$1005,1,MATCH(COLUMNS($AO$1006:BA1006),$AO$1006:$BQ$1006,0))&gt;=100000), " ",IF(INDEX($AO$2:$BQ$1001,MATCH(ROWS($AH$2:AH149),$AH$2:$AH$1001,0),MATCH(COLUMNS($AO$1006:BA1006),$AO$1006:$BQ$1006,0)), HYPERLINK("#",""), HYPERLINK(CONCATENATE("#Metadata!", ADDRESS(INDEX($AJ$2:$AJ$1001,MATCH(ROWS($AH$2:AH149),$AH$2:$AH$1001,0),0), INDEX($AO$1004:$BQ$1004,1,MATCH(COLUMNS($AO$1006:BA1006),$AO$1006:$BQ$1006,0)))),"Fix")))</f>
        <v>#N/A</v>
      </c>
      <c r="O149" s="5" t="e">
        <f ca="1">IF(OR(INDEX($AI$2:$AI$1001,MATCH(ROWS($AH$2:AH149),$AH$2:$AH$1001,0),1)&gt;=100000,INDEX($AO$1005:$BQ$1005,1,MATCH(COLUMNS($AO$1006:BB1006),$AO$1006:$BQ$1006,0))&gt;=100000), " ",IF(INDEX($AO$2:$BQ$1001,MATCH(ROWS($AH$2:AH149),$AH$2:$AH$1001,0),MATCH(COLUMNS($AO$1006:BB1006),$AO$1006:$BQ$1006,0)), HYPERLINK("#",""), HYPERLINK(CONCATENATE("#Metadata!", ADDRESS(INDEX($AJ$2:$AJ$1001,MATCH(ROWS($AH$2:AH149),$AH$2:$AH$1001,0),0), INDEX($AO$1004:$BQ$1004,1,MATCH(COLUMNS($AO$1006:BB1006),$AO$1006:$BQ$1006,0)))),"Fix")))</f>
        <v>#N/A</v>
      </c>
      <c r="P149" s="5" t="e">
        <f ca="1">IF(OR(INDEX($AI$2:$AI$1001,MATCH(ROWS($AH$2:AH149),$AH$2:$AH$1001,0),1)&gt;=100000,INDEX($AO$1005:$BQ$1005,1,MATCH(COLUMNS($AO$1006:BC1006),$AO$1006:$BQ$1006,0))&gt;=100000), " ",IF(INDEX($AO$2:$BQ$1001,MATCH(ROWS($AH$2:AH149),$AH$2:$AH$1001,0),MATCH(COLUMNS($AO$1006:BC1006),$AO$1006:$BQ$1006,0)), HYPERLINK("#",""), HYPERLINK(CONCATENATE("#Metadata!", ADDRESS(INDEX($AJ$2:$AJ$1001,MATCH(ROWS($AH$2:AH149),$AH$2:$AH$1001,0),0), INDEX($AO$1004:$BQ$1004,1,MATCH(COLUMNS($AO$1006:BC1006),$AO$1006:$BQ$1006,0)))),"Fix")))</f>
        <v>#N/A</v>
      </c>
      <c r="Q149" s="5" t="e">
        <f ca="1">IF(OR(INDEX($AI$2:$AI$1001,MATCH(ROWS($AH$2:AH149),$AH$2:$AH$1001,0),1)&gt;=100000,INDEX($AO$1005:$BQ$1005,1,MATCH(COLUMNS($AO$1006:BD1006),$AO$1006:$BQ$1006,0))&gt;=100000), " ",IF(INDEX($AO$2:$BQ$1001,MATCH(ROWS($AH$2:AH149),$AH$2:$AH$1001,0),MATCH(COLUMNS($AO$1006:BD1006),$AO$1006:$BQ$1006,0)), HYPERLINK("#",""), HYPERLINK(CONCATENATE("#Metadata!", ADDRESS(INDEX($AJ$2:$AJ$1001,MATCH(ROWS($AH$2:AH149),$AH$2:$AH$1001,0),0), INDEX($AO$1004:$BQ$1004,1,MATCH(COLUMNS($AO$1006:BD1006),$AO$1006:$BQ$1006,0)))),"Fix")))</f>
        <v>#N/A</v>
      </c>
      <c r="R149" s="5" t="e">
        <f ca="1">IF(OR(INDEX($AI$2:$AI$1001,MATCH(ROWS($AH$2:AH149),$AH$2:$AH$1001,0),1)&gt;=100000,INDEX($AO$1005:$BQ$1005,1,MATCH(COLUMNS($AO$1006:BE1006),$AO$1006:$BQ$1006,0))&gt;=100000), " ",IF(INDEX($AO$2:$BQ$1001,MATCH(ROWS($AH$2:AH149),$AH$2:$AH$1001,0),MATCH(COLUMNS($AO$1006:BE1006),$AO$1006:$BQ$1006,0)), HYPERLINK("#",""), HYPERLINK(CONCATENATE("#Metadata!", ADDRESS(INDEX($AJ$2:$AJ$1001,MATCH(ROWS($AH$2:AH149),$AH$2:$AH$1001,0),0), INDEX($AO$1004:$BQ$1004,1,MATCH(COLUMNS($AO$1006:BE1006),$AO$1006:$BQ$1006,0)))),"Fix")))</f>
        <v>#N/A</v>
      </c>
      <c r="S149" s="5" t="e">
        <f ca="1">IF(OR(INDEX($AI$2:$AI$1001,MATCH(ROWS($AH$2:AH149),$AH$2:$AH$1001,0),1)&gt;=100000,INDEX($AO$1005:$BQ$1005,1,MATCH(COLUMNS($AO$1006:BF1006),$AO$1006:$BQ$1006,0))&gt;=100000), " ",IF(INDEX($AO$2:$BQ$1001,MATCH(ROWS($AH$2:AH149),$AH$2:$AH$1001,0),MATCH(COLUMNS($AO$1006:BF1006),$AO$1006:$BQ$1006,0)), HYPERLINK("#",""), HYPERLINK(CONCATENATE("#Metadata!", ADDRESS(INDEX($AJ$2:$AJ$1001,MATCH(ROWS($AH$2:AH149),$AH$2:$AH$1001,0),0), INDEX($AO$1004:$BQ$1004,1,MATCH(COLUMNS($AO$1006:BF1006),$AO$1006:$BQ$1006,0)))),"Fix")))</f>
        <v>#N/A</v>
      </c>
      <c r="T149" s="5" t="e">
        <f ca="1">IF(OR(INDEX($AI$2:$AI$1001,MATCH(ROWS($AH$2:AH149),$AH$2:$AH$1001,0),1)&gt;=100000,INDEX($AO$1005:$BQ$1005,1,MATCH(COLUMNS($AO$1006:BG1006),$AO$1006:$BQ$1006,0))&gt;=100000), " ",IF(INDEX($AO$2:$BQ$1001,MATCH(ROWS($AH$2:AH149),$AH$2:$AH$1001,0),MATCH(COLUMNS($AO$1006:BG1006),$AO$1006:$BQ$1006,0)), HYPERLINK("#",""), HYPERLINK(CONCATENATE("#Metadata!", ADDRESS(INDEX($AJ$2:$AJ$1001,MATCH(ROWS($AH$2:AH149),$AH$2:$AH$1001,0),0), INDEX($AO$1004:$BQ$1004,1,MATCH(COLUMNS($AO$1006:BG1006),$AO$1006:$BQ$1006,0)))),"Fix")))</f>
        <v>#N/A</v>
      </c>
      <c r="U149" s="5" t="e">
        <f ca="1">IF(OR(INDEX($AI$2:$AI$1001,MATCH(ROWS($AH$2:AH149),$AH$2:$AH$1001,0),1)&gt;=100000,INDEX($AO$1005:$BQ$1005,1,MATCH(COLUMNS($AO$1006:BH1006),$AO$1006:$BQ$1006,0))&gt;=100000), " ",IF(INDEX($AO$2:$BQ$1001,MATCH(ROWS($AH$2:AH149),$AH$2:$AH$1001,0),MATCH(COLUMNS($AO$1006:BH1006),$AO$1006:$BQ$1006,0)), HYPERLINK("#",""), HYPERLINK(CONCATENATE("#Metadata!", ADDRESS(INDEX($AJ$2:$AJ$1001,MATCH(ROWS($AH$2:AH149),$AH$2:$AH$1001,0),0), INDEX($AO$1004:$BQ$1004,1,MATCH(COLUMNS($AO$1006:BH1006),$AO$1006:$BQ$1006,0)))),"Fix")))</f>
        <v>#N/A</v>
      </c>
      <c r="V149" s="5" t="e">
        <f ca="1">IF(OR(INDEX($AI$2:$AI$1001,MATCH(ROWS($AH$2:AH149),$AH$2:$AH$1001,0),1)&gt;=100000,INDEX($AO$1005:$BQ$1005,1,MATCH(COLUMNS($AO$1006:BI1006),$AO$1006:$BQ$1006,0))&gt;=100000), " ",IF(INDEX($AO$2:$BQ$1001,MATCH(ROWS($AH$2:AH149),$AH$2:$AH$1001,0),MATCH(COLUMNS($AO$1006:BI1006),$AO$1006:$BQ$1006,0)), HYPERLINK("#",""), HYPERLINK(CONCATENATE("#Metadata!", ADDRESS(INDEX($AJ$2:$AJ$1001,MATCH(ROWS($AH$2:AH149),$AH$2:$AH$1001,0),0), INDEX($AO$1004:$BQ$1004,1,MATCH(COLUMNS($AO$1006:BI1006),$AO$1006:$BQ$1006,0)))),"Fix")))</f>
        <v>#N/A</v>
      </c>
      <c r="W149" s="5" t="e">
        <f ca="1">IF(OR(INDEX($AI$2:$AI$1001,MATCH(ROWS($AH$2:AH149),$AH$2:$AH$1001,0),1)&gt;=100000,INDEX($AO$1005:$BQ$1005,1,MATCH(COLUMNS($AO$1006:BJ1006),$AO$1006:$BQ$1006,0))&gt;=100000), " ",IF(INDEX($AO$2:$BQ$1001,MATCH(ROWS($AH$2:AH149),$AH$2:$AH$1001,0),MATCH(COLUMNS($AO$1006:BJ1006),$AO$1006:$BQ$1006,0)), HYPERLINK("#",""), HYPERLINK(CONCATENATE("#Metadata!", ADDRESS(INDEX($AJ$2:$AJ$1001,MATCH(ROWS($AH$2:AH149),$AH$2:$AH$1001,0),0), INDEX($AO$1004:$BQ$1004,1,MATCH(COLUMNS($AO$1006:BJ1006),$AO$1006:$BQ$1006,0)))),"Fix")))</f>
        <v>#N/A</v>
      </c>
      <c r="X149" s="5" t="e">
        <f ca="1">IF(OR(INDEX($AI$2:$AI$1001,MATCH(ROWS($AH$2:AH149),$AH$2:$AH$1001,0),1)&gt;=100000,INDEX($AO$1005:$BQ$1005,1,MATCH(COLUMNS($AO$1006:BK1006),$AO$1006:$BQ$1006,0))&gt;=100000), " ",IF(INDEX($AO$2:$BQ$1001,MATCH(ROWS($AH$2:AH149),$AH$2:$AH$1001,0),MATCH(COLUMNS($AO$1006:BK1006),$AO$1006:$BQ$1006,0)), HYPERLINK("#",""), HYPERLINK(CONCATENATE("#Metadata!", ADDRESS(INDEX($AJ$2:$AJ$1001,MATCH(ROWS($AH$2:AH149),$AH$2:$AH$1001,0),0), INDEX($AO$1004:$BQ$1004,1,MATCH(COLUMNS($AO$1006:BK1006),$AO$1006:$BQ$1006,0)))),"Fix")))</f>
        <v>#N/A</v>
      </c>
      <c r="Y149" s="5" t="e">
        <f ca="1">IF(OR(INDEX($AI$2:$AI$1001,MATCH(ROWS($AH$2:AH149),$AH$2:$AH$1001,0),1)&gt;=100000,INDEX($AO$1005:$BQ$1005,1,MATCH(COLUMNS($AO$1006:BL1006),$AO$1006:$BQ$1006,0))&gt;=100000), " ",IF(INDEX($AO$2:$BQ$1001,MATCH(ROWS($AH$2:AH149),$AH$2:$AH$1001,0),MATCH(COLUMNS($AO$1006:BL1006),$AO$1006:$BQ$1006,0)), HYPERLINK("#",""), HYPERLINK(CONCATENATE("#Metadata!", ADDRESS(INDEX($AJ$2:$AJ$1001,MATCH(ROWS($AH$2:AH149),$AH$2:$AH$1001,0),0), INDEX($AO$1004:$BQ$1004,1,MATCH(COLUMNS($AO$1006:BL1006),$AO$1006:$BQ$1006,0)))),"Fix")))</f>
        <v>#N/A</v>
      </c>
      <c r="Z149" s="5" t="e">
        <f ca="1">IF(OR(INDEX($AI$2:$AI$1001,MATCH(ROWS($AH$2:AH149),$AH$2:$AH$1001,0),1)&gt;=100000,INDEX($AO$1005:$BQ$1005,1,MATCH(COLUMNS($AO$1006:BM1006),$AO$1006:$BQ$1006,0))&gt;=100000), " ",IF(INDEX($AO$2:$BQ$1001,MATCH(ROWS($AH$2:AH149),$AH$2:$AH$1001,0),MATCH(COLUMNS($AO$1006:BM1006),$AO$1006:$BQ$1006,0)), HYPERLINK("#",""), HYPERLINK(CONCATENATE("#Metadata!", ADDRESS(INDEX($AJ$2:$AJ$1001,MATCH(ROWS($AH$2:AH149),$AH$2:$AH$1001,0),0), INDEX($AO$1004:$BQ$1004,1,MATCH(COLUMNS($AO$1006:BM1006),$AO$1006:$BQ$1006,0)))),"Fix")))</f>
        <v>#N/A</v>
      </c>
      <c r="AA149" s="5" t="e">
        <f ca="1">IF(OR(INDEX($AI$2:$AI$1001,MATCH(ROWS($AH$2:AH149),$AH$2:$AH$1001,0),1)&gt;=100000,INDEX($AO$1005:$BQ$1005,1,MATCH(COLUMNS($AO$1006:BN1006),$AO$1006:$BQ$1006,0))&gt;=100000), " ",IF(INDEX($AO$2:$BQ$1001,MATCH(ROWS($AH$2:AH149),$AH$2:$AH$1001,0),MATCH(COLUMNS($AO$1006:BN1006),$AO$1006:$BQ$1006,0)), HYPERLINK("#",""), HYPERLINK(CONCATENATE("#Metadata!", ADDRESS(INDEX($AJ$2:$AJ$1001,MATCH(ROWS($AH$2:AH149),$AH$2:$AH$1001,0),0), INDEX($AO$1004:$BQ$1004,1,MATCH(COLUMNS($AO$1006:BN1006),$AO$1006:$BQ$1006,0)))),"Fix")))</f>
        <v>#N/A</v>
      </c>
      <c r="AB149" s="5" t="e">
        <f ca="1">IF(OR(INDEX($AI$2:$AI$1001,MATCH(ROWS($AH$2:AH149),$AH$2:$AH$1001,0),1)&gt;=100000,INDEX($AO$1005:$BQ$1005,1,MATCH(COLUMNS($AO$1006:BO1006),$AO$1006:$BQ$1006,0))&gt;=100000), " ",IF(INDEX($AO$2:$BQ$1001,MATCH(ROWS($AH$2:AH149),$AH$2:$AH$1001,0),MATCH(COLUMNS($AO$1006:BO1006),$AO$1006:$BQ$1006,0)), HYPERLINK("#",""), HYPERLINK(CONCATENATE("#Metadata!", ADDRESS(INDEX($AJ$2:$AJ$1001,MATCH(ROWS($AH$2:AH149),$AH$2:$AH$1001,0),0), INDEX($AO$1004:$BQ$1004,1,MATCH(COLUMNS($AO$1006:BO1006),$AO$1006:$BQ$1006,0)))),"Fix")))</f>
        <v>#N/A</v>
      </c>
      <c r="AC149" s="5" t="e">
        <f ca="1">IF(OR(INDEX($AI$2:$AI$1001,MATCH(ROWS($AH$2:AH149),$AH$2:$AH$1001,0),1)&gt;=100000,INDEX($AO$1005:$BQ$1005,1,MATCH(COLUMNS($AO$1006:BP1006),$AO$1006:$BQ$1006,0))&gt;=100000), " ",IF(INDEX($AO$2:$BQ$1001,MATCH(ROWS($AH$2:AH149),$AH$2:$AH$1001,0),MATCH(COLUMNS($AO$1006:BP1006),$AO$1006:$BQ$1006,0)), HYPERLINK("#",""), HYPERLINK(CONCATENATE("#Metadata!", ADDRESS(INDEX($AJ$2:$AJ$1001,MATCH(ROWS($AH$2:AH149),$AH$2:$AH$1001,0),0), INDEX($AO$1004:$BQ$1004,1,MATCH(COLUMNS($AO$1006:BP1006),$AO$1006:$BQ$1006,0)))),"Fix")))</f>
        <v>#N/A</v>
      </c>
      <c r="AD149" s="5" t="e">
        <f ca="1">IF(OR(INDEX($AI$2:$AI$1001,MATCH(ROWS($AH$2:AH149),$AH$2:$AH$1001,0),1)&gt;=100000,INDEX($AO$1005:$BQ$1005,1,MATCH(COLUMNS($AO$1006:BQ1006),$AO$1006:$BQ$1006,0))&gt;=100000), " ",IF(INDEX($AO$2:$BQ$1001,MATCH(ROWS($AH$2:AH149),$AH$2:$AH$1001,0),MATCH(COLUMNS($AO$1006:BQ1006),$AO$1006:$BQ$1006,0)), HYPERLINK("#",""), HYPERLINK(CONCATENATE("#Metadata!", ADDRESS(INDEX($AJ$2:$AJ$1001,MATCH(ROWS($AH$2:AH149),$AH$2:$AH$1001,0),0), INDEX($AO$1004:$BQ$1004,1,MATCH(COLUMNS($AO$1006:BQ1006),$AO$1006:$BQ$1006,0)))),"Fix")))</f>
        <v>#REF!</v>
      </c>
      <c r="AH149">
        <f ca="1"/>
        <v>146</v>
      </c>
      <c r="AI149">
        <v>100149</v>
      </c>
      <c r="AJ149">
        <v>149</v>
      </c>
      <c r="AK149" t="b">
        <f t="shared" si="2"/>
        <v>1</v>
      </c>
      <c r="AL149" t="b">
        <f>COUNTBLANK(Metadata!B149:AD149)=COLUMNS(Metadata!B149:AD149)</f>
        <v>1</v>
      </c>
      <c r="AM149" t="str">
        <v/>
      </c>
      <c r="AO149" t="b">
        <f ca="1">AND(IF(Metadata!B149="",FALSE,TRUE),COUNTIF(Metadata!B:B, Metadata!B149) = 1,NOT(ISERROR(SUMPRODUCT(SEARCH(MID(Metadata!B149,ROW(INDIRECT("1:"&amp;LEN(Metadata!B149))), 1),"0123456789abcdefghijklmnopqrstuvwxyzABCDEFGHIJKLMNOPQRSTUVWXYZ.")))))</f>
        <v>0</v>
      </c>
      <c r="AP149" t="b">
        <f>IF(Metadata!C149="",FALSE,TRUE)</f>
        <v>0</v>
      </c>
      <c r="AQ149" t="b">
        <f>IF(Metadata!D149="",FALSE,TRUE)</f>
        <v>0</v>
      </c>
      <c r="AR149" t="b">
        <f ca="1">OR(AND(IF(Metadata!E149="",FALSE,TRUE),OR(EXACT(Metadata!E149,"not collected"),EXACT(Metadata!E149,"not provided"),EXACT(Metadata!E149,"restricted access"))),AND(IF(Metadata!E149="",FALSE,TRUE),AND(AND(IFERROR(INT(LEFT(Metadata!E149,4))&gt;1900,FALSE),IFERROR(INT(LEFT(Metadata!E149,4))&lt;=YEAR(NOW()),FALSE)), OR(MID(Metadata!E149,5,1)="", AND(AND(MID(Metadata!E149,5,1)="-",IFERROR(INT(MID(Metadata!E149,6,1))&gt;=0,FALSE),IFERROR(INT(MID(Metadata!E149,6,1))&lt;=1,FALSE),NOT(MID(Metadata!E149,7,1)=""),IFERROR(INT(MID(Metadata!E149,6,2))&gt;=1,FALSE),IFERROR(INT(MID(Metadata!E149,6,2))&lt;=12,FALSE)), OR(MID(Metadata!E149,8,1)="", AND(AND(MID(Metadata!E149,8,1)="-",IFERROR(INT(MID(Metadata!E149,9,1))&gt;=0,FALSE),IFERROR(INT(MID(Metadata!E149,9,1))&lt;=3,FALSE),NOT(MID(Metadata!E149,10,1)=""),IFERROR(INT(MID(Metadata!E149,9,2))&gt;=1,FALSE),IFERROR(INT(MID(Metadata!E149,9,2))&lt;=31,FALSE)), OR(MID(Metadata!E149,11,1)="", AND(AND(MID(Metadata!E149,11,1)=" ",IFERROR(INT(MID(Metadata!E149,12,1))&gt;=0,FALSE),IFERROR(INT(MID(Metadata!E149,12,1))&lt;=2,FALSE),NOT(MID(Metadata!E149,13,1)=""),IFERROR(INT(MID(Metadata!E149,12,2))&gt;=0,FALSE),IFERROR(INT(MID(Metadata!E149,12,2))&lt;=23,FALSE)), OR(MID(Metadata!E149,14,1)="", AND(AND(MID(Metadata!E149,14,1)=":",IFERROR(INT(MID(Metadata!E149,15,1))&gt;=0,FALSE),IFERROR(INT(MID(Metadata!E149,15,1))&lt;=5,FALSE),NOT(MID(Metadata!E149,16,1)=""),IFERROR(INT(MID(Metadata!E149,15,2))&gt;=0,FALSE),IFERROR(INT(MID(Metadata!E149,15,2))&lt;=59,FALSE)), OR(MID(Metadata!E149,17,1)="", AND(AND(MID(Metadata!E149,17,1)=":",IFERROR(INT(MID(Metadata!E149,18,1))&gt;=0,FALSE),IFERROR(INT(MID(Metadata!E149,18,1))&lt;=5,FALSE),NOT(MID(Metadata!E149,19,1)=""),IFERROR(INT(MID(Metadata!E149,18,2))&gt;=0,FALSE),IFERROR(INT(MID(Metadata!E149,18,2))&lt;=59,FALSE)), LEN(Metadata!E149)&lt;=19)))))))))))))</f>
        <v>0</v>
      </c>
      <c r="AS149" t="b">
        <f>IF(Metadata!F149="",FALSE,TRUE)</f>
        <v>0</v>
      </c>
      <c r="AT149" t="b">
        <f>OR(AND(IF(Metadata!G149="",FALSE,TRUE),OR(EXACT(Metadata!G149,"not collected"),EXACT(Metadata!G149,"not provided"))),AND(IF(Metadata!G149="",FALSE,TRUE),OR(EXACT(Metadata!G149,"TRUE"),EXACT(Metadata!G149,"FALSE"))))</f>
        <v>0</v>
      </c>
      <c r="AU149" t="b">
        <f>OR(AND(IF(Metadata!H149="",FALSE,TRUE),OR(EXACT(Metadata!H149,"not collected"),EXACT(Metadata!H149,"not provided"),EXACT(Metadata!H149,"restricted access"))),AND(IF(Metadata!H149="",FALSE,ISNUMBER(VALUE(Metadata!H149))),Metadata!H149&gt;=-413))</f>
        <v>0</v>
      </c>
      <c r="AV149" t="b">
        <f>AND(IF(Metadata!I149="",FALSE,TRUE),EXACT(Metadata!I149,"meters"))</f>
        <v>0</v>
      </c>
      <c r="AW149" t="b">
        <f>AND(IF(Metadata!J149="",FALSE,TRUE),EXACT(Metadata!J149,"free-living"))</f>
        <v>0</v>
      </c>
      <c r="AX149" t="b">
        <f>AND(IF(Metadata!K149="",FALSE,TRUE),OR(EXACT(Metadata!K149,"saline"),EXACT(Metadata!K149,"non-saline")))</f>
        <v>0</v>
      </c>
      <c r="AY149" t="b">
        <f>AND(IF(Metadata!L149="",FALSE,TRUE),OR(EXACT(Metadata!L149,"sub-surface (non-saline)"),EXACT(Metadata!L149,"surface (non-saline)"),EXACT(Metadata!L149,"water (non-saline)"),EXACT(Metadata!L149,"soil (non-saline)"),EXACT(Metadata!L149,"aerosol (non-saline)"),EXACT(Metadata!L149,"sediment (non-saline)"),EXACT(Metadata!L149,"surface (saline)"),EXACT(Metadata!L149,"water (saline)"),EXACT(Metadata!L149,"hypersaline (saline)"),EXACT(Metadata!L149,"aerosol (saline)"),EXACT(Metadata!L149,"sediment (saline)")))</f>
        <v>0</v>
      </c>
      <c r="AZ149" t="b">
        <f>IF(Metadata!M149="",FALSE,TRUE)</f>
        <v>0</v>
      </c>
      <c r="BA149" t="b">
        <f>IF(Metadata!N149="",FALSE,TRUE)</f>
        <v>0</v>
      </c>
      <c r="BB149" t="b">
        <f>IF(Metadata!O149="",FALSE,TRUE)</f>
        <v>0</v>
      </c>
      <c r="BC149" t="b">
        <f>AND(IF(Metadata!P149="",FALSE,TRUE),OR(EXACT(Metadata!P149,"air"),EXACT(Metadata!P149,"microbial mat/biofilm"),EXACT(Metadata!P149,"misc environment"),EXACT(Metadata!P149,"sediment"),EXACT(Metadata!P149,"soil"),EXACT(Metadata!P149,"wastewater/sludge"),EXACT(Metadata!P149,"water")))</f>
        <v>0</v>
      </c>
      <c r="BD149" t="b">
        <f>IF(Metadata!Q149="",FALSE,TRUE)</f>
        <v>0</v>
      </c>
      <c r="BE149" t="b">
        <f>IF(Metadata!R149="",FALSE,TRUE)</f>
        <v>0</v>
      </c>
      <c r="BF149" t="b">
        <f>OR(AND(IF(Metadata!S149="",FALSE,TRUE),OR(EXACT(Metadata!S149,"not collected"),EXACT(Metadata!S149,"not provided"),EXACT(Metadata!S149,"restricted access"))),AND(IF(Metadata!S149="",FALSE,ISNUMBER(VALUE(Metadata!S149))),Metadata!S149&gt;=-90,Metadata!S149&lt;=90))</f>
        <v>0</v>
      </c>
      <c r="BG149" t="b">
        <f>AND(IF(Metadata!T149="",FALSE,TRUE),EXACT(Metadata!T149,"Decimal degrees"))</f>
        <v>0</v>
      </c>
      <c r="BH149" t="b">
        <f>OR(AND(IF(Metadata!U149="",FALSE,TRUE),OR(EXACT(Metadata!U149,"not applicable"),EXACT(Metadata!U149,"not collected"))),IF(Metadata!U149="",FALSE,TRUE))</f>
        <v>0</v>
      </c>
      <c r="BI149" t="b">
        <f>OR(AND(IF(Metadata!V149="",FALSE,TRUE),OR(EXACT(Metadata!V149,"not collected"),EXACT(Metadata!V149,"not provided"),EXACT(Metadata!V149,"restricted access"))),AND(IF(Metadata!V149="",FALSE,ISNUMBER(VALUE(Metadata!V149))),Metadata!V149&gt;=-180,Metadata!V149&lt;=180))</f>
        <v>0</v>
      </c>
      <c r="BJ149" t="b">
        <f>AND(IF(Metadata!W149="",FALSE,TRUE),EXACT(Metadata!W149,"Decimal degrees"))</f>
        <v>0</v>
      </c>
      <c r="BK149" t="b">
        <f>IF(Metadata!X149="",FALSE,TRUE)</f>
        <v>0</v>
      </c>
      <c r="BL149" t="b">
        <f>OR(AND(IF(Metadata!Y149="",FALSE,TRUE),OR(EXACT(Metadata!Y149,"not collected"),EXACT(Metadata!Y149,"not provided"),EXACT(Metadata!Y149,"restricted access"))),AND(IF(Metadata!Y149="",FALSE,TRUE),OR(EXACT(Metadata!Y149,"TRUE"),EXACT(Metadata!Y149,"FALSE"))))</f>
        <v>0</v>
      </c>
      <c r="BM149" t="b">
        <f>OR(AND(IF(Metadata!Z149="",FALSE,TRUE),EXACT(Metadata!Z149,"not applicable")),AND(IF(Metadata!Z149="",FALSE,TRUE),OR(EXACT(Metadata!Z149,"beer"),EXACT(Metadata!Z149,"cheese"),EXACT(Metadata!Z149,"fresh water"),EXACT(Metadata!Z149,"marine sediment"),EXACT(Metadata!Z149,"sea water"),EXACT(Metadata!Z149,"sediment"),EXACT(Metadata!Z149,"soil"),EXACT(Metadata!Z149,"waste water"))))</f>
        <v>0</v>
      </c>
      <c r="BN149" t="b">
        <f>AND(IF(Metadata!AA149="",FALSE,TRUE),EXACT(Metadata!AA149,"metagenome"))</f>
        <v>0</v>
      </c>
      <c r="BO149" t="b">
        <f>AND(IF(Metadata!AB149="",FALSE,TRUE),EXACT(Metadata!AB149,"256318"))</f>
        <v>0</v>
      </c>
      <c r="BP149" t="b">
        <f>IF(Metadata!AC149="",FALSE,TRUE)</f>
        <v>0</v>
      </c>
      <c r="BQ149" t="b">
        <f>IF(Metadata!AD149="",FALSE,TRUE)</f>
        <v>0</v>
      </c>
    </row>
    <row r="150" spans="1:69" x14ac:dyDescent="0.2">
      <c r="A150" s="4" t="e">
        <f ca="1">IF(B150=" "," ",HYPERLINK(CONCATENATE("#metadata!",ADDRESS(INDEX($AJ$2:$AJ$1001,MATCH(ROWS($AH$2:AH150),$AH$2:$AH$1001,0),0),2)),INDEX($AM$2:$AM$1001,MATCH(ROWS($AH$2:AH150),$AH$2:$AH$1001,0),0)))</f>
        <v>#N/A</v>
      </c>
      <c r="B150" s="5" t="e">
        <f ca="1">IF(OR(INDEX($AI$2:$AI$1001,MATCH(ROWS($AH$2:AH150),$AH$2:$AH$1001,0),1)&gt;=100000,INDEX($AO$1005:$BQ$1005,1,MATCH(COLUMNS($AO$1006:AO1006),$AO$1006:$BQ$1006,0))&gt;=100000), " ",IF(INDEX($AO$2:$BQ$1001,MATCH(ROWS($AH$2:AH150),$AH$2:$AH$1001,0),MATCH(COLUMNS($AO$1006:AO1006),$AO$1006:$BQ$1006,0)), HYPERLINK("#",""), HYPERLINK(CONCATENATE("#Metadata!", ADDRESS(INDEX($AJ$2:$AJ$1001,MATCH(ROWS($AH$2:AH150),$AH$2:$AH$1001,0),0), INDEX($AO$1004:$BQ$1004,1,MATCH(COLUMNS($AO$1006:AO1006),$AO$1006:$BQ$1006,0)))),"Fix")))</f>
        <v>#N/A</v>
      </c>
      <c r="C150" s="5" t="e">
        <f ca="1">IF(OR(INDEX($AI$2:$AI$1001,MATCH(ROWS($AH$2:AH150),$AH$2:$AH$1001,0),1)&gt;=100000,INDEX($AO$1005:$BQ$1005,1,MATCH(COLUMNS($AO$1006:AP1006),$AO$1006:$BQ$1006,0))&gt;=100000), " ",IF(INDEX($AO$2:$BQ$1001,MATCH(ROWS($AH$2:AH150),$AH$2:$AH$1001,0),MATCH(COLUMNS($AO$1006:AP1006),$AO$1006:$BQ$1006,0)), HYPERLINK("#",""), HYPERLINK(CONCATENATE("#Metadata!", ADDRESS(INDEX($AJ$2:$AJ$1001,MATCH(ROWS($AH$2:AH150),$AH$2:$AH$1001,0),0), INDEX($AO$1004:$BQ$1004,1,MATCH(COLUMNS($AO$1006:AP1006),$AO$1006:$BQ$1006,0)))),"Fix")))</f>
        <v>#N/A</v>
      </c>
      <c r="D150" s="5" t="e">
        <f ca="1">IF(OR(INDEX($AI$2:$AI$1001,MATCH(ROWS($AH$2:AH150),$AH$2:$AH$1001,0),1)&gt;=100000,INDEX($AO$1005:$BQ$1005,1,MATCH(COLUMNS($AO$1006:AQ1006),$AO$1006:$BQ$1006,0))&gt;=100000), " ",IF(INDEX($AO$2:$BQ$1001,MATCH(ROWS($AH$2:AH150),$AH$2:$AH$1001,0),MATCH(COLUMNS($AO$1006:AQ1006),$AO$1006:$BQ$1006,0)), HYPERLINK("#",""), HYPERLINK(CONCATENATE("#Metadata!", ADDRESS(INDEX($AJ$2:$AJ$1001,MATCH(ROWS($AH$2:AH150),$AH$2:$AH$1001,0),0), INDEX($AO$1004:$BQ$1004,1,MATCH(COLUMNS($AO$1006:AQ1006),$AO$1006:$BQ$1006,0)))),"Fix")))</f>
        <v>#N/A</v>
      </c>
      <c r="E150" s="5" t="e">
        <f ca="1">IF(OR(INDEX($AI$2:$AI$1001,MATCH(ROWS($AH$2:AH150),$AH$2:$AH$1001,0),1)&gt;=100000,INDEX($AO$1005:$BQ$1005,1,MATCH(COLUMNS($AO$1006:AR1006),$AO$1006:$BQ$1006,0))&gt;=100000), " ",IF(INDEX($AO$2:$BQ$1001,MATCH(ROWS($AH$2:AH150),$AH$2:$AH$1001,0),MATCH(COLUMNS($AO$1006:AR1006),$AO$1006:$BQ$1006,0)), HYPERLINK("#",""), HYPERLINK(CONCATENATE("#Metadata!", ADDRESS(INDEX($AJ$2:$AJ$1001,MATCH(ROWS($AH$2:AH150),$AH$2:$AH$1001,0),0), INDEX($AO$1004:$BQ$1004,1,MATCH(COLUMNS($AO$1006:AR1006),$AO$1006:$BQ$1006,0)))),"Fix")))</f>
        <v>#N/A</v>
      </c>
      <c r="F150" s="5" t="e">
        <f ca="1">IF(OR(INDEX($AI$2:$AI$1001,MATCH(ROWS($AH$2:AH150),$AH$2:$AH$1001,0),1)&gt;=100000,INDEX($AO$1005:$BQ$1005,1,MATCH(COLUMNS($AO$1006:AS1006),$AO$1006:$BQ$1006,0))&gt;=100000), " ",IF(INDEX($AO$2:$BQ$1001,MATCH(ROWS($AH$2:AH150),$AH$2:$AH$1001,0),MATCH(COLUMNS($AO$1006:AS1006),$AO$1006:$BQ$1006,0)), HYPERLINK("#",""), HYPERLINK(CONCATENATE("#Metadata!", ADDRESS(INDEX($AJ$2:$AJ$1001,MATCH(ROWS($AH$2:AH150),$AH$2:$AH$1001,0),0), INDEX($AO$1004:$BQ$1004,1,MATCH(COLUMNS($AO$1006:AS1006),$AO$1006:$BQ$1006,0)))),"Fix")))</f>
        <v>#N/A</v>
      </c>
      <c r="G150" s="5" t="e">
        <f ca="1">IF(OR(INDEX($AI$2:$AI$1001,MATCH(ROWS($AH$2:AH150),$AH$2:$AH$1001,0),1)&gt;=100000,INDEX($AO$1005:$BQ$1005,1,MATCH(COLUMNS($AO$1006:AT1006),$AO$1006:$BQ$1006,0))&gt;=100000), " ",IF(INDEX($AO$2:$BQ$1001,MATCH(ROWS($AH$2:AH150),$AH$2:$AH$1001,0),MATCH(COLUMNS($AO$1006:AT1006),$AO$1006:$BQ$1006,0)), HYPERLINK("#",""), HYPERLINK(CONCATENATE("#Metadata!", ADDRESS(INDEX($AJ$2:$AJ$1001,MATCH(ROWS($AH$2:AH150),$AH$2:$AH$1001,0),0), INDEX($AO$1004:$BQ$1004,1,MATCH(COLUMNS($AO$1006:AT1006),$AO$1006:$BQ$1006,0)))),"Fix")))</f>
        <v>#N/A</v>
      </c>
      <c r="H150" s="5" t="e">
        <f ca="1">IF(OR(INDEX($AI$2:$AI$1001,MATCH(ROWS($AH$2:AH150),$AH$2:$AH$1001,0),1)&gt;=100000,INDEX($AO$1005:$BQ$1005,1,MATCH(COLUMNS($AO$1006:AU1006),$AO$1006:$BQ$1006,0))&gt;=100000), " ",IF(INDEX($AO$2:$BQ$1001,MATCH(ROWS($AH$2:AH150),$AH$2:$AH$1001,0),MATCH(COLUMNS($AO$1006:AU1006),$AO$1006:$BQ$1006,0)), HYPERLINK("#",""), HYPERLINK(CONCATENATE("#Metadata!", ADDRESS(INDEX($AJ$2:$AJ$1001,MATCH(ROWS($AH$2:AH150),$AH$2:$AH$1001,0),0), INDEX($AO$1004:$BQ$1004,1,MATCH(COLUMNS($AO$1006:AU1006),$AO$1006:$BQ$1006,0)))),"Fix")))</f>
        <v>#N/A</v>
      </c>
      <c r="I150" s="5" t="e">
        <f ca="1">IF(OR(INDEX($AI$2:$AI$1001,MATCH(ROWS($AH$2:AH150),$AH$2:$AH$1001,0),1)&gt;=100000,INDEX($AO$1005:$BQ$1005,1,MATCH(COLUMNS($AO$1006:AV1006),$AO$1006:$BQ$1006,0))&gt;=100000), " ",IF(INDEX($AO$2:$BQ$1001,MATCH(ROWS($AH$2:AH150),$AH$2:$AH$1001,0),MATCH(COLUMNS($AO$1006:AV1006),$AO$1006:$BQ$1006,0)), HYPERLINK("#",""), HYPERLINK(CONCATENATE("#Metadata!", ADDRESS(INDEX($AJ$2:$AJ$1001,MATCH(ROWS($AH$2:AH150),$AH$2:$AH$1001,0),0), INDEX($AO$1004:$BQ$1004,1,MATCH(COLUMNS($AO$1006:AV1006),$AO$1006:$BQ$1006,0)))),"Fix")))</f>
        <v>#N/A</v>
      </c>
      <c r="J150" s="5" t="e">
        <f ca="1">IF(OR(INDEX($AI$2:$AI$1001,MATCH(ROWS($AH$2:AH150),$AH$2:$AH$1001,0),1)&gt;=100000,INDEX($AO$1005:$BQ$1005,1,MATCH(COLUMNS($AO$1006:AW1006),$AO$1006:$BQ$1006,0))&gt;=100000), " ",IF(INDEX($AO$2:$BQ$1001,MATCH(ROWS($AH$2:AH150),$AH$2:$AH$1001,0),MATCH(COLUMNS($AO$1006:AW1006),$AO$1006:$BQ$1006,0)), HYPERLINK("#",""), HYPERLINK(CONCATENATE("#Metadata!", ADDRESS(INDEX($AJ$2:$AJ$1001,MATCH(ROWS($AH$2:AH150),$AH$2:$AH$1001,0),0), INDEX($AO$1004:$BQ$1004,1,MATCH(COLUMNS($AO$1006:AW1006),$AO$1006:$BQ$1006,0)))),"Fix")))</f>
        <v>#N/A</v>
      </c>
      <c r="K150" s="5" t="e">
        <f ca="1">IF(OR(INDEX($AI$2:$AI$1001,MATCH(ROWS($AH$2:AH150),$AH$2:$AH$1001,0),1)&gt;=100000,INDEX($AO$1005:$BQ$1005,1,MATCH(COLUMNS($AO$1006:AX1006),$AO$1006:$BQ$1006,0))&gt;=100000), " ",IF(INDEX($AO$2:$BQ$1001,MATCH(ROWS($AH$2:AH150),$AH$2:$AH$1001,0),MATCH(COLUMNS($AO$1006:AX1006),$AO$1006:$BQ$1006,0)), HYPERLINK("#",""), HYPERLINK(CONCATENATE("#Metadata!", ADDRESS(INDEX($AJ$2:$AJ$1001,MATCH(ROWS($AH$2:AH150),$AH$2:$AH$1001,0),0), INDEX($AO$1004:$BQ$1004,1,MATCH(COLUMNS($AO$1006:AX1006),$AO$1006:$BQ$1006,0)))),"Fix")))</f>
        <v>#N/A</v>
      </c>
      <c r="L150" s="5" t="e">
        <f ca="1">IF(OR(INDEX($AI$2:$AI$1001,MATCH(ROWS($AH$2:AH150),$AH$2:$AH$1001,0),1)&gt;=100000,INDEX($AO$1005:$BQ$1005,1,MATCH(COLUMNS($AO$1006:AY1006),$AO$1006:$BQ$1006,0))&gt;=100000), " ",IF(INDEX($AO$2:$BQ$1001,MATCH(ROWS($AH$2:AH150),$AH$2:$AH$1001,0),MATCH(COLUMNS($AO$1006:AY1006),$AO$1006:$BQ$1006,0)), HYPERLINK("#",""), HYPERLINK(CONCATENATE("#Metadata!", ADDRESS(INDEX($AJ$2:$AJ$1001,MATCH(ROWS($AH$2:AH150),$AH$2:$AH$1001,0),0), INDEX($AO$1004:$BQ$1004,1,MATCH(COLUMNS($AO$1006:AY1006),$AO$1006:$BQ$1006,0)))),"Fix")))</f>
        <v>#N/A</v>
      </c>
      <c r="M150" s="5" t="e">
        <f ca="1">IF(OR(INDEX($AI$2:$AI$1001,MATCH(ROWS($AH$2:AH150),$AH$2:$AH$1001,0),1)&gt;=100000,INDEX($AO$1005:$BQ$1005,1,MATCH(COLUMNS($AO$1006:AZ1006),$AO$1006:$BQ$1006,0))&gt;=100000), " ",IF(INDEX($AO$2:$BQ$1001,MATCH(ROWS($AH$2:AH150),$AH$2:$AH$1001,0),MATCH(COLUMNS($AO$1006:AZ1006),$AO$1006:$BQ$1006,0)), HYPERLINK("#",""), HYPERLINK(CONCATENATE("#Metadata!", ADDRESS(INDEX($AJ$2:$AJ$1001,MATCH(ROWS($AH$2:AH150),$AH$2:$AH$1001,0),0), INDEX($AO$1004:$BQ$1004,1,MATCH(COLUMNS($AO$1006:AZ1006),$AO$1006:$BQ$1006,0)))),"Fix")))</f>
        <v>#N/A</v>
      </c>
      <c r="N150" s="5" t="e">
        <f ca="1">IF(OR(INDEX($AI$2:$AI$1001,MATCH(ROWS($AH$2:AH150),$AH$2:$AH$1001,0),1)&gt;=100000,INDEX($AO$1005:$BQ$1005,1,MATCH(COLUMNS($AO$1006:BA1006),$AO$1006:$BQ$1006,0))&gt;=100000), " ",IF(INDEX($AO$2:$BQ$1001,MATCH(ROWS($AH$2:AH150),$AH$2:$AH$1001,0),MATCH(COLUMNS($AO$1006:BA1006),$AO$1006:$BQ$1006,0)), HYPERLINK("#",""), HYPERLINK(CONCATENATE("#Metadata!", ADDRESS(INDEX($AJ$2:$AJ$1001,MATCH(ROWS($AH$2:AH150),$AH$2:$AH$1001,0),0), INDEX($AO$1004:$BQ$1004,1,MATCH(COLUMNS($AO$1006:BA1006),$AO$1006:$BQ$1006,0)))),"Fix")))</f>
        <v>#N/A</v>
      </c>
      <c r="O150" s="5" t="e">
        <f ca="1">IF(OR(INDEX($AI$2:$AI$1001,MATCH(ROWS($AH$2:AH150),$AH$2:$AH$1001,0),1)&gt;=100000,INDEX($AO$1005:$BQ$1005,1,MATCH(COLUMNS($AO$1006:BB1006),$AO$1006:$BQ$1006,0))&gt;=100000), " ",IF(INDEX($AO$2:$BQ$1001,MATCH(ROWS($AH$2:AH150),$AH$2:$AH$1001,0),MATCH(COLUMNS($AO$1006:BB1006),$AO$1006:$BQ$1006,0)), HYPERLINK("#",""), HYPERLINK(CONCATENATE("#Metadata!", ADDRESS(INDEX($AJ$2:$AJ$1001,MATCH(ROWS($AH$2:AH150),$AH$2:$AH$1001,0),0), INDEX($AO$1004:$BQ$1004,1,MATCH(COLUMNS($AO$1006:BB1006),$AO$1006:$BQ$1006,0)))),"Fix")))</f>
        <v>#N/A</v>
      </c>
      <c r="P150" s="5" t="e">
        <f ca="1">IF(OR(INDEX($AI$2:$AI$1001,MATCH(ROWS($AH$2:AH150),$AH$2:$AH$1001,0),1)&gt;=100000,INDEX($AO$1005:$BQ$1005,1,MATCH(COLUMNS($AO$1006:BC1006),$AO$1006:$BQ$1006,0))&gt;=100000), " ",IF(INDEX($AO$2:$BQ$1001,MATCH(ROWS($AH$2:AH150),$AH$2:$AH$1001,0),MATCH(COLUMNS($AO$1006:BC1006),$AO$1006:$BQ$1006,0)), HYPERLINK("#",""), HYPERLINK(CONCATENATE("#Metadata!", ADDRESS(INDEX($AJ$2:$AJ$1001,MATCH(ROWS($AH$2:AH150),$AH$2:$AH$1001,0),0), INDEX($AO$1004:$BQ$1004,1,MATCH(COLUMNS($AO$1006:BC1006),$AO$1006:$BQ$1006,0)))),"Fix")))</f>
        <v>#N/A</v>
      </c>
      <c r="Q150" s="5" t="e">
        <f ca="1">IF(OR(INDEX($AI$2:$AI$1001,MATCH(ROWS($AH$2:AH150),$AH$2:$AH$1001,0),1)&gt;=100000,INDEX($AO$1005:$BQ$1005,1,MATCH(COLUMNS($AO$1006:BD1006),$AO$1006:$BQ$1006,0))&gt;=100000), " ",IF(INDEX($AO$2:$BQ$1001,MATCH(ROWS($AH$2:AH150),$AH$2:$AH$1001,0),MATCH(COLUMNS($AO$1006:BD1006),$AO$1006:$BQ$1006,0)), HYPERLINK("#",""), HYPERLINK(CONCATENATE("#Metadata!", ADDRESS(INDEX($AJ$2:$AJ$1001,MATCH(ROWS($AH$2:AH150),$AH$2:$AH$1001,0),0), INDEX($AO$1004:$BQ$1004,1,MATCH(COLUMNS($AO$1006:BD1006),$AO$1006:$BQ$1006,0)))),"Fix")))</f>
        <v>#N/A</v>
      </c>
      <c r="R150" s="5" t="e">
        <f ca="1">IF(OR(INDEX($AI$2:$AI$1001,MATCH(ROWS($AH$2:AH150),$AH$2:$AH$1001,0),1)&gt;=100000,INDEX($AO$1005:$BQ$1005,1,MATCH(COLUMNS($AO$1006:BE1006),$AO$1006:$BQ$1006,0))&gt;=100000), " ",IF(INDEX($AO$2:$BQ$1001,MATCH(ROWS($AH$2:AH150),$AH$2:$AH$1001,0),MATCH(COLUMNS($AO$1006:BE1006),$AO$1006:$BQ$1006,0)), HYPERLINK("#",""), HYPERLINK(CONCATENATE("#Metadata!", ADDRESS(INDEX($AJ$2:$AJ$1001,MATCH(ROWS($AH$2:AH150),$AH$2:$AH$1001,0),0), INDEX($AO$1004:$BQ$1004,1,MATCH(COLUMNS($AO$1006:BE1006),$AO$1006:$BQ$1006,0)))),"Fix")))</f>
        <v>#N/A</v>
      </c>
      <c r="S150" s="5" t="e">
        <f ca="1">IF(OR(INDEX($AI$2:$AI$1001,MATCH(ROWS($AH$2:AH150),$AH$2:$AH$1001,0),1)&gt;=100000,INDEX($AO$1005:$BQ$1005,1,MATCH(COLUMNS($AO$1006:BF1006),$AO$1006:$BQ$1006,0))&gt;=100000), " ",IF(INDEX($AO$2:$BQ$1001,MATCH(ROWS($AH$2:AH150),$AH$2:$AH$1001,0),MATCH(COLUMNS($AO$1006:BF1006),$AO$1006:$BQ$1006,0)), HYPERLINK("#",""), HYPERLINK(CONCATENATE("#Metadata!", ADDRESS(INDEX($AJ$2:$AJ$1001,MATCH(ROWS($AH$2:AH150),$AH$2:$AH$1001,0),0), INDEX($AO$1004:$BQ$1004,1,MATCH(COLUMNS($AO$1006:BF1006),$AO$1006:$BQ$1006,0)))),"Fix")))</f>
        <v>#N/A</v>
      </c>
      <c r="T150" s="5" t="e">
        <f ca="1">IF(OR(INDEX($AI$2:$AI$1001,MATCH(ROWS($AH$2:AH150),$AH$2:$AH$1001,0),1)&gt;=100000,INDEX($AO$1005:$BQ$1005,1,MATCH(COLUMNS($AO$1006:BG1006),$AO$1006:$BQ$1006,0))&gt;=100000), " ",IF(INDEX($AO$2:$BQ$1001,MATCH(ROWS($AH$2:AH150),$AH$2:$AH$1001,0),MATCH(COLUMNS($AO$1006:BG1006),$AO$1006:$BQ$1006,0)), HYPERLINK("#",""), HYPERLINK(CONCATENATE("#Metadata!", ADDRESS(INDEX($AJ$2:$AJ$1001,MATCH(ROWS($AH$2:AH150),$AH$2:$AH$1001,0),0), INDEX($AO$1004:$BQ$1004,1,MATCH(COLUMNS($AO$1006:BG1006),$AO$1006:$BQ$1006,0)))),"Fix")))</f>
        <v>#N/A</v>
      </c>
      <c r="U150" s="5" t="e">
        <f ca="1">IF(OR(INDEX($AI$2:$AI$1001,MATCH(ROWS($AH$2:AH150),$AH$2:$AH$1001,0),1)&gt;=100000,INDEX($AO$1005:$BQ$1005,1,MATCH(COLUMNS($AO$1006:BH1006),$AO$1006:$BQ$1006,0))&gt;=100000), " ",IF(INDEX($AO$2:$BQ$1001,MATCH(ROWS($AH$2:AH150),$AH$2:$AH$1001,0),MATCH(COLUMNS($AO$1006:BH1006),$AO$1006:$BQ$1006,0)), HYPERLINK("#",""), HYPERLINK(CONCATENATE("#Metadata!", ADDRESS(INDEX($AJ$2:$AJ$1001,MATCH(ROWS($AH$2:AH150),$AH$2:$AH$1001,0),0), INDEX($AO$1004:$BQ$1004,1,MATCH(COLUMNS($AO$1006:BH1006),$AO$1006:$BQ$1006,0)))),"Fix")))</f>
        <v>#N/A</v>
      </c>
      <c r="V150" s="5" t="e">
        <f ca="1">IF(OR(INDEX($AI$2:$AI$1001,MATCH(ROWS($AH$2:AH150),$AH$2:$AH$1001,0),1)&gt;=100000,INDEX($AO$1005:$BQ$1005,1,MATCH(COLUMNS($AO$1006:BI1006),$AO$1006:$BQ$1006,0))&gt;=100000), " ",IF(INDEX($AO$2:$BQ$1001,MATCH(ROWS($AH$2:AH150),$AH$2:$AH$1001,0),MATCH(COLUMNS($AO$1006:BI1006),$AO$1006:$BQ$1006,0)), HYPERLINK("#",""), HYPERLINK(CONCATENATE("#Metadata!", ADDRESS(INDEX($AJ$2:$AJ$1001,MATCH(ROWS($AH$2:AH150),$AH$2:$AH$1001,0),0), INDEX($AO$1004:$BQ$1004,1,MATCH(COLUMNS($AO$1006:BI1006),$AO$1006:$BQ$1006,0)))),"Fix")))</f>
        <v>#N/A</v>
      </c>
      <c r="W150" s="5" t="e">
        <f ca="1">IF(OR(INDEX($AI$2:$AI$1001,MATCH(ROWS($AH$2:AH150),$AH$2:$AH$1001,0),1)&gt;=100000,INDEX($AO$1005:$BQ$1005,1,MATCH(COLUMNS($AO$1006:BJ1006),$AO$1006:$BQ$1006,0))&gt;=100000), " ",IF(INDEX($AO$2:$BQ$1001,MATCH(ROWS($AH$2:AH150),$AH$2:$AH$1001,0),MATCH(COLUMNS($AO$1006:BJ1006),$AO$1006:$BQ$1006,0)), HYPERLINK("#",""), HYPERLINK(CONCATENATE("#Metadata!", ADDRESS(INDEX($AJ$2:$AJ$1001,MATCH(ROWS($AH$2:AH150),$AH$2:$AH$1001,0),0), INDEX($AO$1004:$BQ$1004,1,MATCH(COLUMNS($AO$1006:BJ1006),$AO$1006:$BQ$1006,0)))),"Fix")))</f>
        <v>#N/A</v>
      </c>
      <c r="X150" s="5" t="e">
        <f ca="1">IF(OR(INDEX($AI$2:$AI$1001,MATCH(ROWS($AH$2:AH150),$AH$2:$AH$1001,0),1)&gt;=100000,INDEX($AO$1005:$BQ$1005,1,MATCH(COLUMNS($AO$1006:BK1006),$AO$1006:$BQ$1006,0))&gt;=100000), " ",IF(INDEX($AO$2:$BQ$1001,MATCH(ROWS($AH$2:AH150),$AH$2:$AH$1001,0),MATCH(COLUMNS($AO$1006:BK1006),$AO$1006:$BQ$1006,0)), HYPERLINK("#",""), HYPERLINK(CONCATENATE("#Metadata!", ADDRESS(INDEX($AJ$2:$AJ$1001,MATCH(ROWS($AH$2:AH150),$AH$2:$AH$1001,0),0), INDEX($AO$1004:$BQ$1004,1,MATCH(COLUMNS($AO$1006:BK1006),$AO$1006:$BQ$1006,0)))),"Fix")))</f>
        <v>#N/A</v>
      </c>
      <c r="Y150" s="5" t="e">
        <f ca="1">IF(OR(INDEX($AI$2:$AI$1001,MATCH(ROWS($AH$2:AH150),$AH$2:$AH$1001,0),1)&gt;=100000,INDEX($AO$1005:$BQ$1005,1,MATCH(COLUMNS($AO$1006:BL1006),$AO$1006:$BQ$1006,0))&gt;=100000), " ",IF(INDEX($AO$2:$BQ$1001,MATCH(ROWS($AH$2:AH150),$AH$2:$AH$1001,0),MATCH(COLUMNS($AO$1006:BL1006),$AO$1006:$BQ$1006,0)), HYPERLINK("#",""), HYPERLINK(CONCATENATE("#Metadata!", ADDRESS(INDEX($AJ$2:$AJ$1001,MATCH(ROWS($AH$2:AH150),$AH$2:$AH$1001,0),0), INDEX($AO$1004:$BQ$1004,1,MATCH(COLUMNS($AO$1006:BL1006),$AO$1006:$BQ$1006,0)))),"Fix")))</f>
        <v>#N/A</v>
      </c>
      <c r="Z150" s="5" t="e">
        <f ca="1">IF(OR(INDEX($AI$2:$AI$1001,MATCH(ROWS($AH$2:AH150),$AH$2:$AH$1001,0),1)&gt;=100000,INDEX($AO$1005:$BQ$1005,1,MATCH(COLUMNS($AO$1006:BM1006),$AO$1006:$BQ$1006,0))&gt;=100000), " ",IF(INDEX($AO$2:$BQ$1001,MATCH(ROWS($AH$2:AH150),$AH$2:$AH$1001,0),MATCH(COLUMNS($AO$1006:BM1006),$AO$1006:$BQ$1006,0)), HYPERLINK("#",""), HYPERLINK(CONCATENATE("#Metadata!", ADDRESS(INDEX($AJ$2:$AJ$1001,MATCH(ROWS($AH$2:AH150),$AH$2:$AH$1001,0),0), INDEX($AO$1004:$BQ$1004,1,MATCH(COLUMNS($AO$1006:BM1006),$AO$1006:$BQ$1006,0)))),"Fix")))</f>
        <v>#N/A</v>
      </c>
      <c r="AA150" s="5" t="e">
        <f ca="1">IF(OR(INDEX($AI$2:$AI$1001,MATCH(ROWS($AH$2:AH150),$AH$2:$AH$1001,0),1)&gt;=100000,INDEX($AO$1005:$BQ$1005,1,MATCH(COLUMNS($AO$1006:BN1006),$AO$1006:$BQ$1006,0))&gt;=100000), " ",IF(INDEX($AO$2:$BQ$1001,MATCH(ROWS($AH$2:AH150),$AH$2:$AH$1001,0),MATCH(COLUMNS($AO$1006:BN1006),$AO$1006:$BQ$1006,0)), HYPERLINK("#",""), HYPERLINK(CONCATENATE("#Metadata!", ADDRESS(INDEX($AJ$2:$AJ$1001,MATCH(ROWS($AH$2:AH150),$AH$2:$AH$1001,0),0), INDEX($AO$1004:$BQ$1004,1,MATCH(COLUMNS($AO$1006:BN1006),$AO$1006:$BQ$1006,0)))),"Fix")))</f>
        <v>#N/A</v>
      </c>
      <c r="AB150" s="5" t="e">
        <f ca="1">IF(OR(INDEX($AI$2:$AI$1001,MATCH(ROWS($AH$2:AH150),$AH$2:$AH$1001,0),1)&gt;=100000,INDEX($AO$1005:$BQ$1005,1,MATCH(COLUMNS($AO$1006:BO1006),$AO$1006:$BQ$1006,0))&gt;=100000), " ",IF(INDEX($AO$2:$BQ$1001,MATCH(ROWS($AH$2:AH150),$AH$2:$AH$1001,0),MATCH(COLUMNS($AO$1006:BO1006),$AO$1006:$BQ$1006,0)), HYPERLINK("#",""), HYPERLINK(CONCATENATE("#Metadata!", ADDRESS(INDEX($AJ$2:$AJ$1001,MATCH(ROWS($AH$2:AH150),$AH$2:$AH$1001,0),0), INDEX($AO$1004:$BQ$1004,1,MATCH(COLUMNS($AO$1006:BO1006),$AO$1006:$BQ$1006,0)))),"Fix")))</f>
        <v>#N/A</v>
      </c>
      <c r="AC150" s="5" t="e">
        <f ca="1">IF(OR(INDEX($AI$2:$AI$1001,MATCH(ROWS($AH$2:AH150),$AH$2:$AH$1001,0),1)&gt;=100000,INDEX($AO$1005:$BQ$1005,1,MATCH(COLUMNS($AO$1006:BP1006),$AO$1006:$BQ$1006,0))&gt;=100000), " ",IF(INDEX($AO$2:$BQ$1001,MATCH(ROWS($AH$2:AH150),$AH$2:$AH$1001,0),MATCH(COLUMNS($AO$1006:BP1006),$AO$1006:$BQ$1006,0)), HYPERLINK("#",""), HYPERLINK(CONCATENATE("#Metadata!", ADDRESS(INDEX($AJ$2:$AJ$1001,MATCH(ROWS($AH$2:AH150),$AH$2:$AH$1001,0),0), INDEX($AO$1004:$BQ$1004,1,MATCH(COLUMNS($AO$1006:BP1006),$AO$1006:$BQ$1006,0)))),"Fix")))</f>
        <v>#N/A</v>
      </c>
      <c r="AD150" s="5" t="e">
        <f ca="1">IF(OR(INDEX($AI$2:$AI$1001,MATCH(ROWS($AH$2:AH150),$AH$2:$AH$1001,0),1)&gt;=100000,INDEX($AO$1005:$BQ$1005,1,MATCH(COLUMNS($AO$1006:BQ1006),$AO$1006:$BQ$1006,0))&gt;=100000), " ",IF(INDEX($AO$2:$BQ$1001,MATCH(ROWS($AH$2:AH150),$AH$2:$AH$1001,0),MATCH(COLUMNS($AO$1006:BQ1006),$AO$1006:$BQ$1006,0)), HYPERLINK("#",""), HYPERLINK(CONCATENATE("#Metadata!", ADDRESS(INDEX($AJ$2:$AJ$1001,MATCH(ROWS($AH$2:AH150),$AH$2:$AH$1001,0),0), INDEX($AO$1004:$BQ$1004,1,MATCH(COLUMNS($AO$1006:BQ1006),$AO$1006:$BQ$1006,0)))),"Fix")))</f>
        <v>#REF!</v>
      </c>
      <c r="AH150">
        <f ca="1"/>
        <v>147</v>
      </c>
      <c r="AI150">
        <v>100150</v>
      </c>
      <c r="AJ150">
        <v>150</v>
      </c>
      <c r="AK150" t="b">
        <f t="shared" si="2"/>
        <v>1</v>
      </c>
      <c r="AL150" t="b">
        <f>COUNTBLANK(Metadata!B150:AD150)=COLUMNS(Metadata!B150:AD150)</f>
        <v>1</v>
      </c>
      <c r="AM150" t="str">
        <v/>
      </c>
      <c r="AO150" t="b">
        <f ca="1">AND(IF(Metadata!B150="",FALSE,TRUE),COUNTIF(Metadata!B:B, Metadata!B150) = 1,NOT(ISERROR(SUMPRODUCT(SEARCH(MID(Metadata!B150,ROW(INDIRECT("1:"&amp;LEN(Metadata!B150))), 1),"0123456789abcdefghijklmnopqrstuvwxyzABCDEFGHIJKLMNOPQRSTUVWXYZ.")))))</f>
        <v>0</v>
      </c>
      <c r="AP150" t="b">
        <f>IF(Metadata!C150="",FALSE,TRUE)</f>
        <v>0</v>
      </c>
      <c r="AQ150" t="b">
        <f>IF(Metadata!D150="",FALSE,TRUE)</f>
        <v>0</v>
      </c>
      <c r="AR150" t="b">
        <f ca="1">OR(AND(IF(Metadata!E150="",FALSE,TRUE),OR(EXACT(Metadata!E150,"not collected"),EXACT(Metadata!E150,"not provided"),EXACT(Metadata!E150,"restricted access"))),AND(IF(Metadata!E150="",FALSE,TRUE),AND(AND(IFERROR(INT(LEFT(Metadata!E150,4))&gt;1900,FALSE),IFERROR(INT(LEFT(Metadata!E150,4))&lt;=YEAR(NOW()),FALSE)), OR(MID(Metadata!E150,5,1)="", AND(AND(MID(Metadata!E150,5,1)="-",IFERROR(INT(MID(Metadata!E150,6,1))&gt;=0,FALSE),IFERROR(INT(MID(Metadata!E150,6,1))&lt;=1,FALSE),NOT(MID(Metadata!E150,7,1)=""),IFERROR(INT(MID(Metadata!E150,6,2))&gt;=1,FALSE),IFERROR(INT(MID(Metadata!E150,6,2))&lt;=12,FALSE)), OR(MID(Metadata!E150,8,1)="", AND(AND(MID(Metadata!E150,8,1)="-",IFERROR(INT(MID(Metadata!E150,9,1))&gt;=0,FALSE),IFERROR(INT(MID(Metadata!E150,9,1))&lt;=3,FALSE),NOT(MID(Metadata!E150,10,1)=""),IFERROR(INT(MID(Metadata!E150,9,2))&gt;=1,FALSE),IFERROR(INT(MID(Metadata!E150,9,2))&lt;=31,FALSE)), OR(MID(Metadata!E150,11,1)="", AND(AND(MID(Metadata!E150,11,1)=" ",IFERROR(INT(MID(Metadata!E150,12,1))&gt;=0,FALSE),IFERROR(INT(MID(Metadata!E150,12,1))&lt;=2,FALSE),NOT(MID(Metadata!E150,13,1)=""),IFERROR(INT(MID(Metadata!E150,12,2))&gt;=0,FALSE),IFERROR(INT(MID(Metadata!E150,12,2))&lt;=23,FALSE)), OR(MID(Metadata!E150,14,1)="", AND(AND(MID(Metadata!E150,14,1)=":",IFERROR(INT(MID(Metadata!E150,15,1))&gt;=0,FALSE),IFERROR(INT(MID(Metadata!E150,15,1))&lt;=5,FALSE),NOT(MID(Metadata!E150,16,1)=""),IFERROR(INT(MID(Metadata!E150,15,2))&gt;=0,FALSE),IFERROR(INT(MID(Metadata!E150,15,2))&lt;=59,FALSE)), OR(MID(Metadata!E150,17,1)="", AND(AND(MID(Metadata!E150,17,1)=":",IFERROR(INT(MID(Metadata!E150,18,1))&gt;=0,FALSE),IFERROR(INT(MID(Metadata!E150,18,1))&lt;=5,FALSE),NOT(MID(Metadata!E150,19,1)=""),IFERROR(INT(MID(Metadata!E150,18,2))&gt;=0,FALSE),IFERROR(INT(MID(Metadata!E150,18,2))&lt;=59,FALSE)), LEN(Metadata!E150)&lt;=19)))))))))))))</f>
        <v>0</v>
      </c>
      <c r="AS150" t="b">
        <f>IF(Metadata!F150="",FALSE,TRUE)</f>
        <v>0</v>
      </c>
      <c r="AT150" t="b">
        <f>OR(AND(IF(Metadata!G150="",FALSE,TRUE),OR(EXACT(Metadata!G150,"not collected"),EXACT(Metadata!G150,"not provided"))),AND(IF(Metadata!G150="",FALSE,TRUE),OR(EXACT(Metadata!G150,"TRUE"),EXACT(Metadata!G150,"FALSE"))))</f>
        <v>0</v>
      </c>
      <c r="AU150" t="b">
        <f>OR(AND(IF(Metadata!H150="",FALSE,TRUE),OR(EXACT(Metadata!H150,"not collected"),EXACT(Metadata!H150,"not provided"),EXACT(Metadata!H150,"restricted access"))),AND(IF(Metadata!H150="",FALSE,ISNUMBER(VALUE(Metadata!H150))),Metadata!H150&gt;=-413))</f>
        <v>0</v>
      </c>
      <c r="AV150" t="b">
        <f>AND(IF(Metadata!I150="",FALSE,TRUE),EXACT(Metadata!I150,"meters"))</f>
        <v>0</v>
      </c>
      <c r="AW150" t="b">
        <f>AND(IF(Metadata!J150="",FALSE,TRUE),EXACT(Metadata!J150,"free-living"))</f>
        <v>0</v>
      </c>
      <c r="AX150" t="b">
        <f>AND(IF(Metadata!K150="",FALSE,TRUE),OR(EXACT(Metadata!K150,"saline"),EXACT(Metadata!K150,"non-saline")))</f>
        <v>0</v>
      </c>
      <c r="AY150" t="b">
        <f>AND(IF(Metadata!L150="",FALSE,TRUE),OR(EXACT(Metadata!L150,"sub-surface (non-saline)"),EXACT(Metadata!L150,"surface (non-saline)"),EXACT(Metadata!L150,"water (non-saline)"),EXACT(Metadata!L150,"soil (non-saline)"),EXACT(Metadata!L150,"aerosol (non-saline)"),EXACT(Metadata!L150,"sediment (non-saline)"),EXACT(Metadata!L150,"surface (saline)"),EXACT(Metadata!L150,"water (saline)"),EXACT(Metadata!L150,"hypersaline (saline)"),EXACT(Metadata!L150,"aerosol (saline)"),EXACT(Metadata!L150,"sediment (saline)")))</f>
        <v>0</v>
      </c>
      <c r="AZ150" t="b">
        <f>IF(Metadata!M150="",FALSE,TRUE)</f>
        <v>0</v>
      </c>
      <c r="BA150" t="b">
        <f>IF(Metadata!N150="",FALSE,TRUE)</f>
        <v>0</v>
      </c>
      <c r="BB150" t="b">
        <f>IF(Metadata!O150="",FALSE,TRUE)</f>
        <v>0</v>
      </c>
      <c r="BC150" t="b">
        <f>AND(IF(Metadata!P150="",FALSE,TRUE),OR(EXACT(Metadata!P150,"air"),EXACT(Metadata!P150,"microbial mat/biofilm"),EXACT(Metadata!P150,"misc environment"),EXACT(Metadata!P150,"sediment"),EXACT(Metadata!P150,"soil"),EXACT(Metadata!P150,"wastewater/sludge"),EXACT(Metadata!P150,"water")))</f>
        <v>0</v>
      </c>
      <c r="BD150" t="b">
        <f>IF(Metadata!Q150="",FALSE,TRUE)</f>
        <v>0</v>
      </c>
      <c r="BE150" t="b">
        <f>IF(Metadata!R150="",FALSE,TRUE)</f>
        <v>0</v>
      </c>
      <c r="BF150" t="b">
        <f>OR(AND(IF(Metadata!S150="",FALSE,TRUE),OR(EXACT(Metadata!S150,"not collected"),EXACT(Metadata!S150,"not provided"),EXACT(Metadata!S150,"restricted access"))),AND(IF(Metadata!S150="",FALSE,ISNUMBER(VALUE(Metadata!S150))),Metadata!S150&gt;=-90,Metadata!S150&lt;=90))</f>
        <v>0</v>
      </c>
      <c r="BG150" t="b">
        <f>AND(IF(Metadata!T150="",FALSE,TRUE),EXACT(Metadata!T150,"Decimal degrees"))</f>
        <v>0</v>
      </c>
      <c r="BH150" t="b">
        <f>OR(AND(IF(Metadata!U150="",FALSE,TRUE),OR(EXACT(Metadata!U150,"not applicable"),EXACT(Metadata!U150,"not collected"))),IF(Metadata!U150="",FALSE,TRUE))</f>
        <v>0</v>
      </c>
      <c r="BI150" t="b">
        <f>OR(AND(IF(Metadata!V150="",FALSE,TRUE),OR(EXACT(Metadata!V150,"not collected"),EXACT(Metadata!V150,"not provided"),EXACT(Metadata!V150,"restricted access"))),AND(IF(Metadata!V150="",FALSE,ISNUMBER(VALUE(Metadata!V150))),Metadata!V150&gt;=-180,Metadata!V150&lt;=180))</f>
        <v>0</v>
      </c>
      <c r="BJ150" t="b">
        <f>AND(IF(Metadata!W150="",FALSE,TRUE),EXACT(Metadata!W150,"Decimal degrees"))</f>
        <v>0</v>
      </c>
      <c r="BK150" t="b">
        <f>IF(Metadata!X150="",FALSE,TRUE)</f>
        <v>0</v>
      </c>
      <c r="BL150" t="b">
        <f>OR(AND(IF(Metadata!Y150="",FALSE,TRUE),OR(EXACT(Metadata!Y150,"not collected"),EXACT(Metadata!Y150,"not provided"),EXACT(Metadata!Y150,"restricted access"))),AND(IF(Metadata!Y150="",FALSE,TRUE),OR(EXACT(Metadata!Y150,"TRUE"),EXACT(Metadata!Y150,"FALSE"))))</f>
        <v>0</v>
      </c>
      <c r="BM150" t="b">
        <f>OR(AND(IF(Metadata!Z150="",FALSE,TRUE),EXACT(Metadata!Z150,"not applicable")),AND(IF(Metadata!Z150="",FALSE,TRUE),OR(EXACT(Metadata!Z150,"beer"),EXACT(Metadata!Z150,"cheese"),EXACT(Metadata!Z150,"fresh water"),EXACT(Metadata!Z150,"marine sediment"),EXACT(Metadata!Z150,"sea water"),EXACT(Metadata!Z150,"sediment"),EXACT(Metadata!Z150,"soil"),EXACT(Metadata!Z150,"waste water"))))</f>
        <v>0</v>
      </c>
      <c r="BN150" t="b">
        <f>AND(IF(Metadata!AA150="",FALSE,TRUE),EXACT(Metadata!AA150,"metagenome"))</f>
        <v>0</v>
      </c>
      <c r="BO150" t="b">
        <f>AND(IF(Metadata!AB150="",FALSE,TRUE),EXACT(Metadata!AB150,"256318"))</f>
        <v>0</v>
      </c>
      <c r="BP150" t="b">
        <f>IF(Metadata!AC150="",FALSE,TRUE)</f>
        <v>0</v>
      </c>
      <c r="BQ150" t="b">
        <f>IF(Metadata!AD150="",FALSE,TRUE)</f>
        <v>0</v>
      </c>
    </row>
    <row r="151" spans="1:69" x14ac:dyDescent="0.2">
      <c r="A151" s="4" t="e">
        <f ca="1">IF(B151=" "," ",HYPERLINK(CONCATENATE("#metadata!",ADDRESS(INDEX($AJ$2:$AJ$1001,MATCH(ROWS($AH$2:AH151),$AH$2:$AH$1001,0),0),2)),INDEX($AM$2:$AM$1001,MATCH(ROWS($AH$2:AH151),$AH$2:$AH$1001,0),0)))</f>
        <v>#N/A</v>
      </c>
      <c r="B151" s="5" t="e">
        <f ca="1">IF(OR(INDEX($AI$2:$AI$1001,MATCH(ROWS($AH$2:AH151),$AH$2:$AH$1001,0),1)&gt;=100000,INDEX($AO$1005:$BQ$1005,1,MATCH(COLUMNS($AO$1006:AO1006),$AO$1006:$BQ$1006,0))&gt;=100000), " ",IF(INDEX($AO$2:$BQ$1001,MATCH(ROWS($AH$2:AH151),$AH$2:$AH$1001,0),MATCH(COLUMNS($AO$1006:AO1006),$AO$1006:$BQ$1006,0)), HYPERLINK("#",""), HYPERLINK(CONCATENATE("#Metadata!", ADDRESS(INDEX($AJ$2:$AJ$1001,MATCH(ROWS($AH$2:AH151),$AH$2:$AH$1001,0),0), INDEX($AO$1004:$BQ$1004,1,MATCH(COLUMNS($AO$1006:AO1006),$AO$1006:$BQ$1006,0)))),"Fix")))</f>
        <v>#N/A</v>
      </c>
      <c r="C151" s="5" t="e">
        <f ca="1">IF(OR(INDEX($AI$2:$AI$1001,MATCH(ROWS($AH$2:AH151),$AH$2:$AH$1001,0),1)&gt;=100000,INDEX($AO$1005:$BQ$1005,1,MATCH(COLUMNS($AO$1006:AP1006),$AO$1006:$BQ$1006,0))&gt;=100000), " ",IF(INDEX($AO$2:$BQ$1001,MATCH(ROWS($AH$2:AH151),$AH$2:$AH$1001,0),MATCH(COLUMNS($AO$1006:AP1006),$AO$1006:$BQ$1006,0)), HYPERLINK("#",""), HYPERLINK(CONCATENATE("#Metadata!", ADDRESS(INDEX($AJ$2:$AJ$1001,MATCH(ROWS($AH$2:AH151),$AH$2:$AH$1001,0),0), INDEX($AO$1004:$BQ$1004,1,MATCH(COLUMNS($AO$1006:AP1006),$AO$1006:$BQ$1006,0)))),"Fix")))</f>
        <v>#N/A</v>
      </c>
      <c r="D151" s="5" t="e">
        <f ca="1">IF(OR(INDEX($AI$2:$AI$1001,MATCH(ROWS($AH$2:AH151),$AH$2:$AH$1001,0),1)&gt;=100000,INDEX($AO$1005:$BQ$1005,1,MATCH(COLUMNS($AO$1006:AQ1006),$AO$1006:$BQ$1006,0))&gt;=100000), " ",IF(INDEX($AO$2:$BQ$1001,MATCH(ROWS($AH$2:AH151),$AH$2:$AH$1001,0),MATCH(COLUMNS($AO$1006:AQ1006),$AO$1006:$BQ$1006,0)), HYPERLINK("#",""), HYPERLINK(CONCATENATE("#Metadata!", ADDRESS(INDEX($AJ$2:$AJ$1001,MATCH(ROWS($AH$2:AH151),$AH$2:$AH$1001,0),0), INDEX($AO$1004:$BQ$1004,1,MATCH(COLUMNS($AO$1006:AQ1006),$AO$1006:$BQ$1006,0)))),"Fix")))</f>
        <v>#N/A</v>
      </c>
      <c r="E151" s="5" t="e">
        <f ca="1">IF(OR(INDEX($AI$2:$AI$1001,MATCH(ROWS($AH$2:AH151),$AH$2:$AH$1001,0),1)&gt;=100000,INDEX($AO$1005:$BQ$1005,1,MATCH(COLUMNS($AO$1006:AR1006),$AO$1006:$BQ$1006,0))&gt;=100000), " ",IF(INDEX($AO$2:$BQ$1001,MATCH(ROWS($AH$2:AH151),$AH$2:$AH$1001,0),MATCH(COLUMNS($AO$1006:AR1006),$AO$1006:$BQ$1006,0)), HYPERLINK("#",""), HYPERLINK(CONCATENATE("#Metadata!", ADDRESS(INDEX($AJ$2:$AJ$1001,MATCH(ROWS($AH$2:AH151),$AH$2:$AH$1001,0),0), INDEX($AO$1004:$BQ$1004,1,MATCH(COLUMNS($AO$1006:AR1006),$AO$1006:$BQ$1006,0)))),"Fix")))</f>
        <v>#N/A</v>
      </c>
      <c r="F151" s="5" t="e">
        <f ca="1">IF(OR(INDEX($AI$2:$AI$1001,MATCH(ROWS($AH$2:AH151),$AH$2:$AH$1001,0),1)&gt;=100000,INDEX($AO$1005:$BQ$1005,1,MATCH(COLUMNS($AO$1006:AS1006),$AO$1006:$BQ$1006,0))&gt;=100000), " ",IF(INDEX($AO$2:$BQ$1001,MATCH(ROWS($AH$2:AH151),$AH$2:$AH$1001,0),MATCH(COLUMNS($AO$1006:AS1006),$AO$1006:$BQ$1006,0)), HYPERLINK("#",""), HYPERLINK(CONCATENATE("#Metadata!", ADDRESS(INDEX($AJ$2:$AJ$1001,MATCH(ROWS($AH$2:AH151),$AH$2:$AH$1001,0),0), INDEX($AO$1004:$BQ$1004,1,MATCH(COLUMNS($AO$1006:AS1006),$AO$1006:$BQ$1006,0)))),"Fix")))</f>
        <v>#N/A</v>
      </c>
      <c r="G151" s="5" t="e">
        <f ca="1">IF(OR(INDEX($AI$2:$AI$1001,MATCH(ROWS($AH$2:AH151),$AH$2:$AH$1001,0),1)&gt;=100000,INDEX($AO$1005:$BQ$1005,1,MATCH(COLUMNS($AO$1006:AT1006),$AO$1006:$BQ$1006,0))&gt;=100000), " ",IF(INDEX($AO$2:$BQ$1001,MATCH(ROWS($AH$2:AH151),$AH$2:$AH$1001,0),MATCH(COLUMNS($AO$1006:AT1006),$AO$1006:$BQ$1006,0)), HYPERLINK("#",""), HYPERLINK(CONCATENATE("#Metadata!", ADDRESS(INDEX($AJ$2:$AJ$1001,MATCH(ROWS($AH$2:AH151),$AH$2:$AH$1001,0),0), INDEX($AO$1004:$BQ$1004,1,MATCH(COLUMNS($AO$1006:AT1006),$AO$1006:$BQ$1006,0)))),"Fix")))</f>
        <v>#N/A</v>
      </c>
      <c r="H151" s="5" t="e">
        <f ca="1">IF(OR(INDEX($AI$2:$AI$1001,MATCH(ROWS($AH$2:AH151),$AH$2:$AH$1001,0),1)&gt;=100000,INDEX($AO$1005:$BQ$1005,1,MATCH(COLUMNS($AO$1006:AU1006),$AO$1006:$BQ$1006,0))&gt;=100000), " ",IF(INDEX($AO$2:$BQ$1001,MATCH(ROWS($AH$2:AH151),$AH$2:$AH$1001,0),MATCH(COLUMNS($AO$1006:AU1006),$AO$1006:$BQ$1006,0)), HYPERLINK("#",""), HYPERLINK(CONCATENATE("#Metadata!", ADDRESS(INDEX($AJ$2:$AJ$1001,MATCH(ROWS($AH$2:AH151),$AH$2:$AH$1001,0),0), INDEX($AO$1004:$BQ$1004,1,MATCH(COLUMNS($AO$1006:AU1006),$AO$1006:$BQ$1006,0)))),"Fix")))</f>
        <v>#N/A</v>
      </c>
      <c r="I151" s="5" t="e">
        <f ca="1">IF(OR(INDEX($AI$2:$AI$1001,MATCH(ROWS($AH$2:AH151),$AH$2:$AH$1001,0),1)&gt;=100000,INDEX($AO$1005:$BQ$1005,1,MATCH(COLUMNS($AO$1006:AV1006),$AO$1006:$BQ$1006,0))&gt;=100000), " ",IF(INDEX($AO$2:$BQ$1001,MATCH(ROWS($AH$2:AH151),$AH$2:$AH$1001,0),MATCH(COLUMNS($AO$1006:AV1006),$AO$1006:$BQ$1006,0)), HYPERLINK("#",""), HYPERLINK(CONCATENATE("#Metadata!", ADDRESS(INDEX($AJ$2:$AJ$1001,MATCH(ROWS($AH$2:AH151),$AH$2:$AH$1001,0),0), INDEX($AO$1004:$BQ$1004,1,MATCH(COLUMNS($AO$1006:AV1006),$AO$1006:$BQ$1006,0)))),"Fix")))</f>
        <v>#N/A</v>
      </c>
      <c r="J151" s="5" t="e">
        <f ca="1">IF(OR(INDEX($AI$2:$AI$1001,MATCH(ROWS($AH$2:AH151),$AH$2:$AH$1001,0),1)&gt;=100000,INDEX($AO$1005:$BQ$1005,1,MATCH(COLUMNS($AO$1006:AW1006),$AO$1006:$BQ$1006,0))&gt;=100000), " ",IF(INDEX($AO$2:$BQ$1001,MATCH(ROWS($AH$2:AH151),$AH$2:$AH$1001,0),MATCH(COLUMNS($AO$1006:AW1006),$AO$1006:$BQ$1006,0)), HYPERLINK("#",""), HYPERLINK(CONCATENATE("#Metadata!", ADDRESS(INDEX($AJ$2:$AJ$1001,MATCH(ROWS($AH$2:AH151),$AH$2:$AH$1001,0),0), INDEX($AO$1004:$BQ$1004,1,MATCH(COLUMNS($AO$1006:AW1006),$AO$1006:$BQ$1006,0)))),"Fix")))</f>
        <v>#N/A</v>
      </c>
      <c r="K151" s="5" t="e">
        <f ca="1">IF(OR(INDEX($AI$2:$AI$1001,MATCH(ROWS($AH$2:AH151),$AH$2:$AH$1001,0),1)&gt;=100000,INDEX($AO$1005:$BQ$1005,1,MATCH(COLUMNS($AO$1006:AX1006),$AO$1006:$BQ$1006,0))&gt;=100000), " ",IF(INDEX($AO$2:$BQ$1001,MATCH(ROWS($AH$2:AH151),$AH$2:$AH$1001,0),MATCH(COLUMNS($AO$1006:AX1006),$AO$1006:$BQ$1006,0)), HYPERLINK("#",""), HYPERLINK(CONCATENATE("#Metadata!", ADDRESS(INDEX($AJ$2:$AJ$1001,MATCH(ROWS($AH$2:AH151),$AH$2:$AH$1001,0),0), INDEX($AO$1004:$BQ$1004,1,MATCH(COLUMNS($AO$1006:AX1006),$AO$1006:$BQ$1006,0)))),"Fix")))</f>
        <v>#N/A</v>
      </c>
      <c r="L151" s="5" t="e">
        <f ca="1">IF(OR(INDEX($AI$2:$AI$1001,MATCH(ROWS($AH$2:AH151),$AH$2:$AH$1001,0),1)&gt;=100000,INDEX($AO$1005:$BQ$1005,1,MATCH(COLUMNS($AO$1006:AY1006),$AO$1006:$BQ$1006,0))&gt;=100000), " ",IF(INDEX($AO$2:$BQ$1001,MATCH(ROWS($AH$2:AH151),$AH$2:$AH$1001,0),MATCH(COLUMNS($AO$1006:AY1006),$AO$1006:$BQ$1006,0)), HYPERLINK("#",""), HYPERLINK(CONCATENATE("#Metadata!", ADDRESS(INDEX($AJ$2:$AJ$1001,MATCH(ROWS($AH$2:AH151),$AH$2:$AH$1001,0),0), INDEX($AO$1004:$BQ$1004,1,MATCH(COLUMNS($AO$1006:AY1006),$AO$1006:$BQ$1006,0)))),"Fix")))</f>
        <v>#N/A</v>
      </c>
      <c r="M151" s="5" t="e">
        <f ca="1">IF(OR(INDEX($AI$2:$AI$1001,MATCH(ROWS($AH$2:AH151),$AH$2:$AH$1001,0),1)&gt;=100000,INDEX($AO$1005:$BQ$1005,1,MATCH(COLUMNS($AO$1006:AZ1006),$AO$1006:$BQ$1006,0))&gt;=100000), " ",IF(INDEX($AO$2:$BQ$1001,MATCH(ROWS($AH$2:AH151),$AH$2:$AH$1001,0),MATCH(COLUMNS($AO$1006:AZ1006),$AO$1006:$BQ$1006,0)), HYPERLINK("#",""), HYPERLINK(CONCATENATE("#Metadata!", ADDRESS(INDEX($AJ$2:$AJ$1001,MATCH(ROWS($AH$2:AH151),$AH$2:$AH$1001,0),0), INDEX($AO$1004:$BQ$1004,1,MATCH(COLUMNS($AO$1006:AZ1006),$AO$1006:$BQ$1006,0)))),"Fix")))</f>
        <v>#N/A</v>
      </c>
      <c r="N151" s="5" t="e">
        <f ca="1">IF(OR(INDEX($AI$2:$AI$1001,MATCH(ROWS($AH$2:AH151),$AH$2:$AH$1001,0),1)&gt;=100000,INDEX($AO$1005:$BQ$1005,1,MATCH(COLUMNS($AO$1006:BA1006),$AO$1006:$BQ$1006,0))&gt;=100000), " ",IF(INDEX($AO$2:$BQ$1001,MATCH(ROWS($AH$2:AH151),$AH$2:$AH$1001,0),MATCH(COLUMNS($AO$1006:BA1006),$AO$1006:$BQ$1006,0)), HYPERLINK("#",""), HYPERLINK(CONCATENATE("#Metadata!", ADDRESS(INDEX($AJ$2:$AJ$1001,MATCH(ROWS($AH$2:AH151),$AH$2:$AH$1001,0),0), INDEX($AO$1004:$BQ$1004,1,MATCH(COLUMNS($AO$1006:BA1006),$AO$1006:$BQ$1006,0)))),"Fix")))</f>
        <v>#N/A</v>
      </c>
      <c r="O151" s="5" t="e">
        <f ca="1">IF(OR(INDEX($AI$2:$AI$1001,MATCH(ROWS($AH$2:AH151),$AH$2:$AH$1001,0),1)&gt;=100000,INDEX($AO$1005:$BQ$1005,1,MATCH(COLUMNS($AO$1006:BB1006),$AO$1006:$BQ$1006,0))&gt;=100000), " ",IF(INDEX($AO$2:$BQ$1001,MATCH(ROWS($AH$2:AH151),$AH$2:$AH$1001,0),MATCH(COLUMNS($AO$1006:BB1006),$AO$1006:$BQ$1006,0)), HYPERLINK("#",""), HYPERLINK(CONCATENATE("#Metadata!", ADDRESS(INDEX($AJ$2:$AJ$1001,MATCH(ROWS($AH$2:AH151),$AH$2:$AH$1001,0),0), INDEX($AO$1004:$BQ$1004,1,MATCH(COLUMNS($AO$1006:BB1006),$AO$1006:$BQ$1006,0)))),"Fix")))</f>
        <v>#N/A</v>
      </c>
      <c r="P151" s="5" t="e">
        <f ca="1">IF(OR(INDEX($AI$2:$AI$1001,MATCH(ROWS($AH$2:AH151),$AH$2:$AH$1001,0),1)&gt;=100000,INDEX($AO$1005:$BQ$1005,1,MATCH(COLUMNS($AO$1006:BC1006),$AO$1006:$BQ$1006,0))&gt;=100000), " ",IF(INDEX($AO$2:$BQ$1001,MATCH(ROWS($AH$2:AH151),$AH$2:$AH$1001,0),MATCH(COLUMNS($AO$1006:BC1006),$AO$1006:$BQ$1006,0)), HYPERLINK("#",""), HYPERLINK(CONCATENATE("#Metadata!", ADDRESS(INDEX($AJ$2:$AJ$1001,MATCH(ROWS($AH$2:AH151),$AH$2:$AH$1001,0),0), INDEX($AO$1004:$BQ$1004,1,MATCH(COLUMNS($AO$1006:BC1006),$AO$1006:$BQ$1006,0)))),"Fix")))</f>
        <v>#N/A</v>
      </c>
      <c r="Q151" s="5" t="e">
        <f ca="1">IF(OR(INDEX($AI$2:$AI$1001,MATCH(ROWS($AH$2:AH151),$AH$2:$AH$1001,0),1)&gt;=100000,INDEX($AO$1005:$BQ$1005,1,MATCH(COLUMNS($AO$1006:BD1006),$AO$1006:$BQ$1006,0))&gt;=100000), " ",IF(INDEX($AO$2:$BQ$1001,MATCH(ROWS($AH$2:AH151),$AH$2:$AH$1001,0),MATCH(COLUMNS($AO$1006:BD1006),$AO$1006:$BQ$1006,0)), HYPERLINK("#",""), HYPERLINK(CONCATENATE("#Metadata!", ADDRESS(INDEX($AJ$2:$AJ$1001,MATCH(ROWS($AH$2:AH151),$AH$2:$AH$1001,0),0), INDEX($AO$1004:$BQ$1004,1,MATCH(COLUMNS($AO$1006:BD1006),$AO$1006:$BQ$1006,0)))),"Fix")))</f>
        <v>#N/A</v>
      </c>
      <c r="R151" s="5" t="e">
        <f ca="1">IF(OR(INDEX($AI$2:$AI$1001,MATCH(ROWS($AH$2:AH151),$AH$2:$AH$1001,0),1)&gt;=100000,INDEX($AO$1005:$BQ$1005,1,MATCH(COLUMNS($AO$1006:BE1006),$AO$1006:$BQ$1006,0))&gt;=100000), " ",IF(INDEX($AO$2:$BQ$1001,MATCH(ROWS($AH$2:AH151),$AH$2:$AH$1001,0),MATCH(COLUMNS($AO$1006:BE1006),$AO$1006:$BQ$1006,0)), HYPERLINK("#",""), HYPERLINK(CONCATENATE("#Metadata!", ADDRESS(INDEX($AJ$2:$AJ$1001,MATCH(ROWS($AH$2:AH151),$AH$2:$AH$1001,0),0), INDEX($AO$1004:$BQ$1004,1,MATCH(COLUMNS($AO$1006:BE1006),$AO$1006:$BQ$1006,0)))),"Fix")))</f>
        <v>#N/A</v>
      </c>
      <c r="S151" s="5" t="e">
        <f ca="1">IF(OR(INDEX($AI$2:$AI$1001,MATCH(ROWS($AH$2:AH151),$AH$2:$AH$1001,0),1)&gt;=100000,INDEX($AO$1005:$BQ$1005,1,MATCH(COLUMNS($AO$1006:BF1006),$AO$1006:$BQ$1006,0))&gt;=100000), " ",IF(INDEX($AO$2:$BQ$1001,MATCH(ROWS($AH$2:AH151),$AH$2:$AH$1001,0),MATCH(COLUMNS($AO$1006:BF1006),$AO$1006:$BQ$1006,0)), HYPERLINK("#",""), HYPERLINK(CONCATENATE("#Metadata!", ADDRESS(INDEX($AJ$2:$AJ$1001,MATCH(ROWS($AH$2:AH151),$AH$2:$AH$1001,0),0), INDEX($AO$1004:$BQ$1004,1,MATCH(COLUMNS($AO$1006:BF1006),$AO$1006:$BQ$1006,0)))),"Fix")))</f>
        <v>#N/A</v>
      </c>
      <c r="T151" s="5" t="e">
        <f ca="1">IF(OR(INDEX($AI$2:$AI$1001,MATCH(ROWS($AH$2:AH151),$AH$2:$AH$1001,0),1)&gt;=100000,INDEX($AO$1005:$BQ$1005,1,MATCH(COLUMNS($AO$1006:BG1006),$AO$1006:$BQ$1006,0))&gt;=100000), " ",IF(INDEX($AO$2:$BQ$1001,MATCH(ROWS($AH$2:AH151),$AH$2:$AH$1001,0),MATCH(COLUMNS($AO$1006:BG1006),$AO$1006:$BQ$1006,0)), HYPERLINK("#",""), HYPERLINK(CONCATENATE("#Metadata!", ADDRESS(INDEX($AJ$2:$AJ$1001,MATCH(ROWS($AH$2:AH151),$AH$2:$AH$1001,0),0), INDEX($AO$1004:$BQ$1004,1,MATCH(COLUMNS($AO$1006:BG1006),$AO$1006:$BQ$1006,0)))),"Fix")))</f>
        <v>#N/A</v>
      </c>
      <c r="U151" s="5" t="e">
        <f ca="1">IF(OR(INDEX($AI$2:$AI$1001,MATCH(ROWS($AH$2:AH151),$AH$2:$AH$1001,0),1)&gt;=100000,INDEX($AO$1005:$BQ$1005,1,MATCH(COLUMNS($AO$1006:BH1006),$AO$1006:$BQ$1006,0))&gt;=100000), " ",IF(INDEX($AO$2:$BQ$1001,MATCH(ROWS($AH$2:AH151),$AH$2:$AH$1001,0),MATCH(COLUMNS($AO$1006:BH1006),$AO$1006:$BQ$1006,0)), HYPERLINK("#",""), HYPERLINK(CONCATENATE("#Metadata!", ADDRESS(INDEX($AJ$2:$AJ$1001,MATCH(ROWS($AH$2:AH151),$AH$2:$AH$1001,0),0), INDEX($AO$1004:$BQ$1004,1,MATCH(COLUMNS($AO$1006:BH1006),$AO$1006:$BQ$1006,0)))),"Fix")))</f>
        <v>#N/A</v>
      </c>
      <c r="V151" s="5" t="e">
        <f ca="1">IF(OR(INDEX($AI$2:$AI$1001,MATCH(ROWS($AH$2:AH151),$AH$2:$AH$1001,0),1)&gt;=100000,INDEX($AO$1005:$BQ$1005,1,MATCH(COLUMNS($AO$1006:BI1006),$AO$1006:$BQ$1006,0))&gt;=100000), " ",IF(INDEX($AO$2:$BQ$1001,MATCH(ROWS($AH$2:AH151),$AH$2:$AH$1001,0),MATCH(COLUMNS($AO$1006:BI1006),$AO$1006:$BQ$1006,0)), HYPERLINK("#",""), HYPERLINK(CONCATENATE("#Metadata!", ADDRESS(INDEX($AJ$2:$AJ$1001,MATCH(ROWS($AH$2:AH151),$AH$2:$AH$1001,0),0), INDEX($AO$1004:$BQ$1004,1,MATCH(COLUMNS($AO$1006:BI1006),$AO$1006:$BQ$1006,0)))),"Fix")))</f>
        <v>#N/A</v>
      </c>
      <c r="W151" s="5" t="e">
        <f ca="1">IF(OR(INDEX($AI$2:$AI$1001,MATCH(ROWS($AH$2:AH151),$AH$2:$AH$1001,0),1)&gt;=100000,INDEX($AO$1005:$BQ$1005,1,MATCH(COLUMNS($AO$1006:BJ1006),$AO$1006:$BQ$1006,0))&gt;=100000), " ",IF(INDEX($AO$2:$BQ$1001,MATCH(ROWS($AH$2:AH151),$AH$2:$AH$1001,0),MATCH(COLUMNS($AO$1006:BJ1006),$AO$1006:$BQ$1006,0)), HYPERLINK("#",""), HYPERLINK(CONCATENATE("#Metadata!", ADDRESS(INDEX($AJ$2:$AJ$1001,MATCH(ROWS($AH$2:AH151),$AH$2:$AH$1001,0),0), INDEX($AO$1004:$BQ$1004,1,MATCH(COLUMNS($AO$1006:BJ1006),$AO$1006:$BQ$1006,0)))),"Fix")))</f>
        <v>#N/A</v>
      </c>
      <c r="X151" s="5" t="e">
        <f ca="1">IF(OR(INDEX($AI$2:$AI$1001,MATCH(ROWS($AH$2:AH151),$AH$2:$AH$1001,0),1)&gt;=100000,INDEX($AO$1005:$BQ$1005,1,MATCH(COLUMNS($AO$1006:BK1006),$AO$1006:$BQ$1006,0))&gt;=100000), " ",IF(INDEX($AO$2:$BQ$1001,MATCH(ROWS($AH$2:AH151),$AH$2:$AH$1001,0),MATCH(COLUMNS($AO$1006:BK1006),$AO$1006:$BQ$1006,0)), HYPERLINK("#",""), HYPERLINK(CONCATENATE("#Metadata!", ADDRESS(INDEX($AJ$2:$AJ$1001,MATCH(ROWS($AH$2:AH151),$AH$2:$AH$1001,0),0), INDEX($AO$1004:$BQ$1004,1,MATCH(COLUMNS($AO$1006:BK1006),$AO$1006:$BQ$1006,0)))),"Fix")))</f>
        <v>#N/A</v>
      </c>
      <c r="Y151" s="5" t="e">
        <f ca="1">IF(OR(INDEX($AI$2:$AI$1001,MATCH(ROWS($AH$2:AH151),$AH$2:$AH$1001,0),1)&gt;=100000,INDEX($AO$1005:$BQ$1005,1,MATCH(COLUMNS($AO$1006:BL1006),$AO$1006:$BQ$1006,0))&gt;=100000), " ",IF(INDEX($AO$2:$BQ$1001,MATCH(ROWS($AH$2:AH151),$AH$2:$AH$1001,0),MATCH(COLUMNS($AO$1006:BL1006),$AO$1006:$BQ$1006,0)), HYPERLINK("#",""), HYPERLINK(CONCATENATE("#Metadata!", ADDRESS(INDEX($AJ$2:$AJ$1001,MATCH(ROWS($AH$2:AH151),$AH$2:$AH$1001,0),0), INDEX($AO$1004:$BQ$1004,1,MATCH(COLUMNS($AO$1006:BL1006),$AO$1006:$BQ$1006,0)))),"Fix")))</f>
        <v>#N/A</v>
      </c>
      <c r="Z151" s="5" t="e">
        <f ca="1">IF(OR(INDEX($AI$2:$AI$1001,MATCH(ROWS($AH$2:AH151),$AH$2:$AH$1001,0),1)&gt;=100000,INDEX($AO$1005:$BQ$1005,1,MATCH(COLUMNS($AO$1006:BM1006),$AO$1006:$BQ$1006,0))&gt;=100000), " ",IF(INDEX($AO$2:$BQ$1001,MATCH(ROWS($AH$2:AH151),$AH$2:$AH$1001,0),MATCH(COLUMNS($AO$1006:BM1006),$AO$1006:$BQ$1006,0)), HYPERLINK("#",""), HYPERLINK(CONCATENATE("#Metadata!", ADDRESS(INDEX($AJ$2:$AJ$1001,MATCH(ROWS($AH$2:AH151),$AH$2:$AH$1001,0),0), INDEX($AO$1004:$BQ$1004,1,MATCH(COLUMNS($AO$1006:BM1006),$AO$1006:$BQ$1006,0)))),"Fix")))</f>
        <v>#N/A</v>
      </c>
      <c r="AA151" s="5" t="e">
        <f ca="1">IF(OR(INDEX($AI$2:$AI$1001,MATCH(ROWS($AH$2:AH151),$AH$2:$AH$1001,0),1)&gt;=100000,INDEX($AO$1005:$BQ$1005,1,MATCH(COLUMNS($AO$1006:BN1006),$AO$1006:$BQ$1006,0))&gt;=100000), " ",IF(INDEX($AO$2:$BQ$1001,MATCH(ROWS($AH$2:AH151),$AH$2:$AH$1001,0),MATCH(COLUMNS($AO$1006:BN1006),$AO$1006:$BQ$1006,0)), HYPERLINK("#",""), HYPERLINK(CONCATENATE("#Metadata!", ADDRESS(INDEX($AJ$2:$AJ$1001,MATCH(ROWS($AH$2:AH151),$AH$2:$AH$1001,0),0), INDEX($AO$1004:$BQ$1004,1,MATCH(COLUMNS($AO$1006:BN1006),$AO$1006:$BQ$1006,0)))),"Fix")))</f>
        <v>#N/A</v>
      </c>
      <c r="AB151" s="5" t="e">
        <f ca="1">IF(OR(INDEX($AI$2:$AI$1001,MATCH(ROWS($AH$2:AH151),$AH$2:$AH$1001,0),1)&gt;=100000,INDEX($AO$1005:$BQ$1005,1,MATCH(COLUMNS($AO$1006:BO1006),$AO$1006:$BQ$1006,0))&gt;=100000), " ",IF(INDEX($AO$2:$BQ$1001,MATCH(ROWS($AH$2:AH151),$AH$2:$AH$1001,0),MATCH(COLUMNS($AO$1006:BO1006),$AO$1006:$BQ$1006,0)), HYPERLINK("#",""), HYPERLINK(CONCATENATE("#Metadata!", ADDRESS(INDEX($AJ$2:$AJ$1001,MATCH(ROWS($AH$2:AH151),$AH$2:$AH$1001,0),0), INDEX($AO$1004:$BQ$1004,1,MATCH(COLUMNS($AO$1006:BO1006),$AO$1006:$BQ$1006,0)))),"Fix")))</f>
        <v>#N/A</v>
      </c>
      <c r="AC151" s="5" t="e">
        <f ca="1">IF(OR(INDEX($AI$2:$AI$1001,MATCH(ROWS($AH$2:AH151),$AH$2:$AH$1001,0),1)&gt;=100000,INDEX($AO$1005:$BQ$1005,1,MATCH(COLUMNS($AO$1006:BP1006),$AO$1006:$BQ$1006,0))&gt;=100000), " ",IF(INDEX($AO$2:$BQ$1001,MATCH(ROWS($AH$2:AH151),$AH$2:$AH$1001,0),MATCH(COLUMNS($AO$1006:BP1006),$AO$1006:$BQ$1006,0)), HYPERLINK("#",""), HYPERLINK(CONCATENATE("#Metadata!", ADDRESS(INDEX($AJ$2:$AJ$1001,MATCH(ROWS($AH$2:AH151),$AH$2:$AH$1001,0),0), INDEX($AO$1004:$BQ$1004,1,MATCH(COLUMNS($AO$1006:BP1006),$AO$1006:$BQ$1006,0)))),"Fix")))</f>
        <v>#N/A</v>
      </c>
      <c r="AD151" s="5" t="e">
        <f ca="1">IF(OR(INDEX($AI$2:$AI$1001,MATCH(ROWS($AH$2:AH151),$AH$2:$AH$1001,0),1)&gt;=100000,INDEX($AO$1005:$BQ$1005,1,MATCH(COLUMNS($AO$1006:BQ1006),$AO$1006:$BQ$1006,0))&gt;=100000), " ",IF(INDEX($AO$2:$BQ$1001,MATCH(ROWS($AH$2:AH151),$AH$2:$AH$1001,0),MATCH(COLUMNS($AO$1006:BQ1006),$AO$1006:$BQ$1006,0)), HYPERLINK("#",""), HYPERLINK(CONCATENATE("#Metadata!", ADDRESS(INDEX($AJ$2:$AJ$1001,MATCH(ROWS($AH$2:AH151),$AH$2:$AH$1001,0),0), INDEX($AO$1004:$BQ$1004,1,MATCH(COLUMNS($AO$1006:BQ1006),$AO$1006:$BQ$1006,0)))),"Fix")))</f>
        <v>#REF!</v>
      </c>
      <c r="AH151">
        <f ca="1"/>
        <v>148</v>
      </c>
      <c r="AI151">
        <v>100151</v>
      </c>
      <c r="AJ151">
        <v>151</v>
      </c>
      <c r="AK151" t="b">
        <f t="shared" si="2"/>
        <v>1</v>
      </c>
      <c r="AL151" t="b">
        <f>COUNTBLANK(Metadata!B151:AD151)=COLUMNS(Metadata!B151:AD151)</f>
        <v>1</v>
      </c>
      <c r="AM151" t="str">
        <v/>
      </c>
      <c r="AO151" t="b">
        <f ca="1">AND(IF(Metadata!B151="",FALSE,TRUE),COUNTIF(Metadata!B:B, Metadata!B151) = 1,NOT(ISERROR(SUMPRODUCT(SEARCH(MID(Metadata!B151,ROW(INDIRECT("1:"&amp;LEN(Metadata!B151))), 1),"0123456789abcdefghijklmnopqrstuvwxyzABCDEFGHIJKLMNOPQRSTUVWXYZ.")))))</f>
        <v>0</v>
      </c>
      <c r="AP151" t="b">
        <f>IF(Metadata!C151="",FALSE,TRUE)</f>
        <v>0</v>
      </c>
      <c r="AQ151" t="b">
        <f>IF(Metadata!D151="",FALSE,TRUE)</f>
        <v>0</v>
      </c>
      <c r="AR151" t="b">
        <f ca="1">OR(AND(IF(Metadata!E151="",FALSE,TRUE),OR(EXACT(Metadata!E151,"not collected"),EXACT(Metadata!E151,"not provided"),EXACT(Metadata!E151,"restricted access"))),AND(IF(Metadata!E151="",FALSE,TRUE),AND(AND(IFERROR(INT(LEFT(Metadata!E151,4))&gt;1900,FALSE),IFERROR(INT(LEFT(Metadata!E151,4))&lt;=YEAR(NOW()),FALSE)), OR(MID(Metadata!E151,5,1)="", AND(AND(MID(Metadata!E151,5,1)="-",IFERROR(INT(MID(Metadata!E151,6,1))&gt;=0,FALSE),IFERROR(INT(MID(Metadata!E151,6,1))&lt;=1,FALSE),NOT(MID(Metadata!E151,7,1)=""),IFERROR(INT(MID(Metadata!E151,6,2))&gt;=1,FALSE),IFERROR(INT(MID(Metadata!E151,6,2))&lt;=12,FALSE)), OR(MID(Metadata!E151,8,1)="", AND(AND(MID(Metadata!E151,8,1)="-",IFERROR(INT(MID(Metadata!E151,9,1))&gt;=0,FALSE),IFERROR(INT(MID(Metadata!E151,9,1))&lt;=3,FALSE),NOT(MID(Metadata!E151,10,1)=""),IFERROR(INT(MID(Metadata!E151,9,2))&gt;=1,FALSE),IFERROR(INT(MID(Metadata!E151,9,2))&lt;=31,FALSE)), OR(MID(Metadata!E151,11,1)="", AND(AND(MID(Metadata!E151,11,1)=" ",IFERROR(INT(MID(Metadata!E151,12,1))&gt;=0,FALSE),IFERROR(INT(MID(Metadata!E151,12,1))&lt;=2,FALSE),NOT(MID(Metadata!E151,13,1)=""),IFERROR(INT(MID(Metadata!E151,12,2))&gt;=0,FALSE),IFERROR(INT(MID(Metadata!E151,12,2))&lt;=23,FALSE)), OR(MID(Metadata!E151,14,1)="", AND(AND(MID(Metadata!E151,14,1)=":",IFERROR(INT(MID(Metadata!E151,15,1))&gt;=0,FALSE),IFERROR(INT(MID(Metadata!E151,15,1))&lt;=5,FALSE),NOT(MID(Metadata!E151,16,1)=""),IFERROR(INT(MID(Metadata!E151,15,2))&gt;=0,FALSE),IFERROR(INT(MID(Metadata!E151,15,2))&lt;=59,FALSE)), OR(MID(Metadata!E151,17,1)="", AND(AND(MID(Metadata!E151,17,1)=":",IFERROR(INT(MID(Metadata!E151,18,1))&gt;=0,FALSE),IFERROR(INT(MID(Metadata!E151,18,1))&lt;=5,FALSE),NOT(MID(Metadata!E151,19,1)=""),IFERROR(INT(MID(Metadata!E151,18,2))&gt;=0,FALSE),IFERROR(INT(MID(Metadata!E151,18,2))&lt;=59,FALSE)), LEN(Metadata!E151)&lt;=19)))))))))))))</f>
        <v>0</v>
      </c>
      <c r="AS151" t="b">
        <f>IF(Metadata!F151="",FALSE,TRUE)</f>
        <v>0</v>
      </c>
      <c r="AT151" t="b">
        <f>OR(AND(IF(Metadata!G151="",FALSE,TRUE),OR(EXACT(Metadata!G151,"not collected"),EXACT(Metadata!G151,"not provided"))),AND(IF(Metadata!G151="",FALSE,TRUE),OR(EXACT(Metadata!G151,"TRUE"),EXACT(Metadata!G151,"FALSE"))))</f>
        <v>0</v>
      </c>
      <c r="AU151" t="b">
        <f>OR(AND(IF(Metadata!H151="",FALSE,TRUE),OR(EXACT(Metadata!H151,"not collected"),EXACT(Metadata!H151,"not provided"),EXACT(Metadata!H151,"restricted access"))),AND(IF(Metadata!H151="",FALSE,ISNUMBER(VALUE(Metadata!H151))),Metadata!H151&gt;=-413))</f>
        <v>0</v>
      </c>
      <c r="AV151" t="b">
        <f>AND(IF(Metadata!I151="",FALSE,TRUE),EXACT(Metadata!I151,"meters"))</f>
        <v>0</v>
      </c>
      <c r="AW151" t="b">
        <f>AND(IF(Metadata!J151="",FALSE,TRUE),EXACT(Metadata!J151,"free-living"))</f>
        <v>0</v>
      </c>
      <c r="AX151" t="b">
        <f>AND(IF(Metadata!K151="",FALSE,TRUE),OR(EXACT(Metadata!K151,"saline"),EXACT(Metadata!K151,"non-saline")))</f>
        <v>0</v>
      </c>
      <c r="AY151" t="b">
        <f>AND(IF(Metadata!L151="",FALSE,TRUE),OR(EXACT(Metadata!L151,"sub-surface (non-saline)"),EXACT(Metadata!L151,"surface (non-saline)"),EXACT(Metadata!L151,"water (non-saline)"),EXACT(Metadata!L151,"soil (non-saline)"),EXACT(Metadata!L151,"aerosol (non-saline)"),EXACT(Metadata!L151,"sediment (non-saline)"),EXACT(Metadata!L151,"surface (saline)"),EXACT(Metadata!L151,"water (saline)"),EXACT(Metadata!L151,"hypersaline (saline)"),EXACT(Metadata!L151,"aerosol (saline)"),EXACT(Metadata!L151,"sediment (saline)")))</f>
        <v>0</v>
      </c>
      <c r="AZ151" t="b">
        <f>IF(Metadata!M151="",FALSE,TRUE)</f>
        <v>0</v>
      </c>
      <c r="BA151" t="b">
        <f>IF(Metadata!N151="",FALSE,TRUE)</f>
        <v>0</v>
      </c>
      <c r="BB151" t="b">
        <f>IF(Metadata!O151="",FALSE,TRUE)</f>
        <v>0</v>
      </c>
      <c r="BC151" t="b">
        <f>AND(IF(Metadata!P151="",FALSE,TRUE),OR(EXACT(Metadata!P151,"air"),EXACT(Metadata!P151,"microbial mat/biofilm"),EXACT(Metadata!P151,"misc environment"),EXACT(Metadata!P151,"sediment"),EXACT(Metadata!P151,"soil"),EXACT(Metadata!P151,"wastewater/sludge"),EXACT(Metadata!P151,"water")))</f>
        <v>0</v>
      </c>
      <c r="BD151" t="b">
        <f>IF(Metadata!Q151="",FALSE,TRUE)</f>
        <v>0</v>
      </c>
      <c r="BE151" t="b">
        <f>IF(Metadata!R151="",FALSE,TRUE)</f>
        <v>0</v>
      </c>
      <c r="BF151" t="b">
        <f>OR(AND(IF(Metadata!S151="",FALSE,TRUE),OR(EXACT(Metadata!S151,"not collected"),EXACT(Metadata!S151,"not provided"),EXACT(Metadata!S151,"restricted access"))),AND(IF(Metadata!S151="",FALSE,ISNUMBER(VALUE(Metadata!S151))),Metadata!S151&gt;=-90,Metadata!S151&lt;=90))</f>
        <v>0</v>
      </c>
      <c r="BG151" t="b">
        <f>AND(IF(Metadata!T151="",FALSE,TRUE),EXACT(Metadata!T151,"Decimal degrees"))</f>
        <v>0</v>
      </c>
      <c r="BH151" t="b">
        <f>OR(AND(IF(Metadata!U151="",FALSE,TRUE),OR(EXACT(Metadata!U151,"not applicable"),EXACT(Metadata!U151,"not collected"))),IF(Metadata!U151="",FALSE,TRUE))</f>
        <v>0</v>
      </c>
      <c r="BI151" t="b">
        <f>OR(AND(IF(Metadata!V151="",FALSE,TRUE),OR(EXACT(Metadata!V151,"not collected"),EXACT(Metadata!V151,"not provided"),EXACT(Metadata!V151,"restricted access"))),AND(IF(Metadata!V151="",FALSE,ISNUMBER(VALUE(Metadata!V151))),Metadata!V151&gt;=-180,Metadata!V151&lt;=180))</f>
        <v>0</v>
      </c>
      <c r="BJ151" t="b">
        <f>AND(IF(Metadata!W151="",FALSE,TRUE),EXACT(Metadata!W151,"Decimal degrees"))</f>
        <v>0</v>
      </c>
      <c r="BK151" t="b">
        <f>IF(Metadata!X151="",FALSE,TRUE)</f>
        <v>0</v>
      </c>
      <c r="BL151" t="b">
        <f>OR(AND(IF(Metadata!Y151="",FALSE,TRUE),OR(EXACT(Metadata!Y151,"not collected"),EXACT(Metadata!Y151,"not provided"),EXACT(Metadata!Y151,"restricted access"))),AND(IF(Metadata!Y151="",FALSE,TRUE),OR(EXACT(Metadata!Y151,"TRUE"),EXACT(Metadata!Y151,"FALSE"))))</f>
        <v>0</v>
      </c>
      <c r="BM151" t="b">
        <f>OR(AND(IF(Metadata!Z151="",FALSE,TRUE),EXACT(Metadata!Z151,"not applicable")),AND(IF(Metadata!Z151="",FALSE,TRUE),OR(EXACT(Metadata!Z151,"beer"),EXACT(Metadata!Z151,"cheese"),EXACT(Metadata!Z151,"fresh water"),EXACT(Metadata!Z151,"marine sediment"),EXACT(Metadata!Z151,"sea water"),EXACT(Metadata!Z151,"sediment"),EXACT(Metadata!Z151,"soil"),EXACT(Metadata!Z151,"waste water"))))</f>
        <v>0</v>
      </c>
      <c r="BN151" t="b">
        <f>AND(IF(Metadata!AA151="",FALSE,TRUE),EXACT(Metadata!AA151,"metagenome"))</f>
        <v>0</v>
      </c>
      <c r="BO151" t="b">
        <f>AND(IF(Metadata!AB151="",FALSE,TRUE),EXACT(Metadata!AB151,"256318"))</f>
        <v>0</v>
      </c>
      <c r="BP151" t="b">
        <f>IF(Metadata!AC151="",FALSE,TRUE)</f>
        <v>0</v>
      </c>
      <c r="BQ151" t="b">
        <f>IF(Metadata!AD151="",FALSE,TRUE)</f>
        <v>0</v>
      </c>
    </row>
    <row r="152" spans="1:69" x14ac:dyDescent="0.2">
      <c r="A152" s="4" t="e">
        <f ca="1">IF(B152=" "," ",HYPERLINK(CONCATENATE("#metadata!",ADDRESS(INDEX($AJ$2:$AJ$1001,MATCH(ROWS($AH$2:AH152),$AH$2:$AH$1001,0),0),2)),INDEX($AM$2:$AM$1001,MATCH(ROWS($AH$2:AH152),$AH$2:$AH$1001,0),0)))</f>
        <v>#N/A</v>
      </c>
      <c r="B152" s="5" t="e">
        <f ca="1">IF(OR(INDEX($AI$2:$AI$1001,MATCH(ROWS($AH$2:AH152),$AH$2:$AH$1001,0),1)&gt;=100000,INDEX($AO$1005:$BQ$1005,1,MATCH(COLUMNS($AO$1006:AO1006),$AO$1006:$BQ$1006,0))&gt;=100000), " ",IF(INDEX($AO$2:$BQ$1001,MATCH(ROWS($AH$2:AH152),$AH$2:$AH$1001,0),MATCH(COLUMNS($AO$1006:AO1006),$AO$1006:$BQ$1006,0)), HYPERLINK("#",""), HYPERLINK(CONCATENATE("#Metadata!", ADDRESS(INDEX($AJ$2:$AJ$1001,MATCH(ROWS($AH$2:AH152),$AH$2:$AH$1001,0),0), INDEX($AO$1004:$BQ$1004,1,MATCH(COLUMNS($AO$1006:AO1006),$AO$1006:$BQ$1006,0)))),"Fix")))</f>
        <v>#N/A</v>
      </c>
      <c r="C152" s="5" t="e">
        <f ca="1">IF(OR(INDEX($AI$2:$AI$1001,MATCH(ROWS($AH$2:AH152),$AH$2:$AH$1001,0),1)&gt;=100000,INDEX($AO$1005:$BQ$1005,1,MATCH(COLUMNS($AO$1006:AP1006),$AO$1006:$BQ$1006,0))&gt;=100000), " ",IF(INDEX($AO$2:$BQ$1001,MATCH(ROWS($AH$2:AH152),$AH$2:$AH$1001,0),MATCH(COLUMNS($AO$1006:AP1006),$AO$1006:$BQ$1006,0)), HYPERLINK("#",""), HYPERLINK(CONCATENATE("#Metadata!", ADDRESS(INDEX($AJ$2:$AJ$1001,MATCH(ROWS($AH$2:AH152),$AH$2:$AH$1001,0),0), INDEX($AO$1004:$BQ$1004,1,MATCH(COLUMNS($AO$1006:AP1006),$AO$1006:$BQ$1006,0)))),"Fix")))</f>
        <v>#N/A</v>
      </c>
      <c r="D152" s="5" t="e">
        <f ca="1">IF(OR(INDEX($AI$2:$AI$1001,MATCH(ROWS($AH$2:AH152),$AH$2:$AH$1001,0),1)&gt;=100000,INDEX($AO$1005:$BQ$1005,1,MATCH(COLUMNS($AO$1006:AQ1006),$AO$1006:$BQ$1006,0))&gt;=100000), " ",IF(INDEX($AO$2:$BQ$1001,MATCH(ROWS($AH$2:AH152),$AH$2:$AH$1001,0),MATCH(COLUMNS($AO$1006:AQ1006),$AO$1006:$BQ$1006,0)), HYPERLINK("#",""), HYPERLINK(CONCATENATE("#Metadata!", ADDRESS(INDEX($AJ$2:$AJ$1001,MATCH(ROWS($AH$2:AH152),$AH$2:$AH$1001,0),0), INDEX($AO$1004:$BQ$1004,1,MATCH(COLUMNS($AO$1006:AQ1006),$AO$1006:$BQ$1006,0)))),"Fix")))</f>
        <v>#N/A</v>
      </c>
      <c r="E152" s="5" t="e">
        <f ca="1">IF(OR(INDEX($AI$2:$AI$1001,MATCH(ROWS($AH$2:AH152),$AH$2:$AH$1001,0),1)&gt;=100000,INDEX($AO$1005:$BQ$1005,1,MATCH(COLUMNS($AO$1006:AR1006),$AO$1006:$BQ$1006,0))&gt;=100000), " ",IF(INDEX($AO$2:$BQ$1001,MATCH(ROWS($AH$2:AH152),$AH$2:$AH$1001,0),MATCH(COLUMNS($AO$1006:AR1006),$AO$1006:$BQ$1006,0)), HYPERLINK("#",""), HYPERLINK(CONCATENATE("#Metadata!", ADDRESS(INDEX($AJ$2:$AJ$1001,MATCH(ROWS($AH$2:AH152),$AH$2:$AH$1001,0),0), INDEX($AO$1004:$BQ$1004,1,MATCH(COLUMNS($AO$1006:AR1006),$AO$1006:$BQ$1006,0)))),"Fix")))</f>
        <v>#N/A</v>
      </c>
      <c r="F152" s="5" t="e">
        <f ca="1">IF(OR(INDEX($AI$2:$AI$1001,MATCH(ROWS($AH$2:AH152),$AH$2:$AH$1001,0),1)&gt;=100000,INDEX($AO$1005:$BQ$1005,1,MATCH(COLUMNS($AO$1006:AS1006),$AO$1006:$BQ$1006,0))&gt;=100000), " ",IF(INDEX($AO$2:$BQ$1001,MATCH(ROWS($AH$2:AH152),$AH$2:$AH$1001,0),MATCH(COLUMNS($AO$1006:AS1006),$AO$1006:$BQ$1006,0)), HYPERLINK("#",""), HYPERLINK(CONCATENATE("#Metadata!", ADDRESS(INDEX($AJ$2:$AJ$1001,MATCH(ROWS($AH$2:AH152),$AH$2:$AH$1001,0),0), INDEX($AO$1004:$BQ$1004,1,MATCH(COLUMNS($AO$1006:AS1006),$AO$1006:$BQ$1006,0)))),"Fix")))</f>
        <v>#N/A</v>
      </c>
      <c r="G152" s="5" t="e">
        <f ca="1">IF(OR(INDEX($AI$2:$AI$1001,MATCH(ROWS($AH$2:AH152),$AH$2:$AH$1001,0),1)&gt;=100000,INDEX($AO$1005:$BQ$1005,1,MATCH(COLUMNS($AO$1006:AT1006),$AO$1006:$BQ$1006,0))&gt;=100000), " ",IF(INDEX($AO$2:$BQ$1001,MATCH(ROWS($AH$2:AH152),$AH$2:$AH$1001,0),MATCH(COLUMNS($AO$1006:AT1006),$AO$1006:$BQ$1006,0)), HYPERLINK("#",""), HYPERLINK(CONCATENATE("#Metadata!", ADDRESS(INDEX($AJ$2:$AJ$1001,MATCH(ROWS($AH$2:AH152),$AH$2:$AH$1001,0),0), INDEX($AO$1004:$BQ$1004,1,MATCH(COLUMNS($AO$1006:AT1006),$AO$1006:$BQ$1006,0)))),"Fix")))</f>
        <v>#N/A</v>
      </c>
      <c r="H152" s="5" t="e">
        <f ca="1">IF(OR(INDEX($AI$2:$AI$1001,MATCH(ROWS($AH$2:AH152),$AH$2:$AH$1001,0),1)&gt;=100000,INDEX($AO$1005:$BQ$1005,1,MATCH(COLUMNS($AO$1006:AU1006),$AO$1006:$BQ$1006,0))&gt;=100000), " ",IF(INDEX($AO$2:$BQ$1001,MATCH(ROWS($AH$2:AH152),$AH$2:$AH$1001,0),MATCH(COLUMNS($AO$1006:AU1006),$AO$1006:$BQ$1006,0)), HYPERLINK("#",""), HYPERLINK(CONCATENATE("#Metadata!", ADDRESS(INDEX($AJ$2:$AJ$1001,MATCH(ROWS($AH$2:AH152),$AH$2:$AH$1001,0),0), INDEX($AO$1004:$BQ$1004,1,MATCH(COLUMNS($AO$1006:AU1006),$AO$1006:$BQ$1006,0)))),"Fix")))</f>
        <v>#N/A</v>
      </c>
      <c r="I152" s="5" t="e">
        <f ca="1">IF(OR(INDEX($AI$2:$AI$1001,MATCH(ROWS($AH$2:AH152),$AH$2:$AH$1001,0),1)&gt;=100000,INDEX($AO$1005:$BQ$1005,1,MATCH(COLUMNS($AO$1006:AV1006),$AO$1006:$BQ$1006,0))&gt;=100000), " ",IF(INDEX($AO$2:$BQ$1001,MATCH(ROWS($AH$2:AH152),$AH$2:$AH$1001,0),MATCH(COLUMNS($AO$1006:AV1006),$AO$1006:$BQ$1006,0)), HYPERLINK("#",""), HYPERLINK(CONCATENATE("#Metadata!", ADDRESS(INDEX($AJ$2:$AJ$1001,MATCH(ROWS($AH$2:AH152),$AH$2:$AH$1001,0),0), INDEX($AO$1004:$BQ$1004,1,MATCH(COLUMNS($AO$1006:AV1006),$AO$1006:$BQ$1006,0)))),"Fix")))</f>
        <v>#N/A</v>
      </c>
      <c r="J152" s="5" t="e">
        <f ca="1">IF(OR(INDEX($AI$2:$AI$1001,MATCH(ROWS($AH$2:AH152),$AH$2:$AH$1001,0),1)&gt;=100000,INDEX($AO$1005:$BQ$1005,1,MATCH(COLUMNS($AO$1006:AW1006),$AO$1006:$BQ$1006,0))&gt;=100000), " ",IF(INDEX($AO$2:$BQ$1001,MATCH(ROWS($AH$2:AH152),$AH$2:$AH$1001,0),MATCH(COLUMNS($AO$1006:AW1006),$AO$1006:$BQ$1006,0)), HYPERLINK("#",""), HYPERLINK(CONCATENATE("#Metadata!", ADDRESS(INDEX($AJ$2:$AJ$1001,MATCH(ROWS($AH$2:AH152),$AH$2:$AH$1001,0),0), INDEX($AO$1004:$BQ$1004,1,MATCH(COLUMNS($AO$1006:AW1006),$AO$1006:$BQ$1006,0)))),"Fix")))</f>
        <v>#N/A</v>
      </c>
      <c r="K152" s="5" t="e">
        <f ca="1">IF(OR(INDEX($AI$2:$AI$1001,MATCH(ROWS($AH$2:AH152),$AH$2:$AH$1001,0),1)&gt;=100000,INDEX($AO$1005:$BQ$1005,1,MATCH(COLUMNS($AO$1006:AX1006),$AO$1006:$BQ$1006,0))&gt;=100000), " ",IF(INDEX($AO$2:$BQ$1001,MATCH(ROWS($AH$2:AH152),$AH$2:$AH$1001,0),MATCH(COLUMNS($AO$1006:AX1006),$AO$1006:$BQ$1006,0)), HYPERLINK("#",""), HYPERLINK(CONCATENATE("#Metadata!", ADDRESS(INDEX($AJ$2:$AJ$1001,MATCH(ROWS($AH$2:AH152),$AH$2:$AH$1001,0),0), INDEX($AO$1004:$BQ$1004,1,MATCH(COLUMNS($AO$1006:AX1006),$AO$1006:$BQ$1006,0)))),"Fix")))</f>
        <v>#N/A</v>
      </c>
      <c r="L152" s="5" t="e">
        <f ca="1">IF(OR(INDEX($AI$2:$AI$1001,MATCH(ROWS($AH$2:AH152),$AH$2:$AH$1001,0),1)&gt;=100000,INDEX($AO$1005:$BQ$1005,1,MATCH(COLUMNS($AO$1006:AY1006),$AO$1006:$BQ$1006,0))&gt;=100000), " ",IF(INDEX($AO$2:$BQ$1001,MATCH(ROWS($AH$2:AH152),$AH$2:$AH$1001,0),MATCH(COLUMNS($AO$1006:AY1006),$AO$1006:$BQ$1006,0)), HYPERLINK("#",""), HYPERLINK(CONCATENATE("#Metadata!", ADDRESS(INDEX($AJ$2:$AJ$1001,MATCH(ROWS($AH$2:AH152),$AH$2:$AH$1001,0),0), INDEX($AO$1004:$BQ$1004,1,MATCH(COLUMNS($AO$1006:AY1006),$AO$1006:$BQ$1006,0)))),"Fix")))</f>
        <v>#N/A</v>
      </c>
      <c r="M152" s="5" t="e">
        <f ca="1">IF(OR(INDEX($AI$2:$AI$1001,MATCH(ROWS($AH$2:AH152),$AH$2:$AH$1001,0),1)&gt;=100000,INDEX($AO$1005:$BQ$1005,1,MATCH(COLUMNS($AO$1006:AZ1006),$AO$1006:$BQ$1006,0))&gt;=100000), " ",IF(INDEX($AO$2:$BQ$1001,MATCH(ROWS($AH$2:AH152),$AH$2:$AH$1001,0),MATCH(COLUMNS($AO$1006:AZ1006),$AO$1006:$BQ$1006,0)), HYPERLINK("#",""), HYPERLINK(CONCATENATE("#Metadata!", ADDRESS(INDEX($AJ$2:$AJ$1001,MATCH(ROWS($AH$2:AH152),$AH$2:$AH$1001,0),0), INDEX($AO$1004:$BQ$1004,1,MATCH(COLUMNS($AO$1006:AZ1006),$AO$1006:$BQ$1006,0)))),"Fix")))</f>
        <v>#N/A</v>
      </c>
      <c r="N152" s="5" t="e">
        <f ca="1">IF(OR(INDEX($AI$2:$AI$1001,MATCH(ROWS($AH$2:AH152),$AH$2:$AH$1001,0),1)&gt;=100000,INDEX($AO$1005:$BQ$1005,1,MATCH(COLUMNS($AO$1006:BA1006),$AO$1006:$BQ$1006,0))&gt;=100000), " ",IF(INDEX($AO$2:$BQ$1001,MATCH(ROWS($AH$2:AH152),$AH$2:$AH$1001,0),MATCH(COLUMNS($AO$1006:BA1006),$AO$1006:$BQ$1006,0)), HYPERLINK("#",""), HYPERLINK(CONCATENATE("#Metadata!", ADDRESS(INDEX($AJ$2:$AJ$1001,MATCH(ROWS($AH$2:AH152),$AH$2:$AH$1001,0),0), INDEX($AO$1004:$BQ$1004,1,MATCH(COLUMNS($AO$1006:BA1006),$AO$1006:$BQ$1006,0)))),"Fix")))</f>
        <v>#N/A</v>
      </c>
      <c r="O152" s="5" t="e">
        <f ca="1">IF(OR(INDEX($AI$2:$AI$1001,MATCH(ROWS($AH$2:AH152),$AH$2:$AH$1001,0),1)&gt;=100000,INDEX($AO$1005:$BQ$1005,1,MATCH(COLUMNS($AO$1006:BB1006),$AO$1006:$BQ$1006,0))&gt;=100000), " ",IF(INDEX($AO$2:$BQ$1001,MATCH(ROWS($AH$2:AH152),$AH$2:$AH$1001,0),MATCH(COLUMNS($AO$1006:BB1006),$AO$1006:$BQ$1006,0)), HYPERLINK("#",""), HYPERLINK(CONCATENATE("#Metadata!", ADDRESS(INDEX($AJ$2:$AJ$1001,MATCH(ROWS($AH$2:AH152),$AH$2:$AH$1001,0),0), INDEX($AO$1004:$BQ$1004,1,MATCH(COLUMNS($AO$1006:BB1006),$AO$1006:$BQ$1006,0)))),"Fix")))</f>
        <v>#N/A</v>
      </c>
      <c r="P152" s="5" t="e">
        <f ca="1">IF(OR(INDEX($AI$2:$AI$1001,MATCH(ROWS($AH$2:AH152),$AH$2:$AH$1001,0),1)&gt;=100000,INDEX($AO$1005:$BQ$1005,1,MATCH(COLUMNS($AO$1006:BC1006),$AO$1006:$BQ$1006,0))&gt;=100000), " ",IF(INDEX($AO$2:$BQ$1001,MATCH(ROWS($AH$2:AH152),$AH$2:$AH$1001,0),MATCH(COLUMNS($AO$1006:BC1006),$AO$1006:$BQ$1006,0)), HYPERLINK("#",""), HYPERLINK(CONCATENATE("#Metadata!", ADDRESS(INDEX($AJ$2:$AJ$1001,MATCH(ROWS($AH$2:AH152),$AH$2:$AH$1001,0),0), INDEX($AO$1004:$BQ$1004,1,MATCH(COLUMNS($AO$1006:BC1006),$AO$1006:$BQ$1006,0)))),"Fix")))</f>
        <v>#N/A</v>
      </c>
      <c r="Q152" s="5" t="e">
        <f ca="1">IF(OR(INDEX($AI$2:$AI$1001,MATCH(ROWS($AH$2:AH152),$AH$2:$AH$1001,0),1)&gt;=100000,INDEX($AO$1005:$BQ$1005,1,MATCH(COLUMNS($AO$1006:BD1006),$AO$1006:$BQ$1006,0))&gt;=100000), " ",IF(INDEX($AO$2:$BQ$1001,MATCH(ROWS($AH$2:AH152),$AH$2:$AH$1001,0),MATCH(COLUMNS($AO$1006:BD1006),$AO$1006:$BQ$1006,0)), HYPERLINK("#",""), HYPERLINK(CONCATENATE("#Metadata!", ADDRESS(INDEX($AJ$2:$AJ$1001,MATCH(ROWS($AH$2:AH152),$AH$2:$AH$1001,0),0), INDEX($AO$1004:$BQ$1004,1,MATCH(COLUMNS($AO$1006:BD1006),$AO$1006:$BQ$1006,0)))),"Fix")))</f>
        <v>#N/A</v>
      </c>
      <c r="R152" s="5" t="e">
        <f ca="1">IF(OR(INDEX($AI$2:$AI$1001,MATCH(ROWS($AH$2:AH152),$AH$2:$AH$1001,0),1)&gt;=100000,INDEX($AO$1005:$BQ$1005,1,MATCH(COLUMNS($AO$1006:BE1006),$AO$1006:$BQ$1006,0))&gt;=100000), " ",IF(INDEX($AO$2:$BQ$1001,MATCH(ROWS($AH$2:AH152),$AH$2:$AH$1001,0),MATCH(COLUMNS($AO$1006:BE1006),$AO$1006:$BQ$1006,0)), HYPERLINK("#",""), HYPERLINK(CONCATENATE("#Metadata!", ADDRESS(INDEX($AJ$2:$AJ$1001,MATCH(ROWS($AH$2:AH152),$AH$2:$AH$1001,0),0), INDEX($AO$1004:$BQ$1004,1,MATCH(COLUMNS($AO$1006:BE1006),$AO$1006:$BQ$1006,0)))),"Fix")))</f>
        <v>#N/A</v>
      </c>
      <c r="S152" s="5" t="e">
        <f ca="1">IF(OR(INDEX($AI$2:$AI$1001,MATCH(ROWS($AH$2:AH152),$AH$2:$AH$1001,0),1)&gt;=100000,INDEX($AO$1005:$BQ$1005,1,MATCH(COLUMNS($AO$1006:BF1006),$AO$1006:$BQ$1006,0))&gt;=100000), " ",IF(INDEX($AO$2:$BQ$1001,MATCH(ROWS($AH$2:AH152),$AH$2:$AH$1001,0),MATCH(COLUMNS($AO$1006:BF1006),$AO$1006:$BQ$1006,0)), HYPERLINK("#",""), HYPERLINK(CONCATENATE("#Metadata!", ADDRESS(INDEX($AJ$2:$AJ$1001,MATCH(ROWS($AH$2:AH152),$AH$2:$AH$1001,0),0), INDEX($AO$1004:$BQ$1004,1,MATCH(COLUMNS($AO$1006:BF1006),$AO$1006:$BQ$1006,0)))),"Fix")))</f>
        <v>#N/A</v>
      </c>
      <c r="T152" s="5" t="e">
        <f ca="1">IF(OR(INDEX($AI$2:$AI$1001,MATCH(ROWS($AH$2:AH152),$AH$2:$AH$1001,0),1)&gt;=100000,INDEX($AO$1005:$BQ$1005,1,MATCH(COLUMNS($AO$1006:BG1006),$AO$1006:$BQ$1006,0))&gt;=100000), " ",IF(INDEX($AO$2:$BQ$1001,MATCH(ROWS($AH$2:AH152),$AH$2:$AH$1001,0),MATCH(COLUMNS($AO$1006:BG1006),$AO$1006:$BQ$1006,0)), HYPERLINK("#",""), HYPERLINK(CONCATENATE("#Metadata!", ADDRESS(INDEX($AJ$2:$AJ$1001,MATCH(ROWS($AH$2:AH152),$AH$2:$AH$1001,0),0), INDEX($AO$1004:$BQ$1004,1,MATCH(COLUMNS($AO$1006:BG1006),$AO$1006:$BQ$1006,0)))),"Fix")))</f>
        <v>#N/A</v>
      </c>
      <c r="U152" s="5" t="e">
        <f ca="1">IF(OR(INDEX($AI$2:$AI$1001,MATCH(ROWS($AH$2:AH152),$AH$2:$AH$1001,0),1)&gt;=100000,INDEX($AO$1005:$BQ$1005,1,MATCH(COLUMNS($AO$1006:BH1006),$AO$1006:$BQ$1006,0))&gt;=100000), " ",IF(INDEX($AO$2:$BQ$1001,MATCH(ROWS($AH$2:AH152),$AH$2:$AH$1001,0),MATCH(COLUMNS($AO$1006:BH1006),$AO$1006:$BQ$1006,0)), HYPERLINK("#",""), HYPERLINK(CONCATENATE("#Metadata!", ADDRESS(INDEX($AJ$2:$AJ$1001,MATCH(ROWS($AH$2:AH152),$AH$2:$AH$1001,0),0), INDEX($AO$1004:$BQ$1004,1,MATCH(COLUMNS($AO$1006:BH1006),$AO$1006:$BQ$1006,0)))),"Fix")))</f>
        <v>#N/A</v>
      </c>
      <c r="V152" s="5" t="e">
        <f ca="1">IF(OR(INDEX($AI$2:$AI$1001,MATCH(ROWS($AH$2:AH152),$AH$2:$AH$1001,0),1)&gt;=100000,INDEX($AO$1005:$BQ$1005,1,MATCH(COLUMNS($AO$1006:BI1006),$AO$1006:$BQ$1006,0))&gt;=100000), " ",IF(INDEX($AO$2:$BQ$1001,MATCH(ROWS($AH$2:AH152),$AH$2:$AH$1001,0),MATCH(COLUMNS($AO$1006:BI1006),$AO$1006:$BQ$1006,0)), HYPERLINK("#",""), HYPERLINK(CONCATENATE("#Metadata!", ADDRESS(INDEX($AJ$2:$AJ$1001,MATCH(ROWS($AH$2:AH152),$AH$2:$AH$1001,0),0), INDEX($AO$1004:$BQ$1004,1,MATCH(COLUMNS($AO$1006:BI1006),$AO$1006:$BQ$1006,0)))),"Fix")))</f>
        <v>#N/A</v>
      </c>
      <c r="W152" s="5" t="e">
        <f ca="1">IF(OR(INDEX($AI$2:$AI$1001,MATCH(ROWS($AH$2:AH152),$AH$2:$AH$1001,0),1)&gt;=100000,INDEX($AO$1005:$BQ$1005,1,MATCH(COLUMNS($AO$1006:BJ1006),$AO$1006:$BQ$1006,0))&gt;=100000), " ",IF(INDEX($AO$2:$BQ$1001,MATCH(ROWS($AH$2:AH152),$AH$2:$AH$1001,0),MATCH(COLUMNS($AO$1006:BJ1006),$AO$1006:$BQ$1006,0)), HYPERLINK("#",""), HYPERLINK(CONCATENATE("#Metadata!", ADDRESS(INDEX($AJ$2:$AJ$1001,MATCH(ROWS($AH$2:AH152),$AH$2:$AH$1001,0),0), INDEX($AO$1004:$BQ$1004,1,MATCH(COLUMNS($AO$1006:BJ1006),$AO$1006:$BQ$1006,0)))),"Fix")))</f>
        <v>#N/A</v>
      </c>
      <c r="X152" s="5" t="e">
        <f ca="1">IF(OR(INDEX($AI$2:$AI$1001,MATCH(ROWS($AH$2:AH152),$AH$2:$AH$1001,0),1)&gt;=100000,INDEX($AO$1005:$BQ$1005,1,MATCH(COLUMNS($AO$1006:BK1006),$AO$1006:$BQ$1006,0))&gt;=100000), " ",IF(INDEX($AO$2:$BQ$1001,MATCH(ROWS($AH$2:AH152),$AH$2:$AH$1001,0),MATCH(COLUMNS($AO$1006:BK1006),$AO$1006:$BQ$1006,0)), HYPERLINK("#",""), HYPERLINK(CONCATENATE("#Metadata!", ADDRESS(INDEX($AJ$2:$AJ$1001,MATCH(ROWS($AH$2:AH152),$AH$2:$AH$1001,0),0), INDEX($AO$1004:$BQ$1004,1,MATCH(COLUMNS($AO$1006:BK1006),$AO$1006:$BQ$1006,0)))),"Fix")))</f>
        <v>#N/A</v>
      </c>
      <c r="Y152" s="5" t="e">
        <f ca="1">IF(OR(INDEX($AI$2:$AI$1001,MATCH(ROWS($AH$2:AH152),$AH$2:$AH$1001,0),1)&gt;=100000,INDEX($AO$1005:$BQ$1005,1,MATCH(COLUMNS($AO$1006:BL1006),$AO$1006:$BQ$1006,0))&gt;=100000), " ",IF(INDEX($AO$2:$BQ$1001,MATCH(ROWS($AH$2:AH152),$AH$2:$AH$1001,0),MATCH(COLUMNS($AO$1006:BL1006),$AO$1006:$BQ$1006,0)), HYPERLINK("#",""), HYPERLINK(CONCATENATE("#Metadata!", ADDRESS(INDEX($AJ$2:$AJ$1001,MATCH(ROWS($AH$2:AH152),$AH$2:$AH$1001,0),0), INDEX($AO$1004:$BQ$1004,1,MATCH(COLUMNS($AO$1006:BL1006),$AO$1006:$BQ$1006,0)))),"Fix")))</f>
        <v>#N/A</v>
      </c>
      <c r="Z152" s="5" t="e">
        <f ca="1">IF(OR(INDEX($AI$2:$AI$1001,MATCH(ROWS($AH$2:AH152),$AH$2:$AH$1001,0),1)&gt;=100000,INDEX($AO$1005:$BQ$1005,1,MATCH(COLUMNS($AO$1006:BM1006),$AO$1006:$BQ$1006,0))&gt;=100000), " ",IF(INDEX($AO$2:$BQ$1001,MATCH(ROWS($AH$2:AH152),$AH$2:$AH$1001,0),MATCH(COLUMNS($AO$1006:BM1006),$AO$1006:$BQ$1006,0)), HYPERLINK("#",""), HYPERLINK(CONCATENATE("#Metadata!", ADDRESS(INDEX($AJ$2:$AJ$1001,MATCH(ROWS($AH$2:AH152),$AH$2:$AH$1001,0),0), INDEX($AO$1004:$BQ$1004,1,MATCH(COLUMNS($AO$1006:BM1006),$AO$1006:$BQ$1006,0)))),"Fix")))</f>
        <v>#N/A</v>
      </c>
      <c r="AA152" s="5" t="e">
        <f ca="1">IF(OR(INDEX($AI$2:$AI$1001,MATCH(ROWS($AH$2:AH152),$AH$2:$AH$1001,0),1)&gt;=100000,INDEX($AO$1005:$BQ$1005,1,MATCH(COLUMNS($AO$1006:BN1006),$AO$1006:$BQ$1006,0))&gt;=100000), " ",IF(INDEX($AO$2:$BQ$1001,MATCH(ROWS($AH$2:AH152),$AH$2:$AH$1001,0),MATCH(COLUMNS($AO$1006:BN1006),$AO$1006:$BQ$1006,0)), HYPERLINK("#",""), HYPERLINK(CONCATENATE("#Metadata!", ADDRESS(INDEX($AJ$2:$AJ$1001,MATCH(ROWS($AH$2:AH152),$AH$2:$AH$1001,0),0), INDEX($AO$1004:$BQ$1004,1,MATCH(COLUMNS($AO$1006:BN1006),$AO$1006:$BQ$1006,0)))),"Fix")))</f>
        <v>#N/A</v>
      </c>
      <c r="AB152" s="5" t="e">
        <f ca="1">IF(OR(INDEX($AI$2:$AI$1001,MATCH(ROWS($AH$2:AH152),$AH$2:$AH$1001,0),1)&gt;=100000,INDEX($AO$1005:$BQ$1005,1,MATCH(COLUMNS($AO$1006:BO1006),$AO$1006:$BQ$1006,0))&gt;=100000), " ",IF(INDEX($AO$2:$BQ$1001,MATCH(ROWS($AH$2:AH152),$AH$2:$AH$1001,0),MATCH(COLUMNS($AO$1006:BO1006),$AO$1006:$BQ$1006,0)), HYPERLINK("#",""), HYPERLINK(CONCATENATE("#Metadata!", ADDRESS(INDEX($AJ$2:$AJ$1001,MATCH(ROWS($AH$2:AH152),$AH$2:$AH$1001,0),0), INDEX($AO$1004:$BQ$1004,1,MATCH(COLUMNS($AO$1006:BO1006),$AO$1006:$BQ$1006,0)))),"Fix")))</f>
        <v>#N/A</v>
      </c>
      <c r="AC152" s="5" t="e">
        <f ca="1">IF(OR(INDEX($AI$2:$AI$1001,MATCH(ROWS($AH$2:AH152),$AH$2:$AH$1001,0),1)&gt;=100000,INDEX($AO$1005:$BQ$1005,1,MATCH(COLUMNS($AO$1006:BP1006),$AO$1006:$BQ$1006,0))&gt;=100000), " ",IF(INDEX($AO$2:$BQ$1001,MATCH(ROWS($AH$2:AH152),$AH$2:$AH$1001,0),MATCH(COLUMNS($AO$1006:BP1006),$AO$1006:$BQ$1006,0)), HYPERLINK("#",""), HYPERLINK(CONCATENATE("#Metadata!", ADDRESS(INDEX($AJ$2:$AJ$1001,MATCH(ROWS($AH$2:AH152),$AH$2:$AH$1001,0),0), INDEX($AO$1004:$BQ$1004,1,MATCH(COLUMNS($AO$1006:BP1006),$AO$1006:$BQ$1006,0)))),"Fix")))</f>
        <v>#N/A</v>
      </c>
      <c r="AD152" s="5" t="e">
        <f ca="1">IF(OR(INDEX($AI$2:$AI$1001,MATCH(ROWS($AH$2:AH152),$AH$2:$AH$1001,0),1)&gt;=100000,INDEX($AO$1005:$BQ$1005,1,MATCH(COLUMNS($AO$1006:BQ1006),$AO$1006:$BQ$1006,0))&gt;=100000), " ",IF(INDEX($AO$2:$BQ$1001,MATCH(ROWS($AH$2:AH152),$AH$2:$AH$1001,0),MATCH(COLUMNS($AO$1006:BQ1006),$AO$1006:$BQ$1006,0)), HYPERLINK("#",""), HYPERLINK(CONCATENATE("#Metadata!", ADDRESS(INDEX($AJ$2:$AJ$1001,MATCH(ROWS($AH$2:AH152),$AH$2:$AH$1001,0),0), INDEX($AO$1004:$BQ$1004,1,MATCH(COLUMNS($AO$1006:BQ1006),$AO$1006:$BQ$1006,0)))),"Fix")))</f>
        <v>#REF!</v>
      </c>
      <c r="AH152">
        <f ca="1"/>
        <v>149</v>
      </c>
      <c r="AI152">
        <v>100152</v>
      </c>
      <c r="AJ152">
        <v>152</v>
      </c>
      <c r="AK152" t="b">
        <f t="shared" si="2"/>
        <v>1</v>
      </c>
      <c r="AL152" t="b">
        <f>COUNTBLANK(Metadata!B152:AD152)=COLUMNS(Metadata!B152:AD152)</f>
        <v>1</v>
      </c>
      <c r="AM152" t="str">
        <v/>
      </c>
      <c r="AO152" t="b">
        <f ca="1">AND(IF(Metadata!B152="",FALSE,TRUE),COUNTIF(Metadata!B:B, Metadata!B152) = 1,NOT(ISERROR(SUMPRODUCT(SEARCH(MID(Metadata!B152,ROW(INDIRECT("1:"&amp;LEN(Metadata!B152))), 1),"0123456789abcdefghijklmnopqrstuvwxyzABCDEFGHIJKLMNOPQRSTUVWXYZ.")))))</f>
        <v>0</v>
      </c>
      <c r="AP152" t="b">
        <f>IF(Metadata!C152="",FALSE,TRUE)</f>
        <v>0</v>
      </c>
      <c r="AQ152" t="b">
        <f>IF(Metadata!D152="",FALSE,TRUE)</f>
        <v>0</v>
      </c>
      <c r="AR152" t="b">
        <f ca="1">OR(AND(IF(Metadata!E152="",FALSE,TRUE),OR(EXACT(Metadata!E152,"not collected"),EXACT(Metadata!E152,"not provided"),EXACT(Metadata!E152,"restricted access"))),AND(IF(Metadata!E152="",FALSE,TRUE),AND(AND(IFERROR(INT(LEFT(Metadata!E152,4))&gt;1900,FALSE),IFERROR(INT(LEFT(Metadata!E152,4))&lt;=YEAR(NOW()),FALSE)), OR(MID(Metadata!E152,5,1)="", AND(AND(MID(Metadata!E152,5,1)="-",IFERROR(INT(MID(Metadata!E152,6,1))&gt;=0,FALSE),IFERROR(INT(MID(Metadata!E152,6,1))&lt;=1,FALSE),NOT(MID(Metadata!E152,7,1)=""),IFERROR(INT(MID(Metadata!E152,6,2))&gt;=1,FALSE),IFERROR(INT(MID(Metadata!E152,6,2))&lt;=12,FALSE)), OR(MID(Metadata!E152,8,1)="", AND(AND(MID(Metadata!E152,8,1)="-",IFERROR(INT(MID(Metadata!E152,9,1))&gt;=0,FALSE),IFERROR(INT(MID(Metadata!E152,9,1))&lt;=3,FALSE),NOT(MID(Metadata!E152,10,1)=""),IFERROR(INT(MID(Metadata!E152,9,2))&gt;=1,FALSE),IFERROR(INT(MID(Metadata!E152,9,2))&lt;=31,FALSE)), OR(MID(Metadata!E152,11,1)="", AND(AND(MID(Metadata!E152,11,1)=" ",IFERROR(INT(MID(Metadata!E152,12,1))&gt;=0,FALSE),IFERROR(INT(MID(Metadata!E152,12,1))&lt;=2,FALSE),NOT(MID(Metadata!E152,13,1)=""),IFERROR(INT(MID(Metadata!E152,12,2))&gt;=0,FALSE),IFERROR(INT(MID(Metadata!E152,12,2))&lt;=23,FALSE)), OR(MID(Metadata!E152,14,1)="", AND(AND(MID(Metadata!E152,14,1)=":",IFERROR(INT(MID(Metadata!E152,15,1))&gt;=0,FALSE),IFERROR(INT(MID(Metadata!E152,15,1))&lt;=5,FALSE),NOT(MID(Metadata!E152,16,1)=""),IFERROR(INT(MID(Metadata!E152,15,2))&gt;=0,FALSE),IFERROR(INT(MID(Metadata!E152,15,2))&lt;=59,FALSE)), OR(MID(Metadata!E152,17,1)="", AND(AND(MID(Metadata!E152,17,1)=":",IFERROR(INT(MID(Metadata!E152,18,1))&gt;=0,FALSE),IFERROR(INT(MID(Metadata!E152,18,1))&lt;=5,FALSE),NOT(MID(Metadata!E152,19,1)=""),IFERROR(INT(MID(Metadata!E152,18,2))&gt;=0,FALSE),IFERROR(INT(MID(Metadata!E152,18,2))&lt;=59,FALSE)), LEN(Metadata!E152)&lt;=19)))))))))))))</f>
        <v>0</v>
      </c>
      <c r="AS152" t="b">
        <f>IF(Metadata!F152="",FALSE,TRUE)</f>
        <v>0</v>
      </c>
      <c r="AT152" t="b">
        <f>OR(AND(IF(Metadata!G152="",FALSE,TRUE),OR(EXACT(Metadata!G152,"not collected"),EXACT(Metadata!G152,"not provided"))),AND(IF(Metadata!G152="",FALSE,TRUE),OR(EXACT(Metadata!G152,"TRUE"),EXACT(Metadata!G152,"FALSE"))))</f>
        <v>0</v>
      </c>
      <c r="AU152" t="b">
        <f>OR(AND(IF(Metadata!H152="",FALSE,TRUE),OR(EXACT(Metadata!H152,"not collected"),EXACT(Metadata!H152,"not provided"),EXACT(Metadata!H152,"restricted access"))),AND(IF(Metadata!H152="",FALSE,ISNUMBER(VALUE(Metadata!H152))),Metadata!H152&gt;=-413))</f>
        <v>0</v>
      </c>
      <c r="AV152" t="b">
        <f>AND(IF(Metadata!I152="",FALSE,TRUE),EXACT(Metadata!I152,"meters"))</f>
        <v>0</v>
      </c>
      <c r="AW152" t="b">
        <f>AND(IF(Metadata!J152="",FALSE,TRUE),EXACT(Metadata!J152,"free-living"))</f>
        <v>0</v>
      </c>
      <c r="AX152" t="b">
        <f>AND(IF(Metadata!K152="",FALSE,TRUE),OR(EXACT(Metadata!K152,"saline"),EXACT(Metadata!K152,"non-saline")))</f>
        <v>0</v>
      </c>
      <c r="AY152" t="b">
        <f>AND(IF(Metadata!L152="",FALSE,TRUE),OR(EXACT(Metadata!L152,"sub-surface (non-saline)"),EXACT(Metadata!L152,"surface (non-saline)"),EXACT(Metadata!L152,"water (non-saline)"),EXACT(Metadata!L152,"soil (non-saline)"),EXACT(Metadata!L152,"aerosol (non-saline)"),EXACT(Metadata!L152,"sediment (non-saline)"),EXACT(Metadata!L152,"surface (saline)"),EXACT(Metadata!L152,"water (saline)"),EXACT(Metadata!L152,"hypersaline (saline)"),EXACT(Metadata!L152,"aerosol (saline)"),EXACT(Metadata!L152,"sediment (saline)")))</f>
        <v>0</v>
      </c>
      <c r="AZ152" t="b">
        <f>IF(Metadata!M152="",FALSE,TRUE)</f>
        <v>0</v>
      </c>
      <c r="BA152" t="b">
        <f>IF(Metadata!N152="",FALSE,TRUE)</f>
        <v>0</v>
      </c>
      <c r="BB152" t="b">
        <f>IF(Metadata!O152="",FALSE,TRUE)</f>
        <v>0</v>
      </c>
      <c r="BC152" t="b">
        <f>AND(IF(Metadata!P152="",FALSE,TRUE),OR(EXACT(Metadata!P152,"air"),EXACT(Metadata!P152,"microbial mat/biofilm"),EXACT(Metadata!P152,"misc environment"),EXACT(Metadata!P152,"sediment"),EXACT(Metadata!P152,"soil"),EXACT(Metadata!P152,"wastewater/sludge"),EXACT(Metadata!P152,"water")))</f>
        <v>0</v>
      </c>
      <c r="BD152" t="b">
        <f>IF(Metadata!Q152="",FALSE,TRUE)</f>
        <v>0</v>
      </c>
      <c r="BE152" t="b">
        <f>IF(Metadata!R152="",FALSE,TRUE)</f>
        <v>0</v>
      </c>
      <c r="BF152" t="b">
        <f>OR(AND(IF(Metadata!S152="",FALSE,TRUE),OR(EXACT(Metadata!S152,"not collected"),EXACT(Metadata!S152,"not provided"),EXACT(Metadata!S152,"restricted access"))),AND(IF(Metadata!S152="",FALSE,ISNUMBER(VALUE(Metadata!S152))),Metadata!S152&gt;=-90,Metadata!S152&lt;=90))</f>
        <v>0</v>
      </c>
      <c r="BG152" t="b">
        <f>AND(IF(Metadata!T152="",FALSE,TRUE),EXACT(Metadata!T152,"Decimal degrees"))</f>
        <v>0</v>
      </c>
      <c r="BH152" t="b">
        <f>OR(AND(IF(Metadata!U152="",FALSE,TRUE),OR(EXACT(Metadata!U152,"not applicable"),EXACT(Metadata!U152,"not collected"))),IF(Metadata!U152="",FALSE,TRUE))</f>
        <v>0</v>
      </c>
      <c r="BI152" t="b">
        <f>OR(AND(IF(Metadata!V152="",FALSE,TRUE),OR(EXACT(Metadata!V152,"not collected"),EXACT(Metadata!V152,"not provided"),EXACT(Metadata!V152,"restricted access"))),AND(IF(Metadata!V152="",FALSE,ISNUMBER(VALUE(Metadata!V152))),Metadata!V152&gt;=-180,Metadata!V152&lt;=180))</f>
        <v>0</v>
      </c>
      <c r="BJ152" t="b">
        <f>AND(IF(Metadata!W152="",FALSE,TRUE),EXACT(Metadata!W152,"Decimal degrees"))</f>
        <v>0</v>
      </c>
      <c r="BK152" t="b">
        <f>IF(Metadata!X152="",FALSE,TRUE)</f>
        <v>0</v>
      </c>
      <c r="BL152" t="b">
        <f>OR(AND(IF(Metadata!Y152="",FALSE,TRUE),OR(EXACT(Metadata!Y152,"not collected"),EXACT(Metadata!Y152,"not provided"),EXACT(Metadata!Y152,"restricted access"))),AND(IF(Metadata!Y152="",FALSE,TRUE),OR(EXACT(Metadata!Y152,"TRUE"),EXACT(Metadata!Y152,"FALSE"))))</f>
        <v>0</v>
      </c>
      <c r="BM152" t="b">
        <f>OR(AND(IF(Metadata!Z152="",FALSE,TRUE),EXACT(Metadata!Z152,"not applicable")),AND(IF(Metadata!Z152="",FALSE,TRUE),OR(EXACT(Metadata!Z152,"beer"),EXACT(Metadata!Z152,"cheese"),EXACT(Metadata!Z152,"fresh water"),EXACT(Metadata!Z152,"marine sediment"),EXACT(Metadata!Z152,"sea water"),EXACT(Metadata!Z152,"sediment"),EXACT(Metadata!Z152,"soil"),EXACT(Metadata!Z152,"waste water"))))</f>
        <v>0</v>
      </c>
      <c r="BN152" t="b">
        <f>AND(IF(Metadata!AA152="",FALSE,TRUE),EXACT(Metadata!AA152,"metagenome"))</f>
        <v>0</v>
      </c>
      <c r="BO152" t="b">
        <f>AND(IF(Metadata!AB152="",FALSE,TRUE),EXACT(Metadata!AB152,"256318"))</f>
        <v>0</v>
      </c>
      <c r="BP152" t="b">
        <f>IF(Metadata!AC152="",FALSE,TRUE)</f>
        <v>0</v>
      </c>
      <c r="BQ152" t="b">
        <f>IF(Metadata!AD152="",FALSE,TRUE)</f>
        <v>0</v>
      </c>
    </row>
    <row r="153" spans="1:69" x14ac:dyDescent="0.2">
      <c r="A153" s="4" t="e">
        <f ca="1">IF(B153=" "," ",HYPERLINK(CONCATENATE("#metadata!",ADDRESS(INDEX($AJ$2:$AJ$1001,MATCH(ROWS($AH$2:AH153),$AH$2:$AH$1001,0),0),2)),INDEX($AM$2:$AM$1001,MATCH(ROWS($AH$2:AH153),$AH$2:$AH$1001,0),0)))</f>
        <v>#N/A</v>
      </c>
      <c r="B153" s="5" t="e">
        <f ca="1">IF(OR(INDEX($AI$2:$AI$1001,MATCH(ROWS($AH$2:AH153),$AH$2:$AH$1001,0),1)&gt;=100000,INDEX($AO$1005:$BQ$1005,1,MATCH(COLUMNS($AO$1006:AO1006),$AO$1006:$BQ$1006,0))&gt;=100000), " ",IF(INDEX($AO$2:$BQ$1001,MATCH(ROWS($AH$2:AH153),$AH$2:$AH$1001,0),MATCH(COLUMNS($AO$1006:AO1006),$AO$1006:$BQ$1006,0)), HYPERLINK("#",""), HYPERLINK(CONCATENATE("#Metadata!", ADDRESS(INDEX($AJ$2:$AJ$1001,MATCH(ROWS($AH$2:AH153),$AH$2:$AH$1001,0),0), INDEX($AO$1004:$BQ$1004,1,MATCH(COLUMNS($AO$1006:AO1006),$AO$1006:$BQ$1006,0)))),"Fix")))</f>
        <v>#N/A</v>
      </c>
      <c r="C153" s="5" t="e">
        <f ca="1">IF(OR(INDEX($AI$2:$AI$1001,MATCH(ROWS($AH$2:AH153),$AH$2:$AH$1001,0),1)&gt;=100000,INDEX($AO$1005:$BQ$1005,1,MATCH(COLUMNS($AO$1006:AP1006),$AO$1006:$BQ$1006,0))&gt;=100000), " ",IF(INDEX($AO$2:$BQ$1001,MATCH(ROWS($AH$2:AH153),$AH$2:$AH$1001,0),MATCH(COLUMNS($AO$1006:AP1006),$AO$1006:$BQ$1006,0)), HYPERLINK("#",""), HYPERLINK(CONCATENATE("#Metadata!", ADDRESS(INDEX($AJ$2:$AJ$1001,MATCH(ROWS($AH$2:AH153),$AH$2:$AH$1001,0),0), INDEX($AO$1004:$BQ$1004,1,MATCH(COLUMNS($AO$1006:AP1006),$AO$1006:$BQ$1006,0)))),"Fix")))</f>
        <v>#N/A</v>
      </c>
      <c r="D153" s="5" t="e">
        <f ca="1">IF(OR(INDEX($AI$2:$AI$1001,MATCH(ROWS($AH$2:AH153),$AH$2:$AH$1001,0),1)&gt;=100000,INDEX($AO$1005:$BQ$1005,1,MATCH(COLUMNS($AO$1006:AQ1006),$AO$1006:$BQ$1006,0))&gt;=100000), " ",IF(INDEX($AO$2:$BQ$1001,MATCH(ROWS($AH$2:AH153),$AH$2:$AH$1001,0),MATCH(COLUMNS($AO$1006:AQ1006),$AO$1006:$BQ$1006,0)), HYPERLINK("#",""), HYPERLINK(CONCATENATE("#Metadata!", ADDRESS(INDEX($AJ$2:$AJ$1001,MATCH(ROWS($AH$2:AH153),$AH$2:$AH$1001,0),0), INDEX($AO$1004:$BQ$1004,1,MATCH(COLUMNS($AO$1006:AQ1006),$AO$1006:$BQ$1006,0)))),"Fix")))</f>
        <v>#N/A</v>
      </c>
      <c r="E153" s="5" t="e">
        <f ca="1">IF(OR(INDEX($AI$2:$AI$1001,MATCH(ROWS($AH$2:AH153),$AH$2:$AH$1001,0),1)&gt;=100000,INDEX($AO$1005:$BQ$1005,1,MATCH(COLUMNS($AO$1006:AR1006),$AO$1006:$BQ$1006,0))&gt;=100000), " ",IF(INDEX($AO$2:$BQ$1001,MATCH(ROWS($AH$2:AH153),$AH$2:$AH$1001,0),MATCH(COLUMNS($AO$1006:AR1006),$AO$1006:$BQ$1006,0)), HYPERLINK("#",""), HYPERLINK(CONCATENATE("#Metadata!", ADDRESS(INDEX($AJ$2:$AJ$1001,MATCH(ROWS($AH$2:AH153),$AH$2:$AH$1001,0),0), INDEX($AO$1004:$BQ$1004,1,MATCH(COLUMNS($AO$1006:AR1006),$AO$1006:$BQ$1006,0)))),"Fix")))</f>
        <v>#N/A</v>
      </c>
      <c r="F153" s="5" t="e">
        <f ca="1">IF(OR(INDEX($AI$2:$AI$1001,MATCH(ROWS($AH$2:AH153),$AH$2:$AH$1001,0),1)&gt;=100000,INDEX($AO$1005:$BQ$1005,1,MATCH(COLUMNS($AO$1006:AS1006),$AO$1006:$BQ$1006,0))&gt;=100000), " ",IF(INDEX($AO$2:$BQ$1001,MATCH(ROWS($AH$2:AH153),$AH$2:$AH$1001,0),MATCH(COLUMNS($AO$1006:AS1006),$AO$1006:$BQ$1006,0)), HYPERLINK("#",""), HYPERLINK(CONCATENATE("#Metadata!", ADDRESS(INDEX($AJ$2:$AJ$1001,MATCH(ROWS($AH$2:AH153),$AH$2:$AH$1001,0),0), INDEX($AO$1004:$BQ$1004,1,MATCH(COLUMNS($AO$1006:AS1006),$AO$1006:$BQ$1006,0)))),"Fix")))</f>
        <v>#N/A</v>
      </c>
      <c r="G153" s="5" t="e">
        <f ca="1">IF(OR(INDEX($AI$2:$AI$1001,MATCH(ROWS($AH$2:AH153),$AH$2:$AH$1001,0),1)&gt;=100000,INDEX($AO$1005:$BQ$1005,1,MATCH(COLUMNS($AO$1006:AT1006),$AO$1006:$BQ$1006,0))&gt;=100000), " ",IF(INDEX($AO$2:$BQ$1001,MATCH(ROWS($AH$2:AH153),$AH$2:$AH$1001,0),MATCH(COLUMNS($AO$1006:AT1006),$AO$1006:$BQ$1006,0)), HYPERLINK("#",""), HYPERLINK(CONCATENATE("#Metadata!", ADDRESS(INDEX($AJ$2:$AJ$1001,MATCH(ROWS($AH$2:AH153),$AH$2:$AH$1001,0),0), INDEX($AO$1004:$BQ$1004,1,MATCH(COLUMNS($AO$1006:AT1006),$AO$1006:$BQ$1006,0)))),"Fix")))</f>
        <v>#N/A</v>
      </c>
      <c r="H153" s="5" t="e">
        <f ca="1">IF(OR(INDEX($AI$2:$AI$1001,MATCH(ROWS($AH$2:AH153),$AH$2:$AH$1001,0),1)&gt;=100000,INDEX($AO$1005:$BQ$1005,1,MATCH(COLUMNS($AO$1006:AU1006),$AO$1006:$BQ$1006,0))&gt;=100000), " ",IF(INDEX($AO$2:$BQ$1001,MATCH(ROWS($AH$2:AH153),$AH$2:$AH$1001,0),MATCH(COLUMNS($AO$1006:AU1006),$AO$1006:$BQ$1006,0)), HYPERLINK("#",""), HYPERLINK(CONCATENATE("#Metadata!", ADDRESS(INDEX($AJ$2:$AJ$1001,MATCH(ROWS($AH$2:AH153),$AH$2:$AH$1001,0),0), INDEX($AO$1004:$BQ$1004,1,MATCH(COLUMNS($AO$1006:AU1006),$AO$1006:$BQ$1006,0)))),"Fix")))</f>
        <v>#N/A</v>
      </c>
      <c r="I153" s="5" t="e">
        <f ca="1">IF(OR(INDEX($AI$2:$AI$1001,MATCH(ROWS($AH$2:AH153),$AH$2:$AH$1001,0),1)&gt;=100000,INDEX($AO$1005:$BQ$1005,1,MATCH(COLUMNS($AO$1006:AV1006),$AO$1006:$BQ$1006,0))&gt;=100000), " ",IF(INDEX($AO$2:$BQ$1001,MATCH(ROWS($AH$2:AH153),$AH$2:$AH$1001,0),MATCH(COLUMNS($AO$1006:AV1006),$AO$1006:$BQ$1006,0)), HYPERLINK("#",""), HYPERLINK(CONCATENATE("#Metadata!", ADDRESS(INDEX($AJ$2:$AJ$1001,MATCH(ROWS($AH$2:AH153),$AH$2:$AH$1001,0),0), INDEX($AO$1004:$BQ$1004,1,MATCH(COLUMNS($AO$1006:AV1006),$AO$1006:$BQ$1006,0)))),"Fix")))</f>
        <v>#N/A</v>
      </c>
      <c r="J153" s="5" t="e">
        <f ca="1">IF(OR(INDEX($AI$2:$AI$1001,MATCH(ROWS($AH$2:AH153),$AH$2:$AH$1001,0),1)&gt;=100000,INDEX($AO$1005:$BQ$1005,1,MATCH(COLUMNS($AO$1006:AW1006),$AO$1006:$BQ$1006,0))&gt;=100000), " ",IF(INDEX($AO$2:$BQ$1001,MATCH(ROWS($AH$2:AH153),$AH$2:$AH$1001,0),MATCH(COLUMNS($AO$1006:AW1006),$AO$1006:$BQ$1006,0)), HYPERLINK("#",""), HYPERLINK(CONCATENATE("#Metadata!", ADDRESS(INDEX($AJ$2:$AJ$1001,MATCH(ROWS($AH$2:AH153),$AH$2:$AH$1001,0),0), INDEX($AO$1004:$BQ$1004,1,MATCH(COLUMNS($AO$1006:AW1006),$AO$1006:$BQ$1006,0)))),"Fix")))</f>
        <v>#N/A</v>
      </c>
      <c r="K153" s="5" t="e">
        <f ca="1">IF(OR(INDEX($AI$2:$AI$1001,MATCH(ROWS($AH$2:AH153),$AH$2:$AH$1001,0),1)&gt;=100000,INDEX($AO$1005:$BQ$1005,1,MATCH(COLUMNS($AO$1006:AX1006),$AO$1006:$BQ$1006,0))&gt;=100000), " ",IF(INDEX($AO$2:$BQ$1001,MATCH(ROWS($AH$2:AH153),$AH$2:$AH$1001,0),MATCH(COLUMNS($AO$1006:AX1006),$AO$1006:$BQ$1006,0)), HYPERLINK("#",""), HYPERLINK(CONCATENATE("#Metadata!", ADDRESS(INDEX($AJ$2:$AJ$1001,MATCH(ROWS($AH$2:AH153),$AH$2:$AH$1001,0),0), INDEX($AO$1004:$BQ$1004,1,MATCH(COLUMNS($AO$1006:AX1006),$AO$1006:$BQ$1006,0)))),"Fix")))</f>
        <v>#N/A</v>
      </c>
      <c r="L153" s="5" t="e">
        <f ca="1">IF(OR(INDEX($AI$2:$AI$1001,MATCH(ROWS($AH$2:AH153),$AH$2:$AH$1001,0),1)&gt;=100000,INDEX($AO$1005:$BQ$1005,1,MATCH(COLUMNS($AO$1006:AY1006),$AO$1006:$BQ$1006,0))&gt;=100000), " ",IF(INDEX($AO$2:$BQ$1001,MATCH(ROWS($AH$2:AH153),$AH$2:$AH$1001,0),MATCH(COLUMNS($AO$1006:AY1006),$AO$1006:$BQ$1006,0)), HYPERLINK("#",""), HYPERLINK(CONCATENATE("#Metadata!", ADDRESS(INDEX($AJ$2:$AJ$1001,MATCH(ROWS($AH$2:AH153),$AH$2:$AH$1001,0),0), INDEX($AO$1004:$BQ$1004,1,MATCH(COLUMNS($AO$1006:AY1006),$AO$1006:$BQ$1006,0)))),"Fix")))</f>
        <v>#N/A</v>
      </c>
      <c r="M153" s="5" t="e">
        <f ca="1">IF(OR(INDEX($AI$2:$AI$1001,MATCH(ROWS($AH$2:AH153),$AH$2:$AH$1001,0),1)&gt;=100000,INDEX($AO$1005:$BQ$1005,1,MATCH(COLUMNS($AO$1006:AZ1006),$AO$1006:$BQ$1006,0))&gt;=100000), " ",IF(INDEX($AO$2:$BQ$1001,MATCH(ROWS($AH$2:AH153),$AH$2:$AH$1001,0),MATCH(COLUMNS($AO$1006:AZ1006),$AO$1006:$BQ$1006,0)), HYPERLINK("#",""), HYPERLINK(CONCATENATE("#Metadata!", ADDRESS(INDEX($AJ$2:$AJ$1001,MATCH(ROWS($AH$2:AH153),$AH$2:$AH$1001,0),0), INDEX($AO$1004:$BQ$1004,1,MATCH(COLUMNS($AO$1006:AZ1006),$AO$1006:$BQ$1006,0)))),"Fix")))</f>
        <v>#N/A</v>
      </c>
      <c r="N153" s="5" t="e">
        <f ca="1">IF(OR(INDEX($AI$2:$AI$1001,MATCH(ROWS($AH$2:AH153),$AH$2:$AH$1001,0),1)&gt;=100000,INDEX($AO$1005:$BQ$1005,1,MATCH(COLUMNS($AO$1006:BA1006),$AO$1006:$BQ$1006,0))&gt;=100000), " ",IF(INDEX($AO$2:$BQ$1001,MATCH(ROWS($AH$2:AH153),$AH$2:$AH$1001,0),MATCH(COLUMNS($AO$1006:BA1006),$AO$1006:$BQ$1006,0)), HYPERLINK("#",""), HYPERLINK(CONCATENATE("#Metadata!", ADDRESS(INDEX($AJ$2:$AJ$1001,MATCH(ROWS($AH$2:AH153),$AH$2:$AH$1001,0),0), INDEX($AO$1004:$BQ$1004,1,MATCH(COLUMNS($AO$1006:BA1006),$AO$1006:$BQ$1006,0)))),"Fix")))</f>
        <v>#N/A</v>
      </c>
      <c r="O153" s="5" t="e">
        <f ca="1">IF(OR(INDEX($AI$2:$AI$1001,MATCH(ROWS($AH$2:AH153),$AH$2:$AH$1001,0),1)&gt;=100000,INDEX($AO$1005:$BQ$1005,1,MATCH(COLUMNS($AO$1006:BB1006),$AO$1006:$BQ$1006,0))&gt;=100000), " ",IF(INDEX($AO$2:$BQ$1001,MATCH(ROWS($AH$2:AH153),$AH$2:$AH$1001,0),MATCH(COLUMNS($AO$1006:BB1006),$AO$1006:$BQ$1006,0)), HYPERLINK("#",""), HYPERLINK(CONCATENATE("#Metadata!", ADDRESS(INDEX($AJ$2:$AJ$1001,MATCH(ROWS($AH$2:AH153),$AH$2:$AH$1001,0),0), INDEX($AO$1004:$BQ$1004,1,MATCH(COLUMNS($AO$1006:BB1006),$AO$1006:$BQ$1006,0)))),"Fix")))</f>
        <v>#N/A</v>
      </c>
      <c r="P153" s="5" t="e">
        <f ca="1">IF(OR(INDEX($AI$2:$AI$1001,MATCH(ROWS($AH$2:AH153),$AH$2:$AH$1001,0),1)&gt;=100000,INDEX($AO$1005:$BQ$1005,1,MATCH(COLUMNS($AO$1006:BC1006),$AO$1006:$BQ$1006,0))&gt;=100000), " ",IF(INDEX($AO$2:$BQ$1001,MATCH(ROWS($AH$2:AH153),$AH$2:$AH$1001,0),MATCH(COLUMNS($AO$1006:BC1006),$AO$1006:$BQ$1006,0)), HYPERLINK("#",""), HYPERLINK(CONCATENATE("#Metadata!", ADDRESS(INDEX($AJ$2:$AJ$1001,MATCH(ROWS($AH$2:AH153),$AH$2:$AH$1001,0),0), INDEX($AO$1004:$BQ$1004,1,MATCH(COLUMNS($AO$1006:BC1006),$AO$1006:$BQ$1006,0)))),"Fix")))</f>
        <v>#N/A</v>
      </c>
      <c r="Q153" s="5" t="e">
        <f ca="1">IF(OR(INDEX($AI$2:$AI$1001,MATCH(ROWS($AH$2:AH153),$AH$2:$AH$1001,0),1)&gt;=100000,INDEX($AO$1005:$BQ$1005,1,MATCH(COLUMNS($AO$1006:BD1006),$AO$1006:$BQ$1006,0))&gt;=100000), " ",IF(INDEX($AO$2:$BQ$1001,MATCH(ROWS($AH$2:AH153),$AH$2:$AH$1001,0),MATCH(COLUMNS($AO$1006:BD1006),$AO$1006:$BQ$1006,0)), HYPERLINK("#",""), HYPERLINK(CONCATENATE("#Metadata!", ADDRESS(INDEX($AJ$2:$AJ$1001,MATCH(ROWS($AH$2:AH153),$AH$2:$AH$1001,0),0), INDEX($AO$1004:$BQ$1004,1,MATCH(COLUMNS($AO$1006:BD1006),$AO$1006:$BQ$1006,0)))),"Fix")))</f>
        <v>#N/A</v>
      </c>
      <c r="R153" s="5" t="e">
        <f ca="1">IF(OR(INDEX($AI$2:$AI$1001,MATCH(ROWS($AH$2:AH153),$AH$2:$AH$1001,0),1)&gt;=100000,INDEX($AO$1005:$BQ$1005,1,MATCH(COLUMNS($AO$1006:BE1006),$AO$1006:$BQ$1006,0))&gt;=100000), " ",IF(INDEX($AO$2:$BQ$1001,MATCH(ROWS($AH$2:AH153),$AH$2:$AH$1001,0),MATCH(COLUMNS($AO$1006:BE1006),$AO$1006:$BQ$1006,0)), HYPERLINK("#",""), HYPERLINK(CONCATENATE("#Metadata!", ADDRESS(INDEX($AJ$2:$AJ$1001,MATCH(ROWS($AH$2:AH153),$AH$2:$AH$1001,0),0), INDEX($AO$1004:$BQ$1004,1,MATCH(COLUMNS($AO$1006:BE1006),$AO$1006:$BQ$1006,0)))),"Fix")))</f>
        <v>#N/A</v>
      </c>
      <c r="S153" s="5" t="e">
        <f ca="1">IF(OR(INDEX($AI$2:$AI$1001,MATCH(ROWS($AH$2:AH153),$AH$2:$AH$1001,0),1)&gt;=100000,INDEX($AO$1005:$BQ$1005,1,MATCH(COLUMNS($AO$1006:BF1006),$AO$1006:$BQ$1006,0))&gt;=100000), " ",IF(INDEX($AO$2:$BQ$1001,MATCH(ROWS($AH$2:AH153),$AH$2:$AH$1001,0),MATCH(COLUMNS($AO$1006:BF1006),$AO$1006:$BQ$1006,0)), HYPERLINK("#",""), HYPERLINK(CONCATENATE("#Metadata!", ADDRESS(INDEX($AJ$2:$AJ$1001,MATCH(ROWS($AH$2:AH153),$AH$2:$AH$1001,0),0), INDEX($AO$1004:$BQ$1004,1,MATCH(COLUMNS($AO$1006:BF1006),$AO$1006:$BQ$1006,0)))),"Fix")))</f>
        <v>#N/A</v>
      </c>
      <c r="T153" s="5" t="e">
        <f ca="1">IF(OR(INDEX($AI$2:$AI$1001,MATCH(ROWS($AH$2:AH153),$AH$2:$AH$1001,0),1)&gt;=100000,INDEX($AO$1005:$BQ$1005,1,MATCH(COLUMNS($AO$1006:BG1006),$AO$1006:$BQ$1006,0))&gt;=100000), " ",IF(INDEX($AO$2:$BQ$1001,MATCH(ROWS($AH$2:AH153),$AH$2:$AH$1001,0),MATCH(COLUMNS($AO$1006:BG1006),$AO$1006:$BQ$1006,0)), HYPERLINK("#",""), HYPERLINK(CONCATENATE("#Metadata!", ADDRESS(INDEX($AJ$2:$AJ$1001,MATCH(ROWS($AH$2:AH153),$AH$2:$AH$1001,0),0), INDEX($AO$1004:$BQ$1004,1,MATCH(COLUMNS($AO$1006:BG1006),$AO$1006:$BQ$1006,0)))),"Fix")))</f>
        <v>#N/A</v>
      </c>
      <c r="U153" s="5" t="e">
        <f ca="1">IF(OR(INDEX($AI$2:$AI$1001,MATCH(ROWS($AH$2:AH153),$AH$2:$AH$1001,0),1)&gt;=100000,INDEX($AO$1005:$BQ$1005,1,MATCH(COLUMNS($AO$1006:BH1006),$AO$1006:$BQ$1006,0))&gt;=100000), " ",IF(INDEX($AO$2:$BQ$1001,MATCH(ROWS($AH$2:AH153),$AH$2:$AH$1001,0),MATCH(COLUMNS($AO$1006:BH1006),$AO$1006:$BQ$1006,0)), HYPERLINK("#",""), HYPERLINK(CONCATENATE("#Metadata!", ADDRESS(INDEX($AJ$2:$AJ$1001,MATCH(ROWS($AH$2:AH153),$AH$2:$AH$1001,0),0), INDEX($AO$1004:$BQ$1004,1,MATCH(COLUMNS($AO$1006:BH1006),$AO$1006:$BQ$1006,0)))),"Fix")))</f>
        <v>#N/A</v>
      </c>
      <c r="V153" s="5" t="e">
        <f ca="1">IF(OR(INDEX($AI$2:$AI$1001,MATCH(ROWS($AH$2:AH153),$AH$2:$AH$1001,0),1)&gt;=100000,INDEX($AO$1005:$BQ$1005,1,MATCH(COLUMNS($AO$1006:BI1006),$AO$1006:$BQ$1006,0))&gt;=100000), " ",IF(INDEX($AO$2:$BQ$1001,MATCH(ROWS($AH$2:AH153),$AH$2:$AH$1001,0),MATCH(COLUMNS($AO$1006:BI1006),$AO$1006:$BQ$1006,0)), HYPERLINK("#",""), HYPERLINK(CONCATENATE("#Metadata!", ADDRESS(INDEX($AJ$2:$AJ$1001,MATCH(ROWS($AH$2:AH153),$AH$2:$AH$1001,0),0), INDEX($AO$1004:$BQ$1004,1,MATCH(COLUMNS($AO$1006:BI1006),$AO$1006:$BQ$1006,0)))),"Fix")))</f>
        <v>#N/A</v>
      </c>
      <c r="W153" s="5" t="e">
        <f ca="1">IF(OR(INDEX($AI$2:$AI$1001,MATCH(ROWS($AH$2:AH153),$AH$2:$AH$1001,0),1)&gt;=100000,INDEX($AO$1005:$BQ$1005,1,MATCH(COLUMNS($AO$1006:BJ1006),$AO$1006:$BQ$1006,0))&gt;=100000), " ",IF(INDEX($AO$2:$BQ$1001,MATCH(ROWS($AH$2:AH153),$AH$2:$AH$1001,0),MATCH(COLUMNS($AO$1006:BJ1006),$AO$1006:$BQ$1006,0)), HYPERLINK("#",""), HYPERLINK(CONCATENATE("#Metadata!", ADDRESS(INDEX($AJ$2:$AJ$1001,MATCH(ROWS($AH$2:AH153),$AH$2:$AH$1001,0),0), INDEX($AO$1004:$BQ$1004,1,MATCH(COLUMNS($AO$1006:BJ1006),$AO$1006:$BQ$1006,0)))),"Fix")))</f>
        <v>#N/A</v>
      </c>
      <c r="X153" s="5" t="e">
        <f ca="1">IF(OR(INDEX($AI$2:$AI$1001,MATCH(ROWS($AH$2:AH153),$AH$2:$AH$1001,0),1)&gt;=100000,INDEX($AO$1005:$BQ$1005,1,MATCH(COLUMNS($AO$1006:BK1006),$AO$1006:$BQ$1006,0))&gt;=100000), " ",IF(INDEX($AO$2:$BQ$1001,MATCH(ROWS($AH$2:AH153),$AH$2:$AH$1001,0),MATCH(COLUMNS($AO$1006:BK1006),$AO$1006:$BQ$1006,0)), HYPERLINK("#",""), HYPERLINK(CONCATENATE("#Metadata!", ADDRESS(INDEX($AJ$2:$AJ$1001,MATCH(ROWS($AH$2:AH153),$AH$2:$AH$1001,0),0), INDEX($AO$1004:$BQ$1004,1,MATCH(COLUMNS($AO$1006:BK1006),$AO$1006:$BQ$1006,0)))),"Fix")))</f>
        <v>#N/A</v>
      </c>
      <c r="Y153" s="5" t="e">
        <f ca="1">IF(OR(INDEX($AI$2:$AI$1001,MATCH(ROWS($AH$2:AH153),$AH$2:$AH$1001,0),1)&gt;=100000,INDEX($AO$1005:$BQ$1005,1,MATCH(COLUMNS($AO$1006:BL1006),$AO$1006:$BQ$1006,0))&gt;=100000), " ",IF(INDEX($AO$2:$BQ$1001,MATCH(ROWS($AH$2:AH153),$AH$2:$AH$1001,0),MATCH(COLUMNS($AO$1006:BL1006),$AO$1006:$BQ$1006,0)), HYPERLINK("#",""), HYPERLINK(CONCATENATE("#Metadata!", ADDRESS(INDEX($AJ$2:$AJ$1001,MATCH(ROWS($AH$2:AH153),$AH$2:$AH$1001,0),0), INDEX($AO$1004:$BQ$1004,1,MATCH(COLUMNS($AO$1006:BL1006),$AO$1006:$BQ$1006,0)))),"Fix")))</f>
        <v>#N/A</v>
      </c>
      <c r="Z153" s="5" t="e">
        <f ca="1">IF(OR(INDEX($AI$2:$AI$1001,MATCH(ROWS($AH$2:AH153),$AH$2:$AH$1001,0),1)&gt;=100000,INDEX($AO$1005:$BQ$1005,1,MATCH(COLUMNS($AO$1006:BM1006),$AO$1006:$BQ$1006,0))&gt;=100000), " ",IF(INDEX($AO$2:$BQ$1001,MATCH(ROWS($AH$2:AH153),$AH$2:$AH$1001,0),MATCH(COLUMNS($AO$1006:BM1006),$AO$1006:$BQ$1006,0)), HYPERLINK("#",""), HYPERLINK(CONCATENATE("#Metadata!", ADDRESS(INDEX($AJ$2:$AJ$1001,MATCH(ROWS($AH$2:AH153),$AH$2:$AH$1001,0),0), INDEX($AO$1004:$BQ$1004,1,MATCH(COLUMNS($AO$1006:BM1006),$AO$1006:$BQ$1006,0)))),"Fix")))</f>
        <v>#N/A</v>
      </c>
      <c r="AA153" s="5" t="e">
        <f ca="1">IF(OR(INDEX($AI$2:$AI$1001,MATCH(ROWS($AH$2:AH153),$AH$2:$AH$1001,0),1)&gt;=100000,INDEX($AO$1005:$BQ$1005,1,MATCH(COLUMNS($AO$1006:BN1006),$AO$1006:$BQ$1006,0))&gt;=100000), " ",IF(INDEX($AO$2:$BQ$1001,MATCH(ROWS($AH$2:AH153),$AH$2:$AH$1001,0),MATCH(COLUMNS($AO$1006:BN1006),$AO$1006:$BQ$1006,0)), HYPERLINK("#",""), HYPERLINK(CONCATENATE("#Metadata!", ADDRESS(INDEX($AJ$2:$AJ$1001,MATCH(ROWS($AH$2:AH153),$AH$2:$AH$1001,0),0), INDEX($AO$1004:$BQ$1004,1,MATCH(COLUMNS($AO$1006:BN1006),$AO$1006:$BQ$1006,0)))),"Fix")))</f>
        <v>#N/A</v>
      </c>
      <c r="AB153" s="5" t="e">
        <f ca="1">IF(OR(INDEX($AI$2:$AI$1001,MATCH(ROWS($AH$2:AH153),$AH$2:$AH$1001,0),1)&gt;=100000,INDEX($AO$1005:$BQ$1005,1,MATCH(COLUMNS($AO$1006:BO1006),$AO$1006:$BQ$1006,0))&gt;=100000), " ",IF(INDEX($AO$2:$BQ$1001,MATCH(ROWS($AH$2:AH153),$AH$2:$AH$1001,0),MATCH(COLUMNS($AO$1006:BO1006),$AO$1006:$BQ$1006,0)), HYPERLINK("#",""), HYPERLINK(CONCATENATE("#Metadata!", ADDRESS(INDEX($AJ$2:$AJ$1001,MATCH(ROWS($AH$2:AH153),$AH$2:$AH$1001,0),0), INDEX($AO$1004:$BQ$1004,1,MATCH(COLUMNS($AO$1006:BO1006),$AO$1006:$BQ$1006,0)))),"Fix")))</f>
        <v>#N/A</v>
      </c>
      <c r="AC153" s="5" t="e">
        <f ca="1">IF(OR(INDEX($AI$2:$AI$1001,MATCH(ROWS($AH$2:AH153),$AH$2:$AH$1001,0),1)&gt;=100000,INDEX($AO$1005:$BQ$1005,1,MATCH(COLUMNS($AO$1006:BP1006),$AO$1006:$BQ$1006,0))&gt;=100000), " ",IF(INDEX($AO$2:$BQ$1001,MATCH(ROWS($AH$2:AH153),$AH$2:$AH$1001,0),MATCH(COLUMNS($AO$1006:BP1006),$AO$1006:$BQ$1006,0)), HYPERLINK("#",""), HYPERLINK(CONCATENATE("#Metadata!", ADDRESS(INDEX($AJ$2:$AJ$1001,MATCH(ROWS($AH$2:AH153),$AH$2:$AH$1001,0),0), INDEX($AO$1004:$BQ$1004,1,MATCH(COLUMNS($AO$1006:BP1006),$AO$1006:$BQ$1006,0)))),"Fix")))</f>
        <v>#N/A</v>
      </c>
      <c r="AD153" s="5" t="e">
        <f ca="1">IF(OR(INDEX($AI$2:$AI$1001,MATCH(ROWS($AH$2:AH153),$AH$2:$AH$1001,0),1)&gt;=100000,INDEX($AO$1005:$BQ$1005,1,MATCH(COLUMNS($AO$1006:BQ1006),$AO$1006:$BQ$1006,0))&gt;=100000), " ",IF(INDEX($AO$2:$BQ$1001,MATCH(ROWS($AH$2:AH153),$AH$2:$AH$1001,0),MATCH(COLUMNS($AO$1006:BQ1006),$AO$1006:$BQ$1006,0)), HYPERLINK("#",""), HYPERLINK(CONCATENATE("#Metadata!", ADDRESS(INDEX($AJ$2:$AJ$1001,MATCH(ROWS($AH$2:AH153),$AH$2:$AH$1001,0),0), INDEX($AO$1004:$BQ$1004,1,MATCH(COLUMNS($AO$1006:BQ1006),$AO$1006:$BQ$1006,0)))),"Fix")))</f>
        <v>#REF!</v>
      </c>
      <c r="AH153">
        <f ca="1"/>
        <v>150</v>
      </c>
      <c r="AI153">
        <v>100153</v>
      </c>
      <c r="AJ153">
        <v>153</v>
      </c>
      <c r="AK153" t="b">
        <f t="shared" si="2"/>
        <v>1</v>
      </c>
      <c r="AL153" t="b">
        <f>COUNTBLANK(Metadata!B153:AD153)=COLUMNS(Metadata!B153:AD153)</f>
        <v>1</v>
      </c>
      <c r="AM153" t="str">
        <v/>
      </c>
      <c r="AO153" t="b">
        <f ca="1">AND(IF(Metadata!B153="",FALSE,TRUE),COUNTIF(Metadata!B:B, Metadata!B153) = 1,NOT(ISERROR(SUMPRODUCT(SEARCH(MID(Metadata!B153,ROW(INDIRECT("1:"&amp;LEN(Metadata!B153))), 1),"0123456789abcdefghijklmnopqrstuvwxyzABCDEFGHIJKLMNOPQRSTUVWXYZ.")))))</f>
        <v>0</v>
      </c>
      <c r="AP153" t="b">
        <f>IF(Metadata!C153="",FALSE,TRUE)</f>
        <v>0</v>
      </c>
      <c r="AQ153" t="b">
        <f>IF(Metadata!D153="",FALSE,TRUE)</f>
        <v>0</v>
      </c>
      <c r="AR153" t="b">
        <f ca="1">OR(AND(IF(Metadata!E153="",FALSE,TRUE),OR(EXACT(Metadata!E153,"not collected"),EXACT(Metadata!E153,"not provided"),EXACT(Metadata!E153,"restricted access"))),AND(IF(Metadata!E153="",FALSE,TRUE),AND(AND(IFERROR(INT(LEFT(Metadata!E153,4))&gt;1900,FALSE),IFERROR(INT(LEFT(Metadata!E153,4))&lt;=YEAR(NOW()),FALSE)), OR(MID(Metadata!E153,5,1)="", AND(AND(MID(Metadata!E153,5,1)="-",IFERROR(INT(MID(Metadata!E153,6,1))&gt;=0,FALSE),IFERROR(INT(MID(Metadata!E153,6,1))&lt;=1,FALSE),NOT(MID(Metadata!E153,7,1)=""),IFERROR(INT(MID(Metadata!E153,6,2))&gt;=1,FALSE),IFERROR(INT(MID(Metadata!E153,6,2))&lt;=12,FALSE)), OR(MID(Metadata!E153,8,1)="", AND(AND(MID(Metadata!E153,8,1)="-",IFERROR(INT(MID(Metadata!E153,9,1))&gt;=0,FALSE),IFERROR(INT(MID(Metadata!E153,9,1))&lt;=3,FALSE),NOT(MID(Metadata!E153,10,1)=""),IFERROR(INT(MID(Metadata!E153,9,2))&gt;=1,FALSE),IFERROR(INT(MID(Metadata!E153,9,2))&lt;=31,FALSE)), OR(MID(Metadata!E153,11,1)="", AND(AND(MID(Metadata!E153,11,1)=" ",IFERROR(INT(MID(Metadata!E153,12,1))&gt;=0,FALSE),IFERROR(INT(MID(Metadata!E153,12,1))&lt;=2,FALSE),NOT(MID(Metadata!E153,13,1)=""),IFERROR(INT(MID(Metadata!E153,12,2))&gt;=0,FALSE),IFERROR(INT(MID(Metadata!E153,12,2))&lt;=23,FALSE)), OR(MID(Metadata!E153,14,1)="", AND(AND(MID(Metadata!E153,14,1)=":",IFERROR(INT(MID(Metadata!E153,15,1))&gt;=0,FALSE),IFERROR(INT(MID(Metadata!E153,15,1))&lt;=5,FALSE),NOT(MID(Metadata!E153,16,1)=""),IFERROR(INT(MID(Metadata!E153,15,2))&gt;=0,FALSE),IFERROR(INT(MID(Metadata!E153,15,2))&lt;=59,FALSE)), OR(MID(Metadata!E153,17,1)="", AND(AND(MID(Metadata!E153,17,1)=":",IFERROR(INT(MID(Metadata!E153,18,1))&gt;=0,FALSE),IFERROR(INT(MID(Metadata!E153,18,1))&lt;=5,FALSE),NOT(MID(Metadata!E153,19,1)=""),IFERROR(INT(MID(Metadata!E153,18,2))&gt;=0,FALSE),IFERROR(INT(MID(Metadata!E153,18,2))&lt;=59,FALSE)), LEN(Metadata!E153)&lt;=19)))))))))))))</f>
        <v>0</v>
      </c>
      <c r="AS153" t="b">
        <f>IF(Metadata!F153="",FALSE,TRUE)</f>
        <v>0</v>
      </c>
      <c r="AT153" t="b">
        <f>OR(AND(IF(Metadata!G153="",FALSE,TRUE),OR(EXACT(Metadata!G153,"not collected"),EXACT(Metadata!G153,"not provided"))),AND(IF(Metadata!G153="",FALSE,TRUE),OR(EXACT(Metadata!G153,"TRUE"),EXACT(Metadata!G153,"FALSE"))))</f>
        <v>0</v>
      </c>
      <c r="AU153" t="b">
        <f>OR(AND(IF(Metadata!H153="",FALSE,TRUE),OR(EXACT(Metadata!H153,"not collected"),EXACT(Metadata!H153,"not provided"),EXACT(Metadata!H153,"restricted access"))),AND(IF(Metadata!H153="",FALSE,ISNUMBER(VALUE(Metadata!H153))),Metadata!H153&gt;=-413))</f>
        <v>0</v>
      </c>
      <c r="AV153" t="b">
        <f>AND(IF(Metadata!I153="",FALSE,TRUE),EXACT(Metadata!I153,"meters"))</f>
        <v>0</v>
      </c>
      <c r="AW153" t="b">
        <f>AND(IF(Metadata!J153="",FALSE,TRUE),EXACT(Metadata!J153,"free-living"))</f>
        <v>0</v>
      </c>
      <c r="AX153" t="b">
        <f>AND(IF(Metadata!K153="",FALSE,TRUE),OR(EXACT(Metadata!K153,"saline"),EXACT(Metadata!K153,"non-saline")))</f>
        <v>0</v>
      </c>
      <c r="AY153" t="b">
        <f>AND(IF(Metadata!L153="",FALSE,TRUE),OR(EXACT(Metadata!L153,"sub-surface (non-saline)"),EXACT(Metadata!L153,"surface (non-saline)"),EXACT(Metadata!L153,"water (non-saline)"),EXACT(Metadata!L153,"soil (non-saline)"),EXACT(Metadata!L153,"aerosol (non-saline)"),EXACT(Metadata!L153,"sediment (non-saline)"),EXACT(Metadata!L153,"surface (saline)"),EXACT(Metadata!L153,"water (saline)"),EXACT(Metadata!L153,"hypersaline (saline)"),EXACT(Metadata!L153,"aerosol (saline)"),EXACT(Metadata!L153,"sediment (saline)")))</f>
        <v>0</v>
      </c>
      <c r="AZ153" t="b">
        <f>IF(Metadata!M153="",FALSE,TRUE)</f>
        <v>0</v>
      </c>
      <c r="BA153" t="b">
        <f>IF(Metadata!N153="",FALSE,TRUE)</f>
        <v>0</v>
      </c>
      <c r="BB153" t="b">
        <f>IF(Metadata!O153="",FALSE,TRUE)</f>
        <v>0</v>
      </c>
      <c r="BC153" t="b">
        <f>AND(IF(Metadata!P153="",FALSE,TRUE),OR(EXACT(Metadata!P153,"air"),EXACT(Metadata!P153,"microbial mat/biofilm"),EXACT(Metadata!P153,"misc environment"),EXACT(Metadata!P153,"sediment"),EXACT(Metadata!P153,"soil"),EXACT(Metadata!P153,"wastewater/sludge"),EXACT(Metadata!P153,"water")))</f>
        <v>0</v>
      </c>
      <c r="BD153" t="b">
        <f>IF(Metadata!Q153="",FALSE,TRUE)</f>
        <v>0</v>
      </c>
      <c r="BE153" t="b">
        <f>IF(Metadata!R153="",FALSE,TRUE)</f>
        <v>0</v>
      </c>
      <c r="BF153" t="b">
        <f>OR(AND(IF(Metadata!S153="",FALSE,TRUE),OR(EXACT(Metadata!S153,"not collected"),EXACT(Metadata!S153,"not provided"),EXACT(Metadata!S153,"restricted access"))),AND(IF(Metadata!S153="",FALSE,ISNUMBER(VALUE(Metadata!S153))),Metadata!S153&gt;=-90,Metadata!S153&lt;=90))</f>
        <v>0</v>
      </c>
      <c r="BG153" t="b">
        <f>AND(IF(Metadata!T153="",FALSE,TRUE),EXACT(Metadata!T153,"Decimal degrees"))</f>
        <v>0</v>
      </c>
      <c r="BH153" t="b">
        <f>OR(AND(IF(Metadata!U153="",FALSE,TRUE),OR(EXACT(Metadata!U153,"not applicable"),EXACT(Metadata!U153,"not collected"))),IF(Metadata!U153="",FALSE,TRUE))</f>
        <v>0</v>
      </c>
      <c r="BI153" t="b">
        <f>OR(AND(IF(Metadata!V153="",FALSE,TRUE),OR(EXACT(Metadata!V153,"not collected"),EXACT(Metadata!V153,"not provided"),EXACT(Metadata!V153,"restricted access"))),AND(IF(Metadata!V153="",FALSE,ISNUMBER(VALUE(Metadata!V153))),Metadata!V153&gt;=-180,Metadata!V153&lt;=180))</f>
        <v>0</v>
      </c>
      <c r="BJ153" t="b">
        <f>AND(IF(Metadata!W153="",FALSE,TRUE),EXACT(Metadata!W153,"Decimal degrees"))</f>
        <v>0</v>
      </c>
      <c r="BK153" t="b">
        <f>IF(Metadata!X153="",FALSE,TRUE)</f>
        <v>0</v>
      </c>
      <c r="BL153" t="b">
        <f>OR(AND(IF(Metadata!Y153="",FALSE,TRUE),OR(EXACT(Metadata!Y153,"not collected"),EXACT(Metadata!Y153,"not provided"),EXACT(Metadata!Y153,"restricted access"))),AND(IF(Metadata!Y153="",FALSE,TRUE),OR(EXACT(Metadata!Y153,"TRUE"),EXACT(Metadata!Y153,"FALSE"))))</f>
        <v>0</v>
      </c>
      <c r="BM153" t="b">
        <f>OR(AND(IF(Metadata!Z153="",FALSE,TRUE),EXACT(Metadata!Z153,"not applicable")),AND(IF(Metadata!Z153="",FALSE,TRUE),OR(EXACT(Metadata!Z153,"beer"),EXACT(Metadata!Z153,"cheese"),EXACT(Metadata!Z153,"fresh water"),EXACT(Metadata!Z153,"marine sediment"),EXACT(Metadata!Z153,"sea water"),EXACT(Metadata!Z153,"sediment"),EXACT(Metadata!Z153,"soil"),EXACT(Metadata!Z153,"waste water"))))</f>
        <v>0</v>
      </c>
      <c r="BN153" t="b">
        <f>AND(IF(Metadata!AA153="",FALSE,TRUE),EXACT(Metadata!AA153,"metagenome"))</f>
        <v>0</v>
      </c>
      <c r="BO153" t="b">
        <f>AND(IF(Metadata!AB153="",FALSE,TRUE),EXACT(Metadata!AB153,"256318"))</f>
        <v>0</v>
      </c>
      <c r="BP153" t="b">
        <f>IF(Metadata!AC153="",FALSE,TRUE)</f>
        <v>0</v>
      </c>
      <c r="BQ153" t="b">
        <f>IF(Metadata!AD153="",FALSE,TRUE)</f>
        <v>0</v>
      </c>
    </row>
    <row r="154" spans="1:69" x14ac:dyDescent="0.2">
      <c r="A154" s="4" t="e">
        <f ca="1">IF(B154=" "," ",HYPERLINK(CONCATENATE("#metadata!",ADDRESS(INDEX($AJ$2:$AJ$1001,MATCH(ROWS($AH$2:AH154),$AH$2:$AH$1001,0),0),2)),INDEX($AM$2:$AM$1001,MATCH(ROWS($AH$2:AH154),$AH$2:$AH$1001,0),0)))</f>
        <v>#N/A</v>
      </c>
      <c r="B154" s="5" t="e">
        <f ca="1">IF(OR(INDEX($AI$2:$AI$1001,MATCH(ROWS($AH$2:AH154),$AH$2:$AH$1001,0),1)&gt;=100000,INDEX($AO$1005:$BQ$1005,1,MATCH(COLUMNS($AO$1006:AO1006),$AO$1006:$BQ$1006,0))&gt;=100000), " ",IF(INDEX($AO$2:$BQ$1001,MATCH(ROWS($AH$2:AH154),$AH$2:$AH$1001,0),MATCH(COLUMNS($AO$1006:AO1006),$AO$1006:$BQ$1006,0)), HYPERLINK("#",""), HYPERLINK(CONCATENATE("#Metadata!", ADDRESS(INDEX($AJ$2:$AJ$1001,MATCH(ROWS($AH$2:AH154),$AH$2:$AH$1001,0),0), INDEX($AO$1004:$BQ$1004,1,MATCH(COLUMNS($AO$1006:AO1006),$AO$1006:$BQ$1006,0)))),"Fix")))</f>
        <v>#N/A</v>
      </c>
      <c r="C154" s="5" t="e">
        <f ca="1">IF(OR(INDEX($AI$2:$AI$1001,MATCH(ROWS($AH$2:AH154),$AH$2:$AH$1001,0),1)&gt;=100000,INDEX($AO$1005:$BQ$1005,1,MATCH(COLUMNS($AO$1006:AP1006),$AO$1006:$BQ$1006,0))&gt;=100000), " ",IF(INDEX($AO$2:$BQ$1001,MATCH(ROWS($AH$2:AH154),$AH$2:$AH$1001,0),MATCH(COLUMNS($AO$1006:AP1006),$AO$1006:$BQ$1006,0)), HYPERLINK("#",""), HYPERLINK(CONCATENATE("#Metadata!", ADDRESS(INDEX($AJ$2:$AJ$1001,MATCH(ROWS($AH$2:AH154),$AH$2:$AH$1001,0),0), INDEX($AO$1004:$BQ$1004,1,MATCH(COLUMNS($AO$1006:AP1006),$AO$1006:$BQ$1006,0)))),"Fix")))</f>
        <v>#N/A</v>
      </c>
      <c r="D154" s="5" t="e">
        <f ca="1">IF(OR(INDEX($AI$2:$AI$1001,MATCH(ROWS($AH$2:AH154),$AH$2:$AH$1001,0),1)&gt;=100000,INDEX($AO$1005:$BQ$1005,1,MATCH(COLUMNS($AO$1006:AQ1006),$AO$1006:$BQ$1006,0))&gt;=100000), " ",IF(INDEX($AO$2:$BQ$1001,MATCH(ROWS($AH$2:AH154),$AH$2:$AH$1001,0),MATCH(COLUMNS($AO$1006:AQ1006),$AO$1006:$BQ$1006,0)), HYPERLINK("#",""), HYPERLINK(CONCATENATE("#Metadata!", ADDRESS(INDEX($AJ$2:$AJ$1001,MATCH(ROWS($AH$2:AH154),$AH$2:$AH$1001,0),0), INDEX($AO$1004:$BQ$1004,1,MATCH(COLUMNS($AO$1006:AQ1006),$AO$1006:$BQ$1006,0)))),"Fix")))</f>
        <v>#N/A</v>
      </c>
      <c r="E154" s="5" t="e">
        <f ca="1">IF(OR(INDEX($AI$2:$AI$1001,MATCH(ROWS($AH$2:AH154),$AH$2:$AH$1001,0),1)&gt;=100000,INDEX($AO$1005:$BQ$1005,1,MATCH(COLUMNS($AO$1006:AR1006),$AO$1006:$BQ$1006,0))&gt;=100000), " ",IF(INDEX($AO$2:$BQ$1001,MATCH(ROWS($AH$2:AH154),$AH$2:$AH$1001,0),MATCH(COLUMNS($AO$1006:AR1006),$AO$1006:$BQ$1006,0)), HYPERLINK("#",""), HYPERLINK(CONCATENATE("#Metadata!", ADDRESS(INDEX($AJ$2:$AJ$1001,MATCH(ROWS($AH$2:AH154),$AH$2:$AH$1001,0),0), INDEX($AO$1004:$BQ$1004,1,MATCH(COLUMNS($AO$1006:AR1006),$AO$1006:$BQ$1006,0)))),"Fix")))</f>
        <v>#N/A</v>
      </c>
      <c r="F154" s="5" t="e">
        <f ca="1">IF(OR(INDEX($AI$2:$AI$1001,MATCH(ROWS($AH$2:AH154),$AH$2:$AH$1001,0),1)&gt;=100000,INDEX($AO$1005:$BQ$1005,1,MATCH(COLUMNS($AO$1006:AS1006),$AO$1006:$BQ$1006,0))&gt;=100000), " ",IF(INDEX($AO$2:$BQ$1001,MATCH(ROWS($AH$2:AH154),$AH$2:$AH$1001,0),MATCH(COLUMNS($AO$1006:AS1006),$AO$1006:$BQ$1006,0)), HYPERLINK("#",""), HYPERLINK(CONCATENATE("#Metadata!", ADDRESS(INDEX($AJ$2:$AJ$1001,MATCH(ROWS($AH$2:AH154),$AH$2:$AH$1001,0),0), INDEX($AO$1004:$BQ$1004,1,MATCH(COLUMNS($AO$1006:AS1006),$AO$1006:$BQ$1006,0)))),"Fix")))</f>
        <v>#N/A</v>
      </c>
      <c r="G154" s="5" t="e">
        <f ca="1">IF(OR(INDEX($AI$2:$AI$1001,MATCH(ROWS($AH$2:AH154),$AH$2:$AH$1001,0),1)&gt;=100000,INDEX($AO$1005:$BQ$1005,1,MATCH(COLUMNS($AO$1006:AT1006),$AO$1006:$BQ$1006,0))&gt;=100000), " ",IF(INDEX($AO$2:$BQ$1001,MATCH(ROWS($AH$2:AH154),$AH$2:$AH$1001,0),MATCH(COLUMNS($AO$1006:AT1006),$AO$1006:$BQ$1006,0)), HYPERLINK("#",""), HYPERLINK(CONCATENATE("#Metadata!", ADDRESS(INDEX($AJ$2:$AJ$1001,MATCH(ROWS($AH$2:AH154),$AH$2:$AH$1001,0),0), INDEX($AO$1004:$BQ$1004,1,MATCH(COLUMNS($AO$1006:AT1006),$AO$1006:$BQ$1006,0)))),"Fix")))</f>
        <v>#N/A</v>
      </c>
      <c r="H154" s="5" t="e">
        <f ca="1">IF(OR(INDEX($AI$2:$AI$1001,MATCH(ROWS($AH$2:AH154),$AH$2:$AH$1001,0),1)&gt;=100000,INDEX($AO$1005:$BQ$1005,1,MATCH(COLUMNS($AO$1006:AU1006),$AO$1006:$BQ$1006,0))&gt;=100000), " ",IF(INDEX($AO$2:$BQ$1001,MATCH(ROWS($AH$2:AH154),$AH$2:$AH$1001,0),MATCH(COLUMNS($AO$1006:AU1006),$AO$1006:$BQ$1006,0)), HYPERLINK("#",""), HYPERLINK(CONCATENATE("#Metadata!", ADDRESS(INDEX($AJ$2:$AJ$1001,MATCH(ROWS($AH$2:AH154),$AH$2:$AH$1001,0),0), INDEX($AO$1004:$BQ$1004,1,MATCH(COLUMNS($AO$1006:AU1006),$AO$1006:$BQ$1006,0)))),"Fix")))</f>
        <v>#N/A</v>
      </c>
      <c r="I154" s="5" t="e">
        <f ca="1">IF(OR(INDEX($AI$2:$AI$1001,MATCH(ROWS($AH$2:AH154),$AH$2:$AH$1001,0),1)&gt;=100000,INDEX($AO$1005:$BQ$1005,1,MATCH(COLUMNS($AO$1006:AV1006),$AO$1006:$BQ$1006,0))&gt;=100000), " ",IF(INDEX($AO$2:$BQ$1001,MATCH(ROWS($AH$2:AH154),$AH$2:$AH$1001,0),MATCH(COLUMNS($AO$1006:AV1006),$AO$1006:$BQ$1006,0)), HYPERLINK("#",""), HYPERLINK(CONCATENATE("#Metadata!", ADDRESS(INDEX($AJ$2:$AJ$1001,MATCH(ROWS($AH$2:AH154),$AH$2:$AH$1001,0),0), INDEX($AO$1004:$BQ$1004,1,MATCH(COLUMNS($AO$1006:AV1006),$AO$1006:$BQ$1006,0)))),"Fix")))</f>
        <v>#N/A</v>
      </c>
      <c r="J154" s="5" t="e">
        <f ca="1">IF(OR(INDEX($AI$2:$AI$1001,MATCH(ROWS($AH$2:AH154),$AH$2:$AH$1001,0),1)&gt;=100000,INDEX($AO$1005:$BQ$1005,1,MATCH(COLUMNS($AO$1006:AW1006),$AO$1006:$BQ$1006,0))&gt;=100000), " ",IF(INDEX($AO$2:$BQ$1001,MATCH(ROWS($AH$2:AH154),$AH$2:$AH$1001,0),MATCH(COLUMNS($AO$1006:AW1006),$AO$1006:$BQ$1006,0)), HYPERLINK("#",""), HYPERLINK(CONCATENATE("#Metadata!", ADDRESS(INDEX($AJ$2:$AJ$1001,MATCH(ROWS($AH$2:AH154),$AH$2:$AH$1001,0),0), INDEX($AO$1004:$BQ$1004,1,MATCH(COLUMNS($AO$1006:AW1006),$AO$1006:$BQ$1006,0)))),"Fix")))</f>
        <v>#N/A</v>
      </c>
      <c r="K154" s="5" t="e">
        <f ca="1">IF(OR(INDEX($AI$2:$AI$1001,MATCH(ROWS($AH$2:AH154),$AH$2:$AH$1001,0),1)&gt;=100000,INDEX($AO$1005:$BQ$1005,1,MATCH(COLUMNS($AO$1006:AX1006),$AO$1006:$BQ$1006,0))&gt;=100000), " ",IF(INDEX($AO$2:$BQ$1001,MATCH(ROWS($AH$2:AH154),$AH$2:$AH$1001,0),MATCH(COLUMNS($AO$1006:AX1006),$AO$1006:$BQ$1006,0)), HYPERLINK("#",""), HYPERLINK(CONCATENATE("#Metadata!", ADDRESS(INDEX($AJ$2:$AJ$1001,MATCH(ROWS($AH$2:AH154),$AH$2:$AH$1001,0),0), INDEX($AO$1004:$BQ$1004,1,MATCH(COLUMNS($AO$1006:AX1006),$AO$1006:$BQ$1006,0)))),"Fix")))</f>
        <v>#N/A</v>
      </c>
      <c r="L154" s="5" t="e">
        <f ca="1">IF(OR(INDEX($AI$2:$AI$1001,MATCH(ROWS($AH$2:AH154),$AH$2:$AH$1001,0),1)&gt;=100000,INDEX($AO$1005:$BQ$1005,1,MATCH(COLUMNS($AO$1006:AY1006),$AO$1006:$BQ$1006,0))&gt;=100000), " ",IF(INDEX($AO$2:$BQ$1001,MATCH(ROWS($AH$2:AH154),$AH$2:$AH$1001,0),MATCH(COLUMNS($AO$1006:AY1006),$AO$1006:$BQ$1006,0)), HYPERLINK("#",""), HYPERLINK(CONCATENATE("#Metadata!", ADDRESS(INDEX($AJ$2:$AJ$1001,MATCH(ROWS($AH$2:AH154),$AH$2:$AH$1001,0),0), INDEX($AO$1004:$BQ$1004,1,MATCH(COLUMNS($AO$1006:AY1006),$AO$1006:$BQ$1006,0)))),"Fix")))</f>
        <v>#N/A</v>
      </c>
      <c r="M154" s="5" t="e">
        <f ca="1">IF(OR(INDEX($AI$2:$AI$1001,MATCH(ROWS($AH$2:AH154),$AH$2:$AH$1001,0),1)&gt;=100000,INDEX($AO$1005:$BQ$1005,1,MATCH(COLUMNS($AO$1006:AZ1006),$AO$1006:$BQ$1006,0))&gt;=100000), " ",IF(INDEX($AO$2:$BQ$1001,MATCH(ROWS($AH$2:AH154),$AH$2:$AH$1001,0),MATCH(COLUMNS($AO$1006:AZ1006),$AO$1006:$BQ$1006,0)), HYPERLINK("#",""), HYPERLINK(CONCATENATE("#Metadata!", ADDRESS(INDEX($AJ$2:$AJ$1001,MATCH(ROWS($AH$2:AH154),$AH$2:$AH$1001,0),0), INDEX($AO$1004:$BQ$1004,1,MATCH(COLUMNS($AO$1006:AZ1006),$AO$1006:$BQ$1006,0)))),"Fix")))</f>
        <v>#N/A</v>
      </c>
      <c r="N154" s="5" t="e">
        <f ca="1">IF(OR(INDEX($AI$2:$AI$1001,MATCH(ROWS($AH$2:AH154),$AH$2:$AH$1001,0),1)&gt;=100000,INDEX($AO$1005:$BQ$1005,1,MATCH(COLUMNS($AO$1006:BA1006),$AO$1006:$BQ$1006,0))&gt;=100000), " ",IF(INDEX($AO$2:$BQ$1001,MATCH(ROWS($AH$2:AH154),$AH$2:$AH$1001,0),MATCH(COLUMNS($AO$1006:BA1006),$AO$1006:$BQ$1006,0)), HYPERLINK("#",""), HYPERLINK(CONCATENATE("#Metadata!", ADDRESS(INDEX($AJ$2:$AJ$1001,MATCH(ROWS($AH$2:AH154),$AH$2:$AH$1001,0),0), INDEX($AO$1004:$BQ$1004,1,MATCH(COLUMNS($AO$1006:BA1006),$AO$1006:$BQ$1006,0)))),"Fix")))</f>
        <v>#N/A</v>
      </c>
      <c r="O154" s="5" t="e">
        <f ca="1">IF(OR(INDEX($AI$2:$AI$1001,MATCH(ROWS($AH$2:AH154),$AH$2:$AH$1001,0),1)&gt;=100000,INDEX($AO$1005:$BQ$1005,1,MATCH(COLUMNS($AO$1006:BB1006),$AO$1006:$BQ$1006,0))&gt;=100000), " ",IF(INDEX($AO$2:$BQ$1001,MATCH(ROWS($AH$2:AH154),$AH$2:$AH$1001,0),MATCH(COLUMNS($AO$1006:BB1006),$AO$1006:$BQ$1006,0)), HYPERLINK("#",""), HYPERLINK(CONCATENATE("#Metadata!", ADDRESS(INDEX($AJ$2:$AJ$1001,MATCH(ROWS($AH$2:AH154),$AH$2:$AH$1001,0),0), INDEX($AO$1004:$BQ$1004,1,MATCH(COLUMNS($AO$1006:BB1006),$AO$1006:$BQ$1006,0)))),"Fix")))</f>
        <v>#N/A</v>
      </c>
      <c r="P154" s="5" t="e">
        <f ca="1">IF(OR(INDEX($AI$2:$AI$1001,MATCH(ROWS($AH$2:AH154),$AH$2:$AH$1001,0),1)&gt;=100000,INDEX($AO$1005:$BQ$1005,1,MATCH(COLUMNS($AO$1006:BC1006),$AO$1006:$BQ$1006,0))&gt;=100000), " ",IF(INDEX($AO$2:$BQ$1001,MATCH(ROWS($AH$2:AH154),$AH$2:$AH$1001,0),MATCH(COLUMNS($AO$1006:BC1006),$AO$1006:$BQ$1006,0)), HYPERLINK("#",""), HYPERLINK(CONCATENATE("#Metadata!", ADDRESS(INDEX($AJ$2:$AJ$1001,MATCH(ROWS($AH$2:AH154),$AH$2:$AH$1001,0),0), INDEX($AO$1004:$BQ$1004,1,MATCH(COLUMNS($AO$1006:BC1006),$AO$1006:$BQ$1006,0)))),"Fix")))</f>
        <v>#N/A</v>
      </c>
      <c r="Q154" s="5" t="e">
        <f ca="1">IF(OR(INDEX($AI$2:$AI$1001,MATCH(ROWS($AH$2:AH154),$AH$2:$AH$1001,0),1)&gt;=100000,INDEX($AO$1005:$BQ$1005,1,MATCH(COLUMNS($AO$1006:BD1006),$AO$1006:$BQ$1006,0))&gt;=100000), " ",IF(INDEX($AO$2:$BQ$1001,MATCH(ROWS($AH$2:AH154),$AH$2:$AH$1001,0),MATCH(COLUMNS($AO$1006:BD1006),$AO$1006:$BQ$1006,0)), HYPERLINK("#",""), HYPERLINK(CONCATENATE("#Metadata!", ADDRESS(INDEX($AJ$2:$AJ$1001,MATCH(ROWS($AH$2:AH154),$AH$2:$AH$1001,0),0), INDEX($AO$1004:$BQ$1004,1,MATCH(COLUMNS($AO$1006:BD1006),$AO$1006:$BQ$1006,0)))),"Fix")))</f>
        <v>#N/A</v>
      </c>
      <c r="R154" s="5" t="e">
        <f ca="1">IF(OR(INDEX($AI$2:$AI$1001,MATCH(ROWS($AH$2:AH154),$AH$2:$AH$1001,0),1)&gt;=100000,INDEX($AO$1005:$BQ$1005,1,MATCH(COLUMNS($AO$1006:BE1006),$AO$1006:$BQ$1006,0))&gt;=100000), " ",IF(INDEX($AO$2:$BQ$1001,MATCH(ROWS($AH$2:AH154),$AH$2:$AH$1001,0),MATCH(COLUMNS($AO$1006:BE1006),$AO$1006:$BQ$1006,0)), HYPERLINK("#",""), HYPERLINK(CONCATENATE("#Metadata!", ADDRESS(INDEX($AJ$2:$AJ$1001,MATCH(ROWS($AH$2:AH154),$AH$2:$AH$1001,0),0), INDEX($AO$1004:$BQ$1004,1,MATCH(COLUMNS($AO$1006:BE1006),$AO$1006:$BQ$1006,0)))),"Fix")))</f>
        <v>#N/A</v>
      </c>
      <c r="S154" s="5" t="e">
        <f ca="1">IF(OR(INDEX($AI$2:$AI$1001,MATCH(ROWS($AH$2:AH154),$AH$2:$AH$1001,0),1)&gt;=100000,INDEX($AO$1005:$BQ$1005,1,MATCH(COLUMNS($AO$1006:BF1006),$AO$1006:$BQ$1006,0))&gt;=100000), " ",IF(INDEX($AO$2:$BQ$1001,MATCH(ROWS($AH$2:AH154),$AH$2:$AH$1001,0),MATCH(COLUMNS($AO$1006:BF1006),$AO$1006:$BQ$1006,0)), HYPERLINK("#",""), HYPERLINK(CONCATENATE("#Metadata!", ADDRESS(INDEX($AJ$2:$AJ$1001,MATCH(ROWS($AH$2:AH154),$AH$2:$AH$1001,0),0), INDEX($AO$1004:$BQ$1004,1,MATCH(COLUMNS($AO$1006:BF1006),$AO$1006:$BQ$1006,0)))),"Fix")))</f>
        <v>#N/A</v>
      </c>
      <c r="T154" s="5" t="e">
        <f ca="1">IF(OR(INDEX($AI$2:$AI$1001,MATCH(ROWS($AH$2:AH154),$AH$2:$AH$1001,0),1)&gt;=100000,INDEX($AO$1005:$BQ$1005,1,MATCH(COLUMNS($AO$1006:BG1006),$AO$1006:$BQ$1006,0))&gt;=100000), " ",IF(INDEX($AO$2:$BQ$1001,MATCH(ROWS($AH$2:AH154),$AH$2:$AH$1001,0),MATCH(COLUMNS($AO$1006:BG1006),$AO$1006:$BQ$1006,0)), HYPERLINK("#",""), HYPERLINK(CONCATENATE("#Metadata!", ADDRESS(INDEX($AJ$2:$AJ$1001,MATCH(ROWS($AH$2:AH154),$AH$2:$AH$1001,0),0), INDEX($AO$1004:$BQ$1004,1,MATCH(COLUMNS($AO$1006:BG1006),$AO$1006:$BQ$1006,0)))),"Fix")))</f>
        <v>#N/A</v>
      </c>
      <c r="U154" s="5" t="e">
        <f ca="1">IF(OR(INDEX($AI$2:$AI$1001,MATCH(ROWS($AH$2:AH154),$AH$2:$AH$1001,0),1)&gt;=100000,INDEX($AO$1005:$BQ$1005,1,MATCH(COLUMNS($AO$1006:BH1006),$AO$1006:$BQ$1006,0))&gt;=100000), " ",IF(INDEX($AO$2:$BQ$1001,MATCH(ROWS($AH$2:AH154),$AH$2:$AH$1001,0),MATCH(COLUMNS($AO$1006:BH1006),$AO$1006:$BQ$1006,0)), HYPERLINK("#",""), HYPERLINK(CONCATENATE("#Metadata!", ADDRESS(INDEX($AJ$2:$AJ$1001,MATCH(ROWS($AH$2:AH154),$AH$2:$AH$1001,0),0), INDEX($AO$1004:$BQ$1004,1,MATCH(COLUMNS($AO$1006:BH1006),$AO$1006:$BQ$1006,0)))),"Fix")))</f>
        <v>#N/A</v>
      </c>
      <c r="V154" s="5" t="e">
        <f ca="1">IF(OR(INDEX($AI$2:$AI$1001,MATCH(ROWS($AH$2:AH154),$AH$2:$AH$1001,0),1)&gt;=100000,INDEX($AO$1005:$BQ$1005,1,MATCH(COLUMNS($AO$1006:BI1006),$AO$1006:$BQ$1006,0))&gt;=100000), " ",IF(INDEX($AO$2:$BQ$1001,MATCH(ROWS($AH$2:AH154),$AH$2:$AH$1001,0),MATCH(COLUMNS($AO$1006:BI1006),$AO$1006:$BQ$1006,0)), HYPERLINK("#",""), HYPERLINK(CONCATENATE("#Metadata!", ADDRESS(INDEX($AJ$2:$AJ$1001,MATCH(ROWS($AH$2:AH154),$AH$2:$AH$1001,0),0), INDEX($AO$1004:$BQ$1004,1,MATCH(COLUMNS($AO$1006:BI1006),$AO$1006:$BQ$1006,0)))),"Fix")))</f>
        <v>#N/A</v>
      </c>
      <c r="W154" s="5" t="e">
        <f ca="1">IF(OR(INDEX($AI$2:$AI$1001,MATCH(ROWS($AH$2:AH154),$AH$2:$AH$1001,0),1)&gt;=100000,INDEX($AO$1005:$BQ$1005,1,MATCH(COLUMNS($AO$1006:BJ1006),$AO$1006:$BQ$1006,0))&gt;=100000), " ",IF(INDEX($AO$2:$BQ$1001,MATCH(ROWS($AH$2:AH154),$AH$2:$AH$1001,0),MATCH(COLUMNS($AO$1006:BJ1006),$AO$1006:$BQ$1006,0)), HYPERLINK("#",""), HYPERLINK(CONCATENATE("#Metadata!", ADDRESS(INDEX($AJ$2:$AJ$1001,MATCH(ROWS($AH$2:AH154),$AH$2:$AH$1001,0),0), INDEX($AO$1004:$BQ$1004,1,MATCH(COLUMNS($AO$1006:BJ1006),$AO$1006:$BQ$1006,0)))),"Fix")))</f>
        <v>#N/A</v>
      </c>
      <c r="X154" s="5" t="e">
        <f ca="1">IF(OR(INDEX($AI$2:$AI$1001,MATCH(ROWS($AH$2:AH154),$AH$2:$AH$1001,0),1)&gt;=100000,INDEX($AO$1005:$BQ$1005,1,MATCH(COLUMNS($AO$1006:BK1006),$AO$1006:$BQ$1006,0))&gt;=100000), " ",IF(INDEX($AO$2:$BQ$1001,MATCH(ROWS($AH$2:AH154),$AH$2:$AH$1001,0),MATCH(COLUMNS($AO$1006:BK1006),$AO$1006:$BQ$1006,0)), HYPERLINK("#",""), HYPERLINK(CONCATENATE("#Metadata!", ADDRESS(INDEX($AJ$2:$AJ$1001,MATCH(ROWS($AH$2:AH154),$AH$2:$AH$1001,0),0), INDEX($AO$1004:$BQ$1004,1,MATCH(COLUMNS($AO$1006:BK1006),$AO$1006:$BQ$1006,0)))),"Fix")))</f>
        <v>#N/A</v>
      </c>
      <c r="Y154" s="5" t="e">
        <f ca="1">IF(OR(INDEX($AI$2:$AI$1001,MATCH(ROWS($AH$2:AH154),$AH$2:$AH$1001,0),1)&gt;=100000,INDEX($AO$1005:$BQ$1005,1,MATCH(COLUMNS($AO$1006:BL1006),$AO$1006:$BQ$1006,0))&gt;=100000), " ",IF(INDEX($AO$2:$BQ$1001,MATCH(ROWS($AH$2:AH154),$AH$2:$AH$1001,0),MATCH(COLUMNS($AO$1006:BL1006),$AO$1006:$BQ$1006,0)), HYPERLINK("#",""), HYPERLINK(CONCATENATE("#Metadata!", ADDRESS(INDEX($AJ$2:$AJ$1001,MATCH(ROWS($AH$2:AH154),$AH$2:$AH$1001,0),0), INDEX($AO$1004:$BQ$1004,1,MATCH(COLUMNS($AO$1006:BL1006),$AO$1006:$BQ$1006,0)))),"Fix")))</f>
        <v>#N/A</v>
      </c>
      <c r="Z154" s="5" t="e">
        <f ca="1">IF(OR(INDEX($AI$2:$AI$1001,MATCH(ROWS($AH$2:AH154),$AH$2:$AH$1001,0),1)&gt;=100000,INDEX($AO$1005:$BQ$1005,1,MATCH(COLUMNS($AO$1006:BM1006),$AO$1006:$BQ$1006,0))&gt;=100000), " ",IF(INDEX($AO$2:$BQ$1001,MATCH(ROWS($AH$2:AH154),$AH$2:$AH$1001,0),MATCH(COLUMNS($AO$1006:BM1006),$AO$1006:$BQ$1006,0)), HYPERLINK("#",""), HYPERLINK(CONCATENATE("#Metadata!", ADDRESS(INDEX($AJ$2:$AJ$1001,MATCH(ROWS($AH$2:AH154),$AH$2:$AH$1001,0),0), INDEX($AO$1004:$BQ$1004,1,MATCH(COLUMNS($AO$1006:BM1006),$AO$1006:$BQ$1006,0)))),"Fix")))</f>
        <v>#N/A</v>
      </c>
      <c r="AA154" s="5" t="e">
        <f ca="1">IF(OR(INDEX($AI$2:$AI$1001,MATCH(ROWS($AH$2:AH154),$AH$2:$AH$1001,0),1)&gt;=100000,INDEX($AO$1005:$BQ$1005,1,MATCH(COLUMNS($AO$1006:BN1006),$AO$1006:$BQ$1006,0))&gt;=100000), " ",IF(INDEX($AO$2:$BQ$1001,MATCH(ROWS($AH$2:AH154),$AH$2:$AH$1001,0),MATCH(COLUMNS($AO$1006:BN1006),$AO$1006:$BQ$1006,0)), HYPERLINK("#",""), HYPERLINK(CONCATENATE("#Metadata!", ADDRESS(INDEX($AJ$2:$AJ$1001,MATCH(ROWS($AH$2:AH154),$AH$2:$AH$1001,0),0), INDEX($AO$1004:$BQ$1004,1,MATCH(COLUMNS($AO$1006:BN1006),$AO$1006:$BQ$1006,0)))),"Fix")))</f>
        <v>#N/A</v>
      </c>
      <c r="AB154" s="5" t="e">
        <f ca="1">IF(OR(INDEX($AI$2:$AI$1001,MATCH(ROWS($AH$2:AH154),$AH$2:$AH$1001,0),1)&gt;=100000,INDEX($AO$1005:$BQ$1005,1,MATCH(COLUMNS($AO$1006:BO1006),$AO$1006:$BQ$1006,0))&gt;=100000), " ",IF(INDEX($AO$2:$BQ$1001,MATCH(ROWS($AH$2:AH154),$AH$2:$AH$1001,0),MATCH(COLUMNS($AO$1006:BO1006),$AO$1006:$BQ$1006,0)), HYPERLINK("#",""), HYPERLINK(CONCATENATE("#Metadata!", ADDRESS(INDEX($AJ$2:$AJ$1001,MATCH(ROWS($AH$2:AH154),$AH$2:$AH$1001,0),0), INDEX($AO$1004:$BQ$1004,1,MATCH(COLUMNS($AO$1006:BO1006),$AO$1006:$BQ$1006,0)))),"Fix")))</f>
        <v>#N/A</v>
      </c>
      <c r="AC154" s="5" t="e">
        <f ca="1">IF(OR(INDEX($AI$2:$AI$1001,MATCH(ROWS($AH$2:AH154),$AH$2:$AH$1001,0),1)&gt;=100000,INDEX($AO$1005:$BQ$1005,1,MATCH(COLUMNS($AO$1006:BP1006),$AO$1006:$BQ$1006,0))&gt;=100000), " ",IF(INDEX($AO$2:$BQ$1001,MATCH(ROWS($AH$2:AH154),$AH$2:$AH$1001,0),MATCH(COLUMNS($AO$1006:BP1006),$AO$1006:$BQ$1006,0)), HYPERLINK("#",""), HYPERLINK(CONCATENATE("#Metadata!", ADDRESS(INDEX($AJ$2:$AJ$1001,MATCH(ROWS($AH$2:AH154),$AH$2:$AH$1001,0),0), INDEX($AO$1004:$BQ$1004,1,MATCH(COLUMNS($AO$1006:BP1006),$AO$1006:$BQ$1006,0)))),"Fix")))</f>
        <v>#N/A</v>
      </c>
      <c r="AD154" s="5" t="e">
        <f ca="1">IF(OR(INDEX($AI$2:$AI$1001,MATCH(ROWS($AH$2:AH154),$AH$2:$AH$1001,0),1)&gt;=100000,INDEX($AO$1005:$BQ$1005,1,MATCH(COLUMNS($AO$1006:BQ1006),$AO$1006:$BQ$1006,0))&gt;=100000), " ",IF(INDEX($AO$2:$BQ$1001,MATCH(ROWS($AH$2:AH154),$AH$2:$AH$1001,0),MATCH(COLUMNS($AO$1006:BQ1006),$AO$1006:$BQ$1006,0)), HYPERLINK("#",""), HYPERLINK(CONCATENATE("#Metadata!", ADDRESS(INDEX($AJ$2:$AJ$1001,MATCH(ROWS($AH$2:AH154),$AH$2:$AH$1001,0),0), INDEX($AO$1004:$BQ$1004,1,MATCH(COLUMNS($AO$1006:BQ1006),$AO$1006:$BQ$1006,0)))),"Fix")))</f>
        <v>#REF!</v>
      </c>
      <c r="AH154">
        <f ca="1"/>
        <v>151</v>
      </c>
      <c r="AI154">
        <v>100154</v>
      </c>
      <c r="AJ154">
        <v>154</v>
      </c>
      <c r="AK154" t="b">
        <f t="shared" si="2"/>
        <v>1</v>
      </c>
      <c r="AL154" t="b">
        <f>COUNTBLANK(Metadata!B154:AD154)=COLUMNS(Metadata!B154:AD154)</f>
        <v>1</v>
      </c>
      <c r="AM154" t="str">
        <v/>
      </c>
      <c r="AO154" t="b">
        <f ca="1">AND(IF(Metadata!B154="",FALSE,TRUE),COUNTIF(Metadata!B:B, Metadata!B154) = 1,NOT(ISERROR(SUMPRODUCT(SEARCH(MID(Metadata!B154,ROW(INDIRECT("1:"&amp;LEN(Metadata!B154))), 1),"0123456789abcdefghijklmnopqrstuvwxyzABCDEFGHIJKLMNOPQRSTUVWXYZ.")))))</f>
        <v>0</v>
      </c>
      <c r="AP154" t="b">
        <f>IF(Metadata!C154="",FALSE,TRUE)</f>
        <v>0</v>
      </c>
      <c r="AQ154" t="b">
        <f>IF(Metadata!D154="",FALSE,TRUE)</f>
        <v>0</v>
      </c>
      <c r="AR154" t="b">
        <f ca="1">OR(AND(IF(Metadata!E154="",FALSE,TRUE),OR(EXACT(Metadata!E154,"not collected"),EXACT(Metadata!E154,"not provided"),EXACT(Metadata!E154,"restricted access"))),AND(IF(Metadata!E154="",FALSE,TRUE),AND(AND(IFERROR(INT(LEFT(Metadata!E154,4))&gt;1900,FALSE),IFERROR(INT(LEFT(Metadata!E154,4))&lt;=YEAR(NOW()),FALSE)), OR(MID(Metadata!E154,5,1)="", AND(AND(MID(Metadata!E154,5,1)="-",IFERROR(INT(MID(Metadata!E154,6,1))&gt;=0,FALSE),IFERROR(INT(MID(Metadata!E154,6,1))&lt;=1,FALSE),NOT(MID(Metadata!E154,7,1)=""),IFERROR(INT(MID(Metadata!E154,6,2))&gt;=1,FALSE),IFERROR(INT(MID(Metadata!E154,6,2))&lt;=12,FALSE)), OR(MID(Metadata!E154,8,1)="", AND(AND(MID(Metadata!E154,8,1)="-",IFERROR(INT(MID(Metadata!E154,9,1))&gt;=0,FALSE),IFERROR(INT(MID(Metadata!E154,9,1))&lt;=3,FALSE),NOT(MID(Metadata!E154,10,1)=""),IFERROR(INT(MID(Metadata!E154,9,2))&gt;=1,FALSE),IFERROR(INT(MID(Metadata!E154,9,2))&lt;=31,FALSE)), OR(MID(Metadata!E154,11,1)="", AND(AND(MID(Metadata!E154,11,1)=" ",IFERROR(INT(MID(Metadata!E154,12,1))&gt;=0,FALSE),IFERROR(INT(MID(Metadata!E154,12,1))&lt;=2,FALSE),NOT(MID(Metadata!E154,13,1)=""),IFERROR(INT(MID(Metadata!E154,12,2))&gt;=0,FALSE),IFERROR(INT(MID(Metadata!E154,12,2))&lt;=23,FALSE)), OR(MID(Metadata!E154,14,1)="", AND(AND(MID(Metadata!E154,14,1)=":",IFERROR(INT(MID(Metadata!E154,15,1))&gt;=0,FALSE),IFERROR(INT(MID(Metadata!E154,15,1))&lt;=5,FALSE),NOT(MID(Metadata!E154,16,1)=""),IFERROR(INT(MID(Metadata!E154,15,2))&gt;=0,FALSE),IFERROR(INT(MID(Metadata!E154,15,2))&lt;=59,FALSE)), OR(MID(Metadata!E154,17,1)="", AND(AND(MID(Metadata!E154,17,1)=":",IFERROR(INT(MID(Metadata!E154,18,1))&gt;=0,FALSE),IFERROR(INT(MID(Metadata!E154,18,1))&lt;=5,FALSE),NOT(MID(Metadata!E154,19,1)=""),IFERROR(INT(MID(Metadata!E154,18,2))&gt;=0,FALSE),IFERROR(INT(MID(Metadata!E154,18,2))&lt;=59,FALSE)), LEN(Metadata!E154)&lt;=19)))))))))))))</f>
        <v>0</v>
      </c>
      <c r="AS154" t="b">
        <f>IF(Metadata!F154="",FALSE,TRUE)</f>
        <v>0</v>
      </c>
      <c r="AT154" t="b">
        <f>OR(AND(IF(Metadata!G154="",FALSE,TRUE),OR(EXACT(Metadata!G154,"not collected"),EXACT(Metadata!G154,"not provided"))),AND(IF(Metadata!G154="",FALSE,TRUE),OR(EXACT(Metadata!G154,"TRUE"),EXACT(Metadata!G154,"FALSE"))))</f>
        <v>0</v>
      </c>
      <c r="AU154" t="b">
        <f>OR(AND(IF(Metadata!H154="",FALSE,TRUE),OR(EXACT(Metadata!H154,"not collected"),EXACT(Metadata!H154,"not provided"),EXACT(Metadata!H154,"restricted access"))),AND(IF(Metadata!H154="",FALSE,ISNUMBER(VALUE(Metadata!H154))),Metadata!H154&gt;=-413))</f>
        <v>0</v>
      </c>
      <c r="AV154" t="b">
        <f>AND(IF(Metadata!I154="",FALSE,TRUE),EXACT(Metadata!I154,"meters"))</f>
        <v>0</v>
      </c>
      <c r="AW154" t="b">
        <f>AND(IF(Metadata!J154="",FALSE,TRUE),EXACT(Metadata!J154,"free-living"))</f>
        <v>0</v>
      </c>
      <c r="AX154" t="b">
        <f>AND(IF(Metadata!K154="",FALSE,TRUE),OR(EXACT(Metadata!K154,"saline"),EXACT(Metadata!K154,"non-saline")))</f>
        <v>0</v>
      </c>
      <c r="AY154" t="b">
        <f>AND(IF(Metadata!L154="",FALSE,TRUE),OR(EXACT(Metadata!L154,"sub-surface (non-saline)"),EXACT(Metadata!L154,"surface (non-saline)"),EXACT(Metadata!L154,"water (non-saline)"),EXACT(Metadata!L154,"soil (non-saline)"),EXACT(Metadata!L154,"aerosol (non-saline)"),EXACT(Metadata!L154,"sediment (non-saline)"),EXACT(Metadata!L154,"surface (saline)"),EXACT(Metadata!L154,"water (saline)"),EXACT(Metadata!L154,"hypersaline (saline)"),EXACT(Metadata!L154,"aerosol (saline)"),EXACT(Metadata!L154,"sediment (saline)")))</f>
        <v>0</v>
      </c>
      <c r="AZ154" t="b">
        <f>IF(Metadata!M154="",FALSE,TRUE)</f>
        <v>0</v>
      </c>
      <c r="BA154" t="b">
        <f>IF(Metadata!N154="",FALSE,TRUE)</f>
        <v>0</v>
      </c>
      <c r="BB154" t="b">
        <f>IF(Metadata!O154="",FALSE,TRUE)</f>
        <v>0</v>
      </c>
      <c r="BC154" t="b">
        <f>AND(IF(Metadata!P154="",FALSE,TRUE),OR(EXACT(Metadata!P154,"air"),EXACT(Metadata!P154,"microbial mat/biofilm"),EXACT(Metadata!P154,"misc environment"),EXACT(Metadata!P154,"sediment"),EXACT(Metadata!P154,"soil"),EXACT(Metadata!P154,"wastewater/sludge"),EXACT(Metadata!P154,"water")))</f>
        <v>0</v>
      </c>
      <c r="BD154" t="b">
        <f>IF(Metadata!Q154="",FALSE,TRUE)</f>
        <v>0</v>
      </c>
      <c r="BE154" t="b">
        <f>IF(Metadata!R154="",FALSE,TRUE)</f>
        <v>0</v>
      </c>
      <c r="BF154" t="b">
        <f>OR(AND(IF(Metadata!S154="",FALSE,TRUE),OR(EXACT(Metadata!S154,"not collected"),EXACT(Metadata!S154,"not provided"),EXACT(Metadata!S154,"restricted access"))),AND(IF(Metadata!S154="",FALSE,ISNUMBER(VALUE(Metadata!S154))),Metadata!S154&gt;=-90,Metadata!S154&lt;=90))</f>
        <v>0</v>
      </c>
      <c r="BG154" t="b">
        <f>AND(IF(Metadata!T154="",FALSE,TRUE),EXACT(Metadata!T154,"Decimal degrees"))</f>
        <v>0</v>
      </c>
      <c r="BH154" t="b">
        <f>OR(AND(IF(Metadata!U154="",FALSE,TRUE),OR(EXACT(Metadata!U154,"not applicable"),EXACT(Metadata!U154,"not collected"))),IF(Metadata!U154="",FALSE,TRUE))</f>
        <v>0</v>
      </c>
      <c r="BI154" t="b">
        <f>OR(AND(IF(Metadata!V154="",FALSE,TRUE),OR(EXACT(Metadata!V154,"not collected"),EXACT(Metadata!V154,"not provided"),EXACT(Metadata!V154,"restricted access"))),AND(IF(Metadata!V154="",FALSE,ISNUMBER(VALUE(Metadata!V154))),Metadata!V154&gt;=-180,Metadata!V154&lt;=180))</f>
        <v>0</v>
      </c>
      <c r="BJ154" t="b">
        <f>AND(IF(Metadata!W154="",FALSE,TRUE),EXACT(Metadata!W154,"Decimal degrees"))</f>
        <v>0</v>
      </c>
      <c r="BK154" t="b">
        <f>IF(Metadata!X154="",FALSE,TRUE)</f>
        <v>0</v>
      </c>
      <c r="BL154" t="b">
        <f>OR(AND(IF(Metadata!Y154="",FALSE,TRUE),OR(EXACT(Metadata!Y154,"not collected"),EXACT(Metadata!Y154,"not provided"),EXACT(Metadata!Y154,"restricted access"))),AND(IF(Metadata!Y154="",FALSE,TRUE),OR(EXACT(Metadata!Y154,"TRUE"),EXACT(Metadata!Y154,"FALSE"))))</f>
        <v>0</v>
      </c>
      <c r="BM154" t="b">
        <f>OR(AND(IF(Metadata!Z154="",FALSE,TRUE),EXACT(Metadata!Z154,"not applicable")),AND(IF(Metadata!Z154="",FALSE,TRUE),OR(EXACT(Metadata!Z154,"beer"),EXACT(Metadata!Z154,"cheese"),EXACT(Metadata!Z154,"fresh water"),EXACT(Metadata!Z154,"marine sediment"),EXACT(Metadata!Z154,"sea water"),EXACT(Metadata!Z154,"sediment"),EXACT(Metadata!Z154,"soil"),EXACT(Metadata!Z154,"waste water"))))</f>
        <v>0</v>
      </c>
      <c r="BN154" t="b">
        <f>AND(IF(Metadata!AA154="",FALSE,TRUE),EXACT(Metadata!AA154,"metagenome"))</f>
        <v>0</v>
      </c>
      <c r="BO154" t="b">
        <f>AND(IF(Metadata!AB154="",FALSE,TRUE),EXACT(Metadata!AB154,"256318"))</f>
        <v>0</v>
      </c>
      <c r="BP154" t="b">
        <f>IF(Metadata!AC154="",FALSE,TRUE)</f>
        <v>0</v>
      </c>
      <c r="BQ154" t="b">
        <f>IF(Metadata!AD154="",FALSE,TRUE)</f>
        <v>0</v>
      </c>
    </row>
    <row r="155" spans="1:69" x14ac:dyDescent="0.2">
      <c r="A155" s="4" t="e">
        <f ca="1">IF(B155=" "," ",HYPERLINK(CONCATENATE("#metadata!",ADDRESS(INDEX($AJ$2:$AJ$1001,MATCH(ROWS($AH$2:AH155),$AH$2:$AH$1001,0),0),2)),INDEX($AM$2:$AM$1001,MATCH(ROWS($AH$2:AH155),$AH$2:$AH$1001,0),0)))</f>
        <v>#N/A</v>
      </c>
      <c r="B155" s="5" t="e">
        <f ca="1">IF(OR(INDEX($AI$2:$AI$1001,MATCH(ROWS($AH$2:AH155),$AH$2:$AH$1001,0),1)&gt;=100000,INDEX($AO$1005:$BQ$1005,1,MATCH(COLUMNS($AO$1006:AO1006),$AO$1006:$BQ$1006,0))&gt;=100000), " ",IF(INDEX($AO$2:$BQ$1001,MATCH(ROWS($AH$2:AH155),$AH$2:$AH$1001,0),MATCH(COLUMNS($AO$1006:AO1006),$AO$1006:$BQ$1006,0)), HYPERLINK("#",""), HYPERLINK(CONCATENATE("#Metadata!", ADDRESS(INDEX($AJ$2:$AJ$1001,MATCH(ROWS($AH$2:AH155),$AH$2:$AH$1001,0),0), INDEX($AO$1004:$BQ$1004,1,MATCH(COLUMNS($AO$1006:AO1006),$AO$1006:$BQ$1006,0)))),"Fix")))</f>
        <v>#N/A</v>
      </c>
      <c r="C155" s="5" t="e">
        <f ca="1">IF(OR(INDEX($AI$2:$AI$1001,MATCH(ROWS($AH$2:AH155),$AH$2:$AH$1001,0),1)&gt;=100000,INDEX($AO$1005:$BQ$1005,1,MATCH(COLUMNS($AO$1006:AP1006),$AO$1006:$BQ$1006,0))&gt;=100000), " ",IF(INDEX($AO$2:$BQ$1001,MATCH(ROWS($AH$2:AH155),$AH$2:$AH$1001,0),MATCH(COLUMNS($AO$1006:AP1006),$AO$1006:$BQ$1006,0)), HYPERLINK("#",""), HYPERLINK(CONCATENATE("#Metadata!", ADDRESS(INDEX($AJ$2:$AJ$1001,MATCH(ROWS($AH$2:AH155),$AH$2:$AH$1001,0),0), INDEX($AO$1004:$BQ$1004,1,MATCH(COLUMNS($AO$1006:AP1006),$AO$1006:$BQ$1006,0)))),"Fix")))</f>
        <v>#N/A</v>
      </c>
      <c r="D155" s="5" t="e">
        <f ca="1">IF(OR(INDEX($AI$2:$AI$1001,MATCH(ROWS($AH$2:AH155),$AH$2:$AH$1001,0),1)&gt;=100000,INDEX($AO$1005:$BQ$1005,1,MATCH(COLUMNS($AO$1006:AQ1006),$AO$1006:$BQ$1006,0))&gt;=100000), " ",IF(INDEX($AO$2:$BQ$1001,MATCH(ROWS($AH$2:AH155),$AH$2:$AH$1001,0),MATCH(COLUMNS($AO$1006:AQ1006),$AO$1006:$BQ$1006,0)), HYPERLINK("#",""), HYPERLINK(CONCATENATE("#Metadata!", ADDRESS(INDEX($AJ$2:$AJ$1001,MATCH(ROWS($AH$2:AH155),$AH$2:$AH$1001,0),0), INDEX($AO$1004:$BQ$1004,1,MATCH(COLUMNS($AO$1006:AQ1006),$AO$1006:$BQ$1006,0)))),"Fix")))</f>
        <v>#N/A</v>
      </c>
      <c r="E155" s="5" t="e">
        <f ca="1">IF(OR(INDEX($AI$2:$AI$1001,MATCH(ROWS($AH$2:AH155),$AH$2:$AH$1001,0),1)&gt;=100000,INDEX($AO$1005:$BQ$1005,1,MATCH(COLUMNS($AO$1006:AR1006),$AO$1006:$BQ$1006,0))&gt;=100000), " ",IF(INDEX($AO$2:$BQ$1001,MATCH(ROWS($AH$2:AH155),$AH$2:$AH$1001,0),MATCH(COLUMNS($AO$1006:AR1006),$AO$1006:$BQ$1006,0)), HYPERLINK("#",""), HYPERLINK(CONCATENATE("#Metadata!", ADDRESS(INDEX($AJ$2:$AJ$1001,MATCH(ROWS($AH$2:AH155),$AH$2:$AH$1001,0),0), INDEX($AO$1004:$BQ$1004,1,MATCH(COLUMNS($AO$1006:AR1006),$AO$1006:$BQ$1006,0)))),"Fix")))</f>
        <v>#N/A</v>
      </c>
      <c r="F155" s="5" t="e">
        <f ca="1">IF(OR(INDEX($AI$2:$AI$1001,MATCH(ROWS($AH$2:AH155),$AH$2:$AH$1001,0),1)&gt;=100000,INDEX($AO$1005:$BQ$1005,1,MATCH(COLUMNS($AO$1006:AS1006),$AO$1006:$BQ$1006,0))&gt;=100000), " ",IF(INDEX($AO$2:$BQ$1001,MATCH(ROWS($AH$2:AH155),$AH$2:$AH$1001,0),MATCH(COLUMNS($AO$1006:AS1006),$AO$1006:$BQ$1006,0)), HYPERLINK("#",""), HYPERLINK(CONCATENATE("#Metadata!", ADDRESS(INDEX($AJ$2:$AJ$1001,MATCH(ROWS($AH$2:AH155),$AH$2:$AH$1001,0),0), INDEX($AO$1004:$BQ$1004,1,MATCH(COLUMNS($AO$1006:AS1006),$AO$1006:$BQ$1006,0)))),"Fix")))</f>
        <v>#N/A</v>
      </c>
      <c r="G155" s="5" t="e">
        <f ca="1">IF(OR(INDEX($AI$2:$AI$1001,MATCH(ROWS($AH$2:AH155),$AH$2:$AH$1001,0),1)&gt;=100000,INDEX($AO$1005:$BQ$1005,1,MATCH(COLUMNS($AO$1006:AT1006),$AO$1006:$BQ$1006,0))&gt;=100000), " ",IF(INDEX($AO$2:$BQ$1001,MATCH(ROWS($AH$2:AH155),$AH$2:$AH$1001,0),MATCH(COLUMNS($AO$1006:AT1006),$AO$1006:$BQ$1006,0)), HYPERLINK("#",""), HYPERLINK(CONCATENATE("#Metadata!", ADDRESS(INDEX($AJ$2:$AJ$1001,MATCH(ROWS($AH$2:AH155),$AH$2:$AH$1001,0),0), INDEX($AO$1004:$BQ$1004,1,MATCH(COLUMNS($AO$1006:AT1006),$AO$1006:$BQ$1006,0)))),"Fix")))</f>
        <v>#N/A</v>
      </c>
      <c r="H155" s="5" t="e">
        <f ca="1">IF(OR(INDEX($AI$2:$AI$1001,MATCH(ROWS($AH$2:AH155),$AH$2:$AH$1001,0),1)&gt;=100000,INDEX($AO$1005:$BQ$1005,1,MATCH(COLUMNS($AO$1006:AU1006),$AO$1006:$BQ$1006,0))&gt;=100000), " ",IF(INDEX($AO$2:$BQ$1001,MATCH(ROWS($AH$2:AH155),$AH$2:$AH$1001,0),MATCH(COLUMNS($AO$1006:AU1006),$AO$1006:$BQ$1006,0)), HYPERLINK("#",""), HYPERLINK(CONCATENATE("#Metadata!", ADDRESS(INDEX($AJ$2:$AJ$1001,MATCH(ROWS($AH$2:AH155),$AH$2:$AH$1001,0),0), INDEX($AO$1004:$BQ$1004,1,MATCH(COLUMNS($AO$1006:AU1006),$AO$1006:$BQ$1006,0)))),"Fix")))</f>
        <v>#N/A</v>
      </c>
      <c r="I155" s="5" t="e">
        <f ca="1">IF(OR(INDEX($AI$2:$AI$1001,MATCH(ROWS($AH$2:AH155),$AH$2:$AH$1001,0),1)&gt;=100000,INDEX($AO$1005:$BQ$1005,1,MATCH(COLUMNS($AO$1006:AV1006),$AO$1006:$BQ$1006,0))&gt;=100000), " ",IF(INDEX($AO$2:$BQ$1001,MATCH(ROWS($AH$2:AH155),$AH$2:$AH$1001,0),MATCH(COLUMNS($AO$1006:AV1006),$AO$1006:$BQ$1006,0)), HYPERLINK("#",""), HYPERLINK(CONCATENATE("#Metadata!", ADDRESS(INDEX($AJ$2:$AJ$1001,MATCH(ROWS($AH$2:AH155),$AH$2:$AH$1001,0),0), INDEX($AO$1004:$BQ$1004,1,MATCH(COLUMNS($AO$1006:AV1006),$AO$1006:$BQ$1006,0)))),"Fix")))</f>
        <v>#N/A</v>
      </c>
      <c r="J155" s="5" t="e">
        <f ca="1">IF(OR(INDEX($AI$2:$AI$1001,MATCH(ROWS($AH$2:AH155),$AH$2:$AH$1001,0),1)&gt;=100000,INDEX($AO$1005:$BQ$1005,1,MATCH(COLUMNS($AO$1006:AW1006),$AO$1006:$BQ$1006,0))&gt;=100000), " ",IF(INDEX($AO$2:$BQ$1001,MATCH(ROWS($AH$2:AH155),$AH$2:$AH$1001,0),MATCH(COLUMNS($AO$1006:AW1006),$AO$1006:$BQ$1006,0)), HYPERLINK("#",""), HYPERLINK(CONCATENATE("#Metadata!", ADDRESS(INDEX($AJ$2:$AJ$1001,MATCH(ROWS($AH$2:AH155),$AH$2:$AH$1001,0),0), INDEX($AO$1004:$BQ$1004,1,MATCH(COLUMNS($AO$1006:AW1006),$AO$1006:$BQ$1006,0)))),"Fix")))</f>
        <v>#N/A</v>
      </c>
      <c r="K155" s="5" t="e">
        <f ca="1">IF(OR(INDEX($AI$2:$AI$1001,MATCH(ROWS($AH$2:AH155),$AH$2:$AH$1001,0),1)&gt;=100000,INDEX($AO$1005:$BQ$1005,1,MATCH(COLUMNS($AO$1006:AX1006),$AO$1006:$BQ$1006,0))&gt;=100000), " ",IF(INDEX($AO$2:$BQ$1001,MATCH(ROWS($AH$2:AH155),$AH$2:$AH$1001,0),MATCH(COLUMNS($AO$1006:AX1006),$AO$1006:$BQ$1006,0)), HYPERLINK("#",""), HYPERLINK(CONCATENATE("#Metadata!", ADDRESS(INDEX($AJ$2:$AJ$1001,MATCH(ROWS($AH$2:AH155),$AH$2:$AH$1001,0),0), INDEX($AO$1004:$BQ$1004,1,MATCH(COLUMNS($AO$1006:AX1006),$AO$1006:$BQ$1006,0)))),"Fix")))</f>
        <v>#N/A</v>
      </c>
      <c r="L155" s="5" t="e">
        <f ca="1">IF(OR(INDEX($AI$2:$AI$1001,MATCH(ROWS($AH$2:AH155),$AH$2:$AH$1001,0),1)&gt;=100000,INDEX($AO$1005:$BQ$1005,1,MATCH(COLUMNS($AO$1006:AY1006),$AO$1006:$BQ$1006,0))&gt;=100000), " ",IF(INDEX($AO$2:$BQ$1001,MATCH(ROWS($AH$2:AH155),$AH$2:$AH$1001,0),MATCH(COLUMNS($AO$1006:AY1006),$AO$1006:$BQ$1006,0)), HYPERLINK("#",""), HYPERLINK(CONCATENATE("#Metadata!", ADDRESS(INDEX($AJ$2:$AJ$1001,MATCH(ROWS($AH$2:AH155),$AH$2:$AH$1001,0),0), INDEX($AO$1004:$BQ$1004,1,MATCH(COLUMNS($AO$1006:AY1006),$AO$1006:$BQ$1006,0)))),"Fix")))</f>
        <v>#N/A</v>
      </c>
      <c r="M155" s="5" t="e">
        <f ca="1">IF(OR(INDEX($AI$2:$AI$1001,MATCH(ROWS($AH$2:AH155),$AH$2:$AH$1001,0),1)&gt;=100000,INDEX($AO$1005:$BQ$1005,1,MATCH(COLUMNS($AO$1006:AZ1006),$AO$1006:$BQ$1006,0))&gt;=100000), " ",IF(INDEX($AO$2:$BQ$1001,MATCH(ROWS($AH$2:AH155),$AH$2:$AH$1001,0),MATCH(COLUMNS($AO$1006:AZ1006),$AO$1006:$BQ$1006,0)), HYPERLINK("#",""), HYPERLINK(CONCATENATE("#Metadata!", ADDRESS(INDEX($AJ$2:$AJ$1001,MATCH(ROWS($AH$2:AH155),$AH$2:$AH$1001,0),0), INDEX($AO$1004:$BQ$1004,1,MATCH(COLUMNS($AO$1006:AZ1006),$AO$1006:$BQ$1006,0)))),"Fix")))</f>
        <v>#N/A</v>
      </c>
      <c r="N155" s="5" t="e">
        <f ca="1">IF(OR(INDEX($AI$2:$AI$1001,MATCH(ROWS($AH$2:AH155),$AH$2:$AH$1001,0),1)&gt;=100000,INDEX($AO$1005:$BQ$1005,1,MATCH(COLUMNS($AO$1006:BA1006),$AO$1006:$BQ$1006,0))&gt;=100000), " ",IF(INDEX($AO$2:$BQ$1001,MATCH(ROWS($AH$2:AH155),$AH$2:$AH$1001,0),MATCH(COLUMNS($AO$1006:BA1006),$AO$1006:$BQ$1006,0)), HYPERLINK("#",""), HYPERLINK(CONCATENATE("#Metadata!", ADDRESS(INDEX($AJ$2:$AJ$1001,MATCH(ROWS($AH$2:AH155),$AH$2:$AH$1001,0),0), INDEX($AO$1004:$BQ$1004,1,MATCH(COLUMNS($AO$1006:BA1006),$AO$1006:$BQ$1006,0)))),"Fix")))</f>
        <v>#N/A</v>
      </c>
      <c r="O155" s="5" t="e">
        <f ca="1">IF(OR(INDEX($AI$2:$AI$1001,MATCH(ROWS($AH$2:AH155),$AH$2:$AH$1001,0),1)&gt;=100000,INDEX($AO$1005:$BQ$1005,1,MATCH(COLUMNS($AO$1006:BB1006),$AO$1006:$BQ$1006,0))&gt;=100000), " ",IF(INDEX($AO$2:$BQ$1001,MATCH(ROWS($AH$2:AH155),$AH$2:$AH$1001,0),MATCH(COLUMNS($AO$1006:BB1006),$AO$1006:$BQ$1006,0)), HYPERLINK("#",""), HYPERLINK(CONCATENATE("#Metadata!", ADDRESS(INDEX($AJ$2:$AJ$1001,MATCH(ROWS($AH$2:AH155),$AH$2:$AH$1001,0),0), INDEX($AO$1004:$BQ$1004,1,MATCH(COLUMNS($AO$1006:BB1006),$AO$1006:$BQ$1006,0)))),"Fix")))</f>
        <v>#N/A</v>
      </c>
      <c r="P155" s="5" t="e">
        <f ca="1">IF(OR(INDEX($AI$2:$AI$1001,MATCH(ROWS($AH$2:AH155),$AH$2:$AH$1001,0),1)&gt;=100000,INDEX($AO$1005:$BQ$1005,1,MATCH(COLUMNS($AO$1006:BC1006),$AO$1006:$BQ$1006,0))&gt;=100000), " ",IF(INDEX($AO$2:$BQ$1001,MATCH(ROWS($AH$2:AH155),$AH$2:$AH$1001,0),MATCH(COLUMNS($AO$1006:BC1006),$AO$1006:$BQ$1006,0)), HYPERLINK("#",""), HYPERLINK(CONCATENATE("#Metadata!", ADDRESS(INDEX($AJ$2:$AJ$1001,MATCH(ROWS($AH$2:AH155),$AH$2:$AH$1001,0),0), INDEX($AO$1004:$BQ$1004,1,MATCH(COLUMNS($AO$1006:BC1006),$AO$1006:$BQ$1006,0)))),"Fix")))</f>
        <v>#N/A</v>
      </c>
      <c r="Q155" s="5" t="e">
        <f ca="1">IF(OR(INDEX($AI$2:$AI$1001,MATCH(ROWS($AH$2:AH155),$AH$2:$AH$1001,0),1)&gt;=100000,INDEX($AO$1005:$BQ$1005,1,MATCH(COLUMNS($AO$1006:BD1006),$AO$1006:$BQ$1006,0))&gt;=100000), " ",IF(INDEX($AO$2:$BQ$1001,MATCH(ROWS($AH$2:AH155),$AH$2:$AH$1001,0),MATCH(COLUMNS($AO$1006:BD1006),$AO$1006:$BQ$1006,0)), HYPERLINK("#",""), HYPERLINK(CONCATENATE("#Metadata!", ADDRESS(INDEX($AJ$2:$AJ$1001,MATCH(ROWS($AH$2:AH155),$AH$2:$AH$1001,0),0), INDEX($AO$1004:$BQ$1004,1,MATCH(COLUMNS($AO$1006:BD1006),$AO$1006:$BQ$1006,0)))),"Fix")))</f>
        <v>#N/A</v>
      </c>
      <c r="R155" s="5" t="e">
        <f ca="1">IF(OR(INDEX($AI$2:$AI$1001,MATCH(ROWS($AH$2:AH155),$AH$2:$AH$1001,0),1)&gt;=100000,INDEX($AO$1005:$BQ$1005,1,MATCH(COLUMNS($AO$1006:BE1006),$AO$1006:$BQ$1006,0))&gt;=100000), " ",IF(INDEX($AO$2:$BQ$1001,MATCH(ROWS($AH$2:AH155),$AH$2:$AH$1001,0),MATCH(COLUMNS($AO$1006:BE1006),$AO$1006:$BQ$1006,0)), HYPERLINK("#",""), HYPERLINK(CONCATENATE("#Metadata!", ADDRESS(INDEX($AJ$2:$AJ$1001,MATCH(ROWS($AH$2:AH155),$AH$2:$AH$1001,0),0), INDEX($AO$1004:$BQ$1004,1,MATCH(COLUMNS($AO$1006:BE1006),$AO$1006:$BQ$1006,0)))),"Fix")))</f>
        <v>#N/A</v>
      </c>
      <c r="S155" s="5" t="e">
        <f ca="1">IF(OR(INDEX($AI$2:$AI$1001,MATCH(ROWS($AH$2:AH155),$AH$2:$AH$1001,0),1)&gt;=100000,INDEX($AO$1005:$BQ$1005,1,MATCH(COLUMNS($AO$1006:BF1006),$AO$1006:$BQ$1006,0))&gt;=100000), " ",IF(INDEX($AO$2:$BQ$1001,MATCH(ROWS($AH$2:AH155),$AH$2:$AH$1001,0),MATCH(COLUMNS($AO$1006:BF1006),$AO$1006:$BQ$1006,0)), HYPERLINK("#",""), HYPERLINK(CONCATENATE("#Metadata!", ADDRESS(INDEX($AJ$2:$AJ$1001,MATCH(ROWS($AH$2:AH155),$AH$2:$AH$1001,0),0), INDEX($AO$1004:$BQ$1004,1,MATCH(COLUMNS($AO$1006:BF1006),$AO$1006:$BQ$1006,0)))),"Fix")))</f>
        <v>#N/A</v>
      </c>
      <c r="T155" s="5" t="e">
        <f ca="1">IF(OR(INDEX($AI$2:$AI$1001,MATCH(ROWS($AH$2:AH155),$AH$2:$AH$1001,0),1)&gt;=100000,INDEX($AO$1005:$BQ$1005,1,MATCH(COLUMNS($AO$1006:BG1006),$AO$1006:$BQ$1006,0))&gt;=100000), " ",IF(INDEX($AO$2:$BQ$1001,MATCH(ROWS($AH$2:AH155),$AH$2:$AH$1001,0),MATCH(COLUMNS($AO$1006:BG1006),$AO$1006:$BQ$1006,0)), HYPERLINK("#",""), HYPERLINK(CONCATENATE("#Metadata!", ADDRESS(INDEX($AJ$2:$AJ$1001,MATCH(ROWS($AH$2:AH155),$AH$2:$AH$1001,0),0), INDEX($AO$1004:$BQ$1004,1,MATCH(COLUMNS($AO$1006:BG1006),$AO$1006:$BQ$1006,0)))),"Fix")))</f>
        <v>#N/A</v>
      </c>
      <c r="U155" s="5" t="e">
        <f ca="1">IF(OR(INDEX($AI$2:$AI$1001,MATCH(ROWS($AH$2:AH155),$AH$2:$AH$1001,0),1)&gt;=100000,INDEX($AO$1005:$BQ$1005,1,MATCH(COLUMNS($AO$1006:BH1006),$AO$1006:$BQ$1006,0))&gt;=100000), " ",IF(INDEX($AO$2:$BQ$1001,MATCH(ROWS($AH$2:AH155),$AH$2:$AH$1001,0),MATCH(COLUMNS($AO$1006:BH1006),$AO$1006:$BQ$1006,0)), HYPERLINK("#",""), HYPERLINK(CONCATENATE("#Metadata!", ADDRESS(INDEX($AJ$2:$AJ$1001,MATCH(ROWS($AH$2:AH155),$AH$2:$AH$1001,0),0), INDEX($AO$1004:$BQ$1004,1,MATCH(COLUMNS($AO$1006:BH1006),$AO$1006:$BQ$1006,0)))),"Fix")))</f>
        <v>#N/A</v>
      </c>
      <c r="V155" s="5" t="e">
        <f ca="1">IF(OR(INDEX($AI$2:$AI$1001,MATCH(ROWS($AH$2:AH155),$AH$2:$AH$1001,0),1)&gt;=100000,INDEX($AO$1005:$BQ$1005,1,MATCH(COLUMNS($AO$1006:BI1006),$AO$1006:$BQ$1006,0))&gt;=100000), " ",IF(INDEX($AO$2:$BQ$1001,MATCH(ROWS($AH$2:AH155),$AH$2:$AH$1001,0),MATCH(COLUMNS($AO$1006:BI1006),$AO$1006:$BQ$1006,0)), HYPERLINK("#",""), HYPERLINK(CONCATENATE("#Metadata!", ADDRESS(INDEX($AJ$2:$AJ$1001,MATCH(ROWS($AH$2:AH155),$AH$2:$AH$1001,0),0), INDEX($AO$1004:$BQ$1004,1,MATCH(COLUMNS($AO$1006:BI1006),$AO$1006:$BQ$1006,0)))),"Fix")))</f>
        <v>#N/A</v>
      </c>
      <c r="W155" s="5" t="e">
        <f ca="1">IF(OR(INDEX($AI$2:$AI$1001,MATCH(ROWS($AH$2:AH155),$AH$2:$AH$1001,0),1)&gt;=100000,INDEX($AO$1005:$BQ$1005,1,MATCH(COLUMNS($AO$1006:BJ1006),$AO$1006:$BQ$1006,0))&gt;=100000), " ",IF(INDEX($AO$2:$BQ$1001,MATCH(ROWS($AH$2:AH155),$AH$2:$AH$1001,0),MATCH(COLUMNS($AO$1006:BJ1006),$AO$1006:$BQ$1006,0)), HYPERLINK("#",""), HYPERLINK(CONCATENATE("#Metadata!", ADDRESS(INDEX($AJ$2:$AJ$1001,MATCH(ROWS($AH$2:AH155),$AH$2:$AH$1001,0),0), INDEX($AO$1004:$BQ$1004,1,MATCH(COLUMNS($AO$1006:BJ1006),$AO$1006:$BQ$1006,0)))),"Fix")))</f>
        <v>#N/A</v>
      </c>
      <c r="X155" s="5" t="e">
        <f ca="1">IF(OR(INDEX($AI$2:$AI$1001,MATCH(ROWS($AH$2:AH155),$AH$2:$AH$1001,0),1)&gt;=100000,INDEX($AO$1005:$BQ$1005,1,MATCH(COLUMNS($AO$1006:BK1006),$AO$1006:$BQ$1006,0))&gt;=100000), " ",IF(INDEX($AO$2:$BQ$1001,MATCH(ROWS($AH$2:AH155),$AH$2:$AH$1001,0),MATCH(COLUMNS($AO$1006:BK1006),$AO$1006:$BQ$1006,0)), HYPERLINK("#",""), HYPERLINK(CONCATENATE("#Metadata!", ADDRESS(INDEX($AJ$2:$AJ$1001,MATCH(ROWS($AH$2:AH155),$AH$2:$AH$1001,0),0), INDEX($AO$1004:$BQ$1004,1,MATCH(COLUMNS($AO$1006:BK1006),$AO$1006:$BQ$1006,0)))),"Fix")))</f>
        <v>#N/A</v>
      </c>
      <c r="Y155" s="5" t="e">
        <f ca="1">IF(OR(INDEX($AI$2:$AI$1001,MATCH(ROWS($AH$2:AH155),$AH$2:$AH$1001,0),1)&gt;=100000,INDEX($AO$1005:$BQ$1005,1,MATCH(COLUMNS($AO$1006:BL1006),$AO$1006:$BQ$1006,0))&gt;=100000), " ",IF(INDEX($AO$2:$BQ$1001,MATCH(ROWS($AH$2:AH155),$AH$2:$AH$1001,0),MATCH(COLUMNS($AO$1006:BL1006),$AO$1006:$BQ$1006,0)), HYPERLINK("#",""), HYPERLINK(CONCATENATE("#Metadata!", ADDRESS(INDEX($AJ$2:$AJ$1001,MATCH(ROWS($AH$2:AH155),$AH$2:$AH$1001,0),0), INDEX($AO$1004:$BQ$1004,1,MATCH(COLUMNS($AO$1006:BL1006),$AO$1006:$BQ$1006,0)))),"Fix")))</f>
        <v>#N/A</v>
      </c>
      <c r="Z155" s="5" t="e">
        <f ca="1">IF(OR(INDEX($AI$2:$AI$1001,MATCH(ROWS($AH$2:AH155),$AH$2:$AH$1001,0),1)&gt;=100000,INDEX($AO$1005:$BQ$1005,1,MATCH(COLUMNS($AO$1006:BM1006),$AO$1006:$BQ$1006,0))&gt;=100000), " ",IF(INDEX($AO$2:$BQ$1001,MATCH(ROWS($AH$2:AH155),$AH$2:$AH$1001,0),MATCH(COLUMNS($AO$1006:BM1006),$AO$1006:$BQ$1006,0)), HYPERLINK("#",""), HYPERLINK(CONCATENATE("#Metadata!", ADDRESS(INDEX($AJ$2:$AJ$1001,MATCH(ROWS($AH$2:AH155),$AH$2:$AH$1001,0),0), INDEX($AO$1004:$BQ$1004,1,MATCH(COLUMNS($AO$1006:BM1006),$AO$1006:$BQ$1006,0)))),"Fix")))</f>
        <v>#N/A</v>
      </c>
      <c r="AA155" s="5" t="e">
        <f ca="1">IF(OR(INDEX($AI$2:$AI$1001,MATCH(ROWS($AH$2:AH155),$AH$2:$AH$1001,0),1)&gt;=100000,INDEX($AO$1005:$BQ$1005,1,MATCH(COLUMNS($AO$1006:BN1006),$AO$1006:$BQ$1006,0))&gt;=100000), " ",IF(INDEX($AO$2:$BQ$1001,MATCH(ROWS($AH$2:AH155),$AH$2:$AH$1001,0),MATCH(COLUMNS($AO$1006:BN1006),$AO$1006:$BQ$1006,0)), HYPERLINK("#",""), HYPERLINK(CONCATENATE("#Metadata!", ADDRESS(INDEX($AJ$2:$AJ$1001,MATCH(ROWS($AH$2:AH155),$AH$2:$AH$1001,0),0), INDEX($AO$1004:$BQ$1004,1,MATCH(COLUMNS($AO$1006:BN1006),$AO$1006:$BQ$1006,0)))),"Fix")))</f>
        <v>#N/A</v>
      </c>
      <c r="AB155" s="5" t="e">
        <f ca="1">IF(OR(INDEX($AI$2:$AI$1001,MATCH(ROWS($AH$2:AH155),$AH$2:$AH$1001,0),1)&gt;=100000,INDEX($AO$1005:$BQ$1005,1,MATCH(COLUMNS($AO$1006:BO1006),$AO$1006:$BQ$1006,0))&gt;=100000), " ",IF(INDEX($AO$2:$BQ$1001,MATCH(ROWS($AH$2:AH155),$AH$2:$AH$1001,0),MATCH(COLUMNS($AO$1006:BO1006),$AO$1006:$BQ$1006,0)), HYPERLINK("#",""), HYPERLINK(CONCATENATE("#Metadata!", ADDRESS(INDEX($AJ$2:$AJ$1001,MATCH(ROWS($AH$2:AH155),$AH$2:$AH$1001,0),0), INDEX($AO$1004:$BQ$1004,1,MATCH(COLUMNS($AO$1006:BO1006),$AO$1006:$BQ$1006,0)))),"Fix")))</f>
        <v>#N/A</v>
      </c>
      <c r="AC155" s="5" t="e">
        <f ca="1">IF(OR(INDEX($AI$2:$AI$1001,MATCH(ROWS($AH$2:AH155),$AH$2:$AH$1001,0),1)&gt;=100000,INDEX($AO$1005:$BQ$1005,1,MATCH(COLUMNS($AO$1006:BP1006),$AO$1006:$BQ$1006,0))&gt;=100000), " ",IF(INDEX($AO$2:$BQ$1001,MATCH(ROWS($AH$2:AH155),$AH$2:$AH$1001,0),MATCH(COLUMNS($AO$1006:BP1006),$AO$1006:$BQ$1006,0)), HYPERLINK("#",""), HYPERLINK(CONCATENATE("#Metadata!", ADDRESS(INDEX($AJ$2:$AJ$1001,MATCH(ROWS($AH$2:AH155),$AH$2:$AH$1001,0),0), INDEX($AO$1004:$BQ$1004,1,MATCH(COLUMNS($AO$1006:BP1006),$AO$1006:$BQ$1006,0)))),"Fix")))</f>
        <v>#N/A</v>
      </c>
      <c r="AD155" s="5" t="e">
        <f ca="1">IF(OR(INDEX($AI$2:$AI$1001,MATCH(ROWS($AH$2:AH155),$AH$2:$AH$1001,0),1)&gt;=100000,INDEX($AO$1005:$BQ$1005,1,MATCH(COLUMNS($AO$1006:BQ1006),$AO$1006:$BQ$1006,0))&gt;=100000), " ",IF(INDEX($AO$2:$BQ$1001,MATCH(ROWS($AH$2:AH155),$AH$2:$AH$1001,0),MATCH(COLUMNS($AO$1006:BQ1006),$AO$1006:$BQ$1006,0)), HYPERLINK("#",""), HYPERLINK(CONCATENATE("#Metadata!", ADDRESS(INDEX($AJ$2:$AJ$1001,MATCH(ROWS($AH$2:AH155),$AH$2:$AH$1001,0),0), INDEX($AO$1004:$BQ$1004,1,MATCH(COLUMNS($AO$1006:BQ1006),$AO$1006:$BQ$1006,0)))),"Fix")))</f>
        <v>#REF!</v>
      </c>
      <c r="AH155">
        <f ca="1"/>
        <v>152</v>
      </c>
      <c r="AI155">
        <v>100155</v>
      </c>
      <c r="AJ155">
        <v>155</v>
      </c>
      <c r="AK155" t="b">
        <f t="shared" si="2"/>
        <v>1</v>
      </c>
      <c r="AL155" t="b">
        <f>COUNTBLANK(Metadata!B155:AD155)=COLUMNS(Metadata!B155:AD155)</f>
        <v>1</v>
      </c>
      <c r="AM155" t="str">
        <v/>
      </c>
      <c r="AO155" t="b">
        <f ca="1">AND(IF(Metadata!B155="",FALSE,TRUE),COUNTIF(Metadata!B:B, Metadata!B155) = 1,NOT(ISERROR(SUMPRODUCT(SEARCH(MID(Metadata!B155,ROW(INDIRECT("1:"&amp;LEN(Metadata!B155))), 1),"0123456789abcdefghijklmnopqrstuvwxyzABCDEFGHIJKLMNOPQRSTUVWXYZ.")))))</f>
        <v>0</v>
      </c>
      <c r="AP155" t="b">
        <f>IF(Metadata!C155="",FALSE,TRUE)</f>
        <v>0</v>
      </c>
      <c r="AQ155" t="b">
        <f>IF(Metadata!D155="",FALSE,TRUE)</f>
        <v>0</v>
      </c>
      <c r="AR155" t="b">
        <f ca="1">OR(AND(IF(Metadata!E155="",FALSE,TRUE),OR(EXACT(Metadata!E155,"not collected"),EXACT(Metadata!E155,"not provided"),EXACT(Metadata!E155,"restricted access"))),AND(IF(Metadata!E155="",FALSE,TRUE),AND(AND(IFERROR(INT(LEFT(Metadata!E155,4))&gt;1900,FALSE),IFERROR(INT(LEFT(Metadata!E155,4))&lt;=YEAR(NOW()),FALSE)), OR(MID(Metadata!E155,5,1)="", AND(AND(MID(Metadata!E155,5,1)="-",IFERROR(INT(MID(Metadata!E155,6,1))&gt;=0,FALSE),IFERROR(INT(MID(Metadata!E155,6,1))&lt;=1,FALSE),NOT(MID(Metadata!E155,7,1)=""),IFERROR(INT(MID(Metadata!E155,6,2))&gt;=1,FALSE),IFERROR(INT(MID(Metadata!E155,6,2))&lt;=12,FALSE)), OR(MID(Metadata!E155,8,1)="", AND(AND(MID(Metadata!E155,8,1)="-",IFERROR(INT(MID(Metadata!E155,9,1))&gt;=0,FALSE),IFERROR(INT(MID(Metadata!E155,9,1))&lt;=3,FALSE),NOT(MID(Metadata!E155,10,1)=""),IFERROR(INT(MID(Metadata!E155,9,2))&gt;=1,FALSE),IFERROR(INT(MID(Metadata!E155,9,2))&lt;=31,FALSE)), OR(MID(Metadata!E155,11,1)="", AND(AND(MID(Metadata!E155,11,1)=" ",IFERROR(INT(MID(Metadata!E155,12,1))&gt;=0,FALSE),IFERROR(INT(MID(Metadata!E155,12,1))&lt;=2,FALSE),NOT(MID(Metadata!E155,13,1)=""),IFERROR(INT(MID(Metadata!E155,12,2))&gt;=0,FALSE),IFERROR(INT(MID(Metadata!E155,12,2))&lt;=23,FALSE)), OR(MID(Metadata!E155,14,1)="", AND(AND(MID(Metadata!E155,14,1)=":",IFERROR(INT(MID(Metadata!E155,15,1))&gt;=0,FALSE),IFERROR(INT(MID(Metadata!E155,15,1))&lt;=5,FALSE),NOT(MID(Metadata!E155,16,1)=""),IFERROR(INT(MID(Metadata!E155,15,2))&gt;=0,FALSE),IFERROR(INT(MID(Metadata!E155,15,2))&lt;=59,FALSE)), OR(MID(Metadata!E155,17,1)="", AND(AND(MID(Metadata!E155,17,1)=":",IFERROR(INT(MID(Metadata!E155,18,1))&gt;=0,FALSE),IFERROR(INT(MID(Metadata!E155,18,1))&lt;=5,FALSE),NOT(MID(Metadata!E155,19,1)=""),IFERROR(INT(MID(Metadata!E155,18,2))&gt;=0,FALSE),IFERROR(INT(MID(Metadata!E155,18,2))&lt;=59,FALSE)), LEN(Metadata!E155)&lt;=19)))))))))))))</f>
        <v>0</v>
      </c>
      <c r="AS155" t="b">
        <f>IF(Metadata!F155="",FALSE,TRUE)</f>
        <v>0</v>
      </c>
      <c r="AT155" t="b">
        <f>OR(AND(IF(Metadata!G155="",FALSE,TRUE),OR(EXACT(Metadata!G155,"not collected"),EXACT(Metadata!G155,"not provided"))),AND(IF(Metadata!G155="",FALSE,TRUE),OR(EXACT(Metadata!G155,"TRUE"),EXACT(Metadata!G155,"FALSE"))))</f>
        <v>0</v>
      </c>
      <c r="AU155" t="b">
        <f>OR(AND(IF(Metadata!H155="",FALSE,TRUE),OR(EXACT(Metadata!H155,"not collected"),EXACT(Metadata!H155,"not provided"),EXACT(Metadata!H155,"restricted access"))),AND(IF(Metadata!H155="",FALSE,ISNUMBER(VALUE(Metadata!H155))),Metadata!H155&gt;=-413))</f>
        <v>0</v>
      </c>
      <c r="AV155" t="b">
        <f>AND(IF(Metadata!I155="",FALSE,TRUE),EXACT(Metadata!I155,"meters"))</f>
        <v>0</v>
      </c>
      <c r="AW155" t="b">
        <f>AND(IF(Metadata!J155="",FALSE,TRUE),EXACT(Metadata!J155,"free-living"))</f>
        <v>0</v>
      </c>
      <c r="AX155" t="b">
        <f>AND(IF(Metadata!K155="",FALSE,TRUE),OR(EXACT(Metadata!K155,"saline"),EXACT(Metadata!K155,"non-saline")))</f>
        <v>0</v>
      </c>
      <c r="AY155" t="b">
        <f>AND(IF(Metadata!L155="",FALSE,TRUE),OR(EXACT(Metadata!L155,"sub-surface (non-saline)"),EXACT(Metadata!L155,"surface (non-saline)"),EXACT(Metadata!L155,"water (non-saline)"),EXACT(Metadata!L155,"soil (non-saline)"),EXACT(Metadata!L155,"aerosol (non-saline)"),EXACT(Metadata!L155,"sediment (non-saline)"),EXACT(Metadata!L155,"surface (saline)"),EXACT(Metadata!L155,"water (saline)"),EXACT(Metadata!L155,"hypersaline (saline)"),EXACT(Metadata!L155,"aerosol (saline)"),EXACT(Metadata!L155,"sediment (saline)")))</f>
        <v>0</v>
      </c>
      <c r="AZ155" t="b">
        <f>IF(Metadata!M155="",FALSE,TRUE)</f>
        <v>0</v>
      </c>
      <c r="BA155" t="b">
        <f>IF(Metadata!N155="",FALSE,TRUE)</f>
        <v>0</v>
      </c>
      <c r="BB155" t="b">
        <f>IF(Metadata!O155="",FALSE,TRUE)</f>
        <v>0</v>
      </c>
      <c r="BC155" t="b">
        <f>AND(IF(Metadata!P155="",FALSE,TRUE),OR(EXACT(Metadata!P155,"air"),EXACT(Metadata!P155,"microbial mat/biofilm"),EXACT(Metadata!P155,"misc environment"),EXACT(Metadata!P155,"sediment"),EXACT(Metadata!P155,"soil"),EXACT(Metadata!P155,"wastewater/sludge"),EXACT(Metadata!P155,"water")))</f>
        <v>0</v>
      </c>
      <c r="BD155" t="b">
        <f>IF(Metadata!Q155="",FALSE,TRUE)</f>
        <v>0</v>
      </c>
      <c r="BE155" t="b">
        <f>IF(Metadata!R155="",FALSE,TRUE)</f>
        <v>0</v>
      </c>
      <c r="BF155" t="b">
        <f>OR(AND(IF(Metadata!S155="",FALSE,TRUE),OR(EXACT(Metadata!S155,"not collected"),EXACT(Metadata!S155,"not provided"),EXACT(Metadata!S155,"restricted access"))),AND(IF(Metadata!S155="",FALSE,ISNUMBER(VALUE(Metadata!S155))),Metadata!S155&gt;=-90,Metadata!S155&lt;=90))</f>
        <v>0</v>
      </c>
      <c r="BG155" t="b">
        <f>AND(IF(Metadata!T155="",FALSE,TRUE),EXACT(Metadata!T155,"Decimal degrees"))</f>
        <v>0</v>
      </c>
      <c r="BH155" t="b">
        <f>OR(AND(IF(Metadata!U155="",FALSE,TRUE),OR(EXACT(Metadata!U155,"not applicable"),EXACT(Metadata!U155,"not collected"))),IF(Metadata!U155="",FALSE,TRUE))</f>
        <v>0</v>
      </c>
      <c r="BI155" t="b">
        <f>OR(AND(IF(Metadata!V155="",FALSE,TRUE),OR(EXACT(Metadata!V155,"not collected"),EXACT(Metadata!V155,"not provided"),EXACT(Metadata!V155,"restricted access"))),AND(IF(Metadata!V155="",FALSE,ISNUMBER(VALUE(Metadata!V155))),Metadata!V155&gt;=-180,Metadata!V155&lt;=180))</f>
        <v>0</v>
      </c>
      <c r="BJ155" t="b">
        <f>AND(IF(Metadata!W155="",FALSE,TRUE),EXACT(Metadata!W155,"Decimal degrees"))</f>
        <v>0</v>
      </c>
      <c r="BK155" t="b">
        <f>IF(Metadata!X155="",FALSE,TRUE)</f>
        <v>0</v>
      </c>
      <c r="BL155" t="b">
        <f>OR(AND(IF(Metadata!Y155="",FALSE,TRUE),OR(EXACT(Metadata!Y155,"not collected"),EXACT(Metadata!Y155,"not provided"),EXACT(Metadata!Y155,"restricted access"))),AND(IF(Metadata!Y155="",FALSE,TRUE),OR(EXACT(Metadata!Y155,"TRUE"),EXACT(Metadata!Y155,"FALSE"))))</f>
        <v>0</v>
      </c>
      <c r="BM155" t="b">
        <f>OR(AND(IF(Metadata!Z155="",FALSE,TRUE),EXACT(Metadata!Z155,"not applicable")),AND(IF(Metadata!Z155="",FALSE,TRUE),OR(EXACT(Metadata!Z155,"beer"),EXACT(Metadata!Z155,"cheese"),EXACT(Metadata!Z155,"fresh water"),EXACT(Metadata!Z155,"marine sediment"),EXACT(Metadata!Z155,"sea water"),EXACT(Metadata!Z155,"sediment"),EXACT(Metadata!Z155,"soil"),EXACT(Metadata!Z155,"waste water"))))</f>
        <v>0</v>
      </c>
      <c r="BN155" t="b">
        <f>AND(IF(Metadata!AA155="",FALSE,TRUE),EXACT(Metadata!AA155,"metagenome"))</f>
        <v>0</v>
      </c>
      <c r="BO155" t="b">
        <f>AND(IF(Metadata!AB155="",FALSE,TRUE),EXACT(Metadata!AB155,"256318"))</f>
        <v>0</v>
      </c>
      <c r="BP155" t="b">
        <f>IF(Metadata!AC155="",FALSE,TRUE)</f>
        <v>0</v>
      </c>
      <c r="BQ155" t="b">
        <f>IF(Metadata!AD155="",FALSE,TRUE)</f>
        <v>0</v>
      </c>
    </row>
    <row r="156" spans="1:69" x14ac:dyDescent="0.2">
      <c r="A156" s="4" t="e">
        <f ca="1">IF(B156=" "," ",HYPERLINK(CONCATENATE("#metadata!",ADDRESS(INDEX($AJ$2:$AJ$1001,MATCH(ROWS($AH$2:AH156),$AH$2:$AH$1001,0),0),2)),INDEX($AM$2:$AM$1001,MATCH(ROWS($AH$2:AH156),$AH$2:$AH$1001,0),0)))</f>
        <v>#N/A</v>
      </c>
      <c r="B156" s="5" t="e">
        <f ca="1">IF(OR(INDEX($AI$2:$AI$1001,MATCH(ROWS($AH$2:AH156),$AH$2:$AH$1001,0),1)&gt;=100000,INDEX($AO$1005:$BQ$1005,1,MATCH(COLUMNS($AO$1006:AO1006),$AO$1006:$BQ$1006,0))&gt;=100000), " ",IF(INDEX($AO$2:$BQ$1001,MATCH(ROWS($AH$2:AH156),$AH$2:$AH$1001,0),MATCH(COLUMNS($AO$1006:AO1006),$AO$1006:$BQ$1006,0)), HYPERLINK("#",""), HYPERLINK(CONCATENATE("#Metadata!", ADDRESS(INDEX($AJ$2:$AJ$1001,MATCH(ROWS($AH$2:AH156),$AH$2:$AH$1001,0),0), INDEX($AO$1004:$BQ$1004,1,MATCH(COLUMNS($AO$1006:AO1006),$AO$1006:$BQ$1006,0)))),"Fix")))</f>
        <v>#N/A</v>
      </c>
      <c r="C156" s="5" t="e">
        <f ca="1">IF(OR(INDEX($AI$2:$AI$1001,MATCH(ROWS($AH$2:AH156),$AH$2:$AH$1001,0),1)&gt;=100000,INDEX($AO$1005:$BQ$1005,1,MATCH(COLUMNS($AO$1006:AP1006),$AO$1006:$BQ$1006,0))&gt;=100000), " ",IF(INDEX($AO$2:$BQ$1001,MATCH(ROWS($AH$2:AH156),$AH$2:$AH$1001,0),MATCH(COLUMNS($AO$1006:AP1006),$AO$1006:$BQ$1006,0)), HYPERLINK("#",""), HYPERLINK(CONCATENATE("#Metadata!", ADDRESS(INDEX($AJ$2:$AJ$1001,MATCH(ROWS($AH$2:AH156),$AH$2:$AH$1001,0),0), INDEX($AO$1004:$BQ$1004,1,MATCH(COLUMNS($AO$1006:AP1006),$AO$1006:$BQ$1006,0)))),"Fix")))</f>
        <v>#N/A</v>
      </c>
      <c r="D156" s="5" t="e">
        <f ca="1">IF(OR(INDEX($AI$2:$AI$1001,MATCH(ROWS($AH$2:AH156),$AH$2:$AH$1001,0),1)&gt;=100000,INDEX($AO$1005:$BQ$1005,1,MATCH(COLUMNS($AO$1006:AQ1006),$AO$1006:$BQ$1006,0))&gt;=100000), " ",IF(INDEX($AO$2:$BQ$1001,MATCH(ROWS($AH$2:AH156),$AH$2:$AH$1001,0),MATCH(COLUMNS($AO$1006:AQ1006),$AO$1006:$BQ$1006,0)), HYPERLINK("#",""), HYPERLINK(CONCATENATE("#Metadata!", ADDRESS(INDEX($AJ$2:$AJ$1001,MATCH(ROWS($AH$2:AH156),$AH$2:$AH$1001,0),0), INDEX($AO$1004:$BQ$1004,1,MATCH(COLUMNS($AO$1006:AQ1006),$AO$1006:$BQ$1006,0)))),"Fix")))</f>
        <v>#N/A</v>
      </c>
      <c r="E156" s="5" t="e">
        <f ca="1">IF(OR(INDEX($AI$2:$AI$1001,MATCH(ROWS($AH$2:AH156),$AH$2:$AH$1001,0),1)&gt;=100000,INDEX($AO$1005:$BQ$1005,1,MATCH(COLUMNS($AO$1006:AR1006),$AO$1006:$BQ$1006,0))&gt;=100000), " ",IF(INDEX($AO$2:$BQ$1001,MATCH(ROWS($AH$2:AH156),$AH$2:$AH$1001,0),MATCH(COLUMNS($AO$1006:AR1006),$AO$1006:$BQ$1006,0)), HYPERLINK("#",""), HYPERLINK(CONCATENATE("#Metadata!", ADDRESS(INDEX($AJ$2:$AJ$1001,MATCH(ROWS($AH$2:AH156),$AH$2:$AH$1001,0),0), INDEX($AO$1004:$BQ$1004,1,MATCH(COLUMNS($AO$1006:AR1006),$AO$1006:$BQ$1006,0)))),"Fix")))</f>
        <v>#N/A</v>
      </c>
      <c r="F156" s="5" t="e">
        <f ca="1">IF(OR(INDEX($AI$2:$AI$1001,MATCH(ROWS($AH$2:AH156),$AH$2:$AH$1001,0),1)&gt;=100000,INDEX($AO$1005:$BQ$1005,1,MATCH(COLUMNS($AO$1006:AS1006),$AO$1006:$BQ$1006,0))&gt;=100000), " ",IF(INDEX($AO$2:$BQ$1001,MATCH(ROWS($AH$2:AH156),$AH$2:$AH$1001,0),MATCH(COLUMNS($AO$1006:AS1006),$AO$1006:$BQ$1006,0)), HYPERLINK("#",""), HYPERLINK(CONCATENATE("#Metadata!", ADDRESS(INDEX($AJ$2:$AJ$1001,MATCH(ROWS($AH$2:AH156),$AH$2:$AH$1001,0),0), INDEX($AO$1004:$BQ$1004,1,MATCH(COLUMNS($AO$1006:AS1006),$AO$1006:$BQ$1006,0)))),"Fix")))</f>
        <v>#N/A</v>
      </c>
      <c r="G156" s="5" t="e">
        <f ca="1">IF(OR(INDEX($AI$2:$AI$1001,MATCH(ROWS($AH$2:AH156),$AH$2:$AH$1001,0),1)&gt;=100000,INDEX($AO$1005:$BQ$1005,1,MATCH(COLUMNS($AO$1006:AT1006),$AO$1006:$BQ$1006,0))&gt;=100000), " ",IF(INDEX($AO$2:$BQ$1001,MATCH(ROWS($AH$2:AH156),$AH$2:$AH$1001,0),MATCH(COLUMNS($AO$1006:AT1006),$AO$1006:$BQ$1006,0)), HYPERLINK("#",""), HYPERLINK(CONCATENATE("#Metadata!", ADDRESS(INDEX($AJ$2:$AJ$1001,MATCH(ROWS($AH$2:AH156),$AH$2:$AH$1001,0),0), INDEX($AO$1004:$BQ$1004,1,MATCH(COLUMNS($AO$1006:AT1006),$AO$1006:$BQ$1006,0)))),"Fix")))</f>
        <v>#N/A</v>
      </c>
      <c r="H156" s="5" t="e">
        <f ca="1">IF(OR(INDEX($AI$2:$AI$1001,MATCH(ROWS($AH$2:AH156),$AH$2:$AH$1001,0),1)&gt;=100000,INDEX($AO$1005:$BQ$1005,1,MATCH(COLUMNS($AO$1006:AU1006),$AO$1006:$BQ$1006,0))&gt;=100000), " ",IF(INDEX($AO$2:$BQ$1001,MATCH(ROWS($AH$2:AH156),$AH$2:$AH$1001,0),MATCH(COLUMNS($AO$1006:AU1006),$AO$1006:$BQ$1006,0)), HYPERLINK("#",""), HYPERLINK(CONCATENATE("#Metadata!", ADDRESS(INDEX($AJ$2:$AJ$1001,MATCH(ROWS($AH$2:AH156),$AH$2:$AH$1001,0),0), INDEX($AO$1004:$BQ$1004,1,MATCH(COLUMNS($AO$1006:AU1006),$AO$1006:$BQ$1006,0)))),"Fix")))</f>
        <v>#N/A</v>
      </c>
      <c r="I156" s="5" t="e">
        <f ca="1">IF(OR(INDEX($AI$2:$AI$1001,MATCH(ROWS($AH$2:AH156),$AH$2:$AH$1001,0),1)&gt;=100000,INDEX($AO$1005:$BQ$1005,1,MATCH(COLUMNS($AO$1006:AV1006),$AO$1006:$BQ$1006,0))&gt;=100000), " ",IF(INDEX($AO$2:$BQ$1001,MATCH(ROWS($AH$2:AH156),$AH$2:$AH$1001,0),MATCH(COLUMNS($AO$1006:AV1006),$AO$1006:$BQ$1006,0)), HYPERLINK("#",""), HYPERLINK(CONCATENATE("#Metadata!", ADDRESS(INDEX($AJ$2:$AJ$1001,MATCH(ROWS($AH$2:AH156),$AH$2:$AH$1001,0),0), INDEX($AO$1004:$BQ$1004,1,MATCH(COLUMNS($AO$1006:AV1006),$AO$1006:$BQ$1006,0)))),"Fix")))</f>
        <v>#N/A</v>
      </c>
      <c r="J156" s="5" t="e">
        <f ca="1">IF(OR(INDEX($AI$2:$AI$1001,MATCH(ROWS($AH$2:AH156),$AH$2:$AH$1001,0),1)&gt;=100000,INDEX($AO$1005:$BQ$1005,1,MATCH(COLUMNS($AO$1006:AW1006),$AO$1006:$BQ$1006,0))&gt;=100000), " ",IF(INDEX($AO$2:$BQ$1001,MATCH(ROWS($AH$2:AH156),$AH$2:$AH$1001,0),MATCH(COLUMNS($AO$1006:AW1006),$AO$1006:$BQ$1006,0)), HYPERLINK("#",""), HYPERLINK(CONCATENATE("#Metadata!", ADDRESS(INDEX($AJ$2:$AJ$1001,MATCH(ROWS($AH$2:AH156),$AH$2:$AH$1001,0),0), INDEX($AO$1004:$BQ$1004,1,MATCH(COLUMNS($AO$1006:AW1006),$AO$1006:$BQ$1006,0)))),"Fix")))</f>
        <v>#N/A</v>
      </c>
      <c r="K156" s="5" t="e">
        <f ca="1">IF(OR(INDEX($AI$2:$AI$1001,MATCH(ROWS($AH$2:AH156),$AH$2:$AH$1001,0),1)&gt;=100000,INDEX($AO$1005:$BQ$1005,1,MATCH(COLUMNS($AO$1006:AX1006),$AO$1006:$BQ$1006,0))&gt;=100000), " ",IF(INDEX($AO$2:$BQ$1001,MATCH(ROWS($AH$2:AH156),$AH$2:$AH$1001,0),MATCH(COLUMNS($AO$1006:AX1006),$AO$1006:$BQ$1006,0)), HYPERLINK("#",""), HYPERLINK(CONCATENATE("#Metadata!", ADDRESS(INDEX($AJ$2:$AJ$1001,MATCH(ROWS($AH$2:AH156),$AH$2:$AH$1001,0),0), INDEX($AO$1004:$BQ$1004,1,MATCH(COLUMNS($AO$1006:AX1006),$AO$1006:$BQ$1006,0)))),"Fix")))</f>
        <v>#N/A</v>
      </c>
      <c r="L156" s="5" t="e">
        <f ca="1">IF(OR(INDEX($AI$2:$AI$1001,MATCH(ROWS($AH$2:AH156),$AH$2:$AH$1001,0),1)&gt;=100000,INDEX($AO$1005:$BQ$1005,1,MATCH(COLUMNS($AO$1006:AY1006),$AO$1006:$BQ$1006,0))&gt;=100000), " ",IF(INDEX($AO$2:$BQ$1001,MATCH(ROWS($AH$2:AH156),$AH$2:$AH$1001,0),MATCH(COLUMNS($AO$1006:AY1006),$AO$1006:$BQ$1006,0)), HYPERLINK("#",""), HYPERLINK(CONCATENATE("#Metadata!", ADDRESS(INDEX($AJ$2:$AJ$1001,MATCH(ROWS($AH$2:AH156),$AH$2:$AH$1001,0),0), INDEX($AO$1004:$BQ$1004,1,MATCH(COLUMNS($AO$1006:AY1006),$AO$1006:$BQ$1006,0)))),"Fix")))</f>
        <v>#N/A</v>
      </c>
      <c r="M156" s="5" t="e">
        <f ca="1">IF(OR(INDEX($AI$2:$AI$1001,MATCH(ROWS($AH$2:AH156),$AH$2:$AH$1001,0),1)&gt;=100000,INDEX($AO$1005:$BQ$1005,1,MATCH(COLUMNS($AO$1006:AZ1006),$AO$1006:$BQ$1006,0))&gt;=100000), " ",IF(INDEX($AO$2:$BQ$1001,MATCH(ROWS($AH$2:AH156),$AH$2:$AH$1001,0),MATCH(COLUMNS($AO$1006:AZ1006),$AO$1006:$BQ$1006,0)), HYPERLINK("#",""), HYPERLINK(CONCATENATE("#Metadata!", ADDRESS(INDEX($AJ$2:$AJ$1001,MATCH(ROWS($AH$2:AH156),$AH$2:$AH$1001,0),0), INDEX($AO$1004:$BQ$1004,1,MATCH(COLUMNS($AO$1006:AZ1006),$AO$1006:$BQ$1006,0)))),"Fix")))</f>
        <v>#N/A</v>
      </c>
      <c r="N156" s="5" t="e">
        <f ca="1">IF(OR(INDEX($AI$2:$AI$1001,MATCH(ROWS($AH$2:AH156),$AH$2:$AH$1001,0),1)&gt;=100000,INDEX($AO$1005:$BQ$1005,1,MATCH(COLUMNS($AO$1006:BA1006),$AO$1006:$BQ$1006,0))&gt;=100000), " ",IF(INDEX($AO$2:$BQ$1001,MATCH(ROWS($AH$2:AH156),$AH$2:$AH$1001,0),MATCH(COLUMNS($AO$1006:BA1006),$AO$1006:$BQ$1006,0)), HYPERLINK("#",""), HYPERLINK(CONCATENATE("#Metadata!", ADDRESS(INDEX($AJ$2:$AJ$1001,MATCH(ROWS($AH$2:AH156),$AH$2:$AH$1001,0),0), INDEX($AO$1004:$BQ$1004,1,MATCH(COLUMNS($AO$1006:BA1006),$AO$1006:$BQ$1006,0)))),"Fix")))</f>
        <v>#N/A</v>
      </c>
      <c r="O156" s="5" t="e">
        <f ca="1">IF(OR(INDEX($AI$2:$AI$1001,MATCH(ROWS($AH$2:AH156),$AH$2:$AH$1001,0),1)&gt;=100000,INDEX($AO$1005:$BQ$1005,1,MATCH(COLUMNS($AO$1006:BB1006),$AO$1006:$BQ$1006,0))&gt;=100000), " ",IF(INDEX($AO$2:$BQ$1001,MATCH(ROWS($AH$2:AH156),$AH$2:$AH$1001,0),MATCH(COLUMNS($AO$1006:BB1006),$AO$1006:$BQ$1006,0)), HYPERLINK("#",""), HYPERLINK(CONCATENATE("#Metadata!", ADDRESS(INDEX($AJ$2:$AJ$1001,MATCH(ROWS($AH$2:AH156),$AH$2:$AH$1001,0),0), INDEX($AO$1004:$BQ$1004,1,MATCH(COLUMNS($AO$1006:BB1006),$AO$1006:$BQ$1006,0)))),"Fix")))</f>
        <v>#N/A</v>
      </c>
      <c r="P156" s="5" t="e">
        <f ca="1">IF(OR(INDEX($AI$2:$AI$1001,MATCH(ROWS($AH$2:AH156),$AH$2:$AH$1001,0),1)&gt;=100000,INDEX($AO$1005:$BQ$1005,1,MATCH(COLUMNS($AO$1006:BC1006),$AO$1006:$BQ$1006,0))&gt;=100000), " ",IF(INDEX($AO$2:$BQ$1001,MATCH(ROWS($AH$2:AH156),$AH$2:$AH$1001,0),MATCH(COLUMNS($AO$1006:BC1006),$AO$1006:$BQ$1006,0)), HYPERLINK("#",""), HYPERLINK(CONCATENATE("#Metadata!", ADDRESS(INDEX($AJ$2:$AJ$1001,MATCH(ROWS($AH$2:AH156),$AH$2:$AH$1001,0),0), INDEX($AO$1004:$BQ$1004,1,MATCH(COLUMNS($AO$1006:BC1006),$AO$1006:$BQ$1006,0)))),"Fix")))</f>
        <v>#N/A</v>
      </c>
      <c r="Q156" s="5" t="e">
        <f ca="1">IF(OR(INDEX($AI$2:$AI$1001,MATCH(ROWS($AH$2:AH156),$AH$2:$AH$1001,0),1)&gt;=100000,INDEX($AO$1005:$BQ$1005,1,MATCH(COLUMNS($AO$1006:BD1006),$AO$1006:$BQ$1006,0))&gt;=100000), " ",IF(INDEX($AO$2:$BQ$1001,MATCH(ROWS($AH$2:AH156),$AH$2:$AH$1001,0),MATCH(COLUMNS($AO$1006:BD1006),$AO$1006:$BQ$1006,0)), HYPERLINK("#",""), HYPERLINK(CONCATENATE("#Metadata!", ADDRESS(INDEX($AJ$2:$AJ$1001,MATCH(ROWS($AH$2:AH156),$AH$2:$AH$1001,0),0), INDEX($AO$1004:$BQ$1004,1,MATCH(COLUMNS($AO$1006:BD1006),$AO$1006:$BQ$1006,0)))),"Fix")))</f>
        <v>#N/A</v>
      </c>
      <c r="R156" s="5" t="e">
        <f ca="1">IF(OR(INDEX($AI$2:$AI$1001,MATCH(ROWS($AH$2:AH156),$AH$2:$AH$1001,0),1)&gt;=100000,INDEX($AO$1005:$BQ$1005,1,MATCH(COLUMNS($AO$1006:BE1006),$AO$1006:$BQ$1006,0))&gt;=100000), " ",IF(INDEX($AO$2:$BQ$1001,MATCH(ROWS($AH$2:AH156),$AH$2:$AH$1001,0),MATCH(COLUMNS($AO$1006:BE1006),$AO$1006:$BQ$1006,0)), HYPERLINK("#",""), HYPERLINK(CONCATENATE("#Metadata!", ADDRESS(INDEX($AJ$2:$AJ$1001,MATCH(ROWS($AH$2:AH156),$AH$2:$AH$1001,0),0), INDEX($AO$1004:$BQ$1004,1,MATCH(COLUMNS($AO$1006:BE1006),$AO$1006:$BQ$1006,0)))),"Fix")))</f>
        <v>#N/A</v>
      </c>
      <c r="S156" s="5" t="e">
        <f ca="1">IF(OR(INDEX($AI$2:$AI$1001,MATCH(ROWS($AH$2:AH156),$AH$2:$AH$1001,0),1)&gt;=100000,INDEX($AO$1005:$BQ$1005,1,MATCH(COLUMNS($AO$1006:BF1006),$AO$1006:$BQ$1006,0))&gt;=100000), " ",IF(INDEX($AO$2:$BQ$1001,MATCH(ROWS($AH$2:AH156),$AH$2:$AH$1001,0),MATCH(COLUMNS($AO$1006:BF1006),$AO$1006:$BQ$1006,0)), HYPERLINK("#",""), HYPERLINK(CONCATENATE("#Metadata!", ADDRESS(INDEX($AJ$2:$AJ$1001,MATCH(ROWS($AH$2:AH156),$AH$2:$AH$1001,0),0), INDEX($AO$1004:$BQ$1004,1,MATCH(COLUMNS($AO$1006:BF1006),$AO$1006:$BQ$1006,0)))),"Fix")))</f>
        <v>#N/A</v>
      </c>
      <c r="T156" s="5" t="e">
        <f ca="1">IF(OR(INDEX($AI$2:$AI$1001,MATCH(ROWS($AH$2:AH156),$AH$2:$AH$1001,0),1)&gt;=100000,INDEX($AO$1005:$BQ$1005,1,MATCH(COLUMNS($AO$1006:BG1006),$AO$1006:$BQ$1006,0))&gt;=100000), " ",IF(INDEX($AO$2:$BQ$1001,MATCH(ROWS($AH$2:AH156),$AH$2:$AH$1001,0),MATCH(COLUMNS($AO$1006:BG1006),$AO$1006:$BQ$1006,0)), HYPERLINK("#",""), HYPERLINK(CONCATENATE("#Metadata!", ADDRESS(INDEX($AJ$2:$AJ$1001,MATCH(ROWS($AH$2:AH156),$AH$2:$AH$1001,0),0), INDEX($AO$1004:$BQ$1004,1,MATCH(COLUMNS($AO$1006:BG1006),$AO$1006:$BQ$1006,0)))),"Fix")))</f>
        <v>#N/A</v>
      </c>
      <c r="U156" s="5" t="e">
        <f ca="1">IF(OR(INDEX($AI$2:$AI$1001,MATCH(ROWS($AH$2:AH156),$AH$2:$AH$1001,0),1)&gt;=100000,INDEX($AO$1005:$BQ$1005,1,MATCH(COLUMNS($AO$1006:BH1006),$AO$1006:$BQ$1006,0))&gt;=100000), " ",IF(INDEX($AO$2:$BQ$1001,MATCH(ROWS($AH$2:AH156),$AH$2:$AH$1001,0),MATCH(COLUMNS($AO$1006:BH1006),$AO$1006:$BQ$1006,0)), HYPERLINK("#",""), HYPERLINK(CONCATENATE("#Metadata!", ADDRESS(INDEX($AJ$2:$AJ$1001,MATCH(ROWS($AH$2:AH156),$AH$2:$AH$1001,0),0), INDEX($AO$1004:$BQ$1004,1,MATCH(COLUMNS($AO$1006:BH1006),$AO$1006:$BQ$1006,0)))),"Fix")))</f>
        <v>#N/A</v>
      </c>
      <c r="V156" s="5" t="e">
        <f ca="1">IF(OR(INDEX($AI$2:$AI$1001,MATCH(ROWS($AH$2:AH156),$AH$2:$AH$1001,0),1)&gt;=100000,INDEX($AO$1005:$BQ$1005,1,MATCH(COLUMNS($AO$1006:BI1006),$AO$1006:$BQ$1006,0))&gt;=100000), " ",IF(INDEX($AO$2:$BQ$1001,MATCH(ROWS($AH$2:AH156),$AH$2:$AH$1001,0),MATCH(COLUMNS($AO$1006:BI1006),$AO$1006:$BQ$1006,0)), HYPERLINK("#",""), HYPERLINK(CONCATENATE("#Metadata!", ADDRESS(INDEX($AJ$2:$AJ$1001,MATCH(ROWS($AH$2:AH156),$AH$2:$AH$1001,0),0), INDEX($AO$1004:$BQ$1004,1,MATCH(COLUMNS($AO$1006:BI1006),$AO$1006:$BQ$1006,0)))),"Fix")))</f>
        <v>#N/A</v>
      </c>
      <c r="W156" s="5" t="e">
        <f ca="1">IF(OR(INDEX($AI$2:$AI$1001,MATCH(ROWS($AH$2:AH156),$AH$2:$AH$1001,0),1)&gt;=100000,INDEX($AO$1005:$BQ$1005,1,MATCH(COLUMNS($AO$1006:BJ1006),$AO$1006:$BQ$1006,0))&gt;=100000), " ",IF(INDEX($AO$2:$BQ$1001,MATCH(ROWS($AH$2:AH156),$AH$2:$AH$1001,0),MATCH(COLUMNS($AO$1006:BJ1006),$AO$1006:$BQ$1006,0)), HYPERLINK("#",""), HYPERLINK(CONCATENATE("#Metadata!", ADDRESS(INDEX($AJ$2:$AJ$1001,MATCH(ROWS($AH$2:AH156),$AH$2:$AH$1001,0),0), INDEX($AO$1004:$BQ$1004,1,MATCH(COLUMNS($AO$1006:BJ1006),$AO$1006:$BQ$1006,0)))),"Fix")))</f>
        <v>#N/A</v>
      </c>
      <c r="X156" s="5" t="e">
        <f ca="1">IF(OR(INDEX($AI$2:$AI$1001,MATCH(ROWS($AH$2:AH156),$AH$2:$AH$1001,0),1)&gt;=100000,INDEX($AO$1005:$BQ$1005,1,MATCH(COLUMNS($AO$1006:BK1006),$AO$1006:$BQ$1006,0))&gt;=100000), " ",IF(INDEX($AO$2:$BQ$1001,MATCH(ROWS($AH$2:AH156),$AH$2:$AH$1001,0),MATCH(COLUMNS($AO$1006:BK1006),$AO$1006:$BQ$1006,0)), HYPERLINK("#",""), HYPERLINK(CONCATENATE("#Metadata!", ADDRESS(INDEX($AJ$2:$AJ$1001,MATCH(ROWS($AH$2:AH156),$AH$2:$AH$1001,0),0), INDEX($AO$1004:$BQ$1004,1,MATCH(COLUMNS($AO$1006:BK1006),$AO$1006:$BQ$1006,0)))),"Fix")))</f>
        <v>#N/A</v>
      </c>
      <c r="Y156" s="5" t="e">
        <f ca="1">IF(OR(INDEX($AI$2:$AI$1001,MATCH(ROWS($AH$2:AH156),$AH$2:$AH$1001,0),1)&gt;=100000,INDEX($AO$1005:$BQ$1005,1,MATCH(COLUMNS($AO$1006:BL1006),$AO$1006:$BQ$1006,0))&gt;=100000), " ",IF(INDEX($AO$2:$BQ$1001,MATCH(ROWS($AH$2:AH156),$AH$2:$AH$1001,0),MATCH(COLUMNS($AO$1006:BL1006),$AO$1006:$BQ$1006,0)), HYPERLINK("#",""), HYPERLINK(CONCATENATE("#Metadata!", ADDRESS(INDEX($AJ$2:$AJ$1001,MATCH(ROWS($AH$2:AH156),$AH$2:$AH$1001,0),0), INDEX($AO$1004:$BQ$1004,1,MATCH(COLUMNS($AO$1006:BL1006),$AO$1006:$BQ$1006,0)))),"Fix")))</f>
        <v>#N/A</v>
      </c>
      <c r="Z156" s="5" t="e">
        <f ca="1">IF(OR(INDEX($AI$2:$AI$1001,MATCH(ROWS($AH$2:AH156),$AH$2:$AH$1001,0),1)&gt;=100000,INDEX($AO$1005:$BQ$1005,1,MATCH(COLUMNS($AO$1006:BM1006),$AO$1006:$BQ$1006,0))&gt;=100000), " ",IF(INDEX($AO$2:$BQ$1001,MATCH(ROWS($AH$2:AH156),$AH$2:$AH$1001,0),MATCH(COLUMNS($AO$1006:BM1006),$AO$1006:$BQ$1006,0)), HYPERLINK("#",""), HYPERLINK(CONCATENATE("#Metadata!", ADDRESS(INDEX($AJ$2:$AJ$1001,MATCH(ROWS($AH$2:AH156),$AH$2:$AH$1001,0),0), INDEX($AO$1004:$BQ$1004,1,MATCH(COLUMNS($AO$1006:BM1006),$AO$1006:$BQ$1006,0)))),"Fix")))</f>
        <v>#N/A</v>
      </c>
      <c r="AA156" s="5" t="e">
        <f ca="1">IF(OR(INDEX($AI$2:$AI$1001,MATCH(ROWS($AH$2:AH156),$AH$2:$AH$1001,0),1)&gt;=100000,INDEX($AO$1005:$BQ$1005,1,MATCH(COLUMNS($AO$1006:BN1006),$AO$1006:$BQ$1006,0))&gt;=100000), " ",IF(INDEX($AO$2:$BQ$1001,MATCH(ROWS($AH$2:AH156),$AH$2:$AH$1001,0),MATCH(COLUMNS($AO$1006:BN1006),$AO$1006:$BQ$1006,0)), HYPERLINK("#",""), HYPERLINK(CONCATENATE("#Metadata!", ADDRESS(INDEX($AJ$2:$AJ$1001,MATCH(ROWS($AH$2:AH156),$AH$2:$AH$1001,0),0), INDEX($AO$1004:$BQ$1004,1,MATCH(COLUMNS($AO$1006:BN1006),$AO$1006:$BQ$1006,0)))),"Fix")))</f>
        <v>#N/A</v>
      </c>
      <c r="AB156" s="5" t="e">
        <f ca="1">IF(OR(INDEX($AI$2:$AI$1001,MATCH(ROWS($AH$2:AH156),$AH$2:$AH$1001,0),1)&gt;=100000,INDEX($AO$1005:$BQ$1005,1,MATCH(COLUMNS($AO$1006:BO1006),$AO$1006:$BQ$1006,0))&gt;=100000), " ",IF(INDEX($AO$2:$BQ$1001,MATCH(ROWS($AH$2:AH156),$AH$2:$AH$1001,0),MATCH(COLUMNS($AO$1006:BO1006),$AO$1006:$BQ$1006,0)), HYPERLINK("#",""), HYPERLINK(CONCATENATE("#Metadata!", ADDRESS(INDEX($AJ$2:$AJ$1001,MATCH(ROWS($AH$2:AH156),$AH$2:$AH$1001,0),0), INDEX($AO$1004:$BQ$1004,1,MATCH(COLUMNS($AO$1006:BO1006),$AO$1006:$BQ$1006,0)))),"Fix")))</f>
        <v>#N/A</v>
      </c>
      <c r="AC156" s="5" t="e">
        <f ca="1">IF(OR(INDEX($AI$2:$AI$1001,MATCH(ROWS($AH$2:AH156),$AH$2:$AH$1001,0),1)&gt;=100000,INDEX($AO$1005:$BQ$1005,1,MATCH(COLUMNS($AO$1006:BP1006),$AO$1006:$BQ$1006,0))&gt;=100000), " ",IF(INDEX($AO$2:$BQ$1001,MATCH(ROWS($AH$2:AH156),$AH$2:$AH$1001,0),MATCH(COLUMNS($AO$1006:BP1006),$AO$1006:$BQ$1006,0)), HYPERLINK("#",""), HYPERLINK(CONCATENATE("#Metadata!", ADDRESS(INDEX($AJ$2:$AJ$1001,MATCH(ROWS($AH$2:AH156),$AH$2:$AH$1001,0),0), INDEX($AO$1004:$BQ$1004,1,MATCH(COLUMNS($AO$1006:BP1006),$AO$1006:$BQ$1006,0)))),"Fix")))</f>
        <v>#N/A</v>
      </c>
      <c r="AD156" s="5" t="e">
        <f ca="1">IF(OR(INDEX($AI$2:$AI$1001,MATCH(ROWS($AH$2:AH156),$AH$2:$AH$1001,0),1)&gt;=100000,INDEX($AO$1005:$BQ$1005,1,MATCH(COLUMNS($AO$1006:BQ1006),$AO$1006:$BQ$1006,0))&gt;=100000), " ",IF(INDEX($AO$2:$BQ$1001,MATCH(ROWS($AH$2:AH156),$AH$2:$AH$1001,0),MATCH(COLUMNS($AO$1006:BQ1006),$AO$1006:$BQ$1006,0)), HYPERLINK("#",""), HYPERLINK(CONCATENATE("#Metadata!", ADDRESS(INDEX($AJ$2:$AJ$1001,MATCH(ROWS($AH$2:AH156),$AH$2:$AH$1001,0),0), INDEX($AO$1004:$BQ$1004,1,MATCH(COLUMNS($AO$1006:BQ1006),$AO$1006:$BQ$1006,0)))),"Fix")))</f>
        <v>#REF!</v>
      </c>
      <c r="AH156">
        <f ca="1"/>
        <v>153</v>
      </c>
      <c r="AI156">
        <v>100156</v>
      </c>
      <c r="AJ156">
        <v>156</v>
      </c>
      <c r="AK156" t="b">
        <f t="shared" si="2"/>
        <v>1</v>
      </c>
      <c r="AL156" t="b">
        <f>COUNTBLANK(Metadata!B156:AD156)=COLUMNS(Metadata!B156:AD156)</f>
        <v>1</v>
      </c>
      <c r="AM156" t="str">
        <v/>
      </c>
      <c r="AO156" t="b">
        <f ca="1">AND(IF(Metadata!B156="",FALSE,TRUE),COUNTIF(Metadata!B:B, Metadata!B156) = 1,NOT(ISERROR(SUMPRODUCT(SEARCH(MID(Metadata!B156,ROW(INDIRECT("1:"&amp;LEN(Metadata!B156))), 1),"0123456789abcdefghijklmnopqrstuvwxyzABCDEFGHIJKLMNOPQRSTUVWXYZ.")))))</f>
        <v>0</v>
      </c>
      <c r="AP156" t="b">
        <f>IF(Metadata!C156="",FALSE,TRUE)</f>
        <v>0</v>
      </c>
      <c r="AQ156" t="b">
        <f>IF(Metadata!D156="",FALSE,TRUE)</f>
        <v>0</v>
      </c>
      <c r="AR156" t="b">
        <f ca="1">OR(AND(IF(Metadata!E156="",FALSE,TRUE),OR(EXACT(Metadata!E156,"not collected"),EXACT(Metadata!E156,"not provided"),EXACT(Metadata!E156,"restricted access"))),AND(IF(Metadata!E156="",FALSE,TRUE),AND(AND(IFERROR(INT(LEFT(Metadata!E156,4))&gt;1900,FALSE),IFERROR(INT(LEFT(Metadata!E156,4))&lt;=YEAR(NOW()),FALSE)), OR(MID(Metadata!E156,5,1)="", AND(AND(MID(Metadata!E156,5,1)="-",IFERROR(INT(MID(Metadata!E156,6,1))&gt;=0,FALSE),IFERROR(INT(MID(Metadata!E156,6,1))&lt;=1,FALSE),NOT(MID(Metadata!E156,7,1)=""),IFERROR(INT(MID(Metadata!E156,6,2))&gt;=1,FALSE),IFERROR(INT(MID(Metadata!E156,6,2))&lt;=12,FALSE)), OR(MID(Metadata!E156,8,1)="", AND(AND(MID(Metadata!E156,8,1)="-",IFERROR(INT(MID(Metadata!E156,9,1))&gt;=0,FALSE),IFERROR(INT(MID(Metadata!E156,9,1))&lt;=3,FALSE),NOT(MID(Metadata!E156,10,1)=""),IFERROR(INT(MID(Metadata!E156,9,2))&gt;=1,FALSE),IFERROR(INT(MID(Metadata!E156,9,2))&lt;=31,FALSE)), OR(MID(Metadata!E156,11,1)="", AND(AND(MID(Metadata!E156,11,1)=" ",IFERROR(INT(MID(Metadata!E156,12,1))&gt;=0,FALSE),IFERROR(INT(MID(Metadata!E156,12,1))&lt;=2,FALSE),NOT(MID(Metadata!E156,13,1)=""),IFERROR(INT(MID(Metadata!E156,12,2))&gt;=0,FALSE),IFERROR(INT(MID(Metadata!E156,12,2))&lt;=23,FALSE)), OR(MID(Metadata!E156,14,1)="", AND(AND(MID(Metadata!E156,14,1)=":",IFERROR(INT(MID(Metadata!E156,15,1))&gt;=0,FALSE),IFERROR(INT(MID(Metadata!E156,15,1))&lt;=5,FALSE),NOT(MID(Metadata!E156,16,1)=""),IFERROR(INT(MID(Metadata!E156,15,2))&gt;=0,FALSE),IFERROR(INT(MID(Metadata!E156,15,2))&lt;=59,FALSE)), OR(MID(Metadata!E156,17,1)="", AND(AND(MID(Metadata!E156,17,1)=":",IFERROR(INT(MID(Metadata!E156,18,1))&gt;=0,FALSE),IFERROR(INT(MID(Metadata!E156,18,1))&lt;=5,FALSE),NOT(MID(Metadata!E156,19,1)=""),IFERROR(INT(MID(Metadata!E156,18,2))&gt;=0,FALSE),IFERROR(INT(MID(Metadata!E156,18,2))&lt;=59,FALSE)), LEN(Metadata!E156)&lt;=19)))))))))))))</f>
        <v>0</v>
      </c>
      <c r="AS156" t="b">
        <f>IF(Metadata!F156="",FALSE,TRUE)</f>
        <v>0</v>
      </c>
      <c r="AT156" t="b">
        <f>OR(AND(IF(Metadata!G156="",FALSE,TRUE),OR(EXACT(Metadata!G156,"not collected"),EXACT(Metadata!G156,"not provided"))),AND(IF(Metadata!G156="",FALSE,TRUE),OR(EXACT(Metadata!G156,"TRUE"),EXACT(Metadata!G156,"FALSE"))))</f>
        <v>0</v>
      </c>
      <c r="AU156" t="b">
        <f>OR(AND(IF(Metadata!H156="",FALSE,TRUE),OR(EXACT(Metadata!H156,"not collected"),EXACT(Metadata!H156,"not provided"),EXACT(Metadata!H156,"restricted access"))),AND(IF(Metadata!H156="",FALSE,ISNUMBER(VALUE(Metadata!H156))),Metadata!H156&gt;=-413))</f>
        <v>0</v>
      </c>
      <c r="AV156" t="b">
        <f>AND(IF(Metadata!I156="",FALSE,TRUE),EXACT(Metadata!I156,"meters"))</f>
        <v>0</v>
      </c>
      <c r="AW156" t="b">
        <f>AND(IF(Metadata!J156="",FALSE,TRUE),EXACT(Metadata!J156,"free-living"))</f>
        <v>0</v>
      </c>
      <c r="AX156" t="b">
        <f>AND(IF(Metadata!K156="",FALSE,TRUE),OR(EXACT(Metadata!K156,"saline"),EXACT(Metadata!K156,"non-saline")))</f>
        <v>0</v>
      </c>
      <c r="AY156" t="b">
        <f>AND(IF(Metadata!L156="",FALSE,TRUE),OR(EXACT(Metadata!L156,"sub-surface (non-saline)"),EXACT(Metadata!L156,"surface (non-saline)"),EXACT(Metadata!L156,"water (non-saline)"),EXACT(Metadata!L156,"soil (non-saline)"),EXACT(Metadata!L156,"aerosol (non-saline)"),EXACT(Metadata!L156,"sediment (non-saline)"),EXACT(Metadata!L156,"surface (saline)"),EXACT(Metadata!L156,"water (saline)"),EXACT(Metadata!L156,"hypersaline (saline)"),EXACT(Metadata!L156,"aerosol (saline)"),EXACT(Metadata!L156,"sediment (saline)")))</f>
        <v>0</v>
      </c>
      <c r="AZ156" t="b">
        <f>IF(Metadata!M156="",FALSE,TRUE)</f>
        <v>0</v>
      </c>
      <c r="BA156" t="b">
        <f>IF(Metadata!N156="",FALSE,TRUE)</f>
        <v>0</v>
      </c>
      <c r="BB156" t="b">
        <f>IF(Metadata!O156="",FALSE,TRUE)</f>
        <v>0</v>
      </c>
      <c r="BC156" t="b">
        <f>AND(IF(Metadata!P156="",FALSE,TRUE),OR(EXACT(Metadata!P156,"air"),EXACT(Metadata!P156,"microbial mat/biofilm"),EXACT(Metadata!P156,"misc environment"),EXACT(Metadata!P156,"sediment"),EXACT(Metadata!P156,"soil"),EXACT(Metadata!P156,"wastewater/sludge"),EXACT(Metadata!P156,"water")))</f>
        <v>0</v>
      </c>
      <c r="BD156" t="b">
        <f>IF(Metadata!Q156="",FALSE,TRUE)</f>
        <v>0</v>
      </c>
      <c r="BE156" t="b">
        <f>IF(Metadata!R156="",FALSE,TRUE)</f>
        <v>0</v>
      </c>
      <c r="BF156" t="b">
        <f>OR(AND(IF(Metadata!S156="",FALSE,TRUE),OR(EXACT(Metadata!S156,"not collected"),EXACT(Metadata!S156,"not provided"),EXACT(Metadata!S156,"restricted access"))),AND(IF(Metadata!S156="",FALSE,ISNUMBER(VALUE(Metadata!S156))),Metadata!S156&gt;=-90,Metadata!S156&lt;=90))</f>
        <v>0</v>
      </c>
      <c r="BG156" t="b">
        <f>AND(IF(Metadata!T156="",FALSE,TRUE),EXACT(Metadata!T156,"Decimal degrees"))</f>
        <v>0</v>
      </c>
      <c r="BH156" t="b">
        <f>OR(AND(IF(Metadata!U156="",FALSE,TRUE),OR(EXACT(Metadata!U156,"not applicable"),EXACT(Metadata!U156,"not collected"))),IF(Metadata!U156="",FALSE,TRUE))</f>
        <v>0</v>
      </c>
      <c r="BI156" t="b">
        <f>OR(AND(IF(Metadata!V156="",FALSE,TRUE),OR(EXACT(Metadata!V156,"not collected"),EXACT(Metadata!V156,"not provided"),EXACT(Metadata!V156,"restricted access"))),AND(IF(Metadata!V156="",FALSE,ISNUMBER(VALUE(Metadata!V156))),Metadata!V156&gt;=-180,Metadata!V156&lt;=180))</f>
        <v>0</v>
      </c>
      <c r="BJ156" t="b">
        <f>AND(IF(Metadata!W156="",FALSE,TRUE),EXACT(Metadata!W156,"Decimal degrees"))</f>
        <v>0</v>
      </c>
      <c r="BK156" t="b">
        <f>IF(Metadata!X156="",FALSE,TRUE)</f>
        <v>0</v>
      </c>
      <c r="BL156" t="b">
        <f>OR(AND(IF(Metadata!Y156="",FALSE,TRUE),OR(EXACT(Metadata!Y156,"not collected"),EXACT(Metadata!Y156,"not provided"),EXACT(Metadata!Y156,"restricted access"))),AND(IF(Metadata!Y156="",FALSE,TRUE),OR(EXACT(Metadata!Y156,"TRUE"),EXACT(Metadata!Y156,"FALSE"))))</f>
        <v>0</v>
      </c>
      <c r="BM156" t="b">
        <f>OR(AND(IF(Metadata!Z156="",FALSE,TRUE),EXACT(Metadata!Z156,"not applicable")),AND(IF(Metadata!Z156="",FALSE,TRUE),OR(EXACT(Metadata!Z156,"beer"),EXACT(Metadata!Z156,"cheese"),EXACT(Metadata!Z156,"fresh water"),EXACT(Metadata!Z156,"marine sediment"),EXACT(Metadata!Z156,"sea water"),EXACT(Metadata!Z156,"sediment"),EXACT(Metadata!Z156,"soil"),EXACT(Metadata!Z156,"waste water"))))</f>
        <v>0</v>
      </c>
      <c r="BN156" t="b">
        <f>AND(IF(Metadata!AA156="",FALSE,TRUE),EXACT(Metadata!AA156,"metagenome"))</f>
        <v>0</v>
      </c>
      <c r="BO156" t="b">
        <f>AND(IF(Metadata!AB156="",FALSE,TRUE),EXACT(Metadata!AB156,"256318"))</f>
        <v>0</v>
      </c>
      <c r="BP156" t="b">
        <f>IF(Metadata!AC156="",FALSE,TRUE)</f>
        <v>0</v>
      </c>
      <c r="BQ156" t="b">
        <f>IF(Metadata!AD156="",FALSE,TRUE)</f>
        <v>0</v>
      </c>
    </row>
    <row r="157" spans="1:69" x14ac:dyDescent="0.2">
      <c r="A157" s="4" t="e">
        <f ca="1">IF(B157=" "," ",HYPERLINK(CONCATENATE("#metadata!",ADDRESS(INDEX($AJ$2:$AJ$1001,MATCH(ROWS($AH$2:AH157),$AH$2:$AH$1001,0),0),2)),INDEX($AM$2:$AM$1001,MATCH(ROWS($AH$2:AH157),$AH$2:$AH$1001,0),0)))</f>
        <v>#N/A</v>
      </c>
      <c r="B157" s="5" t="e">
        <f ca="1">IF(OR(INDEX($AI$2:$AI$1001,MATCH(ROWS($AH$2:AH157),$AH$2:$AH$1001,0),1)&gt;=100000,INDEX($AO$1005:$BQ$1005,1,MATCH(COLUMNS($AO$1006:AO1006),$AO$1006:$BQ$1006,0))&gt;=100000), " ",IF(INDEX($AO$2:$BQ$1001,MATCH(ROWS($AH$2:AH157),$AH$2:$AH$1001,0),MATCH(COLUMNS($AO$1006:AO1006),$AO$1006:$BQ$1006,0)), HYPERLINK("#",""), HYPERLINK(CONCATENATE("#Metadata!", ADDRESS(INDEX($AJ$2:$AJ$1001,MATCH(ROWS($AH$2:AH157),$AH$2:$AH$1001,0),0), INDEX($AO$1004:$BQ$1004,1,MATCH(COLUMNS($AO$1006:AO1006),$AO$1006:$BQ$1006,0)))),"Fix")))</f>
        <v>#N/A</v>
      </c>
      <c r="C157" s="5" t="e">
        <f ca="1">IF(OR(INDEX($AI$2:$AI$1001,MATCH(ROWS($AH$2:AH157),$AH$2:$AH$1001,0),1)&gt;=100000,INDEX($AO$1005:$BQ$1005,1,MATCH(COLUMNS($AO$1006:AP1006),$AO$1006:$BQ$1006,0))&gt;=100000), " ",IF(INDEX($AO$2:$BQ$1001,MATCH(ROWS($AH$2:AH157),$AH$2:$AH$1001,0),MATCH(COLUMNS($AO$1006:AP1006),$AO$1006:$BQ$1006,0)), HYPERLINK("#",""), HYPERLINK(CONCATENATE("#Metadata!", ADDRESS(INDEX($AJ$2:$AJ$1001,MATCH(ROWS($AH$2:AH157),$AH$2:$AH$1001,0),0), INDEX($AO$1004:$BQ$1004,1,MATCH(COLUMNS($AO$1006:AP1006),$AO$1006:$BQ$1006,0)))),"Fix")))</f>
        <v>#N/A</v>
      </c>
      <c r="D157" s="5" t="e">
        <f ca="1">IF(OR(INDEX($AI$2:$AI$1001,MATCH(ROWS($AH$2:AH157),$AH$2:$AH$1001,0),1)&gt;=100000,INDEX($AO$1005:$BQ$1005,1,MATCH(COLUMNS($AO$1006:AQ1006),$AO$1006:$BQ$1006,0))&gt;=100000), " ",IF(INDEX($AO$2:$BQ$1001,MATCH(ROWS($AH$2:AH157),$AH$2:$AH$1001,0),MATCH(COLUMNS($AO$1006:AQ1006),$AO$1006:$BQ$1006,0)), HYPERLINK("#",""), HYPERLINK(CONCATENATE("#Metadata!", ADDRESS(INDEX($AJ$2:$AJ$1001,MATCH(ROWS($AH$2:AH157),$AH$2:$AH$1001,0),0), INDEX($AO$1004:$BQ$1004,1,MATCH(COLUMNS($AO$1006:AQ1006),$AO$1006:$BQ$1006,0)))),"Fix")))</f>
        <v>#N/A</v>
      </c>
      <c r="E157" s="5" t="e">
        <f ca="1">IF(OR(INDEX($AI$2:$AI$1001,MATCH(ROWS($AH$2:AH157),$AH$2:$AH$1001,0),1)&gt;=100000,INDEX($AO$1005:$BQ$1005,1,MATCH(COLUMNS($AO$1006:AR1006),$AO$1006:$BQ$1006,0))&gt;=100000), " ",IF(INDEX($AO$2:$BQ$1001,MATCH(ROWS($AH$2:AH157),$AH$2:$AH$1001,0),MATCH(COLUMNS($AO$1006:AR1006),$AO$1006:$BQ$1006,0)), HYPERLINK("#",""), HYPERLINK(CONCATENATE("#Metadata!", ADDRESS(INDEX($AJ$2:$AJ$1001,MATCH(ROWS($AH$2:AH157),$AH$2:$AH$1001,0),0), INDEX($AO$1004:$BQ$1004,1,MATCH(COLUMNS($AO$1006:AR1006),$AO$1006:$BQ$1006,0)))),"Fix")))</f>
        <v>#N/A</v>
      </c>
      <c r="F157" s="5" t="e">
        <f ca="1">IF(OR(INDEX($AI$2:$AI$1001,MATCH(ROWS($AH$2:AH157),$AH$2:$AH$1001,0),1)&gt;=100000,INDEX($AO$1005:$BQ$1005,1,MATCH(COLUMNS($AO$1006:AS1006),$AO$1006:$BQ$1006,0))&gt;=100000), " ",IF(INDEX($AO$2:$BQ$1001,MATCH(ROWS($AH$2:AH157),$AH$2:$AH$1001,0),MATCH(COLUMNS($AO$1006:AS1006),$AO$1006:$BQ$1006,0)), HYPERLINK("#",""), HYPERLINK(CONCATENATE("#Metadata!", ADDRESS(INDEX($AJ$2:$AJ$1001,MATCH(ROWS($AH$2:AH157),$AH$2:$AH$1001,0),0), INDEX($AO$1004:$BQ$1004,1,MATCH(COLUMNS($AO$1006:AS1006),$AO$1006:$BQ$1006,0)))),"Fix")))</f>
        <v>#N/A</v>
      </c>
      <c r="G157" s="5" t="e">
        <f ca="1">IF(OR(INDEX($AI$2:$AI$1001,MATCH(ROWS($AH$2:AH157),$AH$2:$AH$1001,0),1)&gt;=100000,INDEX($AO$1005:$BQ$1005,1,MATCH(COLUMNS($AO$1006:AT1006),$AO$1006:$BQ$1006,0))&gt;=100000), " ",IF(INDEX($AO$2:$BQ$1001,MATCH(ROWS($AH$2:AH157),$AH$2:$AH$1001,0),MATCH(COLUMNS($AO$1006:AT1006),$AO$1006:$BQ$1006,0)), HYPERLINK("#",""), HYPERLINK(CONCATENATE("#Metadata!", ADDRESS(INDEX($AJ$2:$AJ$1001,MATCH(ROWS($AH$2:AH157),$AH$2:$AH$1001,0),0), INDEX($AO$1004:$BQ$1004,1,MATCH(COLUMNS($AO$1006:AT1006),$AO$1006:$BQ$1006,0)))),"Fix")))</f>
        <v>#N/A</v>
      </c>
      <c r="H157" s="5" t="e">
        <f ca="1">IF(OR(INDEX($AI$2:$AI$1001,MATCH(ROWS($AH$2:AH157),$AH$2:$AH$1001,0),1)&gt;=100000,INDEX($AO$1005:$BQ$1005,1,MATCH(COLUMNS($AO$1006:AU1006),$AO$1006:$BQ$1006,0))&gt;=100000), " ",IF(INDEX($AO$2:$BQ$1001,MATCH(ROWS($AH$2:AH157),$AH$2:$AH$1001,0),MATCH(COLUMNS($AO$1006:AU1006),$AO$1006:$BQ$1006,0)), HYPERLINK("#",""), HYPERLINK(CONCATENATE("#Metadata!", ADDRESS(INDEX($AJ$2:$AJ$1001,MATCH(ROWS($AH$2:AH157),$AH$2:$AH$1001,0),0), INDEX($AO$1004:$BQ$1004,1,MATCH(COLUMNS($AO$1006:AU1006),$AO$1006:$BQ$1006,0)))),"Fix")))</f>
        <v>#N/A</v>
      </c>
      <c r="I157" s="5" t="e">
        <f ca="1">IF(OR(INDEX($AI$2:$AI$1001,MATCH(ROWS($AH$2:AH157),$AH$2:$AH$1001,0),1)&gt;=100000,INDEX($AO$1005:$BQ$1005,1,MATCH(COLUMNS($AO$1006:AV1006),$AO$1006:$BQ$1006,0))&gt;=100000), " ",IF(INDEX($AO$2:$BQ$1001,MATCH(ROWS($AH$2:AH157),$AH$2:$AH$1001,0),MATCH(COLUMNS($AO$1006:AV1006),$AO$1006:$BQ$1006,0)), HYPERLINK("#",""), HYPERLINK(CONCATENATE("#Metadata!", ADDRESS(INDEX($AJ$2:$AJ$1001,MATCH(ROWS($AH$2:AH157),$AH$2:$AH$1001,0),0), INDEX($AO$1004:$BQ$1004,1,MATCH(COLUMNS($AO$1006:AV1006),$AO$1006:$BQ$1006,0)))),"Fix")))</f>
        <v>#N/A</v>
      </c>
      <c r="J157" s="5" t="e">
        <f ca="1">IF(OR(INDEX($AI$2:$AI$1001,MATCH(ROWS($AH$2:AH157),$AH$2:$AH$1001,0),1)&gt;=100000,INDEX($AO$1005:$BQ$1005,1,MATCH(COLUMNS($AO$1006:AW1006),$AO$1006:$BQ$1006,0))&gt;=100000), " ",IF(INDEX($AO$2:$BQ$1001,MATCH(ROWS($AH$2:AH157),$AH$2:$AH$1001,0),MATCH(COLUMNS($AO$1006:AW1006),$AO$1006:$BQ$1006,0)), HYPERLINK("#",""), HYPERLINK(CONCATENATE("#Metadata!", ADDRESS(INDEX($AJ$2:$AJ$1001,MATCH(ROWS($AH$2:AH157),$AH$2:$AH$1001,0),0), INDEX($AO$1004:$BQ$1004,1,MATCH(COLUMNS($AO$1006:AW1006),$AO$1006:$BQ$1006,0)))),"Fix")))</f>
        <v>#N/A</v>
      </c>
      <c r="K157" s="5" t="e">
        <f ca="1">IF(OR(INDEX($AI$2:$AI$1001,MATCH(ROWS($AH$2:AH157),$AH$2:$AH$1001,0),1)&gt;=100000,INDEX($AO$1005:$BQ$1005,1,MATCH(COLUMNS($AO$1006:AX1006),$AO$1006:$BQ$1006,0))&gt;=100000), " ",IF(INDEX($AO$2:$BQ$1001,MATCH(ROWS($AH$2:AH157),$AH$2:$AH$1001,0),MATCH(COLUMNS($AO$1006:AX1006),$AO$1006:$BQ$1006,0)), HYPERLINK("#",""), HYPERLINK(CONCATENATE("#Metadata!", ADDRESS(INDEX($AJ$2:$AJ$1001,MATCH(ROWS($AH$2:AH157),$AH$2:$AH$1001,0),0), INDEX($AO$1004:$BQ$1004,1,MATCH(COLUMNS($AO$1006:AX1006),$AO$1006:$BQ$1006,0)))),"Fix")))</f>
        <v>#N/A</v>
      </c>
      <c r="L157" s="5" t="e">
        <f ca="1">IF(OR(INDEX($AI$2:$AI$1001,MATCH(ROWS($AH$2:AH157),$AH$2:$AH$1001,0),1)&gt;=100000,INDEX($AO$1005:$BQ$1005,1,MATCH(COLUMNS($AO$1006:AY1006),$AO$1006:$BQ$1006,0))&gt;=100000), " ",IF(INDEX($AO$2:$BQ$1001,MATCH(ROWS($AH$2:AH157),$AH$2:$AH$1001,0),MATCH(COLUMNS($AO$1006:AY1006),$AO$1006:$BQ$1006,0)), HYPERLINK("#",""), HYPERLINK(CONCATENATE("#Metadata!", ADDRESS(INDEX($AJ$2:$AJ$1001,MATCH(ROWS($AH$2:AH157),$AH$2:$AH$1001,0),0), INDEX($AO$1004:$BQ$1004,1,MATCH(COLUMNS($AO$1006:AY1006),$AO$1006:$BQ$1006,0)))),"Fix")))</f>
        <v>#N/A</v>
      </c>
      <c r="M157" s="5" t="e">
        <f ca="1">IF(OR(INDEX($AI$2:$AI$1001,MATCH(ROWS($AH$2:AH157),$AH$2:$AH$1001,0),1)&gt;=100000,INDEX($AO$1005:$BQ$1005,1,MATCH(COLUMNS($AO$1006:AZ1006),$AO$1006:$BQ$1006,0))&gt;=100000), " ",IF(INDEX($AO$2:$BQ$1001,MATCH(ROWS($AH$2:AH157),$AH$2:$AH$1001,0),MATCH(COLUMNS($AO$1006:AZ1006),$AO$1006:$BQ$1006,0)), HYPERLINK("#",""), HYPERLINK(CONCATENATE("#Metadata!", ADDRESS(INDEX($AJ$2:$AJ$1001,MATCH(ROWS($AH$2:AH157),$AH$2:$AH$1001,0),0), INDEX($AO$1004:$BQ$1004,1,MATCH(COLUMNS($AO$1006:AZ1006),$AO$1006:$BQ$1006,0)))),"Fix")))</f>
        <v>#N/A</v>
      </c>
      <c r="N157" s="5" t="e">
        <f ca="1">IF(OR(INDEX($AI$2:$AI$1001,MATCH(ROWS($AH$2:AH157),$AH$2:$AH$1001,0),1)&gt;=100000,INDEX($AO$1005:$BQ$1005,1,MATCH(COLUMNS($AO$1006:BA1006),$AO$1006:$BQ$1006,0))&gt;=100000), " ",IF(INDEX($AO$2:$BQ$1001,MATCH(ROWS($AH$2:AH157),$AH$2:$AH$1001,0),MATCH(COLUMNS($AO$1006:BA1006),$AO$1006:$BQ$1006,0)), HYPERLINK("#",""), HYPERLINK(CONCATENATE("#Metadata!", ADDRESS(INDEX($AJ$2:$AJ$1001,MATCH(ROWS($AH$2:AH157),$AH$2:$AH$1001,0),0), INDEX($AO$1004:$BQ$1004,1,MATCH(COLUMNS($AO$1006:BA1006),$AO$1006:$BQ$1006,0)))),"Fix")))</f>
        <v>#N/A</v>
      </c>
      <c r="O157" s="5" t="e">
        <f ca="1">IF(OR(INDEX($AI$2:$AI$1001,MATCH(ROWS($AH$2:AH157),$AH$2:$AH$1001,0),1)&gt;=100000,INDEX($AO$1005:$BQ$1005,1,MATCH(COLUMNS($AO$1006:BB1006),$AO$1006:$BQ$1006,0))&gt;=100000), " ",IF(INDEX($AO$2:$BQ$1001,MATCH(ROWS($AH$2:AH157),$AH$2:$AH$1001,0),MATCH(COLUMNS($AO$1006:BB1006),$AO$1006:$BQ$1006,0)), HYPERLINK("#",""), HYPERLINK(CONCATENATE("#Metadata!", ADDRESS(INDEX($AJ$2:$AJ$1001,MATCH(ROWS($AH$2:AH157),$AH$2:$AH$1001,0),0), INDEX($AO$1004:$BQ$1004,1,MATCH(COLUMNS($AO$1006:BB1006),$AO$1006:$BQ$1006,0)))),"Fix")))</f>
        <v>#N/A</v>
      </c>
      <c r="P157" s="5" t="e">
        <f ca="1">IF(OR(INDEX($AI$2:$AI$1001,MATCH(ROWS($AH$2:AH157),$AH$2:$AH$1001,0),1)&gt;=100000,INDEX($AO$1005:$BQ$1005,1,MATCH(COLUMNS($AO$1006:BC1006),$AO$1006:$BQ$1006,0))&gt;=100000), " ",IF(INDEX($AO$2:$BQ$1001,MATCH(ROWS($AH$2:AH157),$AH$2:$AH$1001,0),MATCH(COLUMNS($AO$1006:BC1006),$AO$1006:$BQ$1006,0)), HYPERLINK("#",""), HYPERLINK(CONCATENATE("#Metadata!", ADDRESS(INDEX($AJ$2:$AJ$1001,MATCH(ROWS($AH$2:AH157),$AH$2:$AH$1001,0),0), INDEX($AO$1004:$BQ$1004,1,MATCH(COLUMNS($AO$1006:BC1006),$AO$1006:$BQ$1006,0)))),"Fix")))</f>
        <v>#N/A</v>
      </c>
      <c r="Q157" s="5" t="e">
        <f ca="1">IF(OR(INDEX($AI$2:$AI$1001,MATCH(ROWS($AH$2:AH157),$AH$2:$AH$1001,0),1)&gt;=100000,INDEX($AO$1005:$BQ$1005,1,MATCH(COLUMNS($AO$1006:BD1006),$AO$1006:$BQ$1006,0))&gt;=100000), " ",IF(INDEX($AO$2:$BQ$1001,MATCH(ROWS($AH$2:AH157),$AH$2:$AH$1001,0),MATCH(COLUMNS($AO$1006:BD1006),$AO$1006:$BQ$1006,0)), HYPERLINK("#",""), HYPERLINK(CONCATENATE("#Metadata!", ADDRESS(INDEX($AJ$2:$AJ$1001,MATCH(ROWS($AH$2:AH157),$AH$2:$AH$1001,0),0), INDEX($AO$1004:$BQ$1004,1,MATCH(COLUMNS($AO$1006:BD1006),$AO$1006:$BQ$1006,0)))),"Fix")))</f>
        <v>#N/A</v>
      </c>
      <c r="R157" s="5" t="e">
        <f ca="1">IF(OR(INDEX($AI$2:$AI$1001,MATCH(ROWS($AH$2:AH157),$AH$2:$AH$1001,0),1)&gt;=100000,INDEX($AO$1005:$BQ$1005,1,MATCH(COLUMNS($AO$1006:BE1006),$AO$1006:$BQ$1006,0))&gt;=100000), " ",IF(INDEX($AO$2:$BQ$1001,MATCH(ROWS($AH$2:AH157),$AH$2:$AH$1001,0),MATCH(COLUMNS($AO$1006:BE1006),$AO$1006:$BQ$1006,0)), HYPERLINK("#",""), HYPERLINK(CONCATENATE("#Metadata!", ADDRESS(INDEX($AJ$2:$AJ$1001,MATCH(ROWS($AH$2:AH157),$AH$2:$AH$1001,0),0), INDEX($AO$1004:$BQ$1004,1,MATCH(COLUMNS($AO$1006:BE1006),$AO$1006:$BQ$1006,0)))),"Fix")))</f>
        <v>#N/A</v>
      </c>
      <c r="S157" s="5" t="e">
        <f ca="1">IF(OR(INDEX($AI$2:$AI$1001,MATCH(ROWS($AH$2:AH157),$AH$2:$AH$1001,0),1)&gt;=100000,INDEX($AO$1005:$BQ$1005,1,MATCH(COLUMNS($AO$1006:BF1006),$AO$1006:$BQ$1006,0))&gt;=100000), " ",IF(INDEX($AO$2:$BQ$1001,MATCH(ROWS($AH$2:AH157),$AH$2:$AH$1001,0),MATCH(COLUMNS($AO$1006:BF1006),$AO$1006:$BQ$1006,0)), HYPERLINK("#",""), HYPERLINK(CONCATENATE("#Metadata!", ADDRESS(INDEX($AJ$2:$AJ$1001,MATCH(ROWS($AH$2:AH157),$AH$2:$AH$1001,0),0), INDEX($AO$1004:$BQ$1004,1,MATCH(COLUMNS($AO$1006:BF1006),$AO$1006:$BQ$1006,0)))),"Fix")))</f>
        <v>#N/A</v>
      </c>
      <c r="T157" s="5" t="e">
        <f ca="1">IF(OR(INDEX($AI$2:$AI$1001,MATCH(ROWS($AH$2:AH157),$AH$2:$AH$1001,0),1)&gt;=100000,INDEX($AO$1005:$BQ$1005,1,MATCH(COLUMNS($AO$1006:BG1006),$AO$1006:$BQ$1006,0))&gt;=100000), " ",IF(INDEX($AO$2:$BQ$1001,MATCH(ROWS($AH$2:AH157),$AH$2:$AH$1001,0),MATCH(COLUMNS($AO$1006:BG1006),$AO$1006:$BQ$1006,0)), HYPERLINK("#",""), HYPERLINK(CONCATENATE("#Metadata!", ADDRESS(INDEX($AJ$2:$AJ$1001,MATCH(ROWS($AH$2:AH157),$AH$2:$AH$1001,0),0), INDEX($AO$1004:$BQ$1004,1,MATCH(COLUMNS($AO$1006:BG1006),$AO$1006:$BQ$1006,0)))),"Fix")))</f>
        <v>#N/A</v>
      </c>
      <c r="U157" s="5" t="e">
        <f ca="1">IF(OR(INDEX($AI$2:$AI$1001,MATCH(ROWS($AH$2:AH157),$AH$2:$AH$1001,0),1)&gt;=100000,INDEX($AO$1005:$BQ$1005,1,MATCH(COLUMNS($AO$1006:BH1006),$AO$1006:$BQ$1006,0))&gt;=100000), " ",IF(INDEX($AO$2:$BQ$1001,MATCH(ROWS($AH$2:AH157),$AH$2:$AH$1001,0),MATCH(COLUMNS($AO$1006:BH1006),$AO$1006:$BQ$1006,0)), HYPERLINK("#",""), HYPERLINK(CONCATENATE("#Metadata!", ADDRESS(INDEX($AJ$2:$AJ$1001,MATCH(ROWS($AH$2:AH157),$AH$2:$AH$1001,0),0), INDEX($AO$1004:$BQ$1004,1,MATCH(COLUMNS($AO$1006:BH1006),$AO$1006:$BQ$1006,0)))),"Fix")))</f>
        <v>#N/A</v>
      </c>
      <c r="V157" s="5" t="e">
        <f ca="1">IF(OR(INDEX($AI$2:$AI$1001,MATCH(ROWS($AH$2:AH157),$AH$2:$AH$1001,0),1)&gt;=100000,INDEX($AO$1005:$BQ$1005,1,MATCH(COLUMNS($AO$1006:BI1006),$AO$1006:$BQ$1006,0))&gt;=100000), " ",IF(INDEX($AO$2:$BQ$1001,MATCH(ROWS($AH$2:AH157),$AH$2:$AH$1001,0),MATCH(COLUMNS($AO$1006:BI1006),$AO$1006:$BQ$1006,0)), HYPERLINK("#",""), HYPERLINK(CONCATENATE("#Metadata!", ADDRESS(INDEX($AJ$2:$AJ$1001,MATCH(ROWS($AH$2:AH157),$AH$2:$AH$1001,0),0), INDEX($AO$1004:$BQ$1004,1,MATCH(COLUMNS($AO$1006:BI1006),$AO$1006:$BQ$1006,0)))),"Fix")))</f>
        <v>#N/A</v>
      </c>
      <c r="W157" s="5" t="e">
        <f ca="1">IF(OR(INDEX($AI$2:$AI$1001,MATCH(ROWS($AH$2:AH157),$AH$2:$AH$1001,0),1)&gt;=100000,INDEX($AO$1005:$BQ$1005,1,MATCH(COLUMNS($AO$1006:BJ1006),$AO$1006:$BQ$1006,0))&gt;=100000), " ",IF(INDEX($AO$2:$BQ$1001,MATCH(ROWS($AH$2:AH157),$AH$2:$AH$1001,0),MATCH(COLUMNS($AO$1006:BJ1006),$AO$1006:$BQ$1006,0)), HYPERLINK("#",""), HYPERLINK(CONCATENATE("#Metadata!", ADDRESS(INDEX($AJ$2:$AJ$1001,MATCH(ROWS($AH$2:AH157),$AH$2:$AH$1001,0),0), INDEX($AO$1004:$BQ$1004,1,MATCH(COLUMNS($AO$1006:BJ1006),$AO$1006:$BQ$1006,0)))),"Fix")))</f>
        <v>#N/A</v>
      </c>
      <c r="X157" s="5" t="e">
        <f ca="1">IF(OR(INDEX($AI$2:$AI$1001,MATCH(ROWS($AH$2:AH157),$AH$2:$AH$1001,0),1)&gt;=100000,INDEX($AO$1005:$BQ$1005,1,MATCH(COLUMNS($AO$1006:BK1006),$AO$1006:$BQ$1006,0))&gt;=100000), " ",IF(INDEX($AO$2:$BQ$1001,MATCH(ROWS($AH$2:AH157),$AH$2:$AH$1001,0),MATCH(COLUMNS($AO$1006:BK1006),$AO$1006:$BQ$1006,0)), HYPERLINK("#",""), HYPERLINK(CONCATENATE("#Metadata!", ADDRESS(INDEX($AJ$2:$AJ$1001,MATCH(ROWS($AH$2:AH157),$AH$2:$AH$1001,0),0), INDEX($AO$1004:$BQ$1004,1,MATCH(COLUMNS($AO$1006:BK1006),$AO$1006:$BQ$1006,0)))),"Fix")))</f>
        <v>#N/A</v>
      </c>
      <c r="Y157" s="5" t="e">
        <f ca="1">IF(OR(INDEX($AI$2:$AI$1001,MATCH(ROWS($AH$2:AH157),$AH$2:$AH$1001,0),1)&gt;=100000,INDEX($AO$1005:$BQ$1005,1,MATCH(COLUMNS($AO$1006:BL1006),$AO$1006:$BQ$1006,0))&gt;=100000), " ",IF(INDEX($AO$2:$BQ$1001,MATCH(ROWS($AH$2:AH157),$AH$2:$AH$1001,0),MATCH(COLUMNS($AO$1006:BL1006),$AO$1006:$BQ$1006,0)), HYPERLINK("#",""), HYPERLINK(CONCATENATE("#Metadata!", ADDRESS(INDEX($AJ$2:$AJ$1001,MATCH(ROWS($AH$2:AH157),$AH$2:$AH$1001,0),0), INDEX($AO$1004:$BQ$1004,1,MATCH(COLUMNS($AO$1006:BL1006),$AO$1006:$BQ$1006,0)))),"Fix")))</f>
        <v>#N/A</v>
      </c>
      <c r="Z157" s="5" t="e">
        <f ca="1">IF(OR(INDEX($AI$2:$AI$1001,MATCH(ROWS($AH$2:AH157),$AH$2:$AH$1001,0),1)&gt;=100000,INDEX($AO$1005:$BQ$1005,1,MATCH(COLUMNS($AO$1006:BM1006),$AO$1006:$BQ$1006,0))&gt;=100000), " ",IF(INDEX($AO$2:$BQ$1001,MATCH(ROWS($AH$2:AH157),$AH$2:$AH$1001,0),MATCH(COLUMNS($AO$1006:BM1006),$AO$1006:$BQ$1006,0)), HYPERLINK("#",""), HYPERLINK(CONCATENATE("#Metadata!", ADDRESS(INDEX($AJ$2:$AJ$1001,MATCH(ROWS($AH$2:AH157),$AH$2:$AH$1001,0),0), INDEX($AO$1004:$BQ$1004,1,MATCH(COLUMNS($AO$1006:BM1006),$AO$1006:$BQ$1006,0)))),"Fix")))</f>
        <v>#N/A</v>
      </c>
      <c r="AA157" s="5" t="e">
        <f ca="1">IF(OR(INDEX($AI$2:$AI$1001,MATCH(ROWS($AH$2:AH157),$AH$2:$AH$1001,0),1)&gt;=100000,INDEX($AO$1005:$BQ$1005,1,MATCH(COLUMNS($AO$1006:BN1006),$AO$1006:$BQ$1006,0))&gt;=100000), " ",IF(INDEX($AO$2:$BQ$1001,MATCH(ROWS($AH$2:AH157),$AH$2:$AH$1001,0),MATCH(COLUMNS($AO$1006:BN1006),$AO$1006:$BQ$1006,0)), HYPERLINK("#",""), HYPERLINK(CONCATENATE("#Metadata!", ADDRESS(INDEX($AJ$2:$AJ$1001,MATCH(ROWS($AH$2:AH157),$AH$2:$AH$1001,0),0), INDEX($AO$1004:$BQ$1004,1,MATCH(COLUMNS($AO$1006:BN1006),$AO$1006:$BQ$1006,0)))),"Fix")))</f>
        <v>#N/A</v>
      </c>
      <c r="AB157" s="5" t="e">
        <f ca="1">IF(OR(INDEX($AI$2:$AI$1001,MATCH(ROWS($AH$2:AH157),$AH$2:$AH$1001,0),1)&gt;=100000,INDEX($AO$1005:$BQ$1005,1,MATCH(COLUMNS($AO$1006:BO1006),$AO$1006:$BQ$1006,0))&gt;=100000), " ",IF(INDEX($AO$2:$BQ$1001,MATCH(ROWS($AH$2:AH157),$AH$2:$AH$1001,0),MATCH(COLUMNS($AO$1006:BO1006),$AO$1006:$BQ$1006,0)), HYPERLINK("#",""), HYPERLINK(CONCATENATE("#Metadata!", ADDRESS(INDEX($AJ$2:$AJ$1001,MATCH(ROWS($AH$2:AH157),$AH$2:$AH$1001,0),0), INDEX($AO$1004:$BQ$1004,1,MATCH(COLUMNS($AO$1006:BO1006),$AO$1006:$BQ$1006,0)))),"Fix")))</f>
        <v>#N/A</v>
      </c>
      <c r="AC157" s="5" t="e">
        <f ca="1">IF(OR(INDEX($AI$2:$AI$1001,MATCH(ROWS($AH$2:AH157),$AH$2:$AH$1001,0),1)&gt;=100000,INDEX($AO$1005:$BQ$1005,1,MATCH(COLUMNS($AO$1006:BP1006),$AO$1006:$BQ$1006,0))&gt;=100000), " ",IF(INDEX($AO$2:$BQ$1001,MATCH(ROWS($AH$2:AH157),$AH$2:$AH$1001,0),MATCH(COLUMNS($AO$1006:BP1006),$AO$1006:$BQ$1006,0)), HYPERLINK("#",""), HYPERLINK(CONCATENATE("#Metadata!", ADDRESS(INDEX($AJ$2:$AJ$1001,MATCH(ROWS($AH$2:AH157),$AH$2:$AH$1001,0),0), INDEX($AO$1004:$BQ$1004,1,MATCH(COLUMNS($AO$1006:BP1006),$AO$1006:$BQ$1006,0)))),"Fix")))</f>
        <v>#N/A</v>
      </c>
      <c r="AD157" s="5" t="e">
        <f ca="1">IF(OR(INDEX($AI$2:$AI$1001,MATCH(ROWS($AH$2:AH157),$AH$2:$AH$1001,0),1)&gt;=100000,INDEX($AO$1005:$BQ$1005,1,MATCH(COLUMNS($AO$1006:BQ1006),$AO$1006:$BQ$1006,0))&gt;=100000), " ",IF(INDEX($AO$2:$BQ$1001,MATCH(ROWS($AH$2:AH157),$AH$2:$AH$1001,0),MATCH(COLUMNS($AO$1006:BQ1006),$AO$1006:$BQ$1006,0)), HYPERLINK("#",""), HYPERLINK(CONCATENATE("#Metadata!", ADDRESS(INDEX($AJ$2:$AJ$1001,MATCH(ROWS($AH$2:AH157),$AH$2:$AH$1001,0),0), INDEX($AO$1004:$BQ$1004,1,MATCH(COLUMNS($AO$1006:BQ1006),$AO$1006:$BQ$1006,0)))),"Fix")))</f>
        <v>#REF!</v>
      </c>
      <c r="AH157">
        <f ca="1"/>
        <v>154</v>
      </c>
      <c r="AI157">
        <v>100157</v>
      </c>
      <c r="AJ157">
        <v>157</v>
      </c>
      <c r="AK157" t="b">
        <f t="shared" si="2"/>
        <v>1</v>
      </c>
      <c r="AL157" t="b">
        <f>COUNTBLANK(Metadata!B157:AD157)=COLUMNS(Metadata!B157:AD157)</f>
        <v>1</v>
      </c>
      <c r="AM157" t="str">
        <v/>
      </c>
      <c r="AO157" t="b">
        <f ca="1">AND(IF(Metadata!B157="",FALSE,TRUE),COUNTIF(Metadata!B:B, Metadata!B157) = 1,NOT(ISERROR(SUMPRODUCT(SEARCH(MID(Metadata!B157,ROW(INDIRECT("1:"&amp;LEN(Metadata!B157))), 1),"0123456789abcdefghijklmnopqrstuvwxyzABCDEFGHIJKLMNOPQRSTUVWXYZ.")))))</f>
        <v>0</v>
      </c>
      <c r="AP157" t="b">
        <f>IF(Metadata!C157="",FALSE,TRUE)</f>
        <v>0</v>
      </c>
      <c r="AQ157" t="b">
        <f>IF(Metadata!D157="",FALSE,TRUE)</f>
        <v>0</v>
      </c>
      <c r="AR157" t="b">
        <f ca="1">OR(AND(IF(Metadata!E157="",FALSE,TRUE),OR(EXACT(Metadata!E157,"not collected"),EXACT(Metadata!E157,"not provided"),EXACT(Metadata!E157,"restricted access"))),AND(IF(Metadata!E157="",FALSE,TRUE),AND(AND(IFERROR(INT(LEFT(Metadata!E157,4))&gt;1900,FALSE),IFERROR(INT(LEFT(Metadata!E157,4))&lt;=YEAR(NOW()),FALSE)), OR(MID(Metadata!E157,5,1)="", AND(AND(MID(Metadata!E157,5,1)="-",IFERROR(INT(MID(Metadata!E157,6,1))&gt;=0,FALSE),IFERROR(INT(MID(Metadata!E157,6,1))&lt;=1,FALSE),NOT(MID(Metadata!E157,7,1)=""),IFERROR(INT(MID(Metadata!E157,6,2))&gt;=1,FALSE),IFERROR(INT(MID(Metadata!E157,6,2))&lt;=12,FALSE)), OR(MID(Metadata!E157,8,1)="", AND(AND(MID(Metadata!E157,8,1)="-",IFERROR(INT(MID(Metadata!E157,9,1))&gt;=0,FALSE),IFERROR(INT(MID(Metadata!E157,9,1))&lt;=3,FALSE),NOT(MID(Metadata!E157,10,1)=""),IFERROR(INT(MID(Metadata!E157,9,2))&gt;=1,FALSE),IFERROR(INT(MID(Metadata!E157,9,2))&lt;=31,FALSE)), OR(MID(Metadata!E157,11,1)="", AND(AND(MID(Metadata!E157,11,1)=" ",IFERROR(INT(MID(Metadata!E157,12,1))&gt;=0,FALSE),IFERROR(INT(MID(Metadata!E157,12,1))&lt;=2,FALSE),NOT(MID(Metadata!E157,13,1)=""),IFERROR(INT(MID(Metadata!E157,12,2))&gt;=0,FALSE),IFERROR(INT(MID(Metadata!E157,12,2))&lt;=23,FALSE)), OR(MID(Metadata!E157,14,1)="", AND(AND(MID(Metadata!E157,14,1)=":",IFERROR(INT(MID(Metadata!E157,15,1))&gt;=0,FALSE),IFERROR(INT(MID(Metadata!E157,15,1))&lt;=5,FALSE),NOT(MID(Metadata!E157,16,1)=""),IFERROR(INT(MID(Metadata!E157,15,2))&gt;=0,FALSE),IFERROR(INT(MID(Metadata!E157,15,2))&lt;=59,FALSE)), OR(MID(Metadata!E157,17,1)="", AND(AND(MID(Metadata!E157,17,1)=":",IFERROR(INT(MID(Metadata!E157,18,1))&gt;=0,FALSE),IFERROR(INT(MID(Metadata!E157,18,1))&lt;=5,FALSE),NOT(MID(Metadata!E157,19,1)=""),IFERROR(INT(MID(Metadata!E157,18,2))&gt;=0,FALSE),IFERROR(INT(MID(Metadata!E157,18,2))&lt;=59,FALSE)), LEN(Metadata!E157)&lt;=19)))))))))))))</f>
        <v>0</v>
      </c>
      <c r="AS157" t="b">
        <f>IF(Metadata!F157="",FALSE,TRUE)</f>
        <v>0</v>
      </c>
      <c r="AT157" t="b">
        <f>OR(AND(IF(Metadata!G157="",FALSE,TRUE),OR(EXACT(Metadata!G157,"not collected"),EXACT(Metadata!G157,"not provided"))),AND(IF(Metadata!G157="",FALSE,TRUE),OR(EXACT(Metadata!G157,"TRUE"),EXACT(Metadata!G157,"FALSE"))))</f>
        <v>0</v>
      </c>
      <c r="AU157" t="b">
        <f>OR(AND(IF(Metadata!H157="",FALSE,TRUE),OR(EXACT(Metadata!H157,"not collected"),EXACT(Metadata!H157,"not provided"),EXACT(Metadata!H157,"restricted access"))),AND(IF(Metadata!H157="",FALSE,ISNUMBER(VALUE(Metadata!H157))),Metadata!H157&gt;=-413))</f>
        <v>0</v>
      </c>
      <c r="AV157" t="b">
        <f>AND(IF(Metadata!I157="",FALSE,TRUE),EXACT(Metadata!I157,"meters"))</f>
        <v>0</v>
      </c>
      <c r="AW157" t="b">
        <f>AND(IF(Metadata!J157="",FALSE,TRUE),EXACT(Metadata!J157,"free-living"))</f>
        <v>0</v>
      </c>
      <c r="AX157" t="b">
        <f>AND(IF(Metadata!K157="",FALSE,TRUE),OR(EXACT(Metadata!K157,"saline"),EXACT(Metadata!K157,"non-saline")))</f>
        <v>0</v>
      </c>
      <c r="AY157" t="b">
        <f>AND(IF(Metadata!L157="",FALSE,TRUE),OR(EXACT(Metadata!L157,"sub-surface (non-saline)"),EXACT(Metadata!L157,"surface (non-saline)"),EXACT(Metadata!L157,"water (non-saline)"),EXACT(Metadata!L157,"soil (non-saline)"),EXACT(Metadata!L157,"aerosol (non-saline)"),EXACT(Metadata!L157,"sediment (non-saline)"),EXACT(Metadata!L157,"surface (saline)"),EXACT(Metadata!L157,"water (saline)"),EXACT(Metadata!L157,"hypersaline (saline)"),EXACT(Metadata!L157,"aerosol (saline)"),EXACT(Metadata!L157,"sediment (saline)")))</f>
        <v>0</v>
      </c>
      <c r="AZ157" t="b">
        <f>IF(Metadata!M157="",FALSE,TRUE)</f>
        <v>0</v>
      </c>
      <c r="BA157" t="b">
        <f>IF(Metadata!N157="",FALSE,TRUE)</f>
        <v>0</v>
      </c>
      <c r="BB157" t="b">
        <f>IF(Metadata!O157="",FALSE,TRUE)</f>
        <v>0</v>
      </c>
      <c r="BC157" t="b">
        <f>AND(IF(Metadata!P157="",FALSE,TRUE),OR(EXACT(Metadata!P157,"air"),EXACT(Metadata!P157,"microbial mat/biofilm"),EXACT(Metadata!P157,"misc environment"),EXACT(Metadata!P157,"sediment"),EXACT(Metadata!P157,"soil"),EXACT(Metadata!P157,"wastewater/sludge"),EXACT(Metadata!P157,"water")))</f>
        <v>0</v>
      </c>
      <c r="BD157" t="b">
        <f>IF(Metadata!Q157="",FALSE,TRUE)</f>
        <v>0</v>
      </c>
      <c r="BE157" t="b">
        <f>IF(Metadata!R157="",FALSE,TRUE)</f>
        <v>0</v>
      </c>
      <c r="BF157" t="b">
        <f>OR(AND(IF(Metadata!S157="",FALSE,TRUE),OR(EXACT(Metadata!S157,"not collected"),EXACT(Metadata!S157,"not provided"),EXACT(Metadata!S157,"restricted access"))),AND(IF(Metadata!S157="",FALSE,ISNUMBER(VALUE(Metadata!S157))),Metadata!S157&gt;=-90,Metadata!S157&lt;=90))</f>
        <v>0</v>
      </c>
      <c r="BG157" t="b">
        <f>AND(IF(Metadata!T157="",FALSE,TRUE),EXACT(Metadata!T157,"Decimal degrees"))</f>
        <v>0</v>
      </c>
      <c r="BH157" t="b">
        <f>OR(AND(IF(Metadata!U157="",FALSE,TRUE),OR(EXACT(Metadata!U157,"not applicable"),EXACT(Metadata!U157,"not collected"))),IF(Metadata!U157="",FALSE,TRUE))</f>
        <v>0</v>
      </c>
      <c r="BI157" t="b">
        <f>OR(AND(IF(Metadata!V157="",FALSE,TRUE),OR(EXACT(Metadata!V157,"not collected"),EXACT(Metadata!V157,"not provided"),EXACT(Metadata!V157,"restricted access"))),AND(IF(Metadata!V157="",FALSE,ISNUMBER(VALUE(Metadata!V157))),Metadata!V157&gt;=-180,Metadata!V157&lt;=180))</f>
        <v>0</v>
      </c>
      <c r="BJ157" t="b">
        <f>AND(IF(Metadata!W157="",FALSE,TRUE),EXACT(Metadata!W157,"Decimal degrees"))</f>
        <v>0</v>
      </c>
      <c r="BK157" t="b">
        <f>IF(Metadata!X157="",FALSE,TRUE)</f>
        <v>0</v>
      </c>
      <c r="BL157" t="b">
        <f>OR(AND(IF(Metadata!Y157="",FALSE,TRUE),OR(EXACT(Metadata!Y157,"not collected"),EXACT(Metadata!Y157,"not provided"),EXACT(Metadata!Y157,"restricted access"))),AND(IF(Metadata!Y157="",FALSE,TRUE),OR(EXACT(Metadata!Y157,"TRUE"),EXACT(Metadata!Y157,"FALSE"))))</f>
        <v>0</v>
      </c>
      <c r="BM157" t="b">
        <f>OR(AND(IF(Metadata!Z157="",FALSE,TRUE),EXACT(Metadata!Z157,"not applicable")),AND(IF(Metadata!Z157="",FALSE,TRUE),OR(EXACT(Metadata!Z157,"beer"),EXACT(Metadata!Z157,"cheese"),EXACT(Metadata!Z157,"fresh water"),EXACT(Metadata!Z157,"marine sediment"),EXACT(Metadata!Z157,"sea water"),EXACT(Metadata!Z157,"sediment"),EXACT(Metadata!Z157,"soil"),EXACT(Metadata!Z157,"waste water"))))</f>
        <v>0</v>
      </c>
      <c r="BN157" t="b">
        <f>AND(IF(Metadata!AA157="",FALSE,TRUE),EXACT(Metadata!AA157,"metagenome"))</f>
        <v>0</v>
      </c>
      <c r="BO157" t="b">
        <f>AND(IF(Metadata!AB157="",FALSE,TRUE),EXACT(Metadata!AB157,"256318"))</f>
        <v>0</v>
      </c>
      <c r="BP157" t="b">
        <f>IF(Metadata!AC157="",FALSE,TRUE)</f>
        <v>0</v>
      </c>
      <c r="BQ157" t="b">
        <f>IF(Metadata!AD157="",FALSE,TRUE)</f>
        <v>0</v>
      </c>
    </row>
    <row r="158" spans="1:69" x14ac:dyDescent="0.2">
      <c r="A158" s="4" t="e">
        <f ca="1">IF(B158=" "," ",HYPERLINK(CONCATENATE("#metadata!",ADDRESS(INDEX($AJ$2:$AJ$1001,MATCH(ROWS($AH$2:AH158),$AH$2:$AH$1001,0),0),2)),INDEX($AM$2:$AM$1001,MATCH(ROWS($AH$2:AH158),$AH$2:$AH$1001,0),0)))</f>
        <v>#N/A</v>
      </c>
      <c r="B158" s="5" t="e">
        <f ca="1">IF(OR(INDEX($AI$2:$AI$1001,MATCH(ROWS($AH$2:AH158),$AH$2:$AH$1001,0),1)&gt;=100000,INDEX($AO$1005:$BQ$1005,1,MATCH(COLUMNS($AO$1006:AO1006),$AO$1006:$BQ$1006,0))&gt;=100000), " ",IF(INDEX($AO$2:$BQ$1001,MATCH(ROWS($AH$2:AH158),$AH$2:$AH$1001,0),MATCH(COLUMNS($AO$1006:AO1006),$AO$1006:$BQ$1006,0)), HYPERLINK("#",""), HYPERLINK(CONCATENATE("#Metadata!", ADDRESS(INDEX($AJ$2:$AJ$1001,MATCH(ROWS($AH$2:AH158),$AH$2:$AH$1001,0),0), INDEX($AO$1004:$BQ$1004,1,MATCH(COLUMNS($AO$1006:AO1006),$AO$1006:$BQ$1006,0)))),"Fix")))</f>
        <v>#N/A</v>
      </c>
      <c r="C158" s="5" t="e">
        <f ca="1">IF(OR(INDEX($AI$2:$AI$1001,MATCH(ROWS($AH$2:AH158),$AH$2:$AH$1001,0),1)&gt;=100000,INDEX($AO$1005:$BQ$1005,1,MATCH(COLUMNS($AO$1006:AP1006),$AO$1006:$BQ$1006,0))&gt;=100000), " ",IF(INDEX($AO$2:$BQ$1001,MATCH(ROWS($AH$2:AH158),$AH$2:$AH$1001,0),MATCH(COLUMNS($AO$1006:AP1006),$AO$1006:$BQ$1006,0)), HYPERLINK("#",""), HYPERLINK(CONCATENATE("#Metadata!", ADDRESS(INDEX($AJ$2:$AJ$1001,MATCH(ROWS($AH$2:AH158),$AH$2:$AH$1001,0),0), INDEX($AO$1004:$BQ$1004,1,MATCH(COLUMNS($AO$1006:AP1006),$AO$1006:$BQ$1006,0)))),"Fix")))</f>
        <v>#N/A</v>
      </c>
      <c r="D158" s="5" t="e">
        <f ca="1">IF(OR(INDEX($AI$2:$AI$1001,MATCH(ROWS($AH$2:AH158),$AH$2:$AH$1001,0),1)&gt;=100000,INDEX($AO$1005:$BQ$1005,1,MATCH(COLUMNS($AO$1006:AQ1006),$AO$1006:$BQ$1006,0))&gt;=100000), " ",IF(INDEX($AO$2:$BQ$1001,MATCH(ROWS($AH$2:AH158),$AH$2:$AH$1001,0),MATCH(COLUMNS($AO$1006:AQ1006),$AO$1006:$BQ$1006,0)), HYPERLINK("#",""), HYPERLINK(CONCATENATE("#Metadata!", ADDRESS(INDEX($AJ$2:$AJ$1001,MATCH(ROWS($AH$2:AH158),$AH$2:$AH$1001,0),0), INDEX($AO$1004:$BQ$1004,1,MATCH(COLUMNS($AO$1006:AQ1006),$AO$1006:$BQ$1006,0)))),"Fix")))</f>
        <v>#N/A</v>
      </c>
      <c r="E158" s="5" t="e">
        <f ca="1">IF(OR(INDEX($AI$2:$AI$1001,MATCH(ROWS($AH$2:AH158),$AH$2:$AH$1001,0),1)&gt;=100000,INDEX($AO$1005:$BQ$1005,1,MATCH(COLUMNS($AO$1006:AR1006),$AO$1006:$BQ$1006,0))&gt;=100000), " ",IF(INDEX($AO$2:$BQ$1001,MATCH(ROWS($AH$2:AH158),$AH$2:$AH$1001,0),MATCH(COLUMNS($AO$1006:AR1006),$AO$1006:$BQ$1006,0)), HYPERLINK("#",""), HYPERLINK(CONCATENATE("#Metadata!", ADDRESS(INDEX($AJ$2:$AJ$1001,MATCH(ROWS($AH$2:AH158),$AH$2:$AH$1001,0),0), INDEX($AO$1004:$BQ$1004,1,MATCH(COLUMNS($AO$1006:AR1006),$AO$1006:$BQ$1006,0)))),"Fix")))</f>
        <v>#N/A</v>
      </c>
      <c r="F158" s="5" t="e">
        <f ca="1">IF(OR(INDEX($AI$2:$AI$1001,MATCH(ROWS($AH$2:AH158),$AH$2:$AH$1001,0),1)&gt;=100000,INDEX($AO$1005:$BQ$1005,1,MATCH(COLUMNS($AO$1006:AS1006),$AO$1006:$BQ$1006,0))&gt;=100000), " ",IF(INDEX($AO$2:$BQ$1001,MATCH(ROWS($AH$2:AH158),$AH$2:$AH$1001,0),MATCH(COLUMNS($AO$1006:AS1006),$AO$1006:$BQ$1006,0)), HYPERLINK("#",""), HYPERLINK(CONCATENATE("#Metadata!", ADDRESS(INDEX($AJ$2:$AJ$1001,MATCH(ROWS($AH$2:AH158),$AH$2:$AH$1001,0),0), INDEX($AO$1004:$BQ$1004,1,MATCH(COLUMNS($AO$1006:AS1006),$AO$1006:$BQ$1006,0)))),"Fix")))</f>
        <v>#N/A</v>
      </c>
      <c r="G158" s="5" t="e">
        <f ca="1">IF(OR(INDEX($AI$2:$AI$1001,MATCH(ROWS($AH$2:AH158),$AH$2:$AH$1001,0),1)&gt;=100000,INDEX($AO$1005:$BQ$1005,1,MATCH(COLUMNS($AO$1006:AT1006),$AO$1006:$BQ$1006,0))&gt;=100000), " ",IF(INDEX($AO$2:$BQ$1001,MATCH(ROWS($AH$2:AH158),$AH$2:$AH$1001,0),MATCH(COLUMNS($AO$1006:AT1006),$AO$1006:$BQ$1006,0)), HYPERLINK("#",""), HYPERLINK(CONCATENATE("#Metadata!", ADDRESS(INDEX($AJ$2:$AJ$1001,MATCH(ROWS($AH$2:AH158),$AH$2:$AH$1001,0),0), INDEX($AO$1004:$BQ$1004,1,MATCH(COLUMNS($AO$1006:AT1006),$AO$1006:$BQ$1006,0)))),"Fix")))</f>
        <v>#N/A</v>
      </c>
      <c r="H158" s="5" t="e">
        <f ca="1">IF(OR(INDEX($AI$2:$AI$1001,MATCH(ROWS($AH$2:AH158),$AH$2:$AH$1001,0),1)&gt;=100000,INDEX($AO$1005:$BQ$1005,1,MATCH(COLUMNS($AO$1006:AU1006),$AO$1006:$BQ$1006,0))&gt;=100000), " ",IF(INDEX($AO$2:$BQ$1001,MATCH(ROWS($AH$2:AH158),$AH$2:$AH$1001,0),MATCH(COLUMNS($AO$1006:AU1006),$AO$1006:$BQ$1006,0)), HYPERLINK("#",""), HYPERLINK(CONCATENATE("#Metadata!", ADDRESS(INDEX($AJ$2:$AJ$1001,MATCH(ROWS($AH$2:AH158),$AH$2:$AH$1001,0),0), INDEX($AO$1004:$BQ$1004,1,MATCH(COLUMNS($AO$1006:AU1006),$AO$1006:$BQ$1006,0)))),"Fix")))</f>
        <v>#N/A</v>
      </c>
      <c r="I158" s="5" t="e">
        <f ca="1">IF(OR(INDEX($AI$2:$AI$1001,MATCH(ROWS($AH$2:AH158),$AH$2:$AH$1001,0),1)&gt;=100000,INDEX($AO$1005:$BQ$1005,1,MATCH(COLUMNS($AO$1006:AV1006),$AO$1006:$BQ$1006,0))&gt;=100000), " ",IF(INDEX($AO$2:$BQ$1001,MATCH(ROWS($AH$2:AH158),$AH$2:$AH$1001,0),MATCH(COLUMNS($AO$1006:AV1006),$AO$1006:$BQ$1006,0)), HYPERLINK("#",""), HYPERLINK(CONCATENATE("#Metadata!", ADDRESS(INDEX($AJ$2:$AJ$1001,MATCH(ROWS($AH$2:AH158),$AH$2:$AH$1001,0),0), INDEX($AO$1004:$BQ$1004,1,MATCH(COLUMNS($AO$1006:AV1006),$AO$1006:$BQ$1006,0)))),"Fix")))</f>
        <v>#N/A</v>
      </c>
      <c r="J158" s="5" t="e">
        <f ca="1">IF(OR(INDEX($AI$2:$AI$1001,MATCH(ROWS($AH$2:AH158),$AH$2:$AH$1001,0),1)&gt;=100000,INDEX($AO$1005:$BQ$1005,1,MATCH(COLUMNS($AO$1006:AW1006),$AO$1006:$BQ$1006,0))&gt;=100000), " ",IF(INDEX($AO$2:$BQ$1001,MATCH(ROWS($AH$2:AH158),$AH$2:$AH$1001,0),MATCH(COLUMNS($AO$1006:AW1006),$AO$1006:$BQ$1006,0)), HYPERLINK("#",""), HYPERLINK(CONCATENATE("#Metadata!", ADDRESS(INDEX($AJ$2:$AJ$1001,MATCH(ROWS($AH$2:AH158),$AH$2:$AH$1001,0),0), INDEX($AO$1004:$BQ$1004,1,MATCH(COLUMNS($AO$1006:AW1006),$AO$1006:$BQ$1006,0)))),"Fix")))</f>
        <v>#N/A</v>
      </c>
      <c r="K158" s="5" t="e">
        <f ca="1">IF(OR(INDEX($AI$2:$AI$1001,MATCH(ROWS($AH$2:AH158),$AH$2:$AH$1001,0),1)&gt;=100000,INDEX($AO$1005:$BQ$1005,1,MATCH(COLUMNS($AO$1006:AX1006),$AO$1006:$BQ$1006,0))&gt;=100000), " ",IF(INDEX($AO$2:$BQ$1001,MATCH(ROWS($AH$2:AH158),$AH$2:$AH$1001,0),MATCH(COLUMNS($AO$1006:AX1006),$AO$1006:$BQ$1006,0)), HYPERLINK("#",""), HYPERLINK(CONCATENATE("#Metadata!", ADDRESS(INDEX($AJ$2:$AJ$1001,MATCH(ROWS($AH$2:AH158),$AH$2:$AH$1001,0),0), INDEX($AO$1004:$BQ$1004,1,MATCH(COLUMNS($AO$1006:AX1006),$AO$1006:$BQ$1006,0)))),"Fix")))</f>
        <v>#N/A</v>
      </c>
      <c r="L158" s="5" t="e">
        <f ca="1">IF(OR(INDEX($AI$2:$AI$1001,MATCH(ROWS($AH$2:AH158),$AH$2:$AH$1001,0),1)&gt;=100000,INDEX($AO$1005:$BQ$1005,1,MATCH(COLUMNS($AO$1006:AY1006),$AO$1006:$BQ$1006,0))&gt;=100000), " ",IF(INDEX($AO$2:$BQ$1001,MATCH(ROWS($AH$2:AH158),$AH$2:$AH$1001,0),MATCH(COLUMNS($AO$1006:AY1006),$AO$1006:$BQ$1006,0)), HYPERLINK("#",""), HYPERLINK(CONCATENATE("#Metadata!", ADDRESS(INDEX($AJ$2:$AJ$1001,MATCH(ROWS($AH$2:AH158),$AH$2:$AH$1001,0),0), INDEX($AO$1004:$BQ$1004,1,MATCH(COLUMNS($AO$1006:AY1006),$AO$1006:$BQ$1006,0)))),"Fix")))</f>
        <v>#N/A</v>
      </c>
      <c r="M158" s="5" t="e">
        <f ca="1">IF(OR(INDEX($AI$2:$AI$1001,MATCH(ROWS($AH$2:AH158),$AH$2:$AH$1001,0),1)&gt;=100000,INDEX($AO$1005:$BQ$1005,1,MATCH(COLUMNS($AO$1006:AZ1006),$AO$1006:$BQ$1006,0))&gt;=100000), " ",IF(INDEX($AO$2:$BQ$1001,MATCH(ROWS($AH$2:AH158),$AH$2:$AH$1001,0),MATCH(COLUMNS($AO$1006:AZ1006),$AO$1006:$BQ$1006,0)), HYPERLINK("#",""), HYPERLINK(CONCATENATE("#Metadata!", ADDRESS(INDEX($AJ$2:$AJ$1001,MATCH(ROWS($AH$2:AH158),$AH$2:$AH$1001,0),0), INDEX($AO$1004:$BQ$1004,1,MATCH(COLUMNS($AO$1006:AZ1006),$AO$1006:$BQ$1006,0)))),"Fix")))</f>
        <v>#N/A</v>
      </c>
      <c r="N158" s="5" t="e">
        <f ca="1">IF(OR(INDEX($AI$2:$AI$1001,MATCH(ROWS($AH$2:AH158),$AH$2:$AH$1001,0),1)&gt;=100000,INDEX($AO$1005:$BQ$1005,1,MATCH(COLUMNS($AO$1006:BA1006),$AO$1006:$BQ$1006,0))&gt;=100000), " ",IF(INDEX($AO$2:$BQ$1001,MATCH(ROWS($AH$2:AH158),$AH$2:$AH$1001,0),MATCH(COLUMNS($AO$1006:BA1006),$AO$1006:$BQ$1006,0)), HYPERLINK("#",""), HYPERLINK(CONCATENATE("#Metadata!", ADDRESS(INDEX($AJ$2:$AJ$1001,MATCH(ROWS($AH$2:AH158),$AH$2:$AH$1001,0),0), INDEX($AO$1004:$BQ$1004,1,MATCH(COLUMNS($AO$1006:BA1006),$AO$1006:$BQ$1006,0)))),"Fix")))</f>
        <v>#N/A</v>
      </c>
      <c r="O158" s="5" t="e">
        <f ca="1">IF(OR(INDEX($AI$2:$AI$1001,MATCH(ROWS($AH$2:AH158),$AH$2:$AH$1001,0),1)&gt;=100000,INDEX($AO$1005:$BQ$1005,1,MATCH(COLUMNS($AO$1006:BB1006),$AO$1006:$BQ$1006,0))&gt;=100000), " ",IF(INDEX($AO$2:$BQ$1001,MATCH(ROWS($AH$2:AH158),$AH$2:$AH$1001,0),MATCH(COLUMNS($AO$1006:BB1006),$AO$1006:$BQ$1006,0)), HYPERLINK("#",""), HYPERLINK(CONCATENATE("#Metadata!", ADDRESS(INDEX($AJ$2:$AJ$1001,MATCH(ROWS($AH$2:AH158),$AH$2:$AH$1001,0),0), INDEX($AO$1004:$BQ$1004,1,MATCH(COLUMNS($AO$1006:BB1006),$AO$1006:$BQ$1006,0)))),"Fix")))</f>
        <v>#N/A</v>
      </c>
      <c r="P158" s="5" t="e">
        <f ca="1">IF(OR(INDEX($AI$2:$AI$1001,MATCH(ROWS($AH$2:AH158),$AH$2:$AH$1001,0),1)&gt;=100000,INDEX($AO$1005:$BQ$1005,1,MATCH(COLUMNS($AO$1006:BC1006),$AO$1006:$BQ$1006,0))&gt;=100000), " ",IF(INDEX($AO$2:$BQ$1001,MATCH(ROWS($AH$2:AH158),$AH$2:$AH$1001,0),MATCH(COLUMNS($AO$1006:BC1006),$AO$1006:$BQ$1006,0)), HYPERLINK("#",""), HYPERLINK(CONCATENATE("#Metadata!", ADDRESS(INDEX($AJ$2:$AJ$1001,MATCH(ROWS($AH$2:AH158),$AH$2:$AH$1001,0),0), INDEX($AO$1004:$BQ$1004,1,MATCH(COLUMNS($AO$1006:BC1006),$AO$1006:$BQ$1006,0)))),"Fix")))</f>
        <v>#N/A</v>
      </c>
      <c r="Q158" s="5" t="e">
        <f ca="1">IF(OR(INDEX($AI$2:$AI$1001,MATCH(ROWS($AH$2:AH158),$AH$2:$AH$1001,0),1)&gt;=100000,INDEX($AO$1005:$BQ$1005,1,MATCH(COLUMNS($AO$1006:BD1006),$AO$1006:$BQ$1006,0))&gt;=100000), " ",IF(INDEX($AO$2:$BQ$1001,MATCH(ROWS($AH$2:AH158),$AH$2:$AH$1001,0),MATCH(COLUMNS($AO$1006:BD1006),$AO$1006:$BQ$1006,0)), HYPERLINK("#",""), HYPERLINK(CONCATENATE("#Metadata!", ADDRESS(INDEX($AJ$2:$AJ$1001,MATCH(ROWS($AH$2:AH158),$AH$2:$AH$1001,0),0), INDEX($AO$1004:$BQ$1004,1,MATCH(COLUMNS($AO$1006:BD1006),$AO$1006:$BQ$1006,0)))),"Fix")))</f>
        <v>#N/A</v>
      </c>
      <c r="R158" s="5" t="e">
        <f ca="1">IF(OR(INDEX($AI$2:$AI$1001,MATCH(ROWS($AH$2:AH158),$AH$2:$AH$1001,0),1)&gt;=100000,INDEX($AO$1005:$BQ$1005,1,MATCH(COLUMNS($AO$1006:BE1006),$AO$1006:$BQ$1006,0))&gt;=100000), " ",IF(INDEX($AO$2:$BQ$1001,MATCH(ROWS($AH$2:AH158),$AH$2:$AH$1001,0),MATCH(COLUMNS($AO$1006:BE1006),$AO$1006:$BQ$1006,0)), HYPERLINK("#",""), HYPERLINK(CONCATENATE("#Metadata!", ADDRESS(INDEX($AJ$2:$AJ$1001,MATCH(ROWS($AH$2:AH158),$AH$2:$AH$1001,0),0), INDEX($AO$1004:$BQ$1004,1,MATCH(COLUMNS($AO$1006:BE1006),$AO$1006:$BQ$1006,0)))),"Fix")))</f>
        <v>#N/A</v>
      </c>
      <c r="S158" s="5" t="e">
        <f ca="1">IF(OR(INDEX($AI$2:$AI$1001,MATCH(ROWS($AH$2:AH158),$AH$2:$AH$1001,0),1)&gt;=100000,INDEX($AO$1005:$BQ$1005,1,MATCH(COLUMNS($AO$1006:BF1006),$AO$1006:$BQ$1006,0))&gt;=100000), " ",IF(INDEX($AO$2:$BQ$1001,MATCH(ROWS($AH$2:AH158),$AH$2:$AH$1001,0),MATCH(COLUMNS($AO$1006:BF1006),$AO$1006:$BQ$1006,0)), HYPERLINK("#",""), HYPERLINK(CONCATENATE("#Metadata!", ADDRESS(INDEX($AJ$2:$AJ$1001,MATCH(ROWS($AH$2:AH158),$AH$2:$AH$1001,0),0), INDEX($AO$1004:$BQ$1004,1,MATCH(COLUMNS($AO$1006:BF1006),$AO$1006:$BQ$1006,0)))),"Fix")))</f>
        <v>#N/A</v>
      </c>
      <c r="T158" s="5" t="e">
        <f ca="1">IF(OR(INDEX($AI$2:$AI$1001,MATCH(ROWS($AH$2:AH158),$AH$2:$AH$1001,0),1)&gt;=100000,INDEX($AO$1005:$BQ$1005,1,MATCH(COLUMNS($AO$1006:BG1006),$AO$1006:$BQ$1006,0))&gt;=100000), " ",IF(INDEX($AO$2:$BQ$1001,MATCH(ROWS($AH$2:AH158),$AH$2:$AH$1001,0),MATCH(COLUMNS($AO$1006:BG1006),$AO$1006:$BQ$1006,0)), HYPERLINK("#",""), HYPERLINK(CONCATENATE("#Metadata!", ADDRESS(INDEX($AJ$2:$AJ$1001,MATCH(ROWS($AH$2:AH158),$AH$2:$AH$1001,0),0), INDEX($AO$1004:$BQ$1004,1,MATCH(COLUMNS($AO$1006:BG1006),$AO$1006:$BQ$1006,0)))),"Fix")))</f>
        <v>#N/A</v>
      </c>
      <c r="U158" s="5" t="e">
        <f ca="1">IF(OR(INDEX($AI$2:$AI$1001,MATCH(ROWS($AH$2:AH158),$AH$2:$AH$1001,0),1)&gt;=100000,INDEX($AO$1005:$BQ$1005,1,MATCH(COLUMNS($AO$1006:BH1006),$AO$1006:$BQ$1006,0))&gt;=100000), " ",IF(INDEX($AO$2:$BQ$1001,MATCH(ROWS($AH$2:AH158),$AH$2:$AH$1001,0),MATCH(COLUMNS($AO$1006:BH1006),$AO$1006:$BQ$1006,0)), HYPERLINK("#",""), HYPERLINK(CONCATENATE("#Metadata!", ADDRESS(INDEX($AJ$2:$AJ$1001,MATCH(ROWS($AH$2:AH158),$AH$2:$AH$1001,0),0), INDEX($AO$1004:$BQ$1004,1,MATCH(COLUMNS($AO$1006:BH1006),$AO$1006:$BQ$1006,0)))),"Fix")))</f>
        <v>#N/A</v>
      </c>
      <c r="V158" s="5" t="e">
        <f ca="1">IF(OR(INDEX($AI$2:$AI$1001,MATCH(ROWS($AH$2:AH158),$AH$2:$AH$1001,0),1)&gt;=100000,INDEX($AO$1005:$BQ$1005,1,MATCH(COLUMNS($AO$1006:BI1006),$AO$1006:$BQ$1006,0))&gt;=100000), " ",IF(INDEX($AO$2:$BQ$1001,MATCH(ROWS($AH$2:AH158),$AH$2:$AH$1001,0),MATCH(COLUMNS($AO$1006:BI1006),$AO$1006:$BQ$1006,0)), HYPERLINK("#",""), HYPERLINK(CONCATENATE("#Metadata!", ADDRESS(INDEX($AJ$2:$AJ$1001,MATCH(ROWS($AH$2:AH158),$AH$2:$AH$1001,0),0), INDEX($AO$1004:$BQ$1004,1,MATCH(COLUMNS($AO$1006:BI1006),$AO$1006:$BQ$1006,0)))),"Fix")))</f>
        <v>#N/A</v>
      </c>
      <c r="W158" s="5" t="e">
        <f ca="1">IF(OR(INDEX($AI$2:$AI$1001,MATCH(ROWS($AH$2:AH158),$AH$2:$AH$1001,0),1)&gt;=100000,INDEX($AO$1005:$BQ$1005,1,MATCH(COLUMNS($AO$1006:BJ1006),$AO$1006:$BQ$1006,0))&gt;=100000), " ",IF(INDEX($AO$2:$BQ$1001,MATCH(ROWS($AH$2:AH158),$AH$2:$AH$1001,0),MATCH(COLUMNS($AO$1006:BJ1006),$AO$1006:$BQ$1006,0)), HYPERLINK("#",""), HYPERLINK(CONCATENATE("#Metadata!", ADDRESS(INDEX($AJ$2:$AJ$1001,MATCH(ROWS($AH$2:AH158),$AH$2:$AH$1001,0),0), INDEX($AO$1004:$BQ$1004,1,MATCH(COLUMNS($AO$1006:BJ1006),$AO$1006:$BQ$1006,0)))),"Fix")))</f>
        <v>#N/A</v>
      </c>
      <c r="X158" s="5" t="e">
        <f ca="1">IF(OR(INDEX($AI$2:$AI$1001,MATCH(ROWS($AH$2:AH158),$AH$2:$AH$1001,0),1)&gt;=100000,INDEX($AO$1005:$BQ$1005,1,MATCH(COLUMNS($AO$1006:BK1006),$AO$1006:$BQ$1006,0))&gt;=100000), " ",IF(INDEX($AO$2:$BQ$1001,MATCH(ROWS($AH$2:AH158),$AH$2:$AH$1001,0),MATCH(COLUMNS($AO$1006:BK1006),$AO$1006:$BQ$1006,0)), HYPERLINK("#",""), HYPERLINK(CONCATENATE("#Metadata!", ADDRESS(INDEX($AJ$2:$AJ$1001,MATCH(ROWS($AH$2:AH158),$AH$2:$AH$1001,0),0), INDEX($AO$1004:$BQ$1004,1,MATCH(COLUMNS($AO$1006:BK1006),$AO$1006:$BQ$1006,0)))),"Fix")))</f>
        <v>#N/A</v>
      </c>
      <c r="Y158" s="5" t="e">
        <f ca="1">IF(OR(INDEX($AI$2:$AI$1001,MATCH(ROWS($AH$2:AH158),$AH$2:$AH$1001,0),1)&gt;=100000,INDEX($AO$1005:$BQ$1005,1,MATCH(COLUMNS($AO$1006:BL1006),$AO$1006:$BQ$1006,0))&gt;=100000), " ",IF(INDEX($AO$2:$BQ$1001,MATCH(ROWS($AH$2:AH158),$AH$2:$AH$1001,0),MATCH(COLUMNS($AO$1006:BL1006),$AO$1006:$BQ$1006,0)), HYPERLINK("#",""), HYPERLINK(CONCATENATE("#Metadata!", ADDRESS(INDEX($AJ$2:$AJ$1001,MATCH(ROWS($AH$2:AH158),$AH$2:$AH$1001,0),0), INDEX($AO$1004:$BQ$1004,1,MATCH(COLUMNS($AO$1006:BL1006),$AO$1006:$BQ$1006,0)))),"Fix")))</f>
        <v>#N/A</v>
      </c>
      <c r="Z158" s="5" t="e">
        <f ca="1">IF(OR(INDEX($AI$2:$AI$1001,MATCH(ROWS($AH$2:AH158),$AH$2:$AH$1001,0),1)&gt;=100000,INDEX($AO$1005:$BQ$1005,1,MATCH(COLUMNS($AO$1006:BM1006),$AO$1006:$BQ$1006,0))&gt;=100000), " ",IF(INDEX($AO$2:$BQ$1001,MATCH(ROWS($AH$2:AH158),$AH$2:$AH$1001,0),MATCH(COLUMNS($AO$1006:BM1006),$AO$1006:$BQ$1006,0)), HYPERLINK("#",""), HYPERLINK(CONCATENATE("#Metadata!", ADDRESS(INDEX($AJ$2:$AJ$1001,MATCH(ROWS($AH$2:AH158),$AH$2:$AH$1001,0),0), INDEX($AO$1004:$BQ$1004,1,MATCH(COLUMNS($AO$1006:BM1006),$AO$1006:$BQ$1006,0)))),"Fix")))</f>
        <v>#N/A</v>
      </c>
      <c r="AA158" s="5" t="e">
        <f ca="1">IF(OR(INDEX($AI$2:$AI$1001,MATCH(ROWS($AH$2:AH158),$AH$2:$AH$1001,0),1)&gt;=100000,INDEX($AO$1005:$BQ$1005,1,MATCH(COLUMNS($AO$1006:BN1006),$AO$1006:$BQ$1006,0))&gt;=100000), " ",IF(INDEX($AO$2:$BQ$1001,MATCH(ROWS($AH$2:AH158),$AH$2:$AH$1001,0),MATCH(COLUMNS($AO$1006:BN1006),$AO$1006:$BQ$1006,0)), HYPERLINK("#",""), HYPERLINK(CONCATENATE("#Metadata!", ADDRESS(INDEX($AJ$2:$AJ$1001,MATCH(ROWS($AH$2:AH158),$AH$2:$AH$1001,0),0), INDEX($AO$1004:$BQ$1004,1,MATCH(COLUMNS($AO$1006:BN1006),$AO$1006:$BQ$1006,0)))),"Fix")))</f>
        <v>#N/A</v>
      </c>
      <c r="AB158" s="5" t="e">
        <f ca="1">IF(OR(INDEX($AI$2:$AI$1001,MATCH(ROWS($AH$2:AH158),$AH$2:$AH$1001,0),1)&gt;=100000,INDEX($AO$1005:$BQ$1005,1,MATCH(COLUMNS($AO$1006:BO1006),$AO$1006:$BQ$1006,0))&gt;=100000), " ",IF(INDEX($AO$2:$BQ$1001,MATCH(ROWS($AH$2:AH158),$AH$2:$AH$1001,0),MATCH(COLUMNS($AO$1006:BO1006),$AO$1006:$BQ$1006,0)), HYPERLINK("#",""), HYPERLINK(CONCATENATE("#Metadata!", ADDRESS(INDEX($AJ$2:$AJ$1001,MATCH(ROWS($AH$2:AH158),$AH$2:$AH$1001,0),0), INDEX($AO$1004:$BQ$1004,1,MATCH(COLUMNS($AO$1006:BO1006),$AO$1006:$BQ$1006,0)))),"Fix")))</f>
        <v>#N/A</v>
      </c>
      <c r="AC158" s="5" t="e">
        <f ca="1">IF(OR(INDEX($AI$2:$AI$1001,MATCH(ROWS($AH$2:AH158),$AH$2:$AH$1001,0),1)&gt;=100000,INDEX($AO$1005:$BQ$1005,1,MATCH(COLUMNS($AO$1006:BP1006),$AO$1006:$BQ$1006,0))&gt;=100000), " ",IF(INDEX($AO$2:$BQ$1001,MATCH(ROWS($AH$2:AH158),$AH$2:$AH$1001,0),MATCH(COLUMNS($AO$1006:BP1006),$AO$1006:$BQ$1006,0)), HYPERLINK("#",""), HYPERLINK(CONCATENATE("#Metadata!", ADDRESS(INDEX($AJ$2:$AJ$1001,MATCH(ROWS($AH$2:AH158),$AH$2:$AH$1001,0),0), INDEX($AO$1004:$BQ$1004,1,MATCH(COLUMNS($AO$1006:BP1006),$AO$1006:$BQ$1006,0)))),"Fix")))</f>
        <v>#N/A</v>
      </c>
      <c r="AD158" s="5" t="e">
        <f ca="1">IF(OR(INDEX($AI$2:$AI$1001,MATCH(ROWS($AH$2:AH158),$AH$2:$AH$1001,0),1)&gt;=100000,INDEX($AO$1005:$BQ$1005,1,MATCH(COLUMNS($AO$1006:BQ1006),$AO$1006:$BQ$1006,0))&gt;=100000), " ",IF(INDEX($AO$2:$BQ$1001,MATCH(ROWS($AH$2:AH158),$AH$2:$AH$1001,0),MATCH(COLUMNS($AO$1006:BQ1006),$AO$1006:$BQ$1006,0)), HYPERLINK("#",""), HYPERLINK(CONCATENATE("#Metadata!", ADDRESS(INDEX($AJ$2:$AJ$1001,MATCH(ROWS($AH$2:AH158),$AH$2:$AH$1001,0),0), INDEX($AO$1004:$BQ$1004,1,MATCH(COLUMNS($AO$1006:BQ1006),$AO$1006:$BQ$1006,0)))),"Fix")))</f>
        <v>#REF!</v>
      </c>
      <c r="AH158">
        <f ca="1"/>
        <v>155</v>
      </c>
      <c r="AI158">
        <v>100158</v>
      </c>
      <c r="AJ158">
        <v>158</v>
      </c>
      <c r="AK158" t="b">
        <f t="shared" si="2"/>
        <v>1</v>
      </c>
      <c r="AL158" t="b">
        <f>COUNTBLANK(Metadata!B158:AD158)=COLUMNS(Metadata!B158:AD158)</f>
        <v>1</v>
      </c>
      <c r="AM158" t="str">
        <v/>
      </c>
      <c r="AO158" t="b">
        <f ca="1">AND(IF(Metadata!B158="",FALSE,TRUE),COUNTIF(Metadata!B:B, Metadata!B158) = 1,NOT(ISERROR(SUMPRODUCT(SEARCH(MID(Metadata!B158,ROW(INDIRECT("1:"&amp;LEN(Metadata!B158))), 1),"0123456789abcdefghijklmnopqrstuvwxyzABCDEFGHIJKLMNOPQRSTUVWXYZ.")))))</f>
        <v>0</v>
      </c>
      <c r="AP158" t="b">
        <f>IF(Metadata!C158="",FALSE,TRUE)</f>
        <v>0</v>
      </c>
      <c r="AQ158" t="b">
        <f>IF(Metadata!D158="",FALSE,TRUE)</f>
        <v>0</v>
      </c>
      <c r="AR158" t="b">
        <f ca="1">OR(AND(IF(Metadata!E158="",FALSE,TRUE),OR(EXACT(Metadata!E158,"not collected"),EXACT(Metadata!E158,"not provided"),EXACT(Metadata!E158,"restricted access"))),AND(IF(Metadata!E158="",FALSE,TRUE),AND(AND(IFERROR(INT(LEFT(Metadata!E158,4))&gt;1900,FALSE),IFERROR(INT(LEFT(Metadata!E158,4))&lt;=YEAR(NOW()),FALSE)), OR(MID(Metadata!E158,5,1)="", AND(AND(MID(Metadata!E158,5,1)="-",IFERROR(INT(MID(Metadata!E158,6,1))&gt;=0,FALSE),IFERROR(INT(MID(Metadata!E158,6,1))&lt;=1,FALSE),NOT(MID(Metadata!E158,7,1)=""),IFERROR(INT(MID(Metadata!E158,6,2))&gt;=1,FALSE),IFERROR(INT(MID(Metadata!E158,6,2))&lt;=12,FALSE)), OR(MID(Metadata!E158,8,1)="", AND(AND(MID(Metadata!E158,8,1)="-",IFERROR(INT(MID(Metadata!E158,9,1))&gt;=0,FALSE),IFERROR(INT(MID(Metadata!E158,9,1))&lt;=3,FALSE),NOT(MID(Metadata!E158,10,1)=""),IFERROR(INT(MID(Metadata!E158,9,2))&gt;=1,FALSE),IFERROR(INT(MID(Metadata!E158,9,2))&lt;=31,FALSE)), OR(MID(Metadata!E158,11,1)="", AND(AND(MID(Metadata!E158,11,1)=" ",IFERROR(INT(MID(Metadata!E158,12,1))&gt;=0,FALSE),IFERROR(INT(MID(Metadata!E158,12,1))&lt;=2,FALSE),NOT(MID(Metadata!E158,13,1)=""),IFERROR(INT(MID(Metadata!E158,12,2))&gt;=0,FALSE),IFERROR(INT(MID(Metadata!E158,12,2))&lt;=23,FALSE)), OR(MID(Metadata!E158,14,1)="", AND(AND(MID(Metadata!E158,14,1)=":",IFERROR(INT(MID(Metadata!E158,15,1))&gt;=0,FALSE),IFERROR(INT(MID(Metadata!E158,15,1))&lt;=5,FALSE),NOT(MID(Metadata!E158,16,1)=""),IFERROR(INT(MID(Metadata!E158,15,2))&gt;=0,FALSE),IFERROR(INT(MID(Metadata!E158,15,2))&lt;=59,FALSE)), OR(MID(Metadata!E158,17,1)="", AND(AND(MID(Metadata!E158,17,1)=":",IFERROR(INT(MID(Metadata!E158,18,1))&gt;=0,FALSE),IFERROR(INT(MID(Metadata!E158,18,1))&lt;=5,FALSE),NOT(MID(Metadata!E158,19,1)=""),IFERROR(INT(MID(Metadata!E158,18,2))&gt;=0,FALSE),IFERROR(INT(MID(Metadata!E158,18,2))&lt;=59,FALSE)), LEN(Metadata!E158)&lt;=19)))))))))))))</f>
        <v>0</v>
      </c>
      <c r="AS158" t="b">
        <f>IF(Metadata!F158="",FALSE,TRUE)</f>
        <v>0</v>
      </c>
      <c r="AT158" t="b">
        <f>OR(AND(IF(Metadata!G158="",FALSE,TRUE),OR(EXACT(Metadata!G158,"not collected"),EXACT(Metadata!G158,"not provided"))),AND(IF(Metadata!G158="",FALSE,TRUE),OR(EXACT(Metadata!G158,"TRUE"),EXACT(Metadata!G158,"FALSE"))))</f>
        <v>0</v>
      </c>
      <c r="AU158" t="b">
        <f>OR(AND(IF(Metadata!H158="",FALSE,TRUE),OR(EXACT(Metadata!H158,"not collected"),EXACT(Metadata!H158,"not provided"),EXACT(Metadata!H158,"restricted access"))),AND(IF(Metadata!H158="",FALSE,ISNUMBER(VALUE(Metadata!H158))),Metadata!H158&gt;=-413))</f>
        <v>0</v>
      </c>
      <c r="AV158" t="b">
        <f>AND(IF(Metadata!I158="",FALSE,TRUE),EXACT(Metadata!I158,"meters"))</f>
        <v>0</v>
      </c>
      <c r="AW158" t="b">
        <f>AND(IF(Metadata!J158="",FALSE,TRUE),EXACT(Metadata!J158,"free-living"))</f>
        <v>0</v>
      </c>
      <c r="AX158" t="b">
        <f>AND(IF(Metadata!K158="",FALSE,TRUE),OR(EXACT(Metadata!K158,"saline"),EXACT(Metadata!K158,"non-saline")))</f>
        <v>0</v>
      </c>
      <c r="AY158" t="b">
        <f>AND(IF(Metadata!L158="",FALSE,TRUE),OR(EXACT(Metadata!L158,"sub-surface (non-saline)"),EXACT(Metadata!L158,"surface (non-saline)"),EXACT(Metadata!L158,"water (non-saline)"),EXACT(Metadata!L158,"soil (non-saline)"),EXACT(Metadata!L158,"aerosol (non-saline)"),EXACT(Metadata!L158,"sediment (non-saline)"),EXACT(Metadata!L158,"surface (saline)"),EXACT(Metadata!L158,"water (saline)"),EXACT(Metadata!L158,"hypersaline (saline)"),EXACT(Metadata!L158,"aerosol (saline)"),EXACT(Metadata!L158,"sediment (saline)")))</f>
        <v>0</v>
      </c>
      <c r="AZ158" t="b">
        <f>IF(Metadata!M158="",FALSE,TRUE)</f>
        <v>0</v>
      </c>
      <c r="BA158" t="b">
        <f>IF(Metadata!N158="",FALSE,TRUE)</f>
        <v>0</v>
      </c>
      <c r="BB158" t="b">
        <f>IF(Metadata!O158="",FALSE,TRUE)</f>
        <v>0</v>
      </c>
      <c r="BC158" t="b">
        <f>AND(IF(Metadata!P158="",FALSE,TRUE),OR(EXACT(Metadata!P158,"air"),EXACT(Metadata!P158,"microbial mat/biofilm"),EXACT(Metadata!P158,"misc environment"),EXACT(Metadata!P158,"sediment"),EXACT(Metadata!P158,"soil"),EXACT(Metadata!P158,"wastewater/sludge"),EXACT(Metadata!P158,"water")))</f>
        <v>0</v>
      </c>
      <c r="BD158" t="b">
        <f>IF(Metadata!Q158="",FALSE,TRUE)</f>
        <v>0</v>
      </c>
      <c r="BE158" t="b">
        <f>IF(Metadata!R158="",FALSE,TRUE)</f>
        <v>0</v>
      </c>
      <c r="BF158" t="b">
        <f>OR(AND(IF(Metadata!S158="",FALSE,TRUE),OR(EXACT(Metadata!S158,"not collected"),EXACT(Metadata!S158,"not provided"),EXACT(Metadata!S158,"restricted access"))),AND(IF(Metadata!S158="",FALSE,ISNUMBER(VALUE(Metadata!S158))),Metadata!S158&gt;=-90,Metadata!S158&lt;=90))</f>
        <v>0</v>
      </c>
      <c r="BG158" t="b">
        <f>AND(IF(Metadata!T158="",FALSE,TRUE),EXACT(Metadata!T158,"Decimal degrees"))</f>
        <v>0</v>
      </c>
      <c r="BH158" t="b">
        <f>OR(AND(IF(Metadata!U158="",FALSE,TRUE),OR(EXACT(Metadata!U158,"not applicable"),EXACT(Metadata!U158,"not collected"))),IF(Metadata!U158="",FALSE,TRUE))</f>
        <v>0</v>
      </c>
      <c r="BI158" t="b">
        <f>OR(AND(IF(Metadata!V158="",FALSE,TRUE),OR(EXACT(Metadata!V158,"not collected"),EXACT(Metadata!V158,"not provided"),EXACT(Metadata!V158,"restricted access"))),AND(IF(Metadata!V158="",FALSE,ISNUMBER(VALUE(Metadata!V158))),Metadata!V158&gt;=-180,Metadata!V158&lt;=180))</f>
        <v>0</v>
      </c>
      <c r="BJ158" t="b">
        <f>AND(IF(Metadata!W158="",FALSE,TRUE),EXACT(Metadata!W158,"Decimal degrees"))</f>
        <v>0</v>
      </c>
      <c r="BK158" t="b">
        <f>IF(Metadata!X158="",FALSE,TRUE)</f>
        <v>0</v>
      </c>
      <c r="BL158" t="b">
        <f>OR(AND(IF(Metadata!Y158="",FALSE,TRUE),OR(EXACT(Metadata!Y158,"not collected"),EXACT(Metadata!Y158,"not provided"),EXACT(Metadata!Y158,"restricted access"))),AND(IF(Metadata!Y158="",FALSE,TRUE),OR(EXACT(Metadata!Y158,"TRUE"),EXACT(Metadata!Y158,"FALSE"))))</f>
        <v>0</v>
      </c>
      <c r="BM158" t="b">
        <f>OR(AND(IF(Metadata!Z158="",FALSE,TRUE),EXACT(Metadata!Z158,"not applicable")),AND(IF(Metadata!Z158="",FALSE,TRUE),OR(EXACT(Metadata!Z158,"beer"),EXACT(Metadata!Z158,"cheese"),EXACT(Metadata!Z158,"fresh water"),EXACT(Metadata!Z158,"marine sediment"),EXACT(Metadata!Z158,"sea water"),EXACT(Metadata!Z158,"sediment"),EXACT(Metadata!Z158,"soil"),EXACT(Metadata!Z158,"waste water"))))</f>
        <v>0</v>
      </c>
      <c r="BN158" t="b">
        <f>AND(IF(Metadata!AA158="",FALSE,TRUE),EXACT(Metadata!AA158,"metagenome"))</f>
        <v>0</v>
      </c>
      <c r="BO158" t="b">
        <f>AND(IF(Metadata!AB158="",FALSE,TRUE),EXACT(Metadata!AB158,"256318"))</f>
        <v>0</v>
      </c>
      <c r="BP158" t="b">
        <f>IF(Metadata!AC158="",FALSE,TRUE)</f>
        <v>0</v>
      </c>
      <c r="BQ158" t="b">
        <f>IF(Metadata!AD158="",FALSE,TRUE)</f>
        <v>0</v>
      </c>
    </row>
    <row r="159" spans="1:69" x14ac:dyDescent="0.2">
      <c r="A159" s="4" t="e">
        <f ca="1">IF(B159=" "," ",HYPERLINK(CONCATENATE("#metadata!",ADDRESS(INDEX($AJ$2:$AJ$1001,MATCH(ROWS($AH$2:AH159),$AH$2:$AH$1001,0),0),2)),INDEX($AM$2:$AM$1001,MATCH(ROWS($AH$2:AH159),$AH$2:$AH$1001,0),0)))</f>
        <v>#N/A</v>
      </c>
      <c r="B159" s="5" t="e">
        <f ca="1">IF(OR(INDEX($AI$2:$AI$1001,MATCH(ROWS($AH$2:AH159),$AH$2:$AH$1001,0),1)&gt;=100000,INDEX($AO$1005:$BQ$1005,1,MATCH(COLUMNS($AO$1006:AO1006),$AO$1006:$BQ$1006,0))&gt;=100000), " ",IF(INDEX($AO$2:$BQ$1001,MATCH(ROWS($AH$2:AH159),$AH$2:$AH$1001,0),MATCH(COLUMNS($AO$1006:AO1006),$AO$1006:$BQ$1006,0)), HYPERLINK("#",""), HYPERLINK(CONCATENATE("#Metadata!", ADDRESS(INDEX($AJ$2:$AJ$1001,MATCH(ROWS($AH$2:AH159),$AH$2:$AH$1001,0),0), INDEX($AO$1004:$BQ$1004,1,MATCH(COLUMNS($AO$1006:AO1006),$AO$1006:$BQ$1006,0)))),"Fix")))</f>
        <v>#N/A</v>
      </c>
      <c r="C159" s="5" t="e">
        <f ca="1">IF(OR(INDEX($AI$2:$AI$1001,MATCH(ROWS($AH$2:AH159),$AH$2:$AH$1001,0),1)&gt;=100000,INDEX($AO$1005:$BQ$1005,1,MATCH(COLUMNS($AO$1006:AP1006),$AO$1006:$BQ$1006,0))&gt;=100000), " ",IF(INDEX($AO$2:$BQ$1001,MATCH(ROWS($AH$2:AH159),$AH$2:$AH$1001,0),MATCH(COLUMNS($AO$1006:AP1006),$AO$1006:$BQ$1006,0)), HYPERLINK("#",""), HYPERLINK(CONCATENATE("#Metadata!", ADDRESS(INDEX($AJ$2:$AJ$1001,MATCH(ROWS($AH$2:AH159),$AH$2:$AH$1001,0),0), INDEX($AO$1004:$BQ$1004,1,MATCH(COLUMNS($AO$1006:AP1006),$AO$1006:$BQ$1006,0)))),"Fix")))</f>
        <v>#N/A</v>
      </c>
      <c r="D159" s="5" t="e">
        <f ca="1">IF(OR(INDEX($AI$2:$AI$1001,MATCH(ROWS($AH$2:AH159),$AH$2:$AH$1001,0),1)&gt;=100000,INDEX($AO$1005:$BQ$1005,1,MATCH(COLUMNS($AO$1006:AQ1006),$AO$1006:$BQ$1006,0))&gt;=100000), " ",IF(INDEX($AO$2:$BQ$1001,MATCH(ROWS($AH$2:AH159),$AH$2:$AH$1001,0),MATCH(COLUMNS($AO$1006:AQ1006),$AO$1006:$BQ$1006,0)), HYPERLINK("#",""), HYPERLINK(CONCATENATE("#Metadata!", ADDRESS(INDEX($AJ$2:$AJ$1001,MATCH(ROWS($AH$2:AH159),$AH$2:$AH$1001,0),0), INDEX($AO$1004:$BQ$1004,1,MATCH(COLUMNS($AO$1006:AQ1006),$AO$1006:$BQ$1006,0)))),"Fix")))</f>
        <v>#N/A</v>
      </c>
      <c r="E159" s="5" t="e">
        <f ca="1">IF(OR(INDEX($AI$2:$AI$1001,MATCH(ROWS($AH$2:AH159),$AH$2:$AH$1001,0),1)&gt;=100000,INDEX($AO$1005:$BQ$1005,1,MATCH(COLUMNS($AO$1006:AR1006),$AO$1006:$BQ$1006,0))&gt;=100000), " ",IF(INDEX($AO$2:$BQ$1001,MATCH(ROWS($AH$2:AH159),$AH$2:$AH$1001,0),MATCH(COLUMNS($AO$1006:AR1006),$AO$1006:$BQ$1006,0)), HYPERLINK("#",""), HYPERLINK(CONCATENATE("#Metadata!", ADDRESS(INDEX($AJ$2:$AJ$1001,MATCH(ROWS($AH$2:AH159),$AH$2:$AH$1001,0),0), INDEX($AO$1004:$BQ$1004,1,MATCH(COLUMNS($AO$1006:AR1006),$AO$1006:$BQ$1006,0)))),"Fix")))</f>
        <v>#N/A</v>
      </c>
      <c r="F159" s="5" t="e">
        <f ca="1">IF(OR(INDEX($AI$2:$AI$1001,MATCH(ROWS($AH$2:AH159),$AH$2:$AH$1001,0),1)&gt;=100000,INDEX($AO$1005:$BQ$1005,1,MATCH(COLUMNS($AO$1006:AS1006),$AO$1006:$BQ$1006,0))&gt;=100000), " ",IF(INDEX($AO$2:$BQ$1001,MATCH(ROWS($AH$2:AH159),$AH$2:$AH$1001,0),MATCH(COLUMNS($AO$1006:AS1006),$AO$1006:$BQ$1006,0)), HYPERLINK("#",""), HYPERLINK(CONCATENATE("#Metadata!", ADDRESS(INDEX($AJ$2:$AJ$1001,MATCH(ROWS($AH$2:AH159),$AH$2:$AH$1001,0),0), INDEX($AO$1004:$BQ$1004,1,MATCH(COLUMNS($AO$1006:AS1006),$AO$1006:$BQ$1006,0)))),"Fix")))</f>
        <v>#N/A</v>
      </c>
      <c r="G159" s="5" t="e">
        <f ca="1">IF(OR(INDEX($AI$2:$AI$1001,MATCH(ROWS($AH$2:AH159),$AH$2:$AH$1001,0),1)&gt;=100000,INDEX($AO$1005:$BQ$1005,1,MATCH(COLUMNS($AO$1006:AT1006),$AO$1006:$BQ$1006,0))&gt;=100000), " ",IF(INDEX($AO$2:$BQ$1001,MATCH(ROWS($AH$2:AH159),$AH$2:$AH$1001,0),MATCH(COLUMNS($AO$1006:AT1006),$AO$1006:$BQ$1006,0)), HYPERLINK("#",""), HYPERLINK(CONCATENATE("#Metadata!", ADDRESS(INDEX($AJ$2:$AJ$1001,MATCH(ROWS($AH$2:AH159),$AH$2:$AH$1001,0),0), INDEX($AO$1004:$BQ$1004,1,MATCH(COLUMNS($AO$1006:AT1006),$AO$1006:$BQ$1006,0)))),"Fix")))</f>
        <v>#N/A</v>
      </c>
      <c r="H159" s="5" t="e">
        <f ca="1">IF(OR(INDEX($AI$2:$AI$1001,MATCH(ROWS($AH$2:AH159),$AH$2:$AH$1001,0),1)&gt;=100000,INDEX($AO$1005:$BQ$1005,1,MATCH(COLUMNS($AO$1006:AU1006),$AO$1006:$BQ$1006,0))&gt;=100000), " ",IF(INDEX($AO$2:$BQ$1001,MATCH(ROWS($AH$2:AH159),$AH$2:$AH$1001,0),MATCH(COLUMNS($AO$1006:AU1006),$AO$1006:$BQ$1006,0)), HYPERLINK("#",""), HYPERLINK(CONCATENATE("#Metadata!", ADDRESS(INDEX($AJ$2:$AJ$1001,MATCH(ROWS($AH$2:AH159),$AH$2:$AH$1001,0),0), INDEX($AO$1004:$BQ$1004,1,MATCH(COLUMNS($AO$1006:AU1006),$AO$1006:$BQ$1006,0)))),"Fix")))</f>
        <v>#N/A</v>
      </c>
      <c r="I159" s="5" t="e">
        <f ca="1">IF(OR(INDEX($AI$2:$AI$1001,MATCH(ROWS($AH$2:AH159),$AH$2:$AH$1001,0),1)&gt;=100000,INDEX($AO$1005:$BQ$1005,1,MATCH(COLUMNS($AO$1006:AV1006),$AO$1006:$BQ$1006,0))&gt;=100000), " ",IF(INDEX($AO$2:$BQ$1001,MATCH(ROWS($AH$2:AH159),$AH$2:$AH$1001,0),MATCH(COLUMNS($AO$1006:AV1006),$AO$1006:$BQ$1006,0)), HYPERLINK("#",""), HYPERLINK(CONCATENATE("#Metadata!", ADDRESS(INDEX($AJ$2:$AJ$1001,MATCH(ROWS($AH$2:AH159),$AH$2:$AH$1001,0),0), INDEX($AO$1004:$BQ$1004,1,MATCH(COLUMNS($AO$1006:AV1006),$AO$1006:$BQ$1006,0)))),"Fix")))</f>
        <v>#N/A</v>
      </c>
      <c r="J159" s="5" t="e">
        <f ca="1">IF(OR(INDEX($AI$2:$AI$1001,MATCH(ROWS($AH$2:AH159),$AH$2:$AH$1001,0),1)&gt;=100000,INDEX($AO$1005:$BQ$1005,1,MATCH(COLUMNS($AO$1006:AW1006),$AO$1006:$BQ$1006,0))&gt;=100000), " ",IF(INDEX($AO$2:$BQ$1001,MATCH(ROWS($AH$2:AH159),$AH$2:$AH$1001,0),MATCH(COLUMNS($AO$1006:AW1006),$AO$1006:$BQ$1006,0)), HYPERLINK("#",""), HYPERLINK(CONCATENATE("#Metadata!", ADDRESS(INDEX($AJ$2:$AJ$1001,MATCH(ROWS($AH$2:AH159),$AH$2:$AH$1001,0),0), INDEX($AO$1004:$BQ$1004,1,MATCH(COLUMNS($AO$1006:AW1006),$AO$1006:$BQ$1006,0)))),"Fix")))</f>
        <v>#N/A</v>
      </c>
      <c r="K159" s="5" t="e">
        <f ca="1">IF(OR(INDEX($AI$2:$AI$1001,MATCH(ROWS($AH$2:AH159),$AH$2:$AH$1001,0),1)&gt;=100000,INDEX($AO$1005:$BQ$1005,1,MATCH(COLUMNS($AO$1006:AX1006),$AO$1006:$BQ$1006,0))&gt;=100000), " ",IF(INDEX($AO$2:$BQ$1001,MATCH(ROWS($AH$2:AH159),$AH$2:$AH$1001,0),MATCH(COLUMNS($AO$1006:AX1006),$AO$1006:$BQ$1006,0)), HYPERLINK("#",""), HYPERLINK(CONCATENATE("#Metadata!", ADDRESS(INDEX($AJ$2:$AJ$1001,MATCH(ROWS($AH$2:AH159),$AH$2:$AH$1001,0),0), INDEX($AO$1004:$BQ$1004,1,MATCH(COLUMNS($AO$1006:AX1006),$AO$1006:$BQ$1006,0)))),"Fix")))</f>
        <v>#N/A</v>
      </c>
      <c r="L159" s="5" t="e">
        <f ca="1">IF(OR(INDEX($AI$2:$AI$1001,MATCH(ROWS($AH$2:AH159),$AH$2:$AH$1001,0),1)&gt;=100000,INDEX($AO$1005:$BQ$1005,1,MATCH(COLUMNS($AO$1006:AY1006),$AO$1006:$BQ$1006,0))&gt;=100000), " ",IF(INDEX($AO$2:$BQ$1001,MATCH(ROWS($AH$2:AH159),$AH$2:$AH$1001,0),MATCH(COLUMNS($AO$1006:AY1006),$AO$1006:$BQ$1006,0)), HYPERLINK("#",""), HYPERLINK(CONCATENATE("#Metadata!", ADDRESS(INDEX($AJ$2:$AJ$1001,MATCH(ROWS($AH$2:AH159),$AH$2:$AH$1001,0),0), INDEX($AO$1004:$BQ$1004,1,MATCH(COLUMNS($AO$1006:AY1006),$AO$1006:$BQ$1006,0)))),"Fix")))</f>
        <v>#N/A</v>
      </c>
      <c r="M159" s="5" t="e">
        <f ca="1">IF(OR(INDEX($AI$2:$AI$1001,MATCH(ROWS($AH$2:AH159),$AH$2:$AH$1001,0),1)&gt;=100000,INDEX($AO$1005:$BQ$1005,1,MATCH(COLUMNS($AO$1006:AZ1006),$AO$1006:$BQ$1006,0))&gt;=100000), " ",IF(INDEX($AO$2:$BQ$1001,MATCH(ROWS($AH$2:AH159),$AH$2:$AH$1001,0),MATCH(COLUMNS($AO$1006:AZ1006),$AO$1006:$BQ$1006,0)), HYPERLINK("#",""), HYPERLINK(CONCATENATE("#Metadata!", ADDRESS(INDEX($AJ$2:$AJ$1001,MATCH(ROWS($AH$2:AH159),$AH$2:$AH$1001,0),0), INDEX($AO$1004:$BQ$1004,1,MATCH(COLUMNS($AO$1006:AZ1006),$AO$1006:$BQ$1006,0)))),"Fix")))</f>
        <v>#N/A</v>
      </c>
      <c r="N159" s="5" t="e">
        <f ca="1">IF(OR(INDEX($AI$2:$AI$1001,MATCH(ROWS($AH$2:AH159),$AH$2:$AH$1001,0),1)&gt;=100000,INDEX($AO$1005:$BQ$1005,1,MATCH(COLUMNS($AO$1006:BA1006),$AO$1006:$BQ$1006,0))&gt;=100000), " ",IF(INDEX($AO$2:$BQ$1001,MATCH(ROWS($AH$2:AH159),$AH$2:$AH$1001,0),MATCH(COLUMNS($AO$1006:BA1006),$AO$1006:$BQ$1006,0)), HYPERLINK("#",""), HYPERLINK(CONCATENATE("#Metadata!", ADDRESS(INDEX($AJ$2:$AJ$1001,MATCH(ROWS($AH$2:AH159),$AH$2:$AH$1001,0),0), INDEX($AO$1004:$BQ$1004,1,MATCH(COLUMNS($AO$1006:BA1006),$AO$1006:$BQ$1006,0)))),"Fix")))</f>
        <v>#N/A</v>
      </c>
      <c r="O159" s="5" t="e">
        <f ca="1">IF(OR(INDEX($AI$2:$AI$1001,MATCH(ROWS($AH$2:AH159),$AH$2:$AH$1001,0),1)&gt;=100000,INDEX($AO$1005:$BQ$1005,1,MATCH(COLUMNS($AO$1006:BB1006),$AO$1006:$BQ$1006,0))&gt;=100000), " ",IF(INDEX($AO$2:$BQ$1001,MATCH(ROWS($AH$2:AH159),$AH$2:$AH$1001,0),MATCH(COLUMNS($AO$1006:BB1006),$AO$1006:$BQ$1006,0)), HYPERLINK("#",""), HYPERLINK(CONCATENATE("#Metadata!", ADDRESS(INDEX($AJ$2:$AJ$1001,MATCH(ROWS($AH$2:AH159),$AH$2:$AH$1001,0),0), INDEX($AO$1004:$BQ$1004,1,MATCH(COLUMNS($AO$1006:BB1006),$AO$1006:$BQ$1006,0)))),"Fix")))</f>
        <v>#N/A</v>
      </c>
      <c r="P159" s="5" t="e">
        <f ca="1">IF(OR(INDEX($AI$2:$AI$1001,MATCH(ROWS($AH$2:AH159),$AH$2:$AH$1001,0),1)&gt;=100000,INDEX($AO$1005:$BQ$1005,1,MATCH(COLUMNS($AO$1006:BC1006),$AO$1006:$BQ$1006,0))&gt;=100000), " ",IF(INDEX($AO$2:$BQ$1001,MATCH(ROWS($AH$2:AH159),$AH$2:$AH$1001,0),MATCH(COLUMNS($AO$1006:BC1006),$AO$1006:$BQ$1006,0)), HYPERLINK("#",""), HYPERLINK(CONCATENATE("#Metadata!", ADDRESS(INDEX($AJ$2:$AJ$1001,MATCH(ROWS($AH$2:AH159),$AH$2:$AH$1001,0),0), INDEX($AO$1004:$BQ$1004,1,MATCH(COLUMNS($AO$1006:BC1006),$AO$1006:$BQ$1006,0)))),"Fix")))</f>
        <v>#N/A</v>
      </c>
      <c r="Q159" s="5" t="e">
        <f ca="1">IF(OR(INDEX($AI$2:$AI$1001,MATCH(ROWS($AH$2:AH159),$AH$2:$AH$1001,0),1)&gt;=100000,INDEX($AO$1005:$BQ$1005,1,MATCH(COLUMNS($AO$1006:BD1006),$AO$1006:$BQ$1006,0))&gt;=100000), " ",IF(INDEX($AO$2:$BQ$1001,MATCH(ROWS($AH$2:AH159),$AH$2:$AH$1001,0),MATCH(COLUMNS($AO$1006:BD1006),$AO$1006:$BQ$1006,0)), HYPERLINK("#",""), HYPERLINK(CONCATENATE("#Metadata!", ADDRESS(INDEX($AJ$2:$AJ$1001,MATCH(ROWS($AH$2:AH159),$AH$2:$AH$1001,0),0), INDEX($AO$1004:$BQ$1004,1,MATCH(COLUMNS($AO$1006:BD1006),$AO$1006:$BQ$1006,0)))),"Fix")))</f>
        <v>#N/A</v>
      </c>
      <c r="R159" s="5" t="e">
        <f ca="1">IF(OR(INDEX($AI$2:$AI$1001,MATCH(ROWS($AH$2:AH159),$AH$2:$AH$1001,0),1)&gt;=100000,INDEX($AO$1005:$BQ$1005,1,MATCH(COLUMNS($AO$1006:BE1006),$AO$1006:$BQ$1006,0))&gt;=100000), " ",IF(INDEX($AO$2:$BQ$1001,MATCH(ROWS($AH$2:AH159),$AH$2:$AH$1001,0),MATCH(COLUMNS($AO$1006:BE1006),$AO$1006:$BQ$1006,0)), HYPERLINK("#",""), HYPERLINK(CONCATENATE("#Metadata!", ADDRESS(INDEX($AJ$2:$AJ$1001,MATCH(ROWS($AH$2:AH159),$AH$2:$AH$1001,0),0), INDEX($AO$1004:$BQ$1004,1,MATCH(COLUMNS($AO$1006:BE1006),$AO$1006:$BQ$1006,0)))),"Fix")))</f>
        <v>#N/A</v>
      </c>
      <c r="S159" s="5" t="e">
        <f ca="1">IF(OR(INDEX($AI$2:$AI$1001,MATCH(ROWS($AH$2:AH159),$AH$2:$AH$1001,0),1)&gt;=100000,INDEX($AO$1005:$BQ$1005,1,MATCH(COLUMNS($AO$1006:BF1006),$AO$1006:$BQ$1006,0))&gt;=100000), " ",IF(INDEX($AO$2:$BQ$1001,MATCH(ROWS($AH$2:AH159),$AH$2:$AH$1001,0),MATCH(COLUMNS($AO$1006:BF1006),$AO$1006:$BQ$1006,0)), HYPERLINK("#",""), HYPERLINK(CONCATENATE("#Metadata!", ADDRESS(INDEX($AJ$2:$AJ$1001,MATCH(ROWS($AH$2:AH159),$AH$2:$AH$1001,0),0), INDEX($AO$1004:$BQ$1004,1,MATCH(COLUMNS($AO$1006:BF1006),$AO$1006:$BQ$1006,0)))),"Fix")))</f>
        <v>#N/A</v>
      </c>
      <c r="T159" s="5" t="e">
        <f ca="1">IF(OR(INDEX($AI$2:$AI$1001,MATCH(ROWS($AH$2:AH159),$AH$2:$AH$1001,0),1)&gt;=100000,INDEX($AO$1005:$BQ$1005,1,MATCH(COLUMNS($AO$1006:BG1006),$AO$1006:$BQ$1006,0))&gt;=100000), " ",IF(INDEX($AO$2:$BQ$1001,MATCH(ROWS($AH$2:AH159),$AH$2:$AH$1001,0),MATCH(COLUMNS($AO$1006:BG1006),$AO$1006:$BQ$1006,0)), HYPERLINK("#",""), HYPERLINK(CONCATENATE("#Metadata!", ADDRESS(INDEX($AJ$2:$AJ$1001,MATCH(ROWS($AH$2:AH159),$AH$2:$AH$1001,0),0), INDEX($AO$1004:$BQ$1004,1,MATCH(COLUMNS($AO$1006:BG1006),$AO$1006:$BQ$1006,0)))),"Fix")))</f>
        <v>#N/A</v>
      </c>
      <c r="U159" s="5" t="e">
        <f ca="1">IF(OR(INDEX($AI$2:$AI$1001,MATCH(ROWS($AH$2:AH159),$AH$2:$AH$1001,0),1)&gt;=100000,INDEX($AO$1005:$BQ$1005,1,MATCH(COLUMNS($AO$1006:BH1006),$AO$1006:$BQ$1006,0))&gt;=100000), " ",IF(INDEX($AO$2:$BQ$1001,MATCH(ROWS($AH$2:AH159),$AH$2:$AH$1001,0),MATCH(COLUMNS($AO$1006:BH1006),$AO$1006:$BQ$1006,0)), HYPERLINK("#",""), HYPERLINK(CONCATENATE("#Metadata!", ADDRESS(INDEX($AJ$2:$AJ$1001,MATCH(ROWS($AH$2:AH159),$AH$2:$AH$1001,0),0), INDEX($AO$1004:$BQ$1004,1,MATCH(COLUMNS($AO$1006:BH1006),$AO$1006:$BQ$1006,0)))),"Fix")))</f>
        <v>#N/A</v>
      </c>
      <c r="V159" s="5" t="e">
        <f ca="1">IF(OR(INDEX($AI$2:$AI$1001,MATCH(ROWS($AH$2:AH159),$AH$2:$AH$1001,0),1)&gt;=100000,INDEX($AO$1005:$BQ$1005,1,MATCH(COLUMNS($AO$1006:BI1006),$AO$1006:$BQ$1006,0))&gt;=100000), " ",IF(INDEX($AO$2:$BQ$1001,MATCH(ROWS($AH$2:AH159),$AH$2:$AH$1001,0),MATCH(COLUMNS($AO$1006:BI1006),$AO$1006:$BQ$1006,0)), HYPERLINK("#",""), HYPERLINK(CONCATENATE("#Metadata!", ADDRESS(INDEX($AJ$2:$AJ$1001,MATCH(ROWS($AH$2:AH159),$AH$2:$AH$1001,0),0), INDEX($AO$1004:$BQ$1004,1,MATCH(COLUMNS($AO$1006:BI1006),$AO$1006:$BQ$1006,0)))),"Fix")))</f>
        <v>#N/A</v>
      </c>
      <c r="W159" s="5" t="e">
        <f ca="1">IF(OR(INDEX($AI$2:$AI$1001,MATCH(ROWS($AH$2:AH159),$AH$2:$AH$1001,0),1)&gt;=100000,INDEX($AO$1005:$BQ$1005,1,MATCH(COLUMNS($AO$1006:BJ1006),$AO$1006:$BQ$1006,0))&gt;=100000), " ",IF(INDEX($AO$2:$BQ$1001,MATCH(ROWS($AH$2:AH159),$AH$2:$AH$1001,0),MATCH(COLUMNS($AO$1006:BJ1006),$AO$1006:$BQ$1006,0)), HYPERLINK("#",""), HYPERLINK(CONCATENATE("#Metadata!", ADDRESS(INDEX($AJ$2:$AJ$1001,MATCH(ROWS($AH$2:AH159),$AH$2:$AH$1001,0),0), INDEX($AO$1004:$BQ$1004,1,MATCH(COLUMNS($AO$1006:BJ1006),$AO$1006:$BQ$1006,0)))),"Fix")))</f>
        <v>#N/A</v>
      </c>
      <c r="X159" s="5" t="e">
        <f ca="1">IF(OR(INDEX($AI$2:$AI$1001,MATCH(ROWS($AH$2:AH159),$AH$2:$AH$1001,0),1)&gt;=100000,INDEX($AO$1005:$BQ$1005,1,MATCH(COLUMNS($AO$1006:BK1006),$AO$1006:$BQ$1006,0))&gt;=100000), " ",IF(INDEX($AO$2:$BQ$1001,MATCH(ROWS($AH$2:AH159),$AH$2:$AH$1001,0),MATCH(COLUMNS($AO$1006:BK1006),$AO$1006:$BQ$1006,0)), HYPERLINK("#",""), HYPERLINK(CONCATENATE("#Metadata!", ADDRESS(INDEX($AJ$2:$AJ$1001,MATCH(ROWS($AH$2:AH159),$AH$2:$AH$1001,0),0), INDEX($AO$1004:$BQ$1004,1,MATCH(COLUMNS($AO$1006:BK1006),$AO$1006:$BQ$1006,0)))),"Fix")))</f>
        <v>#N/A</v>
      </c>
      <c r="Y159" s="5" t="e">
        <f ca="1">IF(OR(INDEX($AI$2:$AI$1001,MATCH(ROWS($AH$2:AH159),$AH$2:$AH$1001,0),1)&gt;=100000,INDEX($AO$1005:$BQ$1005,1,MATCH(COLUMNS($AO$1006:BL1006),$AO$1006:$BQ$1006,0))&gt;=100000), " ",IF(INDEX($AO$2:$BQ$1001,MATCH(ROWS($AH$2:AH159),$AH$2:$AH$1001,0),MATCH(COLUMNS($AO$1006:BL1006),$AO$1006:$BQ$1006,0)), HYPERLINK("#",""), HYPERLINK(CONCATENATE("#Metadata!", ADDRESS(INDEX($AJ$2:$AJ$1001,MATCH(ROWS($AH$2:AH159),$AH$2:$AH$1001,0),0), INDEX($AO$1004:$BQ$1004,1,MATCH(COLUMNS($AO$1006:BL1006),$AO$1006:$BQ$1006,0)))),"Fix")))</f>
        <v>#N/A</v>
      </c>
      <c r="Z159" s="5" t="e">
        <f ca="1">IF(OR(INDEX($AI$2:$AI$1001,MATCH(ROWS($AH$2:AH159),$AH$2:$AH$1001,0),1)&gt;=100000,INDEX($AO$1005:$BQ$1005,1,MATCH(COLUMNS($AO$1006:BM1006),$AO$1006:$BQ$1006,0))&gt;=100000), " ",IF(INDEX($AO$2:$BQ$1001,MATCH(ROWS($AH$2:AH159),$AH$2:$AH$1001,0),MATCH(COLUMNS($AO$1006:BM1006),$AO$1006:$BQ$1006,0)), HYPERLINK("#",""), HYPERLINK(CONCATENATE("#Metadata!", ADDRESS(INDEX($AJ$2:$AJ$1001,MATCH(ROWS($AH$2:AH159),$AH$2:$AH$1001,0),0), INDEX($AO$1004:$BQ$1004,1,MATCH(COLUMNS($AO$1006:BM1006),$AO$1006:$BQ$1006,0)))),"Fix")))</f>
        <v>#N/A</v>
      </c>
      <c r="AA159" s="5" t="e">
        <f ca="1">IF(OR(INDEX($AI$2:$AI$1001,MATCH(ROWS($AH$2:AH159),$AH$2:$AH$1001,0),1)&gt;=100000,INDEX($AO$1005:$BQ$1005,1,MATCH(COLUMNS($AO$1006:BN1006),$AO$1006:$BQ$1006,0))&gt;=100000), " ",IF(INDEX($AO$2:$BQ$1001,MATCH(ROWS($AH$2:AH159),$AH$2:$AH$1001,0),MATCH(COLUMNS($AO$1006:BN1006),$AO$1006:$BQ$1006,0)), HYPERLINK("#",""), HYPERLINK(CONCATENATE("#Metadata!", ADDRESS(INDEX($AJ$2:$AJ$1001,MATCH(ROWS($AH$2:AH159),$AH$2:$AH$1001,0),0), INDEX($AO$1004:$BQ$1004,1,MATCH(COLUMNS($AO$1006:BN1006),$AO$1006:$BQ$1006,0)))),"Fix")))</f>
        <v>#N/A</v>
      </c>
      <c r="AB159" s="5" t="e">
        <f ca="1">IF(OR(INDEX($AI$2:$AI$1001,MATCH(ROWS($AH$2:AH159),$AH$2:$AH$1001,0),1)&gt;=100000,INDEX($AO$1005:$BQ$1005,1,MATCH(COLUMNS($AO$1006:BO1006),$AO$1006:$BQ$1006,0))&gt;=100000), " ",IF(INDEX($AO$2:$BQ$1001,MATCH(ROWS($AH$2:AH159),$AH$2:$AH$1001,0),MATCH(COLUMNS($AO$1006:BO1006),$AO$1006:$BQ$1006,0)), HYPERLINK("#",""), HYPERLINK(CONCATENATE("#Metadata!", ADDRESS(INDEX($AJ$2:$AJ$1001,MATCH(ROWS($AH$2:AH159),$AH$2:$AH$1001,0),0), INDEX($AO$1004:$BQ$1004,1,MATCH(COLUMNS($AO$1006:BO1006),$AO$1006:$BQ$1006,0)))),"Fix")))</f>
        <v>#N/A</v>
      </c>
      <c r="AC159" s="5" t="e">
        <f ca="1">IF(OR(INDEX($AI$2:$AI$1001,MATCH(ROWS($AH$2:AH159),$AH$2:$AH$1001,0),1)&gt;=100000,INDEX($AO$1005:$BQ$1005,1,MATCH(COLUMNS($AO$1006:BP1006),$AO$1006:$BQ$1006,0))&gt;=100000), " ",IF(INDEX($AO$2:$BQ$1001,MATCH(ROWS($AH$2:AH159),$AH$2:$AH$1001,0),MATCH(COLUMNS($AO$1006:BP1006),$AO$1006:$BQ$1006,0)), HYPERLINK("#",""), HYPERLINK(CONCATENATE("#Metadata!", ADDRESS(INDEX($AJ$2:$AJ$1001,MATCH(ROWS($AH$2:AH159),$AH$2:$AH$1001,0),0), INDEX($AO$1004:$BQ$1004,1,MATCH(COLUMNS($AO$1006:BP1006),$AO$1006:$BQ$1006,0)))),"Fix")))</f>
        <v>#N/A</v>
      </c>
      <c r="AD159" s="5" t="e">
        <f ca="1">IF(OR(INDEX($AI$2:$AI$1001,MATCH(ROWS($AH$2:AH159),$AH$2:$AH$1001,0),1)&gt;=100000,INDEX($AO$1005:$BQ$1005,1,MATCH(COLUMNS($AO$1006:BQ1006),$AO$1006:$BQ$1006,0))&gt;=100000), " ",IF(INDEX($AO$2:$BQ$1001,MATCH(ROWS($AH$2:AH159),$AH$2:$AH$1001,0),MATCH(COLUMNS($AO$1006:BQ1006),$AO$1006:$BQ$1006,0)), HYPERLINK("#",""), HYPERLINK(CONCATENATE("#Metadata!", ADDRESS(INDEX($AJ$2:$AJ$1001,MATCH(ROWS($AH$2:AH159),$AH$2:$AH$1001,0),0), INDEX($AO$1004:$BQ$1004,1,MATCH(COLUMNS($AO$1006:BQ1006),$AO$1006:$BQ$1006,0)))),"Fix")))</f>
        <v>#REF!</v>
      </c>
      <c r="AH159">
        <f ca="1"/>
        <v>156</v>
      </c>
      <c r="AI159">
        <v>100159</v>
      </c>
      <c r="AJ159">
        <v>159</v>
      </c>
      <c r="AK159" t="b">
        <f t="shared" si="2"/>
        <v>1</v>
      </c>
      <c r="AL159" t="b">
        <f>COUNTBLANK(Metadata!B159:AD159)=COLUMNS(Metadata!B159:AD159)</f>
        <v>1</v>
      </c>
      <c r="AM159" t="str">
        <v/>
      </c>
      <c r="AO159" t="b">
        <f ca="1">AND(IF(Metadata!B159="",FALSE,TRUE),COUNTIF(Metadata!B:B, Metadata!B159) = 1,NOT(ISERROR(SUMPRODUCT(SEARCH(MID(Metadata!B159,ROW(INDIRECT("1:"&amp;LEN(Metadata!B159))), 1),"0123456789abcdefghijklmnopqrstuvwxyzABCDEFGHIJKLMNOPQRSTUVWXYZ.")))))</f>
        <v>0</v>
      </c>
      <c r="AP159" t="b">
        <f>IF(Metadata!C159="",FALSE,TRUE)</f>
        <v>0</v>
      </c>
      <c r="AQ159" t="b">
        <f>IF(Metadata!D159="",FALSE,TRUE)</f>
        <v>0</v>
      </c>
      <c r="AR159" t="b">
        <f ca="1">OR(AND(IF(Metadata!E159="",FALSE,TRUE),OR(EXACT(Metadata!E159,"not collected"),EXACT(Metadata!E159,"not provided"),EXACT(Metadata!E159,"restricted access"))),AND(IF(Metadata!E159="",FALSE,TRUE),AND(AND(IFERROR(INT(LEFT(Metadata!E159,4))&gt;1900,FALSE),IFERROR(INT(LEFT(Metadata!E159,4))&lt;=YEAR(NOW()),FALSE)), OR(MID(Metadata!E159,5,1)="", AND(AND(MID(Metadata!E159,5,1)="-",IFERROR(INT(MID(Metadata!E159,6,1))&gt;=0,FALSE),IFERROR(INT(MID(Metadata!E159,6,1))&lt;=1,FALSE),NOT(MID(Metadata!E159,7,1)=""),IFERROR(INT(MID(Metadata!E159,6,2))&gt;=1,FALSE),IFERROR(INT(MID(Metadata!E159,6,2))&lt;=12,FALSE)), OR(MID(Metadata!E159,8,1)="", AND(AND(MID(Metadata!E159,8,1)="-",IFERROR(INT(MID(Metadata!E159,9,1))&gt;=0,FALSE),IFERROR(INT(MID(Metadata!E159,9,1))&lt;=3,FALSE),NOT(MID(Metadata!E159,10,1)=""),IFERROR(INT(MID(Metadata!E159,9,2))&gt;=1,FALSE),IFERROR(INT(MID(Metadata!E159,9,2))&lt;=31,FALSE)), OR(MID(Metadata!E159,11,1)="", AND(AND(MID(Metadata!E159,11,1)=" ",IFERROR(INT(MID(Metadata!E159,12,1))&gt;=0,FALSE),IFERROR(INT(MID(Metadata!E159,12,1))&lt;=2,FALSE),NOT(MID(Metadata!E159,13,1)=""),IFERROR(INT(MID(Metadata!E159,12,2))&gt;=0,FALSE),IFERROR(INT(MID(Metadata!E159,12,2))&lt;=23,FALSE)), OR(MID(Metadata!E159,14,1)="", AND(AND(MID(Metadata!E159,14,1)=":",IFERROR(INT(MID(Metadata!E159,15,1))&gt;=0,FALSE),IFERROR(INT(MID(Metadata!E159,15,1))&lt;=5,FALSE),NOT(MID(Metadata!E159,16,1)=""),IFERROR(INT(MID(Metadata!E159,15,2))&gt;=0,FALSE),IFERROR(INT(MID(Metadata!E159,15,2))&lt;=59,FALSE)), OR(MID(Metadata!E159,17,1)="", AND(AND(MID(Metadata!E159,17,1)=":",IFERROR(INT(MID(Metadata!E159,18,1))&gt;=0,FALSE),IFERROR(INT(MID(Metadata!E159,18,1))&lt;=5,FALSE),NOT(MID(Metadata!E159,19,1)=""),IFERROR(INT(MID(Metadata!E159,18,2))&gt;=0,FALSE),IFERROR(INT(MID(Metadata!E159,18,2))&lt;=59,FALSE)), LEN(Metadata!E159)&lt;=19)))))))))))))</f>
        <v>0</v>
      </c>
      <c r="AS159" t="b">
        <f>IF(Metadata!F159="",FALSE,TRUE)</f>
        <v>0</v>
      </c>
      <c r="AT159" t="b">
        <f>OR(AND(IF(Metadata!G159="",FALSE,TRUE),OR(EXACT(Metadata!G159,"not collected"),EXACT(Metadata!G159,"not provided"))),AND(IF(Metadata!G159="",FALSE,TRUE),OR(EXACT(Metadata!G159,"TRUE"),EXACT(Metadata!G159,"FALSE"))))</f>
        <v>0</v>
      </c>
      <c r="AU159" t="b">
        <f>OR(AND(IF(Metadata!H159="",FALSE,TRUE),OR(EXACT(Metadata!H159,"not collected"),EXACT(Metadata!H159,"not provided"),EXACT(Metadata!H159,"restricted access"))),AND(IF(Metadata!H159="",FALSE,ISNUMBER(VALUE(Metadata!H159))),Metadata!H159&gt;=-413))</f>
        <v>0</v>
      </c>
      <c r="AV159" t="b">
        <f>AND(IF(Metadata!I159="",FALSE,TRUE),EXACT(Metadata!I159,"meters"))</f>
        <v>0</v>
      </c>
      <c r="AW159" t="b">
        <f>AND(IF(Metadata!J159="",FALSE,TRUE),EXACT(Metadata!J159,"free-living"))</f>
        <v>0</v>
      </c>
      <c r="AX159" t="b">
        <f>AND(IF(Metadata!K159="",FALSE,TRUE),OR(EXACT(Metadata!K159,"saline"),EXACT(Metadata!K159,"non-saline")))</f>
        <v>0</v>
      </c>
      <c r="AY159" t="b">
        <f>AND(IF(Metadata!L159="",FALSE,TRUE),OR(EXACT(Metadata!L159,"sub-surface (non-saline)"),EXACT(Metadata!L159,"surface (non-saline)"),EXACT(Metadata!L159,"water (non-saline)"),EXACT(Metadata!L159,"soil (non-saline)"),EXACT(Metadata!L159,"aerosol (non-saline)"),EXACT(Metadata!L159,"sediment (non-saline)"),EXACT(Metadata!L159,"surface (saline)"),EXACT(Metadata!L159,"water (saline)"),EXACT(Metadata!L159,"hypersaline (saline)"),EXACT(Metadata!L159,"aerosol (saline)"),EXACT(Metadata!L159,"sediment (saline)")))</f>
        <v>0</v>
      </c>
      <c r="AZ159" t="b">
        <f>IF(Metadata!M159="",FALSE,TRUE)</f>
        <v>0</v>
      </c>
      <c r="BA159" t="b">
        <f>IF(Metadata!N159="",FALSE,TRUE)</f>
        <v>0</v>
      </c>
      <c r="BB159" t="b">
        <f>IF(Metadata!O159="",FALSE,TRUE)</f>
        <v>0</v>
      </c>
      <c r="BC159" t="b">
        <f>AND(IF(Metadata!P159="",FALSE,TRUE),OR(EXACT(Metadata!P159,"air"),EXACT(Metadata!P159,"microbial mat/biofilm"),EXACT(Metadata!P159,"misc environment"),EXACT(Metadata!P159,"sediment"),EXACT(Metadata!P159,"soil"),EXACT(Metadata!P159,"wastewater/sludge"),EXACT(Metadata!P159,"water")))</f>
        <v>0</v>
      </c>
      <c r="BD159" t="b">
        <f>IF(Metadata!Q159="",FALSE,TRUE)</f>
        <v>0</v>
      </c>
      <c r="BE159" t="b">
        <f>IF(Metadata!R159="",FALSE,TRUE)</f>
        <v>0</v>
      </c>
      <c r="BF159" t="b">
        <f>OR(AND(IF(Metadata!S159="",FALSE,TRUE),OR(EXACT(Metadata!S159,"not collected"),EXACT(Metadata!S159,"not provided"),EXACT(Metadata!S159,"restricted access"))),AND(IF(Metadata!S159="",FALSE,ISNUMBER(VALUE(Metadata!S159))),Metadata!S159&gt;=-90,Metadata!S159&lt;=90))</f>
        <v>0</v>
      </c>
      <c r="BG159" t="b">
        <f>AND(IF(Metadata!T159="",FALSE,TRUE),EXACT(Metadata!T159,"Decimal degrees"))</f>
        <v>0</v>
      </c>
      <c r="BH159" t="b">
        <f>OR(AND(IF(Metadata!U159="",FALSE,TRUE),OR(EXACT(Metadata!U159,"not applicable"),EXACT(Metadata!U159,"not collected"))),IF(Metadata!U159="",FALSE,TRUE))</f>
        <v>0</v>
      </c>
      <c r="BI159" t="b">
        <f>OR(AND(IF(Metadata!V159="",FALSE,TRUE),OR(EXACT(Metadata!V159,"not collected"),EXACT(Metadata!V159,"not provided"),EXACT(Metadata!V159,"restricted access"))),AND(IF(Metadata!V159="",FALSE,ISNUMBER(VALUE(Metadata!V159))),Metadata!V159&gt;=-180,Metadata!V159&lt;=180))</f>
        <v>0</v>
      </c>
      <c r="BJ159" t="b">
        <f>AND(IF(Metadata!W159="",FALSE,TRUE),EXACT(Metadata!W159,"Decimal degrees"))</f>
        <v>0</v>
      </c>
      <c r="BK159" t="b">
        <f>IF(Metadata!X159="",FALSE,TRUE)</f>
        <v>0</v>
      </c>
      <c r="BL159" t="b">
        <f>OR(AND(IF(Metadata!Y159="",FALSE,TRUE),OR(EXACT(Metadata!Y159,"not collected"),EXACT(Metadata!Y159,"not provided"),EXACT(Metadata!Y159,"restricted access"))),AND(IF(Metadata!Y159="",FALSE,TRUE),OR(EXACT(Metadata!Y159,"TRUE"),EXACT(Metadata!Y159,"FALSE"))))</f>
        <v>0</v>
      </c>
      <c r="BM159" t="b">
        <f>OR(AND(IF(Metadata!Z159="",FALSE,TRUE),EXACT(Metadata!Z159,"not applicable")),AND(IF(Metadata!Z159="",FALSE,TRUE),OR(EXACT(Metadata!Z159,"beer"),EXACT(Metadata!Z159,"cheese"),EXACT(Metadata!Z159,"fresh water"),EXACT(Metadata!Z159,"marine sediment"),EXACT(Metadata!Z159,"sea water"),EXACT(Metadata!Z159,"sediment"),EXACT(Metadata!Z159,"soil"),EXACT(Metadata!Z159,"waste water"))))</f>
        <v>0</v>
      </c>
      <c r="BN159" t="b">
        <f>AND(IF(Metadata!AA159="",FALSE,TRUE),EXACT(Metadata!AA159,"metagenome"))</f>
        <v>0</v>
      </c>
      <c r="BO159" t="b">
        <f>AND(IF(Metadata!AB159="",FALSE,TRUE),EXACT(Metadata!AB159,"256318"))</f>
        <v>0</v>
      </c>
      <c r="BP159" t="b">
        <f>IF(Metadata!AC159="",FALSE,TRUE)</f>
        <v>0</v>
      </c>
      <c r="BQ159" t="b">
        <f>IF(Metadata!AD159="",FALSE,TRUE)</f>
        <v>0</v>
      </c>
    </row>
    <row r="160" spans="1:69" x14ac:dyDescent="0.2">
      <c r="A160" s="4" t="e">
        <f ca="1">IF(B160=" "," ",HYPERLINK(CONCATENATE("#metadata!",ADDRESS(INDEX($AJ$2:$AJ$1001,MATCH(ROWS($AH$2:AH160),$AH$2:$AH$1001,0),0),2)),INDEX($AM$2:$AM$1001,MATCH(ROWS($AH$2:AH160),$AH$2:$AH$1001,0),0)))</f>
        <v>#N/A</v>
      </c>
      <c r="B160" s="5" t="e">
        <f ca="1">IF(OR(INDEX($AI$2:$AI$1001,MATCH(ROWS($AH$2:AH160),$AH$2:$AH$1001,0),1)&gt;=100000,INDEX($AO$1005:$BQ$1005,1,MATCH(COLUMNS($AO$1006:AO1006),$AO$1006:$BQ$1006,0))&gt;=100000), " ",IF(INDEX($AO$2:$BQ$1001,MATCH(ROWS($AH$2:AH160),$AH$2:$AH$1001,0),MATCH(COLUMNS($AO$1006:AO1006),$AO$1006:$BQ$1006,0)), HYPERLINK("#",""), HYPERLINK(CONCATENATE("#Metadata!", ADDRESS(INDEX($AJ$2:$AJ$1001,MATCH(ROWS($AH$2:AH160),$AH$2:$AH$1001,0),0), INDEX($AO$1004:$BQ$1004,1,MATCH(COLUMNS($AO$1006:AO1006),$AO$1006:$BQ$1006,0)))),"Fix")))</f>
        <v>#N/A</v>
      </c>
      <c r="C160" s="5" t="e">
        <f ca="1">IF(OR(INDEX($AI$2:$AI$1001,MATCH(ROWS($AH$2:AH160),$AH$2:$AH$1001,0),1)&gt;=100000,INDEX($AO$1005:$BQ$1005,1,MATCH(COLUMNS($AO$1006:AP1006),$AO$1006:$BQ$1006,0))&gt;=100000), " ",IF(INDEX($AO$2:$BQ$1001,MATCH(ROWS($AH$2:AH160),$AH$2:$AH$1001,0),MATCH(COLUMNS($AO$1006:AP1006),$AO$1006:$BQ$1006,0)), HYPERLINK("#",""), HYPERLINK(CONCATENATE("#Metadata!", ADDRESS(INDEX($AJ$2:$AJ$1001,MATCH(ROWS($AH$2:AH160),$AH$2:$AH$1001,0),0), INDEX($AO$1004:$BQ$1004,1,MATCH(COLUMNS($AO$1006:AP1006),$AO$1006:$BQ$1006,0)))),"Fix")))</f>
        <v>#N/A</v>
      </c>
      <c r="D160" s="5" t="e">
        <f ca="1">IF(OR(INDEX($AI$2:$AI$1001,MATCH(ROWS($AH$2:AH160),$AH$2:$AH$1001,0),1)&gt;=100000,INDEX($AO$1005:$BQ$1005,1,MATCH(COLUMNS($AO$1006:AQ1006),$AO$1006:$BQ$1006,0))&gt;=100000), " ",IF(INDEX($AO$2:$BQ$1001,MATCH(ROWS($AH$2:AH160),$AH$2:$AH$1001,0),MATCH(COLUMNS($AO$1006:AQ1006),$AO$1006:$BQ$1006,0)), HYPERLINK("#",""), HYPERLINK(CONCATENATE("#Metadata!", ADDRESS(INDEX($AJ$2:$AJ$1001,MATCH(ROWS($AH$2:AH160),$AH$2:$AH$1001,0),0), INDEX($AO$1004:$BQ$1004,1,MATCH(COLUMNS($AO$1006:AQ1006),$AO$1006:$BQ$1006,0)))),"Fix")))</f>
        <v>#N/A</v>
      </c>
      <c r="E160" s="5" t="e">
        <f ca="1">IF(OR(INDEX($AI$2:$AI$1001,MATCH(ROWS($AH$2:AH160),$AH$2:$AH$1001,0),1)&gt;=100000,INDEX($AO$1005:$BQ$1005,1,MATCH(COLUMNS($AO$1006:AR1006),$AO$1006:$BQ$1006,0))&gt;=100000), " ",IF(INDEX($AO$2:$BQ$1001,MATCH(ROWS($AH$2:AH160),$AH$2:$AH$1001,0),MATCH(COLUMNS($AO$1006:AR1006),$AO$1006:$BQ$1006,0)), HYPERLINK("#",""), HYPERLINK(CONCATENATE("#Metadata!", ADDRESS(INDEX($AJ$2:$AJ$1001,MATCH(ROWS($AH$2:AH160),$AH$2:$AH$1001,0),0), INDEX($AO$1004:$BQ$1004,1,MATCH(COLUMNS($AO$1006:AR1006),$AO$1006:$BQ$1006,0)))),"Fix")))</f>
        <v>#N/A</v>
      </c>
      <c r="F160" s="5" t="e">
        <f ca="1">IF(OR(INDEX($AI$2:$AI$1001,MATCH(ROWS($AH$2:AH160),$AH$2:$AH$1001,0),1)&gt;=100000,INDEX($AO$1005:$BQ$1005,1,MATCH(COLUMNS($AO$1006:AS1006),$AO$1006:$BQ$1006,0))&gt;=100000), " ",IF(INDEX($AO$2:$BQ$1001,MATCH(ROWS($AH$2:AH160),$AH$2:$AH$1001,0),MATCH(COLUMNS($AO$1006:AS1006),$AO$1006:$BQ$1006,0)), HYPERLINK("#",""), HYPERLINK(CONCATENATE("#Metadata!", ADDRESS(INDEX($AJ$2:$AJ$1001,MATCH(ROWS($AH$2:AH160),$AH$2:$AH$1001,0),0), INDEX($AO$1004:$BQ$1004,1,MATCH(COLUMNS($AO$1006:AS1006),$AO$1006:$BQ$1006,0)))),"Fix")))</f>
        <v>#N/A</v>
      </c>
      <c r="G160" s="5" t="e">
        <f ca="1">IF(OR(INDEX($AI$2:$AI$1001,MATCH(ROWS($AH$2:AH160),$AH$2:$AH$1001,0),1)&gt;=100000,INDEX($AO$1005:$BQ$1005,1,MATCH(COLUMNS($AO$1006:AT1006),$AO$1006:$BQ$1006,0))&gt;=100000), " ",IF(INDEX($AO$2:$BQ$1001,MATCH(ROWS($AH$2:AH160),$AH$2:$AH$1001,0),MATCH(COLUMNS($AO$1006:AT1006),$AO$1006:$BQ$1006,0)), HYPERLINK("#",""), HYPERLINK(CONCATENATE("#Metadata!", ADDRESS(INDEX($AJ$2:$AJ$1001,MATCH(ROWS($AH$2:AH160),$AH$2:$AH$1001,0),0), INDEX($AO$1004:$BQ$1004,1,MATCH(COLUMNS($AO$1006:AT1006),$AO$1006:$BQ$1006,0)))),"Fix")))</f>
        <v>#N/A</v>
      </c>
      <c r="H160" s="5" t="e">
        <f ca="1">IF(OR(INDEX($AI$2:$AI$1001,MATCH(ROWS($AH$2:AH160),$AH$2:$AH$1001,0),1)&gt;=100000,INDEX($AO$1005:$BQ$1005,1,MATCH(COLUMNS($AO$1006:AU1006),$AO$1006:$BQ$1006,0))&gt;=100000), " ",IF(INDEX($AO$2:$BQ$1001,MATCH(ROWS($AH$2:AH160),$AH$2:$AH$1001,0),MATCH(COLUMNS($AO$1006:AU1006),$AO$1006:$BQ$1006,0)), HYPERLINK("#",""), HYPERLINK(CONCATENATE("#Metadata!", ADDRESS(INDEX($AJ$2:$AJ$1001,MATCH(ROWS($AH$2:AH160),$AH$2:$AH$1001,0),0), INDEX($AO$1004:$BQ$1004,1,MATCH(COLUMNS($AO$1006:AU1006),$AO$1006:$BQ$1006,0)))),"Fix")))</f>
        <v>#N/A</v>
      </c>
      <c r="I160" s="5" t="e">
        <f ca="1">IF(OR(INDEX($AI$2:$AI$1001,MATCH(ROWS($AH$2:AH160),$AH$2:$AH$1001,0),1)&gt;=100000,INDEX($AO$1005:$BQ$1005,1,MATCH(COLUMNS($AO$1006:AV1006),$AO$1006:$BQ$1006,0))&gt;=100000), " ",IF(INDEX($AO$2:$BQ$1001,MATCH(ROWS($AH$2:AH160),$AH$2:$AH$1001,0),MATCH(COLUMNS($AO$1006:AV1006),$AO$1006:$BQ$1006,0)), HYPERLINK("#",""), HYPERLINK(CONCATENATE("#Metadata!", ADDRESS(INDEX($AJ$2:$AJ$1001,MATCH(ROWS($AH$2:AH160),$AH$2:$AH$1001,0),0), INDEX($AO$1004:$BQ$1004,1,MATCH(COLUMNS($AO$1006:AV1006),$AO$1006:$BQ$1006,0)))),"Fix")))</f>
        <v>#N/A</v>
      </c>
      <c r="J160" s="5" t="e">
        <f ca="1">IF(OR(INDEX($AI$2:$AI$1001,MATCH(ROWS($AH$2:AH160),$AH$2:$AH$1001,0),1)&gt;=100000,INDEX($AO$1005:$BQ$1005,1,MATCH(COLUMNS($AO$1006:AW1006),$AO$1006:$BQ$1006,0))&gt;=100000), " ",IF(INDEX($AO$2:$BQ$1001,MATCH(ROWS($AH$2:AH160),$AH$2:$AH$1001,0),MATCH(COLUMNS($AO$1006:AW1006),$AO$1006:$BQ$1006,0)), HYPERLINK("#",""), HYPERLINK(CONCATENATE("#Metadata!", ADDRESS(INDEX($AJ$2:$AJ$1001,MATCH(ROWS($AH$2:AH160),$AH$2:$AH$1001,0),0), INDEX($AO$1004:$BQ$1004,1,MATCH(COLUMNS($AO$1006:AW1006),$AO$1006:$BQ$1006,0)))),"Fix")))</f>
        <v>#N/A</v>
      </c>
      <c r="K160" s="5" t="e">
        <f ca="1">IF(OR(INDEX($AI$2:$AI$1001,MATCH(ROWS($AH$2:AH160),$AH$2:$AH$1001,0),1)&gt;=100000,INDEX($AO$1005:$BQ$1005,1,MATCH(COLUMNS($AO$1006:AX1006),$AO$1006:$BQ$1006,0))&gt;=100000), " ",IF(INDEX($AO$2:$BQ$1001,MATCH(ROWS($AH$2:AH160),$AH$2:$AH$1001,0),MATCH(COLUMNS($AO$1006:AX1006),$AO$1006:$BQ$1006,0)), HYPERLINK("#",""), HYPERLINK(CONCATENATE("#Metadata!", ADDRESS(INDEX($AJ$2:$AJ$1001,MATCH(ROWS($AH$2:AH160),$AH$2:$AH$1001,0),0), INDEX($AO$1004:$BQ$1004,1,MATCH(COLUMNS($AO$1006:AX1006),$AO$1006:$BQ$1006,0)))),"Fix")))</f>
        <v>#N/A</v>
      </c>
      <c r="L160" s="5" t="e">
        <f ca="1">IF(OR(INDEX($AI$2:$AI$1001,MATCH(ROWS($AH$2:AH160),$AH$2:$AH$1001,0),1)&gt;=100000,INDEX($AO$1005:$BQ$1005,1,MATCH(COLUMNS($AO$1006:AY1006),$AO$1006:$BQ$1006,0))&gt;=100000), " ",IF(INDEX($AO$2:$BQ$1001,MATCH(ROWS($AH$2:AH160),$AH$2:$AH$1001,0),MATCH(COLUMNS($AO$1006:AY1006),$AO$1006:$BQ$1006,0)), HYPERLINK("#",""), HYPERLINK(CONCATENATE("#Metadata!", ADDRESS(INDEX($AJ$2:$AJ$1001,MATCH(ROWS($AH$2:AH160),$AH$2:$AH$1001,0),0), INDEX($AO$1004:$BQ$1004,1,MATCH(COLUMNS($AO$1006:AY1006),$AO$1006:$BQ$1006,0)))),"Fix")))</f>
        <v>#N/A</v>
      </c>
      <c r="M160" s="5" t="e">
        <f ca="1">IF(OR(INDEX($AI$2:$AI$1001,MATCH(ROWS($AH$2:AH160),$AH$2:$AH$1001,0),1)&gt;=100000,INDEX($AO$1005:$BQ$1005,1,MATCH(COLUMNS($AO$1006:AZ1006),$AO$1006:$BQ$1006,0))&gt;=100000), " ",IF(INDEX($AO$2:$BQ$1001,MATCH(ROWS($AH$2:AH160),$AH$2:$AH$1001,0),MATCH(COLUMNS($AO$1006:AZ1006),$AO$1006:$BQ$1006,0)), HYPERLINK("#",""), HYPERLINK(CONCATENATE("#Metadata!", ADDRESS(INDEX($AJ$2:$AJ$1001,MATCH(ROWS($AH$2:AH160),$AH$2:$AH$1001,0),0), INDEX($AO$1004:$BQ$1004,1,MATCH(COLUMNS($AO$1006:AZ1006),$AO$1006:$BQ$1006,0)))),"Fix")))</f>
        <v>#N/A</v>
      </c>
      <c r="N160" s="5" t="e">
        <f ca="1">IF(OR(INDEX($AI$2:$AI$1001,MATCH(ROWS($AH$2:AH160),$AH$2:$AH$1001,0),1)&gt;=100000,INDEX($AO$1005:$BQ$1005,1,MATCH(COLUMNS($AO$1006:BA1006),$AO$1006:$BQ$1006,0))&gt;=100000), " ",IF(INDEX($AO$2:$BQ$1001,MATCH(ROWS($AH$2:AH160),$AH$2:$AH$1001,0),MATCH(COLUMNS($AO$1006:BA1006),$AO$1006:$BQ$1006,0)), HYPERLINK("#",""), HYPERLINK(CONCATENATE("#Metadata!", ADDRESS(INDEX($AJ$2:$AJ$1001,MATCH(ROWS($AH$2:AH160),$AH$2:$AH$1001,0),0), INDEX($AO$1004:$BQ$1004,1,MATCH(COLUMNS($AO$1006:BA1006),$AO$1006:$BQ$1006,0)))),"Fix")))</f>
        <v>#N/A</v>
      </c>
      <c r="O160" s="5" t="e">
        <f ca="1">IF(OR(INDEX($AI$2:$AI$1001,MATCH(ROWS($AH$2:AH160),$AH$2:$AH$1001,0),1)&gt;=100000,INDEX($AO$1005:$BQ$1005,1,MATCH(COLUMNS($AO$1006:BB1006),$AO$1006:$BQ$1006,0))&gt;=100000), " ",IF(INDEX($AO$2:$BQ$1001,MATCH(ROWS($AH$2:AH160),$AH$2:$AH$1001,0),MATCH(COLUMNS($AO$1006:BB1006),$AO$1006:$BQ$1006,0)), HYPERLINK("#",""), HYPERLINK(CONCATENATE("#Metadata!", ADDRESS(INDEX($AJ$2:$AJ$1001,MATCH(ROWS($AH$2:AH160),$AH$2:$AH$1001,0),0), INDEX($AO$1004:$BQ$1004,1,MATCH(COLUMNS($AO$1006:BB1006),$AO$1006:$BQ$1006,0)))),"Fix")))</f>
        <v>#N/A</v>
      </c>
      <c r="P160" s="5" t="e">
        <f ca="1">IF(OR(INDEX($AI$2:$AI$1001,MATCH(ROWS($AH$2:AH160),$AH$2:$AH$1001,0),1)&gt;=100000,INDEX($AO$1005:$BQ$1005,1,MATCH(COLUMNS($AO$1006:BC1006),$AO$1006:$BQ$1006,0))&gt;=100000), " ",IF(INDEX($AO$2:$BQ$1001,MATCH(ROWS($AH$2:AH160),$AH$2:$AH$1001,0),MATCH(COLUMNS($AO$1006:BC1006),$AO$1006:$BQ$1006,0)), HYPERLINK("#",""), HYPERLINK(CONCATENATE("#Metadata!", ADDRESS(INDEX($AJ$2:$AJ$1001,MATCH(ROWS($AH$2:AH160),$AH$2:$AH$1001,0),0), INDEX($AO$1004:$BQ$1004,1,MATCH(COLUMNS($AO$1006:BC1006),$AO$1006:$BQ$1006,0)))),"Fix")))</f>
        <v>#N/A</v>
      </c>
      <c r="Q160" s="5" t="e">
        <f ca="1">IF(OR(INDEX($AI$2:$AI$1001,MATCH(ROWS($AH$2:AH160),$AH$2:$AH$1001,0),1)&gt;=100000,INDEX($AO$1005:$BQ$1005,1,MATCH(COLUMNS($AO$1006:BD1006),$AO$1006:$BQ$1006,0))&gt;=100000), " ",IF(INDEX($AO$2:$BQ$1001,MATCH(ROWS($AH$2:AH160),$AH$2:$AH$1001,0),MATCH(COLUMNS($AO$1006:BD1006),$AO$1006:$BQ$1006,0)), HYPERLINK("#",""), HYPERLINK(CONCATENATE("#Metadata!", ADDRESS(INDEX($AJ$2:$AJ$1001,MATCH(ROWS($AH$2:AH160),$AH$2:$AH$1001,0),0), INDEX($AO$1004:$BQ$1004,1,MATCH(COLUMNS($AO$1006:BD1006),$AO$1006:$BQ$1006,0)))),"Fix")))</f>
        <v>#N/A</v>
      </c>
      <c r="R160" s="5" t="e">
        <f ca="1">IF(OR(INDEX($AI$2:$AI$1001,MATCH(ROWS($AH$2:AH160),$AH$2:$AH$1001,0),1)&gt;=100000,INDEX($AO$1005:$BQ$1005,1,MATCH(COLUMNS($AO$1006:BE1006),$AO$1006:$BQ$1006,0))&gt;=100000), " ",IF(INDEX($AO$2:$BQ$1001,MATCH(ROWS($AH$2:AH160),$AH$2:$AH$1001,0),MATCH(COLUMNS($AO$1006:BE1006),$AO$1006:$BQ$1006,0)), HYPERLINK("#",""), HYPERLINK(CONCATENATE("#Metadata!", ADDRESS(INDEX($AJ$2:$AJ$1001,MATCH(ROWS($AH$2:AH160),$AH$2:$AH$1001,0),0), INDEX($AO$1004:$BQ$1004,1,MATCH(COLUMNS($AO$1006:BE1006),$AO$1006:$BQ$1006,0)))),"Fix")))</f>
        <v>#N/A</v>
      </c>
      <c r="S160" s="5" t="e">
        <f ca="1">IF(OR(INDEX($AI$2:$AI$1001,MATCH(ROWS($AH$2:AH160),$AH$2:$AH$1001,0),1)&gt;=100000,INDEX($AO$1005:$BQ$1005,1,MATCH(COLUMNS($AO$1006:BF1006),$AO$1006:$BQ$1006,0))&gt;=100000), " ",IF(INDEX($AO$2:$BQ$1001,MATCH(ROWS($AH$2:AH160),$AH$2:$AH$1001,0),MATCH(COLUMNS($AO$1006:BF1006),$AO$1006:$BQ$1006,0)), HYPERLINK("#",""), HYPERLINK(CONCATENATE("#Metadata!", ADDRESS(INDEX($AJ$2:$AJ$1001,MATCH(ROWS($AH$2:AH160),$AH$2:$AH$1001,0),0), INDEX($AO$1004:$BQ$1004,1,MATCH(COLUMNS($AO$1006:BF1006),$AO$1006:$BQ$1006,0)))),"Fix")))</f>
        <v>#N/A</v>
      </c>
      <c r="T160" s="5" t="e">
        <f ca="1">IF(OR(INDEX($AI$2:$AI$1001,MATCH(ROWS($AH$2:AH160),$AH$2:$AH$1001,0),1)&gt;=100000,INDEX($AO$1005:$BQ$1005,1,MATCH(COLUMNS($AO$1006:BG1006),$AO$1006:$BQ$1006,0))&gt;=100000), " ",IF(INDEX($AO$2:$BQ$1001,MATCH(ROWS($AH$2:AH160),$AH$2:$AH$1001,0),MATCH(COLUMNS($AO$1006:BG1006),$AO$1006:$BQ$1006,0)), HYPERLINK("#",""), HYPERLINK(CONCATENATE("#Metadata!", ADDRESS(INDEX($AJ$2:$AJ$1001,MATCH(ROWS($AH$2:AH160),$AH$2:$AH$1001,0),0), INDEX($AO$1004:$BQ$1004,1,MATCH(COLUMNS($AO$1006:BG1006),$AO$1006:$BQ$1006,0)))),"Fix")))</f>
        <v>#N/A</v>
      </c>
      <c r="U160" s="5" t="e">
        <f ca="1">IF(OR(INDEX($AI$2:$AI$1001,MATCH(ROWS($AH$2:AH160),$AH$2:$AH$1001,0),1)&gt;=100000,INDEX($AO$1005:$BQ$1005,1,MATCH(COLUMNS($AO$1006:BH1006),$AO$1006:$BQ$1006,0))&gt;=100000), " ",IF(INDEX($AO$2:$BQ$1001,MATCH(ROWS($AH$2:AH160),$AH$2:$AH$1001,0),MATCH(COLUMNS($AO$1006:BH1006),$AO$1006:$BQ$1006,0)), HYPERLINK("#",""), HYPERLINK(CONCATENATE("#Metadata!", ADDRESS(INDEX($AJ$2:$AJ$1001,MATCH(ROWS($AH$2:AH160),$AH$2:$AH$1001,0),0), INDEX($AO$1004:$BQ$1004,1,MATCH(COLUMNS($AO$1006:BH1006),$AO$1006:$BQ$1006,0)))),"Fix")))</f>
        <v>#N/A</v>
      </c>
      <c r="V160" s="5" t="e">
        <f ca="1">IF(OR(INDEX($AI$2:$AI$1001,MATCH(ROWS($AH$2:AH160),$AH$2:$AH$1001,0),1)&gt;=100000,INDEX($AO$1005:$BQ$1005,1,MATCH(COLUMNS($AO$1006:BI1006),$AO$1006:$BQ$1006,0))&gt;=100000), " ",IF(INDEX($AO$2:$BQ$1001,MATCH(ROWS($AH$2:AH160),$AH$2:$AH$1001,0),MATCH(COLUMNS($AO$1006:BI1006),$AO$1006:$BQ$1006,0)), HYPERLINK("#",""), HYPERLINK(CONCATENATE("#Metadata!", ADDRESS(INDEX($AJ$2:$AJ$1001,MATCH(ROWS($AH$2:AH160),$AH$2:$AH$1001,0),0), INDEX($AO$1004:$BQ$1004,1,MATCH(COLUMNS($AO$1006:BI1006),$AO$1006:$BQ$1006,0)))),"Fix")))</f>
        <v>#N/A</v>
      </c>
      <c r="W160" s="5" t="e">
        <f ca="1">IF(OR(INDEX($AI$2:$AI$1001,MATCH(ROWS($AH$2:AH160),$AH$2:$AH$1001,0),1)&gt;=100000,INDEX($AO$1005:$BQ$1005,1,MATCH(COLUMNS($AO$1006:BJ1006),$AO$1006:$BQ$1006,0))&gt;=100000), " ",IF(INDEX($AO$2:$BQ$1001,MATCH(ROWS($AH$2:AH160),$AH$2:$AH$1001,0),MATCH(COLUMNS($AO$1006:BJ1006),$AO$1006:$BQ$1006,0)), HYPERLINK("#",""), HYPERLINK(CONCATENATE("#Metadata!", ADDRESS(INDEX($AJ$2:$AJ$1001,MATCH(ROWS($AH$2:AH160),$AH$2:$AH$1001,0),0), INDEX($AO$1004:$BQ$1004,1,MATCH(COLUMNS($AO$1006:BJ1006),$AO$1006:$BQ$1006,0)))),"Fix")))</f>
        <v>#N/A</v>
      </c>
      <c r="X160" s="5" t="e">
        <f ca="1">IF(OR(INDEX($AI$2:$AI$1001,MATCH(ROWS($AH$2:AH160),$AH$2:$AH$1001,0),1)&gt;=100000,INDEX($AO$1005:$BQ$1005,1,MATCH(COLUMNS($AO$1006:BK1006),$AO$1006:$BQ$1006,0))&gt;=100000), " ",IF(INDEX($AO$2:$BQ$1001,MATCH(ROWS($AH$2:AH160),$AH$2:$AH$1001,0),MATCH(COLUMNS($AO$1006:BK1006),$AO$1006:$BQ$1006,0)), HYPERLINK("#",""), HYPERLINK(CONCATENATE("#Metadata!", ADDRESS(INDEX($AJ$2:$AJ$1001,MATCH(ROWS($AH$2:AH160),$AH$2:$AH$1001,0),0), INDEX($AO$1004:$BQ$1004,1,MATCH(COLUMNS($AO$1006:BK1006),$AO$1006:$BQ$1006,0)))),"Fix")))</f>
        <v>#N/A</v>
      </c>
      <c r="Y160" s="5" t="e">
        <f ca="1">IF(OR(INDEX($AI$2:$AI$1001,MATCH(ROWS($AH$2:AH160),$AH$2:$AH$1001,0),1)&gt;=100000,INDEX($AO$1005:$BQ$1005,1,MATCH(COLUMNS($AO$1006:BL1006),$AO$1006:$BQ$1006,0))&gt;=100000), " ",IF(INDEX($AO$2:$BQ$1001,MATCH(ROWS($AH$2:AH160),$AH$2:$AH$1001,0),MATCH(COLUMNS($AO$1006:BL1006),$AO$1006:$BQ$1006,0)), HYPERLINK("#",""), HYPERLINK(CONCATENATE("#Metadata!", ADDRESS(INDEX($AJ$2:$AJ$1001,MATCH(ROWS($AH$2:AH160),$AH$2:$AH$1001,0),0), INDEX($AO$1004:$BQ$1004,1,MATCH(COLUMNS($AO$1006:BL1006),$AO$1006:$BQ$1006,0)))),"Fix")))</f>
        <v>#N/A</v>
      </c>
      <c r="Z160" s="5" t="e">
        <f ca="1">IF(OR(INDEX($AI$2:$AI$1001,MATCH(ROWS($AH$2:AH160),$AH$2:$AH$1001,0),1)&gt;=100000,INDEX($AO$1005:$BQ$1005,1,MATCH(COLUMNS($AO$1006:BM1006),$AO$1006:$BQ$1006,0))&gt;=100000), " ",IF(INDEX($AO$2:$BQ$1001,MATCH(ROWS($AH$2:AH160),$AH$2:$AH$1001,0),MATCH(COLUMNS($AO$1006:BM1006),$AO$1006:$BQ$1006,0)), HYPERLINK("#",""), HYPERLINK(CONCATENATE("#Metadata!", ADDRESS(INDEX($AJ$2:$AJ$1001,MATCH(ROWS($AH$2:AH160),$AH$2:$AH$1001,0),0), INDEX($AO$1004:$BQ$1004,1,MATCH(COLUMNS($AO$1006:BM1006),$AO$1006:$BQ$1006,0)))),"Fix")))</f>
        <v>#N/A</v>
      </c>
      <c r="AA160" s="5" t="e">
        <f ca="1">IF(OR(INDEX($AI$2:$AI$1001,MATCH(ROWS($AH$2:AH160),$AH$2:$AH$1001,0),1)&gt;=100000,INDEX($AO$1005:$BQ$1005,1,MATCH(COLUMNS($AO$1006:BN1006),$AO$1006:$BQ$1006,0))&gt;=100000), " ",IF(INDEX($AO$2:$BQ$1001,MATCH(ROWS($AH$2:AH160),$AH$2:$AH$1001,0),MATCH(COLUMNS($AO$1006:BN1006),$AO$1006:$BQ$1006,0)), HYPERLINK("#",""), HYPERLINK(CONCATENATE("#Metadata!", ADDRESS(INDEX($AJ$2:$AJ$1001,MATCH(ROWS($AH$2:AH160),$AH$2:$AH$1001,0),0), INDEX($AO$1004:$BQ$1004,1,MATCH(COLUMNS($AO$1006:BN1006),$AO$1006:$BQ$1006,0)))),"Fix")))</f>
        <v>#N/A</v>
      </c>
      <c r="AB160" s="5" t="e">
        <f ca="1">IF(OR(INDEX($AI$2:$AI$1001,MATCH(ROWS($AH$2:AH160),$AH$2:$AH$1001,0),1)&gt;=100000,INDEX($AO$1005:$BQ$1005,1,MATCH(COLUMNS($AO$1006:BO1006),$AO$1006:$BQ$1006,0))&gt;=100000), " ",IF(INDEX($AO$2:$BQ$1001,MATCH(ROWS($AH$2:AH160),$AH$2:$AH$1001,0),MATCH(COLUMNS($AO$1006:BO1006),$AO$1006:$BQ$1006,0)), HYPERLINK("#",""), HYPERLINK(CONCATENATE("#Metadata!", ADDRESS(INDEX($AJ$2:$AJ$1001,MATCH(ROWS($AH$2:AH160),$AH$2:$AH$1001,0),0), INDEX($AO$1004:$BQ$1004,1,MATCH(COLUMNS($AO$1006:BO1006),$AO$1006:$BQ$1006,0)))),"Fix")))</f>
        <v>#N/A</v>
      </c>
      <c r="AC160" s="5" t="e">
        <f ca="1">IF(OR(INDEX($AI$2:$AI$1001,MATCH(ROWS($AH$2:AH160),$AH$2:$AH$1001,0),1)&gt;=100000,INDEX($AO$1005:$BQ$1005,1,MATCH(COLUMNS($AO$1006:BP1006),$AO$1006:$BQ$1006,0))&gt;=100000), " ",IF(INDEX($AO$2:$BQ$1001,MATCH(ROWS($AH$2:AH160),$AH$2:$AH$1001,0),MATCH(COLUMNS($AO$1006:BP1006),$AO$1006:$BQ$1006,0)), HYPERLINK("#",""), HYPERLINK(CONCATENATE("#Metadata!", ADDRESS(INDEX($AJ$2:$AJ$1001,MATCH(ROWS($AH$2:AH160),$AH$2:$AH$1001,0),0), INDEX($AO$1004:$BQ$1004,1,MATCH(COLUMNS($AO$1006:BP1006),$AO$1006:$BQ$1006,0)))),"Fix")))</f>
        <v>#N/A</v>
      </c>
      <c r="AD160" s="5" t="e">
        <f ca="1">IF(OR(INDEX($AI$2:$AI$1001,MATCH(ROWS($AH$2:AH160),$AH$2:$AH$1001,0),1)&gt;=100000,INDEX($AO$1005:$BQ$1005,1,MATCH(COLUMNS($AO$1006:BQ1006),$AO$1006:$BQ$1006,0))&gt;=100000), " ",IF(INDEX($AO$2:$BQ$1001,MATCH(ROWS($AH$2:AH160),$AH$2:$AH$1001,0),MATCH(COLUMNS($AO$1006:BQ1006),$AO$1006:$BQ$1006,0)), HYPERLINK("#",""), HYPERLINK(CONCATENATE("#Metadata!", ADDRESS(INDEX($AJ$2:$AJ$1001,MATCH(ROWS($AH$2:AH160),$AH$2:$AH$1001,0),0), INDEX($AO$1004:$BQ$1004,1,MATCH(COLUMNS($AO$1006:BQ1006),$AO$1006:$BQ$1006,0)))),"Fix")))</f>
        <v>#REF!</v>
      </c>
      <c r="AH160">
        <f ca="1"/>
        <v>157</v>
      </c>
      <c r="AI160">
        <v>100160</v>
      </c>
      <c r="AJ160">
        <v>160</v>
      </c>
      <c r="AK160" t="b">
        <f t="shared" si="2"/>
        <v>1</v>
      </c>
      <c r="AL160" t="b">
        <f>COUNTBLANK(Metadata!B160:AD160)=COLUMNS(Metadata!B160:AD160)</f>
        <v>1</v>
      </c>
      <c r="AM160" t="str">
        <v/>
      </c>
      <c r="AO160" t="b">
        <f ca="1">AND(IF(Metadata!B160="",FALSE,TRUE),COUNTIF(Metadata!B:B, Metadata!B160) = 1,NOT(ISERROR(SUMPRODUCT(SEARCH(MID(Metadata!B160,ROW(INDIRECT("1:"&amp;LEN(Metadata!B160))), 1),"0123456789abcdefghijklmnopqrstuvwxyzABCDEFGHIJKLMNOPQRSTUVWXYZ.")))))</f>
        <v>0</v>
      </c>
      <c r="AP160" t="b">
        <f>IF(Metadata!C160="",FALSE,TRUE)</f>
        <v>0</v>
      </c>
      <c r="AQ160" t="b">
        <f>IF(Metadata!D160="",FALSE,TRUE)</f>
        <v>0</v>
      </c>
      <c r="AR160" t="b">
        <f ca="1">OR(AND(IF(Metadata!E160="",FALSE,TRUE),OR(EXACT(Metadata!E160,"not collected"),EXACT(Metadata!E160,"not provided"),EXACT(Metadata!E160,"restricted access"))),AND(IF(Metadata!E160="",FALSE,TRUE),AND(AND(IFERROR(INT(LEFT(Metadata!E160,4))&gt;1900,FALSE),IFERROR(INT(LEFT(Metadata!E160,4))&lt;=YEAR(NOW()),FALSE)), OR(MID(Metadata!E160,5,1)="", AND(AND(MID(Metadata!E160,5,1)="-",IFERROR(INT(MID(Metadata!E160,6,1))&gt;=0,FALSE),IFERROR(INT(MID(Metadata!E160,6,1))&lt;=1,FALSE),NOT(MID(Metadata!E160,7,1)=""),IFERROR(INT(MID(Metadata!E160,6,2))&gt;=1,FALSE),IFERROR(INT(MID(Metadata!E160,6,2))&lt;=12,FALSE)), OR(MID(Metadata!E160,8,1)="", AND(AND(MID(Metadata!E160,8,1)="-",IFERROR(INT(MID(Metadata!E160,9,1))&gt;=0,FALSE),IFERROR(INT(MID(Metadata!E160,9,1))&lt;=3,FALSE),NOT(MID(Metadata!E160,10,1)=""),IFERROR(INT(MID(Metadata!E160,9,2))&gt;=1,FALSE),IFERROR(INT(MID(Metadata!E160,9,2))&lt;=31,FALSE)), OR(MID(Metadata!E160,11,1)="", AND(AND(MID(Metadata!E160,11,1)=" ",IFERROR(INT(MID(Metadata!E160,12,1))&gt;=0,FALSE),IFERROR(INT(MID(Metadata!E160,12,1))&lt;=2,FALSE),NOT(MID(Metadata!E160,13,1)=""),IFERROR(INT(MID(Metadata!E160,12,2))&gt;=0,FALSE),IFERROR(INT(MID(Metadata!E160,12,2))&lt;=23,FALSE)), OR(MID(Metadata!E160,14,1)="", AND(AND(MID(Metadata!E160,14,1)=":",IFERROR(INT(MID(Metadata!E160,15,1))&gt;=0,FALSE),IFERROR(INT(MID(Metadata!E160,15,1))&lt;=5,FALSE),NOT(MID(Metadata!E160,16,1)=""),IFERROR(INT(MID(Metadata!E160,15,2))&gt;=0,FALSE),IFERROR(INT(MID(Metadata!E160,15,2))&lt;=59,FALSE)), OR(MID(Metadata!E160,17,1)="", AND(AND(MID(Metadata!E160,17,1)=":",IFERROR(INT(MID(Metadata!E160,18,1))&gt;=0,FALSE),IFERROR(INT(MID(Metadata!E160,18,1))&lt;=5,FALSE),NOT(MID(Metadata!E160,19,1)=""),IFERROR(INT(MID(Metadata!E160,18,2))&gt;=0,FALSE),IFERROR(INT(MID(Metadata!E160,18,2))&lt;=59,FALSE)), LEN(Metadata!E160)&lt;=19)))))))))))))</f>
        <v>0</v>
      </c>
      <c r="AS160" t="b">
        <f>IF(Metadata!F160="",FALSE,TRUE)</f>
        <v>0</v>
      </c>
      <c r="AT160" t="b">
        <f>OR(AND(IF(Metadata!G160="",FALSE,TRUE),OR(EXACT(Metadata!G160,"not collected"),EXACT(Metadata!G160,"not provided"))),AND(IF(Metadata!G160="",FALSE,TRUE),OR(EXACT(Metadata!G160,"TRUE"),EXACT(Metadata!G160,"FALSE"))))</f>
        <v>0</v>
      </c>
      <c r="AU160" t="b">
        <f>OR(AND(IF(Metadata!H160="",FALSE,TRUE),OR(EXACT(Metadata!H160,"not collected"),EXACT(Metadata!H160,"not provided"),EXACT(Metadata!H160,"restricted access"))),AND(IF(Metadata!H160="",FALSE,ISNUMBER(VALUE(Metadata!H160))),Metadata!H160&gt;=-413))</f>
        <v>0</v>
      </c>
      <c r="AV160" t="b">
        <f>AND(IF(Metadata!I160="",FALSE,TRUE),EXACT(Metadata!I160,"meters"))</f>
        <v>0</v>
      </c>
      <c r="AW160" t="b">
        <f>AND(IF(Metadata!J160="",FALSE,TRUE),EXACT(Metadata!J160,"free-living"))</f>
        <v>0</v>
      </c>
      <c r="AX160" t="b">
        <f>AND(IF(Metadata!K160="",FALSE,TRUE),OR(EXACT(Metadata!K160,"saline"),EXACT(Metadata!K160,"non-saline")))</f>
        <v>0</v>
      </c>
      <c r="AY160" t="b">
        <f>AND(IF(Metadata!L160="",FALSE,TRUE),OR(EXACT(Metadata!L160,"sub-surface (non-saline)"),EXACT(Metadata!L160,"surface (non-saline)"),EXACT(Metadata!L160,"water (non-saline)"),EXACT(Metadata!L160,"soil (non-saline)"),EXACT(Metadata!L160,"aerosol (non-saline)"),EXACT(Metadata!L160,"sediment (non-saline)"),EXACT(Metadata!L160,"surface (saline)"),EXACT(Metadata!L160,"water (saline)"),EXACT(Metadata!L160,"hypersaline (saline)"),EXACT(Metadata!L160,"aerosol (saline)"),EXACT(Metadata!L160,"sediment (saline)")))</f>
        <v>0</v>
      </c>
      <c r="AZ160" t="b">
        <f>IF(Metadata!M160="",FALSE,TRUE)</f>
        <v>0</v>
      </c>
      <c r="BA160" t="b">
        <f>IF(Metadata!N160="",FALSE,TRUE)</f>
        <v>0</v>
      </c>
      <c r="BB160" t="b">
        <f>IF(Metadata!O160="",FALSE,TRUE)</f>
        <v>0</v>
      </c>
      <c r="BC160" t="b">
        <f>AND(IF(Metadata!P160="",FALSE,TRUE),OR(EXACT(Metadata!P160,"air"),EXACT(Metadata!P160,"microbial mat/biofilm"),EXACT(Metadata!P160,"misc environment"),EXACT(Metadata!P160,"sediment"),EXACT(Metadata!P160,"soil"),EXACT(Metadata!P160,"wastewater/sludge"),EXACT(Metadata!P160,"water")))</f>
        <v>0</v>
      </c>
      <c r="BD160" t="b">
        <f>IF(Metadata!Q160="",FALSE,TRUE)</f>
        <v>0</v>
      </c>
      <c r="BE160" t="b">
        <f>IF(Metadata!R160="",FALSE,TRUE)</f>
        <v>0</v>
      </c>
      <c r="BF160" t="b">
        <f>OR(AND(IF(Metadata!S160="",FALSE,TRUE),OR(EXACT(Metadata!S160,"not collected"),EXACT(Metadata!S160,"not provided"),EXACT(Metadata!S160,"restricted access"))),AND(IF(Metadata!S160="",FALSE,ISNUMBER(VALUE(Metadata!S160))),Metadata!S160&gt;=-90,Metadata!S160&lt;=90))</f>
        <v>0</v>
      </c>
      <c r="BG160" t="b">
        <f>AND(IF(Metadata!T160="",FALSE,TRUE),EXACT(Metadata!T160,"Decimal degrees"))</f>
        <v>0</v>
      </c>
      <c r="BH160" t="b">
        <f>OR(AND(IF(Metadata!U160="",FALSE,TRUE),OR(EXACT(Metadata!U160,"not applicable"),EXACT(Metadata!U160,"not collected"))),IF(Metadata!U160="",FALSE,TRUE))</f>
        <v>0</v>
      </c>
      <c r="BI160" t="b">
        <f>OR(AND(IF(Metadata!V160="",FALSE,TRUE),OR(EXACT(Metadata!V160,"not collected"),EXACT(Metadata!V160,"not provided"),EXACT(Metadata!V160,"restricted access"))),AND(IF(Metadata!V160="",FALSE,ISNUMBER(VALUE(Metadata!V160))),Metadata!V160&gt;=-180,Metadata!V160&lt;=180))</f>
        <v>0</v>
      </c>
      <c r="BJ160" t="b">
        <f>AND(IF(Metadata!W160="",FALSE,TRUE),EXACT(Metadata!W160,"Decimal degrees"))</f>
        <v>0</v>
      </c>
      <c r="BK160" t="b">
        <f>IF(Metadata!X160="",FALSE,TRUE)</f>
        <v>0</v>
      </c>
      <c r="BL160" t="b">
        <f>OR(AND(IF(Metadata!Y160="",FALSE,TRUE),OR(EXACT(Metadata!Y160,"not collected"),EXACT(Metadata!Y160,"not provided"),EXACT(Metadata!Y160,"restricted access"))),AND(IF(Metadata!Y160="",FALSE,TRUE),OR(EXACT(Metadata!Y160,"TRUE"),EXACT(Metadata!Y160,"FALSE"))))</f>
        <v>0</v>
      </c>
      <c r="BM160" t="b">
        <f>OR(AND(IF(Metadata!Z160="",FALSE,TRUE),EXACT(Metadata!Z160,"not applicable")),AND(IF(Metadata!Z160="",FALSE,TRUE),OR(EXACT(Metadata!Z160,"beer"),EXACT(Metadata!Z160,"cheese"),EXACT(Metadata!Z160,"fresh water"),EXACT(Metadata!Z160,"marine sediment"),EXACT(Metadata!Z160,"sea water"),EXACT(Metadata!Z160,"sediment"),EXACT(Metadata!Z160,"soil"),EXACT(Metadata!Z160,"waste water"))))</f>
        <v>0</v>
      </c>
      <c r="BN160" t="b">
        <f>AND(IF(Metadata!AA160="",FALSE,TRUE),EXACT(Metadata!AA160,"metagenome"))</f>
        <v>0</v>
      </c>
      <c r="BO160" t="b">
        <f>AND(IF(Metadata!AB160="",FALSE,TRUE),EXACT(Metadata!AB160,"256318"))</f>
        <v>0</v>
      </c>
      <c r="BP160" t="b">
        <f>IF(Metadata!AC160="",FALSE,TRUE)</f>
        <v>0</v>
      </c>
      <c r="BQ160" t="b">
        <f>IF(Metadata!AD160="",FALSE,TRUE)</f>
        <v>0</v>
      </c>
    </row>
    <row r="161" spans="1:69" x14ac:dyDescent="0.2">
      <c r="A161" s="4" t="e">
        <f ca="1">IF(B161=" "," ",HYPERLINK(CONCATENATE("#metadata!",ADDRESS(INDEX($AJ$2:$AJ$1001,MATCH(ROWS($AH$2:AH161),$AH$2:$AH$1001,0),0),2)),INDEX($AM$2:$AM$1001,MATCH(ROWS($AH$2:AH161),$AH$2:$AH$1001,0),0)))</f>
        <v>#N/A</v>
      </c>
      <c r="B161" s="5" t="e">
        <f ca="1">IF(OR(INDEX($AI$2:$AI$1001,MATCH(ROWS($AH$2:AH161),$AH$2:$AH$1001,0),1)&gt;=100000,INDEX($AO$1005:$BQ$1005,1,MATCH(COLUMNS($AO$1006:AO1006),$AO$1006:$BQ$1006,0))&gt;=100000), " ",IF(INDEX($AO$2:$BQ$1001,MATCH(ROWS($AH$2:AH161),$AH$2:$AH$1001,0),MATCH(COLUMNS($AO$1006:AO1006),$AO$1006:$BQ$1006,0)), HYPERLINK("#",""), HYPERLINK(CONCATENATE("#Metadata!", ADDRESS(INDEX($AJ$2:$AJ$1001,MATCH(ROWS($AH$2:AH161),$AH$2:$AH$1001,0),0), INDEX($AO$1004:$BQ$1004,1,MATCH(COLUMNS($AO$1006:AO1006),$AO$1006:$BQ$1006,0)))),"Fix")))</f>
        <v>#N/A</v>
      </c>
      <c r="C161" s="5" t="e">
        <f ca="1">IF(OR(INDEX($AI$2:$AI$1001,MATCH(ROWS($AH$2:AH161),$AH$2:$AH$1001,0),1)&gt;=100000,INDEX($AO$1005:$BQ$1005,1,MATCH(COLUMNS($AO$1006:AP1006),$AO$1006:$BQ$1006,0))&gt;=100000), " ",IF(INDEX($AO$2:$BQ$1001,MATCH(ROWS($AH$2:AH161),$AH$2:$AH$1001,0),MATCH(COLUMNS($AO$1006:AP1006),$AO$1006:$BQ$1006,0)), HYPERLINK("#",""), HYPERLINK(CONCATENATE("#Metadata!", ADDRESS(INDEX($AJ$2:$AJ$1001,MATCH(ROWS($AH$2:AH161),$AH$2:$AH$1001,0),0), INDEX($AO$1004:$BQ$1004,1,MATCH(COLUMNS($AO$1006:AP1006),$AO$1006:$BQ$1006,0)))),"Fix")))</f>
        <v>#N/A</v>
      </c>
      <c r="D161" s="5" t="e">
        <f ca="1">IF(OR(INDEX($AI$2:$AI$1001,MATCH(ROWS($AH$2:AH161),$AH$2:$AH$1001,0),1)&gt;=100000,INDEX($AO$1005:$BQ$1005,1,MATCH(COLUMNS($AO$1006:AQ1006),$AO$1006:$BQ$1006,0))&gt;=100000), " ",IF(INDEX($AO$2:$BQ$1001,MATCH(ROWS($AH$2:AH161),$AH$2:$AH$1001,0),MATCH(COLUMNS($AO$1006:AQ1006),$AO$1006:$BQ$1006,0)), HYPERLINK("#",""), HYPERLINK(CONCATENATE("#Metadata!", ADDRESS(INDEX($AJ$2:$AJ$1001,MATCH(ROWS($AH$2:AH161),$AH$2:$AH$1001,0),0), INDEX($AO$1004:$BQ$1004,1,MATCH(COLUMNS($AO$1006:AQ1006),$AO$1006:$BQ$1006,0)))),"Fix")))</f>
        <v>#N/A</v>
      </c>
      <c r="E161" s="5" t="e">
        <f ca="1">IF(OR(INDEX($AI$2:$AI$1001,MATCH(ROWS($AH$2:AH161),$AH$2:$AH$1001,0),1)&gt;=100000,INDEX($AO$1005:$BQ$1005,1,MATCH(COLUMNS($AO$1006:AR1006),$AO$1006:$BQ$1006,0))&gt;=100000), " ",IF(INDEX($AO$2:$BQ$1001,MATCH(ROWS($AH$2:AH161),$AH$2:$AH$1001,0),MATCH(COLUMNS($AO$1006:AR1006),$AO$1006:$BQ$1006,0)), HYPERLINK("#",""), HYPERLINK(CONCATENATE("#Metadata!", ADDRESS(INDEX($AJ$2:$AJ$1001,MATCH(ROWS($AH$2:AH161),$AH$2:$AH$1001,0),0), INDEX($AO$1004:$BQ$1004,1,MATCH(COLUMNS($AO$1006:AR1006),$AO$1006:$BQ$1006,0)))),"Fix")))</f>
        <v>#N/A</v>
      </c>
      <c r="F161" s="5" t="e">
        <f ca="1">IF(OR(INDEX($AI$2:$AI$1001,MATCH(ROWS($AH$2:AH161),$AH$2:$AH$1001,0),1)&gt;=100000,INDEX($AO$1005:$BQ$1005,1,MATCH(COLUMNS($AO$1006:AS1006),$AO$1006:$BQ$1006,0))&gt;=100000), " ",IF(INDEX($AO$2:$BQ$1001,MATCH(ROWS($AH$2:AH161),$AH$2:$AH$1001,0),MATCH(COLUMNS($AO$1006:AS1006),$AO$1006:$BQ$1006,0)), HYPERLINK("#",""), HYPERLINK(CONCATENATE("#Metadata!", ADDRESS(INDEX($AJ$2:$AJ$1001,MATCH(ROWS($AH$2:AH161),$AH$2:$AH$1001,0),0), INDEX($AO$1004:$BQ$1004,1,MATCH(COLUMNS($AO$1006:AS1006),$AO$1006:$BQ$1006,0)))),"Fix")))</f>
        <v>#N/A</v>
      </c>
      <c r="G161" s="5" t="e">
        <f ca="1">IF(OR(INDEX($AI$2:$AI$1001,MATCH(ROWS($AH$2:AH161),$AH$2:$AH$1001,0),1)&gt;=100000,INDEX($AO$1005:$BQ$1005,1,MATCH(COLUMNS($AO$1006:AT1006),$AO$1006:$BQ$1006,0))&gt;=100000), " ",IF(INDEX($AO$2:$BQ$1001,MATCH(ROWS($AH$2:AH161),$AH$2:$AH$1001,0),MATCH(COLUMNS($AO$1006:AT1006),$AO$1006:$BQ$1006,0)), HYPERLINK("#",""), HYPERLINK(CONCATENATE("#Metadata!", ADDRESS(INDEX($AJ$2:$AJ$1001,MATCH(ROWS($AH$2:AH161),$AH$2:$AH$1001,0),0), INDEX($AO$1004:$BQ$1004,1,MATCH(COLUMNS($AO$1006:AT1006),$AO$1006:$BQ$1006,0)))),"Fix")))</f>
        <v>#N/A</v>
      </c>
      <c r="H161" s="5" t="e">
        <f ca="1">IF(OR(INDEX($AI$2:$AI$1001,MATCH(ROWS($AH$2:AH161),$AH$2:$AH$1001,0),1)&gt;=100000,INDEX($AO$1005:$BQ$1005,1,MATCH(COLUMNS($AO$1006:AU1006),$AO$1006:$BQ$1006,0))&gt;=100000), " ",IF(INDEX($AO$2:$BQ$1001,MATCH(ROWS($AH$2:AH161),$AH$2:$AH$1001,0),MATCH(COLUMNS($AO$1006:AU1006),$AO$1006:$BQ$1006,0)), HYPERLINK("#",""), HYPERLINK(CONCATENATE("#Metadata!", ADDRESS(INDEX($AJ$2:$AJ$1001,MATCH(ROWS($AH$2:AH161),$AH$2:$AH$1001,0),0), INDEX($AO$1004:$BQ$1004,1,MATCH(COLUMNS($AO$1006:AU1006),$AO$1006:$BQ$1006,0)))),"Fix")))</f>
        <v>#N/A</v>
      </c>
      <c r="I161" s="5" t="e">
        <f ca="1">IF(OR(INDEX($AI$2:$AI$1001,MATCH(ROWS($AH$2:AH161),$AH$2:$AH$1001,0),1)&gt;=100000,INDEX($AO$1005:$BQ$1005,1,MATCH(COLUMNS($AO$1006:AV1006),$AO$1006:$BQ$1006,0))&gt;=100000), " ",IF(INDEX($AO$2:$BQ$1001,MATCH(ROWS($AH$2:AH161),$AH$2:$AH$1001,0),MATCH(COLUMNS($AO$1006:AV1006),$AO$1006:$BQ$1006,0)), HYPERLINK("#",""), HYPERLINK(CONCATENATE("#Metadata!", ADDRESS(INDEX($AJ$2:$AJ$1001,MATCH(ROWS($AH$2:AH161),$AH$2:$AH$1001,0),0), INDEX($AO$1004:$BQ$1004,1,MATCH(COLUMNS($AO$1006:AV1006),$AO$1006:$BQ$1006,0)))),"Fix")))</f>
        <v>#N/A</v>
      </c>
      <c r="J161" s="5" t="e">
        <f ca="1">IF(OR(INDEX($AI$2:$AI$1001,MATCH(ROWS($AH$2:AH161),$AH$2:$AH$1001,0),1)&gt;=100000,INDEX($AO$1005:$BQ$1005,1,MATCH(COLUMNS($AO$1006:AW1006),$AO$1006:$BQ$1006,0))&gt;=100000), " ",IF(INDEX($AO$2:$BQ$1001,MATCH(ROWS($AH$2:AH161),$AH$2:$AH$1001,0),MATCH(COLUMNS($AO$1006:AW1006),$AO$1006:$BQ$1006,0)), HYPERLINK("#",""), HYPERLINK(CONCATENATE("#Metadata!", ADDRESS(INDEX($AJ$2:$AJ$1001,MATCH(ROWS($AH$2:AH161),$AH$2:$AH$1001,0),0), INDEX($AO$1004:$BQ$1004,1,MATCH(COLUMNS($AO$1006:AW1006),$AO$1006:$BQ$1006,0)))),"Fix")))</f>
        <v>#N/A</v>
      </c>
      <c r="K161" s="5" t="e">
        <f ca="1">IF(OR(INDEX($AI$2:$AI$1001,MATCH(ROWS($AH$2:AH161),$AH$2:$AH$1001,0),1)&gt;=100000,INDEX($AO$1005:$BQ$1005,1,MATCH(COLUMNS($AO$1006:AX1006),$AO$1006:$BQ$1006,0))&gt;=100000), " ",IF(INDEX($AO$2:$BQ$1001,MATCH(ROWS($AH$2:AH161),$AH$2:$AH$1001,0),MATCH(COLUMNS($AO$1006:AX1006),$AO$1006:$BQ$1006,0)), HYPERLINK("#",""), HYPERLINK(CONCATENATE("#Metadata!", ADDRESS(INDEX($AJ$2:$AJ$1001,MATCH(ROWS($AH$2:AH161),$AH$2:$AH$1001,0),0), INDEX($AO$1004:$BQ$1004,1,MATCH(COLUMNS($AO$1006:AX1006),$AO$1006:$BQ$1006,0)))),"Fix")))</f>
        <v>#N/A</v>
      </c>
      <c r="L161" s="5" t="e">
        <f ca="1">IF(OR(INDEX($AI$2:$AI$1001,MATCH(ROWS($AH$2:AH161),$AH$2:$AH$1001,0),1)&gt;=100000,INDEX($AO$1005:$BQ$1005,1,MATCH(COLUMNS($AO$1006:AY1006),$AO$1006:$BQ$1006,0))&gt;=100000), " ",IF(INDEX($AO$2:$BQ$1001,MATCH(ROWS($AH$2:AH161),$AH$2:$AH$1001,0),MATCH(COLUMNS($AO$1006:AY1006),$AO$1006:$BQ$1006,0)), HYPERLINK("#",""), HYPERLINK(CONCATENATE("#Metadata!", ADDRESS(INDEX($AJ$2:$AJ$1001,MATCH(ROWS($AH$2:AH161),$AH$2:$AH$1001,0),0), INDEX($AO$1004:$BQ$1004,1,MATCH(COLUMNS($AO$1006:AY1006),$AO$1006:$BQ$1006,0)))),"Fix")))</f>
        <v>#N/A</v>
      </c>
      <c r="M161" s="5" t="e">
        <f ca="1">IF(OR(INDEX($AI$2:$AI$1001,MATCH(ROWS($AH$2:AH161),$AH$2:$AH$1001,0),1)&gt;=100000,INDEX($AO$1005:$BQ$1005,1,MATCH(COLUMNS($AO$1006:AZ1006),$AO$1006:$BQ$1006,0))&gt;=100000), " ",IF(INDEX($AO$2:$BQ$1001,MATCH(ROWS($AH$2:AH161),$AH$2:$AH$1001,0),MATCH(COLUMNS($AO$1006:AZ1006),$AO$1006:$BQ$1006,0)), HYPERLINK("#",""), HYPERLINK(CONCATENATE("#Metadata!", ADDRESS(INDEX($AJ$2:$AJ$1001,MATCH(ROWS($AH$2:AH161),$AH$2:$AH$1001,0),0), INDEX($AO$1004:$BQ$1004,1,MATCH(COLUMNS($AO$1006:AZ1006),$AO$1006:$BQ$1006,0)))),"Fix")))</f>
        <v>#N/A</v>
      </c>
      <c r="N161" s="5" t="e">
        <f ca="1">IF(OR(INDEX($AI$2:$AI$1001,MATCH(ROWS($AH$2:AH161),$AH$2:$AH$1001,0),1)&gt;=100000,INDEX($AO$1005:$BQ$1005,1,MATCH(COLUMNS($AO$1006:BA1006),$AO$1006:$BQ$1006,0))&gt;=100000), " ",IF(INDEX($AO$2:$BQ$1001,MATCH(ROWS($AH$2:AH161),$AH$2:$AH$1001,0),MATCH(COLUMNS($AO$1006:BA1006),$AO$1006:$BQ$1006,0)), HYPERLINK("#",""), HYPERLINK(CONCATENATE("#Metadata!", ADDRESS(INDEX($AJ$2:$AJ$1001,MATCH(ROWS($AH$2:AH161),$AH$2:$AH$1001,0),0), INDEX($AO$1004:$BQ$1004,1,MATCH(COLUMNS($AO$1006:BA1006),$AO$1006:$BQ$1006,0)))),"Fix")))</f>
        <v>#N/A</v>
      </c>
      <c r="O161" s="5" t="e">
        <f ca="1">IF(OR(INDEX($AI$2:$AI$1001,MATCH(ROWS($AH$2:AH161),$AH$2:$AH$1001,0),1)&gt;=100000,INDEX($AO$1005:$BQ$1005,1,MATCH(COLUMNS($AO$1006:BB1006),$AO$1006:$BQ$1006,0))&gt;=100000), " ",IF(INDEX($AO$2:$BQ$1001,MATCH(ROWS($AH$2:AH161),$AH$2:$AH$1001,0),MATCH(COLUMNS($AO$1006:BB1006),$AO$1006:$BQ$1006,0)), HYPERLINK("#",""), HYPERLINK(CONCATENATE("#Metadata!", ADDRESS(INDEX($AJ$2:$AJ$1001,MATCH(ROWS($AH$2:AH161),$AH$2:$AH$1001,0),0), INDEX($AO$1004:$BQ$1004,1,MATCH(COLUMNS($AO$1006:BB1006),$AO$1006:$BQ$1006,0)))),"Fix")))</f>
        <v>#N/A</v>
      </c>
      <c r="P161" s="5" t="e">
        <f ca="1">IF(OR(INDEX($AI$2:$AI$1001,MATCH(ROWS($AH$2:AH161),$AH$2:$AH$1001,0),1)&gt;=100000,INDEX($AO$1005:$BQ$1005,1,MATCH(COLUMNS($AO$1006:BC1006),$AO$1006:$BQ$1006,0))&gt;=100000), " ",IF(INDEX($AO$2:$BQ$1001,MATCH(ROWS($AH$2:AH161),$AH$2:$AH$1001,0),MATCH(COLUMNS($AO$1006:BC1006),$AO$1006:$BQ$1006,0)), HYPERLINK("#",""), HYPERLINK(CONCATENATE("#Metadata!", ADDRESS(INDEX($AJ$2:$AJ$1001,MATCH(ROWS($AH$2:AH161),$AH$2:$AH$1001,0),0), INDEX($AO$1004:$BQ$1004,1,MATCH(COLUMNS($AO$1006:BC1006),$AO$1006:$BQ$1006,0)))),"Fix")))</f>
        <v>#N/A</v>
      </c>
      <c r="Q161" s="5" t="e">
        <f ca="1">IF(OR(INDEX($AI$2:$AI$1001,MATCH(ROWS($AH$2:AH161),$AH$2:$AH$1001,0),1)&gt;=100000,INDEX($AO$1005:$BQ$1005,1,MATCH(COLUMNS($AO$1006:BD1006),$AO$1006:$BQ$1006,0))&gt;=100000), " ",IF(INDEX($AO$2:$BQ$1001,MATCH(ROWS($AH$2:AH161),$AH$2:$AH$1001,0),MATCH(COLUMNS($AO$1006:BD1006),$AO$1006:$BQ$1006,0)), HYPERLINK("#",""), HYPERLINK(CONCATENATE("#Metadata!", ADDRESS(INDEX($AJ$2:$AJ$1001,MATCH(ROWS($AH$2:AH161),$AH$2:$AH$1001,0),0), INDEX($AO$1004:$BQ$1004,1,MATCH(COLUMNS($AO$1006:BD1006),$AO$1006:$BQ$1006,0)))),"Fix")))</f>
        <v>#N/A</v>
      </c>
      <c r="R161" s="5" t="e">
        <f ca="1">IF(OR(INDEX($AI$2:$AI$1001,MATCH(ROWS($AH$2:AH161),$AH$2:$AH$1001,0),1)&gt;=100000,INDEX($AO$1005:$BQ$1005,1,MATCH(COLUMNS($AO$1006:BE1006),$AO$1006:$BQ$1006,0))&gt;=100000), " ",IF(INDEX($AO$2:$BQ$1001,MATCH(ROWS($AH$2:AH161),$AH$2:$AH$1001,0),MATCH(COLUMNS($AO$1006:BE1006),$AO$1006:$BQ$1006,0)), HYPERLINK("#",""), HYPERLINK(CONCATENATE("#Metadata!", ADDRESS(INDEX($AJ$2:$AJ$1001,MATCH(ROWS($AH$2:AH161),$AH$2:$AH$1001,0),0), INDEX($AO$1004:$BQ$1004,1,MATCH(COLUMNS($AO$1006:BE1006),$AO$1006:$BQ$1006,0)))),"Fix")))</f>
        <v>#N/A</v>
      </c>
      <c r="S161" s="5" t="e">
        <f ca="1">IF(OR(INDEX($AI$2:$AI$1001,MATCH(ROWS($AH$2:AH161),$AH$2:$AH$1001,0),1)&gt;=100000,INDEX($AO$1005:$BQ$1005,1,MATCH(COLUMNS($AO$1006:BF1006),$AO$1006:$BQ$1006,0))&gt;=100000), " ",IF(INDEX($AO$2:$BQ$1001,MATCH(ROWS($AH$2:AH161),$AH$2:$AH$1001,0),MATCH(COLUMNS($AO$1006:BF1006),$AO$1006:$BQ$1006,0)), HYPERLINK("#",""), HYPERLINK(CONCATENATE("#Metadata!", ADDRESS(INDEX($AJ$2:$AJ$1001,MATCH(ROWS($AH$2:AH161),$AH$2:$AH$1001,0),0), INDEX($AO$1004:$BQ$1004,1,MATCH(COLUMNS($AO$1006:BF1006),$AO$1006:$BQ$1006,0)))),"Fix")))</f>
        <v>#N/A</v>
      </c>
      <c r="T161" s="5" t="e">
        <f ca="1">IF(OR(INDEX($AI$2:$AI$1001,MATCH(ROWS($AH$2:AH161),$AH$2:$AH$1001,0),1)&gt;=100000,INDEX($AO$1005:$BQ$1005,1,MATCH(COLUMNS($AO$1006:BG1006),$AO$1006:$BQ$1006,0))&gt;=100000), " ",IF(INDEX($AO$2:$BQ$1001,MATCH(ROWS($AH$2:AH161),$AH$2:$AH$1001,0),MATCH(COLUMNS($AO$1006:BG1006),$AO$1006:$BQ$1006,0)), HYPERLINK("#",""), HYPERLINK(CONCATENATE("#Metadata!", ADDRESS(INDEX($AJ$2:$AJ$1001,MATCH(ROWS($AH$2:AH161),$AH$2:$AH$1001,0),0), INDEX($AO$1004:$BQ$1004,1,MATCH(COLUMNS($AO$1006:BG1006),$AO$1006:$BQ$1006,0)))),"Fix")))</f>
        <v>#N/A</v>
      </c>
      <c r="U161" s="5" t="e">
        <f ca="1">IF(OR(INDEX($AI$2:$AI$1001,MATCH(ROWS($AH$2:AH161),$AH$2:$AH$1001,0),1)&gt;=100000,INDEX($AO$1005:$BQ$1005,1,MATCH(COLUMNS($AO$1006:BH1006),$AO$1006:$BQ$1006,0))&gt;=100000), " ",IF(INDEX($AO$2:$BQ$1001,MATCH(ROWS($AH$2:AH161),$AH$2:$AH$1001,0),MATCH(COLUMNS($AO$1006:BH1006),$AO$1006:$BQ$1006,0)), HYPERLINK("#",""), HYPERLINK(CONCATENATE("#Metadata!", ADDRESS(INDEX($AJ$2:$AJ$1001,MATCH(ROWS($AH$2:AH161),$AH$2:$AH$1001,0),0), INDEX($AO$1004:$BQ$1004,1,MATCH(COLUMNS($AO$1006:BH1006),$AO$1006:$BQ$1006,0)))),"Fix")))</f>
        <v>#N/A</v>
      </c>
      <c r="V161" s="5" t="e">
        <f ca="1">IF(OR(INDEX($AI$2:$AI$1001,MATCH(ROWS($AH$2:AH161),$AH$2:$AH$1001,0),1)&gt;=100000,INDEX($AO$1005:$BQ$1005,1,MATCH(COLUMNS($AO$1006:BI1006),$AO$1006:$BQ$1006,0))&gt;=100000), " ",IF(INDEX($AO$2:$BQ$1001,MATCH(ROWS($AH$2:AH161),$AH$2:$AH$1001,0),MATCH(COLUMNS($AO$1006:BI1006),$AO$1006:$BQ$1006,0)), HYPERLINK("#",""), HYPERLINK(CONCATENATE("#Metadata!", ADDRESS(INDEX($AJ$2:$AJ$1001,MATCH(ROWS($AH$2:AH161),$AH$2:$AH$1001,0),0), INDEX($AO$1004:$BQ$1004,1,MATCH(COLUMNS($AO$1006:BI1006),$AO$1006:$BQ$1006,0)))),"Fix")))</f>
        <v>#N/A</v>
      </c>
      <c r="W161" s="5" t="e">
        <f ca="1">IF(OR(INDEX($AI$2:$AI$1001,MATCH(ROWS($AH$2:AH161),$AH$2:$AH$1001,0),1)&gt;=100000,INDEX($AO$1005:$BQ$1005,1,MATCH(COLUMNS($AO$1006:BJ1006),$AO$1006:$BQ$1006,0))&gt;=100000), " ",IF(INDEX($AO$2:$BQ$1001,MATCH(ROWS($AH$2:AH161),$AH$2:$AH$1001,0),MATCH(COLUMNS($AO$1006:BJ1006),$AO$1006:$BQ$1006,0)), HYPERLINK("#",""), HYPERLINK(CONCATENATE("#Metadata!", ADDRESS(INDEX($AJ$2:$AJ$1001,MATCH(ROWS($AH$2:AH161),$AH$2:$AH$1001,0),0), INDEX($AO$1004:$BQ$1004,1,MATCH(COLUMNS($AO$1006:BJ1006),$AO$1006:$BQ$1006,0)))),"Fix")))</f>
        <v>#N/A</v>
      </c>
      <c r="X161" s="5" t="e">
        <f ca="1">IF(OR(INDEX($AI$2:$AI$1001,MATCH(ROWS($AH$2:AH161),$AH$2:$AH$1001,0),1)&gt;=100000,INDEX($AO$1005:$BQ$1005,1,MATCH(COLUMNS($AO$1006:BK1006),$AO$1006:$BQ$1006,0))&gt;=100000), " ",IF(INDEX($AO$2:$BQ$1001,MATCH(ROWS($AH$2:AH161),$AH$2:$AH$1001,0),MATCH(COLUMNS($AO$1006:BK1006),$AO$1006:$BQ$1006,0)), HYPERLINK("#",""), HYPERLINK(CONCATENATE("#Metadata!", ADDRESS(INDEX($AJ$2:$AJ$1001,MATCH(ROWS($AH$2:AH161),$AH$2:$AH$1001,0),0), INDEX($AO$1004:$BQ$1004,1,MATCH(COLUMNS($AO$1006:BK1006),$AO$1006:$BQ$1006,0)))),"Fix")))</f>
        <v>#N/A</v>
      </c>
      <c r="Y161" s="5" t="e">
        <f ca="1">IF(OR(INDEX($AI$2:$AI$1001,MATCH(ROWS($AH$2:AH161),$AH$2:$AH$1001,0),1)&gt;=100000,INDEX($AO$1005:$BQ$1005,1,MATCH(COLUMNS($AO$1006:BL1006),$AO$1006:$BQ$1006,0))&gt;=100000), " ",IF(INDEX($AO$2:$BQ$1001,MATCH(ROWS($AH$2:AH161),$AH$2:$AH$1001,0),MATCH(COLUMNS($AO$1006:BL1006),$AO$1006:$BQ$1006,0)), HYPERLINK("#",""), HYPERLINK(CONCATENATE("#Metadata!", ADDRESS(INDEX($AJ$2:$AJ$1001,MATCH(ROWS($AH$2:AH161),$AH$2:$AH$1001,0),0), INDEX($AO$1004:$BQ$1004,1,MATCH(COLUMNS($AO$1006:BL1006),$AO$1006:$BQ$1006,0)))),"Fix")))</f>
        <v>#N/A</v>
      </c>
      <c r="Z161" s="5" t="e">
        <f ca="1">IF(OR(INDEX($AI$2:$AI$1001,MATCH(ROWS($AH$2:AH161),$AH$2:$AH$1001,0),1)&gt;=100000,INDEX($AO$1005:$BQ$1005,1,MATCH(COLUMNS($AO$1006:BM1006),$AO$1006:$BQ$1006,0))&gt;=100000), " ",IF(INDEX($AO$2:$BQ$1001,MATCH(ROWS($AH$2:AH161),$AH$2:$AH$1001,0),MATCH(COLUMNS($AO$1006:BM1006),$AO$1006:$BQ$1006,0)), HYPERLINK("#",""), HYPERLINK(CONCATENATE("#Metadata!", ADDRESS(INDEX($AJ$2:$AJ$1001,MATCH(ROWS($AH$2:AH161),$AH$2:$AH$1001,0),0), INDEX($AO$1004:$BQ$1004,1,MATCH(COLUMNS($AO$1006:BM1006),$AO$1006:$BQ$1006,0)))),"Fix")))</f>
        <v>#N/A</v>
      </c>
      <c r="AA161" s="5" t="e">
        <f ca="1">IF(OR(INDEX($AI$2:$AI$1001,MATCH(ROWS($AH$2:AH161),$AH$2:$AH$1001,0),1)&gt;=100000,INDEX($AO$1005:$BQ$1005,1,MATCH(COLUMNS($AO$1006:BN1006),$AO$1006:$BQ$1006,0))&gt;=100000), " ",IF(INDEX($AO$2:$BQ$1001,MATCH(ROWS($AH$2:AH161),$AH$2:$AH$1001,0),MATCH(COLUMNS($AO$1006:BN1006),$AO$1006:$BQ$1006,0)), HYPERLINK("#",""), HYPERLINK(CONCATENATE("#Metadata!", ADDRESS(INDEX($AJ$2:$AJ$1001,MATCH(ROWS($AH$2:AH161),$AH$2:$AH$1001,0),0), INDEX($AO$1004:$BQ$1004,1,MATCH(COLUMNS($AO$1006:BN1006),$AO$1006:$BQ$1006,0)))),"Fix")))</f>
        <v>#N/A</v>
      </c>
      <c r="AB161" s="5" t="e">
        <f ca="1">IF(OR(INDEX($AI$2:$AI$1001,MATCH(ROWS($AH$2:AH161),$AH$2:$AH$1001,0),1)&gt;=100000,INDEX($AO$1005:$BQ$1005,1,MATCH(COLUMNS($AO$1006:BO1006),$AO$1006:$BQ$1006,0))&gt;=100000), " ",IF(INDEX($AO$2:$BQ$1001,MATCH(ROWS($AH$2:AH161),$AH$2:$AH$1001,0),MATCH(COLUMNS($AO$1006:BO1006),$AO$1006:$BQ$1006,0)), HYPERLINK("#",""), HYPERLINK(CONCATENATE("#Metadata!", ADDRESS(INDEX($AJ$2:$AJ$1001,MATCH(ROWS($AH$2:AH161),$AH$2:$AH$1001,0),0), INDEX($AO$1004:$BQ$1004,1,MATCH(COLUMNS($AO$1006:BO1006),$AO$1006:$BQ$1006,0)))),"Fix")))</f>
        <v>#N/A</v>
      </c>
      <c r="AC161" s="5" t="e">
        <f ca="1">IF(OR(INDEX($AI$2:$AI$1001,MATCH(ROWS($AH$2:AH161),$AH$2:$AH$1001,0),1)&gt;=100000,INDEX($AO$1005:$BQ$1005,1,MATCH(COLUMNS($AO$1006:BP1006),$AO$1006:$BQ$1006,0))&gt;=100000), " ",IF(INDEX($AO$2:$BQ$1001,MATCH(ROWS($AH$2:AH161),$AH$2:$AH$1001,0),MATCH(COLUMNS($AO$1006:BP1006),$AO$1006:$BQ$1006,0)), HYPERLINK("#",""), HYPERLINK(CONCATENATE("#Metadata!", ADDRESS(INDEX($AJ$2:$AJ$1001,MATCH(ROWS($AH$2:AH161),$AH$2:$AH$1001,0),0), INDEX($AO$1004:$BQ$1004,1,MATCH(COLUMNS($AO$1006:BP1006),$AO$1006:$BQ$1006,0)))),"Fix")))</f>
        <v>#N/A</v>
      </c>
      <c r="AD161" s="5" t="e">
        <f ca="1">IF(OR(INDEX($AI$2:$AI$1001,MATCH(ROWS($AH$2:AH161),$AH$2:$AH$1001,0),1)&gt;=100000,INDEX($AO$1005:$BQ$1005,1,MATCH(COLUMNS($AO$1006:BQ1006),$AO$1006:$BQ$1006,0))&gt;=100000), " ",IF(INDEX($AO$2:$BQ$1001,MATCH(ROWS($AH$2:AH161),$AH$2:$AH$1001,0),MATCH(COLUMNS($AO$1006:BQ1006),$AO$1006:$BQ$1006,0)), HYPERLINK("#",""), HYPERLINK(CONCATENATE("#Metadata!", ADDRESS(INDEX($AJ$2:$AJ$1001,MATCH(ROWS($AH$2:AH161),$AH$2:$AH$1001,0),0), INDEX($AO$1004:$BQ$1004,1,MATCH(COLUMNS($AO$1006:BQ1006),$AO$1006:$BQ$1006,0)))),"Fix")))</f>
        <v>#REF!</v>
      </c>
      <c r="AH161">
        <f ca="1"/>
        <v>158</v>
      </c>
      <c r="AI161">
        <v>100161</v>
      </c>
      <c r="AJ161">
        <v>161</v>
      </c>
      <c r="AK161" t="b">
        <f t="shared" si="2"/>
        <v>1</v>
      </c>
      <c r="AL161" t="b">
        <f>COUNTBLANK(Metadata!B161:AD161)=COLUMNS(Metadata!B161:AD161)</f>
        <v>1</v>
      </c>
      <c r="AM161" t="str">
        <v/>
      </c>
      <c r="AO161" t="b">
        <f ca="1">AND(IF(Metadata!B161="",FALSE,TRUE),COUNTIF(Metadata!B:B, Metadata!B161) = 1,NOT(ISERROR(SUMPRODUCT(SEARCH(MID(Metadata!B161,ROW(INDIRECT("1:"&amp;LEN(Metadata!B161))), 1),"0123456789abcdefghijklmnopqrstuvwxyzABCDEFGHIJKLMNOPQRSTUVWXYZ.")))))</f>
        <v>0</v>
      </c>
      <c r="AP161" t="b">
        <f>IF(Metadata!C161="",FALSE,TRUE)</f>
        <v>0</v>
      </c>
      <c r="AQ161" t="b">
        <f>IF(Metadata!D161="",FALSE,TRUE)</f>
        <v>0</v>
      </c>
      <c r="AR161" t="b">
        <f ca="1">OR(AND(IF(Metadata!E161="",FALSE,TRUE),OR(EXACT(Metadata!E161,"not collected"),EXACT(Metadata!E161,"not provided"),EXACT(Metadata!E161,"restricted access"))),AND(IF(Metadata!E161="",FALSE,TRUE),AND(AND(IFERROR(INT(LEFT(Metadata!E161,4))&gt;1900,FALSE),IFERROR(INT(LEFT(Metadata!E161,4))&lt;=YEAR(NOW()),FALSE)), OR(MID(Metadata!E161,5,1)="", AND(AND(MID(Metadata!E161,5,1)="-",IFERROR(INT(MID(Metadata!E161,6,1))&gt;=0,FALSE),IFERROR(INT(MID(Metadata!E161,6,1))&lt;=1,FALSE),NOT(MID(Metadata!E161,7,1)=""),IFERROR(INT(MID(Metadata!E161,6,2))&gt;=1,FALSE),IFERROR(INT(MID(Metadata!E161,6,2))&lt;=12,FALSE)), OR(MID(Metadata!E161,8,1)="", AND(AND(MID(Metadata!E161,8,1)="-",IFERROR(INT(MID(Metadata!E161,9,1))&gt;=0,FALSE),IFERROR(INT(MID(Metadata!E161,9,1))&lt;=3,FALSE),NOT(MID(Metadata!E161,10,1)=""),IFERROR(INT(MID(Metadata!E161,9,2))&gt;=1,FALSE),IFERROR(INT(MID(Metadata!E161,9,2))&lt;=31,FALSE)), OR(MID(Metadata!E161,11,1)="", AND(AND(MID(Metadata!E161,11,1)=" ",IFERROR(INT(MID(Metadata!E161,12,1))&gt;=0,FALSE),IFERROR(INT(MID(Metadata!E161,12,1))&lt;=2,FALSE),NOT(MID(Metadata!E161,13,1)=""),IFERROR(INT(MID(Metadata!E161,12,2))&gt;=0,FALSE),IFERROR(INT(MID(Metadata!E161,12,2))&lt;=23,FALSE)), OR(MID(Metadata!E161,14,1)="", AND(AND(MID(Metadata!E161,14,1)=":",IFERROR(INT(MID(Metadata!E161,15,1))&gt;=0,FALSE),IFERROR(INT(MID(Metadata!E161,15,1))&lt;=5,FALSE),NOT(MID(Metadata!E161,16,1)=""),IFERROR(INT(MID(Metadata!E161,15,2))&gt;=0,FALSE),IFERROR(INT(MID(Metadata!E161,15,2))&lt;=59,FALSE)), OR(MID(Metadata!E161,17,1)="", AND(AND(MID(Metadata!E161,17,1)=":",IFERROR(INT(MID(Metadata!E161,18,1))&gt;=0,FALSE),IFERROR(INT(MID(Metadata!E161,18,1))&lt;=5,FALSE),NOT(MID(Metadata!E161,19,1)=""),IFERROR(INT(MID(Metadata!E161,18,2))&gt;=0,FALSE),IFERROR(INT(MID(Metadata!E161,18,2))&lt;=59,FALSE)), LEN(Metadata!E161)&lt;=19)))))))))))))</f>
        <v>0</v>
      </c>
      <c r="AS161" t="b">
        <f>IF(Metadata!F161="",FALSE,TRUE)</f>
        <v>0</v>
      </c>
      <c r="AT161" t="b">
        <f>OR(AND(IF(Metadata!G161="",FALSE,TRUE),OR(EXACT(Metadata!G161,"not collected"),EXACT(Metadata!G161,"not provided"))),AND(IF(Metadata!G161="",FALSE,TRUE),OR(EXACT(Metadata!G161,"TRUE"),EXACT(Metadata!G161,"FALSE"))))</f>
        <v>0</v>
      </c>
      <c r="AU161" t="b">
        <f>OR(AND(IF(Metadata!H161="",FALSE,TRUE),OR(EXACT(Metadata!H161,"not collected"),EXACT(Metadata!H161,"not provided"),EXACT(Metadata!H161,"restricted access"))),AND(IF(Metadata!H161="",FALSE,ISNUMBER(VALUE(Metadata!H161))),Metadata!H161&gt;=-413))</f>
        <v>0</v>
      </c>
      <c r="AV161" t="b">
        <f>AND(IF(Metadata!I161="",FALSE,TRUE),EXACT(Metadata!I161,"meters"))</f>
        <v>0</v>
      </c>
      <c r="AW161" t="b">
        <f>AND(IF(Metadata!J161="",FALSE,TRUE),EXACT(Metadata!J161,"free-living"))</f>
        <v>0</v>
      </c>
      <c r="AX161" t="b">
        <f>AND(IF(Metadata!K161="",FALSE,TRUE),OR(EXACT(Metadata!K161,"saline"),EXACT(Metadata!K161,"non-saline")))</f>
        <v>0</v>
      </c>
      <c r="AY161" t="b">
        <f>AND(IF(Metadata!L161="",FALSE,TRUE),OR(EXACT(Metadata!L161,"sub-surface (non-saline)"),EXACT(Metadata!L161,"surface (non-saline)"),EXACT(Metadata!L161,"water (non-saline)"),EXACT(Metadata!L161,"soil (non-saline)"),EXACT(Metadata!L161,"aerosol (non-saline)"),EXACT(Metadata!L161,"sediment (non-saline)"),EXACT(Metadata!L161,"surface (saline)"),EXACT(Metadata!L161,"water (saline)"),EXACT(Metadata!L161,"hypersaline (saline)"),EXACT(Metadata!L161,"aerosol (saline)"),EXACT(Metadata!L161,"sediment (saline)")))</f>
        <v>0</v>
      </c>
      <c r="AZ161" t="b">
        <f>IF(Metadata!M161="",FALSE,TRUE)</f>
        <v>0</v>
      </c>
      <c r="BA161" t="b">
        <f>IF(Metadata!N161="",FALSE,TRUE)</f>
        <v>0</v>
      </c>
      <c r="BB161" t="b">
        <f>IF(Metadata!O161="",FALSE,TRUE)</f>
        <v>0</v>
      </c>
      <c r="BC161" t="b">
        <f>AND(IF(Metadata!P161="",FALSE,TRUE),OR(EXACT(Metadata!P161,"air"),EXACT(Metadata!P161,"microbial mat/biofilm"),EXACT(Metadata!P161,"misc environment"),EXACT(Metadata!P161,"sediment"),EXACT(Metadata!P161,"soil"),EXACT(Metadata!P161,"wastewater/sludge"),EXACT(Metadata!P161,"water")))</f>
        <v>0</v>
      </c>
      <c r="BD161" t="b">
        <f>IF(Metadata!Q161="",FALSE,TRUE)</f>
        <v>0</v>
      </c>
      <c r="BE161" t="b">
        <f>IF(Metadata!R161="",FALSE,TRUE)</f>
        <v>0</v>
      </c>
      <c r="BF161" t="b">
        <f>OR(AND(IF(Metadata!S161="",FALSE,TRUE),OR(EXACT(Metadata!S161,"not collected"),EXACT(Metadata!S161,"not provided"),EXACT(Metadata!S161,"restricted access"))),AND(IF(Metadata!S161="",FALSE,ISNUMBER(VALUE(Metadata!S161))),Metadata!S161&gt;=-90,Metadata!S161&lt;=90))</f>
        <v>0</v>
      </c>
      <c r="BG161" t="b">
        <f>AND(IF(Metadata!T161="",FALSE,TRUE),EXACT(Metadata!T161,"Decimal degrees"))</f>
        <v>0</v>
      </c>
      <c r="BH161" t="b">
        <f>OR(AND(IF(Metadata!U161="",FALSE,TRUE),OR(EXACT(Metadata!U161,"not applicable"),EXACT(Metadata!U161,"not collected"))),IF(Metadata!U161="",FALSE,TRUE))</f>
        <v>0</v>
      </c>
      <c r="BI161" t="b">
        <f>OR(AND(IF(Metadata!V161="",FALSE,TRUE),OR(EXACT(Metadata!V161,"not collected"),EXACT(Metadata!V161,"not provided"),EXACT(Metadata!V161,"restricted access"))),AND(IF(Metadata!V161="",FALSE,ISNUMBER(VALUE(Metadata!V161))),Metadata!V161&gt;=-180,Metadata!V161&lt;=180))</f>
        <v>0</v>
      </c>
      <c r="BJ161" t="b">
        <f>AND(IF(Metadata!W161="",FALSE,TRUE),EXACT(Metadata!W161,"Decimal degrees"))</f>
        <v>0</v>
      </c>
      <c r="BK161" t="b">
        <f>IF(Metadata!X161="",FALSE,TRUE)</f>
        <v>0</v>
      </c>
      <c r="BL161" t="b">
        <f>OR(AND(IF(Metadata!Y161="",FALSE,TRUE),OR(EXACT(Metadata!Y161,"not collected"),EXACT(Metadata!Y161,"not provided"),EXACT(Metadata!Y161,"restricted access"))),AND(IF(Metadata!Y161="",FALSE,TRUE),OR(EXACT(Metadata!Y161,"TRUE"),EXACT(Metadata!Y161,"FALSE"))))</f>
        <v>0</v>
      </c>
      <c r="BM161" t="b">
        <f>OR(AND(IF(Metadata!Z161="",FALSE,TRUE),EXACT(Metadata!Z161,"not applicable")),AND(IF(Metadata!Z161="",FALSE,TRUE),OR(EXACT(Metadata!Z161,"beer"),EXACT(Metadata!Z161,"cheese"),EXACT(Metadata!Z161,"fresh water"),EXACT(Metadata!Z161,"marine sediment"),EXACT(Metadata!Z161,"sea water"),EXACT(Metadata!Z161,"sediment"),EXACT(Metadata!Z161,"soil"),EXACT(Metadata!Z161,"waste water"))))</f>
        <v>0</v>
      </c>
      <c r="BN161" t="b">
        <f>AND(IF(Metadata!AA161="",FALSE,TRUE),EXACT(Metadata!AA161,"metagenome"))</f>
        <v>0</v>
      </c>
      <c r="BO161" t="b">
        <f>AND(IF(Metadata!AB161="",FALSE,TRUE),EXACT(Metadata!AB161,"256318"))</f>
        <v>0</v>
      </c>
      <c r="BP161" t="b">
        <f>IF(Metadata!AC161="",FALSE,TRUE)</f>
        <v>0</v>
      </c>
      <c r="BQ161" t="b">
        <f>IF(Metadata!AD161="",FALSE,TRUE)</f>
        <v>0</v>
      </c>
    </row>
    <row r="162" spans="1:69" x14ac:dyDescent="0.2">
      <c r="A162" s="4" t="e">
        <f ca="1">IF(B162=" "," ",HYPERLINK(CONCATENATE("#metadata!",ADDRESS(INDEX($AJ$2:$AJ$1001,MATCH(ROWS($AH$2:AH162),$AH$2:$AH$1001,0),0),2)),INDEX($AM$2:$AM$1001,MATCH(ROWS($AH$2:AH162),$AH$2:$AH$1001,0),0)))</f>
        <v>#N/A</v>
      </c>
      <c r="B162" s="5" t="e">
        <f ca="1">IF(OR(INDEX($AI$2:$AI$1001,MATCH(ROWS($AH$2:AH162),$AH$2:$AH$1001,0),1)&gt;=100000,INDEX($AO$1005:$BQ$1005,1,MATCH(COLUMNS($AO$1006:AO1006),$AO$1006:$BQ$1006,0))&gt;=100000), " ",IF(INDEX($AO$2:$BQ$1001,MATCH(ROWS($AH$2:AH162),$AH$2:$AH$1001,0),MATCH(COLUMNS($AO$1006:AO1006),$AO$1006:$BQ$1006,0)), HYPERLINK("#",""), HYPERLINK(CONCATENATE("#Metadata!", ADDRESS(INDEX($AJ$2:$AJ$1001,MATCH(ROWS($AH$2:AH162),$AH$2:$AH$1001,0),0), INDEX($AO$1004:$BQ$1004,1,MATCH(COLUMNS($AO$1006:AO1006),$AO$1006:$BQ$1006,0)))),"Fix")))</f>
        <v>#N/A</v>
      </c>
      <c r="C162" s="5" t="e">
        <f ca="1">IF(OR(INDEX($AI$2:$AI$1001,MATCH(ROWS($AH$2:AH162),$AH$2:$AH$1001,0),1)&gt;=100000,INDEX($AO$1005:$BQ$1005,1,MATCH(COLUMNS($AO$1006:AP1006),$AO$1006:$BQ$1006,0))&gt;=100000), " ",IF(INDEX($AO$2:$BQ$1001,MATCH(ROWS($AH$2:AH162),$AH$2:$AH$1001,0),MATCH(COLUMNS($AO$1006:AP1006),$AO$1006:$BQ$1006,0)), HYPERLINK("#",""), HYPERLINK(CONCATENATE("#Metadata!", ADDRESS(INDEX($AJ$2:$AJ$1001,MATCH(ROWS($AH$2:AH162),$AH$2:$AH$1001,0),0), INDEX($AO$1004:$BQ$1004,1,MATCH(COLUMNS($AO$1006:AP1006),$AO$1006:$BQ$1006,0)))),"Fix")))</f>
        <v>#N/A</v>
      </c>
      <c r="D162" s="5" t="e">
        <f ca="1">IF(OR(INDEX($AI$2:$AI$1001,MATCH(ROWS($AH$2:AH162),$AH$2:$AH$1001,0),1)&gt;=100000,INDEX($AO$1005:$BQ$1005,1,MATCH(COLUMNS($AO$1006:AQ1006),$AO$1006:$BQ$1006,0))&gt;=100000), " ",IF(INDEX($AO$2:$BQ$1001,MATCH(ROWS($AH$2:AH162),$AH$2:$AH$1001,0),MATCH(COLUMNS($AO$1006:AQ1006),$AO$1006:$BQ$1006,0)), HYPERLINK("#",""), HYPERLINK(CONCATENATE("#Metadata!", ADDRESS(INDEX($AJ$2:$AJ$1001,MATCH(ROWS($AH$2:AH162),$AH$2:$AH$1001,0),0), INDEX($AO$1004:$BQ$1004,1,MATCH(COLUMNS($AO$1006:AQ1006),$AO$1006:$BQ$1006,0)))),"Fix")))</f>
        <v>#N/A</v>
      </c>
      <c r="E162" s="5" t="e">
        <f ca="1">IF(OR(INDEX($AI$2:$AI$1001,MATCH(ROWS($AH$2:AH162),$AH$2:$AH$1001,0),1)&gt;=100000,INDEX($AO$1005:$BQ$1005,1,MATCH(COLUMNS($AO$1006:AR1006),$AO$1006:$BQ$1006,0))&gt;=100000), " ",IF(INDEX($AO$2:$BQ$1001,MATCH(ROWS($AH$2:AH162),$AH$2:$AH$1001,0),MATCH(COLUMNS($AO$1006:AR1006),$AO$1006:$BQ$1006,0)), HYPERLINK("#",""), HYPERLINK(CONCATENATE("#Metadata!", ADDRESS(INDEX($AJ$2:$AJ$1001,MATCH(ROWS($AH$2:AH162),$AH$2:$AH$1001,0),0), INDEX($AO$1004:$BQ$1004,1,MATCH(COLUMNS($AO$1006:AR1006),$AO$1006:$BQ$1006,0)))),"Fix")))</f>
        <v>#N/A</v>
      </c>
      <c r="F162" s="5" t="e">
        <f ca="1">IF(OR(INDEX($AI$2:$AI$1001,MATCH(ROWS($AH$2:AH162),$AH$2:$AH$1001,0),1)&gt;=100000,INDEX($AO$1005:$BQ$1005,1,MATCH(COLUMNS($AO$1006:AS1006),$AO$1006:$BQ$1006,0))&gt;=100000), " ",IF(INDEX($AO$2:$BQ$1001,MATCH(ROWS($AH$2:AH162),$AH$2:$AH$1001,0),MATCH(COLUMNS($AO$1006:AS1006),$AO$1006:$BQ$1006,0)), HYPERLINK("#",""), HYPERLINK(CONCATENATE("#Metadata!", ADDRESS(INDEX($AJ$2:$AJ$1001,MATCH(ROWS($AH$2:AH162),$AH$2:$AH$1001,0),0), INDEX($AO$1004:$BQ$1004,1,MATCH(COLUMNS($AO$1006:AS1006),$AO$1006:$BQ$1006,0)))),"Fix")))</f>
        <v>#N/A</v>
      </c>
      <c r="G162" s="5" t="e">
        <f ca="1">IF(OR(INDEX($AI$2:$AI$1001,MATCH(ROWS($AH$2:AH162),$AH$2:$AH$1001,0),1)&gt;=100000,INDEX($AO$1005:$BQ$1005,1,MATCH(COLUMNS($AO$1006:AT1006),$AO$1006:$BQ$1006,0))&gt;=100000), " ",IF(INDEX($AO$2:$BQ$1001,MATCH(ROWS($AH$2:AH162),$AH$2:$AH$1001,0),MATCH(COLUMNS($AO$1006:AT1006),$AO$1006:$BQ$1006,0)), HYPERLINK("#",""), HYPERLINK(CONCATENATE("#Metadata!", ADDRESS(INDEX($AJ$2:$AJ$1001,MATCH(ROWS($AH$2:AH162),$AH$2:$AH$1001,0),0), INDEX($AO$1004:$BQ$1004,1,MATCH(COLUMNS($AO$1006:AT1006),$AO$1006:$BQ$1006,0)))),"Fix")))</f>
        <v>#N/A</v>
      </c>
      <c r="H162" s="5" t="e">
        <f ca="1">IF(OR(INDEX($AI$2:$AI$1001,MATCH(ROWS($AH$2:AH162),$AH$2:$AH$1001,0),1)&gt;=100000,INDEX($AO$1005:$BQ$1005,1,MATCH(COLUMNS($AO$1006:AU1006),$AO$1006:$BQ$1006,0))&gt;=100000), " ",IF(INDEX($AO$2:$BQ$1001,MATCH(ROWS($AH$2:AH162),$AH$2:$AH$1001,0),MATCH(COLUMNS($AO$1006:AU1006),$AO$1006:$BQ$1006,0)), HYPERLINK("#",""), HYPERLINK(CONCATENATE("#Metadata!", ADDRESS(INDEX($AJ$2:$AJ$1001,MATCH(ROWS($AH$2:AH162),$AH$2:$AH$1001,0),0), INDEX($AO$1004:$BQ$1004,1,MATCH(COLUMNS($AO$1006:AU1006),$AO$1006:$BQ$1006,0)))),"Fix")))</f>
        <v>#N/A</v>
      </c>
      <c r="I162" s="5" t="e">
        <f ca="1">IF(OR(INDEX($AI$2:$AI$1001,MATCH(ROWS($AH$2:AH162),$AH$2:$AH$1001,0),1)&gt;=100000,INDEX($AO$1005:$BQ$1005,1,MATCH(COLUMNS($AO$1006:AV1006),$AO$1006:$BQ$1006,0))&gt;=100000), " ",IF(INDEX($AO$2:$BQ$1001,MATCH(ROWS($AH$2:AH162),$AH$2:$AH$1001,0),MATCH(COLUMNS($AO$1006:AV1006),$AO$1006:$BQ$1006,0)), HYPERLINK("#",""), HYPERLINK(CONCATENATE("#Metadata!", ADDRESS(INDEX($AJ$2:$AJ$1001,MATCH(ROWS($AH$2:AH162),$AH$2:$AH$1001,0),0), INDEX($AO$1004:$BQ$1004,1,MATCH(COLUMNS($AO$1006:AV1006),$AO$1006:$BQ$1006,0)))),"Fix")))</f>
        <v>#N/A</v>
      </c>
      <c r="J162" s="5" t="e">
        <f ca="1">IF(OR(INDEX($AI$2:$AI$1001,MATCH(ROWS($AH$2:AH162),$AH$2:$AH$1001,0),1)&gt;=100000,INDEX($AO$1005:$BQ$1005,1,MATCH(COLUMNS($AO$1006:AW1006),$AO$1006:$BQ$1006,0))&gt;=100000), " ",IF(INDEX($AO$2:$BQ$1001,MATCH(ROWS($AH$2:AH162),$AH$2:$AH$1001,0),MATCH(COLUMNS($AO$1006:AW1006),$AO$1006:$BQ$1006,0)), HYPERLINK("#",""), HYPERLINK(CONCATENATE("#Metadata!", ADDRESS(INDEX($AJ$2:$AJ$1001,MATCH(ROWS($AH$2:AH162),$AH$2:$AH$1001,0),0), INDEX($AO$1004:$BQ$1004,1,MATCH(COLUMNS($AO$1006:AW1006),$AO$1006:$BQ$1006,0)))),"Fix")))</f>
        <v>#N/A</v>
      </c>
      <c r="K162" s="5" t="e">
        <f ca="1">IF(OR(INDEX($AI$2:$AI$1001,MATCH(ROWS($AH$2:AH162),$AH$2:$AH$1001,0),1)&gt;=100000,INDEX($AO$1005:$BQ$1005,1,MATCH(COLUMNS($AO$1006:AX1006),$AO$1006:$BQ$1006,0))&gt;=100000), " ",IF(INDEX($AO$2:$BQ$1001,MATCH(ROWS($AH$2:AH162),$AH$2:$AH$1001,0),MATCH(COLUMNS($AO$1006:AX1006),$AO$1006:$BQ$1006,0)), HYPERLINK("#",""), HYPERLINK(CONCATENATE("#Metadata!", ADDRESS(INDEX($AJ$2:$AJ$1001,MATCH(ROWS($AH$2:AH162),$AH$2:$AH$1001,0),0), INDEX($AO$1004:$BQ$1004,1,MATCH(COLUMNS($AO$1006:AX1006),$AO$1006:$BQ$1006,0)))),"Fix")))</f>
        <v>#N/A</v>
      </c>
      <c r="L162" s="5" t="e">
        <f ca="1">IF(OR(INDEX($AI$2:$AI$1001,MATCH(ROWS($AH$2:AH162),$AH$2:$AH$1001,0),1)&gt;=100000,INDEX($AO$1005:$BQ$1005,1,MATCH(COLUMNS($AO$1006:AY1006),$AO$1006:$BQ$1006,0))&gt;=100000), " ",IF(INDEX($AO$2:$BQ$1001,MATCH(ROWS($AH$2:AH162),$AH$2:$AH$1001,0),MATCH(COLUMNS($AO$1006:AY1006),$AO$1006:$BQ$1006,0)), HYPERLINK("#",""), HYPERLINK(CONCATENATE("#Metadata!", ADDRESS(INDEX($AJ$2:$AJ$1001,MATCH(ROWS($AH$2:AH162),$AH$2:$AH$1001,0),0), INDEX($AO$1004:$BQ$1004,1,MATCH(COLUMNS($AO$1006:AY1006),$AO$1006:$BQ$1006,0)))),"Fix")))</f>
        <v>#N/A</v>
      </c>
      <c r="M162" s="5" t="e">
        <f ca="1">IF(OR(INDEX($AI$2:$AI$1001,MATCH(ROWS($AH$2:AH162),$AH$2:$AH$1001,0),1)&gt;=100000,INDEX($AO$1005:$BQ$1005,1,MATCH(COLUMNS($AO$1006:AZ1006),$AO$1006:$BQ$1006,0))&gt;=100000), " ",IF(INDEX($AO$2:$BQ$1001,MATCH(ROWS($AH$2:AH162),$AH$2:$AH$1001,0),MATCH(COLUMNS($AO$1006:AZ1006),$AO$1006:$BQ$1006,0)), HYPERLINK("#",""), HYPERLINK(CONCATENATE("#Metadata!", ADDRESS(INDEX($AJ$2:$AJ$1001,MATCH(ROWS($AH$2:AH162),$AH$2:$AH$1001,0),0), INDEX($AO$1004:$BQ$1004,1,MATCH(COLUMNS($AO$1006:AZ1006),$AO$1006:$BQ$1006,0)))),"Fix")))</f>
        <v>#N/A</v>
      </c>
      <c r="N162" s="5" t="e">
        <f ca="1">IF(OR(INDEX($AI$2:$AI$1001,MATCH(ROWS($AH$2:AH162),$AH$2:$AH$1001,0),1)&gt;=100000,INDEX($AO$1005:$BQ$1005,1,MATCH(COLUMNS($AO$1006:BA1006),$AO$1006:$BQ$1006,0))&gt;=100000), " ",IF(INDEX($AO$2:$BQ$1001,MATCH(ROWS($AH$2:AH162),$AH$2:$AH$1001,0),MATCH(COLUMNS($AO$1006:BA1006),$AO$1006:$BQ$1006,0)), HYPERLINK("#",""), HYPERLINK(CONCATENATE("#Metadata!", ADDRESS(INDEX($AJ$2:$AJ$1001,MATCH(ROWS($AH$2:AH162),$AH$2:$AH$1001,0),0), INDEX($AO$1004:$BQ$1004,1,MATCH(COLUMNS($AO$1006:BA1006),$AO$1006:$BQ$1006,0)))),"Fix")))</f>
        <v>#N/A</v>
      </c>
      <c r="O162" s="5" t="e">
        <f ca="1">IF(OR(INDEX($AI$2:$AI$1001,MATCH(ROWS($AH$2:AH162),$AH$2:$AH$1001,0),1)&gt;=100000,INDEX($AO$1005:$BQ$1005,1,MATCH(COLUMNS($AO$1006:BB1006),$AO$1006:$BQ$1006,0))&gt;=100000), " ",IF(INDEX($AO$2:$BQ$1001,MATCH(ROWS($AH$2:AH162),$AH$2:$AH$1001,0),MATCH(COLUMNS($AO$1006:BB1006),$AO$1006:$BQ$1006,0)), HYPERLINK("#",""), HYPERLINK(CONCATENATE("#Metadata!", ADDRESS(INDEX($AJ$2:$AJ$1001,MATCH(ROWS($AH$2:AH162),$AH$2:$AH$1001,0),0), INDEX($AO$1004:$BQ$1004,1,MATCH(COLUMNS($AO$1006:BB1006),$AO$1006:$BQ$1006,0)))),"Fix")))</f>
        <v>#N/A</v>
      </c>
      <c r="P162" s="5" t="e">
        <f ca="1">IF(OR(INDEX($AI$2:$AI$1001,MATCH(ROWS($AH$2:AH162),$AH$2:$AH$1001,0),1)&gt;=100000,INDEX($AO$1005:$BQ$1005,1,MATCH(COLUMNS($AO$1006:BC1006),$AO$1006:$BQ$1006,0))&gt;=100000), " ",IF(INDEX($AO$2:$BQ$1001,MATCH(ROWS($AH$2:AH162),$AH$2:$AH$1001,0),MATCH(COLUMNS($AO$1006:BC1006),$AO$1006:$BQ$1006,0)), HYPERLINK("#",""), HYPERLINK(CONCATENATE("#Metadata!", ADDRESS(INDEX($AJ$2:$AJ$1001,MATCH(ROWS($AH$2:AH162),$AH$2:$AH$1001,0),0), INDEX($AO$1004:$BQ$1004,1,MATCH(COLUMNS($AO$1006:BC1006),$AO$1006:$BQ$1006,0)))),"Fix")))</f>
        <v>#N/A</v>
      </c>
      <c r="Q162" s="5" t="e">
        <f ca="1">IF(OR(INDEX($AI$2:$AI$1001,MATCH(ROWS($AH$2:AH162),$AH$2:$AH$1001,0),1)&gt;=100000,INDEX($AO$1005:$BQ$1005,1,MATCH(COLUMNS($AO$1006:BD1006),$AO$1006:$BQ$1006,0))&gt;=100000), " ",IF(INDEX($AO$2:$BQ$1001,MATCH(ROWS($AH$2:AH162),$AH$2:$AH$1001,0),MATCH(COLUMNS($AO$1006:BD1006),$AO$1006:$BQ$1006,0)), HYPERLINK("#",""), HYPERLINK(CONCATENATE("#Metadata!", ADDRESS(INDEX($AJ$2:$AJ$1001,MATCH(ROWS($AH$2:AH162),$AH$2:$AH$1001,0),0), INDEX($AO$1004:$BQ$1004,1,MATCH(COLUMNS($AO$1006:BD1006),$AO$1006:$BQ$1006,0)))),"Fix")))</f>
        <v>#N/A</v>
      </c>
      <c r="R162" s="5" t="e">
        <f ca="1">IF(OR(INDEX($AI$2:$AI$1001,MATCH(ROWS($AH$2:AH162),$AH$2:$AH$1001,0),1)&gt;=100000,INDEX($AO$1005:$BQ$1005,1,MATCH(COLUMNS($AO$1006:BE1006),$AO$1006:$BQ$1006,0))&gt;=100000), " ",IF(INDEX($AO$2:$BQ$1001,MATCH(ROWS($AH$2:AH162),$AH$2:$AH$1001,0),MATCH(COLUMNS($AO$1006:BE1006),$AO$1006:$BQ$1006,0)), HYPERLINK("#",""), HYPERLINK(CONCATENATE("#Metadata!", ADDRESS(INDEX($AJ$2:$AJ$1001,MATCH(ROWS($AH$2:AH162),$AH$2:$AH$1001,0),0), INDEX($AO$1004:$BQ$1004,1,MATCH(COLUMNS($AO$1006:BE1006),$AO$1006:$BQ$1006,0)))),"Fix")))</f>
        <v>#N/A</v>
      </c>
      <c r="S162" s="5" t="e">
        <f ca="1">IF(OR(INDEX($AI$2:$AI$1001,MATCH(ROWS($AH$2:AH162),$AH$2:$AH$1001,0),1)&gt;=100000,INDEX($AO$1005:$BQ$1005,1,MATCH(COLUMNS($AO$1006:BF1006),$AO$1006:$BQ$1006,0))&gt;=100000), " ",IF(INDEX($AO$2:$BQ$1001,MATCH(ROWS($AH$2:AH162),$AH$2:$AH$1001,0),MATCH(COLUMNS($AO$1006:BF1006),$AO$1006:$BQ$1006,0)), HYPERLINK("#",""), HYPERLINK(CONCATENATE("#Metadata!", ADDRESS(INDEX($AJ$2:$AJ$1001,MATCH(ROWS($AH$2:AH162),$AH$2:$AH$1001,0),0), INDEX($AO$1004:$BQ$1004,1,MATCH(COLUMNS($AO$1006:BF1006),$AO$1006:$BQ$1006,0)))),"Fix")))</f>
        <v>#N/A</v>
      </c>
      <c r="T162" s="5" t="e">
        <f ca="1">IF(OR(INDEX($AI$2:$AI$1001,MATCH(ROWS($AH$2:AH162),$AH$2:$AH$1001,0),1)&gt;=100000,INDEX($AO$1005:$BQ$1005,1,MATCH(COLUMNS($AO$1006:BG1006),$AO$1006:$BQ$1006,0))&gt;=100000), " ",IF(INDEX($AO$2:$BQ$1001,MATCH(ROWS($AH$2:AH162),$AH$2:$AH$1001,0),MATCH(COLUMNS($AO$1006:BG1006),$AO$1006:$BQ$1006,0)), HYPERLINK("#",""), HYPERLINK(CONCATENATE("#Metadata!", ADDRESS(INDEX($AJ$2:$AJ$1001,MATCH(ROWS($AH$2:AH162),$AH$2:$AH$1001,0),0), INDEX($AO$1004:$BQ$1004,1,MATCH(COLUMNS($AO$1006:BG1006),$AO$1006:$BQ$1006,0)))),"Fix")))</f>
        <v>#N/A</v>
      </c>
      <c r="U162" s="5" t="e">
        <f ca="1">IF(OR(INDEX($AI$2:$AI$1001,MATCH(ROWS($AH$2:AH162),$AH$2:$AH$1001,0),1)&gt;=100000,INDEX($AO$1005:$BQ$1005,1,MATCH(COLUMNS($AO$1006:BH1006),$AO$1006:$BQ$1006,0))&gt;=100000), " ",IF(INDEX($AO$2:$BQ$1001,MATCH(ROWS($AH$2:AH162),$AH$2:$AH$1001,0),MATCH(COLUMNS($AO$1006:BH1006),$AO$1006:$BQ$1006,0)), HYPERLINK("#",""), HYPERLINK(CONCATENATE("#Metadata!", ADDRESS(INDEX($AJ$2:$AJ$1001,MATCH(ROWS($AH$2:AH162),$AH$2:$AH$1001,0),0), INDEX($AO$1004:$BQ$1004,1,MATCH(COLUMNS($AO$1006:BH1006),$AO$1006:$BQ$1006,0)))),"Fix")))</f>
        <v>#N/A</v>
      </c>
      <c r="V162" s="5" t="e">
        <f ca="1">IF(OR(INDEX($AI$2:$AI$1001,MATCH(ROWS($AH$2:AH162),$AH$2:$AH$1001,0),1)&gt;=100000,INDEX($AO$1005:$BQ$1005,1,MATCH(COLUMNS($AO$1006:BI1006),$AO$1006:$BQ$1006,0))&gt;=100000), " ",IF(INDEX($AO$2:$BQ$1001,MATCH(ROWS($AH$2:AH162),$AH$2:$AH$1001,0),MATCH(COLUMNS($AO$1006:BI1006),$AO$1006:$BQ$1006,0)), HYPERLINK("#",""), HYPERLINK(CONCATENATE("#Metadata!", ADDRESS(INDEX($AJ$2:$AJ$1001,MATCH(ROWS($AH$2:AH162),$AH$2:$AH$1001,0),0), INDEX($AO$1004:$BQ$1004,1,MATCH(COLUMNS($AO$1006:BI1006),$AO$1006:$BQ$1006,0)))),"Fix")))</f>
        <v>#N/A</v>
      </c>
      <c r="W162" s="5" t="e">
        <f ca="1">IF(OR(INDEX($AI$2:$AI$1001,MATCH(ROWS($AH$2:AH162),$AH$2:$AH$1001,0),1)&gt;=100000,INDEX($AO$1005:$BQ$1005,1,MATCH(COLUMNS($AO$1006:BJ1006),$AO$1006:$BQ$1006,0))&gt;=100000), " ",IF(INDEX($AO$2:$BQ$1001,MATCH(ROWS($AH$2:AH162),$AH$2:$AH$1001,0),MATCH(COLUMNS($AO$1006:BJ1006),$AO$1006:$BQ$1006,0)), HYPERLINK("#",""), HYPERLINK(CONCATENATE("#Metadata!", ADDRESS(INDEX($AJ$2:$AJ$1001,MATCH(ROWS($AH$2:AH162),$AH$2:$AH$1001,0),0), INDEX($AO$1004:$BQ$1004,1,MATCH(COLUMNS($AO$1006:BJ1006),$AO$1006:$BQ$1006,0)))),"Fix")))</f>
        <v>#N/A</v>
      </c>
      <c r="X162" s="5" t="e">
        <f ca="1">IF(OR(INDEX($AI$2:$AI$1001,MATCH(ROWS($AH$2:AH162),$AH$2:$AH$1001,0),1)&gt;=100000,INDEX($AO$1005:$BQ$1005,1,MATCH(COLUMNS($AO$1006:BK1006),$AO$1006:$BQ$1006,0))&gt;=100000), " ",IF(INDEX($AO$2:$BQ$1001,MATCH(ROWS($AH$2:AH162),$AH$2:$AH$1001,0),MATCH(COLUMNS($AO$1006:BK1006),$AO$1006:$BQ$1006,0)), HYPERLINK("#",""), HYPERLINK(CONCATENATE("#Metadata!", ADDRESS(INDEX($AJ$2:$AJ$1001,MATCH(ROWS($AH$2:AH162),$AH$2:$AH$1001,0),0), INDEX($AO$1004:$BQ$1004,1,MATCH(COLUMNS($AO$1006:BK1006),$AO$1006:$BQ$1006,0)))),"Fix")))</f>
        <v>#N/A</v>
      </c>
      <c r="Y162" s="5" t="e">
        <f ca="1">IF(OR(INDEX($AI$2:$AI$1001,MATCH(ROWS($AH$2:AH162),$AH$2:$AH$1001,0),1)&gt;=100000,INDEX($AO$1005:$BQ$1005,1,MATCH(COLUMNS($AO$1006:BL1006),$AO$1006:$BQ$1006,0))&gt;=100000), " ",IF(INDEX($AO$2:$BQ$1001,MATCH(ROWS($AH$2:AH162),$AH$2:$AH$1001,0),MATCH(COLUMNS($AO$1006:BL1006),$AO$1006:$BQ$1006,0)), HYPERLINK("#",""), HYPERLINK(CONCATENATE("#Metadata!", ADDRESS(INDEX($AJ$2:$AJ$1001,MATCH(ROWS($AH$2:AH162),$AH$2:$AH$1001,0),0), INDEX($AO$1004:$BQ$1004,1,MATCH(COLUMNS($AO$1006:BL1006),$AO$1006:$BQ$1006,0)))),"Fix")))</f>
        <v>#N/A</v>
      </c>
      <c r="Z162" s="5" t="e">
        <f ca="1">IF(OR(INDEX($AI$2:$AI$1001,MATCH(ROWS($AH$2:AH162),$AH$2:$AH$1001,0),1)&gt;=100000,INDEX($AO$1005:$BQ$1005,1,MATCH(COLUMNS($AO$1006:BM1006),$AO$1006:$BQ$1006,0))&gt;=100000), " ",IF(INDEX($AO$2:$BQ$1001,MATCH(ROWS($AH$2:AH162),$AH$2:$AH$1001,0),MATCH(COLUMNS($AO$1006:BM1006),$AO$1006:$BQ$1006,0)), HYPERLINK("#",""), HYPERLINK(CONCATENATE("#Metadata!", ADDRESS(INDEX($AJ$2:$AJ$1001,MATCH(ROWS($AH$2:AH162),$AH$2:$AH$1001,0),0), INDEX($AO$1004:$BQ$1004,1,MATCH(COLUMNS($AO$1006:BM1006),$AO$1006:$BQ$1006,0)))),"Fix")))</f>
        <v>#N/A</v>
      </c>
      <c r="AA162" s="5" t="e">
        <f ca="1">IF(OR(INDEX($AI$2:$AI$1001,MATCH(ROWS($AH$2:AH162),$AH$2:$AH$1001,0),1)&gt;=100000,INDEX($AO$1005:$BQ$1005,1,MATCH(COLUMNS($AO$1006:BN1006),$AO$1006:$BQ$1006,0))&gt;=100000), " ",IF(INDEX($AO$2:$BQ$1001,MATCH(ROWS($AH$2:AH162),$AH$2:$AH$1001,0),MATCH(COLUMNS($AO$1006:BN1006),$AO$1006:$BQ$1006,0)), HYPERLINK("#",""), HYPERLINK(CONCATENATE("#Metadata!", ADDRESS(INDEX($AJ$2:$AJ$1001,MATCH(ROWS($AH$2:AH162),$AH$2:$AH$1001,0),0), INDEX($AO$1004:$BQ$1004,1,MATCH(COLUMNS($AO$1006:BN1006),$AO$1006:$BQ$1006,0)))),"Fix")))</f>
        <v>#N/A</v>
      </c>
      <c r="AB162" s="5" t="e">
        <f ca="1">IF(OR(INDEX($AI$2:$AI$1001,MATCH(ROWS($AH$2:AH162),$AH$2:$AH$1001,0),1)&gt;=100000,INDEX($AO$1005:$BQ$1005,1,MATCH(COLUMNS($AO$1006:BO1006),$AO$1006:$BQ$1006,0))&gt;=100000), " ",IF(INDEX($AO$2:$BQ$1001,MATCH(ROWS($AH$2:AH162),$AH$2:$AH$1001,0),MATCH(COLUMNS($AO$1006:BO1006),$AO$1006:$BQ$1006,0)), HYPERLINK("#",""), HYPERLINK(CONCATENATE("#Metadata!", ADDRESS(INDEX($AJ$2:$AJ$1001,MATCH(ROWS($AH$2:AH162),$AH$2:$AH$1001,0),0), INDEX($AO$1004:$BQ$1004,1,MATCH(COLUMNS($AO$1006:BO1006),$AO$1006:$BQ$1006,0)))),"Fix")))</f>
        <v>#N/A</v>
      </c>
      <c r="AC162" s="5" t="e">
        <f ca="1">IF(OR(INDEX($AI$2:$AI$1001,MATCH(ROWS($AH$2:AH162),$AH$2:$AH$1001,0),1)&gt;=100000,INDEX($AO$1005:$BQ$1005,1,MATCH(COLUMNS($AO$1006:BP1006),$AO$1006:$BQ$1006,0))&gt;=100000), " ",IF(INDEX($AO$2:$BQ$1001,MATCH(ROWS($AH$2:AH162),$AH$2:$AH$1001,0),MATCH(COLUMNS($AO$1006:BP1006),$AO$1006:$BQ$1006,0)), HYPERLINK("#",""), HYPERLINK(CONCATENATE("#Metadata!", ADDRESS(INDEX($AJ$2:$AJ$1001,MATCH(ROWS($AH$2:AH162),$AH$2:$AH$1001,0),0), INDEX($AO$1004:$BQ$1004,1,MATCH(COLUMNS($AO$1006:BP1006),$AO$1006:$BQ$1006,0)))),"Fix")))</f>
        <v>#N/A</v>
      </c>
      <c r="AD162" s="5" t="e">
        <f ca="1">IF(OR(INDEX($AI$2:$AI$1001,MATCH(ROWS($AH$2:AH162),$AH$2:$AH$1001,0),1)&gt;=100000,INDEX($AO$1005:$BQ$1005,1,MATCH(COLUMNS($AO$1006:BQ1006),$AO$1006:$BQ$1006,0))&gt;=100000), " ",IF(INDEX($AO$2:$BQ$1001,MATCH(ROWS($AH$2:AH162),$AH$2:$AH$1001,0),MATCH(COLUMNS($AO$1006:BQ1006),$AO$1006:$BQ$1006,0)), HYPERLINK("#",""), HYPERLINK(CONCATENATE("#Metadata!", ADDRESS(INDEX($AJ$2:$AJ$1001,MATCH(ROWS($AH$2:AH162),$AH$2:$AH$1001,0),0), INDEX($AO$1004:$BQ$1004,1,MATCH(COLUMNS($AO$1006:BQ1006),$AO$1006:$BQ$1006,0)))),"Fix")))</f>
        <v>#REF!</v>
      </c>
      <c r="AH162">
        <f ca="1"/>
        <v>159</v>
      </c>
      <c r="AI162">
        <v>100162</v>
      </c>
      <c r="AJ162">
        <v>162</v>
      </c>
      <c r="AK162" t="b">
        <f t="shared" si="2"/>
        <v>1</v>
      </c>
      <c r="AL162" t="b">
        <f>COUNTBLANK(Metadata!B162:AD162)=COLUMNS(Metadata!B162:AD162)</f>
        <v>1</v>
      </c>
      <c r="AM162" t="str">
        <v/>
      </c>
      <c r="AO162" t="b">
        <f ca="1">AND(IF(Metadata!B162="",FALSE,TRUE),COUNTIF(Metadata!B:B, Metadata!B162) = 1,NOT(ISERROR(SUMPRODUCT(SEARCH(MID(Metadata!B162,ROW(INDIRECT("1:"&amp;LEN(Metadata!B162))), 1),"0123456789abcdefghijklmnopqrstuvwxyzABCDEFGHIJKLMNOPQRSTUVWXYZ.")))))</f>
        <v>0</v>
      </c>
      <c r="AP162" t="b">
        <f>IF(Metadata!C162="",FALSE,TRUE)</f>
        <v>0</v>
      </c>
      <c r="AQ162" t="b">
        <f>IF(Metadata!D162="",FALSE,TRUE)</f>
        <v>0</v>
      </c>
      <c r="AR162" t="b">
        <f ca="1">OR(AND(IF(Metadata!E162="",FALSE,TRUE),OR(EXACT(Metadata!E162,"not collected"),EXACT(Metadata!E162,"not provided"),EXACT(Metadata!E162,"restricted access"))),AND(IF(Metadata!E162="",FALSE,TRUE),AND(AND(IFERROR(INT(LEFT(Metadata!E162,4))&gt;1900,FALSE),IFERROR(INT(LEFT(Metadata!E162,4))&lt;=YEAR(NOW()),FALSE)), OR(MID(Metadata!E162,5,1)="", AND(AND(MID(Metadata!E162,5,1)="-",IFERROR(INT(MID(Metadata!E162,6,1))&gt;=0,FALSE),IFERROR(INT(MID(Metadata!E162,6,1))&lt;=1,FALSE),NOT(MID(Metadata!E162,7,1)=""),IFERROR(INT(MID(Metadata!E162,6,2))&gt;=1,FALSE),IFERROR(INT(MID(Metadata!E162,6,2))&lt;=12,FALSE)), OR(MID(Metadata!E162,8,1)="", AND(AND(MID(Metadata!E162,8,1)="-",IFERROR(INT(MID(Metadata!E162,9,1))&gt;=0,FALSE),IFERROR(INT(MID(Metadata!E162,9,1))&lt;=3,FALSE),NOT(MID(Metadata!E162,10,1)=""),IFERROR(INT(MID(Metadata!E162,9,2))&gt;=1,FALSE),IFERROR(INT(MID(Metadata!E162,9,2))&lt;=31,FALSE)), OR(MID(Metadata!E162,11,1)="", AND(AND(MID(Metadata!E162,11,1)=" ",IFERROR(INT(MID(Metadata!E162,12,1))&gt;=0,FALSE),IFERROR(INT(MID(Metadata!E162,12,1))&lt;=2,FALSE),NOT(MID(Metadata!E162,13,1)=""),IFERROR(INT(MID(Metadata!E162,12,2))&gt;=0,FALSE),IFERROR(INT(MID(Metadata!E162,12,2))&lt;=23,FALSE)), OR(MID(Metadata!E162,14,1)="", AND(AND(MID(Metadata!E162,14,1)=":",IFERROR(INT(MID(Metadata!E162,15,1))&gt;=0,FALSE),IFERROR(INT(MID(Metadata!E162,15,1))&lt;=5,FALSE),NOT(MID(Metadata!E162,16,1)=""),IFERROR(INT(MID(Metadata!E162,15,2))&gt;=0,FALSE),IFERROR(INT(MID(Metadata!E162,15,2))&lt;=59,FALSE)), OR(MID(Metadata!E162,17,1)="", AND(AND(MID(Metadata!E162,17,1)=":",IFERROR(INT(MID(Metadata!E162,18,1))&gt;=0,FALSE),IFERROR(INT(MID(Metadata!E162,18,1))&lt;=5,FALSE),NOT(MID(Metadata!E162,19,1)=""),IFERROR(INT(MID(Metadata!E162,18,2))&gt;=0,FALSE),IFERROR(INT(MID(Metadata!E162,18,2))&lt;=59,FALSE)), LEN(Metadata!E162)&lt;=19)))))))))))))</f>
        <v>0</v>
      </c>
      <c r="AS162" t="b">
        <f>IF(Metadata!F162="",FALSE,TRUE)</f>
        <v>0</v>
      </c>
      <c r="AT162" t="b">
        <f>OR(AND(IF(Metadata!G162="",FALSE,TRUE),OR(EXACT(Metadata!G162,"not collected"),EXACT(Metadata!G162,"not provided"))),AND(IF(Metadata!G162="",FALSE,TRUE),OR(EXACT(Metadata!G162,"TRUE"),EXACT(Metadata!G162,"FALSE"))))</f>
        <v>0</v>
      </c>
      <c r="AU162" t="b">
        <f>OR(AND(IF(Metadata!H162="",FALSE,TRUE),OR(EXACT(Metadata!H162,"not collected"),EXACT(Metadata!H162,"not provided"),EXACT(Metadata!H162,"restricted access"))),AND(IF(Metadata!H162="",FALSE,ISNUMBER(VALUE(Metadata!H162))),Metadata!H162&gt;=-413))</f>
        <v>0</v>
      </c>
      <c r="AV162" t="b">
        <f>AND(IF(Metadata!I162="",FALSE,TRUE),EXACT(Metadata!I162,"meters"))</f>
        <v>0</v>
      </c>
      <c r="AW162" t="b">
        <f>AND(IF(Metadata!J162="",FALSE,TRUE),EXACT(Metadata!J162,"free-living"))</f>
        <v>0</v>
      </c>
      <c r="AX162" t="b">
        <f>AND(IF(Metadata!K162="",FALSE,TRUE),OR(EXACT(Metadata!K162,"saline"),EXACT(Metadata!K162,"non-saline")))</f>
        <v>0</v>
      </c>
      <c r="AY162" t="b">
        <f>AND(IF(Metadata!L162="",FALSE,TRUE),OR(EXACT(Metadata!L162,"sub-surface (non-saline)"),EXACT(Metadata!L162,"surface (non-saline)"),EXACT(Metadata!L162,"water (non-saline)"),EXACT(Metadata!L162,"soil (non-saline)"),EXACT(Metadata!L162,"aerosol (non-saline)"),EXACT(Metadata!L162,"sediment (non-saline)"),EXACT(Metadata!L162,"surface (saline)"),EXACT(Metadata!L162,"water (saline)"),EXACT(Metadata!L162,"hypersaline (saline)"),EXACT(Metadata!L162,"aerosol (saline)"),EXACT(Metadata!L162,"sediment (saline)")))</f>
        <v>0</v>
      </c>
      <c r="AZ162" t="b">
        <f>IF(Metadata!M162="",FALSE,TRUE)</f>
        <v>0</v>
      </c>
      <c r="BA162" t="b">
        <f>IF(Metadata!N162="",FALSE,TRUE)</f>
        <v>0</v>
      </c>
      <c r="BB162" t="b">
        <f>IF(Metadata!O162="",FALSE,TRUE)</f>
        <v>0</v>
      </c>
      <c r="BC162" t="b">
        <f>AND(IF(Metadata!P162="",FALSE,TRUE),OR(EXACT(Metadata!P162,"air"),EXACT(Metadata!P162,"microbial mat/biofilm"),EXACT(Metadata!P162,"misc environment"),EXACT(Metadata!P162,"sediment"),EXACT(Metadata!P162,"soil"),EXACT(Metadata!P162,"wastewater/sludge"),EXACT(Metadata!P162,"water")))</f>
        <v>0</v>
      </c>
      <c r="BD162" t="b">
        <f>IF(Metadata!Q162="",FALSE,TRUE)</f>
        <v>0</v>
      </c>
      <c r="BE162" t="b">
        <f>IF(Metadata!R162="",FALSE,TRUE)</f>
        <v>0</v>
      </c>
      <c r="BF162" t="b">
        <f>OR(AND(IF(Metadata!S162="",FALSE,TRUE),OR(EXACT(Metadata!S162,"not collected"),EXACT(Metadata!S162,"not provided"),EXACT(Metadata!S162,"restricted access"))),AND(IF(Metadata!S162="",FALSE,ISNUMBER(VALUE(Metadata!S162))),Metadata!S162&gt;=-90,Metadata!S162&lt;=90))</f>
        <v>0</v>
      </c>
      <c r="BG162" t="b">
        <f>AND(IF(Metadata!T162="",FALSE,TRUE),EXACT(Metadata!T162,"Decimal degrees"))</f>
        <v>0</v>
      </c>
      <c r="BH162" t="b">
        <f>OR(AND(IF(Metadata!U162="",FALSE,TRUE),OR(EXACT(Metadata!U162,"not applicable"),EXACT(Metadata!U162,"not collected"))),IF(Metadata!U162="",FALSE,TRUE))</f>
        <v>0</v>
      </c>
      <c r="BI162" t="b">
        <f>OR(AND(IF(Metadata!V162="",FALSE,TRUE),OR(EXACT(Metadata!V162,"not collected"),EXACT(Metadata!V162,"not provided"),EXACT(Metadata!V162,"restricted access"))),AND(IF(Metadata!V162="",FALSE,ISNUMBER(VALUE(Metadata!V162))),Metadata!V162&gt;=-180,Metadata!V162&lt;=180))</f>
        <v>0</v>
      </c>
      <c r="BJ162" t="b">
        <f>AND(IF(Metadata!W162="",FALSE,TRUE),EXACT(Metadata!W162,"Decimal degrees"))</f>
        <v>0</v>
      </c>
      <c r="BK162" t="b">
        <f>IF(Metadata!X162="",FALSE,TRUE)</f>
        <v>0</v>
      </c>
      <c r="BL162" t="b">
        <f>OR(AND(IF(Metadata!Y162="",FALSE,TRUE),OR(EXACT(Metadata!Y162,"not collected"),EXACT(Metadata!Y162,"not provided"),EXACT(Metadata!Y162,"restricted access"))),AND(IF(Metadata!Y162="",FALSE,TRUE),OR(EXACT(Metadata!Y162,"TRUE"),EXACT(Metadata!Y162,"FALSE"))))</f>
        <v>0</v>
      </c>
      <c r="BM162" t="b">
        <f>OR(AND(IF(Metadata!Z162="",FALSE,TRUE),EXACT(Metadata!Z162,"not applicable")),AND(IF(Metadata!Z162="",FALSE,TRUE),OR(EXACT(Metadata!Z162,"beer"),EXACT(Metadata!Z162,"cheese"),EXACT(Metadata!Z162,"fresh water"),EXACT(Metadata!Z162,"marine sediment"),EXACT(Metadata!Z162,"sea water"),EXACT(Metadata!Z162,"sediment"),EXACT(Metadata!Z162,"soil"),EXACT(Metadata!Z162,"waste water"))))</f>
        <v>0</v>
      </c>
      <c r="BN162" t="b">
        <f>AND(IF(Metadata!AA162="",FALSE,TRUE),EXACT(Metadata!AA162,"metagenome"))</f>
        <v>0</v>
      </c>
      <c r="BO162" t="b">
        <f>AND(IF(Metadata!AB162="",FALSE,TRUE),EXACT(Metadata!AB162,"256318"))</f>
        <v>0</v>
      </c>
      <c r="BP162" t="b">
        <f>IF(Metadata!AC162="",FALSE,TRUE)</f>
        <v>0</v>
      </c>
      <c r="BQ162" t="b">
        <f>IF(Metadata!AD162="",FALSE,TRUE)</f>
        <v>0</v>
      </c>
    </row>
    <row r="163" spans="1:69" x14ac:dyDescent="0.2">
      <c r="A163" s="4" t="e">
        <f ca="1">IF(B163=" "," ",HYPERLINK(CONCATENATE("#metadata!",ADDRESS(INDEX($AJ$2:$AJ$1001,MATCH(ROWS($AH$2:AH163),$AH$2:$AH$1001,0),0),2)),INDEX($AM$2:$AM$1001,MATCH(ROWS($AH$2:AH163),$AH$2:$AH$1001,0),0)))</f>
        <v>#N/A</v>
      </c>
      <c r="B163" s="5" t="e">
        <f ca="1">IF(OR(INDEX($AI$2:$AI$1001,MATCH(ROWS($AH$2:AH163),$AH$2:$AH$1001,0),1)&gt;=100000,INDEX($AO$1005:$BQ$1005,1,MATCH(COLUMNS($AO$1006:AO1006),$AO$1006:$BQ$1006,0))&gt;=100000), " ",IF(INDEX($AO$2:$BQ$1001,MATCH(ROWS($AH$2:AH163),$AH$2:$AH$1001,0),MATCH(COLUMNS($AO$1006:AO1006),$AO$1006:$BQ$1006,0)), HYPERLINK("#",""), HYPERLINK(CONCATENATE("#Metadata!", ADDRESS(INDEX($AJ$2:$AJ$1001,MATCH(ROWS($AH$2:AH163),$AH$2:$AH$1001,0),0), INDEX($AO$1004:$BQ$1004,1,MATCH(COLUMNS($AO$1006:AO1006),$AO$1006:$BQ$1006,0)))),"Fix")))</f>
        <v>#N/A</v>
      </c>
      <c r="C163" s="5" t="e">
        <f ca="1">IF(OR(INDEX($AI$2:$AI$1001,MATCH(ROWS($AH$2:AH163),$AH$2:$AH$1001,0),1)&gt;=100000,INDEX($AO$1005:$BQ$1005,1,MATCH(COLUMNS($AO$1006:AP1006),$AO$1006:$BQ$1006,0))&gt;=100000), " ",IF(INDEX($AO$2:$BQ$1001,MATCH(ROWS($AH$2:AH163),$AH$2:$AH$1001,0),MATCH(COLUMNS($AO$1006:AP1006),$AO$1006:$BQ$1006,0)), HYPERLINK("#",""), HYPERLINK(CONCATENATE("#Metadata!", ADDRESS(INDEX($AJ$2:$AJ$1001,MATCH(ROWS($AH$2:AH163),$AH$2:$AH$1001,0),0), INDEX($AO$1004:$BQ$1004,1,MATCH(COLUMNS($AO$1006:AP1006),$AO$1006:$BQ$1006,0)))),"Fix")))</f>
        <v>#N/A</v>
      </c>
      <c r="D163" s="5" t="e">
        <f ca="1">IF(OR(INDEX($AI$2:$AI$1001,MATCH(ROWS($AH$2:AH163),$AH$2:$AH$1001,0),1)&gt;=100000,INDEX($AO$1005:$BQ$1005,1,MATCH(COLUMNS($AO$1006:AQ1006),$AO$1006:$BQ$1006,0))&gt;=100000), " ",IF(INDEX($AO$2:$BQ$1001,MATCH(ROWS($AH$2:AH163),$AH$2:$AH$1001,0),MATCH(COLUMNS($AO$1006:AQ1006),$AO$1006:$BQ$1006,0)), HYPERLINK("#",""), HYPERLINK(CONCATENATE("#Metadata!", ADDRESS(INDEX($AJ$2:$AJ$1001,MATCH(ROWS($AH$2:AH163),$AH$2:$AH$1001,0),0), INDEX($AO$1004:$BQ$1004,1,MATCH(COLUMNS($AO$1006:AQ1006),$AO$1006:$BQ$1006,0)))),"Fix")))</f>
        <v>#N/A</v>
      </c>
      <c r="E163" s="5" t="e">
        <f ca="1">IF(OR(INDEX($AI$2:$AI$1001,MATCH(ROWS($AH$2:AH163),$AH$2:$AH$1001,0),1)&gt;=100000,INDEX($AO$1005:$BQ$1005,1,MATCH(COLUMNS($AO$1006:AR1006),$AO$1006:$BQ$1006,0))&gt;=100000), " ",IF(INDEX($AO$2:$BQ$1001,MATCH(ROWS($AH$2:AH163),$AH$2:$AH$1001,0),MATCH(COLUMNS($AO$1006:AR1006),$AO$1006:$BQ$1006,0)), HYPERLINK("#",""), HYPERLINK(CONCATENATE("#Metadata!", ADDRESS(INDEX($AJ$2:$AJ$1001,MATCH(ROWS($AH$2:AH163),$AH$2:$AH$1001,0),0), INDEX($AO$1004:$BQ$1004,1,MATCH(COLUMNS($AO$1006:AR1006),$AO$1006:$BQ$1006,0)))),"Fix")))</f>
        <v>#N/A</v>
      </c>
      <c r="F163" s="5" t="e">
        <f ca="1">IF(OR(INDEX($AI$2:$AI$1001,MATCH(ROWS($AH$2:AH163),$AH$2:$AH$1001,0),1)&gt;=100000,INDEX($AO$1005:$BQ$1005,1,MATCH(COLUMNS($AO$1006:AS1006),$AO$1006:$BQ$1006,0))&gt;=100000), " ",IF(INDEX($AO$2:$BQ$1001,MATCH(ROWS($AH$2:AH163),$AH$2:$AH$1001,0),MATCH(COLUMNS($AO$1006:AS1006),$AO$1006:$BQ$1006,0)), HYPERLINK("#",""), HYPERLINK(CONCATENATE("#Metadata!", ADDRESS(INDEX($AJ$2:$AJ$1001,MATCH(ROWS($AH$2:AH163),$AH$2:$AH$1001,0),0), INDEX($AO$1004:$BQ$1004,1,MATCH(COLUMNS($AO$1006:AS1006),$AO$1006:$BQ$1006,0)))),"Fix")))</f>
        <v>#N/A</v>
      </c>
      <c r="G163" s="5" t="e">
        <f ca="1">IF(OR(INDEX($AI$2:$AI$1001,MATCH(ROWS($AH$2:AH163),$AH$2:$AH$1001,0),1)&gt;=100000,INDEX($AO$1005:$BQ$1005,1,MATCH(COLUMNS($AO$1006:AT1006),$AO$1006:$BQ$1006,0))&gt;=100000), " ",IF(INDEX($AO$2:$BQ$1001,MATCH(ROWS($AH$2:AH163),$AH$2:$AH$1001,0),MATCH(COLUMNS($AO$1006:AT1006),$AO$1006:$BQ$1006,0)), HYPERLINK("#",""), HYPERLINK(CONCATENATE("#Metadata!", ADDRESS(INDEX($AJ$2:$AJ$1001,MATCH(ROWS($AH$2:AH163),$AH$2:$AH$1001,0),0), INDEX($AO$1004:$BQ$1004,1,MATCH(COLUMNS($AO$1006:AT1006),$AO$1006:$BQ$1006,0)))),"Fix")))</f>
        <v>#N/A</v>
      </c>
      <c r="H163" s="5" t="e">
        <f ca="1">IF(OR(INDEX($AI$2:$AI$1001,MATCH(ROWS($AH$2:AH163),$AH$2:$AH$1001,0),1)&gt;=100000,INDEX($AO$1005:$BQ$1005,1,MATCH(COLUMNS($AO$1006:AU1006),$AO$1006:$BQ$1006,0))&gt;=100000), " ",IF(INDEX($AO$2:$BQ$1001,MATCH(ROWS($AH$2:AH163),$AH$2:$AH$1001,0),MATCH(COLUMNS($AO$1006:AU1006),$AO$1006:$BQ$1006,0)), HYPERLINK("#",""), HYPERLINK(CONCATENATE("#Metadata!", ADDRESS(INDEX($AJ$2:$AJ$1001,MATCH(ROWS($AH$2:AH163),$AH$2:$AH$1001,0),0), INDEX($AO$1004:$BQ$1004,1,MATCH(COLUMNS($AO$1006:AU1006),$AO$1006:$BQ$1006,0)))),"Fix")))</f>
        <v>#N/A</v>
      </c>
      <c r="I163" s="5" t="e">
        <f ca="1">IF(OR(INDEX($AI$2:$AI$1001,MATCH(ROWS($AH$2:AH163),$AH$2:$AH$1001,0),1)&gt;=100000,INDEX($AO$1005:$BQ$1005,1,MATCH(COLUMNS($AO$1006:AV1006),$AO$1006:$BQ$1006,0))&gt;=100000), " ",IF(INDEX($AO$2:$BQ$1001,MATCH(ROWS($AH$2:AH163),$AH$2:$AH$1001,0),MATCH(COLUMNS($AO$1006:AV1006),$AO$1006:$BQ$1006,0)), HYPERLINK("#",""), HYPERLINK(CONCATENATE("#Metadata!", ADDRESS(INDEX($AJ$2:$AJ$1001,MATCH(ROWS($AH$2:AH163),$AH$2:$AH$1001,0),0), INDEX($AO$1004:$BQ$1004,1,MATCH(COLUMNS($AO$1006:AV1006),$AO$1006:$BQ$1006,0)))),"Fix")))</f>
        <v>#N/A</v>
      </c>
      <c r="J163" s="5" t="e">
        <f ca="1">IF(OR(INDEX($AI$2:$AI$1001,MATCH(ROWS($AH$2:AH163),$AH$2:$AH$1001,0),1)&gt;=100000,INDEX($AO$1005:$BQ$1005,1,MATCH(COLUMNS($AO$1006:AW1006),$AO$1006:$BQ$1006,0))&gt;=100000), " ",IF(INDEX($AO$2:$BQ$1001,MATCH(ROWS($AH$2:AH163),$AH$2:$AH$1001,0),MATCH(COLUMNS($AO$1006:AW1006),$AO$1006:$BQ$1006,0)), HYPERLINK("#",""), HYPERLINK(CONCATENATE("#Metadata!", ADDRESS(INDEX($AJ$2:$AJ$1001,MATCH(ROWS($AH$2:AH163),$AH$2:$AH$1001,0),0), INDEX($AO$1004:$BQ$1004,1,MATCH(COLUMNS($AO$1006:AW1006),$AO$1006:$BQ$1006,0)))),"Fix")))</f>
        <v>#N/A</v>
      </c>
      <c r="K163" s="5" t="e">
        <f ca="1">IF(OR(INDEX($AI$2:$AI$1001,MATCH(ROWS($AH$2:AH163),$AH$2:$AH$1001,0),1)&gt;=100000,INDEX($AO$1005:$BQ$1005,1,MATCH(COLUMNS($AO$1006:AX1006),$AO$1006:$BQ$1006,0))&gt;=100000), " ",IF(INDEX($AO$2:$BQ$1001,MATCH(ROWS($AH$2:AH163),$AH$2:$AH$1001,0),MATCH(COLUMNS($AO$1006:AX1006),$AO$1006:$BQ$1006,0)), HYPERLINK("#",""), HYPERLINK(CONCATENATE("#Metadata!", ADDRESS(INDEX($AJ$2:$AJ$1001,MATCH(ROWS($AH$2:AH163),$AH$2:$AH$1001,0),0), INDEX($AO$1004:$BQ$1004,1,MATCH(COLUMNS($AO$1006:AX1006),$AO$1006:$BQ$1006,0)))),"Fix")))</f>
        <v>#N/A</v>
      </c>
      <c r="L163" s="5" t="e">
        <f ca="1">IF(OR(INDEX($AI$2:$AI$1001,MATCH(ROWS($AH$2:AH163),$AH$2:$AH$1001,0),1)&gt;=100000,INDEX($AO$1005:$BQ$1005,1,MATCH(COLUMNS($AO$1006:AY1006),$AO$1006:$BQ$1006,0))&gt;=100000), " ",IF(INDEX($AO$2:$BQ$1001,MATCH(ROWS($AH$2:AH163),$AH$2:$AH$1001,0),MATCH(COLUMNS($AO$1006:AY1006),$AO$1006:$BQ$1006,0)), HYPERLINK("#",""), HYPERLINK(CONCATENATE("#Metadata!", ADDRESS(INDEX($AJ$2:$AJ$1001,MATCH(ROWS($AH$2:AH163),$AH$2:$AH$1001,0),0), INDEX($AO$1004:$BQ$1004,1,MATCH(COLUMNS($AO$1006:AY1006),$AO$1006:$BQ$1006,0)))),"Fix")))</f>
        <v>#N/A</v>
      </c>
      <c r="M163" s="5" t="e">
        <f ca="1">IF(OR(INDEX($AI$2:$AI$1001,MATCH(ROWS($AH$2:AH163),$AH$2:$AH$1001,0),1)&gt;=100000,INDEX($AO$1005:$BQ$1005,1,MATCH(COLUMNS($AO$1006:AZ1006),$AO$1006:$BQ$1006,0))&gt;=100000), " ",IF(INDEX($AO$2:$BQ$1001,MATCH(ROWS($AH$2:AH163),$AH$2:$AH$1001,0),MATCH(COLUMNS($AO$1006:AZ1006),$AO$1006:$BQ$1006,0)), HYPERLINK("#",""), HYPERLINK(CONCATENATE("#Metadata!", ADDRESS(INDEX($AJ$2:$AJ$1001,MATCH(ROWS($AH$2:AH163),$AH$2:$AH$1001,0),0), INDEX($AO$1004:$BQ$1004,1,MATCH(COLUMNS($AO$1006:AZ1006),$AO$1006:$BQ$1006,0)))),"Fix")))</f>
        <v>#N/A</v>
      </c>
      <c r="N163" s="5" t="e">
        <f ca="1">IF(OR(INDEX($AI$2:$AI$1001,MATCH(ROWS($AH$2:AH163),$AH$2:$AH$1001,0),1)&gt;=100000,INDEX($AO$1005:$BQ$1005,1,MATCH(COLUMNS($AO$1006:BA1006),$AO$1006:$BQ$1006,0))&gt;=100000), " ",IF(INDEX($AO$2:$BQ$1001,MATCH(ROWS($AH$2:AH163),$AH$2:$AH$1001,0),MATCH(COLUMNS($AO$1006:BA1006),$AO$1006:$BQ$1006,0)), HYPERLINK("#",""), HYPERLINK(CONCATENATE("#Metadata!", ADDRESS(INDEX($AJ$2:$AJ$1001,MATCH(ROWS($AH$2:AH163),$AH$2:$AH$1001,0),0), INDEX($AO$1004:$BQ$1004,1,MATCH(COLUMNS($AO$1006:BA1006),$AO$1006:$BQ$1006,0)))),"Fix")))</f>
        <v>#N/A</v>
      </c>
      <c r="O163" s="5" t="e">
        <f ca="1">IF(OR(INDEX($AI$2:$AI$1001,MATCH(ROWS($AH$2:AH163),$AH$2:$AH$1001,0),1)&gt;=100000,INDEX($AO$1005:$BQ$1005,1,MATCH(COLUMNS($AO$1006:BB1006),$AO$1006:$BQ$1006,0))&gt;=100000), " ",IF(INDEX($AO$2:$BQ$1001,MATCH(ROWS($AH$2:AH163),$AH$2:$AH$1001,0),MATCH(COLUMNS($AO$1006:BB1006),$AO$1006:$BQ$1006,0)), HYPERLINK("#",""), HYPERLINK(CONCATENATE("#Metadata!", ADDRESS(INDEX($AJ$2:$AJ$1001,MATCH(ROWS($AH$2:AH163),$AH$2:$AH$1001,0),0), INDEX($AO$1004:$BQ$1004,1,MATCH(COLUMNS($AO$1006:BB1006),$AO$1006:$BQ$1006,0)))),"Fix")))</f>
        <v>#N/A</v>
      </c>
      <c r="P163" s="5" t="e">
        <f ca="1">IF(OR(INDEX($AI$2:$AI$1001,MATCH(ROWS($AH$2:AH163),$AH$2:$AH$1001,0),1)&gt;=100000,INDEX($AO$1005:$BQ$1005,1,MATCH(COLUMNS($AO$1006:BC1006),$AO$1006:$BQ$1006,0))&gt;=100000), " ",IF(INDEX($AO$2:$BQ$1001,MATCH(ROWS($AH$2:AH163),$AH$2:$AH$1001,0),MATCH(COLUMNS($AO$1006:BC1006),$AO$1006:$BQ$1006,0)), HYPERLINK("#",""), HYPERLINK(CONCATENATE("#Metadata!", ADDRESS(INDEX($AJ$2:$AJ$1001,MATCH(ROWS($AH$2:AH163),$AH$2:$AH$1001,0),0), INDEX($AO$1004:$BQ$1004,1,MATCH(COLUMNS($AO$1006:BC1006),$AO$1006:$BQ$1006,0)))),"Fix")))</f>
        <v>#N/A</v>
      </c>
      <c r="Q163" s="5" t="e">
        <f ca="1">IF(OR(INDEX($AI$2:$AI$1001,MATCH(ROWS($AH$2:AH163),$AH$2:$AH$1001,0),1)&gt;=100000,INDEX($AO$1005:$BQ$1005,1,MATCH(COLUMNS($AO$1006:BD1006),$AO$1006:$BQ$1006,0))&gt;=100000), " ",IF(INDEX($AO$2:$BQ$1001,MATCH(ROWS($AH$2:AH163),$AH$2:$AH$1001,0),MATCH(COLUMNS($AO$1006:BD1006),$AO$1006:$BQ$1006,0)), HYPERLINK("#",""), HYPERLINK(CONCATENATE("#Metadata!", ADDRESS(INDEX($AJ$2:$AJ$1001,MATCH(ROWS($AH$2:AH163),$AH$2:$AH$1001,0),0), INDEX($AO$1004:$BQ$1004,1,MATCH(COLUMNS($AO$1006:BD1006),$AO$1006:$BQ$1006,0)))),"Fix")))</f>
        <v>#N/A</v>
      </c>
      <c r="R163" s="5" t="e">
        <f ca="1">IF(OR(INDEX($AI$2:$AI$1001,MATCH(ROWS($AH$2:AH163),$AH$2:$AH$1001,0),1)&gt;=100000,INDEX($AO$1005:$BQ$1005,1,MATCH(COLUMNS($AO$1006:BE1006),$AO$1006:$BQ$1006,0))&gt;=100000), " ",IF(INDEX($AO$2:$BQ$1001,MATCH(ROWS($AH$2:AH163),$AH$2:$AH$1001,0),MATCH(COLUMNS($AO$1006:BE1006),$AO$1006:$BQ$1006,0)), HYPERLINK("#",""), HYPERLINK(CONCATENATE("#Metadata!", ADDRESS(INDEX($AJ$2:$AJ$1001,MATCH(ROWS($AH$2:AH163),$AH$2:$AH$1001,0),0), INDEX($AO$1004:$BQ$1004,1,MATCH(COLUMNS($AO$1006:BE1006),$AO$1006:$BQ$1006,0)))),"Fix")))</f>
        <v>#N/A</v>
      </c>
      <c r="S163" s="5" t="e">
        <f ca="1">IF(OR(INDEX($AI$2:$AI$1001,MATCH(ROWS($AH$2:AH163),$AH$2:$AH$1001,0),1)&gt;=100000,INDEX($AO$1005:$BQ$1005,1,MATCH(COLUMNS($AO$1006:BF1006),$AO$1006:$BQ$1006,0))&gt;=100000), " ",IF(INDEX($AO$2:$BQ$1001,MATCH(ROWS($AH$2:AH163),$AH$2:$AH$1001,0),MATCH(COLUMNS($AO$1006:BF1006),$AO$1006:$BQ$1006,0)), HYPERLINK("#",""), HYPERLINK(CONCATENATE("#Metadata!", ADDRESS(INDEX($AJ$2:$AJ$1001,MATCH(ROWS($AH$2:AH163),$AH$2:$AH$1001,0),0), INDEX($AO$1004:$BQ$1004,1,MATCH(COLUMNS($AO$1006:BF1006),$AO$1006:$BQ$1006,0)))),"Fix")))</f>
        <v>#N/A</v>
      </c>
      <c r="T163" s="5" t="e">
        <f ca="1">IF(OR(INDEX($AI$2:$AI$1001,MATCH(ROWS($AH$2:AH163),$AH$2:$AH$1001,0),1)&gt;=100000,INDEX($AO$1005:$BQ$1005,1,MATCH(COLUMNS($AO$1006:BG1006),$AO$1006:$BQ$1006,0))&gt;=100000), " ",IF(INDEX($AO$2:$BQ$1001,MATCH(ROWS($AH$2:AH163),$AH$2:$AH$1001,0),MATCH(COLUMNS($AO$1006:BG1006),$AO$1006:$BQ$1006,0)), HYPERLINK("#",""), HYPERLINK(CONCATENATE("#Metadata!", ADDRESS(INDEX($AJ$2:$AJ$1001,MATCH(ROWS($AH$2:AH163),$AH$2:$AH$1001,0),0), INDEX($AO$1004:$BQ$1004,1,MATCH(COLUMNS($AO$1006:BG1006),$AO$1006:$BQ$1006,0)))),"Fix")))</f>
        <v>#N/A</v>
      </c>
      <c r="U163" s="5" t="e">
        <f ca="1">IF(OR(INDEX($AI$2:$AI$1001,MATCH(ROWS($AH$2:AH163),$AH$2:$AH$1001,0),1)&gt;=100000,INDEX($AO$1005:$BQ$1005,1,MATCH(COLUMNS($AO$1006:BH1006),$AO$1006:$BQ$1006,0))&gt;=100000), " ",IF(INDEX($AO$2:$BQ$1001,MATCH(ROWS($AH$2:AH163),$AH$2:$AH$1001,0),MATCH(COLUMNS($AO$1006:BH1006),$AO$1006:$BQ$1006,0)), HYPERLINK("#",""), HYPERLINK(CONCATENATE("#Metadata!", ADDRESS(INDEX($AJ$2:$AJ$1001,MATCH(ROWS($AH$2:AH163),$AH$2:$AH$1001,0),0), INDEX($AO$1004:$BQ$1004,1,MATCH(COLUMNS($AO$1006:BH1006),$AO$1006:$BQ$1006,0)))),"Fix")))</f>
        <v>#N/A</v>
      </c>
      <c r="V163" s="5" t="e">
        <f ca="1">IF(OR(INDEX($AI$2:$AI$1001,MATCH(ROWS($AH$2:AH163),$AH$2:$AH$1001,0),1)&gt;=100000,INDEX($AO$1005:$BQ$1005,1,MATCH(COLUMNS($AO$1006:BI1006),$AO$1006:$BQ$1006,0))&gt;=100000), " ",IF(INDEX($AO$2:$BQ$1001,MATCH(ROWS($AH$2:AH163),$AH$2:$AH$1001,0),MATCH(COLUMNS($AO$1006:BI1006),$AO$1006:$BQ$1006,0)), HYPERLINK("#",""), HYPERLINK(CONCATENATE("#Metadata!", ADDRESS(INDEX($AJ$2:$AJ$1001,MATCH(ROWS($AH$2:AH163),$AH$2:$AH$1001,0),0), INDEX($AO$1004:$BQ$1004,1,MATCH(COLUMNS($AO$1006:BI1006),$AO$1006:$BQ$1006,0)))),"Fix")))</f>
        <v>#N/A</v>
      </c>
      <c r="W163" s="5" t="e">
        <f ca="1">IF(OR(INDEX($AI$2:$AI$1001,MATCH(ROWS($AH$2:AH163),$AH$2:$AH$1001,0),1)&gt;=100000,INDEX($AO$1005:$BQ$1005,1,MATCH(COLUMNS($AO$1006:BJ1006),$AO$1006:$BQ$1006,0))&gt;=100000), " ",IF(INDEX($AO$2:$BQ$1001,MATCH(ROWS($AH$2:AH163),$AH$2:$AH$1001,0),MATCH(COLUMNS($AO$1006:BJ1006),$AO$1006:$BQ$1006,0)), HYPERLINK("#",""), HYPERLINK(CONCATENATE("#Metadata!", ADDRESS(INDEX($AJ$2:$AJ$1001,MATCH(ROWS($AH$2:AH163),$AH$2:$AH$1001,0),0), INDEX($AO$1004:$BQ$1004,1,MATCH(COLUMNS($AO$1006:BJ1006),$AO$1006:$BQ$1006,0)))),"Fix")))</f>
        <v>#N/A</v>
      </c>
      <c r="X163" s="5" t="e">
        <f ca="1">IF(OR(INDEX($AI$2:$AI$1001,MATCH(ROWS($AH$2:AH163),$AH$2:$AH$1001,0),1)&gt;=100000,INDEX($AO$1005:$BQ$1005,1,MATCH(COLUMNS($AO$1006:BK1006),$AO$1006:$BQ$1006,0))&gt;=100000), " ",IF(INDEX($AO$2:$BQ$1001,MATCH(ROWS($AH$2:AH163),$AH$2:$AH$1001,0),MATCH(COLUMNS($AO$1006:BK1006),$AO$1006:$BQ$1006,0)), HYPERLINK("#",""), HYPERLINK(CONCATENATE("#Metadata!", ADDRESS(INDEX($AJ$2:$AJ$1001,MATCH(ROWS($AH$2:AH163),$AH$2:$AH$1001,0),0), INDEX($AO$1004:$BQ$1004,1,MATCH(COLUMNS($AO$1006:BK1006),$AO$1006:$BQ$1006,0)))),"Fix")))</f>
        <v>#N/A</v>
      </c>
      <c r="Y163" s="5" t="e">
        <f ca="1">IF(OR(INDEX($AI$2:$AI$1001,MATCH(ROWS($AH$2:AH163),$AH$2:$AH$1001,0),1)&gt;=100000,INDEX($AO$1005:$BQ$1005,1,MATCH(COLUMNS($AO$1006:BL1006),$AO$1006:$BQ$1006,0))&gt;=100000), " ",IF(INDEX($AO$2:$BQ$1001,MATCH(ROWS($AH$2:AH163),$AH$2:$AH$1001,0),MATCH(COLUMNS($AO$1006:BL1006),$AO$1006:$BQ$1006,0)), HYPERLINK("#",""), HYPERLINK(CONCATENATE("#Metadata!", ADDRESS(INDEX($AJ$2:$AJ$1001,MATCH(ROWS($AH$2:AH163),$AH$2:$AH$1001,0),0), INDEX($AO$1004:$BQ$1004,1,MATCH(COLUMNS($AO$1006:BL1006),$AO$1006:$BQ$1006,0)))),"Fix")))</f>
        <v>#N/A</v>
      </c>
      <c r="Z163" s="5" t="e">
        <f ca="1">IF(OR(INDEX($AI$2:$AI$1001,MATCH(ROWS($AH$2:AH163),$AH$2:$AH$1001,0),1)&gt;=100000,INDEX($AO$1005:$BQ$1005,1,MATCH(COLUMNS($AO$1006:BM1006),$AO$1006:$BQ$1006,0))&gt;=100000), " ",IF(INDEX($AO$2:$BQ$1001,MATCH(ROWS($AH$2:AH163),$AH$2:$AH$1001,0),MATCH(COLUMNS($AO$1006:BM1006),$AO$1006:$BQ$1006,0)), HYPERLINK("#",""), HYPERLINK(CONCATENATE("#Metadata!", ADDRESS(INDEX($AJ$2:$AJ$1001,MATCH(ROWS($AH$2:AH163),$AH$2:$AH$1001,0),0), INDEX($AO$1004:$BQ$1004,1,MATCH(COLUMNS($AO$1006:BM1006),$AO$1006:$BQ$1006,0)))),"Fix")))</f>
        <v>#N/A</v>
      </c>
      <c r="AA163" s="5" t="e">
        <f ca="1">IF(OR(INDEX($AI$2:$AI$1001,MATCH(ROWS($AH$2:AH163),$AH$2:$AH$1001,0),1)&gt;=100000,INDEX($AO$1005:$BQ$1005,1,MATCH(COLUMNS($AO$1006:BN1006),$AO$1006:$BQ$1006,0))&gt;=100000), " ",IF(INDEX($AO$2:$BQ$1001,MATCH(ROWS($AH$2:AH163),$AH$2:$AH$1001,0),MATCH(COLUMNS($AO$1006:BN1006),$AO$1006:$BQ$1006,0)), HYPERLINK("#",""), HYPERLINK(CONCATENATE("#Metadata!", ADDRESS(INDEX($AJ$2:$AJ$1001,MATCH(ROWS($AH$2:AH163),$AH$2:$AH$1001,0),0), INDEX($AO$1004:$BQ$1004,1,MATCH(COLUMNS($AO$1006:BN1006),$AO$1006:$BQ$1006,0)))),"Fix")))</f>
        <v>#N/A</v>
      </c>
      <c r="AB163" s="5" t="e">
        <f ca="1">IF(OR(INDEX($AI$2:$AI$1001,MATCH(ROWS($AH$2:AH163),$AH$2:$AH$1001,0),1)&gt;=100000,INDEX($AO$1005:$BQ$1005,1,MATCH(COLUMNS($AO$1006:BO1006),$AO$1006:$BQ$1006,0))&gt;=100000), " ",IF(INDEX($AO$2:$BQ$1001,MATCH(ROWS($AH$2:AH163),$AH$2:$AH$1001,0),MATCH(COLUMNS($AO$1006:BO1006),$AO$1006:$BQ$1006,0)), HYPERLINK("#",""), HYPERLINK(CONCATENATE("#Metadata!", ADDRESS(INDEX($AJ$2:$AJ$1001,MATCH(ROWS($AH$2:AH163),$AH$2:$AH$1001,0),0), INDEX($AO$1004:$BQ$1004,1,MATCH(COLUMNS($AO$1006:BO1006),$AO$1006:$BQ$1006,0)))),"Fix")))</f>
        <v>#N/A</v>
      </c>
      <c r="AC163" s="5" t="e">
        <f ca="1">IF(OR(INDEX($AI$2:$AI$1001,MATCH(ROWS($AH$2:AH163),$AH$2:$AH$1001,0),1)&gt;=100000,INDEX($AO$1005:$BQ$1005,1,MATCH(COLUMNS($AO$1006:BP1006),$AO$1006:$BQ$1006,0))&gt;=100000), " ",IF(INDEX($AO$2:$BQ$1001,MATCH(ROWS($AH$2:AH163),$AH$2:$AH$1001,0),MATCH(COLUMNS($AO$1006:BP1006),$AO$1006:$BQ$1006,0)), HYPERLINK("#",""), HYPERLINK(CONCATENATE("#Metadata!", ADDRESS(INDEX($AJ$2:$AJ$1001,MATCH(ROWS($AH$2:AH163),$AH$2:$AH$1001,0),0), INDEX($AO$1004:$BQ$1004,1,MATCH(COLUMNS($AO$1006:BP1006),$AO$1006:$BQ$1006,0)))),"Fix")))</f>
        <v>#N/A</v>
      </c>
      <c r="AD163" s="5" t="e">
        <f ca="1">IF(OR(INDEX($AI$2:$AI$1001,MATCH(ROWS($AH$2:AH163),$AH$2:$AH$1001,0),1)&gt;=100000,INDEX($AO$1005:$BQ$1005,1,MATCH(COLUMNS($AO$1006:BQ1006),$AO$1006:$BQ$1006,0))&gt;=100000), " ",IF(INDEX($AO$2:$BQ$1001,MATCH(ROWS($AH$2:AH163),$AH$2:$AH$1001,0),MATCH(COLUMNS($AO$1006:BQ1006),$AO$1006:$BQ$1006,0)), HYPERLINK("#",""), HYPERLINK(CONCATENATE("#Metadata!", ADDRESS(INDEX($AJ$2:$AJ$1001,MATCH(ROWS($AH$2:AH163),$AH$2:$AH$1001,0),0), INDEX($AO$1004:$BQ$1004,1,MATCH(COLUMNS($AO$1006:BQ1006),$AO$1006:$BQ$1006,0)))),"Fix")))</f>
        <v>#REF!</v>
      </c>
      <c r="AH163">
        <f ca="1"/>
        <v>160</v>
      </c>
      <c r="AI163">
        <v>100163</v>
      </c>
      <c r="AJ163">
        <v>163</v>
      </c>
      <c r="AK163" t="b">
        <f t="shared" si="2"/>
        <v>1</v>
      </c>
      <c r="AL163" t="b">
        <f>COUNTBLANK(Metadata!B163:AD163)=COLUMNS(Metadata!B163:AD163)</f>
        <v>1</v>
      </c>
      <c r="AM163" t="str">
        <v/>
      </c>
      <c r="AO163" t="b">
        <f ca="1">AND(IF(Metadata!B163="",FALSE,TRUE),COUNTIF(Metadata!B:B, Metadata!B163) = 1,NOT(ISERROR(SUMPRODUCT(SEARCH(MID(Metadata!B163,ROW(INDIRECT("1:"&amp;LEN(Metadata!B163))), 1),"0123456789abcdefghijklmnopqrstuvwxyzABCDEFGHIJKLMNOPQRSTUVWXYZ.")))))</f>
        <v>0</v>
      </c>
      <c r="AP163" t="b">
        <f>IF(Metadata!C163="",FALSE,TRUE)</f>
        <v>0</v>
      </c>
      <c r="AQ163" t="b">
        <f>IF(Metadata!D163="",FALSE,TRUE)</f>
        <v>0</v>
      </c>
      <c r="AR163" t="b">
        <f ca="1">OR(AND(IF(Metadata!E163="",FALSE,TRUE),OR(EXACT(Metadata!E163,"not collected"),EXACT(Metadata!E163,"not provided"),EXACT(Metadata!E163,"restricted access"))),AND(IF(Metadata!E163="",FALSE,TRUE),AND(AND(IFERROR(INT(LEFT(Metadata!E163,4))&gt;1900,FALSE),IFERROR(INT(LEFT(Metadata!E163,4))&lt;=YEAR(NOW()),FALSE)), OR(MID(Metadata!E163,5,1)="", AND(AND(MID(Metadata!E163,5,1)="-",IFERROR(INT(MID(Metadata!E163,6,1))&gt;=0,FALSE),IFERROR(INT(MID(Metadata!E163,6,1))&lt;=1,FALSE),NOT(MID(Metadata!E163,7,1)=""),IFERROR(INT(MID(Metadata!E163,6,2))&gt;=1,FALSE),IFERROR(INT(MID(Metadata!E163,6,2))&lt;=12,FALSE)), OR(MID(Metadata!E163,8,1)="", AND(AND(MID(Metadata!E163,8,1)="-",IFERROR(INT(MID(Metadata!E163,9,1))&gt;=0,FALSE),IFERROR(INT(MID(Metadata!E163,9,1))&lt;=3,FALSE),NOT(MID(Metadata!E163,10,1)=""),IFERROR(INT(MID(Metadata!E163,9,2))&gt;=1,FALSE),IFERROR(INT(MID(Metadata!E163,9,2))&lt;=31,FALSE)), OR(MID(Metadata!E163,11,1)="", AND(AND(MID(Metadata!E163,11,1)=" ",IFERROR(INT(MID(Metadata!E163,12,1))&gt;=0,FALSE),IFERROR(INT(MID(Metadata!E163,12,1))&lt;=2,FALSE),NOT(MID(Metadata!E163,13,1)=""),IFERROR(INT(MID(Metadata!E163,12,2))&gt;=0,FALSE),IFERROR(INT(MID(Metadata!E163,12,2))&lt;=23,FALSE)), OR(MID(Metadata!E163,14,1)="", AND(AND(MID(Metadata!E163,14,1)=":",IFERROR(INT(MID(Metadata!E163,15,1))&gt;=0,FALSE),IFERROR(INT(MID(Metadata!E163,15,1))&lt;=5,FALSE),NOT(MID(Metadata!E163,16,1)=""),IFERROR(INT(MID(Metadata!E163,15,2))&gt;=0,FALSE),IFERROR(INT(MID(Metadata!E163,15,2))&lt;=59,FALSE)), OR(MID(Metadata!E163,17,1)="", AND(AND(MID(Metadata!E163,17,1)=":",IFERROR(INT(MID(Metadata!E163,18,1))&gt;=0,FALSE),IFERROR(INT(MID(Metadata!E163,18,1))&lt;=5,FALSE),NOT(MID(Metadata!E163,19,1)=""),IFERROR(INT(MID(Metadata!E163,18,2))&gt;=0,FALSE),IFERROR(INT(MID(Metadata!E163,18,2))&lt;=59,FALSE)), LEN(Metadata!E163)&lt;=19)))))))))))))</f>
        <v>0</v>
      </c>
      <c r="AS163" t="b">
        <f>IF(Metadata!F163="",FALSE,TRUE)</f>
        <v>0</v>
      </c>
      <c r="AT163" t="b">
        <f>OR(AND(IF(Metadata!G163="",FALSE,TRUE),OR(EXACT(Metadata!G163,"not collected"),EXACT(Metadata!G163,"not provided"))),AND(IF(Metadata!G163="",FALSE,TRUE),OR(EXACT(Metadata!G163,"TRUE"),EXACT(Metadata!G163,"FALSE"))))</f>
        <v>0</v>
      </c>
      <c r="AU163" t="b">
        <f>OR(AND(IF(Metadata!H163="",FALSE,TRUE),OR(EXACT(Metadata!H163,"not collected"),EXACT(Metadata!H163,"not provided"),EXACT(Metadata!H163,"restricted access"))),AND(IF(Metadata!H163="",FALSE,ISNUMBER(VALUE(Metadata!H163))),Metadata!H163&gt;=-413))</f>
        <v>0</v>
      </c>
      <c r="AV163" t="b">
        <f>AND(IF(Metadata!I163="",FALSE,TRUE),EXACT(Metadata!I163,"meters"))</f>
        <v>0</v>
      </c>
      <c r="AW163" t="b">
        <f>AND(IF(Metadata!J163="",FALSE,TRUE),EXACT(Metadata!J163,"free-living"))</f>
        <v>0</v>
      </c>
      <c r="AX163" t="b">
        <f>AND(IF(Metadata!K163="",FALSE,TRUE),OR(EXACT(Metadata!K163,"saline"),EXACT(Metadata!K163,"non-saline")))</f>
        <v>0</v>
      </c>
      <c r="AY163" t="b">
        <f>AND(IF(Metadata!L163="",FALSE,TRUE),OR(EXACT(Metadata!L163,"sub-surface (non-saline)"),EXACT(Metadata!L163,"surface (non-saline)"),EXACT(Metadata!L163,"water (non-saline)"),EXACT(Metadata!L163,"soil (non-saline)"),EXACT(Metadata!L163,"aerosol (non-saline)"),EXACT(Metadata!L163,"sediment (non-saline)"),EXACT(Metadata!L163,"surface (saline)"),EXACT(Metadata!L163,"water (saline)"),EXACT(Metadata!L163,"hypersaline (saline)"),EXACT(Metadata!L163,"aerosol (saline)"),EXACT(Metadata!L163,"sediment (saline)")))</f>
        <v>0</v>
      </c>
      <c r="AZ163" t="b">
        <f>IF(Metadata!M163="",FALSE,TRUE)</f>
        <v>0</v>
      </c>
      <c r="BA163" t="b">
        <f>IF(Metadata!N163="",FALSE,TRUE)</f>
        <v>0</v>
      </c>
      <c r="BB163" t="b">
        <f>IF(Metadata!O163="",FALSE,TRUE)</f>
        <v>0</v>
      </c>
      <c r="BC163" t="b">
        <f>AND(IF(Metadata!P163="",FALSE,TRUE),OR(EXACT(Metadata!P163,"air"),EXACT(Metadata!P163,"microbial mat/biofilm"),EXACT(Metadata!P163,"misc environment"),EXACT(Metadata!P163,"sediment"),EXACT(Metadata!P163,"soil"),EXACT(Metadata!P163,"wastewater/sludge"),EXACT(Metadata!P163,"water")))</f>
        <v>0</v>
      </c>
      <c r="BD163" t="b">
        <f>IF(Metadata!Q163="",FALSE,TRUE)</f>
        <v>0</v>
      </c>
      <c r="BE163" t="b">
        <f>IF(Metadata!R163="",FALSE,TRUE)</f>
        <v>0</v>
      </c>
      <c r="BF163" t="b">
        <f>OR(AND(IF(Metadata!S163="",FALSE,TRUE),OR(EXACT(Metadata!S163,"not collected"),EXACT(Metadata!S163,"not provided"),EXACT(Metadata!S163,"restricted access"))),AND(IF(Metadata!S163="",FALSE,ISNUMBER(VALUE(Metadata!S163))),Metadata!S163&gt;=-90,Metadata!S163&lt;=90))</f>
        <v>0</v>
      </c>
      <c r="BG163" t="b">
        <f>AND(IF(Metadata!T163="",FALSE,TRUE),EXACT(Metadata!T163,"Decimal degrees"))</f>
        <v>0</v>
      </c>
      <c r="BH163" t="b">
        <f>OR(AND(IF(Metadata!U163="",FALSE,TRUE),OR(EXACT(Metadata!U163,"not applicable"),EXACT(Metadata!U163,"not collected"))),IF(Metadata!U163="",FALSE,TRUE))</f>
        <v>0</v>
      </c>
      <c r="BI163" t="b">
        <f>OR(AND(IF(Metadata!V163="",FALSE,TRUE),OR(EXACT(Metadata!V163,"not collected"),EXACT(Metadata!V163,"not provided"),EXACT(Metadata!V163,"restricted access"))),AND(IF(Metadata!V163="",FALSE,ISNUMBER(VALUE(Metadata!V163))),Metadata!V163&gt;=-180,Metadata!V163&lt;=180))</f>
        <v>0</v>
      </c>
      <c r="BJ163" t="b">
        <f>AND(IF(Metadata!W163="",FALSE,TRUE),EXACT(Metadata!W163,"Decimal degrees"))</f>
        <v>0</v>
      </c>
      <c r="BK163" t="b">
        <f>IF(Metadata!X163="",FALSE,TRUE)</f>
        <v>0</v>
      </c>
      <c r="BL163" t="b">
        <f>OR(AND(IF(Metadata!Y163="",FALSE,TRUE),OR(EXACT(Metadata!Y163,"not collected"),EXACT(Metadata!Y163,"not provided"),EXACT(Metadata!Y163,"restricted access"))),AND(IF(Metadata!Y163="",FALSE,TRUE),OR(EXACT(Metadata!Y163,"TRUE"),EXACT(Metadata!Y163,"FALSE"))))</f>
        <v>0</v>
      </c>
      <c r="BM163" t="b">
        <f>OR(AND(IF(Metadata!Z163="",FALSE,TRUE),EXACT(Metadata!Z163,"not applicable")),AND(IF(Metadata!Z163="",FALSE,TRUE),OR(EXACT(Metadata!Z163,"beer"),EXACT(Metadata!Z163,"cheese"),EXACT(Metadata!Z163,"fresh water"),EXACT(Metadata!Z163,"marine sediment"),EXACT(Metadata!Z163,"sea water"),EXACT(Metadata!Z163,"sediment"),EXACT(Metadata!Z163,"soil"),EXACT(Metadata!Z163,"waste water"))))</f>
        <v>0</v>
      </c>
      <c r="BN163" t="b">
        <f>AND(IF(Metadata!AA163="",FALSE,TRUE),EXACT(Metadata!AA163,"metagenome"))</f>
        <v>0</v>
      </c>
      <c r="BO163" t="b">
        <f>AND(IF(Metadata!AB163="",FALSE,TRUE),EXACT(Metadata!AB163,"256318"))</f>
        <v>0</v>
      </c>
      <c r="BP163" t="b">
        <f>IF(Metadata!AC163="",FALSE,TRUE)</f>
        <v>0</v>
      </c>
      <c r="BQ163" t="b">
        <f>IF(Metadata!AD163="",FALSE,TRUE)</f>
        <v>0</v>
      </c>
    </row>
    <row r="164" spans="1:69" x14ac:dyDescent="0.2">
      <c r="A164" s="4" t="e">
        <f ca="1">IF(B164=" "," ",HYPERLINK(CONCATENATE("#metadata!",ADDRESS(INDEX($AJ$2:$AJ$1001,MATCH(ROWS($AH$2:AH164),$AH$2:$AH$1001,0),0),2)),INDEX($AM$2:$AM$1001,MATCH(ROWS($AH$2:AH164),$AH$2:$AH$1001,0),0)))</f>
        <v>#N/A</v>
      </c>
      <c r="B164" s="5" t="e">
        <f ca="1">IF(OR(INDEX($AI$2:$AI$1001,MATCH(ROWS($AH$2:AH164),$AH$2:$AH$1001,0),1)&gt;=100000,INDEX($AO$1005:$BQ$1005,1,MATCH(COLUMNS($AO$1006:AO1006),$AO$1006:$BQ$1006,0))&gt;=100000), " ",IF(INDEX($AO$2:$BQ$1001,MATCH(ROWS($AH$2:AH164),$AH$2:$AH$1001,0),MATCH(COLUMNS($AO$1006:AO1006),$AO$1006:$BQ$1006,0)), HYPERLINK("#",""), HYPERLINK(CONCATENATE("#Metadata!", ADDRESS(INDEX($AJ$2:$AJ$1001,MATCH(ROWS($AH$2:AH164),$AH$2:$AH$1001,0),0), INDEX($AO$1004:$BQ$1004,1,MATCH(COLUMNS($AO$1006:AO1006),$AO$1006:$BQ$1006,0)))),"Fix")))</f>
        <v>#N/A</v>
      </c>
      <c r="C164" s="5" t="e">
        <f ca="1">IF(OR(INDEX($AI$2:$AI$1001,MATCH(ROWS($AH$2:AH164),$AH$2:$AH$1001,0),1)&gt;=100000,INDEX($AO$1005:$BQ$1005,1,MATCH(COLUMNS($AO$1006:AP1006),$AO$1006:$BQ$1006,0))&gt;=100000), " ",IF(INDEX($AO$2:$BQ$1001,MATCH(ROWS($AH$2:AH164),$AH$2:$AH$1001,0),MATCH(COLUMNS($AO$1006:AP1006),$AO$1006:$BQ$1006,0)), HYPERLINK("#",""), HYPERLINK(CONCATENATE("#Metadata!", ADDRESS(INDEX($AJ$2:$AJ$1001,MATCH(ROWS($AH$2:AH164),$AH$2:$AH$1001,0),0), INDEX($AO$1004:$BQ$1004,1,MATCH(COLUMNS($AO$1006:AP1006),$AO$1006:$BQ$1006,0)))),"Fix")))</f>
        <v>#N/A</v>
      </c>
      <c r="D164" s="5" t="e">
        <f ca="1">IF(OR(INDEX($AI$2:$AI$1001,MATCH(ROWS($AH$2:AH164),$AH$2:$AH$1001,0),1)&gt;=100000,INDEX($AO$1005:$BQ$1005,1,MATCH(COLUMNS($AO$1006:AQ1006),$AO$1006:$BQ$1006,0))&gt;=100000), " ",IF(INDEX($AO$2:$BQ$1001,MATCH(ROWS($AH$2:AH164),$AH$2:$AH$1001,0),MATCH(COLUMNS($AO$1006:AQ1006),$AO$1006:$BQ$1006,0)), HYPERLINK("#",""), HYPERLINK(CONCATENATE("#Metadata!", ADDRESS(INDEX($AJ$2:$AJ$1001,MATCH(ROWS($AH$2:AH164),$AH$2:$AH$1001,0),0), INDEX($AO$1004:$BQ$1004,1,MATCH(COLUMNS($AO$1006:AQ1006),$AO$1006:$BQ$1006,0)))),"Fix")))</f>
        <v>#N/A</v>
      </c>
      <c r="E164" s="5" t="e">
        <f ca="1">IF(OR(INDEX($AI$2:$AI$1001,MATCH(ROWS($AH$2:AH164),$AH$2:$AH$1001,0),1)&gt;=100000,INDEX($AO$1005:$BQ$1005,1,MATCH(COLUMNS($AO$1006:AR1006),$AO$1006:$BQ$1006,0))&gt;=100000), " ",IF(INDEX($AO$2:$BQ$1001,MATCH(ROWS($AH$2:AH164),$AH$2:$AH$1001,0),MATCH(COLUMNS($AO$1006:AR1006),$AO$1006:$BQ$1006,0)), HYPERLINK("#",""), HYPERLINK(CONCATENATE("#Metadata!", ADDRESS(INDEX($AJ$2:$AJ$1001,MATCH(ROWS($AH$2:AH164),$AH$2:$AH$1001,0),0), INDEX($AO$1004:$BQ$1004,1,MATCH(COLUMNS($AO$1006:AR1006),$AO$1006:$BQ$1006,0)))),"Fix")))</f>
        <v>#N/A</v>
      </c>
      <c r="F164" s="5" t="e">
        <f ca="1">IF(OR(INDEX($AI$2:$AI$1001,MATCH(ROWS($AH$2:AH164),$AH$2:$AH$1001,0),1)&gt;=100000,INDEX($AO$1005:$BQ$1005,1,MATCH(COLUMNS($AO$1006:AS1006),$AO$1006:$BQ$1006,0))&gt;=100000), " ",IF(INDEX($AO$2:$BQ$1001,MATCH(ROWS($AH$2:AH164),$AH$2:$AH$1001,0),MATCH(COLUMNS($AO$1006:AS1006),$AO$1006:$BQ$1006,0)), HYPERLINK("#",""), HYPERLINK(CONCATENATE("#Metadata!", ADDRESS(INDEX($AJ$2:$AJ$1001,MATCH(ROWS($AH$2:AH164),$AH$2:$AH$1001,0),0), INDEX($AO$1004:$BQ$1004,1,MATCH(COLUMNS($AO$1006:AS1006),$AO$1006:$BQ$1006,0)))),"Fix")))</f>
        <v>#N/A</v>
      </c>
      <c r="G164" s="5" t="e">
        <f ca="1">IF(OR(INDEX($AI$2:$AI$1001,MATCH(ROWS($AH$2:AH164),$AH$2:$AH$1001,0),1)&gt;=100000,INDEX($AO$1005:$BQ$1005,1,MATCH(COLUMNS($AO$1006:AT1006),$AO$1006:$BQ$1006,0))&gt;=100000), " ",IF(INDEX($AO$2:$BQ$1001,MATCH(ROWS($AH$2:AH164),$AH$2:$AH$1001,0),MATCH(COLUMNS($AO$1006:AT1006),$AO$1006:$BQ$1006,0)), HYPERLINK("#",""), HYPERLINK(CONCATENATE("#Metadata!", ADDRESS(INDEX($AJ$2:$AJ$1001,MATCH(ROWS($AH$2:AH164),$AH$2:$AH$1001,0),0), INDEX($AO$1004:$BQ$1004,1,MATCH(COLUMNS($AO$1006:AT1006),$AO$1006:$BQ$1006,0)))),"Fix")))</f>
        <v>#N/A</v>
      </c>
      <c r="H164" s="5" t="e">
        <f ca="1">IF(OR(INDEX($AI$2:$AI$1001,MATCH(ROWS($AH$2:AH164),$AH$2:$AH$1001,0),1)&gt;=100000,INDEX($AO$1005:$BQ$1005,1,MATCH(COLUMNS($AO$1006:AU1006),$AO$1006:$BQ$1006,0))&gt;=100000), " ",IF(INDEX($AO$2:$BQ$1001,MATCH(ROWS($AH$2:AH164),$AH$2:$AH$1001,0),MATCH(COLUMNS($AO$1006:AU1006),$AO$1006:$BQ$1006,0)), HYPERLINK("#",""), HYPERLINK(CONCATENATE("#Metadata!", ADDRESS(INDEX($AJ$2:$AJ$1001,MATCH(ROWS($AH$2:AH164),$AH$2:$AH$1001,0),0), INDEX($AO$1004:$BQ$1004,1,MATCH(COLUMNS($AO$1006:AU1006),$AO$1006:$BQ$1006,0)))),"Fix")))</f>
        <v>#N/A</v>
      </c>
      <c r="I164" s="5" t="e">
        <f ca="1">IF(OR(INDEX($AI$2:$AI$1001,MATCH(ROWS($AH$2:AH164),$AH$2:$AH$1001,0),1)&gt;=100000,INDEX($AO$1005:$BQ$1005,1,MATCH(COLUMNS($AO$1006:AV1006),$AO$1006:$BQ$1006,0))&gt;=100000), " ",IF(INDEX($AO$2:$BQ$1001,MATCH(ROWS($AH$2:AH164),$AH$2:$AH$1001,0),MATCH(COLUMNS($AO$1006:AV1006),$AO$1006:$BQ$1006,0)), HYPERLINK("#",""), HYPERLINK(CONCATENATE("#Metadata!", ADDRESS(INDEX($AJ$2:$AJ$1001,MATCH(ROWS($AH$2:AH164),$AH$2:$AH$1001,0),0), INDEX($AO$1004:$BQ$1004,1,MATCH(COLUMNS($AO$1006:AV1006),$AO$1006:$BQ$1006,0)))),"Fix")))</f>
        <v>#N/A</v>
      </c>
      <c r="J164" s="5" t="e">
        <f ca="1">IF(OR(INDEX($AI$2:$AI$1001,MATCH(ROWS($AH$2:AH164),$AH$2:$AH$1001,0),1)&gt;=100000,INDEX($AO$1005:$BQ$1005,1,MATCH(COLUMNS($AO$1006:AW1006),$AO$1006:$BQ$1006,0))&gt;=100000), " ",IF(INDEX($AO$2:$BQ$1001,MATCH(ROWS($AH$2:AH164),$AH$2:$AH$1001,0),MATCH(COLUMNS($AO$1006:AW1006),$AO$1006:$BQ$1006,0)), HYPERLINK("#",""), HYPERLINK(CONCATENATE("#Metadata!", ADDRESS(INDEX($AJ$2:$AJ$1001,MATCH(ROWS($AH$2:AH164),$AH$2:$AH$1001,0),0), INDEX($AO$1004:$BQ$1004,1,MATCH(COLUMNS($AO$1006:AW1006),$AO$1006:$BQ$1006,0)))),"Fix")))</f>
        <v>#N/A</v>
      </c>
      <c r="K164" s="5" t="e">
        <f ca="1">IF(OR(INDEX($AI$2:$AI$1001,MATCH(ROWS($AH$2:AH164),$AH$2:$AH$1001,0),1)&gt;=100000,INDEX($AO$1005:$BQ$1005,1,MATCH(COLUMNS($AO$1006:AX1006),$AO$1006:$BQ$1006,0))&gt;=100000), " ",IF(INDEX($AO$2:$BQ$1001,MATCH(ROWS($AH$2:AH164),$AH$2:$AH$1001,0),MATCH(COLUMNS($AO$1006:AX1006),$AO$1006:$BQ$1006,0)), HYPERLINK("#",""), HYPERLINK(CONCATENATE("#Metadata!", ADDRESS(INDEX($AJ$2:$AJ$1001,MATCH(ROWS($AH$2:AH164),$AH$2:$AH$1001,0),0), INDEX($AO$1004:$BQ$1004,1,MATCH(COLUMNS($AO$1006:AX1006),$AO$1006:$BQ$1006,0)))),"Fix")))</f>
        <v>#N/A</v>
      </c>
      <c r="L164" s="5" t="e">
        <f ca="1">IF(OR(INDEX($AI$2:$AI$1001,MATCH(ROWS($AH$2:AH164),$AH$2:$AH$1001,0),1)&gt;=100000,INDEX($AO$1005:$BQ$1005,1,MATCH(COLUMNS($AO$1006:AY1006),$AO$1006:$BQ$1006,0))&gt;=100000), " ",IF(INDEX($AO$2:$BQ$1001,MATCH(ROWS($AH$2:AH164),$AH$2:$AH$1001,0),MATCH(COLUMNS($AO$1006:AY1006),$AO$1006:$BQ$1006,0)), HYPERLINK("#",""), HYPERLINK(CONCATENATE("#Metadata!", ADDRESS(INDEX($AJ$2:$AJ$1001,MATCH(ROWS($AH$2:AH164),$AH$2:$AH$1001,0),0), INDEX($AO$1004:$BQ$1004,1,MATCH(COLUMNS($AO$1006:AY1006),$AO$1006:$BQ$1006,0)))),"Fix")))</f>
        <v>#N/A</v>
      </c>
      <c r="M164" s="5" t="e">
        <f ca="1">IF(OR(INDEX($AI$2:$AI$1001,MATCH(ROWS($AH$2:AH164),$AH$2:$AH$1001,0),1)&gt;=100000,INDEX($AO$1005:$BQ$1005,1,MATCH(COLUMNS($AO$1006:AZ1006),$AO$1006:$BQ$1006,0))&gt;=100000), " ",IF(INDEX($AO$2:$BQ$1001,MATCH(ROWS($AH$2:AH164),$AH$2:$AH$1001,0),MATCH(COLUMNS($AO$1006:AZ1006),$AO$1006:$BQ$1006,0)), HYPERLINK("#",""), HYPERLINK(CONCATENATE("#Metadata!", ADDRESS(INDEX($AJ$2:$AJ$1001,MATCH(ROWS($AH$2:AH164),$AH$2:$AH$1001,0),0), INDEX($AO$1004:$BQ$1004,1,MATCH(COLUMNS($AO$1006:AZ1006),$AO$1006:$BQ$1006,0)))),"Fix")))</f>
        <v>#N/A</v>
      </c>
      <c r="N164" s="5" t="e">
        <f ca="1">IF(OR(INDEX($AI$2:$AI$1001,MATCH(ROWS($AH$2:AH164),$AH$2:$AH$1001,0),1)&gt;=100000,INDEX($AO$1005:$BQ$1005,1,MATCH(COLUMNS($AO$1006:BA1006),$AO$1006:$BQ$1006,0))&gt;=100000), " ",IF(INDEX($AO$2:$BQ$1001,MATCH(ROWS($AH$2:AH164),$AH$2:$AH$1001,0),MATCH(COLUMNS($AO$1006:BA1006),$AO$1006:$BQ$1006,0)), HYPERLINK("#",""), HYPERLINK(CONCATENATE("#Metadata!", ADDRESS(INDEX($AJ$2:$AJ$1001,MATCH(ROWS($AH$2:AH164),$AH$2:$AH$1001,0),0), INDEX($AO$1004:$BQ$1004,1,MATCH(COLUMNS($AO$1006:BA1006),$AO$1006:$BQ$1006,0)))),"Fix")))</f>
        <v>#N/A</v>
      </c>
      <c r="O164" s="5" t="e">
        <f ca="1">IF(OR(INDEX($AI$2:$AI$1001,MATCH(ROWS($AH$2:AH164),$AH$2:$AH$1001,0),1)&gt;=100000,INDEX($AO$1005:$BQ$1005,1,MATCH(COLUMNS($AO$1006:BB1006),$AO$1006:$BQ$1006,0))&gt;=100000), " ",IF(INDEX($AO$2:$BQ$1001,MATCH(ROWS($AH$2:AH164),$AH$2:$AH$1001,0),MATCH(COLUMNS($AO$1006:BB1006),$AO$1006:$BQ$1006,0)), HYPERLINK("#",""), HYPERLINK(CONCATENATE("#Metadata!", ADDRESS(INDEX($AJ$2:$AJ$1001,MATCH(ROWS($AH$2:AH164),$AH$2:$AH$1001,0),0), INDEX($AO$1004:$BQ$1004,1,MATCH(COLUMNS($AO$1006:BB1006),$AO$1006:$BQ$1006,0)))),"Fix")))</f>
        <v>#N/A</v>
      </c>
      <c r="P164" s="5" t="e">
        <f ca="1">IF(OR(INDEX($AI$2:$AI$1001,MATCH(ROWS($AH$2:AH164),$AH$2:$AH$1001,0),1)&gt;=100000,INDEX($AO$1005:$BQ$1005,1,MATCH(COLUMNS($AO$1006:BC1006),$AO$1006:$BQ$1006,0))&gt;=100000), " ",IF(INDEX($AO$2:$BQ$1001,MATCH(ROWS($AH$2:AH164),$AH$2:$AH$1001,0),MATCH(COLUMNS($AO$1006:BC1006),$AO$1006:$BQ$1006,0)), HYPERLINK("#",""), HYPERLINK(CONCATENATE("#Metadata!", ADDRESS(INDEX($AJ$2:$AJ$1001,MATCH(ROWS($AH$2:AH164),$AH$2:$AH$1001,0),0), INDEX($AO$1004:$BQ$1004,1,MATCH(COLUMNS($AO$1006:BC1006),$AO$1006:$BQ$1006,0)))),"Fix")))</f>
        <v>#N/A</v>
      </c>
      <c r="Q164" s="5" t="e">
        <f ca="1">IF(OR(INDEX($AI$2:$AI$1001,MATCH(ROWS($AH$2:AH164),$AH$2:$AH$1001,0),1)&gt;=100000,INDEX($AO$1005:$BQ$1005,1,MATCH(COLUMNS($AO$1006:BD1006),$AO$1006:$BQ$1006,0))&gt;=100000), " ",IF(INDEX($AO$2:$BQ$1001,MATCH(ROWS($AH$2:AH164),$AH$2:$AH$1001,0),MATCH(COLUMNS($AO$1006:BD1006),$AO$1006:$BQ$1006,0)), HYPERLINK("#",""), HYPERLINK(CONCATENATE("#Metadata!", ADDRESS(INDEX($AJ$2:$AJ$1001,MATCH(ROWS($AH$2:AH164),$AH$2:$AH$1001,0),0), INDEX($AO$1004:$BQ$1004,1,MATCH(COLUMNS($AO$1006:BD1006),$AO$1006:$BQ$1006,0)))),"Fix")))</f>
        <v>#N/A</v>
      </c>
      <c r="R164" s="5" t="e">
        <f ca="1">IF(OR(INDEX($AI$2:$AI$1001,MATCH(ROWS($AH$2:AH164),$AH$2:$AH$1001,0),1)&gt;=100000,INDEX($AO$1005:$BQ$1005,1,MATCH(COLUMNS($AO$1006:BE1006),$AO$1006:$BQ$1006,0))&gt;=100000), " ",IF(INDEX($AO$2:$BQ$1001,MATCH(ROWS($AH$2:AH164),$AH$2:$AH$1001,0),MATCH(COLUMNS($AO$1006:BE1006),$AO$1006:$BQ$1006,0)), HYPERLINK("#",""), HYPERLINK(CONCATENATE("#Metadata!", ADDRESS(INDEX($AJ$2:$AJ$1001,MATCH(ROWS($AH$2:AH164),$AH$2:$AH$1001,0),0), INDEX($AO$1004:$BQ$1004,1,MATCH(COLUMNS($AO$1006:BE1006),$AO$1006:$BQ$1006,0)))),"Fix")))</f>
        <v>#N/A</v>
      </c>
      <c r="S164" s="5" t="e">
        <f ca="1">IF(OR(INDEX($AI$2:$AI$1001,MATCH(ROWS($AH$2:AH164),$AH$2:$AH$1001,0),1)&gt;=100000,INDEX($AO$1005:$BQ$1005,1,MATCH(COLUMNS($AO$1006:BF1006),$AO$1006:$BQ$1006,0))&gt;=100000), " ",IF(INDEX($AO$2:$BQ$1001,MATCH(ROWS($AH$2:AH164),$AH$2:$AH$1001,0),MATCH(COLUMNS($AO$1006:BF1006),$AO$1006:$BQ$1006,0)), HYPERLINK("#",""), HYPERLINK(CONCATENATE("#Metadata!", ADDRESS(INDEX($AJ$2:$AJ$1001,MATCH(ROWS($AH$2:AH164),$AH$2:$AH$1001,0),0), INDEX($AO$1004:$BQ$1004,1,MATCH(COLUMNS($AO$1006:BF1006),$AO$1006:$BQ$1006,0)))),"Fix")))</f>
        <v>#N/A</v>
      </c>
      <c r="T164" s="5" t="e">
        <f ca="1">IF(OR(INDEX($AI$2:$AI$1001,MATCH(ROWS($AH$2:AH164),$AH$2:$AH$1001,0),1)&gt;=100000,INDEX($AO$1005:$BQ$1005,1,MATCH(COLUMNS($AO$1006:BG1006),$AO$1006:$BQ$1006,0))&gt;=100000), " ",IF(INDEX($AO$2:$BQ$1001,MATCH(ROWS($AH$2:AH164),$AH$2:$AH$1001,0),MATCH(COLUMNS($AO$1006:BG1006),$AO$1006:$BQ$1006,0)), HYPERLINK("#",""), HYPERLINK(CONCATENATE("#Metadata!", ADDRESS(INDEX($AJ$2:$AJ$1001,MATCH(ROWS($AH$2:AH164),$AH$2:$AH$1001,0),0), INDEX($AO$1004:$BQ$1004,1,MATCH(COLUMNS($AO$1006:BG1006),$AO$1006:$BQ$1006,0)))),"Fix")))</f>
        <v>#N/A</v>
      </c>
      <c r="U164" s="5" t="e">
        <f ca="1">IF(OR(INDEX($AI$2:$AI$1001,MATCH(ROWS($AH$2:AH164),$AH$2:$AH$1001,0),1)&gt;=100000,INDEX($AO$1005:$BQ$1005,1,MATCH(COLUMNS($AO$1006:BH1006),$AO$1006:$BQ$1006,0))&gt;=100000), " ",IF(INDEX($AO$2:$BQ$1001,MATCH(ROWS($AH$2:AH164),$AH$2:$AH$1001,0),MATCH(COLUMNS($AO$1006:BH1006),$AO$1006:$BQ$1006,0)), HYPERLINK("#",""), HYPERLINK(CONCATENATE("#Metadata!", ADDRESS(INDEX($AJ$2:$AJ$1001,MATCH(ROWS($AH$2:AH164),$AH$2:$AH$1001,0),0), INDEX($AO$1004:$BQ$1004,1,MATCH(COLUMNS($AO$1006:BH1006),$AO$1006:$BQ$1006,0)))),"Fix")))</f>
        <v>#N/A</v>
      </c>
      <c r="V164" s="5" t="e">
        <f ca="1">IF(OR(INDEX($AI$2:$AI$1001,MATCH(ROWS($AH$2:AH164),$AH$2:$AH$1001,0),1)&gt;=100000,INDEX($AO$1005:$BQ$1005,1,MATCH(COLUMNS($AO$1006:BI1006),$AO$1006:$BQ$1006,0))&gt;=100000), " ",IF(INDEX($AO$2:$BQ$1001,MATCH(ROWS($AH$2:AH164),$AH$2:$AH$1001,0),MATCH(COLUMNS($AO$1006:BI1006),$AO$1006:$BQ$1006,0)), HYPERLINK("#",""), HYPERLINK(CONCATENATE("#Metadata!", ADDRESS(INDEX($AJ$2:$AJ$1001,MATCH(ROWS($AH$2:AH164),$AH$2:$AH$1001,0),0), INDEX($AO$1004:$BQ$1004,1,MATCH(COLUMNS($AO$1006:BI1006),$AO$1006:$BQ$1006,0)))),"Fix")))</f>
        <v>#N/A</v>
      </c>
      <c r="W164" s="5" t="e">
        <f ca="1">IF(OR(INDEX($AI$2:$AI$1001,MATCH(ROWS($AH$2:AH164),$AH$2:$AH$1001,0),1)&gt;=100000,INDEX($AO$1005:$BQ$1005,1,MATCH(COLUMNS($AO$1006:BJ1006),$AO$1006:$BQ$1006,0))&gt;=100000), " ",IF(INDEX($AO$2:$BQ$1001,MATCH(ROWS($AH$2:AH164),$AH$2:$AH$1001,0),MATCH(COLUMNS($AO$1006:BJ1006),$AO$1006:$BQ$1006,0)), HYPERLINK("#",""), HYPERLINK(CONCATENATE("#Metadata!", ADDRESS(INDEX($AJ$2:$AJ$1001,MATCH(ROWS($AH$2:AH164),$AH$2:$AH$1001,0),0), INDEX($AO$1004:$BQ$1004,1,MATCH(COLUMNS($AO$1006:BJ1006),$AO$1006:$BQ$1006,0)))),"Fix")))</f>
        <v>#N/A</v>
      </c>
      <c r="X164" s="5" t="e">
        <f ca="1">IF(OR(INDEX($AI$2:$AI$1001,MATCH(ROWS($AH$2:AH164),$AH$2:$AH$1001,0),1)&gt;=100000,INDEX($AO$1005:$BQ$1005,1,MATCH(COLUMNS($AO$1006:BK1006),$AO$1006:$BQ$1006,0))&gt;=100000), " ",IF(INDEX($AO$2:$BQ$1001,MATCH(ROWS($AH$2:AH164),$AH$2:$AH$1001,0),MATCH(COLUMNS($AO$1006:BK1006),$AO$1006:$BQ$1006,0)), HYPERLINK("#",""), HYPERLINK(CONCATENATE("#Metadata!", ADDRESS(INDEX($AJ$2:$AJ$1001,MATCH(ROWS($AH$2:AH164),$AH$2:$AH$1001,0),0), INDEX($AO$1004:$BQ$1004,1,MATCH(COLUMNS($AO$1006:BK1006),$AO$1006:$BQ$1006,0)))),"Fix")))</f>
        <v>#N/A</v>
      </c>
      <c r="Y164" s="5" t="e">
        <f ca="1">IF(OR(INDEX($AI$2:$AI$1001,MATCH(ROWS($AH$2:AH164),$AH$2:$AH$1001,0),1)&gt;=100000,INDEX($AO$1005:$BQ$1005,1,MATCH(COLUMNS($AO$1006:BL1006),$AO$1006:$BQ$1006,0))&gt;=100000), " ",IF(INDEX($AO$2:$BQ$1001,MATCH(ROWS($AH$2:AH164),$AH$2:$AH$1001,0),MATCH(COLUMNS($AO$1006:BL1006),$AO$1006:$BQ$1006,0)), HYPERLINK("#",""), HYPERLINK(CONCATENATE("#Metadata!", ADDRESS(INDEX($AJ$2:$AJ$1001,MATCH(ROWS($AH$2:AH164),$AH$2:$AH$1001,0),0), INDEX($AO$1004:$BQ$1004,1,MATCH(COLUMNS($AO$1006:BL1006),$AO$1006:$BQ$1006,0)))),"Fix")))</f>
        <v>#N/A</v>
      </c>
      <c r="Z164" s="5" t="e">
        <f ca="1">IF(OR(INDEX($AI$2:$AI$1001,MATCH(ROWS($AH$2:AH164),$AH$2:$AH$1001,0),1)&gt;=100000,INDEX($AO$1005:$BQ$1005,1,MATCH(COLUMNS($AO$1006:BM1006),$AO$1006:$BQ$1006,0))&gt;=100000), " ",IF(INDEX($AO$2:$BQ$1001,MATCH(ROWS($AH$2:AH164),$AH$2:$AH$1001,0),MATCH(COLUMNS($AO$1006:BM1006),$AO$1006:$BQ$1006,0)), HYPERLINK("#",""), HYPERLINK(CONCATENATE("#Metadata!", ADDRESS(INDEX($AJ$2:$AJ$1001,MATCH(ROWS($AH$2:AH164),$AH$2:$AH$1001,0),0), INDEX($AO$1004:$BQ$1004,1,MATCH(COLUMNS($AO$1006:BM1006),$AO$1006:$BQ$1006,0)))),"Fix")))</f>
        <v>#N/A</v>
      </c>
      <c r="AA164" s="5" t="e">
        <f ca="1">IF(OR(INDEX($AI$2:$AI$1001,MATCH(ROWS($AH$2:AH164),$AH$2:$AH$1001,0),1)&gt;=100000,INDEX($AO$1005:$BQ$1005,1,MATCH(COLUMNS($AO$1006:BN1006),$AO$1006:$BQ$1006,0))&gt;=100000), " ",IF(INDEX($AO$2:$BQ$1001,MATCH(ROWS($AH$2:AH164),$AH$2:$AH$1001,0),MATCH(COLUMNS($AO$1006:BN1006),$AO$1006:$BQ$1006,0)), HYPERLINK("#",""), HYPERLINK(CONCATENATE("#Metadata!", ADDRESS(INDEX($AJ$2:$AJ$1001,MATCH(ROWS($AH$2:AH164),$AH$2:$AH$1001,0),0), INDEX($AO$1004:$BQ$1004,1,MATCH(COLUMNS($AO$1006:BN1006),$AO$1006:$BQ$1006,0)))),"Fix")))</f>
        <v>#N/A</v>
      </c>
      <c r="AB164" s="5" t="e">
        <f ca="1">IF(OR(INDEX($AI$2:$AI$1001,MATCH(ROWS($AH$2:AH164),$AH$2:$AH$1001,0),1)&gt;=100000,INDEX($AO$1005:$BQ$1005,1,MATCH(COLUMNS($AO$1006:BO1006),$AO$1006:$BQ$1006,0))&gt;=100000), " ",IF(INDEX($AO$2:$BQ$1001,MATCH(ROWS($AH$2:AH164),$AH$2:$AH$1001,0),MATCH(COLUMNS($AO$1006:BO1006),$AO$1006:$BQ$1006,0)), HYPERLINK("#",""), HYPERLINK(CONCATENATE("#Metadata!", ADDRESS(INDEX($AJ$2:$AJ$1001,MATCH(ROWS($AH$2:AH164),$AH$2:$AH$1001,0),0), INDEX($AO$1004:$BQ$1004,1,MATCH(COLUMNS($AO$1006:BO1006),$AO$1006:$BQ$1006,0)))),"Fix")))</f>
        <v>#N/A</v>
      </c>
      <c r="AC164" s="5" t="e">
        <f ca="1">IF(OR(INDEX($AI$2:$AI$1001,MATCH(ROWS($AH$2:AH164),$AH$2:$AH$1001,0),1)&gt;=100000,INDEX($AO$1005:$BQ$1005,1,MATCH(COLUMNS($AO$1006:BP1006),$AO$1006:$BQ$1006,0))&gt;=100000), " ",IF(INDEX($AO$2:$BQ$1001,MATCH(ROWS($AH$2:AH164),$AH$2:$AH$1001,0),MATCH(COLUMNS($AO$1006:BP1006),$AO$1006:$BQ$1006,0)), HYPERLINK("#",""), HYPERLINK(CONCATENATE("#Metadata!", ADDRESS(INDEX($AJ$2:$AJ$1001,MATCH(ROWS($AH$2:AH164),$AH$2:$AH$1001,0),0), INDEX($AO$1004:$BQ$1004,1,MATCH(COLUMNS($AO$1006:BP1006),$AO$1006:$BQ$1006,0)))),"Fix")))</f>
        <v>#N/A</v>
      </c>
      <c r="AD164" s="5" t="e">
        <f ca="1">IF(OR(INDEX($AI$2:$AI$1001,MATCH(ROWS($AH$2:AH164),$AH$2:$AH$1001,0),1)&gt;=100000,INDEX($AO$1005:$BQ$1005,1,MATCH(COLUMNS($AO$1006:BQ1006),$AO$1006:$BQ$1006,0))&gt;=100000), " ",IF(INDEX($AO$2:$BQ$1001,MATCH(ROWS($AH$2:AH164),$AH$2:$AH$1001,0),MATCH(COLUMNS($AO$1006:BQ1006),$AO$1006:$BQ$1006,0)), HYPERLINK("#",""), HYPERLINK(CONCATENATE("#Metadata!", ADDRESS(INDEX($AJ$2:$AJ$1001,MATCH(ROWS($AH$2:AH164),$AH$2:$AH$1001,0),0), INDEX($AO$1004:$BQ$1004,1,MATCH(COLUMNS($AO$1006:BQ1006),$AO$1006:$BQ$1006,0)))),"Fix")))</f>
        <v>#REF!</v>
      </c>
      <c r="AH164">
        <f ca="1"/>
        <v>161</v>
      </c>
      <c r="AI164">
        <v>100164</v>
      </c>
      <c r="AJ164">
        <v>164</v>
      </c>
      <c r="AK164" t="b">
        <f t="shared" si="2"/>
        <v>1</v>
      </c>
      <c r="AL164" t="b">
        <f>COUNTBLANK(Metadata!B164:AD164)=COLUMNS(Metadata!B164:AD164)</f>
        <v>1</v>
      </c>
      <c r="AM164" t="str">
        <v/>
      </c>
      <c r="AO164" t="b">
        <f ca="1">AND(IF(Metadata!B164="",FALSE,TRUE),COUNTIF(Metadata!B:B, Metadata!B164) = 1,NOT(ISERROR(SUMPRODUCT(SEARCH(MID(Metadata!B164,ROW(INDIRECT("1:"&amp;LEN(Metadata!B164))), 1),"0123456789abcdefghijklmnopqrstuvwxyzABCDEFGHIJKLMNOPQRSTUVWXYZ.")))))</f>
        <v>0</v>
      </c>
      <c r="AP164" t="b">
        <f>IF(Metadata!C164="",FALSE,TRUE)</f>
        <v>0</v>
      </c>
      <c r="AQ164" t="b">
        <f>IF(Metadata!D164="",FALSE,TRUE)</f>
        <v>0</v>
      </c>
      <c r="AR164" t="b">
        <f ca="1">OR(AND(IF(Metadata!E164="",FALSE,TRUE),OR(EXACT(Metadata!E164,"not collected"),EXACT(Metadata!E164,"not provided"),EXACT(Metadata!E164,"restricted access"))),AND(IF(Metadata!E164="",FALSE,TRUE),AND(AND(IFERROR(INT(LEFT(Metadata!E164,4))&gt;1900,FALSE),IFERROR(INT(LEFT(Metadata!E164,4))&lt;=YEAR(NOW()),FALSE)), OR(MID(Metadata!E164,5,1)="", AND(AND(MID(Metadata!E164,5,1)="-",IFERROR(INT(MID(Metadata!E164,6,1))&gt;=0,FALSE),IFERROR(INT(MID(Metadata!E164,6,1))&lt;=1,FALSE),NOT(MID(Metadata!E164,7,1)=""),IFERROR(INT(MID(Metadata!E164,6,2))&gt;=1,FALSE),IFERROR(INT(MID(Metadata!E164,6,2))&lt;=12,FALSE)), OR(MID(Metadata!E164,8,1)="", AND(AND(MID(Metadata!E164,8,1)="-",IFERROR(INT(MID(Metadata!E164,9,1))&gt;=0,FALSE),IFERROR(INT(MID(Metadata!E164,9,1))&lt;=3,FALSE),NOT(MID(Metadata!E164,10,1)=""),IFERROR(INT(MID(Metadata!E164,9,2))&gt;=1,FALSE),IFERROR(INT(MID(Metadata!E164,9,2))&lt;=31,FALSE)), OR(MID(Metadata!E164,11,1)="", AND(AND(MID(Metadata!E164,11,1)=" ",IFERROR(INT(MID(Metadata!E164,12,1))&gt;=0,FALSE),IFERROR(INT(MID(Metadata!E164,12,1))&lt;=2,FALSE),NOT(MID(Metadata!E164,13,1)=""),IFERROR(INT(MID(Metadata!E164,12,2))&gt;=0,FALSE),IFERROR(INT(MID(Metadata!E164,12,2))&lt;=23,FALSE)), OR(MID(Metadata!E164,14,1)="", AND(AND(MID(Metadata!E164,14,1)=":",IFERROR(INT(MID(Metadata!E164,15,1))&gt;=0,FALSE),IFERROR(INT(MID(Metadata!E164,15,1))&lt;=5,FALSE),NOT(MID(Metadata!E164,16,1)=""),IFERROR(INT(MID(Metadata!E164,15,2))&gt;=0,FALSE),IFERROR(INT(MID(Metadata!E164,15,2))&lt;=59,FALSE)), OR(MID(Metadata!E164,17,1)="", AND(AND(MID(Metadata!E164,17,1)=":",IFERROR(INT(MID(Metadata!E164,18,1))&gt;=0,FALSE),IFERROR(INT(MID(Metadata!E164,18,1))&lt;=5,FALSE),NOT(MID(Metadata!E164,19,1)=""),IFERROR(INT(MID(Metadata!E164,18,2))&gt;=0,FALSE),IFERROR(INT(MID(Metadata!E164,18,2))&lt;=59,FALSE)), LEN(Metadata!E164)&lt;=19)))))))))))))</f>
        <v>0</v>
      </c>
      <c r="AS164" t="b">
        <f>IF(Metadata!F164="",FALSE,TRUE)</f>
        <v>0</v>
      </c>
      <c r="AT164" t="b">
        <f>OR(AND(IF(Metadata!G164="",FALSE,TRUE),OR(EXACT(Metadata!G164,"not collected"),EXACT(Metadata!G164,"not provided"))),AND(IF(Metadata!G164="",FALSE,TRUE),OR(EXACT(Metadata!G164,"TRUE"),EXACT(Metadata!G164,"FALSE"))))</f>
        <v>0</v>
      </c>
      <c r="AU164" t="b">
        <f>OR(AND(IF(Metadata!H164="",FALSE,TRUE),OR(EXACT(Metadata!H164,"not collected"),EXACT(Metadata!H164,"not provided"),EXACT(Metadata!H164,"restricted access"))),AND(IF(Metadata!H164="",FALSE,ISNUMBER(VALUE(Metadata!H164))),Metadata!H164&gt;=-413))</f>
        <v>0</v>
      </c>
      <c r="AV164" t="b">
        <f>AND(IF(Metadata!I164="",FALSE,TRUE),EXACT(Metadata!I164,"meters"))</f>
        <v>0</v>
      </c>
      <c r="AW164" t="b">
        <f>AND(IF(Metadata!J164="",FALSE,TRUE),EXACT(Metadata!J164,"free-living"))</f>
        <v>0</v>
      </c>
      <c r="AX164" t="b">
        <f>AND(IF(Metadata!K164="",FALSE,TRUE),OR(EXACT(Metadata!K164,"saline"),EXACT(Metadata!K164,"non-saline")))</f>
        <v>0</v>
      </c>
      <c r="AY164" t="b">
        <f>AND(IF(Metadata!L164="",FALSE,TRUE),OR(EXACT(Metadata!L164,"sub-surface (non-saline)"),EXACT(Metadata!L164,"surface (non-saline)"),EXACT(Metadata!L164,"water (non-saline)"),EXACT(Metadata!L164,"soil (non-saline)"),EXACT(Metadata!L164,"aerosol (non-saline)"),EXACT(Metadata!L164,"sediment (non-saline)"),EXACT(Metadata!L164,"surface (saline)"),EXACT(Metadata!L164,"water (saline)"),EXACT(Metadata!L164,"hypersaline (saline)"),EXACT(Metadata!L164,"aerosol (saline)"),EXACT(Metadata!L164,"sediment (saline)")))</f>
        <v>0</v>
      </c>
      <c r="AZ164" t="b">
        <f>IF(Metadata!M164="",FALSE,TRUE)</f>
        <v>0</v>
      </c>
      <c r="BA164" t="b">
        <f>IF(Metadata!N164="",FALSE,TRUE)</f>
        <v>0</v>
      </c>
      <c r="BB164" t="b">
        <f>IF(Metadata!O164="",FALSE,TRUE)</f>
        <v>0</v>
      </c>
      <c r="BC164" t="b">
        <f>AND(IF(Metadata!P164="",FALSE,TRUE),OR(EXACT(Metadata!P164,"air"),EXACT(Metadata!P164,"microbial mat/biofilm"),EXACT(Metadata!P164,"misc environment"),EXACT(Metadata!P164,"sediment"),EXACT(Metadata!P164,"soil"),EXACT(Metadata!P164,"wastewater/sludge"),EXACT(Metadata!P164,"water")))</f>
        <v>0</v>
      </c>
      <c r="BD164" t="b">
        <f>IF(Metadata!Q164="",FALSE,TRUE)</f>
        <v>0</v>
      </c>
      <c r="BE164" t="b">
        <f>IF(Metadata!R164="",FALSE,TRUE)</f>
        <v>0</v>
      </c>
      <c r="BF164" t="b">
        <f>OR(AND(IF(Metadata!S164="",FALSE,TRUE),OR(EXACT(Metadata!S164,"not collected"),EXACT(Metadata!S164,"not provided"),EXACT(Metadata!S164,"restricted access"))),AND(IF(Metadata!S164="",FALSE,ISNUMBER(VALUE(Metadata!S164))),Metadata!S164&gt;=-90,Metadata!S164&lt;=90))</f>
        <v>0</v>
      </c>
      <c r="BG164" t="b">
        <f>AND(IF(Metadata!T164="",FALSE,TRUE),EXACT(Metadata!T164,"Decimal degrees"))</f>
        <v>0</v>
      </c>
      <c r="BH164" t="b">
        <f>OR(AND(IF(Metadata!U164="",FALSE,TRUE),OR(EXACT(Metadata!U164,"not applicable"),EXACT(Metadata!U164,"not collected"))),IF(Metadata!U164="",FALSE,TRUE))</f>
        <v>0</v>
      </c>
      <c r="BI164" t="b">
        <f>OR(AND(IF(Metadata!V164="",FALSE,TRUE),OR(EXACT(Metadata!V164,"not collected"),EXACT(Metadata!V164,"not provided"),EXACT(Metadata!V164,"restricted access"))),AND(IF(Metadata!V164="",FALSE,ISNUMBER(VALUE(Metadata!V164))),Metadata!V164&gt;=-180,Metadata!V164&lt;=180))</f>
        <v>0</v>
      </c>
      <c r="BJ164" t="b">
        <f>AND(IF(Metadata!W164="",FALSE,TRUE),EXACT(Metadata!W164,"Decimal degrees"))</f>
        <v>0</v>
      </c>
      <c r="BK164" t="b">
        <f>IF(Metadata!X164="",FALSE,TRUE)</f>
        <v>0</v>
      </c>
      <c r="BL164" t="b">
        <f>OR(AND(IF(Metadata!Y164="",FALSE,TRUE),OR(EXACT(Metadata!Y164,"not collected"),EXACT(Metadata!Y164,"not provided"),EXACT(Metadata!Y164,"restricted access"))),AND(IF(Metadata!Y164="",FALSE,TRUE),OR(EXACT(Metadata!Y164,"TRUE"),EXACT(Metadata!Y164,"FALSE"))))</f>
        <v>0</v>
      </c>
      <c r="BM164" t="b">
        <f>OR(AND(IF(Metadata!Z164="",FALSE,TRUE),EXACT(Metadata!Z164,"not applicable")),AND(IF(Metadata!Z164="",FALSE,TRUE),OR(EXACT(Metadata!Z164,"beer"),EXACT(Metadata!Z164,"cheese"),EXACT(Metadata!Z164,"fresh water"),EXACT(Metadata!Z164,"marine sediment"),EXACT(Metadata!Z164,"sea water"),EXACT(Metadata!Z164,"sediment"),EXACT(Metadata!Z164,"soil"),EXACT(Metadata!Z164,"waste water"))))</f>
        <v>0</v>
      </c>
      <c r="BN164" t="b">
        <f>AND(IF(Metadata!AA164="",FALSE,TRUE),EXACT(Metadata!AA164,"metagenome"))</f>
        <v>0</v>
      </c>
      <c r="BO164" t="b">
        <f>AND(IF(Metadata!AB164="",FALSE,TRUE),EXACT(Metadata!AB164,"256318"))</f>
        <v>0</v>
      </c>
      <c r="BP164" t="b">
        <f>IF(Metadata!AC164="",FALSE,TRUE)</f>
        <v>0</v>
      </c>
      <c r="BQ164" t="b">
        <f>IF(Metadata!AD164="",FALSE,TRUE)</f>
        <v>0</v>
      </c>
    </row>
    <row r="165" spans="1:69" x14ac:dyDescent="0.2">
      <c r="A165" s="4" t="e">
        <f ca="1">IF(B165=" "," ",HYPERLINK(CONCATENATE("#metadata!",ADDRESS(INDEX($AJ$2:$AJ$1001,MATCH(ROWS($AH$2:AH165),$AH$2:$AH$1001,0),0),2)),INDEX($AM$2:$AM$1001,MATCH(ROWS($AH$2:AH165),$AH$2:$AH$1001,0),0)))</f>
        <v>#N/A</v>
      </c>
      <c r="B165" s="5" t="e">
        <f ca="1">IF(OR(INDEX($AI$2:$AI$1001,MATCH(ROWS($AH$2:AH165),$AH$2:$AH$1001,0),1)&gt;=100000,INDEX($AO$1005:$BQ$1005,1,MATCH(COLUMNS($AO$1006:AO1006),$AO$1006:$BQ$1006,0))&gt;=100000), " ",IF(INDEX($AO$2:$BQ$1001,MATCH(ROWS($AH$2:AH165),$AH$2:$AH$1001,0),MATCH(COLUMNS($AO$1006:AO1006),$AO$1006:$BQ$1006,0)), HYPERLINK("#",""), HYPERLINK(CONCATENATE("#Metadata!", ADDRESS(INDEX($AJ$2:$AJ$1001,MATCH(ROWS($AH$2:AH165),$AH$2:$AH$1001,0),0), INDEX($AO$1004:$BQ$1004,1,MATCH(COLUMNS($AO$1006:AO1006),$AO$1006:$BQ$1006,0)))),"Fix")))</f>
        <v>#N/A</v>
      </c>
      <c r="C165" s="5" t="e">
        <f ca="1">IF(OR(INDEX($AI$2:$AI$1001,MATCH(ROWS($AH$2:AH165),$AH$2:$AH$1001,0),1)&gt;=100000,INDEX($AO$1005:$BQ$1005,1,MATCH(COLUMNS($AO$1006:AP1006),$AO$1006:$BQ$1006,0))&gt;=100000), " ",IF(INDEX($AO$2:$BQ$1001,MATCH(ROWS($AH$2:AH165),$AH$2:$AH$1001,0),MATCH(COLUMNS($AO$1006:AP1006),$AO$1006:$BQ$1006,0)), HYPERLINK("#",""), HYPERLINK(CONCATENATE("#Metadata!", ADDRESS(INDEX($AJ$2:$AJ$1001,MATCH(ROWS($AH$2:AH165),$AH$2:$AH$1001,0),0), INDEX($AO$1004:$BQ$1004,1,MATCH(COLUMNS($AO$1006:AP1006),$AO$1006:$BQ$1006,0)))),"Fix")))</f>
        <v>#N/A</v>
      </c>
      <c r="D165" s="5" t="e">
        <f ca="1">IF(OR(INDEX($AI$2:$AI$1001,MATCH(ROWS($AH$2:AH165),$AH$2:$AH$1001,0),1)&gt;=100000,INDEX($AO$1005:$BQ$1005,1,MATCH(COLUMNS($AO$1006:AQ1006),$AO$1006:$BQ$1006,0))&gt;=100000), " ",IF(INDEX($AO$2:$BQ$1001,MATCH(ROWS($AH$2:AH165),$AH$2:$AH$1001,0),MATCH(COLUMNS($AO$1006:AQ1006),$AO$1006:$BQ$1006,0)), HYPERLINK("#",""), HYPERLINK(CONCATENATE("#Metadata!", ADDRESS(INDEX($AJ$2:$AJ$1001,MATCH(ROWS($AH$2:AH165),$AH$2:$AH$1001,0),0), INDEX($AO$1004:$BQ$1004,1,MATCH(COLUMNS($AO$1006:AQ1006),$AO$1006:$BQ$1006,0)))),"Fix")))</f>
        <v>#N/A</v>
      </c>
      <c r="E165" s="5" t="e">
        <f ca="1">IF(OR(INDEX($AI$2:$AI$1001,MATCH(ROWS($AH$2:AH165),$AH$2:$AH$1001,0),1)&gt;=100000,INDEX($AO$1005:$BQ$1005,1,MATCH(COLUMNS($AO$1006:AR1006),$AO$1006:$BQ$1006,0))&gt;=100000), " ",IF(INDEX($AO$2:$BQ$1001,MATCH(ROWS($AH$2:AH165),$AH$2:$AH$1001,0),MATCH(COLUMNS($AO$1006:AR1006),$AO$1006:$BQ$1006,0)), HYPERLINK("#",""), HYPERLINK(CONCATENATE("#Metadata!", ADDRESS(INDEX($AJ$2:$AJ$1001,MATCH(ROWS($AH$2:AH165),$AH$2:$AH$1001,0),0), INDEX($AO$1004:$BQ$1004,1,MATCH(COLUMNS($AO$1006:AR1006),$AO$1006:$BQ$1006,0)))),"Fix")))</f>
        <v>#N/A</v>
      </c>
      <c r="F165" s="5" t="e">
        <f ca="1">IF(OR(INDEX($AI$2:$AI$1001,MATCH(ROWS($AH$2:AH165),$AH$2:$AH$1001,0),1)&gt;=100000,INDEX($AO$1005:$BQ$1005,1,MATCH(COLUMNS($AO$1006:AS1006),$AO$1006:$BQ$1006,0))&gt;=100000), " ",IF(INDEX($AO$2:$BQ$1001,MATCH(ROWS($AH$2:AH165),$AH$2:$AH$1001,0),MATCH(COLUMNS($AO$1006:AS1006),$AO$1006:$BQ$1006,0)), HYPERLINK("#",""), HYPERLINK(CONCATENATE("#Metadata!", ADDRESS(INDEX($AJ$2:$AJ$1001,MATCH(ROWS($AH$2:AH165),$AH$2:$AH$1001,0),0), INDEX($AO$1004:$BQ$1004,1,MATCH(COLUMNS($AO$1006:AS1006),$AO$1006:$BQ$1006,0)))),"Fix")))</f>
        <v>#N/A</v>
      </c>
      <c r="G165" s="5" t="e">
        <f ca="1">IF(OR(INDEX($AI$2:$AI$1001,MATCH(ROWS($AH$2:AH165),$AH$2:$AH$1001,0),1)&gt;=100000,INDEX($AO$1005:$BQ$1005,1,MATCH(COLUMNS($AO$1006:AT1006),$AO$1006:$BQ$1006,0))&gt;=100000), " ",IF(INDEX($AO$2:$BQ$1001,MATCH(ROWS($AH$2:AH165),$AH$2:$AH$1001,0),MATCH(COLUMNS($AO$1006:AT1006),$AO$1006:$BQ$1006,0)), HYPERLINK("#",""), HYPERLINK(CONCATENATE("#Metadata!", ADDRESS(INDEX($AJ$2:$AJ$1001,MATCH(ROWS($AH$2:AH165),$AH$2:$AH$1001,0),0), INDEX($AO$1004:$BQ$1004,1,MATCH(COLUMNS($AO$1006:AT1006),$AO$1006:$BQ$1006,0)))),"Fix")))</f>
        <v>#N/A</v>
      </c>
      <c r="H165" s="5" t="e">
        <f ca="1">IF(OR(INDEX($AI$2:$AI$1001,MATCH(ROWS($AH$2:AH165),$AH$2:$AH$1001,0),1)&gt;=100000,INDEX($AO$1005:$BQ$1005,1,MATCH(COLUMNS($AO$1006:AU1006),$AO$1006:$BQ$1006,0))&gt;=100000), " ",IF(INDEX($AO$2:$BQ$1001,MATCH(ROWS($AH$2:AH165),$AH$2:$AH$1001,0),MATCH(COLUMNS($AO$1006:AU1006),$AO$1006:$BQ$1006,0)), HYPERLINK("#",""), HYPERLINK(CONCATENATE("#Metadata!", ADDRESS(INDEX($AJ$2:$AJ$1001,MATCH(ROWS($AH$2:AH165),$AH$2:$AH$1001,0),0), INDEX($AO$1004:$BQ$1004,1,MATCH(COLUMNS($AO$1006:AU1006),$AO$1006:$BQ$1006,0)))),"Fix")))</f>
        <v>#N/A</v>
      </c>
      <c r="I165" s="5" t="e">
        <f ca="1">IF(OR(INDEX($AI$2:$AI$1001,MATCH(ROWS($AH$2:AH165),$AH$2:$AH$1001,0),1)&gt;=100000,INDEX($AO$1005:$BQ$1005,1,MATCH(COLUMNS($AO$1006:AV1006),$AO$1006:$BQ$1006,0))&gt;=100000), " ",IF(INDEX($AO$2:$BQ$1001,MATCH(ROWS($AH$2:AH165),$AH$2:$AH$1001,0),MATCH(COLUMNS($AO$1006:AV1006),$AO$1006:$BQ$1006,0)), HYPERLINK("#",""), HYPERLINK(CONCATENATE("#Metadata!", ADDRESS(INDEX($AJ$2:$AJ$1001,MATCH(ROWS($AH$2:AH165),$AH$2:$AH$1001,0),0), INDEX($AO$1004:$BQ$1004,1,MATCH(COLUMNS($AO$1006:AV1006),$AO$1006:$BQ$1006,0)))),"Fix")))</f>
        <v>#N/A</v>
      </c>
      <c r="J165" s="5" t="e">
        <f ca="1">IF(OR(INDEX($AI$2:$AI$1001,MATCH(ROWS($AH$2:AH165),$AH$2:$AH$1001,0),1)&gt;=100000,INDEX($AO$1005:$BQ$1005,1,MATCH(COLUMNS($AO$1006:AW1006),$AO$1006:$BQ$1006,0))&gt;=100000), " ",IF(INDEX($AO$2:$BQ$1001,MATCH(ROWS($AH$2:AH165),$AH$2:$AH$1001,0),MATCH(COLUMNS($AO$1006:AW1006),$AO$1006:$BQ$1006,0)), HYPERLINK("#",""), HYPERLINK(CONCATENATE("#Metadata!", ADDRESS(INDEX($AJ$2:$AJ$1001,MATCH(ROWS($AH$2:AH165),$AH$2:$AH$1001,0),0), INDEX($AO$1004:$BQ$1004,1,MATCH(COLUMNS($AO$1006:AW1006),$AO$1006:$BQ$1006,0)))),"Fix")))</f>
        <v>#N/A</v>
      </c>
      <c r="K165" s="5" t="e">
        <f ca="1">IF(OR(INDEX($AI$2:$AI$1001,MATCH(ROWS($AH$2:AH165),$AH$2:$AH$1001,0),1)&gt;=100000,INDEX($AO$1005:$BQ$1005,1,MATCH(COLUMNS($AO$1006:AX1006),$AO$1006:$BQ$1006,0))&gt;=100000), " ",IF(INDEX($AO$2:$BQ$1001,MATCH(ROWS($AH$2:AH165),$AH$2:$AH$1001,0),MATCH(COLUMNS($AO$1006:AX1006),$AO$1006:$BQ$1006,0)), HYPERLINK("#",""), HYPERLINK(CONCATENATE("#Metadata!", ADDRESS(INDEX($AJ$2:$AJ$1001,MATCH(ROWS($AH$2:AH165),$AH$2:$AH$1001,0),0), INDEX($AO$1004:$BQ$1004,1,MATCH(COLUMNS($AO$1006:AX1006),$AO$1006:$BQ$1006,0)))),"Fix")))</f>
        <v>#N/A</v>
      </c>
      <c r="L165" s="5" t="e">
        <f ca="1">IF(OR(INDEX($AI$2:$AI$1001,MATCH(ROWS($AH$2:AH165),$AH$2:$AH$1001,0),1)&gt;=100000,INDEX($AO$1005:$BQ$1005,1,MATCH(COLUMNS($AO$1006:AY1006),$AO$1006:$BQ$1006,0))&gt;=100000), " ",IF(INDEX($AO$2:$BQ$1001,MATCH(ROWS($AH$2:AH165),$AH$2:$AH$1001,0),MATCH(COLUMNS($AO$1006:AY1006),$AO$1006:$BQ$1006,0)), HYPERLINK("#",""), HYPERLINK(CONCATENATE("#Metadata!", ADDRESS(INDEX($AJ$2:$AJ$1001,MATCH(ROWS($AH$2:AH165),$AH$2:$AH$1001,0),0), INDEX($AO$1004:$BQ$1004,1,MATCH(COLUMNS($AO$1006:AY1006),$AO$1006:$BQ$1006,0)))),"Fix")))</f>
        <v>#N/A</v>
      </c>
      <c r="M165" s="5" t="e">
        <f ca="1">IF(OR(INDEX($AI$2:$AI$1001,MATCH(ROWS($AH$2:AH165),$AH$2:$AH$1001,0),1)&gt;=100000,INDEX($AO$1005:$BQ$1005,1,MATCH(COLUMNS($AO$1006:AZ1006),$AO$1006:$BQ$1006,0))&gt;=100000), " ",IF(INDEX($AO$2:$BQ$1001,MATCH(ROWS($AH$2:AH165),$AH$2:$AH$1001,0),MATCH(COLUMNS($AO$1006:AZ1006),$AO$1006:$BQ$1006,0)), HYPERLINK("#",""), HYPERLINK(CONCATENATE("#Metadata!", ADDRESS(INDEX($AJ$2:$AJ$1001,MATCH(ROWS($AH$2:AH165),$AH$2:$AH$1001,0),0), INDEX($AO$1004:$BQ$1004,1,MATCH(COLUMNS($AO$1006:AZ1006),$AO$1006:$BQ$1006,0)))),"Fix")))</f>
        <v>#N/A</v>
      </c>
      <c r="N165" s="5" t="e">
        <f ca="1">IF(OR(INDEX($AI$2:$AI$1001,MATCH(ROWS($AH$2:AH165),$AH$2:$AH$1001,0),1)&gt;=100000,INDEX($AO$1005:$BQ$1005,1,MATCH(COLUMNS($AO$1006:BA1006),$AO$1006:$BQ$1006,0))&gt;=100000), " ",IF(INDEX($AO$2:$BQ$1001,MATCH(ROWS($AH$2:AH165),$AH$2:$AH$1001,0),MATCH(COLUMNS($AO$1006:BA1006),$AO$1006:$BQ$1006,0)), HYPERLINK("#",""), HYPERLINK(CONCATENATE("#Metadata!", ADDRESS(INDEX($AJ$2:$AJ$1001,MATCH(ROWS($AH$2:AH165),$AH$2:$AH$1001,0),0), INDEX($AO$1004:$BQ$1004,1,MATCH(COLUMNS($AO$1006:BA1006),$AO$1006:$BQ$1006,0)))),"Fix")))</f>
        <v>#N/A</v>
      </c>
      <c r="O165" s="5" t="e">
        <f ca="1">IF(OR(INDEX($AI$2:$AI$1001,MATCH(ROWS($AH$2:AH165),$AH$2:$AH$1001,0),1)&gt;=100000,INDEX($AO$1005:$BQ$1005,1,MATCH(COLUMNS($AO$1006:BB1006),$AO$1006:$BQ$1006,0))&gt;=100000), " ",IF(INDEX($AO$2:$BQ$1001,MATCH(ROWS($AH$2:AH165),$AH$2:$AH$1001,0),MATCH(COLUMNS($AO$1006:BB1006),$AO$1006:$BQ$1006,0)), HYPERLINK("#",""), HYPERLINK(CONCATENATE("#Metadata!", ADDRESS(INDEX($AJ$2:$AJ$1001,MATCH(ROWS($AH$2:AH165),$AH$2:$AH$1001,0),0), INDEX($AO$1004:$BQ$1004,1,MATCH(COLUMNS($AO$1006:BB1006),$AO$1006:$BQ$1006,0)))),"Fix")))</f>
        <v>#N/A</v>
      </c>
      <c r="P165" s="5" t="e">
        <f ca="1">IF(OR(INDEX($AI$2:$AI$1001,MATCH(ROWS($AH$2:AH165),$AH$2:$AH$1001,0),1)&gt;=100000,INDEX($AO$1005:$BQ$1005,1,MATCH(COLUMNS($AO$1006:BC1006),$AO$1006:$BQ$1006,0))&gt;=100000), " ",IF(INDEX($AO$2:$BQ$1001,MATCH(ROWS($AH$2:AH165),$AH$2:$AH$1001,0),MATCH(COLUMNS($AO$1006:BC1006),$AO$1006:$BQ$1006,0)), HYPERLINK("#",""), HYPERLINK(CONCATENATE("#Metadata!", ADDRESS(INDEX($AJ$2:$AJ$1001,MATCH(ROWS($AH$2:AH165),$AH$2:$AH$1001,0),0), INDEX($AO$1004:$BQ$1004,1,MATCH(COLUMNS($AO$1006:BC1006),$AO$1006:$BQ$1006,0)))),"Fix")))</f>
        <v>#N/A</v>
      </c>
      <c r="Q165" s="5" t="e">
        <f ca="1">IF(OR(INDEX($AI$2:$AI$1001,MATCH(ROWS($AH$2:AH165),$AH$2:$AH$1001,0),1)&gt;=100000,INDEX($AO$1005:$BQ$1005,1,MATCH(COLUMNS($AO$1006:BD1006),$AO$1006:$BQ$1006,0))&gt;=100000), " ",IF(INDEX($AO$2:$BQ$1001,MATCH(ROWS($AH$2:AH165),$AH$2:$AH$1001,0),MATCH(COLUMNS($AO$1006:BD1006),$AO$1006:$BQ$1006,0)), HYPERLINK("#",""), HYPERLINK(CONCATENATE("#Metadata!", ADDRESS(INDEX($AJ$2:$AJ$1001,MATCH(ROWS($AH$2:AH165),$AH$2:$AH$1001,0),0), INDEX($AO$1004:$BQ$1004,1,MATCH(COLUMNS($AO$1006:BD1006),$AO$1006:$BQ$1006,0)))),"Fix")))</f>
        <v>#N/A</v>
      </c>
      <c r="R165" s="5" t="e">
        <f ca="1">IF(OR(INDEX($AI$2:$AI$1001,MATCH(ROWS($AH$2:AH165),$AH$2:$AH$1001,0),1)&gt;=100000,INDEX($AO$1005:$BQ$1005,1,MATCH(COLUMNS($AO$1006:BE1006),$AO$1006:$BQ$1006,0))&gt;=100000), " ",IF(INDEX($AO$2:$BQ$1001,MATCH(ROWS($AH$2:AH165),$AH$2:$AH$1001,0),MATCH(COLUMNS($AO$1006:BE1006),$AO$1006:$BQ$1006,0)), HYPERLINK("#",""), HYPERLINK(CONCATENATE("#Metadata!", ADDRESS(INDEX($AJ$2:$AJ$1001,MATCH(ROWS($AH$2:AH165),$AH$2:$AH$1001,0),0), INDEX($AO$1004:$BQ$1004,1,MATCH(COLUMNS($AO$1006:BE1006),$AO$1006:$BQ$1006,0)))),"Fix")))</f>
        <v>#N/A</v>
      </c>
      <c r="S165" s="5" t="e">
        <f ca="1">IF(OR(INDEX($AI$2:$AI$1001,MATCH(ROWS($AH$2:AH165),$AH$2:$AH$1001,0),1)&gt;=100000,INDEX($AO$1005:$BQ$1005,1,MATCH(COLUMNS($AO$1006:BF1006),$AO$1006:$BQ$1006,0))&gt;=100000), " ",IF(INDEX($AO$2:$BQ$1001,MATCH(ROWS($AH$2:AH165),$AH$2:$AH$1001,0),MATCH(COLUMNS($AO$1006:BF1006),$AO$1006:$BQ$1006,0)), HYPERLINK("#",""), HYPERLINK(CONCATENATE("#Metadata!", ADDRESS(INDEX($AJ$2:$AJ$1001,MATCH(ROWS($AH$2:AH165),$AH$2:$AH$1001,0),0), INDEX($AO$1004:$BQ$1004,1,MATCH(COLUMNS($AO$1006:BF1006),$AO$1006:$BQ$1006,0)))),"Fix")))</f>
        <v>#N/A</v>
      </c>
      <c r="T165" s="5" t="e">
        <f ca="1">IF(OR(INDEX($AI$2:$AI$1001,MATCH(ROWS($AH$2:AH165),$AH$2:$AH$1001,0),1)&gt;=100000,INDEX($AO$1005:$BQ$1005,1,MATCH(COLUMNS($AO$1006:BG1006),$AO$1006:$BQ$1006,0))&gt;=100000), " ",IF(INDEX($AO$2:$BQ$1001,MATCH(ROWS($AH$2:AH165),$AH$2:$AH$1001,0),MATCH(COLUMNS($AO$1006:BG1006),$AO$1006:$BQ$1006,0)), HYPERLINK("#",""), HYPERLINK(CONCATENATE("#Metadata!", ADDRESS(INDEX($AJ$2:$AJ$1001,MATCH(ROWS($AH$2:AH165),$AH$2:$AH$1001,0),0), INDEX($AO$1004:$BQ$1004,1,MATCH(COLUMNS($AO$1006:BG1006),$AO$1006:$BQ$1006,0)))),"Fix")))</f>
        <v>#N/A</v>
      </c>
      <c r="U165" s="5" t="e">
        <f ca="1">IF(OR(INDEX($AI$2:$AI$1001,MATCH(ROWS($AH$2:AH165),$AH$2:$AH$1001,0),1)&gt;=100000,INDEX($AO$1005:$BQ$1005,1,MATCH(COLUMNS($AO$1006:BH1006),$AO$1006:$BQ$1006,0))&gt;=100000), " ",IF(INDEX($AO$2:$BQ$1001,MATCH(ROWS($AH$2:AH165),$AH$2:$AH$1001,0),MATCH(COLUMNS($AO$1006:BH1006),$AO$1006:$BQ$1006,0)), HYPERLINK("#",""), HYPERLINK(CONCATENATE("#Metadata!", ADDRESS(INDEX($AJ$2:$AJ$1001,MATCH(ROWS($AH$2:AH165),$AH$2:$AH$1001,0),0), INDEX($AO$1004:$BQ$1004,1,MATCH(COLUMNS($AO$1006:BH1006),$AO$1006:$BQ$1006,0)))),"Fix")))</f>
        <v>#N/A</v>
      </c>
      <c r="V165" s="5" t="e">
        <f ca="1">IF(OR(INDEX($AI$2:$AI$1001,MATCH(ROWS($AH$2:AH165),$AH$2:$AH$1001,0),1)&gt;=100000,INDEX($AO$1005:$BQ$1005,1,MATCH(COLUMNS($AO$1006:BI1006),$AO$1006:$BQ$1006,0))&gt;=100000), " ",IF(INDEX($AO$2:$BQ$1001,MATCH(ROWS($AH$2:AH165),$AH$2:$AH$1001,0),MATCH(COLUMNS($AO$1006:BI1006),$AO$1006:$BQ$1006,0)), HYPERLINK("#",""), HYPERLINK(CONCATENATE("#Metadata!", ADDRESS(INDEX($AJ$2:$AJ$1001,MATCH(ROWS($AH$2:AH165),$AH$2:$AH$1001,0),0), INDEX($AO$1004:$BQ$1004,1,MATCH(COLUMNS($AO$1006:BI1006),$AO$1006:$BQ$1006,0)))),"Fix")))</f>
        <v>#N/A</v>
      </c>
      <c r="W165" s="5" t="e">
        <f ca="1">IF(OR(INDEX($AI$2:$AI$1001,MATCH(ROWS($AH$2:AH165),$AH$2:$AH$1001,0),1)&gt;=100000,INDEX($AO$1005:$BQ$1005,1,MATCH(COLUMNS($AO$1006:BJ1006),$AO$1006:$BQ$1006,0))&gt;=100000), " ",IF(INDEX($AO$2:$BQ$1001,MATCH(ROWS($AH$2:AH165),$AH$2:$AH$1001,0),MATCH(COLUMNS($AO$1006:BJ1006),$AO$1006:$BQ$1006,0)), HYPERLINK("#",""), HYPERLINK(CONCATENATE("#Metadata!", ADDRESS(INDEX($AJ$2:$AJ$1001,MATCH(ROWS($AH$2:AH165),$AH$2:$AH$1001,0),0), INDEX($AO$1004:$BQ$1004,1,MATCH(COLUMNS($AO$1006:BJ1006),$AO$1006:$BQ$1006,0)))),"Fix")))</f>
        <v>#N/A</v>
      </c>
      <c r="X165" s="5" t="e">
        <f ca="1">IF(OR(INDEX($AI$2:$AI$1001,MATCH(ROWS($AH$2:AH165),$AH$2:$AH$1001,0),1)&gt;=100000,INDEX($AO$1005:$BQ$1005,1,MATCH(COLUMNS($AO$1006:BK1006),$AO$1006:$BQ$1006,0))&gt;=100000), " ",IF(INDEX($AO$2:$BQ$1001,MATCH(ROWS($AH$2:AH165),$AH$2:$AH$1001,0),MATCH(COLUMNS($AO$1006:BK1006),$AO$1006:$BQ$1006,0)), HYPERLINK("#",""), HYPERLINK(CONCATENATE("#Metadata!", ADDRESS(INDEX($AJ$2:$AJ$1001,MATCH(ROWS($AH$2:AH165),$AH$2:$AH$1001,0),0), INDEX($AO$1004:$BQ$1004,1,MATCH(COLUMNS($AO$1006:BK1006),$AO$1006:$BQ$1006,0)))),"Fix")))</f>
        <v>#N/A</v>
      </c>
      <c r="Y165" s="5" t="e">
        <f ca="1">IF(OR(INDEX($AI$2:$AI$1001,MATCH(ROWS($AH$2:AH165),$AH$2:$AH$1001,0),1)&gt;=100000,INDEX($AO$1005:$BQ$1005,1,MATCH(COLUMNS($AO$1006:BL1006),$AO$1006:$BQ$1006,0))&gt;=100000), " ",IF(INDEX($AO$2:$BQ$1001,MATCH(ROWS($AH$2:AH165),$AH$2:$AH$1001,0),MATCH(COLUMNS($AO$1006:BL1006),$AO$1006:$BQ$1006,0)), HYPERLINK("#",""), HYPERLINK(CONCATENATE("#Metadata!", ADDRESS(INDEX($AJ$2:$AJ$1001,MATCH(ROWS($AH$2:AH165),$AH$2:$AH$1001,0),0), INDEX($AO$1004:$BQ$1004,1,MATCH(COLUMNS($AO$1006:BL1006),$AO$1006:$BQ$1006,0)))),"Fix")))</f>
        <v>#N/A</v>
      </c>
      <c r="Z165" s="5" t="e">
        <f ca="1">IF(OR(INDEX($AI$2:$AI$1001,MATCH(ROWS($AH$2:AH165),$AH$2:$AH$1001,0),1)&gt;=100000,INDEX($AO$1005:$BQ$1005,1,MATCH(COLUMNS($AO$1006:BM1006),$AO$1006:$BQ$1006,0))&gt;=100000), " ",IF(INDEX($AO$2:$BQ$1001,MATCH(ROWS($AH$2:AH165),$AH$2:$AH$1001,0),MATCH(COLUMNS($AO$1006:BM1006),$AO$1006:$BQ$1006,0)), HYPERLINK("#",""), HYPERLINK(CONCATENATE("#Metadata!", ADDRESS(INDEX($AJ$2:$AJ$1001,MATCH(ROWS($AH$2:AH165),$AH$2:$AH$1001,0),0), INDEX($AO$1004:$BQ$1004,1,MATCH(COLUMNS($AO$1006:BM1006),$AO$1006:$BQ$1006,0)))),"Fix")))</f>
        <v>#N/A</v>
      </c>
      <c r="AA165" s="5" t="e">
        <f ca="1">IF(OR(INDEX($AI$2:$AI$1001,MATCH(ROWS($AH$2:AH165),$AH$2:$AH$1001,0),1)&gt;=100000,INDEX($AO$1005:$BQ$1005,1,MATCH(COLUMNS($AO$1006:BN1006),$AO$1006:$BQ$1006,0))&gt;=100000), " ",IF(INDEX($AO$2:$BQ$1001,MATCH(ROWS($AH$2:AH165),$AH$2:$AH$1001,0),MATCH(COLUMNS($AO$1006:BN1006),$AO$1006:$BQ$1006,0)), HYPERLINK("#",""), HYPERLINK(CONCATENATE("#Metadata!", ADDRESS(INDEX($AJ$2:$AJ$1001,MATCH(ROWS($AH$2:AH165),$AH$2:$AH$1001,0),0), INDEX($AO$1004:$BQ$1004,1,MATCH(COLUMNS($AO$1006:BN1006),$AO$1006:$BQ$1006,0)))),"Fix")))</f>
        <v>#N/A</v>
      </c>
      <c r="AB165" s="5" t="e">
        <f ca="1">IF(OR(INDEX($AI$2:$AI$1001,MATCH(ROWS($AH$2:AH165),$AH$2:$AH$1001,0),1)&gt;=100000,INDEX($AO$1005:$BQ$1005,1,MATCH(COLUMNS($AO$1006:BO1006),$AO$1006:$BQ$1006,0))&gt;=100000), " ",IF(INDEX($AO$2:$BQ$1001,MATCH(ROWS($AH$2:AH165),$AH$2:$AH$1001,0),MATCH(COLUMNS($AO$1006:BO1006),$AO$1006:$BQ$1006,0)), HYPERLINK("#",""), HYPERLINK(CONCATENATE("#Metadata!", ADDRESS(INDEX($AJ$2:$AJ$1001,MATCH(ROWS($AH$2:AH165),$AH$2:$AH$1001,0),0), INDEX($AO$1004:$BQ$1004,1,MATCH(COLUMNS($AO$1006:BO1006),$AO$1006:$BQ$1006,0)))),"Fix")))</f>
        <v>#N/A</v>
      </c>
      <c r="AC165" s="5" t="e">
        <f ca="1">IF(OR(INDEX($AI$2:$AI$1001,MATCH(ROWS($AH$2:AH165),$AH$2:$AH$1001,0),1)&gt;=100000,INDEX($AO$1005:$BQ$1005,1,MATCH(COLUMNS($AO$1006:BP1006),$AO$1006:$BQ$1006,0))&gt;=100000), " ",IF(INDEX($AO$2:$BQ$1001,MATCH(ROWS($AH$2:AH165),$AH$2:$AH$1001,0),MATCH(COLUMNS($AO$1006:BP1006),$AO$1006:$BQ$1006,0)), HYPERLINK("#",""), HYPERLINK(CONCATENATE("#Metadata!", ADDRESS(INDEX($AJ$2:$AJ$1001,MATCH(ROWS($AH$2:AH165),$AH$2:$AH$1001,0),0), INDEX($AO$1004:$BQ$1004,1,MATCH(COLUMNS($AO$1006:BP1006),$AO$1006:$BQ$1006,0)))),"Fix")))</f>
        <v>#N/A</v>
      </c>
      <c r="AD165" s="5" t="e">
        <f ca="1">IF(OR(INDEX($AI$2:$AI$1001,MATCH(ROWS($AH$2:AH165),$AH$2:$AH$1001,0),1)&gt;=100000,INDEX($AO$1005:$BQ$1005,1,MATCH(COLUMNS($AO$1006:BQ1006),$AO$1006:$BQ$1006,0))&gt;=100000), " ",IF(INDEX($AO$2:$BQ$1001,MATCH(ROWS($AH$2:AH165),$AH$2:$AH$1001,0),MATCH(COLUMNS($AO$1006:BQ1006),$AO$1006:$BQ$1006,0)), HYPERLINK("#",""), HYPERLINK(CONCATENATE("#Metadata!", ADDRESS(INDEX($AJ$2:$AJ$1001,MATCH(ROWS($AH$2:AH165),$AH$2:$AH$1001,0),0), INDEX($AO$1004:$BQ$1004,1,MATCH(COLUMNS($AO$1006:BQ1006),$AO$1006:$BQ$1006,0)))),"Fix")))</f>
        <v>#REF!</v>
      </c>
      <c r="AH165">
        <f ca="1"/>
        <v>162</v>
      </c>
      <c r="AI165">
        <v>100165</v>
      </c>
      <c r="AJ165">
        <v>165</v>
      </c>
      <c r="AK165" t="b">
        <f t="shared" si="2"/>
        <v>1</v>
      </c>
      <c r="AL165" t="b">
        <f>COUNTBLANK(Metadata!B165:AD165)=COLUMNS(Metadata!B165:AD165)</f>
        <v>1</v>
      </c>
      <c r="AM165" t="str">
        <v/>
      </c>
      <c r="AO165" t="b">
        <f ca="1">AND(IF(Metadata!B165="",FALSE,TRUE),COUNTIF(Metadata!B:B, Metadata!B165) = 1,NOT(ISERROR(SUMPRODUCT(SEARCH(MID(Metadata!B165,ROW(INDIRECT("1:"&amp;LEN(Metadata!B165))), 1),"0123456789abcdefghijklmnopqrstuvwxyzABCDEFGHIJKLMNOPQRSTUVWXYZ.")))))</f>
        <v>0</v>
      </c>
      <c r="AP165" t="b">
        <f>IF(Metadata!C165="",FALSE,TRUE)</f>
        <v>0</v>
      </c>
      <c r="AQ165" t="b">
        <f>IF(Metadata!D165="",FALSE,TRUE)</f>
        <v>0</v>
      </c>
      <c r="AR165" t="b">
        <f ca="1">OR(AND(IF(Metadata!E165="",FALSE,TRUE),OR(EXACT(Metadata!E165,"not collected"),EXACT(Metadata!E165,"not provided"),EXACT(Metadata!E165,"restricted access"))),AND(IF(Metadata!E165="",FALSE,TRUE),AND(AND(IFERROR(INT(LEFT(Metadata!E165,4))&gt;1900,FALSE),IFERROR(INT(LEFT(Metadata!E165,4))&lt;=YEAR(NOW()),FALSE)), OR(MID(Metadata!E165,5,1)="", AND(AND(MID(Metadata!E165,5,1)="-",IFERROR(INT(MID(Metadata!E165,6,1))&gt;=0,FALSE),IFERROR(INT(MID(Metadata!E165,6,1))&lt;=1,FALSE),NOT(MID(Metadata!E165,7,1)=""),IFERROR(INT(MID(Metadata!E165,6,2))&gt;=1,FALSE),IFERROR(INT(MID(Metadata!E165,6,2))&lt;=12,FALSE)), OR(MID(Metadata!E165,8,1)="", AND(AND(MID(Metadata!E165,8,1)="-",IFERROR(INT(MID(Metadata!E165,9,1))&gt;=0,FALSE),IFERROR(INT(MID(Metadata!E165,9,1))&lt;=3,FALSE),NOT(MID(Metadata!E165,10,1)=""),IFERROR(INT(MID(Metadata!E165,9,2))&gt;=1,FALSE),IFERROR(INT(MID(Metadata!E165,9,2))&lt;=31,FALSE)), OR(MID(Metadata!E165,11,1)="", AND(AND(MID(Metadata!E165,11,1)=" ",IFERROR(INT(MID(Metadata!E165,12,1))&gt;=0,FALSE),IFERROR(INT(MID(Metadata!E165,12,1))&lt;=2,FALSE),NOT(MID(Metadata!E165,13,1)=""),IFERROR(INT(MID(Metadata!E165,12,2))&gt;=0,FALSE),IFERROR(INT(MID(Metadata!E165,12,2))&lt;=23,FALSE)), OR(MID(Metadata!E165,14,1)="", AND(AND(MID(Metadata!E165,14,1)=":",IFERROR(INT(MID(Metadata!E165,15,1))&gt;=0,FALSE),IFERROR(INT(MID(Metadata!E165,15,1))&lt;=5,FALSE),NOT(MID(Metadata!E165,16,1)=""),IFERROR(INT(MID(Metadata!E165,15,2))&gt;=0,FALSE),IFERROR(INT(MID(Metadata!E165,15,2))&lt;=59,FALSE)), OR(MID(Metadata!E165,17,1)="", AND(AND(MID(Metadata!E165,17,1)=":",IFERROR(INT(MID(Metadata!E165,18,1))&gt;=0,FALSE),IFERROR(INT(MID(Metadata!E165,18,1))&lt;=5,FALSE),NOT(MID(Metadata!E165,19,1)=""),IFERROR(INT(MID(Metadata!E165,18,2))&gt;=0,FALSE),IFERROR(INT(MID(Metadata!E165,18,2))&lt;=59,FALSE)), LEN(Metadata!E165)&lt;=19)))))))))))))</f>
        <v>0</v>
      </c>
      <c r="AS165" t="b">
        <f>IF(Metadata!F165="",FALSE,TRUE)</f>
        <v>0</v>
      </c>
      <c r="AT165" t="b">
        <f>OR(AND(IF(Metadata!G165="",FALSE,TRUE),OR(EXACT(Metadata!G165,"not collected"),EXACT(Metadata!G165,"not provided"))),AND(IF(Metadata!G165="",FALSE,TRUE),OR(EXACT(Metadata!G165,"TRUE"),EXACT(Metadata!G165,"FALSE"))))</f>
        <v>0</v>
      </c>
      <c r="AU165" t="b">
        <f>OR(AND(IF(Metadata!H165="",FALSE,TRUE),OR(EXACT(Metadata!H165,"not collected"),EXACT(Metadata!H165,"not provided"),EXACT(Metadata!H165,"restricted access"))),AND(IF(Metadata!H165="",FALSE,ISNUMBER(VALUE(Metadata!H165))),Metadata!H165&gt;=-413))</f>
        <v>0</v>
      </c>
      <c r="AV165" t="b">
        <f>AND(IF(Metadata!I165="",FALSE,TRUE),EXACT(Metadata!I165,"meters"))</f>
        <v>0</v>
      </c>
      <c r="AW165" t="b">
        <f>AND(IF(Metadata!J165="",FALSE,TRUE),EXACT(Metadata!J165,"free-living"))</f>
        <v>0</v>
      </c>
      <c r="AX165" t="b">
        <f>AND(IF(Metadata!K165="",FALSE,TRUE),OR(EXACT(Metadata!K165,"saline"),EXACT(Metadata!K165,"non-saline")))</f>
        <v>0</v>
      </c>
      <c r="AY165" t="b">
        <f>AND(IF(Metadata!L165="",FALSE,TRUE),OR(EXACT(Metadata!L165,"sub-surface (non-saline)"),EXACT(Metadata!L165,"surface (non-saline)"),EXACT(Metadata!L165,"water (non-saline)"),EXACT(Metadata!L165,"soil (non-saline)"),EXACT(Metadata!L165,"aerosol (non-saline)"),EXACT(Metadata!L165,"sediment (non-saline)"),EXACT(Metadata!L165,"surface (saline)"),EXACT(Metadata!L165,"water (saline)"),EXACT(Metadata!L165,"hypersaline (saline)"),EXACT(Metadata!L165,"aerosol (saline)"),EXACT(Metadata!L165,"sediment (saline)")))</f>
        <v>0</v>
      </c>
      <c r="AZ165" t="b">
        <f>IF(Metadata!M165="",FALSE,TRUE)</f>
        <v>0</v>
      </c>
      <c r="BA165" t="b">
        <f>IF(Metadata!N165="",FALSE,TRUE)</f>
        <v>0</v>
      </c>
      <c r="BB165" t="b">
        <f>IF(Metadata!O165="",FALSE,TRUE)</f>
        <v>0</v>
      </c>
      <c r="BC165" t="b">
        <f>AND(IF(Metadata!P165="",FALSE,TRUE),OR(EXACT(Metadata!P165,"air"),EXACT(Metadata!P165,"microbial mat/biofilm"),EXACT(Metadata!P165,"misc environment"),EXACT(Metadata!P165,"sediment"),EXACT(Metadata!P165,"soil"),EXACT(Metadata!P165,"wastewater/sludge"),EXACT(Metadata!P165,"water")))</f>
        <v>0</v>
      </c>
      <c r="BD165" t="b">
        <f>IF(Metadata!Q165="",FALSE,TRUE)</f>
        <v>0</v>
      </c>
      <c r="BE165" t="b">
        <f>IF(Metadata!R165="",FALSE,TRUE)</f>
        <v>0</v>
      </c>
      <c r="BF165" t="b">
        <f>OR(AND(IF(Metadata!S165="",FALSE,TRUE),OR(EXACT(Metadata!S165,"not collected"),EXACT(Metadata!S165,"not provided"),EXACT(Metadata!S165,"restricted access"))),AND(IF(Metadata!S165="",FALSE,ISNUMBER(VALUE(Metadata!S165))),Metadata!S165&gt;=-90,Metadata!S165&lt;=90))</f>
        <v>0</v>
      </c>
      <c r="BG165" t="b">
        <f>AND(IF(Metadata!T165="",FALSE,TRUE),EXACT(Metadata!T165,"Decimal degrees"))</f>
        <v>0</v>
      </c>
      <c r="BH165" t="b">
        <f>OR(AND(IF(Metadata!U165="",FALSE,TRUE),OR(EXACT(Metadata!U165,"not applicable"),EXACT(Metadata!U165,"not collected"))),IF(Metadata!U165="",FALSE,TRUE))</f>
        <v>0</v>
      </c>
      <c r="BI165" t="b">
        <f>OR(AND(IF(Metadata!V165="",FALSE,TRUE),OR(EXACT(Metadata!V165,"not collected"),EXACT(Metadata!V165,"not provided"),EXACT(Metadata!V165,"restricted access"))),AND(IF(Metadata!V165="",FALSE,ISNUMBER(VALUE(Metadata!V165))),Metadata!V165&gt;=-180,Metadata!V165&lt;=180))</f>
        <v>0</v>
      </c>
      <c r="BJ165" t="b">
        <f>AND(IF(Metadata!W165="",FALSE,TRUE),EXACT(Metadata!W165,"Decimal degrees"))</f>
        <v>0</v>
      </c>
      <c r="BK165" t="b">
        <f>IF(Metadata!X165="",FALSE,TRUE)</f>
        <v>0</v>
      </c>
      <c r="BL165" t="b">
        <f>OR(AND(IF(Metadata!Y165="",FALSE,TRUE),OR(EXACT(Metadata!Y165,"not collected"),EXACT(Metadata!Y165,"not provided"),EXACT(Metadata!Y165,"restricted access"))),AND(IF(Metadata!Y165="",FALSE,TRUE),OR(EXACT(Metadata!Y165,"TRUE"),EXACT(Metadata!Y165,"FALSE"))))</f>
        <v>0</v>
      </c>
      <c r="BM165" t="b">
        <f>OR(AND(IF(Metadata!Z165="",FALSE,TRUE),EXACT(Metadata!Z165,"not applicable")),AND(IF(Metadata!Z165="",FALSE,TRUE),OR(EXACT(Metadata!Z165,"beer"),EXACT(Metadata!Z165,"cheese"),EXACT(Metadata!Z165,"fresh water"),EXACT(Metadata!Z165,"marine sediment"),EXACT(Metadata!Z165,"sea water"),EXACT(Metadata!Z165,"sediment"),EXACT(Metadata!Z165,"soil"),EXACT(Metadata!Z165,"waste water"))))</f>
        <v>0</v>
      </c>
      <c r="BN165" t="b">
        <f>AND(IF(Metadata!AA165="",FALSE,TRUE),EXACT(Metadata!AA165,"metagenome"))</f>
        <v>0</v>
      </c>
      <c r="BO165" t="b">
        <f>AND(IF(Metadata!AB165="",FALSE,TRUE),EXACT(Metadata!AB165,"256318"))</f>
        <v>0</v>
      </c>
      <c r="BP165" t="b">
        <f>IF(Metadata!AC165="",FALSE,TRUE)</f>
        <v>0</v>
      </c>
      <c r="BQ165" t="b">
        <f>IF(Metadata!AD165="",FALSE,TRUE)</f>
        <v>0</v>
      </c>
    </row>
    <row r="166" spans="1:69" x14ac:dyDescent="0.2">
      <c r="A166" s="4" t="e">
        <f ca="1">IF(B166=" "," ",HYPERLINK(CONCATENATE("#metadata!",ADDRESS(INDEX($AJ$2:$AJ$1001,MATCH(ROWS($AH$2:AH166),$AH$2:$AH$1001,0),0),2)),INDEX($AM$2:$AM$1001,MATCH(ROWS($AH$2:AH166),$AH$2:$AH$1001,0),0)))</f>
        <v>#N/A</v>
      </c>
      <c r="B166" s="5" t="e">
        <f ca="1">IF(OR(INDEX($AI$2:$AI$1001,MATCH(ROWS($AH$2:AH166),$AH$2:$AH$1001,0),1)&gt;=100000,INDEX($AO$1005:$BQ$1005,1,MATCH(COLUMNS($AO$1006:AO1006),$AO$1006:$BQ$1006,0))&gt;=100000), " ",IF(INDEX($AO$2:$BQ$1001,MATCH(ROWS($AH$2:AH166),$AH$2:$AH$1001,0),MATCH(COLUMNS($AO$1006:AO1006),$AO$1006:$BQ$1006,0)), HYPERLINK("#",""), HYPERLINK(CONCATENATE("#Metadata!", ADDRESS(INDEX($AJ$2:$AJ$1001,MATCH(ROWS($AH$2:AH166),$AH$2:$AH$1001,0),0), INDEX($AO$1004:$BQ$1004,1,MATCH(COLUMNS($AO$1006:AO1006),$AO$1006:$BQ$1006,0)))),"Fix")))</f>
        <v>#N/A</v>
      </c>
      <c r="C166" s="5" t="e">
        <f ca="1">IF(OR(INDEX($AI$2:$AI$1001,MATCH(ROWS($AH$2:AH166),$AH$2:$AH$1001,0),1)&gt;=100000,INDEX($AO$1005:$BQ$1005,1,MATCH(COLUMNS($AO$1006:AP1006),$AO$1006:$BQ$1006,0))&gt;=100000), " ",IF(INDEX($AO$2:$BQ$1001,MATCH(ROWS($AH$2:AH166),$AH$2:$AH$1001,0),MATCH(COLUMNS($AO$1006:AP1006),$AO$1006:$BQ$1006,0)), HYPERLINK("#",""), HYPERLINK(CONCATENATE("#Metadata!", ADDRESS(INDEX($AJ$2:$AJ$1001,MATCH(ROWS($AH$2:AH166),$AH$2:$AH$1001,0),0), INDEX($AO$1004:$BQ$1004,1,MATCH(COLUMNS($AO$1006:AP1006),$AO$1006:$BQ$1006,0)))),"Fix")))</f>
        <v>#N/A</v>
      </c>
      <c r="D166" s="5" t="e">
        <f ca="1">IF(OR(INDEX($AI$2:$AI$1001,MATCH(ROWS($AH$2:AH166),$AH$2:$AH$1001,0),1)&gt;=100000,INDEX($AO$1005:$BQ$1005,1,MATCH(COLUMNS($AO$1006:AQ1006),$AO$1006:$BQ$1006,0))&gt;=100000), " ",IF(INDEX($AO$2:$BQ$1001,MATCH(ROWS($AH$2:AH166),$AH$2:$AH$1001,0),MATCH(COLUMNS($AO$1006:AQ1006),$AO$1006:$BQ$1006,0)), HYPERLINK("#",""), HYPERLINK(CONCATENATE("#Metadata!", ADDRESS(INDEX($AJ$2:$AJ$1001,MATCH(ROWS($AH$2:AH166),$AH$2:$AH$1001,0),0), INDEX($AO$1004:$BQ$1004,1,MATCH(COLUMNS($AO$1006:AQ1006),$AO$1006:$BQ$1006,0)))),"Fix")))</f>
        <v>#N/A</v>
      </c>
      <c r="E166" s="5" t="e">
        <f ca="1">IF(OR(INDEX($AI$2:$AI$1001,MATCH(ROWS($AH$2:AH166),$AH$2:$AH$1001,0),1)&gt;=100000,INDEX($AO$1005:$BQ$1005,1,MATCH(COLUMNS($AO$1006:AR1006),$AO$1006:$BQ$1006,0))&gt;=100000), " ",IF(INDEX($AO$2:$BQ$1001,MATCH(ROWS($AH$2:AH166),$AH$2:$AH$1001,0),MATCH(COLUMNS($AO$1006:AR1006),$AO$1006:$BQ$1006,0)), HYPERLINK("#",""), HYPERLINK(CONCATENATE("#Metadata!", ADDRESS(INDEX($AJ$2:$AJ$1001,MATCH(ROWS($AH$2:AH166),$AH$2:$AH$1001,0),0), INDEX($AO$1004:$BQ$1004,1,MATCH(COLUMNS($AO$1006:AR1006),$AO$1006:$BQ$1006,0)))),"Fix")))</f>
        <v>#N/A</v>
      </c>
      <c r="F166" s="5" t="e">
        <f ca="1">IF(OR(INDEX($AI$2:$AI$1001,MATCH(ROWS($AH$2:AH166),$AH$2:$AH$1001,0),1)&gt;=100000,INDEX($AO$1005:$BQ$1005,1,MATCH(COLUMNS($AO$1006:AS1006),$AO$1006:$BQ$1006,0))&gt;=100000), " ",IF(INDEX($AO$2:$BQ$1001,MATCH(ROWS($AH$2:AH166),$AH$2:$AH$1001,0),MATCH(COLUMNS($AO$1006:AS1006),$AO$1006:$BQ$1006,0)), HYPERLINK("#",""), HYPERLINK(CONCATENATE("#Metadata!", ADDRESS(INDEX($AJ$2:$AJ$1001,MATCH(ROWS($AH$2:AH166),$AH$2:$AH$1001,0),0), INDEX($AO$1004:$BQ$1004,1,MATCH(COLUMNS($AO$1006:AS1006),$AO$1006:$BQ$1006,0)))),"Fix")))</f>
        <v>#N/A</v>
      </c>
      <c r="G166" s="5" t="e">
        <f ca="1">IF(OR(INDEX($AI$2:$AI$1001,MATCH(ROWS($AH$2:AH166),$AH$2:$AH$1001,0),1)&gt;=100000,INDEX($AO$1005:$BQ$1005,1,MATCH(COLUMNS($AO$1006:AT1006),$AO$1006:$BQ$1006,0))&gt;=100000), " ",IF(INDEX($AO$2:$BQ$1001,MATCH(ROWS($AH$2:AH166),$AH$2:$AH$1001,0),MATCH(COLUMNS($AO$1006:AT1006),$AO$1006:$BQ$1006,0)), HYPERLINK("#",""), HYPERLINK(CONCATENATE("#Metadata!", ADDRESS(INDEX($AJ$2:$AJ$1001,MATCH(ROWS($AH$2:AH166),$AH$2:$AH$1001,0),0), INDEX($AO$1004:$BQ$1004,1,MATCH(COLUMNS($AO$1006:AT1006),$AO$1006:$BQ$1006,0)))),"Fix")))</f>
        <v>#N/A</v>
      </c>
      <c r="H166" s="5" t="e">
        <f ca="1">IF(OR(INDEX($AI$2:$AI$1001,MATCH(ROWS($AH$2:AH166),$AH$2:$AH$1001,0),1)&gt;=100000,INDEX($AO$1005:$BQ$1005,1,MATCH(COLUMNS($AO$1006:AU1006),$AO$1006:$BQ$1006,0))&gt;=100000), " ",IF(INDEX($AO$2:$BQ$1001,MATCH(ROWS($AH$2:AH166),$AH$2:$AH$1001,0),MATCH(COLUMNS($AO$1006:AU1006),$AO$1006:$BQ$1006,0)), HYPERLINK("#",""), HYPERLINK(CONCATENATE("#Metadata!", ADDRESS(INDEX($AJ$2:$AJ$1001,MATCH(ROWS($AH$2:AH166),$AH$2:$AH$1001,0),0), INDEX($AO$1004:$BQ$1004,1,MATCH(COLUMNS($AO$1006:AU1006),$AO$1006:$BQ$1006,0)))),"Fix")))</f>
        <v>#N/A</v>
      </c>
      <c r="I166" s="5" t="e">
        <f ca="1">IF(OR(INDEX($AI$2:$AI$1001,MATCH(ROWS($AH$2:AH166),$AH$2:$AH$1001,0),1)&gt;=100000,INDEX($AO$1005:$BQ$1005,1,MATCH(COLUMNS($AO$1006:AV1006),$AO$1006:$BQ$1006,0))&gt;=100000), " ",IF(INDEX($AO$2:$BQ$1001,MATCH(ROWS($AH$2:AH166),$AH$2:$AH$1001,0),MATCH(COLUMNS($AO$1006:AV1006),$AO$1006:$BQ$1006,0)), HYPERLINK("#",""), HYPERLINK(CONCATENATE("#Metadata!", ADDRESS(INDEX($AJ$2:$AJ$1001,MATCH(ROWS($AH$2:AH166),$AH$2:$AH$1001,0),0), INDEX($AO$1004:$BQ$1004,1,MATCH(COLUMNS($AO$1006:AV1006),$AO$1006:$BQ$1006,0)))),"Fix")))</f>
        <v>#N/A</v>
      </c>
      <c r="J166" s="5" t="e">
        <f ca="1">IF(OR(INDEX($AI$2:$AI$1001,MATCH(ROWS($AH$2:AH166),$AH$2:$AH$1001,0),1)&gt;=100000,INDEX($AO$1005:$BQ$1005,1,MATCH(COLUMNS($AO$1006:AW1006),$AO$1006:$BQ$1006,0))&gt;=100000), " ",IF(INDEX($AO$2:$BQ$1001,MATCH(ROWS($AH$2:AH166),$AH$2:$AH$1001,0),MATCH(COLUMNS($AO$1006:AW1006),$AO$1006:$BQ$1006,0)), HYPERLINK("#",""), HYPERLINK(CONCATENATE("#Metadata!", ADDRESS(INDEX($AJ$2:$AJ$1001,MATCH(ROWS($AH$2:AH166),$AH$2:$AH$1001,0),0), INDEX($AO$1004:$BQ$1004,1,MATCH(COLUMNS($AO$1006:AW1006),$AO$1006:$BQ$1006,0)))),"Fix")))</f>
        <v>#N/A</v>
      </c>
      <c r="K166" s="5" t="e">
        <f ca="1">IF(OR(INDEX($AI$2:$AI$1001,MATCH(ROWS($AH$2:AH166),$AH$2:$AH$1001,0),1)&gt;=100000,INDEX($AO$1005:$BQ$1005,1,MATCH(COLUMNS($AO$1006:AX1006),$AO$1006:$BQ$1006,0))&gt;=100000), " ",IF(INDEX($AO$2:$BQ$1001,MATCH(ROWS($AH$2:AH166),$AH$2:$AH$1001,0),MATCH(COLUMNS($AO$1006:AX1006),$AO$1006:$BQ$1006,0)), HYPERLINK("#",""), HYPERLINK(CONCATENATE("#Metadata!", ADDRESS(INDEX($AJ$2:$AJ$1001,MATCH(ROWS($AH$2:AH166),$AH$2:$AH$1001,0),0), INDEX($AO$1004:$BQ$1004,1,MATCH(COLUMNS($AO$1006:AX1006),$AO$1006:$BQ$1006,0)))),"Fix")))</f>
        <v>#N/A</v>
      </c>
      <c r="L166" s="5" t="e">
        <f ca="1">IF(OR(INDEX($AI$2:$AI$1001,MATCH(ROWS($AH$2:AH166),$AH$2:$AH$1001,0),1)&gt;=100000,INDEX($AO$1005:$BQ$1005,1,MATCH(COLUMNS($AO$1006:AY1006),$AO$1006:$BQ$1006,0))&gt;=100000), " ",IF(INDEX($AO$2:$BQ$1001,MATCH(ROWS($AH$2:AH166),$AH$2:$AH$1001,0),MATCH(COLUMNS($AO$1006:AY1006),$AO$1006:$BQ$1006,0)), HYPERLINK("#",""), HYPERLINK(CONCATENATE("#Metadata!", ADDRESS(INDEX($AJ$2:$AJ$1001,MATCH(ROWS($AH$2:AH166),$AH$2:$AH$1001,0),0), INDEX($AO$1004:$BQ$1004,1,MATCH(COLUMNS($AO$1006:AY1006),$AO$1006:$BQ$1006,0)))),"Fix")))</f>
        <v>#N/A</v>
      </c>
      <c r="M166" s="5" t="e">
        <f ca="1">IF(OR(INDEX($AI$2:$AI$1001,MATCH(ROWS($AH$2:AH166),$AH$2:$AH$1001,0),1)&gt;=100000,INDEX($AO$1005:$BQ$1005,1,MATCH(COLUMNS($AO$1006:AZ1006),$AO$1006:$BQ$1006,0))&gt;=100000), " ",IF(INDEX($AO$2:$BQ$1001,MATCH(ROWS($AH$2:AH166),$AH$2:$AH$1001,0),MATCH(COLUMNS($AO$1006:AZ1006),$AO$1006:$BQ$1006,0)), HYPERLINK("#",""), HYPERLINK(CONCATENATE("#Metadata!", ADDRESS(INDEX($AJ$2:$AJ$1001,MATCH(ROWS($AH$2:AH166),$AH$2:$AH$1001,0),0), INDEX($AO$1004:$BQ$1004,1,MATCH(COLUMNS($AO$1006:AZ1006),$AO$1006:$BQ$1006,0)))),"Fix")))</f>
        <v>#N/A</v>
      </c>
      <c r="N166" s="5" t="e">
        <f ca="1">IF(OR(INDEX($AI$2:$AI$1001,MATCH(ROWS($AH$2:AH166),$AH$2:$AH$1001,0),1)&gt;=100000,INDEX($AO$1005:$BQ$1005,1,MATCH(COLUMNS($AO$1006:BA1006),$AO$1006:$BQ$1006,0))&gt;=100000), " ",IF(INDEX($AO$2:$BQ$1001,MATCH(ROWS($AH$2:AH166),$AH$2:$AH$1001,0),MATCH(COLUMNS($AO$1006:BA1006),$AO$1006:$BQ$1006,0)), HYPERLINK("#",""), HYPERLINK(CONCATENATE("#Metadata!", ADDRESS(INDEX($AJ$2:$AJ$1001,MATCH(ROWS($AH$2:AH166),$AH$2:$AH$1001,0),0), INDEX($AO$1004:$BQ$1004,1,MATCH(COLUMNS($AO$1006:BA1006),$AO$1006:$BQ$1006,0)))),"Fix")))</f>
        <v>#N/A</v>
      </c>
      <c r="O166" s="5" t="e">
        <f ca="1">IF(OR(INDEX($AI$2:$AI$1001,MATCH(ROWS($AH$2:AH166),$AH$2:$AH$1001,0),1)&gt;=100000,INDEX($AO$1005:$BQ$1005,1,MATCH(COLUMNS($AO$1006:BB1006),$AO$1006:$BQ$1006,0))&gt;=100000), " ",IF(INDEX($AO$2:$BQ$1001,MATCH(ROWS($AH$2:AH166),$AH$2:$AH$1001,0),MATCH(COLUMNS($AO$1006:BB1006),$AO$1006:$BQ$1006,0)), HYPERLINK("#",""), HYPERLINK(CONCATENATE("#Metadata!", ADDRESS(INDEX($AJ$2:$AJ$1001,MATCH(ROWS($AH$2:AH166),$AH$2:$AH$1001,0),0), INDEX($AO$1004:$BQ$1004,1,MATCH(COLUMNS($AO$1006:BB1006),$AO$1006:$BQ$1006,0)))),"Fix")))</f>
        <v>#N/A</v>
      </c>
      <c r="P166" s="5" t="e">
        <f ca="1">IF(OR(INDEX($AI$2:$AI$1001,MATCH(ROWS($AH$2:AH166),$AH$2:$AH$1001,0),1)&gt;=100000,INDEX($AO$1005:$BQ$1005,1,MATCH(COLUMNS($AO$1006:BC1006),$AO$1006:$BQ$1006,0))&gt;=100000), " ",IF(INDEX($AO$2:$BQ$1001,MATCH(ROWS($AH$2:AH166),$AH$2:$AH$1001,0),MATCH(COLUMNS($AO$1006:BC1006),$AO$1006:$BQ$1006,0)), HYPERLINK("#",""), HYPERLINK(CONCATENATE("#Metadata!", ADDRESS(INDEX($AJ$2:$AJ$1001,MATCH(ROWS($AH$2:AH166),$AH$2:$AH$1001,0),0), INDEX($AO$1004:$BQ$1004,1,MATCH(COLUMNS($AO$1006:BC1006),$AO$1006:$BQ$1006,0)))),"Fix")))</f>
        <v>#N/A</v>
      </c>
      <c r="Q166" s="5" t="e">
        <f ca="1">IF(OR(INDEX($AI$2:$AI$1001,MATCH(ROWS($AH$2:AH166),$AH$2:$AH$1001,0),1)&gt;=100000,INDEX($AO$1005:$BQ$1005,1,MATCH(COLUMNS($AO$1006:BD1006),$AO$1006:$BQ$1006,0))&gt;=100000), " ",IF(INDEX($AO$2:$BQ$1001,MATCH(ROWS($AH$2:AH166),$AH$2:$AH$1001,0),MATCH(COLUMNS($AO$1006:BD1006),$AO$1006:$BQ$1006,0)), HYPERLINK("#",""), HYPERLINK(CONCATENATE("#Metadata!", ADDRESS(INDEX($AJ$2:$AJ$1001,MATCH(ROWS($AH$2:AH166),$AH$2:$AH$1001,0),0), INDEX($AO$1004:$BQ$1004,1,MATCH(COLUMNS($AO$1006:BD1006),$AO$1006:$BQ$1006,0)))),"Fix")))</f>
        <v>#N/A</v>
      </c>
      <c r="R166" s="5" t="e">
        <f ca="1">IF(OR(INDEX($AI$2:$AI$1001,MATCH(ROWS($AH$2:AH166),$AH$2:$AH$1001,0),1)&gt;=100000,INDEX($AO$1005:$BQ$1005,1,MATCH(COLUMNS($AO$1006:BE1006),$AO$1006:$BQ$1006,0))&gt;=100000), " ",IF(INDEX($AO$2:$BQ$1001,MATCH(ROWS($AH$2:AH166),$AH$2:$AH$1001,0),MATCH(COLUMNS($AO$1006:BE1006),$AO$1006:$BQ$1006,0)), HYPERLINK("#",""), HYPERLINK(CONCATENATE("#Metadata!", ADDRESS(INDEX($AJ$2:$AJ$1001,MATCH(ROWS($AH$2:AH166),$AH$2:$AH$1001,0),0), INDEX($AO$1004:$BQ$1004,1,MATCH(COLUMNS($AO$1006:BE1006),$AO$1006:$BQ$1006,0)))),"Fix")))</f>
        <v>#N/A</v>
      </c>
      <c r="S166" s="5" t="e">
        <f ca="1">IF(OR(INDEX($AI$2:$AI$1001,MATCH(ROWS($AH$2:AH166),$AH$2:$AH$1001,0),1)&gt;=100000,INDEX($AO$1005:$BQ$1005,1,MATCH(COLUMNS($AO$1006:BF1006),$AO$1006:$BQ$1006,0))&gt;=100000), " ",IF(INDEX($AO$2:$BQ$1001,MATCH(ROWS($AH$2:AH166),$AH$2:$AH$1001,0),MATCH(COLUMNS($AO$1006:BF1006),$AO$1006:$BQ$1006,0)), HYPERLINK("#",""), HYPERLINK(CONCATENATE("#Metadata!", ADDRESS(INDEX($AJ$2:$AJ$1001,MATCH(ROWS($AH$2:AH166),$AH$2:$AH$1001,0),0), INDEX($AO$1004:$BQ$1004,1,MATCH(COLUMNS($AO$1006:BF1006),$AO$1006:$BQ$1006,0)))),"Fix")))</f>
        <v>#N/A</v>
      </c>
      <c r="T166" s="5" t="e">
        <f ca="1">IF(OR(INDEX($AI$2:$AI$1001,MATCH(ROWS($AH$2:AH166),$AH$2:$AH$1001,0),1)&gt;=100000,INDEX($AO$1005:$BQ$1005,1,MATCH(COLUMNS($AO$1006:BG1006),$AO$1006:$BQ$1006,0))&gt;=100000), " ",IF(INDEX($AO$2:$BQ$1001,MATCH(ROWS($AH$2:AH166),$AH$2:$AH$1001,0),MATCH(COLUMNS($AO$1006:BG1006),$AO$1006:$BQ$1006,0)), HYPERLINK("#",""), HYPERLINK(CONCATENATE("#Metadata!", ADDRESS(INDEX($AJ$2:$AJ$1001,MATCH(ROWS($AH$2:AH166),$AH$2:$AH$1001,0),0), INDEX($AO$1004:$BQ$1004,1,MATCH(COLUMNS($AO$1006:BG1006),$AO$1006:$BQ$1006,0)))),"Fix")))</f>
        <v>#N/A</v>
      </c>
      <c r="U166" s="5" t="e">
        <f ca="1">IF(OR(INDEX($AI$2:$AI$1001,MATCH(ROWS($AH$2:AH166),$AH$2:$AH$1001,0),1)&gt;=100000,INDEX($AO$1005:$BQ$1005,1,MATCH(COLUMNS($AO$1006:BH1006),$AO$1006:$BQ$1006,0))&gt;=100000), " ",IF(INDEX($AO$2:$BQ$1001,MATCH(ROWS($AH$2:AH166),$AH$2:$AH$1001,0),MATCH(COLUMNS($AO$1006:BH1006),$AO$1006:$BQ$1006,0)), HYPERLINK("#",""), HYPERLINK(CONCATENATE("#Metadata!", ADDRESS(INDEX($AJ$2:$AJ$1001,MATCH(ROWS($AH$2:AH166),$AH$2:$AH$1001,0),0), INDEX($AO$1004:$BQ$1004,1,MATCH(COLUMNS($AO$1006:BH1006),$AO$1006:$BQ$1006,0)))),"Fix")))</f>
        <v>#N/A</v>
      </c>
      <c r="V166" s="5" t="e">
        <f ca="1">IF(OR(INDEX($AI$2:$AI$1001,MATCH(ROWS($AH$2:AH166),$AH$2:$AH$1001,0),1)&gt;=100000,INDEX($AO$1005:$BQ$1005,1,MATCH(COLUMNS($AO$1006:BI1006),$AO$1006:$BQ$1006,0))&gt;=100000), " ",IF(INDEX($AO$2:$BQ$1001,MATCH(ROWS($AH$2:AH166),$AH$2:$AH$1001,0),MATCH(COLUMNS($AO$1006:BI1006),$AO$1006:$BQ$1006,0)), HYPERLINK("#",""), HYPERLINK(CONCATENATE("#Metadata!", ADDRESS(INDEX($AJ$2:$AJ$1001,MATCH(ROWS($AH$2:AH166),$AH$2:$AH$1001,0),0), INDEX($AO$1004:$BQ$1004,1,MATCH(COLUMNS($AO$1006:BI1006),$AO$1006:$BQ$1006,0)))),"Fix")))</f>
        <v>#N/A</v>
      </c>
      <c r="W166" s="5" t="e">
        <f ca="1">IF(OR(INDEX($AI$2:$AI$1001,MATCH(ROWS($AH$2:AH166),$AH$2:$AH$1001,0),1)&gt;=100000,INDEX($AO$1005:$BQ$1005,1,MATCH(COLUMNS($AO$1006:BJ1006),$AO$1006:$BQ$1006,0))&gt;=100000), " ",IF(INDEX($AO$2:$BQ$1001,MATCH(ROWS($AH$2:AH166),$AH$2:$AH$1001,0),MATCH(COLUMNS($AO$1006:BJ1006),$AO$1006:$BQ$1006,0)), HYPERLINK("#",""), HYPERLINK(CONCATENATE("#Metadata!", ADDRESS(INDEX($AJ$2:$AJ$1001,MATCH(ROWS($AH$2:AH166),$AH$2:$AH$1001,0),0), INDEX($AO$1004:$BQ$1004,1,MATCH(COLUMNS($AO$1006:BJ1006),$AO$1006:$BQ$1006,0)))),"Fix")))</f>
        <v>#N/A</v>
      </c>
      <c r="X166" s="5" t="e">
        <f ca="1">IF(OR(INDEX($AI$2:$AI$1001,MATCH(ROWS($AH$2:AH166),$AH$2:$AH$1001,0),1)&gt;=100000,INDEX($AO$1005:$BQ$1005,1,MATCH(COLUMNS($AO$1006:BK1006),$AO$1006:$BQ$1006,0))&gt;=100000), " ",IF(INDEX($AO$2:$BQ$1001,MATCH(ROWS($AH$2:AH166),$AH$2:$AH$1001,0),MATCH(COLUMNS($AO$1006:BK1006),$AO$1006:$BQ$1006,0)), HYPERLINK("#",""), HYPERLINK(CONCATENATE("#Metadata!", ADDRESS(INDEX($AJ$2:$AJ$1001,MATCH(ROWS($AH$2:AH166),$AH$2:$AH$1001,0),0), INDEX($AO$1004:$BQ$1004,1,MATCH(COLUMNS($AO$1006:BK1006),$AO$1006:$BQ$1006,0)))),"Fix")))</f>
        <v>#N/A</v>
      </c>
      <c r="Y166" s="5" t="e">
        <f ca="1">IF(OR(INDEX($AI$2:$AI$1001,MATCH(ROWS($AH$2:AH166),$AH$2:$AH$1001,0),1)&gt;=100000,INDEX($AO$1005:$BQ$1005,1,MATCH(COLUMNS($AO$1006:BL1006),$AO$1006:$BQ$1006,0))&gt;=100000), " ",IF(INDEX($AO$2:$BQ$1001,MATCH(ROWS($AH$2:AH166),$AH$2:$AH$1001,0),MATCH(COLUMNS($AO$1006:BL1006),$AO$1006:$BQ$1006,0)), HYPERLINK("#",""), HYPERLINK(CONCATENATE("#Metadata!", ADDRESS(INDEX($AJ$2:$AJ$1001,MATCH(ROWS($AH$2:AH166),$AH$2:$AH$1001,0),0), INDEX($AO$1004:$BQ$1004,1,MATCH(COLUMNS($AO$1006:BL1006),$AO$1006:$BQ$1006,0)))),"Fix")))</f>
        <v>#N/A</v>
      </c>
      <c r="Z166" s="5" t="e">
        <f ca="1">IF(OR(INDEX($AI$2:$AI$1001,MATCH(ROWS($AH$2:AH166),$AH$2:$AH$1001,0),1)&gt;=100000,INDEX($AO$1005:$BQ$1005,1,MATCH(COLUMNS($AO$1006:BM1006),$AO$1006:$BQ$1006,0))&gt;=100000), " ",IF(INDEX($AO$2:$BQ$1001,MATCH(ROWS($AH$2:AH166),$AH$2:$AH$1001,0),MATCH(COLUMNS($AO$1006:BM1006),$AO$1006:$BQ$1006,0)), HYPERLINK("#",""), HYPERLINK(CONCATENATE("#Metadata!", ADDRESS(INDEX($AJ$2:$AJ$1001,MATCH(ROWS($AH$2:AH166),$AH$2:$AH$1001,0),0), INDEX($AO$1004:$BQ$1004,1,MATCH(COLUMNS($AO$1006:BM1006),$AO$1006:$BQ$1006,0)))),"Fix")))</f>
        <v>#N/A</v>
      </c>
      <c r="AA166" s="5" t="e">
        <f ca="1">IF(OR(INDEX($AI$2:$AI$1001,MATCH(ROWS($AH$2:AH166),$AH$2:$AH$1001,0),1)&gt;=100000,INDEX($AO$1005:$BQ$1005,1,MATCH(COLUMNS($AO$1006:BN1006),$AO$1006:$BQ$1006,0))&gt;=100000), " ",IF(INDEX($AO$2:$BQ$1001,MATCH(ROWS($AH$2:AH166),$AH$2:$AH$1001,0),MATCH(COLUMNS($AO$1006:BN1006),$AO$1006:$BQ$1006,0)), HYPERLINK("#",""), HYPERLINK(CONCATENATE("#Metadata!", ADDRESS(INDEX($AJ$2:$AJ$1001,MATCH(ROWS($AH$2:AH166),$AH$2:$AH$1001,0),0), INDEX($AO$1004:$BQ$1004,1,MATCH(COLUMNS($AO$1006:BN1006),$AO$1006:$BQ$1006,0)))),"Fix")))</f>
        <v>#N/A</v>
      </c>
      <c r="AB166" s="5" t="e">
        <f ca="1">IF(OR(INDEX($AI$2:$AI$1001,MATCH(ROWS($AH$2:AH166),$AH$2:$AH$1001,0),1)&gt;=100000,INDEX($AO$1005:$BQ$1005,1,MATCH(COLUMNS($AO$1006:BO1006),$AO$1006:$BQ$1006,0))&gt;=100000), " ",IF(INDEX($AO$2:$BQ$1001,MATCH(ROWS($AH$2:AH166),$AH$2:$AH$1001,0),MATCH(COLUMNS($AO$1006:BO1006),$AO$1006:$BQ$1006,0)), HYPERLINK("#",""), HYPERLINK(CONCATENATE("#Metadata!", ADDRESS(INDEX($AJ$2:$AJ$1001,MATCH(ROWS($AH$2:AH166),$AH$2:$AH$1001,0),0), INDEX($AO$1004:$BQ$1004,1,MATCH(COLUMNS($AO$1006:BO1006),$AO$1006:$BQ$1006,0)))),"Fix")))</f>
        <v>#N/A</v>
      </c>
      <c r="AC166" s="5" t="e">
        <f ca="1">IF(OR(INDEX($AI$2:$AI$1001,MATCH(ROWS($AH$2:AH166),$AH$2:$AH$1001,0),1)&gt;=100000,INDEX($AO$1005:$BQ$1005,1,MATCH(COLUMNS($AO$1006:BP1006),$AO$1006:$BQ$1006,0))&gt;=100000), " ",IF(INDEX($AO$2:$BQ$1001,MATCH(ROWS($AH$2:AH166),$AH$2:$AH$1001,0),MATCH(COLUMNS($AO$1006:BP1006),$AO$1006:$BQ$1006,0)), HYPERLINK("#",""), HYPERLINK(CONCATENATE("#Metadata!", ADDRESS(INDEX($AJ$2:$AJ$1001,MATCH(ROWS($AH$2:AH166),$AH$2:$AH$1001,0),0), INDEX($AO$1004:$BQ$1004,1,MATCH(COLUMNS($AO$1006:BP1006),$AO$1006:$BQ$1006,0)))),"Fix")))</f>
        <v>#N/A</v>
      </c>
      <c r="AD166" s="5" t="e">
        <f ca="1">IF(OR(INDEX($AI$2:$AI$1001,MATCH(ROWS($AH$2:AH166),$AH$2:$AH$1001,0),1)&gt;=100000,INDEX($AO$1005:$BQ$1005,1,MATCH(COLUMNS($AO$1006:BQ1006),$AO$1006:$BQ$1006,0))&gt;=100000), " ",IF(INDEX($AO$2:$BQ$1001,MATCH(ROWS($AH$2:AH166),$AH$2:$AH$1001,0),MATCH(COLUMNS($AO$1006:BQ1006),$AO$1006:$BQ$1006,0)), HYPERLINK("#",""), HYPERLINK(CONCATENATE("#Metadata!", ADDRESS(INDEX($AJ$2:$AJ$1001,MATCH(ROWS($AH$2:AH166),$AH$2:$AH$1001,0),0), INDEX($AO$1004:$BQ$1004,1,MATCH(COLUMNS($AO$1006:BQ1006),$AO$1006:$BQ$1006,0)))),"Fix")))</f>
        <v>#REF!</v>
      </c>
      <c r="AH166">
        <f ca="1"/>
        <v>163</v>
      </c>
      <c r="AI166">
        <v>100166</v>
      </c>
      <c r="AJ166">
        <v>166</v>
      </c>
      <c r="AK166" t="b">
        <f t="shared" si="2"/>
        <v>1</v>
      </c>
      <c r="AL166" t="b">
        <f>COUNTBLANK(Metadata!B166:AD166)=COLUMNS(Metadata!B166:AD166)</f>
        <v>1</v>
      </c>
      <c r="AM166" t="str">
        <v/>
      </c>
      <c r="AO166" t="b">
        <f ca="1">AND(IF(Metadata!B166="",FALSE,TRUE),COUNTIF(Metadata!B:B, Metadata!B166) = 1,NOT(ISERROR(SUMPRODUCT(SEARCH(MID(Metadata!B166,ROW(INDIRECT("1:"&amp;LEN(Metadata!B166))), 1),"0123456789abcdefghijklmnopqrstuvwxyzABCDEFGHIJKLMNOPQRSTUVWXYZ.")))))</f>
        <v>0</v>
      </c>
      <c r="AP166" t="b">
        <f>IF(Metadata!C166="",FALSE,TRUE)</f>
        <v>0</v>
      </c>
      <c r="AQ166" t="b">
        <f>IF(Metadata!D166="",FALSE,TRUE)</f>
        <v>0</v>
      </c>
      <c r="AR166" t="b">
        <f ca="1">OR(AND(IF(Metadata!E166="",FALSE,TRUE),OR(EXACT(Metadata!E166,"not collected"),EXACT(Metadata!E166,"not provided"),EXACT(Metadata!E166,"restricted access"))),AND(IF(Metadata!E166="",FALSE,TRUE),AND(AND(IFERROR(INT(LEFT(Metadata!E166,4))&gt;1900,FALSE),IFERROR(INT(LEFT(Metadata!E166,4))&lt;=YEAR(NOW()),FALSE)), OR(MID(Metadata!E166,5,1)="", AND(AND(MID(Metadata!E166,5,1)="-",IFERROR(INT(MID(Metadata!E166,6,1))&gt;=0,FALSE),IFERROR(INT(MID(Metadata!E166,6,1))&lt;=1,FALSE),NOT(MID(Metadata!E166,7,1)=""),IFERROR(INT(MID(Metadata!E166,6,2))&gt;=1,FALSE),IFERROR(INT(MID(Metadata!E166,6,2))&lt;=12,FALSE)), OR(MID(Metadata!E166,8,1)="", AND(AND(MID(Metadata!E166,8,1)="-",IFERROR(INT(MID(Metadata!E166,9,1))&gt;=0,FALSE),IFERROR(INT(MID(Metadata!E166,9,1))&lt;=3,FALSE),NOT(MID(Metadata!E166,10,1)=""),IFERROR(INT(MID(Metadata!E166,9,2))&gt;=1,FALSE),IFERROR(INT(MID(Metadata!E166,9,2))&lt;=31,FALSE)), OR(MID(Metadata!E166,11,1)="", AND(AND(MID(Metadata!E166,11,1)=" ",IFERROR(INT(MID(Metadata!E166,12,1))&gt;=0,FALSE),IFERROR(INT(MID(Metadata!E166,12,1))&lt;=2,FALSE),NOT(MID(Metadata!E166,13,1)=""),IFERROR(INT(MID(Metadata!E166,12,2))&gt;=0,FALSE),IFERROR(INT(MID(Metadata!E166,12,2))&lt;=23,FALSE)), OR(MID(Metadata!E166,14,1)="", AND(AND(MID(Metadata!E166,14,1)=":",IFERROR(INT(MID(Metadata!E166,15,1))&gt;=0,FALSE),IFERROR(INT(MID(Metadata!E166,15,1))&lt;=5,FALSE),NOT(MID(Metadata!E166,16,1)=""),IFERROR(INT(MID(Metadata!E166,15,2))&gt;=0,FALSE),IFERROR(INT(MID(Metadata!E166,15,2))&lt;=59,FALSE)), OR(MID(Metadata!E166,17,1)="", AND(AND(MID(Metadata!E166,17,1)=":",IFERROR(INT(MID(Metadata!E166,18,1))&gt;=0,FALSE),IFERROR(INT(MID(Metadata!E166,18,1))&lt;=5,FALSE),NOT(MID(Metadata!E166,19,1)=""),IFERROR(INT(MID(Metadata!E166,18,2))&gt;=0,FALSE),IFERROR(INT(MID(Metadata!E166,18,2))&lt;=59,FALSE)), LEN(Metadata!E166)&lt;=19)))))))))))))</f>
        <v>0</v>
      </c>
      <c r="AS166" t="b">
        <f>IF(Metadata!F166="",FALSE,TRUE)</f>
        <v>0</v>
      </c>
      <c r="AT166" t="b">
        <f>OR(AND(IF(Metadata!G166="",FALSE,TRUE),OR(EXACT(Metadata!G166,"not collected"),EXACT(Metadata!G166,"not provided"))),AND(IF(Metadata!G166="",FALSE,TRUE),OR(EXACT(Metadata!G166,"TRUE"),EXACT(Metadata!G166,"FALSE"))))</f>
        <v>0</v>
      </c>
      <c r="AU166" t="b">
        <f>OR(AND(IF(Metadata!H166="",FALSE,TRUE),OR(EXACT(Metadata!H166,"not collected"),EXACT(Metadata!H166,"not provided"),EXACT(Metadata!H166,"restricted access"))),AND(IF(Metadata!H166="",FALSE,ISNUMBER(VALUE(Metadata!H166))),Metadata!H166&gt;=-413))</f>
        <v>0</v>
      </c>
      <c r="AV166" t="b">
        <f>AND(IF(Metadata!I166="",FALSE,TRUE),EXACT(Metadata!I166,"meters"))</f>
        <v>0</v>
      </c>
      <c r="AW166" t="b">
        <f>AND(IF(Metadata!J166="",FALSE,TRUE),EXACT(Metadata!J166,"free-living"))</f>
        <v>0</v>
      </c>
      <c r="AX166" t="b">
        <f>AND(IF(Metadata!K166="",FALSE,TRUE),OR(EXACT(Metadata!K166,"saline"),EXACT(Metadata!K166,"non-saline")))</f>
        <v>0</v>
      </c>
      <c r="AY166" t="b">
        <f>AND(IF(Metadata!L166="",FALSE,TRUE),OR(EXACT(Metadata!L166,"sub-surface (non-saline)"),EXACT(Metadata!L166,"surface (non-saline)"),EXACT(Metadata!L166,"water (non-saline)"),EXACT(Metadata!L166,"soil (non-saline)"),EXACT(Metadata!L166,"aerosol (non-saline)"),EXACT(Metadata!L166,"sediment (non-saline)"),EXACT(Metadata!L166,"surface (saline)"),EXACT(Metadata!L166,"water (saline)"),EXACT(Metadata!L166,"hypersaline (saline)"),EXACT(Metadata!L166,"aerosol (saline)"),EXACT(Metadata!L166,"sediment (saline)")))</f>
        <v>0</v>
      </c>
      <c r="AZ166" t="b">
        <f>IF(Metadata!M166="",FALSE,TRUE)</f>
        <v>0</v>
      </c>
      <c r="BA166" t="b">
        <f>IF(Metadata!N166="",FALSE,TRUE)</f>
        <v>0</v>
      </c>
      <c r="BB166" t="b">
        <f>IF(Metadata!O166="",FALSE,TRUE)</f>
        <v>0</v>
      </c>
      <c r="BC166" t="b">
        <f>AND(IF(Metadata!P166="",FALSE,TRUE),OR(EXACT(Metadata!P166,"air"),EXACT(Metadata!P166,"microbial mat/biofilm"),EXACT(Metadata!P166,"misc environment"),EXACT(Metadata!P166,"sediment"),EXACT(Metadata!P166,"soil"),EXACT(Metadata!P166,"wastewater/sludge"),EXACT(Metadata!P166,"water")))</f>
        <v>0</v>
      </c>
      <c r="BD166" t="b">
        <f>IF(Metadata!Q166="",FALSE,TRUE)</f>
        <v>0</v>
      </c>
      <c r="BE166" t="b">
        <f>IF(Metadata!R166="",FALSE,TRUE)</f>
        <v>0</v>
      </c>
      <c r="BF166" t="b">
        <f>OR(AND(IF(Metadata!S166="",FALSE,TRUE),OR(EXACT(Metadata!S166,"not collected"),EXACT(Metadata!S166,"not provided"),EXACT(Metadata!S166,"restricted access"))),AND(IF(Metadata!S166="",FALSE,ISNUMBER(VALUE(Metadata!S166))),Metadata!S166&gt;=-90,Metadata!S166&lt;=90))</f>
        <v>0</v>
      </c>
      <c r="BG166" t="b">
        <f>AND(IF(Metadata!T166="",FALSE,TRUE),EXACT(Metadata!T166,"Decimal degrees"))</f>
        <v>0</v>
      </c>
      <c r="BH166" t="b">
        <f>OR(AND(IF(Metadata!U166="",FALSE,TRUE),OR(EXACT(Metadata!U166,"not applicable"),EXACT(Metadata!U166,"not collected"))),IF(Metadata!U166="",FALSE,TRUE))</f>
        <v>0</v>
      </c>
      <c r="BI166" t="b">
        <f>OR(AND(IF(Metadata!V166="",FALSE,TRUE),OR(EXACT(Metadata!V166,"not collected"),EXACT(Metadata!V166,"not provided"),EXACT(Metadata!V166,"restricted access"))),AND(IF(Metadata!V166="",FALSE,ISNUMBER(VALUE(Metadata!V166))),Metadata!V166&gt;=-180,Metadata!V166&lt;=180))</f>
        <v>0</v>
      </c>
      <c r="BJ166" t="b">
        <f>AND(IF(Metadata!W166="",FALSE,TRUE),EXACT(Metadata!W166,"Decimal degrees"))</f>
        <v>0</v>
      </c>
      <c r="BK166" t="b">
        <f>IF(Metadata!X166="",FALSE,TRUE)</f>
        <v>0</v>
      </c>
      <c r="BL166" t="b">
        <f>OR(AND(IF(Metadata!Y166="",FALSE,TRUE),OR(EXACT(Metadata!Y166,"not collected"),EXACT(Metadata!Y166,"not provided"),EXACT(Metadata!Y166,"restricted access"))),AND(IF(Metadata!Y166="",FALSE,TRUE),OR(EXACT(Metadata!Y166,"TRUE"),EXACT(Metadata!Y166,"FALSE"))))</f>
        <v>0</v>
      </c>
      <c r="BM166" t="b">
        <f>OR(AND(IF(Metadata!Z166="",FALSE,TRUE),EXACT(Metadata!Z166,"not applicable")),AND(IF(Metadata!Z166="",FALSE,TRUE),OR(EXACT(Metadata!Z166,"beer"),EXACT(Metadata!Z166,"cheese"),EXACT(Metadata!Z166,"fresh water"),EXACT(Metadata!Z166,"marine sediment"),EXACT(Metadata!Z166,"sea water"),EXACT(Metadata!Z166,"sediment"),EXACT(Metadata!Z166,"soil"),EXACT(Metadata!Z166,"waste water"))))</f>
        <v>0</v>
      </c>
      <c r="BN166" t="b">
        <f>AND(IF(Metadata!AA166="",FALSE,TRUE),EXACT(Metadata!AA166,"metagenome"))</f>
        <v>0</v>
      </c>
      <c r="BO166" t="b">
        <f>AND(IF(Metadata!AB166="",FALSE,TRUE),EXACT(Metadata!AB166,"256318"))</f>
        <v>0</v>
      </c>
      <c r="BP166" t="b">
        <f>IF(Metadata!AC166="",FALSE,TRUE)</f>
        <v>0</v>
      </c>
      <c r="BQ166" t="b">
        <f>IF(Metadata!AD166="",FALSE,TRUE)</f>
        <v>0</v>
      </c>
    </row>
    <row r="167" spans="1:69" x14ac:dyDescent="0.2">
      <c r="A167" s="4" t="e">
        <f ca="1">IF(B167=" "," ",HYPERLINK(CONCATENATE("#metadata!",ADDRESS(INDEX($AJ$2:$AJ$1001,MATCH(ROWS($AH$2:AH167),$AH$2:$AH$1001,0),0),2)),INDEX($AM$2:$AM$1001,MATCH(ROWS($AH$2:AH167),$AH$2:$AH$1001,0),0)))</f>
        <v>#N/A</v>
      </c>
      <c r="B167" s="5" t="e">
        <f ca="1">IF(OR(INDEX($AI$2:$AI$1001,MATCH(ROWS($AH$2:AH167),$AH$2:$AH$1001,0),1)&gt;=100000,INDEX($AO$1005:$BQ$1005,1,MATCH(COLUMNS($AO$1006:AO1006),$AO$1006:$BQ$1006,0))&gt;=100000), " ",IF(INDEX($AO$2:$BQ$1001,MATCH(ROWS($AH$2:AH167),$AH$2:$AH$1001,0),MATCH(COLUMNS($AO$1006:AO1006),$AO$1006:$BQ$1006,0)), HYPERLINK("#",""), HYPERLINK(CONCATENATE("#Metadata!", ADDRESS(INDEX($AJ$2:$AJ$1001,MATCH(ROWS($AH$2:AH167),$AH$2:$AH$1001,0),0), INDEX($AO$1004:$BQ$1004,1,MATCH(COLUMNS($AO$1006:AO1006),$AO$1006:$BQ$1006,0)))),"Fix")))</f>
        <v>#N/A</v>
      </c>
      <c r="C167" s="5" t="e">
        <f ca="1">IF(OR(INDEX($AI$2:$AI$1001,MATCH(ROWS($AH$2:AH167),$AH$2:$AH$1001,0),1)&gt;=100000,INDEX($AO$1005:$BQ$1005,1,MATCH(COLUMNS($AO$1006:AP1006),$AO$1006:$BQ$1006,0))&gt;=100000), " ",IF(INDEX($AO$2:$BQ$1001,MATCH(ROWS($AH$2:AH167),$AH$2:$AH$1001,0),MATCH(COLUMNS($AO$1006:AP1006),$AO$1006:$BQ$1006,0)), HYPERLINK("#",""), HYPERLINK(CONCATENATE("#Metadata!", ADDRESS(INDEX($AJ$2:$AJ$1001,MATCH(ROWS($AH$2:AH167),$AH$2:$AH$1001,0),0), INDEX($AO$1004:$BQ$1004,1,MATCH(COLUMNS($AO$1006:AP1006),$AO$1006:$BQ$1006,0)))),"Fix")))</f>
        <v>#N/A</v>
      </c>
      <c r="D167" s="5" t="e">
        <f ca="1">IF(OR(INDEX($AI$2:$AI$1001,MATCH(ROWS($AH$2:AH167),$AH$2:$AH$1001,0),1)&gt;=100000,INDEX($AO$1005:$BQ$1005,1,MATCH(COLUMNS($AO$1006:AQ1006),$AO$1006:$BQ$1006,0))&gt;=100000), " ",IF(INDEX($AO$2:$BQ$1001,MATCH(ROWS($AH$2:AH167),$AH$2:$AH$1001,0),MATCH(COLUMNS($AO$1006:AQ1006),$AO$1006:$BQ$1006,0)), HYPERLINK("#",""), HYPERLINK(CONCATENATE("#Metadata!", ADDRESS(INDEX($AJ$2:$AJ$1001,MATCH(ROWS($AH$2:AH167),$AH$2:$AH$1001,0),0), INDEX($AO$1004:$BQ$1004,1,MATCH(COLUMNS($AO$1006:AQ1006),$AO$1006:$BQ$1006,0)))),"Fix")))</f>
        <v>#N/A</v>
      </c>
      <c r="E167" s="5" t="e">
        <f ca="1">IF(OR(INDEX($AI$2:$AI$1001,MATCH(ROWS($AH$2:AH167),$AH$2:$AH$1001,0),1)&gt;=100000,INDEX($AO$1005:$BQ$1005,1,MATCH(COLUMNS($AO$1006:AR1006),$AO$1006:$BQ$1006,0))&gt;=100000), " ",IF(INDEX($AO$2:$BQ$1001,MATCH(ROWS($AH$2:AH167),$AH$2:$AH$1001,0),MATCH(COLUMNS($AO$1006:AR1006),$AO$1006:$BQ$1006,0)), HYPERLINK("#",""), HYPERLINK(CONCATENATE("#Metadata!", ADDRESS(INDEX($AJ$2:$AJ$1001,MATCH(ROWS($AH$2:AH167),$AH$2:$AH$1001,0),0), INDEX($AO$1004:$BQ$1004,1,MATCH(COLUMNS($AO$1006:AR1006),$AO$1006:$BQ$1006,0)))),"Fix")))</f>
        <v>#N/A</v>
      </c>
      <c r="F167" s="5" t="e">
        <f ca="1">IF(OR(INDEX($AI$2:$AI$1001,MATCH(ROWS($AH$2:AH167),$AH$2:$AH$1001,0),1)&gt;=100000,INDEX($AO$1005:$BQ$1005,1,MATCH(COLUMNS($AO$1006:AS1006),$AO$1006:$BQ$1006,0))&gt;=100000), " ",IF(INDEX($AO$2:$BQ$1001,MATCH(ROWS($AH$2:AH167),$AH$2:$AH$1001,0),MATCH(COLUMNS($AO$1006:AS1006),$AO$1006:$BQ$1006,0)), HYPERLINK("#",""), HYPERLINK(CONCATENATE("#Metadata!", ADDRESS(INDEX($AJ$2:$AJ$1001,MATCH(ROWS($AH$2:AH167),$AH$2:$AH$1001,0),0), INDEX($AO$1004:$BQ$1004,1,MATCH(COLUMNS($AO$1006:AS1006),$AO$1006:$BQ$1006,0)))),"Fix")))</f>
        <v>#N/A</v>
      </c>
      <c r="G167" s="5" t="e">
        <f ca="1">IF(OR(INDEX($AI$2:$AI$1001,MATCH(ROWS($AH$2:AH167),$AH$2:$AH$1001,0),1)&gt;=100000,INDEX($AO$1005:$BQ$1005,1,MATCH(COLUMNS($AO$1006:AT1006),$AO$1006:$BQ$1006,0))&gt;=100000), " ",IF(INDEX($AO$2:$BQ$1001,MATCH(ROWS($AH$2:AH167),$AH$2:$AH$1001,0),MATCH(COLUMNS($AO$1006:AT1006),$AO$1006:$BQ$1006,0)), HYPERLINK("#",""), HYPERLINK(CONCATENATE("#Metadata!", ADDRESS(INDEX($AJ$2:$AJ$1001,MATCH(ROWS($AH$2:AH167),$AH$2:$AH$1001,0),0), INDEX($AO$1004:$BQ$1004,1,MATCH(COLUMNS($AO$1006:AT1006),$AO$1006:$BQ$1006,0)))),"Fix")))</f>
        <v>#N/A</v>
      </c>
      <c r="H167" s="5" t="e">
        <f ca="1">IF(OR(INDEX($AI$2:$AI$1001,MATCH(ROWS($AH$2:AH167),$AH$2:$AH$1001,0),1)&gt;=100000,INDEX($AO$1005:$BQ$1005,1,MATCH(COLUMNS($AO$1006:AU1006),$AO$1006:$BQ$1006,0))&gt;=100000), " ",IF(INDEX($AO$2:$BQ$1001,MATCH(ROWS($AH$2:AH167),$AH$2:$AH$1001,0),MATCH(COLUMNS($AO$1006:AU1006),$AO$1006:$BQ$1006,0)), HYPERLINK("#",""), HYPERLINK(CONCATENATE("#Metadata!", ADDRESS(INDEX($AJ$2:$AJ$1001,MATCH(ROWS($AH$2:AH167),$AH$2:$AH$1001,0),0), INDEX($AO$1004:$BQ$1004,1,MATCH(COLUMNS($AO$1006:AU1006),$AO$1006:$BQ$1006,0)))),"Fix")))</f>
        <v>#N/A</v>
      </c>
      <c r="I167" s="5" t="e">
        <f ca="1">IF(OR(INDEX($AI$2:$AI$1001,MATCH(ROWS($AH$2:AH167),$AH$2:$AH$1001,0),1)&gt;=100000,INDEX($AO$1005:$BQ$1005,1,MATCH(COLUMNS($AO$1006:AV1006),$AO$1006:$BQ$1006,0))&gt;=100000), " ",IF(INDEX($AO$2:$BQ$1001,MATCH(ROWS($AH$2:AH167),$AH$2:$AH$1001,0),MATCH(COLUMNS($AO$1006:AV1006),$AO$1006:$BQ$1006,0)), HYPERLINK("#",""), HYPERLINK(CONCATENATE("#Metadata!", ADDRESS(INDEX($AJ$2:$AJ$1001,MATCH(ROWS($AH$2:AH167),$AH$2:$AH$1001,0),0), INDEX($AO$1004:$BQ$1004,1,MATCH(COLUMNS($AO$1006:AV1006),$AO$1006:$BQ$1006,0)))),"Fix")))</f>
        <v>#N/A</v>
      </c>
      <c r="J167" s="5" t="e">
        <f ca="1">IF(OR(INDEX($AI$2:$AI$1001,MATCH(ROWS($AH$2:AH167),$AH$2:$AH$1001,0),1)&gt;=100000,INDEX($AO$1005:$BQ$1005,1,MATCH(COLUMNS($AO$1006:AW1006),$AO$1006:$BQ$1006,0))&gt;=100000), " ",IF(INDEX($AO$2:$BQ$1001,MATCH(ROWS($AH$2:AH167),$AH$2:$AH$1001,0),MATCH(COLUMNS($AO$1006:AW1006),$AO$1006:$BQ$1006,0)), HYPERLINK("#",""), HYPERLINK(CONCATENATE("#Metadata!", ADDRESS(INDEX($AJ$2:$AJ$1001,MATCH(ROWS($AH$2:AH167),$AH$2:$AH$1001,0),0), INDEX($AO$1004:$BQ$1004,1,MATCH(COLUMNS($AO$1006:AW1006),$AO$1006:$BQ$1006,0)))),"Fix")))</f>
        <v>#N/A</v>
      </c>
      <c r="K167" s="5" t="e">
        <f ca="1">IF(OR(INDEX($AI$2:$AI$1001,MATCH(ROWS($AH$2:AH167),$AH$2:$AH$1001,0),1)&gt;=100000,INDEX($AO$1005:$BQ$1005,1,MATCH(COLUMNS($AO$1006:AX1006),$AO$1006:$BQ$1006,0))&gt;=100000), " ",IF(INDEX($AO$2:$BQ$1001,MATCH(ROWS($AH$2:AH167),$AH$2:$AH$1001,0),MATCH(COLUMNS($AO$1006:AX1006),$AO$1006:$BQ$1006,0)), HYPERLINK("#",""), HYPERLINK(CONCATENATE("#Metadata!", ADDRESS(INDEX($AJ$2:$AJ$1001,MATCH(ROWS($AH$2:AH167),$AH$2:$AH$1001,0),0), INDEX($AO$1004:$BQ$1004,1,MATCH(COLUMNS($AO$1006:AX1006),$AO$1006:$BQ$1006,0)))),"Fix")))</f>
        <v>#N/A</v>
      </c>
      <c r="L167" s="5" t="e">
        <f ca="1">IF(OR(INDEX($AI$2:$AI$1001,MATCH(ROWS($AH$2:AH167),$AH$2:$AH$1001,0),1)&gt;=100000,INDEX($AO$1005:$BQ$1005,1,MATCH(COLUMNS($AO$1006:AY1006),$AO$1006:$BQ$1006,0))&gt;=100000), " ",IF(INDEX($AO$2:$BQ$1001,MATCH(ROWS($AH$2:AH167),$AH$2:$AH$1001,0),MATCH(COLUMNS($AO$1006:AY1006),$AO$1006:$BQ$1006,0)), HYPERLINK("#",""), HYPERLINK(CONCATENATE("#Metadata!", ADDRESS(INDEX($AJ$2:$AJ$1001,MATCH(ROWS($AH$2:AH167),$AH$2:$AH$1001,0),0), INDEX($AO$1004:$BQ$1004,1,MATCH(COLUMNS($AO$1006:AY1006),$AO$1006:$BQ$1006,0)))),"Fix")))</f>
        <v>#N/A</v>
      </c>
      <c r="M167" s="5" t="e">
        <f ca="1">IF(OR(INDEX($AI$2:$AI$1001,MATCH(ROWS($AH$2:AH167),$AH$2:$AH$1001,0),1)&gt;=100000,INDEX($AO$1005:$BQ$1005,1,MATCH(COLUMNS($AO$1006:AZ1006),$AO$1006:$BQ$1006,0))&gt;=100000), " ",IF(INDEX($AO$2:$BQ$1001,MATCH(ROWS($AH$2:AH167),$AH$2:$AH$1001,0),MATCH(COLUMNS($AO$1006:AZ1006),$AO$1006:$BQ$1006,0)), HYPERLINK("#",""), HYPERLINK(CONCATENATE("#Metadata!", ADDRESS(INDEX($AJ$2:$AJ$1001,MATCH(ROWS($AH$2:AH167),$AH$2:$AH$1001,0),0), INDEX($AO$1004:$BQ$1004,1,MATCH(COLUMNS($AO$1006:AZ1006),$AO$1006:$BQ$1006,0)))),"Fix")))</f>
        <v>#N/A</v>
      </c>
      <c r="N167" s="5" t="e">
        <f ca="1">IF(OR(INDEX($AI$2:$AI$1001,MATCH(ROWS($AH$2:AH167),$AH$2:$AH$1001,0),1)&gt;=100000,INDEX($AO$1005:$BQ$1005,1,MATCH(COLUMNS($AO$1006:BA1006),$AO$1006:$BQ$1006,0))&gt;=100000), " ",IF(INDEX($AO$2:$BQ$1001,MATCH(ROWS($AH$2:AH167),$AH$2:$AH$1001,0),MATCH(COLUMNS($AO$1006:BA1006),$AO$1006:$BQ$1006,0)), HYPERLINK("#",""), HYPERLINK(CONCATENATE("#Metadata!", ADDRESS(INDEX($AJ$2:$AJ$1001,MATCH(ROWS($AH$2:AH167),$AH$2:$AH$1001,0),0), INDEX($AO$1004:$BQ$1004,1,MATCH(COLUMNS($AO$1006:BA1006),$AO$1006:$BQ$1006,0)))),"Fix")))</f>
        <v>#N/A</v>
      </c>
      <c r="O167" s="5" t="e">
        <f ca="1">IF(OR(INDEX($AI$2:$AI$1001,MATCH(ROWS($AH$2:AH167),$AH$2:$AH$1001,0),1)&gt;=100000,INDEX($AO$1005:$BQ$1005,1,MATCH(COLUMNS($AO$1006:BB1006),$AO$1006:$BQ$1006,0))&gt;=100000), " ",IF(INDEX($AO$2:$BQ$1001,MATCH(ROWS($AH$2:AH167),$AH$2:$AH$1001,0),MATCH(COLUMNS($AO$1006:BB1006),$AO$1006:$BQ$1006,0)), HYPERLINK("#",""), HYPERLINK(CONCATENATE("#Metadata!", ADDRESS(INDEX($AJ$2:$AJ$1001,MATCH(ROWS($AH$2:AH167),$AH$2:$AH$1001,0),0), INDEX($AO$1004:$BQ$1004,1,MATCH(COLUMNS($AO$1006:BB1006),$AO$1006:$BQ$1006,0)))),"Fix")))</f>
        <v>#N/A</v>
      </c>
      <c r="P167" s="5" t="e">
        <f ca="1">IF(OR(INDEX($AI$2:$AI$1001,MATCH(ROWS($AH$2:AH167),$AH$2:$AH$1001,0),1)&gt;=100000,INDEX($AO$1005:$BQ$1005,1,MATCH(COLUMNS($AO$1006:BC1006),$AO$1006:$BQ$1006,0))&gt;=100000), " ",IF(INDEX($AO$2:$BQ$1001,MATCH(ROWS($AH$2:AH167),$AH$2:$AH$1001,0),MATCH(COLUMNS($AO$1006:BC1006),$AO$1006:$BQ$1006,0)), HYPERLINK("#",""), HYPERLINK(CONCATENATE("#Metadata!", ADDRESS(INDEX($AJ$2:$AJ$1001,MATCH(ROWS($AH$2:AH167),$AH$2:$AH$1001,0),0), INDEX($AO$1004:$BQ$1004,1,MATCH(COLUMNS($AO$1006:BC1006),$AO$1006:$BQ$1006,0)))),"Fix")))</f>
        <v>#N/A</v>
      </c>
      <c r="Q167" s="5" t="e">
        <f ca="1">IF(OR(INDEX($AI$2:$AI$1001,MATCH(ROWS($AH$2:AH167),$AH$2:$AH$1001,0),1)&gt;=100000,INDEX($AO$1005:$BQ$1005,1,MATCH(COLUMNS($AO$1006:BD1006),$AO$1006:$BQ$1006,0))&gt;=100000), " ",IF(INDEX($AO$2:$BQ$1001,MATCH(ROWS($AH$2:AH167),$AH$2:$AH$1001,0),MATCH(COLUMNS($AO$1006:BD1006),$AO$1006:$BQ$1006,0)), HYPERLINK("#",""), HYPERLINK(CONCATENATE("#Metadata!", ADDRESS(INDEX($AJ$2:$AJ$1001,MATCH(ROWS($AH$2:AH167),$AH$2:$AH$1001,0),0), INDEX($AO$1004:$BQ$1004,1,MATCH(COLUMNS($AO$1006:BD1006),$AO$1006:$BQ$1006,0)))),"Fix")))</f>
        <v>#N/A</v>
      </c>
      <c r="R167" s="5" t="e">
        <f ca="1">IF(OR(INDEX($AI$2:$AI$1001,MATCH(ROWS($AH$2:AH167),$AH$2:$AH$1001,0),1)&gt;=100000,INDEX($AO$1005:$BQ$1005,1,MATCH(COLUMNS($AO$1006:BE1006),$AO$1006:$BQ$1006,0))&gt;=100000), " ",IF(INDEX($AO$2:$BQ$1001,MATCH(ROWS($AH$2:AH167),$AH$2:$AH$1001,0),MATCH(COLUMNS($AO$1006:BE1006),$AO$1006:$BQ$1006,0)), HYPERLINK("#",""), HYPERLINK(CONCATENATE("#Metadata!", ADDRESS(INDEX($AJ$2:$AJ$1001,MATCH(ROWS($AH$2:AH167),$AH$2:$AH$1001,0),0), INDEX($AO$1004:$BQ$1004,1,MATCH(COLUMNS($AO$1006:BE1006),$AO$1006:$BQ$1006,0)))),"Fix")))</f>
        <v>#N/A</v>
      </c>
      <c r="S167" s="5" t="e">
        <f ca="1">IF(OR(INDEX($AI$2:$AI$1001,MATCH(ROWS($AH$2:AH167),$AH$2:$AH$1001,0),1)&gt;=100000,INDEX($AO$1005:$BQ$1005,1,MATCH(COLUMNS($AO$1006:BF1006),$AO$1006:$BQ$1006,0))&gt;=100000), " ",IF(INDEX($AO$2:$BQ$1001,MATCH(ROWS($AH$2:AH167),$AH$2:$AH$1001,0),MATCH(COLUMNS($AO$1006:BF1006),$AO$1006:$BQ$1006,0)), HYPERLINK("#",""), HYPERLINK(CONCATENATE("#Metadata!", ADDRESS(INDEX($AJ$2:$AJ$1001,MATCH(ROWS($AH$2:AH167),$AH$2:$AH$1001,0),0), INDEX($AO$1004:$BQ$1004,1,MATCH(COLUMNS($AO$1006:BF1006),$AO$1006:$BQ$1006,0)))),"Fix")))</f>
        <v>#N/A</v>
      </c>
      <c r="T167" s="5" t="e">
        <f ca="1">IF(OR(INDEX($AI$2:$AI$1001,MATCH(ROWS($AH$2:AH167),$AH$2:$AH$1001,0),1)&gt;=100000,INDEX($AO$1005:$BQ$1005,1,MATCH(COLUMNS($AO$1006:BG1006),$AO$1006:$BQ$1006,0))&gt;=100000), " ",IF(INDEX($AO$2:$BQ$1001,MATCH(ROWS($AH$2:AH167),$AH$2:$AH$1001,0),MATCH(COLUMNS($AO$1006:BG1006),$AO$1006:$BQ$1006,0)), HYPERLINK("#",""), HYPERLINK(CONCATENATE("#Metadata!", ADDRESS(INDEX($AJ$2:$AJ$1001,MATCH(ROWS($AH$2:AH167),$AH$2:$AH$1001,0),0), INDEX($AO$1004:$BQ$1004,1,MATCH(COLUMNS($AO$1006:BG1006),$AO$1006:$BQ$1006,0)))),"Fix")))</f>
        <v>#N/A</v>
      </c>
      <c r="U167" s="5" t="e">
        <f ca="1">IF(OR(INDEX($AI$2:$AI$1001,MATCH(ROWS($AH$2:AH167),$AH$2:$AH$1001,0),1)&gt;=100000,INDEX($AO$1005:$BQ$1005,1,MATCH(COLUMNS($AO$1006:BH1006),$AO$1006:$BQ$1006,0))&gt;=100000), " ",IF(INDEX($AO$2:$BQ$1001,MATCH(ROWS($AH$2:AH167),$AH$2:$AH$1001,0),MATCH(COLUMNS($AO$1006:BH1006),$AO$1006:$BQ$1006,0)), HYPERLINK("#",""), HYPERLINK(CONCATENATE("#Metadata!", ADDRESS(INDEX($AJ$2:$AJ$1001,MATCH(ROWS($AH$2:AH167),$AH$2:$AH$1001,0),0), INDEX($AO$1004:$BQ$1004,1,MATCH(COLUMNS($AO$1006:BH1006),$AO$1006:$BQ$1006,0)))),"Fix")))</f>
        <v>#N/A</v>
      </c>
      <c r="V167" s="5" t="e">
        <f ca="1">IF(OR(INDEX($AI$2:$AI$1001,MATCH(ROWS($AH$2:AH167),$AH$2:$AH$1001,0),1)&gt;=100000,INDEX($AO$1005:$BQ$1005,1,MATCH(COLUMNS($AO$1006:BI1006),$AO$1006:$BQ$1006,0))&gt;=100000), " ",IF(INDEX($AO$2:$BQ$1001,MATCH(ROWS($AH$2:AH167),$AH$2:$AH$1001,0),MATCH(COLUMNS($AO$1006:BI1006),$AO$1006:$BQ$1006,0)), HYPERLINK("#",""), HYPERLINK(CONCATENATE("#Metadata!", ADDRESS(INDEX($AJ$2:$AJ$1001,MATCH(ROWS($AH$2:AH167),$AH$2:$AH$1001,0),0), INDEX($AO$1004:$BQ$1004,1,MATCH(COLUMNS($AO$1006:BI1006),$AO$1006:$BQ$1006,0)))),"Fix")))</f>
        <v>#N/A</v>
      </c>
      <c r="W167" s="5" t="e">
        <f ca="1">IF(OR(INDEX($AI$2:$AI$1001,MATCH(ROWS($AH$2:AH167),$AH$2:$AH$1001,0),1)&gt;=100000,INDEX($AO$1005:$BQ$1005,1,MATCH(COLUMNS($AO$1006:BJ1006),$AO$1006:$BQ$1006,0))&gt;=100000), " ",IF(INDEX($AO$2:$BQ$1001,MATCH(ROWS($AH$2:AH167),$AH$2:$AH$1001,0),MATCH(COLUMNS($AO$1006:BJ1006),$AO$1006:$BQ$1006,0)), HYPERLINK("#",""), HYPERLINK(CONCATENATE("#Metadata!", ADDRESS(INDEX($AJ$2:$AJ$1001,MATCH(ROWS($AH$2:AH167),$AH$2:$AH$1001,0),0), INDEX($AO$1004:$BQ$1004,1,MATCH(COLUMNS($AO$1006:BJ1006),$AO$1006:$BQ$1006,0)))),"Fix")))</f>
        <v>#N/A</v>
      </c>
      <c r="X167" s="5" t="e">
        <f ca="1">IF(OR(INDEX($AI$2:$AI$1001,MATCH(ROWS($AH$2:AH167),$AH$2:$AH$1001,0),1)&gt;=100000,INDEX($AO$1005:$BQ$1005,1,MATCH(COLUMNS($AO$1006:BK1006),$AO$1006:$BQ$1006,0))&gt;=100000), " ",IF(INDEX($AO$2:$BQ$1001,MATCH(ROWS($AH$2:AH167),$AH$2:$AH$1001,0),MATCH(COLUMNS($AO$1006:BK1006),$AO$1006:$BQ$1006,0)), HYPERLINK("#",""), HYPERLINK(CONCATENATE("#Metadata!", ADDRESS(INDEX($AJ$2:$AJ$1001,MATCH(ROWS($AH$2:AH167),$AH$2:$AH$1001,0),0), INDEX($AO$1004:$BQ$1004,1,MATCH(COLUMNS($AO$1006:BK1006),$AO$1006:$BQ$1006,0)))),"Fix")))</f>
        <v>#N/A</v>
      </c>
      <c r="Y167" s="5" t="e">
        <f ca="1">IF(OR(INDEX($AI$2:$AI$1001,MATCH(ROWS($AH$2:AH167),$AH$2:$AH$1001,0),1)&gt;=100000,INDEX($AO$1005:$BQ$1005,1,MATCH(COLUMNS($AO$1006:BL1006),$AO$1006:$BQ$1006,0))&gt;=100000), " ",IF(INDEX($AO$2:$BQ$1001,MATCH(ROWS($AH$2:AH167),$AH$2:$AH$1001,0),MATCH(COLUMNS($AO$1006:BL1006),$AO$1006:$BQ$1006,0)), HYPERLINK("#",""), HYPERLINK(CONCATENATE("#Metadata!", ADDRESS(INDEX($AJ$2:$AJ$1001,MATCH(ROWS($AH$2:AH167),$AH$2:$AH$1001,0),0), INDEX($AO$1004:$BQ$1004,1,MATCH(COLUMNS($AO$1006:BL1006),$AO$1006:$BQ$1006,0)))),"Fix")))</f>
        <v>#N/A</v>
      </c>
      <c r="Z167" s="5" t="e">
        <f ca="1">IF(OR(INDEX($AI$2:$AI$1001,MATCH(ROWS($AH$2:AH167),$AH$2:$AH$1001,0),1)&gt;=100000,INDEX($AO$1005:$BQ$1005,1,MATCH(COLUMNS($AO$1006:BM1006),$AO$1006:$BQ$1006,0))&gt;=100000), " ",IF(INDEX($AO$2:$BQ$1001,MATCH(ROWS($AH$2:AH167),$AH$2:$AH$1001,0),MATCH(COLUMNS($AO$1006:BM1006),$AO$1006:$BQ$1006,0)), HYPERLINK("#",""), HYPERLINK(CONCATENATE("#Metadata!", ADDRESS(INDEX($AJ$2:$AJ$1001,MATCH(ROWS($AH$2:AH167),$AH$2:$AH$1001,0),0), INDEX($AO$1004:$BQ$1004,1,MATCH(COLUMNS($AO$1006:BM1006),$AO$1006:$BQ$1006,0)))),"Fix")))</f>
        <v>#N/A</v>
      </c>
      <c r="AA167" s="5" t="e">
        <f ca="1">IF(OR(INDEX($AI$2:$AI$1001,MATCH(ROWS($AH$2:AH167),$AH$2:$AH$1001,0),1)&gt;=100000,INDEX($AO$1005:$BQ$1005,1,MATCH(COLUMNS($AO$1006:BN1006),$AO$1006:$BQ$1006,0))&gt;=100000), " ",IF(INDEX($AO$2:$BQ$1001,MATCH(ROWS($AH$2:AH167),$AH$2:$AH$1001,0),MATCH(COLUMNS($AO$1006:BN1006),$AO$1006:$BQ$1006,0)), HYPERLINK("#",""), HYPERLINK(CONCATENATE("#Metadata!", ADDRESS(INDEX($AJ$2:$AJ$1001,MATCH(ROWS($AH$2:AH167),$AH$2:$AH$1001,0),0), INDEX($AO$1004:$BQ$1004,1,MATCH(COLUMNS($AO$1006:BN1006),$AO$1006:$BQ$1006,0)))),"Fix")))</f>
        <v>#N/A</v>
      </c>
      <c r="AB167" s="5" t="e">
        <f ca="1">IF(OR(INDEX($AI$2:$AI$1001,MATCH(ROWS($AH$2:AH167),$AH$2:$AH$1001,0),1)&gt;=100000,INDEX($AO$1005:$BQ$1005,1,MATCH(COLUMNS($AO$1006:BO1006),$AO$1006:$BQ$1006,0))&gt;=100000), " ",IF(INDEX($AO$2:$BQ$1001,MATCH(ROWS($AH$2:AH167),$AH$2:$AH$1001,0),MATCH(COLUMNS($AO$1006:BO1006),$AO$1006:$BQ$1006,0)), HYPERLINK("#",""), HYPERLINK(CONCATENATE("#Metadata!", ADDRESS(INDEX($AJ$2:$AJ$1001,MATCH(ROWS($AH$2:AH167),$AH$2:$AH$1001,0),0), INDEX($AO$1004:$BQ$1004,1,MATCH(COLUMNS($AO$1006:BO1006),$AO$1006:$BQ$1006,0)))),"Fix")))</f>
        <v>#N/A</v>
      </c>
      <c r="AC167" s="5" t="e">
        <f ca="1">IF(OR(INDEX($AI$2:$AI$1001,MATCH(ROWS($AH$2:AH167),$AH$2:$AH$1001,0),1)&gt;=100000,INDEX($AO$1005:$BQ$1005,1,MATCH(COLUMNS($AO$1006:BP1006),$AO$1006:$BQ$1006,0))&gt;=100000), " ",IF(INDEX($AO$2:$BQ$1001,MATCH(ROWS($AH$2:AH167),$AH$2:$AH$1001,0),MATCH(COLUMNS($AO$1006:BP1006),$AO$1006:$BQ$1006,0)), HYPERLINK("#",""), HYPERLINK(CONCATENATE("#Metadata!", ADDRESS(INDEX($AJ$2:$AJ$1001,MATCH(ROWS($AH$2:AH167),$AH$2:$AH$1001,0),0), INDEX($AO$1004:$BQ$1004,1,MATCH(COLUMNS($AO$1006:BP1006),$AO$1006:$BQ$1006,0)))),"Fix")))</f>
        <v>#N/A</v>
      </c>
      <c r="AD167" s="5" t="e">
        <f ca="1">IF(OR(INDEX($AI$2:$AI$1001,MATCH(ROWS($AH$2:AH167),$AH$2:$AH$1001,0),1)&gt;=100000,INDEX($AO$1005:$BQ$1005,1,MATCH(COLUMNS($AO$1006:BQ1006),$AO$1006:$BQ$1006,0))&gt;=100000), " ",IF(INDEX($AO$2:$BQ$1001,MATCH(ROWS($AH$2:AH167),$AH$2:$AH$1001,0),MATCH(COLUMNS($AO$1006:BQ1006),$AO$1006:$BQ$1006,0)), HYPERLINK("#",""), HYPERLINK(CONCATENATE("#Metadata!", ADDRESS(INDEX($AJ$2:$AJ$1001,MATCH(ROWS($AH$2:AH167),$AH$2:$AH$1001,0),0), INDEX($AO$1004:$BQ$1004,1,MATCH(COLUMNS($AO$1006:BQ1006),$AO$1006:$BQ$1006,0)))),"Fix")))</f>
        <v>#REF!</v>
      </c>
      <c r="AH167">
        <f ca="1"/>
        <v>164</v>
      </c>
      <c r="AI167">
        <v>100167</v>
      </c>
      <c r="AJ167">
        <v>167</v>
      </c>
      <c r="AK167" t="b">
        <f t="shared" si="2"/>
        <v>1</v>
      </c>
      <c r="AL167" t="b">
        <f>COUNTBLANK(Metadata!B167:AD167)=COLUMNS(Metadata!B167:AD167)</f>
        <v>1</v>
      </c>
      <c r="AM167" t="str">
        <v/>
      </c>
      <c r="AO167" t="b">
        <f ca="1">AND(IF(Metadata!B167="",FALSE,TRUE),COUNTIF(Metadata!B:B, Metadata!B167) = 1,NOT(ISERROR(SUMPRODUCT(SEARCH(MID(Metadata!B167,ROW(INDIRECT("1:"&amp;LEN(Metadata!B167))), 1),"0123456789abcdefghijklmnopqrstuvwxyzABCDEFGHIJKLMNOPQRSTUVWXYZ.")))))</f>
        <v>0</v>
      </c>
      <c r="AP167" t="b">
        <f>IF(Metadata!C167="",FALSE,TRUE)</f>
        <v>0</v>
      </c>
      <c r="AQ167" t="b">
        <f>IF(Metadata!D167="",FALSE,TRUE)</f>
        <v>0</v>
      </c>
      <c r="AR167" t="b">
        <f ca="1">OR(AND(IF(Metadata!E167="",FALSE,TRUE),OR(EXACT(Metadata!E167,"not collected"),EXACT(Metadata!E167,"not provided"),EXACT(Metadata!E167,"restricted access"))),AND(IF(Metadata!E167="",FALSE,TRUE),AND(AND(IFERROR(INT(LEFT(Metadata!E167,4))&gt;1900,FALSE),IFERROR(INT(LEFT(Metadata!E167,4))&lt;=YEAR(NOW()),FALSE)), OR(MID(Metadata!E167,5,1)="", AND(AND(MID(Metadata!E167,5,1)="-",IFERROR(INT(MID(Metadata!E167,6,1))&gt;=0,FALSE),IFERROR(INT(MID(Metadata!E167,6,1))&lt;=1,FALSE),NOT(MID(Metadata!E167,7,1)=""),IFERROR(INT(MID(Metadata!E167,6,2))&gt;=1,FALSE),IFERROR(INT(MID(Metadata!E167,6,2))&lt;=12,FALSE)), OR(MID(Metadata!E167,8,1)="", AND(AND(MID(Metadata!E167,8,1)="-",IFERROR(INT(MID(Metadata!E167,9,1))&gt;=0,FALSE),IFERROR(INT(MID(Metadata!E167,9,1))&lt;=3,FALSE),NOT(MID(Metadata!E167,10,1)=""),IFERROR(INT(MID(Metadata!E167,9,2))&gt;=1,FALSE),IFERROR(INT(MID(Metadata!E167,9,2))&lt;=31,FALSE)), OR(MID(Metadata!E167,11,1)="", AND(AND(MID(Metadata!E167,11,1)=" ",IFERROR(INT(MID(Metadata!E167,12,1))&gt;=0,FALSE),IFERROR(INT(MID(Metadata!E167,12,1))&lt;=2,FALSE),NOT(MID(Metadata!E167,13,1)=""),IFERROR(INT(MID(Metadata!E167,12,2))&gt;=0,FALSE),IFERROR(INT(MID(Metadata!E167,12,2))&lt;=23,FALSE)), OR(MID(Metadata!E167,14,1)="", AND(AND(MID(Metadata!E167,14,1)=":",IFERROR(INT(MID(Metadata!E167,15,1))&gt;=0,FALSE),IFERROR(INT(MID(Metadata!E167,15,1))&lt;=5,FALSE),NOT(MID(Metadata!E167,16,1)=""),IFERROR(INT(MID(Metadata!E167,15,2))&gt;=0,FALSE),IFERROR(INT(MID(Metadata!E167,15,2))&lt;=59,FALSE)), OR(MID(Metadata!E167,17,1)="", AND(AND(MID(Metadata!E167,17,1)=":",IFERROR(INT(MID(Metadata!E167,18,1))&gt;=0,FALSE),IFERROR(INT(MID(Metadata!E167,18,1))&lt;=5,FALSE),NOT(MID(Metadata!E167,19,1)=""),IFERROR(INT(MID(Metadata!E167,18,2))&gt;=0,FALSE),IFERROR(INT(MID(Metadata!E167,18,2))&lt;=59,FALSE)), LEN(Metadata!E167)&lt;=19)))))))))))))</f>
        <v>0</v>
      </c>
      <c r="AS167" t="b">
        <f>IF(Metadata!F167="",FALSE,TRUE)</f>
        <v>0</v>
      </c>
      <c r="AT167" t="b">
        <f>OR(AND(IF(Metadata!G167="",FALSE,TRUE),OR(EXACT(Metadata!G167,"not collected"),EXACT(Metadata!G167,"not provided"))),AND(IF(Metadata!G167="",FALSE,TRUE),OR(EXACT(Metadata!G167,"TRUE"),EXACT(Metadata!G167,"FALSE"))))</f>
        <v>0</v>
      </c>
      <c r="AU167" t="b">
        <f>OR(AND(IF(Metadata!H167="",FALSE,TRUE),OR(EXACT(Metadata!H167,"not collected"),EXACT(Metadata!H167,"not provided"),EXACT(Metadata!H167,"restricted access"))),AND(IF(Metadata!H167="",FALSE,ISNUMBER(VALUE(Metadata!H167))),Metadata!H167&gt;=-413))</f>
        <v>0</v>
      </c>
      <c r="AV167" t="b">
        <f>AND(IF(Metadata!I167="",FALSE,TRUE),EXACT(Metadata!I167,"meters"))</f>
        <v>0</v>
      </c>
      <c r="AW167" t="b">
        <f>AND(IF(Metadata!J167="",FALSE,TRUE),EXACT(Metadata!J167,"free-living"))</f>
        <v>0</v>
      </c>
      <c r="AX167" t="b">
        <f>AND(IF(Metadata!K167="",FALSE,TRUE),OR(EXACT(Metadata!K167,"saline"),EXACT(Metadata!K167,"non-saline")))</f>
        <v>0</v>
      </c>
      <c r="AY167" t="b">
        <f>AND(IF(Metadata!L167="",FALSE,TRUE),OR(EXACT(Metadata!L167,"sub-surface (non-saline)"),EXACT(Metadata!L167,"surface (non-saline)"),EXACT(Metadata!L167,"water (non-saline)"),EXACT(Metadata!L167,"soil (non-saline)"),EXACT(Metadata!L167,"aerosol (non-saline)"),EXACT(Metadata!L167,"sediment (non-saline)"),EXACT(Metadata!L167,"surface (saline)"),EXACT(Metadata!L167,"water (saline)"),EXACT(Metadata!L167,"hypersaline (saline)"),EXACT(Metadata!L167,"aerosol (saline)"),EXACT(Metadata!L167,"sediment (saline)")))</f>
        <v>0</v>
      </c>
      <c r="AZ167" t="b">
        <f>IF(Metadata!M167="",FALSE,TRUE)</f>
        <v>0</v>
      </c>
      <c r="BA167" t="b">
        <f>IF(Metadata!N167="",FALSE,TRUE)</f>
        <v>0</v>
      </c>
      <c r="BB167" t="b">
        <f>IF(Metadata!O167="",FALSE,TRUE)</f>
        <v>0</v>
      </c>
      <c r="BC167" t="b">
        <f>AND(IF(Metadata!P167="",FALSE,TRUE),OR(EXACT(Metadata!P167,"air"),EXACT(Metadata!P167,"microbial mat/biofilm"),EXACT(Metadata!P167,"misc environment"),EXACT(Metadata!P167,"sediment"),EXACT(Metadata!P167,"soil"),EXACT(Metadata!P167,"wastewater/sludge"),EXACT(Metadata!P167,"water")))</f>
        <v>0</v>
      </c>
      <c r="BD167" t="b">
        <f>IF(Metadata!Q167="",FALSE,TRUE)</f>
        <v>0</v>
      </c>
      <c r="BE167" t="b">
        <f>IF(Metadata!R167="",FALSE,TRUE)</f>
        <v>0</v>
      </c>
      <c r="BF167" t="b">
        <f>OR(AND(IF(Metadata!S167="",FALSE,TRUE),OR(EXACT(Metadata!S167,"not collected"),EXACT(Metadata!S167,"not provided"),EXACT(Metadata!S167,"restricted access"))),AND(IF(Metadata!S167="",FALSE,ISNUMBER(VALUE(Metadata!S167))),Metadata!S167&gt;=-90,Metadata!S167&lt;=90))</f>
        <v>0</v>
      </c>
      <c r="BG167" t="b">
        <f>AND(IF(Metadata!T167="",FALSE,TRUE),EXACT(Metadata!T167,"Decimal degrees"))</f>
        <v>0</v>
      </c>
      <c r="BH167" t="b">
        <f>OR(AND(IF(Metadata!U167="",FALSE,TRUE),OR(EXACT(Metadata!U167,"not applicable"),EXACT(Metadata!U167,"not collected"))),IF(Metadata!U167="",FALSE,TRUE))</f>
        <v>0</v>
      </c>
      <c r="BI167" t="b">
        <f>OR(AND(IF(Metadata!V167="",FALSE,TRUE),OR(EXACT(Metadata!V167,"not collected"),EXACT(Metadata!V167,"not provided"),EXACT(Metadata!V167,"restricted access"))),AND(IF(Metadata!V167="",FALSE,ISNUMBER(VALUE(Metadata!V167))),Metadata!V167&gt;=-180,Metadata!V167&lt;=180))</f>
        <v>0</v>
      </c>
      <c r="BJ167" t="b">
        <f>AND(IF(Metadata!W167="",FALSE,TRUE),EXACT(Metadata!W167,"Decimal degrees"))</f>
        <v>0</v>
      </c>
      <c r="BK167" t="b">
        <f>IF(Metadata!X167="",FALSE,TRUE)</f>
        <v>0</v>
      </c>
      <c r="BL167" t="b">
        <f>OR(AND(IF(Metadata!Y167="",FALSE,TRUE),OR(EXACT(Metadata!Y167,"not collected"),EXACT(Metadata!Y167,"not provided"),EXACT(Metadata!Y167,"restricted access"))),AND(IF(Metadata!Y167="",FALSE,TRUE),OR(EXACT(Metadata!Y167,"TRUE"),EXACT(Metadata!Y167,"FALSE"))))</f>
        <v>0</v>
      </c>
      <c r="BM167" t="b">
        <f>OR(AND(IF(Metadata!Z167="",FALSE,TRUE),EXACT(Metadata!Z167,"not applicable")),AND(IF(Metadata!Z167="",FALSE,TRUE),OR(EXACT(Metadata!Z167,"beer"),EXACT(Metadata!Z167,"cheese"),EXACT(Metadata!Z167,"fresh water"),EXACT(Metadata!Z167,"marine sediment"),EXACT(Metadata!Z167,"sea water"),EXACT(Metadata!Z167,"sediment"),EXACT(Metadata!Z167,"soil"),EXACT(Metadata!Z167,"waste water"))))</f>
        <v>0</v>
      </c>
      <c r="BN167" t="b">
        <f>AND(IF(Metadata!AA167="",FALSE,TRUE),EXACT(Metadata!AA167,"metagenome"))</f>
        <v>0</v>
      </c>
      <c r="BO167" t="b">
        <f>AND(IF(Metadata!AB167="",FALSE,TRUE),EXACT(Metadata!AB167,"256318"))</f>
        <v>0</v>
      </c>
      <c r="BP167" t="b">
        <f>IF(Metadata!AC167="",FALSE,TRUE)</f>
        <v>0</v>
      </c>
      <c r="BQ167" t="b">
        <f>IF(Metadata!AD167="",FALSE,TRUE)</f>
        <v>0</v>
      </c>
    </row>
    <row r="168" spans="1:69" x14ac:dyDescent="0.2">
      <c r="A168" s="4" t="e">
        <f ca="1">IF(B168=" "," ",HYPERLINK(CONCATENATE("#metadata!",ADDRESS(INDEX($AJ$2:$AJ$1001,MATCH(ROWS($AH$2:AH168),$AH$2:$AH$1001,0),0),2)),INDEX($AM$2:$AM$1001,MATCH(ROWS($AH$2:AH168),$AH$2:$AH$1001,0),0)))</f>
        <v>#N/A</v>
      </c>
      <c r="B168" s="5" t="e">
        <f ca="1">IF(OR(INDEX($AI$2:$AI$1001,MATCH(ROWS($AH$2:AH168),$AH$2:$AH$1001,0),1)&gt;=100000,INDEX($AO$1005:$BQ$1005,1,MATCH(COLUMNS($AO$1006:AO1006),$AO$1006:$BQ$1006,0))&gt;=100000), " ",IF(INDEX($AO$2:$BQ$1001,MATCH(ROWS($AH$2:AH168),$AH$2:$AH$1001,0),MATCH(COLUMNS($AO$1006:AO1006),$AO$1006:$BQ$1006,0)), HYPERLINK("#",""), HYPERLINK(CONCATENATE("#Metadata!", ADDRESS(INDEX($AJ$2:$AJ$1001,MATCH(ROWS($AH$2:AH168),$AH$2:$AH$1001,0),0), INDEX($AO$1004:$BQ$1004,1,MATCH(COLUMNS($AO$1006:AO1006),$AO$1006:$BQ$1006,0)))),"Fix")))</f>
        <v>#N/A</v>
      </c>
      <c r="C168" s="5" t="e">
        <f ca="1">IF(OR(INDEX($AI$2:$AI$1001,MATCH(ROWS($AH$2:AH168),$AH$2:$AH$1001,0),1)&gt;=100000,INDEX($AO$1005:$BQ$1005,1,MATCH(COLUMNS($AO$1006:AP1006),$AO$1006:$BQ$1006,0))&gt;=100000), " ",IF(INDEX($AO$2:$BQ$1001,MATCH(ROWS($AH$2:AH168),$AH$2:$AH$1001,0),MATCH(COLUMNS($AO$1006:AP1006),$AO$1006:$BQ$1006,0)), HYPERLINK("#",""), HYPERLINK(CONCATENATE("#Metadata!", ADDRESS(INDEX($AJ$2:$AJ$1001,MATCH(ROWS($AH$2:AH168),$AH$2:$AH$1001,0),0), INDEX($AO$1004:$BQ$1004,1,MATCH(COLUMNS($AO$1006:AP1006),$AO$1006:$BQ$1006,0)))),"Fix")))</f>
        <v>#N/A</v>
      </c>
      <c r="D168" s="5" t="e">
        <f ca="1">IF(OR(INDEX($AI$2:$AI$1001,MATCH(ROWS($AH$2:AH168),$AH$2:$AH$1001,0),1)&gt;=100000,INDEX($AO$1005:$BQ$1005,1,MATCH(COLUMNS($AO$1006:AQ1006),$AO$1006:$BQ$1006,0))&gt;=100000), " ",IF(INDEX($AO$2:$BQ$1001,MATCH(ROWS($AH$2:AH168),$AH$2:$AH$1001,0),MATCH(COLUMNS($AO$1006:AQ1006),$AO$1006:$BQ$1006,0)), HYPERLINK("#",""), HYPERLINK(CONCATENATE("#Metadata!", ADDRESS(INDEX($AJ$2:$AJ$1001,MATCH(ROWS($AH$2:AH168),$AH$2:$AH$1001,0),0), INDEX($AO$1004:$BQ$1004,1,MATCH(COLUMNS($AO$1006:AQ1006),$AO$1006:$BQ$1006,0)))),"Fix")))</f>
        <v>#N/A</v>
      </c>
      <c r="E168" s="5" t="e">
        <f ca="1">IF(OR(INDEX($AI$2:$AI$1001,MATCH(ROWS($AH$2:AH168),$AH$2:$AH$1001,0),1)&gt;=100000,INDEX($AO$1005:$BQ$1005,1,MATCH(COLUMNS($AO$1006:AR1006),$AO$1006:$BQ$1006,0))&gt;=100000), " ",IF(INDEX($AO$2:$BQ$1001,MATCH(ROWS($AH$2:AH168),$AH$2:$AH$1001,0),MATCH(COLUMNS($AO$1006:AR1006),$AO$1006:$BQ$1006,0)), HYPERLINK("#",""), HYPERLINK(CONCATENATE("#Metadata!", ADDRESS(INDEX($AJ$2:$AJ$1001,MATCH(ROWS($AH$2:AH168),$AH$2:$AH$1001,0),0), INDEX($AO$1004:$BQ$1004,1,MATCH(COLUMNS($AO$1006:AR1006),$AO$1006:$BQ$1006,0)))),"Fix")))</f>
        <v>#N/A</v>
      </c>
      <c r="F168" s="5" t="e">
        <f ca="1">IF(OR(INDEX($AI$2:$AI$1001,MATCH(ROWS($AH$2:AH168),$AH$2:$AH$1001,0),1)&gt;=100000,INDEX($AO$1005:$BQ$1005,1,MATCH(COLUMNS($AO$1006:AS1006),$AO$1006:$BQ$1006,0))&gt;=100000), " ",IF(INDEX($AO$2:$BQ$1001,MATCH(ROWS($AH$2:AH168),$AH$2:$AH$1001,0),MATCH(COLUMNS($AO$1006:AS1006),$AO$1006:$BQ$1006,0)), HYPERLINK("#",""), HYPERLINK(CONCATENATE("#Metadata!", ADDRESS(INDEX($AJ$2:$AJ$1001,MATCH(ROWS($AH$2:AH168),$AH$2:$AH$1001,0),0), INDEX($AO$1004:$BQ$1004,1,MATCH(COLUMNS($AO$1006:AS1006),$AO$1006:$BQ$1006,0)))),"Fix")))</f>
        <v>#N/A</v>
      </c>
      <c r="G168" s="5" t="e">
        <f ca="1">IF(OR(INDEX($AI$2:$AI$1001,MATCH(ROWS($AH$2:AH168),$AH$2:$AH$1001,0),1)&gt;=100000,INDEX($AO$1005:$BQ$1005,1,MATCH(COLUMNS($AO$1006:AT1006),$AO$1006:$BQ$1006,0))&gt;=100000), " ",IF(INDEX($AO$2:$BQ$1001,MATCH(ROWS($AH$2:AH168),$AH$2:$AH$1001,0),MATCH(COLUMNS($AO$1006:AT1006),$AO$1006:$BQ$1006,0)), HYPERLINK("#",""), HYPERLINK(CONCATENATE("#Metadata!", ADDRESS(INDEX($AJ$2:$AJ$1001,MATCH(ROWS($AH$2:AH168),$AH$2:$AH$1001,0),0), INDEX($AO$1004:$BQ$1004,1,MATCH(COLUMNS($AO$1006:AT1006),$AO$1006:$BQ$1006,0)))),"Fix")))</f>
        <v>#N/A</v>
      </c>
      <c r="H168" s="5" t="e">
        <f ca="1">IF(OR(INDEX($AI$2:$AI$1001,MATCH(ROWS($AH$2:AH168),$AH$2:$AH$1001,0),1)&gt;=100000,INDEX($AO$1005:$BQ$1005,1,MATCH(COLUMNS($AO$1006:AU1006),$AO$1006:$BQ$1006,0))&gt;=100000), " ",IF(INDEX($AO$2:$BQ$1001,MATCH(ROWS($AH$2:AH168),$AH$2:$AH$1001,0),MATCH(COLUMNS($AO$1006:AU1006),$AO$1006:$BQ$1006,0)), HYPERLINK("#",""), HYPERLINK(CONCATENATE("#Metadata!", ADDRESS(INDEX($AJ$2:$AJ$1001,MATCH(ROWS($AH$2:AH168),$AH$2:$AH$1001,0),0), INDEX($AO$1004:$BQ$1004,1,MATCH(COLUMNS($AO$1006:AU1006),$AO$1006:$BQ$1006,0)))),"Fix")))</f>
        <v>#N/A</v>
      </c>
      <c r="I168" s="5" t="e">
        <f ca="1">IF(OR(INDEX($AI$2:$AI$1001,MATCH(ROWS($AH$2:AH168),$AH$2:$AH$1001,0),1)&gt;=100000,INDEX($AO$1005:$BQ$1005,1,MATCH(COLUMNS($AO$1006:AV1006),$AO$1006:$BQ$1006,0))&gt;=100000), " ",IF(INDEX($AO$2:$BQ$1001,MATCH(ROWS($AH$2:AH168),$AH$2:$AH$1001,0),MATCH(COLUMNS($AO$1006:AV1006),$AO$1006:$BQ$1006,0)), HYPERLINK("#",""), HYPERLINK(CONCATENATE("#Metadata!", ADDRESS(INDEX($AJ$2:$AJ$1001,MATCH(ROWS($AH$2:AH168),$AH$2:$AH$1001,0),0), INDEX($AO$1004:$BQ$1004,1,MATCH(COLUMNS($AO$1006:AV1006),$AO$1006:$BQ$1006,0)))),"Fix")))</f>
        <v>#N/A</v>
      </c>
      <c r="J168" s="5" t="e">
        <f ca="1">IF(OR(INDEX($AI$2:$AI$1001,MATCH(ROWS($AH$2:AH168),$AH$2:$AH$1001,0),1)&gt;=100000,INDEX($AO$1005:$BQ$1005,1,MATCH(COLUMNS($AO$1006:AW1006),$AO$1006:$BQ$1006,0))&gt;=100000), " ",IF(INDEX($AO$2:$BQ$1001,MATCH(ROWS($AH$2:AH168),$AH$2:$AH$1001,0),MATCH(COLUMNS($AO$1006:AW1006),$AO$1006:$BQ$1006,0)), HYPERLINK("#",""), HYPERLINK(CONCATENATE("#Metadata!", ADDRESS(INDEX($AJ$2:$AJ$1001,MATCH(ROWS($AH$2:AH168),$AH$2:$AH$1001,0),0), INDEX($AO$1004:$BQ$1004,1,MATCH(COLUMNS($AO$1006:AW1006),$AO$1006:$BQ$1006,0)))),"Fix")))</f>
        <v>#N/A</v>
      </c>
      <c r="K168" s="5" t="e">
        <f ca="1">IF(OR(INDEX($AI$2:$AI$1001,MATCH(ROWS($AH$2:AH168),$AH$2:$AH$1001,0),1)&gt;=100000,INDEX($AO$1005:$BQ$1005,1,MATCH(COLUMNS($AO$1006:AX1006),$AO$1006:$BQ$1006,0))&gt;=100000), " ",IF(INDEX($AO$2:$BQ$1001,MATCH(ROWS($AH$2:AH168),$AH$2:$AH$1001,0),MATCH(COLUMNS($AO$1006:AX1006),$AO$1006:$BQ$1006,0)), HYPERLINK("#",""), HYPERLINK(CONCATENATE("#Metadata!", ADDRESS(INDEX($AJ$2:$AJ$1001,MATCH(ROWS($AH$2:AH168),$AH$2:$AH$1001,0),0), INDEX($AO$1004:$BQ$1004,1,MATCH(COLUMNS($AO$1006:AX1006),$AO$1006:$BQ$1006,0)))),"Fix")))</f>
        <v>#N/A</v>
      </c>
      <c r="L168" s="5" t="e">
        <f ca="1">IF(OR(INDEX($AI$2:$AI$1001,MATCH(ROWS($AH$2:AH168),$AH$2:$AH$1001,0),1)&gt;=100000,INDEX($AO$1005:$BQ$1005,1,MATCH(COLUMNS($AO$1006:AY1006),$AO$1006:$BQ$1006,0))&gt;=100000), " ",IF(INDEX($AO$2:$BQ$1001,MATCH(ROWS($AH$2:AH168),$AH$2:$AH$1001,0),MATCH(COLUMNS($AO$1006:AY1006),$AO$1006:$BQ$1006,0)), HYPERLINK("#",""), HYPERLINK(CONCATENATE("#Metadata!", ADDRESS(INDEX($AJ$2:$AJ$1001,MATCH(ROWS($AH$2:AH168),$AH$2:$AH$1001,0),0), INDEX($AO$1004:$BQ$1004,1,MATCH(COLUMNS($AO$1006:AY1006),$AO$1006:$BQ$1006,0)))),"Fix")))</f>
        <v>#N/A</v>
      </c>
      <c r="M168" s="5" t="e">
        <f ca="1">IF(OR(INDEX($AI$2:$AI$1001,MATCH(ROWS($AH$2:AH168),$AH$2:$AH$1001,0),1)&gt;=100000,INDEX($AO$1005:$BQ$1005,1,MATCH(COLUMNS($AO$1006:AZ1006),$AO$1006:$BQ$1006,0))&gt;=100000), " ",IF(INDEX($AO$2:$BQ$1001,MATCH(ROWS($AH$2:AH168),$AH$2:$AH$1001,0),MATCH(COLUMNS($AO$1006:AZ1006),$AO$1006:$BQ$1006,0)), HYPERLINK("#",""), HYPERLINK(CONCATENATE("#Metadata!", ADDRESS(INDEX($AJ$2:$AJ$1001,MATCH(ROWS($AH$2:AH168),$AH$2:$AH$1001,0),0), INDEX($AO$1004:$BQ$1004,1,MATCH(COLUMNS($AO$1006:AZ1006),$AO$1006:$BQ$1006,0)))),"Fix")))</f>
        <v>#N/A</v>
      </c>
      <c r="N168" s="5" t="e">
        <f ca="1">IF(OR(INDEX($AI$2:$AI$1001,MATCH(ROWS($AH$2:AH168),$AH$2:$AH$1001,0),1)&gt;=100000,INDEX($AO$1005:$BQ$1005,1,MATCH(COLUMNS($AO$1006:BA1006),$AO$1006:$BQ$1006,0))&gt;=100000), " ",IF(INDEX($AO$2:$BQ$1001,MATCH(ROWS($AH$2:AH168),$AH$2:$AH$1001,0),MATCH(COLUMNS($AO$1006:BA1006),$AO$1006:$BQ$1006,0)), HYPERLINK("#",""), HYPERLINK(CONCATENATE("#Metadata!", ADDRESS(INDEX($AJ$2:$AJ$1001,MATCH(ROWS($AH$2:AH168),$AH$2:$AH$1001,0),0), INDEX($AO$1004:$BQ$1004,1,MATCH(COLUMNS($AO$1006:BA1006),$AO$1006:$BQ$1006,0)))),"Fix")))</f>
        <v>#N/A</v>
      </c>
      <c r="O168" s="5" t="e">
        <f ca="1">IF(OR(INDEX($AI$2:$AI$1001,MATCH(ROWS($AH$2:AH168),$AH$2:$AH$1001,0),1)&gt;=100000,INDEX($AO$1005:$BQ$1005,1,MATCH(COLUMNS($AO$1006:BB1006),$AO$1006:$BQ$1006,0))&gt;=100000), " ",IF(INDEX($AO$2:$BQ$1001,MATCH(ROWS($AH$2:AH168),$AH$2:$AH$1001,0),MATCH(COLUMNS($AO$1006:BB1006),$AO$1006:$BQ$1006,0)), HYPERLINK("#",""), HYPERLINK(CONCATENATE("#Metadata!", ADDRESS(INDEX($AJ$2:$AJ$1001,MATCH(ROWS($AH$2:AH168),$AH$2:$AH$1001,0),0), INDEX($AO$1004:$BQ$1004,1,MATCH(COLUMNS($AO$1006:BB1006),$AO$1006:$BQ$1006,0)))),"Fix")))</f>
        <v>#N/A</v>
      </c>
      <c r="P168" s="5" t="e">
        <f ca="1">IF(OR(INDEX($AI$2:$AI$1001,MATCH(ROWS($AH$2:AH168),$AH$2:$AH$1001,0),1)&gt;=100000,INDEX($AO$1005:$BQ$1005,1,MATCH(COLUMNS($AO$1006:BC1006),$AO$1006:$BQ$1006,0))&gt;=100000), " ",IF(INDEX($AO$2:$BQ$1001,MATCH(ROWS($AH$2:AH168),$AH$2:$AH$1001,0),MATCH(COLUMNS($AO$1006:BC1006),$AO$1006:$BQ$1006,0)), HYPERLINK("#",""), HYPERLINK(CONCATENATE("#Metadata!", ADDRESS(INDEX($AJ$2:$AJ$1001,MATCH(ROWS($AH$2:AH168),$AH$2:$AH$1001,0),0), INDEX($AO$1004:$BQ$1004,1,MATCH(COLUMNS($AO$1006:BC1006),$AO$1006:$BQ$1006,0)))),"Fix")))</f>
        <v>#N/A</v>
      </c>
      <c r="Q168" s="5" t="e">
        <f ca="1">IF(OR(INDEX($AI$2:$AI$1001,MATCH(ROWS($AH$2:AH168),$AH$2:$AH$1001,0),1)&gt;=100000,INDEX($AO$1005:$BQ$1005,1,MATCH(COLUMNS($AO$1006:BD1006),$AO$1006:$BQ$1006,0))&gt;=100000), " ",IF(INDEX($AO$2:$BQ$1001,MATCH(ROWS($AH$2:AH168),$AH$2:$AH$1001,0),MATCH(COLUMNS($AO$1006:BD1006),$AO$1006:$BQ$1006,0)), HYPERLINK("#",""), HYPERLINK(CONCATENATE("#Metadata!", ADDRESS(INDEX($AJ$2:$AJ$1001,MATCH(ROWS($AH$2:AH168),$AH$2:$AH$1001,0),0), INDEX($AO$1004:$BQ$1004,1,MATCH(COLUMNS($AO$1006:BD1006),$AO$1006:$BQ$1006,0)))),"Fix")))</f>
        <v>#N/A</v>
      </c>
      <c r="R168" s="5" t="e">
        <f ca="1">IF(OR(INDEX($AI$2:$AI$1001,MATCH(ROWS($AH$2:AH168),$AH$2:$AH$1001,0),1)&gt;=100000,INDEX($AO$1005:$BQ$1005,1,MATCH(COLUMNS($AO$1006:BE1006),$AO$1006:$BQ$1006,0))&gt;=100000), " ",IF(INDEX($AO$2:$BQ$1001,MATCH(ROWS($AH$2:AH168),$AH$2:$AH$1001,0),MATCH(COLUMNS($AO$1006:BE1006),$AO$1006:$BQ$1006,0)), HYPERLINK("#",""), HYPERLINK(CONCATENATE("#Metadata!", ADDRESS(INDEX($AJ$2:$AJ$1001,MATCH(ROWS($AH$2:AH168),$AH$2:$AH$1001,0),0), INDEX($AO$1004:$BQ$1004,1,MATCH(COLUMNS($AO$1006:BE1006),$AO$1006:$BQ$1006,0)))),"Fix")))</f>
        <v>#N/A</v>
      </c>
      <c r="S168" s="5" t="e">
        <f ca="1">IF(OR(INDEX($AI$2:$AI$1001,MATCH(ROWS($AH$2:AH168),$AH$2:$AH$1001,0),1)&gt;=100000,INDEX($AO$1005:$BQ$1005,1,MATCH(COLUMNS($AO$1006:BF1006),$AO$1006:$BQ$1006,0))&gt;=100000), " ",IF(INDEX($AO$2:$BQ$1001,MATCH(ROWS($AH$2:AH168),$AH$2:$AH$1001,0),MATCH(COLUMNS($AO$1006:BF1006),$AO$1006:$BQ$1006,0)), HYPERLINK("#",""), HYPERLINK(CONCATENATE("#Metadata!", ADDRESS(INDEX($AJ$2:$AJ$1001,MATCH(ROWS($AH$2:AH168),$AH$2:$AH$1001,0),0), INDEX($AO$1004:$BQ$1004,1,MATCH(COLUMNS($AO$1006:BF1006),$AO$1006:$BQ$1006,0)))),"Fix")))</f>
        <v>#N/A</v>
      </c>
      <c r="T168" s="5" t="e">
        <f ca="1">IF(OR(INDEX($AI$2:$AI$1001,MATCH(ROWS($AH$2:AH168),$AH$2:$AH$1001,0),1)&gt;=100000,INDEX($AO$1005:$BQ$1005,1,MATCH(COLUMNS($AO$1006:BG1006),$AO$1006:$BQ$1006,0))&gt;=100000), " ",IF(INDEX($AO$2:$BQ$1001,MATCH(ROWS($AH$2:AH168),$AH$2:$AH$1001,0),MATCH(COLUMNS($AO$1006:BG1006),$AO$1006:$BQ$1006,0)), HYPERLINK("#",""), HYPERLINK(CONCATENATE("#Metadata!", ADDRESS(INDEX($AJ$2:$AJ$1001,MATCH(ROWS($AH$2:AH168),$AH$2:$AH$1001,0),0), INDEX($AO$1004:$BQ$1004,1,MATCH(COLUMNS($AO$1006:BG1006),$AO$1006:$BQ$1006,0)))),"Fix")))</f>
        <v>#N/A</v>
      </c>
      <c r="U168" s="5" t="e">
        <f ca="1">IF(OR(INDEX($AI$2:$AI$1001,MATCH(ROWS($AH$2:AH168),$AH$2:$AH$1001,0),1)&gt;=100000,INDEX($AO$1005:$BQ$1005,1,MATCH(COLUMNS($AO$1006:BH1006),$AO$1006:$BQ$1006,0))&gt;=100000), " ",IF(INDEX($AO$2:$BQ$1001,MATCH(ROWS($AH$2:AH168),$AH$2:$AH$1001,0),MATCH(COLUMNS($AO$1006:BH1006),$AO$1006:$BQ$1006,0)), HYPERLINK("#",""), HYPERLINK(CONCATENATE("#Metadata!", ADDRESS(INDEX($AJ$2:$AJ$1001,MATCH(ROWS($AH$2:AH168),$AH$2:$AH$1001,0),0), INDEX($AO$1004:$BQ$1004,1,MATCH(COLUMNS($AO$1006:BH1006),$AO$1006:$BQ$1006,0)))),"Fix")))</f>
        <v>#N/A</v>
      </c>
      <c r="V168" s="5" t="e">
        <f ca="1">IF(OR(INDEX($AI$2:$AI$1001,MATCH(ROWS($AH$2:AH168),$AH$2:$AH$1001,0),1)&gt;=100000,INDEX($AO$1005:$BQ$1005,1,MATCH(COLUMNS($AO$1006:BI1006),$AO$1006:$BQ$1006,0))&gt;=100000), " ",IF(INDEX($AO$2:$BQ$1001,MATCH(ROWS($AH$2:AH168),$AH$2:$AH$1001,0),MATCH(COLUMNS($AO$1006:BI1006),$AO$1006:$BQ$1006,0)), HYPERLINK("#",""), HYPERLINK(CONCATENATE("#Metadata!", ADDRESS(INDEX($AJ$2:$AJ$1001,MATCH(ROWS($AH$2:AH168),$AH$2:$AH$1001,0),0), INDEX($AO$1004:$BQ$1004,1,MATCH(COLUMNS($AO$1006:BI1006),$AO$1006:$BQ$1006,0)))),"Fix")))</f>
        <v>#N/A</v>
      </c>
      <c r="W168" s="5" t="e">
        <f ca="1">IF(OR(INDEX($AI$2:$AI$1001,MATCH(ROWS($AH$2:AH168),$AH$2:$AH$1001,0),1)&gt;=100000,INDEX($AO$1005:$BQ$1005,1,MATCH(COLUMNS($AO$1006:BJ1006),$AO$1006:$BQ$1006,0))&gt;=100000), " ",IF(INDEX($AO$2:$BQ$1001,MATCH(ROWS($AH$2:AH168),$AH$2:$AH$1001,0),MATCH(COLUMNS($AO$1006:BJ1006),$AO$1006:$BQ$1006,0)), HYPERLINK("#",""), HYPERLINK(CONCATENATE("#Metadata!", ADDRESS(INDEX($AJ$2:$AJ$1001,MATCH(ROWS($AH$2:AH168),$AH$2:$AH$1001,0),0), INDEX($AO$1004:$BQ$1004,1,MATCH(COLUMNS($AO$1006:BJ1006),$AO$1006:$BQ$1006,0)))),"Fix")))</f>
        <v>#N/A</v>
      </c>
      <c r="X168" s="5" t="e">
        <f ca="1">IF(OR(INDEX($AI$2:$AI$1001,MATCH(ROWS($AH$2:AH168),$AH$2:$AH$1001,0),1)&gt;=100000,INDEX($AO$1005:$BQ$1005,1,MATCH(COLUMNS($AO$1006:BK1006),$AO$1006:$BQ$1006,0))&gt;=100000), " ",IF(INDEX($AO$2:$BQ$1001,MATCH(ROWS($AH$2:AH168),$AH$2:$AH$1001,0),MATCH(COLUMNS($AO$1006:BK1006),$AO$1006:$BQ$1006,0)), HYPERLINK("#",""), HYPERLINK(CONCATENATE("#Metadata!", ADDRESS(INDEX($AJ$2:$AJ$1001,MATCH(ROWS($AH$2:AH168),$AH$2:$AH$1001,0),0), INDEX($AO$1004:$BQ$1004,1,MATCH(COLUMNS($AO$1006:BK1006),$AO$1006:$BQ$1006,0)))),"Fix")))</f>
        <v>#N/A</v>
      </c>
      <c r="Y168" s="5" t="e">
        <f ca="1">IF(OR(INDEX($AI$2:$AI$1001,MATCH(ROWS($AH$2:AH168),$AH$2:$AH$1001,0),1)&gt;=100000,INDEX($AO$1005:$BQ$1005,1,MATCH(COLUMNS($AO$1006:BL1006),$AO$1006:$BQ$1006,0))&gt;=100000), " ",IF(INDEX($AO$2:$BQ$1001,MATCH(ROWS($AH$2:AH168),$AH$2:$AH$1001,0),MATCH(COLUMNS($AO$1006:BL1006),$AO$1006:$BQ$1006,0)), HYPERLINK("#",""), HYPERLINK(CONCATENATE("#Metadata!", ADDRESS(INDEX($AJ$2:$AJ$1001,MATCH(ROWS($AH$2:AH168),$AH$2:$AH$1001,0),0), INDEX($AO$1004:$BQ$1004,1,MATCH(COLUMNS($AO$1006:BL1006),$AO$1006:$BQ$1006,0)))),"Fix")))</f>
        <v>#N/A</v>
      </c>
      <c r="Z168" s="5" t="e">
        <f ca="1">IF(OR(INDEX($AI$2:$AI$1001,MATCH(ROWS($AH$2:AH168),$AH$2:$AH$1001,0),1)&gt;=100000,INDEX($AO$1005:$BQ$1005,1,MATCH(COLUMNS($AO$1006:BM1006),$AO$1006:$BQ$1006,0))&gt;=100000), " ",IF(INDEX($AO$2:$BQ$1001,MATCH(ROWS($AH$2:AH168),$AH$2:$AH$1001,0),MATCH(COLUMNS($AO$1006:BM1006),$AO$1006:$BQ$1006,0)), HYPERLINK("#",""), HYPERLINK(CONCATENATE("#Metadata!", ADDRESS(INDEX($AJ$2:$AJ$1001,MATCH(ROWS($AH$2:AH168),$AH$2:$AH$1001,0),0), INDEX($AO$1004:$BQ$1004,1,MATCH(COLUMNS($AO$1006:BM1006),$AO$1006:$BQ$1006,0)))),"Fix")))</f>
        <v>#N/A</v>
      </c>
      <c r="AA168" s="5" t="e">
        <f ca="1">IF(OR(INDEX($AI$2:$AI$1001,MATCH(ROWS($AH$2:AH168),$AH$2:$AH$1001,0),1)&gt;=100000,INDEX($AO$1005:$BQ$1005,1,MATCH(COLUMNS($AO$1006:BN1006),$AO$1006:$BQ$1006,0))&gt;=100000), " ",IF(INDEX($AO$2:$BQ$1001,MATCH(ROWS($AH$2:AH168),$AH$2:$AH$1001,0),MATCH(COLUMNS($AO$1006:BN1006),$AO$1006:$BQ$1006,0)), HYPERLINK("#",""), HYPERLINK(CONCATENATE("#Metadata!", ADDRESS(INDEX($AJ$2:$AJ$1001,MATCH(ROWS($AH$2:AH168),$AH$2:$AH$1001,0),0), INDEX($AO$1004:$BQ$1004,1,MATCH(COLUMNS($AO$1006:BN1006),$AO$1006:$BQ$1006,0)))),"Fix")))</f>
        <v>#N/A</v>
      </c>
      <c r="AB168" s="5" t="e">
        <f ca="1">IF(OR(INDEX($AI$2:$AI$1001,MATCH(ROWS($AH$2:AH168),$AH$2:$AH$1001,0),1)&gt;=100000,INDEX($AO$1005:$BQ$1005,1,MATCH(COLUMNS($AO$1006:BO1006),$AO$1006:$BQ$1006,0))&gt;=100000), " ",IF(INDEX($AO$2:$BQ$1001,MATCH(ROWS($AH$2:AH168),$AH$2:$AH$1001,0),MATCH(COLUMNS($AO$1006:BO1006),$AO$1006:$BQ$1006,0)), HYPERLINK("#",""), HYPERLINK(CONCATENATE("#Metadata!", ADDRESS(INDEX($AJ$2:$AJ$1001,MATCH(ROWS($AH$2:AH168),$AH$2:$AH$1001,0),0), INDEX($AO$1004:$BQ$1004,1,MATCH(COLUMNS($AO$1006:BO1006),$AO$1006:$BQ$1006,0)))),"Fix")))</f>
        <v>#N/A</v>
      </c>
      <c r="AC168" s="5" t="e">
        <f ca="1">IF(OR(INDEX($AI$2:$AI$1001,MATCH(ROWS($AH$2:AH168),$AH$2:$AH$1001,0),1)&gt;=100000,INDEX($AO$1005:$BQ$1005,1,MATCH(COLUMNS($AO$1006:BP1006),$AO$1006:$BQ$1006,0))&gt;=100000), " ",IF(INDEX($AO$2:$BQ$1001,MATCH(ROWS($AH$2:AH168),$AH$2:$AH$1001,0),MATCH(COLUMNS($AO$1006:BP1006),$AO$1006:$BQ$1006,0)), HYPERLINK("#",""), HYPERLINK(CONCATENATE("#Metadata!", ADDRESS(INDEX($AJ$2:$AJ$1001,MATCH(ROWS($AH$2:AH168),$AH$2:$AH$1001,0),0), INDEX($AO$1004:$BQ$1004,1,MATCH(COLUMNS($AO$1006:BP1006),$AO$1006:$BQ$1006,0)))),"Fix")))</f>
        <v>#N/A</v>
      </c>
      <c r="AD168" s="5" t="e">
        <f ca="1">IF(OR(INDEX($AI$2:$AI$1001,MATCH(ROWS($AH$2:AH168),$AH$2:$AH$1001,0),1)&gt;=100000,INDEX($AO$1005:$BQ$1005,1,MATCH(COLUMNS($AO$1006:BQ1006),$AO$1006:$BQ$1006,0))&gt;=100000), " ",IF(INDEX($AO$2:$BQ$1001,MATCH(ROWS($AH$2:AH168),$AH$2:$AH$1001,0),MATCH(COLUMNS($AO$1006:BQ1006),$AO$1006:$BQ$1006,0)), HYPERLINK("#",""), HYPERLINK(CONCATENATE("#Metadata!", ADDRESS(INDEX($AJ$2:$AJ$1001,MATCH(ROWS($AH$2:AH168),$AH$2:$AH$1001,0),0), INDEX($AO$1004:$BQ$1004,1,MATCH(COLUMNS($AO$1006:BQ1006),$AO$1006:$BQ$1006,0)))),"Fix")))</f>
        <v>#REF!</v>
      </c>
      <c r="AH168">
        <f ca="1"/>
        <v>165</v>
      </c>
      <c r="AI168">
        <v>100168</v>
      </c>
      <c r="AJ168">
        <v>168</v>
      </c>
      <c r="AK168" t="b">
        <f t="shared" si="2"/>
        <v>1</v>
      </c>
      <c r="AL168" t="b">
        <f>COUNTBLANK(Metadata!B168:AD168)=COLUMNS(Metadata!B168:AD168)</f>
        <v>1</v>
      </c>
      <c r="AM168" t="str">
        <v/>
      </c>
      <c r="AO168" t="b">
        <f ca="1">AND(IF(Metadata!B168="",FALSE,TRUE),COUNTIF(Metadata!B:B, Metadata!B168) = 1,NOT(ISERROR(SUMPRODUCT(SEARCH(MID(Metadata!B168,ROW(INDIRECT("1:"&amp;LEN(Metadata!B168))), 1),"0123456789abcdefghijklmnopqrstuvwxyzABCDEFGHIJKLMNOPQRSTUVWXYZ.")))))</f>
        <v>0</v>
      </c>
      <c r="AP168" t="b">
        <f>IF(Metadata!C168="",FALSE,TRUE)</f>
        <v>0</v>
      </c>
      <c r="AQ168" t="b">
        <f>IF(Metadata!D168="",FALSE,TRUE)</f>
        <v>0</v>
      </c>
      <c r="AR168" t="b">
        <f ca="1">OR(AND(IF(Metadata!E168="",FALSE,TRUE),OR(EXACT(Metadata!E168,"not collected"),EXACT(Metadata!E168,"not provided"),EXACT(Metadata!E168,"restricted access"))),AND(IF(Metadata!E168="",FALSE,TRUE),AND(AND(IFERROR(INT(LEFT(Metadata!E168,4))&gt;1900,FALSE),IFERROR(INT(LEFT(Metadata!E168,4))&lt;=YEAR(NOW()),FALSE)), OR(MID(Metadata!E168,5,1)="", AND(AND(MID(Metadata!E168,5,1)="-",IFERROR(INT(MID(Metadata!E168,6,1))&gt;=0,FALSE),IFERROR(INT(MID(Metadata!E168,6,1))&lt;=1,FALSE),NOT(MID(Metadata!E168,7,1)=""),IFERROR(INT(MID(Metadata!E168,6,2))&gt;=1,FALSE),IFERROR(INT(MID(Metadata!E168,6,2))&lt;=12,FALSE)), OR(MID(Metadata!E168,8,1)="", AND(AND(MID(Metadata!E168,8,1)="-",IFERROR(INT(MID(Metadata!E168,9,1))&gt;=0,FALSE),IFERROR(INT(MID(Metadata!E168,9,1))&lt;=3,FALSE),NOT(MID(Metadata!E168,10,1)=""),IFERROR(INT(MID(Metadata!E168,9,2))&gt;=1,FALSE),IFERROR(INT(MID(Metadata!E168,9,2))&lt;=31,FALSE)), OR(MID(Metadata!E168,11,1)="", AND(AND(MID(Metadata!E168,11,1)=" ",IFERROR(INT(MID(Metadata!E168,12,1))&gt;=0,FALSE),IFERROR(INT(MID(Metadata!E168,12,1))&lt;=2,FALSE),NOT(MID(Metadata!E168,13,1)=""),IFERROR(INT(MID(Metadata!E168,12,2))&gt;=0,FALSE),IFERROR(INT(MID(Metadata!E168,12,2))&lt;=23,FALSE)), OR(MID(Metadata!E168,14,1)="", AND(AND(MID(Metadata!E168,14,1)=":",IFERROR(INT(MID(Metadata!E168,15,1))&gt;=0,FALSE),IFERROR(INT(MID(Metadata!E168,15,1))&lt;=5,FALSE),NOT(MID(Metadata!E168,16,1)=""),IFERROR(INT(MID(Metadata!E168,15,2))&gt;=0,FALSE),IFERROR(INT(MID(Metadata!E168,15,2))&lt;=59,FALSE)), OR(MID(Metadata!E168,17,1)="", AND(AND(MID(Metadata!E168,17,1)=":",IFERROR(INT(MID(Metadata!E168,18,1))&gt;=0,FALSE),IFERROR(INT(MID(Metadata!E168,18,1))&lt;=5,FALSE),NOT(MID(Metadata!E168,19,1)=""),IFERROR(INT(MID(Metadata!E168,18,2))&gt;=0,FALSE),IFERROR(INT(MID(Metadata!E168,18,2))&lt;=59,FALSE)), LEN(Metadata!E168)&lt;=19)))))))))))))</f>
        <v>0</v>
      </c>
      <c r="AS168" t="b">
        <f>IF(Metadata!F168="",FALSE,TRUE)</f>
        <v>0</v>
      </c>
      <c r="AT168" t="b">
        <f>OR(AND(IF(Metadata!G168="",FALSE,TRUE),OR(EXACT(Metadata!G168,"not collected"),EXACT(Metadata!G168,"not provided"))),AND(IF(Metadata!G168="",FALSE,TRUE),OR(EXACT(Metadata!G168,"TRUE"),EXACT(Metadata!G168,"FALSE"))))</f>
        <v>0</v>
      </c>
      <c r="AU168" t="b">
        <f>OR(AND(IF(Metadata!H168="",FALSE,TRUE),OR(EXACT(Metadata!H168,"not collected"),EXACT(Metadata!H168,"not provided"),EXACT(Metadata!H168,"restricted access"))),AND(IF(Metadata!H168="",FALSE,ISNUMBER(VALUE(Metadata!H168))),Metadata!H168&gt;=-413))</f>
        <v>0</v>
      </c>
      <c r="AV168" t="b">
        <f>AND(IF(Metadata!I168="",FALSE,TRUE),EXACT(Metadata!I168,"meters"))</f>
        <v>0</v>
      </c>
      <c r="AW168" t="b">
        <f>AND(IF(Metadata!J168="",FALSE,TRUE),EXACT(Metadata!J168,"free-living"))</f>
        <v>0</v>
      </c>
      <c r="AX168" t="b">
        <f>AND(IF(Metadata!K168="",FALSE,TRUE),OR(EXACT(Metadata!K168,"saline"),EXACT(Metadata!K168,"non-saline")))</f>
        <v>0</v>
      </c>
      <c r="AY168" t="b">
        <f>AND(IF(Metadata!L168="",FALSE,TRUE),OR(EXACT(Metadata!L168,"sub-surface (non-saline)"),EXACT(Metadata!L168,"surface (non-saline)"),EXACT(Metadata!L168,"water (non-saline)"),EXACT(Metadata!L168,"soil (non-saline)"),EXACT(Metadata!L168,"aerosol (non-saline)"),EXACT(Metadata!L168,"sediment (non-saline)"),EXACT(Metadata!L168,"surface (saline)"),EXACT(Metadata!L168,"water (saline)"),EXACT(Metadata!L168,"hypersaline (saline)"),EXACT(Metadata!L168,"aerosol (saline)"),EXACT(Metadata!L168,"sediment (saline)")))</f>
        <v>0</v>
      </c>
      <c r="AZ168" t="b">
        <f>IF(Metadata!M168="",FALSE,TRUE)</f>
        <v>0</v>
      </c>
      <c r="BA168" t="b">
        <f>IF(Metadata!N168="",FALSE,TRUE)</f>
        <v>0</v>
      </c>
      <c r="BB168" t="b">
        <f>IF(Metadata!O168="",FALSE,TRUE)</f>
        <v>0</v>
      </c>
      <c r="BC168" t="b">
        <f>AND(IF(Metadata!P168="",FALSE,TRUE),OR(EXACT(Metadata!P168,"air"),EXACT(Metadata!P168,"microbial mat/biofilm"),EXACT(Metadata!P168,"misc environment"),EXACT(Metadata!P168,"sediment"),EXACT(Metadata!P168,"soil"),EXACT(Metadata!P168,"wastewater/sludge"),EXACT(Metadata!P168,"water")))</f>
        <v>0</v>
      </c>
      <c r="BD168" t="b">
        <f>IF(Metadata!Q168="",FALSE,TRUE)</f>
        <v>0</v>
      </c>
      <c r="BE168" t="b">
        <f>IF(Metadata!R168="",FALSE,TRUE)</f>
        <v>0</v>
      </c>
      <c r="BF168" t="b">
        <f>OR(AND(IF(Metadata!S168="",FALSE,TRUE),OR(EXACT(Metadata!S168,"not collected"),EXACT(Metadata!S168,"not provided"),EXACT(Metadata!S168,"restricted access"))),AND(IF(Metadata!S168="",FALSE,ISNUMBER(VALUE(Metadata!S168))),Metadata!S168&gt;=-90,Metadata!S168&lt;=90))</f>
        <v>0</v>
      </c>
      <c r="BG168" t="b">
        <f>AND(IF(Metadata!T168="",FALSE,TRUE),EXACT(Metadata!T168,"Decimal degrees"))</f>
        <v>0</v>
      </c>
      <c r="BH168" t="b">
        <f>OR(AND(IF(Metadata!U168="",FALSE,TRUE),OR(EXACT(Metadata!U168,"not applicable"),EXACT(Metadata!U168,"not collected"))),IF(Metadata!U168="",FALSE,TRUE))</f>
        <v>0</v>
      </c>
      <c r="BI168" t="b">
        <f>OR(AND(IF(Metadata!V168="",FALSE,TRUE),OR(EXACT(Metadata!V168,"not collected"),EXACT(Metadata!V168,"not provided"),EXACT(Metadata!V168,"restricted access"))),AND(IF(Metadata!V168="",FALSE,ISNUMBER(VALUE(Metadata!V168))),Metadata!V168&gt;=-180,Metadata!V168&lt;=180))</f>
        <v>0</v>
      </c>
      <c r="BJ168" t="b">
        <f>AND(IF(Metadata!W168="",FALSE,TRUE),EXACT(Metadata!W168,"Decimal degrees"))</f>
        <v>0</v>
      </c>
      <c r="BK168" t="b">
        <f>IF(Metadata!X168="",FALSE,TRUE)</f>
        <v>0</v>
      </c>
      <c r="BL168" t="b">
        <f>OR(AND(IF(Metadata!Y168="",FALSE,TRUE),OR(EXACT(Metadata!Y168,"not collected"),EXACT(Metadata!Y168,"not provided"),EXACT(Metadata!Y168,"restricted access"))),AND(IF(Metadata!Y168="",FALSE,TRUE),OR(EXACT(Metadata!Y168,"TRUE"),EXACT(Metadata!Y168,"FALSE"))))</f>
        <v>0</v>
      </c>
      <c r="BM168" t="b">
        <f>OR(AND(IF(Metadata!Z168="",FALSE,TRUE),EXACT(Metadata!Z168,"not applicable")),AND(IF(Metadata!Z168="",FALSE,TRUE),OR(EXACT(Metadata!Z168,"beer"),EXACT(Metadata!Z168,"cheese"),EXACT(Metadata!Z168,"fresh water"),EXACT(Metadata!Z168,"marine sediment"),EXACT(Metadata!Z168,"sea water"),EXACT(Metadata!Z168,"sediment"),EXACT(Metadata!Z168,"soil"),EXACT(Metadata!Z168,"waste water"))))</f>
        <v>0</v>
      </c>
      <c r="BN168" t="b">
        <f>AND(IF(Metadata!AA168="",FALSE,TRUE),EXACT(Metadata!AA168,"metagenome"))</f>
        <v>0</v>
      </c>
      <c r="BO168" t="b">
        <f>AND(IF(Metadata!AB168="",FALSE,TRUE),EXACT(Metadata!AB168,"256318"))</f>
        <v>0</v>
      </c>
      <c r="BP168" t="b">
        <f>IF(Metadata!AC168="",FALSE,TRUE)</f>
        <v>0</v>
      </c>
      <c r="BQ168" t="b">
        <f>IF(Metadata!AD168="",FALSE,TRUE)</f>
        <v>0</v>
      </c>
    </row>
    <row r="169" spans="1:69" x14ac:dyDescent="0.2">
      <c r="A169" s="4" t="e">
        <f ca="1">IF(B169=" "," ",HYPERLINK(CONCATENATE("#metadata!",ADDRESS(INDEX($AJ$2:$AJ$1001,MATCH(ROWS($AH$2:AH169),$AH$2:$AH$1001,0),0),2)),INDEX($AM$2:$AM$1001,MATCH(ROWS($AH$2:AH169),$AH$2:$AH$1001,0),0)))</f>
        <v>#N/A</v>
      </c>
      <c r="B169" s="5" t="e">
        <f ca="1">IF(OR(INDEX($AI$2:$AI$1001,MATCH(ROWS($AH$2:AH169),$AH$2:$AH$1001,0),1)&gt;=100000,INDEX($AO$1005:$BQ$1005,1,MATCH(COLUMNS($AO$1006:AO1006),$AO$1006:$BQ$1006,0))&gt;=100000), " ",IF(INDEX($AO$2:$BQ$1001,MATCH(ROWS($AH$2:AH169),$AH$2:$AH$1001,0),MATCH(COLUMNS($AO$1006:AO1006),$AO$1006:$BQ$1006,0)), HYPERLINK("#",""), HYPERLINK(CONCATENATE("#Metadata!", ADDRESS(INDEX($AJ$2:$AJ$1001,MATCH(ROWS($AH$2:AH169),$AH$2:$AH$1001,0),0), INDEX($AO$1004:$BQ$1004,1,MATCH(COLUMNS($AO$1006:AO1006),$AO$1006:$BQ$1006,0)))),"Fix")))</f>
        <v>#N/A</v>
      </c>
      <c r="C169" s="5" t="e">
        <f ca="1">IF(OR(INDEX($AI$2:$AI$1001,MATCH(ROWS($AH$2:AH169),$AH$2:$AH$1001,0),1)&gt;=100000,INDEX($AO$1005:$BQ$1005,1,MATCH(COLUMNS($AO$1006:AP1006),$AO$1006:$BQ$1006,0))&gt;=100000), " ",IF(INDEX($AO$2:$BQ$1001,MATCH(ROWS($AH$2:AH169),$AH$2:$AH$1001,0),MATCH(COLUMNS($AO$1006:AP1006),$AO$1006:$BQ$1006,0)), HYPERLINK("#",""), HYPERLINK(CONCATENATE("#Metadata!", ADDRESS(INDEX($AJ$2:$AJ$1001,MATCH(ROWS($AH$2:AH169),$AH$2:$AH$1001,0),0), INDEX($AO$1004:$BQ$1004,1,MATCH(COLUMNS($AO$1006:AP1006),$AO$1006:$BQ$1006,0)))),"Fix")))</f>
        <v>#N/A</v>
      </c>
      <c r="D169" s="5" t="e">
        <f ca="1">IF(OR(INDEX($AI$2:$AI$1001,MATCH(ROWS($AH$2:AH169),$AH$2:$AH$1001,0),1)&gt;=100000,INDEX($AO$1005:$BQ$1005,1,MATCH(COLUMNS($AO$1006:AQ1006),$AO$1006:$BQ$1006,0))&gt;=100000), " ",IF(INDEX($AO$2:$BQ$1001,MATCH(ROWS($AH$2:AH169),$AH$2:$AH$1001,0),MATCH(COLUMNS($AO$1006:AQ1006),$AO$1006:$BQ$1006,0)), HYPERLINK("#",""), HYPERLINK(CONCATENATE("#Metadata!", ADDRESS(INDEX($AJ$2:$AJ$1001,MATCH(ROWS($AH$2:AH169),$AH$2:$AH$1001,0),0), INDEX($AO$1004:$BQ$1004,1,MATCH(COLUMNS($AO$1006:AQ1006),$AO$1006:$BQ$1006,0)))),"Fix")))</f>
        <v>#N/A</v>
      </c>
      <c r="E169" s="5" t="e">
        <f ca="1">IF(OR(INDEX($AI$2:$AI$1001,MATCH(ROWS($AH$2:AH169),$AH$2:$AH$1001,0),1)&gt;=100000,INDEX($AO$1005:$BQ$1005,1,MATCH(COLUMNS($AO$1006:AR1006),$AO$1006:$BQ$1006,0))&gt;=100000), " ",IF(INDEX($AO$2:$BQ$1001,MATCH(ROWS($AH$2:AH169),$AH$2:$AH$1001,0),MATCH(COLUMNS($AO$1006:AR1006),$AO$1006:$BQ$1006,0)), HYPERLINK("#",""), HYPERLINK(CONCATENATE("#Metadata!", ADDRESS(INDEX($AJ$2:$AJ$1001,MATCH(ROWS($AH$2:AH169),$AH$2:$AH$1001,0),0), INDEX($AO$1004:$BQ$1004,1,MATCH(COLUMNS($AO$1006:AR1006),$AO$1006:$BQ$1006,0)))),"Fix")))</f>
        <v>#N/A</v>
      </c>
      <c r="F169" s="5" t="e">
        <f ca="1">IF(OR(INDEX($AI$2:$AI$1001,MATCH(ROWS($AH$2:AH169),$AH$2:$AH$1001,0),1)&gt;=100000,INDEX($AO$1005:$BQ$1005,1,MATCH(COLUMNS($AO$1006:AS1006),$AO$1006:$BQ$1006,0))&gt;=100000), " ",IF(INDEX($AO$2:$BQ$1001,MATCH(ROWS($AH$2:AH169),$AH$2:$AH$1001,0),MATCH(COLUMNS($AO$1006:AS1006),$AO$1006:$BQ$1006,0)), HYPERLINK("#",""), HYPERLINK(CONCATENATE("#Metadata!", ADDRESS(INDEX($AJ$2:$AJ$1001,MATCH(ROWS($AH$2:AH169),$AH$2:$AH$1001,0),0), INDEX($AO$1004:$BQ$1004,1,MATCH(COLUMNS($AO$1006:AS1006),$AO$1006:$BQ$1006,0)))),"Fix")))</f>
        <v>#N/A</v>
      </c>
      <c r="G169" s="5" t="e">
        <f ca="1">IF(OR(INDEX($AI$2:$AI$1001,MATCH(ROWS($AH$2:AH169),$AH$2:$AH$1001,0),1)&gt;=100000,INDEX($AO$1005:$BQ$1005,1,MATCH(COLUMNS($AO$1006:AT1006),$AO$1006:$BQ$1006,0))&gt;=100000), " ",IF(INDEX($AO$2:$BQ$1001,MATCH(ROWS($AH$2:AH169),$AH$2:$AH$1001,0),MATCH(COLUMNS($AO$1006:AT1006),$AO$1006:$BQ$1006,0)), HYPERLINK("#",""), HYPERLINK(CONCATENATE("#Metadata!", ADDRESS(INDEX($AJ$2:$AJ$1001,MATCH(ROWS($AH$2:AH169),$AH$2:$AH$1001,0),0), INDEX($AO$1004:$BQ$1004,1,MATCH(COLUMNS($AO$1006:AT1006),$AO$1006:$BQ$1006,0)))),"Fix")))</f>
        <v>#N/A</v>
      </c>
      <c r="H169" s="5" t="e">
        <f ca="1">IF(OR(INDEX($AI$2:$AI$1001,MATCH(ROWS($AH$2:AH169),$AH$2:$AH$1001,0),1)&gt;=100000,INDEX($AO$1005:$BQ$1005,1,MATCH(COLUMNS($AO$1006:AU1006),$AO$1006:$BQ$1006,0))&gt;=100000), " ",IF(INDEX($AO$2:$BQ$1001,MATCH(ROWS($AH$2:AH169),$AH$2:$AH$1001,0),MATCH(COLUMNS($AO$1006:AU1006),$AO$1006:$BQ$1006,0)), HYPERLINK("#",""), HYPERLINK(CONCATENATE("#Metadata!", ADDRESS(INDEX($AJ$2:$AJ$1001,MATCH(ROWS($AH$2:AH169),$AH$2:$AH$1001,0),0), INDEX($AO$1004:$BQ$1004,1,MATCH(COLUMNS($AO$1006:AU1006),$AO$1006:$BQ$1006,0)))),"Fix")))</f>
        <v>#N/A</v>
      </c>
      <c r="I169" s="5" t="e">
        <f ca="1">IF(OR(INDEX($AI$2:$AI$1001,MATCH(ROWS($AH$2:AH169),$AH$2:$AH$1001,0),1)&gt;=100000,INDEX($AO$1005:$BQ$1005,1,MATCH(COLUMNS($AO$1006:AV1006),$AO$1006:$BQ$1006,0))&gt;=100000), " ",IF(INDEX($AO$2:$BQ$1001,MATCH(ROWS($AH$2:AH169),$AH$2:$AH$1001,0),MATCH(COLUMNS($AO$1006:AV1006),$AO$1006:$BQ$1006,0)), HYPERLINK("#",""), HYPERLINK(CONCATENATE("#Metadata!", ADDRESS(INDEX($AJ$2:$AJ$1001,MATCH(ROWS($AH$2:AH169),$AH$2:$AH$1001,0),0), INDEX($AO$1004:$BQ$1004,1,MATCH(COLUMNS($AO$1006:AV1006),$AO$1006:$BQ$1006,0)))),"Fix")))</f>
        <v>#N/A</v>
      </c>
      <c r="J169" s="5" t="e">
        <f ca="1">IF(OR(INDEX($AI$2:$AI$1001,MATCH(ROWS($AH$2:AH169),$AH$2:$AH$1001,0),1)&gt;=100000,INDEX($AO$1005:$BQ$1005,1,MATCH(COLUMNS($AO$1006:AW1006),$AO$1006:$BQ$1006,0))&gt;=100000), " ",IF(INDEX($AO$2:$BQ$1001,MATCH(ROWS($AH$2:AH169),$AH$2:$AH$1001,0),MATCH(COLUMNS($AO$1006:AW1006),$AO$1006:$BQ$1006,0)), HYPERLINK("#",""), HYPERLINK(CONCATENATE("#Metadata!", ADDRESS(INDEX($AJ$2:$AJ$1001,MATCH(ROWS($AH$2:AH169),$AH$2:$AH$1001,0),0), INDEX($AO$1004:$BQ$1004,1,MATCH(COLUMNS($AO$1006:AW1006),$AO$1006:$BQ$1006,0)))),"Fix")))</f>
        <v>#N/A</v>
      </c>
      <c r="K169" s="5" t="e">
        <f ca="1">IF(OR(INDEX($AI$2:$AI$1001,MATCH(ROWS($AH$2:AH169),$AH$2:$AH$1001,0),1)&gt;=100000,INDEX($AO$1005:$BQ$1005,1,MATCH(COLUMNS($AO$1006:AX1006),$AO$1006:$BQ$1006,0))&gt;=100000), " ",IF(INDEX($AO$2:$BQ$1001,MATCH(ROWS($AH$2:AH169),$AH$2:$AH$1001,0),MATCH(COLUMNS($AO$1006:AX1006),$AO$1006:$BQ$1006,0)), HYPERLINK("#",""), HYPERLINK(CONCATENATE("#Metadata!", ADDRESS(INDEX($AJ$2:$AJ$1001,MATCH(ROWS($AH$2:AH169),$AH$2:$AH$1001,0),0), INDEX($AO$1004:$BQ$1004,1,MATCH(COLUMNS($AO$1006:AX1006),$AO$1006:$BQ$1006,0)))),"Fix")))</f>
        <v>#N/A</v>
      </c>
      <c r="L169" s="5" t="e">
        <f ca="1">IF(OR(INDEX($AI$2:$AI$1001,MATCH(ROWS($AH$2:AH169),$AH$2:$AH$1001,0),1)&gt;=100000,INDEX($AO$1005:$BQ$1005,1,MATCH(COLUMNS($AO$1006:AY1006),$AO$1006:$BQ$1006,0))&gt;=100000), " ",IF(INDEX($AO$2:$BQ$1001,MATCH(ROWS($AH$2:AH169),$AH$2:$AH$1001,0),MATCH(COLUMNS($AO$1006:AY1006),$AO$1006:$BQ$1006,0)), HYPERLINK("#",""), HYPERLINK(CONCATENATE("#Metadata!", ADDRESS(INDEX($AJ$2:$AJ$1001,MATCH(ROWS($AH$2:AH169),$AH$2:$AH$1001,0),0), INDEX($AO$1004:$BQ$1004,1,MATCH(COLUMNS($AO$1006:AY1006),$AO$1006:$BQ$1006,0)))),"Fix")))</f>
        <v>#N/A</v>
      </c>
      <c r="M169" s="5" t="e">
        <f ca="1">IF(OR(INDEX($AI$2:$AI$1001,MATCH(ROWS($AH$2:AH169),$AH$2:$AH$1001,0),1)&gt;=100000,INDEX($AO$1005:$BQ$1005,1,MATCH(COLUMNS($AO$1006:AZ1006),$AO$1006:$BQ$1006,0))&gt;=100000), " ",IF(INDEX($AO$2:$BQ$1001,MATCH(ROWS($AH$2:AH169),$AH$2:$AH$1001,0),MATCH(COLUMNS($AO$1006:AZ1006),$AO$1006:$BQ$1006,0)), HYPERLINK("#",""), HYPERLINK(CONCATENATE("#Metadata!", ADDRESS(INDEX($AJ$2:$AJ$1001,MATCH(ROWS($AH$2:AH169),$AH$2:$AH$1001,0),0), INDEX($AO$1004:$BQ$1004,1,MATCH(COLUMNS($AO$1006:AZ1006),$AO$1006:$BQ$1006,0)))),"Fix")))</f>
        <v>#N/A</v>
      </c>
      <c r="N169" s="5" t="e">
        <f ca="1">IF(OR(INDEX($AI$2:$AI$1001,MATCH(ROWS($AH$2:AH169),$AH$2:$AH$1001,0),1)&gt;=100000,INDEX($AO$1005:$BQ$1005,1,MATCH(COLUMNS($AO$1006:BA1006),$AO$1006:$BQ$1006,0))&gt;=100000), " ",IF(INDEX($AO$2:$BQ$1001,MATCH(ROWS($AH$2:AH169),$AH$2:$AH$1001,0),MATCH(COLUMNS($AO$1006:BA1006),$AO$1006:$BQ$1006,0)), HYPERLINK("#",""), HYPERLINK(CONCATENATE("#Metadata!", ADDRESS(INDEX($AJ$2:$AJ$1001,MATCH(ROWS($AH$2:AH169),$AH$2:$AH$1001,0),0), INDEX($AO$1004:$BQ$1004,1,MATCH(COLUMNS($AO$1006:BA1006),$AO$1006:$BQ$1006,0)))),"Fix")))</f>
        <v>#N/A</v>
      </c>
      <c r="O169" s="5" t="e">
        <f ca="1">IF(OR(INDEX($AI$2:$AI$1001,MATCH(ROWS($AH$2:AH169),$AH$2:$AH$1001,0),1)&gt;=100000,INDEX($AO$1005:$BQ$1005,1,MATCH(COLUMNS($AO$1006:BB1006),$AO$1006:$BQ$1006,0))&gt;=100000), " ",IF(INDEX($AO$2:$BQ$1001,MATCH(ROWS($AH$2:AH169),$AH$2:$AH$1001,0),MATCH(COLUMNS($AO$1006:BB1006),$AO$1006:$BQ$1006,0)), HYPERLINK("#",""), HYPERLINK(CONCATENATE("#Metadata!", ADDRESS(INDEX($AJ$2:$AJ$1001,MATCH(ROWS($AH$2:AH169),$AH$2:$AH$1001,0),0), INDEX($AO$1004:$BQ$1004,1,MATCH(COLUMNS($AO$1006:BB1006),$AO$1006:$BQ$1006,0)))),"Fix")))</f>
        <v>#N/A</v>
      </c>
      <c r="P169" s="5" t="e">
        <f ca="1">IF(OR(INDEX($AI$2:$AI$1001,MATCH(ROWS($AH$2:AH169),$AH$2:$AH$1001,0),1)&gt;=100000,INDEX($AO$1005:$BQ$1005,1,MATCH(COLUMNS($AO$1006:BC1006),$AO$1006:$BQ$1006,0))&gt;=100000), " ",IF(INDEX($AO$2:$BQ$1001,MATCH(ROWS($AH$2:AH169),$AH$2:$AH$1001,0),MATCH(COLUMNS($AO$1006:BC1006),$AO$1006:$BQ$1006,0)), HYPERLINK("#",""), HYPERLINK(CONCATENATE("#Metadata!", ADDRESS(INDEX($AJ$2:$AJ$1001,MATCH(ROWS($AH$2:AH169),$AH$2:$AH$1001,0),0), INDEX($AO$1004:$BQ$1004,1,MATCH(COLUMNS($AO$1006:BC1006),$AO$1006:$BQ$1006,0)))),"Fix")))</f>
        <v>#N/A</v>
      </c>
      <c r="Q169" s="5" t="e">
        <f ca="1">IF(OR(INDEX($AI$2:$AI$1001,MATCH(ROWS($AH$2:AH169),$AH$2:$AH$1001,0),1)&gt;=100000,INDEX($AO$1005:$BQ$1005,1,MATCH(COLUMNS($AO$1006:BD1006),$AO$1006:$BQ$1006,0))&gt;=100000), " ",IF(INDEX($AO$2:$BQ$1001,MATCH(ROWS($AH$2:AH169),$AH$2:$AH$1001,0),MATCH(COLUMNS($AO$1006:BD1006),$AO$1006:$BQ$1006,0)), HYPERLINK("#",""), HYPERLINK(CONCATENATE("#Metadata!", ADDRESS(INDEX($AJ$2:$AJ$1001,MATCH(ROWS($AH$2:AH169),$AH$2:$AH$1001,0),0), INDEX($AO$1004:$BQ$1004,1,MATCH(COLUMNS($AO$1006:BD1006),$AO$1006:$BQ$1006,0)))),"Fix")))</f>
        <v>#N/A</v>
      </c>
      <c r="R169" s="5" t="e">
        <f ca="1">IF(OR(INDEX($AI$2:$AI$1001,MATCH(ROWS($AH$2:AH169),$AH$2:$AH$1001,0),1)&gt;=100000,INDEX($AO$1005:$BQ$1005,1,MATCH(COLUMNS($AO$1006:BE1006),$AO$1006:$BQ$1006,0))&gt;=100000), " ",IF(INDEX($AO$2:$BQ$1001,MATCH(ROWS($AH$2:AH169),$AH$2:$AH$1001,0),MATCH(COLUMNS($AO$1006:BE1006),$AO$1006:$BQ$1006,0)), HYPERLINK("#",""), HYPERLINK(CONCATENATE("#Metadata!", ADDRESS(INDEX($AJ$2:$AJ$1001,MATCH(ROWS($AH$2:AH169),$AH$2:$AH$1001,0),0), INDEX($AO$1004:$BQ$1004,1,MATCH(COLUMNS($AO$1006:BE1006),$AO$1006:$BQ$1006,0)))),"Fix")))</f>
        <v>#N/A</v>
      </c>
      <c r="S169" s="5" t="e">
        <f ca="1">IF(OR(INDEX($AI$2:$AI$1001,MATCH(ROWS($AH$2:AH169),$AH$2:$AH$1001,0),1)&gt;=100000,INDEX($AO$1005:$BQ$1005,1,MATCH(COLUMNS($AO$1006:BF1006),$AO$1006:$BQ$1006,0))&gt;=100000), " ",IF(INDEX($AO$2:$BQ$1001,MATCH(ROWS($AH$2:AH169),$AH$2:$AH$1001,0),MATCH(COLUMNS($AO$1006:BF1006),$AO$1006:$BQ$1006,0)), HYPERLINK("#",""), HYPERLINK(CONCATENATE("#Metadata!", ADDRESS(INDEX($AJ$2:$AJ$1001,MATCH(ROWS($AH$2:AH169),$AH$2:$AH$1001,0),0), INDEX($AO$1004:$BQ$1004,1,MATCH(COLUMNS($AO$1006:BF1006),$AO$1006:$BQ$1006,0)))),"Fix")))</f>
        <v>#N/A</v>
      </c>
      <c r="T169" s="5" t="e">
        <f ca="1">IF(OR(INDEX($AI$2:$AI$1001,MATCH(ROWS($AH$2:AH169),$AH$2:$AH$1001,0),1)&gt;=100000,INDEX($AO$1005:$BQ$1005,1,MATCH(COLUMNS($AO$1006:BG1006),$AO$1006:$BQ$1006,0))&gt;=100000), " ",IF(INDEX($AO$2:$BQ$1001,MATCH(ROWS($AH$2:AH169),$AH$2:$AH$1001,0),MATCH(COLUMNS($AO$1006:BG1006),$AO$1006:$BQ$1006,0)), HYPERLINK("#",""), HYPERLINK(CONCATENATE("#Metadata!", ADDRESS(INDEX($AJ$2:$AJ$1001,MATCH(ROWS($AH$2:AH169),$AH$2:$AH$1001,0),0), INDEX($AO$1004:$BQ$1004,1,MATCH(COLUMNS($AO$1006:BG1006),$AO$1006:$BQ$1006,0)))),"Fix")))</f>
        <v>#N/A</v>
      </c>
      <c r="U169" s="5" t="e">
        <f ca="1">IF(OR(INDEX($AI$2:$AI$1001,MATCH(ROWS($AH$2:AH169),$AH$2:$AH$1001,0),1)&gt;=100000,INDEX($AO$1005:$BQ$1005,1,MATCH(COLUMNS($AO$1006:BH1006),$AO$1006:$BQ$1006,0))&gt;=100000), " ",IF(INDEX($AO$2:$BQ$1001,MATCH(ROWS($AH$2:AH169),$AH$2:$AH$1001,0),MATCH(COLUMNS($AO$1006:BH1006),$AO$1006:$BQ$1006,0)), HYPERLINK("#",""), HYPERLINK(CONCATENATE("#Metadata!", ADDRESS(INDEX($AJ$2:$AJ$1001,MATCH(ROWS($AH$2:AH169),$AH$2:$AH$1001,0),0), INDEX($AO$1004:$BQ$1004,1,MATCH(COLUMNS($AO$1006:BH1006),$AO$1006:$BQ$1006,0)))),"Fix")))</f>
        <v>#N/A</v>
      </c>
      <c r="V169" s="5" t="e">
        <f ca="1">IF(OR(INDEX($AI$2:$AI$1001,MATCH(ROWS($AH$2:AH169),$AH$2:$AH$1001,0),1)&gt;=100000,INDEX($AO$1005:$BQ$1005,1,MATCH(COLUMNS($AO$1006:BI1006),$AO$1006:$BQ$1006,0))&gt;=100000), " ",IF(INDEX($AO$2:$BQ$1001,MATCH(ROWS($AH$2:AH169),$AH$2:$AH$1001,0),MATCH(COLUMNS($AO$1006:BI1006),$AO$1006:$BQ$1006,0)), HYPERLINK("#",""), HYPERLINK(CONCATENATE("#Metadata!", ADDRESS(INDEX($AJ$2:$AJ$1001,MATCH(ROWS($AH$2:AH169),$AH$2:$AH$1001,0),0), INDEX($AO$1004:$BQ$1004,1,MATCH(COLUMNS($AO$1006:BI1006),$AO$1006:$BQ$1006,0)))),"Fix")))</f>
        <v>#N/A</v>
      </c>
      <c r="W169" s="5" t="e">
        <f ca="1">IF(OR(INDEX($AI$2:$AI$1001,MATCH(ROWS($AH$2:AH169),$AH$2:$AH$1001,0),1)&gt;=100000,INDEX($AO$1005:$BQ$1005,1,MATCH(COLUMNS($AO$1006:BJ1006),$AO$1006:$BQ$1006,0))&gt;=100000), " ",IF(INDEX($AO$2:$BQ$1001,MATCH(ROWS($AH$2:AH169),$AH$2:$AH$1001,0),MATCH(COLUMNS($AO$1006:BJ1006),$AO$1006:$BQ$1006,0)), HYPERLINK("#",""), HYPERLINK(CONCATENATE("#Metadata!", ADDRESS(INDEX($AJ$2:$AJ$1001,MATCH(ROWS($AH$2:AH169),$AH$2:$AH$1001,0),0), INDEX($AO$1004:$BQ$1004,1,MATCH(COLUMNS($AO$1006:BJ1006),$AO$1006:$BQ$1006,0)))),"Fix")))</f>
        <v>#N/A</v>
      </c>
      <c r="X169" s="5" t="e">
        <f ca="1">IF(OR(INDEX($AI$2:$AI$1001,MATCH(ROWS($AH$2:AH169),$AH$2:$AH$1001,0),1)&gt;=100000,INDEX($AO$1005:$BQ$1005,1,MATCH(COLUMNS($AO$1006:BK1006),$AO$1006:$BQ$1006,0))&gt;=100000), " ",IF(INDEX($AO$2:$BQ$1001,MATCH(ROWS($AH$2:AH169),$AH$2:$AH$1001,0),MATCH(COLUMNS($AO$1006:BK1006),$AO$1006:$BQ$1006,0)), HYPERLINK("#",""), HYPERLINK(CONCATENATE("#Metadata!", ADDRESS(INDEX($AJ$2:$AJ$1001,MATCH(ROWS($AH$2:AH169),$AH$2:$AH$1001,0),0), INDEX($AO$1004:$BQ$1004,1,MATCH(COLUMNS($AO$1006:BK1006),$AO$1006:$BQ$1006,0)))),"Fix")))</f>
        <v>#N/A</v>
      </c>
      <c r="Y169" s="5" t="e">
        <f ca="1">IF(OR(INDEX($AI$2:$AI$1001,MATCH(ROWS($AH$2:AH169),$AH$2:$AH$1001,0),1)&gt;=100000,INDEX($AO$1005:$BQ$1005,1,MATCH(COLUMNS($AO$1006:BL1006),$AO$1006:$BQ$1006,0))&gt;=100000), " ",IF(INDEX($AO$2:$BQ$1001,MATCH(ROWS($AH$2:AH169),$AH$2:$AH$1001,0),MATCH(COLUMNS($AO$1006:BL1006),$AO$1006:$BQ$1006,0)), HYPERLINK("#",""), HYPERLINK(CONCATENATE("#Metadata!", ADDRESS(INDEX($AJ$2:$AJ$1001,MATCH(ROWS($AH$2:AH169),$AH$2:$AH$1001,0),0), INDEX($AO$1004:$BQ$1004,1,MATCH(COLUMNS($AO$1006:BL1006),$AO$1006:$BQ$1006,0)))),"Fix")))</f>
        <v>#N/A</v>
      </c>
      <c r="Z169" s="5" t="e">
        <f ca="1">IF(OR(INDEX($AI$2:$AI$1001,MATCH(ROWS($AH$2:AH169),$AH$2:$AH$1001,0),1)&gt;=100000,INDEX($AO$1005:$BQ$1005,1,MATCH(COLUMNS($AO$1006:BM1006),$AO$1006:$BQ$1006,0))&gt;=100000), " ",IF(INDEX($AO$2:$BQ$1001,MATCH(ROWS($AH$2:AH169),$AH$2:$AH$1001,0),MATCH(COLUMNS($AO$1006:BM1006),$AO$1006:$BQ$1006,0)), HYPERLINK("#",""), HYPERLINK(CONCATENATE("#Metadata!", ADDRESS(INDEX($AJ$2:$AJ$1001,MATCH(ROWS($AH$2:AH169),$AH$2:$AH$1001,0),0), INDEX($AO$1004:$BQ$1004,1,MATCH(COLUMNS($AO$1006:BM1006),$AO$1006:$BQ$1006,0)))),"Fix")))</f>
        <v>#N/A</v>
      </c>
      <c r="AA169" s="5" t="e">
        <f ca="1">IF(OR(INDEX($AI$2:$AI$1001,MATCH(ROWS($AH$2:AH169),$AH$2:$AH$1001,0),1)&gt;=100000,INDEX($AO$1005:$BQ$1005,1,MATCH(COLUMNS($AO$1006:BN1006),$AO$1006:$BQ$1006,0))&gt;=100000), " ",IF(INDEX($AO$2:$BQ$1001,MATCH(ROWS($AH$2:AH169),$AH$2:$AH$1001,0),MATCH(COLUMNS($AO$1006:BN1006),$AO$1006:$BQ$1006,0)), HYPERLINK("#",""), HYPERLINK(CONCATENATE("#Metadata!", ADDRESS(INDEX($AJ$2:$AJ$1001,MATCH(ROWS($AH$2:AH169),$AH$2:$AH$1001,0),0), INDEX($AO$1004:$BQ$1004,1,MATCH(COLUMNS($AO$1006:BN1006),$AO$1006:$BQ$1006,0)))),"Fix")))</f>
        <v>#N/A</v>
      </c>
      <c r="AB169" s="5" t="e">
        <f ca="1">IF(OR(INDEX($AI$2:$AI$1001,MATCH(ROWS($AH$2:AH169),$AH$2:$AH$1001,0),1)&gt;=100000,INDEX($AO$1005:$BQ$1005,1,MATCH(COLUMNS($AO$1006:BO1006),$AO$1006:$BQ$1006,0))&gt;=100000), " ",IF(INDEX($AO$2:$BQ$1001,MATCH(ROWS($AH$2:AH169),$AH$2:$AH$1001,0),MATCH(COLUMNS($AO$1006:BO1006),$AO$1006:$BQ$1006,0)), HYPERLINK("#",""), HYPERLINK(CONCATENATE("#Metadata!", ADDRESS(INDEX($AJ$2:$AJ$1001,MATCH(ROWS($AH$2:AH169),$AH$2:$AH$1001,0),0), INDEX($AO$1004:$BQ$1004,1,MATCH(COLUMNS($AO$1006:BO1006),$AO$1006:$BQ$1006,0)))),"Fix")))</f>
        <v>#N/A</v>
      </c>
      <c r="AC169" s="5" t="e">
        <f ca="1">IF(OR(INDEX($AI$2:$AI$1001,MATCH(ROWS($AH$2:AH169),$AH$2:$AH$1001,0),1)&gt;=100000,INDEX($AO$1005:$BQ$1005,1,MATCH(COLUMNS($AO$1006:BP1006),$AO$1006:$BQ$1006,0))&gt;=100000), " ",IF(INDEX($AO$2:$BQ$1001,MATCH(ROWS($AH$2:AH169),$AH$2:$AH$1001,0),MATCH(COLUMNS($AO$1006:BP1006),$AO$1006:$BQ$1006,0)), HYPERLINK("#",""), HYPERLINK(CONCATENATE("#Metadata!", ADDRESS(INDEX($AJ$2:$AJ$1001,MATCH(ROWS($AH$2:AH169),$AH$2:$AH$1001,0),0), INDEX($AO$1004:$BQ$1004,1,MATCH(COLUMNS($AO$1006:BP1006),$AO$1006:$BQ$1006,0)))),"Fix")))</f>
        <v>#N/A</v>
      </c>
      <c r="AD169" s="5" t="e">
        <f ca="1">IF(OR(INDEX($AI$2:$AI$1001,MATCH(ROWS($AH$2:AH169),$AH$2:$AH$1001,0),1)&gt;=100000,INDEX($AO$1005:$BQ$1005,1,MATCH(COLUMNS($AO$1006:BQ1006),$AO$1006:$BQ$1006,0))&gt;=100000), " ",IF(INDEX($AO$2:$BQ$1001,MATCH(ROWS($AH$2:AH169),$AH$2:$AH$1001,0),MATCH(COLUMNS($AO$1006:BQ1006),$AO$1006:$BQ$1006,0)), HYPERLINK("#",""), HYPERLINK(CONCATENATE("#Metadata!", ADDRESS(INDEX($AJ$2:$AJ$1001,MATCH(ROWS($AH$2:AH169),$AH$2:$AH$1001,0),0), INDEX($AO$1004:$BQ$1004,1,MATCH(COLUMNS($AO$1006:BQ1006),$AO$1006:$BQ$1006,0)))),"Fix")))</f>
        <v>#REF!</v>
      </c>
      <c r="AH169">
        <f ca="1"/>
        <v>166</v>
      </c>
      <c r="AI169">
        <v>100169</v>
      </c>
      <c r="AJ169">
        <v>169</v>
      </c>
      <c r="AK169" t="b">
        <f t="shared" si="2"/>
        <v>1</v>
      </c>
      <c r="AL169" t="b">
        <f>COUNTBLANK(Metadata!B169:AD169)=COLUMNS(Metadata!B169:AD169)</f>
        <v>1</v>
      </c>
      <c r="AM169" t="str">
        <v/>
      </c>
      <c r="AO169" t="b">
        <f ca="1">AND(IF(Metadata!B169="",FALSE,TRUE),COUNTIF(Metadata!B:B, Metadata!B169) = 1,NOT(ISERROR(SUMPRODUCT(SEARCH(MID(Metadata!B169,ROW(INDIRECT("1:"&amp;LEN(Metadata!B169))), 1),"0123456789abcdefghijklmnopqrstuvwxyzABCDEFGHIJKLMNOPQRSTUVWXYZ.")))))</f>
        <v>0</v>
      </c>
      <c r="AP169" t="b">
        <f>IF(Metadata!C169="",FALSE,TRUE)</f>
        <v>0</v>
      </c>
      <c r="AQ169" t="b">
        <f>IF(Metadata!D169="",FALSE,TRUE)</f>
        <v>0</v>
      </c>
      <c r="AR169" t="b">
        <f ca="1">OR(AND(IF(Metadata!E169="",FALSE,TRUE),OR(EXACT(Metadata!E169,"not collected"),EXACT(Metadata!E169,"not provided"),EXACT(Metadata!E169,"restricted access"))),AND(IF(Metadata!E169="",FALSE,TRUE),AND(AND(IFERROR(INT(LEFT(Metadata!E169,4))&gt;1900,FALSE),IFERROR(INT(LEFT(Metadata!E169,4))&lt;=YEAR(NOW()),FALSE)), OR(MID(Metadata!E169,5,1)="", AND(AND(MID(Metadata!E169,5,1)="-",IFERROR(INT(MID(Metadata!E169,6,1))&gt;=0,FALSE),IFERROR(INT(MID(Metadata!E169,6,1))&lt;=1,FALSE),NOT(MID(Metadata!E169,7,1)=""),IFERROR(INT(MID(Metadata!E169,6,2))&gt;=1,FALSE),IFERROR(INT(MID(Metadata!E169,6,2))&lt;=12,FALSE)), OR(MID(Metadata!E169,8,1)="", AND(AND(MID(Metadata!E169,8,1)="-",IFERROR(INT(MID(Metadata!E169,9,1))&gt;=0,FALSE),IFERROR(INT(MID(Metadata!E169,9,1))&lt;=3,FALSE),NOT(MID(Metadata!E169,10,1)=""),IFERROR(INT(MID(Metadata!E169,9,2))&gt;=1,FALSE),IFERROR(INT(MID(Metadata!E169,9,2))&lt;=31,FALSE)), OR(MID(Metadata!E169,11,1)="", AND(AND(MID(Metadata!E169,11,1)=" ",IFERROR(INT(MID(Metadata!E169,12,1))&gt;=0,FALSE),IFERROR(INT(MID(Metadata!E169,12,1))&lt;=2,FALSE),NOT(MID(Metadata!E169,13,1)=""),IFERROR(INT(MID(Metadata!E169,12,2))&gt;=0,FALSE),IFERROR(INT(MID(Metadata!E169,12,2))&lt;=23,FALSE)), OR(MID(Metadata!E169,14,1)="", AND(AND(MID(Metadata!E169,14,1)=":",IFERROR(INT(MID(Metadata!E169,15,1))&gt;=0,FALSE),IFERROR(INT(MID(Metadata!E169,15,1))&lt;=5,FALSE),NOT(MID(Metadata!E169,16,1)=""),IFERROR(INT(MID(Metadata!E169,15,2))&gt;=0,FALSE),IFERROR(INT(MID(Metadata!E169,15,2))&lt;=59,FALSE)), OR(MID(Metadata!E169,17,1)="", AND(AND(MID(Metadata!E169,17,1)=":",IFERROR(INT(MID(Metadata!E169,18,1))&gt;=0,FALSE),IFERROR(INT(MID(Metadata!E169,18,1))&lt;=5,FALSE),NOT(MID(Metadata!E169,19,1)=""),IFERROR(INT(MID(Metadata!E169,18,2))&gt;=0,FALSE),IFERROR(INT(MID(Metadata!E169,18,2))&lt;=59,FALSE)), LEN(Metadata!E169)&lt;=19)))))))))))))</f>
        <v>0</v>
      </c>
      <c r="AS169" t="b">
        <f>IF(Metadata!F169="",FALSE,TRUE)</f>
        <v>0</v>
      </c>
      <c r="AT169" t="b">
        <f>OR(AND(IF(Metadata!G169="",FALSE,TRUE),OR(EXACT(Metadata!G169,"not collected"),EXACT(Metadata!G169,"not provided"))),AND(IF(Metadata!G169="",FALSE,TRUE),OR(EXACT(Metadata!G169,"TRUE"),EXACT(Metadata!G169,"FALSE"))))</f>
        <v>0</v>
      </c>
      <c r="AU169" t="b">
        <f>OR(AND(IF(Metadata!H169="",FALSE,TRUE),OR(EXACT(Metadata!H169,"not collected"),EXACT(Metadata!H169,"not provided"),EXACT(Metadata!H169,"restricted access"))),AND(IF(Metadata!H169="",FALSE,ISNUMBER(VALUE(Metadata!H169))),Metadata!H169&gt;=-413))</f>
        <v>0</v>
      </c>
      <c r="AV169" t="b">
        <f>AND(IF(Metadata!I169="",FALSE,TRUE),EXACT(Metadata!I169,"meters"))</f>
        <v>0</v>
      </c>
      <c r="AW169" t="b">
        <f>AND(IF(Metadata!J169="",FALSE,TRUE),EXACT(Metadata!J169,"free-living"))</f>
        <v>0</v>
      </c>
      <c r="AX169" t="b">
        <f>AND(IF(Metadata!K169="",FALSE,TRUE),OR(EXACT(Metadata!K169,"saline"),EXACT(Metadata!K169,"non-saline")))</f>
        <v>0</v>
      </c>
      <c r="AY169" t="b">
        <f>AND(IF(Metadata!L169="",FALSE,TRUE),OR(EXACT(Metadata!L169,"sub-surface (non-saline)"),EXACT(Metadata!L169,"surface (non-saline)"),EXACT(Metadata!L169,"water (non-saline)"),EXACT(Metadata!L169,"soil (non-saline)"),EXACT(Metadata!L169,"aerosol (non-saline)"),EXACT(Metadata!L169,"sediment (non-saline)"),EXACT(Metadata!L169,"surface (saline)"),EXACT(Metadata!L169,"water (saline)"),EXACT(Metadata!L169,"hypersaline (saline)"),EXACT(Metadata!L169,"aerosol (saline)"),EXACT(Metadata!L169,"sediment (saline)")))</f>
        <v>0</v>
      </c>
      <c r="AZ169" t="b">
        <f>IF(Metadata!M169="",FALSE,TRUE)</f>
        <v>0</v>
      </c>
      <c r="BA169" t="b">
        <f>IF(Metadata!N169="",FALSE,TRUE)</f>
        <v>0</v>
      </c>
      <c r="BB169" t="b">
        <f>IF(Metadata!O169="",FALSE,TRUE)</f>
        <v>0</v>
      </c>
      <c r="BC169" t="b">
        <f>AND(IF(Metadata!P169="",FALSE,TRUE),OR(EXACT(Metadata!P169,"air"),EXACT(Metadata!P169,"microbial mat/biofilm"),EXACT(Metadata!P169,"misc environment"),EXACT(Metadata!P169,"sediment"),EXACT(Metadata!P169,"soil"),EXACT(Metadata!P169,"wastewater/sludge"),EXACT(Metadata!P169,"water")))</f>
        <v>0</v>
      </c>
      <c r="BD169" t="b">
        <f>IF(Metadata!Q169="",FALSE,TRUE)</f>
        <v>0</v>
      </c>
      <c r="BE169" t="b">
        <f>IF(Metadata!R169="",FALSE,TRUE)</f>
        <v>0</v>
      </c>
      <c r="BF169" t="b">
        <f>OR(AND(IF(Metadata!S169="",FALSE,TRUE),OR(EXACT(Metadata!S169,"not collected"),EXACT(Metadata!S169,"not provided"),EXACT(Metadata!S169,"restricted access"))),AND(IF(Metadata!S169="",FALSE,ISNUMBER(VALUE(Metadata!S169))),Metadata!S169&gt;=-90,Metadata!S169&lt;=90))</f>
        <v>0</v>
      </c>
      <c r="BG169" t="b">
        <f>AND(IF(Metadata!T169="",FALSE,TRUE),EXACT(Metadata!T169,"Decimal degrees"))</f>
        <v>0</v>
      </c>
      <c r="BH169" t="b">
        <f>OR(AND(IF(Metadata!U169="",FALSE,TRUE),OR(EXACT(Metadata!U169,"not applicable"),EXACT(Metadata!U169,"not collected"))),IF(Metadata!U169="",FALSE,TRUE))</f>
        <v>0</v>
      </c>
      <c r="BI169" t="b">
        <f>OR(AND(IF(Metadata!V169="",FALSE,TRUE),OR(EXACT(Metadata!V169,"not collected"),EXACT(Metadata!V169,"not provided"),EXACT(Metadata!V169,"restricted access"))),AND(IF(Metadata!V169="",FALSE,ISNUMBER(VALUE(Metadata!V169))),Metadata!V169&gt;=-180,Metadata!V169&lt;=180))</f>
        <v>0</v>
      </c>
      <c r="BJ169" t="b">
        <f>AND(IF(Metadata!W169="",FALSE,TRUE),EXACT(Metadata!W169,"Decimal degrees"))</f>
        <v>0</v>
      </c>
      <c r="BK169" t="b">
        <f>IF(Metadata!X169="",FALSE,TRUE)</f>
        <v>0</v>
      </c>
      <c r="BL169" t="b">
        <f>OR(AND(IF(Metadata!Y169="",FALSE,TRUE),OR(EXACT(Metadata!Y169,"not collected"),EXACT(Metadata!Y169,"not provided"),EXACT(Metadata!Y169,"restricted access"))),AND(IF(Metadata!Y169="",FALSE,TRUE),OR(EXACT(Metadata!Y169,"TRUE"),EXACT(Metadata!Y169,"FALSE"))))</f>
        <v>0</v>
      </c>
      <c r="BM169" t="b">
        <f>OR(AND(IF(Metadata!Z169="",FALSE,TRUE),EXACT(Metadata!Z169,"not applicable")),AND(IF(Metadata!Z169="",FALSE,TRUE),OR(EXACT(Metadata!Z169,"beer"),EXACT(Metadata!Z169,"cheese"),EXACT(Metadata!Z169,"fresh water"),EXACT(Metadata!Z169,"marine sediment"),EXACT(Metadata!Z169,"sea water"),EXACT(Metadata!Z169,"sediment"),EXACT(Metadata!Z169,"soil"),EXACT(Metadata!Z169,"waste water"))))</f>
        <v>0</v>
      </c>
      <c r="BN169" t="b">
        <f>AND(IF(Metadata!AA169="",FALSE,TRUE),EXACT(Metadata!AA169,"metagenome"))</f>
        <v>0</v>
      </c>
      <c r="BO169" t="b">
        <f>AND(IF(Metadata!AB169="",FALSE,TRUE),EXACT(Metadata!AB169,"256318"))</f>
        <v>0</v>
      </c>
      <c r="BP169" t="b">
        <f>IF(Metadata!AC169="",FALSE,TRUE)</f>
        <v>0</v>
      </c>
      <c r="BQ169" t="b">
        <f>IF(Metadata!AD169="",FALSE,TRUE)</f>
        <v>0</v>
      </c>
    </row>
    <row r="170" spans="1:69" x14ac:dyDescent="0.2">
      <c r="A170" s="4" t="e">
        <f ca="1">IF(B170=" "," ",HYPERLINK(CONCATENATE("#metadata!",ADDRESS(INDEX($AJ$2:$AJ$1001,MATCH(ROWS($AH$2:AH170),$AH$2:$AH$1001,0),0),2)),INDEX($AM$2:$AM$1001,MATCH(ROWS($AH$2:AH170),$AH$2:$AH$1001,0),0)))</f>
        <v>#N/A</v>
      </c>
      <c r="B170" s="5" t="e">
        <f ca="1">IF(OR(INDEX($AI$2:$AI$1001,MATCH(ROWS($AH$2:AH170),$AH$2:$AH$1001,0),1)&gt;=100000,INDEX($AO$1005:$BQ$1005,1,MATCH(COLUMNS($AO$1006:AO1006),$AO$1006:$BQ$1006,0))&gt;=100000), " ",IF(INDEX($AO$2:$BQ$1001,MATCH(ROWS($AH$2:AH170),$AH$2:$AH$1001,0),MATCH(COLUMNS($AO$1006:AO1006),$AO$1006:$BQ$1006,0)), HYPERLINK("#",""), HYPERLINK(CONCATENATE("#Metadata!", ADDRESS(INDEX($AJ$2:$AJ$1001,MATCH(ROWS($AH$2:AH170),$AH$2:$AH$1001,0),0), INDEX($AO$1004:$BQ$1004,1,MATCH(COLUMNS($AO$1006:AO1006),$AO$1006:$BQ$1006,0)))),"Fix")))</f>
        <v>#N/A</v>
      </c>
      <c r="C170" s="5" t="e">
        <f ca="1">IF(OR(INDEX($AI$2:$AI$1001,MATCH(ROWS($AH$2:AH170),$AH$2:$AH$1001,0),1)&gt;=100000,INDEX($AO$1005:$BQ$1005,1,MATCH(COLUMNS($AO$1006:AP1006),$AO$1006:$BQ$1006,0))&gt;=100000), " ",IF(INDEX($AO$2:$BQ$1001,MATCH(ROWS($AH$2:AH170),$AH$2:$AH$1001,0),MATCH(COLUMNS($AO$1006:AP1006),$AO$1006:$BQ$1006,0)), HYPERLINK("#",""), HYPERLINK(CONCATENATE("#Metadata!", ADDRESS(INDEX($AJ$2:$AJ$1001,MATCH(ROWS($AH$2:AH170),$AH$2:$AH$1001,0),0), INDEX($AO$1004:$BQ$1004,1,MATCH(COLUMNS($AO$1006:AP1006),$AO$1006:$BQ$1006,0)))),"Fix")))</f>
        <v>#N/A</v>
      </c>
      <c r="D170" s="5" t="e">
        <f ca="1">IF(OR(INDEX($AI$2:$AI$1001,MATCH(ROWS($AH$2:AH170),$AH$2:$AH$1001,0),1)&gt;=100000,INDEX($AO$1005:$BQ$1005,1,MATCH(COLUMNS($AO$1006:AQ1006),$AO$1006:$BQ$1006,0))&gt;=100000), " ",IF(INDEX($AO$2:$BQ$1001,MATCH(ROWS($AH$2:AH170),$AH$2:$AH$1001,0),MATCH(COLUMNS($AO$1006:AQ1006),$AO$1006:$BQ$1006,0)), HYPERLINK("#",""), HYPERLINK(CONCATENATE("#Metadata!", ADDRESS(INDEX($AJ$2:$AJ$1001,MATCH(ROWS($AH$2:AH170),$AH$2:$AH$1001,0),0), INDEX($AO$1004:$BQ$1004,1,MATCH(COLUMNS($AO$1006:AQ1006),$AO$1006:$BQ$1006,0)))),"Fix")))</f>
        <v>#N/A</v>
      </c>
      <c r="E170" s="5" t="e">
        <f ca="1">IF(OR(INDEX($AI$2:$AI$1001,MATCH(ROWS($AH$2:AH170),$AH$2:$AH$1001,0),1)&gt;=100000,INDEX($AO$1005:$BQ$1005,1,MATCH(COLUMNS($AO$1006:AR1006),$AO$1006:$BQ$1006,0))&gt;=100000), " ",IF(INDEX($AO$2:$BQ$1001,MATCH(ROWS($AH$2:AH170),$AH$2:$AH$1001,0),MATCH(COLUMNS($AO$1006:AR1006),$AO$1006:$BQ$1006,0)), HYPERLINK("#",""), HYPERLINK(CONCATENATE("#Metadata!", ADDRESS(INDEX($AJ$2:$AJ$1001,MATCH(ROWS($AH$2:AH170),$AH$2:$AH$1001,0),0), INDEX($AO$1004:$BQ$1004,1,MATCH(COLUMNS($AO$1006:AR1006),$AO$1006:$BQ$1006,0)))),"Fix")))</f>
        <v>#N/A</v>
      </c>
      <c r="F170" s="5" t="e">
        <f ca="1">IF(OR(INDEX($AI$2:$AI$1001,MATCH(ROWS($AH$2:AH170),$AH$2:$AH$1001,0),1)&gt;=100000,INDEX($AO$1005:$BQ$1005,1,MATCH(COLUMNS($AO$1006:AS1006),$AO$1006:$BQ$1006,0))&gt;=100000), " ",IF(INDEX($AO$2:$BQ$1001,MATCH(ROWS($AH$2:AH170),$AH$2:$AH$1001,0),MATCH(COLUMNS($AO$1006:AS1006),$AO$1006:$BQ$1006,0)), HYPERLINK("#",""), HYPERLINK(CONCATENATE("#Metadata!", ADDRESS(INDEX($AJ$2:$AJ$1001,MATCH(ROWS($AH$2:AH170),$AH$2:$AH$1001,0),0), INDEX($AO$1004:$BQ$1004,1,MATCH(COLUMNS($AO$1006:AS1006),$AO$1006:$BQ$1006,0)))),"Fix")))</f>
        <v>#N/A</v>
      </c>
      <c r="G170" s="5" t="e">
        <f ca="1">IF(OR(INDEX($AI$2:$AI$1001,MATCH(ROWS($AH$2:AH170),$AH$2:$AH$1001,0),1)&gt;=100000,INDEX($AO$1005:$BQ$1005,1,MATCH(COLUMNS($AO$1006:AT1006),$AO$1006:$BQ$1006,0))&gt;=100000), " ",IF(INDEX($AO$2:$BQ$1001,MATCH(ROWS($AH$2:AH170),$AH$2:$AH$1001,0),MATCH(COLUMNS($AO$1006:AT1006),$AO$1006:$BQ$1006,0)), HYPERLINK("#",""), HYPERLINK(CONCATENATE("#Metadata!", ADDRESS(INDEX($AJ$2:$AJ$1001,MATCH(ROWS($AH$2:AH170),$AH$2:$AH$1001,0),0), INDEX($AO$1004:$BQ$1004,1,MATCH(COLUMNS($AO$1006:AT1006),$AO$1006:$BQ$1006,0)))),"Fix")))</f>
        <v>#N/A</v>
      </c>
      <c r="H170" s="5" t="e">
        <f ca="1">IF(OR(INDEX($AI$2:$AI$1001,MATCH(ROWS($AH$2:AH170),$AH$2:$AH$1001,0),1)&gt;=100000,INDEX($AO$1005:$BQ$1005,1,MATCH(COLUMNS($AO$1006:AU1006),$AO$1006:$BQ$1006,0))&gt;=100000), " ",IF(INDEX($AO$2:$BQ$1001,MATCH(ROWS($AH$2:AH170),$AH$2:$AH$1001,0),MATCH(COLUMNS($AO$1006:AU1006),$AO$1006:$BQ$1006,0)), HYPERLINK("#",""), HYPERLINK(CONCATENATE("#Metadata!", ADDRESS(INDEX($AJ$2:$AJ$1001,MATCH(ROWS($AH$2:AH170),$AH$2:$AH$1001,0),0), INDEX($AO$1004:$BQ$1004,1,MATCH(COLUMNS($AO$1006:AU1006),$AO$1006:$BQ$1006,0)))),"Fix")))</f>
        <v>#N/A</v>
      </c>
      <c r="I170" s="5" t="e">
        <f ca="1">IF(OR(INDEX($AI$2:$AI$1001,MATCH(ROWS($AH$2:AH170),$AH$2:$AH$1001,0),1)&gt;=100000,INDEX($AO$1005:$BQ$1005,1,MATCH(COLUMNS($AO$1006:AV1006),$AO$1006:$BQ$1006,0))&gt;=100000), " ",IF(INDEX($AO$2:$BQ$1001,MATCH(ROWS($AH$2:AH170),$AH$2:$AH$1001,0),MATCH(COLUMNS($AO$1006:AV1006),$AO$1006:$BQ$1006,0)), HYPERLINK("#",""), HYPERLINK(CONCATENATE("#Metadata!", ADDRESS(INDEX($AJ$2:$AJ$1001,MATCH(ROWS($AH$2:AH170),$AH$2:$AH$1001,0),0), INDEX($AO$1004:$BQ$1004,1,MATCH(COLUMNS($AO$1006:AV1006),$AO$1006:$BQ$1006,0)))),"Fix")))</f>
        <v>#N/A</v>
      </c>
      <c r="J170" s="5" t="e">
        <f ca="1">IF(OR(INDEX($AI$2:$AI$1001,MATCH(ROWS($AH$2:AH170),$AH$2:$AH$1001,0),1)&gt;=100000,INDEX($AO$1005:$BQ$1005,1,MATCH(COLUMNS($AO$1006:AW1006),$AO$1006:$BQ$1006,0))&gt;=100000), " ",IF(INDEX($AO$2:$BQ$1001,MATCH(ROWS($AH$2:AH170),$AH$2:$AH$1001,0),MATCH(COLUMNS($AO$1006:AW1006),$AO$1006:$BQ$1006,0)), HYPERLINK("#",""), HYPERLINK(CONCATENATE("#Metadata!", ADDRESS(INDEX($AJ$2:$AJ$1001,MATCH(ROWS($AH$2:AH170),$AH$2:$AH$1001,0),0), INDEX($AO$1004:$BQ$1004,1,MATCH(COLUMNS($AO$1006:AW1006),$AO$1006:$BQ$1006,0)))),"Fix")))</f>
        <v>#N/A</v>
      </c>
      <c r="K170" s="5" t="e">
        <f ca="1">IF(OR(INDEX($AI$2:$AI$1001,MATCH(ROWS($AH$2:AH170),$AH$2:$AH$1001,0),1)&gt;=100000,INDEX($AO$1005:$BQ$1005,1,MATCH(COLUMNS($AO$1006:AX1006),$AO$1006:$BQ$1006,0))&gt;=100000), " ",IF(INDEX($AO$2:$BQ$1001,MATCH(ROWS($AH$2:AH170),$AH$2:$AH$1001,0),MATCH(COLUMNS($AO$1006:AX1006),$AO$1006:$BQ$1006,0)), HYPERLINK("#",""), HYPERLINK(CONCATENATE("#Metadata!", ADDRESS(INDEX($AJ$2:$AJ$1001,MATCH(ROWS($AH$2:AH170),$AH$2:$AH$1001,0),0), INDEX($AO$1004:$BQ$1004,1,MATCH(COLUMNS($AO$1006:AX1006),$AO$1006:$BQ$1006,0)))),"Fix")))</f>
        <v>#N/A</v>
      </c>
      <c r="L170" s="5" t="e">
        <f ca="1">IF(OR(INDEX($AI$2:$AI$1001,MATCH(ROWS($AH$2:AH170),$AH$2:$AH$1001,0),1)&gt;=100000,INDEX($AO$1005:$BQ$1005,1,MATCH(COLUMNS($AO$1006:AY1006),$AO$1006:$BQ$1006,0))&gt;=100000), " ",IF(INDEX($AO$2:$BQ$1001,MATCH(ROWS($AH$2:AH170),$AH$2:$AH$1001,0),MATCH(COLUMNS($AO$1006:AY1006),$AO$1006:$BQ$1006,0)), HYPERLINK("#",""), HYPERLINK(CONCATENATE("#Metadata!", ADDRESS(INDEX($AJ$2:$AJ$1001,MATCH(ROWS($AH$2:AH170),$AH$2:$AH$1001,0),0), INDEX($AO$1004:$BQ$1004,1,MATCH(COLUMNS($AO$1006:AY1006),$AO$1006:$BQ$1006,0)))),"Fix")))</f>
        <v>#N/A</v>
      </c>
      <c r="M170" s="5" t="e">
        <f ca="1">IF(OR(INDEX($AI$2:$AI$1001,MATCH(ROWS($AH$2:AH170),$AH$2:$AH$1001,0),1)&gt;=100000,INDEX($AO$1005:$BQ$1005,1,MATCH(COLUMNS($AO$1006:AZ1006),$AO$1006:$BQ$1006,0))&gt;=100000), " ",IF(INDEX($AO$2:$BQ$1001,MATCH(ROWS($AH$2:AH170),$AH$2:$AH$1001,0),MATCH(COLUMNS($AO$1006:AZ1006),$AO$1006:$BQ$1006,0)), HYPERLINK("#",""), HYPERLINK(CONCATENATE("#Metadata!", ADDRESS(INDEX($AJ$2:$AJ$1001,MATCH(ROWS($AH$2:AH170),$AH$2:$AH$1001,0),0), INDEX($AO$1004:$BQ$1004,1,MATCH(COLUMNS($AO$1006:AZ1006),$AO$1006:$BQ$1006,0)))),"Fix")))</f>
        <v>#N/A</v>
      </c>
      <c r="N170" s="5" t="e">
        <f ca="1">IF(OR(INDEX($AI$2:$AI$1001,MATCH(ROWS($AH$2:AH170),$AH$2:$AH$1001,0),1)&gt;=100000,INDEX($AO$1005:$BQ$1005,1,MATCH(COLUMNS($AO$1006:BA1006),$AO$1006:$BQ$1006,0))&gt;=100000), " ",IF(INDEX($AO$2:$BQ$1001,MATCH(ROWS($AH$2:AH170),$AH$2:$AH$1001,0),MATCH(COLUMNS($AO$1006:BA1006),$AO$1006:$BQ$1006,0)), HYPERLINK("#",""), HYPERLINK(CONCATENATE("#Metadata!", ADDRESS(INDEX($AJ$2:$AJ$1001,MATCH(ROWS($AH$2:AH170),$AH$2:$AH$1001,0),0), INDEX($AO$1004:$BQ$1004,1,MATCH(COLUMNS($AO$1006:BA1006),$AO$1006:$BQ$1006,0)))),"Fix")))</f>
        <v>#N/A</v>
      </c>
      <c r="O170" s="5" t="e">
        <f ca="1">IF(OR(INDEX($AI$2:$AI$1001,MATCH(ROWS($AH$2:AH170),$AH$2:$AH$1001,0),1)&gt;=100000,INDEX($AO$1005:$BQ$1005,1,MATCH(COLUMNS($AO$1006:BB1006),$AO$1006:$BQ$1006,0))&gt;=100000), " ",IF(INDEX($AO$2:$BQ$1001,MATCH(ROWS($AH$2:AH170),$AH$2:$AH$1001,0),MATCH(COLUMNS($AO$1006:BB1006),$AO$1006:$BQ$1006,0)), HYPERLINK("#",""), HYPERLINK(CONCATENATE("#Metadata!", ADDRESS(INDEX($AJ$2:$AJ$1001,MATCH(ROWS($AH$2:AH170),$AH$2:$AH$1001,0),0), INDEX($AO$1004:$BQ$1004,1,MATCH(COLUMNS($AO$1006:BB1006),$AO$1006:$BQ$1006,0)))),"Fix")))</f>
        <v>#N/A</v>
      </c>
      <c r="P170" s="5" t="e">
        <f ca="1">IF(OR(INDEX($AI$2:$AI$1001,MATCH(ROWS($AH$2:AH170),$AH$2:$AH$1001,0),1)&gt;=100000,INDEX($AO$1005:$BQ$1005,1,MATCH(COLUMNS($AO$1006:BC1006),$AO$1006:$BQ$1006,0))&gt;=100000), " ",IF(INDEX($AO$2:$BQ$1001,MATCH(ROWS($AH$2:AH170),$AH$2:$AH$1001,0),MATCH(COLUMNS($AO$1006:BC1006),$AO$1006:$BQ$1006,0)), HYPERLINK("#",""), HYPERLINK(CONCATENATE("#Metadata!", ADDRESS(INDEX($AJ$2:$AJ$1001,MATCH(ROWS($AH$2:AH170),$AH$2:$AH$1001,0),0), INDEX($AO$1004:$BQ$1004,1,MATCH(COLUMNS($AO$1006:BC1006),$AO$1006:$BQ$1006,0)))),"Fix")))</f>
        <v>#N/A</v>
      </c>
      <c r="Q170" s="5" t="e">
        <f ca="1">IF(OR(INDEX($AI$2:$AI$1001,MATCH(ROWS($AH$2:AH170),$AH$2:$AH$1001,0),1)&gt;=100000,INDEX($AO$1005:$BQ$1005,1,MATCH(COLUMNS($AO$1006:BD1006),$AO$1006:$BQ$1006,0))&gt;=100000), " ",IF(INDEX($AO$2:$BQ$1001,MATCH(ROWS($AH$2:AH170),$AH$2:$AH$1001,0),MATCH(COLUMNS($AO$1006:BD1006),$AO$1006:$BQ$1006,0)), HYPERLINK("#",""), HYPERLINK(CONCATENATE("#Metadata!", ADDRESS(INDEX($AJ$2:$AJ$1001,MATCH(ROWS($AH$2:AH170),$AH$2:$AH$1001,0),0), INDEX($AO$1004:$BQ$1004,1,MATCH(COLUMNS($AO$1006:BD1006),$AO$1006:$BQ$1006,0)))),"Fix")))</f>
        <v>#N/A</v>
      </c>
      <c r="R170" s="5" t="e">
        <f ca="1">IF(OR(INDEX($AI$2:$AI$1001,MATCH(ROWS($AH$2:AH170),$AH$2:$AH$1001,0),1)&gt;=100000,INDEX($AO$1005:$BQ$1005,1,MATCH(COLUMNS($AO$1006:BE1006),$AO$1006:$BQ$1006,0))&gt;=100000), " ",IF(INDEX($AO$2:$BQ$1001,MATCH(ROWS($AH$2:AH170),$AH$2:$AH$1001,0),MATCH(COLUMNS($AO$1006:BE1006),$AO$1006:$BQ$1006,0)), HYPERLINK("#",""), HYPERLINK(CONCATENATE("#Metadata!", ADDRESS(INDEX($AJ$2:$AJ$1001,MATCH(ROWS($AH$2:AH170),$AH$2:$AH$1001,0),0), INDEX($AO$1004:$BQ$1004,1,MATCH(COLUMNS($AO$1006:BE1006),$AO$1006:$BQ$1006,0)))),"Fix")))</f>
        <v>#N/A</v>
      </c>
      <c r="S170" s="5" t="e">
        <f ca="1">IF(OR(INDEX($AI$2:$AI$1001,MATCH(ROWS($AH$2:AH170),$AH$2:$AH$1001,0),1)&gt;=100000,INDEX($AO$1005:$BQ$1005,1,MATCH(COLUMNS($AO$1006:BF1006),$AO$1006:$BQ$1006,0))&gt;=100000), " ",IF(INDEX($AO$2:$BQ$1001,MATCH(ROWS($AH$2:AH170),$AH$2:$AH$1001,0),MATCH(COLUMNS($AO$1006:BF1006),$AO$1006:$BQ$1006,0)), HYPERLINK("#",""), HYPERLINK(CONCATENATE("#Metadata!", ADDRESS(INDEX($AJ$2:$AJ$1001,MATCH(ROWS($AH$2:AH170),$AH$2:$AH$1001,0),0), INDEX($AO$1004:$BQ$1004,1,MATCH(COLUMNS($AO$1006:BF1006),$AO$1006:$BQ$1006,0)))),"Fix")))</f>
        <v>#N/A</v>
      </c>
      <c r="T170" s="5" t="e">
        <f ca="1">IF(OR(INDEX($AI$2:$AI$1001,MATCH(ROWS($AH$2:AH170),$AH$2:$AH$1001,0),1)&gt;=100000,INDEX($AO$1005:$BQ$1005,1,MATCH(COLUMNS($AO$1006:BG1006),$AO$1006:$BQ$1006,0))&gt;=100000), " ",IF(INDEX($AO$2:$BQ$1001,MATCH(ROWS($AH$2:AH170),$AH$2:$AH$1001,0),MATCH(COLUMNS($AO$1006:BG1006),$AO$1006:$BQ$1006,0)), HYPERLINK("#",""), HYPERLINK(CONCATENATE("#Metadata!", ADDRESS(INDEX($AJ$2:$AJ$1001,MATCH(ROWS($AH$2:AH170),$AH$2:$AH$1001,0),0), INDEX($AO$1004:$BQ$1004,1,MATCH(COLUMNS($AO$1006:BG1006),$AO$1006:$BQ$1006,0)))),"Fix")))</f>
        <v>#N/A</v>
      </c>
      <c r="U170" s="5" t="e">
        <f ca="1">IF(OR(INDEX($AI$2:$AI$1001,MATCH(ROWS($AH$2:AH170),$AH$2:$AH$1001,0),1)&gt;=100000,INDEX($AO$1005:$BQ$1005,1,MATCH(COLUMNS($AO$1006:BH1006),$AO$1006:$BQ$1006,0))&gt;=100000), " ",IF(INDEX($AO$2:$BQ$1001,MATCH(ROWS($AH$2:AH170),$AH$2:$AH$1001,0),MATCH(COLUMNS($AO$1006:BH1006),$AO$1006:$BQ$1006,0)), HYPERLINK("#",""), HYPERLINK(CONCATENATE("#Metadata!", ADDRESS(INDEX($AJ$2:$AJ$1001,MATCH(ROWS($AH$2:AH170),$AH$2:$AH$1001,0),0), INDEX($AO$1004:$BQ$1004,1,MATCH(COLUMNS($AO$1006:BH1006),$AO$1006:$BQ$1006,0)))),"Fix")))</f>
        <v>#N/A</v>
      </c>
      <c r="V170" s="5" t="e">
        <f ca="1">IF(OR(INDEX($AI$2:$AI$1001,MATCH(ROWS($AH$2:AH170),$AH$2:$AH$1001,0),1)&gt;=100000,INDEX($AO$1005:$BQ$1005,1,MATCH(COLUMNS($AO$1006:BI1006),$AO$1006:$BQ$1006,0))&gt;=100000), " ",IF(INDEX($AO$2:$BQ$1001,MATCH(ROWS($AH$2:AH170),$AH$2:$AH$1001,0),MATCH(COLUMNS($AO$1006:BI1006),$AO$1006:$BQ$1006,0)), HYPERLINK("#",""), HYPERLINK(CONCATENATE("#Metadata!", ADDRESS(INDEX($AJ$2:$AJ$1001,MATCH(ROWS($AH$2:AH170),$AH$2:$AH$1001,0),0), INDEX($AO$1004:$BQ$1004,1,MATCH(COLUMNS($AO$1006:BI1006),$AO$1006:$BQ$1006,0)))),"Fix")))</f>
        <v>#N/A</v>
      </c>
      <c r="W170" s="5" t="e">
        <f ca="1">IF(OR(INDEX($AI$2:$AI$1001,MATCH(ROWS($AH$2:AH170),$AH$2:$AH$1001,0),1)&gt;=100000,INDEX($AO$1005:$BQ$1005,1,MATCH(COLUMNS($AO$1006:BJ1006),$AO$1006:$BQ$1006,0))&gt;=100000), " ",IF(INDEX($AO$2:$BQ$1001,MATCH(ROWS($AH$2:AH170),$AH$2:$AH$1001,0),MATCH(COLUMNS($AO$1006:BJ1006),$AO$1006:$BQ$1006,0)), HYPERLINK("#",""), HYPERLINK(CONCATENATE("#Metadata!", ADDRESS(INDEX($AJ$2:$AJ$1001,MATCH(ROWS($AH$2:AH170),$AH$2:$AH$1001,0),0), INDEX($AO$1004:$BQ$1004,1,MATCH(COLUMNS($AO$1006:BJ1006),$AO$1006:$BQ$1006,0)))),"Fix")))</f>
        <v>#N/A</v>
      </c>
      <c r="X170" s="5" t="e">
        <f ca="1">IF(OR(INDEX($AI$2:$AI$1001,MATCH(ROWS($AH$2:AH170),$AH$2:$AH$1001,0),1)&gt;=100000,INDEX($AO$1005:$BQ$1005,1,MATCH(COLUMNS($AO$1006:BK1006),$AO$1006:$BQ$1006,0))&gt;=100000), " ",IF(INDEX($AO$2:$BQ$1001,MATCH(ROWS($AH$2:AH170),$AH$2:$AH$1001,0),MATCH(COLUMNS($AO$1006:BK1006),$AO$1006:$BQ$1006,0)), HYPERLINK("#",""), HYPERLINK(CONCATENATE("#Metadata!", ADDRESS(INDEX($AJ$2:$AJ$1001,MATCH(ROWS($AH$2:AH170),$AH$2:$AH$1001,0),0), INDEX($AO$1004:$BQ$1004,1,MATCH(COLUMNS($AO$1006:BK1006),$AO$1006:$BQ$1006,0)))),"Fix")))</f>
        <v>#N/A</v>
      </c>
      <c r="Y170" s="5" t="e">
        <f ca="1">IF(OR(INDEX($AI$2:$AI$1001,MATCH(ROWS($AH$2:AH170),$AH$2:$AH$1001,0),1)&gt;=100000,INDEX($AO$1005:$BQ$1005,1,MATCH(COLUMNS($AO$1006:BL1006),$AO$1006:$BQ$1006,0))&gt;=100000), " ",IF(INDEX($AO$2:$BQ$1001,MATCH(ROWS($AH$2:AH170),$AH$2:$AH$1001,0),MATCH(COLUMNS($AO$1006:BL1006),$AO$1006:$BQ$1006,0)), HYPERLINK("#",""), HYPERLINK(CONCATENATE("#Metadata!", ADDRESS(INDEX($AJ$2:$AJ$1001,MATCH(ROWS($AH$2:AH170),$AH$2:$AH$1001,0),0), INDEX($AO$1004:$BQ$1004,1,MATCH(COLUMNS($AO$1006:BL1006),$AO$1006:$BQ$1006,0)))),"Fix")))</f>
        <v>#N/A</v>
      </c>
      <c r="Z170" s="5" t="e">
        <f ca="1">IF(OR(INDEX($AI$2:$AI$1001,MATCH(ROWS($AH$2:AH170),$AH$2:$AH$1001,0),1)&gt;=100000,INDEX($AO$1005:$BQ$1005,1,MATCH(COLUMNS($AO$1006:BM1006),$AO$1006:$BQ$1006,0))&gt;=100000), " ",IF(INDEX($AO$2:$BQ$1001,MATCH(ROWS($AH$2:AH170),$AH$2:$AH$1001,0),MATCH(COLUMNS($AO$1006:BM1006),$AO$1006:$BQ$1006,0)), HYPERLINK("#",""), HYPERLINK(CONCATENATE("#Metadata!", ADDRESS(INDEX($AJ$2:$AJ$1001,MATCH(ROWS($AH$2:AH170),$AH$2:$AH$1001,0),0), INDEX($AO$1004:$BQ$1004,1,MATCH(COLUMNS($AO$1006:BM1006),$AO$1006:$BQ$1006,0)))),"Fix")))</f>
        <v>#N/A</v>
      </c>
      <c r="AA170" s="5" t="e">
        <f ca="1">IF(OR(INDEX($AI$2:$AI$1001,MATCH(ROWS($AH$2:AH170),$AH$2:$AH$1001,0),1)&gt;=100000,INDEX($AO$1005:$BQ$1005,1,MATCH(COLUMNS($AO$1006:BN1006),$AO$1006:$BQ$1006,0))&gt;=100000), " ",IF(INDEX($AO$2:$BQ$1001,MATCH(ROWS($AH$2:AH170),$AH$2:$AH$1001,0),MATCH(COLUMNS($AO$1006:BN1006),$AO$1006:$BQ$1006,0)), HYPERLINK("#",""), HYPERLINK(CONCATENATE("#Metadata!", ADDRESS(INDEX($AJ$2:$AJ$1001,MATCH(ROWS($AH$2:AH170),$AH$2:$AH$1001,0),0), INDEX($AO$1004:$BQ$1004,1,MATCH(COLUMNS($AO$1006:BN1006),$AO$1006:$BQ$1006,0)))),"Fix")))</f>
        <v>#N/A</v>
      </c>
      <c r="AB170" s="5" t="e">
        <f ca="1">IF(OR(INDEX($AI$2:$AI$1001,MATCH(ROWS($AH$2:AH170),$AH$2:$AH$1001,0),1)&gt;=100000,INDEX($AO$1005:$BQ$1005,1,MATCH(COLUMNS($AO$1006:BO1006),$AO$1006:$BQ$1006,0))&gt;=100000), " ",IF(INDEX($AO$2:$BQ$1001,MATCH(ROWS($AH$2:AH170),$AH$2:$AH$1001,0),MATCH(COLUMNS($AO$1006:BO1006),$AO$1006:$BQ$1006,0)), HYPERLINK("#",""), HYPERLINK(CONCATENATE("#Metadata!", ADDRESS(INDEX($AJ$2:$AJ$1001,MATCH(ROWS($AH$2:AH170),$AH$2:$AH$1001,0),0), INDEX($AO$1004:$BQ$1004,1,MATCH(COLUMNS($AO$1006:BO1006),$AO$1006:$BQ$1006,0)))),"Fix")))</f>
        <v>#N/A</v>
      </c>
      <c r="AC170" s="5" t="e">
        <f ca="1">IF(OR(INDEX($AI$2:$AI$1001,MATCH(ROWS($AH$2:AH170),$AH$2:$AH$1001,0),1)&gt;=100000,INDEX($AO$1005:$BQ$1005,1,MATCH(COLUMNS($AO$1006:BP1006),$AO$1006:$BQ$1006,0))&gt;=100000), " ",IF(INDEX($AO$2:$BQ$1001,MATCH(ROWS($AH$2:AH170),$AH$2:$AH$1001,0),MATCH(COLUMNS($AO$1006:BP1006),$AO$1006:$BQ$1006,0)), HYPERLINK("#",""), HYPERLINK(CONCATENATE("#Metadata!", ADDRESS(INDEX($AJ$2:$AJ$1001,MATCH(ROWS($AH$2:AH170),$AH$2:$AH$1001,0),0), INDEX($AO$1004:$BQ$1004,1,MATCH(COLUMNS($AO$1006:BP1006),$AO$1006:$BQ$1006,0)))),"Fix")))</f>
        <v>#N/A</v>
      </c>
      <c r="AD170" s="5" t="e">
        <f ca="1">IF(OR(INDEX($AI$2:$AI$1001,MATCH(ROWS($AH$2:AH170),$AH$2:$AH$1001,0),1)&gt;=100000,INDEX($AO$1005:$BQ$1005,1,MATCH(COLUMNS($AO$1006:BQ1006),$AO$1006:$BQ$1006,0))&gt;=100000), " ",IF(INDEX($AO$2:$BQ$1001,MATCH(ROWS($AH$2:AH170),$AH$2:$AH$1001,0),MATCH(COLUMNS($AO$1006:BQ1006),$AO$1006:$BQ$1006,0)), HYPERLINK("#",""), HYPERLINK(CONCATENATE("#Metadata!", ADDRESS(INDEX($AJ$2:$AJ$1001,MATCH(ROWS($AH$2:AH170),$AH$2:$AH$1001,0),0), INDEX($AO$1004:$BQ$1004,1,MATCH(COLUMNS($AO$1006:BQ1006),$AO$1006:$BQ$1006,0)))),"Fix")))</f>
        <v>#REF!</v>
      </c>
      <c r="AH170">
        <f ca="1"/>
        <v>167</v>
      </c>
      <c r="AI170">
        <v>100170</v>
      </c>
      <c r="AJ170">
        <v>170</v>
      </c>
      <c r="AK170" t="b">
        <f t="shared" si="2"/>
        <v>1</v>
      </c>
      <c r="AL170" t="b">
        <f>COUNTBLANK(Metadata!B170:AD170)=COLUMNS(Metadata!B170:AD170)</f>
        <v>1</v>
      </c>
      <c r="AM170" t="str">
        <v/>
      </c>
      <c r="AO170" t="b">
        <f ca="1">AND(IF(Metadata!B170="",FALSE,TRUE),COUNTIF(Metadata!B:B, Metadata!B170) = 1,NOT(ISERROR(SUMPRODUCT(SEARCH(MID(Metadata!B170,ROW(INDIRECT("1:"&amp;LEN(Metadata!B170))), 1),"0123456789abcdefghijklmnopqrstuvwxyzABCDEFGHIJKLMNOPQRSTUVWXYZ.")))))</f>
        <v>0</v>
      </c>
      <c r="AP170" t="b">
        <f>IF(Metadata!C170="",FALSE,TRUE)</f>
        <v>0</v>
      </c>
      <c r="AQ170" t="b">
        <f>IF(Metadata!D170="",FALSE,TRUE)</f>
        <v>0</v>
      </c>
      <c r="AR170" t="b">
        <f ca="1">OR(AND(IF(Metadata!E170="",FALSE,TRUE),OR(EXACT(Metadata!E170,"not collected"),EXACT(Metadata!E170,"not provided"),EXACT(Metadata!E170,"restricted access"))),AND(IF(Metadata!E170="",FALSE,TRUE),AND(AND(IFERROR(INT(LEFT(Metadata!E170,4))&gt;1900,FALSE),IFERROR(INT(LEFT(Metadata!E170,4))&lt;=YEAR(NOW()),FALSE)), OR(MID(Metadata!E170,5,1)="", AND(AND(MID(Metadata!E170,5,1)="-",IFERROR(INT(MID(Metadata!E170,6,1))&gt;=0,FALSE),IFERROR(INT(MID(Metadata!E170,6,1))&lt;=1,FALSE),NOT(MID(Metadata!E170,7,1)=""),IFERROR(INT(MID(Metadata!E170,6,2))&gt;=1,FALSE),IFERROR(INT(MID(Metadata!E170,6,2))&lt;=12,FALSE)), OR(MID(Metadata!E170,8,1)="", AND(AND(MID(Metadata!E170,8,1)="-",IFERROR(INT(MID(Metadata!E170,9,1))&gt;=0,FALSE),IFERROR(INT(MID(Metadata!E170,9,1))&lt;=3,FALSE),NOT(MID(Metadata!E170,10,1)=""),IFERROR(INT(MID(Metadata!E170,9,2))&gt;=1,FALSE),IFERROR(INT(MID(Metadata!E170,9,2))&lt;=31,FALSE)), OR(MID(Metadata!E170,11,1)="", AND(AND(MID(Metadata!E170,11,1)=" ",IFERROR(INT(MID(Metadata!E170,12,1))&gt;=0,FALSE),IFERROR(INT(MID(Metadata!E170,12,1))&lt;=2,FALSE),NOT(MID(Metadata!E170,13,1)=""),IFERROR(INT(MID(Metadata!E170,12,2))&gt;=0,FALSE),IFERROR(INT(MID(Metadata!E170,12,2))&lt;=23,FALSE)), OR(MID(Metadata!E170,14,1)="", AND(AND(MID(Metadata!E170,14,1)=":",IFERROR(INT(MID(Metadata!E170,15,1))&gt;=0,FALSE),IFERROR(INT(MID(Metadata!E170,15,1))&lt;=5,FALSE),NOT(MID(Metadata!E170,16,1)=""),IFERROR(INT(MID(Metadata!E170,15,2))&gt;=0,FALSE),IFERROR(INT(MID(Metadata!E170,15,2))&lt;=59,FALSE)), OR(MID(Metadata!E170,17,1)="", AND(AND(MID(Metadata!E170,17,1)=":",IFERROR(INT(MID(Metadata!E170,18,1))&gt;=0,FALSE),IFERROR(INT(MID(Metadata!E170,18,1))&lt;=5,FALSE),NOT(MID(Metadata!E170,19,1)=""),IFERROR(INT(MID(Metadata!E170,18,2))&gt;=0,FALSE),IFERROR(INT(MID(Metadata!E170,18,2))&lt;=59,FALSE)), LEN(Metadata!E170)&lt;=19)))))))))))))</f>
        <v>0</v>
      </c>
      <c r="AS170" t="b">
        <f>IF(Metadata!F170="",FALSE,TRUE)</f>
        <v>0</v>
      </c>
      <c r="AT170" t="b">
        <f>OR(AND(IF(Metadata!G170="",FALSE,TRUE),OR(EXACT(Metadata!G170,"not collected"),EXACT(Metadata!G170,"not provided"))),AND(IF(Metadata!G170="",FALSE,TRUE),OR(EXACT(Metadata!G170,"TRUE"),EXACT(Metadata!G170,"FALSE"))))</f>
        <v>0</v>
      </c>
      <c r="AU170" t="b">
        <f>OR(AND(IF(Metadata!H170="",FALSE,TRUE),OR(EXACT(Metadata!H170,"not collected"),EXACT(Metadata!H170,"not provided"),EXACT(Metadata!H170,"restricted access"))),AND(IF(Metadata!H170="",FALSE,ISNUMBER(VALUE(Metadata!H170))),Metadata!H170&gt;=-413))</f>
        <v>0</v>
      </c>
      <c r="AV170" t="b">
        <f>AND(IF(Metadata!I170="",FALSE,TRUE),EXACT(Metadata!I170,"meters"))</f>
        <v>0</v>
      </c>
      <c r="AW170" t="b">
        <f>AND(IF(Metadata!J170="",FALSE,TRUE),EXACT(Metadata!J170,"free-living"))</f>
        <v>0</v>
      </c>
      <c r="AX170" t="b">
        <f>AND(IF(Metadata!K170="",FALSE,TRUE),OR(EXACT(Metadata!K170,"saline"),EXACT(Metadata!K170,"non-saline")))</f>
        <v>0</v>
      </c>
      <c r="AY170" t="b">
        <f>AND(IF(Metadata!L170="",FALSE,TRUE),OR(EXACT(Metadata!L170,"sub-surface (non-saline)"),EXACT(Metadata!L170,"surface (non-saline)"),EXACT(Metadata!L170,"water (non-saline)"),EXACT(Metadata!L170,"soil (non-saline)"),EXACT(Metadata!L170,"aerosol (non-saline)"),EXACT(Metadata!L170,"sediment (non-saline)"),EXACT(Metadata!L170,"surface (saline)"),EXACT(Metadata!L170,"water (saline)"),EXACT(Metadata!L170,"hypersaline (saline)"),EXACT(Metadata!L170,"aerosol (saline)"),EXACT(Metadata!L170,"sediment (saline)")))</f>
        <v>0</v>
      </c>
      <c r="AZ170" t="b">
        <f>IF(Metadata!M170="",FALSE,TRUE)</f>
        <v>0</v>
      </c>
      <c r="BA170" t="b">
        <f>IF(Metadata!N170="",FALSE,TRUE)</f>
        <v>0</v>
      </c>
      <c r="BB170" t="b">
        <f>IF(Metadata!O170="",FALSE,TRUE)</f>
        <v>0</v>
      </c>
      <c r="BC170" t="b">
        <f>AND(IF(Metadata!P170="",FALSE,TRUE),OR(EXACT(Metadata!P170,"air"),EXACT(Metadata!P170,"microbial mat/biofilm"),EXACT(Metadata!P170,"misc environment"),EXACT(Metadata!P170,"sediment"),EXACT(Metadata!P170,"soil"),EXACT(Metadata!P170,"wastewater/sludge"),EXACT(Metadata!P170,"water")))</f>
        <v>0</v>
      </c>
      <c r="BD170" t="b">
        <f>IF(Metadata!Q170="",FALSE,TRUE)</f>
        <v>0</v>
      </c>
      <c r="BE170" t="b">
        <f>IF(Metadata!R170="",FALSE,TRUE)</f>
        <v>0</v>
      </c>
      <c r="BF170" t="b">
        <f>OR(AND(IF(Metadata!S170="",FALSE,TRUE),OR(EXACT(Metadata!S170,"not collected"),EXACT(Metadata!S170,"not provided"),EXACT(Metadata!S170,"restricted access"))),AND(IF(Metadata!S170="",FALSE,ISNUMBER(VALUE(Metadata!S170))),Metadata!S170&gt;=-90,Metadata!S170&lt;=90))</f>
        <v>0</v>
      </c>
      <c r="BG170" t="b">
        <f>AND(IF(Metadata!T170="",FALSE,TRUE),EXACT(Metadata!T170,"Decimal degrees"))</f>
        <v>0</v>
      </c>
      <c r="BH170" t="b">
        <f>OR(AND(IF(Metadata!U170="",FALSE,TRUE),OR(EXACT(Metadata!U170,"not applicable"),EXACT(Metadata!U170,"not collected"))),IF(Metadata!U170="",FALSE,TRUE))</f>
        <v>0</v>
      </c>
      <c r="BI170" t="b">
        <f>OR(AND(IF(Metadata!V170="",FALSE,TRUE),OR(EXACT(Metadata!V170,"not collected"),EXACT(Metadata!V170,"not provided"),EXACT(Metadata!V170,"restricted access"))),AND(IF(Metadata!V170="",FALSE,ISNUMBER(VALUE(Metadata!V170))),Metadata!V170&gt;=-180,Metadata!V170&lt;=180))</f>
        <v>0</v>
      </c>
      <c r="BJ170" t="b">
        <f>AND(IF(Metadata!W170="",FALSE,TRUE),EXACT(Metadata!W170,"Decimal degrees"))</f>
        <v>0</v>
      </c>
      <c r="BK170" t="b">
        <f>IF(Metadata!X170="",FALSE,TRUE)</f>
        <v>0</v>
      </c>
      <c r="BL170" t="b">
        <f>OR(AND(IF(Metadata!Y170="",FALSE,TRUE),OR(EXACT(Metadata!Y170,"not collected"),EXACT(Metadata!Y170,"not provided"),EXACT(Metadata!Y170,"restricted access"))),AND(IF(Metadata!Y170="",FALSE,TRUE),OR(EXACT(Metadata!Y170,"TRUE"),EXACT(Metadata!Y170,"FALSE"))))</f>
        <v>0</v>
      </c>
      <c r="BM170" t="b">
        <f>OR(AND(IF(Metadata!Z170="",FALSE,TRUE),EXACT(Metadata!Z170,"not applicable")),AND(IF(Metadata!Z170="",FALSE,TRUE),OR(EXACT(Metadata!Z170,"beer"),EXACT(Metadata!Z170,"cheese"),EXACT(Metadata!Z170,"fresh water"),EXACT(Metadata!Z170,"marine sediment"),EXACT(Metadata!Z170,"sea water"),EXACT(Metadata!Z170,"sediment"),EXACT(Metadata!Z170,"soil"),EXACT(Metadata!Z170,"waste water"))))</f>
        <v>0</v>
      </c>
      <c r="BN170" t="b">
        <f>AND(IF(Metadata!AA170="",FALSE,TRUE),EXACT(Metadata!AA170,"metagenome"))</f>
        <v>0</v>
      </c>
      <c r="BO170" t="b">
        <f>AND(IF(Metadata!AB170="",FALSE,TRUE),EXACT(Metadata!AB170,"256318"))</f>
        <v>0</v>
      </c>
      <c r="BP170" t="b">
        <f>IF(Metadata!AC170="",FALSE,TRUE)</f>
        <v>0</v>
      </c>
      <c r="BQ170" t="b">
        <f>IF(Metadata!AD170="",FALSE,TRUE)</f>
        <v>0</v>
      </c>
    </row>
    <row r="171" spans="1:69" x14ac:dyDescent="0.2">
      <c r="A171" s="4" t="e">
        <f ca="1">IF(B171=" "," ",HYPERLINK(CONCATENATE("#metadata!",ADDRESS(INDEX($AJ$2:$AJ$1001,MATCH(ROWS($AH$2:AH171),$AH$2:$AH$1001,0),0),2)),INDEX($AM$2:$AM$1001,MATCH(ROWS($AH$2:AH171),$AH$2:$AH$1001,0),0)))</f>
        <v>#N/A</v>
      </c>
      <c r="B171" s="5" t="e">
        <f ca="1">IF(OR(INDEX($AI$2:$AI$1001,MATCH(ROWS($AH$2:AH171),$AH$2:$AH$1001,0),1)&gt;=100000,INDEX($AO$1005:$BQ$1005,1,MATCH(COLUMNS($AO$1006:AO1006),$AO$1006:$BQ$1006,0))&gt;=100000), " ",IF(INDEX($AO$2:$BQ$1001,MATCH(ROWS($AH$2:AH171),$AH$2:$AH$1001,0),MATCH(COLUMNS($AO$1006:AO1006),$AO$1006:$BQ$1006,0)), HYPERLINK("#",""), HYPERLINK(CONCATENATE("#Metadata!", ADDRESS(INDEX($AJ$2:$AJ$1001,MATCH(ROWS($AH$2:AH171),$AH$2:$AH$1001,0),0), INDEX($AO$1004:$BQ$1004,1,MATCH(COLUMNS($AO$1006:AO1006),$AO$1006:$BQ$1006,0)))),"Fix")))</f>
        <v>#N/A</v>
      </c>
      <c r="C171" s="5" t="e">
        <f ca="1">IF(OR(INDEX($AI$2:$AI$1001,MATCH(ROWS($AH$2:AH171),$AH$2:$AH$1001,0),1)&gt;=100000,INDEX($AO$1005:$BQ$1005,1,MATCH(COLUMNS($AO$1006:AP1006),$AO$1006:$BQ$1006,0))&gt;=100000), " ",IF(INDEX($AO$2:$BQ$1001,MATCH(ROWS($AH$2:AH171),$AH$2:$AH$1001,0),MATCH(COLUMNS($AO$1006:AP1006),$AO$1006:$BQ$1006,0)), HYPERLINK("#",""), HYPERLINK(CONCATENATE("#Metadata!", ADDRESS(INDEX($AJ$2:$AJ$1001,MATCH(ROWS($AH$2:AH171),$AH$2:$AH$1001,0),0), INDEX($AO$1004:$BQ$1004,1,MATCH(COLUMNS($AO$1006:AP1006),$AO$1006:$BQ$1006,0)))),"Fix")))</f>
        <v>#N/A</v>
      </c>
      <c r="D171" s="5" t="e">
        <f ca="1">IF(OR(INDEX($AI$2:$AI$1001,MATCH(ROWS($AH$2:AH171),$AH$2:$AH$1001,0),1)&gt;=100000,INDEX($AO$1005:$BQ$1005,1,MATCH(COLUMNS($AO$1006:AQ1006),$AO$1006:$BQ$1006,0))&gt;=100000), " ",IF(INDEX($AO$2:$BQ$1001,MATCH(ROWS($AH$2:AH171),$AH$2:$AH$1001,0),MATCH(COLUMNS($AO$1006:AQ1006),$AO$1006:$BQ$1006,0)), HYPERLINK("#",""), HYPERLINK(CONCATENATE("#Metadata!", ADDRESS(INDEX($AJ$2:$AJ$1001,MATCH(ROWS($AH$2:AH171),$AH$2:$AH$1001,0),0), INDEX($AO$1004:$BQ$1004,1,MATCH(COLUMNS($AO$1006:AQ1006),$AO$1006:$BQ$1006,0)))),"Fix")))</f>
        <v>#N/A</v>
      </c>
      <c r="E171" s="5" t="e">
        <f ca="1">IF(OR(INDEX($AI$2:$AI$1001,MATCH(ROWS($AH$2:AH171),$AH$2:$AH$1001,0),1)&gt;=100000,INDEX($AO$1005:$BQ$1005,1,MATCH(COLUMNS($AO$1006:AR1006),$AO$1006:$BQ$1006,0))&gt;=100000), " ",IF(INDEX($AO$2:$BQ$1001,MATCH(ROWS($AH$2:AH171),$AH$2:$AH$1001,0),MATCH(COLUMNS($AO$1006:AR1006),$AO$1006:$BQ$1006,0)), HYPERLINK("#",""), HYPERLINK(CONCATENATE("#Metadata!", ADDRESS(INDEX($AJ$2:$AJ$1001,MATCH(ROWS($AH$2:AH171),$AH$2:$AH$1001,0),0), INDEX($AO$1004:$BQ$1004,1,MATCH(COLUMNS($AO$1006:AR1006),$AO$1006:$BQ$1006,0)))),"Fix")))</f>
        <v>#N/A</v>
      </c>
      <c r="F171" s="5" t="e">
        <f ca="1">IF(OR(INDEX($AI$2:$AI$1001,MATCH(ROWS($AH$2:AH171),$AH$2:$AH$1001,0),1)&gt;=100000,INDEX($AO$1005:$BQ$1005,1,MATCH(COLUMNS($AO$1006:AS1006),$AO$1006:$BQ$1006,0))&gt;=100000), " ",IF(INDEX($AO$2:$BQ$1001,MATCH(ROWS($AH$2:AH171),$AH$2:$AH$1001,0),MATCH(COLUMNS($AO$1006:AS1006),$AO$1006:$BQ$1006,0)), HYPERLINK("#",""), HYPERLINK(CONCATENATE("#Metadata!", ADDRESS(INDEX($AJ$2:$AJ$1001,MATCH(ROWS($AH$2:AH171),$AH$2:$AH$1001,0),0), INDEX($AO$1004:$BQ$1004,1,MATCH(COLUMNS($AO$1006:AS1006),$AO$1006:$BQ$1006,0)))),"Fix")))</f>
        <v>#N/A</v>
      </c>
      <c r="G171" s="5" t="e">
        <f ca="1">IF(OR(INDEX($AI$2:$AI$1001,MATCH(ROWS($AH$2:AH171),$AH$2:$AH$1001,0),1)&gt;=100000,INDEX($AO$1005:$BQ$1005,1,MATCH(COLUMNS($AO$1006:AT1006),$AO$1006:$BQ$1006,0))&gt;=100000), " ",IF(INDEX($AO$2:$BQ$1001,MATCH(ROWS($AH$2:AH171),$AH$2:$AH$1001,0),MATCH(COLUMNS($AO$1006:AT1006),$AO$1006:$BQ$1006,0)), HYPERLINK("#",""), HYPERLINK(CONCATENATE("#Metadata!", ADDRESS(INDEX($AJ$2:$AJ$1001,MATCH(ROWS($AH$2:AH171),$AH$2:$AH$1001,0),0), INDEX($AO$1004:$BQ$1004,1,MATCH(COLUMNS($AO$1006:AT1006),$AO$1006:$BQ$1006,0)))),"Fix")))</f>
        <v>#N/A</v>
      </c>
      <c r="H171" s="5" t="e">
        <f ca="1">IF(OR(INDEX($AI$2:$AI$1001,MATCH(ROWS($AH$2:AH171),$AH$2:$AH$1001,0),1)&gt;=100000,INDEX($AO$1005:$BQ$1005,1,MATCH(COLUMNS($AO$1006:AU1006),$AO$1006:$BQ$1006,0))&gt;=100000), " ",IF(INDEX($AO$2:$BQ$1001,MATCH(ROWS($AH$2:AH171),$AH$2:$AH$1001,0),MATCH(COLUMNS($AO$1006:AU1006),$AO$1006:$BQ$1006,0)), HYPERLINK("#",""), HYPERLINK(CONCATENATE("#Metadata!", ADDRESS(INDEX($AJ$2:$AJ$1001,MATCH(ROWS($AH$2:AH171),$AH$2:$AH$1001,0),0), INDEX($AO$1004:$BQ$1004,1,MATCH(COLUMNS($AO$1006:AU1006),$AO$1006:$BQ$1006,0)))),"Fix")))</f>
        <v>#N/A</v>
      </c>
      <c r="I171" s="5" t="e">
        <f ca="1">IF(OR(INDEX($AI$2:$AI$1001,MATCH(ROWS($AH$2:AH171),$AH$2:$AH$1001,0),1)&gt;=100000,INDEX($AO$1005:$BQ$1005,1,MATCH(COLUMNS($AO$1006:AV1006),$AO$1006:$BQ$1006,0))&gt;=100000), " ",IF(INDEX($AO$2:$BQ$1001,MATCH(ROWS($AH$2:AH171),$AH$2:$AH$1001,0),MATCH(COLUMNS($AO$1006:AV1006),$AO$1006:$BQ$1006,0)), HYPERLINK("#",""), HYPERLINK(CONCATENATE("#Metadata!", ADDRESS(INDEX($AJ$2:$AJ$1001,MATCH(ROWS($AH$2:AH171),$AH$2:$AH$1001,0),0), INDEX($AO$1004:$BQ$1004,1,MATCH(COLUMNS($AO$1006:AV1006),$AO$1006:$BQ$1006,0)))),"Fix")))</f>
        <v>#N/A</v>
      </c>
      <c r="J171" s="5" t="e">
        <f ca="1">IF(OR(INDEX($AI$2:$AI$1001,MATCH(ROWS($AH$2:AH171),$AH$2:$AH$1001,0),1)&gt;=100000,INDEX($AO$1005:$BQ$1005,1,MATCH(COLUMNS($AO$1006:AW1006),$AO$1006:$BQ$1006,0))&gt;=100000), " ",IF(INDEX($AO$2:$BQ$1001,MATCH(ROWS($AH$2:AH171),$AH$2:$AH$1001,0),MATCH(COLUMNS($AO$1006:AW1006),$AO$1006:$BQ$1006,0)), HYPERLINK("#",""), HYPERLINK(CONCATENATE("#Metadata!", ADDRESS(INDEX($AJ$2:$AJ$1001,MATCH(ROWS($AH$2:AH171),$AH$2:$AH$1001,0),0), INDEX($AO$1004:$BQ$1004,1,MATCH(COLUMNS($AO$1006:AW1006),$AO$1006:$BQ$1006,0)))),"Fix")))</f>
        <v>#N/A</v>
      </c>
      <c r="K171" s="5" t="e">
        <f ca="1">IF(OR(INDEX($AI$2:$AI$1001,MATCH(ROWS($AH$2:AH171),$AH$2:$AH$1001,0),1)&gt;=100000,INDEX($AO$1005:$BQ$1005,1,MATCH(COLUMNS($AO$1006:AX1006),$AO$1006:$BQ$1006,0))&gt;=100000), " ",IF(INDEX($AO$2:$BQ$1001,MATCH(ROWS($AH$2:AH171),$AH$2:$AH$1001,0),MATCH(COLUMNS($AO$1006:AX1006),$AO$1006:$BQ$1006,0)), HYPERLINK("#",""), HYPERLINK(CONCATENATE("#Metadata!", ADDRESS(INDEX($AJ$2:$AJ$1001,MATCH(ROWS($AH$2:AH171),$AH$2:$AH$1001,0),0), INDEX($AO$1004:$BQ$1004,1,MATCH(COLUMNS($AO$1006:AX1006),$AO$1006:$BQ$1006,0)))),"Fix")))</f>
        <v>#N/A</v>
      </c>
      <c r="L171" s="5" t="e">
        <f ca="1">IF(OR(INDEX($AI$2:$AI$1001,MATCH(ROWS($AH$2:AH171),$AH$2:$AH$1001,0),1)&gt;=100000,INDEX($AO$1005:$BQ$1005,1,MATCH(COLUMNS($AO$1006:AY1006),$AO$1006:$BQ$1006,0))&gt;=100000), " ",IF(INDEX($AO$2:$BQ$1001,MATCH(ROWS($AH$2:AH171),$AH$2:$AH$1001,0),MATCH(COLUMNS($AO$1006:AY1006),$AO$1006:$BQ$1006,0)), HYPERLINK("#",""), HYPERLINK(CONCATENATE("#Metadata!", ADDRESS(INDEX($AJ$2:$AJ$1001,MATCH(ROWS($AH$2:AH171),$AH$2:$AH$1001,0),0), INDEX($AO$1004:$BQ$1004,1,MATCH(COLUMNS($AO$1006:AY1006),$AO$1006:$BQ$1006,0)))),"Fix")))</f>
        <v>#N/A</v>
      </c>
      <c r="M171" s="5" t="e">
        <f ca="1">IF(OR(INDEX($AI$2:$AI$1001,MATCH(ROWS($AH$2:AH171),$AH$2:$AH$1001,0),1)&gt;=100000,INDEX($AO$1005:$BQ$1005,1,MATCH(COLUMNS($AO$1006:AZ1006),$AO$1006:$BQ$1006,0))&gt;=100000), " ",IF(INDEX($AO$2:$BQ$1001,MATCH(ROWS($AH$2:AH171),$AH$2:$AH$1001,0),MATCH(COLUMNS($AO$1006:AZ1006),$AO$1006:$BQ$1006,0)), HYPERLINK("#",""), HYPERLINK(CONCATENATE("#Metadata!", ADDRESS(INDEX($AJ$2:$AJ$1001,MATCH(ROWS($AH$2:AH171),$AH$2:$AH$1001,0),0), INDEX($AO$1004:$BQ$1004,1,MATCH(COLUMNS($AO$1006:AZ1006),$AO$1006:$BQ$1006,0)))),"Fix")))</f>
        <v>#N/A</v>
      </c>
      <c r="N171" s="5" t="e">
        <f ca="1">IF(OR(INDEX($AI$2:$AI$1001,MATCH(ROWS($AH$2:AH171),$AH$2:$AH$1001,0),1)&gt;=100000,INDEX($AO$1005:$BQ$1005,1,MATCH(COLUMNS($AO$1006:BA1006),$AO$1006:$BQ$1006,0))&gt;=100000), " ",IF(INDEX($AO$2:$BQ$1001,MATCH(ROWS($AH$2:AH171),$AH$2:$AH$1001,0),MATCH(COLUMNS($AO$1006:BA1006),$AO$1006:$BQ$1006,0)), HYPERLINK("#",""), HYPERLINK(CONCATENATE("#Metadata!", ADDRESS(INDEX($AJ$2:$AJ$1001,MATCH(ROWS($AH$2:AH171),$AH$2:$AH$1001,0),0), INDEX($AO$1004:$BQ$1004,1,MATCH(COLUMNS($AO$1006:BA1006),$AO$1006:$BQ$1006,0)))),"Fix")))</f>
        <v>#N/A</v>
      </c>
      <c r="O171" s="5" t="e">
        <f ca="1">IF(OR(INDEX($AI$2:$AI$1001,MATCH(ROWS($AH$2:AH171),$AH$2:$AH$1001,0),1)&gt;=100000,INDEX($AO$1005:$BQ$1005,1,MATCH(COLUMNS($AO$1006:BB1006),$AO$1006:$BQ$1006,0))&gt;=100000), " ",IF(INDEX($AO$2:$BQ$1001,MATCH(ROWS($AH$2:AH171),$AH$2:$AH$1001,0),MATCH(COLUMNS($AO$1006:BB1006),$AO$1006:$BQ$1006,0)), HYPERLINK("#",""), HYPERLINK(CONCATENATE("#Metadata!", ADDRESS(INDEX($AJ$2:$AJ$1001,MATCH(ROWS($AH$2:AH171),$AH$2:$AH$1001,0),0), INDEX($AO$1004:$BQ$1004,1,MATCH(COLUMNS($AO$1006:BB1006),$AO$1006:$BQ$1006,0)))),"Fix")))</f>
        <v>#N/A</v>
      </c>
      <c r="P171" s="5" t="e">
        <f ca="1">IF(OR(INDEX($AI$2:$AI$1001,MATCH(ROWS($AH$2:AH171),$AH$2:$AH$1001,0),1)&gt;=100000,INDEX($AO$1005:$BQ$1005,1,MATCH(COLUMNS($AO$1006:BC1006),$AO$1006:$BQ$1006,0))&gt;=100000), " ",IF(INDEX($AO$2:$BQ$1001,MATCH(ROWS($AH$2:AH171),$AH$2:$AH$1001,0),MATCH(COLUMNS($AO$1006:BC1006),$AO$1006:$BQ$1006,0)), HYPERLINK("#",""), HYPERLINK(CONCATENATE("#Metadata!", ADDRESS(INDEX($AJ$2:$AJ$1001,MATCH(ROWS($AH$2:AH171),$AH$2:$AH$1001,0),0), INDEX($AO$1004:$BQ$1004,1,MATCH(COLUMNS($AO$1006:BC1006),$AO$1006:$BQ$1006,0)))),"Fix")))</f>
        <v>#N/A</v>
      </c>
      <c r="Q171" s="5" t="e">
        <f ca="1">IF(OR(INDEX($AI$2:$AI$1001,MATCH(ROWS($AH$2:AH171),$AH$2:$AH$1001,0),1)&gt;=100000,INDEX($AO$1005:$BQ$1005,1,MATCH(COLUMNS($AO$1006:BD1006),$AO$1006:$BQ$1006,0))&gt;=100000), " ",IF(INDEX($AO$2:$BQ$1001,MATCH(ROWS($AH$2:AH171),$AH$2:$AH$1001,0),MATCH(COLUMNS($AO$1006:BD1006),$AO$1006:$BQ$1006,0)), HYPERLINK("#",""), HYPERLINK(CONCATENATE("#Metadata!", ADDRESS(INDEX($AJ$2:$AJ$1001,MATCH(ROWS($AH$2:AH171),$AH$2:$AH$1001,0),0), INDEX($AO$1004:$BQ$1004,1,MATCH(COLUMNS($AO$1006:BD1006),$AO$1006:$BQ$1006,0)))),"Fix")))</f>
        <v>#N/A</v>
      </c>
      <c r="R171" s="5" t="e">
        <f ca="1">IF(OR(INDEX($AI$2:$AI$1001,MATCH(ROWS($AH$2:AH171),$AH$2:$AH$1001,0),1)&gt;=100000,INDEX($AO$1005:$BQ$1005,1,MATCH(COLUMNS($AO$1006:BE1006),$AO$1006:$BQ$1006,0))&gt;=100000), " ",IF(INDEX($AO$2:$BQ$1001,MATCH(ROWS($AH$2:AH171),$AH$2:$AH$1001,0),MATCH(COLUMNS($AO$1006:BE1006),$AO$1006:$BQ$1006,0)), HYPERLINK("#",""), HYPERLINK(CONCATENATE("#Metadata!", ADDRESS(INDEX($AJ$2:$AJ$1001,MATCH(ROWS($AH$2:AH171),$AH$2:$AH$1001,0),0), INDEX($AO$1004:$BQ$1004,1,MATCH(COLUMNS($AO$1006:BE1006),$AO$1006:$BQ$1006,0)))),"Fix")))</f>
        <v>#N/A</v>
      </c>
      <c r="S171" s="5" t="e">
        <f ca="1">IF(OR(INDEX($AI$2:$AI$1001,MATCH(ROWS($AH$2:AH171),$AH$2:$AH$1001,0),1)&gt;=100000,INDEX($AO$1005:$BQ$1005,1,MATCH(COLUMNS($AO$1006:BF1006),$AO$1006:$BQ$1006,0))&gt;=100000), " ",IF(INDEX($AO$2:$BQ$1001,MATCH(ROWS($AH$2:AH171),$AH$2:$AH$1001,0),MATCH(COLUMNS($AO$1006:BF1006),$AO$1006:$BQ$1006,0)), HYPERLINK("#",""), HYPERLINK(CONCATENATE("#Metadata!", ADDRESS(INDEX($AJ$2:$AJ$1001,MATCH(ROWS($AH$2:AH171),$AH$2:$AH$1001,0),0), INDEX($AO$1004:$BQ$1004,1,MATCH(COLUMNS($AO$1006:BF1006),$AO$1006:$BQ$1006,0)))),"Fix")))</f>
        <v>#N/A</v>
      </c>
      <c r="T171" s="5" t="e">
        <f ca="1">IF(OR(INDEX($AI$2:$AI$1001,MATCH(ROWS($AH$2:AH171),$AH$2:$AH$1001,0),1)&gt;=100000,INDEX($AO$1005:$BQ$1005,1,MATCH(COLUMNS($AO$1006:BG1006),$AO$1006:$BQ$1006,0))&gt;=100000), " ",IF(INDEX($AO$2:$BQ$1001,MATCH(ROWS($AH$2:AH171),$AH$2:$AH$1001,0),MATCH(COLUMNS($AO$1006:BG1006),$AO$1006:$BQ$1006,0)), HYPERLINK("#",""), HYPERLINK(CONCATENATE("#Metadata!", ADDRESS(INDEX($AJ$2:$AJ$1001,MATCH(ROWS($AH$2:AH171),$AH$2:$AH$1001,0),0), INDEX($AO$1004:$BQ$1004,1,MATCH(COLUMNS($AO$1006:BG1006),$AO$1006:$BQ$1006,0)))),"Fix")))</f>
        <v>#N/A</v>
      </c>
      <c r="U171" s="5" t="e">
        <f ca="1">IF(OR(INDEX($AI$2:$AI$1001,MATCH(ROWS($AH$2:AH171),$AH$2:$AH$1001,0),1)&gt;=100000,INDEX($AO$1005:$BQ$1005,1,MATCH(COLUMNS($AO$1006:BH1006),$AO$1006:$BQ$1006,0))&gt;=100000), " ",IF(INDEX($AO$2:$BQ$1001,MATCH(ROWS($AH$2:AH171),$AH$2:$AH$1001,0),MATCH(COLUMNS($AO$1006:BH1006),$AO$1006:$BQ$1006,0)), HYPERLINK("#",""), HYPERLINK(CONCATENATE("#Metadata!", ADDRESS(INDEX($AJ$2:$AJ$1001,MATCH(ROWS($AH$2:AH171),$AH$2:$AH$1001,0),0), INDEX($AO$1004:$BQ$1004,1,MATCH(COLUMNS($AO$1006:BH1006),$AO$1006:$BQ$1006,0)))),"Fix")))</f>
        <v>#N/A</v>
      </c>
      <c r="V171" s="5" t="e">
        <f ca="1">IF(OR(INDEX($AI$2:$AI$1001,MATCH(ROWS($AH$2:AH171),$AH$2:$AH$1001,0),1)&gt;=100000,INDEX($AO$1005:$BQ$1005,1,MATCH(COLUMNS($AO$1006:BI1006),$AO$1006:$BQ$1006,0))&gt;=100000), " ",IF(INDEX($AO$2:$BQ$1001,MATCH(ROWS($AH$2:AH171),$AH$2:$AH$1001,0),MATCH(COLUMNS($AO$1006:BI1006),$AO$1006:$BQ$1006,0)), HYPERLINK("#",""), HYPERLINK(CONCATENATE("#Metadata!", ADDRESS(INDEX($AJ$2:$AJ$1001,MATCH(ROWS($AH$2:AH171),$AH$2:$AH$1001,0),0), INDEX($AO$1004:$BQ$1004,1,MATCH(COLUMNS($AO$1006:BI1006),$AO$1006:$BQ$1006,0)))),"Fix")))</f>
        <v>#N/A</v>
      </c>
      <c r="W171" s="5" t="e">
        <f ca="1">IF(OR(INDEX($AI$2:$AI$1001,MATCH(ROWS($AH$2:AH171),$AH$2:$AH$1001,0),1)&gt;=100000,INDEX($AO$1005:$BQ$1005,1,MATCH(COLUMNS($AO$1006:BJ1006),$AO$1006:$BQ$1006,0))&gt;=100000), " ",IF(INDEX($AO$2:$BQ$1001,MATCH(ROWS($AH$2:AH171),$AH$2:$AH$1001,0),MATCH(COLUMNS($AO$1006:BJ1006),$AO$1006:$BQ$1006,0)), HYPERLINK("#",""), HYPERLINK(CONCATENATE("#Metadata!", ADDRESS(INDEX($AJ$2:$AJ$1001,MATCH(ROWS($AH$2:AH171),$AH$2:$AH$1001,0),0), INDEX($AO$1004:$BQ$1004,1,MATCH(COLUMNS($AO$1006:BJ1006),$AO$1006:$BQ$1006,0)))),"Fix")))</f>
        <v>#N/A</v>
      </c>
      <c r="X171" s="5" t="e">
        <f ca="1">IF(OR(INDEX($AI$2:$AI$1001,MATCH(ROWS($AH$2:AH171),$AH$2:$AH$1001,0),1)&gt;=100000,INDEX($AO$1005:$BQ$1005,1,MATCH(COLUMNS($AO$1006:BK1006),$AO$1006:$BQ$1006,0))&gt;=100000), " ",IF(INDEX($AO$2:$BQ$1001,MATCH(ROWS($AH$2:AH171),$AH$2:$AH$1001,0),MATCH(COLUMNS($AO$1006:BK1006),$AO$1006:$BQ$1006,0)), HYPERLINK("#",""), HYPERLINK(CONCATENATE("#Metadata!", ADDRESS(INDEX($AJ$2:$AJ$1001,MATCH(ROWS($AH$2:AH171),$AH$2:$AH$1001,0),0), INDEX($AO$1004:$BQ$1004,1,MATCH(COLUMNS($AO$1006:BK1006),$AO$1006:$BQ$1006,0)))),"Fix")))</f>
        <v>#N/A</v>
      </c>
      <c r="Y171" s="5" t="e">
        <f ca="1">IF(OR(INDEX($AI$2:$AI$1001,MATCH(ROWS($AH$2:AH171),$AH$2:$AH$1001,0),1)&gt;=100000,INDEX($AO$1005:$BQ$1005,1,MATCH(COLUMNS($AO$1006:BL1006),$AO$1006:$BQ$1006,0))&gt;=100000), " ",IF(INDEX($AO$2:$BQ$1001,MATCH(ROWS($AH$2:AH171),$AH$2:$AH$1001,0),MATCH(COLUMNS($AO$1006:BL1006),$AO$1006:$BQ$1006,0)), HYPERLINK("#",""), HYPERLINK(CONCATENATE("#Metadata!", ADDRESS(INDEX($AJ$2:$AJ$1001,MATCH(ROWS($AH$2:AH171),$AH$2:$AH$1001,0),0), INDEX($AO$1004:$BQ$1004,1,MATCH(COLUMNS($AO$1006:BL1006),$AO$1006:$BQ$1006,0)))),"Fix")))</f>
        <v>#N/A</v>
      </c>
      <c r="Z171" s="5" t="e">
        <f ca="1">IF(OR(INDEX($AI$2:$AI$1001,MATCH(ROWS($AH$2:AH171),$AH$2:$AH$1001,0),1)&gt;=100000,INDEX($AO$1005:$BQ$1005,1,MATCH(COLUMNS($AO$1006:BM1006),$AO$1006:$BQ$1006,0))&gt;=100000), " ",IF(INDEX($AO$2:$BQ$1001,MATCH(ROWS($AH$2:AH171),$AH$2:$AH$1001,0),MATCH(COLUMNS($AO$1006:BM1006),$AO$1006:$BQ$1006,0)), HYPERLINK("#",""), HYPERLINK(CONCATENATE("#Metadata!", ADDRESS(INDEX($AJ$2:$AJ$1001,MATCH(ROWS($AH$2:AH171),$AH$2:$AH$1001,0),0), INDEX($AO$1004:$BQ$1004,1,MATCH(COLUMNS($AO$1006:BM1006),$AO$1006:$BQ$1006,0)))),"Fix")))</f>
        <v>#N/A</v>
      </c>
      <c r="AA171" s="5" t="e">
        <f ca="1">IF(OR(INDEX($AI$2:$AI$1001,MATCH(ROWS($AH$2:AH171),$AH$2:$AH$1001,0),1)&gt;=100000,INDEX($AO$1005:$BQ$1005,1,MATCH(COLUMNS($AO$1006:BN1006),$AO$1006:$BQ$1006,0))&gt;=100000), " ",IF(INDEX($AO$2:$BQ$1001,MATCH(ROWS($AH$2:AH171),$AH$2:$AH$1001,0),MATCH(COLUMNS($AO$1006:BN1006),$AO$1006:$BQ$1006,0)), HYPERLINK("#",""), HYPERLINK(CONCATENATE("#Metadata!", ADDRESS(INDEX($AJ$2:$AJ$1001,MATCH(ROWS($AH$2:AH171),$AH$2:$AH$1001,0),0), INDEX($AO$1004:$BQ$1004,1,MATCH(COLUMNS($AO$1006:BN1006),$AO$1006:$BQ$1006,0)))),"Fix")))</f>
        <v>#N/A</v>
      </c>
      <c r="AB171" s="5" t="e">
        <f ca="1">IF(OR(INDEX($AI$2:$AI$1001,MATCH(ROWS($AH$2:AH171),$AH$2:$AH$1001,0),1)&gt;=100000,INDEX($AO$1005:$BQ$1005,1,MATCH(COLUMNS($AO$1006:BO1006),$AO$1006:$BQ$1006,0))&gt;=100000), " ",IF(INDEX($AO$2:$BQ$1001,MATCH(ROWS($AH$2:AH171),$AH$2:$AH$1001,0),MATCH(COLUMNS($AO$1006:BO1006),$AO$1006:$BQ$1006,0)), HYPERLINK("#",""), HYPERLINK(CONCATENATE("#Metadata!", ADDRESS(INDEX($AJ$2:$AJ$1001,MATCH(ROWS($AH$2:AH171),$AH$2:$AH$1001,0),0), INDEX($AO$1004:$BQ$1004,1,MATCH(COLUMNS($AO$1006:BO1006),$AO$1006:$BQ$1006,0)))),"Fix")))</f>
        <v>#N/A</v>
      </c>
      <c r="AC171" s="5" t="e">
        <f ca="1">IF(OR(INDEX($AI$2:$AI$1001,MATCH(ROWS($AH$2:AH171),$AH$2:$AH$1001,0),1)&gt;=100000,INDEX($AO$1005:$BQ$1005,1,MATCH(COLUMNS($AO$1006:BP1006),$AO$1006:$BQ$1006,0))&gt;=100000), " ",IF(INDEX($AO$2:$BQ$1001,MATCH(ROWS($AH$2:AH171),$AH$2:$AH$1001,0),MATCH(COLUMNS($AO$1006:BP1006),$AO$1006:$BQ$1006,0)), HYPERLINK("#",""), HYPERLINK(CONCATENATE("#Metadata!", ADDRESS(INDEX($AJ$2:$AJ$1001,MATCH(ROWS($AH$2:AH171),$AH$2:$AH$1001,0),0), INDEX($AO$1004:$BQ$1004,1,MATCH(COLUMNS($AO$1006:BP1006),$AO$1006:$BQ$1006,0)))),"Fix")))</f>
        <v>#N/A</v>
      </c>
      <c r="AD171" s="5" t="e">
        <f ca="1">IF(OR(INDEX($AI$2:$AI$1001,MATCH(ROWS($AH$2:AH171),$AH$2:$AH$1001,0),1)&gt;=100000,INDEX($AO$1005:$BQ$1005,1,MATCH(COLUMNS($AO$1006:BQ1006),$AO$1006:$BQ$1006,0))&gt;=100000), " ",IF(INDEX($AO$2:$BQ$1001,MATCH(ROWS($AH$2:AH171),$AH$2:$AH$1001,0),MATCH(COLUMNS($AO$1006:BQ1006),$AO$1006:$BQ$1006,0)), HYPERLINK("#",""), HYPERLINK(CONCATENATE("#Metadata!", ADDRESS(INDEX($AJ$2:$AJ$1001,MATCH(ROWS($AH$2:AH171),$AH$2:$AH$1001,0),0), INDEX($AO$1004:$BQ$1004,1,MATCH(COLUMNS($AO$1006:BQ1006),$AO$1006:$BQ$1006,0)))),"Fix")))</f>
        <v>#REF!</v>
      </c>
      <c r="AH171">
        <f ca="1"/>
        <v>168</v>
      </c>
      <c r="AI171">
        <v>100171</v>
      </c>
      <c r="AJ171">
        <v>171</v>
      </c>
      <c r="AK171" t="b">
        <f t="shared" si="2"/>
        <v>1</v>
      </c>
      <c r="AL171" t="b">
        <f>COUNTBLANK(Metadata!B171:AD171)=COLUMNS(Metadata!B171:AD171)</f>
        <v>1</v>
      </c>
      <c r="AM171" t="str">
        <v/>
      </c>
      <c r="AO171" t="b">
        <f ca="1">AND(IF(Metadata!B171="",FALSE,TRUE),COUNTIF(Metadata!B:B, Metadata!B171) = 1,NOT(ISERROR(SUMPRODUCT(SEARCH(MID(Metadata!B171,ROW(INDIRECT("1:"&amp;LEN(Metadata!B171))), 1),"0123456789abcdefghijklmnopqrstuvwxyzABCDEFGHIJKLMNOPQRSTUVWXYZ.")))))</f>
        <v>0</v>
      </c>
      <c r="AP171" t="b">
        <f>IF(Metadata!C171="",FALSE,TRUE)</f>
        <v>0</v>
      </c>
      <c r="AQ171" t="b">
        <f>IF(Metadata!D171="",FALSE,TRUE)</f>
        <v>0</v>
      </c>
      <c r="AR171" t="b">
        <f ca="1">OR(AND(IF(Metadata!E171="",FALSE,TRUE),OR(EXACT(Metadata!E171,"not collected"),EXACT(Metadata!E171,"not provided"),EXACT(Metadata!E171,"restricted access"))),AND(IF(Metadata!E171="",FALSE,TRUE),AND(AND(IFERROR(INT(LEFT(Metadata!E171,4))&gt;1900,FALSE),IFERROR(INT(LEFT(Metadata!E171,4))&lt;=YEAR(NOW()),FALSE)), OR(MID(Metadata!E171,5,1)="", AND(AND(MID(Metadata!E171,5,1)="-",IFERROR(INT(MID(Metadata!E171,6,1))&gt;=0,FALSE),IFERROR(INT(MID(Metadata!E171,6,1))&lt;=1,FALSE),NOT(MID(Metadata!E171,7,1)=""),IFERROR(INT(MID(Metadata!E171,6,2))&gt;=1,FALSE),IFERROR(INT(MID(Metadata!E171,6,2))&lt;=12,FALSE)), OR(MID(Metadata!E171,8,1)="", AND(AND(MID(Metadata!E171,8,1)="-",IFERROR(INT(MID(Metadata!E171,9,1))&gt;=0,FALSE),IFERROR(INT(MID(Metadata!E171,9,1))&lt;=3,FALSE),NOT(MID(Metadata!E171,10,1)=""),IFERROR(INT(MID(Metadata!E171,9,2))&gt;=1,FALSE),IFERROR(INT(MID(Metadata!E171,9,2))&lt;=31,FALSE)), OR(MID(Metadata!E171,11,1)="", AND(AND(MID(Metadata!E171,11,1)=" ",IFERROR(INT(MID(Metadata!E171,12,1))&gt;=0,FALSE),IFERROR(INT(MID(Metadata!E171,12,1))&lt;=2,FALSE),NOT(MID(Metadata!E171,13,1)=""),IFERROR(INT(MID(Metadata!E171,12,2))&gt;=0,FALSE),IFERROR(INT(MID(Metadata!E171,12,2))&lt;=23,FALSE)), OR(MID(Metadata!E171,14,1)="", AND(AND(MID(Metadata!E171,14,1)=":",IFERROR(INT(MID(Metadata!E171,15,1))&gt;=0,FALSE),IFERROR(INT(MID(Metadata!E171,15,1))&lt;=5,FALSE),NOT(MID(Metadata!E171,16,1)=""),IFERROR(INT(MID(Metadata!E171,15,2))&gt;=0,FALSE),IFERROR(INT(MID(Metadata!E171,15,2))&lt;=59,FALSE)), OR(MID(Metadata!E171,17,1)="", AND(AND(MID(Metadata!E171,17,1)=":",IFERROR(INT(MID(Metadata!E171,18,1))&gt;=0,FALSE),IFERROR(INT(MID(Metadata!E171,18,1))&lt;=5,FALSE),NOT(MID(Metadata!E171,19,1)=""),IFERROR(INT(MID(Metadata!E171,18,2))&gt;=0,FALSE),IFERROR(INT(MID(Metadata!E171,18,2))&lt;=59,FALSE)), LEN(Metadata!E171)&lt;=19)))))))))))))</f>
        <v>0</v>
      </c>
      <c r="AS171" t="b">
        <f>IF(Metadata!F171="",FALSE,TRUE)</f>
        <v>0</v>
      </c>
      <c r="AT171" t="b">
        <f>OR(AND(IF(Metadata!G171="",FALSE,TRUE),OR(EXACT(Metadata!G171,"not collected"),EXACT(Metadata!G171,"not provided"))),AND(IF(Metadata!G171="",FALSE,TRUE),OR(EXACT(Metadata!G171,"TRUE"),EXACT(Metadata!G171,"FALSE"))))</f>
        <v>0</v>
      </c>
      <c r="AU171" t="b">
        <f>OR(AND(IF(Metadata!H171="",FALSE,TRUE),OR(EXACT(Metadata!H171,"not collected"),EXACT(Metadata!H171,"not provided"),EXACT(Metadata!H171,"restricted access"))),AND(IF(Metadata!H171="",FALSE,ISNUMBER(VALUE(Metadata!H171))),Metadata!H171&gt;=-413))</f>
        <v>0</v>
      </c>
      <c r="AV171" t="b">
        <f>AND(IF(Metadata!I171="",FALSE,TRUE),EXACT(Metadata!I171,"meters"))</f>
        <v>0</v>
      </c>
      <c r="AW171" t="b">
        <f>AND(IF(Metadata!J171="",FALSE,TRUE),EXACT(Metadata!J171,"free-living"))</f>
        <v>0</v>
      </c>
      <c r="AX171" t="b">
        <f>AND(IF(Metadata!K171="",FALSE,TRUE),OR(EXACT(Metadata!K171,"saline"),EXACT(Metadata!K171,"non-saline")))</f>
        <v>0</v>
      </c>
      <c r="AY171" t="b">
        <f>AND(IF(Metadata!L171="",FALSE,TRUE),OR(EXACT(Metadata!L171,"sub-surface (non-saline)"),EXACT(Metadata!L171,"surface (non-saline)"),EXACT(Metadata!L171,"water (non-saline)"),EXACT(Metadata!L171,"soil (non-saline)"),EXACT(Metadata!L171,"aerosol (non-saline)"),EXACT(Metadata!L171,"sediment (non-saline)"),EXACT(Metadata!L171,"surface (saline)"),EXACT(Metadata!L171,"water (saline)"),EXACT(Metadata!L171,"hypersaline (saline)"),EXACT(Metadata!L171,"aerosol (saline)"),EXACT(Metadata!L171,"sediment (saline)")))</f>
        <v>0</v>
      </c>
      <c r="AZ171" t="b">
        <f>IF(Metadata!M171="",FALSE,TRUE)</f>
        <v>0</v>
      </c>
      <c r="BA171" t="b">
        <f>IF(Metadata!N171="",FALSE,TRUE)</f>
        <v>0</v>
      </c>
      <c r="BB171" t="b">
        <f>IF(Metadata!O171="",FALSE,TRUE)</f>
        <v>0</v>
      </c>
      <c r="BC171" t="b">
        <f>AND(IF(Metadata!P171="",FALSE,TRUE),OR(EXACT(Metadata!P171,"air"),EXACT(Metadata!P171,"microbial mat/biofilm"),EXACT(Metadata!P171,"misc environment"),EXACT(Metadata!P171,"sediment"),EXACT(Metadata!P171,"soil"),EXACT(Metadata!P171,"wastewater/sludge"),EXACT(Metadata!P171,"water")))</f>
        <v>0</v>
      </c>
      <c r="BD171" t="b">
        <f>IF(Metadata!Q171="",FALSE,TRUE)</f>
        <v>0</v>
      </c>
      <c r="BE171" t="b">
        <f>IF(Metadata!R171="",FALSE,TRUE)</f>
        <v>0</v>
      </c>
      <c r="BF171" t="b">
        <f>OR(AND(IF(Metadata!S171="",FALSE,TRUE),OR(EXACT(Metadata!S171,"not collected"),EXACT(Metadata!S171,"not provided"),EXACT(Metadata!S171,"restricted access"))),AND(IF(Metadata!S171="",FALSE,ISNUMBER(VALUE(Metadata!S171))),Metadata!S171&gt;=-90,Metadata!S171&lt;=90))</f>
        <v>0</v>
      </c>
      <c r="BG171" t="b">
        <f>AND(IF(Metadata!T171="",FALSE,TRUE),EXACT(Metadata!T171,"Decimal degrees"))</f>
        <v>0</v>
      </c>
      <c r="BH171" t="b">
        <f>OR(AND(IF(Metadata!U171="",FALSE,TRUE),OR(EXACT(Metadata!U171,"not applicable"),EXACT(Metadata!U171,"not collected"))),IF(Metadata!U171="",FALSE,TRUE))</f>
        <v>0</v>
      </c>
      <c r="BI171" t="b">
        <f>OR(AND(IF(Metadata!V171="",FALSE,TRUE),OR(EXACT(Metadata!V171,"not collected"),EXACT(Metadata!V171,"not provided"),EXACT(Metadata!V171,"restricted access"))),AND(IF(Metadata!V171="",FALSE,ISNUMBER(VALUE(Metadata!V171))),Metadata!V171&gt;=-180,Metadata!V171&lt;=180))</f>
        <v>0</v>
      </c>
      <c r="BJ171" t="b">
        <f>AND(IF(Metadata!W171="",FALSE,TRUE),EXACT(Metadata!W171,"Decimal degrees"))</f>
        <v>0</v>
      </c>
      <c r="BK171" t="b">
        <f>IF(Metadata!X171="",FALSE,TRUE)</f>
        <v>0</v>
      </c>
      <c r="BL171" t="b">
        <f>OR(AND(IF(Metadata!Y171="",FALSE,TRUE),OR(EXACT(Metadata!Y171,"not collected"),EXACT(Metadata!Y171,"not provided"),EXACT(Metadata!Y171,"restricted access"))),AND(IF(Metadata!Y171="",FALSE,TRUE),OR(EXACT(Metadata!Y171,"TRUE"),EXACT(Metadata!Y171,"FALSE"))))</f>
        <v>0</v>
      </c>
      <c r="BM171" t="b">
        <f>OR(AND(IF(Metadata!Z171="",FALSE,TRUE),EXACT(Metadata!Z171,"not applicable")),AND(IF(Metadata!Z171="",FALSE,TRUE),OR(EXACT(Metadata!Z171,"beer"),EXACT(Metadata!Z171,"cheese"),EXACT(Metadata!Z171,"fresh water"),EXACT(Metadata!Z171,"marine sediment"),EXACT(Metadata!Z171,"sea water"),EXACT(Metadata!Z171,"sediment"),EXACT(Metadata!Z171,"soil"),EXACT(Metadata!Z171,"waste water"))))</f>
        <v>0</v>
      </c>
      <c r="BN171" t="b">
        <f>AND(IF(Metadata!AA171="",FALSE,TRUE),EXACT(Metadata!AA171,"metagenome"))</f>
        <v>0</v>
      </c>
      <c r="BO171" t="b">
        <f>AND(IF(Metadata!AB171="",FALSE,TRUE),EXACT(Metadata!AB171,"256318"))</f>
        <v>0</v>
      </c>
      <c r="BP171" t="b">
        <f>IF(Metadata!AC171="",FALSE,TRUE)</f>
        <v>0</v>
      </c>
      <c r="BQ171" t="b">
        <f>IF(Metadata!AD171="",FALSE,TRUE)</f>
        <v>0</v>
      </c>
    </row>
    <row r="172" spans="1:69" x14ac:dyDescent="0.2">
      <c r="A172" s="4" t="e">
        <f ca="1">IF(B172=" "," ",HYPERLINK(CONCATENATE("#metadata!",ADDRESS(INDEX($AJ$2:$AJ$1001,MATCH(ROWS($AH$2:AH172),$AH$2:$AH$1001,0),0),2)),INDEX($AM$2:$AM$1001,MATCH(ROWS($AH$2:AH172),$AH$2:$AH$1001,0),0)))</f>
        <v>#N/A</v>
      </c>
      <c r="B172" s="5" t="e">
        <f ca="1">IF(OR(INDEX($AI$2:$AI$1001,MATCH(ROWS($AH$2:AH172),$AH$2:$AH$1001,0),1)&gt;=100000,INDEX($AO$1005:$BQ$1005,1,MATCH(COLUMNS($AO$1006:AO1006),$AO$1006:$BQ$1006,0))&gt;=100000), " ",IF(INDEX($AO$2:$BQ$1001,MATCH(ROWS($AH$2:AH172),$AH$2:$AH$1001,0),MATCH(COLUMNS($AO$1006:AO1006),$AO$1006:$BQ$1006,0)), HYPERLINK("#",""), HYPERLINK(CONCATENATE("#Metadata!", ADDRESS(INDEX($AJ$2:$AJ$1001,MATCH(ROWS($AH$2:AH172),$AH$2:$AH$1001,0),0), INDEX($AO$1004:$BQ$1004,1,MATCH(COLUMNS($AO$1006:AO1006),$AO$1006:$BQ$1006,0)))),"Fix")))</f>
        <v>#N/A</v>
      </c>
      <c r="C172" s="5" t="e">
        <f ca="1">IF(OR(INDEX($AI$2:$AI$1001,MATCH(ROWS($AH$2:AH172),$AH$2:$AH$1001,0),1)&gt;=100000,INDEX($AO$1005:$BQ$1005,1,MATCH(COLUMNS($AO$1006:AP1006),$AO$1006:$BQ$1006,0))&gt;=100000), " ",IF(INDEX($AO$2:$BQ$1001,MATCH(ROWS($AH$2:AH172),$AH$2:$AH$1001,0),MATCH(COLUMNS($AO$1006:AP1006),$AO$1006:$BQ$1006,0)), HYPERLINK("#",""), HYPERLINK(CONCATENATE("#Metadata!", ADDRESS(INDEX($AJ$2:$AJ$1001,MATCH(ROWS($AH$2:AH172),$AH$2:$AH$1001,0),0), INDEX($AO$1004:$BQ$1004,1,MATCH(COLUMNS($AO$1006:AP1006),$AO$1006:$BQ$1006,0)))),"Fix")))</f>
        <v>#N/A</v>
      </c>
      <c r="D172" s="5" t="e">
        <f ca="1">IF(OR(INDEX($AI$2:$AI$1001,MATCH(ROWS($AH$2:AH172),$AH$2:$AH$1001,0),1)&gt;=100000,INDEX($AO$1005:$BQ$1005,1,MATCH(COLUMNS($AO$1006:AQ1006),$AO$1006:$BQ$1006,0))&gt;=100000), " ",IF(INDEX($AO$2:$BQ$1001,MATCH(ROWS($AH$2:AH172),$AH$2:$AH$1001,0),MATCH(COLUMNS($AO$1006:AQ1006),$AO$1006:$BQ$1006,0)), HYPERLINK("#",""), HYPERLINK(CONCATENATE("#Metadata!", ADDRESS(INDEX($AJ$2:$AJ$1001,MATCH(ROWS($AH$2:AH172),$AH$2:$AH$1001,0),0), INDEX($AO$1004:$BQ$1004,1,MATCH(COLUMNS($AO$1006:AQ1006),$AO$1006:$BQ$1006,0)))),"Fix")))</f>
        <v>#N/A</v>
      </c>
      <c r="E172" s="5" t="e">
        <f ca="1">IF(OR(INDEX($AI$2:$AI$1001,MATCH(ROWS($AH$2:AH172),$AH$2:$AH$1001,0),1)&gt;=100000,INDEX($AO$1005:$BQ$1005,1,MATCH(COLUMNS($AO$1006:AR1006),$AO$1006:$BQ$1006,0))&gt;=100000), " ",IF(INDEX($AO$2:$BQ$1001,MATCH(ROWS($AH$2:AH172),$AH$2:$AH$1001,0),MATCH(COLUMNS($AO$1006:AR1006),$AO$1006:$BQ$1006,0)), HYPERLINK("#",""), HYPERLINK(CONCATENATE("#Metadata!", ADDRESS(INDEX($AJ$2:$AJ$1001,MATCH(ROWS($AH$2:AH172),$AH$2:$AH$1001,0),0), INDEX($AO$1004:$BQ$1004,1,MATCH(COLUMNS($AO$1006:AR1006),$AO$1006:$BQ$1006,0)))),"Fix")))</f>
        <v>#N/A</v>
      </c>
      <c r="F172" s="5" t="e">
        <f ca="1">IF(OR(INDEX($AI$2:$AI$1001,MATCH(ROWS($AH$2:AH172),$AH$2:$AH$1001,0),1)&gt;=100000,INDEX($AO$1005:$BQ$1005,1,MATCH(COLUMNS($AO$1006:AS1006),$AO$1006:$BQ$1006,0))&gt;=100000), " ",IF(INDEX($AO$2:$BQ$1001,MATCH(ROWS($AH$2:AH172),$AH$2:$AH$1001,0),MATCH(COLUMNS($AO$1006:AS1006),$AO$1006:$BQ$1006,0)), HYPERLINK("#",""), HYPERLINK(CONCATENATE("#Metadata!", ADDRESS(INDEX($AJ$2:$AJ$1001,MATCH(ROWS($AH$2:AH172),$AH$2:$AH$1001,0),0), INDEX($AO$1004:$BQ$1004,1,MATCH(COLUMNS($AO$1006:AS1006),$AO$1006:$BQ$1006,0)))),"Fix")))</f>
        <v>#N/A</v>
      </c>
      <c r="G172" s="5" t="e">
        <f ca="1">IF(OR(INDEX($AI$2:$AI$1001,MATCH(ROWS($AH$2:AH172),$AH$2:$AH$1001,0),1)&gt;=100000,INDEX($AO$1005:$BQ$1005,1,MATCH(COLUMNS($AO$1006:AT1006),$AO$1006:$BQ$1006,0))&gt;=100000), " ",IF(INDEX($AO$2:$BQ$1001,MATCH(ROWS($AH$2:AH172),$AH$2:$AH$1001,0),MATCH(COLUMNS($AO$1006:AT1006),$AO$1006:$BQ$1006,0)), HYPERLINK("#",""), HYPERLINK(CONCATENATE("#Metadata!", ADDRESS(INDEX($AJ$2:$AJ$1001,MATCH(ROWS($AH$2:AH172),$AH$2:$AH$1001,0),0), INDEX($AO$1004:$BQ$1004,1,MATCH(COLUMNS($AO$1006:AT1006),$AO$1006:$BQ$1006,0)))),"Fix")))</f>
        <v>#N/A</v>
      </c>
      <c r="H172" s="5" t="e">
        <f ca="1">IF(OR(INDEX($AI$2:$AI$1001,MATCH(ROWS($AH$2:AH172),$AH$2:$AH$1001,0),1)&gt;=100000,INDEX($AO$1005:$BQ$1005,1,MATCH(COLUMNS($AO$1006:AU1006),$AO$1006:$BQ$1006,0))&gt;=100000), " ",IF(INDEX($AO$2:$BQ$1001,MATCH(ROWS($AH$2:AH172),$AH$2:$AH$1001,0),MATCH(COLUMNS($AO$1006:AU1006),$AO$1006:$BQ$1006,0)), HYPERLINK("#",""), HYPERLINK(CONCATENATE("#Metadata!", ADDRESS(INDEX($AJ$2:$AJ$1001,MATCH(ROWS($AH$2:AH172),$AH$2:$AH$1001,0),0), INDEX($AO$1004:$BQ$1004,1,MATCH(COLUMNS($AO$1006:AU1006),$AO$1006:$BQ$1006,0)))),"Fix")))</f>
        <v>#N/A</v>
      </c>
      <c r="I172" s="5" t="e">
        <f ca="1">IF(OR(INDEX($AI$2:$AI$1001,MATCH(ROWS($AH$2:AH172),$AH$2:$AH$1001,0),1)&gt;=100000,INDEX($AO$1005:$BQ$1005,1,MATCH(COLUMNS($AO$1006:AV1006),$AO$1006:$BQ$1006,0))&gt;=100000), " ",IF(INDEX($AO$2:$BQ$1001,MATCH(ROWS($AH$2:AH172),$AH$2:$AH$1001,0),MATCH(COLUMNS($AO$1006:AV1006),$AO$1006:$BQ$1006,0)), HYPERLINK("#",""), HYPERLINK(CONCATENATE("#Metadata!", ADDRESS(INDEX($AJ$2:$AJ$1001,MATCH(ROWS($AH$2:AH172),$AH$2:$AH$1001,0),0), INDEX($AO$1004:$BQ$1004,1,MATCH(COLUMNS($AO$1006:AV1006),$AO$1006:$BQ$1006,0)))),"Fix")))</f>
        <v>#N/A</v>
      </c>
      <c r="J172" s="5" t="e">
        <f ca="1">IF(OR(INDEX($AI$2:$AI$1001,MATCH(ROWS($AH$2:AH172),$AH$2:$AH$1001,0),1)&gt;=100000,INDEX($AO$1005:$BQ$1005,1,MATCH(COLUMNS($AO$1006:AW1006),$AO$1006:$BQ$1006,0))&gt;=100000), " ",IF(INDEX($AO$2:$BQ$1001,MATCH(ROWS($AH$2:AH172),$AH$2:$AH$1001,0),MATCH(COLUMNS($AO$1006:AW1006),$AO$1006:$BQ$1006,0)), HYPERLINK("#",""), HYPERLINK(CONCATENATE("#Metadata!", ADDRESS(INDEX($AJ$2:$AJ$1001,MATCH(ROWS($AH$2:AH172),$AH$2:$AH$1001,0),0), INDEX($AO$1004:$BQ$1004,1,MATCH(COLUMNS($AO$1006:AW1006),$AO$1006:$BQ$1006,0)))),"Fix")))</f>
        <v>#N/A</v>
      </c>
      <c r="K172" s="5" t="e">
        <f ca="1">IF(OR(INDEX($AI$2:$AI$1001,MATCH(ROWS($AH$2:AH172),$AH$2:$AH$1001,0),1)&gt;=100000,INDEX($AO$1005:$BQ$1005,1,MATCH(COLUMNS($AO$1006:AX1006),$AO$1006:$BQ$1006,0))&gt;=100000), " ",IF(INDEX($AO$2:$BQ$1001,MATCH(ROWS($AH$2:AH172),$AH$2:$AH$1001,0),MATCH(COLUMNS($AO$1006:AX1006),$AO$1006:$BQ$1006,0)), HYPERLINK("#",""), HYPERLINK(CONCATENATE("#Metadata!", ADDRESS(INDEX($AJ$2:$AJ$1001,MATCH(ROWS($AH$2:AH172),$AH$2:$AH$1001,0),0), INDEX($AO$1004:$BQ$1004,1,MATCH(COLUMNS($AO$1006:AX1006),$AO$1006:$BQ$1006,0)))),"Fix")))</f>
        <v>#N/A</v>
      </c>
      <c r="L172" s="5" t="e">
        <f ca="1">IF(OR(INDEX($AI$2:$AI$1001,MATCH(ROWS($AH$2:AH172),$AH$2:$AH$1001,0),1)&gt;=100000,INDEX($AO$1005:$BQ$1005,1,MATCH(COLUMNS($AO$1006:AY1006),$AO$1006:$BQ$1006,0))&gt;=100000), " ",IF(INDEX($AO$2:$BQ$1001,MATCH(ROWS($AH$2:AH172),$AH$2:$AH$1001,0),MATCH(COLUMNS($AO$1006:AY1006),$AO$1006:$BQ$1006,0)), HYPERLINK("#",""), HYPERLINK(CONCATENATE("#Metadata!", ADDRESS(INDEX($AJ$2:$AJ$1001,MATCH(ROWS($AH$2:AH172),$AH$2:$AH$1001,0),0), INDEX($AO$1004:$BQ$1004,1,MATCH(COLUMNS($AO$1006:AY1006),$AO$1006:$BQ$1006,0)))),"Fix")))</f>
        <v>#N/A</v>
      </c>
      <c r="M172" s="5" t="e">
        <f ca="1">IF(OR(INDEX($AI$2:$AI$1001,MATCH(ROWS($AH$2:AH172),$AH$2:$AH$1001,0),1)&gt;=100000,INDEX($AO$1005:$BQ$1005,1,MATCH(COLUMNS($AO$1006:AZ1006),$AO$1006:$BQ$1006,0))&gt;=100000), " ",IF(INDEX($AO$2:$BQ$1001,MATCH(ROWS($AH$2:AH172),$AH$2:$AH$1001,0),MATCH(COLUMNS($AO$1006:AZ1006),$AO$1006:$BQ$1006,0)), HYPERLINK("#",""), HYPERLINK(CONCATENATE("#Metadata!", ADDRESS(INDEX($AJ$2:$AJ$1001,MATCH(ROWS($AH$2:AH172),$AH$2:$AH$1001,0),0), INDEX($AO$1004:$BQ$1004,1,MATCH(COLUMNS($AO$1006:AZ1006),$AO$1006:$BQ$1006,0)))),"Fix")))</f>
        <v>#N/A</v>
      </c>
      <c r="N172" s="5" t="e">
        <f ca="1">IF(OR(INDEX($AI$2:$AI$1001,MATCH(ROWS($AH$2:AH172),$AH$2:$AH$1001,0),1)&gt;=100000,INDEX($AO$1005:$BQ$1005,1,MATCH(COLUMNS($AO$1006:BA1006),$AO$1006:$BQ$1006,0))&gt;=100000), " ",IF(INDEX($AO$2:$BQ$1001,MATCH(ROWS($AH$2:AH172),$AH$2:$AH$1001,0),MATCH(COLUMNS($AO$1006:BA1006),$AO$1006:$BQ$1006,0)), HYPERLINK("#",""), HYPERLINK(CONCATENATE("#Metadata!", ADDRESS(INDEX($AJ$2:$AJ$1001,MATCH(ROWS($AH$2:AH172),$AH$2:$AH$1001,0),0), INDEX($AO$1004:$BQ$1004,1,MATCH(COLUMNS($AO$1006:BA1006),$AO$1006:$BQ$1006,0)))),"Fix")))</f>
        <v>#N/A</v>
      </c>
      <c r="O172" s="5" t="e">
        <f ca="1">IF(OR(INDEX($AI$2:$AI$1001,MATCH(ROWS($AH$2:AH172),$AH$2:$AH$1001,0),1)&gt;=100000,INDEX($AO$1005:$BQ$1005,1,MATCH(COLUMNS($AO$1006:BB1006),$AO$1006:$BQ$1006,0))&gt;=100000), " ",IF(INDEX($AO$2:$BQ$1001,MATCH(ROWS($AH$2:AH172),$AH$2:$AH$1001,0),MATCH(COLUMNS($AO$1006:BB1006),$AO$1006:$BQ$1006,0)), HYPERLINK("#",""), HYPERLINK(CONCATENATE("#Metadata!", ADDRESS(INDEX($AJ$2:$AJ$1001,MATCH(ROWS($AH$2:AH172),$AH$2:$AH$1001,0),0), INDEX($AO$1004:$BQ$1004,1,MATCH(COLUMNS($AO$1006:BB1006),$AO$1006:$BQ$1006,0)))),"Fix")))</f>
        <v>#N/A</v>
      </c>
      <c r="P172" s="5" t="e">
        <f ca="1">IF(OR(INDEX($AI$2:$AI$1001,MATCH(ROWS($AH$2:AH172),$AH$2:$AH$1001,0),1)&gt;=100000,INDEX($AO$1005:$BQ$1005,1,MATCH(COLUMNS($AO$1006:BC1006),$AO$1006:$BQ$1006,0))&gt;=100000), " ",IF(INDEX($AO$2:$BQ$1001,MATCH(ROWS($AH$2:AH172),$AH$2:$AH$1001,0),MATCH(COLUMNS($AO$1006:BC1006),$AO$1006:$BQ$1006,0)), HYPERLINK("#",""), HYPERLINK(CONCATENATE("#Metadata!", ADDRESS(INDEX($AJ$2:$AJ$1001,MATCH(ROWS($AH$2:AH172),$AH$2:$AH$1001,0),0), INDEX($AO$1004:$BQ$1004,1,MATCH(COLUMNS($AO$1006:BC1006),$AO$1006:$BQ$1006,0)))),"Fix")))</f>
        <v>#N/A</v>
      </c>
      <c r="Q172" s="5" t="e">
        <f ca="1">IF(OR(INDEX($AI$2:$AI$1001,MATCH(ROWS($AH$2:AH172),$AH$2:$AH$1001,0),1)&gt;=100000,INDEX($AO$1005:$BQ$1005,1,MATCH(COLUMNS($AO$1006:BD1006),$AO$1006:$BQ$1006,0))&gt;=100000), " ",IF(INDEX($AO$2:$BQ$1001,MATCH(ROWS($AH$2:AH172),$AH$2:$AH$1001,0),MATCH(COLUMNS($AO$1006:BD1006),$AO$1006:$BQ$1006,0)), HYPERLINK("#",""), HYPERLINK(CONCATENATE("#Metadata!", ADDRESS(INDEX($AJ$2:$AJ$1001,MATCH(ROWS($AH$2:AH172),$AH$2:$AH$1001,0),0), INDEX($AO$1004:$BQ$1004,1,MATCH(COLUMNS($AO$1006:BD1006),$AO$1006:$BQ$1006,0)))),"Fix")))</f>
        <v>#N/A</v>
      </c>
      <c r="R172" s="5" t="e">
        <f ca="1">IF(OR(INDEX($AI$2:$AI$1001,MATCH(ROWS($AH$2:AH172),$AH$2:$AH$1001,0),1)&gt;=100000,INDEX($AO$1005:$BQ$1005,1,MATCH(COLUMNS($AO$1006:BE1006),$AO$1006:$BQ$1006,0))&gt;=100000), " ",IF(INDEX($AO$2:$BQ$1001,MATCH(ROWS($AH$2:AH172),$AH$2:$AH$1001,0),MATCH(COLUMNS($AO$1006:BE1006),$AO$1006:$BQ$1006,0)), HYPERLINK("#",""), HYPERLINK(CONCATENATE("#Metadata!", ADDRESS(INDEX($AJ$2:$AJ$1001,MATCH(ROWS($AH$2:AH172),$AH$2:$AH$1001,0),0), INDEX($AO$1004:$BQ$1004,1,MATCH(COLUMNS($AO$1006:BE1006),$AO$1006:$BQ$1006,0)))),"Fix")))</f>
        <v>#N/A</v>
      </c>
      <c r="S172" s="5" t="e">
        <f ca="1">IF(OR(INDEX($AI$2:$AI$1001,MATCH(ROWS($AH$2:AH172),$AH$2:$AH$1001,0),1)&gt;=100000,INDEX($AO$1005:$BQ$1005,1,MATCH(COLUMNS($AO$1006:BF1006),$AO$1006:$BQ$1006,0))&gt;=100000), " ",IF(INDEX($AO$2:$BQ$1001,MATCH(ROWS($AH$2:AH172),$AH$2:$AH$1001,0),MATCH(COLUMNS($AO$1006:BF1006),$AO$1006:$BQ$1006,0)), HYPERLINK("#",""), HYPERLINK(CONCATENATE("#Metadata!", ADDRESS(INDEX($AJ$2:$AJ$1001,MATCH(ROWS($AH$2:AH172),$AH$2:$AH$1001,0),0), INDEX($AO$1004:$BQ$1004,1,MATCH(COLUMNS($AO$1006:BF1006),$AO$1006:$BQ$1006,0)))),"Fix")))</f>
        <v>#N/A</v>
      </c>
      <c r="T172" s="5" t="e">
        <f ca="1">IF(OR(INDEX($AI$2:$AI$1001,MATCH(ROWS($AH$2:AH172),$AH$2:$AH$1001,0),1)&gt;=100000,INDEX($AO$1005:$BQ$1005,1,MATCH(COLUMNS($AO$1006:BG1006),$AO$1006:$BQ$1006,0))&gt;=100000), " ",IF(INDEX($AO$2:$BQ$1001,MATCH(ROWS($AH$2:AH172),$AH$2:$AH$1001,0),MATCH(COLUMNS($AO$1006:BG1006),$AO$1006:$BQ$1006,0)), HYPERLINK("#",""), HYPERLINK(CONCATENATE("#Metadata!", ADDRESS(INDEX($AJ$2:$AJ$1001,MATCH(ROWS($AH$2:AH172),$AH$2:$AH$1001,0),0), INDEX($AO$1004:$BQ$1004,1,MATCH(COLUMNS($AO$1006:BG1006),$AO$1006:$BQ$1006,0)))),"Fix")))</f>
        <v>#N/A</v>
      </c>
      <c r="U172" s="5" t="e">
        <f ca="1">IF(OR(INDEX($AI$2:$AI$1001,MATCH(ROWS($AH$2:AH172),$AH$2:$AH$1001,0),1)&gt;=100000,INDEX($AO$1005:$BQ$1005,1,MATCH(COLUMNS($AO$1006:BH1006),$AO$1006:$BQ$1006,0))&gt;=100000), " ",IF(INDEX($AO$2:$BQ$1001,MATCH(ROWS($AH$2:AH172),$AH$2:$AH$1001,0),MATCH(COLUMNS($AO$1006:BH1006),$AO$1006:$BQ$1006,0)), HYPERLINK("#",""), HYPERLINK(CONCATENATE("#Metadata!", ADDRESS(INDEX($AJ$2:$AJ$1001,MATCH(ROWS($AH$2:AH172),$AH$2:$AH$1001,0),0), INDEX($AO$1004:$BQ$1004,1,MATCH(COLUMNS($AO$1006:BH1006),$AO$1006:$BQ$1006,0)))),"Fix")))</f>
        <v>#N/A</v>
      </c>
      <c r="V172" s="5" t="e">
        <f ca="1">IF(OR(INDEX($AI$2:$AI$1001,MATCH(ROWS($AH$2:AH172),$AH$2:$AH$1001,0),1)&gt;=100000,INDEX($AO$1005:$BQ$1005,1,MATCH(COLUMNS($AO$1006:BI1006),$AO$1006:$BQ$1006,0))&gt;=100000), " ",IF(INDEX($AO$2:$BQ$1001,MATCH(ROWS($AH$2:AH172),$AH$2:$AH$1001,0),MATCH(COLUMNS($AO$1006:BI1006),$AO$1006:$BQ$1006,0)), HYPERLINK("#",""), HYPERLINK(CONCATENATE("#Metadata!", ADDRESS(INDEX($AJ$2:$AJ$1001,MATCH(ROWS($AH$2:AH172),$AH$2:$AH$1001,0),0), INDEX($AO$1004:$BQ$1004,1,MATCH(COLUMNS($AO$1006:BI1006),$AO$1006:$BQ$1006,0)))),"Fix")))</f>
        <v>#N/A</v>
      </c>
      <c r="W172" s="5" t="e">
        <f ca="1">IF(OR(INDEX($AI$2:$AI$1001,MATCH(ROWS($AH$2:AH172),$AH$2:$AH$1001,0),1)&gt;=100000,INDEX($AO$1005:$BQ$1005,1,MATCH(COLUMNS($AO$1006:BJ1006),$AO$1006:$BQ$1006,0))&gt;=100000), " ",IF(INDEX($AO$2:$BQ$1001,MATCH(ROWS($AH$2:AH172),$AH$2:$AH$1001,0),MATCH(COLUMNS($AO$1006:BJ1006),$AO$1006:$BQ$1006,0)), HYPERLINK("#",""), HYPERLINK(CONCATENATE("#Metadata!", ADDRESS(INDEX($AJ$2:$AJ$1001,MATCH(ROWS($AH$2:AH172),$AH$2:$AH$1001,0),0), INDEX($AO$1004:$BQ$1004,1,MATCH(COLUMNS($AO$1006:BJ1006),$AO$1006:$BQ$1006,0)))),"Fix")))</f>
        <v>#N/A</v>
      </c>
      <c r="X172" s="5" t="e">
        <f ca="1">IF(OR(INDEX($AI$2:$AI$1001,MATCH(ROWS($AH$2:AH172),$AH$2:$AH$1001,0),1)&gt;=100000,INDEX($AO$1005:$BQ$1005,1,MATCH(COLUMNS($AO$1006:BK1006),$AO$1006:$BQ$1006,0))&gt;=100000), " ",IF(INDEX($AO$2:$BQ$1001,MATCH(ROWS($AH$2:AH172),$AH$2:$AH$1001,0),MATCH(COLUMNS($AO$1006:BK1006),$AO$1006:$BQ$1006,0)), HYPERLINK("#",""), HYPERLINK(CONCATENATE("#Metadata!", ADDRESS(INDEX($AJ$2:$AJ$1001,MATCH(ROWS($AH$2:AH172),$AH$2:$AH$1001,0),0), INDEX($AO$1004:$BQ$1004,1,MATCH(COLUMNS($AO$1006:BK1006),$AO$1006:$BQ$1006,0)))),"Fix")))</f>
        <v>#N/A</v>
      </c>
      <c r="Y172" s="5" t="e">
        <f ca="1">IF(OR(INDEX($AI$2:$AI$1001,MATCH(ROWS($AH$2:AH172),$AH$2:$AH$1001,0),1)&gt;=100000,INDEX($AO$1005:$BQ$1005,1,MATCH(COLUMNS($AO$1006:BL1006),$AO$1006:$BQ$1006,0))&gt;=100000), " ",IF(INDEX($AO$2:$BQ$1001,MATCH(ROWS($AH$2:AH172),$AH$2:$AH$1001,0),MATCH(COLUMNS($AO$1006:BL1006),$AO$1006:$BQ$1006,0)), HYPERLINK("#",""), HYPERLINK(CONCATENATE("#Metadata!", ADDRESS(INDEX($AJ$2:$AJ$1001,MATCH(ROWS($AH$2:AH172),$AH$2:$AH$1001,0),0), INDEX($AO$1004:$BQ$1004,1,MATCH(COLUMNS($AO$1006:BL1006),$AO$1006:$BQ$1006,0)))),"Fix")))</f>
        <v>#N/A</v>
      </c>
      <c r="Z172" s="5" t="e">
        <f ca="1">IF(OR(INDEX($AI$2:$AI$1001,MATCH(ROWS($AH$2:AH172),$AH$2:$AH$1001,0),1)&gt;=100000,INDEX($AO$1005:$BQ$1005,1,MATCH(COLUMNS($AO$1006:BM1006),$AO$1006:$BQ$1006,0))&gt;=100000), " ",IF(INDEX($AO$2:$BQ$1001,MATCH(ROWS($AH$2:AH172),$AH$2:$AH$1001,0),MATCH(COLUMNS($AO$1006:BM1006),$AO$1006:$BQ$1006,0)), HYPERLINK("#",""), HYPERLINK(CONCATENATE("#Metadata!", ADDRESS(INDEX($AJ$2:$AJ$1001,MATCH(ROWS($AH$2:AH172),$AH$2:$AH$1001,0),0), INDEX($AO$1004:$BQ$1004,1,MATCH(COLUMNS($AO$1006:BM1006),$AO$1006:$BQ$1006,0)))),"Fix")))</f>
        <v>#N/A</v>
      </c>
      <c r="AA172" s="5" t="e">
        <f ca="1">IF(OR(INDEX($AI$2:$AI$1001,MATCH(ROWS($AH$2:AH172),$AH$2:$AH$1001,0),1)&gt;=100000,INDEX($AO$1005:$BQ$1005,1,MATCH(COLUMNS($AO$1006:BN1006),$AO$1006:$BQ$1006,0))&gt;=100000), " ",IF(INDEX($AO$2:$BQ$1001,MATCH(ROWS($AH$2:AH172),$AH$2:$AH$1001,0),MATCH(COLUMNS($AO$1006:BN1006),$AO$1006:$BQ$1006,0)), HYPERLINK("#",""), HYPERLINK(CONCATENATE("#Metadata!", ADDRESS(INDEX($AJ$2:$AJ$1001,MATCH(ROWS($AH$2:AH172),$AH$2:$AH$1001,0),0), INDEX($AO$1004:$BQ$1004,1,MATCH(COLUMNS($AO$1006:BN1006),$AO$1006:$BQ$1006,0)))),"Fix")))</f>
        <v>#N/A</v>
      </c>
      <c r="AB172" s="5" t="e">
        <f ca="1">IF(OR(INDEX($AI$2:$AI$1001,MATCH(ROWS($AH$2:AH172),$AH$2:$AH$1001,0),1)&gt;=100000,INDEX($AO$1005:$BQ$1005,1,MATCH(COLUMNS($AO$1006:BO1006),$AO$1006:$BQ$1006,0))&gt;=100000), " ",IF(INDEX($AO$2:$BQ$1001,MATCH(ROWS($AH$2:AH172),$AH$2:$AH$1001,0),MATCH(COLUMNS($AO$1006:BO1006),$AO$1006:$BQ$1006,0)), HYPERLINK("#",""), HYPERLINK(CONCATENATE("#Metadata!", ADDRESS(INDEX($AJ$2:$AJ$1001,MATCH(ROWS($AH$2:AH172),$AH$2:$AH$1001,0),0), INDEX($AO$1004:$BQ$1004,1,MATCH(COLUMNS($AO$1006:BO1006),$AO$1006:$BQ$1006,0)))),"Fix")))</f>
        <v>#N/A</v>
      </c>
      <c r="AC172" s="5" t="e">
        <f ca="1">IF(OR(INDEX($AI$2:$AI$1001,MATCH(ROWS($AH$2:AH172),$AH$2:$AH$1001,0),1)&gt;=100000,INDEX($AO$1005:$BQ$1005,1,MATCH(COLUMNS($AO$1006:BP1006),$AO$1006:$BQ$1006,0))&gt;=100000), " ",IF(INDEX($AO$2:$BQ$1001,MATCH(ROWS($AH$2:AH172),$AH$2:$AH$1001,0),MATCH(COLUMNS($AO$1006:BP1006),$AO$1006:$BQ$1006,0)), HYPERLINK("#",""), HYPERLINK(CONCATENATE("#Metadata!", ADDRESS(INDEX($AJ$2:$AJ$1001,MATCH(ROWS($AH$2:AH172),$AH$2:$AH$1001,0),0), INDEX($AO$1004:$BQ$1004,1,MATCH(COLUMNS($AO$1006:BP1006),$AO$1006:$BQ$1006,0)))),"Fix")))</f>
        <v>#N/A</v>
      </c>
      <c r="AD172" s="5" t="e">
        <f ca="1">IF(OR(INDEX($AI$2:$AI$1001,MATCH(ROWS($AH$2:AH172),$AH$2:$AH$1001,0),1)&gt;=100000,INDEX($AO$1005:$BQ$1005,1,MATCH(COLUMNS($AO$1006:BQ1006),$AO$1006:$BQ$1006,0))&gt;=100000), " ",IF(INDEX($AO$2:$BQ$1001,MATCH(ROWS($AH$2:AH172),$AH$2:$AH$1001,0),MATCH(COLUMNS($AO$1006:BQ1006),$AO$1006:$BQ$1006,0)), HYPERLINK("#",""), HYPERLINK(CONCATENATE("#Metadata!", ADDRESS(INDEX($AJ$2:$AJ$1001,MATCH(ROWS($AH$2:AH172),$AH$2:$AH$1001,0),0), INDEX($AO$1004:$BQ$1004,1,MATCH(COLUMNS($AO$1006:BQ1006),$AO$1006:$BQ$1006,0)))),"Fix")))</f>
        <v>#REF!</v>
      </c>
      <c r="AH172">
        <f ca="1"/>
        <v>169</v>
      </c>
      <c r="AI172">
        <v>100172</v>
      </c>
      <c r="AJ172">
        <v>172</v>
      </c>
      <c r="AK172" t="b">
        <f t="shared" si="2"/>
        <v>1</v>
      </c>
      <c r="AL172" t="b">
        <f>COUNTBLANK(Metadata!B172:AD172)=COLUMNS(Metadata!B172:AD172)</f>
        <v>1</v>
      </c>
      <c r="AM172" t="str">
        <v/>
      </c>
      <c r="AO172" t="b">
        <f ca="1">AND(IF(Metadata!B172="",FALSE,TRUE),COUNTIF(Metadata!B:B, Metadata!B172) = 1,NOT(ISERROR(SUMPRODUCT(SEARCH(MID(Metadata!B172,ROW(INDIRECT("1:"&amp;LEN(Metadata!B172))), 1),"0123456789abcdefghijklmnopqrstuvwxyzABCDEFGHIJKLMNOPQRSTUVWXYZ.")))))</f>
        <v>0</v>
      </c>
      <c r="AP172" t="b">
        <f>IF(Metadata!C172="",FALSE,TRUE)</f>
        <v>0</v>
      </c>
      <c r="AQ172" t="b">
        <f>IF(Metadata!D172="",FALSE,TRUE)</f>
        <v>0</v>
      </c>
      <c r="AR172" t="b">
        <f ca="1">OR(AND(IF(Metadata!E172="",FALSE,TRUE),OR(EXACT(Metadata!E172,"not collected"),EXACT(Metadata!E172,"not provided"),EXACT(Metadata!E172,"restricted access"))),AND(IF(Metadata!E172="",FALSE,TRUE),AND(AND(IFERROR(INT(LEFT(Metadata!E172,4))&gt;1900,FALSE),IFERROR(INT(LEFT(Metadata!E172,4))&lt;=YEAR(NOW()),FALSE)), OR(MID(Metadata!E172,5,1)="", AND(AND(MID(Metadata!E172,5,1)="-",IFERROR(INT(MID(Metadata!E172,6,1))&gt;=0,FALSE),IFERROR(INT(MID(Metadata!E172,6,1))&lt;=1,FALSE),NOT(MID(Metadata!E172,7,1)=""),IFERROR(INT(MID(Metadata!E172,6,2))&gt;=1,FALSE),IFERROR(INT(MID(Metadata!E172,6,2))&lt;=12,FALSE)), OR(MID(Metadata!E172,8,1)="", AND(AND(MID(Metadata!E172,8,1)="-",IFERROR(INT(MID(Metadata!E172,9,1))&gt;=0,FALSE),IFERROR(INT(MID(Metadata!E172,9,1))&lt;=3,FALSE),NOT(MID(Metadata!E172,10,1)=""),IFERROR(INT(MID(Metadata!E172,9,2))&gt;=1,FALSE),IFERROR(INT(MID(Metadata!E172,9,2))&lt;=31,FALSE)), OR(MID(Metadata!E172,11,1)="", AND(AND(MID(Metadata!E172,11,1)=" ",IFERROR(INT(MID(Metadata!E172,12,1))&gt;=0,FALSE),IFERROR(INT(MID(Metadata!E172,12,1))&lt;=2,FALSE),NOT(MID(Metadata!E172,13,1)=""),IFERROR(INT(MID(Metadata!E172,12,2))&gt;=0,FALSE),IFERROR(INT(MID(Metadata!E172,12,2))&lt;=23,FALSE)), OR(MID(Metadata!E172,14,1)="", AND(AND(MID(Metadata!E172,14,1)=":",IFERROR(INT(MID(Metadata!E172,15,1))&gt;=0,FALSE),IFERROR(INT(MID(Metadata!E172,15,1))&lt;=5,FALSE),NOT(MID(Metadata!E172,16,1)=""),IFERROR(INT(MID(Metadata!E172,15,2))&gt;=0,FALSE),IFERROR(INT(MID(Metadata!E172,15,2))&lt;=59,FALSE)), OR(MID(Metadata!E172,17,1)="", AND(AND(MID(Metadata!E172,17,1)=":",IFERROR(INT(MID(Metadata!E172,18,1))&gt;=0,FALSE),IFERROR(INT(MID(Metadata!E172,18,1))&lt;=5,FALSE),NOT(MID(Metadata!E172,19,1)=""),IFERROR(INT(MID(Metadata!E172,18,2))&gt;=0,FALSE),IFERROR(INT(MID(Metadata!E172,18,2))&lt;=59,FALSE)), LEN(Metadata!E172)&lt;=19)))))))))))))</f>
        <v>0</v>
      </c>
      <c r="AS172" t="b">
        <f>IF(Metadata!F172="",FALSE,TRUE)</f>
        <v>0</v>
      </c>
      <c r="AT172" t="b">
        <f>OR(AND(IF(Metadata!G172="",FALSE,TRUE),OR(EXACT(Metadata!G172,"not collected"),EXACT(Metadata!G172,"not provided"))),AND(IF(Metadata!G172="",FALSE,TRUE),OR(EXACT(Metadata!G172,"TRUE"),EXACT(Metadata!G172,"FALSE"))))</f>
        <v>0</v>
      </c>
      <c r="AU172" t="b">
        <f>OR(AND(IF(Metadata!H172="",FALSE,TRUE),OR(EXACT(Metadata!H172,"not collected"),EXACT(Metadata!H172,"not provided"),EXACT(Metadata!H172,"restricted access"))),AND(IF(Metadata!H172="",FALSE,ISNUMBER(VALUE(Metadata!H172))),Metadata!H172&gt;=-413))</f>
        <v>0</v>
      </c>
      <c r="AV172" t="b">
        <f>AND(IF(Metadata!I172="",FALSE,TRUE),EXACT(Metadata!I172,"meters"))</f>
        <v>0</v>
      </c>
      <c r="AW172" t="b">
        <f>AND(IF(Metadata!J172="",FALSE,TRUE),EXACT(Metadata!J172,"free-living"))</f>
        <v>0</v>
      </c>
      <c r="AX172" t="b">
        <f>AND(IF(Metadata!K172="",FALSE,TRUE),OR(EXACT(Metadata!K172,"saline"),EXACT(Metadata!K172,"non-saline")))</f>
        <v>0</v>
      </c>
      <c r="AY172" t="b">
        <f>AND(IF(Metadata!L172="",FALSE,TRUE),OR(EXACT(Metadata!L172,"sub-surface (non-saline)"),EXACT(Metadata!L172,"surface (non-saline)"),EXACT(Metadata!L172,"water (non-saline)"),EXACT(Metadata!L172,"soil (non-saline)"),EXACT(Metadata!L172,"aerosol (non-saline)"),EXACT(Metadata!L172,"sediment (non-saline)"),EXACT(Metadata!L172,"surface (saline)"),EXACT(Metadata!L172,"water (saline)"),EXACT(Metadata!L172,"hypersaline (saline)"),EXACT(Metadata!L172,"aerosol (saline)"),EXACT(Metadata!L172,"sediment (saline)")))</f>
        <v>0</v>
      </c>
      <c r="AZ172" t="b">
        <f>IF(Metadata!M172="",FALSE,TRUE)</f>
        <v>0</v>
      </c>
      <c r="BA172" t="b">
        <f>IF(Metadata!N172="",FALSE,TRUE)</f>
        <v>0</v>
      </c>
      <c r="BB172" t="b">
        <f>IF(Metadata!O172="",FALSE,TRUE)</f>
        <v>0</v>
      </c>
      <c r="BC172" t="b">
        <f>AND(IF(Metadata!P172="",FALSE,TRUE),OR(EXACT(Metadata!P172,"air"),EXACT(Metadata!P172,"microbial mat/biofilm"),EXACT(Metadata!P172,"misc environment"),EXACT(Metadata!P172,"sediment"),EXACT(Metadata!P172,"soil"),EXACT(Metadata!P172,"wastewater/sludge"),EXACT(Metadata!P172,"water")))</f>
        <v>0</v>
      </c>
      <c r="BD172" t="b">
        <f>IF(Metadata!Q172="",FALSE,TRUE)</f>
        <v>0</v>
      </c>
      <c r="BE172" t="b">
        <f>IF(Metadata!R172="",FALSE,TRUE)</f>
        <v>0</v>
      </c>
      <c r="BF172" t="b">
        <f>OR(AND(IF(Metadata!S172="",FALSE,TRUE),OR(EXACT(Metadata!S172,"not collected"),EXACT(Metadata!S172,"not provided"),EXACT(Metadata!S172,"restricted access"))),AND(IF(Metadata!S172="",FALSE,ISNUMBER(VALUE(Metadata!S172))),Metadata!S172&gt;=-90,Metadata!S172&lt;=90))</f>
        <v>0</v>
      </c>
      <c r="BG172" t="b">
        <f>AND(IF(Metadata!T172="",FALSE,TRUE),EXACT(Metadata!T172,"Decimal degrees"))</f>
        <v>0</v>
      </c>
      <c r="BH172" t="b">
        <f>OR(AND(IF(Metadata!U172="",FALSE,TRUE),OR(EXACT(Metadata!U172,"not applicable"),EXACT(Metadata!U172,"not collected"))),IF(Metadata!U172="",FALSE,TRUE))</f>
        <v>0</v>
      </c>
      <c r="BI172" t="b">
        <f>OR(AND(IF(Metadata!V172="",FALSE,TRUE),OR(EXACT(Metadata!V172,"not collected"),EXACT(Metadata!V172,"not provided"),EXACT(Metadata!V172,"restricted access"))),AND(IF(Metadata!V172="",FALSE,ISNUMBER(VALUE(Metadata!V172))),Metadata!V172&gt;=-180,Metadata!V172&lt;=180))</f>
        <v>0</v>
      </c>
      <c r="BJ172" t="b">
        <f>AND(IF(Metadata!W172="",FALSE,TRUE),EXACT(Metadata!W172,"Decimal degrees"))</f>
        <v>0</v>
      </c>
      <c r="BK172" t="b">
        <f>IF(Metadata!X172="",FALSE,TRUE)</f>
        <v>0</v>
      </c>
      <c r="BL172" t="b">
        <f>OR(AND(IF(Metadata!Y172="",FALSE,TRUE),OR(EXACT(Metadata!Y172,"not collected"),EXACT(Metadata!Y172,"not provided"),EXACT(Metadata!Y172,"restricted access"))),AND(IF(Metadata!Y172="",FALSE,TRUE),OR(EXACT(Metadata!Y172,"TRUE"),EXACT(Metadata!Y172,"FALSE"))))</f>
        <v>0</v>
      </c>
      <c r="BM172" t="b">
        <f>OR(AND(IF(Metadata!Z172="",FALSE,TRUE),EXACT(Metadata!Z172,"not applicable")),AND(IF(Metadata!Z172="",FALSE,TRUE),OR(EXACT(Metadata!Z172,"beer"),EXACT(Metadata!Z172,"cheese"),EXACT(Metadata!Z172,"fresh water"),EXACT(Metadata!Z172,"marine sediment"),EXACT(Metadata!Z172,"sea water"),EXACT(Metadata!Z172,"sediment"),EXACT(Metadata!Z172,"soil"),EXACT(Metadata!Z172,"waste water"))))</f>
        <v>0</v>
      </c>
      <c r="BN172" t="b">
        <f>AND(IF(Metadata!AA172="",FALSE,TRUE),EXACT(Metadata!AA172,"metagenome"))</f>
        <v>0</v>
      </c>
      <c r="BO172" t="b">
        <f>AND(IF(Metadata!AB172="",FALSE,TRUE),EXACT(Metadata!AB172,"256318"))</f>
        <v>0</v>
      </c>
      <c r="BP172" t="b">
        <f>IF(Metadata!AC172="",FALSE,TRUE)</f>
        <v>0</v>
      </c>
      <c r="BQ172" t="b">
        <f>IF(Metadata!AD172="",FALSE,TRUE)</f>
        <v>0</v>
      </c>
    </row>
    <row r="173" spans="1:69" x14ac:dyDescent="0.2">
      <c r="A173" s="4" t="e">
        <f ca="1">IF(B173=" "," ",HYPERLINK(CONCATENATE("#metadata!",ADDRESS(INDEX($AJ$2:$AJ$1001,MATCH(ROWS($AH$2:AH173),$AH$2:$AH$1001,0),0),2)),INDEX($AM$2:$AM$1001,MATCH(ROWS($AH$2:AH173),$AH$2:$AH$1001,0),0)))</f>
        <v>#N/A</v>
      </c>
      <c r="B173" s="5" t="e">
        <f ca="1">IF(OR(INDEX($AI$2:$AI$1001,MATCH(ROWS($AH$2:AH173),$AH$2:$AH$1001,0),1)&gt;=100000,INDEX($AO$1005:$BQ$1005,1,MATCH(COLUMNS($AO$1006:AO1006),$AO$1006:$BQ$1006,0))&gt;=100000), " ",IF(INDEX($AO$2:$BQ$1001,MATCH(ROWS($AH$2:AH173),$AH$2:$AH$1001,0),MATCH(COLUMNS($AO$1006:AO1006),$AO$1006:$BQ$1006,0)), HYPERLINK("#",""), HYPERLINK(CONCATENATE("#Metadata!", ADDRESS(INDEX($AJ$2:$AJ$1001,MATCH(ROWS($AH$2:AH173),$AH$2:$AH$1001,0),0), INDEX($AO$1004:$BQ$1004,1,MATCH(COLUMNS($AO$1006:AO1006),$AO$1006:$BQ$1006,0)))),"Fix")))</f>
        <v>#N/A</v>
      </c>
      <c r="C173" s="5" t="e">
        <f ca="1">IF(OR(INDEX($AI$2:$AI$1001,MATCH(ROWS($AH$2:AH173),$AH$2:$AH$1001,0),1)&gt;=100000,INDEX($AO$1005:$BQ$1005,1,MATCH(COLUMNS($AO$1006:AP1006),$AO$1006:$BQ$1006,0))&gt;=100000), " ",IF(INDEX($AO$2:$BQ$1001,MATCH(ROWS($AH$2:AH173),$AH$2:$AH$1001,0),MATCH(COLUMNS($AO$1006:AP1006),$AO$1006:$BQ$1006,0)), HYPERLINK("#",""), HYPERLINK(CONCATENATE("#Metadata!", ADDRESS(INDEX($AJ$2:$AJ$1001,MATCH(ROWS($AH$2:AH173),$AH$2:$AH$1001,0),0), INDEX($AO$1004:$BQ$1004,1,MATCH(COLUMNS($AO$1006:AP1006),$AO$1006:$BQ$1006,0)))),"Fix")))</f>
        <v>#N/A</v>
      </c>
      <c r="D173" s="5" t="e">
        <f ca="1">IF(OR(INDEX($AI$2:$AI$1001,MATCH(ROWS($AH$2:AH173),$AH$2:$AH$1001,0),1)&gt;=100000,INDEX($AO$1005:$BQ$1005,1,MATCH(COLUMNS($AO$1006:AQ1006),$AO$1006:$BQ$1006,0))&gt;=100000), " ",IF(INDEX($AO$2:$BQ$1001,MATCH(ROWS($AH$2:AH173),$AH$2:$AH$1001,0),MATCH(COLUMNS($AO$1006:AQ1006),$AO$1006:$BQ$1006,0)), HYPERLINK("#",""), HYPERLINK(CONCATENATE("#Metadata!", ADDRESS(INDEX($AJ$2:$AJ$1001,MATCH(ROWS($AH$2:AH173),$AH$2:$AH$1001,0),0), INDEX($AO$1004:$BQ$1004,1,MATCH(COLUMNS($AO$1006:AQ1006),$AO$1006:$BQ$1006,0)))),"Fix")))</f>
        <v>#N/A</v>
      </c>
      <c r="E173" s="5" t="e">
        <f ca="1">IF(OR(INDEX($AI$2:$AI$1001,MATCH(ROWS($AH$2:AH173),$AH$2:$AH$1001,0),1)&gt;=100000,INDEX($AO$1005:$BQ$1005,1,MATCH(COLUMNS($AO$1006:AR1006),$AO$1006:$BQ$1006,0))&gt;=100000), " ",IF(INDEX($AO$2:$BQ$1001,MATCH(ROWS($AH$2:AH173),$AH$2:$AH$1001,0),MATCH(COLUMNS($AO$1006:AR1006),$AO$1006:$BQ$1006,0)), HYPERLINK("#",""), HYPERLINK(CONCATENATE("#Metadata!", ADDRESS(INDEX($AJ$2:$AJ$1001,MATCH(ROWS($AH$2:AH173),$AH$2:$AH$1001,0),0), INDEX($AO$1004:$BQ$1004,1,MATCH(COLUMNS($AO$1006:AR1006),$AO$1006:$BQ$1006,0)))),"Fix")))</f>
        <v>#N/A</v>
      </c>
      <c r="F173" s="5" t="e">
        <f ca="1">IF(OR(INDEX($AI$2:$AI$1001,MATCH(ROWS($AH$2:AH173),$AH$2:$AH$1001,0),1)&gt;=100000,INDEX($AO$1005:$BQ$1005,1,MATCH(COLUMNS($AO$1006:AS1006),$AO$1006:$BQ$1006,0))&gt;=100000), " ",IF(INDEX($AO$2:$BQ$1001,MATCH(ROWS($AH$2:AH173),$AH$2:$AH$1001,0),MATCH(COLUMNS($AO$1006:AS1006),$AO$1006:$BQ$1006,0)), HYPERLINK("#",""), HYPERLINK(CONCATENATE("#Metadata!", ADDRESS(INDEX($AJ$2:$AJ$1001,MATCH(ROWS($AH$2:AH173),$AH$2:$AH$1001,0),0), INDEX($AO$1004:$BQ$1004,1,MATCH(COLUMNS($AO$1006:AS1006),$AO$1006:$BQ$1006,0)))),"Fix")))</f>
        <v>#N/A</v>
      </c>
      <c r="G173" s="5" t="e">
        <f ca="1">IF(OR(INDEX($AI$2:$AI$1001,MATCH(ROWS($AH$2:AH173),$AH$2:$AH$1001,0),1)&gt;=100000,INDEX($AO$1005:$BQ$1005,1,MATCH(COLUMNS($AO$1006:AT1006),$AO$1006:$BQ$1006,0))&gt;=100000), " ",IF(INDEX($AO$2:$BQ$1001,MATCH(ROWS($AH$2:AH173),$AH$2:$AH$1001,0),MATCH(COLUMNS($AO$1006:AT1006),$AO$1006:$BQ$1006,0)), HYPERLINK("#",""), HYPERLINK(CONCATENATE("#Metadata!", ADDRESS(INDEX($AJ$2:$AJ$1001,MATCH(ROWS($AH$2:AH173),$AH$2:$AH$1001,0),0), INDEX($AO$1004:$BQ$1004,1,MATCH(COLUMNS($AO$1006:AT1006),$AO$1006:$BQ$1006,0)))),"Fix")))</f>
        <v>#N/A</v>
      </c>
      <c r="H173" s="5" t="e">
        <f ca="1">IF(OR(INDEX($AI$2:$AI$1001,MATCH(ROWS($AH$2:AH173),$AH$2:$AH$1001,0),1)&gt;=100000,INDEX($AO$1005:$BQ$1005,1,MATCH(COLUMNS($AO$1006:AU1006),$AO$1006:$BQ$1006,0))&gt;=100000), " ",IF(INDEX($AO$2:$BQ$1001,MATCH(ROWS($AH$2:AH173),$AH$2:$AH$1001,0),MATCH(COLUMNS($AO$1006:AU1006),$AO$1006:$BQ$1006,0)), HYPERLINK("#",""), HYPERLINK(CONCATENATE("#Metadata!", ADDRESS(INDEX($AJ$2:$AJ$1001,MATCH(ROWS($AH$2:AH173),$AH$2:$AH$1001,0),0), INDEX($AO$1004:$BQ$1004,1,MATCH(COLUMNS($AO$1006:AU1006),$AO$1006:$BQ$1006,0)))),"Fix")))</f>
        <v>#N/A</v>
      </c>
      <c r="I173" s="5" t="e">
        <f ca="1">IF(OR(INDEX($AI$2:$AI$1001,MATCH(ROWS($AH$2:AH173),$AH$2:$AH$1001,0),1)&gt;=100000,INDEX($AO$1005:$BQ$1005,1,MATCH(COLUMNS($AO$1006:AV1006),$AO$1006:$BQ$1006,0))&gt;=100000), " ",IF(INDEX($AO$2:$BQ$1001,MATCH(ROWS($AH$2:AH173),$AH$2:$AH$1001,0),MATCH(COLUMNS($AO$1006:AV1006),$AO$1006:$BQ$1006,0)), HYPERLINK("#",""), HYPERLINK(CONCATENATE("#Metadata!", ADDRESS(INDEX($AJ$2:$AJ$1001,MATCH(ROWS($AH$2:AH173),$AH$2:$AH$1001,0),0), INDEX($AO$1004:$BQ$1004,1,MATCH(COLUMNS($AO$1006:AV1006),$AO$1006:$BQ$1006,0)))),"Fix")))</f>
        <v>#N/A</v>
      </c>
      <c r="J173" s="5" t="e">
        <f ca="1">IF(OR(INDEX($AI$2:$AI$1001,MATCH(ROWS($AH$2:AH173),$AH$2:$AH$1001,0),1)&gt;=100000,INDEX($AO$1005:$BQ$1005,1,MATCH(COLUMNS($AO$1006:AW1006),$AO$1006:$BQ$1006,0))&gt;=100000), " ",IF(INDEX($AO$2:$BQ$1001,MATCH(ROWS($AH$2:AH173),$AH$2:$AH$1001,0),MATCH(COLUMNS($AO$1006:AW1006),$AO$1006:$BQ$1006,0)), HYPERLINK("#",""), HYPERLINK(CONCATENATE("#Metadata!", ADDRESS(INDEX($AJ$2:$AJ$1001,MATCH(ROWS($AH$2:AH173),$AH$2:$AH$1001,0),0), INDEX($AO$1004:$BQ$1004,1,MATCH(COLUMNS($AO$1006:AW1006),$AO$1006:$BQ$1006,0)))),"Fix")))</f>
        <v>#N/A</v>
      </c>
      <c r="K173" s="5" t="e">
        <f ca="1">IF(OR(INDEX($AI$2:$AI$1001,MATCH(ROWS($AH$2:AH173),$AH$2:$AH$1001,0),1)&gt;=100000,INDEX($AO$1005:$BQ$1005,1,MATCH(COLUMNS($AO$1006:AX1006),$AO$1006:$BQ$1006,0))&gt;=100000), " ",IF(INDEX($AO$2:$BQ$1001,MATCH(ROWS($AH$2:AH173),$AH$2:$AH$1001,0),MATCH(COLUMNS($AO$1006:AX1006),$AO$1006:$BQ$1006,0)), HYPERLINK("#",""), HYPERLINK(CONCATENATE("#Metadata!", ADDRESS(INDEX($AJ$2:$AJ$1001,MATCH(ROWS($AH$2:AH173),$AH$2:$AH$1001,0),0), INDEX($AO$1004:$BQ$1004,1,MATCH(COLUMNS($AO$1006:AX1006),$AO$1006:$BQ$1006,0)))),"Fix")))</f>
        <v>#N/A</v>
      </c>
      <c r="L173" s="5" t="e">
        <f ca="1">IF(OR(INDEX($AI$2:$AI$1001,MATCH(ROWS($AH$2:AH173),$AH$2:$AH$1001,0),1)&gt;=100000,INDEX($AO$1005:$BQ$1005,1,MATCH(COLUMNS($AO$1006:AY1006),$AO$1006:$BQ$1006,0))&gt;=100000), " ",IF(INDEX($AO$2:$BQ$1001,MATCH(ROWS($AH$2:AH173),$AH$2:$AH$1001,0),MATCH(COLUMNS($AO$1006:AY1006),$AO$1006:$BQ$1006,0)), HYPERLINK("#",""), HYPERLINK(CONCATENATE("#Metadata!", ADDRESS(INDEX($AJ$2:$AJ$1001,MATCH(ROWS($AH$2:AH173),$AH$2:$AH$1001,0),0), INDEX($AO$1004:$BQ$1004,1,MATCH(COLUMNS($AO$1006:AY1006),$AO$1006:$BQ$1006,0)))),"Fix")))</f>
        <v>#N/A</v>
      </c>
      <c r="M173" s="5" t="e">
        <f ca="1">IF(OR(INDEX($AI$2:$AI$1001,MATCH(ROWS($AH$2:AH173),$AH$2:$AH$1001,0),1)&gt;=100000,INDEX($AO$1005:$BQ$1005,1,MATCH(COLUMNS($AO$1006:AZ1006),$AO$1006:$BQ$1006,0))&gt;=100000), " ",IF(INDEX($AO$2:$BQ$1001,MATCH(ROWS($AH$2:AH173),$AH$2:$AH$1001,0),MATCH(COLUMNS($AO$1006:AZ1006),$AO$1006:$BQ$1006,0)), HYPERLINK("#",""), HYPERLINK(CONCATENATE("#Metadata!", ADDRESS(INDEX($AJ$2:$AJ$1001,MATCH(ROWS($AH$2:AH173),$AH$2:$AH$1001,0),0), INDEX($AO$1004:$BQ$1004,1,MATCH(COLUMNS($AO$1006:AZ1006),$AO$1006:$BQ$1006,0)))),"Fix")))</f>
        <v>#N/A</v>
      </c>
      <c r="N173" s="5" t="e">
        <f ca="1">IF(OR(INDEX($AI$2:$AI$1001,MATCH(ROWS($AH$2:AH173),$AH$2:$AH$1001,0),1)&gt;=100000,INDEX($AO$1005:$BQ$1005,1,MATCH(COLUMNS($AO$1006:BA1006),$AO$1006:$BQ$1006,0))&gt;=100000), " ",IF(INDEX($AO$2:$BQ$1001,MATCH(ROWS($AH$2:AH173),$AH$2:$AH$1001,0),MATCH(COLUMNS($AO$1006:BA1006),$AO$1006:$BQ$1006,0)), HYPERLINK("#",""), HYPERLINK(CONCATENATE("#Metadata!", ADDRESS(INDEX($AJ$2:$AJ$1001,MATCH(ROWS($AH$2:AH173),$AH$2:$AH$1001,0),0), INDEX($AO$1004:$BQ$1004,1,MATCH(COLUMNS($AO$1006:BA1006),$AO$1006:$BQ$1006,0)))),"Fix")))</f>
        <v>#N/A</v>
      </c>
      <c r="O173" s="5" t="e">
        <f ca="1">IF(OR(INDEX($AI$2:$AI$1001,MATCH(ROWS($AH$2:AH173),$AH$2:$AH$1001,0),1)&gt;=100000,INDEX($AO$1005:$BQ$1005,1,MATCH(COLUMNS($AO$1006:BB1006),$AO$1006:$BQ$1006,0))&gt;=100000), " ",IF(INDEX($AO$2:$BQ$1001,MATCH(ROWS($AH$2:AH173),$AH$2:$AH$1001,0),MATCH(COLUMNS($AO$1006:BB1006),$AO$1006:$BQ$1006,0)), HYPERLINK("#",""), HYPERLINK(CONCATENATE("#Metadata!", ADDRESS(INDEX($AJ$2:$AJ$1001,MATCH(ROWS($AH$2:AH173),$AH$2:$AH$1001,0),0), INDEX($AO$1004:$BQ$1004,1,MATCH(COLUMNS($AO$1006:BB1006),$AO$1006:$BQ$1006,0)))),"Fix")))</f>
        <v>#N/A</v>
      </c>
      <c r="P173" s="5" t="e">
        <f ca="1">IF(OR(INDEX($AI$2:$AI$1001,MATCH(ROWS($AH$2:AH173),$AH$2:$AH$1001,0),1)&gt;=100000,INDEX($AO$1005:$BQ$1005,1,MATCH(COLUMNS($AO$1006:BC1006),$AO$1006:$BQ$1006,0))&gt;=100000), " ",IF(INDEX($AO$2:$BQ$1001,MATCH(ROWS($AH$2:AH173),$AH$2:$AH$1001,0),MATCH(COLUMNS($AO$1006:BC1006),$AO$1006:$BQ$1006,0)), HYPERLINK("#",""), HYPERLINK(CONCATENATE("#Metadata!", ADDRESS(INDEX($AJ$2:$AJ$1001,MATCH(ROWS($AH$2:AH173),$AH$2:$AH$1001,0),0), INDEX($AO$1004:$BQ$1004,1,MATCH(COLUMNS($AO$1006:BC1006),$AO$1006:$BQ$1006,0)))),"Fix")))</f>
        <v>#N/A</v>
      </c>
      <c r="Q173" s="5" t="e">
        <f ca="1">IF(OR(INDEX($AI$2:$AI$1001,MATCH(ROWS($AH$2:AH173),$AH$2:$AH$1001,0),1)&gt;=100000,INDEX($AO$1005:$BQ$1005,1,MATCH(COLUMNS($AO$1006:BD1006),$AO$1006:$BQ$1006,0))&gt;=100000), " ",IF(INDEX($AO$2:$BQ$1001,MATCH(ROWS($AH$2:AH173),$AH$2:$AH$1001,0),MATCH(COLUMNS($AO$1006:BD1006),$AO$1006:$BQ$1006,0)), HYPERLINK("#",""), HYPERLINK(CONCATENATE("#Metadata!", ADDRESS(INDEX($AJ$2:$AJ$1001,MATCH(ROWS($AH$2:AH173),$AH$2:$AH$1001,0),0), INDEX($AO$1004:$BQ$1004,1,MATCH(COLUMNS($AO$1006:BD1006),$AO$1006:$BQ$1006,0)))),"Fix")))</f>
        <v>#N/A</v>
      </c>
      <c r="R173" s="5" t="e">
        <f ca="1">IF(OR(INDEX($AI$2:$AI$1001,MATCH(ROWS($AH$2:AH173),$AH$2:$AH$1001,0),1)&gt;=100000,INDEX($AO$1005:$BQ$1005,1,MATCH(COLUMNS($AO$1006:BE1006),$AO$1006:$BQ$1006,0))&gt;=100000), " ",IF(INDEX($AO$2:$BQ$1001,MATCH(ROWS($AH$2:AH173),$AH$2:$AH$1001,0),MATCH(COLUMNS($AO$1006:BE1006),$AO$1006:$BQ$1006,0)), HYPERLINK("#",""), HYPERLINK(CONCATENATE("#Metadata!", ADDRESS(INDEX($AJ$2:$AJ$1001,MATCH(ROWS($AH$2:AH173),$AH$2:$AH$1001,0),0), INDEX($AO$1004:$BQ$1004,1,MATCH(COLUMNS($AO$1006:BE1006),$AO$1006:$BQ$1006,0)))),"Fix")))</f>
        <v>#N/A</v>
      </c>
      <c r="S173" s="5" t="e">
        <f ca="1">IF(OR(INDEX($AI$2:$AI$1001,MATCH(ROWS($AH$2:AH173),$AH$2:$AH$1001,0),1)&gt;=100000,INDEX($AO$1005:$BQ$1005,1,MATCH(COLUMNS($AO$1006:BF1006),$AO$1006:$BQ$1006,0))&gt;=100000), " ",IF(INDEX($AO$2:$BQ$1001,MATCH(ROWS($AH$2:AH173),$AH$2:$AH$1001,0),MATCH(COLUMNS($AO$1006:BF1006),$AO$1006:$BQ$1006,0)), HYPERLINK("#",""), HYPERLINK(CONCATENATE("#Metadata!", ADDRESS(INDEX($AJ$2:$AJ$1001,MATCH(ROWS($AH$2:AH173),$AH$2:$AH$1001,0),0), INDEX($AO$1004:$BQ$1004,1,MATCH(COLUMNS($AO$1006:BF1006),$AO$1006:$BQ$1006,0)))),"Fix")))</f>
        <v>#N/A</v>
      </c>
      <c r="T173" s="5" t="e">
        <f ca="1">IF(OR(INDEX($AI$2:$AI$1001,MATCH(ROWS($AH$2:AH173),$AH$2:$AH$1001,0),1)&gt;=100000,INDEX($AO$1005:$BQ$1005,1,MATCH(COLUMNS($AO$1006:BG1006),$AO$1006:$BQ$1006,0))&gt;=100000), " ",IF(INDEX($AO$2:$BQ$1001,MATCH(ROWS($AH$2:AH173),$AH$2:$AH$1001,0),MATCH(COLUMNS($AO$1006:BG1006),$AO$1006:$BQ$1006,0)), HYPERLINK("#",""), HYPERLINK(CONCATENATE("#Metadata!", ADDRESS(INDEX($AJ$2:$AJ$1001,MATCH(ROWS($AH$2:AH173),$AH$2:$AH$1001,0),0), INDEX($AO$1004:$BQ$1004,1,MATCH(COLUMNS($AO$1006:BG1006),$AO$1006:$BQ$1006,0)))),"Fix")))</f>
        <v>#N/A</v>
      </c>
      <c r="U173" s="5" t="e">
        <f ca="1">IF(OR(INDEX($AI$2:$AI$1001,MATCH(ROWS($AH$2:AH173),$AH$2:$AH$1001,0),1)&gt;=100000,INDEX($AO$1005:$BQ$1005,1,MATCH(COLUMNS($AO$1006:BH1006),$AO$1006:$BQ$1006,0))&gt;=100000), " ",IF(INDEX($AO$2:$BQ$1001,MATCH(ROWS($AH$2:AH173),$AH$2:$AH$1001,0),MATCH(COLUMNS($AO$1006:BH1006),$AO$1006:$BQ$1006,0)), HYPERLINK("#",""), HYPERLINK(CONCATENATE("#Metadata!", ADDRESS(INDEX($AJ$2:$AJ$1001,MATCH(ROWS($AH$2:AH173),$AH$2:$AH$1001,0),0), INDEX($AO$1004:$BQ$1004,1,MATCH(COLUMNS($AO$1006:BH1006),$AO$1006:$BQ$1006,0)))),"Fix")))</f>
        <v>#N/A</v>
      </c>
      <c r="V173" s="5" t="e">
        <f ca="1">IF(OR(INDEX($AI$2:$AI$1001,MATCH(ROWS($AH$2:AH173),$AH$2:$AH$1001,0),1)&gt;=100000,INDEX($AO$1005:$BQ$1005,1,MATCH(COLUMNS($AO$1006:BI1006),$AO$1006:$BQ$1006,0))&gt;=100000), " ",IF(INDEX($AO$2:$BQ$1001,MATCH(ROWS($AH$2:AH173),$AH$2:$AH$1001,0),MATCH(COLUMNS($AO$1006:BI1006),$AO$1006:$BQ$1006,0)), HYPERLINK("#",""), HYPERLINK(CONCATENATE("#Metadata!", ADDRESS(INDEX($AJ$2:$AJ$1001,MATCH(ROWS($AH$2:AH173),$AH$2:$AH$1001,0),0), INDEX($AO$1004:$BQ$1004,1,MATCH(COLUMNS($AO$1006:BI1006),$AO$1006:$BQ$1006,0)))),"Fix")))</f>
        <v>#N/A</v>
      </c>
      <c r="W173" s="5" t="e">
        <f ca="1">IF(OR(INDEX($AI$2:$AI$1001,MATCH(ROWS($AH$2:AH173),$AH$2:$AH$1001,0),1)&gt;=100000,INDEX($AO$1005:$BQ$1005,1,MATCH(COLUMNS($AO$1006:BJ1006),$AO$1006:$BQ$1006,0))&gt;=100000), " ",IF(INDEX($AO$2:$BQ$1001,MATCH(ROWS($AH$2:AH173),$AH$2:$AH$1001,0),MATCH(COLUMNS($AO$1006:BJ1006),$AO$1006:$BQ$1006,0)), HYPERLINK("#",""), HYPERLINK(CONCATENATE("#Metadata!", ADDRESS(INDEX($AJ$2:$AJ$1001,MATCH(ROWS($AH$2:AH173),$AH$2:$AH$1001,0),0), INDEX($AO$1004:$BQ$1004,1,MATCH(COLUMNS($AO$1006:BJ1006),$AO$1006:$BQ$1006,0)))),"Fix")))</f>
        <v>#N/A</v>
      </c>
      <c r="X173" s="5" t="e">
        <f ca="1">IF(OR(INDEX($AI$2:$AI$1001,MATCH(ROWS($AH$2:AH173),$AH$2:$AH$1001,0),1)&gt;=100000,INDEX($AO$1005:$BQ$1005,1,MATCH(COLUMNS($AO$1006:BK1006),$AO$1006:$BQ$1006,0))&gt;=100000), " ",IF(INDEX($AO$2:$BQ$1001,MATCH(ROWS($AH$2:AH173),$AH$2:$AH$1001,0),MATCH(COLUMNS($AO$1006:BK1006),$AO$1006:$BQ$1006,0)), HYPERLINK("#",""), HYPERLINK(CONCATENATE("#Metadata!", ADDRESS(INDEX($AJ$2:$AJ$1001,MATCH(ROWS($AH$2:AH173),$AH$2:$AH$1001,0),0), INDEX($AO$1004:$BQ$1004,1,MATCH(COLUMNS($AO$1006:BK1006),$AO$1006:$BQ$1006,0)))),"Fix")))</f>
        <v>#N/A</v>
      </c>
      <c r="Y173" s="5" t="e">
        <f ca="1">IF(OR(INDEX($AI$2:$AI$1001,MATCH(ROWS($AH$2:AH173),$AH$2:$AH$1001,0),1)&gt;=100000,INDEX($AO$1005:$BQ$1005,1,MATCH(COLUMNS($AO$1006:BL1006),$AO$1006:$BQ$1006,0))&gt;=100000), " ",IF(INDEX($AO$2:$BQ$1001,MATCH(ROWS($AH$2:AH173),$AH$2:$AH$1001,0),MATCH(COLUMNS($AO$1006:BL1006),$AO$1006:$BQ$1006,0)), HYPERLINK("#",""), HYPERLINK(CONCATENATE("#Metadata!", ADDRESS(INDEX($AJ$2:$AJ$1001,MATCH(ROWS($AH$2:AH173),$AH$2:$AH$1001,0),0), INDEX($AO$1004:$BQ$1004,1,MATCH(COLUMNS($AO$1006:BL1006),$AO$1006:$BQ$1006,0)))),"Fix")))</f>
        <v>#N/A</v>
      </c>
      <c r="Z173" s="5" t="e">
        <f ca="1">IF(OR(INDEX($AI$2:$AI$1001,MATCH(ROWS($AH$2:AH173),$AH$2:$AH$1001,0),1)&gt;=100000,INDEX($AO$1005:$BQ$1005,1,MATCH(COLUMNS($AO$1006:BM1006),$AO$1006:$BQ$1006,0))&gt;=100000), " ",IF(INDEX($AO$2:$BQ$1001,MATCH(ROWS($AH$2:AH173),$AH$2:$AH$1001,0),MATCH(COLUMNS($AO$1006:BM1006),$AO$1006:$BQ$1006,0)), HYPERLINK("#",""), HYPERLINK(CONCATENATE("#Metadata!", ADDRESS(INDEX($AJ$2:$AJ$1001,MATCH(ROWS($AH$2:AH173),$AH$2:$AH$1001,0),0), INDEX($AO$1004:$BQ$1004,1,MATCH(COLUMNS($AO$1006:BM1006),$AO$1006:$BQ$1006,0)))),"Fix")))</f>
        <v>#N/A</v>
      </c>
      <c r="AA173" s="5" t="e">
        <f ca="1">IF(OR(INDEX($AI$2:$AI$1001,MATCH(ROWS($AH$2:AH173),$AH$2:$AH$1001,0),1)&gt;=100000,INDEX($AO$1005:$BQ$1005,1,MATCH(COLUMNS($AO$1006:BN1006),$AO$1006:$BQ$1006,0))&gt;=100000), " ",IF(INDEX($AO$2:$BQ$1001,MATCH(ROWS($AH$2:AH173),$AH$2:$AH$1001,0),MATCH(COLUMNS($AO$1006:BN1006),$AO$1006:$BQ$1006,0)), HYPERLINK("#",""), HYPERLINK(CONCATENATE("#Metadata!", ADDRESS(INDEX($AJ$2:$AJ$1001,MATCH(ROWS($AH$2:AH173),$AH$2:$AH$1001,0),0), INDEX($AO$1004:$BQ$1004,1,MATCH(COLUMNS($AO$1006:BN1006),$AO$1006:$BQ$1006,0)))),"Fix")))</f>
        <v>#N/A</v>
      </c>
      <c r="AB173" s="5" t="e">
        <f ca="1">IF(OR(INDEX($AI$2:$AI$1001,MATCH(ROWS($AH$2:AH173),$AH$2:$AH$1001,0),1)&gt;=100000,INDEX($AO$1005:$BQ$1005,1,MATCH(COLUMNS($AO$1006:BO1006),$AO$1006:$BQ$1006,0))&gt;=100000), " ",IF(INDEX($AO$2:$BQ$1001,MATCH(ROWS($AH$2:AH173),$AH$2:$AH$1001,0),MATCH(COLUMNS($AO$1006:BO1006),$AO$1006:$BQ$1006,0)), HYPERLINK("#",""), HYPERLINK(CONCATENATE("#Metadata!", ADDRESS(INDEX($AJ$2:$AJ$1001,MATCH(ROWS($AH$2:AH173),$AH$2:$AH$1001,0),0), INDEX($AO$1004:$BQ$1004,1,MATCH(COLUMNS($AO$1006:BO1006),$AO$1006:$BQ$1006,0)))),"Fix")))</f>
        <v>#N/A</v>
      </c>
      <c r="AC173" s="5" t="e">
        <f ca="1">IF(OR(INDEX($AI$2:$AI$1001,MATCH(ROWS($AH$2:AH173),$AH$2:$AH$1001,0),1)&gt;=100000,INDEX($AO$1005:$BQ$1005,1,MATCH(COLUMNS($AO$1006:BP1006),$AO$1006:$BQ$1006,0))&gt;=100000), " ",IF(INDEX($AO$2:$BQ$1001,MATCH(ROWS($AH$2:AH173),$AH$2:$AH$1001,0),MATCH(COLUMNS($AO$1006:BP1006),$AO$1006:$BQ$1006,0)), HYPERLINK("#",""), HYPERLINK(CONCATENATE("#Metadata!", ADDRESS(INDEX($AJ$2:$AJ$1001,MATCH(ROWS($AH$2:AH173),$AH$2:$AH$1001,0),0), INDEX($AO$1004:$BQ$1004,1,MATCH(COLUMNS($AO$1006:BP1006),$AO$1006:$BQ$1006,0)))),"Fix")))</f>
        <v>#N/A</v>
      </c>
      <c r="AD173" s="5" t="e">
        <f ca="1">IF(OR(INDEX($AI$2:$AI$1001,MATCH(ROWS($AH$2:AH173),$AH$2:$AH$1001,0),1)&gt;=100000,INDEX($AO$1005:$BQ$1005,1,MATCH(COLUMNS($AO$1006:BQ1006),$AO$1006:$BQ$1006,0))&gt;=100000), " ",IF(INDEX($AO$2:$BQ$1001,MATCH(ROWS($AH$2:AH173),$AH$2:$AH$1001,0),MATCH(COLUMNS($AO$1006:BQ1006),$AO$1006:$BQ$1006,0)), HYPERLINK("#",""), HYPERLINK(CONCATENATE("#Metadata!", ADDRESS(INDEX($AJ$2:$AJ$1001,MATCH(ROWS($AH$2:AH173),$AH$2:$AH$1001,0),0), INDEX($AO$1004:$BQ$1004,1,MATCH(COLUMNS($AO$1006:BQ1006),$AO$1006:$BQ$1006,0)))),"Fix")))</f>
        <v>#REF!</v>
      </c>
      <c r="AH173">
        <f ca="1"/>
        <v>170</v>
      </c>
      <c r="AI173">
        <v>100173</v>
      </c>
      <c r="AJ173">
        <v>173</v>
      </c>
      <c r="AK173" t="b">
        <f t="shared" si="2"/>
        <v>1</v>
      </c>
      <c r="AL173" t="b">
        <f>COUNTBLANK(Metadata!B173:AD173)=COLUMNS(Metadata!B173:AD173)</f>
        <v>1</v>
      </c>
      <c r="AM173" t="str">
        <v/>
      </c>
      <c r="AO173" t="b">
        <f ca="1">AND(IF(Metadata!B173="",FALSE,TRUE),COUNTIF(Metadata!B:B, Metadata!B173) = 1,NOT(ISERROR(SUMPRODUCT(SEARCH(MID(Metadata!B173,ROW(INDIRECT("1:"&amp;LEN(Metadata!B173))), 1),"0123456789abcdefghijklmnopqrstuvwxyzABCDEFGHIJKLMNOPQRSTUVWXYZ.")))))</f>
        <v>0</v>
      </c>
      <c r="AP173" t="b">
        <f>IF(Metadata!C173="",FALSE,TRUE)</f>
        <v>0</v>
      </c>
      <c r="AQ173" t="b">
        <f>IF(Metadata!D173="",FALSE,TRUE)</f>
        <v>0</v>
      </c>
      <c r="AR173" t="b">
        <f ca="1">OR(AND(IF(Metadata!E173="",FALSE,TRUE),OR(EXACT(Metadata!E173,"not collected"),EXACT(Metadata!E173,"not provided"),EXACT(Metadata!E173,"restricted access"))),AND(IF(Metadata!E173="",FALSE,TRUE),AND(AND(IFERROR(INT(LEFT(Metadata!E173,4))&gt;1900,FALSE),IFERROR(INT(LEFT(Metadata!E173,4))&lt;=YEAR(NOW()),FALSE)), OR(MID(Metadata!E173,5,1)="", AND(AND(MID(Metadata!E173,5,1)="-",IFERROR(INT(MID(Metadata!E173,6,1))&gt;=0,FALSE),IFERROR(INT(MID(Metadata!E173,6,1))&lt;=1,FALSE),NOT(MID(Metadata!E173,7,1)=""),IFERROR(INT(MID(Metadata!E173,6,2))&gt;=1,FALSE),IFERROR(INT(MID(Metadata!E173,6,2))&lt;=12,FALSE)), OR(MID(Metadata!E173,8,1)="", AND(AND(MID(Metadata!E173,8,1)="-",IFERROR(INT(MID(Metadata!E173,9,1))&gt;=0,FALSE),IFERROR(INT(MID(Metadata!E173,9,1))&lt;=3,FALSE),NOT(MID(Metadata!E173,10,1)=""),IFERROR(INT(MID(Metadata!E173,9,2))&gt;=1,FALSE),IFERROR(INT(MID(Metadata!E173,9,2))&lt;=31,FALSE)), OR(MID(Metadata!E173,11,1)="", AND(AND(MID(Metadata!E173,11,1)=" ",IFERROR(INT(MID(Metadata!E173,12,1))&gt;=0,FALSE),IFERROR(INT(MID(Metadata!E173,12,1))&lt;=2,FALSE),NOT(MID(Metadata!E173,13,1)=""),IFERROR(INT(MID(Metadata!E173,12,2))&gt;=0,FALSE),IFERROR(INT(MID(Metadata!E173,12,2))&lt;=23,FALSE)), OR(MID(Metadata!E173,14,1)="", AND(AND(MID(Metadata!E173,14,1)=":",IFERROR(INT(MID(Metadata!E173,15,1))&gt;=0,FALSE),IFERROR(INT(MID(Metadata!E173,15,1))&lt;=5,FALSE),NOT(MID(Metadata!E173,16,1)=""),IFERROR(INT(MID(Metadata!E173,15,2))&gt;=0,FALSE),IFERROR(INT(MID(Metadata!E173,15,2))&lt;=59,FALSE)), OR(MID(Metadata!E173,17,1)="", AND(AND(MID(Metadata!E173,17,1)=":",IFERROR(INT(MID(Metadata!E173,18,1))&gt;=0,FALSE),IFERROR(INT(MID(Metadata!E173,18,1))&lt;=5,FALSE),NOT(MID(Metadata!E173,19,1)=""),IFERROR(INT(MID(Metadata!E173,18,2))&gt;=0,FALSE),IFERROR(INT(MID(Metadata!E173,18,2))&lt;=59,FALSE)), LEN(Metadata!E173)&lt;=19)))))))))))))</f>
        <v>0</v>
      </c>
      <c r="AS173" t="b">
        <f>IF(Metadata!F173="",FALSE,TRUE)</f>
        <v>0</v>
      </c>
      <c r="AT173" t="b">
        <f>OR(AND(IF(Metadata!G173="",FALSE,TRUE),OR(EXACT(Metadata!G173,"not collected"),EXACT(Metadata!G173,"not provided"))),AND(IF(Metadata!G173="",FALSE,TRUE),OR(EXACT(Metadata!G173,"TRUE"),EXACT(Metadata!G173,"FALSE"))))</f>
        <v>0</v>
      </c>
      <c r="AU173" t="b">
        <f>OR(AND(IF(Metadata!H173="",FALSE,TRUE),OR(EXACT(Metadata!H173,"not collected"),EXACT(Metadata!H173,"not provided"),EXACT(Metadata!H173,"restricted access"))),AND(IF(Metadata!H173="",FALSE,ISNUMBER(VALUE(Metadata!H173))),Metadata!H173&gt;=-413))</f>
        <v>0</v>
      </c>
      <c r="AV173" t="b">
        <f>AND(IF(Metadata!I173="",FALSE,TRUE),EXACT(Metadata!I173,"meters"))</f>
        <v>0</v>
      </c>
      <c r="AW173" t="b">
        <f>AND(IF(Metadata!J173="",FALSE,TRUE),EXACT(Metadata!J173,"free-living"))</f>
        <v>0</v>
      </c>
      <c r="AX173" t="b">
        <f>AND(IF(Metadata!K173="",FALSE,TRUE),OR(EXACT(Metadata!K173,"saline"),EXACT(Metadata!K173,"non-saline")))</f>
        <v>0</v>
      </c>
      <c r="AY173" t="b">
        <f>AND(IF(Metadata!L173="",FALSE,TRUE),OR(EXACT(Metadata!L173,"sub-surface (non-saline)"),EXACT(Metadata!L173,"surface (non-saline)"),EXACT(Metadata!L173,"water (non-saline)"),EXACT(Metadata!L173,"soil (non-saline)"),EXACT(Metadata!L173,"aerosol (non-saline)"),EXACT(Metadata!L173,"sediment (non-saline)"),EXACT(Metadata!L173,"surface (saline)"),EXACT(Metadata!L173,"water (saline)"),EXACT(Metadata!L173,"hypersaline (saline)"),EXACT(Metadata!L173,"aerosol (saline)"),EXACT(Metadata!L173,"sediment (saline)")))</f>
        <v>0</v>
      </c>
      <c r="AZ173" t="b">
        <f>IF(Metadata!M173="",FALSE,TRUE)</f>
        <v>0</v>
      </c>
      <c r="BA173" t="b">
        <f>IF(Metadata!N173="",FALSE,TRUE)</f>
        <v>0</v>
      </c>
      <c r="BB173" t="b">
        <f>IF(Metadata!O173="",FALSE,TRUE)</f>
        <v>0</v>
      </c>
      <c r="BC173" t="b">
        <f>AND(IF(Metadata!P173="",FALSE,TRUE),OR(EXACT(Metadata!P173,"air"),EXACT(Metadata!P173,"microbial mat/biofilm"),EXACT(Metadata!P173,"misc environment"),EXACT(Metadata!P173,"sediment"),EXACT(Metadata!P173,"soil"),EXACT(Metadata!P173,"wastewater/sludge"),EXACT(Metadata!P173,"water")))</f>
        <v>0</v>
      </c>
      <c r="BD173" t="b">
        <f>IF(Metadata!Q173="",FALSE,TRUE)</f>
        <v>0</v>
      </c>
      <c r="BE173" t="b">
        <f>IF(Metadata!R173="",FALSE,TRUE)</f>
        <v>0</v>
      </c>
      <c r="BF173" t="b">
        <f>OR(AND(IF(Metadata!S173="",FALSE,TRUE),OR(EXACT(Metadata!S173,"not collected"),EXACT(Metadata!S173,"not provided"),EXACT(Metadata!S173,"restricted access"))),AND(IF(Metadata!S173="",FALSE,ISNUMBER(VALUE(Metadata!S173))),Metadata!S173&gt;=-90,Metadata!S173&lt;=90))</f>
        <v>0</v>
      </c>
      <c r="BG173" t="b">
        <f>AND(IF(Metadata!T173="",FALSE,TRUE),EXACT(Metadata!T173,"Decimal degrees"))</f>
        <v>0</v>
      </c>
      <c r="BH173" t="b">
        <f>OR(AND(IF(Metadata!U173="",FALSE,TRUE),OR(EXACT(Metadata!U173,"not applicable"),EXACT(Metadata!U173,"not collected"))),IF(Metadata!U173="",FALSE,TRUE))</f>
        <v>0</v>
      </c>
      <c r="BI173" t="b">
        <f>OR(AND(IF(Metadata!V173="",FALSE,TRUE),OR(EXACT(Metadata!V173,"not collected"),EXACT(Metadata!V173,"not provided"),EXACT(Metadata!V173,"restricted access"))),AND(IF(Metadata!V173="",FALSE,ISNUMBER(VALUE(Metadata!V173))),Metadata!V173&gt;=-180,Metadata!V173&lt;=180))</f>
        <v>0</v>
      </c>
      <c r="BJ173" t="b">
        <f>AND(IF(Metadata!W173="",FALSE,TRUE),EXACT(Metadata!W173,"Decimal degrees"))</f>
        <v>0</v>
      </c>
      <c r="BK173" t="b">
        <f>IF(Metadata!X173="",FALSE,TRUE)</f>
        <v>0</v>
      </c>
      <c r="BL173" t="b">
        <f>OR(AND(IF(Metadata!Y173="",FALSE,TRUE),OR(EXACT(Metadata!Y173,"not collected"),EXACT(Metadata!Y173,"not provided"),EXACT(Metadata!Y173,"restricted access"))),AND(IF(Metadata!Y173="",FALSE,TRUE),OR(EXACT(Metadata!Y173,"TRUE"),EXACT(Metadata!Y173,"FALSE"))))</f>
        <v>0</v>
      </c>
      <c r="BM173" t="b">
        <f>OR(AND(IF(Metadata!Z173="",FALSE,TRUE),EXACT(Metadata!Z173,"not applicable")),AND(IF(Metadata!Z173="",FALSE,TRUE),OR(EXACT(Metadata!Z173,"beer"),EXACT(Metadata!Z173,"cheese"),EXACT(Metadata!Z173,"fresh water"),EXACT(Metadata!Z173,"marine sediment"),EXACT(Metadata!Z173,"sea water"),EXACT(Metadata!Z173,"sediment"),EXACT(Metadata!Z173,"soil"),EXACT(Metadata!Z173,"waste water"))))</f>
        <v>0</v>
      </c>
      <c r="BN173" t="b">
        <f>AND(IF(Metadata!AA173="",FALSE,TRUE),EXACT(Metadata!AA173,"metagenome"))</f>
        <v>0</v>
      </c>
      <c r="BO173" t="b">
        <f>AND(IF(Metadata!AB173="",FALSE,TRUE),EXACT(Metadata!AB173,"256318"))</f>
        <v>0</v>
      </c>
      <c r="BP173" t="b">
        <f>IF(Metadata!AC173="",FALSE,TRUE)</f>
        <v>0</v>
      </c>
      <c r="BQ173" t="b">
        <f>IF(Metadata!AD173="",FALSE,TRUE)</f>
        <v>0</v>
      </c>
    </row>
    <row r="174" spans="1:69" x14ac:dyDescent="0.2">
      <c r="A174" s="4" t="e">
        <f ca="1">IF(B174=" "," ",HYPERLINK(CONCATENATE("#metadata!",ADDRESS(INDEX($AJ$2:$AJ$1001,MATCH(ROWS($AH$2:AH174),$AH$2:$AH$1001,0),0),2)),INDEX($AM$2:$AM$1001,MATCH(ROWS($AH$2:AH174),$AH$2:$AH$1001,0),0)))</f>
        <v>#N/A</v>
      </c>
      <c r="B174" s="5" t="e">
        <f ca="1">IF(OR(INDEX($AI$2:$AI$1001,MATCH(ROWS($AH$2:AH174),$AH$2:$AH$1001,0),1)&gt;=100000,INDEX($AO$1005:$BQ$1005,1,MATCH(COLUMNS($AO$1006:AO1006),$AO$1006:$BQ$1006,0))&gt;=100000), " ",IF(INDEX($AO$2:$BQ$1001,MATCH(ROWS($AH$2:AH174),$AH$2:$AH$1001,0),MATCH(COLUMNS($AO$1006:AO1006),$AO$1006:$BQ$1006,0)), HYPERLINK("#",""), HYPERLINK(CONCATENATE("#Metadata!", ADDRESS(INDEX($AJ$2:$AJ$1001,MATCH(ROWS($AH$2:AH174),$AH$2:$AH$1001,0),0), INDEX($AO$1004:$BQ$1004,1,MATCH(COLUMNS($AO$1006:AO1006),$AO$1006:$BQ$1006,0)))),"Fix")))</f>
        <v>#N/A</v>
      </c>
      <c r="C174" s="5" t="e">
        <f ca="1">IF(OR(INDEX($AI$2:$AI$1001,MATCH(ROWS($AH$2:AH174),$AH$2:$AH$1001,0),1)&gt;=100000,INDEX($AO$1005:$BQ$1005,1,MATCH(COLUMNS($AO$1006:AP1006),$AO$1006:$BQ$1006,0))&gt;=100000), " ",IF(INDEX($AO$2:$BQ$1001,MATCH(ROWS($AH$2:AH174),$AH$2:$AH$1001,0),MATCH(COLUMNS($AO$1006:AP1006),$AO$1006:$BQ$1006,0)), HYPERLINK("#",""), HYPERLINK(CONCATENATE("#Metadata!", ADDRESS(INDEX($AJ$2:$AJ$1001,MATCH(ROWS($AH$2:AH174),$AH$2:$AH$1001,0),0), INDEX($AO$1004:$BQ$1004,1,MATCH(COLUMNS($AO$1006:AP1006),$AO$1006:$BQ$1006,0)))),"Fix")))</f>
        <v>#N/A</v>
      </c>
      <c r="D174" s="5" t="e">
        <f ca="1">IF(OR(INDEX($AI$2:$AI$1001,MATCH(ROWS($AH$2:AH174),$AH$2:$AH$1001,0),1)&gt;=100000,INDEX($AO$1005:$BQ$1005,1,MATCH(COLUMNS($AO$1006:AQ1006),$AO$1006:$BQ$1006,0))&gt;=100000), " ",IF(INDEX($AO$2:$BQ$1001,MATCH(ROWS($AH$2:AH174),$AH$2:$AH$1001,0),MATCH(COLUMNS($AO$1006:AQ1006),$AO$1006:$BQ$1006,0)), HYPERLINK("#",""), HYPERLINK(CONCATENATE("#Metadata!", ADDRESS(INDEX($AJ$2:$AJ$1001,MATCH(ROWS($AH$2:AH174),$AH$2:$AH$1001,0),0), INDEX($AO$1004:$BQ$1004,1,MATCH(COLUMNS($AO$1006:AQ1006),$AO$1006:$BQ$1006,0)))),"Fix")))</f>
        <v>#N/A</v>
      </c>
      <c r="E174" s="5" t="e">
        <f ca="1">IF(OR(INDEX($AI$2:$AI$1001,MATCH(ROWS($AH$2:AH174),$AH$2:$AH$1001,0),1)&gt;=100000,INDEX($AO$1005:$BQ$1005,1,MATCH(COLUMNS($AO$1006:AR1006),$AO$1006:$BQ$1006,0))&gt;=100000), " ",IF(INDEX($AO$2:$BQ$1001,MATCH(ROWS($AH$2:AH174),$AH$2:$AH$1001,0),MATCH(COLUMNS($AO$1006:AR1006),$AO$1006:$BQ$1006,0)), HYPERLINK("#",""), HYPERLINK(CONCATENATE("#Metadata!", ADDRESS(INDEX($AJ$2:$AJ$1001,MATCH(ROWS($AH$2:AH174),$AH$2:$AH$1001,0),0), INDEX($AO$1004:$BQ$1004,1,MATCH(COLUMNS($AO$1006:AR1006),$AO$1006:$BQ$1006,0)))),"Fix")))</f>
        <v>#N/A</v>
      </c>
      <c r="F174" s="5" t="e">
        <f ca="1">IF(OR(INDEX($AI$2:$AI$1001,MATCH(ROWS($AH$2:AH174),$AH$2:$AH$1001,0),1)&gt;=100000,INDEX($AO$1005:$BQ$1005,1,MATCH(COLUMNS($AO$1006:AS1006),$AO$1006:$BQ$1006,0))&gt;=100000), " ",IF(INDEX($AO$2:$BQ$1001,MATCH(ROWS($AH$2:AH174),$AH$2:$AH$1001,0),MATCH(COLUMNS($AO$1006:AS1006),$AO$1006:$BQ$1006,0)), HYPERLINK("#",""), HYPERLINK(CONCATENATE("#Metadata!", ADDRESS(INDEX($AJ$2:$AJ$1001,MATCH(ROWS($AH$2:AH174),$AH$2:$AH$1001,0),0), INDEX($AO$1004:$BQ$1004,1,MATCH(COLUMNS($AO$1006:AS1006),$AO$1006:$BQ$1006,0)))),"Fix")))</f>
        <v>#N/A</v>
      </c>
      <c r="G174" s="5" t="e">
        <f ca="1">IF(OR(INDEX($AI$2:$AI$1001,MATCH(ROWS($AH$2:AH174),$AH$2:$AH$1001,0),1)&gt;=100000,INDEX($AO$1005:$BQ$1005,1,MATCH(COLUMNS($AO$1006:AT1006),$AO$1006:$BQ$1006,0))&gt;=100000), " ",IF(INDEX($AO$2:$BQ$1001,MATCH(ROWS($AH$2:AH174),$AH$2:$AH$1001,0),MATCH(COLUMNS($AO$1006:AT1006),$AO$1006:$BQ$1006,0)), HYPERLINK("#",""), HYPERLINK(CONCATENATE("#Metadata!", ADDRESS(INDEX($AJ$2:$AJ$1001,MATCH(ROWS($AH$2:AH174),$AH$2:$AH$1001,0),0), INDEX($AO$1004:$BQ$1004,1,MATCH(COLUMNS($AO$1006:AT1006),$AO$1006:$BQ$1006,0)))),"Fix")))</f>
        <v>#N/A</v>
      </c>
      <c r="H174" s="5" t="e">
        <f ca="1">IF(OR(INDEX($AI$2:$AI$1001,MATCH(ROWS($AH$2:AH174),$AH$2:$AH$1001,0),1)&gt;=100000,INDEX($AO$1005:$BQ$1005,1,MATCH(COLUMNS($AO$1006:AU1006),$AO$1006:$BQ$1006,0))&gt;=100000), " ",IF(INDEX($AO$2:$BQ$1001,MATCH(ROWS($AH$2:AH174),$AH$2:$AH$1001,0),MATCH(COLUMNS($AO$1006:AU1006),$AO$1006:$BQ$1006,0)), HYPERLINK("#",""), HYPERLINK(CONCATENATE("#Metadata!", ADDRESS(INDEX($AJ$2:$AJ$1001,MATCH(ROWS($AH$2:AH174),$AH$2:$AH$1001,0),0), INDEX($AO$1004:$BQ$1004,1,MATCH(COLUMNS($AO$1006:AU1006),$AO$1006:$BQ$1006,0)))),"Fix")))</f>
        <v>#N/A</v>
      </c>
      <c r="I174" s="5" t="e">
        <f ca="1">IF(OR(INDEX($AI$2:$AI$1001,MATCH(ROWS($AH$2:AH174),$AH$2:$AH$1001,0),1)&gt;=100000,INDEX($AO$1005:$BQ$1005,1,MATCH(COLUMNS($AO$1006:AV1006),$AO$1006:$BQ$1006,0))&gt;=100000), " ",IF(INDEX($AO$2:$BQ$1001,MATCH(ROWS($AH$2:AH174),$AH$2:$AH$1001,0),MATCH(COLUMNS($AO$1006:AV1006),$AO$1006:$BQ$1006,0)), HYPERLINK("#",""), HYPERLINK(CONCATENATE("#Metadata!", ADDRESS(INDEX($AJ$2:$AJ$1001,MATCH(ROWS($AH$2:AH174),$AH$2:$AH$1001,0),0), INDEX($AO$1004:$BQ$1004,1,MATCH(COLUMNS($AO$1006:AV1006),$AO$1006:$BQ$1006,0)))),"Fix")))</f>
        <v>#N/A</v>
      </c>
      <c r="J174" s="5" t="e">
        <f ca="1">IF(OR(INDEX($AI$2:$AI$1001,MATCH(ROWS($AH$2:AH174),$AH$2:$AH$1001,0),1)&gt;=100000,INDEX($AO$1005:$BQ$1005,1,MATCH(COLUMNS($AO$1006:AW1006),$AO$1006:$BQ$1006,0))&gt;=100000), " ",IF(INDEX($AO$2:$BQ$1001,MATCH(ROWS($AH$2:AH174),$AH$2:$AH$1001,0),MATCH(COLUMNS($AO$1006:AW1006),$AO$1006:$BQ$1006,0)), HYPERLINK("#",""), HYPERLINK(CONCATENATE("#Metadata!", ADDRESS(INDEX($AJ$2:$AJ$1001,MATCH(ROWS($AH$2:AH174),$AH$2:$AH$1001,0),0), INDEX($AO$1004:$BQ$1004,1,MATCH(COLUMNS($AO$1006:AW1006),$AO$1006:$BQ$1006,0)))),"Fix")))</f>
        <v>#N/A</v>
      </c>
      <c r="K174" s="5" t="e">
        <f ca="1">IF(OR(INDEX($AI$2:$AI$1001,MATCH(ROWS($AH$2:AH174),$AH$2:$AH$1001,0),1)&gt;=100000,INDEX($AO$1005:$BQ$1005,1,MATCH(COLUMNS($AO$1006:AX1006),$AO$1006:$BQ$1006,0))&gt;=100000), " ",IF(INDEX($AO$2:$BQ$1001,MATCH(ROWS($AH$2:AH174),$AH$2:$AH$1001,0),MATCH(COLUMNS($AO$1006:AX1006),$AO$1006:$BQ$1006,0)), HYPERLINK("#",""), HYPERLINK(CONCATENATE("#Metadata!", ADDRESS(INDEX($AJ$2:$AJ$1001,MATCH(ROWS($AH$2:AH174),$AH$2:$AH$1001,0),0), INDEX($AO$1004:$BQ$1004,1,MATCH(COLUMNS($AO$1006:AX1006),$AO$1006:$BQ$1006,0)))),"Fix")))</f>
        <v>#N/A</v>
      </c>
      <c r="L174" s="5" t="e">
        <f ca="1">IF(OR(INDEX($AI$2:$AI$1001,MATCH(ROWS($AH$2:AH174),$AH$2:$AH$1001,0),1)&gt;=100000,INDEX($AO$1005:$BQ$1005,1,MATCH(COLUMNS($AO$1006:AY1006),$AO$1006:$BQ$1006,0))&gt;=100000), " ",IF(INDEX($AO$2:$BQ$1001,MATCH(ROWS($AH$2:AH174),$AH$2:$AH$1001,0),MATCH(COLUMNS($AO$1006:AY1006),$AO$1006:$BQ$1006,0)), HYPERLINK("#",""), HYPERLINK(CONCATENATE("#Metadata!", ADDRESS(INDEX($AJ$2:$AJ$1001,MATCH(ROWS($AH$2:AH174),$AH$2:$AH$1001,0),0), INDEX($AO$1004:$BQ$1004,1,MATCH(COLUMNS($AO$1006:AY1006),$AO$1006:$BQ$1006,0)))),"Fix")))</f>
        <v>#N/A</v>
      </c>
      <c r="M174" s="5" t="e">
        <f ca="1">IF(OR(INDEX($AI$2:$AI$1001,MATCH(ROWS($AH$2:AH174),$AH$2:$AH$1001,0),1)&gt;=100000,INDEX($AO$1005:$BQ$1005,1,MATCH(COLUMNS($AO$1006:AZ1006),$AO$1006:$BQ$1006,0))&gt;=100000), " ",IF(INDEX($AO$2:$BQ$1001,MATCH(ROWS($AH$2:AH174),$AH$2:$AH$1001,0),MATCH(COLUMNS($AO$1006:AZ1006),$AO$1006:$BQ$1006,0)), HYPERLINK("#",""), HYPERLINK(CONCATENATE("#Metadata!", ADDRESS(INDEX($AJ$2:$AJ$1001,MATCH(ROWS($AH$2:AH174),$AH$2:$AH$1001,0),0), INDEX($AO$1004:$BQ$1004,1,MATCH(COLUMNS($AO$1006:AZ1006),$AO$1006:$BQ$1006,0)))),"Fix")))</f>
        <v>#N/A</v>
      </c>
      <c r="N174" s="5" t="e">
        <f ca="1">IF(OR(INDEX($AI$2:$AI$1001,MATCH(ROWS($AH$2:AH174),$AH$2:$AH$1001,0),1)&gt;=100000,INDEX($AO$1005:$BQ$1005,1,MATCH(COLUMNS($AO$1006:BA1006),$AO$1006:$BQ$1006,0))&gt;=100000), " ",IF(INDEX($AO$2:$BQ$1001,MATCH(ROWS($AH$2:AH174),$AH$2:$AH$1001,0),MATCH(COLUMNS($AO$1006:BA1006),$AO$1006:$BQ$1006,0)), HYPERLINK("#",""), HYPERLINK(CONCATENATE("#Metadata!", ADDRESS(INDEX($AJ$2:$AJ$1001,MATCH(ROWS($AH$2:AH174),$AH$2:$AH$1001,0),0), INDEX($AO$1004:$BQ$1004,1,MATCH(COLUMNS($AO$1006:BA1006),$AO$1006:$BQ$1006,0)))),"Fix")))</f>
        <v>#N/A</v>
      </c>
      <c r="O174" s="5" t="e">
        <f ca="1">IF(OR(INDEX($AI$2:$AI$1001,MATCH(ROWS($AH$2:AH174),$AH$2:$AH$1001,0),1)&gt;=100000,INDEX($AO$1005:$BQ$1005,1,MATCH(COLUMNS($AO$1006:BB1006),$AO$1006:$BQ$1006,0))&gt;=100000), " ",IF(INDEX($AO$2:$BQ$1001,MATCH(ROWS($AH$2:AH174),$AH$2:$AH$1001,0),MATCH(COLUMNS($AO$1006:BB1006),$AO$1006:$BQ$1006,0)), HYPERLINK("#",""), HYPERLINK(CONCATENATE("#Metadata!", ADDRESS(INDEX($AJ$2:$AJ$1001,MATCH(ROWS($AH$2:AH174),$AH$2:$AH$1001,0),0), INDEX($AO$1004:$BQ$1004,1,MATCH(COLUMNS($AO$1006:BB1006),$AO$1006:$BQ$1006,0)))),"Fix")))</f>
        <v>#N/A</v>
      </c>
      <c r="P174" s="5" t="e">
        <f ca="1">IF(OR(INDEX($AI$2:$AI$1001,MATCH(ROWS($AH$2:AH174),$AH$2:$AH$1001,0),1)&gt;=100000,INDEX($AO$1005:$BQ$1005,1,MATCH(COLUMNS($AO$1006:BC1006),$AO$1006:$BQ$1006,0))&gt;=100000), " ",IF(INDEX($AO$2:$BQ$1001,MATCH(ROWS($AH$2:AH174),$AH$2:$AH$1001,0),MATCH(COLUMNS($AO$1006:BC1006),$AO$1006:$BQ$1006,0)), HYPERLINK("#",""), HYPERLINK(CONCATENATE("#Metadata!", ADDRESS(INDEX($AJ$2:$AJ$1001,MATCH(ROWS($AH$2:AH174),$AH$2:$AH$1001,0),0), INDEX($AO$1004:$BQ$1004,1,MATCH(COLUMNS($AO$1006:BC1006),$AO$1006:$BQ$1006,0)))),"Fix")))</f>
        <v>#N/A</v>
      </c>
      <c r="Q174" s="5" t="e">
        <f ca="1">IF(OR(INDEX($AI$2:$AI$1001,MATCH(ROWS($AH$2:AH174),$AH$2:$AH$1001,0),1)&gt;=100000,INDEX($AO$1005:$BQ$1005,1,MATCH(COLUMNS($AO$1006:BD1006),$AO$1006:$BQ$1006,0))&gt;=100000), " ",IF(INDEX($AO$2:$BQ$1001,MATCH(ROWS($AH$2:AH174),$AH$2:$AH$1001,0),MATCH(COLUMNS($AO$1006:BD1006),$AO$1006:$BQ$1006,0)), HYPERLINK("#",""), HYPERLINK(CONCATENATE("#Metadata!", ADDRESS(INDEX($AJ$2:$AJ$1001,MATCH(ROWS($AH$2:AH174),$AH$2:$AH$1001,0),0), INDEX($AO$1004:$BQ$1004,1,MATCH(COLUMNS($AO$1006:BD1006),$AO$1006:$BQ$1006,0)))),"Fix")))</f>
        <v>#N/A</v>
      </c>
      <c r="R174" s="5" t="e">
        <f ca="1">IF(OR(INDEX($AI$2:$AI$1001,MATCH(ROWS($AH$2:AH174),$AH$2:$AH$1001,0),1)&gt;=100000,INDEX($AO$1005:$BQ$1005,1,MATCH(COLUMNS($AO$1006:BE1006),$AO$1006:$BQ$1006,0))&gt;=100000), " ",IF(INDEX($AO$2:$BQ$1001,MATCH(ROWS($AH$2:AH174),$AH$2:$AH$1001,0),MATCH(COLUMNS($AO$1006:BE1006),$AO$1006:$BQ$1006,0)), HYPERLINK("#",""), HYPERLINK(CONCATENATE("#Metadata!", ADDRESS(INDEX($AJ$2:$AJ$1001,MATCH(ROWS($AH$2:AH174),$AH$2:$AH$1001,0),0), INDEX($AO$1004:$BQ$1004,1,MATCH(COLUMNS($AO$1006:BE1006),$AO$1006:$BQ$1006,0)))),"Fix")))</f>
        <v>#N/A</v>
      </c>
      <c r="S174" s="5" t="e">
        <f ca="1">IF(OR(INDEX($AI$2:$AI$1001,MATCH(ROWS($AH$2:AH174),$AH$2:$AH$1001,0),1)&gt;=100000,INDEX($AO$1005:$BQ$1005,1,MATCH(COLUMNS($AO$1006:BF1006),$AO$1006:$BQ$1006,0))&gt;=100000), " ",IF(INDEX($AO$2:$BQ$1001,MATCH(ROWS($AH$2:AH174),$AH$2:$AH$1001,0),MATCH(COLUMNS($AO$1006:BF1006),$AO$1006:$BQ$1006,0)), HYPERLINK("#",""), HYPERLINK(CONCATENATE("#Metadata!", ADDRESS(INDEX($AJ$2:$AJ$1001,MATCH(ROWS($AH$2:AH174),$AH$2:$AH$1001,0),0), INDEX($AO$1004:$BQ$1004,1,MATCH(COLUMNS($AO$1006:BF1006),$AO$1006:$BQ$1006,0)))),"Fix")))</f>
        <v>#N/A</v>
      </c>
      <c r="T174" s="5" t="e">
        <f ca="1">IF(OR(INDEX($AI$2:$AI$1001,MATCH(ROWS($AH$2:AH174),$AH$2:$AH$1001,0),1)&gt;=100000,INDEX($AO$1005:$BQ$1005,1,MATCH(COLUMNS($AO$1006:BG1006),$AO$1006:$BQ$1006,0))&gt;=100000), " ",IF(INDEX($AO$2:$BQ$1001,MATCH(ROWS($AH$2:AH174),$AH$2:$AH$1001,0),MATCH(COLUMNS($AO$1006:BG1006),$AO$1006:$BQ$1006,0)), HYPERLINK("#",""), HYPERLINK(CONCATENATE("#Metadata!", ADDRESS(INDEX($AJ$2:$AJ$1001,MATCH(ROWS($AH$2:AH174),$AH$2:$AH$1001,0),0), INDEX($AO$1004:$BQ$1004,1,MATCH(COLUMNS($AO$1006:BG1006),$AO$1006:$BQ$1006,0)))),"Fix")))</f>
        <v>#N/A</v>
      </c>
      <c r="U174" s="5" t="e">
        <f ca="1">IF(OR(INDEX($AI$2:$AI$1001,MATCH(ROWS($AH$2:AH174),$AH$2:$AH$1001,0),1)&gt;=100000,INDEX($AO$1005:$BQ$1005,1,MATCH(COLUMNS($AO$1006:BH1006),$AO$1006:$BQ$1006,0))&gt;=100000), " ",IF(INDEX($AO$2:$BQ$1001,MATCH(ROWS($AH$2:AH174),$AH$2:$AH$1001,0),MATCH(COLUMNS($AO$1006:BH1006),$AO$1006:$BQ$1006,0)), HYPERLINK("#",""), HYPERLINK(CONCATENATE("#Metadata!", ADDRESS(INDEX($AJ$2:$AJ$1001,MATCH(ROWS($AH$2:AH174),$AH$2:$AH$1001,0),0), INDEX($AO$1004:$BQ$1004,1,MATCH(COLUMNS($AO$1006:BH1006),$AO$1006:$BQ$1006,0)))),"Fix")))</f>
        <v>#N/A</v>
      </c>
      <c r="V174" s="5" t="e">
        <f ca="1">IF(OR(INDEX($AI$2:$AI$1001,MATCH(ROWS($AH$2:AH174),$AH$2:$AH$1001,0),1)&gt;=100000,INDEX($AO$1005:$BQ$1005,1,MATCH(COLUMNS($AO$1006:BI1006),$AO$1006:$BQ$1006,0))&gt;=100000), " ",IF(INDEX($AO$2:$BQ$1001,MATCH(ROWS($AH$2:AH174),$AH$2:$AH$1001,0),MATCH(COLUMNS($AO$1006:BI1006),$AO$1006:$BQ$1006,0)), HYPERLINK("#",""), HYPERLINK(CONCATENATE("#Metadata!", ADDRESS(INDEX($AJ$2:$AJ$1001,MATCH(ROWS($AH$2:AH174),$AH$2:$AH$1001,0),0), INDEX($AO$1004:$BQ$1004,1,MATCH(COLUMNS($AO$1006:BI1006),$AO$1006:$BQ$1006,0)))),"Fix")))</f>
        <v>#N/A</v>
      </c>
      <c r="W174" s="5" t="e">
        <f ca="1">IF(OR(INDEX($AI$2:$AI$1001,MATCH(ROWS($AH$2:AH174),$AH$2:$AH$1001,0),1)&gt;=100000,INDEX($AO$1005:$BQ$1005,1,MATCH(COLUMNS($AO$1006:BJ1006),$AO$1006:$BQ$1006,0))&gt;=100000), " ",IF(INDEX($AO$2:$BQ$1001,MATCH(ROWS($AH$2:AH174),$AH$2:$AH$1001,0),MATCH(COLUMNS($AO$1006:BJ1006),$AO$1006:$BQ$1006,0)), HYPERLINK("#",""), HYPERLINK(CONCATENATE("#Metadata!", ADDRESS(INDEX($AJ$2:$AJ$1001,MATCH(ROWS($AH$2:AH174),$AH$2:$AH$1001,0),0), INDEX($AO$1004:$BQ$1004,1,MATCH(COLUMNS($AO$1006:BJ1006),$AO$1006:$BQ$1006,0)))),"Fix")))</f>
        <v>#N/A</v>
      </c>
      <c r="X174" s="5" t="e">
        <f ca="1">IF(OR(INDEX($AI$2:$AI$1001,MATCH(ROWS($AH$2:AH174),$AH$2:$AH$1001,0),1)&gt;=100000,INDEX($AO$1005:$BQ$1005,1,MATCH(COLUMNS($AO$1006:BK1006),$AO$1006:$BQ$1006,0))&gt;=100000), " ",IF(INDEX($AO$2:$BQ$1001,MATCH(ROWS($AH$2:AH174),$AH$2:$AH$1001,0),MATCH(COLUMNS($AO$1006:BK1006),$AO$1006:$BQ$1006,0)), HYPERLINK("#",""), HYPERLINK(CONCATENATE("#Metadata!", ADDRESS(INDEX($AJ$2:$AJ$1001,MATCH(ROWS($AH$2:AH174),$AH$2:$AH$1001,0),0), INDEX($AO$1004:$BQ$1004,1,MATCH(COLUMNS($AO$1006:BK1006),$AO$1006:$BQ$1006,0)))),"Fix")))</f>
        <v>#N/A</v>
      </c>
      <c r="Y174" s="5" t="e">
        <f ca="1">IF(OR(INDEX($AI$2:$AI$1001,MATCH(ROWS($AH$2:AH174),$AH$2:$AH$1001,0),1)&gt;=100000,INDEX($AO$1005:$BQ$1005,1,MATCH(COLUMNS($AO$1006:BL1006),$AO$1006:$BQ$1006,0))&gt;=100000), " ",IF(INDEX($AO$2:$BQ$1001,MATCH(ROWS($AH$2:AH174),$AH$2:$AH$1001,0),MATCH(COLUMNS($AO$1006:BL1006),$AO$1006:$BQ$1006,0)), HYPERLINK("#",""), HYPERLINK(CONCATENATE("#Metadata!", ADDRESS(INDEX($AJ$2:$AJ$1001,MATCH(ROWS($AH$2:AH174),$AH$2:$AH$1001,0),0), INDEX($AO$1004:$BQ$1004,1,MATCH(COLUMNS($AO$1006:BL1006),$AO$1006:$BQ$1006,0)))),"Fix")))</f>
        <v>#N/A</v>
      </c>
      <c r="Z174" s="5" t="e">
        <f ca="1">IF(OR(INDEX($AI$2:$AI$1001,MATCH(ROWS($AH$2:AH174),$AH$2:$AH$1001,0),1)&gt;=100000,INDEX($AO$1005:$BQ$1005,1,MATCH(COLUMNS($AO$1006:BM1006),$AO$1006:$BQ$1006,0))&gt;=100000), " ",IF(INDEX($AO$2:$BQ$1001,MATCH(ROWS($AH$2:AH174),$AH$2:$AH$1001,0),MATCH(COLUMNS($AO$1006:BM1006),$AO$1006:$BQ$1006,0)), HYPERLINK("#",""), HYPERLINK(CONCATENATE("#Metadata!", ADDRESS(INDEX($AJ$2:$AJ$1001,MATCH(ROWS($AH$2:AH174),$AH$2:$AH$1001,0),0), INDEX($AO$1004:$BQ$1004,1,MATCH(COLUMNS($AO$1006:BM1006),$AO$1006:$BQ$1006,0)))),"Fix")))</f>
        <v>#N/A</v>
      </c>
      <c r="AA174" s="5" t="e">
        <f ca="1">IF(OR(INDEX($AI$2:$AI$1001,MATCH(ROWS($AH$2:AH174),$AH$2:$AH$1001,0),1)&gt;=100000,INDEX($AO$1005:$BQ$1005,1,MATCH(COLUMNS($AO$1006:BN1006),$AO$1006:$BQ$1006,0))&gt;=100000), " ",IF(INDEX($AO$2:$BQ$1001,MATCH(ROWS($AH$2:AH174),$AH$2:$AH$1001,0),MATCH(COLUMNS($AO$1006:BN1006),$AO$1006:$BQ$1006,0)), HYPERLINK("#",""), HYPERLINK(CONCATENATE("#Metadata!", ADDRESS(INDEX($AJ$2:$AJ$1001,MATCH(ROWS($AH$2:AH174),$AH$2:$AH$1001,0),0), INDEX($AO$1004:$BQ$1004,1,MATCH(COLUMNS($AO$1006:BN1006),$AO$1006:$BQ$1006,0)))),"Fix")))</f>
        <v>#N/A</v>
      </c>
      <c r="AB174" s="5" t="e">
        <f ca="1">IF(OR(INDEX($AI$2:$AI$1001,MATCH(ROWS($AH$2:AH174),$AH$2:$AH$1001,0),1)&gt;=100000,INDEX($AO$1005:$BQ$1005,1,MATCH(COLUMNS($AO$1006:BO1006),$AO$1006:$BQ$1006,0))&gt;=100000), " ",IF(INDEX($AO$2:$BQ$1001,MATCH(ROWS($AH$2:AH174),$AH$2:$AH$1001,0),MATCH(COLUMNS($AO$1006:BO1006),$AO$1006:$BQ$1006,0)), HYPERLINK("#",""), HYPERLINK(CONCATENATE("#Metadata!", ADDRESS(INDEX($AJ$2:$AJ$1001,MATCH(ROWS($AH$2:AH174),$AH$2:$AH$1001,0),0), INDEX($AO$1004:$BQ$1004,1,MATCH(COLUMNS($AO$1006:BO1006),$AO$1006:$BQ$1006,0)))),"Fix")))</f>
        <v>#N/A</v>
      </c>
      <c r="AC174" s="5" t="e">
        <f ca="1">IF(OR(INDEX($AI$2:$AI$1001,MATCH(ROWS($AH$2:AH174),$AH$2:$AH$1001,0),1)&gt;=100000,INDEX($AO$1005:$BQ$1005,1,MATCH(COLUMNS($AO$1006:BP1006),$AO$1006:$BQ$1006,0))&gt;=100000), " ",IF(INDEX($AO$2:$BQ$1001,MATCH(ROWS($AH$2:AH174),$AH$2:$AH$1001,0),MATCH(COLUMNS($AO$1006:BP1006),$AO$1006:$BQ$1006,0)), HYPERLINK("#",""), HYPERLINK(CONCATENATE("#Metadata!", ADDRESS(INDEX($AJ$2:$AJ$1001,MATCH(ROWS($AH$2:AH174),$AH$2:$AH$1001,0),0), INDEX($AO$1004:$BQ$1004,1,MATCH(COLUMNS($AO$1006:BP1006),$AO$1006:$BQ$1006,0)))),"Fix")))</f>
        <v>#N/A</v>
      </c>
      <c r="AD174" s="5" t="e">
        <f ca="1">IF(OR(INDEX($AI$2:$AI$1001,MATCH(ROWS($AH$2:AH174),$AH$2:$AH$1001,0),1)&gt;=100000,INDEX($AO$1005:$BQ$1005,1,MATCH(COLUMNS($AO$1006:BQ1006),$AO$1006:$BQ$1006,0))&gt;=100000), " ",IF(INDEX($AO$2:$BQ$1001,MATCH(ROWS($AH$2:AH174),$AH$2:$AH$1001,0),MATCH(COLUMNS($AO$1006:BQ1006),$AO$1006:$BQ$1006,0)), HYPERLINK("#",""), HYPERLINK(CONCATENATE("#Metadata!", ADDRESS(INDEX($AJ$2:$AJ$1001,MATCH(ROWS($AH$2:AH174),$AH$2:$AH$1001,0),0), INDEX($AO$1004:$BQ$1004,1,MATCH(COLUMNS($AO$1006:BQ1006),$AO$1006:$BQ$1006,0)))),"Fix")))</f>
        <v>#REF!</v>
      </c>
      <c r="AH174">
        <f ca="1"/>
        <v>171</v>
      </c>
      <c r="AI174">
        <v>100174</v>
      </c>
      <c r="AJ174">
        <v>174</v>
      </c>
      <c r="AK174" t="b">
        <f t="shared" si="2"/>
        <v>1</v>
      </c>
      <c r="AL174" t="b">
        <f>COUNTBLANK(Metadata!B174:AD174)=COLUMNS(Metadata!B174:AD174)</f>
        <v>1</v>
      </c>
      <c r="AM174" t="str">
        <v/>
      </c>
      <c r="AO174" t="b">
        <f ca="1">AND(IF(Metadata!B174="",FALSE,TRUE),COUNTIF(Metadata!B:B, Metadata!B174) = 1,NOT(ISERROR(SUMPRODUCT(SEARCH(MID(Metadata!B174,ROW(INDIRECT("1:"&amp;LEN(Metadata!B174))), 1),"0123456789abcdefghijklmnopqrstuvwxyzABCDEFGHIJKLMNOPQRSTUVWXYZ.")))))</f>
        <v>0</v>
      </c>
      <c r="AP174" t="b">
        <f>IF(Metadata!C174="",FALSE,TRUE)</f>
        <v>0</v>
      </c>
      <c r="AQ174" t="b">
        <f>IF(Metadata!D174="",FALSE,TRUE)</f>
        <v>0</v>
      </c>
      <c r="AR174" t="b">
        <f ca="1">OR(AND(IF(Metadata!E174="",FALSE,TRUE),OR(EXACT(Metadata!E174,"not collected"),EXACT(Metadata!E174,"not provided"),EXACT(Metadata!E174,"restricted access"))),AND(IF(Metadata!E174="",FALSE,TRUE),AND(AND(IFERROR(INT(LEFT(Metadata!E174,4))&gt;1900,FALSE),IFERROR(INT(LEFT(Metadata!E174,4))&lt;=YEAR(NOW()),FALSE)), OR(MID(Metadata!E174,5,1)="", AND(AND(MID(Metadata!E174,5,1)="-",IFERROR(INT(MID(Metadata!E174,6,1))&gt;=0,FALSE),IFERROR(INT(MID(Metadata!E174,6,1))&lt;=1,FALSE),NOT(MID(Metadata!E174,7,1)=""),IFERROR(INT(MID(Metadata!E174,6,2))&gt;=1,FALSE),IFERROR(INT(MID(Metadata!E174,6,2))&lt;=12,FALSE)), OR(MID(Metadata!E174,8,1)="", AND(AND(MID(Metadata!E174,8,1)="-",IFERROR(INT(MID(Metadata!E174,9,1))&gt;=0,FALSE),IFERROR(INT(MID(Metadata!E174,9,1))&lt;=3,FALSE),NOT(MID(Metadata!E174,10,1)=""),IFERROR(INT(MID(Metadata!E174,9,2))&gt;=1,FALSE),IFERROR(INT(MID(Metadata!E174,9,2))&lt;=31,FALSE)), OR(MID(Metadata!E174,11,1)="", AND(AND(MID(Metadata!E174,11,1)=" ",IFERROR(INT(MID(Metadata!E174,12,1))&gt;=0,FALSE),IFERROR(INT(MID(Metadata!E174,12,1))&lt;=2,FALSE),NOT(MID(Metadata!E174,13,1)=""),IFERROR(INT(MID(Metadata!E174,12,2))&gt;=0,FALSE),IFERROR(INT(MID(Metadata!E174,12,2))&lt;=23,FALSE)), OR(MID(Metadata!E174,14,1)="", AND(AND(MID(Metadata!E174,14,1)=":",IFERROR(INT(MID(Metadata!E174,15,1))&gt;=0,FALSE),IFERROR(INT(MID(Metadata!E174,15,1))&lt;=5,FALSE),NOT(MID(Metadata!E174,16,1)=""),IFERROR(INT(MID(Metadata!E174,15,2))&gt;=0,FALSE),IFERROR(INT(MID(Metadata!E174,15,2))&lt;=59,FALSE)), OR(MID(Metadata!E174,17,1)="", AND(AND(MID(Metadata!E174,17,1)=":",IFERROR(INT(MID(Metadata!E174,18,1))&gt;=0,FALSE),IFERROR(INT(MID(Metadata!E174,18,1))&lt;=5,FALSE),NOT(MID(Metadata!E174,19,1)=""),IFERROR(INT(MID(Metadata!E174,18,2))&gt;=0,FALSE),IFERROR(INT(MID(Metadata!E174,18,2))&lt;=59,FALSE)), LEN(Metadata!E174)&lt;=19)))))))))))))</f>
        <v>0</v>
      </c>
      <c r="AS174" t="b">
        <f>IF(Metadata!F174="",FALSE,TRUE)</f>
        <v>0</v>
      </c>
      <c r="AT174" t="b">
        <f>OR(AND(IF(Metadata!G174="",FALSE,TRUE),OR(EXACT(Metadata!G174,"not collected"),EXACT(Metadata!G174,"not provided"))),AND(IF(Metadata!G174="",FALSE,TRUE),OR(EXACT(Metadata!G174,"TRUE"),EXACT(Metadata!G174,"FALSE"))))</f>
        <v>0</v>
      </c>
      <c r="AU174" t="b">
        <f>OR(AND(IF(Metadata!H174="",FALSE,TRUE),OR(EXACT(Metadata!H174,"not collected"),EXACT(Metadata!H174,"not provided"),EXACT(Metadata!H174,"restricted access"))),AND(IF(Metadata!H174="",FALSE,ISNUMBER(VALUE(Metadata!H174))),Metadata!H174&gt;=-413))</f>
        <v>0</v>
      </c>
      <c r="AV174" t="b">
        <f>AND(IF(Metadata!I174="",FALSE,TRUE),EXACT(Metadata!I174,"meters"))</f>
        <v>0</v>
      </c>
      <c r="AW174" t="b">
        <f>AND(IF(Metadata!J174="",FALSE,TRUE),EXACT(Metadata!J174,"free-living"))</f>
        <v>0</v>
      </c>
      <c r="AX174" t="b">
        <f>AND(IF(Metadata!K174="",FALSE,TRUE),OR(EXACT(Metadata!K174,"saline"),EXACT(Metadata!K174,"non-saline")))</f>
        <v>0</v>
      </c>
      <c r="AY174" t="b">
        <f>AND(IF(Metadata!L174="",FALSE,TRUE),OR(EXACT(Metadata!L174,"sub-surface (non-saline)"),EXACT(Metadata!L174,"surface (non-saline)"),EXACT(Metadata!L174,"water (non-saline)"),EXACT(Metadata!L174,"soil (non-saline)"),EXACT(Metadata!L174,"aerosol (non-saline)"),EXACT(Metadata!L174,"sediment (non-saline)"),EXACT(Metadata!L174,"surface (saline)"),EXACT(Metadata!L174,"water (saline)"),EXACT(Metadata!L174,"hypersaline (saline)"),EXACT(Metadata!L174,"aerosol (saline)"),EXACT(Metadata!L174,"sediment (saline)")))</f>
        <v>0</v>
      </c>
      <c r="AZ174" t="b">
        <f>IF(Metadata!M174="",FALSE,TRUE)</f>
        <v>0</v>
      </c>
      <c r="BA174" t="b">
        <f>IF(Metadata!N174="",FALSE,TRUE)</f>
        <v>0</v>
      </c>
      <c r="BB174" t="b">
        <f>IF(Metadata!O174="",FALSE,TRUE)</f>
        <v>0</v>
      </c>
      <c r="BC174" t="b">
        <f>AND(IF(Metadata!P174="",FALSE,TRUE),OR(EXACT(Metadata!P174,"air"),EXACT(Metadata!P174,"microbial mat/biofilm"),EXACT(Metadata!P174,"misc environment"),EXACT(Metadata!P174,"sediment"),EXACT(Metadata!P174,"soil"),EXACT(Metadata!P174,"wastewater/sludge"),EXACT(Metadata!P174,"water")))</f>
        <v>0</v>
      </c>
      <c r="BD174" t="b">
        <f>IF(Metadata!Q174="",FALSE,TRUE)</f>
        <v>0</v>
      </c>
      <c r="BE174" t="b">
        <f>IF(Metadata!R174="",FALSE,TRUE)</f>
        <v>0</v>
      </c>
      <c r="BF174" t="b">
        <f>OR(AND(IF(Metadata!S174="",FALSE,TRUE),OR(EXACT(Metadata!S174,"not collected"),EXACT(Metadata!S174,"not provided"),EXACT(Metadata!S174,"restricted access"))),AND(IF(Metadata!S174="",FALSE,ISNUMBER(VALUE(Metadata!S174))),Metadata!S174&gt;=-90,Metadata!S174&lt;=90))</f>
        <v>0</v>
      </c>
      <c r="BG174" t="b">
        <f>AND(IF(Metadata!T174="",FALSE,TRUE),EXACT(Metadata!T174,"Decimal degrees"))</f>
        <v>0</v>
      </c>
      <c r="BH174" t="b">
        <f>OR(AND(IF(Metadata!U174="",FALSE,TRUE),OR(EXACT(Metadata!U174,"not applicable"),EXACT(Metadata!U174,"not collected"))),IF(Metadata!U174="",FALSE,TRUE))</f>
        <v>0</v>
      </c>
      <c r="BI174" t="b">
        <f>OR(AND(IF(Metadata!V174="",FALSE,TRUE),OR(EXACT(Metadata!V174,"not collected"),EXACT(Metadata!V174,"not provided"),EXACT(Metadata!V174,"restricted access"))),AND(IF(Metadata!V174="",FALSE,ISNUMBER(VALUE(Metadata!V174))),Metadata!V174&gt;=-180,Metadata!V174&lt;=180))</f>
        <v>0</v>
      </c>
      <c r="BJ174" t="b">
        <f>AND(IF(Metadata!W174="",FALSE,TRUE),EXACT(Metadata!W174,"Decimal degrees"))</f>
        <v>0</v>
      </c>
      <c r="BK174" t="b">
        <f>IF(Metadata!X174="",FALSE,TRUE)</f>
        <v>0</v>
      </c>
      <c r="BL174" t="b">
        <f>OR(AND(IF(Metadata!Y174="",FALSE,TRUE),OR(EXACT(Metadata!Y174,"not collected"),EXACT(Metadata!Y174,"not provided"),EXACT(Metadata!Y174,"restricted access"))),AND(IF(Metadata!Y174="",FALSE,TRUE),OR(EXACT(Metadata!Y174,"TRUE"),EXACT(Metadata!Y174,"FALSE"))))</f>
        <v>0</v>
      </c>
      <c r="BM174" t="b">
        <f>OR(AND(IF(Metadata!Z174="",FALSE,TRUE),EXACT(Metadata!Z174,"not applicable")),AND(IF(Metadata!Z174="",FALSE,TRUE),OR(EXACT(Metadata!Z174,"beer"),EXACT(Metadata!Z174,"cheese"),EXACT(Metadata!Z174,"fresh water"),EXACT(Metadata!Z174,"marine sediment"),EXACT(Metadata!Z174,"sea water"),EXACT(Metadata!Z174,"sediment"),EXACT(Metadata!Z174,"soil"),EXACT(Metadata!Z174,"waste water"))))</f>
        <v>0</v>
      </c>
      <c r="BN174" t="b">
        <f>AND(IF(Metadata!AA174="",FALSE,TRUE),EXACT(Metadata!AA174,"metagenome"))</f>
        <v>0</v>
      </c>
      <c r="BO174" t="b">
        <f>AND(IF(Metadata!AB174="",FALSE,TRUE),EXACT(Metadata!AB174,"256318"))</f>
        <v>0</v>
      </c>
      <c r="BP174" t="b">
        <f>IF(Metadata!AC174="",FALSE,TRUE)</f>
        <v>0</v>
      </c>
      <c r="BQ174" t="b">
        <f>IF(Metadata!AD174="",FALSE,TRUE)</f>
        <v>0</v>
      </c>
    </row>
    <row r="175" spans="1:69" x14ac:dyDescent="0.2">
      <c r="A175" s="4" t="e">
        <f ca="1">IF(B175=" "," ",HYPERLINK(CONCATENATE("#metadata!",ADDRESS(INDEX($AJ$2:$AJ$1001,MATCH(ROWS($AH$2:AH175),$AH$2:$AH$1001,0),0),2)),INDEX($AM$2:$AM$1001,MATCH(ROWS($AH$2:AH175),$AH$2:$AH$1001,0),0)))</f>
        <v>#N/A</v>
      </c>
      <c r="B175" s="5" t="e">
        <f ca="1">IF(OR(INDEX($AI$2:$AI$1001,MATCH(ROWS($AH$2:AH175),$AH$2:$AH$1001,0),1)&gt;=100000,INDEX($AO$1005:$BQ$1005,1,MATCH(COLUMNS($AO$1006:AO1006),$AO$1006:$BQ$1006,0))&gt;=100000), " ",IF(INDEX($AO$2:$BQ$1001,MATCH(ROWS($AH$2:AH175),$AH$2:$AH$1001,0),MATCH(COLUMNS($AO$1006:AO1006),$AO$1006:$BQ$1006,0)), HYPERLINK("#",""), HYPERLINK(CONCATENATE("#Metadata!", ADDRESS(INDEX($AJ$2:$AJ$1001,MATCH(ROWS($AH$2:AH175),$AH$2:$AH$1001,0),0), INDEX($AO$1004:$BQ$1004,1,MATCH(COLUMNS($AO$1006:AO1006),$AO$1006:$BQ$1006,0)))),"Fix")))</f>
        <v>#N/A</v>
      </c>
      <c r="C175" s="5" t="e">
        <f ca="1">IF(OR(INDEX($AI$2:$AI$1001,MATCH(ROWS($AH$2:AH175),$AH$2:$AH$1001,0),1)&gt;=100000,INDEX($AO$1005:$BQ$1005,1,MATCH(COLUMNS($AO$1006:AP1006),$AO$1006:$BQ$1006,0))&gt;=100000), " ",IF(INDEX($AO$2:$BQ$1001,MATCH(ROWS($AH$2:AH175),$AH$2:$AH$1001,0),MATCH(COLUMNS($AO$1006:AP1006),$AO$1006:$BQ$1006,0)), HYPERLINK("#",""), HYPERLINK(CONCATENATE("#Metadata!", ADDRESS(INDEX($AJ$2:$AJ$1001,MATCH(ROWS($AH$2:AH175),$AH$2:$AH$1001,0),0), INDEX($AO$1004:$BQ$1004,1,MATCH(COLUMNS($AO$1006:AP1006),$AO$1006:$BQ$1006,0)))),"Fix")))</f>
        <v>#N/A</v>
      </c>
      <c r="D175" s="5" t="e">
        <f ca="1">IF(OR(INDEX($AI$2:$AI$1001,MATCH(ROWS($AH$2:AH175),$AH$2:$AH$1001,0),1)&gt;=100000,INDEX($AO$1005:$BQ$1005,1,MATCH(COLUMNS($AO$1006:AQ1006),$AO$1006:$BQ$1006,0))&gt;=100000), " ",IF(INDEX($AO$2:$BQ$1001,MATCH(ROWS($AH$2:AH175),$AH$2:$AH$1001,0),MATCH(COLUMNS($AO$1006:AQ1006),$AO$1006:$BQ$1006,0)), HYPERLINK("#",""), HYPERLINK(CONCATENATE("#Metadata!", ADDRESS(INDEX($AJ$2:$AJ$1001,MATCH(ROWS($AH$2:AH175),$AH$2:$AH$1001,0),0), INDEX($AO$1004:$BQ$1004,1,MATCH(COLUMNS($AO$1006:AQ1006),$AO$1006:$BQ$1006,0)))),"Fix")))</f>
        <v>#N/A</v>
      </c>
      <c r="E175" s="5" t="e">
        <f ca="1">IF(OR(INDEX($AI$2:$AI$1001,MATCH(ROWS($AH$2:AH175),$AH$2:$AH$1001,0),1)&gt;=100000,INDEX($AO$1005:$BQ$1005,1,MATCH(COLUMNS($AO$1006:AR1006),$AO$1006:$BQ$1006,0))&gt;=100000), " ",IF(INDEX($AO$2:$BQ$1001,MATCH(ROWS($AH$2:AH175),$AH$2:$AH$1001,0),MATCH(COLUMNS($AO$1006:AR1006),$AO$1006:$BQ$1006,0)), HYPERLINK("#",""), HYPERLINK(CONCATENATE("#Metadata!", ADDRESS(INDEX($AJ$2:$AJ$1001,MATCH(ROWS($AH$2:AH175),$AH$2:$AH$1001,0),0), INDEX($AO$1004:$BQ$1004,1,MATCH(COLUMNS($AO$1006:AR1006),$AO$1006:$BQ$1006,0)))),"Fix")))</f>
        <v>#N/A</v>
      </c>
      <c r="F175" s="5" t="e">
        <f ca="1">IF(OR(INDEX($AI$2:$AI$1001,MATCH(ROWS($AH$2:AH175),$AH$2:$AH$1001,0),1)&gt;=100000,INDEX($AO$1005:$BQ$1005,1,MATCH(COLUMNS($AO$1006:AS1006),$AO$1006:$BQ$1006,0))&gt;=100000), " ",IF(INDEX($AO$2:$BQ$1001,MATCH(ROWS($AH$2:AH175),$AH$2:$AH$1001,0),MATCH(COLUMNS($AO$1006:AS1006),$AO$1006:$BQ$1006,0)), HYPERLINK("#",""), HYPERLINK(CONCATENATE("#Metadata!", ADDRESS(INDEX($AJ$2:$AJ$1001,MATCH(ROWS($AH$2:AH175),$AH$2:$AH$1001,0),0), INDEX($AO$1004:$BQ$1004,1,MATCH(COLUMNS($AO$1006:AS1006),$AO$1006:$BQ$1006,0)))),"Fix")))</f>
        <v>#N/A</v>
      </c>
      <c r="G175" s="5" t="e">
        <f ca="1">IF(OR(INDEX($AI$2:$AI$1001,MATCH(ROWS($AH$2:AH175),$AH$2:$AH$1001,0),1)&gt;=100000,INDEX($AO$1005:$BQ$1005,1,MATCH(COLUMNS($AO$1006:AT1006),$AO$1006:$BQ$1006,0))&gt;=100000), " ",IF(INDEX($AO$2:$BQ$1001,MATCH(ROWS($AH$2:AH175),$AH$2:$AH$1001,0),MATCH(COLUMNS($AO$1006:AT1006),$AO$1006:$BQ$1006,0)), HYPERLINK("#",""), HYPERLINK(CONCATENATE("#Metadata!", ADDRESS(INDEX($AJ$2:$AJ$1001,MATCH(ROWS($AH$2:AH175),$AH$2:$AH$1001,0),0), INDEX($AO$1004:$BQ$1004,1,MATCH(COLUMNS($AO$1006:AT1006),$AO$1006:$BQ$1006,0)))),"Fix")))</f>
        <v>#N/A</v>
      </c>
      <c r="H175" s="5" t="e">
        <f ca="1">IF(OR(INDEX($AI$2:$AI$1001,MATCH(ROWS($AH$2:AH175),$AH$2:$AH$1001,0),1)&gt;=100000,INDEX($AO$1005:$BQ$1005,1,MATCH(COLUMNS($AO$1006:AU1006),$AO$1006:$BQ$1006,0))&gt;=100000), " ",IF(INDEX($AO$2:$BQ$1001,MATCH(ROWS($AH$2:AH175),$AH$2:$AH$1001,0),MATCH(COLUMNS($AO$1006:AU1006),$AO$1006:$BQ$1006,0)), HYPERLINK("#",""), HYPERLINK(CONCATENATE("#Metadata!", ADDRESS(INDEX($AJ$2:$AJ$1001,MATCH(ROWS($AH$2:AH175),$AH$2:$AH$1001,0),0), INDEX($AO$1004:$BQ$1004,1,MATCH(COLUMNS($AO$1006:AU1006),$AO$1006:$BQ$1006,0)))),"Fix")))</f>
        <v>#N/A</v>
      </c>
      <c r="I175" s="5" t="e">
        <f ca="1">IF(OR(INDEX($AI$2:$AI$1001,MATCH(ROWS($AH$2:AH175),$AH$2:$AH$1001,0),1)&gt;=100000,INDEX($AO$1005:$BQ$1005,1,MATCH(COLUMNS($AO$1006:AV1006),$AO$1006:$BQ$1006,0))&gt;=100000), " ",IF(INDEX($AO$2:$BQ$1001,MATCH(ROWS($AH$2:AH175),$AH$2:$AH$1001,0),MATCH(COLUMNS($AO$1006:AV1006),$AO$1006:$BQ$1006,0)), HYPERLINK("#",""), HYPERLINK(CONCATENATE("#Metadata!", ADDRESS(INDEX($AJ$2:$AJ$1001,MATCH(ROWS($AH$2:AH175),$AH$2:$AH$1001,0),0), INDEX($AO$1004:$BQ$1004,1,MATCH(COLUMNS($AO$1006:AV1006),$AO$1006:$BQ$1006,0)))),"Fix")))</f>
        <v>#N/A</v>
      </c>
      <c r="J175" s="5" t="e">
        <f ca="1">IF(OR(INDEX($AI$2:$AI$1001,MATCH(ROWS($AH$2:AH175),$AH$2:$AH$1001,0),1)&gt;=100000,INDEX($AO$1005:$BQ$1005,1,MATCH(COLUMNS($AO$1006:AW1006),$AO$1006:$BQ$1006,0))&gt;=100000), " ",IF(INDEX($AO$2:$BQ$1001,MATCH(ROWS($AH$2:AH175),$AH$2:$AH$1001,0),MATCH(COLUMNS($AO$1006:AW1006),$AO$1006:$BQ$1006,0)), HYPERLINK("#",""), HYPERLINK(CONCATENATE("#Metadata!", ADDRESS(INDEX($AJ$2:$AJ$1001,MATCH(ROWS($AH$2:AH175),$AH$2:$AH$1001,0),0), INDEX($AO$1004:$BQ$1004,1,MATCH(COLUMNS($AO$1006:AW1006),$AO$1006:$BQ$1006,0)))),"Fix")))</f>
        <v>#N/A</v>
      </c>
      <c r="K175" s="5" t="e">
        <f ca="1">IF(OR(INDEX($AI$2:$AI$1001,MATCH(ROWS($AH$2:AH175),$AH$2:$AH$1001,0),1)&gt;=100000,INDEX($AO$1005:$BQ$1005,1,MATCH(COLUMNS($AO$1006:AX1006),$AO$1006:$BQ$1006,0))&gt;=100000), " ",IF(INDEX($AO$2:$BQ$1001,MATCH(ROWS($AH$2:AH175),$AH$2:$AH$1001,0),MATCH(COLUMNS($AO$1006:AX1006),$AO$1006:$BQ$1006,0)), HYPERLINK("#",""), HYPERLINK(CONCATENATE("#Metadata!", ADDRESS(INDEX($AJ$2:$AJ$1001,MATCH(ROWS($AH$2:AH175),$AH$2:$AH$1001,0),0), INDEX($AO$1004:$BQ$1004,1,MATCH(COLUMNS($AO$1006:AX1006),$AO$1006:$BQ$1006,0)))),"Fix")))</f>
        <v>#N/A</v>
      </c>
      <c r="L175" s="5" t="e">
        <f ca="1">IF(OR(INDEX($AI$2:$AI$1001,MATCH(ROWS($AH$2:AH175),$AH$2:$AH$1001,0),1)&gt;=100000,INDEX($AO$1005:$BQ$1005,1,MATCH(COLUMNS($AO$1006:AY1006),$AO$1006:$BQ$1006,0))&gt;=100000), " ",IF(INDEX($AO$2:$BQ$1001,MATCH(ROWS($AH$2:AH175),$AH$2:$AH$1001,0),MATCH(COLUMNS($AO$1006:AY1006),$AO$1006:$BQ$1006,0)), HYPERLINK("#",""), HYPERLINK(CONCATENATE("#Metadata!", ADDRESS(INDEX($AJ$2:$AJ$1001,MATCH(ROWS($AH$2:AH175),$AH$2:$AH$1001,0),0), INDEX($AO$1004:$BQ$1004,1,MATCH(COLUMNS($AO$1006:AY1006),$AO$1006:$BQ$1006,0)))),"Fix")))</f>
        <v>#N/A</v>
      </c>
      <c r="M175" s="5" t="e">
        <f ca="1">IF(OR(INDEX($AI$2:$AI$1001,MATCH(ROWS($AH$2:AH175),$AH$2:$AH$1001,0),1)&gt;=100000,INDEX($AO$1005:$BQ$1005,1,MATCH(COLUMNS($AO$1006:AZ1006),$AO$1006:$BQ$1006,0))&gt;=100000), " ",IF(INDEX($AO$2:$BQ$1001,MATCH(ROWS($AH$2:AH175),$AH$2:$AH$1001,0),MATCH(COLUMNS($AO$1006:AZ1006),$AO$1006:$BQ$1006,0)), HYPERLINK("#",""), HYPERLINK(CONCATENATE("#Metadata!", ADDRESS(INDEX($AJ$2:$AJ$1001,MATCH(ROWS($AH$2:AH175),$AH$2:$AH$1001,0),0), INDEX($AO$1004:$BQ$1004,1,MATCH(COLUMNS($AO$1006:AZ1006),$AO$1006:$BQ$1006,0)))),"Fix")))</f>
        <v>#N/A</v>
      </c>
      <c r="N175" s="5" t="e">
        <f ca="1">IF(OR(INDEX($AI$2:$AI$1001,MATCH(ROWS($AH$2:AH175),$AH$2:$AH$1001,0),1)&gt;=100000,INDEX($AO$1005:$BQ$1005,1,MATCH(COLUMNS($AO$1006:BA1006),$AO$1006:$BQ$1006,0))&gt;=100000), " ",IF(INDEX($AO$2:$BQ$1001,MATCH(ROWS($AH$2:AH175),$AH$2:$AH$1001,0),MATCH(COLUMNS($AO$1006:BA1006),$AO$1006:$BQ$1006,0)), HYPERLINK("#",""), HYPERLINK(CONCATENATE("#Metadata!", ADDRESS(INDEX($AJ$2:$AJ$1001,MATCH(ROWS($AH$2:AH175),$AH$2:$AH$1001,0),0), INDEX($AO$1004:$BQ$1004,1,MATCH(COLUMNS($AO$1006:BA1006),$AO$1006:$BQ$1006,0)))),"Fix")))</f>
        <v>#N/A</v>
      </c>
      <c r="O175" s="5" t="e">
        <f ca="1">IF(OR(INDEX($AI$2:$AI$1001,MATCH(ROWS($AH$2:AH175),$AH$2:$AH$1001,0),1)&gt;=100000,INDEX($AO$1005:$BQ$1005,1,MATCH(COLUMNS($AO$1006:BB1006),$AO$1006:$BQ$1006,0))&gt;=100000), " ",IF(INDEX($AO$2:$BQ$1001,MATCH(ROWS($AH$2:AH175),$AH$2:$AH$1001,0),MATCH(COLUMNS($AO$1006:BB1006),$AO$1006:$BQ$1006,0)), HYPERLINK("#",""), HYPERLINK(CONCATENATE("#Metadata!", ADDRESS(INDEX($AJ$2:$AJ$1001,MATCH(ROWS($AH$2:AH175),$AH$2:$AH$1001,0),0), INDEX($AO$1004:$BQ$1004,1,MATCH(COLUMNS($AO$1006:BB1006),$AO$1006:$BQ$1006,0)))),"Fix")))</f>
        <v>#N/A</v>
      </c>
      <c r="P175" s="5" t="e">
        <f ca="1">IF(OR(INDEX($AI$2:$AI$1001,MATCH(ROWS($AH$2:AH175),$AH$2:$AH$1001,0),1)&gt;=100000,INDEX($AO$1005:$BQ$1005,1,MATCH(COLUMNS($AO$1006:BC1006),$AO$1006:$BQ$1006,0))&gt;=100000), " ",IF(INDEX($AO$2:$BQ$1001,MATCH(ROWS($AH$2:AH175),$AH$2:$AH$1001,0),MATCH(COLUMNS($AO$1006:BC1006),$AO$1006:$BQ$1006,0)), HYPERLINK("#",""), HYPERLINK(CONCATENATE("#Metadata!", ADDRESS(INDEX($AJ$2:$AJ$1001,MATCH(ROWS($AH$2:AH175),$AH$2:$AH$1001,0),0), INDEX($AO$1004:$BQ$1004,1,MATCH(COLUMNS($AO$1006:BC1006),$AO$1006:$BQ$1006,0)))),"Fix")))</f>
        <v>#N/A</v>
      </c>
      <c r="Q175" s="5" t="e">
        <f ca="1">IF(OR(INDEX($AI$2:$AI$1001,MATCH(ROWS($AH$2:AH175),$AH$2:$AH$1001,0),1)&gt;=100000,INDEX($AO$1005:$BQ$1005,1,MATCH(COLUMNS($AO$1006:BD1006),$AO$1006:$BQ$1006,0))&gt;=100000), " ",IF(INDEX($AO$2:$BQ$1001,MATCH(ROWS($AH$2:AH175),$AH$2:$AH$1001,0),MATCH(COLUMNS($AO$1006:BD1006),$AO$1006:$BQ$1006,0)), HYPERLINK("#",""), HYPERLINK(CONCATENATE("#Metadata!", ADDRESS(INDEX($AJ$2:$AJ$1001,MATCH(ROWS($AH$2:AH175),$AH$2:$AH$1001,0),0), INDEX($AO$1004:$BQ$1004,1,MATCH(COLUMNS($AO$1006:BD1006),$AO$1006:$BQ$1006,0)))),"Fix")))</f>
        <v>#N/A</v>
      </c>
      <c r="R175" s="5" t="e">
        <f ca="1">IF(OR(INDEX($AI$2:$AI$1001,MATCH(ROWS($AH$2:AH175),$AH$2:$AH$1001,0),1)&gt;=100000,INDEX($AO$1005:$BQ$1005,1,MATCH(COLUMNS($AO$1006:BE1006),$AO$1006:$BQ$1006,0))&gt;=100000), " ",IF(INDEX($AO$2:$BQ$1001,MATCH(ROWS($AH$2:AH175),$AH$2:$AH$1001,0),MATCH(COLUMNS($AO$1006:BE1006),$AO$1006:$BQ$1006,0)), HYPERLINK("#",""), HYPERLINK(CONCATENATE("#Metadata!", ADDRESS(INDEX($AJ$2:$AJ$1001,MATCH(ROWS($AH$2:AH175),$AH$2:$AH$1001,0),0), INDEX($AO$1004:$BQ$1004,1,MATCH(COLUMNS($AO$1006:BE1006),$AO$1006:$BQ$1006,0)))),"Fix")))</f>
        <v>#N/A</v>
      </c>
      <c r="S175" s="5" t="e">
        <f ca="1">IF(OR(INDEX($AI$2:$AI$1001,MATCH(ROWS($AH$2:AH175),$AH$2:$AH$1001,0),1)&gt;=100000,INDEX($AO$1005:$BQ$1005,1,MATCH(COLUMNS($AO$1006:BF1006),$AO$1006:$BQ$1006,0))&gt;=100000), " ",IF(INDEX($AO$2:$BQ$1001,MATCH(ROWS($AH$2:AH175),$AH$2:$AH$1001,0),MATCH(COLUMNS($AO$1006:BF1006),$AO$1006:$BQ$1006,0)), HYPERLINK("#",""), HYPERLINK(CONCATENATE("#Metadata!", ADDRESS(INDEX($AJ$2:$AJ$1001,MATCH(ROWS($AH$2:AH175),$AH$2:$AH$1001,0),0), INDEX($AO$1004:$BQ$1004,1,MATCH(COLUMNS($AO$1006:BF1006),$AO$1006:$BQ$1006,0)))),"Fix")))</f>
        <v>#N/A</v>
      </c>
      <c r="T175" s="5" t="e">
        <f ca="1">IF(OR(INDEX($AI$2:$AI$1001,MATCH(ROWS($AH$2:AH175),$AH$2:$AH$1001,0),1)&gt;=100000,INDEX($AO$1005:$BQ$1005,1,MATCH(COLUMNS($AO$1006:BG1006),$AO$1006:$BQ$1006,0))&gt;=100000), " ",IF(INDEX($AO$2:$BQ$1001,MATCH(ROWS($AH$2:AH175),$AH$2:$AH$1001,0),MATCH(COLUMNS($AO$1006:BG1006),$AO$1006:$BQ$1006,0)), HYPERLINK("#",""), HYPERLINK(CONCATENATE("#Metadata!", ADDRESS(INDEX($AJ$2:$AJ$1001,MATCH(ROWS($AH$2:AH175),$AH$2:$AH$1001,0),0), INDEX($AO$1004:$BQ$1004,1,MATCH(COLUMNS($AO$1006:BG1006),$AO$1006:$BQ$1006,0)))),"Fix")))</f>
        <v>#N/A</v>
      </c>
      <c r="U175" s="5" t="e">
        <f ca="1">IF(OR(INDEX($AI$2:$AI$1001,MATCH(ROWS($AH$2:AH175),$AH$2:$AH$1001,0),1)&gt;=100000,INDEX($AO$1005:$BQ$1005,1,MATCH(COLUMNS($AO$1006:BH1006),$AO$1006:$BQ$1006,0))&gt;=100000), " ",IF(INDEX($AO$2:$BQ$1001,MATCH(ROWS($AH$2:AH175),$AH$2:$AH$1001,0),MATCH(COLUMNS($AO$1006:BH1006),$AO$1006:$BQ$1006,0)), HYPERLINK("#",""), HYPERLINK(CONCATENATE("#Metadata!", ADDRESS(INDEX($AJ$2:$AJ$1001,MATCH(ROWS($AH$2:AH175),$AH$2:$AH$1001,0),0), INDEX($AO$1004:$BQ$1004,1,MATCH(COLUMNS($AO$1006:BH1006),$AO$1006:$BQ$1006,0)))),"Fix")))</f>
        <v>#N/A</v>
      </c>
      <c r="V175" s="5" t="e">
        <f ca="1">IF(OR(INDEX($AI$2:$AI$1001,MATCH(ROWS($AH$2:AH175),$AH$2:$AH$1001,0),1)&gt;=100000,INDEX($AO$1005:$BQ$1005,1,MATCH(COLUMNS($AO$1006:BI1006),$AO$1006:$BQ$1006,0))&gt;=100000), " ",IF(INDEX($AO$2:$BQ$1001,MATCH(ROWS($AH$2:AH175),$AH$2:$AH$1001,0),MATCH(COLUMNS($AO$1006:BI1006),$AO$1006:$BQ$1006,0)), HYPERLINK("#",""), HYPERLINK(CONCATENATE("#Metadata!", ADDRESS(INDEX($AJ$2:$AJ$1001,MATCH(ROWS($AH$2:AH175),$AH$2:$AH$1001,0),0), INDEX($AO$1004:$BQ$1004,1,MATCH(COLUMNS($AO$1006:BI1006),$AO$1006:$BQ$1006,0)))),"Fix")))</f>
        <v>#N/A</v>
      </c>
      <c r="W175" s="5" t="e">
        <f ca="1">IF(OR(INDEX($AI$2:$AI$1001,MATCH(ROWS($AH$2:AH175),$AH$2:$AH$1001,0),1)&gt;=100000,INDEX($AO$1005:$BQ$1005,1,MATCH(COLUMNS($AO$1006:BJ1006),$AO$1006:$BQ$1006,0))&gt;=100000), " ",IF(INDEX($AO$2:$BQ$1001,MATCH(ROWS($AH$2:AH175),$AH$2:$AH$1001,0),MATCH(COLUMNS($AO$1006:BJ1006),$AO$1006:$BQ$1006,0)), HYPERLINK("#",""), HYPERLINK(CONCATENATE("#Metadata!", ADDRESS(INDEX($AJ$2:$AJ$1001,MATCH(ROWS($AH$2:AH175),$AH$2:$AH$1001,0),0), INDEX($AO$1004:$BQ$1004,1,MATCH(COLUMNS($AO$1006:BJ1006),$AO$1006:$BQ$1006,0)))),"Fix")))</f>
        <v>#N/A</v>
      </c>
      <c r="X175" s="5" t="e">
        <f ca="1">IF(OR(INDEX($AI$2:$AI$1001,MATCH(ROWS($AH$2:AH175),$AH$2:$AH$1001,0),1)&gt;=100000,INDEX($AO$1005:$BQ$1005,1,MATCH(COLUMNS($AO$1006:BK1006),$AO$1006:$BQ$1006,0))&gt;=100000), " ",IF(INDEX($AO$2:$BQ$1001,MATCH(ROWS($AH$2:AH175),$AH$2:$AH$1001,0),MATCH(COLUMNS($AO$1006:BK1006),$AO$1006:$BQ$1006,0)), HYPERLINK("#",""), HYPERLINK(CONCATENATE("#Metadata!", ADDRESS(INDEX($AJ$2:$AJ$1001,MATCH(ROWS($AH$2:AH175),$AH$2:$AH$1001,0),0), INDEX($AO$1004:$BQ$1004,1,MATCH(COLUMNS($AO$1006:BK1006),$AO$1006:$BQ$1006,0)))),"Fix")))</f>
        <v>#N/A</v>
      </c>
      <c r="Y175" s="5" t="e">
        <f ca="1">IF(OR(INDEX($AI$2:$AI$1001,MATCH(ROWS($AH$2:AH175),$AH$2:$AH$1001,0),1)&gt;=100000,INDEX($AO$1005:$BQ$1005,1,MATCH(COLUMNS($AO$1006:BL1006),$AO$1006:$BQ$1006,0))&gt;=100000), " ",IF(INDEX($AO$2:$BQ$1001,MATCH(ROWS($AH$2:AH175),$AH$2:$AH$1001,0),MATCH(COLUMNS($AO$1006:BL1006),$AO$1006:$BQ$1006,0)), HYPERLINK("#",""), HYPERLINK(CONCATENATE("#Metadata!", ADDRESS(INDEX($AJ$2:$AJ$1001,MATCH(ROWS($AH$2:AH175),$AH$2:$AH$1001,0),0), INDEX($AO$1004:$BQ$1004,1,MATCH(COLUMNS($AO$1006:BL1006),$AO$1006:$BQ$1006,0)))),"Fix")))</f>
        <v>#N/A</v>
      </c>
      <c r="Z175" s="5" t="e">
        <f ca="1">IF(OR(INDEX($AI$2:$AI$1001,MATCH(ROWS($AH$2:AH175),$AH$2:$AH$1001,0),1)&gt;=100000,INDEX($AO$1005:$BQ$1005,1,MATCH(COLUMNS($AO$1006:BM1006),$AO$1006:$BQ$1006,0))&gt;=100000), " ",IF(INDEX($AO$2:$BQ$1001,MATCH(ROWS($AH$2:AH175),$AH$2:$AH$1001,0),MATCH(COLUMNS($AO$1006:BM1006),$AO$1006:$BQ$1006,0)), HYPERLINK("#",""), HYPERLINK(CONCATENATE("#Metadata!", ADDRESS(INDEX($AJ$2:$AJ$1001,MATCH(ROWS($AH$2:AH175),$AH$2:$AH$1001,0),0), INDEX($AO$1004:$BQ$1004,1,MATCH(COLUMNS($AO$1006:BM1006),$AO$1006:$BQ$1006,0)))),"Fix")))</f>
        <v>#N/A</v>
      </c>
      <c r="AA175" s="5" t="e">
        <f ca="1">IF(OR(INDEX($AI$2:$AI$1001,MATCH(ROWS($AH$2:AH175),$AH$2:$AH$1001,0),1)&gt;=100000,INDEX($AO$1005:$BQ$1005,1,MATCH(COLUMNS($AO$1006:BN1006),$AO$1006:$BQ$1006,0))&gt;=100000), " ",IF(INDEX($AO$2:$BQ$1001,MATCH(ROWS($AH$2:AH175),$AH$2:$AH$1001,0),MATCH(COLUMNS($AO$1006:BN1006),$AO$1006:$BQ$1006,0)), HYPERLINK("#",""), HYPERLINK(CONCATENATE("#Metadata!", ADDRESS(INDEX($AJ$2:$AJ$1001,MATCH(ROWS($AH$2:AH175),$AH$2:$AH$1001,0),0), INDEX($AO$1004:$BQ$1004,1,MATCH(COLUMNS($AO$1006:BN1006),$AO$1006:$BQ$1006,0)))),"Fix")))</f>
        <v>#N/A</v>
      </c>
      <c r="AB175" s="5" t="e">
        <f ca="1">IF(OR(INDEX($AI$2:$AI$1001,MATCH(ROWS($AH$2:AH175),$AH$2:$AH$1001,0),1)&gt;=100000,INDEX($AO$1005:$BQ$1005,1,MATCH(COLUMNS($AO$1006:BO1006),$AO$1006:$BQ$1006,0))&gt;=100000), " ",IF(INDEX($AO$2:$BQ$1001,MATCH(ROWS($AH$2:AH175),$AH$2:$AH$1001,0),MATCH(COLUMNS($AO$1006:BO1006),$AO$1006:$BQ$1006,0)), HYPERLINK("#",""), HYPERLINK(CONCATENATE("#Metadata!", ADDRESS(INDEX($AJ$2:$AJ$1001,MATCH(ROWS($AH$2:AH175),$AH$2:$AH$1001,0),0), INDEX($AO$1004:$BQ$1004,1,MATCH(COLUMNS($AO$1006:BO1006),$AO$1006:$BQ$1006,0)))),"Fix")))</f>
        <v>#N/A</v>
      </c>
      <c r="AC175" s="5" t="e">
        <f ca="1">IF(OR(INDEX($AI$2:$AI$1001,MATCH(ROWS($AH$2:AH175),$AH$2:$AH$1001,0),1)&gt;=100000,INDEX($AO$1005:$BQ$1005,1,MATCH(COLUMNS($AO$1006:BP1006),$AO$1006:$BQ$1006,0))&gt;=100000), " ",IF(INDEX($AO$2:$BQ$1001,MATCH(ROWS($AH$2:AH175),$AH$2:$AH$1001,0),MATCH(COLUMNS($AO$1006:BP1006),$AO$1006:$BQ$1006,0)), HYPERLINK("#",""), HYPERLINK(CONCATENATE("#Metadata!", ADDRESS(INDEX($AJ$2:$AJ$1001,MATCH(ROWS($AH$2:AH175),$AH$2:$AH$1001,0),0), INDEX($AO$1004:$BQ$1004,1,MATCH(COLUMNS($AO$1006:BP1006),$AO$1006:$BQ$1006,0)))),"Fix")))</f>
        <v>#N/A</v>
      </c>
      <c r="AD175" s="5" t="e">
        <f ca="1">IF(OR(INDEX($AI$2:$AI$1001,MATCH(ROWS($AH$2:AH175),$AH$2:$AH$1001,0),1)&gt;=100000,INDEX($AO$1005:$BQ$1005,1,MATCH(COLUMNS($AO$1006:BQ1006),$AO$1006:$BQ$1006,0))&gt;=100000), " ",IF(INDEX($AO$2:$BQ$1001,MATCH(ROWS($AH$2:AH175),$AH$2:$AH$1001,0),MATCH(COLUMNS($AO$1006:BQ1006),$AO$1006:$BQ$1006,0)), HYPERLINK("#",""), HYPERLINK(CONCATENATE("#Metadata!", ADDRESS(INDEX($AJ$2:$AJ$1001,MATCH(ROWS($AH$2:AH175),$AH$2:$AH$1001,0),0), INDEX($AO$1004:$BQ$1004,1,MATCH(COLUMNS($AO$1006:BQ1006),$AO$1006:$BQ$1006,0)))),"Fix")))</f>
        <v>#REF!</v>
      </c>
      <c r="AH175">
        <f ca="1"/>
        <v>172</v>
      </c>
      <c r="AI175">
        <v>100175</v>
      </c>
      <c r="AJ175">
        <v>175</v>
      </c>
      <c r="AK175" t="b">
        <f t="shared" si="2"/>
        <v>1</v>
      </c>
      <c r="AL175" t="b">
        <f>COUNTBLANK(Metadata!B175:AD175)=COLUMNS(Metadata!B175:AD175)</f>
        <v>1</v>
      </c>
      <c r="AM175" t="str">
        <v/>
      </c>
      <c r="AO175" t="b">
        <f ca="1">AND(IF(Metadata!B175="",FALSE,TRUE),COUNTIF(Metadata!B:B, Metadata!B175) = 1,NOT(ISERROR(SUMPRODUCT(SEARCH(MID(Metadata!B175,ROW(INDIRECT("1:"&amp;LEN(Metadata!B175))), 1),"0123456789abcdefghijklmnopqrstuvwxyzABCDEFGHIJKLMNOPQRSTUVWXYZ.")))))</f>
        <v>0</v>
      </c>
      <c r="AP175" t="b">
        <f>IF(Metadata!C175="",FALSE,TRUE)</f>
        <v>0</v>
      </c>
      <c r="AQ175" t="b">
        <f>IF(Metadata!D175="",FALSE,TRUE)</f>
        <v>0</v>
      </c>
      <c r="AR175" t="b">
        <f ca="1">OR(AND(IF(Metadata!E175="",FALSE,TRUE),OR(EXACT(Metadata!E175,"not collected"),EXACT(Metadata!E175,"not provided"),EXACT(Metadata!E175,"restricted access"))),AND(IF(Metadata!E175="",FALSE,TRUE),AND(AND(IFERROR(INT(LEFT(Metadata!E175,4))&gt;1900,FALSE),IFERROR(INT(LEFT(Metadata!E175,4))&lt;=YEAR(NOW()),FALSE)), OR(MID(Metadata!E175,5,1)="", AND(AND(MID(Metadata!E175,5,1)="-",IFERROR(INT(MID(Metadata!E175,6,1))&gt;=0,FALSE),IFERROR(INT(MID(Metadata!E175,6,1))&lt;=1,FALSE),NOT(MID(Metadata!E175,7,1)=""),IFERROR(INT(MID(Metadata!E175,6,2))&gt;=1,FALSE),IFERROR(INT(MID(Metadata!E175,6,2))&lt;=12,FALSE)), OR(MID(Metadata!E175,8,1)="", AND(AND(MID(Metadata!E175,8,1)="-",IFERROR(INT(MID(Metadata!E175,9,1))&gt;=0,FALSE),IFERROR(INT(MID(Metadata!E175,9,1))&lt;=3,FALSE),NOT(MID(Metadata!E175,10,1)=""),IFERROR(INT(MID(Metadata!E175,9,2))&gt;=1,FALSE),IFERROR(INT(MID(Metadata!E175,9,2))&lt;=31,FALSE)), OR(MID(Metadata!E175,11,1)="", AND(AND(MID(Metadata!E175,11,1)=" ",IFERROR(INT(MID(Metadata!E175,12,1))&gt;=0,FALSE),IFERROR(INT(MID(Metadata!E175,12,1))&lt;=2,FALSE),NOT(MID(Metadata!E175,13,1)=""),IFERROR(INT(MID(Metadata!E175,12,2))&gt;=0,FALSE),IFERROR(INT(MID(Metadata!E175,12,2))&lt;=23,FALSE)), OR(MID(Metadata!E175,14,1)="", AND(AND(MID(Metadata!E175,14,1)=":",IFERROR(INT(MID(Metadata!E175,15,1))&gt;=0,FALSE),IFERROR(INT(MID(Metadata!E175,15,1))&lt;=5,FALSE),NOT(MID(Metadata!E175,16,1)=""),IFERROR(INT(MID(Metadata!E175,15,2))&gt;=0,FALSE),IFERROR(INT(MID(Metadata!E175,15,2))&lt;=59,FALSE)), OR(MID(Metadata!E175,17,1)="", AND(AND(MID(Metadata!E175,17,1)=":",IFERROR(INT(MID(Metadata!E175,18,1))&gt;=0,FALSE),IFERROR(INT(MID(Metadata!E175,18,1))&lt;=5,FALSE),NOT(MID(Metadata!E175,19,1)=""),IFERROR(INT(MID(Metadata!E175,18,2))&gt;=0,FALSE),IFERROR(INT(MID(Metadata!E175,18,2))&lt;=59,FALSE)), LEN(Metadata!E175)&lt;=19)))))))))))))</f>
        <v>0</v>
      </c>
      <c r="AS175" t="b">
        <f>IF(Metadata!F175="",FALSE,TRUE)</f>
        <v>0</v>
      </c>
      <c r="AT175" t="b">
        <f>OR(AND(IF(Metadata!G175="",FALSE,TRUE),OR(EXACT(Metadata!G175,"not collected"),EXACT(Metadata!G175,"not provided"))),AND(IF(Metadata!G175="",FALSE,TRUE),OR(EXACT(Metadata!G175,"TRUE"),EXACT(Metadata!G175,"FALSE"))))</f>
        <v>0</v>
      </c>
      <c r="AU175" t="b">
        <f>OR(AND(IF(Metadata!H175="",FALSE,TRUE),OR(EXACT(Metadata!H175,"not collected"),EXACT(Metadata!H175,"not provided"),EXACT(Metadata!H175,"restricted access"))),AND(IF(Metadata!H175="",FALSE,ISNUMBER(VALUE(Metadata!H175))),Metadata!H175&gt;=-413))</f>
        <v>0</v>
      </c>
      <c r="AV175" t="b">
        <f>AND(IF(Metadata!I175="",FALSE,TRUE),EXACT(Metadata!I175,"meters"))</f>
        <v>0</v>
      </c>
      <c r="AW175" t="b">
        <f>AND(IF(Metadata!J175="",FALSE,TRUE),EXACT(Metadata!J175,"free-living"))</f>
        <v>0</v>
      </c>
      <c r="AX175" t="b">
        <f>AND(IF(Metadata!K175="",FALSE,TRUE),OR(EXACT(Metadata!K175,"saline"),EXACT(Metadata!K175,"non-saline")))</f>
        <v>0</v>
      </c>
      <c r="AY175" t="b">
        <f>AND(IF(Metadata!L175="",FALSE,TRUE),OR(EXACT(Metadata!L175,"sub-surface (non-saline)"),EXACT(Metadata!L175,"surface (non-saline)"),EXACT(Metadata!L175,"water (non-saline)"),EXACT(Metadata!L175,"soil (non-saline)"),EXACT(Metadata!L175,"aerosol (non-saline)"),EXACT(Metadata!L175,"sediment (non-saline)"),EXACT(Metadata!L175,"surface (saline)"),EXACT(Metadata!L175,"water (saline)"),EXACT(Metadata!L175,"hypersaline (saline)"),EXACT(Metadata!L175,"aerosol (saline)"),EXACT(Metadata!L175,"sediment (saline)")))</f>
        <v>0</v>
      </c>
      <c r="AZ175" t="b">
        <f>IF(Metadata!M175="",FALSE,TRUE)</f>
        <v>0</v>
      </c>
      <c r="BA175" t="b">
        <f>IF(Metadata!N175="",FALSE,TRUE)</f>
        <v>0</v>
      </c>
      <c r="BB175" t="b">
        <f>IF(Metadata!O175="",FALSE,TRUE)</f>
        <v>0</v>
      </c>
      <c r="BC175" t="b">
        <f>AND(IF(Metadata!P175="",FALSE,TRUE),OR(EXACT(Metadata!P175,"air"),EXACT(Metadata!P175,"microbial mat/biofilm"),EXACT(Metadata!P175,"misc environment"),EXACT(Metadata!P175,"sediment"),EXACT(Metadata!P175,"soil"),EXACT(Metadata!P175,"wastewater/sludge"),EXACT(Metadata!P175,"water")))</f>
        <v>0</v>
      </c>
      <c r="BD175" t="b">
        <f>IF(Metadata!Q175="",FALSE,TRUE)</f>
        <v>0</v>
      </c>
      <c r="BE175" t="b">
        <f>IF(Metadata!R175="",FALSE,TRUE)</f>
        <v>0</v>
      </c>
      <c r="BF175" t="b">
        <f>OR(AND(IF(Metadata!S175="",FALSE,TRUE),OR(EXACT(Metadata!S175,"not collected"),EXACT(Metadata!S175,"not provided"),EXACT(Metadata!S175,"restricted access"))),AND(IF(Metadata!S175="",FALSE,ISNUMBER(VALUE(Metadata!S175))),Metadata!S175&gt;=-90,Metadata!S175&lt;=90))</f>
        <v>0</v>
      </c>
      <c r="BG175" t="b">
        <f>AND(IF(Metadata!T175="",FALSE,TRUE),EXACT(Metadata!T175,"Decimal degrees"))</f>
        <v>0</v>
      </c>
      <c r="BH175" t="b">
        <f>OR(AND(IF(Metadata!U175="",FALSE,TRUE),OR(EXACT(Metadata!U175,"not applicable"),EXACT(Metadata!U175,"not collected"))),IF(Metadata!U175="",FALSE,TRUE))</f>
        <v>0</v>
      </c>
      <c r="BI175" t="b">
        <f>OR(AND(IF(Metadata!V175="",FALSE,TRUE),OR(EXACT(Metadata!V175,"not collected"),EXACT(Metadata!V175,"not provided"),EXACT(Metadata!V175,"restricted access"))),AND(IF(Metadata!V175="",FALSE,ISNUMBER(VALUE(Metadata!V175))),Metadata!V175&gt;=-180,Metadata!V175&lt;=180))</f>
        <v>0</v>
      </c>
      <c r="BJ175" t="b">
        <f>AND(IF(Metadata!W175="",FALSE,TRUE),EXACT(Metadata!W175,"Decimal degrees"))</f>
        <v>0</v>
      </c>
      <c r="BK175" t="b">
        <f>IF(Metadata!X175="",FALSE,TRUE)</f>
        <v>0</v>
      </c>
      <c r="BL175" t="b">
        <f>OR(AND(IF(Metadata!Y175="",FALSE,TRUE),OR(EXACT(Metadata!Y175,"not collected"),EXACT(Metadata!Y175,"not provided"),EXACT(Metadata!Y175,"restricted access"))),AND(IF(Metadata!Y175="",FALSE,TRUE),OR(EXACT(Metadata!Y175,"TRUE"),EXACT(Metadata!Y175,"FALSE"))))</f>
        <v>0</v>
      </c>
      <c r="BM175" t="b">
        <f>OR(AND(IF(Metadata!Z175="",FALSE,TRUE),EXACT(Metadata!Z175,"not applicable")),AND(IF(Metadata!Z175="",FALSE,TRUE),OR(EXACT(Metadata!Z175,"beer"),EXACT(Metadata!Z175,"cheese"),EXACT(Metadata!Z175,"fresh water"),EXACT(Metadata!Z175,"marine sediment"),EXACT(Metadata!Z175,"sea water"),EXACT(Metadata!Z175,"sediment"),EXACT(Metadata!Z175,"soil"),EXACT(Metadata!Z175,"waste water"))))</f>
        <v>0</v>
      </c>
      <c r="BN175" t="b">
        <f>AND(IF(Metadata!AA175="",FALSE,TRUE),EXACT(Metadata!AA175,"metagenome"))</f>
        <v>0</v>
      </c>
      <c r="BO175" t="b">
        <f>AND(IF(Metadata!AB175="",FALSE,TRUE),EXACT(Metadata!AB175,"256318"))</f>
        <v>0</v>
      </c>
      <c r="BP175" t="b">
        <f>IF(Metadata!AC175="",FALSE,TRUE)</f>
        <v>0</v>
      </c>
      <c r="BQ175" t="b">
        <f>IF(Metadata!AD175="",FALSE,TRUE)</f>
        <v>0</v>
      </c>
    </row>
    <row r="176" spans="1:69" x14ac:dyDescent="0.2">
      <c r="A176" s="4" t="e">
        <f ca="1">IF(B176=" "," ",HYPERLINK(CONCATENATE("#metadata!",ADDRESS(INDEX($AJ$2:$AJ$1001,MATCH(ROWS($AH$2:AH176),$AH$2:$AH$1001,0),0),2)),INDEX($AM$2:$AM$1001,MATCH(ROWS($AH$2:AH176),$AH$2:$AH$1001,0),0)))</f>
        <v>#N/A</v>
      </c>
      <c r="B176" s="5" t="e">
        <f ca="1">IF(OR(INDEX($AI$2:$AI$1001,MATCH(ROWS($AH$2:AH176),$AH$2:$AH$1001,0),1)&gt;=100000,INDEX($AO$1005:$BQ$1005,1,MATCH(COLUMNS($AO$1006:AO1006),$AO$1006:$BQ$1006,0))&gt;=100000), " ",IF(INDEX($AO$2:$BQ$1001,MATCH(ROWS($AH$2:AH176),$AH$2:$AH$1001,0),MATCH(COLUMNS($AO$1006:AO1006),$AO$1006:$BQ$1006,0)), HYPERLINK("#",""), HYPERLINK(CONCATENATE("#Metadata!", ADDRESS(INDEX($AJ$2:$AJ$1001,MATCH(ROWS($AH$2:AH176),$AH$2:$AH$1001,0),0), INDEX($AO$1004:$BQ$1004,1,MATCH(COLUMNS($AO$1006:AO1006),$AO$1006:$BQ$1006,0)))),"Fix")))</f>
        <v>#N/A</v>
      </c>
      <c r="C176" s="5" t="e">
        <f ca="1">IF(OR(INDEX($AI$2:$AI$1001,MATCH(ROWS($AH$2:AH176),$AH$2:$AH$1001,0),1)&gt;=100000,INDEX($AO$1005:$BQ$1005,1,MATCH(COLUMNS($AO$1006:AP1006),$AO$1006:$BQ$1006,0))&gt;=100000), " ",IF(INDEX($AO$2:$BQ$1001,MATCH(ROWS($AH$2:AH176),$AH$2:$AH$1001,0),MATCH(COLUMNS($AO$1006:AP1006),$AO$1006:$BQ$1006,0)), HYPERLINK("#",""), HYPERLINK(CONCATENATE("#Metadata!", ADDRESS(INDEX($AJ$2:$AJ$1001,MATCH(ROWS($AH$2:AH176),$AH$2:$AH$1001,0),0), INDEX($AO$1004:$BQ$1004,1,MATCH(COLUMNS($AO$1006:AP1006),$AO$1006:$BQ$1006,0)))),"Fix")))</f>
        <v>#N/A</v>
      </c>
      <c r="D176" s="5" t="e">
        <f ca="1">IF(OR(INDEX($AI$2:$AI$1001,MATCH(ROWS($AH$2:AH176),$AH$2:$AH$1001,0),1)&gt;=100000,INDEX($AO$1005:$BQ$1005,1,MATCH(COLUMNS($AO$1006:AQ1006),$AO$1006:$BQ$1006,0))&gt;=100000), " ",IF(INDEX($AO$2:$BQ$1001,MATCH(ROWS($AH$2:AH176),$AH$2:$AH$1001,0),MATCH(COLUMNS($AO$1006:AQ1006),$AO$1006:$BQ$1006,0)), HYPERLINK("#",""), HYPERLINK(CONCATENATE("#Metadata!", ADDRESS(INDEX($AJ$2:$AJ$1001,MATCH(ROWS($AH$2:AH176),$AH$2:$AH$1001,0),0), INDEX($AO$1004:$BQ$1004,1,MATCH(COLUMNS($AO$1006:AQ1006),$AO$1006:$BQ$1006,0)))),"Fix")))</f>
        <v>#N/A</v>
      </c>
      <c r="E176" s="5" t="e">
        <f ca="1">IF(OR(INDEX($AI$2:$AI$1001,MATCH(ROWS($AH$2:AH176),$AH$2:$AH$1001,0),1)&gt;=100000,INDEX($AO$1005:$BQ$1005,1,MATCH(COLUMNS($AO$1006:AR1006),$AO$1006:$BQ$1006,0))&gt;=100000), " ",IF(INDEX($AO$2:$BQ$1001,MATCH(ROWS($AH$2:AH176),$AH$2:$AH$1001,0),MATCH(COLUMNS($AO$1006:AR1006),$AO$1006:$BQ$1006,0)), HYPERLINK("#",""), HYPERLINK(CONCATENATE("#Metadata!", ADDRESS(INDEX($AJ$2:$AJ$1001,MATCH(ROWS($AH$2:AH176),$AH$2:$AH$1001,0),0), INDEX($AO$1004:$BQ$1004,1,MATCH(COLUMNS($AO$1006:AR1006),$AO$1006:$BQ$1006,0)))),"Fix")))</f>
        <v>#N/A</v>
      </c>
      <c r="F176" s="5" t="e">
        <f ca="1">IF(OR(INDEX($AI$2:$AI$1001,MATCH(ROWS($AH$2:AH176),$AH$2:$AH$1001,0),1)&gt;=100000,INDEX($AO$1005:$BQ$1005,1,MATCH(COLUMNS($AO$1006:AS1006),$AO$1006:$BQ$1006,0))&gt;=100000), " ",IF(INDEX($AO$2:$BQ$1001,MATCH(ROWS($AH$2:AH176),$AH$2:$AH$1001,0),MATCH(COLUMNS($AO$1006:AS1006),$AO$1006:$BQ$1006,0)), HYPERLINK("#",""), HYPERLINK(CONCATENATE("#Metadata!", ADDRESS(INDEX($AJ$2:$AJ$1001,MATCH(ROWS($AH$2:AH176),$AH$2:$AH$1001,0),0), INDEX($AO$1004:$BQ$1004,1,MATCH(COLUMNS($AO$1006:AS1006),$AO$1006:$BQ$1006,0)))),"Fix")))</f>
        <v>#N/A</v>
      </c>
      <c r="G176" s="5" t="e">
        <f ca="1">IF(OR(INDEX($AI$2:$AI$1001,MATCH(ROWS($AH$2:AH176),$AH$2:$AH$1001,0),1)&gt;=100000,INDEX($AO$1005:$BQ$1005,1,MATCH(COLUMNS($AO$1006:AT1006),$AO$1006:$BQ$1006,0))&gt;=100000), " ",IF(INDEX($AO$2:$BQ$1001,MATCH(ROWS($AH$2:AH176),$AH$2:$AH$1001,0),MATCH(COLUMNS($AO$1006:AT1006),$AO$1006:$BQ$1006,0)), HYPERLINK("#",""), HYPERLINK(CONCATENATE("#Metadata!", ADDRESS(INDEX($AJ$2:$AJ$1001,MATCH(ROWS($AH$2:AH176),$AH$2:$AH$1001,0),0), INDEX($AO$1004:$BQ$1004,1,MATCH(COLUMNS($AO$1006:AT1006),$AO$1006:$BQ$1006,0)))),"Fix")))</f>
        <v>#N/A</v>
      </c>
      <c r="H176" s="5" t="e">
        <f ca="1">IF(OR(INDEX($AI$2:$AI$1001,MATCH(ROWS($AH$2:AH176),$AH$2:$AH$1001,0),1)&gt;=100000,INDEX($AO$1005:$BQ$1005,1,MATCH(COLUMNS($AO$1006:AU1006),$AO$1006:$BQ$1006,0))&gt;=100000), " ",IF(INDEX($AO$2:$BQ$1001,MATCH(ROWS($AH$2:AH176),$AH$2:$AH$1001,0),MATCH(COLUMNS($AO$1006:AU1006),$AO$1006:$BQ$1006,0)), HYPERLINK("#",""), HYPERLINK(CONCATENATE("#Metadata!", ADDRESS(INDEX($AJ$2:$AJ$1001,MATCH(ROWS($AH$2:AH176),$AH$2:$AH$1001,0),0), INDEX($AO$1004:$BQ$1004,1,MATCH(COLUMNS($AO$1006:AU1006),$AO$1006:$BQ$1006,0)))),"Fix")))</f>
        <v>#N/A</v>
      </c>
      <c r="I176" s="5" t="e">
        <f ca="1">IF(OR(INDEX($AI$2:$AI$1001,MATCH(ROWS($AH$2:AH176),$AH$2:$AH$1001,0),1)&gt;=100000,INDEX($AO$1005:$BQ$1005,1,MATCH(COLUMNS($AO$1006:AV1006),$AO$1006:$BQ$1006,0))&gt;=100000), " ",IF(INDEX($AO$2:$BQ$1001,MATCH(ROWS($AH$2:AH176),$AH$2:$AH$1001,0),MATCH(COLUMNS($AO$1006:AV1006),$AO$1006:$BQ$1006,0)), HYPERLINK("#",""), HYPERLINK(CONCATENATE("#Metadata!", ADDRESS(INDEX($AJ$2:$AJ$1001,MATCH(ROWS($AH$2:AH176),$AH$2:$AH$1001,0),0), INDEX($AO$1004:$BQ$1004,1,MATCH(COLUMNS($AO$1006:AV1006),$AO$1006:$BQ$1006,0)))),"Fix")))</f>
        <v>#N/A</v>
      </c>
      <c r="J176" s="5" t="e">
        <f ca="1">IF(OR(INDEX($AI$2:$AI$1001,MATCH(ROWS($AH$2:AH176),$AH$2:$AH$1001,0),1)&gt;=100000,INDEX($AO$1005:$BQ$1005,1,MATCH(COLUMNS($AO$1006:AW1006),$AO$1006:$BQ$1006,0))&gt;=100000), " ",IF(INDEX($AO$2:$BQ$1001,MATCH(ROWS($AH$2:AH176),$AH$2:$AH$1001,0),MATCH(COLUMNS($AO$1006:AW1006),$AO$1006:$BQ$1006,0)), HYPERLINK("#",""), HYPERLINK(CONCATENATE("#Metadata!", ADDRESS(INDEX($AJ$2:$AJ$1001,MATCH(ROWS($AH$2:AH176),$AH$2:$AH$1001,0),0), INDEX($AO$1004:$BQ$1004,1,MATCH(COLUMNS($AO$1006:AW1006),$AO$1006:$BQ$1006,0)))),"Fix")))</f>
        <v>#N/A</v>
      </c>
      <c r="K176" s="5" t="e">
        <f ca="1">IF(OR(INDEX($AI$2:$AI$1001,MATCH(ROWS($AH$2:AH176),$AH$2:$AH$1001,0),1)&gt;=100000,INDEX($AO$1005:$BQ$1005,1,MATCH(COLUMNS($AO$1006:AX1006),$AO$1006:$BQ$1006,0))&gt;=100000), " ",IF(INDEX($AO$2:$BQ$1001,MATCH(ROWS($AH$2:AH176),$AH$2:$AH$1001,0),MATCH(COLUMNS($AO$1006:AX1006),$AO$1006:$BQ$1006,0)), HYPERLINK("#",""), HYPERLINK(CONCATENATE("#Metadata!", ADDRESS(INDEX($AJ$2:$AJ$1001,MATCH(ROWS($AH$2:AH176),$AH$2:$AH$1001,0),0), INDEX($AO$1004:$BQ$1004,1,MATCH(COLUMNS($AO$1006:AX1006),$AO$1006:$BQ$1006,0)))),"Fix")))</f>
        <v>#N/A</v>
      </c>
      <c r="L176" s="5" t="e">
        <f ca="1">IF(OR(INDEX($AI$2:$AI$1001,MATCH(ROWS($AH$2:AH176),$AH$2:$AH$1001,0),1)&gt;=100000,INDEX($AO$1005:$BQ$1005,1,MATCH(COLUMNS($AO$1006:AY1006),$AO$1006:$BQ$1006,0))&gt;=100000), " ",IF(INDEX($AO$2:$BQ$1001,MATCH(ROWS($AH$2:AH176),$AH$2:$AH$1001,0),MATCH(COLUMNS($AO$1006:AY1006),$AO$1006:$BQ$1006,0)), HYPERLINK("#",""), HYPERLINK(CONCATENATE("#Metadata!", ADDRESS(INDEX($AJ$2:$AJ$1001,MATCH(ROWS($AH$2:AH176),$AH$2:$AH$1001,0),0), INDEX($AO$1004:$BQ$1004,1,MATCH(COLUMNS($AO$1006:AY1006),$AO$1006:$BQ$1006,0)))),"Fix")))</f>
        <v>#N/A</v>
      </c>
      <c r="M176" s="5" t="e">
        <f ca="1">IF(OR(INDEX($AI$2:$AI$1001,MATCH(ROWS($AH$2:AH176),$AH$2:$AH$1001,0),1)&gt;=100000,INDEX($AO$1005:$BQ$1005,1,MATCH(COLUMNS($AO$1006:AZ1006),$AO$1006:$BQ$1006,0))&gt;=100000), " ",IF(INDEX($AO$2:$BQ$1001,MATCH(ROWS($AH$2:AH176),$AH$2:$AH$1001,0),MATCH(COLUMNS($AO$1006:AZ1006),$AO$1006:$BQ$1006,0)), HYPERLINK("#",""), HYPERLINK(CONCATENATE("#Metadata!", ADDRESS(INDEX($AJ$2:$AJ$1001,MATCH(ROWS($AH$2:AH176),$AH$2:$AH$1001,0),0), INDEX($AO$1004:$BQ$1004,1,MATCH(COLUMNS($AO$1006:AZ1006),$AO$1006:$BQ$1006,0)))),"Fix")))</f>
        <v>#N/A</v>
      </c>
      <c r="N176" s="5" t="e">
        <f ca="1">IF(OR(INDEX($AI$2:$AI$1001,MATCH(ROWS($AH$2:AH176),$AH$2:$AH$1001,0),1)&gt;=100000,INDEX($AO$1005:$BQ$1005,1,MATCH(COLUMNS($AO$1006:BA1006),$AO$1006:$BQ$1006,0))&gt;=100000), " ",IF(INDEX($AO$2:$BQ$1001,MATCH(ROWS($AH$2:AH176),$AH$2:$AH$1001,0),MATCH(COLUMNS($AO$1006:BA1006),$AO$1006:$BQ$1006,0)), HYPERLINK("#",""), HYPERLINK(CONCATENATE("#Metadata!", ADDRESS(INDEX($AJ$2:$AJ$1001,MATCH(ROWS($AH$2:AH176),$AH$2:$AH$1001,0),0), INDEX($AO$1004:$BQ$1004,1,MATCH(COLUMNS($AO$1006:BA1006),$AO$1006:$BQ$1006,0)))),"Fix")))</f>
        <v>#N/A</v>
      </c>
      <c r="O176" s="5" t="e">
        <f ca="1">IF(OR(INDEX($AI$2:$AI$1001,MATCH(ROWS($AH$2:AH176),$AH$2:$AH$1001,0),1)&gt;=100000,INDEX($AO$1005:$BQ$1005,1,MATCH(COLUMNS($AO$1006:BB1006),$AO$1006:$BQ$1006,0))&gt;=100000), " ",IF(INDEX($AO$2:$BQ$1001,MATCH(ROWS($AH$2:AH176),$AH$2:$AH$1001,0),MATCH(COLUMNS($AO$1006:BB1006),$AO$1006:$BQ$1006,0)), HYPERLINK("#",""), HYPERLINK(CONCATENATE("#Metadata!", ADDRESS(INDEX($AJ$2:$AJ$1001,MATCH(ROWS($AH$2:AH176),$AH$2:$AH$1001,0),0), INDEX($AO$1004:$BQ$1004,1,MATCH(COLUMNS($AO$1006:BB1006),$AO$1006:$BQ$1006,0)))),"Fix")))</f>
        <v>#N/A</v>
      </c>
      <c r="P176" s="5" t="e">
        <f ca="1">IF(OR(INDEX($AI$2:$AI$1001,MATCH(ROWS($AH$2:AH176),$AH$2:$AH$1001,0),1)&gt;=100000,INDEX($AO$1005:$BQ$1005,1,MATCH(COLUMNS($AO$1006:BC1006),$AO$1006:$BQ$1006,0))&gt;=100000), " ",IF(INDEX($AO$2:$BQ$1001,MATCH(ROWS($AH$2:AH176),$AH$2:$AH$1001,0),MATCH(COLUMNS($AO$1006:BC1006),$AO$1006:$BQ$1006,0)), HYPERLINK("#",""), HYPERLINK(CONCATENATE("#Metadata!", ADDRESS(INDEX($AJ$2:$AJ$1001,MATCH(ROWS($AH$2:AH176),$AH$2:$AH$1001,0),0), INDEX($AO$1004:$BQ$1004,1,MATCH(COLUMNS($AO$1006:BC1006),$AO$1006:$BQ$1006,0)))),"Fix")))</f>
        <v>#N/A</v>
      </c>
      <c r="Q176" s="5" t="e">
        <f ca="1">IF(OR(INDEX($AI$2:$AI$1001,MATCH(ROWS($AH$2:AH176),$AH$2:$AH$1001,0),1)&gt;=100000,INDEX($AO$1005:$BQ$1005,1,MATCH(COLUMNS($AO$1006:BD1006),$AO$1006:$BQ$1006,0))&gt;=100000), " ",IF(INDEX($AO$2:$BQ$1001,MATCH(ROWS($AH$2:AH176),$AH$2:$AH$1001,0),MATCH(COLUMNS($AO$1006:BD1006),$AO$1006:$BQ$1006,0)), HYPERLINK("#",""), HYPERLINK(CONCATENATE("#Metadata!", ADDRESS(INDEX($AJ$2:$AJ$1001,MATCH(ROWS($AH$2:AH176),$AH$2:$AH$1001,0),0), INDEX($AO$1004:$BQ$1004,1,MATCH(COLUMNS($AO$1006:BD1006),$AO$1006:$BQ$1006,0)))),"Fix")))</f>
        <v>#N/A</v>
      </c>
      <c r="R176" s="5" t="e">
        <f ca="1">IF(OR(INDEX($AI$2:$AI$1001,MATCH(ROWS($AH$2:AH176),$AH$2:$AH$1001,0),1)&gt;=100000,INDEX($AO$1005:$BQ$1005,1,MATCH(COLUMNS($AO$1006:BE1006),$AO$1006:$BQ$1006,0))&gt;=100000), " ",IF(INDEX($AO$2:$BQ$1001,MATCH(ROWS($AH$2:AH176),$AH$2:$AH$1001,0),MATCH(COLUMNS($AO$1006:BE1006),$AO$1006:$BQ$1006,0)), HYPERLINK("#",""), HYPERLINK(CONCATENATE("#Metadata!", ADDRESS(INDEX($AJ$2:$AJ$1001,MATCH(ROWS($AH$2:AH176),$AH$2:$AH$1001,0),0), INDEX($AO$1004:$BQ$1004,1,MATCH(COLUMNS($AO$1006:BE1006),$AO$1006:$BQ$1006,0)))),"Fix")))</f>
        <v>#N/A</v>
      </c>
      <c r="S176" s="5" t="e">
        <f ca="1">IF(OR(INDEX($AI$2:$AI$1001,MATCH(ROWS($AH$2:AH176),$AH$2:$AH$1001,0),1)&gt;=100000,INDEX($AO$1005:$BQ$1005,1,MATCH(COLUMNS($AO$1006:BF1006),$AO$1006:$BQ$1006,0))&gt;=100000), " ",IF(INDEX($AO$2:$BQ$1001,MATCH(ROWS($AH$2:AH176),$AH$2:$AH$1001,0),MATCH(COLUMNS($AO$1006:BF1006),$AO$1006:$BQ$1006,0)), HYPERLINK("#",""), HYPERLINK(CONCATENATE("#Metadata!", ADDRESS(INDEX($AJ$2:$AJ$1001,MATCH(ROWS($AH$2:AH176),$AH$2:$AH$1001,0),0), INDEX($AO$1004:$BQ$1004,1,MATCH(COLUMNS($AO$1006:BF1006),$AO$1006:$BQ$1006,0)))),"Fix")))</f>
        <v>#N/A</v>
      </c>
      <c r="T176" s="5" t="e">
        <f ca="1">IF(OR(INDEX($AI$2:$AI$1001,MATCH(ROWS($AH$2:AH176),$AH$2:$AH$1001,0),1)&gt;=100000,INDEX($AO$1005:$BQ$1005,1,MATCH(COLUMNS($AO$1006:BG1006),$AO$1006:$BQ$1006,0))&gt;=100000), " ",IF(INDEX($AO$2:$BQ$1001,MATCH(ROWS($AH$2:AH176),$AH$2:$AH$1001,0),MATCH(COLUMNS($AO$1006:BG1006),$AO$1006:$BQ$1006,0)), HYPERLINK("#",""), HYPERLINK(CONCATENATE("#Metadata!", ADDRESS(INDEX($AJ$2:$AJ$1001,MATCH(ROWS($AH$2:AH176),$AH$2:$AH$1001,0),0), INDEX($AO$1004:$BQ$1004,1,MATCH(COLUMNS($AO$1006:BG1006),$AO$1006:$BQ$1006,0)))),"Fix")))</f>
        <v>#N/A</v>
      </c>
      <c r="U176" s="5" t="e">
        <f ca="1">IF(OR(INDEX($AI$2:$AI$1001,MATCH(ROWS($AH$2:AH176),$AH$2:$AH$1001,0),1)&gt;=100000,INDEX($AO$1005:$BQ$1005,1,MATCH(COLUMNS($AO$1006:BH1006),$AO$1006:$BQ$1006,0))&gt;=100000), " ",IF(INDEX($AO$2:$BQ$1001,MATCH(ROWS($AH$2:AH176),$AH$2:$AH$1001,0),MATCH(COLUMNS($AO$1006:BH1006),$AO$1006:$BQ$1006,0)), HYPERLINK("#",""), HYPERLINK(CONCATENATE("#Metadata!", ADDRESS(INDEX($AJ$2:$AJ$1001,MATCH(ROWS($AH$2:AH176),$AH$2:$AH$1001,0),0), INDEX($AO$1004:$BQ$1004,1,MATCH(COLUMNS($AO$1006:BH1006),$AO$1006:$BQ$1006,0)))),"Fix")))</f>
        <v>#N/A</v>
      </c>
      <c r="V176" s="5" t="e">
        <f ca="1">IF(OR(INDEX($AI$2:$AI$1001,MATCH(ROWS($AH$2:AH176),$AH$2:$AH$1001,0),1)&gt;=100000,INDEX($AO$1005:$BQ$1005,1,MATCH(COLUMNS($AO$1006:BI1006),$AO$1006:$BQ$1006,0))&gt;=100000), " ",IF(INDEX($AO$2:$BQ$1001,MATCH(ROWS($AH$2:AH176),$AH$2:$AH$1001,0),MATCH(COLUMNS($AO$1006:BI1006),$AO$1006:$BQ$1006,0)), HYPERLINK("#",""), HYPERLINK(CONCATENATE("#Metadata!", ADDRESS(INDEX($AJ$2:$AJ$1001,MATCH(ROWS($AH$2:AH176),$AH$2:$AH$1001,0),0), INDEX($AO$1004:$BQ$1004,1,MATCH(COLUMNS($AO$1006:BI1006),$AO$1006:$BQ$1006,0)))),"Fix")))</f>
        <v>#N/A</v>
      </c>
      <c r="W176" s="5" t="e">
        <f ca="1">IF(OR(INDEX($AI$2:$AI$1001,MATCH(ROWS($AH$2:AH176),$AH$2:$AH$1001,0),1)&gt;=100000,INDEX($AO$1005:$BQ$1005,1,MATCH(COLUMNS($AO$1006:BJ1006),$AO$1006:$BQ$1006,0))&gt;=100000), " ",IF(INDEX($AO$2:$BQ$1001,MATCH(ROWS($AH$2:AH176),$AH$2:$AH$1001,0),MATCH(COLUMNS($AO$1006:BJ1006),$AO$1006:$BQ$1006,0)), HYPERLINK("#",""), HYPERLINK(CONCATENATE("#Metadata!", ADDRESS(INDEX($AJ$2:$AJ$1001,MATCH(ROWS($AH$2:AH176),$AH$2:$AH$1001,0),0), INDEX($AO$1004:$BQ$1004,1,MATCH(COLUMNS($AO$1006:BJ1006),$AO$1006:$BQ$1006,0)))),"Fix")))</f>
        <v>#N/A</v>
      </c>
      <c r="X176" s="5" t="e">
        <f ca="1">IF(OR(INDEX($AI$2:$AI$1001,MATCH(ROWS($AH$2:AH176),$AH$2:$AH$1001,0),1)&gt;=100000,INDEX($AO$1005:$BQ$1005,1,MATCH(COLUMNS($AO$1006:BK1006),$AO$1006:$BQ$1006,0))&gt;=100000), " ",IF(INDEX($AO$2:$BQ$1001,MATCH(ROWS($AH$2:AH176),$AH$2:$AH$1001,0),MATCH(COLUMNS($AO$1006:BK1006),$AO$1006:$BQ$1006,0)), HYPERLINK("#",""), HYPERLINK(CONCATENATE("#Metadata!", ADDRESS(INDEX($AJ$2:$AJ$1001,MATCH(ROWS($AH$2:AH176),$AH$2:$AH$1001,0),0), INDEX($AO$1004:$BQ$1004,1,MATCH(COLUMNS($AO$1006:BK1006),$AO$1006:$BQ$1006,0)))),"Fix")))</f>
        <v>#N/A</v>
      </c>
      <c r="Y176" s="5" t="e">
        <f ca="1">IF(OR(INDEX($AI$2:$AI$1001,MATCH(ROWS($AH$2:AH176),$AH$2:$AH$1001,0),1)&gt;=100000,INDEX($AO$1005:$BQ$1005,1,MATCH(COLUMNS($AO$1006:BL1006),$AO$1006:$BQ$1006,0))&gt;=100000), " ",IF(INDEX($AO$2:$BQ$1001,MATCH(ROWS($AH$2:AH176),$AH$2:$AH$1001,0),MATCH(COLUMNS($AO$1006:BL1006),$AO$1006:$BQ$1006,0)), HYPERLINK("#",""), HYPERLINK(CONCATENATE("#Metadata!", ADDRESS(INDEX($AJ$2:$AJ$1001,MATCH(ROWS($AH$2:AH176),$AH$2:$AH$1001,0),0), INDEX($AO$1004:$BQ$1004,1,MATCH(COLUMNS($AO$1006:BL1006),$AO$1006:$BQ$1006,0)))),"Fix")))</f>
        <v>#N/A</v>
      </c>
      <c r="Z176" s="5" t="e">
        <f ca="1">IF(OR(INDEX($AI$2:$AI$1001,MATCH(ROWS($AH$2:AH176),$AH$2:$AH$1001,0),1)&gt;=100000,INDEX($AO$1005:$BQ$1005,1,MATCH(COLUMNS($AO$1006:BM1006),$AO$1006:$BQ$1006,0))&gt;=100000), " ",IF(INDEX($AO$2:$BQ$1001,MATCH(ROWS($AH$2:AH176),$AH$2:$AH$1001,0),MATCH(COLUMNS($AO$1006:BM1006),$AO$1006:$BQ$1006,0)), HYPERLINK("#",""), HYPERLINK(CONCATENATE("#Metadata!", ADDRESS(INDEX($AJ$2:$AJ$1001,MATCH(ROWS($AH$2:AH176),$AH$2:$AH$1001,0),0), INDEX($AO$1004:$BQ$1004,1,MATCH(COLUMNS($AO$1006:BM1006),$AO$1006:$BQ$1006,0)))),"Fix")))</f>
        <v>#N/A</v>
      </c>
      <c r="AA176" s="5" t="e">
        <f ca="1">IF(OR(INDEX($AI$2:$AI$1001,MATCH(ROWS($AH$2:AH176),$AH$2:$AH$1001,0),1)&gt;=100000,INDEX($AO$1005:$BQ$1005,1,MATCH(COLUMNS($AO$1006:BN1006),$AO$1006:$BQ$1006,0))&gt;=100000), " ",IF(INDEX($AO$2:$BQ$1001,MATCH(ROWS($AH$2:AH176),$AH$2:$AH$1001,0),MATCH(COLUMNS($AO$1006:BN1006),$AO$1006:$BQ$1006,0)), HYPERLINK("#",""), HYPERLINK(CONCATENATE("#Metadata!", ADDRESS(INDEX($AJ$2:$AJ$1001,MATCH(ROWS($AH$2:AH176),$AH$2:$AH$1001,0),0), INDEX($AO$1004:$BQ$1004,1,MATCH(COLUMNS($AO$1006:BN1006),$AO$1006:$BQ$1006,0)))),"Fix")))</f>
        <v>#N/A</v>
      </c>
      <c r="AB176" s="5" t="e">
        <f ca="1">IF(OR(INDEX($AI$2:$AI$1001,MATCH(ROWS($AH$2:AH176),$AH$2:$AH$1001,0),1)&gt;=100000,INDEX($AO$1005:$BQ$1005,1,MATCH(COLUMNS($AO$1006:BO1006),$AO$1006:$BQ$1006,0))&gt;=100000), " ",IF(INDEX($AO$2:$BQ$1001,MATCH(ROWS($AH$2:AH176),$AH$2:$AH$1001,0),MATCH(COLUMNS($AO$1006:BO1006),$AO$1006:$BQ$1006,0)), HYPERLINK("#",""), HYPERLINK(CONCATENATE("#Metadata!", ADDRESS(INDEX($AJ$2:$AJ$1001,MATCH(ROWS($AH$2:AH176),$AH$2:$AH$1001,0),0), INDEX($AO$1004:$BQ$1004,1,MATCH(COLUMNS($AO$1006:BO1006),$AO$1006:$BQ$1006,0)))),"Fix")))</f>
        <v>#N/A</v>
      </c>
      <c r="AC176" s="5" t="e">
        <f ca="1">IF(OR(INDEX($AI$2:$AI$1001,MATCH(ROWS($AH$2:AH176),$AH$2:$AH$1001,0),1)&gt;=100000,INDEX($AO$1005:$BQ$1005,1,MATCH(COLUMNS($AO$1006:BP1006),$AO$1006:$BQ$1006,0))&gt;=100000), " ",IF(INDEX($AO$2:$BQ$1001,MATCH(ROWS($AH$2:AH176),$AH$2:$AH$1001,0),MATCH(COLUMNS($AO$1006:BP1006),$AO$1006:$BQ$1006,0)), HYPERLINK("#",""), HYPERLINK(CONCATENATE("#Metadata!", ADDRESS(INDEX($AJ$2:$AJ$1001,MATCH(ROWS($AH$2:AH176),$AH$2:$AH$1001,0),0), INDEX($AO$1004:$BQ$1004,1,MATCH(COLUMNS($AO$1006:BP1006),$AO$1006:$BQ$1006,0)))),"Fix")))</f>
        <v>#N/A</v>
      </c>
      <c r="AD176" s="5" t="e">
        <f ca="1">IF(OR(INDEX($AI$2:$AI$1001,MATCH(ROWS($AH$2:AH176),$AH$2:$AH$1001,0),1)&gt;=100000,INDEX($AO$1005:$BQ$1005,1,MATCH(COLUMNS($AO$1006:BQ1006),$AO$1006:$BQ$1006,0))&gt;=100000), " ",IF(INDEX($AO$2:$BQ$1001,MATCH(ROWS($AH$2:AH176),$AH$2:$AH$1001,0),MATCH(COLUMNS($AO$1006:BQ1006),$AO$1006:$BQ$1006,0)), HYPERLINK("#",""), HYPERLINK(CONCATENATE("#Metadata!", ADDRESS(INDEX($AJ$2:$AJ$1001,MATCH(ROWS($AH$2:AH176),$AH$2:$AH$1001,0),0), INDEX($AO$1004:$BQ$1004,1,MATCH(COLUMNS($AO$1006:BQ1006),$AO$1006:$BQ$1006,0)))),"Fix")))</f>
        <v>#REF!</v>
      </c>
      <c r="AH176">
        <f ca="1"/>
        <v>173</v>
      </c>
      <c r="AI176">
        <v>100176</v>
      </c>
      <c r="AJ176">
        <v>176</v>
      </c>
      <c r="AK176" t="b">
        <f t="shared" si="2"/>
        <v>1</v>
      </c>
      <c r="AL176" t="b">
        <f>COUNTBLANK(Metadata!B176:AD176)=COLUMNS(Metadata!B176:AD176)</f>
        <v>1</v>
      </c>
      <c r="AM176" t="str">
        <v/>
      </c>
      <c r="AO176" t="b">
        <f ca="1">AND(IF(Metadata!B176="",FALSE,TRUE),COUNTIF(Metadata!B:B, Metadata!B176) = 1,NOT(ISERROR(SUMPRODUCT(SEARCH(MID(Metadata!B176,ROW(INDIRECT("1:"&amp;LEN(Metadata!B176))), 1),"0123456789abcdefghijklmnopqrstuvwxyzABCDEFGHIJKLMNOPQRSTUVWXYZ.")))))</f>
        <v>0</v>
      </c>
      <c r="AP176" t="b">
        <f>IF(Metadata!C176="",FALSE,TRUE)</f>
        <v>0</v>
      </c>
      <c r="AQ176" t="b">
        <f>IF(Metadata!D176="",FALSE,TRUE)</f>
        <v>0</v>
      </c>
      <c r="AR176" t="b">
        <f ca="1">OR(AND(IF(Metadata!E176="",FALSE,TRUE),OR(EXACT(Metadata!E176,"not collected"),EXACT(Metadata!E176,"not provided"),EXACT(Metadata!E176,"restricted access"))),AND(IF(Metadata!E176="",FALSE,TRUE),AND(AND(IFERROR(INT(LEFT(Metadata!E176,4))&gt;1900,FALSE),IFERROR(INT(LEFT(Metadata!E176,4))&lt;=YEAR(NOW()),FALSE)), OR(MID(Metadata!E176,5,1)="", AND(AND(MID(Metadata!E176,5,1)="-",IFERROR(INT(MID(Metadata!E176,6,1))&gt;=0,FALSE),IFERROR(INT(MID(Metadata!E176,6,1))&lt;=1,FALSE),NOT(MID(Metadata!E176,7,1)=""),IFERROR(INT(MID(Metadata!E176,6,2))&gt;=1,FALSE),IFERROR(INT(MID(Metadata!E176,6,2))&lt;=12,FALSE)), OR(MID(Metadata!E176,8,1)="", AND(AND(MID(Metadata!E176,8,1)="-",IFERROR(INT(MID(Metadata!E176,9,1))&gt;=0,FALSE),IFERROR(INT(MID(Metadata!E176,9,1))&lt;=3,FALSE),NOT(MID(Metadata!E176,10,1)=""),IFERROR(INT(MID(Metadata!E176,9,2))&gt;=1,FALSE),IFERROR(INT(MID(Metadata!E176,9,2))&lt;=31,FALSE)), OR(MID(Metadata!E176,11,1)="", AND(AND(MID(Metadata!E176,11,1)=" ",IFERROR(INT(MID(Metadata!E176,12,1))&gt;=0,FALSE),IFERROR(INT(MID(Metadata!E176,12,1))&lt;=2,FALSE),NOT(MID(Metadata!E176,13,1)=""),IFERROR(INT(MID(Metadata!E176,12,2))&gt;=0,FALSE),IFERROR(INT(MID(Metadata!E176,12,2))&lt;=23,FALSE)), OR(MID(Metadata!E176,14,1)="", AND(AND(MID(Metadata!E176,14,1)=":",IFERROR(INT(MID(Metadata!E176,15,1))&gt;=0,FALSE),IFERROR(INT(MID(Metadata!E176,15,1))&lt;=5,FALSE),NOT(MID(Metadata!E176,16,1)=""),IFERROR(INT(MID(Metadata!E176,15,2))&gt;=0,FALSE),IFERROR(INT(MID(Metadata!E176,15,2))&lt;=59,FALSE)), OR(MID(Metadata!E176,17,1)="", AND(AND(MID(Metadata!E176,17,1)=":",IFERROR(INT(MID(Metadata!E176,18,1))&gt;=0,FALSE),IFERROR(INT(MID(Metadata!E176,18,1))&lt;=5,FALSE),NOT(MID(Metadata!E176,19,1)=""),IFERROR(INT(MID(Metadata!E176,18,2))&gt;=0,FALSE),IFERROR(INT(MID(Metadata!E176,18,2))&lt;=59,FALSE)), LEN(Metadata!E176)&lt;=19)))))))))))))</f>
        <v>0</v>
      </c>
      <c r="AS176" t="b">
        <f>IF(Metadata!F176="",FALSE,TRUE)</f>
        <v>0</v>
      </c>
      <c r="AT176" t="b">
        <f>OR(AND(IF(Metadata!G176="",FALSE,TRUE),OR(EXACT(Metadata!G176,"not collected"),EXACT(Metadata!G176,"not provided"))),AND(IF(Metadata!G176="",FALSE,TRUE),OR(EXACT(Metadata!G176,"TRUE"),EXACT(Metadata!G176,"FALSE"))))</f>
        <v>0</v>
      </c>
      <c r="AU176" t="b">
        <f>OR(AND(IF(Metadata!H176="",FALSE,TRUE),OR(EXACT(Metadata!H176,"not collected"),EXACT(Metadata!H176,"not provided"),EXACT(Metadata!H176,"restricted access"))),AND(IF(Metadata!H176="",FALSE,ISNUMBER(VALUE(Metadata!H176))),Metadata!H176&gt;=-413))</f>
        <v>0</v>
      </c>
      <c r="AV176" t="b">
        <f>AND(IF(Metadata!I176="",FALSE,TRUE),EXACT(Metadata!I176,"meters"))</f>
        <v>0</v>
      </c>
      <c r="AW176" t="b">
        <f>AND(IF(Metadata!J176="",FALSE,TRUE),EXACT(Metadata!J176,"free-living"))</f>
        <v>0</v>
      </c>
      <c r="AX176" t="b">
        <f>AND(IF(Metadata!K176="",FALSE,TRUE),OR(EXACT(Metadata!K176,"saline"),EXACT(Metadata!K176,"non-saline")))</f>
        <v>0</v>
      </c>
      <c r="AY176" t="b">
        <f>AND(IF(Metadata!L176="",FALSE,TRUE),OR(EXACT(Metadata!L176,"sub-surface (non-saline)"),EXACT(Metadata!L176,"surface (non-saline)"),EXACT(Metadata!L176,"water (non-saline)"),EXACT(Metadata!L176,"soil (non-saline)"),EXACT(Metadata!L176,"aerosol (non-saline)"),EXACT(Metadata!L176,"sediment (non-saline)"),EXACT(Metadata!L176,"surface (saline)"),EXACT(Metadata!L176,"water (saline)"),EXACT(Metadata!L176,"hypersaline (saline)"),EXACT(Metadata!L176,"aerosol (saline)"),EXACT(Metadata!L176,"sediment (saline)")))</f>
        <v>0</v>
      </c>
      <c r="AZ176" t="b">
        <f>IF(Metadata!M176="",FALSE,TRUE)</f>
        <v>0</v>
      </c>
      <c r="BA176" t="b">
        <f>IF(Metadata!N176="",FALSE,TRUE)</f>
        <v>0</v>
      </c>
      <c r="BB176" t="b">
        <f>IF(Metadata!O176="",FALSE,TRUE)</f>
        <v>0</v>
      </c>
      <c r="BC176" t="b">
        <f>AND(IF(Metadata!P176="",FALSE,TRUE),OR(EXACT(Metadata!P176,"air"),EXACT(Metadata!P176,"microbial mat/biofilm"),EXACT(Metadata!P176,"misc environment"),EXACT(Metadata!P176,"sediment"),EXACT(Metadata!P176,"soil"),EXACT(Metadata!P176,"wastewater/sludge"),EXACT(Metadata!P176,"water")))</f>
        <v>0</v>
      </c>
      <c r="BD176" t="b">
        <f>IF(Metadata!Q176="",FALSE,TRUE)</f>
        <v>0</v>
      </c>
      <c r="BE176" t="b">
        <f>IF(Metadata!R176="",FALSE,TRUE)</f>
        <v>0</v>
      </c>
      <c r="BF176" t="b">
        <f>OR(AND(IF(Metadata!S176="",FALSE,TRUE),OR(EXACT(Metadata!S176,"not collected"),EXACT(Metadata!S176,"not provided"),EXACT(Metadata!S176,"restricted access"))),AND(IF(Metadata!S176="",FALSE,ISNUMBER(VALUE(Metadata!S176))),Metadata!S176&gt;=-90,Metadata!S176&lt;=90))</f>
        <v>0</v>
      </c>
      <c r="BG176" t="b">
        <f>AND(IF(Metadata!T176="",FALSE,TRUE),EXACT(Metadata!T176,"Decimal degrees"))</f>
        <v>0</v>
      </c>
      <c r="BH176" t="b">
        <f>OR(AND(IF(Metadata!U176="",FALSE,TRUE),OR(EXACT(Metadata!U176,"not applicable"),EXACT(Metadata!U176,"not collected"))),IF(Metadata!U176="",FALSE,TRUE))</f>
        <v>0</v>
      </c>
      <c r="BI176" t="b">
        <f>OR(AND(IF(Metadata!V176="",FALSE,TRUE),OR(EXACT(Metadata!V176,"not collected"),EXACT(Metadata!V176,"not provided"),EXACT(Metadata!V176,"restricted access"))),AND(IF(Metadata!V176="",FALSE,ISNUMBER(VALUE(Metadata!V176))),Metadata!V176&gt;=-180,Metadata!V176&lt;=180))</f>
        <v>0</v>
      </c>
      <c r="BJ176" t="b">
        <f>AND(IF(Metadata!W176="",FALSE,TRUE),EXACT(Metadata!W176,"Decimal degrees"))</f>
        <v>0</v>
      </c>
      <c r="BK176" t="b">
        <f>IF(Metadata!X176="",FALSE,TRUE)</f>
        <v>0</v>
      </c>
      <c r="BL176" t="b">
        <f>OR(AND(IF(Metadata!Y176="",FALSE,TRUE),OR(EXACT(Metadata!Y176,"not collected"),EXACT(Metadata!Y176,"not provided"),EXACT(Metadata!Y176,"restricted access"))),AND(IF(Metadata!Y176="",FALSE,TRUE),OR(EXACT(Metadata!Y176,"TRUE"),EXACT(Metadata!Y176,"FALSE"))))</f>
        <v>0</v>
      </c>
      <c r="BM176" t="b">
        <f>OR(AND(IF(Metadata!Z176="",FALSE,TRUE),EXACT(Metadata!Z176,"not applicable")),AND(IF(Metadata!Z176="",FALSE,TRUE),OR(EXACT(Metadata!Z176,"beer"),EXACT(Metadata!Z176,"cheese"),EXACT(Metadata!Z176,"fresh water"),EXACT(Metadata!Z176,"marine sediment"),EXACT(Metadata!Z176,"sea water"),EXACT(Metadata!Z176,"sediment"),EXACT(Metadata!Z176,"soil"),EXACT(Metadata!Z176,"waste water"))))</f>
        <v>0</v>
      </c>
      <c r="BN176" t="b">
        <f>AND(IF(Metadata!AA176="",FALSE,TRUE),EXACT(Metadata!AA176,"metagenome"))</f>
        <v>0</v>
      </c>
      <c r="BO176" t="b">
        <f>AND(IF(Metadata!AB176="",FALSE,TRUE),EXACT(Metadata!AB176,"256318"))</f>
        <v>0</v>
      </c>
      <c r="BP176" t="b">
        <f>IF(Metadata!AC176="",FALSE,TRUE)</f>
        <v>0</v>
      </c>
      <c r="BQ176" t="b">
        <f>IF(Metadata!AD176="",FALSE,TRUE)</f>
        <v>0</v>
      </c>
    </row>
    <row r="177" spans="1:69" x14ac:dyDescent="0.2">
      <c r="A177" s="4" t="e">
        <f ca="1">IF(B177=" "," ",HYPERLINK(CONCATENATE("#metadata!",ADDRESS(INDEX($AJ$2:$AJ$1001,MATCH(ROWS($AH$2:AH177),$AH$2:$AH$1001,0),0),2)),INDEX($AM$2:$AM$1001,MATCH(ROWS($AH$2:AH177),$AH$2:$AH$1001,0),0)))</f>
        <v>#N/A</v>
      </c>
      <c r="B177" s="5" t="e">
        <f ca="1">IF(OR(INDEX($AI$2:$AI$1001,MATCH(ROWS($AH$2:AH177),$AH$2:$AH$1001,0),1)&gt;=100000,INDEX($AO$1005:$BQ$1005,1,MATCH(COLUMNS($AO$1006:AO1006),$AO$1006:$BQ$1006,0))&gt;=100000), " ",IF(INDEX($AO$2:$BQ$1001,MATCH(ROWS($AH$2:AH177),$AH$2:$AH$1001,0),MATCH(COLUMNS($AO$1006:AO1006),$AO$1006:$BQ$1006,0)), HYPERLINK("#",""), HYPERLINK(CONCATENATE("#Metadata!", ADDRESS(INDEX($AJ$2:$AJ$1001,MATCH(ROWS($AH$2:AH177),$AH$2:$AH$1001,0),0), INDEX($AO$1004:$BQ$1004,1,MATCH(COLUMNS($AO$1006:AO1006),$AO$1006:$BQ$1006,0)))),"Fix")))</f>
        <v>#N/A</v>
      </c>
      <c r="C177" s="5" t="e">
        <f ca="1">IF(OR(INDEX($AI$2:$AI$1001,MATCH(ROWS($AH$2:AH177),$AH$2:$AH$1001,0),1)&gt;=100000,INDEX($AO$1005:$BQ$1005,1,MATCH(COLUMNS($AO$1006:AP1006),$AO$1006:$BQ$1006,0))&gt;=100000), " ",IF(INDEX($AO$2:$BQ$1001,MATCH(ROWS($AH$2:AH177),$AH$2:$AH$1001,0),MATCH(COLUMNS($AO$1006:AP1006),$AO$1006:$BQ$1006,0)), HYPERLINK("#",""), HYPERLINK(CONCATENATE("#Metadata!", ADDRESS(INDEX($AJ$2:$AJ$1001,MATCH(ROWS($AH$2:AH177),$AH$2:$AH$1001,0),0), INDEX($AO$1004:$BQ$1004,1,MATCH(COLUMNS($AO$1006:AP1006),$AO$1006:$BQ$1006,0)))),"Fix")))</f>
        <v>#N/A</v>
      </c>
      <c r="D177" s="5" t="e">
        <f ca="1">IF(OR(INDEX($AI$2:$AI$1001,MATCH(ROWS($AH$2:AH177),$AH$2:$AH$1001,0),1)&gt;=100000,INDEX($AO$1005:$BQ$1005,1,MATCH(COLUMNS($AO$1006:AQ1006),$AO$1006:$BQ$1006,0))&gt;=100000), " ",IF(INDEX($AO$2:$BQ$1001,MATCH(ROWS($AH$2:AH177),$AH$2:$AH$1001,0),MATCH(COLUMNS($AO$1006:AQ1006),$AO$1006:$BQ$1006,0)), HYPERLINK("#",""), HYPERLINK(CONCATENATE("#Metadata!", ADDRESS(INDEX($AJ$2:$AJ$1001,MATCH(ROWS($AH$2:AH177),$AH$2:$AH$1001,0),0), INDEX($AO$1004:$BQ$1004,1,MATCH(COLUMNS($AO$1006:AQ1006),$AO$1006:$BQ$1006,0)))),"Fix")))</f>
        <v>#N/A</v>
      </c>
      <c r="E177" s="5" t="e">
        <f ca="1">IF(OR(INDEX($AI$2:$AI$1001,MATCH(ROWS($AH$2:AH177),$AH$2:$AH$1001,0),1)&gt;=100000,INDEX($AO$1005:$BQ$1005,1,MATCH(COLUMNS($AO$1006:AR1006),$AO$1006:$BQ$1006,0))&gt;=100000), " ",IF(INDEX($AO$2:$BQ$1001,MATCH(ROWS($AH$2:AH177),$AH$2:$AH$1001,0),MATCH(COLUMNS($AO$1006:AR1006),$AO$1006:$BQ$1006,0)), HYPERLINK("#",""), HYPERLINK(CONCATENATE("#Metadata!", ADDRESS(INDEX($AJ$2:$AJ$1001,MATCH(ROWS($AH$2:AH177),$AH$2:$AH$1001,0),0), INDEX($AO$1004:$BQ$1004,1,MATCH(COLUMNS($AO$1006:AR1006),$AO$1006:$BQ$1006,0)))),"Fix")))</f>
        <v>#N/A</v>
      </c>
      <c r="F177" s="5" t="e">
        <f ca="1">IF(OR(INDEX($AI$2:$AI$1001,MATCH(ROWS($AH$2:AH177),$AH$2:$AH$1001,0),1)&gt;=100000,INDEX($AO$1005:$BQ$1005,1,MATCH(COLUMNS($AO$1006:AS1006),$AO$1006:$BQ$1006,0))&gt;=100000), " ",IF(INDEX($AO$2:$BQ$1001,MATCH(ROWS($AH$2:AH177),$AH$2:$AH$1001,0),MATCH(COLUMNS($AO$1006:AS1006),$AO$1006:$BQ$1006,0)), HYPERLINK("#",""), HYPERLINK(CONCATENATE("#Metadata!", ADDRESS(INDEX($AJ$2:$AJ$1001,MATCH(ROWS($AH$2:AH177),$AH$2:$AH$1001,0),0), INDEX($AO$1004:$BQ$1004,1,MATCH(COLUMNS($AO$1006:AS1006),$AO$1006:$BQ$1006,0)))),"Fix")))</f>
        <v>#N/A</v>
      </c>
      <c r="G177" s="5" t="e">
        <f ca="1">IF(OR(INDEX($AI$2:$AI$1001,MATCH(ROWS($AH$2:AH177),$AH$2:$AH$1001,0),1)&gt;=100000,INDEX($AO$1005:$BQ$1005,1,MATCH(COLUMNS($AO$1006:AT1006),$AO$1006:$BQ$1006,0))&gt;=100000), " ",IF(INDEX($AO$2:$BQ$1001,MATCH(ROWS($AH$2:AH177),$AH$2:$AH$1001,0),MATCH(COLUMNS($AO$1006:AT1006),$AO$1006:$BQ$1006,0)), HYPERLINK("#",""), HYPERLINK(CONCATENATE("#Metadata!", ADDRESS(INDEX($AJ$2:$AJ$1001,MATCH(ROWS($AH$2:AH177),$AH$2:$AH$1001,0),0), INDEX($AO$1004:$BQ$1004,1,MATCH(COLUMNS($AO$1006:AT1006),$AO$1006:$BQ$1006,0)))),"Fix")))</f>
        <v>#N/A</v>
      </c>
      <c r="H177" s="5" t="e">
        <f ca="1">IF(OR(INDEX($AI$2:$AI$1001,MATCH(ROWS($AH$2:AH177),$AH$2:$AH$1001,0),1)&gt;=100000,INDEX($AO$1005:$BQ$1005,1,MATCH(COLUMNS($AO$1006:AU1006),$AO$1006:$BQ$1006,0))&gt;=100000), " ",IF(INDEX($AO$2:$BQ$1001,MATCH(ROWS($AH$2:AH177),$AH$2:$AH$1001,0),MATCH(COLUMNS($AO$1006:AU1006),$AO$1006:$BQ$1006,0)), HYPERLINK("#",""), HYPERLINK(CONCATENATE("#Metadata!", ADDRESS(INDEX($AJ$2:$AJ$1001,MATCH(ROWS($AH$2:AH177),$AH$2:$AH$1001,0),0), INDEX($AO$1004:$BQ$1004,1,MATCH(COLUMNS($AO$1006:AU1006),$AO$1006:$BQ$1006,0)))),"Fix")))</f>
        <v>#N/A</v>
      </c>
      <c r="I177" s="5" t="e">
        <f ca="1">IF(OR(INDEX($AI$2:$AI$1001,MATCH(ROWS($AH$2:AH177),$AH$2:$AH$1001,0),1)&gt;=100000,INDEX($AO$1005:$BQ$1005,1,MATCH(COLUMNS($AO$1006:AV1006),$AO$1006:$BQ$1006,0))&gt;=100000), " ",IF(INDEX($AO$2:$BQ$1001,MATCH(ROWS($AH$2:AH177),$AH$2:$AH$1001,0),MATCH(COLUMNS($AO$1006:AV1006),$AO$1006:$BQ$1006,0)), HYPERLINK("#",""), HYPERLINK(CONCATENATE("#Metadata!", ADDRESS(INDEX($AJ$2:$AJ$1001,MATCH(ROWS($AH$2:AH177),$AH$2:$AH$1001,0),0), INDEX($AO$1004:$BQ$1004,1,MATCH(COLUMNS($AO$1006:AV1006),$AO$1006:$BQ$1006,0)))),"Fix")))</f>
        <v>#N/A</v>
      </c>
      <c r="J177" s="5" t="e">
        <f ca="1">IF(OR(INDEX($AI$2:$AI$1001,MATCH(ROWS($AH$2:AH177),$AH$2:$AH$1001,0),1)&gt;=100000,INDEX($AO$1005:$BQ$1005,1,MATCH(COLUMNS($AO$1006:AW1006),$AO$1006:$BQ$1006,0))&gt;=100000), " ",IF(INDEX($AO$2:$BQ$1001,MATCH(ROWS($AH$2:AH177),$AH$2:$AH$1001,0),MATCH(COLUMNS($AO$1006:AW1006),$AO$1006:$BQ$1006,0)), HYPERLINK("#",""), HYPERLINK(CONCATENATE("#Metadata!", ADDRESS(INDEX($AJ$2:$AJ$1001,MATCH(ROWS($AH$2:AH177),$AH$2:$AH$1001,0),0), INDEX($AO$1004:$BQ$1004,1,MATCH(COLUMNS($AO$1006:AW1006),$AO$1006:$BQ$1006,0)))),"Fix")))</f>
        <v>#N/A</v>
      </c>
      <c r="K177" s="5" t="e">
        <f ca="1">IF(OR(INDEX($AI$2:$AI$1001,MATCH(ROWS($AH$2:AH177),$AH$2:$AH$1001,0),1)&gt;=100000,INDEX($AO$1005:$BQ$1005,1,MATCH(COLUMNS($AO$1006:AX1006),$AO$1006:$BQ$1006,0))&gt;=100000), " ",IF(INDEX($AO$2:$BQ$1001,MATCH(ROWS($AH$2:AH177),$AH$2:$AH$1001,0),MATCH(COLUMNS($AO$1006:AX1006),$AO$1006:$BQ$1006,0)), HYPERLINK("#",""), HYPERLINK(CONCATENATE("#Metadata!", ADDRESS(INDEX($AJ$2:$AJ$1001,MATCH(ROWS($AH$2:AH177),$AH$2:$AH$1001,0),0), INDEX($AO$1004:$BQ$1004,1,MATCH(COLUMNS($AO$1006:AX1006),$AO$1006:$BQ$1006,0)))),"Fix")))</f>
        <v>#N/A</v>
      </c>
      <c r="L177" s="5" t="e">
        <f ca="1">IF(OR(INDEX($AI$2:$AI$1001,MATCH(ROWS($AH$2:AH177),$AH$2:$AH$1001,0),1)&gt;=100000,INDEX($AO$1005:$BQ$1005,1,MATCH(COLUMNS($AO$1006:AY1006),$AO$1006:$BQ$1006,0))&gt;=100000), " ",IF(INDEX($AO$2:$BQ$1001,MATCH(ROWS($AH$2:AH177),$AH$2:$AH$1001,0),MATCH(COLUMNS($AO$1006:AY1006),$AO$1006:$BQ$1006,0)), HYPERLINK("#",""), HYPERLINK(CONCATENATE("#Metadata!", ADDRESS(INDEX($AJ$2:$AJ$1001,MATCH(ROWS($AH$2:AH177),$AH$2:$AH$1001,0),0), INDEX($AO$1004:$BQ$1004,1,MATCH(COLUMNS($AO$1006:AY1006),$AO$1006:$BQ$1006,0)))),"Fix")))</f>
        <v>#N/A</v>
      </c>
      <c r="M177" s="5" t="e">
        <f ca="1">IF(OR(INDEX($AI$2:$AI$1001,MATCH(ROWS($AH$2:AH177),$AH$2:$AH$1001,0),1)&gt;=100000,INDEX($AO$1005:$BQ$1005,1,MATCH(COLUMNS($AO$1006:AZ1006),$AO$1006:$BQ$1006,0))&gt;=100000), " ",IF(INDEX($AO$2:$BQ$1001,MATCH(ROWS($AH$2:AH177),$AH$2:$AH$1001,0),MATCH(COLUMNS($AO$1006:AZ1006),$AO$1006:$BQ$1006,0)), HYPERLINK("#",""), HYPERLINK(CONCATENATE("#Metadata!", ADDRESS(INDEX($AJ$2:$AJ$1001,MATCH(ROWS($AH$2:AH177),$AH$2:$AH$1001,0),0), INDEX($AO$1004:$BQ$1004,1,MATCH(COLUMNS($AO$1006:AZ1006),$AO$1006:$BQ$1006,0)))),"Fix")))</f>
        <v>#N/A</v>
      </c>
      <c r="N177" s="5" t="e">
        <f ca="1">IF(OR(INDEX($AI$2:$AI$1001,MATCH(ROWS($AH$2:AH177),$AH$2:$AH$1001,0),1)&gt;=100000,INDEX($AO$1005:$BQ$1005,1,MATCH(COLUMNS($AO$1006:BA1006),$AO$1006:$BQ$1006,0))&gt;=100000), " ",IF(INDEX($AO$2:$BQ$1001,MATCH(ROWS($AH$2:AH177),$AH$2:$AH$1001,0),MATCH(COLUMNS($AO$1006:BA1006),$AO$1006:$BQ$1006,0)), HYPERLINK("#",""), HYPERLINK(CONCATENATE("#Metadata!", ADDRESS(INDEX($AJ$2:$AJ$1001,MATCH(ROWS($AH$2:AH177),$AH$2:$AH$1001,0),0), INDEX($AO$1004:$BQ$1004,1,MATCH(COLUMNS($AO$1006:BA1006),$AO$1006:$BQ$1006,0)))),"Fix")))</f>
        <v>#N/A</v>
      </c>
      <c r="O177" s="5" t="e">
        <f ca="1">IF(OR(INDEX($AI$2:$AI$1001,MATCH(ROWS($AH$2:AH177),$AH$2:$AH$1001,0),1)&gt;=100000,INDEX($AO$1005:$BQ$1005,1,MATCH(COLUMNS($AO$1006:BB1006),$AO$1006:$BQ$1006,0))&gt;=100000), " ",IF(INDEX($AO$2:$BQ$1001,MATCH(ROWS($AH$2:AH177),$AH$2:$AH$1001,0),MATCH(COLUMNS($AO$1006:BB1006),$AO$1006:$BQ$1006,0)), HYPERLINK("#",""), HYPERLINK(CONCATENATE("#Metadata!", ADDRESS(INDEX($AJ$2:$AJ$1001,MATCH(ROWS($AH$2:AH177),$AH$2:$AH$1001,0),0), INDEX($AO$1004:$BQ$1004,1,MATCH(COLUMNS($AO$1006:BB1006),$AO$1006:$BQ$1006,0)))),"Fix")))</f>
        <v>#N/A</v>
      </c>
      <c r="P177" s="5" t="e">
        <f ca="1">IF(OR(INDEX($AI$2:$AI$1001,MATCH(ROWS($AH$2:AH177),$AH$2:$AH$1001,0),1)&gt;=100000,INDEX($AO$1005:$BQ$1005,1,MATCH(COLUMNS($AO$1006:BC1006),$AO$1006:$BQ$1006,0))&gt;=100000), " ",IF(INDEX($AO$2:$BQ$1001,MATCH(ROWS($AH$2:AH177),$AH$2:$AH$1001,0),MATCH(COLUMNS($AO$1006:BC1006),$AO$1006:$BQ$1006,0)), HYPERLINK("#",""), HYPERLINK(CONCATENATE("#Metadata!", ADDRESS(INDEX($AJ$2:$AJ$1001,MATCH(ROWS($AH$2:AH177),$AH$2:$AH$1001,0),0), INDEX($AO$1004:$BQ$1004,1,MATCH(COLUMNS($AO$1006:BC1006),$AO$1006:$BQ$1006,0)))),"Fix")))</f>
        <v>#N/A</v>
      </c>
      <c r="Q177" s="5" t="e">
        <f ca="1">IF(OR(INDEX($AI$2:$AI$1001,MATCH(ROWS($AH$2:AH177),$AH$2:$AH$1001,0),1)&gt;=100000,INDEX($AO$1005:$BQ$1005,1,MATCH(COLUMNS($AO$1006:BD1006),$AO$1006:$BQ$1006,0))&gt;=100000), " ",IF(INDEX($AO$2:$BQ$1001,MATCH(ROWS($AH$2:AH177),$AH$2:$AH$1001,0),MATCH(COLUMNS($AO$1006:BD1006),$AO$1006:$BQ$1006,0)), HYPERLINK("#",""), HYPERLINK(CONCATENATE("#Metadata!", ADDRESS(INDEX($AJ$2:$AJ$1001,MATCH(ROWS($AH$2:AH177),$AH$2:$AH$1001,0),0), INDEX($AO$1004:$BQ$1004,1,MATCH(COLUMNS($AO$1006:BD1006),$AO$1006:$BQ$1006,0)))),"Fix")))</f>
        <v>#N/A</v>
      </c>
      <c r="R177" s="5" t="e">
        <f ca="1">IF(OR(INDEX($AI$2:$AI$1001,MATCH(ROWS($AH$2:AH177),$AH$2:$AH$1001,0),1)&gt;=100000,INDEX($AO$1005:$BQ$1005,1,MATCH(COLUMNS($AO$1006:BE1006),$AO$1006:$BQ$1006,0))&gt;=100000), " ",IF(INDEX($AO$2:$BQ$1001,MATCH(ROWS($AH$2:AH177),$AH$2:$AH$1001,0),MATCH(COLUMNS($AO$1006:BE1006),$AO$1006:$BQ$1006,0)), HYPERLINK("#",""), HYPERLINK(CONCATENATE("#Metadata!", ADDRESS(INDEX($AJ$2:$AJ$1001,MATCH(ROWS($AH$2:AH177),$AH$2:$AH$1001,0),0), INDEX($AO$1004:$BQ$1004,1,MATCH(COLUMNS($AO$1006:BE1006),$AO$1006:$BQ$1006,0)))),"Fix")))</f>
        <v>#N/A</v>
      </c>
      <c r="S177" s="5" t="e">
        <f ca="1">IF(OR(INDEX($AI$2:$AI$1001,MATCH(ROWS($AH$2:AH177),$AH$2:$AH$1001,0),1)&gt;=100000,INDEX($AO$1005:$BQ$1005,1,MATCH(COLUMNS($AO$1006:BF1006),$AO$1006:$BQ$1006,0))&gt;=100000), " ",IF(INDEX($AO$2:$BQ$1001,MATCH(ROWS($AH$2:AH177),$AH$2:$AH$1001,0),MATCH(COLUMNS($AO$1006:BF1006),$AO$1006:$BQ$1006,0)), HYPERLINK("#",""), HYPERLINK(CONCATENATE("#Metadata!", ADDRESS(INDEX($AJ$2:$AJ$1001,MATCH(ROWS($AH$2:AH177),$AH$2:$AH$1001,0),0), INDEX($AO$1004:$BQ$1004,1,MATCH(COLUMNS($AO$1006:BF1006),$AO$1006:$BQ$1006,0)))),"Fix")))</f>
        <v>#N/A</v>
      </c>
      <c r="T177" s="5" t="e">
        <f ca="1">IF(OR(INDEX($AI$2:$AI$1001,MATCH(ROWS($AH$2:AH177),$AH$2:$AH$1001,0),1)&gt;=100000,INDEX($AO$1005:$BQ$1005,1,MATCH(COLUMNS($AO$1006:BG1006),$AO$1006:$BQ$1006,0))&gt;=100000), " ",IF(INDEX($AO$2:$BQ$1001,MATCH(ROWS($AH$2:AH177),$AH$2:$AH$1001,0),MATCH(COLUMNS($AO$1006:BG1006),$AO$1006:$BQ$1006,0)), HYPERLINK("#",""), HYPERLINK(CONCATENATE("#Metadata!", ADDRESS(INDEX($AJ$2:$AJ$1001,MATCH(ROWS($AH$2:AH177),$AH$2:$AH$1001,0),0), INDEX($AO$1004:$BQ$1004,1,MATCH(COLUMNS($AO$1006:BG1006),$AO$1006:$BQ$1006,0)))),"Fix")))</f>
        <v>#N/A</v>
      </c>
      <c r="U177" s="5" t="e">
        <f ca="1">IF(OR(INDEX($AI$2:$AI$1001,MATCH(ROWS($AH$2:AH177),$AH$2:$AH$1001,0),1)&gt;=100000,INDEX($AO$1005:$BQ$1005,1,MATCH(COLUMNS($AO$1006:BH1006),$AO$1006:$BQ$1006,0))&gt;=100000), " ",IF(INDEX($AO$2:$BQ$1001,MATCH(ROWS($AH$2:AH177),$AH$2:$AH$1001,0),MATCH(COLUMNS($AO$1006:BH1006),$AO$1006:$BQ$1006,0)), HYPERLINK("#",""), HYPERLINK(CONCATENATE("#Metadata!", ADDRESS(INDEX($AJ$2:$AJ$1001,MATCH(ROWS($AH$2:AH177),$AH$2:$AH$1001,0),0), INDEX($AO$1004:$BQ$1004,1,MATCH(COLUMNS($AO$1006:BH1006),$AO$1006:$BQ$1006,0)))),"Fix")))</f>
        <v>#N/A</v>
      </c>
      <c r="V177" s="5" t="e">
        <f ca="1">IF(OR(INDEX($AI$2:$AI$1001,MATCH(ROWS($AH$2:AH177),$AH$2:$AH$1001,0),1)&gt;=100000,INDEX($AO$1005:$BQ$1005,1,MATCH(COLUMNS($AO$1006:BI1006),$AO$1006:$BQ$1006,0))&gt;=100000), " ",IF(INDEX($AO$2:$BQ$1001,MATCH(ROWS($AH$2:AH177),$AH$2:$AH$1001,0),MATCH(COLUMNS($AO$1006:BI1006),$AO$1006:$BQ$1006,0)), HYPERLINK("#",""), HYPERLINK(CONCATENATE("#Metadata!", ADDRESS(INDEX($AJ$2:$AJ$1001,MATCH(ROWS($AH$2:AH177),$AH$2:$AH$1001,0),0), INDEX($AO$1004:$BQ$1004,1,MATCH(COLUMNS($AO$1006:BI1006),$AO$1006:$BQ$1006,0)))),"Fix")))</f>
        <v>#N/A</v>
      </c>
      <c r="W177" s="5" t="e">
        <f ca="1">IF(OR(INDEX($AI$2:$AI$1001,MATCH(ROWS($AH$2:AH177),$AH$2:$AH$1001,0),1)&gt;=100000,INDEX($AO$1005:$BQ$1005,1,MATCH(COLUMNS($AO$1006:BJ1006),$AO$1006:$BQ$1006,0))&gt;=100000), " ",IF(INDEX($AO$2:$BQ$1001,MATCH(ROWS($AH$2:AH177),$AH$2:$AH$1001,0),MATCH(COLUMNS($AO$1006:BJ1006),$AO$1006:$BQ$1006,0)), HYPERLINK("#",""), HYPERLINK(CONCATENATE("#Metadata!", ADDRESS(INDEX($AJ$2:$AJ$1001,MATCH(ROWS($AH$2:AH177),$AH$2:$AH$1001,0),0), INDEX($AO$1004:$BQ$1004,1,MATCH(COLUMNS($AO$1006:BJ1006),$AO$1006:$BQ$1006,0)))),"Fix")))</f>
        <v>#N/A</v>
      </c>
      <c r="X177" s="5" t="e">
        <f ca="1">IF(OR(INDEX($AI$2:$AI$1001,MATCH(ROWS($AH$2:AH177),$AH$2:$AH$1001,0),1)&gt;=100000,INDEX($AO$1005:$BQ$1005,1,MATCH(COLUMNS($AO$1006:BK1006),$AO$1006:$BQ$1006,0))&gt;=100000), " ",IF(INDEX($AO$2:$BQ$1001,MATCH(ROWS($AH$2:AH177),$AH$2:$AH$1001,0),MATCH(COLUMNS($AO$1006:BK1006),$AO$1006:$BQ$1006,0)), HYPERLINK("#",""), HYPERLINK(CONCATENATE("#Metadata!", ADDRESS(INDEX($AJ$2:$AJ$1001,MATCH(ROWS($AH$2:AH177),$AH$2:$AH$1001,0),0), INDEX($AO$1004:$BQ$1004,1,MATCH(COLUMNS($AO$1006:BK1006),$AO$1006:$BQ$1006,0)))),"Fix")))</f>
        <v>#N/A</v>
      </c>
      <c r="Y177" s="5" t="e">
        <f ca="1">IF(OR(INDEX($AI$2:$AI$1001,MATCH(ROWS($AH$2:AH177),$AH$2:$AH$1001,0),1)&gt;=100000,INDEX($AO$1005:$BQ$1005,1,MATCH(COLUMNS($AO$1006:BL1006),$AO$1006:$BQ$1006,0))&gt;=100000), " ",IF(INDEX($AO$2:$BQ$1001,MATCH(ROWS($AH$2:AH177),$AH$2:$AH$1001,0),MATCH(COLUMNS($AO$1006:BL1006),$AO$1006:$BQ$1006,0)), HYPERLINK("#",""), HYPERLINK(CONCATENATE("#Metadata!", ADDRESS(INDEX($AJ$2:$AJ$1001,MATCH(ROWS($AH$2:AH177),$AH$2:$AH$1001,0),0), INDEX($AO$1004:$BQ$1004,1,MATCH(COLUMNS($AO$1006:BL1006),$AO$1006:$BQ$1006,0)))),"Fix")))</f>
        <v>#N/A</v>
      </c>
      <c r="Z177" s="5" t="e">
        <f ca="1">IF(OR(INDEX($AI$2:$AI$1001,MATCH(ROWS($AH$2:AH177),$AH$2:$AH$1001,0),1)&gt;=100000,INDEX($AO$1005:$BQ$1005,1,MATCH(COLUMNS($AO$1006:BM1006),$AO$1006:$BQ$1006,0))&gt;=100000), " ",IF(INDEX($AO$2:$BQ$1001,MATCH(ROWS($AH$2:AH177),$AH$2:$AH$1001,0),MATCH(COLUMNS($AO$1006:BM1006),$AO$1006:$BQ$1006,0)), HYPERLINK("#",""), HYPERLINK(CONCATENATE("#Metadata!", ADDRESS(INDEX($AJ$2:$AJ$1001,MATCH(ROWS($AH$2:AH177),$AH$2:$AH$1001,0),0), INDEX($AO$1004:$BQ$1004,1,MATCH(COLUMNS($AO$1006:BM1006),$AO$1006:$BQ$1006,0)))),"Fix")))</f>
        <v>#N/A</v>
      </c>
      <c r="AA177" s="5" t="e">
        <f ca="1">IF(OR(INDEX($AI$2:$AI$1001,MATCH(ROWS($AH$2:AH177),$AH$2:$AH$1001,0),1)&gt;=100000,INDEX($AO$1005:$BQ$1005,1,MATCH(COLUMNS($AO$1006:BN1006),$AO$1006:$BQ$1006,0))&gt;=100000), " ",IF(INDEX($AO$2:$BQ$1001,MATCH(ROWS($AH$2:AH177),$AH$2:$AH$1001,0),MATCH(COLUMNS($AO$1006:BN1006),$AO$1006:$BQ$1006,0)), HYPERLINK("#",""), HYPERLINK(CONCATENATE("#Metadata!", ADDRESS(INDEX($AJ$2:$AJ$1001,MATCH(ROWS($AH$2:AH177),$AH$2:$AH$1001,0),0), INDEX($AO$1004:$BQ$1004,1,MATCH(COLUMNS($AO$1006:BN1006),$AO$1006:$BQ$1006,0)))),"Fix")))</f>
        <v>#N/A</v>
      </c>
      <c r="AB177" s="5" t="e">
        <f ca="1">IF(OR(INDEX($AI$2:$AI$1001,MATCH(ROWS($AH$2:AH177),$AH$2:$AH$1001,0),1)&gt;=100000,INDEX($AO$1005:$BQ$1005,1,MATCH(COLUMNS($AO$1006:BO1006),$AO$1006:$BQ$1006,0))&gt;=100000), " ",IF(INDEX($AO$2:$BQ$1001,MATCH(ROWS($AH$2:AH177),$AH$2:$AH$1001,0),MATCH(COLUMNS($AO$1006:BO1006),$AO$1006:$BQ$1006,0)), HYPERLINK("#",""), HYPERLINK(CONCATENATE("#Metadata!", ADDRESS(INDEX($AJ$2:$AJ$1001,MATCH(ROWS($AH$2:AH177),$AH$2:$AH$1001,0),0), INDEX($AO$1004:$BQ$1004,1,MATCH(COLUMNS($AO$1006:BO1006),$AO$1006:$BQ$1006,0)))),"Fix")))</f>
        <v>#N/A</v>
      </c>
      <c r="AC177" s="5" t="e">
        <f ca="1">IF(OR(INDEX($AI$2:$AI$1001,MATCH(ROWS($AH$2:AH177),$AH$2:$AH$1001,0),1)&gt;=100000,INDEX($AO$1005:$BQ$1005,1,MATCH(COLUMNS($AO$1006:BP1006),$AO$1006:$BQ$1006,0))&gt;=100000), " ",IF(INDEX($AO$2:$BQ$1001,MATCH(ROWS($AH$2:AH177),$AH$2:$AH$1001,0),MATCH(COLUMNS($AO$1006:BP1006),$AO$1006:$BQ$1006,0)), HYPERLINK("#",""), HYPERLINK(CONCATENATE("#Metadata!", ADDRESS(INDEX($AJ$2:$AJ$1001,MATCH(ROWS($AH$2:AH177),$AH$2:$AH$1001,0),0), INDEX($AO$1004:$BQ$1004,1,MATCH(COLUMNS($AO$1006:BP1006),$AO$1006:$BQ$1006,0)))),"Fix")))</f>
        <v>#N/A</v>
      </c>
      <c r="AD177" s="5" t="e">
        <f ca="1">IF(OR(INDEX($AI$2:$AI$1001,MATCH(ROWS($AH$2:AH177),$AH$2:$AH$1001,0),1)&gt;=100000,INDEX($AO$1005:$BQ$1005,1,MATCH(COLUMNS($AO$1006:BQ1006),$AO$1006:$BQ$1006,0))&gt;=100000), " ",IF(INDEX($AO$2:$BQ$1001,MATCH(ROWS($AH$2:AH177),$AH$2:$AH$1001,0),MATCH(COLUMNS($AO$1006:BQ1006),$AO$1006:$BQ$1006,0)), HYPERLINK("#",""), HYPERLINK(CONCATENATE("#Metadata!", ADDRESS(INDEX($AJ$2:$AJ$1001,MATCH(ROWS($AH$2:AH177),$AH$2:$AH$1001,0),0), INDEX($AO$1004:$BQ$1004,1,MATCH(COLUMNS($AO$1006:BQ1006),$AO$1006:$BQ$1006,0)))),"Fix")))</f>
        <v>#REF!</v>
      </c>
      <c r="AH177">
        <f ca="1"/>
        <v>174</v>
      </c>
      <c r="AI177">
        <v>100177</v>
      </c>
      <c r="AJ177">
        <v>177</v>
      </c>
      <c r="AK177" t="b">
        <f t="shared" si="2"/>
        <v>1</v>
      </c>
      <c r="AL177" t="b">
        <f>COUNTBLANK(Metadata!B177:AD177)=COLUMNS(Metadata!B177:AD177)</f>
        <v>1</v>
      </c>
      <c r="AM177" t="str">
        <v/>
      </c>
      <c r="AO177" t="b">
        <f ca="1">AND(IF(Metadata!B177="",FALSE,TRUE),COUNTIF(Metadata!B:B, Metadata!B177) = 1,NOT(ISERROR(SUMPRODUCT(SEARCH(MID(Metadata!B177,ROW(INDIRECT("1:"&amp;LEN(Metadata!B177))), 1),"0123456789abcdefghijklmnopqrstuvwxyzABCDEFGHIJKLMNOPQRSTUVWXYZ.")))))</f>
        <v>0</v>
      </c>
      <c r="AP177" t="b">
        <f>IF(Metadata!C177="",FALSE,TRUE)</f>
        <v>0</v>
      </c>
      <c r="AQ177" t="b">
        <f>IF(Metadata!D177="",FALSE,TRUE)</f>
        <v>0</v>
      </c>
      <c r="AR177" t="b">
        <f ca="1">OR(AND(IF(Metadata!E177="",FALSE,TRUE),OR(EXACT(Metadata!E177,"not collected"),EXACT(Metadata!E177,"not provided"),EXACT(Metadata!E177,"restricted access"))),AND(IF(Metadata!E177="",FALSE,TRUE),AND(AND(IFERROR(INT(LEFT(Metadata!E177,4))&gt;1900,FALSE),IFERROR(INT(LEFT(Metadata!E177,4))&lt;=YEAR(NOW()),FALSE)), OR(MID(Metadata!E177,5,1)="", AND(AND(MID(Metadata!E177,5,1)="-",IFERROR(INT(MID(Metadata!E177,6,1))&gt;=0,FALSE),IFERROR(INT(MID(Metadata!E177,6,1))&lt;=1,FALSE),NOT(MID(Metadata!E177,7,1)=""),IFERROR(INT(MID(Metadata!E177,6,2))&gt;=1,FALSE),IFERROR(INT(MID(Metadata!E177,6,2))&lt;=12,FALSE)), OR(MID(Metadata!E177,8,1)="", AND(AND(MID(Metadata!E177,8,1)="-",IFERROR(INT(MID(Metadata!E177,9,1))&gt;=0,FALSE),IFERROR(INT(MID(Metadata!E177,9,1))&lt;=3,FALSE),NOT(MID(Metadata!E177,10,1)=""),IFERROR(INT(MID(Metadata!E177,9,2))&gt;=1,FALSE),IFERROR(INT(MID(Metadata!E177,9,2))&lt;=31,FALSE)), OR(MID(Metadata!E177,11,1)="", AND(AND(MID(Metadata!E177,11,1)=" ",IFERROR(INT(MID(Metadata!E177,12,1))&gt;=0,FALSE),IFERROR(INT(MID(Metadata!E177,12,1))&lt;=2,FALSE),NOT(MID(Metadata!E177,13,1)=""),IFERROR(INT(MID(Metadata!E177,12,2))&gt;=0,FALSE),IFERROR(INT(MID(Metadata!E177,12,2))&lt;=23,FALSE)), OR(MID(Metadata!E177,14,1)="", AND(AND(MID(Metadata!E177,14,1)=":",IFERROR(INT(MID(Metadata!E177,15,1))&gt;=0,FALSE),IFERROR(INT(MID(Metadata!E177,15,1))&lt;=5,FALSE),NOT(MID(Metadata!E177,16,1)=""),IFERROR(INT(MID(Metadata!E177,15,2))&gt;=0,FALSE),IFERROR(INT(MID(Metadata!E177,15,2))&lt;=59,FALSE)), OR(MID(Metadata!E177,17,1)="", AND(AND(MID(Metadata!E177,17,1)=":",IFERROR(INT(MID(Metadata!E177,18,1))&gt;=0,FALSE),IFERROR(INT(MID(Metadata!E177,18,1))&lt;=5,FALSE),NOT(MID(Metadata!E177,19,1)=""),IFERROR(INT(MID(Metadata!E177,18,2))&gt;=0,FALSE),IFERROR(INT(MID(Metadata!E177,18,2))&lt;=59,FALSE)), LEN(Metadata!E177)&lt;=19)))))))))))))</f>
        <v>0</v>
      </c>
      <c r="AS177" t="b">
        <f>IF(Metadata!F177="",FALSE,TRUE)</f>
        <v>0</v>
      </c>
      <c r="AT177" t="b">
        <f>OR(AND(IF(Metadata!G177="",FALSE,TRUE),OR(EXACT(Metadata!G177,"not collected"),EXACT(Metadata!G177,"not provided"))),AND(IF(Metadata!G177="",FALSE,TRUE),OR(EXACT(Metadata!G177,"TRUE"),EXACT(Metadata!G177,"FALSE"))))</f>
        <v>0</v>
      </c>
      <c r="AU177" t="b">
        <f>OR(AND(IF(Metadata!H177="",FALSE,TRUE),OR(EXACT(Metadata!H177,"not collected"),EXACT(Metadata!H177,"not provided"),EXACT(Metadata!H177,"restricted access"))),AND(IF(Metadata!H177="",FALSE,ISNUMBER(VALUE(Metadata!H177))),Metadata!H177&gt;=-413))</f>
        <v>0</v>
      </c>
      <c r="AV177" t="b">
        <f>AND(IF(Metadata!I177="",FALSE,TRUE),EXACT(Metadata!I177,"meters"))</f>
        <v>0</v>
      </c>
      <c r="AW177" t="b">
        <f>AND(IF(Metadata!J177="",FALSE,TRUE),EXACT(Metadata!J177,"free-living"))</f>
        <v>0</v>
      </c>
      <c r="AX177" t="b">
        <f>AND(IF(Metadata!K177="",FALSE,TRUE),OR(EXACT(Metadata!K177,"saline"),EXACT(Metadata!K177,"non-saline")))</f>
        <v>0</v>
      </c>
      <c r="AY177" t="b">
        <f>AND(IF(Metadata!L177="",FALSE,TRUE),OR(EXACT(Metadata!L177,"sub-surface (non-saline)"),EXACT(Metadata!L177,"surface (non-saline)"),EXACT(Metadata!L177,"water (non-saline)"),EXACT(Metadata!L177,"soil (non-saline)"),EXACT(Metadata!L177,"aerosol (non-saline)"),EXACT(Metadata!L177,"sediment (non-saline)"),EXACT(Metadata!L177,"surface (saline)"),EXACT(Metadata!L177,"water (saline)"),EXACT(Metadata!L177,"hypersaline (saline)"),EXACT(Metadata!L177,"aerosol (saline)"),EXACT(Metadata!L177,"sediment (saline)")))</f>
        <v>0</v>
      </c>
      <c r="AZ177" t="b">
        <f>IF(Metadata!M177="",FALSE,TRUE)</f>
        <v>0</v>
      </c>
      <c r="BA177" t="b">
        <f>IF(Metadata!N177="",FALSE,TRUE)</f>
        <v>0</v>
      </c>
      <c r="BB177" t="b">
        <f>IF(Metadata!O177="",FALSE,TRUE)</f>
        <v>0</v>
      </c>
      <c r="BC177" t="b">
        <f>AND(IF(Metadata!P177="",FALSE,TRUE),OR(EXACT(Metadata!P177,"air"),EXACT(Metadata!P177,"microbial mat/biofilm"),EXACT(Metadata!P177,"misc environment"),EXACT(Metadata!P177,"sediment"),EXACT(Metadata!P177,"soil"),EXACT(Metadata!P177,"wastewater/sludge"),EXACT(Metadata!P177,"water")))</f>
        <v>0</v>
      </c>
      <c r="BD177" t="b">
        <f>IF(Metadata!Q177="",FALSE,TRUE)</f>
        <v>0</v>
      </c>
      <c r="BE177" t="b">
        <f>IF(Metadata!R177="",FALSE,TRUE)</f>
        <v>0</v>
      </c>
      <c r="BF177" t="b">
        <f>OR(AND(IF(Metadata!S177="",FALSE,TRUE),OR(EXACT(Metadata!S177,"not collected"),EXACT(Metadata!S177,"not provided"),EXACT(Metadata!S177,"restricted access"))),AND(IF(Metadata!S177="",FALSE,ISNUMBER(VALUE(Metadata!S177))),Metadata!S177&gt;=-90,Metadata!S177&lt;=90))</f>
        <v>0</v>
      </c>
      <c r="BG177" t="b">
        <f>AND(IF(Metadata!T177="",FALSE,TRUE),EXACT(Metadata!T177,"Decimal degrees"))</f>
        <v>0</v>
      </c>
      <c r="BH177" t="b">
        <f>OR(AND(IF(Metadata!U177="",FALSE,TRUE),OR(EXACT(Metadata!U177,"not applicable"),EXACT(Metadata!U177,"not collected"))),IF(Metadata!U177="",FALSE,TRUE))</f>
        <v>0</v>
      </c>
      <c r="BI177" t="b">
        <f>OR(AND(IF(Metadata!V177="",FALSE,TRUE),OR(EXACT(Metadata!V177,"not collected"),EXACT(Metadata!V177,"not provided"),EXACT(Metadata!V177,"restricted access"))),AND(IF(Metadata!V177="",FALSE,ISNUMBER(VALUE(Metadata!V177))),Metadata!V177&gt;=-180,Metadata!V177&lt;=180))</f>
        <v>0</v>
      </c>
      <c r="BJ177" t="b">
        <f>AND(IF(Metadata!W177="",FALSE,TRUE),EXACT(Metadata!W177,"Decimal degrees"))</f>
        <v>0</v>
      </c>
      <c r="BK177" t="b">
        <f>IF(Metadata!X177="",FALSE,TRUE)</f>
        <v>0</v>
      </c>
      <c r="BL177" t="b">
        <f>OR(AND(IF(Metadata!Y177="",FALSE,TRUE),OR(EXACT(Metadata!Y177,"not collected"),EXACT(Metadata!Y177,"not provided"),EXACT(Metadata!Y177,"restricted access"))),AND(IF(Metadata!Y177="",FALSE,TRUE),OR(EXACT(Metadata!Y177,"TRUE"),EXACT(Metadata!Y177,"FALSE"))))</f>
        <v>0</v>
      </c>
      <c r="BM177" t="b">
        <f>OR(AND(IF(Metadata!Z177="",FALSE,TRUE),EXACT(Metadata!Z177,"not applicable")),AND(IF(Metadata!Z177="",FALSE,TRUE),OR(EXACT(Metadata!Z177,"beer"),EXACT(Metadata!Z177,"cheese"),EXACT(Metadata!Z177,"fresh water"),EXACT(Metadata!Z177,"marine sediment"),EXACT(Metadata!Z177,"sea water"),EXACT(Metadata!Z177,"sediment"),EXACT(Metadata!Z177,"soil"),EXACT(Metadata!Z177,"waste water"))))</f>
        <v>0</v>
      </c>
      <c r="BN177" t="b">
        <f>AND(IF(Metadata!AA177="",FALSE,TRUE),EXACT(Metadata!AA177,"metagenome"))</f>
        <v>0</v>
      </c>
      <c r="BO177" t="b">
        <f>AND(IF(Metadata!AB177="",FALSE,TRUE),EXACT(Metadata!AB177,"256318"))</f>
        <v>0</v>
      </c>
      <c r="BP177" t="b">
        <f>IF(Metadata!AC177="",FALSE,TRUE)</f>
        <v>0</v>
      </c>
      <c r="BQ177" t="b">
        <f>IF(Metadata!AD177="",FALSE,TRUE)</f>
        <v>0</v>
      </c>
    </row>
    <row r="178" spans="1:69" x14ac:dyDescent="0.2">
      <c r="A178" s="4" t="e">
        <f ca="1">IF(B178=" "," ",HYPERLINK(CONCATENATE("#metadata!",ADDRESS(INDEX($AJ$2:$AJ$1001,MATCH(ROWS($AH$2:AH178),$AH$2:$AH$1001,0),0),2)),INDEX($AM$2:$AM$1001,MATCH(ROWS($AH$2:AH178),$AH$2:$AH$1001,0),0)))</f>
        <v>#N/A</v>
      </c>
      <c r="B178" s="5" t="e">
        <f ca="1">IF(OR(INDEX($AI$2:$AI$1001,MATCH(ROWS($AH$2:AH178),$AH$2:$AH$1001,0),1)&gt;=100000,INDEX($AO$1005:$BQ$1005,1,MATCH(COLUMNS($AO$1006:AO1006),$AO$1006:$BQ$1006,0))&gt;=100000), " ",IF(INDEX($AO$2:$BQ$1001,MATCH(ROWS($AH$2:AH178),$AH$2:$AH$1001,0),MATCH(COLUMNS($AO$1006:AO1006),$AO$1006:$BQ$1006,0)), HYPERLINK("#",""), HYPERLINK(CONCATENATE("#Metadata!", ADDRESS(INDEX($AJ$2:$AJ$1001,MATCH(ROWS($AH$2:AH178),$AH$2:$AH$1001,0),0), INDEX($AO$1004:$BQ$1004,1,MATCH(COLUMNS($AO$1006:AO1006),$AO$1006:$BQ$1006,0)))),"Fix")))</f>
        <v>#N/A</v>
      </c>
      <c r="C178" s="5" t="e">
        <f ca="1">IF(OR(INDEX($AI$2:$AI$1001,MATCH(ROWS($AH$2:AH178),$AH$2:$AH$1001,0),1)&gt;=100000,INDEX($AO$1005:$BQ$1005,1,MATCH(COLUMNS($AO$1006:AP1006),$AO$1006:$BQ$1006,0))&gt;=100000), " ",IF(INDEX($AO$2:$BQ$1001,MATCH(ROWS($AH$2:AH178),$AH$2:$AH$1001,0),MATCH(COLUMNS($AO$1006:AP1006),$AO$1006:$BQ$1006,0)), HYPERLINK("#",""), HYPERLINK(CONCATENATE("#Metadata!", ADDRESS(INDEX($AJ$2:$AJ$1001,MATCH(ROWS($AH$2:AH178),$AH$2:$AH$1001,0),0), INDEX($AO$1004:$BQ$1004,1,MATCH(COLUMNS($AO$1006:AP1006),$AO$1006:$BQ$1006,0)))),"Fix")))</f>
        <v>#N/A</v>
      </c>
      <c r="D178" s="5" t="e">
        <f ca="1">IF(OR(INDEX($AI$2:$AI$1001,MATCH(ROWS($AH$2:AH178),$AH$2:$AH$1001,0),1)&gt;=100000,INDEX($AO$1005:$BQ$1005,1,MATCH(COLUMNS($AO$1006:AQ1006),$AO$1006:$BQ$1006,0))&gt;=100000), " ",IF(INDEX($AO$2:$BQ$1001,MATCH(ROWS($AH$2:AH178),$AH$2:$AH$1001,0),MATCH(COLUMNS($AO$1006:AQ1006),$AO$1006:$BQ$1006,0)), HYPERLINK("#",""), HYPERLINK(CONCATENATE("#Metadata!", ADDRESS(INDEX($AJ$2:$AJ$1001,MATCH(ROWS($AH$2:AH178),$AH$2:$AH$1001,0),0), INDEX($AO$1004:$BQ$1004,1,MATCH(COLUMNS($AO$1006:AQ1006),$AO$1006:$BQ$1006,0)))),"Fix")))</f>
        <v>#N/A</v>
      </c>
      <c r="E178" s="5" t="e">
        <f ca="1">IF(OR(INDEX($AI$2:$AI$1001,MATCH(ROWS($AH$2:AH178),$AH$2:$AH$1001,0),1)&gt;=100000,INDEX($AO$1005:$BQ$1005,1,MATCH(COLUMNS($AO$1006:AR1006),$AO$1006:$BQ$1006,0))&gt;=100000), " ",IF(INDEX($AO$2:$BQ$1001,MATCH(ROWS($AH$2:AH178),$AH$2:$AH$1001,0),MATCH(COLUMNS($AO$1006:AR1006),$AO$1006:$BQ$1006,0)), HYPERLINK("#",""), HYPERLINK(CONCATENATE("#Metadata!", ADDRESS(INDEX($AJ$2:$AJ$1001,MATCH(ROWS($AH$2:AH178),$AH$2:$AH$1001,0),0), INDEX($AO$1004:$BQ$1004,1,MATCH(COLUMNS($AO$1006:AR1006),$AO$1006:$BQ$1006,0)))),"Fix")))</f>
        <v>#N/A</v>
      </c>
      <c r="F178" s="5" t="e">
        <f ca="1">IF(OR(INDEX($AI$2:$AI$1001,MATCH(ROWS($AH$2:AH178),$AH$2:$AH$1001,0),1)&gt;=100000,INDEX($AO$1005:$BQ$1005,1,MATCH(COLUMNS($AO$1006:AS1006),$AO$1006:$BQ$1006,0))&gt;=100000), " ",IF(INDEX($AO$2:$BQ$1001,MATCH(ROWS($AH$2:AH178),$AH$2:$AH$1001,0),MATCH(COLUMNS($AO$1006:AS1006),$AO$1006:$BQ$1006,0)), HYPERLINK("#",""), HYPERLINK(CONCATENATE("#Metadata!", ADDRESS(INDEX($AJ$2:$AJ$1001,MATCH(ROWS($AH$2:AH178),$AH$2:$AH$1001,0),0), INDEX($AO$1004:$BQ$1004,1,MATCH(COLUMNS($AO$1006:AS1006),$AO$1006:$BQ$1006,0)))),"Fix")))</f>
        <v>#N/A</v>
      </c>
      <c r="G178" s="5" t="e">
        <f ca="1">IF(OR(INDEX($AI$2:$AI$1001,MATCH(ROWS($AH$2:AH178),$AH$2:$AH$1001,0),1)&gt;=100000,INDEX($AO$1005:$BQ$1005,1,MATCH(COLUMNS($AO$1006:AT1006),$AO$1006:$BQ$1006,0))&gt;=100000), " ",IF(INDEX($AO$2:$BQ$1001,MATCH(ROWS($AH$2:AH178),$AH$2:$AH$1001,0),MATCH(COLUMNS($AO$1006:AT1006),$AO$1006:$BQ$1006,0)), HYPERLINK("#",""), HYPERLINK(CONCATENATE("#Metadata!", ADDRESS(INDEX($AJ$2:$AJ$1001,MATCH(ROWS($AH$2:AH178),$AH$2:$AH$1001,0),0), INDEX($AO$1004:$BQ$1004,1,MATCH(COLUMNS($AO$1006:AT1006),$AO$1006:$BQ$1006,0)))),"Fix")))</f>
        <v>#N/A</v>
      </c>
      <c r="H178" s="5" t="e">
        <f ca="1">IF(OR(INDEX($AI$2:$AI$1001,MATCH(ROWS($AH$2:AH178),$AH$2:$AH$1001,0),1)&gt;=100000,INDEX($AO$1005:$BQ$1005,1,MATCH(COLUMNS($AO$1006:AU1006),$AO$1006:$BQ$1006,0))&gt;=100000), " ",IF(INDEX($AO$2:$BQ$1001,MATCH(ROWS($AH$2:AH178),$AH$2:$AH$1001,0),MATCH(COLUMNS($AO$1006:AU1006),$AO$1006:$BQ$1006,0)), HYPERLINK("#",""), HYPERLINK(CONCATENATE("#Metadata!", ADDRESS(INDEX($AJ$2:$AJ$1001,MATCH(ROWS($AH$2:AH178),$AH$2:$AH$1001,0),0), INDEX($AO$1004:$BQ$1004,1,MATCH(COLUMNS($AO$1006:AU1006),$AO$1006:$BQ$1006,0)))),"Fix")))</f>
        <v>#N/A</v>
      </c>
      <c r="I178" s="5" t="e">
        <f ca="1">IF(OR(INDEX($AI$2:$AI$1001,MATCH(ROWS($AH$2:AH178),$AH$2:$AH$1001,0),1)&gt;=100000,INDEX($AO$1005:$BQ$1005,1,MATCH(COLUMNS($AO$1006:AV1006),$AO$1006:$BQ$1006,0))&gt;=100000), " ",IF(INDEX($AO$2:$BQ$1001,MATCH(ROWS($AH$2:AH178),$AH$2:$AH$1001,0),MATCH(COLUMNS($AO$1006:AV1006),$AO$1006:$BQ$1006,0)), HYPERLINK("#",""), HYPERLINK(CONCATENATE("#Metadata!", ADDRESS(INDEX($AJ$2:$AJ$1001,MATCH(ROWS($AH$2:AH178),$AH$2:$AH$1001,0),0), INDEX($AO$1004:$BQ$1004,1,MATCH(COLUMNS($AO$1006:AV1006),$AO$1006:$BQ$1006,0)))),"Fix")))</f>
        <v>#N/A</v>
      </c>
      <c r="J178" s="5" t="e">
        <f ca="1">IF(OR(INDEX($AI$2:$AI$1001,MATCH(ROWS($AH$2:AH178),$AH$2:$AH$1001,0),1)&gt;=100000,INDEX($AO$1005:$BQ$1005,1,MATCH(COLUMNS($AO$1006:AW1006),$AO$1006:$BQ$1006,0))&gt;=100000), " ",IF(INDEX($AO$2:$BQ$1001,MATCH(ROWS($AH$2:AH178),$AH$2:$AH$1001,0),MATCH(COLUMNS($AO$1006:AW1006),$AO$1006:$BQ$1006,0)), HYPERLINK("#",""), HYPERLINK(CONCATENATE("#Metadata!", ADDRESS(INDEX($AJ$2:$AJ$1001,MATCH(ROWS($AH$2:AH178),$AH$2:$AH$1001,0),0), INDEX($AO$1004:$BQ$1004,1,MATCH(COLUMNS($AO$1006:AW1006),$AO$1006:$BQ$1006,0)))),"Fix")))</f>
        <v>#N/A</v>
      </c>
      <c r="K178" s="5" t="e">
        <f ca="1">IF(OR(INDEX($AI$2:$AI$1001,MATCH(ROWS($AH$2:AH178),$AH$2:$AH$1001,0),1)&gt;=100000,INDEX($AO$1005:$BQ$1005,1,MATCH(COLUMNS($AO$1006:AX1006),$AO$1006:$BQ$1006,0))&gt;=100000), " ",IF(INDEX($AO$2:$BQ$1001,MATCH(ROWS($AH$2:AH178),$AH$2:$AH$1001,0),MATCH(COLUMNS($AO$1006:AX1006),$AO$1006:$BQ$1006,0)), HYPERLINK("#",""), HYPERLINK(CONCATENATE("#Metadata!", ADDRESS(INDEX($AJ$2:$AJ$1001,MATCH(ROWS($AH$2:AH178),$AH$2:$AH$1001,0),0), INDEX($AO$1004:$BQ$1004,1,MATCH(COLUMNS($AO$1006:AX1006),$AO$1006:$BQ$1006,0)))),"Fix")))</f>
        <v>#N/A</v>
      </c>
      <c r="L178" s="5" t="e">
        <f ca="1">IF(OR(INDEX($AI$2:$AI$1001,MATCH(ROWS($AH$2:AH178),$AH$2:$AH$1001,0),1)&gt;=100000,INDEX($AO$1005:$BQ$1005,1,MATCH(COLUMNS($AO$1006:AY1006),$AO$1006:$BQ$1006,0))&gt;=100000), " ",IF(INDEX($AO$2:$BQ$1001,MATCH(ROWS($AH$2:AH178),$AH$2:$AH$1001,0),MATCH(COLUMNS($AO$1006:AY1006),$AO$1006:$BQ$1006,0)), HYPERLINK("#",""), HYPERLINK(CONCATENATE("#Metadata!", ADDRESS(INDEX($AJ$2:$AJ$1001,MATCH(ROWS($AH$2:AH178),$AH$2:$AH$1001,0),0), INDEX($AO$1004:$BQ$1004,1,MATCH(COLUMNS($AO$1006:AY1006),$AO$1006:$BQ$1006,0)))),"Fix")))</f>
        <v>#N/A</v>
      </c>
      <c r="M178" s="5" t="e">
        <f ca="1">IF(OR(INDEX($AI$2:$AI$1001,MATCH(ROWS($AH$2:AH178),$AH$2:$AH$1001,0),1)&gt;=100000,INDEX($AO$1005:$BQ$1005,1,MATCH(COLUMNS($AO$1006:AZ1006),$AO$1006:$BQ$1006,0))&gt;=100000), " ",IF(INDEX($AO$2:$BQ$1001,MATCH(ROWS($AH$2:AH178),$AH$2:$AH$1001,0),MATCH(COLUMNS($AO$1006:AZ1006),$AO$1006:$BQ$1006,0)), HYPERLINK("#",""), HYPERLINK(CONCATENATE("#Metadata!", ADDRESS(INDEX($AJ$2:$AJ$1001,MATCH(ROWS($AH$2:AH178),$AH$2:$AH$1001,0),0), INDEX($AO$1004:$BQ$1004,1,MATCH(COLUMNS($AO$1006:AZ1006),$AO$1006:$BQ$1006,0)))),"Fix")))</f>
        <v>#N/A</v>
      </c>
      <c r="N178" s="5" t="e">
        <f ca="1">IF(OR(INDEX($AI$2:$AI$1001,MATCH(ROWS($AH$2:AH178),$AH$2:$AH$1001,0),1)&gt;=100000,INDEX($AO$1005:$BQ$1005,1,MATCH(COLUMNS($AO$1006:BA1006),$AO$1006:$BQ$1006,0))&gt;=100000), " ",IF(INDEX($AO$2:$BQ$1001,MATCH(ROWS($AH$2:AH178),$AH$2:$AH$1001,0),MATCH(COLUMNS($AO$1006:BA1006),$AO$1006:$BQ$1006,0)), HYPERLINK("#",""), HYPERLINK(CONCATENATE("#Metadata!", ADDRESS(INDEX($AJ$2:$AJ$1001,MATCH(ROWS($AH$2:AH178),$AH$2:$AH$1001,0),0), INDEX($AO$1004:$BQ$1004,1,MATCH(COLUMNS($AO$1006:BA1006),$AO$1006:$BQ$1006,0)))),"Fix")))</f>
        <v>#N/A</v>
      </c>
      <c r="O178" s="5" t="e">
        <f ca="1">IF(OR(INDEX($AI$2:$AI$1001,MATCH(ROWS($AH$2:AH178),$AH$2:$AH$1001,0),1)&gt;=100000,INDEX($AO$1005:$BQ$1005,1,MATCH(COLUMNS($AO$1006:BB1006),$AO$1006:$BQ$1006,0))&gt;=100000), " ",IF(INDEX($AO$2:$BQ$1001,MATCH(ROWS($AH$2:AH178),$AH$2:$AH$1001,0),MATCH(COLUMNS($AO$1006:BB1006),$AO$1006:$BQ$1006,0)), HYPERLINK("#",""), HYPERLINK(CONCATENATE("#Metadata!", ADDRESS(INDEX($AJ$2:$AJ$1001,MATCH(ROWS($AH$2:AH178),$AH$2:$AH$1001,0),0), INDEX($AO$1004:$BQ$1004,1,MATCH(COLUMNS($AO$1006:BB1006),$AO$1006:$BQ$1006,0)))),"Fix")))</f>
        <v>#N/A</v>
      </c>
      <c r="P178" s="5" t="e">
        <f ca="1">IF(OR(INDEX($AI$2:$AI$1001,MATCH(ROWS($AH$2:AH178),$AH$2:$AH$1001,0),1)&gt;=100000,INDEX($AO$1005:$BQ$1005,1,MATCH(COLUMNS($AO$1006:BC1006),$AO$1006:$BQ$1006,0))&gt;=100000), " ",IF(INDEX($AO$2:$BQ$1001,MATCH(ROWS($AH$2:AH178),$AH$2:$AH$1001,0),MATCH(COLUMNS($AO$1006:BC1006),$AO$1006:$BQ$1006,0)), HYPERLINK("#",""), HYPERLINK(CONCATENATE("#Metadata!", ADDRESS(INDEX($AJ$2:$AJ$1001,MATCH(ROWS($AH$2:AH178),$AH$2:$AH$1001,0),0), INDEX($AO$1004:$BQ$1004,1,MATCH(COLUMNS($AO$1006:BC1006),$AO$1006:$BQ$1006,0)))),"Fix")))</f>
        <v>#N/A</v>
      </c>
      <c r="Q178" s="5" t="e">
        <f ca="1">IF(OR(INDEX($AI$2:$AI$1001,MATCH(ROWS($AH$2:AH178),$AH$2:$AH$1001,0),1)&gt;=100000,INDEX($AO$1005:$BQ$1005,1,MATCH(COLUMNS($AO$1006:BD1006),$AO$1006:$BQ$1006,0))&gt;=100000), " ",IF(INDEX($AO$2:$BQ$1001,MATCH(ROWS($AH$2:AH178),$AH$2:$AH$1001,0),MATCH(COLUMNS($AO$1006:BD1006),$AO$1006:$BQ$1006,0)), HYPERLINK("#",""), HYPERLINK(CONCATENATE("#Metadata!", ADDRESS(INDEX($AJ$2:$AJ$1001,MATCH(ROWS($AH$2:AH178),$AH$2:$AH$1001,0),0), INDEX($AO$1004:$BQ$1004,1,MATCH(COLUMNS($AO$1006:BD1006),$AO$1006:$BQ$1006,0)))),"Fix")))</f>
        <v>#N/A</v>
      </c>
      <c r="R178" s="5" t="e">
        <f ca="1">IF(OR(INDEX($AI$2:$AI$1001,MATCH(ROWS($AH$2:AH178),$AH$2:$AH$1001,0),1)&gt;=100000,INDEX($AO$1005:$BQ$1005,1,MATCH(COLUMNS($AO$1006:BE1006),$AO$1006:$BQ$1006,0))&gt;=100000), " ",IF(INDEX($AO$2:$BQ$1001,MATCH(ROWS($AH$2:AH178),$AH$2:$AH$1001,0),MATCH(COLUMNS($AO$1006:BE1006),$AO$1006:$BQ$1006,0)), HYPERLINK("#",""), HYPERLINK(CONCATENATE("#Metadata!", ADDRESS(INDEX($AJ$2:$AJ$1001,MATCH(ROWS($AH$2:AH178),$AH$2:$AH$1001,0),0), INDEX($AO$1004:$BQ$1004,1,MATCH(COLUMNS($AO$1006:BE1006),$AO$1006:$BQ$1006,0)))),"Fix")))</f>
        <v>#N/A</v>
      </c>
      <c r="S178" s="5" t="e">
        <f ca="1">IF(OR(INDEX($AI$2:$AI$1001,MATCH(ROWS($AH$2:AH178),$AH$2:$AH$1001,0),1)&gt;=100000,INDEX($AO$1005:$BQ$1005,1,MATCH(COLUMNS($AO$1006:BF1006),$AO$1006:$BQ$1006,0))&gt;=100000), " ",IF(INDEX($AO$2:$BQ$1001,MATCH(ROWS($AH$2:AH178),$AH$2:$AH$1001,0),MATCH(COLUMNS($AO$1006:BF1006),$AO$1006:$BQ$1006,0)), HYPERLINK("#",""), HYPERLINK(CONCATENATE("#Metadata!", ADDRESS(INDEX($AJ$2:$AJ$1001,MATCH(ROWS($AH$2:AH178),$AH$2:$AH$1001,0),0), INDEX($AO$1004:$BQ$1004,1,MATCH(COLUMNS($AO$1006:BF1006),$AO$1006:$BQ$1006,0)))),"Fix")))</f>
        <v>#N/A</v>
      </c>
      <c r="T178" s="5" t="e">
        <f ca="1">IF(OR(INDEX($AI$2:$AI$1001,MATCH(ROWS($AH$2:AH178),$AH$2:$AH$1001,0),1)&gt;=100000,INDEX($AO$1005:$BQ$1005,1,MATCH(COLUMNS($AO$1006:BG1006),$AO$1006:$BQ$1006,0))&gt;=100000), " ",IF(INDEX($AO$2:$BQ$1001,MATCH(ROWS($AH$2:AH178),$AH$2:$AH$1001,0),MATCH(COLUMNS($AO$1006:BG1006),$AO$1006:$BQ$1006,0)), HYPERLINK("#",""), HYPERLINK(CONCATENATE("#Metadata!", ADDRESS(INDEX($AJ$2:$AJ$1001,MATCH(ROWS($AH$2:AH178),$AH$2:$AH$1001,0),0), INDEX($AO$1004:$BQ$1004,1,MATCH(COLUMNS($AO$1006:BG1006),$AO$1006:$BQ$1006,0)))),"Fix")))</f>
        <v>#N/A</v>
      </c>
      <c r="U178" s="5" t="e">
        <f ca="1">IF(OR(INDEX($AI$2:$AI$1001,MATCH(ROWS($AH$2:AH178),$AH$2:$AH$1001,0),1)&gt;=100000,INDEX($AO$1005:$BQ$1005,1,MATCH(COLUMNS($AO$1006:BH1006),$AO$1006:$BQ$1006,0))&gt;=100000), " ",IF(INDEX($AO$2:$BQ$1001,MATCH(ROWS($AH$2:AH178),$AH$2:$AH$1001,0),MATCH(COLUMNS($AO$1006:BH1006),$AO$1006:$BQ$1006,0)), HYPERLINK("#",""), HYPERLINK(CONCATENATE("#Metadata!", ADDRESS(INDEX($AJ$2:$AJ$1001,MATCH(ROWS($AH$2:AH178),$AH$2:$AH$1001,0),0), INDEX($AO$1004:$BQ$1004,1,MATCH(COLUMNS($AO$1006:BH1006),$AO$1006:$BQ$1006,0)))),"Fix")))</f>
        <v>#N/A</v>
      </c>
      <c r="V178" s="5" t="e">
        <f ca="1">IF(OR(INDEX($AI$2:$AI$1001,MATCH(ROWS($AH$2:AH178),$AH$2:$AH$1001,0),1)&gt;=100000,INDEX($AO$1005:$BQ$1005,1,MATCH(COLUMNS($AO$1006:BI1006),$AO$1006:$BQ$1006,0))&gt;=100000), " ",IF(INDEX($AO$2:$BQ$1001,MATCH(ROWS($AH$2:AH178),$AH$2:$AH$1001,0),MATCH(COLUMNS($AO$1006:BI1006),$AO$1006:$BQ$1006,0)), HYPERLINK("#",""), HYPERLINK(CONCATENATE("#Metadata!", ADDRESS(INDEX($AJ$2:$AJ$1001,MATCH(ROWS($AH$2:AH178),$AH$2:$AH$1001,0),0), INDEX($AO$1004:$BQ$1004,1,MATCH(COLUMNS($AO$1006:BI1006),$AO$1006:$BQ$1006,0)))),"Fix")))</f>
        <v>#N/A</v>
      </c>
      <c r="W178" s="5" t="e">
        <f ca="1">IF(OR(INDEX($AI$2:$AI$1001,MATCH(ROWS($AH$2:AH178),$AH$2:$AH$1001,0),1)&gt;=100000,INDEX($AO$1005:$BQ$1005,1,MATCH(COLUMNS($AO$1006:BJ1006),$AO$1006:$BQ$1006,0))&gt;=100000), " ",IF(INDEX($AO$2:$BQ$1001,MATCH(ROWS($AH$2:AH178),$AH$2:$AH$1001,0),MATCH(COLUMNS($AO$1006:BJ1006),$AO$1006:$BQ$1006,0)), HYPERLINK("#",""), HYPERLINK(CONCATENATE("#Metadata!", ADDRESS(INDEX($AJ$2:$AJ$1001,MATCH(ROWS($AH$2:AH178),$AH$2:$AH$1001,0),0), INDEX($AO$1004:$BQ$1004,1,MATCH(COLUMNS($AO$1006:BJ1006),$AO$1006:$BQ$1006,0)))),"Fix")))</f>
        <v>#N/A</v>
      </c>
      <c r="X178" s="5" t="e">
        <f ca="1">IF(OR(INDEX($AI$2:$AI$1001,MATCH(ROWS($AH$2:AH178),$AH$2:$AH$1001,0),1)&gt;=100000,INDEX($AO$1005:$BQ$1005,1,MATCH(COLUMNS($AO$1006:BK1006),$AO$1006:$BQ$1006,0))&gt;=100000), " ",IF(INDEX($AO$2:$BQ$1001,MATCH(ROWS($AH$2:AH178),$AH$2:$AH$1001,0),MATCH(COLUMNS($AO$1006:BK1006),$AO$1006:$BQ$1006,0)), HYPERLINK("#",""), HYPERLINK(CONCATENATE("#Metadata!", ADDRESS(INDEX($AJ$2:$AJ$1001,MATCH(ROWS($AH$2:AH178),$AH$2:$AH$1001,0),0), INDEX($AO$1004:$BQ$1004,1,MATCH(COLUMNS($AO$1006:BK1006),$AO$1006:$BQ$1006,0)))),"Fix")))</f>
        <v>#N/A</v>
      </c>
      <c r="Y178" s="5" t="e">
        <f ca="1">IF(OR(INDEX($AI$2:$AI$1001,MATCH(ROWS($AH$2:AH178),$AH$2:$AH$1001,0),1)&gt;=100000,INDEX($AO$1005:$BQ$1005,1,MATCH(COLUMNS($AO$1006:BL1006),$AO$1006:$BQ$1006,0))&gt;=100000), " ",IF(INDEX($AO$2:$BQ$1001,MATCH(ROWS($AH$2:AH178),$AH$2:$AH$1001,0),MATCH(COLUMNS($AO$1006:BL1006),$AO$1006:$BQ$1006,0)), HYPERLINK("#",""), HYPERLINK(CONCATENATE("#Metadata!", ADDRESS(INDEX($AJ$2:$AJ$1001,MATCH(ROWS($AH$2:AH178),$AH$2:$AH$1001,0),0), INDEX($AO$1004:$BQ$1004,1,MATCH(COLUMNS($AO$1006:BL1006),$AO$1006:$BQ$1006,0)))),"Fix")))</f>
        <v>#N/A</v>
      </c>
      <c r="Z178" s="5" t="e">
        <f ca="1">IF(OR(INDEX($AI$2:$AI$1001,MATCH(ROWS($AH$2:AH178),$AH$2:$AH$1001,0),1)&gt;=100000,INDEX($AO$1005:$BQ$1005,1,MATCH(COLUMNS($AO$1006:BM1006),$AO$1006:$BQ$1006,0))&gt;=100000), " ",IF(INDEX($AO$2:$BQ$1001,MATCH(ROWS($AH$2:AH178),$AH$2:$AH$1001,0),MATCH(COLUMNS($AO$1006:BM1006),$AO$1006:$BQ$1006,0)), HYPERLINK("#",""), HYPERLINK(CONCATENATE("#Metadata!", ADDRESS(INDEX($AJ$2:$AJ$1001,MATCH(ROWS($AH$2:AH178),$AH$2:$AH$1001,0),0), INDEX($AO$1004:$BQ$1004,1,MATCH(COLUMNS($AO$1006:BM1006),$AO$1006:$BQ$1006,0)))),"Fix")))</f>
        <v>#N/A</v>
      </c>
      <c r="AA178" s="5" t="e">
        <f ca="1">IF(OR(INDEX($AI$2:$AI$1001,MATCH(ROWS($AH$2:AH178),$AH$2:$AH$1001,0),1)&gt;=100000,INDEX($AO$1005:$BQ$1005,1,MATCH(COLUMNS($AO$1006:BN1006),$AO$1006:$BQ$1006,0))&gt;=100000), " ",IF(INDEX($AO$2:$BQ$1001,MATCH(ROWS($AH$2:AH178),$AH$2:$AH$1001,0),MATCH(COLUMNS($AO$1006:BN1006),$AO$1006:$BQ$1006,0)), HYPERLINK("#",""), HYPERLINK(CONCATENATE("#Metadata!", ADDRESS(INDEX($AJ$2:$AJ$1001,MATCH(ROWS($AH$2:AH178),$AH$2:$AH$1001,0),0), INDEX($AO$1004:$BQ$1004,1,MATCH(COLUMNS($AO$1006:BN1006),$AO$1006:$BQ$1006,0)))),"Fix")))</f>
        <v>#N/A</v>
      </c>
      <c r="AB178" s="5" t="e">
        <f ca="1">IF(OR(INDEX($AI$2:$AI$1001,MATCH(ROWS($AH$2:AH178),$AH$2:$AH$1001,0),1)&gt;=100000,INDEX($AO$1005:$BQ$1005,1,MATCH(COLUMNS($AO$1006:BO1006),$AO$1006:$BQ$1006,0))&gt;=100000), " ",IF(INDEX($AO$2:$BQ$1001,MATCH(ROWS($AH$2:AH178),$AH$2:$AH$1001,0),MATCH(COLUMNS($AO$1006:BO1006),$AO$1006:$BQ$1006,0)), HYPERLINK("#",""), HYPERLINK(CONCATENATE("#Metadata!", ADDRESS(INDEX($AJ$2:$AJ$1001,MATCH(ROWS($AH$2:AH178),$AH$2:$AH$1001,0),0), INDEX($AO$1004:$BQ$1004,1,MATCH(COLUMNS($AO$1006:BO1006),$AO$1006:$BQ$1006,0)))),"Fix")))</f>
        <v>#N/A</v>
      </c>
      <c r="AC178" s="5" t="e">
        <f ca="1">IF(OR(INDEX($AI$2:$AI$1001,MATCH(ROWS($AH$2:AH178),$AH$2:$AH$1001,0),1)&gt;=100000,INDEX($AO$1005:$BQ$1005,1,MATCH(COLUMNS($AO$1006:BP1006),$AO$1006:$BQ$1006,0))&gt;=100000), " ",IF(INDEX($AO$2:$BQ$1001,MATCH(ROWS($AH$2:AH178),$AH$2:$AH$1001,0),MATCH(COLUMNS($AO$1006:BP1006),$AO$1006:$BQ$1006,0)), HYPERLINK("#",""), HYPERLINK(CONCATENATE("#Metadata!", ADDRESS(INDEX($AJ$2:$AJ$1001,MATCH(ROWS($AH$2:AH178),$AH$2:$AH$1001,0),0), INDEX($AO$1004:$BQ$1004,1,MATCH(COLUMNS($AO$1006:BP1006),$AO$1006:$BQ$1006,0)))),"Fix")))</f>
        <v>#N/A</v>
      </c>
      <c r="AD178" s="5" t="e">
        <f ca="1">IF(OR(INDEX($AI$2:$AI$1001,MATCH(ROWS($AH$2:AH178),$AH$2:$AH$1001,0),1)&gt;=100000,INDEX($AO$1005:$BQ$1005,1,MATCH(COLUMNS($AO$1006:BQ1006),$AO$1006:$BQ$1006,0))&gt;=100000), " ",IF(INDEX($AO$2:$BQ$1001,MATCH(ROWS($AH$2:AH178),$AH$2:$AH$1001,0),MATCH(COLUMNS($AO$1006:BQ1006),$AO$1006:$BQ$1006,0)), HYPERLINK("#",""), HYPERLINK(CONCATENATE("#Metadata!", ADDRESS(INDEX($AJ$2:$AJ$1001,MATCH(ROWS($AH$2:AH178),$AH$2:$AH$1001,0),0), INDEX($AO$1004:$BQ$1004,1,MATCH(COLUMNS($AO$1006:BQ1006),$AO$1006:$BQ$1006,0)))),"Fix")))</f>
        <v>#REF!</v>
      </c>
      <c r="AH178">
        <f ca="1"/>
        <v>175</v>
      </c>
      <c r="AI178">
        <v>100178</v>
      </c>
      <c r="AJ178">
        <v>178</v>
      </c>
      <c r="AK178" t="b">
        <f t="shared" si="2"/>
        <v>1</v>
      </c>
      <c r="AL178" t="b">
        <f>COUNTBLANK(Metadata!B178:AD178)=COLUMNS(Metadata!B178:AD178)</f>
        <v>1</v>
      </c>
      <c r="AM178" t="str">
        <v/>
      </c>
      <c r="AO178" t="b">
        <f ca="1">AND(IF(Metadata!B178="",FALSE,TRUE),COUNTIF(Metadata!B:B, Metadata!B178) = 1,NOT(ISERROR(SUMPRODUCT(SEARCH(MID(Metadata!B178,ROW(INDIRECT("1:"&amp;LEN(Metadata!B178))), 1),"0123456789abcdefghijklmnopqrstuvwxyzABCDEFGHIJKLMNOPQRSTUVWXYZ.")))))</f>
        <v>0</v>
      </c>
      <c r="AP178" t="b">
        <f>IF(Metadata!C178="",FALSE,TRUE)</f>
        <v>0</v>
      </c>
      <c r="AQ178" t="b">
        <f>IF(Metadata!D178="",FALSE,TRUE)</f>
        <v>0</v>
      </c>
      <c r="AR178" t="b">
        <f ca="1">OR(AND(IF(Metadata!E178="",FALSE,TRUE),OR(EXACT(Metadata!E178,"not collected"),EXACT(Metadata!E178,"not provided"),EXACT(Metadata!E178,"restricted access"))),AND(IF(Metadata!E178="",FALSE,TRUE),AND(AND(IFERROR(INT(LEFT(Metadata!E178,4))&gt;1900,FALSE),IFERROR(INT(LEFT(Metadata!E178,4))&lt;=YEAR(NOW()),FALSE)), OR(MID(Metadata!E178,5,1)="", AND(AND(MID(Metadata!E178,5,1)="-",IFERROR(INT(MID(Metadata!E178,6,1))&gt;=0,FALSE),IFERROR(INT(MID(Metadata!E178,6,1))&lt;=1,FALSE),NOT(MID(Metadata!E178,7,1)=""),IFERROR(INT(MID(Metadata!E178,6,2))&gt;=1,FALSE),IFERROR(INT(MID(Metadata!E178,6,2))&lt;=12,FALSE)), OR(MID(Metadata!E178,8,1)="", AND(AND(MID(Metadata!E178,8,1)="-",IFERROR(INT(MID(Metadata!E178,9,1))&gt;=0,FALSE),IFERROR(INT(MID(Metadata!E178,9,1))&lt;=3,FALSE),NOT(MID(Metadata!E178,10,1)=""),IFERROR(INT(MID(Metadata!E178,9,2))&gt;=1,FALSE),IFERROR(INT(MID(Metadata!E178,9,2))&lt;=31,FALSE)), OR(MID(Metadata!E178,11,1)="", AND(AND(MID(Metadata!E178,11,1)=" ",IFERROR(INT(MID(Metadata!E178,12,1))&gt;=0,FALSE),IFERROR(INT(MID(Metadata!E178,12,1))&lt;=2,FALSE),NOT(MID(Metadata!E178,13,1)=""),IFERROR(INT(MID(Metadata!E178,12,2))&gt;=0,FALSE),IFERROR(INT(MID(Metadata!E178,12,2))&lt;=23,FALSE)), OR(MID(Metadata!E178,14,1)="", AND(AND(MID(Metadata!E178,14,1)=":",IFERROR(INT(MID(Metadata!E178,15,1))&gt;=0,FALSE),IFERROR(INT(MID(Metadata!E178,15,1))&lt;=5,FALSE),NOT(MID(Metadata!E178,16,1)=""),IFERROR(INT(MID(Metadata!E178,15,2))&gt;=0,FALSE),IFERROR(INT(MID(Metadata!E178,15,2))&lt;=59,FALSE)), OR(MID(Metadata!E178,17,1)="", AND(AND(MID(Metadata!E178,17,1)=":",IFERROR(INT(MID(Metadata!E178,18,1))&gt;=0,FALSE),IFERROR(INT(MID(Metadata!E178,18,1))&lt;=5,FALSE),NOT(MID(Metadata!E178,19,1)=""),IFERROR(INT(MID(Metadata!E178,18,2))&gt;=0,FALSE),IFERROR(INT(MID(Metadata!E178,18,2))&lt;=59,FALSE)), LEN(Metadata!E178)&lt;=19)))))))))))))</f>
        <v>0</v>
      </c>
      <c r="AS178" t="b">
        <f>IF(Metadata!F178="",FALSE,TRUE)</f>
        <v>0</v>
      </c>
      <c r="AT178" t="b">
        <f>OR(AND(IF(Metadata!G178="",FALSE,TRUE),OR(EXACT(Metadata!G178,"not collected"),EXACT(Metadata!G178,"not provided"))),AND(IF(Metadata!G178="",FALSE,TRUE),OR(EXACT(Metadata!G178,"TRUE"),EXACT(Metadata!G178,"FALSE"))))</f>
        <v>0</v>
      </c>
      <c r="AU178" t="b">
        <f>OR(AND(IF(Metadata!H178="",FALSE,TRUE),OR(EXACT(Metadata!H178,"not collected"),EXACT(Metadata!H178,"not provided"),EXACT(Metadata!H178,"restricted access"))),AND(IF(Metadata!H178="",FALSE,ISNUMBER(VALUE(Metadata!H178))),Metadata!H178&gt;=-413))</f>
        <v>0</v>
      </c>
      <c r="AV178" t="b">
        <f>AND(IF(Metadata!I178="",FALSE,TRUE),EXACT(Metadata!I178,"meters"))</f>
        <v>0</v>
      </c>
      <c r="AW178" t="b">
        <f>AND(IF(Metadata!J178="",FALSE,TRUE),EXACT(Metadata!J178,"free-living"))</f>
        <v>0</v>
      </c>
      <c r="AX178" t="b">
        <f>AND(IF(Metadata!K178="",FALSE,TRUE),OR(EXACT(Metadata!K178,"saline"),EXACT(Metadata!K178,"non-saline")))</f>
        <v>0</v>
      </c>
      <c r="AY178" t="b">
        <f>AND(IF(Metadata!L178="",FALSE,TRUE),OR(EXACT(Metadata!L178,"sub-surface (non-saline)"),EXACT(Metadata!L178,"surface (non-saline)"),EXACT(Metadata!L178,"water (non-saline)"),EXACT(Metadata!L178,"soil (non-saline)"),EXACT(Metadata!L178,"aerosol (non-saline)"),EXACT(Metadata!L178,"sediment (non-saline)"),EXACT(Metadata!L178,"surface (saline)"),EXACT(Metadata!L178,"water (saline)"),EXACT(Metadata!L178,"hypersaline (saline)"),EXACT(Metadata!L178,"aerosol (saline)"),EXACT(Metadata!L178,"sediment (saline)")))</f>
        <v>0</v>
      </c>
      <c r="AZ178" t="b">
        <f>IF(Metadata!M178="",FALSE,TRUE)</f>
        <v>0</v>
      </c>
      <c r="BA178" t="b">
        <f>IF(Metadata!N178="",FALSE,TRUE)</f>
        <v>0</v>
      </c>
      <c r="BB178" t="b">
        <f>IF(Metadata!O178="",FALSE,TRUE)</f>
        <v>0</v>
      </c>
      <c r="BC178" t="b">
        <f>AND(IF(Metadata!P178="",FALSE,TRUE),OR(EXACT(Metadata!P178,"air"),EXACT(Metadata!P178,"microbial mat/biofilm"),EXACT(Metadata!P178,"misc environment"),EXACT(Metadata!P178,"sediment"),EXACT(Metadata!P178,"soil"),EXACT(Metadata!P178,"wastewater/sludge"),EXACT(Metadata!P178,"water")))</f>
        <v>0</v>
      </c>
      <c r="BD178" t="b">
        <f>IF(Metadata!Q178="",FALSE,TRUE)</f>
        <v>0</v>
      </c>
      <c r="BE178" t="b">
        <f>IF(Metadata!R178="",FALSE,TRUE)</f>
        <v>0</v>
      </c>
      <c r="BF178" t="b">
        <f>OR(AND(IF(Metadata!S178="",FALSE,TRUE),OR(EXACT(Metadata!S178,"not collected"),EXACT(Metadata!S178,"not provided"),EXACT(Metadata!S178,"restricted access"))),AND(IF(Metadata!S178="",FALSE,ISNUMBER(VALUE(Metadata!S178))),Metadata!S178&gt;=-90,Metadata!S178&lt;=90))</f>
        <v>0</v>
      </c>
      <c r="BG178" t="b">
        <f>AND(IF(Metadata!T178="",FALSE,TRUE),EXACT(Metadata!T178,"Decimal degrees"))</f>
        <v>0</v>
      </c>
      <c r="BH178" t="b">
        <f>OR(AND(IF(Metadata!U178="",FALSE,TRUE),OR(EXACT(Metadata!U178,"not applicable"),EXACT(Metadata!U178,"not collected"))),IF(Metadata!U178="",FALSE,TRUE))</f>
        <v>0</v>
      </c>
      <c r="BI178" t="b">
        <f>OR(AND(IF(Metadata!V178="",FALSE,TRUE),OR(EXACT(Metadata!V178,"not collected"),EXACT(Metadata!V178,"not provided"),EXACT(Metadata!V178,"restricted access"))),AND(IF(Metadata!V178="",FALSE,ISNUMBER(VALUE(Metadata!V178))),Metadata!V178&gt;=-180,Metadata!V178&lt;=180))</f>
        <v>0</v>
      </c>
      <c r="BJ178" t="b">
        <f>AND(IF(Metadata!W178="",FALSE,TRUE),EXACT(Metadata!W178,"Decimal degrees"))</f>
        <v>0</v>
      </c>
      <c r="BK178" t="b">
        <f>IF(Metadata!X178="",FALSE,TRUE)</f>
        <v>0</v>
      </c>
      <c r="BL178" t="b">
        <f>OR(AND(IF(Metadata!Y178="",FALSE,TRUE),OR(EXACT(Metadata!Y178,"not collected"),EXACT(Metadata!Y178,"not provided"),EXACT(Metadata!Y178,"restricted access"))),AND(IF(Metadata!Y178="",FALSE,TRUE),OR(EXACT(Metadata!Y178,"TRUE"),EXACT(Metadata!Y178,"FALSE"))))</f>
        <v>0</v>
      </c>
      <c r="BM178" t="b">
        <f>OR(AND(IF(Metadata!Z178="",FALSE,TRUE),EXACT(Metadata!Z178,"not applicable")),AND(IF(Metadata!Z178="",FALSE,TRUE),OR(EXACT(Metadata!Z178,"beer"),EXACT(Metadata!Z178,"cheese"),EXACT(Metadata!Z178,"fresh water"),EXACT(Metadata!Z178,"marine sediment"),EXACT(Metadata!Z178,"sea water"),EXACT(Metadata!Z178,"sediment"),EXACT(Metadata!Z178,"soil"),EXACT(Metadata!Z178,"waste water"))))</f>
        <v>0</v>
      </c>
      <c r="BN178" t="b">
        <f>AND(IF(Metadata!AA178="",FALSE,TRUE),EXACT(Metadata!AA178,"metagenome"))</f>
        <v>0</v>
      </c>
      <c r="BO178" t="b">
        <f>AND(IF(Metadata!AB178="",FALSE,TRUE),EXACT(Metadata!AB178,"256318"))</f>
        <v>0</v>
      </c>
      <c r="BP178" t="b">
        <f>IF(Metadata!AC178="",FALSE,TRUE)</f>
        <v>0</v>
      </c>
      <c r="BQ178" t="b">
        <f>IF(Metadata!AD178="",FALSE,TRUE)</f>
        <v>0</v>
      </c>
    </row>
    <row r="179" spans="1:69" x14ac:dyDescent="0.2">
      <c r="A179" s="4" t="e">
        <f ca="1">IF(B179=" "," ",HYPERLINK(CONCATENATE("#metadata!",ADDRESS(INDEX($AJ$2:$AJ$1001,MATCH(ROWS($AH$2:AH179),$AH$2:$AH$1001,0),0),2)),INDEX($AM$2:$AM$1001,MATCH(ROWS($AH$2:AH179),$AH$2:$AH$1001,0),0)))</f>
        <v>#N/A</v>
      </c>
      <c r="B179" s="5" t="e">
        <f ca="1">IF(OR(INDEX($AI$2:$AI$1001,MATCH(ROWS($AH$2:AH179),$AH$2:$AH$1001,0),1)&gt;=100000,INDEX($AO$1005:$BQ$1005,1,MATCH(COLUMNS($AO$1006:AO1006),$AO$1006:$BQ$1006,0))&gt;=100000), " ",IF(INDEX($AO$2:$BQ$1001,MATCH(ROWS($AH$2:AH179),$AH$2:$AH$1001,0),MATCH(COLUMNS($AO$1006:AO1006),$AO$1006:$BQ$1006,0)), HYPERLINK("#",""), HYPERLINK(CONCATENATE("#Metadata!", ADDRESS(INDEX($AJ$2:$AJ$1001,MATCH(ROWS($AH$2:AH179),$AH$2:$AH$1001,0),0), INDEX($AO$1004:$BQ$1004,1,MATCH(COLUMNS($AO$1006:AO1006),$AO$1006:$BQ$1006,0)))),"Fix")))</f>
        <v>#N/A</v>
      </c>
      <c r="C179" s="5" t="e">
        <f ca="1">IF(OR(INDEX($AI$2:$AI$1001,MATCH(ROWS($AH$2:AH179),$AH$2:$AH$1001,0),1)&gt;=100000,INDEX($AO$1005:$BQ$1005,1,MATCH(COLUMNS($AO$1006:AP1006),$AO$1006:$BQ$1006,0))&gt;=100000), " ",IF(INDEX($AO$2:$BQ$1001,MATCH(ROWS($AH$2:AH179),$AH$2:$AH$1001,0),MATCH(COLUMNS($AO$1006:AP1006),$AO$1006:$BQ$1006,0)), HYPERLINK("#",""), HYPERLINK(CONCATENATE("#Metadata!", ADDRESS(INDEX($AJ$2:$AJ$1001,MATCH(ROWS($AH$2:AH179),$AH$2:$AH$1001,0),0), INDEX($AO$1004:$BQ$1004,1,MATCH(COLUMNS($AO$1006:AP1006),$AO$1006:$BQ$1006,0)))),"Fix")))</f>
        <v>#N/A</v>
      </c>
      <c r="D179" s="5" t="e">
        <f ca="1">IF(OR(INDEX($AI$2:$AI$1001,MATCH(ROWS($AH$2:AH179),$AH$2:$AH$1001,0),1)&gt;=100000,INDEX($AO$1005:$BQ$1005,1,MATCH(COLUMNS($AO$1006:AQ1006),$AO$1006:$BQ$1006,0))&gt;=100000), " ",IF(INDEX($AO$2:$BQ$1001,MATCH(ROWS($AH$2:AH179),$AH$2:$AH$1001,0),MATCH(COLUMNS($AO$1006:AQ1006),$AO$1006:$BQ$1006,0)), HYPERLINK("#",""), HYPERLINK(CONCATENATE("#Metadata!", ADDRESS(INDEX($AJ$2:$AJ$1001,MATCH(ROWS($AH$2:AH179),$AH$2:$AH$1001,0),0), INDEX($AO$1004:$BQ$1004,1,MATCH(COLUMNS($AO$1006:AQ1006),$AO$1006:$BQ$1006,0)))),"Fix")))</f>
        <v>#N/A</v>
      </c>
      <c r="E179" s="5" t="e">
        <f ca="1">IF(OR(INDEX($AI$2:$AI$1001,MATCH(ROWS($AH$2:AH179),$AH$2:$AH$1001,0),1)&gt;=100000,INDEX($AO$1005:$BQ$1005,1,MATCH(COLUMNS($AO$1006:AR1006),$AO$1006:$BQ$1006,0))&gt;=100000), " ",IF(INDEX($AO$2:$BQ$1001,MATCH(ROWS($AH$2:AH179),$AH$2:$AH$1001,0),MATCH(COLUMNS($AO$1006:AR1006),$AO$1006:$BQ$1006,0)), HYPERLINK("#",""), HYPERLINK(CONCATENATE("#Metadata!", ADDRESS(INDEX($AJ$2:$AJ$1001,MATCH(ROWS($AH$2:AH179),$AH$2:$AH$1001,0),0), INDEX($AO$1004:$BQ$1004,1,MATCH(COLUMNS($AO$1006:AR1006),$AO$1006:$BQ$1006,0)))),"Fix")))</f>
        <v>#N/A</v>
      </c>
      <c r="F179" s="5" t="e">
        <f ca="1">IF(OR(INDEX($AI$2:$AI$1001,MATCH(ROWS($AH$2:AH179),$AH$2:$AH$1001,0),1)&gt;=100000,INDEX($AO$1005:$BQ$1005,1,MATCH(COLUMNS($AO$1006:AS1006),$AO$1006:$BQ$1006,0))&gt;=100000), " ",IF(INDEX($AO$2:$BQ$1001,MATCH(ROWS($AH$2:AH179),$AH$2:$AH$1001,0),MATCH(COLUMNS($AO$1006:AS1006),$AO$1006:$BQ$1006,0)), HYPERLINK("#",""), HYPERLINK(CONCATENATE("#Metadata!", ADDRESS(INDEX($AJ$2:$AJ$1001,MATCH(ROWS($AH$2:AH179),$AH$2:$AH$1001,0),0), INDEX($AO$1004:$BQ$1004,1,MATCH(COLUMNS($AO$1006:AS1006),$AO$1006:$BQ$1006,0)))),"Fix")))</f>
        <v>#N/A</v>
      </c>
      <c r="G179" s="5" t="e">
        <f ca="1">IF(OR(INDEX($AI$2:$AI$1001,MATCH(ROWS($AH$2:AH179),$AH$2:$AH$1001,0),1)&gt;=100000,INDEX($AO$1005:$BQ$1005,1,MATCH(COLUMNS($AO$1006:AT1006),$AO$1006:$BQ$1006,0))&gt;=100000), " ",IF(INDEX($AO$2:$BQ$1001,MATCH(ROWS($AH$2:AH179),$AH$2:$AH$1001,0),MATCH(COLUMNS($AO$1006:AT1006),$AO$1006:$BQ$1006,0)), HYPERLINK("#",""), HYPERLINK(CONCATENATE("#Metadata!", ADDRESS(INDEX($AJ$2:$AJ$1001,MATCH(ROWS($AH$2:AH179),$AH$2:$AH$1001,0),0), INDEX($AO$1004:$BQ$1004,1,MATCH(COLUMNS($AO$1006:AT1006),$AO$1006:$BQ$1006,0)))),"Fix")))</f>
        <v>#N/A</v>
      </c>
      <c r="H179" s="5" t="e">
        <f ca="1">IF(OR(INDEX($AI$2:$AI$1001,MATCH(ROWS($AH$2:AH179),$AH$2:$AH$1001,0),1)&gt;=100000,INDEX($AO$1005:$BQ$1005,1,MATCH(COLUMNS($AO$1006:AU1006),$AO$1006:$BQ$1006,0))&gt;=100000), " ",IF(INDEX($AO$2:$BQ$1001,MATCH(ROWS($AH$2:AH179),$AH$2:$AH$1001,0),MATCH(COLUMNS($AO$1006:AU1006),$AO$1006:$BQ$1006,0)), HYPERLINK("#",""), HYPERLINK(CONCATENATE("#Metadata!", ADDRESS(INDEX($AJ$2:$AJ$1001,MATCH(ROWS($AH$2:AH179),$AH$2:$AH$1001,0),0), INDEX($AO$1004:$BQ$1004,1,MATCH(COLUMNS($AO$1006:AU1006),$AO$1006:$BQ$1006,0)))),"Fix")))</f>
        <v>#N/A</v>
      </c>
      <c r="I179" s="5" t="e">
        <f ca="1">IF(OR(INDEX($AI$2:$AI$1001,MATCH(ROWS($AH$2:AH179),$AH$2:$AH$1001,0),1)&gt;=100000,INDEX($AO$1005:$BQ$1005,1,MATCH(COLUMNS($AO$1006:AV1006),$AO$1006:$BQ$1006,0))&gt;=100000), " ",IF(INDEX($AO$2:$BQ$1001,MATCH(ROWS($AH$2:AH179),$AH$2:$AH$1001,0),MATCH(COLUMNS($AO$1006:AV1006),$AO$1006:$BQ$1006,0)), HYPERLINK("#",""), HYPERLINK(CONCATENATE("#Metadata!", ADDRESS(INDEX($AJ$2:$AJ$1001,MATCH(ROWS($AH$2:AH179),$AH$2:$AH$1001,0),0), INDEX($AO$1004:$BQ$1004,1,MATCH(COLUMNS($AO$1006:AV1006),$AO$1006:$BQ$1006,0)))),"Fix")))</f>
        <v>#N/A</v>
      </c>
      <c r="J179" s="5" t="e">
        <f ca="1">IF(OR(INDEX($AI$2:$AI$1001,MATCH(ROWS($AH$2:AH179),$AH$2:$AH$1001,0),1)&gt;=100000,INDEX($AO$1005:$BQ$1005,1,MATCH(COLUMNS($AO$1006:AW1006),$AO$1006:$BQ$1006,0))&gt;=100000), " ",IF(INDEX($AO$2:$BQ$1001,MATCH(ROWS($AH$2:AH179),$AH$2:$AH$1001,0),MATCH(COLUMNS($AO$1006:AW1006),$AO$1006:$BQ$1006,0)), HYPERLINK("#",""), HYPERLINK(CONCATENATE("#Metadata!", ADDRESS(INDEX($AJ$2:$AJ$1001,MATCH(ROWS($AH$2:AH179),$AH$2:$AH$1001,0),0), INDEX($AO$1004:$BQ$1004,1,MATCH(COLUMNS($AO$1006:AW1006),$AO$1006:$BQ$1006,0)))),"Fix")))</f>
        <v>#N/A</v>
      </c>
      <c r="K179" s="5" t="e">
        <f ca="1">IF(OR(INDEX($AI$2:$AI$1001,MATCH(ROWS($AH$2:AH179),$AH$2:$AH$1001,0),1)&gt;=100000,INDEX($AO$1005:$BQ$1005,1,MATCH(COLUMNS($AO$1006:AX1006),$AO$1006:$BQ$1006,0))&gt;=100000), " ",IF(INDEX($AO$2:$BQ$1001,MATCH(ROWS($AH$2:AH179),$AH$2:$AH$1001,0),MATCH(COLUMNS($AO$1006:AX1006),$AO$1006:$BQ$1006,0)), HYPERLINK("#",""), HYPERLINK(CONCATENATE("#Metadata!", ADDRESS(INDEX($AJ$2:$AJ$1001,MATCH(ROWS($AH$2:AH179),$AH$2:$AH$1001,0),0), INDEX($AO$1004:$BQ$1004,1,MATCH(COLUMNS($AO$1006:AX1006),$AO$1006:$BQ$1006,0)))),"Fix")))</f>
        <v>#N/A</v>
      </c>
      <c r="L179" s="5" t="e">
        <f ca="1">IF(OR(INDEX($AI$2:$AI$1001,MATCH(ROWS($AH$2:AH179),$AH$2:$AH$1001,0),1)&gt;=100000,INDEX($AO$1005:$BQ$1005,1,MATCH(COLUMNS($AO$1006:AY1006),$AO$1006:$BQ$1006,0))&gt;=100000), " ",IF(INDEX($AO$2:$BQ$1001,MATCH(ROWS($AH$2:AH179),$AH$2:$AH$1001,0),MATCH(COLUMNS($AO$1006:AY1006),$AO$1006:$BQ$1006,0)), HYPERLINK("#",""), HYPERLINK(CONCATENATE("#Metadata!", ADDRESS(INDEX($AJ$2:$AJ$1001,MATCH(ROWS($AH$2:AH179),$AH$2:$AH$1001,0),0), INDEX($AO$1004:$BQ$1004,1,MATCH(COLUMNS($AO$1006:AY1006),$AO$1006:$BQ$1006,0)))),"Fix")))</f>
        <v>#N/A</v>
      </c>
      <c r="M179" s="5" t="e">
        <f ca="1">IF(OR(INDEX($AI$2:$AI$1001,MATCH(ROWS($AH$2:AH179),$AH$2:$AH$1001,0),1)&gt;=100000,INDEX($AO$1005:$BQ$1005,1,MATCH(COLUMNS($AO$1006:AZ1006),$AO$1006:$BQ$1006,0))&gt;=100000), " ",IF(INDEX($AO$2:$BQ$1001,MATCH(ROWS($AH$2:AH179),$AH$2:$AH$1001,0),MATCH(COLUMNS($AO$1006:AZ1006),$AO$1006:$BQ$1006,0)), HYPERLINK("#",""), HYPERLINK(CONCATENATE("#Metadata!", ADDRESS(INDEX($AJ$2:$AJ$1001,MATCH(ROWS($AH$2:AH179),$AH$2:$AH$1001,0),0), INDEX($AO$1004:$BQ$1004,1,MATCH(COLUMNS($AO$1006:AZ1006),$AO$1006:$BQ$1006,0)))),"Fix")))</f>
        <v>#N/A</v>
      </c>
      <c r="N179" s="5" t="e">
        <f ca="1">IF(OR(INDEX($AI$2:$AI$1001,MATCH(ROWS($AH$2:AH179),$AH$2:$AH$1001,0),1)&gt;=100000,INDEX($AO$1005:$BQ$1005,1,MATCH(COLUMNS($AO$1006:BA1006),$AO$1006:$BQ$1006,0))&gt;=100000), " ",IF(INDEX($AO$2:$BQ$1001,MATCH(ROWS($AH$2:AH179),$AH$2:$AH$1001,0),MATCH(COLUMNS($AO$1006:BA1006),$AO$1006:$BQ$1006,0)), HYPERLINK("#",""), HYPERLINK(CONCATENATE("#Metadata!", ADDRESS(INDEX($AJ$2:$AJ$1001,MATCH(ROWS($AH$2:AH179),$AH$2:$AH$1001,0),0), INDEX($AO$1004:$BQ$1004,1,MATCH(COLUMNS($AO$1006:BA1006),$AO$1006:$BQ$1006,0)))),"Fix")))</f>
        <v>#N/A</v>
      </c>
      <c r="O179" s="5" t="e">
        <f ca="1">IF(OR(INDEX($AI$2:$AI$1001,MATCH(ROWS($AH$2:AH179),$AH$2:$AH$1001,0),1)&gt;=100000,INDEX($AO$1005:$BQ$1005,1,MATCH(COLUMNS($AO$1006:BB1006),$AO$1006:$BQ$1006,0))&gt;=100000), " ",IF(INDEX($AO$2:$BQ$1001,MATCH(ROWS($AH$2:AH179),$AH$2:$AH$1001,0),MATCH(COLUMNS($AO$1006:BB1006),$AO$1006:$BQ$1006,0)), HYPERLINK("#",""), HYPERLINK(CONCATENATE("#Metadata!", ADDRESS(INDEX($AJ$2:$AJ$1001,MATCH(ROWS($AH$2:AH179),$AH$2:$AH$1001,0),0), INDEX($AO$1004:$BQ$1004,1,MATCH(COLUMNS($AO$1006:BB1006),$AO$1006:$BQ$1006,0)))),"Fix")))</f>
        <v>#N/A</v>
      </c>
      <c r="P179" s="5" t="e">
        <f ca="1">IF(OR(INDEX($AI$2:$AI$1001,MATCH(ROWS($AH$2:AH179),$AH$2:$AH$1001,0),1)&gt;=100000,INDEX($AO$1005:$BQ$1005,1,MATCH(COLUMNS($AO$1006:BC1006),$AO$1006:$BQ$1006,0))&gt;=100000), " ",IF(INDEX($AO$2:$BQ$1001,MATCH(ROWS($AH$2:AH179),$AH$2:$AH$1001,0),MATCH(COLUMNS($AO$1006:BC1006),$AO$1006:$BQ$1006,0)), HYPERLINK("#",""), HYPERLINK(CONCATENATE("#Metadata!", ADDRESS(INDEX($AJ$2:$AJ$1001,MATCH(ROWS($AH$2:AH179),$AH$2:$AH$1001,0),0), INDEX($AO$1004:$BQ$1004,1,MATCH(COLUMNS($AO$1006:BC1006),$AO$1006:$BQ$1006,0)))),"Fix")))</f>
        <v>#N/A</v>
      </c>
      <c r="Q179" s="5" t="e">
        <f ca="1">IF(OR(INDEX($AI$2:$AI$1001,MATCH(ROWS($AH$2:AH179),$AH$2:$AH$1001,0),1)&gt;=100000,INDEX($AO$1005:$BQ$1005,1,MATCH(COLUMNS($AO$1006:BD1006),$AO$1006:$BQ$1006,0))&gt;=100000), " ",IF(INDEX($AO$2:$BQ$1001,MATCH(ROWS($AH$2:AH179),$AH$2:$AH$1001,0),MATCH(COLUMNS($AO$1006:BD1006),$AO$1006:$BQ$1006,0)), HYPERLINK("#",""), HYPERLINK(CONCATENATE("#Metadata!", ADDRESS(INDEX($AJ$2:$AJ$1001,MATCH(ROWS($AH$2:AH179),$AH$2:$AH$1001,0),0), INDEX($AO$1004:$BQ$1004,1,MATCH(COLUMNS($AO$1006:BD1006),$AO$1006:$BQ$1006,0)))),"Fix")))</f>
        <v>#N/A</v>
      </c>
      <c r="R179" s="5" t="e">
        <f ca="1">IF(OR(INDEX($AI$2:$AI$1001,MATCH(ROWS($AH$2:AH179),$AH$2:$AH$1001,0),1)&gt;=100000,INDEX($AO$1005:$BQ$1005,1,MATCH(COLUMNS($AO$1006:BE1006),$AO$1006:$BQ$1006,0))&gt;=100000), " ",IF(INDEX($AO$2:$BQ$1001,MATCH(ROWS($AH$2:AH179),$AH$2:$AH$1001,0),MATCH(COLUMNS($AO$1006:BE1006),$AO$1006:$BQ$1006,0)), HYPERLINK("#",""), HYPERLINK(CONCATENATE("#Metadata!", ADDRESS(INDEX($AJ$2:$AJ$1001,MATCH(ROWS($AH$2:AH179),$AH$2:$AH$1001,0),0), INDEX($AO$1004:$BQ$1004,1,MATCH(COLUMNS($AO$1006:BE1006),$AO$1006:$BQ$1006,0)))),"Fix")))</f>
        <v>#N/A</v>
      </c>
      <c r="S179" s="5" t="e">
        <f ca="1">IF(OR(INDEX($AI$2:$AI$1001,MATCH(ROWS($AH$2:AH179),$AH$2:$AH$1001,0),1)&gt;=100000,INDEX($AO$1005:$BQ$1005,1,MATCH(COLUMNS($AO$1006:BF1006),$AO$1006:$BQ$1006,0))&gt;=100000), " ",IF(INDEX($AO$2:$BQ$1001,MATCH(ROWS($AH$2:AH179),$AH$2:$AH$1001,0),MATCH(COLUMNS($AO$1006:BF1006),$AO$1006:$BQ$1006,0)), HYPERLINK("#",""), HYPERLINK(CONCATENATE("#Metadata!", ADDRESS(INDEX($AJ$2:$AJ$1001,MATCH(ROWS($AH$2:AH179),$AH$2:$AH$1001,0),0), INDEX($AO$1004:$BQ$1004,1,MATCH(COLUMNS($AO$1006:BF1006),$AO$1006:$BQ$1006,0)))),"Fix")))</f>
        <v>#N/A</v>
      </c>
      <c r="T179" s="5" t="e">
        <f ca="1">IF(OR(INDEX($AI$2:$AI$1001,MATCH(ROWS($AH$2:AH179),$AH$2:$AH$1001,0),1)&gt;=100000,INDEX($AO$1005:$BQ$1005,1,MATCH(COLUMNS($AO$1006:BG1006),$AO$1006:$BQ$1006,0))&gt;=100000), " ",IF(INDEX($AO$2:$BQ$1001,MATCH(ROWS($AH$2:AH179),$AH$2:$AH$1001,0),MATCH(COLUMNS($AO$1006:BG1006),$AO$1006:$BQ$1006,0)), HYPERLINK("#",""), HYPERLINK(CONCATENATE("#Metadata!", ADDRESS(INDEX($AJ$2:$AJ$1001,MATCH(ROWS($AH$2:AH179),$AH$2:$AH$1001,0),0), INDEX($AO$1004:$BQ$1004,1,MATCH(COLUMNS($AO$1006:BG1006),$AO$1006:$BQ$1006,0)))),"Fix")))</f>
        <v>#N/A</v>
      </c>
      <c r="U179" s="5" t="e">
        <f ca="1">IF(OR(INDEX($AI$2:$AI$1001,MATCH(ROWS($AH$2:AH179),$AH$2:$AH$1001,0),1)&gt;=100000,INDEX($AO$1005:$BQ$1005,1,MATCH(COLUMNS($AO$1006:BH1006),$AO$1006:$BQ$1006,0))&gt;=100000), " ",IF(INDEX($AO$2:$BQ$1001,MATCH(ROWS($AH$2:AH179),$AH$2:$AH$1001,0),MATCH(COLUMNS($AO$1006:BH1006),$AO$1006:$BQ$1006,0)), HYPERLINK("#",""), HYPERLINK(CONCATENATE("#Metadata!", ADDRESS(INDEX($AJ$2:$AJ$1001,MATCH(ROWS($AH$2:AH179),$AH$2:$AH$1001,0),0), INDEX($AO$1004:$BQ$1004,1,MATCH(COLUMNS($AO$1006:BH1006),$AO$1006:$BQ$1006,0)))),"Fix")))</f>
        <v>#N/A</v>
      </c>
      <c r="V179" s="5" t="e">
        <f ca="1">IF(OR(INDEX($AI$2:$AI$1001,MATCH(ROWS($AH$2:AH179),$AH$2:$AH$1001,0),1)&gt;=100000,INDEX($AO$1005:$BQ$1005,1,MATCH(COLUMNS($AO$1006:BI1006),$AO$1006:$BQ$1006,0))&gt;=100000), " ",IF(INDEX($AO$2:$BQ$1001,MATCH(ROWS($AH$2:AH179),$AH$2:$AH$1001,0),MATCH(COLUMNS($AO$1006:BI1006),$AO$1006:$BQ$1006,0)), HYPERLINK("#",""), HYPERLINK(CONCATENATE("#Metadata!", ADDRESS(INDEX($AJ$2:$AJ$1001,MATCH(ROWS($AH$2:AH179),$AH$2:$AH$1001,0),0), INDEX($AO$1004:$BQ$1004,1,MATCH(COLUMNS($AO$1006:BI1006),$AO$1006:$BQ$1006,0)))),"Fix")))</f>
        <v>#N/A</v>
      </c>
      <c r="W179" s="5" t="e">
        <f ca="1">IF(OR(INDEX($AI$2:$AI$1001,MATCH(ROWS($AH$2:AH179),$AH$2:$AH$1001,0),1)&gt;=100000,INDEX($AO$1005:$BQ$1005,1,MATCH(COLUMNS($AO$1006:BJ1006),$AO$1006:$BQ$1006,0))&gt;=100000), " ",IF(INDEX($AO$2:$BQ$1001,MATCH(ROWS($AH$2:AH179),$AH$2:$AH$1001,0),MATCH(COLUMNS($AO$1006:BJ1006),$AO$1006:$BQ$1006,0)), HYPERLINK("#",""), HYPERLINK(CONCATENATE("#Metadata!", ADDRESS(INDEX($AJ$2:$AJ$1001,MATCH(ROWS($AH$2:AH179),$AH$2:$AH$1001,0),0), INDEX($AO$1004:$BQ$1004,1,MATCH(COLUMNS($AO$1006:BJ1006),$AO$1006:$BQ$1006,0)))),"Fix")))</f>
        <v>#N/A</v>
      </c>
      <c r="X179" s="5" t="e">
        <f ca="1">IF(OR(INDEX($AI$2:$AI$1001,MATCH(ROWS($AH$2:AH179),$AH$2:$AH$1001,0),1)&gt;=100000,INDEX($AO$1005:$BQ$1005,1,MATCH(COLUMNS($AO$1006:BK1006),$AO$1006:$BQ$1006,0))&gt;=100000), " ",IF(INDEX($AO$2:$BQ$1001,MATCH(ROWS($AH$2:AH179),$AH$2:$AH$1001,0),MATCH(COLUMNS($AO$1006:BK1006),$AO$1006:$BQ$1006,0)), HYPERLINK("#",""), HYPERLINK(CONCATENATE("#Metadata!", ADDRESS(INDEX($AJ$2:$AJ$1001,MATCH(ROWS($AH$2:AH179),$AH$2:$AH$1001,0),0), INDEX($AO$1004:$BQ$1004,1,MATCH(COLUMNS($AO$1006:BK1006),$AO$1006:$BQ$1006,0)))),"Fix")))</f>
        <v>#N/A</v>
      </c>
      <c r="Y179" s="5" t="e">
        <f ca="1">IF(OR(INDEX($AI$2:$AI$1001,MATCH(ROWS($AH$2:AH179),$AH$2:$AH$1001,0),1)&gt;=100000,INDEX($AO$1005:$BQ$1005,1,MATCH(COLUMNS($AO$1006:BL1006),$AO$1006:$BQ$1006,0))&gt;=100000), " ",IF(INDEX($AO$2:$BQ$1001,MATCH(ROWS($AH$2:AH179),$AH$2:$AH$1001,0),MATCH(COLUMNS($AO$1006:BL1006),$AO$1006:$BQ$1006,0)), HYPERLINK("#",""), HYPERLINK(CONCATENATE("#Metadata!", ADDRESS(INDEX($AJ$2:$AJ$1001,MATCH(ROWS($AH$2:AH179),$AH$2:$AH$1001,0),0), INDEX($AO$1004:$BQ$1004,1,MATCH(COLUMNS($AO$1006:BL1006),$AO$1006:$BQ$1006,0)))),"Fix")))</f>
        <v>#N/A</v>
      </c>
      <c r="Z179" s="5" t="e">
        <f ca="1">IF(OR(INDEX($AI$2:$AI$1001,MATCH(ROWS($AH$2:AH179),$AH$2:$AH$1001,0),1)&gt;=100000,INDEX($AO$1005:$BQ$1005,1,MATCH(COLUMNS($AO$1006:BM1006),$AO$1006:$BQ$1006,0))&gt;=100000), " ",IF(INDEX($AO$2:$BQ$1001,MATCH(ROWS($AH$2:AH179),$AH$2:$AH$1001,0),MATCH(COLUMNS($AO$1006:BM1006),$AO$1006:$BQ$1006,0)), HYPERLINK("#",""), HYPERLINK(CONCATENATE("#Metadata!", ADDRESS(INDEX($AJ$2:$AJ$1001,MATCH(ROWS($AH$2:AH179),$AH$2:$AH$1001,0),0), INDEX($AO$1004:$BQ$1004,1,MATCH(COLUMNS($AO$1006:BM1006),$AO$1006:$BQ$1006,0)))),"Fix")))</f>
        <v>#N/A</v>
      </c>
      <c r="AA179" s="5" t="e">
        <f ca="1">IF(OR(INDEX($AI$2:$AI$1001,MATCH(ROWS($AH$2:AH179),$AH$2:$AH$1001,0),1)&gt;=100000,INDEX($AO$1005:$BQ$1005,1,MATCH(COLUMNS($AO$1006:BN1006),$AO$1006:$BQ$1006,0))&gt;=100000), " ",IF(INDEX($AO$2:$BQ$1001,MATCH(ROWS($AH$2:AH179),$AH$2:$AH$1001,0),MATCH(COLUMNS($AO$1006:BN1006),$AO$1006:$BQ$1006,0)), HYPERLINK("#",""), HYPERLINK(CONCATENATE("#Metadata!", ADDRESS(INDEX($AJ$2:$AJ$1001,MATCH(ROWS($AH$2:AH179),$AH$2:$AH$1001,0),0), INDEX($AO$1004:$BQ$1004,1,MATCH(COLUMNS($AO$1006:BN1006),$AO$1006:$BQ$1006,0)))),"Fix")))</f>
        <v>#N/A</v>
      </c>
      <c r="AB179" s="5" t="e">
        <f ca="1">IF(OR(INDEX($AI$2:$AI$1001,MATCH(ROWS($AH$2:AH179),$AH$2:$AH$1001,0),1)&gt;=100000,INDEX($AO$1005:$BQ$1005,1,MATCH(COLUMNS($AO$1006:BO1006),$AO$1006:$BQ$1006,0))&gt;=100000), " ",IF(INDEX($AO$2:$BQ$1001,MATCH(ROWS($AH$2:AH179),$AH$2:$AH$1001,0),MATCH(COLUMNS($AO$1006:BO1006),$AO$1006:$BQ$1006,0)), HYPERLINK("#",""), HYPERLINK(CONCATENATE("#Metadata!", ADDRESS(INDEX($AJ$2:$AJ$1001,MATCH(ROWS($AH$2:AH179),$AH$2:$AH$1001,0),0), INDEX($AO$1004:$BQ$1004,1,MATCH(COLUMNS($AO$1006:BO1006),$AO$1006:$BQ$1006,0)))),"Fix")))</f>
        <v>#N/A</v>
      </c>
      <c r="AC179" s="5" t="e">
        <f ca="1">IF(OR(INDEX($AI$2:$AI$1001,MATCH(ROWS($AH$2:AH179),$AH$2:$AH$1001,0),1)&gt;=100000,INDEX($AO$1005:$BQ$1005,1,MATCH(COLUMNS($AO$1006:BP1006),$AO$1006:$BQ$1006,0))&gt;=100000), " ",IF(INDEX($AO$2:$BQ$1001,MATCH(ROWS($AH$2:AH179),$AH$2:$AH$1001,0),MATCH(COLUMNS($AO$1006:BP1006),$AO$1006:$BQ$1006,0)), HYPERLINK("#",""), HYPERLINK(CONCATENATE("#Metadata!", ADDRESS(INDEX($AJ$2:$AJ$1001,MATCH(ROWS($AH$2:AH179),$AH$2:$AH$1001,0),0), INDEX($AO$1004:$BQ$1004,1,MATCH(COLUMNS($AO$1006:BP1006),$AO$1006:$BQ$1006,0)))),"Fix")))</f>
        <v>#N/A</v>
      </c>
      <c r="AD179" s="5" t="e">
        <f ca="1">IF(OR(INDEX($AI$2:$AI$1001,MATCH(ROWS($AH$2:AH179),$AH$2:$AH$1001,0),1)&gt;=100000,INDEX($AO$1005:$BQ$1005,1,MATCH(COLUMNS($AO$1006:BQ1006),$AO$1006:$BQ$1006,0))&gt;=100000), " ",IF(INDEX($AO$2:$BQ$1001,MATCH(ROWS($AH$2:AH179),$AH$2:$AH$1001,0),MATCH(COLUMNS($AO$1006:BQ1006),$AO$1006:$BQ$1006,0)), HYPERLINK("#",""), HYPERLINK(CONCATENATE("#Metadata!", ADDRESS(INDEX($AJ$2:$AJ$1001,MATCH(ROWS($AH$2:AH179),$AH$2:$AH$1001,0),0), INDEX($AO$1004:$BQ$1004,1,MATCH(COLUMNS($AO$1006:BQ1006),$AO$1006:$BQ$1006,0)))),"Fix")))</f>
        <v>#REF!</v>
      </c>
      <c r="AH179">
        <f ca="1"/>
        <v>176</v>
      </c>
      <c r="AI179">
        <v>100179</v>
      </c>
      <c r="AJ179">
        <v>179</v>
      </c>
      <c r="AK179" t="b">
        <f t="shared" si="2"/>
        <v>1</v>
      </c>
      <c r="AL179" t="b">
        <f>COUNTBLANK(Metadata!B179:AD179)=COLUMNS(Metadata!B179:AD179)</f>
        <v>1</v>
      </c>
      <c r="AM179" t="str">
        <v/>
      </c>
      <c r="AO179" t="b">
        <f ca="1">AND(IF(Metadata!B179="",FALSE,TRUE),COUNTIF(Metadata!B:B, Metadata!B179) = 1,NOT(ISERROR(SUMPRODUCT(SEARCH(MID(Metadata!B179,ROW(INDIRECT("1:"&amp;LEN(Metadata!B179))), 1),"0123456789abcdefghijklmnopqrstuvwxyzABCDEFGHIJKLMNOPQRSTUVWXYZ.")))))</f>
        <v>0</v>
      </c>
      <c r="AP179" t="b">
        <f>IF(Metadata!C179="",FALSE,TRUE)</f>
        <v>0</v>
      </c>
      <c r="AQ179" t="b">
        <f>IF(Metadata!D179="",FALSE,TRUE)</f>
        <v>0</v>
      </c>
      <c r="AR179" t="b">
        <f ca="1">OR(AND(IF(Metadata!E179="",FALSE,TRUE),OR(EXACT(Metadata!E179,"not collected"),EXACT(Metadata!E179,"not provided"),EXACT(Metadata!E179,"restricted access"))),AND(IF(Metadata!E179="",FALSE,TRUE),AND(AND(IFERROR(INT(LEFT(Metadata!E179,4))&gt;1900,FALSE),IFERROR(INT(LEFT(Metadata!E179,4))&lt;=YEAR(NOW()),FALSE)), OR(MID(Metadata!E179,5,1)="", AND(AND(MID(Metadata!E179,5,1)="-",IFERROR(INT(MID(Metadata!E179,6,1))&gt;=0,FALSE),IFERROR(INT(MID(Metadata!E179,6,1))&lt;=1,FALSE),NOT(MID(Metadata!E179,7,1)=""),IFERROR(INT(MID(Metadata!E179,6,2))&gt;=1,FALSE),IFERROR(INT(MID(Metadata!E179,6,2))&lt;=12,FALSE)), OR(MID(Metadata!E179,8,1)="", AND(AND(MID(Metadata!E179,8,1)="-",IFERROR(INT(MID(Metadata!E179,9,1))&gt;=0,FALSE),IFERROR(INT(MID(Metadata!E179,9,1))&lt;=3,FALSE),NOT(MID(Metadata!E179,10,1)=""),IFERROR(INT(MID(Metadata!E179,9,2))&gt;=1,FALSE),IFERROR(INT(MID(Metadata!E179,9,2))&lt;=31,FALSE)), OR(MID(Metadata!E179,11,1)="", AND(AND(MID(Metadata!E179,11,1)=" ",IFERROR(INT(MID(Metadata!E179,12,1))&gt;=0,FALSE),IFERROR(INT(MID(Metadata!E179,12,1))&lt;=2,FALSE),NOT(MID(Metadata!E179,13,1)=""),IFERROR(INT(MID(Metadata!E179,12,2))&gt;=0,FALSE),IFERROR(INT(MID(Metadata!E179,12,2))&lt;=23,FALSE)), OR(MID(Metadata!E179,14,1)="", AND(AND(MID(Metadata!E179,14,1)=":",IFERROR(INT(MID(Metadata!E179,15,1))&gt;=0,FALSE),IFERROR(INT(MID(Metadata!E179,15,1))&lt;=5,FALSE),NOT(MID(Metadata!E179,16,1)=""),IFERROR(INT(MID(Metadata!E179,15,2))&gt;=0,FALSE),IFERROR(INT(MID(Metadata!E179,15,2))&lt;=59,FALSE)), OR(MID(Metadata!E179,17,1)="", AND(AND(MID(Metadata!E179,17,1)=":",IFERROR(INT(MID(Metadata!E179,18,1))&gt;=0,FALSE),IFERROR(INT(MID(Metadata!E179,18,1))&lt;=5,FALSE),NOT(MID(Metadata!E179,19,1)=""),IFERROR(INT(MID(Metadata!E179,18,2))&gt;=0,FALSE),IFERROR(INT(MID(Metadata!E179,18,2))&lt;=59,FALSE)), LEN(Metadata!E179)&lt;=19)))))))))))))</f>
        <v>0</v>
      </c>
      <c r="AS179" t="b">
        <f>IF(Metadata!F179="",FALSE,TRUE)</f>
        <v>0</v>
      </c>
      <c r="AT179" t="b">
        <f>OR(AND(IF(Metadata!G179="",FALSE,TRUE),OR(EXACT(Metadata!G179,"not collected"),EXACT(Metadata!G179,"not provided"))),AND(IF(Metadata!G179="",FALSE,TRUE),OR(EXACT(Metadata!G179,"TRUE"),EXACT(Metadata!G179,"FALSE"))))</f>
        <v>0</v>
      </c>
      <c r="AU179" t="b">
        <f>OR(AND(IF(Metadata!H179="",FALSE,TRUE),OR(EXACT(Metadata!H179,"not collected"),EXACT(Metadata!H179,"not provided"),EXACT(Metadata!H179,"restricted access"))),AND(IF(Metadata!H179="",FALSE,ISNUMBER(VALUE(Metadata!H179))),Metadata!H179&gt;=-413))</f>
        <v>0</v>
      </c>
      <c r="AV179" t="b">
        <f>AND(IF(Metadata!I179="",FALSE,TRUE),EXACT(Metadata!I179,"meters"))</f>
        <v>0</v>
      </c>
      <c r="AW179" t="b">
        <f>AND(IF(Metadata!J179="",FALSE,TRUE),EXACT(Metadata!J179,"free-living"))</f>
        <v>0</v>
      </c>
      <c r="AX179" t="b">
        <f>AND(IF(Metadata!K179="",FALSE,TRUE),OR(EXACT(Metadata!K179,"saline"),EXACT(Metadata!K179,"non-saline")))</f>
        <v>0</v>
      </c>
      <c r="AY179" t="b">
        <f>AND(IF(Metadata!L179="",FALSE,TRUE),OR(EXACT(Metadata!L179,"sub-surface (non-saline)"),EXACT(Metadata!L179,"surface (non-saline)"),EXACT(Metadata!L179,"water (non-saline)"),EXACT(Metadata!L179,"soil (non-saline)"),EXACT(Metadata!L179,"aerosol (non-saline)"),EXACT(Metadata!L179,"sediment (non-saline)"),EXACT(Metadata!L179,"surface (saline)"),EXACT(Metadata!L179,"water (saline)"),EXACT(Metadata!L179,"hypersaline (saline)"),EXACT(Metadata!L179,"aerosol (saline)"),EXACT(Metadata!L179,"sediment (saline)")))</f>
        <v>0</v>
      </c>
      <c r="AZ179" t="b">
        <f>IF(Metadata!M179="",FALSE,TRUE)</f>
        <v>0</v>
      </c>
      <c r="BA179" t="b">
        <f>IF(Metadata!N179="",FALSE,TRUE)</f>
        <v>0</v>
      </c>
      <c r="BB179" t="b">
        <f>IF(Metadata!O179="",FALSE,TRUE)</f>
        <v>0</v>
      </c>
      <c r="BC179" t="b">
        <f>AND(IF(Metadata!P179="",FALSE,TRUE),OR(EXACT(Metadata!P179,"air"),EXACT(Metadata!P179,"microbial mat/biofilm"),EXACT(Metadata!P179,"misc environment"),EXACT(Metadata!P179,"sediment"),EXACT(Metadata!P179,"soil"),EXACT(Metadata!P179,"wastewater/sludge"),EXACT(Metadata!P179,"water")))</f>
        <v>0</v>
      </c>
      <c r="BD179" t="b">
        <f>IF(Metadata!Q179="",FALSE,TRUE)</f>
        <v>0</v>
      </c>
      <c r="BE179" t="b">
        <f>IF(Metadata!R179="",FALSE,TRUE)</f>
        <v>0</v>
      </c>
      <c r="BF179" t="b">
        <f>OR(AND(IF(Metadata!S179="",FALSE,TRUE),OR(EXACT(Metadata!S179,"not collected"),EXACT(Metadata!S179,"not provided"),EXACT(Metadata!S179,"restricted access"))),AND(IF(Metadata!S179="",FALSE,ISNUMBER(VALUE(Metadata!S179))),Metadata!S179&gt;=-90,Metadata!S179&lt;=90))</f>
        <v>0</v>
      </c>
      <c r="BG179" t="b">
        <f>AND(IF(Metadata!T179="",FALSE,TRUE),EXACT(Metadata!T179,"Decimal degrees"))</f>
        <v>0</v>
      </c>
      <c r="BH179" t="b">
        <f>OR(AND(IF(Metadata!U179="",FALSE,TRUE),OR(EXACT(Metadata!U179,"not applicable"),EXACT(Metadata!U179,"not collected"))),IF(Metadata!U179="",FALSE,TRUE))</f>
        <v>0</v>
      </c>
      <c r="BI179" t="b">
        <f>OR(AND(IF(Metadata!V179="",FALSE,TRUE),OR(EXACT(Metadata!V179,"not collected"),EXACT(Metadata!V179,"not provided"),EXACT(Metadata!V179,"restricted access"))),AND(IF(Metadata!V179="",FALSE,ISNUMBER(VALUE(Metadata!V179))),Metadata!V179&gt;=-180,Metadata!V179&lt;=180))</f>
        <v>0</v>
      </c>
      <c r="BJ179" t="b">
        <f>AND(IF(Metadata!W179="",FALSE,TRUE),EXACT(Metadata!W179,"Decimal degrees"))</f>
        <v>0</v>
      </c>
      <c r="BK179" t="b">
        <f>IF(Metadata!X179="",FALSE,TRUE)</f>
        <v>0</v>
      </c>
      <c r="BL179" t="b">
        <f>OR(AND(IF(Metadata!Y179="",FALSE,TRUE),OR(EXACT(Metadata!Y179,"not collected"),EXACT(Metadata!Y179,"not provided"),EXACT(Metadata!Y179,"restricted access"))),AND(IF(Metadata!Y179="",FALSE,TRUE),OR(EXACT(Metadata!Y179,"TRUE"),EXACT(Metadata!Y179,"FALSE"))))</f>
        <v>0</v>
      </c>
      <c r="BM179" t="b">
        <f>OR(AND(IF(Metadata!Z179="",FALSE,TRUE),EXACT(Metadata!Z179,"not applicable")),AND(IF(Metadata!Z179="",FALSE,TRUE),OR(EXACT(Metadata!Z179,"beer"),EXACT(Metadata!Z179,"cheese"),EXACT(Metadata!Z179,"fresh water"),EXACT(Metadata!Z179,"marine sediment"),EXACT(Metadata!Z179,"sea water"),EXACT(Metadata!Z179,"sediment"),EXACT(Metadata!Z179,"soil"),EXACT(Metadata!Z179,"waste water"))))</f>
        <v>0</v>
      </c>
      <c r="BN179" t="b">
        <f>AND(IF(Metadata!AA179="",FALSE,TRUE),EXACT(Metadata!AA179,"metagenome"))</f>
        <v>0</v>
      </c>
      <c r="BO179" t="b">
        <f>AND(IF(Metadata!AB179="",FALSE,TRUE),EXACT(Metadata!AB179,"256318"))</f>
        <v>0</v>
      </c>
      <c r="BP179" t="b">
        <f>IF(Metadata!AC179="",FALSE,TRUE)</f>
        <v>0</v>
      </c>
      <c r="BQ179" t="b">
        <f>IF(Metadata!AD179="",FALSE,TRUE)</f>
        <v>0</v>
      </c>
    </row>
    <row r="180" spans="1:69" x14ac:dyDescent="0.2">
      <c r="A180" s="4" t="e">
        <f ca="1">IF(B180=" "," ",HYPERLINK(CONCATENATE("#metadata!",ADDRESS(INDEX($AJ$2:$AJ$1001,MATCH(ROWS($AH$2:AH180),$AH$2:$AH$1001,0),0),2)),INDEX($AM$2:$AM$1001,MATCH(ROWS($AH$2:AH180),$AH$2:$AH$1001,0),0)))</f>
        <v>#N/A</v>
      </c>
      <c r="B180" s="5" t="e">
        <f ca="1">IF(OR(INDEX($AI$2:$AI$1001,MATCH(ROWS($AH$2:AH180),$AH$2:$AH$1001,0),1)&gt;=100000,INDEX($AO$1005:$BQ$1005,1,MATCH(COLUMNS($AO$1006:AO1006),$AO$1006:$BQ$1006,0))&gt;=100000), " ",IF(INDEX($AO$2:$BQ$1001,MATCH(ROWS($AH$2:AH180),$AH$2:$AH$1001,0),MATCH(COLUMNS($AO$1006:AO1006),$AO$1006:$BQ$1006,0)), HYPERLINK("#",""), HYPERLINK(CONCATENATE("#Metadata!", ADDRESS(INDEX($AJ$2:$AJ$1001,MATCH(ROWS($AH$2:AH180),$AH$2:$AH$1001,0),0), INDEX($AO$1004:$BQ$1004,1,MATCH(COLUMNS($AO$1006:AO1006),$AO$1006:$BQ$1006,0)))),"Fix")))</f>
        <v>#N/A</v>
      </c>
      <c r="C180" s="5" t="e">
        <f ca="1">IF(OR(INDEX($AI$2:$AI$1001,MATCH(ROWS($AH$2:AH180),$AH$2:$AH$1001,0),1)&gt;=100000,INDEX($AO$1005:$BQ$1005,1,MATCH(COLUMNS($AO$1006:AP1006),$AO$1006:$BQ$1006,0))&gt;=100000), " ",IF(INDEX($AO$2:$BQ$1001,MATCH(ROWS($AH$2:AH180),$AH$2:$AH$1001,0),MATCH(COLUMNS($AO$1006:AP1006),$AO$1006:$BQ$1006,0)), HYPERLINK("#",""), HYPERLINK(CONCATENATE("#Metadata!", ADDRESS(INDEX($AJ$2:$AJ$1001,MATCH(ROWS($AH$2:AH180),$AH$2:$AH$1001,0),0), INDEX($AO$1004:$BQ$1004,1,MATCH(COLUMNS($AO$1006:AP1006),$AO$1006:$BQ$1006,0)))),"Fix")))</f>
        <v>#N/A</v>
      </c>
      <c r="D180" s="5" t="e">
        <f ca="1">IF(OR(INDEX($AI$2:$AI$1001,MATCH(ROWS($AH$2:AH180),$AH$2:$AH$1001,0),1)&gt;=100000,INDEX($AO$1005:$BQ$1005,1,MATCH(COLUMNS($AO$1006:AQ1006),$AO$1006:$BQ$1006,0))&gt;=100000), " ",IF(INDEX($AO$2:$BQ$1001,MATCH(ROWS($AH$2:AH180),$AH$2:$AH$1001,0),MATCH(COLUMNS($AO$1006:AQ1006),$AO$1006:$BQ$1006,0)), HYPERLINK("#",""), HYPERLINK(CONCATENATE("#Metadata!", ADDRESS(INDEX($AJ$2:$AJ$1001,MATCH(ROWS($AH$2:AH180),$AH$2:$AH$1001,0),0), INDEX($AO$1004:$BQ$1004,1,MATCH(COLUMNS($AO$1006:AQ1006),$AO$1006:$BQ$1006,0)))),"Fix")))</f>
        <v>#N/A</v>
      </c>
      <c r="E180" s="5" t="e">
        <f ca="1">IF(OR(INDEX($AI$2:$AI$1001,MATCH(ROWS($AH$2:AH180),$AH$2:$AH$1001,0),1)&gt;=100000,INDEX($AO$1005:$BQ$1005,1,MATCH(COLUMNS($AO$1006:AR1006),$AO$1006:$BQ$1006,0))&gt;=100000), " ",IF(INDEX($AO$2:$BQ$1001,MATCH(ROWS($AH$2:AH180),$AH$2:$AH$1001,0),MATCH(COLUMNS($AO$1006:AR1006),$AO$1006:$BQ$1006,0)), HYPERLINK("#",""), HYPERLINK(CONCATENATE("#Metadata!", ADDRESS(INDEX($AJ$2:$AJ$1001,MATCH(ROWS($AH$2:AH180),$AH$2:$AH$1001,0),0), INDEX($AO$1004:$BQ$1004,1,MATCH(COLUMNS($AO$1006:AR1006),$AO$1006:$BQ$1006,0)))),"Fix")))</f>
        <v>#N/A</v>
      </c>
      <c r="F180" s="5" t="e">
        <f ca="1">IF(OR(INDEX($AI$2:$AI$1001,MATCH(ROWS($AH$2:AH180),$AH$2:$AH$1001,0),1)&gt;=100000,INDEX($AO$1005:$BQ$1005,1,MATCH(COLUMNS($AO$1006:AS1006),$AO$1006:$BQ$1006,0))&gt;=100000), " ",IF(INDEX($AO$2:$BQ$1001,MATCH(ROWS($AH$2:AH180),$AH$2:$AH$1001,0),MATCH(COLUMNS($AO$1006:AS1006),$AO$1006:$BQ$1006,0)), HYPERLINK("#",""), HYPERLINK(CONCATENATE("#Metadata!", ADDRESS(INDEX($AJ$2:$AJ$1001,MATCH(ROWS($AH$2:AH180),$AH$2:$AH$1001,0),0), INDEX($AO$1004:$BQ$1004,1,MATCH(COLUMNS($AO$1006:AS1006),$AO$1006:$BQ$1006,0)))),"Fix")))</f>
        <v>#N/A</v>
      </c>
      <c r="G180" s="5" t="e">
        <f ca="1">IF(OR(INDEX($AI$2:$AI$1001,MATCH(ROWS($AH$2:AH180),$AH$2:$AH$1001,0),1)&gt;=100000,INDEX($AO$1005:$BQ$1005,1,MATCH(COLUMNS($AO$1006:AT1006),$AO$1006:$BQ$1006,0))&gt;=100000), " ",IF(INDEX($AO$2:$BQ$1001,MATCH(ROWS($AH$2:AH180),$AH$2:$AH$1001,0),MATCH(COLUMNS($AO$1006:AT1006),$AO$1006:$BQ$1006,0)), HYPERLINK("#",""), HYPERLINK(CONCATENATE("#Metadata!", ADDRESS(INDEX($AJ$2:$AJ$1001,MATCH(ROWS($AH$2:AH180),$AH$2:$AH$1001,0),0), INDEX($AO$1004:$BQ$1004,1,MATCH(COLUMNS($AO$1006:AT1006),$AO$1006:$BQ$1006,0)))),"Fix")))</f>
        <v>#N/A</v>
      </c>
      <c r="H180" s="5" t="e">
        <f ca="1">IF(OR(INDEX($AI$2:$AI$1001,MATCH(ROWS($AH$2:AH180),$AH$2:$AH$1001,0),1)&gt;=100000,INDEX($AO$1005:$BQ$1005,1,MATCH(COLUMNS($AO$1006:AU1006),$AO$1006:$BQ$1006,0))&gt;=100000), " ",IF(INDEX($AO$2:$BQ$1001,MATCH(ROWS($AH$2:AH180),$AH$2:$AH$1001,0),MATCH(COLUMNS($AO$1006:AU1006),$AO$1006:$BQ$1006,0)), HYPERLINK("#",""), HYPERLINK(CONCATENATE("#Metadata!", ADDRESS(INDEX($AJ$2:$AJ$1001,MATCH(ROWS($AH$2:AH180),$AH$2:$AH$1001,0),0), INDEX($AO$1004:$BQ$1004,1,MATCH(COLUMNS($AO$1006:AU1006),$AO$1006:$BQ$1006,0)))),"Fix")))</f>
        <v>#N/A</v>
      </c>
      <c r="I180" s="5" t="e">
        <f ca="1">IF(OR(INDEX($AI$2:$AI$1001,MATCH(ROWS($AH$2:AH180),$AH$2:$AH$1001,0),1)&gt;=100000,INDEX($AO$1005:$BQ$1005,1,MATCH(COLUMNS($AO$1006:AV1006),$AO$1006:$BQ$1006,0))&gt;=100000), " ",IF(INDEX($AO$2:$BQ$1001,MATCH(ROWS($AH$2:AH180),$AH$2:$AH$1001,0),MATCH(COLUMNS($AO$1006:AV1006),$AO$1006:$BQ$1006,0)), HYPERLINK("#",""), HYPERLINK(CONCATENATE("#Metadata!", ADDRESS(INDEX($AJ$2:$AJ$1001,MATCH(ROWS($AH$2:AH180),$AH$2:$AH$1001,0),0), INDEX($AO$1004:$BQ$1004,1,MATCH(COLUMNS($AO$1006:AV1006),$AO$1006:$BQ$1006,0)))),"Fix")))</f>
        <v>#N/A</v>
      </c>
      <c r="J180" s="5" t="e">
        <f ca="1">IF(OR(INDEX($AI$2:$AI$1001,MATCH(ROWS($AH$2:AH180),$AH$2:$AH$1001,0),1)&gt;=100000,INDEX($AO$1005:$BQ$1005,1,MATCH(COLUMNS($AO$1006:AW1006),$AO$1006:$BQ$1006,0))&gt;=100000), " ",IF(INDEX($AO$2:$BQ$1001,MATCH(ROWS($AH$2:AH180),$AH$2:$AH$1001,0),MATCH(COLUMNS($AO$1006:AW1006),$AO$1006:$BQ$1006,0)), HYPERLINK("#",""), HYPERLINK(CONCATENATE("#Metadata!", ADDRESS(INDEX($AJ$2:$AJ$1001,MATCH(ROWS($AH$2:AH180),$AH$2:$AH$1001,0),0), INDEX($AO$1004:$BQ$1004,1,MATCH(COLUMNS($AO$1006:AW1006),$AO$1006:$BQ$1006,0)))),"Fix")))</f>
        <v>#N/A</v>
      </c>
      <c r="K180" s="5" t="e">
        <f ca="1">IF(OR(INDEX($AI$2:$AI$1001,MATCH(ROWS($AH$2:AH180),$AH$2:$AH$1001,0),1)&gt;=100000,INDEX($AO$1005:$BQ$1005,1,MATCH(COLUMNS($AO$1006:AX1006),$AO$1006:$BQ$1006,0))&gt;=100000), " ",IF(INDEX($AO$2:$BQ$1001,MATCH(ROWS($AH$2:AH180),$AH$2:$AH$1001,0),MATCH(COLUMNS($AO$1006:AX1006),$AO$1006:$BQ$1006,0)), HYPERLINK("#",""), HYPERLINK(CONCATENATE("#Metadata!", ADDRESS(INDEX($AJ$2:$AJ$1001,MATCH(ROWS($AH$2:AH180),$AH$2:$AH$1001,0),0), INDEX($AO$1004:$BQ$1004,1,MATCH(COLUMNS($AO$1006:AX1006),$AO$1006:$BQ$1006,0)))),"Fix")))</f>
        <v>#N/A</v>
      </c>
      <c r="L180" s="5" t="e">
        <f ca="1">IF(OR(INDEX($AI$2:$AI$1001,MATCH(ROWS($AH$2:AH180),$AH$2:$AH$1001,0),1)&gt;=100000,INDEX($AO$1005:$BQ$1005,1,MATCH(COLUMNS($AO$1006:AY1006),$AO$1006:$BQ$1006,0))&gt;=100000), " ",IF(INDEX($AO$2:$BQ$1001,MATCH(ROWS($AH$2:AH180),$AH$2:$AH$1001,0),MATCH(COLUMNS($AO$1006:AY1006),$AO$1006:$BQ$1006,0)), HYPERLINK("#",""), HYPERLINK(CONCATENATE("#Metadata!", ADDRESS(INDEX($AJ$2:$AJ$1001,MATCH(ROWS($AH$2:AH180),$AH$2:$AH$1001,0),0), INDEX($AO$1004:$BQ$1004,1,MATCH(COLUMNS($AO$1006:AY1006),$AO$1006:$BQ$1006,0)))),"Fix")))</f>
        <v>#N/A</v>
      </c>
      <c r="M180" s="5" t="e">
        <f ca="1">IF(OR(INDEX($AI$2:$AI$1001,MATCH(ROWS($AH$2:AH180),$AH$2:$AH$1001,0),1)&gt;=100000,INDEX($AO$1005:$BQ$1005,1,MATCH(COLUMNS($AO$1006:AZ1006),$AO$1006:$BQ$1006,0))&gt;=100000), " ",IF(INDEX($AO$2:$BQ$1001,MATCH(ROWS($AH$2:AH180),$AH$2:$AH$1001,0),MATCH(COLUMNS($AO$1006:AZ1006),$AO$1006:$BQ$1006,0)), HYPERLINK("#",""), HYPERLINK(CONCATENATE("#Metadata!", ADDRESS(INDEX($AJ$2:$AJ$1001,MATCH(ROWS($AH$2:AH180),$AH$2:$AH$1001,0),0), INDEX($AO$1004:$BQ$1004,1,MATCH(COLUMNS($AO$1006:AZ1006),$AO$1006:$BQ$1006,0)))),"Fix")))</f>
        <v>#N/A</v>
      </c>
      <c r="N180" s="5" t="e">
        <f ca="1">IF(OR(INDEX($AI$2:$AI$1001,MATCH(ROWS($AH$2:AH180),$AH$2:$AH$1001,0),1)&gt;=100000,INDEX($AO$1005:$BQ$1005,1,MATCH(COLUMNS($AO$1006:BA1006),$AO$1006:$BQ$1006,0))&gt;=100000), " ",IF(INDEX($AO$2:$BQ$1001,MATCH(ROWS($AH$2:AH180),$AH$2:$AH$1001,0),MATCH(COLUMNS($AO$1006:BA1006),$AO$1006:$BQ$1006,0)), HYPERLINK("#",""), HYPERLINK(CONCATENATE("#Metadata!", ADDRESS(INDEX($AJ$2:$AJ$1001,MATCH(ROWS($AH$2:AH180),$AH$2:$AH$1001,0),0), INDEX($AO$1004:$BQ$1004,1,MATCH(COLUMNS($AO$1006:BA1006),$AO$1006:$BQ$1006,0)))),"Fix")))</f>
        <v>#N/A</v>
      </c>
      <c r="O180" s="5" t="e">
        <f ca="1">IF(OR(INDEX($AI$2:$AI$1001,MATCH(ROWS($AH$2:AH180),$AH$2:$AH$1001,0),1)&gt;=100000,INDEX($AO$1005:$BQ$1005,1,MATCH(COLUMNS($AO$1006:BB1006),$AO$1006:$BQ$1006,0))&gt;=100000), " ",IF(INDEX($AO$2:$BQ$1001,MATCH(ROWS($AH$2:AH180),$AH$2:$AH$1001,0),MATCH(COLUMNS($AO$1006:BB1006),$AO$1006:$BQ$1006,0)), HYPERLINK("#",""), HYPERLINK(CONCATENATE("#Metadata!", ADDRESS(INDEX($AJ$2:$AJ$1001,MATCH(ROWS($AH$2:AH180),$AH$2:$AH$1001,0),0), INDEX($AO$1004:$BQ$1004,1,MATCH(COLUMNS($AO$1006:BB1006),$AO$1006:$BQ$1006,0)))),"Fix")))</f>
        <v>#N/A</v>
      </c>
      <c r="P180" s="5" t="e">
        <f ca="1">IF(OR(INDEX($AI$2:$AI$1001,MATCH(ROWS($AH$2:AH180),$AH$2:$AH$1001,0),1)&gt;=100000,INDEX($AO$1005:$BQ$1005,1,MATCH(COLUMNS($AO$1006:BC1006),$AO$1006:$BQ$1006,0))&gt;=100000), " ",IF(INDEX($AO$2:$BQ$1001,MATCH(ROWS($AH$2:AH180),$AH$2:$AH$1001,0),MATCH(COLUMNS($AO$1006:BC1006),$AO$1006:$BQ$1006,0)), HYPERLINK("#",""), HYPERLINK(CONCATENATE("#Metadata!", ADDRESS(INDEX($AJ$2:$AJ$1001,MATCH(ROWS($AH$2:AH180),$AH$2:$AH$1001,0),0), INDEX($AO$1004:$BQ$1004,1,MATCH(COLUMNS($AO$1006:BC1006),$AO$1006:$BQ$1006,0)))),"Fix")))</f>
        <v>#N/A</v>
      </c>
      <c r="Q180" s="5" t="e">
        <f ca="1">IF(OR(INDEX($AI$2:$AI$1001,MATCH(ROWS($AH$2:AH180),$AH$2:$AH$1001,0),1)&gt;=100000,INDEX($AO$1005:$BQ$1005,1,MATCH(COLUMNS($AO$1006:BD1006),$AO$1006:$BQ$1006,0))&gt;=100000), " ",IF(INDEX($AO$2:$BQ$1001,MATCH(ROWS($AH$2:AH180),$AH$2:$AH$1001,0),MATCH(COLUMNS($AO$1006:BD1006),$AO$1006:$BQ$1006,0)), HYPERLINK("#",""), HYPERLINK(CONCATENATE("#Metadata!", ADDRESS(INDEX($AJ$2:$AJ$1001,MATCH(ROWS($AH$2:AH180),$AH$2:$AH$1001,0),0), INDEX($AO$1004:$BQ$1004,1,MATCH(COLUMNS($AO$1006:BD1006),$AO$1006:$BQ$1006,0)))),"Fix")))</f>
        <v>#N/A</v>
      </c>
      <c r="R180" s="5" t="e">
        <f ca="1">IF(OR(INDEX($AI$2:$AI$1001,MATCH(ROWS($AH$2:AH180),$AH$2:$AH$1001,0),1)&gt;=100000,INDEX($AO$1005:$BQ$1005,1,MATCH(COLUMNS($AO$1006:BE1006),$AO$1006:$BQ$1006,0))&gt;=100000), " ",IF(INDEX($AO$2:$BQ$1001,MATCH(ROWS($AH$2:AH180),$AH$2:$AH$1001,0),MATCH(COLUMNS($AO$1006:BE1006),$AO$1006:$BQ$1006,0)), HYPERLINK("#",""), HYPERLINK(CONCATENATE("#Metadata!", ADDRESS(INDEX($AJ$2:$AJ$1001,MATCH(ROWS($AH$2:AH180),$AH$2:$AH$1001,0),0), INDEX($AO$1004:$BQ$1004,1,MATCH(COLUMNS($AO$1006:BE1006),$AO$1006:$BQ$1006,0)))),"Fix")))</f>
        <v>#N/A</v>
      </c>
      <c r="S180" s="5" t="e">
        <f ca="1">IF(OR(INDEX($AI$2:$AI$1001,MATCH(ROWS($AH$2:AH180),$AH$2:$AH$1001,0),1)&gt;=100000,INDEX($AO$1005:$BQ$1005,1,MATCH(COLUMNS($AO$1006:BF1006),$AO$1006:$BQ$1006,0))&gt;=100000), " ",IF(INDEX($AO$2:$BQ$1001,MATCH(ROWS($AH$2:AH180),$AH$2:$AH$1001,0),MATCH(COLUMNS($AO$1006:BF1006),$AO$1006:$BQ$1006,0)), HYPERLINK("#",""), HYPERLINK(CONCATENATE("#Metadata!", ADDRESS(INDEX($AJ$2:$AJ$1001,MATCH(ROWS($AH$2:AH180),$AH$2:$AH$1001,0),0), INDEX($AO$1004:$BQ$1004,1,MATCH(COLUMNS($AO$1006:BF1006),$AO$1006:$BQ$1006,0)))),"Fix")))</f>
        <v>#N/A</v>
      </c>
      <c r="T180" s="5" t="e">
        <f ca="1">IF(OR(INDEX($AI$2:$AI$1001,MATCH(ROWS($AH$2:AH180),$AH$2:$AH$1001,0),1)&gt;=100000,INDEX($AO$1005:$BQ$1005,1,MATCH(COLUMNS($AO$1006:BG1006),$AO$1006:$BQ$1006,0))&gt;=100000), " ",IF(INDEX($AO$2:$BQ$1001,MATCH(ROWS($AH$2:AH180),$AH$2:$AH$1001,0),MATCH(COLUMNS($AO$1006:BG1006),$AO$1006:$BQ$1006,0)), HYPERLINK("#",""), HYPERLINK(CONCATENATE("#Metadata!", ADDRESS(INDEX($AJ$2:$AJ$1001,MATCH(ROWS($AH$2:AH180),$AH$2:$AH$1001,0),0), INDEX($AO$1004:$BQ$1004,1,MATCH(COLUMNS($AO$1006:BG1006),$AO$1006:$BQ$1006,0)))),"Fix")))</f>
        <v>#N/A</v>
      </c>
      <c r="U180" s="5" t="e">
        <f ca="1">IF(OR(INDEX($AI$2:$AI$1001,MATCH(ROWS($AH$2:AH180),$AH$2:$AH$1001,0),1)&gt;=100000,INDEX($AO$1005:$BQ$1005,1,MATCH(COLUMNS($AO$1006:BH1006),$AO$1006:$BQ$1006,0))&gt;=100000), " ",IF(INDEX($AO$2:$BQ$1001,MATCH(ROWS($AH$2:AH180),$AH$2:$AH$1001,0),MATCH(COLUMNS($AO$1006:BH1006),$AO$1006:$BQ$1006,0)), HYPERLINK("#",""), HYPERLINK(CONCATENATE("#Metadata!", ADDRESS(INDEX($AJ$2:$AJ$1001,MATCH(ROWS($AH$2:AH180),$AH$2:$AH$1001,0),0), INDEX($AO$1004:$BQ$1004,1,MATCH(COLUMNS($AO$1006:BH1006),$AO$1006:$BQ$1006,0)))),"Fix")))</f>
        <v>#N/A</v>
      </c>
      <c r="V180" s="5" t="e">
        <f ca="1">IF(OR(INDEX($AI$2:$AI$1001,MATCH(ROWS($AH$2:AH180),$AH$2:$AH$1001,0),1)&gt;=100000,INDEX($AO$1005:$BQ$1005,1,MATCH(COLUMNS($AO$1006:BI1006),$AO$1006:$BQ$1006,0))&gt;=100000), " ",IF(INDEX($AO$2:$BQ$1001,MATCH(ROWS($AH$2:AH180),$AH$2:$AH$1001,0),MATCH(COLUMNS($AO$1006:BI1006),$AO$1006:$BQ$1006,0)), HYPERLINK("#",""), HYPERLINK(CONCATENATE("#Metadata!", ADDRESS(INDEX($AJ$2:$AJ$1001,MATCH(ROWS($AH$2:AH180),$AH$2:$AH$1001,0),0), INDEX($AO$1004:$BQ$1004,1,MATCH(COLUMNS($AO$1006:BI1006),$AO$1006:$BQ$1006,0)))),"Fix")))</f>
        <v>#N/A</v>
      </c>
      <c r="W180" s="5" t="e">
        <f ca="1">IF(OR(INDEX($AI$2:$AI$1001,MATCH(ROWS($AH$2:AH180),$AH$2:$AH$1001,0),1)&gt;=100000,INDEX($AO$1005:$BQ$1005,1,MATCH(COLUMNS($AO$1006:BJ1006),$AO$1006:$BQ$1006,0))&gt;=100000), " ",IF(INDEX($AO$2:$BQ$1001,MATCH(ROWS($AH$2:AH180),$AH$2:$AH$1001,0),MATCH(COLUMNS($AO$1006:BJ1006),$AO$1006:$BQ$1006,0)), HYPERLINK("#",""), HYPERLINK(CONCATENATE("#Metadata!", ADDRESS(INDEX($AJ$2:$AJ$1001,MATCH(ROWS($AH$2:AH180),$AH$2:$AH$1001,0),0), INDEX($AO$1004:$BQ$1004,1,MATCH(COLUMNS($AO$1006:BJ1006),$AO$1006:$BQ$1006,0)))),"Fix")))</f>
        <v>#N/A</v>
      </c>
      <c r="X180" s="5" t="e">
        <f ca="1">IF(OR(INDEX($AI$2:$AI$1001,MATCH(ROWS($AH$2:AH180),$AH$2:$AH$1001,0),1)&gt;=100000,INDEX($AO$1005:$BQ$1005,1,MATCH(COLUMNS($AO$1006:BK1006),$AO$1006:$BQ$1006,0))&gt;=100000), " ",IF(INDEX($AO$2:$BQ$1001,MATCH(ROWS($AH$2:AH180),$AH$2:$AH$1001,0),MATCH(COLUMNS($AO$1006:BK1006),$AO$1006:$BQ$1006,0)), HYPERLINK("#",""), HYPERLINK(CONCATENATE("#Metadata!", ADDRESS(INDEX($AJ$2:$AJ$1001,MATCH(ROWS($AH$2:AH180),$AH$2:$AH$1001,0),0), INDEX($AO$1004:$BQ$1004,1,MATCH(COLUMNS($AO$1006:BK1006),$AO$1006:$BQ$1006,0)))),"Fix")))</f>
        <v>#N/A</v>
      </c>
      <c r="Y180" s="5" t="e">
        <f ca="1">IF(OR(INDEX($AI$2:$AI$1001,MATCH(ROWS($AH$2:AH180),$AH$2:$AH$1001,0),1)&gt;=100000,INDEX($AO$1005:$BQ$1005,1,MATCH(COLUMNS($AO$1006:BL1006),$AO$1006:$BQ$1006,0))&gt;=100000), " ",IF(INDEX($AO$2:$BQ$1001,MATCH(ROWS($AH$2:AH180),$AH$2:$AH$1001,0),MATCH(COLUMNS($AO$1006:BL1006),$AO$1006:$BQ$1006,0)), HYPERLINK("#",""), HYPERLINK(CONCATENATE("#Metadata!", ADDRESS(INDEX($AJ$2:$AJ$1001,MATCH(ROWS($AH$2:AH180),$AH$2:$AH$1001,0),0), INDEX($AO$1004:$BQ$1004,1,MATCH(COLUMNS($AO$1006:BL1006),$AO$1006:$BQ$1006,0)))),"Fix")))</f>
        <v>#N/A</v>
      </c>
      <c r="Z180" s="5" t="e">
        <f ca="1">IF(OR(INDEX($AI$2:$AI$1001,MATCH(ROWS($AH$2:AH180),$AH$2:$AH$1001,0),1)&gt;=100000,INDEX($AO$1005:$BQ$1005,1,MATCH(COLUMNS($AO$1006:BM1006),$AO$1006:$BQ$1006,0))&gt;=100000), " ",IF(INDEX($AO$2:$BQ$1001,MATCH(ROWS($AH$2:AH180),$AH$2:$AH$1001,0),MATCH(COLUMNS($AO$1006:BM1006),$AO$1006:$BQ$1006,0)), HYPERLINK("#",""), HYPERLINK(CONCATENATE("#Metadata!", ADDRESS(INDEX($AJ$2:$AJ$1001,MATCH(ROWS($AH$2:AH180),$AH$2:$AH$1001,0),0), INDEX($AO$1004:$BQ$1004,1,MATCH(COLUMNS($AO$1006:BM1006),$AO$1006:$BQ$1006,0)))),"Fix")))</f>
        <v>#N/A</v>
      </c>
      <c r="AA180" s="5" t="e">
        <f ca="1">IF(OR(INDEX($AI$2:$AI$1001,MATCH(ROWS($AH$2:AH180),$AH$2:$AH$1001,0),1)&gt;=100000,INDEX($AO$1005:$BQ$1005,1,MATCH(COLUMNS($AO$1006:BN1006),$AO$1006:$BQ$1006,0))&gt;=100000), " ",IF(INDEX($AO$2:$BQ$1001,MATCH(ROWS($AH$2:AH180),$AH$2:$AH$1001,0),MATCH(COLUMNS($AO$1006:BN1006),$AO$1006:$BQ$1006,0)), HYPERLINK("#",""), HYPERLINK(CONCATENATE("#Metadata!", ADDRESS(INDEX($AJ$2:$AJ$1001,MATCH(ROWS($AH$2:AH180),$AH$2:$AH$1001,0),0), INDEX($AO$1004:$BQ$1004,1,MATCH(COLUMNS($AO$1006:BN1006),$AO$1006:$BQ$1006,0)))),"Fix")))</f>
        <v>#N/A</v>
      </c>
      <c r="AB180" s="5" t="e">
        <f ca="1">IF(OR(INDEX($AI$2:$AI$1001,MATCH(ROWS($AH$2:AH180),$AH$2:$AH$1001,0),1)&gt;=100000,INDEX($AO$1005:$BQ$1005,1,MATCH(COLUMNS($AO$1006:BO1006),$AO$1006:$BQ$1006,0))&gt;=100000), " ",IF(INDEX($AO$2:$BQ$1001,MATCH(ROWS($AH$2:AH180),$AH$2:$AH$1001,0),MATCH(COLUMNS($AO$1006:BO1006),$AO$1006:$BQ$1006,0)), HYPERLINK("#",""), HYPERLINK(CONCATENATE("#Metadata!", ADDRESS(INDEX($AJ$2:$AJ$1001,MATCH(ROWS($AH$2:AH180),$AH$2:$AH$1001,0),0), INDEX($AO$1004:$BQ$1004,1,MATCH(COLUMNS($AO$1006:BO1006),$AO$1006:$BQ$1006,0)))),"Fix")))</f>
        <v>#N/A</v>
      </c>
      <c r="AC180" s="5" t="e">
        <f ca="1">IF(OR(INDEX($AI$2:$AI$1001,MATCH(ROWS($AH$2:AH180),$AH$2:$AH$1001,0),1)&gt;=100000,INDEX($AO$1005:$BQ$1005,1,MATCH(COLUMNS($AO$1006:BP1006),$AO$1006:$BQ$1006,0))&gt;=100000), " ",IF(INDEX($AO$2:$BQ$1001,MATCH(ROWS($AH$2:AH180),$AH$2:$AH$1001,0),MATCH(COLUMNS($AO$1006:BP1006),$AO$1006:$BQ$1006,0)), HYPERLINK("#",""), HYPERLINK(CONCATENATE("#Metadata!", ADDRESS(INDEX($AJ$2:$AJ$1001,MATCH(ROWS($AH$2:AH180),$AH$2:$AH$1001,0),0), INDEX($AO$1004:$BQ$1004,1,MATCH(COLUMNS($AO$1006:BP1006),$AO$1006:$BQ$1006,0)))),"Fix")))</f>
        <v>#N/A</v>
      </c>
      <c r="AD180" s="5" t="e">
        <f ca="1">IF(OR(INDEX($AI$2:$AI$1001,MATCH(ROWS($AH$2:AH180),$AH$2:$AH$1001,0),1)&gt;=100000,INDEX($AO$1005:$BQ$1005,1,MATCH(COLUMNS($AO$1006:BQ1006),$AO$1006:$BQ$1006,0))&gt;=100000), " ",IF(INDEX($AO$2:$BQ$1001,MATCH(ROWS($AH$2:AH180),$AH$2:$AH$1001,0),MATCH(COLUMNS($AO$1006:BQ1006),$AO$1006:$BQ$1006,0)), HYPERLINK("#",""), HYPERLINK(CONCATENATE("#Metadata!", ADDRESS(INDEX($AJ$2:$AJ$1001,MATCH(ROWS($AH$2:AH180),$AH$2:$AH$1001,0),0), INDEX($AO$1004:$BQ$1004,1,MATCH(COLUMNS($AO$1006:BQ1006),$AO$1006:$BQ$1006,0)))),"Fix")))</f>
        <v>#REF!</v>
      </c>
      <c r="AH180">
        <f ca="1"/>
        <v>177</v>
      </c>
      <c r="AI180">
        <v>100180</v>
      </c>
      <c r="AJ180">
        <v>180</v>
      </c>
      <c r="AK180" t="b">
        <f t="shared" si="2"/>
        <v>1</v>
      </c>
      <c r="AL180" t="b">
        <f>COUNTBLANK(Metadata!B180:AD180)=COLUMNS(Metadata!B180:AD180)</f>
        <v>1</v>
      </c>
      <c r="AM180" t="str">
        <v/>
      </c>
      <c r="AO180" t="b">
        <f ca="1">AND(IF(Metadata!B180="",FALSE,TRUE),COUNTIF(Metadata!B:B, Metadata!B180) = 1,NOT(ISERROR(SUMPRODUCT(SEARCH(MID(Metadata!B180,ROW(INDIRECT("1:"&amp;LEN(Metadata!B180))), 1),"0123456789abcdefghijklmnopqrstuvwxyzABCDEFGHIJKLMNOPQRSTUVWXYZ.")))))</f>
        <v>0</v>
      </c>
      <c r="AP180" t="b">
        <f>IF(Metadata!C180="",FALSE,TRUE)</f>
        <v>0</v>
      </c>
      <c r="AQ180" t="b">
        <f>IF(Metadata!D180="",FALSE,TRUE)</f>
        <v>0</v>
      </c>
      <c r="AR180" t="b">
        <f ca="1">OR(AND(IF(Metadata!E180="",FALSE,TRUE),OR(EXACT(Metadata!E180,"not collected"),EXACT(Metadata!E180,"not provided"),EXACT(Metadata!E180,"restricted access"))),AND(IF(Metadata!E180="",FALSE,TRUE),AND(AND(IFERROR(INT(LEFT(Metadata!E180,4))&gt;1900,FALSE),IFERROR(INT(LEFT(Metadata!E180,4))&lt;=YEAR(NOW()),FALSE)), OR(MID(Metadata!E180,5,1)="", AND(AND(MID(Metadata!E180,5,1)="-",IFERROR(INT(MID(Metadata!E180,6,1))&gt;=0,FALSE),IFERROR(INT(MID(Metadata!E180,6,1))&lt;=1,FALSE),NOT(MID(Metadata!E180,7,1)=""),IFERROR(INT(MID(Metadata!E180,6,2))&gt;=1,FALSE),IFERROR(INT(MID(Metadata!E180,6,2))&lt;=12,FALSE)), OR(MID(Metadata!E180,8,1)="", AND(AND(MID(Metadata!E180,8,1)="-",IFERROR(INT(MID(Metadata!E180,9,1))&gt;=0,FALSE),IFERROR(INT(MID(Metadata!E180,9,1))&lt;=3,FALSE),NOT(MID(Metadata!E180,10,1)=""),IFERROR(INT(MID(Metadata!E180,9,2))&gt;=1,FALSE),IFERROR(INT(MID(Metadata!E180,9,2))&lt;=31,FALSE)), OR(MID(Metadata!E180,11,1)="", AND(AND(MID(Metadata!E180,11,1)=" ",IFERROR(INT(MID(Metadata!E180,12,1))&gt;=0,FALSE),IFERROR(INT(MID(Metadata!E180,12,1))&lt;=2,FALSE),NOT(MID(Metadata!E180,13,1)=""),IFERROR(INT(MID(Metadata!E180,12,2))&gt;=0,FALSE),IFERROR(INT(MID(Metadata!E180,12,2))&lt;=23,FALSE)), OR(MID(Metadata!E180,14,1)="", AND(AND(MID(Metadata!E180,14,1)=":",IFERROR(INT(MID(Metadata!E180,15,1))&gt;=0,FALSE),IFERROR(INT(MID(Metadata!E180,15,1))&lt;=5,FALSE),NOT(MID(Metadata!E180,16,1)=""),IFERROR(INT(MID(Metadata!E180,15,2))&gt;=0,FALSE),IFERROR(INT(MID(Metadata!E180,15,2))&lt;=59,FALSE)), OR(MID(Metadata!E180,17,1)="", AND(AND(MID(Metadata!E180,17,1)=":",IFERROR(INT(MID(Metadata!E180,18,1))&gt;=0,FALSE),IFERROR(INT(MID(Metadata!E180,18,1))&lt;=5,FALSE),NOT(MID(Metadata!E180,19,1)=""),IFERROR(INT(MID(Metadata!E180,18,2))&gt;=0,FALSE),IFERROR(INT(MID(Metadata!E180,18,2))&lt;=59,FALSE)), LEN(Metadata!E180)&lt;=19)))))))))))))</f>
        <v>0</v>
      </c>
      <c r="AS180" t="b">
        <f>IF(Metadata!F180="",FALSE,TRUE)</f>
        <v>0</v>
      </c>
      <c r="AT180" t="b">
        <f>OR(AND(IF(Metadata!G180="",FALSE,TRUE),OR(EXACT(Metadata!G180,"not collected"),EXACT(Metadata!G180,"not provided"))),AND(IF(Metadata!G180="",FALSE,TRUE),OR(EXACT(Metadata!G180,"TRUE"),EXACT(Metadata!G180,"FALSE"))))</f>
        <v>0</v>
      </c>
      <c r="AU180" t="b">
        <f>OR(AND(IF(Metadata!H180="",FALSE,TRUE),OR(EXACT(Metadata!H180,"not collected"),EXACT(Metadata!H180,"not provided"),EXACT(Metadata!H180,"restricted access"))),AND(IF(Metadata!H180="",FALSE,ISNUMBER(VALUE(Metadata!H180))),Metadata!H180&gt;=-413))</f>
        <v>0</v>
      </c>
      <c r="AV180" t="b">
        <f>AND(IF(Metadata!I180="",FALSE,TRUE),EXACT(Metadata!I180,"meters"))</f>
        <v>0</v>
      </c>
      <c r="AW180" t="b">
        <f>AND(IF(Metadata!J180="",FALSE,TRUE),EXACT(Metadata!J180,"free-living"))</f>
        <v>0</v>
      </c>
      <c r="AX180" t="b">
        <f>AND(IF(Metadata!K180="",FALSE,TRUE),OR(EXACT(Metadata!K180,"saline"),EXACT(Metadata!K180,"non-saline")))</f>
        <v>0</v>
      </c>
      <c r="AY180" t="b">
        <f>AND(IF(Metadata!L180="",FALSE,TRUE),OR(EXACT(Metadata!L180,"sub-surface (non-saline)"),EXACT(Metadata!L180,"surface (non-saline)"),EXACT(Metadata!L180,"water (non-saline)"),EXACT(Metadata!L180,"soil (non-saline)"),EXACT(Metadata!L180,"aerosol (non-saline)"),EXACT(Metadata!L180,"sediment (non-saline)"),EXACT(Metadata!L180,"surface (saline)"),EXACT(Metadata!L180,"water (saline)"),EXACT(Metadata!L180,"hypersaline (saline)"),EXACT(Metadata!L180,"aerosol (saline)"),EXACT(Metadata!L180,"sediment (saline)")))</f>
        <v>0</v>
      </c>
      <c r="AZ180" t="b">
        <f>IF(Metadata!M180="",FALSE,TRUE)</f>
        <v>0</v>
      </c>
      <c r="BA180" t="b">
        <f>IF(Metadata!N180="",FALSE,TRUE)</f>
        <v>0</v>
      </c>
      <c r="BB180" t="b">
        <f>IF(Metadata!O180="",FALSE,TRUE)</f>
        <v>0</v>
      </c>
      <c r="BC180" t="b">
        <f>AND(IF(Metadata!P180="",FALSE,TRUE),OR(EXACT(Metadata!P180,"air"),EXACT(Metadata!P180,"microbial mat/biofilm"),EXACT(Metadata!P180,"misc environment"),EXACT(Metadata!P180,"sediment"),EXACT(Metadata!P180,"soil"),EXACT(Metadata!P180,"wastewater/sludge"),EXACT(Metadata!P180,"water")))</f>
        <v>0</v>
      </c>
      <c r="BD180" t="b">
        <f>IF(Metadata!Q180="",FALSE,TRUE)</f>
        <v>0</v>
      </c>
      <c r="BE180" t="b">
        <f>IF(Metadata!R180="",FALSE,TRUE)</f>
        <v>0</v>
      </c>
      <c r="BF180" t="b">
        <f>OR(AND(IF(Metadata!S180="",FALSE,TRUE),OR(EXACT(Metadata!S180,"not collected"),EXACT(Metadata!S180,"not provided"),EXACT(Metadata!S180,"restricted access"))),AND(IF(Metadata!S180="",FALSE,ISNUMBER(VALUE(Metadata!S180))),Metadata!S180&gt;=-90,Metadata!S180&lt;=90))</f>
        <v>0</v>
      </c>
      <c r="BG180" t="b">
        <f>AND(IF(Metadata!T180="",FALSE,TRUE),EXACT(Metadata!T180,"Decimal degrees"))</f>
        <v>0</v>
      </c>
      <c r="BH180" t="b">
        <f>OR(AND(IF(Metadata!U180="",FALSE,TRUE),OR(EXACT(Metadata!U180,"not applicable"),EXACT(Metadata!U180,"not collected"))),IF(Metadata!U180="",FALSE,TRUE))</f>
        <v>0</v>
      </c>
      <c r="BI180" t="b">
        <f>OR(AND(IF(Metadata!V180="",FALSE,TRUE),OR(EXACT(Metadata!V180,"not collected"),EXACT(Metadata!V180,"not provided"),EXACT(Metadata!V180,"restricted access"))),AND(IF(Metadata!V180="",FALSE,ISNUMBER(VALUE(Metadata!V180))),Metadata!V180&gt;=-180,Metadata!V180&lt;=180))</f>
        <v>0</v>
      </c>
      <c r="BJ180" t="b">
        <f>AND(IF(Metadata!W180="",FALSE,TRUE),EXACT(Metadata!W180,"Decimal degrees"))</f>
        <v>0</v>
      </c>
      <c r="BK180" t="b">
        <f>IF(Metadata!X180="",FALSE,TRUE)</f>
        <v>0</v>
      </c>
      <c r="BL180" t="b">
        <f>OR(AND(IF(Metadata!Y180="",FALSE,TRUE),OR(EXACT(Metadata!Y180,"not collected"),EXACT(Metadata!Y180,"not provided"),EXACT(Metadata!Y180,"restricted access"))),AND(IF(Metadata!Y180="",FALSE,TRUE),OR(EXACT(Metadata!Y180,"TRUE"),EXACT(Metadata!Y180,"FALSE"))))</f>
        <v>0</v>
      </c>
      <c r="BM180" t="b">
        <f>OR(AND(IF(Metadata!Z180="",FALSE,TRUE),EXACT(Metadata!Z180,"not applicable")),AND(IF(Metadata!Z180="",FALSE,TRUE),OR(EXACT(Metadata!Z180,"beer"),EXACT(Metadata!Z180,"cheese"),EXACT(Metadata!Z180,"fresh water"),EXACT(Metadata!Z180,"marine sediment"),EXACT(Metadata!Z180,"sea water"),EXACT(Metadata!Z180,"sediment"),EXACT(Metadata!Z180,"soil"),EXACT(Metadata!Z180,"waste water"))))</f>
        <v>0</v>
      </c>
      <c r="BN180" t="b">
        <f>AND(IF(Metadata!AA180="",FALSE,TRUE),EXACT(Metadata!AA180,"metagenome"))</f>
        <v>0</v>
      </c>
      <c r="BO180" t="b">
        <f>AND(IF(Metadata!AB180="",FALSE,TRUE),EXACT(Metadata!AB180,"256318"))</f>
        <v>0</v>
      </c>
      <c r="BP180" t="b">
        <f>IF(Metadata!AC180="",FALSE,TRUE)</f>
        <v>0</v>
      </c>
      <c r="BQ180" t="b">
        <f>IF(Metadata!AD180="",FALSE,TRUE)</f>
        <v>0</v>
      </c>
    </row>
    <row r="181" spans="1:69" x14ac:dyDescent="0.2">
      <c r="A181" s="4" t="e">
        <f ca="1">IF(B181=" "," ",HYPERLINK(CONCATENATE("#metadata!",ADDRESS(INDEX($AJ$2:$AJ$1001,MATCH(ROWS($AH$2:AH181),$AH$2:$AH$1001,0),0),2)),INDEX($AM$2:$AM$1001,MATCH(ROWS($AH$2:AH181),$AH$2:$AH$1001,0),0)))</f>
        <v>#N/A</v>
      </c>
      <c r="B181" s="5" t="e">
        <f ca="1">IF(OR(INDEX($AI$2:$AI$1001,MATCH(ROWS($AH$2:AH181),$AH$2:$AH$1001,0),1)&gt;=100000,INDEX($AO$1005:$BQ$1005,1,MATCH(COLUMNS($AO$1006:AO1006),$AO$1006:$BQ$1006,0))&gt;=100000), " ",IF(INDEX($AO$2:$BQ$1001,MATCH(ROWS($AH$2:AH181),$AH$2:$AH$1001,0),MATCH(COLUMNS($AO$1006:AO1006),$AO$1006:$BQ$1006,0)), HYPERLINK("#",""), HYPERLINK(CONCATENATE("#Metadata!", ADDRESS(INDEX($AJ$2:$AJ$1001,MATCH(ROWS($AH$2:AH181),$AH$2:$AH$1001,0),0), INDEX($AO$1004:$BQ$1004,1,MATCH(COLUMNS($AO$1006:AO1006),$AO$1006:$BQ$1006,0)))),"Fix")))</f>
        <v>#N/A</v>
      </c>
      <c r="C181" s="5" t="e">
        <f ca="1">IF(OR(INDEX($AI$2:$AI$1001,MATCH(ROWS($AH$2:AH181),$AH$2:$AH$1001,0),1)&gt;=100000,INDEX($AO$1005:$BQ$1005,1,MATCH(COLUMNS($AO$1006:AP1006),$AO$1006:$BQ$1006,0))&gt;=100000), " ",IF(INDEX($AO$2:$BQ$1001,MATCH(ROWS($AH$2:AH181),$AH$2:$AH$1001,0),MATCH(COLUMNS($AO$1006:AP1006),$AO$1006:$BQ$1006,0)), HYPERLINK("#",""), HYPERLINK(CONCATENATE("#Metadata!", ADDRESS(INDEX($AJ$2:$AJ$1001,MATCH(ROWS($AH$2:AH181),$AH$2:$AH$1001,0),0), INDEX($AO$1004:$BQ$1004,1,MATCH(COLUMNS($AO$1006:AP1006),$AO$1006:$BQ$1006,0)))),"Fix")))</f>
        <v>#N/A</v>
      </c>
      <c r="D181" s="5" t="e">
        <f ca="1">IF(OR(INDEX($AI$2:$AI$1001,MATCH(ROWS($AH$2:AH181),$AH$2:$AH$1001,0),1)&gt;=100000,INDEX($AO$1005:$BQ$1005,1,MATCH(COLUMNS($AO$1006:AQ1006),$AO$1006:$BQ$1006,0))&gt;=100000), " ",IF(INDEX($AO$2:$BQ$1001,MATCH(ROWS($AH$2:AH181),$AH$2:$AH$1001,0),MATCH(COLUMNS($AO$1006:AQ1006),$AO$1006:$BQ$1006,0)), HYPERLINK("#",""), HYPERLINK(CONCATENATE("#Metadata!", ADDRESS(INDEX($AJ$2:$AJ$1001,MATCH(ROWS($AH$2:AH181),$AH$2:$AH$1001,0),0), INDEX($AO$1004:$BQ$1004,1,MATCH(COLUMNS($AO$1006:AQ1006),$AO$1006:$BQ$1006,0)))),"Fix")))</f>
        <v>#N/A</v>
      </c>
      <c r="E181" s="5" t="e">
        <f ca="1">IF(OR(INDEX($AI$2:$AI$1001,MATCH(ROWS($AH$2:AH181),$AH$2:$AH$1001,0),1)&gt;=100000,INDEX($AO$1005:$BQ$1005,1,MATCH(COLUMNS($AO$1006:AR1006),$AO$1006:$BQ$1006,0))&gt;=100000), " ",IF(INDEX($AO$2:$BQ$1001,MATCH(ROWS($AH$2:AH181),$AH$2:$AH$1001,0),MATCH(COLUMNS($AO$1006:AR1006),$AO$1006:$BQ$1006,0)), HYPERLINK("#",""), HYPERLINK(CONCATENATE("#Metadata!", ADDRESS(INDEX($AJ$2:$AJ$1001,MATCH(ROWS($AH$2:AH181),$AH$2:$AH$1001,0),0), INDEX($AO$1004:$BQ$1004,1,MATCH(COLUMNS($AO$1006:AR1006),$AO$1006:$BQ$1006,0)))),"Fix")))</f>
        <v>#N/A</v>
      </c>
      <c r="F181" s="5" t="e">
        <f ca="1">IF(OR(INDEX($AI$2:$AI$1001,MATCH(ROWS($AH$2:AH181),$AH$2:$AH$1001,0),1)&gt;=100000,INDEX($AO$1005:$BQ$1005,1,MATCH(COLUMNS($AO$1006:AS1006),$AO$1006:$BQ$1006,0))&gt;=100000), " ",IF(INDEX($AO$2:$BQ$1001,MATCH(ROWS($AH$2:AH181),$AH$2:$AH$1001,0),MATCH(COLUMNS($AO$1006:AS1006),$AO$1006:$BQ$1006,0)), HYPERLINK("#",""), HYPERLINK(CONCATENATE("#Metadata!", ADDRESS(INDEX($AJ$2:$AJ$1001,MATCH(ROWS($AH$2:AH181),$AH$2:$AH$1001,0),0), INDEX($AO$1004:$BQ$1004,1,MATCH(COLUMNS($AO$1006:AS1006),$AO$1006:$BQ$1006,0)))),"Fix")))</f>
        <v>#N/A</v>
      </c>
      <c r="G181" s="5" t="e">
        <f ca="1">IF(OR(INDEX($AI$2:$AI$1001,MATCH(ROWS($AH$2:AH181),$AH$2:$AH$1001,0),1)&gt;=100000,INDEX($AO$1005:$BQ$1005,1,MATCH(COLUMNS($AO$1006:AT1006),$AO$1006:$BQ$1006,0))&gt;=100000), " ",IF(INDEX($AO$2:$BQ$1001,MATCH(ROWS($AH$2:AH181),$AH$2:$AH$1001,0),MATCH(COLUMNS($AO$1006:AT1006),$AO$1006:$BQ$1006,0)), HYPERLINK("#",""), HYPERLINK(CONCATENATE("#Metadata!", ADDRESS(INDEX($AJ$2:$AJ$1001,MATCH(ROWS($AH$2:AH181),$AH$2:$AH$1001,0),0), INDEX($AO$1004:$BQ$1004,1,MATCH(COLUMNS($AO$1006:AT1006),$AO$1006:$BQ$1006,0)))),"Fix")))</f>
        <v>#N/A</v>
      </c>
      <c r="H181" s="5" t="e">
        <f ca="1">IF(OR(INDEX($AI$2:$AI$1001,MATCH(ROWS($AH$2:AH181),$AH$2:$AH$1001,0),1)&gt;=100000,INDEX($AO$1005:$BQ$1005,1,MATCH(COLUMNS($AO$1006:AU1006),$AO$1006:$BQ$1006,0))&gt;=100000), " ",IF(INDEX($AO$2:$BQ$1001,MATCH(ROWS($AH$2:AH181),$AH$2:$AH$1001,0),MATCH(COLUMNS($AO$1006:AU1006),$AO$1006:$BQ$1006,0)), HYPERLINK("#",""), HYPERLINK(CONCATENATE("#Metadata!", ADDRESS(INDEX($AJ$2:$AJ$1001,MATCH(ROWS($AH$2:AH181),$AH$2:$AH$1001,0),0), INDEX($AO$1004:$BQ$1004,1,MATCH(COLUMNS($AO$1006:AU1006),$AO$1006:$BQ$1006,0)))),"Fix")))</f>
        <v>#N/A</v>
      </c>
      <c r="I181" s="5" t="e">
        <f ca="1">IF(OR(INDEX($AI$2:$AI$1001,MATCH(ROWS($AH$2:AH181),$AH$2:$AH$1001,0),1)&gt;=100000,INDEX($AO$1005:$BQ$1005,1,MATCH(COLUMNS($AO$1006:AV1006),$AO$1006:$BQ$1006,0))&gt;=100000), " ",IF(INDEX($AO$2:$BQ$1001,MATCH(ROWS($AH$2:AH181),$AH$2:$AH$1001,0),MATCH(COLUMNS($AO$1006:AV1006),$AO$1006:$BQ$1006,0)), HYPERLINK("#",""), HYPERLINK(CONCATENATE("#Metadata!", ADDRESS(INDEX($AJ$2:$AJ$1001,MATCH(ROWS($AH$2:AH181),$AH$2:$AH$1001,0),0), INDEX($AO$1004:$BQ$1004,1,MATCH(COLUMNS($AO$1006:AV1006),$AO$1006:$BQ$1006,0)))),"Fix")))</f>
        <v>#N/A</v>
      </c>
      <c r="J181" s="5" t="e">
        <f ca="1">IF(OR(INDEX($AI$2:$AI$1001,MATCH(ROWS($AH$2:AH181),$AH$2:$AH$1001,0),1)&gt;=100000,INDEX($AO$1005:$BQ$1005,1,MATCH(COLUMNS($AO$1006:AW1006),$AO$1006:$BQ$1006,0))&gt;=100000), " ",IF(INDEX($AO$2:$BQ$1001,MATCH(ROWS($AH$2:AH181),$AH$2:$AH$1001,0),MATCH(COLUMNS($AO$1006:AW1006),$AO$1006:$BQ$1006,0)), HYPERLINK("#",""), HYPERLINK(CONCATENATE("#Metadata!", ADDRESS(INDEX($AJ$2:$AJ$1001,MATCH(ROWS($AH$2:AH181),$AH$2:$AH$1001,0),0), INDEX($AO$1004:$BQ$1004,1,MATCH(COLUMNS($AO$1006:AW1006),$AO$1006:$BQ$1006,0)))),"Fix")))</f>
        <v>#N/A</v>
      </c>
      <c r="K181" s="5" t="e">
        <f ca="1">IF(OR(INDEX($AI$2:$AI$1001,MATCH(ROWS($AH$2:AH181),$AH$2:$AH$1001,0),1)&gt;=100000,INDEX($AO$1005:$BQ$1005,1,MATCH(COLUMNS($AO$1006:AX1006),$AO$1006:$BQ$1006,0))&gt;=100000), " ",IF(INDEX($AO$2:$BQ$1001,MATCH(ROWS($AH$2:AH181),$AH$2:$AH$1001,0),MATCH(COLUMNS($AO$1006:AX1006),$AO$1006:$BQ$1006,0)), HYPERLINK("#",""), HYPERLINK(CONCATENATE("#Metadata!", ADDRESS(INDEX($AJ$2:$AJ$1001,MATCH(ROWS($AH$2:AH181),$AH$2:$AH$1001,0),0), INDEX($AO$1004:$BQ$1004,1,MATCH(COLUMNS($AO$1006:AX1006),$AO$1006:$BQ$1006,0)))),"Fix")))</f>
        <v>#N/A</v>
      </c>
      <c r="L181" s="5" t="e">
        <f ca="1">IF(OR(INDEX($AI$2:$AI$1001,MATCH(ROWS($AH$2:AH181),$AH$2:$AH$1001,0),1)&gt;=100000,INDEX($AO$1005:$BQ$1005,1,MATCH(COLUMNS($AO$1006:AY1006),$AO$1006:$BQ$1006,0))&gt;=100000), " ",IF(INDEX($AO$2:$BQ$1001,MATCH(ROWS($AH$2:AH181),$AH$2:$AH$1001,0),MATCH(COLUMNS($AO$1006:AY1006),$AO$1006:$BQ$1006,0)), HYPERLINK("#",""), HYPERLINK(CONCATENATE("#Metadata!", ADDRESS(INDEX($AJ$2:$AJ$1001,MATCH(ROWS($AH$2:AH181),$AH$2:$AH$1001,0),0), INDEX($AO$1004:$BQ$1004,1,MATCH(COLUMNS($AO$1006:AY1006),$AO$1006:$BQ$1006,0)))),"Fix")))</f>
        <v>#N/A</v>
      </c>
      <c r="M181" s="5" t="e">
        <f ca="1">IF(OR(INDEX($AI$2:$AI$1001,MATCH(ROWS($AH$2:AH181),$AH$2:$AH$1001,0),1)&gt;=100000,INDEX($AO$1005:$BQ$1005,1,MATCH(COLUMNS($AO$1006:AZ1006),$AO$1006:$BQ$1006,0))&gt;=100000), " ",IF(INDEX($AO$2:$BQ$1001,MATCH(ROWS($AH$2:AH181),$AH$2:$AH$1001,0),MATCH(COLUMNS($AO$1006:AZ1006),$AO$1006:$BQ$1006,0)), HYPERLINK("#",""), HYPERLINK(CONCATENATE("#Metadata!", ADDRESS(INDEX($AJ$2:$AJ$1001,MATCH(ROWS($AH$2:AH181),$AH$2:$AH$1001,0),0), INDEX($AO$1004:$BQ$1004,1,MATCH(COLUMNS($AO$1006:AZ1006),$AO$1006:$BQ$1006,0)))),"Fix")))</f>
        <v>#N/A</v>
      </c>
      <c r="N181" s="5" t="e">
        <f ca="1">IF(OR(INDEX($AI$2:$AI$1001,MATCH(ROWS($AH$2:AH181),$AH$2:$AH$1001,0),1)&gt;=100000,INDEX($AO$1005:$BQ$1005,1,MATCH(COLUMNS($AO$1006:BA1006),$AO$1006:$BQ$1006,0))&gt;=100000), " ",IF(INDEX($AO$2:$BQ$1001,MATCH(ROWS($AH$2:AH181),$AH$2:$AH$1001,0),MATCH(COLUMNS($AO$1006:BA1006),$AO$1006:$BQ$1006,0)), HYPERLINK("#",""), HYPERLINK(CONCATENATE("#Metadata!", ADDRESS(INDEX($AJ$2:$AJ$1001,MATCH(ROWS($AH$2:AH181),$AH$2:$AH$1001,0),0), INDEX($AO$1004:$BQ$1004,1,MATCH(COLUMNS($AO$1006:BA1006),$AO$1006:$BQ$1006,0)))),"Fix")))</f>
        <v>#N/A</v>
      </c>
      <c r="O181" s="5" t="e">
        <f ca="1">IF(OR(INDEX($AI$2:$AI$1001,MATCH(ROWS($AH$2:AH181),$AH$2:$AH$1001,0),1)&gt;=100000,INDEX($AO$1005:$BQ$1005,1,MATCH(COLUMNS($AO$1006:BB1006),$AO$1006:$BQ$1006,0))&gt;=100000), " ",IF(INDEX($AO$2:$BQ$1001,MATCH(ROWS($AH$2:AH181),$AH$2:$AH$1001,0),MATCH(COLUMNS($AO$1006:BB1006),$AO$1006:$BQ$1006,0)), HYPERLINK("#",""), HYPERLINK(CONCATENATE("#Metadata!", ADDRESS(INDEX($AJ$2:$AJ$1001,MATCH(ROWS($AH$2:AH181),$AH$2:$AH$1001,0),0), INDEX($AO$1004:$BQ$1004,1,MATCH(COLUMNS($AO$1006:BB1006),$AO$1006:$BQ$1006,0)))),"Fix")))</f>
        <v>#N/A</v>
      </c>
      <c r="P181" s="5" t="e">
        <f ca="1">IF(OR(INDEX($AI$2:$AI$1001,MATCH(ROWS($AH$2:AH181),$AH$2:$AH$1001,0),1)&gt;=100000,INDEX($AO$1005:$BQ$1005,1,MATCH(COLUMNS($AO$1006:BC1006),$AO$1006:$BQ$1006,0))&gt;=100000), " ",IF(INDEX($AO$2:$BQ$1001,MATCH(ROWS($AH$2:AH181),$AH$2:$AH$1001,0),MATCH(COLUMNS($AO$1006:BC1006),$AO$1006:$BQ$1006,0)), HYPERLINK("#",""), HYPERLINK(CONCATENATE("#Metadata!", ADDRESS(INDEX($AJ$2:$AJ$1001,MATCH(ROWS($AH$2:AH181),$AH$2:$AH$1001,0),0), INDEX($AO$1004:$BQ$1004,1,MATCH(COLUMNS($AO$1006:BC1006),$AO$1006:$BQ$1006,0)))),"Fix")))</f>
        <v>#N/A</v>
      </c>
      <c r="Q181" s="5" t="e">
        <f ca="1">IF(OR(INDEX($AI$2:$AI$1001,MATCH(ROWS($AH$2:AH181),$AH$2:$AH$1001,0),1)&gt;=100000,INDEX($AO$1005:$BQ$1005,1,MATCH(COLUMNS($AO$1006:BD1006),$AO$1006:$BQ$1006,0))&gt;=100000), " ",IF(INDEX($AO$2:$BQ$1001,MATCH(ROWS($AH$2:AH181),$AH$2:$AH$1001,0),MATCH(COLUMNS($AO$1006:BD1006),$AO$1006:$BQ$1006,0)), HYPERLINK("#",""), HYPERLINK(CONCATENATE("#Metadata!", ADDRESS(INDEX($AJ$2:$AJ$1001,MATCH(ROWS($AH$2:AH181),$AH$2:$AH$1001,0),0), INDEX($AO$1004:$BQ$1004,1,MATCH(COLUMNS($AO$1006:BD1006),$AO$1006:$BQ$1006,0)))),"Fix")))</f>
        <v>#N/A</v>
      </c>
      <c r="R181" s="5" t="e">
        <f ca="1">IF(OR(INDEX($AI$2:$AI$1001,MATCH(ROWS($AH$2:AH181),$AH$2:$AH$1001,0),1)&gt;=100000,INDEX($AO$1005:$BQ$1005,1,MATCH(COLUMNS($AO$1006:BE1006),$AO$1006:$BQ$1006,0))&gt;=100000), " ",IF(INDEX($AO$2:$BQ$1001,MATCH(ROWS($AH$2:AH181),$AH$2:$AH$1001,0),MATCH(COLUMNS($AO$1006:BE1006),$AO$1006:$BQ$1006,0)), HYPERLINK("#",""), HYPERLINK(CONCATENATE("#Metadata!", ADDRESS(INDEX($AJ$2:$AJ$1001,MATCH(ROWS($AH$2:AH181),$AH$2:$AH$1001,0),0), INDEX($AO$1004:$BQ$1004,1,MATCH(COLUMNS($AO$1006:BE1006),$AO$1006:$BQ$1006,0)))),"Fix")))</f>
        <v>#N/A</v>
      </c>
      <c r="S181" s="5" t="e">
        <f ca="1">IF(OR(INDEX($AI$2:$AI$1001,MATCH(ROWS($AH$2:AH181),$AH$2:$AH$1001,0),1)&gt;=100000,INDEX($AO$1005:$BQ$1005,1,MATCH(COLUMNS($AO$1006:BF1006),$AO$1006:$BQ$1006,0))&gt;=100000), " ",IF(INDEX($AO$2:$BQ$1001,MATCH(ROWS($AH$2:AH181),$AH$2:$AH$1001,0),MATCH(COLUMNS($AO$1006:BF1006),$AO$1006:$BQ$1006,0)), HYPERLINK("#",""), HYPERLINK(CONCATENATE("#Metadata!", ADDRESS(INDEX($AJ$2:$AJ$1001,MATCH(ROWS($AH$2:AH181),$AH$2:$AH$1001,0),0), INDEX($AO$1004:$BQ$1004,1,MATCH(COLUMNS($AO$1006:BF1006),$AO$1006:$BQ$1006,0)))),"Fix")))</f>
        <v>#N/A</v>
      </c>
      <c r="T181" s="5" t="e">
        <f ca="1">IF(OR(INDEX($AI$2:$AI$1001,MATCH(ROWS($AH$2:AH181),$AH$2:$AH$1001,0),1)&gt;=100000,INDEX($AO$1005:$BQ$1005,1,MATCH(COLUMNS($AO$1006:BG1006),$AO$1006:$BQ$1006,0))&gt;=100000), " ",IF(INDEX($AO$2:$BQ$1001,MATCH(ROWS($AH$2:AH181),$AH$2:$AH$1001,0),MATCH(COLUMNS($AO$1006:BG1006),$AO$1006:$BQ$1006,0)), HYPERLINK("#",""), HYPERLINK(CONCATENATE("#Metadata!", ADDRESS(INDEX($AJ$2:$AJ$1001,MATCH(ROWS($AH$2:AH181),$AH$2:$AH$1001,0),0), INDEX($AO$1004:$BQ$1004,1,MATCH(COLUMNS($AO$1006:BG1006),$AO$1006:$BQ$1006,0)))),"Fix")))</f>
        <v>#N/A</v>
      </c>
      <c r="U181" s="5" t="e">
        <f ca="1">IF(OR(INDEX($AI$2:$AI$1001,MATCH(ROWS($AH$2:AH181),$AH$2:$AH$1001,0),1)&gt;=100000,INDEX($AO$1005:$BQ$1005,1,MATCH(COLUMNS($AO$1006:BH1006),$AO$1006:$BQ$1006,0))&gt;=100000), " ",IF(INDEX($AO$2:$BQ$1001,MATCH(ROWS($AH$2:AH181),$AH$2:$AH$1001,0),MATCH(COLUMNS($AO$1006:BH1006),$AO$1006:$BQ$1006,0)), HYPERLINK("#",""), HYPERLINK(CONCATENATE("#Metadata!", ADDRESS(INDEX($AJ$2:$AJ$1001,MATCH(ROWS($AH$2:AH181),$AH$2:$AH$1001,0),0), INDEX($AO$1004:$BQ$1004,1,MATCH(COLUMNS($AO$1006:BH1006),$AO$1006:$BQ$1006,0)))),"Fix")))</f>
        <v>#N/A</v>
      </c>
      <c r="V181" s="5" t="e">
        <f ca="1">IF(OR(INDEX($AI$2:$AI$1001,MATCH(ROWS($AH$2:AH181),$AH$2:$AH$1001,0),1)&gt;=100000,INDEX($AO$1005:$BQ$1005,1,MATCH(COLUMNS($AO$1006:BI1006),$AO$1006:$BQ$1006,0))&gt;=100000), " ",IF(INDEX($AO$2:$BQ$1001,MATCH(ROWS($AH$2:AH181),$AH$2:$AH$1001,0),MATCH(COLUMNS($AO$1006:BI1006),$AO$1006:$BQ$1006,0)), HYPERLINK("#",""), HYPERLINK(CONCATENATE("#Metadata!", ADDRESS(INDEX($AJ$2:$AJ$1001,MATCH(ROWS($AH$2:AH181),$AH$2:$AH$1001,0),0), INDEX($AO$1004:$BQ$1004,1,MATCH(COLUMNS($AO$1006:BI1006),$AO$1006:$BQ$1006,0)))),"Fix")))</f>
        <v>#N/A</v>
      </c>
      <c r="W181" s="5" t="e">
        <f ca="1">IF(OR(INDEX($AI$2:$AI$1001,MATCH(ROWS($AH$2:AH181),$AH$2:$AH$1001,0),1)&gt;=100000,INDEX($AO$1005:$BQ$1005,1,MATCH(COLUMNS($AO$1006:BJ1006),$AO$1006:$BQ$1006,0))&gt;=100000), " ",IF(INDEX($AO$2:$BQ$1001,MATCH(ROWS($AH$2:AH181),$AH$2:$AH$1001,0),MATCH(COLUMNS($AO$1006:BJ1006),$AO$1006:$BQ$1006,0)), HYPERLINK("#",""), HYPERLINK(CONCATENATE("#Metadata!", ADDRESS(INDEX($AJ$2:$AJ$1001,MATCH(ROWS($AH$2:AH181),$AH$2:$AH$1001,0),0), INDEX($AO$1004:$BQ$1004,1,MATCH(COLUMNS($AO$1006:BJ1006),$AO$1006:$BQ$1006,0)))),"Fix")))</f>
        <v>#N/A</v>
      </c>
      <c r="X181" s="5" t="e">
        <f ca="1">IF(OR(INDEX($AI$2:$AI$1001,MATCH(ROWS($AH$2:AH181),$AH$2:$AH$1001,0),1)&gt;=100000,INDEX($AO$1005:$BQ$1005,1,MATCH(COLUMNS($AO$1006:BK1006),$AO$1006:$BQ$1006,0))&gt;=100000), " ",IF(INDEX($AO$2:$BQ$1001,MATCH(ROWS($AH$2:AH181),$AH$2:$AH$1001,0),MATCH(COLUMNS($AO$1006:BK1006),$AO$1006:$BQ$1006,0)), HYPERLINK("#",""), HYPERLINK(CONCATENATE("#Metadata!", ADDRESS(INDEX($AJ$2:$AJ$1001,MATCH(ROWS($AH$2:AH181),$AH$2:$AH$1001,0),0), INDEX($AO$1004:$BQ$1004,1,MATCH(COLUMNS($AO$1006:BK1006),$AO$1006:$BQ$1006,0)))),"Fix")))</f>
        <v>#N/A</v>
      </c>
      <c r="Y181" s="5" t="e">
        <f ca="1">IF(OR(INDEX($AI$2:$AI$1001,MATCH(ROWS($AH$2:AH181),$AH$2:$AH$1001,0),1)&gt;=100000,INDEX($AO$1005:$BQ$1005,1,MATCH(COLUMNS($AO$1006:BL1006),$AO$1006:$BQ$1006,0))&gt;=100000), " ",IF(INDEX($AO$2:$BQ$1001,MATCH(ROWS($AH$2:AH181),$AH$2:$AH$1001,0),MATCH(COLUMNS($AO$1006:BL1006),$AO$1006:$BQ$1006,0)), HYPERLINK("#",""), HYPERLINK(CONCATENATE("#Metadata!", ADDRESS(INDEX($AJ$2:$AJ$1001,MATCH(ROWS($AH$2:AH181),$AH$2:$AH$1001,0),0), INDEX($AO$1004:$BQ$1004,1,MATCH(COLUMNS($AO$1006:BL1006),$AO$1006:$BQ$1006,0)))),"Fix")))</f>
        <v>#N/A</v>
      </c>
      <c r="Z181" s="5" t="e">
        <f ca="1">IF(OR(INDEX($AI$2:$AI$1001,MATCH(ROWS($AH$2:AH181),$AH$2:$AH$1001,0),1)&gt;=100000,INDEX($AO$1005:$BQ$1005,1,MATCH(COLUMNS($AO$1006:BM1006),$AO$1006:$BQ$1006,0))&gt;=100000), " ",IF(INDEX($AO$2:$BQ$1001,MATCH(ROWS($AH$2:AH181),$AH$2:$AH$1001,0),MATCH(COLUMNS($AO$1006:BM1006),$AO$1006:$BQ$1006,0)), HYPERLINK("#",""), HYPERLINK(CONCATENATE("#Metadata!", ADDRESS(INDEX($AJ$2:$AJ$1001,MATCH(ROWS($AH$2:AH181),$AH$2:$AH$1001,0),0), INDEX($AO$1004:$BQ$1004,1,MATCH(COLUMNS($AO$1006:BM1006),$AO$1006:$BQ$1006,0)))),"Fix")))</f>
        <v>#N/A</v>
      </c>
      <c r="AA181" s="5" t="e">
        <f ca="1">IF(OR(INDEX($AI$2:$AI$1001,MATCH(ROWS($AH$2:AH181),$AH$2:$AH$1001,0),1)&gt;=100000,INDEX($AO$1005:$BQ$1005,1,MATCH(COLUMNS($AO$1006:BN1006),$AO$1006:$BQ$1006,0))&gt;=100000), " ",IF(INDEX($AO$2:$BQ$1001,MATCH(ROWS($AH$2:AH181),$AH$2:$AH$1001,0),MATCH(COLUMNS($AO$1006:BN1006),$AO$1006:$BQ$1006,0)), HYPERLINK("#",""), HYPERLINK(CONCATENATE("#Metadata!", ADDRESS(INDEX($AJ$2:$AJ$1001,MATCH(ROWS($AH$2:AH181),$AH$2:$AH$1001,0),0), INDEX($AO$1004:$BQ$1004,1,MATCH(COLUMNS($AO$1006:BN1006),$AO$1006:$BQ$1006,0)))),"Fix")))</f>
        <v>#N/A</v>
      </c>
      <c r="AB181" s="5" t="e">
        <f ca="1">IF(OR(INDEX($AI$2:$AI$1001,MATCH(ROWS($AH$2:AH181),$AH$2:$AH$1001,0),1)&gt;=100000,INDEX($AO$1005:$BQ$1005,1,MATCH(COLUMNS($AO$1006:BO1006),$AO$1006:$BQ$1006,0))&gt;=100000), " ",IF(INDEX($AO$2:$BQ$1001,MATCH(ROWS($AH$2:AH181),$AH$2:$AH$1001,0),MATCH(COLUMNS($AO$1006:BO1006),$AO$1006:$BQ$1006,0)), HYPERLINK("#",""), HYPERLINK(CONCATENATE("#Metadata!", ADDRESS(INDEX($AJ$2:$AJ$1001,MATCH(ROWS($AH$2:AH181),$AH$2:$AH$1001,0),0), INDEX($AO$1004:$BQ$1004,1,MATCH(COLUMNS($AO$1006:BO1006),$AO$1006:$BQ$1006,0)))),"Fix")))</f>
        <v>#N/A</v>
      </c>
      <c r="AC181" s="5" t="e">
        <f ca="1">IF(OR(INDEX($AI$2:$AI$1001,MATCH(ROWS($AH$2:AH181),$AH$2:$AH$1001,0),1)&gt;=100000,INDEX($AO$1005:$BQ$1005,1,MATCH(COLUMNS($AO$1006:BP1006),$AO$1006:$BQ$1006,0))&gt;=100000), " ",IF(INDEX($AO$2:$BQ$1001,MATCH(ROWS($AH$2:AH181),$AH$2:$AH$1001,0),MATCH(COLUMNS($AO$1006:BP1006),$AO$1006:$BQ$1006,0)), HYPERLINK("#",""), HYPERLINK(CONCATENATE("#Metadata!", ADDRESS(INDEX($AJ$2:$AJ$1001,MATCH(ROWS($AH$2:AH181),$AH$2:$AH$1001,0),0), INDEX($AO$1004:$BQ$1004,1,MATCH(COLUMNS($AO$1006:BP1006),$AO$1006:$BQ$1006,0)))),"Fix")))</f>
        <v>#N/A</v>
      </c>
      <c r="AD181" s="5" t="e">
        <f ca="1">IF(OR(INDEX($AI$2:$AI$1001,MATCH(ROWS($AH$2:AH181),$AH$2:$AH$1001,0),1)&gt;=100000,INDEX($AO$1005:$BQ$1005,1,MATCH(COLUMNS($AO$1006:BQ1006),$AO$1006:$BQ$1006,0))&gt;=100000), " ",IF(INDEX($AO$2:$BQ$1001,MATCH(ROWS($AH$2:AH181),$AH$2:$AH$1001,0),MATCH(COLUMNS($AO$1006:BQ1006),$AO$1006:$BQ$1006,0)), HYPERLINK("#",""), HYPERLINK(CONCATENATE("#Metadata!", ADDRESS(INDEX($AJ$2:$AJ$1001,MATCH(ROWS($AH$2:AH181),$AH$2:$AH$1001,0),0), INDEX($AO$1004:$BQ$1004,1,MATCH(COLUMNS($AO$1006:BQ1006),$AO$1006:$BQ$1006,0)))),"Fix")))</f>
        <v>#REF!</v>
      </c>
      <c r="AH181">
        <f ca="1"/>
        <v>178</v>
      </c>
      <c r="AI181">
        <v>100181</v>
      </c>
      <c r="AJ181">
        <v>181</v>
      </c>
      <c r="AK181" t="b">
        <f t="shared" si="2"/>
        <v>1</v>
      </c>
      <c r="AL181" t="b">
        <f>COUNTBLANK(Metadata!B181:AD181)=COLUMNS(Metadata!B181:AD181)</f>
        <v>1</v>
      </c>
      <c r="AM181" t="str">
        <v/>
      </c>
      <c r="AO181" t="b">
        <f ca="1">AND(IF(Metadata!B181="",FALSE,TRUE),COUNTIF(Metadata!B:B, Metadata!B181) = 1,NOT(ISERROR(SUMPRODUCT(SEARCH(MID(Metadata!B181,ROW(INDIRECT("1:"&amp;LEN(Metadata!B181))), 1),"0123456789abcdefghijklmnopqrstuvwxyzABCDEFGHIJKLMNOPQRSTUVWXYZ.")))))</f>
        <v>0</v>
      </c>
      <c r="AP181" t="b">
        <f>IF(Metadata!C181="",FALSE,TRUE)</f>
        <v>0</v>
      </c>
      <c r="AQ181" t="b">
        <f>IF(Metadata!D181="",FALSE,TRUE)</f>
        <v>0</v>
      </c>
      <c r="AR181" t="b">
        <f ca="1">OR(AND(IF(Metadata!E181="",FALSE,TRUE),OR(EXACT(Metadata!E181,"not collected"),EXACT(Metadata!E181,"not provided"),EXACT(Metadata!E181,"restricted access"))),AND(IF(Metadata!E181="",FALSE,TRUE),AND(AND(IFERROR(INT(LEFT(Metadata!E181,4))&gt;1900,FALSE),IFERROR(INT(LEFT(Metadata!E181,4))&lt;=YEAR(NOW()),FALSE)), OR(MID(Metadata!E181,5,1)="", AND(AND(MID(Metadata!E181,5,1)="-",IFERROR(INT(MID(Metadata!E181,6,1))&gt;=0,FALSE),IFERROR(INT(MID(Metadata!E181,6,1))&lt;=1,FALSE),NOT(MID(Metadata!E181,7,1)=""),IFERROR(INT(MID(Metadata!E181,6,2))&gt;=1,FALSE),IFERROR(INT(MID(Metadata!E181,6,2))&lt;=12,FALSE)), OR(MID(Metadata!E181,8,1)="", AND(AND(MID(Metadata!E181,8,1)="-",IFERROR(INT(MID(Metadata!E181,9,1))&gt;=0,FALSE),IFERROR(INT(MID(Metadata!E181,9,1))&lt;=3,FALSE),NOT(MID(Metadata!E181,10,1)=""),IFERROR(INT(MID(Metadata!E181,9,2))&gt;=1,FALSE),IFERROR(INT(MID(Metadata!E181,9,2))&lt;=31,FALSE)), OR(MID(Metadata!E181,11,1)="", AND(AND(MID(Metadata!E181,11,1)=" ",IFERROR(INT(MID(Metadata!E181,12,1))&gt;=0,FALSE),IFERROR(INT(MID(Metadata!E181,12,1))&lt;=2,FALSE),NOT(MID(Metadata!E181,13,1)=""),IFERROR(INT(MID(Metadata!E181,12,2))&gt;=0,FALSE),IFERROR(INT(MID(Metadata!E181,12,2))&lt;=23,FALSE)), OR(MID(Metadata!E181,14,1)="", AND(AND(MID(Metadata!E181,14,1)=":",IFERROR(INT(MID(Metadata!E181,15,1))&gt;=0,FALSE),IFERROR(INT(MID(Metadata!E181,15,1))&lt;=5,FALSE),NOT(MID(Metadata!E181,16,1)=""),IFERROR(INT(MID(Metadata!E181,15,2))&gt;=0,FALSE),IFERROR(INT(MID(Metadata!E181,15,2))&lt;=59,FALSE)), OR(MID(Metadata!E181,17,1)="", AND(AND(MID(Metadata!E181,17,1)=":",IFERROR(INT(MID(Metadata!E181,18,1))&gt;=0,FALSE),IFERROR(INT(MID(Metadata!E181,18,1))&lt;=5,FALSE),NOT(MID(Metadata!E181,19,1)=""),IFERROR(INT(MID(Metadata!E181,18,2))&gt;=0,FALSE),IFERROR(INT(MID(Metadata!E181,18,2))&lt;=59,FALSE)), LEN(Metadata!E181)&lt;=19)))))))))))))</f>
        <v>0</v>
      </c>
      <c r="AS181" t="b">
        <f>IF(Metadata!F181="",FALSE,TRUE)</f>
        <v>0</v>
      </c>
      <c r="AT181" t="b">
        <f>OR(AND(IF(Metadata!G181="",FALSE,TRUE),OR(EXACT(Metadata!G181,"not collected"),EXACT(Metadata!G181,"not provided"))),AND(IF(Metadata!G181="",FALSE,TRUE),OR(EXACT(Metadata!G181,"TRUE"),EXACT(Metadata!G181,"FALSE"))))</f>
        <v>0</v>
      </c>
      <c r="AU181" t="b">
        <f>OR(AND(IF(Metadata!H181="",FALSE,TRUE),OR(EXACT(Metadata!H181,"not collected"),EXACT(Metadata!H181,"not provided"),EXACT(Metadata!H181,"restricted access"))),AND(IF(Metadata!H181="",FALSE,ISNUMBER(VALUE(Metadata!H181))),Metadata!H181&gt;=-413))</f>
        <v>0</v>
      </c>
      <c r="AV181" t="b">
        <f>AND(IF(Metadata!I181="",FALSE,TRUE),EXACT(Metadata!I181,"meters"))</f>
        <v>0</v>
      </c>
      <c r="AW181" t="b">
        <f>AND(IF(Metadata!J181="",FALSE,TRUE),EXACT(Metadata!J181,"free-living"))</f>
        <v>0</v>
      </c>
      <c r="AX181" t="b">
        <f>AND(IF(Metadata!K181="",FALSE,TRUE),OR(EXACT(Metadata!K181,"saline"),EXACT(Metadata!K181,"non-saline")))</f>
        <v>0</v>
      </c>
      <c r="AY181" t="b">
        <f>AND(IF(Metadata!L181="",FALSE,TRUE),OR(EXACT(Metadata!L181,"sub-surface (non-saline)"),EXACT(Metadata!L181,"surface (non-saline)"),EXACT(Metadata!L181,"water (non-saline)"),EXACT(Metadata!L181,"soil (non-saline)"),EXACT(Metadata!L181,"aerosol (non-saline)"),EXACT(Metadata!L181,"sediment (non-saline)"),EXACT(Metadata!L181,"surface (saline)"),EXACT(Metadata!L181,"water (saline)"),EXACT(Metadata!L181,"hypersaline (saline)"),EXACT(Metadata!L181,"aerosol (saline)"),EXACT(Metadata!L181,"sediment (saline)")))</f>
        <v>0</v>
      </c>
      <c r="AZ181" t="b">
        <f>IF(Metadata!M181="",FALSE,TRUE)</f>
        <v>0</v>
      </c>
      <c r="BA181" t="b">
        <f>IF(Metadata!N181="",FALSE,TRUE)</f>
        <v>0</v>
      </c>
      <c r="BB181" t="b">
        <f>IF(Metadata!O181="",FALSE,TRUE)</f>
        <v>0</v>
      </c>
      <c r="BC181" t="b">
        <f>AND(IF(Metadata!P181="",FALSE,TRUE),OR(EXACT(Metadata!P181,"air"),EXACT(Metadata!P181,"microbial mat/biofilm"),EXACT(Metadata!P181,"misc environment"),EXACT(Metadata!P181,"sediment"),EXACT(Metadata!P181,"soil"),EXACT(Metadata!P181,"wastewater/sludge"),EXACT(Metadata!P181,"water")))</f>
        <v>0</v>
      </c>
      <c r="BD181" t="b">
        <f>IF(Metadata!Q181="",FALSE,TRUE)</f>
        <v>0</v>
      </c>
      <c r="BE181" t="b">
        <f>IF(Metadata!R181="",FALSE,TRUE)</f>
        <v>0</v>
      </c>
      <c r="BF181" t="b">
        <f>OR(AND(IF(Metadata!S181="",FALSE,TRUE),OR(EXACT(Metadata!S181,"not collected"),EXACT(Metadata!S181,"not provided"),EXACT(Metadata!S181,"restricted access"))),AND(IF(Metadata!S181="",FALSE,ISNUMBER(VALUE(Metadata!S181))),Metadata!S181&gt;=-90,Metadata!S181&lt;=90))</f>
        <v>0</v>
      </c>
      <c r="BG181" t="b">
        <f>AND(IF(Metadata!T181="",FALSE,TRUE),EXACT(Metadata!T181,"Decimal degrees"))</f>
        <v>0</v>
      </c>
      <c r="BH181" t="b">
        <f>OR(AND(IF(Metadata!U181="",FALSE,TRUE),OR(EXACT(Metadata!U181,"not applicable"),EXACT(Metadata!U181,"not collected"))),IF(Metadata!U181="",FALSE,TRUE))</f>
        <v>0</v>
      </c>
      <c r="BI181" t="b">
        <f>OR(AND(IF(Metadata!V181="",FALSE,TRUE),OR(EXACT(Metadata!V181,"not collected"),EXACT(Metadata!V181,"not provided"),EXACT(Metadata!V181,"restricted access"))),AND(IF(Metadata!V181="",FALSE,ISNUMBER(VALUE(Metadata!V181))),Metadata!V181&gt;=-180,Metadata!V181&lt;=180))</f>
        <v>0</v>
      </c>
      <c r="BJ181" t="b">
        <f>AND(IF(Metadata!W181="",FALSE,TRUE),EXACT(Metadata!W181,"Decimal degrees"))</f>
        <v>0</v>
      </c>
      <c r="BK181" t="b">
        <f>IF(Metadata!X181="",FALSE,TRUE)</f>
        <v>0</v>
      </c>
      <c r="BL181" t="b">
        <f>OR(AND(IF(Metadata!Y181="",FALSE,TRUE),OR(EXACT(Metadata!Y181,"not collected"),EXACT(Metadata!Y181,"not provided"),EXACT(Metadata!Y181,"restricted access"))),AND(IF(Metadata!Y181="",FALSE,TRUE),OR(EXACT(Metadata!Y181,"TRUE"),EXACT(Metadata!Y181,"FALSE"))))</f>
        <v>0</v>
      </c>
      <c r="BM181" t="b">
        <f>OR(AND(IF(Metadata!Z181="",FALSE,TRUE),EXACT(Metadata!Z181,"not applicable")),AND(IF(Metadata!Z181="",FALSE,TRUE),OR(EXACT(Metadata!Z181,"beer"),EXACT(Metadata!Z181,"cheese"),EXACT(Metadata!Z181,"fresh water"),EXACT(Metadata!Z181,"marine sediment"),EXACT(Metadata!Z181,"sea water"),EXACT(Metadata!Z181,"sediment"),EXACT(Metadata!Z181,"soil"),EXACT(Metadata!Z181,"waste water"))))</f>
        <v>0</v>
      </c>
      <c r="BN181" t="b">
        <f>AND(IF(Metadata!AA181="",FALSE,TRUE),EXACT(Metadata!AA181,"metagenome"))</f>
        <v>0</v>
      </c>
      <c r="BO181" t="b">
        <f>AND(IF(Metadata!AB181="",FALSE,TRUE),EXACT(Metadata!AB181,"256318"))</f>
        <v>0</v>
      </c>
      <c r="BP181" t="b">
        <f>IF(Metadata!AC181="",FALSE,TRUE)</f>
        <v>0</v>
      </c>
      <c r="BQ181" t="b">
        <f>IF(Metadata!AD181="",FALSE,TRUE)</f>
        <v>0</v>
      </c>
    </row>
    <row r="182" spans="1:69" x14ac:dyDescent="0.2">
      <c r="A182" s="4" t="e">
        <f ca="1">IF(B182=" "," ",HYPERLINK(CONCATENATE("#metadata!",ADDRESS(INDEX($AJ$2:$AJ$1001,MATCH(ROWS($AH$2:AH182),$AH$2:$AH$1001,0),0),2)),INDEX($AM$2:$AM$1001,MATCH(ROWS($AH$2:AH182),$AH$2:$AH$1001,0),0)))</f>
        <v>#N/A</v>
      </c>
      <c r="B182" s="5" t="e">
        <f ca="1">IF(OR(INDEX($AI$2:$AI$1001,MATCH(ROWS($AH$2:AH182),$AH$2:$AH$1001,0),1)&gt;=100000,INDEX($AO$1005:$BQ$1005,1,MATCH(COLUMNS($AO$1006:AO1006),$AO$1006:$BQ$1006,0))&gt;=100000), " ",IF(INDEX($AO$2:$BQ$1001,MATCH(ROWS($AH$2:AH182),$AH$2:$AH$1001,0),MATCH(COLUMNS($AO$1006:AO1006),$AO$1006:$BQ$1006,0)), HYPERLINK("#",""), HYPERLINK(CONCATENATE("#Metadata!", ADDRESS(INDEX($AJ$2:$AJ$1001,MATCH(ROWS($AH$2:AH182),$AH$2:$AH$1001,0),0), INDEX($AO$1004:$BQ$1004,1,MATCH(COLUMNS($AO$1006:AO1006),$AO$1006:$BQ$1006,0)))),"Fix")))</f>
        <v>#N/A</v>
      </c>
      <c r="C182" s="5" t="e">
        <f ca="1">IF(OR(INDEX($AI$2:$AI$1001,MATCH(ROWS($AH$2:AH182),$AH$2:$AH$1001,0),1)&gt;=100000,INDEX($AO$1005:$BQ$1005,1,MATCH(COLUMNS($AO$1006:AP1006),$AO$1006:$BQ$1006,0))&gt;=100000), " ",IF(INDEX($AO$2:$BQ$1001,MATCH(ROWS($AH$2:AH182),$AH$2:$AH$1001,0),MATCH(COLUMNS($AO$1006:AP1006),$AO$1006:$BQ$1006,0)), HYPERLINK("#",""), HYPERLINK(CONCATENATE("#Metadata!", ADDRESS(INDEX($AJ$2:$AJ$1001,MATCH(ROWS($AH$2:AH182),$AH$2:$AH$1001,0),0), INDEX($AO$1004:$BQ$1004,1,MATCH(COLUMNS($AO$1006:AP1006),$AO$1006:$BQ$1006,0)))),"Fix")))</f>
        <v>#N/A</v>
      </c>
      <c r="D182" s="5" t="e">
        <f ca="1">IF(OR(INDEX($AI$2:$AI$1001,MATCH(ROWS($AH$2:AH182),$AH$2:$AH$1001,0),1)&gt;=100000,INDEX($AO$1005:$BQ$1005,1,MATCH(COLUMNS($AO$1006:AQ1006),$AO$1006:$BQ$1006,0))&gt;=100000), " ",IF(INDEX($AO$2:$BQ$1001,MATCH(ROWS($AH$2:AH182),$AH$2:$AH$1001,0),MATCH(COLUMNS($AO$1006:AQ1006),$AO$1006:$BQ$1006,0)), HYPERLINK("#",""), HYPERLINK(CONCATENATE("#Metadata!", ADDRESS(INDEX($AJ$2:$AJ$1001,MATCH(ROWS($AH$2:AH182),$AH$2:$AH$1001,0),0), INDEX($AO$1004:$BQ$1004,1,MATCH(COLUMNS($AO$1006:AQ1006),$AO$1006:$BQ$1006,0)))),"Fix")))</f>
        <v>#N/A</v>
      </c>
      <c r="E182" s="5" t="e">
        <f ca="1">IF(OR(INDEX($AI$2:$AI$1001,MATCH(ROWS($AH$2:AH182),$AH$2:$AH$1001,0),1)&gt;=100000,INDEX($AO$1005:$BQ$1005,1,MATCH(COLUMNS($AO$1006:AR1006),$AO$1006:$BQ$1006,0))&gt;=100000), " ",IF(INDEX($AO$2:$BQ$1001,MATCH(ROWS($AH$2:AH182),$AH$2:$AH$1001,0),MATCH(COLUMNS($AO$1006:AR1006),$AO$1006:$BQ$1006,0)), HYPERLINK("#",""), HYPERLINK(CONCATENATE("#Metadata!", ADDRESS(INDEX($AJ$2:$AJ$1001,MATCH(ROWS($AH$2:AH182),$AH$2:$AH$1001,0),0), INDEX($AO$1004:$BQ$1004,1,MATCH(COLUMNS($AO$1006:AR1006),$AO$1006:$BQ$1006,0)))),"Fix")))</f>
        <v>#N/A</v>
      </c>
      <c r="F182" s="5" t="e">
        <f ca="1">IF(OR(INDEX($AI$2:$AI$1001,MATCH(ROWS($AH$2:AH182),$AH$2:$AH$1001,0),1)&gt;=100000,INDEX($AO$1005:$BQ$1005,1,MATCH(COLUMNS($AO$1006:AS1006),$AO$1006:$BQ$1006,0))&gt;=100000), " ",IF(INDEX($AO$2:$BQ$1001,MATCH(ROWS($AH$2:AH182),$AH$2:$AH$1001,0),MATCH(COLUMNS($AO$1006:AS1006),$AO$1006:$BQ$1006,0)), HYPERLINK("#",""), HYPERLINK(CONCATENATE("#Metadata!", ADDRESS(INDEX($AJ$2:$AJ$1001,MATCH(ROWS($AH$2:AH182),$AH$2:$AH$1001,0),0), INDEX($AO$1004:$BQ$1004,1,MATCH(COLUMNS($AO$1006:AS1006),$AO$1006:$BQ$1006,0)))),"Fix")))</f>
        <v>#N/A</v>
      </c>
      <c r="G182" s="5" t="e">
        <f ca="1">IF(OR(INDEX($AI$2:$AI$1001,MATCH(ROWS($AH$2:AH182),$AH$2:$AH$1001,0),1)&gt;=100000,INDEX($AO$1005:$BQ$1005,1,MATCH(COLUMNS($AO$1006:AT1006),$AO$1006:$BQ$1006,0))&gt;=100000), " ",IF(INDEX($AO$2:$BQ$1001,MATCH(ROWS($AH$2:AH182),$AH$2:$AH$1001,0),MATCH(COLUMNS($AO$1006:AT1006),$AO$1006:$BQ$1006,0)), HYPERLINK("#",""), HYPERLINK(CONCATENATE("#Metadata!", ADDRESS(INDEX($AJ$2:$AJ$1001,MATCH(ROWS($AH$2:AH182),$AH$2:$AH$1001,0),0), INDEX($AO$1004:$BQ$1004,1,MATCH(COLUMNS($AO$1006:AT1006),$AO$1006:$BQ$1006,0)))),"Fix")))</f>
        <v>#N/A</v>
      </c>
      <c r="H182" s="5" t="e">
        <f ca="1">IF(OR(INDEX($AI$2:$AI$1001,MATCH(ROWS($AH$2:AH182),$AH$2:$AH$1001,0),1)&gt;=100000,INDEX($AO$1005:$BQ$1005,1,MATCH(COLUMNS($AO$1006:AU1006),$AO$1006:$BQ$1006,0))&gt;=100000), " ",IF(INDEX($AO$2:$BQ$1001,MATCH(ROWS($AH$2:AH182),$AH$2:$AH$1001,0),MATCH(COLUMNS($AO$1006:AU1006),$AO$1006:$BQ$1006,0)), HYPERLINK("#",""), HYPERLINK(CONCATENATE("#Metadata!", ADDRESS(INDEX($AJ$2:$AJ$1001,MATCH(ROWS($AH$2:AH182),$AH$2:$AH$1001,0),0), INDEX($AO$1004:$BQ$1004,1,MATCH(COLUMNS($AO$1006:AU1006),$AO$1006:$BQ$1006,0)))),"Fix")))</f>
        <v>#N/A</v>
      </c>
      <c r="I182" s="5" t="e">
        <f ca="1">IF(OR(INDEX($AI$2:$AI$1001,MATCH(ROWS($AH$2:AH182),$AH$2:$AH$1001,0),1)&gt;=100000,INDEX($AO$1005:$BQ$1005,1,MATCH(COLUMNS($AO$1006:AV1006),$AO$1006:$BQ$1006,0))&gt;=100000), " ",IF(INDEX($AO$2:$BQ$1001,MATCH(ROWS($AH$2:AH182),$AH$2:$AH$1001,0),MATCH(COLUMNS($AO$1006:AV1006),$AO$1006:$BQ$1006,0)), HYPERLINK("#",""), HYPERLINK(CONCATENATE("#Metadata!", ADDRESS(INDEX($AJ$2:$AJ$1001,MATCH(ROWS($AH$2:AH182),$AH$2:$AH$1001,0),0), INDEX($AO$1004:$BQ$1004,1,MATCH(COLUMNS($AO$1006:AV1006),$AO$1006:$BQ$1006,0)))),"Fix")))</f>
        <v>#N/A</v>
      </c>
      <c r="J182" s="5" t="e">
        <f ca="1">IF(OR(INDEX($AI$2:$AI$1001,MATCH(ROWS($AH$2:AH182),$AH$2:$AH$1001,0),1)&gt;=100000,INDEX($AO$1005:$BQ$1005,1,MATCH(COLUMNS($AO$1006:AW1006),$AO$1006:$BQ$1006,0))&gt;=100000), " ",IF(INDEX($AO$2:$BQ$1001,MATCH(ROWS($AH$2:AH182),$AH$2:$AH$1001,0),MATCH(COLUMNS($AO$1006:AW1006),$AO$1006:$BQ$1006,0)), HYPERLINK("#",""), HYPERLINK(CONCATENATE("#Metadata!", ADDRESS(INDEX($AJ$2:$AJ$1001,MATCH(ROWS($AH$2:AH182),$AH$2:$AH$1001,0),0), INDEX($AO$1004:$BQ$1004,1,MATCH(COLUMNS($AO$1006:AW1006),$AO$1006:$BQ$1006,0)))),"Fix")))</f>
        <v>#N/A</v>
      </c>
      <c r="K182" s="5" t="e">
        <f ca="1">IF(OR(INDEX($AI$2:$AI$1001,MATCH(ROWS($AH$2:AH182),$AH$2:$AH$1001,0),1)&gt;=100000,INDEX($AO$1005:$BQ$1005,1,MATCH(COLUMNS($AO$1006:AX1006),$AO$1006:$BQ$1006,0))&gt;=100000), " ",IF(INDEX($AO$2:$BQ$1001,MATCH(ROWS($AH$2:AH182),$AH$2:$AH$1001,0),MATCH(COLUMNS($AO$1006:AX1006),$AO$1006:$BQ$1006,0)), HYPERLINK("#",""), HYPERLINK(CONCATENATE("#Metadata!", ADDRESS(INDEX($AJ$2:$AJ$1001,MATCH(ROWS($AH$2:AH182),$AH$2:$AH$1001,0),0), INDEX($AO$1004:$BQ$1004,1,MATCH(COLUMNS($AO$1006:AX1006),$AO$1006:$BQ$1006,0)))),"Fix")))</f>
        <v>#N/A</v>
      </c>
      <c r="L182" s="5" t="e">
        <f ca="1">IF(OR(INDEX($AI$2:$AI$1001,MATCH(ROWS($AH$2:AH182),$AH$2:$AH$1001,0),1)&gt;=100000,INDEX($AO$1005:$BQ$1005,1,MATCH(COLUMNS($AO$1006:AY1006),$AO$1006:$BQ$1006,0))&gt;=100000), " ",IF(INDEX($AO$2:$BQ$1001,MATCH(ROWS($AH$2:AH182),$AH$2:$AH$1001,0),MATCH(COLUMNS($AO$1006:AY1006),$AO$1006:$BQ$1006,0)), HYPERLINK("#",""), HYPERLINK(CONCATENATE("#Metadata!", ADDRESS(INDEX($AJ$2:$AJ$1001,MATCH(ROWS($AH$2:AH182),$AH$2:$AH$1001,0),0), INDEX($AO$1004:$BQ$1004,1,MATCH(COLUMNS($AO$1006:AY1006),$AO$1006:$BQ$1006,0)))),"Fix")))</f>
        <v>#N/A</v>
      </c>
      <c r="M182" s="5" t="e">
        <f ca="1">IF(OR(INDEX($AI$2:$AI$1001,MATCH(ROWS($AH$2:AH182),$AH$2:$AH$1001,0),1)&gt;=100000,INDEX($AO$1005:$BQ$1005,1,MATCH(COLUMNS($AO$1006:AZ1006),$AO$1006:$BQ$1006,0))&gt;=100000), " ",IF(INDEX($AO$2:$BQ$1001,MATCH(ROWS($AH$2:AH182),$AH$2:$AH$1001,0),MATCH(COLUMNS($AO$1006:AZ1006),$AO$1006:$BQ$1006,0)), HYPERLINK("#",""), HYPERLINK(CONCATENATE("#Metadata!", ADDRESS(INDEX($AJ$2:$AJ$1001,MATCH(ROWS($AH$2:AH182),$AH$2:$AH$1001,0),0), INDEX($AO$1004:$BQ$1004,1,MATCH(COLUMNS($AO$1006:AZ1006),$AO$1006:$BQ$1006,0)))),"Fix")))</f>
        <v>#N/A</v>
      </c>
      <c r="N182" s="5" t="e">
        <f ca="1">IF(OR(INDEX($AI$2:$AI$1001,MATCH(ROWS($AH$2:AH182),$AH$2:$AH$1001,0),1)&gt;=100000,INDEX($AO$1005:$BQ$1005,1,MATCH(COLUMNS($AO$1006:BA1006),$AO$1006:$BQ$1006,0))&gt;=100000), " ",IF(INDEX($AO$2:$BQ$1001,MATCH(ROWS($AH$2:AH182),$AH$2:$AH$1001,0),MATCH(COLUMNS($AO$1006:BA1006),$AO$1006:$BQ$1006,0)), HYPERLINK("#",""), HYPERLINK(CONCATENATE("#Metadata!", ADDRESS(INDEX($AJ$2:$AJ$1001,MATCH(ROWS($AH$2:AH182),$AH$2:$AH$1001,0),0), INDEX($AO$1004:$BQ$1004,1,MATCH(COLUMNS($AO$1006:BA1006),$AO$1006:$BQ$1006,0)))),"Fix")))</f>
        <v>#N/A</v>
      </c>
      <c r="O182" s="5" t="e">
        <f ca="1">IF(OR(INDEX($AI$2:$AI$1001,MATCH(ROWS($AH$2:AH182),$AH$2:$AH$1001,0),1)&gt;=100000,INDEX($AO$1005:$BQ$1005,1,MATCH(COLUMNS($AO$1006:BB1006),$AO$1006:$BQ$1006,0))&gt;=100000), " ",IF(INDEX($AO$2:$BQ$1001,MATCH(ROWS($AH$2:AH182),$AH$2:$AH$1001,0),MATCH(COLUMNS($AO$1006:BB1006),$AO$1006:$BQ$1006,0)), HYPERLINK("#",""), HYPERLINK(CONCATENATE("#Metadata!", ADDRESS(INDEX($AJ$2:$AJ$1001,MATCH(ROWS($AH$2:AH182),$AH$2:$AH$1001,0),0), INDEX($AO$1004:$BQ$1004,1,MATCH(COLUMNS($AO$1006:BB1006),$AO$1006:$BQ$1006,0)))),"Fix")))</f>
        <v>#N/A</v>
      </c>
      <c r="P182" s="5" t="e">
        <f ca="1">IF(OR(INDEX($AI$2:$AI$1001,MATCH(ROWS($AH$2:AH182),$AH$2:$AH$1001,0),1)&gt;=100000,INDEX($AO$1005:$BQ$1005,1,MATCH(COLUMNS($AO$1006:BC1006),$AO$1006:$BQ$1006,0))&gt;=100000), " ",IF(INDEX($AO$2:$BQ$1001,MATCH(ROWS($AH$2:AH182),$AH$2:$AH$1001,0),MATCH(COLUMNS($AO$1006:BC1006),$AO$1006:$BQ$1006,0)), HYPERLINK("#",""), HYPERLINK(CONCATENATE("#Metadata!", ADDRESS(INDEX($AJ$2:$AJ$1001,MATCH(ROWS($AH$2:AH182),$AH$2:$AH$1001,0),0), INDEX($AO$1004:$BQ$1004,1,MATCH(COLUMNS($AO$1006:BC1006),$AO$1006:$BQ$1006,0)))),"Fix")))</f>
        <v>#N/A</v>
      </c>
      <c r="Q182" s="5" t="e">
        <f ca="1">IF(OR(INDEX($AI$2:$AI$1001,MATCH(ROWS($AH$2:AH182),$AH$2:$AH$1001,0),1)&gt;=100000,INDEX($AO$1005:$BQ$1005,1,MATCH(COLUMNS($AO$1006:BD1006),$AO$1006:$BQ$1006,0))&gt;=100000), " ",IF(INDEX($AO$2:$BQ$1001,MATCH(ROWS($AH$2:AH182),$AH$2:$AH$1001,0),MATCH(COLUMNS($AO$1006:BD1006),$AO$1006:$BQ$1006,0)), HYPERLINK("#",""), HYPERLINK(CONCATENATE("#Metadata!", ADDRESS(INDEX($AJ$2:$AJ$1001,MATCH(ROWS($AH$2:AH182),$AH$2:$AH$1001,0),0), INDEX($AO$1004:$BQ$1004,1,MATCH(COLUMNS($AO$1006:BD1006),$AO$1006:$BQ$1006,0)))),"Fix")))</f>
        <v>#N/A</v>
      </c>
      <c r="R182" s="5" t="e">
        <f ca="1">IF(OR(INDEX($AI$2:$AI$1001,MATCH(ROWS($AH$2:AH182),$AH$2:$AH$1001,0),1)&gt;=100000,INDEX($AO$1005:$BQ$1005,1,MATCH(COLUMNS($AO$1006:BE1006),$AO$1006:$BQ$1006,0))&gt;=100000), " ",IF(INDEX($AO$2:$BQ$1001,MATCH(ROWS($AH$2:AH182),$AH$2:$AH$1001,0),MATCH(COLUMNS($AO$1006:BE1006),$AO$1006:$BQ$1006,0)), HYPERLINK("#",""), HYPERLINK(CONCATENATE("#Metadata!", ADDRESS(INDEX($AJ$2:$AJ$1001,MATCH(ROWS($AH$2:AH182),$AH$2:$AH$1001,0),0), INDEX($AO$1004:$BQ$1004,1,MATCH(COLUMNS($AO$1006:BE1006),$AO$1006:$BQ$1006,0)))),"Fix")))</f>
        <v>#N/A</v>
      </c>
      <c r="S182" s="5" t="e">
        <f ca="1">IF(OR(INDEX($AI$2:$AI$1001,MATCH(ROWS($AH$2:AH182),$AH$2:$AH$1001,0),1)&gt;=100000,INDEX($AO$1005:$BQ$1005,1,MATCH(COLUMNS($AO$1006:BF1006),$AO$1006:$BQ$1006,0))&gt;=100000), " ",IF(INDEX($AO$2:$BQ$1001,MATCH(ROWS($AH$2:AH182),$AH$2:$AH$1001,0),MATCH(COLUMNS($AO$1006:BF1006),$AO$1006:$BQ$1006,0)), HYPERLINK("#",""), HYPERLINK(CONCATENATE("#Metadata!", ADDRESS(INDEX($AJ$2:$AJ$1001,MATCH(ROWS($AH$2:AH182),$AH$2:$AH$1001,0),0), INDEX($AO$1004:$BQ$1004,1,MATCH(COLUMNS($AO$1006:BF1006),$AO$1006:$BQ$1006,0)))),"Fix")))</f>
        <v>#N/A</v>
      </c>
      <c r="T182" s="5" t="e">
        <f ca="1">IF(OR(INDEX($AI$2:$AI$1001,MATCH(ROWS($AH$2:AH182),$AH$2:$AH$1001,0),1)&gt;=100000,INDEX($AO$1005:$BQ$1005,1,MATCH(COLUMNS($AO$1006:BG1006),$AO$1006:$BQ$1006,0))&gt;=100000), " ",IF(INDEX($AO$2:$BQ$1001,MATCH(ROWS($AH$2:AH182),$AH$2:$AH$1001,0),MATCH(COLUMNS($AO$1006:BG1006),$AO$1006:$BQ$1006,0)), HYPERLINK("#",""), HYPERLINK(CONCATENATE("#Metadata!", ADDRESS(INDEX($AJ$2:$AJ$1001,MATCH(ROWS($AH$2:AH182),$AH$2:$AH$1001,0),0), INDEX($AO$1004:$BQ$1004,1,MATCH(COLUMNS($AO$1006:BG1006),$AO$1006:$BQ$1006,0)))),"Fix")))</f>
        <v>#N/A</v>
      </c>
      <c r="U182" s="5" t="e">
        <f ca="1">IF(OR(INDEX($AI$2:$AI$1001,MATCH(ROWS($AH$2:AH182),$AH$2:$AH$1001,0),1)&gt;=100000,INDEX($AO$1005:$BQ$1005,1,MATCH(COLUMNS($AO$1006:BH1006),$AO$1006:$BQ$1006,0))&gt;=100000), " ",IF(INDEX($AO$2:$BQ$1001,MATCH(ROWS($AH$2:AH182),$AH$2:$AH$1001,0),MATCH(COLUMNS($AO$1006:BH1006),$AO$1006:$BQ$1006,0)), HYPERLINK("#",""), HYPERLINK(CONCATENATE("#Metadata!", ADDRESS(INDEX($AJ$2:$AJ$1001,MATCH(ROWS($AH$2:AH182),$AH$2:$AH$1001,0),0), INDEX($AO$1004:$BQ$1004,1,MATCH(COLUMNS($AO$1006:BH1006),$AO$1006:$BQ$1006,0)))),"Fix")))</f>
        <v>#N/A</v>
      </c>
      <c r="V182" s="5" t="e">
        <f ca="1">IF(OR(INDEX($AI$2:$AI$1001,MATCH(ROWS($AH$2:AH182),$AH$2:$AH$1001,0),1)&gt;=100000,INDEX($AO$1005:$BQ$1005,1,MATCH(COLUMNS($AO$1006:BI1006),$AO$1006:$BQ$1006,0))&gt;=100000), " ",IF(INDEX($AO$2:$BQ$1001,MATCH(ROWS($AH$2:AH182),$AH$2:$AH$1001,0),MATCH(COLUMNS($AO$1006:BI1006),$AO$1006:$BQ$1006,0)), HYPERLINK("#",""), HYPERLINK(CONCATENATE("#Metadata!", ADDRESS(INDEX($AJ$2:$AJ$1001,MATCH(ROWS($AH$2:AH182),$AH$2:$AH$1001,0),0), INDEX($AO$1004:$BQ$1004,1,MATCH(COLUMNS($AO$1006:BI1006),$AO$1006:$BQ$1006,0)))),"Fix")))</f>
        <v>#N/A</v>
      </c>
      <c r="W182" s="5" t="e">
        <f ca="1">IF(OR(INDEX($AI$2:$AI$1001,MATCH(ROWS($AH$2:AH182),$AH$2:$AH$1001,0),1)&gt;=100000,INDEX($AO$1005:$BQ$1005,1,MATCH(COLUMNS($AO$1006:BJ1006),$AO$1006:$BQ$1006,0))&gt;=100000), " ",IF(INDEX($AO$2:$BQ$1001,MATCH(ROWS($AH$2:AH182),$AH$2:$AH$1001,0),MATCH(COLUMNS($AO$1006:BJ1006),$AO$1006:$BQ$1006,0)), HYPERLINK("#",""), HYPERLINK(CONCATENATE("#Metadata!", ADDRESS(INDEX($AJ$2:$AJ$1001,MATCH(ROWS($AH$2:AH182),$AH$2:$AH$1001,0),0), INDEX($AO$1004:$BQ$1004,1,MATCH(COLUMNS($AO$1006:BJ1006),$AO$1006:$BQ$1006,0)))),"Fix")))</f>
        <v>#N/A</v>
      </c>
      <c r="X182" s="5" t="e">
        <f ca="1">IF(OR(INDEX($AI$2:$AI$1001,MATCH(ROWS($AH$2:AH182),$AH$2:$AH$1001,0),1)&gt;=100000,INDEX($AO$1005:$BQ$1005,1,MATCH(COLUMNS($AO$1006:BK1006),$AO$1006:$BQ$1006,0))&gt;=100000), " ",IF(INDEX($AO$2:$BQ$1001,MATCH(ROWS($AH$2:AH182),$AH$2:$AH$1001,0),MATCH(COLUMNS($AO$1006:BK1006),$AO$1006:$BQ$1006,0)), HYPERLINK("#",""), HYPERLINK(CONCATENATE("#Metadata!", ADDRESS(INDEX($AJ$2:$AJ$1001,MATCH(ROWS($AH$2:AH182),$AH$2:$AH$1001,0),0), INDEX($AO$1004:$BQ$1004,1,MATCH(COLUMNS($AO$1006:BK1006),$AO$1006:$BQ$1006,0)))),"Fix")))</f>
        <v>#N/A</v>
      </c>
      <c r="Y182" s="5" t="e">
        <f ca="1">IF(OR(INDEX($AI$2:$AI$1001,MATCH(ROWS($AH$2:AH182),$AH$2:$AH$1001,0),1)&gt;=100000,INDEX($AO$1005:$BQ$1005,1,MATCH(COLUMNS($AO$1006:BL1006),$AO$1006:$BQ$1006,0))&gt;=100000), " ",IF(INDEX($AO$2:$BQ$1001,MATCH(ROWS($AH$2:AH182),$AH$2:$AH$1001,0),MATCH(COLUMNS($AO$1006:BL1006),$AO$1006:$BQ$1006,0)), HYPERLINK("#",""), HYPERLINK(CONCATENATE("#Metadata!", ADDRESS(INDEX($AJ$2:$AJ$1001,MATCH(ROWS($AH$2:AH182),$AH$2:$AH$1001,0),0), INDEX($AO$1004:$BQ$1004,1,MATCH(COLUMNS($AO$1006:BL1006),$AO$1006:$BQ$1006,0)))),"Fix")))</f>
        <v>#N/A</v>
      </c>
      <c r="Z182" s="5" t="e">
        <f ca="1">IF(OR(INDEX($AI$2:$AI$1001,MATCH(ROWS($AH$2:AH182),$AH$2:$AH$1001,0),1)&gt;=100000,INDEX($AO$1005:$BQ$1005,1,MATCH(COLUMNS($AO$1006:BM1006),$AO$1006:$BQ$1006,0))&gt;=100000), " ",IF(INDEX($AO$2:$BQ$1001,MATCH(ROWS($AH$2:AH182),$AH$2:$AH$1001,0),MATCH(COLUMNS($AO$1006:BM1006),$AO$1006:$BQ$1006,0)), HYPERLINK("#",""), HYPERLINK(CONCATENATE("#Metadata!", ADDRESS(INDEX($AJ$2:$AJ$1001,MATCH(ROWS($AH$2:AH182),$AH$2:$AH$1001,0),0), INDEX($AO$1004:$BQ$1004,1,MATCH(COLUMNS($AO$1006:BM1006),$AO$1006:$BQ$1006,0)))),"Fix")))</f>
        <v>#N/A</v>
      </c>
      <c r="AA182" s="5" t="e">
        <f ca="1">IF(OR(INDEX($AI$2:$AI$1001,MATCH(ROWS($AH$2:AH182),$AH$2:$AH$1001,0),1)&gt;=100000,INDEX($AO$1005:$BQ$1005,1,MATCH(COLUMNS($AO$1006:BN1006),$AO$1006:$BQ$1006,0))&gt;=100000), " ",IF(INDEX($AO$2:$BQ$1001,MATCH(ROWS($AH$2:AH182),$AH$2:$AH$1001,0),MATCH(COLUMNS($AO$1006:BN1006),$AO$1006:$BQ$1006,0)), HYPERLINK("#",""), HYPERLINK(CONCATENATE("#Metadata!", ADDRESS(INDEX($AJ$2:$AJ$1001,MATCH(ROWS($AH$2:AH182),$AH$2:$AH$1001,0),0), INDEX($AO$1004:$BQ$1004,1,MATCH(COLUMNS($AO$1006:BN1006),$AO$1006:$BQ$1006,0)))),"Fix")))</f>
        <v>#N/A</v>
      </c>
      <c r="AB182" s="5" t="e">
        <f ca="1">IF(OR(INDEX($AI$2:$AI$1001,MATCH(ROWS($AH$2:AH182),$AH$2:$AH$1001,0),1)&gt;=100000,INDEX($AO$1005:$BQ$1005,1,MATCH(COLUMNS($AO$1006:BO1006),$AO$1006:$BQ$1006,0))&gt;=100000), " ",IF(INDEX($AO$2:$BQ$1001,MATCH(ROWS($AH$2:AH182),$AH$2:$AH$1001,0),MATCH(COLUMNS($AO$1006:BO1006),$AO$1006:$BQ$1006,0)), HYPERLINK("#",""), HYPERLINK(CONCATENATE("#Metadata!", ADDRESS(INDEX($AJ$2:$AJ$1001,MATCH(ROWS($AH$2:AH182),$AH$2:$AH$1001,0),0), INDEX($AO$1004:$BQ$1004,1,MATCH(COLUMNS($AO$1006:BO1006),$AO$1006:$BQ$1006,0)))),"Fix")))</f>
        <v>#N/A</v>
      </c>
      <c r="AC182" s="5" t="e">
        <f ca="1">IF(OR(INDEX($AI$2:$AI$1001,MATCH(ROWS($AH$2:AH182),$AH$2:$AH$1001,0),1)&gt;=100000,INDEX($AO$1005:$BQ$1005,1,MATCH(COLUMNS($AO$1006:BP1006),$AO$1006:$BQ$1006,0))&gt;=100000), " ",IF(INDEX($AO$2:$BQ$1001,MATCH(ROWS($AH$2:AH182),$AH$2:$AH$1001,0),MATCH(COLUMNS($AO$1006:BP1006),$AO$1006:$BQ$1006,0)), HYPERLINK("#",""), HYPERLINK(CONCATENATE("#Metadata!", ADDRESS(INDEX($AJ$2:$AJ$1001,MATCH(ROWS($AH$2:AH182),$AH$2:$AH$1001,0),0), INDEX($AO$1004:$BQ$1004,1,MATCH(COLUMNS($AO$1006:BP1006),$AO$1006:$BQ$1006,0)))),"Fix")))</f>
        <v>#N/A</v>
      </c>
      <c r="AD182" s="5" t="e">
        <f ca="1">IF(OR(INDEX($AI$2:$AI$1001,MATCH(ROWS($AH$2:AH182),$AH$2:$AH$1001,0),1)&gt;=100000,INDEX($AO$1005:$BQ$1005,1,MATCH(COLUMNS($AO$1006:BQ1006),$AO$1006:$BQ$1006,0))&gt;=100000), " ",IF(INDEX($AO$2:$BQ$1001,MATCH(ROWS($AH$2:AH182),$AH$2:$AH$1001,0),MATCH(COLUMNS($AO$1006:BQ1006),$AO$1006:$BQ$1006,0)), HYPERLINK("#",""), HYPERLINK(CONCATENATE("#Metadata!", ADDRESS(INDEX($AJ$2:$AJ$1001,MATCH(ROWS($AH$2:AH182),$AH$2:$AH$1001,0),0), INDEX($AO$1004:$BQ$1004,1,MATCH(COLUMNS($AO$1006:BQ1006),$AO$1006:$BQ$1006,0)))),"Fix")))</f>
        <v>#REF!</v>
      </c>
      <c r="AH182">
        <f ca="1"/>
        <v>179</v>
      </c>
      <c r="AI182">
        <v>100182</v>
      </c>
      <c r="AJ182">
        <v>182</v>
      </c>
      <c r="AK182" t="b">
        <f t="shared" si="2"/>
        <v>1</v>
      </c>
      <c r="AL182" t="b">
        <f>COUNTBLANK(Metadata!B182:AD182)=COLUMNS(Metadata!B182:AD182)</f>
        <v>1</v>
      </c>
      <c r="AM182" t="str">
        <v/>
      </c>
      <c r="AO182" t="b">
        <f ca="1">AND(IF(Metadata!B182="",FALSE,TRUE),COUNTIF(Metadata!B:B, Metadata!B182) = 1,NOT(ISERROR(SUMPRODUCT(SEARCH(MID(Metadata!B182,ROW(INDIRECT("1:"&amp;LEN(Metadata!B182))), 1),"0123456789abcdefghijklmnopqrstuvwxyzABCDEFGHIJKLMNOPQRSTUVWXYZ.")))))</f>
        <v>0</v>
      </c>
      <c r="AP182" t="b">
        <f>IF(Metadata!C182="",FALSE,TRUE)</f>
        <v>0</v>
      </c>
      <c r="AQ182" t="b">
        <f>IF(Metadata!D182="",FALSE,TRUE)</f>
        <v>0</v>
      </c>
      <c r="AR182" t="b">
        <f ca="1">OR(AND(IF(Metadata!E182="",FALSE,TRUE),OR(EXACT(Metadata!E182,"not collected"),EXACT(Metadata!E182,"not provided"),EXACT(Metadata!E182,"restricted access"))),AND(IF(Metadata!E182="",FALSE,TRUE),AND(AND(IFERROR(INT(LEFT(Metadata!E182,4))&gt;1900,FALSE),IFERROR(INT(LEFT(Metadata!E182,4))&lt;=YEAR(NOW()),FALSE)), OR(MID(Metadata!E182,5,1)="", AND(AND(MID(Metadata!E182,5,1)="-",IFERROR(INT(MID(Metadata!E182,6,1))&gt;=0,FALSE),IFERROR(INT(MID(Metadata!E182,6,1))&lt;=1,FALSE),NOT(MID(Metadata!E182,7,1)=""),IFERROR(INT(MID(Metadata!E182,6,2))&gt;=1,FALSE),IFERROR(INT(MID(Metadata!E182,6,2))&lt;=12,FALSE)), OR(MID(Metadata!E182,8,1)="", AND(AND(MID(Metadata!E182,8,1)="-",IFERROR(INT(MID(Metadata!E182,9,1))&gt;=0,FALSE),IFERROR(INT(MID(Metadata!E182,9,1))&lt;=3,FALSE),NOT(MID(Metadata!E182,10,1)=""),IFERROR(INT(MID(Metadata!E182,9,2))&gt;=1,FALSE),IFERROR(INT(MID(Metadata!E182,9,2))&lt;=31,FALSE)), OR(MID(Metadata!E182,11,1)="", AND(AND(MID(Metadata!E182,11,1)=" ",IFERROR(INT(MID(Metadata!E182,12,1))&gt;=0,FALSE),IFERROR(INT(MID(Metadata!E182,12,1))&lt;=2,FALSE),NOT(MID(Metadata!E182,13,1)=""),IFERROR(INT(MID(Metadata!E182,12,2))&gt;=0,FALSE),IFERROR(INT(MID(Metadata!E182,12,2))&lt;=23,FALSE)), OR(MID(Metadata!E182,14,1)="", AND(AND(MID(Metadata!E182,14,1)=":",IFERROR(INT(MID(Metadata!E182,15,1))&gt;=0,FALSE),IFERROR(INT(MID(Metadata!E182,15,1))&lt;=5,FALSE),NOT(MID(Metadata!E182,16,1)=""),IFERROR(INT(MID(Metadata!E182,15,2))&gt;=0,FALSE),IFERROR(INT(MID(Metadata!E182,15,2))&lt;=59,FALSE)), OR(MID(Metadata!E182,17,1)="", AND(AND(MID(Metadata!E182,17,1)=":",IFERROR(INT(MID(Metadata!E182,18,1))&gt;=0,FALSE),IFERROR(INT(MID(Metadata!E182,18,1))&lt;=5,FALSE),NOT(MID(Metadata!E182,19,1)=""),IFERROR(INT(MID(Metadata!E182,18,2))&gt;=0,FALSE),IFERROR(INT(MID(Metadata!E182,18,2))&lt;=59,FALSE)), LEN(Metadata!E182)&lt;=19)))))))))))))</f>
        <v>0</v>
      </c>
      <c r="AS182" t="b">
        <f>IF(Metadata!F182="",FALSE,TRUE)</f>
        <v>0</v>
      </c>
      <c r="AT182" t="b">
        <f>OR(AND(IF(Metadata!G182="",FALSE,TRUE),OR(EXACT(Metadata!G182,"not collected"),EXACT(Metadata!G182,"not provided"))),AND(IF(Metadata!G182="",FALSE,TRUE),OR(EXACT(Metadata!G182,"TRUE"),EXACT(Metadata!G182,"FALSE"))))</f>
        <v>0</v>
      </c>
      <c r="AU182" t="b">
        <f>OR(AND(IF(Metadata!H182="",FALSE,TRUE),OR(EXACT(Metadata!H182,"not collected"),EXACT(Metadata!H182,"not provided"),EXACT(Metadata!H182,"restricted access"))),AND(IF(Metadata!H182="",FALSE,ISNUMBER(VALUE(Metadata!H182))),Metadata!H182&gt;=-413))</f>
        <v>0</v>
      </c>
      <c r="AV182" t="b">
        <f>AND(IF(Metadata!I182="",FALSE,TRUE),EXACT(Metadata!I182,"meters"))</f>
        <v>0</v>
      </c>
      <c r="AW182" t="b">
        <f>AND(IF(Metadata!J182="",FALSE,TRUE),EXACT(Metadata!J182,"free-living"))</f>
        <v>0</v>
      </c>
      <c r="AX182" t="b">
        <f>AND(IF(Metadata!K182="",FALSE,TRUE),OR(EXACT(Metadata!K182,"saline"),EXACT(Metadata!K182,"non-saline")))</f>
        <v>0</v>
      </c>
      <c r="AY182" t="b">
        <f>AND(IF(Metadata!L182="",FALSE,TRUE),OR(EXACT(Metadata!L182,"sub-surface (non-saline)"),EXACT(Metadata!L182,"surface (non-saline)"),EXACT(Metadata!L182,"water (non-saline)"),EXACT(Metadata!L182,"soil (non-saline)"),EXACT(Metadata!L182,"aerosol (non-saline)"),EXACT(Metadata!L182,"sediment (non-saline)"),EXACT(Metadata!L182,"surface (saline)"),EXACT(Metadata!L182,"water (saline)"),EXACT(Metadata!L182,"hypersaline (saline)"),EXACT(Metadata!L182,"aerosol (saline)"),EXACT(Metadata!L182,"sediment (saline)")))</f>
        <v>0</v>
      </c>
      <c r="AZ182" t="b">
        <f>IF(Metadata!M182="",FALSE,TRUE)</f>
        <v>0</v>
      </c>
      <c r="BA182" t="b">
        <f>IF(Metadata!N182="",FALSE,TRUE)</f>
        <v>0</v>
      </c>
      <c r="BB182" t="b">
        <f>IF(Metadata!O182="",FALSE,TRUE)</f>
        <v>0</v>
      </c>
      <c r="BC182" t="b">
        <f>AND(IF(Metadata!P182="",FALSE,TRUE),OR(EXACT(Metadata!P182,"air"),EXACT(Metadata!P182,"microbial mat/biofilm"),EXACT(Metadata!P182,"misc environment"),EXACT(Metadata!P182,"sediment"),EXACT(Metadata!P182,"soil"),EXACT(Metadata!P182,"wastewater/sludge"),EXACT(Metadata!P182,"water")))</f>
        <v>0</v>
      </c>
      <c r="BD182" t="b">
        <f>IF(Metadata!Q182="",FALSE,TRUE)</f>
        <v>0</v>
      </c>
      <c r="BE182" t="b">
        <f>IF(Metadata!R182="",FALSE,TRUE)</f>
        <v>0</v>
      </c>
      <c r="BF182" t="b">
        <f>OR(AND(IF(Metadata!S182="",FALSE,TRUE),OR(EXACT(Metadata!S182,"not collected"),EXACT(Metadata!S182,"not provided"),EXACT(Metadata!S182,"restricted access"))),AND(IF(Metadata!S182="",FALSE,ISNUMBER(VALUE(Metadata!S182))),Metadata!S182&gt;=-90,Metadata!S182&lt;=90))</f>
        <v>0</v>
      </c>
      <c r="BG182" t="b">
        <f>AND(IF(Metadata!T182="",FALSE,TRUE),EXACT(Metadata!T182,"Decimal degrees"))</f>
        <v>0</v>
      </c>
      <c r="BH182" t="b">
        <f>OR(AND(IF(Metadata!U182="",FALSE,TRUE),OR(EXACT(Metadata!U182,"not applicable"),EXACT(Metadata!U182,"not collected"))),IF(Metadata!U182="",FALSE,TRUE))</f>
        <v>0</v>
      </c>
      <c r="BI182" t="b">
        <f>OR(AND(IF(Metadata!V182="",FALSE,TRUE),OR(EXACT(Metadata!V182,"not collected"),EXACT(Metadata!V182,"not provided"),EXACT(Metadata!V182,"restricted access"))),AND(IF(Metadata!V182="",FALSE,ISNUMBER(VALUE(Metadata!V182))),Metadata!V182&gt;=-180,Metadata!V182&lt;=180))</f>
        <v>0</v>
      </c>
      <c r="BJ182" t="b">
        <f>AND(IF(Metadata!W182="",FALSE,TRUE),EXACT(Metadata!W182,"Decimal degrees"))</f>
        <v>0</v>
      </c>
      <c r="BK182" t="b">
        <f>IF(Metadata!X182="",FALSE,TRUE)</f>
        <v>0</v>
      </c>
      <c r="BL182" t="b">
        <f>OR(AND(IF(Metadata!Y182="",FALSE,TRUE),OR(EXACT(Metadata!Y182,"not collected"),EXACT(Metadata!Y182,"not provided"),EXACT(Metadata!Y182,"restricted access"))),AND(IF(Metadata!Y182="",FALSE,TRUE),OR(EXACT(Metadata!Y182,"TRUE"),EXACT(Metadata!Y182,"FALSE"))))</f>
        <v>0</v>
      </c>
      <c r="BM182" t="b">
        <f>OR(AND(IF(Metadata!Z182="",FALSE,TRUE),EXACT(Metadata!Z182,"not applicable")),AND(IF(Metadata!Z182="",FALSE,TRUE),OR(EXACT(Metadata!Z182,"beer"),EXACT(Metadata!Z182,"cheese"),EXACT(Metadata!Z182,"fresh water"),EXACT(Metadata!Z182,"marine sediment"),EXACT(Metadata!Z182,"sea water"),EXACT(Metadata!Z182,"sediment"),EXACT(Metadata!Z182,"soil"),EXACT(Metadata!Z182,"waste water"))))</f>
        <v>0</v>
      </c>
      <c r="BN182" t="b">
        <f>AND(IF(Metadata!AA182="",FALSE,TRUE),EXACT(Metadata!AA182,"metagenome"))</f>
        <v>0</v>
      </c>
      <c r="BO182" t="b">
        <f>AND(IF(Metadata!AB182="",FALSE,TRUE),EXACT(Metadata!AB182,"256318"))</f>
        <v>0</v>
      </c>
      <c r="BP182" t="b">
        <f>IF(Metadata!AC182="",FALSE,TRUE)</f>
        <v>0</v>
      </c>
      <c r="BQ182" t="b">
        <f>IF(Metadata!AD182="",FALSE,TRUE)</f>
        <v>0</v>
      </c>
    </row>
    <row r="183" spans="1:69" x14ac:dyDescent="0.2">
      <c r="A183" s="4" t="e">
        <f ca="1">IF(B183=" "," ",HYPERLINK(CONCATENATE("#metadata!",ADDRESS(INDEX($AJ$2:$AJ$1001,MATCH(ROWS($AH$2:AH183),$AH$2:$AH$1001,0),0),2)),INDEX($AM$2:$AM$1001,MATCH(ROWS($AH$2:AH183),$AH$2:$AH$1001,0),0)))</f>
        <v>#N/A</v>
      </c>
      <c r="B183" s="5" t="e">
        <f ca="1">IF(OR(INDEX($AI$2:$AI$1001,MATCH(ROWS($AH$2:AH183),$AH$2:$AH$1001,0),1)&gt;=100000,INDEX($AO$1005:$BQ$1005,1,MATCH(COLUMNS($AO$1006:AO1006),$AO$1006:$BQ$1006,0))&gt;=100000), " ",IF(INDEX($AO$2:$BQ$1001,MATCH(ROWS($AH$2:AH183),$AH$2:$AH$1001,0),MATCH(COLUMNS($AO$1006:AO1006),$AO$1006:$BQ$1006,0)), HYPERLINK("#",""), HYPERLINK(CONCATENATE("#Metadata!", ADDRESS(INDEX($AJ$2:$AJ$1001,MATCH(ROWS($AH$2:AH183),$AH$2:$AH$1001,0),0), INDEX($AO$1004:$BQ$1004,1,MATCH(COLUMNS($AO$1006:AO1006),$AO$1006:$BQ$1006,0)))),"Fix")))</f>
        <v>#N/A</v>
      </c>
      <c r="C183" s="5" t="e">
        <f ca="1">IF(OR(INDEX($AI$2:$AI$1001,MATCH(ROWS($AH$2:AH183),$AH$2:$AH$1001,0),1)&gt;=100000,INDEX($AO$1005:$BQ$1005,1,MATCH(COLUMNS($AO$1006:AP1006),$AO$1006:$BQ$1006,0))&gt;=100000), " ",IF(INDEX($AO$2:$BQ$1001,MATCH(ROWS($AH$2:AH183),$AH$2:$AH$1001,0),MATCH(COLUMNS($AO$1006:AP1006),$AO$1006:$BQ$1006,0)), HYPERLINK("#",""), HYPERLINK(CONCATENATE("#Metadata!", ADDRESS(INDEX($AJ$2:$AJ$1001,MATCH(ROWS($AH$2:AH183),$AH$2:$AH$1001,0),0), INDEX($AO$1004:$BQ$1004,1,MATCH(COLUMNS($AO$1006:AP1006),$AO$1006:$BQ$1006,0)))),"Fix")))</f>
        <v>#N/A</v>
      </c>
      <c r="D183" s="5" t="e">
        <f ca="1">IF(OR(INDEX($AI$2:$AI$1001,MATCH(ROWS($AH$2:AH183),$AH$2:$AH$1001,0),1)&gt;=100000,INDEX($AO$1005:$BQ$1005,1,MATCH(COLUMNS($AO$1006:AQ1006),$AO$1006:$BQ$1006,0))&gt;=100000), " ",IF(INDEX($AO$2:$BQ$1001,MATCH(ROWS($AH$2:AH183),$AH$2:$AH$1001,0),MATCH(COLUMNS($AO$1006:AQ1006),$AO$1006:$BQ$1006,0)), HYPERLINK("#",""), HYPERLINK(CONCATENATE("#Metadata!", ADDRESS(INDEX($AJ$2:$AJ$1001,MATCH(ROWS($AH$2:AH183),$AH$2:$AH$1001,0),0), INDEX($AO$1004:$BQ$1004,1,MATCH(COLUMNS($AO$1006:AQ1006),$AO$1006:$BQ$1006,0)))),"Fix")))</f>
        <v>#N/A</v>
      </c>
      <c r="E183" s="5" t="e">
        <f ca="1">IF(OR(INDEX($AI$2:$AI$1001,MATCH(ROWS($AH$2:AH183),$AH$2:$AH$1001,0),1)&gt;=100000,INDEX($AO$1005:$BQ$1005,1,MATCH(COLUMNS($AO$1006:AR1006),$AO$1006:$BQ$1006,0))&gt;=100000), " ",IF(INDEX($AO$2:$BQ$1001,MATCH(ROWS($AH$2:AH183),$AH$2:$AH$1001,0),MATCH(COLUMNS($AO$1006:AR1006),$AO$1006:$BQ$1006,0)), HYPERLINK("#",""), HYPERLINK(CONCATENATE("#Metadata!", ADDRESS(INDEX($AJ$2:$AJ$1001,MATCH(ROWS($AH$2:AH183),$AH$2:$AH$1001,0),0), INDEX($AO$1004:$BQ$1004,1,MATCH(COLUMNS($AO$1006:AR1006),$AO$1006:$BQ$1006,0)))),"Fix")))</f>
        <v>#N/A</v>
      </c>
      <c r="F183" s="5" t="e">
        <f ca="1">IF(OR(INDEX($AI$2:$AI$1001,MATCH(ROWS($AH$2:AH183),$AH$2:$AH$1001,0),1)&gt;=100000,INDEX($AO$1005:$BQ$1005,1,MATCH(COLUMNS($AO$1006:AS1006),$AO$1006:$BQ$1006,0))&gt;=100000), " ",IF(INDEX($AO$2:$BQ$1001,MATCH(ROWS($AH$2:AH183),$AH$2:$AH$1001,0),MATCH(COLUMNS($AO$1006:AS1006),$AO$1006:$BQ$1006,0)), HYPERLINK("#",""), HYPERLINK(CONCATENATE("#Metadata!", ADDRESS(INDEX($AJ$2:$AJ$1001,MATCH(ROWS($AH$2:AH183),$AH$2:$AH$1001,0),0), INDEX($AO$1004:$BQ$1004,1,MATCH(COLUMNS($AO$1006:AS1006),$AO$1006:$BQ$1006,0)))),"Fix")))</f>
        <v>#N/A</v>
      </c>
      <c r="G183" s="5" t="e">
        <f ca="1">IF(OR(INDEX($AI$2:$AI$1001,MATCH(ROWS($AH$2:AH183),$AH$2:$AH$1001,0),1)&gt;=100000,INDEX($AO$1005:$BQ$1005,1,MATCH(COLUMNS($AO$1006:AT1006),$AO$1006:$BQ$1006,0))&gt;=100000), " ",IF(INDEX($AO$2:$BQ$1001,MATCH(ROWS($AH$2:AH183),$AH$2:$AH$1001,0),MATCH(COLUMNS($AO$1006:AT1006),$AO$1006:$BQ$1006,0)), HYPERLINK("#",""), HYPERLINK(CONCATENATE("#Metadata!", ADDRESS(INDEX($AJ$2:$AJ$1001,MATCH(ROWS($AH$2:AH183),$AH$2:$AH$1001,0),0), INDEX($AO$1004:$BQ$1004,1,MATCH(COLUMNS($AO$1006:AT1006),$AO$1006:$BQ$1006,0)))),"Fix")))</f>
        <v>#N/A</v>
      </c>
      <c r="H183" s="5" t="e">
        <f ca="1">IF(OR(INDEX($AI$2:$AI$1001,MATCH(ROWS($AH$2:AH183),$AH$2:$AH$1001,0),1)&gt;=100000,INDEX($AO$1005:$BQ$1005,1,MATCH(COLUMNS($AO$1006:AU1006),$AO$1006:$BQ$1006,0))&gt;=100000), " ",IF(INDEX($AO$2:$BQ$1001,MATCH(ROWS($AH$2:AH183),$AH$2:$AH$1001,0),MATCH(COLUMNS($AO$1006:AU1006),$AO$1006:$BQ$1006,0)), HYPERLINK("#",""), HYPERLINK(CONCATENATE("#Metadata!", ADDRESS(INDEX($AJ$2:$AJ$1001,MATCH(ROWS($AH$2:AH183),$AH$2:$AH$1001,0),0), INDEX($AO$1004:$BQ$1004,1,MATCH(COLUMNS($AO$1006:AU1006),$AO$1006:$BQ$1006,0)))),"Fix")))</f>
        <v>#N/A</v>
      </c>
      <c r="I183" s="5" t="e">
        <f ca="1">IF(OR(INDEX($AI$2:$AI$1001,MATCH(ROWS($AH$2:AH183),$AH$2:$AH$1001,0),1)&gt;=100000,INDEX($AO$1005:$BQ$1005,1,MATCH(COLUMNS($AO$1006:AV1006),$AO$1006:$BQ$1006,0))&gt;=100000), " ",IF(INDEX($AO$2:$BQ$1001,MATCH(ROWS($AH$2:AH183),$AH$2:$AH$1001,0),MATCH(COLUMNS($AO$1006:AV1006),$AO$1006:$BQ$1006,0)), HYPERLINK("#",""), HYPERLINK(CONCATENATE("#Metadata!", ADDRESS(INDEX($AJ$2:$AJ$1001,MATCH(ROWS($AH$2:AH183),$AH$2:$AH$1001,0),0), INDEX($AO$1004:$BQ$1004,1,MATCH(COLUMNS($AO$1006:AV1006),$AO$1006:$BQ$1006,0)))),"Fix")))</f>
        <v>#N/A</v>
      </c>
      <c r="J183" s="5" t="e">
        <f ca="1">IF(OR(INDEX($AI$2:$AI$1001,MATCH(ROWS($AH$2:AH183),$AH$2:$AH$1001,0),1)&gt;=100000,INDEX($AO$1005:$BQ$1005,1,MATCH(COLUMNS($AO$1006:AW1006),$AO$1006:$BQ$1006,0))&gt;=100000), " ",IF(INDEX($AO$2:$BQ$1001,MATCH(ROWS($AH$2:AH183),$AH$2:$AH$1001,0),MATCH(COLUMNS($AO$1006:AW1006),$AO$1006:$BQ$1006,0)), HYPERLINK("#",""), HYPERLINK(CONCATENATE("#Metadata!", ADDRESS(INDEX($AJ$2:$AJ$1001,MATCH(ROWS($AH$2:AH183),$AH$2:$AH$1001,0),0), INDEX($AO$1004:$BQ$1004,1,MATCH(COLUMNS($AO$1006:AW1006),$AO$1006:$BQ$1006,0)))),"Fix")))</f>
        <v>#N/A</v>
      </c>
      <c r="K183" s="5" t="e">
        <f ca="1">IF(OR(INDEX($AI$2:$AI$1001,MATCH(ROWS($AH$2:AH183),$AH$2:$AH$1001,0),1)&gt;=100000,INDEX($AO$1005:$BQ$1005,1,MATCH(COLUMNS($AO$1006:AX1006),$AO$1006:$BQ$1006,0))&gt;=100000), " ",IF(INDEX($AO$2:$BQ$1001,MATCH(ROWS($AH$2:AH183),$AH$2:$AH$1001,0),MATCH(COLUMNS($AO$1006:AX1006),$AO$1006:$BQ$1006,0)), HYPERLINK("#",""), HYPERLINK(CONCATENATE("#Metadata!", ADDRESS(INDEX($AJ$2:$AJ$1001,MATCH(ROWS($AH$2:AH183),$AH$2:$AH$1001,0),0), INDEX($AO$1004:$BQ$1004,1,MATCH(COLUMNS($AO$1006:AX1006),$AO$1006:$BQ$1006,0)))),"Fix")))</f>
        <v>#N/A</v>
      </c>
      <c r="L183" s="5" t="e">
        <f ca="1">IF(OR(INDEX($AI$2:$AI$1001,MATCH(ROWS($AH$2:AH183),$AH$2:$AH$1001,0),1)&gt;=100000,INDEX($AO$1005:$BQ$1005,1,MATCH(COLUMNS($AO$1006:AY1006),$AO$1006:$BQ$1006,0))&gt;=100000), " ",IF(INDEX($AO$2:$BQ$1001,MATCH(ROWS($AH$2:AH183),$AH$2:$AH$1001,0),MATCH(COLUMNS($AO$1006:AY1006),$AO$1006:$BQ$1006,0)), HYPERLINK("#",""), HYPERLINK(CONCATENATE("#Metadata!", ADDRESS(INDEX($AJ$2:$AJ$1001,MATCH(ROWS($AH$2:AH183),$AH$2:$AH$1001,0),0), INDEX($AO$1004:$BQ$1004,1,MATCH(COLUMNS($AO$1006:AY1006),$AO$1006:$BQ$1006,0)))),"Fix")))</f>
        <v>#N/A</v>
      </c>
      <c r="M183" s="5" t="e">
        <f ca="1">IF(OR(INDEX($AI$2:$AI$1001,MATCH(ROWS($AH$2:AH183),$AH$2:$AH$1001,0),1)&gt;=100000,INDEX($AO$1005:$BQ$1005,1,MATCH(COLUMNS($AO$1006:AZ1006),$AO$1006:$BQ$1006,0))&gt;=100000), " ",IF(INDEX($AO$2:$BQ$1001,MATCH(ROWS($AH$2:AH183),$AH$2:$AH$1001,0),MATCH(COLUMNS($AO$1006:AZ1006),$AO$1006:$BQ$1006,0)), HYPERLINK("#",""), HYPERLINK(CONCATENATE("#Metadata!", ADDRESS(INDEX($AJ$2:$AJ$1001,MATCH(ROWS($AH$2:AH183),$AH$2:$AH$1001,0),0), INDEX($AO$1004:$BQ$1004,1,MATCH(COLUMNS($AO$1006:AZ1006),$AO$1006:$BQ$1006,0)))),"Fix")))</f>
        <v>#N/A</v>
      </c>
      <c r="N183" s="5" t="e">
        <f ca="1">IF(OR(INDEX($AI$2:$AI$1001,MATCH(ROWS($AH$2:AH183),$AH$2:$AH$1001,0),1)&gt;=100000,INDEX($AO$1005:$BQ$1005,1,MATCH(COLUMNS($AO$1006:BA1006),$AO$1006:$BQ$1006,0))&gt;=100000), " ",IF(INDEX($AO$2:$BQ$1001,MATCH(ROWS($AH$2:AH183),$AH$2:$AH$1001,0),MATCH(COLUMNS($AO$1006:BA1006),$AO$1006:$BQ$1006,0)), HYPERLINK("#",""), HYPERLINK(CONCATENATE("#Metadata!", ADDRESS(INDEX($AJ$2:$AJ$1001,MATCH(ROWS($AH$2:AH183),$AH$2:$AH$1001,0),0), INDEX($AO$1004:$BQ$1004,1,MATCH(COLUMNS($AO$1006:BA1006),$AO$1006:$BQ$1006,0)))),"Fix")))</f>
        <v>#N/A</v>
      </c>
      <c r="O183" s="5" t="e">
        <f ca="1">IF(OR(INDEX($AI$2:$AI$1001,MATCH(ROWS($AH$2:AH183),$AH$2:$AH$1001,0),1)&gt;=100000,INDEX($AO$1005:$BQ$1005,1,MATCH(COLUMNS($AO$1006:BB1006),$AO$1006:$BQ$1006,0))&gt;=100000), " ",IF(INDEX($AO$2:$BQ$1001,MATCH(ROWS($AH$2:AH183),$AH$2:$AH$1001,0),MATCH(COLUMNS($AO$1006:BB1006),$AO$1006:$BQ$1006,0)), HYPERLINK("#",""), HYPERLINK(CONCATENATE("#Metadata!", ADDRESS(INDEX($AJ$2:$AJ$1001,MATCH(ROWS($AH$2:AH183),$AH$2:$AH$1001,0),0), INDEX($AO$1004:$BQ$1004,1,MATCH(COLUMNS($AO$1006:BB1006),$AO$1006:$BQ$1006,0)))),"Fix")))</f>
        <v>#N/A</v>
      </c>
      <c r="P183" s="5" t="e">
        <f ca="1">IF(OR(INDEX($AI$2:$AI$1001,MATCH(ROWS($AH$2:AH183),$AH$2:$AH$1001,0),1)&gt;=100000,INDEX($AO$1005:$BQ$1005,1,MATCH(COLUMNS($AO$1006:BC1006),$AO$1006:$BQ$1006,0))&gt;=100000), " ",IF(INDEX($AO$2:$BQ$1001,MATCH(ROWS($AH$2:AH183),$AH$2:$AH$1001,0),MATCH(COLUMNS($AO$1006:BC1006),$AO$1006:$BQ$1006,0)), HYPERLINK("#",""), HYPERLINK(CONCATENATE("#Metadata!", ADDRESS(INDEX($AJ$2:$AJ$1001,MATCH(ROWS($AH$2:AH183),$AH$2:$AH$1001,0),0), INDEX($AO$1004:$BQ$1004,1,MATCH(COLUMNS($AO$1006:BC1006),$AO$1006:$BQ$1006,0)))),"Fix")))</f>
        <v>#N/A</v>
      </c>
      <c r="Q183" s="5" t="e">
        <f ca="1">IF(OR(INDEX($AI$2:$AI$1001,MATCH(ROWS($AH$2:AH183),$AH$2:$AH$1001,0),1)&gt;=100000,INDEX($AO$1005:$BQ$1005,1,MATCH(COLUMNS($AO$1006:BD1006),$AO$1006:$BQ$1006,0))&gt;=100000), " ",IF(INDEX($AO$2:$BQ$1001,MATCH(ROWS($AH$2:AH183),$AH$2:$AH$1001,0),MATCH(COLUMNS($AO$1006:BD1006),$AO$1006:$BQ$1006,0)), HYPERLINK("#",""), HYPERLINK(CONCATENATE("#Metadata!", ADDRESS(INDEX($AJ$2:$AJ$1001,MATCH(ROWS($AH$2:AH183),$AH$2:$AH$1001,0),0), INDEX($AO$1004:$BQ$1004,1,MATCH(COLUMNS($AO$1006:BD1006),$AO$1006:$BQ$1006,0)))),"Fix")))</f>
        <v>#N/A</v>
      </c>
      <c r="R183" s="5" t="e">
        <f ca="1">IF(OR(INDEX($AI$2:$AI$1001,MATCH(ROWS($AH$2:AH183),$AH$2:$AH$1001,0),1)&gt;=100000,INDEX($AO$1005:$BQ$1005,1,MATCH(COLUMNS($AO$1006:BE1006),$AO$1006:$BQ$1006,0))&gt;=100000), " ",IF(INDEX($AO$2:$BQ$1001,MATCH(ROWS($AH$2:AH183),$AH$2:$AH$1001,0),MATCH(COLUMNS($AO$1006:BE1006),$AO$1006:$BQ$1006,0)), HYPERLINK("#",""), HYPERLINK(CONCATENATE("#Metadata!", ADDRESS(INDEX($AJ$2:$AJ$1001,MATCH(ROWS($AH$2:AH183),$AH$2:$AH$1001,0),0), INDEX($AO$1004:$BQ$1004,1,MATCH(COLUMNS($AO$1006:BE1006),$AO$1006:$BQ$1006,0)))),"Fix")))</f>
        <v>#N/A</v>
      </c>
      <c r="S183" s="5" t="e">
        <f ca="1">IF(OR(INDEX($AI$2:$AI$1001,MATCH(ROWS($AH$2:AH183),$AH$2:$AH$1001,0),1)&gt;=100000,INDEX($AO$1005:$BQ$1005,1,MATCH(COLUMNS($AO$1006:BF1006),$AO$1006:$BQ$1006,0))&gt;=100000), " ",IF(INDEX($AO$2:$BQ$1001,MATCH(ROWS($AH$2:AH183),$AH$2:$AH$1001,0),MATCH(COLUMNS($AO$1006:BF1006),$AO$1006:$BQ$1006,0)), HYPERLINK("#",""), HYPERLINK(CONCATENATE("#Metadata!", ADDRESS(INDEX($AJ$2:$AJ$1001,MATCH(ROWS($AH$2:AH183),$AH$2:$AH$1001,0),0), INDEX($AO$1004:$BQ$1004,1,MATCH(COLUMNS($AO$1006:BF1006),$AO$1006:$BQ$1006,0)))),"Fix")))</f>
        <v>#N/A</v>
      </c>
      <c r="T183" s="5" t="e">
        <f ca="1">IF(OR(INDEX($AI$2:$AI$1001,MATCH(ROWS($AH$2:AH183),$AH$2:$AH$1001,0),1)&gt;=100000,INDEX($AO$1005:$BQ$1005,1,MATCH(COLUMNS($AO$1006:BG1006),$AO$1006:$BQ$1006,0))&gt;=100000), " ",IF(INDEX($AO$2:$BQ$1001,MATCH(ROWS($AH$2:AH183),$AH$2:$AH$1001,0),MATCH(COLUMNS($AO$1006:BG1006),$AO$1006:$BQ$1006,0)), HYPERLINK("#",""), HYPERLINK(CONCATENATE("#Metadata!", ADDRESS(INDEX($AJ$2:$AJ$1001,MATCH(ROWS($AH$2:AH183),$AH$2:$AH$1001,0),0), INDEX($AO$1004:$BQ$1004,1,MATCH(COLUMNS($AO$1006:BG1006),$AO$1006:$BQ$1006,0)))),"Fix")))</f>
        <v>#N/A</v>
      </c>
      <c r="U183" s="5" t="e">
        <f ca="1">IF(OR(INDEX($AI$2:$AI$1001,MATCH(ROWS($AH$2:AH183),$AH$2:$AH$1001,0),1)&gt;=100000,INDEX($AO$1005:$BQ$1005,1,MATCH(COLUMNS($AO$1006:BH1006),$AO$1006:$BQ$1006,0))&gt;=100000), " ",IF(INDEX($AO$2:$BQ$1001,MATCH(ROWS($AH$2:AH183),$AH$2:$AH$1001,0),MATCH(COLUMNS($AO$1006:BH1006),$AO$1006:$BQ$1006,0)), HYPERLINK("#",""), HYPERLINK(CONCATENATE("#Metadata!", ADDRESS(INDEX($AJ$2:$AJ$1001,MATCH(ROWS($AH$2:AH183),$AH$2:$AH$1001,0),0), INDEX($AO$1004:$BQ$1004,1,MATCH(COLUMNS($AO$1006:BH1006),$AO$1006:$BQ$1006,0)))),"Fix")))</f>
        <v>#N/A</v>
      </c>
      <c r="V183" s="5" t="e">
        <f ca="1">IF(OR(INDEX($AI$2:$AI$1001,MATCH(ROWS($AH$2:AH183),$AH$2:$AH$1001,0),1)&gt;=100000,INDEX($AO$1005:$BQ$1005,1,MATCH(COLUMNS($AO$1006:BI1006),$AO$1006:$BQ$1006,0))&gt;=100000), " ",IF(INDEX($AO$2:$BQ$1001,MATCH(ROWS($AH$2:AH183),$AH$2:$AH$1001,0),MATCH(COLUMNS($AO$1006:BI1006),$AO$1006:$BQ$1006,0)), HYPERLINK("#",""), HYPERLINK(CONCATENATE("#Metadata!", ADDRESS(INDEX($AJ$2:$AJ$1001,MATCH(ROWS($AH$2:AH183),$AH$2:$AH$1001,0),0), INDEX($AO$1004:$BQ$1004,1,MATCH(COLUMNS($AO$1006:BI1006),$AO$1006:$BQ$1006,0)))),"Fix")))</f>
        <v>#N/A</v>
      </c>
      <c r="W183" s="5" t="e">
        <f ca="1">IF(OR(INDEX($AI$2:$AI$1001,MATCH(ROWS($AH$2:AH183),$AH$2:$AH$1001,0),1)&gt;=100000,INDEX($AO$1005:$BQ$1005,1,MATCH(COLUMNS($AO$1006:BJ1006),$AO$1006:$BQ$1006,0))&gt;=100000), " ",IF(INDEX($AO$2:$BQ$1001,MATCH(ROWS($AH$2:AH183),$AH$2:$AH$1001,0),MATCH(COLUMNS($AO$1006:BJ1006),$AO$1006:$BQ$1006,0)), HYPERLINK("#",""), HYPERLINK(CONCATENATE("#Metadata!", ADDRESS(INDEX($AJ$2:$AJ$1001,MATCH(ROWS($AH$2:AH183),$AH$2:$AH$1001,0),0), INDEX($AO$1004:$BQ$1004,1,MATCH(COLUMNS($AO$1006:BJ1006),$AO$1006:$BQ$1006,0)))),"Fix")))</f>
        <v>#N/A</v>
      </c>
      <c r="X183" s="5" t="e">
        <f ca="1">IF(OR(INDEX($AI$2:$AI$1001,MATCH(ROWS($AH$2:AH183),$AH$2:$AH$1001,0),1)&gt;=100000,INDEX($AO$1005:$BQ$1005,1,MATCH(COLUMNS($AO$1006:BK1006),$AO$1006:$BQ$1006,0))&gt;=100000), " ",IF(INDEX($AO$2:$BQ$1001,MATCH(ROWS($AH$2:AH183),$AH$2:$AH$1001,0),MATCH(COLUMNS($AO$1006:BK1006),$AO$1006:$BQ$1006,0)), HYPERLINK("#",""), HYPERLINK(CONCATENATE("#Metadata!", ADDRESS(INDEX($AJ$2:$AJ$1001,MATCH(ROWS($AH$2:AH183),$AH$2:$AH$1001,0),0), INDEX($AO$1004:$BQ$1004,1,MATCH(COLUMNS($AO$1006:BK1006),$AO$1006:$BQ$1006,0)))),"Fix")))</f>
        <v>#N/A</v>
      </c>
      <c r="Y183" s="5" t="e">
        <f ca="1">IF(OR(INDEX($AI$2:$AI$1001,MATCH(ROWS($AH$2:AH183),$AH$2:$AH$1001,0),1)&gt;=100000,INDEX($AO$1005:$BQ$1005,1,MATCH(COLUMNS($AO$1006:BL1006),$AO$1006:$BQ$1006,0))&gt;=100000), " ",IF(INDEX($AO$2:$BQ$1001,MATCH(ROWS($AH$2:AH183),$AH$2:$AH$1001,0),MATCH(COLUMNS($AO$1006:BL1006),$AO$1006:$BQ$1006,0)), HYPERLINK("#",""), HYPERLINK(CONCATENATE("#Metadata!", ADDRESS(INDEX($AJ$2:$AJ$1001,MATCH(ROWS($AH$2:AH183),$AH$2:$AH$1001,0),0), INDEX($AO$1004:$BQ$1004,1,MATCH(COLUMNS($AO$1006:BL1006),$AO$1006:$BQ$1006,0)))),"Fix")))</f>
        <v>#N/A</v>
      </c>
      <c r="Z183" s="5" t="e">
        <f ca="1">IF(OR(INDEX($AI$2:$AI$1001,MATCH(ROWS($AH$2:AH183),$AH$2:$AH$1001,0),1)&gt;=100000,INDEX($AO$1005:$BQ$1005,1,MATCH(COLUMNS($AO$1006:BM1006),$AO$1006:$BQ$1006,0))&gt;=100000), " ",IF(INDEX($AO$2:$BQ$1001,MATCH(ROWS($AH$2:AH183),$AH$2:$AH$1001,0),MATCH(COLUMNS($AO$1006:BM1006),$AO$1006:$BQ$1006,0)), HYPERLINK("#",""), HYPERLINK(CONCATENATE("#Metadata!", ADDRESS(INDEX($AJ$2:$AJ$1001,MATCH(ROWS($AH$2:AH183),$AH$2:$AH$1001,0),0), INDEX($AO$1004:$BQ$1004,1,MATCH(COLUMNS($AO$1006:BM1006),$AO$1006:$BQ$1006,0)))),"Fix")))</f>
        <v>#N/A</v>
      </c>
      <c r="AA183" s="5" t="e">
        <f ca="1">IF(OR(INDEX($AI$2:$AI$1001,MATCH(ROWS($AH$2:AH183),$AH$2:$AH$1001,0),1)&gt;=100000,INDEX($AO$1005:$BQ$1005,1,MATCH(COLUMNS($AO$1006:BN1006),$AO$1006:$BQ$1006,0))&gt;=100000), " ",IF(INDEX($AO$2:$BQ$1001,MATCH(ROWS($AH$2:AH183),$AH$2:$AH$1001,0),MATCH(COLUMNS($AO$1006:BN1006),$AO$1006:$BQ$1006,0)), HYPERLINK("#",""), HYPERLINK(CONCATENATE("#Metadata!", ADDRESS(INDEX($AJ$2:$AJ$1001,MATCH(ROWS($AH$2:AH183),$AH$2:$AH$1001,0),0), INDEX($AO$1004:$BQ$1004,1,MATCH(COLUMNS($AO$1006:BN1006),$AO$1006:$BQ$1006,0)))),"Fix")))</f>
        <v>#N/A</v>
      </c>
      <c r="AB183" s="5" t="e">
        <f ca="1">IF(OR(INDEX($AI$2:$AI$1001,MATCH(ROWS($AH$2:AH183),$AH$2:$AH$1001,0),1)&gt;=100000,INDEX($AO$1005:$BQ$1005,1,MATCH(COLUMNS($AO$1006:BO1006),$AO$1006:$BQ$1006,0))&gt;=100000), " ",IF(INDEX($AO$2:$BQ$1001,MATCH(ROWS($AH$2:AH183),$AH$2:$AH$1001,0),MATCH(COLUMNS($AO$1006:BO1006),$AO$1006:$BQ$1006,0)), HYPERLINK("#",""), HYPERLINK(CONCATENATE("#Metadata!", ADDRESS(INDEX($AJ$2:$AJ$1001,MATCH(ROWS($AH$2:AH183),$AH$2:$AH$1001,0),0), INDEX($AO$1004:$BQ$1004,1,MATCH(COLUMNS($AO$1006:BO1006),$AO$1006:$BQ$1006,0)))),"Fix")))</f>
        <v>#N/A</v>
      </c>
      <c r="AC183" s="5" t="e">
        <f ca="1">IF(OR(INDEX($AI$2:$AI$1001,MATCH(ROWS($AH$2:AH183),$AH$2:$AH$1001,0),1)&gt;=100000,INDEX($AO$1005:$BQ$1005,1,MATCH(COLUMNS($AO$1006:BP1006),$AO$1006:$BQ$1006,0))&gt;=100000), " ",IF(INDEX($AO$2:$BQ$1001,MATCH(ROWS($AH$2:AH183),$AH$2:$AH$1001,0),MATCH(COLUMNS($AO$1006:BP1006),$AO$1006:$BQ$1006,0)), HYPERLINK("#",""), HYPERLINK(CONCATENATE("#Metadata!", ADDRESS(INDEX($AJ$2:$AJ$1001,MATCH(ROWS($AH$2:AH183),$AH$2:$AH$1001,0),0), INDEX($AO$1004:$BQ$1004,1,MATCH(COLUMNS($AO$1006:BP1006),$AO$1006:$BQ$1006,0)))),"Fix")))</f>
        <v>#N/A</v>
      </c>
      <c r="AD183" s="5" t="e">
        <f ca="1">IF(OR(INDEX($AI$2:$AI$1001,MATCH(ROWS($AH$2:AH183),$AH$2:$AH$1001,0),1)&gt;=100000,INDEX($AO$1005:$BQ$1005,1,MATCH(COLUMNS($AO$1006:BQ1006),$AO$1006:$BQ$1006,0))&gt;=100000), " ",IF(INDEX($AO$2:$BQ$1001,MATCH(ROWS($AH$2:AH183),$AH$2:$AH$1001,0),MATCH(COLUMNS($AO$1006:BQ1006),$AO$1006:$BQ$1006,0)), HYPERLINK("#",""), HYPERLINK(CONCATENATE("#Metadata!", ADDRESS(INDEX($AJ$2:$AJ$1001,MATCH(ROWS($AH$2:AH183),$AH$2:$AH$1001,0),0), INDEX($AO$1004:$BQ$1004,1,MATCH(COLUMNS($AO$1006:BQ1006),$AO$1006:$BQ$1006,0)))),"Fix")))</f>
        <v>#REF!</v>
      </c>
      <c r="AH183">
        <f ca="1"/>
        <v>180</v>
      </c>
      <c r="AI183">
        <v>100183</v>
      </c>
      <c r="AJ183">
        <v>183</v>
      </c>
      <c r="AK183" t="b">
        <f t="shared" si="2"/>
        <v>1</v>
      </c>
      <c r="AL183" t="b">
        <f>COUNTBLANK(Metadata!B183:AD183)=COLUMNS(Metadata!B183:AD183)</f>
        <v>1</v>
      </c>
      <c r="AM183" t="str">
        <v/>
      </c>
      <c r="AO183" t="b">
        <f ca="1">AND(IF(Metadata!B183="",FALSE,TRUE),COUNTIF(Metadata!B:B, Metadata!B183) = 1,NOT(ISERROR(SUMPRODUCT(SEARCH(MID(Metadata!B183,ROW(INDIRECT("1:"&amp;LEN(Metadata!B183))), 1),"0123456789abcdefghijklmnopqrstuvwxyzABCDEFGHIJKLMNOPQRSTUVWXYZ.")))))</f>
        <v>0</v>
      </c>
      <c r="AP183" t="b">
        <f>IF(Metadata!C183="",FALSE,TRUE)</f>
        <v>0</v>
      </c>
      <c r="AQ183" t="b">
        <f>IF(Metadata!D183="",FALSE,TRUE)</f>
        <v>0</v>
      </c>
      <c r="AR183" t="b">
        <f ca="1">OR(AND(IF(Metadata!E183="",FALSE,TRUE),OR(EXACT(Metadata!E183,"not collected"),EXACT(Metadata!E183,"not provided"),EXACT(Metadata!E183,"restricted access"))),AND(IF(Metadata!E183="",FALSE,TRUE),AND(AND(IFERROR(INT(LEFT(Metadata!E183,4))&gt;1900,FALSE),IFERROR(INT(LEFT(Metadata!E183,4))&lt;=YEAR(NOW()),FALSE)), OR(MID(Metadata!E183,5,1)="", AND(AND(MID(Metadata!E183,5,1)="-",IFERROR(INT(MID(Metadata!E183,6,1))&gt;=0,FALSE),IFERROR(INT(MID(Metadata!E183,6,1))&lt;=1,FALSE),NOT(MID(Metadata!E183,7,1)=""),IFERROR(INT(MID(Metadata!E183,6,2))&gt;=1,FALSE),IFERROR(INT(MID(Metadata!E183,6,2))&lt;=12,FALSE)), OR(MID(Metadata!E183,8,1)="", AND(AND(MID(Metadata!E183,8,1)="-",IFERROR(INT(MID(Metadata!E183,9,1))&gt;=0,FALSE),IFERROR(INT(MID(Metadata!E183,9,1))&lt;=3,FALSE),NOT(MID(Metadata!E183,10,1)=""),IFERROR(INT(MID(Metadata!E183,9,2))&gt;=1,FALSE),IFERROR(INT(MID(Metadata!E183,9,2))&lt;=31,FALSE)), OR(MID(Metadata!E183,11,1)="", AND(AND(MID(Metadata!E183,11,1)=" ",IFERROR(INT(MID(Metadata!E183,12,1))&gt;=0,FALSE),IFERROR(INT(MID(Metadata!E183,12,1))&lt;=2,FALSE),NOT(MID(Metadata!E183,13,1)=""),IFERROR(INT(MID(Metadata!E183,12,2))&gt;=0,FALSE),IFERROR(INT(MID(Metadata!E183,12,2))&lt;=23,FALSE)), OR(MID(Metadata!E183,14,1)="", AND(AND(MID(Metadata!E183,14,1)=":",IFERROR(INT(MID(Metadata!E183,15,1))&gt;=0,FALSE),IFERROR(INT(MID(Metadata!E183,15,1))&lt;=5,FALSE),NOT(MID(Metadata!E183,16,1)=""),IFERROR(INT(MID(Metadata!E183,15,2))&gt;=0,FALSE),IFERROR(INT(MID(Metadata!E183,15,2))&lt;=59,FALSE)), OR(MID(Metadata!E183,17,1)="", AND(AND(MID(Metadata!E183,17,1)=":",IFERROR(INT(MID(Metadata!E183,18,1))&gt;=0,FALSE),IFERROR(INT(MID(Metadata!E183,18,1))&lt;=5,FALSE),NOT(MID(Metadata!E183,19,1)=""),IFERROR(INT(MID(Metadata!E183,18,2))&gt;=0,FALSE),IFERROR(INT(MID(Metadata!E183,18,2))&lt;=59,FALSE)), LEN(Metadata!E183)&lt;=19)))))))))))))</f>
        <v>0</v>
      </c>
      <c r="AS183" t="b">
        <f>IF(Metadata!F183="",FALSE,TRUE)</f>
        <v>0</v>
      </c>
      <c r="AT183" t="b">
        <f>OR(AND(IF(Metadata!G183="",FALSE,TRUE),OR(EXACT(Metadata!G183,"not collected"),EXACT(Metadata!G183,"not provided"))),AND(IF(Metadata!G183="",FALSE,TRUE),OR(EXACT(Metadata!G183,"TRUE"),EXACT(Metadata!G183,"FALSE"))))</f>
        <v>0</v>
      </c>
      <c r="AU183" t="b">
        <f>OR(AND(IF(Metadata!H183="",FALSE,TRUE),OR(EXACT(Metadata!H183,"not collected"),EXACT(Metadata!H183,"not provided"),EXACT(Metadata!H183,"restricted access"))),AND(IF(Metadata!H183="",FALSE,ISNUMBER(VALUE(Metadata!H183))),Metadata!H183&gt;=-413))</f>
        <v>0</v>
      </c>
      <c r="AV183" t="b">
        <f>AND(IF(Metadata!I183="",FALSE,TRUE),EXACT(Metadata!I183,"meters"))</f>
        <v>0</v>
      </c>
      <c r="AW183" t="b">
        <f>AND(IF(Metadata!J183="",FALSE,TRUE),EXACT(Metadata!J183,"free-living"))</f>
        <v>0</v>
      </c>
      <c r="AX183" t="b">
        <f>AND(IF(Metadata!K183="",FALSE,TRUE),OR(EXACT(Metadata!K183,"saline"),EXACT(Metadata!K183,"non-saline")))</f>
        <v>0</v>
      </c>
      <c r="AY183" t="b">
        <f>AND(IF(Metadata!L183="",FALSE,TRUE),OR(EXACT(Metadata!L183,"sub-surface (non-saline)"),EXACT(Metadata!L183,"surface (non-saline)"),EXACT(Metadata!L183,"water (non-saline)"),EXACT(Metadata!L183,"soil (non-saline)"),EXACT(Metadata!L183,"aerosol (non-saline)"),EXACT(Metadata!L183,"sediment (non-saline)"),EXACT(Metadata!L183,"surface (saline)"),EXACT(Metadata!L183,"water (saline)"),EXACT(Metadata!L183,"hypersaline (saline)"),EXACT(Metadata!L183,"aerosol (saline)"),EXACT(Metadata!L183,"sediment (saline)")))</f>
        <v>0</v>
      </c>
      <c r="AZ183" t="b">
        <f>IF(Metadata!M183="",FALSE,TRUE)</f>
        <v>0</v>
      </c>
      <c r="BA183" t="b">
        <f>IF(Metadata!N183="",FALSE,TRUE)</f>
        <v>0</v>
      </c>
      <c r="BB183" t="b">
        <f>IF(Metadata!O183="",FALSE,TRUE)</f>
        <v>0</v>
      </c>
      <c r="BC183" t="b">
        <f>AND(IF(Metadata!P183="",FALSE,TRUE),OR(EXACT(Metadata!P183,"air"),EXACT(Metadata!P183,"microbial mat/biofilm"),EXACT(Metadata!P183,"misc environment"),EXACT(Metadata!P183,"sediment"),EXACT(Metadata!P183,"soil"),EXACT(Metadata!P183,"wastewater/sludge"),EXACT(Metadata!P183,"water")))</f>
        <v>0</v>
      </c>
      <c r="BD183" t="b">
        <f>IF(Metadata!Q183="",FALSE,TRUE)</f>
        <v>0</v>
      </c>
      <c r="BE183" t="b">
        <f>IF(Metadata!R183="",FALSE,TRUE)</f>
        <v>0</v>
      </c>
      <c r="BF183" t="b">
        <f>OR(AND(IF(Metadata!S183="",FALSE,TRUE),OR(EXACT(Metadata!S183,"not collected"),EXACT(Metadata!S183,"not provided"),EXACT(Metadata!S183,"restricted access"))),AND(IF(Metadata!S183="",FALSE,ISNUMBER(VALUE(Metadata!S183))),Metadata!S183&gt;=-90,Metadata!S183&lt;=90))</f>
        <v>0</v>
      </c>
      <c r="BG183" t="b">
        <f>AND(IF(Metadata!T183="",FALSE,TRUE),EXACT(Metadata!T183,"Decimal degrees"))</f>
        <v>0</v>
      </c>
      <c r="BH183" t="b">
        <f>OR(AND(IF(Metadata!U183="",FALSE,TRUE),OR(EXACT(Metadata!U183,"not applicable"),EXACT(Metadata!U183,"not collected"))),IF(Metadata!U183="",FALSE,TRUE))</f>
        <v>0</v>
      </c>
      <c r="BI183" t="b">
        <f>OR(AND(IF(Metadata!V183="",FALSE,TRUE),OR(EXACT(Metadata!V183,"not collected"),EXACT(Metadata!V183,"not provided"),EXACT(Metadata!V183,"restricted access"))),AND(IF(Metadata!V183="",FALSE,ISNUMBER(VALUE(Metadata!V183))),Metadata!V183&gt;=-180,Metadata!V183&lt;=180))</f>
        <v>0</v>
      </c>
      <c r="BJ183" t="b">
        <f>AND(IF(Metadata!W183="",FALSE,TRUE),EXACT(Metadata!W183,"Decimal degrees"))</f>
        <v>0</v>
      </c>
      <c r="BK183" t="b">
        <f>IF(Metadata!X183="",FALSE,TRUE)</f>
        <v>0</v>
      </c>
      <c r="BL183" t="b">
        <f>OR(AND(IF(Metadata!Y183="",FALSE,TRUE),OR(EXACT(Metadata!Y183,"not collected"),EXACT(Metadata!Y183,"not provided"),EXACT(Metadata!Y183,"restricted access"))),AND(IF(Metadata!Y183="",FALSE,TRUE),OR(EXACT(Metadata!Y183,"TRUE"),EXACT(Metadata!Y183,"FALSE"))))</f>
        <v>0</v>
      </c>
      <c r="BM183" t="b">
        <f>OR(AND(IF(Metadata!Z183="",FALSE,TRUE),EXACT(Metadata!Z183,"not applicable")),AND(IF(Metadata!Z183="",FALSE,TRUE),OR(EXACT(Metadata!Z183,"beer"),EXACT(Metadata!Z183,"cheese"),EXACT(Metadata!Z183,"fresh water"),EXACT(Metadata!Z183,"marine sediment"),EXACT(Metadata!Z183,"sea water"),EXACT(Metadata!Z183,"sediment"),EXACT(Metadata!Z183,"soil"),EXACT(Metadata!Z183,"waste water"))))</f>
        <v>0</v>
      </c>
      <c r="BN183" t="b">
        <f>AND(IF(Metadata!AA183="",FALSE,TRUE),EXACT(Metadata!AA183,"metagenome"))</f>
        <v>0</v>
      </c>
      <c r="BO183" t="b">
        <f>AND(IF(Metadata!AB183="",FALSE,TRUE),EXACT(Metadata!AB183,"256318"))</f>
        <v>0</v>
      </c>
      <c r="BP183" t="b">
        <f>IF(Metadata!AC183="",FALSE,TRUE)</f>
        <v>0</v>
      </c>
      <c r="BQ183" t="b">
        <f>IF(Metadata!AD183="",FALSE,TRUE)</f>
        <v>0</v>
      </c>
    </row>
    <row r="184" spans="1:69" x14ac:dyDescent="0.2">
      <c r="A184" s="4" t="e">
        <f ca="1">IF(B184=" "," ",HYPERLINK(CONCATENATE("#metadata!",ADDRESS(INDEX($AJ$2:$AJ$1001,MATCH(ROWS($AH$2:AH184),$AH$2:$AH$1001,0),0),2)),INDEX($AM$2:$AM$1001,MATCH(ROWS($AH$2:AH184),$AH$2:$AH$1001,0),0)))</f>
        <v>#N/A</v>
      </c>
      <c r="B184" s="5" t="e">
        <f ca="1">IF(OR(INDEX($AI$2:$AI$1001,MATCH(ROWS($AH$2:AH184),$AH$2:$AH$1001,0),1)&gt;=100000,INDEX($AO$1005:$BQ$1005,1,MATCH(COLUMNS($AO$1006:AO1006),$AO$1006:$BQ$1006,0))&gt;=100000), " ",IF(INDEX($AO$2:$BQ$1001,MATCH(ROWS($AH$2:AH184),$AH$2:$AH$1001,0),MATCH(COLUMNS($AO$1006:AO1006),$AO$1006:$BQ$1006,0)), HYPERLINK("#",""), HYPERLINK(CONCATENATE("#Metadata!", ADDRESS(INDEX($AJ$2:$AJ$1001,MATCH(ROWS($AH$2:AH184),$AH$2:$AH$1001,0),0), INDEX($AO$1004:$BQ$1004,1,MATCH(COLUMNS($AO$1006:AO1006),$AO$1006:$BQ$1006,0)))),"Fix")))</f>
        <v>#N/A</v>
      </c>
      <c r="C184" s="5" t="e">
        <f ca="1">IF(OR(INDEX($AI$2:$AI$1001,MATCH(ROWS($AH$2:AH184),$AH$2:$AH$1001,0),1)&gt;=100000,INDEX($AO$1005:$BQ$1005,1,MATCH(COLUMNS($AO$1006:AP1006),$AO$1006:$BQ$1006,0))&gt;=100000), " ",IF(INDEX($AO$2:$BQ$1001,MATCH(ROWS($AH$2:AH184),$AH$2:$AH$1001,0),MATCH(COLUMNS($AO$1006:AP1006),$AO$1006:$BQ$1006,0)), HYPERLINK("#",""), HYPERLINK(CONCATENATE("#Metadata!", ADDRESS(INDEX($AJ$2:$AJ$1001,MATCH(ROWS($AH$2:AH184),$AH$2:$AH$1001,0),0), INDEX($AO$1004:$BQ$1004,1,MATCH(COLUMNS($AO$1006:AP1006),$AO$1006:$BQ$1006,0)))),"Fix")))</f>
        <v>#N/A</v>
      </c>
      <c r="D184" s="5" t="e">
        <f ca="1">IF(OR(INDEX($AI$2:$AI$1001,MATCH(ROWS($AH$2:AH184),$AH$2:$AH$1001,0),1)&gt;=100000,INDEX($AO$1005:$BQ$1005,1,MATCH(COLUMNS($AO$1006:AQ1006),$AO$1006:$BQ$1006,0))&gt;=100000), " ",IF(INDEX($AO$2:$BQ$1001,MATCH(ROWS($AH$2:AH184),$AH$2:$AH$1001,0),MATCH(COLUMNS($AO$1006:AQ1006),$AO$1006:$BQ$1006,0)), HYPERLINK("#",""), HYPERLINK(CONCATENATE("#Metadata!", ADDRESS(INDEX($AJ$2:$AJ$1001,MATCH(ROWS($AH$2:AH184),$AH$2:$AH$1001,0),0), INDEX($AO$1004:$BQ$1004,1,MATCH(COLUMNS($AO$1006:AQ1006),$AO$1006:$BQ$1006,0)))),"Fix")))</f>
        <v>#N/A</v>
      </c>
      <c r="E184" s="5" t="e">
        <f ca="1">IF(OR(INDEX($AI$2:$AI$1001,MATCH(ROWS($AH$2:AH184),$AH$2:$AH$1001,0),1)&gt;=100000,INDEX($AO$1005:$BQ$1005,1,MATCH(COLUMNS($AO$1006:AR1006),$AO$1006:$BQ$1006,0))&gt;=100000), " ",IF(INDEX($AO$2:$BQ$1001,MATCH(ROWS($AH$2:AH184),$AH$2:$AH$1001,0),MATCH(COLUMNS($AO$1006:AR1006),$AO$1006:$BQ$1006,0)), HYPERLINK("#",""), HYPERLINK(CONCATENATE("#Metadata!", ADDRESS(INDEX($AJ$2:$AJ$1001,MATCH(ROWS($AH$2:AH184),$AH$2:$AH$1001,0),0), INDEX($AO$1004:$BQ$1004,1,MATCH(COLUMNS($AO$1006:AR1006),$AO$1006:$BQ$1006,0)))),"Fix")))</f>
        <v>#N/A</v>
      </c>
      <c r="F184" s="5" t="e">
        <f ca="1">IF(OR(INDEX($AI$2:$AI$1001,MATCH(ROWS($AH$2:AH184),$AH$2:$AH$1001,0),1)&gt;=100000,INDEX($AO$1005:$BQ$1005,1,MATCH(COLUMNS($AO$1006:AS1006),$AO$1006:$BQ$1006,0))&gt;=100000), " ",IF(INDEX($AO$2:$BQ$1001,MATCH(ROWS($AH$2:AH184),$AH$2:$AH$1001,0),MATCH(COLUMNS($AO$1006:AS1006),$AO$1006:$BQ$1006,0)), HYPERLINK("#",""), HYPERLINK(CONCATENATE("#Metadata!", ADDRESS(INDEX($AJ$2:$AJ$1001,MATCH(ROWS($AH$2:AH184),$AH$2:$AH$1001,0),0), INDEX($AO$1004:$BQ$1004,1,MATCH(COLUMNS($AO$1006:AS1006),$AO$1006:$BQ$1006,0)))),"Fix")))</f>
        <v>#N/A</v>
      </c>
      <c r="G184" s="5" t="e">
        <f ca="1">IF(OR(INDEX($AI$2:$AI$1001,MATCH(ROWS($AH$2:AH184),$AH$2:$AH$1001,0),1)&gt;=100000,INDEX($AO$1005:$BQ$1005,1,MATCH(COLUMNS($AO$1006:AT1006),$AO$1006:$BQ$1006,0))&gt;=100000), " ",IF(INDEX($AO$2:$BQ$1001,MATCH(ROWS($AH$2:AH184),$AH$2:$AH$1001,0),MATCH(COLUMNS($AO$1006:AT1006),$AO$1006:$BQ$1006,0)), HYPERLINK("#",""), HYPERLINK(CONCATENATE("#Metadata!", ADDRESS(INDEX($AJ$2:$AJ$1001,MATCH(ROWS($AH$2:AH184),$AH$2:$AH$1001,0),0), INDEX($AO$1004:$BQ$1004,1,MATCH(COLUMNS($AO$1006:AT1006),$AO$1006:$BQ$1006,0)))),"Fix")))</f>
        <v>#N/A</v>
      </c>
      <c r="H184" s="5" t="e">
        <f ca="1">IF(OR(INDEX($AI$2:$AI$1001,MATCH(ROWS($AH$2:AH184),$AH$2:$AH$1001,0),1)&gt;=100000,INDEX($AO$1005:$BQ$1005,1,MATCH(COLUMNS($AO$1006:AU1006),$AO$1006:$BQ$1006,0))&gt;=100000), " ",IF(INDEX($AO$2:$BQ$1001,MATCH(ROWS($AH$2:AH184),$AH$2:$AH$1001,0),MATCH(COLUMNS($AO$1006:AU1006),$AO$1006:$BQ$1006,0)), HYPERLINK("#",""), HYPERLINK(CONCATENATE("#Metadata!", ADDRESS(INDEX($AJ$2:$AJ$1001,MATCH(ROWS($AH$2:AH184),$AH$2:$AH$1001,0),0), INDEX($AO$1004:$BQ$1004,1,MATCH(COLUMNS($AO$1006:AU1006),$AO$1006:$BQ$1006,0)))),"Fix")))</f>
        <v>#N/A</v>
      </c>
      <c r="I184" s="5" t="e">
        <f ca="1">IF(OR(INDEX($AI$2:$AI$1001,MATCH(ROWS($AH$2:AH184),$AH$2:$AH$1001,0),1)&gt;=100000,INDEX($AO$1005:$BQ$1005,1,MATCH(COLUMNS($AO$1006:AV1006),$AO$1006:$BQ$1006,0))&gt;=100000), " ",IF(INDEX($AO$2:$BQ$1001,MATCH(ROWS($AH$2:AH184),$AH$2:$AH$1001,0),MATCH(COLUMNS($AO$1006:AV1006),$AO$1006:$BQ$1006,0)), HYPERLINK("#",""), HYPERLINK(CONCATENATE("#Metadata!", ADDRESS(INDEX($AJ$2:$AJ$1001,MATCH(ROWS($AH$2:AH184),$AH$2:$AH$1001,0),0), INDEX($AO$1004:$BQ$1004,1,MATCH(COLUMNS($AO$1006:AV1006),$AO$1006:$BQ$1006,0)))),"Fix")))</f>
        <v>#N/A</v>
      </c>
      <c r="J184" s="5" t="e">
        <f ca="1">IF(OR(INDEX($AI$2:$AI$1001,MATCH(ROWS($AH$2:AH184),$AH$2:$AH$1001,0),1)&gt;=100000,INDEX($AO$1005:$BQ$1005,1,MATCH(COLUMNS($AO$1006:AW1006),$AO$1006:$BQ$1006,0))&gt;=100000), " ",IF(INDEX($AO$2:$BQ$1001,MATCH(ROWS($AH$2:AH184),$AH$2:$AH$1001,0),MATCH(COLUMNS($AO$1006:AW1006),$AO$1006:$BQ$1006,0)), HYPERLINK("#",""), HYPERLINK(CONCATENATE("#Metadata!", ADDRESS(INDEX($AJ$2:$AJ$1001,MATCH(ROWS($AH$2:AH184),$AH$2:$AH$1001,0),0), INDEX($AO$1004:$BQ$1004,1,MATCH(COLUMNS($AO$1006:AW1006),$AO$1006:$BQ$1006,0)))),"Fix")))</f>
        <v>#N/A</v>
      </c>
      <c r="K184" s="5" t="e">
        <f ca="1">IF(OR(INDEX($AI$2:$AI$1001,MATCH(ROWS($AH$2:AH184),$AH$2:$AH$1001,0),1)&gt;=100000,INDEX($AO$1005:$BQ$1005,1,MATCH(COLUMNS($AO$1006:AX1006),$AO$1006:$BQ$1006,0))&gt;=100000), " ",IF(INDEX($AO$2:$BQ$1001,MATCH(ROWS($AH$2:AH184),$AH$2:$AH$1001,0),MATCH(COLUMNS($AO$1006:AX1006),$AO$1006:$BQ$1006,0)), HYPERLINK("#",""), HYPERLINK(CONCATENATE("#Metadata!", ADDRESS(INDEX($AJ$2:$AJ$1001,MATCH(ROWS($AH$2:AH184),$AH$2:$AH$1001,0),0), INDEX($AO$1004:$BQ$1004,1,MATCH(COLUMNS($AO$1006:AX1006),$AO$1006:$BQ$1006,0)))),"Fix")))</f>
        <v>#N/A</v>
      </c>
      <c r="L184" s="5" t="e">
        <f ca="1">IF(OR(INDEX($AI$2:$AI$1001,MATCH(ROWS($AH$2:AH184),$AH$2:$AH$1001,0),1)&gt;=100000,INDEX($AO$1005:$BQ$1005,1,MATCH(COLUMNS($AO$1006:AY1006),$AO$1006:$BQ$1006,0))&gt;=100000), " ",IF(INDEX($AO$2:$BQ$1001,MATCH(ROWS($AH$2:AH184),$AH$2:$AH$1001,0),MATCH(COLUMNS($AO$1006:AY1006),$AO$1006:$BQ$1006,0)), HYPERLINK("#",""), HYPERLINK(CONCATENATE("#Metadata!", ADDRESS(INDEX($AJ$2:$AJ$1001,MATCH(ROWS($AH$2:AH184),$AH$2:$AH$1001,0),0), INDEX($AO$1004:$BQ$1004,1,MATCH(COLUMNS($AO$1006:AY1006),$AO$1006:$BQ$1006,0)))),"Fix")))</f>
        <v>#N/A</v>
      </c>
      <c r="M184" s="5" t="e">
        <f ca="1">IF(OR(INDEX($AI$2:$AI$1001,MATCH(ROWS($AH$2:AH184),$AH$2:$AH$1001,0),1)&gt;=100000,INDEX($AO$1005:$BQ$1005,1,MATCH(COLUMNS($AO$1006:AZ1006),$AO$1006:$BQ$1006,0))&gt;=100000), " ",IF(INDEX($AO$2:$BQ$1001,MATCH(ROWS($AH$2:AH184),$AH$2:$AH$1001,0),MATCH(COLUMNS($AO$1006:AZ1006),$AO$1006:$BQ$1006,0)), HYPERLINK("#",""), HYPERLINK(CONCATENATE("#Metadata!", ADDRESS(INDEX($AJ$2:$AJ$1001,MATCH(ROWS($AH$2:AH184),$AH$2:$AH$1001,0),0), INDEX($AO$1004:$BQ$1004,1,MATCH(COLUMNS($AO$1006:AZ1006),$AO$1006:$BQ$1006,0)))),"Fix")))</f>
        <v>#N/A</v>
      </c>
      <c r="N184" s="5" t="e">
        <f ca="1">IF(OR(INDEX($AI$2:$AI$1001,MATCH(ROWS($AH$2:AH184),$AH$2:$AH$1001,0),1)&gt;=100000,INDEX($AO$1005:$BQ$1005,1,MATCH(COLUMNS($AO$1006:BA1006),$AO$1006:$BQ$1006,0))&gt;=100000), " ",IF(INDEX($AO$2:$BQ$1001,MATCH(ROWS($AH$2:AH184),$AH$2:$AH$1001,0),MATCH(COLUMNS($AO$1006:BA1006),$AO$1006:$BQ$1006,0)), HYPERLINK("#",""), HYPERLINK(CONCATENATE("#Metadata!", ADDRESS(INDEX($AJ$2:$AJ$1001,MATCH(ROWS($AH$2:AH184),$AH$2:$AH$1001,0),0), INDEX($AO$1004:$BQ$1004,1,MATCH(COLUMNS($AO$1006:BA1006),$AO$1006:$BQ$1006,0)))),"Fix")))</f>
        <v>#N/A</v>
      </c>
      <c r="O184" s="5" t="e">
        <f ca="1">IF(OR(INDEX($AI$2:$AI$1001,MATCH(ROWS($AH$2:AH184),$AH$2:$AH$1001,0),1)&gt;=100000,INDEX($AO$1005:$BQ$1005,1,MATCH(COLUMNS($AO$1006:BB1006),$AO$1006:$BQ$1006,0))&gt;=100000), " ",IF(INDEX($AO$2:$BQ$1001,MATCH(ROWS($AH$2:AH184),$AH$2:$AH$1001,0),MATCH(COLUMNS($AO$1006:BB1006),$AO$1006:$BQ$1006,0)), HYPERLINK("#",""), HYPERLINK(CONCATENATE("#Metadata!", ADDRESS(INDEX($AJ$2:$AJ$1001,MATCH(ROWS($AH$2:AH184),$AH$2:$AH$1001,0),0), INDEX($AO$1004:$BQ$1004,1,MATCH(COLUMNS($AO$1006:BB1006),$AO$1006:$BQ$1006,0)))),"Fix")))</f>
        <v>#N/A</v>
      </c>
      <c r="P184" s="5" t="e">
        <f ca="1">IF(OR(INDEX($AI$2:$AI$1001,MATCH(ROWS($AH$2:AH184),$AH$2:$AH$1001,0),1)&gt;=100000,INDEX($AO$1005:$BQ$1005,1,MATCH(COLUMNS($AO$1006:BC1006),$AO$1006:$BQ$1006,0))&gt;=100000), " ",IF(INDEX($AO$2:$BQ$1001,MATCH(ROWS($AH$2:AH184),$AH$2:$AH$1001,0),MATCH(COLUMNS($AO$1006:BC1006),$AO$1006:$BQ$1006,0)), HYPERLINK("#",""), HYPERLINK(CONCATENATE("#Metadata!", ADDRESS(INDEX($AJ$2:$AJ$1001,MATCH(ROWS($AH$2:AH184),$AH$2:$AH$1001,0),0), INDEX($AO$1004:$BQ$1004,1,MATCH(COLUMNS($AO$1006:BC1006),$AO$1006:$BQ$1006,0)))),"Fix")))</f>
        <v>#N/A</v>
      </c>
      <c r="Q184" s="5" t="e">
        <f ca="1">IF(OR(INDEX($AI$2:$AI$1001,MATCH(ROWS($AH$2:AH184),$AH$2:$AH$1001,0),1)&gt;=100000,INDEX($AO$1005:$BQ$1005,1,MATCH(COLUMNS($AO$1006:BD1006),$AO$1006:$BQ$1006,0))&gt;=100000), " ",IF(INDEX($AO$2:$BQ$1001,MATCH(ROWS($AH$2:AH184),$AH$2:$AH$1001,0),MATCH(COLUMNS($AO$1006:BD1006),$AO$1006:$BQ$1006,0)), HYPERLINK("#",""), HYPERLINK(CONCATENATE("#Metadata!", ADDRESS(INDEX($AJ$2:$AJ$1001,MATCH(ROWS($AH$2:AH184),$AH$2:$AH$1001,0),0), INDEX($AO$1004:$BQ$1004,1,MATCH(COLUMNS($AO$1006:BD1006),$AO$1006:$BQ$1006,0)))),"Fix")))</f>
        <v>#N/A</v>
      </c>
      <c r="R184" s="5" t="e">
        <f ca="1">IF(OR(INDEX($AI$2:$AI$1001,MATCH(ROWS($AH$2:AH184),$AH$2:$AH$1001,0),1)&gt;=100000,INDEX($AO$1005:$BQ$1005,1,MATCH(COLUMNS($AO$1006:BE1006),$AO$1006:$BQ$1006,0))&gt;=100000), " ",IF(INDEX($AO$2:$BQ$1001,MATCH(ROWS($AH$2:AH184),$AH$2:$AH$1001,0),MATCH(COLUMNS($AO$1006:BE1006),$AO$1006:$BQ$1006,0)), HYPERLINK("#",""), HYPERLINK(CONCATENATE("#Metadata!", ADDRESS(INDEX($AJ$2:$AJ$1001,MATCH(ROWS($AH$2:AH184),$AH$2:$AH$1001,0),0), INDEX($AO$1004:$BQ$1004,1,MATCH(COLUMNS($AO$1006:BE1006),$AO$1006:$BQ$1006,0)))),"Fix")))</f>
        <v>#N/A</v>
      </c>
      <c r="S184" s="5" t="e">
        <f ca="1">IF(OR(INDEX($AI$2:$AI$1001,MATCH(ROWS($AH$2:AH184),$AH$2:$AH$1001,0),1)&gt;=100000,INDEX($AO$1005:$BQ$1005,1,MATCH(COLUMNS($AO$1006:BF1006),$AO$1006:$BQ$1006,0))&gt;=100000), " ",IF(INDEX($AO$2:$BQ$1001,MATCH(ROWS($AH$2:AH184),$AH$2:$AH$1001,0),MATCH(COLUMNS($AO$1006:BF1006),$AO$1006:$BQ$1006,0)), HYPERLINK("#",""), HYPERLINK(CONCATENATE("#Metadata!", ADDRESS(INDEX($AJ$2:$AJ$1001,MATCH(ROWS($AH$2:AH184),$AH$2:$AH$1001,0),0), INDEX($AO$1004:$BQ$1004,1,MATCH(COLUMNS($AO$1006:BF1006),$AO$1006:$BQ$1006,0)))),"Fix")))</f>
        <v>#N/A</v>
      </c>
      <c r="T184" s="5" t="e">
        <f ca="1">IF(OR(INDEX($AI$2:$AI$1001,MATCH(ROWS($AH$2:AH184),$AH$2:$AH$1001,0),1)&gt;=100000,INDEX($AO$1005:$BQ$1005,1,MATCH(COLUMNS($AO$1006:BG1006),$AO$1006:$BQ$1006,0))&gt;=100000), " ",IF(INDEX($AO$2:$BQ$1001,MATCH(ROWS($AH$2:AH184),$AH$2:$AH$1001,0),MATCH(COLUMNS($AO$1006:BG1006),$AO$1006:$BQ$1006,0)), HYPERLINK("#",""), HYPERLINK(CONCATENATE("#Metadata!", ADDRESS(INDEX($AJ$2:$AJ$1001,MATCH(ROWS($AH$2:AH184),$AH$2:$AH$1001,0),0), INDEX($AO$1004:$BQ$1004,1,MATCH(COLUMNS($AO$1006:BG1006),$AO$1006:$BQ$1006,0)))),"Fix")))</f>
        <v>#N/A</v>
      </c>
      <c r="U184" s="5" t="e">
        <f ca="1">IF(OR(INDEX($AI$2:$AI$1001,MATCH(ROWS($AH$2:AH184),$AH$2:$AH$1001,0),1)&gt;=100000,INDEX($AO$1005:$BQ$1005,1,MATCH(COLUMNS($AO$1006:BH1006),$AO$1006:$BQ$1006,0))&gt;=100000), " ",IF(INDEX($AO$2:$BQ$1001,MATCH(ROWS($AH$2:AH184),$AH$2:$AH$1001,0),MATCH(COLUMNS($AO$1006:BH1006),$AO$1006:$BQ$1006,0)), HYPERLINK("#",""), HYPERLINK(CONCATENATE("#Metadata!", ADDRESS(INDEX($AJ$2:$AJ$1001,MATCH(ROWS($AH$2:AH184),$AH$2:$AH$1001,0),0), INDEX($AO$1004:$BQ$1004,1,MATCH(COLUMNS($AO$1006:BH1006),$AO$1006:$BQ$1006,0)))),"Fix")))</f>
        <v>#N/A</v>
      </c>
      <c r="V184" s="5" t="e">
        <f ca="1">IF(OR(INDEX($AI$2:$AI$1001,MATCH(ROWS($AH$2:AH184),$AH$2:$AH$1001,0),1)&gt;=100000,INDEX($AO$1005:$BQ$1005,1,MATCH(COLUMNS($AO$1006:BI1006),$AO$1006:$BQ$1006,0))&gt;=100000), " ",IF(INDEX($AO$2:$BQ$1001,MATCH(ROWS($AH$2:AH184),$AH$2:$AH$1001,0),MATCH(COLUMNS($AO$1006:BI1006),$AO$1006:$BQ$1006,0)), HYPERLINK("#",""), HYPERLINK(CONCATENATE("#Metadata!", ADDRESS(INDEX($AJ$2:$AJ$1001,MATCH(ROWS($AH$2:AH184),$AH$2:$AH$1001,0),0), INDEX($AO$1004:$BQ$1004,1,MATCH(COLUMNS($AO$1006:BI1006),$AO$1006:$BQ$1006,0)))),"Fix")))</f>
        <v>#N/A</v>
      </c>
      <c r="W184" s="5" t="e">
        <f ca="1">IF(OR(INDEX($AI$2:$AI$1001,MATCH(ROWS($AH$2:AH184),$AH$2:$AH$1001,0),1)&gt;=100000,INDEX($AO$1005:$BQ$1005,1,MATCH(COLUMNS($AO$1006:BJ1006),$AO$1006:$BQ$1006,0))&gt;=100000), " ",IF(INDEX($AO$2:$BQ$1001,MATCH(ROWS($AH$2:AH184),$AH$2:$AH$1001,0),MATCH(COLUMNS($AO$1006:BJ1006),$AO$1006:$BQ$1006,0)), HYPERLINK("#",""), HYPERLINK(CONCATENATE("#Metadata!", ADDRESS(INDEX($AJ$2:$AJ$1001,MATCH(ROWS($AH$2:AH184),$AH$2:$AH$1001,0),0), INDEX($AO$1004:$BQ$1004,1,MATCH(COLUMNS($AO$1006:BJ1006),$AO$1006:$BQ$1006,0)))),"Fix")))</f>
        <v>#N/A</v>
      </c>
      <c r="X184" s="5" t="e">
        <f ca="1">IF(OR(INDEX($AI$2:$AI$1001,MATCH(ROWS($AH$2:AH184),$AH$2:$AH$1001,0),1)&gt;=100000,INDEX($AO$1005:$BQ$1005,1,MATCH(COLUMNS($AO$1006:BK1006),$AO$1006:$BQ$1006,0))&gt;=100000), " ",IF(INDEX($AO$2:$BQ$1001,MATCH(ROWS($AH$2:AH184),$AH$2:$AH$1001,0),MATCH(COLUMNS($AO$1006:BK1006),$AO$1006:$BQ$1006,0)), HYPERLINK("#",""), HYPERLINK(CONCATENATE("#Metadata!", ADDRESS(INDEX($AJ$2:$AJ$1001,MATCH(ROWS($AH$2:AH184),$AH$2:$AH$1001,0),0), INDEX($AO$1004:$BQ$1004,1,MATCH(COLUMNS($AO$1006:BK1006),$AO$1006:$BQ$1006,0)))),"Fix")))</f>
        <v>#N/A</v>
      </c>
      <c r="Y184" s="5" t="e">
        <f ca="1">IF(OR(INDEX($AI$2:$AI$1001,MATCH(ROWS($AH$2:AH184),$AH$2:$AH$1001,0),1)&gt;=100000,INDEX($AO$1005:$BQ$1005,1,MATCH(COLUMNS($AO$1006:BL1006),$AO$1006:$BQ$1006,0))&gt;=100000), " ",IF(INDEX($AO$2:$BQ$1001,MATCH(ROWS($AH$2:AH184),$AH$2:$AH$1001,0),MATCH(COLUMNS($AO$1006:BL1006),$AO$1006:$BQ$1006,0)), HYPERLINK("#",""), HYPERLINK(CONCATENATE("#Metadata!", ADDRESS(INDEX($AJ$2:$AJ$1001,MATCH(ROWS($AH$2:AH184),$AH$2:$AH$1001,0),0), INDEX($AO$1004:$BQ$1004,1,MATCH(COLUMNS($AO$1006:BL1006),$AO$1006:$BQ$1006,0)))),"Fix")))</f>
        <v>#N/A</v>
      </c>
      <c r="Z184" s="5" t="e">
        <f ca="1">IF(OR(INDEX($AI$2:$AI$1001,MATCH(ROWS($AH$2:AH184),$AH$2:$AH$1001,0),1)&gt;=100000,INDEX($AO$1005:$BQ$1005,1,MATCH(COLUMNS($AO$1006:BM1006),$AO$1006:$BQ$1006,0))&gt;=100000), " ",IF(INDEX($AO$2:$BQ$1001,MATCH(ROWS($AH$2:AH184),$AH$2:$AH$1001,0),MATCH(COLUMNS($AO$1006:BM1006),$AO$1006:$BQ$1006,0)), HYPERLINK("#",""), HYPERLINK(CONCATENATE("#Metadata!", ADDRESS(INDEX($AJ$2:$AJ$1001,MATCH(ROWS($AH$2:AH184),$AH$2:$AH$1001,0),0), INDEX($AO$1004:$BQ$1004,1,MATCH(COLUMNS($AO$1006:BM1006),$AO$1006:$BQ$1006,0)))),"Fix")))</f>
        <v>#N/A</v>
      </c>
      <c r="AA184" s="5" t="e">
        <f ca="1">IF(OR(INDEX($AI$2:$AI$1001,MATCH(ROWS($AH$2:AH184),$AH$2:$AH$1001,0),1)&gt;=100000,INDEX($AO$1005:$BQ$1005,1,MATCH(COLUMNS($AO$1006:BN1006),$AO$1006:$BQ$1006,0))&gt;=100000), " ",IF(INDEX($AO$2:$BQ$1001,MATCH(ROWS($AH$2:AH184),$AH$2:$AH$1001,0),MATCH(COLUMNS($AO$1006:BN1006),$AO$1006:$BQ$1006,0)), HYPERLINK("#",""), HYPERLINK(CONCATENATE("#Metadata!", ADDRESS(INDEX($AJ$2:$AJ$1001,MATCH(ROWS($AH$2:AH184),$AH$2:$AH$1001,0),0), INDEX($AO$1004:$BQ$1004,1,MATCH(COLUMNS($AO$1006:BN1006),$AO$1006:$BQ$1006,0)))),"Fix")))</f>
        <v>#N/A</v>
      </c>
      <c r="AB184" s="5" t="e">
        <f ca="1">IF(OR(INDEX($AI$2:$AI$1001,MATCH(ROWS($AH$2:AH184),$AH$2:$AH$1001,0),1)&gt;=100000,INDEX($AO$1005:$BQ$1005,1,MATCH(COLUMNS($AO$1006:BO1006),$AO$1006:$BQ$1006,0))&gt;=100000), " ",IF(INDEX($AO$2:$BQ$1001,MATCH(ROWS($AH$2:AH184),$AH$2:$AH$1001,0),MATCH(COLUMNS($AO$1006:BO1006),$AO$1006:$BQ$1006,0)), HYPERLINK("#",""), HYPERLINK(CONCATENATE("#Metadata!", ADDRESS(INDEX($AJ$2:$AJ$1001,MATCH(ROWS($AH$2:AH184),$AH$2:$AH$1001,0),0), INDEX($AO$1004:$BQ$1004,1,MATCH(COLUMNS($AO$1006:BO1006),$AO$1006:$BQ$1006,0)))),"Fix")))</f>
        <v>#N/A</v>
      </c>
      <c r="AC184" s="5" t="e">
        <f ca="1">IF(OR(INDEX($AI$2:$AI$1001,MATCH(ROWS($AH$2:AH184),$AH$2:$AH$1001,0),1)&gt;=100000,INDEX($AO$1005:$BQ$1005,1,MATCH(COLUMNS($AO$1006:BP1006),$AO$1006:$BQ$1006,0))&gt;=100000), " ",IF(INDEX($AO$2:$BQ$1001,MATCH(ROWS($AH$2:AH184),$AH$2:$AH$1001,0),MATCH(COLUMNS($AO$1006:BP1006),$AO$1006:$BQ$1006,0)), HYPERLINK("#",""), HYPERLINK(CONCATENATE("#Metadata!", ADDRESS(INDEX($AJ$2:$AJ$1001,MATCH(ROWS($AH$2:AH184),$AH$2:$AH$1001,0),0), INDEX($AO$1004:$BQ$1004,1,MATCH(COLUMNS($AO$1006:BP1006),$AO$1006:$BQ$1006,0)))),"Fix")))</f>
        <v>#N/A</v>
      </c>
      <c r="AD184" s="5" t="e">
        <f ca="1">IF(OR(INDEX($AI$2:$AI$1001,MATCH(ROWS($AH$2:AH184),$AH$2:$AH$1001,0),1)&gt;=100000,INDEX($AO$1005:$BQ$1005,1,MATCH(COLUMNS($AO$1006:BQ1006),$AO$1006:$BQ$1006,0))&gt;=100000), " ",IF(INDEX($AO$2:$BQ$1001,MATCH(ROWS($AH$2:AH184),$AH$2:$AH$1001,0),MATCH(COLUMNS($AO$1006:BQ1006),$AO$1006:$BQ$1006,0)), HYPERLINK("#",""), HYPERLINK(CONCATENATE("#Metadata!", ADDRESS(INDEX($AJ$2:$AJ$1001,MATCH(ROWS($AH$2:AH184),$AH$2:$AH$1001,0),0), INDEX($AO$1004:$BQ$1004,1,MATCH(COLUMNS($AO$1006:BQ1006),$AO$1006:$BQ$1006,0)))),"Fix")))</f>
        <v>#REF!</v>
      </c>
      <c r="AH184">
        <f ca="1"/>
        <v>181</v>
      </c>
      <c r="AI184">
        <v>100184</v>
      </c>
      <c r="AJ184">
        <v>184</v>
      </c>
      <c r="AK184" t="b">
        <f t="shared" si="2"/>
        <v>1</v>
      </c>
      <c r="AL184" t="b">
        <f>COUNTBLANK(Metadata!B184:AD184)=COLUMNS(Metadata!B184:AD184)</f>
        <v>1</v>
      </c>
      <c r="AM184" t="str">
        <v/>
      </c>
      <c r="AO184" t="b">
        <f ca="1">AND(IF(Metadata!B184="",FALSE,TRUE),COUNTIF(Metadata!B:B, Metadata!B184) = 1,NOT(ISERROR(SUMPRODUCT(SEARCH(MID(Metadata!B184,ROW(INDIRECT("1:"&amp;LEN(Metadata!B184))), 1),"0123456789abcdefghijklmnopqrstuvwxyzABCDEFGHIJKLMNOPQRSTUVWXYZ.")))))</f>
        <v>0</v>
      </c>
      <c r="AP184" t="b">
        <f>IF(Metadata!C184="",FALSE,TRUE)</f>
        <v>0</v>
      </c>
      <c r="AQ184" t="b">
        <f>IF(Metadata!D184="",FALSE,TRUE)</f>
        <v>0</v>
      </c>
      <c r="AR184" t="b">
        <f ca="1">OR(AND(IF(Metadata!E184="",FALSE,TRUE),OR(EXACT(Metadata!E184,"not collected"),EXACT(Metadata!E184,"not provided"),EXACT(Metadata!E184,"restricted access"))),AND(IF(Metadata!E184="",FALSE,TRUE),AND(AND(IFERROR(INT(LEFT(Metadata!E184,4))&gt;1900,FALSE),IFERROR(INT(LEFT(Metadata!E184,4))&lt;=YEAR(NOW()),FALSE)), OR(MID(Metadata!E184,5,1)="", AND(AND(MID(Metadata!E184,5,1)="-",IFERROR(INT(MID(Metadata!E184,6,1))&gt;=0,FALSE),IFERROR(INT(MID(Metadata!E184,6,1))&lt;=1,FALSE),NOT(MID(Metadata!E184,7,1)=""),IFERROR(INT(MID(Metadata!E184,6,2))&gt;=1,FALSE),IFERROR(INT(MID(Metadata!E184,6,2))&lt;=12,FALSE)), OR(MID(Metadata!E184,8,1)="", AND(AND(MID(Metadata!E184,8,1)="-",IFERROR(INT(MID(Metadata!E184,9,1))&gt;=0,FALSE),IFERROR(INT(MID(Metadata!E184,9,1))&lt;=3,FALSE),NOT(MID(Metadata!E184,10,1)=""),IFERROR(INT(MID(Metadata!E184,9,2))&gt;=1,FALSE),IFERROR(INT(MID(Metadata!E184,9,2))&lt;=31,FALSE)), OR(MID(Metadata!E184,11,1)="", AND(AND(MID(Metadata!E184,11,1)=" ",IFERROR(INT(MID(Metadata!E184,12,1))&gt;=0,FALSE),IFERROR(INT(MID(Metadata!E184,12,1))&lt;=2,FALSE),NOT(MID(Metadata!E184,13,1)=""),IFERROR(INT(MID(Metadata!E184,12,2))&gt;=0,FALSE),IFERROR(INT(MID(Metadata!E184,12,2))&lt;=23,FALSE)), OR(MID(Metadata!E184,14,1)="", AND(AND(MID(Metadata!E184,14,1)=":",IFERROR(INT(MID(Metadata!E184,15,1))&gt;=0,FALSE),IFERROR(INT(MID(Metadata!E184,15,1))&lt;=5,FALSE),NOT(MID(Metadata!E184,16,1)=""),IFERROR(INT(MID(Metadata!E184,15,2))&gt;=0,FALSE),IFERROR(INT(MID(Metadata!E184,15,2))&lt;=59,FALSE)), OR(MID(Metadata!E184,17,1)="", AND(AND(MID(Metadata!E184,17,1)=":",IFERROR(INT(MID(Metadata!E184,18,1))&gt;=0,FALSE),IFERROR(INT(MID(Metadata!E184,18,1))&lt;=5,FALSE),NOT(MID(Metadata!E184,19,1)=""),IFERROR(INT(MID(Metadata!E184,18,2))&gt;=0,FALSE),IFERROR(INT(MID(Metadata!E184,18,2))&lt;=59,FALSE)), LEN(Metadata!E184)&lt;=19)))))))))))))</f>
        <v>0</v>
      </c>
      <c r="AS184" t="b">
        <f>IF(Metadata!F184="",FALSE,TRUE)</f>
        <v>0</v>
      </c>
      <c r="AT184" t="b">
        <f>OR(AND(IF(Metadata!G184="",FALSE,TRUE),OR(EXACT(Metadata!G184,"not collected"),EXACT(Metadata!G184,"not provided"))),AND(IF(Metadata!G184="",FALSE,TRUE),OR(EXACT(Metadata!G184,"TRUE"),EXACT(Metadata!G184,"FALSE"))))</f>
        <v>0</v>
      </c>
      <c r="AU184" t="b">
        <f>OR(AND(IF(Metadata!H184="",FALSE,TRUE),OR(EXACT(Metadata!H184,"not collected"),EXACT(Metadata!H184,"not provided"),EXACT(Metadata!H184,"restricted access"))),AND(IF(Metadata!H184="",FALSE,ISNUMBER(VALUE(Metadata!H184))),Metadata!H184&gt;=-413))</f>
        <v>0</v>
      </c>
      <c r="AV184" t="b">
        <f>AND(IF(Metadata!I184="",FALSE,TRUE),EXACT(Metadata!I184,"meters"))</f>
        <v>0</v>
      </c>
      <c r="AW184" t="b">
        <f>AND(IF(Metadata!J184="",FALSE,TRUE),EXACT(Metadata!J184,"free-living"))</f>
        <v>0</v>
      </c>
      <c r="AX184" t="b">
        <f>AND(IF(Metadata!K184="",FALSE,TRUE),OR(EXACT(Metadata!K184,"saline"),EXACT(Metadata!K184,"non-saline")))</f>
        <v>0</v>
      </c>
      <c r="AY184" t="b">
        <f>AND(IF(Metadata!L184="",FALSE,TRUE),OR(EXACT(Metadata!L184,"sub-surface (non-saline)"),EXACT(Metadata!L184,"surface (non-saline)"),EXACT(Metadata!L184,"water (non-saline)"),EXACT(Metadata!L184,"soil (non-saline)"),EXACT(Metadata!L184,"aerosol (non-saline)"),EXACT(Metadata!L184,"sediment (non-saline)"),EXACT(Metadata!L184,"surface (saline)"),EXACT(Metadata!L184,"water (saline)"),EXACT(Metadata!L184,"hypersaline (saline)"),EXACT(Metadata!L184,"aerosol (saline)"),EXACT(Metadata!L184,"sediment (saline)")))</f>
        <v>0</v>
      </c>
      <c r="AZ184" t="b">
        <f>IF(Metadata!M184="",FALSE,TRUE)</f>
        <v>0</v>
      </c>
      <c r="BA184" t="b">
        <f>IF(Metadata!N184="",FALSE,TRUE)</f>
        <v>0</v>
      </c>
      <c r="BB184" t="b">
        <f>IF(Metadata!O184="",FALSE,TRUE)</f>
        <v>0</v>
      </c>
      <c r="BC184" t="b">
        <f>AND(IF(Metadata!P184="",FALSE,TRUE),OR(EXACT(Metadata!P184,"air"),EXACT(Metadata!P184,"microbial mat/biofilm"),EXACT(Metadata!P184,"misc environment"),EXACT(Metadata!P184,"sediment"),EXACT(Metadata!P184,"soil"),EXACT(Metadata!P184,"wastewater/sludge"),EXACT(Metadata!P184,"water")))</f>
        <v>0</v>
      </c>
      <c r="BD184" t="b">
        <f>IF(Metadata!Q184="",FALSE,TRUE)</f>
        <v>0</v>
      </c>
      <c r="BE184" t="b">
        <f>IF(Metadata!R184="",FALSE,TRUE)</f>
        <v>0</v>
      </c>
      <c r="BF184" t="b">
        <f>OR(AND(IF(Metadata!S184="",FALSE,TRUE),OR(EXACT(Metadata!S184,"not collected"),EXACT(Metadata!S184,"not provided"),EXACT(Metadata!S184,"restricted access"))),AND(IF(Metadata!S184="",FALSE,ISNUMBER(VALUE(Metadata!S184))),Metadata!S184&gt;=-90,Metadata!S184&lt;=90))</f>
        <v>0</v>
      </c>
      <c r="BG184" t="b">
        <f>AND(IF(Metadata!T184="",FALSE,TRUE),EXACT(Metadata!T184,"Decimal degrees"))</f>
        <v>0</v>
      </c>
      <c r="BH184" t="b">
        <f>OR(AND(IF(Metadata!U184="",FALSE,TRUE),OR(EXACT(Metadata!U184,"not applicable"),EXACT(Metadata!U184,"not collected"))),IF(Metadata!U184="",FALSE,TRUE))</f>
        <v>0</v>
      </c>
      <c r="BI184" t="b">
        <f>OR(AND(IF(Metadata!V184="",FALSE,TRUE),OR(EXACT(Metadata!V184,"not collected"),EXACT(Metadata!V184,"not provided"),EXACT(Metadata!V184,"restricted access"))),AND(IF(Metadata!V184="",FALSE,ISNUMBER(VALUE(Metadata!V184))),Metadata!V184&gt;=-180,Metadata!V184&lt;=180))</f>
        <v>0</v>
      </c>
      <c r="BJ184" t="b">
        <f>AND(IF(Metadata!W184="",FALSE,TRUE),EXACT(Metadata!W184,"Decimal degrees"))</f>
        <v>0</v>
      </c>
      <c r="BK184" t="b">
        <f>IF(Metadata!X184="",FALSE,TRUE)</f>
        <v>0</v>
      </c>
      <c r="BL184" t="b">
        <f>OR(AND(IF(Metadata!Y184="",FALSE,TRUE),OR(EXACT(Metadata!Y184,"not collected"),EXACT(Metadata!Y184,"not provided"),EXACT(Metadata!Y184,"restricted access"))),AND(IF(Metadata!Y184="",FALSE,TRUE),OR(EXACT(Metadata!Y184,"TRUE"),EXACT(Metadata!Y184,"FALSE"))))</f>
        <v>0</v>
      </c>
      <c r="BM184" t="b">
        <f>OR(AND(IF(Metadata!Z184="",FALSE,TRUE),EXACT(Metadata!Z184,"not applicable")),AND(IF(Metadata!Z184="",FALSE,TRUE),OR(EXACT(Metadata!Z184,"beer"),EXACT(Metadata!Z184,"cheese"),EXACT(Metadata!Z184,"fresh water"),EXACT(Metadata!Z184,"marine sediment"),EXACT(Metadata!Z184,"sea water"),EXACT(Metadata!Z184,"sediment"),EXACT(Metadata!Z184,"soil"),EXACT(Metadata!Z184,"waste water"))))</f>
        <v>0</v>
      </c>
      <c r="BN184" t="b">
        <f>AND(IF(Metadata!AA184="",FALSE,TRUE),EXACT(Metadata!AA184,"metagenome"))</f>
        <v>0</v>
      </c>
      <c r="BO184" t="b">
        <f>AND(IF(Metadata!AB184="",FALSE,TRUE),EXACT(Metadata!AB184,"256318"))</f>
        <v>0</v>
      </c>
      <c r="BP184" t="b">
        <f>IF(Metadata!AC184="",FALSE,TRUE)</f>
        <v>0</v>
      </c>
      <c r="BQ184" t="b">
        <f>IF(Metadata!AD184="",FALSE,TRUE)</f>
        <v>0</v>
      </c>
    </row>
    <row r="185" spans="1:69" x14ac:dyDescent="0.2">
      <c r="A185" s="4" t="e">
        <f ca="1">IF(B185=" "," ",HYPERLINK(CONCATENATE("#metadata!",ADDRESS(INDEX($AJ$2:$AJ$1001,MATCH(ROWS($AH$2:AH185),$AH$2:$AH$1001,0),0),2)),INDEX($AM$2:$AM$1001,MATCH(ROWS($AH$2:AH185),$AH$2:$AH$1001,0),0)))</f>
        <v>#N/A</v>
      </c>
      <c r="B185" s="5" t="e">
        <f ca="1">IF(OR(INDEX($AI$2:$AI$1001,MATCH(ROWS($AH$2:AH185),$AH$2:$AH$1001,0),1)&gt;=100000,INDEX($AO$1005:$BQ$1005,1,MATCH(COLUMNS($AO$1006:AO1006),$AO$1006:$BQ$1006,0))&gt;=100000), " ",IF(INDEX($AO$2:$BQ$1001,MATCH(ROWS($AH$2:AH185),$AH$2:$AH$1001,0),MATCH(COLUMNS($AO$1006:AO1006),$AO$1006:$BQ$1006,0)), HYPERLINK("#",""), HYPERLINK(CONCATENATE("#Metadata!", ADDRESS(INDEX($AJ$2:$AJ$1001,MATCH(ROWS($AH$2:AH185),$AH$2:$AH$1001,0),0), INDEX($AO$1004:$BQ$1004,1,MATCH(COLUMNS($AO$1006:AO1006),$AO$1006:$BQ$1006,0)))),"Fix")))</f>
        <v>#N/A</v>
      </c>
      <c r="C185" s="5" t="e">
        <f ca="1">IF(OR(INDEX($AI$2:$AI$1001,MATCH(ROWS($AH$2:AH185),$AH$2:$AH$1001,0),1)&gt;=100000,INDEX($AO$1005:$BQ$1005,1,MATCH(COLUMNS($AO$1006:AP1006),$AO$1006:$BQ$1006,0))&gt;=100000), " ",IF(INDEX($AO$2:$BQ$1001,MATCH(ROWS($AH$2:AH185),$AH$2:$AH$1001,0),MATCH(COLUMNS($AO$1006:AP1006),$AO$1006:$BQ$1006,0)), HYPERLINK("#",""), HYPERLINK(CONCATENATE("#Metadata!", ADDRESS(INDEX($AJ$2:$AJ$1001,MATCH(ROWS($AH$2:AH185),$AH$2:$AH$1001,0),0), INDEX($AO$1004:$BQ$1004,1,MATCH(COLUMNS($AO$1006:AP1006),$AO$1006:$BQ$1006,0)))),"Fix")))</f>
        <v>#N/A</v>
      </c>
      <c r="D185" s="5" t="e">
        <f ca="1">IF(OR(INDEX($AI$2:$AI$1001,MATCH(ROWS($AH$2:AH185),$AH$2:$AH$1001,0),1)&gt;=100000,INDEX($AO$1005:$BQ$1005,1,MATCH(COLUMNS($AO$1006:AQ1006),$AO$1006:$BQ$1006,0))&gt;=100000), " ",IF(INDEX($AO$2:$BQ$1001,MATCH(ROWS($AH$2:AH185),$AH$2:$AH$1001,0),MATCH(COLUMNS($AO$1006:AQ1006),$AO$1006:$BQ$1006,0)), HYPERLINK("#",""), HYPERLINK(CONCATENATE("#Metadata!", ADDRESS(INDEX($AJ$2:$AJ$1001,MATCH(ROWS($AH$2:AH185),$AH$2:$AH$1001,0),0), INDEX($AO$1004:$BQ$1004,1,MATCH(COLUMNS($AO$1006:AQ1006),$AO$1006:$BQ$1006,0)))),"Fix")))</f>
        <v>#N/A</v>
      </c>
      <c r="E185" s="5" t="e">
        <f ca="1">IF(OR(INDEX($AI$2:$AI$1001,MATCH(ROWS($AH$2:AH185),$AH$2:$AH$1001,0),1)&gt;=100000,INDEX($AO$1005:$BQ$1005,1,MATCH(COLUMNS($AO$1006:AR1006),$AO$1006:$BQ$1006,0))&gt;=100000), " ",IF(INDEX($AO$2:$BQ$1001,MATCH(ROWS($AH$2:AH185),$AH$2:$AH$1001,0),MATCH(COLUMNS($AO$1006:AR1006),$AO$1006:$BQ$1006,0)), HYPERLINK("#",""), HYPERLINK(CONCATENATE("#Metadata!", ADDRESS(INDEX($AJ$2:$AJ$1001,MATCH(ROWS($AH$2:AH185),$AH$2:$AH$1001,0),0), INDEX($AO$1004:$BQ$1004,1,MATCH(COLUMNS($AO$1006:AR1006),$AO$1006:$BQ$1006,0)))),"Fix")))</f>
        <v>#N/A</v>
      </c>
      <c r="F185" s="5" t="e">
        <f ca="1">IF(OR(INDEX($AI$2:$AI$1001,MATCH(ROWS($AH$2:AH185),$AH$2:$AH$1001,0),1)&gt;=100000,INDEX($AO$1005:$BQ$1005,1,MATCH(COLUMNS($AO$1006:AS1006),$AO$1006:$BQ$1006,0))&gt;=100000), " ",IF(INDEX($AO$2:$BQ$1001,MATCH(ROWS($AH$2:AH185),$AH$2:$AH$1001,0),MATCH(COLUMNS($AO$1006:AS1006),$AO$1006:$BQ$1006,0)), HYPERLINK("#",""), HYPERLINK(CONCATENATE("#Metadata!", ADDRESS(INDEX($AJ$2:$AJ$1001,MATCH(ROWS($AH$2:AH185),$AH$2:$AH$1001,0),0), INDEX($AO$1004:$BQ$1004,1,MATCH(COLUMNS($AO$1006:AS1006),$AO$1006:$BQ$1006,0)))),"Fix")))</f>
        <v>#N/A</v>
      </c>
      <c r="G185" s="5" t="e">
        <f ca="1">IF(OR(INDEX($AI$2:$AI$1001,MATCH(ROWS($AH$2:AH185),$AH$2:$AH$1001,0),1)&gt;=100000,INDEX($AO$1005:$BQ$1005,1,MATCH(COLUMNS($AO$1006:AT1006),$AO$1006:$BQ$1006,0))&gt;=100000), " ",IF(INDEX($AO$2:$BQ$1001,MATCH(ROWS($AH$2:AH185),$AH$2:$AH$1001,0),MATCH(COLUMNS($AO$1006:AT1006),$AO$1006:$BQ$1006,0)), HYPERLINK("#",""), HYPERLINK(CONCATENATE("#Metadata!", ADDRESS(INDEX($AJ$2:$AJ$1001,MATCH(ROWS($AH$2:AH185),$AH$2:$AH$1001,0),0), INDEX($AO$1004:$BQ$1004,1,MATCH(COLUMNS($AO$1006:AT1006),$AO$1006:$BQ$1006,0)))),"Fix")))</f>
        <v>#N/A</v>
      </c>
      <c r="H185" s="5" t="e">
        <f ca="1">IF(OR(INDEX($AI$2:$AI$1001,MATCH(ROWS($AH$2:AH185),$AH$2:$AH$1001,0),1)&gt;=100000,INDEX($AO$1005:$BQ$1005,1,MATCH(COLUMNS($AO$1006:AU1006),$AO$1006:$BQ$1006,0))&gt;=100000), " ",IF(INDEX($AO$2:$BQ$1001,MATCH(ROWS($AH$2:AH185),$AH$2:$AH$1001,0),MATCH(COLUMNS($AO$1006:AU1006),$AO$1006:$BQ$1006,0)), HYPERLINK("#",""), HYPERLINK(CONCATENATE("#Metadata!", ADDRESS(INDEX($AJ$2:$AJ$1001,MATCH(ROWS($AH$2:AH185),$AH$2:$AH$1001,0),0), INDEX($AO$1004:$BQ$1004,1,MATCH(COLUMNS($AO$1006:AU1006),$AO$1006:$BQ$1006,0)))),"Fix")))</f>
        <v>#N/A</v>
      </c>
      <c r="I185" s="5" t="e">
        <f ca="1">IF(OR(INDEX($AI$2:$AI$1001,MATCH(ROWS($AH$2:AH185),$AH$2:$AH$1001,0),1)&gt;=100000,INDEX($AO$1005:$BQ$1005,1,MATCH(COLUMNS($AO$1006:AV1006),$AO$1006:$BQ$1006,0))&gt;=100000), " ",IF(INDEX($AO$2:$BQ$1001,MATCH(ROWS($AH$2:AH185),$AH$2:$AH$1001,0),MATCH(COLUMNS($AO$1006:AV1006),$AO$1006:$BQ$1006,0)), HYPERLINK("#",""), HYPERLINK(CONCATENATE("#Metadata!", ADDRESS(INDEX($AJ$2:$AJ$1001,MATCH(ROWS($AH$2:AH185),$AH$2:$AH$1001,0),0), INDEX($AO$1004:$BQ$1004,1,MATCH(COLUMNS($AO$1006:AV1006),$AO$1006:$BQ$1006,0)))),"Fix")))</f>
        <v>#N/A</v>
      </c>
      <c r="J185" s="5" t="e">
        <f ca="1">IF(OR(INDEX($AI$2:$AI$1001,MATCH(ROWS($AH$2:AH185),$AH$2:$AH$1001,0),1)&gt;=100000,INDEX($AO$1005:$BQ$1005,1,MATCH(COLUMNS($AO$1006:AW1006),$AO$1006:$BQ$1006,0))&gt;=100000), " ",IF(INDEX($AO$2:$BQ$1001,MATCH(ROWS($AH$2:AH185),$AH$2:$AH$1001,0),MATCH(COLUMNS($AO$1006:AW1006),$AO$1006:$BQ$1006,0)), HYPERLINK("#",""), HYPERLINK(CONCATENATE("#Metadata!", ADDRESS(INDEX($AJ$2:$AJ$1001,MATCH(ROWS($AH$2:AH185),$AH$2:$AH$1001,0),0), INDEX($AO$1004:$BQ$1004,1,MATCH(COLUMNS($AO$1006:AW1006),$AO$1006:$BQ$1006,0)))),"Fix")))</f>
        <v>#N/A</v>
      </c>
      <c r="K185" s="5" t="e">
        <f ca="1">IF(OR(INDEX($AI$2:$AI$1001,MATCH(ROWS($AH$2:AH185),$AH$2:$AH$1001,0),1)&gt;=100000,INDEX($AO$1005:$BQ$1005,1,MATCH(COLUMNS($AO$1006:AX1006),$AO$1006:$BQ$1006,0))&gt;=100000), " ",IF(INDEX($AO$2:$BQ$1001,MATCH(ROWS($AH$2:AH185),$AH$2:$AH$1001,0),MATCH(COLUMNS($AO$1006:AX1006),$AO$1006:$BQ$1006,0)), HYPERLINK("#",""), HYPERLINK(CONCATENATE("#Metadata!", ADDRESS(INDEX($AJ$2:$AJ$1001,MATCH(ROWS($AH$2:AH185),$AH$2:$AH$1001,0),0), INDEX($AO$1004:$BQ$1004,1,MATCH(COLUMNS($AO$1006:AX1006),$AO$1006:$BQ$1006,0)))),"Fix")))</f>
        <v>#N/A</v>
      </c>
      <c r="L185" s="5" t="e">
        <f ca="1">IF(OR(INDEX($AI$2:$AI$1001,MATCH(ROWS($AH$2:AH185),$AH$2:$AH$1001,0),1)&gt;=100000,INDEX($AO$1005:$BQ$1005,1,MATCH(COLUMNS($AO$1006:AY1006),$AO$1006:$BQ$1006,0))&gt;=100000), " ",IF(INDEX($AO$2:$BQ$1001,MATCH(ROWS($AH$2:AH185),$AH$2:$AH$1001,0),MATCH(COLUMNS($AO$1006:AY1006),$AO$1006:$BQ$1006,0)), HYPERLINK("#",""), HYPERLINK(CONCATENATE("#Metadata!", ADDRESS(INDEX($AJ$2:$AJ$1001,MATCH(ROWS($AH$2:AH185),$AH$2:$AH$1001,0),0), INDEX($AO$1004:$BQ$1004,1,MATCH(COLUMNS($AO$1006:AY1006),$AO$1006:$BQ$1006,0)))),"Fix")))</f>
        <v>#N/A</v>
      </c>
      <c r="M185" s="5" t="e">
        <f ca="1">IF(OR(INDEX($AI$2:$AI$1001,MATCH(ROWS($AH$2:AH185),$AH$2:$AH$1001,0),1)&gt;=100000,INDEX($AO$1005:$BQ$1005,1,MATCH(COLUMNS($AO$1006:AZ1006),$AO$1006:$BQ$1006,0))&gt;=100000), " ",IF(INDEX($AO$2:$BQ$1001,MATCH(ROWS($AH$2:AH185),$AH$2:$AH$1001,0),MATCH(COLUMNS($AO$1006:AZ1006),$AO$1006:$BQ$1006,0)), HYPERLINK("#",""), HYPERLINK(CONCATENATE("#Metadata!", ADDRESS(INDEX($AJ$2:$AJ$1001,MATCH(ROWS($AH$2:AH185),$AH$2:$AH$1001,0),0), INDEX($AO$1004:$BQ$1004,1,MATCH(COLUMNS($AO$1006:AZ1006),$AO$1006:$BQ$1006,0)))),"Fix")))</f>
        <v>#N/A</v>
      </c>
      <c r="N185" s="5" t="e">
        <f ca="1">IF(OR(INDEX($AI$2:$AI$1001,MATCH(ROWS($AH$2:AH185),$AH$2:$AH$1001,0),1)&gt;=100000,INDEX($AO$1005:$BQ$1005,1,MATCH(COLUMNS($AO$1006:BA1006),$AO$1006:$BQ$1006,0))&gt;=100000), " ",IF(INDEX($AO$2:$BQ$1001,MATCH(ROWS($AH$2:AH185),$AH$2:$AH$1001,0),MATCH(COLUMNS($AO$1006:BA1006),$AO$1006:$BQ$1006,0)), HYPERLINK("#",""), HYPERLINK(CONCATENATE("#Metadata!", ADDRESS(INDEX($AJ$2:$AJ$1001,MATCH(ROWS($AH$2:AH185),$AH$2:$AH$1001,0),0), INDEX($AO$1004:$BQ$1004,1,MATCH(COLUMNS($AO$1006:BA1006),$AO$1006:$BQ$1006,0)))),"Fix")))</f>
        <v>#N/A</v>
      </c>
      <c r="O185" s="5" t="e">
        <f ca="1">IF(OR(INDEX($AI$2:$AI$1001,MATCH(ROWS($AH$2:AH185),$AH$2:$AH$1001,0),1)&gt;=100000,INDEX($AO$1005:$BQ$1005,1,MATCH(COLUMNS($AO$1006:BB1006),$AO$1006:$BQ$1006,0))&gt;=100000), " ",IF(INDEX($AO$2:$BQ$1001,MATCH(ROWS($AH$2:AH185),$AH$2:$AH$1001,0),MATCH(COLUMNS($AO$1006:BB1006),$AO$1006:$BQ$1006,0)), HYPERLINK("#",""), HYPERLINK(CONCATENATE("#Metadata!", ADDRESS(INDEX($AJ$2:$AJ$1001,MATCH(ROWS($AH$2:AH185),$AH$2:$AH$1001,0),0), INDEX($AO$1004:$BQ$1004,1,MATCH(COLUMNS($AO$1006:BB1006),$AO$1006:$BQ$1006,0)))),"Fix")))</f>
        <v>#N/A</v>
      </c>
      <c r="P185" s="5" t="e">
        <f ca="1">IF(OR(INDEX($AI$2:$AI$1001,MATCH(ROWS($AH$2:AH185),$AH$2:$AH$1001,0),1)&gt;=100000,INDEX($AO$1005:$BQ$1005,1,MATCH(COLUMNS($AO$1006:BC1006),$AO$1006:$BQ$1006,0))&gt;=100000), " ",IF(INDEX($AO$2:$BQ$1001,MATCH(ROWS($AH$2:AH185),$AH$2:$AH$1001,0),MATCH(COLUMNS($AO$1006:BC1006),$AO$1006:$BQ$1006,0)), HYPERLINK("#",""), HYPERLINK(CONCATENATE("#Metadata!", ADDRESS(INDEX($AJ$2:$AJ$1001,MATCH(ROWS($AH$2:AH185),$AH$2:$AH$1001,0),0), INDEX($AO$1004:$BQ$1004,1,MATCH(COLUMNS($AO$1006:BC1006),$AO$1006:$BQ$1006,0)))),"Fix")))</f>
        <v>#N/A</v>
      </c>
      <c r="Q185" s="5" t="e">
        <f ca="1">IF(OR(INDEX($AI$2:$AI$1001,MATCH(ROWS($AH$2:AH185),$AH$2:$AH$1001,0),1)&gt;=100000,INDEX($AO$1005:$BQ$1005,1,MATCH(COLUMNS($AO$1006:BD1006),$AO$1006:$BQ$1006,0))&gt;=100000), " ",IF(INDEX($AO$2:$BQ$1001,MATCH(ROWS($AH$2:AH185),$AH$2:$AH$1001,0),MATCH(COLUMNS($AO$1006:BD1006),$AO$1006:$BQ$1006,0)), HYPERLINK("#",""), HYPERLINK(CONCATENATE("#Metadata!", ADDRESS(INDEX($AJ$2:$AJ$1001,MATCH(ROWS($AH$2:AH185),$AH$2:$AH$1001,0),0), INDEX($AO$1004:$BQ$1004,1,MATCH(COLUMNS($AO$1006:BD1006),$AO$1006:$BQ$1006,0)))),"Fix")))</f>
        <v>#N/A</v>
      </c>
      <c r="R185" s="5" t="e">
        <f ca="1">IF(OR(INDEX($AI$2:$AI$1001,MATCH(ROWS($AH$2:AH185),$AH$2:$AH$1001,0),1)&gt;=100000,INDEX($AO$1005:$BQ$1005,1,MATCH(COLUMNS($AO$1006:BE1006),$AO$1006:$BQ$1006,0))&gt;=100000), " ",IF(INDEX($AO$2:$BQ$1001,MATCH(ROWS($AH$2:AH185),$AH$2:$AH$1001,0),MATCH(COLUMNS($AO$1006:BE1006),$AO$1006:$BQ$1006,0)), HYPERLINK("#",""), HYPERLINK(CONCATENATE("#Metadata!", ADDRESS(INDEX($AJ$2:$AJ$1001,MATCH(ROWS($AH$2:AH185),$AH$2:$AH$1001,0),0), INDEX($AO$1004:$BQ$1004,1,MATCH(COLUMNS($AO$1006:BE1006),$AO$1006:$BQ$1006,0)))),"Fix")))</f>
        <v>#N/A</v>
      </c>
      <c r="S185" s="5" t="e">
        <f ca="1">IF(OR(INDEX($AI$2:$AI$1001,MATCH(ROWS($AH$2:AH185),$AH$2:$AH$1001,0),1)&gt;=100000,INDEX($AO$1005:$BQ$1005,1,MATCH(COLUMNS($AO$1006:BF1006),$AO$1006:$BQ$1006,0))&gt;=100000), " ",IF(INDEX($AO$2:$BQ$1001,MATCH(ROWS($AH$2:AH185),$AH$2:$AH$1001,0),MATCH(COLUMNS($AO$1006:BF1006),$AO$1006:$BQ$1006,0)), HYPERLINK("#",""), HYPERLINK(CONCATENATE("#Metadata!", ADDRESS(INDEX($AJ$2:$AJ$1001,MATCH(ROWS($AH$2:AH185),$AH$2:$AH$1001,0),0), INDEX($AO$1004:$BQ$1004,1,MATCH(COLUMNS($AO$1006:BF1006),$AO$1006:$BQ$1006,0)))),"Fix")))</f>
        <v>#N/A</v>
      </c>
      <c r="T185" s="5" t="e">
        <f ca="1">IF(OR(INDEX($AI$2:$AI$1001,MATCH(ROWS($AH$2:AH185),$AH$2:$AH$1001,0),1)&gt;=100000,INDEX($AO$1005:$BQ$1005,1,MATCH(COLUMNS($AO$1006:BG1006),$AO$1006:$BQ$1006,0))&gt;=100000), " ",IF(INDEX($AO$2:$BQ$1001,MATCH(ROWS($AH$2:AH185),$AH$2:$AH$1001,0),MATCH(COLUMNS($AO$1006:BG1006),$AO$1006:$BQ$1006,0)), HYPERLINK("#",""), HYPERLINK(CONCATENATE("#Metadata!", ADDRESS(INDEX($AJ$2:$AJ$1001,MATCH(ROWS($AH$2:AH185),$AH$2:$AH$1001,0),0), INDEX($AO$1004:$BQ$1004,1,MATCH(COLUMNS($AO$1006:BG1006),$AO$1006:$BQ$1006,0)))),"Fix")))</f>
        <v>#N/A</v>
      </c>
      <c r="U185" s="5" t="e">
        <f ca="1">IF(OR(INDEX($AI$2:$AI$1001,MATCH(ROWS($AH$2:AH185),$AH$2:$AH$1001,0),1)&gt;=100000,INDEX($AO$1005:$BQ$1005,1,MATCH(COLUMNS($AO$1006:BH1006),$AO$1006:$BQ$1006,0))&gt;=100000), " ",IF(INDEX($AO$2:$BQ$1001,MATCH(ROWS($AH$2:AH185),$AH$2:$AH$1001,0),MATCH(COLUMNS($AO$1006:BH1006),$AO$1006:$BQ$1006,0)), HYPERLINK("#",""), HYPERLINK(CONCATENATE("#Metadata!", ADDRESS(INDEX($AJ$2:$AJ$1001,MATCH(ROWS($AH$2:AH185),$AH$2:$AH$1001,0),0), INDEX($AO$1004:$BQ$1004,1,MATCH(COLUMNS($AO$1006:BH1006),$AO$1006:$BQ$1006,0)))),"Fix")))</f>
        <v>#N/A</v>
      </c>
      <c r="V185" s="5" t="e">
        <f ca="1">IF(OR(INDEX($AI$2:$AI$1001,MATCH(ROWS($AH$2:AH185),$AH$2:$AH$1001,0),1)&gt;=100000,INDEX($AO$1005:$BQ$1005,1,MATCH(COLUMNS($AO$1006:BI1006),$AO$1006:$BQ$1006,0))&gt;=100000), " ",IF(INDEX($AO$2:$BQ$1001,MATCH(ROWS($AH$2:AH185),$AH$2:$AH$1001,0),MATCH(COLUMNS($AO$1006:BI1006),$AO$1006:$BQ$1006,0)), HYPERLINK("#",""), HYPERLINK(CONCATENATE("#Metadata!", ADDRESS(INDEX($AJ$2:$AJ$1001,MATCH(ROWS($AH$2:AH185),$AH$2:$AH$1001,0),0), INDEX($AO$1004:$BQ$1004,1,MATCH(COLUMNS($AO$1006:BI1006),$AO$1006:$BQ$1006,0)))),"Fix")))</f>
        <v>#N/A</v>
      </c>
      <c r="W185" s="5" t="e">
        <f ca="1">IF(OR(INDEX($AI$2:$AI$1001,MATCH(ROWS($AH$2:AH185),$AH$2:$AH$1001,0),1)&gt;=100000,INDEX($AO$1005:$BQ$1005,1,MATCH(COLUMNS($AO$1006:BJ1006),$AO$1006:$BQ$1006,0))&gt;=100000), " ",IF(INDEX($AO$2:$BQ$1001,MATCH(ROWS($AH$2:AH185),$AH$2:$AH$1001,0),MATCH(COLUMNS($AO$1006:BJ1006),$AO$1006:$BQ$1006,0)), HYPERLINK("#",""), HYPERLINK(CONCATENATE("#Metadata!", ADDRESS(INDEX($AJ$2:$AJ$1001,MATCH(ROWS($AH$2:AH185),$AH$2:$AH$1001,0),0), INDEX($AO$1004:$BQ$1004,1,MATCH(COLUMNS($AO$1006:BJ1006),$AO$1006:$BQ$1006,0)))),"Fix")))</f>
        <v>#N/A</v>
      </c>
      <c r="X185" s="5" t="e">
        <f ca="1">IF(OR(INDEX($AI$2:$AI$1001,MATCH(ROWS($AH$2:AH185),$AH$2:$AH$1001,0),1)&gt;=100000,INDEX($AO$1005:$BQ$1005,1,MATCH(COLUMNS($AO$1006:BK1006),$AO$1006:$BQ$1006,0))&gt;=100000), " ",IF(INDEX($AO$2:$BQ$1001,MATCH(ROWS($AH$2:AH185),$AH$2:$AH$1001,0),MATCH(COLUMNS($AO$1006:BK1006),$AO$1006:$BQ$1006,0)), HYPERLINK("#",""), HYPERLINK(CONCATENATE("#Metadata!", ADDRESS(INDEX($AJ$2:$AJ$1001,MATCH(ROWS($AH$2:AH185),$AH$2:$AH$1001,0),0), INDEX($AO$1004:$BQ$1004,1,MATCH(COLUMNS($AO$1006:BK1006),$AO$1006:$BQ$1006,0)))),"Fix")))</f>
        <v>#N/A</v>
      </c>
      <c r="Y185" s="5" t="e">
        <f ca="1">IF(OR(INDEX($AI$2:$AI$1001,MATCH(ROWS($AH$2:AH185),$AH$2:$AH$1001,0),1)&gt;=100000,INDEX($AO$1005:$BQ$1005,1,MATCH(COLUMNS($AO$1006:BL1006),$AO$1006:$BQ$1006,0))&gt;=100000), " ",IF(INDEX($AO$2:$BQ$1001,MATCH(ROWS($AH$2:AH185),$AH$2:$AH$1001,0),MATCH(COLUMNS($AO$1006:BL1006),$AO$1006:$BQ$1006,0)), HYPERLINK("#",""), HYPERLINK(CONCATENATE("#Metadata!", ADDRESS(INDEX($AJ$2:$AJ$1001,MATCH(ROWS($AH$2:AH185),$AH$2:$AH$1001,0),0), INDEX($AO$1004:$BQ$1004,1,MATCH(COLUMNS($AO$1006:BL1006),$AO$1006:$BQ$1006,0)))),"Fix")))</f>
        <v>#N/A</v>
      </c>
      <c r="Z185" s="5" t="e">
        <f ca="1">IF(OR(INDEX($AI$2:$AI$1001,MATCH(ROWS($AH$2:AH185),$AH$2:$AH$1001,0),1)&gt;=100000,INDEX($AO$1005:$BQ$1005,1,MATCH(COLUMNS($AO$1006:BM1006),$AO$1006:$BQ$1006,0))&gt;=100000), " ",IF(INDEX($AO$2:$BQ$1001,MATCH(ROWS($AH$2:AH185),$AH$2:$AH$1001,0),MATCH(COLUMNS($AO$1006:BM1006),$AO$1006:$BQ$1006,0)), HYPERLINK("#",""), HYPERLINK(CONCATENATE("#Metadata!", ADDRESS(INDEX($AJ$2:$AJ$1001,MATCH(ROWS($AH$2:AH185),$AH$2:$AH$1001,0),0), INDEX($AO$1004:$BQ$1004,1,MATCH(COLUMNS($AO$1006:BM1006),$AO$1006:$BQ$1006,0)))),"Fix")))</f>
        <v>#N/A</v>
      </c>
      <c r="AA185" s="5" t="e">
        <f ca="1">IF(OR(INDEX($AI$2:$AI$1001,MATCH(ROWS($AH$2:AH185),$AH$2:$AH$1001,0),1)&gt;=100000,INDEX($AO$1005:$BQ$1005,1,MATCH(COLUMNS($AO$1006:BN1006),$AO$1006:$BQ$1006,0))&gt;=100000), " ",IF(INDEX($AO$2:$BQ$1001,MATCH(ROWS($AH$2:AH185),$AH$2:$AH$1001,0),MATCH(COLUMNS($AO$1006:BN1006),$AO$1006:$BQ$1006,0)), HYPERLINK("#",""), HYPERLINK(CONCATENATE("#Metadata!", ADDRESS(INDEX($AJ$2:$AJ$1001,MATCH(ROWS($AH$2:AH185),$AH$2:$AH$1001,0),0), INDEX($AO$1004:$BQ$1004,1,MATCH(COLUMNS($AO$1006:BN1006),$AO$1006:$BQ$1006,0)))),"Fix")))</f>
        <v>#N/A</v>
      </c>
      <c r="AB185" s="5" t="e">
        <f ca="1">IF(OR(INDEX($AI$2:$AI$1001,MATCH(ROWS($AH$2:AH185),$AH$2:$AH$1001,0),1)&gt;=100000,INDEX($AO$1005:$BQ$1005,1,MATCH(COLUMNS($AO$1006:BO1006),$AO$1006:$BQ$1006,0))&gt;=100000), " ",IF(INDEX($AO$2:$BQ$1001,MATCH(ROWS($AH$2:AH185),$AH$2:$AH$1001,0),MATCH(COLUMNS($AO$1006:BO1006),$AO$1006:$BQ$1006,0)), HYPERLINK("#",""), HYPERLINK(CONCATENATE("#Metadata!", ADDRESS(INDEX($AJ$2:$AJ$1001,MATCH(ROWS($AH$2:AH185),$AH$2:$AH$1001,0),0), INDEX($AO$1004:$BQ$1004,1,MATCH(COLUMNS($AO$1006:BO1006),$AO$1006:$BQ$1006,0)))),"Fix")))</f>
        <v>#N/A</v>
      </c>
      <c r="AC185" s="5" t="e">
        <f ca="1">IF(OR(INDEX($AI$2:$AI$1001,MATCH(ROWS($AH$2:AH185),$AH$2:$AH$1001,0),1)&gt;=100000,INDEX($AO$1005:$BQ$1005,1,MATCH(COLUMNS($AO$1006:BP1006),$AO$1006:$BQ$1006,0))&gt;=100000), " ",IF(INDEX($AO$2:$BQ$1001,MATCH(ROWS($AH$2:AH185),$AH$2:$AH$1001,0),MATCH(COLUMNS($AO$1006:BP1006),$AO$1006:$BQ$1006,0)), HYPERLINK("#",""), HYPERLINK(CONCATENATE("#Metadata!", ADDRESS(INDEX($AJ$2:$AJ$1001,MATCH(ROWS($AH$2:AH185),$AH$2:$AH$1001,0),0), INDEX($AO$1004:$BQ$1004,1,MATCH(COLUMNS($AO$1006:BP1006),$AO$1006:$BQ$1006,0)))),"Fix")))</f>
        <v>#N/A</v>
      </c>
      <c r="AD185" s="5" t="e">
        <f ca="1">IF(OR(INDEX($AI$2:$AI$1001,MATCH(ROWS($AH$2:AH185),$AH$2:$AH$1001,0),1)&gt;=100000,INDEX($AO$1005:$BQ$1005,1,MATCH(COLUMNS($AO$1006:BQ1006),$AO$1006:$BQ$1006,0))&gt;=100000), " ",IF(INDEX($AO$2:$BQ$1001,MATCH(ROWS($AH$2:AH185),$AH$2:$AH$1001,0),MATCH(COLUMNS($AO$1006:BQ1006),$AO$1006:$BQ$1006,0)), HYPERLINK("#",""), HYPERLINK(CONCATENATE("#Metadata!", ADDRESS(INDEX($AJ$2:$AJ$1001,MATCH(ROWS($AH$2:AH185),$AH$2:$AH$1001,0),0), INDEX($AO$1004:$BQ$1004,1,MATCH(COLUMNS($AO$1006:BQ1006),$AO$1006:$BQ$1006,0)))),"Fix")))</f>
        <v>#REF!</v>
      </c>
      <c r="AH185">
        <f ca="1"/>
        <v>182</v>
      </c>
      <c r="AI185">
        <v>100185</v>
      </c>
      <c r="AJ185">
        <v>185</v>
      </c>
      <c r="AK185" t="b">
        <f t="shared" si="2"/>
        <v>1</v>
      </c>
      <c r="AL185" t="b">
        <f>COUNTBLANK(Metadata!B185:AD185)=COLUMNS(Metadata!B185:AD185)</f>
        <v>1</v>
      </c>
      <c r="AM185" t="str">
        <v/>
      </c>
      <c r="AO185" t="b">
        <f ca="1">AND(IF(Metadata!B185="",FALSE,TRUE),COUNTIF(Metadata!B:B, Metadata!B185) = 1,NOT(ISERROR(SUMPRODUCT(SEARCH(MID(Metadata!B185,ROW(INDIRECT("1:"&amp;LEN(Metadata!B185))), 1),"0123456789abcdefghijklmnopqrstuvwxyzABCDEFGHIJKLMNOPQRSTUVWXYZ.")))))</f>
        <v>0</v>
      </c>
      <c r="AP185" t="b">
        <f>IF(Metadata!C185="",FALSE,TRUE)</f>
        <v>0</v>
      </c>
      <c r="AQ185" t="b">
        <f>IF(Metadata!D185="",FALSE,TRUE)</f>
        <v>0</v>
      </c>
      <c r="AR185" t="b">
        <f ca="1">OR(AND(IF(Metadata!E185="",FALSE,TRUE),OR(EXACT(Metadata!E185,"not collected"),EXACT(Metadata!E185,"not provided"),EXACT(Metadata!E185,"restricted access"))),AND(IF(Metadata!E185="",FALSE,TRUE),AND(AND(IFERROR(INT(LEFT(Metadata!E185,4))&gt;1900,FALSE),IFERROR(INT(LEFT(Metadata!E185,4))&lt;=YEAR(NOW()),FALSE)), OR(MID(Metadata!E185,5,1)="", AND(AND(MID(Metadata!E185,5,1)="-",IFERROR(INT(MID(Metadata!E185,6,1))&gt;=0,FALSE),IFERROR(INT(MID(Metadata!E185,6,1))&lt;=1,FALSE),NOT(MID(Metadata!E185,7,1)=""),IFERROR(INT(MID(Metadata!E185,6,2))&gt;=1,FALSE),IFERROR(INT(MID(Metadata!E185,6,2))&lt;=12,FALSE)), OR(MID(Metadata!E185,8,1)="", AND(AND(MID(Metadata!E185,8,1)="-",IFERROR(INT(MID(Metadata!E185,9,1))&gt;=0,FALSE),IFERROR(INT(MID(Metadata!E185,9,1))&lt;=3,FALSE),NOT(MID(Metadata!E185,10,1)=""),IFERROR(INT(MID(Metadata!E185,9,2))&gt;=1,FALSE),IFERROR(INT(MID(Metadata!E185,9,2))&lt;=31,FALSE)), OR(MID(Metadata!E185,11,1)="", AND(AND(MID(Metadata!E185,11,1)=" ",IFERROR(INT(MID(Metadata!E185,12,1))&gt;=0,FALSE),IFERROR(INT(MID(Metadata!E185,12,1))&lt;=2,FALSE),NOT(MID(Metadata!E185,13,1)=""),IFERROR(INT(MID(Metadata!E185,12,2))&gt;=0,FALSE),IFERROR(INT(MID(Metadata!E185,12,2))&lt;=23,FALSE)), OR(MID(Metadata!E185,14,1)="", AND(AND(MID(Metadata!E185,14,1)=":",IFERROR(INT(MID(Metadata!E185,15,1))&gt;=0,FALSE),IFERROR(INT(MID(Metadata!E185,15,1))&lt;=5,FALSE),NOT(MID(Metadata!E185,16,1)=""),IFERROR(INT(MID(Metadata!E185,15,2))&gt;=0,FALSE),IFERROR(INT(MID(Metadata!E185,15,2))&lt;=59,FALSE)), OR(MID(Metadata!E185,17,1)="", AND(AND(MID(Metadata!E185,17,1)=":",IFERROR(INT(MID(Metadata!E185,18,1))&gt;=0,FALSE),IFERROR(INT(MID(Metadata!E185,18,1))&lt;=5,FALSE),NOT(MID(Metadata!E185,19,1)=""),IFERROR(INT(MID(Metadata!E185,18,2))&gt;=0,FALSE),IFERROR(INT(MID(Metadata!E185,18,2))&lt;=59,FALSE)), LEN(Metadata!E185)&lt;=19)))))))))))))</f>
        <v>0</v>
      </c>
      <c r="AS185" t="b">
        <f>IF(Metadata!F185="",FALSE,TRUE)</f>
        <v>0</v>
      </c>
      <c r="AT185" t="b">
        <f>OR(AND(IF(Metadata!G185="",FALSE,TRUE),OR(EXACT(Metadata!G185,"not collected"),EXACT(Metadata!G185,"not provided"))),AND(IF(Metadata!G185="",FALSE,TRUE),OR(EXACT(Metadata!G185,"TRUE"),EXACT(Metadata!G185,"FALSE"))))</f>
        <v>0</v>
      </c>
      <c r="AU185" t="b">
        <f>OR(AND(IF(Metadata!H185="",FALSE,TRUE),OR(EXACT(Metadata!H185,"not collected"),EXACT(Metadata!H185,"not provided"),EXACT(Metadata!H185,"restricted access"))),AND(IF(Metadata!H185="",FALSE,ISNUMBER(VALUE(Metadata!H185))),Metadata!H185&gt;=-413))</f>
        <v>0</v>
      </c>
      <c r="AV185" t="b">
        <f>AND(IF(Metadata!I185="",FALSE,TRUE),EXACT(Metadata!I185,"meters"))</f>
        <v>0</v>
      </c>
      <c r="AW185" t="b">
        <f>AND(IF(Metadata!J185="",FALSE,TRUE),EXACT(Metadata!J185,"free-living"))</f>
        <v>0</v>
      </c>
      <c r="AX185" t="b">
        <f>AND(IF(Metadata!K185="",FALSE,TRUE),OR(EXACT(Metadata!K185,"saline"),EXACT(Metadata!K185,"non-saline")))</f>
        <v>0</v>
      </c>
      <c r="AY185" t="b">
        <f>AND(IF(Metadata!L185="",FALSE,TRUE),OR(EXACT(Metadata!L185,"sub-surface (non-saline)"),EXACT(Metadata!L185,"surface (non-saline)"),EXACT(Metadata!L185,"water (non-saline)"),EXACT(Metadata!L185,"soil (non-saline)"),EXACT(Metadata!L185,"aerosol (non-saline)"),EXACT(Metadata!L185,"sediment (non-saline)"),EXACT(Metadata!L185,"surface (saline)"),EXACT(Metadata!L185,"water (saline)"),EXACT(Metadata!L185,"hypersaline (saline)"),EXACT(Metadata!L185,"aerosol (saline)"),EXACT(Metadata!L185,"sediment (saline)")))</f>
        <v>0</v>
      </c>
      <c r="AZ185" t="b">
        <f>IF(Metadata!M185="",FALSE,TRUE)</f>
        <v>0</v>
      </c>
      <c r="BA185" t="b">
        <f>IF(Metadata!N185="",FALSE,TRUE)</f>
        <v>0</v>
      </c>
      <c r="BB185" t="b">
        <f>IF(Metadata!O185="",FALSE,TRUE)</f>
        <v>0</v>
      </c>
      <c r="BC185" t="b">
        <f>AND(IF(Metadata!P185="",FALSE,TRUE),OR(EXACT(Metadata!P185,"air"),EXACT(Metadata!P185,"microbial mat/biofilm"),EXACT(Metadata!P185,"misc environment"),EXACT(Metadata!P185,"sediment"),EXACT(Metadata!P185,"soil"),EXACT(Metadata!P185,"wastewater/sludge"),EXACT(Metadata!P185,"water")))</f>
        <v>0</v>
      </c>
      <c r="BD185" t="b">
        <f>IF(Metadata!Q185="",FALSE,TRUE)</f>
        <v>0</v>
      </c>
      <c r="BE185" t="b">
        <f>IF(Metadata!R185="",FALSE,TRUE)</f>
        <v>0</v>
      </c>
      <c r="BF185" t="b">
        <f>OR(AND(IF(Metadata!S185="",FALSE,TRUE),OR(EXACT(Metadata!S185,"not collected"),EXACT(Metadata!S185,"not provided"),EXACT(Metadata!S185,"restricted access"))),AND(IF(Metadata!S185="",FALSE,ISNUMBER(VALUE(Metadata!S185))),Metadata!S185&gt;=-90,Metadata!S185&lt;=90))</f>
        <v>0</v>
      </c>
      <c r="BG185" t="b">
        <f>AND(IF(Metadata!T185="",FALSE,TRUE),EXACT(Metadata!T185,"Decimal degrees"))</f>
        <v>0</v>
      </c>
      <c r="BH185" t="b">
        <f>OR(AND(IF(Metadata!U185="",FALSE,TRUE),OR(EXACT(Metadata!U185,"not applicable"),EXACT(Metadata!U185,"not collected"))),IF(Metadata!U185="",FALSE,TRUE))</f>
        <v>0</v>
      </c>
      <c r="BI185" t="b">
        <f>OR(AND(IF(Metadata!V185="",FALSE,TRUE),OR(EXACT(Metadata!V185,"not collected"),EXACT(Metadata!V185,"not provided"),EXACT(Metadata!V185,"restricted access"))),AND(IF(Metadata!V185="",FALSE,ISNUMBER(VALUE(Metadata!V185))),Metadata!V185&gt;=-180,Metadata!V185&lt;=180))</f>
        <v>0</v>
      </c>
      <c r="BJ185" t="b">
        <f>AND(IF(Metadata!W185="",FALSE,TRUE),EXACT(Metadata!W185,"Decimal degrees"))</f>
        <v>0</v>
      </c>
      <c r="BK185" t="b">
        <f>IF(Metadata!X185="",FALSE,TRUE)</f>
        <v>0</v>
      </c>
      <c r="BL185" t="b">
        <f>OR(AND(IF(Metadata!Y185="",FALSE,TRUE),OR(EXACT(Metadata!Y185,"not collected"),EXACT(Metadata!Y185,"not provided"),EXACT(Metadata!Y185,"restricted access"))),AND(IF(Metadata!Y185="",FALSE,TRUE),OR(EXACT(Metadata!Y185,"TRUE"),EXACT(Metadata!Y185,"FALSE"))))</f>
        <v>0</v>
      </c>
      <c r="BM185" t="b">
        <f>OR(AND(IF(Metadata!Z185="",FALSE,TRUE),EXACT(Metadata!Z185,"not applicable")),AND(IF(Metadata!Z185="",FALSE,TRUE),OR(EXACT(Metadata!Z185,"beer"),EXACT(Metadata!Z185,"cheese"),EXACT(Metadata!Z185,"fresh water"),EXACT(Metadata!Z185,"marine sediment"),EXACT(Metadata!Z185,"sea water"),EXACT(Metadata!Z185,"sediment"),EXACT(Metadata!Z185,"soil"),EXACT(Metadata!Z185,"waste water"))))</f>
        <v>0</v>
      </c>
      <c r="BN185" t="b">
        <f>AND(IF(Metadata!AA185="",FALSE,TRUE),EXACT(Metadata!AA185,"metagenome"))</f>
        <v>0</v>
      </c>
      <c r="BO185" t="b">
        <f>AND(IF(Metadata!AB185="",FALSE,TRUE),EXACT(Metadata!AB185,"256318"))</f>
        <v>0</v>
      </c>
      <c r="BP185" t="b">
        <f>IF(Metadata!AC185="",FALSE,TRUE)</f>
        <v>0</v>
      </c>
      <c r="BQ185" t="b">
        <f>IF(Metadata!AD185="",FALSE,TRUE)</f>
        <v>0</v>
      </c>
    </row>
    <row r="186" spans="1:69" x14ac:dyDescent="0.2">
      <c r="A186" s="4" t="e">
        <f ca="1">IF(B186=" "," ",HYPERLINK(CONCATENATE("#metadata!",ADDRESS(INDEX($AJ$2:$AJ$1001,MATCH(ROWS($AH$2:AH186),$AH$2:$AH$1001,0),0),2)),INDEX($AM$2:$AM$1001,MATCH(ROWS($AH$2:AH186),$AH$2:$AH$1001,0),0)))</f>
        <v>#N/A</v>
      </c>
      <c r="B186" s="5" t="e">
        <f ca="1">IF(OR(INDEX($AI$2:$AI$1001,MATCH(ROWS($AH$2:AH186),$AH$2:$AH$1001,0),1)&gt;=100000,INDEX($AO$1005:$BQ$1005,1,MATCH(COLUMNS($AO$1006:AO1006),$AO$1006:$BQ$1006,0))&gt;=100000), " ",IF(INDEX($AO$2:$BQ$1001,MATCH(ROWS($AH$2:AH186),$AH$2:$AH$1001,0),MATCH(COLUMNS($AO$1006:AO1006),$AO$1006:$BQ$1006,0)), HYPERLINK("#",""), HYPERLINK(CONCATENATE("#Metadata!", ADDRESS(INDEX($AJ$2:$AJ$1001,MATCH(ROWS($AH$2:AH186),$AH$2:$AH$1001,0),0), INDEX($AO$1004:$BQ$1004,1,MATCH(COLUMNS($AO$1006:AO1006),$AO$1006:$BQ$1006,0)))),"Fix")))</f>
        <v>#N/A</v>
      </c>
      <c r="C186" s="5" t="e">
        <f ca="1">IF(OR(INDEX($AI$2:$AI$1001,MATCH(ROWS($AH$2:AH186),$AH$2:$AH$1001,0),1)&gt;=100000,INDEX($AO$1005:$BQ$1005,1,MATCH(COLUMNS($AO$1006:AP1006),$AO$1006:$BQ$1006,0))&gt;=100000), " ",IF(INDEX($AO$2:$BQ$1001,MATCH(ROWS($AH$2:AH186),$AH$2:$AH$1001,0),MATCH(COLUMNS($AO$1006:AP1006),$AO$1006:$BQ$1006,0)), HYPERLINK("#",""), HYPERLINK(CONCATENATE("#Metadata!", ADDRESS(INDEX($AJ$2:$AJ$1001,MATCH(ROWS($AH$2:AH186),$AH$2:$AH$1001,0),0), INDEX($AO$1004:$BQ$1004,1,MATCH(COLUMNS($AO$1006:AP1006),$AO$1006:$BQ$1006,0)))),"Fix")))</f>
        <v>#N/A</v>
      </c>
      <c r="D186" s="5" t="e">
        <f ca="1">IF(OR(INDEX($AI$2:$AI$1001,MATCH(ROWS($AH$2:AH186),$AH$2:$AH$1001,0),1)&gt;=100000,INDEX($AO$1005:$BQ$1005,1,MATCH(COLUMNS($AO$1006:AQ1006),$AO$1006:$BQ$1006,0))&gt;=100000), " ",IF(INDEX($AO$2:$BQ$1001,MATCH(ROWS($AH$2:AH186),$AH$2:$AH$1001,0),MATCH(COLUMNS($AO$1006:AQ1006),$AO$1006:$BQ$1006,0)), HYPERLINK("#",""), HYPERLINK(CONCATENATE("#Metadata!", ADDRESS(INDEX($AJ$2:$AJ$1001,MATCH(ROWS($AH$2:AH186),$AH$2:$AH$1001,0),0), INDEX($AO$1004:$BQ$1004,1,MATCH(COLUMNS($AO$1006:AQ1006),$AO$1006:$BQ$1006,0)))),"Fix")))</f>
        <v>#N/A</v>
      </c>
      <c r="E186" s="5" t="e">
        <f ca="1">IF(OR(INDEX($AI$2:$AI$1001,MATCH(ROWS($AH$2:AH186),$AH$2:$AH$1001,0),1)&gt;=100000,INDEX($AO$1005:$BQ$1005,1,MATCH(COLUMNS($AO$1006:AR1006),$AO$1006:$BQ$1006,0))&gt;=100000), " ",IF(INDEX($AO$2:$BQ$1001,MATCH(ROWS($AH$2:AH186),$AH$2:$AH$1001,0),MATCH(COLUMNS($AO$1006:AR1006),$AO$1006:$BQ$1006,0)), HYPERLINK("#",""), HYPERLINK(CONCATENATE("#Metadata!", ADDRESS(INDEX($AJ$2:$AJ$1001,MATCH(ROWS($AH$2:AH186),$AH$2:$AH$1001,0),0), INDEX($AO$1004:$BQ$1004,1,MATCH(COLUMNS($AO$1006:AR1006),$AO$1006:$BQ$1006,0)))),"Fix")))</f>
        <v>#N/A</v>
      </c>
      <c r="F186" s="5" t="e">
        <f ca="1">IF(OR(INDEX($AI$2:$AI$1001,MATCH(ROWS($AH$2:AH186),$AH$2:$AH$1001,0),1)&gt;=100000,INDEX($AO$1005:$BQ$1005,1,MATCH(COLUMNS($AO$1006:AS1006),$AO$1006:$BQ$1006,0))&gt;=100000), " ",IF(INDEX($AO$2:$BQ$1001,MATCH(ROWS($AH$2:AH186),$AH$2:$AH$1001,0),MATCH(COLUMNS($AO$1006:AS1006),$AO$1006:$BQ$1006,0)), HYPERLINK("#",""), HYPERLINK(CONCATENATE("#Metadata!", ADDRESS(INDEX($AJ$2:$AJ$1001,MATCH(ROWS($AH$2:AH186),$AH$2:$AH$1001,0),0), INDEX($AO$1004:$BQ$1004,1,MATCH(COLUMNS($AO$1006:AS1006),$AO$1006:$BQ$1006,0)))),"Fix")))</f>
        <v>#N/A</v>
      </c>
      <c r="G186" s="5" t="e">
        <f ca="1">IF(OR(INDEX($AI$2:$AI$1001,MATCH(ROWS($AH$2:AH186),$AH$2:$AH$1001,0),1)&gt;=100000,INDEX($AO$1005:$BQ$1005,1,MATCH(COLUMNS($AO$1006:AT1006),$AO$1006:$BQ$1006,0))&gt;=100000), " ",IF(INDEX($AO$2:$BQ$1001,MATCH(ROWS($AH$2:AH186),$AH$2:$AH$1001,0),MATCH(COLUMNS($AO$1006:AT1006),$AO$1006:$BQ$1006,0)), HYPERLINK("#",""), HYPERLINK(CONCATENATE("#Metadata!", ADDRESS(INDEX($AJ$2:$AJ$1001,MATCH(ROWS($AH$2:AH186),$AH$2:$AH$1001,0),0), INDEX($AO$1004:$BQ$1004,1,MATCH(COLUMNS($AO$1006:AT1006),$AO$1006:$BQ$1006,0)))),"Fix")))</f>
        <v>#N/A</v>
      </c>
      <c r="H186" s="5" t="e">
        <f ca="1">IF(OR(INDEX($AI$2:$AI$1001,MATCH(ROWS($AH$2:AH186),$AH$2:$AH$1001,0),1)&gt;=100000,INDEX($AO$1005:$BQ$1005,1,MATCH(COLUMNS($AO$1006:AU1006),$AO$1006:$BQ$1006,0))&gt;=100000), " ",IF(INDEX($AO$2:$BQ$1001,MATCH(ROWS($AH$2:AH186),$AH$2:$AH$1001,0),MATCH(COLUMNS($AO$1006:AU1006),$AO$1006:$BQ$1006,0)), HYPERLINK("#",""), HYPERLINK(CONCATENATE("#Metadata!", ADDRESS(INDEX($AJ$2:$AJ$1001,MATCH(ROWS($AH$2:AH186),$AH$2:$AH$1001,0),0), INDEX($AO$1004:$BQ$1004,1,MATCH(COLUMNS($AO$1006:AU1006),$AO$1006:$BQ$1006,0)))),"Fix")))</f>
        <v>#N/A</v>
      </c>
      <c r="I186" s="5" t="e">
        <f ca="1">IF(OR(INDEX($AI$2:$AI$1001,MATCH(ROWS($AH$2:AH186),$AH$2:$AH$1001,0),1)&gt;=100000,INDEX($AO$1005:$BQ$1005,1,MATCH(COLUMNS($AO$1006:AV1006),$AO$1006:$BQ$1006,0))&gt;=100000), " ",IF(INDEX($AO$2:$BQ$1001,MATCH(ROWS($AH$2:AH186),$AH$2:$AH$1001,0),MATCH(COLUMNS($AO$1006:AV1006),$AO$1006:$BQ$1006,0)), HYPERLINK("#",""), HYPERLINK(CONCATENATE("#Metadata!", ADDRESS(INDEX($AJ$2:$AJ$1001,MATCH(ROWS($AH$2:AH186),$AH$2:$AH$1001,0),0), INDEX($AO$1004:$BQ$1004,1,MATCH(COLUMNS($AO$1006:AV1006),$AO$1006:$BQ$1006,0)))),"Fix")))</f>
        <v>#N/A</v>
      </c>
      <c r="J186" s="5" t="e">
        <f ca="1">IF(OR(INDEX($AI$2:$AI$1001,MATCH(ROWS($AH$2:AH186),$AH$2:$AH$1001,0),1)&gt;=100000,INDEX($AO$1005:$BQ$1005,1,MATCH(COLUMNS($AO$1006:AW1006),$AO$1006:$BQ$1006,0))&gt;=100000), " ",IF(INDEX($AO$2:$BQ$1001,MATCH(ROWS($AH$2:AH186),$AH$2:$AH$1001,0),MATCH(COLUMNS($AO$1006:AW1006),$AO$1006:$BQ$1006,0)), HYPERLINK("#",""), HYPERLINK(CONCATENATE("#Metadata!", ADDRESS(INDEX($AJ$2:$AJ$1001,MATCH(ROWS($AH$2:AH186),$AH$2:$AH$1001,0),0), INDEX($AO$1004:$BQ$1004,1,MATCH(COLUMNS($AO$1006:AW1006),$AO$1006:$BQ$1006,0)))),"Fix")))</f>
        <v>#N/A</v>
      </c>
      <c r="K186" s="5" t="e">
        <f ca="1">IF(OR(INDEX($AI$2:$AI$1001,MATCH(ROWS($AH$2:AH186),$AH$2:$AH$1001,0),1)&gt;=100000,INDEX($AO$1005:$BQ$1005,1,MATCH(COLUMNS($AO$1006:AX1006),$AO$1006:$BQ$1006,0))&gt;=100000), " ",IF(INDEX($AO$2:$BQ$1001,MATCH(ROWS($AH$2:AH186),$AH$2:$AH$1001,0),MATCH(COLUMNS($AO$1006:AX1006),$AO$1006:$BQ$1006,0)), HYPERLINK("#",""), HYPERLINK(CONCATENATE("#Metadata!", ADDRESS(INDEX($AJ$2:$AJ$1001,MATCH(ROWS($AH$2:AH186),$AH$2:$AH$1001,0),0), INDEX($AO$1004:$BQ$1004,1,MATCH(COLUMNS($AO$1006:AX1006),$AO$1006:$BQ$1006,0)))),"Fix")))</f>
        <v>#N/A</v>
      </c>
      <c r="L186" s="5" t="e">
        <f ca="1">IF(OR(INDEX($AI$2:$AI$1001,MATCH(ROWS($AH$2:AH186),$AH$2:$AH$1001,0),1)&gt;=100000,INDEX($AO$1005:$BQ$1005,1,MATCH(COLUMNS($AO$1006:AY1006),$AO$1006:$BQ$1006,0))&gt;=100000), " ",IF(INDEX($AO$2:$BQ$1001,MATCH(ROWS($AH$2:AH186),$AH$2:$AH$1001,0),MATCH(COLUMNS($AO$1006:AY1006),$AO$1006:$BQ$1006,0)), HYPERLINK("#",""), HYPERLINK(CONCATENATE("#Metadata!", ADDRESS(INDEX($AJ$2:$AJ$1001,MATCH(ROWS($AH$2:AH186),$AH$2:$AH$1001,0),0), INDEX($AO$1004:$BQ$1004,1,MATCH(COLUMNS($AO$1006:AY1006),$AO$1006:$BQ$1006,0)))),"Fix")))</f>
        <v>#N/A</v>
      </c>
      <c r="M186" s="5" t="e">
        <f ca="1">IF(OR(INDEX($AI$2:$AI$1001,MATCH(ROWS($AH$2:AH186),$AH$2:$AH$1001,0),1)&gt;=100000,INDEX($AO$1005:$BQ$1005,1,MATCH(COLUMNS($AO$1006:AZ1006),$AO$1006:$BQ$1006,0))&gt;=100000), " ",IF(INDEX($AO$2:$BQ$1001,MATCH(ROWS($AH$2:AH186),$AH$2:$AH$1001,0),MATCH(COLUMNS($AO$1006:AZ1006),$AO$1006:$BQ$1006,0)), HYPERLINK("#",""), HYPERLINK(CONCATENATE("#Metadata!", ADDRESS(INDEX($AJ$2:$AJ$1001,MATCH(ROWS($AH$2:AH186),$AH$2:$AH$1001,0),0), INDEX($AO$1004:$BQ$1004,1,MATCH(COLUMNS($AO$1006:AZ1006),$AO$1006:$BQ$1006,0)))),"Fix")))</f>
        <v>#N/A</v>
      </c>
      <c r="N186" s="5" t="e">
        <f ca="1">IF(OR(INDEX($AI$2:$AI$1001,MATCH(ROWS($AH$2:AH186),$AH$2:$AH$1001,0),1)&gt;=100000,INDEX($AO$1005:$BQ$1005,1,MATCH(COLUMNS($AO$1006:BA1006),$AO$1006:$BQ$1006,0))&gt;=100000), " ",IF(INDEX($AO$2:$BQ$1001,MATCH(ROWS($AH$2:AH186),$AH$2:$AH$1001,0),MATCH(COLUMNS($AO$1006:BA1006),$AO$1006:$BQ$1006,0)), HYPERLINK("#",""), HYPERLINK(CONCATENATE("#Metadata!", ADDRESS(INDEX($AJ$2:$AJ$1001,MATCH(ROWS($AH$2:AH186),$AH$2:$AH$1001,0),0), INDEX($AO$1004:$BQ$1004,1,MATCH(COLUMNS($AO$1006:BA1006),$AO$1006:$BQ$1006,0)))),"Fix")))</f>
        <v>#N/A</v>
      </c>
      <c r="O186" s="5" t="e">
        <f ca="1">IF(OR(INDEX($AI$2:$AI$1001,MATCH(ROWS($AH$2:AH186),$AH$2:$AH$1001,0),1)&gt;=100000,INDEX($AO$1005:$BQ$1005,1,MATCH(COLUMNS($AO$1006:BB1006),$AO$1006:$BQ$1006,0))&gt;=100000), " ",IF(INDEX($AO$2:$BQ$1001,MATCH(ROWS($AH$2:AH186),$AH$2:$AH$1001,0),MATCH(COLUMNS($AO$1006:BB1006),$AO$1006:$BQ$1006,0)), HYPERLINK("#",""), HYPERLINK(CONCATENATE("#Metadata!", ADDRESS(INDEX($AJ$2:$AJ$1001,MATCH(ROWS($AH$2:AH186),$AH$2:$AH$1001,0),0), INDEX($AO$1004:$BQ$1004,1,MATCH(COLUMNS($AO$1006:BB1006),$AO$1006:$BQ$1006,0)))),"Fix")))</f>
        <v>#N/A</v>
      </c>
      <c r="P186" s="5" t="e">
        <f ca="1">IF(OR(INDEX($AI$2:$AI$1001,MATCH(ROWS($AH$2:AH186),$AH$2:$AH$1001,0),1)&gt;=100000,INDEX($AO$1005:$BQ$1005,1,MATCH(COLUMNS($AO$1006:BC1006),$AO$1006:$BQ$1006,0))&gt;=100000), " ",IF(INDEX($AO$2:$BQ$1001,MATCH(ROWS($AH$2:AH186),$AH$2:$AH$1001,0),MATCH(COLUMNS($AO$1006:BC1006),$AO$1006:$BQ$1006,0)), HYPERLINK("#",""), HYPERLINK(CONCATENATE("#Metadata!", ADDRESS(INDEX($AJ$2:$AJ$1001,MATCH(ROWS($AH$2:AH186),$AH$2:$AH$1001,0),0), INDEX($AO$1004:$BQ$1004,1,MATCH(COLUMNS($AO$1006:BC1006),$AO$1006:$BQ$1006,0)))),"Fix")))</f>
        <v>#N/A</v>
      </c>
      <c r="Q186" s="5" t="e">
        <f ca="1">IF(OR(INDEX($AI$2:$AI$1001,MATCH(ROWS($AH$2:AH186),$AH$2:$AH$1001,0),1)&gt;=100000,INDEX($AO$1005:$BQ$1005,1,MATCH(COLUMNS($AO$1006:BD1006),$AO$1006:$BQ$1006,0))&gt;=100000), " ",IF(INDEX($AO$2:$BQ$1001,MATCH(ROWS($AH$2:AH186),$AH$2:$AH$1001,0),MATCH(COLUMNS($AO$1006:BD1006),$AO$1006:$BQ$1006,0)), HYPERLINK("#",""), HYPERLINK(CONCATENATE("#Metadata!", ADDRESS(INDEX($AJ$2:$AJ$1001,MATCH(ROWS($AH$2:AH186),$AH$2:$AH$1001,0),0), INDEX($AO$1004:$BQ$1004,1,MATCH(COLUMNS($AO$1006:BD1006),$AO$1006:$BQ$1006,0)))),"Fix")))</f>
        <v>#N/A</v>
      </c>
      <c r="R186" s="5" t="e">
        <f ca="1">IF(OR(INDEX($AI$2:$AI$1001,MATCH(ROWS($AH$2:AH186),$AH$2:$AH$1001,0),1)&gt;=100000,INDEX($AO$1005:$BQ$1005,1,MATCH(COLUMNS($AO$1006:BE1006),$AO$1006:$BQ$1006,0))&gt;=100000), " ",IF(INDEX($AO$2:$BQ$1001,MATCH(ROWS($AH$2:AH186),$AH$2:$AH$1001,0),MATCH(COLUMNS($AO$1006:BE1006),$AO$1006:$BQ$1006,0)), HYPERLINK("#",""), HYPERLINK(CONCATENATE("#Metadata!", ADDRESS(INDEX($AJ$2:$AJ$1001,MATCH(ROWS($AH$2:AH186),$AH$2:$AH$1001,0),0), INDEX($AO$1004:$BQ$1004,1,MATCH(COLUMNS($AO$1006:BE1006),$AO$1006:$BQ$1006,0)))),"Fix")))</f>
        <v>#N/A</v>
      </c>
      <c r="S186" s="5" t="e">
        <f ca="1">IF(OR(INDEX($AI$2:$AI$1001,MATCH(ROWS($AH$2:AH186),$AH$2:$AH$1001,0),1)&gt;=100000,INDEX($AO$1005:$BQ$1005,1,MATCH(COLUMNS($AO$1006:BF1006),$AO$1006:$BQ$1006,0))&gt;=100000), " ",IF(INDEX($AO$2:$BQ$1001,MATCH(ROWS($AH$2:AH186),$AH$2:$AH$1001,0),MATCH(COLUMNS($AO$1006:BF1006),$AO$1006:$BQ$1006,0)), HYPERLINK("#",""), HYPERLINK(CONCATENATE("#Metadata!", ADDRESS(INDEX($AJ$2:$AJ$1001,MATCH(ROWS($AH$2:AH186),$AH$2:$AH$1001,0),0), INDEX($AO$1004:$BQ$1004,1,MATCH(COLUMNS($AO$1006:BF1006),$AO$1006:$BQ$1006,0)))),"Fix")))</f>
        <v>#N/A</v>
      </c>
      <c r="T186" s="5" t="e">
        <f ca="1">IF(OR(INDEX($AI$2:$AI$1001,MATCH(ROWS($AH$2:AH186),$AH$2:$AH$1001,0),1)&gt;=100000,INDEX($AO$1005:$BQ$1005,1,MATCH(COLUMNS($AO$1006:BG1006),$AO$1006:$BQ$1006,0))&gt;=100000), " ",IF(INDEX($AO$2:$BQ$1001,MATCH(ROWS($AH$2:AH186),$AH$2:$AH$1001,0),MATCH(COLUMNS($AO$1006:BG1006),$AO$1006:$BQ$1006,0)), HYPERLINK("#",""), HYPERLINK(CONCATENATE("#Metadata!", ADDRESS(INDEX($AJ$2:$AJ$1001,MATCH(ROWS($AH$2:AH186),$AH$2:$AH$1001,0),0), INDEX($AO$1004:$BQ$1004,1,MATCH(COLUMNS($AO$1006:BG1006),$AO$1006:$BQ$1006,0)))),"Fix")))</f>
        <v>#N/A</v>
      </c>
      <c r="U186" s="5" t="e">
        <f ca="1">IF(OR(INDEX($AI$2:$AI$1001,MATCH(ROWS($AH$2:AH186),$AH$2:$AH$1001,0),1)&gt;=100000,INDEX($AO$1005:$BQ$1005,1,MATCH(COLUMNS($AO$1006:BH1006),$AO$1006:$BQ$1006,0))&gt;=100000), " ",IF(INDEX($AO$2:$BQ$1001,MATCH(ROWS($AH$2:AH186),$AH$2:$AH$1001,0),MATCH(COLUMNS($AO$1006:BH1006),$AO$1006:$BQ$1006,0)), HYPERLINK("#",""), HYPERLINK(CONCATENATE("#Metadata!", ADDRESS(INDEX($AJ$2:$AJ$1001,MATCH(ROWS($AH$2:AH186),$AH$2:$AH$1001,0),0), INDEX($AO$1004:$BQ$1004,1,MATCH(COLUMNS($AO$1006:BH1006),$AO$1006:$BQ$1006,0)))),"Fix")))</f>
        <v>#N/A</v>
      </c>
      <c r="V186" s="5" t="e">
        <f ca="1">IF(OR(INDEX($AI$2:$AI$1001,MATCH(ROWS($AH$2:AH186),$AH$2:$AH$1001,0),1)&gt;=100000,INDEX($AO$1005:$BQ$1005,1,MATCH(COLUMNS($AO$1006:BI1006),$AO$1006:$BQ$1006,0))&gt;=100000), " ",IF(INDEX($AO$2:$BQ$1001,MATCH(ROWS($AH$2:AH186),$AH$2:$AH$1001,0),MATCH(COLUMNS($AO$1006:BI1006),$AO$1006:$BQ$1006,0)), HYPERLINK("#",""), HYPERLINK(CONCATENATE("#Metadata!", ADDRESS(INDEX($AJ$2:$AJ$1001,MATCH(ROWS($AH$2:AH186),$AH$2:$AH$1001,0),0), INDEX($AO$1004:$BQ$1004,1,MATCH(COLUMNS($AO$1006:BI1006),$AO$1006:$BQ$1006,0)))),"Fix")))</f>
        <v>#N/A</v>
      </c>
      <c r="W186" s="5" t="e">
        <f ca="1">IF(OR(INDEX($AI$2:$AI$1001,MATCH(ROWS($AH$2:AH186),$AH$2:$AH$1001,0),1)&gt;=100000,INDEX($AO$1005:$BQ$1005,1,MATCH(COLUMNS($AO$1006:BJ1006),$AO$1006:$BQ$1006,0))&gt;=100000), " ",IF(INDEX($AO$2:$BQ$1001,MATCH(ROWS($AH$2:AH186),$AH$2:$AH$1001,0),MATCH(COLUMNS($AO$1006:BJ1006),$AO$1006:$BQ$1006,0)), HYPERLINK("#",""), HYPERLINK(CONCATENATE("#Metadata!", ADDRESS(INDEX($AJ$2:$AJ$1001,MATCH(ROWS($AH$2:AH186),$AH$2:$AH$1001,0),0), INDEX($AO$1004:$BQ$1004,1,MATCH(COLUMNS($AO$1006:BJ1006),$AO$1006:$BQ$1006,0)))),"Fix")))</f>
        <v>#N/A</v>
      </c>
      <c r="X186" s="5" t="e">
        <f ca="1">IF(OR(INDEX($AI$2:$AI$1001,MATCH(ROWS($AH$2:AH186),$AH$2:$AH$1001,0),1)&gt;=100000,INDEX($AO$1005:$BQ$1005,1,MATCH(COLUMNS($AO$1006:BK1006),$AO$1006:$BQ$1006,0))&gt;=100000), " ",IF(INDEX($AO$2:$BQ$1001,MATCH(ROWS($AH$2:AH186),$AH$2:$AH$1001,0),MATCH(COLUMNS($AO$1006:BK1006),$AO$1006:$BQ$1006,0)), HYPERLINK("#",""), HYPERLINK(CONCATENATE("#Metadata!", ADDRESS(INDEX($AJ$2:$AJ$1001,MATCH(ROWS($AH$2:AH186),$AH$2:$AH$1001,0),0), INDEX($AO$1004:$BQ$1004,1,MATCH(COLUMNS($AO$1006:BK1006),$AO$1006:$BQ$1006,0)))),"Fix")))</f>
        <v>#N/A</v>
      </c>
      <c r="Y186" s="5" t="e">
        <f ca="1">IF(OR(INDEX($AI$2:$AI$1001,MATCH(ROWS($AH$2:AH186),$AH$2:$AH$1001,0),1)&gt;=100000,INDEX($AO$1005:$BQ$1005,1,MATCH(COLUMNS($AO$1006:BL1006),$AO$1006:$BQ$1006,0))&gt;=100000), " ",IF(INDEX($AO$2:$BQ$1001,MATCH(ROWS($AH$2:AH186),$AH$2:$AH$1001,0),MATCH(COLUMNS($AO$1006:BL1006),$AO$1006:$BQ$1006,0)), HYPERLINK("#",""), HYPERLINK(CONCATENATE("#Metadata!", ADDRESS(INDEX($AJ$2:$AJ$1001,MATCH(ROWS($AH$2:AH186),$AH$2:$AH$1001,0),0), INDEX($AO$1004:$BQ$1004,1,MATCH(COLUMNS($AO$1006:BL1006),$AO$1006:$BQ$1006,0)))),"Fix")))</f>
        <v>#N/A</v>
      </c>
      <c r="Z186" s="5" t="e">
        <f ca="1">IF(OR(INDEX($AI$2:$AI$1001,MATCH(ROWS($AH$2:AH186),$AH$2:$AH$1001,0),1)&gt;=100000,INDEX($AO$1005:$BQ$1005,1,MATCH(COLUMNS($AO$1006:BM1006),$AO$1006:$BQ$1006,0))&gt;=100000), " ",IF(INDEX($AO$2:$BQ$1001,MATCH(ROWS($AH$2:AH186),$AH$2:$AH$1001,0),MATCH(COLUMNS($AO$1006:BM1006),$AO$1006:$BQ$1006,0)), HYPERLINK("#",""), HYPERLINK(CONCATENATE("#Metadata!", ADDRESS(INDEX($AJ$2:$AJ$1001,MATCH(ROWS($AH$2:AH186),$AH$2:$AH$1001,0),0), INDEX($AO$1004:$BQ$1004,1,MATCH(COLUMNS($AO$1006:BM1006),$AO$1006:$BQ$1006,0)))),"Fix")))</f>
        <v>#N/A</v>
      </c>
      <c r="AA186" s="5" t="e">
        <f ca="1">IF(OR(INDEX($AI$2:$AI$1001,MATCH(ROWS($AH$2:AH186),$AH$2:$AH$1001,0),1)&gt;=100000,INDEX($AO$1005:$BQ$1005,1,MATCH(COLUMNS($AO$1006:BN1006),$AO$1006:$BQ$1006,0))&gt;=100000), " ",IF(INDEX($AO$2:$BQ$1001,MATCH(ROWS($AH$2:AH186),$AH$2:$AH$1001,0),MATCH(COLUMNS($AO$1006:BN1006),$AO$1006:$BQ$1006,0)), HYPERLINK("#",""), HYPERLINK(CONCATENATE("#Metadata!", ADDRESS(INDEX($AJ$2:$AJ$1001,MATCH(ROWS($AH$2:AH186),$AH$2:$AH$1001,0),0), INDEX($AO$1004:$BQ$1004,1,MATCH(COLUMNS($AO$1006:BN1006),$AO$1006:$BQ$1006,0)))),"Fix")))</f>
        <v>#N/A</v>
      </c>
      <c r="AB186" s="5" t="e">
        <f ca="1">IF(OR(INDEX($AI$2:$AI$1001,MATCH(ROWS($AH$2:AH186),$AH$2:$AH$1001,0),1)&gt;=100000,INDEX($AO$1005:$BQ$1005,1,MATCH(COLUMNS($AO$1006:BO1006),$AO$1006:$BQ$1006,0))&gt;=100000), " ",IF(INDEX($AO$2:$BQ$1001,MATCH(ROWS($AH$2:AH186),$AH$2:$AH$1001,0),MATCH(COLUMNS($AO$1006:BO1006),$AO$1006:$BQ$1006,0)), HYPERLINK("#",""), HYPERLINK(CONCATENATE("#Metadata!", ADDRESS(INDEX($AJ$2:$AJ$1001,MATCH(ROWS($AH$2:AH186),$AH$2:$AH$1001,0),0), INDEX($AO$1004:$BQ$1004,1,MATCH(COLUMNS($AO$1006:BO1006),$AO$1006:$BQ$1006,0)))),"Fix")))</f>
        <v>#N/A</v>
      </c>
      <c r="AC186" s="5" t="e">
        <f ca="1">IF(OR(INDEX($AI$2:$AI$1001,MATCH(ROWS($AH$2:AH186),$AH$2:$AH$1001,0),1)&gt;=100000,INDEX($AO$1005:$BQ$1005,1,MATCH(COLUMNS($AO$1006:BP1006),$AO$1006:$BQ$1006,0))&gt;=100000), " ",IF(INDEX($AO$2:$BQ$1001,MATCH(ROWS($AH$2:AH186),$AH$2:$AH$1001,0),MATCH(COLUMNS($AO$1006:BP1006),$AO$1006:$BQ$1006,0)), HYPERLINK("#",""), HYPERLINK(CONCATENATE("#Metadata!", ADDRESS(INDEX($AJ$2:$AJ$1001,MATCH(ROWS($AH$2:AH186),$AH$2:$AH$1001,0),0), INDEX($AO$1004:$BQ$1004,1,MATCH(COLUMNS($AO$1006:BP1006),$AO$1006:$BQ$1006,0)))),"Fix")))</f>
        <v>#N/A</v>
      </c>
      <c r="AD186" s="5" t="e">
        <f ca="1">IF(OR(INDEX($AI$2:$AI$1001,MATCH(ROWS($AH$2:AH186),$AH$2:$AH$1001,0),1)&gt;=100000,INDEX($AO$1005:$BQ$1005,1,MATCH(COLUMNS($AO$1006:BQ1006),$AO$1006:$BQ$1006,0))&gt;=100000), " ",IF(INDEX($AO$2:$BQ$1001,MATCH(ROWS($AH$2:AH186),$AH$2:$AH$1001,0),MATCH(COLUMNS($AO$1006:BQ1006),$AO$1006:$BQ$1006,0)), HYPERLINK("#",""), HYPERLINK(CONCATENATE("#Metadata!", ADDRESS(INDEX($AJ$2:$AJ$1001,MATCH(ROWS($AH$2:AH186),$AH$2:$AH$1001,0),0), INDEX($AO$1004:$BQ$1004,1,MATCH(COLUMNS($AO$1006:BQ1006),$AO$1006:$BQ$1006,0)))),"Fix")))</f>
        <v>#REF!</v>
      </c>
      <c r="AH186">
        <f ca="1"/>
        <v>183</v>
      </c>
      <c r="AI186">
        <v>100186</v>
      </c>
      <c r="AJ186">
        <v>186</v>
      </c>
      <c r="AK186" t="b">
        <f t="shared" si="2"/>
        <v>1</v>
      </c>
      <c r="AL186" t="b">
        <f>COUNTBLANK(Metadata!B186:AD186)=COLUMNS(Metadata!B186:AD186)</f>
        <v>1</v>
      </c>
      <c r="AM186" t="str">
        <v/>
      </c>
      <c r="AO186" t="b">
        <f ca="1">AND(IF(Metadata!B186="",FALSE,TRUE),COUNTIF(Metadata!B:B, Metadata!B186) = 1,NOT(ISERROR(SUMPRODUCT(SEARCH(MID(Metadata!B186,ROW(INDIRECT("1:"&amp;LEN(Metadata!B186))), 1),"0123456789abcdefghijklmnopqrstuvwxyzABCDEFGHIJKLMNOPQRSTUVWXYZ.")))))</f>
        <v>0</v>
      </c>
      <c r="AP186" t="b">
        <f>IF(Metadata!C186="",FALSE,TRUE)</f>
        <v>0</v>
      </c>
      <c r="AQ186" t="b">
        <f>IF(Metadata!D186="",FALSE,TRUE)</f>
        <v>0</v>
      </c>
      <c r="AR186" t="b">
        <f ca="1">OR(AND(IF(Metadata!E186="",FALSE,TRUE),OR(EXACT(Metadata!E186,"not collected"),EXACT(Metadata!E186,"not provided"),EXACT(Metadata!E186,"restricted access"))),AND(IF(Metadata!E186="",FALSE,TRUE),AND(AND(IFERROR(INT(LEFT(Metadata!E186,4))&gt;1900,FALSE),IFERROR(INT(LEFT(Metadata!E186,4))&lt;=YEAR(NOW()),FALSE)), OR(MID(Metadata!E186,5,1)="", AND(AND(MID(Metadata!E186,5,1)="-",IFERROR(INT(MID(Metadata!E186,6,1))&gt;=0,FALSE),IFERROR(INT(MID(Metadata!E186,6,1))&lt;=1,FALSE),NOT(MID(Metadata!E186,7,1)=""),IFERROR(INT(MID(Metadata!E186,6,2))&gt;=1,FALSE),IFERROR(INT(MID(Metadata!E186,6,2))&lt;=12,FALSE)), OR(MID(Metadata!E186,8,1)="", AND(AND(MID(Metadata!E186,8,1)="-",IFERROR(INT(MID(Metadata!E186,9,1))&gt;=0,FALSE),IFERROR(INT(MID(Metadata!E186,9,1))&lt;=3,FALSE),NOT(MID(Metadata!E186,10,1)=""),IFERROR(INT(MID(Metadata!E186,9,2))&gt;=1,FALSE),IFERROR(INT(MID(Metadata!E186,9,2))&lt;=31,FALSE)), OR(MID(Metadata!E186,11,1)="", AND(AND(MID(Metadata!E186,11,1)=" ",IFERROR(INT(MID(Metadata!E186,12,1))&gt;=0,FALSE),IFERROR(INT(MID(Metadata!E186,12,1))&lt;=2,FALSE),NOT(MID(Metadata!E186,13,1)=""),IFERROR(INT(MID(Metadata!E186,12,2))&gt;=0,FALSE),IFERROR(INT(MID(Metadata!E186,12,2))&lt;=23,FALSE)), OR(MID(Metadata!E186,14,1)="", AND(AND(MID(Metadata!E186,14,1)=":",IFERROR(INT(MID(Metadata!E186,15,1))&gt;=0,FALSE),IFERROR(INT(MID(Metadata!E186,15,1))&lt;=5,FALSE),NOT(MID(Metadata!E186,16,1)=""),IFERROR(INT(MID(Metadata!E186,15,2))&gt;=0,FALSE),IFERROR(INT(MID(Metadata!E186,15,2))&lt;=59,FALSE)), OR(MID(Metadata!E186,17,1)="", AND(AND(MID(Metadata!E186,17,1)=":",IFERROR(INT(MID(Metadata!E186,18,1))&gt;=0,FALSE),IFERROR(INT(MID(Metadata!E186,18,1))&lt;=5,FALSE),NOT(MID(Metadata!E186,19,1)=""),IFERROR(INT(MID(Metadata!E186,18,2))&gt;=0,FALSE),IFERROR(INT(MID(Metadata!E186,18,2))&lt;=59,FALSE)), LEN(Metadata!E186)&lt;=19)))))))))))))</f>
        <v>0</v>
      </c>
      <c r="AS186" t="b">
        <f>IF(Metadata!F186="",FALSE,TRUE)</f>
        <v>0</v>
      </c>
      <c r="AT186" t="b">
        <f>OR(AND(IF(Metadata!G186="",FALSE,TRUE),OR(EXACT(Metadata!G186,"not collected"),EXACT(Metadata!G186,"not provided"))),AND(IF(Metadata!G186="",FALSE,TRUE),OR(EXACT(Metadata!G186,"TRUE"),EXACT(Metadata!G186,"FALSE"))))</f>
        <v>0</v>
      </c>
      <c r="AU186" t="b">
        <f>OR(AND(IF(Metadata!H186="",FALSE,TRUE),OR(EXACT(Metadata!H186,"not collected"),EXACT(Metadata!H186,"not provided"),EXACT(Metadata!H186,"restricted access"))),AND(IF(Metadata!H186="",FALSE,ISNUMBER(VALUE(Metadata!H186))),Metadata!H186&gt;=-413))</f>
        <v>0</v>
      </c>
      <c r="AV186" t="b">
        <f>AND(IF(Metadata!I186="",FALSE,TRUE),EXACT(Metadata!I186,"meters"))</f>
        <v>0</v>
      </c>
      <c r="AW186" t="b">
        <f>AND(IF(Metadata!J186="",FALSE,TRUE),EXACT(Metadata!J186,"free-living"))</f>
        <v>0</v>
      </c>
      <c r="AX186" t="b">
        <f>AND(IF(Metadata!K186="",FALSE,TRUE),OR(EXACT(Metadata!K186,"saline"),EXACT(Metadata!K186,"non-saline")))</f>
        <v>0</v>
      </c>
      <c r="AY186" t="b">
        <f>AND(IF(Metadata!L186="",FALSE,TRUE),OR(EXACT(Metadata!L186,"sub-surface (non-saline)"),EXACT(Metadata!L186,"surface (non-saline)"),EXACT(Metadata!L186,"water (non-saline)"),EXACT(Metadata!L186,"soil (non-saline)"),EXACT(Metadata!L186,"aerosol (non-saline)"),EXACT(Metadata!L186,"sediment (non-saline)"),EXACT(Metadata!L186,"surface (saline)"),EXACT(Metadata!L186,"water (saline)"),EXACT(Metadata!L186,"hypersaline (saline)"),EXACT(Metadata!L186,"aerosol (saline)"),EXACT(Metadata!L186,"sediment (saline)")))</f>
        <v>0</v>
      </c>
      <c r="AZ186" t="b">
        <f>IF(Metadata!M186="",FALSE,TRUE)</f>
        <v>0</v>
      </c>
      <c r="BA186" t="b">
        <f>IF(Metadata!N186="",FALSE,TRUE)</f>
        <v>0</v>
      </c>
      <c r="BB186" t="b">
        <f>IF(Metadata!O186="",FALSE,TRUE)</f>
        <v>0</v>
      </c>
      <c r="BC186" t="b">
        <f>AND(IF(Metadata!P186="",FALSE,TRUE),OR(EXACT(Metadata!P186,"air"),EXACT(Metadata!P186,"microbial mat/biofilm"),EXACT(Metadata!P186,"misc environment"),EXACT(Metadata!P186,"sediment"),EXACT(Metadata!P186,"soil"),EXACT(Metadata!P186,"wastewater/sludge"),EXACT(Metadata!P186,"water")))</f>
        <v>0</v>
      </c>
      <c r="BD186" t="b">
        <f>IF(Metadata!Q186="",FALSE,TRUE)</f>
        <v>0</v>
      </c>
      <c r="BE186" t="b">
        <f>IF(Metadata!R186="",FALSE,TRUE)</f>
        <v>0</v>
      </c>
      <c r="BF186" t="b">
        <f>OR(AND(IF(Metadata!S186="",FALSE,TRUE),OR(EXACT(Metadata!S186,"not collected"),EXACT(Metadata!S186,"not provided"),EXACT(Metadata!S186,"restricted access"))),AND(IF(Metadata!S186="",FALSE,ISNUMBER(VALUE(Metadata!S186))),Metadata!S186&gt;=-90,Metadata!S186&lt;=90))</f>
        <v>0</v>
      </c>
      <c r="BG186" t="b">
        <f>AND(IF(Metadata!T186="",FALSE,TRUE),EXACT(Metadata!T186,"Decimal degrees"))</f>
        <v>0</v>
      </c>
      <c r="BH186" t="b">
        <f>OR(AND(IF(Metadata!U186="",FALSE,TRUE),OR(EXACT(Metadata!U186,"not applicable"),EXACT(Metadata!U186,"not collected"))),IF(Metadata!U186="",FALSE,TRUE))</f>
        <v>0</v>
      </c>
      <c r="BI186" t="b">
        <f>OR(AND(IF(Metadata!V186="",FALSE,TRUE),OR(EXACT(Metadata!V186,"not collected"),EXACT(Metadata!V186,"not provided"),EXACT(Metadata!V186,"restricted access"))),AND(IF(Metadata!V186="",FALSE,ISNUMBER(VALUE(Metadata!V186))),Metadata!V186&gt;=-180,Metadata!V186&lt;=180))</f>
        <v>0</v>
      </c>
      <c r="BJ186" t="b">
        <f>AND(IF(Metadata!W186="",FALSE,TRUE),EXACT(Metadata!W186,"Decimal degrees"))</f>
        <v>0</v>
      </c>
      <c r="BK186" t="b">
        <f>IF(Metadata!X186="",FALSE,TRUE)</f>
        <v>0</v>
      </c>
      <c r="BL186" t="b">
        <f>OR(AND(IF(Metadata!Y186="",FALSE,TRUE),OR(EXACT(Metadata!Y186,"not collected"),EXACT(Metadata!Y186,"not provided"),EXACT(Metadata!Y186,"restricted access"))),AND(IF(Metadata!Y186="",FALSE,TRUE),OR(EXACT(Metadata!Y186,"TRUE"),EXACT(Metadata!Y186,"FALSE"))))</f>
        <v>0</v>
      </c>
      <c r="BM186" t="b">
        <f>OR(AND(IF(Metadata!Z186="",FALSE,TRUE),EXACT(Metadata!Z186,"not applicable")),AND(IF(Metadata!Z186="",FALSE,TRUE),OR(EXACT(Metadata!Z186,"beer"),EXACT(Metadata!Z186,"cheese"),EXACT(Metadata!Z186,"fresh water"),EXACT(Metadata!Z186,"marine sediment"),EXACT(Metadata!Z186,"sea water"),EXACT(Metadata!Z186,"sediment"),EXACT(Metadata!Z186,"soil"),EXACT(Metadata!Z186,"waste water"))))</f>
        <v>0</v>
      </c>
      <c r="BN186" t="b">
        <f>AND(IF(Metadata!AA186="",FALSE,TRUE),EXACT(Metadata!AA186,"metagenome"))</f>
        <v>0</v>
      </c>
      <c r="BO186" t="b">
        <f>AND(IF(Metadata!AB186="",FALSE,TRUE),EXACT(Metadata!AB186,"256318"))</f>
        <v>0</v>
      </c>
      <c r="BP186" t="b">
        <f>IF(Metadata!AC186="",FALSE,TRUE)</f>
        <v>0</v>
      </c>
      <c r="BQ186" t="b">
        <f>IF(Metadata!AD186="",FALSE,TRUE)</f>
        <v>0</v>
      </c>
    </row>
    <row r="187" spans="1:69" x14ac:dyDescent="0.2">
      <c r="A187" s="4" t="e">
        <f ca="1">IF(B187=" "," ",HYPERLINK(CONCATENATE("#metadata!",ADDRESS(INDEX($AJ$2:$AJ$1001,MATCH(ROWS($AH$2:AH187),$AH$2:$AH$1001,0),0),2)),INDEX($AM$2:$AM$1001,MATCH(ROWS($AH$2:AH187),$AH$2:$AH$1001,0),0)))</f>
        <v>#N/A</v>
      </c>
      <c r="B187" s="5" t="e">
        <f ca="1">IF(OR(INDEX($AI$2:$AI$1001,MATCH(ROWS($AH$2:AH187),$AH$2:$AH$1001,0),1)&gt;=100000,INDEX($AO$1005:$BQ$1005,1,MATCH(COLUMNS($AO$1006:AO1006),$AO$1006:$BQ$1006,0))&gt;=100000), " ",IF(INDEX($AO$2:$BQ$1001,MATCH(ROWS($AH$2:AH187),$AH$2:$AH$1001,0),MATCH(COLUMNS($AO$1006:AO1006),$AO$1006:$BQ$1006,0)), HYPERLINK("#",""), HYPERLINK(CONCATENATE("#Metadata!", ADDRESS(INDEX($AJ$2:$AJ$1001,MATCH(ROWS($AH$2:AH187),$AH$2:$AH$1001,0),0), INDEX($AO$1004:$BQ$1004,1,MATCH(COLUMNS($AO$1006:AO1006),$AO$1006:$BQ$1006,0)))),"Fix")))</f>
        <v>#N/A</v>
      </c>
      <c r="C187" s="5" t="e">
        <f ca="1">IF(OR(INDEX($AI$2:$AI$1001,MATCH(ROWS($AH$2:AH187),$AH$2:$AH$1001,0),1)&gt;=100000,INDEX($AO$1005:$BQ$1005,1,MATCH(COLUMNS($AO$1006:AP1006),$AO$1006:$BQ$1006,0))&gt;=100000), " ",IF(INDEX($AO$2:$BQ$1001,MATCH(ROWS($AH$2:AH187),$AH$2:$AH$1001,0),MATCH(COLUMNS($AO$1006:AP1006),$AO$1006:$BQ$1006,0)), HYPERLINK("#",""), HYPERLINK(CONCATENATE("#Metadata!", ADDRESS(INDEX($AJ$2:$AJ$1001,MATCH(ROWS($AH$2:AH187),$AH$2:$AH$1001,0),0), INDEX($AO$1004:$BQ$1004,1,MATCH(COLUMNS($AO$1006:AP1006),$AO$1006:$BQ$1006,0)))),"Fix")))</f>
        <v>#N/A</v>
      </c>
      <c r="D187" s="5" t="e">
        <f ca="1">IF(OR(INDEX($AI$2:$AI$1001,MATCH(ROWS($AH$2:AH187),$AH$2:$AH$1001,0),1)&gt;=100000,INDEX($AO$1005:$BQ$1005,1,MATCH(COLUMNS($AO$1006:AQ1006),$AO$1006:$BQ$1006,0))&gt;=100000), " ",IF(INDEX($AO$2:$BQ$1001,MATCH(ROWS($AH$2:AH187),$AH$2:$AH$1001,0),MATCH(COLUMNS($AO$1006:AQ1006),$AO$1006:$BQ$1006,0)), HYPERLINK("#",""), HYPERLINK(CONCATENATE("#Metadata!", ADDRESS(INDEX($AJ$2:$AJ$1001,MATCH(ROWS($AH$2:AH187),$AH$2:$AH$1001,0),0), INDEX($AO$1004:$BQ$1004,1,MATCH(COLUMNS($AO$1006:AQ1006),$AO$1006:$BQ$1006,0)))),"Fix")))</f>
        <v>#N/A</v>
      </c>
      <c r="E187" s="5" t="e">
        <f ca="1">IF(OR(INDEX($AI$2:$AI$1001,MATCH(ROWS($AH$2:AH187),$AH$2:$AH$1001,0),1)&gt;=100000,INDEX($AO$1005:$BQ$1005,1,MATCH(COLUMNS($AO$1006:AR1006),$AO$1006:$BQ$1006,0))&gt;=100000), " ",IF(INDEX($AO$2:$BQ$1001,MATCH(ROWS($AH$2:AH187),$AH$2:$AH$1001,0),MATCH(COLUMNS($AO$1006:AR1006),$AO$1006:$BQ$1006,0)), HYPERLINK("#",""), HYPERLINK(CONCATENATE("#Metadata!", ADDRESS(INDEX($AJ$2:$AJ$1001,MATCH(ROWS($AH$2:AH187),$AH$2:$AH$1001,0),0), INDEX($AO$1004:$BQ$1004,1,MATCH(COLUMNS($AO$1006:AR1006),$AO$1006:$BQ$1006,0)))),"Fix")))</f>
        <v>#N/A</v>
      </c>
      <c r="F187" s="5" t="e">
        <f ca="1">IF(OR(INDEX($AI$2:$AI$1001,MATCH(ROWS($AH$2:AH187),$AH$2:$AH$1001,0),1)&gt;=100000,INDEX($AO$1005:$BQ$1005,1,MATCH(COLUMNS($AO$1006:AS1006),$AO$1006:$BQ$1006,0))&gt;=100000), " ",IF(INDEX($AO$2:$BQ$1001,MATCH(ROWS($AH$2:AH187),$AH$2:$AH$1001,0),MATCH(COLUMNS($AO$1006:AS1006),$AO$1006:$BQ$1006,0)), HYPERLINK("#",""), HYPERLINK(CONCATENATE("#Metadata!", ADDRESS(INDEX($AJ$2:$AJ$1001,MATCH(ROWS($AH$2:AH187),$AH$2:$AH$1001,0),0), INDEX($AO$1004:$BQ$1004,1,MATCH(COLUMNS($AO$1006:AS1006),$AO$1006:$BQ$1006,0)))),"Fix")))</f>
        <v>#N/A</v>
      </c>
      <c r="G187" s="5" t="e">
        <f ca="1">IF(OR(INDEX($AI$2:$AI$1001,MATCH(ROWS($AH$2:AH187),$AH$2:$AH$1001,0),1)&gt;=100000,INDEX($AO$1005:$BQ$1005,1,MATCH(COLUMNS($AO$1006:AT1006),$AO$1006:$BQ$1006,0))&gt;=100000), " ",IF(INDEX($AO$2:$BQ$1001,MATCH(ROWS($AH$2:AH187),$AH$2:$AH$1001,0),MATCH(COLUMNS($AO$1006:AT1006),$AO$1006:$BQ$1006,0)), HYPERLINK("#",""), HYPERLINK(CONCATENATE("#Metadata!", ADDRESS(INDEX($AJ$2:$AJ$1001,MATCH(ROWS($AH$2:AH187),$AH$2:$AH$1001,0),0), INDEX($AO$1004:$BQ$1004,1,MATCH(COLUMNS($AO$1006:AT1006),$AO$1006:$BQ$1006,0)))),"Fix")))</f>
        <v>#N/A</v>
      </c>
      <c r="H187" s="5" t="e">
        <f ca="1">IF(OR(INDEX($AI$2:$AI$1001,MATCH(ROWS($AH$2:AH187),$AH$2:$AH$1001,0),1)&gt;=100000,INDEX($AO$1005:$BQ$1005,1,MATCH(COLUMNS($AO$1006:AU1006),$AO$1006:$BQ$1006,0))&gt;=100000), " ",IF(INDEX($AO$2:$BQ$1001,MATCH(ROWS($AH$2:AH187),$AH$2:$AH$1001,0),MATCH(COLUMNS($AO$1006:AU1006),$AO$1006:$BQ$1006,0)), HYPERLINK("#",""), HYPERLINK(CONCATENATE("#Metadata!", ADDRESS(INDEX($AJ$2:$AJ$1001,MATCH(ROWS($AH$2:AH187),$AH$2:$AH$1001,0),0), INDEX($AO$1004:$BQ$1004,1,MATCH(COLUMNS($AO$1006:AU1006),$AO$1006:$BQ$1006,0)))),"Fix")))</f>
        <v>#N/A</v>
      </c>
      <c r="I187" s="5" t="e">
        <f ca="1">IF(OR(INDEX($AI$2:$AI$1001,MATCH(ROWS($AH$2:AH187),$AH$2:$AH$1001,0),1)&gt;=100000,INDEX($AO$1005:$BQ$1005,1,MATCH(COLUMNS($AO$1006:AV1006),$AO$1006:$BQ$1006,0))&gt;=100000), " ",IF(INDEX($AO$2:$BQ$1001,MATCH(ROWS($AH$2:AH187),$AH$2:$AH$1001,0),MATCH(COLUMNS($AO$1006:AV1006),$AO$1006:$BQ$1006,0)), HYPERLINK("#",""), HYPERLINK(CONCATENATE("#Metadata!", ADDRESS(INDEX($AJ$2:$AJ$1001,MATCH(ROWS($AH$2:AH187),$AH$2:$AH$1001,0),0), INDEX($AO$1004:$BQ$1004,1,MATCH(COLUMNS($AO$1006:AV1006),$AO$1006:$BQ$1006,0)))),"Fix")))</f>
        <v>#N/A</v>
      </c>
      <c r="J187" s="5" t="e">
        <f ca="1">IF(OR(INDEX($AI$2:$AI$1001,MATCH(ROWS($AH$2:AH187),$AH$2:$AH$1001,0),1)&gt;=100000,INDEX($AO$1005:$BQ$1005,1,MATCH(COLUMNS($AO$1006:AW1006),$AO$1006:$BQ$1006,0))&gt;=100000), " ",IF(INDEX($AO$2:$BQ$1001,MATCH(ROWS($AH$2:AH187),$AH$2:$AH$1001,0),MATCH(COLUMNS($AO$1006:AW1006),$AO$1006:$BQ$1006,0)), HYPERLINK("#",""), HYPERLINK(CONCATENATE("#Metadata!", ADDRESS(INDEX($AJ$2:$AJ$1001,MATCH(ROWS($AH$2:AH187),$AH$2:$AH$1001,0),0), INDEX($AO$1004:$BQ$1004,1,MATCH(COLUMNS($AO$1006:AW1006),$AO$1006:$BQ$1006,0)))),"Fix")))</f>
        <v>#N/A</v>
      </c>
      <c r="K187" s="5" t="e">
        <f ca="1">IF(OR(INDEX($AI$2:$AI$1001,MATCH(ROWS($AH$2:AH187),$AH$2:$AH$1001,0),1)&gt;=100000,INDEX($AO$1005:$BQ$1005,1,MATCH(COLUMNS($AO$1006:AX1006),$AO$1006:$BQ$1006,0))&gt;=100000), " ",IF(INDEX($AO$2:$BQ$1001,MATCH(ROWS($AH$2:AH187),$AH$2:$AH$1001,0),MATCH(COLUMNS($AO$1006:AX1006),$AO$1006:$BQ$1006,0)), HYPERLINK("#",""), HYPERLINK(CONCATENATE("#Metadata!", ADDRESS(INDEX($AJ$2:$AJ$1001,MATCH(ROWS($AH$2:AH187),$AH$2:$AH$1001,0),0), INDEX($AO$1004:$BQ$1004,1,MATCH(COLUMNS($AO$1006:AX1006),$AO$1006:$BQ$1006,0)))),"Fix")))</f>
        <v>#N/A</v>
      </c>
      <c r="L187" s="5" t="e">
        <f ca="1">IF(OR(INDEX($AI$2:$AI$1001,MATCH(ROWS($AH$2:AH187),$AH$2:$AH$1001,0),1)&gt;=100000,INDEX($AO$1005:$BQ$1005,1,MATCH(COLUMNS($AO$1006:AY1006),$AO$1006:$BQ$1006,0))&gt;=100000), " ",IF(INDEX($AO$2:$BQ$1001,MATCH(ROWS($AH$2:AH187),$AH$2:$AH$1001,0),MATCH(COLUMNS($AO$1006:AY1006),$AO$1006:$BQ$1006,0)), HYPERLINK("#",""), HYPERLINK(CONCATENATE("#Metadata!", ADDRESS(INDEX($AJ$2:$AJ$1001,MATCH(ROWS($AH$2:AH187),$AH$2:$AH$1001,0),0), INDEX($AO$1004:$BQ$1004,1,MATCH(COLUMNS($AO$1006:AY1006),$AO$1006:$BQ$1006,0)))),"Fix")))</f>
        <v>#N/A</v>
      </c>
      <c r="M187" s="5" t="e">
        <f ca="1">IF(OR(INDEX($AI$2:$AI$1001,MATCH(ROWS($AH$2:AH187),$AH$2:$AH$1001,0),1)&gt;=100000,INDEX($AO$1005:$BQ$1005,1,MATCH(COLUMNS($AO$1006:AZ1006),$AO$1006:$BQ$1006,0))&gt;=100000), " ",IF(INDEX($AO$2:$BQ$1001,MATCH(ROWS($AH$2:AH187),$AH$2:$AH$1001,0),MATCH(COLUMNS($AO$1006:AZ1006),$AO$1006:$BQ$1006,0)), HYPERLINK("#",""), HYPERLINK(CONCATENATE("#Metadata!", ADDRESS(INDEX($AJ$2:$AJ$1001,MATCH(ROWS($AH$2:AH187),$AH$2:$AH$1001,0),0), INDEX($AO$1004:$BQ$1004,1,MATCH(COLUMNS($AO$1006:AZ1006),$AO$1006:$BQ$1006,0)))),"Fix")))</f>
        <v>#N/A</v>
      </c>
      <c r="N187" s="5" t="e">
        <f ca="1">IF(OR(INDEX($AI$2:$AI$1001,MATCH(ROWS($AH$2:AH187),$AH$2:$AH$1001,0),1)&gt;=100000,INDEX($AO$1005:$BQ$1005,1,MATCH(COLUMNS($AO$1006:BA1006),$AO$1006:$BQ$1006,0))&gt;=100000), " ",IF(INDEX($AO$2:$BQ$1001,MATCH(ROWS($AH$2:AH187),$AH$2:$AH$1001,0),MATCH(COLUMNS($AO$1006:BA1006),$AO$1006:$BQ$1006,0)), HYPERLINK("#",""), HYPERLINK(CONCATENATE("#Metadata!", ADDRESS(INDEX($AJ$2:$AJ$1001,MATCH(ROWS($AH$2:AH187),$AH$2:$AH$1001,0),0), INDEX($AO$1004:$BQ$1004,1,MATCH(COLUMNS($AO$1006:BA1006),$AO$1006:$BQ$1006,0)))),"Fix")))</f>
        <v>#N/A</v>
      </c>
      <c r="O187" s="5" t="e">
        <f ca="1">IF(OR(INDEX($AI$2:$AI$1001,MATCH(ROWS($AH$2:AH187),$AH$2:$AH$1001,0),1)&gt;=100000,INDEX($AO$1005:$BQ$1005,1,MATCH(COLUMNS($AO$1006:BB1006),$AO$1006:$BQ$1006,0))&gt;=100000), " ",IF(INDEX($AO$2:$BQ$1001,MATCH(ROWS($AH$2:AH187),$AH$2:$AH$1001,0),MATCH(COLUMNS($AO$1006:BB1006),$AO$1006:$BQ$1006,0)), HYPERLINK("#",""), HYPERLINK(CONCATENATE("#Metadata!", ADDRESS(INDEX($AJ$2:$AJ$1001,MATCH(ROWS($AH$2:AH187),$AH$2:$AH$1001,0),0), INDEX($AO$1004:$BQ$1004,1,MATCH(COLUMNS($AO$1006:BB1006),$AO$1006:$BQ$1006,0)))),"Fix")))</f>
        <v>#N/A</v>
      </c>
      <c r="P187" s="5" t="e">
        <f ca="1">IF(OR(INDEX($AI$2:$AI$1001,MATCH(ROWS($AH$2:AH187),$AH$2:$AH$1001,0),1)&gt;=100000,INDEX($AO$1005:$BQ$1005,1,MATCH(COLUMNS($AO$1006:BC1006),$AO$1006:$BQ$1006,0))&gt;=100000), " ",IF(INDEX($AO$2:$BQ$1001,MATCH(ROWS($AH$2:AH187),$AH$2:$AH$1001,0),MATCH(COLUMNS($AO$1006:BC1006),$AO$1006:$BQ$1006,0)), HYPERLINK("#",""), HYPERLINK(CONCATENATE("#Metadata!", ADDRESS(INDEX($AJ$2:$AJ$1001,MATCH(ROWS($AH$2:AH187),$AH$2:$AH$1001,0),0), INDEX($AO$1004:$BQ$1004,1,MATCH(COLUMNS($AO$1006:BC1006),$AO$1006:$BQ$1006,0)))),"Fix")))</f>
        <v>#N/A</v>
      </c>
      <c r="Q187" s="5" t="e">
        <f ca="1">IF(OR(INDEX($AI$2:$AI$1001,MATCH(ROWS($AH$2:AH187),$AH$2:$AH$1001,0),1)&gt;=100000,INDEX($AO$1005:$BQ$1005,1,MATCH(COLUMNS($AO$1006:BD1006),$AO$1006:$BQ$1006,0))&gt;=100000), " ",IF(INDEX($AO$2:$BQ$1001,MATCH(ROWS($AH$2:AH187),$AH$2:$AH$1001,0),MATCH(COLUMNS($AO$1006:BD1006),$AO$1006:$BQ$1006,0)), HYPERLINK("#",""), HYPERLINK(CONCATENATE("#Metadata!", ADDRESS(INDEX($AJ$2:$AJ$1001,MATCH(ROWS($AH$2:AH187),$AH$2:$AH$1001,0),0), INDEX($AO$1004:$BQ$1004,1,MATCH(COLUMNS($AO$1006:BD1006),$AO$1006:$BQ$1006,0)))),"Fix")))</f>
        <v>#N/A</v>
      </c>
      <c r="R187" s="5" t="e">
        <f ca="1">IF(OR(INDEX($AI$2:$AI$1001,MATCH(ROWS($AH$2:AH187),$AH$2:$AH$1001,0),1)&gt;=100000,INDEX($AO$1005:$BQ$1005,1,MATCH(COLUMNS($AO$1006:BE1006),$AO$1006:$BQ$1006,0))&gt;=100000), " ",IF(INDEX($AO$2:$BQ$1001,MATCH(ROWS($AH$2:AH187),$AH$2:$AH$1001,0),MATCH(COLUMNS($AO$1006:BE1006),$AO$1006:$BQ$1006,0)), HYPERLINK("#",""), HYPERLINK(CONCATENATE("#Metadata!", ADDRESS(INDEX($AJ$2:$AJ$1001,MATCH(ROWS($AH$2:AH187),$AH$2:$AH$1001,0),0), INDEX($AO$1004:$BQ$1004,1,MATCH(COLUMNS($AO$1006:BE1006),$AO$1006:$BQ$1006,0)))),"Fix")))</f>
        <v>#N/A</v>
      </c>
      <c r="S187" s="5" t="e">
        <f ca="1">IF(OR(INDEX($AI$2:$AI$1001,MATCH(ROWS($AH$2:AH187),$AH$2:$AH$1001,0),1)&gt;=100000,INDEX($AO$1005:$BQ$1005,1,MATCH(COLUMNS($AO$1006:BF1006),$AO$1006:$BQ$1006,0))&gt;=100000), " ",IF(INDEX($AO$2:$BQ$1001,MATCH(ROWS($AH$2:AH187),$AH$2:$AH$1001,0),MATCH(COLUMNS($AO$1006:BF1006),$AO$1006:$BQ$1006,0)), HYPERLINK("#",""), HYPERLINK(CONCATENATE("#Metadata!", ADDRESS(INDEX($AJ$2:$AJ$1001,MATCH(ROWS($AH$2:AH187),$AH$2:$AH$1001,0),0), INDEX($AO$1004:$BQ$1004,1,MATCH(COLUMNS($AO$1006:BF1006),$AO$1006:$BQ$1006,0)))),"Fix")))</f>
        <v>#N/A</v>
      </c>
      <c r="T187" s="5" t="e">
        <f ca="1">IF(OR(INDEX($AI$2:$AI$1001,MATCH(ROWS($AH$2:AH187),$AH$2:$AH$1001,0),1)&gt;=100000,INDEX($AO$1005:$BQ$1005,1,MATCH(COLUMNS($AO$1006:BG1006),$AO$1006:$BQ$1006,0))&gt;=100000), " ",IF(INDEX($AO$2:$BQ$1001,MATCH(ROWS($AH$2:AH187),$AH$2:$AH$1001,0),MATCH(COLUMNS($AO$1006:BG1006),$AO$1006:$BQ$1006,0)), HYPERLINK("#",""), HYPERLINK(CONCATENATE("#Metadata!", ADDRESS(INDEX($AJ$2:$AJ$1001,MATCH(ROWS($AH$2:AH187),$AH$2:$AH$1001,0),0), INDEX($AO$1004:$BQ$1004,1,MATCH(COLUMNS($AO$1006:BG1006),$AO$1006:$BQ$1006,0)))),"Fix")))</f>
        <v>#N/A</v>
      </c>
      <c r="U187" s="5" t="e">
        <f ca="1">IF(OR(INDEX($AI$2:$AI$1001,MATCH(ROWS($AH$2:AH187),$AH$2:$AH$1001,0),1)&gt;=100000,INDEX($AO$1005:$BQ$1005,1,MATCH(COLUMNS($AO$1006:BH1006),$AO$1006:$BQ$1006,0))&gt;=100000), " ",IF(INDEX($AO$2:$BQ$1001,MATCH(ROWS($AH$2:AH187),$AH$2:$AH$1001,0),MATCH(COLUMNS($AO$1006:BH1006),$AO$1006:$BQ$1006,0)), HYPERLINK("#",""), HYPERLINK(CONCATENATE("#Metadata!", ADDRESS(INDEX($AJ$2:$AJ$1001,MATCH(ROWS($AH$2:AH187),$AH$2:$AH$1001,0),0), INDEX($AO$1004:$BQ$1004,1,MATCH(COLUMNS($AO$1006:BH1006),$AO$1006:$BQ$1006,0)))),"Fix")))</f>
        <v>#N/A</v>
      </c>
      <c r="V187" s="5" t="e">
        <f ca="1">IF(OR(INDEX($AI$2:$AI$1001,MATCH(ROWS($AH$2:AH187),$AH$2:$AH$1001,0),1)&gt;=100000,INDEX($AO$1005:$BQ$1005,1,MATCH(COLUMNS($AO$1006:BI1006),$AO$1006:$BQ$1006,0))&gt;=100000), " ",IF(INDEX($AO$2:$BQ$1001,MATCH(ROWS($AH$2:AH187),$AH$2:$AH$1001,0),MATCH(COLUMNS($AO$1006:BI1006),$AO$1006:$BQ$1006,0)), HYPERLINK("#",""), HYPERLINK(CONCATENATE("#Metadata!", ADDRESS(INDEX($AJ$2:$AJ$1001,MATCH(ROWS($AH$2:AH187),$AH$2:$AH$1001,0),0), INDEX($AO$1004:$BQ$1004,1,MATCH(COLUMNS($AO$1006:BI1006),$AO$1006:$BQ$1006,0)))),"Fix")))</f>
        <v>#N/A</v>
      </c>
      <c r="W187" s="5" t="e">
        <f ca="1">IF(OR(INDEX($AI$2:$AI$1001,MATCH(ROWS($AH$2:AH187),$AH$2:$AH$1001,0),1)&gt;=100000,INDEX($AO$1005:$BQ$1005,1,MATCH(COLUMNS($AO$1006:BJ1006),$AO$1006:$BQ$1006,0))&gt;=100000), " ",IF(INDEX($AO$2:$BQ$1001,MATCH(ROWS($AH$2:AH187),$AH$2:$AH$1001,0),MATCH(COLUMNS($AO$1006:BJ1006),$AO$1006:$BQ$1006,0)), HYPERLINK("#",""), HYPERLINK(CONCATENATE("#Metadata!", ADDRESS(INDEX($AJ$2:$AJ$1001,MATCH(ROWS($AH$2:AH187),$AH$2:$AH$1001,0),0), INDEX($AO$1004:$BQ$1004,1,MATCH(COLUMNS($AO$1006:BJ1006),$AO$1006:$BQ$1006,0)))),"Fix")))</f>
        <v>#N/A</v>
      </c>
      <c r="X187" s="5" t="e">
        <f ca="1">IF(OR(INDEX($AI$2:$AI$1001,MATCH(ROWS($AH$2:AH187),$AH$2:$AH$1001,0),1)&gt;=100000,INDEX($AO$1005:$BQ$1005,1,MATCH(COLUMNS($AO$1006:BK1006),$AO$1006:$BQ$1006,0))&gt;=100000), " ",IF(INDEX($AO$2:$BQ$1001,MATCH(ROWS($AH$2:AH187),$AH$2:$AH$1001,0),MATCH(COLUMNS($AO$1006:BK1006),$AO$1006:$BQ$1006,0)), HYPERLINK("#",""), HYPERLINK(CONCATENATE("#Metadata!", ADDRESS(INDEX($AJ$2:$AJ$1001,MATCH(ROWS($AH$2:AH187),$AH$2:$AH$1001,0),0), INDEX($AO$1004:$BQ$1004,1,MATCH(COLUMNS($AO$1006:BK1006),$AO$1006:$BQ$1006,0)))),"Fix")))</f>
        <v>#N/A</v>
      </c>
      <c r="Y187" s="5" t="e">
        <f ca="1">IF(OR(INDEX($AI$2:$AI$1001,MATCH(ROWS($AH$2:AH187),$AH$2:$AH$1001,0),1)&gt;=100000,INDEX($AO$1005:$BQ$1005,1,MATCH(COLUMNS($AO$1006:BL1006),$AO$1006:$BQ$1006,0))&gt;=100000), " ",IF(INDEX($AO$2:$BQ$1001,MATCH(ROWS($AH$2:AH187),$AH$2:$AH$1001,0),MATCH(COLUMNS($AO$1006:BL1006),$AO$1006:$BQ$1006,0)), HYPERLINK("#",""), HYPERLINK(CONCATENATE("#Metadata!", ADDRESS(INDEX($AJ$2:$AJ$1001,MATCH(ROWS($AH$2:AH187),$AH$2:$AH$1001,0),0), INDEX($AO$1004:$BQ$1004,1,MATCH(COLUMNS($AO$1006:BL1006),$AO$1006:$BQ$1006,0)))),"Fix")))</f>
        <v>#N/A</v>
      </c>
      <c r="Z187" s="5" t="e">
        <f ca="1">IF(OR(INDEX($AI$2:$AI$1001,MATCH(ROWS($AH$2:AH187),$AH$2:$AH$1001,0),1)&gt;=100000,INDEX($AO$1005:$BQ$1005,1,MATCH(COLUMNS($AO$1006:BM1006),$AO$1006:$BQ$1006,0))&gt;=100000), " ",IF(INDEX($AO$2:$BQ$1001,MATCH(ROWS($AH$2:AH187),$AH$2:$AH$1001,0),MATCH(COLUMNS($AO$1006:BM1006),$AO$1006:$BQ$1006,0)), HYPERLINK("#",""), HYPERLINK(CONCATENATE("#Metadata!", ADDRESS(INDEX($AJ$2:$AJ$1001,MATCH(ROWS($AH$2:AH187),$AH$2:$AH$1001,0),0), INDEX($AO$1004:$BQ$1004,1,MATCH(COLUMNS($AO$1006:BM1006),$AO$1006:$BQ$1006,0)))),"Fix")))</f>
        <v>#N/A</v>
      </c>
      <c r="AA187" s="5" t="e">
        <f ca="1">IF(OR(INDEX($AI$2:$AI$1001,MATCH(ROWS($AH$2:AH187),$AH$2:$AH$1001,0),1)&gt;=100000,INDEX($AO$1005:$BQ$1005,1,MATCH(COLUMNS($AO$1006:BN1006),$AO$1006:$BQ$1006,0))&gt;=100000), " ",IF(INDEX($AO$2:$BQ$1001,MATCH(ROWS($AH$2:AH187),$AH$2:$AH$1001,0),MATCH(COLUMNS($AO$1006:BN1006),$AO$1006:$BQ$1006,0)), HYPERLINK("#",""), HYPERLINK(CONCATENATE("#Metadata!", ADDRESS(INDEX($AJ$2:$AJ$1001,MATCH(ROWS($AH$2:AH187),$AH$2:$AH$1001,0),0), INDEX($AO$1004:$BQ$1004,1,MATCH(COLUMNS($AO$1006:BN1006),$AO$1006:$BQ$1006,0)))),"Fix")))</f>
        <v>#N/A</v>
      </c>
      <c r="AB187" s="5" t="e">
        <f ca="1">IF(OR(INDEX($AI$2:$AI$1001,MATCH(ROWS($AH$2:AH187),$AH$2:$AH$1001,0),1)&gt;=100000,INDEX($AO$1005:$BQ$1005,1,MATCH(COLUMNS($AO$1006:BO1006),$AO$1006:$BQ$1006,0))&gt;=100000), " ",IF(INDEX($AO$2:$BQ$1001,MATCH(ROWS($AH$2:AH187),$AH$2:$AH$1001,0),MATCH(COLUMNS($AO$1006:BO1006),$AO$1006:$BQ$1006,0)), HYPERLINK("#",""), HYPERLINK(CONCATENATE("#Metadata!", ADDRESS(INDEX($AJ$2:$AJ$1001,MATCH(ROWS($AH$2:AH187),$AH$2:$AH$1001,0),0), INDEX($AO$1004:$BQ$1004,1,MATCH(COLUMNS($AO$1006:BO1006),$AO$1006:$BQ$1006,0)))),"Fix")))</f>
        <v>#N/A</v>
      </c>
      <c r="AC187" s="5" t="e">
        <f ca="1">IF(OR(INDEX($AI$2:$AI$1001,MATCH(ROWS($AH$2:AH187),$AH$2:$AH$1001,0),1)&gt;=100000,INDEX($AO$1005:$BQ$1005,1,MATCH(COLUMNS($AO$1006:BP1006),$AO$1006:$BQ$1006,0))&gt;=100000), " ",IF(INDEX($AO$2:$BQ$1001,MATCH(ROWS($AH$2:AH187),$AH$2:$AH$1001,0),MATCH(COLUMNS($AO$1006:BP1006),$AO$1006:$BQ$1006,0)), HYPERLINK("#",""), HYPERLINK(CONCATENATE("#Metadata!", ADDRESS(INDEX($AJ$2:$AJ$1001,MATCH(ROWS($AH$2:AH187),$AH$2:$AH$1001,0),0), INDEX($AO$1004:$BQ$1004,1,MATCH(COLUMNS($AO$1006:BP1006),$AO$1006:$BQ$1006,0)))),"Fix")))</f>
        <v>#N/A</v>
      </c>
      <c r="AD187" s="5" t="e">
        <f ca="1">IF(OR(INDEX($AI$2:$AI$1001,MATCH(ROWS($AH$2:AH187),$AH$2:$AH$1001,0),1)&gt;=100000,INDEX($AO$1005:$BQ$1005,1,MATCH(COLUMNS($AO$1006:BQ1006),$AO$1006:$BQ$1006,0))&gt;=100000), " ",IF(INDEX($AO$2:$BQ$1001,MATCH(ROWS($AH$2:AH187),$AH$2:$AH$1001,0),MATCH(COLUMNS($AO$1006:BQ1006),$AO$1006:$BQ$1006,0)), HYPERLINK("#",""), HYPERLINK(CONCATENATE("#Metadata!", ADDRESS(INDEX($AJ$2:$AJ$1001,MATCH(ROWS($AH$2:AH187),$AH$2:$AH$1001,0),0), INDEX($AO$1004:$BQ$1004,1,MATCH(COLUMNS($AO$1006:BQ1006),$AO$1006:$BQ$1006,0)))),"Fix")))</f>
        <v>#REF!</v>
      </c>
      <c r="AH187">
        <f ca="1"/>
        <v>184</v>
      </c>
      <c r="AI187">
        <v>100187</v>
      </c>
      <c r="AJ187">
        <v>187</v>
      </c>
      <c r="AK187" t="b">
        <f t="shared" si="2"/>
        <v>1</v>
      </c>
      <c r="AL187" t="b">
        <f>COUNTBLANK(Metadata!B187:AD187)=COLUMNS(Metadata!B187:AD187)</f>
        <v>1</v>
      </c>
      <c r="AM187" t="str">
        <v/>
      </c>
      <c r="AO187" t="b">
        <f ca="1">AND(IF(Metadata!B187="",FALSE,TRUE),COUNTIF(Metadata!B:B, Metadata!B187) = 1,NOT(ISERROR(SUMPRODUCT(SEARCH(MID(Metadata!B187,ROW(INDIRECT("1:"&amp;LEN(Metadata!B187))), 1),"0123456789abcdefghijklmnopqrstuvwxyzABCDEFGHIJKLMNOPQRSTUVWXYZ.")))))</f>
        <v>0</v>
      </c>
      <c r="AP187" t="b">
        <f>IF(Metadata!C187="",FALSE,TRUE)</f>
        <v>0</v>
      </c>
      <c r="AQ187" t="b">
        <f>IF(Metadata!D187="",FALSE,TRUE)</f>
        <v>0</v>
      </c>
      <c r="AR187" t="b">
        <f ca="1">OR(AND(IF(Metadata!E187="",FALSE,TRUE),OR(EXACT(Metadata!E187,"not collected"),EXACT(Metadata!E187,"not provided"),EXACT(Metadata!E187,"restricted access"))),AND(IF(Metadata!E187="",FALSE,TRUE),AND(AND(IFERROR(INT(LEFT(Metadata!E187,4))&gt;1900,FALSE),IFERROR(INT(LEFT(Metadata!E187,4))&lt;=YEAR(NOW()),FALSE)), OR(MID(Metadata!E187,5,1)="", AND(AND(MID(Metadata!E187,5,1)="-",IFERROR(INT(MID(Metadata!E187,6,1))&gt;=0,FALSE),IFERROR(INT(MID(Metadata!E187,6,1))&lt;=1,FALSE),NOT(MID(Metadata!E187,7,1)=""),IFERROR(INT(MID(Metadata!E187,6,2))&gt;=1,FALSE),IFERROR(INT(MID(Metadata!E187,6,2))&lt;=12,FALSE)), OR(MID(Metadata!E187,8,1)="", AND(AND(MID(Metadata!E187,8,1)="-",IFERROR(INT(MID(Metadata!E187,9,1))&gt;=0,FALSE),IFERROR(INT(MID(Metadata!E187,9,1))&lt;=3,FALSE),NOT(MID(Metadata!E187,10,1)=""),IFERROR(INT(MID(Metadata!E187,9,2))&gt;=1,FALSE),IFERROR(INT(MID(Metadata!E187,9,2))&lt;=31,FALSE)), OR(MID(Metadata!E187,11,1)="", AND(AND(MID(Metadata!E187,11,1)=" ",IFERROR(INT(MID(Metadata!E187,12,1))&gt;=0,FALSE),IFERROR(INT(MID(Metadata!E187,12,1))&lt;=2,FALSE),NOT(MID(Metadata!E187,13,1)=""),IFERROR(INT(MID(Metadata!E187,12,2))&gt;=0,FALSE),IFERROR(INT(MID(Metadata!E187,12,2))&lt;=23,FALSE)), OR(MID(Metadata!E187,14,1)="", AND(AND(MID(Metadata!E187,14,1)=":",IFERROR(INT(MID(Metadata!E187,15,1))&gt;=0,FALSE),IFERROR(INT(MID(Metadata!E187,15,1))&lt;=5,FALSE),NOT(MID(Metadata!E187,16,1)=""),IFERROR(INT(MID(Metadata!E187,15,2))&gt;=0,FALSE),IFERROR(INT(MID(Metadata!E187,15,2))&lt;=59,FALSE)), OR(MID(Metadata!E187,17,1)="", AND(AND(MID(Metadata!E187,17,1)=":",IFERROR(INT(MID(Metadata!E187,18,1))&gt;=0,FALSE),IFERROR(INT(MID(Metadata!E187,18,1))&lt;=5,FALSE),NOT(MID(Metadata!E187,19,1)=""),IFERROR(INT(MID(Metadata!E187,18,2))&gt;=0,FALSE),IFERROR(INT(MID(Metadata!E187,18,2))&lt;=59,FALSE)), LEN(Metadata!E187)&lt;=19)))))))))))))</f>
        <v>0</v>
      </c>
      <c r="AS187" t="b">
        <f>IF(Metadata!F187="",FALSE,TRUE)</f>
        <v>0</v>
      </c>
      <c r="AT187" t="b">
        <f>OR(AND(IF(Metadata!G187="",FALSE,TRUE),OR(EXACT(Metadata!G187,"not collected"),EXACT(Metadata!G187,"not provided"))),AND(IF(Metadata!G187="",FALSE,TRUE),OR(EXACT(Metadata!G187,"TRUE"),EXACT(Metadata!G187,"FALSE"))))</f>
        <v>0</v>
      </c>
      <c r="AU187" t="b">
        <f>OR(AND(IF(Metadata!H187="",FALSE,TRUE),OR(EXACT(Metadata!H187,"not collected"),EXACT(Metadata!H187,"not provided"),EXACT(Metadata!H187,"restricted access"))),AND(IF(Metadata!H187="",FALSE,ISNUMBER(VALUE(Metadata!H187))),Metadata!H187&gt;=-413))</f>
        <v>0</v>
      </c>
      <c r="AV187" t="b">
        <f>AND(IF(Metadata!I187="",FALSE,TRUE),EXACT(Metadata!I187,"meters"))</f>
        <v>0</v>
      </c>
      <c r="AW187" t="b">
        <f>AND(IF(Metadata!J187="",FALSE,TRUE),EXACT(Metadata!J187,"free-living"))</f>
        <v>0</v>
      </c>
      <c r="AX187" t="b">
        <f>AND(IF(Metadata!K187="",FALSE,TRUE),OR(EXACT(Metadata!K187,"saline"),EXACT(Metadata!K187,"non-saline")))</f>
        <v>0</v>
      </c>
      <c r="AY187" t="b">
        <f>AND(IF(Metadata!L187="",FALSE,TRUE),OR(EXACT(Metadata!L187,"sub-surface (non-saline)"),EXACT(Metadata!L187,"surface (non-saline)"),EXACT(Metadata!L187,"water (non-saline)"),EXACT(Metadata!L187,"soil (non-saline)"),EXACT(Metadata!L187,"aerosol (non-saline)"),EXACT(Metadata!L187,"sediment (non-saline)"),EXACT(Metadata!L187,"surface (saline)"),EXACT(Metadata!L187,"water (saline)"),EXACT(Metadata!L187,"hypersaline (saline)"),EXACT(Metadata!L187,"aerosol (saline)"),EXACT(Metadata!L187,"sediment (saline)")))</f>
        <v>0</v>
      </c>
      <c r="AZ187" t="b">
        <f>IF(Metadata!M187="",FALSE,TRUE)</f>
        <v>0</v>
      </c>
      <c r="BA187" t="b">
        <f>IF(Metadata!N187="",FALSE,TRUE)</f>
        <v>0</v>
      </c>
      <c r="BB187" t="b">
        <f>IF(Metadata!O187="",FALSE,TRUE)</f>
        <v>0</v>
      </c>
      <c r="BC187" t="b">
        <f>AND(IF(Metadata!P187="",FALSE,TRUE),OR(EXACT(Metadata!P187,"air"),EXACT(Metadata!P187,"microbial mat/biofilm"),EXACT(Metadata!P187,"misc environment"),EXACT(Metadata!P187,"sediment"),EXACT(Metadata!P187,"soil"),EXACT(Metadata!P187,"wastewater/sludge"),EXACT(Metadata!P187,"water")))</f>
        <v>0</v>
      </c>
      <c r="BD187" t="b">
        <f>IF(Metadata!Q187="",FALSE,TRUE)</f>
        <v>0</v>
      </c>
      <c r="BE187" t="b">
        <f>IF(Metadata!R187="",FALSE,TRUE)</f>
        <v>0</v>
      </c>
      <c r="BF187" t="b">
        <f>OR(AND(IF(Metadata!S187="",FALSE,TRUE),OR(EXACT(Metadata!S187,"not collected"),EXACT(Metadata!S187,"not provided"),EXACT(Metadata!S187,"restricted access"))),AND(IF(Metadata!S187="",FALSE,ISNUMBER(VALUE(Metadata!S187))),Metadata!S187&gt;=-90,Metadata!S187&lt;=90))</f>
        <v>0</v>
      </c>
      <c r="BG187" t="b">
        <f>AND(IF(Metadata!T187="",FALSE,TRUE),EXACT(Metadata!T187,"Decimal degrees"))</f>
        <v>0</v>
      </c>
      <c r="BH187" t="b">
        <f>OR(AND(IF(Metadata!U187="",FALSE,TRUE),OR(EXACT(Metadata!U187,"not applicable"),EXACT(Metadata!U187,"not collected"))),IF(Metadata!U187="",FALSE,TRUE))</f>
        <v>0</v>
      </c>
      <c r="BI187" t="b">
        <f>OR(AND(IF(Metadata!V187="",FALSE,TRUE),OR(EXACT(Metadata!V187,"not collected"),EXACT(Metadata!V187,"not provided"),EXACT(Metadata!V187,"restricted access"))),AND(IF(Metadata!V187="",FALSE,ISNUMBER(VALUE(Metadata!V187))),Metadata!V187&gt;=-180,Metadata!V187&lt;=180))</f>
        <v>0</v>
      </c>
      <c r="BJ187" t="b">
        <f>AND(IF(Metadata!W187="",FALSE,TRUE),EXACT(Metadata!W187,"Decimal degrees"))</f>
        <v>0</v>
      </c>
      <c r="BK187" t="b">
        <f>IF(Metadata!X187="",FALSE,TRUE)</f>
        <v>0</v>
      </c>
      <c r="BL187" t="b">
        <f>OR(AND(IF(Metadata!Y187="",FALSE,TRUE),OR(EXACT(Metadata!Y187,"not collected"),EXACT(Metadata!Y187,"not provided"),EXACT(Metadata!Y187,"restricted access"))),AND(IF(Metadata!Y187="",FALSE,TRUE),OR(EXACT(Metadata!Y187,"TRUE"),EXACT(Metadata!Y187,"FALSE"))))</f>
        <v>0</v>
      </c>
      <c r="BM187" t="b">
        <f>OR(AND(IF(Metadata!Z187="",FALSE,TRUE),EXACT(Metadata!Z187,"not applicable")),AND(IF(Metadata!Z187="",FALSE,TRUE),OR(EXACT(Metadata!Z187,"beer"),EXACT(Metadata!Z187,"cheese"),EXACT(Metadata!Z187,"fresh water"),EXACT(Metadata!Z187,"marine sediment"),EXACT(Metadata!Z187,"sea water"),EXACT(Metadata!Z187,"sediment"),EXACT(Metadata!Z187,"soil"),EXACT(Metadata!Z187,"waste water"))))</f>
        <v>0</v>
      </c>
      <c r="BN187" t="b">
        <f>AND(IF(Metadata!AA187="",FALSE,TRUE),EXACT(Metadata!AA187,"metagenome"))</f>
        <v>0</v>
      </c>
      <c r="BO187" t="b">
        <f>AND(IF(Metadata!AB187="",FALSE,TRUE),EXACT(Metadata!AB187,"256318"))</f>
        <v>0</v>
      </c>
      <c r="BP187" t="b">
        <f>IF(Metadata!AC187="",FALSE,TRUE)</f>
        <v>0</v>
      </c>
      <c r="BQ187" t="b">
        <f>IF(Metadata!AD187="",FALSE,TRUE)</f>
        <v>0</v>
      </c>
    </row>
    <row r="188" spans="1:69" x14ac:dyDescent="0.2">
      <c r="A188" s="4" t="e">
        <f ca="1">IF(B188=" "," ",HYPERLINK(CONCATENATE("#metadata!",ADDRESS(INDEX($AJ$2:$AJ$1001,MATCH(ROWS($AH$2:AH188),$AH$2:$AH$1001,0),0),2)),INDEX($AM$2:$AM$1001,MATCH(ROWS($AH$2:AH188),$AH$2:$AH$1001,0),0)))</f>
        <v>#N/A</v>
      </c>
      <c r="B188" s="5" t="e">
        <f ca="1">IF(OR(INDEX($AI$2:$AI$1001,MATCH(ROWS($AH$2:AH188),$AH$2:$AH$1001,0),1)&gt;=100000,INDEX($AO$1005:$BQ$1005,1,MATCH(COLUMNS($AO$1006:AO1006),$AO$1006:$BQ$1006,0))&gt;=100000), " ",IF(INDEX($AO$2:$BQ$1001,MATCH(ROWS($AH$2:AH188),$AH$2:$AH$1001,0),MATCH(COLUMNS($AO$1006:AO1006),$AO$1006:$BQ$1006,0)), HYPERLINK("#",""), HYPERLINK(CONCATENATE("#Metadata!", ADDRESS(INDEX($AJ$2:$AJ$1001,MATCH(ROWS($AH$2:AH188),$AH$2:$AH$1001,0),0), INDEX($AO$1004:$BQ$1004,1,MATCH(COLUMNS($AO$1006:AO1006),$AO$1006:$BQ$1006,0)))),"Fix")))</f>
        <v>#N/A</v>
      </c>
      <c r="C188" s="5" t="e">
        <f ca="1">IF(OR(INDEX($AI$2:$AI$1001,MATCH(ROWS($AH$2:AH188),$AH$2:$AH$1001,0),1)&gt;=100000,INDEX($AO$1005:$BQ$1005,1,MATCH(COLUMNS($AO$1006:AP1006),$AO$1006:$BQ$1006,0))&gt;=100000), " ",IF(INDEX($AO$2:$BQ$1001,MATCH(ROWS($AH$2:AH188),$AH$2:$AH$1001,0),MATCH(COLUMNS($AO$1006:AP1006),$AO$1006:$BQ$1006,0)), HYPERLINK("#",""), HYPERLINK(CONCATENATE("#Metadata!", ADDRESS(INDEX($AJ$2:$AJ$1001,MATCH(ROWS($AH$2:AH188),$AH$2:$AH$1001,0),0), INDEX($AO$1004:$BQ$1004,1,MATCH(COLUMNS($AO$1006:AP1006),$AO$1006:$BQ$1006,0)))),"Fix")))</f>
        <v>#N/A</v>
      </c>
      <c r="D188" s="5" t="e">
        <f ca="1">IF(OR(INDEX($AI$2:$AI$1001,MATCH(ROWS($AH$2:AH188),$AH$2:$AH$1001,0),1)&gt;=100000,INDEX($AO$1005:$BQ$1005,1,MATCH(COLUMNS($AO$1006:AQ1006),$AO$1006:$BQ$1006,0))&gt;=100000), " ",IF(INDEX($AO$2:$BQ$1001,MATCH(ROWS($AH$2:AH188),$AH$2:$AH$1001,0),MATCH(COLUMNS($AO$1006:AQ1006),$AO$1006:$BQ$1006,0)), HYPERLINK("#",""), HYPERLINK(CONCATENATE("#Metadata!", ADDRESS(INDEX($AJ$2:$AJ$1001,MATCH(ROWS($AH$2:AH188),$AH$2:$AH$1001,0),0), INDEX($AO$1004:$BQ$1004,1,MATCH(COLUMNS($AO$1006:AQ1006),$AO$1006:$BQ$1006,0)))),"Fix")))</f>
        <v>#N/A</v>
      </c>
      <c r="E188" s="5" t="e">
        <f ca="1">IF(OR(INDEX($AI$2:$AI$1001,MATCH(ROWS($AH$2:AH188),$AH$2:$AH$1001,0),1)&gt;=100000,INDEX($AO$1005:$BQ$1005,1,MATCH(COLUMNS($AO$1006:AR1006),$AO$1006:$BQ$1006,0))&gt;=100000), " ",IF(INDEX($AO$2:$BQ$1001,MATCH(ROWS($AH$2:AH188),$AH$2:$AH$1001,0),MATCH(COLUMNS($AO$1006:AR1006),$AO$1006:$BQ$1006,0)), HYPERLINK("#",""), HYPERLINK(CONCATENATE("#Metadata!", ADDRESS(INDEX($AJ$2:$AJ$1001,MATCH(ROWS($AH$2:AH188),$AH$2:$AH$1001,0),0), INDEX($AO$1004:$BQ$1004,1,MATCH(COLUMNS($AO$1006:AR1006),$AO$1006:$BQ$1006,0)))),"Fix")))</f>
        <v>#N/A</v>
      </c>
      <c r="F188" s="5" t="e">
        <f ca="1">IF(OR(INDEX($AI$2:$AI$1001,MATCH(ROWS($AH$2:AH188),$AH$2:$AH$1001,0),1)&gt;=100000,INDEX($AO$1005:$BQ$1005,1,MATCH(COLUMNS($AO$1006:AS1006),$AO$1006:$BQ$1006,0))&gt;=100000), " ",IF(INDEX($AO$2:$BQ$1001,MATCH(ROWS($AH$2:AH188),$AH$2:$AH$1001,0),MATCH(COLUMNS($AO$1006:AS1006),$AO$1006:$BQ$1006,0)), HYPERLINK("#",""), HYPERLINK(CONCATENATE("#Metadata!", ADDRESS(INDEX($AJ$2:$AJ$1001,MATCH(ROWS($AH$2:AH188),$AH$2:$AH$1001,0),0), INDEX($AO$1004:$BQ$1004,1,MATCH(COLUMNS($AO$1006:AS1006),$AO$1006:$BQ$1006,0)))),"Fix")))</f>
        <v>#N/A</v>
      </c>
      <c r="G188" s="5" t="e">
        <f ca="1">IF(OR(INDEX($AI$2:$AI$1001,MATCH(ROWS($AH$2:AH188),$AH$2:$AH$1001,0),1)&gt;=100000,INDEX($AO$1005:$BQ$1005,1,MATCH(COLUMNS($AO$1006:AT1006),$AO$1006:$BQ$1006,0))&gt;=100000), " ",IF(INDEX($AO$2:$BQ$1001,MATCH(ROWS($AH$2:AH188),$AH$2:$AH$1001,0),MATCH(COLUMNS($AO$1006:AT1006),$AO$1006:$BQ$1006,0)), HYPERLINK("#",""), HYPERLINK(CONCATENATE("#Metadata!", ADDRESS(INDEX($AJ$2:$AJ$1001,MATCH(ROWS($AH$2:AH188),$AH$2:$AH$1001,0),0), INDEX($AO$1004:$BQ$1004,1,MATCH(COLUMNS($AO$1006:AT1006),$AO$1006:$BQ$1006,0)))),"Fix")))</f>
        <v>#N/A</v>
      </c>
      <c r="H188" s="5" t="e">
        <f ca="1">IF(OR(INDEX($AI$2:$AI$1001,MATCH(ROWS($AH$2:AH188),$AH$2:$AH$1001,0),1)&gt;=100000,INDEX($AO$1005:$BQ$1005,1,MATCH(COLUMNS($AO$1006:AU1006),$AO$1006:$BQ$1006,0))&gt;=100000), " ",IF(INDEX($AO$2:$BQ$1001,MATCH(ROWS($AH$2:AH188),$AH$2:$AH$1001,0),MATCH(COLUMNS($AO$1006:AU1006),$AO$1006:$BQ$1006,0)), HYPERLINK("#",""), HYPERLINK(CONCATENATE("#Metadata!", ADDRESS(INDEX($AJ$2:$AJ$1001,MATCH(ROWS($AH$2:AH188),$AH$2:$AH$1001,0),0), INDEX($AO$1004:$BQ$1004,1,MATCH(COLUMNS($AO$1006:AU1006),$AO$1006:$BQ$1006,0)))),"Fix")))</f>
        <v>#N/A</v>
      </c>
      <c r="I188" s="5" t="e">
        <f ca="1">IF(OR(INDEX($AI$2:$AI$1001,MATCH(ROWS($AH$2:AH188),$AH$2:$AH$1001,0),1)&gt;=100000,INDEX($AO$1005:$BQ$1005,1,MATCH(COLUMNS($AO$1006:AV1006),$AO$1006:$BQ$1006,0))&gt;=100000), " ",IF(INDEX($AO$2:$BQ$1001,MATCH(ROWS($AH$2:AH188),$AH$2:$AH$1001,0),MATCH(COLUMNS($AO$1006:AV1006),$AO$1006:$BQ$1006,0)), HYPERLINK("#",""), HYPERLINK(CONCATENATE("#Metadata!", ADDRESS(INDEX($AJ$2:$AJ$1001,MATCH(ROWS($AH$2:AH188),$AH$2:$AH$1001,0),0), INDEX($AO$1004:$BQ$1004,1,MATCH(COLUMNS($AO$1006:AV1006),$AO$1006:$BQ$1006,0)))),"Fix")))</f>
        <v>#N/A</v>
      </c>
      <c r="J188" s="5" t="e">
        <f ca="1">IF(OR(INDEX($AI$2:$AI$1001,MATCH(ROWS($AH$2:AH188),$AH$2:$AH$1001,0),1)&gt;=100000,INDEX($AO$1005:$BQ$1005,1,MATCH(COLUMNS($AO$1006:AW1006),$AO$1006:$BQ$1006,0))&gt;=100000), " ",IF(INDEX($AO$2:$BQ$1001,MATCH(ROWS($AH$2:AH188),$AH$2:$AH$1001,0),MATCH(COLUMNS($AO$1006:AW1006),$AO$1006:$BQ$1006,0)), HYPERLINK("#",""), HYPERLINK(CONCATENATE("#Metadata!", ADDRESS(INDEX($AJ$2:$AJ$1001,MATCH(ROWS($AH$2:AH188),$AH$2:$AH$1001,0),0), INDEX($AO$1004:$BQ$1004,1,MATCH(COLUMNS($AO$1006:AW1006),$AO$1006:$BQ$1006,0)))),"Fix")))</f>
        <v>#N/A</v>
      </c>
      <c r="K188" s="5" t="e">
        <f ca="1">IF(OR(INDEX($AI$2:$AI$1001,MATCH(ROWS($AH$2:AH188),$AH$2:$AH$1001,0),1)&gt;=100000,INDEX($AO$1005:$BQ$1005,1,MATCH(COLUMNS($AO$1006:AX1006),$AO$1006:$BQ$1006,0))&gt;=100000), " ",IF(INDEX($AO$2:$BQ$1001,MATCH(ROWS($AH$2:AH188),$AH$2:$AH$1001,0),MATCH(COLUMNS($AO$1006:AX1006),$AO$1006:$BQ$1006,0)), HYPERLINK("#",""), HYPERLINK(CONCATENATE("#Metadata!", ADDRESS(INDEX($AJ$2:$AJ$1001,MATCH(ROWS($AH$2:AH188),$AH$2:$AH$1001,0),0), INDEX($AO$1004:$BQ$1004,1,MATCH(COLUMNS($AO$1006:AX1006),$AO$1006:$BQ$1006,0)))),"Fix")))</f>
        <v>#N/A</v>
      </c>
      <c r="L188" s="5" t="e">
        <f ca="1">IF(OR(INDEX($AI$2:$AI$1001,MATCH(ROWS($AH$2:AH188),$AH$2:$AH$1001,0),1)&gt;=100000,INDEX($AO$1005:$BQ$1005,1,MATCH(COLUMNS($AO$1006:AY1006),$AO$1006:$BQ$1006,0))&gt;=100000), " ",IF(INDEX($AO$2:$BQ$1001,MATCH(ROWS($AH$2:AH188),$AH$2:$AH$1001,0),MATCH(COLUMNS($AO$1006:AY1006),$AO$1006:$BQ$1006,0)), HYPERLINK("#",""), HYPERLINK(CONCATENATE("#Metadata!", ADDRESS(INDEX($AJ$2:$AJ$1001,MATCH(ROWS($AH$2:AH188),$AH$2:$AH$1001,0),0), INDEX($AO$1004:$BQ$1004,1,MATCH(COLUMNS($AO$1006:AY1006),$AO$1006:$BQ$1006,0)))),"Fix")))</f>
        <v>#N/A</v>
      </c>
      <c r="M188" s="5" t="e">
        <f ca="1">IF(OR(INDEX($AI$2:$AI$1001,MATCH(ROWS($AH$2:AH188),$AH$2:$AH$1001,0),1)&gt;=100000,INDEX($AO$1005:$BQ$1005,1,MATCH(COLUMNS($AO$1006:AZ1006),$AO$1006:$BQ$1006,0))&gt;=100000), " ",IF(INDEX($AO$2:$BQ$1001,MATCH(ROWS($AH$2:AH188),$AH$2:$AH$1001,0),MATCH(COLUMNS($AO$1006:AZ1006),$AO$1006:$BQ$1006,0)), HYPERLINK("#",""), HYPERLINK(CONCATENATE("#Metadata!", ADDRESS(INDEX($AJ$2:$AJ$1001,MATCH(ROWS($AH$2:AH188),$AH$2:$AH$1001,0),0), INDEX($AO$1004:$BQ$1004,1,MATCH(COLUMNS($AO$1006:AZ1006),$AO$1006:$BQ$1006,0)))),"Fix")))</f>
        <v>#N/A</v>
      </c>
      <c r="N188" s="5" t="e">
        <f ca="1">IF(OR(INDEX($AI$2:$AI$1001,MATCH(ROWS($AH$2:AH188),$AH$2:$AH$1001,0),1)&gt;=100000,INDEX($AO$1005:$BQ$1005,1,MATCH(COLUMNS($AO$1006:BA1006),$AO$1006:$BQ$1006,0))&gt;=100000), " ",IF(INDEX($AO$2:$BQ$1001,MATCH(ROWS($AH$2:AH188),$AH$2:$AH$1001,0),MATCH(COLUMNS($AO$1006:BA1006),$AO$1006:$BQ$1006,0)), HYPERLINK("#",""), HYPERLINK(CONCATENATE("#Metadata!", ADDRESS(INDEX($AJ$2:$AJ$1001,MATCH(ROWS($AH$2:AH188),$AH$2:$AH$1001,0),0), INDEX($AO$1004:$BQ$1004,1,MATCH(COLUMNS($AO$1006:BA1006),$AO$1006:$BQ$1006,0)))),"Fix")))</f>
        <v>#N/A</v>
      </c>
      <c r="O188" s="5" t="e">
        <f ca="1">IF(OR(INDEX($AI$2:$AI$1001,MATCH(ROWS($AH$2:AH188),$AH$2:$AH$1001,0),1)&gt;=100000,INDEX($AO$1005:$BQ$1005,1,MATCH(COLUMNS($AO$1006:BB1006),$AO$1006:$BQ$1006,0))&gt;=100000), " ",IF(INDEX($AO$2:$BQ$1001,MATCH(ROWS($AH$2:AH188),$AH$2:$AH$1001,0),MATCH(COLUMNS($AO$1006:BB1006),$AO$1006:$BQ$1006,0)), HYPERLINK("#",""), HYPERLINK(CONCATENATE("#Metadata!", ADDRESS(INDEX($AJ$2:$AJ$1001,MATCH(ROWS($AH$2:AH188),$AH$2:$AH$1001,0),0), INDEX($AO$1004:$BQ$1004,1,MATCH(COLUMNS($AO$1006:BB1006),$AO$1006:$BQ$1006,0)))),"Fix")))</f>
        <v>#N/A</v>
      </c>
      <c r="P188" s="5" t="e">
        <f ca="1">IF(OR(INDEX($AI$2:$AI$1001,MATCH(ROWS($AH$2:AH188),$AH$2:$AH$1001,0),1)&gt;=100000,INDEX($AO$1005:$BQ$1005,1,MATCH(COLUMNS($AO$1006:BC1006),$AO$1006:$BQ$1006,0))&gt;=100000), " ",IF(INDEX($AO$2:$BQ$1001,MATCH(ROWS($AH$2:AH188),$AH$2:$AH$1001,0),MATCH(COLUMNS($AO$1006:BC1006),$AO$1006:$BQ$1006,0)), HYPERLINK("#",""), HYPERLINK(CONCATENATE("#Metadata!", ADDRESS(INDEX($AJ$2:$AJ$1001,MATCH(ROWS($AH$2:AH188),$AH$2:$AH$1001,0),0), INDEX($AO$1004:$BQ$1004,1,MATCH(COLUMNS($AO$1006:BC1006),$AO$1006:$BQ$1006,0)))),"Fix")))</f>
        <v>#N/A</v>
      </c>
      <c r="Q188" s="5" t="e">
        <f ca="1">IF(OR(INDEX($AI$2:$AI$1001,MATCH(ROWS($AH$2:AH188),$AH$2:$AH$1001,0),1)&gt;=100000,INDEX($AO$1005:$BQ$1005,1,MATCH(COLUMNS($AO$1006:BD1006),$AO$1006:$BQ$1006,0))&gt;=100000), " ",IF(INDEX($AO$2:$BQ$1001,MATCH(ROWS($AH$2:AH188),$AH$2:$AH$1001,0),MATCH(COLUMNS($AO$1006:BD1006),$AO$1006:$BQ$1006,0)), HYPERLINK("#",""), HYPERLINK(CONCATENATE("#Metadata!", ADDRESS(INDEX($AJ$2:$AJ$1001,MATCH(ROWS($AH$2:AH188),$AH$2:$AH$1001,0),0), INDEX($AO$1004:$BQ$1004,1,MATCH(COLUMNS($AO$1006:BD1006),$AO$1006:$BQ$1006,0)))),"Fix")))</f>
        <v>#N/A</v>
      </c>
      <c r="R188" s="5" t="e">
        <f ca="1">IF(OR(INDEX($AI$2:$AI$1001,MATCH(ROWS($AH$2:AH188),$AH$2:$AH$1001,0),1)&gt;=100000,INDEX($AO$1005:$BQ$1005,1,MATCH(COLUMNS($AO$1006:BE1006),$AO$1006:$BQ$1006,0))&gt;=100000), " ",IF(INDEX($AO$2:$BQ$1001,MATCH(ROWS($AH$2:AH188),$AH$2:$AH$1001,0),MATCH(COLUMNS($AO$1006:BE1006),$AO$1006:$BQ$1006,0)), HYPERLINK("#",""), HYPERLINK(CONCATENATE("#Metadata!", ADDRESS(INDEX($AJ$2:$AJ$1001,MATCH(ROWS($AH$2:AH188),$AH$2:$AH$1001,0),0), INDEX($AO$1004:$BQ$1004,1,MATCH(COLUMNS($AO$1006:BE1006),$AO$1006:$BQ$1006,0)))),"Fix")))</f>
        <v>#N/A</v>
      </c>
      <c r="S188" s="5" t="e">
        <f ca="1">IF(OR(INDEX($AI$2:$AI$1001,MATCH(ROWS($AH$2:AH188),$AH$2:$AH$1001,0),1)&gt;=100000,INDEX($AO$1005:$BQ$1005,1,MATCH(COLUMNS($AO$1006:BF1006),$AO$1006:$BQ$1006,0))&gt;=100000), " ",IF(INDEX($AO$2:$BQ$1001,MATCH(ROWS($AH$2:AH188),$AH$2:$AH$1001,0),MATCH(COLUMNS($AO$1006:BF1006),$AO$1006:$BQ$1006,0)), HYPERLINK("#",""), HYPERLINK(CONCATENATE("#Metadata!", ADDRESS(INDEX($AJ$2:$AJ$1001,MATCH(ROWS($AH$2:AH188),$AH$2:$AH$1001,0),0), INDEX($AO$1004:$BQ$1004,1,MATCH(COLUMNS($AO$1006:BF1006),$AO$1006:$BQ$1006,0)))),"Fix")))</f>
        <v>#N/A</v>
      </c>
      <c r="T188" s="5" t="e">
        <f ca="1">IF(OR(INDEX($AI$2:$AI$1001,MATCH(ROWS($AH$2:AH188),$AH$2:$AH$1001,0),1)&gt;=100000,INDEX($AO$1005:$BQ$1005,1,MATCH(COLUMNS($AO$1006:BG1006),$AO$1006:$BQ$1006,0))&gt;=100000), " ",IF(INDEX($AO$2:$BQ$1001,MATCH(ROWS($AH$2:AH188),$AH$2:$AH$1001,0),MATCH(COLUMNS($AO$1006:BG1006),$AO$1006:$BQ$1006,0)), HYPERLINK("#",""), HYPERLINK(CONCATENATE("#Metadata!", ADDRESS(INDEX($AJ$2:$AJ$1001,MATCH(ROWS($AH$2:AH188),$AH$2:$AH$1001,0),0), INDEX($AO$1004:$BQ$1004,1,MATCH(COLUMNS($AO$1006:BG1006),$AO$1006:$BQ$1006,0)))),"Fix")))</f>
        <v>#N/A</v>
      </c>
      <c r="U188" s="5" t="e">
        <f ca="1">IF(OR(INDEX($AI$2:$AI$1001,MATCH(ROWS($AH$2:AH188),$AH$2:$AH$1001,0),1)&gt;=100000,INDEX($AO$1005:$BQ$1005,1,MATCH(COLUMNS($AO$1006:BH1006),$AO$1006:$BQ$1006,0))&gt;=100000), " ",IF(INDEX($AO$2:$BQ$1001,MATCH(ROWS($AH$2:AH188),$AH$2:$AH$1001,0),MATCH(COLUMNS($AO$1006:BH1006),$AO$1006:$BQ$1006,0)), HYPERLINK("#",""), HYPERLINK(CONCATENATE("#Metadata!", ADDRESS(INDEX($AJ$2:$AJ$1001,MATCH(ROWS($AH$2:AH188),$AH$2:$AH$1001,0),0), INDEX($AO$1004:$BQ$1004,1,MATCH(COLUMNS($AO$1006:BH1006),$AO$1006:$BQ$1006,0)))),"Fix")))</f>
        <v>#N/A</v>
      </c>
      <c r="V188" s="5" t="e">
        <f ca="1">IF(OR(INDEX($AI$2:$AI$1001,MATCH(ROWS($AH$2:AH188),$AH$2:$AH$1001,0),1)&gt;=100000,INDEX($AO$1005:$BQ$1005,1,MATCH(COLUMNS($AO$1006:BI1006),$AO$1006:$BQ$1006,0))&gt;=100000), " ",IF(INDEX($AO$2:$BQ$1001,MATCH(ROWS($AH$2:AH188),$AH$2:$AH$1001,0),MATCH(COLUMNS($AO$1006:BI1006),$AO$1006:$BQ$1006,0)), HYPERLINK("#",""), HYPERLINK(CONCATENATE("#Metadata!", ADDRESS(INDEX($AJ$2:$AJ$1001,MATCH(ROWS($AH$2:AH188),$AH$2:$AH$1001,0),0), INDEX($AO$1004:$BQ$1004,1,MATCH(COLUMNS($AO$1006:BI1006),$AO$1006:$BQ$1006,0)))),"Fix")))</f>
        <v>#N/A</v>
      </c>
      <c r="W188" s="5" t="e">
        <f ca="1">IF(OR(INDEX($AI$2:$AI$1001,MATCH(ROWS($AH$2:AH188),$AH$2:$AH$1001,0),1)&gt;=100000,INDEX($AO$1005:$BQ$1005,1,MATCH(COLUMNS($AO$1006:BJ1006),$AO$1006:$BQ$1006,0))&gt;=100000), " ",IF(INDEX($AO$2:$BQ$1001,MATCH(ROWS($AH$2:AH188),$AH$2:$AH$1001,0),MATCH(COLUMNS($AO$1006:BJ1006),$AO$1006:$BQ$1006,0)), HYPERLINK("#",""), HYPERLINK(CONCATENATE("#Metadata!", ADDRESS(INDEX($AJ$2:$AJ$1001,MATCH(ROWS($AH$2:AH188),$AH$2:$AH$1001,0),0), INDEX($AO$1004:$BQ$1004,1,MATCH(COLUMNS($AO$1006:BJ1006),$AO$1006:$BQ$1006,0)))),"Fix")))</f>
        <v>#N/A</v>
      </c>
      <c r="X188" s="5" t="e">
        <f ca="1">IF(OR(INDEX($AI$2:$AI$1001,MATCH(ROWS($AH$2:AH188),$AH$2:$AH$1001,0),1)&gt;=100000,INDEX($AO$1005:$BQ$1005,1,MATCH(COLUMNS($AO$1006:BK1006),$AO$1006:$BQ$1006,0))&gt;=100000), " ",IF(INDEX($AO$2:$BQ$1001,MATCH(ROWS($AH$2:AH188),$AH$2:$AH$1001,0),MATCH(COLUMNS($AO$1006:BK1006),$AO$1006:$BQ$1006,0)), HYPERLINK("#",""), HYPERLINK(CONCATENATE("#Metadata!", ADDRESS(INDEX($AJ$2:$AJ$1001,MATCH(ROWS($AH$2:AH188),$AH$2:$AH$1001,0),0), INDEX($AO$1004:$BQ$1004,1,MATCH(COLUMNS($AO$1006:BK1006),$AO$1006:$BQ$1006,0)))),"Fix")))</f>
        <v>#N/A</v>
      </c>
      <c r="Y188" s="5" t="e">
        <f ca="1">IF(OR(INDEX($AI$2:$AI$1001,MATCH(ROWS($AH$2:AH188),$AH$2:$AH$1001,0),1)&gt;=100000,INDEX($AO$1005:$BQ$1005,1,MATCH(COLUMNS($AO$1006:BL1006),$AO$1006:$BQ$1006,0))&gt;=100000), " ",IF(INDEX($AO$2:$BQ$1001,MATCH(ROWS($AH$2:AH188),$AH$2:$AH$1001,0),MATCH(COLUMNS($AO$1006:BL1006),$AO$1006:$BQ$1006,0)), HYPERLINK("#",""), HYPERLINK(CONCATENATE("#Metadata!", ADDRESS(INDEX($AJ$2:$AJ$1001,MATCH(ROWS($AH$2:AH188),$AH$2:$AH$1001,0),0), INDEX($AO$1004:$BQ$1004,1,MATCH(COLUMNS($AO$1006:BL1006),$AO$1006:$BQ$1006,0)))),"Fix")))</f>
        <v>#N/A</v>
      </c>
      <c r="Z188" s="5" t="e">
        <f ca="1">IF(OR(INDEX($AI$2:$AI$1001,MATCH(ROWS($AH$2:AH188),$AH$2:$AH$1001,0),1)&gt;=100000,INDEX($AO$1005:$BQ$1005,1,MATCH(COLUMNS($AO$1006:BM1006),$AO$1006:$BQ$1006,0))&gt;=100000), " ",IF(INDEX($AO$2:$BQ$1001,MATCH(ROWS($AH$2:AH188),$AH$2:$AH$1001,0),MATCH(COLUMNS($AO$1006:BM1006),$AO$1006:$BQ$1006,0)), HYPERLINK("#",""), HYPERLINK(CONCATENATE("#Metadata!", ADDRESS(INDEX($AJ$2:$AJ$1001,MATCH(ROWS($AH$2:AH188),$AH$2:$AH$1001,0),0), INDEX($AO$1004:$BQ$1004,1,MATCH(COLUMNS($AO$1006:BM1006),$AO$1006:$BQ$1006,0)))),"Fix")))</f>
        <v>#N/A</v>
      </c>
      <c r="AA188" s="5" t="e">
        <f ca="1">IF(OR(INDEX($AI$2:$AI$1001,MATCH(ROWS($AH$2:AH188),$AH$2:$AH$1001,0),1)&gt;=100000,INDEX($AO$1005:$BQ$1005,1,MATCH(COLUMNS($AO$1006:BN1006),$AO$1006:$BQ$1006,0))&gt;=100000), " ",IF(INDEX($AO$2:$BQ$1001,MATCH(ROWS($AH$2:AH188),$AH$2:$AH$1001,0),MATCH(COLUMNS($AO$1006:BN1006),$AO$1006:$BQ$1006,0)), HYPERLINK("#",""), HYPERLINK(CONCATENATE("#Metadata!", ADDRESS(INDEX($AJ$2:$AJ$1001,MATCH(ROWS($AH$2:AH188),$AH$2:$AH$1001,0),0), INDEX($AO$1004:$BQ$1004,1,MATCH(COLUMNS($AO$1006:BN1006),$AO$1006:$BQ$1006,0)))),"Fix")))</f>
        <v>#N/A</v>
      </c>
      <c r="AB188" s="5" t="e">
        <f ca="1">IF(OR(INDEX($AI$2:$AI$1001,MATCH(ROWS($AH$2:AH188),$AH$2:$AH$1001,0),1)&gt;=100000,INDEX($AO$1005:$BQ$1005,1,MATCH(COLUMNS($AO$1006:BO1006),$AO$1006:$BQ$1006,0))&gt;=100000), " ",IF(INDEX($AO$2:$BQ$1001,MATCH(ROWS($AH$2:AH188),$AH$2:$AH$1001,0),MATCH(COLUMNS($AO$1006:BO1006),$AO$1006:$BQ$1006,0)), HYPERLINK("#",""), HYPERLINK(CONCATENATE("#Metadata!", ADDRESS(INDEX($AJ$2:$AJ$1001,MATCH(ROWS($AH$2:AH188),$AH$2:$AH$1001,0),0), INDEX($AO$1004:$BQ$1004,1,MATCH(COLUMNS($AO$1006:BO1006),$AO$1006:$BQ$1006,0)))),"Fix")))</f>
        <v>#N/A</v>
      </c>
      <c r="AC188" s="5" t="e">
        <f ca="1">IF(OR(INDEX($AI$2:$AI$1001,MATCH(ROWS($AH$2:AH188),$AH$2:$AH$1001,0),1)&gt;=100000,INDEX($AO$1005:$BQ$1005,1,MATCH(COLUMNS($AO$1006:BP1006),$AO$1006:$BQ$1006,0))&gt;=100000), " ",IF(INDEX($AO$2:$BQ$1001,MATCH(ROWS($AH$2:AH188),$AH$2:$AH$1001,0),MATCH(COLUMNS($AO$1006:BP1006),$AO$1006:$BQ$1006,0)), HYPERLINK("#",""), HYPERLINK(CONCATENATE("#Metadata!", ADDRESS(INDEX($AJ$2:$AJ$1001,MATCH(ROWS($AH$2:AH188),$AH$2:$AH$1001,0),0), INDEX($AO$1004:$BQ$1004,1,MATCH(COLUMNS($AO$1006:BP1006),$AO$1006:$BQ$1006,0)))),"Fix")))</f>
        <v>#N/A</v>
      </c>
      <c r="AD188" s="5" t="e">
        <f ca="1">IF(OR(INDEX($AI$2:$AI$1001,MATCH(ROWS($AH$2:AH188),$AH$2:$AH$1001,0),1)&gt;=100000,INDEX($AO$1005:$BQ$1005,1,MATCH(COLUMNS($AO$1006:BQ1006),$AO$1006:$BQ$1006,0))&gt;=100000), " ",IF(INDEX($AO$2:$BQ$1001,MATCH(ROWS($AH$2:AH188),$AH$2:$AH$1001,0),MATCH(COLUMNS($AO$1006:BQ1006),$AO$1006:$BQ$1006,0)), HYPERLINK("#",""), HYPERLINK(CONCATENATE("#Metadata!", ADDRESS(INDEX($AJ$2:$AJ$1001,MATCH(ROWS($AH$2:AH188),$AH$2:$AH$1001,0),0), INDEX($AO$1004:$BQ$1004,1,MATCH(COLUMNS($AO$1006:BQ1006),$AO$1006:$BQ$1006,0)))),"Fix")))</f>
        <v>#REF!</v>
      </c>
      <c r="AH188">
        <f ca="1"/>
        <v>185</v>
      </c>
      <c r="AI188">
        <v>100188</v>
      </c>
      <c r="AJ188">
        <v>188</v>
      </c>
      <c r="AK188" t="b">
        <f t="shared" si="2"/>
        <v>1</v>
      </c>
      <c r="AL188" t="b">
        <f>COUNTBLANK(Metadata!B188:AD188)=COLUMNS(Metadata!B188:AD188)</f>
        <v>1</v>
      </c>
      <c r="AM188" t="str">
        <v/>
      </c>
      <c r="AO188" t="b">
        <f ca="1">AND(IF(Metadata!B188="",FALSE,TRUE),COUNTIF(Metadata!B:B, Metadata!B188) = 1,NOT(ISERROR(SUMPRODUCT(SEARCH(MID(Metadata!B188,ROW(INDIRECT("1:"&amp;LEN(Metadata!B188))), 1),"0123456789abcdefghijklmnopqrstuvwxyzABCDEFGHIJKLMNOPQRSTUVWXYZ.")))))</f>
        <v>0</v>
      </c>
      <c r="AP188" t="b">
        <f>IF(Metadata!C188="",FALSE,TRUE)</f>
        <v>0</v>
      </c>
      <c r="AQ188" t="b">
        <f>IF(Metadata!D188="",FALSE,TRUE)</f>
        <v>0</v>
      </c>
      <c r="AR188" t="b">
        <f ca="1">OR(AND(IF(Metadata!E188="",FALSE,TRUE),OR(EXACT(Metadata!E188,"not collected"),EXACT(Metadata!E188,"not provided"),EXACT(Metadata!E188,"restricted access"))),AND(IF(Metadata!E188="",FALSE,TRUE),AND(AND(IFERROR(INT(LEFT(Metadata!E188,4))&gt;1900,FALSE),IFERROR(INT(LEFT(Metadata!E188,4))&lt;=YEAR(NOW()),FALSE)), OR(MID(Metadata!E188,5,1)="", AND(AND(MID(Metadata!E188,5,1)="-",IFERROR(INT(MID(Metadata!E188,6,1))&gt;=0,FALSE),IFERROR(INT(MID(Metadata!E188,6,1))&lt;=1,FALSE),NOT(MID(Metadata!E188,7,1)=""),IFERROR(INT(MID(Metadata!E188,6,2))&gt;=1,FALSE),IFERROR(INT(MID(Metadata!E188,6,2))&lt;=12,FALSE)), OR(MID(Metadata!E188,8,1)="", AND(AND(MID(Metadata!E188,8,1)="-",IFERROR(INT(MID(Metadata!E188,9,1))&gt;=0,FALSE),IFERROR(INT(MID(Metadata!E188,9,1))&lt;=3,FALSE),NOT(MID(Metadata!E188,10,1)=""),IFERROR(INT(MID(Metadata!E188,9,2))&gt;=1,FALSE),IFERROR(INT(MID(Metadata!E188,9,2))&lt;=31,FALSE)), OR(MID(Metadata!E188,11,1)="", AND(AND(MID(Metadata!E188,11,1)=" ",IFERROR(INT(MID(Metadata!E188,12,1))&gt;=0,FALSE),IFERROR(INT(MID(Metadata!E188,12,1))&lt;=2,FALSE),NOT(MID(Metadata!E188,13,1)=""),IFERROR(INT(MID(Metadata!E188,12,2))&gt;=0,FALSE),IFERROR(INT(MID(Metadata!E188,12,2))&lt;=23,FALSE)), OR(MID(Metadata!E188,14,1)="", AND(AND(MID(Metadata!E188,14,1)=":",IFERROR(INT(MID(Metadata!E188,15,1))&gt;=0,FALSE),IFERROR(INT(MID(Metadata!E188,15,1))&lt;=5,FALSE),NOT(MID(Metadata!E188,16,1)=""),IFERROR(INT(MID(Metadata!E188,15,2))&gt;=0,FALSE),IFERROR(INT(MID(Metadata!E188,15,2))&lt;=59,FALSE)), OR(MID(Metadata!E188,17,1)="", AND(AND(MID(Metadata!E188,17,1)=":",IFERROR(INT(MID(Metadata!E188,18,1))&gt;=0,FALSE),IFERROR(INT(MID(Metadata!E188,18,1))&lt;=5,FALSE),NOT(MID(Metadata!E188,19,1)=""),IFERROR(INT(MID(Metadata!E188,18,2))&gt;=0,FALSE),IFERROR(INT(MID(Metadata!E188,18,2))&lt;=59,FALSE)), LEN(Metadata!E188)&lt;=19)))))))))))))</f>
        <v>0</v>
      </c>
      <c r="AS188" t="b">
        <f>IF(Metadata!F188="",FALSE,TRUE)</f>
        <v>0</v>
      </c>
      <c r="AT188" t="b">
        <f>OR(AND(IF(Metadata!G188="",FALSE,TRUE),OR(EXACT(Metadata!G188,"not collected"),EXACT(Metadata!G188,"not provided"))),AND(IF(Metadata!G188="",FALSE,TRUE),OR(EXACT(Metadata!G188,"TRUE"),EXACT(Metadata!G188,"FALSE"))))</f>
        <v>0</v>
      </c>
      <c r="AU188" t="b">
        <f>OR(AND(IF(Metadata!H188="",FALSE,TRUE),OR(EXACT(Metadata!H188,"not collected"),EXACT(Metadata!H188,"not provided"),EXACT(Metadata!H188,"restricted access"))),AND(IF(Metadata!H188="",FALSE,ISNUMBER(VALUE(Metadata!H188))),Metadata!H188&gt;=-413))</f>
        <v>0</v>
      </c>
      <c r="AV188" t="b">
        <f>AND(IF(Metadata!I188="",FALSE,TRUE),EXACT(Metadata!I188,"meters"))</f>
        <v>0</v>
      </c>
      <c r="AW188" t="b">
        <f>AND(IF(Metadata!J188="",FALSE,TRUE),EXACT(Metadata!J188,"free-living"))</f>
        <v>0</v>
      </c>
      <c r="AX188" t="b">
        <f>AND(IF(Metadata!K188="",FALSE,TRUE),OR(EXACT(Metadata!K188,"saline"),EXACT(Metadata!K188,"non-saline")))</f>
        <v>0</v>
      </c>
      <c r="AY188" t="b">
        <f>AND(IF(Metadata!L188="",FALSE,TRUE),OR(EXACT(Metadata!L188,"sub-surface (non-saline)"),EXACT(Metadata!L188,"surface (non-saline)"),EXACT(Metadata!L188,"water (non-saline)"),EXACT(Metadata!L188,"soil (non-saline)"),EXACT(Metadata!L188,"aerosol (non-saline)"),EXACT(Metadata!L188,"sediment (non-saline)"),EXACT(Metadata!L188,"surface (saline)"),EXACT(Metadata!L188,"water (saline)"),EXACT(Metadata!L188,"hypersaline (saline)"),EXACT(Metadata!L188,"aerosol (saline)"),EXACT(Metadata!L188,"sediment (saline)")))</f>
        <v>0</v>
      </c>
      <c r="AZ188" t="b">
        <f>IF(Metadata!M188="",FALSE,TRUE)</f>
        <v>0</v>
      </c>
      <c r="BA188" t="b">
        <f>IF(Metadata!N188="",FALSE,TRUE)</f>
        <v>0</v>
      </c>
      <c r="BB188" t="b">
        <f>IF(Metadata!O188="",FALSE,TRUE)</f>
        <v>0</v>
      </c>
      <c r="BC188" t="b">
        <f>AND(IF(Metadata!P188="",FALSE,TRUE),OR(EXACT(Metadata!P188,"air"),EXACT(Metadata!P188,"microbial mat/biofilm"),EXACT(Metadata!P188,"misc environment"),EXACT(Metadata!P188,"sediment"),EXACT(Metadata!P188,"soil"),EXACT(Metadata!P188,"wastewater/sludge"),EXACT(Metadata!P188,"water")))</f>
        <v>0</v>
      </c>
      <c r="BD188" t="b">
        <f>IF(Metadata!Q188="",FALSE,TRUE)</f>
        <v>0</v>
      </c>
      <c r="BE188" t="b">
        <f>IF(Metadata!R188="",FALSE,TRUE)</f>
        <v>0</v>
      </c>
      <c r="BF188" t="b">
        <f>OR(AND(IF(Metadata!S188="",FALSE,TRUE),OR(EXACT(Metadata!S188,"not collected"),EXACT(Metadata!S188,"not provided"),EXACT(Metadata!S188,"restricted access"))),AND(IF(Metadata!S188="",FALSE,ISNUMBER(VALUE(Metadata!S188))),Metadata!S188&gt;=-90,Metadata!S188&lt;=90))</f>
        <v>0</v>
      </c>
      <c r="BG188" t="b">
        <f>AND(IF(Metadata!T188="",FALSE,TRUE),EXACT(Metadata!T188,"Decimal degrees"))</f>
        <v>0</v>
      </c>
      <c r="BH188" t="b">
        <f>OR(AND(IF(Metadata!U188="",FALSE,TRUE),OR(EXACT(Metadata!U188,"not applicable"),EXACT(Metadata!U188,"not collected"))),IF(Metadata!U188="",FALSE,TRUE))</f>
        <v>0</v>
      </c>
      <c r="BI188" t="b">
        <f>OR(AND(IF(Metadata!V188="",FALSE,TRUE),OR(EXACT(Metadata!V188,"not collected"),EXACT(Metadata!V188,"not provided"),EXACT(Metadata!V188,"restricted access"))),AND(IF(Metadata!V188="",FALSE,ISNUMBER(VALUE(Metadata!V188))),Metadata!V188&gt;=-180,Metadata!V188&lt;=180))</f>
        <v>0</v>
      </c>
      <c r="BJ188" t="b">
        <f>AND(IF(Metadata!W188="",FALSE,TRUE),EXACT(Metadata!W188,"Decimal degrees"))</f>
        <v>0</v>
      </c>
      <c r="BK188" t="b">
        <f>IF(Metadata!X188="",FALSE,TRUE)</f>
        <v>0</v>
      </c>
      <c r="BL188" t="b">
        <f>OR(AND(IF(Metadata!Y188="",FALSE,TRUE),OR(EXACT(Metadata!Y188,"not collected"),EXACT(Metadata!Y188,"not provided"),EXACT(Metadata!Y188,"restricted access"))),AND(IF(Metadata!Y188="",FALSE,TRUE),OR(EXACT(Metadata!Y188,"TRUE"),EXACT(Metadata!Y188,"FALSE"))))</f>
        <v>0</v>
      </c>
      <c r="BM188" t="b">
        <f>OR(AND(IF(Metadata!Z188="",FALSE,TRUE),EXACT(Metadata!Z188,"not applicable")),AND(IF(Metadata!Z188="",FALSE,TRUE),OR(EXACT(Metadata!Z188,"beer"),EXACT(Metadata!Z188,"cheese"),EXACT(Metadata!Z188,"fresh water"),EXACT(Metadata!Z188,"marine sediment"),EXACT(Metadata!Z188,"sea water"),EXACT(Metadata!Z188,"sediment"),EXACT(Metadata!Z188,"soil"),EXACT(Metadata!Z188,"waste water"))))</f>
        <v>0</v>
      </c>
      <c r="BN188" t="b">
        <f>AND(IF(Metadata!AA188="",FALSE,TRUE),EXACT(Metadata!AA188,"metagenome"))</f>
        <v>0</v>
      </c>
      <c r="BO188" t="b">
        <f>AND(IF(Metadata!AB188="",FALSE,TRUE),EXACT(Metadata!AB188,"256318"))</f>
        <v>0</v>
      </c>
      <c r="BP188" t="b">
        <f>IF(Metadata!AC188="",FALSE,TRUE)</f>
        <v>0</v>
      </c>
      <c r="BQ188" t="b">
        <f>IF(Metadata!AD188="",FALSE,TRUE)</f>
        <v>0</v>
      </c>
    </row>
    <row r="189" spans="1:69" x14ac:dyDescent="0.2">
      <c r="A189" s="4" t="e">
        <f ca="1">IF(B189=" "," ",HYPERLINK(CONCATENATE("#metadata!",ADDRESS(INDEX($AJ$2:$AJ$1001,MATCH(ROWS($AH$2:AH189),$AH$2:$AH$1001,0),0),2)),INDEX($AM$2:$AM$1001,MATCH(ROWS($AH$2:AH189),$AH$2:$AH$1001,0),0)))</f>
        <v>#N/A</v>
      </c>
      <c r="B189" s="5" t="e">
        <f ca="1">IF(OR(INDEX($AI$2:$AI$1001,MATCH(ROWS($AH$2:AH189),$AH$2:$AH$1001,0),1)&gt;=100000,INDEX($AO$1005:$BQ$1005,1,MATCH(COLUMNS($AO$1006:AO1006),$AO$1006:$BQ$1006,0))&gt;=100000), " ",IF(INDEX($AO$2:$BQ$1001,MATCH(ROWS($AH$2:AH189),$AH$2:$AH$1001,0),MATCH(COLUMNS($AO$1006:AO1006),$AO$1006:$BQ$1006,0)), HYPERLINK("#",""), HYPERLINK(CONCATENATE("#Metadata!", ADDRESS(INDEX($AJ$2:$AJ$1001,MATCH(ROWS($AH$2:AH189),$AH$2:$AH$1001,0),0), INDEX($AO$1004:$BQ$1004,1,MATCH(COLUMNS($AO$1006:AO1006),$AO$1006:$BQ$1006,0)))),"Fix")))</f>
        <v>#N/A</v>
      </c>
      <c r="C189" s="5" t="e">
        <f ca="1">IF(OR(INDEX($AI$2:$AI$1001,MATCH(ROWS($AH$2:AH189),$AH$2:$AH$1001,0),1)&gt;=100000,INDEX($AO$1005:$BQ$1005,1,MATCH(COLUMNS($AO$1006:AP1006),$AO$1006:$BQ$1006,0))&gt;=100000), " ",IF(INDEX($AO$2:$BQ$1001,MATCH(ROWS($AH$2:AH189),$AH$2:$AH$1001,0),MATCH(COLUMNS($AO$1006:AP1006),$AO$1006:$BQ$1006,0)), HYPERLINK("#",""), HYPERLINK(CONCATENATE("#Metadata!", ADDRESS(INDEX($AJ$2:$AJ$1001,MATCH(ROWS($AH$2:AH189),$AH$2:$AH$1001,0),0), INDEX($AO$1004:$BQ$1004,1,MATCH(COLUMNS($AO$1006:AP1006),$AO$1006:$BQ$1006,0)))),"Fix")))</f>
        <v>#N/A</v>
      </c>
      <c r="D189" s="5" t="e">
        <f ca="1">IF(OR(INDEX($AI$2:$AI$1001,MATCH(ROWS($AH$2:AH189),$AH$2:$AH$1001,0),1)&gt;=100000,INDEX($AO$1005:$BQ$1005,1,MATCH(COLUMNS($AO$1006:AQ1006),$AO$1006:$BQ$1006,0))&gt;=100000), " ",IF(INDEX($AO$2:$BQ$1001,MATCH(ROWS($AH$2:AH189),$AH$2:$AH$1001,0),MATCH(COLUMNS($AO$1006:AQ1006),$AO$1006:$BQ$1006,0)), HYPERLINK("#",""), HYPERLINK(CONCATENATE("#Metadata!", ADDRESS(INDEX($AJ$2:$AJ$1001,MATCH(ROWS($AH$2:AH189),$AH$2:$AH$1001,0),0), INDEX($AO$1004:$BQ$1004,1,MATCH(COLUMNS($AO$1006:AQ1006),$AO$1006:$BQ$1006,0)))),"Fix")))</f>
        <v>#N/A</v>
      </c>
      <c r="E189" s="5" t="e">
        <f ca="1">IF(OR(INDEX($AI$2:$AI$1001,MATCH(ROWS($AH$2:AH189),$AH$2:$AH$1001,0),1)&gt;=100000,INDEX($AO$1005:$BQ$1005,1,MATCH(COLUMNS($AO$1006:AR1006),$AO$1006:$BQ$1006,0))&gt;=100000), " ",IF(INDEX($AO$2:$BQ$1001,MATCH(ROWS($AH$2:AH189),$AH$2:$AH$1001,0),MATCH(COLUMNS($AO$1006:AR1006),$AO$1006:$BQ$1006,0)), HYPERLINK("#",""), HYPERLINK(CONCATENATE("#Metadata!", ADDRESS(INDEX($AJ$2:$AJ$1001,MATCH(ROWS($AH$2:AH189),$AH$2:$AH$1001,0),0), INDEX($AO$1004:$BQ$1004,1,MATCH(COLUMNS($AO$1006:AR1006),$AO$1006:$BQ$1006,0)))),"Fix")))</f>
        <v>#N/A</v>
      </c>
      <c r="F189" s="5" t="e">
        <f ca="1">IF(OR(INDEX($AI$2:$AI$1001,MATCH(ROWS($AH$2:AH189),$AH$2:$AH$1001,0),1)&gt;=100000,INDEX($AO$1005:$BQ$1005,1,MATCH(COLUMNS($AO$1006:AS1006),$AO$1006:$BQ$1006,0))&gt;=100000), " ",IF(INDEX($AO$2:$BQ$1001,MATCH(ROWS($AH$2:AH189),$AH$2:$AH$1001,0),MATCH(COLUMNS($AO$1006:AS1006),$AO$1006:$BQ$1006,0)), HYPERLINK("#",""), HYPERLINK(CONCATENATE("#Metadata!", ADDRESS(INDEX($AJ$2:$AJ$1001,MATCH(ROWS($AH$2:AH189),$AH$2:$AH$1001,0),0), INDEX($AO$1004:$BQ$1004,1,MATCH(COLUMNS($AO$1006:AS1006),$AO$1006:$BQ$1006,0)))),"Fix")))</f>
        <v>#N/A</v>
      </c>
      <c r="G189" s="5" t="e">
        <f ca="1">IF(OR(INDEX($AI$2:$AI$1001,MATCH(ROWS($AH$2:AH189),$AH$2:$AH$1001,0),1)&gt;=100000,INDEX($AO$1005:$BQ$1005,1,MATCH(COLUMNS($AO$1006:AT1006),$AO$1006:$BQ$1006,0))&gt;=100000), " ",IF(INDEX($AO$2:$BQ$1001,MATCH(ROWS($AH$2:AH189),$AH$2:$AH$1001,0),MATCH(COLUMNS($AO$1006:AT1006),$AO$1006:$BQ$1006,0)), HYPERLINK("#",""), HYPERLINK(CONCATENATE("#Metadata!", ADDRESS(INDEX($AJ$2:$AJ$1001,MATCH(ROWS($AH$2:AH189),$AH$2:$AH$1001,0),0), INDEX($AO$1004:$BQ$1004,1,MATCH(COLUMNS($AO$1006:AT1006),$AO$1006:$BQ$1006,0)))),"Fix")))</f>
        <v>#N/A</v>
      </c>
      <c r="H189" s="5" t="e">
        <f ca="1">IF(OR(INDEX($AI$2:$AI$1001,MATCH(ROWS($AH$2:AH189),$AH$2:$AH$1001,0),1)&gt;=100000,INDEX($AO$1005:$BQ$1005,1,MATCH(COLUMNS($AO$1006:AU1006),$AO$1006:$BQ$1006,0))&gt;=100000), " ",IF(INDEX($AO$2:$BQ$1001,MATCH(ROWS($AH$2:AH189),$AH$2:$AH$1001,0),MATCH(COLUMNS($AO$1006:AU1006),$AO$1006:$BQ$1006,0)), HYPERLINK("#",""), HYPERLINK(CONCATENATE("#Metadata!", ADDRESS(INDEX($AJ$2:$AJ$1001,MATCH(ROWS($AH$2:AH189),$AH$2:$AH$1001,0),0), INDEX($AO$1004:$BQ$1004,1,MATCH(COLUMNS($AO$1006:AU1006),$AO$1006:$BQ$1006,0)))),"Fix")))</f>
        <v>#N/A</v>
      </c>
      <c r="I189" s="5" t="e">
        <f ca="1">IF(OR(INDEX($AI$2:$AI$1001,MATCH(ROWS($AH$2:AH189),$AH$2:$AH$1001,0),1)&gt;=100000,INDEX($AO$1005:$BQ$1005,1,MATCH(COLUMNS($AO$1006:AV1006),$AO$1006:$BQ$1006,0))&gt;=100000), " ",IF(INDEX($AO$2:$BQ$1001,MATCH(ROWS($AH$2:AH189),$AH$2:$AH$1001,0),MATCH(COLUMNS($AO$1006:AV1006),$AO$1006:$BQ$1006,0)), HYPERLINK("#",""), HYPERLINK(CONCATENATE("#Metadata!", ADDRESS(INDEX($AJ$2:$AJ$1001,MATCH(ROWS($AH$2:AH189),$AH$2:$AH$1001,0),0), INDEX($AO$1004:$BQ$1004,1,MATCH(COLUMNS($AO$1006:AV1006),$AO$1006:$BQ$1006,0)))),"Fix")))</f>
        <v>#N/A</v>
      </c>
      <c r="J189" s="5" t="e">
        <f ca="1">IF(OR(INDEX($AI$2:$AI$1001,MATCH(ROWS($AH$2:AH189),$AH$2:$AH$1001,0),1)&gt;=100000,INDEX($AO$1005:$BQ$1005,1,MATCH(COLUMNS($AO$1006:AW1006),$AO$1006:$BQ$1006,0))&gt;=100000), " ",IF(INDEX($AO$2:$BQ$1001,MATCH(ROWS($AH$2:AH189),$AH$2:$AH$1001,0),MATCH(COLUMNS($AO$1006:AW1006),$AO$1006:$BQ$1006,0)), HYPERLINK("#",""), HYPERLINK(CONCATENATE("#Metadata!", ADDRESS(INDEX($AJ$2:$AJ$1001,MATCH(ROWS($AH$2:AH189),$AH$2:$AH$1001,0),0), INDEX($AO$1004:$BQ$1004,1,MATCH(COLUMNS($AO$1006:AW1006),$AO$1006:$BQ$1006,0)))),"Fix")))</f>
        <v>#N/A</v>
      </c>
      <c r="K189" s="5" t="e">
        <f ca="1">IF(OR(INDEX($AI$2:$AI$1001,MATCH(ROWS($AH$2:AH189),$AH$2:$AH$1001,0),1)&gt;=100000,INDEX($AO$1005:$BQ$1005,1,MATCH(COLUMNS($AO$1006:AX1006),$AO$1006:$BQ$1006,0))&gt;=100000), " ",IF(INDEX($AO$2:$BQ$1001,MATCH(ROWS($AH$2:AH189),$AH$2:$AH$1001,0),MATCH(COLUMNS($AO$1006:AX1006),$AO$1006:$BQ$1006,0)), HYPERLINK("#",""), HYPERLINK(CONCATENATE("#Metadata!", ADDRESS(INDEX($AJ$2:$AJ$1001,MATCH(ROWS($AH$2:AH189),$AH$2:$AH$1001,0),0), INDEX($AO$1004:$BQ$1004,1,MATCH(COLUMNS($AO$1006:AX1006),$AO$1006:$BQ$1006,0)))),"Fix")))</f>
        <v>#N/A</v>
      </c>
      <c r="L189" s="5" t="e">
        <f ca="1">IF(OR(INDEX($AI$2:$AI$1001,MATCH(ROWS($AH$2:AH189),$AH$2:$AH$1001,0),1)&gt;=100000,INDEX($AO$1005:$BQ$1005,1,MATCH(COLUMNS($AO$1006:AY1006),$AO$1006:$BQ$1006,0))&gt;=100000), " ",IF(INDEX($AO$2:$BQ$1001,MATCH(ROWS($AH$2:AH189),$AH$2:$AH$1001,0),MATCH(COLUMNS($AO$1006:AY1006),$AO$1006:$BQ$1006,0)), HYPERLINK("#",""), HYPERLINK(CONCATENATE("#Metadata!", ADDRESS(INDEX($AJ$2:$AJ$1001,MATCH(ROWS($AH$2:AH189),$AH$2:$AH$1001,0),0), INDEX($AO$1004:$BQ$1004,1,MATCH(COLUMNS($AO$1006:AY1006),$AO$1006:$BQ$1006,0)))),"Fix")))</f>
        <v>#N/A</v>
      </c>
      <c r="M189" s="5" t="e">
        <f ca="1">IF(OR(INDEX($AI$2:$AI$1001,MATCH(ROWS($AH$2:AH189),$AH$2:$AH$1001,0),1)&gt;=100000,INDEX($AO$1005:$BQ$1005,1,MATCH(COLUMNS($AO$1006:AZ1006),$AO$1006:$BQ$1006,0))&gt;=100000), " ",IF(INDEX($AO$2:$BQ$1001,MATCH(ROWS($AH$2:AH189),$AH$2:$AH$1001,0),MATCH(COLUMNS($AO$1006:AZ1006),$AO$1006:$BQ$1006,0)), HYPERLINK("#",""), HYPERLINK(CONCATENATE("#Metadata!", ADDRESS(INDEX($AJ$2:$AJ$1001,MATCH(ROWS($AH$2:AH189),$AH$2:$AH$1001,0),0), INDEX($AO$1004:$BQ$1004,1,MATCH(COLUMNS($AO$1006:AZ1006),$AO$1006:$BQ$1006,0)))),"Fix")))</f>
        <v>#N/A</v>
      </c>
      <c r="N189" s="5" t="e">
        <f ca="1">IF(OR(INDEX($AI$2:$AI$1001,MATCH(ROWS($AH$2:AH189),$AH$2:$AH$1001,0),1)&gt;=100000,INDEX($AO$1005:$BQ$1005,1,MATCH(COLUMNS($AO$1006:BA1006),$AO$1006:$BQ$1006,0))&gt;=100000), " ",IF(INDEX($AO$2:$BQ$1001,MATCH(ROWS($AH$2:AH189),$AH$2:$AH$1001,0),MATCH(COLUMNS($AO$1006:BA1006),$AO$1006:$BQ$1006,0)), HYPERLINK("#",""), HYPERLINK(CONCATENATE("#Metadata!", ADDRESS(INDEX($AJ$2:$AJ$1001,MATCH(ROWS($AH$2:AH189),$AH$2:$AH$1001,0),0), INDEX($AO$1004:$BQ$1004,1,MATCH(COLUMNS($AO$1006:BA1006),$AO$1006:$BQ$1006,0)))),"Fix")))</f>
        <v>#N/A</v>
      </c>
      <c r="O189" s="5" t="e">
        <f ca="1">IF(OR(INDEX($AI$2:$AI$1001,MATCH(ROWS($AH$2:AH189),$AH$2:$AH$1001,0),1)&gt;=100000,INDEX($AO$1005:$BQ$1005,1,MATCH(COLUMNS($AO$1006:BB1006),$AO$1006:$BQ$1006,0))&gt;=100000), " ",IF(INDEX($AO$2:$BQ$1001,MATCH(ROWS($AH$2:AH189),$AH$2:$AH$1001,0),MATCH(COLUMNS($AO$1006:BB1006),$AO$1006:$BQ$1006,0)), HYPERLINK("#",""), HYPERLINK(CONCATENATE("#Metadata!", ADDRESS(INDEX($AJ$2:$AJ$1001,MATCH(ROWS($AH$2:AH189),$AH$2:$AH$1001,0),0), INDEX($AO$1004:$BQ$1004,1,MATCH(COLUMNS($AO$1006:BB1006),$AO$1006:$BQ$1006,0)))),"Fix")))</f>
        <v>#N/A</v>
      </c>
      <c r="P189" s="5" t="e">
        <f ca="1">IF(OR(INDEX($AI$2:$AI$1001,MATCH(ROWS($AH$2:AH189),$AH$2:$AH$1001,0),1)&gt;=100000,INDEX($AO$1005:$BQ$1005,1,MATCH(COLUMNS($AO$1006:BC1006),$AO$1006:$BQ$1006,0))&gt;=100000), " ",IF(INDEX($AO$2:$BQ$1001,MATCH(ROWS($AH$2:AH189),$AH$2:$AH$1001,0),MATCH(COLUMNS($AO$1006:BC1006),$AO$1006:$BQ$1006,0)), HYPERLINK("#",""), HYPERLINK(CONCATENATE("#Metadata!", ADDRESS(INDEX($AJ$2:$AJ$1001,MATCH(ROWS($AH$2:AH189),$AH$2:$AH$1001,0),0), INDEX($AO$1004:$BQ$1004,1,MATCH(COLUMNS($AO$1006:BC1006),$AO$1006:$BQ$1006,0)))),"Fix")))</f>
        <v>#N/A</v>
      </c>
      <c r="Q189" s="5" t="e">
        <f ca="1">IF(OR(INDEX($AI$2:$AI$1001,MATCH(ROWS($AH$2:AH189),$AH$2:$AH$1001,0),1)&gt;=100000,INDEX($AO$1005:$BQ$1005,1,MATCH(COLUMNS($AO$1006:BD1006),$AO$1006:$BQ$1006,0))&gt;=100000), " ",IF(INDEX($AO$2:$BQ$1001,MATCH(ROWS($AH$2:AH189),$AH$2:$AH$1001,0),MATCH(COLUMNS($AO$1006:BD1006),$AO$1006:$BQ$1006,0)), HYPERLINK("#",""), HYPERLINK(CONCATENATE("#Metadata!", ADDRESS(INDEX($AJ$2:$AJ$1001,MATCH(ROWS($AH$2:AH189),$AH$2:$AH$1001,0),0), INDEX($AO$1004:$BQ$1004,1,MATCH(COLUMNS($AO$1006:BD1006),$AO$1006:$BQ$1006,0)))),"Fix")))</f>
        <v>#N/A</v>
      </c>
      <c r="R189" s="5" t="e">
        <f ca="1">IF(OR(INDEX($AI$2:$AI$1001,MATCH(ROWS($AH$2:AH189),$AH$2:$AH$1001,0),1)&gt;=100000,INDEX($AO$1005:$BQ$1005,1,MATCH(COLUMNS($AO$1006:BE1006),$AO$1006:$BQ$1006,0))&gt;=100000), " ",IF(INDEX($AO$2:$BQ$1001,MATCH(ROWS($AH$2:AH189),$AH$2:$AH$1001,0),MATCH(COLUMNS($AO$1006:BE1006),$AO$1006:$BQ$1006,0)), HYPERLINK("#",""), HYPERLINK(CONCATENATE("#Metadata!", ADDRESS(INDEX($AJ$2:$AJ$1001,MATCH(ROWS($AH$2:AH189),$AH$2:$AH$1001,0),0), INDEX($AO$1004:$BQ$1004,1,MATCH(COLUMNS($AO$1006:BE1006),$AO$1006:$BQ$1006,0)))),"Fix")))</f>
        <v>#N/A</v>
      </c>
      <c r="S189" s="5" t="e">
        <f ca="1">IF(OR(INDEX($AI$2:$AI$1001,MATCH(ROWS($AH$2:AH189),$AH$2:$AH$1001,0),1)&gt;=100000,INDEX($AO$1005:$BQ$1005,1,MATCH(COLUMNS($AO$1006:BF1006),$AO$1006:$BQ$1006,0))&gt;=100000), " ",IF(INDEX($AO$2:$BQ$1001,MATCH(ROWS($AH$2:AH189),$AH$2:$AH$1001,0),MATCH(COLUMNS($AO$1006:BF1006),$AO$1006:$BQ$1006,0)), HYPERLINK("#",""), HYPERLINK(CONCATENATE("#Metadata!", ADDRESS(INDEX($AJ$2:$AJ$1001,MATCH(ROWS($AH$2:AH189),$AH$2:$AH$1001,0),0), INDEX($AO$1004:$BQ$1004,1,MATCH(COLUMNS($AO$1006:BF1006),$AO$1006:$BQ$1006,0)))),"Fix")))</f>
        <v>#N/A</v>
      </c>
      <c r="T189" s="5" t="e">
        <f ca="1">IF(OR(INDEX($AI$2:$AI$1001,MATCH(ROWS($AH$2:AH189),$AH$2:$AH$1001,0),1)&gt;=100000,INDEX($AO$1005:$BQ$1005,1,MATCH(COLUMNS($AO$1006:BG1006),$AO$1006:$BQ$1006,0))&gt;=100000), " ",IF(INDEX($AO$2:$BQ$1001,MATCH(ROWS($AH$2:AH189),$AH$2:$AH$1001,0),MATCH(COLUMNS($AO$1006:BG1006),$AO$1006:$BQ$1006,0)), HYPERLINK("#",""), HYPERLINK(CONCATENATE("#Metadata!", ADDRESS(INDEX($AJ$2:$AJ$1001,MATCH(ROWS($AH$2:AH189),$AH$2:$AH$1001,0),0), INDEX($AO$1004:$BQ$1004,1,MATCH(COLUMNS($AO$1006:BG1006),$AO$1006:$BQ$1006,0)))),"Fix")))</f>
        <v>#N/A</v>
      </c>
      <c r="U189" s="5" t="e">
        <f ca="1">IF(OR(INDEX($AI$2:$AI$1001,MATCH(ROWS($AH$2:AH189),$AH$2:$AH$1001,0),1)&gt;=100000,INDEX($AO$1005:$BQ$1005,1,MATCH(COLUMNS($AO$1006:BH1006),$AO$1006:$BQ$1006,0))&gt;=100000), " ",IF(INDEX($AO$2:$BQ$1001,MATCH(ROWS($AH$2:AH189),$AH$2:$AH$1001,0),MATCH(COLUMNS($AO$1006:BH1006),$AO$1006:$BQ$1006,0)), HYPERLINK("#",""), HYPERLINK(CONCATENATE("#Metadata!", ADDRESS(INDEX($AJ$2:$AJ$1001,MATCH(ROWS($AH$2:AH189),$AH$2:$AH$1001,0),0), INDEX($AO$1004:$BQ$1004,1,MATCH(COLUMNS($AO$1006:BH1006),$AO$1006:$BQ$1006,0)))),"Fix")))</f>
        <v>#N/A</v>
      </c>
      <c r="V189" s="5" t="e">
        <f ca="1">IF(OR(INDEX($AI$2:$AI$1001,MATCH(ROWS($AH$2:AH189),$AH$2:$AH$1001,0),1)&gt;=100000,INDEX($AO$1005:$BQ$1005,1,MATCH(COLUMNS($AO$1006:BI1006),$AO$1006:$BQ$1006,0))&gt;=100000), " ",IF(INDEX($AO$2:$BQ$1001,MATCH(ROWS($AH$2:AH189),$AH$2:$AH$1001,0),MATCH(COLUMNS($AO$1006:BI1006),$AO$1006:$BQ$1006,0)), HYPERLINK("#",""), HYPERLINK(CONCATENATE("#Metadata!", ADDRESS(INDEX($AJ$2:$AJ$1001,MATCH(ROWS($AH$2:AH189),$AH$2:$AH$1001,0),0), INDEX($AO$1004:$BQ$1004,1,MATCH(COLUMNS($AO$1006:BI1006),$AO$1006:$BQ$1006,0)))),"Fix")))</f>
        <v>#N/A</v>
      </c>
      <c r="W189" s="5" t="e">
        <f ca="1">IF(OR(INDEX($AI$2:$AI$1001,MATCH(ROWS($AH$2:AH189),$AH$2:$AH$1001,0),1)&gt;=100000,INDEX($AO$1005:$BQ$1005,1,MATCH(COLUMNS($AO$1006:BJ1006),$AO$1006:$BQ$1006,0))&gt;=100000), " ",IF(INDEX($AO$2:$BQ$1001,MATCH(ROWS($AH$2:AH189),$AH$2:$AH$1001,0),MATCH(COLUMNS($AO$1006:BJ1006),$AO$1006:$BQ$1006,0)), HYPERLINK("#",""), HYPERLINK(CONCATENATE("#Metadata!", ADDRESS(INDEX($AJ$2:$AJ$1001,MATCH(ROWS($AH$2:AH189),$AH$2:$AH$1001,0),0), INDEX($AO$1004:$BQ$1004,1,MATCH(COLUMNS($AO$1006:BJ1006),$AO$1006:$BQ$1006,0)))),"Fix")))</f>
        <v>#N/A</v>
      </c>
      <c r="X189" s="5" t="e">
        <f ca="1">IF(OR(INDEX($AI$2:$AI$1001,MATCH(ROWS($AH$2:AH189),$AH$2:$AH$1001,0),1)&gt;=100000,INDEX($AO$1005:$BQ$1005,1,MATCH(COLUMNS($AO$1006:BK1006),$AO$1006:$BQ$1006,0))&gt;=100000), " ",IF(INDEX($AO$2:$BQ$1001,MATCH(ROWS($AH$2:AH189),$AH$2:$AH$1001,0),MATCH(COLUMNS($AO$1006:BK1006),$AO$1006:$BQ$1006,0)), HYPERLINK("#",""), HYPERLINK(CONCATENATE("#Metadata!", ADDRESS(INDEX($AJ$2:$AJ$1001,MATCH(ROWS($AH$2:AH189),$AH$2:$AH$1001,0),0), INDEX($AO$1004:$BQ$1004,1,MATCH(COLUMNS($AO$1006:BK1006),$AO$1006:$BQ$1006,0)))),"Fix")))</f>
        <v>#N/A</v>
      </c>
      <c r="Y189" s="5" t="e">
        <f ca="1">IF(OR(INDEX($AI$2:$AI$1001,MATCH(ROWS($AH$2:AH189),$AH$2:$AH$1001,0),1)&gt;=100000,INDEX($AO$1005:$BQ$1005,1,MATCH(COLUMNS($AO$1006:BL1006),$AO$1006:$BQ$1006,0))&gt;=100000), " ",IF(INDEX($AO$2:$BQ$1001,MATCH(ROWS($AH$2:AH189),$AH$2:$AH$1001,0),MATCH(COLUMNS($AO$1006:BL1006),$AO$1006:$BQ$1006,0)), HYPERLINK("#",""), HYPERLINK(CONCATENATE("#Metadata!", ADDRESS(INDEX($AJ$2:$AJ$1001,MATCH(ROWS($AH$2:AH189),$AH$2:$AH$1001,0),0), INDEX($AO$1004:$BQ$1004,1,MATCH(COLUMNS($AO$1006:BL1006),$AO$1006:$BQ$1006,0)))),"Fix")))</f>
        <v>#N/A</v>
      </c>
      <c r="Z189" s="5" t="e">
        <f ca="1">IF(OR(INDEX($AI$2:$AI$1001,MATCH(ROWS($AH$2:AH189),$AH$2:$AH$1001,0),1)&gt;=100000,INDEX($AO$1005:$BQ$1005,1,MATCH(COLUMNS($AO$1006:BM1006),$AO$1006:$BQ$1006,0))&gt;=100000), " ",IF(INDEX($AO$2:$BQ$1001,MATCH(ROWS($AH$2:AH189),$AH$2:$AH$1001,0),MATCH(COLUMNS($AO$1006:BM1006),$AO$1006:$BQ$1006,0)), HYPERLINK("#",""), HYPERLINK(CONCATENATE("#Metadata!", ADDRESS(INDEX($AJ$2:$AJ$1001,MATCH(ROWS($AH$2:AH189),$AH$2:$AH$1001,0),0), INDEX($AO$1004:$BQ$1004,1,MATCH(COLUMNS($AO$1006:BM1006),$AO$1006:$BQ$1006,0)))),"Fix")))</f>
        <v>#N/A</v>
      </c>
      <c r="AA189" s="5" t="e">
        <f ca="1">IF(OR(INDEX($AI$2:$AI$1001,MATCH(ROWS($AH$2:AH189),$AH$2:$AH$1001,0),1)&gt;=100000,INDEX($AO$1005:$BQ$1005,1,MATCH(COLUMNS($AO$1006:BN1006),$AO$1006:$BQ$1006,0))&gt;=100000), " ",IF(INDEX($AO$2:$BQ$1001,MATCH(ROWS($AH$2:AH189),$AH$2:$AH$1001,0),MATCH(COLUMNS($AO$1006:BN1006),$AO$1006:$BQ$1006,0)), HYPERLINK("#",""), HYPERLINK(CONCATENATE("#Metadata!", ADDRESS(INDEX($AJ$2:$AJ$1001,MATCH(ROWS($AH$2:AH189),$AH$2:$AH$1001,0),0), INDEX($AO$1004:$BQ$1004,1,MATCH(COLUMNS($AO$1006:BN1006),$AO$1006:$BQ$1006,0)))),"Fix")))</f>
        <v>#N/A</v>
      </c>
      <c r="AB189" s="5" t="e">
        <f ca="1">IF(OR(INDEX($AI$2:$AI$1001,MATCH(ROWS($AH$2:AH189),$AH$2:$AH$1001,0),1)&gt;=100000,INDEX($AO$1005:$BQ$1005,1,MATCH(COLUMNS($AO$1006:BO1006),$AO$1006:$BQ$1006,0))&gt;=100000), " ",IF(INDEX($AO$2:$BQ$1001,MATCH(ROWS($AH$2:AH189),$AH$2:$AH$1001,0),MATCH(COLUMNS($AO$1006:BO1006),$AO$1006:$BQ$1006,0)), HYPERLINK("#",""), HYPERLINK(CONCATENATE("#Metadata!", ADDRESS(INDEX($AJ$2:$AJ$1001,MATCH(ROWS($AH$2:AH189),$AH$2:$AH$1001,0),0), INDEX($AO$1004:$BQ$1004,1,MATCH(COLUMNS($AO$1006:BO1006),$AO$1006:$BQ$1006,0)))),"Fix")))</f>
        <v>#N/A</v>
      </c>
      <c r="AC189" s="5" t="e">
        <f ca="1">IF(OR(INDEX($AI$2:$AI$1001,MATCH(ROWS($AH$2:AH189),$AH$2:$AH$1001,0),1)&gt;=100000,INDEX($AO$1005:$BQ$1005,1,MATCH(COLUMNS($AO$1006:BP1006),$AO$1006:$BQ$1006,0))&gt;=100000), " ",IF(INDEX($AO$2:$BQ$1001,MATCH(ROWS($AH$2:AH189),$AH$2:$AH$1001,0),MATCH(COLUMNS($AO$1006:BP1006),$AO$1006:$BQ$1006,0)), HYPERLINK("#",""), HYPERLINK(CONCATENATE("#Metadata!", ADDRESS(INDEX($AJ$2:$AJ$1001,MATCH(ROWS($AH$2:AH189),$AH$2:$AH$1001,0),0), INDEX($AO$1004:$BQ$1004,1,MATCH(COLUMNS($AO$1006:BP1006),$AO$1006:$BQ$1006,0)))),"Fix")))</f>
        <v>#N/A</v>
      </c>
      <c r="AD189" s="5" t="e">
        <f ca="1">IF(OR(INDEX($AI$2:$AI$1001,MATCH(ROWS($AH$2:AH189),$AH$2:$AH$1001,0),1)&gt;=100000,INDEX($AO$1005:$BQ$1005,1,MATCH(COLUMNS($AO$1006:BQ1006),$AO$1006:$BQ$1006,0))&gt;=100000), " ",IF(INDEX($AO$2:$BQ$1001,MATCH(ROWS($AH$2:AH189),$AH$2:$AH$1001,0),MATCH(COLUMNS($AO$1006:BQ1006),$AO$1006:$BQ$1006,0)), HYPERLINK("#",""), HYPERLINK(CONCATENATE("#Metadata!", ADDRESS(INDEX($AJ$2:$AJ$1001,MATCH(ROWS($AH$2:AH189),$AH$2:$AH$1001,0),0), INDEX($AO$1004:$BQ$1004,1,MATCH(COLUMNS($AO$1006:BQ1006),$AO$1006:$BQ$1006,0)))),"Fix")))</f>
        <v>#REF!</v>
      </c>
      <c r="AH189">
        <f ca="1"/>
        <v>186</v>
      </c>
      <c r="AI189">
        <v>100189</v>
      </c>
      <c r="AJ189">
        <v>189</v>
      </c>
      <c r="AK189" t="b">
        <f t="shared" si="2"/>
        <v>1</v>
      </c>
      <c r="AL189" t="b">
        <f>COUNTBLANK(Metadata!B189:AD189)=COLUMNS(Metadata!B189:AD189)</f>
        <v>1</v>
      </c>
      <c r="AM189" t="str">
        <v/>
      </c>
      <c r="AO189" t="b">
        <f ca="1">AND(IF(Metadata!B189="",FALSE,TRUE),COUNTIF(Metadata!B:B, Metadata!B189) = 1,NOT(ISERROR(SUMPRODUCT(SEARCH(MID(Metadata!B189,ROW(INDIRECT("1:"&amp;LEN(Metadata!B189))), 1),"0123456789abcdefghijklmnopqrstuvwxyzABCDEFGHIJKLMNOPQRSTUVWXYZ.")))))</f>
        <v>0</v>
      </c>
      <c r="AP189" t="b">
        <f>IF(Metadata!C189="",FALSE,TRUE)</f>
        <v>0</v>
      </c>
      <c r="AQ189" t="b">
        <f>IF(Metadata!D189="",FALSE,TRUE)</f>
        <v>0</v>
      </c>
      <c r="AR189" t="b">
        <f ca="1">OR(AND(IF(Metadata!E189="",FALSE,TRUE),OR(EXACT(Metadata!E189,"not collected"),EXACT(Metadata!E189,"not provided"),EXACT(Metadata!E189,"restricted access"))),AND(IF(Metadata!E189="",FALSE,TRUE),AND(AND(IFERROR(INT(LEFT(Metadata!E189,4))&gt;1900,FALSE),IFERROR(INT(LEFT(Metadata!E189,4))&lt;=YEAR(NOW()),FALSE)), OR(MID(Metadata!E189,5,1)="", AND(AND(MID(Metadata!E189,5,1)="-",IFERROR(INT(MID(Metadata!E189,6,1))&gt;=0,FALSE),IFERROR(INT(MID(Metadata!E189,6,1))&lt;=1,FALSE),NOT(MID(Metadata!E189,7,1)=""),IFERROR(INT(MID(Metadata!E189,6,2))&gt;=1,FALSE),IFERROR(INT(MID(Metadata!E189,6,2))&lt;=12,FALSE)), OR(MID(Metadata!E189,8,1)="", AND(AND(MID(Metadata!E189,8,1)="-",IFERROR(INT(MID(Metadata!E189,9,1))&gt;=0,FALSE),IFERROR(INT(MID(Metadata!E189,9,1))&lt;=3,FALSE),NOT(MID(Metadata!E189,10,1)=""),IFERROR(INT(MID(Metadata!E189,9,2))&gt;=1,FALSE),IFERROR(INT(MID(Metadata!E189,9,2))&lt;=31,FALSE)), OR(MID(Metadata!E189,11,1)="", AND(AND(MID(Metadata!E189,11,1)=" ",IFERROR(INT(MID(Metadata!E189,12,1))&gt;=0,FALSE),IFERROR(INT(MID(Metadata!E189,12,1))&lt;=2,FALSE),NOT(MID(Metadata!E189,13,1)=""),IFERROR(INT(MID(Metadata!E189,12,2))&gt;=0,FALSE),IFERROR(INT(MID(Metadata!E189,12,2))&lt;=23,FALSE)), OR(MID(Metadata!E189,14,1)="", AND(AND(MID(Metadata!E189,14,1)=":",IFERROR(INT(MID(Metadata!E189,15,1))&gt;=0,FALSE),IFERROR(INT(MID(Metadata!E189,15,1))&lt;=5,FALSE),NOT(MID(Metadata!E189,16,1)=""),IFERROR(INT(MID(Metadata!E189,15,2))&gt;=0,FALSE),IFERROR(INT(MID(Metadata!E189,15,2))&lt;=59,FALSE)), OR(MID(Metadata!E189,17,1)="", AND(AND(MID(Metadata!E189,17,1)=":",IFERROR(INT(MID(Metadata!E189,18,1))&gt;=0,FALSE),IFERROR(INT(MID(Metadata!E189,18,1))&lt;=5,FALSE),NOT(MID(Metadata!E189,19,1)=""),IFERROR(INT(MID(Metadata!E189,18,2))&gt;=0,FALSE),IFERROR(INT(MID(Metadata!E189,18,2))&lt;=59,FALSE)), LEN(Metadata!E189)&lt;=19)))))))))))))</f>
        <v>0</v>
      </c>
      <c r="AS189" t="b">
        <f>IF(Metadata!F189="",FALSE,TRUE)</f>
        <v>0</v>
      </c>
      <c r="AT189" t="b">
        <f>OR(AND(IF(Metadata!G189="",FALSE,TRUE),OR(EXACT(Metadata!G189,"not collected"),EXACT(Metadata!G189,"not provided"))),AND(IF(Metadata!G189="",FALSE,TRUE),OR(EXACT(Metadata!G189,"TRUE"),EXACT(Metadata!G189,"FALSE"))))</f>
        <v>0</v>
      </c>
      <c r="AU189" t="b">
        <f>OR(AND(IF(Metadata!H189="",FALSE,TRUE),OR(EXACT(Metadata!H189,"not collected"),EXACT(Metadata!H189,"not provided"),EXACT(Metadata!H189,"restricted access"))),AND(IF(Metadata!H189="",FALSE,ISNUMBER(VALUE(Metadata!H189))),Metadata!H189&gt;=-413))</f>
        <v>0</v>
      </c>
      <c r="AV189" t="b">
        <f>AND(IF(Metadata!I189="",FALSE,TRUE),EXACT(Metadata!I189,"meters"))</f>
        <v>0</v>
      </c>
      <c r="AW189" t="b">
        <f>AND(IF(Metadata!J189="",FALSE,TRUE),EXACT(Metadata!J189,"free-living"))</f>
        <v>0</v>
      </c>
      <c r="AX189" t="b">
        <f>AND(IF(Metadata!K189="",FALSE,TRUE),OR(EXACT(Metadata!K189,"saline"),EXACT(Metadata!K189,"non-saline")))</f>
        <v>0</v>
      </c>
      <c r="AY189" t="b">
        <f>AND(IF(Metadata!L189="",FALSE,TRUE),OR(EXACT(Metadata!L189,"sub-surface (non-saline)"),EXACT(Metadata!L189,"surface (non-saline)"),EXACT(Metadata!L189,"water (non-saline)"),EXACT(Metadata!L189,"soil (non-saline)"),EXACT(Metadata!L189,"aerosol (non-saline)"),EXACT(Metadata!L189,"sediment (non-saline)"),EXACT(Metadata!L189,"surface (saline)"),EXACT(Metadata!L189,"water (saline)"),EXACT(Metadata!L189,"hypersaline (saline)"),EXACT(Metadata!L189,"aerosol (saline)"),EXACT(Metadata!L189,"sediment (saline)")))</f>
        <v>0</v>
      </c>
      <c r="AZ189" t="b">
        <f>IF(Metadata!M189="",FALSE,TRUE)</f>
        <v>0</v>
      </c>
      <c r="BA189" t="b">
        <f>IF(Metadata!N189="",FALSE,TRUE)</f>
        <v>0</v>
      </c>
      <c r="BB189" t="b">
        <f>IF(Metadata!O189="",FALSE,TRUE)</f>
        <v>0</v>
      </c>
      <c r="BC189" t="b">
        <f>AND(IF(Metadata!P189="",FALSE,TRUE),OR(EXACT(Metadata!P189,"air"),EXACT(Metadata!P189,"microbial mat/biofilm"),EXACT(Metadata!P189,"misc environment"),EXACT(Metadata!P189,"sediment"),EXACT(Metadata!P189,"soil"),EXACT(Metadata!P189,"wastewater/sludge"),EXACT(Metadata!P189,"water")))</f>
        <v>0</v>
      </c>
      <c r="BD189" t="b">
        <f>IF(Metadata!Q189="",FALSE,TRUE)</f>
        <v>0</v>
      </c>
      <c r="BE189" t="b">
        <f>IF(Metadata!R189="",FALSE,TRUE)</f>
        <v>0</v>
      </c>
      <c r="BF189" t="b">
        <f>OR(AND(IF(Metadata!S189="",FALSE,TRUE),OR(EXACT(Metadata!S189,"not collected"),EXACT(Metadata!S189,"not provided"),EXACT(Metadata!S189,"restricted access"))),AND(IF(Metadata!S189="",FALSE,ISNUMBER(VALUE(Metadata!S189))),Metadata!S189&gt;=-90,Metadata!S189&lt;=90))</f>
        <v>0</v>
      </c>
      <c r="BG189" t="b">
        <f>AND(IF(Metadata!T189="",FALSE,TRUE),EXACT(Metadata!T189,"Decimal degrees"))</f>
        <v>0</v>
      </c>
      <c r="BH189" t="b">
        <f>OR(AND(IF(Metadata!U189="",FALSE,TRUE),OR(EXACT(Metadata!U189,"not applicable"),EXACT(Metadata!U189,"not collected"))),IF(Metadata!U189="",FALSE,TRUE))</f>
        <v>0</v>
      </c>
      <c r="BI189" t="b">
        <f>OR(AND(IF(Metadata!V189="",FALSE,TRUE),OR(EXACT(Metadata!V189,"not collected"),EXACT(Metadata!V189,"not provided"),EXACT(Metadata!V189,"restricted access"))),AND(IF(Metadata!V189="",FALSE,ISNUMBER(VALUE(Metadata!V189))),Metadata!V189&gt;=-180,Metadata!V189&lt;=180))</f>
        <v>0</v>
      </c>
      <c r="BJ189" t="b">
        <f>AND(IF(Metadata!W189="",FALSE,TRUE),EXACT(Metadata!W189,"Decimal degrees"))</f>
        <v>0</v>
      </c>
      <c r="BK189" t="b">
        <f>IF(Metadata!X189="",FALSE,TRUE)</f>
        <v>0</v>
      </c>
      <c r="BL189" t="b">
        <f>OR(AND(IF(Metadata!Y189="",FALSE,TRUE),OR(EXACT(Metadata!Y189,"not collected"),EXACT(Metadata!Y189,"not provided"),EXACT(Metadata!Y189,"restricted access"))),AND(IF(Metadata!Y189="",FALSE,TRUE),OR(EXACT(Metadata!Y189,"TRUE"),EXACT(Metadata!Y189,"FALSE"))))</f>
        <v>0</v>
      </c>
      <c r="BM189" t="b">
        <f>OR(AND(IF(Metadata!Z189="",FALSE,TRUE),EXACT(Metadata!Z189,"not applicable")),AND(IF(Metadata!Z189="",FALSE,TRUE),OR(EXACT(Metadata!Z189,"beer"),EXACT(Metadata!Z189,"cheese"),EXACT(Metadata!Z189,"fresh water"),EXACT(Metadata!Z189,"marine sediment"),EXACT(Metadata!Z189,"sea water"),EXACT(Metadata!Z189,"sediment"),EXACT(Metadata!Z189,"soil"),EXACT(Metadata!Z189,"waste water"))))</f>
        <v>0</v>
      </c>
      <c r="BN189" t="b">
        <f>AND(IF(Metadata!AA189="",FALSE,TRUE),EXACT(Metadata!AA189,"metagenome"))</f>
        <v>0</v>
      </c>
      <c r="BO189" t="b">
        <f>AND(IF(Metadata!AB189="",FALSE,TRUE),EXACT(Metadata!AB189,"256318"))</f>
        <v>0</v>
      </c>
      <c r="BP189" t="b">
        <f>IF(Metadata!AC189="",FALSE,TRUE)</f>
        <v>0</v>
      </c>
      <c r="BQ189" t="b">
        <f>IF(Metadata!AD189="",FALSE,TRUE)</f>
        <v>0</v>
      </c>
    </row>
    <row r="190" spans="1:69" x14ac:dyDescent="0.2">
      <c r="A190" s="4" t="e">
        <f ca="1">IF(B190=" "," ",HYPERLINK(CONCATENATE("#metadata!",ADDRESS(INDEX($AJ$2:$AJ$1001,MATCH(ROWS($AH$2:AH190),$AH$2:$AH$1001,0),0),2)),INDEX($AM$2:$AM$1001,MATCH(ROWS($AH$2:AH190),$AH$2:$AH$1001,0),0)))</f>
        <v>#N/A</v>
      </c>
      <c r="B190" s="5" t="e">
        <f ca="1">IF(OR(INDEX($AI$2:$AI$1001,MATCH(ROWS($AH$2:AH190),$AH$2:$AH$1001,0),1)&gt;=100000,INDEX($AO$1005:$BQ$1005,1,MATCH(COLUMNS($AO$1006:AO1006),$AO$1006:$BQ$1006,0))&gt;=100000), " ",IF(INDEX($AO$2:$BQ$1001,MATCH(ROWS($AH$2:AH190),$AH$2:$AH$1001,0),MATCH(COLUMNS($AO$1006:AO1006),$AO$1006:$BQ$1006,0)), HYPERLINK("#",""), HYPERLINK(CONCATENATE("#Metadata!", ADDRESS(INDEX($AJ$2:$AJ$1001,MATCH(ROWS($AH$2:AH190),$AH$2:$AH$1001,0),0), INDEX($AO$1004:$BQ$1004,1,MATCH(COLUMNS($AO$1006:AO1006),$AO$1006:$BQ$1006,0)))),"Fix")))</f>
        <v>#N/A</v>
      </c>
      <c r="C190" s="5" t="e">
        <f ca="1">IF(OR(INDEX($AI$2:$AI$1001,MATCH(ROWS($AH$2:AH190),$AH$2:$AH$1001,0),1)&gt;=100000,INDEX($AO$1005:$BQ$1005,1,MATCH(COLUMNS($AO$1006:AP1006),$AO$1006:$BQ$1006,0))&gt;=100000), " ",IF(INDEX($AO$2:$BQ$1001,MATCH(ROWS($AH$2:AH190),$AH$2:$AH$1001,0),MATCH(COLUMNS($AO$1006:AP1006),$AO$1006:$BQ$1006,0)), HYPERLINK("#",""), HYPERLINK(CONCATENATE("#Metadata!", ADDRESS(INDEX($AJ$2:$AJ$1001,MATCH(ROWS($AH$2:AH190),$AH$2:$AH$1001,0),0), INDEX($AO$1004:$BQ$1004,1,MATCH(COLUMNS($AO$1006:AP1006),$AO$1006:$BQ$1006,0)))),"Fix")))</f>
        <v>#N/A</v>
      </c>
      <c r="D190" s="5" t="e">
        <f ca="1">IF(OR(INDEX($AI$2:$AI$1001,MATCH(ROWS($AH$2:AH190),$AH$2:$AH$1001,0),1)&gt;=100000,INDEX($AO$1005:$BQ$1005,1,MATCH(COLUMNS($AO$1006:AQ1006),$AO$1006:$BQ$1006,0))&gt;=100000), " ",IF(INDEX($AO$2:$BQ$1001,MATCH(ROWS($AH$2:AH190),$AH$2:$AH$1001,0),MATCH(COLUMNS($AO$1006:AQ1006),$AO$1006:$BQ$1006,0)), HYPERLINK("#",""), HYPERLINK(CONCATENATE("#Metadata!", ADDRESS(INDEX($AJ$2:$AJ$1001,MATCH(ROWS($AH$2:AH190),$AH$2:$AH$1001,0),0), INDEX($AO$1004:$BQ$1004,1,MATCH(COLUMNS($AO$1006:AQ1006),$AO$1006:$BQ$1006,0)))),"Fix")))</f>
        <v>#N/A</v>
      </c>
      <c r="E190" s="5" t="e">
        <f ca="1">IF(OR(INDEX($AI$2:$AI$1001,MATCH(ROWS($AH$2:AH190),$AH$2:$AH$1001,0),1)&gt;=100000,INDEX($AO$1005:$BQ$1005,1,MATCH(COLUMNS($AO$1006:AR1006),$AO$1006:$BQ$1006,0))&gt;=100000), " ",IF(INDEX($AO$2:$BQ$1001,MATCH(ROWS($AH$2:AH190),$AH$2:$AH$1001,0),MATCH(COLUMNS($AO$1006:AR1006),$AO$1006:$BQ$1006,0)), HYPERLINK("#",""), HYPERLINK(CONCATENATE("#Metadata!", ADDRESS(INDEX($AJ$2:$AJ$1001,MATCH(ROWS($AH$2:AH190),$AH$2:$AH$1001,0),0), INDEX($AO$1004:$BQ$1004,1,MATCH(COLUMNS($AO$1006:AR1006),$AO$1006:$BQ$1006,0)))),"Fix")))</f>
        <v>#N/A</v>
      </c>
      <c r="F190" s="5" t="e">
        <f ca="1">IF(OR(INDEX($AI$2:$AI$1001,MATCH(ROWS($AH$2:AH190),$AH$2:$AH$1001,0),1)&gt;=100000,INDEX($AO$1005:$BQ$1005,1,MATCH(COLUMNS($AO$1006:AS1006),$AO$1006:$BQ$1006,0))&gt;=100000), " ",IF(INDEX($AO$2:$BQ$1001,MATCH(ROWS($AH$2:AH190),$AH$2:$AH$1001,0),MATCH(COLUMNS($AO$1006:AS1006),$AO$1006:$BQ$1006,0)), HYPERLINK("#",""), HYPERLINK(CONCATENATE("#Metadata!", ADDRESS(INDEX($AJ$2:$AJ$1001,MATCH(ROWS($AH$2:AH190),$AH$2:$AH$1001,0),0), INDEX($AO$1004:$BQ$1004,1,MATCH(COLUMNS($AO$1006:AS1006),$AO$1006:$BQ$1006,0)))),"Fix")))</f>
        <v>#N/A</v>
      </c>
      <c r="G190" s="5" t="e">
        <f ca="1">IF(OR(INDEX($AI$2:$AI$1001,MATCH(ROWS($AH$2:AH190),$AH$2:$AH$1001,0),1)&gt;=100000,INDEX($AO$1005:$BQ$1005,1,MATCH(COLUMNS($AO$1006:AT1006),$AO$1006:$BQ$1006,0))&gt;=100000), " ",IF(INDEX($AO$2:$BQ$1001,MATCH(ROWS($AH$2:AH190),$AH$2:$AH$1001,0),MATCH(COLUMNS($AO$1006:AT1006),$AO$1006:$BQ$1006,0)), HYPERLINK("#",""), HYPERLINK(CONCATENATE("#Metadata!", ADDRESS(INDEX($AJ$2:$AJ$1001,MATCH(ROWS($AH$2:AH190),$AH$2:$AH$1001,0),0), INDEX($AO$1004:$BQ$1004,1,MATCH(COLUMNS($AO$1006:AT1006),$AO$1006:$BQ$1006,0)))),"Fix")))</f>
        <v>#N/A</v>
      </c>
      <c r="H190" s="5" t="e">
        <f ca="1">IF(OR(INDEX($AI$2:$AI$1001,MATCH(ROWS($AH$2:AH190),$AH$2:$AH$1001,0),1)&gt;=100000,INDEX($AO$1005:$BQ$1005,1,MATCH(COLUMNS($AO$1006:AU1006),$AO$1006:$BQ$1006,0))&gt;=100000), " ",IF(INDEX($AO$2:$BQ$1001,MATCH(ROWS($AH$2:AH190),$AH$2:$AH$1001,0),MATCH(COLUMNS($AO$1006:AU1006),$AO$1006:$BQ$1006,0)), HYPERLINK("#",""), HYPERLINK(CONCATENATE("#Metadata!", ADDRESS(INDEX($AJ$2:$AJ$1001,MATCH(ROWS($AH$2:AH190),$AH$2:$AH$1001,0),0), INDEX($AO$1004:$BQ$1004,1,MATCH(COLUMNS($AO$1006:AU1006),$AO$1006:$BQ$1006,0)))),"Fix")))</f>
        <v>#N/A</v>
      </c>
      <c r="I190" s="5" t="e">
        <f ca="1">IF(OR(INDEX($AI$2:$AI$1001,MATCH(ROWS($AH$2:AH190),$AH$2:$AH$1001,0),1)&gt;=100000,INDEX($AO$1005:$BQ$1005,1,MATCH(COLUMNS($AO$1006:AV1006),$AO$1006:$BQ$1006,0))&gt;=100000), " ",IF(INDEX($AO$2:$BQ$1001,MATCH(ROWS($AH$2:AH190),$AH$2:$AH$1001,0),MATCH(COLUMNS($AO$1006:AV1006),$AO$1006:$BQ$1006,0)), HYPERLINK("#",""), HYPERLINK(CONCATENATE("#Metadata!", ADDRESS(INDEX($AJ$2:$AJ$1001,MATCH(ROWS($AH$2:AH190),$AH$2:$AH$1001,0),0), INDEX($AO$1004:$BQ$1004,1,MATCH(COLUMNS($AO$1006:AV1006),$AO$1006:$BQ$1006,0)))),"Fix")))</f>
        <v>#N/A</v>
      </c>
      <c r="J190" s="5" t="e">
        <f ca="1">IF(OR(INDEX($AI$2:$AI$1001,MATCH(ROWS($AH$2:AH190),$AH$2:$AH$1001,0),1)&gt;=100000,INDEX($AO$1005:$BQ$1005,1,MATCH(COLUMNS($AO$1006:AW1006),$AO$1006:$BQ$1006,0))&gt;=100000), " ",IF(INDEX($AO$2:$BQ$1001,MATCH(ROWS($AH$2:AH190),$AH$2:$AH$1001,0),MATCH(COLUMNS($AO$1006:AW1006),$AO$1006:$BQ$1006,0)), HYPERLINK("#",""), HYPERLINK(CONCATENATE("#Metadata!", ADDRESS(INDEX($AJ$2:$AJ$1001,MATCH(ROWS($AH$2:AH190),$AH$2:$AH$1001,0),0), INDEX($AO$1004:$BQ$1004,1,MATCH(COLUMNS($AO$1006:AW1006),$AO$1006:$BQ$1006,0)))),"Fix")))</f>
        <v>#N/A</v>
      </c>
      <c r="K190" s="5" t="e">
        <f ca="1">IF(OR(INDEX($AI$2:$AI$1001,MATCH(ROWS($AH$2:AH190),$AH$2:$AH$1001,0),1)&gt;=100000,INDEX($AO$1005:$BQ$1005,1,MATCH(COLUMNS($AO$1006:AX1006),$AO$1006:$BQ$1006,0))&gt;=100000), " ",IF(INDEX($AO$2:$BQ$1001,MATCH(ROWS($AH$2:AH190),$AH$2:$AH$1001,0),MATCH(COLUMNS($AO$1006:AX1006),$AO$1006:$BQ$1006,0)), HYPERLINK("#",""), HYPERLINK(CONCATENATE("#Metadata!", ADDRESS(INDEX($AJ$2:$AJ$1001,MATCH(ROWS($AH$2:AH190),$AH$2:$AH$1001,0),0), INDEX($AO$1004:$BQ$1004,1,MATCH(COLUMNS($AO$1006:AX1006),$AO$1006:$BQ$1006,0)))),"Fix")))</f>
        <v>#N/A</v>
      </c>
      <c r="L190" s="5" t="e">
        <f ca="1">IF(OR(INDEX($AI$2:$AI$1001,MATCH(ROWS($AH$2:AH190),$AH$2:$AH$1001,0),1)&gt;=100000,INDEX($AO$1005:$BQ$1005,1,MATCH(COLUMNS($AO$1006:AY1006),$AO$1006:$BQ$1006,0))&gt;=100000), " ",IF(INDEX($AO$2:$BQ$1001,MATCH(ROWS($AH$2:AH190),$AH$2:$AH$1001,0),MATCH(COLUMNS($AO$1006:AY1006),$AO$1006:$BQ$1006,0)), HYPERLINK("#",""), HYPERLINK(CONCATENATE("#Metadata!", ADDRESS(INDEX($AJ$2:$AJ$1001,MATCH(ROWS($AH$2:AH190),$AH$2:$AH$1001,0),0), INDEX($AO$1004:$BQ$1004,1,MATCH(COLUMNS($AO$1006:AY1006),$AO$1006:$BQ$1006,0)))),"Fix")))</f>
        <v>#N/A</v>
      </c>
      <c r="M190" s="5" t="e">
        <f ca="1">IF(OR(INDEX($AI$2:$AI$1001,MATCH(ROWS($AH$2:AH190),$AH$2:$AH$1001,0),1)&gt;=100000,INDEX($AO$1005:$BQ$1005,1,MATCH(COLUMNS($AO$1006:AZ1006),$AO$1006:$BQ$1006,0))&gt;=100000), " ",IF(INDEX($AO$2:$BQ$1001,MATCH(ROWS($AH$2:AH190),$AH$2:$AH$1001,0),MATCH(COLUMNS($AO$1006:AZ1006),$AO$1006:$BQ$1006,0)), HYPERLINK("#",""), HYPERLINK(CONCATENATE("#Metadata!", ADDRESS(INDEX($AJ$2:$AJ$1001,MATCH(ROWS($AH$2:AH190),$AH$2:$AH$1001,0),0), INDEX($AO$1004:$BQ$1004,1,MATCH(COLUMNS($AO$1006:AZ1006),$AO$1006:$BQ$1006,0)))),"Fix")))</f>
        <v>#N/A</v>
      </c>
      <c r="N190" s="5" t="e">
        <f ca="1">IF(OR(INDEX($AI$2:$AI$1001,MATCH(ROWS($AH$2:AH190),$AH$2:$AH$1001,0),1)&gt;=100000,INDEX($AO$1005:$BQ$1005,1,MATCH(COLUMNS($AO$1006:BA1006),$AO$1006:$BQ$1006,0))&gt;=100000), " ",IF(INDEX($AO$2:$BQ$1001,MATCH(ROWS($AH$2:AH190),$AH$2:$AH$1001,0),MATCH(COLUMNS($AO$1006:BA1006),$AO$1006:$BQ$1006,0)), HYPERLINK("#",""), HYPERLINK(CONCATENATE("#Metadata!", ADDRESS(INDEX($AJ$2:$AJ$1001,MATCH(ROWS($AH$2:AH190),$AH$2:$AH$1001,0),0), INDEX($AO$1004:$BQ$1004,1,MATCH(COLUMNS($AO$1006:BA1006),$AO$1006:$BQ$1006,0)))),"Fix")))</f>
        <v>#N/A</v>
      </c>
      <c r="O190" s="5" t="e">
        <f ca="1">IF(OR(INDEX($AI$2:$AI$1001,MATCH(ROWS($AH$2:AH190),$AH$2:$AH$1001,0),1)&gt;=100000,INDEX($AO$1005:$BQ$1005,1,MATCH(COLUMNS($AO$1006:BB1006),$AO$1006:$BQ$1006,0))&gt;=100000), " ",IF(INDEX($AO$2:$BQ$1001,MATCH(ROWS($AH$2:AH190),$AH$2:$AH$1001,0),MATCH(COLUMNS($AO$1006:BB1006),$AO$1006:$BQ$1006,0)), HYPERLINK("#",""), HYPERLINK(CONCATENATE("#Metadata!", ADDRESS(INDEX($AJ$2:$AJ$1001,MATCH(ROWS($AH$2:AH190),$AH$2:$AH$1001,0),0), INDEX($AO$1004:$BQ$1004,1,MATCH(COLUMNS($AO$1006:BB1006),$AO$1006:$BQ$1006,0)))),"Fix")))</f>
        <v>#N/A</v>
      </c>
      <c r="P190" s="5" t="e">
        <f ca="1">IF(OR(INDEX($AI$2:$AI$1001,MATCH(ROWS($AH$2:AH190),$AH$2:$AH$1001,0),1)&gt;=100000,INDEX($AO$1005:$BQ$1005,1,MATCH(COLUMNS($AO$1006:BC1006),$AO$1006:$BQ$1006,0))&gt;=100000), " ",IF(INDEX($AO$2:$BQ$1001,MATCH(ROWS($AH$2:AH190),$AH$2:$AH$1001,0),MATCH(COLUMNS($AO$1006:BC1006),$AO$1006:$BQ$1006,0)), HYPERLINK("#",""), HYPERLINK(CONCATENATE("#Metadata!", ADDRESS(INDEX($AJ$2:$AJ$1001,MATCH(ROWS($AH$2:AH190),$AH$2:$AH$1001,0),0), INDEX($AO$1004:$BQ$1004,1,MATCH(COLUMNS($AO$1006:BC1006),$AO$1006:$BQ$1006,0)))),"Fix")))</f>
        <v>#N/A</v>
      </c>
      <c r="Q190" s="5" t="e">
        <f ca="1">IF(OR(INDEX($AI$2:$AI$1001,MATCH(ROWS($AH$2:AH190),$AH$2:$AH$1001,0),1)&gt;=100000,INDEX($AO$1005:$BQ$1005,1,MATCH(COLUMNS($AO$1006:BD1006),$AO$1006:$BQ$1006,0))&gt;=100000), " ",IF(INDEX($AO$2:$BQ$1001,MATCH(ROWS($AH$2:AH190),$AH$2:$AH$1001,0),MATCH(COLUMNS($AO$1006:BD1006),$AO$1006:$BQ$1006,0)), HYPERLINK("#",""), HYPERLINK(CONCATENATE("#Metadata!", ADDRESS(INDEX($AJ$2:$AJ$1001,MATCH(ROWS($AH$2:AH190),$AH$2:$AH$1001,0),0), INDEX($AO$1004:$BQ$1004,1,MATCH(COLUMNS($AO$1006:BD1006),$AO$1006:$BQ$1006,0)))),"Fix")))</f>
        <v>#N/A</v>
      </c>
      <c r="R190" s="5" t="e">
        <f ca="1">IF(OR(INDEX($AI$2:$AI$1001,MATCH(ROWS($AH$2:AH190),$AH$2:$AH$1001,0),1)&gt;=100000,INDEX($AO$1005:$BQ$1005,1,MATCH(COLUMNS($AO$1006:BE1006),$AO$1006:$BQ$1006,0))&gt;=100000), " ",IF(INDEX($AO$2:$BQ$1001,MATCH(ROWS($AH$2:AH190),$AH$2:$AH$1001,0),MATCH(COLUMNS($AO$1006:BE1006),$AO$1006:$BQ$1006,0)), HYPERLINK("#",""), HYPERLINK(CONCATENATE("#Metadata!", ADDRESS(INDEX($AJ$2:$AJ$1001,MATCH(ROWS($AH$2:AH190),$AH$2:$AH$1001,0),0), INDEX($AO$1004:$BQ$1004,1,MATCH(COLUMNS($AO$1006:BE1006),$AO$1006:$BQ$1006,0)))),"Fix")))</f>
        <v>#N/A</v>
      </c>
      <c r="S190" s="5" t="e">
        <f ca="1">IF(OR(INDEX($AI$2:$AI$1001,MATCH(ROWS($AH$2:AH190),$AH$2:$AH$1001,0),1)&gt;=100000,INDEX($AO$1005:$BQ$1005,1,MATCH(COLUMNS($AO$1006:BF1006),$AO$1006:$BQ$1006,0))&gt;=100000), " ",IF(INDEX($AO$2:$BQ$1001,MATCH(ROWS($AH$2:AH190),$AH$2:$AH$1001,0),MATCH(COLUMNS($AO$1006:BF1006),$AO$1006:$BQ$1006,0)), HYPERLINK("#",""), HYPERLINK(CONCATENATE("#Metadata!", ADDRESS(INDEX($AJ$2:$AJ$1001,MATCH(ROWS($AH$2:AH190),$AH$2:$AH$1001,0),0), INDEX($AO$1004:$BQ$1004,1,MATCH(COLUMNS($AO$1006:BF1006),$AO$1006:$BQ$1006,0)))),"Fix")))</f>
        <v>#N/A</v>
      </c>
      <c r="T190" s="5" t="e">
        <f ca="1">IF(OR(INDEX($AI$2:$AI$1001,MATCH(ROWS($AH$2:AH190),$AH$2:$AH$1001,0),1)&gt;=100000,INDEX($AO$1005:$BQ$1005,1,MATCH(COLUMNS($AO$1006:BG1006),$AO$1006:$BQ$1006,0))&gt;=100000), " ",IF(INDEX($AO$2:$BQ$1001,MATCH(ROWS($AH$2:AH190),$AH$2:$AH$1001,0),MATCH(COLUMNS($AO$1006:BG1006),$AO$1006:$BQ$1006,0)), HYPERLINK("#",""), HYPERLINK(CONCATENATE("#Metadata!", ADDRESS(INDEX($AJ$2:$AJ$1001,MATCH(ROWS($AH$2:AH190),$AH$2:$AH$1001,0),0), INDEX($AO$1004:$BQ$1004,1,MATCH(COLUMNS($AO$1006:BG1006),$AO$1006:$BQ$1006,0)))),"Fix")))</f>
        <v>#N/A</v>
      </c>
      <c r="U190" s="5" t="e">
        <f ca="1">IF(OR(INDEX($AI$2:$AI$1001,MATCH(ROWS($AH$2:AH190),$AH$2:$AH$1001,0),1)&gt;=100000,INDEX($AO$1005:$BQ$1005,1,MATCH(COLUMNS($AO$1006:BH1006),$AO$1006:$BQ$1006,0))&gt;=100000), " ",IF(INDEX($AO$2:$BQ$1001,MATCH(ROWS($AH$2:AH190),$AH$2:$AH$1001,0),MATCH(COLUMNS($AO$1006:BH1006),$AO$1006:$BQ$1006,0)), HYPERLINK("#",""), HYPERLINK(CONCATENATE("#Metadata!", ADDRESS(INDEX($AJ$2:$AJ$1001,MATCH(ROWS($AH$2:AH190),$AH$2:$AH$1001,0),0), INDEX($AO$1004:$BQ$1004,1,MATCH(COLUMNS($AO$1006:BH1006),$AO$1006:$BQ$1006,0)))),"Fix")))</f>
        <v>#N/A</v>
      </c>
      <c r="V190" s="5" t="e">
        <f ca="1">IF(OR(INDEX($AI$2:$AI$1001,MATCH(ROWS($AH$2:AH190),$AH$2:$AH$1001,0),1)&gt;=100000,INDEX($AO$1005:$BQ$1005,1,MATCH(COLUMNS($AO$1006:BI1006),$AO$1006:$BQ$1006,0))&gt;=100000), " ",IF(INDEX($AO$2:$BQ$1001,MATCH(ROWS($AH$2:AH190),$AH$2:$AH$1001,0),MATCH(COLUMNS($AO$1006:BI1006),$AO$1006:$BQ$1006,0)), HYPERLINK("#",""), HYPERLINK(CONCATENATE("#Metadata!", ADDRESS(INDEX($AJ$2:$AJ$1001,MATCH(ROWS($AH$2:AH190),$AH$2:$AH$1001,0),0), INDEX($AO$1004:$BQ$1004,1,MATCH(COLUMNS($AO$1006:BI1006),$AO$1006:$BQ$1006,0)))),"Fix")))</f>
        <v>#N/A</v>
      </c>
      <c r="W190" s="5" t="e">
        <f ca="1">IF(OR(INDEX($AI$2:$AI$1001,MATCH(ROWS($AH$2:AH190),$AH$2:$AH$1001,0),1)&gt;=100000,INDEX($AO$1005:$BQ$1005,1,MATCH(COLUMNS($AO$1006:BJ1006),$AO$1006:$BQ$1006,0))&gt;=100000), " ",IF(INDEX($AO$2:$BQ$1001,MATCH(ROWS($AH$2:AH190),$AH$2:$AH$1001,0),MATCH(COLUMNS($AO$1006:BJ1006),$AO$1006:$BQ$1006,0)), HYPERLINK("#",""), HYPERLINK(CONCATENATE("#Metadata!", ADDRESS(INDEX($AJ$2:$AJ$1001,MATCH(ROWS($AH$2:AH190),$AH$2:$AH$1001,0),0), INDEX($AO$1004:$BQ$1004,1,MATCH(COLUMNS($AO$1006:BJ1006),$AO$1006:$BQ$1006,0)))),"Fix")))</f>
        <v>#N/A</v>
      </c>
      <c r="X190" s="5" t="e">
        <f ca="1">IF(OR(INDEX($AI$2:$AI$1001,MATCH(ROWS($AH$2:AH190),$AH$2:$AH$1001,0),1)&gt;=100000,INDEX($AO$1005:$BQ$1005,1,MATCH(COLUMNS($AO$1006:BK1006),$AO$1006:$BQ$1006,0))&gt;=100000), " ",IF(INDEX($AO$2:$BQ$1001,MATCH(ROWS($AH$2:AH190),$AH$2:$AH$1001,0),MATCH(COLUMNS($AO$1006:BK1006),$AO$1006:$BQ$1006,0)), HYPERLINK("#",""), HYPERLINK(CONCATENATE("#Metadata!", ADDRESS(INDEX($AJ$2:$AJ$1001,MATCH(ROWS($AH$2:AH190),$AH$2:$AH$1001,0),0), INDEX($AO$1004:$BQ$1004,1,MATCH(COLUMNS($AO$1006:BK1006),$AO$1006:$BQ$1006,0)))),"Fix")))</f>
        <v>#N/A</v>
      </c>
      <c r="Y190" s="5" t="e">
        <f ca="1">IF(OR(INDEX($AI$2:$AI$1001,MATCH(ROWS($AH$2:AH190),$AH$2:$AH$1001,0),1)&gt;=100000,INDEX($AO$1005:$BQ$1005,1,MATCH(COLUMNS($AO$1006:BL1006),$AO$1006:$BQ$1006,0))&gt;=100000), " ",IF(INDEX($AO$2:$BQ$1001,MATCH(ROWS($AH$2:AH190),$AH$2:$AH$1001,0),MATCH(COLUMNS($AO$1006:BL1006),$AO$1006:$BQ$1006,0)), HYPERLINK("#",""), HYPERLINK(CONCATENATE("#Metadata!", ADDRESS(INDEX($AJ$2:$AJ$1001,MATCH(ROWS($AH$2:AH190),$AH$2:$AH$1001,0),0), INDEX($AO$1004:$BQ$1004,1,MATCH(COLUMNS($AO$1006:BL1006),$AO$1006:$BQ$1006,0)))),"Fix")))</f>
        <v>#N/A</v>
      </c>
      <c r="Z190" s="5" t="e">
        <f ca="1">IF(OR(INDEX($AI$2:$AI$1001,MATCH(ROWS($AH$2:AH190),$AH$2:$AH$1001,0),1)&gt;=100000,INDEX($AO$1005:$BQ$1005,1,MATCH(COLUMNS($AO$1006:BM1006),$AO$1006:$BQ$1006,0))&gt;=100000), " ",IF(INDEX($AO$2:$BQ$1001,MATCH(ROWS($AH$2:AH190),$AH$2:$AH$1001,0),MATCH(COLUMNS($AO$1006:BM1006),$AO$1006:$BQ$1006,0)), HYPERLINK("#",""), HYPERLINK(CONCATENATE("#Metadata!", ADDRESS(INDEX($AJ$2:$AJ$1001,MATCH(ROWS($AH$2:AH190),$AH$2:$AH$1001,0),0), INDEX($AO$1004:$BQ$1004,1,MATCH(COLUMNS($AO$1006:BM1006),$AO$1006:$BQ$1006,0)))),"Fix")))</f>
        <v>#N/A</v>
      </c>
      <c r="AA190" s="5" t="e">
        <f ca="1">IF(OR(INDEX($AI$2:$AI$1001,MATCH(ROWS($AH$2:AH190),$AH$2:$AH$1001,0),1)&gt;=100000,INDEX($AO$1005:$BQ$1005,1,MATCH(COLUMNS($AO$1006:BN1006),$AO$1006:$BQ$1006,0))&gt;=100000), " ",IF(INDEX($AO$2:$BQ$1001,MATCH(ROWS($AH$2:AH190),$AH$2:$AH$1001,0),MATCH(COLUMNS($AO$1006:BN1006),$AO$1006:$BQ$1006,0)), HYPERLINK("#",""), HYPERLINK(CONCATENATE("#Metadata!", ADDRESS(INDEX($AJ$2:$AJ$1001,MATCH(ROWS($AH$2:AH190),$AH$2:$AH$1001,0),0), INDEX($AO$1004:$BQ$1004,1,MATCH(COLUMNS($AO$1006:BN1006),$AO$1006:$BQ$1006,0)))),"Fix")))</f>
        <v>#N/A</v>
      </c>
      <c r="AB190" s="5" t="e">
        <f ca="1">IF(OR(INDEX($AI$2:$AI$1001,MATCH(ROWS($AH$2:AH190),$AH$2:$AH$1001,0),1)&gt;=100000,INDEX($AO$1005:$BQ$1005,1,MATCH(COLUMNS($AO$1006:BO1006),$AO$1006:$BQ$1006,0))&gt;=100000), " ",IF(INDEX($AO$2:$BQ$1001,MATCH(ROWS($AH$2:AH190),$AH$2:$AH$1001,0),MATCH(COLUMNS($AO$1006:BO1006),$AO$1006:$BQ$1006,0)), HYPERLINK("#",""), HYPERLINK(CONCATENATE("#Metadata!", ADDRESS(INDEX($AJ$2:$AJ$1001,MATCH(ROWS($AH$2:AH190),$AH$2:$AH$1001,0),0), INDEX($AO$1004:$BQ$1004,1,MATCH(COLUMNS($AO$1006:BO1006),$AO$1006:$BQ$1006,0)))),"Fix")))</f>
        <v>#N/A</v>
      </c>
      <c r="AC190" s="5" t="e">
        <f ca="1">IF(OR(INDEX($AI$2:$AI$1001,MATCH(ROWS($AH$2:AH190),$AH$2:$AH$1001,0),1)&gt;=100000,INDEX($AO$1005:$BQ$1005,1,MATCH(COLUMNS($AO$1006:BP1006),$AO$1006:$BQ$1006,0))&gt;=100000), " ",IF(INDEX($AO$2:$BQ$1001,MATCH(ROWS($AH$2:AH190),$AH$2:$AH$1001,0),MATCH(COLUMNS($AO$1006:BP1006),$AO$1006:$BQ$1006,0)), HYPERLINK("#",""), HYPERLINK(CONCATENATE("#Metadata!", ADDRESS(INDEX($AJ$2:$AJ$1001,MATCH(ROWS($AH$2:AH190),$AH$2:$AH$1001,0),0), INDEX($AO$1004:$BQ$1004,1,MATCH(COLUMNS($AO$1006:BP1006),$AO$1006:$BQ$1006,0)))),"Fix")))</f>
        <v>#N/A</v>
      </c>
      <c r="AD190" s="5" t="e">
        <f ca="1">IF(OR(INDEX($AI$2:$AI$1001,MATCH(ROWS($AH$2:AH190),$AH$2:$AH$1001,0),1)&gt;=100000,INDEX($AO$1005:$BQ$1005,1,MATCH(COLUMNS($AO$1006:BQ1006),$AO$1006:$BQ$1006,0))&gt;=100000), " ",IF(INDEX($AO$2:$BQ$1001,MATCH(ROWS($AH$2:AH190),$AH$2:$AH$1001,0),MATCH(COLUMNS($AO$1006:BQ1006),$AO$1006:$BQ$1006,0)), HYPERLINK("#",""), HYPERLINK(CONCATENATE("#Metadata!", ADDRESS(INDEX($AJ$2:$AJ$1001,MATCH(ROWS($AH$2:AH190),$AH$2:$AH$1001,0),0), INDEX($AO$1004:$BQ$1004,1,MATCH(COLUMNS($AO$1006:BQ1006),$AO$1006:$BQ$1006,0)))),"Fix")))</f>
        <v>#REF!</v>
      </c>
      <c r="AH190">
        <f ca="1"/>
        <v>187</v>
      </c>
      <c r="AI190">
        <v>100190</v>
      </c>
      <c r="AJ190">
        <v>190</v>
      </c>
      <c r="AK190" t="b">
        <f t="shared" si="2"/>
        <v>1</v>
      </c>
      <c r="AL190" t="b">
        <f>COUNTBLANK(Metadata!B190:AD190)=COLUMNS(Metadata!B190:AD190)</f>
        <v>1</v>
      </c>
      <c r="AM190" t="str">
        <v/>
      </c>
      <c r="AO190" t="b">
        <f ca="1">AND(IF(Metadata!B190="",FALSE,TRUE),COUNTIF(Metadata!B:B, Metadata!B190) = 1,NOT(ISERROR(SUMPRODUCT(SEARCH(MID(Metadata!B190,ROW(INDIRECT("1:"&amp;LEN(Metadata!B190))), 1),"0123456789abcdefghijklmnopqrstuvwxyzABCDEFGHIJKLMNOPQRSTUVWXYZ.")))))</f>
        <v>0</v>
      </c>
      <c r="AP190" t="b">
        <f>IF(Metadata!C190="",FALSE,TRUE)</f>
        <v>0</v>
      </c>
      <c r="AQ190" t="b">
        <f>IF(Metadata!D190="",FALSE,TRUE)</f>
        <v>0</v>
      </c>
      <c r="AR190" t="b">
        <f ca="1">OR(AND(IF(Metadata!E190="",FALSE,TRUE),OR(EXACT(Metadata!E190,"not collected"),EXACT(Metadata!E190,"not provided"),EXACT(Metadata!E190,"restricted access"))),AND(IF(Metadata!E190="",FALSE,TRUE),AND(AND(IFERROR(INT(LEFT(Metadata!E190,4))&gt;1900,FALSE),IFERROR(INT(LEFT(Metadata!E190,4))&lt;=YEAR(NOW()),FALSE)), OR(MID(Metadata!E190,5,1)="", AND(AND(MID(Metadata!E190,5,1)="-",IFERROR(INT(MID(Metadata!E190,6,1))&gt;=0,FALSE),IFERROR(INT(MID(Metadata!E190,6,1))&lt;=1,FALSE),NOT(MID(Metadata!E190,7,1)=""),IFERROR(INT(MID(Metadata!E190,6,2))&gt;=1,FALSE),IFERROR(INT(MID(Metadata!E190,6,2))&lt;=12,FALSE)), OR(MID(Metadata!E190,8,1)="", AND(AND(MID(Metadata!E190,8,1)="-",IFERROR(INT(MID(Metadata!E190,9,1))&gt;=0,FALSE),IFERROR(INT(MID(Metadata!E190,9,1))&lt;=3,FALSE),NOT(MID(Metadata!E190,10,1)=""),IFERROR(INT(MID(Metadata!E190,9,2))&gt;=1,FALSE),IFERROR(INT(MID(Metadata!E190,9,2))&lt;=31,FALSE)), OR(MID(Metadata!E190,11,1)="", AND(AND(MID(Metadata!E190,11,1)=" ",IFERROR(INT(MID(Metadata!E190,12,1))&gt;=0,FALSE),IFERROR(INT(MID(Metadata!E190,12,1))&lt;=2,FALSE),NOT(MID(Metadata!E190,13,1)=""),IFERROR(INT(MID(Metadata!E190,12,2))&gt;=0,FALSE),IFERROR(INT(MID(Metadata!E190,12,2))&lt;=23,FALSE)), OR(MID(Metadata!E190,14,1)="", AND(AND(MID(Metadata!E190,14,1)=":",IFERROR(INT(MID(Metadata!E190,15,1))&gt;=0,FALSE),IFERROR(INT(MID(Metadata!E190,15,1))&lt;=5,FALSE),NOT(MID(Metadata!E190,16,1)=""),IFERROR(INT(MID(Metadata!E190,15,2))&gt;=0,FALSE),IFERROR(INT(MID(Metadata!E190,15,2))&lt;=59,FALSE)), OR(MID(Metadata!E190,17,1)="", AND(AND(MID(Metadata!E190,17,1)=":",IFERROR(INT(MID(Metadata!E190,18,1))&gt;=0,FALSE),IFERROR(INT(MID(Metadata!E190,18,1))&lt;=5,FALSE),NOT(MID(Metadata!E190,19,1)=""),IFERROR(INT(MID(Metadata!E190,18,2))&gt;=0,FALSE),IFERROR(INT(MID(Metadata!E190,18,2))&lt;=59,FALSE)), LEN(Metadata!E190)&lt;=19)))))))))))))</f>
        <v>0</v>
      </c>
      <c r="AS190" t="b">
        <f>IF(Metadata!F190="",FALSE,TRUE)</f>
        <v>0</v>
      </c>
      <c r="AT190" t="b">
        <f>OR(AND(IF(Metadata!G190="",FALSE,TRUE),OR(EXACT(Metadata!G190,"not collected"),EXACT(Metadata!G190,"not provided"))),AND(IF(Metadata!G190="",FALSE,TRUE),OR(EXACT(Metadata!G190,"TRUE"),EXACT(Metadata!G190,"FALSE"))))</f>
        <v>0</v>
      </c>
      <c r="AU190" t="b">
        <f>OR(AND(IF(Metadata!H190="",FALSE,TRUE),OR(EXACT(Metadata!H190,"not collected"),EXACT(Metadata!H190,"not provided"),EXACT(Metadata!H190,"restricted access"))),AND(IF(Metadata!H190="",FALSE,ISNUMBER(VALUE(Metadata!H190))),Metadata!H190&gt;=-413))</f>
        <v>0</v>
      </c>
      <c r="AV190" t="b">
        <f>AND(IF(Metadata!I190="",FALSE,TRUE),EXACT(Metadata!I190,"meters"))</f>
        <v>0</v>
      </c>
      <c r="AW190" t="b">
        <f>AND(IF(Metadata!J190="",FALSE,TRUE),EXACT(Metadata!J190,"free-living"))</f>
        <v>0</v>
      </c>
      <c r="AX190" t="b">
        <f>AND(IF(Metadata!K190="",FALSE,TRUE),OR(EXACT(Metadata!K190,"saline"),EXACT(Metadata!K190,"non-saline")))</f>
        <v>0</v>
      </c>
      <c r="AY190" t="b">
        <f>AND(IF(Metadata!L190="",FALSE,TRUE),OR(EXACT(Metadata!L190,"sub-surface (non-saline)"),EXACT(Metadata!L190,"surface (non-saline)"),EXACT(Metadata!L190,"water (non-saline)"),EXACT(Metadata!L190,"soil (non-saline)"),EXACT(Metadata!L190,"aerosol (non-saline)"),EXACT(Metadata!L190,"sediment (non-saline)"),EXACT(Metadata!L190,"surface (saline)"),EXACT(Metadata!L190,"water (saline)"),EXACT(Metadata!L190,"hypersaline (saline)"),EXACT(Metadata!L190,"aerosol (saline)"),EXACT(Metadata!L190,"sediment (saline)")))</f>
        <v>0</v>
      </c>
      <c r="AZ190" t="b">
        <f>IF(Metadata!M190="",FALSE,TRUE)</f>
        <v>0</v>
      </c>
      <c r="BA190" t="b">
        <f>IF(Metadata!N190="",FALSE,TRUE)</f>
        <v>0</v>
      </c>
      <c r="BB190" t="b">
        <f>IF(Metadata!O190="",FALSE,TRUE)</f>
        <v>0</v>
      </c>
      <c r="BC190" t="b">
        <f>AND(IF(Metadata!P190="",FALSE,TRUE),OR(EXACT(Metadata!P190,"air"),EXACT(Metadata!P190,"microbial mat/biofilm"),EXACT(Metadata!P190,"misc environment"),EXACT(Metadata!P190,"sediment"),EXACT(Metadata!P190,"soil"),EXACT(Metadata!P190,"wastewater/sludge"),EXACT(Metadata!P190,"water")))</f>
        <v>0</v>
      </c>
      <c r="BD190" t="b">
        <f>IF(Metadata!Q190="",FALSE,TRUE)</f>
        <v>0</v>
      </c>
      <c r="BE190" t="b">
        <f>IF(Metadata!R190="",FALSE,TRUE)</f>
        <v>0</v>
      </c>
      <c r="BF190" t="b">
        <f>OR(AND(IF(Metadata!S190="",FALSE,TRUE),OR(EXACT(Metadata!S190,"not collected"),EXACT(Metadata!S190,"not provided"),EXACT(Metadata!S190,"restricted access"))),AND(IF(Metadata!S190="",FALSE,ISNUMBER(VALUE(Metadata!S190))),Metadata!S190&gt;=-90,Metadata!S190&lt;=90))</f>
        <v>0</v>
      </c>
      <c r="BG190" t="b">
        <f>AND(IF(Metadata!T190="",FALSE,TRUE),EXACT(Metadata!T190,"Decimal degrees"))</f>
        <v>0</v>
      </c>
      <c r="BH190" t="b">
        <f>OR(AND(IF(Metadata!U190="",FALSE,TRUE),OR(EXACT(Metadata!U190,"not applicable"),EXACT(Metadata!U190,"not collected"))),IF(Metadata!U190="",FALSE,TRUE))</f>
        <v>0</v>
      </c>
      <c r="BI190" t="b">
        <f>OR(AND(IF(Metadata!V190="",FALSE,TRUE),OR(EXACT(Metadata!V190,"not collected"),EXACT(Metadata!V190,"not provided"),EXACT(Metadata!V190,"restricted access"))),AND(IF(Metadata!V190="",FALSE,ISNUMBER(VALUE(Metadata!V190))),Metadata!V190&gt;=-180,Metadata!V190&lt;=180))</f>
        <v>0</v>
      </c>
      <c r="BJ190" t="b">
        <f>AND(IF(Metadata!W190="",FALSE,TRUE),EXACT(Metadata!W190,"Decimal degrees"))</f>
        <v>0</v>
      </c>
      <c r="BK190" t="b">
        <f>IF(Metadata!X190="",FALSE,TRUE)</f>
        <v>0</v>
      </c>
      <c r="BL190" t="b">
        <f>OR(AND(IF(Metadata!Y190="",FALSE,TRUE),OR(EXACT(Metadata!Y190,"not collected"),EXACT(Metadata!Y190,"not provided"),EXACT(Metadata!Y190,"restricted access"))),AND(IF(Metadata!Y190="",FALSE,TRUE),OR(EXACT(Metadata!Y190,"TRUE"),EXACT(Metadata!Y190,"FALSE"))))</f>
        <v>0</v>
      </c>
      <c r="BM190" t="b">
        <f>OR(AND(IF(Metadata!Z190="",FALSE,TRUE),EXACT(Metadata!Z190,"not applicable")),AND(IF(Metadata!Z190="",FALSE,TRUE),OR(EXACT(Metadata!Z190,"beer"),EXACT(Metadata!Z190,"cheese"),EXACT(Metadata!Z190,"fresh water"),EXACT(Metadata!Z190,"marine sediment"),EXACT(Metadata!Z190,"sea water"),EXACT(Metadata!Z190,"sediment"),EXACT(Metadata!Z190,"soil"),EXACT(Metadata!Z190,"waste water"))))</f>
        <v>0</v>
      </c>
      <c r="BN190" t="b">
        <f>AND(IF(Metadata!AA190="",FALSE,TRUE),EXACT(Metadata!AA190,"metagenome"))</f>
        <v>0</v>
      </c>
      <c r="BO190" t="b">
        <f>AND(IF(Metadata!AB190="",FALSE,TRUE),EXACT(Metadata!AB190,"256318"))</f>
        <v>0</v>
      </c>
      <c r="BP190" t="b">
        <f>IF(Metadata!AC190="",FALSE,TRUE)</f>
        <v>0</v>
      </c>
      <c r="BQ190" t="b">
        <f>IF(Metadata!AD190="",FALSE,TRUE)</f>
        <v>0</v>
      </c>
    </row>
    <row r="191" spans="1:69" x14ac:dyDescent="0.2">
      <c r="A191" s="4" t="e">
        <f ca="1">IF(B191=" "," ",HYPERLINK(CONCATENATE("#metadata!",ADDRESS(INDEX($AJ$2:$AJ$1001,MATCH(ROWS($AH$2:AH191),$AH$2:$AH$1001,0),0),2)),INDEX($AM$2:$AM$1001,MATCH(ROWS($AH$2:AH191),$AH$2:$AH$1001,0),0)))</f>
        <v>#N/A</v>
      </c>
      <c r="B191" s="5" t="e">
        <f ca="1">IF(OR(INDEX($AI$2:$AI$1001,MATCH(ROWS($AH$2:AH191),$AH$2:$AH$1001,0),1)&gt;=100000,INDEX($AO$1005:$BQ$1005,1,MATCH(COLUMNS($AO$1006:AO1006),$AO$1006:$BQ$1006,0))&gt;=100000), " ",IF(INDEX($AO$2:$BQ$1001,MATCH(ROWS($AH$2:AH191),$AH$2:$AH$1001,0),MATCH(COLUMNS($AO$1006:AO1006),$AO$1006:$BQ$1006,0)), HYPERLINK("#",""), HYPERLINK(CONCATENATE("#Metadata!", ADDRESS(INDEX($AJ$2:$AJ$1001,MATCH(ROWS($AH$2:AH191),$AH$2:$AH$1001,0),0), INDEX($AO$1004:$BQ$1004,1,MATCH(COLUMNS($AO$1006:AO1006),$AO$1006:$BQ$1006,0)))),"Fix")))</f>
        <v>#N/A</v>
      </c>
      <c r="C191" s="5" t="e">
        <f ca="1">IF(OR(INDEX($AI$2:$AI$1001,MATCH(ROWS($AH$2:AH191),$AH$2:$AH$1001,0),1)&gt;=100000,INDEX($AO$1005:$BQ$1005,1,MATCH(COLUMNS($AO$1006:AP1006),$AO$1006:$BQ$1006,0))&gt;=100000), " ",IF(INDEX($AO$2:$BQ$1001,MATCH(ROWS($AH$2:AH191),$AH$2:$AH$1001,0),MATCH(COLUMNS($AO$1006:AP1006),$AO$1006:$BQ$1006,0)), HYPERLINK("#",""), HYPERLINK(CONCATENATE("#Metadata!", ADDRESS(INDEX($AJ$2:$AJ$1001,MATCH(ROWS($AH$2:AH191),$AH$2:$AH$1001,0),0), INDEX($AO$1004:$BQ$1004,1,MATCH(COLUMNS($AO$1006:AP1006),$AO$1006:$BQ$1006,0)))),"Fix")))</f>
        <v>#N/A</v>
      </c>
      <c r="D191" s="5" t="e">
        <f ca="1">IF(OR(INDEX($AI$2:$AI$1001,MATCH(ROWS($AH$2:AH191),$AH$2:$AH$1001,0),1)&gt;=100000,INDEX($AO$1005:$BQ$1005,1,MATCH(COLUMNS($AO$1006:AQ1006),$AO$1006:$BQ$1006,0))&gt;=100000), " ",IF(INDEX($AO$2:$BQ$1001,MATCH(ROWS($AH$2:AH191),$AH$2:$AH$1001,0),MATCH(COLUMNS($AO$1006:AQ1006),$AO$1006:$BQ$1006,0)), HYPERLINK("#",""), HYPERLINK(CONCATENATE("#Metadata!", ADDRESS(INDEX($AJ$2:$AJ$1001,MATCH(ROWS($AH$2:AH191),$AH$2:$AH$1001,0),0), INDEX($AO$1004:$BQ$1004,1,MATCH(COLUMNS($AO$1006:AQ1006),$AO$1006:$BQ$1006,0)))),"Fix")))</f>
        <v>#N/A</v>
      </c>
      <c r="E191" s="5" t="e">
        <f ca="1">IF(OR(INDEX($AI$2:$AI$1001,MATCH(ROWS($AH$2:AH191),$AH$2:$AH$1001,0),1)&gt;=100000,INDEX($AO$1005:$BQ$1005,1,MATCH(COLUMNS($AO$1006:AR1006),$AO$1006:$BQ$1006,0))&gt;=100000), " ",IF(INDEX($AO$2:$BQ$1001,MATCH(ROWS($AH$2:AH191),$AH$2:$AH$1001,0),MATCH(COLUMNS($AO$1006:AR1006),$AO$1006:$BQ$1006,0)), HYPERLINK("#",""), HYPERLINK(CONCATENATE("#Metadata!", ADDRESS(INDEX($AJ$2:$AJ$1001,MATCH(ROWS($AH$2:AH191),$AH$2:$AH$1001,0),0), INDEX($AO$1004:$BQ$1004,1,MATCH(COLUMNS($AO$1006:AR1006),$AO$1006:$BQ$1006,0)))),"Fix")))</f>
        <v>#N/A</v>
      </c>
      <c r="F191" s="5" t="e">
        <f ca="1">IF(OR(INDEX($AI$2:$AI$1001,MATCH(ROWS($AH$2:AH191),$AH$2:$AH$1001,0),1)&gt;=100000,INDEX($AO$1005:$BQ$1005,1,MATCH(COLUMNS($AO$1006:AS1006),$AO$1006:$BQ$1006,0))&gt;=100000), " ",IF(INDEX($AO$2:$BQ$1001,MATCH(ROWS($AH$2:AH191),$AH$2:$AH$1001,0),MATCH(COLUMNS($AO$1006:AS1006),$AO$1006:$BQ$1006,0)), HYPERLINK("#",""), HYPERLINK(CONCATENATE("#Metadata!", ADDRESS(INDEX($AJ$2:$AJ$1001,MATCH(ROWS($AH$2:AH191),$AH$2:$AH$1001,0),0), INDEX($AO$1004:$BQ$1004,1,MATCH(COLUMNS($AO$1006:AS1006),$AO$1006:$BQ$1006,0)))),"Fix")))</f>
        <v>#N/A</v>
      </c>
      <c r="G191" s="5" t="e">
        <f ca="1">IF(OR(INDEX($AI$2:$AI$1001,MATCH(ROWS($AH$2:AH191),$AH$2:$AH$1001,0),1)&gt;=100000,INDEX($AO$1005:$BQ$1005,1,MATCH(COLUMNS($AO$1006:AT1006),$AO$1006:$BQ$1006,0))&gt;=100000), " ",IF(INDEX($AO$2:$BQ$1001,MATCH(ROWS($AH$2:AH191),$AH$2:$AH$1001,0),MATCH(COLUMNS($AO$1006:AT1006),$AO$1006:$BQ$1006,0)), HYPERLINK("#",""), HYPERLINK(CONCATENATE("#Metadata!", ADDRESS(INDEX($AJ$2:$AJ$1001,MATCH(ROWS($AH$2:AH191),$AH$2:$AH$1001,0),0), INDEX($AO$1004:$BQ$1004,1,MATCH(COLUMNS($AO$1006:AT1006),$AO$1006:$BQ$1006,0)))),"Fix")))</f>
        <v>#N/A</v>
      </c>
      <c r="H191" s="5" t="e">
        <f ca="1">IF(OR(INDEX($AI$2:$AI$1001,MATCH(ROWS($AH$2:AH191),$AH$2:$AH$1001,0),1)&gt;=100000,INDEX($AO$1005:$BQ$1005,1,MATCH(COLUMNS($AO$1006:AU1006),$AO$1006:$BQ$1006,0))&gt;=100000), " ",IF(INDEX($AO$2:$BQ$1001,MATCH(ROWS($AH$2:AH191),$AH$2:$AH$1001,0),MATCH(COLUMNS($AO$1006:AU1006),$AO$1006:$BQ$1006,0)), HYPERLINK("#",""), HYPERLINK(CONCATENATE("#Metadata!", ADDRESS(INDEX($AJ$2:$AJ$1001,MATCH(ROWS($AH$2:AH191),$AH$2:$AH$1001,0),0), INDEX($AO$1004:$BQ$1004,1,MATCH(COLUMNS($AO$1006:AU1006),$AO$1006:$BQ$1006,0)))),"Fix")))</f>
        <v>#N/A</v>
      </c>
      <c r="I191" s="5" t="e">
        <f ca="1">IF(OR(INDEX($AI$2:$AI$1001,MATCH(ROWS($AH$2:AH191),$AH$2:$AH$1001,0),1)&gt;=100000,INDEX($AO$1005:$BQ$1005,1,MATCH(COLUMNS($AO$1006:AV1006),$AO$1006:$BQ$1006,0))&gt;=100000), " ",IF(INDEX($AO$2:$BQ$1001,MATCH(ROWS($AH$2:AH191),$AH$2:$AH$1001,0),MATCH(COLUMNS($AO$1006:AV1006),$AO$1006:$BQ$1006,0)), HYPERLINK("#",""), HYPERLINK(CONCATENATE("#Metadata!", ADDRESS(INDEX($AJ$2:$AJ$1001,MATCH(ROWS($AH$2:AH191),$AH$2:$AH$1001,0),0), INDEX($AO$1004:$BQ$1004,1,MATCH(COLUMNS($AO$1006:AV1006),$AO$1006:$BQ$1006,0)))),"Fix")))</f>
        <v>#N/A</v>
      </c>
      <c r="J191" s="5" t="e">
        <f ca="1">IF(OR(INDEX($AI$2:$AI$1001,MATCH(ROWS($AH$2:AH191),$AH$2:$AH$1001,0),1)&gt;=100000,INDEX($AO$1005:$BQ$1005,1,MATCH(COLUMNS($AO$1006:AW1006),$AO$1006:$BQ$1006,0))&gt;=100000), " ",IF(INDEX($AO$2:$BQ$1001,MATCH(ROWS($AH$2:AH191),$AH$2:$AH$1001,0),MATCH(COLUMNS($AO$1006:AW1006),$AO$1006:$BQ$1006,0)), HYPERLINK("#",""), HYPERLINK(CONCATENATE("#Metadata!", ADDRESS(INDEX($AJ$2:$AJ$1001,MATCH(ROWS($AH$2:AH191),$AH$2:$AH$1001,0),0), INDEX($AO$1004:$BQ$1004,1,MATCH(COLUMNS($AO$1006:AW1006),$AO$1006:$BQ$1006,0)))),"Fix")))</f>
        <v>#N/A</v>
      </c>
      <c r="K191" s="5" t="e">
        <f ca="1">IF(OR(INDEX($AI$2:$AI$1001,MATCH(ROWS($AH$2:AH191),$AH$2:$AH$1001,0),1)&gt;=100000,INDEX($AO$1005:$BQ$1005,1,MATCH(COLUMNS($AO$1006:AX1006),$AO$1006:$BQ$1006,0))&gt;=100000), " ",IF(INDEX($AO$2:$BQ$1001,MATCH(ROWS($AH$2:AH191),$AH$2:$AH$1001,0),MATCH(COLUMNS($AO$1006:AX1006),$AO$1006:$BQ$1006,0)), HYPERLINK("#",""), HYPERLINK(CONCATENATE("#Metadata!", ADDRESS(INDEX($AJ$2:$AJ$1001,MATCH(ROWS($AH$2:AH191),$AH$2:$AH$1001,0),0), INDEX($AO$1004:$BQ$1004,1,MATCH(COLUMNS($AO$1006:AX1006),$AO$1006:$BQ$1006,0)))),"Fix")))</f>
        <v>#N/A</v>
      </c>
      <c r="L191" s="5" t="e">
        <f ca="1">IF(OR(INDEX($AI$2:$AI$1001,MATCH(ROWS($AH$2:AH191),$AH$2:$AH$1001,0),1)&gt;=100000,INDEX($AO$1005:$BQ$1005,1,MATCH(COLUMNS($AO$1006:AY1006),$AO$1006:$BQ$1006,0))&gt;=100000), " ",IF(INDEX($AO$2:$BQ$1001,MATCH(ROWS($AH$2:AH191),$AH$2:$AH$1001,0),MATCH(COLUMNS($AO$1006:AY1006),$AO$1006:$BQ$1006,0)), HYPERLINK("#",""), HYPERLINK(CONCATENATE("#Metadata!", ADDRESS(INDEX($AJ$2:$AJ$1001,MATCH(ROWS($AH$2:AH191),$AH$2:$AH$1001,0),0), INDEX($AO$1004:$BQ$1004,1,MATCH(COLUMNS($AO$1006:AY1006),$AO$1006:$BQ$1006,0)))),"Fix")))</f>
        <v>#N/A</v>
      </c>
      <c r="M191" s="5" t="e">
        <f ca="1">IF(OR(INDEX($AI$2:$AI$1001,MATCH(ROWS($AH$2:AH191),$AH$2:$AH$1001,0),1)&gt;=100000,INDEX($AO$1005:$BQ$1005,1,MATCH(COLUMNS($AO$1006:AZ1006),$AO$1006:$BQ$1006,0))&gt;=100000), " ",IF(INDEX($AO$2:$BQ$1001,MATCH(ROWS($AH$2:AH191),$AH$2:$AH$1001,0),MATCH(COLUMNS($AO$1006:AZ1006),$AO$1006:$BQ$1006,0)), HYPERLINK("#",""), HYPERLINK(CONCATENATE("#Metadata!", ADDRESS(INDEX($AJ$2:$AJ$1001,MATCH(ROWS($AH$2:AH191),$AH$2:$AH$1001,0),0), INDEX($AO$1004:$BQ$1004,1,MATCH(COLUMNS($AO$1006:AZ1006),$AO$1006:$BQ$1006,0)))),"Fix")))</f>
        <v>#N/A</v>
      </c>
      <c r="N191" s="5" t="e">
        <f ca="1">IF(OR(INDEX($AI$2:$AI$1001,MATCH(ROWS($AH$2:AH191),$AH$2:$AH$1001,0),1)&gt;=100000,INDEX($AO$1005:$BQ$1005,1,MATCH(COLUMNS($AO$1006:BA1006),$AO$1006:$BQ$1006,0))&gt;=100000), " ",IF(INDEX($AO$2:$BQ$1001,MATCH(ROWS($AH$2:AH191),$AH$2:$AH$1001,0),MATCH(COLUMNS($AO$1006:BA1006),$AO$1006:$BQ$1006,0)), HYPERLINK("#",""), HYPERLINK(CONCATENATE("#Metadata!", ADDRESS(INDEX($AJ$2:$AJ$1001,MATCH(ROWS($AH$2:AH191),$AH$2:$AH$1001,0),0), INDEX($AO$1004:$BQ$1004,1,MATCH(COLUMNS($AO$1006:BA1006),$AO$1006:$BQ$1006,0)))),"Fix")))</f>
        <v>#N/A</v>
      </c>
      <c r="O191" s="5" t="e">
        <f ca="1">IF(OR(INDEX($AI$2:$AI$1001,MATCH(ROWS($AH$2:AH191),$AH$2:$AH$1001,0),1)&gt;=100000,INDEX($AO$1005:$BQ$1005,1,MATCH(COLUMNS($AO$1006:BB1006),$AO$1006:$BQ$1006,0))&gt;=100000), " ",IF(INDEX($AO$2:$BQ$1001,MATCH(ROWS($AH$2:AH191),$AH$2:$AH$1001,0),MATCH(COLUMNS($AO$1006:BB1006),$AO$1006:$BQ$1006,0)), HYPERLINK("#",""), HYPERLINK(CONCATENATE("#Metadata!", ADDRESS(INDEX($AJ$2:$AJ$1001,MATCH(ROWS($AH$2:AH191),$AH$2:$AH$1001,0),0), INDEX($AO$1004:$BQ$1004,1,MATCH(COLUMNS($AO$1006:BB1006),$AO$1006:$BQ$1006,0)))),"Fix")))</f>
        <v>#N/A</v>
      </c>
      <c r="P191" s="5" t="e">
        <f ca="1">IF(OR(INDEX($AI$2:$AI$1001,MATCH(ROWS($AH$2:AH191),$AH$2:$AH$1001,0),1)&gt;=100000,INDEX($AO$1005:$BQ$1005,1,MATCH(COLUMNS($AO$1006:BC1006),$AO$1006:$BQ$1006,0))&gt;=100000), " ",IF(INDEX($AO$2:$BQ$1001,MATCH(ROWS($AH$2:AH191),$AH$2:$AH$1001,0),MATCH(COLUMNS($AO$1006:BC1006),$AO$1006:$BQ$1006,0)), HYPERLINK("#",""), HYPERLINK(CONCATENATE("#Metadata!", ADDRESS(INDEX($AJ$2:$AJ$1001,MATCH(ROWS($AH$2:AH191),$AH$2:$AH$1001,0),0), INDEX($AO$1004:$BQ$1004,1,MATCH(COLUMNS($AO$1006:BC1006),$AO$1006:$BQ$1006,0)))),"Fix")))</f>
        <v>#N/A</v>
      </c>
      <c r="Q191" s="5" t="e">
        <f ca="1">IF(OR(INDEX($AI$2:$AI$1001,MATCH(ROWS($AH$2:AH191),$AH$2:$AH$1001,0),1)&gt;=100000,INDEX($AO$1005:$BQ$1005,1,MATCH(COLUMNS($AO$1006:BD1006),$AO$1006:$BQ$1006,0))&gt;=100000), " ",IF(INDEX($AO$2:$BQ$1001,MATCH(ROWS($AH$2:AH191),$AH$2:$AH$1001,0),MATCH(COLUMNS($AO$1006:BD1006),$AO$1006:$BQ$1006,0)), HYPERLINK("#",""), HYPERLINK(CONCATENATE("#Metadata!", ADDRESS(INDEX($AJ$2:$AJ$1001,MATCH(ROWS($AH$2:AH191),$AH$2:$AH$1001,0),0), INDEX($AO$1004:$BQ$1004,1,MATCH(COLUMNS($AO$1006:BD1006),$AO$1006:$BQ$1006,0)))),"Fix")))</f>
        <v>#N/A</v>
      </c>
      <c r="R191" s="5" t="e">
        <f ca="1">IF(OR(INDEX($AI$2:$AI$1001,MATCH(ROWS($AH$2:AH191),$AH$2:$AH$1001,0),1)&gt;=100000,INDEX($AO$1005:$BQ$1005,1,MATCH(COLUMNS($AO$1006:BE1006),$AO$1006:$BQ$1006,0))&gt;=100000), " ",IF(INDEX($AO$2:$BQ$1001,MATCH(ROWS($AH$2:AH191),$AH$2:$AH$1001,0),MATCH(COLUMNS($AO$1006:BE1006),$AO$1006:$BQ$1006,0)), HYPERLINK("#",""), HYPERLINK(CONCATENATE("#Metadata!", ADDRESS(INDEX($AJ$2:$AJ$1001,MATCH(ROWS($AH$2:AH191),$AH$2:$AH$1001,0),0), INDEX($AO$1004:$BQ$1004,1,MATCH(COLUMNS($AO$1006:BE1006),$AO$1006:$BQ$1006,0)))),"Fix")))</f>
        <v>#N/A</v>
      </c>
      <c r="S191" s="5" t="e">
        <f ca="1">IF(OR(INDEX($AI$2:$AI$1001,MATCH(ROWS($AH$2:AH191),$AH$2:$AH$1001,0),1)&gt;=100000,INDEX($AO$1005:$BQ$1005,1,MATCH(COLUMNS($AO$1006:BF1006),$AO$1006:$BQ$1006,0))&gt;=100000), " ",IF(INDEX($AO$2:$BQ$1001,MATCH(ROWS($AH$2:AH191),$AH$2:$AH$1001,0),MATCH(COLUMNS($AO$1006:BF1006),$AO$1006:$BQ$1006,0)), HYPERLINK("#",""), HYPERLINK(CONCATENATE("#Metadata!", ADDRESS(INDEX($AJ$2:$AJ$1001,MATCH(ROWS($AH$2:AH191),$AH$2:$AH$1001,0),0), INDEX($AO$1004:$BQ$1004,1,MATCH(COLUMNS($AO$1006:BF1006),$AO$1006:$BQ$1006,0)))),"Fix")))</f>
        <v>#N/A</v>
      </c>
      <c r="T191" s="5" t="e">
        <f ca="1">IF(OR(INDEX($AI$2:$AI$1001,MATCH(ROWS($AH$2:AH191),$AH$2:$AH$1001,0),1)&gt;=100000,INDEX($AO$1005:$BQ$1005,1,MATCH(COLUMNS($AO$1006:BG1006),$AO$1006:$BQ$1006,0))&gt;=100000), " ",IF(INDEX($AO$2:$BQ$1001,MATCH(ROWS($AH$2:AH191),$AH$2:$AH$1001,0),MATCH(COLUMNS($AO$1006:BG1006),$AO$1006:$BQ$1006,0)), HYPERLINK("#",""), HYPERLINK(CONCATENATE("#Metadata!", ADDRESS(INDEX($AJ$2:$AJ$1001,MATCH(ROWS($AH$2:AH191),$AH$2:$AH$1001,0),0), INDEX($AO$1004:$BQ$1004,1,MATCH(COLUMNS($AO$1006:BG1006),$AO$1006:$BQ$1006,0)))),"Fix")))</f>
        <v>#N/A</v>
      </c>
      <c r="U191" s="5" t="e">
        <f ca="1">IF(OR(INDEX($AI$2:$AI$1001,MATCH(ROWS($AH$2:AH191),$AH$2:$AH$1001,0),1)&gt;=100000,INDEX($AO$1005:$BQ$1005,1,MATCH(COLUMNS($AO$1006:BH1006),$AO$1006:$BQ$1006,0))&gt;=100000), " ",IF(INDEX($AO$2:$BQ$1001,MATCH(ROWS($AH$2:AH191),$AH$2:$AH$1001,0),MATCH(COLUMNS($AO$1006:BH1006),$AO$1006:$BQ$1006,0)), HYPERLINK("#",""), HYPERLINK(CONCATENATE("#Metadata!", ADDRESS(INDEX($AJ$2:$AJ$1001,MATCH(ROWS($AH$2:AH191),$AH$2:$AH$1001,0),0), INDEX($AO$1004:$BQ$1004,1,MATCH(COLUMNS($AO$1006:BH1006),$AO$1006:$BQ$1006,0)))),"Fix")))</f>
        <v>#N/A</v>
      </c>
      <c r="V191" s="5" t="e">
        <f ca="1">IF(OR(INDEX($AI$2:$AI$1001,MATCH(ROWS($AH$2:AH191),$AH$2:$AH$1001,0),1)&gt;=100000,INDEX($AO$1005:$BQ$1005,1,MATCH(COLUMNS($AO$1006:BI1006),$AO$1006:$BQ$1006,0))&gt;=100000), " ",IF(INDEX($AO$2:$BQ$1001,MATCH(ROWS($AH$2:AH191),$AH$2:$AH$1001,0),MATCH(COLUMNS($AO$1006:BI1006),$AO$1006:$BQ$1006,0)), HYPERLINK("#",""), HYPERLINK(CONCATENATE("#Metadata!", ADDRESS(INDEX($AJ$2:$AJ$1001,MATCH(ROWS($AH$2:AH191),$AH$2:$AH$1001,0),0), INDEX($AO$1004:$BQ$1004,1,MATCH(COLUMNS($AO$1006:BI1006),$AO$1006:$BQ$1006,0)))),"Fix")))</f>
        <v>#N/A</v>
      </c>
      <c r="W191" s="5" t="e">
        <f ca="1">IF(OR(INDEX($AI$2:$AI$1001,MATCH(ROWS($AH$2:AH191),$AH$2:$AH$1001,0),1)&gt;=100000,INDEX($AO$1005:$BQ$1005,1,MATCH(COLUMNS($AO$1006:BJ1006),$AO$1006:$BQ$1006,0))&gt;=100000), " ",IF(INDEX($AO$2:$BQ$1001,MATCH(ROWS($AH$2:AH191),$AH$2:$AH$1001,0),MATCH(COLUMNS($AO$1006:BJ1006),$AO$1006:$BQ$1006,0)), HYPERLINK("#",""), HYPERLINK(CONCATENATE("#Metadata!", ADDRESS(INDEX($AJ$2:$AJ$1001,MATCH(ROWS($AH$2:AH191),$AH$2:$AH$1001,0),0), INDEX($AO$1004:$BQ$1004,1,MATCH(COLUMNS($AO$1006:BJ1006),$AO$1006:$BQ$1006,0)))),"Fix")))</f>
        <v>#N/A</v>
      </c>
      <c r="X191" s="5" t="e">
        <f ca="1">IF(OR(INDEX($AI$2:$AI$1001,MATCH(ROWS($AH$2:AH191),$AH$2:$AH$1001,0),1)&gt;=100000,INDEX($AO$1005:$BQ$1005,1,MATCH(COLUMNS($AO$1006:BK1006),$AO$1006:$BQ$1006,0))&gt;=100000), " ",IF(INDEX($AO$2:$BQ$1001,MATCH(ROWS($AH$2:AH191),$AH$2:$AH$1001,0),MATCH(COLUMNS($AO$1006:BK1006),$AO$1006:$BQ$1006,0)), HYPERLINK("#",""), HYPERLINK(CONCATENATE("#Metadata!", ADDRESS(INDEX($AJ$2:$AJ$1001,MATCH(ROWS($AH$2:AH191),$AH$2:$AH$1001,0),0), INDEX($AO$1004:$BQ$1004,1,MATCH(COLUMNS($AO$1006:BK1006),$AO$1006:$BQ$1006,0)))),"Fix")))</f>
        <v>#N/A</v>
      </c>
      <c r="Y191" s="5" t="e">
        <f ca="1">IF(OR(INDEX($AI$2:$AI$1001,MATCH(ROWS($AH$2:AH191),$AH$2:$AH$1001,0),1)&gt;=100000,INDEX($AO$1005:$BQ$1005,1,MATCH(COLUMNS($AO$1006:BL1006),$AO$1006:$BQ$1006,0))&gt;=100000), " ",IF(INDEX($AO$2:$BQ$1001,MATCH(ROWS($AH$2:AH191),$AH$2:$AH$1001,0),MATCH(COLUMNS($AO$1006:BL1006),$AO$1006:$BQ$1006,0)), HYPERLINK("#",""), HYPERLINK(CONCATENATE("#Metadata!", ADDRESS(INDEX($AJ$2:$AJ$1001,MATCH(ROWS($AH$2:AH191),$AH$2:$AH$1001,0),0), INDEX($AO$1004:$BQ$1004,1,MATCH(COLUMNS($AO$1006:BL1006),$AO$1006:$BQ$1006,0)))),"Fix")))</f>
        <v>#N/A</v>
      </c>
      <c r="Z191" s="5" t="e">
        <f ca="1">IF(OR(INDEX($AI$2:$AI$1001,MATCH(ROWS($AH$2:AH191),$AH$2:$AH$1001,0),1)&gt;=100000,INDEX($AO$1005:$BQ$1005,1,MATCH(COLUMNS($AO$1006:BM1006),$AO$1006:$BQ$1006,0))&gt;=100000), " ",IF(INDEX($AO$2:$BQ$1001,MATCH(ROWS($AH$2:AH191),$AH$2:$AH$1001,0),MATCH(COLUMNS($AO$1006:BM1006),$AO$1006:$BQ$1006,0)), HYPERLINK("#",""), HYPERLINK(CONCATENATE("#Metadata!", ADDRESS(INDEX($AJ$2:$AJ$1001,MATCH(ROWS($AH$2:AH191),$AH$2:$AH$1001,0),0), INDEX($AO$1004:$BQ$1004,1,MATCH(COLUMNS($AO$1006:BM1006),$AO$1006:$BQ$1006,0)))),"Fix")))</f>
        <v>#N/A</v>
      </c>
      <c r="AA191" s="5" t="e">
        <f ca="1">IF(OR(INDEX($AI$2:$AI$1001,MATCH(ROWS($AH$2:AH191),$AH$2:$AH$1001,0),1)&gt;=100000,INDEX($AO$1005:$BQ$1005,1,MATCH(COLUMNS($AO$1006:BN1006),$AO$1006:$BQ$1006,0))&gt;=100000), " ",IF(INDEX($AO$2:$BQ$1001,MATCH(ROWS($AH$2:AH191),$AH$2:$AH$1001,0),MATCH(COLUMNS($AO$1006:BN1006),$AO$1006:$BQ$1006,0)), HYPERLINK("#",""), HYPERLINK(CONCATENATE("#Metadata!", ADDRESS(INDEX($AJ$2:$AJ$1001,MATCH(ROWS($AH$2:AH191),$AH$2:$AH$1001,0),0), INDEX($AO$1004:$BQ$1004,1,MATCH(COLUMNS($AO$1006:BN1006),$AO$1006:$BQ$1006,0)))),"Fix")))</f>
        <v>#N/A</v>
      </c>
      <c r="AB191" s="5" t="e">
        <f ca="1">IF(OR(INDEX($AI$2:$AI$1001,MATCH(ROWS($AH$2:AH191),$AH$2:$AH$1001,0),1)&gt;=100000,INDEX($AO$1005:$BQ$1005,1,MATCH(COLUMNS($AO$1006:BO1006),$AO$1006:$BQ$1006,0))&gt;=100000), " ",IF(INDEX($AO$2:$BQ$1001,MATCH(ROWS($AH$2:AH191),$AH$2:$AH$1001,0),MATCH(COLUMNS($AO$1006:BO1006),$AO$1006:$BQ$1006,0)), HYPERLINK("#",""), HYPERLINK(CONCATENATE("#Metadata!", ADDRESS(INDEX($AJ$2:$AJ$1001,MATCH(ROWS($AH$2:AH191),$AH$2:$AH$1001,0),0), INDEX($AO$1004:$BQ$1004,1,MATCH(COLUMNS($AO$1006:BO1006),$AO$1006:$BQ$1006,0)))),"Fix")))</f>
        <v>#N/A</v>
      </c>
      <c r="AC191" s="5" t="e">
        <f ca="1">IF(OR(INDEX($AI$2:$AI$1001,MATCH(ROWS($AH$2:AH191),$AH$2:$AH$1001,0),1)&gt;=100000,INDEX($AO$1005:$BQ$1005,1,MATCH(COLUMNS($AO$1006:BP1006),$AO$1006:$BQ$1006,0))&gt;=100000), " ",IF(INDEX($AO$2:$BQ$1001,MATCH(ROWS($AH$2:AH191),$AH$2:$AH$1001,0),MATCH(COLUMNS($AO$1006:BP1006),$AO$1006:$BQ$1006,0)), HYPERLINK("#",""), HYPERLINK(CONCATENATE("#Metadata!", ADDRESS(INDEX($AJ$2:$AJ$1001,MATCH(ROWS($AH$2:AH191),$AH$2:$AH$1001,0),0), INDEX($AO$1004:$BQ$1004,1,MATCH(COLUMNS($AO$1006:BP1006),$AO$1006:$BQ$1006,0)))),"Fix")))</f>
        <v>#N/A</v>
      </c>
      <c r="AD191" s="5" t="e">
        <f ca="1">IF(OR(INDEX($AI$2:$AI$1001,MATCH(ROWS($AH$2:AH191),$AH$2:$AH$1001,0),1)&gt;=100000,INDEX($AO$1005:$BQ$1005,1,MATCH(COLUMNS($AO$1006:BQ1006),$AO$1006:$BQ$1006,0))&gt;=100000), " ",IF(INDEX($AO$2:$BQ$1001,MATCH(ROWS($AH$2:AH191),$AH$2:$AH$1001,0),MATCH(COLUMNS($AO$1006:BQ1006),$AO$1006:$BQ$1006,0)), HYPERLINK("#",""), HYPERLINK(CONCATENATE("#Metadata!", ADDRESS(INDEX($AJ$2:$AJ$1001,MATCH(ROWS($AH$2:AH191),$AH$2:$AH$1001,0),0), INDEX($AO$1004:$BQ$1004,1,MATCH(COLUMNS($AO$1006:BQ1006),$AO$1006:$BQ$1006,0)))),"Fix")))</f>
        <v>#REF!</v>
      </c>
      <c r="AH191">
        <f ca="1"/>
        <v>188</v>
      </c>
      <c r="AI191">
        <v>100191</v>
      </c>
      <c r="AJ191">
        <v>191</v>
      </c>
      <c r="AK191" t="b">
        <f t="shared" si="2"/>
        <v>1</v>
      </c>
      <c r="AL191" t="b">
        <f>COUNTBLANK(Metadata!B191:AD191)=COLUMNS(Metadata!B191:AD191)</f>
        <v>1</v>
      </c>
      <c r="AM191" t="str">
        <v/>
      </c>
      <c r="AO191" t="b">
        <f ca="1">AND(IF(Metadata!B191="",FALSE,TRUE),COUNTIF(Metadata!B:B, Metadata!B191) = 1,NOT(ISERROR(SUMPRODUCT(SEARCH(MID(Metadata!B191,ROW(INDIRECT("1:"&amp;LEN(Metadata!B191))), 1),"0123456789abcdefghijklmnopqrstuvwxyzABCDEFGHIJKLMNOPQRSTUVWXYZ.")))))</f>
        <v>0</v>
      </c>
      <c r="AP191" t="b">
        <f>IF(Metadata!C191="",FALSE,TRUE)</f>
        <v>0</v>
      </c>
      <c r="AQ191" t="b">
        <f>IF(Metadata!D191="",FALSE,TRUE)</f>
        <v>0</v>
      </c>
      <c r="AR191" t="b">
        <f ca="1">OR(AND(IF(Metadata!E191="",FALSE,TRUE),OR(EXACT(Metadata!E191,"not collected"),EXACT(Metadata!E191,"not provided"),EXACT(Metadata!E191,"restricted access"))),AND(IF(Metadata!E191="",FALSE,TRUE),AND(AND(IFERROR(INT(LEFT(Metadata!E191,4))&gt;1900,FALSE),IFERROR(INT(LEFT(Metadata!E191,4))&lt;=YEAR(NOW()),FALSE)), OR(MID(Metadata!E191,5,1)="", AND(AND(MID(Metadata!E191,5,1)="-",IFERROR(INT(MID(Metadata!E191,6,1))&gt;=0,FALSE),IFERROR(INT(MID(Metadata!E191,6,1))&lt;=1,FALSE),NOT(MID(Metadata!E191,7,1)=""),IFERROR(INT(MID(Metadata!E191,6,2))&gt;=1,FALSE),IFERROR(INT(MID(Metadata!E191,6,2))&lt;=12,FALSE)), OR(MID(Metadata!E191,8,1)="", AND(AND(MID(Metadata!E191,8,1)="-",IFERROR(INT(MID(Metadata!E191,9,1))&gt;=0,FALSE),IFERROR(INT(MID(Metadata!E191,9,1))&lt;=3,FALSE),NOT(MID(Metadata!E191,10,1)=""),IFERROR(INT(MID(Metadata!E191,9,2))&gt;=1,FALSE),IFERROR(INT(MID(Metadata!E191,9,2))&lt;=31,FALSE)), OR(MID(Metadata!E191,11,1)="", AND(AND(MID(Metadata!E191,11,1)=" ",IFERROR(INT(MID(Metadata!E191,12,1))&gt;=0,FALSE),IFERROR(INT(MID(Metadata!E191,12,1))&lt;=2,FALSE),NOT(MID(Metadata!E191,13,1)=""),IFERROR(INT(MID(Metadata!E191,12,2))&gt;=0,FALSE),IFERROR(INT(MID(Metadata!E191,12,2))&lt;=23,FALSE)), OR(MID(Metadata!E191,14,1)="", AND(AND(MID(Metadata!E191,14,1)=":",IFERROR(INT(MID(Metadata!E191,15,1))&gt;=0,FALSE),IFERROR(INT(MID(Metadata!E191,15,1))&lt;=5,FALSE),NOT(MID(Metadata!E191,16,1)=""),IFERROR(INT(MID(Metadata!E191,15,2))&gt;=0,FALSE),IFERROR(INT(MID(Metadata!E191,15,2))&lt;=59,FALSE)), OR(MID(Metadata!E191,17,1)="", AND(AND(MID(Metadata!E191,17,1)=":",IFERROR(INT(MID(Metadata!E191,18,1))&gt;=0,FALSE),IFERROR(INT(MID(Metadata!E191,18,1))&lt;=5,FALSE),NOT(MID(Metadata!E191,19,1)=""),IFERROR(INT(MID(Metadata!E191,18,2))&gt;=0,FALSE),IFERROR(INT(MID(Metadata!E191,18,2))&lt;=59,FALSE)), LEN(Metadata!E191)&lt;=19)))))))))))))</f>
        <v>0</v>
      </c>
      <c r="AS191" t="b">
        <f>IF(Metadata!F191="",FALSE,TRUE)</f>
        <v>0</v>
      </c>
      <c r="AT191" t="b">
        <f>OR(AND(IF(Metadata!G191="",FALSE,TRUE),OR(EXACT(Metadata!G191,"not collected"),EXACT(Metadata!G191,"not provided"))),AND(IF(Metadata!G191="",FALSE,TRUE),OR(EXACT(Metadata!G191,"TRUE"),EXACT(Metadata!G191,"FALSE"))))</f>
        <v>0</v>
      </c>
      <c r="AU191" t="b">
        <f>OR(AND(IF(Metadata!H191="",FALSE,TRUE),OR(EXACT(Metadata!H191,"not collected"),EXACT(Metadata!H191,"not provided"),EXACT(Metadata!H191,"restricted access"))),AND(IF(Metadata!H191="",FALSE,ISNUMBER(VALUE(Metadata!H191))),Metadata!H191&gt;=-413))</f>
        <v>0</v>
      </c>
      <c r="AV191" t="b">
        <f>AND(IF(Metadata!I191="",FALSE,TRUE),EXACT(Metadata!I191,"meters"))</f>
        <v>0</v>
      </c>
      <c r="AW191" t="b">
        <f>AND(IF(Metadata!J191="",FALSE,TRUE),EXACT(Metadata!J191,"free-living"))</f>
        <v>0</v>
      </c>
      <c r="AX191" t="b">
        <f>AND(IF(Metadata!K191="",FALSE,TRUE),OR(EXACT(Metadata!K191,"saline"),EXACT(Metadata!K191,"non-saline")))</f>
        <v>0</v>
      </c>
      <c r="AY191" t="b">
        <f>AND(IF(Metadata!L191="",FALSE,TRUE),OR(EXACT(Metadata!L191,"sub-surface (non-saline)"),EXACT(Metadata!L191,"surface (non-saline)"),EXACT(Metadata!L191,"water (non-saline)"),EXACT(Metadata!L191,"soil (non-saline)"),EXACT(Metadata!L191,"aerosol (non-saline)"),EXACT(Metadata!L191,"sediment (non-saline)"),EXACT(Metadata!L191,"surface (saline)"),EXACT(Metadata!L191,"water (saline)"),EXACT(Metadata!L191,"hypersaline (saline)"),EXACT(Metadata!L191,"aerosol (saline)"),EXACT(Metadata!L191,"sediment (saline)")))</f>
        <v>0</v>
      </c>
      <c r="AZ191" t="b">
        <f>IF(Metadata!M191="",FALSE,TRUE)</f>
        <v>0</v>
      </c>
      <c r="BA191" t="b">
        <f>IF(Metadata!N191="",FALSE,TRUE)</f>
        <v>0</v>
      </c>
      <c r="BB191" t="b">
        <f>IF(Metadata!O191="",FALSE,TRUE)</f>
        <v>0</v>
      </c>
      <c r="BC191" t="b">
        <f>AND(IF(Metadata!P191="",FALSE,TRUE),OR(EXACT(Metadata!P191,"air"),EXACT(Metadata!P191,"microbial mat/biofilm"),EXACT(Metadata!P191,"misc environment"),EXACT(Metadata!P191,"sediment"),EXACT(Metadata!P191,"soil"),EXACT(Metadata!P191,"wastewater/sludge"),EXACT(Metadata!P191,"water")))</f>
        <v>0</v>
      </c>
      <c r="BD191" t="b">
        <f>IF(Metadata!Q191="",FALSE,TRUE)</f>
        <v>0</v>
      </c>
      <c r="BE191" t="b">
        <f>IF(Metadata!R191="",FALSE,TRUE)</f>
        <v>0</v>
      </c>
      <c r="BF191" t="b">
        <f>OR(AND(IF(Metadata!S191="",FALSE,TRUE),OR(EXACT(Metadata!S191,"not collected"),EXACT(Metadata!S191,"not provided"),EXACT(Metadata!S191,"restricted access"))),AND(IF(Metadata!S191="",FALSE,ISNUMBER(VALUE(Metadata!S191))),Metadata!S191&gt;=-90,Metadata!S191&lt;=90))</f>
        <v>0</v>
      </c>
      <c r="BG191" t="b">
        <f>AND(IF(Metadata!T191="",FALSE,TRUE),EXACT(Metadata!T191,"Decimal degrees"))</f>
        <v>0</v>
      </c>
      <c r="BH191" t="b">
        <f>OR(AND(IF(Metadata!U191="",FALSE,TRUE),OR(EXACT(Metadata!U191,"not applicable"),EXACT(Metadata!U191,"not collected"))),IF(Metadata!U191="",FALSE,TRUE))</f>
        <v>0</v>
      </c>
      <c r="BI191" t="b">
        <f>OR(AND(IF(Metadata!V191="",FALSE,TRUE),OR(EXACT(Metadata!V191,"not collected"),EXACT(Metadata!V191,"not provided"),EXACT(Metadata!V191,"restricted access"))),AND(IF(Metadata!V191="",FALSE,ISNUMBER(VALUE(Metadata!V191))),Metadata!V191&gt;=-180,Metadata!V191&lt;=180))</f>
        <v>0</v>
      </c>
      <c r="BJ191" t="b">
        <f>AND(IF(Metadata!W191="",FALSE,TRUE),EXACT(Metadata!W191,"Decimal degrees"))</f>
        <v>0</v>
      </c>
      <c r="BK191" t="b">
        <f>IF(Metadata!X191="",FALSE,TRUE)</f>
        <v>0</v>
      </c>
      <c r="BL191" t="b">
        <f>OR(AND(IF(Metadata!Y191="",FALSE,TRUE),OR(EXACT(Metadata!Y191,"not collected"),EXACT(Metadata!Y191,"not provided"),EXACT(Metadata!Y191,"restricted access"))),AND(IF(Metadata!Y191="",FALSE,TRUE),OR(EXACT(Metadata!Y191,"TRUE"),EXACT(Metadata!Y191,"FALSE"))))</f>
        <v>0</v>
      </c>
      <c r="BM191" t="b">
        <f>OR(AND(IF(Metadata!Z191="",FALSE,TRUE),EXACT(Metadata!Z191,"not applicable")),AND(IF(Metadata!Z191="",FALSE,TRUE),OR(EXACT(Metadata!Z191,"beer"),EXACT(Metadata!Z191,"cheese"),EXACT(Metadata!Z191,"fresh water"),EXACT(Metadata!Z191,"marine sediment"),EXACT(Metadata!Z191,"sea water"),EXACT(Metadata!Z191,"sediment"),EXACT(Metadata!Z191,"soil"),EXACT(Metadata!Z191,"waste water"))))</f>
        <v>0</v>
      </c>
      <c r="BN191" t="b">
        <f>AND(IF(Metadata!AA191="",FALSE,TRUE),EXACT(Metadata!AA191,"metagenome"))</f>
        <v>0</v>
      </c>
      <c r="BO191" t="b">
        <f>AND(IF(Metadata!AB191="",FALSE,TRUE),EXACT(Metadata!AB191,"256318"))</f>
        <v>0</v>
      </c>
      <c r="BP191" t="b">
        <f>IF(Metadata!AC191="",FALSE,TRUE)</f>
        <v>0</v>
      </c>
      <c r="BQ191" t="b">
        <f>IF(Metadata!AD191="",FALSE,TRUE)</f>
        <v>0</v>
      </c>
    </row>
    <row r="192" spans="1:69" x14ac:dyDescent="0.2">
      <c r="A192" s="4" t="e">
        <f ca="1">IF(B192=" "," ",HYPERLINK(CONCATENATE("#metadata!",ADDRESS(INDEX($AJ$2:$AJ$1001,MATCH(ROWS($AH$2:AH192),$AH$2:$AH$1001,0),0),2)),INDEX($AM$2:$AM$1001,MATCH(ROWS($AH$2:AH192),$AH$2:$AH$1001,0),0)))</f>
        <v>#N/A</v>
      </c>
      <c r="B192" s="5" t="e">
        <f ca="1">IF(OR(INDEX($AI$2:$AI$1001,MATCH(ROWS($AH$2:AH192),$AH$2:$AH$1001,0),1)&gt;=100000,INDEX($AO$1005:$BQ$1005,1,MATCH(COLUMNS($AO$1006:AO1006),$AO$1006:$BQ$1006,0))&gt;=100000), " ",IF(INDEX($AO$2:$BQ$1001,MATCH(ROWS($AH$2:AH192),$AH$2:$AH$1001,0),MATCH(COLUMNS($AO$1006:AO1006),$AO$1006:$BQ$1006,0)), HYPERLINK("#",""), HYPERLINK(CONCATENATE("#Metadata!", ADDRESS(INDEX($AJ$2:$AJ$1001,MATCH(ROWS($AH$2:AH192),$AH$2:$AH$1001,0),0), INDEX($AO$1004:$BQ$1004,1,MATCH(COLUMNS($AO$1006:AO1006),$AO$1006:$BQ$1006,0)))),"Fix")))</f>
        <v>#N/A</v>
      </c>
      <c r="C192" s="5" t="e">
        <f ca="1">IF(OR(INDEX($AI$2:$AI$1001,MATCH(ROWS($AH$2:AH192),$AH$2:$AH$1001,0),1)&gt;=100000,INDEX($AO$1005:$BQ$1005,1,MATCH(COLUMNS($AO$1006:AP1006),$AO$1006:$BQ$1006,0))&gt;=100000), " ",IF(INDEX($AO$2:$BQ$1001,MATCH(ROWS($AH$2:AH192),$AH$2:$AH$1001,0),MATCH(COLUMNS($AO$1006:AP1006),$AO$1006:$BQ$1006,0)), HYPERLINK("#",""), HYPERLINK(CONCATENATE("#Metadata!", ADDRESS(INDEX($AJ$2:$AJ$1001,MATCH(ROWS($AH$2:AH192),$AH$2:$AH$1001,0),0), INDEX($AO$1004:$BQ$1004,1,MATCH(COLUMNS($AO$1006:AP1006),$AO$1006:$BQ$1006,0)))),"Fix")))</f>
        <v>#N/A</v>
      </c>
      <c r="D192" s="5" t="e">
        <f ca="1">IF(OR(INDEX($AI$2:$AI$1001,MATCH(ROWS($AH$2:AH192),$AH$2:$AH$1001,0),1)&gt;=100000,INDEX($AO$1005:$BQ$1005,1,MATCH(COLUMNS($AO$1006:AQ1006),$AO$1006:$BQ$1006,0))&gt;=100000), " ",IF(INDEX($AO$2:$BQ$1001,MATCH(ROWS($AH$2:AH192),$AH$2:$AH$1001,0),MATCH(COLUMNS($AO$1006:AQ1006),$AO$1006:$BQ$1006,0)), HYPERLINK("#",""), HYPERLINK(CONCATENATE("#Metadata!", ADDRESS(INDEX($AJ$2:$AJ$1001,MATCH(ROWS($AH$2:AH192),$AH$2:$AH$1001,0),0), INDEX($AO$1004:$BQ$1004,1,MATCH(COLUMNS($AO$1006:AQ1006),$AO$1006:$BQ$1006,0)))),"Fix")))</f>
        <v>#N/A</v>
      </c>
      <c r="E192" s="5" t="e">
        <f ca="1">IF(OR(INDEX($AI$2:$AI$1001,MATCH(ROWS($AH$2:AH192),$AH$2:$AH$1001,0),1)&gt;=100000,INDEX($AO$1005:$BQ$1005,1,MATCH(COLUMNS($AO$1006:AR1006),$AO$1006:$BQ$1006,0))&gt;=100000), " ",IF(INDEX($AO$2:$BQ$1001,MATCH(ROWS($AH$2:AH192),$AH$2:$AH$1001,0),MATCH(COLUMNS($AO$1006:AR1006),$AO$1006:$BQ$1006,0)), HYPERLINK("#",""), HYPERLINK(CONCATENATE("#Metadata!", ADDRESS(INDEX($AJ$2:$AJ$1001,MATCH(ROWS($AH$2:AH192),$AH$2:$AH$1001,0),0), INDEX($AO$1004:$BQ$1004,1,MATCH(COLUMNS($AO$1006:AR1006),$AO$1006:$BQ$1006,0)))),"Fix")))</f>
        <v>#N/A</v>
      </c>
      <c r="F192" s="5" t="e">
        <f ca="1">IF(OR(INDEX($AI$2:$AI$1001,MATCH(ROWS($AH$2:AH192),$AH$2:$AH$1001,0),1)&gt;=100000,INDEX($AO$1005:$BQ$1005,1,MATCH(COLUMNS($AO$1006:AS1006),$AO$1006:$BQ$1006,0))&gt;=100000), " ",IF(INDEX($AO$2:$BQ$1001,MATCH(ROWS($AH$2:AH192),$AH$2:$AH$1001,0),MATCH(COLUMNS($AO$1006:AS1006),$AO$1006:$BQ$1006,0)), HYPERLINK("#",""), HYPERLINK(CONCATENATE("#Metadata!", ADDRESS(INDEX($AJ$2:$AJ$1001,MATCH(ROWS($AH$2:AH192),$AH$2:$AH$1001,0),0), INDEX($AO$1004:$BQ$1004,1,MATCH(COLUMNS($AO$1006:AS1006),$AO$1006:$BQ$1006,0)))),"Fix")))</f>
        <v>#N/A</v>
      </c>
      <c r="G192" s="5" t="e">
        <f ca="1">IF(OR(INDEX($AI$2:$AI$1001,MATCH(ROWS($AH$2:AH192),$AH$2:$AH$1001,0),1)&gt;=100000,INDEX($AO$1005:$BQ$1005,1,MATCH(COLUMNS($AO$1006:AT1006),$AO$1006:$BQ$1006,0))&gt;=100000), " ",IF(INDEX($AO$2:$BQ$1001,MATCH(ROWS($AH$2:AH192),$AH$2:$AH$1001,0),MATCH(COLUMNS($AO$1006:AT1006),$AO$1006:$BQ$1006,0)), HYPERLINK("#",""), HYPERLINK(CONCATENATE("#Metadata!", ADDRESS(INDEX($AJ$2:$AJ$1001,MATCH(ROWS($AH$2:AH192),$AH$2:$AH$1001,0),0), INDEX($AO$1004:$BQ$1004,1,MATCH(COLUMNS($AO$1006:AT1006),$AO$1006:$BQ$1006,0)))),"Fix")))</f>
        <v>#N/A</v>
      </c>
      <c r="H192" s="5" t="e">
        <f ca="1">IF(OR(INDEX($AI$2:$AI$1001,MATCH(ROWS($AH$2:AH192),$AH$2:$AH$1001,0),1)&gt;=100000,INDEX($AO$1005:$BQ$1005,1,MATCH(COLUMNS($AO$1006:AU1006),$AO$1006:$BQ$1006,0))&gt;=100000), " ",IF(INDEX($AO$2:$BQ$1001,MATCH(ROWS($AH$2:AH192),$AH$2:$AH$1001,0),MATCH(COLUMNS($AO$1006:AU1006),$AO$1006:$BQ$1006,0)), HYPERLINK("#",""), HYPERLINK(CONCATENATE("#Metadata!", ADDRESS(INDEX($AJ$2:$AJ$1001,MATCH(ROWS($AH$2:AH192),$AH$2:$AH$1001,0),0), INDEX($AO$1004:$BQ$1004,1,MATCH(COLUMNS($AO$1006:AU1006),$AO$1006:$BQ$1006,0)))),"Fix")))</f>
        <v>#N/A</v>
      </c>
      <c r="I192" s="5" t="e">
        <f ca="1">IF(OR(INDEX($AI$2:$AI$1001,MATCH(ROWS($AH$2:AH192),$AH$2:$AH$1001,0),1)&gt;=100000,INDEX($AO$1005:$BQ$1005,1,MATCH(COLUMNS($AO$1006:AV1006),$AO$1006:$BQ$1006,0))&gt;=100000), " ",IF(INDEX($AO$2:$BQ$1001,MATCH(ROWS($AH$2:AH192),$AH$2:$AH$1001,0),MATCH(COLUMNS($AO$1006:AV1006),$AO$1006:$BQ$1006,0)), HYPERLINK("#",""), HYPERLINK(CONCATENATE("#Metadata!", ADDRESS(INDEX($AJ$2:$AJ$1001,MATCH(ROWS($AH$2:AH192),$AH$2:$AH$1001,0),0), INDEX($AO$1004:$BQ$1004,1,MATCH(COLUMNS($AO$1006:AV1006),$AO$1006:$BQ$1006,0)))),"Fix")))</f>
        <v>#N/A</v>
      </c>
      <c r="J192" s="5" t="e">
        <f ca="1">IF(OR(INDEX($AI$2:$AI$1001,MATCH(ROWS($AH$2:AH192),$AH$2:$AH$1001,0),1)&gt;=100000,INDEX($AO$1005:$BQ$1005,1,MATCH(COLUMNS($AO$1006:AW1006),$AO$1006:$BQ$1006,0))&gt;=100000), " ",IF(INDEX($AO$2:$BQ$1001,MATCH(ROWS($AH$2:AH192),$AH$2:$AH$1001,0),MATCH(COLUMNS($AO$1006:AW1006),$AO$1006:$BQ$1006,0)), HYPERLINK("#",""), HYPERLINK(CONCATENATE("#Metadata!", ADDRESS(INDEX($AJ$2:$AJ$1001,MATCH(ROWS($AH$2:AH192),$AH$2:$AH$1001,0),0), INDEX($AO$1004:$BQ$1004,1,MATCH(COLUMNS($AO$1006:AW1006),$AO$1006:$BQ$1006,0)))),"Fix")))</f>
        <v>#N/A</v>
      </c>
      <c r="K192" s="5" t="e">
        <f ca="1">IF(OR(INDEX($AI$2:$AI$1001,MATCH(ROWS($AH$2:AH192),$AH$2:$AH$1001,0),1)&gt;=100000,INDEX($AO$1005:$BQ$1005,1,MATCH(COLUMNS($AO$1006:AX1006),$AO$1006:$BQ$1006,0))&gt;=100000), " ",IF(INDEX($AO$2:$BQ$1001,MATCH(ROWS($AH$2:AH192),$AH$2:$AH$1001,0),MATCH(COLUMNS($AO$1006:AX1006),$AO$1006:$BQ$1006,0)), HYPERLINK("#",""), HYPERLINK(CONCATENATE("#Metadata!", ADDRESS(INDEX($AJ$2:$AJ$1001,MATCH(ROWS($AH$2:AH192),$AH$2:$AH$1001,0),0), INDEX($AO$1004:$BQ$1004,1,MATCH(COLUMNS($AO$1006:AX1006),$AO$1006:$BQ$1006,0)))),"Fix")))</f>
        <v>#N/A</v>
      </c>
      <c r="L192" s="5" t="e">
        <f ca="1">IF(OR(INDEX($AI$2:$AI$1001,MATCH(ROWS($AH$2:AH192),$AH$2:$AH$1001,0),1)&gt;=100000,INDEX($AO$1005:$BQ$1005,1,MATCH(COLUMNS($AO$1006:AY1006),$AO$1006:$BQ$1006,0))&gt;=100000), " ",IF(INDEX($AO$2:$BQ$1001,MATCH(ROWS($AH$2:AH192),$AH$2:$AH$1001,0),MATCH(COLUMNS($AO$1006:AY1006),$AO$1006:$BQ$1006,0)), HYPERLINK("#",""), HYPERLINK(CONCATENATE("#Metadata!", ADDRESS(INDEX($AJ$2:$AJ$1001,MATCH(ROWS($AH$2:AH192),$AH$2:$AH$1001,0),0), INDEX($AO$1004:$BQ$1004,1,MATCH(COLUMNS($AO$1006:AY1006),$AO$1006:$BQ$1006,0)))),"Fix")))</f>
        <v>#N/A</v>
      </c>
      <c r="M192" s="5" t="e">
        <f ca="1">IF(OR(INDEX($AI$2:$AI$1001,MATCH(ROWS($AH$2:AH192),$AH$2:$AH$1001,0),1)&gt;=100000,INDEX($AO$1005:$BQ$1005,1,MATCH(COLUMNS($AO$1006:AZ1006),$AO$1006:$BQ$1006,0))&gt;=100000), " ",IF(INDEX($AO$2:$BQ$1001,MATCH(ROWS($AH$2:AH192),$AH$2:$AH$1001,0),MATCH(COLUMNS($AO$1006:AZ1006),$AO$1006:$BQ$1006,0)), HYPERLINK("#",""), HYPERLINK(CONCATENATE("#Metadata!", ADDRESS(INDEX($AJ$2:$AJ$1001,MATCH(ROWS($AH$2:AH192),$AH$2:$AH$1001,0),0), INDEX($AO$1004:$BQ$1004,1,MATCH(COLUMNS($AO$1006:AZ1006),$AO$1006:$BQ$1006,0)))),"Fix")))</f>
        <v>#N/A</v>
      </c>
      <c r="N192" s="5" t="e">
        <f ca="1">IF(OR(INDEX($AI$2:$AI$1001,MATCH(ROWS($AH$2:AH192),$AH$2:$AH$1001,0),1)&gt;=100000,INDEX($AO$1005:$BQ$1005,1,MATCH(COLUMNS($AO$1006:BA1006),$AO$1006:$BQ$1006,0))&gt;=100000), " ",IF(INDEX($AO$2:$BQ$1001,MATCH(ROWS($AH$2:AH192),$AH$2:$AH$1001,0),MATCH(COLUMNS($AO$1006:BA1006),$AO$1006:$BQ$1006,0)), HYPERLINK("#",""), HYPERLINK(CONCATENATE("#Metadata!", ADDRESS(INDEX($AJ$2:$AJ$1001,MATCH(ROWS($AH$2:AH192),$AH$2:$AH$1001,0),0), INDEX($AO$1004:$BQ$1004,1,MATCH(COLUMNS($AO$1006:BA1006),$AO$1006:$BQ$1006,0)))),"Fix")))</f>
        <v>#N/A</v>
      </c>
      <c r="O192" s="5" t="e">
        <f ca="1">IF(OR(INDEX($AI$2:$AI$1001,MATCH(ROWS($AH$2:AH192),$AH$2:$AH$1001,0),1)&gt;=100000,INDEX($AO$1005:$BQ$1005,1,MATCH(COLUMNS($AO$1006:BB1006),$AO$1006:$BQ$1006,0))&gt;=100000), " ",IF(INDEX($AO$2:$BQ$1001,MATCH(ROWS($AH$2:AH192),$AH$2:$AH$1001,0),MATCH(COLUMNS($AO$1006:BB1006),$AO$1006:$BQ$1006,0)), HYPERLINK("#",""), HYPERLINK(CONCATENATE("#Metadata!", ADDRESS(INDEX($AJ$2:$AJ$1001,MATCH(ROWS($AH$2:AH192),$AH$2:$AH$1001,0),0), INDEX($AO$1004:$BQ$1004,1,MATCH(COLUMNS($AO$1006:BB1006),$AO$1006:$BQ$1006,0)))),"Fix")))</f>
        <v>#N/A</v>
      </c>
      <c r="P192" s="5" t="e">
        <f ca="1">IF(OR(INDEX($AI$2:$AI$1001,MATCH(ROWS($AH$2:AH192),$AH$2:$AH$1001,0),1)&gt;=100000,INDEX($AO$1005:$BQ$1005,1,MATCH(COLUMNS($AO$1006:BC1006),$AO$1006:$BQ$1006,0))&gt;=100000), " ",IF(INDEX($AO$2:$BQ$1001,MATCH(ROWS($AH$2:AH192),$AH$2:$AH$1001,0),MATCH(COLUMNS($AO$1006:BC1006),$AO$1006:$BQ$1006,0)), HYPERLINK("#",""), HYPERLINK(CONCATENATE("#Metadata!", ADDRESS(INDEX($AJ$2:$AJ$1001,MATCH(ROWS($AH$2:AH192),$AH$2:$AH$1001,0),0), INDEX($AO$1004:$BQ$1004,1,MATCH(COLUMNS($AO$1006:BC1006),$AO$1006:$BQ$1006,0)))),"Fix")))</f>
        <v>#N/A</v>
      </c>
      <c r="Q192" s="5" t="e">
        <f ca="1">IF(OR(INDEX($AI$2:$AI$1001,MATCH(ROWS($AH$2:AH192),$AH$2:$AH$1001,0),1)&gt;=100000,INDEX($AO$1005:$BQ$1005,1,MATCH(COLUMNS($AO$1006:BD1006),$AO$1006:$BQ$1006,0))&gt;=100000), " ",IF(INDEX($AO$2:$BQ$1001,MATCH(ROWS($AH$2:AH192),$AH$2:$AH$1001,0),MATCH(COLUMNS($AO$1006:BD1006),$AO$1006:$BQ$1006,0)), HYPERLINK("#",""), HYPERLINK(CONCATENATE("#Metadata!", ADDRESS(INDEX($AJ$2:$AJ$1001,MATCH(ROWS($AH$2:AH192),$AH$2:$AH$1001,0),0), INDEX($AO$1004:$BQ$1004,1,MATCH(COLUMNS($AO$1006:BD1006),$AO$1006:$BQ$1006,0)))),"Fix")))</f>
        <v>#N/A</v>
      </c>
      <c r="R192" s="5" t="e">
        <f ca="1">IF(OR(INDEX($AI$2:$AI$1001,MATCH(ROWS($AH$2:AH192),$AH$2:$AH$1001,0),1)&gt;=100000,INDEX($AO$1005:$BQ$1005,1,MATCH(COLUMNS($AO$1006:BE1006),$AO$1006:$BQ$1006,0))&gt;=100000), " ",IF(INDEX($AO$2:$BQ$1001,MATCH(ROWS($AH$2:AH192),$AH$2:$AH$1001,0),MATCH(COLUMNS($AO$1006:BE1006),$AO$1006:$BQ$1006,0)), HYPERLINK("#",""), HYPERLINK(CONCATENATE("#Metadata!", ADDRESS(INDEX($AJ$2:$AJ$1001,MATCH(ROWS($AH$2:AH192),$AH$2:$AH$1001,0),0), INDEX($AO$1004:$BQ$1004,1,MATCH(COLUMNS($AO$1006:BE1006),$AO$1006:$BQ$1006,0)))),"Fix")))</f>
        <v>#N/A</v>
      </c>
      <c r="S192" s="5" t="e">
        <f ca="1">IF(OR(INDEX($AI$2:$AI$1001,MATCH(ROWS($AH$2:AH192),$AH$2:$AH$1001,0),1)&gt;=100000,INDEX($AO$1005:$BQ$1005,1,MATCH(COLUMNS($AO$1006:BF1006),$AO$1006:$BQ$1006,0))&gt;=100000), " ",IF(INDEX($AO$2:$BQ$1001,MATCH(ROWS($AH$2:AH192),$AH$2:$AH$1001,0),MATCH(COLUMNS($AO$1006:BF1006),$AO$1006:$BQ$1006,0)), HYPERLINK("#",""), HYPERLINK(CONCATENATE("#Metadata!", ADDRESS(INDEX($AJ$2:$AJ$1001,MATCH(ROWS($AH$2:AH192),$AH$2:$AH$1001,0),0), INDEX($AO$1004:$BQ$1004,1,MATCH(COLUMNS($AO$1006:BF1006),$AO$1006:$BQ$1006,0)))),"Fix")))</f>
        <v>#N/A</v>
      </c>
      <c r="T192" s="5" t="e">
        <f ca="1">IF(OR(INDEX($AI$2:$AI$1001,MATCH(ROWS($AH$2:AH192),$AH$2:$AH$1001,0),1)&gt;=100000,INDEX($AO$1005:$BQ$1005,1,MATCH(COLUMNS($AO$1006:BG1006),$AO$1006:$BQ$1006,0))&gt;=100000), " ",IF(INDEX($AO$2:$BQ$1001,MATCH(ROWS($AH$2:AH192),$AH$2:$AH$1001,0),MATCH(COLUMNS($AO$1006:BG1006),$AO$1006:$BQ$1006,0)), HYPERLINK("#",""), HYPERLINK(CONCATENATE("#Metadata!", ADDRESS(INDEX($AJ$2:$AJ$1001,MATCH(ROWS($AH$2:AH192),$AH$2:$AH$1001,0),0), INDEX($AO$1004:$BQ$1004,1,MATCH(COLUMNS($AO$1006:BG1006),$AO$1006:$BQ$1006,0)))),"Fix")))</f>
        <v>#N/A</v>
      </c>
      <c r="U192" s="5" t="e">
        <f ca="1">IF(OR(INDEX($AI$2:$AI$1001,MATCH(ROWS($AH$2:AH192),$AH$2:$AH$1001,0),1)&gt;=100000,INDEX($AO$1005:$BQ$1005,1,MATCH(COLUMNS($AO$1006:BH1006),$AO$1006:$BQ$1006,0))&gt;=100000), " ",IF(INDEX($AO$2:$BQ$1001,MATCH(ROWS($AH$2:AH192),$AH$2:$AH$1001,0),MATCH(COLUMNS($AO$1006:BH1006),$AO$1006:$BQ$1006,0)), HYPERLINK("#",""), HYPERLINK(CONCATENATE("#Metadata!", ADDRESS(INDEX($AJ$2:$AJ$1001,MATCH(ROWS($AH$2:AH192),$AH$2:$AH$1001,0),0), INDEX($AO$1004:$BQ$1004,1,MATCH(COLUMNS($AO$1006:BH1006),$AO$1006:$BQ$1006,0)))),"Fix")))</f>
        <v>#N/A</v>
      </c>
      <c r="V192" s="5" t="e">
        <f ca="1">IF(OR(INDEX($AI$2:$AI$1001,MATCH(ROWS($AH$2:AH192),$AH$2:$AH$1001,0),1)&gt;=100000,INDEX($AO$1005:$BQ$1005,1,MATCH(COLUMNS($AO$1006:BI1006),$AO$1006:$BQ$1006,0))&gt;=100000), " ",IF(INDEX($AO$2:$BQ$1001,MATCH(ROWS($AH$2:AH192),$AH$2:$AH$1001,0),MATCH(COLUMNS($AO$1006:BI1006),$AO$1006:$BQ$1006,0)), HYPERLINK("#",""), HYPERLINK(CONCATENATE("#Metadata!", ADDRESS(INDEX($AJ$2:$AJ$1001,MATCH(ROWS($AH$2:AH192),$AH$2:$AH$1001,0),0), INDEX($AO$1004:$BQ$1004,1,MATCH(COLUMNS($AO$1006:BI1006),$AO$1006:$BQ$1006,0)))),"Fix")))</f>
        <v>#N/A</v>
      </c>
      <c r="W192" s="5" t="e">
        <f ca="1">IF(OR(INDEX($AI$2:$AI$1001,MATCH(ROWS($AH$2:AH192),$AH$2:$AH$1001,0),1)&gt;=100000,INDEX($AO$1005:$BQ$1005,1,MATCH(COLUMNS($AO$1006:BJ1006),$AO$1006:$BQ$1006,0))&gt;=100000), " ",IF(INDEX($AO$2:$BQ$1001,MATCH(ROWS($AH$2:AH192),$AH$2:$AH$1001,0),MATCH(COLUMNS($AO$1006:BJ1006),$AO$1006:$BQ$1006,0)), HYPERLINK("#",""), HYPERLINK(CONCATENATE("#Metadata!", ADDRESS(INDEX($AJ$2:$AJ$1001,MATCH(ROWS($AH$2:AH192),$AH$2:$AH$1001,0),0), INDEX($AO$1004:$BQ$1004,1,MATCH(COLUMNS($AO$1006:BJ1006),$AO$1006:$BQ$1006,0)))),"Fix")))</f>
        <v>#N/A</v>
      </c>
      <c r="X192" s="5" t="e">
        <f ca="1">IF(OR(INDEX($AI$2:$AI$1001,MATCH(ROWS($AH$2:AH192),$AH$2:$AH$1001,0),1)&gt;=100000,INDEX($AO$1005:$BQ$1005,1,MATCH(COLUMNS($AO$1006:BK1006),$AO$1006:$BQ$1006,0))&gt;=100000), " ",IF(INDEX($AO$2:$BQ$1001,MATCH(ROWS($AH$2:AH192),$AH$2:$AH$1001,0),MATCH(COLUMNS($AO$1006:BK1006),$AO$1006:$BQ$1006,0)), HYPERLINK("#",""), HYPERLINK(CONCATENATE("#Metadata!", ADDRESS(INDEX($AJ$2:$AJ$1001,MATCH(ROWS($AH$2:AH192),$AH$2:$AH$1001,0),0), INDEX($AO$1004:$BQ$1004,1,MATCH(COLUMNS($AO$1006:BK1006),$AO$1006:$BQ$1006,0)))),"Fix")))</f>
        <v>#N/A</v>
      </c>
      <c r="Y192" s="5" t="e">
        <f ca="1">IF(OR(INDEX($AI$2:$AI$1001,MATCH(ROWS($AH$2:AH192),$AH$2:$AH$1001,0),1)&gt;=100000,INDEX($AO$1005:$BQ$1005,1,MATCH(COLUMNS($AO$1006:BL1006),$AO$1006:$BQ$1006,0))&gt;=100000), " ",IF(INDEX($AO$2:$BQ$1001,MATCH(ROWS($AH$2:AH192),$AH$2:$AH$1001,0),MATCH(COLUMNS($AO$1006:BL1006),$AO$1006:$BQ$1006,0)), HYPERLINK("#",""), HYPERLINK(CONCATENATE("#Metadata!", ADDRESS(INDEX($AJ$2:$AJ$1001,MATCH(ROWS($AH$2:AH192),$AH$2:$AH$1001,0),0), INDEX($AO$1004:$BQ$1004,1,MATCH(COLUMNS($AO$1006:BL1006),$AO$1006:$BQ$1006,0)))),"Fix")))</f>
        <v>#N/A</v>
      </c>
      <c r="Z192" s="5" t="e">
        <f ca="1">IF(OR(INDEX($AI$2:$AI$1001,MATCH(ROWS($AH$2:AH192),$AH$2:$AH$1001,0),1)&gt;=100000,INDEX($AO$1005:$BQ$1005,1,MATCH(COLUMNS($AO$1006:BM1006),$AO$1006:$BQ$1006,0))&gt;=100000), " ",IF(INDEX($AO$2:$BQ$1001,MATCH(ROWS($AH$2:AH192),$AH$2:$AH$1001,0),MATCH(COLUMNS($AO$1006:BM1006),$AO$1006:$BQ$1006,0)), HYPERLINK("#",""), HYPERLINK(CONCATENATE("#Metadata!", ADDRESS(INDEX($AJ$2:$AJ$1001,MATCH(ROWS($AH$2:AH192),$AH$2:$AH$1001,0),0), INDEX($AO$1004:$BQ$1004,1,MATCH(COLUMNS($AO$1006:BM1006),$AO$1006:$BQ$1006,0)))),"Fix")))</f>
        <v>#N/A</v>
      </c>
      <c r="AA192" s="5" t="e">
        <f ca="1">IF(OR(INDEX($AI$2:$AI$1001,MATCH(ROWS($AH$2:AH192),$AH$2:$AH$1001,0),1)&gt;=100000,INDEX($AO$1005:$BQ$1005,1,MATCH(COLUMNS($AO$1006:BN1006),$AO$1006:$BQ$1006,0))&gt;=100000), " ",IF(INDEX($AO$2:$BQ$1001,MATCH(ROWS($AH$2:AH192),$AH$2:$AH$1001,0),MATCH(COLUMNS($AO$1006:BN1006),$AO$1006:$BQ$1006,0)), HYPERLINK("#",""), HYPERLINK(CONCATENATE("#Metadata!", ADDRESS(INDEX($AJ$2:$AJ$1001,MATCH(ROWS($AH$2:AH192),$AH$2:$AH$1001,0),0), INDEX($AO$1004:$BQ$1004,1,MATCH(COLUMNS($AO$1006:BN1006),$AO$1006:$BQ$1006,0)))),"Fix")))</f>
        <v>#N/A</v>
      </c>
      <c r="AB192" s="5" t="e">
        <f ca="1">IF(OR(INDEX($AI$2:$AI$1001,MATCH(ROWS($AH$2:AH192),$AH$2:$AH$1001,0),1)&gt;=100000,INDEX($AO$1005:$BQ$1005,1,MATCH(COLUMNS($AO$1006:BO1006),$AO$1006:$BQ$1006,0))&gt;=100000), " ",IF(INDEX($AO$2:$BQ$1001,MATCH(ROWS($AH$2:AH192),$AH$2:$AH$1001,0),MATCH(COLUMNS($AO$1006:BO1006),$AO$1006:$BQ$1006,0)), HYPERLINK("#",""), HYPERLINK(CONCATENATE("#Metadata!", ADDRESS(INDEX($AJ$2:$AJ$1001,MATCH(ROWS($AH$2:AH192),$AH$2:$AH$1001,0),0), INDEX($AO$1004:$BQ$1004,1,MATCH(COLUMNS($AO$1006:BO1006),$AO$1006:$BQ$1006,0)))),"Fix")))</f>
        <v>#N/A</v>
      </c>
      <c r="AC192" s="5" t="e">
        <f ca="1">IF(OR(INDEX($AI$2:$AI$1001,MATCH(ROWS($AH$2:AH192),$AH$2:$AH$1001,0),1)&gt;=100000,INDEX($AO$1005:$BQ$1005,1,MATCH(COLUMNS($AO$1006:BP1006),$AO$1006:$BQ$1006,0))&gt;=100000), " ",IF(INDEX($AO$2:$BQ$1001,MATCH(ROWS($AH$2:AH192),$AH$2:$AH$1001,0),MATCH(COLUMNS($AO$1006:BP1006),$AO$1006:$BQ$1006,0)), HYPERLINK("#",""), HYPERLINK(CONCATENATE("#Metadata!", ADDRESS(INDEX($AJ$2:$AJ$1001,MATCH(ROWS($AH$2:AH192),$AH$2:$AH$1001,0),0), INDEX($AO$1004:$BQ$1004,1,MATCH(COLUMNS($AO$1006:BP1006),$AO$1006:$BQ$1006,0)))),"Fix")))</f>
        <v>#N/A</v>
      </c>
      <c r="AD192" s="5" t="e">
        <f ca="1">IF(OR(INDEX($AI$2:$AI$1001,MATCH(ROWS($AH$2:AH192),$AH$2:$AH$1001,0),1)&gt;=100000,INDEX($AO$1005:$BQ$1005,1,MATCH(COLUMNS($AO$1006:BQ1006),$AO$1006:$BQ$1006,0))&gt;=100000), " ",IF(INDEX($AO$2:$BQ$1001,MATCH(ROWS($AH$2:AH192),$AH$2:$AH$1001,0),MATCH(COLUMNS($AO$1006:BQ1006),$AO$1006:$BQ$1006,0)), HYPERLINK("#",""), HYPERLINK(CONCATENATE("#Metadata!", ADDRESS(INDEX($AJ$2:$AJ$1001,MATCH(ROWS($AH$2:AH192),$AH$2:$AH$1001,0),0), INDEX($AO$1004:$BQ$1004,1,MATCH(COLUMNS($AO$1006:BQ1006),$AO$1006:$BQ$1006,0)))),"Fix")))</f>
        <v>#REF!</v>
      </c>
      <c r="AH192">
        <f ca="1"/>
        <v>189</v>
      </c>
      <c r="AI192">
        <v>100192</v>
      </c>
      <c r="AJ192">
        <v>192</v>
      </c>
      <c r="AK192" t="b">
        <f t="shared" si="2"/>
        <v>1</v>
      </c>
      <c r="AL192" t="b">
        <f>COUNTBLANK(Metadata!B192:AD192)=COLUMNS(Metadata!B192:AD192)</f>
        <v>1</v>
      </c>
      <c r="AM192" t="str">
        <v/>
      </c>
      <c r="AO192" t="b">
        <f ca="1">AND(IF(Metadata!B192="",FALSE,TRUE),COUNTIF(Metadata!B:B, Metadata!B192) = 1,NOT(ISERROR(SUMPRODUCT(SEARCH(MID(Metadata!B192,ROW(INDIRECT("1:"&amp;LEN(Metadata!B192))), 1),"0123456789abcdefghijklmnopqrstuvwxyzABCDEFGHIJKLMNOPQRSTUVWXYZ.")))))</f>
        <v>0</v>
      </c>
      <c r="AP192" t="b">
        <f>IF(Metadata!C192="",FALSE,TRUE)</f>
        <v>0</v>
      </c>
      <c r="AQ192" t="b">
        <f>IF(Metadata!D192="",FALSE,TRUE)</f>
        <v>0</v>
      </c>
      <c r="AR192" t="b">
        <f ca="1">OR(AND(IF(Metadata!E192="",FALSE,TRUE),OR(EXACT(Metadata!E192,"not collected"),EXACT(Metadata!E192,"not provided"),EXACT(Metadata!E192,"restricted access"))),AND(IF(Metadata!E192="",FALSE,TRUE),AND(AND(IFERROR(INT(LEFT(Metadata!E192,4))&gt;1900,FALSE),IFERROR(INT(LEFT(Metadata!E192,4))&lt;=YEAR(NOW()),FALSE)), OR(MID(Metadata!E192,5,1)="", AND(AND(MID(Metadata!E192,5,1)="-",IFERROR(INT(MID(Metadata!E192,6,1))&gt;=0,FALSE),IFERROR(INT(MID(Metadata!E192,6,1))&lt;=1,FALSE),NOT(MID(Metadata!E192,7,1)=""),IFERROR(INT(MID(Metadata!E192,6,2))&gt;=1,FALSE),IFERROR(INT(MID(Metadata!E192,6,2))&lt;=12,FALSE)), OR(MID(Metadata!E192,8,1)="", AND(AND(MID(Metadata!E192,8,1)="-",IFERROR(INT(MID(Metadata!E192,9,1))&gt;=0,FALSE),IFERROR(INT(MID(Metadata!E192,9,1))&lt;=3,FALSE),NOT(MID(Metadata!E192,10,1)=""),IFERROR(INT(MID(Metadata!E192,9,2))&gt;=1,FALSE),IFERROR(INT(MID(Metadata!E192,9,2))&lt;=31,FALSE)), OR(MID(Metadata!E192,11,1)="", AND(AND(MID(Metadata!E192,11,1)=" ",IFERROR(INT(MID(Metadata!E192,12,1))&gt;=0,FALSE),IFERROR(INT(MID(Metadata!E192,12,1))&lt;=2,FALSE),NOT(MID(Metadata!E192,13,1)=""),IFERROR(INT(MID(Metadata!E192,12,2))&gt;=0,FALSE),IFERROR(INT(MID(Metadata!E192,12,2))&lt;=23,FALSE)), OR(MID(Metadata!E192,14,1)="", AND(AND(MID(Metadata!E192,14,1)=":",IFERROR(INT(MID(Metadata!E192,15,1))&gt;=0,FALSE),IFERROR(INT(MID(Metadata!E192,15,1))&lt;=5,FALSE),NOT(MID(Metadata!E192,16,1)=""),IFERROR(INT(MID(Metadata!E192,15,2))&gt;=0,FALSE),IFERROR(INT(MID(Metadata!E192,15,2))&lt;=59,FALSE)), OR(MID(Metadata!E192,17,1)="", AND(AND(MID(Metadata!E192,17,1)=":",IFERROR(INT(MID(Metadata!E192,18,1))&gt;=0,FALSE),IFERROR(INT(MID(Metadata!E192,18,1))&lt;=5,FALSE),NOT(MID(Metadata!E192,19,1)=""),IFERROR(INT(MID(Metadata!E192,18,2))&gt;=0,FALSE),IFERROR(INT(MID(Metadata!E192,18,2))&lt;=59,FALSE)), LEN(Metadata!E192)&lt;=19)))))))))))))</f>
        <v>0</v>
      </c>
      <c r="AS192" t="b">
        <f>IF(Metadata!F192="",FALSE,TRUE)</f>
        <v>0</v>
      </c>
      <c r="AT192" t="b">
        <f>OR(AND(IF(Metadata!G192="",FALSE,TRUE),OR(EXACT(Metadata!G192,"not collected"),EXACT(Metadata!G192,"not provided"))),AND(IF(Metadata!G192="",FALSE,TRUE),OR(EXACT(Metadata!G192,"TRUE"),EXACT(Metadata!G192,"FALSE"))))</f>
        <v>0</v>
      </c>
      <c r="AU192" t="b">
        <f>OR(AND(IF(Metadata!H192="",FALSE,TRUE),OR(EXACT(Metadata!H192,"not collected"),EXACT(Metadata!H192,"not provided"),EXACT(Metadata!H192,"restricted access"))),AND(IF(Metadata!H192="",FALSE,ISNUMBER(VALUE(Metadata!H192))),Metadata!H192&gt;=-413))</f>
        <v>0</v>
      </c>
      <c r="AV192" t="b">
        <f>AND(IF(Metadata!I192="",FALSE,TRUE),EXACT(Metadata!I192,"meters"))</f>
        <v>0</v>
      </c>
      <c r="AW192" t="b">
        <f>AND(IF(Metadata!J192="",FALSE,TRUE),EXACT(Metadata!J192,"free-living"))</f>
        <v>0</v>
      </c>
      <c r="AX192" t="b">
        <f>AND(IF(Metadata!K192="",FALSE,TRUE),OR(EXACT(Metadata!K192,"saline"),EXACT(Metadata!K192,"non-saline")))</f>
        <v>0</v>
      </c>
      <c r="AY192" t="b">
        <f>AND(IF(Metadata!L192="",FALSE,TRUE),OR(EXACT(Metadata!L192,"sub-surface (non-saline)"),EXACT(Metadata!L192,"surface (non-saline)"),EXACT(Metadata!L192,"water (non-saline)"),EXACT(Metadata!L192,"soil (non-saline)"),EXACT(Metadata!L192,"aerosol (non-saline)"),EXACT(Metadata!L192,"sediment (non-saline)"),EXACT(Metadata!L192,"surface (saline)"),EXACT(Metadata!L192,"water (saline)"),EXACT(Metadata!L192,"hypersaline (saline)"),EXACT(Metadata!L192,"aerosol (saline)"),EXACT(Metadata!L192,"sediment (saline)")))</f>
        <v>0</v>
      </c>
      <c r="AZ192" t="b">
        <f>IF(Metadata!M192="",FALSE,TRUE)</f>
        <v>0</v>
      </c>
      <c r="BA192" t="b">
        <f>IF(Metadata!N192="",FALSE,TRUE)</f>
        <v>0</v>
      </c>
      <c r="BB192" t="b">
        <f>IF(Metadata!O192="",FALSE,TRUE)</f>
        <v>0</v>
      </c>
      <c r="BC192" t="b">
        <f>AND(IF(Metadata!P192="",FALSE,TRUE),OR(EXACT(Metadata!P192,"air"),EXACT(Metadata!P192,"microbial mat/biofilm"),EXACT(Metadata!P192,"misc environment"),EXACT(Metadata!P192,"sediment"),EXACT(Metadata!P192,"soil"),EXACT(Metadata!P192,"wastewater/sludge"),EXACT(Metadata!P192,"water")))</f>
        <v>0</v>
      </c>
      <c r="BD192" t="b">
        <f>IF(Metadata!Q192="",FALSE,TRUE)</f>
        <v>0</v>
      </c>
      <c r="BE192" t="b">
        <f>IF(Metadata!R192="",FALSE,TRUE)</f>
        <v>0</v>
      </c>
      <c r="BF192" t="b">
        <f>OR(AND(IF(Metadata!S192="",FALSE,TRUE),OR(EXACT(Metadata!S192,"not collected"),EXACT(Metadata!S192,"not provided"),EXACT(Metadata!S192,"restricted access"))),AND(IF(Metadata!S192="",FALSE,ISNUMBER(VALUE(Metadata!S192))),Metadata!S192&gt;=-90,Metadata!S192&lt;=90))</f>
        <v>0</v>
      </c>
      <c r="BG192" t="b">
        <f>AND(IF(Metadata!T192="",FALSE,TRUE),EXACT(Metadata!T192,"Decimal degrees"))</f>
        <v>0</v>
      </c>
      <c r="BH192" t="b">
        <f>OR(AND(IF(Metadata!U192="",FALSE,TRUE),OR(EXACT(Metadata!U192,"not applicable"),EXACT(Metadata!U192,"not collected"))),IF(Metadata!U192="",FALSE,TRUE))</f>
        <v>0</v>
      </c>
      <c r="BI192" t="b">
        <f>OR(AND(IF(Metadata!V192="",FALSE,TRUE),OR(EXACT(Metadata!V192,"not collected"),EXACT(Metadata!V192,"not provided"),EXACT(Metadata!V192,"restricted access"))),AND(IF(Metadata!V192="",FALSE,ISNUMBER(VALUE(Metadata!V192))),Metadata!V192&gt;=-180,Metadata!V192&lt;=180))</f>
        <v>0</v>
      </c>
      <c r="BJ192" t="b">
        <f>AND(IF(Metadata!W192="",FALSE,TRUE),EXACT(Metadata!W192,"Decimal degrees"))</f>
        <v>0</v>
      </c>
      <c r="BK192" t="b">
        <f>IF(Metadata!X192="",FALSE,TRUE)</f>
        <v>0</v>
      </c>
      <c r="BL192" t="b">
        <f>OR(AND(IF(Metadata!Y192="",FALSE,TRUE),OR(EXACT(Metadata!Y192,"not collected"),EXACT(Metadata!Y192,"not provided"),EXACT(Metadata!Y192,"restricted access"))),AND(IF(Metadata!Y192="",FALSE,TRUE),OR(EXACT(Metadata!Y192,"TRUE"),EXACT(Metadata!Y192,"FALSE"))))</f>
        <v>0</v>
      </c>
      <c r="BM192" t="b">
        <f>OR(AND(IF(Metadata!Z192="",FALSE,TRUE),EXACT(Metadata!Z192,"not applicable")),AND(IF(Metadata!Z192="",FALSE,TRUE),OR(EXACT(Metadata!Z192,"beer"),EXACT(Metadata!Z192,"cheese"),EXACT(Metadata!Z192,"fresh water"),EXACT(Metadata!Z192,"marine sediment"),EXACT(Metadata!Z192,"sea water"),EXACT(Metadata!Z192,"sediment"),EXACT(Metadata!Z192,"soil"),EXACT(Metadata!Z192,"waste water"))))</f>
        <v>0</v>
      </c>
      <c r="BN192" t="b">
        <f>AND(IF(Metadata!AA192="",FALSE,TRUE),EXACT(Metadata!AA192,"metagenome"))</f>
        <v>0</v>
      </c>
      <c r="BO192" t="b">
        <f>AND(IF(Metadata!AB192="",FALSE,TRUE),EXACT(Metadata!AB192,"256318"))</f>
        <v>0</v>
      </c>
      <c r="BP192" t="b">
        <f>IF(Metadata!AC192="",FALSE,TRUE)</f>
        <v>0</v>
      </c>
      <c r="BQ192" t="b">
        <f>IF(Metadata!AD192="",FALSE,TRUE)</f>
        <v>0</v>
      </c>
    </row>
    <row r="193" spans="1:69" x14ac:dyDescent="0.2">
      <c r="A193" s="4" t="e">
        <f ca="1">IF(B193=" "," ",HYPERLINK(CONCATENATE("#metadata!",ADDRESS(INDEX($AJ$2:$AJ$1001,MATCH(ROWS($AH$2:AH193),$AH$2:$AH$1001,0),0),2)),INDEX($AM$2:$AM$1001,MATCH(ROWS($AH$2:AH193),$AH$2:$AH$1001,0),0)))</f>
        <v>#N/A</v>
      </c>
      <c r="B193" s="5" t="e">
        <f ca="1">IF(OR(INDEX($AI$2:$AI$1001,MATCH(ROWS($AH$2:AH193),$AH$2:$AH$1001,0),1)&gt;=100000,INDEX($AO$1005:$BQ$1005,1,MATCH(COLUMNS($AO$1006:AO1006),$AO$1006:$BQ$1006,0))&gt;=100000), " ",IF(INDEX($AO$2:$BQ$1001,MATCH(ROWS($AH$2:AH193),$AH$2:$AH$1001,0),MATCH(COLUMNS($AO$1006:AO1006),$AO$1006:$BQ$1006,0)), HYPERLINK("#",""), HYPERLINK(CONCATENATE("#Metadata!", ADDRESS(INDEX($AJ$2:$AJ$1001,MATCH(ROWS($AH$2:AH193),$AH$2:$AH$1001,0),0), INDEX($AO$1004:$BQ$1004,1,MATCH(COLUMNS($AO$1006:AO1006),$AO$1006:$BQ$1006,0)))),"Fix")))</f>
        <v>#N/A</v>
      </c>
      <c r="C193" s="5" t="e">
        <f ca="1">IF(OR(INDEX($AI$2:$AI$1001,MATCH(ROWS($AH$2:AH193),$AH$2:$AH$1001,0),1)&gt;=100000,INDEX($AO$1005:$BQ$1005,1,MATCH(COLUMNS($AO$1006:AP1006),$AO$1006:$BQ$1006,0))&gt;=100000), " ",IF(INDEX($AO$2:$BQ$1001,MATCH(ROWS($AH$2:AH193),$AH$2:$AH$1001,0),MATCH(COLUMNS($AO$1006:AP1006),$AO$1006:$BQ$1006,0)), HYPERLINK("#",""), HYPERLINK(CONCATENATE("#Metadata!", ADDRESS(INDEX($AJ$2:$AJ$1001,MATCH(ROWS($AH$2:AH193),$AH$2:$AH$1001,0),0), INDEX($AO$1004:$BQ$1004,1,MATCH(COLUMNS($AO$1006:AP1006),$AO$1006:$BQ$1006,0)))),"Fix")))</f>
        <v>#N/A</v>
      </c>
      <c r="D193" s="5" t="e">
        <f ca="1">IF(OR(INDEX($AI$2:$AI$1001,MATCH(ROWS($AH$2:AH193),$AH$2:$AH$1001,0),1)&gt;=100000,INDEX($AO$1005:$BQ$1005,1,MATCH(COLUMNS($AO$1006:AQ1006),$AO$1006:$BQ$1006,0))&gt;=100000), " ",IF(INDEX($AO$2:$BQ$1001,MATCH(ROWS($AH$2:AH193),$AH$2:$AH$1001,0),MATCH(COLUMNS($AO$1006:AQ1006),$AO$1006:$BQ$1006,0)), HYPERLINK("#",""), HYPERLINK(CONCATENATE("#Metadata!", ADDRESS(INDEX($AJ$2:$AJ$1001,MATCH(ROWS($AH$2:AH193),$AH$2:$AH$1001,0),0), INDEX($AO$1004:$BQ$1004,1,MATCH(COLUMNS($AO$1006:AQ1006),$AO$1006:$BQ$1006,0)))),"Fix")))</f>
        <v>#N/A</v>
      </c>
      <c r="E193" s="5" t="e">
        <f ca="1">IF(OR(INDEX($AI$2:$AI$1001,MATCH(ROWS($AH$2:AH193),$AH$2:$AH$1001,0),1)&gt;=100000,INDEX($AO$1005:$BQ$1005,1,MATCH(COLUMNS($AO$1006:AR1006),$AO$1006:$BQ$1006,0))&gt;=100000), " ",IF(INDEX($AO$2:$BQ$1001,MATCH(ROWS($AH$2:AH193),$AH$2:$AH$1001,0),MATCH(COLUMNS($AO$1006:AR1006),$AO$1006:$BQ$1006,0)), HYPERLINK("#",""), HYPERLINK(CONCATENATE("#Metadata!", ADDRESS(INDEX($AJ$2:$AJ$1001,MATCH(ROWS($AH$2:AH193),$AH$2:$AH$1001,0),0), INDEX($AO$1004:$BQ$1004,1,MATCH(COLUMNS($AO$1006:AR1006),$AO$1006:$BQ$1006,0)))),"Fix")))</f>
        <v>#N/A</v>
      </c>
      <c r="F193" s="5" t="e">
        <f ca="1">IF(OR(INDEX($AI$2:$AI$1001,MATCH(ROWS($AH$2:AH193),$AH$2:$AH$1001,0),1)&gt;=100000,INDEX($AO$1005:$BQ$1005,1,MATCH(COLUMNS($AO$1006:AS1006),$AO$1006:$BQ$1006,0))&gt;=100000), " ",IF(INDEX($AO$2:$BQ$1001,MATCH(ROWS($AH$2:AH193),$AH$2:$AH$1001,0),MATCH(COLUMNS($AO$1006:AS1006),$AO$1006:$BQ$1006,0)), HYPERLINK("#",""), HYPERLINK(CONCATENATE("#Metadata!", ADDRESS(INDEX($AJ$2:$AJ$1001,MATCH(ROWS($AH$2:AH193),$AH$2:$AH$1001,0),0), INDEX($AO$1004:$BQ$1004,1,MATCH(COLUMNS($AO$1006:AS1006),$AO$1006:$BQ$1006,0)))),"Fix")))</f>
        <v>#N/A</v>
      </c>
      <c r="G193" s="5" t="e">
        <f ca="1">IF(OR(INDEX($AI$2:$AI$1001,MATCH(ROWS($AH$2:AH193),$AH$2:$AH$1001,0),1)&gt;=100000,INDEX($AO$1005:$BQ$1005,1,MATCH(COLUMNS($AO$1006:AT1006),$AO$1006:$BQ$1006,0))&gt;=100000), " ",IF(INDEX($AO$2:$BQ$1001,MATCH(ROWS($AH$2:AH193),$AH$2:$AH$1001,0),MATCH(COLUMNS($AO$1006:AT1006),$AO$1006:$BQ$1006,0)), HYPERLINK("#",""), HYPERLINK(CONCATENATE("#Metadata!", ADDRESS(INDEX($AJ$2:$AJ$1001,MATCH(ROWS($AH$2:AH193),$AH$2:$AH$1001,0),0), INDEX($AO$1004:$BQ$1004,1,MATCH(COLUMNS($AO$1006:AT1006),$AO$1006:$BQ$1006,0)))),"Fix")))</f>
        <v>#N/A</v>
      </c>
      <c r="H193" s="5" t="e">
        <f ca="1">IF(OR(INDEX($AI$2:$AI$1001,MATCH(ROWS($AH$2:AH193),$AH$2:$AH$1001,0),1)&gt;=100000,INDEX($AO$1005:$BQ$1005,1,MATCH(COLUMNS($AO$1006:AU1006),$AO$1006:$BQ$1006,0))&gt;=100000), " ",IF(INDEX($AO$2:$BQ$1001,MATCH(ROWS($AH$2:AH193),$AH$2:$AH$1001,0),MATCH(COLUMNS($AO$1006:AU1006),$AO$1006:$BQ$1006,0)), HYPERLINK("#",""), HYPERLINK(CONCATENATE("#Metadata!", ADDRESS(INDEX($AJ$2:$AJ$1001,MATCH(ROWS($AH$2:AH193),$AH$2:$AH$1001,0),0), INDEX($AO$1004:$BQ$1004,1,MATCH(COLUMNS($AO$1006:AU1006),$AO$1006:$BQ$1006,0)))),"Fix")))</f>
        <v>#N/A</v>
      </c>
      <c r="I193" s="5" t="e">
        <f ca="1">IF(OR(INDEX($AI$2:$AI$1001,MATCH(ROWS($AH$2:AH193),$AH$2:$AH$1001,0),1)&gt;=100000,INDEX($AO$1005:$BQ$1005,1,MATCH(COLUMNS($AO$1006:AV1006),$AO$1006:$BQ$1006,0))&gt;=100000), " ",IF(INDEX($AO$2:$BQ$1001,MATCH(ROWS($AH$2:AH193),$AH$2:$AH$1001,0),MATCH(COLUMNS($AO$1006:AV1006),$AO$1006:$BQ$1006,0)), HYPERLINK("#",""), HYPERLINK(CONCATENATE("#Metadata!", ADDRESS(INDEX($AJ$2:$AJ$1001,MATCH(ROWS($AH$2:AH193),$AH$2:$AH$1001,0),0), INDEX($AO$1004:$BQ$1004,1,MATCH(COLUMNS($AO$1006:AV1006),$AO$1006:$BQ$1006,0)))),"Fix")))</f>
        <v>#N/A</v>
      </c>
      <c r="J193" s="5" t="e">
        <f ca="1">IF(OR(INDEX($AI$2:$AI$1001,MATCH(ROWS($AH$2:AH193),$AH$2:$AH$1001,0),1)&gt;=100000,INDEX($AO$1005:$BQ$1005,1,MATCH(COLUMNS($AO$1006:AW1006),$AO$1006:$BQ$1006,0))&gt;=100000), " ",IF(INDEX($AO$2:$BQ$1001,MATCH(ROWS($AH$2:AH193),$AH$2:$AH$1001,0),MATCH(COLUMNS($AO$1006:AW1006),$AO$1006:$BQ$1006,0)), HYPERLINK("#",""), HYPERLINK(CONCATENATE("#Metadata!", ADDRESS(INDEX($AJ$2:$AJ$1001,MATCH(ROWS($AH$2:AH193),$AH$2:$AH$1001,0),0), INDEX($AO$1004:$BQ$1004,1,MATCH(COLUMNS($AO$1006:AW1006),$AO$1006:$BQ$1006,0)))),"Fix")))</f>
        <v>#N/A</v>
      </c>
      <c r="K193" s="5" t="e">
        <f ca="1">IF(OR(INDEX($AI$2:$AI$1001,MATCH(ROWS($AH$2:AH193),$AH$2:$AH$1001,0),1)&gt;=100000,INDEX($AO$1005:$BQ$1005,1,MATCH(COLUMNS($AO$1006:AX1006),$AO$1006:$BQ$1006,0))&gt;=100000), " ",IF(INDEX($AO$2:$BQ$1001,MATCH(ROWS($AH$2:AH193),$AH$2:$AH$1001,0),MATCH(COLUMNS($AO$1006:AX1006),$AO$1006:$BQ$1006,0)), HYPERLINK("#",""), HYPERLINK(CONCATENATE("#Metadata!", ADDRESS(INDEX($AJ$2:$AJ$1001,MATCH(ROWS($AH$2:AH193),$AH$2:$AH$1001,0),0), INDEX($AO$1004:$BQ$1004,1,MATCH(COLUMNS($AO$1006:AX1006),$AO$1006:$BQ$1006,0)))),"Fix")))</f>
        <v>#N/A</v>
      </c>
      <c r="L193" s="5" t="e">
        <f ca="1">IF(OR(INDEX($AI$2:$AI$1001,MATCH(ROWS($AH$2:AH193),$AH$2:$AH$1001,0),1)&gt;=100000,INDEX($AO$1005:$BQ$1005,1,MATCH(COLUMNS($AO$1006:AY1006),$AO$1006:$BQ$1006,0))&gt;=100000), " ",IF(INDEX($AO$2:$BQ$1001,MATCH(ROWS($AH$2:AH193),$AH$2:$AH$1001,0),MATCH(COLUMNS($AO$1006:AY1006),$AO$1006:$BQ$1006,0)), HYPERLINK("#",""), HYPERLINK(CONCATENATE("#Metadata!", ADDRESS(INDEX($AJ$2:$AJ$1001,MATCH(ROWS($AH$2:AH193),$AH$2:$AH$1001,0),0), INDEX($AO$1004:$BQ$1004,1,MATCH(COLUMNS($AO$1006:AY1006),$AO$1006:$BQ$1006,0)))),"Fix")))</f>
        <v>#N/A</v>
      </c>
      <c r="M193" s="5" t="e">
        <f ca="1">IF(OR(INDEX($AI$2:$AI$1001,MATCH(ROWS($AH$2:AH193),$AH$2:$AH$1001,0),1)&gt;=100000,INDEX($AO$1005:$BQ$1005,1,MATCH(COLUMNS($AO$1006:AZ1006),$AO$1006:$BQ$1006,0))&gt;=100000), " ",IF(INDEX($AO$2:$BQ$1001,MATCH(ROWS($AH$2:AH193),$AH$2:$AH$1001,0),MATCH(COLUMNS($AO$1006:AZ1006),$AO$1006:$BQ$1006,0)), HYPERLINK("#",""), HYPERLINK(CONCATENATE("#Metadata!", ADDRESS(INDEX($AJ$2:$AJ$1001,MATCH(ROWS($AH$2:AH193),$AH$2:$AH$1001,0),0), INDEX($AO$1004:$BQ$1004,1,MATCH(COLUMNS($AO$1006:AZ1006),$AO$1006:$BQ$1006,0)))),"Fix")))</f>
        <v>#N/A</v>
      </c>
      <c r="N193" s="5" t="e">
        <f ca="1">IF(OR(INDEX($AI$2:$AI$1001,MATCH(ROWS($AH$2:AH193),$AH$2:$AH$1001,0),1)&gt;=100000,INDEX($AO$1005:$BQ$1005,1,MATCH(COLUMNS($AO$1006:BA1006),$AO$1006:$BQ$1006,0))&gt;=100000), " ",IF(INDEX($AO$2:$BQ$1001,MATCH(ROWS($AH$2:AH193),$AH$2:$AH$1001,0),MATCH(COLUMNS($AO$1006:BA1006),$AO$1006:$BQ$1006,0)), HYPERLINK("#",""), HYPERLINK(CONCATENATE("#Metadata!", ADDRESS(INDEX($AJ$2:$AJ$1001,MATCH(ROWS($AH$2:AH193),$AH$2:$AH$1001,0),0), INDEX($AO$1004:$BQ$1004,1,MATCH(COLUMNS($AO$1006:BA1006),$AO$1006:$BQ$1006,0)))),"Fix")))</f>
        <v>#N/A</v>
      </c>
      <c r="O193" s="5" t="e">
        <f ca="1">IF(OR(INDEX($AI$2:$AI$1001,MATCH(ROWS($AH$2:AH193),$AH$2:$AH$1001,0),1)&gt;=100000,INDEX($AO$1005:$BQ$1005,1,MATCH(COLUMNS($AO$1006:BB1006),$AO$1006:$BQ$1006,0))&gt;=100000), " ",IF(INDEX($AO$2:$BQ$1001,MATCH(ROWS($AH$2:AH193),$AH$2:$AH$1001,0),MATCH(COLUMNS($AO$1006:BB1006),$AO$1006:$BQ$1006,0)), HYPERLINK("#",""), HYPERLINK(CONCATENATE("#Metadata!", ADDRESS(INDEX($AJ$2:$AJ$1001,MATCH(ROWS($AH$2:AH193),$AH$2:$AH$1001,0),0), INDEX($AO$1004:$BQ$1004,1,MATCH(COLUMNS($AO$1006:BB1006),$AO$1006:$BQ$1006,0)))),"Fix")))</f>
        <v>#N/A</v>
      </c>
      <c r="P193" s="5" t="e">
        <f ca="1">IF(OR(INDEX($AI$2:$AI$1001,MATCH(ROWS($AH$2:AH193),$AH$2:$AH$1001,0),1)&gt;=100000,INDEX($AO$1005:$BQ$1005,1,MATCH(COLUMNS($AO$1006:BC1006),$AO$1006:$BQ$1006,0))&gt;=100000), " ",IF(INDEX($AO$2:$BQ$1001,MATCH(ROWS($AH$2:AH193),$AH$2:$AH$1001,0),MATCH(COLUMNS($AO$1006:BC1006),$AO$1006:$BQ$1006,0)), HYPERLINK("#",""), HYPERLINK(CONCATENATE("#Metadata!", ADDRESS(INDEX($AJ$2:$AJ$1001,MATCH(ROWS($AH$2:AH193),$AH$2:$AH$1001,0),0), INDEX($AO$1004:$BQ$1004,1,MATCH(COLUMNS($AO$1006:BC1006),$AO$1006:$BQ$1006,0)))),"Fix")))</f>
        <v>#N/A</v>
      </c>
      <c r="Q193" s="5" t="e">
        <f ca="1">IF(OR(INDEX($AI$2:$AI$1001,MATCH(ROWS($AH$2:AH193),$AH$2:$AH$1001,0),1)&gt;=100000,INDEX($AO$1005:$BQ$1005,1,MATCH(COLUMNS($AO$1006:BD1006),$AO$1006:$BQ$1006,0))&gt;=100000), " ",IF(INDEX($AO$2:$BQ$1001,MATCH(ROWS($AH$2:AH193),$AH$2:$AH$1001,0),MATCH(COLUMNS($AO$1006:BD1006),$AO$1006:$BQ$1006,0)), HYPERLINK("#",""), HYPERLINK(CONCATENATE("#Metadata!", ADDRESS(INDEX($AJ$2:$AJ$1001,MATCH(ROWS($AH$2:AH193),$AH$2:$AH$1001,0),0), INDEX($AO$1004:$BQ$1004,1,MATCH(COLUMNS($AO$1006:BD1006),$AO$1006:$BQ$1006,0)))),"Fix")))</f>
        <v>#N/A</v>
      </c>
      <c r="R193" s="5" t="e">
        <f ca="1">IF(OR(INDEX($AI$2:$AI$1001,MATCH(ROWS($AH$2:AH193),$AH$2:$AH$1001,0),1)&gt;=100000,INDEX($AO$1005:$BQ$1005,1,MATCH(COLUMNS($AO$1006:BE1006),$AO$1006:$BQ$1006,0))&gt;=100000), " ",IF(INDEX($AO$2:$BQ$1001,MATCH(ROWS($AH$2:AH193),$AH$2:$AH$1001,0),MATCH(COLUMNS($AO$1006:BE1006),$AO$1006:$BQ$1006,0)), HYPERLINK("#",""), HYPERLINK(CONCATENATE("#Metadata!", ADDRESS(INDEX($AJ$2:$AJ$1001,MATCH(ROWS($AH$2:AH193),$AH$2:$AH$1001,0),0), INDEX($AO$1004:$BQ$1004,1,MATCH(COLUMNS($AO$1006:BE1006),$AO$1006:$BQ$1006,0)))),"Fix")))</f>
        <v>#N/A</v>
      </c>
      <c r="S193" s="5" t="e">
        <f ca="1">IF(OR(INDEX($AI$2:$AI$1001,MATCH(ROWS($AH$2:AH193),$AH$2:$AH$1001,0),1)&gt;=100000,INDEX($AO$1005:$BQ$1005,1,MATCH(COLUMNS($AO$1006:BF1006),$AO$1006:$BQ$1006,0))&gt;=100000), " ",IF(INDEX($AO$2:$BQ$1001,MATCH(ROWS($AH$2:AH193),$AH$2:$AH$1001,0),MATCH(COLUMNS($AO$1006:BF1006),$AO$1006:$BQ$1006,0)), HYPERLINK("#",""), HYPERLINK(CONCATENATE("#Metadata!", ADDRESS(INDEX($AJ$2:$AJ$1001,MATCH(ROWS($AH$2:AH193),$AH$2:$AH$1001,0),0), INDEX($AO$1004:$BQ$1004,1,MATCH(COLUMNS($AO$1006:BF1006),$AO$1006:$BQ$1006,0)))),"Fix")))</f>
        <v>#N/A</v>
      </c>
      <c r="T193" s="5" t="e">
        <f ca="1">IF(OR(INDEX($AI$2:$AI$1001,MATCH(ROWS($AH$2:AH193),$AH$2:$AH$1001,0),1)&gt;=100000,INDEX($AO$1005:$BQ$1005,1,MATCH(COLUMNS($AO$1006:BG1006),$AO$1006:$BQ$1006,0))&gt;=100000), " ",IF(INDEX($AO$2:$BQ$1001,MATCH(ROWS($AH$2:AH193),$AH$2:$AH$1001,0),MATCH(COLUMNS($AO$1006:BG1006),$AO$1006:$BQ$1006,0)), HYPERLINK("#",""), HYPERLINK(CONCATENATE("#Metadata!", ADDRESS(INDEX($AJ$2:$AJ$1001,MATCH(ROWS($AH$2:AH193),$AH$2:$AH$1001,0),0), INDEX($AO$1004:$BQ$1004,1,MATCH(COLUMNS($AO$1006:BG1006),$AO$1006:$BQ$1006,0)))),"Fix")))</f>
        <v>#N/A</v>
      </c>
      <c r="U193" s="5" t="e">
        <f ca="1">IF(OR(INDEX($AI$2:$AI$1001,MATCH(ROWS($AH$2:AH193),$AH$2:$AH$1001,0),1)&gt;=100000,INDEX($AO$1005:$BQ$1005,1,MATCH(COLUMNS($AO$1006:BH1006),$AO$1006:$BQ$1006,0))&gt;=100000), " ",IF(INDEX($AO$2:$BQ$1001,MATCH(ROWS($AH$2:AH193),$AH$2:$AH$1001,0),MATCH(COLUMNS($AO$1006:BH1006),$AO$1006:$BQ$1006,0)), HYPERLINK("#",""), HYPERLINK(CONCATENATE("#Metadata!", ADDRESS(INDEX($AJ$2:$AJ$1001,MATCH(ROWS($AH$2:AH193),$AH$2:$AH$1001,0),0), INDEX($AO$1004:$BQ$1004,1,MATCH(COLUMNS($AO$1006:BH1006),$AO$1006:$BQ$1006,0)))),"Fix")))</f>
        <v>#N/A</v>
      </c>
      <c r="V193" s="5" t="e">
        <f ca="1">IF(OR(INDEX($AI$2:$AI$1001,MATCH(ROWS($AH$2:AH193),$AH$2:$AH$1001,0),1)&gt;=100000,INDEX($AO$1005:$BQ$1005,1,MATCH(COLUMNS($AO$1006:BI1006),$AO$1006:$BQ$1006,0))&gt;=100000), " ",IF(INDEX($AO$2:$BQ$1001,MATCH(ROWS($AH$2:AH193),$AH$2:$AH$1001,0),MATCH(COLUMNS($AO$1006:BI1006),$AO$1006:$BQ$1006,0)), HYPERLINK("#",""), HYPERLINK(CONCATENATE("#Metadata!", ADDRESS(INDEX($AJ$2:$AJ$1001,MATCH(ROWS($AH$2:AH193),$AH$2:$AH$1001,0),0), INDEX($AO$1004:$BQ$1004,1,MATCH(COLUMNS($AO$1006:BI1006),$AO$1006:$BQ$1006,0)))),"Fix")))</f>
        <v>#N/A</v>
      </c>
      <c r="W193" s="5" t="e">
        <f ca="1">IF(OR(INDEX($AI$2:$AI$1001,MATCH(ROWS($AH$2:AH193),$AH$2:$AH$1001,0),1)&gt;=100000,INDEX($AO$1005:$BQ$1005,1,MATCH(COLUMNS($AO$1006:BJ1006),$AO$1006:$BQ$1006,0))&gt;=100000), " ",IF(INDEX($AO$2:$BQ$1001,MATCH(ROWS($AH$2:AH193),$AH$2:$AH$1001,0),MATCH(COLUMNS($AO$1006:BJ1006),$AO$1006:$BQ$1006,0)), HYPERLINK("#",""), HYPERLINK(CONCATENATE("#Metadata!", ADDRESS(INDEX($AJ$2:$AJ$1001,MATCH(ROWS($AH$2:AH193),$AH$2:$AH$1001,0),0), INDEX($AO$1004:$BQ$1004,1,MATCH(COLUMNS($AO$1006:BJ1006),$AO$1006:$BQ$1006,0)))),"Fix")))</f>
        <v>#N/A</v>
      </c>
      <c r="X193" s="5" t="e">
        <f ca="1">IF(OR(INDEX($AI$2:$AI$1001,MATCH(ROWS($AH$2:AH193),$AH$2:$AH$1001,0),1)&gt;=100000,INDEX($AO$1005:$BQ$1005,1,MATCH(COLUMNS($AO$1006:BK1006),$AO$1006:$BQ$1006,0))&gt;=100000), " ",IF(INDEX($AO$2:$BQ$1001,MATCH(ROWS($AH$2:AH193),$AH$2:$AH$1001,0),MATCH(COLUMNS($AO$1006:BK1006),$AO$1006:$BQ$1006,0)), HYPERLINK("#",""), HYPERLINK(CONCATENATE("#Metadata!", ADDRESS(INDEX($AJ$2:$AJ$1001,MATCH(ROWS($AH$2:AH193),$AH$2:$AH$1001,0),0), INDEX($AO$1004:$BQ$1004,1,MATCH(COLUMNS($AO$1006:BK1006),$AO$1006:$BQ$1006,0)))),"Fix")))</f>
        <v>#N/A</v>
      </c>
      <c r="Y193" s="5" t="e">
        <f ca="1">IF(OR(INDEX($AI$2:$AI$1001,MATCH(ROWS($AH$2:AH193),$AH$2:$AH$1001,0),1)&gt;=100000,INDEX($AO$1005:$BQ$1005,1,MATCH(COLUMNS($AO$1006:BL1006),$AO$1006:$BQ$1006,0))&gt;=100000), " ",IF(INDEX($AO$2:$BQ$1001,MATCH(ROWS($AH$2:AH193),$AH$2:$AH$1001,0),MATCH(COLUMNS($AO$1006:BL1006),$AO$1006:$BQ$1006,0)), HYPERLINK("#",""), HYPERLINK(CONCATENATE("#Metadata!", ADDRESS(INDEX($AJ$2:$AJ$1001,MATCH(ROWS($AH$2:AH193),$AH$2:$AH$1001,0),0), INDEX($AO$1004:$BQ$1004,1,MATCH(COLUMNS($AO$1006:BL1006),$AO$1006:$BQ$1006,0)))),"Fix")))</f>
        <v>#N/A</v>
      </c>
      <c r="Z193" s="5" t="e">
        <f ca="1">IF(OR(INDEX($AI$2:$AI$1001,MATCH(ROWS($AH$2:AH193),$AH$2:$AH$1001,0),1)&gt;=100000,INDEX($AO$1005:$BQ$1005,1,MATCH(COLUMNS($AO$1006:BM1006),$AO$1006:$BQ$1006,0))&gt;=100000), " ",IF(INDEX($AO$2:$BQ$1001,MATCH(ROWS($AH$2:AH193),$AH$2:$AH$1001,0),MATCH(COLUMNS($AO$1006:BM1006),$AO$1006:$BQ$1006,0)), HYPERLINK("#",""), HYPERLINK(CONCATENATE("#Metadata!", ADDRESS(INDEX($AJ$2:$AJ$1001,MATCH(ROWS($AH$2:AH193),$AH$2:$AH$1001,0),0), INDEX($AO$1004:$BQ$1004,1,MATCH(COLUMNS($AO$1006:BM1006),$AO$1006:$BQ$1006,0)))),"Fix")))</f>
        <v>#N/A</v>
      </c>
      <c r="AA193" s="5" t="e">
        <f ca="1">IF(OR(INDEX($AI$2:$AI$1001,MATCH(ROWS($AH$2:AH193),$AH$2:$AH$1001,0),1)&gt;=100000,INDEX($AO$1005:$BQ$1005,1,MATCH(COLUMNS($AO$1006:BN1006),$AO$1006:$BQ$1006,0))&gt;=100000), " ",IF(INDEX($AO$2:$BQ$1001,MATCH(ROWS($AH$2:AH193),$AH$2:$AH$1001,0),MATCH(COLUMNS($AO$1006:BN1006),$AO$1006:$BQ$1006,0)), HYPERLINK("#",""), HYPERLINK(CONCATENATE("#Metadata!", ADDRESS(INDEX($AJ$2:$AJ$1001,MATCH(ROWS($AH$2:AH193),$AH$2:$AH$1001,0),0), INDEX($AO$1004:$BQ$1004,1,MATCH(COLUMNS($AO$1006:BN1006),$AO$1006:$BQ$1006,0)))),"Fix")))</f>
        <v>#N/A</v>
      </c>
      <c r="AB193" s="5" t="e">
        <f ca="1">IF(OR(INDEX($AI$2:$AI$1001,MATCH(ROWS($AH$2:AH193),$AH$2:$AH$1001,0),1)&gt;=100000,INDEX($AO$1005:$BQ$1005,1,MATCH(COLUMNS($AO$1006:BO1006),$AO$1006:$BQ$1006,0))&gt;=100000), " ",IF(INDEX($AO$2:$BQ$1001,MATCH(ROWS($AH$2:AH193),$AH$2:$AH$1001,0),MATCH(COLUMNS($AO$1006:BO1006),$AO$1006:$BQ$1006,0)), HYPERLINK("#",""), HYPERLINK(CONCATENATE("#Metadata!", ADDRESS(INDEX($AJ$2:$AJ$1001,MATCH(ROWS($AH$2:AH193),$AH$2:$AH$1001,0),0), INDEX($AO$1004:$BQ$1004,1,MATCH(COLUMNS($AO$1006:BO1006),$AO$1006:$BQ$1006,0)))),"Fix")))</f>
        <v>#N/A</v>
      </c>
      <c r="AC193" s="5" t="e">
        <f ca="1">IF(OR(INDEX($AI$2:$AI$1001,MATCH(ROWS($AH$2:AH193),$AH$2:$AH$1001,0),1)&gt;=100000,INDEX($AO$1005:$BQ$1005,1,MATCH(COLUMNS($AO$1006:BP1006),$AO$1006:$BQ$1006,0))&gt;=100000), " ",IF(INDEX($AO$2:$BQ$1001,MATCH(ROWS($AH$2:AH193),$AH$2:$AH$1001,0),MATCH(COLUMNS($AO$1006:BP1006),$AO$1006:$BQ$1006,0)), HYPERLINK("#",""), HYPERLINK(CONCATENATE("#Metadata!", ADDRESS(INDEX($AJ$2:$AJ$1001,MATCH(ROWS($AH$2:AH193),$AH$2:$AH$1001,0),0), INDEX($AO$1004:$BQ$1004,1,MATCH(COLUMNS($AO$1006:BP1006),$AO$1006:$BQ$1006,0)))),"Fix")))</f>
        <v>#N/A</v>
      </c>
      <c r="AD193" s="5" t="e">
        <f ca="1">IF(OR(INDEX($AI$2:$AI$1001,MATCH(ROWS($AH$2:AH193),$AH$2:$AH$1001,0),1)&gt;=100000,INDEX($AO$1005:$BQ$1005,1,MATCH(COLUMNS($AO$1006:BQ1006),$AO$1006:$BQ$1006,0))&gt;=100000), " ",IF(INDEX($AO$2:$BQ$1001,MATCH(ROWS($AH$2:AH193),$AH$2:$AH$1001,0),MATCH(COLUMNS($AO$1006:BQ1006),$AO$1006:$BQ$1006,0)), HYPERLINK("#",""), HYPERLINK(CONCATENATE("#Metadata!", ADDRESS(INDEX($AJ$2:$AJ$1001,MATCH(ROWS($AH$2:AH193),$AH$2:$AH$1001,0),0), INDEX($AO$1004:$BQ$1004,1,MATCH(COLUMNS($AO$1006:BQ1006),$AO$1006:$BQ$1006,0)))),"Fix")))</f>
        <v>#REF!</v>
      </c>
      <c r="AH193">
        <f ca="1"/>
        <v>190</v>
      </c>
      <c r="AI193">
        <v>100193</v>
      </c>
      <c r="AJ193">
        <v>193</v>
      </c>
      <c r="AK193" t="b">
        <f t="shared" si="2"/>
        <v>1</v>
      </c>
      <c r="AL193" t="b">
        <f>COUNTBLANK(Metadata!B193:AD193)=COLUMNS(Metadata!B193:AD193)</f>
        <v>1</v>
      </c>
      <c r="AM193" t="str">
        <v/>
      </c>
      <c r="AO193" t="b">
        <f ca="1">AND(IF(Metadata!B193="",FALSE,TRUE),COUNTIF(Metadata!B:B, Metadata!B193) = 1,NOT(ISERROR(SUMPRODUCT(SEARCH(MID(Metadata!B193,ROW(INDIRECT("1:"&amp;LEN(Metadata!B193))), 1),"0123456789abcdefghijklmnopqrstuvwxyzABCDEFGHIJKLMNOPQRSTUVWXYZ.")))))</f>
        <v>0</v>
      </c>
      <c r="AP193" t="b">
        <f>IF(Metadata!C193="",FALSE,TRUE)</f>
        <v>0</v>
      </c>
      <c r="AQ193" t="b">
        <f>IF(Metadata!D193="",FALSE,TRUE)</f>
        <v>0</v>
      </c>
      <c r="AR193" t="b">
        <f ca="1">OR(AND(IF(Metadata!E193="",FALSE,TRUE),OR(EXACT(Metadata!E193,"not collected"),EXACT(Metadata!E193,"not provided"),EXACT(Metadata!E193,"restricted access"))),AND(IF(Metadata!E193="",FALSE,TRUE),AND(AND(IFERROR(INT(LEFT(Metadata!E193,4))&gt;1900,FALSE),IFERROR(INT(LEFT(Metadata!E193,4))&lt;=YEAR(NOW()),FALSE)), OR(MID(Metadata!E193,5,1)="", AND(AND(MID(Metadata!E193,5,1)="-",IFERROR(INT(MID(Metadata!E193,6,1))&gt;=0,FALSE),IFERROR(INT(MID(Metadata!E193,6,1))&lt;=1,FALSE),NOT(MID(Metadata!E193,7,1)=""),IFERROR(INT(MID(Metadata!E193,6,2))&gt;=1,FALSE),IFERROR(INT(MID(Metadata!E193,6,2))&lt;=12,FALSE)), OR(MID(Metadata!E193,8,1)="", AND(AND(MID(Metadata!E193,8,1)="-",IFERROR(INT(MID(Metadata!E193,9,1))&gt;=0,FALSE),IFERROR(INT(MID(Metadata!E193,9,1))&lt;=3,FALSE),NOT(MID(Metadata!E193,10,1)=""),IFERROR(INT(MID(Metadata!E193,9,2))&gt;=1,FALSE),IFERROR(INT(MID(Metadata!E193,9,2))&lt;=31,FALSE)), OR(MID(Metadata!E193,11,1)="", AND(AND(MID(Metadata!E193,11,1)=" ",IFERROR(INT(MID(Metadata!E193,12,1))&gt;=0,FALSE),IFERROR(INT(MID(Metadata!E193,12,1))&lt;=2,FALSE),NOT(MID(Metadata!E193,13,1)=""),IFERROR(INT(MID(Metadata!E193,12,2))&gt;=0,FALSE),IFERROR(INT(MID(Metadata!E193,12,2))&lt;=23,FALSE)), OR(MID(Metadata!E193,14,1)="", AND(AND(MID(Metadata!E193,14,1)=":",IFERROR(INT(MID(Metadata!E193,15,1))&gt;=0,FALSE),IFERROR(INT(MID(Metadata!E193,15,1))&lt;=5,FALSE),NOT(MID(Metadata!E193,16,1)=""),IFERROR(INT(MID(Metadata!E193,15,2))&gt;=0,FALSE),IFERROR(INT(MID(Metadata!E193,15,2))&lt;=59,FALSE)), OR(MID(Metadata!E193,17,1)="", AND(AND(MID(Metadata!E193,17,1)=":",IFERROR(INT(MID(Metadata!E193,18,1))&gt;=0,FALSE),IFERROR(INT(MID(Metadata!E193,18,1))&lt;=5,FALSE),NOT(MID(Metadata!E193,19,1)=""),IFERROR(INT(MID(Metadata!E193,18,2))&gt;=0,FALSE),IFERROR(INT(MID(Metadata!E193,18,2))&lt;=59,FALSE)), LEN(Metadata!E193)&lt;=19)))))))))))))</f>
        <v>0</v>
      </c>
      <c r="AS193" t="b">
        <f>IF(Metadata!F193="",FALSE,TRUE)</f>
        <v>0</v>
      </c>
      <c r="AT193" t="b">
        <f>OR(AND(IF(Metadata!G193="",FALSE,TRUE),OR(EXACT(Metadata!G193,"not collected"),EXACT(Metadata!G193,"not provided"))),AND(IF(Metadata!G193="",FALSE,TRUE),OR(EXACT(Metadata!G193,"TRUE"),EXACT(Metadata!G193,"FALSE"))))</f>
        <v>0</v>
      </c>
      <c r="AU193" t="b">
        <f>OR(AND(IF(Metadata!H193="",FALSE,TRUE),OR(EXACT(Metadata!H193,"not collected"),EXACT(Metadata!H193,"not provided"),EXACT(Metadata!H193,"restricted access"))),AND(IF(Metadata!H193="",FALSE,ISNUMBER(VALUE(Metadata!H193))),Metadata!H193&gt;=-413))</f>
        <v>0</v>
      </c>
      <c r="AV193" t="b">
        <f>AND(IF(Metadata!I193="",FALSE,TRUE),EXACT(Metadata!I193,"meters"))</f>
        <v>0</v>
      </c>
      <c r="AW193" t="b">
        <f>AND(IF(Metadata!J193="",FALSE,TRUE),EXACT(Metadata!J193,"free-living"))</f>
        <v>0</v>
      </c>
      <c r="AX193" t="b">
        <f>AND(IF(Metadata!K193="",FALSE,TRUE),OR(EXACT(Metadata!K193,"saline"),EXACT(Metadata!K193,"non-saline")))</f>
        <v>0</v>
      </c>
      <c r="AY193" t="b">
        <f>AND(IF(Metadata!L193="",FALSE,TRUE),OR(EXACT(Metadata!L193,"sub-surface (non-saline)"),EXACT(Metadata!L193,"surface (non-saline)"),EXACT(Metadata!L193,"water (non-saline)"),EXACT(Metadata!L193,"soil (non-saline)"),EXACT(Metadata!L193,"aerosol (non-saline)"),EXACT(Metadata!L193,"sediment (non-saline)"),EXACT(Metadata!L193,"surface (saline)"),EXACT(Metadata!L193,"water (saline)"),EXACT(Metadata!L193,"hypersaline (saline)"),EXACT(Metadata!L193,"aerosol (saline)"),EXACT(Metadata!L193,"sediment (saline)")))</f>
        <v>0</v>
      </c>
      <c r="AZ193" t="b">
        <f>IF(Metadata!M193="",FALSE,TRUE)</f>
        <v>0</v>
      </c>
      <c r="BA193" t="b">
        <f>IF(Metadata!N193="",FALSE,TRUE)</f>
        <v>0</v>
      </c>
      <c r="BB193" t="b">
        <f>IF(Metadata!O193="",FALSE,TRUE)</f>
        <v>0</v>
      </c>
      <c r="BC193" t="b">
        <f>AND(IF(Metadata!P193="",FALSE,TRUE),OR(EXACT(Metadata!P193,"air"),EXACT(Metadata!P193,"microbial mat/biofilm"),EXACT(Metadata!P193,"misc environment"),EXACT(Metadata!P193,"sediment"),EXACT(Metadata!P193,"soil"),EXACT(Metadata!P193,"wastewater/sludge"),EXACT(Metadata!P193,"water")))</f>
        <v>0</v>
      </c>
      <c r="BD193" t="b">
        <f>IF(Metadata!Q193="",FALSE,TRUE)</f>
        <v>0</v>
      </c>
      <c r="BE193" t="b">
        <f>IF(Metadata!R193="",FALSE,TRUE)</f>
        <v>0</v>
      </c>
      <c r="BF193" t="b">
        <f>OR(AND(IF(Metadata!S193="",FALSE,TRUE),OR(EXACT(Metadata!S193,"not collected"),EXACT(Metadata!S193,"not provided"),EXACT(Metadata!S193,"restricted access"))),AND(IF(Metadata!S193="",FALSE,ISNUMBER(VALUE(Metadata!S193))),Metadata!S193&gt;=-90,Metadata!S193&lt;=90))</f>
        <v>0</v>
      </c>
      <c r="BG193" t="b">
        <f>AND(IF(Metadata!T193="",FALSE,TRUE),EXACT(Metadata!T193,"Decimal degrees"))</f>
        <v>0</v>
      </c>
      <c r="BH193" t="b">
        <f>OR(AND(IF(Metadata!U193="",FALSE,TRUE),OR(EXACT(Metadata!U193,"not applicable"),EXACT(Metadata!U193,"not collected"))),IF(Metadata!U193="",FALSE,TRUE))</f>
        <v>0</v>
      </c>
      <c r="BI193" t="b">
        <f>OR(AND(IF(Metadata!V193="",FALSE,TRUE),OR(EXACT(Metadata!V193,"not collected"),EXACT(Metadata!V193,"not provided"),EXACT(Metadata!V193,"restricted access"))),AND(IF(Metadata!V193="",FALSE,ISNUMBER(VALUE(Metadata!V193))),Metadata!V193&gt;=-180,Metadata!V193&lt;=180))</f>
        <v>0</v>
      </c>
      <c r="BJ193" t="b">
        <f>AND(IF(Metadata!W193="",FALSE,TRUE),EXACT(Metadata!W193,"Decimal degrees"))</f>
        <v>0</v>
      </c>
      <c r="BK193" t="b">
        <f>IF(Metadata!X193="",FALSE,TRUE)</f>
        <v>0</v>
      </c>
      <c r="BL193" t="b">
        <f>OR(AND(IF(Metadata!Y193="",FALSE,TRUE),OR(EXACT(Metadata!Y193,"not collected"),EXACT(Metadata!Y193,"not provided"),EXACT(Metadata!Y193,"restricted access"))),AND(IF(Metadata!Y193="",FALSE,TRUE),OR(EXACT(Metadata!Y193,"TRUE"),EXACT(Metadata!Y193,"FALSE"))))</f>
        <v>0</v>
      </c>
      <c r="BM193" t="b">
        <f>OR(AND(IF(Metadata!Z193="",FALSE,TRUE),EXACT(Metadata!Z193,"not applicable")),AND(IF(Metadata!Z193="",FALSE,TRUE),OR(EXACT(Metadata!Z193,"beer"),EXACT(Metadata!Z193,"cheese"),EXACT(Metadata!Z193,"fresh water"),EXACT(Metadata!Z193,"marine sediment"),EXACT(Metadata!Z193,"sea water"),EXACT(Metadata!Z193,"sediment"),EXACT(Metadata!Z193,"soil"),EXACT(Metadata!Z193,"waste water"))))</f>
        <v>0</v>
      </c>
      <c r="BN193" t="b">
        <f>AND(IF(Metadata!AA193="",FALSE,TRUE),EXACT(Metadata!AA193,"metagenome"))</f>
        <v>0</v>
      </c>
      <c r="BO193" t="b">
        <f>AND(IF(Metadata!AB193="",FALSE,TRUE),EXACT(Metadata!AB193,"256318"))</f>
        <v>0</v>
      </c>
      <c r="BP193" t="b">
        <f>IF(Metadata!AC193="",FALSE,TRUE)</f>
        <v>0</v>
      </c>
      <c r="BQ193" t="b">
        <f>IF(Metadata!AD193="",FALSE,TRUE)</f>
        <v>0</v>
      </c>
    </row>
    <row r="194" spans="1:69" x14ac:dyDescent="0.2">
      <c r="A194" s="4" t="e">
        <f ca="1">IF(B194=" "," ",HYPERLINK(CONCATENATE("#metadata!",ADDRESS(INDEX($AJ$2:$AJ$1001,MATCH(ROWS($AH$2:AH194),$AH$2:$AH$1001,0),0),2)),INDEX($AM$2:$AM$1001,MATCH(ROWS($AH$2:AH194),$AH$2:$AH$1001,0),0)))</f>
        <v>#N/A</v>
      </c>
      <c r="B194" s="5" t="e">
        <f ca="1">IF(OR(INDEX($AI$2:$AI$1001,MATCH(ROWS($AH$2:AH194),$AH$2:$AH$1001,0),1)&gt;=100000,INDEX($AO$1005:$BQ$1005,1,MATCH(COLUMNS($AO$1006:AO1006),$AO$1006:$BQ$1006,0))&gt;=100000), " ",IF(INDEX($AO$2:$BQ$1001,MATCH(ROWS($AH$2:AH194),$AH$2:$AH$1001,0),MATCH(COLUMNS($AO$1006:AO1006),$AO$1006:$BQ$1006,0)), HYPERLINK("#",""), HYPERLINK(CONCATENATE("#Metadata!", ADDRESS(INDEX($AJ$2:$AJ$1001,MATCH(ROWS($AH$2:AH194),$AH$2:$AH$1001,0),0), INDEX($AO$1004:$BQ$1004,1,MATCH(COLUMNS($AO$1006:AO1006),$AO$1006:$BQ$1006,0)))),"Fix")))</f>
        <v>#N/A</v>
      </c>
      <c r="C194" s="5" t="e">
        <f ca="1">IF(OR(INDEX($AI$2:$AI$1001,MATCH(ROWS($AH$2:AH194),$AH$2:$AH$1001,0),1)&gt;=100000,INDEX($AO$1005:$BQ$1005,1,MATCH(COLUMNS($AO$1006:AP1006),$AO$1006:$BQ$1006,0))&gt;=100000), " ",IF(INDEX($AO$2:$BQ$1001,MATCH(ROWS($AH$2:AH194),$AH$2:$AH$1001,0),MATCH(COLUMNS($AO$1006:AP1006),$AO$1006:$BQ$1006,0)), HYPERLINK("#",""), HYPERLINK(CONCATENATE("#Metadata!", ADDRESS(INDEX($AJ$2:$AJ$1001,MATCH(ROWS($AH$2:AH194),$AH$2:$AH$1001,0),0), INDEX($AO$1004:$BQ$1004,1,MATCH(COLUMNS($AO$1006:AP1006),$AO$1006:$BQ$1006,0)))),"Fix")))</f>
        <v>#N/A</v>
      </c>
      <c r="D194" s="5" t="e">
        <f ca="1">IF(OR(INDEX($AI$2:$AI$1001,MATCH(ROWS($AH$2:AH194),$AH$2:$AH$1001,0),1)&gt;=100000,INDEX($AO$1005:$BQ$1005,1,MATCH(COLUMNS($AO$1006:AQ1006),$AO$1006:$BQ$1006,0))&gt;=100000), " ",IF(INDEX($AO$2:$BQ$1001,MATCH(ROWS($AH$2:AH194),$AH$2:$AH$1001,0),MATCH(COLUMNS($AO$1006:AQ1006),$AO$1006:$BQ$1006,0)), HYPERLINK("#",""), HYPERLINK(CONCATENATE("#Metadata!", ADDRESS(INDEX($AJ$2:$AJ$1001,MATCH(ROWS($AH$2:AH194),$AH$2:$AH$1001,0),0), INDEX($AO$1004:$BQ$1004,1,MATCH(COLUMNS($AO$1006:AQ1006),$AO$1006:$BQ$1006,0)))),"Fix")))</f>
        <v>#N/A</v>
      </c>
      <c r="E194" s="5" t="e">
        <f ca="1">IF(OR(INDEX($AI$2:$AI$1001,MATCH(ROWS($AH$2:AH194),$AH$2:$AH$1001,0),1)&gt;=100000,INDEX($AO$1005:$BQ$1005,1,MATCH(COLUMNS($AO$1006:AR1006),$AO$1006:$BQ$1006,0))&gt;=100000), " ",IF(INDEX($AO$2:$BQ$1001,MATCH(ROWS($AH$2:AH194),$AH$2:$AH$1001,0),MATCH(COLUMNS($AO$1006:AR1006),$AO$1006:$BQ$1006,0)), HYPERLINK("#",""), HYPERLINK(CONCATENATE("#Metadata!", ADDRESS(INDEX($AJ$2:$AJ$1001,MATCH(ROWS($AH$2:AH194),$AH$2:$AH$1001,0),0), INDEX($AO$1004:$BQ$1004,1,MATCH(COLUMNS($AO$1006:AR1006),$AO$1006:$BQ$1006,0)))),"Fix")))</f>
        <v>#N/A</v>
      </c>
      <c r="F194" s="5" t="e">
        <f ca="1">IF(OR(INDEX($AI$2:$AI$1001,MATCH(ROWS($AH$2:AH194),$AH$2:$AH$1001,0),1)&gt;=100000,INDEX($AO$1005:$BQ$1005,1,MATCH(COLUMNS($AO$1006:AS1006),$AO$1006:$BQ$1006,0))&gt;=100000), " ",IF(INDEX($AO$2:$BQ$1001,MATCH(ROWS($AH$2:AH194),$AH$2:$AH$1001,0),MATCH(COLUMNS($AO$1006:AS1006),$AO$1006:$BQ$1006,0)), HYPERLINK("#",""), HYPERLINK(CONCATENATE("#Metadata!", ADDRESS(INDEX($AJ$2:$AJ$1001,MATCH(ROWS($AH$2:AH194),$AH$2:$AH$1001,0),0), INDEX($AO$1004:$BQ$1004,1,MATCH(COLUMNS($AO$1006:AS1006),$AO$1006:$BQ$1006,0)))),"Fix")))</f>
        <v>#N/A</v>
      </c>
      <c r="G194" s="5" t="e">
        <f ca="1">IF(OR(INDEX($AI$2:$AI$1001,MATCH(ROWS($AH$2:AH194),$AH$2:$AH$1001,0),1)&gt;=100000,INDEX($AO$1005:$BQ$1005,1,MATCH(COLUMNS($AO$1006:AT1006),$AO$1006:$BQ$1006,0))&gt;=100000), " ",IF(INDEX($AO$2:$BQ$1001,MATCH(ROWS($AH$2:AH194),$AH$2:$AH$1001,0),MATCH(COLUMNS($AO$1006:AT1006),$AO$1006:$BQ$1006,0)), HYPERLINK("#",""), HYPERLINK(CONCATENATE("#Metadata!", ADDRESS(INDEX($AJ$2:$AJ$1001,MATCH(ROWS($AH$2:AH194),$AH$2:$AH$1001,0),0), INDEX($AO$1004:$BQ$1004,1,MATCH(COLUMNS($AO$1006:AT1006),$AO$1006:$BQ$1006,0)))),"Fix")))</f>
        <v>#N/A</v>
      </c>
      <c r="H194" s="5" t="e">
        <f ca="1">IF(OR(INDEX($AI$2:$AI$1001,MATCH(ROWS($AH$2:AH194),$AH$2:$AH$1001,0),1)&gt;=100000,INDEX($AO$1005:$BQ$1005,1,MATCH(COLUMNS($AO$1006:AU1006),$AO$1006:$BQ$1006,0))&gt;=100000), " ",IF(INDEX($AO$2:$BQ$1001,MATCH(ROWS($AH$2:AH194),$AH$2:$AH$1001,0),MATCH(COLUMNS($AO$1006:AU1006),$AO$1006:$BQ$1006,0)), HYPERLINK("#",""), HYPERLINK(CONCATENATE("#Metadata!", ADDRESS(INDEX($AJ$2:$AJ$1001,MATCH(ROWS($AH$2:AH194),$AH$2:$AH$1001,0),0), INDEX($AO$1004:$BQ$1004,1,MATCH(COLUMNS($AO$1006:AU1006),$AO$1006:$BQ$1006,0)))),"Fix")))</f>
        <v>#N/A</v>
      </c>
      <c r="I194" s="5" t="e">
        <f ca="1">IF(OR(INDEX($AI$2:$AI$1001,MATCH(ROWS($AH$2:AH194),$AH$2:$AH$1001,0),1)&gt;=100000,INDEX($AO$1005:$BQ$1005,1,MATCH(COLUMNS($AO$1006:AV1006),$AO$1006:$BQ$1006,0))&gt;=100000), " ",IF(INDEX($AO$2:$BQ$1001,MATCH(ROWS($AH$2:AH194),$AH$2:$AH$1001,0),MATCH(COLUMNS($AO$1006:AV1006),$AO$1006:$BQ$1006,0)), HYPERLINK("#",""), HYPERLINK(CONCATENATE("#Metadata!", ADDRESS(INDEX($AJ$2:$AJ$1001,MATCH(ROWS($AH$2:AH194),$AH$2:$AH$1001,0),0), INDEX($AO$1004:$BQ$1004,1,MATCH(COLUMNS($AO$1006:AV1006),$AO$1006:$BQ$1006,0)))),"Fix")))</f>
        <v>#N/A</v>
      </c>
      <c r="J194" s="5" t="e">
        <f ca="1">IF(OR(INDEX($AI$2:$AI$1001,MATCH(ROWS($AH$2:AH194),$AH$2:$AH$1001,0),1)&gt;=100000,INDEX($AO$1005:$BQ$1005,1,MATCH(COLUMNS($AO$1006:AW1006),$AO$1006:$BQ$1006,0))&gt;=100000), " ",IF(INDEX($AO$2:$BQ$1001,MATCH(ROWS($AH$2:AH194),$AH$2:$AH$1001,0),MATCH(COLUMNS($AO$1006:AW1006),$AO$1006:$BQ$1006,0)), HYPERLINK("#",""), HYPERLINK(CONCATENATE("#Metadata!", ADDRESS(INDEX($AJ$2:$AJ$1001,MATCH(ROWS($AH$2:AH194),$AH$2:$AH$1001,0),0), INDEX($AO$1004:$BQ$1004,1,MATCH(COLUMNS($AO$1006:AW1006),$AO$1006:$BQ$1006,0)))),"Fix")))</f>
        <v>#N/A</v>
      </c>
      <c r="K194" s="5" t="e">
        <f ca="1">IF(OR(INDEX($AI$2:$AI$1001,MATCH(ROWS($AH$2:AH194),$AH$2:$AH$1001,0),1)&gt;=100000,INDEX($AO$1005:$BQ$1005,1,MATCH(COLUMNS($AO$1006:AX1006),$AO$1006:$BQ$1006,0))&gt;=100000), " ",IF(INDEX($AO$2:$BQ$1001,MATCH(ROWS($AH$2:AH194),$AH$2:$AH$1001,0),MATCH(COLUMNS($AO$1006:AX1006),$AO$1006:$BQ$1006,0)), HYPERLINK("#",""), HYPERLINK(CONCATENATE("#Metadata!", ADDRESS(INDEX($AJ$2:$AJ$1001,MATCH(ROWS($AH$2:AH194),$AH$2:$AH$1001,0),0), INDEX($AO$1004:$BQ$1004,1,MATCH(COLUMNS($AO$1006:AX1006),$AO$1006:$BQ$1006,0)))),"Fix")))</f>
        <v>#N/A</v>
      </c>
      <c r="L194" s="5" t="e">
        <f ca="1">IF(OR(INDEX($AI$2:$AI$1001,MATCH(ROWS($AH$2:AH194),$AH$2:$AH$1001,0),1)&gt;=100000,INDEX($AO$1005:$BQ$1005,1,MATCH(COLUMNS($AO$1006:AY1006),$AO$1006:$BQ$1006,0))&gt;=100000), " ",IF(INDEX($AO$2:$BQ$1001,MATCH(ROWS($AH$2:AH194),$AH$2:$AH$1001,0),MATCH(COLUMNS($AO$1006:AY1006),$AO$1006:$BQ$1006,0)), HYPERLINK("#",""), HYPERLINK(CONCATENATE("#Metadata!", ADDRESS(INDEX($AJ$2:$AJ$1001,MATCH(ROWS($AH$2:AH194),$AH$2:$AH$1001,0),0), INDEX($AO$1004:$BQ$1004,1,MATCH(COLUMNS($AO$1006:AY1006),$AO$1006:$BQ$1006,0)))),"Fix")))</f>
        <v>#N/A</v>
      </c>
      <c r="M194" s="5" t="e">
        <f ca="1">IF(OR(INDEX($AI$2:$AI$1001,MATCH(ROWS($AH$2:AH194),$AH$2:$AH$1001,0),1)&gt;=100000,INDEX($AO$1005:$BQ$1005,1,MATCH(COLUMNS($AO$1006:AZ1006),$AO$1006:$BQ$1006,0))&gt;=100000), " ",IF(INDEX($AO$2:$BQ$1001,MATCH(ROWS($AH$2:AH194),$AH$2:$AH$1001,0),MATCH(COLUMNS($AO$1006:AZ1006),$AO$1006:$BQ$1006,0)), HYPERLINK("#",""), HYPERLINK(CONCATENATE("#Metadata!", ADDRESS(INDEX($AJ$2:$AJ$1001,MATCH(ROWS($AH$2:AH194),$AH$2:$AH$1001,0),0), INDEX($AO$1004:$BQ$1004,1,MATCH(COLUMNS($AO$1006:AZ1006),$AO$1006:$BQ$1006,0)))),"Fix")))</f>
        <v>#N/A</v>
      </c>
      <c r="N194" s="5" t="e">
        <f ca="1">IF(OR(INDEX($AI$2:$AI$1001,MATCH(ROWS($AH$2:AH194),$AH$2:$AH$1001,0),1)&gt;=100000,INDEX($AO$1005:$BQ$1005,1,MATCH(COLUMNS($AO$1006:BA1006),$AO$1006:$BQ$1006,0))&gt;=100000), " ",IF(INDEX($AO$2:$BQ$1001,MATCH(ROWS($AH$2:AH194),$AH$2:$AH$1001,0),MATCH(COLUMNS($AO$1006:BA1006),$AO$1006:$BQ$1006,0)), HYPERLINK("#",""), HYPERLINK(CONCATENATE("#Metadata!", ADDRESS(INDEX($AJ$2:$AJ$1001,MATCH(ROWS($AH$2:AH194),$AH$2:$AH$1001,0),0), INDEX($AO$1004:$BQ$1004,1,MATCH(COLUMNS($AO$1006:BA1006),$AO$1006:$BQ$1006,0)))),"Fix")))</f>
        <v>#N/A</v>
      </c>
      <c r="O194" s="5" t="e">
        <f ca="1">IF(OR(INDEX($AI$2:$AI$1001,MATCH(ROWS($AH$2:AH194),$AH$2:$AH$1001,0),1)&gt;=100000,INDEX($AO$1005:$BQ$1005,1,MATCH(COLUMNS($AO$1006:BB1006),$AO$1006:$BQ$1006,0))&gt;=100000), " ",IF(INDEX($AO$2:$BQ$1001,MATCH(ROWS($AH$2:AH194),$AH$2:$AH$1001,0),MATCH(COLUMNS($AO$1006:BB1006),$AO$1006:$BQ$1006,0)), HYPERLINK("#",""), HYPERLINK(CONCATENATE("#Metadata!", ADDRESS(INDEX($AJ$2:$AJ$1001,MATCH(ROWS($AH$2:AH194),$AH$2:$AH$1001,0),0), INDEX($AO$1004:$BQ$1004,1,MATCH(COLUMNS($AO$1006:BB1006),$AO$1006:$BQ$1006,0)))),"Fix")))</f>
        <v>#N/A</v>
      </c>
      <c r="P194" s="5" t="e">
        <f ca="1">IF(OR(INDEX($AI$2:$AI$1001,MATCH(ROWS($AH$2:AH194),$AH$2:$AH$1001,0),1)&gt;=100000,INDEX($AO$1005:$BQ$1005,1,MATCH(COLUMNS($AO$1006:BC1006),$AO$1006:$BQ$1006,0))&gt;=100000), " ",IF(INDEX($AO$2:$BQ$1001,MATCH(ROWS($AH$2:AH194),$AH$2:$AH$1001,0),MATCH(COLUMNS($AO$1006:BC1006),$AO$1006:$BQ$1006,0)), HYPERLINK("#",""), HYPERLINK(CONCATENATE("#Metadata!", ADDRESS(INDEX($AJ$2:$AJ$1001,MATCH(ROWS($AH$2:AH194),$AH$2:$AH$1001,0),0), INDEX($AO$1004:$BQ$1004,1,MATCH(COLUMNS($AO$1006:BC1006),$AO$1006:$BQ$1006,0)))),"Fix")))</f>
        <v>#N/A</v>
      </c>
      <c r="Q194" s="5" t="e">
        <f ca="1">IF(OR(INDEX($AI$2:$AI$1001,MATCH(ROWS($AH$2:AH194),$AH$2:$AH$1001,0),1)&gt;=100000,INDEX($AO$1005:$BQ$1005,1,MATCH(COLUMNS($AO$1006:BD1006),$AO$1006:$BQ$1006,0))&gt;=100000), " ",IF(INDEX($AO$2:$BQ$1001,MATCH(ROWS($AH$2:AH194),$AH$2:$AH$1001,0),MATCH(COLUMNS($AO$1006:BD1006),$AO$1006:$BQ$1006,0)), HYPERLINK("#",""), HYPERLINK(CONCATENATE("#Metadata!", ADDRESS(INDEX($AJ$2:$AJ$1001,MATCH(ROWS($AH$2:AH194),$AH$2:$AH$1001,0),0), INDEX($AO$1004:$BQ$1004,1,MATCH(COLUMNS($AO$1006:BD1006),$AO$1006:$BQ$1006,0)))),"Fix")))</f>
        <v>#N/A</v>
      </c>
      <c r="R194" s="5" t="e">
        <f ca="1">IF(OR(INDEX($AI$2:$AI$1001,MATCH(ROWS($AH$2:AH194),$AH$2:$AH$1001,0),1)&gt;=100000,INDEX($AO$1005:$BQ$1005,1,MATCH(COLUMNS($AO$1006:BE1006),$AO$1006:$BQ$1006,0))&gt;=100000), " ",IF(INDEX($AO$2:$BQ$1001,MATCH(ROWS($AH$2:AH194),$AH$2:$AH$1001,0),MATCH(COLUMNS($AO$1006:BE1006),$AO$1006:$BQ$1006,0)), HYPERLINK("#",""), HYPERLINK(CONCATENATE("#Metadata!", ADDRESS(INDEX($AJ$2:$AJ$1001,MATCH(ROWS($AH$2:AH194),$AH$2:$AH$1001,0),0), INDEX($AO$1004:$BQ$1004,1,MATCH(COLUMNS($AO$1006:BE1006),$AO$1006:$BQ$1006,0)))),"Fix")))</f>
        <v>#N/A</v>
      </c>
      <c r="S194" s="5" t="e">
        <f ca="1">IF(OR(INDEX($AI$2:$AI$1001,MATCH(ROWS($AH$2:AH194),$AH$2:$AH$1001,0),1)&gt;=100000,INDEX($AO$1005:$BQ$1005,1,MATCH(COLUMNS($AO$1006:BF1006),$AO$1006:$BQ$1006,0))&gt;=100000), " ",IF(INDEX($AO$2:$BQ$1001,MATCH(ROWS($AH$2:AH194),$AH$2:$AH$1001,0),MATCH(COLUMNS($AO$1006:BF1006),$AO$1006:$BQ$1006,0)), HYPERLINK("#",""), HYPERLINK(CONCATENATE("#Metadata!", ADDRESS(INDEX($AJ$2:$AJ$1001,MATCH(ROWS($AH$2:AH194),$AH$2:$AH$1001,0),0), INDEX($AO$1004:$BQ$1004,1,MATCH(COLUMNS($AO$1006:BF1006),$AO$1006:$BQ$1006,0)))),"Fix")))</f>
        <v>#N/A</v>
      </c>
      <c r="T194" s="5" t="e">
        <f ca="1">IF(OR(INDEX($AI$2:$AI$1001,MATCH(ROWS($AH$2:AH194),$AH$2:$AH$1001,0),1)&gt;=100000,INDEX($AO$1005:$BQ$1005,1,MATCH(COLUMNS($AO$1006:BG1006),$AO$1006:$BQ$1006,0))&gt;=100000), " ",IF(INDEX($AO$2:$BQ$1001,MATCH(ROWS($AH$2:AH194),$AH$2:$AH$1001,0),MATCH(COLUMNS($AO$1006:BG1006),$AO$1006:$BQ$1006,0)), HYPERLINK("#",""), HYPERLINK(CONCATENATE("#Metadata!", ADDRESS(INDEX($AJ$2:$AJ$1001,MATCH(ROWS($AH$2:AH194),$AH$2:$AH$1001,0),0), INDEX($AO$1004:$BQ$1004,1,MATCH(COLUMNS($AO$1006:BG1006),$AO$1006:$BQ$1006,0)))),"Fix")))</f>
        <v>#N/A</v>
      </c>
      <c r="U194" s="5" t="e">
        <f ca="1">IF(OR(INDEX($AI$2:$AI$1001,MATCH(ROWS($AH$2:AH194),$AH$2:$AH$1001,0),1)&gt;=100000,INDEX($AO$1005:$BQ$1005,1,MATCH(COLUMNS($AO$1006:BH1006),$AO$1006:$BQ$1006,0))&gt;=100000), " ",IF(INDEX($AO$2:$BQ$1001,MATCH(ROWS($AH$2:AH194),$AH$2:$AH$1001,0),MATCH(COLUMNS($AO$1006:BH1006),$AO$1006:$BQ$1006,0)), HYPERLINK("#",""), HYPERLINK(CONCATENATE("#Metadata!", ADDRESS(INDEX($AJ$2:$AJ$1001,MATCH(ROWS($AH$2:AH194),$AH$2:$AH$1001,0),0), INDEX($AO$1004:$BQ$1004,1,MATCH(COLUMNS($AO$1006:BH1006),$AO$1006:$BQ$1006,0)))),"Fix")))</f>
        <v>#N/A</v>
      </c>
      <c r="V194" s="5" t="e">
        <f ca="1">IF(OR(INDEX($AI$2:$AI$1001,MATCH(ROWS($AH$2:AH194),$AH$2:$AH$1001,0),1)&gt;=100000,INDEX($AO$1005:$BQ$1005,1,MATCH(COLUMNS($AO$1006:BI1006),$AO$1006:$BQ$1006,0))&gt;=100000), " ",IF(INDEX($AO$2:$BQ$1001,MATCH(ROWS($AH$2:AH194),$AH$2:$AH$1001,0),MATCH(COLUMNS($AO$1006:BI1006),$AO$1006:$BQ$1006,0)), HYPERLINK("#",""), HYPERLINK(CONCATENATE("#Metadata!", ADDRESS(INDEX($AJ$2:$AJ$1001,MATCH(ROWS($AH$2:AH194),$AH$2:$AH$1001,0),0), INDEX($AO$1004:$BQ$1004,1,MATCH(COLUMNS($AO$1006:BI1006),$AO$1006:$BQ$1006,0)))),"Fix")))</f>
        <v>#N/A</v>
      </c>
      <c r="W194" s="5" t="e">
        <f ca="1">IF(OR(INDEX($AI$2:$AI$1001,MATCH(ROWS($AH$2:AH194),$AH$2:$AH$1001,0),1)&gt;=100000,INDEX($AO$1005:$BQ$1005,1,MATCH(COLUMNS($AO$1006:BJ1006),$AO$1006:$BQ$1006,0))&gt;=100000), " ",IF(INDEX($AO$2:$BQ$1001,MATCH(ROWS($AH$2:AH194),$AH$2:$AH$1001,0),MATCH(COLUMNS($AO$1006:BJ1006),$AO$1006:$BQ$1006,0)), HYPERLINK("#",""), HYPERLINK(CONCATENATE("#Metadata!", ADDRESS(INDEX($AJ$2:$AJ$1001,MATCH(ROWS($AH$2:AH194),$AH$2:$AH$1001,0),0), INDEX($AO$1004:$BQ$1004,1,MATCH(COLUMNS($AO$1006:BJ1006),$AO$1006:$BQ$1006,0)))),"Fix")))</f>
        <v>#N/A</v>
      </c>
      <c r="X194" s="5" t="e">
        <f ca="1">IF(OR(INDEX($AI$2:$AI$1001,MATCH(ROWS($AH$2:AH194),$AH$2:$AH$1001,0),1)&gt;=100000,INDEX($AO$1005:$BQ$1005,1,MATCH(COLUMNS($AO$1006:BK1006),$AO$1006:$BQ$1006,0))&gt;=100000), " ",IF(INDEX($AO$2:$BQ$1001,MATCH(ROWS($AH$2:AH194),$AH$2:$AH$1001,0),MATCH(COLUMNS($AO$1006:BK1006),$AO$1006:$BQ$1006,0)), HYPERLINK("#",""), HYPERLINK(CONCATENATE("#Metadata!", ADDRESS(INDEX($AJ$2:$AJ$1001,MATCH(ROWS($AH$2:AH194),$AH$2:$AH$1001,0),0), INDEX($AO$1004:$BQ$1004,1,MATCH(COLUMNS($AO$1006:BK1006),$AO$1006:$BQ$1006,0)))),"Fix")))</f>
        <v>#N/A</v>
      </c>
      <c r="Y194" s="5" t="e">
        <f ca="1">IF(OR(INDEX($AI$2:$AI$1001,MATCH(ROWS($AH$2:AH194),$AH$2:$AH$1001,0),1)&gt;=100000,INDEX($AO$1005:$BQ$1005,1,MATCH(COLUMNS($AO$1006:BL1006),$AO$1006:$BQ$1006,0))&gt;=100000), " ",IF(INDEX($AO$2:$BQ$1001,MATCH(ROWS($AH$2:AH194),$AH$2:$AH$1001,0),MATCH(COLUMNS($AO$1006:BL1006),$AO$1006:$BQ$1006,0)), HYPERLINK("#",""), HYPERLINK(CONCATENATE("#Metadata!", ADDRESS(INDEX($AJ$2:$AJ$1001,MATCH(ROWS($AH$2:AH194),$AH$2:$AH$1001,0),0), INDEX($AO$1004:$BQ$1004,1,MATCH(COLUMNS($AO$1006:BL1006),$AO$1006:$BQ$1006,0)))),"Fix")))</f>
        <v>#N/A</v>
      </c>
      <c r="Z194" s="5" t="e">
        <f ca="1">IF(OR(INDEX($AI$2:$AI$1001,MATCH(ROWS($AH$2:AH194),$AH$2:$AH$1001,0),1)&gt;=100000,INDEX($AO$1005:$BQ$1005,1,MATCH(COLUMNS($AO$1006:BM1006),$AO$1006:$BQ$1006,0))&gt;=100000), " ",IF(INDEX($AO$2:$BQ$1001,MATCH(ROWS($AH$2:AH194),$AH$2:$AH$1001,0),MATCH(COLUMNS($AO$1006:BM1006),$AO$1006:$BQ$1006,0)), HYPERLINK("#",""), HYPERLINK(CONCATENATE("#Metadata!", ADDRESS(INDEX($AJ$2:$AJ$1001,MATCH(ROWS($AH$2:AH194),$AH$2:$AH$1001,0),0), INDEX($AO$1004:$BQ$1004,1,MATCH(COLUMNS($AO$1006:BM1006),$AO$1006:$BQ$1006,0)))),"Fix")))</f>
        <v>#N/A</v>
      </c>
      <c r="AA194" s="5" t="e">
        <f ca="1">IF(OR(INDEX($AI$2:$AI$1001,MATCH(ROWS($AH$2:AH194),$AH$2:$AH$1001,0),1)&gt;=100000,INDEX($AO$1005:$BQ$1005,1,MATCH(COLUMNS($AO$1006:BN1006),$AO$1006:$BQ$1006,0))&gt;=100000), " ",IF(INDEX($AO$2:$BQ$1001,MATCH(ROWS($AH$2:AH194),$AH$2:$AH$1001,0),MATCH(COLUMNS($AO$1006:BN1006),$AO$1006:$BQ$1006,0)), HYPERLINK("#",""), HYPERLINK(CONCATENATE("#Metadata!", ADDRESS(INDEX($AJ$2:$AJ$1001,MATCH(ROWS($AH$2:AH194),$AH$2:$AH$1001,0),0), INDEX($AO$1004:$BQ$1004,1,MATCH(COLUMNS($AO$1006:BN1006),$AO$1006:$BQ$1006,0)))),"Fix")))</f>
        <v>#N/A</v>
      </c>
      <c r="AB194" s="5" t="e">
        <f ca="1">IF(OR(INDEX($AI$2:$AI$1001,MATCH(ROWS($AH$2:AH194),$AH$2:$AH$1001,0),1)&gt;=100000,INDEX($AO$1005:$BQ$1005,1,MATCH(COLUMNS($AO$1006:BO1006),$AO$1006:$BQ$1006,0))&gt;=100000), " ",IF(INDEX($AO$2:$BQ$1001,MATCH(ROWS($AH$2:AH194),$AH$2:$AH$1001,0),MATCH(COLUMNS($AO$1006:BO1006),$AO$1006:$BQ$1006,0)), HYPERLINK("#",""), HYPERLINK(CONCATENATE("#Metadata!", ADDRESS(INDEX($AJ$2:$AJ$1001,MATCH(ROWS($AH$2:AH194),$AH$2:$AH$1001,0),0), INDEX($AO$1004:$BQ$1004,1,MATCH(COLUMNS($AO$1006:BO1006),$AO$1006:$BQ$1006,0)))),"Fix")))</f>
        <v>#N/A</v>
      </c>
      <c r="AC194" s="5" t="e">
        <f ca="1">IF(OR(INDEX($AI$2:$AI$1001,MATCH(ROWS($AH$2:AH194),$AH$2:$AH$1001,0),1)&gt;=100000,INDEX($AO$1005:$BQ$1005,1,MATCH(COLUMNS($AO$1006:BP1006),$AO$1006:$BQ$1006,0))&gt;=100000), " ",IF(INDEX($AO$2:$BQ$1001,MATCH(ROWS($AH$2:AH194),$AH$2:$AH$1001,0),MATCH(COLUMNS($AO$1006:BP1006),$AO$1006:$BQ$1006,0)), HYPERLINK("#",""), HYPERLINK(CONCATENATE("#Metadata!", ADDRESS(INDEX($AJ$2:$AJ$1001,MATCH(ROWS($AH$2:AH194),$AH$2:$AH$1001,0),0), INDEX($AO$1004:$BQ$1004,1,MATCH(COLUMNS($AO$1006:BP1006),$AO$1006:$BQ$1006,0)))),"Fix")))</f>
        <v>#N/A</v>
      </c>
      <c r="AD194" s="5" t="e">
        <f ca="1">IF(OR(INDEX($AI$2:$AI$1001,MATCH(ROWS($AH$2:AH194),$AH$2:$AH$1001,0),1)&gt;=100000,INDEX($AO$1005:$BQ$1005,1,MATCH(COLUMNS($AO$1006:BQ1006),$AO$1006:$BQ$1006,0))&gt;=100000), " ",IF(INDEX($AO$2:$BQ$1001,MATCH(ROWS($AH$2:AH194),$AH$2:$AH$1001,0),MATCH(COLUMNS($AO$1006:BQ1006),$AO$1006:$BQ$1006,0)), HYPERLINK("#",""), HYPERLINK(CONCATENATE("#Metadata!", ADDRESS(INDEX($AJ$2:$AJ$1001,MATCH(ROWS($AH$2:AH194),$AH$2:$AH$1001,0),0), INDEX($AO$1004:$BQ$1004,1,MATCH(COLUMNS($AO$1006:BQ1006),$AO$1006:$BQ$1006,0)))),"Fix")))</f>
        <v>#REF!</v>
      </c>
      <c r="AH194">
        <f ca="1"/>
        <v>191</v>
      </c>
      <c r="AI194">
        <v>100194</v>
      </c>
      <c r="AJ194">
        <v>194</v>
      </c>
      <c r="AK194" t="b">
        <f t="shared" ref="AK194:AK257" si="3">IF(AL194,TRUE,AND(AO194:BQ194))</f>
        <v>1</v>
      </c>
      <c r="AL194" t="b">
        <f>COUNTBLANK(Metadata!B194:AD194)=COLUMNS(Metadata!B194:AD194)</f>
        <v>1</v>
      </c>
      <c r="AM194" t="str">
        <v/>
      </c>
      <c r="AO194" t="b">
        <f ca="1">AND(IF(Metadata!B194="",FALSE,TRUE),COUNTIF(Metadata!B:B, Metadata!B194) = 1,NOT(ISERROR(SUMPRODUCT(SEARCH(MID(Metadata!B194,ROW(INDIRECT("1:"&amp;LEN(Metadata!B194))), 1),"0123456789abcdefghijklmnopqrstuvwxyzABCDEFGHIJKLMNOPQRSTUVWXYZ.")))))</f>
        <v>0</v>
      </c>
      <c r="AP194" t="b">
        <f>IF(Metadata!C194="",FALSE,TRUE)</f>
        <v>0</v>
      </c>
      <c r="AQ194" t="b">
        <f>IF(Metadata!D194="",FALSE,TRUE)</f>
        <v>0</v>
      </c>
      <c r="AR194" t="b">
        <f ca="1">OR(AND(IF(Metadata!E194="",FALSE,TRUE),OR(EXACT(Metadata!E194,"not collected"),EXACT(Metadata!E194,"not provided"),EXACT(Metadata!E194,"restricted access"))),AND(IF(Metadata!E194="",FALSE,TRUE),AND(AND(IFERROR(INT(LEFT(Metadata!E194,4))&gt;1900,FALSE),IFERROR(INT(LEFT(Metadata!E194,4))&lt;=YEAR(NOW()),FALSE)), OR(MID(Metadata!E194,5,1)="", AND(AND(MID(Metadata!E194,5,1)="-",IFERROR(INT(MID(Metadata!E194,6,1))&gt;=0,FALSE),IFERROR(INT(MID(Metadata!E194,6,1))&lt;=1,FALSE),NOT(MID(Metadata!E194,7,1)=""),IFERROR(INT(MID(Metadata!E194,6,2))&gt;=1,FALSE),IFERROR(INT(MID(Metadata!E194,6,2))&lt;=12,FALSE)), OR(MID(Metadata!E194,8,1)="", AND(AND(MID(Metadata!E194,8,1)="-",IFERROR(INT(MID(Metadata!E194,9,1))&gt;=0,FALSE),IFERROR(INT(MID(Metadata!E194,9,1))&lt;=3,FALSE),NOT(MID(Metadata!E194,10,1)=""),IFERROR(INT(MID(Metadata!E194,9,2))&gt;=1,FALSE),IFERROR(INT(MID(Metadata!E194,9,2))&lt;=31,FALSE)), OR(MID(Metadata!E194,11,1)="", AND(AND(MID(Metadata!E194,11,1)=" ",IFERROR(INT(MID(Metadata!E194,12,1))&gt;=0,FALSE),IFERROR(INT(MID(Metadata!E194,12,1))&lt;=2,FALSE),NOT(MID(Metadata!E194,13,1)=""),IFERROR(INT(MID(Metadata!E194,12,2))&gt;=0,FALSE),IFERROR(INT(MID(Metadata!E194,12,2))&lt;=23,FALSE)), OR(MID(Metadata!E194,14,1)="", AND(AND(MID(Metadata!E194,14,1)=":",IFERROR(INT(MID(Metadata!E194,15,1))&gt;=0,FALSE),IFERROR(INT(MID(Metadata!E194,15,1))&lt;=5,FALSE),NOT(MID(Metadata!E194,16,1)=""),IFERROR(INT(MID(Metadata!E194,15,2))&gt;=0,FALSE),IFERROR(INT(MID(Metadata!E194,15,2))&lt;=59,FALSE)), OR(MID(Metadata!E194,17,1)="", AND(AND(MID(Metadata!E194,17,1)=":",IFERROR(INT(MID(Metadata!E194,18,1))&gt;=0,FALSE),IFERROR(INT(MID(Metadata!E194,18,1))&lt;=5,FALSE),NOT(MID(Metadata!E194,19,1)=""),IFERROR(INT(MID(Metadata!E194,18,2))&gt;=0,FALSE),IFERROR(INT(MID(Metadata!E194,18,2))&lt;=59,FALSE)), LEN(Metadata!E194)&lt;=19)))))))))))))</f>
        <v>0</v>
      </c>
      <c r="AS194" t="b">
        <f>IF(Metadata!F194="",FALSE,TRUE)</f>
        <v>0</v>
      </c>
      <c r="AT194" t="b">
        <f>OR(AND(IF(Metadata!G194="",FALSE,TRUE),OR(EXACT(Metadata!G194,"not collected"),EXACT(Metadata!G194,"not provided"))),AND(IF(Metadata!G194="",FALSE,TRUE),OR(EXACT(Metadata!G194,"TRUE"),EXACT(Metadata!G194,"FALSE"))))</f>
        <v>0</v>
      </c>
      <c r="AU194" t="b">
        <f>OR(AND(IF(Metadata!H194="",FALSE,TRUE),OR(EXACT(Metadata!H194,"not collected"),EXACT(Metadata!H194,"not provided"),EXACT(Metadata!H194,"restricted access"))),AND(IF(Metadata!H194="",FALSE,ISNUMBER(VALUE(Metadata!H194))),Metadata!H194&gt;=-413))</f>
        <v>0</v>
      </c>
      <c r="AV194" t="b">
        <f>AND(IF(Metadata!I194="",FALSE,TRUE),EXACT(Metadata!I194,"meters"))</f>
        <v>0</v>
      </c>
      <c r="AW194" t="b">
        <f>AND(IF(Metadata!J194="",FALSE,TRUE),EXACT(Metadata!J194,"free-living"))</f>
        <v>0</v>
      </c>
      <c r="AX194" t="b">
        <f>AND(IF(Metadata!K194="",FALSE,TRUE),OR(EXACT(Metadata!K194,"saline"),EXACT(Metadata!K194,"non-saline")))</f>
        <v>0</v>
      </c>
      <c r="AY194" t="b">
        <f>AND(IF(Metadata!L194="",FALSE,TRUE),OR(EXACT(Metadata!L194,"sub-surface (non-saline)"),EXACT(Metadata!L194,"surface (non-saline)"),EXACT(Metadata!L194,"water (non-saline)"),EXACT(Metadata!L194,"soil (non-saline)"),EXACT(Metadata!L194,"aerosol (non-saline)"),EXACT(Metadata!L194,"sediment (non-saline)"),EXACT(Metadata!L194,"surface (saline)"),EXACT(Metadata!L194,"water (saline)"),EXACT(Metadata!L194,"hypersaline (saline)"),EXACT(Metadata!L194,"aerosol (saline)"),EXACT(Metadata!L194,"sediment (saline)")))</f>
        <v>0</v>
      </c>
      <c r="AZ194" t="b">
        <f>IF(Metadata!M194="",FALSE,TRUE)</f>
        <v>0</v>
      </c>
      <c r="BA194" t="b">
        <f>IF(Metadata!N194="",FALSE,TRUE)</f>
        <v>0</v>
      </c>
      <c r="BB194" t="b">
        <f>IF(Metadata!O194="",FALSE,TRUE)</f>
        <v>0</v>
      </c>
      <c r="BC194" t="b">
        <f>AND(IF(Metadata!P194="",FALSE,TRUE),OR(EXACT(Metadata!P194,"air"),EXACT(Metadata!P194,"microbial mat/biofilm"),EXACT(Metadata!P194,"misc environment"),EXACT(Metadata!P194,"sediment"),EXACT(Metadata!P194,"soil"),EXACT(Metadata!P194,"wastewater/sludge"),EXACT(Metadata!P194,"water")))</f>
        <v>0</v>
      </c>
      <c r="BD194" t="b">
        <f>IF(Metadata!Q194="",FALSE,TRUE)</f>
        <v>0</v>
      </c>
      <c r="BE194" t="b">
        <f>IF(Metadata!R194="",FALSE,TRUE)</f>
        <v>0</v>
      </c>
      <c r="BF194" t="b">
        <f>OR(AND(IF(Metadata!S194="",FALSE,TRUE),OR(EXACT(Metadata!S194,"not collected"),EXACT(Metadata!S194,"not provided"),EXACT(Metadata!S194,"restricted access"))),AND(IF(Metadata!S194="",FALSE,ISNUMBER(VALUE(Metadata!S194))),Metadata!S194&gt;=-90,Metadata!S194&lt;=90))</f>
        <v>0</v>
      </c>
      <c r="BG194" t="b">
        <f>AND(IF(Metadata!T194="",FALSE,TRUE),EXACT(Metadata!T194,"Decimal degrees"))</f>
        <v>0</v>
      </c>
      <c r="BH194" t="b">
        <f>OR(AND(IF(Metadata!U194="",FALSE,TRUE),OR(EXACT(Metadata!U194,"not applicable"),EXACT(Metadata!U194,"not collected"))),IF(Metadata!U194="",FALSE,TRUE))</f>
        <v>0</v>
      </c>
      <c r="BI194" t="b">
        <f>OR(AND(IF(Metadata!V194="",FALSE,TRUE),OR(EXACT(Metadata!V194,"not collected"),EXACT(Metadata!V194,"not provided"),EXACT(Metadata!V194,"restricted access"))),AND(IF(Metadata!V194="",FALSE,ISNUMBER(VALUE(Metadata!V194))),Metadata!V194&gt;=-180,Metadata!V194&lt;=180))</f>
        <v>0</v>
      </c>
      <c r="BJ194" t="b">
        <f>AND(IF(Metadata!W194="",FALSE,TRUE),EXACT(Metadata!W194,"Decimal degrees"))</f>
        <v>0</v>
      </c>
      <c r="BK194" t="b">
        <f>IF(Metadata!X194="",FALSE,TRUE)</f>
        <v>0</v>
      </c>
      <c r="BL194" t="b">
        <f>OR(AND(IF(Metadata!Y194="",FALSE,TRUE),OR(EXACT(Metadata!Y194,"not collected"),EXACT(Metadata!Y194,"not provided"),EXACT(Metadata!Y194,"restricted access"))),AND(IF(Metadata!Y194="",FALSE,TRUE),OR(EXACT(Metadata!Y194,"TRUE"),EXACT(Metadata!Y194,"FALSE"))))</f>
        <v>0</v>
      </c>
      <c r="BM194" t="b">
        <f>OR(AND(IF(Metadata!Z194="",FALSE,TRUE),EXACT(Metadata!Z194,"not applicable")),AND(IF(Metadata!Z194="",FALSE,TRUE),OR(EXACT(Metadata!Z194,"beer"),EXACT(Metadata!Z194,"cheese"),EXACT(Metadata!Z194,"fresh water"),EXACT(Metadata!Z194,"marine sediment"),EXACT(Metadata!Z194,"sea water"),EXACT(Metadata!Z194,"sediment"),EXACT(Metadata!Z194,"soil"),EXACT(Metadata!Z194,"waste water"))))</f>
        <v>0</v>
      </c>
      <c r="BN194" t="b">
        <f>AND(IF(Metadata!AA194="",FALSE,TRUE),EXACT(Metadata!AA194,"metagenome"))</f>
        <v>0</v>
      </c>
      <c r="BO194" t="b">
        <f>AND(IF(Metadata!AB194="",FALSE,TRUE),EXACT(Metadata!AB194,"256318"))</f>
        <v>0</v>
      </c>
      <c r="BP194" t="b">
        <f>IF(Metadata!AC194="",FALSE,TRUE)</f>
        <v>0</v>
      </c>
      <c r="BQ194" t="b">
        <f>IF(Metadata!AD194="",FALSE,TRUE)</f>
        <v>0</v>
      </c>
    </row>
    <row r="195" spans="1:69" x14ac:dyDescent="0.2">
      <c r="A195" s="4" t="e">
        <f ca="1">IF(B195=" "," ",HYPERLINK(CONCATENATE("#metadata!",ADDRESS(INDEX($AJ$2:$AJ$1001,MATCH(ROWS($AH$2:AH195),$AH$2:$AH$1001,0),0),2)),INDEX($AM$2:$AM$1001,MATCH(ROWS($AH$2:AH195),$AH$2:$AH$1001,0),0)))</f>
        <v>#N/A</v>
      </c>
      <c r="B195" s="5" t="e">
        <f ca="1">IF(OR(INDEX($AI$2:$AI$1001,MATCH(ROWS($AH$2:AH195),$AH$2:$AH$1001,0),1)&gt;=100000,INDEX($AO$1005:$BQ$1005,1,MATCH(COLUMNS($AO$1006:AO1006),$AO$1006:$BQ$1006,0))&gt;=100000), " ",IF(INDEX($AO$2:$BQ$1001,MATCH(ROWS($AH$2:AH195),$AH$2:$AH$1001,0),MATCH(COLUMNS($AO$1006:AO1006),$AO$1006:$BQ$1006,0)), HYPERLINK("#",""), HYPERLINK(CONCATENATE("#Metadata!", ADDRESS(INDEX($AJ$2:$AJ$1001,MATCH(ROWS($AH$2:AH195),$AH$2:$AH$1001,0),0), INDEX($AO$1004:$BQ$1004,1,MATCH(COLUMNS($AO$1006:AO1006),$AO$1006:$BQ$1006,0)))),"Fix")))</f>
        <v>#N/A</v>
      </c>
      <c r="C195" s="5" t="e">
        <f ca="1">IF(OR(INDEX($AI$2:$AI$1001,MATCH(ROWS($AH$2:AH195),$AH$2:$AH$1001,0),1)&gt;=100000,INDEX($AO$1005:$BQ$1005,1,MATCH(COLUMNS($AO$1006:AP1006),$AO$1006:$BQ$1006,0))&gt;=100000), " ",IF(INDEX($AO$2:$BQ$1001,MATCH(ROWS($AH$2:AH195),$AH$2:$AH$1001,0),MATCH(COLUMNS($AO$1006:AP1006),$AO$1006:$BQ$1006,0)), HYPERLINK("#",""), HYPERLINK(CONCATENATE("#Metadata!", ADDRESS(INDEX($AJ$2:$AJ$1001,MATCH(ROWS($AH$2:AH195),$AH$2:$AH$1001,0),0), INDEX($AO$1004:$BQ$1004,1,MATCH(COLUMNS($AO$1006:AP1006),$AO$1006:$BQ$1006,0)))),"Fix")))</f>
        <v>#N/A</v>
      </c>
      <c r="D195" s="5" t="e">
        <f ca="1">IF(OR(INDEX($AI$2:$AI$1001,MATCH(ROWS($AH$2:AH195),$AH$2:$AH$1001,0),1)&gt;=100000,INDEX($AO$1005:$BQ$1005,1,MATCH(COLUMNS($AO$1006:AQ1006),$AO$1006:$BQ$1006,0))&gt;=100000), " ",IF(INDEX($AO$2:$BQ$1001,MATCH(ROWS($AH$2:AH195),$AH$2:$AH$1001,0),MATCH(COLUMNS($AO$1006:AQ1006),$AO$1006:$BQ$1006,0)), HYPERLINK("#",""), HYPERLINK(CONCATENATE("#Metadata!", ADDRESS(INDEX($AJ$2:$AJ$1001,MATCH(ROWS($AH$2:AH195),$AH$2:$AH$1001,0),0), INDEX($AO$1004:$BQ$1004,1,MATCH(COLUMNS($AO$1006:AQ1006),$AO$1006:$BQ$1006,0)))),"Fix")))</f>
        <v>#N/A</v>
      </c>
      <c r="E195" s="5" t="e">
        <f ca="1">IF(OR(INDEX($AI$2:$AI$1001,MATCH(ROWS($AH$2:AH195),$AH$2:$AH$1001,0),1)&gt;=100000,INDEX($AO$1005:$BQ$1005,1,MATCH(COLUMNS($AO$1006:AR1006),$AO$1006:$BQ$1006,0))&gt;=100000), " ",IF(INDEX($AO$2:$BQ$1001,MATCH(ROWS($AH$2:AH195),$AH$2:$AH$1001,0),MATCH(COLUMNS($AO$1006:AR1006),$AO$1006:$BQ$1006,0)), HYPERLINK("#",""), HYPERLINK(CONCATENATE("#Metadata!", ADDRESS(INDEX($AJ$2:$AJ$1001,MATCH(ROWS($AH$2:AH195),$AH$2:$AH$1001,0),0), INDEX($AO$1004:$BQ$1004,1,MATCH(COLUMNS($AO$1006:AR1006),$AO$1006:$BQ$1006,0)))),"Fix")))</f>
        <v>#N/A</v>
      </c>
      <c r="F195" s="5" t="e">
        <f ca="1">IF(OR(INDEX($AI$2:$AI$1001,MATCH(ROWS($AH$2:AH195),$AH$2:$AH$1001,0),1)&gt;=100000,INDEX($AO$1005:$BQ$1005,1,MATCH(COLUMNS($AO$1006:AS1006),$AO$1006:$BQ$1006,0))&gt;=100000), " ",IF(INDEX($AO$2:$BQ$1001,MATCH(ROWS($AH$2:AH195),$AH$2:$AH$1001,0),MATCH(COLUMNS($AO$1006:AS1006),$AO$1006:$BQ$1006,0)), HYPERLINK("#",""), HYPERLINK(CONCATENATE("#Metadata!", ADDRESS(INDEX($AJ$2:$AJ$1001,MATCH(ROWS($AH$2:AH195),$AH$2:$AH$1001,0),0), INDEX($AO$1004:$BQ$1004,1,MATCH(COLUMNS($AO$1006:AS1006),$AO$1006:$BQ$1006,0)))),"Fix")))</f>
        <v>#N/A</v>
      </c>
      <c r="G195" s="5" t="e">
        <f ca="1">IF(OR(INDEX($AI$2:$AI$1001,MATCH(ROWS($AH$2:AH195),$AH$2:$AH$1001,0),1)&gt;=100000,INDEX($AO$1005:$BQ$1005,1,MATCH(COLUMNS($AO$1006:AT1006),$AO$1006:$BQ$1006,0))&gt;=100000), " ",IF(INDEX($AO$2:$BQ$1001,MATCH(ROWS($AH$2:AH195),$AH$2:$AH$1001,0),MATCH(COLUMNS($AO$1006:AT1006),$AO$1006:$BQ$1006,0)), HYPERLINK("#",""), HYPERLINK(CONCATENATE("#Metadata!", ADDRESS(INDEX($AJ$2:$AJ$1001,MATCH(ROWS($AH$2:AH195),$AH$2:$AH$1001,0),0), INDEX($AO$1004:$BQ$1004,1,MATCH(COLUMNS($AO$1006:AT1006),$AO$1006:$BQ$1006,0)))),"Fix")))</f>
        <v>#N/A</v>
      </c>
      <c r="H195" s="5" t="e">
        <f ca="1">IF(OR(INDEX($AI$2:$AI$1001,MATCH(ROWS($AH$2:AH195),$AH$2:$AH$1001,0),1)&gt;=100000,INDEX($AO$1005:$BQ$1005,1,MATCH(COLUMNS($AO$1006:AU1006),$AO$1006:$BQ$1006,0))&gt;=100000), " ",IF(INDEX($AO$2:$BQ$1001,MATCH(ROWS($AH$2:AH195),$AH$2:$AH$1001,0),MATCH(COLUMNS($AO$1006:AU1006),$AO$1006:$BQ$1006,0)), HYPERLINK("#",""), HYPERLINK(CONCATENATE("#Metadata!", ADDRESS(INDEX($AJ$2:$AJ$1001,MATCH(ROWS($AH$2:AH195),$AH$2:$AH$1001,0),0), INDEX($AO$1004:$BQ$1004,1,MATCH(COLUMNS($AO$1006:AU1006),$AO$1006:$BQ$1006,0)))),"Fix")))</f>
        <v>#N/A</v>
      </c>
      <c r="I195" s="5" t="e">
        <f ca="1">IF(OR(INDEX($AI$2:$AI$1001,MATCH(ROWS($AH$2:AH195),$AH$2:$AH$1001,0),1)&gt;=100000,INDEX($AO$1005:$BQ$1005,1,MATCH(COLUMNS($AO$1006:AV1006),$AO$1006:$BQ$1006,0))&gt;=100000), " ",IF(INDEX($AO$2:$BQ$1001,MATCH(ROWS($AH$2:AH195),$AH$2:$AH$1001,0),MATCH(COLUMNS($AO$1006:AV1006),$AO$1006:$BQ$1006,0)), HYPERLINK("#",""), HYPERLINK(CONCATENATE("#Metadata!", ADDRESS(INDEX($AJ$2:$AJ$1001,MATCH(ROWS($AH$2:AH195),$AH$2:$AH$1001,0),0), INDEX($AO$1004:$BQ$1004,1,MATCH(COLUMNS($AO$1006:AV1006),$AO$1006:$BQ$1006,0)))),"Fix")))</f>
        <v>#N/A</v>
      </c>
      <c r="J195" s="5" t="e">
        <f ca="1">IF(OR(INDEX($AI$2:$AI$1001,MATCH(ROWS($AH$2:AH195),$AH$2:$AH$1001,0),1)&gt;=100000,INDEX($AO$1005:$BQ$1005,1,MATCH(COLUMNS($AO$1006:AW1006),$AO$1006:$BQ$1006,0))&gt;=100000), " ",IF(INDEX($AO$2:$BQ$1001,MATCH(ROWS($AH$2:AH195),$AH$2:$AH$1001,0),MATCH(COLUMNS($AO$1006:AW1006),$AO$1006:$BQ$1006,0)), HYPERLINK("#",""), HYPERLINK(CONCATENATE("#Metadata!", ADDRESS(INDEX($AJ$2:$AJ$1001,MATCH(ROWS($AH$2:AH195),$AH$2:$AH$1001,0),0), INDEX($AO$1004:$BQ$1004,1,MATCH(COLUMNS($AO$1006:AW1006),$AO$1006:$BQ$1006,0)))),"Fix")))</f>
        <v>#N/A</v>
      </c>
      <c r="K195" s="5" t="e">
        <f ca="1">IF(OR(INDEX($AI$2:$AI$1001,MATCH(ROWS($AH$2:AH195),$AH$2:$AH$1001,0),1)&gt;=100000,INDEX($AO$1005:$BQ$1005,1,MATCH(COLUMNS($AO$1006:AX1006),$AO$1006:$BQ$1006,0))&gt;=100000), " ",IF(INDEX($AO$2:$BQ$1001,MATCH(ROWS($AH$2:AH195),$AH$2:$AH$1001,0),MATCH(COLUMNS($AO$1006:AX1006),$AO$1006:$BQ$1006,0)), HYPERLINK("#",""), HYPERLINK(CONCATENATE("#Metadata!", ADDRESS(INDEX($AJ$2:$AJ$1001,MATCH(ROWS($AH$2:AH195),$AH$2:$AH$1001,0),0), INDEX($AO$1004:$BQ$1004,1,MATCH(COLUMNS($AO$1006:AX1006),$AO$1006:$BQ$1006,0)))),"Fix")))</f>
        <v>#N/A</v>
      </c>
      <c r="L195" s="5" t="e">
        <f ca="1">IF(OR(INDEX($AI$2:$AI$1001,MATCH(ROWS($AH$2:AH195),$AH$2:$AH$1001,0),1)&gt;=100000,INDEX($AO$1005:$BQ$1005,1,MATCH(COLUMNS($AO$1006:AY1006),$AO$1006:$BQ$1006,0))&gt;=100000), " ",IF(INDEX($AO$2:$BQ$1001,MATCH(ROWS($AH$2:AH195),$AH$2:$AH$1001,0),MATCH(COLUMNS($AO$1006:AY1006),$AO$1006:$BQ$1006,0)), HYPERLINK("#",""), HYPERLINK(CONCATENATE("#Metadata!", ADDRESS(INDEX($AJ$2:$AJ$1001,MATCH(ROWS($AH$2:AH195),$AH$2:$AH$1001,0),0), INDEX($AO$1004:$BQ$1004,1,MATCH(COLUMNS($AO$1006:AY1006),$AO$1006:$BQ$1006,0)))),"Fix")))</f>
        <v>#N/A</v>
      </c>
      <c r="M195" s="5" t="e">
        <f ca="1">IF(OR(INDEX($AI$2:$AI$1001,MATCH(ROWS($AH$2:AH195),$AH$2:$AH$1001,0),1)&gt;=100000,INDEX($AO$1005:$BQ$1005,1,MATCH(COLUMNS($AO$1006:AZ1006),$AO$1006:$BQ$1006,0))&gt;=100000), " ",IF(INDEX($AO$2:$BQ$1001,MATCH(ROWS($AH$2:AH195),$AH$2:$AH$1001,0),MATCH(COLUMNS($AO$1006:AZ1006),$AO$1006:$BQ$1006,0)), HYPERLINK("#",""), HYPERLINK(CONCATENATE("#Metadata!", ADDRESS(INDEX($AJ$2:$AJ$1001,MATCH(ROWS($AH$2:AH195),$AH$2:$AH$1001,0),0), INDEX($AO$1004:$BQ$1004,1,MATCH(COLUMNS($AO$1006:AZ1006),$AO$1006:$BQ$1006,0)))),"Fix")))</f>
        <v>#N/A</v>
      </c>
      <c r="N195" s="5" t="e">
        <f ca="1">IF(OR(INDEX($AI$2:$AI$1001,MATCH(ROWS($AH$2:AH195),$AH$2:$AH$1001,0),1)&gt;=100000,INDEX($AO$1005:$BQ$1005,1,MATCH(COLUMNS($AO$1006:BA1006),$AO$1006:$BQ$1006,0))&gt;=100000), " ",IF(INDEX($AO$2:$BQ$1001,MATCH(ROWS($AH$2:AH195),$AH$2:$AH$1001,0),MATCH(COLUMNS($AO$1006:BA1006),$AO$1006:$BQ$1006,0)), HYPERLINK("#",""), HYPERLINK(CONCATENATE("#Metadata!", ADDRESS(INDEX($AJ$2:$AJ$1001,MATCH(ROWS($AH$2:AH195),$AH$2:$AH$1001,0),0), INDEX($AO$1004:$BQ$1004,1,MATCH(COLUMNS($AO$1006:BA1006),$AO$1006:$BQ$1006,0)))),"Fix")))</f>
        <v>#N/A</v>
      </c>
      <c r="O195" s="5" t="e">
        <f ca="1">IF(OR(INDEX($AI$2:$AI$1001,MATCH(ROWS($AH$2:AH195),$AH$2:$AH$1001,0),1)&gt;=100000,INDEX($AO$1005:$BQ$1005,1,MATCH(COLUMNS($AO$1006:BB1006),$AO$1006:$BQ$1006,0))&gt;=100000), " ",IF(INDEX($AO$2:$BQ$1001,MATCH(ROWS($AH$2:AH195),$AH$2:$AH$1001,0),MATCH(COLUMNS($AO$1006:BB1006),$AO$1006:$BQ$1006,0)), HYPERLINK("#",""), HYPERLINK(CONCATENATE("#Metadata!", ADDRESS(INDEX($AJ$2:$AJ$1001,MATCH(ROWS($AH$2:AH195),$AH$2:$AH$1001,0),0), INDEX($AO$1004:$BQ$1004,1,MATCH(COLUMNS($AO$1006:BB1006),$AO$1006:$BQ$1006,0)))),"Fix")))</f>
        <v>#N/A</v>
      </c>
      <c r="P195" s="5" t="e">
        <f ca="1">IF(OR(INDEX($AI$2:$AI$1001,MATCH(ROWS($AH$2:AH195),$AH$2:$AH$1001,0),1)&gt;=100000,INDEX($AO$1005:$BQ$1005,1,MATCH(COLUMNS($AO$1006:BC1006),$AO$1006:$BQ$1006,0))&gt;=100000), " ",IF(INDEX($AO$2:$BQ$1001,MATCH(ROWS($AH$2:AH195),$AH$2:$AH$1001,0),MATCH(COLUMNS($AO$1006:BC1006),$AO$1006:$BQ$1006,0)), HYPERLINK("#",""), HYPERLINK(CONCATENATE("#Metadata!", ADDRESS(INDEX($AJ$2:$AJ$1001,MATCH(ROWS($AH$2:AH195),$AH$2:$AH$1001,0),0), INDEX($AO$1004:$BQ$1004,1,MATCH(COLUMNS($AO$1006:BC1006),$AO$1006:$BQ$1006,0)))),"Fix")))</f>
        <v>#N/A</v>
      </c>
      <c r="Q195" s="5" t="e">
        <f ca="1">IF(OR(INDEX($AI$2:$AI$1001,MATCH(ROWS($AH$2:AH195),$AH$2:$AH$1001,0),1)&gt;=100000,INDEX($AO$1005:$BQ$1005,1,MATCH(COLUMNS($AO$1006:BD1006),$AO$1006:$BQ$1006,0))&gt;=100000), " ",IF(INDEX($AO$2:$BQ$1001,MATCH(ROWS($AH$2:AH195),$AH$2:$AH$1001,0),MATCH(COLUMNS($AO$1006:BD1006),$AO$1006:$BQ$1006,0)), HYPERLINK("#",""), HYPERLINK(CONCATENATE("#Metadata!", ADDRESS(INDEX($AJ$2:$AJ$1001,MATCH(ROWS($AH$2:AH195),$AH$2:$AH$1001,0),0), INDEX($AO$1004:$BQ$1004,1,MATCH(COLUMNS($AO$1006:BD1006),$AO$1006:$BQ$1006,0)))),"Fix")))</f>
        <v>#N/A</v>
      </c>
      <c r="R195" s="5" t="e">
        <f ca="1">IF(OR(INDEX($AI$2:$AI$1001,MATCH(ROWS($AH$2:AH195),$AH$2:$AH$1001,0),1)&gt;=100000,INDEX($AO$1005:$BQ$1005,1,MATCH(COLUMNS($AO$1006:BE1006),$AO$1006:$BQ$1006,0))&gt;=100000), " ",IF(INDEX($AO$2:$BQ$1001,MATCH(ROWS($AH$2:AH195),$AH$2:$AH$1001,0),MATCH(COLUMNS($AO$1006:BE1006),$AO$1006:$BQ$1006,0)), HYPERLINK("#",""), HYPERLINK(CONCATENATE("#Metadata!", ADDRESS(INDEX($AJ$2:$AJ$1001,MATCH(ROWS($AH$2:AH195),$AH$2:$AH$1001,0),0), INDEX($AO$1004:$BQ$1004,1,MATCH(COLUMNS($AO$1006:BE1006),$AO$1006:$BQ$1006,0)))),"Fix")))</f>
        <v>#N/A</v>
      </c>
      <c r="S195" s="5" t="e">
        <f ca="1">IF(OR(INDEX($AI$2:$AI$1001,MATCH(ROWS($AH$2:AH195),$AH$2:$AH$1001,0),1)&gt;=100000,INDEX($AO$1005:$BQ$1005,1,MATCH(COLUMNS($AO$1006:BF1006),$AO$1006:$BQ$1006,0))&gt;=100000), " ",IF(INDEX($AO$2:$BQ$1001,MATCH(ROWS($AH$2:AH195),$AH$2:$AH$1001,0),MATCH(COLUMNS($AO$1006:BF1006),$AO$1006:$BQ$1006,0)), HYPERLINK("#",""), HYPERLINK(CONCATENATE("#Metadata!", ADDRESS(INDEX($AJ$2:$AJ$1001,MATCH(ROWS($AH$2:AH195),$AH$2:$AH$1001,0),0), INDEX($AO$1004:$BQ$1004,1,MATCH(COLUMNS($AO$1006:BF1006),$AO$1006:$BQ$1006,0)))),"Fix")))</f>
        <v>#N/A</v>
      </c>
      <c r="T195" s="5" t="e">
        <f ca="1">IF(OR(INDEX($AI$2:$AI$1001,MATCH(ROWS($AH$2:AH195),$AH$2:$AH$1001,0),1)&gt;=100000,INDEX($AO$1005:$BQ$1005,1,MATCH(COLUMNS($AO$1006:BG1006),$AO$1006:$BQ$1006,0))&gt;=100000), " ",IF(INDEX($AO$2:$BQ$1001,MATCH(ROWS($AH$2:AH195),$AH$2:$AH$1001,0),MATCH(COLUMNS($AO$1006:BG1006),$AO$1006:$BQ$1006,0)), HYPERLINK("#",""), HYPERLINK(CONCATENATE("#Metadata!", ADDRESS(INDEX($AJ$2:$AJ$1001,MATCH(ROWS($AH$2:AH195),$AH$2:$AH$1001,0),0), INDEX($AO$1004:$BQ$1004,1,MATCH(COLUMNS($AO$1006:BG1006),$AO$1006:$BQ$1006,0)))),"Fix")))</f>
        <v>#N/A</v>
      </c>
      <c r="U195" s="5" t="e">
        <f ca="1">IF(OR(INDEX($AI$2:$AI$1001,MATCH(ROWS($AH$2:AH195),$AH$2:$AH$1001,0),1)&gt;=100000,INDEX($AO$1005:$BQ$1005,1,MATCH(COLUMNS($AO$1006:BH1006),$AO$1006:$BQ$1006,0))&gt;=100000), " ",IF(INDEX($AO$2:$BQ$1001,MATCH(ROWS($AH$2:AH195),$AH$2:$AH$1001,0),MATCH(COLUMNS($AO$1006:BH1006),$AO$1006:$BQ$1006,0)), HYPERLINK("#",""), HYPERLINK(CONCATENATE("#Metadata!", ADDRESS(INDEX($AJ$2:$AJ$1001,MATCH(ROWS($AH$2:AH195),$AH$2:$AH$1001,0),0), INDEX($AO$1004:$BQ$1004,1,MATCH(COLUMNS($AO$1006:BH1006),$AO$1006:$BQ$1006,0)))),"Fix")))</f>
        <v>#N/A</v>
      </c>
      <c r="V195" s="5" t="e">
        <f ca="1">IF(OR(INDEX($AI$2:$AI$1001,MATCH(ROWS($AH$2:AH195),$AH$2:$AH$1001,0),1)&gt;=100000,INDEX($AO$1005:$BQ$1005,1,MATCH(COLUMNS($AO$1006:BI1006),$AO$1006:$BQ$1006,0))&gt;=100000), " ",IF(INDEX($AO$2:$BQ$1001,MATCH(ROWS($AH$2:AH195),$AH$2:$AH$1001,0),MATCH(COLUMNS($AO$1006:BI1006),$AO$1006:$BQ$1006,0)), HYPERLINK("#",""), HYPERLINK(CONCATENATE("#Metadata!", ADDRESS(INDEX($AJ$2:$AJ$1001,MATCH(ROWS($AH$2:AH195),$AH$2:$AH$1001,0),0), INDEX($AO$1004:$BQ$1004,1,MATCH(COLUMNS($AO$1006:BI1006),$AO$1006:$BQ$1006,0)))),"Fix")))</f>
        <v>#N/A</v>
      </c>
      <c r="W195" s="5" t="e">
        <f ca="1">IF(OR(INDEX($AI$2:$AI$1001,MATCH(ROWS($AH$2:AH195),$AH$2:$AH$1001,0),1)&gt;=100000,INDEX($AO$1005:$BQ$1005,1,MATCH(COLUMNS($AO$1006:BJ1006),$AO$1006:$BQ$1006,0))&gt;=100000), " ",IF(INDEX($AO$2:$BQ$1001,MATCH(ROWS($AH$2:AH195),$AH$2:$AH$1001,0),MATCH(COLUMNS($AO$1006:BJ1006),$AO$1006:$BQ$1006,0)), HYPERLINK("#",""), HYPERLINK(CONCATENATE("#Metadata!", ADDRESS(INDEX($AJ$2:$AJ$1001,MATCH(ROWS($AH$2:AH195),$AH$2:$AH$1001,0),0), INDEX($AO$1004:$BQ$1004,1,MATCH(COLUMNS($AO$1006:BJ1006),$AO$1006:$BQ$1006,0)))),"Fix")))</f>
        <v>#N/A</v>
      </c>
      <c r="X195" s="5" t="e">
        <f ca="1">IF(OR(INDEX($AI$2:$AI$1001,MATCH(ROWS($AH$2:AH195),$AH$2:$AH$1001,0),1)&gt;=100000,INDEX($AO$1005:$BQ$1005,1,MATCH(COLUMNS($AO$1006:BK1006),$AO$1006:$BQ$1006,0))&gt;=100000), " ",IF(INDEX($AO$2:$BQ$1001,MATCH(ROWS($AH$2:AH195),$AH$2:$AH$1001,0),MATCH(COLUMNS($AO$1006:BK1006),$AO$1006:$BQ$1006,0)), HYPERLINK("#",""), HYPERLINK(CONCATENATE("#Metadata!", ADDRESS(INDEX($AJ$2:$AJ$1001,MATCH(ROWS($AH$2:AH195),$AH$2:$AH$1001,0),0), INDEX($AO$1004:$BQ$1004,1,MATCH(COLUMNS($AO$1006:BK1006),$AO$1006:$BQ$1006,0)))),"Fix")))</f>
        <v>#N/A</v>
      </c>
      <c r="Y195" s="5" t="e">
        <f ca="1">IF(OR(INDEX($AI$2:$AI$1001,MATCH(ROWS($AH$2:AH195),$AH$2:$AH$1001,0),1)&gt;=100000,INDEX($AO$1005:$BQ$1005,1,MATCH(COLUMNS($AO$1006:BL1006),$AO$1006:$BQ$1006,0))&gt;=100000), " ",IF(INDEX($AO$2:$BQ$1001,MATCH(ROWS($AH$2:AH195),$AH$2:$AH$1001,0),MATCH(COLUMNS($AO$1006:BL1006),$AO$1006:$BQ$1006,0)), HYPERLINK("#",""), HYPERLINK(CONCATENATE("#Metadata!", ADDRESS(INDEX($AJ$2:$AJ$1001,MATCH(ROWS($AH$2:AH195),$AH$2:$AH$1001,0),0), INDEX($AO$1004:$BQ$1004,1,MATCH(COLUMNS($AO$1006:BL1006),$AO$1006:$BQ$1006,0)))),"Fix")))</f>
        <v>#N/A</v>
      </c>
      <c r="Z195" s="5" t="e">
        <f ca="1">IF(OR(INDEX($AI$2:$AI$1001,MATCH(ROWS($AH$2:AH195),$AH$2:$AH$1001,0),1)&gt;=100000,INDEX($AO$1005:$BQ$1005,1,MATCH(COLUMNS($AO$1006:BM1006),$AO$1006:$BQ$1006,0))&gt;=100000), " ",IF(INDEX($AO$2:$BQ$1001,MATCH(ROWS($AH$2:AH195),$AH$2:$AH$1001,0),MATCH(COLUMNS($AO$1006:BM1006),$AO$1006:$BQ$1006,0)), HYPERLINK("#",""), HYPERLINK(CONCATENATE("#Metadata!", ADDRESS(INDEX($AJ$2:$AJ$1001,MATCH(ROWS($AH$2:AH195),$AH$2:$AH$1001,0),0), INDEX($AO$1004:$BQ$1004,1,MATCH(COLUMNS($AO$1006:BM1006),$AO$1006:$BQ$1006,0)))),"Fix")))</f>
        <v>#N/A</v>
      </c>
      <c r="AA195" s="5" t="e">
        <f ca="1">IF(OR(INDEX($AI$2:$AI$1001,MATCH(ROWS($AH$2:AH195),$AH$2:$AH$1001,0),1)&gt;=100000,INDEX($AO$1005:$BQ$1005,1,MATCH(COLUMNS($AO$1006:BN1006),$AO$1006:$BQ$1006,0))&gt;=100000), " ",IF(INDEX($AO$2:$BQ$1001,MATCH(ROWS($AH$2:AH195),$AH$2:$AH$1001,0),MATCH(COLUMNS($AO$1006:BN1006),$AO$1006:$BQ$1006,0)), HYPERLINK("#",""), HYPERLINK(CONCATENATE("#Metadata!", ADDRESS(INDEX($AJ$2:$AJ$1001,MATCH(ROWS($AH$2:AH195),$AH$2:$AH$1001,0),0), INDEX($AO$1004:$BQ$1004,1,MATCH(COLUMNS($AO$1006:BN1006),$AO$1006:$BQ$1006,0)))),"Fix")))</f>
        <v>#N/A</v>
      </c>
      <c r="AB195" s="5" t="e">
        <f ca="1">IF(OR(INDEX($AI$2:$AI$1001,MATCH(ROWS($AH$2:AH195),$AH$2:$AH$1001,0),1)&gt;=100000,INDEX($AO$1005:$BQ$1005,1,MATCH(COLUMNS($AO$1006:BO1006),$AO$1006:$BQ$1006,0))&gt;=100000), " ",IF(INDEX($AO$2:$BQ$1001,MATCH(ROWS($AH$2:AH195),$AH$2:$AH$1001,0),MATCH(COLUMNS($AO$1006:BO1006),$AO$1006:$BQ$1006,0)), HYPERLINK("#",""), HYPERLINK(CONCATENATE("#Metadata!", ADDRESS(INDEX($AJ$2:$AJ$1001,MATCH(ROWS($AH$2:AH195),$AH$2:$AH$1001,0),0), INDEX($AO$1004:$BQ$1004,1,MATCH(COLUMNS($AO$1006:BO1006),$AO$1006:$BQ$1006,0)))),"Fix")))</f>
        <v>#N/A</v>
      </c>
      <c r="AC195" s="5" t="e">
        <f ca="1">IF(OR(INDEX($AI$2:$AI$1001,MATCH(ROWS($AH$2:AH195),$AH$2:$AH$1001,0),1)&gt;=100000,INDEX($AO$1005:$BQ$1005,1,MATCH(COLUMNS($AO$1006:BP1006),$AO$1006:$BQ$1006,0))&gt;=100000), " ",IF(INDEX($AO$2:$BQ$1001,MATCH(ROWS($AH$2:AH195),$AH$2:$AH$1001,0),MATCH(COLUMNS($AO$1006:BP1006),$AO$1006:$BQ$1006,0)), HYPERLINK("#",""), HYPERLINK(CONCATENATE("#Metadata!", ADDRESS(INDEX($AJ$2:$AJ$1001,MATCH(ROWS($AH$2:AH195),$AH$2:$AH$1001,0),0), INDEX($AO$1004:$BQ$1004,1,MATCH(COLUMNS($AO$1006:BP1006),$AO$1006:$BQ$1006,0)))),"Fix")))</f>
        <v>#N/A</v>
      </c>
      <c r="AD195" s="5" t="e">
        <f ca="1">IF(OR(INDEX($AI$2:$AI$1001,MATCH(ROWS($AH$2:AH195),$AH$2:$AH$1001,0),1)&gt;=100000,INDEX($AO$1005:$BQ$1005,1,MATCH(COLUMNS($AO$1006:BQ1006),$AO$1006:$BQ$1006,0))&gt;=100000), " ",IF(INDEX($AO$2:$BQ$1001,MATCH(ROWS($AH$2:AH195),$AH$2:$AH$1001,0),MATCH(COLUMNS($AO$1006:BQ1006),$AO$1006:$BQ$1006,0)), HYPERLINK("#",""), HYPERLINK(CONCATENATE("#Metadata!", ADDRESS(INDEX($AJ$2:$AJ$1001,MATCH(ROWS($AH$2:AH195),$AH$2:$AH$1001,0),0), INDEX($AO$1004:$BQ$1004,1,MATCH(COLUMNS($AO$1006:BQ1006),$AO$1006:$BQ$1006,0)))),"Fix")))</f>
        <v>#REF!</v>
      </c>
      <c r="AH195">
        <f ca="1"/>
        <v>192</v>
      </c>
      <c r="AI195">
        <v>100195</v>
      </c>
      <c r="AJ195">
        <v>195</v>
      </c>
      <c r="AK195" t="b">
        <f t="shared" si="3"/>
        <v>1</v>
      </c>
      <c r="AL195" t="b">
        <f>COUNTBLANK(Metadata!B195:AD195)=COLUMNS(Metadata!B195:AD195)</f>
        <v>1</v>
      </c>
      <c r="AM195" t="str">
        <v/>
      </c>
      <c r="AO195" t="b">
        <f ca="1">AND(IF(Metadata!B195="",FALSE,TRUE),COUNTIF(Metadata!B:B, Metadata!B195) = 1,NOT(ISERROR(SUMPRODUCT(SEARCH(MID(Metadata!B195,ROW(INDIRECT("1:"&amp;LEN(Metadata!B195))), 1),"0123456789abcdefghijklmnopqrstuvwxyzABCDEFGHIJKLMNOPQRSTUVWXYZ.")))))</f>
        <v>0</v>
      </c>
      <c r="AP195" t="b">
        <f>IF(Metadata!C195="",FALSE,TRUE)</f>
        <v>0</v>
      </c>
      <c r="AQ195" t="b">
        <f>IF(Metadata!D195="",FALSE,TRUE)</f>
        <v>0</v>
      </c>
      <c r="AR195" t="b">
        <f ca="1">OR(AND(IF(Metadata!E195="",FALSE,TRUE),OR(EXACT(Metadata!E195,"not collected"),EXACT(Metadata!E195,"not provided"),EXACT(Metadata!E195,"restricted access"))),AND(IF(Metadata!E195="",FALSE,TRUE),AND(AND(IFERROR(INT(LEFT(Metadata!E195,4))&gt;1900,FALSE),IFERROR(INT(LEFT(Metadata!E195,4))&lt;=YEAR(NOW()),FALSE)), OR(MID(Metadata!E195,5,1)="", AND(AND(MID(Metadata!E195,5,1)="-",IFERROR(INT(MID(Metadata!E195,6,1))&gt;=0,FALSE),IFERROR(INT(MID(Metadata!E195,6,1))&lt;=1,FALSE),NOT(MID(Metadata!E195,7,1)=""),IFERROR(INT(MID(Metadata!E195,6,2))&gt;=1,FALSE),IFERROR(INT(MID(Metadata!E195,6,2))&lt;=12,FALSE)), OR(MID(Metadata!E195,8,1)="", AND(AND(MID(Metadata!E195,8,1)="-",IFERROR(INT(MID(Metadata!E195,9,1))&gt;=0,FALSE),IFERROR(INT(MID(Metadata!E195,9,1))&lt;=3,FALSE),NOT(MID(Metadata!E195,10,1)=""),IFERROR(INT(MID(Metadata!E195,9,2))&gt;=1,FALSE),IFERROR(INT(MID(Metadata!E195,9,2))&lt;=31,FALSE)), OR(MID(Metadata!E195,11,1)="", AND(AND(MID(Metadata!E195,11,1)=" ",IFERROR(INT(MID(Metadata!E195,12,1))&gt;=0,FALSE),IFERROR(INT(MID(Metadata!E195,12,1))&lt;=2,FALSE),NOT(MID(Metadata!E195,13,1)=""),IFERROR(INT(MID(Metadata!E195,12,2))&gt;=0,FALSE),IFERROR(INT(MID(Metadata!E195,12,2))&lt;=23,FALSE)), OR(MID(Metadata!E195,14,1)="", AND(AND(MID(Metadata!E195,14,1)=":",IFERROR(INT(MID(Metadata!E195,15,1))&gt;=0,FALSE),IFERROR(INT(MID(Metadata!E195,15,1))&lt;=5,FALSE),NOT(MID(Metadata!E195,16,1)=""),IFERROR(INT(MID(Metadata!E195,15,2))&gt;=0,FALSE),IFERROR(INT(MID(Metadata!E195,15,2))&lt;=59,FALSE)), OR(MID(Metadata!E195,17,1)="", AND(AND(MID(Metadata!E195,17,1)=":",IFERROR(INT(MID(Metadata!E195,18,1))&gt;=0,FALSE),IFERROR(INT(MID(Metadata!E195,18,1))&lt;=5,FALSE),NOT(MID(Metadata!E195,19,1)=""),IFERROR(INT(MID(Metadata!E195,18,2))&gt;=0,FALSE),IFERROR(INT(MID(Metadata!E195,18,2))&lt;=59,FALSE)), LEN(Metadata!E195)&lt;=19)))))))))))))</f>
        <v>0</v>
      </c>
      <c r="AS195" t="b">
        <f>IF(Metadata!F195="",FALSE,TRUE)</f>
        <v>0</v>
      </c>
      <c r="AT195" t="b">
        <f>OR(AND(IF(Metadata!G195="",FALSE,TRUE),OR(EXACT(Metadata!G195,"not collected"),EXACT(Metadata!G195,"not provided"))),AND(IF(Metadata!G195="",FALSE,TRUE),OR(EXACT(Metadata!G195,"TRUE"),EXACT(Metadata!G195,"FALSE"))))</f>
        <v>0</v>
      </c>
      <c r="AU195" t="b">
        <f>OR(AND(IF(Metadata!H195="",FALSE,TRUE),OR(EXACT(Metadata!H195,"not collected"),EXACT(Metadata!H195,"not provided"),EXACT(Metadata!H195,"restricted access"))),AND(IF(Metadata!H195="",FALSE,ISNUMBER(VALUE(Metadata!H195))),Metadata!H195&gt;=-413))</f>
        <v>0</v>
      </c>
      <c r="AV195" t="b">
        <f>AND(IF(Metadata!I195="",FALSE,TRUE),EXACT(Metadata!I195,"meters"))</f>
        <v>0</v>
      </c>
      <c r="AW195" t="b">
        <f>AND(IF(Metadata!J195="",FALSE,TRUE),EXACT(Metadata!J195,"free-living"))</f>
        <v>0</v>
      </c>
      <c r="AX195" t="b">
        <f>AND(IF(Metadata!K195="",FALSE,TRUE),OR(EXACT(Metadata!K195,"saline"),EXACT(Metadata!K195,"non-saline")))</f>
        <v>0</v>
      </c>
      <c r="AY195" t="b">
        <f>AND(IF(Metadata!L195="",FALSE,TRUE),OR(EXACT(Metadata!L195,"sub-surface (non-saline)"),EXACT(Metadata!L195,"surface (non-saline)"),EXACT(Metadata!L195,"water (non-saline)"),EXACT(Metadata!L195,"soil (non-saline)"),EXACT(Metadata!L195,"aerosol (non-saline)"),EXACT(Metadata!L195,"sediment (non-saline)"),EXACT(Metadata!L195,"surface (saline)"),EXACT(Metadata!L195,"water (saline)"),EXACT(Metadata!L195,"hypersaline (saline)"),EXACT(Metadata!L195,"aerosol (saline)"),EXACT(Metadata!L195,"sediment (saline)")))</f>
        <v>0</v>
      </c>
      <c r="AZ195" t="b">
        <f>IF(Metadata!M195="",FALSE,TRUE)</f>
        <v>0</v>
      </c>
      <c r="BA195" t="b">
        <f>IF(Metadata!N195="",FALSE,TRUE)</f>
        <v>0</v>
      </c>
      <c r="BB195" t="b">
        <f>IF(Metadata!O195="",FALSE,TRUE)</f>
        <v>0</v>
      </c>
      <c r="BC195" t="b">
        <f>AND(IF(Metadata!P195="",FALSE,TRUE),OR(EXACT(Metadata!P195,"air"),EXACT(Metadata!P195,"microbial mat/biofilm"),EXACT(Metadata!P195,"misc environment"),EXACT(Metadata!P195,"sediment"),EXACT(Metadata!P195,"soil"),EXACT(Metadata!P195,"wastewater/sludge"),EXACT(Metadata!P195,"water")))</f>
        <v>0</v>
      </c>
      <c r="BD195" t="b">
        <f>IF(Metadata!Q195="",FALSE,TRUE)</f>
        <v>0</v>
      </c>
      <c r="BE195" t="b">
        <f>IF(Metadata!R195="",FALSE,TRUE)</f>
        <v>0</v>
      </c>
      <c r="BF195" t="b">
        <f>OR(AND(IF(Metadata!S195="",FALSE,TRUE),OR(EXACT(Metadata!S195,"not collected"),EXACT(Metadata!S195,"not provided"),EXACT(Metadata!S195,"restricted access"))),AND(IF(Metadata!S195="",FALSE,ISNUMBER(VALUE(Metadata!S195))),Metadata!S195&gt;=-90,Metadata!S195&lt;=90))</f>
        <v>0</v>
      </c>
      <c r="BG195" t="b">
        <f>AND(IF(Metadata!T195="",FALSE,TRUE),EXACT(Metadata!T195,"Decimal degrees"))</f>
        <v>0</v>
      </c>
      <c r="BH195" t="b">
        <f>OR(AND(IF(Metadata!U195="",FALSE,TRUE),OR(EXACT(Metadata!U195,"not applicable"),EXACT(Metadata!U195,"not collected"))),IF(Metadata!U195="",FALSE,TRUE))</f>
        <v>0</v>
      </c>
      <c r="BI195" t="b">
        <f>OR(AND(IF(Metadata!V195="",FALSE,TRUE),OR(EXACT(Metadata!V195,"not collected"),EXACT(Metadata!V195,"not provided"),EXACT(Metadata!V195,"restricted access"))),AND(IF(Metadata!V195="",FALSE,ISNUMBER(VALUE(Metadata!V195))),Metadata!V195&gt;=-180,Metadata!V195&lt;=180))</f>
        <v>0</v>
      </c>
      <c r="BJ195" t="b">
        <f>AND(IF(Metadata!W195="",FALSE,TRUE),EXACT(Metadata!W195,"Decimal degrees"))</f>
        <v>0</v>
      </c>
      <c r="BK195" t="b">
        <f>IF(Metadata!X195="",FALSE,TRUE)</f>
        <v>0</v>
      </c>
      <c r="BL195" t="b">
        <f>OR(AND(IF(Metadata!Y195="",FALSE,TRUE),OR(EXACT(Metadata!Y195,"not collected"),EXACT(Metadata!Y195,"not provided"),EXACT(Metadata!Y195,"restricted access"))),AND(IF(Metadata!Y195="",FALSE,TRUE),OR(EXACT(Metadata!Y195,"TRUE"),EXACT(Metadata!Y195,"FALSE"))))</f>
        <v>0</v>
      </c>
      <c r="BM195" t="b">
        <f>OR(AND(IF(Metadata!Z195="",FALSE,TRUE),EXACT(Metadata!Z195,"not applicable")),AND(IF(Metadata!Z195="",FALSE,TRUE),OR(EXACT(Metadata!Z195,"beer"),EXACT(Metadata!Z195,"cheese"),EXACT(Metadata!Z195,"fresh water"),EXACT(Metadata!Z195,"marine sediment"),EXACT(Metadata!Z195,"sea water"),EXACT(Metadata!Z195,"sediment"),EXACT(Metadata!Z195,"soil"),EXACT(Metadata!Z195,"waste water"))))</f>
        <v>0</v>
      </c>
      <c r="BN195" t="b">
        <f>AND(IF(Metadata!AA195="",FALSE,TRUE),EXACT(Metadata!AA195,"metagenome"))</f>
        <v>0</v>
      </c>
      <c r="BO195" t="b">
        <f>AND(IF(Metadata!AB195="",FALSE,TRUE),EXACT(Metadata!AB195,"256318"))</f>
        <v>0</v>
      </c>
      <c r="BP195" t="b">
        <f>IF(Metadata!AC195="",FALSE,TRUE)</f>
        <v>0</v>
      </c>
      <c r="BQ195" t="b">
        <f>IF(Metadata!AD195="",FALSE,TRUE)</f>
        <v>0</v>
      </c>
    </row>
    <row r="196" spans="1:69" x14ac:dyDescent="0.2">
      <c r="A196" s="4" t="e">
        <f ca="1">IF(B196=" "," ",HYPERLINK(CONCATENATE("#metadata!",ADDRESS(INDEX($AJ$2:$AJ$1001,MATCH(ROWS($AH$2:AH196),$AH$2:$AH$1001,0),0),2)),INDEX($AM$2:$AM$1001,MATCH(ROWS($AH$2:AH196),$AH$2:$AH$1001,0),0)))</f>
        <v>#N/A</v>
      </c>
      <c r="B196" s="5" t="e">
        <f ca="1">IF(OR(INDEX($AI$2:$AI$1001,MATCH(ROWS($AH$2:AH196),$AH$2:$AH$1001,0),1)&gt;=100000,INDEX($AO$1005:$BQ$1005,1,MATCH(COLUMNS($AO$1006:AO1006),$AO$1006:$BQ$1006,0))&gt;=100000), " ",IF(INDEX($AO$2:$BQ$1001,MATCH(ROWS($AH$2:AH196),$AH$2:$AH$1001,0),MATCH(COLUMNS($AO$1006:AO1006),$AO$1006:$BQ$1006,0)), HYPERLINK("#",""), HYPERLINK(CONCATENATE("#Metadata!", ADDRESS(INDEX($AJ$2:$AJ$1001,MATCH(ROWS($AH$2:AH196),$AH$2:$AH$1001,0),0), INDEX($AO$1004:$BQ$1004,1,MATCH(COLUMNS($AO$1006:AO1006),$AO$1006:$BQ$1006,0)))),"Fix")))</f>
        <v>#N/A</v>
      </c>
      <c r="C196" s="5" t="e">
        <f ca="1">IF(OR(INDEX($AI$2:$AI$1001,MATCH(ROWS($AH$2:AH196),$AH$2:$AH$1001,0),1)&gt;=100000,INDEX($AO$1005:$BQ$1005,1,MATCH(COLUMNS($AO$1006:AP1006),$AO$1006:$BQ$1006,0))&gt;=100000), " ",IF(INDEX($AO$2:$BQ$1001,MATCH(ROWS($AH$2:AH196),$AH$2:$AH$1001,0),MATCH(COLUMNS($AO$1006:AP1006),$AO$1006:$BQ$1006,0)), HYPERLINK("#",""), HYPERLINK(CONCATENATE("#Metadata!", ADDRESS(INDEX($AJ$2:$AJ$1001,MATCH(ROWS($AH$2:AH196),$AH$2:$AH$1001,0),0), INDEX($AO$1004:$BQ$1004,1,MATCH(COLUMNS($AO$1006:AP1006),$AO$1006:$BQ$1006,0)))),"Fix")))</f>
        <v>#N/A</v>
      </c>
      <c r="D196" s="5" t="e">
        <f ca="1">IF(OR(INDEX($AI$2:$AI$1001,MATCH(ROWS($AH$2:AH196),$AH$2:$AH$1001,0),1)&gt;=100000,INDEX($AO$1005:$BQ$1005,1,MATCH(COLUMNS($AO$1006:AQ1006),$AO$1006:$BQ$1006,0))&gt;=100000), " ",IF(INDEX($AO$2:$BQ$1001,MATCH(ROWS($AH$2:AH196),$AH$2:$AH$1001,0),MATCH(COLUMNS($AO$1006:AQ1006),$AO$1006:$BQ$1006,0)), HYPERLINK("#",""), HYPERLINK(CONCATENATE("#Metadata!", ADDRESS(INDEX($AJ$2:$AJ$1001,MATCH(ROWS($AH$2:AH196),$AH$2:$AH$1001,0),0), INDEX($AO$1004:$BQ$1004,1,MATCH(COLUMNS($AO$1006:AQ1006),$AO$1006:$BQ$1006,0)))),"Fix")))</f>
        <v>#N/A</v>
      </c>
      <c r="E196" s="5" t="e">
        <f ca="1">IF(OR(INDEX($AI$2:$AI$1001,MATCH(ROWS($AH$2:AH196),$AH$2:$AH$1001,0),1)&gt;=100000,INDEX($AO$1005:$BQ$1005,1,MATCH(COLUMNS($AO$1006:AR1006),$AO$1006:$BQ$1006,0))&gt;=100000), " ",IF(INDEX($AO$2:$BQ$1001,MATCH(ROWS($AH$2:AH196),$AH$2:$AH$1001,0),MATCH(COLUMNS($AO$1006:AR1006),$AO$1006:$BQ$1006,0)), HYPERLINK("#",""), HYPERLINK(CONCATENATE("#Metadata!", ADDRESS(INDEX($AJ$2:$AJ$1001,MATCH(ROWS($AH$2:AH196),$AH$2:$AH$1001,0),0), INDEX($AO$1004:$BQ$1004,1,MATCH(COLUMNS($AO$1006:AR1006),$AO$1006:$BQ$1006,0)))),"Fix")))</f>
        <v>#N/A</v>
      </c>
      <c r="F196" s="5" t="e">
        <f ca="1">IF(OR(INDEX($AI$2:$AI$1001,MATCH(ROWS($AH$2:AH196),$AH$2:$AH$1001,0),1)&gt;=100000,INDEX($AO$1005:$BQ$1005,1,MATCH(COLUMNS($AO$1006:AS1006),$AO$1006:$BQ$1006,0))&gt;=100000), " ",IF(INDEX($AO$2:$BQ$1001,MATCH(ROWS($AH$2:AH196),$AH$2:$AH$1001,0),MATCH(COLUMNS($AO$1006:AS1006),$AO$1006:$BQ$1006,0)), HYPERLINK("#",""), HYPERLINK(CONCATENATE("#Metadata!", ADDRESS(INDEX($AJ$2:$AJ$1001,MATCH(ROWS($AH$2:AH196),$AH$2:$AH$1001,0),0), INDEX($AO$1004:$BQ$1004,1,MATCH(COLUMNS($AO$1006:AS1006),$AO$1006:$BQ$1006,0)))),"Fix")))</f>
        <v>#N/A</v>
      </c>
      <c r="G196" s="5" t="e">
        <f ca="1">IF(OR(INDEX($AI$2:$AI$1001,MATCH(ROWS($AH$2:AH196),$AH$2:$AH$1001,0),1)&gt;=100000,INDEX($AO$1005:$BQ$1005,1,MATCH(COLUMNS($AO$1006:AT1006),$AO$1006:$BQ$1006,0))&gt;=100000), " ",IF(INDEX($AO$2:$BQ$1001,MATCH(ROWS($AH$2:AH196),$AH$2:$AH$1001,0),MATCH(COLUMNS($AO$1006:AT1006),$AO$1006:$BQ$1006,0)), HYPERLINK("#",""), HYPERLINK(CONCATENATE("#Metadata!", ADDRESS(INDEX($AJ$2:$AJ$1001,MATCH(ROWS($AH$2:AH196),$AH$2:$AH$1001,0),0), INDEX($AO$1004:$BQ$1004,1,MATCH(COLUMNS($AO$1006:AT1006),$AO$1006:$BQ$1006,0)))),"Fix")))</f>
        <v>#N/A</v>
      </c>
      <c r="H196" s="5" t="e">
        <f ca="1">IF(OR(INDEX($AI$2:$AI$1001,MATCH(ROWS($AH$2:AH196),$AH$2:$AH$1001,0),1)&gt;=100000,INDEX($AO$1005:$BQ$1005,1,MATCH(COLUMNS($AO$1006:AU1006),$AO$1006:$BQ$1006,0))&gt;=100000), " ",IF(INDEX($AO$2:$BQ$1001,MATCH(ROWS($AH$2:AH196),$AH$2:$AH$1001,0),MATCH(COLUMNS($AO$1006:AU1006),$AO$1006:$BQ$1006,0)), HYPERLINK("#",""), HYPERLINK(CONCATENATE("#Metadata!", ADDRESS(INDEX($AJ$2:$AJ$1001,MATCH(ROWS($AH$2:AH196),$AH$2:$AH$1001,0),0), INDEX($AO$1004:$BQ$1004,1,MATCH(COLUMNS($AO$1006:AU1006),$AO$1006:$BQ$1006,0)))),"Fix")))</f>
        <v>#N/A</v>
      </c>
      <c r="I196" s="5" t="e">
        <f ca="1">IF(OR(INDEX($AI$2:$AI$1001,MATCH(ROWS($AH$2:AH196),$AH$2:$AH$1001,0),1)&gt;=100000,INDEX($AO$1005:$BQ$1005,1,MATCH(COLUMNS($AO$1006:AV1006),$AO$1006:$BQ$1006,0))&gt;=100000), " ",IF(INDEX($AO$2:$BQ$1001,MATCH(ROWS($AH$2:AH196),$AH$2:$AH$1001,0),MATCH(COLUMNS($AO$1006:AV1006),$AO$1006:$BQ$1006,0)), HYPERLINK("#",""), HYPERLINK(CONCATENATE("#Metadata!", ADDRESS(INDEX($AJ$2:$AJ$1001,MATCH(ROWS($AH$2:AH196),$AH$2:$AH$1001,0),0), INDEX($AO$1004:$BQ$1004,1,MATCH(COLUMNS($AO$1006:AV1006),$AO$1006:$BQ$1006,0)))),"Fix")))</f>
        <v>#N/A</v>
      </c>
      <c r="J196" s="5" t="e">
        <f ca="1">IF(OR(INDEX($AI$2:$AI$1001,MATCH(ROWS($AH$2:AH196),$AH$2:$AH$1001,0),1)&gt;=100000,INDEX($AO$1005:$BQ$1005,1,MATCH(COLUMNS($AO$1006:AW1006),$AO$1006:$BQ$1006,0))&gt;=100000), " ",IF(INDEX($AO$2:$BQ$1001,MATCH(ROWS($AH$2:AH196),$AH$2:$AH$1001,0),MATCH(COLUMNS($AO$1006:AW1006),$AO$1006:$BQ$1006,0)), HYPERLINK("#",""), HYPERLINK(CONCATENATE("#Metadata!", ADDRESS(INDEX($AJ$2:$AJ$1001,MATCH(ROWS($AH$2:AH196),$AH$2:$AH$1001,0),0), INDEX($AO$1004:$BQ$1004,1,MATCH(COLUMNS($AO$1006:AW1006),$AO$1006:$BQ$1006,0)))),"Fix")))</f>
        <v>#N/A</v>
      </c>
      <c r="K196" s="5" t="e">
        <f ca="1">IF(OR(INDEX($AI$2:$AI$1001,MATCH(ROWS($AH$2:AH196),$AH$2:$AH$1001,0),1)&gt;=100000,INDEX($AO$1005:$BQ$1005,1,MATCH(COLUMNS($AO$1006:AX1006),$AO$1006:$BQ$1006,0))&gt;=100000), " ",IF(INDEX($AO$2:$BQ$1001,MATCH(ROWS($AH$2:AH196),$AH$2:$AH$1001,0),MATCH(COLUMNS($AO$1006:AX1006),$AO$1006:$BQ$1006,0)), HYPERLINK("#",""), HYPERLINK(CONCATENATE("#Metadata!", ADDRESS(INDEX($AJ$2:$AJ$1001,MATCH(ROWS($AH$2:AH196),$AH$2:$AH$1001,0),0), INDEX($AO$1004:$BQ$1004,1,MATCH(COLUMNS($AO$1006:AX1006),$AO$1006:$BQ$1006,0)))),"Fix")))</f>
        <v>#N/A</v>
      </c>
      <c r="L196" s="5" t="e">
        <f ca="1">IF(OR(INDEX($AI$2:$AI$1001,MATCH(ROWS($AH$2:AH196),$AH$2:$AH$1001,0),1)&gt;=100000,INDEX($AO$1005:$BQ$1005,1,MATCH(COLUMNS($AO$1006:AY1006),$AO$1006:$BQ$1006,0))&gt;=100000), " ",IF(INDEX($AO$2:$BQ$1001,MATCH(ROWS($AH$2:AH196),$AH$2:$AH$1001,0),MATCH(COLUMNS($AO$1006:AY1006),$AO$1006:$BQ$1006,0)), HYPERLINK("#",""), HYPERLINK(CONCATENATE("#Metadata!", ADDRESS(INDEX($AJ$2:$AJ$1001,MATCH(ROWS($AH$2:AH196),$AH$2:$AH$1001,0),0), INDEX($AO$1004:$BQ$1004,1,MATCH(COLUMNS($AO$1006:AY1006),$AO$1006:$BQ$1006,0)))),"Fix")))</f>
        <v>#N/A</v>
      </c>
      <c r="M196" s="5" t="e">
        <f ca="1">IF(OR(INDEX($AI$2:$AI$1001,MATCH(ROWS($AH$2:AH196),$AH$2:$AH$1001,0),1)&gt;=100000,INDEX($AO$1005:$BQ$1005,1,MATCH(COLUMNS($AO$1006:AZ1006),$AO$1006:$BQ$1006,0))&gt;=100000), " ",IF(INDEX($AO$2:$BQ$1001,MATCH(ROWS($AH$2:AH196),$AH$2:$AH$1001,0),MATCH(COLUMNS($AO$1006:AZ1006),$AO$1006:$BQ$1006,0)), HYPERLINK("#",""), HYPERLINK(CONCATENATE("#Metadata!", ADDRESS(INDEX($AJ$2:$AJ$1001,MATCH(ROWS($AH$2:AH196),$AH$2:$AH$1001,0),0), INDEX($AO$1004:$BQ$1004,1,MATCH(COLUMNS($AO$1006:AZ1006),$AO$1006:$BQ$1006,0)))),"Fix")))</f>
        <v>#N/A</v>
      </c>
      <c r="N196" s="5" t="e">
        <f ca="1">IF(OR(INDEX($AI$2:$AI$1001,MATCH(ROWS($AH$2:AH196),$AH$2:$AH$1001,0),1)&gt;=100000,INDEX($AO$1005:$BQ$1005,1,MATCH(COLUMNS($AO$1006:BA1006),$AO$1006:$BQ$1006,0))&gt;=100000), " ",IF(INDEX($AO$2:$BQ$1001,MATCH(ROWS($AH$2:AH196),$AH$2:$AH$1001,0),MATCH(COLUMNS($AO$1006:BA1006),$AO$1006:$BQ$1006,0)), HYPERLINK("#",""), HYPERLINK(CONCATENATE("#Metadata!", ADDRESS(INDEX($AJ$2:$AJ$1001,MATCH(ROWS($AH$2:AH196),$AH$2:$AH$1001,0),0), INDEX($AO$1004:$BQ$1004,1,MATCH(COLUMNS($AO$1006:BA1006),$AO$1006:$BQ$1006,0)))),"Fix")))</f>
        <v>#N/A</v>
      </c>
      <c r="O196" s="5" t="e">
        <f ca="1">IF(OR(INDEX($AI$2:$AI$1001,MATCH(ROWS($AH$2:AH196),$AH$2:$AH$1001,0),1)&gt;=100000,INDEX($AO$1005:$BQ$1005,1,MATCH(COLUMNS($AO$1006:BB1006),$AO$1006:$BQ$1006,0))&gt;=100000), " ",IF(INDEX($AO$2:$BQ$1001,MATCH(ROWS($AH$2:AH196),$AH$2:$AH$1001,0),MATCH(COLUMNS($AO$1006:BB1006),$AO$1006:$BQ$1006,0)), HYPERLINK("#",""), HYPERLINK(CONCATENATE("#Metadata!", ADDRESS(INDEX($AJ$2:$AJ$1001,MATCH(ROWS($AH$2:AH196),$AH$2:$AH$1001,0),0), INDEX($AO$1004:$BQ$1004,1,MATCH(COLUMNS($AO$1006:BB1006),$AO$1006:$BQ$1006,0)))),"Fix")))</f>
        <v>#N/A</v>
      </c>
      <c r="P196" s="5" t="e">
        <f ca="1">IF(OR(INDEX($AI$2:$AI$1001,MATCH(ROWS($AH$2:AH196),$AH$2:$AH$1001,0),1)&gt;=100000,INDEX($AO$1005:$BQ$1005,1,MATCH(COLUMNS($AO$1006:BC1006),$AO$1006:$BQ$1006,0))&gt;=100000), " ",IF(INDEX($AO$2:$BQ$1001,MATCH(ROWS($AH$2:AH196),$AH$2:$AH$1001,0),MATCH(COLUMNS($AO$1006:BC1006),$AO$1006:$BQ$1006,0)), HYPERLINK("#",""), HYPERLINK(CONCATENATE("#Metadata!", ADDRESS(INDEX($AJ$2:$AJ$1001,MATCH(ROWS($AH$2:AH196),$AH$2:$AH$1001,0),0), INDEX($AO$1004:$BQ$1004,1,MATCH(COLUMNS($AO$1006:BC1006),$AO$1006:$BQ$1006,0)))),"Fix")))</f>
        <v>#N/A</v>
      </c>
      <c r="Q196" s="5" t="e">
        <f ca="1">IF(OR(INDEX($AI$2:$AI$1001,MATCH(ROWS($AH$2:AH196),$AH$2:$AH$1001,0),1)&gt;=100000,INDEX($AO$1005:$BQ$1005,1,MATCH(COLUMNS($AO$1006:BD1006),$AO$1006:$BQ$1006,0))&gt;=100000), " ",IF(INDEX($AO$2:$BQ$1001,MATCH(ROWS($AH$2:AH196),$AH$2:$AH$1001,0),MATCH(COLUMNS($AO$1006:BD1006),$AO$1006:$BQ$1006,0)), HYPERLINK("#",""), HYPERLINK(CONCATENATE("#Metadata!", ADDRESS(INDEX($AJ$2:$AJ$1001,MATCH(ROWS($AH$2:AH196),$AH$2:$AH$1001,0),0), INDEX($AO$1004:$BQ$1004,1,MATCH(COLUMNS($AO$1006:BD1006),$AO$1006:$BQ$1006,0)))),"Fix")))</f>
        <v>#N/A</v>
      </c>
      <c r="R196" s="5" t="e">
        <f ca="1">IF(OR(INDEX($AI$2:$AI$1001,MATCH(ROWS($AH$2:AH196),$AH$2:$AH$1001,0),1)&gt;=100000,INDEX($AO$1005:$BQ$1005,1,MATCH(COLUMNS($AO$1006:BE1006),$AO$1006:$BQ$1006,0))&gt;=100000), " ",IF(INDEX($AO$2:$BQ$1001,MATCH(ROWS($AH$2:AH196),$AH$2:$AH$1001,0),MATCH(COLUMNS($AO$1006:BE1006),$AO$1006:$BQ$1006,0)), HYPERLINK("#",""), HYPERLINK(CONCATENATE("#Metadata!", ADDRESS(INDEX($AJ$2:$AJ$1001,MATCH(ROWS($AH$2:AH196),$AH$2:$AH$1001,0),0), INDEX($AO$1004:$BQ$1004,1,MATCH(COLUMNS($AO$1006:BE1006),$AO$1006:$BQ$1006,0)))),"Fix")))</f>
        <v>#N/A</v>
      </c>
      <c r="S196" s="5" t="e">
        <f ca="1">IF(OR(INDEX($AI$2:$AI$1001,MATCH(ROWS($AH$2:AH196),$AH$2:$AH$1001,0),1)&gt;=100000,INDEX($AO$1005:$BQ$1005,1,MATCH(COLUMNS($AO$1006:BF1006),$AO$1006:$BQ$1006,0))&gt;=100000), " ",IF(INDEX($AO$2:$BQ$1001,MATCH(ROWS($AH$2:AH196),$AH$2:$AH$1001,0),MATCH(COLUMNS($AO$1006:BF1006),$AO$1006:$BQ$1006,0)), HYPERLINK("#",""), HYPERLINK(CONCATENATE("#Metadata!", ADDRESS(INDEX($AJ$2:$AJ$1001,MATCH(ROWS($AH$2:AH196),$AH$2:$AH$1001,0),0), INDEX($AO$1004:$BQ$1004,1,MATCH(COLUMNS($AO$1006:BF1006),$AO$1006:$BQ$1006,0)))),"Fix")))</f>
        <v>#N/A</v>
      </c>
      <c r="T196" s="5" t="e">
        <f ca="1">IF(OR(INDEX($AI$2:$AI$1001,MATCH(ROWS($AH$2:AH196),$AH$2:$AH$1001,0),1)&gt;=100000,INDEX($AO$1005:$BQ$1005,1,MATCH(COLUMNS($AO$1006:BG1006),$AO$1006:$BQ$1006,0))&gt;=100000), " ",IF(INDEX($AO$2:$BQ$1001,MATCH(ROWS($AH$2:AH196),$AH$2:$AH$1001,0),MATCH(COLUMNS($AO$1006:BG1006),$AO$1006:$BQ$1006,0)), HYPERLINK("#",""), HYPERLINK(CONCATENATE("#Metadata!", ADDRESS(INDEX($AJ$2:$AJ$1001,MATCH(ROWS($AH$2:AH196),$AH$2:$AH$1001,0),0), INDEX($AO$1004:$BQ$1004,1,MATCH(COLUMNS($AO$1006:BG1006),$AO$1006:$BQ$1006,0)))),"Fix")))</f>
        <v>#N/A</v>
      </c>
      <c r="U196" s="5" t="e">
        <f ca="1">IF(OR(INDEX($AI$2:$AI$1001,MATCH(ROWS($AH$2:AH196),$AH$2:$AH$1001,0),1)&gt;=100000,INDEX($AO$1005:$BQ$1005,1,MATCH(COLUMNS($AO$1006:BH1006),$AO$1006:$BQ$1006,0))&gt;=100000), " ",IF(INDEX($AO$2:$BQ$1001,MATCH(ROWS($AH$2:AH196),$AH$2:$AH$1001,0),MATCH(COLUMNS($AO$1006:BH1006),$AO$1006:$BQ$1006,0)), HYPERLINK("#",""), HYPERLINK(CONCATENATE("#Metadata!", ADDRESS(INDEX($AJ$2:$AJ$1001,MATCH(ROWS($AH$2:AH196),$AH$2:$AH$1001,0),0), INDEX($AO$1004:$BQ$1004,1,MATCH(COLUMNS($AO$1006:BH1006),$AO$1006:$BQ$1006,0)))),"Fix")))</f>
        <v>#N/A</v>
      </c>
      <c r="V196" s="5" t="e">
        <f ca="1">IF(OR(INDEX($AI$2:$AI$1001,MATCH(ROWS($AH$2:AH196),$AH$2:$AH$1001,0),1)&gt;=100000,INDEX($AO$1005:$BQ$1005,1,MATCH(COLUMNS($AO$1006:BI1006),$AO$1006:$BQ$1006,0))&gt;=100000), " ",IF(INDEX($AO$2:$BQ$1001,MATCH(ROWS($AH$2:AH196),$AH$2:$AH$1001,0),MATCH(COLUMNS($AO$1006:BI1006),$AO$1006:$BQ$1006,0)), HYPERLINK("#",""), HYPERLINK(CONCATENATE("#Metadata!", ADDRESS(INDEX($AJ$2:$AJ$1001,MATCH(ROWS($AH$2:AH196),$AH$2:$AH$1001,0),0), INDEX($AO$1004:$BQ$1004,1,MATCH(COLUMNS($AO$1006:BI1006),$AO$1006:$BQ$1006,0)))),"Fix")))</f>
        <v>#N/A</v>
      </c>
      <c r="W196" s="5" t="e">
        <f ca="1">IF(OR(INDEX($AI$2:$AI$1001,MATCH(ROWS($AH$2:AH196),$AH$2:$AH$1001,0),1)&gt;=100000,INDEX($AO$1005:$BQ$1005,1,MATCH(COLUMNS($AO$1006:BJ1006),$AO$1006:$BQ$1006,0))&gt;=100000), " ",IF(INDEX($AO$2:$BQ$1001,MATCH(ROWS($AH$2:AH196),$AH$2:$AH$1001,0),MATCH(COLUMNS($AO$1006:BJ1006),$AO$1006:$BQ$1006,0)), HYPERLINK("#",""), HYPERLINK(CONCATENATE("#Metadata!", ADDRESS(INDEX($AJ$2:$AJ$1001,MATCH(ROWS($AH$2:AH196),$AH$2:$AH$1001,0),0), INDEX($AO$1004:$BQ$1004,1,MATCH(COLUMNS($AO$1006:BJ1006),$AO$1006:$BQ$1006,0)))),"Fix")))</f>
        <v>#N/A</v>
      </c>
      <c r="X196" s="5" t="e">
        <f ca="1">IF(OR(INDEX($AI$2:$AI$1001,MATCH(ROWS($AH$2:AH196),$AH$2:$AH$1001,0),1)&gt;=100000,INDEX($AO$1005:$BQ$1005,1,MATCH(COLUMNS($AO$1006:BK1006),$AO$1006:$BQ$1006,0))&gt;=100000), " ",IF(INDEX($AO$2:$BQ$1001,MATCH(ROWS($AH$2:AH196),$AH$2:$AH$1001,0),MATCH(COLUMNS($AO$1006:BK1006),$AO$1006:$BQ$1006,0)), HYPERLINK("#",""), HYPERLINK(CONCATENATE("#Metadata!", ADDRESS(INDEX($AJ$2:$AJ$1001,MATCH(ROWS($AH$2:AH196),$AH$2:$AH$1001,0),0), INDEX($AO$1004:$BQ$1004,1,MATCH(COLUMNS($AO$1006:BK1006),$AO$1006:$BQ$1006,0)))),"Fix")))</f>
        <v>#N/A</v>
      </c>
      <c r="Y196" s="5" t="e">
        <f ca="1">IF(OR(INDEX($AI$2:$AI$1001,MATCH(ROWS($AH$2:AH196),$AH$2:$AH$1001,0),1)&gt;=100000,INDEX($AO$1005:$BQ$1005,1,MATCH(COLUMNS($AO$1006:BL1006),$AO$1006:$BQ$1006,0))&gt;=100000), " ",IF(INDEX($AO$2:$BQ$1001,MATCH(ROWS($AH$2:AH196),$AH$2:$AH$1001,0),MATCH(COLUMNS($AO$1006:BL1006),$AO$1006:$BQ$1006,0)), HYPERLINK("#",""), HYPERLINK(CONCATENATE("#Metadata!", ADDRESS(INDEX($AJ$2:$AJ$1001,MATCH(ROWS($AH$2:AH196),$AH$2:$AH$1001,0),0), INDEX($AO$1004:$BQ$1004,1,MATCH(COLUMNS($AO$1006:BL1006),$AO$1006:$BQ$1006,0)))),"Fix")))</f>
        <v>#N/A</v>
      </c>
      <c r="Z196" s="5" t="e">
        <f ca="1">IF(OR(INDEX($AI$2:$AI$1001,MATCH(ROWS($AH$2:AH196),$AH$2:$AH$1001,0),1)&gt;=100000,INDEX($AO$1005:$BQ$1005,1,MATCH(COLUMNS($AO$1006:BM1006),$AO$1006:$BQ$1006,0))&gt;=100000), " ",IF(INDEX($AO$2:$BQ$1001,MATCH(ROWS($AH$2:AH196),$AH$2:$AH$1001,0),MATCH(COLUMNS($AO$1006:BM1006),$AO$1006:$BQ$1006,0)), HYPERLINK("#",""), HYPERLINK(CONCATENATE("#Metadata!", ADDRESS(INDEX($AJ$2:$AJ$1001,MATCH(ROWS($AH$2:AH196),$AH$2:$AH$1001,0),0), INDEX($AO$1004:$BQ$1004,1,MATCH(COLUMNS($AO$1006:BM1006),$AO$1006:$BQ$1006,0)))),"Fix")))</f>
        <v>#N/A</v>
      </c>
      <c r="AA196" s="5" t="e">
        <f ca="1">IF(OR(INDEX($AI$2:$AI$1001,MATCH(ROWS($AH$2:AH196),$AH$2:$AH$1001,0),1)&gt;=100000,INDEX($AO$1005:$BQ$1005,1,MATCH(COLUMNS($AO$1006:BN1006),$AO$1006:$BQ$1006,0))&gt;=100000), " ",IF(INDEX($AO$2:$BQ$1001,MATCH(ROWS($AH$2:AH196),$AH$2:$AH$1001,0),MATCH(COLUMNS($AO$1006:BN1006),$AO$1006:$BQ$1006,0)), HYPERLINK("#",""), HYPERLINK(CONCATENATE("#Metadata!", ADDRESS(INDEX($AJ$2:$AJ$1001,MATCH(ROWS($AH$2:AH196),$AH$2:$AH$1001,0),0), INDEX($AO$1004:$BQ$1004,1,MATCH(COLUMNS($AO$1006:BN1006),$AO$1006:$BQ$1006,0)))),"Fix")))</f>
        <v>#N/A</v>
      </c>
      <c r="AB196" s="5" t="e">
        <f ca="1">IF(OR(INDEX($AI$2:$AI$1001,MATCH(ROWS($AH$2:AH196),$AH$2:$AH$1001,0),1)&gt;=100000,INDEX($AO$1005:$BQ$1005,1,MATCH(COLUMNS($AO$1006:BO1006),$AO$1006:$BQ$1006,0))&gt;=100000), " ",IF(INDEX($AO$2:$BQ$1001,MATCH(ROWS($AH$2:AH196),$AH$2:$AH$1001,0),MATCH(COLUMNS($AO$1006:BO1006),$AO$1006:$BQ$1006,0)), HYPERLINK("#",""), HYPERLINK(CONCATENATE("#Metadata!", ADDRESS(INDEX($AJ$2:$AJ$1001,MATCH(ROWS($AH$2:AH196),$AH$2:$AH$1001,0),0), INDEX($AO$1004:$BQ$1004,1,MATCH(COLUMNS($AO$1006:BO1006),$AO$1006:$BQ$1006,0)))),"Fix")))</f>
        <v>#N/A</v>
      </c>
      <c r="AC196" s="5" t="e">
        <f ca="1">IF(OR(INDEX($AI$2:$AI$1001,MATCH(ROWS($AH$2:AH196),$AH$2:$AH$1001,0),1)&gt;=100000,INDEX($AO$1005:$BQ$1005,1,MATCH(COLUMNS($AO$1006:BP1006),$AO$1006:$BQ$1006,0))&gt;=100000), " ",IF(INDEX($AO$2:$BQ$1001,MATCH(ROWS($AH$2:AH196),$AH$2:$AH$1001,0),MATCH(COLUMNS($AO$1006:BP1006),$AO$1006:$BQ$1006,0)), HYPERLINK("#",""), HYPERLINK(CONCATENATE("#Metadata!", ADDRESS(INDEX($AJ$2:$AJ$1001,MATCH(ROWS($AH$2:AH196),$AH$2:$AH$1001,0),0), INDEX($AO$1004:$BQ$1004,1,MATCH(COLUMNS($AO$1006:BP1006),$AO$1006:$BQ$1006,0)))),"Fix")))</f>
        <v>#N/A</v>
      </c>
      <c r="AD196" s="5" t="e">
        <f ca="1">IF(OR(INDEX($AI$2:$AI$1001,MATCH(ROWS($AH$2:AH196),$AH$2:$AH$1001,0),1)&gt;=100000,INDEX($AO$1005:$BQ$1005,1,MATCH(COLUMNS($AO$1006:BQ1006),$AO$1006:$BQ$1006,0))&gt;=100000), " ",IF(INDEX($AO$2:$BQ$1001,MATCH(ROWS($AH$2:AH196),$AH$2:$AH$1001,0),MATCH(COLUMNS($AO$1006:BQ1006),$AO$1006:$BQ$1006,0)), HYPERLINK("#",""), HYPERLINK(CONCATENATE("#Metadata!", ADDRESS(INDEX($AJ$2:$AJ$1001,MATCH(ROWS($AH$2:AH196),$AH$2:$AH$1001,0),0), INDEX($AO$1004:$BQ$1004,1,MATCH(COLUMNS($AO$1006:BQ1006),$AO$1006:$BQ$1006,0)))),"Fix")))</f>
        <v>#REF!</v>
      </c>
      <c r="AH196">
        <f ca="1"/>
        <v>193</v>
      </c>
      <c r="AI196">
        <v>100196</v>
      </c>
      <c r="AJ196">
        <v>196</v>
      </c>
      <c r="AK196" t="b">
        <f t="shared" si="3"/>
        <v>1</v>
      </c>
      <c r="AL196" t="b">
        <f>COUNTBLANK(Metadata!B196:AD196)=COLUMNS(Metadata!B196:AD196)</f>
        <v>1</v>
      </c>
      <c r="AM196" t="str">
        <v/>
      </c>
      <c r="AO196" t="b">
        <f ca="1">AND(IF(Metadata!B196="",FALSE,TRUE),COUNTIF(Metadata!B:B, Metadata!B196) = 1,NOT(ISERROR(SUMPRODUCT(SEARCH(MID(Metadata!B196,ROW(INDIRECT("1:"&amp;LEN(Metadata!B196))), 1),"0123456789abcdefghijklmnopqrstuvwxyzABCDEFGHIJKLMNOPQRSTUVWXYZ.")))))</f>
        <v>0</v>
      </c>
      <c r="AP196" t="b">
        <f>IF(Metadata!C196="",FALSE,TRUE)</f>
        <v>0</v>
      </c>
      <c r="AQ196" t="b">
        <f>IF(Metadata!D196="",FALSE,TRUE)</f>
        <v>0</v>
      </c>
      <c r="AR196" t="b">
        <f ca="1">OR(AND(IF(Metadata!E196="",FALSE,TRUE),OR(EXACT(Metadata!E196,"not collected"),EXACT(Metadata!E196,"not provided"),EXACT(Metadata!E196,"restricted access"))),AND(IF(Metadata!E196="",FALSE,TRUE),AND(AND(IFERROR(INT(LEFT(Metadata!E196,4))&gt;1900,FALSE),IFERROR(INT(LEFT(Metadata!E196,4))&lt;=YEAR(NOW()),FALSE)), OR(MID(Metadata!E196,5,1)="", AND(AND(MID(Metadata!E196,5,1)="-",IFERROR(INT(MID(Metadata!E196,6,1))&gt;=0,FALSE),IFERROR(INT(MID(Metadata!E196,6,1))&lt;=1,FALSE),NOT(MID(Metadata!E196,7,1)=""),IFERROR(INT(MID(Metadata!E196,6,2))&gt;=1,FALSE),IFERROR(INT(MID(Metadata!E196,6,2))&lt;=12,FALSE)), OR(MID(Metadata!E196,8,1)="", AND(AND(MID(Metadata!E196,8,1)="-",IFERROR(INT(MID(Metadata!E196,9,1))&gt;=0,FALSE),IFERROR(INT(MID(Metadata!E196,9,1))&lt;=3,FALSE),NOT(MID(Metadata!E196,10,1)=""),IFERROR(INT(MID(Metadata!E196,9,2))&gt;=1,FALSE),IFERROR(INT(MID(Metadata!E196,9,2))&lt;=31,FALSE)), OR(MID(Metadata!E196,11,1)="", AND(AND(MID(Metadata!E196,11,1)=" ",IFERROR(INT(MID(Metadata!E196,12,1))&gt;=0,FALSE),IFERROR(INT(MID(Metadata!E196,12,1))&lt;=2,FALSE),NOT(MID(Metadata!E196,13,1)=""),IFERROR(INT(MID(Metadata!E196,12,2))&gt;=0,FALSE),IFERROR(INT(MID(Metadata!E196,12,2))&lt;=23,FALSE)), OR(MID(Metadata!E196,14,1)="", AND(AND(MID(Metadata!E196,14,1)=":",IFERROR(INT(MID(Metadata!E196,15,1))&gt;=0,FALSE),IFERROR(INT(MID(Metadata!E196,15,1))&lt;=5,FALSE),NOT(MID(Metadata!E196,16,1)=""),IFERROR(INT(MID(Metadata!E196,15,2))&gt;=0,FALSE),IFERROR(INT(MID(Metadata!E196,15,2))&lt;=59,FALSE)), OR(MID(Metadata!E196,17,1)="", AND(AND(MID(Metadata!E196,17,1)=":",IFERROR(INT(MID(Metadata!E196,18,1))&gt;=0,FALSE),IFERROR(INT(MID(Metadata!E196,18,1))&lt;=5,FALSE),NOT(MID(Metadata!E196,19,1)=""),IFERROR(INT(MID(Metadata!E196,18,2))&gt;=0,FALSE),IFERROR(INT(MID(Metadata!E196,18,2))&lt;=59,FALSE)), LEN(Metadata!E196)&lt;=19)))))))))))))</f>
        <v>0</v>
      </c>
      <c r="AS196" t="b">
        <f>IF(Metadata!F196="",FALSE,TRUE)</f>
        <v>0</v>
      </c>
      <c r="AT196" t="b">
        <f>OR(AND(IF(Metadata!G196="",FALSE,TRUE),OR(EXACT(Metadata!G196,"not collected"),EXACT(Metadata!G196,"not provided"))),AND(IF(Metadata!G196="",FALSE,TRUE),OR(EXACT(Metadata!G196,"TRUE"),EXACT(Metadata!G196,"FALSE"))))</f>
        <v>0</v>
      </c>
      <c r="AU196" t="b">
        <f>OR(AND(IF(Metadata!H196="",FALSE,TRUE),OR(EXACT(Metadata!H196,"not collected"),EXACT(Metadata!H196,"not provided"),EXACT(Metadata!H196,"restricted access"))),AND(IF(Metadata!H196="",FALSE,ISNUMBER(VALUE(Metadata!H196))),Metadata!H196&gt;=-413))</f>
        <v>0</v>
      </c>
      <c r="AV196" t="b">
        <f>AND(IF(Metadata!I196="",FALSE,TRUE),EXACT(Metadata!I196,"meters"))</f>
        <v>0</v>
      </c>
      <c r="AW196" t="b">
        <f>AND(IF(Metadata!J196="",FALSE,TRUE),EXACT(Metadata!J196,"free-living"))</f>
        <v>0</v>
      </c>
      <c r="AX196" t="b">
        <f>AND(IF(Metadata!K196="",FALSE,TRUE),OR(EXACT(Metadata!K196,"saline"),EXACT(Metadata!K196,"non-saline")))</f>
        <v>0</v>
      </c>
      <c r="AY196" t="b">
        <f>AND(IF(Metadata!L196="",FALSE,TRUE),OR(EXACT(Metadata!L196,"sub-surface (non-saline)"),EXACT(Metadata!L196,"surface (non-saline)"),EXACT(Metadata!L196,"water (non-saline)"),EXACT(Metadata!L196,"soil (non-saline)"),EXACT(Metadata!L196,"aerosol (non-saline)"),EXACT(Metadata!L196,"sediment (non-saline)"),EXACT(Metadata!L196,"surface (saline)"),EXACT(Metadata!L196,"water (saline)"),EXACT(Metadata!L196,"hypersaline (saline)"),EXACT(Metadata!L196,"aerosol (saline)"),EXACT(Metadata!L196,"sediment (saline)")))</f>
        <v>0</v>
      </c>
      <c r="AZ196" t="b">
        <f>IF(Metadata!M196="",FALSE,TRUE)</f>
        <v>0</v>
      </c>
      <c r="BA196" t="b">
        <f>IF(Metadata!N196="",FALSE,TRUE)</f>
        <v>0</v>
      </c>
      <c r="BB196" t="b">
        <f>IF(Metadata!O196="",FALSE,TRUE)</f>
        <v>0</v>
      </c>
      <c r="BC196" t="b">
        <f>AND(IF(Metadata!P196="",FALSE,TRUE),OR(EXACT(Metadata!P196,"air"),EXACT(Metadata!P196,"microbial mat/biofilm"),EXACT(Metadata!P196,"misc environment"),EXACT(Metadata!P196,"sediment"),EXACT(Metadata!P196,"soil"),EXACT(Metadata!P196,"wastewater/sludge"),EXACT(Metadata!P196,"water")))</f>
        <v>0</v>
      </c>
      <c r="BD196" t="b">
        <f>IF(Metadata!Q196="",FALSE,TRUE)</f>
        <v>0</v>
      </c>
      <c r="BE196" t="b">
        <f>IF(Metadata!R196="",FALSE,TRUE)</f>
        <v>0</v>
      </c>
      <c r="BF196" t="b">
        <f>OR(AND(IF(Metadata!S196="",FALSE,TRUE),OR(EXACT(Metadata!S196,"not collected"),EXACT(Metadata!S196,"not provided"),EXACT(Metadata!S196,"restricted access"))),AND(IF(Metadata!S196="",FALSE,ISNUMBER(VALUE(Metadata!S196))),Metadata!S196&gt;=-90,Metadata!S196&lt;=90))</f>
        <v>0</v>
      </c>
      <c r="BG196" t="b">
        <f>AND(IF(Metadata!T196="",FALSE,TRUE),EXACT(Metadata!T196,"Decimal degrees"))</f>
        <v>0</v>
      </c>
      <c r="BH196" t="b">
        <f>OR(AND(IF(Metadata!U196="",FALSE,TRUE),OR(EXACT(Metadata!U196,"not applicable"),EXACT(Metadata!U196,"not collected"))),IF(Metadata!U196="",FALSE,TRUE))</f>
        <v>0</v>
      </c>
      <c r="BI196" t="b">
        <f>OR(AND(IF(Metadata!V196="",FALSE,TRUE),OR(EXACT(Metadata!V196,"not collected"),EXACT(Metadata!V196,"not provided"),EXACT(Metadata!V196,"restricted access"))),AND(IF(Metadata!V196="",FALSE,ISNUMBER(VALUE(Metadata!V196))),Metadata!V196&gt;=-180,Metadata!V196&lt;=180))</f>
        <v>0</v>
      </c>
      <c r="BJ196" t="b">
        <f>AND(IF(Metadata!W196="",FALSE,TRUE),EXACT(Metadata!W196,"Decimal degrees"))</f>
        <v>0</v>
      </c>
      <c r="BK196" t="b">
        <f>IF(Metadata!X196="",FALSE,TRUE)</f>
        <v>0</v>
      </c>
      <c r="BL196" t="b">
        <f>OR(AND(IF(Metadata!Y196="",FALSE,TRUE),OR(EXACT(Metadata!Y196,"not collected"),EXACT(Metadata!Y196,"not provided"),EXACT(Metadata!Y196,"restricted access"))),AND(IF(Metadata!Y196="",FALSE,TRUE),OR(EXACT(Metadata!Y196,"TRUE"),EXACT(Metadata!Y196,"FALSE"))))</f>
        <v>0</v>
      </c>
      <c r="BM196" t="b">
        <f>OR(AND(IF(Metadata!Z196="",FALSE,TRUE),EXACT(Metadata!Z196,"not applicable")),AND(IF(Metadata!Z196="",FALSE,TRUE),OR(EXACT(Metadata!Z196,"beer"),EXACT(Metadata!Z196,"cheese"),EXACT(Metadata!Z196,"fresh water"),EXACT(Metadata!Z196,"marine sediment"),EXACT(Metadata!Z196,"sea water"),EXACT(Metadata!Z196,"sediment"),EXACT(Metadata!Z196,"soil"),EXACT(Metadata!Z196,"waste water"))))</f>
        <v>0</v>
      </c>
      <c r="BN196" t="b">
        <f>AND(IF(Metadata!AA196="",FALSE,TRUE),EXACT(Metadata!AA196,"metagenome"))</f>
        <v>0</v>
      </c>
      <c r="BO196" t="b">
        <f>AND(IF(Metadata!AB196="",FALSE,TRUE),EXACT(Metadata!AB196,"256318"))</f>
        <v>0</v>
      </c>
      <c r="BP196" t="b">
        <f>IF(Metadata!AC196="",FALSE,TRUE)</f>
        <v>0</v>
      </c>
      <c r="BQ196" t="b">
        <f>IF(Metadata!AD196="",FALSE,TRUE)</f>
        <v>0</v>
      </c>
    </row>
    <row r="197" spans="1:69" x14ac:dyDescent="0.2">
      <c r="A197" s="4" t="e">
        <f ca="1">IF(B197=" "," ",HYPERLINK(CONCATENATE("#metadata!",ADDRESS(INDEX($AJ$2:$AJ$1001,MATCH(ROWS($AH$2:AH197),$AH$2:$AH$1001,0),0),2)),INDEX($AM$2:$AM$1001,MATCH(ROWS($AH$2:AH197),$AH$2:$AH$1001,0),0)))</f>
        <v>#N/A</v>
      </c>
      <c r="B197" s="5" t="e">
        <f ca="1">IF(OR(INDEX($AI$2:$AI$1001,MATCH(ROWS($AH$2:AH197),$AH$2:$AH$1001,0),1)&gt;=100000,INDEX($AO$1005:$BQ$1005,1,MATCH(COLUMNS($AO$1006:AO1006),$AO$1006:$BQ$1006,0))&gt;=100000), " ",IF(INDEX($AO$2:$BQ$1001,MATCH(ROWS($AH$2:AH197),$AH$2:$AH$1001,0),MATCH(COLUMNS($AO$1006:AO1006),$AO$1006:$BQ$1006,0)), HYPERLINK("#",""), HYPERLINK(CONCATENATE("#Metadata!", ADDRESS(INDEX($AJ$2:$AJ$1001,MATCH(ROWS($AH$2:AH197),$AH$2:$AH$1001,0),0), INDEX($AO$1004:$BQ$1004,1,MATCH(COLUMNS($AO$1006:AO1006),$AO$1006:$BQ$1006,0)))),"Fix")))</f>
        <v>#N/A</v>
      </c>
      <c r="C197" s="5" t="e">
        <f ca="1">IF(OR(INDEX($AI$2:$AI$1001,MATCH(ROWS($AH$2:AH197),$AH$2:$AH$1001,0),1)&gt;=100000,INDEX($AO$1005:$BQ$1005,1,MATCH(COLUMNS($AO$1006:AP1006),$AO$1006:$BQ$1006,0))&gt;=100000), " ",IF(INDEX($AO$2:$BQ$1001,MATCH(ROWS($AH$2:AH197),$AH$2:$AH$1001,0),MATCH(COLUMNS($AO$1006:AP1006),$AO$1006:$BQ$1006,0)), HYPERLINK("#",""), HYPERLINK(CONCATENATE("#Metadata!", ADDRESS(INDEX($AJ$2:$AJ$1001,MATCH(ROWS($AH$2:AH197),$AH$2:$AH$1001,0),0), INDEX($AO$1004:$BQ$1004,1,MATCH(COLUMNS($AO$1006:AP1006),$AO$1006:$BQ$1006,0)))),"Fix")))</f>
        <v>#N/A</v>
      </c>
      <c r="D197" s="5" t="e">
        <f ca="1">IF(OR(INDEX($AI$2:$AI$1001,MATCH(ROWS($AH$2:AH197),$AH$2:$AH$1001,0),1)&gt;=100000,INDEX($AO$1005:$BQ$1005,1,MATCH(COLUMNS($AO$1006:AQ1006),$AO$1006:$BQ$1006,0))&gt;=100000), " ",IF(INDEX($AO$2:$BQ$1001,MATCH(ROWS($AH$2:AH197),$AH$2:$AH$1001,0),MATCH(COLUMNS($AO$1006:AQ1006),$AO$1006:$BQ$1006,0)), HYPERLINK("#",""), HYPERLINK(CONCATENATE("#Metadata!", ADDRESS(INDEX($AJ$2:$AJ$1001,MATCH(ROWS($AH$2:AH197),$AH$2:$AH$1001,0),0), INDEX($AO$1004:$BQ$1004,1,MATCH(COLUMNS($AO$1006:AQ1006),$AO$1006:$BQ$1006,0)))),"Fix")))</f>
        <v>#N/A</v>
      </c>
      <c r="E197" s="5" t="e">
        <f ca="1">IF(OR(INDEX($AI$2:$AI$1001,MATCH(ROWS($AH$2:AH197),$AH$2:$AH$1001,0),1)&gt;=100000,INDEX($AO$1005:$BQ$1005,1,MATCH(COLUMNS($AO$1006:AR1006),$AO$1006:$BQ$1006,0))&gt;=100000), " ",IF(INDEX($AO$2:$BQ$1001,MATCH(ROWS($AH$2:AH197),$AH$2:$AH$1001,0),MATCH(COLUMNS($AO$1006:AR1006),$AO$1006:$BQ$1006,0)), HYPERLINK("#",""), HYPERLINK(CONCATENATE("#Metadata!", ADDRESS(INDEX($AJ$2:$AJ$1001,MATCH(ROWS($AH$2:AH197),$AH$2:$AH$1001,0),0), INDEX($AO$1004:$BQ$1004,1,MATCH(COLUMNS($AO$1006:AR1006),$AO$1006:$BQ$1006,0)))),"Fix")))</f>
        <v>#N/A</v>
      </c>
      <c r="F197" s="5" t="e">
        <f ca="1">IF(OR(INDEX($AI$2:$AI$1001,MATCH(ROWS($AH$2:AH197),$AH$2:$AH$1001,0),1)&gt;=100000,INDEX($AO$1005:$BQ$1005,1,MATCH(COLUMNS($AO$1006:AS1006),$AO$1006:$BQ$1006,0))&gt;=100000), " ",IF(INDEX($AO$2:$BQ$1001,MATCH(ROWS($AH$2:AH197),$AH$2:$AH$1001,0),MATCH(COLUMNS($AO$1006:AS1006),$AO$1006:$BQ$1006,0)), HYPERLINK("#",""), HYPERLINK(CONCATENATE("#Metadata!", ADDRESS(INDEX($AJ$2:$AJ$1001,MATCH(ROWS($AH$2:AH197),$AH$2:$AH$1001,0),0), INDEX($AO$1004:$BQ$1004,1,MATCH(COLUMNS($AO$1006:AS1006),$AO$1006:$BQ$1006,0)))),"Fix")))</f>
        <v>#N/A</v>
      </c>
      <c r="G197" s="5" t="e">
        <f ca="1">IF(OR(INDEX($AI$2:$AI$1001,MATCH(ROWS($AH$2:AH197),$AH$2:$AH$1001,0),1)&gt;=100000,INDEX($AO$1005:$BQ$1005,1,MATCH(COLUMNS($AO$1006:AT1006),$AO$1006:$BQ$1006,0))&gt;=100000), " ",IF(INDEX($AO$2:$BQ$1001,MATCH(ROWS($AH$2:AH197),$AH$2:$AH$1001,0),MATCH(COLUMNS($AO$1006:AT1006),$AO$1006:$BQ$1006,0)), HYPERLINK("#",""), HYPERLINK(CONCATENATE("#Metadata!", ADDRESS(INDEX($AJ$2:$AJ$1001,MATCH(ROWS($AH$2:AH197),$AH$2:$AH$1001,0),0), INDEX($AO$1004:$BQ$1004,1,MATCH(COLUMNS($AO$1006:AT1006),$AO$1006:$BQ$1006,0)))),"Fix")))</f>
        <v>#N/A</v>
      </c>
      <c r="H197" s="5" t="e">
        <f ca="1">IF(OR(INDEX($AI$2:$AI$1001,MATCH(ROWS($AH$2:AH197),$AH$2:$AH$1001,0),1)&gt;=100000,INDEX($AO$1005:$BQ$1005,1,MATCH(COLUMNS($AO$1006:AU1006),$AO$1006:$BQ$1006,0))&gt;=100000), " ",IF(INDEX($AO$2:$BQ$1001,MATCH(ROWS($AH$2:AH197),$AH$2:$AH$1001,0),MATCH(COLUMNS($AO$1006:AU1006),$AO$1006:$BQ$1006,0)), HYPERLINK("#",""), HYPERLINK(CONCATENATE("#Metadata!", ADDRESS(INDEX($AJ$2:$AJ$1001,MATCH(ROWS($AH$2:AH197),$AH$2:$AH$1001,0),0), INDEX($AO$1004:$BQ$1004,1,MATCH(COLUMNS($AO$1006:AU1006),$AO$1006:$BQ$1006,0)))),"Fix")))</f>
        <v>#N/A</v>
      </c>
      <c r="I197" s="5" t="e">
        <f ca="1">IF(OR(INDEX($AI$2:$AI$1001,MATCH(ROWS($AH$2:AH197),$AH$2:$AH$1001,0),1)&gt;=100000,INDEX($AO$1005:$BQ$1005,1,MATCH(COLUMNS($AO$1006:AV1006),$AO$1006:$BQ$1006,0))&gt;=100000), " ",IF(INDEX($AO$2:$BQ$1001,MATCH(ROWS($AH$2:AH197),$AH$2:$AH$1001,0),MATCH(COLUMNS($AO$1006:AV1006),$AO$1006:$BQ$1006,0)), HYPERLINK("#",""), HYPERLINK(CONCATENATE("#Metadata!", ADDRESS(INDEX($AJ$2:$AJ$1001,MATCH(ROWS($AH$2:AH197),$AH$2:$AH$1001,0),0), INDEX($AO$1004:$BQ$1004,1,MATCH(COLUMNS($AO$1006:AV1006),$AO$1006:$BQ$1006,0)))),"Fix")))</f>
        <v>#N/A</v>
      </c>
      <c r="J197" s="5" t="e">
        <f ca="1">IF(OR(INDEX($AI$2:$AI$1001,MATCH(ROWS($AH$2:AH197),$AH$2:$AH$1001,0),1)&gt;=100000,INDEX($AO$1005:$BQ$1005,1,MATCH(COLUMNS($AO$1006:AW1006),$AO$1006:$BQ$1006,0))&gt;=100000), " ",IF(INDEX($AO$2:$BQ$1001,MATCH(ROWS($AH$2:AH197),$AH$2:$AH$1001,0),MATCH(COLUMNS($AO$1006:AW1006),$AO$1006:$BQ$1006,0)), HYPERLINK("#",""), HYPERLINK(CONCATENATE("#Metadata!", ADDRESS(INDEX($AJ$2:$AJ$1001,MATCH(ROWS($AH$2:AH197),$AH$2:$AH$1001,0),0), INDEX($AO$1004:$BQ$1004,1,MATCH(COLUMNS($AO$1006:AW1006),$AO$1006:$BQ$1006,0)))),"Fix")))</f>
        <v>#N/A</v>
      </c>
      <c r="K197" s="5" t="e">
        <f ca="1">IF(OR(INDEX($AI$2:$AI$1001,MATCH(ROWS($AH$2:AH197),$AH$2:$AH$1001,0),1)&gt;=100000,INDEX($AO$1005:$BQ$1005,1,MATCH(COLUMNS($AO$1006:AX1006),$AO$1006:$BQ$1006,0))&gt;=100000), " ",IF(INDEX($AO$2:$BQ$1001,MATCH(ROWS($AH$2:AH197),$AH$2:$AH$1001,0),MATCH(COLUMNS($AO$1006:AX1006),$AO$1006:$BQ$1006,0)), HYPERLINK("#",""), HYPERLINK(CONCATENATE("#Metadata!", ADDRESS(INDEX($AJ$2:$AJ$1001,MATCH(ROWS($AH$2:AH197),$AH$2:$AH$1001,0),0), INDEX($AO$1004:$BQ$1004,1,MATCH(COLUMNS($AO$1006:AX1006),$AO$1006:$BQ$1006,0)))),"Fix")))</f>
        <v>#N/A</v>
      </c>
      <c r="L197" s="5" t="e">
        <f ca="1">IF(OR(INDEX($AI$2:$AI$1001,MATCH(ROWS($AH$2:AH197),$AH$2:$AH$1001,0),1)&gt;=100000,INDEX($AO$1005:$BQ$1005,1,MATCH(COLUMNS($AO$1006:AY1006),$AO$1006:$BQ$1006,0))&gt;=100000), " ",IF(INDEX($AO$2:$BQ$1001,MATCH(ROWS($AH$2:AH197),$AH$2:$AH$1001,0),MATCH(COLUMNS($AO$1006:AY1006),$AO$1006:$BQ$1006,0)), HYPERLINK("#",""), HYPERLINK(CONCATENATE("#Metadata!", ADDRESS(INDEX($AJ$2:$AJ$1001,MATCH(ROWS($AH$2:AH197),$AH$2:$AH$1001,0),0), INDEX($AO$1004:$BQ$1004,1,MATCH(COLUMNS($AO$1006:AY1006),$AO$1006:$BQ$1006,0)))),"Fix")))</f>
        <v>#N/A</v>
      </c>
      <c r="M197" s="5" t="e">
        <f ca="1">IF(OR(INDEX($AI$2:$AI$1001,MATCH(ROWS($AH$2:AH197),$AH$2:$AH$1001,0),1)&gt;=100000,INDEX($AO$1005:$BQ$1005,1,MATCH(COLUMNS($AO$1006:AZ1006),$AO$1006:$BQ$1006,0))&gt;=100000), " ",IF(INDEX($AO$2:$BQ$1001,MATCH(ROWS($AH$2:AH197),$AH$2:$AH$1001,0),MATCH(COLUMNS($AO$1006:AZ1006),$AO$1006:$BQ$1006,0)), HYPERLINK("#",""), HYPERLINK(CONCATENATE("#Metadata!", ADDRESS(INDEX($AJ$2:$AJ$1001,MATCH(ROWS($AH$2:AH197),$AH$2:$AH$1001,0),0), INDEX($AO$1004:$BQ$1004,1,MATCH(COLUMNS($AO$1006:AZ1006),$AO$1006:$BQ$1006,0)))),"Fix")))</f>
        <v>#N/A</v>
      </c>
      <c r="N197" s="5" t="e">
        <f ca="1">IF(OR(INDEX($AI$2:$AI$1001,MATCH(ROWS($AH$2:AH197),$AH$2:$AH$1001,0),1)&gt;=100000,INDEX($AO$1005:$BQ$1005,1,MATCH(COLUMNS($AO$1006:BA1006),$AO$1006:$BQ$1006,0))&gt;=100000), " ",IF(INDEX($AO$2:$BQ$1001,MATCH(ROWS($AH$2:AH197),$AH$2:$AH$1001,0),MATCH(COLUMNS($AO$1006:BA1006),$AO$1006:$BQ$1006,0)), HYPERLINK("#",""), HYPERLINK(CONCATENATE("#Metadata!", ADDRESS(INDEX($AJ$2:$AJ$1001,MATCH(ROWS($AH$2:AH197),$AH$2:$AH$1001,0),0), INDEX($AO$1004:$BQ$1004,1,MATCH(COLUMNS($AO$1006:BA1006),$AO$1006:$BQ$1006,0)))),"Fix")))</f>
        <v>#N/A</v>
      </c>
      <c r="O197" s="5" t="e">
        <f ca="1">IF(OR(INDEX($AI$2:$AI$1001,MATCH(ROWS($AH$2:AH197),$AH$2:$AH$1001,0),1)&gt;=100000,INDEX($AO$1005:$BQ$1005,1,MATCH(COLUMNS($AO$1006:BB1006),$AO$1006:$BQ$1006,0))&gt;=100000), " ",IF(INDEX($AO$2:$BQ$1001,MATCH(ROWS($AH$2:AH197),$AH$2:$AH$1001,0),MATCH(COLUMNS($AO$1006:BB1006),$AO$1006:$BQ$1006,0)), HYPERLINK("#",""), HYPERLINK(CONCATENATE("#Metadata!", ADDRESS(INDEX($AJ$2:$AJ$1001,MATCH(ROWS($AH$2:AH197),$AH$2:$AH$1001,0),0), INDEX($AO$1004:$BQ$1004,1,MATCH(COLUMNS($AO$1006:BB1006),$AO$1006:$BQ$1006,0)))),"Fix")))</f>
        <v>#N/A</v>
      </c>
      <c r="P197" s="5" t="e">
        <f ca="1">IF(OR(INDEX($AI$2:$AI$1001,MATCH(ROWS($AH$2:AH197),$AH$2:$AH$1001,0),1)&gt;=100000,INDEX($AO$1005:$BQ$1005,1,MATCH(COLUMNS($AO$1006:BC1006),$AO$1006:$BQ$1006,0))&gt;=100000), " ",IF(INDEX($AO$2:$BQ$1001,MATCH(ROWS($AH$2:AH197),$AH$2:$AH$1001,0),MATCH(COLUMNS($AO$1006:BC1006),$AO$1006:$BQ$1006,0)), HYPERLINK("#",""), HYPERLINK(CONCATENATE("#Metadata!", ADDRESS(INDEX($AJ$2:$AJ$1001,MATCH(ROWS($AH$2:AH197),$AH$2:$AH$1001,0),0), INDEX($AO$1004:$BQ$1004,1,MATCH(COLUMNS($AO$1006:BC1006),$AO$1006:$BQ$1006,0)))),"Fix")))</f>
        <v>#N/A</v>
      </c>
      <c r="Q197" s="5" t="e">
        <f ca="1">IF(OR(INDEX($AI$2:$AI$1001,MATCH(ROWS($AH$2:AH197),$AH$2:$AH$1001,0),1)&gt;=100000,INDEX($AO$1005:$BQ$1005,1,MATCH(COLUMNS($AO$1006:BD1006),$AO$1006:$BQ$1006,0))&gt;=100000), " ",IF(INDEX($AO$2:$BQ$1001,MATCH(ROWS($AH$2:AH197),$AH$2:$AH$1001,0),MATCH(COLUMNS($AO$1006:BD1006),$AO$1006:$BQ$1006,0)), HYPERLINK("#",""), HYPERLINK(CONCATENATE("#Metadata!", ADDRESS(INDEX($AJ$2:$AJ$1001,MATCH(ROWS($AH$2:AH197),$AH$2:$AH$1001,0),0), INDEX($AO$1004:$BQ$1004,1,MATCH(COLUMNS($AO$1006:BD1006),$AO$1006:$BQ$1006,0)))),"Fix")))</f>
        <v>#N/A</v>
      </c>
      <c r="R197" s="5" t="e">
        <f ca="1">IF(OR(INDEX($AI$2:$AI$1001,MATCH(ROWS($AH$2:AH197),$AH$2:$AH$1001,0),1)&gt;=100000,INDEX($AO$1005:$BQ$1005,1,MATCH(COLUMNS($AO$1006:BE1006),$AO$1006:$BQ$1006,0))&gt;=100000), " ",IF(INDEX($AO$2:$BQ$1001,MATCH(ROWS($AH$2:AH197),$AH$2:$AH$1001,0),MATCH(COLUMNS($AO$1006:BE1006),$AO$1006:$BQ$1006,0)), HYPERLINK("#",""), HYPERLINK(CONCATENATE("#Metadata!", ADDRESS(INDEX($AJ$2:$AJ$1001,MATCH(ROWS($AH$2:AH197),$AH$2:$AH$1001,0),0), INDEX($AO$1004:$BQ$1004,1,MATCH(COLUMNS($AO$1006:BE1006),$AO$1006:$BQ$1006,0)))),"Fix")))</f>
        <v>#N/A</v>
      </c>
      <c r="S197" s="5" t="e">
        <f ca="1">IF(OR(INDEX($AI$2:$AI$1001,MATCH(ROWS($AH$2:AH197),$AH$2:$AH$1001,0),1)&gt;=100000,INDEX($AO$1005:$BQ$1005,1,MATCH(COLUMNS($AO$1006:BF1006),$AO$1006:$BQ$1006,0))&gt;=100000), " ",IF(INDEX($AO$2:$BQ$1001,MATCH(ROWS($AH$2:AH197),$AH$2:$AH$1001,0),MATCH(COLUMNS($AO$1006:BF1006),$AO$1006:$BQ$1006,0)), HYPERLINK("#",""), HYPERLINK(CONCATENATE("#Metadata!", ADDRESS(INDEX($AJ$2:$AJ$1001,MATCH(ROWS($AH$2:AH197),$AH$2:$AH$1001,0),0), INDEX($AO$1004:$BQ$1004,1,MATCH(COLUMNS($AO$1006:BF1006),$AO$1006:$BQ$1006,0)))),"Fix")))</f>
        <v>#N/A</v>
      </c>
      <c r="T197" s="5" t="e">
        <f ca="1">IF(OR(INDEX($AI$2:$AI$1001,MATCH(ROWS($AH$2:AH197),$AH$2:$AH$1001,0),1)&gt;=100000,INDEX($AO$1005:$BQ$1005,1,MATCH(COLUMNS($AO$1006:BG1006),$AO$1006:$BQ$1006,0))&gt;=100000), " ",IF(INDEX($AO$2:$BQ$1001,MATCH(ROWS($AH$2:AH197),$AH$2:$AH$1001,0),MATCH(COLUMNS($AO$1006:BG1006),$AO$1006:$BQ$1006,0)), HYPERLINK("#",""), HYPERLINK(CONCATENATE("#Metadata!", ADDRESS(INDEX($AJ$2:$AJ$1001,MATCH(ROWS($AH$2:AH197),$AH$2:$AH$1001,0),0), INDEX($AO$1004:$BQ$1004,1,MATCH(COLUMNS($AO$1006:BG1006),$AO$1006:$BQ$1006,0)))),"Fix")))</f>
        <v>#N/A</v>
      </c>
      <c r="U197" s="5" t="e">
        <f ca="1">IF(OR(INDEX($AI$2:$AI$1001,MATCH(ROWS($AH$2:AH197),$AH$2:$AH$1001,0),1)&gt;=100000,INDEX($AO$1005:$BQ$1005,1,MATCH(COLUMNS($AO$1006:BH1006),$AO$1006:$BQ$1006,0))&gt;=100000), " ",IF(INDEX($AO$2:$BQ$1001,MATCH(ROWS($AH$2:AH197),$AH$2:$AH$1001,0),MATCH(COLUMNS($AO$1006:BH1006),$AO$1006:$BQ$1006,0)), HYPERLINK("#",""), HYPERLINK(CONCATENATE("#Metadata!", ADDRESS(INDEX($AJ$2:$AJ$1001,MATCH(ROWS($AH$2:AH197),$AH$2:$AH$1001,0),0), INDEX($AO$1004:$BQ$1004,1,MATCH(COLUMNS($AO$1006:BH1006),$AO$1006:$BQ$1006,0)))),"Fix")))</f>
        <v>#N/A</v>
      </c>
      <c r="V197" s="5" t="e">
        <f ca="1">IF(OR(INDEX($AI$2:$AI$1001,MATCH(ROWS($AH$2:AH197),$AH$2:$AH$1001,0),1)&gt;=100000,INDEX($AO$1005:$BQ$1005,1,MATCH(COLUMNS($AO$1006:BI1006),$AO$1006:$BQ$1006,0))&gt;=100000), " ",IF(INDEX($AO$2:$BQ$1001,MATCH(ROWS($AH$2:AH197),$AH$2:$AH$1001,0),MATCH(COLUMNS($AO$1006:BI1006),$AO$1006:$BQ$1006,0)), HYPERLINK("#",""), HYPERLINK(CONCATENATE("#Metadata!", ADDRESS(INDEX($AJ$2:$AJ$1001,MATCH(ROWS($AH$2:AH197),$AH$2:$AH$1001,0),0), INDEX($AO$1004:$BQ$1004,1,MATCH(COLUMNS($AO$1006:BI1006),$AO$1006:$BQ$1006,0)))),"Fix")))</f>
        <v>#N/A</v>
      </c>
      <c r="W197" s="5" t="e">
        <f ca="1">IF(OR(INDEX($AI$2:$AI$1001,MATCH(ROWS($AH$2:AH197),$AH$2:$AH$1001,0),1)&gt;=100000,INDEX($AO$1005:$BQ$1005,1,MATCH(COLUMNS($AO$1006:BJ1006),$AO$1006:$BQ$1006,0))&gt;=100000), " ",IF(INDEX($AO$2:$BQ$1001,MATCH(ROWS($AH$2:AH197),$AH$2:$AH$1001,0),MATCH(COLUMNS($AO$1006:BJ1006),$AO$1006:$BQ$1006,0)), HYPERLINK("#",""), HYPERLINK(CONCATENATE("#Metadata!", ADDRESS(INDEX($AJ$2:$AJ$1001,MATCH(ROWS($AH$2:AH197),$AH$2:$AH$1001,0),0), INDEX($AO$1004:$BQ$1004,1,MATCH(COLUMNS($AO$1006:BJ1006),$AO$1006:$BQ$1006,0)))),"Fix")))</f>
        <v>#N/A</v>
      </c>
      <c r="X197" s="5" t="e">
        <f ca="1">IF(OR(INDEX($AI$2:$AI$1001,MATCH(ROWS($AH$2:AH197),$AH$2:$AH$1001,0),1)&gt;=100000,INDEX($AO$1005:$BQ$1005,1,MATCH(COLUMNS($AO$1006:BK1006),$AO$1006:$BQ$1006,0))&gt;=100000), " ",IF(INDEX($AO$2:$BQ$1001,MATCH(ROWS($AH$2:AH197),$AH$2:$AH$1001,0),MATCH(COLUMNS($AO$1006:BK1006),$AO$1006:$BQ$1006,0)), HYPERLINK("#",""), HYPERLINK(CONCATENATE("#Metadata!", ADDRESS(INDEX($AJ$2:$AJ$1001,MATCH(ROWS($AH$2:AH197),$AH$2:$AH$1001,0),0), INDEX($AO$1004:$BQ$1004,1,MATCH(COLUMNS($AO$1006:BK1006),$AO$1006:$BQ$1006,0)))),"Fix")))</f>
        <v>#N/A</v>
      </c>
      <c r="Y197" s="5" t="e">
        <f ca="1">IF(OR(INDEX($AI$2:$AI$1001,MATCH(ROWS($AH$2:AH197),$AH$2:$AH$1001,0),1)&gt;=100000,INDEX($AO$1005:$BQ$1005,1,MATCH(COLUMNS($AO$1006:BL1006),$AO$1006:$BQ$1006,0))&gt;=100000), " ",IF(INDEX($AO$2:$BQ$1001,MATCH(ROWS($AH$2:AH197),$AH$2:$AH$1001,0),MATCH(COLUMNS($AO$1006:BL1006),$AO$1006:$BQ$1006,0)), HYPERLINK("#",""), HYPERLINK(CONCATENATE("#Metadata!", ADDRESS(INDEX($AJ$2:$AJ$1001,MATCH(ROWS($AH$2:AH197),$AH$2:$AH$1001,0),0), INDEX($AO$1004:$BQ$1004,1,MATCH(COLUMNS($AO$1006:BL1006),$AO$1006:$BQ$1006,0)))),"Fix")))</f>
        <v>#N/A</v>
      </c>
      <c r="Z197" s="5" t="e">
        <f ca="1">IF(OR(INDEX($AI$2:$AI$1001,MATCH(ROWS($AH$2:AH197),$AH$2:$AH$1001,0),1)&gt;=100000,INDEX($AO$1005:$BQ$1005,1,MATCH(COLUMNS($AO$1006:BM1006),$AO$1006:$BQ$1006,0))&gt;=100000), " ",IF(INDEX($AO$2:$BQ$1001,MATCH(ROWS($AH$2:AH197),$AH$2:$AH$1001,0),MATCH(COLUMNS($AO$1006:BM1006),$AO$1006:$BQ$1006,0)), HYPERLINK("#",""), HYPERLINK(CONCATENATE("#Metadata!", ADDRESS(INDEX($AJ$2:$AJ$1001,MATCH(ROWS($AH$2:AH197),$AH$2:$AH$1001,0),0), INDEX($AO$1004:$BQ$1004,1,MATCH(COLUMNS($AO$1006:BM1006),$AO$1006:$BQ$1006,0)))),"Fix")))</f>
        <v>#N/A</v>
      </c>
      <c r="AA197" s="5" t="e">
        <f ca="1">IF(OR(INDEX($AI$2:$AI$1001,MATCH(ROWS($AH$2:AH197),$AH$2:$AH$1001,0),1)&gt;=100000,INDEX($AO$1005:$BQ$1005,1,MATCH(COLUMNS($AO$1006:BN1006),$AO$1006:$BQ$1006,0))&gt;=100000), " ",IF(INDEX($AO$2:$BQ$1001,MATCH(ROWS($AH$2:AH197),$AH$2:$AH$1001,0),MATCH(COLUMNS($AO$1006:BN1006),$AO$1006:$BQ$1006,0)), HYPERLINK("#",""), HYPERLINK(CONCATENATE("#Metadata!", ADDRESS(INDEX($AJ$2:$AJ$1001,MATCH(ROWS($AH$2:AH197),$AH$2:$AH$1001,0),0), INDEX($AO$1004:$BQ$1004,1,MATCH(COLUMNS($AO$1006:BN1006),$AO$1006:$BQ$1006,0)))),"Fix")))</f>
        <v>#N/A</v>
      </c>
      <c r="AB197" s="5" t="e">
        <f ca="1">IF(OR(INDEX($AI$2:$AI$1001,MATCH(ROWS($AH$2:AH197),$AH$2:$AH$1001,0),1)&gt;=100000,INDEX($AO$1005:$BQ$1005,1,MATCH(COLUMNS($AO$1006:BO1006),$AO$1006:$BQ$1006,0))&gt;=100000), " ",IF(INDEX($AO$2:$BQ$1001,MATCH(ROWS($AH$2:AH197),$AH$2:$AH$1001,0),MATCH(COLUMNS($AO$1006:BO1006),$AO$1006:$BQ$1006,0)), HYPERLINK("#",""), HYPERLINK(CONCATENATE("#Metadata!", ADDRESS(INDEX($AJ$2:$AJ$1001,MATCH(ROWS($AH$2:AH197),$AH$2:$AH$1001,0),0), INDEX($AO$1004:$BQ$1004,1,MATCH(COLUMNS($AO$1006:BO1006),$AO$1006:$BQ$1006,0)))),"Fix")))</f>
        <v>#N/A</v>
      </c>
      <c r="AC197" s="5" t="e">
        <f ca="1">IF(OR(INDEX($AI$2:$AI$1001,MATCH(ROWS($AH$2:AH197),$AH$2:$AH$1001,0),1)&gt;=100000,INDEX($AO$1005:$BQ$1005,1,MATCH(COLUMNS($AO$1006:BP1006),$AO$1006:$BQ$1006,0))&gt;=100000), " ",IF(INDEX($AO$2:$BQ$1001,MATCH(ROWS($AH$2:AH197),$AH$2:$AH$1001,0),MATCH(COLUMNS($AO$1006:BP1006),$AO$1006:$BQ$1006,0)), HYPERLINK("#",""), HYPERLINK(CONCATENATE("#Metadata!", ADDRESS(INDEX($AJ$2:$AJ$1001,MATCH(ROWS($AH$2:AH197),$AH$2:$AH$1001,0),0), INDEX($AO$1004:$BQ$1004,1,MATCH(COLUMNS($AO$1006:BP1006),$AO$1006:$BQ$1006,0)))),"Fix")))</f>
        <v>#N/A</v>
      </c>
      <c r="AD197" s="5" t="e">
        <f ca="1">IF(OR(INDEX($AI$2:$AI$1001,MATCH(ROWS($AH$2:AH197),$AH$2:$AH$1001,0),1)&gt;=100000,INDEX($AO$1005:$BQ$1005,1,MATCH(COLUMNS($AO$1006:BQ1006),$AO$1006:$BQ$1006,0))&gt;=100000), " ",IF(INDEX($AO$2:$BQ$1001,MATCH(ROWS($AH$2:AH197),$AH$2:$AH$1001,0),MATCH(COLUMNS($AO$1006:BQ1006),$AO$1006:$BQ$1006,0)), HYPERLINK("#",""), HYPERLINK(CONCATENATE("#Metadata!", ADDRESS(INDEX($AJ$2:$AJ$1001,MATCH(ROWS($AH$2:AH197),$AH$2:$AH$1001,0),0), INDEX($AO$1004:$BQ$1004,1,MATCH(COLUMNS($AO$1006:BQ1006),$AO$1006:$BQ$1006,0)))),"Fix")))</f>
        <v>#REF!</v>
      </c>
      <c r="AH197">
        <f ca="1"/>
        <v>194</v>
      </c>
      <c r="AI197">
        <v>100197</v>
      </c>
      <c r="AJ197">
        <v>197</v>
      </c>
      <c r="AK197" t="b">
        <f t="shared" si="3"/>
        <v>1</v>
      </c>
      <c r="AL197" t="b">
        <f>COUNTBLANK(Metadata!B197:AD197)=COLUMNS(Metadata!B197:AD197)</f>
        <v>1</v>
      </c>
      <c r="AM197" t="str">
        <v/>
      </c>
      <c r="AO197" t="b">
        <f ca="1">AND(IF(Metadata!B197="",FALSE,TRUE),COUNTIF(Metadata!B:B, Metadata!B197) = 1,NOT(ISERROR(SUMPRODUCT(SEARCH(MID(Metadata!B197,ROW(INDIRECT("1:"&amp;LEN(Metadata!B197))), 1),"0123456789abcdefghijklmnopqrstuvwxyzABCDEFGHIJKLMNOPQRSTUVWXYZ.")))))</f>
        <v>0</v>
      </c>
      <c r="AP197" t="b">
        <f>IF(Metadata!C197="",FALSE,TRUE)</f>
        <v>0</v>
      </c>
      <c r="AQ197" t="b">
        <f>IF(Metadata!D197="",FALSE,TRUE)</f>
        <v>0</v>
      </c>
      <c r="AR197" t="b">
        <f ca="1">OR(AND(IF(Metadata!E197="",FALSE,TRUE),OR(EXACT(Metadata!E197,"not collected"),EXACT(Metadata!E197,"not provided"),EXACT(Metadata!E197,"restricted access"))),AND(IF(Metadata!E197="",FALSE,TRUE),AND(AND(IFERROR(INT(LEFT(Metadata!E197,4))&gt;1900,FALSE),IFERROR(INT(LEFT(Metadata!E197,4))&lt;=YEAR(NOW()),FALSE)), OR(MID(Metadata!E197,5,1)="", AND(AND(MID(Metadata!E197,5,1)="-",IFERROR(INT(MID(Metadata!E197,6,1))&gt;=0,FALSE),IFERROR(INT(MID(Metadata!E197,6,1))&lt;=1,FALSE),NOT(MID(Metadata!E197,7,1)=""),IFERROR(INT(MID(Metadata!E197,6,2))&gt;=1,FALSE),IFERROR(INT(MID(Metadata!E197,6,2))&lt;=12,FALSE)), OR(MID(Metadata!E197,8,1)="", AND(AND(MID(Metadata!E197,8,1)="-",IFERROR(INT(MID(Metadata!E197,9,1))&gt;=0,FALSE),IFERROR(INT(MID(Metadata!E197,9,1))&lt;=3,FALSE),NOT(MID(Metadata!E197,10,1)=""),IFERROR(INT(MID(Metadata!E197,9,2))&gt;=1,FALSE),IFERROR(INT(MID(Metadata!E197,9,2))&lt;=31,FALSE)), OR(MID(Metadata!E197,11,1)="", AND(AND(MID(Metadata!E197,11,1)=" ",IFERROR(INT(MID(Metadata!E197,12,1))&gt;=0,FALSE),IFERROR(INT(MID(Metadata!E197,12,1))&lt;=2,FALSE),NOT(MID(Metadata!E197,13,1)=""),IFERROR(INT(MID(Metadata!E197,12,2))&gt;=0,FALSE),IFERROR(INT(MID(Metadata!E197,12,2))&lt;=23,FALSE)), OR(MID(Metadata!E197,14,1)="", AND(AND(MID(Metadata!E197,14,1)=":",IFERROR(INT(MID(Metadata!E197,15,1))&gt;=0,FALSE),IFERROR(INT(MID(Metadata!E197,15,1))&lt;=5,FALSE),NOT(MID(Metadata!E197,16,1)=""),IFERROR(INT(MID(Metadata!E197,15,2))&gt;=0,FALSE),IFERROR(INT(MID(Metadata!E197,15,2))&lt;=59,FALSE)), OR(MID(Metadata!E197,17,1)="", AND(AND(MID(Metadata!E197,17,1)=":",IFERROR(INT(MID(Metadata!E197,18,1))&gt;=0,FALSE),IFERROR(INT(MID(Metadata!E197,18,1))&lt;=5,FALSE),NOT(MID(Metadata!E197,19,1)=""),IFERROR(INT(MID(Metadata!E197,18,2))&gt;=0,FALSE),IFERROR(INT(MID(Metadata!E197,18,2))&lt;=59,FALSE)), LEN(Metadata!E197)&lt;=19)))))))))))))</f>
        <v>0</v>
      </c>
      <c r="AS197" t="b">
        <f>IF(Metadata!F197="",FALSE,TRUE)</f>
        <v>0</v>
      </c>
      <c r="AT197" t="b">
        <f>OR(AND(IF(Metadata!G197="",FALSE,TRUE),OR(EXACT(Metadata!G197,"not collected"),EXACT(Metadata!G197,"not provided"))),AND(IF(Metadata!G197="",FALSE,TRUE),OR(EXACT(Metadata!G197,"TRUE"),EXACT(Metadata!G197,"FALSE"))))</f>
        <v>0</v>
      </c>
      <c r="AU197" t="b">
        <f>OR(AND(IF(Metadata!H197="",FALSE,TRUE),OR(EXACT(Metadata!H197,"not collected"),EXACT(Metadata!H197,"not provided"),EXACT(Metadata!H197,"restricted access"))),AND(IF(Metadata!H197="",FALSE,ISNUMBER(VALUE(Metadata!H197))),Metadata!H197&gt;=-413))</f>
        <v>0</v>
      </c>
      <c r="AV197" t="b">
        <f>AND(IF(Metadata!I197="",FALSE,TRUE),EXACT(Metadata!I197,"meters"))</f>
        <v>0</v>
      </c>
      <c r="AW197" t="b">
        <f>AND(IF(Metadata!J197="",FALSE,TRUE),EXACT(Metadata!J197,"free-living"))</f>
        <v>0</v>
      </c>
      <c r="AX197" t="b">
        <f>AND(IF(Metadata!K197="",FALSE,TRUE),OR(EXACT(Metadata!K197,"saline"),EXACT(Metadata!K197,"non-saline")))</f>
        <v>0</v>
      </c>
      <c r="AY197" t="b">
        <f>AND(IF(Metadata!L197="",FALSE,TRUE),OR(EXACT(Metadata!L197,"sub-surface (non-saline)"),EXACT(Metadata!L197,"surface (non-saline)"),EXACT(Metadata!L197,"water (non-saline)"),EXACT(Metadata!L197,"soil (non-saline)"),EXACT(Metadata!L197,"aerosol (non-saline)"),EXACT(Metadata!L197,"sediment (non-saline)"),EXACT(Metadata!L197,"surface (saline)"),EXACT(Metadata!L197,"water (saline)"),EXACT(Metadata!L197,"hypersaline (saline)"),EXACT(Metadata!L197,"aerosol (saline)"),EXACT(Metadata!L197,"sediment (saline)")))</f>
        <v>0</v>
      </c>
      <c r="AZ197" t="b">
        <f>IF(Metadata!M197="",FALSE,TRUE)</f>
        <v>0</v>
      </c>
      <c r="BA197" t="b">
        <f>IF(Metadata!N197="",FALSE,TRUE)</f>
        <v>0</v>
      </c>
      <c r="BB197" t="b">
        <f>IF(Metadata!O197="",FALSE,TRUE)</f>
        <v>0</v>
      </c>
      <c r="BC197" t="b">
        <f>AND(IF(Metadata!P197="",FALSE,TRUE),OR(EXACT(Metadata!P197,"air"),EXACT(Metadata!P197,"microbial mat/biofilm"),EXACT(Metadata!P197,"misc environment"),EXACT(Metadata!P197,"sediment"),EXACT(Metadata!P197,"soil"),EXACT(Metadata!P197,"wastewater/sludge"),EXACT(Metadata!P197,"water")))</f>
        <v>0</v>
      </c>
      <c r="BD197" t="b">
        <f>IF(Metadata!Q197="",FALSE,TRUE)</f>
        <v>0</v>
      </c>
      <c r="BE197" t="b">
        <f>IF(Metadata!R197="",FALSE,TRUE)</f>
        <v>0</v>
      </c>
      <c r="BF197" t="b">
        <f>OR(AND(IF(Metadata!S197="",FALSE,TRUE),OR(EXACT(Metadata!S197,"not collected"),EXACT(Metadata!S197,"not provided"),EXACT(Metadata!S197,"restricted access"))),AND(IF(Metadata!S197="",FALSE,ISNUMBER(VALUE(Metadata!S197))),Metadata!S197&gt;=-90,Metadata!S197&lt;=90))</f>
        <v>0</v>
      </c>
      <c r="BG197" t="b">
        <f>AND(IF(Metadata!T197="",FALSE,TRUE),EXACT(Metadata!T197,"Decimal degrees"))</f>
        <v>0</v>
      </c>
      <c r="BH197" t="b">
        <f>OR(AND(IF(Metadata!U197="",FALSE,TRUE),OR(EXACT(Metadata!U197,"not applicable"),EXACT(Metadata!U197,"not collected"))),IF(Metadata!U197="",FALSE,TRUE))</f>
        <v>0</v>
      </c>
      <c r="BI197" t="b">
        <f>OR(AND(IF(Metadata!V197="",FALSE,TRUE),OR(EXACT(Metadata!V197,"not collected"),EXACT(Metadata!V197,"not provided"),EXACT(Metadata!V197,"restricted access"))),AND(IF(Metadata!V197="",FALSE,ISNUMBER(VALUE(Metadata!V197))),Metadata!V197&gt;=-180,Metadata!V197&lt;=180))</f>
        <v>0</v>
      </c>
      <c r="BJ197" t="b">
        <f>AND(IF(Metadata!W197="",FALSE,TRUE),EXACT(Metadata!W197,"Decimal degrees"))</f>
        <v>0</v>
      </c>
      <c r="BK197" t="b">
        <f>IF(Metadata!X197="",FALSE,TRUE)</f>
        <v>0</v>
      </c>
      <c r="BL197" t="b">
        <f>OR(AND(IF(Metadata!Y197="",FALSE,TRUE),OR(EXACT(Metadata!Y197,"not collected"),EXACT(Metadata!Y197,"not provided"),EXACT(Metadata!Y197,"restricted access"))),AND(IF(Metadata!Y197="",FALSE,TRUE),OR(EXACT(Metadata!Y197,"TRUE"),EXACT(Metadata!Y197,"FALSE"))))</f>
        <v>0</v>
      </c>
      <c r="BM197" t="b">
        <f>OR(AND(IF(Metadata!Z197="",FALSE,TRUE),EXACT(Metadata!Z197,"not applicable")),AND(IF(Metadata!Z197="",FALSE,TRUE),OR(EXACT(Metadata!Z197,"beer"),EXACT(Metadata!Z197,"cheese"),EXACT(Metadata!Z197,"fresh water"),EXACT(Metadata!Z197,"marine sediment"),EXACT(Metadata!Z197,"sea water"),EXACT(Metadata!Z197,"sediment"),EXACT(Metadata!Z197,"soil"),EXACT(Metadata!Z197,"waste water"))))</f>
        <v>0</v>
      </c>
      <c r="BN197" t="b">
        <f>AND(IF(Metadata!AA197="",FALSE,TRUE),EXACT(Metadata!AA197,"metagenome"))</f>
        <v>0</v>
      </c>
      <c r="BO197" t="b">
        <f>AND(IF(Metadata!AB197="",FALSE,TRUE),EXACT(Metadata!AB197,"256318"))</f>
        <v>0</v>
      </c>
      <c r="BP197" t="b">
        <f>IF(Metadata!AC197="",FALSE,TRUE)</f>
        <v>0</v>
      </c>
      <c r="BQ197" t="b">
        <f>IF(Metadata!AD197="",FALSE,TRUE)</f>
        <v>0</v>
      </c>
    </row>
    <row r="198" spans="1:69" x14ac:dyDescent="0.2">
      <c r="A198" s="4" t="e">
        <f ca="1">IF(B198=" "," ",HYPERLINK(CONCATENATE("#metadata!",ADDRESS(INDEX($AJ$2:$AJ$1001,MATCH(ROWS($AH$2:AH198),$AH$2:$AH$1001,0),0),2)),INDEX($AM$2:$AM$1001,MATCH(ROWS($AH$2:AH198),$AH$2:$AH$1001,0),0)))</f>
        <v>#N/A</v>
      </c>
      <c r="B198" s="5" t="e">
        <f ca="1">IF(OR(INDEX($AI$2:$AI$1001,MATCH(ROWS($AH$2:AH198),$AH$2:$AH$1001,0),1)&gt;=100000,INDEX($AO$1005:$BQ$1005,1,MATCH(COLUMNS($AO$1006:AO1006),$AO$1006:$BQ$1006,0))&gt;=100000), " ",IF(INDEX($AO$2:$BQ$1001,MATCH(ROWS($AH$2:AH198),$AH$2:$AH$1001,0),MATCH(COLUMNS($AO$1006:AO1006),$AO$1006:$BQ$1006,0)), HYPERLINK("#",""), HYPERLINK(CONCATENATE("#Metadata!", ADDRESS(INDEX($AJ$2:$AJ$1001,MATCH(ROWS($AH$2:AH198),$AH$2:$AH$1001,0),0), INDEX($AO$1004:$BQ$1004,1,MATCH(COLUMNS($AO$1006:AO1006),$AO$1006:$BQ$1006,0)))),"Fix")))</f>
        <v>#N/A</v>
      </c>
      <c r="C198" s="5" t="e">
        <f ca="1">IF(OR(INDEX($AI$2:$AI$1001,MATCH(ROWS($AH$2:AH198),$AH$2:$AH$1001,0),1)&gt;=100000,INDEX($AO$1005:$BQ$1005,1,MATCH(COLUMNS($AO$1006:AP1006),$AO$1006:$BQ$1006,0))&gt;=100000), " ",IF(INDEX($AO$2:$BQ$1001,MATCH(ROWS($AH$2:AH198),$AH$2:$AH$1001,0),MATCH(COLUMNS($AO$1006:AP1006),$AO$1006:$BQ$1006,0)), HYPERLINK("#",""), HYPERLINK(CONCATENATE("#Metadata!", ADDRESS(INDEX($AJ$2:$AJ$1001,MATCH(ROWS($AH$2:AH198),$AH$2:$AH$1001,0),0), INDEX($AO$1004:$BQ$1004,1,MATCH(COLUMNS($AO$1006:AP1006),$AO$1006:$BQ$1006,0)))),"Fix")))</f>
        <v>#N/A</v>
      </c>
      <c r="D198" s="5" t="e">
        <f ca="1">IF(OR(INDEX($AI$2:$AI$1001,MATCH(ROWS($AH$2:AH198),$AH$2:$AH$1001,0),1)&gt;=100000,INDEX($AO$1005:$BQ$1005,1,MATCH(COLUMNS($AO$1006:AQ1006),$AO$1006:$BQ$1006,0))&gt;=100000), " ",IF(INDEX($AO$2:$BQ$1001,MATCH(ROWS($AH$2:AH198),$AH$2:$AH$1001,0),MATCH(COLUMNS($AO$1006:AQ1006),$AO$1006:$BQ$1006,0)), HYPERLINK("#",""), HYPERLINK(CONCATENATE("#Metadata!", ADDRESS(INDEX($AJ$2:$AJ$1001,MATCH(ROWS($AH$2:AH198),$AH$2:$AH$1001,0),0), INDEX($AO$1004:$BQ$1004,1,MATCH(COLUMNS($AO$1006:AQ1006),$AO$1006:$BQ$1006,0)))),"Fix")))</f>
        <v>#N/A</v>
      </c>
      <c r="E198" s="5" t="e">
        <f ca="1">IF(OR(INDEX($AI$2:$AI$1001,MATCH(ROWS($AH$2:AH198),$AH$2:$AH$1001,0),1)&gt;=100000,INDEX($AO$1005:$BQ$1005,1,MATCH(COLUMNS($AO$1006:AR1006),$AO$1006:$BQ$1006,0))&gt;=100000), " ",IF(INDEX($AO$2:$BQ$1001,MATCH(ROWS($AH$2:AH198),$AH$2:$AH$1001,0),MATCH(COLUMNS($AO$1006:AR1006),$AO$1006:$BQ$1006,0)), HYPERLINK("#",""), HYPERLINK(CONCATENATE("#Metadata!", ADDRESS(INDEX($AJ$2:$AJ$1001,MATCH(ROWS($AH$2:AH198),$AH$2:$AH$1001,0),0), INDEX($AO$1004:$BQ$1004,1,MATCH(COLUMNS($AO$1006:AR1006),$AO$1006:$BQ$1006,0)))),"Fix")))</f>
        <v>#N/A</v>
      </c>
      <c r="F198" s="5" t="e">
        <f ca="1">IF(OR(INDEX($AI$2:$AI$1001,MATCH(ROWS($AH$2:AH198),$AH$2:$AH$1001,0),1)&gt;=100000,INDEX($AO$1005:$BQ$1005,1,MATCH(COLUMNS($AO$1006:AS1006),$AO$1006:$BQ$1006,0))&gt;=100000), " ",IF(INDEX($AO$2:$BQ$1001,MATCH(ROWS($AH$2:AH198),$AH$2:$AH$1001,0),MATCH(COLUMNS($AO$1006:AS1006),$AO$1006:$BQ$1006,0)), HYPERLINK("#",""), HYPERLINK(CONCATENATE("#Metadata!", ADDRESS(INDEX($AJ$2:$AJ$1001,MATCH(ROWS($AH$2:AH198),$AH$2:$AH$1001,0),0), INDEX($AO$1004:$BQ$1004,1,MATCH(COLUMNS($AO$1006:AS1006),$AO$1006:$BQ$1006,0)))),"Fix")))</f>
        <v>#N/A</v>
      </c>
      <c r="G198" s="5" t="e">
        <f ca="1">IF(OR(INDEX($AI$2:$AI$1001,MATCH(ROWS($AH$2:AH198),$AH$2:$AH$1001,0),1)&gt;=100000,INDEX($AO$1005:$BQ$1005,1,MATCH(COLUMNS($AO$1006:AT1006),$AO$1006:$BQ$1006,0))&gt;=100000), " ",IF(INDEX($AO$2:$BQ$1001,MATCH(ROWS($AH$2:AH198),$AH$2:$AH$1001,0),MATCH(COLUMNS($AO$1006:AT1006),$AO$1006:$BQ$1006,0)), HYPERLINK("#",""), HYPERLINK(CONCATENATE("#Metadata!", ADDRESS(INDEX($AJ$2:$AJ$1001,MATCH(ROWS($AH$2:AH198),$AH$2:$AH$1001,0),0), INDEX($AO$1004:$BQ$1004,1,MATCH(COLUMNS($AO$1006:AT1006),$AO$1006:$BQ$1006,0)))),"Fix")))</f>
        <v>#N/A</v>
      </c>
      <c r="H198" s="5" t="e">
        <f ca="1">IF(OR(INDEX($AI$2:$AI$1001,MATCH(ROWS($AH$2:AH198),$AH$2:$AH$1001,0),1)&gt;=100000,INDEX($AO$1005:$BQ$1005,1,MATCH(COLUMNS($AO$1006:AU1006),$AO$1006:$BQ$1006,0))&gt;=100000), " ",IF(INDEX($AO$2:$BQ$1001,MATCH(ROWS($AH$2:AH198),$AH$2:$AH$1001,0),MATCH(COLUMNS($AO$1006:AU1006),$AO$1006:$BQ$1006,0)), HYPERLINK("#",""), HYPERLINK(CONCATENATE("#Metadata!", ADDRESS(INDEX($AJ$2:$AJ$1001,MATCH(ROWS($AH$2:AH198),$AH$2:$AH$1001,0),0), INDEX($AO$1004:$BQ$1004,1,MATCH(COLUMNS($AO$1006:AU1006),$AO$1006:$BQ$1006,0)))),"Fix")))</f>
        <v>#N/A</v>
      </c>
      <c r="I198" s="5" t="e">
        <f ca="1">IF(OR(INDEX($AI$2:$AI$1001,MATCH(ROWS($AH$2:AH198),$AH$2:$AH$1001,0),1)&gt;=100000,INDEX($AO$1005:$BQ$1005,1,MATCH(COLUMNS($AO$1006:AV1006),$AO$1006:$BQ$1006,0))&gt;=100000), " ",IF(INDEX($AO$2:$BQ$1001,MATCH(ROWS($AH$2:AH198),$AH$2:$AH$1001,0),MATCH(COLUMNS($AO$1006:AV1006),$AO$1006:$BQ$1006,0)), HYPERLINK("#",""), HYPERLINK(CONCATENATE("#Metadata!", ADDRESS(INDEX($AJ$2:$AJ$1001,MATCH(ROWS($AH$2:AH198),$AH$2:$AH$1001,0),0), INDEX($AO$1004:$BQ$1004,1,MATCH(COLUMNS($AO$1006:AV1006),$AO$1006:$BQ$1006,0)))),"Fix")))</f>
        <v>#N/A</v>
      </c>
      <c r="J198" s="5" t="e">
        <f ca="1">IF(OR(INDEX($AI$2:$AI$1001,MATCH(ROWS($AH$2:AH198),$AH$2:$AH$1001,0),1)&gt;=100000,INDEX($AO$1005:$BQ$1005,1,MATCH(COLUMNS($AO$1006:AW1006),$AO$1006:$BQ$1006,0))&gt;=100000), " ",IF(INDEX($AO$2:$BQ$1001,MATCH(ROWS($AH$2:AH198),$AH$2:$AH$1001,0),MATCH(COLUMNS($AO$1006:AW1006),$AO$1006:$BQ$1006,0)), HYPERLINK("#",""), HYPERLINK(CONCATENATE("#Metadata!", ADDRESS(INDEX($AJ$2:$AJ$1001,MATCH(ROWS($AH$2:AH198),$AH$2:$AH$1001,0),0), INDEX($AO$1004:$BQ$1004,1,MATCH(COLUMNS($AO$1006:AW1006),$AO$1006:$BQ$1006,0)))),"Fix")))</f>
        <v>#N/A</v>
      </c>
      <c r="K198" s="5" t="e">
        <f ca="1">IF(OR(INDEX($AI$2:$AI$1001,MATCH(ROWS($AH$2:AH198),$AH$2:$AH$1001,0),1)&gt;=100000,INDEX($AO$1005:$BQ$1005,1,MATCH(COLUMNS($AO$1006:AX1006),$AO$1006:$BQ$1006,0))&gt;=100000), " ",IF(INDEX($AO$2:$BQ$1001,MATCH(ROWS($AH$2:AH198),$AH$2:$AH$1001,0),MATCH(COLUMNS($AO$1006:AX1006),$AO$1006:$BQ$1006,0)), HYPERLINK("#",""), HYPERLINK(CONCATENATE("#Metadata!", ADDRESS(INDEX($AJ$2:$AJ$1001,MATCH(ROWS($AH$2:AH198),$AH$2:$AH$1001,0),0), INDEX($AO$1004:$BQ$1004,1,MATCH(COLUMNS($AO$1006:AX1006),$AO$1006:$BQ$1006,0)))),"Fix")))</f>
        <v>#N/A</v>
      </c>
      <c r="L198" s="5" t="e">
        <f ca="1">IF(OR(INDEX($AI$2:$AI$1001,MATCH(ROWS($AH$2:AH198),$AH$2:$AH$1001,0),1)&gt;=100000,INDEX($AO$1005:$BQ$1005,1,MATCH(COLUMNS($AO$1006:AY1006),$AO$1006:$BQ$1006,0))&gt;=100000), " ",IF(INDEX($AO$2:$BQ$1001,MATCH(ROWS($AH$2:AH198),$AH$2:$AH$1001,0),MATCH(COLUMNS($AO$1006:AY1006),$AO$1006:$BQ$1006,0)), HYPERLINK("#",""), HYPERLINK(CONCATENATE("#Metadata!", ADDRESS(INDEX($AJ$2:$AJ$1001,MATCH(ROWS($AH$2:AH198),$AH$2:$AH$1001,0),0), INDEX($AO$1004:$BQ$1004,1,MATCH(COLUMNS($AO$1006:AY1006),$AO$1006:$BQ$1006,0)))),"Fix")))</f>
        <v>#N/A</v>
      </c>
      <c r="M198" s="5" t="e">
        <f ca="1">IF(OR(INDEX($AI$2:$AI$1001,MATCH(ROWS($AH$2:AH198),$AH$2:$AH$1001,0),1)&gt;=100000,INDEX($AO$1005:$BQ$1005,1,MATCH(COLUMNS($AO$1006:AZ1006),$AO$1006:$BQ$1006,0))&gt;=100000), " ",IF(INDEX($AO$2:$BQ$1001,MATCH(ROWS($AH$2:AH198),$AH$2:$AH$1001,0),MATCH(COLUMNS($AO$1006:AZ1006),$AO$1006:$BQ$1006,0)), HYPERLINK("#",""), HYPERLINK(CONCATENATE("#Metadata!", ADDRESS(INDEX($AJ$2:$AJ$1001,MATCH(ROWS($AH$2:AH198),$AH$2:$AH$1001,0),0), INDEX($AO$1004:$BQ$1004,1,MATCH(COLUMNS($AO$1006:AZ1006),$AO$1006:$BQ$1006,0)))),"Fix")))</f>
        <v>#N/A</v>
      </c>
      <c r="N198" s="5" t="e">
        <f ca="1">IF(OR(INDEX($AI$2:$AI$1001,MATCH(ROWS($AH$2:AH198),$AH$2:$AH$1001,0),1)&gt;=100000,INDEX($AO$1005:$BQ$1005,1,MATCH(COLUMNS($AO$1006:BA1006),$AO$1006:$BQ$1006,0))&gt;=100000), " ",IF(INDEX($AO$2:$BQ$1001,MATCH(ROWS($AH$2:AH198),$AH$2:$AH$1001,0),MATCH(COLUMNS($AO$1006:BA1006),$AO$1006:$BQ$1006,0)), HYPERLINK("#",""), HYPERLINK(CONCATENATE("#Metadata!", ADDRESS(INDEX($AJ$2:$AJ$1001,MATCH(ROWS($AH$2:AH198),$AH$2:$AH$1001,0),0), INDEX($AO$1004:$BQ$1004,1,MATCH(COLUMNS($AO$1006:BA1006),$AO$1006:$BQ$1006,0)))),"Fix")))</f>
        <v>#N/A</v>
      </c>
      <c r="O198" s="5" t="e">
        <f ca="1">IF(OR(INDEX($AI$2:$AI$1001,MATCH(ROWS($AH$2:AH198),$AH$2:$AH$1001,0),1)&gt;=100000,INDEX($AO$1005:$BQ$1005,1,MATCH(COLUMNS($AO$1006:BB1006),$AO$1006:$BQ$1006,0))&gt;=100000), " ",IF(INDEX($AO$2:$BQ$1001,MATCH(ROWS($AH$2:AH198),$AH$2:$AH$1001,0),MATCH(COLUMNS($AO$1006:BB1006),$AO$1006:$BQ$1006,0)), HYPERLINK("#",""), HYPERLINK(CONCATENATE("#Metadata!", ADDRESS(INDEX($AJ$2:$AJ$1001,MATCH(ROWS($AH$2:AH198),$AH$2:$AH$1001,0),0), INDEX($AO$1004:$BQ$1004,1,MATCH(COLUMNS($AO$1006:BB1006),$AO$1006:$BQ$1006,0)))),"Fix")))</f>
        <v>#N/A</v>
      </c>
      <c r="P198" s="5" t="e">
        <f ca="1">IF(OR(INDEX($AI$2:$AI$1001,MATCH(ROWS($AH$2:AH198),$AH$2:$AH$1001,0),1)&gt;=100000,INDEX($AO$1005:$BQ$1005,1,MATCH(COLUMNS($AO$1006:BC1006),$AO$1006:$BQ$1006,0))&gt;=100000), " ",IF(INDEX($AO$2:$BQ$1001,MATCH(ROWS($AH$2:AH198),$AH$2:$AH$1001,0),MATCH(COLUMNS($AO$1006:BC1006),$AO$1006:$BQ$1006,0)), HYPERLINK("#",""), HYPERLINK(CONCATENATE("#Metadata!", ADDRESS(INDEX($AJ$2:$AJ$1001,MATCH(ROWS($AH$2:AH198),$AH$2:$AH$1001,0),0), INDEX($AO$1004:$BQ$1004,1,MATCH(COLUMNS($AO$1006:BC1006),$AO$1006:$BQ$1006,0)))),"Fix")))</f>
        <v>#N/A</v>
      </c>
      <c r="Q198" s="5" t="e">
        <f ca="1">IF(OR(INDEX($AI$2:$AI$1001,MATCH(ROWS($AH$2:AH198),$AH$2:$AH$1001,0),1)&gt;=100000,INDEX($AO$1005:$BQ$1005,1,MATCH(COLUMNS($AO$1006:BD1006),$AO$1006:$BQ$1006,0))&gt;=100000), " ",IF(INDEX($AO$2:$BQ$1001,MATCH(ROWS($AH$2:AH198),$AH$2:$AH$1001,0),MATCH(COLUMNS($AO$1006:BD1006),$AO$1006:$BQ$1006,0)), HYPERLINK("#",""), HYPERLINK(CONCATENATE("#Metadata!", ADDRESS(INDEX($AJ$2:$AJ$1001,MATCH(ROWS($AH$2:AH198),$AH$2:$AH$1001,0),0), INDEX($AO$1004:$BQ$1004,1,MATCH(COLUMNS($AO$1006:BD1006),$AO$1006:$BQ$1006,0)))),"Fix")))</f>
        <v>#N/A</v>
      </c>
      <c r="R198" s="5" t="e">
        <f ca="1">IF(OR(INDEX($AI$2:$AI$1001,MATCH(ROWS($AH$2:AH198),$AH$2:$AH$1001,0),1)&gt;=100000,INDEX($AO$1005:$BQ$1005,1,MATCH(COLUMNS($AO$1006:BE1006),$AO$1006:$BQ$1006,0))&gt;=100000), " ",IF(INDEX($AO$2:$BQ$1001,MATCH(ROWS($AH$2:AH198),$AH$2:$AH$1001,0),MATCH(COLUMNS($AO$1006:BE1006),$AO$1006:$BQ$1006,0)), HYPERLINK("#",""), HYPERLINK(CONCATENATE("#Metadata!", ADDRESS(INDEX($AJ$2:$AJ$1001,MATCH(ROWS($AH$2:AH198),$AH$2:$AH$1001,0),0), INDEX($AO$1004:$BQ$1004,1,MATCH(COLUMNS($AO$1006:BE1006),$AO$1006:$BQ$1006,0)))),"Fix")))</f>
        <v>#N/A</v>
      </c>
      <c r="S198" s="5" t="e">
        <f ca="1">IF(OR(INDEX($AI$2:$AI$1001,MATCH(ROWS($AH$2:AH198),$AH$2:$AH$1001,0),1)&gt;=100000,INDEX($AO$1005:$BQ$1005,1,MATCH(COLUMNS($AO$1006:BF1006),$AO$1006:$BQ$1006,0))&gt;=100000), " ",IF(INDEX($AO$2:$BQ$1001,MATCH(ROWS($AH$2:AH198),$AH$2:$AH$1001,0),MATCH(COLUMNS($AO$1006:BF1006),$AO$1006:$BQ$1006,0)), HYPERLINK("#",""), HYPERLINK(CONCATENATE("#Metadata!", ADDRESS(INDEX($AJ$2:$AJ$1001,MATCH(ROWS($AH$2:AH198),$AH$2:$AH$1001,0),0), INDEX($AO$1004:$BQ$1004,1,MATCH(COLUMNS($AO$1006:BF1006),$AO$1006:$BQ$1006,0)))),"Fix")))</f>
        <v>#N/A</v>
      </c>
      <c r="T198" s="5" t="e">
        <f ca="1">IF(OR(INDEX($AI$2:$AI$1001,MATCH(ROWS($AH$2:AH198),$AH$2:$AH$1001,0),1)&gt;=100000,INDEX($AO$1005:$BQ$1005,1,MATCH(COLUMNS($AO$1006:BG1006),$AO$1006:$BQ$1006,0))&gt;=100000), " ",IF(INDEX($AO$2:$BQ$1001,MATCH(ROWS($AH$2:AH198),$AH$2:$AH$1001,0),MATCH(COLUMNS($AO$1006:BG1006),$AO$1006:$BQ$1006,0)), HYPERLINK("#",""), HYPERLINK(CONCATENATE("#Metadata!", ADDRESS(INDEX($AJ$2:$AJ$1001,MATCH(ROWS($AH$2:AH198),$AH$2:$AH$1001,0),0), INDEX($AO$1004:$BQ$1004,1,MATCH(COLUMNS($AO$1006:BG1006),$AO$1006:$BQ$1006,0)))),"Fix")))</f>
        <v>#N/A</v>
      </c>
      <c r="U198" s="5" t="e">
        <f ca="1">IF(OR(INDEX($AI$2:$AI$1001,MATCH(ROWS($AH$2:AH198),$AH$2:$AH$1001,0),1)&gt;=100000,INDEX($AO$1005:$BQ$1005,1,MATCH(COLUMNS($AO$1006:BH1006),$AO$1006:$BQ$1006,0))&gt;=100000), " ",IF(INDEX($AO$2:$BQ$1001,MATCH(ROWS($AH$2:AH198),$AH$2:$AH$1001,0),MATCH(COLUMNS($AO$1006:BH1006),$AO$1006:$BQ$1006,0)), HYPERLINK("#",""), HYPERLINK(CONCATENATE("#Metadata!", ADDRESS(INDEX($AJ$2:$AJ$1001,MATCH(ROWS($AH$2:AH198),$AH$2:$AH$1001,0),0), INDEX($AO$1004:$BQ$1004,1,MATCH(COLUMNS($AO$1006:BH1006),$AO$1006:$BQ$1006,0)))),"Fix")))</f>
        <v>#N/A</v>
      </c>
      <c r="V198" s="5" t="e">
        <f ca="1">IF(OR(INDEX($AI$2:$AI$1001,MATCH(ROWS($AH$2:AH198),$AH$2:$AH$1001,0),1)&gt;=100000,INDEX($AO$1005:$BQ$1005,1,MATCH(COLUMNS($AO$1006:BI1006),$AO$1006:$BQ$1006,0))&gt;=100000), " ",IF(INDEX($AO$2:$BQ$1001,MATCH(ROWS($AH$2:AH198),$AH$2:$AH$1001,0),MATCH(COLUMNS($AO$1006:BI1006),$AO$1006:$BQ$1006,0)), HYPERLINK("#",""), HYPERLINK(CONCATENATE("#Metadata!", ADDRESS(INDEX($AJ$2:$AJ$1001,MATCH(ROWS($AH$2:AH198),$AH$2:$AH$1001,0),0), INDEX($AO$1004:$BQ$1004,1,MATCH(COLUMNS($AO$1006:BI1006),$AO$1006:$BQ$1006,0)))),"Fix")))</f>
        <v>#N/A</v>
      </c>
      <c r="W198" s="5" t="e">
        <f ca="1">IF(OR(INDEX($AI$2:$AI$1001,MATCH(ROWS($AH$2:AH198),$AH$2:$AH$1001,0),1)&gt;=100000,INDEX($AO$1005:$BQ$1005,1,MATCH(COLUMNS($AO$1006:BJ1006),$AO$1006:$BQ$1006,0))&gt;=100000), " ",IF(INDEX($AO$2:$BQ$1001,MATCH(ROWS($AH$2:AH198),$AH$2:$AH$1001,0),MATCH(COLUMNS($AO$1006:BJ1006),$AO$1006:$BQ$1006,0)), HYPERLINK("#",""), HYPERLINK(CONCATENATE("#Metadata!", ADDRESS(INDEX($AJ$2:$AJ$1001,MATCH(ROWS($AH$2:AH198),$AH$2:$AH$1001,0),0), INDEX($AO$1004:$BQ$1004,1,MATCH(COLUMNS($AO$1006:BJ1006),$AO$1006:$BQ$1006,0)))),"Fix")))</f>
        <v>#N/A</v>
      </c>
      <c r="X198" s="5" t="e">
        <f ca="1">IF(OR(INDEX($AI$2:$AI$1001,MATCH(ROWS($AH$2:AH198),$AH$2:$AH$1001,0),1)&gt;=100000,INDEX($AO$1005:$BQ$1005,1,MATCH(COLUMNS($AO$1006:BK1006),$AO$1006:$BQ$1006,0))&gt;=100000), " ",IF(INDEX($AO$2:$BQ$1001,MATCH(ROWS($AH$2:AH198),$AH$2:$AH$1001,0),MATCH(COLUMNS($AO$1006:BK1006),$AO$1006:$BQ$1006,0)), HYPERLINK("#",""), HYPERLINK(CONCATENATE("#Metadata!", ADDRESS(INDEX($AJ$2:$AJ$1001,MATCH(ROWS($AH$2:AH198),$AH$2:$AH$1001,0),0), INDEX($AO$1004:$BQ$1004,1,MATCH(COLUMNS($AO$1006:BK1006),$AO$1006:$BQ$1006,0)))),"Fix")))</f>
        <v>#N/A</v>
      </c>
      <c r="Y198" s="5" t="e">
        <f ca="1">IF(OR(INDEX($AI$2:$AI$1001,MATCH(ROWS($AH$2:AH198),$AH$2:$AH$1001,0),1)&gt;=100000,INDEX($AO$1005:$BQ$1005,1,MATCH(COLUMNS($AO$1006:BL1006),$AO$1006:$BQ$1006,0))&gt;=100000), " ",IF(INDEX($AO$2:$BQ$1001,MATCH(ROWS($AH$2:AH198),$AH$2:$AH$1001,0),MATCH(COLUMNS($AO$1006:BL1006),$AO$1006:$BQ$1006,0)), HYPERLINK("#",""), HYPERLINK(CONCATENATE("#Metadata!", ADDRESS(INDEX($AJ$2:$AJ$1001,MATCH(ROWS($AH$2:AH198),$AH$2:$AH$1001,0),0), INDEX($AO$1004:$BQ$1004,1,MATCH(COLUMNS($AO$1006:BL1006),$AO$1006:$BQ$1006,0)))),"Fix")))</f>
        <v>#N/A</v>
      </c>
      <c r="Z198" s="5" t="e">
        <f ca="1">IF(OR(INDEX($AI$2:$AI$1001,MATCH(ROWS($AH$2:AH198),$AH$2:$AH$1001,0),1)&gt;=100000,INDEX($AO$1005:$BQ$1005,1,MATCH(COLUMNS($AO$1006:BM1006),$AO$1006:$BQ$1006,0))&gt;=100000), " ",IF(INDEX($AO$2:$BQ$1001,MATCH(ROWS($AH$2:AH198),$AH$2:$AH$1001,0),MATCH(COLUMNS($AO$1006:BM1006),$AO$1006:$BQ$1006,0)), HYPERLINK("#",""), HYPERLINK(CONCATENATE("#Metadata!", ADDRESS(INDEX($AJ$2:$AJ$1001,MATCH(ROWS($AH$2:AH198),$AH$2:$AH$1001,0),0), INDEX($AO$1004:$BQ$1004,1,MATCH(COLUMNS($AO$1006:BM1006),$AO$1006:$BQ$1006,0)))),"Fix")))</f>
        <v>#N/A</v>
      </c>
      <c r="AA198" s="5" t="e">
        <f ca="1">IF(OR(INDEX($AI$2:$AI$1001,MATCH(ROWS($AH$2:AH198),$AH$2:$AH$1001,0),1)&gt;=100000,INDEX($AO$1005:$BQ$1005,1,MATCH(COLUMNS($AO$1006:BN1006),$AO$1006:$BQ$1006,0))&gt;=100000), " ",IF(INDEX($AO$2:$BQ$1001,MATCH(ROWS($AH$2:AH198),$AH$2:$AH$1001,0),MATCH(COLUMNS($AO$1006:BN1006),$AO$1006:$BQ$1006,0)), HYPERLINK("#",""), HYPERLINK(CONCATENATE("#Metadata!", ADDRESS(INDEX($AJ$2:$AJ$1001,MATCH(ROWS($AH$2:AH198),$AH$2:$AH$1001,0),0), INDEX($AO$1004:$BQ$1004,1,MATCH(COLUMNS($AO$1006:BN1006),$AO$1006:$BQ$1006,0)))),"Fix")))</f>
        <v>#N/A</v>
      </c>
      <c r="AB198" s="5" t="e">
        <f ca="1">IF(OR(INDEX($AI$2:$AI$1001,MATCH(ROWS($AH$2:AH198),$AH$2:$AH$1001,0),1)&gt;=100000,INDEX($AO$1005:$BQ$1005,1,MATCH(COLUMNS($AO$1006:BO1006),$AO$1006:$BQ$1006,0))&gt;=100000), " ",IF(INDEX($AO$2:$BQ$1001,MATCH(ROWS($AH$2:AH198),$AH$2:$AH$1001,0),MATCH(COLUMNS($AO$1006:BO1006),$AO$1006:$BQ$1006,0)), HYPERLINK("#",""), HYPERLINK(CONCATENATE("#Metadata!", ADDRESS(INDEX($AJ$2:$AJ$1001,MATCH(ROWS($AH$2:AH198),$AH$2:$AH$1001,0),0), INDEX($AO$1004:$BQ$1004,1,MATCH(COLUMNS($AO$1006:BO1006),$AO$1006:$BQ$1006,0)))),"Fix")))</f>
        <v>#N/A</v>
      </c>
      <c r="AC198" s="5" t="e">
        <f ca="1">IF(OR(INDEX($AI$2:$AI$1001,MATCH(ROWS($AH$2:AH198),$AH$2:$AH$1001,0),1)&gt;=100000,INDEX($AO$1005:$BQ$1005,1,MATCH(COLUMNS($AO$1006:BP1006),$AO$1006:$BQ$1006,0))&gt;=100000), " ",IF(INDEX($AO$2:$BQ$1001,MATCH(ROWS($AH$2:AH198),$AH$2:$AH$1001,0),MATCH(COLUMNS($AO$1006:BP1006),$AO$1006:$BQ$1006,0)), HYPERLINK("#",""), HYPERLINK(CONCATENATE("#Metadata!", ADDRESS(INDEX($AJ$2:$AJ$1001,MATCH(ROWS($AH$2:AH198),$AH$2:$AH$1001,0),0), INDEX($AO$1004:$BQ$1004,1,MATCH(COLUMNS($AO$1006:BP1006),$AO$1006:$BQ$1006,0)))),"Fix")))</f>
        <v>#N/A</v>
      </c>
      <c r="AD198" s="5" t="e">
        <f ca="1">IF(OR(INDEX($AI$2:$AI$1001,MATCH(ROWS($AH$2:AH198),$AH$2:$AH$1001,0),1)&gt;=100000,INDEX($AO$1005:$BQ$1005,1,MATCH(COLUMNS($AO$1006:BQ1006),$AO$1006:$BQ$1006,0))&gt;=100000), " ",IF(INDEX($AO$2:$BQ$1001,MATCH(ROWS($AH$2:AH198),$AH$2:$AH$1001,0),MATCH(COLUMNS($AO$1006:BQ1006),$AO$1006:$BQ$1006,0)), HYPERLINK("#",""), HYPERLINK(CONCATENATE("#Metadata!", ADDRESS(INDEX($AJ$2:$AJ$1001,MATCH(ROWS($AH$2:AH198),$AH$2:$AH$1001,0),0), INDEX($AO$1004:$BQ$1004,1,MATCH(COLUMNS($AO$1006:BQ1006),$AO$1006:$BQ$1006,0)))),"Fix")))</f>
        <v>#REF!</v>
      </c>
      <c r="AH198">
        <f ca="1"/>
        <v>195</v>
      </c>
      <c r="AI198">
        <v>100198</v>
      </c>
      <c r="AJ198">
        <v>198</v>
      </c>
      <c r="AK198" t="b">
        <f t="shared" si="3"/>
        <v>1</v>
      </c>
      <c r="AL198" t="b">
        <f>COUNTBLANK(Metadata!B198:AD198)=COLUMNS(Metadata!B198:AD198)</f>
        <v>1</v>
      </c>
      <c r="AM198" t="str">
        <v/>
      </c>
      <c r="AO198" t="b">
        <f ca="1">AND(IF(Metadata!B198="",FALSE,TRUE),COUNTIF(Metadata!B:B, Metadata!B198) = 1,NOT(ISERROR(SUMPRODUCT(SEARCH(MID(Metadata!B198,ROW(INDIRECT("1:"&amp;LEN(Metadata!B198))), 1),"0123456789abcdefghijklmnopqrstuvwxyzABCDEFGHIJKLMNOPQRSTUVWXYZ.")))))</f>
        <v>0</v>
      </c>
      <c r="AP198" t="b">
        <f>IF(Metadata!C198="",FALSE,TRUE)</f>
        <v>0</v>
      </c>
      <c r="AQ198" t="b">
        <f>IF(Metadata!D198="",FALSE,TRUE)</f>
        <v>0</v>
      </c>
      <c r="AR198" t="b">
        <f ca="1">OR(AND(IF(Metadata!E198="",FALSE,TRUE),OR(EXACT(Metadata!E198,"not collected"),EXACT(Metadata!E198,"not provided"),EXACT(Metadata!E198,"restricted access"))),AND(IF(Metadata!E198="",FALSE,TRUE),AND(AND(IFERROR(INT(LEFT(Metadata!E198,4))&gt;1900,FALSE),IFERROR(INT(LEFT(Metadata!E198,4))&lt;=YEAR(NOW()),FALSE)), OR(MID(Metadata!E198,5,1)="", AND(AND(MID(Metadata!E198,5,1)="-",IFERROR(INT(MID(Metadata!E198,6,1))&gt;=0,FALSE),IFERROR(INT(MID(Metadata!E198,6,1))&lt;=1,FALSE),NOT(MID(Metadata!E198,7,1)=""),IFERROR(INT(MID(Metadata!E198,6,2))&gt;=1,FALSE),IFERROR(INT(MID(Metadata!E198,6,2))&lt;=12,FALSE)), OR(MID(Metadata!E198,8,1)="", AND(AND(MID(Metadata!E198,8,1)="-",IFERROR(INT(MID(Metadata!E198,9,1))&gt;=0,FALSE),IFERROR(INT(MID(Metadata!E198,9,1))&lt;=3,FALSE),NOT(MID(Metadata!E198,10,1)=""),IFERROR(INT(MID(Metadata!E198,9,2))&gt;=1,FALSE),IFERROR(INT(MID(Metadata!E198,9,2))&lt;=31,FALSE)), OR(MID(Metadata!E198,11,1)="", AND(AND(MID(Metadata!E198,11,1)=" ",IFERROR(INT(MID(Metadata!E198,12,1))&gt;=0,FALSE),IFERROR(INT(MID(Metadata!E198,12,1))&lt;=2,FALSE),NOT(MID(Metadata!E198,13,1)=""),IFERROR(INT(MID(Metadata!E198,12,2))&gt;=0,FALSE),IFERROR(INT(MID(Metadata!E198,12,2))&lt;=23,FALSE)), OR(MID(Metadata!E198,14,1)="", AND(AND(MID(Metadata!E198,14,1)=":",IFERROR(INT(MID(Metadata!E198,15,1))&gt;=0,FALSE),IFERROR(INT(MID(Metadata!E198,15,1))&lt;=5,FALSE),NOT(MID(Metadata!E198,16,1)=""),IFERROR(INT(MID(Metadata!E198,15,2))&gt;=0,FALSE),IFERROR(INT(MID(Metadata!E198,15,2))&lt;=59,FALSE)), OR(MID(Metadata!E198,17,1)="", AND(AND(MID(Metadata!E198,17,1)=":",IFERROR(INT(MID(Metadata!E198,18,1))&gt;=0,FALSE),IFERROR(INT(MID(Metadata!E198,18,1))&lt;=5,FALSE),NOT(MID(Metadata!E198,19,1)=""),IFERROR(INT(MID(Metadata!E198,18,2))&gt;=0,FALSE),IFERROR(INT(MID(Metadata!E198,18,2))&lt;=59,FALSE)), LEN(Metadata!E198)&lt;=19)))))))))))))</f>
        <v>0</v>
      </c>
      <c r="AS198" t="b">
        <f>IF(Metadata!F198="",FALSE,TRUE)</f>
        <v>0</v>
      </c>
      <c r="AT198" t="b">
        <f>OR(AND(IF(Metadata!G198="",FALSE,TRUE),OR(EXACT(Metadata!G198,"not collected"),EXACT(Metadata!G198,"not provided"))),AND(IF(Metadata!G198="",FALSE,TRUE),OR(EXACT(Metadata!G198,"TRUE"),EXACT(Metadata!G198,"FALSE"))))</f>
        <v>0</v>
      </c>
      <c r="AU198" t="b">
        <f>OR(AND(IF(Metadata!H198="",FALSE,TRUE),OR(EXACT(Metadata!H198,"not collected"),EXACT(Metadata!H198,"not provided"),EXACT(Metadata!H198,"restricted access"))),AND(IF(Metadata!H198="",FALSE,ISNUMBER(VALUE(Metadata!H198))),Metadata!H198&gt;=-413))</f>
        <v>0</v>
      </c>
      <c r="AV198" t="b">
        <f>AND(IF(Metadata!I198="",FALSE,TRUE),EXACT(Metadata!I198,"meters"))</f>
        <v>0</v>
      </c>
      <c r="AW198" t="b">
        <f>AND(IF(Metadata!J198="",FALSE,TRUE),EXACT(Metadata!J198,"free-living"))</f>
        <v>0</v>
      </c>
      <c r="AX198" t="b">
        <f>AND(IF(Metadata!K198="",FALSE,TRUE),OR(EXACT(Metadata!K198,"saline"),EXACT(Metadata!K198,"non-saline")))</f>
        <v>0</v>
      </c>
      <c r="AY198" t="b">
        <f>AND(IF(Metadata!L198="",FALSE,TRUE),OR(EXACT(Metadata!L198,"sub-surface (non-saline)"),EXACT(Metadata!L198,"surface (non-saline)"),EXACT(Metadata!L198,"water (non-saline)"),EXACT(Metadata!L198,"soil (non-saline)"),EXACT(Metadata!L198,"aerosol (non-saline)"),EXACT(Metadata!L198,"sediment (non-saline)"),EXACT(Metadata!L198,"surface (saline)"),EXACT(Metadata!L198,"water (saline)"),EXACT(Metadata!L198,"hypersaline (saline)"),EXACT(Metadata!L198,"aerosol (saline)"),EXACT(Metadata!L198,"sediment (saline)")))</f>
        <v>0</v>
      </c>
      <c r="AZ198" t="b">
        <f>IF(Metadata!M198="",FALSE,TRUE)</f>
        <v>0</v>
      </c>
      <c r="BA198" t="b">
        <f>IF(Metadata!N198="",FALSE,TRUE)</f>
        <v>0</v>
      </c>
      <c r="BB198" t="b">
        <f>IF(Metadata!O198="",FALSE,TRUE)</f>
        <v>0</v>
      </c>
      <c r="BC198" t="b">
        <f>AND(IF(Metadata!P198="",FALSE,TRUE),OR(EXACT(Metadata!P198,"air"),EXACT(Metadata!P198,"microbial mat/biofilm"),EXACT(Metadata!P198,"misc environment"),EXACT(Metadata!P198,"sediment"),EXACT(Metadata!P198,"soil"),EXACT(Metadata!P198,"wastewater/sludge"),EXACT(Metadata!P198,"water")))</f>
        <v>0</v>
      </c>
      <c r="BD198" t="b">
        <f>IF(Metadata!Q198="",FALSE,TRUE)</f>
        <v>0</v>
      </c>
      <c r="BE198" t="b">
        <f>IF(Metadata!R198="",FALSE,TRUE)</f>
        <v>0</v>
      </c>
      <c r="BF198" t="b">
        <f>OR(AND(IF(Metadata!S198="",FALSE,TRUE),OR(EXACT(Metadata!S198,"not collected"),EXACT(Metadata!S198,"not provided"),EXACT(Metadata!S198,"restricted access"))),AND(IF(Metadata!S198="",FALSE,ISNUMBER(VALUE(Metadata!S198))),Metadata!S198&gt;=-90,Metadata!S198&lt;=90))</f>
        <v>0</v>
      </c>
      <c r="BG198" t="b">
        <f>AND(IF(Metadata!T198="",FALSE,TRUE),EXACT(Metadata!T198,"Decimal degrees"))</f>
        <v>0</v>
      </c>
      <c r="BH198" t="b">
        <f>OR(AND(IF(Metadata!U198="",FALSE,TRUE),OR(EXACT(Metadata!U198,"not applicable"),EXACT(Metadata!U198,"not collected"))),IF(Metadata!U198="",FALSE,TRUE))</f>
        <v>0</v>
      </c>
      <c r="BI198" t="b">
        <f>OR(AND(IF(Metadata!V198="",FALSE,TRUE),OR(EXACT(Metadata!V198,"not collected"),EXACT(Metadata!V198,"not provided"),EXACT(Metadata!V198,"restricted access"))),AND(IF(Metadata!V198="",FALSE,ISNUMBER(VALUE(Metadata!V198))),Metadata!V198&gt;=-180,Metadata!V198&lt;=180))</f>
        <v>0</v>
      </c>
      <c r="BJ198" t="b">
        <f>AND(IF(Metadata!W198="",FALSE,TRUE),EXACT(Metadata!W198,"Decimal degrees"))</f>
        <v>0</v>
      </c>
      <c r="BK198" t="b">
        <f>IF(Metadata!X198="",FALSE,TRUE)</f>
        <v>0</v>
      </c>
      <c r="BL198" t="b">
        <f>OR(AND(IF(Metadata!Y198="",FALSE,TRUE),OR(EXACT(Metadata!Y198,"not collected"),EXACT(Metadata!Y198,"not provided"),EXACT(Metadata!Y198,"restricted access"))),AND(IF(Metadata!Y198="",FALSE,TRUE),OR(EXACT(Metadata!Y198,"TRUE"),EXACT(Metadata!Y198,"FALSE"))))</f>
        <v>0</v>
      </c>
      <c r="BM198" t="b">
        <f>OR(AND(IF(Metadata!Z198="",FALSE,TRUE),EXACT(Metadata!Z198,"not applicable")),AND(IF(Metadata!Z198="",FALSE,TRUE),OR(EXACT(Metadata!Z198,"beer"),EXACT(Metadata!Z198,"cheese"),EXACT(Metadata!Z198,"fresh water"),EXACT(Metadata!Z198,"marine sediment"),EXACT(Metadata!Z198,"sea water"),EXACT(Metadata!Z198,"sediment"),EXACT(Metadata!Z198,"soil"),EXACT(Metadata!Z198,"waste water"))))</f>
        <v>0</v>
      </c>
      <c r="BN198" t="b">
        <f>AND(IF(Metadata!AA198="",FALSE,TRUE),EXACT(Metadata!AA198,"metagenome"))</f>
        <v>0</v>
      </c>
      <c r="BO198" t="b">
        <f>AND(IF(Metadata!AB198="",FALSE,TRUE),EXACT(Metadata!AB198,"256318"))</f>
        <v>0</v>
      </c>
      <c r="BP198" t="b">
        <f>IF(Metadata!AC198="",FALSE,TRUE)</f>
        <v>0</v>
      </c>
      <c r="BQ198" t="b">
        <f>IF(Metadata!AD198="",FALSE,TRUE)</f>
        <v>0</v>
      </c>
    </row>
    <row r="199" spans="1:69" x14ac:dyDescent="0.2">
      <c r="A199" s="4" t="e">
        <f ca="1">IF(B199=" "," ",HYPERLINK(CONCATENATE("#metadata!",ADDRESS(INDEX($AJ$2:$AJ$1001,MATCH(ROWS($AH$2:AH199),$AH$2:$AH$1001,0),0),2)),INDEX($AM$2:$AM$1001,MATCH(ROWS($AH$2:AH199),$AH$2:$AH$1001,0),0)))</f>
        <v>#N/A</v>
      </c>
      <c r="B199" s="5" t="e">
        <f ca="1">IF(OR(INDEX($AI$2:$AI$1001,MATCH(ROWS($AH$2:AH199),$AH$2:$AH$1001,0),1)&gt;=100000,INDEX($AO$1005:$BQ$1005,1,MATCH(COLUMNS($AO$1006:AO1006),$AO$1006:$BQ$1006,0))&gt;=100000), " ",IF(INDEX($AO$2:$BQ$1001,MATCH(ROWS($AH$2:AH199),$AH$2:$AH$1001,0),MATCH(COLUMNS($AO$1006:AO1006),$AO$1006:$BQ$1006,0)), HYPERLINK("#",""), HYPERLINK(CONCATENATE("#Metadata!", ADDRESS(INDEX($AJ$2:$AJ$1001,MATCH(ROWS($AH$2:AH199),$AH$2:$AH$1001,0),0), INDEX($AO$1004:$BQ$1004,1,MATCH(COLUMNS($AO$1006:AO1006),$AO$1006:$BQ$1006,0)))),"Fix")))</f>
        <v>#N/A</v>
      </c>
      <c r="C199" s="5" t="e">
        <f ca="1">IF(OR(INDEX($AI$2:$AI$1001,MATCH(ROWS($AH$2:AH199),$AH$2:$AH$1001,0),1)&gt;=100000,INDEX($AO$1005:$BQ$1005,1,MATCH(COLUMNS($AO$1006:AP1006),$AO$1006:$BQ$1006,0))&gt;=100000), " ",IF(INDEX($AO$2:$BQ$1001,MATCH(ROWS($AH$2:AH199),$AH$2:$AH$1001,0),MATCH(COLUMNS($AO$1006:AP1006),$AO$1006:$BQ$1006,0)), HYPERLINK("#",""), HYPERLINK(CONCATENATE("#Metadata!", ADDRESS(INDEX($AJ$2:$AJ$1001,MATCH(ROWS($AH$2:AH199),$AH$2:$AH$1001,0),0), INDEX($AO$1004:$BQ$1004,1,MATCH(COLUMNS($AO$1006:AP1006),$AO$1006:$BQ$1006,0)))),"Fix")))</f>
        <v>#N/A</v>
      </c>
      <c r="D199" s="5" t="e">
        <f ca="1">IF(OR(INDEX($AI$2:$AI$1001,MATCH(ROWS($AH$2:AH199),$AH$2:$AH$1001,0),1)&gt;=100000,INDEX($AO$1005:$BQ$1005,1,MATCH(COLUMNS($AO$1006:AQ1006),$AO$1006:$BQ$1006,0))&gt;=100000), " ",IF(INDEX($AO$2:$BQ$1001,MATCH(ROWS($AH$2:AH199),$AH$2:$AH$1001,0),MATCH(COLUMNS($AO$1006:AQ1006),$AO$1006:$BQ$1006,0)), HYPERLINK("#",""), HYPERLINK(CONCATENATE("#Metadata!", ADDRESS(INDEX($AJ$2:$AJ$1001,MATCH(ROWS($AH$2:AH199),$AH$2:$AH$1001,0),0), INDEX($AO$1004:$BQ$1004,1,MATCH(COLUMNS($AO$1006:AQ1006),$AO$1006:$BQ$1006,0)))),"Fix")))</f>
        <v>#N/A</v>
      </c>
      <c r="E199" s="5" t="e">
        <f ca="1">IF(OR(INDEX($AI$2:$AI$1001,MATCH(ROWS($AH$2:AH199),$AH$2:$AH$1001,0),1)&gt;=100000,INDEX($AO$1005:$BQ$1005,1,MATCH(COLUMNS($AO$1006:AR1006),$AO$1006:$BQ$1006,0))&gt;=100000), " ",IF(INDEX($AO$2:$BQ$1001,MATCH(ROWS($AH$2:AH199),$AH$2:$AH$1001,0),MATCH(COLUMNS($AO$1006:AR1006),$AO$1006:$BQ$1006,0)), HYPERLINK("#",""), HYPERLINK(CONCATENATE("#Metadata!", ADDRESS(INDEX($AJ$2:$AJ$1001,MATCH(ROWS($AH$2:AH199),$AH$2:$AH$1001,0),0), INDEX($AO$1004:$BQ$1004,1,MATCH(COLUMNS($AO$1006:AR1006),$AO$1006:$BQ$1006,0)))),"Fix")))</f>
        <v>#N/A</v>
      </c>
      <c r="F199" s="5" t="e">
        <f ca="1">IF(OR(INDEX($AI$2:$AI$1001,MATCH(ROWS($AH$2:AH199),$AH$2:$AH$1001,0),1)&gt;=100000,INDEX($AO$1005:$BQ$1005,1,MATCH(COLUMNS($AO$1006:AS1006),$AO$1006:$BQ$1006,0))&gt;=100000), " ",IF(INDEX($AO$2:$BQ$1001,MATCH(ROWS($AH$2:AH199),$AH$2:$AH$1001,0),MATCH(COLUMNS($AO$1006:AS1006),$AO$1006:$BQ$1006,0)), HYPERLINK("#",""), HYPERLINK(CONCATENATE("#Metadata!", ADDRESS(INDEX($AJ$2:$AJ$1001,MATCH(ROWS($AH$2:AH199),$AH$2:$AH$1001,0),0), INDEX($AO$1004:$BQ$1004,1,MATCH(COLUMNS($AO$1006:AS1006),$AO$1006:$BQ$1006,0)))),"Fix")))</f>
        <v>#N/A</v>
      </c>
      <c r="G199" s="5" t="e">
        <f ca="1">IF(OR(INDEX($AI$2:$AI$1001,MATCH(ROWS($AH$2:AH199),$AH$2:$AH$1001,0),1)&gt;=100000,INDEX($AO$1005:$BQ$1005,1,MATCH(COLUMNS($AO$1006:AT1006),$AO$1006:$BQ$1006,0))&gt;=100000), " ",IF(INDEX($AO$2:$BQ$1001,MATCH(ROWS($AH$2:AH199),$AH$2:$AH$1001,0),MATCH(COLUMNS($AO$1006:AT1006),$AO$1006:$BQ$1006,0)), HYPERLINK("#",""), HYPERLINK(CONCATENATE("#Metadata!", ADDRESS(INDEX($AJ$2:$AJ$1001,MATCH(ROWS($AH$2:AH199),$AH$2:$AH$1001,0),0), INDEX($AO$1004:$BQ$1004,1,MATCH(COLUMNS($AO$1006:AT1006),$AO$1006:$BQ$1006,0)))),"Fix")))</f>
        <v>#N/A</v>
      </c>
      <c r="H199" s="5" t="e">
        <f ca="1">IF(OR(INDEX($AI$2:$AI$1001,MATCH(ROWS($AH$2:AH199),$AH$2:$AH$1001,0),1)&gt;=100000,INDEX($AO$1005:$BQ$1005,1,MATCH(COLUMNS($AO$1006:AU1006),$AO$1006:$BQ$1006,0))&gt;=100000), " ",IF(INDEX($AO$2:$BQ$1001,MATCH(ROWS($AH$2:AH199),$AH$2:$AH$1001,0),MATCH(COLUMNS($AO$1006:AU1006),$AO$1006:$BQ$1006,0)), HYPERLINK("#",""), HYPERLINK(CONCATENATE("#Metadata!", ADDRESS(INDEX($AJ$2:$AJ$1001,MATCH(ROWS($AH$2:AH199),$AH$2:$AH$1001,0),0), INDEX($AO$1004:$BQ$1004,1,MATCH(COLUMNS($AO$1006:AU1006),$AO$1006:$BQ$1006,0)))),"Fix")))</f>
        <v>#N/A</v>
      </c>
      <c r="I199" s="5" t="e">
        <f ca="1">IF(OR(INDEX($AI$2:$AI$1001,MATCH(ROWS($AH$2:AH199),$AH$2:$AH$1001,0),1)&gt;=100000,INDEX($AO$1005:$BQ$1005,1,MATCH(COLUMNS($AO$1006:AV1006),$AO$1006:$BQ$1006,0))&gt;=100000), " ",IF(INDEX($AO$2:$BQ$1001,MATCH(ROWS($AH$2:AH199),$AH$2:$AH$1001,0),MATCH(COLUMNS($AO$1006:AV1006),$AO$1006:$BQ$1006,0)), HYPERLINK("#",""), HYPERLINK(CONCATENATE("#Metadata!", ADDRESS(INDEX($AJ$2:$AJ$1001,MATCH(ROWS($AH$2:AH199),$AH$2:$AH$1001,0),0), INDEX($AO$1004:$BQ$1004,1,MATCH(COLUMNS($AO$1006:AV1006),$AO$1006:$BQ$1006,0)))),"Fix")))</f>
        <v>#N/A</v>
      </c>
      <c r="J199" s="5" t="e">
        <f ca="1">IF(OR(INDEX($AI$2:$AI$1001,MATCH(ROWS($AH$2:AH199),$AH$2:$AH$1001,0),1)&gt;=100000,INDEX($AO$1005:$BQ$1005,1,MATCH(COLUMNS($AO$1006:AW1006),$AO$1006:$BQ$1006,0))&gt;=100000), " ",IF(INDEX($AO$2:$BQ$1001,MATCH(ROWS($AH$2:AH199),$AH$2:$AH$1001,0),MATCH(COLUMNS($AO$1006:AW1006),$AO$1006:$BQ$1006,0)), HYPERLINK("#",""), HYPERLINK(CONCATENATE("#Metadata!", ADDRESS(INDEX($AJ$2:$AJ$1001,MATCH(ROWS($AH$2:AH199),$AH$2:$AH$1001,0),0), INDEX($AO$1004:$BQ$1004,1,MATCH(COLUMNS($AO$1006:AW1006),$AO$1006:$BQ$1006,0)))),"Fix")))</f>
        <v>#N/A</v>
      </c>
      <c r="K199" s="5" t="e">
        <f ca="1">IF(OR(INDEX($AI$2:$AI$1001,MATCH(ROWS($AH$2:AH199),$AH$2:$AH$1001,0),1)&gt;=100000,INDEX($AO$1005:$BQ$1005,1,MATCH(COLUMNS($AO$1006:AX1006),$AO$1006:$BQ$1006,0))&gt;=100000), " ",IF(INDEX($AO$2:$BQ$1001,MATCH(ROWS($AH$2:AH199),$AH$2:$AH$1001,0),MATCH(COLUMNS($AO$1006:AX1006),$AO$1006:$BQ$1006,0)), HYPERLINK("#",""), HYPERLINK(CONCATENATE("#Metadata!", ADDRESS(INDEX($AJ$2:$AJ$1001,MATCH(ROWS($AH$2:AH199),$AH$2:$AH$1001,0),0), INDEX($AO$1004:$BQ$1004,1,MATCH(COLUMNS($AO$1006:AX1006),$AO$1006:$BQ$1006,0)))),"Fix")))</f>
        <v>#N/A</v>
      </c>
      <c r="L199" s="5" t="e">
        <f ca="1">IF(OR(INDEX($AI$2:$AI$1001,MATCH(ROWS($AH$2:AH199),$AH$2:$AH$1001,0),1)&gt;=100000,INDEX($AO$1005:$BQ$1005,1,MATCH(COLUMNS($AO$1006:AY1006),$AO$1006:$BQ$1006,0))&gt;=100000), " ",IF(INDEX($AO$2:$BQ$1001,MATCH(ROWS($AH$2:AH199),$AH$2:$AH$1001,0),MATCH(COLUMNS($AO$1006:AY1006),$AO$1006:$BQ$1006,0)), HYPERLINK("#",""), HYPERLINK(CONCATENATE("#Metadata!", ADDRESS(INDEX($AJ$2:$AJ$1001,MATCH(ROWS($AH$2:AH199),$AH$2:$AH$1001,0),0), INDEX($AO$1004:$BQ$1004,1,MATCH(COLUMNS($AO$1006:AY1006),$AO$1006:$BQ$1006,0)))),"Fix")))</f>
        <v>#N/A</v>
      </c>
      <c r="M199" s="5" t="e">
        <f ca="1">IF(OR(INDEX($AI$2:$AI$1001,MATCH(ROWS($AH$2:AH199),$AH$2:$AH$1001,0),1)&gt;=100000,INDEX($AO$1005:$BQ$1005,1,MATCH(COLUMNS($AO$1006:AZ1006),$AO$1006:$BQ$1006,0))&gt;=100000), " ",IF(INDEX($AO$2:$BQ$1001,MATCH(ROWS($AH$2:AH199),$AH$2:$AH$1001,0),MATCH(COLUMNS($AO$1006:AZ1006),$AO$1006:$BQ$1006,0)), HYPERLINK("#",""), HYPERLINK(CONCATENATE("#Metadata!", ADDRESS(INDEX($AJ$2:$AJ$1001,MATCH(ROWS($AH$2:AH199),$AH$2:$AH$1001,0),0), INDEX($AO$1004:$BQ$1004,1,MATCH(COLUMNS($AO$1006:AZ1006),$AO$1006:$BQ$1006,0)))),"Fix")))</f>
        <v>#N/A</v>
      </c>
      <c r="N199" s="5" t="e">
        <f ca="1">IF(OR(INDEX($AI$2:$AI$1001,MATCH(ROWS($AH$2:AH199),$AH$2:$AH$1001,0),1)&gt;=100000,INDEX($AO$1005:$BQ$1005,1,MATCH(COLUMNS($AO$1006:BA1006),$AO$1006:$BQ$1006,0))&gt;=100000), " ",IF(INDEX($AO$2:$BQ$1001,MATCH(ROWS($AH$2:AH199),$AH$2:$AH$1001,0),MATCH(COLUMNS($AO$1006:BA1006),$AO$1006:$BQ$1006,0)), HYPERLINK("#",""), HYPERLINK(CONCATENATE("#Metadata!", ADDRESS(INDEX($AJ$2:$AJ$1001,MATCH(ROWS($AH$2:AH199),$AH$2:$AH$1001,0),0), INDEX($AO$1004:$BQ$1004,1,MATCH(COLUMNS($AO$1006:BA1006),$AO$1006:$BQ$1006,0)))),"Fix")))</f>
        <v>#N/A</v>
      </c>
      <c r="O199" s="5" t="e">
        <f ca="1">IF(OR(INDEX($AI$2:$AI$1001,MATCH(ROWS($AH$2:AH199),$AH$2:$AH$1001,0),1)&gt;=100000,INDEX($AO$1005:$BQ$1005,1,MATCH(COLUMNS($AO$1006:BB1006),$AO$1006:$BQ$1006,0))&gt;=100000), " ",IF(INDEX($AO$2:$BQ$1001,MATCH(ROWS($AH$2:AH199),$AH$2:$AH$1001,0),MATCH(COLUMNS($AO$1006:BB1006),$AO$1006:$BQ$1006,0)), HYPERLINK("#",""), HYPERLINK(CONCATENATE("#Metadata!", ADDRESS(INDEX($AJ$2:$AJ$1001,MATCH(ROWS($AH$2:AH199),$AH$2:$AH$1001,0),0), INDEX($AO$1004:$BQ$1004,1,MATCH(COLUMNS($AO$1006:BB1006),$AO$1006:$BQ$1006,0)))),"Fix")))</f>
        <v>#N/A</v>
      </c>
      <c r="P199" s="5" t="e">
        <f ca="1">IF(OR(INDEX($AI$2:$AI$1001,MATCH(ROWS($AH$2:AH199),$AH$2:$AH$1001,0),1)&gt;=100000,INDEX($AO$1005:$BQ$1005,1,MATCH(COLUMNS($AO$1006:BC1006),$AO$1006:$BQ$1006,0))&gt;=100000), " ",IF(INDEX($AO$2:$BQ$1001,MATCH(ROWS($AH$2:AH199),$AH$2:$AH$1001,0),MATCH(COLUMNS($AO$1006:BC1006),$AO$1006:$BQ$1006,0)), HYPERLINK("#",""), HYPERLINK(CONCATENATE("#Metadata!", ADDRESS(INDEX($AJ$2:$AJ$1001,MATCH(ROWS($AH$2:AH199),$AH$2:$AH$1001,0),0), INDEX($AO$1004:$BQ$1004,1,MATCH(COLUMNS($AO$1006:BC1006),$AO$1006:$BQ$1006,0)))),"Fix")))</f>
        <v>#N/A</v>
      </c>
      <c r="Q199" s="5" t="e">
        <f ca="1">IF(OR(INDEX($AI$2:$AI$1001,MATCH(ROWS($AH$2:AH199),$AH$2:$AH$1001,0),1)&gt;=100000,INDEX($AO$1005:$BQ$1005,1,MATCH(COLUMNS($AO$1006:BD1006),$AO$1006:$BQ$1006,0))&gt;=100000), " ",IF(INDEX($AO$2:$BQ$1001,MATCH(ROWS($AH$2:AH199),$AH$2:$AH$1001,0),MATCH(COLUMNS($AO$1006:BD1006),$AO$1006:$BQ$1006,0)), HYPERLINK("#",""), HYPERLINK(CONCATENATE("#Metadata!", ADDRESS(INDEX($AJ$2:$AJ$1001,MATCH(ROWS($AH$2:AH199),$AH$2:$AH$1001,0),0), INDEX($AO$1004:$BQ$1004,1,MATCH(COLUMNS($AO$1006:BD1006),$AO$1006:$BQ$1006,0)))),"Fix")))</f>
        <v>#N/A</v>
      </c>
      <c r="R199" s="5" t="e">
        <f ca="1">IF(OR(INDEX($AI$2:$AI$1001,MATCH(ROWS($AH$2:AH199),$AH$2:$AH$1001,0),1)&gt;=100000,INDEX($AO$1005:$BQ$1005,1,MATCH(COLUMNS($AO$1006:BE1006),$AO$1006:$BQ$1006,0))&gt;=100000), " ",IF(INDEX($AO$2:$BQ$1001,MATCH(ROWS($AH$2:AH199),$AH$2:$AH$1001,0),MATCH(COLUMNS($AO$1006:BE1006),$AO$1006:$BQ$1006,0)), HYPERLINK("#",""), HYPERLINK(CONCATENATE("#Metadata!", ADDRESS(INDEX($AJ$2:$AJ$1001,MATCH(ROWS($AH$2:AH199),$AH$2:$AH$1001,0),0), INDEX($AO$1004:$BQ$1004,1,MATCH(COLUMNS($AO$1006:BE1006),$AO$1006:$BQ$1006,0)))),"Fix")))</f>
        <v>#N/A</v>
      </c>
      <c r="S199" s="5" t="e">
        <f ca="1">IF(OR(INDEX($AI$2:$AI$1001,MATCH(ROWS($AH$2:AH199),$AH$2:$AH$1001,0),1)&gt;=100000,INDEX($AO$1005:$BQ$1005,1,MATCH(COLUMNS($AO$1006:BF1006),$AO$1006:$BQ$1006,0))&gt;=100000), " ",IF(INDEX($AO$2:$BQ$1001,MATCH(ROWS($AH$2:AH199),$AH$2:$AH$1001,0),MATCH(COLUMNS($AO$1006:BF1006),$AO$1006:$BQ$1006,0)), HYPERLINK("#",""), HYPERLINK(CONCATENATE("#Metadata!", ADDRESS(INDEX($AJ$2:$AJ$1001,MATCH(ROWS($AH$2:AH199),$AH$2:$AH$1001,0),0), INDEX($AO$1004:$BQ$1004,1,MATCH(COLUMNS($AO$1006:BF1006),$AO$1006:$BQ$1006,0)))),"Fix")))</f>
        <v>#N/A</v>
      </c>
      <c r="T199" s="5" t="e">
        <f ca="1">IF(OR(INDEX($AI$2:$AI$1001,MATCH(ROWS($AH$2:AH199),$AH$2:$AH$1001,0),1)&gt;=100000,INDEX($AO$1005:$BQ$1005,1,MATCH(COLUMNS($AO$1006:BG1006),$AO$1006:$BQ$1006,0))&gt;=100000), " ",IF(INDEX($AO$2:$BQ$1001,MATCH(ROWS($AH$2:AH199),$AH$2:$AH$1001,0),MATCH(COLUMNS($AO$1006:BG1006),$AO$1006:$BQ$1006,0)), HYPERLINK("#",""), HYPERLINK(CONCATENATE("#Metadata!", ADDRESS(INDEX($AJ$2:$AJ$1001,MATCH(ROWS($AH$2:AH199),$AH$2:$AH$1001,0),0), INDEX($AO$1004:$BQ$1004,1,MATCH(COLUMNS($AO$1006:BG1006),$AO$1006:$BQ$1006,0)))),"Fix")))</f>
        <v>#N/A</v>
      </c>
      <c r="U199" s="5" t="e">
        <f ca="1">IF(OR(INDEX($AI$2:$AI$1001,MATCH(ROWS($AH$2:AH199),$AH$2:$AH$1001,0),1)&gt;=100000,INDEX($AO$1005:$BQ$1005,1,MATCH(COLUMNS($AO$1006:BH1006),$AO$1006:$BQ$1006,0))&gt;=100000), " ",IF(INDEX($AO$2:$BQ$1001,MATCH(ROWS($AH$2:AH199),$AH$2:$AH$1001,0),MATCH(COLUMNS($AO$1006:BH1006),$AO$1006:$BQ$1006,0)), HYPERLINK("#",""), HYPERLINK(CONCATENATE("#Metadata!", ADDRESS(INDEX($AJ$2:$AJ$1001,MATCH(ROWS($AH$2:AH199),$AH$2:$AH$1001,0),0), INDEX($AO$1004:$BQ$1004,1,MATCH(COLUMNS($AO$1006:BH1006),$AO$1006:$BQ$1006,0)))),"Fix")))</f>
        <v>#N/A</v>
      </c>
      <c r="V199" s="5" t="e">
        <f ca="1">IF(OR(INDEX($AI$2:$AI$1001,MATCH(ROWS($AH$2:AH199),$AH$2:$AH$1001,0),1)&gt;=100000,INDEX($AO$1005:$BQ$1005,1,MATCH(COLUMNS($AO$1006:BI1006),$AO$1006:$BQ$1006,0))&gt;=100000), " ",IF(INDEX($AO$2:$BQ$1001,MATCH(ROWS($AH$2:AH199),$AH$2:$AH$1001,0),MATCH(COLUMNS($AO$1006:BI1006),$AO$1006:$BQ$1006,0)), HYPERLINK("#",""), HYPERLINK(CONCATENATE("#Metadata!", ADDRESS(INDEX($AJ$2:$AJ$1001,MATCH(ROWS($AH$2:AH199),$AH$2:$AH$1001,0),0), INDEX($AO$1004:$BQ$1004,1,MATCH(COLUMNS($AO$1006:BI1006),$AO$1006:$BQ$1006,0)))),"Fix")))</f>
        <v>#N/A</v>
      </c>
      <c r="W199" s="5" t="e">
        <f ca="1">IF(OR(INDEX($AI$2:$AI$1001,MATCH(ROWS($AH$2:AH199),$AH$2:$AH$1001,0),1)&gt;=100000,INDEX($AO$1005:$BQ$1005,1,MATCH(COLUMNS($AO$1006:BJ1006),$AO$1006:$BQ$1006,0))&gt;=100000), " ",IF(INDEX($AO$2:$BQ$1001,MATCH(ROWS($AH$2:AH199),$AH$2:$AH$1001,0),MATCH(COLUMNS($AO$1006:BJ1006),$AO$1006:$BQ$1006,0)), HYPERLINK("#",""), HYPERLINK(CONCATENATE("#Metadata!", ADDRESS(INDEX($AJ$2:$AJ$1001,MATCH(ROWS($AH$2:AH199),$AH$2:$AH$1001,0),0), INDEX($AO$1004:$BQ$1004,1,MATCH(COLUMNS($AO$1006:BJ1006),$AO$1006:$BQ$1006,0)))),"Fix")))</f>
        <v>#N/A</v>
      </c>
      <c r="X199" s="5" t="e">
        <f ca="1">IF(OR(INDEX($AI$2:$AI$1001,MATCH(ROWS($AH$2:AH199),$AH$2:$AH$1001,0),1)&gt;=100000,INDEX($AO$1005:$BQ$1005,1,MATCH(COLUMNS($AO$1006:BK1006),$AO$1006:$BQ$1006,0))&gt;=100000), " ",IF(INDEX($AO$2:$BQ$1001,MATCH(ROWS($AH$2:AH199),$AH$2:$AH$1001,0),MATCH(COLUMNS($AO$1006:BK1006),$AO$1006:$BQ$1006,0)), HYPERLINK("#",""), HYPERLINK(CONCATENATE("#Metadata!", ADDRESS(INDEX($AJ$2:$AJ$1001,MATCH(ROWS($AH$2:AH199),$AH$2:$AH$1001,0),0), INDEX($AO$1004:$BQ$1004,1,MATCH(COLUMNS($AO$1006:BK1006),$AO$1006:$BQ$1006,0)))),"Fix")))</f>
        <v>#N/A</v>
      </c>
      <c r="Y199" s="5" t="e">
        <f ca="1">IF(OR(INDEX($AI$2:$AI$1001,MATCH(ROWS($AH$2:AH199),$AH$2:$AH$1001,0),1)&gt;=100000,INDEX($AO$1005:$BQ$1005,1,MATCH(COLUMNS($AO$1006:BL1006),$AO$1006:$BQ$1006,0))&gt;=100000), " ",IF(INDEX($AO$2:$BQ$1001,MATCH(ROWS($AH$2:AH199),$AH$2:$AH$1001,0),MATCH(COLUMNS($AO$1006:BL1006),$AO$1006:$BQ$1006,0)), HYPERLINK("#",""), HYPERLINK(CONCATENATE("#Metadata!", ADDRESS(INDEX($AJ$2:$AJ$1001,MATCH(ROWS($AH$2:AH199),$AH$2:$AH$1001,0),0), INDEX($AO$1004:$BQ$1004,1,MATCH(COLUMNS($AO$1006:BL1006),$AO$1006:$BQ$1006,0)))),"Fix")))</f>
        <v>#N/A</v>
      </c>
      <c r="Z199" s="5" t="e">
        <f ca="1">IF(OR(INDEX($AI$2:$AI$1001,MATCH(ROWS($AH$2:AH199),$AH$2:$AH$1001,0),1)&gt;=100000,INDEX($AO$1005:$BQ$1005,1,MATCH(COLUMNS($AO$1006:BM1006),$AO$1006:$BQ$1006,0))&gt;=100000), " ",IF(INDEX($AO$2:$BQ$1001,MATCH(ROWS($AH$2:AH199),$AH$2:$AH$1001,0),MATCH(COLUMNS($AO$1006:BM1006),$AO$1006:$BQ$1006,0)), HYPERLINK("#",""), HYPERLINK(CONCATENATE("#Metadata!", ADDRESS(INDEX($AJ$2:$AJ$1001,MATCH(ROWS($AH$2:AH199),$AH$2:$AH$1001,0),0), INDEX($AO$1004:$BQ$1004,1,MATCH(COLUMNS($AO$1006:BM1006),$AO$1006:$BQ$1006,0)))),"Fix")))</f>
        <v>#N/A</v>
      </c>
      <c r="AA199" s="5" t="e">
        <f ca="1">IF(OR(INDEX($AI$2:$AI$1001,MATCH(ROWS($AH$2:AH199),$AH$2:$AH$1001,0),1)&gt;=100000,INDEX($AO$1005:$BQ$1005,1,MATCH(COLUMNS($AO$1006:BN1006),$AO$1006:$BQ$1006,0))&gt;=100000), " ",IF(INDEX($AO$2:$BQ$1001,MATCH(ROWS($AH$2:AH199),$AH$2:$AH$1001,0),MATCH(COLUMNS($AO$1006:BN1006),$AO$1006:$BQ$1006,0)), HYPERLINK("#",""), HYPERLINK(CONCATENATE("#Metadata!", ADDRESS(INDEX($AJ$2:$AJ$1001,MATCH(ROWS($AH$2:AH199),$AH$2:$AH$1001,0),0), INDEX($AO$1004:$BQ$1004,1,MATCH(COLUMNS($AO$1006:BN1006),$AO$1006:$BQ$1006,0)))),"Fix")))</f>
        <v>#N/A</v>
      </c>
      <c r="AB199" s="5" t="e">
        <f ca="1">IF(OR(INDEX($AI$2:$AI$1001,MATCH(ROWS($AH$2:AH199),$AH$2:$AH$1001,0),1)&gt;=100000,INDEX($AO$1005:$BQ$1005,1,MATCH(COLUMNS($AO$1006:BO1006),$AO$1006:$BQ$1006,0))&gt;=100000), " ",IF(INDEX($AO$2:$BQ$1001,MATCH(ROWS($AH$2:AH199),$AH$2:$AH$1001,0),MATCH(COLUMNS($AO$1006:BO1006),$AO$1006:$BQ$1006,0)), HYPERLINK("#",""), HYPERLINK(CONCATENATE("#Metadata!", ADDRESS(INDEX($AJ$2:$AJ$1001,MATCH(ROWS($AH$2:AH199),$AH$2:$AH$1001,0),0), INDEX($AO$1004:$BQ$1004,1,MATCH(COLUMNS($AO$1006:BO1006),$AO$1006:$BQ$1006,0)))),"Fix")))</f>
        <v>#N/A</v>
      </c>
      <c r="AC199" s="5" t="e">
        <f ca="1">IF(OR(INDEX($AI$2:$AI$1001,MATCH(ROWS($AH$2:AH199),$AH$2:$AH$1001,0),1)&gt;=100000,INDEX($AO$1005:$BQ$1005,1,MATCH(COLUMNS($AO$1006:BP1006),$AO$1006:$BQ$1006,0))&gt;=100000), " ",IF(INDEX($AO$2:$BQ$1001,MATCH(ROWS($AH$2:AH199),$AH$2:$AH$1001,0),MATCH(COLUMNS($AO$1006:BP1006),$AO$1006:$BQ$1006,0)), HYPERLINK("#",""), HYPERLINK(CONCATENATE("#Metadata!", ADDRESS(INDEX($AJ$2:$AJ$1001,MATCH(ROWS($AH$2:AH199),$AH$2:$AH$1001,0),0), INDEX($AO$1004:$BQ$1004,1,MATCH(COLUMNS($AO$1006:BP1006),$AO$1006:$BQ$1006,0)))),"Fix")))</f>
        <v>#N/A</v>
      </c>
      <c r="AD199" s="5" t="e">
        <f ca="1">IF(OR(INDEX($AI$2:$AI$1001,MATCH(ROWS($AH$2:AH199),$AH$2:$AH$1001,0),1)&gt;=100000,INDEX($AO$1005:$BQ$1005,1,MATCH(COLUMNS($AO$1006:BQ1006),$AO$1006:$BQ$1006,0))&gt;=100000), " ",IF(INDEX($AO$2:$BQ$1001,MATCH(ROWS($AH$2:AH199),$AH$2:$AH$1001,0),MATCH(COLUMNS($AO$1006:BQ1006),$AO$1006:$BQ$1006,0)), HYPERLINK("#",""), HYPERLINK(CONCATENATE("#Metadata!", ADDRESS(INDEX($AJ$2:$AJ$1001,MATCH(ROWS($AH$2:AH199),$AH$2:$AH$1001,0),0), INDEX($AO$1004:$BQ$1004,1,MATCH(COLUMNS($AO$1006:BQ1006),$AO$1006:$BQ$1006,0)))),"Fix")))</f>
        <v>#REF!</v>
      </c>
      <c r="AH199">
        <f ca="1"/>
        <v>196</v>
      </c>
      <c r="AI199">
        <v>100199</v>
      </c>
      <c r="AJ199">
        <v>199</v>
      </c>
      <c r="AK199" t="b">
        <f t="shared" si="3"/>
        <v>1</v>
      </c>
      <c r="AL199" t="b">
        <f>COUNTBLANK(Metadata!B199:AD199)=COLUMNS(Metadata!B199:AD199)</f>
        <v>1</v>
      </c>
      <c r="AM199" t="str">
        <v/>
      </c>
      <c r="AO199" t="b">
        <f ca="1">AND(IF(Metadata!B199="",FALSE,TRUE),COUNTIF(Metadata!B:B, Metadata!B199) = 1,NOT(ISERROR(SUMPRODUCT(SEARCH(MID(Metadata!B199,ROW(INDIRECT("1:"&amp;LEN(Metadata!B199))), 1),"0123456789abcdefghijklmnopqrstuvwxyzABCDEFGHIJKLMNOPQRSTUVWXYZ.")))))</f>
        <v>0</v>
      </c>
      <c r="AP199" t="b">
        <f>IF(Metadata!C199="",FALSE,TRUE)</f>
        <v>0</v>
      </c>
      <c r="AQ199" t="b">
        <f>IF(Metadata!D199="",FALSE,TRUE)</f>
        <v>0</v>
      </c>
      <c r="AR199" t="b">
        <f ca="1">OR(AND(IF(Metadata!E199="",FALSE,TRUE),OR(EXACT(Metadata!E199,"not collected"),EXACT(Metadata!E199,"not provided"),EXACT(Metadata!E199,"restricted access"))),AND(IF(Metadata!E199="",FALSE,TRUE),AND(AND(IFERROR(INT(LEFT(Metadata!E199,4))&gt;1900,FALSE),IFERROR(INT(LEFT(Metadata!E199,4))&lt;=YEAR(NOW()),FALSE)), OR(MID(Metadata!E199,5,1)="", AND(AND(MID(Metadata!E199,5,1)="-",IFERROR(INT(MID(Metadata!E199,6,1))&gt;=0,FALSE),IFERROR(INT(MID(Metadata!E199,6,1))&lt;=1,FALSE),NOT(MID(Metadata!E199,7,1)=""),IFERROR(INT(MID(Metadata!E199,6,2))&gt;=1,FALSE),IFERROR(INT(MID(Metadata!E199,6,2))&lt;=12,FALSE)), OR(MID(Metadata!E199,8,1)="", AND(AND(MID(Metadata!E199,8,1)="-",IFERROR(INT(MID(Metadata!E199,9,1))&gt;=0,FALSE),IFERROR(INT(MID(Metadata!E199,9,1))&lt;=3,FALSE),NOT(MID(Metadata!E199,10,1)=""),IFERROR(INT(MID(Metadata!E199,9,2))&gt;=1,FALSE),IFERROR(INT(MID(Metadata!E199,9,2))&lt;=31,FALSE)), OR(MID(Metadata!E199,11,1)="", AND(AND(MID(Metadata!E199,11,1)=" ",IFERROR(INT(MID(Metadata!E199,12,1))&gt;=0,FALSE),IFERROR(INT(MID(Metadata!E199,12,1))&lt;=2,FALSE),NOT(MID(Metadata!E199,13,1)=""),IFERROR(INT(MID(Metadata!E199,12,2))&gt;=0,FALSE),IFERROR(INT(MID(Metadata!E199,12,2))&lt;=23,FALSE)), OR(MID(Metadata!E199,14,1)="", AND(AND(MID(Metadata!E199,14,1)=":",IFERROR(INT(MID(Metadata!E199,15,1))&gt;=0,FALSE),IFERROR(INT(MID(Metadata!E199,15,1))&lt;=5,FALSE),NOT(MID(Metadata!E199,16,1)=""),IFERROR(INT(MID(Metadata!E199,15,2))&gt;=0,FALSE),IFERROR(INT(MID(Metadata!E199,15,2))&lt;=59,FALSE)), OR(MID(Metadata!E199,17,1)="", AND(AND(MID(Metadata!E199,17,1)=":",IFERROR(INT(MID(Metadata!E199,18,1))&gt;=0,FALSE),IFERROR(INT(MID(Metadata!E199,18,1))&lt;=5,FALSE),NOT(MID(Metadata!E199,19,1)=""),IFERROR(INT(MID(Metadata!E199,18,2))&gt;=0,FALSE),IFERROR(INT(MID(Metadata!E199,18,2))&lt;=59,FALSE)), LEN(Metadata!E199)&lt;=19)))))))))))))</f>
        <v>0</v>
      </c>
      <c r="AS199" t="b">
        <f>IF(Metadata!F199="",FALSE,TRUE)</f>
        <v>0</v>
      </c>
      <c r="AT199" t="b">
        <f>OR(AND(IF(Metadata!G199="",FALSE,TRUE),OR(EXACT(Metadata!G199,"not collected"),EXACT(Metadata!G199,"not provided"))),AND(IF(Metadata!G199="",FALSE,TRUE),OR(EXACT(Metadata!G199,"TRUE"),EXACT(Metadata!G199,"FALSE"))))</f>
        <v>0</v>
      </c>
      <c r="AU199" t="b">
        <f>OR(AND(IF(Metadata!H199="",FALSE,TRUE),OR(EXACT(Metadata!H199,"not collected"),EXACT(Metadata!H199,"not provided"),EXACT(Metadata!H199,"restricted access"))),AND(IF(Metadata!H199="",FALSE,ISNUMBER(VALUE(Metadata!H199))),Metadata!H199&gt;=-413))</f>
        <v>0</v>
      </c>
      <c r="AV199" t="b">
        <f>AND(IF(Metadata!I199="",FALSE,TRUE),EXACT(Metadata!I199,"meters"))</f>
        <v>0</v>
      </c>
      <c r="AW199" t="b">
        <f>AND(IF(Metadata!J199="",FALSE,TRUE),EXACT(Metadata!J199,"free-living"))</f>
        <v>0</v>
      </c>
      <c r="AX199" t="b">
        <f>AND(IF(Metadata!K199="",FALSE,TRUE),OR(EXACT(Metadata!K199,"saline"),EXACT(Metadata!K199,"non-saline")))</f>
        <v>0</v>
      </c>
      <c r="AY199" t="b">
        <f>AND(IF(Metadata!L199="",FALSE,TRUE),OR(EXACT(Metadata!L199,"sub-surface (non-saline)"),EXACT(Metadata!L199,"surface (non-saline)"),EXACT(Metadata!L199,"water (non-saline)"),EXACT(Metadata!L199,"soil (non-saline)"),EXACT(Metadata!L199,"aerosol (non-saline)"),EXACT(Metadata!L199,"sediment (non-saline)"),EXACT(Metadata!L199,"surface (saline)"),EXACT(Metadata!L199,"water (saline)"),EXACT(Metadata!L199,"hypersaline (saline)"),EXACT(Metadata!L199,"aerosol (saline)"),EXACT(Metadata!L199,"sediment (saline)")))</f>
        <v>0</v>
      </c>
      <c r="AZ199" t="b">
        <f>IF(Metadata!M199="",FALSE,TRUE)</f>
        <v>0</v>
      </c>
      <c r="BA199" t="b">
        <f>IF(Metadata!N199="",FALSE,TRUE)</f>
        <v>0</v>
      </c>
      <c r="BB199" t="b">
        <f>IF(Metadata!O199="",FALSE,TRUE)</f>
        <v>0</v>
      </c>
      <c r="BC199" t="b">
        <f>AND(IF(Metadata!P199="",FALSE,TRUE),OR(EXACT(Metadata!P199,"air"),EXACT(Metadata!P199,"microbial mat/biofilm"),EXACT(Metadata!P199,"misc environment"),EXACT(Metadata!P199,"sediment"),EXACT(Metadata!P199,"soil"),EXACT(Metadata!P199,"wastewater/sludge"),EXACT(Metadata!P199,"water")))</f>
        <v>0</v>
      </c>
      <c r="BD199" t="b">
        <f>IF(Metadata!Q199="",FALSE,TRUE)</f>
        <v>0</v>
      </c>
      <c r="BE199" t="b">
        <f>IF(Metadata!R199="",FALSE,TRUE)</f>
        <v>0</v>
      </c>
      <c r="BF199" t="b">
        <f>OR(AND(IF(Metadata!S199="",FALSE,TRUE),OR(EXACT(Metadata!S199,"not collected"),EXACT(Metadata!S199,"not provided"),EXACT(Metadata!S199,"restricted access"))),AND(IF(Metadata!S199="",FALSE,ISNUMBER(VALUE(Metadata!S199))),Metadata!S199&gt;=-90,Metadata!S199&lt;=90))</f>
        <v>0</v>
      </c>
      <c r="BG199" t="b">
        <f>AND(IF(Metadata!T199="",FALSE,TRUE),EXACT(Metadata!T199,"Decimal degrees"))</f>
        <v>0</v>
      </c>
      <c r="BH199" t="b">
        <f>OR(AND(IF(Metadata!U199="",FALSE,TRUE),OR(EXACT(Metadata!U199,"not applicable"),EXACT(Metadata!U199,"not collected"))),IF(Metadata!U199="",FALSE,TRUE))</f>
        <v>0</v>
      </c>
      <c r="BI199" t="b">
        <f>OR(AND(IF(Metadata!V199="",FALSE,TRUE),OR(EXACT(Metadata!V199,"not collected"),EXACT(Metadata!V199,"not provided"),EXACT(Metadata!V199,"restricted access"))),AND(IF(Metadata!V199="",FALSE,ISNUMBER(VALUE(Metadata!V199))),Metadata!V199&gt;=-180,Metadata!V199&lt;=180))</f>
        <v>0</v>
      </c>
      <c r="BJ199" t="b">
        <f>AND(IF(Metadata!W199="",FALSE,TRUE),EXACT(Metadata!W199,"Decimal degrees"))</f>
        <v>0</v>
      </c>
      <c r="BK199" t="b">
        <f>IF(Metadata!X199="",FALSE,TRUE)</f>
        <v>0</v>
      </c>
      <c r="BL199" t="b">
        <f>OR(AND(IF(Metadata!Y199="",FALSE,TRUE),OR(EXACT(Metadata!Y199,"not collected"),EXACT(Metadata!Y199,"not provided"),EXACT(Metadata!Y199,"restricted access"))),AND(IF(Metadata!Y199="",FALSE,TRUE),OR(EXACT(Metadata!Y199,"TRUE"),EXACT(Metadata!Y199,"FALSE"))))</f>
        <v>0</v>
      </c>
      <c r="BM199" t="b">
        <f>OR(AND(IF(Metadata!Z199="",FALSE,TRUE),EXACT(Metadata!Z199,"not applicable")),AND(IF(Metadata!Z199="",FALSE,TRUE),OR(EXACT(Metadata!Z199,"beer"),EXACT(Metadata!Z199,"cheese"),EXACT(Metadata!Z199,"fresh water"),EXACT(Metadata!Z199,"marine sediment"),EXACT(Metadata!Z199,"sea water"),EXACT(Metadata!Z199,"sediment"),EXACT(Metadata!Z199,"soil"),EXACT(Metadata!Z199,"waste water"))))</f>
        <v>0</v>
      </c>
      <c r="BN199" t="b">
        <f>AND(IF(Metadata!AA199="",FALSE,TRUE),EXACT(Metadata!AA199,"metagenome"))</f>
        <v>0</v>
      </c>
      <c r="BO199" t="b">
        <f>AND(IF(Metadata!AB199="",FALSE,TRUE),EXACT(Metadata!AB199,"256318"))</f>
        <v>0</v>
      </c>
      <c r="BP199" t="b">
        <f>IF(Metadata!AC199="",FALSE,TRUE)</f>
        <v>0</v>
      </c>
      <c r="BQ199" t="b">
        <f>IF(Metadata!AD199="",FALSE,TRUE)</f>
        <v>0</v>
      </c>
    </row>
    <row r="200" spans="1:69" x14ac:dyDescent="0.2">
      <c r="A200" s="4" t="e">
        <f ca="1">IF(B200=" "," ",HYPERLINK(CONCATENATE("#metadata!",ADDRESS(INDEX($AJ$2:$AJ$1001,MATCH(ROWS($AH$2:AH200),$AH$2:$AH$1001,0),0),2)),INDEX($AM$2:$AM$1001,MATCH(ROWS($AH$2:AH200),$AH$2:$AH$1001,0),0)))</f>
        <v>#N/A</v>
      </c>
      <c r="B200" s="5" t="e">
        <f ca="1">IF(OR(INDEX($AI$2:$AI$1001,MATCH(ROWS($AH$2:AH200),$AH$2:$AH$1001,0),1)&gt;=100000,INDEX($AO$1005:$BQ$1005,1,MATCH(COLUMNS($AO$1006:AO1006),$AO$1006:$BQ$1006,0))&gt;=100000), " ",IF(INDEX($AO$2:$BQ$1001,MATCH(ROWS($AH$2:AH200),$AH$2:$AH$1001,0),MATCH(COLUMNS($AO$1006:AO1006),$AO$1006:$BQ$1006,0)), HYPERLINK("#",""), HYPERLINK(CONCATENATE("#Metadata!", ADDRESS(INDEX($AJ$2:$AJ$1001,MATCH(ROWS($AH$2:AH200),$AH$2:$AH$1001,0),0), INDEX($AO$1004:$BQ$1004,1,MATCH(COLUMNS($AO$1006:AO1006),$AO$1006:$BQ$1006,0)))),"Fix")))</f>
        <v>#N/A</v>
      </c>
      <c r="C200" s="5" t="e">
        <f ca="1">IF(OR(INDEX($AI$2:$AI$1001,MATCH(ROWS($AH$2:AH200),$AH$2:$AH$1001,0),1)&gt;=100000,INDEX($AO$1005:$BQ$1005,1,MATCH(COLUMNS($AO$1006:AP1006),$AO$1006:$BQ$1006,0))&gt;=100000), " ",IF(INDEX($AO$2:$BQ$1001,MATCH(ROWS($AH$2:AH200),$AH$2:$AH$1001,0),MATCH(COLUMNS($AO$1006:AP1006),$AO$1006:$BQ$1006,0)), HYPERLINK("#",""), HYPERLINK(CONCATENATE("#Metadata!", ADDRESS(INDEX($AJ$2:$AJ$1001,MATCH(ROWS($AH$2:AH200),$AH$2:$AH$1001,0),0), INDEX($AO$1004:$BQ$1004,1,MATCH(COLUMNS($AO$1006:AP1006),$AO$1006:$BQ$1006,0)))),"Fix")))</f>
        <v>#N/A</v>
      </c>
      <c r="D200" s="5" t="e">
        <f ca="1">IF(OR(INDEX($AI$2:$AI$1001,MATCH(ROWS($AH$2:AH200),$AH$2:$AH$1001,0),1)&gt;=100000,INDEX($AO$1005:$BQ$1005,1,MATCH(COLUMNS($AO$1006:AQ1006),$AO$1006:$BQ$1006,0))&gt;=100000), " ",IF(INDEX($AO$2:$BQ$1001,MATCH(ROWS($AH$2:AH200),$AH$2:$AH$1001,0),MATCH(COLUMNS($AO$1006:AQ1006),$AO$1006:$BQ$1006,0)), HYPERLINK("#",""), HYPERLINK(CONCATENATE("#Metadata!", ADDRESS(INDEX($AJ$2:$AJ$1001,MATCH(ROWS($AH$2:AH200),$AH$2:$AH$1001,0),0), INDEX($AO$1004:$BQ$1004,1,MATCH(COLUMNS($AO$1006:AQ1006),$AO$1006:$BQ$1006,0)))),"Fix")))</f>
        <v>#N/A</v>
      </c>
      <c r="E200" s="5" t="e">
        <f ca="1">IF(OR(INDEX($AI$2:$AI$1001,MATCH(ROWS($AH$2:AH200),$AH$2:$AH$1001,0),1)&gt;=100000,INDEX($AO$1005:$BQ$1005,1,MATCH(COLUMNS($AO$1006:AR1006),$AO$1006:$BQ$1006,0))&gt;=100000), " ",IF(INDEX($AO$2:$BQ$1001,MATCH(ROWS($AH$2:AH200),$AH$2:$AH$1001,0),MATCH(COLUMNS($AO$1006:AR1006),$AO$1006:$BQ$1006,0)), HYPERLINK("#",""), HYPERLINK(CONCATENATE("#Metadata!", ADDRESS(INDEX($AJ$2:$AJ$1001,MATCH(ROWS($AH$2:AH200),$AH$2:$AH$1001,0),0), INDEX($AO$1004:$BQ$1004,1,MATCH(COLUMNS($AO$1006:AR1006),$AO$1006:$BQ$1006,0)))),"Fix")))</f>
        <v>#N/A</v>
      </c>
      <c r="F200" s="5" t="e">
        <f ca="1">IF(OR(INDEX($AI$2:$AI$1001,MATCH(ROWS($AH$2:AH200),$AH$2:$AH$1001,0),1)&gt;=100000,INDEX($AO$1005:$BQ$1005,1,MATCH(COLUMNS($AO$1006:AS1006),$AO$1006:$BQ$1006,0))&gt;=100000), " ",IF(INDEX($AO$2:$BQ$1001,MATCH(ROWS($AH$2:AH200),$AH$2:$AH$1001,0),MATCH(COLUMNS($AO$1006:AS1006),$AO$1006:$BQ$1006,0)), HYPERLINK("#",""), HYPERLINK(CONCATENATE("#Metadata!", ADDRESS(INDEX($AJ$2:$AJ$1001,MATCH(ROWS($AH$2:AH200),$AH$2:$AH$1001,0),0), INDEX($AO$1004:$BQ$1004,1,MATCH(COLUMNS($AO$1006:AS1006),$AO$1006:$BQ$1006,0)))),"Fix")))</f>
        <v>#N/A</v>
      </c>
      <c r="G200" s="5" t="e">
        <f ca="1">IF(OR(INDEX($AI$2:$AI$1001,MATCH(ROWS($AH$2:AH200),$AH$2:$AH$1001,0),1)&gt;=100000,INDEX($AO$1005:$BQ$1005,1,MATCH(COLUMNS($AO$1006:AT1006),$AO$1006:$BQ$1006,0))&gt;=100000), " ",IF(INDEX($AO$2:$BQ$1001,MATCH(ROWS($AH$2:AH200),$AH$2:$AH$1001,0),MATCH(COLUMNS($AO$1006:AT1006),$AO$1006:$BQ$1006,0)), HYPERLINK("#",""), HYPERLINK(CONCATENATE("#Metadata!", ADDRESS(INDEX($AJ$2:$AJ$1001,MATCH(ROWS($AH$2:AH200),$AH$2:$AH$1001,0),0), INDEX($AO$1004:$BQ$1004,1,MATCH(COLUMNS($AO$1006:AT1006),$AO$1006:$BQ$1006,0)))),"Fix")))</f>
        <v>#N/A</v>
      </c>
      <c r="H200" s="5" t="e">
        <f ca="1">IF(OR(INDEX($AI$2:$AI$1001,MATCH(ROWS($AH$2:AH200),$AH$2:$AH$1001,0),1)&gt;=100000,INDEX($AO$1005:$BQ$1005,1,MATCH(COLUMNS($AO$1006:AU1006),$AO$1006:$BQ$1006,0))&gt;=100000), " ",IF(INDEX($AO$2:$BQ$1001,MATCH(ROWS($AH$2:AH200),$AH$2:$AH$1001,0),MATCH(COLUMNS($AO$1006:AU1006),$AO$1006:$BQ$1006,0)), HYPERLINK("#",""), HYPERLINK(CONCATENATE("#Metadata!", ADDRESS(INDEX($AJ$2:$AJ$1001,MATCH(ROWS($AH$2:AH200),$AH$2:$AH$1001,0),0), INDEX($AO$1004:$BQ$1004,1,MATCH(COLUMNS($AO$1006:AU1006),$AO$1006:$BQ$1006,0)))),"Fix")))</f>
        <v>#N/A</v>
      </c>
      <c r="I200" s="5" t="e">
        <f ca="1">IF(OR(INDEX($AI$2:$AI$1001,MATCH(ROWS($AH$2:AH200),$AH$2:$AH$1001,0),1)&gt;=100000,INDEX($AO$1005:$BQ$1005,1,MATCH(COLUMNS($AO$1006:AV1006),$AO$1006:$BQ$1006,0))&gt;=100000), " ",IF(INDEX($AO$2:$BQ$1001,MATCH(ROWS($AH$2:AH200),$AH$2:$AH$1001,0),MATCH(COLUMNS($AO$1006:AV1006),$AO$1006:$BQ$1006,0)), HYPERLINK("#",""), HYPERLINK(CONCATENATE("#Metadata!", ADDRESS(INDEX($AJ$2:$AJ$1001,MATCH(ROWS($AH$2:AH200),$AH$2:$AH$1001,0),0), INDEX($AO$1004:$BQ$1004,1,MATCH(COLUMNS($AO$1006:AV1006),$AO$1006:$BQ$1006,0)))),"Fix")))</f>
        <v>#N/A</v>
      </c>
      <c r="J200" s="5" t="e">
        <f ca="1">IF(OR(INDEX($AI$2:$AI$1001,MATCH(ROWS($AH$2:AH200),$AH$2:$AH$1001,0),1)&gt;=100000,INDEX($AO$1005:$BQ$1005,1,MATCH(COLUMNS($AO$1006:AW1006),$AO$1006:$BQ$1006,0))&gt;=100000), " ",IF(INDEX($AO$2:$BQ$1001,MATCH(ROWS($AH$2:AH200),$AH$2:$AH$1001,0),MATCH(COLUMNS($AO$1006:AW1006),$AO$1006:$BQ$1006,0)), HYPERLINK("#",""), HYPERLINK(CONCATENATE("#Metadata!", ADDRESS(INDEX($AJ$2:$AJ$1001,MATCH(ROWS($AH$2:AH200),$AH$2:$AH$1001,0),0), INDEX($AO$1004:$BQ$1004,1,MATCH(COLUMNS($AO$1006:AW1006),$AO$1006:$BQ$1006,0)))),"Fix")))</f>
        <v>#N/A</v>
      </c>
      <c r="K200" s="5" t="e">
        <f ca="1">IF(OR(INDEX($AI$2:$AI$1001,MATCH(ROWS($AH$2:AH200),$AH$2:$AH$1001,0),1)&gt;=100000,INDEX($AO$1005:$BQ$1005,1,MATCH(COLUMNS($AO$1006:AX1006),$AO$1006:$BQ$1006,0))&gt;=100000), " ",IF(INDEX($AO$2:$BQ$1001,MATCH(ROWS($AH$2:AH200),$AH$2:$AH$1001,0),MATCH(COLUMNS($AO$1006:AX1006),$AO$1006:$BQ$1006,0)), HYPERLINK("#",""), HYPERLINK(CONCATENATE("#Metadata!", ADDRESS(INDEX($AJ$2:$AJ$1001,MATCH(ROWS($AH$2:AH200),$AH$2:$AH$1001,0),0), INDEX($AO$1004:$BQ$1004,1,MATCH(COLUMNS($AO$1006:AX1006),$AO$1006:$BQ$1006,0)))),"Fix")))</f>
        <v>#N/A</v>
      </c>
      <c r="L200" s="5" t="e">
        <f ca="1">IF(OR(INDEX($AI$2:$AI$1001,MATCH(ROWS($AH$2:AH200),$AH$2:$AH$1001,0),1)&gt;=100000,INDEX($AO$1005:$BQ$1005,1,MATCH(COLUMNS($AO$1006:AY1006),$AO$1006:$BQ$1006,0))&gt;=100000), " ",IF(INDEX($AO$2:$BQ$1001,MATCH(ROWS($AH$2:AH200),$AH$2:$AH$1001,0),MATCH(COLUMNS($AO$1006:AY1006),$AO$1006:$BQ$1006,0)), HYPERLINK("#",""), HYPERLINK(CONCATENATE("#Metadata!", ADDRESS(INDEX($AJ$2:$AJ$1001,MATCH(ROWS($AH$2:AH200),$AH$2:$AH$1001,0),0), INDEX($AO$1004:$BQ$1004,1,MATCH(COLUMNS($AO$1006:AY1006),$AO$1006:$BQ$1006,0)))),"Fix")))</f>
        <v>#N/A</v>
      </c>
      <c r="M200" s="5" t="e">
        <f ca="1">IF(OR(INDEX($AI$2:$AI$1001,MATCH(ROWS($AH$2:AH200),$AH$2:$AH$1001,0),1)&gt;=100000,INDEX($AO$1005:$BQ$1005,1,MATCH(COLUMNS($AO$1006:AZ1006),$AO$1006:$BQ$1006,0))&gt;=100000), " ",IF(INDEX($AO$2:$BQ$1001,MATCH(ROWS($AH$2:AH200),$AH$2:$AH$1001,0),MATCH(COLUMNS($AO$1006:AZ1006),$AO$1006:$BQ$1006,0)), HYPERLINK("#",""), HYPERLINK(CONCATENATE("#Metadata!", ADDRESS(INDEX($AJ$2:$AJ$1001,MATCH(ROWS($AH$2:AH200),$AH$2:$AH$1001,0),0), INDEX($AO$1004:$BQ$1004,1,MATCH(COLUMNS($AO$1006:AZ1006),$AO$1006:$BQ$1006,0)))),"Fix")))</f>
        <v>#N/A</v>
      </c>
      <c r="N200" s="5" t="e">
        <f ca="1">IF(OR(INDEX($AI$2:$AI$1001,MATCH(ROWS($AH$2:AH200),$AH$2:$AH$1001,0),1)&gt;=100000,INDEX($AO$1005:$BQ$1005,1,MATCH(COLUMNS($AO$1006:BA1006),$AO$1006:$BQ$1006,0))&gt;=100000), " ",IF(INDEX($AO$2:$BQ$1001,MATCH(ROWS($AH$2:AH200),$AH$2:$AH$1001,0),MATCH(COLUMNS($AO$1006:BA1006),$AO$1006:$BQ$1006,0)), HYPERLINK("#",""), HYPERLINK(CONCATENATE("#Metadata!", ADDRESS(INDEX($AJ$2:$AJ$1001,MATCH(ROWS($AH$2:AH200),$AH$2:$AH$1001,0),0), INDEX($AO$1004:$BQ$1004,1,MATCH(COLUMNS($AO$1006:BA1006),$AO$1006:$BQ$1006,0)))),"Fix")))</f>
        <v>#N/A</v>
      </c>
      <c r="O200" s="5" t="e">
        <f ca="1">IF(OR(INDEX($AI$2:$AI$1001,MATCH(ROWS($AH$2:AH200),$AH$2:$AH$1001,0),1)&gt;=100000,INDEX($AO$1005:$BQ$1005,1,MATCH(COLUMNS($AO$1006:BB1006),$AO$1006:$BQ$1006,0))&gt;=100000), " ",IF(INDEX($AO$2:$BQ$1001,MATCH(ROWS($AH$2:AH200),$AH$2:$AH$1001,0),MATCH(COLUMNS($AO$1006:BB1006),$AO$1006:$BQ$1006,0)), HYPERLINK("#",""), HYPERLINK(CONCATENATE("#Metadata!", ADDRESS(INDEX($AJ$2:$AJ$1001,MATCH(ROWS($AH$2:AH200),$AH$2:$AH$1001,0),0), INDEX($AO$1004:$BQ$1004,1,MATCH(COLUMNS($AO$1006:BB1006),$AO$1006:$BQ$1006,0)))),"Fix")))</f>
        <v>#N/A</v>
      </c>
      <c r="P200" s="5" t="e">
        <f ca="1">IF(OR(INDEX($AI$2:$AI$1001,MATCH(ROWS($AH$2:AH200),$AH$2:$AH$1001,0),1)&gt;=100000,INDEX($AO$1005:$BQ$1005,1,MATCH(COLUMNS($AO$1006:BC1006),$AO$1006:$BQ$1006,0))&gt;=100000), " ",IF(INDEX($AO$2:$BQ$1001,MATCH(ROWS($AH$2:AH200),$AH$2:$AH$1001,0),MATCH(COLUMNS($AO$1006:BC1006),$AO$1006:$BQ$1006,0)), HYPERLINK("#",""), HYPERLINK(CONCATENATE("#Metadata!", ADDRESS(INDEX($AJ$2:$AJ$1001,MATCH(ROWS($AH$2:AH200),$AH$2:$AH$1001,0),0), INDEX($AO$1004:$BQ$1004,1,MATCH(COLUMNS($AO$1006:BC1006),$AO$1006:$BQ$1006,0)))),"Fix")))</f>
        <v>#N/A</v>
      </c>
      <c r="Q200" s="5" t="e">
        <f ca="1">IF(OR(INDEX($AI$2:$AI$1001,MATCH(ROWS($AH$2:AH200),$AH$2:$AH$1001,0),1)&gt;=100000,INDEX($AO$1005:$BQ$1005,1,MATCH(COLUMNS($AO$1006:BD1006),$AO$1006:$BQ$1006,0))&gt;=100000), " ",IF(INDEX($AO$2:$BQ$1001,MATCH(ROWS($AH$2:AH200),$AH$2:$AH$1001,0),MATCH(COLUMNS($AO$1006:BD1006),$AO$1006:$BQ$1006,0)), HYPERLINK("#",""), HYPERLINK(CONCATENATE("#Metadata!", ADDRESS(INDEX($AJ$2:$AJ$1001,MATCH(ROWS($AH$2:AH200),$AH$2:$AH$1001,0),0), INDEX($AO$1004:$BQ$1004,1,MATCH(COLUMNS($AO$1006:BD1006),$AO$1006:$BQ$1006,0)))),"Fix")))</f>
        <v>#N/A</v>
      </c>
      <c r="R200" s="5" t="e">
        <f ca="1">IF(OR(INDEX($AI$2:$AI$1001,MATCH(ROWS($AH$2:AH200),$AH$2:$AH$1001,0),1)&gt;=100000,INDEX($AO$1005:$BQ$1005,1,MATCH(COLUMNS($AO$1006:BE1006),$AO$1006:$BQ$1006,0))&gt;=100000), " ",IF(INDEX($AO$2:$BQ$1001,MATCH(ROWS($AH$2:AH200),$AH$2:$AH$1001,0),MATCH(COLUMNS($AO$1006:BE1006),$AO$1006:$BQ$1006,0)), HYPERLINK("#",""), HYPERLINK(CONCATENATE("#Metadata!", ADDRESS(INDEX($AJ$2:$AJ$1001,MATCH(ROWS($AH$2:AH200),$AH$2:$AH$1001,0),0), INDEX($AO$1004:$BQ$1004,1,MATCH(COLUMNS($AO$1006:BE1006),$AO$1006:$BQ$1006,0)))),"Fix")))</f>
        <v>#N/A</v>
      </c>
      <c r="S200" s="5" t="e">
        <f ca="1">IF(OR(INDEX($AI$2:$AI$1001,MATCH(ROWS($AH$2:AH200),$AH$2:$AH$1001,0),1)&gt;=100000,INDEX($AO$1005:$BQ$1005,1,MATCH(COLUMNS($AO$1006:BF1006),$AO$1006:$BQ$1006,0))&gt;=100000), " ",IF(INDEX($AO$2:$BQ$1001,MATCH(ROWS($AH$2:AH200),$AH$2:$AH$1001,0),MATCH(COLUMNS($AO$1006:BF1006),$AO$1006:$BQ$1006,0)), HYPERLINK("#",""), HYPERLINK(CONCATENATE("#Metadata!", ADDRESS(INDEX($AJ$2:$AJ$1001,MATCH(ROWS($AH$2:AH200),$AH$2:$AH$1001,0),0), INDEX($AO$1004:$BQ$1004,1,MATCH(COLUMNS($AO$1006:BF1006),$AO$1006:$BQ$1006,0)))),"Fix")))</f>
        <v>#N/A</v>
      </c>
      <c r="T200" s="5" t="e">
        <f ca="1">IF(OR(INDEX($AI$2:$AI$1001,MATCH(ROWS($AH$2:AH200),$AH$2:$AH$1001,0),1)&gt;=100000,INDEX($AO$1005:$BQ$1005,1,MATCH(COLUMNS($AO$1006:BG1006),$AO$1006:$BQ$1006,0))&gt;=100000), " ",IF(INDEX($AO$2:$BQ$1001,MATCH(ROWS($AH$2:AH200),$AH$2:$AH$1001,0),MATCH(COLUMNS($AO$1006:BG1006),$AO$1006:$BQ$1006,0)), HYPERLINK("#",""), HYPERLINK(CONCATENATE("#Metadata!", ADDRESS(INDEX($AJ$2:$AJ$1001,MATCH(ROWS($AH$2:AH200),$AH$2:$AH$1001,0),0), INDEX($AO$1004:$BQ$1004,1,MATCH(COLUMNS($AO$1006:BG1006),$AO$1006:$BQ$1006,0)))),"Fix")))</f>
        <v>#N/A</v>
      </c>
      <c r="U200" s="5" t="e">
        <f ca="1">IF(OR(INDEX($AI$2:$AI$1001,MATCH(ROWS($AH$2:AH200),$AH$2:$AH$1001,0),1)&gt;=100000,INDEX($AO$1005:$BQ$1005,1,MATCH(COLUMNS($AO$1006:BH1006),$AO$1006:$BQ$1006,0))&gt;=100000), " ",IF(INDEX($AO$2:$BQ$1001,MATCH(ROWS($AH$2:AH200),$AH$2:$AH$1001,0),MATCH(COLUMNS($AO$1006:BH1006),$AO$1006:$BQ$1006,0)), HYPERLINK("#",""), HYPERLINK(CONCATENATE("#Metadata!", ADDRESS(INDEX($AJ$2:$AJ$1001,MATCH(ROWS($AH$2:AH200),$AH$2:$AH$1001,0),0), INDEX($AO$1004:$BQ$1004,1,MATCH(COLUMNS($AO$1006:BH1006),$AO$1006:$BQ$1006,0)))),"Fix")))</f>
        <v>#N/A</v>
      </c>
      <c r="V200" s="5" t="e">
        <f ca="1">IF(OR(INDEX($AI$2:$AI$1001,MATCH(ROWS($AH$2:AH200),$AH$2:$AH$1001,0),1)&gt;=100000,INDEX($AO$1005:$BQ$1005,1,MATCH(COLUMNS($AO$1006:BI1006),$AO$1006:$BQ$1006,0))&gt;=100000), " ",IF(INDEX($AO$2:$BQ$1001,MATCH(ROWS($AH$2:AH200),$AH$2:$AH$1001,0),MATCH(COLUMNS($AO$1006:BI1006),$AO$1006:$BQ$1006,0)), HYPERLINK("#",""), HYPERLINK(CONCATENATE("#Metadata!", ADDRESS(INDEX($AJ$2:$AJ$1001,MATCH(ROWS($AH$2:AH200),$AH$2:$AH$1001,0),0), INDEX($AO$1004:$BQ$1004,1,MATCH(COLUMNS($AO$1006:BI1006),$AO$1006:$BQ$1006,0)))),"Fix")))</f>
        <v>#N/A</v>
      </c>
      <c r="W200" s="5" t="e">
        <f ca="1">IF(OR(INDEX($AI$2:$AI$1001,MATCH(ROWS($AH$2:AH200),$AH$2:$AH$1001,0),1)&gt;=100000,INDEX($AO$1005:$BQ$1005,1,MATCH(COLUMNS($AO$1006:BJ1006),$AO$1006:$BQ$1006,0))&gt;=100000), " ",IF(INDEX($AO$2:$BQ$1001,MATCH(ROWS($AH$2:AH200),$AH$2:$AH$1001,0),MATCH(COLUMNS($AO$1006:BJ1006),$AO$1006:$BQ$1006,0)), HYPERLINK("#",""), HYPERLINK(CONCATENATE("#Metadata!", ADDRESS(INDEX($AJ$2:$AJ$1001,MATCH(ROWS($AH$2:AH200),$AH$2:$AH$1001,0),0), INDEX($AO$1004:$BQ$1004,1,MATCH(COLUMNS($AO$1006:BJ1006),$AO$1006:$BQ$1006,0)))),"Fix")))</f>
        <v>#N/A</v>
      </c>
      <c r="X200" s="5" t="e">
        <f ca="1">IF(OR(INDEX($AI$2:$AI$1001,MATCH(ROWS($AH$2:AH200),$AH$2:$AH$1001,0),1)&gt;=100000,INDEX($AO$1005:$BQ$1005,1,MATCH(COLUMNS($AO$1006:BK1006),$AO$1006:$BQ$1006,0))&gt;=100000), " ",IF(INDEX($AO$2:$BQ$1001,MATCH(ROWS($AH$2:AH200),$AH$2:$AH$1001,0),MATCH(COLUMNS($AO$1006:BK1006),$AO$1006:$BQ$1006,0)), HYPERLINK("#",""), HYPERLINK(CONCATENATE("#Metadata!", ADDRESS(INDEX($AJ$2:$AJ$1001,MATCH(ROWS($AH$2:AH200),$AH$2:$AH$1001,0),0), INDEX($AO$1004:$BQ$1004,1,MATCH(COLUMNS($AO$1006:BK1006),$AO$1006:$BQ$1006,0)))),"Fix")))</f>
        <v>#N/A</v>
      </c>
      <c r="Y200" s="5" t="e">
        <f ca="1">IF(OR(INDEX($AI$2:$AI$1001,MATCH(ROWS($AH$2:AH200),$AH$2:$AH$1001,0),1)&gt;=100000,INDEX($AO$1005:$BQ$1005,1,MATCH(COLUMNS($AO$1006:BL1006),$AO$1006:$BQ$1006,0))&gt;=100000), " ",IF(INDEX($AO$2:$BQ$1001,MATCH(ROWS($AH$2:AH200),$AH$2:$AH$1001,0),MATCH(COLUMNS($AO$1006:BL1006),$AO$1006:$BQ$1006,0)), HYPERLINK("#",""), HYPERLINK(CONCATENATE("#Metadata!", ADDRESS(INDEX($AJ$2:$AJ$1001,MATCH(ROWS($AH$2:AH200),$AH$2:$AH$1001,0),0), INDEX($AO$1004:$BQ$1004,1,MATCH(COLUMNS($AO$1006:BL1006),$AO$1006:$BQ$1006,0)))),"Fix")))</f>
        <v>#N/A</v>
      </c>
      <c r="Z200" s="5" t="e">
        <f ca="1">IF(OR(INDEX($AI$2:$AI$1001,MATCH(ROWS($AH$2:AH200),$AH$2:$AH$1001,0),1)&gt;=100000,INDEX($AO$1005:$BQ$1005,1,MATCH(COLUMNS($AO$1006:BM1006),$AO$1006:$BQ$1006,0))&gt;=100000), " ",IF(INDEX($AO$2:$BQ$1001,MATCH(ROWS($AH$2:AH200),$AH$2:$AH$1001,0),MATCH(COLUMNS($AO$1006:BM1006),$AO$1006:$BQ$1006,0)), HYPERLINK("#",""), HYPERLINK(CONCATENATE("#Metadata!", ADDRESS(INDEX($AJ$2:$AJ$1001,MATCH(ROWS($AH$2:AH200),$AH$2:$AH$1001,0),0), INDEX($AO$1004:$BQ$1004,1,MATCH(COLUMNS($AO$1006:BM1006),$AO$1006:$BQ$1006,0)))),"Fix")))</f>
        <v>#N/A</v>
      </c>
      <c r="AA200" s="5" t="e">
        <f ca="1">IF(OR(INDEX($AI$2:$AI$1001,MATCH(ROWS($AH$2:AH200),$AH$2:$AH$1001,0),1)&gt;=100000,INDEX($AO$1005:$BQ$1005,1,MATCH(COLUMNS($AO$1006:BN1006),$AO$1006:$BQ$1006,0))&gt;=100000), " ",IF(INDEX($AO$2:$BQ$1001,MATCH(ROWS($AH$2:AH200),$AH$2:$AH$1001,0),MATCH(COLUMNS($AO$1006:BN1006),$AO$1006:$BQ$1006,0)), HYPERLINK("#",""), HYPERLINK(CONCATENATE("#Metadata!", ADDRESS(INDEX($AJ$2:$AJ$1001,MATCH(ROWS($AH$2:AH200),$AH$2:$AH$1001,0),0), INDEX($AO$1004:$BQ$1004,1,MATCH(COLUMNS($AO$1006:BN1006),$AO$1006:$BQ$1006,0)))),"Fix")))</f>
        <v>#N/A</v>
      </c>
      <c r="AB200" s="5" t="e">
        <f ca="1">IF(OR(INDEX($AI$2:$AI$1001,MATCH(ROWS($AH$2:AH200),$AH$2:$AH$1001,0),1)&gt;=100000,INDEX($AO$1005:$BQ$1005,1,MATCH(COLUMNS($AO$1006:BO1006),$AO$1006:$BQ$1006,0))&gt;=100000), " ",IF(INDEX($AO$2:$BQ$1001,MATCH(ROWS($AH$2:AH200),$AH$2:$AH$1001,0),MATCH(COLUMNS($AO$1006:BO1006),$AO$1006:$BQ$1006,0)), HYPERLINK("#",""), HYPERLINK(CONCATENATE("#Metadata!", ADDRESS(INDEX($AJ$2:$AJ$1001,MATCH(ROWS($AH$2:AH200),$AH$2:$AH$1001,0),0), INDEX($AO$1004:$BQ$1004,1,MATCH(COLUMNS($AO$1006:BO1006),$AO$1006:$BQ$1006,0)))),"Fix")))</f>
        <v>#N/A</v>
      </c>
      <c r="AC200" s="5" t="e">
        <f ca="1">IF(OR(INDEX($AI$2:$AI$1001,MATCH(ROWS($AH$2:AH200),$AH$2:$AH$1001,0),1)&gt;=100000,INDEX($AO$1005:$BQ$1005,1,MATCH(COLUMNS($AO$1006:BP1006),$AO$1006:$BQ$1006,0))&gt;=100000), " ",IF(INDEX($AO$2:$BQ$1001,MATCH(ROWS($AH$2:AH200),$AH$2:$AH$1001,0),MATCH(COLUMNS($AO$1006:BP1006),$AO$1006:$BQ$1006,0)), HYPERLINK("#",""), HYPERLINK(CONCATENATE("#Metadata!", ADDRESS(INDEX($AJ$2:$AJ$1001,MATCH(ROWS($AH$2:AH200),$AH$2:$AH$1001,0),0), INDEX($AO$1004:$BQ$1004,1,MATCH(COLUMNS($AO$1006:BP1006),$AO$1006:$BQ$1006,0)))),"Fix")))</f>
        <v>#N/A</v>
      </c>
      <c r="AD200" s="5" t="e">
        <f ca="1">IF(OR(INDEX($AI$2:$AI$1001,MATCH(ROWS($AH$2:AH200),$AH$2:$AH$1001,0),1)&gt;=100000,INDEX($AO$1005:$BQ$1005,1,MATCH(COLUMNS($AO$1006:BQ1006),$AO$1006:$BQ$1006,0))&gt;=100000), " ",IF(INDEX($AO$2:$BQ$1001,MATCH(ROWS($AH$2:AH200),$AH$2:$AH$1001,0),MATCH(COLUMNS($AO$1006:BQ1006),$AO$1006:$BQ$1006,0)), HYPERLINK("#",""), HYPERLINK(CONCATENATE("#Metadata!", ADDRESS(INDEX($AJ$2:$AJ$1001,MATCH(ROWS($AH$2:AH200),$AH$2:$AH$1001,0),0), INDEX($AO$1004:$BQ$1004,1,MATCH(COLUMNS($AO$1006:BQ1006),$AO$1006:$BQ$1006,0)))),"Fix")))</f>
        <v>#REF!</v>
      </c>
      <c r="AH200">
        <f ca="1"/>
        <v>197</v>
      </c>
      <c r="AI200">
        <v>100200</v>
      </c>
      <c r="AJ200">
        <v>200</v>
      </c>
      <c r="AK200" t="b">
        <f t="shared" si="3"/>
        <v>1</v>
      </c>
      <c r="AL200" t="b">
        <f>COUNTBLANK(Metadata!B200:AD200)=COLUMNS(Metadata!B200:AD200)</f>
        <v>1</v>
      </c>
      <c r="AM200" t="str">
        <v/>
      </c>
      <c r="AO200" t="b">
        <f ca="1">AND(IF(Metadata!B200="",FALSE,TRUE),COUNTIF(Metadata!B:B, Metadata!B200) = 1,NOT(ISERROR(SUMPRODUCT(SEARCH(MID(Metadata!B200,ROW(INDIRECT("1:"&amp;LEN(Metadata!B200))), 1),"0123456789abcdefghijklmnopqrstuvwxyzABCDEFGHIJKLMNOPQRSTUVWXYZ.")))))</f>
        <v>0</v>
      </c>
      <c r="AP200" t="b">
        <f>IF(Metadata!C200="",FALSE,TRUE)</f>
        <v>0</v>
      </c>
      <c r="AQ200" t="b">
        <f>IF(Metadata!D200="",FALSE,TRUE)</f>
        <v>0</v>
      </c>
      <c r="AR200" t="b">
        <f ca="1">OR(AND(IF(Metadata!E200="",FALSE,TRUE),OR(EXACT(Metadata!E200,"not collected"),EXACT(Metadata!E200,"not provided"),EXACT(Metadata!E200,"restricted access"))),AND(IF(Metadata!E200="",FALSE,TRUE),AND(AND(IFERROR(INT(LEFT(Metadata!E200,4))&gt;1900,FALSE),IFERROR(INT(LEFT(Metadata!E200,4))&lt;=YEAR(NOW()),FALSE)), OR(MID(Metadata!E200,5,1)="", AND(AND(MID(Metadata!E200,5,1)="-",IFERROR(INT(MID(Metadata!E200,6,1))&gt;=0,FALSE),IFERROR(INT(MID(Metadata!E200,6,1))&lt;=1,FALSE),NOT(MID(Metadata!E200,7,1)=""),IFERROR(INT(MID(Metadata!E200,6,2))&gt;=1,FALSE),IFERROR(INT(MID(Metadata!E200,6,2))&lt;=12,FALSE)), OR(MID(Metadata!E200,8,1)="", AND(AND(MID(Metadata!E200,8,1)="-",IFERROR(INT(MID(Metadata!E200,9,1))&gt;=0,FALSE),IFERROR(INT(MID(Metadata!E200,9,1))&lt;=3,FALSE),NOT(MID(Metadata!E200,10,1)=""),IFERROR(INT(MID(Metadata!E200,9,2))&gt;=1,FALSE),IFERROR(INT(MID(Metadata!E200,9,2))&lt;=31,FALSE)), OR(MID(Metadata!E200,11,1)="", AND(AND(MID(Metadata!E200,11,1)=" ",IFERROR(INT(MID(Metadata!E200,12,1))&gt;=0,FALSE),IFERROR(INT(MID(Metadata!E200,12,1))&lt;=2,FALSE),NOT(MID(Metadata!E200,13,1)=""),IFERROR(INT(MID(Metadata!E200,12,2))&gt;=0,FALSE),IFERROR(INT(MID(Metadata!E200,12,2))&lt;=23,FALSE)), OR(MID(Metadata!E200,14,1)="", AND(AND(MID(Metadata!E200,14,1)=":",IFERROR(INT(MID(Metadata!E200,15,1))&gt;=0,FALSE),IFERROR(INT(MID(Metadata!E200,15,1))&lt;=5,FALSE),NOT(MID(Metadata!E200,16,1)=""),IFERROR(INT(MID(Metadata!E200,15,2))&gt;=0,FALSE),IFERROR(INT(MID(Metadata!E200,15,2))&lt;=59,FALSE)), OR(MID(Metadata!E200,17,1)="", AND(AND(MID(Metadata!E200,17,1)=":",IFERROR(INT(MID(Metadata!E200,18,1))&gt;=0,FALSE),IFERROR(INT(MID(Metadata!E200,18,1))&lt;=5,FALSE),NOT(MID(Metadata!E200,19,1)=""),IFERROR(INT(MID(Metadata!E200,18,2))&gt;=0,FALSE),IFERROR(INT(MID(Metadata!E200,18,2))&lt;=59,FALSE)), LEN(Metadata!E200)&lt;=19)))))))))))))</f>
        <v>0</v>
      </c>
      <c r="AS200" t="b">
        <f>IF(Metadata!F200="",FALSE,TRUE)</f>
        <v>0</v>
      </c>
      <c r="AT200" t="b">
        <f>OR(AND(IF(Metadata!G200="",FALSE,TRUE),OR(EXACT(Metadata!G200,"not collected"),EXACT(Metadata!G200,"not provided"))),AND(IF(Metadata!G200="",FALSE,TRUE),OR(EXACT(Metadata!G200,"TRUE"),EXACT(Metadata!G200,"FALSE"))))</f>
        <v>0</v>
      </c>
      <c r="AU200" t="b">
        <f>OR(AND(IF(Metadata!H200="",FALSE,TRUE),OR(EXACT(Metadata!H200,"not collected"),EXACT(Metadata!H200,"not provided"),EXACT(Metadata!H200,"restricted access"))),AND(IF(Metadata!H200="",FALSE,ISNUMBER(VALUE(Metadata!H200))),Metadata!H200&gt;=-413))</f>
        <v>0</v>
      </c>
      <c r="AV200" t="b">
        <f>AND(IF(Metadata!I200="",FALSE,TRUE),EXACT(Metadata!I200,"meters"))</f>
        <v>0</v>
      </c>
      <c r="AW200" t="b">
        <f>AND(IF(Metadata!J200="",FALSE,TRUE),EXACT(Metadata!J200,"free-living"))</f>
        <v>0</v>
      </c>
      <c r="AX200" t="b">
        <f>AND(IF(Metadata!K200="",FALSE,TRUE),OR(EXACT(Metadata!K200,"saline"),EXACT(Metadata!K200,"non-saline")))</f>
        <v>0</v>
      </c>
      <c r="AY200" t="b">
        <f>AND(IF(Metadata!L200="",FALSE,TRUE),OR(EXACT(Metadata!L200,"sub-surface (non-saline)"),EXACT(Metadata!L200,"surface (non-saline)"),EXACT(Metadata!L200,"water (non-saline)"),EXACT(Metadata!L200,"soil (non-saline)"),EXACT(Metadata!L200,"aerosol (non-saline)"),EXACT(Metadata!L200,"sediment (non-saline)"),EXACT(Metadata!L200,"surface (saline)"),EXACT(Metadata!L200,"water (saline)"),EXACT(Metadata!L200,"hypersaline (saline)"),EXACT(Metadata!L200,"aerosol (saline)"),EXACT(Metadata!L200,"sediment (saline)")))</f>
        <v>0</v>
      </c>
      <c r="AZ200" t="b">
        <f>IF(Metadata!M200="",FALSE,TRUE)</f>
        <v>0</v>
      </c>
      <c r="BA200" t="b">
        <f>IF(Metadata!N200="",FALSE,TRUE)</f>
        <v>0</v>
      </c>
      <c r="BB200" t="b">
        <f>IF(Metadata!O200="",FALSE,TRUE)</f>
        <v>0</v>
      </c>
      <c r="BC200" t="b">
        <f>AND(IF(Metadata!P200="",FALSE,TRUE),OR(EXACT(Metadata!P200,"air"),EXACT(Metadata!P200,"microbial mat/biofilm"),EXACT(Metadata!P200,"misc environment"),EXACT(Metadata!P200,"sediment"),EXACT(Metadata!P200,"soil"),EXACT(Metadata!P200,"wastewater/sludge"),EXACT(Metadata!P200,"water")))</f>
        <v>0</v>
      </c>
      <c r="BD200" t="b">
        <f>IF(Metadata!Q200="",FALSE,TRUE)</f>
        <v>0</v>
      </c>
      <c r="BE200" t="b">
        <f>IF(Metadata!R200="",FALSE,TRUE)</f>
        <v>0</v>
      </c>
      <c r="BF200" t="b">
        <f>OR(AND(IF(Metadata!S200="",FALSE,TRUE),OR(EXACT(Metadata!S200,"not collected"),EXACT(Metadata!S200,"not provided"),EXACT(Metadata!S200,"restricted access"))),AND(IF(Metadata!S200="",FALSE,ISNUMBER(VALUE(Metadata!S200))),Metadata!S200&gt;=-90,Metadata!S200&lt;=90))</f>
        <v>0</v>
      </c>
      <c r="BG200" t="b">
        <f>AND(IF(Metadata!T200="",FALSE,TRUE),EXACT(Metadata!T200,"Decimal degrees"))</f>
        <v>0</v>
      </c>
      <c r="BH200" t="b">
        <f>OR(AND(IF(Metadata!U200="",FALSE,TRUE),OR(EXACT(Metadata!U200,"not applicable"),EXACT(Metadata!U200,"not collected"))),IF(Metadata!U200="",FALSE,TRUE))</f>
        <v>0</v>
      </c>
      <c r="BI200" t="b">
        <f>OR(AND(IF(Metadata!V200="",FALSE,TRUE),OR(EXACT(Metadata!V200,"not collected"),EXACT(Metadata!V200,"not provided"),EXACT(Metadata!V200,"restricted access"))),AND(IF(Metadata!V200="",FALSE,ISNUMBER(VALUE(Metadata!V200))),Metadata!V200&gt;=-180,Metadata!V200&lt;=180))</f>
        <v>0</v>
      </c>
      <c r="BJ200" t="b">
        <f>AND(IF(Metadata!W200="",FALSE,TRUE),EXACT(Metadata!W200,"Decimal degrees"))</f>
        <v>0</v>
      </c>
      <c r="BK200" t="b">
        <f>IF(Metadata!X200="",FALSE,TRUE)</f>
        <v>0</v>
      </c>
      <c r="BL200" t="b">
        <f>OR(AND(IF(Metadata!Y200="",FALSE,TRUE),OR(EXACT(Metadata!Y200,"not collected"),EXACT(Metadata!Y200,"not provided"),EXACT(Metadata!Y200,"restricted access"))),AND(IF(Metadata!Y200="",FALSE,TRUE),OR(EXACT(Metadata!Y200,"TRUE"),EXACT(Metadata!Y200,"FALSE"))))</f>
        <v>0</v>
      </c>
      <c r="BM200" t="b">
        <f>OR(AND(IF(Metadata!Z200="",FALSE,TRUE),EXACT(Metadata!Z200,"not applicable")),AND(IF(Metadata!Z200="",FALSE,TRUE),OR(EXACT(Metadata!Z200,"beer"),EXACT(Metadata!Z200,"cheese"),EXACT(Metadata!Z200,"fresh water"),EXACT(Metadata!Z200,"marine sediment"),EXACT(Metadata!Z200,"sea water"),EXACT(Metadata!Z200,"sediment"),EXACT(Metadata!Z200,"soil"),EXACT(Metadata!Z200,"waste water"))))</f>
        <v>0</v>
      </c>
      <c r="BN200" t="b">
        <f>AND(IF(Metadata!AA200="",FALSE,TRUE),EXACT(Metadata!AA200,"metagenome"))</f>
        <v>0</v>
      </c>
      <c r="BO200" t="b">
        <f>AND(IF(Metadata!AB200="",FALSE,TRUE),EXACT(Metadata!AB200,"256318"))</f>
        <v>0</v>
      </c>
      <c r="BP200" t="b">
        <f>IF(Metadata!AC200="",FALSE,TRUE)</f>
        <v>0</v>
      </c>
      <c r="BQ200" t="b">
        <f>IF(Metadata!AD200="",FALSE,TRUE)</f>
        <v>0</v>
      </c>
    </row>
    <row r="201" spans="1:69" x14ac:dyDescent="0.2">
      <c r="A201" s="4" t="e">
        <f ca="1">IF(B201=" "," ",HYPERLINK(CONCATENATE("#metadata!",ADDRESS(INDEX($AJ$2:$AJ$1001,MATCH(ROWS($AH$2:AH201),$AH$2:$AH$1001,0),0),2)),INDEX($AM$2:$AM$1001,MATCH(ROWS($AH$2:AH201),$AH$2:$AH$1001,0),0)))</f>
        <v>#N/A</v>
      </c>
      <c r="B201" s="5" t="e">
        <f ca="1">IF(OR(INDEX($AI$2:$AI$1001,MATCH(ROWS($AH$2:AH201),$AH$2:$AH$1001,0),1)&gt;=100000,INDEX($AO$1005:$BQ$1005,1,MATCH(COLUMNS($AO$1006:AO1006),$AO$1006:$BQ$1006,0))&gt;=100000), " ",IF(INDEX($AO$2:$BQ$1001,MATCH(ROWS($AH$2:AH201),$AH$2:$AH$1001,0),MATCH(COLUMNS($AO$1006:AO1006),$AO$1006:$BQ$1006,0)), HYPERLINK("#",""), HYPERLINK(CONCATENATE("#Metadata!", ADDRESS(INDEX($AJ$2:$AJ$1001,MATCH(ROWS($AH$2:AH201),$AH$2:$AH$1001,0),0), INDEX($AO$1004:$BQ$1004,1,MATCH(COLUMNS($AO$1006:AO1006),$AO$1006:$BQ$1006,0)))),"Fix")))</f>
        <v>#N/A</v>
      </c>
      <c r="C201" s="5" t="e">
        <f ca="1">IF(OR(INDEX($AI$2:$AI$1001,MATCH(ROWS($AH$2:AH201),$AH$2:$AH$1001,0),1)&gt;=100000,INDEX($AO$1005:$BQ$1005,1,MATCH(COLUMNS($AO$1006:AP1006),$AO$1006:$BQ$1006,0))&gt;=100000), " ",IF(INDEX($AO$2:$BQ$1001,MATCH(ROWS($AH$2:AH201),$AH$2:$AH$1001,0),MATCH(COLUMNS($AO$1006:AP1006),$AO$1006:$BQ$1006,0)), HYPERLINK("#",""), HYPERLINK(CONCATENATE("#Metadata!", ADDRESS(INDEX($AJ$2:$AJ$1001,MATCH(ROWS($AH$2:AH201),$AH$2:$AH$1001,0),0), INDEX($AO$1004:$BQ$1004,1,MATCH(COLUMNS($AO$1006:AP1006),$AO$1006:$BQ$1006,0)))),"Fix")))</f>
        <v>#N/A</v>
      </c>
      <c r="D201" s="5" t="e">
        <f ca="1">IF(OR(INDEX($AI$2:$AI$1001,MATCH(ROWS($AH$2:AH201),$AH$2:$AH$1001,0),1)&gt;=100000,INDEX($AO$1005:$BQ$1005,1,MATCH(COLUMNS($AO$1006:AQ1006),$AO$1006:$BQ$1006,0))&gt;=100000), " ",IF(INDEX($AO$2:$BQ$1001,MATCH(ROWS($AH$2:AH201),$AH$2:$AH$1001,0),MATCH(COLUMNS($AO$1006:AQ1006),$AO$1006:$BQ$1006,0)), HYPERLINK("#",""), HYPERLINK(CONCATENATE("#Metadata!", ADDRESS(INDEX($AJ$2:$AJ$1001,MATCH(ROWS($AH$2:AH201),$AH$2:$AH$1001,0),0), INDEX($AO$1004:$BQ$1004,1,MATCH(COLUMNS($AO$1006:AQ1006),$AO$1006:$BQ$1006,0)))),"Fix")))</f>
        <v>#N/A</v>
      </c>
      <c r="E201" s="5" t="e">
        <f ca="1">IF(OR(INDEX($AI$2:$AI$1001,MATCH(ROWS($AH$2:AH201),$AH$2:$AH$1001,0),1)&gt;=100000,INDEX($AO$1005:$BQ$1005,1,MATCH(COLUMNS($AO$1006:AR1006),$AO$1006:$BQ$1006,0))&gt;=100000), " ",IF(INDEX($AO$2:$BQ$1001,MATCH(ROWS($AH$2:AH201),$AH$2:$AH$1001,0),MATCH(COLUMNS($AO$1006:AR1006),$AO$1006:$BQ$1006,0)), HYPERLINK("#",""), HYPERLINK(CONCATENATE("#Metadata!", ADDRESS(INDEX($AJ$2:$AJ$1001,MATCH(ROWS($AH$2:AH201),$AH$2:$AH$1001,0),0), INDEX($AO$1004:$BQ$1004,1,MATCH(COLUMNS($AO$1006:AR1006),$AO$1006:$BQ$1006,0)))),"Fix")))</f>
        <v>#N/A</v>
      </c>
      <c r="F201" s="5" t="e">
        <f ca="1">IF(OR(INDEX($AI$2:$AI$1001,MATCH(ROWS($AH$2:AH201),$AH$2:$AH$1001,0),1)&gt;=100000,INDEX($AO$1005:$BQ$1005,1,MATCH(COLUMNS($AO$1006:AS1006),$AO$1006:$BQ$1006,0))&gt;=100000), " ",IF(INDEX($AO$2:$BQ$1001,MATCH(ROWS($AH$2:AH201),$AH$2:$AH$1001,0),MATCH(COLUMNS($AO$1006:AS1006),$AO$1006:$BQ$1006,0)), HYPERLINK("#",""), HYPERLINK(CONCATENATE("#Metadata!", ADDRESS(INDEX($AJ$2:$AJ$1001,MATCH(ROWS($AH$2:AH201),$AH$2:$AH$1001,0),0), INDEX($AO$1004:$BQ$1004,1,MATCH(COLUMNS($AO$1006:AS1006),$AO$1006:$BQ$1006,0)))),"Fix")))</f>
        <v>#N/A</v>
      </c>
      <c r="G201" s="5" t="e">
        <f ca="1">IF(OR(INDEX($AI$2:$AI$1001,MATCH(ROWS($AH$2:AH201),$AH$2:$AH$1001,0),1)&gt;=100000,INDEX($AO$1005:$BQ$1005,1,MATCH(COLUMNS($AO$1006:AT1006),$AO$1006:$BQ$1006,0))&gt;=100000), " ",IF(INDEX($AO$2:$BQ$1001,MATCH(ROWS($AH$2:AH201),$AH$2:$AH$1001,0),MATCH(COLUMNS($AO$1006:AT1006),$AO$1006:$BQ$1006,0)), HYPERLINK("#",""), HYPERLINK(CONCATENATE("#Metadata!", ADDRESS(INDEX($AJ$2:$AJ$1001,MATCH(ROWS($AH$2:AH201),$AH$2:$AH$1001,0),0), INDEX($AO$1004:$BQ$1004,1,MATCH(COLUMNS($AO$1006:AT1006),$AO$1006:$BQ$1006,0)))),"Fix")))</f>
        <v>#N/A</v>
      </c>
      <c r="H201" s="5" t="e">
        <f ca="1">IF(OR(INDEX($AI$2:$AI$1001,MATCH(ROWS($AH$2:AH201),$AH$2:$AH$1001,0),1)&gt;=100000,INDEX($AO$1005:$BQ$1005,1,MATCH(COLUMNS($AO$1006:AU1006),$AO$1006:$BQ$1006,0))&gt;=100000), " ",IF(INDEX($AO$2:$BQ$1001,MATCH(ROWS($AH$2:AH201),$AH$2:$AH$1001,0),MATCH(COLUMNS($AO$1006:AU1006),$AO$1006:$BQ$1006,0)), HYPERLINK("#",""), HYPERLINK(CONCATENATE("#Metadata!", ADDRESS(INDEX($AJ$2:$AJ$1001,MATCH(ROWS($AH$2:AH201),$AH$2:$AH$1001,0),0), INDEX($AO$1004:$BQ$1004,1,MATCH(COLUMNS($AO$1006:AU1006),$AO$1006:$BQ$1006,0)))),"Fix")))</f>
        <v>#N/A</v>
      </c>
      <c r="I201" s="5" t="e">
        <f ca="1">IF(OR(INDEX($AI$2:$AI$1001,MATCH(ROWS($AH$2:AH201),$AH$2:$AH$1001,0),1)&gt;=100000,INDEX($AO$1005:$BQ$1005,1,MATCH(COLUMNS($AO$1006:AV1006),$AO$1006:$BQ$1006,0))&gt;=100000), " ",IF(INDEX($AO$2:$BQ$1001,MATCH(ROWS($AH$2:AH201),$AH$2:$AH$1001,0),MATCH(COLUMNS($AO$1006:AV1006),$AO$1006:$BQ$1006,0)), HYPERLINK("#",""), HYPERLINK(CONCATENATE("#Metadata!", ADDRESS(INDEX($AJ$2:$AJ$1001,MATCH(ROWS($AH$2:AH201),$AH$2:$AH$1001,0),0), INDEX($AO$1004:$BQ$1004,1,MATCH(COLUMNS($AO$1006:AV1006),$AO$1006:$BQ$1006,0)))),"Fix")))</f>
        <v>#N/A</v>
      </c>
      <c r="J201" s="5" t="e">
        <f ca="1">IF(OR(INDEX($AI$2:$AI$1001,MATCH(ROWS($AH$2:AH201),$AH$2:$AH$1001,0),1)&gt;=100000,INDEX($AO$1005:$BQ$1005,1,MATCH(COLUMNS($AO$1006:AW1006),$AO$1006:$BQ$1006,0))&gt;=100000), " ",IF(INDEX($AO$2:$BQ$1001,MATCH(ROWS($AH$2:AH201),$AH$2:$AH$1001,0),MATCH(COLUMNS($AO$1006:AW1006),$AO$1006:$BQ$1006,0)), HYPERLINK("#",""), HYPERLINK(CONCATENATE("#Metadata!", ADDRESS(INDEX($AJ$2:$AJ$1001,MATCH(ROWS($AH$2:AH201),$AH$2:$AH$1001,0),0), INDEX($AO$1004:$BQ$1004,1,MATCH(COLUMNS($AO$1006:AW1006),$AO$1006:$BQ$1006,0)))),"Fix")))</f>
        <v>#N/A</v>
      </c>
      <c r="K201" s="5" t="e">
        <f ca="1">IF(OR(INDEX($AI$2:$AI$1001,MATCH(ROWS($AH$2:AH201),$AH$2:$AH$1001,0),1)&gt;=100000,INDEX($AO$1005:$BQ$1005,1,MATCH(COLUMNS($AO$1006:AX1006),$AO$1006:$BQ$1006,0))&gt;=100000), " ",IF(INDEX($AO$2:$BQ$1001,MATCH(ROWS($AH$2:AH201),$AH$2:$AH$1001,0),MATCH(COLUMNS($AO$1006:AX1006),$AO$1006:$BQ$1006,0)), HYPERLINK("#",""), HYPERLINK(CONCATENATE("#Metadata!", ADDRESS(INDEX($AJ$2:$AJ$1001,MATCH(ROWS($AH$2:AH201),$AH$2:$AH$1001,0),0), INDEX($AO$1004:$BQ$1004,1,MATCH(COLUMNS($AO$1006:AX1006),$AO$1006:$BQ$1006,0)))),"Fix")))</f>
        <v>#N/A</v>
      </c>
      <c r="L201" s="5" t="e">
        <f ca="1">IF(OR(INDEX($AI$2:$AI$1001,MATCH(ROWS($AH$2:AH201),$AH$2:$AH$1001,0),1)&gt;=100000,INDEX($AO$1005:$BQ$1005,1,MATCH(COLUMNS($AO$1006:AY1006),$AO$1006:$BQ$1006,0))&gt;=100000), " ",IF(INDEX($AO$2:$BQ$1001,MATCH(ROWS($AH$2:AH201),$AH$2:$AH$1001,0),MATCH(COLUMNS($AO$1006:AY1006),$AO$1006:$BQ$1006,0)), HYPERLINK("#",""), HYPERLINK(CONCATENATE("#Metadata!", ADDRESS(INDEX($AJ$2:$AJ$1001,MATCH(ROWS($AH$2:AH201),$AH$2:$AH$1001,0),0), INDEX($AO$1004:$BQ$1004,1,MATCH(COLUMNS($AO$1006:AY1006),$AO$1006:$BQ$1006,0)))),"Fix")))</f>
        <v>#N/A</v>
      </c>
      <c r="M201" s="5" t="e">
        <f ca="1">IF(OR(INDEX($AI$2:$AI$1001,MATCH(ROWS($AH$2:AH201),$AH$2:$AH$1001,0),1)&gt;=100000,INDEX($AO$1005:$BQ$1005,1,MATCH(COLUMNS($AO$1006:AZ1006),$AO$1006:$BQ$1006,0))&gt;=100000), " ",IF(INDEX($AO$2:$BQ$1001,MATCH(ROWS($AH$2:AH201),$AH$2:$AH$1001,0),MATCH(COLUMNS($AO$1006:AZ1006),$AO$1006:$BQ$1006,0)), HYPERLINK("#",""), HYPERLINK(CONCATENATE("#Metadata!", ADDRESS(INDEX($AJ$2:$AJ$1001,MATCH(ROWS($AH$2:AH201),$AH$2:$AH$1001,0),0), INDEX($AO$1004:$BQ$1004,1,MATCH(COLUMNS($AO$1006:AZ1006),$AO$1006:$BQ$1006,0)))),"Fix")))</f>
        <v>#N/A</v>
      </c>
      <c r="N201" s="5" t="e">
        <f ca="1">IF(OR(INDEX($AI$2:$AI$1001,MATCH(ROWS($AH$2:AH201),$AH$2:$AH$1001,0),1)&gt;=100000,INDEX($AO$1005:$BQ$1005,1,MATCH(COLUMNS($AO$1006:BA1006),$AO$1006:$BQ$1006,0))&gt;=100000), " ",IF(INDEX($AO$2:$BQ$1001,MATCH(ROWS($AH$2:AH201),$AH$2:$AH$1001,0),MATCH(COLUMNS($AO$1006:BA1006),$AO$1006:$BQ$1006,0)), HYPERLINK("#",""), HYPERLINK(CONCATENATE("#Metadata!", ADDRESS(INDEX($AJ$2:$AJ$1001,MATCH(ROWS($AH$2:AH201),$AH$2:$AH$1001,0),0), INDEX($AO$1004:$BQ$1004,1,MATCH(COLUMNS($AO$1006:BA1006),$AO$1006:$BQ$1006,0)))),"Fix")))</f>
        <v>#N/A</v>
      </c>
      <c r="O201" s="5" t="e">
        <f ca="1">IF(OR(INDEX($AI$2:$AI$1001,MATCH(ROWS($AH$2:AH201),$AH$2:$AH$1001,0),1)&gt;=100000,INDEX($AO$1005:$BQ$1005,1,MATCH(COLUMNS($AO$1006:BB1006),$AO$1006:$BQ$1006,0))&gt;=100000), " ",IF(INDEX($AO$2:$BQ$1001,MATCH(ROWS($AH$2:AH201),$AH$2:$AH$1001,0),MATCH(COLUMNS($AO$1006:BB1006),$AO$1006:$BQ$1006,0)), HYPERLINK("#",""), HYPERLINK(CONCATENATE("#Metadata!", ADDRESS(INDEX($AJ$2:$AJ$1001,MATCH(ROWS($AH$2:AH201),$AH$2:$AH$1001,0),0), INDEX($AO$1004:$BQ$1004,1,MATCH(COLUMNS($AO$1006:BB1006),$AO$1006:$BQ$1006,0)))),"Fix")))</f>
        <v>#N/A</v>
      </c>
      <c r="P201" s="5" t="e">
        <f ca="1">IF(OR(INDEX($AI$2:$AI$1001,MATCH(ROWS($AH$2:AH201),$AH$2:$AH$1001,0),1)&gt;=100000,INDEX($AO$1005:$BQ$1005,1,MATCH(COLUMNS($AO$1006:BC1006),$AO$1006:$BQ$1006,0))&gt;=100000), " ",IF(INDEX($AO$2:$BQ$1001,MATCH(ROWS($AH$2:AH201),$AH$2:$AH$1001,0),MATCH(COLUMNS($AO$1006:BC1006),$AO$1006:$BQ$1006,0)), HYPERLINK("#",""), HYPERLINK(CONCATENATE("#Metadata!", ADDRESS(INDEX($AJ$2:$AJ$1001,MATCH(ROWS($AH$2:AH201),$AH$2:$AH$1001,0),0), INDEX($AO$1004:$BQ$1004,1,MATCH(COLUMNS($AO$1006:BC1006),$AO$1006:$BQ$1006,0)))),"Fix")))</f>
        <v>#N/A</v>
      </c>
      <c r="Q201" s="5" t="e">
        <f ca="1">IF(OR(INDEX($AI$2:$AI$1001,MATCH(ROWS($AH$2:AH201),$AH$2:$AH$1001,0),1)&gt;=100000,INDEX($AO$1005:$BQ$1005,1,MATCH(COLUMNS($AO$1006:BD1006),$AO$1006:$BQ$1006,0))&gt;=100000), " ",IF(INDEX($AO$2:$BQ$1001,MATCH(ROWS($AH$2:AH201),$AH$2:$AH$1001,0),MATCH(COLUMNS($AO$1006:BD1006),$AO$1006:$BQ$1006,0)), HYPERLINK("#",""), HYPERLINK(CONCATENATE("#Metadata!", ADDRESS(INDEX($AJ$2:$AJ$1001,MATCH(ROWS($AH$2:AH201),$AH$2:$AH$1001,0),0), INDEX($AO$1004:$BQ$1004,1,MATCH(COLUMNS($AO$1006:BD1006),$AO$1006:$BQ$1006,0)))),"Fix")))</f>
        <v>#N/A</v>
      </c>
      <c r="R201" s="5" t="e">
        <f ca="1">IF(OR(INDEX($AI$2:$AI$1001,MATCH(ROWS($AH$2:AH201),$AH$2:$AH$1001,0),1)&gt;=100000,INDEX($AO$1005:$BQ$1005,1,MATCH(COLUMNS($AO$1006:BE1006),$AO$1006:$BQ$1006,0))&gt;=100000), " ",IF(INDEX($AO$2:$BQ$1001,MATCH(ROWS($AH$2:AH201),$AH$2:$AH$1001,0),MATCH(COLUMNS($AO$1006:BE1006),$AO$1006:$BQ$1006,0)), HYPERLINK("#",""), HYPERLINK(CONCATENATE("#Metadata!", ADDRESS(INDEX($AJ$2:$AJ$1001,MATCH(ROWS($AH$2:AH201),$AH$2:$AH$1001,0),0), INDEX($AO$1004:$BQ$1004,1,MATCH(COLUMNS($AO$1006:BE1006),$AO$1006:$BQ$1006,0)))),"Fix")))</f>
        <v>#N/A</v>
      </c>
      <c r="S201" s="5" t="e">
        <f ca="1">IF(OR(INDEX($AI$2:$AI$1001,MATCH(ROWS($AH$2:AH201),$AH$2:$AH$1001,0),1)&gt;=100000,INDEX($AO$1005:$BQ$1005,1,MATCH(COLUMNS($AO$1006:BF1006),$AO$1006:$BQ$1006,0))&gt;=100000), " ",IF(INDEX($AO$2:$BQ$1001,MATCH(ROWS($AH$2:AH201),$AH$2:$AH$1001,0),MATCH(COLUMNS($AO$1006:BF1006),$AO$1006:$BQ$1006,0)), HYPERLINK("#",""), HYPERLINK(CONCATENATE("#Metadata!", ADDRESS(INDEX($AJ$2:$AJ$1001,MATCH(ROWS($AH$2:AH201),$AH$2:$AH$1001,0),0), INDEX($AO$1004:$BQ$1004,1,MATCH(COLUMNS($AO$1006:BF1006),$AO$1006:$BQ$1006,0)))),"Fix")))</f>
        <v>#N/A</v>
      </c>
      <c r="T201" s="5" t="e">
        <f ca="1">IF(OR(INDEX($AI$2:$AI$1001,MATCH(ROWS($AH$2:AH201),$AH$2:$AH$1001,0),1)&gt;=100000,INDEX($AO$1005:$BQ$1005,1,MATCH(COLUMNS($AO$1006:BG1006),$AO$1006:$BQ$1006,0))&gt;=100000), " ",IF(INDEX($AO$2:$BQ$1001,MATCH(ROWS($AH$2:AH201),$AH$2:$AH$1001,0),MATCH(COLUMNS($AO$1006:BG1006),$AO$1006:$BQ$1006,0)), HYPERLINK("#",""), HYPERLINK(CONCATENATE("#Metadata!", ADDRESS(INDEX($AJ$2:$AJ$1001,MATCH(ROWS($AH$2:AH201),$AH$2:$AH$1001,0),0), INDEX($AO$1004:$BQ$1004,1,MATCH(COLUMNS($AO$1006:BG1006),$AO$1006:$BQ$1006,0)))),"Fix")))</f>
        <v>#N/A</v>
      </c>
      <c r="U201" s="5" t="e">
        <f ca="1">IF(OR(INDEX($AI$2:$AI$1001,MATCH(ROWS($AH$2:AH201),$AH$2:$AH$1001,0),1)&gt;=100000,INDEX($AO$1005:$BQ$1005,1,MATCH(COLUMNS($AO$1006:BH1006),$AO$1006:$BQ$1006,0))&gt;=100000), " ",IF(INDEX($AO$2:$BQ$1001,MATCH(ROWS($AH$2:AH201),$AH$2:$AH$1001,0),MATCH(COLUMNS($AO$1006:BH1006),$AO$1006:$BQ$1006,0)), HYPERLINK("#",""), HYPERLINK(CONCATENATE("#Metadata!", ADDRESS(INDEX($AJ$2:$AJ$1001,MATCH(ROWS($AH$2:AH201),$AH$2:$AH$1001,0),0), INDEX($AO$1004:$BQ$1004,1,MATCH(COLUMNS($AO$1006:BH1006),$AO$1006:$BQ$1006,0)))),"Fix")))</f>
        <v>#N/A</v>
      </c>
      <c r="V201" s="5" t="e">
        <f ca="1">IF(OR(INDEX($AI$2:$AI$1001,MATCH(ROWS($AH$2:AH201),$AH$2:$AH$1001,0),1)&gt;=100000,INDEX($AO$1005:$BQ$1005,1,MATCH(COLUMNS($AO$1006:BI1006),$AO$1006:$BQ$1006,0))&gt;=100000), " ",IF(INDEX($AO$2:$BQ$1001,MATCH(ROWS($AH$2:AH201),$AH$2:$AH$1001,0),MATCH(COLUMNS($AO$1006:BI1006),$AO$1006:$BQ$1006,0)), HYPERLINK("#",""), HYPERLINK(CONCATENATE("#Metadata!", ADDRESS(INDEX($AJ$2:$AJ$1001,MATCH(ROWS($AH$2:AH201),$AH$2:$AH$1001,0),0), INDEX($AO$1004:$BQ$1004,1,MATCH(COLUMNS($AO$1006:BI1006),$AO$1006:$BQ$1006,0)))),"Fix")))</f>
        <v>#N/A</v>
      </c>
      <c r="W201" s="5" t="e">
        <f ca="1">IF(OR(INDEX($AI$2:$AI$1001,MATCH(ROWS($AH$2:AH201),$AH$2:$AH$1001,0),1)&gt;=100000,INDEX($AO$1005:$BQ$1005,1,MATCH(COLUMNS($AO$1006:BJ1006),$AO$1006:$BQ$1006,0))&gt;=100000), " ",IF(INDEX($AO$2:$BQ$1001,MATCH(ROWS($AH$2:AH201),$AH$2:$AH$1001,0),MATCH(COLUMNS($AO$1006:BJ1006),$AO$1006:$BQ$1006,0)), HYPERLINK("#",""), HYPERLINK(CONCATENATE("#Metadata!", ADDRESS(INDEX($AJ$2:$AJ$1001,MATCH(ROWS($AH$2:AH201),$AH$2:$AH$1001,0),0), INDEX($AO$1004:$BQ$1004,1,MATCH(COLUMNS($AO$1006:BJ1006),$AO$1006:$BQ$1006,0)))),"Fix")))</f>
        <v>#N/A</v>
      </c>
      <c r="X201" s="5" t="e">
        <f ca="1">IF(OR(INDEX($AI$2:$AI$1001,MATCH(ROWS($AH$2:AH201),$AH$2:$AH$1001,0),1)&gt;=100000,INDEX($AO$1005:$BQ$1005,1,MATCH(COLUMNS($AO$1006:BK1006),$AO$1006:$BQ$1006,0))&gt;=100000), " ",IF(INDEX($AO$2:$BQ$1001,MATCH(ROWS($AH$2:AH201),$AH$2:$AH$1001,0),MATCH(COLUMNS($AO$1006:BK1006),$AO$1006:$BQ$1006,0)), HYPERLINK("#",""), HYPERLINK(CONCATENATE("#Metadata!", ADDRESS(INDEX($AJ$2:$AJ$1001,MATCH(ROWS($AH$2:AH201),$AH$2:$AH$1001,0),0), INDEX($AO$1004:$BQ$1004,1,MATCH(COLUMNS($AO$1006:BK1006),$AO$1006:$BQ$1006,0)))),"Fix")))</f>
        <v>#N/A</v>
      </c>
      <c r="Y201" s="5" t="e">
        <f ca="1">IF(OR(INDEX($AI$2:$AI$1001,MATCH(ROWS($AH$2:AH201),$AH$2:$AH$1001,0),1)&gt;=100000,INDEX($AO$1005:$BQ$1005,1,MATCH(COLUMNS($AO$1006:BL1006),$AO$1006:$BQ$1006,0))&gt;=100000), " ",IF(INDEX($AO$2:$BQ$1001,MATCH(ROWS($AH$2:AH201),$AH$2:$AH$1001,0),MATCH(COLUMNS($AO$1006:BL1006),$AO$1006:$BQ$1006,0)), HYPERLINK("#",""), HYPERLINK(CONCATENATE("#Metadata!", ADDRESS(INDEX($AJ$2:$AJ$1001,MATCH(ROWS($AH$2:AH201),$AH$2:$AH$1001,0),0), INDEX($AO$1004:$BQ$1004,1,MATCH(COLUMNS($AO$1006:BL1006),$AO$1006:$BQ$1006,0)))),"Fix")))</f>
        <v>#N/A</v>
      </c>
      <c r="Z201" s="5" t="e">
        <f ca="1">IF(OR(INDEX($AI$2:$AI$1001,MATCH(ROWS($AH$2:AH201),$AH$2:$AH$1001,0),1)&gt;=100000,INDEX($AO$1005:$BQ$1005,1,MATCH(COLUMNS($AO$1006:BM1006),$AO$1006:$BQ$1006,0))&gt;=100000), " ",IF(INDEX($AO$2:$BQ$1001,MATCH(ROWS($AH$2:AH201),$AH$2:$AH$1001,0),MATCH(COLUMNS($AO$1006:BM1006),$AO$1006:$BQ$1006,0)), HYPERLINK("#",""), HYPERLINK(CONCATENATE("#Metadata!", ADDRESS(INDEX($AJ$2:$AJ$1001,MATCH(ROWS($AH$2:AH201),$AH$2:$AH$1001,0),0), INDEX($AO$1004:$BQ$1004,1,MATCH(COLUMNS($AO$1006:BM1006),$AO$1006:$BQ$1006,0)))),"Fix")))</f>
        <v>#N/A</v>
      </c>
      <c r="AA201" s="5" t="e">
        <f ca="1">IF(OR(INDEX($AI$2:$AI$1001,MATCH(ROWS($AH$2:AH201),$AH$2:$AH$1001,0),1)&gt;=100000,INDEX($AO$1005:$BQ$1005,1,MATCH(COLUMNS($AO$1006:BN1006),$AO$1006:$BQ$1006,0))&gt;=100000), " ",IF(INDEX($AO$2:$BQ$1001,MATCH(ROWS($AH$2:AH201),$AH$2:$AH$1001,0),MATCH(COLUMNS($AO$1006:BN1006),$AO$1006:$BQ$1006,0)), HYPERLINK("#",""), HYPERLINK(CONCATENATE("#Metadata!", ADDRESS(INDEX($AJ$2:$AJ$1001,MATCH(ROWS($AH$2:AH201),$AH$2:$AH$1001,0),0), INDEX($AO$1004:$BQ$1004,1,MATCH(COLUMNS($AO$1006:BN1006),$AO$1006:$BQ$1006,0)))),"Fix")))</f>
        <v>#N/A</v>
      </c>
      <c r="AB201" s="5" t="e">
        <f ca="1">IF(OR(INDEX($AI$2:$AI$1001,MATCH(ROWS($AH$2:AH201),$AH$2:$AH$1001,0),1)&gt;=100000,INDEX($AO$1005:$BQ$1005,1,MATCH(COLUMNS($AO$1006:BO1006),$AO$1006:$BQ$1006,0))&gt;=100000), " ",IF(INDEX($AO$2:$BQ$1001,MATCH(ROWS($AH$2:AH201),$AH$2:$AH$1001,0),MATCH(COLUMNS($AO$1006:BO1006),$AO$1006:$BQ$1006,0)), HYPERLINK("#",""), HYPERLINK(CONCATENATE("#Metadata!", ADDRESS(INDEX($AJ$2:$AJ$1001,MATCH(ROWS($AH$2:AH201),$AH$2:$AH$1001,0),0), INDEX($AO$1004:$BQ$1004,1,MATCH(COLUMNS($AO$1006:BO1006),$AO$1006:$BQ$1006,0)))),"Fix")))</f>
        <v>#N/A</v>
      </c>
      <c r="AC201" s="5" t="e">
        <f ca="1">IF(OR(INDEX($AI$2:$AI$1001,MATCH(ROWS($AH$2:AH201),$AH$2:$AH$1001,0),1)&gt;=100000,INDEX($AO$1005:$BQ$1005,1,MATCH(COLUMNS($AO$1006:BP1006),$AO$1006:$BQ$1006,0))&gt;=100000), " ",IF(INDEX($AO$2:$BQ$1001,MATCH(ROWS($AH$2:AH201),$AH$2:$AH$1001,0),MATCH(COLUMNS($AO$1006:BP1006),$AO$1006:$BQ$1006,0)), HYPERLINK("#",""), HYPERLINK(CONCATENATE("#Metadata!", ADDRESS(INDEX($AJ$2:$AJ$1001,MATCH(ROWS($AH$2:AH201),$AH$2:$AH$1001,0),0), INDEX($AO$1004:$BQ$1004,1,MATCH(COLUMNS($AO$1006:BP1006),$AO$1006:$BQ$1006,0)))),"Fix")))</f>
        <v>#N/A</v>
      </c>
      <c r="AD201" s="5" t="e">
        <f ca="1">IF(OR(INDEX($AI$2:$AI$1001,MATCH(ROWS($AH$2:AH201),$AH$2:$AH$1001,0),1)&gt;=100000,INDEX($AO$1005:$BQ$1005,1,MATCH(COLUMNS($AO$1006:BQ1006),$AO$1006:$BQ$1006,0))&gt;=100000), " ",IF(INDEX($AO$2:$BQ$1001,MATCH(ROWS($AH$2:AH201),$AH$2:$AH$1001,0),MATCH(COLUMNS($AO$1006:BQ1006),$AO$1006:$BQ$1006,0)), HYPERLINK("#",""), HYPERLINK(CONCATENATE("#Metadata!", ADDRESS(INDEX($AJ$2:$AJ$1001,MATCH(ROWS($AH$2:AH201),$AH$2:$AH$1001,0),0), INDEX($AO$1004:$BQ$1004,1,MATCH(COLUMNS($AO$1006:BQ1006),$AO$1006:$BQ$1006,0)))),"Fix")))</f>
        <v>#REF!</v>
      </c>
      <c r="AH201">
        <f ca="1"/>
        <v>198</v>
      </c>
      <c r="AI201">
        <v>100201</v>
      </c>
      <c r="AJ201">
        <v>201</v>
      </c>
      <c r="AK201" t="b">
        <f t="shared" si="3"/>
        <v>1</v>
      </c>
      <c r="AL201" t="b">
        <f>COUNTBLANK(Metadata!B201:AD201)=COLUMNS(Metadata!B201:AD201)</f>
        <v>1</v>
      </c>
      <c r="AM201" t="str">
        <v/>
      </c>
      <c r="AO201" t="b">
        <f ca="1">AND(IF(Metadata!B201="",FALSE,TRUE),COUNTIF(Metadata!B:B, Metadata!B201) = 1,NOT(ISERROR(SUMPRODUCT(SEARCH(MID(Metadata!B201,ROW(INDIRECT("1:"&amp;LEN(Metadata!B201))), 1),"0123456789abcdefghijklmnopqrstuvwxyzABCDEFGHIJKLMNOPQRSTUVWXYZ.")))))</f>
        <v>0</v>
      </c>
      <c r="AP201" t="b">
        <f>IF(Metadata!C201="",FALSE,TRUE)</f>
        <v>0</v>
      </c>
      <c r="AQ201" t="b">
        <f>IF(Metadata!D201="",FALSE,TRUE)</f>
        <v>0</v>
      </c>
      <c r="AR201" t="b">
        <f ca="1">OR(AND(IF(Metadata!E201="",FALSE,TRUE),OR(EXACT(Metadata!E201,"not collected"),EXACT(Metadata!E201,"not provided"),EXACT(Metadata!E201,"restricted access"))),AND(IF(Metadata!E201="",FALSE,TRUE),AND(AND(IFERROR(INT(LEFT(Metadata!E201,4))&gt;1900,FALSE),IFERROR(INT(LEFT(Metadata!E201,4))&lt;=YEAR(NOW()),FALSE)), OR(MID(Metadata!E201,5,1)="", AND(AND(MID(Metadata!E201,5,1)="-",IFERROR(INT(MID(Metadata!E201,6,1))&gt;=0,FALSE),IFERROR(INT(MID(Metadata!E201,6,1))&lt;=1,FALSE),NOT(MID(Metadata!E201,7,1)=""),IFERROR(INT(MID(Metadata!E201,6,2))&gt;=1,FALSE),IFERROR(INT(MID(Metadata!E201,6,2))&lt;=12,FALSE)), OR(MID(Metadata!E201,8,1)="", AND(AND(MID(Metadata!E201,8,1)="-",IFERROR(INT(MID(Metadata!E201,9,1))&gt;=0,FALSE),IFERROR(INT(MID(Metadata!E201,9,1))&lt;=3,FALSE),NOT(MID(Metadata!E201,10,1)=""),IFERROR(INT(MID(Metadata!E201,9,2))&gt;=1,FALSE),IFERROR(INT(MID(Metadata!E201,9,2))&lt;=31,FALSE)), OR(MID(Metadata!E201,11,1)="", AND(AND(MID(Metadata!E201,11,1)=" ",IFERROR(INT(MID(Metadata!E201,12,1))&gt;=0,FALSE),IFERROR(INT(MID(Metadata!E201,12,1))&lt;=2,FALSE),NOT(MID(Metadata!E201,13,1)=""),IFERROR(INT(MID(Metadata!E201,12,2))&gt;=0,FALSE),IFERROR(INT(MID(Metadata!E201,12,2))&lt;=23,FALSE)), OR(MID(Metadata!E201,14,1)="", AND(AND(MID(Metadata!E201,14,1)=":",IFERROR(INT(MID(Metadata!E201,15,1))&gt;=0,FALSE),IFERROR(INT(MID(Metadata!E201,15,1))&lt;=5,FALSE),NOT(MID(Metadata!E201,16,1)=""),IFERROR(INT(MID(Metadata!E201,15,2))&gt;=0,FALSE),IFERROR(INT(MID(Metadata!E201,15,2))&lt;=59,FALSE)), OR(MID(Metadata!E201,17,1)="", AND(AND(MID(Metadata!E201,17,1)=":",IFERROR(INT(MID(Metadata!E201,18,1))&gt;=0,FALSE),IFERROR(INT(MID(Metadata!E201,18,1))&lt;=5,FALSE),NOT(MID(Metadata!E201,19,1)=""),IFERROR(INT(MID(Metadata!E201,18,2))&gt;=0,FALSE),IFERROR(INT(MID(Metadata!E201,18,2))&lt;=59,FALSE)), LEN(Metadata!E201)&lt;=19)))))))))))))</f>
        <v>0</v>
      </c>
      <c r="AS201" t="b">
        <f>IF(Metadata!F201="",FALSE,TRUE)</f>
        <v>0</v>
      </c>
      <c r="AT201" t="b">
        <f>OR(AND(IF(Metadata!G201="",FALSE,TRUE),OR(EXACT(Metadata!G201,"not collected"),EXACT(Metadata!G201,"not provided"))),AND(IF(Metadata!G201="",FALSE,TRUE),OR(EXACT(Metadata!G201,"TRUE"),EXACT(Metadata!G201,"FALSE"))))</f>
        <v>0</v>
      </c>
      <c r="AU201" t="b">
        <f>OR(AND(IF(Metadata!H201="",FALSE,TRUE),OR(EXACT(Metadata!H201,"not collected"),EXACT(Metadata!H201,"not provided"),EXACT(Metadata!H201,"restricted access"))),AND(IF(Metadata!H201="",FALSE,ISNUMBER(VALUE(Metadata!H201))),Metadata!H201&gt;=-413))</f>
        <v>0</v>
      </c>
      <c r="AV201" t="b">
        <f>AND(IF(Metadata!I201="",FALSE,TRUE),EXACT(Metadata!I201,"meters"))</f>
        <v>0</v>
      </c>
      <c r="AW201" t="b">
        <f>AND(IF(Metadata!J201="",FALSE,TRUE),EXACT(Metadata!J201,"free-living"))</f>
        <v>0</v>
      </c>
      <c r="AX201" t="b">
        <f>AND(IF(Metadata!K201="",FALSE,TRUE),OR(EXACT(Metadata!K201,"saline"),EXACT(Metadata!K201,"non-saline")))</f>
        <v>0</v>
      </c>
      <c r="AY201" t="b">
        <f>AND(IF(Metadata!L201="",FALSE,TRUE),OR(EXACT(Metadata!L201,"sub-surface (non-saline)"),EXACT(Metadata!L201,"surface (non-saline)"),EXACT(Metadata!L201,"water (non-saline)"),EXACT(Metadata!L201,"soil (non-saline)"),EXACT(Metadata!L201,"aerosol (non-saline)"),EXACT(Metadata!L201,"sediment (non-saline)"),EXACT(Metadata!L201,"surface (saline)"),EXACT(Metadata!L201,"water (saline)"),EXACT(Metadata!L201,"hypersaline (saline)"),EXACT(Metadata!L201,"aerosol (saline)"),EXACT(Metadata!L201,"sediment (saline)")))</f>
        <v>0</v>
      </c>
      <c r="AZ201" t="b">
        <f>IF(Metadata!M201="",FALSE,TRUE)</f>
        <v>0</v>
      </c>
      <c r="BA201" t="b">
        <f>IF(Metadata!N201="",FALSE,TRUE)</f>
        <v>0</v>
      </c>
      <c r="BB201" t="b">
        <f>IF(Metadata!O201="",FALSE,TRUE)</f>
        <v>0</v>
      </c>
      <c r="BC201" t="b">
        <f>AND(IF(Metadata!P201="",FALSE,TRUE),OR(EXACT(Metadata!P201,"air"),EXACT(Metadata!P201,"microbial mat/biofilm"),EXACT(Metadata!P201,"misc environment"),EXACT(Metadata!P201,"sediment"),EXACT(Metadata!P201,"soil"),EXACT(Metadata!P201,"wastewater/sludge"),EXACT(Metadata!P201,"water")))</f>
        <v>0</v>
      </c>
      <c r="BD201" t="b">
        <f>IF(Metadata!Q201="",FALSE,TRUE)</f>
        <v>0</v>
      </c>
      <c r="BE201" t="b">
        <f>IF(Metadata!R201="",FALSE,TRUE)</f>
        <v>0</v>
      </c>
      <c r="BF201" t="b">
        <f>OR(AND(IF(Metadata!S201="",FALSE,TRUE),OR(EXACT(Metadata!S201,"not collected"),EXACT(Metadata!S201,"not provided"),EXACT(Metadata!S201,"restricted access"))),AND(IF(Metadata!S201="",FALSE,ISNUMBER(VALUE(Metadata!S201))),Metadata!S201&gt;=-90,Metadata!S201&lt;=90))</f>
        <v>0</v>
      </c>
      <c r="BG201" t="b">
        <f>AND(IF(Metadata!T201="",FALSE,TRUE),EXACT(Metadata!T201,"Decimal degrees"))</f>
        <v>0</v>
      </c>
      <c r="BH201" t="b">
        <f>OR(AND(IF(Metadata!U201="",FALSE,TRUE),OR(EXACT(Metadata!U201,"not applicable"),EXACT(Metadata!U201,"not collected"))),IF(Metadata!U201="",FALSE,TRUE))</f>
        <v>0</v>
      </c>
      <c r="BI201" t="b">
        <f>OR(AND(IF(Metadata!V201="",FALSE,TRUE),OR(EXACT(Metadata!V201,"not collected"),EXACT(Metadata!V201,"not provided"),EXACT(Metadata!V201,"restricted access"))),AND(IF(Metadata!V201="",FALSE,ISNUMBER(VALUE(Metadata!V201))),Metadata!V201&gt;=-180,Metadata!V201&lt;=180))</f>
        <v>0</v>
      </c>
      <c r="BJ201" t="b">
        <f>AND(IF(Metadata!W201="",FALSE,TRUE),EXACT(Metadata!W201,"Decimal degrees"))</f>
        <v>0</v>
      </c>
      <c r="BK201" t="b">
        <f>IF(Metadata!X201="",FALSE,TRUE)</f>
        <v>0</v>
      </c>
      <c r="BL201" t="b">
        <f>OR(AND(IF(Metadata!Y201="",FALSE,TRUE),OR(EXACT(Metadata!Y201,"not collected"),EXACT(Metadata!Y201,"not provided"),EXACT(Metadata!Y201,"restricted access"))),AND(IF(Metadata!Y201="",FALSE,TRUE),OR(EXACT(Metadata!Y201,"TRUE"),EXACT(Metadata!Y201,"FALSE"))))</f>
        <v>0</v>
      </c>
      <c r="BM201" t="b">
        <f>OR(AND(IF(Metadata!Z201="",FALSE,TRUE),EXACT(Metadata!Z201,"not applicable")),AND(IF(Metadata!Z201="",FALSE,TRUE),OR(EXACT(Metadata!Z201,"beer"),EXACT(Metadata!Z201,"cheese"),EXACT(Metadata!Z201,"fresh water"),EXACT(Metadata!Z201,"marine sediment"),EXACT(Metadata!Z201,"sea water"),EXACT(Metadata!Z201,"sediment"),EXACT(Metadata!Z201,"soil"),EXACT(Metadata!Z201,"waste water"))))</f>
        <v>0</v>
      </c>
      <c r="BN201" t="b">
        <f>AND(IF(Metadata!AA201="",FALSE,TRUE),EXACT(Metadata!AA201,"metagenome"))</f>
        <v>0</v>
      </c>
      <c r="BO201" t="b">
        <f>AND(IF(Metadata!AB201="",FALSE,TRUE),EXACT(Metadata!AB201,"256318"))</f>
        <v>0</v>
      </c>
      <c r="BP201" t="b">
        <f>IF(Metadata!AC201="",FALSE,TRUE)</f>
        <v>0</v>
      </c>
      <c r="BQ201" t="b">
        <f>IF(Metadata!AD201="",FALSE,TRUE)</f>
        <v>0</v>
      </c>
    </row>
    <row r="202" spans="1:69" x14ac:dyDescent="0.2">
      <c r="A202" s="4" t="e">
        <f ca="1">IF(B202=" "," ",HYPERLINK(CONCATENATE("#metadata!",ADDRESS(INDEX($AJ$2:$AJ$1001,MATCH(ROWS($AH$2:AH202),$AH$2:$AH$1001,0),0),2)),INDEX($AM$2:$AM$1001,MATCH(ROWS($AH$2:AH202),$AH$2:$AH$1001,0),0)))</f>
        <v>#N/A</v>
      </c>
      <c r="B202" s="5" t="e">
        <f ca="1">IF(OR(INDEX($AI$2:$AI$1001,MATCH(ROWS($AH$2:AH202),$AH$2:$AH$1001,0),1)&gt;=100000,INDEX($AO$1005:$BQ$1005,1,MATCH(COLUMNS($AO$1006:AO1006),$AO$1006:$BQ$1006,0))&gt;=100000), " ",IF(INDEX($AO$2:$BQ$1001,MATCH(ROWS($AH$2:AH202),$AH$2:$AH$1001,0),MATCH(COLUMNS($AO$1006:AO1006),$AO$1006:$BQ$1006,0)), HYPERLINK("#",""), HYPERLINK(CONCATENATE("#Metadata!", ADDRESS(INDEX($AJ$2:$AJ$1001,MATCH(ROWS($AH$2:AH202),$AH$2:$AH$1001,0),0), INDEX($AO$1004:$BQ$1004,1,MATCH(COLUMNS($AO$1006:AO1006),$AO$1006:$BQ$1006,0)))),"Fix")))</f>
        <v>#N/A</v>
      </c>
      <c r="C202" s="5" t="e">
        <f ca="1">IF(OR(INDEX($AI$2:$AI$1001,MATCH(ROWS($AH$2:AH202),$AH$2:$AH$1001,0),1)&gt;=100000,INDEX($AO$1005:$BQ$1005,1,MATCH(COLUMNS($AO$1006:AP1006),$AO$1006:$BQ$1006,0))&gt;=100000), " ",IF(INDEX($AO$2:$BQ$1001,MATCH(ROWS($AH$2:AH202),$AH$2:$AH$1001,0),MATCH(COLUMNS($AO$1006:AP1006),$AO$1006:$BQ$1006,0)), HYPERLINK("#",""), HYPERLINK(CONCATENATE("#Metadata!", ADDRESS(INDEX($AJ$2:$AJ$1001,MATCH(ROWS($AH$2:AH202),$AH$2:$AH$1001,0),0), INDEX($AO$1004:$BQ$1004,1,MATCH(COLUMNS($AO$1006:AP1006),$AO$1006:$BQ$1006,0)))),"Fix")))</f>
        <v>#N/A</v>
      </c>
      <c r="D202" s="5" t="e">
        <f ca="1">IF(OR(INDEX($AI$2:$AI$1001,MATCH(ROWS($AH$2:AH202),$AH$2:$AH$1001,0),1)&gt;=100000,INDEX($AO$1005:$BQ$1005,1,MATCH(COLUMNS($AO$1006:AQ1006),$AO$1006:$BQ$1006,0))&gt;=100000), " ",IF(INDEX($AO$2:$BQ$1001,MATCH(ROWS($AH$2:AH202),$AH$2:$AH$1001,0),MATCH(COLUMNS($AO$1006:AQ1006),$AO$1006:$BQ$1006,0)), HYPERLINK("#",""), HYPERLINK(CONCATENATE("#Metadata!", ADDRESS(INDEX($AJ$2:$AJ$1001,MATCH(ROWS($AH$2:AH202),$AH$2:$AH$1001,0),0), INDEX($AO$1004:$BQ$1004,1,MATCH(COLUMNS($AO$1006:AQ1006),$AO$1006:$BQ$1006,0)))),"Fix")))</f>
        <v>#N/A</v>
      </c>
      <c r="E202" s="5" t="e">
        <f ca="1">IF(OR(INDEX($AI$2:$AI$1001,MATCH(ROWS($AH$2:AH202),$AH$2:$AH$1001,0),1)&gt;=100000,INDEX($AO$1005:$BQ$1005,1,MATCH(COLUMNS($AO$1006:AR1006),$AO$1006:$BQ$1006,0))&gt;=100000), " ",IF(INDEX($AO$2:$BQ$1001,MATCH(ROWS($AH$2:AH202),$AH$2:$AH$1001,0),MATCH(COLUMNS($AO$1006:AR1006),$AO$1006:$BQ$1006,0)), HYPERLINK("#",""), HYPERLINK(CONCATENATE("#Metadata!", ADDRESS(INDEX($AJ$2:$AJ$1001,MATCH(ROWS($AH$2:AH202),$AH$2:$AH$1001,0),0), INDEX($AO$1004:$BQ$1004,1,MATCH(COLUMNS($AO$1006:AR1006),$AO$1006:$BQ$1006,0)))),"Fix")))</f>
        <v>#N/A</v>
      </c>
      <c r="F202" s="5" t="e">
        <f ca="1">IF(OR(INDEX($AI$2:$AI$1001,MATCH(ROWS($AH$2:AH202),$AH$2:$AH$1001,0),1)&gt;=100000,INDEX($AO$1005:$BQ$1005,1,MATCH(COLUMNS($AO$1006:AS1006),$AO$1006:$BQ$1006,0))&gt;=100000), " ",IF(INDEX($AO$2:$BQ$1001,MATCH(ROWS($AH$2:AH202),$AH$2:$AH$1001,0),MATCH(COLUMNS($AO$1006:AS1006),$AO$1006:$BQ$1006,0)), HYPERLINK("#",""), HYPERLINK(CONCATENATE("#Metadata!", ADDRESS(INDEX($AJ$2:$AJ$1001,MATCH(ROWS($AH$2:AH202),$AH$2:$AH$1001,0),0), INDEX($AO$1004:$BQ$1004,1,MATCH(COLUMNS($AO$1006:AS1006),$AO$1006:$BQ$1006,0)))),"Fix")))</f>
        <v>#N/A</v>
      </c>
      <c r="G202" s="5" t="e">
        <f ca="1">IF(OR(INDEX($AI$2:$AI$1001,MATCH(ROWS($AH$2:AH202),$AH$2:$AH$1001,0),1)&gt;=100000,INDEX($AO$1005:$BQ$1005,1,MATCH(COLUMNS($AO$1006:AT1006),$AO$1006:$BQ$1006,0))&gt;=100000), " ",IF(INDEX($AO$2:$BQ$1001,MATCH(ROWS($AH$2:AH202),$AH$2:$AH$1001,0),MATCH(COLUMNS($AO$1006:AT1006),$AO$1006:$BQ$1006,0)), HYPERLINK("#",""), HYPERLINK(CONCATENATE("#Metadata!", ADDRESS(INDEX($AJ$2:$AJ$1001,MATCH(ROWS($AH$2:AH202),$AH$2:$AH$1001,0),0), INDEX($AO$1004:$BQ$1004,1,MATCH(COLUMNS($AO$1006:AT1006),$AO$1006:$BQ$1006,0)))),"Fix")))</f>
        <v>#N/A</v>
      </c>
      <c r="H202" s="5" t="e">
        <f ca="1">IF(OR(INDEX($AI$2:$AI$1001,MATCH(ROWS($AH$2:AH202),$AH$2:$AH$1001,0),1)&gt;=100000,INDEX($AO$1005:$BQ$1005,1,MATCH(COLUMNS($AO$1006:AU1006),$AO$1006:$BQ$1006,0))&gt;=100000), " ",IF(INDEX($AO$2:$BQ$1001,MATCH(ROWS($AH$2:AH202),$AH$2:$AH$1001,0),MATCH(COLUMNS($AO$1006:AU1006),$AO$1006:$BQ$1006,0)), HYPERLINK("#",""), HYPERLINK(CONCATENATE("#Metadata!", ADDRESS(INDEX($AJ$2:$AJ$1001,MATCH(ROWS($AH$2:AH202),$AH$2:$AH$1001,0),0), INDEX($AO$1004:$BQ$1004,1,MATCH(COLUMNS($AO$1006:AU1006),$AO$1006:$BQ$1006,0)))),"Fix")))</f>
        <v>#N/A</v>
      </c>
      <c r="I202" s="5" t="e">
        <f ca="1">IF(OR(INDEX($AI$2:$AI$1001,MATCH(ROWS($AH$2:AH202),$AH$2:$AH$1001,0),1)&gt;=100000,INDEX($AO$1005:$BQ$1005,1,MATCH(COLUMNS($AO$1006:AV1006),$AO$1006:$BQ$1006,0))&gt;=100000), " ",IF(INDEX($AO$2:$BQ$1001,MATCH(ROWS($AH$2:AH202),$AH$2:$AH$1001,0),MATCH(COLUMNS($AO$1006:AV1006),$AO$1006:$BQ$1006,0)), HYPERLINK("#",""), HYPERLINK(CONCATENATE("#Metadata!", ADDRESS(INDEX($AJ$2:$AJ$1001,MATCH(ROWS($AH$2:AH202),$AH$2:$AH$1001,0),0), INDEX($AO$1004:$BQ$1004,1,MATCH(COLUMNS($AO$1006:AV1006),$AO$1006:$BQ$1006,0)))),"Fix")))</f>
        <v>#N/A</v>
      </c>
      <c r="J202" s="5" t="e">
        <f ca="1">IF(OR(INDEX($AI$2:$AI$1001,MATCH(ROWS($AH$2:AH202),$AH$2:$AH$1001,0),1)&gt;=100000,INDEX($AO$1005:$BQ$1005,1,MATCH(COLUMNS($AO$1006:AW1006),$AO$1006:$BQ$1006,0))&gt;=100000), " ",IF(INDEX($AO$2:$BQ$1001,MATCH(ROWS($AH$2:AH202),$AH$2:$AH$1001,0),MATCH(COLUMNS($AO$1006:AW1006),$AO$1006:$BQ$1006,0)), HYPERLINK("#",""), HYPERLINK(CONCATENATE("#Metadata!", ADDRESS(INDEX($AJ$2:$AJ$1001,MATCH(ROWS($AH$2:AH202),$AH$2:$AH$1001,0),0), INDEX($AO$1004:$BQ$1004,1,MATCH(COLUMNS($AO$1006:AW1006),$AO$1006:$BQ$1006,0)))),"Fix")))</f>
        <v>#N/A</v>
      </c>
      <c r="K202" s="5" t="e">
        <f ca="1">IF(OR(INDEX($AI$2:$AI$1001,MATCH(ROWS($AH$2:AH202),$AH$2:$AH$1001,0),1)&gt;=100000,INDEX($AO$1005:$BQ$1005,1,MATCH(COLUMNS($AO$1006:AX1006),$AO$1006:$BQ$1006,0))&gt;=100000), " ",IF(INDEX($AO$2:$BQ$1001,MATCH(ROWS($AH$2:AH202),$AH$2:$AH$1001,0),MATCH(COLUMNS($AO$1006:AX1006),$AO$1006:$BQ$1006,0)), HYPERLINK("#",""), HYPERLINK(CONCATENATE("#Metadata!", ADDRESS(INDEX($AJ$2:$AJ$1001,MATCH(ROWS($AH$2:AH202),$AH$2:$AH$1001,0),0), INDEX($AO$1004:$BQ$1004,1,MATCH(COLUMNS($AO$1006:AX1006),$AO$1006:$BQ$1006,0)))),"Fix")))</f>
        <v>#N/A</v>
      </c>
      <c r="L202" s="5" t="e">
        <f ca="1">IF(OR(INDEX($AI$2:$AI$1001,MATCH(ROWS($AH$2:AH202),$AH$2:$AH$1001,0),1)&gt;=100000,INDEX($AO$1005:$BQ$1005,1,MATCH(COLUMNS($AO$1006:AY1006),$AO$1006:$BQ$1006,0))&gt;=100000), " ",IF(INDEX($AO$2:$BQ$1001,MATCH(ROWS($AH$2:AH202),$AH$2:$AH$1001,0),MATCH(COLUMNS($AO$1006:AY1006),$AO$1006:$BQ$1006,0)), HYPERLINK("#",""), HYPERLINK(CONCATENATE("#Metadata!", ADDRESS(INDEX($AJ$2:$AJ$1001,MATCH(ROWS($AH$2:AH202),$AH$2:$AH$1001,0),0), INDEX($AO$1004:$BQ$1004,1,MATCH(COLUMNS($AO$1006:AY1006),$AO$1006:$BQ$1006,0)))),"Fix")))</f>
        <v>#N/A</v>
      </c>
      <c r="M202" s="5" t="e">
        <f ca="1">IF(OR(INDEX($AI$2:$AI$1001,MATCH(ROWS($AH$2:AH202),$AH$2:$AH$1001,0),1)&gt;=100000,INDEX($AO$1005:$BQ$1005,1,MATCH(COLUMNS($AO$1006:AZ1006),$AO$1006:$BQ$1006,0))&gt;=100000), " ",IF(INDEX($AO$2:$BQ$1001,MATCH(ROWS($AH$2:AH202),$AH$2:$AH$1001,0),MATCH(COLUMNS($AO$1006:AZ1006),$AO$1006:$BQ$1006,0)), HYPERLINK("#",""), HYPERLINK(CONCATENATE("#Metadata!", ADDRESS(INDEX($AJ$2:$AJ$1001,MATCH(ROWS($AH$2:AH202),$AH$2:$AH$1001,0),0), INDEX($AO$1004:$BQ$1004,1,MATCH(COLUMNS($AO$1006:AZ1006),$AO$1006:$BQ$1006,0)))),"Fix")))</f>
        <v>#N/A</v>
      </c>
      <c r="N202" s="5" t="e">
        <f ca="1">IF(OR(INDEX($AI$2:$AI$1001,MATCH(ROWS($AH$2:AH202),$AH$2:$AH$1001,0),1)&gt;=100000,INDEX($AO$1005:$BQ$1005,1,MATCH(COLUMNS($AO$1006:BA1006),$AO$1006:$BQ$1006,0))&gt;=100000), " ",IF(INDEX($AO$2:$BQ$1001,MATCH(ROWS($AH$2:AH202),$AH$2:$AH$1001,0),MATCH(COLUMNS($AO$1006:BA1006),$AO$1006:$BQ$1006,0)), HYPERLINK("#",""), HYPERLINK(CONCATENATE("#Metadata!", ADDRESS(INDEX($AJ$2:$AJ$1001,MATCH(ROWS($AH$2:AH202),$AH$2:$AH$1001,0),0), INDEX($AO$1004:$BQ$1004,1,MATCH(COLUMNS($AO$1006:BA1006),$AO$1006:$BQ$1006,0)))),"Fix")))</f>
        <v>#N/A</v>
      </c>
      <c r="O202" s="5" t="e">
        <f ca="1">IF(OR(INDEX($AI$2:$AI$1001,MATCH(ROWS($AH$2:AH202),$AH$2:$AH$1001,0),1)&gt;=100000,INDEX($AO$1005:$BQ$1005,1,MATCH(COLUMNS($AO$1006:BB1006),$AO$1006:$BQ$1006,0))&gt;=100000), " ",IF(INDEX($AO$2:$BQ$1001,MATCH(ROWS($AH$2:AH202),$AH$2:$AH$1001,0),MATCH(COLUMNS($AO$1006:BB1006),$AO$1006:$BQ$1006,0)), HYPERLINK("#",""), HYPERLINK(CONCATENATE("#Metadata!", ADDRESS(INDEX($AJ$2:$AJ$1001,MATCH(ROWS($AH$2:AH202),$AH$2:$AH$1001,0),0), INDEX($AO$1004:$BQ$1004,1,MATCH(COLUMNS($AO$1006:BB1006),$AO$1006:$BQ$1006,0)))),"Fix")))</f>
        <v>#N/A</v>
      </c>
      <c r="P202" s="5" t="e">
        <f ca="1">IF(OR(INDEX($AI$2:$AI$1001,MATCH(ROWS($AH$2:AH202),$AH$2:$AH$1001,0),1)&gt;=100000,INDEX($AO$1005:$BQ$1005,1,MATCH(COLUMNS($AO$1006:BC1006),$AO$1006:$BQ$1006,0))&gt;=100000), " ",IF(INDEX($AO$2:$BQ$1001,MATCH(ROWS($AH$2:AH202),$AH$2:$AH$1001,0),MATCH(COLUMNS($AO$1006:BC1006),$AO$1006:$BQ$1006,0)), HYPERLINK("#",""), HYPERLINK(CONCATENATE("#Metadata!", ADDRESS(INDEX($AJ$2:$AJ$1001,MATCH(ROWS($AH$2:AH202),$AH$2:$AH$1001,0),0), INDEX($AO$1004:$BQ$1004,1,MATCH(COLUMNS($AO$1006:BC1006),$AO$1006:$BQ$1006,0)))),"Fix")))</f>
        <v>#N/A</v>
      </c>
      <c r="Q202" s="5" t="e">
        <f ca="1">IF(OR(INDEX($AI$2:$AI$1001,MATCH(ROWS($AH$2:AH202),$AH$2:$AH$1001,0),1)&gt;=100000,INDEX($AO$1005:$BQ$1005,1,MATCH(COLUMNS($AO$1006:BD1006),$AO$1006:$BQ$1006,0))&gt;=100000), " ",IF(INDEX($AO$2:$BQ$1001,MATCH(ROWS($AH$2:AH202),$AH$2:$AH$1001,0),MATCH(COLUMNS($AO$1006:BD1006),$AO$1006:$BQ$1006,0)), HYPERLINK("#",""), HYPERLINK(CONCATENATE("#Metadata!", ADDRESS(INDEX($AJ$2:$AJ$1001,MATCH(ROWS($AH$2:AH202),$AH$2:$AH$1001,0),0), INDEX($AO$1004:$BQ$1004,1,MATCH(COLUMNS($AO$1006:BD1006),$AO$1006:$BQ$1006,0)))),"Fix")))</f>
        <v>#N/A</v>
      </c>
      <c r="R202" s="5" t="e">
        <f ca="1">IF(OR(INDEX($AI$2:$AI$1001,MATCH(ROWS($AH$2:AH202),$AH$2:$AH$1001,0),1)&gt;=100000,INDEX($AO$1005:$BQ$1005,1,MATCH(COLUMNS($AO$1006:BE1006),$AO$1006:$BQ$1006,0))&gt;=100000), " ",IF(INDEX($AO$2:$BQ$1001,MATCH(ROWS($AH$2:AH202),$AH$2:$AH$1001,0),MATCH(COLUMNS($AO$1006:BE1006),$AO$1006:$BQ$1006,0)), HYPERLINK("#",""), HYPERLINK(CONCATENATE("#Metadata!", ADDRESS(INDEX($AJ$2:$AJ$1001,MATCH(ROWS($AH$2:AH202),$AH$2:$AH$1001,0),0), INDEX($AO$1004:$BQ$1004,1,MATCH(COLUMNS($AO$1006:BE1006),$AO$1006:$BQ$1006,0)))),"Fix")))</f>
        <v>#N/A</v>
      </c>
      <c r="S202" s="5" t="e">
        <f ca="1">IF(OR(INDEX($AI$2:$AI$1001,MATCH(ROWS($AH$2:AH202),$AH$2:$AH$1001,0),1)&gt;=100000,INDEX($AO$1005:$BQ$1005,1,MATCH(COLUMNS($AO$1006:BF1006),$AO$1006:$BQ$1006,0))&gt;=100000), " ",IF(INDEX($AO$2:$BQ$1001,MATCH(ROWS($AH$2:AH202),$AH$2:$AH$1001,0),MATCH(COLUMNS($AO$1006:BF1006),$AO$1006:$BQ$1006,0)), HYPERLINK("#",""), HYPERLINK(CONCATENATE("#Metadata!", ADDRESS(INDEX($AJ$2:$AJ$1001,MATCH(ROWS($AH$2:AH202),$AH$2:$AH$1001,0),0), INDEX($AO$1004:$BQ$1004,1,MATCH(COLUMNS($AO$1006:BF1006),$AO$1006:$BQ$1006,0)))),"Fix")))</f>
        <v>#N/A</v>
      </c>
      <c r="T202" s="5" t="e">
        <f ca="1">IF(OR(INDEX($AI$2:$AI$1001,MATCH(ROWS($AH$2:AH202),$AH$2:$AH$1001,0),1)&gt;=100000,INDEX($AO$1005:$BQ$1005,1,MATCH(COLUMNS($AO$1006:BG1006),$AO$1006:$BQ$1006,0))&gt;=100000), " ",IF(INDEX($AO$2:$BQ$1001,MATCH(ROWS($AH$2:AH202),$AH$2:$AH$1001,0),MATCH(COLUMNS($AO$1006:BG1006),$AO$1006:$BQ$1006,0)), HYPERLINK("#",""), HYPERLINK(CONCATENATE("#Metadata!", ADDRESS(INDEX($AJ$2:$AJ$1001,MATCH(ROWS($AH$2:AH202),$AH$2:$AH$1001,0),0), INDEX($AO$1004:$BQ$1004,1,MATCH(COLUMNS($AO$1006:BG1006),$AO$1006:$BQ$1006,0)))),"Fix")))</f>
        <v>#N/A</v>
      </c>
      <c r="U202" s="5" t="e">
        <f ca="1">IF(OR(INDEX($AI$2:$AI$1001,MATCH(ROWS($AH$2:AH202),$AH$2:$AH$1001,0),1)&gt;=100000,INDEX($AO$1005:$BQ$1005,1,MATCH(COLUMNS($AO$1006:BH1006),$AO$1006:$BQ$1006,0))&gt;=100000), " ",IF(INDEX($AO$2:$BQ$1001,MATCH(ROWS($AH$2:AH202),$AH$2:$AH$1001,0),MATCH(COLUMNS($AO$1006:BH1006),$AO$1006:$BQ$1006,0)), HYPERLINK("#",""), HYPERLINK(CONCATENATE("#Metadata!", ADDRESS(INDEX($AJ$2:$AJ$1001,MATCH(ROWS($AH$2:AH202),$AH$2:$AH$1001,0),0), INDEX($AO$1004:$BQ$1004,1,MATCH(COLUMNS($AO$1006:BH1006),$AO$1006:$BQ$1006,0)))),"Fix")))</f>
        <v>#N/A</v>
      </c>
      <c r="V202" s="5" t="e">
        <f ca="1">IF(OR(INDEX($AI$2:$AI$1001,MATCH(ROWS($AH$2:AH202),$AH$2:$AH$1001,0),1)&gt;=100000,INDEX($AO$1005:$BQ$1005,1,MATCH(COLUMNS($AO$1006:BI1006),$AO$1006:$BQ$1006,0))&gt;=100000), " ",IF(INDEX($AO$2:$BQ$1001,MATCH(ROWS($AH$2:AH202),$AH$2:$AH$1001,0),MATCH(COLUMNS($AO$1006:BI1006),$AO$1006:$BQ$1006,0)), HYPERLINK("#",""), HYPERLINK(CONCATENATE("#Metadata!", ADDRESS(INDEX($AJ$2:$AJ$1001,MATCH(ROWS($AH$2:AH202),$AH$2:$AH$1001,0),0), INDEX($AO$1004:$BQ$1004,1,MATCH(COLUMNS($AO$1006:BI1006),$AO$1006:$BQ$1006,0)))),"Fix")))</f>
        <v>#N/A</v>
      </c>
      <c r="W202" s="5" t="e">
        <f ca="1">IF(OR(INDEX($AI$2:$AI$1001,MATCH(ROWS($AH$2:AH202),$AH$2:$AH$1001,0),1)&gt;=100000,INDEX($AO$1005:$BQ$1005,1,MATCH(COLUMNS($AO$1006:BJ1006),$AO$1006:$BQ$1006,0))&gt;=100000), " ",IF(INDEX($AO$2:$BQ$1001,MATCH(ROWS($AH$2:AH202),$AH$2:$AH$1001,0),MATCH(COLUMNS($AO$1006:BJ1006),$AO$1006:$BQ$1006,0)), HYPERLINK("#",""), HYPERLINK(CONCATENATE("#Metadata!", ADDRESS(INDEX($AJ$2:$AJ$1001,MATCH(ROWS($AH$2:AH202),$AH$2:$AH$1001,0),0), INDEX($AO$1004:$BQ$1004,1,MATCH(COLUMNS($AO$1006:BJ1006),$AO$1006:$BQ$1006,0)))),"Fix")))</f>
        <v>#N/A</v>
      </c>
      <c r="X202" s="5" t="e">
        <f ca="1">IF(OR(INDEX($AI$2:$AI$1001,MATCH(ROWS($AH$2:AH202),$AH$2:$AH$1001,0),1)&gt;=100000,INDEX($AO$1005:$BQ$1005,1,MATCH(COLUMNS($AO$1006:BK1006),$AO$1006:$BQ$1006,0))&gt;=100000), " ",IF(INDEX($AO$2:$BQ$1001,MATCH(ROWS($AH$2:AH202),$AH$2:$AH$1001,0),MATCH(COLUMNS($AO$1006:BK1006),$AO$1006:$BQ$1006,0)), HYPERLINK("#",""), HYPERLINK(CONCATENATE("#Metadata!", ADDRESS(INDEX($AJ$2:$AJ$1001,MATCH(ROWS($AH$2:AH202),$AH$2:$AH$1001,0),0), INDEX($AO$1004:$BQ$1004,1,MATCH(COLUMNS($AO$1006:BK1006),$AO$1006:$BQ$1006,0)))),"Fix")))</f>
        <v>#N/A</v>
      </c>
      <c r="Y202" s="5" t="e">
        <f ca="1">IF(OR(INDEX($AI$2:$AI$1001,MATCH(ROWS($AH$2:AH202),$AH$2:$AH$1001,0),1)&gt;=100000,INDEX($AO$1005:$BQ$1005,1,MATCH(COLUMNS($AO$1006:BL1006),$AO$1006:$BQ$1006,0))&gt;=100000), " ",IF(INDEX($AO$2:$BQ$1001,MATCH(ROWS($AH$2:AH202),$AH$2:$AH$1001,0),MATCH(COLUMNS($AO$1006:BL1006),$AO$1006:$BQ$1006,0)), HYPERLINK("#",""), HYPERLINK(CONCATENATE("#Metadata!", ADDRESS(INDEX($AJ$2:$AJ$1001,MATCH(ROWS($AH$2:AH202),$AH$2:$AH$1001,0),0), INDEX($AO$1004:$BQ$1004,1,MATCH(COLUMNS($AO$1006:BL1006),$AO$1006:$BQ$1006,0)))),"Fix")))</f>
        <v>#N/A</v>
      </c>
      <c r="Z202" s="5" t="e">
        <f ca="1">IF(OR(INDEX($AI$2:$AI$1001,MATCH(ROWS($AH$2:AH202),$AH$2:$AH$1001,0),1)&gt;=100000,INDEX($AO$1005:$BQ$1005,1,MATCH(COLUMNS($AO$1006:BM1006),$AO$1006:$BQ$1006,0))&gt;=100000), " ",IF(INDEX($AO$2:$BQ$1001,MATCH(ROWS($AH$2:AH202),$AH$2:$AH$1001,0),MATCH(COLUMNS($AO$1006:BM1006),$AO$1006:$BQ$1006,0)), HYPERLINK("#",""), HYPERLINK(CONCATENATE("#Metadata!", ADDRESS(INDEX($AJ$2:$AJ$1001,MATCH(ROWS($AH$2:AH202),$AH$2:$AH$1001,0),0), INDEX($AO$1004:$BQ$1004,1,MATCH(COLUMNS($AO$1006:BM1006),$AO$1006:$BQ$1006,0)))),"Fix")))</f>
        <v>#N/A</v>
      </c>
      <c r="AA202" s="5" t="e">
        <f ca="1">IF(OR(INDEX($AI$2:$AI$1001,MATCH(ROWS($AH$2:AH202),$AH$2:$AH$1001,0),1)&gt;=100000,INDEX($AO$1005:$BQ$1005,1,MATCH(COLUMNS($AO$1006:BN1006),$AO$1006:$BQ$1006,0))&gt;=100000), " ",IF(INDEX($AO$2:$BQ$1001,MATCH(ROWS($AH$2:AH202),$AH$2:$AH$1001,0),MATCH(COLUMNS($AO$1006:BN1006),$AO$1006:$BQ$1006,0)), HYPERLINK("#",""), HYPERLINK(CONCATENATE("#Metadata!", ADDRESS(INDEX($AJ$2:$AJ$1001,MATCH(ROWS($AH$2:AH202),$AH$2:$AH$1001,0),0), INDEX($AO$1004:$BQ$1004,1,MATCH(COLUMNS($AO$1006:BN1006),$AO$1006:$BQ$1006,0)))),"Fix")))</f>
        <v>#N/A</v>
      </c>
      <c r="AB202" s="5" t="e">
        <f ca="1">IF(OR(INDEX($AI$2:$AI$1001,MATCH(ROWS($AH$2:AH202),$AH$2:$AH$1001,0),1)&gt;=100000,INDEX($AO$1005:$BQ$1005,1,MATCH(COLUMNS($AO$1006:BO1006),$AO$1006:$BQ$1006,0))&gt;=100000), " ",IF(INDEX($AO$2:$BQ$1001,MATCH(ROWS($AH$2:AH202),$AH$2:$AH$1001,0),MATCH(COLUMNS($AO$1006:BO1006),$AO$1006:$BQ$1006,0)), HYPERLINK("#",""), HYPERLINK(CONCATENATE("#Metadata!", ADDRESS(INDEX($AJ$2:$AJ$1001,MATCH(ROWS($AH$2:AH202),$AH$2:$AH$1001,0),0), INDEX($AO$1004:$BQ$1004,1,MATCH(COLUMNS($AO$1006:BO1006),$AO$1006:$BQ$1006,0)))),"Fix")))</f>
        <v>#N/A</v>
      </c>
      <c r="AC202" s="5" t="e">
        <f ca="1">IF(OR(INDEX($AI$2:$AI$1001,MATCH(ROWS($AH$2:AH202),$AH$2:$AH$1001,0),1)&gt;=100000,INDEX($AO$1005:$BQ$1005,1,MATCH(COLUMNS($AO$1006:BP1006),$AO$1006:$BQ$1006,0))&gt;=100000), " ",IF(INDEX($AO$2:$BQ$1001,MATCH(ROWS($AH$2:AH202),$AH$2:$AH$1001,0),MATCH(COLUMNS($AO$1006:BP1006),$AO$1006:$BQ$1006,0)), HYPERLINK("#",""), HYPERLINK(CONCATENATE("#Metadata!", ADDRESS(INDEX($AJ$2:$AJ$1001,MATCH(ROWS($AH$2:AH202),$AH$2:$AH$1001,0),0), INDEX($AO$1004:$BQ$1004,1,MATCH(COLUMNS($AO$1006:BP1006),$AO$1006:$BQ$1006,0)))),"Fix")))</f>
        <v>#N/A</v>
      </c>
      <c r="AD202" s="5" t="e">
        <f ca="1">IF(OR(INDEX($AI$2:$AI$1001,MATCH(ROWS($AH$2:AH202),$AH$2:$AH$1001,0),1)&gt;=100000,INDEX($AO$1005:$BQ$1005,1,MATCH(COLUMNS($AO$1006:BQ1006),$AO$1006:$BQ$1006,0))&gt;=100000), " ",IF(INDEX($AO$2:$BQ$1001,MATCH(ROWS($AH$2:AH202),$AH$2:$AH$1001,0),MATCH(COLUMNS($AO$1006:BQ1006),$AO$1006:$BQ$1006,0)), HYPERLINK("#",""), HYPERLINK(CONCATENATE("#Metadata!", ADDRESS(INDEX($AJ$2:$AJ$1001,MATCH(ROWS($AH$2:AH202),$AH$2:$AH$1001,0),0), INDEX($AO$1004:$BQ$1004,1,MATCH(COLUMNS($AO$1006:BQ1006),$AO$1006:$BQ$1006,0)))),"Fix")))</f>
        <v>#REF!</v>
      </c>
      <c r="AH202">
        <f ca="1"/>
        <v>199</v>
      </c>
      <c r="AI202">
        <v>100202</v>
      </c>
      <c r="AJ202">
        <v>202</v>
      </c>
      <c r="AK202" t="b">
        <f t="shared" si="3"/>
        <v>1</v>
      </c>
      <c r="AL202" t="b">
        <f>COUNTBLANK(Metadata!B202:AD202)=COLUMNS(Metadata!B202:AD202)</f>
        <v>1</v>
      </c>
      <c r="AM202" t="str">
        <v/>
      </c>
      <c r="AO202" t="b">
        <f ca="1">AND(IF(Metadata!B202="",FALSE,TRUE),COUNTIF(Metadata!B:B, Metadata!B202) = 1,NOT(ISERROR(SUMPRODUCT(SEARCH(MID(Metadata!B202,ROW(INDIRECT("1:"&amp;LEN(Metadata!B202))), 1),"0123456789abcdefghijklmnopqrstuvwxyzABCDEFGHIJKLMNOPQRSTUVWXYZ.")))))</f>
        <v>0</v>
      </c>
      <c r="AP202" t="b">
        <f>IF(Metadata!C202="",FALSE,TRUE)</f>
        <v>0</v>
      </c>
      <c r="AQ202" t="b">
        <f>IF(Metadata!D202="",FALSE,TRUE)</f>
        <v>0</v>
      </c>
      <c r="AR202" t="b">
        <f ca="1">OR(AND(IF(Metadata!E202="",FALSE,TRUE),OR(EXACT(Metadata!E202,"not collected"),EXACT(Metadata!E202,"not provided"),EXACT(Metadata!E202,"restricted access"))),AND(IF(Metadata!E202="",FALSE,TRUE),AND(AND(IFERROR(INT(LEFT(Metadata!E202,4))&gt;1900,FALSE),IFERROR(INT(LEFT(Metadata!E202,4))&lt;=YEAR(NOW()),FALSE)), OR(MID(Metadata!E202,5,1)="", AND(AND(MID(Metadata!E202,5,1)="-",IFERROR(INT(MID(Metadata!E202,6,1))&gt;=0,FALSE),IFERROR(INT(MID(Metadata!E202,6,1))&lt;=1,FALSE),NOT(MID(Metadata!E202,7,1)=""),IFERROR(INT(MID(Metadata!E202,6,2))&gt;=1,FALSE),IFERROR(INT(MID(Metadata!E202,6,2))&lt;=12,FALSE)), OR(MID(Metadata!E202,8,1)="", AND(AND(MID(Metadata!E202,8,1)="-",IFERROR(INT(MID(Metadata!E202,9,1))&gt;=0,FALSE),IFERROR(INT(MID(Metadata!E202,9,1))&lt;=3,FALSE),NOT(MID(Metadata!E202,10,1)=""),IFERROR(INT(MID(Metadata!E202,9,2))&gt;=1,FALSE),IFERROR(INT(MID(Metadata!E202,9,2))&lt;=31,FALSE)), OR(MID(Metadata!E202,11,1)="", AND(AND(MID(Metadata!E202,11,1)=" ",IFERROR(INT(MID(Metadata!E202,12,1))&gt;=0,FALSE),IFERROR(INT(MID(Metadata!E202,12,1))&lt;=2,FALSE),NOT(MID(Metadata!E202,13,1)=""),IFERROR(INT(MID(Metadata!E202,12,2))&gt;=0,FALSE),IFERROR(INT(MID(Metadata!E202,12,2))&lt;=23,FALSE)), OR(MID(Metadata!E202,14,1)="", AND(AND(MID(Metadata!E202,14,1)=":",IFERROR(INT(MID(Metadata!E202,15,1))&gt;=0,FALSE),IFERROR(INT(MID(Metadata!E202,15,1))&lt;=5,FALSE),NOT(MID(Metadata!E202,16,1)=""),IFERROR(INT(MID(Metadata!E202,15,2))&gt;=0,FALSE),IFERROR(INT(MID(Metadata!E202,15,2))&lt;=59,FALSE)), OR(MID(Metadata!E202,17,1)="", AND(AND(MID(Metadata!E202,17,1)=":",IFERROR(INT(MID(Metadata!E202,18,1))&gt;=0,FALSE),IFERROR(INT(MID(Metadata!E202,18,1))&lt;=5,FALSE),NOT(MID(Metadata!E202,19,1)=""),IFERROR(INT(MID(Metadata!E202,18,2))&gt;=0,FALSE),IFERROR(INT(MID(Metadata!E202,18,2))&lt;=59,FALSE)), LEN(Metadata!E202)&lt;=19)))))))))))))</f>
        <v>0</v>
      </c>
      <c r="AS202" t="b">
        <f>IF(Metadata!F202="",FALSE,TRUE)</f>
        <v>0</v>
      </c>
      <c r="AT202" t="b">
        <f>OR(AND(IF(Metadata!G202="",FALSE,TRUE),OR(EXACT(Metadata!G202,"not collected"),EXACT(Metadata!G202,"not provided"))),AND(IF(Metadata!G202="",FALSE,TRUE),OR(EXACT(Metadata!G202,"TRUE"),EXACT(Metadata!G202,"FALSE"))))</f>
        <v>0</v>
      </c>
      <c r="AU202" t="b">
        <f>OR(AND(IF(Metadata!H202="",FALSE,TRUE),OR(EXACT(Metadata!H202,"not collected"),EXACT(Metadata!H202,"not provided"),EXACT(Metadata!H202,"restricted access"))),AND(IF(Metadata!H202="",FALSE,ISNUMBER(VALUE(Metadata!H202))),Metadata!H202&gt;=-413))</f>
        <v>0</v>
      </c>
      <c r="AV202" t="b">
        <f>AND(IF(Metadata!I202="",FALSE,TRUE),EXACT(Metadata!I202,"meters"))</f>
        <v>0</v>
      </c>
      <c r="AW202" t="b">
        <f>AND(IF(Metadata!J202="",FALSE,TRUE),EXACT(Metadata!J202,"free-living"))</f>
        <v>0</v>
      </c>
      <c r="AX202" t="b">
        <f>AND(IF(Metadata!K202="",FALSE,TRUE),OR(EXACT(Metadata!K202,"saline"),EXACT(Metadata!K202,"non-saline")))</f>
        <v>0</v>
      </c>
      <c r="AY202" t="b">
        <f>AND(IF(Metadata!L202="",FALSE,TRUE),OR(EXACT(Metadata!L202,"sub-surface (non-saline)"),EXACT(Metadata!L202,"surface (non-saline)"),EXACT(Metadata!L202,"water (non-saline)"),EXACT(Metadata!L202,"soil (non-saline)"),EXACT(Metadata!L202,"aerosol (non-saline)"),EXACT(Metadata!L202,"sediment (non-saline)"),EXACT(Metadata!L202,"surface (saline)"),EXACT(Metadata!L202,"water (saline)"),EXACT(Metadata!L202,"hypersaline (saline)"),EXACT(Metadata!L202,"aerosol (saline)"),EXACT(Metadata!L202,"sediment (saline)")))</f>
        <v>0</v>
      </c>
      <c r="AZ202" t="b">
        <f>IF(Metadata!M202="",FALSE,TRUE)</f>
        <v>0</v>
      </c>
      <c r="BA202" t="b">
        <f>IF(Metadata!N202="",FALSE,TRUE)</f>
        <v>0</v>
      </c>
      <c r="BB202" t="b">
        <f>IF(Metadata!O202="",FALSE,TRUE)</f>
        <v>0</v>
      </c>
      <c r="BC202" t="b">
        <f>AND(IF(Metadata!P202="",FALSE,TRUE),OR(EXACT(Metadata!P202,"air"),EXACT(Metadata!P202,"microbial mat/biofilm"),EXACT(Metadata!P202,"misc environment"),EXACT(Metadata!P202,"sediment"),EXACT(Metadata!P202,"soil"),EXACT(Metadata!P202,"wastewater/sludge"),EXACT(Metadata!P202,"water")))</f>
        <v>0</v>
      </c>
      <c r="BD202" t="b">
        <f>IF(Metadata!Q202="",FALSE,TRUE)</f>
        <v>0</v>
      </c>
      <c r="BE202" t="b">
        <f>IF(Metadata!R202="",FALSE,TRUE)</f>
        <v>0</v>
      </c>
      <c r="BF202" t="b">
        <f>OR(AND(IF(Metadata!S202="",FALSE,TRUE),OR(EXACT(Metadata!S202,"not collected"),EXACT(Metadata!S202,"not provided"),EXACT(Metadata!S202,"restricted access"))),AND(IF(Metadata!S202="",FALSE,ISNUMBER(VALUE(Metadata!S202))),Metadata!S202&gt;=-90,Metadata!S202&lt;=90))</f>
        <v>0</v>
      </c>
      <c r="BG202" t="b">
        <f>AND(IF(Metadata!T202="",FALSE,TRUE),EXACT(Metadata!T202,"Decimal degrees"))</f>
        <v>0</v>
      </c>
      <c r="BH202" t="b">
        <f>OR(AND(IF(Metadata!U202="",FALSE,TRUE),OR(EXACT(Metadata!U202,"not applicable"),EXACT(Metadata!U202,"not collected"))),IF(Metadata!U202="",FALSE,TRUE))</f>
        <v>0</v>
      </c>
      <c r="BI202" t="b">
        <f>OR(AND(IF(Metadata!V202="",FALSE,TRUE),OR(EXACT(Metadata!V202,"not collected"),EXACT(Metadata!V202,"not provided"),EXACT(Metadata!V202,"restricted access"))),AND(IF(Metadata!V202="",FALSE,ISNUMBER(VALUE(Metadata!V202))),Metadata!V202&gt;=-180,Metadata!V202&lt;=180))</f>
        <v>0</v>
      </c>
      <c r="BJ202" t="b">
        <f>AND(IF(Metadata!W202="",FALSE,TRUE),EXACT(Metadata!W202,"Decimal degrees"))</f>
        <v>0</v>
      </c>
      <c r="BK202" t="b">
        <f>IF(Metadata!X202="",FALSE,TRUE)</f>
        <v>0</v>
      </c>
      <c r="BL202" t="b">
        <f>OR(AND(IF(Metadata!Y202="",FALSE,TRUE),OR(EXACT(Metadata!Y202,"not collected"),EXACT(Metadata!Y202,"not provided"),EXACT(Metadata!Y202,"restricted access"))),AND(IF(Metadata!Y202="",FALSE,TRUE),OR(EXACT(Metadata!Y202,"TRUE"),EXACT(Metadata!Y202,"FALSE"))))</f>
        <v>0</v>
      </c>
      <c r="BM202" t="b">
        <f>OR(AND(IF(Metadata!Z202="",FALSE,TRUE),EXACT(Metadata!Z202,"not applicable")),AND(IF(Metadata!Z202="",FALSE,TRUE),OR(EXACT(Metadata!Z202,"beer"),EXACT(Metadata!Z202,"cheese"),EXACT(Metadata!Z202,"fresh water"),EXACT(Metadata!Z202,"marine sediment"),EXACT(Metadata!Z202,"sea water"),EXACT(Metadata!Z202,"sediment"),EXACT(Metadata!Z202,"soil"),EXACT(Metadata!Z202,"waste water"))))</f>
        <v>0</v>
      </c>
      <c r="BN202" t="b">
        <f>AND(IF(Metadata!AA202="",FALSE,TRUE),EXACT(Metadata!AA202,"metagenome"))</f>
        <v>0</v>
      </c>
      <c r="BO202" t="b">
        <f>AND(IF(Metadata!AB202="",FALSE,TRUE),EXACT(Metadata!AB202,"256318"))</f>
        <v>0</v>
      </c>
      <c r="BP202" t="b">
        <f>IF(Metadata!AC202="",FALSE,TRUE)</f>
        <v>0</v>
      </c>
      <c r="BQ202" t="b">
        <f>IF(Metadata!AD202="",FALSE,TRUE)</f>
        <v>0</v>
      </c>
    </row>
    <row r="203" spans="1:69" x14ac:dyDescent="0.2">
      <c r="A203" s="4" t="e">
        <f ca="1">IF(B203=" "," ",HYPERLINK(CONCATENATE("#metadata!",ADDRESS(INDEX($AJ$2:$AJ$1001,MATCH(ROWS($AH$2:AH203),$AH$2:$AH$1001,0),0),2)),INDEX($AM$2:$AM$1001,MATCH(ROWS($AH$2:AH203),$AH$2:$AH$1001,0),0)))</f>
        <v>#N/A</v>
      </c>
      <c r="B203" s="5" t="e">
        <f ca="1">IF(OR(INDEX($AI$2:$AI$1001,MATCH(ROWS($AH$2:AH203),$AH$2:$AH$1001,0),1)&gt;=100000,INDEX($AO$1005:$BQ$1005,1,MATCH(COLUMNS($AO$1006:AO1006),$AO$1006:$BQ$1006,0))&gt;=100000), " ",IF(INDEX($AO$2:$BQ$1001,MATCH(ROWS($AH$2:AH203),$AH$2:$AH$1001,0),MATCH(COLUMNS($AO$1006:AO1006),$AO$1006:$BQ$1006,0)), HYPERLINK("#",""), HYPERLINK(CONCATENATE("#Metadata!", ADDRESS(INDEX($AJ$2:$AJ$1001,MATCH(ROWS($AH$2:AH203),$AH$2:$AH$1001,0),0), INDEX($AO$1004:$BQ$1004,1,MATCH(COLUMNS($AO$1006:AO1006),$AO$1006:$BQ$1006,0)))),"Fix")))</f>
        <v>#N/A</v>
      </c>
      <c r="C203" s="5" t="e">
        <f ca="1">IF(OR(INDEX($AI$2:$AI$1001,MATCH(ROWS($AH$2:AH203),$AH$2:$AH$1001,0),1)&gt;=100000,INDEX($AO$1005:$BQ$1005,1,MATCH(COLUMNS($AO$1006:AP1006),$AO$1006:$BQ$1006,0))&gt;=100000), " ",IF(INDEX($AO$2:$BQ$1001,MATCH(ROWS($AH$2:AH203),$AH$2:$AH$1001,0),MATCH(COLUMNS($AO$1006:AP1006),$AO$1006:$BQ$1006,0)), HYPERLINK("#",""), HYPERLINK(CONCATENATE("#Metadata!", ADDRESS(INDEX($AJ$2:$AJ$1001,MATCH(ROWS($AH$2:AH203),$AH$2:$AH$1001,0),0), INDEX($AO$1004:$BQ$1004,1,MATCH(COLUMNS($AO$1006:AP1006),$AO$1006:$BQ$1006,0)))),"Fix")))</f>
        <v>#N/A</v>
      </c>
      <c r="D203" s="5" t="e">
        <f ca="1">IF(OR(INDEX($AI$2:$AI$1001,MATCH(ROWS($AH$2:AH203),$AH$2:$AH$1001,0),1)&gt;=100000,INDEX($AO$1005:$BQ$1005,1,MATCH(COLUMNS($AO$1006:AQ1006),$AO$1006:$BQ$1006,0))&gt;=100000), " ",IF(INDEX($AO$2:$BQ$1001,MATCH(ROWS($AH$2:AH203),$AH$2:$AH$1001,0),MATCH(COLUMNS($AO$1006:AQ1006),$AO$1006:$BQ$1006,0)), HYPERLINK("#",""), HYPERLINK(CONCATENATE("#Metadata!", ADDRESS(INDEX($AJ$2:$AJ$1001,MATCH(ROWS($AH$2:AH203),$AH$2:$AH$1001,0),0), INDEX($AO$1004:$BQ$1004,1,MATCH(COLUMNS($AO$1006:AQ1006),$AO$1006:$BQ$1006,0)))),"Fix")))</f>
        <v>#N/A</v>
      </c>
      <c r="E203" s="5" t="e">
        <f ca="1">IF(OR(INDEX($AI$2:$AI$1001,MATCH(ROWS($AH$2:AH203),$AH$2:$AH$1001,0),1)&gt;=100000,INDEX($AO$1005:$BQ$1005,1,MATCH(COLUMNS($AO$1006:AR1006),$AO$1006:$BQ$1006,0))&gt;=100000), " ",IF(INDEX($AO$2:$BQ$1001,MATCH(ROWS($AH$2:AH203),$AH$2:$AH$1001,0),MATCH(COLUMNS($AO$1006:AR1006),$AO$1006:$BQ$1006,0)), HYPERLINK("#",""), HYPERLINK(CONCATENATE("#Metadata!", ADDRESS(INDEX($AJ$2:$AJ$1001,MATCH(ROWS($AH$2:AH203),$AH$2:$AH$1001,0),0), INDEX($AO$1004:$BQ$1004,1,MATCH(COLUMNS($AO$1006:AR1006),$AO$1006:$BQ$1006,0)))),"Fix")))</f>
        <v>#N/A</v>
      </c>
      <c r="F203" s="5" t="e">
        <f ca="1">IF(OR(INDEX($AI$2:$AI$1001,MATCH(ROWS($AH$2:AH203),$AH$2:$AH$1001,0),1)&gt;=100000,INDEX($AO$1005:$BQ$1005,1,MATCH(COLUMNS($AO$1006:AS1006),$AO$1006:$BQ$1006,0))&gt;=100000), " ",IF(INDEX($AO$2:$BQ$1001,MATCH(ROWS($AH$2:AH203),$AH$2:$AH$1001,0),MATCH(COLUMNS($AO$1006:AS1006),$AO$1006:$BQ$1006,0)), HYPERLINK("#",""), HYPERLINK(CONCATENATE("#Metadata!", ADDRESS(INDEX($AJ$2:$AJ$1001,MATCH(ROWS($AH$2:AH203),$AH$2:$AH$1001,0),0), INDEX($AO$1004:$BQ$1004,1,MATCH(COLUMNS($AO$1006:AS1006),$AO$1006:$BQ$1006,0)))),"Fix")))</f>
        <v>#N/A</v>
      </c>
      <c r="G203" s="5" t="e">
        <f ca="1">IF(OR(INDEX($AI$2:$AI$1001,MATCH(ROWS($AH$2:AH203),$AH$2:$AH$1001,0),1)&gt;=100000,INDEX($AO$1005:$BQ$1005,1,MATCH(COLUMNS($AO$1006:AT1006),$AO$1006:$BQ$1006,0))&gt;=100000), " ",IF(INDEX($AO$2:$BQ$1001,MATCH(ROWS($AH$2:AH203),$AH$2:$AH$1001,0),MATCH(COLUMNS($AO$1006:AT1006),$AO$1006:$BQ$1006,0)), HYPERLINK("#",""), HYPERLINK(CONCATENATE("#Metadata!", ADDRESS(INDEX($AJ$2:$AJ$1001,MATCH(ROWS($AH$2:AH203),$AH$2:$AH$1001,0),0), INDEX($AO$1004:$BQ$1004,1,MATCH(COLUMNS($AO$1006:AT1006),$AO$1006:$BQ$1006,0)))),"Fix")))</f>
        <v>#N/A</v>
      </c>
      <c r="H203" s="5" t="e">
        <f ca="1">IF(OR(INDEX($AI$2:$AI$1001,MATCH(ROWS($AH$2:AH203),$AH$2:$AH$1001,0),1)&gt;=100000,INDEX($AO$1005:$BQ$1005,1,MATCH(COLUMNS($AO$1006:AU1006),$AO$1006:$BQ$1006,0))&gt;=100000), " ",IF(INDEX($AO$2:$BQ$1001,MATCH(ROWS($AH$2:AH203),$AH$2:$AH$1001,0),MATCH(COLUMNS($AO$1006:AU1006),$AO$1006:$BQ$1006,0)), HYPERLINK("#",""), HYPERLINK(CONCATENATE("#Metadata!", ADDRESS(INDEX($AJ$2:$AJ$1001,MATCH(ROWS($AH$2:AH203),$AH$2:$AH$1001,0),0), INDEX($AO$1004:$BQ$1004,1,MATCH(COLUMNS($AO$1006:AU1006),$AO$1006:$BQ$1006,0)))),"Fix")))</f>
        <v>#N/A</v>
      </c>
      <c r="I203" s="5" t="e">
        <f ca="1">IF(OR(INDEX($AI$2:$AI$1001,MATCH(ROWS($AH$2:AH203),$AH$2:$AH$1001,0),1)&gt;=100000,INDEX($AO$1005:$BQ$1005,1,MATCH(COLUMNS($AO$1006:AV1006),$AO$1006:$BQ$1006,0))&gt;=100000), " ",IF(INDEX($AO$2:$BQ$1001,MATCH(ROWS($AH$2:AH203),$AH$2:$AH$1001,0),MATCH(COLUMNS($AO$1006:AV1006),$AO$1006:$BQ$1006,0)), HYPERLINK("#",""), HYPERLINK(CONCATENATE("#Metadata!", ADDRESS(INDEX($AJ$2:$AJ$1001,MATCH(ROWS($AH$2:AH203),$AH$2:$AH$1001,0),0), INDEX($AO$1004:$BQ$1004,1,MATCH(COLUMNS($AO$1006:AV1006),$AO$1006:$BQ$1006,0)))),"Fix")))</f>
        <v>#N/A</v>
      </c>
      <c r="J203" s="5" t="e">
        <f ca="1">IF(OR(INDEX($AI$2:$AI$1001,MATCH(ROWS($AH$2:AH203),$AH$2:$AH$1001,0),1)&gt;=100000,INDEX($AO$1005:$BQ$1005,1,MATCH(COLUMNS($AO$1006:AW1006),$AO$1006:$BQ$1006,0))&gt;=100000), " ",IF(INDEX($AO$2:$BQ$1001,MATCH(ROWS($AH$2:AH203),$AH$2:$AH$1001,0),MATCH(COLUMNS($AO$1006:AW1006),$AO$1006:$BQ$1006,0)), HYPERLINK("#",""), HYPERLINK(CONCATENATE("#Metadata!", ADDRESS(INDEX($AJ$2:$AJ$1001,MATCH(ROWS($AH$2:AH203),$AH$2:$AH$1001,0),0), INDEX($AO$1004:$BQ$1004,1,MATCH(COLUMNS($AO$1006:AW1006),$AO$1006:$BQ$1006,0)))),"Fix")))</f>
        <v>#N/A</v>
      </c>
      <c r="K203" s="5" t="e">
        <f ca="1">IF(OR(INDEX($AI$2:$AI$1001,MATCH(ROWS($AH$2:AH203),$AH$2:$AH$1001,0),1)&gt;=100000,INDEX($AO$1005:$BQ$1005,1,MATCH(COLUMNS($AO$1006:AX1006),$AO$1006:$BQ$1006,0))&gt;=100000), " ",IF(INDEX($AO$2:$BQ$1001,MATCH(ROWS($AH$2:AH203),$AH$2:$AH$1001,0),MATCH(COLUMNS($AO$1006:AX1006),$AO$1006:$BQ$1006,0)), HYPERLINK("#",""), HYPERLINK(CONCATENATE("#Metadata!", ADDRESS(INDEX($AJ$2:$AJ$1001,MATCH(ROWS($AH$2:AH203),$AH$2:$AH$1001,0),0), INDEX($AO$1004:$BQ$1004,1,MATCH(COLUMNS($AO$1006:AX1006),$AO$1006:$BQ$1006,0)))),"Fix")))</f>
        <v>#N/A</v>
      </c>
      <c r="L203" s="5" t="e">
        <f ca="1">IF(OR(INDEX($AI$2:$AI$1001,MATCH(ROWS($AH$2:AH203),$AH$2:$AH$1001,0),1)&gt;=100000,INDEX($AO$1005:$BQ$1005,1,MATCH(COLUMNS($AO$1006:AY1006),$AO$1006:$BQ$1006,0))&gt;=100000), " ",IF(INDEX($AO$2:$BQ$1001,MATCH(ROWS($AH$2:AH203),$AH$2:$AH$1001,0),MATCH(COLUMNS($AO$1006:AY1006),$AO$1006:$BQ$1006,0)), HYPERLINK("#",""), HYPERLINK(CONCATENATE("#Metadata!", ADDRESS(INDEX($AJ$2:$AJ$1001,MATCH(ROWS($AH$2:AH203),$AH$2:$AH$1001,0),0), INDEX($AO$1004:$BQ$1004,1,MATCH(COLUMNS($AO$1006:AY1006),$AO$1006:$BQ$1006,0)))),"Fix")))</f>
        <v>#N/A</v>
      </c>
      <c r="M203" s="5" t="e">
        <f ca="1">IF(OR(INDEX($AI$2:$AI$1001,MATCH(ROWS($AH$2:AH203),$AH$2:$AH$1001,0),1)&gt;=100000,INDEX($AO$1005:$BQ$1005,1,MATCH(COLUMNS($AO$1006:AZ1006),$AO$1006:$BQ$1006,0))&gt;=100000), " ",IF(INDEX($AO$2:$BQ$1001,MATCH(ROWS($AH$2:AH203),$AH$2:$AH$1001,0),MATCH(COLUMNS($AO$1006:AZ1006),$AO$1006:$BQ$1006,0)), HYPERLINK("#",""), HYPERLINK(CONCATENATE("#Metadata!", ADDRESS(INDEX($AJ$2:$AJ$1001,MATCH(ROWS($AH$2:AH203),$AH$2:$AH$1001,0),0), INDEX($AO$1004:$BQ$1004,1,MATCH(COLUMNS($AO$1006:AZ1006),$AO$1006:$BQ$1006,0)))),"Fix")))</f>
        <v>#N/A</v>
      </c>
      <c r="N203" s="5" t="e">
        <f ca="1">IF(OR(INDEX($AI$2:$AI$1001,MATCH(ROWS($AH$2:AH203),$AH$2:$AH$1001,0),1)&gt;=100000,INDEX($AO$1005:$BQ$1005,1,MATCH(COLUMNS($AO$1006:BA1006),$AO$1006:$BQ$1006,0))&gt;=100000), " ",IF(INDEX($AO$2:$BQ$1001,MATCH(ROWS($AH$2:AH203),$AH$2:$AH$1001,0),MATCH(COLUMNS($AO$1006:BA1006),$AO$1006:$BQ$1006,0)), HYPERLINK("#",""), HYPERLINK(CONCATENATE("#Metadata!", ADDRESS(INDEX($AJ$2:$AJ$1001,MATCH(ROWS($AH$2:AH203),$AH$2:$AH$1001,0),0), INDEX($AO$1004:$BQ$1004,1,MATCH(COLUMNS($AO$1006:BA1006),$AO$1006:$BQ$1006,0)))),"Fix")))</f>
        <v>#N/A</v>
      </c>
      <c r="O203" s="5" t="e">
        <f ca="1">IF(OR(INDEX($AI$2:$AI$1001,MATCH(ROWS($AH$2:AH203),$AH$2:$AH$1001,0),1)&gt;=100000,INDEX($AO$1005:$BQ$1005,1,MATCH(COLUMNS($AO$1006:BB1006),$AO$1006:$BQ$1006,0))&gt;=100000), " ",IF(INDEX($AO$2:$BQ$1001,MATCH(ROWS($AH$2:AH203),$AH$2:$AH$1001,0),MATCH(COLUMNS($AO$1006:BB1006),$AO$1006:$BQ$1006,0)), HYPERLINK("#",""), HYPERLINK(CONCATENATE("#Metadata!", ADDRESS(INDEX($AJ$2:$AJ$1001,MATCH(ROWS($AH$2:AH203),$AH$2:$AH$1001,0),0), INDEX($AO$1004:$BQ$1004,1,MATCH(COLUMNS($AO$1006:BB1006),$AO$1006:$BQ$1006,0)))),"Fix")))</f>
        <v>#N/A</v>
      </c>
      <c r="P203" s="5" t="e">
        <f ca="1">IF(OR(INDEX($AI$2:$AI$1001,MATCH(ROWS($AH$2:AH203),$AH$2:$AH$1001,0),1)&gt;=100000,INDEX($AO$1005:$BQ$1005,1,MATCH(COLUMNS($AO$1006:BC1006),$AO$1006:$BQ$1006,0))&gt;=100000), " ",IF(INDEX($AO$2:$BQ$1001,MATCH(ROWS($AH$2:AH203),$AH$2:$AH$1001,0),MATCH(COLUMNS($AO$1006:BC1006),$AO$1006:$BQ$1006,0)), HYPERLINK("#",""), HYPERLINK(CONCATENATE("#Metadata!", ADDRESS(INDEX($AJ$2:$AJ$1001,MATCH(ROWS($AH$2:AH203),$AH$2:$AH$1001,0),0), INDEX($AO$1004:$BQ$1004,1,MATCH(COLUMNS($AO$1006:BC1006),$AO$1006:$BQ$1006,0)))),"Fix")))</f>
        <v>#N/A</v>
      </c>
      <c r="Q203" s="5" t="e">
        <f ca="1">IF(OR(INDEX($AI$2:$AI$1001,MATCH(ROWS($AH$2:AH203),$AH$2:$AH$1001,0),1)&gt;=100000,INDEX($AO$1005:$BQ$1005,1,MATCH(COLUMNS($AO$1006:BD1006),$AO$1006:$BQ$1006,0))&gt;=100000), " ",IF(INDEX($AO$2:$BQ$1001,MATCH(ROWS($AH$2:AH203),$AH$2:$AH$1001,0),MATCH(COLUMNS($AO$1006:BD1006),$AO$1006:$BQ$1006,0)), HYPERLINK("#",""), HYPERLINK(CONCATENATE("#Metadata!", ADDRESS(INDEX($AJ$2:$AJ$1001,MATCH(ROWS($AH$2:AH203),$AH$2:$AH$1001,0),0), INDEX($AO$1004:$BQ$1004,1,MATCH(COLUMNS($AO$1006:BD1006),$AO$1006:$BQ$1006,0)))),"Fix")))</f>
        <v>#N/A</v>
      </c>
      <c r="R203" s="5" t="e">
        <f ca="1">IF(OR(INDEX($AI$2:$AI$1001,MATCH(ROWS($AH$2:AH203),$AH$2:$AH$1001,0),1)&gt;=100000,INDEX($AO$1005:$BQ$1005,1,MATCH(COLUMNS($AO$1006:BE1006),$AO$1006:$BQ$1006,0))&gt;=100000), " ",IF(INDEX($AO$2:$BQ$1001,MATCH(ROWS($AH$2:AH203),$AH$2:$AH$1001,0),MATCH(COLUMNS($AO$1006:BE1006),$AO$1006:$BQ$1006,0)), HYPERLINK("#",""), HYPERLINK(CONCATENATE("#Metadata!", ADDRESS(INDEX($AJ$2:$AJ$1001,MATCH(ROWS($AH$2:AH203),$AH$2:$AH$1001,0),0), INDEX($AO$1004:$BQ$1004,1,MATCH(COLUMNS($AO$1006:BE1006),$AO$1006:$BQ$1006,0)))),"Fix")))</f>
        <v>#N/A</v>
      </c>
      <c r="S203" s="5" t="e">
        <f ca="1">IF(OR(INDEX($AI$2:$AI$1001,MATCH(ROWS($AH$2:AH203),$AH$2:$AH$1001,0),1)&gt;=100000,INDEX($AO$1005:$BQ$1005,1,MATCH(COLUMNS($AO$1006:BF1006),$AO$1006:$BQ$1006,0))&gt;=100000), " ",IF(INDEX($AO$2:$BQ$1001,MATCH(ROWS($AH$2:AH203),$AH$2:$AH$1001,0),MATCH(COLUMNS($AO$1006:BF1006),$AO$1006:$BQ$1006,0)), HYPERLINK("#",""), HYPERLINK(CONCATENATE("#Metadata!", ADDRESS(INDEX($AJ$2:$AJ$1001,MATCH(ROWS($AH$2:AH203),$AH$2:$AH$1001,0),0), INDEX($AO$1004:$BQ$1004,1,MATCH(COLUMNS($AO$1006:BF1006),$AO$1006:$BQ$1006,0)))),"Fix")))</f>
        <v>#N/A</v>
      </c>
      <c r="T203" s="5" t="e">
        <f ca="1">IF(OR(INDEX($AI$2:$AI$1001,MATCH(ROWS($AH$2:AH203),$AH$2:$AH$1001,0),1)&gt;=100000,INDEX($AO$1005:$BQ$1005,1,MATCH(COLUMNS($AO$1006:BG1006),$AO$1006:$BQ$1006,0))&gt;=100000), " ",IF(INDEX($AO$2:$BQ$1001,MATCH(ROWS($AH$2:AH203),$AH$2:$AH$1001,0),MATCH(COLUMNS($AO$1006:BG1006),$AO$1006:$BQ$1006,0)), HYPERLINK("#",""), HYPERLINK(CONCATENATE("#Metadata!", ADDRESS(INDEX($AJ$2:$AJ$1001,MATCH(ROWS($AH$2:AH203),$AH$2:$AH$1001,0),0), INDEX($AO$1004:$BQ$1004,1,MATCH(COLUMNS($AO$1006:BG1006),$AO$1006:$BQ$1006,0)))),"Fix")))</f>
        <v>#N/A</v>
      </c>
      <c r="U203" s="5" t="e">
        <f ca="1">IF(OR(INDEX($AI$2:$AI$1001,MATCH(ROWS($AH$2:AH203),$AH$2:$AH$1001,0),1)&gt;=100000,INDEX($AO$1005:$BQ$1005,1,MATCH(COLUMNS($AO$1006:BH1006),$AO$1006:$BQ$1006,0))&gt;=100000), " ",IF(INDEX($AO$2:$BQ$1001,MATCH(ROWS($AH$2:AH203),$AH$2:$AH$1001,0),MATCH(COLUMNS($AO$1006:BH1006),$AO$1006:$BQ$1006,0)), HYPERLINK("#",""), HYPERLINK(CONCATENATE("#Metadata!", ADDRESS(INDEX($AJ$2:$AJ$1001,MATCH(ROWS($AH$2:AH203),$AH$2:$AH$1001,0),0), INDEX($AO$1004:$BQ$1004,1,MATCH(COLUMNS($AO$1006:BH1006),$AO$1006:$BQ$1006,0)))),"Fix")))</f>
        <v>#N/A</v>
      </c>
      <c r="V203" s="5" t="e">
        <f ca="1">IF(OR(INDEX($AI$2:$AI$1001,MATCH(ROWS($AH$2:AH203),$AH$2:$AH$1001,0),1)&gt;=100000,INDEX($AO$1005:$BQ$1005,1,MATCH(COLUMNS($AO$1006:BI1006),$AO$1006:$BQ$1006,0))&gt;=100000), " ",IF(INDEX($AO$2:$BQ$1001,MATCH(ROWS($AH$2:AH203),$AH$2:$AH$1001,0),MATCH(COLUMNS($AO$1006:BI1006),$AO$1006:$BQ$1006,0)), HYPERLINK("#",""), HYPERLINK(CONCATENATE("#Metadata!", ADDRESS(INDEX($AJ$2:$AJ$1001,MATCH(ROWS($AH$2:AH203),$AH$2:$AH$1001,0),0), INDEX($AO$1004:$BQ$1004,1,MATCH(COLUMNS($AO$1006:BI1006),$AO$1006:$BQ$1006,0)))),"Fix")))</f>
        <v>#N/A</v>
      </c>
      <c r="W203" s="5" t="e">
        <f ca="1">IF(OR(INDEX($AI$2:$AI$1001,MATCH(ROWS($AH$2:AH203),$AH$2:$AH$1001,0),1)&gt;=100000,INDEX($AO$1005:$BQ$1005,1,MATCH(COLUMNS($AO$1006:BJ1006),$AO$1006:$BQ$1006,0))&gt;=100000), " ",IF(INDEX($AO$2:$BQ$1001,MATCH(ROWS($AH$2:AH203),$AH$2:$AH$1001,0),MATCH(COLUMNS($AO$1006:BJ1006),$AO$1006:$BQ$1006,0)), HYPERLINK("#",""), HYPERLINK(CONCATENATE("#Metadata!", ADDRESS(INDEX($AJ$2:$AJ$1001,MATCH(ROWS($AH$2:AH203),$AH$2:$AH$1001,0),0), INDEX($AO$1004:$BQ$1004,1,MATCH(COLUMNS($AO$1006:BJ1006),$AO$1006:$BQ$1006,0)))),"Fix")))</f>
        <v>#N/A</v>
      </c>
      <c r="X203" s="5" t="e">
        <f ca="1">IF(OR(INDEX($AI$2:$AI$1001,MATCH(ROWS($AH$2:AH203),$AH$2:$AH$1001,0),1)&gt;=100000,INDEX($AO$1005:$BQ$1005,1,MATCH(COLUMNS($AO$1006:BK1006),$AO$1006:$BQ$1006,0))&gt;=100000), " ",IF(INDEX($AO$2:$BQ$1001,MATCH(ROWS($AH$2:AH203),$AH$2:$AH$1001,0),MATCH(COLUMNS($AO$1006:BK1006),$AO$1006:$BQ$1006,0)), HYPERLINK("#",""), HYPERLINK(CONCATENATE("#Metadata!", ADDRESS(INDEX($AJ$2:$AJ$1001,MATCH(ROWS($AH$2:AH203),$AH$2:$AH$1001,0),0), INDEX($AO$1004:$BQ$1004,1,MATCH(COLUMNS($AO$1006:BK1006),$AO$1006:$BQ$1006,0)))),"Fix")))</f>
        <v>#N/A</v>
      </c>
      <c r="Y203" s="5" t="e">
        <f ca="1">IF(OR(INDEX($AI$2:$AI$1001,MATCH(ROWS($AH$2:AH203),$AH$2:$AH$1001,0),1)&gt;=100000,INDEX($AO$1005:$BQ$1005,1,MATCH(COLUMNS($AO$1006:BL1006),$AO$1006:$BQ$1006,0))&gt;=100000), " ",IF(INDEX($AO$2:$BQ$1001,MATCH(ROWS($AH$2:AH203),$AH$2:$AH$1001,0),MATCH(COLUMNS($AO$1006:BL1006),$AO$1006:$BQ$1006,0)), HYPERLINK("#",""), HYPERLINK(CONCATENATE("#Metadata!", ADDRESS(INDEX($AJ$2:$AJ$1001,MATCH(ROWS($AH$2:AH203),$AH$2:$AH$1001,0),0), INDEX($AO$1004:$BQ$1004,1,MATCH(COLUMNS($AO$1006:BL1006),$AO$1006:$BQ$1006,0)))),"Fix")))</f>
        <v>#N/A</v>
      </c>
      <c r="Z203" s="5" t="e">
        <f ca="1">IF(OR(INDEX($AI$2:$AI$1001,MATCH(ROWS($AH$2:AH203),$AH$2:$AH$1001,0),1)&gt;=100000,INDEX($AO$1005:$BQ$1005,1,MATCH(COLUMNS($AO$1006:BM1006),$AO$1006:$BQ$1006,0))&gt;=100000), " ",IF(INDEX($AO$2:$BQ$1001,MATCH(ROWS($AH$2:AH203),$AH$2:$AH$1001,0),MATCH(COLUMNS($AO$1006:BM1006),$AO$1006:$BQ$1006,0)), HYPERLINK("#",""), HYPERLINK(CONCATENATE("#Metadata!", ADDRESS(INDEX($AJ$2:$AJ$1001,MATCH(ROWS($AH$2:AH203),$AH$2:$AH$1001,0),0), INDEX($AO$1004:$BQ$1004,1,MATCH(COLUMNS($AO$1006:BM1006),$AO$1006:$BQ$1006,0)))),"Fix")))</f>
        <v>#N/A</v>
      </c>
      <c r="AA203" s="5" t="e">
        <f ca="1">IF(OR(INDEX($AI$2:$AI$1001,MATCH(ROWS($AH$2:AH203),$AH$2:$AH$1001,0),1)&gt;=100000,INDEX($AO$1005:$BQ$1005,1,MATCH(COLUMNS($AO$1006:BN1006),$AO$1006:$BQ$1006,0))&gt;=100000), " ",IF(INDEX($AO$2:$BQ$1001,MATCH(ROWS($AH$2:AH203),$AH$2:$AH$1001,0),MATCH(COLUMNS($AO$1006:BN1006),$AO$1006:$BQ$1006,0)), HYPERLINK("#",""), HYPERLINK(CONCATENATE("#Metadata!", ADDRESS(INDEX($AJ$2:$AJ$1001,MATCH(ROWS($AH$2:AH203),$AH$2:$AH$1001,0),0), INDEX($AO$1004:$BQ$1004,1,MATCH(COLUMNS($AO$1006:BN1006),$AO$1006:$BQ$1006,0)))),"Fix")))</f>
        <v>#N/A</v>
      </c>
      <c r="AB203" s="5" t="e">
        <f ca="1">IF(OR(INDEX($AI$2:$AI$1001,MATCH(ROWS($AH$2:AH203),$AH$2:$AH$1001,0),1)&gt;=100000,INDEX($AO$1005:$BQ$1005,1,MATCH(COLUMNS($AO$1006:BO1006),$AO$1006:$BQ$1006,0))&gt;=100000), " ",IF(INDEX($AO$2:$BQ$1001,MATCH(ROWS($AH$2:AH203),$AH$2:$AH$1001,0),MATCH(COLUMNS($AO$1006:BO1006),$AO$1006:$BQ$1006,0)), HYPERLINK("#",""), HYPERLINK(CONCATENATE("#Metadata!", ADDRESS(INDEX($AJ$2:$AJ$1001,MATCH(ROWS($AH$2:AH203),$AH$2:$AH$1001,0),0), INDEX($AO$1004:$BQ$1004,1,MATCH(COLUMNS($AO$1006:BO1006),$AO$1006:$BQ$1006,0)))),"Fix")))</f>
        <v>#N/A</v>
      </c>
      <c r="AC203" s="5" t="e">
        <f ca="1">IF(OR(INDEX($AI$2:$AI$1001,MATCH(ROWS($AH$2:AH203),$AH$2:$AH$1001,0),1)&gt;=100000,INDEX($AO$1005:$BQ$1005,1,MATCH(COLUMNS($AO$1006:BP1006),$AO$1006:$BQ$1006,0))&gt;=100000), " ",IF(INDEX($AO$2:$BQ$1001,MATCH(ROWS($AH$2:AH203),$AH$2:$AH$1001,0),MATCH(COLUMNS($AO$1006:BP1006),$AO$1006:$BQ$1006,0)), HYPERLINK("#",""), HYPERLINK(CONCATENATE("#Metadata!", ADDRESS(INDEX($AJ$2:$AJ$1001,MATCH(ROWS($AH$2:AH203),$AH$2:$AH$1001,0),0), INDEX($AO$1004:$BQ$1004,1,MATCH(COLUMNS($AO$1006:BP1006),$AO$1006:$BQ$1006,0)))),"Fix")))</f>
        <v>#N/A</v>
      </c>
      <c r="AD203" s="5" t="e">
        <f ca="1">IF(OR(INDEX($AI$2:$AI$1001,MATCH(ROWS($AH$2:AH203),$AH$2:$AH$1001,0),1)&gt;=100000,INDEX($AO$1005:$BQ$1005,1,MATCH(COLUMNS($AO$1006:BQ1006),$AO$1006:$BQ$1006,0))&gt;=100000), " ",IF(INDEX($AO$2:$BQ$1001,MATCH(ROWS($AH$2:AH203),$AH$2:$AH$1001,0),MATCH(COLUMNS($AO$1006:BQ1006),$AO$1006:$BQ$1006,0)), HYPERLINK("#",""), HYPERLINK(CONCATENATE("#Metadata!", ADDRESS(INDEX($AJ$2:$AJ$1001,MATCH(ROWS($AH$2:AH203),$AH$2:$AH$1001,0),0), INDEX($AO$1004:$BQ$1004,1,MATCH(COLUMNS($AO$1006:BQ1006),$AO$1006:$BQ$1006,0)))),"Fix")))</f>
        <v>#REF!</v>
      </c>
      <c r="AH203">
        <f ca="1"/>
        <v>200</v>
      </c>
      <c r="AI203">
        <v>100203</v>
      </c>
      <c r="AJ203">
        <v>203</v>
      </c>
      <c r="AK203" t="b">
        <f t="shared" si="3"/>
        <v>1</v>
      </c>
      <c r="AL203" t="b">
        <f>COUNTBLANK(Metadata!B203:AD203)=COLUMNS(Metadata!B203:AD203)</f>
        <v>1</v>
      </c>
      <c r="AM203" t="str">
        <v/>
      </c>
      <c r="AO203" t="b">
        <f ca="1">AND(IF(Metadata!B203="",FALSE,TRUE),COUNTIF(Metadata!B:B, Metadata!B203) = 1,NOT(ISERROR(SUMPRODUCT(SEARCH(MID(Metadata!B203,ROW(INDIRECT("1:"&amp;LEN(Metadata!B203))), 1),"0123456789abcdefghijklmnopqrstuvwxyzABCDEFGHIJKLMNOPQRSTUVWXYZ.")))))</f>
        <v>0</v>
      </c>
      <c r="AP203" t="b">
        <f>IF(Metadata!C203="",FALSE,TRUE)</f>
        <v>0</v>
      </c>
      <c r="AQ203" t="b">
        <f>IF(Metadata!D203="",FALSE,TRUE)</f>
        <v>0</v>
      </c>
      <c r="AR203" t="b">
        <f ca="1">OR(AND(IF(Metadata!E203="",FALSE,TRUE),OR(EXACT(Metadata!E203,"not collected"),EXACT(Metadata!E203,"not provided"),EXACT(Metadata!E203,"restricted access"))),AND(IF(Metadata!E203="",FALSE,TRUE),AND(AND(IFERROR(INT(LEFT(Metadata!E203,4))&gt;1900,FALSE),IFERROR(INT(LEFT(Metadata!E203,4))&lt;=YEAR(NOW()),FALSE)), OR(MID(Metadata!E203,5,1)="", AND(AND(MID(Metadata!E203,5,1)="-",IFERROR(INT(MID(Metadata!E203,6,1))&gt;=0,FALSE),IFERROR(INT(MID(Metadata!E203,6,1))&lt;=1,FALSE),NOT(MID(Metadata!E203,7,1)=""),IFERROR(INT(MID(Metadata!E203,6,2))&gt;=1,FALSE),IFERROR(INT(MID(Metadata!E203,6,2))&lt;=12,FALSE)), OR(MID(Metadata!E203,8,1)="", AND(AND(MID(Metadata!E203,8,1)="-",IFERROR(INT(MID(Metadata!E203,9,1))&gt;=0,FALSE),IFERROR(INT(MID(Metadata!E203,9,1))&lt;=3,FALSE),NOT(MID(Metadata!E203,10,1)=""),IFERROR(INT(MID(Metadata!E203,9,2))&gt;=1,FALSE),IFERROR(INT(MID(Metadata!E203,9,2))&lt;=31,FALSE)), OR(MID(Metadata!E203,11,1)="", AND(AND(MID(Metadata!E203,11,1)=" ",IFERROR(INT(MID(Metadata!E203,12,1))&gt;=0,FALSE),IFERROR(INT(MID(Metadata!E203,12,1))&lt;=2,FALSE),NOT(MID(Metadata!E203,13,1)=""),IFERROR(INT(MID(Metadata!E203,12,2))&gt;=0,FALSE),IFERROR(INT(MID(Metadata!E203,12,2))&lt;=23,FALSE)), OR(MID(Metadata!E203,14,1)="", AND(AND(MID(Metadata!E203,14,1)=":",IFERROR(INT(MID(Metadata!E203,15,1))&gt;=0,FALSE),IFERROR(INT(MID(Metadata!E203,15,1))&lt;=5,FALSE),NOT(MID(Metadata!E203,16,1)=""),IFERROR(INT(MID(Metadata!E203,15,2))&gt;=0,FALSE),IFERROR(INT(MID(Metadata!E203,15,2))&lt;=59,FALSE)), OR(MID(Metadata!E203,17,1)="", AND(AND(MID(Metadata!E203,17,1)=":",IFERROR(INT(MID(Metadata!E203,18,1))&gt;=0,FALSE),IFERROR(INT(MID(Metadata!E203,18,1))&lt;=5,FALSE),NOT(MID(Metadata!E203,19,1)=""),IFERROR(INT(MID(Metadata!E203,18,2))&gt;=0,FALSE),IFERROR(INT(MID(Metadata!E203,18,2))&lt;=59,FALSE)), LEN(Metadata!E203)&lt;=19)))))))))))))</f>
        <v>0</v>
      </c>
      <c r="AS203" t="b">
        <f>IF(Metadata!F203="",FALSE,TRUE)</f>
        <v>0</v>
      </c>
      <c r="AT203" t="b">
        <f>OR(AND(IF(Metadata!G203="",FALSE,TRUE),OR(EXACT(Metadata!G203,"not collected"),EXACT(Metadata!G203,"not provided"))),AND(IF(Metadata!G203="",FALSE,TRUE),OR(EXACT(Metadata!G203,"TRUE"),EXACT(Metadata!G203,"FALSE"))))</f>
        <v>0</v>
      </c>
      <c r="AU203" t="b">
        <f>OR(AND(IF(Metadata!H203="",FALSE,TRUE),OR(EXACT(Metadata!H203,"not collected"),EXACT(Metadata!H203,"not provided"),EXACT(Metadata!H203,"restricted access"))),AND(IF(Metadata!H203="",FALSE,ISNUMBER(VALUE(Metadata!H203))),Metadata!H203&gt;=-413))</f>
        <v>0</v>
      </c>
      <c r="AV203" t="b">
        <f>AND(IF(Metadata!I203="",FALSE,TRUE),EXACT(Metadata!I203,"meters"))</f>
        <v>0</v>
      </c>
      <c r="AW203" t="b">
        <f>AND(IF(Metadata!J203="",FALSE,TRUE),EXACT(Metadata!J203,"free-living"))</f>
        <v>0</v>
      </c>
      <c r="AX203" t="b">
        <f>AND(IF(Metadata!K203="",FALSE,TRUE),OR(EXACT(Metadata!K203,"saline"),EXACT(Metadata!K203,"non-saline")))</f>
        <v>0</v>
      </c>
      <c r="AY203" t="b">
        <f>AND(IF(Metadata!L203="",FALSE,TRUE),OR(EXACT(Metadata!L203,"sub-surface (non-saline)"),EXACT(Metadata!L203,"surface (non-saline)"),EXACT(Metadata!L203,"water (non-saline)"),EXACT(Metadata!L203,"soil (non-saline)"),EXACT(Metadata!L203,"aerosol (non-saline)"),EXACT(Metadata!L203,"sediment (non-saline)"),EXACT(Metadata!L203,"surface (saline)"),EXACT(Metadata!L203,"water (saline)"),EXACT(Metadata!L203,"hypersaline (saline)"),EXACT(Metadata!L203,"aerosol (saline)"),EXACT(Metadata!L203,"sediment (saline)")))</f>
        <v>0</v>
      </c>
      <c r="AZ203" t="b">
        <f>IF(Metadata!M203="",FALSE,TRUE)</f>
        <v>0</v>
      </c>
      <c r="BA203" t="b">
        <f>IF(Metadata!N203="",FALSE,TRUE)</f>
        <v>0</v>
      </c>
      <c r="BB203" t="b">
        <f>IF(Metadata!O203="",FALSE,TRUE)</f>
        <v>0</v>
      </c>
      <c r="BC203" t="b">
        <f>AND(IF(Metadata!P203="",FALSE,TRUE),OR(EXACT(Metadata!P203,"air"),EXACT(Metadata!P203,"microbial mat/biofilm"),EXACT(Metadata!P203,"misc environment"),EXACT(Metadata!P203,"sediment"),EXACT(Metadata!P203,"soil"),EXACT(Metadata!P203,"wastewater/sludge"),EXACT(Metadata!P203,"water")))</f>
        <v>0</v>
      </c>
      <c r="BD203" t="b">
        <f>IF(Metadata!Q203="",FALSE,TRUE)</f>
        <v>0</v>
      </c>
      <c r="BE203" t="b">
        <f>IF(Metadata!R203="",FALSE,TRUE)</f>
        <v>0</v>
      </c>
      <c r="BF203" t="b">
        <f>OR(AND(IF(Metadata!S203="",FALSE,TRUE),OR(EXACT(Metadata!S203,"not collected"),EXACT(Metadata!S203,"not provided"),EXACT(Metadata!S203,"restricted access"))),AND(IF(Metadata!S203="",FALSE,ISNUMBER(VALUE(Metadata!S203))),Metadata!S203&gt;=-90,Metadata!S203&lt;=90))</f>
        <v>0</v>
      </c>
      <c r="BG203" t="b">
        <f>AND(IF(Metadata!T203="",FALSE,TRUE),EXACT(Metadata!T203,"Decimal degrees"))</f>
        <v>0</v>
      </c>
      <c r="BH203" t="b">
        <f>OR(AND(IF(Metadata!U203="",FALSE,TRUE),OR(EXACT(Metadata!U203,"not applicable"),EXACT(Metadata!U203,"not collected"))),IF(Metadata!U203="",FALSE,TRUE))</f>
        <v>0</v>
      </c>
      <c r="BI203" t="b">
        <f>OR(AND(IF(Metadata!V203="",FALSE,TRUE),OR(EXACT(Metadata!V203,"not collected"),EXACT(Metadata!V203,"not provided"),EXACT(Metadata!V203,"restricted access"))),AND(IF(Metadata!V203="",FALSE,ISNUMBER(VALUE(Metadata!V203))),Metadata!V203&gt;=-180,Metadata!V203&lt;=180))</f>
        <v>0</v>
      </c>
      <c r="BJ203" t="b">
        <f>AND(IF(Metadata!W203="",FALSE,TRUE),EXACT(Metadata!W203,"Decimal degrees"))</f>
        <v>0</v>
      </c>
      <c r="BK203" t="b">
        <f>IF(Metadata!X203="",FALSE,TRUE)</f>
        <v>0</v>
      </c>
      <c r="BL203" t="b">
        <f>OR(AND(IF(Metadata!Y203="",FALSE,TRUE),OR(EXACT(Metadata!Y203,"not collected"),EXACT(Metadata!Y203,"not provided"),EXACT(Metadata!Y203,"restricted access"))),AND(IF(Metadata!Y203="",FALSE,TRUE),OR(EXACT(Metadata!Y203,"TRUE"),EXACT(Metadata!Y203,"FALSE"))))</f>
        <v>0</v>
      </c>
      <c r="BM203" t="b">
        <f>OR(AND(IF(Metadata!Z203="",FALSE,TRUE),EXACT(Metadata!Z203,"not applicable")),AND(IF(Metadata!Z203="",FALSE,TRUE),OR(EXACT(Metadata!Z203,"beer"),EXACT(Metadata!Z203,"cheese"),EXACT(Metadata!Z203,"fresh water"),EXACT(Metadata!Z203,"marine sediment"),EXACT(Metadata!Z203,"sea water"),EXACT(Metadata!Z203,"sediment"),EXACT(Metadata!Z203,"soil"),EXACT(Metadata!Z203,"waste water"))))</f>
        <v>0</v>
      </c>
      <c r="BN203" t="b">
        <f>AND(IF(Metadata!AA203="",FALSE,TRUE),EXACT(Metadata!AA203,"metagenome"))</f>
        <v>0</v>
      </c>
      <c r="BO203" t="b">
        <f>AND(IF(Metadata!AB203="",FALSE,TRUE),EXACT(Metadata!AB203,"256318"))</f>
        <v>0</v>
      </c>
      <c r="BP203" t="b">
        <f>IF(Metadata!AC203="",FALSE,TRUE)</f>
        <v>0</v>
      </c>
      <c r="BQ203" t="b">
        <f>IF(Metadata!AD203="",FALSE,TRUE)</f>
        <v>0</v>
      </c>
    </row>
    <row r="204" spans="1:69" x14ac:dyDescent="0.2">
      <c r="A204" s="4" t="e">
        <f ca="1">IF(B204=" "," ",HYPERLINK(CONCATENATE("#metadata!",ADDRESS(INDEX($AJ$2:$AJ$1001,MATCH(ROWS($AH$2:AH204),$AH$2:$AH$1001,0),0),2)),INDEX($AM$2:$AM$1001,MATCH(ROWS($AH$2:AH204),$AH$2:$AH$1001,0),0)))</f>
        <v>#N/A</v>
      </c>
      <c r="B204" s="5" t="e">
        <f ca="1">IF(OR(INDEX($AI$2:$AI$1001,MATCH(ROWS($AH$2:AH204),$AH$2:$AH$1001,0),1)&gt;=100000,INDEX($AO$1005:$BQ$1005,1,MATCH(COLUMNS($AO$1006:AO1006),$AO$1006:$BQ$1006,0))&gt;=100000), " ",IF(INDEX($AO$2:$BQ$1001,MATCH(ROWS($AH$2:AH204),$AH$2:$AH$1001,0),MATCH(COLUMNS($AO$1006:AO1006),$AO$1006:$BQ$1006,0)), HYPERLINK("#",""), HYPERLINK(CONCATENATE("#Metadata!", ADDRESS(INDEX($AJ$2:$AJ$1001,MATCH(ROWS($AH$2:AH204),$AH$2:$AH$1001,0),0), INDEX($AO$1004:$BQ$1004,1,MATCH(COLUMNS($AO$1006:AO1006),$AO$1006:$BQ$1006,0)))),"Fix")))</f>
        <v>#N/A</v>
      </c>
      <c r="C204" s="5" t="e">
        <f ca="1">IF(OR(INDEX($AI$2:$AI$1001,MATCH(ROWS($AH$2:AH204),$AH$2:$AH$1001,0),1)&gt;=100000,INDEX($AO$1005:$BQ$1005,1,MATCH(COLUMNS($AO$1006:AP1006),$AO$1006:$BQ$1006,0))&gt;=100000), " ",IF(INDEX($AO$2:$BQ$1001,MATCH(ROWS($AH$2:AH204),$AH$2:$AH$1001,0),MATCH(COLUMNS($AO$1006:AP1006),$AO$1006:$BQ$1006,0)), HYPERLINK("#",""), HYPERLINK(CONCATENATE("#Metadata!", ADDRESS(INDEX($AJ$2:$AJ$1001,MATCH(ROWS($AH$2:AH204),$AH$2:$AH$1001,0),0), INDEX($AO$1004:$BQ$1004,1,MATCH(COLUMNS($AO$1006:AP1006),$AO$1006:$BQ$1006,0)))),"Fix")))</f>
        <v>#N/A</v>
      </c>
      <c r="D204" s="5" t="e">
        <f ca="1">IF(OR(INDEX($AI$2:$AI$1001,MATCH(ROWS($AH$2:AH204),$AH$2:$AH$1001,0),1)&gt;=100000,INDEX($AO$1005:$BQ$1005,1,MATCH(COLUMNS($AO$1006:AQ1006),$AO$1006:$BQ$1006,0))&gt;=100000), " ",IF(INDEX($AO$2:$BQ$1001,MATCH(ROWS($AH$2:AH204),$AH$2:$AH$1001,0),MATCH(COLUMNS($AO$1006:AQ1006),$AO$1006:$BQ$1006,0)), HYPERLINK("#",""), HYPERLINK(CONCATENATE("#Metadata!", ADDRESS(INDEX($AJ$2:$AJ$1001,MATCH(ROWS($AH$2:AH204),$AH$2:$AH$1001,0),0), INDEX($AO$1004:$BQ$1004,1,MATCH(COLUMNS($AO$1006:AQ1006),$AO$1006:$BQ$1006,0)))),"Fix")))</f>
        <v>#N/A</v>
      </c>
      <c r="E204" s="5" t="e">
        <f ca="1">IF(OR(INDEX($AI$2:$AI$1001,MATCH(ROWS($AH$2:AH204),$AH$2:$AH$1001,0),1)&gt;=100000,INDEX($AO$1005:$BQ$1005,1,MATCH(COLUMNS($AO$1006:AR1006),$AO$1006:$BQ$1006,0))&gt;=100000), " ",IF(INDEX($AO$2:$BQ$1001,MATCH(ROWS($AH$2:AH204),$AH$2:$AH$1001,0),MATCH(COLUMNS($AO$1006:AR1006),$AO$1006:$BQ$1006,0)), HYPERLINK("#",""), HYPERLINK(CONCATENATE("#Metadata!", ADDRESS(INDEX($AJ$2:$AJ$1001,MATCH(ROWS($AH$2:AH204),$AH$2:$AH$1001,0),0), INDEX($AO$1004:$BQ$1004,1,MATCH(COLUMNS($AO$1006:AR1006),$AO$1006:$BQ$1006,0)))),"Fix")))</f>
        <v>#N/A</v>
      </c>
      <c r="F204" s="5" t="e">
        <f ca="1">IF(OR(INDEX($AI$2:$AI$1001,MATCH(ROWS($AH$2:AH204),$AH$2:$AH$1001,0),1)&gt;=100000,INDEX($AO$1005:$BQ$1005,1,MATCH(COLUMNS($AO$1006:AS1006),$AO$1006:$BQ$1006,0))&gt;=100000), " ",IF(INDEX($AO$2:$BQ$1001,MATCH(ROWS($AH$2:AH204),$AH$2:$AH$1001,0),MATCH(COLUMNS($AO$1006:AS1006),$AO$1006:$BQ$1006,0)), HYPERLINK("#",""), HYPERLINK(CONCATENATE("#Metadata!", ADDRESS(INDEX($AJ$2:$AJ$1001,MATCH(ROWS($AH$2:AH204),$AH$2:$AH$1001,0),0), INDEX($AO$1004:$BQ$1004,1,MATCH(COLUMNS($AO$1006:AS1006),$AO$1006:$BQ$1006,0)))),"Fix")))</f>
        <v>#N/A</v>
      </c>
      <c r="G204" s="5" t="e">
        <f ca="1">IF(OR(INDEX($AI$2:$AI$1001,MATCH(ROWS($AH$2:AH204),$AH$2:$AH$1001,0),1)&gt;=100000,INDEX($AO$1005:$BQ$1005,1,MATCH(COLUMNS($AO$1006:AT1006),$AO$1006:$BQ$1006,0))&gt;=100000), " ",IF(INDEX($AO$2:$BQ$1001,MATCH(ROWS($AH$2:AH204),$AH$2:$AH$1001,0),MATCH(COLUMNS($AO$1006:AT1006),$AO$1006:$BQ$1006,0)), HYPERLINK("#",""), HYPERLINK(CONCATENATE("#Metadata!", ADDRESS(INDEX($AJ$2:$AJ$1001,MATCH(ROWS($AH$2:AH204),$AH$2:$AH$1001,0),0), INDEX($AO$1004:$BQ$1004,1,MATCH(COLUMNS($AO$1006:AT1006),$AO$1006:$BQ$1006,0)))),"Fix")))</f>
        <v>#N/A</v>
      </c>
      <c r="H204" s="5" t="e">
        <f ca="1">IF(OR(INDEX($AI$2:$AI$1001,MATCH(ROWS($AH$2:AH204),$AH$2:$AH$1001,0),1)&gt;=100000,INDEX($AO$1005:$BQ$1005,1,MATCH(COLUMNS($AO$1006:AU1006),$AO$1006:$BQ$1006,0))&gt;=100000), " ",IF(INDEX($AO$2:$BQ$1001,MATCH(ROWS($AH$2:AH204),$AH$2:$AH$1001,0),MATCH(COLUMNS($AO$1006:AU1006),$AO$1006:$BQ$1006,0)), HYPERLINK("#",""), HYPERLINK(CONCATENATE("#Metadata!", ADDRESS(INDEX($AJ$2:$AJ$1001,MATCH(ROWS($AH$2:AH204),$AH$2:$AH$1001,0),0), INDEX($AO$1004:$BQ$1004,1,MATCH(COLUMNS($AO$1006:AU1006),$AO$1006:$BQ$1006,0)))),"Fix")))</f>
        <v>#N/A</v>
      </c>
      <c r="I204" s="5" t="e">
        <f ca="1">IF(OR(INDEX($AI$2:$AI$1001,MATCH(ROWS($AH$2:AH204),$AH$2:$AH$1001,0),1)&gt;=100000,INDEX($AO$1005:$BQ$1005,1,MATCH(COLUMNS($AO$1006:AV1006),$AO$1006:$BQ$1006,0))&gt;=100000), " ",IF(INDEX($AO$2:$BQ$1001,MATCH(ROWS($AH$2:AH204),$AH$2:$AH$1001,0),MATCH(COLUMNS($AO$1006:AV1006),$AO$1006:$BQ$1006,0)), HYPERLINK("#",""), HYPERLINK(CONCATENATE("#Metadata!", ADDRESS(INDEX($AJ$2:$AJ$1001,MATCH(ROWS($AH$2:AH204),$AH$2:$AH$1001,0),0), INDEX($AO$1004:$BQ$1004,1,MATCH(COLUMNS($AO$1006:AV1006),$AO$1006:$BQ$1006,0)))),"Fix")))</f>
        <v>#N/A</v>
      </c>
      <c r="J204" s="5" t="e">
        <f ca="1">IF(OR(INDEX($AI$2:$AI$1001,MATCH(ROWS($AH$2:AH204),$AH$2:$AH$1001,0),1)&gt;=100000,INDEX($AO$1005:$BQ$1005,1,MATCH(COLUMNS($AO$1006:AW1006),$AO$1006:$BQ$1006,0))&gt;=100000), " ",IF(INDEX($AO$2:$BQ$1001,MATCH(ROWS($AH$2:AH204),$AH$2:$AH$1001,0),MATCH(COLUMNS($AO$1006:AW1006),$AO$1006:$BQ$1006,0)), HYPERLINK("#",""), HYPERLINK(CONCATENATE("#Metadata!", ADDRESS(INDEX($AJ$2:$AJ$1001,MATCH(ROWS($AH$2:AH204),$AH$2:$AH$1001,0),0), INDEX($AO$1004:$BQ$1004,1,MATCH(COLUMNS($AO$1006:AW1006),$AO$1006:$BQ$1006,0)))),"Fix")))</f>
        <v>#N/A</v>
      </c>
      <c r="K204" s="5" t="e">
        <f ca="1">IF(OR(INDEX($AI$2:$AI$1001,MATCH(ROWS($AH$2:AH204),$AH$2:$AH$1001,0),1)&gt;=100000,INDEX($AO$1005:$BQ$1005,1,MATCH(COLUMNS($AO$1006:AX1006),$AO$1006:$BQ$1006,0))&gt;=100000), " ",IF(INDEX($AO$2:$BQ$1001,MATCH(ROWS($AH$2:AH204),$AH$2:$AH$1001,0),MATCH(COLUMNS($AO$1006:AX1006),$AO$1006:$BQ$1006,0)), HYPERLINK("#",""), HYPERLINK(CONCATENATE("#Metadata!", ADDRESS(INDEX($AJ$2:$AJ$1001,MATCH(ROWS($AH$2:AH204),$AH$2:$AH$1001,0),0), INDEX($AO$1004:$BQ$1004,1,MATCH(COLUMNS($AO$1006:AX1006),$AO$1006:$BQ$1006,0)))),"Fix")))</f>
        <v>#N/A</v>
      </c>
      <c r="L204" s="5" t="e">
        <f ca="1">IF(OR(INDEX($AI$2:$AI$1001,MATCH(ROWS($AH$2:AH204),$AH$2:$AH$1001,0),1)&gt;=100000,INDEX($AO$1005:$BQ$1005,1,MATCH(COLUMNS($AO$1006:AY1006),$AO$1006:$BQ$1006,0))&gt;=100000), " ",IF(INDEX($AO$2:$BQ$1001,MATCH(ROWS($AH$2:AH204),$AH$2:$AH$1001,0),MATCH(COLUMNS($AO$1006:AY1006),$AO$1006:$BQ$1006,0)), HYPERLINK("#",""), HYPERLINK(CONCATENATE("#Metadata!", ADDRESS(INDEX($AJ$2:$AJ$1001,MATCH(ROWS($AH$2:AH204),$AH$2:$AH$1001,0),0), INDEX($AO$1004:$BQ$1004,1,MATCH(COLUMNS($AO$1006:AY1006),$AO$1006:$BQ$1006,0)))),"Fix")))</f>
        <v>#N/A</v>
      </c>
      <c r="M204" s="5" t="e">
        <f ca="1">IF(OR(INDEX($AI$2:$AI$1001,MATCH(ROWS($AH$2:AH204),$AH$2:$AH$1001,0),1)&gt;=100000,INDEX($AO$1005:$BQ$1005,1,MATCH(COLUMNS($AO$1006:AZ1006),$AO$1006:$BQ$1006,0))&gt;=100000), " ",IF(INDEX($AO$2:$BQ$1001,MATCH(ROWS($AH$2:AH204),$AH$2:$AH$1001,0),MATCH(COLUMNS($AO$1006:AZ1006),$AO$1006:$BQ$1006,0)), HYPERLINK("#",""), HYPERLINK(CONCATENATE("#Metadata!", ADDRESS(INDEX($AJ$2:$AJ$1001,MATCH(ROWS($AH$2:AH204),$AH$2:$AH$1001,0),0), INDEX($AO$1004:$BQ$1004,1,MATCH(COLUMNS($AO$1006:AZ1006),$AO$1006:$BQ$1006,0)))),"Fix")))</f>
        <v>#N/A</v>
      </c>
      <c r="N204" s="5" t="e">
        <f ca="1">IF(OR(INDEX($AI$2:$AI$1001,MATCH(ROWS($AH$2:AH204),$AH$2:$AH$1001,0),1)&gt;=100000,INDEX($AO$1005:$BQ$1005,1,MATCH(COLUMNS($AO$1006:BA1006),$AO$1006:$BQ$1006,0))&gt;=100000), " ",IF(INDEX($AO$2:$BQ$1001,MATCH(ROWS($AH$2:AH204),$AH$2:$AH$1001,0),MATCH(COLUMNS($AO$1006:BA1006),$AO$1006:$BQ$1006,0)), HYPERLINK("#",""), HYPERLINK(CONCATENATE("#Metadata!", ADDRESS(INDEX($AJ$2:$AJ$1001,MATCH(ROWS($AH$2:AH204),$AH$2:$AH$1001,0),0), INDEX($AO$1004:$BQ$1004,1,MATCH(COLUMNS($AO$1006:BA1006),$AO$1006:$BQ$1006,0)))),"Fix")))</f>
        <v>#N/A</v>
      </c>
      <c r="O204" s="5" t="e">
        <f ca="1">IF(OR(INDEX($AI$2:$AI$1001,MATCH(ROWS($AH$2:AH204),$AH$2:$AH$1001,0),1)&gt;=100000,INDEX($AO$1005:$BQ$1005,1,MATCH(COLUMNS($AO$1006:BB1006),$AO$1006:$BQ$1006,0))&gt;=100000), " ",IF(INDEX($AO$2:$BQ$1001,MATCH(ROWS($AH$2:AH204),$AH$2:$AH$1001,0),MATCH(COLUMNS($AO$1006:BB1006),$AO$1006:$BQ$1006,0)), HYPERLINK("#",""), HYPERLINK(CONCATENATE("#Metadata!", ADDRESS(INDEX($AJ$2:$AJ$1001,MATCH(ROWS($AH$2:AH204),$AH$2:$AH$1001,0),0), INDEX($AO$1004:$BQ$1004,1,MATCH(COLUMNS($AO$1006:BB1006),$AO$1006:$BQ$1006,0)))),"Fix")))</f>
        <v>#N/A</v>
      </c>
      <c r="P204" s="5" t="e">
        <f ca="1">IF(OR(INDEX($AI$2:$AI$1001,MATCH(ROWS($AH$2:AH204),$AH$2:$AH$1001,0),1)&gt;=100000,INDEX($AO$1005:$BQ$1005,1,MATCH(COLUMNS($AO$1006:BC1006),$AO$1006:$BQ$1006,0))&gt;=100000), " ",IF(INDEX($AO$2:$BQ$1001,MATCH(ROWS($AH$2:AH204),$AH$2:$AH$1001,0),MATCH(COLUMNS($AO$1006:BC1006),$AO$1006:$BQ$1006,0)), HYPERLINK("#",""), HYPERLINK(CONCATENATE("#Metadata!", ADDRESS(INDEX($AJ$2:$AJ$1001,MATCH(ROWS($AH$2:AH204),$AH$2:$AH$1001,0),0), INDEX($AO$1004:$BQ$1004,1,MATCH(COLUMNS($AO$1006:BC1006),$AO$1006:$BQ$1006,0)))),"Fix")))</f>
        <v>#N/A</v>
      </c>
      <c r="Q204" s="5" t="e">
        <f ca="1">IF(OR(INDEX($AI$2:$AI$1001,MATCH(ROWS($AH$2:AH204),$AH$2:$AH$1001,0),1)&gt;=100000,INDEX($AO$1005:$BQ$1005,1,MATCH(COLUMNS($AO$1006:BD1006),$AO$1006:$BQ$1006,0))&gt;=100000), " ",IF(INDEX($AO$2:$BQ$1001,MATCH(ROWS($AH$2:AH204),$AH$2:$AH$1001,0),MATCH(COLUMNS($AO$1006:BD1006),$AO$1006:$BQ$1006,0)), HYPERLINK("#",""), HYPERLINK(CONCATENATE("#Metadata!", ADDRESS(INDEX($AJ$2:$AJ$1001,MATCH(ROWS($AH$2:AH204),$AH$2:$AH$1001,0),0), INDEX($AO$1004:$BQ$1004,1,MATCH(COLUMNS($AO$1006:BD1006),$AO$1006:$BQ$1006,0)))),"Fix")))</f>
        <v>#N/A</v>
      </c>
      <c r="R204" s="5" t="e">
        <f ca="1">IF(OR(INDEX($AI$2:$AI$1001,MATCH(ROWS($AH$2:AH204),$AH$2:$AH$1001,0),1)&gt;=100000,INDEX($AO$1005:$BQ$1005,1,MATCH(COLUMNS($AO$1006:BE1006),$AO$1006:$BQ$1006,0))&gt;=100000), " ",IF(INDEX($AO$2:$BQ$1001,MATCH(ROWS($AH$2:AH204),$AH$2:$AH$1001,0),MATCH(COLUMNS($AO$1006:BE1006),$AO$1006:$BQ$1006,0)), HYPERLINK("#",""), HYPERLINK(CONCATENATE("#Metadata!", ADDRESS(INDEX($AJ$2:$AJ$1001,MATCH(ROWS($AH$2:AH204),$AH$2:$AH$1001,0),0), INDEX($AO$1004:$BQ$1004,1,MATCH(COLUMNS($AO$1006:BE1006),$AO$1006:$BQ$1006,0)))),"Fix")))</f>
        <v>#N/A</v>
      </c>
      <c r="S204" s="5" t="e">
        <f ca="1">IF(OR(INDEX($AI$2:$AI$1001,MATCH(ROWS($AH$2:AH204),$AH$2:$AH$1001,0),1)&gt;=100000,INDEX($AO$1005:$BQ$1005,1,MATCH(COLUMNS($AO$1006:BF1006),$AO$1006:$BQ$1006,0))&gt;=100000), " ",IF(INDEX($AO$2:$BQ$1001,MATCH(ROWS($AH$2:AH204),$AH$2:$AH$1001,0),MATCH(COLUMNS($AO$1006:BF1006),$AO$1006:$BQ$1006,0)), HYPERLINK("#",""), HYPERLINK(CONCATENATE("#Metadata!", ADDRESS(INDEX($AJ$2:$AJ$1001,MATCH(ROWS($AH$2:AH204),$AH$2:$AH$1001,0),0), INDEX($AO$1004:$BQ$1004,1,MATCH(COLUMNS($AO$1006:BF1006),$AO$1006:$BQ$1006,0)))),"Fix")))</f>
        <v>#N/A</v>
      </c>
      <c r="T204" s="5" t="e">
        <f ca="1">IF(OR(INDEX($AI$2:$AI$1001,MATCH(ROWS($AH$2:AH204),$AH$2:$AH$1001,0),1)&gt;=100000,INDEX($AO$1005:$BQ$1005,1,MATCH(COLUMNS($AO$1006:BG1006),$AO$1006:$BQ$1006,0))&gt;=100000), " ",IF(INDEX($AO$2:$BQ$1001,MATCH(ROWS($AH$2:AH204),$AH$2:$AH$1001,0),MATCH(COLUMNS($AO$1006:BG1006),$AO$1006:$BQ$1006,0)), HYPERLINK("#",""), HYPERLINK(CONCATENATE("#Metadata!", ADDRESS(INDEX($AJ$2:$AJ$1001,MATCH(ROWS($AH$2:AH204),$AH$2:$AH$1001,0),0), INDEX($AO$1004:$BQ$1004,1,MATCH(COLUMNS($AO$1006:BG1006),$AO$1006:$BQ$1006,0)))),"Fix")))</f>
        <v>#N/A</v>
      </c>
      <c r="U204" s="5" t="e">
        <f ca="1">IF(OR(INDEX($AI$2:$AI$1001,MATCH(ROWS($AH$2:AH204),$AH$2:$AH$1001,0),1)&gt;=100000,INDEX($AO$1005:$BQ$1005,1,MATCH(COLUMNS($AO$1006:BH1006),$AO$1006:$BQ$1006,0))&gt;=100000), " ",IF(INDEX($AO$2:$BQ$1001,MATCH(ROWS($AH$2:AH204),$AH$2:$AH$1001,0),MATCH(COLUMNS($AO$1006:BH1006),$AO$1006:$BQ$1006,0)), HYPERLINK("#",""), HYPERLINK(CONCATENATE("#Metadata!", ADDRESS(INDEX($AJ$2:$AJ$1001,MATCH(ROWS($AH$2:AH204),$AH$2:$AH$1001,0),0), INDEX($AO$1004:$BQ$1004,1,MATCH(COLUMNS($AO$1006:BH1006),$AO$1006:$BQ$1006,0)))),"Fix")))</f>
        <v>#N/A</v>
      </c>
      <c r="V204" s="5" t="e">
        <f ca="1">IF(OR(INDEX($AI$2:$AI$1001,MATCH(ROWS($AH$2:AH204),$AH$2:$AH$1001,0),1)&gt;=100000,INDEX($AO$1005:$BQ$1005,1,MATCH(COLUMNS($AO$1006:BI1006),$AO$1006:$BQ$1006,0))&gt;=100000), " ",IF(INDEX($AO$2:$BQ$1001,MATCH(ROWS($AH$2:AH204),$AH$2:$AH$1001,0),MATCH(COLUMNS($AO$1006:BI1006),$AO$1006:$BQ$1006,0)), HYPERLINK("#",""), HYPERLINK(CONCATENATE("#Metadata!", ADDRESS(INDEX($AJ$2:$AJ$1001,MATCH(ROWS($AH$2:AH204),$AH$2:$AH$1001,0),0), INDEX($AO$1004:$BQ$1004,1,MATCH(COLUMNS($AO$1006:BI1006),$AO$1006:$BQ$1006,0)))),"Fix")))</f>
        <v>#N/A</v>
      </c>
      <c r="W204" s="5" t="e">
        <f ca="1">IF(OR(INDEX($AI$2:$AI$1001,MATCH(ROWS($AH$2:AH204),$AH$2:$AH$1001,0),1)&gt;=100000,INDEX($AO$1005:$BQ$1005,1,MATCH(COLUMNS($AO$1006:BJ1006),$AO$1006:$BQ$1006,0))&gt;=100000), " ",IF(INDEX($AO$2:$BQ$1001,MATCH(ROWS($AH$2:AH204),$AH$2:$AH$1001,0),MATCH(COLUMNS($AO$1006:BJ1006),$AO$1006:$BQ$1006,0)), HYPERLINK("#",""), HYPERLINK(CONCATENATE("#Metadata!", ADDRESS(INDEX($AJ$2:$AJ$1001,MATCH(ROWS($AH$2:AH204),$AH$2:$AH$1001,0),0), INDEX($AO$1004:$BQ$1004,1,MATCH(COLUMNS($AO$1006:BJ1006),$AO$1006:$BQ$1006,0)))),"Fix")))</f>
        <v>#N/A</v>
      </c>
      <c r="X204" s="5" t="e">
        <f ca="1">IF(OR(INDEX($AI$2:$AI$1001,MATCH(ROWS($AH$2:AH204),$AH$2:$AH$1001,0),1)&gt;=100000,INDEX($AO$1005:$BQ$1005,1,MATCH(COLUMNS($AO$1006:BK1006),$AO$1006:$BQ$1006,0))&gt;=100000), " ",IF(INDEX($AO$2:$BQ$1001,MATCH(ROWS($AH$2:AH204),$AH$2:$AH$1001,0),MATCH(COLUMNS($AO$1006:BK1006),$AO$1006:$BQ$1006,0)), HYPERLINK("#",""), HYPERLINK(CONCATENATE("#Metadata!", ADDRESS(INDEX($AJ$2:$AJ$1001,MATCH(ROWS($AH$2:AH204),$AH$2:$AH$1001,0),0), INDEX($AO$1004:$BQ$1004,1,MATCH(COLUMNS($AO$1006:BK1006),$AO$1006:$BQ$1006,0)))),"Fix")))</f>
        <v>#N/A</v>
      </c>
      <c r="Y204" s="5" t="e">
        <f ca="1">IF(OR(INDEX($AI$2:$AI$1001,MATCH(ROWS($AH$2:AH204),$AH$2:$AH$1001,0),1)&gt;=100000,INDEX($AO$1005:$BQ$1005,1,MATCH(COLUMNS($AO$1006:BL1006),$AO$1006:$BQ$1006,0))&gt;=100000), " ",IF(INDEX($AO$2:$BQ$1001,MATCH(ROWS($AH$2:AH204),$AH$2:$AH$1001,0),MATCH(COLUMNS($AO$1006:BL1006),$AO$1006:$BQ$1006,0)), HYPERLINK("#",""), HYPERLINK(CONCATENATE("#Metadata!", ADDRESS(INDEX($AJ$2:$AJ$1001,MATCH(ROWS($AH$2:AH204),$AH$2:$AH$1001,0),0), INDEX($AO$1004:$BQ$1004,1,MATCH(COLUMNS($AO$1006:BL1006),$AO$1006:$BQ$1006,0)))),"Fix")))</f>
        <v>#N/A</v>
      </c>
      <c r="Z204" s="5" t="e">
        <f ca="1">IF(OR(INDEX($AI$2:$AI$1001,MATCH(ROWS($AH$2:AH204),$AH$2:$AH$1001,0),1)&gt;=100000,INDEX($AO$1005:$BQ$1005,1,MATCH(COLUMNS($AO$1006:BM1006),$AO$1006:$BQ$1006,0))&gt;=100000), " ",IF(INDEX($AO$2:$BQ$1001,MATCH(ROWS($AH$2:AH204),$AH$2:$AH$1001,0),MATCH(COLUMNS($AO$1006:BM1006),$AO$1006:$BQ$1006,0)), HYPERLINK("#",""), HYPERLINK(CONCATENATE("#Metadata!", ADDRESS(INDEX($AJ$2:$AJ$1001,MATCH(ROWS($AH$2:AH204),$AH$2:$AH$1001,0),0), INDEX($AO$1004:$BQ$1004,1,MATCH(COLUMNS($AO$1006:BM1006),$AO$1006:$BQ$1006,0)))),"Fix")))</f>
        <v>#N/A</v>
      </c>
      <c r="AA204" s="5" t="e">
        <f ca="1">IF(OR(INDEX($AI$2:$AI$1001,MATCH(ROWS($AH$2:AH204),$AH$2:$AH$1001,0),1)&gt;=100000,INDEX($AO$1005:$BQ$1005,1,MATCH(COLUMNS($AO$1006:BN1006),$AO$1006:$BQ$1006,0))&gt;=100000), " ",IF(INDEX($AO$2:$BQ$1001,MATCH(ROWS($AH$2:AH204),$AH$2:$AH$1001,0),MATCH(COLUMNS($AO$1006:BN1006),$AO$1006:$BQ$1006,0)), HYPERLINK("#",""), HYPERLINK(CONCATENATE("#Metadata!", ADDRESS(INDEX($AJ$2:$AJ$1001,MATCH(ROWS($AH$2:AH204),$AH$2:$AH$1001,0),0), INDEX($AO$1004:$BQ$1004,1,MATCH(COLUMNS($AO$1006:BN1006),$AO$1006:$BQ$1006,0)))),"Fix")))</f>
        <v>#N/A</v>
      </c>
      <c r="AB204" s="5" t="e">
        <f ca="1">IF(OR(INDEX($AI$2:$AI$1001,MATCH(ROWS($AH$2:AH204),$AH$2:$AH$1001,0),1)&gt;=100000,INDEX($AO$1005:$BQ$1005,1,MATCH(COLUMNS($AO$1006:BO1006),$AO$1006:$BQ$1006,0))&gt;=100000), " ",IF(INDEX($AO$2:$BQ$1001,MATCH(ROWS($AH$2:AH204),$AH$2:$AH$1001,0),MATCH(COLUMNS($AO$1006:BO1006),$AO$1006:$BQ$1006,0)), HYPERLINK("#",""), HYPERLINK(CONCATENATE("#Metadata!", ADDRESS(INDEX($AJ$2:$AJ$1001,MATCH(ROWS($AH$2:AH204),$AH$2:$AH$1001,0),0), INDEX($AO$1004:$BQ$1004,1,MATCH(COLUMNS($AO$1006:BO1006),$AO$1006:$BQ$1006,0)))),"Fix")))</f>
        <v>#N/A</v>
      </c>
      <c r="AC204" s="5" t="e">
        <f ca="1">IF(OR(INDEX($AI$2:$AI$1001,MATCH(ROWS($AH$2:AH204),$AH$2:$AH$1001,0),1)&gt;=100000,INDEX($AO$1005:$BQ$1005,1,MATCH(COLUMNS($AO$1006:BP1006),$AO$1006:$BQ$1006,0))&gt;=100000), " ",IF(INDEX($AO$2:$BQ$1001,MATCH(ROWS($AH$2:AH204),$AH$2:$AH$1001,0),MATCH(COLUMNS($AO$1006:BP1006),$AO$1006:$BQ$1006,0)), HYPERLINK("#",""), HYPERLINK(CONCATENATE("#Metadata!", ADDRESS(INDEX($AJ$2:$AJ$1001,MATCH(ROWS($AH$2:AH204),$AH$2:$AH$1001,0),0), INDEX($AO$1004:$BQ$1004,1,MATCH(COLUMNS($AO$1006:BP1006),$AO$1006:$BQ$1006,0)))),"Fix")))</f>
        <v>#N/A</v>
      </c>
      <c r="AD204" s="5" t="e">
        <f ca="1">IF(OR(INDEX($AI$2:$AI$1001,MATCH(ROWS($AH$2:AH204),$AH$2:$AH$1001,0),1)&gt;=100000,INDEX($AO$1005:$BQ$1005,1,MATCH(COLUMNS($AO$1006:BQ1006),$AO$1006:$BQ$1006,0))&gt;=100000), " ",IF(INDEX($AO$2:$BQ$1001,MATCH(ROWS($AH$2:AH204),$AH$2:$AH$1001,0),MATCH(COLUMNS($AO$1006:BQ1006),$AO$1006:$BQ$1006,0)), HYPERLINK("#",""), HYPERLINK(CONCATENATE("#Metadata!", ADDRESS(INDEX($AJ$2:$AJ$1001,MATCH(ROWS($AH$2:AH204),$AH$2:$AH$1001,0),0), INDEX($AO$1004:$BQ$1004,1,MATCH(COLUMNS($AO$1006:BQ1006),$AO$1006:$BQ$1006,0)))),"Fix")))</f>
        <v>#REF!</v>
      </c>
      <c r="AH204">
        <f ca="1"/>
        <v>201</v>
      </c>
      <c r="AI204">
        <v>100204</v>
      </c>
      <c r="AJ204">
        <v>204</v>
      </c>
      <c r="AK204" t="b">
        <f t="shared" si="3"/>
        <v>1</v>
      </c>
      <c r="AL204" t="b">
        <f>COUNTBLANK(Metadata!B204:AD204)=COLUMNS(Metadata!B204:AD204)</f>
        <v>1</v>
      </c>
      <c r="AM204" t="str">
        <v/>
      </c>
      <c r="AO204" t="b">
        <f ca="1">AND(IF(Metadata!B204="",FALSE,TRUE),COUNTIF(Metadata!B:B, Metadata!B204) = 1,NOT(ISERROR(SUMPRODUCT(SEARCH(MID(Metadata!B204,ROW(INDIRECT("1:"&amp;LEN(Metadata!B204))), 1),"0123456789abcdefghijklmnopqrstuvwxyzABCDEFGHIJKLMNOPQRSTUVWXYZ.")))))</f>
        <v>0</v>
      </c>
      <c r="AP204" t="b">
        <f>IF(Metadata!C204="",FALSE,TRUE)</f>
        <v>0</v>
      </c>
      <c r="AQ204" t="b">
        <f>IF(Metadata!D204="",FALSE,TRUE)</f>
        <v>0</v>
      </c>
      <c r="AR204" t="b">
        <f ca="1">OR(AND(IF(Metadata!E204="",FALSE,TRUE),OR(EXACT(Metadata!E204,"not collected"),EXACT(Metadata!E204,"not provided"),EXACT(Metadata!E204,"restricted access"))),AND(IF(Metadata!E204="",FALSE,TRUE),AND(AND(IFERROR(INT(LEFT(Metadata!E204,4))&gt;1900,FALSE),IFERROR(INT(LEFT(Metadata!E204,4))&lt;=YEAR(NOW()),FALSE)), OR(MID(Metadata!E204,5,1)="", AND(AND(MID(Metadata!E204,5,1)="-",IFERROR(INT(MID(Metadata!E204,6,1))&gt;=0,FALSE),IFERROR(INT(MID(Metadata!E204,6,1))&lt;=1,FALSE),NOT(MID(Metadata!E204,7,1)=""),IFERROR(INT(MID(Metadata!E204,6,2))&gt;=1,FALSE),IFERROR(INT(MID(Metadata!E204,6,2))&lt;=12,FALSE)), OR(MID(Metadata!E204,8,1)="", AND(AND(MID(Metadata!E204,8,1)="-",IFERROR(INT(MID(Metadata!E204,9,1))&gt;=0,FALSE),IFERROR(INT(MID(Metadata!E204,9,1))&lt;=3,FALSE),NOT(MID(Metadata!E204,10,1)=""),IFERROR(INT(MID(Metadata!E204,9,2))&gt;=1,FALSE),IFERROR(INT(MID(Metadata!E204,9,2))&lt;=31,FALSE)), OR(MID(Metadata!E204,11,1)="", AND(AND(MID(Metadata!E204,11,1)=" ",IFERROR(INT(MID(Metadata!E204,12,1))&gt;=0,FALSE),IFERROR(INT(MID(Metadata!E204,12,1))&lt;=2,FALSE),NOT(MID(Metadata!E204,13,1)=""),IFERROR(INT(MID(Metadata!E204,12,2))&gt;=0,FALSE),IFERROR(INT(MID(Metadata!E204,12,2))&lt;=23,FALSE)), OR(MID(Metadata!E204,14,1)="", AND(AND(MID(Metadata!E204,14,1)=":",IFERROR(INT(MID(Metadata!E204,15,1))&gt;=0,FALSE),IFERROR(INT(MID(Metadata!E204,15,1))&lt;=5,FALSE),NOT(MID(Metadata!E204,16,1)=""),IFERROR(INT(MID(Metadata!E204,15,2))&gt;=0,FALSE),IFERROR(INT(MID(Metadata!E204,15,2))&lt;=59,FALSE)), OR(MID(Metadata!E204,17,1)="", AND(AND(MID(Metadata!E204,17,1)=":",IFERROR(INT(MID(Metadata!E204,18,1))&gt;=0,FALSE),IFERROR(INT(MID(Metadata!E204,18,1))&lt;=5,FALSE),NOT(MID(Metadata!E204,19,1)=""),IFERROR(INT(MID(Metadata!E204,18,2))&gt;=0,FALSE),IFERROR(INT(MID(Metadata!E204,18,2))&lt;=59,FALSE)), LEN(Metadata!E204)&lt;=19)))))))))))))</f>
        <v>0</v>
      </c>
      <c r="AS204" t="b">
        <f>IF(Metadata!F204="",FALSE,TRUE)</f>
        <v>0</v>
      </c>
      <c r="AT204" t="b">
        <f>OR(AND(IF(Metadata!G204="",FALSE,TRUE),OR(EXACT(Metadata!G204,"not collected"),EXACT(Metadata!G204,"not provided"))),AND(IF(Metadata!G204="",FALSE,TRUE),OR(EXACT(Metadata!G204,"TRUE"),EXACT(Metadata!G204,"FALSE"))))</f>
        <v>0</v>
      </c>
      <c r="AU204" t="b">
        <f>OR(AND(IF(Metadata!H204="",FALSE,TRUE),OR(EXACT(Metadata!H204,"not collected"),EXACT(Metadata!H204,"not provided"),EXACT(Metadata!H204,"restricted access"))),AND(IF(Metadata!H204="",FALSE,ISNUMBER(VALUE(Metadata!H204))),Metadata!H204&gt;=-413))</f>
        <v>0</v>
      </c>
      <c r="AV204" t="b">
        <f>AND(IF(Metadata!I204="",FALSE,TRUE),EXACT(Metadata!I204,"meters"))</f>
        <v>0</v>
      </c>
      <c r="AW204" t="b">
        <f>AND(IF(Metadata!J204="",FALSE,TRUE),EXACT(Metadata!J204,"free-living"))</f>
        <v>0</v>
      </c>
      <c r="AX204" t="b">
        <f>AND(IF(Metadata!K204="",FALSE,TRUE),OR(EXACT(Metadata!K204,"saline"),EXACT(Metadata!K204,"non-saline")))</f>
        <v>0</v>
      </c>
      <c r="AY204" t="b">
        <f>AND(IF(Metadata!L204="",FALSE,TRUE),OR(EXACT(Metadata!L204,"sub-surface (non-saline)"),EXACT(Metadata!L204,"surface (non-saline)"),EXACT(Metadata!L204,"water (non-saline)"),EXACT(Metadata!L204,"soil (non-saline)"),EXACT(Metadata!L204,"aerosol (non-saline)"),EXACT(Metadata!L204,"sediment (non-saline)"),EXACT(Metadata!L204,"surface (saline)"),EXACT(Metadata!L204,"water (saline)"),EXACT(Metadata!L204,"hypersaline (saline)"),EXACT(Metadata!L204,"aerosol (saline)"),EXACT(Metadata!L204,"sediment (saline)")))</f>
        <v>0</v>
      </c>
      <c r="AZ204" t="b">
        <f>IF(Metadata!M204="",FALSE,TRUE)</f>
        <v>0</v>
      </c>
      <c r="BA204" t="b">
        <f>IF(Metadata!N204="",FALSE,TRUE)</f>
        <v>0</v>
      </c>
      <c r="BB204" t="b">
        <f>IF(Metadata!O204="",FALSE,TRUE)</f>
        <v>0</v>
      </c>
      <c r="BC204" t="b">
        <f>AND(IF(Metadata!P204="",FALSE,TRUE),OR(EXACT(Metadata!P204,"air"),EXACT(Metadata!P204,"microbial mat/biofilm"),EXACT(Metadata!P204,"misc environment"),EXACT(Metadata!P204,"sediment"),EXACT(Metadata!P204,"soil"),EXACT(Metadata!P204,"wastewater/sludge"),EXACT(Metadata!P204,"water")))</f>
        <v>0</v>
      </c>
      <c r="BD204" t="b">
        <f>IF(Metadata!Q204="",FALSE,TRUE)</f>
        <v>0</v>
      </c>
      <c r="BE204" t="b">
        <f>IF(Metadata!R204="",FALSE,TRUE)</f>
        <v>0</v>
      </c>
      <c r="BF204" t="b">
        <f>OR(AND(IF(Metadata!S204="",FALSE,TRUE),OR(EXACT(Metadata!S204,"not collected"),EXACT(Metadata!S204,"not provided"),EXACT(Metadata!S204,"restricted access"))),AND(IF(Metadata!S204="",FALSE,ISNUMBER(VALUE(Metadata!S204))),Metadata!S204&gt;=-90,Metadata!S204&lt;=90))</f>
        <v>0</v>
      </c>
      <c r="BG204" t="b">
        <f>AND(IF(Metadata!T204="",FALSE,TRUE),EXACT(Metadata!T204,"Decimal degrees"))</f>
        <v>0</v>
      </c>
      <c r="BH204" t="b">
        <f>OR(AND(IF(Metadata!U204="",FALSE,TRUE),OR(EXACT(Metadata!U204,"not applicable"),EXACT(Metadata!U204,"not collected"))),IF(Metadata!U204="",FALSE,TRUE))</f>
        <v>0</v>
      </c>
      <c r="BI204" t="b">
        <f>OR(AND(IF(Metadata!V204="",FALSE,TRUE),OR(EXACT(Metadata!V204,"not collected"),EXACT(Metadata!V204,"not provided"),EXACT(Metadata!V204,"restricted access"))),AND(IF(Metadata!V204="",FALSE,ISNUMBER(VALUE(Metadata!V204))),Metadata!V204&gt;=-180,Metadata!V204&lt;=180))</f>
        <v>0</v>
      </c>
      <c r="BJ204" t="b">
        <f>AND(IF(Metadata!W204="",FALSE,TRUE),EXACT(Metadata!W204,"Decimal degrees"))</f>
        <v>0</v>
      </c>
      <c r="BK204" t="b">
        <f>IF(Metadata!X204="",FALSE,TRUE)</f>
        <v>0</v>
      </c>
      <c r="BL204" t="b">
        <f>OR(AND(IF(Metadata!Y204="",FALSE,TRUE),OR(EXACT(Metadata!Y204,"not collected"),EXACT(Metadata!Y204,"not provided"),EXACT(Metadata!Y204,"restricted access"))),AND(IF(Metadata!Y204="",FALSE,TRUE),OR(EXACT(Metadata!Y204,"TRUE"),EXACT(Metadata!Y204,"FALSE"))))</f>
        <v>0</v>
      </c>
      <c r="BM204" t="b">
        <f>OR(AND(IF(Metadata!Z204="",FALSE,TRUE),EXACT(Metadata!Z204,"not applicable")),AND(IF(Metadata!Z204="",FALSE,TRUE),OR(EXACT(Metadata!Z204,"beer"),EXACT(Metadata!Z204,"cheese"),EXACT(Metadata!Z204,"fresh water"),EXACT(Metadata!Z204,"marine sediment"),EXACT(Metadata!Z204,"sea water"),EXACT(Metadata!Z204,"sediment"),EXACT(Metadata!Z204,"soil"),EXACT(Metadata!Z204,"waste water"))))</f>
        <v>0</v>
      </c>
      <c r="BN204" t="b">
        <f>AND(IF(Metadata!AA204="",FALSE,TRUE),EXACT(Metadata!AA204,"metagenome"))</f>
        <v>0</v>
      </c>
      <c r="BO204" t="b">
        <f>AND(IF(Metadata!AB204="",FALSE,TRUE),EXACT(Metadata!AB204,"256318"))</f>
        <v>0</v>
      </c>
      <c r="BP204" t="b">
        <f>IF(Metadata!AC204="",FALSE,TRUE)</f>
        <v>0</v>
      </c>
      <c r="BQ204" t="b">
        <f>IF(Metadata!AD204="",FALSE,TRUE)</f>
        <v>0</v>
      </c>
    </row>
    <row r="205" spans="1:69" x14ac:dyDescent="0.2">
      <c r="A205" s="4" t="e">
        <f ca="1">IF(B205=" "," ",HYPERLINK(CONCATENATE("#metadata!",ADDRESS(INDEX($AJ$2:$AJ$1001,MATCH(ROWS($AH$2:AH205),$AH$2:$AH$1001,0),0),2)),INDEX($AM$2:$AM$1001,MATCH(ROWS($AH$2:AH205),$AH$2:$AH$1001,0),0)))</f>
        <v>#N/A</v>
      </c>
      <c r="B205" s="5" t="e">
        <f ca="1">IF(OR(INDEX($AI$2:$AI$1001,MATCH(ROWS($AH$2:AH205),$AH$2:$AH$1001,0),1)&gt;=100000,INDEX($AO$1005:$BQ$1005,1,MATCH(COLUMNS($AO$1006:AO1006),$AO$1006:$BQ$1006,0))&gt;=100000), " ",IF(INDEX($AO$2:$BQ$1001,MATCH(ROWS($AH$2:AH205),$AH$2:$AH$1001,0),MATCH(COLUMNS($AO$1006:AO1006),$AO$1006:$BQ$1006,0)), HYPERLINK("#",""), HYPERLINK(CONCATENATE("#Metadata!", ADDRESS(INDEX($AJ$2:$AJ$1001,MATCH(ROWS($AH$2:AH205),$AH$2:$AH$1001,0),0), INDEX($AO$1004:$BQ$1004,1,MATCH(COLUMNS($AO$1006:AO1006),$AO$1006:$BQ$1006,0)))),"Fix")))</f>
        <v>#N/A</v>
      </c>
      <c r="C205" s="5" t="e">
        <f ca="1">IF(OR(INDEX($AI$2:$AI$1001,MATCH(ROWS($AH$2:AH205),$AH$2:$AH$1001,0),1)&gt;=100000,INDEX($AO$1005:$BQ$1005,1,MATCH(COLUMNS($AO$1006:AP1006),$AO$1006:$BQ$1006,0))&gt;=100000), " ",IF(INDEX($AO$2:$BQ$1001,MATCH(ROWS($AH$2:AH205),$AH$2:$AH$1001,0),MATCH(COLUMNS($AO$1006:AP1006),$AO$1006:$BQ$1006,0)), HYPERLINK("#",""), HYPERLINK(CONCATENATE("#Metadata!", ADDRESS(INDEX($AJ$2:$AJ$1001,MATCH(ROWS($AH$2:AH205),$AH$2:$AH$1001,0),0), INDEX($AO$1004:$BQ$1004,1,MATCH(COLUMNS($AO$1006:AP1006),$AO$1006:$BQ$1006,0)))),"Fix")))</f>
        <v>#N/A</v>
      </c>
      <c r="D205" s="5" t="e">
        <f ca="1">IF(OR(INDEX($AI$2:$AI$1001,MATCH(ROWS($AH$2:AH205),$AH$2:$AH$1001,0),1)&gt;=100000,INDEX($AO$1005:$BQ$1005,1,MATCH(COLUMNS($AO$1006:AQ1006),$AO$1006:$BQ$1006,0))&gt;=100000), " ",IF(INDEX($AO$2:$BQ$1001,MATCH(ROWS($AH$2:AH205),$AH$2:$AH$1001,0),MATCH(COLUMNS($AO$1006:AQ1006),$AO$1006:$BQ$1006,0)), HYPERLINK("#",""), HYPERLINK(CONCATENATE("#Metadata!", ADDRESS(INDEX($AJ$2:$AJ$1001,MATCH(ROWS($AH$2:AH205),$AH$2:$AH$1001,0),0), INDEX($AO$1004:$BQ$1004,1,MATCH(COLUMNS($AO$1006:AQ1006),$AO$1006:$BQ$1006,0)))),"Fix")))</f>
        <v>#N/A</v>
      </c>
      <c r="E205" s="5" t="e">
        <f ca="1">IF(OR(INDEX($AI$2:$AI$1001,MATCH(ROWS($AH$2:AH205),$AH$2:$AH$1001,0),1)&gt;=100000,INDEX($AO$1005:$BQ$1005,1,MATCH(COLUMNS($AO$1006:AR1006),$AO$1006:$BQ$1006,0))&gt;=100000), " ",IF(INDEX($AO$2:$BQ$1001,MATCH(ROWS($AH$2:AH205),$AH$2:$AH$1001,0),MATCH(COLUMNS($AO$1006:AR1006),$AO$1006:$BQ$1006,0)), HYPERLINK("#",""), HYPERLINK(CONCATENATE("#Metadata!", ADDRESS(INDEX($AJ$2:$AJ$1001,MATCH(ROWS($AH$2:AH205),$AH$2:$AH$1001,0),0), INDEX($AO$1004:$BQ$1004,1,MATCH(COLUMNS($AO$1006:AR1006),$AO$1006:$BQ$1006,0)))),"Fix")))</f>
        <v>#N/A</v>
      </c>
      <c r="F205" s="5" t="e">
        <f ca="1">IF(OR(INDEX($AI$2:$AI$1001,MATCH(ROWS($AH$2:AH205),$AH$2:$AH$1001,0),1)&gt;=100000,INDEX($AO$1005:$BQ$1005,1,MATCH(COLUMNS($AO$1006:AS1006),$AO$1006:$BQ$1006,0))&gt;=100000), " ",IF(INDEX($AO$2:$BQ$1001,MATCH(ROWS($AH$2:AH205),$AH$2:$AH$1001,0),MATCH(COLUMNS($AO$1006:AS1006),$AO$1006:$BQ$1006,0)), HYPERLINK("#",""), HYPERLINK(CONCATENATE("#Metadata!", ADDRESS(INDEX($AJ$2:$AJ$1001,MATCH(ROWS($AH$2:AH205),$AH$2:$AH$1001,0),0), INDEX($AO$1004:$BQ$1004,1,MATCH(COLUMNS($AO$1006:AS1006),$AO$1006:$BQ$1006,0)))),"Fix")))</f>
        <v>#N/A</v>
      </c>
      <c r="G205" s="5" t="e">
        <f ca="1">IF(OR(INDEX($AI$2:$AI$1001,MATCH(ROWS($AH$2:AH205),$AH$2:$AH$1001,0),1)&gt;=100000,INDEX($AO$1005:$BQ$1005,1,MATCH(COLUMNS($AO$1006:AT1006),$AO$1006:$BQ$1006,0))&gt;=100000), " ",IF(INDEX($AO$2:$BQ$1001,MATCH(ROWS($AH$2:AH205),$AH$2:$AH$1001,0),MATCH(COLUMNS($AO$1006:AT1006),$AO$1006:$BQ$1006,0)), HYPERLINK("#",""), HYPERLINK(CONCATENATE("#Metadata!", ADDRESS(INDEX($AJ$2:$AJ$1001,MATCH(ROWS($AH$2:AH205),$AH$2:$AH$1001,0),0), INDEX($AO$1004:$BQ$1004,1,MATCH(COLUMNS($AO$1006:AT1006),$AO$1006:$BQ$1006,0)))),"Fix")))</f>
        <v>#N/A</v>
      </c>
      <c r="H205" s="5" t="e">
        <f ca="1">IF(OR(INDEX($AI$2:$AI$1001,MATCH(ROWS($AH$2:AH205),$AH$2:$AH$1001,0),1)&gt;=100000,INDEX($AO$1005:$BQ$1005,1,MATCH(COLUMNS($AO$1006:AU1006),$AO$1006:$BQ$1006,0))&gt;=100000), " ",IF(INDEX($AO$2:$BQ$1001,MATCH(ROWS($AH$2:AH205),$AH$2:$AH$1001,0),MATCH(COLUMNS($AO$1006:AU1006),$AO$1006:$BQ$1006,0)), HYPERLINK("#",""), HYPERLINK(CONCATENATE("#Metadata!", ADDRESS(INDEX($AJ$2:$AJ$1001,MATCH(ROWS($AH$2:AH205),$AH$2:$AH$1001,0),0), INDEX($AO$1004:$BQ$1004,1,MATCH(COLUMNS($AO$1006:AU1006),$AO$1006:$BQ$1006,0)))),"Fix")))</f>
        <v>#N/A</v>
      </c>
      <c r="I205" s="5" t="e">
        <f ca="1">IF(OR(INDEX($AI$2:$AI$1001,MATCH(ROWS($AH$2:AH205),$AH$2:$AH$1001,0),1)&gt;=100000,INDEX($AO$1005:$BQ$1005,1,MATCH(COLUMNS($AO$1006:AV1006),$AO$1006:$BQ$1006,0))&gt;=100000), " ",IF(INDEX($AO$2:$BQ$1001,MATCH(ROWS($AH$2:AH205),$AH$2:$AH$1001,0),MATCH(COLUMNS($AO$1006:AV1006),$AO$1006:$BQ$1006,0)), HYPERLINK("#",""), HYPERLINK(CONCATENATE("#Metadata!", ADDRESS(INDEX($AJ$2:$AJ$1001,MATCH(ROWS($AH$2:AH205),$AH$2:$AH$1001,0),0), INDEX($AO$1004:$BQ$1004,1,MATCH(COLUMNS($AO$1006:AV1006),$AO$1006:$BQ$1006,0)))),"Fix")))</f>
        <v>#N/A</v>
      </c>
      <c r="J205" s="5" t="e">
        <f ca="1">IF(OR(INDEX($AI$2:$AI$1001,MATCH(ROWS($AH$2:AH205),$AH$2:$AH$1001,0),1)&gt;=100000,INDEX($AO$1005:$BQ$1005,1,MATCH(COLUMNS($AO$1006:AW1006),$AO$1006:$BQ$1006,0))&gt;=100000), " ",IF(INDEX($AO$2:$BQ$1001,MATCH(ROWS($AH$2:AH205),$AH$2:$AH$1001,0),MATCH(COLUMNS($AO$1006:AW1006),$AO$1006:$BQ$1006,0)), HYPERLINK("#",""), HYPERLINK(CONCATENATE("#Metadata!", ADDRESS(INDEX($AJ$2:$AJ$1001,MATCH(ROWS($AH$2:AH205),$AH$2:$AH$1001,0),0), INDEX($AO$1004:$BQ$1004,1,MATCH(COLUMNS($AO$1006:AW1006),$AO$1006:$BQ$1006,0)))),"Fix")))</f>
        <v>#N/A</v>
      </c>
      <c r="K205" s="5" t="e">
        <f ca="1">IF(OR(INDEX($AI$2:$AI$1001,MATCH(ROWS($AH$2:AH205),$AH$2:$AH$1001,0),1)&gt;=100000,INDEX($AO$1005:$BQ$1005,1,MATCH(COLUMNS($AO$1006:AX1006),$AO$1006:$BQ$1006,0))&gt;=100000), " ",IF(INDEX($AO$2:$BQ$1001,MATCH(ROWS($AH$2:AH205),$AH$2:$AH$1001,0),MATCH(COLUMNS($AO$1006:AX1006),$AO$1006:$BQ$1006,0)), HYPERLINK("#",""), HYPERLINK(CONCATENATE("#Metadata!", ADDRESS(INDEX($AJ$2:$AJ$1001,MATCH(ROWS($AH$2:AH205),$AH$2:$AH$1001,0),0), INDEX($AO$1004:$BQ$1004,1,MATCH(COLUMNS($AO$1006:AX1006),$AO$1006:$BQ$1006,0)))),"Fix")))</f>
        <v>#N/A</v>
      </c>
      <c r="L205" s="5" t="e">
        <f ca="1">IF(OR(INDEX($AI$2:$AI$1001,MATCH(ROWS($AH$2:AH205),$AH$2:$AH$1001,0),1)&gt;=100000,INDEX($AO$1005:$BQ$1005,1,MATCH(COLUMNS($AO$1006:AY1006),$AO$1006:$BQ$1006,0))&gt;=100000), " ",IF(INDEX($AO$2:$BQ$1001,MATCH(ROWS($AH$2:AH205),$AH$2:$AH$1001,0),MATCH(COLUMNS($AO$1006:AY1006),$AO$1006:$BQ$1006,0)), HYPERLINK("#",""), HYPERLINK(CONCATENATE("#Metadata!", ADDRESS(INDEX($AJ$2:$AJ$1001,MATCH(ROWS($AH$2:AH205),$AH$2:$AH$1001,0),0), INDEX($AO$1004:$BQ$1004,1,MATCH(COLUMNS($AO$1006:AY1006),$AO$1006:$BQ$1006,0)))),"Fix")))</f>
        <v>#N/A</v>
      </c>
      <c r="M205" s="5" t="e">
        <f ca="1">IF(OR(INDEX($AI$2:$AI$1001,MATCH(ROWS($AH$2:AH205),$AH$2:$AH$1001,0),1)&gt;=100000,INDEX($AO$1005:$BQ$1005,1,MATCH(COLUMNS($AO$1006:AZ1006),$AO$1006:$BQ$1006,0))&gt;=100000), " ",IF(INDEX($AO$2:$BQ$1001,MATCH(ROWS($AH$2:AH205),$AH$2:$AH$1001,0),MATCH(COLUMNS($AO$1006:AZ1006),$AO$1006:$BQ$1006,0)), HYPERLINK("#",""), HYPERLINK(CONCATENATE("#Metadata!", ADDRESS(INDEX($AJ$2:$AJ$1001,MATCH(ROWS($AH$2:AH205),$AH$2:$AH$1001,0),0), INDEX($AO$1004:$BQ$1004,1,MATCH(COLUMNS($AO$1006:AZ1006),$AO$1006:$BQ$1006,0)))),"Fix")))</f>
        <v>#N/A</v>
      </c>
      <c r="N205" s="5" t="e">
        <f ca="1">IF(OR(INDEX($AI$2:$AI$1001,MATCH(ROWS($AH$2:AH205),$AH$2:$AH$1001,0),1)&gt;=100000,INDEX($AO$1005:$BQ$1005,1,MATCH(COLUMNS($AO$1006:BA1006),$AO$1006:$BQ$1006,0))&gt;=100000), " ",IF(INDEX($AO$2:$BQ$1001,MATCH(ROWS($AH$2:AH205),$AH$2:$AH$1001,0),MATCH(COLUMNS($AO$1006:BA1006),$AO$1006:$BQ$1006,0)), HYPERLINK("#",""), HYPERLINK(CONCATENATE("#Metadata!", ADDRESS(INDEX($AJ$2:$AJ$1001,MATCH(ROWS($AH$2:AH205),$AH$2:$AH$1001,0),0), INDEX($AO$1004:$BQ$1004,1,MATCH(COLUMNS($AO$1006:BA1006),$AO$1006:$BQ$1006,0)))),"Fix")))</f>
        <v>#N/A</v>
      </c>
      <c r="O205" s="5" t="e">
        <f ca="1">IF(OR(INDEX($AI$2:$AI$1001,MATCH(ROWS($AH$2:AH205),$AH$2:$AH$1001,0),1)&gt;=100000,INDEX($AO$1005:$BQ$1005,1,MATCH(COLUMNS($AO$1006:BB1006),$AO$1006:$BQ$1006,0))&gt;=100000), " ",IF(INDEX($AO$2:$BQ$1001,MATCH(ROWS($AH$2:AH205),$AH$2:$AH$1001,0),MATCH(COLUMNS($AO$1006:BB1006),$AO$1006:$BQ$1006,0)), HYPERLINK("#",""), HYPERLINK(CONCATENATE("#Metadata!", ADDRESS(INDEX($AJ$2:$AJ$1001,MATCH(ROWS($AH$2:AH205),$AH$2:$AH$1001,0),0), INDEX($AO$1004:$BQ$1004,1,MATCH(COLUMNS($AO$1006:BB1006),$AO$1006:$BQ$1006,0)))),"Fix")))</f>
        <v>#N/A</v>
      </c>
      <c r="P205" s="5" t="e">
        <f ca="1">IF(OR(INDEX($AI$2:$AI$1001,MATCH(ROWS($AH$2:AH205),$AH$2:$AH$1001,0),1)&gt;=100000,INDEX($AO$1005:$BQ$1005,1,MATCH(COLUMNS($AO$1006:BC1006),$AO$1006:$BQ$1006,0))&gt;=100000), " ",IF(INDEX($AO$2:$BQ$1001,MATCH(ROWS($AH$2:AH205),$AH$2:$AH$1001,0),MATCH(COLUMNS($AO$1006:BC1006),$AO$1006:$BQ$1006,0)), HYPERLINK("#",""), HYPERLINK(CONCATENATE("#Metadata!", ADDRESS(INDEX($AJ$2:$AJ$1001,MATCH(ROWS($AH$2:AH205),$AH$2:$AH$1001,0),0), INDEX($AO$1004:$BQ$1004,1,MATCH(COLUMNS($AO$1006:BC1006),$AO$1006:$BQ$1006,0)))),"Fix")))</f>
        <v>#N/A</v>
      </c>
      <c r="Q205" s="5" t="e">
        <f ca="1">IF(OR(INDEX($AI$2:$AI$1001,MATCH(ROWS($AH$2:AH205),$AH$2:$AH$1001,0),1)&gt;=100000,INDEX($AO$1005:$BQ$1005,1,MATCH(COLUMNS($AO$1006:BD1006),$AO$1006:$BQ$1006,0))&gt;=100000), " ",IF(INDEX($AO$2:$BQ$1001,MATCH(ROWS($AH$2:AH205),$AH$2:$AH$1001,0),MATCH(COLUMNS($AO$1006:BD1006),$AO$1006:$BQ$1006,0)), HYPERLINK("#",""), HYPERLINK(CONCATENATE("#Metadata!", ADDRESS(INDEX($AJ$2:$AJ$1001,MATCH(ROWS($AH$2:AH205),$AH$2:$AH$1001,0),0), INDEX($AO$1004:$BQ$1004,1,MATCH(COLUMNS($AO$1006:BD1006),$AO$1006:$BQ$1006,0)))),"Fix")))</f>
        <v>#N/A</v>
      </c>
      <c r="R205" s="5" t="e">
        <f ca="1">IF(OR(INDEX($AI$2:$AI$1001,MATCH(ROWS($AH$2:AH205),$AH$2:$AH$1001,0),1)&gt;=100000,INDEX($AO$1005:$BQ$1005,1,MATCH(COLUMNS($AO$1006:BE1006),$AO$1006:$BQ$1006,0))&gt;=100000), " ",IF(INDEX($AO$2:$BQ$1001,MATCH(ROWS($AH$2:AH205),$AH$2:$AH$1001,0),MATCH(COLUMNS($AO$1006:BE1006),$AO$1006:$BQ$1006,0)), HYPERLINK("#",""), HYPERLINK(CONCATENATE("#Metadata!", ADDRESS(INDEX($AJ$2:$AJ$1001,MATCH(ROWS($AH$2:AH205),$AH$2:$AH$1001,0),0), INDEX($AO$1004:$BQ$1004,1,MATCH(COLUMNS($AO$1006:BE1006),$AO$1006:$BQ$1006,0)))),"Fix")))</f>
        <v>#N/A</v>
      </c>
      <c r="S205" s="5" t="e">
        <f ca="1">IF(OR(INDEX($AI$2:$AI$1001,MATCH(ROWS($AH$2:AH205),$AH$2:$AH$1001,0),1)&gt;=100000,INDEX($AO$1005:$BQ$1005,1,MATCH(COLUMNS($AO$1006:BF1006),$AO$1006:$BQ$1006,0))&gt;=100000), " ",IF(INDEX($AO$2:$BQ$1001,MATCH(ROWS($AH$2:AH205),$AH$2:$AH$1001,0),MATCH(COLUMNS($AO$1006:BF1006),$AO$1006:$BQ$1006,0)), HYPERLINK("#",""), HYPERLINK(CONCATENATE("#Metadata!", ADDRESS(INDEX($AJ$2:$AJ$1001,MATCH(ROWS($AH$2:AH205),$AH$2:$AH$1001,0),0), INDEX($AO$1004:$BQ$1004,1,MATCH(COLUMNS($AO$1006:BF1006),$AO$1006:$BQ$1006,0)))),"Fix")))</f>
        <v>#N/A</v>
      </c>
      <c r="T205" s="5" t="e">
        <f ca="1">IF(OR(INDEX($AI$2:$AI$1001,MATCH(ROWS($AH$2:AH205),$AH$2:$AH$1001,0),1)&gt;=100000,INDEX($AO$1005:$BQ$1005,1,MATCH(COLUMNS($AO$1006:BG1006),$AO$1006:$BQ$1006,0))&gt;=100000), " ",IF(INDEX($AO$2:$BQ$1001,MATCH(ROWS($AH$2:AH205),$AH$2:$AH$1001,0),MATCH(COLUMNS($AO$1006:BG1006),$AO$1006:$BQ$1006,0)), HYPERLINK("#",""), HYPERLINK(CONCATENATE("#Metadata!", ADDRESS(INDEX($AJ$2:$AJ$1001,MATCH(ROWS($AH$2:AH205),$AH$2:$AH$1001,0),0), INDEX($AO$1004:$BQ$1004,1,MATCH(COLUMNS($AO$1006:BG1006),$AO$1006:$BQ$1006,0)))),"Fix")))</f>
        <v>#N/A</v>
      </c>
      <c r="U205" s="5" t="e">
        <f ca="1">IF(OR(INDEX($AI$2:$AI$1001,MATCH(ROWS($AH$2:AH205),$AH$2:$AH$1001,0),1)&gt;=100000,INDEX($AO$1005:$BQ$1005,1,MATCH(COLUMNS($AO$1006:BH1006),$AO$1006:$BQ$1006,0))&gt;=100000), " ",IF(INDEX($AO$2:$BQ$1001,MATCH(ROWS($AH$2:AH205),$AH$2:$AH$1001,0),MATCH(COLUMNS($AO$1006:BH1006),$AO$1006:$BQ$1006,0)), HYPERLINK("#",""), HYPERLINK(CONCATENATE("#Metadata!", ADDRESS(INDEX($AJ$2:$AJ$1001,MATCH(ROWS($AH$2:AH205),$AH$2:$AH$1001,0),0), INDEX($AO$1004:$BQ$1004,1,MATCH(COLUMNS($AO$1006:BH1006),$AO$1006:$BQ$1006,0)))),"Fix")))</f>
        <v>#N/A</v>
      </c>
      <c r="V205" s="5" t="e">
        <f ca="1">IF(OR(INDEX($AI$2:$AI$1001,MATCH(ROWS($AH$2:AH205),$AH$2:$AH$1001,0),1)&gt;=100000,INDEX($AO$1005:$BQ$1005,1,MATCH(COLUMNS($AO$1006:BI1006),$AO$1006:$BQ$1006,0))&gt;=100000), " ",IF(INDEX($AO$2:$BQ$1001,MATCH(ROWS($AH$2:AH205),$AH$2:$AH$1001,0),MATCH(COLUMNS($AO$1006:BI1006),$AO$1006:$BQ$1006,0)), HYPERLINK("#",""), HYPERLINK(CONCATENATE("#Metadata!", ADDRESS(INDEX($AJ$2:$AJ$1001,MATCH(ROWS($AH$2:AH205),$AH$2:$AH$1001,0),0), INDEX($AO$1004:$BQ$1004,1,MATCH(COLUMNS($AO$1006:BI1006),$AO$1006:$BQ$1006,0)))),"Fix")))</f>
        <v>#N/A</v>
      </c>
      <c r="W205" s="5" t="e">
        <f ca="1">IF(OR(INDEX($AI$2:$AI$1001,MATCH(ROWS($AH$2:AH205),$AH$2:$AH$1001,0),1)&gt;=100000,INDEX($AO$1005:$BQ$1005,1,MATCH(COLUMNS($AO$1006:BJ1006),$AO$1006:$BQ$1006,0))&gt;=100000), " ",IF(INDEX($AO$2:$BQ$1001,MATCH(ROWS($AH$2:AH205),$AH$2:$AH$1001,0),MATCH(COLUMNS($AO$1006:BJ1006),$AO$1006:$BQ$1006,0)), HYPERLINK("#",""), HYPERLINK(CONCATENATE("#Metadata!", ADDRESS(INDEX($AJ$2:$AJ$1001,MATCH(ROWS($AH$2:AH205),$AH$2:$AH$1001,0),0), INDEX($AO$1004:$BQ$1004,1,MATCH(COLUMNS($AO$1006:BJ1006),$AO$1006:$BQ$1006,0)))),"Fix")))</f>
        <v>#N/A</v>
      </c>
      <c r="X205" s="5" t="e">
        <f ca="1">IF(OR(INDEX($AI$2:$AI$1001,MATCH(ROWS($AH$2:AH205),$AH$2:$AH$1001,0),1)&gt;=100000,INDEX($AO$1005:$BQ$1005,1,MATCH(COLUMNS($AO$1006:BK1006),$AO$1006:$BQ$1006,0))&gt;=100000), " ",IF(INDEX($AO$2:$BQ$1001,MATCH(ROWS($AH$2:AH205),$AH$2:$AH$1001,0),MATCH(COLUMNS($AO$1006:BK1006),$AO$1006:$BQ$1006,0)), HYPERLINK("#",""), HYPERLINK(CONCATENATE("#Metadata!", ADDRESS(INDEX($AJ$2:$AJ$1001,MATCH(ROWS($AH$2:AH205),$AH$2:$AH$1001,0),0), INDEX($AO$1004:$BQ$1004,1,MATCH(COLUMNS($AO$1006:BK1006),$AO$1006:$BQ$1006,0)))),"Fix")))</f>
        <v>#N/A</v>
      </c>
      <c r="Y205" s="5" t="e">
        <f ca="1">IF(OR(INDEX($AI$2:$AI$1001,MATCH(ROWS($AH$2:AH205),$AH$2:$AH$1001,0),1)&gt;=100000,INDEX($AO$1005:$BQ$1005,1,MATCH(COLUMNS($AO$1006:BL1006),$AO$1006:$BQ$1006,0))&gt;=100000), " ",IF(INDEX($AO$2:$BQ$1001,MATCH(ROWS($AH$2:AH205),$AH$2:$AH$1001,0),MATCH(COLUMNS($AO$1006:BL1006),$AO$1006:$BQ$1006,0)), HYPERLINK("#",""), HYPERLINK(CONCATENATE("#Metadata!", ADDRESS(INDEX($AJ$2:$AJ$1001,MATCH(ROWS($AH$2:AH205),$AH$2:$AH$1001,0),0), INDEX($AO$1004:$BQ$1004,1,MATCH(COLUMNS($AO$1006:BL1006),$AO$1006:$BQ$1006,0)))),"Fix")))</f>
        <v>#N/A</v>
      </c>
      <c r="Z205" s="5" t="e">
        <f ca="1">IF(OR(INDEX($AI$2:$AI$1001,MATCH(ROWS($AH$2:AH205),$AH$2:$AH$1001,0),1)&gt;=100000,INDEX($AO$1005:$BQ$1005,1,MATCH(COLUMNS($AO$1006:BM1006),$AO$1006:$BQ$1006,0))&gt;=100000), " ",IF(INDEX($AO$2:$BQ$1001,MATCH(ROWS($AH$2:AH205),$AH$2:$AH$1001,0),MATCH(COLUMNS($AO$1006:BM1006),$AO$1006:$BQ$1006,0)), HYPERLINK("#",""), HYPERLINK(CONCATENATE("#Metadata!", ADDRESS(INDEX($AJ$2:$AJ$1001,MATCH(ROWS($AH$2:AH205),$AH$2:$AH$1001,0),0), INDEX($AO$1004:$BQ$1004,1,MATCH(COLUMNS($AO$1006:BM1006),$AO$1006:$BQ$1006,0)))),"Fix")))</f>
        <v>#N/A</v>
      </c>
      <c r="AA205" s="5" t="e">
        <f ca="1">IF(OR(INDEX($AI$2:$AI$1001,MATCH(ROWS($AH$2:AH205),$AH$2:$AH$1001,0),1)&gt;=100000,INDEX($AO$1005:$BQ$1005,1,MATCH(COLUMNS($AO$1006:BN1006),$AO$1006:$BQ$1006,0))&gt;=100000), " ",IF(INDEX($AO$2:$BQ$1001,MATCH(ROWS($AH$2:AH205),$AH$2:$AH$1001,0),MATCH(COLUMNS($AO$1006:BN1006),$AO$1006:$BQ$1006,0)), HYPERLINK("#",""), HYPERLINK(CONCATENATE("#Metadata!", ADDRESS(INDEX($AJ$2:$AJ$1001,MATCH(ROWS($AH$2:AH205),$AH$2:$AH$1001,0),0), INDEX($AO$1004:$BQ$1004,1,MATCH(COLUMNS($AO$1006:BN1006),$AO$1006:$BQ$1006,0)))),"Fix")))</f>
        <v>#N/A</v>
      </c>
      <c r="AB205" s="5" t="e">
        <f ca="1">IF(OR(INDEX($AI$2:$AI$1001,MATCH(ROWS($AH$2:AH205),$AH$2:$AH$1001,0),1)&gt;=100000,INDEX($AO$1005:$BQ$1005,1,MATCH(COLUMNS($AO$1006:BO1006),$AO$1006:$BQ$1006,0))&gt;=100000), " ",IF(INDEX($AO$2:$BQ$1001,MATCH(ROWS($AH$2:AH205),$AH$2:$AH$1001,0),MATCH(COLUMNS($AO$1006:BO1006),$AO$1006:$BQ$1006,0)), HYPERLINK("#",""), HYPERLINK(CONCATENATE("#Metadata!", ADDRESS(INDEX($AJ$2:$AJ$1001,MATCH(ROWS($AH$2:AH205),$AH$2:$AH$1001,0),0), INDEX($AO$1004:$BQ$1004,1,MATCH(COLUMNS($AO$1006:BO1006),$AO$1006:$BQ$1006,0)))),"Fix")))</f>
        <v>#N/A</v>
      </c>
      <c r="AC205" s="5" t="e">
        <f ca="1">IF(OR(INDEX($AI$2:$AI$1001,MATCH(ROWS($AH$2:AH205),$AH$2:$AH$1001,0),1)&gt;=100000,INDEX($AO$1005:$BQ$1005,1,MATCH(COLUMNS($AO$1006:BP1006),$AO$1006:$BQ$1006,0))&gt;=100000), " ",IF(INDEX($AO$2:$BQ$1001,MATCH(ROWS($AH$2:AH205),$AH$2:$AH$1001,0),MATCH(COLUMNS($AO$1006:BP1006),$AO$1006:$BQ$1006,0)), HYPERLINK("#",""), HYPERLINK(CONCATENATE("#Metadata!", ADDRESS(INDEX($AJ$2:$AJ$1001,MATCH(ROWS($AH$2:AH205),$AH$2:$AH$1001,0),0), INDEX($AO$1004:$BQ$1004,1,MATCH(COLUMNS($AO$1006:BP1006),$AO$1006:$BQ$1006,0)))),"Fix")))</f>
        <v>#N/A</v>
      </c>
      <c r="AD205" s="5" t="e">
        <f ca="1">IF(OR(INDEX($AI$2:$AI$1001,MATCH(ROWS($AH$2:AH205),$AH$2:$AH$1001,0),1)&gt;=100000,INDEX($AO$1005:$BQ$1005,1,MATCH(COLUMNS($AO$1006:BQ1006),$AO$1006:$BQ$1006,0))&gt;=100000), " ",IF(INDEX($AO$2:$BQ$1001,MATCH(ROWS($AH$2:AH205),$AH$2:$AH$1001,0),MATCH(COLUMNS($AO$1006:BQ1006),$AO$1006:$BQ$1006,0)), HYPERLINK("#",""), HYPERLINK(CONCATENATE("#Metadata!", ADDRESS(INDEX($AJ$2:$AJ$1001,MATCH(ROWS($AH$2:AH205),$AH$2:$AH$1001,0),0), INDEX($AO$1004:$BQ$1004,1,MATCH(COLUMNS($AO$1006:BQ1006),$AO$1006:$BQ$1006,0)))),"Fix")))</f>
        <v>#REF!</v>
      </c>
      <c r="AH205">
        <f ca="1"/>
        <v>202</v>
      </c>
      <c r="AI205">
        <v>100205</v>
      </c>
      <c r="AJ205">
        <v>205</v>
      </c>
      <c r="AK205" t="b">
        <f t="shared" si="3"/>
        <v>1</v>
      </c>
      <c r="AL205" t="b">
        <f>COUNTBLANK(Metadata!B205:AD205)=COLUMNS(Metadata!B205:AD205)</f>
        <v>1</v>
      </c>
      <c r="AM205" t="str">
        <v/>
      </c>
      <c r="AO205" t="b">
        <f ca="1">AND(IF(Metadata!B205="",FALSE,TRUE),COUNTIF(Metadata!B:B, Metadata!B205) = 1,NOT(ISERROR(SUMPRODUCT(SEARCH(MID(Metadata!B205,ROW(INDIRECT("1:"&amp;LEN(Metadata!B205))), 1),"0123456789abcdefghijklmnopqrstuvwxyzABCDEFGHIJKLMNOPQRSTUVWXYZ.")))))</f>
        <v>0</v>
      </c>
      <c r="AP205" t="b">
        <f>IF(Metadata!C205="",FALSE,TRUE)</f>
        <v>0</v>
      </c>
      <c r="AQ205" t="b">
        <f>IF(Metadata!D205="",FALSE,TRUE)</f>
        <v>0</v>
      </c>
      <c r="AR205" t="b">
        <f ca="1">OR(AND(IF(Metadata!E205="",FALSE,TRUE),OR(EXACT(Metadata!E205,"not collected"),EXACT(Metadata!E205,"not provided"),EXACT(Metadata!E205,"restricted access"))),AND(IF(Metadata!E205="",FALSE,TRUE),AND(AND(IFERROR(INT(LEFT(Metadata!E205,4))&gt;1900,FALSE),IFERROR(INT(LEFT(Metadata!E205,4))&lt;=YEAR(NOW()),FALSE)), OR(MID(Metadata!E205,5,1)="", AND(AND(MID(Metadata!E205,5,1)="-",IFERROR(INT(MID(Metadata!E205,6,1))&gt;=0,FALSE),IFERROR(INT(MID(Metadata!E205,6,1))&lt;=1,FALSE),NOT(MID(Metadata!E205,7,1)=""),IFERROR(INT(MID(Metadata!E205,6,2))&gt;=1,FALSE),IFERROR(INT(MID(Metadata!E205,6,2))&lt;=12,FALSE)), OR(MID(Metadata!E205,8,1)="", AND(AND(MID(Metadata!E205,8,1)="-",IFERROR(INT(MID(Metadata!E205,9,1))&gt;=0,FALSE),IFERROR(INT(MID(Metadata!E205,9,1))&lt;=3,FALSE),NOT(MID(Metadata!E205,10,1)=""),IFERROR(INT(MID(Metadata!E205,9,2))&gt;=1,FALSE),IFERROR(INT(MID(Metadata!E205,9,2))&lt;=31,FALSE)), OR(MID(Metadata!E205,11,1)="", AND(AND(MID(Metadata!E205,11,1)=" ",IFERROR(INT(MID(Metadata!E205,12,1))&gt;=0,FALSE),IFERROR(INT(MID(Metadata!E205,12,1))&lt;=2,FALSE),NOT(MID(Metadata!E205,13,1)=""),IFERROR(INT(MID(Metadata!E205,12,2))&gt;=0,FALSE),IFERROR(INT(MID(Metadata!E205,12,2))&lt;=23,FALSE)), OR(MID(Metadata!E205,14,1)="", AND(AND(MID(Metadata!E205,14,1)=":",IFERROR(INT(MID(Metadata!E205,15,1))&gt;=0,FALSE),IFERROR(INT(MID(Metadata!E205,15,1))&lt;=5,FALSE),NOT(MID(Metadata!E205,16,1)=""),IFERROR(INT(MID(Metadata!E205,15,2))&gt;=0,FALSE),IFERROR(INT(MID(Metadata!E205,15,2))&lt;=59,FALSE)), OR(MID(Metadata!E205,17,1)="", AND(AND(MID(Metadata!E205,17,1)=":",IFERROR(INT(MID(Metadata!E205,18,1))&gt;=0,FALSE),IFERROR(INT(MID(Metadata!E205,18,1))&lt;=5,FALSE),NOT(MID(Metadata!E205,19,1)=""),IFERROR(INT(MID(Metadata!E205,18,2))&gt;=0,FALSE),IFERROR(INT(MID(Metadata!E205,18,2))&lt;=59,FALSE)), LEN(Metadata!E205)&lt;=19)))))))))))))</f>
        <v>0</v>
      </c>
      <c r="AS205" t="b">
        <f>IF(Metadata!F205="",FALSE,TRUE)</f>
        <v>0</v>
      </c>
      <c r="AT205" t="b">
        <f>OR(AND(IF(Metadata!G205="",FALSE,TRUE),OR(EXACT(Metadata!G205,"not collected"),EXACT(Metadata!G205,"not provided"))),AND(IF(Metadata!G205="",FALSE,TRUE),OR(EXACT(Metadata!G205,"TRUE"),EXACT(Metadata!G205,"FALSE"))))</f>
        <v>0</v>
      </c>
      <c r="AU205" t="b">
        <f>OR(AND(IF(Metadata!H205="",FALSE,TRUE),OR(EXACT(Metadata!H205,"not collected"),EXACT(Metadata!H205,"not provided"),EXACT(Metadata!H205,"restricted access"))),AND(IF(Metadata!H205="",FALSE,ISNUMBER(VALUE(Metadata!H205))),Metadata!H205&gt;=-413))</f>
        <v>0</v>
      </c>
      <c r="AV205" t="b">
        <f>AND(IF(Metadata!I205="",FALSE,TRUE),EXACT(Metadata!I205,"meters"))</f>
        <v>0</v>
      </c>
      <c r="AW205" t="b">
        <f>AND(IF(Metadata!J205="",FALSE,TRUE),EXACT(Metadata!J205,"free-living"))</f>
        <v>0</v>
      </c>
      <c r="AX205" t="b">
        <f>AND(IF(Metadata!K205="",FALSE,TRUE),OR(EXACT(Metadata!K205,"saline"),EXACT(Metadata!K205,"non-saline")))</f>
        <v>0</v>
      </c>
      <c r="AY205" t="b">
        <f>AND(IF(Metadata!L205="",FALSE,TRUE),OR(EXACT(Metadata!L205,"sub-surface (non-saline)"),EXACT(Metadata!L205,"surface (non-saline)"),EXACT(Metadata!L205,"water (non-saline)"),EXACT(Metadata!L205,"soil (non-saline)"),EXACT(Metadata!L205,"aerosol (non-saline)"),EXACT(Metadata!L205,"sediment (non-saline)"),EXACT(Metadata!L205,"surface (saline)"),EXACT(Metadata!L205,"water (saline)"),EXACT(Metadata!L205,"hypersaline (saline)"),EXACT(Metadata!L205,"aerosol (saline)"),EXACT(Metadata!L205,"sediment (saline)")))</f>
        <v>0</v>
      </c>
      <c r="AZ205" t="b">
        <f>IF(Metadata!M205="",FALSE,TRUE)</f>
        <v>0</v>
      </c>
      <c r="BA205" t="b">
        <f>IF(Metadata!N205="",FALSE,TRUE)</f>
        <v>0</v>
      </c>
      <c r="BB205" t="b">
        <f>IF(Metadata!O205="",FALSE,TRUE)</f>
        <v>0</v>
      </c>
      <c r="BC205" t="b">
        <f>AND(IF(Metadata!P205="",FALSE,TRUE),OR(EXACT(Metadata!P205,"air"),EXACT(Metadata!P205,"microbial mat/biofilm"),EXACT(Metadata!P205,"misc environment"),EXACT(Metadata!P205,"sediment"),EXACT(Metadata!P205,"soil"),EXACT(Metadata!P205,"wastewater/sludge"),EXACT(Metadata!P205,"water")))</f>
        <v>0</v>
      </c>
      <c r="BD205" t="b">
        <f>IF(Metadata!Q205="",FALSE,TRUE)</f>
        <v>0</v>
      </c>
      <c r="BE205" t="b">
        <f>IF(Metadata!R205="",FALSE,TRUE)</f>
        <v>0</v>
      </c>
      <c r="BF205" t="b">
        <f>OR(AND(IF(Metadata!S205="",FALSE,TRUE),OR(EXACT(Metadata!S205,"not collected"),EXACT(Metadata!S205,"not provided"),EXACT(Metadata!S205,"restricted access"))),AND(IF(Metadata!S205="",FALSE,ISNUMBER(VALUE(Metadata!S205))),Metadata!S205&gt;=-90,Metadata!S205&lt;=90))</f>
        <v>0</v>
      </c>
      <c r="BG205" t="b">
        <f>AND(IF(Metadata!T205="",FALSE,TRUE),EXACT(Metadata!T205,"Decimal degrees"))</f>
        <v>0</v>
      </c>
      <c r="BH205" t="b">
        <f>OR(AND(IF(Metadata!U205="",FALSE,TRUE),OR(EXACT(Metadata!U205,"not applicable"),EXACT(Metadata!U205,"not collected"))),IF(Metadata!U205="",FALSE,TRUE))</f>
        <v>0</v>
      </c>
      <c r="BI205" t="b">
        <f>OR(AND(IF(Metadata!V205="",FALSE,TRUE),OR(EXACT(Metadata!V205,"not collected"),EXACT(Metadata!V205,"not provided"),EXACT(Metadata!V205,"restricted access"))),AND(IF(Metadata!V205="",FALSE,ISNUMBER(VALUE(Metadata!V205))),Metadata!V205&gt;=-180,Metadata!V205&lt;=180))</f>
        <v>0</v>
      </c>
      <c r="BJ205" t="b">
        <f>AND(IF(Metadata!W205="",FALSE,TRUE),EXACT(Metadata!W205,"Decimal degrees"))</f>
        <v>0</v>
      </c>
      <c r="BK205" t="b">
        <f>IF(Metadata!X205="",FALSE,TRUE)</f>
        <v>0</v>
      </c>
      <c r="BL205" t="b">
        <f>OR(AND(IF(Metadata!Y205="",FALSE,TRUE),OR(EXACT(Metadata!Y205,"not collected"),EXACT(Metadata!Y205,"not provided"),EXACT(Metadata!Y205,"restricted access"))),AND(IF(Metadata!Y205="",FALSE,TRUE),OR(EXACT(Metadata!Y205,"TRUE"),EXACT(Metadata!Y205,"FALSE"))))</f>
        <v>0</v>
      </c>
      <c r="BM205" t="b">
        <f>OR(AND(IF(Metadata!Z205="",FALSE,TRUE),EXACT(Metadata!Z205,"not applicable")),AND(IF(Metadata!Z205="",FALSE,TRUE),OR(EXACT(Metadata!Z205,"beer"),EXACT(Metadata!Z205,"cheese"),EXACT(Metadata!Z205,"fresh water"),EXACT(Metadata!Z205,"marine sediment"),EXACT(Metadata!Z205,"sea water"),EXACT(Metadata!Z205,"sediment"),EXACT(Metadata!Z205,"soil"),EXACT(Metadata!Z205,"waste water"))))</f>
        <v>0</v>
      </c>
      <c r="BN205" t="b">
        <f>AND(IF(Metadata!AA205="",FALSE,TRUE),EXACT(Metadata!AA205,"metagenome"))</f>
        <v>0</v>
      </c>
      <c r="BO205" t="b">
        <f>AND(IF(Metadata!AB205="",FALSE,TRUE),EXACT(Metadata!AB205,"256318"))</f>
        <v>0</v>
      </c>
      <c r="BP205" t="b">
        <f>IF(Metadata!AC205="",FALSE,TRUE)</f>
        <v>0</v>
      </c>
      <c r="BQ205" t="b">
        <f>IF(Metadata!AD205="",FALSE,TRUE)</f>
        <v>0</v>
      </c>
    </row>
    <row r="206" spans="1:69" x14ac:dyDescent="0.2">
      <c r="A206" s="4" t="e">
        <f ca="1">IF(B206=" "," ",HYPERLINK(CONCATENATE("#metadata!",ADDRESS(INDEX($AJ$2:$AJ$1001,MATCH(ROWS($AH$2:AH206),$AH$2:$AH$1001,0),0),2)),INDEX($AM$2:$AM$1001,MATCH(ROWS($AH$2:AH206),$AH$2:$AH$1001,0),0)))</f>
        <v>#N/A</v>
      </c>
      <c r="B206" s="5" t="e">
        <f ca="1">IF(OR(INDEX($AI$2:$AI$1001,MATCH(ROWS($AH$2:AH206),$AH$2:$AH$1001,0),1)&gt;=100000,INDEX($AO$1005:$BQ$1005,1,MATCH(COLUMNS($AO$1006:AO1006),$AO$1006:$BQ$1006,0))&gt;=100000), " ",IF(INDEX($AO$2:$BQ$1001,MATCH(ROWS($AH$2:AH206),$AH$2:$AH$1001,0),MATCH(COLUMNS($AO$1006:AO1006),$AO$1006:$BQ$1006,0)), HYPERLINK("#",""), HYPERLINK(CONCATENATE("#Metadata!", ADDRESS(INDEX($AJ$2:$AJ$1001,MATCH(ROWS($AH$2:AH206),$AH$2:$AH$1001,0),0), INDEX($AO$1004:$BQ$1004,1,MATCH(COLUMNS($AO$1006:AO1006),$AO$1006:$BQ$1006,0)))),"Fix")))</f>
        <v>#N/A</v>
      </c>
      <c r="C206" s="5" t="e">
        <f ca="1">IF(OR(INDEX($AI$2:$AI$1001,MATCH(ROWS($AH$2:AH206),$AH$2:$AH$1001,0),1)&gt;=100000,INDEX($AO$1005:$BQ$1005,1,MATCH(COLUMNS($AO$1006:AP1006),$AO$1006:$BQ$1006,0))&gt;=100000), " ",IF(INDEX($AO$2:$BQ$1001,MATCH(ROWS($AH$2:AH206),$AH$2:$AH$1001,0),MATCH(COLUMNS($AO$1006:AP1006),$AO$1006:$BQ$1006,0)), HYPERLINK("#",""), HYPERLINK(CONCATENATE("#Metadata!", ADDRESS(INDEX($AJ$2:$AJ$1001,MATCH(ROWS($AH$2:AH206),$AH$2:$AH$1001,0),0), INDEX($AO$1004:$BQ$1004,1,MATCH(COLUMNS($AO$1006:AP1006),$AO$1006:$BQ$1006,0)))),"Fix")))</f>
        <v>#N/A</v>
      </c>
      <c r="D206" s="5" t="e">
        <f ca="1">IF(OR(INDEX($AI$2:$AI$1001,MATCH(ROWS($AH$2:AH206),$AH$2:$AH$1001,0),1)&gt;=100000,INDEX($AO$1005:$BQ$1005,1,MATCH(COLUMNS($AO$1006:AQ1006),$AO$1006:$BQ$1006,0))&gt;=100000), " ",IF(INDEX($AO$2:$BQ$1001,MATCH(ROWS($AH$2:AH206),$AH$2:$AH$1001,0),MATCH(COLUMNS($AO$1006:AQ1006),$AO$1006:$BQ$1006,0)), HYPERLINK("#",""), HYPERLINK(CONCATENATE("#Metadata!", ADDRESS(INDEX($AJ$2:$AJ$1001,MATCH(ROWS($AH$2:AH206),$AH$2:$AH$1001,0),0), INDEX($AO$1004:$BQ$1004,1,MATCH(COLUMNS($AO$1006:AQ1006),$AO$1006:$BQ$1006,0)))),"Fix")))</f>
        <v>#N/A</v>
      </c>
      <c r="E206" s="5" t="e">
        <f ca="1">IF(OR(INDEX($AI$2:$AI$1001,MATCH(ROWS($AH$2:AH206),$AH$2:$AH$1001,0),1)&gt;=100000,INDEX($AO$1005:$BQ$1005,1,MATCH(COLUMNS($AO$1006:AR1006),$AO$1006:$BQ$1006,0))&gt;=100000), " ",IF(INDEX($AO$2:$BQ$1001,MATCH(ROWS($AH$2:AH206),$AH$2:$AH$1001,0),MATCH(COLUMNS($AO$1006:AR1006),$AO$1006:$BQ$1006,0)), HYPERLINK("#",""), HYPERLINK(CONCATENATE("#Metadata!", ADDRESS(INDEX($AJ$2:$AJ$1001,MATCH(ROWS($AH$2:AH206),$AH$2:$AH$1001,0),0), INDEX($AO$1004:$BQ$1004,1,MATCH(COLUMNS($AO$1006:AR1006),$AO$1006:$BQ$1006,0)))),"Fix")))</f>
        <v>#N/A</v>
      </c>
      <c r="F206" s="5" t="e">
        <f ca="1">IF(OR(INDEX($AI$2:$AI$1001,MATCH(ROWS($AH$2:AH206),$AH$2:$AH$1001,0),1)&gt;=100000,INDEX($AO$1005:$BQ$1005,1,MATCH(COLUMNS($AO$1006:AS1006),$AO$1006:$BQ$1006,0))&gt;=100000), " ",IF(INDEX($AO$2:$BQ$1001,MATCH(ROWS($AH$2:AH206),$AH$2:$AH$1001,0),MATCH(COLUMNS($AO$1006:AS1006),$AO$1006:$BQ$1006,0)), HYPERLINK("#",""), HYPERLINK(CONCATENATE("#Metadata!", ADDRESS(INDEX($AJ$2:$AJ$1001,MATCH(ROWS($AH$2:AH206),$AH$2:$AH$1001,0),0), INDEX($AO$1004:$BQ$1004,1,MATCH(COLUMNS($AO$1006:AS1006),$AO$1006:$BQ$1006,0)))),"Fix")))</f>
        <v>#N/A</v>
      </c>
      <c r="G206" s="5" t="e">
        <f ca="1">IF(OR(INDEX($AI$2:$AI$1001,MATCH(ROWS($AH$2:AH206),$AH$2:$AH$1001,0),1)&gt;=100000,INDEX($AO$1005:$BQ$1005,1,MATCH(COLUMNS($AO$1006:AT1006),$AO$1006:$BQ$1006,0))&gt;=100000), " ",IF(INDEX($AO$2:$BQ$1001,MATCH(ROWS($AH$2:AH206),$AH$2:$AH$1001,0),MATCH(COLUMNS($AO$1006:AT1006),$AO$1006:$BQ$1006,0)), HYPERLINK("#",""), HYPERLINK(CONCATENATE("#Metadata!", ADDRESS(INDEX($AJ$2:$AJ$1001,MATCH(ROWS($AH$2:AH206),$AH$2:$AH$1001,0),0), INDEX($AO$1004:$BQ$1004,1,MATCH(COLUMNS($AO$1006:AT1006),$AO$1006:$BQ$1006,0)))),"Fix")))</f>
        <v>#N/A</v>
      </c>
      <c r="H206" s="5" t="e">
        <f ca="1">IF(OR(INDEX($AI$2:$AI$1001,MATCH(ROWS($AH$2:AH206),$AH$2:$AH$1001,0),1)&gt;=100000,INDEX($AO$1005:$BQ$1005,1,MATCH(COLUMNS($AO$1006:AU1006),$AO$1006:$BQ$1006,0))&gt;=100000), " ",IF(INDEX($AO$2:$BQ$1001,MATCH(ROWS($AH$2:AH206),$AH$2:$AH$1001,0),MATCH(COLUMNS($AO$1006:AU1006),$AO$1006:$BQ$1006,0)), HYPERLINK("#",""), HYPERLINK(CONCATENATE("#Metadata!", ADDRESS(INDEX($AJ$2:$AJ$1001,MATCH(ROWS($AH$2:AH206),$AH$2:$AH$1001,0),0), INDEX($AO$1004:$BQ$1004,1,MATCH(COLUMNS($AO$1006:AU1006),$AO$1006:$BQ$1006,0)))),"Fix")))</f>
        <v>#N/A</v>
      </c>
      <c r="I206" s="5" t="e">
        <f ca="1">IF(OR(INDEX($AI$2:$AI$1001,MATCH(ROWS($AH$2:AH206),$AH$2:$AH$1001,0),1)&gt;=100000,INDEX($AO$1005:$BQ$1005,1,MATCH(COLUMNS($AO$1006:AV1006),$AO$1006:$BQ$1006,0))&gt;=100000), " ",IF(INDEX($AO$2:$BQ$1001,MATCH(ROWS($AH$2:AH206),$AH$2:$AH$1001,0),MATCH(COLUMNS($AO$1006:AV1006),$AO$1006:$BQ$1006,0)), HYPERLINK("#",""), HYPERLINK(CONCATENATE("#Metadata!", ADDRESS(INDEX($AJ$2:$AJ$1001,MATCH(ROWS($AH$2:AH206),$AH$2:$AH$1001,0),0), INDEX($AO$1004:$BQ$1004,1,MATCH(COLUMNS($AO$1006:AV1006),$AO$1006:$BQ$1006,0)))),"Fix")))</f>
        <v>#N/A</v>
      </c>
      <c r="J206" s="5" t="e">
        <f ca="1">IF(OR(INDEX($AI$2:$AI$1001,MATCH(ROWS($AH$2:AH206),$AH$2:$AH$1001,0),1)&gt;=100000,INDEX($AO$1005:$BQ$1005,1,MATCH(COLUMNS($AO$1006:AW1006),$AO$1006:$BQ$1006,0))&gt;=100000), " ",IF(INDEX($AO$2:$BQ$1001,MATCH(ROWS($AH$2:AH206),$AH$2:$AH$1001,0),MATCH(COLUMNS($AO$1006:AW1006),$AO$1006:$BQ$1006,0)), HYPERLINK("#",""), HYPERLINK(CONCATENATE("#Metadata!", ADDRESS(INDEX($AJ$2:$AJ$1001,MATCH(ROWS($AH$2:AH206),$AH$2:$AH$1001,0),0), INDEX($AO$1004:$BQ$1004,1,MATCH(COLUMNS($AO$1006:AW1006),$AO$1006:$BQ$1006,0)))),"Fix")))</f>
        <v>#N/A</v>
      </c>
      <c r="K206" s="5" t="e">
        <f ca="1">IF(OR(INDEX($AI$2:$AI$1001,MATCH(ROWS($AH$2:AH206),$AH$2:$AH$1001,0),1)&gt;=100000,INDEX($AO$1005:$BQ$1005,1,MATCH(COLUMNS($AO$1006:AX1006),$AO$1006:$BQ$1006,0))&gt;=100000), " ",IF(INDEX($AO$2:$BQ$1001,MATCH(ROWS($AH$2:AH206),$AH$2:$AH$1001,0),MATCH(COLUMNS($AO$1006:AX1006),$AO$1006:$BQ$1006,0)), HYPERLINK("#",""), HYPERLINK(CONCATENATE("#Metadata!", ADDRESS(INDEX($AJ$2:$AJ$1001,MATCH(ROWS($AH$2:AH206),$AH$2:$AH$1001,0),0), INDEX($AO$1004:$BQ$1004,1,MATCH(COLUMNS($AO$1006:AX1006),$AO$1006:$BQ$1006,0)))),"Fix")))</f>
        <v>#N/A</v>
      </c>
      <c r="L206" s="5" t="e">
        <f ca="1">IF(OR(INDEX($AI$2:$AI$1001,MATCH(ROWS($AH$2:AH206),$AH$2:$AH$1001,0),1)&gt;=100000,INDEX($AO$1005:$BQ$1005,1,MATCH(COLUMNS($AO$1006:AY1006),$AO$1006:$BQ$1006,0))&gt;=100000), " ",IF(INDEX($AO$2:$BQ$1001,MATCH(ROWS($AH$2:AH206),$AH$2:$AH$1001,0),MATCH(COLUMNS($AO$1006:AY1006),$AO$1006:$BQ$1006,0)), HYPERLINK("#",""), HYPERLINK(CONCATENATE("#Metadata!", ADDRESS(INDEX($AJ$2:$AJ$1001,MATCH(ROWS($AH$2:AH206),$AH$2:$AH$1001,0),0), INDEX($AO$1004:$BQ$1004,1,MATCH(COLUMNS($AO$1006:AY1006),$AO$1006:$BQ$1006,0)))),"Fix")))</f>
        <v>#N/A</v>
      </c>
      <c r="M206" s="5" t="e">
        <f ca="1">IF(OR(INDEX($AI$2:$AI$1001,MATCH(ROWS($AH$2:AH206),$AH$2:$AH$1001,0),1)&gt;=100000,INDEX($AO$1005:$BQ$1005,1,MATCH(COLUMNS($AO$1006:AZ1006),$AO$1006:$BQ$1006,0))&gt;=100000), " ",IF(INDEX($AO$2:$BQ$1001,MATCH(ROWS($AH$2:AH206),$AH$2:$AH$1001,0),MATCH(COLUMNS($AO$1006:AZ1006),$AO$1006:$BQ$1006,0)), HYPERLINK("#",""), HYPERLINK(CONCATENATE("#Metadata!", ADDRESS(INDEX($AJ$2:$AJ$1001,MATCH(ROWS($AH$2:AH206),$AH$2:$AH$1001,0),0), INDEX($AO$1004:$BQ$1004,1,MATCH(COLUMNS($AO$1006:AZ1006),$AO$1006:$BQ$1006,0)))),"Fix")))</f>
        <v>#N/A</v>
      </c>
      <c r="N206" s="5" t="e">
        <f ca="1">IF(OR(INDEX($AI$2:$AI$1001,MATCH(ROWS($AH$2:AH206),$AH$2:$AH$1001,0),1)&gt;=100000,INDEX($AO$1005:$BQ$1005,1,MATCH(COLUMNS($AO$1006:BA1006),$AO$1006:$BQ$1006,0))&gt;=100000), " ",IF(INDEX($AO$2:$BQ$1001,MATCH(ROWS($AH$2:AH206),$AH$2:$AH$1001,0),MATCH(COLUMNS($AO$1006:BA1006),$AO$1006:$BQ$1006,0)), HYPERLINK("#",""), HYPERLINK(CONCATENATE("#Metadata!", ADDRESS(INDEX($AJ$2:$AJ$1001,MATCH(ROWS($AH$2:AH206),$AH$2:$AH$1001,0),0), INDEX($AO$1004:$BQ$1004,1,MATCH(COLUMNS($AO$1006:BA1006),$AO$1006:$BQ$1006,0)))),"Fix")))</f>
        <v>#N/A</v>
      </c>
      <c r="O206" s="5" t="e">
        <f ca="1">IF(OR(INDEX($AI$2:$AI$1001,MATCH(ROWS($AH$2:AH206),$AH$2:$AH$1001,0),1)&gt;=100000,INDEX($AO$1005:$BQ$1005,1,MATCH(COLUMNS($AO$1006:BB1006),$AO$1006:$BQ$1006,0))&gt;=100000), " ",IF(INDEX($AO$2:$BQ$1001,MATCH(ROWS($AH$2:AH206),$AH$2:$AH$1001,0),MATCH(COLUMNS($AO$1006:BB1006),$AO$1006:$BQ$1006,0)), HYPERLINK("#",""), HYPERLINK(CONCATENATE("#Metadata!", ADDRESS(INDEX($AJ$2:$AJ$1001,MATCH(ROWS($AH$2:AH206),$AH$2:$AH$1001,0),0), INDEX($AO$1004:$BQ$1004,1,MATCH(COLUMNS($AO$1006:BB1006),$AO$1006:$BQ$1006,0)))),"Fix")))</f>
        <v>#N/A</v>
      </c>
      <c r="P206" s="5" t="e">
        <f ca="1">IF(OR(INDEX($AI$2:$AI$1001,MATCH(ROWS($AH$2:AH206),$AH$2:$AH$1001,0),1)&gt;=100000,INDEX($AO$1005:$BQ$1005,1,MATCH(COLUMNS($AO$1006:BC1006),$AO$1006:$BQ$1006,0))&gt;=100000), " ",IF(INDEX($AO$2:$BQ$1001,MATCH(ROWS($AH$2:AH206),$AH$2:$AH$1001,0),MATCH(COLUMNS($AO$1006:BC1006),$AO$1006:$BQ$1006,0)), HYPERLINK("#",""), HYPERLINK(CONCATENATE("#Metadata!", ADDRESS(INDEX($AJ$2:$AJ$1001,MATCH(ROWS($AH$2:AH206),$AH$2:$AH$1001,0),0), INDEX($AO$1004:$BQ$1004,1,MATCH(COLUMNS($AO$1006:BC1006),$AO$1006:$BQ$1006,0)))),"Fix")))</f>
        <v>#N/A</v>
      </c>
      <c r="Q206" s="5" t="e">
        <f ca="1">IF(OR(INDEX($AI$2:$AI$1001,MATCH(ROWS($AH$2:AH206),$AH$2:$AH$1001,0),1)&gt;=100000,INDEX($AO$1005:$BQ$1005,1,MATCH(COLUMNS($AO$1006:BD1006),$AO$1006:$BQ$1006,0))&gt;=100000), " ",IF(INDEX($AO$2:$BQ$1001,MATCH(ROWS($AH$2:AH206),$AH$2:$AH$1001,0),MATCH(COLUMNS($AO$1006:BD1006),$AO$1006:$BQ$1006,0)), HYPERLINK("#",""), HYPERLINK(CONCATENATE("#Metadata!", ADDRESS(INDEX($AJ$2:$AJ$1001,MATCH(ROWS($AH$2:AH206),$AH$2:$AH$1001,0),0), INDEX($AO$1004:$BQ$1004,1,MATCH(COLUMNS($AO$1006:BD1006),$AO$1006:$BQ$1006,0)))),"Fix")))</f>
        <v>#N/A</v>
      </c>
      <c r="R206" s="5" t="e">
        <f ca="1">IF(OR(INDEX($AI$2:$AI$1001,MATCH(ROWS($AH$2:AH206),$AH$2:$AH$1001,0),1)&gt;=100000,INDEX($AO$1005:$BQ$1005,1,MATCH(COLUMNS($AO$1006:BE1006),$AO$1006:$BQ$1006,0))&gt;=100000), " ",IF(INDEX($AO$2:$BQ$1001,MATCH(ROWS($AH$2:AH206),$AH$2:$AH$1001,0),MATCH(COLUMNS($AO$1006:BE1006),$AO$1006:$BQ$1006,0)), HYPERLINK("#",""), HYPERLINK(CONCATENATE("#Metadata!", ADDRESS(INDEX($AJ$2:$AJ$1001,MATCH(ROWS($AH$2:AH206),$AH$2:$AH$1001,0),0), INDEX($AO$1004:$BQ$1004,1,MATCH(COLUMNS($AO$1006:BE1006),$AO$1006:$BQ$1006,0)))),"Fix")))</f>
        <v>#N/A</v>
      </c>
      <c r="S206" s="5" t="e">
        <f ca="1">IF(OR(INDEX($AI$2:$AI$1001,MATCH(ROWS($AH$2:AH206),$AH$2:$AH$1001,0),1)&gt;=100000,INDEX($AO$1005:$BQ$1005,1,MATCH(COLUMNS($AO$1006:BF1006),$AO$1006:$BQ$1006,0))&gt;=100000), " ",IF(INDEX($AO$2:$BQ$1001,MATCH(ROWS($AH$2:AH206),$AH$2:$AH$1001,0),MATCH(COLUMNS($AO$1006:BF1006),$AO$1006:$BQ$1006,0)), HYPERLINK("#",""), HYPERLINK(CONCATENATE("#Metadata!", ADDRESS(INDEX($AJ$2:$AJ$1001,MATCH(ROWS($AH$2:AH206),$AH$2:$AH$1001,0),0), INDEX($AO$1004:$BQ$1004,1,MATCH(COLUMNS($AO$1006:BF1006),$AO$1006:$BQ$1006,0)))),"Fix")))</f>
        <v>#N/A</v>
      </c>
      <c r="T206" s="5" t="e">
        <f ca="1">IF(OR(INDEX($AI$2:$AI$1001,MATCH(ROWS($AH$2:AH206),$AH$2:$AH$1001,0),1)&gt;=100000,INDEX($AO$1005:$BQ$1005,1,MATCH(COLUMNS($AO$1006:BG1006),$AO$1006:$BQ$1006,0))&gt;=100000), " ",IF(INDEX($AO$2:$BQ$1001,MATCH(ROWS($AH$2:AH206),$AH$2:$AH$1001,0),MATCH(COLUMNS($AO$1006:BG1006),$AO$1006:$BQ$1006,0)), HYPERLINK("#",""), HYPERLINK(CONCATENATE("#Metadata!", ADDRESS(INDEX($AJ$2:$AJ$1001,MATCH(ROWS($AH$2:AH206),$AH$2:$AH$1001,0),0), INDEX($AO$1004:$BQ$1004,1,MATCH(COLUMNS($AO$1006:BG1006),$AO$1006:$BQ$1006,0)))),"Fix")))</f>
        <v>#N/A</v>
      </c>
      <c r="U206" s="5" t="e">
        <f ca="1">IF(OR(INDEX($AI$2:$AI$1001,MATCH(ROWS($AH$2:AH206),$AH$2:$AH$1001,0),1)&gt;=100000,INDEX($AO$1005:$BQ$1005,1,MATCH(COLUMNS($AO$1006:BH1006),$AO$1006:$BQ$1006,0))&gt;=100000), " ",IF(INDEX($AO$2:$BQ$1001,MATCH(ROWS($AH$2:AH206),$AH$2:$AH$1001,0),MATCH(COLUMNS($AO$1006:BH1006),$AO$1006:$BQ$1006,0)), HYPERLINK("#",""), HYPERLINK(CONCATENATE("#Metadata!", ADDRESS(INDEX($AJ$2:$AJ$1001,MATCH(ROWS($AH$2:AH206),$AH$2:$AH$1001,0),0), INDEX($AO$1004:$BQ$1004,1,MATCH(COLUMNS($AO$1006:BH1006),$AO$1006:$BQ$1006,0)))),"Fix")))</f>
        <v>#N/A</v>
      </c>
      <c r="V206" s="5" t="e">
        <f ca="1">IF(OR(INDEX($AI$2:$AI$1001,MATCH(ROWS($AH$2:AH206),$AH$2:$AH$1001,0),1)&gt;=100000,INDEX($AO$1005:$BQ$1005,1,MATCH(COLUMNS($AO$1006:BI1006),$AO$1006:$BQ$1006,0))&gt;=100000), " ",IF(INDEX($AO$2:$BQ$1001,MATCH(ROWS($AH$2:AH206),$AH$2:$AH$1001,0),MATCH(COLUMNS($AO$1006:BI1006),$AO$1006:$BQ$1006,0)), HYPERLINK("#",""), HYPERLINK(CONCATENATE("#Metadata!", ADDRESS(INDEX($AJ$2:$AJ$1001,MATCH(ROWS($AH$2:AH206),$AH$2:$AH$1001,0),0), INDEX($AO$1004:$BQ$1004,1,MATCH(COLUMNS($AO$1006:BI1006),$AO$1006:$BQ$1006,0)))),"Fix")))</f>
        <v>#N/A</v>
      </c>
      <c r="W206" s="5" t="e">
        <f ca="1">IF(OR(INDEX($AI$2:$AI$1001,MATCH(ROWS($AH$2:AH206),$AH$2:$AH$1001,0),1)&gt;=100000,INDEX($AO$1005:$BQ$1005,1,MATCH(COLUMNS($AO$1006:BJ1006),$AO$1006:$BQ$1006,0))&gt;=100000), " ",IF(INDEX($AO$2:$BQ$1001,MATCH(ROWS($AH$2:AH206),$AH$2:$AH$1001,0),MATCH(COLUMNS($AO$1006:BJ1006),$AO$1006:$BQ$1006,0)), HYPERLINK("#",""), HYPERLINK(CONCATENATE("#Metadata!", ADDRESS(INDEX($AJ$2:$AJ$1001,MATCH(ROWS($AH$2:AH206),$AH$2:$AH$1001,0),0), INDEX($AO$1004:$BQ$1004,1,MATCH(COLUMNS($AO$1006:BJ1006),$AO$1006:$BQ$1006,0)))),"Fix")))</f>
        <v>#N/A</v>
      </c>
      <c r="X206" s="5" t="e">
        <f ca="1">IF(OR(INDEX($AI$2:$AI$1001,MATCH(ROWS($AH$2:AH206),$AH$2:$AH$1001,0),1)&gt;=100000,INDEX($AO$1005:$BQ$1005,1,MATCH(COLUMNS($AO$1006:BK1006),$AO$1006:$BQ$1006,0))&gt;=100000), " ",IF(INDEX($AO$2:$BQ$1001,MATCH(ROWS($AH$2:AH206),$AH$2:$AH$1001,0),MATCH(COLUMNS($AO$1006:BK1006),$AO$1006:$BQ$1006,0)), HYPERLINK("#",""), HYPERLINK(CONCATENATE("#Metadata!", ADDRESS(INDEX($AJ$2:$AJ$1001,MATCH(ROWS($AH$2:AH206),$AH$2:$AH$1001,0),0), INDEX($AO$1004:$BQ$1004,1,MATCH(COLUMNS($AO$1006:BK1006),$AO$1006:$BQ$1006,0)))),"Fix")))</f>
        <v>#N/A</v>
      </c>
      <c r="Y206" s="5" t="e">
        <f ca="1">IF(OR(INDEX($AI$2:$AI$1001,MATCH(ROWS($AH$2:AH206),$AH$2:$AH$1001,0),1)&gt;=100000,INDEX($AO$1005:$BQ$1005,1,MATCH(COLUMNS($AO$1006:BL1006),$AO$1006:$BQ$1006,0))&gt;=100000), " ",IF(INDEX($AO$2:$BQ$1001,MATCH(ROWS($AH$2:AH206),$AH$2:$AH$1001,0),MATCH(COLUMNS($AO$1006:BL1006),$AO$1006:$BQ$1006,0)), HYPERLINK("#",""), HYPERLINK(CONCATENATE("#Metadata!", ADDRESS(INDEX($AJ$2:$AJ$1001,MATCH(ROWS($AH$2:AH206),$AH$2:$AH$1001,0),0), INDEX($AO$1004:$BQ$1004,1,MATCH(COLUMNS($AO$1006:BL1006),$AO$1006:$BQ$1006,0)))),"Fix")))</f>
        <v>#N/A</v>
      </c>
      <c r="Z206" s="5" t="e">
        <f ca="1">IF(OR(INDEX($AI$2:$AI$1001,MATCH(ROWS($AH$2:AH206),$AH$2:$AH$1001,0),1)&gt;=100000,INDEX($AO$1005:$BQ$1005,1,MATCH(COLUMNS($AO$1006:BM1006),$AO$1006:$BQ$1006,0))&gt;=100000), " ",IF(INDEX($AO$2:$BQ$1001,MATCH(ROWS($AH$2:AH206),$AH$2:$AH$1001,0),MATCH(COLUMNS($AO$1006:BM1006),$AO$1006:$BQ$1006,0)), HYPERLINK("#",""), HYPERLINK(CONCATENATE("#Metadata!", ADDRESS(INDEX($AJ$2:$AJ$1001,MATCH(ROWS($AH$2:AH206),$AH$2:$AH$1001,0),0), INDEX($AO$1004:$BQ$1004,1,MATCH(COLUMNS($AO$1006:BM1006),$AO$1006:$BQ$1006,0)))),"Fix")))</f>
        <v>#N/A</v>
      </c>
      <c r="AA206" s="5" t="e">
        <f ca="1">IF(OR(INDEX($AI$2:$AI$1001,MATCH(ROWS($AH$2:AH206),$AH$2:$AH$1001,0),1)&gt;=100000,INDEX($AO$1005:$BQ$1005,1,MATCH(COLUMNS($AO$1006:BN1006),$AO$1006:$BQ$1006,0))&gt;=100000), " ",IF(INDEX($AO$2:$BQ$1001,MATCH(ROWS($AH$2:AH206),$AH$2:$AH$1001,0),MATCH(COLUMNS($AO$1006:BN1006),$AO$1006:$BQ$1006,0)), HYPERLINK("#",""), HYPERLINK(CONCATENATE("#Metadata!", ADDRESS(INDEX($AJ$2:$AJ$1001,MATCH(ROWS($AH$2:AH206),$AH$2:$AH$1001,0),0), INDEX($AO$1004:$BQ$1004,1,MATCH(COLUMNS($AO$1006:BN1006),$AO$1006:$BQ$1006,0)))),"Fix")))</f>
        <v>#N/A</v>
      </c>
      <c r="AB206" s="5" t="e">
        <f ca="1">IF(OR(INDEX($AI$2:$AI$1001,MATCH(ROWS($AH$2:AH206),$AH$2:$AH$1001,0),1)&gt;=100000,INDEX($AO$1005:$BQ$1005,1,MATCH(COLUMNS($AO$1006:BO1006),$AO$1006:$BQ$1006,0))&gt;=100000), " ",IF(INDEX($AO$2:$BQ$1001,MATCH(ROWS($AH$2:AH206),$AH$2:$AH$1001,0),MATCH(COLUMNS($AO$1006:BO1006),$AO$1006:$BQ$1006,0)), HYPERLINK("#",""), HYPERLINK(CONCATENATE("#Metadata!", ADDRESS(INDEX($AJ$2:$AJ$1001,MATCH(ROWS($AH$2:AH206),$AH$2:$AH$1001,0),0), INDEX($AO$1004:$BQ$1004,1,MATCH(COLUMNS($AO$1006:BO1006),$AO$1006:$BQ$1006,0)))),"Fix")))</f>
        <v>#N/A</v>
      </c>
      <c r="AC206" s="5" t="e">
        <f ca="1">IF(OR(INDEX($AI$2:$AI$1001,MATCH(ROWS($AH$2:AH206),$AH$2:$AH$1001,0),1)&gt;=100000,INDEX($AO$1005:$BQ$1005,1,MATCH(COLUMNS($AO$1006:BP1006),$AO$1006:$BQ$1006,0))&gt;=100000), " ",IF(INDEX($AO$2:$BQ$1001,MATCH(ROWS($AH$2:AH206),$AH$2:$AH$1001,0),MATCH(COLUMNS($AO$1006:BP1006),$AO$1006:$BQ$1006,0)), HYPERLINK("#",""), HYPERLINK(CONCATENATE("#Metadata!", ADDRESS(INDEX($AJ$2:$AJ$1001,MATCH(ROWS($AH$2:AH206),$AH$2:$AH$1001,0),0), INDEX($AO$1004:$BQ$1004,1,MATCH(COLUMNS($AO$1006:BP1006),$AO$1006:$BQ$1006,0)))),"Fix")))</f>
        <v>#N/A</v>
      </c>
      <c r="AD206" s="5" t="e">
        <f ca="1">IF(OR(INDEX($AI$2:$AI$1001,MATCH(ROWS($AH$2:AH206),$AH$2:$AH$1001,0),1)&gt;=100000,INDEX($AO$1005:$BQ$1005,1,MATCH(COLUMNS($AO$1006:BQ1006),$AO$1006:$BQ$1006,0))&gt;=100000), " ",IF(INDEX($AO$2:$BQ$1001,MATCH(ROWS($AH$2:AH206),$AH$2:$AH$1001,0),MATCH(COLUMNS($AO$1006:BQ1006),$AO$1006:$BQ$1006,0)), HYPERLINK("#",""), HYPERLINK(CONCATENATE("#Metadata!", ADDRESS(INDEX($AJ$2:$AJ$1001,MATCH(ROWS($AH$2:AH206),$AH$2:$AH$1001,0),0), INDEX($AO$1004:$BQ$1004,1,MATCH(COLUMNS($AO$1006:BQ1006),$AO$1006:$BQ$1006,0)))),"Fix")))</f>
        <v>#REF!</v>
      </c>
      <c r="AH206">
        <f ca="1"/>
        <v>203</v>
      </c>
      <c r="AI206">
        <v>100206</v>
      </c>
      <c r="AJ206">
        <v>206</v>
      </c>
      <c r="AK206" t="b">
        <f t="shared" si="3"/>
        <v>1</v>
      </c>
      <c r="AL206" t="b">
        <f>COUNTBLANK(Metadata!B206:AD206)=COLUMNS(Metadata!B206:AD206)</f>
        <v>1</v>
      </c>
      <c r="AM206" t="str">
        <v/>
      </c>
      <c r="AO206" t="b">
        <f ca="1">AND(IF(Metadata!B206="",FALSE,TRUE),COUNTIF(Metadata!B:B, Metadata!B206) = 1,NOT(ISERROR(SUMPRODUCT(SEARCH(MID(Metadata!B206,ROW(INDIRECT("1:"&amp;LEN(Metadata!B206))), 1),"0123456789abcdefghijklmnopqrstuvwxyzABCDEFGHIJKLMNOPQRSTUVWXYZ.")))))</f>
        <v>0</v>
      </c>
      <c r="AP206" t="b">
        <f>IF(Metadata!C206="",FALSE,TRUE)</f>
        <v>0</v>
      </c>
      <c r="AQ206" t="b">
        <f>IF(Metadata!D206="",FALSE,TRUE)</f>
        <v>0</v>
      </c>
      <c r="AR206" t="b">
        <f ca="1">OR(AND(IF(Metadata!E206="",FALSE,TRUE),OR(EXACT(Metadata!E206,"not collected"),EXACT(Metadata!E206,"not provided"),EXACT(Metadata!E206,"restricted access"))),AND(IF(Metadata!E206="",FALSE,TRUE),AND(AND(IFERROR(INT(LEFT(Metadata!E206,4))&gt;1900,FALSE),IFERROR(INT(LEFT(Metadata!E206,4))&lt;=YEAR(NOW()),FALSE)), OR(MID(Metadata!E206,5,1)="", AND(AND(MID(Metadata!E206,5,1)="-",IFERROR(INT(MID(Metadata!E206,6,1))&gt;=0,FALSE),IFERROR(INT(MID(Metadata!E206,6,1))&lt;=1,FALSE),NOT(MID(Metadata!E206,7,1)=""),IFERROR(INT(MID(Metadata!E206,6,2))&gt;=1,FALSE),IFERROR(INT(MID(Metadata!E206,6,2))&lt;=12,FALSE)), OR(MID(Metadata!E206,8,1)="", AND(AND(MID(Metadata!E206,8,1)="-",IFERROR(INT(MID(Metadata!E206,9,1))&gt;=0,FALSE),IFERROR(INT(MID(Metadata!E206,9,1))&lt;=3,FALSE),NOT(MID(Metadata!E206,10,1)=""),IFERROR(INT(MID(Metadata!E206,9,2))&gt;=1,FALSE),IFERROR(INT(MID(Metadata!E206,9,2))&lt;=31,FALSE)), OR(MID(Metadata!E206,11,1)="", AND(AND(MID(Metadata!E206,11,1)=" ",IFERROR(INT(MID(Metadata!E206,12,1))&gt;=0,FALSE),IFERROR(INT(MID(Metadata!E206,12,1))&lt;=2,FALSE),NOT(MID(Metadata!E206,13,1)=""),IFERROR(INT(MID(Metadata!E206,12,2))&gt;=0,FALSE),IFERROR(INT(MID(Metadata!E206,12,2))&lt;=23,FALSE)), OR(MID(Metadata!E206,14,1)="", AND(AND(MID(Metadata!E206,14,1)=":",IFERROR(INT(MID(Metadata!E206,15,1))&gt;=0,FALSE),IFERROR(INT(MID(Metadata!E206,15,1))&lt;=5,FALSE),NOT(MID(Metadata!E206,16,1)=""),IFERROR(INT(MID(Metadata!E206,15,2))&gt;=0,FALSE),IFERROR(INT(MID(Metadata!E206,15,2))&lt;=59,FALSE)), OR(MID(Metadata!E206,17,1)="", AND(AND(MID(Metadata!E206,17,1)=":",IFERROR(INT(MID(Metadata!E206,18,1))&gt;=0,FALSE),IFERROR(INT(MID(Metadata!E206,18,1))&lt;=5,FALSE),NOT(MID(Metadata!E206,19,1)=""),IFERROR(INT(MID(Metadata!E206,18,2))&gt;=0,FALSE),IFERROR(INT(MID(Metadata!E206,18,2))&lt;=59,FALSE)), LEN(Metadata!E206)&lt;=19)))))))))))))</f>
        <v>0</v>
      </c>
      <c r="AS206" t="b">
        <f>IF(Metadata!F206="",FALSE,TRUE)</f>
        <v>0</v>
      </c>
      <c r="AT206" t="b">
        <f>OR(AND(IF(Metadata!G206="",FALSE,TRUE),OR(EXACT(Metadata!G206,"not collected"),EXACT(Metadata!G206,"not provided"))),AND(IF(Metadata!G206="",FALSE,TRUE),OR(EXACT(Metadata!G206,"TRUE"),EXACT(Metadata!G206,"FALSE"))))</f>
        <v>0</v>
      </c>
      <c r="AU206" t="b">
        <f>OR(AND(IF(Metadata!H206="",FALSE,TRUE),OR(EXACT(Metadata!H206,"not collected"),EXACT(Metadata!H206,"not provided"),EXACT(Metadata!H206,"restricted access"))),AND(IF(Metadata!H206="",FALSE,ISNUMBER(VALUE(Metadata!H206))),Metadata!H206&gt;=-413))</f>
        <v>0</v>
      </c>
      <c r="AV206" t="b">
        <f>AND(IF(Metadata!I206="",FALSE,TRUE),EXACT(Metadata!I206,"meters"))</f>
        <v>0</v>
      </c>
      <c r="AW206" t="b">
        <f>AND(IF(Metadata!J206="",FALSE,TRUE),EXACT(Metadata!J206,"free-living"))</f>
        <v>0</v>
      </c>
      <c r="AX206" t="b">
        <f>AND(IF(Metadata!K206="",FALSE,TRUE),OR(EXACT(Metadata!K206,"saline"),EXACT(Metadata!K206,"non-saline")))</f>
        <v>0</v>
      </c>
      <c r="AY206" t="b">
        <f>AND(IF(Metadata!L206="",FALSE,TRUE),OR(EXACT(Metadata!L206,"sub-surface (non-saline)"),EXACT(Metadata!L206,"surface (non-saline)"),EXACT(Metadata!L206,"water (non-saline)"),EXACT(Metadata!L206,"soil (non-saline)"),EXACT(Metadata!L206,"aerosol (non-saline)"),EXACT(Metadata!L206,"sediment (non-saline)"),EXACT(Metadata!L206,"surface (saline)"),EXACT(Metadata!L206,"water (saline)"),EXACT(Metadata!L206,"hypersaline (saline)"),EXACT(Metadata!L206,"aerosol (saline)"),EXACT(Metadata!L206,"sediment (saline)")))</f>
        <v>0</v>
      </c>
      <c r="AZ206" t="b">
        <f>IF(Metadata!M206="",FALSE,TRUE)</f>
        <v>0</v>
      </c>
      <c r="BA206" t="b">
        <f>IF(Metadata!N206="",FALSE,TRUE)</f>
        <v>0</v>
      </c>
      <c r="BB206" t="b">
        <f>IF(Metadata!O206="",FALSE,TRUE)</f>
        <v>0</v>
      </c>
      <c r="BC206" t="b">
        <f>AND(IF(Metadata!P206="",FALSE,TRUE),OR(EXACT(Metadata!P206,"air"),EXACT(Metadata!P206,"microbial mat/biofilm"),EXACT(Metadata!P206,"misc environment"),EXACT(Metadata!P206,"sediment"),EXACT(Metadata!P206,"soil"),EXACT(Metadata!P206,"wastewater/sludge"),EXACT(Metadata!P206,"water")))</f>
        <v>0</v>
      </c>
      <c r="BD206" t="b">
        <f>IF(Metadata!Q206="",FALSE,TRUE)</f>
        <v>0</v>
      </c>
      <c r="BE206" t="b">
        <f>IF(Metadata!R206="",FALSE,TRUE)</f>
        <v>0</v>
      </c>
      <c r="BF206" t="b">
        <f>OR(AND(IF(Metadata!S206="",FALSE,TRUE),OR(EXACT(Metadata!S206,"not collected"),EXACT(Metadata!S206,"not provided"),EXACT(Metadata!S206,"restricted access"))),AND(IF(Metadata!S206="",FALSE,ISNUMBER(VALUE(Metadata!S206))),Metadata!S206&gt;=-90,Metadata!S206&lt;=90))</f>
        <v>0</v>
      </c>
      <c r="BG206" t="b">
        <f>AND(IF(Metadata!T206="",FALSE,TRUE),EXACT(Metadata!T206,"Decimal degrees"))</f>
        <v>0</v>
      </c>
      <c r="BH206" t="b">
        <f>OR(AND(IF(Metadata!U206="",FALSE,TRUE),OR(EXACT(Metadata!U206,"not applicable"),EXACT(Metadata!U206,"not collected"))),IF(Metadata!U206="",FALSE,TRUE))</f>
        <v>0</v>
      </c>
      <c r="BI206" t="b">
        <f>OR(AND(IF(Metadata!V206="",FALSE,TRUE),OR(EXACT(Metadata!V206,"not collected"),EXACT(Metadata!V206,"not provided"),EXACT(Metadata!V206,"restricted access"))),AND(IF(Metadata!V206="",FALSE,ISNUMBER(VALUE(Metadata!V206))),Metadata!V206&gt;=-180,Metadata!V206&lt;=180))</f>
        <v>0</v>
      </c>
      <c r="BJ206" t="b">
        <f>AND(IF(Metadata!W206="",FALSE,TRUE),EXACT(Metadata!W206,"Decimal degrees"))</f>
        <v>0</v>
      </c>
      <c r="BK206" t="b">
        <f>IF(Metadata!X206="",FALSE,TRUE)</f>
        <v>0</v>
      </c>
      <c r="BL206" t="b">
        <f>OR(AND(IF(Metadata!Y206="",FALSE,TRUE),OR(EXACT(Metadata!Y206,"not collected"),EXACT(Metadata!Y206,"not provided"),EXACT(Metadata!Y206,"restricted access"))),AND(IF(Metadata!Y206="",FALSE,TRUE),OR(EXACT(Metadata!Y206,"TRUE"),EXACT(Metadata!Y206,"FALSE"))))</f>
        <v>0</v>
      </c>
      <c r="BM206" t="b">
        <f>OR(AND(IF(Metadata!Z206="",FALSE,TRUE),EXACT(Metadata!Z206,"not applicable")),AND(IF(Metadata!Z206="",FALSE,TRUE),OR(EXACT(Metadata!Z206,"beer"),EXACT(Metadata!Z206,"cheese"),EXACT(Metadata!Z206,"fresh water"),EXACT(Metadata!Z206,"marine sediment"),EXACT(Metadata!Z206,"sea water"),EXACT(Metadata!Z206,"sediment"),EXACT(Metadata!Z206,"soil"),EXACT(Metadata!Z206,"waste water"))))</f>
        <v>0</v>
      </c>
      <c r="BN206" t="b">
        <f>AND(IF(Metadata!AA206="",FALSE,TRUE),EXACT(Metadata!AA206,"metagenome"))</f>
        <v>0</v>
      </c>
      <c r="BO206" t="b">
        <f>AND(IF(Metadata!AB206="",FALSE,TRUE),EXACT(Metadata!AB206,"256318"))</f>
        <v>0</v>
      </c>
      <c r="BP206" t="b">
        <f>IF(Metadata!AC206="",FALSE,TRUE)</f>
        <v>0</v>
      </c>
      <c r="BQ206" t="b">
        <f>IF(Metadata!AD206="",FALSE,TRUE)</f>
        <v>0</v>
      </c>
    </row>
    <row r="207" spans="1:69" x14ac:dyDescent="0.2">
      <c r="A207" s="4" t="e">
        <f ca="1">IF(B207=" "," ",HYPERLINK(CONCATENATE("#metadata!",ADDRESS(INDEX($AJ$2:$AJ$1001,MATCH(ROWS($AH$2:AH207),$AH$2:$AH$1001,0),0),2)),INDEX($AM$2:$AM$1001,MATCH(ROWS($AH$2:AH207),$AH$2:$AH$1001,0),0)))</f>
        <v>#N/A</v>
      </c>
      <c r="B207" s="5" t="e">
        <f ca="1">IF(OR(INDEX($AI$2:$AI$1001,MATCH(ROWS($AH$2:AH207),$AH$2:$AH$1001,0),1)&gt;=100000,INDEX($AO$1005:$BQ$1005,1,MATCH(COLUMNS($AO$1006:AO1006),$AO$1006:$BQ$1006,0))&gt;=100000), " ",IF(INDEX($AO$2:$BQ$1001,MATCH(ROWS($AH$2:AH207),$AH$2:$AH$1001,0),MATCH(COLUMNS($AO$1006:AO1006),$AO$1006:$BQ$1006,0)), HYPERLINK("#",""), HYPERLINK(CONCATENATE("#Metadata!", ADDRESS(INDEX($AJ$2:$AJ$1001,MATCH(ROWS($AH$2:AH207),$AH$2:$AH$1001,0),0), INDEX($AO$1004:$BQ$1004,1,MATCH(COLUMNS($AO$1006:AO1006),$AO$1006:$BQ$1006,0)))),"Fix")))</f>
        <v>#N/A</v>
      </c>
      <c r="C207" s="5" t="e">
        <f ca="1">IF(OR(INDEX($AI$2:$AI$1001,MATCH(ROWS($AH$2:AH207),$AH$2:$AH$1001,0),1)&gt;=100000,INDEX($AO$1005:$BQ$1005,1,MATCH(COLUMNS($AO$1006:AP1006),$AO$1006:$BQ$1006,0))&gt;=100000), " ",IF(INDEX($AO$2:$BQ$1001,MATCH(ROWS($AH$2:AH207),$AH$2:$AH$1001,0),MATCH(COLUMNS($AO$1006:AP1006),$AO$1006:$BQ$1006,0)), HYPERLINK("#",""), HYPERLINK(CONCATENATE("#Metadata!", ADDRESS(INDEX($AJ$2:$AJ$1001,MATCH(ROWS($AH$2:AH207),$AH$2:$AH$1001,0),0), INDEX($AO$1004:$BQ$1004,1,MATCH(COLUMNS($AO$1006:AP1006),$AO$1006:$BQ$1006,0)))),"Fix")))</f>
        <v>#N/A</v>
      </c>
      <c r="D207" s="5" t="e">
        <f ca="1">IF(OR(INDEX($AI$2:$AI$1001,MATCH(ROWS($AH$2:AH207),$AH$2:$AH$1001,0),1)&gt;=100000,INDEX($AO$1005:$BQ$1005,1,MATCH(COLUMNS($AO$1006:AQ1006),$AO$1006:$BQ$1006,0))&gt;=100000), " ",IF(INDEX($AO$2:$BQ$1001,MATCH(ROWS($AH$2:AH207),$AH$2:$AH$1001,0),MATCH(COLUMNS($AO$1006:AQ1006),$AO$1006:$BQ$1006,0)), HYPERLINK("#",""), HYPERLINK(CONCATENATE("#Metadata!", ADDRESS(INDEX($AJ$2:$AJ$1001,MATCH(ROWS($AH$2:AH207),$AH$2:$AH$1001,0),0), INDEX($AO$1004:$BQ$1004,1,MATCH(COLUMNS($AO$1006:AQ1006),$AO$1006:$BQ$1006,0)))),"Fix")))</f>
        <v>#N/A</v>
      </c>
      <c r="E207" s="5" t="e">
        <f ca="1">IF(OR(INDEX($AI$2:$AI$1001,MATCH(ROWS($AH$2:AH207),$AH$2:$AH$1001,0),1)&gt;=100000,INDEX($AO$1005:$BQ$1005,1,MATCH(COLUMNS($AO$1006:AR1006),$AO$1006:$BQ$1006,0))&gt;=100000), " ",IF(INDEX($AO$2:$BQ$1001,MATCH(ROWS($AH$2:AH207),$AH$2:$AH$1001,0),MATCH(COLUMNS($AO$1006:AR1006),$AO$1006:$BQ$1006,0)), HYPERLINK("#",""), HYPERLINK(CONCATENATE("#Metadata!", ADDRESS(INDEX($AJ$2:$AJ$1001,MATCH(ROWS($AH$2:AH207),$AH$2:$AH$1001,0),0), INDEX($AO$1004:$BQ$1004,1,MATCH(COLUMNS($AO$1006:AR1006),$AO$1006:$BQ$1006,0)))),"Fix")))</f>
        <v>#N/A</v>
      </c>
      <c r="F207" s="5" t="e">
        <f ca="1">IF(OR(INDEX($AI$2:$AI$1001,MATCH(ROWS($AH$2:AH207),$AH$2:$AH$1001,0),1)&gt;=100000,INDEX($AO$1005:$BQ$1005,1,MATCH(COLUMNS($AO$1006:AS1006),$AO$1006:$BQ$1006,0))&gt;=100000), " ",IF(INDEX($AO$2:$BQ$1001,MATCH(ROWS($AH$2:AH207),$AH$2:$AH$1001,0),MATCH(COLUMNS($AO$1006:AS1006),$AO$1006:$BQ$1006,0)), HYPERLINK("#",""), HYPERLINK(CONCATENATE("#Metadata!", ADDRESS(INDEX($AJ$2:$AJ$1001,MATCH(ROWS($AH$2:AH207),$AH$2:$AH$1001,0),0), INDEX($AO$1004:$BQ$1004,1,MATCH(COLUMNS($AO$1006:AS1006),$AO$1006:$BQ$1006,0)))),"Fix")))</f>
        <v>#N/A</v>
      </c>
      <c r="G207" s="5" t="e">
        <f ca="1">IF(OR(INDEX($AI$2:$AI$1001,MATCH(ROWS($AH$2:AH207),$AH$2:$AH$1001,0),1)&gt;=100000,INDEX($AO$1005:$BQ$1005,1,MATCH(COLUMNS($AO$1006:AT1006),$AO$1006:$BQ$1006,0))&gt;=100000), " ",IF(INDEX($AO$2:$BQ$1001,MATCH(ROWS($AH$2:AH207),$AH$2:$AH$1001,0),MATCH(COLUMNS($AO$1006:AT1006),$AO$1006:$BQ$1006,0)), HYPERLINK("#",""), HYPERLINK(CONCATENATE("#Metadata!", ADDRESS(INDEX($AJ$2:$AJ$1001,MATCH(ROWS($AH$2:AH207),$AH$2:$AH$1001,0),0), INDEX($AO$1004:$BQ$1004,1,MATCH(COLUMNS($AO$1006:AT1006),$AO$1006:$BQ$1006,0)))),"Fix")))</f>
        <v>#N/A</v>
      </c>
      <c r="H207" s="5" t="e">
        <f ca="1">IF(OR(INDEX($AI$2:$AI$1001,MATCH(ROWS($AH$2:AH207),$AH$2:$AH$1001,0),1)&gt;=100000,INDEX($AO$1005:$BQ$1005,1,MATCH(COLUMNS($AO$1006:AU1006),$AO$1006:$BQ$1006,0))&gt;=100000), " ",IF(INDEX($AO$2:$BQ$1001,MATCH(ROWS($AH$2:AH207),$AH$2:$AH$1001,0),MATCH(COLUMNS($AO$1006:AU1006),$AO$1006:$BQ$1006,0)), HYPERLINK("#",""), HYPERLINK(CONCATENATE("#Metadata!", ADDRESS(INDEX($AJ$2:$AJ$1001,MATCH(ROWS($AH$2:AH207),$AH$2:$AH$1001,0),0), INDEX($AO$1004:$BQ$1004,1,MATCH(COLUMNS($AO$1006:AU1006),$AO$1006:$BQ$1006,0)))),"Fix")))</f>
        <v>#N/A</v>
      </c>
      <c r="I207" s="5" t="e">
        <f ca="1">IF(OR(INDEX($AI$2:$AI$1001,MATCH(ROWS($AH$2:AH207),$AH$2:$AH$1001,0),1)&gt;=100000,INDEX($AO$1005:$BQ$1005,1,MATCH(COLUMNS($AO$1006:AV1006),$AO$1006:$BQ$1006,0))&gt;=100000), " ",IF(INDEX($AO$2:$BQ$1001,MATCH(ROWS($AH$2:AH207),$AH$2:$AH$1001,0),MATCH(COLUMNS($AO$1006:AV1006),$AO$1006:$BQ$1006,0)), HYPERLINK("#",""), HYPERLINK(CONCATENATE("#Metadata!", ADDRESS(INDEX($AJ$2:$AJ$1001,MATCH(ROWS($AH$2:AH207),$AH$2:$AH$1001,0),0), INDEX($AO$1004:$BQ$1004,1,MATCH(COLUMNS($AO$1006:AV1006),$AO$1006:$BQ$1006,0)))),"Fix")))</f>
        <v>#N/A</v>
      </c>
      <c r="J207" s="5" t="e">
        <f ca="1">IF(OR(INDEX($AI$2:$AI$1001,MATCH(ROWS($AH$2:AH207),$AH$2:$AH$1001,0),1)&gt;=100000,INDEX($AO$1005:$BQ$1005,1,MATCH(COLUMNS($AO$1006:AW1006),$AO$1006:$BQ$1006,0))&gt;=100000), " ",IF(INDEX($AO$2:$BQ$1001,MATCH(ROWS($AH$2:AH207),$AH$2:$AH$1001,0),MATCH(COLUMNS($AO$1006:AW1006),$AO$1006:$BQ$1006,0)), HYPERLINK("#",""), HYPERLINK(CONCATENATE("#Metadata!", ADDRESS(INDEX($AJ$2:$AJ$1001,MATCH(ROWS($AH$2:AH207),$AH$2:$AH$1001,0),0), INDEX($AO$1004:$BQ$1004,1,MATCH(COLUMNS($AO$1006:AW1006),$AO$1006:$BQ$1006,0)))),"Fix")))</f>
        <v>#N/A</v>
      </c>
      <c r="K207" s="5" t="e">
        <f ca="1">IF(OR(INDEX($AI$2:$AI$1001,MATCH(ROWS($AH$2:AH207),$AH$2:$AH$1001,0),1)&gt;=100000,INDEX($AO$1005:$BQ$1005,1,MATCH(COLUMNS($AO$1006:AX1006),$AO$1006:$BQ$1006,0))&gt;=100000), " ",IF(INDEX($AO$2:$BQ$1001,MATCH(ROWS($AH$2:AH207),$AH$2:$AH$1001,0),MATCH(COLUMNS($AO$1006:AX1006),$AO$1006:$BQ$1006,0)), HYPERLINK("#",""), HYPERLINK(CONCATENATE("#Metadata!", ADDRESS(INDEX($AJ$2:$AJ$1001,MATCH(ROWS($AH$2:AH207),$AH$2:$AH$1001,0),0), INDEX($AO$1004:$BQ$1004,1,MATCH(COLUMNS($AO$1006:AX1006),$AO$1006:$BQ$1006,0)))),"Fix")))</f>
        <v>#N/A</v>
      </c>
      <c r="L207" s="5" t="e">
        <f ca="1">IF(OR(INDEX($AI$2:$AI$1001,MATCH(ROWS($AH$2:AH207),$AH$2:$AH$1001,0),1)&gt;=100000,INDEX($AO$1005:$BQ$1005,1,MATCH(COLUMNS($AO$1006:AY1006),$AO$1006:$BQ$1006,0))&gt;=100000), " ",IF(INDEX($AO$2:$BQ$1001,MATCH(ROWS($AH$2:AH207),$AH$2:$AH$1001,0),MATCH(COLUMNS($AO$1006:AY1006),$AO$1006:$BQ$1006,0)), HYPERLINK("#",""), HYPERLINK(CONCATENATE("#Metadata!", ADDRESS(INDEX($AJ$2:$AJ$1001,MATCH(ROWS($AH$2:AH207),$AH$2:$AH$1001,0),0), INDEX($AO$1004:$BQ$1004,1,MATCH(COLUMNS($AO$1006:AY1006),$AO$1006:$BQ$1006,0)))),"Fix")))</f>
        <v>#N/A</v>
      </c>
      <c r="M207" s="5" t="e">
        <f ca="1">IF(OR(INDEX($AI$2:$AI$1001,MATCH(ROWS($AH$2:AH207),$AH$2:$AH$1001,0),1)&gt;=100000,INDEX($AO$1005:$BQ$1005,1,MATCH(COLUMNS($AO$1006:AZ1006),$AO$1006:$BQ$1006,0))&gt;=100000), " ",IF(INDEX($AO$2:$BQ$1001,MATCH(ROWS($AH$2:AH207),$AH$2:$AH$1001,0),MATCH(COLUMNS($AO$1006:AZ1006),$AO$1006:$BQ$1006,0)), HYPERLINK("#",""), HYPERLINK(CONCATENATE("#Metadata!", ADDRESS(INDEX($AJ$2:$AJ$1001,MATCH(ROWS($AH$2:AH207),$AH$2:$AH$1001,0),0), INDEX($AO$1004:$BQ$1004,1,MATCH(COLUMNS($AO$1006:AZ1006),$AO$1006:$BQ$1006,0)))),"Fix")))</f>
        <v>#N/A</v>
      </c>
      <c r="N207" s="5" t="e">
        <f ca="1">IF(OR(INDEX($AI$2:$AI$1001,MATCH(ROWS($AH$2:AH207),$AH$2:$AH$1001,0),1)&gt;=100000,INDEX($AO$1005:$BQ$1005,1,MATCH(COLUMNS($AO$1006:BA1006),$AO$1006:$BQ$1006,0))&gt;=100000), " ",IF(INDEX($AO$2:$BQ$1001,MATCH(ROWS($AH$2:AH207),$AH$2:$AH$1001,0),MATCH(COLUMNS($AO$1006:BA1006),$AO$1006:$BQ$1006,0)), HYPERLINK("#",""), HYPERLINK(CONCATENATE("#Metadata!", ADDRESS(INDEX($AJ$2:$AJ$1001,MATCH(ROWS($AH$2:AH207),$AH$2:$AH$1001,0),0), INDEX($AO$1004:$BQ$1004,1,MATCH(COLUMNS($AO$1006:BA1006),$AO$1006:$BQ$1006,0)))),"Fix")))</f>
        <v>#N/A</v>
      </c>
      <c r="O207" s="5" t="e">
        <f ca="1">IF(OR(INDEX($AI$2:$AI$1001,MATCH(ROWS($AH$2:AH207),$AH$2:$AH$1001,0),1)&gt;=100000,INDEX($AO$1005:$BQ$1005,1,MATCH(COLUMNS($AO$1006:BB1006),$AO$1006:$BQ$1006,0))&gt;=100000), " ",IF(INDEX($AO$2:$BQ$1001,MATCH(ROWS($AH$2:AH207),$AH$2:$AH$1001,0),MATCH(COLUMNS($AO$1006:BB1006),$AO$1006:$BQ$1006,0)), HYPERLINK("#",""), HYPERLINK(CONCATENATE("#Metadata!", ADDRESS(INDEX($AJ$2:$AJ$1001,MATCH(ROWS($AH$2:AH207),$AH$2:$AH$1001,0),0), INDEX($AO$1004:$BQ$1004,1,MATCH(COLUMNS($AO$1006:BB1006),$AO$1006:$BQ$1006,0)))),"Fix")))</f>
        <v>#N/A</v>
      </c>
      <c r="P207" s="5" t="e">
        <f ca="1">IF(OR(INDEX($AI$2:$AI$1001,MATCH(ROWS($AH$2:AH207),$AH$2:$AH$1001,0),1)&gt;=100000,INDEX($AO$1005:$BQ$1005,1,MATCH(COLUMNS($AO$1006:BC1006),$AO$1006:$BQ$1006,0))&gt;=100000), " ",IF(INDEX($AO$2:$BQ$1001,MATCH(ROWS($AH$2:AH207),$AH$2:$AH$1001,0),MATCH(COLUMNS($AO$1006:BC1006),$AO$1006:$BQ$1006,0)), HYPERLINK("#",""), HYPERLINK(CONCATENATE("#Metadata!", ADDRESS(INDEX($AJ$2:$AJ$1001,MATCH(ROWS($AH$2:AH207),$AH$2:$AH$1001,0),0), INDEX($AO$1004:$BQ$1004,1,MATCH(COLUMNS($AO$1006:BC1006),$AO$1006:$BQ$1006,0)))),"Fix")))</f>
        <v>#N/A</v>
      </c>
      <c r="Q207" s="5" t="e">
        <f ca="1">IF(OR(INDEX($AI$2:$AI$1001,MATCH(ROWS($AH$2:AH207),$AH$2:$AH$1001,0),1)&gt;=100000,INDEX($AO$1005:$BQ$1005,1,MATCH(COLUMNS($AO$1006:BD1006),$AO$1006:$BQ$1006,0))&gt;=100000), " ",IF(INDEX($AO$2:$BQ$1001,MATCH(ROWS($AH$2:AH207),$AH$2:$AH$1001,0),MATCH(COLUMNS($AO$1006:BD1006),$AO$1006:$BQ$1006,0)), HYPERLINK("#",""), HYPERLINK(CONCATENATE("#Metadata!", ADDRESS(INDEX($AJ$2:$AJ$1001,MATCH(ROWS($AH$2:AH207),$AH$2:$AH$1001,0),0), INDEX($AO$1004:$BQ$1004,1,MATCH(COLUMNS($AO$1006:BD1006),$AO$1006:$BQ$1006,0)))),"Fix")))</f>
        <v>#N/A</v>
      </c>
      <c r="R207" s="5" t="e">
        <f ca="1">IF(OR(INDEX($AI$2:$AI$1001,MATCH(ROWS($AH$2:AH207),$AH$2:$AH$1001,0),1)&gt;=100000,INDEX($AO$1005:$BQ$1005,1,MATCH(COLUMNS($AO$1006:BE1006),$AO$1006:$BQ$1006,0))&gt;=100000), " ",IF(INDEX($AO$2:$BQ$1001,MATCH(ROWS($AH$2:AH207),$AH$2:$AH$1001,0),MATCH(COLUMNS($AO$1006:BE1006),$AO$1006:$BQ$1006,0)), HYPERLINK("#",""), HYPERLINK(CONCATENATE("#Metadata!", ADDRESS(INDEX($AJ$2:$AJ$1001,MATCH(ROWS($AH$2:AH207),$AH$2:$AH$1001,0),0), INDEX($AO$1004:$BQ$1004,1,MATCH(COLUMNS($AO$1006:BE1006),$AO$1006:$BQ$1006,0)))),"Fix")))</f>
        <v>#N/A</v>
      </c>
      <c r="S207" s="5" t="e">
        <f ca="1">IF(OR(INDEX($AI$2:$AI$1001,MATCH(ROWS($AH$2:AH207),$AH$2:$AH$1001,0),1)&gt;=100000,INDEX($AO$1005:$BQ$1005,1,MATCH(COLUMNS($AO$1006:BF1006),$AO$1006:$BQ$1006,0))&gt;=100000), " ",IF(INDEX($AO$2:$BQ$1001,MATCH(ROWS($AH$2:AH207),$AH$2:$AH$1001,0),MATCH(COLUMNS($AO$1006:BF1006),$AO$1006:$BQ$1006,0)), HYPERLINK("#",""), HYPERLINK(CONCATENATE("#Metadata!", ADDRESS(INDEX($AJ$2:$AJ$1001,MATCH(ROWS($AH$2:AH207),$AH$2:$AH$1001,0),0), INDEX($AO$1004:$BQ$1004,1,MATCH(COLUMNS($AO$1006:BF1006),$AO$1006:$BQ$1006,0)))),"Fix")))</f>
        <v>#N/A</v>
      </c>
      <c r="T207" s="5" t="e">
        <f ca="1">IF(OR(INDEX($AI$2:$AI$1001,MATCH(ROWS($AH$2:AH207),$AH$2:$AH$1001,0),1)&gt;=100000,INDEX($AO$1005:$BQ$1005,1,MATCH(COLUMNS($AO$1006:BG1006),$AO$1006:$BQ$1006,0))&gt;=100000), " ",IF(INDEX($AO$2:$BQ$1001,MATCH(ROWS($AH$2:AH207),$AH$2:$AH$1001,0),MATCH(COLUMNS($AO$1006:BG1006),$AO$1006:$BQ$1006,0)), HYPERLINK("#",""), HYPERLINK(CONCATENATE("#Metadata!", ADDRESS(INDEX($AJ$2:$AJ$1001,MATCH(ROWS($AH$2:AH207),$AH$2:$AH$1001,0),0), INDEX($AO$1004:$BQ$1004,1,MATCH(COLUMNS($AO$1006:BG1006),$AO$1006:$BQ$1006,0)))),"Fix")))</f>
        <v>#N/A</v>
      </c>
      <c r="U207" s="5" t="e">
        <f ca="1">IF(OR(INDEX($AI$2:$AI$1001,MATCH(ROWS($AH$2:AH207),$AH$2:$AH$1001,0),1)&gt;=100000,INDEX($AO$1005:$BQ$1005,1,MATCH(COLUMNS($AO$1006:BH1006),$AO$1006:$BQ$1006,0))&gt;=100000), " ",IF(INDEX($AO$2:$BQ$1001,MATCH(ROWS($AH$2:AH207),$AH$2:$AH$1001,0),MATCH(COLUMNS($AO$1006:BH1006),$AO$1006:$BQ$1006,0)), HYPERLINK("#",""), HYPERLINK(CONCATENATE("#Metadata!", ADDRESS(INDEX($AJ$2:$AJ$1001,MATCH(ROWS($AH$2:AH207),$AH$2:$AH$1001,0),0), INDEX($AO$1004:$BQ$1004,1,MATCH(COLUMNS($AO$1006:BH1006),$AO$1006:$BQ$1006,0)))),"Fix")))</f>
        <v>#N/A</v>
      </c>
      <c r="V207" s="5" t="e">
        <f ca="1">IF(OR(INDEX($AI$2:$AI$1001,MATCH(ROWS($AH$2:AH207),$AH$2:$AH$1001,0),1)&gt;=100000,INDEX($AO$1005:$BQ$1005,1,MATCH(COLUMNS($AO$1006:BI1006),$AO$1006:$BQ$1006,0))&gt;=100000), " ",IF(INDEX($AO$2:$BQ$1001,MATCH(ROWS($AH$2:AH207),$AH$2:$AH$1001,0),MATCH(COLUMNS($AO$1006:BI1006),$AO$1006:$BQ$1006,0)), HYPERLINK("#",""), HYPERLINK(CONCATENATE("#Metadata!", ADDRESS(INDEX($AJ$2:$AJ$1001,MATCH(ROWS($AH$2:AH207),$AH$2:$AH$1001,0),0), INDEX($AO$1004:$BQ$1004,1,MATCH(COLUMNS($AO$1006:BI1006),$AO$1006:$BQ$1006,0)))),"Fix")))</f>
        <v>#N/A</v>
      </c>
      <c r="W207" s="5" t="e">
        <f ca="1">IF(OR(INDEX($AI$2:$AI$1001,MATCH(ROWS($AH$2:AH207),$AH$2:$AH$1001,0),1)&gt;=100000,INDEX($AO$1005:$BQ$1005,1,MATCH(COLUMNS($AO$1006:BJ1006),$AO$1006:$BQ$1006,0))&gt;=100000), " ",IF(INDEX($AO$2:$BQ$1001,MATCH(ROWS($AH$2:AH207),$AH$2:$AH$1001,0),MATCH(COLUMNS($AO$1006:BJ1006),$AO$1006:$BQ$1006,0)), HYPERLINK("#",""), HYPERLINK(CONCATENATE("#Metadata!", ADDRESS(INDEX($AJ$2:$AJ$1001,MATCH(ROWS($AH$2:AH207),$AH$2:$AH$1001,0),0), INDEX($AO$1004:$BQ$1004,1,MATCH(COLUMNS($AO$1006:BJ1006),$AO$1006:$BQ$1006,0)))),"Fix")))</f>
        <v>#N/A</v>
      </c>
      <c r="X207" s="5" t="e">
        <f ca="1">IF(OR(INDEX($AI$2:$AI$1001,MATCH(ROWS($AH$2:AH207),$AH$2:$AH$1001,0),1)&gt;=100000,INDEX($AO$1005:$BQ$1005,1,MATCH(COLUMNS($AO$1006:BK1006),$AO$1006:$BQ$1006,0))&gt;=100000), " ",IF(INDEX($AO$2:$BQ$1001,MATCH(ROWS($AH$2:AH207),$AH$2:$AH$1001,0),MATCH(COLUMNS($AO$1006:BK1006),$AO$1006:$BQ$1006,0)), HYPERLINK("#",""), HYPERLINK(CONCATENATE("#Metadata!", ADDRESS(INDEX($AJ$2:$AJ$1001,MATCH(ROWS($AH$2:AH207),$AH$2:$AH$1001,0),0), INDEX($AO$1004:$BQ$1004,1,MATCH(COLUMNS($AO$1006:BK1006),$AO$1006:$BQ$1006,0)))),"Fix")))</f>
        <v>#N/A</v>
      </c>
      <c r="Y207" s="5" t="e">
        <f ca="1">IF(OR(INDEX($AI$2:$AI$1001,MATCH(ROWS($AH$2:AH207),$AH$2:$AH$1001,0),1)&gt;=100000,INDEX($AO$1005:$BQ$1005,1,MATCH(COLUMNS($AO$1006:BL1006),$AO$1006:$BQ$1006,0))&gt;=100000), " ",IF(INDEX($AO$2:$BQ$1001,MATCH(ROWS($AH$2:AH207),$AH$2:$AH$1001,0),MATCH(COLUMNS($AO$1006:BL1006),$AO$1006:$BQ$1006,0)), HYPERLINK("#",""), HYPERLINK(CONCATENATE("#Metadata!", ADDRESS(INDEX($AJ$2:$AJ$1001,MATCH(ROWS($AH$2:AH207),$AH$2:$AH$1001,0),0), INDEX($AO$1004:$BQ$1004,1,MATCH(COLUMNS($AO$1006:BL1006),$AO$1006:$BQ$1006,0)))),"Fix")))</f>
        <v>#N/A</v>
      </c>
      <c r="Z207" s="5" t="e">
        <f ca="1">IF(OR(INDEX($AI$2:$AI$1001,MATCH(ROWS($AH$2:AH207),$AH$2:$AH$1001,0),1)&gt;=100000,INDEX($AO$1005:$BQ$1005,1,MATCH(COLUMNS($AO$1006:BM1006),$AO$1006:$BQ$1006,0))&gt;=100000), " ",IF(INDEX($AO$2:$BQ$1001,MATCH(ROWS($AH$2:AH207),$AH$2:$AH$1001,0),MATCH(COLUMNS($AO$1006:BM1006),$AO$1006:$BQ$1006,0)), HYPERLINK("#",""), HYPERLINK(CONCATENATE("#Metadata!", ADDRESS(INDEX($AJ$2:$AJ$1001,MATCH(ROWS($AH$2:AH207),$AH$2:$AH$1001,0),0), INDEX($AO$1004:$BQ$1004,1,MATCH(COLUMNS($AO$1006:BM1006),$AO$1006:$BQ$1006,0)))),"Fix")))</f>
        <v>#N/A</v>
      </c>
      <c r="AA207" s="5" t="e">
        <f ca="1">IF(OR(INDEX($AI$2:$AI$1001,MATCH(ROWS($AH$2:AH207),$AH$2:$AH$1001,0),1)&gt;=100000,INDEX($AO$1005:$BQ$1005,1,MATCH(COLUMNS($AO$1006:BN1006),$AO$1006:$BQ$1006,0))&gt;=100000), " ",IF(INDEX($AO$2:$BQ$1001,MATCH(ROWS($AH$2:AH207),$AH$2:$AH$1001,0),MATCH(COLUMNS($AO$1006:BN1006),$AO$1006:$BQ$1006,0)), HYPERLINK("#",""), HYPERLINK(CONCATENATE("#Metadata!", ADDRESS(INDEX($AJ$2:$AJ$1001,MATCH(ROWS($AH$2:AH207),$AH$2:$AH$1001,0),0), INDEX($AO$1004:$BQ$1004,1,MATCH(COLUMNS($AO$1006:BN1006),$AO$1006:$BQ$1006,0)))),"Fix")))</f>
        <v>#N/A</v>
      </c>
      <c r="AB207" s="5" t="e">
        <f ca="1">IF(OR(INDEX($AI$2:$AI$1001,MATCH(ROWS($AH$2:AH207),$AH$2:$AH$1001,0),1)&gt;=100000,INDEX($AO$1005:$BQ$1005,1,MATCH(COLUMNS($AO$1006:BO1006),$AO$1006:$BQ$1006,0))&gt;=100000), " ",IF(INDEX($AO$2:$BQ$1001,MATCH(ROWS($AH$2:AH207),$AH$2:$AH$1001,0),MATCH(COLUMNS($AO$1006:BO1006),$AO$1006:$BQ$1006,0)), HYPERLINK("#",""), HYPERLINK(CONCATENATE("#Metadata!", ADDRESS(INDEX($AJ$2:$AJ$1001,MATCH(ROWS($AH$2:AH207),$AH$2:$AH$1001,0),0), INDEX($AO$1004:$BQ$1004,1,MATCH(COLUMNS($AO$1006:BO1006),$AO$1006:$BQ$1006,0)))),"Fix")))</f>
        <v>#N/A</v>
      </c>
      <c r="AC207" s="5" t="e">
        <f ca="1">IF(OR(INDEX($AI$2:$AI$1001,MATCH(ROWS($AH$2:AH207),$AH$2:$AH$1001,0),1)&gt;=100000,INDEX($AO$1005:$BQ$1005,1,MATCH(COLUMNS($AO$1006:BP1006),$AO$1006:$BQ$1006,0))&gt;=100000), " ",IF(INDEX($AO$2:$BQ$1001,MATCH(ROWS($AH$2:AH207),$AH$2:$AH$1001,0),MATCH(COLUMNS($AO$1006:BP1006),$AO$1006:$BQ$1006,0)), HYPERLINK("#",""), HYPERLINK(CONCATENATE("#Metadata!", ADDRESS(INDEX($AJ$2:$AJ$1001,MATCH(ROWS($AH$2:AH207),$AH$2:$AH$1001,0),0), INDEX($AO$1004:$BQ$1004,1,MATCH(COLUMNS($AO$1006:BP1006),$AO$1006:$BQ$1006,0)))),"Fix")))</f>
        <v>#N/A</v>
      </c>
      <c r="AD207" s="5" t="e">
        <f ca="1">IF(OR(INDEX($AI$2:$AI$1001,MATCH(ROWS($AH$2:AH207),$AH$2:$AH$1001,0),1)&gt;=100000,INDEX($AO$1005:$BQ$1005,1,MATCH(COLUMNS($AO$1006:BQ1006),$AO$1006:$BQ$1006,0))&gt;=100000), " ",IF(INDEX($AO$2:$BQ$1001,MATCH(ROWS($AH$2:AH207),$AH$2:$AH$1001,0),MATCH(COLUMNS($AO$1006:BQ1006),$AO$1006:$BQ$1006,0)), HYPERLINK("#",""), HYPERLINK(CONCATENATE("#Metadata!", ADDRESS(INDEX($AJ$2:$AJ$1001,MATCH(ROWS($AH$2:AH207),$AH$2:$AH$1001,0),0), INDEX($AO$1004:$BQ$1004,1,MATCH(COLUMNS($AO$1006:BQ1006),$AO$1006:$BQ$1006,0)))),"Fix")))</f>
        <v>#REF!</v>
      </c>
      <c r="AH207">
        <f ca="1"/>
        <v>204</v>
      </c>
      <c r="AI207">
        <v>100207</v>
      </c>
      <c r="AJ207">
        <v>207</v>
      </c>
      <c r="AK207" t="b">
        <f t="shared" si="3"/>
        <v>1</v>
      </c>
      <c r="AL207" t="b">
        <f>COUNTBLANK(Metadata!B207:AD207)=COLUMNS(Metadata!B207:AD207)</f>
        <v>1</v>
      </c>
      <c r="AM207" t="str">
        <v/>
      </c>
      <c r="AO207" t="b">
        <f ca="1">AND(IF(Metadata!B207="",FALSE,TRUE),COUNTIF(Metadata!B:B, Metadata!B207) = 1,NOT(ISERROR(SUMPRODUCT(SEARCH(MID(Metadata!B207,ROW(INDIRECT("1:"&amp;LEN(Metadata!B207))), 1),"0123456789abcdefghijklmnopqrstuvwxyzABCDEFGHIJKLMNOPQRSTUVWXYZ.")))))</f>
        <v>0</v>
      </c>
      <c r="AP207" t="b">
        <f>IF(Metadata!C207="",FALSE,TRUE)</f>
        <v>0</v>
      </c>
      <c r="AQ207" t="b">
        <f>IF(Metadata!D207="",FALSE,TRUE)</f>
        <v>0</v>
      </c>
      <c r="AR207" t="b">
        <f ca="1">OR(AND(IF(Metadata!E207="",FALSE,TRUE),OR(EXACT(Metadata!E207,"not collected"),EXACT(Metadata!E207,"not provided"),EXACT(Metadata!E207,"restricted access"))),AND(IF(Metadata!E207="",FALSE,TRUE),AND(AND(IFERROR(INT(LEFT(Metadata!E207,4))&gt;1900,FALSE),IFERROR(INT(LEFT(Metadata!E207,4))&lt;=YEAR(NOW()),FALSE)), OR(MID(Metadata!E207,5,1)="", AND(AND(MID(Metadata!E207,5,1)="-",IFERROR(INT(MID(Metadata!E207,6,1))&gt;=0,FALSE),IFERROR(INT(MID(Metadata!E207,6,1))&lt;=1,FALSE),NOT(MID(Metadata!E207,7,1)=""),IFERROR(INT(MID(Metadata!E207,6,2))&gt;=1,FALSE),IFERROR(INT(MID(Metadata!E207,6,2))&lt;=12,FALSE)), OR(MID(Metadata!E207,8,1)="", AND(AND(MID(Metadata!E207,8,1)="-",IFERROR(INT(MID(Metadata!E207,9,1))&gt;=0,FALSE),IFERROR(INT(MID(Metadata!E207,9,1))&lt;=3,FALSE),NOT(MID(Metadata!E207,10,1)=""),IFERROR(INT(MID(Metadata!E207,9,2))&gt;=1,FALSE),IFERROR(INT(MID(Metadata!E207,9,2))&lt;=31,FALSE)), OR(MID(Metadata!E207,11,1)="", AND(AND(MID(Metadata!E207,11,1)=" ",IFERROR(INT(MID(Metadata!E207,12,1))&gt;=0,FALSE),IFERROR(INT(MID(Metadata!E207,12,1))&lt;=2,FALSE),NOT(MID(Metadata!E207,13,1)=""),IFERROR(INT(MID(Metadata!E207,12,2))&gt;=0,FALSE),IFERROR(INT(MID(Metadata!E207,12,2))&lt;=23,FALSE)), OR(MID(Metadata!E207,14,1)="", AND(AND(MID(Metadata!E207,14,1)=":",IFERROR(INT(MID(Metadata!E207,15,1))&gt;=0,FALSE),IFERROR(INT(MID(Metadata!E207,15,1))&lt;=5,FALSE),NOT(MID(Metadata!E207,16,1)=""),IFERROR(INT(MID(Metadata!E207,15,2))&gt;=0,FALSE),IFERROR(INT(MID(Metadata!E207,15,2))&lt;=59,FALSE)), OR(MID(Metadata!E207,17,1)="", AND(AND(MID(Metadata!E207,17,1)=":",IFERROR(INT(MID(Metadata!E207,18,1))&gt;=0,FALSE),IFERROR(INT(MID(Metadata!E207,18,1))&lt;=5,FALSE),NOT(MID(Metadata!E207,19,1)=""),IFERROR(INT(MID(Metadata!E207,18,2))&gt;=0,FALSE),IFERROR(INT(MID(Metadata!E207,18,2))&lt;=59,FALSE)), LEN(Metadata!E207)&lt;=19)))))))))))))</f>
        <v>0</v>
      </c>
      <c r="AS207" t="b">
        <f>IF(Metadata!F207="",FALSE,TRUE)</f>
        <v>0</v>
      </c>
      <c r="AT207" t="b">
        <f>OR(AND(IF(Metadata!G207="",FALSE,TRUE),OR(EXACT(Metadata!G207,"not collected"),EXACT(Metadata!G207,"not provided"))),AND(IF(Metadata!G207="",FALSE,TRUE),OR(EXACT(Metadata!G207,"TRUE"),EXACT(Metadata!G207,"FALSE"))))</f>
        <v>0</v>
      </c>
      <c r="AU207" t="b">
        <f>OR(AND(IF(Metadata!H207="",FALSE,TRUE),OR(EXACT(Metadata!H207,"not collected"),EXACT(Metadata!H207,"not provided"),EXACT(Metadata!H207,"restricted access"))),AND(IF(Metadata!H207="",FALSE,ISNUMBER(VALUE(Metadata!H207))),Metadata!H207&gt;=-413))</f>
        <v>0</v>
      </c>
      <c r="AV207" t="b">
        <f>AND(IF(Metadata!I207="",FALSE,TRUE),EXACT(Metadata!I207,"meters"))</f>
        <v>0</v>
      </c>
      <c r="AW207" t="b">
        <f>AND(IF(Metadata!J207="",FALSE,TRUE),EXACT(Metadata!J207,"free-living"))</f>
        <v>0</v>
      </c>
      <c r="AX207" t="b">
        <f>AND(IF(Metadata!K207="",FALSE,TRUE),OR(EXACT(Metadata!K207,"saline"),EXACT(Metadata!K207,"non-saline")))</f>
        <v>0</v>
      </c>
      <c r="AY207" t="b">
        <f>AND(IF(Metadata!L207="",FALSE,TRUE),OR(EXACT(Metadata!L207,"sub-surface (non-saline)"),EXACT(Metadata!L207,"surface (non-saline)"),EXACT(Metadata!L207,"water (non-saline)"),EXACT(Metadata!L207,"soil (non-saline)"),EXACT(Metadata!L207,"aerosol (non-saline)"),EXACT(Metadata!L207,"sediment (non-saline)"),EXACT(Metadata!L207,"surface (saline)"),EXACT(Metadata!L207,"water (saline)"),EXACT(Metadata!L207,"hypersaline (saline)"),EXACT(Metadata!L207,"aerosol (saline)"),EXACT(Metadata!L207,"sediment (saline)")))</f>
        <v>0</v>
      </c>
      <c r="AZ207" t="b">
        <f>IF(Metadata!M207="",FALSE,TRUE)</f>
        <v>0</v>
      </c>
      <c r="BA207" t="b">
        <f>IF(Metadata!N207="",FALSE,TRUE)</f>
        <v>0</v>
      </c>
      <c r="BB207" t="b">
        <f>IF(Metadata!O207="",FALSE,TRUE)</f>
        <v>0</v>
      </c>
      <c r="BC207" t="b">
        <f>AND(IF(Metadata!P207="",FALSE,TRUE),OR(EXACT(Metadata!P207,"air"),EXACT(Metadata!P207,"microbial mat/biofilm"),EXACT(Metadata!P207,"misc environment"),EXACT(Metadata!P207,"sediment"),EXACT(Metadata!P207,"soil"),EXACT(Metadata!P207,"wastewater/sludge"),EXACT(Metadata!P207,"water")))</f>
        <v>0</v>
      </c>
      <c r="BD207" t="b">
        <f>IF(Metadata!Q207="",FALSE,TRUE)</f>
        <v>0</v>
      </c>
      <c r="BE207" t="b">
        <f>IF(Metadata!R207="",FALSE,TRUE)</f>
        <v>0</v>
      </c>
      <c r="BF207" t="b">
        <f>OR(AND(IF(Metadata!S207="",FALSE,TRUE),OR(EXACT(Metadata!S207,"not collected"),EXACT(Metadata!S207,"not provided"),EXACT(Metadata!S207,"restricted access"))),AND(IF(Metadata!S207="",FALSE,ISNUMBER(VALUE(Metadata!S207))),Metadata!S207&gt;=-90,Metadata!S207&lt;=90))</f>
        <v>0</v>
      </c>
      <c r="BG207" t="b">
        <f>AND(IF(Metadata!T207="",FALSE,TRUE),EXACT(Metadata!T207,"Decimal degrees"))</f>
        <v>0</v>
      </c>
      <c r="BH207" t="b">
        <f>OR(AND(IF(Metadata!U207="",FALSE,TRUE),OR(EXACT(Metadata!U207,"not applicable"),EXACT(Metadata!U207,"not collected"))),IF(Metadata!U207="",FALSE,TRUE))</f>
        <v>0</v>
      </c>
      <c r="BI207" t="b">
        <f>OR(AND(IF(Metadata!V207="",FALSE,TRUE),OR(EXACT(Metadata!V207,"not collected"),EXACT(Metadata!V207,"not provided"),EXACT(Metadata!V207,"restricted access"))),AND(IF(Metadata!V207="",FALSE,ISNUMBER(VALUE(Metadata!V207))),Metadata!V207&gt;=-180,Metadata!V207&lt;=180))</f>
        <v>0</v>
      </c>
      <c r="BJ207" t="b">
        <f>AND(IF(Metadata!W207="",FALSE,TRUE),EXACT(Metadata!W207,"Decimal degrees"))</f>
        <v>0</v>
      </c>
      <c r="BK207" t="b">
        <f>IF(Metadata!X207="",FALSE,TRUE)</f>
        <v>0</v>
      </c>
      <c r="BL207" t="b">
        <f>OR(AND(IF(Metadata!Y207="",FALSE,TRUE),OR(EXACT(Metadata!Y207,"not collected"),EXACT(Metadata!Y207,"not provided"),EXACT(Metadata!Y207,"restricted access"))),AND(IF(Metadata!Y207="",FALSE,TRUE),OR(EXACT(Metadata!Y207,"TRUE"),EXACT(Metadata!Y207,"FALSE"))))</f>
        <v>0</v>
      </c>
      <c r="BM207" t="b">
        <f>OR(AND(IF(Metadata!Z207="",FALSE,TRUE),EXACT(Metadata!Z207,"not applicable")),AND(IF(Metadata!Z207="",FALSE,TRUE),OR(EXACT(Metadata!Z207,"beer"),EXACT(Metadata!Z207,"cheese"),EXACT(Metadata!Z207,"fresh water"),EXACT(Metadata!Z207,"marine sediment"),EXACT(Metadata!Z207,"sea water"),EXACT(Metadata!Z207,"sediment"),EXACT(Metadata!Z207,"soil"),EXACT(Metadata!Z207,"waste water"))))</f>
        <v>0</v>
      </c>
      <c r="BN207" t="b">
        <f>AND(IF(Metadata!AA207="",FALSE,TRUE),EXACT(Metadata!AA207,"metagenome"))</f>
        <v>0</v>
      </c>
      <c r="BO207" t="b">
        <f>AND(IF(Metadata!AB207="",FALSE,TRUE),EXACT(Metadata!AB207,"256318"))</f>
        <v>0</v>
      </c>
      <c r="BP207" t="b">
        <f>IF(Metadata!AC207="",FALSE,TRUE)</f>
        <v>0</v>
      </c>
      <c r="BQ207" t="b">
        <f>IF(Metadata!AD207="",FALSE,TRUE)</f>
        <v>0</v>
      </c>
    </row>
    <row r="208" spans="1:69" x14ac:dyDescent="0.2">
      <c r="A208" s="4" t="e">
        <f ca="1">IF(B208=" "," ",HYPERLINK(CONCATENATE("#metadata!",ADDRESS(INDEX($AJ$2:$AJ$1001,MATCH(ROWS($AH$2:AH208),$AH$2:$AH$1001,0),0),2)),INDEX($AM$2:$AM$1001,MATCH(ROWS($AH$2:AH208),$AH$2:$AH$1001,0),0)))</f>
        <v>#N/A</v>
      </c>
      <c r="B208" s="5" t="e">
        <f ca="1">IF(OR(INDEX($AI$2:$AI$1001,MATCH(ROWS($AH$2:AH208),$AH$2:$AH$1001,0),1)&gt;=100000,INDEX($AO$1005:$BQ$1005,1,MATCH(COLUMNS($AO$1006:AO1006),$AO$1006:$BQ$1006,0))&gt;=100000), " ",IF(INDEX($AO$2:$BQ$1001,MATCH(ROWS($AH$2:AH208),$AH$2:$AH$1001,0),MATCH(COLUMNS($AO$1006:AO1006),$AO$1006:$BQ$1006,0)), HYPERLINK("#",""), HYPERLINK(CONCATENATE("#Metadata!", ADDRESS(INDEX($AJ$2:$AJ$1001,MATCH(ROWS($AH$2:AH208),$AH$2:$AH$1001,0),0), INDEX($AO$1004:$BQ$1004,1,MATCH(COLUMNS($AO$1006:AO1006),$AO$1006:$BQ$1006,0)))),"Fix")))</f>
        <v>#N/A</v>
      </c>
      <c r="C208" s="5" t="e">
        <f ca="1">IF(OR(INDEX($AI$2:$AI$1001,MATCH(ROWS($AH$2:AH208),$AH$2:$AH$1001,0),1)&gt;=100000,INDEX($AO$1005:$BQ$1005,1,MATCH(COLUMNS($AO$1006:AP1006),$AO$1006:$BQ$1006,0))&gt;=100000), " ",IF(INDEX($AO$2:$BQ$1001,MATCH(ROWS($AH$2:AH208),$AH$2:$AH$1001,0),MATCH(COLUMNS($AO$1006:AP1006),$AO$1006:$BQ$1006,0)), HYPERLINK("#",""), HYPERLINK(CONCATENATE("#Metadata!", ADDRESS(INDEX($AJ$2:$AJ$1001,MATCH(ROWS($AH$2:AH208),$AH$2:$AH$1001,0),0), INDEX($AO$1004:$BQ$1004,1,MATCH(COLUMNS($AO$1006:AP1006),$AO$1006:$BQ$1006,0)))),"Fix")))</f>
        <v>#N/A</v>
      </c>
      <c r="D208" s="5" t="e">
        <f ca="1">IF(OR(INDEX($AI$2:$AI$1001,MATCH(ROWS($AH$2:AH208),$AH$2:$AH$1001,0),1)&gt;=100000,INDEX($AO$1005:$BQ$1005,1,MATCH(COLUMNS($AO$1006:AQ1006),$AO$1006:$BQ$1006,0))&gt;=100000), " ",IF(INDEX($AO$2:$BQ$1001,MATCH(ROWS($AH$2:AH208),$AH$2:$AH$1001,0),MATCH(COLUMNS($AO$1006:AQ1006),$AO$1006:$BQ$1006,0)), HYPERLINK("#",""), HYPERLINK(CONCATENATE("#Metadata!", ADDRESS(INDEX($AJ$2:$AJ$1001,MATCH(ROWS($AH$2:AH208),$AH$2:$AH$1001,0),0), INDEX($AO$1004:$BQ$1004,1,MATCH(COLUMNS($AO$1006:AQ1006),$AO$1006:$BQ$1006,0)))),"Fix")))</f>
        <v>#N/A</v>
      </c>
      <c r="E208" s="5" t="e">
        <f ca="1">IF(OR(INDEX($AI$2:$AI$1001,MATCH(ROWS($AH$2:AH208),$AH$2:$AH$1001,0),1)&gt;=100000,INDEX($AO$1005:$BQ$1005,1,MATCH(COLUMNS($AO$1006:AR1006),$AO$1006:$BQ$1006,0))&gt;=100000), " ",IF(INDEX($AO$2:$BQ$1001,MATCH(ROWS($AH$2:AH208),$AH$2:$AH$1001,0),MATCH(COLUMNS($AO$1006:AR1006),$AO$1006:$BQ$1006,0)), HYPERLINK("#",""), HYPERLINK(CONCATENATE("#Metadata!", ADDRESS(INDEX($AJ$2:$AJ$1001,MATCH(ROWS($AH$2:AH208),$AH$2:$AH$1001,0),0), INDEX($AO$1004:$BQ$1004,1,MATCH(COLUMNS($AO$1006:AR1006),$AO$1006:$BQ$1006,0)))),"Fix")))</f>
        <v>#N/A</v>
      </c>
      <c r="F208" s="5" t="e">
        <f ca="1">IF(OR(INDEX($AI$2:$AI$1001,MATCH(ROWS($AH$2:AH208),$AH$2:$AH$1001,0),1)&gt;=100000,INDEX($AO$1005:$BQ$1005,1,MATCH(COLUMNS($AO$1006:AS1006),$AO$1006:$BQ$1006,0))&gt;=100000), " ",IF(INDEX($AO$2:$BQ$1001,MATCH(ROWS($AH$2:AH208),$AH$2:$AH$1001,0),MATCH(COLUMNS($AO$1006:AS1006),$AO$1006:$BQ$1006,0)), HYPERLINK("#",""), HYPERLINK(CONCATENATE("#Metadata!", ADDRESS(INDEX($AJ$2:$AJ$1001,MATCH(ROWS($AH$2:AH208),$AH$2:$AH$1001,0),0), INDEX($AO$1004:$BQ$1004,1,MATCH(COLUMNS($AO$1006:AS1006),$AO$1006:$BQ$1006,0)))),"Fix")))</f>
        <v>#N/A</v>
      </c>
      <c r="G208" s="5" t="e">
        <f ca="1">IF(OR(INDEX($AI$2:$AI$1001,MATCH(ROWS($AH$2:AH208),$AH$2:$AH$1001,0),1)&gt;=100000,INDEX($AO$1005:$BQ$1005,1,MATCH(COLUMNS($AO$1006:AT1006),$AO$1006:$BQ$1006,0))&gt;=100000), " ",IF(INDEX($AO$2:$BQ$1001,MATCH(ROWS($AH$2:AH208),$AH$2:$AH$1001,0),MATCH(COLUMNS($AO$1006:AT1006),$AO$1006:$BQ$1006,0)), HYPERLINK("#",""), HYPERLINK(CONCATENATE("#Metadata!", ADDRESS(INDEX($AJ$2:$AJ$1001,MATCH(ROWS($AH$2:AH208),$AH$2:$AH$1001,0),0), INDEX($AO$1004:$BQ$1004,1,MATCH(COLUMNS($AO$1006:AT1006),$AO$1006:$BQ$1006,0)))),"Fix")))</f>
        <v>#N/A</v>
      </c>
      <c r="H208" s="5" t="e">
        <f ca="1">IF(OR(INDEX($AI$2:$AI$1001,MATCH(ROWS($AH$2:AH208),$AH$2:$AH$1001,0),1)&gt;=100000,INDEX($AO$1005:$BQ$1005,1,MATCH(COLUMNS($AO$1006:AU1006),$AO$1006:$BQ$1006,0))&gt;=100000), " ",IF(INDEX($AO$2:$BQ$1001,MATCH(ROWS($AH$2:AH208),$AH$2:$AH$1001,0),MATCH(COLUMNS($AO$1006:AU1006),$AO$1006:$BQ$1006,0)), HYPERLINK("#",""), HYPERLINK(CONCATENATE("#Metadata!", ADDRESS(INDEX($AJ$2:$AJ$1001,MATCH(ROWS($AH$2:AH208),$AH$2:$AH$1001,0),0), INDEX($AO$1004:$BQ$1004,1,MATCH(COLUMNS($AO$1006:AU1006),$AO$1006:$BQ$1006,0)))),"Fix")))</f>
        <v>#N/A</v>
      </c>
      <c r="I208" s="5" t="e">
        <f ca="1">IF(OR(INDEX($AI$2:$AI$1001,MATCH(ROWS($AH$2:AH208),$AH$2:$AH$1001,0),1)&gt;=100000,INDEX($AO$1005:$BQ$1005,1,MATCH(COLUMNS($AO$1006:AV1006),$AO$1006:$BQ$1006,0))&gt;=100000), " ",IF(INDEX($AO$2:$BQ$1001,MATCH(ROWS($AH$2:AH208),$AH$2:$AH$1001,0),MATCH(COLUMNS($AO$1006:AV1006),$AO$1006:$BQ$1006,0)), HYPERLINK("#",""), HYPERLINK(CONCATENATE("#Metadata!", ADDRESS(INDEX($AJ$2:$AJ$1001,MATCH(ROWS($AH$2:AH208),$AH$2:$AH$1001,0),0), INDEX($AO$1004:$BQ$1004,1,MATCH(COLUMNS($AO$1006:AV1006),$AO$1006:$BQ$1006,0)))),"Fix")))</f>
        <v>#N/A</v>
      </c>
      <c r="J208" s="5" t="e">
        <f ca="1">IF(OR(INDEX($AI$2:$AI$1001,MATCH(ROWS($AH$2:AH208),$AH$2:$AH$1001,0),1)&gt;=100000,INDEX($AO$1005:$BQ$1005,1,MATCH(COLUMNS($AO$1006:AW1006),$AO$1006:$BQ$1006,0))&gt;=100000), " ",IF(INDEX($AO$2:$BQ$1001,MATCH(ROWS($AH$2:AH208),$AH$2:$AH$1001,0),MATCH(COLUMNS($AO$1006:AW1006),$AO$1006:$BQ$1006,0)), HYPERLINK("#",""), HYPERLINK(CONCATENATE("#Metadata!", ADDRESS(INDEX($AJ$2:$AJ$1001,MATCH(ROWS($AH$2:AH208),$AH$2:$AH$1001,0),0), INDEX($AO$1004:$BQ$1004,1,MATCH(COLUMNS($AO$1006:AW1006),$AO$1006:$BQ$1006,0)))),"Fix")))</f>
        <v>#N/A</v>
      </c>
      <c r="K208" s="5" t="e">
        <f ca="1">IF(OR(INDEX($AI$2:$AI$1001,MATCH(ROWS($AH$2:AH208),$AH$2:$AH$1001,0),1)&gt;=100000,INDEX($AO$1005:$BQ$1005,1,MATCH(COLUMNS($AO$1006:AX1006),$AO$1006:$BQ$1006,0))&gt;=100000), " ",IF(INDEX($AO$2:$BQ$1001,MATCH(ROWS($AH$2:AH208),$AH$2:$AH$1001,0),MATCH(COLUMNS($AO$1006:AX1006),$AO$1006:$BQ$1006,0)), HYPERLINK("#",""), HYPERLINK(CONCATENATE("#Metadata!", ADDRESS(INDEX($AJ$2:$AJ$1001,MATCH(ROWS($AH$2:AH208),$AH$2:$AH$1001,0),0), INDEX($AO$1004:$BQ$1004,1,MATCH(COLUMNS($AO$1006:AX1006),$AO$1006:$BQ$1006,0)))),"Fix")))</f>
        <v>#N/A</v>
      </c>
      <c r="L208" s="5" t="e">
        <f ca="1">IF(OR(INDEX($AI$2:$AI$1001,MATCH(ROWS($AH$2:AH208),$AH$2:$AH$1001,0),1)&gt;=100000,INDEX($AO$1005:$BQ$1005,1,MATCH(COLUMNS($AO$1006:AY1006),$AO$1006:$BQ$1006,0))&gt;=100000), " ",IF(INDEX($AO$2:$BQ$1001,MATCH(ROWS($AH$2:AH208),$AH$2:$AH$1001,0),MATCH(COLUMNS($AO$1006:AY1006),$AO$1006:$BQ$1006,0)), HYPERLINK("#",""), HYPERLINK(CONCATENATE("#Metadata!", ADDRESS(INDEX($AJ$2:$AJ$1001,MATCH(ROWS($AH$2:AH208),$AH$2:$AH$1001,0),0), INDEX($AO$1004:$BQ$1004,1,MATCH(COLUMNS($AO$1006:AY1006),$AO$1006:$BQ$1006,0)))),"Fix")))</f>
        <v>#N/A</v>
      </c>
      <c r="M208" s="5" t="e">
        <f ca="1">IF(OR(INDEX($AI$2:$AI$1001,MATCH(ROWS($AH$2:AH208),$AH$2:$AH$1001,0),1)&gt;=100000,INDEX($AO$1005:$BQ$1005,1,MATCH(COLUMNS($AO$1006:AZ1006),$AO$1006:$BQ$1006,0))&gt;=100000), " ",IF(INDEX($AO$2:$BQ$1001,MATCH(ROWS($AH$2:AH208),$AH$2:$AH$1001,0),MATCH(COLUMNS($AO$1006:AZ1006),$AO$1006:$BQ$1006,0)), HYPERLINK("#",""), HYPERLINK(CONCATENATE("#Metadata!", ADDRESS(INDEX($AJ$2:$AJ$1001,MATCH(ROWS($AH$2:AH208),$AH$2:$AH$1001,0),0), INDEX($AO$1004:$BQ$1004,1,MATCH(COLUMNS($AO$1006:AZ1006),$AO$1006:$BQ$1006,0)))),"Fix")))</f>
        <v>#N/A</v>
      </c>
      <c r="N208" s="5" t="e">
        <f ca="1">IF(OR(INDEX($AI$2:$AI$1001,MATCH(ROWS($AH$2:AH208),$AH$2:$AH$1001,0),1)&gt;=100000,INDEX($AO$1005:$BQ$1005,1,MATCH(COLUMNS($AO$1006:BA1006),$AO$1006:$BQ$1006,0))&gt;=100000), " ",IF(INDEX($AO$2:$BQ$1001,MATCH(ROWS($AH$2:AH208),$AH$2:$AH$1001,0),MATCH(COLUMNS($AO$1006:BA1006),$AO$1006:$BQ$1006,0)), HYPERLINK("#",""), HYPERLINK(CONCATENATE("#Metadata!", ADDRESS(INDEX($AJ$2:$AJ$1001,MATCH(ROWS($AH$2:AH208),$AH$2:$AH$1001,0),0), INDEX($AO$1004:$BQ$1004,1,MATCH(COLUMNS($AO$1006:BA1006),$AO$1006:$BQ$1006,0)))),"Fix")))</f>
        <v>#N/A</v>
      </c>
      <c r="O208" s="5" t="e">
        <f ca="1">IF(OR(INDEX($AI$2:$AI$1001,MATCH(ROWS($AH$2:AH208),$AH$2:$AH$1001,0),1)&gt;=100000,INDEX($AO$1005:$BQ$1005,1,MATCH(COLUMNS($AO$1006:BB1006),$AO$1006:$BQ$1006,0))&gt;=100000), " ",IF(INDEX($AO$2:$BQ$1001,MATCH(ROWS($AH$2:AH208),$AH$2:$AH$1001,0),MATCH(COLUMNS($AO$1006:BB1006),$AO$1006:$BQ$1006,0)), HYPERLINK("#",""), HYPERLINK(CONCATENATE("#Metadata!", ADDRESS(INDEX($AJ$2:$AJ$1001,MATCH(ROWS($AH$2:AH208),$AH$2:$AH$1001,0),0), INDEX($AO$1004:$BQ$1004,1,MATCH(COLUMNS($AO$1006:BB1006),$AO$1006:$BQ$1006,0)))),"Fix")))</f>
        <v>#N/A</v>
      </c>
      <c r="P208" s="5" t="e">
        <f ca="1">IF(OR(INDEX($AI$2:$AI$1001,MATCH(ROWS($AH$2:AH208),$AH$2:$AH$1001,0),1)&gt;=100000,INDEX($AO$1005:$BQ$1005,1,MATCH(COLUMNS($AO$1006:BC1006),$AO$1006:$BQ$1006,0))&gt;=100000), " ",IF(INDEX($AO$2:$BQ$1001,MATCH(ROWS($AH$2:AH208),$AH$2:$AH$1001,0),MATCH(COLUMNS($AO$1006:BC1006),$AO$1006:$BQ$1006,0)), HYPERLINK("#",""), HYPERLINK(CONCATENATE("#Metadata!", ADDRESS(INDEX($AJ$2:$AJ$1001,MATCH(ROWS($AH$2:AH208),$AH$2:$AH$1001,0),0), INDEX($AO$1004:$BQ$1004,1,MATCH(COLUMNS($AO$1006:BC1006),$AO$1006:$BQ$1006,0)))),"Fix")))</f>
        <v>#N/A</v>
      </c>
      <c r="Q208" s="5" t="e">
        <f ca="1">IF(OR(INDEX($AI$2:$AI$1001,MATCH(ROWS($AH$2:AH208),$AH$2:$AH$1001,0),1)&gt;=100000,INDEX($AO$1005:$BQ$1005,1,MATCH(COLUMNS($AO$1006:BD1006),$AO$1006:$BQ$1006,0))&gt;=100000), " ",IF(INDEX($AO$2:$BQ$1001,MATCH(ROWS($AH$2:AH208),$AH$2:$AH$1001,0),MATCH(COLUMNS($AO$1006:BD1006),$AO$1006:$BQ$1006,0)), HYPERLINK("#",""), HYPERLINK(CONCATENATE("#Metadata!", ADDRESS(INDEX($AJ$2:$AJ$1001,MATCH(ROWS($AH$2:AH208),$AH$2:$AH$1001,0),0), INDEX($AO$1004:$BQ$1004,1,MATCH(COLUMNS($AO$1006:BD1006),$AO$1006:$BQ$1006,0)))),"Fix")))</f>
        <v>#N/A</v>
      </c>
      <c r="R208" s="5" t="e">
        <f ca="1">IF(OR(INDEX($AI$2:$AI$1001,MATCH(ROWS($AH$2:AH208),$AH$2:$AH$1001,0),1)&gt;=100000,INDEX($AO$1005:$BQ$1005,1,MATCH(COLUMNS($AO$1006:BE1006),$AO$1006:$BQ$1006,0))&gt;=100000), " ",IF(INDEX($AO$2:$BQ$1001,MATCH(ROWS($AH$2:AH208),$AH$2:$AH$1001,0),MATCH(COLUMNS($AO$1006:BE1006),$AO$1006:$BQ$1006,0)), HYPERLINK("#",""), HYPERLINK(CONCATENATE("#Metadata!", ADDRESS(INDEX($AJ$2:$AJ$1001,MATCH(ROWS($AH$2:AH208),$AH$2:$AH$1001,0),0), INDEX($AO$1004:$BQ$1004,1,MATCH(COLUMNS($AO$1006:BE1006),$AO$1006:$BQ$1006,0)))),"Fix")))</f>
        <v>#N/A</v>
      </c>
      <c r="S208" s="5" t="e">
        <f ca="1">IF(OR(INDEX($AI$2:$AI$1001,MATCH(ROWS($AH$2:AH208),$AH$2:$AH$1001,0),1)&gt;=100000,INDEX($AO$1005:$BQ$1005,1,MATCH(COLUMNS($AO$1006:BF1006),$AO$1006:$BQ$1006,0))&gt;=100000), " ",IF(INDEX($AO$2:$BQ$1001,MATCH(ROWS($AH$2:AH208),$AH$2:$AH$1001,0),MATCH(COLUMNS($AO$1006:BF1006),$AO$1006:$BQ$1006,0)), HYPERLINK("#",""), HYPERLINK(CONCATENATE("#Metadata!", ADDRESS(INDEX($AJ$2:$AJ$1001,MATCH(ROWS($AH$2:AH208),$AH$2:$AH$1001,0),0), INDEX($AO$1004:$BQ$1004,1,MATCH(COLUMNS($AO$1006:BF1006),$AO$1006:$BQ$1006,0)))),"Fix")))</f>
        <v>#N/A</v>
      </c>
      <c r="T208" s="5" t="e">
        <f ca="1">IF(OR(INDEX($AI$2:$AI$1001,MATCH(ROWS($AH$2:AH208),$AH$2:$AH$1001,0),1)&gt;=100000,INDEX($AO$1005:$BQ$1005,1,MATCH(COLUMNS($AO$1006:BG1006),$AO$1006:$BQ$1006,0))&gt;=100000), " ",IF(INDEX($AO$2:$BQ$1001,MATCH(ROWS($AH$2:AH208),$AH$2:$AH$1001,0),MATCH(COLUMNS($AO$1006:BG1006),$AO$1006:$BQ$1006,0)), HYPERLINK("#",""), HYPERLINK(CONCATENATE("#Metadata!", ADDRESS(INDEX($AJ$2:$AJ$1001,MATCH(ROWS($AH$2:AH208),$AH$2:$AH$1001,0),0), INDEX($AO$1004:$BQ$1004,1,MATCH(COLUMNS($AO$1006:BG1006),$AO$1006:$BQ$1006,0)))),"Fix")))</f>
        <v>#N/A</v>
      </c>
      <c r="U208" s="5" t="e">
        <f ca="1">IF(OR(INDEX($AI$2:$AI$1001,MATCH(ROWS($AH$2:AH208),$AH$2:$AH$1001,0),1)&gt;=100000,INDEX($AO$1005:$BQ$1005,1,MATCH(COLUMNS($AO$1006:BH1006),$AO$1006:$BQ$1006,0))&gt;=100000), " ",IF(INDEX($AO$2:$BQ$1001,MATCH(ROWS($AH$2:AH208),$AH$2:$AH$1001,0),MATCH(COLUMNS($AO$1006:BH1006),$AO$1006:$BQ$1006,0)), HYPERLINK("#",""), HYPERLINK(CONCATENATE("#Metadata!", ADDRESS(INDEX($AJ$2:$AJ$1001,MATCH(ROWS($AH$2:AH208),$AH$2:$AH$1001,0),0), INDEX($AO$1004:$BQ$1004,1,MATCH(COLUMNS($AO$1006:BH1006),$AO$1006:$BQ$1006,0)))),"Fix")))</f>
        <v>#N/A</v>
      </c>
      <c r="V208" s="5" t="e">
        <f ca="1">IF(OR(INDEX($AI$2:$AI$1001,MATCH(ROWS($AH$2:AH208),$AH$2:$AH$1001,0),1)&gt;=100000,INDEX($AO$1005:$BQ$1005,1,MATCH(COLUMNS($AO$1006:BI1006),$AO$1006:$BQ$1006,0))&gt;=100000), " ",IF(INDEX($AO$2:$BQ$1001,MATCH(ROWS($AH$2:AH208),$AH$2:$AH$1001,0),MATCH(COLUMNS($AO$1006:BI1006),$AO$1006:$BQ$1006,0)), HYPERLINK("#",""), HYPERLINK(CONCATENATE("#Metadata!", ADDRESS(INDEX($AJ$2:$AJ$1001,MATCH(ROWS($AH$2:AH208),$AH$2:$AH$1001,0),0), INDEX($AO$1004:$BQ$1004,1,MATCH(COLUMNS($AO$1006:BI1006),$AO$1006:$BQ$1006,0)))),"Fix")))</f>
        <v>#N/A</v>
      </c>
      <c r="W208" s="5" t="e">
        <f ca="1">IF(OR(INDEX($AI$2:$AI$1001,MATCH(ROWS($AH$2:AH208),$AH$2:$AH$1001,0),1)&gt;=100000,INDEX($AO$1005:$BQ$1005,1,MATCH(COLUMNS($AO$1006:BJ1006),$AO$1006:$BQ$1006,0))&gt;=100000), " ",IF(INDEX($AO$2:$BQ$1001,MATCH(ROWS($AH$2:AH208),$AH$2:$AH$1001,0),MATCH(COLUMNS($AO$1006:BJ1006),$AO$1006:$BQ$1006,0)), HYPERLINK("#",""), HYPERLINK(CONCATENATE("#Metadata!", ADDRESS(INDEX($AJ$2:$AJ$1001,MATCH(ROWS($AH$2:AH208),$AH$2:$AH$1001,0),0), INDEX($AO$1004:$BQ$1004,1,MATCH(COLUMNS($AO$1006:BJ1006),$AO$1006:$BQ$1006,0)))),"Fix")))</f>
        <v>#N/A</v>
      </c>
      <c r="X208" s="5" t="e">
        <f ca="1">IF(OR(INDEX($AI$2:$AI$1001,MATCH(ROWS($AH$2:AH208),$AH$2:$AH$1001,0),1)&gt;=100000,INDEX($AO$1005:$BQ$1005,1,MATCH(COLUMNS($AO$1006:BK1006),$AO$1006:$BQ$1006,0))&gt;=100000), " ",IF(INDEX($AO$2:$BQ$1001,MATCH(ROWS($AH$2:AH208),$AH$2:$AH$1001,0),MATCH(COLUMNS($AO$1006:BK1006),$AO$1006:$BQ$1006,0)), HYPERLINK("#",""), HYPERLINK(CONCATENATE("#Metadata!", ADDRESS(INDEX($AJ$2:$AJ$1001,MATCH(ROWS($AH$2:AH208),$AH$2:$AH$1001,0),0), INDEX($AO$1004:$BQ$1004,1,MATCH(COLUMNS($AO$1006:BK1006),$AO$1006:$BQ$1006,0)))),"Fix")))</f>
        <v>#N/A</v>
      </c>
      <c r="Y208" s="5" t="e">
        <f ca="1">IF(OR(INDEX($AI$2:$AI$1001,MATCH(ROWS($AH$2:AH208),$AH$2:$AH$1001,0),1)&gt;=100000,INDEX($AO$1005:$BQ$1005,1,MATCH(COLUMNS($AO$1006:BL1006),$AO$1006:$BQ$1006,0))&gt;=100000), " ",IF(INDEX($AO$2:$BQ$1001,MATCH(ROWS($AH$2:AH208),$AH$2:$AH$1001,0),MATCH(COLUMNS($AO$1006:BL1006),$AO$1006:$BQ$1006,0)), HYPERLINK("#",""), HYPERLINK(CONCATENATE("#Metadata!", ADDRESS(INDEX($AJ$2:$AJ$1001,MATCH(ROWS($AH$2:AH208),$AH$2:$AH$1001,0),0), INDEX($AO$1004:$BQ$1004,1,MATCH(COLUMNS($AO$1006:BL1006),$AO$1006:$BQ$1006,0)))),"Fix")))</f>
        <v>#N/A</v>
      </c>
      <c r="Z208" s="5" t="e">
        <f ca="1">IF(OR(INDEX($AI$2:$AI$1001,MATCH(ROWS($AH$2:AH208),$AH$2:$AH$1001,0),1)&gt;=100000,INDEX($AO$1005:$BQ$1005,1,MATCH(COLUMNS($AO$1006:BM1006),$AO$1006:$BQ$1006,0))&gt;=100000), " ",IF(INDEX($AO$2:$BQ$1001,MATCH(ROWS($AH$2:AH208),$AH$2:$AH$1001,0),MATCH(COLUMNS($AO$1006:BM1006),$AO$1006:$BQ$1006,0)), HYPERLINK("#",""), HYPERLINK(CONCATENATE("#Metadata!", ADDRESS(INDEX($AJ$2:$AJ$1001,MATCH(ROWS($AH$2:AH208),$AH$2:$AH$1001,0),0), INDEX($AO$1004:$BQ$1004,1,MATCH(COLUMNS($AO$1006:BM1006),$AO$1006:$BQ$1006,0)))),"Fix")))</f>
        <v>#N/A</v>
      </c>
      <c r="AA208" s="5" t="e">
        <f ca="1">IF(OR(INDEX($AI$2:$AI$1001,MATCH(ROWS($AH$2:AH208),$AH$2:$AH$1001,0),1)&gt;=100000,INDEX($AO$1005:$BQ$1005,1,MATCH(COLUMNS($AO$1006:BN1006),$AO$1006:$BQ$1006,0))&gt;=100000), " ",IF(INDEX($AO$2:$BQ$1001,MATCH(ROWS($AH$2:AH208),$AH$2:$AH$1001,0),MATCH(COLUMNS($AO$1006:BN1006),$AO$1006:$BQ$1006,0)), HYPERLINK("#",""), HYPERLINK(CONCATENATE("#Metadata!", ADDRESS(INDEX($AJ$2:$AJ$1001,MATCH(ROWS($AH$2:AH208),$AH$2:$AH$1001,0),0), INDEX($AO$1004:$BQ$1004,1,MATCH(COLUMNS($AO$1006:BN1006),$AO$1006:$BQ$1006,0)))),"Fix")))</f>
        <v>#N/A</v>
      </c>
      <c r="AB208" s="5" t="e">
        <f ca="1">IF(OR(INDEX($AI$2:$AI$1001,MATCH(ROWS($AH$2:AH208),$AH$2:$AH$1001,0),1)&gt;=100000,INDEX($AO$1005:$BQ$1005,1,MATCH(COLUMNS($AO$1006:BO1006),$AO$1006:$BQ$1006,0))&gt;=100000), " ",IF(INDEX($AO$2:$BQ$1001,MATCH(ROWS($AH$2:AH208),$AH$2:$AH$1001,0),MATCH(COLUMNS($AO$1006:BO1006),$AO$1006:$BQ$1006,0)), HYPERLINK("#",""), HYPERLINK(CONCATENATE("#Metadata!", ADDRESS(INDEX($AJ$2:$AJ$1001,MATCH(ROWS($AH$2:AH208),$AH$2:$AH$1001,0),0), INDEX($AO$1004:$BQ$1004,1,MATCH(COLUMNS($AO$1006:BO1006),$AO$1006:$BQ$1006,0)))),"Fix")))</f>
        <v>#N/A</v>
      </c>
      <c r="AC208" s="5" t="e">
        <f ca="1">IF(OR(INDEX($AI$2:$AI$1001,MATCH(ROWS($AH$2:AH208),$AH$2:$AH$1001,0),1)&gt;=100000,INDEX($AO$1005:$BQ$1005,1,MATCH(COLUMNS($AO$1006:BP1006),$AO$1006:$BQ$1006,0))&gt;=100000), " ",IF(INDEX($AO$2:$BQ$1001,MATCH(ROWS($AH$2:AH208),$AH$2:$AH$1001,0),MATCH(COLUMNS($AO$1006:BP1006),$AO$1006:$BQ$1006,0)), HYPERLINK("#",""), HYPERLINK(CONCATENATE("#Metadata!", ADDRESS(INDEX($AJ$2:$AJ$1001,MATCH(ROWS($AH$2:AH208),$AH$2:$AH$1001,0),0), INDEX($AO$1004:$BQ$1004,1,MATCH(COLUMNS($AO$1006:BP1006),$AO$1006:$BQ$1006,0)))),"Fix")))</f>
        <v>#N/A</v>
      </c>
      <c r="AD208" s="5" t="e">
        <f ca="1">IF(OR(INDEX($AI$2:$AI$1001,MATCH(ROWS($AH$2:AH208),$AH$2:$AH$1001,0),1)&gt;=100000,INDEX($AO$1005:$BQ$1005,1,MATCH(COLUMNS($AO$1006:BQ1006),$AO$1006:$BQ$1006,0))&gt;=100000), " ",IF(INDEX($AO$2:$BQ$1001,MATCH(ROWS($AH$2:AH208),$AH$2:$AH$1001,0),MATCH(COLUMNS($AO$1006:BQ1006),$AO$1006:$BQ$1006,0)), HYPERLINK("#",""), HYPERLINK(CONCATENATE("#Metadata!", ADDRESS(INDEX($AJ$2:$AJ$1001,MATCH(ROWS($AH$2:AH208),$AH$2:$AH$1001,0),0), INDEX($AO$1004:$BQ$1004,1,MATCH(COLUMNS($AO$1006:BQ1006),$AO$1006:$BQ$1006,0)))),"Fix")))</f>
        <v>#REF!</v>
      </c>
      <c r="AH208">
        <f ca="1"/>
        <v>205</v>
      </c>
      <c r="AI208">
        <v>100208</v>
      </c>
      <c r="AJ208">
        <v>208</v>
      </c>
      <c r="AK208" t="b">
        <f t="shared" si="3"/>
        <v>1</v>
      </c>
      <c r="AL208" t="b">
        <f>COUNTBLANK(Metadata!B208:AD208)=COLUMNS(Metadata!B208:AD208)</f>
        <v>1</v>
      </c>
      <c r="AM208" t="str">
        <v/>
      </c>
      <c r="AO208" t="b">
        <f ca="1">AND(IF(Metadata!B208="",FALSE,TRUE),COUNTIF(Metadata!B:B, Metadata!B208) = 1,NOT(ISERROR(SUMPRODUCT(SEARCH(MID(Metadata!B208,ROW(INDIRECT("1:"&amp;LEN(Metadata!B208))), 1),"0123456789abcdefghijklmnopqrstuvwxyzABCDEFGHIJKLMNOPQRSTUVWXYZ.")))))</f>
        <v>0</v>
      </c>
      <c r="AP208" t="b">
        <f>IF(Metadata!C208="",FALSE,TRUE)</f>
        <v>0</v>
      </c>
      <c r="AQ208" t="b">
        <f>IF(Metadata!D208="",FALSE,TRUE)</f>
        <v>0</v>
      </c>
      <c r="AR208" t="b">
        <f ca="1">OR(AND(IF(Metadata!E208="",FALSE,TRUE),OR(EXACT(Metadata!E208,"not collected"),EXACT(Metadata!E208,"not provided"),EXACT(Metadata!E208,"restricted access"))),AND(IF(Metadata!E208="",FALSE,TRUE),AND(AND(IFERROR(INT(LEFT(Metadata!E208,4))&gt;1900,FALSE),IFERROR(INT(LEFT(Metadata!E208,4))&lt;=YEAR(NOW()),FALSE)), OR(MID(Metadata!E208,5,1)="", AND(AND(MID(Metadata!E208,5,1)="-",IFERROR(INT(MID(Metadata!E208,6,1))&gt;=0,FALSE),IFERROR(INT(MID(Metadata!E208,6,1))&lt;=1,FALSE),NOT(MID(Metadata!E208,7,1)=""),IFERROR(INT(MID(Metadata!E208,6,2))&gt;=1,FALSE),IFERROR(INT(MID(Metadata!E208,6,2))&lt;=12,FALSE)), OR(MID(Metadata!E208,8,1)="", AND(AND(MID(Metadata!E208,8,1)="-",IFERROR(INT(MID(Metadata!E208,9,1))&gt;=0,FALSE),IFERROR(INT(MID(Metadata!E208,9,1))&lt;=3,FALSE),NOT(MID(Metadata!E208,10,1)=""),IFERROR(INT(MID(Metadata!E208,9,2))&gt;=1,FALSE),IFERROR(INT(MID(Metadata!E208,9,2))&lt;=31,FALSE)), OR(MID(Metadata!E208,11,1)="", AND(AND(MID(Metadata!E208,11,1)=" ",IFERROR(INT(MID(Metadata!E208,12,1))&gt;=0,FALSE),IFERROR(INT(MID(Metadata!E208,12,1))&lt;=2,FALSE),NOT(MID(Metadata!E208,13,1)=""),IFERROR(INT(MID(Metadata!E208,12,2))&gt;=0,FALSE),IFERROR(INT(MID(Metadata!E208,12,2))&lt;=23,FALSE)), OR(MID(Metadata!E208,14,1)="", AND(AND(MID(Metadata!E208,14,1)=":",IFERROR(INT(MID(Metadata!E208,15,1))&gt;=0,FALSE),IFERROR(INT(MID(Metadata!E208,15,1))&lt;=5,FALSE),NOT(MID(Metadata!E208,16,1)=""),IFERROR(INT(MID(Metadata!E208,15,2))&gt;=0,FALSE),IFERROR(INT(MID(Metadata!E208,15,2))&lt;=59,FALSE)), OR(MID(Metadata!E208,17,1)="", AND(AND(MID(Metadata!E208,17,1)=":",IFERROR(INT(MID(Metadata!E208,18,1))&gt;=0,FALSE),IFERROR(INT(MID(Metadata!E208,18,1))&lt;=5,FALSE),NOT(MID(Metadata!E208,19,1)=""),IFERROR(INT(MID(Metadata!E208,18,2))&gt;=0,FALSE),IFERROR(INT(MID(Metadata!E208,18,2))&lt;=59,FALSE)), LEN(Metadata!E208)&lt;=19)))))))))))))</f>
        <v>0</v>
      </c>
      <c r="AS208" t="b">
        <f>IF(Metadata!F208="",FALSE,TRUE)</f>
        <v>0</v>
      </c>
      <c r="AT208" t="b">
        <f>OR(AND(IF(Metadata!G208="",FALSE,TRUE),OR(EXACT(Metadata!G208,"not collected"),EXACT(Metadata!G208,"not provided"))),AND(IF(Metadata!G208="",FALSE,TRUE),OR(EXACT(Metadata!G208,"TRUE"),EXACT(Metadata!G208,"FALSE"))))</f>
        <v>0</v>
      </c>
      <c r="AU208" t="b">
        <f>OR(AND(IF(Metadata!H208="",FALSE,TRUE),OR(EXACT(Metadata!H208,"not collected"),EXACT(Metadata!H208,"not provided"),EXACT(Metadata!H208,"restricted access"))),AND(IF(Metadata!H208="",FALSE,ISNUMBER(VALUE(Metadata!H208))),Metadata!H208&gt;=-413))</f>
        <v>0</v>
      </c>
      <c r="AV208" t="b">
        <f>AND(IF(Metadata!I208="",FALSE,TRUE),EXACT(Metadata!I208,"meters"))</f>
        <v>0</v>
      </c>
      <c r="AW208" t="b">
        <f>AND(IF(Metadata!J208="",FALSE,TRUE),EXACT(Metadata!J208,"free-living"))</f>
        <v>0</v>
      </c>
      <c r="AX208" t="b">
        <f>AND(IF(Metadata!K208="",FALSE,TRUE),OR(EXACT(Metadata!K208,"saline"),EXACT(Metadata!K208,"non-saline")))</f>
        <v>0</v>
      </c>
      <c r="AY208" t="b">
        <f>AND(IF(Metadata!L208="",FALSE,TRUE),OR(EXACT(Metadata!L208,"sub-surface (non-saline)"),EXACT(Metadata!L208,"surface (non-saline)"),EXACT(Metadata!L208,"water (non-saline)"),EXACT(Metadata!L208,"soil (non-saline)"),EXACT(Metadata!L208,"aerosol (non-saline)"),EXACT(Metadata!L208,"sediment (non-saline)"),EXACT(Metadata!L208,"surface (saline)"),EXACT(Metadata!L208,"water (saline)"),EXACT(Metadata!L208,"hypersaline (saline)"),EXACT(Metadata!L208,"aerosol (saline)"),EXACT(Metadata!L208,"sediment (saline)")))</f>
        <v>0</v>
      </c>
      <c r="AZ208" t="b">
        <f>IF(Metadata!M208="",FALSE,TRUE)</f>
        <v>0</v>
      </c>
      <c r="BA208" t="b">
        <f>IF(Metadata!N208="",FALSE,TRUE)</f>
        <v>0</v>
      </c>
      <c r="BB208" t="b">
        <f>IF(Metadata!O208="",FALSE,TRUE)</f>
        <v>0</v>
      </c>
      <c r="BC208" t="b">
        <f>AND(IF(Metadata!P208="",FALSE,TRUE),OR(EXACT(Metadata!P208,"air"),EXACT(Metadata!P208,"microbial mat/biofilm"),EXACT(Metadata!P208,"misc environment"),EXACT(Metadata!P208,"sediment"),EXACT(Metadata!P208,"soil"),EXACT(Metadata!P208,"wastewater/sludge"),EXACT(Metadata!P208,"water")))</f>
        <v>0</v>
      </c>
      <c r="BD208" t="b">
        <f>IF(Metadata!Q208="",FALSE,TRUE)</f>
        <v>0</v>
      </c>
      <c r="BE208" t="b">
        <f>IF(Metadata!R208="",FALSE,TRUE)</f>
        <v>0</v>
      </c>
      <c r="BF208" t="b">
        <f>OR(AND(IF(Metadata!S208="",FALSE,TRUE),OR(EXACT(Metadata!S208,"not collected"),EXACT(Metadata!S208,"not provided"),EXACT(Metadata!S208,"restricted access"))),AND(IF(Metadata!S208="",FALSE,ISNUMBER(VALUE(Metadata!S208))),Metadata!S208&gt;=-90,Metadata!S208&lt;=90))</f>
        <v>0</v>
      </c>
      <c r="BG208" t="b">
        <f>AND(IF(Metadata!T208="",FALSE,TRUE),EXACT(Metadata!T208,"Decimal degrees"))</f>
        <v>0</v>
      </c>
      <c r="BH208" t="b">
        <f>OR(AND(IF(Metadata!U208="",FALSE,TRUE),OR(EXACT(Metadata!U208,"not applicable"),EXACT(Metadata!U208,"not collected"))),IF(Metadata!U208="",FALSE,TRUE))</f>
        <v>0</v>
      </c>
      <c r="BI208" t="b">
        <f>OR(AND(IF(Metadata!V208="",FALSE,TRUE),OR(EXACT(Metadata!V208,"not collected"),EXACT(Metadata!V208,"not provided"),EXACT(Metadata!V208,"restricted access"))),AND(IF(Metadata!V208="",FALSE,ISNUMBER(VALUE(Metadata!V208))),Metadata!V208&gt;=-180,Metadata!V208&lt;=180))</f>
        <v>0</v>
      </c>
      <c r="BJ208" t="b">
        <f>AND(IF(Metadata!W208="",FALSE,TRUE),EXACT(Metadata!W208,"Decimal degrees"))</f>
        <v>0</v>
      </c>
      <c r="BK208" t="b">
        <f>IF(Metadata!X208="",FALSE,TRUE)</f>
        <v>0</v>
      </c>
      <c r="BL208" t="b">
        <f>OR(AND(IF(Metadata!Y208="",FALSE,TRUE),OR(EXACT(Metadata!Y208,"not collected"),EXACT(Metadata!Y208,"not provided"),EXACT(Metadata!Y208,"restricted access"))),AND(IF(Metadata!Y208="",FALSE,TRUE),OR(EXACT(Metadata!Y208,"TRUE"),EXACT(Metadata!Y208,"FALSE"))))</f>
        <v>0</v>
      </c>
      <c r="BM208" t="b">
        <f>OR(AND(IF(Metadata!Z208="",FALSE,TRUE),EXACT(Metadata!Z208,"not applicable")),AND(IF(Metadata!Z208="",FALSE,TRUE),OR(EXACT(Metadata!Z208,"beer"),EXACT(Metadata!Z208,"cheese"),EXACT(Metadata!Z208,"fresh water"),EXACT(Metadata!Z208,"marine sediment"),EXACT(Metadata!Z208,"sea water"),EXACT(Metadata!Z208,"sediment"),EXACT(Metadata!Z208,"soil"),EXACT(Metadata!Z208,"waste water"))))</f>
        <v>0</v>
      </c>
      <c r="BN208" t="b">
        <f>AND(IF(Metadata!AA208="",FALSE,TRUE),EXACT(Metadata!AA208,"metagenome"))</f>
        <v>0</v>
      </c>
      <c r="BO208" t="b">
        <f>AND(IF(Metadata!AB208="",FALSE,TRUE),EXACT(Metadata!AB208,"256318"))</f>
        <v>0</v>
      </c>
      <c r="BP208" t="b">
        <f>IF(Metadata!AC208="",FALSE,TRUE)</f>
        <v>0</v>
      </c>
      <c r="BQ208" t="b">
        <f>IF(Metadata!AD208="",FALSE,TRUE)</f>
        <v>0</v>
      </c>
    </row>
    <row r="209" spans="1:69" x14ac:dyDescent="0.2">
      <c r="A209" s="4" t="e">
        <f ca="1">IF(B209=" "," ",HYPERLINK(CONCATENATE("#metadata!",ADDRESS(INDEX($AJ$2:$AJ$1001,MATCH(ROWS($AH$2:AH209),$AH$2:$AH$1001,0),0),2)),INDEX($AM$2:$AM$1001,MATCH(ROWS($AH$2:AH209),$AH$2:$AH$1001,0),0)))</f>
        <v>#N/A</v>
      </c>
      <c r="B209" s="5" t="e">
        <f ca="1">IF(OR(INDEX($AI$2:$AI$1001,MATCH(ROWS($AH$2:AH209),$AH$2:$AH$1001,0),1)&gt;=100000,INDEX($AO$1005:$BQ$1005,1,MATCH(COLUMNS($AO$1006:AO1006),$AO$1006:$BQ$1006,0))&gt;=100000), " ",IF(INDEX($AO$2:$BQ$1001,MATCH(ROWS($AH$2:AH209),$AH$2:$AH$1001,0),MATCH(COLUMNS($AO$1006:AO1006),$AO$1006:$BQ$1006,0)), HYPERLINK("#",""), HYPERLINK(CONCATENATE("#Metadata!", ADDRESS(INDEX($AJ$2:$AJ$1001,MATCH(ROWS($AH$2:AH209),$AH$2:$AH$1001,0),0), INDEX($AO$1004:$BQ$1004,1,MATCH(COLUMNS($AO$1006:AO1006),$AO$1006:$BQ$1006,0)))),"Fix")))</f>
        <v>#N/A</v>
      </c>
      <c r="C209" s="5" t="e">
        <f ca="1">IF(OR(INDEX($AI$2:$AI$1001,MATCH(ROWS($AH$2:AH209),$AH$2:$AH$1001,0),1)&gt;=100000,INDEX($AO$1005:$BQ$1005,1,MATCH(COLUMNS($AO$1006:AP1006),$AO$1006:$BQ$1006,0))&gt;=100000), " ",IF(INDEX($AO$2:$BQ$1001,MATCH(ROWS($AH$2:AH209),$AH$2:$AH$1001,0),MATCH(COLUMNS($AO$1006:AP1006),$AO$1006:$BQ$1006,0)), HYPERLINK("#",""), HYPERLINK(CONCATENATE("#Metadata!", ADDRESS(INDEX($AJ$2:$AJ$1001,MATCH(ROWS($AH$2:AH209),$AH$2:$AH$1001,0),0), INDEX($AO$1004:$BQ$1004,1,MATCH(COLUMNS($AO$1006:AP1006),$AO$1006:$BQ$1006,0)))),"Fix")))</f>
        <v>#N/A</v>
      </c>
      <c r="D209" s="5" t="e">
        <f ca="1">IF(OR(INDEX($AI$2:$AI$1001,MATCH(ROWS($AH$2:AH209),$AH$2:$AH$1001,0),1)&gt;=100000,INDEX($AO$1005:$BQ$1005,1,MATCH(COLUMNS($AO$1006:AQ1006),$AO$1006:$BQ$1006,0))&gt;=100000), " ",IF(INDEX($AO$2:$BQ$1001,MATCH(ROWS($AH$2:AH209),$AH$2:$AH$1001,0),MATCH(COLUMNS($AO$1006:AQ1006),$AO$1006:$BQ$1006,0)), HYPERLINK("#",""), HYPERLINK(CONCATENATE("#Metadata!", ADDRESS(INDEX($AJ$2:$AJ$1001,MATCH(ROWS($AH$2:AH209),$AH$2:$AH$1001,0),0), INDEX($AO$1004:$BQ$1004,1,MATCH(COLUMNS($AO$1006:AQ1006),$AO$1006:$BQ$1006,0)))),"Fix")))</f>
        <v>#N/A</v>
      </c>
      <c r="E209" s="5" t="e">
        <f ca="1">IF(OR(INDEX($AI$2:$AI$1001,MATCH(ROWS($AH$2:AH209),$AH$2:$AH$1001,0),1)&gt;=100000,INDEX($AO$1005:$BQ$1005,1,MATCH(COLUMNS($AO$1006:AR1006),$AO$1006:$BQ$1006,0))&gt;=100000), " ",IF(INDEX($AO$2:$BQ$1001,MATCH(ROWS($AH$2:AH209),$AH$2:$AH$1001,0),MATCH(COLUMNS($AO$1006:AR1006),$AO$1006:$BQ$1006,0)), HYPERLINK("#",""), HYPERLINK(CONCATENATE("#Metadata!", ADDRESS(INDEX($AJ$2:$AJ$1001,MATCH(ROWS($AH$2:AH209),$AH$2:$AH$1001,0),0), INDEX($AO$1004:$BQ$1004,1,MATCH(COLUMNS($AO$1006:AR1006),$AO$1006:$BQ$1006,0)))),"Fix")))</f>
        <v>#N/A</v>
      </c>
      <c r="F209" s="5" t="e">
        <f ca="1">IF(OR(INDEX($AI$2:$AI$1001,MATCH(ROWS($AH$2:AH209),$AH$2:$AH$1001,0),1)&gt;=100000,INDEX($AO$1005:$BQ$1005,1,MATCH(COLUMNS($AO$1006:AS1006),$AO$1006:$BQ$1006,0))&gt;=100000), " ",IF(INDEX($AO$2:$BQ$1001,MATCH(ROWS($AH$2:AH209),$AH$2:$AH$1001,0),MATCH(COLUMNS($AO$1006:AS1006),$AO$1006:$BQ$1006,0)), HYPERLINK("#",""), HYPERLINK(CONCATENATE("#Metadata!", ADDRESS(INDEX($AJ$2:$AJ$1001,MATCH(ROWS($AH$2:AH209),$AH$2:$AH$1001,0),0), INDEX($AO$1004:$BQ$1004,1,MATCH(COLUMNS($AO$1006:AS1006),$AO$1006:$BQ$1006,0)))),"Fix")))</f>
        <v>#N/A</v>
      </c>
      <c r="G209" s="5" t="e">
        <f ca="1">IF(OR(INDEX($AI$2:$AI$1001,MATCH(ROWS($AH$2:AH209),$AH$2:$AH$1001,0),1)&gt;=100000,INDEX($AO$1005:$BQ$1005,1,MATCH(COLUMNS($AO$1006:AT1006),$AO$1006:$BQ$1006,0))&gt;=100000), " ",IF(INDEX($AO$2:$BQ$1001,MATCH(ROWS($AH$2:AH209),$AH$2:$AH$1001,0),MATCH(COLUMNS($AO$1006:AT1006),$AO$1006:$BQ$1006,0)), HYPERLINK("#",""), HYPERLINK(CONCATENATE("#Metadata!", ADDRESS(INDEX($AJ$2:$AJ$1001,MATCH(ROWS($AH$2:AH209),$AH$2:$AH$1001,0),0), INDEX($AO$1004:$BQ$1004,1,MATCH(COLUMNS($AO$1006:AT1006),$AO$1006:$BQ$1006,0)))),"Fix")))</f>
        <v>#N/A</v>
      </c>
      <c r="H209" s="5" t="e">
        <f ca="1">IF(OR(INDEX($AI$2:$AI$1001,MATCH(ROWS($AH$2:AH209),$AH$2:$AH$1001,0),1)&gt;=100000,INDEX($AO$1005:$BQ$1005,1,MATCH(COLUMNS($AO$1006:AU1006),$AO$1006:$BQ$1006,0))&gt;=100000), " ",IF(INDEX($AO$2:$BQ$1001,MATCH(ROWS($AH$2:AH209),$AH$2:$AH$1001,0),MATCH(COLUMNS($AO$1006:AU1006),$AO$1006:$BQ$1006,0)), HYPERLINK("#",""), HYPERLINK(CONCATENATE("#Metadata!", ADDRESS(INDEX($AJ$2:$AJ$1001,MATCH(ROWS($AH$2:AH209),$AH$2:$AH$1001,0),0), INDEX($AO$1004:$BQ$1004,1,MATCH(COLUMNS($AO$1006:AU1006),$AO$1006:$BQ$1006,0)))),"Fix")))</f>
        <v>#N/A</v>
      </c>
      <c r="I209" s="5" t="e">
        <f ca="1">IF(OR(INDEX($AI$2:$AI$1001,MATCH(ROWS($AH$2:AH209),$AH$2:$AH$1001,0),1)&gt;=100000,INDEX($AO$1005:$BQ$1005,1,MATCH(COLUMNS($AO$1006:AV1006),$AO$1006:$BQ$1006,0))&gt;=100000), " ",IF(INDEX($AO$2:$BQ$1001,MATCH(ROWS($AH$2:AH209),$AH$2:$AH$1001,0),MATCH(COLUMNS($AO$1006:AV1006),$AO$1006:$BQ$1006,0)), HYPERLINK("#",""), HYPERLINK(CONCATENATE("#Metadata!", ADDRESS(INDEX($AJ$2:$AJ$1001,MATCH(ROWS($AH$2:AH209),$AH$2:$AH$1001,0),0), INDEX($AO$1004:$BQ$1004,1,MATCH(COLUMNS($AO$1006:AV1006),$AO$1006:$BQ$1006,0)))),"Fix")))</f>
        <v>#N/A</v>
      </c>
      <c r="J209" s="5" t="e">
        <f ca="1">IF(OR(INDEX($AI$2:$AI$1001,MATCH(ROWS($AH$2:AH209),$AH$2:$AH$1001,0),1)&gt;=100000,INDEX($AO$1005:$BQ$1005,1,MATCH(COLUMNS($AO$1006:AW1006),$AO$1006:$BQ$1006,0))&gt;=100000), " ",IF(INDEX($AO$2:$BQ$1001,MATCH(ROWS($AH$2:AH209),$AH$2:$AH$1001,0),MATCH(COLUMNS($AO$1006:AW1006),$AO$1006:$BQ$1006,0)), HYPERLINK("#",""), HYPERLINK(CONCATENATE("#Metadata!", ADDRESS(INDEX($AJ$2:$AJ$1001,MATCH(ROWS($AH$2:AH209),$AH$2:$AH$1001,0),0), INDEX($AO$1004:$BQ$1004,1,MATCH(COLUMNS($AO$1006:AW1006),$AO$1006:$BQ$1006,0)))),"Fix")))</f>
        <v>#N/A</v>
      </c>
      <c r="K209" s="5" t="e">
        <f ca="1">IF(OR(INDEX($AI$2:$AI$1001,MATCH(ROWS($AH$2:AH209),$AH$2:$AH$1001,0),1)&gt;=100000,INDEX($AO$1005:$BQ$1005,1,MATCH(COLUMNS($AO$1006:AX1006),$AO$1006:$BQ$1006,0))&gt;=100000), " ",IF(INDEX($AO$2:$BQ$1001,MATCH(ROWS($AH$2:AH209),$AH$2:$AH$1001,0),MATCH(COLUMNS($AO$1006:AX1006),$AO$1006:$BQ$1006,0)), HYPERLINK("#",""), HYPERLINK(CONCATENATE("#Metadata!", ADDRESS(INDEX($AJ$2:$AJ$1001,MATCH(ROWS($AH$2:AH209),$AH$2:$AH$1001,0),0), INDEX($AO$1004:$BQ$1004,1,MATCH(COLUMNS($AO$1006:AX1006),$AO$1006:$BQ$1006,0)))),"Fix")))</f>
        <v>#N/A</v>
      </c>
      <c r="L209" s="5" t="e">
        <f ca="1">IF(OR(INDEX($AI$2:$AI$1001,MATCH(ROWS($AH$2:AH209),$AH$2:$AH$1001,0),1)&gt;=100000,INDEX($AO$1005:$BQ$1005,1,MATCH(COLUMNS($AO$1006:AY1006),$AO$1006:$BQ$1006,0))&gt;=100000), " ",IF(INDEX($AO$2:$BQ$1001,MATCH(ROWS($AH$2:AH209),$AH$2:$AH$1001,0),MATCH(COLUMNS($AO$1006:AY1006),$AO$1006:$BQ$1006,0)), HYPERLINK("#",""), HYPERLINK(CONCATENATE("#Metadata!", ADDRESS(INDEX($AJ$2:$AJ$1001,MATCH(ROWS($AH$2:AH209),$AH$2:$AH$1001,0),0), INDEX($AO$1004:$BQ$1004,1,MATCH(COLUMNS($AO$1006:AY1006),$AO$1006:$BQ$1006,0)))),"Fix")))</f>
        <v>#N/A</v>
      </c>
      <c r="M209" s="5" t="e">
        <f ca="1">IF(OR(INDEX($AI$2:$AI$1001,MATCH(ROWS($AH$2:AH209),$AH$2:$AH$1001,0),1)&gt;=100000,INDEX($AO$1005:$BQ$1005,1,MATCH(COLUMNS($AO$1006:AZ1006),$AO$1006:$BQ$1006,0))&gt;=100000), " ",IF(INDEX($AO$2:$BQ$1001,MATCH(ROWS($AH$2:AH209),$AH$2:$AH$1001,0),MATCH(COLUMNS($AO$1006:AZ1006),$AO$1006:$BQ$1006,0)), HYPERLINK("#",""), HYPERLINK(CONCATENATE("#Metadata!", ADDRESS(INDEX($AJ$2:$AJ$1001,MATCH(ROWS($AH$2:AH209),$AH$2:$AH$1001,0),0), INDEX($AO$1004:$BQ$1004,1,MATCH(COLUMNS($AO$1006:AZ1006),$AO$1006:$BQ$1006,0)))),"Fix")))</f>
        <v>#N/A</v>
      </c>
      <c r="N209" s="5" t="e">
        <f ca="1">IF(OR(INDEX($AI$2:$AI$1001,MATCH(ROWS($AH$2:AH209),$AH$2:$AH$1001,0),1)&gt;=100000,INDEX($AO$1005:$BQ$1005,1,MATCH(COLUMNS($AO$1006:BA1006),$AO$1006:$BQ$1006,0))&gt;=100000), " ",IF(INDEX($AO$2:$BQ$1001,MATCH(ROWS($AH$2:AH209),$AH$2:$AH$1001,0),MATCH(COLUMNS($AO$1006:BA1006),$AO$1006:$BQ$1006,0)), HYPERLINK("#",""), HYPERLINK(CONCATENATE("#Metadata!", ADDRESS(INDEX($AJ$2:$AJ$1001,MATCH(ROWS($AH$2:AH209),$AH$2:$AH$1001,0),0), INDEX($AO$1004:$BQ$1004,1,MATCH(COLUMNS($AO$1006:BA1006),$AO$1006:$BQ$1006,0)))),"Fix")))</f>
        <v>#N/A</v>
      </c>
      <c r="O209" s="5" t="e">
        <f ca="1">IF(OR(INDEX($AI$2:$AI$1001,MATCH(ROWS($AH$2:AH209),$AH$2:$AH$1001,0),1)&gt;=100000,INDEX($AO$1005:$BQ$1005,1,MATCH(COLUMNS($AO$1006:BB1006),$AO$1006:$BQ$1006,0))&gt;=100000), " ",IF(INDEX($AO$2:$BQ$1001,MATCH(ROWS($AH$2:AH209),$AH$2:$AH$1001,0),MATCH(COLUMNS($AO$1006:BB1006),$AO$1006:$BQ$1006,0)), HYPERLINK("#",""), HYPERLINK(CONCATENATE("#Metadata!", ADDRESS(INDEX($AJ$2:$AJ$1001,MATCH(ROWS($AH$2:AH209),$AH$2:$AH$1001,0),0), INDEX($AO$1004:$BQ$1004,1,MATCH(COLUMNS($AO$1006:BB1006),$AO$1006:$BQ$1006,0)))),"Fix")))</f>
        <v>#N/A</v>
      </c>
      <c r="P209" s="5" t="e">
        <f ca="1">IF(OR(INDEX($AI$2:$AI$1001,MATCH(ROWS($AH$2:AH209),$AH$2:$AH$1001,0),1)&gt;=100000,INDEX($AO$1005:$BQ$1005,1,MATCH(COLUMNS($AO$1006:BC1006),$AO$1006:$BQ$1006,0))&gt;=100000), " ",IF(INDEX($AO$2:$BQ$1001,MATCH(ROWS($AH$2:AH209),$AH$2:$AH$1001,0),MATCH(COLUMNS($AO$1006:BC1006),$AO$1006:$BQ$1006,0)), HYPERLINK("#",""), HYPERLINK(CONCATENATE("#Metadata!", ADDRESS(INDEX($AJ$2:$AJ$1001,MATCH(ROWS($AH$2:AH209),$AH$2:$AH$1001,0),0), INDEX($AO$1004:$BQ$1004,1,MATCH(COLUMNS($AO$1006:BC1006),$AO$1006:$BQ$1006,0)))),"Fix")))</f>
        <v>#N/A</v>
      </c>
      <c r="Q209" s="5" t="e">
        <f ca="1">IF(OR(INDEX($AI$2:$AI$1001,MATCH(ROWS($AH$2:AH209),$AH$2:$AH$1001,0),1)&gt;=100000,INDEX($AO$1005:$BQ$1005,1,MATCH(COLUMNS($AO$1006:BD1006),$AO$1006:$BQ$1006,0))&gt;=100000), " ",IF(INDEX($AO$2:$BQ$1001,MATCH(ROWS($AH$2:AH209),$AH$2:$AH$1001,0),MATCH(COLUMNS($AO$1006:BD1006),$AO$1006:$BQ$1006,0)), HYPERLINK("#",""), HYPERLINK(CONCATENATE("#Metadata!", ADDRESS(INDEX($AJ$2:$AJ$1001,MATCH(ROWS($AH$2:AH209),$AH$2:$AH$1001,0),0), INDEX($AO$1004:$BQ$1004,1,MATCH(COLUMNS($AO$1006:BD1006),$AO$1006:$BQ$1006,0)))),"Fix")))</f>
        <v>#N/A</v>
      </c>
      <c r="R209" s="5" t="e">
        <f ca="1">IF(OR(INDEX($AI$2:$AI$1001,MATCH(ROWS($AH$2:AH209),$AH$2:$AH$1001,0),1)&gt;=100000,INDEX($AO$1005:$BQ$1005,1,MATCH(COLUMNS($AO$1006:BE1006),$AO$1006:$BQ$1006,0))&gt;=100000), " ",IF(INDEX($AO$2:$BQ$1001,MATCH(ROWS($AH$2:AH209),$AH$2:$AH$1001,0),MATCH(COLUMNS($AO$1006:BE1006),$AO$1006:$BQ$1006,0)), HYPERLINK("#",""), HYPERLINK(CONCATENATE("#Metadata!", ADDRESS(INDEX($AJ$2:$AJ$1001,MATCH(ROWS($AH$2:AH209),$AH$2:$AH$1001,0),0), INDEX($AO$1004:$BQ$1004,1,MATCH(COLUMNS($AO$1006:BE1006),$AO$1006:$BQ$1006,0)))),"Fix")))</f>
        <v>#N/A</v>
      </c>
      <c r="S209" s="5" t="e">
        <f ca="1">IF(OR(INDEX($AI$2:$AI$1001,MATCH(ROWS($AH$2:AH209),$AH$2:$AH$1001,0),1)&gt;=100000,INDEX($AO$1005:$BQ$1005,1,MATCH(COLUMNS($AO$1006:BF1006),$AO$1006:$BQ$1006,0))&gt;=100000), " ",IF(INDEX($AO$2:$BQ$1001,MATCH(ROWS($AH$2:AH209),$AH$2:$AH$1001,0),MATCH(COLUMNS($AO$1006:BF1006),$AO$1006:$BQ$1006,0)), HYPERLINK("#",""), HYPERLINK(CONCATENATE("#Metadata!", ADDRESS(INDEX($AJ$2:$AJ$1001,MATCH(ROWS($AH$2:AH209),$AH$2:$AH$1001,0),0), INDEX($AO$1004:$BQ$1004,1,MATCH(COLUMNS($AO$1006:BF1006),$AO$1006:$BQ$1006,0)))),"Fix")))</f>
        <v>#N/A</v>
      </c>
      <c r="T209" s="5" t="e">
        <f ca="1">IF(OR(INDEX($AI$2:$AI$1001,MATCH(ROWS($AH$2:AH209),$AH$2:$AH$1001,0),1)&gt;=100000,INDEX($AO$1005:$BQ$1005,1,MATCH(COLUMNS($AO$1006:BG1006),$AO$1006:$BQ$1006,0))&gt;=100000), " ",IF(INDEX($AO$2:$BQ$1001,MATCH(ROWS($AH$2:AH209),$AH$2:$AH$1001,0),MATCH(COLUMNS($AO$1006:BG1006),$AO$1006:$BQ$1006,0)), HYPERLINK("#",""), HYPERLINK(CONCATENATE("#Metadata!", ADDRESS(INDEX($AJ$2:$AJ$1001,MATCH(ROWS($AH$2:AH209),$AH$2:$AH$1001,0),0), INDEX($AO$1004:$BQ$1004,1,MATCH(COLUMNS($AO$1006:BG1006),$AO$1006:$BQ$1006,0)))),"Fix")))</f>
        <v>#N/A</v>
      </c>
      <c r="U209" s="5" t="e">
        <f ca="1">IF(OR(INDEX($AI$2:$AI$1001,MATCH(ROWS($AH$2:AH209),$AH$2:$AH$1001,0),1)&gt;=100000,INDEX($AO$1005:$BQ$1005,1,MATCH(COLUMNS($AO$1006:BH1006),$AO$1006:$BQ$1006,0))&gt;=100000), " ",IF(INDEX($AO$2:$BQ$1001,MATCH(ROWS($AH$2:AH209),$AH$2:$AH$1001,0),MATCH(COLUMNS($AO$1006:BH1006),$AO$1006:$BQ$1006,0)), HYPERLINK("#",""), HYPERLINK(CONCATENATE("#Metadata!", ADDRESS(INDEX($AJ$2:$AJ$1001,MATCH(ROWS($AH$2:AH209),$AH$2:$AH$1001,0),0), INDEX($AO$1004:$BQ$1004,1,MATCH(COLUMNS($AO$1006:BH1006),$AO$1006:$BQ$1006,0)))),"Fix")))</f>
        <v>#N/A</v>
      </c>
      <c r="V209" s="5" t="e">
        <f ca="1">IF(OR(INDEX($AI$2:$AI$1001,MATCH(ROWS($AH$2:AH209),$AH$2:$AH$1001,0),1)&gt;=100000,INDEX($AO$1005:$BQ$1005,1,MATCH(COLUMNS($AO$1006:BI1006),$AO$1006:$BQ$1006,0))&gt;=100000), " ",IF(INDEX($AO$2:$BQ$1001,MATCH(ROWS($AH$2:AH209),$AH$2:$AH$1001,0),MATCH(COLUMNS($AO$1006:BI1006),$AO$1006:$BQ$1006,0)), HYPERLINK("#",""), HYPERLINK(CONCATENATE("#Metadata!", ADDRESS(INDEX($AJ$2:$AJ$1001,MATCH(ROWS($AH$2:AH209),$AH$2:$AH$1001,0),0), INDEX($AO$1004:$BQ$1004,1,MATCH(COLUMNS($AO$1006:BI1006),$AO$1006:$BQ$1006,0)))),"Fix")))</f>
        <v>#N/A</v>
      </c>
      <c r="W209" s="5" t="e">
        <f ca="1">IF(OR(INDEX($AI$2:$AI$1001,MATCH(ROWS($AH$2:AH209),$AH$2:$AH$1001,0),1)&gt;=100000,INDEX($AO$1005:$BQ$1005,1,MATCH(COLUMNS($AO$1006:BJ1006),$AO$1006:$BQ$1006,0))&gt;=100000), " ",IF(INDEX($AO$2:$BQ$1001,MATCH(ROWS($AH$2:AH209),$AH$2:$AH$1001,0),MATCH(COLUMNS($AO$1006:BJ1006),$AO$1006:$BQ$1006,0)), HYPERLINK("#",""), HYPERLINK(CONCATENATE("#Metadata!", ADDRESS(INDEX($AJ$2:$AJ$1001,MATCH(ROWS($AH$2:AH209),$AH$2:$AH$1001,0),0), INDEX($AO$1004:$BQ$1004,1,MATCH(COLUMNS($AO$1006:BJ1006),$AO$1006:$BQ$1006,0)))),"Fix")))</f>
        <v>#N/A</v>
      </c>
      <c r="X209" s="5" t="e">
        <f ca="1">IF(OR(INDEX($AI$2:$AI$1001,MATCH(ROWS($AH$2:AH209),$AH$2:$AH$1001,0),1)&gt;=100000,INDEX($AO$1005:$BQ$1005,1,MATCH(COLUMNS($AO$1006:BK1006),$AO$1006:$BQ$1006,0))&gt;=100000), " ",IF(INDEX($AO$2:$BQ$1001,MATCH(ROWS($AH$2:AH209),$AH$2:$AH$1001,0),MATCH(COLUMNS($AO$1006:BK1006),$AO$1006:$BQ$1006,0)), HYPERLINK("#",""), HYPERLINK(CONCATENATE("#Metadata!", ADDRESS(INDEX($AJ$2:$AJ$1001,MATCH(ROWS($AH$2:AH209),$AH$2:$AH$1001,0),0), INDEX($AO$1004:$BQ$1004,1,MATCH(COLUMNS($AO$1006:BK1006),$AO$1006:$BQ$1006,0)))),"Fix")))</f>
        <v>#N/A</v>
      </c>
      <c r="Y209" s="5" t="e">
        <f ca="1">IF(OR(INDEX($AI$2:$AI$1001,MATCH(ROWS($AH$2:AH209),$AH$2:$AH$1001,0),1)&gt;=100000,INDEX($AO$1005:$BQ$1005,1,MATCH(COLUMNS($AO$1006:BL1006),$AO$1006:$BQ$1006,0))&gt;=100000), " ",IF(INDEX($AO$2:$BQ$1001,MATCH(ROWS($AH$2:AH209),$AH$2:$AH$1001,0),MATCH(COLUMNS($AO$1006:BL1006),$AO$1006:$BQ$1006,0)), HYPERLINK("#",""), HYPERLINK(CONCATENATE("#Metadata!", ADDRESS(INDEX($AJ$2:$AJ$1001,MATCH(ROWS($AH$2:AH209),$AH$2:$AH$1001,0),0), INDEX($AO$1004:$BQ$1004,1,MATCH(COLUMNS($AO$1006:BL1006),$AO$1006:$BQ$1006,0)))),"Fix")))</f>
        <v>#N/A</v>
      </c>
      <c r="Z209" s="5" t="e">
        <f ca="1">IF(OR(INDEX($AI$2:$AI$1001,MATCH(ROWS($AH$2:AH209),$AH$2:$AH$1001,0),1)&gt;=100000,INDEX($AO$1005:$BQ$1005,1,MATCH(COLUMNS($AO$1006:BM1006),$AO$1006:$BQ$1006,0))&gt;=100000), " ",IF(INDEX($AO$2:$BQ$1001,MATCH(ROWS($AH$2:AH209),$AH$2:$AH$1001,0),MATCH(COLUMNS($AO$1006:BM1006),$AO$1006:$BQ$1006,0)), HYPERLINK("#",""), HYPERLINK(CONCATENATE("#Metadata!", ADDRESS(INDEX($AJ$2:$AJ$1001,MATCH(ROWS($AH$2:AH209),$AH$2:$AH$1001,0),0), INDEX($AO$1004:$BQ$1004,1,MATCH(COLUMNS($AO$1006:BM1006),$AO$1006:$BQ$1006,0)))),"Fix")))</f>
        <v>#N/A</v>
      </c>
      <c r="AA209" s="5" t="e">
        <f ca="1">IF(OR(INDEX($AI$2:$AI$1001,MATCH(ROWS($AH$2:AH209),$AH$2:$AH$1001,0),1)&gt;=100000,INDEX($AO$1005:$BQ$1005,1,MATCH(COLUMNS($AO$1006:BN1006),$AO$1006:$BQ$1006,0))&gt;=100000), " ",IF(INDEX($AO$2:$BQ$1001,MATCH(ROWS($AH$2:AH209),$AH$2:$AH$1001,0),MATCH(COLUMNS($AO$1006:BN1006),$AO$1006:$BQ$1006,0)), HYPERLINK("#",""), HYPERLINK(CONCATENATE("#Metadata!", ADDRESS(INDEX($AJ$2:$AJ$1001,MATCH(ROWS($AH$2:AH209),$AH$2:$AH$1001,0),0), INDEX($AO$1004:$BQ$1004,1,MATCH(COLUMNS($AO$1006:BN1006),$AO$1006:$BQ$1006,0)))),"Fix")))</f>
        <v>#N/A</v>
      </c>
      <c r="AB209" s="5" t="e">
        <f ca="1">IF(OR(INDEX($AI$2:$AI$1001,MATCH(ROWS($AH$2:AH209),$AH$2:$AH$1001,0),1)&gt;=100000,INDEX($AO$1005:$BQ$1005,1,MATCH(COLUMNS($AO$1006:BO1006),$AO$1006:$BQ$1006,0))&gt;=100000), " ",IF(INDEX($AO$2:$BQ$1001,MATCH(ROWS($AH$2:AH209),$AH$2:$AH$1001,0),MATCH(COLUMNS($AO$1006:BO1006),$AO$1006:$BQ$1006,0)), HYPERLINK("#",""), HYPERLINK(CONCATENATE("#Metadata!", ADDRESS(INDEX($AJ$2:$AJ$1001,MATCH(ROWS($AH$2:AH209),$AH$2:$AH$1001,0),0), INDEX($AO$1004:$BQ$1004,1,MATCH(COLUMNS($AO$1006:BO1006),$AO$1006:$BQ$1006,0)))),"Fix")))</f>
        <v>#N/A</v>
      </c>
      <c r="AC209" s="5" t="e">
        <f ca="1">IF(OR(INDEX($AI$2:$AI$1001,MATCH(ROWS($AH$2:AH209),$AH$2:$AH$1001,0),1)&gt;=100000,INDEX($AO$1005:$BQ$1005,1,MATCH(COLUMNS($AO$1006:BP1006),$AO$1006:$BQ$1006,0))&gt;=100000), " ",IF(INDEX($AO$2:$BQ$1001,MATCH(ROWS($AH$2:AH209),$AH$2:$AH$1001,0),MATCH(COLUMNS($AO$1006:BP1006),$AO$1006:$BQ$1006,0)), HYPERLINK("#",""), HYPERLINK(CONCATENATE("#Metadata!", ADDRESS(INDEX($AJ$2:$AJ$1001,MATCH(ROWS($AH$2:AH209),$AH$2:$AH$1001,0),0), INDEX($AO$1004:$BQ$1004,1,MATCH(COLUMNS($AO$1006:BP1006),$AO$1006:$BQ$1006,0)))),"Fix")))</f>
        <v>#N/A</v>
      </c>
      <c r="AD209" s="5" t="e">
        <f ca="1">IF(OR(INDEX($AI$2:$AI$1001,MATCH(ROWS($AH$2:AH209),$AH$2:$AH$1001,0),1)&gt;=100000,INDEX($AO$1005:$BQ$1005,1,MATCH(COLUMNS($AO$1006:BQ1006),$AO$1006:$BQ$1006,0))&gt;=100000), " ",IF(INDEX($AO$2:$BQ$1001,MATCH(ROWS($AH$2:AH209),$AH$2:$AH$1001,0),MATCH(COLUMNS($AO$1006:BQ1006),$AO$1006:$BQ$1006,0)), HYPERLINK("#",""), HYPERLINK(CONCATENATE("#Metadata!", ADDRESS(INDEX($AJ$2:$AJ$1001,MATCH(ROWS($AH$2:AH209),$AH$2:$AH$1001,0),0), INDEX($AO$1004:$BQ$1004,1,MATCH(COLUMNS($AO$1006:BQ1006),$AO$1006:$BQ$1006,0)))),"Fix")))</f>
        <v>#REF!</v>
      </c>
      <c r="AH209">
        <f ca="1"/>
        <v>206</v>
      </c>
      <c r="AI209">
        <v>100209</v>
      </c>
      <c r="AJ209">
        <v>209</v>
      </c>
      <c r="AK209" t="b">
        <f t="shared" si="3"/>
        <v>1</v>
      </c>
      <c r="AL209" t="b">
        <f>COUNTBLANK(Metadata!B209:AD209)=COLUMNS(Metadata!B209:AD209)</f>
        <v>1</v>
      </c>
      <c r="AM209" t="str">
        <v/>
      </c>
      <c r="AO209" t="b">
        <f ca="1">AND(IF(Metadata!B209="",FALSE,TRUE),COUNTIF(Metadata!B:B, Metadata!B209) = 1,NOT(ISERROR(SUMPRODUCT(SEARCH(MID(Metadata!B209,ROW(INDIRECT("1:"&amp;LEN(Metadata!B209))), 1),"0123456789abcdefghijklmnopqrstuvwxyzABCDEFGHIJKLMNOPQRSTUVWXYZ.")))))</f>
        <v>0</v>
      </c>
      <c r="AP209" t="b">
        <f>IF(Metadata!C209="",FALSE,TRUE)</f>
        <v>0</v>
      </c>
      <c r="AQ209" t="b">
        <f>IF(Metadata!D209="",FALSE,TRUE)</f>
        <v>0</v>
      </c>
      <c r="AR209" t="b">
        <f ca="1">OR(AND(IF(Metadata!E209="",FALSE,TRUE),OR(EXACT(Metadata!E209,"not collected"),EXACT(Metadata!E209,"not provided"),EXACT(Metadata!E209,"restricted access"))),AND(IF(Metadata!E209="",FALSE,TRUE),AND(AND(IFERROR(INT(LEFT(Metadata!E209,4))&gt;1900,FALSE),IFERROR(INT(LEFT(Metadata!E209,4))&lt;=YEAR(NOW()),FALSE)), OR(MID(Metadata!E209,5,1)="", AND(AND(MID(Metadata!E209,5,1)="-",IFERROR(INT(MID(Metadata!E209,6,1))&gt;=0,FALSE),IFERROR(INT(MID(Metadata!E209,6,1))&lt;=1,FALSE),NOT(MID(Metadata!E209,7,1)=""),IFERROR(INT(MID(Metadata!E209,6,2))&gt;=1,FALSE),IFERROR(INT(MID(Metadata!E209,6,2))&lt;=12,FALSE)), OR(MID(Metadata!E209,8,1)="", AND(AND(MID(Metadata!E209,8,1)="-",IFERROR(INT(MID(Metadata!E209,9,1))&gt;=0,FALSE),IFERROR(INT(MID(Metadata!E209,9,1))&lt;=3,FALSE),NOT(MID(Metadata!E209,10,1)=""),IFERROR(INT(MID(Metadata!E209,9,2))&gt;=1,FALSE),IFERROR(INT(MID(Metadata!E209,9,2))&lt;=31,FALSE)), OR(MID(Metadata!E209,11,1)="", AND(AND(MID(Metadata!E209,11,1)=" ",IFERROR(INT(MID(Metadata!E209,12,1))&gt;=0,FALSE),IFERROR(INT(MID(Metadata!E209,12,1))&lt;=2,FALSE),NOT(MID(Metadata!E209,13,1)=""),IFERROR(INT(MID(Metadata!E209,12,2))&gt;=0,FALSE),IFERROR(INT(MID(Metadata!E209,12,2))&lt;=23,FALSE)), OR(MID(Metadata!E209,14,1)="", AND(AND(MID(Metadata!E209,14,1)=":",IFERROR(INT(MID(Metadata!E209,15,1))&gt;=0,FALSE),IFERROR(INT(MID(Metadata!E209,15,1))&lt;=5,FALSE),NOT(MID(Metadata!E209,16,1)=""),IFERROR(INT(MID(Metadata!E209,15,2))&gt;=0,FALSE),IFERROR(INT(MID(Metadata!E209,15,2))&lt;=59,FALSE)), OR(MID(Metadata!E209,17,1)="", AND(AND(MID(Metadata!E209,17,1)=":",IFERROR(INT(MID(Metadata!E209,18,1))&gt;=0,FALSE),IFERROR(INT(MID(Metadata!E209,18,1))&lt;=5,FALSE),NOT(MID(Metadata!E209,19,1)=""),IFERROR(INT(MID(Metadata!E209,18,2))&gt;=0,FALSE),IFERROR(INT(MID(Metadata!E209,18,2))&lt;=59,FALSE)), LEN(Metadata!E209)&lt;=19)))))))))))))</f>
        <v>0</v>
      </c>
      <c r="AS209" t="b">
        <f>IF(Metadata!F209="",FALSE,TRUE)</f>
        <v>0</v>
      </c>
      <c r="AT209" t="b">
        <f>OR(AND(IF(Metadata!G209="",FALSE,TRUE),OR(EXACT(Metadata!G209,"not collected"),EXACT(Metadata!G209,"not provided"))),AND(IF(Metadata!G209="",FALSE,TRUE),OR(EXACT(Metadata!G209,"TRUE"),EXACT(Metadata!G209,"FALSE"))))</f>
        <v>0</v>
      </c>
      <c r="AU209" t="b">
        <f>OR(AND(IF(Metadata!H209="",FALSE,TRUE),OR(EXACT(Metadata!H209,"not collected"),EXACT(Metadata!H209,"not provided"),EXACT(Metadata!H209,"restricted access"))),AND(IF(Metadata!H209="",FALSE,ISNUMBER(VALUE(Metadata!H209))),Metadata!H209&gt;=-413))</f>
        <v>0</v>
      </c>
      <c r="AV209" t="b">
        <f>AND(IF(Metadata!I209="",FALSE,TRUE),EXACT(Metadata!I209,"meters"))</f>
        <v>0</v>
      </c>
      <c r="AW209" t="b">
        <f>AND(IF(Metadata!J209="",FALSE,TRUE),EXACT(Metadata!J209,"free-living"))</f>
        <v>0</v>
      </c>
      <c r="AX209" t="b">
        <f>AND(IF(Metadata!K209="",FALSE,TRUE),OR(EXACT(Metadata!K209,"saline"),EXACT(Metadata!K209,"non-saline")))</f>
        <v>0</v>
      </c>
      <c r="AY209" t="b">
        <f>AND(IF(Metadata!L209="",FALSE,TRUE),OR(EXACT(Metadata!L209,"sub-surface (non-saline)"),EXACT(Metadata!L209,"surface (non-saline)"),EXACT(Metadata!L209,"water (non-saline)"),EXACT(Metadata!L209,"soil (non-saline)"),EXACT(Metadata!L209,"aerosol (non-saline)"),EXACT(Metadata!L209,"sediment (non-saline)"),EXACT(Metadata!L209,"surface (saline)"),EXACT(Metadata!L209,"water (saline)"),EXACT(Metadata!L209,"hypersaline (saline)"),EXACT(Metadata!L209,"aerosol (saline)"),EXACT(Metadata!L209,"sediment (saline)")))</f>
        <v>0</v>
      </c>
      <c r="AZ209" t="b">
        <f>IF(Metadata!M209="",FALSE,TRUE)</f>
        <v>0</v>
      </c>
      <c r="BA209" t="b">
        <f>IF(Metadata!N209="",FALSE,TRUE)</f>
        <v>0</v>
      </c>
      <c r="BB209" t="b">
        <f>IF(Metadata!O209="",FALSE,TRUE)</f>
        <v>0</v>
      </c>
      <c r="BC209" t="b">
        <f>AND(IF(Metadata!P209="",FALSE,TRUE),OR(EXACT(Metadata!P209,"air"),EXACT(Metadata!P209,"microbial mat/biofilm"),EXACT(Metadata!P209,"misc environment"),EXACT(Metadata!P209,"sediment"),EXACT(Metadata!P209,"soil"),EXACT(Metadata!P209,"wastewater/sludge"),EXACT(Metadata!P209,"water")))</f>
        <v>0</v>
      </c>
      <c r="BD209" t="b">
        <f>IF(Metadata!Q209="",FALSE,TRUE)</f>
        <v>0</v>
      </c>
      <c r="BE209" t="b">
        <f>IF(Metadata!R209="",FALSE,TRUE)</f>
        <v>0</v>
      </c>
      <c r="BF209" t="b">
        <f>OR(AND(IF(Metadata!S209="",FALSE,TRUE),OR(EXACT(Metadata!S209,"not collected"),EXACT(Metadata!S209,"not provided"),EXACT(Metadata!S209,"restricted access"))),AND(IF(Metadata!S209="",FALSE,ISNUMBER(VALUE(Metadata!S209))),Metadata!S209&gt;=-90,Metadata!S209&lt;=90))</f>
        <v>0</v>
      </c>
      <c r="BG209" t="b">
        <f>AND(IF(Metadata!T209="",FALSE,TRUE),EXACT(Metadata!T209,"Decimal degrees"))</f>
        <v>0</v>
      </c>
      <c r="BH209" t="b">
        <f>OR(AND(IF(Metadata!U209="",FALSE,TRUE),OR(EXACT(Metadata!U209,"not applicable"),EXACT(Metadata!U209,"not collected"))),IF(Metadata!U209="",FALSE,TRUE))</f>
        <v>0</v>
      </c>
      <c r="BI209" t="b">
        <f>OR(AND(IF(Metadata!V209="",FALSE,TRUE),OR(EXACT(Metadata!V209,"not collected"),EXACT(Metadata!V209,"not provided"),EXACT(Metadata!V209,"restricted access"))),AND(IF(Metadata!V209="",FALSE,ISNUMBER(VALUE(Metadata!V209))),Metadata!V209&gt;=-180,Metadata!V209&lt;=180))</f>
        <v>0</v>
      </c>
      <c r="BJ209" t="b">
        <f>AND(IF(Metadata!W209="",FALSE,TRUE),EXACT(Metadata!W209,"Decimal degrees"))</f>
        <v>0</v>
      </c>
      <c r="BK209" t="b">
        <f>IF(Metadata!X209="",FALSE,TRUE)</f>
        <v>0</v>
      </c>
      <c r="BL209" t="b">
        <f>OR(AND(IF(Metadata!Y209="",FALSE,TRUE),OR(EXACT(Metadata!Y209,"not collected"),EXACT(Metadata!Y209,"not provided"),EXACT(Metadata!Y209,"restricted access"))),AND(IF(Metadata!Y209="",FALSE,TRUE),OR(EXACT(Metadata!Y209,"TRUE"),EXACT(Metadata!Y209,"FALSE"))))</f>
        <v>0</v>
      </c>
      <c r="BM209" t="b">
        <f>OR(AND(IF(Metadata!Z209="",FALSE,TRUE),EXACT(Metadata!Z209,"not applicable")),AND(IF(Metadata!Z209="",FALSE,TRUE),OR(EXACT(Metadata!Z209,"beer"),EXACT(Metadata!Z209,"cheese"),EXACT(Metadata!Z209,"fresh water"),EXACT(Metadata!Z209,"marine sediment"),EXACT(Metadata!Z209,"sea water"),EXACT(Metadata!Z209,"sediment"),EXACT(Metadata!Z209,"soil"),EXACT(Metadata!Z209,"waste water"))))</f>
        <v>0</v>
      </c>
      <c r="BN209" t="b">
        <f>AND(IF(Metadata!AA209="",FALSE,TRUE),EXACT(Metadata!AA209,"metagenome"))</f>
        <v>0</v>
      </c>
      <c r="BO209" t="b">
        <f>AND(IF(Metadata!AB209="",FALSE,TRUE),EXACT(Metadata!AB209,"256318"))</f>
        <v>0</v>
      </c>
      <c r="BP209" t="b">
        <f>IF(Metadata!AC209="",FALSE,TRUE)</f>
        <v>0</v>
      </c>
      <c r="BQ209" t="b">
        <f>IF(Metadata!AD209="",FALSE,TRUE)</f>
        <v>0</v>
      </c>
    </row>
    <row r="210" spans="1:69" x14ac:dyDescent="0.2">
      <c r="A210" s="4" t="e">
        <f ca="1">IF(B210=" "," ",HYPERLINK(CONCATENATE("#metadata!",ADDRESS(INDEX($AJ$2:$AJ$1001,MATCH(ROWS($AH$2:AH210),$AH$2:$AH$1001,0),0),2)),INDEX($AM$2:$AM$1001,MATCH(ROWS($AH$2:AH210),$AH$2:$AH$1001,0),0)))</f>
        <v>#N/A</v>
      </c>
      <c r="B210" s="5" t="e">
        <f ca="1">IF(OR(INDEX($AI$2:$AI$1001,MATCH(ROWS($AH$2:AH210),$AH$2:$AH$1001,0),1)&gt;=100000,INDEX($AO$1005:$BQ$1005,1,MATCH(COLUMNS($AO$1006:AO1006),$AO$1006:$BQ$1006,0))&gt;=100000), " ",IF(INDEX($AO$2:$BQ$1001,MATCH(ROWS($AH$2:AH210),$AH$2:$AH$1001,0),MATCH(COLUMNS($AO$1006:AO1006),$AO$1006:$BQ$1006,0)), HYPERLINK("#",""), HYPERLINK(CONCATENATE("#Metadata!", ADDRESS(INDEX($AJ$2:$AJ$1001,MATCH(ROWS($AH$2:AH210),$AH$2:$AH$1001,0),0), INDEX($AO$1004:$BQ$1004,1,MATCH(COLUMNS($AO$1006:AO1006),$AO$1006:$BQ$1006,0)))),"Fix")))</f>
        <v>#N/A</v>
      </c>
      <c r="C210" s="5" t="e">
        <f ca="1">IF(OR(INDEX($AI$2:$AI$1001,MATCH(ROWS($AH$2:AH210),$AH$2:$AH$1001,0),1)&gt;=100000,INDEX($AO$1005:$BQ$1005,1,MATCH(COLUMNS($AO$1006:AP1006),$AO$1006:$BQ$1006,0))&gt;=100000), " ",IF(INDEX($AO$2:$BQ$1001,MATCH(ROWS($AH$2:AH210),$AH$2:$AH$1001,0),MATCH(COLUMNS($AO$1006:AP1006),$AO$1006:$BQ$1006,0)), HYPERLINK("#",""), HYPERLINK(CONCATENATE("#Metadata!", ADDRESS(INDEX($AJ$2:$AJ$1001,MATCH(ROWS($AH$2:AH210),$AH$2:$AH$1001,0),0), INDEX($AO$1004:$BQ$1004,1,MATCH(COLUMNS($AO$1006:AP1006),$AO$1006:$BQ$1006,0)))),"Fix")))</f>
        <v>#N/A</v>
      </c>
      <c r="D210" s="5" t="e">
        <f ca="1">IF(OR(INDEX($AI$2:$AI$1001,MATCH(ROWS($AH$2:AH210),$AH$2:$AH$1001,0),1)&gt;=100000,INDEX($AO$1005:$BQ$1005,1,MATCH(COLUMNS($AO$1006:AQ1006),$AO$1006:$BQ$1006,0))&gt;=100000), " ",IF(INDEX($AO$2:$BQ$1001,MATCH(ROWS($AH$2:AH210),$AH$2:$AH$1001,0),MATCH(COLUMNS($AO$1006:AQ1006),$AO$1006:$BQ$1006,0)), HYPERLINK("#",""), HYPERLINK(CONCATENATE("#Metadata!", ADDRESS(INDEX($AJ$2:$AJ$1001,MATCH(ROWS($AH$2:AH210),$AH$2:$AH$1001,0),0), INDEX($AO$1004:$BQ$1004,1,MATCH(COLUMNS($AO$1006:AQ1006),$AO$1006:$BQ$1006,0)))),"Fix")))</f>
        <v>#N/A</v>
      </c>
      <c r="E210" s="5" t="e">
        <f ca="1">IF(OR(INDEX($AI$2:$AI$1001,MATCH(ROWS($AH$2:AH210),$AH$2:$AH$1001,0),1)&gt;=100000,INDEX($AO$1005:$BQ$1005,1,MATCH(COLUMNS($AO$1006:AR1006),$AO$1006:$BQ$1006,0))&gt;=100000), " ",IF(INDEX($AO$2:$BQ$1001,MATCH(ROWS($AH$2:AH210),$AH$2:$AH$1001,0),MATCH(COLUMNS($AO$1006:AR1006),$AO$1006:$BQ$1006,0)), HYPERLINK("#",""), HYPERLINK(CONCATENATE("#Metadata!", ADDRESS(INDEX($AJ$2:$AJ$1001,MATCH(ROWS($AH$2:AH210),$AH$2:$AH$1001,0),0), INDEX($AO$1004:$BQ$1004,1,MATCH(COLUMNS($AO$1006:AR1006),$AO$1006:$BQ$1006,0)))),"Fix")))</f>
        <v>#N/A</v>
      </c>
      <c r="F210" s="5" t="e">
        <f ca="1">IF(OR(INDEX($AI$2:$AI$1001,MATCH(ROWS($AH$2:AH210),$AH$2:$AH$1001,0),1)&gt;=100000,INDEX($AO$1005:$BQ$1005,1,MATCH(COLUMNS($AO$1006:AS1006),$AO$1006:$BQ$1006,0))&gt;=100000), " ",IF(INDEX($AO$2:$BQ$1001,MATCH(ROWS($AH$2:AH210),$AH$2:$AH$1001,0),MATCH(COLUMNS($AO$1006:AS1006),$AO$1006:$BQ$1006,0)), HYPERLINK("#",""), HYPERLINK(CONCATENATE("#Metadata!", ADDRESS(INDEX($AJ$2:$AJ$1001,MATCH(ROWS($AH$2:AH210),$AH$2:$AH$1001,0),0), INDEX($AO$1004:$BQ$1004,1,MATCH(COLUMNS($AO$1006:AS1006),$AO$1006:$BQ$1006,0)))),"Fix")))</f>
        <v>#N/A</v>
      </c>
      <c r="G210" s="5" t="e">
        <f ca="1">IF(OR(INDEX($AI$2:$AI$1001,MATCH(ROWS($AH$2:AH210),$AH$2:$AH$1001,0),1)&gt;=100000,INDEX($AO$1005:$BQ$1005,1,MATCH(COLUMNS($AO$1006:AT1006),$AO$1006:$BQ$1006,0))&gt;=100000), " ",IF(INDEX($AO$2:$BQ$1001,MATCH(ROWS($AH$2:AH210),$AH$2:$AH$1001,0),MATCH(COLUMNS($AO$1006:AT1006),$AO$1006:$BQ$1006,0)), HYPERLINK("#",""), HYPERLINK(CONCATENATE("#Metadata!", ADDRESS(INDEX($AJ$2:$AJ$1001,MATCH(ROWS($AH$2:AH210),$AH$2:$AH$1001,0),0), INDEX($AO$1004:$BQ$1004,1,MATCH(COLUMNS($AO$1006:AT1006),$AO$1006:$BQ$1006,0)))),"Fix")))</f>
        <v>#N/A</v>
      </c>
      <c r="H210" s="5" t="e">
        <f ca="1">IF(OR(INDEX($AI$2:$AI$1001,MATCH(ROWS($AH$2:AH210),$AH$2:$AH$1001,0),1)&gt;=100000,INDEX($AO$1005:$BQ$1005,1,MATCH(COLUMNS($AO$1006:AU1006),$AO$1006:$BQ$1006,0))&gt;=100000), " ",IF(INDEX($AO$2:$BQ$1001,MATCH(ROWS($AH$2:AH210),$AH$2:$AH$1001,0),MATCH(COLUMNS($AO$1006:AU1006),$AO$1006:$BQ$1006,0)), HYPERLINK("#",""), HYPERLINK(CONCATENATE("#Metadata!", ADDRESS(INDEX($AJ$2:$AJ$1001,MATCH(ROWS($AH$2:AH210),$AH$2:$AH$1001,0),0), INDEX($AO$1004:$BQ$1004,1,MATCH(COLUMNS($AO$1006:AU1006),$AO$1006:$BQ$1006,0)))),"Fix")))</f>
        <v>#N/A</v>
      </c>
      <c r="I210" s="5" t="e">
        <f ca="1">IF(OR(INDEX($AI$2:$AI$1001,MATCH(ROWS($AH$2:AH210),$AH$2:$AH$1001,0),1)&gt;=100000,INDEX($AO$1005:$BQ$1005,1,MATCH(COLUMNS($AO$1006:AV1006),$AO$1006:$BQ$1006,0))&gt;=100000), " ",IF(INDEX($AO$2:$BQ$1001,MATCH(ROWS($AH$2:AH210),$AH$2:$AH$1001,0),MATCH(COLUMNS($AO$1006:AV1006),$AO$1006:$BQ$1006,0)), HYPERLINK("#",""), HYPERLINK(CONCATENATE("#Metadata!", ADDRESS(INDEX($AJ$2:$AJ$1001,MATCH(ROWS($AH$2:AH210),$AH$2:$AH$1001,0),0), INDEX($AO$1004:$BQ$1004,1,MATCH(COLUMNS($AO$1006:AV1006),$AO$1006:$BQ$1006,0)))),"Fix")))</f>
        <v>#N/A</v>
      </c>
      <c r="J210" s="5" t="e">
        <f ca="1">IF(OR(INDEX($AI$2:$AI$1001,MATCH(ROWS($AH$2:AH210),$AH$2:$AH$1001,0),1)&gt;=100000,INDEX($AO$1005:$BQ$1005,1,MATCH(COLUMNS($AO$1006:AW1006),$AO$1006:$BQ$1006,0))&gt;=100000), " ",IF(INDEX($AO$2:$BQ$1001,MATCH(ROWS($AH$2:AH210),$AH$2:$AH$1001,0),MATCH(COLUMNS($AO$1006:AW1006),$AO$1006:$BQ$1006,0)), HYPERLINK("#",""), HYPERLINK(CONCATENATE("#Metadata!", ADDRESS(INDEX($AJ$2:$AJ$1001,MATCH(ROWS($AH$2:AH210),$AH$2:$AH$1001,0),0), INDEX($AO$1004:$BQ$1004,1,MATCH(COLUMNS($AO$1006:AW1006),$AO$1006:$BQ$1006,0)))),"Fix")))</f>
        <v>#N/A</v>
      </c>
      <c r="K210" s="5" t="e">
        <f ca="1">IF(OR(INDEX($AI$2:$AI$1001,MATCH(ROWS($AH$2:AH210),$AH$2:$AH$1001,0),1)&gt;=100000,INDEX($AO$1005:$BQ$1005,1,MATCH(COLUMNS($AO$1006:AX1006),$AO$1006:$BQ$1006,0))&gt;=100000), " ",IF(INDEX($AO$2:$BQ$1001,MATCH(ROWS($AH$2:AH210),$AH$2:$AH$1001,0),MATCH(COLUMNS($AO$1006:AX1006),$AO$1006:$BQ$1006,0)), HYPERLINK("#",""), HYPERLINK(CONCATENATE("#Metadata!", ADDRESS(INDEX($AJ$2:$AJ$1001,MATCH(ROWS($AH$2:AH210),$AH$2:$AH$1001,0),0), INDEX($AO$1004:$BQ$1004,1,MATCH(COLUMNS($AO$1006:AX1006),$AO$1006:$BQ$1006,0)))),"Fix")))</f>
        <v>#N/A</v>
      </c>
      <c r="L210" s="5" t="e">
        <f ca="1">IF(OR(INDEX($AI$2:$AI$1001,MATCH(ROWS($AH$2:AH210),$AH$2:$AH$1001,0),1)&gt;=100000,INDEX($AO$1005:$BQ$1005,1,MATCH(COLUMNS($AO$1006:AY1006),$AO$1006:$BQ$1006,0))&gt;=100000), " ",IF(INDEX($AO$2:$BQ$1001,MATCH(ROWS($AH$2:AH210),$AH$2:$AH$1001,0),MATCH(COLUMNS($AO$1006:AY1006),$AO$1006:$BQ$1006,0)), HYPERLINK("#",""), HYPERLINK(CONCATENATE("#Metadata!", ADDRESS(INDEX($AJ$2:$AJ$1001,MATCH(ROWS($AH$2:AH210),$AH$2:$AH$1001,0),0), INDEX($AO$1004:$BQ$1004,1,MATCH(COLUMNS($AO$1006:AY1006),$AO$1006:$BQ$1006,0)))),"Fix")))</f>
        <v>#N/A</v>
      </c>
      <c r="M210" s="5" t="e">
        <f ca="1">IF(OR(INDEX($AI$2:$AI$1001,MATCH(ROWS($AH$2:AH210),$AH$2:$AH$1001,0),1)&gt;=100000,INDEX($AO$1005:$BQ$1005,1,MATCH(COLUMNS($AO$1006:AZ1006),$AO$1006:$BQ$1006,0))&gt;=100000), " ",IF(INDEX($AO$2:$BQ$1001,MATCH(ROWS($AH$2:AH210),$AH$2:$AH$1001,0),MATCH(COLUMNS($AO$1006:AZ1006),$AO$1006:$BQ$1006,0)), HYPERLINK("#",""), HYPERLINK(CONCATENATE("#Metadata!", ADDRESS(INDEX($AJ$2:$AJ$1001,MATCH(ROWS($AH$2:AH210),$AH$2:$AH$1001,0),0), INDEX($AO$1004:$BQ$1004,1,MATCH(COLUMNS($AO$1006:AZ1006),$AO$1006:$BQ$1006,0)))),"Fix")))</f>
        <v>#N/A</v>
      </c>
      <c r="N210" s="5" t="e">
        <f ca="1">IF(OR(INDEX($AI$2:$AI$1001,MATCH(ROWS($AH$2:AH210),$AH$2:$AH$1001,0),1)&gt;=100000,INDEX($AO$1005:$BQ$1005,1,MATCH(COLUMNS($AO$1006:BA1006),$AO$1006:$BQ$1006,0))&gt;=100000), " ",IF(INDEX($AO$2:$BQ$1001,MATCH(ROWS($AH$2:AH210),$AH$2:$AH$1001,0),MATCH(COLUMNS($AO$1006:BA1006),$AO$1006:$BQ$1006,0)), HYPERLINK("#",""), HYPERLINK(CONCATENATE("#Metadata!", ADDRESS(INDEX($AJ$2:$AJ$1001,MATCH(ROWS($AH$2:AH210),$AH$2:$AH$1001,0),0), INDEX($AO$1004:$BQ$1004,1,MATCH(COLUMNS($AO$1006:BA1006),$AO$1006:$BQ$1006,0)))),"Fix")))</f>
        <v>#N/A</v>
      </c>
      <c r="O210" s="5" t="e">
        <f ca="1">IF(OR(INDEX($AI$2:$AI$1001,MATCH(ROWS($AH$2:AH210),$AH$2:$AH$1001,0),1)&gt;=100000,INDEX($AO$1005:$BQ$1005,1,MATCH(COLUMNS($AO$1006:BB1006),$AO$1006:$BQ$1006,0))&gt;=100000), " ",IF(INDEX($AO$2:$BQ$1001,MATCH(ROWS($AH$2:AH210),$AH$2:$AH$1001,0),MATCH(COLUMNS($AO$1006:BB1006),$AO$1006:$BQ$1006,0)), HYPERLINK("#",""), HYPERLINK(CONCATENATE("#Metadata!", ADDRESS(INDEX($AJ$2:$AJ$1001,MATCH(ROWS($AH$2:AH210),$AH$2:$AH$1001,0),0), INDEX($AO$1004:$BQ$1004,1,MATCH(COLUMNS($AO$1006:BB1006),$AO$1006:$BQ$1006,0)))),"Fix")))</f>
        <v>#N/A</v>
      </c>
      <c r="P210" s="5" t="e">
        <f ca="1">IF(OR(INDEX($AI$2:$AI$1001,MATCH(ROWS($AH$2:AH210),$AH$2:$AH$1001,0),1)&gt;=100000,INDEX($AO$1005:$BQ$1005,1,MATCH(COLUMNS($AO$1006:BC1006),$AO$1006:$BQ$1006,0))&gt;=100000), " ",IF(INDEX($AO$2:$BQ$1001,MATCH(ROWS($AH$2:AH210),$AH$2:$AH$1001,0),MATCH(COLUMNS($AO$1006:BC1006),$AO$1006:$BQ$1006,0)), HYPERLINK("#",""), HYPERLINK(CONCATENATE("#Metadata!", ADDRESS(INDEX($AJ$2:$AJ$1001,MATCH(ROWS($AH$2:AH210),$AH$2:$AH$1001,0),0), INDEX($AO$1004:$BQ$1004,1,MATCH(COLUMNS($AO$1006:BC1006),$AO$1006:$BQ$1006,0)))),"Fix")))</f>
        <v>#N/A</v>
      </c>
      <c r="Q210" s="5" t="e">
        <f ca="1">IF(OR(INDEX($AI$2:$AI$1001,MATCH(ROWS($AH$2:AH210),$AH$2:$AH$1001,0),1)&gt;=100000,INDEX($AO$1005:$BQ$1005,1,MATCH(COLUMNS($AO$1006:BD1006),$AO$1006:$BQ$1006,0))&gt;=100000), " ",IF(INDEX($AO$2:$BQ$1001,MATCH(ROWS($AH$2:AH210),$AH$2:$AH$1001,0),MATCH(COLUMNS($AO$1006:BD1006),$AO$1006:$BQ$1006,0)), HYPERLINK("#",""), HYPERLINK(CONCATENATE("#Metadata!", ADDRESS(INDEX($AJ$2:$AJ$1001,MATCH(ROWS($AH$2:AH210),$AH$2:$AH$1001,0),0), INDEX($AO$1004:$BQ$1004,1,MATCH(COLUMNS($AO$1006:BD1006),$AO$1006:$BQ$1006,0)))),"Fix")))</f>
        <v>#N/A</v>
      </c>
      <c r="R210" s="5" t="e">
        <f ca="1">IF(OR(INDEX($AI$2:$AI$1001,MATCH(ROWS($AH$2:AH210),$AH$2:$AH$1001,0),1)&gt;=100000,INDEX($AO$1005:$BQ$1005,1,MATCH(COLUMNS($AO$1006:BE1006),$AO$1006:$BQ$1006,0))&gt;=100000), " ",IF(INDEX($AO$2:$BQ$1001,MATCH(ROWS($AH$2:AH210),$AH$2:$AH$1001,0),MATCH(COLUMNS($AO$1006:BE1006),$AO$1006:$BQ$1006,0)), HYPERLINK("#",""), HYPERLINK(CONCATENATE("#Metadata!", ADDRESS(INDEX($AJ$2:$AJ$1001,MATCH(ROWS($AH$2:AH210),$AH$2:$AH$1001,0),0), INDEX($AO$1004:$BQ$1004,1,MATCH(COLUMNS($AO$1006:BE1006),$AO$1006:$BQ$1006,0)))),"Fix")))</f>
        <v>#N/A</v>
      </c>
      <c r="S210" s="5" t="e">
        <f ca="1">IF(OR(INDEX($AI$2:$AI$1001,MATCH(ROWS($AH$2:AH210),$AH$2:$AH$1001,0),1)&gt;=100000,INDEX($AO$1005:$BQ$1005,1,MATCH(COLUMNS($AO$1006:BF1006),$AO$1006:$BQ$1006,0))&gt;=100000), " ",IF(INDEX($AO$2:$BQ$1001,MATCH(ROWS($AH$2:AH210),$AH$2:$AH$1001,0),MATCH(COLUMNS($AO$1006:BF1006),$AO$1006:$BQ$1006,0)), HYPERLINK("#",""), HYPERLINK(CONCATENATE("#Metadata!", ADDRESS(INDEX($AJ$2:$AJ$1001,MATCH(ROWS($AH$2:AH210),$AH$2:$AH$1001,0),0), INDEX($AO$1004:$BQ$1004,1,MATCH(COLUMNS($AO$1006:BF1006),$AO$1006:$BQ$1006,0)))),"Fix")))</f>
        <v>#N/A</v>
      </c>
      <c r="T210" s="5" t="e">
        <f ca="1">IF(OR(INDEX($AI$2:$AI$1001,MATCH(ROWS($AH$2:AH210),$AH$2:$AH$1001,0),1)&gt;=100000,INDEX($AO$1005:$BQ$1005,1,MATCH(COLUMNS($AO$1006:BG1006),$AO$1006:$BQ$1006,0))&gt;=100000), " ",IF(INDEX($AO$2:$BQ$1001,MATCH(ROWS($AH$2:AH210),$AH$2:$AH$1001,0),MATCH(COLUMNS($AO$1006:BG1006),$AO$1006:$BQ$1006,0)), HYPERLINK("#",""), HYPERLINK(CONCATENATE("#Metadata!", ADDRESS(INDEX($AJ$2:$AJ$1001,MATCH(ROWS($AH$2:AH210),$AH$2:$AH$1001,0),0), INDEX($AO$1004:$BQ$1004,1,MATCH(COLUMNS($AO$1006:BG1006),$AO$1006:$BQ$1006,0)))),"Fix")))</f>
        <v>#N/A</v>
      </c>
      <c r="U210" s="5" t="e">
        <f ca="1">IF(OR(INDEX($AI$2:$AI$1001,MATCH(ROWS($AH$2:AH210),$AH$2:$AH$1001,0),1)&gt;=100000,INDEX($AO$1005:$BQ$1005,1,MATCH(COLUMNS($AO$1006:BH1006),$AO$1006:$BQ$1006,0))&gt;=100000), " ",IF(INDEX($AO$2:$BQ$1001,MATCH(ROWS($AH$2:AH210),$AH$2:$AH$1001,0),MATCH(COLUMNS($AO$1006:BH1006),$AO$1006:$BQ$1006,0)), HYPERLINK("#",""), HYPERLINK(CONCATENATE("#Metadata!", ADDRESS(INDEX($AJ$2:$AJ$1001,MATCH(ROWS($AH$2:AH210),$AH$2:$AH$1001,0),0), INDEX($AO$1004:$BQ$1004,1,MATCH(COLUMNS($AO$1006:BH1006),$AO$1006:$BQ$1006,0)))),"Fix")))</f>
        <v>#N/A</v>
      </c>
      <c r="V210" s="5" t="e">
        <f ca="1">IF(OR(INDEX($AI$2:$AI$1001,MATCH(ROWS($AH$2:AH210),$AH$2:$AH$1001,0),1)&gt;=100000,INDEX($AO$1005:$BQ$1005,1,MATCH(COLUMNS($AO$1006:BI1006),$AO$1006:$BQ$1006,0))&gt;=100000), " ",IF(INDEX($AO$2:$BQ$1001,MATCH(ROWS($AH$2:AH210),$AH$2:$AH$1001,0),MATCH(COLUMNS($AO$1006:BI1006),$AO$1006:$BQ$1006,0)), HYPERLINK("#",""), HYPERLINK(CONCATENATE("#Metadata!", ADDRESS(INDEX($AJ$2:$AJ$1001,MATCH(ROWS($AH$2:AH210),$AH$2:$AH$1001,0),0), INDEX($AO$1004:$BQ$1004,1,MATCH(COLUMNS($AO$1006:BI1006),$AO$1006:$BQ$1006,0)))),"Fix")))</f>
        <v>#N/A</v>
      </c>
      <c r="W210" s="5" t="e">
        <f ca="1">IF(OR(INDEX($AI$2:$AI$1001,MATCH(ROWS($AH$2:AH210),$AH$2:$AH$1001,0),1)&gt;=100000,INDEX($AO$1005:$BQ$1005,1,MATCH(COLUMNS($AO$1006:BJ1006),$AO$1006:$BQ$1006,0))&gt;=100000), " ",IF(INDEX($AO$2:$BQ$1001,MATCH(ROWS($AH$2:AH210),$AH$2:$AH$1001,0),MATCH(COLUMNS($AO$1006:BJ1006),$AO$1006:$BQ$1006,0)), HYPERLINK("#",""), HYPERLINK(CONCATENATE("#Metadata!", ADDRESS(INDEX($AJ$2:$AJ$1001,MATCH(ROWS($AH$2:AH210),$AH$2:$AH$1001,0),0), INDEX($AO$1004:$BQ$1004,1,MATCH(COLUMNS($AO$1006:BJ1006),$AO$1006:$BQ$1006,0)))),"Fix")))</f>
        <v>#N/A</v>
      </c>
      <c r="X210" s="5" t="e">
        <f ca="1">IF(OR(INDEX($AI$2:$AI$1001,MATCH(ROWS($AH$2:AH210),$AH$2:$AH$1001,0),1)&gt;=100000,INDEX($AO$1005:$BQ$1005,1,MATCH(COLUMNS($AO$1006:BK1006),$AO$1006:$BQ$1006,0))&gt;=100000), " ",IF(INDEX($AO$2:$BQ$1001,MATCH(ROWS($AH$2:AH210),$AH$2:$AH$1001,0),MATCH(COLUMNS($AO$1006:BK1006),$AO$1006:$BQ$1006,0)), HYPERLINK("#",""), HYPERLINK(CONCATENATE("#Metadata!", ADDRESS(INDEX($AJ$2:$AJ$1001,MATCH(ROWS($AH$2:AH210),$AH$2:$AH$1001,0),0), INDEX($AO$1004:$BQ$1004,1,MATCH(COLUMNS($AO$1006:BK1006),$AO$1006:$BQ$1006,0)))),"Fix")))</f>
        <v>#N/A</v>
      </c>
      <c r="Y210" s="5" t="e">
        <f ca="1">IF(OR(INDEX($AI$2:$AI$1001,MATCH(ROWS($AH$2:AH210),$AH$2:$AH$1001,0),1)&gt;=100000,INDEX($AO$1005:$BQ$1005,1,MATCH(COLUMNS($AO$1006:BL1006),$AO$1006:$BQ$1006,0))&gt;=100000), " ",IF(INDEX($AO$2:$BQ$1001,MATCH(ROWS($AH$2:AH210),$AH$2:$AH$1001,0),MATCH(COLUMNS($AO$1006:BL1006),$AO$1006:$BQ$1006,0)), HYPERLINK("#",""), HYPERLINK(CONCATENATE("#Metadata!", ADDRESS(INDEX($AJ$2:$AJ$1001,MATCH(ROWS($AH$2:AH210),$AH$2:$AH$1001,0),0), INDEX($AO$1004:$BQ$1004,1,MATCH(COLUMNS($AO$1006:BL1006),$AO$1006:$BQ$1006,0)))),"Fix")))</f>
        <v>#N/A</v>
      </c>
      <c r="Z210" s="5" t="e">
        <f ca="1">IF(OR(INDEX($AI$2:$AI$1001,MATCH(ROWS($AH$2:AH210),$AH$2:$AH$1001,0),1)&gt;=100000,INDEX($AO$1005:$BQ$1005,1,MATCH(COLUMNS($AO$1006:BM1006),$AO$1006:$BQ$1006,0))&gt;=100000), " ",IF(INDEX($AO$2:$BQ$1001,MATCH(ROWS($AH$2:AH210),$AH$2:$AH$1001,0),MATCH(COLUMNS($AO$1006:BM1006),$AO$1006:$BQ$1006,0)), HYPERLINK("#",""), HYPERLINK(CONCATENATE("#Metadata!", ADDRESS(INDEX($AJ$2:$AJ$1001,MATCH(ROWS($AH$2:AH210),$AH$2:$AH$1001,0),0), INDEX($AO$1004:$BQ$1004,1,MATCH(COLUMNS($AO$1006:BM1006),$AO$1006:$BQ$1006,0)))),"Fix")))</f>
        <v>#N/A</v>
      </c>
      <c r="AA210" s="5" t="e">
        <f ca="1">IF(OR(INDEX($AI$2:$AI$1001,MATCH(ROWS($AH$2:AH210),$AH$2:$AH$1001,0),1)&gt;=100000,INDEX($AO$1005:$BQ$1005,1,MATCH(COLUMNS($AO$1006:BN1006),$AO$1006:$BQ$1006,0))&gt;=100000), " ",IF(INDEX($AO$2:$BQ$1001,MATCH(ROWS($AH$2:AH210),$AH$2:$AH$1001,0),MATCH(COLUMNS($AO$1006:BN1006),$AO$1006:$BQ$1006,0)), HYPERLINK("#",""), HYPERLINK(CONCATENATE("#Metadata!", ADDRESS(INDEX($AJ$2:$AJ$1001,MATCH(ROWS($AH$2:AH210),$AH$2:$AH$1001,0),0), INDEX($AO$1004:$BQ$1004,1,MATCH(COLUMNS($AO$1006:BN1006),$AO$1006:$BQ$1006,0)))),"Fix")))</f>
        <v>#N/A</v>
      </c>
      <c r="AB210" s="5" t="e">
        <f ca="1">IF(OR(INDEX($AI$2:$AI$1001,MATCH(ROWS($AH$2:AH210),$AH$2:$AH$1001,0),1)&gt;=100000,INDEX($AO$1005:$BQ$1005,1,MATCH(COLUMNS($AO$1006:BO1006),$AO$1006:$BQ$1006,0))&gt;=100000), " ",IF(INDEX($AO$2:$BQ$1001,MATCH(ROWS($AH$2:AH210),$AH$2:$AH$1001,0),MATCH(COLUMNS($AO$1006:BO1006),$AO$1006:$BQ$1006,0)), HYPERLINK("#",""), HYPERLINK(CONCATENATE("#Metadata!", ADDRESS(INDEX($AJ$2:$AJ$1001,MATCH(ROWS($AH$2:AH210),$AH$2:$AH$1001,0),0), INDEX($AO$1004:$BQ$1004,1,MATCH(COLUMNS($AO$1006:BO1006),$AO$1006:$BQ$1006,0)))),"Fix")))</f>
        <v>#N/A</v>
      </c>
      <c r="AC210" s="5" t="e">
        <f ca="1">IF(OR(INDEX($AI$2:$AI$1001,MATCH(ROWS($AH$2:AH210),$AH$2:$AH$1001,0),1)&gt;=100000,INDEX($AO$1005:$BQ$1005,1,MATCH(COLUMNS($AO$1006:BP1006),$AO$1006:$BQ$1006,0))&gt;=100000), " ",IF(INDEX($AO$2:$BQ$1001,MATCH(ROWS($AH$2:AH210),$AH$2:$AH$1001,0),MATCH(COLUMNS($AO$1006:BP1006),$AO$1006:$BQ$1006,0)), HYPERLINK("#",""), HYPERLINK(CONCATENATE("#Metadata!", ADDRESS(INDEX($AJ$2:$AJ$1001,MATCH(ROWS($AH$2:AH210),$AH$2:$AH$1001,0),0), INDEX($AO$1004:$BQ$1004,1,MATCH(COLUMNS($AO$1006:BP1006),$AO$1006:$BQ$1006,0)))),"Fix")))</f>
        <v>#N/A</v>
      </c>
      <c r="AD210" s="5" t="e">
        <f ca="1">IF(OR(INDEX($AI$2:$AI$1001,MATCH(ROWS($AH$2:AH210),$AH$2:$AH$1001,0),1)&gt;=100000,INDEX($AO$1005:$BQ$1005,1,MATCH(COLUMNS($AO$1006:BQ1006),$AO$1006:$BQ$1006,0))&gt;=100000), " ",IF(INDEX($AO$2:$BQ$1001,MATCH(ROWS($AH$2:AH210),$AH$2:$AH$1001,0),MATCH(COLUMNS($AO$1006:BQ1006),$AO$1006:$BQ$1006,0)), HYPERLINK("#",""), HYPERLINK(CONCATENATE("#Metadata!", ADDRESS(INDEX($AJ$2:$AJ$1001,MATCH(ROWS($AH$2:AH210),$AH$2:$AH$1001,0),0), INDEX($AO$1004:$BQ$1004,1,MATCH(COLUMNS($AO$1006:BQ1006),$AO$1006:$BQ$1006,0)))),"Fix")))</f>
        <v>#REF!</v>
      </c>
      <c r="AH210">
        <f ca="1"/>
        <v>207</v>
      </c>
      <c r="AI210">
        <v>100210</v>
      </c>
      <c r="AJ210">
        <v>210</v>
      </c>
      <c r="AK210" t="b">
        <f t="shared" si="3"/>
        <v>1</v>
      </c>
      <c r="AL210" t="b">
        <f>COUNTBLANK(Metadata!B210:AD210)=COLUMNS(Metadata!B210:AD210)</f>
        <v>1</v>
      </c>
      <c r="AM210" t="str">
        <v/>
      </c>
      <c r="AO210" t="b">
        <f ca="1">AND(IF(Metadata!B210="",FALSE,TRUE),COUNTIF(Metadata!B:B, Metadata!B210) = 1,NOT(ISERROR(SUMPRODUCT(SEARCH(MID(Metadata!B210,ROW(INDIRECT("1:"&amp;LEN(Metadata!B210))), 1),"0123456789abcdefghijklmnopqrstuvwxyzABCDEFGHIJKLMNOPQRSTUVWXYZ.")))))</f>
        <v>0</v>
      </c>
      <c r="AP210" t="b">
        <f>IF(Metadata!C210="",FALSE,TRUE)</f>
        <v>0</v>
      </c>
      <c r="AQ210" t="b">
        <f>IF(Metadata!D210="",FALSE,TRUE)</f>
        <v>0</v>
      </c>
      <c r="AR210" t="b">
        <f ca="1">OR(AND(IF(Metadata!E210="",FALSE,TRUE),OR(EXACT(Metadata!E210,"not collected"),EXACT(Metadata!E210,"not provided"),EXACT(Metadata!E210,"restricted access"))),AND(IF(Metadata!E210="",FALSE,TRUE),AND(AND(IFERROR(INT(LEFT(Metadata!E210,4))&gt;1900,FALSE),IFERROR(INT(LEFT(Metadata!E210,4))&lt;=YEAR(NOW()),FALSE)), OR(MID(Metadata!E210,5,1)="", AND(AND(MID(Metadata!E210,5,1)="-",IFERROR(INT(MID(Metadata!E210,6,1))&gt;=0,FALSE),IFERROR(INT(MID(Metadata!E210,6,1))&lt;=1,FALSE),NOT(MID(Metadata!E210,7,1)=""),IFERROR(INT(MID(Metadata!E210,6,2))&gt;=1,FALSE),IFERROR(INT(MID(Metadata!E210,6,2))&lt;=12,FALSE)), OR(MID(Metadata!E210,8,1)="", AND(AND(MID(Metadata!E210,8,1)="-",IFERROR(INT(MID(Metadata!E210,9,1))&gt;=0,FALSE),IFERROR(INT(MID(Metadata!E210,9,1))&lt;=3,FALSE),NOT(MID(Metadata!E210,10,1)=""),IFERROR(INT(MID(Metadata!E210,9,2))&gt;=1,FALSE),IFERROR(INT(MID(Metadata!E210,9,2))&lt;=31,FALSE)), OR(MID(Metadata!E210,11,1)="", AND(AND(MID(Metadata!E210,11,1)=" ",IFERROR(INT(MID(Metadata!E210,12,1))&gt;=0,FALSE),IFERROR(INT(MID(Metadata!E210,12,1))&lt;=2,FALSE),NOT(MID(Metadata!E210,13,1)=""),IFERROR(INT(MID(Metadata!E210,12,2))&gt;=0,FALSE),IFERROR(INT(MID(Metadata!E210,12,2))&lt;=23,FALSE)), OR(MID(Metadata!E210,14,1)="", AND(AND(MID(Metadata!E210,14,1)=":",IFERROR(INT(MID(Metadata!E210,15,1))&gt;=0,FALSE),IFERROR(INT(MID(Metadata!E210,15,1))&lt;=5,FALSE),NOT(MID(Metadata!E210,16,1)=""),IFERROR(INT(MID(Metadata!E210,15,2))&gt;=0,FALSE),IFERROR(INT(MID(Metadata!E210,15,2))&lt;=59,FALSE)), OR(MID(Metadata!E210,17,1)="", AND(AND(MID(Metadata!E210,17,1)=":",IFERROR(INT(MID(Metadata!E210,18,1))&gt;=0,FALSE),IFERROR(INT(MID(Metadata!E210,18,1))&lt;=5,FALSE),NOT(MID(Metadata!E210,19,1)=""),IFERROR(INT(MID(Metadata!E210,18,2))&gt;=0,FALSE),IFERROR(INT(MID(Metadata!E210,18,2))&lt;=59,FALSE)), LEN(Metadata!E210)&lt;=19)))))))))))))</f>
        <v>0</v>
      </c>
      <c r="AS210" t="b">
        <f>IF(Metadata!F210="",FALSE,TRUE)</f>
        <v>0</v>
      </c>
      <c r="AT210" t="b">
        <f>OR(AND(IF(Metadata!G210="",FALSE,TRUE),OR(EXACT(Metadata!G210,"not collected"),EXACT(Metadata!G210,"not provided"))),AND(IF(Metadata!G210="",FALSE,TRUE),OR(EXACT(Metadata!G210,"TRUE"),EXACT(Metadata!G210,"FALSE"))))</f>
        <v>0</v>
      </c>
      <c r="AU210" t="b">
        <f>OR(AND(IF(Metadata!H210="",FALSE,TRUE),OR(EXACT(Metadata!H210,"not collected"),EXACT(Metadata!H210,"not provided"),EXACT(Metadata!H210,"restricted access"))),AND(IF(Metadata!H210="",FALSE,ISNUMBER(VALUE(Metadata!H210))),Metadata!H210&gt;=-413))</f>
        <v>0</v>
      </c>
      <c r="AV210" t="b">
        <f>AND(IF(Metadata!I210="",FALSE,TRUE),EXACT(Metadata!I210,"meters"))</f>
        <v>0</v>
      </c>
      <c r="AW210" t="b">
        <f>AND(IF(Metadata!J210="",FALSE,TRUE),EXACT(Metadata!J210,"free-living"))</f>
        <v>0</v>
      </c>
      <c r="AX210" t="b">
        <f>AND(IF(Metadata!K210="",FALSE,TRUE),OR(EXACT(Metadata!K210,"saline"),EXACT(Metadata!K210,"non-saline")))</f>
        <v>0</v>
      </c>
      <c r="AY210" t="b">
        <f>AND(IF(Metadata!L210="",FALSE,TRUE),OR(EXACT(Metadata!L210,"sub-surface (non-saline)"),EXACT(Metadata!L210,"surface (non-saline)"),EXACT(Metadata!L210,"water (non-saline)"),EXACT(Metadata!L210,"soil (non-saline)"),EXACT(Metadata!L210,"aerosol (non-saline)"),EXACT(Metadata!L210,"sediment (non-saline)"),EXACT(Metadata!L210,"surface (saline)"),EXACT(Metadata!L210,"water (saline)"),EXACT(Metadata!L210,"hypersaline (saline)"),EXACT(Metadata!L210,"aerosol (saline)"),EXACT(Metadata!L210,"sediment (saline)")))</f>
        <v>0</v>
      </c>
      <c r="AZ210" t="b">
        <f>IF(Metadata!M210="",FALSE,TRUE)</f>
        <v>0</v>
      </c>
      <c r="BA210" t="b">
        <f>IF(Metadata!N210="",FALSE,TRUE)</f>
        <v>0</v>
      </c>
      <c r="BB210" t="b">
        <f>IF(Metadata!O210="",FALSE,TRUE)</f>
        <v>0</v>
      </c>
      <c r="BC210" t="b">
        <f>AND(IF(Metadata!P210="",FALSE,TRUE),OR(EXACT(Metadata!P210,"air"),EXACT(Metadata!P210,"microbial mat/biofilm"),EXACT(Metadata!P210,"misc environment"),EXACT(Metadata!P210,"sediment"),EXACT(Metadata!P210,"soil"),EXACT(Metadata!P210,"wastewater/sludge"),EXACT(Metadata!P210,"water")))</f>
        <v>0</v>
      </c>
      <c r="BD210" t="b">
        <f>IF(Metadata!Q210="",FALSE,TRUE)</f>
        <v>0</v>
      </c>
      <c r="BE210" t="b">
        <f>IF(Metadata!R210="",FALSE,TRUE)</f>
        <v>0</v>
      </c>
      <c r="BF210" t="b">
        <f>OR(AND(IF(Metadata!S210="",FALSE,TRUE),OR(EXACT(Metadata!S210,"not collected"),EXACT(Metadata!S210,"not provided"),EXACT(Metadata!S210,"restricted access"))),AND(IF(Metadata!S210="",FALSE,ISNUMBER(VALUE(Metadata!S210))),Metadata!S210&gt;=-90,Metadata!S210&lt;=90))</f>
        <v>0</v>
      </c>
      <c r="BG210" t="b">
        <f>AND(IF(Metadata!T210="",FALSE,TRUE),EXACT(Metadata!T210,"Decimal degrees"))</f>
        <v>0</v>
      </c>
      <c r="BH210" t="b">
        <f>OR(AND(IF(Metadata!U210="",FALSE,TRUE),OR(EXACT(Metadata!U210,"not applicable"),EXACT(Metadata!U210,"not collected"))),IF(Metadata!U210="",FALSE,TRUE))</f>
        <v>0</v>
      </c>
      <c r="BI210" t="b">
        <f>OR(AND(IF(Metadata!V210="",FALSE,TRUE),OR(EXACT(Metadata!V210,"not collected"),EXACT(Metadata!V210,"not provided"),EXACT(Metadata!V210,"restricted access"))),AND(IF(Metadata!V210="",FALSE,ISNUMBER(VALUE(Metadata!V210))),Metadata!V210&gt;=-180,Metadata!V210&lt;=180))</f>
        <v>0</v>
      </c>
      <c r="BJ210" t="b">
        <f>AND(IF(Metadata!W210="",FALSE,TRUE),EXACT(Metadata!W210,"Decimal degrees"))</f>
        <v>0</v>
      </c>
      <c r="BK210" t="b">
        <f>IF(Metadata!X210="",FALSE,TRUE)</f>
        <v>0</v>
      </c>
      <c r="BL210" t="b">
        <f>OR(AND(IF(Metadata!Y210="",FALSE,TRUE),OR(EXACT(Metadata!Y210,"not collected"),EXACT(Metadata!Y210,"not provided"),EXACT(Metadata!Y210,"restricted access"))),AND(IF(Metadata!Y210="",FALSE,TRUE),OR(EXACT(Metadata!Y210,"TRUE"),EXACT(Metadata!Y210,"FALSE"))))</f>
        <v>0</v>
      </c>
      <c r="BM210" t="b">
        <f>OR(AND(IF(Metadata!Z210="",FALSE,TRUE),EXACT(Metadata!Z210,"not applicable")),AND(IF(Metadata!Z210="",FALSE,TRUE),OR(EXACT(Metadata!Z210,"beer"),EXACT(Metadata!Z210,"cheese"),EXACT(Metadata!Z210,"fresh water"),EXACT(Metadata!Z210,"marine sediment"),EXACT(Metadata!Z210,"sea water"),EXACT(Metadata!Z210,"sediment"),EXACT(Metadata!Z210,"soil"),EXACT(Metadata!Z210,"waste water"))))</f>
        <v>0</v>
      </c>
      <c r="BN210" t="b">
        <f>AND(IF(Metadata!AA210="",FALSE,TRUE),EXACT(Metadata!AA210,"metagenome"))</f>
        <v>0</v>
      </c>
      <c r="BO210" t="b">
        <f>AND(IF(Metadata!AB210="",FALSE,TRUE),EXACT(Metadata!AB210,"256318"))</f>
        <v>0</v>
      </c>
      <c r="BP210" t="b">
        <f>IF(Metadata!AC210="",FALSE,TRUE)</f>
        <v>0</v>
      </c>
      <c r="BQ210" t="b">
        <f>IF(Metadata!AD210="",FALSE,TRUE)</f>
        <v>0</v>
      </c>
    </row>
    <row r="211" spans="1:69" x14ac:dyDescent="0.2">
      <c r="A211" s="4" t="e">
        <f ca="1">IF(B211=" "," ",HYPERLINK(CONCATENATE("#metadata!",ADDRESS(INDEX($AJ$2:$AJ$1001,MATCH(ROWS($AH$2:AH211),$AH$2:$AH$1001,0),0),2)),INDEX($AM$2:$AM$1001,MATCH(ROWS($AH$2:AH211),$AH$2:$AH$1001,0),0)))</f>
        <v>#N/A</v>
      </c>
      <c r="B211" s="5" t="e">
        <f ca="1">IF(OR(INDEX($AI$2:$AI$1001,MATCH(ROWS($AH$2:AH211),$AH$2:$AH$1001,0),1)&gt;=100000,INDEX($AO$1005:$BQ$1005,1,MATCH(COLUMNS($AO$1006:AO1006),$AO$1006:$BQ$1006,0))&gt;=100000), " ",IF(INDEX($AO$2:$BQ$1001,MATCH(ROWS($AH$2:AH211),$AH$2:$AH$1001,0),MATCH(COLUMNS($AO$1006:AO1006),$AO$1006:$BQ$1006,0)), HYPERLINK("#",""), HYPERLINK(CONCATENATE("#Metadata!", ADDRESS(INDEX($AJ$2:$AJ$1001,MATCH(ROWS($AH$2:AH211),$AH$2:$AH$1001,0),0), INDEX($AO$1004:$BQ$1004,1,MATCH(COLUMNS($AO$1006:AO1006),$AO$1006:$BQ$1006,0)))),"Fix")))</f>
        <v>#N/A</v>
      </c>
      <c r="C211" s="5" t="e">
        <f ca="1">IF(OR(INDEX($AI$2:$AI$1001,MATCH(ROWS($AH$2:AH211),$AH$2:$AH$1001,0),1)&gt;=100000,INDEX($AO$1005:$BQ$1005,1,MATCH(COLUMNS($AO$1006:AP1006),$AO$1006:$BQ$1006,0))&gt;=100000), " ",IF(INDEX($AO$2:$BQ$1001,MATCH(ROWS($AH$2:AH211),$AH$2:$AH$1001,0),MATCH(COLUMNS($AO$1006:AP1006),$AO$1006:$BQ$1006,0)), HYPERLINK("#",""), HYPERLINK(CONCATENATE("#Metadata!", ADDRESS(INDEX($AJ$2:$AJ$1001,MATCH(ROWS($AH$2:AH211),$AH$2:$AH$1001,0),0), INDEX($AO$1004:$BQ$1004,1,MATCH(COLUMNS($AO$1006:AP1006),$AO$1006:$BQ$1006,0)))),"Fix")))</f>
        <v>#N/A</v>
      </c>
      <c r="D211" s="5" t="e">
        <f ca="1">IF(OR(INDEX($AI$2:$AI$1001,MATCH(ROWS($AH$2:AH211),$AH$2:$AH$1001,0),1)&gt;=100000,INDEX($AO$1005:$BQ$1005,1,MATCH(COLUMNS($AO$1006:AQ1006),$AO$1006:$BQ$1006,0))&gt;=100000), " ",IF(INDEX($AO$2:$BQ$1001,MATCH(ROWS($AH$2:AH211),$AH$2:$AH$1001,0),MATCH(COLUMNS($AO$1006:AQ1006),$AO$1006:$BQ$1006,0)), HYPERLINK("#",""), HYPERLINK(CONCATENATE("#Metadata!", ADDRESS(INDEX($AJ$2:$AJ$1001,MATCH(ROWS($AH$2:AH211),$AH$2:$AH$1001,0),0), INDEX($AO$1004:$BQ$1004,1,MATCH(COLUMNS($AO$1006:AQ1006),$AO$1006:$BQ$1006,0)))),"Fix")))</f>
        <v>#N/A</v>
      </c>
      <c r="E211" s="5" t="e">
        <f ca="1">IF(OR(INDEX($AI$2:$AI$1001,MATCH(ROWS($AH$2:AH211),$AH$2:$AH$1001,0),1)&gt;=100000,INDEX($AO$1005:$BQ$1005,1,MATCH(COLUMNS($AO$1006:AR1006),$AO$1006:$BQ$1006,0))&gt;=100000), " ",IF(INDEX($AO$2:$BQ$1001,MATCH(ROWS($AH$2:AH211),$AH$2:$AH$1001,0),MATCH(COLUMNS($AO$1006:AR1006),$AO$1006:$BQ$1006,0)), HYPERLINK("#",""), HYPERLINK(CONCATENATE("#Metadata!", ADDRESS(INDEX($AJ$2:$AJ$1001,MATCH(ROWS($AH$2:AH211),$AH$2:$AH$1001,0),0), INDEX($AO$1004:$BQ$1004,1,MATCH(COLUMNS($AO$1006:AR1006),$AO$1006:$BQ$1006,0)))),"Fix")))</f>
        <v>#N/A</v>
      </c>
      <c r="F211" s="5" t="e">
        <f ca="1">IF(OR(INDEX($AI$2:$AI$1001,MATCH(ROWS($AH$2:AH211),$AH$2:$AH$1001,0),1)&gt;=100000,INDEX($AO$1005:$BQ$1005,1,MATCH(COLUMNS($AO$1006:AS1006),$AO$1006:$BQ$1006,0))&gt;=100000), " ",IF(INDEX($AO$2:$BQ$1001,MATCH(ROWS($AH$2:AH211),$AH$2:$AH$1001,0),MATCH(COLUMNS($AO$1006:AS1006),$AO$1006:$BQ$1006,0)), HYPERLINK("#",""), HYPERLINK(CONCATENATE("#Metadata!", ADDRESS(INDEX($AJ$2:$AJ$1001,MATCH(ROWS($AH$2:AH211),$AH$2:$AH$1001,0),0), INDEX($AO$1004:$BQ$1004,1,MATCH(COLUMNS($AO$1006:AS1006),$AO$1006:$BQ$1006,0)))),"Fix")))</f>
        <v>#N/A</v>
      </c>
      <c r="G211" s="5" t="e">
        <f ca="1">IF(OR(INDEX($AI$2:$AI$1001,MATCH(ROWS($AH$2:AH211),$AH$2:$AH$1001,0),1)&gt;=100000,INDEX($AO$1005:$BQ$1005,1,MATCH(COLUMNS($AO$1006:AT1006),$AO$1006:$BQ$1006,0))&gt;=100000), " ",IF(INDEX($AO$2:$BQ$1001,MATCH(ROWS($AH$2:AH211),$AH$2:$AH$1001,0),MATCH(COLUMNS($AO$1006:AT1006),$AO$1006:$BQ$1006,0)), HYPERLINK("#",""), HYPERLINK(CONCATENATE("#Metadata!", ADDRESS(INDEX($AJ$2:$AJ$1001,MATCH(ROWS($AH$2:AH211),$AH$2:$AH$1001,0),0), INDEX($AO$1004:$BQ$1004,1,MATCH(COLUMNS($AO$1006:AT1006),$AO$1006:$BQ$1006,0)))),"Fix")))</f>
        <v>#N/A</v>
      </c>
      <c r="H211" s="5" t="e">
        <f ca="1">IF(OR(INDEX($AI$2:$AI$1001,MATCH(ROWS($AH$2:AH211),$AH$2:$AH$1001,0),1)&gt;=100000,INDEX($AO$1005:$BQ$1005,1,MATCH(COLUMNS($AO$1006:AU1006),$AO$1006:$BQ$1006,0))&gt;=100000), " ",IF(INDEX($AO$2:$BQ$1001,MATCH(ROWS($AH$2:AH211),$AH$2:$AH$1001,0),MATCH(COLUMNS($AO$1006:AU1006),$AO$1006:$BQ$1006,0)), HYPERLINK("#",""), HYPERLINK(CONCATENATE("#Metadata!", ADDRESS(INDEX($AJ$2:$AJ$1001,MATCH(ROWS($AH$2:AH211),$AH$2:$AH$1001,0),0), INDEX($AO$1004:$BQ$1004,1,MATCH(COLUMNS($AO$1006:AU1006),$AO$1006:$BQ$1006,0)))),"Fix")))</f>
        <v>#N/A</v>
      </c>
      <c r="I211" s="5" t="e">
        <f ca="1">IF(OR(INDEX($AI$2:$AI$1001,MATCH(ROWS($AH$2:AH211),$AH$2:$AH$1001,0),1)&gt;=100000,INDEX($AO$1005:$BQ$1005,1,MATCH(COLUMNS($AO$1006:AV1006),$AO$1006:$BQ$1006,0))&gt;=100000), " ",IF(INDEX($AO$2:$BQ$1001,MATCH(ROWS($AH$2:AH211),$AH$2:$AH$1001,0),MATCH(COLUMNS($AO$1006:AV1006),$AO$1006:$BQ$1006,0)), HYPERLINK("#",""), HYPERLINK(CONCATENATE("#Metadata!", ADDRESS(INDEX($AJ$2:$AJ$1001,MATCH(ROWS($AH$2:AH211),$AH$2:$AH$1001,0),0), INDEX($AO$1004:$BQ$1004,1,MATCH(COLUMNS($AO$1006:AV1006),$AO$1006:$BQ$1006,0)))),"Fix")))</f>
        <v>#N/A</v>
      </c>
      <c r="J211" s="5" t="e">
        <f ca="1">IF(OR(INDEX($AI$2:$AI$1001,MATCH(ROWS($AH$2:AH211),$AH$2:$AH$1001,0),1)&gt;=100000,INDEX($AO$1005:$BQ$1005,1,MATCH(COLUMNS($AO$1006:AW1006),$AO$1006:$BQ$1006,0))&gt;=100000), " ",IF(INDEX($AO$2:$BQ$1001,MATCH(ROWS($AH$2:AH211),$AH$2:$AH$1001,0),MATCH(COLUMNS($AO$1006:AW1006),$AO$1006:$BQ$1006,0)), HYPERLINK("#",""), HYPERLINK(CONCATENATE("#Metadata!", ADDRESS(INDEX($AJ$2:$AJ$1001,MATCH(ROWS($AH$2:AH211),$AH$2:$AH$1001,0),0), INDEX($AO$1004:$BQ$1004,1,MATCH(COLUMNS($AO$1006:AW1006),$AO$1006:$BQ$1006,0)))),"Fix")))</f>
        <v>#N/A</v>
      </c>
      <c r="K211" s="5" t="e">
        <f ca="1">IF(OR(INDEX($AI$2:$AI$1001,MATCH(ROWS($AH$2:AH211),$AH$2:$AH$1001,0),1)&gt;=100000,INDEX($AO$1005:$BQ$1005,1,MATCH(COLUMNS($AO$1006:AX1006),$AO$1006:$BQ$1006,0))&gt;=100000), " ",IF(INDEX($AO$2:$BQ$1001,MATCH(ROWS($AH$2:AH211),$AH$2:$AH$1001,0),MATCH(COLUMNS($AO$1006:AX1006),$AO$1006:$BQ$1006,0)), HYPERLINK("#",""), HYPERLINK(CONCATENATE("#Metadata!", ADDRESS(INDEX($AJ$2:$AJ$1001,MATCH(ROWS($AH$2:AH211),$AH$2:$AH$1001,0),0), INDEX($AO$1004:$BQ$1004,1,MATCH(COLUMNS($AO$1006:AX1006),$AO$1006:$BQ$1006,0)))),"Fix")))</f>
        <v>#N/A</v>
      </c>
      <c r="L211" s="5" t="e">
        <f ca="1">IF(OR(INDEX($AI$2:$AI$1001,MATCH(ROWS($AH$2:AH211),$AH$2:$AH$1001,0),1)&gt;=100000,INDEX($AO$1005:$BQ$1005,1,MATCH(COLUMNS($AO$1006:AY1006),$AO$1006:$BQ$1006,0))&gt;=100000), " ",IF(INDEX($AO$2:$BQ$1001,MATCH(ROWS($AH$2:AH211),$AH$2:$AH$1001,0),MATCH(COLUMNS($AO$1006:AY1006),$AO$1006:$BQ$1006,0)), HYPERLINK("#",""), HYPERLINK(CONCATENATE("#Metadata!", ADDRESS(INDEX($AJ$2:$AJ$1001,MATCH(ROWS($AH$2:AH211),$AH$2:$AH$1001,0),0), INDEX($AO$1004:$BQ$1004,1,MATCH(COLUMNS($AO$1006:AY1006),$AO$1006:$BQ$1006,0)))),"Fix")))</f>
        <v>#N/A</v>
      </c>
      <c r="M211" s="5" t="e">
        <f ca="1">IF(OR(INDEX($AI$2:$AI$1001,MATCH(ROWS($AH$2:AH211),$AH$2:$AH$1001,0),1)&gt;=100000,INDEX($AO$1005:$BQ$1005,1,MATCH(COLUMNS($AO$1006:AZ1006),$AO$1006:$BQ$1006,0))&gt;=100000), " ",IF(INDEX($AO$2:$BQ$1001,MATCH(ROWS($AH$2:AH211),$AH$2:$AH$1001,0),MATCH(COLUMNS($AO$1006:AZ1006),$AO$1006:$BQ$1006,0)), HYPERLINK("#",""), HYPERLINK(CONCATENATE("#Metadata!", ADDRESS(INDEX($AJ$2:$AJ$1001,MATCH(ROWS($AH$2:AH211),$AH$2:$AH$1001,0),0), INDEX($AO$1004:$BQ$1004,1,MATCH(COLUMNS($AO$1006:AZ1006),$AO$1006:$BQ$1006,0)))),"Fix")))</f>
        <v>#N/A</v>
      </c>
      <c r="N211" s="5" t="e">
        <f ca="1">IF(OR(INDEX($AI$2:$AI$1001,MATCH(ROWS($AH$2:AH211),$AH$2:$AH$1001,0),1)&gt;=100000,INDEX($AO$1005:$BQ$1005,1,MATCH(COLUMNS($AO$1006:BA1006),$AO$1006:$BQ$1006,0))&gt;=100000), " ",IF(INDEX($AO$2:$BQ$1001,MATCH(ROWS($AH$2:AH211),$AH$2:$AH$1001,0),MATCH(COLUMNS($AO$1006:BA1006),$AO$1006:$BQ$1006,0)), HYPERLINK("#",""), HYPERLINK(CONCATENATE("#Metadata!", ADDRESS(INDEX($AJ$2:$AJ$1001,MATCH(ROWS($AH$2:AH211),$AH$2:$AH$1001,0),0), INDEX($AO$1004:$BQ$1004,1,MATCH(COLUMNS($AO$1006:BA1006),$AO$1006:$BQ$1006,0)))),"Fix")))</f>
        <v>#N/A</v>
      </c>
      <c r="O211" s="5" t="e">
        <f ca="1">IF(OR(INDEX($AI$2:$AI$1001,MATCH(ROWS($AH$2:AH211),$AH$2:$AH$1001,0),1)&gt;=100000,INDEX($AO$1005:$BQ$1005,1,MATCH(COLUMNS($AO$1006:BB1006),$AO$1006:$BQ$1006,0))&gt;=100000), " ",IF(INDEX($AO$2:$BQ$1001,MATCH(ROWS($AH$2:AH211),$AH$2:$AH$1001,0),MATCH(COLUMNS($AO$1006:BB1006),$AO$1006:$BQ$1006,0)), HYPERLINK("#",""), HYPERLINK(CONCATENATE("#Metadata!", ADDRESS(INDEX($AJ$2:$AJ$1001,MATCH(ROWS($AH$2:AH211),$AH$2:$AH$1001,0),0), INDEX($AO$1004:$BQ$1004,1,MATCH(COLUMNS($AO$1006:BB1006),$AO$1006:$BQ$1006,0)))),"Fix")))</f>
        <v>#N/A</v>
      </c>
      <c r="P211" s="5" t="e">
        <f ca="1">IF(OR(INDEX($AI$2:$AI$1001,MATCH(ROWS($AH$2:AH211),$AH$2:$AH$1001,0),1)&gt;=100000,INDEX($AO$1005:$BQ$1005,1,MATCH(COLUMNS($AO$1006:BC1006),$AO$1006:$BQ$1006,0))&gt;=100000), " ",IF(INDEX($AO$2:$BQ$1001,MATCH(ROWS($AH$2:AH211),$AH$2:$AH$1001,0),MATCH(COLUMNS($AO$1006:BC1006),$AO$1006:$BQ$1006,0)), HYPERLINK("#",""), HYPERLINK(CONCATENATE("#Metadata!", ADDRESS(INDEX($AJ$2:$AJ$1001,MATCH(ROWS($AH$2:AH211),$AH$2:$AH$1001,0),0), INDEX($AO$1004:$BQ$1004,1,MATCH(COLUMNS($AO$1006:BC1006),$AO$1006:$BQ$1006,0)))),"Fix")))</f>
        <v>#N/A</v>
      </c>
      <c r="Q211" s="5" t="e">
        <f ca="1">IF(OR(INDEX($AI$2:$AI$1001,MATCH(ROWS($AH$2:AH211),$AH$2:$AH$1001,0),1)&gt;=100000,INDEX($AO$1005:$BQ$1005,1,MATCH(COLUMNS($AO$1006:BD1006),$AO$1006:$BQ$1006,0))&gt;=100000), " ",IF(INDEX($AO$2:$BQ$1001,MATCH(ROWS($AH$2:AH211),$AH$2:$AH$1001,0),MATCH(COLUMNS($AO$1006:BD1006),$AO$1006:$BQ$1006,0)), HYPERLINK("#",""), HYPERLINK(CONCATENATE("#Metadata!", ADDRESS(INDEX($AJ$2:$AJ$1001,MATCH(ROWS($AH$2:AH211),$AH$2:$AH$1001,0),0), INDEX($AO$1004:$BQ$1004,1,MATCH(COLUMNS($AO$1006:BD1006),$AO$1006:$BQ$1006,0)))),"Fix")))</f>
        <v>#N/A</v>
      </c>
      <c r="R211" s="5" t="e">
        <f ca="1">IF(OR(INDEX($AI$2:$AI$1001,MATCH(ROWS($AH$2:AH211),$AH$2:$AH$1001,0),1)&gt;=100000,INDEX($AO$1005:$BQ$1005,1,MATCH(COLUMNS($AO$1006:BE1006),$AO$1006:$BQ$1006,0))&gt;=100000), " ",IF(INDEX($AO$2:$BQ$1001,MATCH(ROWS($AH$2:AH211),$AH$2:$AH$1001,0),MATCH(COLUMNS($AO$1006:BE1006),$AO$1006:$BQ$1006,0)), HYPERLINK("#",""), HYPERLINK(CONCATENATE("#Metadata!", ADDRESS(INDEX($AJ$2:$AJ$1001,MATCH(ROWS($AH$2:AH211),$AH$2:$AH$1001,0),0), INDEX($AO$1004:$BQ$1004,1,MATCH(COLUMNS($AO$1006:BE1006),$AO$1006:$BQ$1006,0)))),"Fix")))</f>
        <v>#N/A</v>
      </c>
      <c r="S211" s="5" t="e">
        <f ca="1">IF(OR(INDEX($AI$2:$AI$1001,MATCH(ROWS($AH$2:AH211),$AH$2:$AH$1001,0),1)&gt;=100000,INDEX($AO$1005:$BQ$1005,1,MATCH(COLUMNS($AO$1006:BF1006),$AO$1006:$BQ$1006,0))&gt;=100000), " ",IF(INDEX($AO$2:$BQ$1001,MATCH(ROWS($AH$2:AH211),$AH$2:$AH$1001,0),MATCH(COLUMNS($AO$1006:BF1006),$AO$1006:$BQ$1006,0)), HYPERLINK("#",""), HYPERLINK(CONCATENATE("#Metadata!", ADDRESS(INDEX($AJ$2:$AJ$1001,MATCH(ROWS($AH$2:AH211),$AH$2:$AH$1001,0),0), INDEX($AO$1004:$BQ$1004,1,MATCH(COLUMNS($AO$1006:BF1006),$AO$1006:$BQ$1006,0)))),"Fix")))</f>
        <v>#N/A</v>
      </c>
      <c r="T211" s="5" t="e">
        <f ca="1">IF(OR(INDEX($AI$2:$AI$1001,MATCH(ROWS($AH$2:AH211),$AH$2:$AH$1001,0),1)&gt;=100000,INDEX($AO$1005:$BQ$1005,1,MATCH(COLUMNS($AO$1006:BG1006),$AO$1006:$BQ$1006,0))&gt;=100000), " ",IF(INDEX($AO$2:$BQ$1001,MATCH(ROWS($AH$2:AH211),$AH$2:$AH$1001,0),MATCH(COLUMNS($AO$1006:BG1006),$AO$1006:$BQ$1006,0)), HYPERLINK("#",""), HYPERLINK(CONCATENATE("#Metadata!", ADDRESS(INDEX($AJ$2:$AJ$1001,MATCH(ROWS($AH$2:AH211),$AH$2:$AH$1001,0),0), INDEX($AO$1004:$BQ$1004,1,MATCH(COLUMNS($AO$1006:BG1006),$AO$1006:$BQ$1006,0)))),"Fix")))</f>
        <v>#N/A</v>
      </c>
      <c r="U211" s="5" t="e">
        <f ca="1">IF(OR(INDEX($AI$2:$AI$1001,MATCH(ROWS($AH$2:AH211),$AH$2:$AH$1001,0),1)&gt;=100000,INDEX($AO$1005:$BQ$1005,1,MATCH(COLUMNS($AO$1006:BH1006),$AO$1006:$BQ$1006,0))&gt;=100000), " ",IF(INDEX($AO$2:$BQ$1001,MATCH(ROWS($AH$2:AH211),$AH$2:$AH$1001,0),MATCH(COLUMNS($AO$1006:BH1006),$AO$1006:$BQ$1006,0)), HYPERLINK("#",""), HYPERLINK(CONCATENATE("#Metadata!", ADDRESS(INDEX($AJ$2:$AJ$1001,MATCH(ROWS($AH$2:AH211),$AH$2:$AH$1001,0),0), INDEX($AO$1004:$BQ$1004,1,MATCH(COLUMNS($AO$1006:BH1006),$AO$1006:$BQ$1006,0)))),"Fix")))</f>
        <v>#N/A</v>
      </c>
      <c r="V211" s="5" t="e">
        <f ca="1">IF(OR(INDEX($AI$2:$AI$1001,MATCH(ROWS($AH$2:AH211),$AH$2:$AH$1001,0),1)&gt;=100000,INDEX($AO$1005:$BQ$1005,1,MATCH(COLUMNS($AO$1006:BI1006),$AO$1006:$BQ$1006,0))&gt;=100000), " ",IF(INDEX($AO$2:$BQ$1001,MATCH(ROWS($AH$2:AH211),$AH$2:$AH$1001,0),MATCH(COLUMNS($AO$1006:BI1006),$AO$1006:$BQ$1006,0)), HYPERLINK("#",""), HYPERLINK(CONCATENATE("#Metadata!", ADDRESS(INDEX($AJ$2:$AJ$1001,MATCH(ROWS($AH$2:AH211),$AH$2:$AH$1001,0),0), INDEX($AO$1004:$BQ$1004,1,MATCH(COLUMNS($AO$1006:BI1006),$AO$1006:$BQ$1006,0)))),"Fix")))</f>
        <v>#N/A</v>
      </c>
      <c r="W211" s="5" t="e">
        <f ca="1">IF(OR(INDEX($AI$2:$AI$1001,MATCH(ROWS($AH$2:AH211),$AH$2:$AH$1001,0),1)&gt;=100000,INDEX($AO$1005:$BQ$1005,1,MATCH(COLUMNS($AO$1006:BJ1006),$AO$1006:$BQ$1006,0))&gt;=100000), " ",IF(INDEX($AO$2:$BQ$1001,MATCH(ROWS($AH$2:AH211),$AH$2:$AH$1001,0),MATCH(COLUMNS($AO$1006:BJ1006),$AO$1006:$BQ$1006,0)), HYPERLINK("#",""), HYPERLINK(CONCATENATE("#Metadata!", ADDRESS(INDEX($AJ$2:$AJ$1001,MATCH(ROWS($AH$2:AH211),$AH$2:$AH$1001,0),0), INDEX($AO$1004:$BQ$1004,1,MATCH(COLUMNS($AO$1006:BJ1006),$AO$1006:$BQ$1006,0)))),"Fix")))</f>
        <v>#N/A</v>
      </c>
      <c r="X211" s="5" t="e">
        <f ca="1">IF(OR(INDEX($AI$2:$AI$1001,MATCH(ROWS($AH$2:AH211),$AH$2:$AH$1001,0),1)&gt;=100000,INDEX($AO$1005:$BQ$1005,1,MATCH(COLUMNS($AO$1006:BK1006),$AO$1006:$BQ$1006,0))&gt;=100000), " ",IF(INDEX($AO$2:$BQ$1001,MATCH(ROWS($AH$2:AH211),$AH$2:$AH$1001,0),MATCH(COLUMNS($AO$1006:BK1006),$AO$1006:$BQ$1006,0)), HYPERLINK("#",""), HYPERLINK(CONCATENATE("#Metadata!", ADDRESS(INDEX($AJ$2:$AJ$1001,MATCH(ROWS($AH$2:AH211),$AH$2:$AH$1001,0),0), INDEX($AO$1004:$BQ$1004,1,MATCH(COLUMNS($AO$1006:BK1006),$AO$1006:$BQ$1006,0)))),"Fix")))</f>
        <v>#N/A</v>
      </c>
      <c r="Y211" s="5" t="e">
        <f ca="1">IF(OR(INDEX($AI$2:$AI$1001,MATCH(ROWS($AH$2:AH211),$AH$2:$AH$1001,0),1)&gt;=100000,INDEX($AO$1005:$BQ$1005,1,MATCH(COLUMNS($AO$1006:BL1006),$AO$1006:$BQ$1006,0))&gt;=100000), " ",IF(INDEX($AO$2:$BQ$1001,MATCH(ROWS($AH$2:AH211),$AH$2:$AH$1001,0),MATCH(COLUMNS($AO$1006:BL1006),$AO$1006:$BQ$1006,0)), HYPERLINK("#",""), HYPERLINK(CONCATENATE("#Metadata!", ADDRESS(INDEX($AJ$2:$AJ$1001,MATCH(ROWS($AH$2:AH211),$AH$2:$AH$1001,0),0), INDEX($AO$1004:$BQ$1004,1,MATCH(COLUMNS($AO$1006:BL1006),$AO$1006:$BQ$1006,0)))),"Fix")))</f>
        <v>#N/A</v>
      </c>
      <c r="Z211" s="5" t="e">
        <f ca="1">IF(OR(INDEX($AI$2:$AI$1001,MATCH(ROWS($AH$2:AH211),$AH$2:$AH$1001,0),1)&gt;=100000,INDEX($AO$1005:$BQ$1005,1,MATCH(COLUMNS($AO$1006:BM1006),$AO$1006:$BQ$1006,0))&gt;=100000), " ",IF(INDEX($AO$2:$BQ$1001,MATCH(ROWS($AH$2:AH211),$AH$2:$AH$1001,0),MATCH(COLUMNS($AO$1006:BM1006),$AO$1006:$BQ$1006,0)), HYPERLINK("#",""), HYPERLINK(CONCATENATE("#Metadata!", ADDRESS(INDEX($AJ$2:$AJ$1001,MATCH(ROWS($AH$2:AH211),$AH$2:$AH$1001,0),0), INDEX($AO$1004:$BQ$1004,1,MATCH(COLUMNS($AO$1006:BM1006),$AO$1006:$BQ$1006,0)))),"Fix")))</f>
        <v>#N/A</v>
      </c>
      <c r="AA211" s="5" t="e">
        <f ca="1">IF(OR(INDEX($AI$2:$AI$1001,MATCH(ROWS($AH$2:AH211),$AH$2:$AH$1001,0),1)&gt;=100000,INDEX($AO$1005:$BQ$1005,1,MATCH(COLUMNS($AO$1006:BN1006),$AO$1006:$BQ$1006,0))&gt;=100000), " ",IF(INDEX($AO$2:$BQ$1001,MATCH(ROWS($AH$2:AH211),$AH$2:$AH$1001,0),MATCH(COLUMNS($AO$1006:BN1006),$AO$1006:$BQ$1006,0)), HYPERLINK("#",""), HYPERLINK(CONCATENATE("#Metadata!", ADDRESS(INDEX($AJ$2:$AJ$1001,MATCH(ROWS($AH$2:AH211),$AH$2:$AH$1001,0),0), INDEX($AO$1004:$BQ$1004,1,MATCH(COLUMNS($AO$1006:BN1006),$AO$1006:$BQ$1006,0)))),"Fix")))</f>
        <v>#N/A</v>
      </c>
      <c r="AB211" s="5" t="e">
        <f ca="1">IF(OR(INDEX($AI$2:$AI$1001,MATCH(ROWS($AH$2:AH211),$AH$2:$AH$1001,0),1)&gt;=100000,INDEX($AO$1005:$BQ$1005,1,MATCH(COLUMNS($AO$1006:BO1006),$AO$1006:$BQ$1006,0))&gt;=100000), " ",IF(INDEX($AO$2:$BQ$1001,MATCH(ROWS($AH$2:AH211),$AH$2:$AH$1001,0),MATCH(COLUMNS($AO$1006:BO1006),$AO$1006:$BQ$1006,0)), HYPERLINK("#",""), HYPERLINK(CONCATENATE("#Metadata!", ADDRESS(INDEX($AJ$2:$AJ$1001,MATCH(ROWS($AH$2:AH211),$AH$2:$AH$1001,0),0), INDEX($AO$1004:$BQ$1004,1,MATCH(COLUMNS($AO$1006:BO1006),$AO$1006:$BQ$1006,0)))),"Fix")))</f>
        <v>#N/A</v>
      </c>
      <c r="AC211" s="5" t="e">
        <f ca="1">IF(OR(INDEX($AI$2:$AI$1001,MATCH(ROWS($AH$2:AH211),$AH$2:$AH$1001,0),1)&gt;=100000,INDEX($AO$1005:$BQ$1005,1,MATCH(COLUMNS($AO$1006:BP1006),$AO$1006:$BQ$1006,0))&gt;=100000), " ",IF(INDEX($AO$2:$BQ$1001,MATCH(ROWS($AH$2:AH211),$AH$2:$AH$1001,0),MATCH(COLUMNS($AO$1006:BP1006),$AO$1006:$BQ$1006,0)), HYPERLINK("#",""), HYPERLINK(CONCATENATE("#Metadata!", ADDRESS(INDEX($AJ$2:$AJ$1001,MATCH(ROWS($AH$2:AH211),$AH$2:$AH$1001,0),0), INDEX($AO$1004:$BQ$1004,1,MATCH(COLUMNS($AO$1006:BP1006),$AO$1006:$BQ$1006,0)))),"Fix")))</f>
        <v>#N/A</v>
      </c>
      <c r="AD211" s="5" t="e">
        <f ca="1">IF(OR(INDEX($AI$2:$AI$1001,MATCH(ROWS($AH$2:AH211),$AH$2:$AH$1001,0),1)&gt;=100000,INDEX($AO$1005:$BQ$1005,1,MATCH(COLUMNS($AO$1006:BQ1006),$AO$1006:$BQ$1006,0))&gt;=100000), " ",IF(INDEX($AO$2:$BQ$1001,MATCH(ROWS($AH$2:AH211),$AH$2:$AH$1001,0),MATCH(COLUMNS($AO$1006:BQ1006),$AO$1006:$BQ$1006,0)), HYPERLINK("#",""), HYPERLINK(CONCATENATE("#Metadata!", ADDRESS(INDEX($AJ$2:$AJ$1001,MATCH(ROWS($AH$2:AH211),$AH$2:$AH$1001,0),0), INDEX($AO$1004:$BQ$1004,1,MATCH(COLUMNS($AO$1006:BQ1006),$AO$1006:$BQ$1006,0)))),"Fix")))</f>
        <v>#REF!</v>
      </c>
      <c r="AH211">
        <f ca="1"/>
        <v>208</v>
      </c>
      <c r="AI211">
        <v>100211</v>
      </c>
      <c r="AJ211">
        <v>211</v>
      </c>
      <c r="AK211" t="b">
        <f t="shared" si="3"/>
        <v>1</v>
      </c>
      <c r="AL211" t="b">
        <f>COUNTBLANK(Metadata!B211:AD211)=COLUMNS(Metadata!B211:AD211)</f>
        <v>1</v>
      </c>
      <c r="AM211" t="str">
        <v/>
      </c>
      <c r="AO211" t="b">
        <f ca="1">AND(IF(Metadata!B211="",FALSE,TRUE),COUNTIF(Metadata!B:B, Metadata!B211) = 1,NOT(ISERROR(SUMPRODUCT(SEARCH(MID(Metadata!B211,ROW(INDIRECT("1:"&amp;LEN(Metadata!B211))), 1),"0123456789abcdefghijklmnopqrstuvwxyzABCDEFGHIJKLMNOPQRSTUVWXYZ.")))))</f>
        <v>0</v>
      </c>
      <c r="AP211" t="b">
        <f>IF(Metadata!C211="",FALSE,TRUE)</f>
        <v>0</v>
      </c>
      <c r="AQ211" t="b">
        <f>IF(Metadata!D211="",FALSE,TRUE)</f>
        <v>0</v>
      </c>
      <c r="AR211" t="b">
        <f ca="1">OR(AND(IF(Metadata!E211="",FALSE,TRUE),OR(EXACT(Metadata!E211,"not collected"),EXACT(Metadata!E211,"not provided"),EXACT(Metadata!E211,"restricted access"))),AND(IF(Metadata!E211="",FALSE,TRUE),AND(AND(IFERROR(INT(LEFT(Metadata!E211,4))&gt;1900,FALSE),IFERROR(INT(LEFT(Metadata!E211,4))&lt;=YEAR(NOW()),FALSE)), OR(MID(Metadata!E211,5,1)="", AND(AND(MID(Metadata!E211,5,1)="-",IFERROR(INT(MID(Metadata!E211,6,1))&gt;=0,FALSE),IFERROR(INT(MID(Metadata!E211,6,1))&lt;=1,FALSE),NOT(MID(Metadata!E211,7,1)=""),IFERROR(INT(MID(Metadata!E211,6,2))&gt;=1,FALSE),IFERROR(INT(MID(Metadata!E211,6,2))&lt;=12,FALSE)), OR(MID(Metadata!E211,8,1)="", AND(AND(MID(Metadata!E211,8,1)="-",IFERROR(INT(MID(Metadata!E211,9,1))&gt;=0,FALSE),IFERROR(INT(MID(Metadata!E211,9,1))&lt;=3,FALSE),NOT(MID(Metadata!E211,10,1)=""),IFERROR(INT(MID(Metadata!E211,9,2))&gt;=1,FALSE),IFERROR(INT(MID(Metadata!E211,9,2))&lt;=31,FALSE)), OR(MID(Metadata!E211,11,1)="", AND(AND(MID(Metadata!E211,11,1)=" ",IFERROR(INT(MID(Metadata!E211,12,1))&gt;=0,FALSE),IFERROR(INT(MID(Metadata!E211,12,1))&lt;=2,FALSE),NOT(MID(Metadata!E211,13,1)=""),IFERROR(INT(MID(Metadata!E211,12,2))&gt;=0,FALSE),IFERROR(INT(MID(Metadata!E211,12,2))&lt;=23,FALSE)), OR(MID(Metadata!E211,14,1)="", AND(AND(MID(Metadata!E211,14,1)=":",IFERROR(INT(MID(Metadata!E211,15,1))&gt;=0,FALSE),IFERROR(INT(MID(Metadata!E211,15,1))&lt;=5,FALSE),NOT(MID(Metadata!E211,16,1)=""),IFERROR(INT(MID(Metadata!E211,15,2))&gt;=0,FALSE),IFERROR(INT(MID(Metadata!E211,15,2))&lt;=59,FALSE)), OR(MID(Metadata!E211,17,1)="", AND(AND(MID(Metadata!E211,17,1)=":",IFERROR(INT(MID(Metadata!E211,18,1))&gt;=0,FALSE),IFERROR(INT(MID(Metadata!E211,18,1))&lt;=5,FALSE),NOT(MID(Metadata!E211,19,1)=""),IFERROR(INT(MID(Metadata!E211,18,2))&gt;=0,FALSE),IFERROR(INT(MID(Metadata!E211,18,2))&lt;=59,FALSE)), LEN(Metadata!E211)&lt;=19)))))))))))))</f>
        <v>0</v>
      </c>
      <c r="AS211" t="b">
        <f>IF(Metadata!F211="",FALSE,TRUE)</f>
        <v>0</v>
      </c>
      <c r="AT211" t="b">
        <f>OR(AND(IF(Metadata!G211="",FALSE,TRUE),OR(EXACT(Metadata!G211,"not collected"),EXACT(Metadata!G211,"not provided"))),AND(IF(Metadata!G211="",FALSE,TRUE),OR(EXACT(Metadata!G211,"TRUE"),EXACT(Metadata!G211,"FALSE"))))</f>
        <v>0</v>
      </c>
      <c r="AU211" t="b">
        <f>OR(AND(IF(Metadata!H211="",FALSE,TRUE),OR(EXACT(Metadata!H211,"not collected"),EXACT(Metadata!H211,"not provided"),EXACT(Metadata!H211,"restricted access"))),AND(IF(Metadata!H211="",FALSE,ISNUMBER(VALUE(Metadata!H211))),Metadata!H211&gt;=-413))</f>
        <v>0</v>
      </c>
      <c r="AV211" t="b">
        <f>AND(IF(Metadata!I211="",FALSE,TRUE),EXACT(Metadata!I211,"meters"))</f>
        <v>0</v>
      </c>
      <c r="AW211" t="b">
        <f>AND(IF(Metadata!J211="",FALSE,TRUE),EXACT(Metadata!J211,"free-living"))</f>
        <v>0</v>
      </c>
      <c r="AX211" t="b">
        <f>AND(IF(Metadata!K211="",FALSE,TRUE),OR(EXACT(Metadata!K211,"saline"),EXACT(Metadata!K211,"non-saline")))</f>
        <v>0</v>
      </c>
      <c r="AY211" t="b">
        <f>AND(IF(Metadata!L211="",FALSE,TRUE),OR(EXACT(Metadata!L211,"sub-surface (non-saline)"),EXACT(Metadata!L211,"surface (non-saline)"),EXACT(Metadata!L211,"water (non-saline)"),EXACT(Metadata!L211,"soil (non-saline)"),EXACT(Metadata!L211,"aerosol (non-saline)"),EXACT(Metadata!L211,"sediment (non-saline)"),EXACT(Metadata!L211,"surface (saline)"),EXACT(Metadata!L211,"water (saline)"),EXACT(Metadata!L211,"hypersaline (saline)"),EXACT(Metadata!L211,"aerosol (saline)"),EXACT(Metadata!L211,"sediment (saline)")))</f>
        <v>0</v>
      </c>
      <c r="AZ211" t="b">
        <f>IF(Metadata!M211="",FALSE,TRUE)</f>
        <v>0</v>
      </c>
      <c r="BA211" t="b">
        <f>IF(Metadata!N211="",FALSE,TRUE)</f>
        <v>0</v>
      </c>
      <c r="BB211" t="b">
        <f>IF(Metadata!O211="",FALSE,TRUE)</f>
        <v>0</v>
      </c>
      <c r="BC211" t="b">
        <f>AND(IF(Metadata!P211="",FALSE,TRUE),OR(EXACT(Metadata!P211,"air"),EXACT(Metadata!P211,"microbial mat/biofilm"),EXACT(Metadata!P211,"misc environment"),EXACT(Metadata!P211,"sediment"),EXACT(Metadata!P211,"soil"),EXACT(Metadata!P211,"wastewater/sludge"),EXACT(Metadata!P211,"water")))</f>
        <v>0</v>
      </c>
      <c r="BD211" t="b">
        <f>IF(Metadata!Q211="",FALSE,TRUE)</f>
        <v>0</v>
      </c>
      <c r="BE211" t="b">
        <f>IF(Metadata!R211="",FALSE,TRUE)</f>
        <v>0</v>
      </c>
      <c r="BF211" t="b">
        <f>OR(AND(IF(Metadata!S211="",FALSE,TRUE),OR(EXACT(Metadata!S211,"not collected"),EXACT(Metadata!S211,"not provided"),EXACT(Metadata!S211,"restricted access"))),AND(IF(Metadata!S211="",FALSE,ISNUMBER(VALUE(Metadata!S211))),Metadata!S211&gt;=-90,Metadata!S211&lt;=90))</f>
        <v>0</v>
      </c>
      <c r="BG211" t="b">
        <f>AND(IF(Metadata!T211="",FALSE,TRUE),EXACT(Metadata!T211,"Decimal degrees"))</f>
        <v>0</v>
      </c>
      <c r="BH211" t="b">
        <f>OR(AND(IF(Metadata!U211="",FALSE,TRUE),OR(EXACT(Metadata!U211,"not applicable"),EXACT(Metadata!U211,"not collected"))),IF(Metadata!U211="",FALSE,TRUE))</f>
        <v>0</v>
      </c>
      <c r="BI211" t="b">
        <f>OR(AND(IF(Metadata!V211="",FALSE,TRUE),OR(EXACT(Metadata!V211,"not collected"),EXACT(Metadata!V211,"not provided"),EXACT(Metadata!V211,"restricted access"))),AND(IF(Metadata!V211="",FALSE,ISNUMBER(VALUE(Metadata!V211))),Metadata!V211&gt;=-180,Metadata!V211&lt;=180))</f>
        <v>0</v>
      </c>
      <c r="BJ211" t="b">
        <f>AND(IF(Metadata!W211="",FALSE,TRUE),EXACT(Metadata!W211,"Decimal degrees"))</f>
        <v>0</v>
      </c>
      <c r="BK211" t="b">
        <f>IF(Metadata!X211="",FALSE,TRUE)</f>
        <v>0</v>
      </c>
      <c r="BL211" t="b">
        <f>OR(AND(IF(Metadata!Y211="",FALSE,TRUE),OR(EXACT(Metadata!Y211,"not collected"),EXACT(Metadata!Y211,"not provided"),EXACT(Metadata!Y211,"restricted access"))),AND(IF(Metadata!Y211="",FALSE,TRUE),OR(EXACT(Metadata!Y211,"TRUE"),EXACT(Metadata!Y211,"FALSE"))))</f>
        <v>0</v>
      </c>
      <c r="BM211" t="b">
        <f>OR(AND(IF(Metadata!Z211="",FALSE,TRUE),EXACT(Metadata!Z211,"not applicable")),AND(IF(Metadata!Z211="",FALSE,TRUE),OR(EXACT(Metadata!Z211,"beer"),EXACT(Metadata!Z211,"cheese"),EXACT(Metadata!Z211,"fresh water"),EXACT(Metadata!Z211,"marine sediment"),EXACT(Metadata!Z211,"sea water"),EXACT(Metadata!Z211,"sediment"),EXACT(Metadata!Z211,"soil"),EXACT(Metadata!Z211,"waste water"))))</f>
        <v>0</v>
      </c>
      <c r="BN211" t="b">
        <f>AND(IF(Metadata!AA211="",FALSE,TRUE),EXACT(Metadata!AA211,"metagenome"))</f>
        <v>0</v>
      </c>
      <c r="BO211" t="b">
        <f>AND(IF(Metadata!AB211="",FALSE,TRUE),EXACT(Metadata!AB211,"256318"))</f>
        <v>0</v>
      </c>
      <c r="BP211" t="b">
        <f>IF(Metadata!AC211="",FALSE,TRUE)</f>
        <v>0</v>
      </c>
      <c r="BQ211" t="b">
        <f>IF(Metadata!AD211="",FALSE,TRUE)</f>
        <v>0</v>
      </c>
    </row>
    <row r="212" spans="1:69" x14ac:dyDescent="0.2">
      <c r="A212" s="4" t="e">
        <f ca="1">IF(B212=" "," ",HYPERLINK(CONCATENATE("#metadata!",ADDRESS(INDEX($AJ$2:$AJ$1001,MATCH(ROWS($AH$2:AH212),$AH$2:$AH$1001,0),0),2)),INDEX($AM$2:$AM$1001,MATCH(ROWS($AH$2:AH212),$AH$2:$AH$1001,0),0)))</f>
        <v>#N/A</v>
      </c>
      <c r="B212" s="5" t="e">
        <f ca="1">IF(OR(INDEX($AI$2:$AI$1001,MATCH(ROWS($AH$2:AH212),$AH$2:$AH$1001,0),1)&gt;=100000,INDEX($AO$1005:$BQ$1005,1,MATCH(COLUMNS($AO$1006:AO1006),$AO$1006:$BQ$1006,0))&gt;=100000), " ",IF(INDEX($AO$2:$BQ$1001,MATCH(ROWS($AH$2:AH212),$AH$2:$AH$1001,0),MATCH(COLUMNS($AO$1006:AO1006),$AO$1006:$BQ$1006,0)), HYPERLINK("#",""), HYPERLINK(CONCATENATE("#Metadata!", ADDRESS(INDEX($AJ$2:$AJ$1001,MATCH(ROWS($AH$2:AH212),$AH$2:$AH$1001,0),0), INDEX($AO$1004:$BQ$1004,1,MATCH(COLUMNS($AO$1006:AO1006),$AO$1006:$BQ$1006,0)))),"Fix")))</f>
        <v>#N/A</v>
      </c>
      <c r="C212" s="5" t="e">
        <f ca="1">IF(OR(INDEX($AI$2:$AI$1001,MATCH(ROWS($AH$2:AH212),$AH$2:$AH$1001,0),1)&gt;=100000,INDEX($AO$1005:$BQ$1005,1,MATCH(COLUMNS($AO$1006:AP1006),$AO$1006:$BQ$1006,0))&gt;=100000), " ",IF(INDEX($AO$2:$BQ$1001,MATCH(ROWS($AH$2:AH212),$AH$2:$AH$1001,0),MATCH(COLUMNS($AO$1006:AP1006),$AO$1006:$BQ$1006,0)), HYPERLINK("#",""), HYPERLINK(CONCATENATE("#Metadata!", ADDRESS(INDEX($AJ$2:$AJ$1001,MATCH(ROWS($AH$2:AH212),$AH$2:$AH$1001,0),0), INDEX($AO$1004:$BQ$1004,1,MATCH(COLUMNS($AO$1006:AP1006),$AO$1006:$BQ$1006,0)))),"Fix")))</f>
        <v>#N/A</v>
      </c>
      <c r="D212" s="5" t="e">
        <f ca="1">IF(OR(INDEX($AI$2:$AI$1001,MATCH(ROWS($AH$2:AH212),$AH$2:$AH$1001,0),1)&gt;=100000,INDEX($AO$1005:$BQ$1005,1,MATCH(COLUMNS($AO$1006:AQ1006),$AO$1006:$BQ$1006,0))&gt;=100000), " ",IF(INDEX($AO$2:$BQ$1001,MATCH(ROWS($AH$2:AH212),$AH$2:$AH$1001,0),MATCH(COLUMNS($AO$1006:AQ1006),$AO$1006:$BQ$1006,0)), HYPERLINK("#",""), HYPERLINK(CONCATENATE("#Metadata!", ADDRESS(INDEX($AJ$2:$AJ$1001,MATCH(ROWS($AH$2:AH212),$AH$2:$AH$1001,0),0), INDEX($AO$1004:$BQ$1004,1,MATCH(COLUMNS($AO$1006:AQ1006),$AO$1006:$BQ$1006,0)))),"Fix")))</f>
        <v>#N/A</v>
      </c>
      <c r="E212" s="5" t="e">
        <f ca="1">IF(OR(INDEX($AI$2:$AI$1001,MATCH(ROWS($AH$2:AH212),$AH$2:$AH$1001,0),1)&gt;=100000,INDEX($AO$1005:$BQ$1005,1,MATCH(COLUMNS($AO$1006:AR1006),$AO$1006:$BQ$1006,0))&gt;=100000), " ",IF(INDEX($AO$2:$BQ$1001,MATCH(ROWS($AH$2:AH212),$AH$2:$AH$1001,0),MATCH(COLUMNS($AO$1006:AR1006),$AO$1006:$BQ$1006,0)), HYPERLINK("#",""), HYPERLINK(CONCATENATE("#Metadata!", ADDRESS(INDEX($AJ$2:$AJ$1001,MATCH(ROWS($AH$2:AH212),$AH$2:$AH$1001,0),0), INDEX($AO$1004:$BQ$1004,1,MATCH(COLUMNS($AO$1006:AR1006),$AO$1006:$BQ$1006,0)))),"Fix")))</f>
        <v>#N/A</v>
      </c>
      <c r="F212" s="5" t="e">
        <f ca="1">IF(OR(INDEX($AI$2:$AI$1001,MATCH(ROWS($AH$2:AH212),$AH$2:$AH$1001,0),1)&gt;=100000,INDEX($AO$1005:$BQ$1005,1,MATCH(COLUMNS($AO$1006:AS1006),$AO$1006:$BQ$1006,0))&gt;=100000), " ",IF(INDEX($AO$2:$BQ$1001,MATCH(ROWS($AH$2:AH212),$AH$2:$AH$1001,0),MATCH(COLUMNS($AO$1006:AS1006),$AO$1006:$BQ$1006,0)), HYPERLINK("#",""), HYPERLINK(CONCATENATE("#Metadata!", ADDRESS(INDEX($AJ$2:$AJ$1001,MATCH(ROWS($AH$2:AH212),$AH$2:$AH$1001,0),0), INDEX($AO$1004:$BQ$1004,1,MATCH(COLUMNS($AO$1006:AS1006),$AO$1006:$BQ$1006,0)))),"Fix")))</f>
        <v>#N/A</v>
      </c>
      <c r="G212" s="5" t="e">
        <f ca="1">IF(OR(INDEX($AI$2:$AI$1001,MATCH(ROWS($AH$2:AH212),$AH$2:$AH$1001,0),1)&gt;=100000,INDEX($AO$1005:$BQ$1005,1,MATCH(COLUMNS($AO$1006:AT1006),$AO$1006:$BQ$1006,0))&gt;=100000), " ",IF(INDEX($AO$2:$BQ$1001,MATCH(ROWS($AH$2:AH212),$AH$2:$AH$1001,0),MATCH(COLUMNS($AO$1006:AT1006),$AO$1006:$BQ$1006,0)), HYPERLINK("#",""), HYPERLINK(CONCATENATE("#Metadata!", ADDRESS(INDEX($AJ$2:$AJ$1001,MATCH(ROWS($AH$2:AH212),$AH$2:$AH$1001,0),0), INDEX($AO$1004:$BQ$1004,1,MATCH(COLUMNS($AO$1006:AT1006),$AO$1006:$BQ$1006,0)))),"Fix")))</f>
        <v>#N/A</v>
      </c>
      <c r="H212" s="5" t="e">
        <f ca="1">IF(OR(INDEX($AI$2:$AI$1001,MATCH(ROWS($AH$2:AH212),$AH$2:$AH$1001,0),1)&gt;=100000,INDEX($AO$1005:$BQ$1005,1,MATCH(COLUMNS($AO$1006:AU1006),$AO$1006:$BQ$1006,0))&gt;=100000), " ",IF(INDEX($AO$2:$BQ$1001,MATCH(ROWS($AH$2:AH212),$AH$2:$AH$1001,0),MATCH(COLUMNS($AO$1006:AU1006),$AO$1006:$BQ$1006,0)), HYPERLINK("#",""), HYPERLINK(CONCATENATE("#Metadata!", ADDRESS(INDEX($AJ$2:$AJ$1001,MATCH(ROWS($AH$2:AH212),$AH$2:$AH$1001,0),0), INDEX($AO$1004:$BQ$1004,1,MATCH(COLUMNS($AO$1006:AU1006),$AO$1006:$BQ$1006,0)))),"Fix")))</f>
        <v>#N/A</v>
      </c>
      <c r="I212" s="5" t="e">
        <f ca="1">IF(OR(INDEX($AI$2:$AI$1001,MATCH(ROWS($AH$2:AH212),$AH$2:$AH$1001,0),1)&gt;=100000,INDEX($AO$1005:$BQ$1005,1,MATCH(COLUMNS($AO$1006:AV1006),$AO$1006:$BQ$1006,0))&gt;=100000), " ",IF(INDEX($AO$2:$BQ$1001,MATCH(ROWS($AH$2:AH212),$AH$2:$AH$1001,0),MATCH(COLUMNS($AO$1006:AV1006),$AO$1006:$BQ$1006,0)), HYPERLINK("#",""), HYPERLINK(CONCATENATE("#Metadata!", ADDRESS(INDEX($AJ$2:$AJ$1001,MATCH(ROWS($AH$2:AH212),$AH$2:$AH$1001,0),0), INDEX($AO$1004:$BQ$1004,1,MATCH(COLUMNS($AO$1006:AV1006),$AO$1006:$BQ$1006,0)))),"Fix")))</f>
        <v>#N/A</v>
      </c>
      <c r="J212" s="5" t="e">
        <f ca="1">IF(OR(INDEX($AI$2:$AI$1001,MATCH(ROWS($AH$2:AH212),$AH$2:$AH$1001,0),1)&gt;=100000,INDEX($AO$1005:$BQ$1005,1,MATCH(COLUMNS($AO$1006:AW1006),$AO$1006:$BQ$1006,0))&gt;=100000), " ",IF(INDEX($AO$2:$BQ$1001,MATCH(ROWS($AH$2:AH212),$AH$2:$AH$1001,0),MATCH(COLUMNS($AO$1006:AW1006),$AO$1006:$BQ$1006,0)), HYPERLINK("#",""), HYPERLINK(CONCATENATE("#Metadata!", ADDRESS(INDEX($AJ$2:$AJ$1001,MATCH(ROWS($AH$2:AH212),$AH$2:$AH$1001,0),0), INDEX($AO$1004:$BQ$1004,1,MATCH(COLUMNS($AO$1006:AW1006),$AO$1006:$BQ$1006,0)))),"Fix")))</f>
        <v>#N/A</v>
      </c>
      <c r="K212" s="5" t="e">
        <f ca="1">IF(OR(INDEX($AI$2:$AI$1001,MATCH(ROWS($AH$2:AH212),$AH$2:$AH$1001,0),1)&gt;=100000,INDEX($AO$1005:$BQ$1005,1,MATCH(COLUMNS($AO$1006:AX1006),$AO$1006:$BQ$1006,0))&gt;=100000), " ",IF(INDEX($AO$2:$BQ$1001,MATCH(ROWS($AH$2:AH212),$AH$2:$AH$1001,0),MATCH(COLUMNS($AO$1006:AX1006),$AO$1006:$BQ$1006,0)), HYPERLINK("#",""), HYPERLINK(CONCATENATE("#Metadata!", ADDRESS(INDEX($AJ$2:$AJ$1001,MATCH(ROWS($AH$2:AH212),$AH$2:$AH$1001,0),0), INDEX($AO$1004:$BQ$1004,1,MATCH(COLUMNS($AO$1006:AX1006),$AO$1006:$BQ$1006,0)))),"Fix")))</f>
        <v>#N/A</v>
      </c>
      <c r="L212" s="5" t="e">
        <f ca="1">IF(OR(INDEX($AI$2:$AI$1001,MATCH(ROWS($AH$2:AH212),$AH$2:$AH$1001,0),1)&gt;=100000,INDEX($AO$1005:$BQ$1005,1,MATCH(COLUMNS($AO$1006:AY1006),$AO$1006:$BQ$1006,0))&gt;=100000), " ",IF(INDEX($AO$2:$BQ$1001,MATCH(ROWS($AH$2:AH212),$AH$2:$AH$1001,0),MATCH(COLUMNS($AO$1006:AY1006),$AO$1006:$BQ$1006,0)), HYPERLINK("#",""), HYPERLINK(CONCATENATE("#Metadata!", ADDRESS(INDEX($AJ$2:$AJ$1001,MATCH(ROWS($AH$2:AH212),$AH$2:$AH$1001,0),0), INDEX($AO$1004:$BQ$1004,1,MATCH(COLUMNS($AO$1006:AY1006),$AO$1006:$BQ$1006,0)))),"Fix")))</f>
        <v>#N/A</v>
      </c>
      <c r="M212" s="5" t="e">
        <f ca="1">IF(OR(INDEX($AI$2:$AI$1001,MATCH(ROWS($AH$2:AH212),$AH$2:$AH$1001,0),1)&gt;=100000,INDEX($AO$1005:$BQ$1005,1,MATCH(COLUMNS($AO$1006:AZ1006),$AO$1006:$BQ$1006,0))&gt;=100000), " ",IF(INDEX($AO$2:$BQ$1001,MATCH(ROWS($AH$2:AH212),$AH$2:$AH$1001,0),MATCH(COLUMNS($AO$1006:AZ1006),$AO$1006:$BQ$1006,0)), HYPERLINK("#",""), HYPERLINK(CONCATENATE("#Metadata!", ADDRESS(INDEX($AJ$2:$AJ$1001,MATCH(ROWS($AH$2:AH212),$AH$2:$AH$1001,0),0), INDEX($AO$1004:$BQ$1004,1,MATCH(COLUMNS($AO$1006:AZ1006),$AO$1006:$BQ$1006,0)))),"Fix")))</f>
        <v>#N/A</v>
      </c>
      <c r="N212" s="5" t="e">
        <f ca="1">IF(OR(INDEX($AI$2:$AI$1001,MATCH(ROWS($AH$2:AH212),$AH$2:$AH$1001,0),1)&gt;=100000,INDEX($AO$1005:$BQ$1005,1,MATCH(COLUMNS($AO$1006:BA1006),$AO$1006:$BQ$1006,0))&gt;=100000), " ",IF(INDEX($AO$2:$BQ$1001,MATCH(ROWS($AH$2:AH212),$AH$2:$AH$1001,0),MATCH(COLUMNS($AO$1006:BA1006),$AO$1006:$BQ$1006,0)), HYPERLINK("#",""), HYPERLINK(CONCATENATE("#Metadata!", ADDRESS(INDEX($AJ$2:$AJ$1001,MATCH(ROWS($AH$2:AH212),$AH$2:$AH$1001,0),0), INDEX($AO$1004:$BQ$1004,1,MATCH(COLUMNS($AO$1006:BA1006),$AO$1006:$BQ$1006,0)))),"Fix")))</f>
        <v>#N/A</v>
      </c>
      <c r="O212" s="5" t="e">
        <f ca="1">IF(OR(INDEX($AI$2:$AI$1001,MATCH(ROWS($AH$2:AH212),$AH$2:$AH$1001,0),1)&gt;=100000,INDEX($AO$1005:$BQ$1005,1,MATCH(COLUMNS($AO$1006:BB1006),$AO$1006:$BQ$1006,0))&gt;=100000), " ",IF(INDEX($AO$2:$BQ$1001,MATCH(ROWS($AH$2:AH212),$AH$2:$AH$1001,0),MATCH(COLUMNS($AO$1006:BB1006),$AO$1006:$BQ$1006,0)), HYPERLINK("#",""), HYPERLINK(CONCATENATE("#Metadata!", ADDRESS(INDEX($AJ$2:$AJ$1001,MATCH(ROWS($AH$2:AH212),$AH$2:$AH$1001,0),0), INDEX($AO$1004:$BQ$1004,1,MATCH(COLUMNS($AO$1006:BB1006),$AO$1006:$BQ$1006,0)))),"Fix")))</f>
        <v>#N/A</v>
      </c>
      <c r="P212" s="5" t="e">
        <f ca="1">IF(OR(INDEX($AI$2:$AI$1001,MATCH(ROWS($AH$2:AH212),$AH$2:$AH$1001,0),1)&gt;=100000,INDEX($AO$1005:$BQ$1005,1,MATCH(COLUMNS($AO$1006:BC1006),$AO$1006:$BQ$1006,0))&gt;=100000), " ",IF(INDEX($AO$2:$BQ$1001,MATCH(ROWS($AH$2:AH212),$AH$2:$AH$1001,0),MATCH(COLUMNS($AO$1006:BC1006),$AO$1006:$BQ$1006,0)), HYPERLINK("#",""), HYPERLINK(CONCATENATE("#Metadata!", ADDRESS(INDEX($AJ$2:$AJ$1001,MATCH(ROWS($AH$2:AH212),$AH$2:$AH$1001,0),0), INDEX($AO$1004:$BQ$1004,1,MATCH(COLUMNS($AO$1006:BC1006),$AO$1006:$BQ$1006,0)))),"Fix")))</f>
        <v>#N/A</v>
      </c>
      <c r="Q212" s="5" t="e">
        <f ca="1">IF(OR(INDEX($AI$2:$AI$1001,MATCH(ROWS($AH$2:AH212),$AH$2:$AH$1001,0),1)&gt;=100000,INDEX($AO$1005:$BQ$1005,1,MATCH(COLUMNS($AO$1006:BD1006),$AO$1006:$BQ$1006,0))&gt;=100000), " ",IF(INDEX($AO$2:$BQ$1001,MATCH(ROWS($AH$2:AH212),$AH$2:$AH$1001,0),MATCH(COLUMNS($AO$1006:BD1006),$AO$1006:$BQ$1006,0)), HYPERLINK("#",""), HYPERLINK(CONCATENATE("#Metadata!", ADDRESS(INDEX($AJ$2:$AJ$1001,MATCH(ROWS($AH$2:AH212),$AH$2:$AH$1001,0),0), INDEX($AO$1004:$BQ$1004,1,MATCH(COLUMNS($AO$1006:BD1006),$AO$1006:$BQ$1006,0)))),"Fix")))</f>
        <v>#N/A</v>
      </c>
      <c r="R212" s="5" t="e">
        <f ca="1">IF(OR(INDEX($AI$2:$AI$1001,MATCH(ROWS($AH$2:AH212),$AH$2:$AH$1001,0),1)&gt;=100000,INDEX($AO$1005:$BQ$1005,1,MATCH(COLUMNS($AO$1006:BE1006),$AO$1006:$BQ$1006,0))&gt;=100000), " ",IF(INDEX($AO$2:$BQ$1001,MATCH(ROWS($AH$2:AH212),$AH$2:$AH$1001,0),MATCH(COLUMNS($AO$1006:BE1006),$AO$1006:$BQ$1006,0)), HYPERLINK("#",""), HYPERLINK(CONCATENATE("#Metadata!", ADDRESS(INDEX($AJ$2:$AJ$1001,MATCH(ROWS($AH$2:AH212),$AH$2:$AH$1001,0),0), INDEX($AO$1004:$BQ$1004,1,MATCH(COLUMNS($AO$1006:BE1006),$AO$1006:$BQ$1006,0)))),"Fix")))</f>
        <v>#N/A</v>
      </c>
      <c r="S212" s="5" t="e">
        <f ca="1">IF(OR(INDEX($AI$2:$AI$1001,MATCH(ROWS($AH$2:AH212),$AH$2:$AH$1001,0),1)&gt;=100000,INDEX($AO$1005:$BQ$1005,1,MATCH(COLUMNS($AO$1006:BF1006),$AO$1006:$BQ$1006,0))&gt;=100000), " ",IF(INDEX($AO$2:$BQ$1001,MATCH(ROWS($AH$2:AH212),$AH$2:$AH$1001,0),MATCH(COLUMNS($AO$1006:BF1006),$AO$1006:$BQ$1006,0)), HYPERLINK("#",""), HYPERLINK(CONCATENATE("#Metadata!", ADDRESS(INDEX($AJ$2:$AJ$1001,MATCH(ROWS($AH$2:AH212),$AH$2:$AH$1001,0),0), INDEX($AO$1004:$BQ$1004,1,MATCH(COLUMNS($AO$1006:BF1006),$AO$1006:$BQ$1006,0)))),"Fix")))</f>
        <v>#N/A</v>
      </c>
      <c r="T212" s="5" t="e">
        <f ca="1">IF(OR(INDEX($AI$2:$AI$1001,MATCH(ROWS($AH$2:AH212),$AH$2:$AH$1001,0),1)&gt;=100000,INDEX($AO$1005:$BQ$1005,1,MATCH(COLUMNS($AO$1006:BG1006),$AO$1006:$BQ$1006,0))&gt;=100000), " ",IF(INDEX($AO$2:$BQ$1001,MATCH(ROWS($AH$2:AH212),$AH$2:$AH$1001,0),MATCH(COLUMNS($AO$1006:BG1006),$AO$1006:$BQ$1006,0)), HYPERLINK("#",""), HYPERLINK(CONCATENATE("#Metadata!", ADDRESS(INDEX($AJ$2:$AJ$1001,MATCH(ROWS($AH$2:AH212),$AH$2:$AH$1001,0),0), INDEX($AO$1004:$BQ$1004,1,MATCH(COLUMNS($AO$1006:BG1006),$AO$1006:$BQ$1006,0)))),"Fix")))</f>
        <v>#N/A</v>
      </c>
      <c r="U212" s="5" t="e">
        <f ca="1">IF(OR(INDEX($AI$2:$AI$1001,MATCH(ROWS($AH$2:AH212),$AH$2:$AH$1001,0),1)&gt;=100000,INDEX($AO$1005:$BQ$1005,1,MATCH(COLUMNS($AO$1006:BH1006),$AO$1006:$BQ$1006,0))&gt;=100000), " ",IF(INDEX($AO$2:$BQ$1001,MATCH(ROWS($AH$2:AH212),$AH$2:$AH$1001,0),MATCH(COLUMNS($AO$1006:BH1006),$AO$1006:$BQ$1006,0)), HYPERLINK("#",""), HYPERLINK(CONCATENATE("#Metadata!", ADDRESS(INDEX($AJ$2:$AJ$1001,MATCH(ROWS($AH$2:AH212),$AH$2:$AH$1001,0),0), INDEX($AO$1004:$BQ$1004,1,MATCH(COLUMNS($AO$1006:BH1006),$AO$1006:$BQ$1006,0)))),"Fix")))</f>
        <v>#N/A</v>
      </c>
      <c r="V212" s="5" t="e">
        <f ca="1">IF(OR(INDEX($AI$2:$AI$1001,MATCH(ROWS($AH$2:AH212),$AH$2:$AH$1001,0),1)&gt;=100000,INDEX($AO$1005:$BQ$1005,1,MATCH(COLUMNS($AO$1006:BI1006),$AO$1006:$BQ$1006,0))&gt;=100000), " ",IF(INDEX($AO$2:$BQ$1001,MATCH(ROWS($AH$2:AH212),$AH$2:$AH$1001,0),MATCH(COLUMNS($AO$1006:BI1006),$AO$1006:$BQ$1006,0)), HYPERLINK("#",""), HYPERLINK(CONCATENATE("#Metadata!", ADDRESS(INDEX($AJ$2:$AJ$1001,MATCH(ROWS($AH$2:AH212),$AH$2:$AH$1001,0),0), INDEX($AO$1004:$BQ$1004,1,MATCH(COLUMNS($AO$1006:BI1006),$AO$1006:$BQ$1006,0)))),"Fix")))</f>
        <v>#N/A</v>
      </c>
      <c r="W212" s="5" t="e">
        <f ca="1">IF(OR(INDEX($AI$2:$AI$1001,MATCH(ROWS($AH$2:AH212),$AH$2:$AH$1001,0),1)&gt;=100000,INDEX($AO$1005:$BQ$1005,1,MATCH(COLUMNS($AO$1006:BJ1006),$AO$1006:$BQ$1006,0))&gt;=100000), " ",IF(INDEX($AO$2:$BQ$1001,MATCH(ROWS($AH$2:AH212),$AH$2:$AH$1001,0),MATCH(COLUMNS($AO$1006:BJ1006),$AO$1006:$BQ$1006,0)), HYPERLINK("#",""), HYPERLINK(CONCATENATE("#Metadata!", ADDRESS(INDEX($AJ$2:$AJ$1001,MATCH(ROWS($AH$2:AH212),$AH$2:$AH$1001,0),0), INDEX($AO$1004:$BQ$1004,1,MATCH(COLUMNS($AO$1006:BJ1006),$AO$1006:$BQ$1006,0)))),"Fix")))</f>
        <v>#N/A</v>
      </c>
      <c r="X212" s="5" t="e">
        <f ca="1">IF(OR(INDEX($AI$2:$AI$1001,MATCH(ROWS($AH$2:AH212),$AH$2:$AH$1001,0),1)&gt;=100000,INDEX($AO$1005:$BQ$1005,1,MATCH(COLUMNS($AO$1006:BK1006),$AO$1006:$BQ$1006,0))&gt;=100000), " ",IF(INDEX($AO$2:$BQ$1001,MATCH(ROWS($AH$2:AH212),$AH$2:$AH$1001,0),MATCH(COLUMNS($AO$1006:BK1006),$AO$1006:$BQ$1006,0)), HYPERLINK("#",""), HYPERLINK(CONCATENATE("#Metadata!", ADDRESS(INDEX($AJ$2:$AJ$1001,MATCH(ROWS($AH$2:AH212),$AH$2:$AH$1001,0),0), INDEX($AO$1004:$BQ$1004,1,MATCH(COLUMNS($AO$1006:BK1006),$AO$1006:$BQ$1006,0)))),"Fix")))</f>
        <v>#N/A</v>
      </c>
      <c r="Y212" s="5" t="e">
        <f ca="1">IF(OR(INDEX($AI$2:$AI$1001,MATCH(ROWS($AH$2:AH212),$AH$2:$AH$1001,0),1)&gt;=100000,INDEX($AO$1005:$BQ$1005,1,MATCH(COLUMNS($AO$1006:BL1006),$AO$1006:$BQ$1006,0))&gt;=100000), " ",IF(INDEX($AO$2:$BQ$1001,MATCH(ROWS($AH$2:AH212),$AH$2:$AH$1001,0),MATCH(COLUMNS($AO$1006:BL1006),$AO$1006:$BQ$1006,0)), HYPERLINK("#",""), HYPERLINK(CONCATENATE("#Metadata!", ADDRESS(INDEX($AJ$2:$AJ$1001,MATCH(ROWS($AH$2:AH212),$AH$2:$AH$1001,0),0), INDEX($AO$1004:$BQ$1004,1,MATCH(COLUMNS($AO$1006:BL1006),$AO$1006:$BQ$1006,0)))),"Fix")))</f>
        <v>#N/A</v>
      </c>
      <c r="Z212" s="5" t="e">
        <f ca="1">IF(OR(INDEX($AI$2:$AI$1001,MATCH(ROWS($AH$2:AH212),$AH$2:$AH$1001,0),1)&gt;=100000,INDEX($AO$1005:$BQ$1005,1,MATCH(COLUMNS($AO$1006:BM1006),$AO$1006:$BQ$1006,0))&gt;=100000), " ",IF(INDEX($AO$2:$BQ$1001,MATCH(ROWS($AH$2:AH212),$AH$2:$AH$1001,0),MATCH(COLUMNS($AO$1006:BM1006),$AO$1006:$BQ$1006,0)), HYPERLINK("#",""), HYPERLINK(CONCATENATE("#Metadata!", ADDRESS(INDEX($AJ$2:$AJ$1001,MATCH(ROWS($AH$2:AH212),$AH$2:$AH$1001,0),0), INDEX($AO$1004:$BQ$1004,1,MATCH(COLUMNS($AO$1006:BM1006),$AO$1006:$BQ$1006,0)))),"Fix")))</f>
        <v>#N/A</v>
      </c>
      <c r="AA212" s="5" t="e">
        <f ca="1">IF(OR(INDEX($AI$2:$AI$1001,MATCH(ROWS($AH$2:AH212),$AH$2:$AH$1001,0),1)&gt;=100000,INDEX($AO$1005:$BQ$1005,1,MATCH(COLUMNS($AO$1006:BN1006),$AO$1006:$BQ$1006,0))&gt;=100000), " ",IF(INDEX($AO$2:$BQ$1001,MATCH(ROWS($AH$2:AH212),$AH$2:$AH$1001,0),MATCH(COLUMNS($AO$1006:BN1006),$AO$1006:$BQ$1006,0)), HYPERLINK("#",""), HYPERLINK(CONCATENATE("#Metadata!", ADDRESS(INDEX($AJ$2:$AJ$1001,MATCH(ROWS($AH$2:AH212),$AH$2:$AH$1001,0),0), INDEX($AO$1004:$BQ$1004,1,MATCH(COLUMNS($AO$1006:BN1006),$AO$1006:$BQ$1006,0)))),"Fix")))</f>
        <v>#N/A</v>
      </c>
      <c r="AB212" s="5" t="e">
        <f ca="1">IF(OR(INDEX($AI$2:$AI$1001,MATCH(ROWS($AH$2:AH212),$AH$2:$AH$1001,0),1)&gt;=100000,INDEX($AO$1005:$BQ$1005,1,MATCH(COLUMNS($AO$1006:BO1006),$AO$1006:$BQ$1006,0))&gt;=100000), " ",IF(INDEX($AO$2:$BQ$1001,MATCH(ROWS($AH$2:AH212),$AH$2:$AH$1001,0),MATCH(COLUMNS($AO$1006:BO1006),$AO$1006:$BQ$1006,0)), HYPERLINK("#",""), HYPERLINK(CONCATENATE("#Metadata!", ADDRESS(INDEX($AJ$2:$AJ$1001,MATCH(ROWS($AH$2:AH212),$AH$2:$AH$1001,0),0), INDEX($AO$1004:$BQ$1004,1,MATCH(COLUMNS($AO$1006:BO1006),$AO$1006:$BQ$1006,0)))),"Fix")))</f>
        <v>#N/A</v>
      </c>
      <c r="AC212" s="5" t="e">
        <f ca="1">IF(OR(INDEX($AI$2:$AI$1001,MATCH(ROWS($AH$2:AH212),$AH$2:$AH$1001,0),1)&gt;=100000,INDEX($AO$1005:$BQ$1005,1,MATCH(COLUMNS($AO$1006:BP1006),$AO$1006:$BQ$1006,0))&gt;=100000), " ",IF(INDEX($AO$2:$BQ$1001,MATCH(ROWS($AH$2:AH212),$AH$2:$AH$1001,0),MATCH(COLUMNS($AO$1006:BP1006),$AO$1006:$BQ$1006,0)), HYPERLINK("#",""), HYPERLINK(CONCATENATE("#Metadata!", ADDRESS(INDEX($AJ$2:$AJ$1001,MATCH(ROWS($AH$2:AH212),$AH$2:$AH$1001,0),0), INDEX($AO$1004:$BQ$1004,1,MATCH(COLUMNS($AO$1006:BP1006),$AO$1006:$BQ$1006,0)))),"Fix")))</f>
        <v>#N/A</v>
      </c>
      <c r="AD212" s="5" t="e">
        <f ca="1">IF(OR(INDEX($AI$2:$AI$1001,MATCH(ROWS($AH$2:AH212),$AH$2:$AH$1001,0),1)&gt;=100000,INDEX($AO$1005:$BQ$1005,1,MATCH(COLUMNS($AO$1006:BQ1006),$AO$1006:$BQ$1006,0))&gt;=100000), " ",IF(INDEX($AO$2:$BQ$1001,MATCH(ROWS($AH$2:AH212),$AH$2:$AH$1001,0),MATCH(COLUMNS($AO$1006:BQ1006),$AO$1006:$BQ$1006,0)), HYPERLINK("#",""), HYPERLINK(CONCATENATE("#Metadata!", ADDRESS(INDEX($AJ$2:$AJ$1001,MATCH(ROWS($AH$2:AH212),$AH$2:$AH$1001,0),0), INDEX($AO$1004:$BQ$1004,1,MATCH(COLUMNS($AO$1006:BQ1006),$AO$1006:$BQ$1006,0)))),"Fix")))</f>
        <v>#REF!</v>
      </c>
      <c r="AH212">
        <f ca="1"/>
        <v>209</v>
      </c>
      <c r="AI212">
        <v>100212</v>
      </c>
      <c r="AJ212">
        <v>212</v>
      </c>
      <c r="AK212" t="b">
        <f t="shared" si="3"/>
        <v>1</v>
      </c>
      <c r="AL212" t="b">
        <f>COUNTBLANK(Metadata!B212:AD212)=COLUMNS(Metadata!B212:AD212)</f>
        <v>1</v>
      </c>
      <c r="AM212" t="str">
        <v/>
      </c>
      <c r="AO212" t="b">
        <f ca="1">AND(IF(Metadata!B212="",FALSE,TRUE),COUNTIF(Metadata!B:B, Metadata!B212) = 1,NOT(ISERROR(SUMPRODUCT(SEARCH(MID(Metadata!B212,ROW(INDIRECT("1:"&amp;LEN(Metadata!B212))), 1),"0123456789abcdefghijklmnopqrstuvwxyzABCDEFGHIJKLMNOPQRSTUVWXYZ.")))))</f>
        <v>0</v>
      </c>
      <c r="AP212" t="b">
        <f>IF(Metadata!C212="",FALSE,TRUE)</f>
        <v>0</v>
      </c>
      <c r="AQ212" t="b">
        <f>IF(Metadata!D212="",FALSE,TRUE)</f>
        <v>0</v>
      </c>
      <c r="AR212" t="b">
        <f ca="1">OR(AND(IF(Metadata!E212="",FALSE,TRUE),OR(EXACT(Metadata!E212,"not collected"),EXACT(Metadata!E212,"not provided"),EXACT(Metadata!E212,"restricted access"))),AND(IF(Metadata!E212="",FALSE,TRUE),AND(AND(IFERROR(INT(LEFT(Metadata!E212,4))&gt;1900,FALSE),IFERROR(INT(LEFT(Metadata!E212,4))&lt;=YEAR(NOW()),FALSE)), OR(MID(Metadata!E212,5,1)="", AND(AND(MID(Metadata!E212,5,1)="-",IFERROR(INT(MID(Metadata!E212,6,1))&gt;=0,FALSE),IFERROR(INT(MID(Metadata!E212,6,1))&lt;=1,FALSE),NOT(MID(Metadata!E212,7,1)=""),IFERROR(INT(MID(Metadata!E212,6,2))&gt;=1,FALSE),IFERROR(INT(MID(Metadata!E212,6,2))&lt;=12,FALSE)), OR(MID(Metadata!E212,8,1)="", AND(AND(MID(Metadata!E212,8,1)="-",IFERROR(INT(MID(Metadata!E212,9,1))&gt;=0,FALSE),IFERROR(INT(MID(Metadata!E212,9,1))&lt;=3,FALSE),NOT(MID(Metadata!E212,10,1)=""),IFERROR(INT(MID(Metadata!E212,9,2))&gt;=1,FALSE),IFERROR(INT(MID(Metadata!E212,9,2))&lt;=31,FALSE)), OR(MID(Metadata!E212,11,1)="", AND(AND(MID(Metadata!E212,11,1)=" ",IFERROR(INT(MID(Metadata!E212,12,1))&gt;=0,FALSE),IFERROR(INT(MID(Metadata!E212,12,1))&lt;=2,FALSE),NOT(MID(Metadata!E212,13,1)=""),IFERROR(INT(MID(Metadata!E212,12,2))&gt;=0,FALSE),IFERROR(INT(MID(Metadata!E212,12,2))&lt;=23,FALSE)), OR(MID(Metadata!E212,14,1)="", AND(AND(MID(Metadata!E212,14,1)=":",IFERROR(INT(MID(Metadata!E212,15,1))&gt;=0,FALSE),IFERROR(INT(MID(Metadata!E212,15,1))&lt;=5,FALSE),NOT(MID(Metadata!E212,16,1)=""),IFERROR(INT(MID(Metadata!E212,15,2))&gt;=0,FALSE),IFERROR(INT(MID(Metadata!E212,15,2))&lt;=59,FALSE)), OR(MID(Metadata!E212,17,1)="", AND(AND(MID(Metadata!E212,17,1)=":",IFERROR(INT(MID(Metadata!E212,18,1))&gt;=0,FALSE),IFERROR(INT(MID(Metadata!E212,18,1))&lt;=5,FALSE),NOT(MID(Metadata!E212,19,1)=""),IFERROR(INT(MID(Metadata!E212,18,2))&gt;=0,FALSE),IFERROR(INT(MID(Metadata!E212,18,2))&lt;=59,FALSE)), LEN(Metadata!E212)&lt;=19)))))))))))))</f>
        <v>0</v>
      </c>
      <c r="AS212" t="b">
        <f>IF(Metadata!F212="",FALSE,TRUE)</f>
        <v>0</v>
      </c>
      <c r="AT212" t="b">
        <f>OR(AND(IF(Metadata!G212="",FALSE,TRUE),OR(EXACT(Metadata!G212,"not collected"),EXACT(Metadata!G212,"not provided"))),AND(IF(Metadata!G212="",FALSE,TRUE),OR(EXACT(Metadata!G212,"TRUE"),EXACT(Metadata!G212,"FALSE"))))</f>
        <v>0</v>
      </c>
      <c r="AU212" t="b">
        <f>OR(AND(IF(Metadata!H212="",FALSE,TRUE),OR(EXACT(Metadata!H212,"not collected"),EXACT(Metadata!H212,"not provided"),EXACT(Metadata!H212,"restricted access"))),AND(IF(Metadata!H212="",FALSE,ISNUMBER(VALUE(Metadata!H212))),Metadata!H212&gt;=-413))</f>
        <v>0</v>
      </c>
      <c r="AV212" t="b">
        <f>AND(IF(Metadata!I212="",FALSE,TRUE),EXACT(Metadata!I212,"meters"))</f>
        <v>0</v>
      </c>
      <c r="AW212" t="b">
        <f>AND(IF(Metadata!J212="",FALSE,TRUE),EXACT(Metadata!J212,"free-living"))</f>
        <v>0</v>
      </c>
      <c r="AX212" t="b">
        <f>AND(IF(Metadata!K212="",FALSE,TRUE),OR(EXACT(Metadata!K212,"saline"),EXACT(Metadata!K212,"non-saline")))</f>
        <v>0</v>
      </c>
      <c r="AY212" t="b">
        <f>AND(IF(Metadata!L212="",FALSE,TRUE),OR(EXACT(Metadata!L212,"sub-surface (non-saline)"),EXACT(Metadata!L212,"surface (non-saline)"),EXACT(Metadata!L212,"water (non-saline)"),EXACT(Metadata!L212,"soil (non-saline)"),EXACT(Metadata!L212,"aerosol (non-saline)"),EXACT(Metadata!L212,"sediment (non-saline)"),EXACT(Metadata!L212,"surface (saline)"),EXACT(Metadata!L212,"water (saline)"),EXACT(Metadata!L212,"hypersaline (saline)"),EXACT(Metadata!L212,"aerosol (saline)"),EXACT(Metadata!L212,"sediment (saline)")))</f>
        <v>0</v>
      </c>
      <c r="AZ212" t="b">
        <f>IF(Metadata!M212="",FALSE,TRUE)</f>
        <v>0</v>
      </c>
      <c r="BA212" t="b">
        <f>IF(Metadata!N212="",FALSE,TRUE)</f>
        <v>0</v>
      </c>
      <c r="BB212" t="b">
        <f>IF(Metadata!O212="",FALSE,TRUE)</f>
        <v>0</v>
      </c>
      <c r="BC212" t="b">
        <f>AND(IF(Metadata!P212="",FALSE,TRUE),OR(EXACT(Metadata!P212,"air"),EXACT(Metadata!P212,"microbial mat/biofilm"),EXACT(Metadata!P212,"misc environment"),EXACT(Metadata!P212,"sediment"),EXACT(Metadata!P212,"soil"),EXACT(Metadata!P212,"wastewater/sludge"),EXACT(Metadata!P212,"water")))</f>
        <v>0</v>
      </c>
      <c r="BD212" t="b">
        <f>IF(Metadata!Q212="",FALSE,TRUE)</f>
        <v>0</v>
      </c>
      <c r="BE212" t="b">
        <f>IF(Metadata!R212="",FALSE,TRUE)</f>
        <v>0</v>
      </c>
      <c r="BF212" t="b">
        <f>OR(AND(IF(Metadata!S212="",FALSE,TRUE),OR(EXACT(Metadata!S212,"not collected"),EXACT(Metadata!S212,"not provided"),EXACT(Metadata!S212,"restricted access"))),AND(IF(Metadata!S212="",FALSE,ISNUMBER(VALUE(Metadata!S212))),Metadata!S212&gt;=-90,Metadata!S212&lt;=90))</f>
        <v>0</v>
      </c>
      <c r="BG212" t="b">
        <f>AND(IF(Metadata!T212="",FALSE,TRUE),EXACT(Metadata!T212,"Decimal degrees"))</f>
        <v>0</v>
      </c>
      <c r="BH212" t="b">
        <f>OR(AND(IF(Metadata!U212="",FALSE,TRUE),OR(EXACT(Metadata!U212,"not applicable"),EXACT(Metadata!U212,"not collected"))),IF(Metadata!U212="",FALSE,TRUE))</f>
        <v>0</v>
      </c>
      <c r="BI212" t="b">
        <f>OR(AND(IF(Metadata!V212="",FALSE,TRUE),OR(EXACT(Metadata!V212,"not collected"),EXACT(Metadata!V212,"not provided"),EXACT(Metadata!V212,"restricted access"))),AND(IF(Metadata!V212="",FALSE,ISNUMBER(VALUE(Metadata!V212))),Metadata!V212&gt;=-180,Metadata!V212&lt;=180))</f>
        <v>0</v>
      </c>
      <c r="BJ212" t="b">
        <f>AND(IF(Metadata!W212="",FALSE,TRUE),EXACT(Metadata!W212,"Decimal degrees"))</f>
        <v>0</v>
      </c>
      <c r="BK212" t="b">
        <f>IF(Metadata!X212="",FALSE,TRUE)</f>
        <v>0</v>
      </c>
      <c r="BL212" t="b">
        <f>OR(AND(IF(Metadata!Y212="",FALSE,TRUE),OR(EXACT(Metadata!Y212,"not collected"),EXACT(Metadata!Y212,"not provided"),EXACT(Metadata!Y212,"restricted access"))),AND(IF(Metadata!Y212="",FALSE,TRUE),OR(EXACT(Metadata!Y212,"TRUE"),EXACT(Metadata!Y212,"FALSE"))))</f>
        <v>0</v>
      </c>
      <c r="BM212" t="b">
        <f>OR(AND(IF(Metadata!Z212="",FALSE,TRUE),EXACT(Metadata!Z212,"not applicable")),AND(IF(Metadata!Z212="",FALSE,TRUE),OR(EXACT(Metadata!Z212,"beer"),EXACT(Metadata!Z212,"cheese"),EXACT(Metadata!Z212,"fresh water"),EXACT(Metadata!Z212,"marine sediment"),EXACT(Metadata!Z212,"sea water"),EXACT(Metadata!Z212,"sediment"),EXACT(Metadata!Z212,"soil"),EXACT(Metadata!Z212,"waste water"))))</f>
        <v>0</v>
      </c>
      <c r="BN212" t="b">
        <f>AND(IF(Metadata!AA212="",FALSE,TRUE),EXACT(Metadata!AA212,"metagenome"))</f>
        <v>0</v>
      </c>
      <c r="BO212" t="b">
        <f>AND(IF(Metadata!AB212="",FALSE,TRUE),EXACT(Metadata!AB212,"256318"))</f>
        <v>0</v>
      </c>
      <c r="BP212" t="b">
        <f>IF(Metadata!AC212="",FALSE,TRUE)</f>
        <v>0</v>
      </c>
      <c r="BQ212" t="b">
        <f>IF(Metadata!AD212="",FALSE,TRUE)</f>
        <v>0</v>
      </c>
    </row>
    <row r="213" spans="1:69" x14ac:dyDescent="0.2">
      <c r="A213" s="4" t="e">
        <f ca="1">IF(B213=" "," ",HYPERLINK(CONCATENATE("#metadata!",ADDRESS(INDEX($AJ$2:$AJ$1001,MATCH(ROWS($AH$2:AH213),$AH$2:$AH$1001,0),0),2)),INDEX($AM$2:$AM$1001,MATCH(ROWS($AH$2:AH213),$AH$2:$AH$1001,0),0)))</f>
        <v>#N/A</v>
      </c>
      <c r="B213" s="5" t="e">
        <f ca="1">IF(OR(INDEX($AI$2:$AI$1001,MATCH(ROWS($AH$2:AH213),$AH$2:$AH$1001,0),1)&gt;=100000,INDEX($AO$1005:$BQ$1005,1,MATCH(COLUMNS($AO$1006:AO1006),$AO$1006:$BQ$1006,0))&gt;=100000), " ",IF(INDEX($AO$2:$BQ$1001,MATCH(ROWS($AH$2:AH213),$AH$2:$AH$1001,0),MATCH(COLUMNS($AO$1006:AO1006),$AO$1006:$BQ$1006,0)), HYPERLINK("#",""), HYPERLINK(CONCATENATE("#Metadata!", ADDRESS(INDEX($AJ$2:$AJ$1001,MATCH(ROWS($AH$2:AH213),$AH$2:$AH$1001,0),0), INDEX($AO$1004:$BQ$1004,1,MATCH(COLUMNS($AO$1006:AO1006),$AO$1006:$BQ$1006,0)))),"Fix")))</f>
        <v>#N/A</v>
      </c>
      <c r="C213" s="5" t="e">
        <f ca="1">IF(OR(INDEX($AI$2:$AI$1001,MATCH(ROWS($AH$2:AH213),$AH$2:$AH$1001,0),1)&gt;=100000,INDEX($AO$1005:$BQ$1005,1,MATCH(COLUMNS($AO$1006:AP1006),$AO$1006:$BQ$1006,0))&gt;=100000), " ",IF(INDEX($AO$2:$BQ$1001,MATCH(ROWS($AH$2:AH213),$AH$2:$AH$1001,0),MATCH(COLUMNS($AO$1006:AP1006),$AO$1006:$BQ$1006,0)), HYPERLINK("#",""), HYPERLINK(CONCATENATE("#Metadata!", ADDRESS(INDEX($AJ$2:$AJ$1001,MATCH(ROWS($AH$2:AH213),$AH$2:$AH$1001,0),0), INDEX($AO$1004:$BQ$1004,1,MATCH(COLUMNS($AO$1006:AP1006),$AO$1006:$BQ$1006,0)))),"Fix")))</f>
        <v>#N/A</v>
      </c>
      <c r="D213" s="5" t="e">
        <f ca="1">IF(OR(INDEX($AI$2:$AI$1001,MATCH(ROWS($AH$2:AH213),$AH$2:$AH$1001,0),1)&gt;=100000,INDEX($AO$1005:$BQ$1005,1,MATCH(COLUMNS($AO$1006:AQ1006),$AO$1006:$BQ$1006,0))&gt;=100000), " ",IF(INDEX($AO$2:$BQ$1001,MATCH(ROWS($AH$2:AH213),$AH$2:$AH$1001,0),MATCH(COLUMNS($AO$1006:AQ1006),$AO$1006:$BQ$1006,0)), HYPERLINK("#",""), HYPERLINK(CONCATENATE("#Metadata!", ADDRESS(INDEX($AJ$2:$AJ$1001,MATCH(ROWS($AH$2:AH213),$AH$2:$AH$1001,0),0), INDEX($AO$1004:$BQ$1004,1,MATCH(COLUMNS($AO$1006:AQ1006),$AO$1006:$BQ$1006,0)))),"Fix")))</f>
        <v>#N/A</v>
      </c>
      <c r="E213" s="5" t="e">
        <f ca="1">IF(OR(INDEX($AI$2:$AI$1001,MATCH(ROWS($AH$2:AH213),$AH$2:$AH$1001,0),1)&gt;=100000,INDEX($AO$1005:$BQ$1005,1,MATCH(COLUMNS($AO$1006:AR1006),$AO$1006:$BQ$1006,0))&gt;=100000), " ",IF(INDEX($AO$2:$BQ$1001,MATCH(ROWS($AH$2:AH213),$AH$2:$AH$1001,0),MATCH(COLUMNS($AO$1006:AR1006),$AO$1006:$BQ$1006,0)), HYPERLINK("#",""), HYPERLINK(CONCATENATE("#Metadata!", ADDRESS(INDEX($AJ$2:$AJ$1001,MATCH(ROWS($AH$2:AH213),$AH$2:$AH$1001,0),0), INDEX($AO$1004:$BQ$1004,1,MATCH(COLUMNS($AO$1006:AR1006),$AO$1006:$BQ$1006,0)))),"Fix")))</f>
        <v>#N/A</v>
      </c>
      <c r="F213" s="5" t="e">
        <f ca="1">IF(OR(INDEX($AI$2:$AI$1001,MATCH(ROWS($AH$2:AH213),$AH$2:$AH$1001,0),1)&gt;=100000,INDEX($AO$1005:$BQ$1005,1,MATCH(COLUMNS($AO$1006:AS1006),$AO$1006:$BQ$1006,0))&gt;=100000), " ",IF(INDEX($AO$2:$BQ$1001,MATCH(ROWS($AH$2:AH213),$AH$2:$AH$1001,0),MATCH(COLUMNS($AO$1006:AS1006),$AO$1006:$BQ$1006,0)), HYPERLINK("#",""), HYPERLINK(CONCATENATE("#Metadata!", ADDRESS(INDEX($AJ$2:$AJ$1001,MATCH(ROWS($AH$2:AH213),$AH$2:$AH$1001,0),0), INDEX($AO$1004:$BQ$1004,1,MATCH(COLUMNS($AO$1006:AS1006),$AO$1006:$BQ$1006,0)))),"Fix")))</f>
        <v>#N/A</v>
      </c>
      <c r="G213" s="5" t="e">
        <f ca="1">IF(OR(INDEX($AI$2:$AI$1001,MATCH(ROWS($AH$2:AH213),$AH$2:$AH$1001,0),1)&gt;=100000,INDEX($AO$1005:$BQ$1005,1,MATCH(COLUMNS($AO$1006:AT1006),$AO$1006:$BQ$1006,0))&gt;=100000), " ",IF(INDEX($AO$2:$BQ$1001,MATCH(ROWS($AH$2:AH213),$AH$2:$AH$1001,0),MATCH(COLUMNS($AO$1006:AT1006),$AO$1006:$BQ$1006,0)), HYPERLINK("#",""), HYPERLINK(CONCATENATE("#Metadata!", ADDRESS(INDEX($AJ$2:$AJ$1001,MATCH(ROWS($AH$2:AH213),$AH$2:$AH$1001,0),0), INDEX($AO$1004:$BQ$1004,1,MATCH(COLUMNS($AO$1006:AT1006),$AO$1006:$BQ$1006,0)))),"Fix")))</f>
        <v>#N/A</v>
      </c>
      <c r="H213" s="5" t="e">
        <f ca="1">IF(OR(INDEX($AI$2:$AI$1001,MATCH(ROWS($AH$2:AH213),$AH$2:$AH$1001,0),1)&gt;=100000,INDEX($AO$1005:$BQ$1005,1,MATCH(COLUMNS($AO$1006:AU1006),$AO$1006:$BQ$1006,0))&gt;=100000), " ",IF(INDEX($AO$2:$BQ$1001,MATCH(ROWS($AH$2:AH213),$AH$2:$AH$1001,0),MATCH(COLUMNS($AO$1006:AU1006),$AO$1006:$BQ$1006,0)), HYPERLINK("#",""), HYPERLINK(CONCATENATE("#Metadata!", ADDRESS(INDEX($AJ$2:$AJ$1001,MATCH(ROWS($AH$2:AH213),$AH$2:$AH$1001,0),0), INDEX($AO$1004:$BQ$1004,1,MATCH(COLUMNS($AO$1006:AU1006),$AO$1006:$BQ$1006,0)))),"Fix")))</f>
        <v>#N/A</v>
      </c>
      <c r="I213" s="5" t="e">
        <f ca="1">IF(OR(INDEX($AI$2:$AI$1001,MATCH(ROWS($AH$2:AH213),$AH$2:$AH$1001,0),1)&gt;=100000,INDEX($AO$1005:$BQ$1005,1,MATCH(COLUMNS($AO$1006:AV1006),$AO$1006:$BQ$1006,0))&gt;=100000), " ",IF(INDEX($AO$2:$BQ$1001,MATCH(ROWS($AH$2:AH213),$AH$2:$AH$1001,0),MATCH(COLUMNS($AO$1006:AV1006),$AO$1006:$BQ$1006,0)), HYPERLINK("#",""), HYPERLINK(CONCATENATE("#Metadata!", ADDRESS(INDEX($AJ$2:$AJ$1001,MATCH(ROWS($AH$2:AH213),$AH$2:$AH$1001,0),0), INDEX($AO$1004:$BQ$1004,1,MATCH(COLUMNS($AO$1006:AV1006),$AO$1006:$BQ$1006,0)))),"Fix")))</f>
        <v>#N/A</v>
      </c>
      <c r="J213" s="5" t="e">
        <f ca="1">IF(OR(INDEX($AI$2:$AI$1001,MATCH(ROWS($AH$2:AH213),$AH$2:$AH$1001,0),1)&gt;=100000,INDEX($AO$1005:$BQ$1005,1,MATCH(COLUMNS($AO$1006:AW1006),$AO$1006:$BQ$1006,0))&gt;=100000), " ",IF(INDEX($AO$2:$BQ$1001,MATCH(ROWS($AH$2:AH213),$AH$2:$AH$1001,0),MATCH(COLUMNS($AO$1006:AW1006),$AO$1006:$BQ$1006,0)), HYPERLINK("#",""), HYPERLINK(CONCATENATE("#Metadata!", ADDRESS(INDEX($AJ$2:$AJ$1001,MATCH(ROWS($AH$2:AH213),$AH$2:$AH$1001,0),0), INDEX($AO$1004:$BQ$1004,1,MATCH(COLUMNS($AO$1006:AW1006),$AO$1006:$BQ$1006,0)))),"Fix")))</f>
        <v>#N/A</v>
      </c>
      <c r="K213" s="5" t="e">
        <f ca="1">IF(OR(INDEX($AI$2:$AI$1001,MATCH(ROWS($AH$2:AH213),$AH$2:$AH$1001,0),1)&gt;=100000,INDEX($AO$1005:$BQ$1005,1,MATCH(COLUMNS($AO$1006:AX1006),$AO$1006:$BQ$1006,0))&gt;=100000), " ",IF(INDEX($AO$2:$BQ$1001,MATCH(ROWS($AH$2:AH213),$AH$2:$AH$1001,0),MATCH(COLUMNS($AO$1006:AX1006),$AO$1006:$BQ$1006,0)), HYPERLINK("#",""), HYPERLINK(CONCATENATE("#Metadata!", ADDRESS(INDEX($AJ$2:$AJ$1001,MATCH(ROWS($AH$2:AH213),$AH$2:$AH$1001,0),0), INDEX($AO$1004:$BQ$1004,1,MATCH(COLUMNS($AO$1006:AX1006),$AO$1006:$BQ$1006,0)))),"Fix")))</f>
        <v>#N/A</v>
      </c>
      <c r="L213" s="5" t="e">
        <f ca="1">IF(OR(INDEX($AI$2:$AI$1001,MATCH(ROWS($AH$2:AH213),$AH$2:$AH$1001,0),1)&gt;=100000,INDEX($AO$1005:$BQ$1005,1,MATCH(COLUMNS($AO$1006:AY1006),$AO$1006:$BQ$1006,0))&gt;=100000), " ",IF(INDEX($AO$2:$BQ$1001,MATCH(ROWS($AH$2:AH213),$AH$2:$AH$1001,0),MATCH(COLUMNS($AO$1006:AY1006),$AO$1006:$BQ$1006,0)), HYPERLINK("#",""), HYPERLINK(CONCATENATE("#Metadata!", ADDRESS(INDEX($AJ$2:$AJ$1001,MATCH(ROWS($AH$2:AH213),$AH$2:$AH$1001,0),0), INDEX($AO$1004:$BQ$1004,1,MATCH(COLUMNS($AO$1006:AY1006),$AO$1006:$BQ$1006,0)))),"Fix")))</f>
        <v>#N/A</v>
      </c>
      <c r="M213" s="5" t="e">
        <f ca="1">IF(OR(INDEX($AI$2:$AI$1001,MATCH(ROWS($AH$2:AH213),$AH$2:$AH$1001,0),1)&gt;=100000,INDEX($AO$1005:$BQ$1005,1,MATCH(COLUMNS($AO$1006:AZ1006),$AO$1006:$BQ$1006,0))&gt;=100000), " ",IF(INDEX($AO$2:$BQ$1001,MATCH(ROWS($AH$2:AH213),$AH$2:$AH$1001,0),MATCH(COLUMNS($AO$1006:AZ1006),$AO$1006:$BQ$1006,0)), HYPERLINK("#",""), HYPERLINK(CONCATENATE("#Metadata!", ADDRESS(INDEX($AJ$2:$AJ$1001,MATCH(ROWS($AH$2:AH213),$AH$2:$AH$1001,0),0), INDEX($AO$1004:$BQ$1004,1,MATCH(COLUMNS($AO$1006:AZ1006),$AO$1006:$BQ$1006,0)))),"Fix")))</f>
        <v>#N/A</v>
      </c>
      <c r="N213" s="5" t="e">
        <f ca="1">IF(OR(INDEX($AI$2:$AI$1001,MATCH(ROWS($AH$2:AH213),$AH$2:$AH$1001,0),1)&gt;=100000,INDEX($AO$1005:$BQ$1005,1,MATCH(COLUMNS($AO$1006:BA1006),$AO$1006:$BQ$1006,0))&gt;=100000), " ",IF(INDEX($AO$2:$BQ$1001,MATCH(ROWS($AH$2:AH213),$AH$2:$AH$1001,0),MATCH(COLUMNS($AO$1006:BA1006),$AO$1006:$BQ$1006,0)), HYPERLINK("#",""), HYPERLINK(CONCATENATE("#Metadata!", ADDRESS(INDEX($AJ$2:$AJ$1001,MATCH(ROWS($AH$2:AH213),$AH$2:$AH$1001,0),0), INDEX($AO$1004:$BQ$1004,1,MATCH(COLUMNS($AO$1006:BA1006),$AO$1006:$BQ$1006,0)))),"Fix")))</f>
        <v>#N/A</v>
      </c>
      <c r="O213" s="5" t="e">
        <f ca="1">IF(OR(INDEX($AI$2:$AI$1001,MATCH(ROWS($AH$2:AH213),$AH$2:$AH$1001,0),1)&gt;=100000,INDEX($AO$1005:$BQ$1005,1,MATCH(COLUMNS($AO$1006:BB1006),$AO$1006:$BQ$1006,0))&gt;=100000), " ",IF(INDEX($AO$2:$BQ$1001,MATCH(ROWS($AH$2:AH213),$AH$2:$AH$1001,0),MATCH(COLUMNS($AO$1006:BB1006),$AO$1006:$BQ$1006,0)), HYPERLINK("#",""), HYPERLINK(CONCATENATE("#Metadata!", ADDRESS(INDEX($AJ$2:$AJ$1001,MATCH(ROWS($AH$2:AH213),$AH$2:$AH$1001,0),0), INDEX($AO$1004:$BQ$1004,1,MATCH(COLUMNS($AO$1006:BB1006),$AO$1006:$BQ$1006,0)))),"Fix")))</f>
        <v>#N/A</v>
      </c>
      <c r="P213" s="5" t="e">
        <f ca="1">IF(OR(INDEX($AI$2:$AI$1001,MATCH(ROWS($AH$2:AH213),$AH$2:$AH$1001,0),1)&gt;=100000,INDEX($AO$1005:$BQ$1005,1,MATCH(COLUMNS($AO$1006:BC1006),$AO$1006:$BQ$1006,0))&gt;=100000), " ",IF(INDEX($AO$2:$BQ$1001,MATCH(ROWS($AH$2:AH213),$AH$2:$AH$1001,0),MATCH(COLUMNS($AO$1006:BC1006),$AO$1006:$BQ$1006,0)), HYPERLINK("#",""), HYPERLINK(CONCATENATE("#Metadata!", ADDRESS(INDEX($AJ$2:$AJ$1001,MATCH(ROWS($AH$2:AH213),$AH$2:$AH$1001,0),0), INDEX($AO$1004:$BQ$1004,1,MATCH(COLUMNS($AO$1006:BC1006),$AO$1006:$BQ$1006,0)))),"Fix")))</f>
        <v>#N/A</v>
      </c>
      <c r="Q213" s="5" t="e">
        <f ca="1">IF(OR(INDEX($AI$2:$AI$1001,MATCH(ROWS($AH$2:AH213),$AH$2:$AH$1001,0),1)&gt;=100000,INDEX($AO$1005:$BQ$1005,1,MATCH(COLUMNS($AO$1006:BD1006),$AO$1006:$BQ$1006,0))&gt;=100000), " ",IF(INDEX($AO$2:$BQ$1001,MATCH(ROWS($AH$2:AH213),$AH$2:$AH$1001,0),MATCH(COLUMNS($AO$1006:BD1006),$AO$1006:$BQ$1006,0)), HYPERLINK("#",""), HYPERLINK(CONCATENATE("#Metadata!", ADDRESS(INDEX($AJ$2:$AJ$1001,MATCH(ROWS($AH$2:AH213),$AH$2:$AH$1001,0),0), INDEX($AO$1004:$BQ$1004,1,MATCH(COLUMNS($AO$1006:BD1006),$AO$1006:$BQ$1006,0)))),"Fix")))</f>
        <v>#N/A</v>
      </c>
      <c r="R213" s="5" t="e">
        <f ca="1">IF(OR(INDEX($AI$2:$AI$1001,MATCH(ROWS($AH$2:AH213),$AH$2:$AH$1001,0),1)&gt;=100000,INDEX($AO$1005:$BQ$1005,1,MATCH(COLUMNS($AO$1006:BE1006),$AO$1006:$BQ$1006,0))&gt;=100000), " ",IF(INDEX($AO$2:$BQ$1001,MATCH(ROWS($AH$2:AH213),$AH$2:$AH$1001,0),MATCH(COLUMNS($AO$1006:BE1006),$AO$1006:$BQ$1006,0)), HYPERLINK("#",""), HYPERLINK(CONCATENATE("#Metadata!", ADDRESS(INDEX($AJ$2:$AJ$1001,MATCH(ROWS($AH$2:AH213),$AH$2:$AH$1001,0),0), INDEX($AO$1004:$BQ$1004,1,MATCH(COLUMNS($AO$1006:BE1006),$AO$1006:$BQ$1006,0)))),"Fix")))</f>
        <v>#N/A</v>
      </c>
      <c r="S213" s="5" t="e">
        <f ca="1">IF(OR(INDEX($AI$2:$AI$1001,MATCH(ROWS($AH$2:AH213),$AH$2:$AH$1001,0),1)&gt;=100000,INDEX($AO$1005:$BQ$1005,1,MATCH(COLUMNS($AO$1006:BF1006),$AO$1006:$BQ$1006,0))&gt;=100000), " ",IF(INDEX($AO$2:$BQ$1001,MATCH(ROWS($AH$2:AH213),$AH$2:$AH$1001,0),MATCH(COLUMNS($AO$1006:BF1006),$AO$1006:$BQ$1006,0)), HYPERLINK("#",""), HYPERLINK(CONCATENATE("#Metadata!", ADDRESS(INDEX($AJ$2:$AJ$1001,MATCH(ROWS($AH$2:AH213),$AH$2:$AH$1001,0),0), INDEX($AO$1004:$BQ$1004,1,MATCH(COLUMNS($AO$1006:BF1006),$AO$1006:$BQ$1006,0)))),"Fix")))</f>
        <v>#N/A</v>
      </c>
      <c r="T213" s="5" t="e">
        <f ca="1">IF(OR(INDEX($AI$2:$AI$1001,MATCH(ROWS($AH$2:AH213),$AH$2:$AH$1001,0),1)&gt;=100000,INDEX($AO$1005:$BQ$1005,1,MATCH(COLUMNS($AO$1006:BG1006),$AO$1006:$BQ$1006,0))&gt;=100000), " ",IF(INDEX($AO$2:$BQ$1001,MATCH(ROWS($AH$2:AH213),$AH$2:$AH$1001,0),MATCH(COLUMNS($AO$1006:BG1006),$AO$1006:$BQ$1006,0)), HYPERLINK("#",""), HYPERLINK(CONCATENATE("#Metadata!", ADDRESS(INDEX($AJ$2:$AJ$1001,MATCH(ROWS($AH$2:AH213),$AH$2:$AH$1001,0),0), INDEX($AO$1004:$BQ$1004,1,MATCH(COLUMNS($AO$1006:BG1006),$AO$1006:$BQ$1006,0)))),"Fix")))</f>
        <v>#N/A</v>
      </c>
      <c r="U213" s="5" t="e">
        <f ca="1">IF(OR(INDEX($AI$2:$AI$1001,MATCH(ROWS($AH$2:AH213),$AH$2:$AH$1001,0),1)&gt;=100000,INDEX($AO$1005:$BQ$1005,1,MATCH(COLUMNS($AO$1006:BH1006),$AO$1006:$BQ$1006,0))&gt;=100000), " ",IF(INDEX($AO$2:$BQ$1001,MATCH(ROWS($AH$2:AH213),$AH$2:$AH$1001,0),MATCH(COLUMNS($AO$1006:BH1006),$AO$1006:$BQ$1006,0)), HYPERLINK("#",""), HYPERLINK(CONCATENATE("#Metadata!", ADDRESS(INDEX($AJ$2:$AJ$1001,MATCH(ROWS($AH$2:AH213),$AH$2:$AH$1001,0),0), INDEX($AO$1004:$BQ$1004,1,MATCH(COLUMNS($AO$1006:BH1006),$AO$1006:$BQ$1006,0)))),"Fix")))</f>
        <v>#N/A</v>
      </c>
      <c r="V213" s="5" t="e">
        <f ca="1">IF(OR(INDEX($AI$2:$AI$1001,MATCH(ROWS($AH$2:AH213),$AH$2:$AH$1001,0),1)&gt;=100000,INDEX($AO$1005:$BQ$1005,1,MATCH(COLUMNS($AO$1006:BI1006),$AO$1006:$BQ$1006,0))&gt;=100000), " ",IF(INDEX($AO$2:$BQ$1001,MATCH(ROWS($AH$2:AH213),$AH$2:$AH$1001,0),MATCH(COLUMNS($AO$1006:BI1006),$AO$1006:$BQ$1006,0)), HYPERLINK("#",""), HYPERLINK(CONCATENATE("#Metadata!", ADDRESS(INDEX($AJ$2:$AJ$1001,MATCH(ROWS($AH$2:AH213),$AH$2:$AH$1001,0),0), INDEX($AO$1004:$BQ$1004,1,MATCH(COLUMNS($AO$1006:BI1006),$AO$1006:$BQ$1006,0)))),"Fix")))</f>
        <v>#N/A</v>
      </c>
      <c r="W213" s="5" t="e">
        <f ca="1">IF(OR(INDEX($AI$2:$AI$1001,MATCH(ROWS($AH$2:AH213),$AH$2:$AH$1001,0),1)&gt;=100000,INDEX($AO$1005:$BQ$1005,1,MATCH(COLUMNS($AO$1006:BJ1006),$AO$1006:$BQ$1006,0))&gt;=100000), " ",IF(INDEX($AO$2:$BQ$1001,MATCH(ROWS($AH$2:AH213),$AH$2:$AH$1001,0),MATCH(COLUMNS($AO$1006:BJ1006),$AO$1006:$BQ$1006,0)), HYPERLINK("#",""), HYPERLINK(CONCATENATE("#Metadata!", ADDRESS(INDEX($AJ$2:$AJ$1001,MATCH(ROWS($AH$2:AH213),$AH$2:$AH$1001,0),0), INDEX($AO$1004:$BQ$1004,1,MATCH(COLUMNS($AO$1006:BJ1006),$AO$1006:$BQ$1006,0)))),"Fix")))</f>
        <v>#N/A</v>
      </c>
      <c r="X213" s="5" t="e">
        <f ca="1">IF(OR(INDEX($AI$2:$AI$1001,MATCH(ROWS($AH$2:AH213),$AH$2:$AH$1001,0),1)&gt;=100000,INDEX($AO$1005:$BQ$1005,1,MATCH(COLUMNS($AO$1006:BK1006),$AO$1006:$BQ$1006,0))&gt;=100000), " ",IF(INDEX($AO$2:$BQ$1001,MATCH(ROWS($AH$2:AH213),$AH$2:$AH$1001,0),MATCH(COLUMNS($AO$1006:BK1006),$AO$1006:$BQ$1006,0)), HYPERLINK("#",""), HYPERLINK(CONCATENATE("#Metadata!", ADDRESS(INDEX($AJ$2:$AJ$1001,MATCH(ROWS($AH$2:AH213),$AH$2:$AH$1001,0),0), INDEX($AO$1004:$BQ$1004,1,MATCH(COLUMNS($AO$1006:BK1006),$AO$1006:$BQ$1006,0)))),"Fix")))</f>
        <v>#N/A</v>
      </c>
      <c r="Y213" s="5" t="e">
        <f ca="1">IF(OR(INDEX($AI$2:$AI$1001,MATCH(ROWS($AH$2:AH213),$AH$2:$AH$1001,0),1)&gt;=100000,INDEX($AO$1005:$BQ$1005,1,MATCH(COLUMNS($AO$1006:BL1006),$AO$1006:$BQ$1006,0))&gt;=100000), " ",IF(INDEX($AO$2:$BQ$1001,MATCH(ROWS($AH$2:AH213),$AH$2:$AH$1001,0),MATCH(COLUMNS($AO$1006:BL1006),$AO$1006:$BQ$1006,0)), HYPERLINK("#",""), HYPERLINK(CONCATENATE("#Metadata!", ADDRESS(INDEX($AJ$2:$AJ$1001,MATCH(ROWS($AH$2:AH213),$AH$2:$AH$1001,0),0), INDEX($AO$1004:$BQ$1004,1,MATCH(COLUMNS($AO$1006:BL1006),$AO$1006:$BQ$1006,0)))),"Fix")))</f>
        <v>#N/A</v>
      </c>
      <c r="Z213" s="5" t="e">
        <f ca="1">IF(OR(INDEX($AI$2:$AI$1001,MATCH(ROWS($AH$2:AH213),$AH$2:$AH$1001,0),1)&gt;=100000,INDEX($AO$1005:$BQ$1005,1,MATCH(COLUMNS($AO$1006:BM1006),$AO$1006:$BQ$1006,0))&gt;=100000), " ",IF(INDEX($AO$2:$BQ$1001,MATCH(ROWS($AH$2:AH213),$AH$2:$AH$1001,0),MATCH(COLUMNS($AO$1006:BM1006),$AO$1006:$BQ$1006,0)), HYPERLINK("#",""), HYPERLINK(CONCATENATE("#Metadata!", ADDRESS(INDEX($AJ$2:$AJ$1001,MATCH(ROWS($AH$2:AH213),$AH$2:$AH$1001,0),0), INDEX($AO$1004:$BQ$1004,1,MATCH(COLUMNS($AO$1006:BM1006),$AO$1006:$BQ$1006,0)))),"Fix")))</f>
        <v>#N/A</v>
      </c>
      <c r="AA213" s="5" t="e">
        <f ca="1">IF(OR(INDEX($AI$2:$AI$1001,MATCH(ROWS($AH$2:AH213),$AH$2:$AH$1001,0),1)&gt;=100000,INDEX($AO$1005:$BQ$1005,1,MATCH(COLUMNS($AO$1006:BN1006),$AO$1006:$BQ$1006,0))&gt;=100000), " ",IF(INDEX($AO$2:$BQ$1001,MATCH(ROWS($AH$2:AH213),$AH$2:$AH$1001,0),MATCH(COLUMNS($AO$1006:BN1006),$AO$1006:$BQ$1006,0)), HYPERLINK("#",""), HYPERLINK(CONCATENATE("#Metadata!", ADDRESS(INDEX($AJ$2:$AJ$1001,MATCH(ROWS($AH$2:AH213),$AH$2:$AH$1001,0),0), INDEX($AO$1004:$BQ$1004,1,MATCH(COLUMNS($AO$1006:BN1006),$AO$1006:$BQ$1006,0)))),"Fix")))</f>
        <v>#N/A</v>
      </c>
      <c r="AB213" s="5" t="e">
        <f ca="1">IF(OR(INDEX($AI$2:$AI$1001,MATCH(ROWS($AH$2:AH213),$AH$2:$AH$1001,0),1)&gt;=100000,INDEX($AO$1005:$BQ$1005,1,MATCH(COLUMNS($AO$1006:BO1006),$AO$1006:$BQ$1006,0))&gt;=100000), " ",IF(INDEX($AO$2:$BQ$1001,MATCH(ROWS($AH$2:AH213),$AH$2:$AH$1001,0),MATCH(COLUMNS($AO$1006:BO1006),$AO$1006:$BQ$1006,0)), HYPERLINK("#",""), HYPERLINK(CONCATENATE("#Metadata!", ADDRESS(INDEX($AJ$2:$AJ$1001,MATCH(ROWS($AH$2:AH213),$AH$2:$AH$1001,0),0), INDEX($AO$1004:$BQ$1004,1,MATCH(COLUMNS($AO$1006:BO1006),$AO$1006:$BQ$1006,0)))),"Fix")))</f>
        <v>#N/A</v>
      </c>
      <c r="AC213" s="5" t="e">
        <f ca="1">IF(OR(INDEX($AI$2:$AI$1001,MATCH(ROWS($AH$2:AH213),$AH$2:$AH$1001,0),1)&gt;=100000,INDEX($AO$1005:$BQ$1005,1,MATCH(COLUMNS($AO$1006:BP1006),$AO$1006:$BQ$1006,0))&gt;=100000), " ",IF(INDEX($AO$2:$BQ$1001,MATCH(ROWS($AH$2:AH213),$AH$2:$AH$1001,0),MATCH(COLUMNS($AO$1006:BP1006),$AO$1006:$BQ$1006,0)), HYPERLINK("#",""), HYPERLINK(CONCATENATE("#Metadata!", ADDRESS(INDEX($AJ$2:$AJ$1001,MATCH(ROWS($AH$2:AH213),$AH$2:$AH$1001,0),0), INDEX($AO$1004:$BQ$1004,1,MATCH(COLUMNS($AO$1006:BP1006),$AO$1006:$BQ$1006,0)))),"Fix")))</f>
        <v>#N/A</v>
      </c>
      <c r="AD213" s="5" t="e">
        <f ca="1">IF(OR(INDEX($AI$2:$AI$1001,MATCH(ROWS($AH$2:AH213),$AH$2:$AH$1001,0),1)&gt;=100000,INDEX($AO$1005:$BQ$1005,1,MATCH(COLUMNS($AO$1006:BQ1006),$AO$1006:$BQ$1006,0))&gt;=100000), " ",IF(INDEX($AO$2:$BQ$1001,MATCH(ROWS($AH$2:AH213),$AH$2:$AH$1001,0),MATCH(COLUMNS($AO$1006:BQ1006),$AO$1006:$BQ$1006,0)), HYPERLINK("#",""), HYPERLINK(CONCATENATE("#Metadata!", ADDRESS(INDEX($AJ$2:$AJ$1001,MATCH(ROWS($AH$2:AH213),$AH$2:$AH$1001,0),0), INDEX($AO$1004:$BQ$1004,1,MATCH(COLUMNS($AO$1006:BQ1006),$AO$1006:$BQ$1006,0)))),"Fix")))</f>
        <v>#REF!</v>
      </c>
      <c r="AH213">
        <f ca="1"/>
        <v>210</v>
      </c>
      <c r="AI213">
        <v>100213</v>
      </c>
      <c r="AJ213">
        <v>213</v>
      </c>
      <c r="AK213" t="b">
        <f t="shared" si="3"/>
        <v>1</v>
      </c>
      <c r="AL213" t="b">
        <f>COUNTBLANK(Metadata!B213:AD213)=COLUMNS(Metadata!B213:AD213)</f>
        <v>1</v>
      </c>
      <c r="AM213" t="str">
        <v/>
      </c>
      <c r="AO213" t="b">
        <f ca="1">AND(IF(Metadata!B213="",FALSE,TRUE),COUNTIF(Metadata!B:B, Metadata!B213) = 1,NOT(ISERROR(SUMPRODUCT(SEARCH(MID(Metadata!B213,ROW(INDIRECT("1:"&amp;LEN(Metadata!B213))), 1),"0123456789abcdefghijklmnopqrstuvwxyzABCDEFGHIJKLMNOPQRSTUVWXYZ.")))))</f>
        <v>0</v>
      </c>
      <c r="AP213" t="b">
        <f>IF(Metadata!C213="",FALSE,TRUE)</f>
        <v>0</v>
      </c>
      <c r="AQ213" t="b">
        <f>IF(Metadata!D213="",FALSE,TRUE)</f>
        <v>0</v>
      </c>
      <c r="AR213" t="b">
        <f ca="1">OR(AND(IF(Metadata!E213="",FALSE,TRUE),OR(EXACT(Metadata!E213,"not collected"),EXACT(Metadata!E213,"not provided"),EXACT(Metadata!E213,"restricted access"))),AND(IF(Metadata!E213="",FALSE,TRUE),AND(AND(IFERROR(INT(LEFT(Metadata!E213,4))&gt;1900,FALSE),IFERROR(INT(LEFT(Metadata!E213,4))&lt;=YEAR(NOW()),FALSE)), OR(MID(Metadata!E213,5,1)="", AND(AND(MID(Metadata!E213,5,1)="-",IFERROR(INT(MID(Metadata!E213,6,1))&gt;=0,FALSE),IFERROR(INT(MID(Metadata!E213,6,1))&lt;=1,FALSE),NOT(MID(Metadata!E213,7,1)=""),IFERROR(INT(MID(Metadata!E213,6,2))&gt;=1,FALSE),IFERROR(INT(MID(Metadata!E213,6,2))&lt;=12,FALSE)), OR(MID(Metadata!E213,8,1)="", AND(AND(MID(Metadata!E213,8,1)="-",IFERROR(INT(MID(Metadata!E213,9,1))&gt;=0,FALSE),IFERROR(INT(MID(Metadata!E213,9,1))&lt;=3,FALSE),NOT(MID(Metadata!E213,10,1)=""),IFERROR(INT(MID(Metadata!E213,9,2))&gt;=1,FALSE),IFERROR(INT(MID(Metadata!E213,9,2))&lt;=31,FALSE)), OR(MID(Metadata!E213,11,1)="", AND(AND(MID(Metadata!E213,11,1)=" ",IFERROR(INT(MID(Metadata!E213,12,1))&gt;=0,FALSE),IFERROR(INT(MID(Metadata!E213,12,1))&lt;=2,FALSE),NOT(MID(Metadata!E213,13,1)=""),IFERROR(INT(MID(Metadata!E213,12,2))&gt;=0,FALSE),IFERROR(INT(MID(Metadata!E213,12,2))&lt;=23,FALSE)), OR(MID(Metadata!E213,14,1)="", AND(AND(MID(Metadata!E213,14,1)=":",IFERROR(INT(MID(Metadata!E213,15,1))&gt;=0,FALSE),IFERROR(INT(MID(Metadata!E213,15,1))&lt;=5,FALSE),NOT(MID(Metadata!E213,16,1)=""),IFERROR(INT(MID(Metadata!E213,15,2))&gt;=0,FALSE),IFERROR(INT(MID(Metadata!E213,15,2))&lt;=59,FALSE)), OR(MID(Metadata!E213,17,1)="", AND(AND(MID(Metadata!E213,17,1)=":",IFERROR(INT(MID(Metadata!E213,18,1))&gt;=0,FALSE),IFERROR(INT(MID(Metadata!E213,18,1))&lt;=5,FALSE),NOT(MID(Metadata!E213,19,1)=""),IFERROR(INT(MID(Metadata!E213,18,2))&gt;=0,FALSE),IFERROR(INT(MID(Metadata!E213,18,2))&lt;=59,FALSE)), LEN(Metadata!E213)&lt;=19)))))))))))))</f>
        <v>0</v>
      </c>
      <c r="AS213" t="b">
        <f>IF(Metadata!F213="",FALSE,TRUE)</f>
        <v>0</v>
      </c>
      <c r="AT213" t="b">
        <f>OR(AND(IF(Metadata!G213="",FALSE,TRUE),OR(EXACT(Metadata!G213,"not collected"),EXACT(Metadata!G213,"not provided"))),AND(IF(Metadata!G213="",FALSE,TRUE),OR(EXACT(Metadata!G213,"TRUE"),EXACT(Metadata!G213,"FALSE"))))</f>
        <v>0</v>
      </c>
      <c r="AU213" t="b">
        <f>OR(AND(IF(Metadata!H213="",FALSE,TRUE),OR(EXACT(Metadata!H213,"not collected"),EXACT(Metadata!H213,"not provided"),EXACT(Metadata!H213,"restricted access"))),AND(IF(Metadata!H213="",FALSE,ISNUMBER(VALUE(Metadata!H213))),Metadata!H213&gt;=-413))</f>
        <v>0</v>
      </c>
      <c r="AV213" t="b">
        <f>AND(IF(Metadata!I213="",FALSE,TRUE),EXACT(Metadata!I213,"meters"))</f>
        <v>0</v>
      </c>
      <c r="AW213" t="b">
        <f>AND(IF(Metadata!J213="",FALSE,TRUE),EXACT(Metadata!J213,"free-living"))</f>
        <v>0</v>
      </c>
      <c r="AX213" t="b">
        <f>AND(IF(Metadata!K213="",FALSE,TRUE),OR(EXACT(Metadata!K213,"saline"),EXACT(Metadata!K213,"non-saline")))</f>
        <v>0</v>
      </c>
      <c r="AY213" t="b">
        <f>AND(IF(Metadata!L213="",FALSE,TRUE),OR(EXACT(Metadata!L213,"sub-surface (non-saline)"),EXACT(Metadata!L213,"surface (non-saline)"),EXACT(Metadata!L213,"water (non-saline)"),EXACT(Metadata!L213,"soil (non-saline)"),EXACT(Metadata!L213,"aerosol (non-saline)"),EXACT(Metadata!L213,"sediment (non-saline)"),EXACT(Metadata!L213,"surface (saline)"),EXACT(Metadata!L213,"water (saline)"),EXACT(Metadata!L213,"hypersaline (saline)"),EXACT(Metadata!L213,"aerosol (saline)"),EXACT(Metadata!L213,"sediment (saline)")))</f>
        <v>0</v>
      </c>
      <c r="AZ213" t="b">
        <f>IF(Metadata!M213="",FALSE,TRUE)</f>
        <v>0</v>
      </c>
      <c r="BA213" t="b">
        <f>IF(Metadata!N213="",FALSE,TRUE)</f>
        <v>0</v>
      </c>
      <c r="BB213" t="b">
        <f>IF(Metadata!O213="",FALSE,TRUE)</f>
        <v>0</v>
      </c>
      <c r="BC213" t="b">
        <f>AND(IF(Metadata!P213="",FALSE,TRUE),OR(EXACT(Metadata!P213,"air"),EXACT(Metadata!P213,"microbial mat/biofilm"),EXACT(Metadata!P213,"misc environment"),EXACT(Metadata!P213,"sediment"),EXACT(Metadata!P213,"soil"),EXACT(Metadata!P213,"wastewater/sludge"),EXACT(Metadata!P213,"water")))</f>
        <v>0</v>
      </c>
      <c r="BD213" t="b">
        <f>IF(Metadata!Q213="",FALSE,TRUE)</f>
        <v>0</v>
      </c>
      <c r="BE213" t="b">
        <f>IF(Metadata!R213="",FALSE,TRUE)</f>
        <v>0</v>
      </c>
      <c r="BF213" t="b">
        <f>OR(AND(IF(Metadata!S213="",FALSE,TRUE),OR(EXACT(Metadata!S213,"not collected"),EXACT(Metadata!S213,"not provided"),EXACT(Metadata!S213,"restricted access"))),AND(IF(Metadata!S213="",FALSE,ISNUMBER(VALUE(Metadata!S213))),Metadata!S213&gt;=-90,Metadata!S213&lt;=90))</f>
        <v>0</v>
      </c>
      <c r="BG213" t="b">
        <f>AND(IF(Metadata!T213="",FALSE,TRUE),EXACT(Metadata!T213,"Decimal degrees"))</f>
        <v>0</v>
      </c>
      <c r="BH213" t="b">
        <f>OR(AND(IF(Metadata!U213="",FALSE,TRUE),OR(EXACT(Metadata!U213,"not applicable"),EXACT(Metadata!U213,"not collected"))),IF(Metadata!U213="",FALSE,TRUE))</f>
        <v>0</v>
      </c>
      <c r="BI213" t="b">
        <f>OR(AND(IF(Metadata!V213="",FALSE,TRUE),OR(EXACT(Metadata!V213,"not collected"),EXACT(Metadata!V213,"not provided"),EXACT(Metadata!V213,"restricted access"))),AND(IF(Metadata!V213="",FALSE,ISNUMBER(VALUE(Metadata!V213))),Metadata!V213&gt;=-180,Metadata!V213&lt;=180))</f>
        <v>0</v>
      </c>
      <c r="BJ213" t="b">
        <f>AND(IF(Metadata!W213="",FALSE,TRUE),EXACT(Metadata!W213,"Decimal degrees"))</f>
        <v>0</v>
      </c>
      <c r="BK213" t="b">
        <f>IF(Metadata!X213="",FALSE,TRUE)</f>
        <v>0</v>
      </c>
      <c r="BL213" t="b">
        <f>OR(AND(IF(Metadata!Y213="",FALSE,TRUE),OR(EXACT(Metadata!Y213,"not collected"),EXACT(Metadata!Y213,"not provided"),EXACT(Metadata!Y213,"restricted access"))),AND(IF(Metadata!Y213="",FALSE,TRUE),OR(EXACT(Metadata!Y213,"TRUE"),EXACT(Metadata!Y213,"FALSE"))))</f>
        <v>0</v>
      </c>
      <c r="BM213" t="b">
        <f>OR(AND(IF(Metadata!Z213="",FALSE,TRUE),EXACT(Metadata!Z213,"not applicable")),AND(IF(Metadata!Z213="",FALSE,TRUE),OR(EXACT(Metadata!Z213,"beer"),EXACT(Metadata!Z213,"cheese"),EXACT(Metadata!Z213,"fresh water"),EXACT(Metadata!Z213,"marine sediment"),EXACT(Metadata!Z213,"sea water"),EXACT(Metadata!Z213,"sediment"),EXACT(Metadata!Z213,"soil"),EXACT(Metadata!Z213,"waste water"))))</f>
        <v>0</v>
      </c>
      <c r="BN213" t="b">
        <f>AND(IF(Metadata!AA213="",FALSE,TRUE),EXACT(Metadata!AA213,"metagenome"))</f>
        <v>0</v>
      </c>
      <c r="BO213" t="b">
        <f>AND(IF(Metadata!AB213="",FALSE,TRUE),EXACT(Metadata!AB213,"256318"))</f>
        <v>0</v>
      </c>
      <c r="BP213" t="b">
        <f>IF(Metadata!AC213="",FALSE,TRUE)</f>
        <v>0</v>
      </c>
      <c r="BQ213" t="b">
        <f>IF(Metadata!AD213="",FALSE,TRUE)</f>
        <v>0</v>
      </c>
    </row>
    <row r="214" spans="1:69" x14ac:dyDescent="0.2">
      <c r="A214" s="4" t="e">
        <f ca="1">IF(B214=" "," ",HYPERLINK(CONCATENATE("#metadata!",ADDRESS(INDEX($AJ$2:$AJ$1001,MATCH(ROWS($AH$2:AH214),$AH$2:$AH$1001,0),0),2)),INDEX($AM$2:$AM$1001,MATCH(ROWS($AH$2:AH214),$AH$2:$AH$1001,0),0)))</f>
        <v>#N/A</v>
      </c>
      <c r="B214" s="5" t="e">
        <f ca="1">IF(OR(INDEX($AI$2:$AI$1001,MATCH(ROWS($AH$2:AH214),$AH$2:$AH$1001,0),1)&gt;=100000,INDEX($AO$1005:$BQ$1005,1,MATCH(COLUMNS($AO$1006:AO1006),$AO$1006:$BQ$1006,0))&gt;=100000), " ",IF(INDEX($AO$2:$BQ$1001,MATCH(ROWS($AH$2:AH214),$AH$2:$AH$1001,0),MATCH(COLUMNS($AO$1006:AO1006),$AO$1006:$BQ$1006,0)), HYPERLINK("#",""), HYPERLINK(CONCATENATE("#Metadata!", ADDRESS(INDEX($AJ$2:$AJ$1001,MATCH(ROWS($AH$2:AH214),$AH$2:$AH$1001,0),0), INDEX($AO$1004:$BQ$1004,1,MATCH(COLUMNS($AO$1006:AO1006),$AO$1006:$BQ$1006,0)))),"Fix")))</f>
        <v>#N/A</v>
      </c>
      <c r="C214" s="5" t="e">
        <f ca="1">IF(OR(INDEX($AI$2:$AI$1001,MATCH(ROWS($AH$2:AH214),$AH$2:$AH$1001,0),1)&gt;=100000,INDEX($AO$1005:$BQ$1005,1,MATCH(COLUMNS($AO$1006:AP1006),$AO$1006:$BQ$1006,0))&gt;=100000), " ",IF(INDEX($AO$2:$BQ$1001,MATCH(ROWS($AH$2:AH214),$AH$2:$AH$1001,0),MATCH(COLUMNS($AO$1006:AP1006),$AO$1006:$BQ$1006,0)), HYPERLINK("#",""), HYPERLINK(CONCATENATE("#Metadata!", ADDRESS(INDEX($AJ$2:$AJ$1001,MATCH(ROWS($AH$2:AH214),$AH$2:$AH$1001,0),0), INDEX($AO$1004:$BQ$1004,1,MATCH(COLUMNS($AO$1006:AP1006),$AO$1006:$BQ$1006,0)))),"Fix")))</f>
        <v>#N/A</v>
      </c>
      <c r="D214" s="5" t="e">
        <f ca="1">IF(OR(INDEX($AI$2:$AI$1001,MATCH(ROWS($AH$2:AH214),$AH$2:$AH$1001,0),1)&gt;=100000,INDEX($AO$1005:$BQ$1005,1,MATCH(COLUMNS($AO$1006:AQ1006),$AO$1006:$BQ$1006,0))&gt;=100000), " ",IF(INDEX($AO$2:$BQ$1001,MATCH(ROWS($AH$2:AH214),$AH$2:$AH$1001,0),MATCH(COLUMNS($AO$1006:AQ1006),$AO$1006:$BQ$1006,0)), HYPERLINK("#",""), HYPERLINK(CONCATENATE("#Metadata!", ADDRESS(INDEX($AJ$2:$AJ$1001,MATCH(ROWS($AH$2:AH214),$AH$2:$AH$1001,0),0), INDEX($AO$1004:$BQ$1004,1,MATCH(COLUMNS($AO$1006:AQ1006),$AO$1006:$BQ$1006,0)))),"Fix")))</f>
        <v>#N/A</v>
      </c>
      <c r="E214" s="5" t="e">
        <f ca="1">IF(OR(INDEX($AI$2:$AI$1001,MATCH(ROWS($AH$2:AH214),$AH$2:$AH$1001,0),1)&gt;=100000,INDEX($AO$1005:$BQ$1005,1,MATCH(COLUMNS($AO$1006:AR1006),$AO$1006:$BQ$1006,0))&gt;=100000), " ",IF(INDEX($AO$2:$BQ$1001,MATCH(ROWS($AH$2:AH214),$AH$2:$AH$1001,0),MATCH(COLUMNS($AO$1006:AR1006),$AO$1006:$BQ$1006,0)), HYPERLINK("#",""), HYPERLINK(CONCATENATE("#Metadata!", ADDRESS(INDEX($AJ$2:$AJ$1001,MATCH(ROWS($AH$2:AH214),$AH$2:$AH$1001,0),0), INDEX($AO$1004:$BQ$1004,1,MATCH(COLUMNS($AO$1006:AR1006),$AO$1006:$BQ$1006,0)))),"Fix")))</f>
        <v>#N/A</v>
      </c>
      <c r="F214" s="5" t="e">
        <f ca="1">IF(OR(INDEX($AI$2:$AI$1001,MATCH(ROWS($AH$2:AH214),$AH$2:$AH$1001,0),1)&gt;=100000,INDEX($AO$1005:$BQ$1005,1,MATCH(COLUMNS($AO$1006:AS1006),$AO$1006:$BQ$1006,0))&gt;=100000), " ",IF(INDEX($AO$2:$BQ$1001,MATCH(ROWS($AH$2:AH214),$AH$2:$AH$1001,0),MATCH(COLUMNS($AO$1006:AS1006),$AO$1006:$BQ$1006,0)), HYPERLINK("#",""), HYPERLINK(CONCATENATE("#Metadata!", ADDRESS(INDEX($AJ$2:$AJ$1001,MATCH(ROWS($AH$2:AH214),$AH$2:$AH$1001,0),0), INDEX($AO$1004:$BQ$1004,1,MATCH(COLUMNS($AO$1006:AS1006),$AO$1006:$BQ$1006,0)))),"Fix")))</f>
        <v>#N/A</v>
      </c>
      <c r="G214" s="5" t="e">
        <f ca="1">IF(OR(INDEX($AI$2:$AI$1001,MATCH(ROWS($AH$2:AH214),$AH$2:$AH$1001,0),1)&gt;=100000,INDEX($AO$1005:$BQ$1005,1,MATCH(COLUMNS($AO$1006:AT1006),$AO$1006:$BQ$1006,0))&gt;=100000), " ",IF(INDEX($AO$2:$BQ$1001,MATCH(ROWS($AH$2:AH214),$AH$2:$AH$1001,0),MATCH(COLUMNS($AO$1006:AT1006),$AO$1006:$BQ$1006,0)), HYPERLINK("#",""), HYPERLINK(CONCATENATE("#Metadata!", ADDRESS(INDEX($AJ$2:$AJ$1001,MATCH(ROWS($AH$2:AH214),$AH$2:$AH$1001,0),0), INDEX($AO$1004:$BQ$1004,1,MATCH(COLUMNS($AO$1006:AT1006),$AO$1006:$BQ$1006,0)))),"Fix")))</f>
        <v>#N/A</v>
      </c>
      <c r="H214" s="5" t="e">
        <f ca="1">IF(OR(INDEX($AI$2:$AI$1001,MATCH(ROWS($AH$2:AH214),$AH$2:$AH$1001,0),1)&gt;=100000,INDEX($AO$1005:$BQ$1005,1,MATCH(COLUMNS($AO$1006:AU1006),$AO$1006:$BQ$1006,0))&gt;=100000), " ",IF(INDEX($AO$2:$BQ$1001,MATCH(ROWS($AH$2:AH214),$AH$2:$AH$1001,0),MATCH(COLUMNS($AO$1006:AU1006),$AO$1006:$BQ$1006,0)), HYPERLINK("#",""), HYPERLINK(CONCATENATE("#Metadata!", ADDRESS(INDEX($AJ$2:$AJ$1001,MATCH(ROWS($AH$2:AH214),$AH$2:$AH$1001,0),0), INDEX($AO$1004:$BQ$1004,1,MATCH(COLUMNS($AO$1006:AU1006),$AO$1006:$BQ$1006,0)))),"Fix")))</f>
        <v>#N/A</v>
      </c>
      <c r="I214" s="5" t="e">
        <f ca="1">IF(OR(INDEX($AI$2:$AI$1001,MATCH(ROWS($AH$2:AH214),$AH$2:$AH$1001,0),1)&gt;=100000,INDEX($AO$1005:$BQ$1005,1,MATCH(COLUMNS($AO$1006:AV1006),$AO$1006:$BQ$1006,0))&gt;=100000), " ",IF(INDEX($AO$2:$BQ$1001,MATCH(ROWS($AH$2:AH214),$AH$2:$AH$1001,0),MATCH(COLUMNS($AO$1006:AV1006),$AO$1006:$BQ$1006,0)), HYPERLINK("#",""), HYPERLINK(CONCATENATE("#Metadata!", ADDRESS(INDEX($AJ$2:$AJ$1001,MATCH(ROWS($AH$2:AH214),$AH$2:$AH$1001,0),0), INDEX($AO$1004:$BQ$1004,1,MATCH(COLUMNS($AO$1006:AV1006),$AO$1006:$BQ$1006,0)))),"Fix")))</f>
        <v>#N/A</v>
      </c>
      <c r="J214" s="5" t="e">
        <f ca="1">IF(OR(INDEX($AI$2:$AI$1001,MATCH(ROWS($AH$2:AH214),$AH$2:$AH$1001,0),1)&gt;=100000,INDEX($AO$1005:$BQ$1005,1,MATCH(COLUMNS($AO$1006:AW1006),$AO$1006:$BQ$1006,0))&gt;=100000), " ",IF(INDEX($AO$2:$BQ$1001,MATCH(ROWS($AH$2:AH214),$AH$2:$AH$1001,0),MATCH(COLUMNS($AO$1006:AW1006),$AO$1006:$BQ$1006,0)), HYPERLINK("#",""), HYPERLINK(CONCATENATE("#Metadata!", ADDRESS(INDEX($AJ$2:$AJ$1001,MATCH(ROWS($AH$2:AH214),$AH$2:$AH$1001,0),0), INDEX($AO$1004:$BQ$1004,1,MATCH(COLUMNS($AO$1006:AW1006),$AO$1006:$BQ$1006,0)))),"Fix")))</f>
        <v>#N/A</v>
      </c>
      <c r="K214" s="5" t="e">
        <f ca="1">IF(OR(INDEX($AI$2:$AI$1001,MATCH(ROWS($AH$2:AH214),$AH$2:$AH$1001,0),1)&gt;=100000,INDEX($AO$1005:$BQ$1005,1,MATCH(COLUMNS($AO$1006:AX1006),$AO$1006:$BQ$1006,0))&gt;=100000), " ",IF(INDEX($AO$2:$BQ$1001,MATCH(ROWS($AH$2:AH214),$AH$2:$AH$1001,0),MATCH(COLUMNS($AO$1006:AX1006),$AO$1006:$BQ$1006,0)), HYPERLINK("#",""), HYPERLINK(CONCATENATE("#Metadata!", ADDRESS(INDEX($AJ$2:$AJ$1001,MATCH(ROWS($AH$2:AH214),$AH$2:$AH$1001,0),0), INDEX($AO$1004:$BQ$1004,1,MATCH(COLUMNS($AO$1006:AX1006),$AO$1006:$BQ$1006,0)))),"Fix")))</f>
        <v>#N/A</v>
      </c>
      <c r="L214" s="5" t="e">
        <f ca="1">IF(OR(INDEX($AI$2:$AI$1001,MATCH(ROWS($AH$2:AH214),$AH$2:$AH$1001,0),1)&gt;=100000,INDEX($AO$1005:$BQ$1005,1,MATCH(COLUMNS($AO$1006:AY1006),$AO$1006:$BQ$1006,0))&gt;=100000), " ",IF(INDEX($AO$2:$BQ$1001,MATCH(ROWS($AH$2:AH214),$AH$2:$AH$1001,0),MATCH(COLUMNS($AO$1006:AY1006),$AO$1006:$BQ$1006,0)), HYPERLINK("#",""), HYPERLINK(CONCATENATE("#Metadata!", ADDRESS(INDEX($AJ$2:$AJ$1001,MATCH(ROWS($AH$2:AH214),$AH$2:$AH$1001,0),0), INDEX($AO$1004:$BQ$1004,1,MATCH(COLUMNS($AO$1006:AY1006),$AO$1006:$BQ$1006,0)))),"Fix")))</f>
        <v>#N/A</v>
      </c>
      <c r="M214" s="5" t="e">
        <f ca="1">IF(OR(INDEX($AI$2:$AI$1001,MATCH(ROWS($AH$2:AH214),$AH$2:$AH$1001,0),1)&gt;=100000,INDEX($AO$1005:$BQ$1005,1,MATCH(COLUMNS($AO$1006:AZ1006),$AO$1006:$BQ$1006,0))&gt;=100000), " ",IF(INDEX($AO$2:$BQ$1001,MATCH(ROWS($AH$2:AH214),$AH$2:$AH$1001,0),MATCH(COLUMNS($AO$1006:AZ1006),$AO$1006:$BQ$1006,0)), HYPERLINK("#",""), HYPERLINK(CONCATENATE("#Metadata!", ADDRESS(INDEX($AJ$2:$AJ$1001,MATCH(ROWS($AH$2:AH214),$AH$2:$AH$1001,0),0), INDEX($AO$1004:$BQ$1004,1,MATCH(COLUMNS($AO$1006:AZ1006),$AO$1006:$BQ$1006,0)))),"Fix")))</f>
        <v>#N/A</v>
      </c>
      <c r="N214" s="5" t="e">
        <f ca="1">IF(OR(INDEX($AI$2:$AI$1001,MATCH(ROWS($AH$2:AH214),$AH$2:$AH$1001,0),1)&gt;=100000,INDEX($AO$1005:$BQ$1005,1,MATCH(COLUMNS($AO$1006:BA1006),$AO$1006:$BQ$1006,0))&gt;=100000), " ",IF(INDEX($AO$2:$BQ$1001,MATCH(ROWS($AH$2:AH214),$AH$2:$AH$1001,0),MATCH(COLUMNS($AO$1006:BA1006),$AO$1006:$BQ$1006,0)), HYPERLINK("#",""), HYPERLINK(CONCATENATE("#Metadata!", ADDRESS(INDEX($AJ$2:$AJ$1001,MATCH(ROWS($AH$2:AH214),$AH$2:$AH$1001,0),0), INDEX($AO$1004:$BQ$1004,1,MATCH(COLUMNS($AO$1006:BA1006),$AO$1006:$BQ$1006,0)))),"Fix")))</f>
        <v>#N/A</v>
      </c>
      <c r="O214" s="5" t="e">
        <f ca="1">IF(OR(INDEX($AI$2:$AI$1001,MATCH(ROWS($AH$2:AH214),$AH$2:$AH$1001,0),1)&gt;=100000,INDEX($AO$1005:$BQ$1005,1,MATCH(COLUMNS($AO$1006:BB1006),$AO$1006:$BQ$1006,0))&gt;=100000), " ",IF(INDEX($AO$2:$BQ$1001,MATCH(ROWS($AH$2:AH214),$AH$2:$AH$1001,0),MATCH(COLUMNS($AO$1006:BB1006),$AO$1006:$BQ$1006,0)), HYPERLINK("#",""), HYPERLINK(CONCATENATE("#Metadata!", ADDRESS(INDEX($AJ$2:$AJ$1001,MATCH(ROWS($AH$2:AH214),$AH$2:$AH$1001,0),0), INDEX($AO$1004:$BQ$1004,1,MATCH(COLUMNS($AO$1006:BB1006),$AO$1006:$BQ$1006,0)))),"Fix")))</f>
        <v>#N/A</v>
      </c>
      <c r="P214" s="5" t="e">
        <f ca="1">IF(OR(INDEX($AI$2:$AI$1001,MATCH(ROWS($AH$2:AH214),$AH$2:$AH$1001,0),1)&gt;=100000,INDEX($AO$1005:$BQ$1005,1,MATCH(COLUMNS($AO$1006:BC1006),$AO$1006:$BQ$1006,0))&gt;=100000), " ",IF(INDEX($AO$2:$BQ$1001,MATCH(ROWS($AH$2:AH214),$AH$2:$AH$1001,0),MATCH(COLUMNS($AO$1006:BC1006),$AO$1006:$BQ$1006,0)), HYPERLINK("#",""), HYPERLINK(CONCATENATE("#Metadata!", ADDRESS(INDEX($AJ$2:$AJ$1001,MATCH(ROWS($AH$2:AH214),$AH$2:$AH$1001,0),0), INDEX($AO$1004:$BQ$1004,1,MATCH(COLUMNS($AO$1006:BC1006),$AO$1006:$BQ$1006,0)))),"Fix")))</f>
        <v>#N/A</v>
      </c>
      <c r="Q214" s="5" t="e">
        <f ca="1">IF(OR(INDEX($AI$2:$AI$1001,MATCH(ROWS($AH$2:AH214),$AH$2:$AH$1001,0),1)&gt;=100000,INDEX($AO$1005:$BQ$1005,1,MATCH(COLUMNS($AO$1006:BD1006),$AO$1006:$BQ$1006,0))&gt;=100000), " ",IF(INDEX($AO$2:$BQ$1001,MATCH(ROWS($AH$2:AH214),$AH$2:$AH$1001,0),MATCH(COLUMNS($AO$1006:BD1006),$AO$1006:$BQ$1006,0)), HYPERLINK("#",""), HYPERLINK(CONCATENATE("#Metadata!", ADDRESS(INDEX($AJ$2:$AJ$1001,MATCH(ROWS($AH$2:AH214),$AH$2:$AH$1001,0),0), INDEX($AO$1004:$BQ$1004,1,MATCH(COLUMNS($AO$1006:BD1006),$AO$1006:$BQ$1006,0)))),"Fix")))</f>
        <v>#N/A</v>
      </c>
      <c r="R214" s="5" t="e">
        <f ca="1">IF(OR(INDEX($AI$2:$AI$1001,MATCH(ROWS($AH$2:AH214),$AH$2:$AH$1001,0),1)&gt;=100000,INDEX($AO$1005:$BQ$1005,1,MATCH(COLUMNS($AO$1006:BE1006),$AO$1006:$BQ$1006,0))&gt;=100000), " ",IF(INDEX($AO$2:$BQ$1001,MATCH(ROWS($AH$2:AH214),$AH$2:$AH$1001,0),MATCH(COLUMNS($AO$1006:BE1006),$AO$1006:$BQ$1006,0)), HYPERLINK("#",""), HYPERLINK(CONCATENATE("#Metadata!", ADDRESS(INDEX($AJ$2:$AJ$1001,MATCH(ROWS($AH$2:AH214),$AH$2:$AH$1001,0),0), INDEX($AO$1004:$BQ$1004,1,MATCH(COLUMNS($AO$1006:BE1006),$AO$1006:$BQ$1006,0)))),"Fix")))</f>
        <v>#N/A</v>
      </c>
      <c r="S214" s="5" t="e">
        <f ca="1">IF(OR(INDEX($AI$2:$AI$1001,MATCH(ROWS($AH$2:AH214),$AH$2:$AH$1001,0),1)&gt;=100000,INDEX($AO$1005:$BQ$1005,1,MATCH(COLUMNS($AO$1006:BF1006),$AO$1006:$BQ$1006,0))&gt;=100000), " ",IF(INDEX($AO$2:$BQ$1001,MATCH(ROWS($AH$2:AH214),$AH$2:$AH$1001,0),MATCH(COLUMNS($AO$1006:BF1006),$AO$1006:$BQ$1006,0)), HYPERLINK("#",""), HYPERLINK(CONCATENATE("#Metadata!", ADDRESS(INDEX($AJ$2:$AJ$1001,MATCH(ROWS($AH$2:AH214),$AH$2:$AH$1001,0),0), INDEX($AO$1004:$BQ$1004,1,MATCH(COLUMNS($AO$1006:BF1006),$AO$1006:$BQ$1006,0)))),"Fix")))</f>
        <v>#N/A</v>
      </c>
      <c r="T214" s="5" t="e">
        <f ca="1">IF(OR(INDEX($AI$2:$AI$1001,MATCH(ROWS($AH$2:AH214),$AH$2:$AH$1001,0),1)&gt;=100000,INDEX($AO$1005:$BQ$1005,1,MATCH(COLUMNS($AO$1006:BG1006),$AO$1006:$BQ$1006,0))&gt;=100000), " ",IF(INDEX($AO$2:$BQ$1001,MATCH(ROWS($AH$2:AH214),$AH$2:$AH$1001,0),MATCH(COLUMNS($AO$1006:BG1006),$AO$1006:$BQ$1006,0)), HYPERLINK("#",""), HYPERLINK(CONCATENATE("#Metadata!", ADDRESS(INDEX($AJ$2:$AJ$1001,MATCH(ROWS($AH$2:AH214),$AH$2:$AH$1001,0),0), INDEX($AO$1004:$BQ$1004,1,MATCH(COLUMNS($AO$1006:BG1006),$AO$1006:$BQ$1006,0)))),"Fix")))</f>
        <v>#N/A</v>
      </c>
      <c r="U214" s="5" t="e">
        <f ca="1">IF(OR(INDEX($AI$2:$AI$1001,MATCH(ROWS($AH$2:AH214),$AH$2:$AH$1001,0),1)&gt;=100000,INDEX($AO$1005:$BQ$1005,1,MATCH(COLUMNS($AO$1006:BH1006),$AO$1006:$BQ$1006,0))&gt;=100000), " ",IF(INDEX($AO$2:$BQ$1001,MATCH(ROWS($AH$2:AH214),$AH$2:$AH$1001,0),MATCH(COLUMNS($AO$1006:BH1006),$AO$1006:$BQ$1006,0)), HYPERLINK("#",""), HYPERLINK(CONCATENATE("#Metadata!", ADDRESS(INDEX($AJ$2:$AJ$1001,MATCH(ROWS($AH$2:AH214),$AH$2:$AH$1001,0),0), INDEX($AO$1004:$BQ$1004,1,MATCH(COLUMNS($AO$1006:BH1006),$AO$1006:$BQ$1006,0)))),"Fix")))</f>
        <v>#N/A</v>
      </c>
      <c r="V214" s="5" t="e">
        <f ca="1">IF(OR(INDEX($AI$2:$AI$1001,MATCH(ROWS($AH$2:AH214),$AH$2:$AH$1001,0),1)&gt;=100000,INDEX($AO$1005:$BQ$1005,1,MATCH(COLUMNS($AO$1006:BI1006),$AO$1006:$BQ$1006,0))&gt;=100000), " ",IF(INDEX($AO$2:$BQ$1001,MATCH(ROWS($AH$2:AH214),$AH$2:$AH$1001,0),MATCH(COLUMNS($AO$1006:BI1006),$AO$1006:$BQ$1006,0)), HYPERLINK("#",""), HYPERLINK(CONCATENATE("#Metadata!", ADDRESS(INDEX($AJ$2:$AJ$1001,MATCH(ROWS($AH$2:AH214),$AH$2:$AH$1001,0),0), INDEX($AO$1004:$BQ$1004,1,MATCH(COLUMNS($AO$1006:BI1006),$AO$1006:$BQ$1006,0)))),"Fix")))</f>
        <v>#N/A</v>
      </c>
      <c r="W214" s="5" t="e">
        <f ca="1">IF(OR(INDEX($AI$2:$AI$1001,MATCH(ROWS($AH$2:AH214),$AH$2:$AH$1001,0),1)&gt;=100000,INDEX($AO$1005:$BQ$1005,1,MATCH(COLUMNS($AO$1006:BJ1006),$AO$1006:$BQ$1006,0))&gt;=100000), " ",IF(INDEX($AO$2:$BQ$1001,MATCH(ROWS($AH$2:AH214),$AH$2:$AH$1001,0),MATCH(COLUMNS($AO$1006:BJ1006),$AO$1006:$BQ$1006,0)), HYPERLINK("#",""), HYPERLINK(CONCATENATE("#Metadata!", ADDRESS(INDEX($AJ$2:$AJ$1001,MATCH(ROWS($AH$2:AH214),$AH$2:$AH$1001,0),0), INDEX($AO$1004:$BQ$1004,1,MATCH(COLUMNS($AO$1006:BJ1006),$AO$1006:$BQ$1006,0)))),"Fix")))</f>
        <v>#N/A</v>
      </c>
      <c r="X214" s="5" t="e">
        <f ca="1">IF(OR(INDEX($AI$2:$AI$1001,MATCH(ROWS($AH$2:AH214),$AH$2:$AH$1001,0),1)&gt;=100000,INDEX($AO$1005:$BQ$1005,1,MATCH(COLUMNS($AO$1006:BK1006),$AO$1006:$BQ$1006,0))&gt;=100000), " ",IF(INDEX($AO$2:$BQ$1001,MATCH(ROWS($AH$2:AH214),$AH$2:$AH$1001,0),MATCH(COLUMNS($AO$1006:BK1006),$AO$1006:$BQ$1006,0)), HYPERLINK("#",""), HYPERLINK(CONCATENATE("#Metadata!", ADDRESS(INDEX($AJ$2:$AJ$1001,MATCH(ROWS($AH$2:AH214),$AH$2:$AH$1001,0),0), INDEX($AO$1004:$BQ$1004,1,MATCH(COLUMNS($AO$1006:BK1006),$AO$1006:$BQ$1006,0)))),"Fix")))</f>
        <v>#N/A</v>
      </c>
      <c r="Y214" s="5" t="e">
        <f ca="1">IF(OR(INDEX($AI$2:$AI$1001,MATCH(ROWS($AH$2:AH214),$AH$2:$AH$1001,0),1)&gt;=100000,INDEX($AO$1005:$BQ$1005,1,MATCH(COLUMNS($AO$1006:BL1006),$AO$1006:$BQ$1006,0))&gt;=100000), " ",IF(INDEX($AO$2:$BQ$1001,MATCH(ROWS($AH$2:AH214),$AH$2:$AH$1001,0),MATCH(COLUMNS($AO$1006:BL1006),$AO$1006:$BQ$1006,0)), HYPERLINK("#",""), HYPERLINK(CONCATENATE("#Metadata!", ADDRESS(INDEX($AJ$2:$AJ$1001,MATCH(ROWS($AH$2:AH214),$AH$2:$AH$1001,0),0), INDEX($AO$1004:$BQ$1004,1,MATCH(COLUMNS($AO$1006:BL1006),$AO$1006:$BQ$1006,0)))),"Fix")))</f>
        <v>#N/A</v>
      </c>
      <c r="Z214" s="5" t="e">
        <f ca="1">IF(OR(INDEX($AI$2:$AI$1001,MATCH(ROWS($AH$2:AH214),$AH$2:$AH$1001,0),1)&gt;=100000,INDEX($AO$1005:$BQ$1005,1,MATCH(COLUMNS($AO$1006:BM1006),$AO$1006:$BQ$1006,0))&gt;=100000), " ",IF(INDEX($AO$2:$BQ$1001,MATCH(ROWS($AH$2:AH214),$AH$2:$AH$1001,0),MATCH(COLUMNS($AO$1006:BM1006),$AO$1006:$BQ$1006,0)), HYPERLINK("#",""), HYPERLINK(CONCATENATE("#Metadata!", ADDRESS(INDEX($AJ$2:$AJ$1001,MATCH(ROWS($AH$2:AH214),$AH$2:$AH$1001,0),0), INDEX($AO$1004:$BQ$1004,1,MATCH(COLUMNS($AO$1006:BM1006),$AO$1006:$BQ$1006,0)))),"Fix")))</f>
        <v>#N/A</v>
      </c>
      <c r="AA214" s="5" t="e">
        <f ca="1">IF(OR(INDEX($AI$2:$AI$1001,MATCH(ROWS($AH$2:AH214),$AH$2:$AH$1001,0),1)&gt;=100000,INDEX($AO$1005:$BQ$1005,1,MATCH(COLUMNS($AO$1006:BN1006),$AO$1006:$BQ$1006,0))&gt;=100000), " ",IF(INDEX($AO$2:$BQ$1001,MATCH(ROWS($AH$2:AH214),$AH$2:$AH$1001,0),MATCH(COLUMNS($AO$1006:BN1006),$AO$1006:$BQ$1006,0)), HYPERLINK("#",""), HYPERLINK(CONCATENATE("#Metadata!", ADDRESS(INDEX($AJ$2:$AJ$1001,MATCH(ROWS($AH$2:AH214),$AH$2:$AH$1001,0),0), INDEX($AO$1004:$BQ$1004,1,MATCH(COLUMNS($AO$1006:BN1006),$AO$1006:$BQ$1006,0)))),"Fix")))</f>
        <v>#N/A</v>
      </c>
      <c r="AB214" s="5" t="e">
        <f ca="1">IF(OR(INDEX($AI$2:$AI$1001,MATCH(ROWS($AH$2:AH214),$AH$2:$AH$1001,0),1)&gt;=100000,INDEX($AO$1005:$BQ$1005,1,MATCH(COLUMNS($AO$1006:BO1006),$AO$1006:$BQ$1006,0))&gt;=100000), " ",IF(INDEX($AO$2:$BQ$1001,MATCH(ROWS($AH$2:AH214),$AH$2:$AH$1001,0),MATCH(COLUMNS($AO$1006:BO1006),$AO$1006:$BQ$1006,0)), HYPERLINK("#",""), HYPERLINK(CONCATENATE("#Metadata!", ADDRESS(INDEX($AJ$2:$AJ$1001,MATCH(ROWS($AH$2:AH214),$AH$2:$AH$1001,0),0), INDEX($AO$1004:$BQ$1004,1,MATCH(COLUMNS($AO$1006:BO1006),$AO$1006:$BQ$1006,0)))),"Fix")))</f>
        <v>#N/A</v>
      </c>
      <c r="AC214" s="5" t="e">
        <f ca="1">IF(OR(INDEX($AI$2:$AI$1001,MATCH(ROWS($AH$2:AH214),$AH$2:$AH$1001,0),1)&gt;=100000,INDEX($AO$1005:$BQ$1005,1,MATCH(COLUMNS($AO$1006:BP1006),$AO$1006:$BQ$1006,0))&gt;=100000), " ",IF(INDEX($AO$2:$BQ$1001,MATCH(ROWS($AH$2:AH214),$AH$2:$AH$1001,0),MATCH(COLUMNS($AO$1006:BP1006),$AO$1006:$BQ$1006,0)), HYPERLINK("#",""), HYPERLINK(CONCATENATE("#Metadata!", ADDRESS(INDEX($AJ$2:$AJ$1001,MATCH(ROWS($AH$2:AH214),$AH$2:$AH$1001,0),0), INDEX($AO$1004:$BQ$1004,1,MATCH(COLUMNS($AO$1006:BP1006),$AO$1006:$BQ$1006,0)))),"Fix")))</f>
        <v>#N/A</v>
      </c>
      <c r="AD214" s="5" t="e">
        <f ca="1">IF(OR(INDEX($AI$2:$AI$1001,MATCH(ROWS($AH$2:AH214),$AH$2:$AH$1001,0),1)&gt;=100000,INDEX($AO$1005:$BQ$1005,1,MATCH(COLUMNS($AO$1006:BQ1006),$AO$1006:$BQ$1006,0))&gt;=100000), " ",IF(INDEX($AO$2:$BQ$1001,MATCH(ROWS($AH$2:AH214),$AH$2:$AH$1001,0),MATCH(COLUMNS($AO$1006:BQ1006),$AO$1006:$BQ$1006,0)), HYPERLINK("#",""), HYPERLINK(CONCATENATE("#Metadata!", ADDRESS(INDEX($AJ$2:$AJ$1001,MATCH(ROWS($AH$2:AH214),$AH$2:$AH$1001,0),0), INDEX($AO$1004:$BQ$1004,1,MATCH(COLUMNS($AO$1006:BQ1006),$AO$1006:$BQ$1006,0)))),"Fix")))</f>
        <v>#REF!</v>
      </c>
      <c r="AH214">
        <f ca="1"/>
        <v>211</v>
      </c>
      <c r="AI214">
        <v>100214</v>
      </c>
      <c r="AJ214">
        <v>214</v>
      </c>
      <c r="AK214" t="b">
        <f t="shared" si="3"/>
        <v>1</v>
      </c>
      <c r="AL214" t="b">
        <f>COUNTBLANK(Metadata!B214:AD214)=COLUMNS(Metadata!B214:AD214)</f>
        <v>1</v>
      </c>
      <c r="AM214" t="str">
        <v/>
      </c>
      <c r="AO214" t="b">
        <f ca="1">AND(IF(Metadata!B214="",FALSE,TRUE),COUNTIF(Metadata!B:B, Metadata!B214) = 1,NOT(ISERROR(SUMPRODUCT(SEARCH(MID(Metadata!B214,ROW(INDIRECT("1:"&amp;LEN(Metadata!B214))), 1),"0123456789abcdefghijklmnopqrstuvwxyzABCDEFGHIJKLMNOPQRSTUVWXYZ.")))))</f>
        <v>0</v>
      </c>
      <c r="AP214" t="b">
        <f>IF(Metadata!C214="",FALSE,TRUE)</f>
        <v>0</v>
      </c>
      <c r="AQ214" t="b">
        <f>IF(Metadata!D214="",FALSE,TRUE)</f>
        <v>0</v>
      </c>
      <c r="AR214" t="b">
        <f ca="1">OR(AND(IF(Metadata!E214="",FALSE,TRUE),OR(EXACT(Metadata!E214,"not collected"),EXACT(Metadata!E214,"not provided"),EXACT(Metadata!E214,"restricted access"))),AND(IF(Metadata!E214="",FALSE,TRUE),AND(AND(IFERROR(INT(LEFT(Metadata!E214,4))&gt;1900,FALSE),IFERROR(INT(LEFT(Metadata!E214,4))&lt;=YEAR(NOW()),FALSE)), OR(MID(Metadata!E214,5,1)="", AND(AND(MID(Metadata!E214,5,1)="-",IFERROR(INT(MID(Metadata!E214,6,1))&gt;=0,FALSE),IFERROR(INT(MID(Metadata!E214,6,1))&lt;=1,FALSE),NOT(MID(Metadata!E214,7,1)=""),IFERROR(INT(MID(Metadata!E214,6,2))&gt;=1,FALSE),IFERROR(INT(MID(Metadata!E214,6,2))&lt;=12,FALSE)), OR(MID(Metadata!E214,8,1)="", AND(AND(MID(Metadata!E214,8,1)="-",IFERROR(INT(MID(Metadata!E214,9,1))&gt;=0,FALSE),IFERROR(INT(MID(Metadata!E214,9,1))&lt;=3,FALSE),NOT(MID(Metadata!E214,10,1)=""),IFERROR(INT(MID(Metadata!E214,9,2))&gt;=1,FALSE),IFERROR(INT(MID(Metadata!E214,9,2))&lt;=31,FALSE)), OR(MID(Metadata!E214,11,1)="", AND(AND(MID(Metadata!E214,11,1)=" ",IFERROR(INT(MID(Metadata!E214,12,1))&gt;=0,FALSE),IFERROR(INT(MID(Metadata!E214,12,1))&lt;=2,FALSE),NOT(MID(Metadata!E214,13,1)=""),IFERROR(INT(MID(Metadata!E214,12,2))&gt;=0,FALSE),IFERROR(INT(MID(Metadata!E214,12,2))&lt;=23,FALSE)), OR(MID(Metadata!E214,14,1)="", AND(AND(MID(Metadata!E214,14,1)=":",IFERROR(INT(MID(Metadata!E214,15,1))&gt;=0,FALSE),IFERROR(INT(MID(Metadata!E214,15,1))&lt;=5,FALSE),NOT(MID(Metadata!E214,16,1)=""),IFERROR(INT(MID(Metadata!E214,15,2))&gt;=0,FALSE),IFERROR(INT(MID(Metadata!E214,15,2))&lt;=59,FALSE)), OR(MID(Metadata!E214,17,1)="", AND(AND(MID(Metadata!E214,17,1)=":",IFERROR(INT(MID(Metadata!E214,18,1))&gt;=0,FALSE),IFERROR(INT(MID(Metadata!E214,18,1))&lt;=5,FALSE),NOT(MID(Metadata!E214,19,1)=""),IFERROR(INT(MID(Metadata!E214,18,2))&gt;=0,FALSE),IFERROR(INT(MID(Metadata!E214,18,2))&lt;=59,FALSE)), LEN(Metadata!E214)&lt;=19)))))))))))))</f>
        <v>0</v>
      </c>
      <c r="AS214" t="b">
        <f>IF(Metadata!F214="",FALSE,TRUE)</f>
        <v>0</v>
      </c>
      <c r="AT214" t="b">
        <f>OR(AND(IF(Metadata!G214="",FALSE,TRUE),OR(EXACT(Metadata!G214,"not collected"),EXACT(Metadata!G214,"not provided"))),AND(IF(Metadata!G214="",FALSE,TRUE),OR(EXACT(Metadata!G214,"TRUE"),EXACT(Metadata!G214,"FALSE"))))</f>
        <v>0</v>
      </c>
      <c r="AU214" t="b">
        <f>OR(AND(IF(Metadata!H214="",FALSE,TRUE),OR(EXACT(Metadata!H214,"not collected"),EXACT(Metadata!H214,"not provided"),EXACT(Metadata!H214,"restricted access"))),AND(IF(Metadata!H214="",FALSE,ISNUMBER(VALUE(Metadata!H214))),Metadata!H214&gt;=-413))</f>
        <v>0</v>
      </c>
      <c r="AV214" t="b">
        <f>AND(IF(Metadata!I214="",FALSE,TRUE),EXACT(Metadata!I214,"meters"))</f>
        <v>0</v>
      </c>
      <c r="AW214" t="b">
        <f>AND(IF(Metadata!J214="",FALSE,TRUE),EXACT(Metadata!J214,"free-living"))</f>
        <v>0</v>
      </c>
      <c r="AX214" t="b">
        <f>AND(IF(Metadata!K214="",FALSE,TRUE),OR(EXACT(Metadata!K214,"saline"),EXACT(Metadata!K214,"non-saline")))</f>
        <v>0</v>
      </c>
      <c r="AY214" t="b">
        <f>AND(IF(Metadata!L214="",FALSE,TRUE),OR(EXACT(Metadata!L214,"sub-surface (non-saline)"),EXACT(Metadata!L214,"surface (non-saline)"),EXACT(Metadata!L214,"water (non-saline)"),EXACT(Metadata!L214,"soil (non-saline)"),EXACT(Metadata!L214,"aerosol (non-saline)"),EXACT(Metadata!L214,"sediment (non-saline)"),EXACT(Metadata!L214,"surface (saline)"),EXACT(Metadata!L214,"water (saline)"),EXACT(Metadata!L214,"hypersaline (saline)"),EXACT(Metadata!L214,"aerosol (saline)"),EXACT(Metadata!L214,"sediment (saline)")))</f>
        <v>0</v>
      </c>
      <c r="AZ214" t="b">
        <f>IF(Metadata!M214="",FALSE,TRUE)</f>
        <v>0</v>
      </c>
      <c r="BA214" t="b">
        <f>IF(Metadata!N214="",FALSE,TRUE)</f>
        <v>0</v>
      </c>
      <c r="BB214" t="b">
        <f>IF(Metadata!O214="",FALSE,TRUE)</f>
        <v>0</v>
      </c>
      <c r="BC214" t="b">
        <f>AND(IF(Metadata!P214="",FALSE,TRUE),OR(EXACT(Metadata!P214,"air"),EXACT(Metadata!P214,"microbial mat/biofilm"),EXACT(Metadata!P214,"misc environment"),EXACT(Metadata!P214,"sediment"),EXACT(Metadata!P214,"soil"),EXACT(Metadata!P214,"wastewater/sludge"),EXACT(Metadata!P214,"water")))</f>
        <v>0</v>
      </c>
      <c r="BD214" t="b">
        <f>IF(Metadata!Q214="",FALSE,TRUE)</f>
        <v>0</v>
      </c>
      <c r="BE214" t="b">
        <f>IF(Metadata!R214="",FALSE,TRUE)</f>
        <v>0</v>
      </c>
      <c r="BF214" t="b">
        <f>OR(AND(IF(Metadata!S214="",FALSE,TRUE),OR(EXACT(Metadata!S214,"not collected"),EXACT(Metadata!S214,"not provided"),EXACT(Metadata!S214,"restricted access"))),AND(IF(Metadata!S214="",FALSE,ISNUMBER(VALUE(Metadata!S214))),Metadata!S214&gt;=-90,Metadata!S214&lt;=90))</f>
        <v>0</v>
      </c>
      <c r="BG214" t="b">
        <f>AND(IF(Metadata!T214="",FALSE,TRUE),EXACT(Metadata!T214,"Decimal degrees"))</f>
        <v>0</v>
      </c>
      <c r="BH214" t="b">
        <f>OR(AND(IF(Metadata!U214="",FALSE,TRUE),OR(EXACT(Metadata!U214,"not applicable"),EXACT(Metadata!U214,"not collected"))),IF(Metadata!U214="",FALSE,TRUE))</f>
        <v>0</v>
      </c>
      <c r="BI214" t="b">
        <f>OR(AND(IF(Metadata!V214="",FALSE,TRUE),OR(EXACT(Metadata!V214,"not collected"),EXACT(Metadata!V214,"not provided"),EXACT(Metadata!V214,"restricted access"))),AND(IF(Metadata!V214="",FALSE,ISNUMBER(VALUE(Metadata!V214))),Metadata!V214&gt;=-180,Metadata!V214&lt;=180))</f>
        <v>0</v>
      </c>
      <c r="BJ214" t="b">
        <f>AND(IF(Metadata!W214="",FALSE,TRUE),EXACT(Metadata!W214,"Decimal degrees"))</f>
        <v>0</v>
      </c>
      <c r="BK214" t="b">
        <f>IF(Metadata!X214="",FALSE,TRUE)</f>
        <v>0</v>
      </c>
      <c r="BL214" t="b">
        <f>OR(AND(IF(Metadata!Y214="",FALSE,TRUE),OR(EXACT(Metadata!Y214,"not collected"),EXACT(Metadata!Y214,"not provided"),EXACT(Metadata!Y214,"restricted access"))),AND(IF(Metadata!Y214="",FALSE,TRUE),OR(EXACT(Metadata!Y214,"TRUE"),EXACT(Metadata!Y214,"FALSE"))))</f>
        <v>0</v>
      </c>
      <c r="BM214" t="b">
        <f>OR(AND(IF(Metadata!Z214="",FALSE,TRUE),EXACT(Metadata!Z214,"not applicable")),AND(IF(Metadata!Z214="",FALSE,TRUE),OR(EXACT(Metadata!Z214,"beer"),EXACT(Metadata!Z214,"cheese"),EXACT(Metadata!Z214,"fresh water"),EXACT(Metadata!Z214,"marine sediment"),EXACT(Metadata!Z214,"sea water"),EXACT(Metadata!Z214,"sediment"),EXACT(Metadata!Z214,"soil"),EXACT(Metadata!Z214,"waste water"))))</f>
        <v>0</v>
      </c>
      <c r="BN214" t="b">
        <f>AND(IF(Metadata!AA214="",FALSE,TRUE),EXACT(Metadata!AA214,"metagenome"))</f>
        <v>0</v>
      </c>
      <c r="BO214" t="b">
        <f>AND(IF(Metadata!AB214="",FALSE,TRUE),EXACT(Metadata!AB214,"256318"))</f>
        <v>0</v>
      </c>
      <c r="BP214" t="b">
        <f>IF(Metadata!AC214="",FALSE,TRUE)</f>
        <v>0</v>
      </c>
      <c r="BQ214" t="b">
        <f>IF(Metadata!AD214="",FALSE,TRUE)</f>
        <v>0</v>
      </c>
    </row>
    <row r="215" spans="1:69" x14ac:dyDescent="0.2">
      <c r="A215" s="4" t="e">
        <f ca="1">IF(B215=" "," ",HYPERLINK(CONCATENATE("#metadata!",ADDRESS(INDEX($AJ$2:$AJ$1001,MATCH(ROWS($AH$2:AH215),$AH$2:$AH$1001,0),0),2)),INDEX($AM$2:$AM$1001,MATCH(ROWS($AH$2:AH215),$AH$2:$AH$1001,0),0)))</f>
        <v>#N/A</v>
      </c>
      <c r="B215" s="5" t="e">
        <f ca="1">IF(OR(INDEX($AI$2:$AI$1001,MATCH(ROWS($AH$2:AH215),$AH$2:$AH$1001,0),1)&gt;=100000,INDEX($AO$1005:$BQ$1005,1,MATCH(COLUMNS($AO$1006:AO1006),$AO$1006:$BQ$1006,0))&gt;=100000), " ",IF(INDEX($AO$2:$BQ$1001,MATCH(ROWS($AH$2:AH215),$AH$2:$AH$1001,0),MATCH(COLUMNS($AO$1006:AO1006),$AO$1006:$BQ$1006,0)), HYPERLINK("#",""), HYPERLINK(CONCATENATE("#Metadata!", ADDRESS(INDEX($AJ$2:$AJ$1001,MATCH(ROWS($AH$2:AH215),$AH$2:$AH$1001,0),0), INDEX($AO$1004:$BQ$1004,1,MATCH(COLUMNS($AO$1006:AO1006),$AO$1006:$BQ$1006,0)))),"Fix")))</f>
        <v>#N/A</v>
      </c>
      <c r="C215" s="5" t="e">
        <f ca="1">IF(OR(INDEX($AI$2:$AI$1001,MATCH(ROWS($AH$2:AH215),$AH$2:$AH$1001,0),1)&gt;=100000,INDEX($AO$1005:$BQ$1005,1,MATCH(COLUMNS($AO$1006:AP1006),$AO$1006:$BQ$1006,0))&gt;=100000), " ",IF(INDEX($AO$2:$BQ$1001,MATCH(ROWS($AH$2:AH215),$AH$2:$AH$1001,0),MATCH(COLUMNS($AO$1006:AP1006),$AO$1006:$BQ$1006,0)), HYPERLINK("#",""), HYPERLINK(CONCATENATE("#Metadata!", ADDRESS(INDEX($AJ$2:$AJ$1001,MATCH(ROWS($AH$2:AH215),$AH$2:$AH$1001,0),0), INDEX($AO$1004:$BQ$1004,1,MATCH(COLUMNS($AO$1006:AP1006),$AO$1006:$BQ$1006,0)))),"Fix")))</f>
        <v>#N/A</v>
      </c>
      <c r="D215" s="5" t="e">
        <f ca="1">IF(OR(INDEX($AI$2:$AI$1001,MATCH(ROWS($AH$2:AH215),$AH$2:$AH$1001,0),1)&gt;=100000,INDEX($AO$1005:$BQ$1005,1,MATCH(COLUMNS($AO$1006:AQ1006),$AO$1006:$BQ$1006,0))&gt;=100000), " ",IF(INDEX($AO$2:$BQ$1001,MATCH(ROWS($AH$2:AH215),$AH$2:$AH$1001,0),MATCH(COLUMNS($AO$1006:AQ1006),$AO$1006:$BQ$1006,0)), HYPERLINK("#",""), HYPERLINK(CONCATENATE("#Metadata!", ADDRESS(INDEX($AJ$2:$AJ$1001,MATCH(ROWS($AH$2:AH215),$AH$2:$AH$1001,0),0), INDEX($AO$1004:$BQ$1004,1,MATCH(COLUMNS($AO$1006:AQ1006),$AO$1006:$BQ$1006,0)))),"Fix")))</f>
        <v>#N/A</v>
      </c>
      <c r="E215" s="5" t="e">
        <f ca="1">IF(OR(INDEX($AI$2:$AI$1001,MATCH(ROWS($AH$2:AH215),$AH$2:$AH$1001,0),1)&gt;=100000,INDEX($AO$1005:$BQ$1005,1,MATCH(COLUMNS($AO$1006:AR1006),$AO$1006:$BQ$1006,0))&gt;=100000), " ",IF(INDEX($AO$2:$BQ$1001,MATCH(ROWS($AH$2:AH215),$AH$2:$AH$1001,0),MATCH(COLUMNS($AO$1006:AR1006),$AO$1006:$BQ$1006,0)), HYPERLINK("#",""), HYPERLINK(CONCATENATE("#Metadata!", ADDRESS(INDEX($AJ$2:$AJ$1001,MATCH(ROWS($AH$2:AH215),$AH$2:$AH$1001,0),0), INDEX($AO$1004:$BQ$1004,1,MATCH(COLUMNS($AO$1006:AR1006),$AO$1006:$BQ$1006,0)))),"Fix")))</f>
        <v>#N/A</v>
      </c>
      <c r="F215" s="5" t="e">
        <f ca="1">IF(OR(INDEX($AI$2:$AI$1001,MATCH(ROWS($AH$2:AH215),$AH$2:$AH$1001,0),1)&gt;=100000,INDEX($AO$1005:$BQ$1005,1,MATCH(COLUMNS($AO$1006:AS1006),$AO$1006:$BQ$1006,0))&gt;=100000), " ",IF(INDEX($AO$2:$BQ$1001,MATCH(ROWS($AH$2:AH215),$AH$2:$AH$1001,0),MATCH(COLUMNS($AO$1006:AS1006),$AO$1006:$BQ$1006,0)), HYPERLINK("#",""), HYPERLINK(CONCATENATE("#Metadata!", ADDRESS(INDEX($AJ$2:$AJ$1001,MATCH(ROWS($AH$2:AH215),$AH$2:$AH$1001,0),0), INDEX($AO$1004:$BQ$1004,1,MATCH(COLUMNS($AO$1006:AS1006),$AO$1006:$BQ$1006,0)))),"Fix")))</f>
        <v>#N/A</v>
      </c>
      <c r="G215" s="5" t="e">
        <f ca="1">IF(OR(INDEX($AI$2:$AI$1001,MATCH(ROWS($AH$2:AH215),$AH$2:$AH$1001,0),1)&gt;=100000,INDEX($AO$1005:$BQ$1005,1,MATCH(COLUMNS($AO$1006:AT1006),$AO$1006:$BQ$1006,0))&gt;=100000), " ",IF(INDEX($AO$2:$BQ$1001,MATCH(ROWS($AH$2:AH215),$AH$2:$AH$1001,0),MATCH(COLUMNS($AO$1006:AT1006),$AO$1006:$BQ$1006,0)), HYPERLINK("#",""), HYPERLINK(CONCATENATE("#Metadata!", ADDRESS(INDEX($AJ$2:$AJ$1001,MATCH(ROWS($AH$2:AH215),$AH$2:$AH$1001,0),0), INDEX($AO$1004:$BQ$1004,1,MATCH(COLUMNS($AO$1006:AT1006),$AO$1006:$BQ$1006,0)))),"Fix")))</f>
        <v>#N/A</v>
      </c>
      <c r="H215" s="5" t="e">
        <f ca="1">IF(OR(INDEX($AI$2:$AI$1001,MATCH(ROWS($AH$2:AH215),$AH$2:$AH$1001,0),1)&gt;=100000,INDEX($AO$1005:$BQ$1005,1,MATCH(COLUMNS($AO$1006:AU1006),$AO$1006:$BQ$1006,0))&gt;=100000), " ",IF(INDEX($AO$2:$BQ$1001,MATCH(ROWS($AH$2:AH215),$AH$2:$AH$1001,0),MATCH(COLUMNS($AO$1006:AU1006),$AO$1006:$BQ$1006,0)), HYPERLINK("#",""), HYPERLINK(CONCATENATE("#Metadata!", ADDRESS(INDEX($AJ$2:$AJ$1001,MATCH(ROWS($AH$2:AH215),$AH$2:$AH$1001,0),0), INDEX($AO$1004:$BQ$1004,1,MATCH(COLUMNS($AO$1006:AU1006),$AO$1006:$BQ$1006,0)))),"Fix")))</f>
        <v>#N/A</v>
      </c>
      <c r="I215" s="5" t="e">
        <f ca="1">IF(OR(INDEX($AI$2:$AI$1001,MATCH(ROWS($AH$2:AH215),$AH$2:$AH$1001,0),1)&gt;=100000,INDEX($AO$1005:$BQ$1005,1,MATCH(COLUMNS($AO$1006:AV1006),$AO$1006:$BQ$1006,0))&gt;=100000), " ",IF(INDEX($AO$2:$BQ$1001,MATCH(ROWS($AH$2:AH215),$AH$2:$AH$1001,0),MATCH(COLUMNS($AO$1006:AV1006),$AO$1006:$BQ$1006,0)), HYPERLINK("#",""), HYPERLINK(CONCATENATE("#Metadata!", ADDRESS(INDEX($AJ$2:$AJ$1001,MATCH(ROWS($AH$2:AH215),$AH$2:$AH$1001,0),0), INDEX($AO$1004:$BQ$1004,1,MATCH(COLUMNS($AO$1006:AV1006),$AO$1006:$BQ$1006,0)))),"Fix")))</f>
        <v>#N/A</v>
      </c>
      <c r="J215" s="5" t="e">
        <f ca="1">IF(OR(INDEX($AI$2:$AI$1001,MATCH(ROWS($AH$2:AH215),$AH$2:$AH$1001,0),1)&gt;=100000,INDEX($AO$1005:$BQ$1005,1,MATCH(COLUMNS($AO$1006:AW1006),$AO$1006:$BQ$1006,0))&gt;=100000), " ",IF(INDEX($AO$2:$BQ$1001,MATCH(ROWS($AH$2:AH215),$AH$2:$AH$1001,0),MATCH(COLUMNS($AO$1006:AW1006),$AO$1006:$BQ$1006,0)), HYPERLINK("#",""), HYPERLINK(CONCATENATE("#Metadata!", ADDRESS(INDEX($AJ$2:$AJ$1001,MATCH(ROWS($AH$2:AH215),$AH$2:$AH$1001,0),0), INDEX($AO$1004:$BQ$1004,1,MATCH(COLUMNS($AO$1006:AW1006),$AO$1006:$BQ$1006,0)))),"Fix")))</f>
        <v>#N/A</v>
      </c>
      <c r="K215" s="5" t="e">
        <f ca="1">IF(OR(INDEX($AI$2:$AI$1001,MATCH(ROWS($AH$2:AH215),$AH$2:$AH$1001,0),1)&gt;=100000,INDEX($AO$1005:$BQ$1005,1,MATCH(COLUMNS($AO$1006:AX1006),$AO$1006:$BQ$1006,0))&gt;=100000), " ",IF(INDEX($AO$2:$BQ$1001,MATCH(ROWS($AH$2:AH215),$AH$2:$AH$1001,0),MATCH(COLUMNS($AO$1006:AX1006),$AO$1006:$BQ$1006,0)), HYPERLINK("#",""), HYPERLINK(CONCATENATE("#Metadata!", ADDRESS(INDEX($AJ$2:$AJ$1001,MATCH(ROWS($AH$2:AH215),$AH$2:$AH$1001,0),0), INDEX($AO$1004:$BQ$1004,1,MATCH(COLUMNS($AO$1006:AX1006),$AO$1006:$BQ$1006,0)))),"Fix")))</f>
        <v>#N/A</v>
      </c>
      <c r="L215" s="5" t="e">
        <f ca="1">IF(OR(INDEX($AI$2:$AI$1001,MATCH(ROWS($AH$2:AH215),$AH$2:$AH$1001,0),1)&gt;=100000,INDEX($AO$1005:$BQ$1005,1,MATCH(COLUMNS($AO$1006:AY1006),$AO$1006:$BQ$1006,0))&gt;=100000), " ",IF(INDEX($AO$2:$BQ$1001,MATCH(ROWS($AH$2:AH215),$AH$2:$AH$1001,0),MATCH(COLUMNS($AO$1006:AY1006),$AO$1006:$BQ$1006,0)), HYPERLINK("#",""), HYPERLINK(CONCATENATE("#Metadata!", ADDRESS(INDEX($AJ$2:$AJ$1001,MATCH(ROWS($AH$2:AH215),$AH$2:$AH$1001,0),0), INDEX($AO$1004:$BQ$1004,1,MATCH(COLUMNS($AO$1006:AY1006),$AO$1006:$BQ$1006,0)))),"Fix")))</f>
        <v>#N/A</v>
      </c>
      <c r="M215" s="5" t="e">
        <f ca="1">IF(OR(INDEX($AI$2:$AI$1001,MATCH(ROWS($AH$2:AH215),$AH$2:$AH$1001,0),1)&gt;=100000,INDEX($AO$1005:$BQ$1005,1,MATCH(COLUMNS($AO$1006:AZ1006),$AO$1006:$BQ$1006,0))&gt;=100000), " ",IF(INDEX($AO$2:$BQ$1001,MATCH(ROWS($AH$2:AH215),$AH$2:$AH$1001,0),MATCH(COLUMNS($AO$1006:AZ1006),$AO$1006:$BQ$1006,0)), HYPERLINK("#",""), HYPERLINK(CONCATENATE("#Metadata!", ADDRESS(INDEX($AJ$2:$AJ$1001,MATCH(ROWS($AH$2:AH215),$AH$2:$AH$1001,0),0), INDEX($AO$1004:$BQ$1004,1,MATCH(COLUMNS($AO$1006:AZ1006),$AO$1006:$BQ$1006,0)))),"Fix")))</f>
        <v>#N/A</v>
      </c>
      <c r="N215" s="5" t="e">
        <f ca="1">IF(OR(INDEX($AI$2:$AI$1001,MATCH(ROWS($AH$2:AH215),$AH$2:$AH$1001,0),1)&gt;=100000,INDEX($AO$1005:$BQ$1005,1,MATCH(COLUMNS($AO$1006:BA1006),$AO$1006:$BQ$1006,0))&gt;=100000), " ",IF(INDEX($AO$2:$BQ$1001,MATCH(ROWS($AH$2:AH215),$AH$2:$AH$1001,0),MATCH(COLUMNS($AO$1006:BA1006),$AO$1006:$BQ$1006,0)), HYPERLINK("#",""), HYPERLINK(CONCATENATE("#Metadata!", ADDRESS(INDEX($AJ$2:$AJ$1001,MATCH(ROWS($AH$2:AH215),$AH$2:$AH$1001,0),0), INDEX($AO$1004:$BQ$1004,1,MATCH(COLUMNS($AO$1006:BA1006),$AO$1006:$BQ$1006,0)))),"Fix")))</f>
        <v>#N/A</v>
      </c>
      <c r="O215" s="5" t="e">
        <f ca="1">IF(OR(INDEX($AI$2:$AI$1001,MATCH(ROWS($AH$2:AH215),$AH$2:$AH$1001,0),1)&gt;=100000,INDEX($AO$1005:$BQ$1005,1,MATCH(COLUMNS($AO$1006:BB1006),$AO$1006:$BQ$1006,0))&gt;=100000), " ",IF(INDEX($AO$2:$BQ$1001,MATCH(ROWS($AH$2:AH215),$AH$2:$AH$1001,0),MATCH(COLUMNS($AO$1006:BB1006),$AO$1006:$BQ$1006,0)), HYPERLINK("#",""), HYPERLINK(CONCATENATE("#Metadata!", ADDRESS(INDEX($AJ$2:$AJ$1001,MATCH(ROWS($AH$2:AH215),$AH$2:$AH$1001,0),0), INDEX($AO$1004:$BQ$1004,1,MATCH(COLUMNS($AO$1006:BB1006),$AO$1006:$BQ$1006,0)))),"Fix")))</f>
        <v>#N/A</v>
      </c>
      <c r="P215" s="5" t="e">
        <f ca="1">IF(OR(INDEX($AI$2:$AI$1001,MATCH(ROWS($AH$2:AH215),$AH$2:$AH$1001,0),1)&gt;=100000,INDEX($AO$1005:$BQ$1005,1,MATCH(COLUMNS($AO$1006:BC1006),$AO$1006:$BQ$1006,0))&gt;=100000), " ",IF(INDEX($AO$2:$BQ$1001,MATCH(ROWS($AH$2:AH215),$AH$2:$AH$1001,0),MATCH(COLUMNS($AO$1006:BC1006),$AO$1006:$BQ$1006,0)), HYPERLINK("#",""), HYPERLINK(CONCATENATE("#Metadata!", ADDRESS(INDEX($AJ$2:$AJ$1001,MATCH(ROWS($AH$2:AH215),$AH$2:$AH$1001,0),0), INDEX($AO$1004:$BQ$1004,1,MATCH(COLUMNS($AO$1006:BC1006),$AO$1006:$BQ$1006,0)))),"Fix")))</f>
        <v>#N/A</v>
      </c>
      <c r="Q215" s="5" t="e">
        <f ca="1">IF(OR(INDEX($AI$2:$AI$1001,MATCH(ROWS($AH$2:AH215),$AH$2:$AH$1001,0),1)&gt;=100000,INDEX($AO$1005:$BQ$1005,1,MATCH(COLUMNS($AO$1006:BD1006),$AO$1006:$BQ$1006,0))&gt;=100000), " ",IF(INDEX($AO$2:$BQ$1001,MATCH(ROWS($AH$2:AH215),$AH$2:$AH$1001,0),MATCH(COLUMNS($AO$1006:BD1006),$AO$1006:$BQ$1006,0)), HYPERLINK("#",""), HYPERLINK(CONCATENATE("#Metadata!", ADDRESS(INDEX($AJ$2:$AJ$1001,MATCH(ROWS($AH$2:AH215),$AH$2:$AH$1001,0),0), INDEX($AO$1004:$BQ$1004,1,MATCH(COLUMNS($AO$1006:BD1006),$AO$1006:$BQ$1006,0)))),"Fix")))</f>
        <v>#N/A</v>
      </c>
      <c r="R215" s="5" t="e">
        <f ca="1">IF(OR(INDEX($AI$2:$AI$1001,MATCH(ROWS($AH$2:AH215),$AH$2:$AH$1001,0),1)&gt;=100000,INDEX($AO$1005:$BQ$1005,1,MATCH(COLUMNS($AO$1006:BE1006),$AO$1006:$BQ$1006,0))&gt;=100000), " ",IF(INDEX($AO$2:$BQ$1001,MATCH(ROWS($AH$2:AH215),$AH$2:$AH$1001,0),MATCH(COLUMNS($AO$1006:BE1006),$AO$1006:$BQ$1006,0)), HYPERLINK("#",""), HYPERLINK(CONCATENATE("#Metadata!", ADDRESS(INDEX($AJ$2:$AJ$1001,MATCH(ROWS($AH$2:AH215),$AH$2:$AH$1001,0),0), INDEX($AO$1004:$BQ$1004,1,MATCH(COLUMNS($AO$1006:BE1006),$AO$1006:$BQ$1006,0)))),"Fix")))</f>
        <v>#N/A</v>
      </c>
      <c r="S215" s="5" t="e">
        <f ca="1">IF(OR(INDEX($AI$2:$AI$1001,MATCH(ROWS($AH$2:AH215),$AH$2:$AH$1001,0),1)&gt;=100000,INDEX($AO$1005:$BQ$1005,1,MATCH(COLUMNS($AO$1006:BF1006),$AO$1006:$BQ$1006,0))&gt;=100000), " ",IF(INDEX($AO$2:$BQ$1001,MATCH(ROWS($AH$2:AH215),$AH$2:$AH$1001,0),MATCH(COLUMNS($AO$1006:BF1006),$AO$1006:$BQ$1006,0)), HYPERLINK("#",""), HYPERLINK(CONCATENATE("#Metadata!", ADDRESS(INDEX($AJ$2:$AJ$1001,MATCH(ROWS($AH$2:AH215),$AH$2:$AH$1001,0),0), INDEX($AO$1004:$BQ$1004,1,MATCH(COLUMNS($AO$1006:BF1006),$AO$1006:$BQ$1006,0)))),"Fix")))</f>
        <v>#N/A</v>
      </c>
      <c r="T215" s="5" t="e">
        <f ca="1">IF(OR(INDEX($AI$2:$AI$1001,MATCH(ROWS($AH$2:AH215),$AH$2:$AH$1001,0),1)&gt;=100000,INDEX($AO$1005:$BQ$1005,1,MATCH(COLUMNS($AO$1006:BG1006),$AO$1006:$BQ$1006,0))&gt;=100000), " ",IF(INDEX($AO$2:$BQ$1001,MATCH(ROWS($AH$2:AH215),$AH$2:$AH$1001,0),MATCH(COLUMNS($AO$1006:BG1006),$AO$1006:$BQ$1006,0)), HYPERLINK("#",""), HYPERLINK(CONCATENATE("#Metadata!", ADDRESS(INDEX($AJ$2:$AJ$1001,MATCH(ROWS($AH$2:AH215),$AH$2:$AH$1001,0),0), INDEX($AO$1004:$BQ$1004,1,MATCH(COLUMNS($AO$1006:BG1006),$AO$1006:$BQ$1006,0)))),"Fix")))</f>
        <v>#N/A</v>
      </c>
      <c r="U215" s="5" t="e">
        <f ca="1">IF(OR(INDEX($AI$2:$AI$1001,MATCH(ROWS($AH$2:AH215),$AH$2:$AH$1001,0),1)&gt;=100000,INDEX($AO$1005:$BQ$1005,1,MATCH(COLUMNS($AO$1006:BH1006),$AO$1006:$BQ$1006,0))&gt;=100000), " ",IF(INDEX($AO$2:$BQ$1001,MATCH(ROWS($AH$2:AH215),$AH$2:$AH$1001,0),MATCH(COLUMNS($AO$1006:BH1006),$AO$1006:$BQ$1006,0)), HYPERLINK("#",""), HYPERLINK(CONCATENATE("#Metadata!", ADDRESS(INDEX($AJ$2:$AJ$1001,MATCH(ROWS($AH$2:AH215),$AH$2:$AH$1001,0),0), INDEX($AO$1004:$BQ$1004,1,MATCH(COLUMNS($AO$1006:BH1006),$AO$1006:$BQ$1006,0)))),"Fix")))</f>
        <v>#N/A</v>
      </c>
      <c r="V215" s="5" t="e">
        <f ca="1">IF(OR(INDEX($AI$2:$AI$1001,MATCH(ROWS($AH$2:AH215),$AH$2:$AH$1001,0),1)&gt;=100000,INDEX($AO$1005:$BQ$1005,1,MATCH(COLUMNS($AO$1006:BI1006),$AO$1006:$BQ$1006,0))&gt;=100000), " ",IF(INDEX($AO$2:$BQ$1001,MATCH(ROWS($AH$2:AH215),$AH$2:$AH$1001,0),MATCH(COLUMNS($AO$1006:BI1006),$AO$1006:$BQ$1006,0)), HYPERLINK("#",""), HYPERLINK(CONCATENATE("#Metadata!", ADDRESS(INDEX($AJ$2:$AJ$1001,MATCH(ROWS($AH$2:AH215),$AH$2:$AH$1001,0),0), INDEX($AO$1004:$BQ$1004,1,MATCH(COLUMNS($AO$1006:BI1006),$AO$1006:$BQ$1006,0)))),"Fix")))</f>
        <v>#N/A</v>
      </c>
      <c r="W215" s="5" t="e">
        <f ca="1">IF(OR(INDEX($AI$2:$AI$1001,MATCH(ROWS($AH$2:AH215),$AH$2:$AH$1001,0),1)&gt;=100000,INDEX($AO$1005:$BQ$1005,1,MATCH(COLUMNS($AO$1006:BJ1006),$AO$1006:$BQ$1006,0))&gt;=100000), " ",IF(INDEX($AO$2:$BQ$1001,MATCH(ROWS($AH$2:AH215),$AH$2:$AH$1001,0),MATCH(COLUMNS($AO$1006:BJ1006),$AO$1006:$BQ$1006,0)), HYPERLINK("#",""), HYPERLINK(CONCATENATE("#Metadata!", ADDRESS(INDEX($AJ$2:$AJ$1001,MATCH(ROWS($AH$2:AH215),$AH$2:$AH$1001,0),0), INDEX($AO$1004:$BQ$1004,1,MATCH(COLUMNS($AO$1006:BJ1006),$AO$1006:$BQ$1006,0)))),"Fix")))</f>
        <v>#N/A</v>
      </c>
      <c r="X215" s="5" t="e">
        <f ca="1">IF(OR(INDEX($AI$2:$AI$1001,MATCH(ROWS($AH$2:AH215),$AH$2:$AH$1001,0),1)&gt;=100000,INDEX($AO$1005:$BQ$1005,1,MATCH(COLUMNS($AO$1006:BK1006),$AO$1006:$BQ$1006,0))&gt;=100000), " ",IF(INDEX($AO$2:$BQ$1001,MATCH(ROWS($AH$2:AH215),$AH$2:$AH$1001,0),MATCH(COLUMNS($AO$1006:BK1006),$AO$1006:$BQ$1006,0)), HYPERLINK("#",""), HYPERLINK(CONCATENATE("#Metadata!", ADDRESS(INDEX($AJ$2:$AJ$1001,MATCH(ROWS($AH$2:AH215),$AH$2:$AH$1001,0),0), INDEX($AO$1004:$BQ$1004,1,MATCH(COLUMNS($AO$1006:BK1006),$AO$1006:$BQ$1006,0)))),"Fix")))</f>
        <v>#N/A</v>
      </c>
      <c r="Y215" s="5" t="e">
        <f ca="1">IF(OR(INDEX($AI$2:$AI$1001,MATCH(ROWS($AH$2:AH215),$AH$2:$AH$1001,0),1)&gt;=100000,INDEX($AO$1005:$BQ$1005,1,MATCH(COLUMNS($AO$1006:BL1006),$AO$1006:$BQ$1006,0))&gt;=100000), " ",IF(INDEX($AO$2:$BQ$1001,MATCH(ROWS($AH$2:AH215),$AH$2:$AH$1001,0),MATCH(COLUMNS($AO$1006:BL1006),$AO$1006:$BQ$1006,0)), HYPERLINK("#",""), HYPERLINK(CONCATENATE("#Metadata!", ADDRESS(INDEX($AJ$2:$AJ$1001,MATCH(ROWS($AH$2:AH215),$AH$2:$AH$1001,0),0), INDEX($AO$1004:$BQ$1004,1,MATCH(COLUMNS($AO$1006:BL1006),$AO$1006:$BQ$1006,0)))),"Fix")))</f>
        <v>#N/A</v>
      </c>
      <c r="Z215" s="5" t="e">
        <f ca="1">IF(OR(INDEX($AI$2:$AI$1001,MATCH(ROWS($AH$2:AH215),$AH$2:$AH$1001,0),1)&gt;=100000,INDEX($AO$1005:$BQ$1005,1,MATCH(COLUMNS($AO$1006:BM1006),$AO$1006:$BQ$1006,0))&gt;=100000), " ",IF(INDEX($AO$2:$BQ$1001,MATCH(ROWS($AH$2:AH215),$AH$2:$AH$1001,0),MATCH(COLUMNS($AO$1006:BM1006),$AO$1006:$BQ$1006,0)), HYPERLINK("#",""), HYPERLINK(CONCATENATE("#Metadata!", ADDRESS(INDEX($AJ$2:$AJ$1001,MATCH(ROWS($AH$2:AH215),$AH$2:$AH$1001,0),0), INDEX($AO$1004:$BQ$1004,1,MATCH(COLUMNS($AO$1006:BM1006),$AO$1006:$BQ$1006,0)))),"Fix")))</f>
        <v>#N/A</v>
      </c>
      <c r="AA215" s="5" t="e">
        <f ca="1">IF(OR(INDEX($AI$2:$AI$1001,MATCH(ROWS($AH$2:AH215),$AH$2:$AH$1001,0),1)&gt;=100000,INDEX($AO$1005:$BQ$1005,1,MATCH(COLUMNS($AO$1006:BN1006),$AO$1006:$BQ$1006,0))&gt;=100000), " ",IF(INDEX($AO$2:$BQ$1001,MATCH(ROWS($AH$2:AH215),$AH$2:$AH$1001,0),MATCH(COLUMNS($AO$1006:BN1006),$AO$1006:$BQ$1006,0)), HYPERLINK("#",""), HYPERLINK(CONCATENATE("#Metadata!", ADDRESS(INDEX($AJ$2:$AJ$1001,MATCH(ROWS($AH$2:AH215),$AH$2:$AH$1001,0),0), INDEX($AO$1004:$BQ$1004,1,MATCH(COLUMNS($AO$1006:BN1006),$AO$1006:$BQ$1006,0)))),"Fix")))</f>
        <v>#N/A</v>
      </c>
      <c r="AB215" s="5" t="e">
        <f ca="1">IF(OR(INDEX($AI$2:$AI$1001,MATCH(ROWS($AH$2:AH215),$AH$2:$AH$1001,0),1)&gt;=100000,INDEX($AO$1005:$BQ$1005,1,MATCH(COLUMNS($AO$1006:BO1006),$AO$1006:$BQ$1006,0))&gt;=100000), " ",IF(INDEX($AO$2:$BQ$1001,MATCH(ROWS($AH$2:AH215),$AH$2:$AH$1001,0),MATCH(COLUMNS($AO$1006:BO1006),$AO$1006:$BQ$1006,0)), HYPERLINK("#",""), HYPERLINK(CONCATENATE("#Metadata!", ADDRESS(INDEX($AJ$2:$AJ$1001,MATCH(ROWS($AH$2:AH215),$AH$2:$AH$1001,0),0), INDEX($AO$1004:$BQ$1004,1,MATCH(COLUMNS($AO$1006:BO1006),$AO$1006:$BQ$1006,0)))),"Fix")))</f>
        <v>#N/A</v>
      </c>
      <c r="AC215" s="5" t="e">
        <f ca="1">IF(OR(INDEX($AI$2:$AI$1001,MATCH(ROWS($AH$2:AH215),$AH$2:$AH$1001,0),1)&gt;=100000,INDEX($AO$1005:$BQ$1005,1,MATCH(COLUMNS($AO$1006:BP1006),$AO$1006:$BQ$1006,0))&gt;=100000), " ",IF(INDEX($AO$2:$BQ$1001,MATCH(ROWS($AH$2:AH215),$AH$2:$AH$1001,0),MATCH(COLUMNS($AO$1006:BP1006),$AO$1006:$BQ$1006,0)), HYPERLINK("#",""), HYPERLINK(CONCATENATE("#Metadata!", ADDRESS(INDEX($AJ$2:$AJ$1001,MATCH(ROWS($AH$2:AH215),$AH$2:$AH$1001,0),0), INDEX($AO$1004:$BQ$1004,1,MATCH(COLUMNS($AO$1006:BP1006),$AO$1006:$BQ$1006,0)))),"Fix")))</f>
        <v>#N/A</v>
      </c>
      <c r="AD215" s="5" t="e">
        <f ca="1">IF(OR(INDEX($AI$2:$AI$1001,MATCH(ROWS($AH$2:AH215),$AH$2:$AH$1001,0),1)&gt;=100000,INDEX($AO$1005:$BQ$1005,1,MATCH(COLUMNS($AO$1006:BQ1006),$AO$1006:$BQ$1006,0))&gt;=100000), " ",IF(INDEX($AO$2:$BQ$1001,MATCH(ROWS($AH$2:AH215),$AH$2:$AH$1001,0),MATCH(COLUMNS($AO$1006:BQ1006),$AO$1006:$BQ$1006,0)), HYPERLINK("#",""), HYPERLINK(CONCATENATE("#Metadata!", ADDRESS(INDEX($AJ$2:$AJ$1001,MATCH(ROWS($AH$2:AH215),$AH$2:$AH$1001,0),0), INDEX($AO$1004:$BQ$1004,1,MATCH(COLUMNS($AO$1006:BQ1006),$AO$1006:$BQ$1006,0)))),"Fix")))</f>
        <v>#REF!</v>
      </c>
      <c r="AH215">
        <f ca="1"/>
        <v>212</v>
      </c>
      <c r="AI215">
        <v>100215</v>
      </c>
      <c r="AJ215">
        <v>215</v>
      </c>
      <c r="AK215" t="b">
        <f t="shared" si="3"/>
        <v>1</v>
      </c>
      <c r="AL215" t="b">
        <f>COUNTBLANK(Metadata!B215:AD215)=COLUMNS(Metadata!B215:AD215)</f>
        <v>1</v>
      </c>
      <c r="AM215" t="str">
        <v/>
      </c>
      <c r="AO215" t="b">
        <f ca="1">AND(IF(Metadata!B215="",FALSE,TRUE),COUNTIF(Metadata!B:B, Metadata!B215) = 1,NOT(ISERROR(SUMPRODUCT(SEARCH(MID(Metadata!B215,ROW(INDIRECT("1:"&amp;LEN(Metadata!B215))), 1),"0123456789abcdefghijklmnopqrstuvwxyzABCDEFGHIJKLMNOPQRSTUVWXYZ.")))))</f>
        <v>0</v>
      </c>
      <c r="AP215" t="b">
        <f>IF(Metadata!C215="",FALSE,TRUE)</f>
        <v>0</v>
      </c>
      <c r="AQ215" t="b">
        <f>IF(Metadata!D215="",FALSE,TRUE)</f>
        <v>0</v>
      </c>
      <c r="AR215" t="b">
        <f ca="1">OR(AND(IF(Metadata!E215="",FALSE,TRUE),OR(EXACT(Metadata!E215,"not collected"),EXACT(Metadata!E215,"not provided"),EXACT(Metadata!E215,"restricted access"))),AND(IF(Metadata!E215="",FALSE,TRUE),AND(AND(IFERROR(INT(LEFT(Metadata!E215,4))&gt;1900,FALSE),IFERROR(INT(LEFT(Metadata!E215,4))&lt;=YEAR(NOW()),FALSE)), OR(MID(Metadata!E215,5,1)="", AND(AND(MID(Metadata!E215,5,1)="-",IFERROR(INT(MID(Metadata!E215,6,1))&gt;=0,FALSE),IFERROR(INT(MID(Metadata!E215,6,1))&lt;=1,FALSE),NOT(MID(Metadata!E215,7,1)=""),IFERROR(INT(MID(Metadata!E215,6,2))&gt;=1,FALSE),IFERROR(INT(MID(Metadata!E215,6,2))&lt;=12,FALSE)), OR(MID(Metadata!E215,8,1)="", AND(AND(MID(Metadata!E215,8,1)="-",IFERROR(INT(MID(Metadata!E215,9,1))&gt;=0,FALSE),IFERROR(INT(MID(Metadata!E215,9,1))&lt;=3,FALSE),NOT(MID(Metadata!E215,10,1)=""),IFERROR(INT(MID(Metadata!E215,9,2))&gt;=1,FALSE),IFERROR(INT(MID(Metadata!E215,9,2))&lt;=31,FALSE)), OR(MID(Metadata!E215,11,1)="", AND(AND(MID(Metadata!E215,11,1)=" ",IFERROR(INT(MID(Metadata!E215,12,1))&gt;=0,FALSE),IFERROR(INT(MID(Metadata!E215,12,1))&lt;=2,FALSE),NOT(MID(Metadata!E215,13,1)=""),IFERROR(INT(MID(Metadata!E215,12,2))&gt;=0,FALSE),IFERROR(INT(MID(Metadata!E215,12,2))&lt;=23,FALSE)), OR(MID(Metadata!E215,14,1)="", AND(AND(MID(Metadata!E215,14,1)=":",IFERROR(INT(MID(Metadata!E215,15,1))&gt;=0,FALSE),IFERROR(INT(MID(Metadata!E215,15,1))&lt;=5,FALSE),NOT(MID(Metadata!E215,16,1)=""),IFERROR(INT(MID(Metadata!E215,15,2))&gt;=0,FALSE),IFERROR(INT(MID(Metadata!E215,15,2))&lt;=59,FALSE)), OR(MID(Metadata!E215,17,1)="", AND(AND(MID(Metadata!E215,17,1)=":",IFERROR(INT(MID(Metadata!E215,18,1))&gt;=0,FALSE),IFERROR(INT(MID(Metadata!E215,18,1))&lt;=5,FALSE),NOT(MID(Metadata!E215,19,1)=""),IFERROR(INT(MID(Metadata!E215,18,2))&gt;=0,FALSE),IFERROR(INT(MID(Metadata!E215,18,2))&lt;=59,FALSE)), LEN(Metadata!E215)&lt;=19)))))))))))))</f>
        <v>0</v>
      </c>
      <c r="AS215" t="b">
        <f>IF(Metadata!F215="",FALSE,TRUE)</f>
        <v>0</v>
      </c>
      <c r="AT215" t="b">
        <f>OR(AND(IF(Metadata!G215="",FALSE,TRUE),OR(EXACT(Metadata!G215,"not collected"),EXACT(Metadata!G215,"not provided"))),AND(IF(Metadata!G215="",FALSE,TRUE),OR(EXACT(Metadata!G215,"TRUE"),EXACT(Metadata!G215,"FALSE"))))</f>
        <v>0</v>
      </c>
      <c r="AU215" t="b">
        <f>OR(AND(IF(Metadata!H215="",FALSE,TRUE),OR(EXACT(Metadata!H215,"not collected"),EXACT(Metadata!H215,"not provided"),EXACT(Metadata!H215,"restricted access"))),AND(IF(Metadata!H215="",FALSE,ISNUMBER(VALUE(Metadata!H215))),Metadata!H215&gt;=-413))</f>
        <v>0</v>
      </c>
      <c r="AV215" t="b">
        <f>AND(IF(Metadata!I215="",FALSE,TRUE),EXACT(Metadata!I215,"meters"))</f>
        <v>0</v>
      </c>
      <c r="AW215" t="b">
        <f>AND(IF(Metadata!J215="",FALSE,TRUE),EXACT(Metadata!J215,"free-living"))</f>
        <v>0</v>
      </c>
      <c r="AX215" t="b">
        <f>AND(IF(Metadata!K215="",FALSE,TRUE),OR(EXACT(Metadata!K215,"saline"),EXACT(Metadata!K215,"non-saline")))</f>
        <v>0</v>
      </c>
      <c r="AY215" t="b">
        <f>AND(IF(Metadata!L215="",FALSE,TRUE),OR(EXACT(Metadata!L215,"sub-surface (non-saline)"),EXACT(Metadata!L215,"surface (non-saline)"),EXACT(Metadata!L215,"water (non-saline)"),EXACT(Metadata!L215,"soil (non-saline)"),EXACT(Metadata!L215,"aerosol (non-saline)"),EXACT(Metadata!L215,"sediment (non-saline)"),EXACT(Metadata!L215,"surface (saline)"),EXACT(Metadata!L215,"water (saline)"),EXACT(Metadata!L215,"hypersaline (saline)"),EXACT(Metadata!L215,"aerosol (saline)"),EXACT(Metadata!L215,"sediment (saline)")))</f>
        <v>0</v>
      </c>
      <c r="AZ215" t="b">
        <f>IF(Metadata!M215="",FALSE,TRUE)</f>
        <v>0</v>
      </c>
      <c r="BA215" t="b">
        <f>IF(Metadata!N215="",FALSE,TRUE)</f>
        <v>0</v>
      </c>
      <c r="BB215" t="b">
        <f>IF(Metadata!O215="",FALSE,TRUE)</f>
        <v>0</v>
      </c>
      <c r="BC215" t="b">
        <f>AND(IF(Metadata!P215="",FALSE,TRUE),OR(EXACT(Metadata!P215,"air"),EXACT(Metadata!P215,"microbial mat/biofilm"),EXACT(Metadata!P215,"misc environment"),EXACT(Metadata!P215,"sediment"),EXACT(Metadata!P215,"soil"),EXACT(Metadata!P215,"wastewater/sludge"),EXACT(Metadata!P215,"water")))</f>
        <v>0</v>
      </c>
      <c r="BD215" t="b">
        <f>IF(Metadata!Q215="",FALSE,TRUE)</f>
        <v>0</v>
      </c>
      <c r="BE215" t="b">
        <f>IF(Metadata!R215="",FALSE,TRUE)</f>
        <v>0</v>
      </c>
      <c r="BF215" t="b">
        <f>OR(AND(IF(Metadata!S215="",FALSE,TRUE),OR(EXACT(Metadata!S215,"not collected"),EXACT(Metadata!S215,"not provided"),EXACT(Metadata!S215,"restricted access"))),AND(IF(Metadata!S215="",FALSE,ISNUMBER(VALUE(Metadata!S215))),Metadata!S215&gt;=-90,Metadata!S215&lt;=90))</f>
        <v>0</v>
      </c>
      <c r="BG215" t="b">
        <f>AND(IF(Metadata!T215="",FALSE,TRUE),EXACT(Metadata!T215,"Decimal degrees"))</f>
        <v>0</v>
      </c>
      <c r="BH215" t="b">
        <f>OR(AND(IF(Metadata!U215="",FALSE,TRUE),OR(EXACT(Metadata!U215,"not applicable"),EXACT(Metadata!U215,"not collected"))),IF(Metadata!U215="",FALSE,TRUE))</f>
        <v>0</v>
      </c>
      <c r="BI215" t="b">
        <f>OR(AND(IF(Metadata!V215="",FALSE,TRUE),OR(EXACT(Metadata!V215,"not collected"),EXACT(Metadata!V215,"not provided"),EXACT(Metadata!V215,"restricted access"))),AND(IF(Metadata!V215="",FALSE,ISNUMBER(VALUE(Metadata!V215))),Metadata!V215&gt;=-180,Metadata!V215&lt;=180))</f>
        <v>0</v>
      </c>
      <c r="BJ215" t="b">
        <f>AND(IF(Metadata!W215="",FALSE,TRUE),EXACT(Metadata!W215,"Decimal degrees"))</f>
        <v>0</v>
      </c>
      <c r="BK215" t="b">
        <f>IF(Metadata!X215="",FALSE,TRUE)</f>
        <v>0</v>
      </c>
      <c r="BL215" t="b">
        <f>OR(AND(IF(Metadata!Y215="",FALSE,TRUE),OR(EXACT(Metadata!Y215,"not collected"),EXACT(Metadata!Y215,"not provided"),EXACT(Metadata!Y215,"restricted access"))),AND(IF(Metadata!Y215="",FALSE,TRUE),OR(EXACT(Metadata!Y215,"TRUE"),EXACT(Metadata!Y215,"FALSE"))))</f>
        <v>0</v>
      </c>
      <c r="BM215" t="b">
        <f>OR(AND(IF(Metadata!Z215="",FALSE,TRUE),EXACT(Metadata!Z215,"not applicable")),AND(IF(Metadata!Z215="",FALSE,TRUE),OR(EXACT(Metadata!Z215,"beer"),EXACT(Metadata!Z215,"cheese"),EXACT(Metadata!Z215,"fresh water"),EXACT(Metadata!Z215,"marine sediment"),EXACT(Metadata!Z215,"sea water"),EXACT(Metadata!Z215,"sediment"),EXACT(Metadata!Z215,"soil"),EXACT(Metadata!Z215,"waste water"))))</f>
        <v>0</v>
      </c>
      <c r="BN215" t="b">
        <f>AND(IF(Metadata!AA215="",FALSE,TRUE),EXACT(Metadata!AA215,"metagenome"))</f>
        <v>0</v>
      </c>
      <c r="BO215" t="b">
        <f>AND(IF(Metadata!AB215="",FALSE,TRUE),EXACT(Metadata!AB215,"256318"))</f>
        <v>0</v>
      </c>
      <c r="BP215" t="b">
        <f>IF(Metadata!AC215="",FALSE,TRUE)</f>
        <v>0</v>
      </c>
      <c r="BQ215" t="b">
        <f>IF(Metadata!AD215="",FALSE,TRUE)</f>
        <v>0</v>
      </c>
    </row>
    <row r="216" spans="1:69" x14ac:dyDescent="0.2">
      <c r="A216" s="4" t="e">
        <f ca="1">IF(B216=" "," ",HYPERLINK(CONCATENATE("#metadata!",ADDRESS(INDEX($AJ$2:$AJ$1001,MATCH(ROWS($AH$2:AH216),$AH$2:$AH$1001,0),0),2)),INDEX($AM$2:$AM$1001,MATCH(ROWS($AH$2:AH216),$AH$2:$AH$1001,0),0)))</f>
        <v>#N/A</v>
      </c>
      <c r="B216" s="5" t="e">
        <f ca="1">IF(OR(INDEX($AI$2:$AI$1001,MATCH(ROWS($AH$2:AH216),$AH$2:$AH$1001,0),1)&gt;=100000,INDEX($AO$1005:$BQ$1005,1,MATCH(COLUMNS($AO$1006:AO1006),$AO$1006:$BQ$1006,0))&gt;=100000), " ",IF(INDEX($AO$2:$BQ$1001,MATCH(ROWS($AH$2:AH216),$AH$2:$AH$1001,0),MATCH(COLUMNS($AO$1006:AO1006),$AO$1006:$BQ$1006,0)), HYPERLINK("#",""), HYPERLINK(CONCATENATE("#Metadata!", ADDRESS(INDEX($AJ$2:$AJ$1001,MATCH(ROWS($AH$2:AH216),$AH$2:$AH$1001,0),0), INDEX($AO$1004:$BQ$1004,1,MATCH(COLUMNS($AO$1006:AO1006),$AO$1006:$BQ$1006,0)))),"Fix")))</f>
        <v>#N/A</v>
      </c>
      <c r="C216" s="5" t="e">
        <f ca="1">IF(OR(INDEX($AI$2:$AI$1001,MATCH(ROWS($AH$2:AH216),$AH$2:$AH$1001,0),1)&gt;=100000,INDEX($AO$1005:$BQ$1005,1,MATCH(COLUMNS($AO$1006:AP1006),$AO$1006:$BQ$1006,0))&gt;=100000), " ",IF(INDEX($AO$2:$BQ$1001,MATCH(ROWS($AH$2:AH216),$AH$2:$AH$1001,0),MATCH(COLUMNS($AO$1006:AP1006),$AO$1006:$BQ$1006,0)), HYPERLINK("#",""), HYPERLINK(CONCATENATE("#Metadata!", ADDRESS(INDEX($AJ$2:$AJ$1001,MATCH(ROWS($AH$2:AH216),$AH$2:$AH$1001,0),0), INDEX($AO$1004:$BQ$1004,1,MATCH(COLUMNS($AO$1006:AP1006),$AO$1006:$BQ$1006,0)))),"Fix")))</f>
        <v>#N/A</v>
      </c>
      <c r="D216" s="5" t="e">
        <f ca="1">IF(OR(INDEX($AI$2:$AI$1001,MATCH(ROWS($AH$2:AH216),$AH$2:$AH$1001,0),1)&gt;=100000,INDEX($AO$1005:$BQ$1005,1,MATCH(COLUMNS($AO$1006:AQ1006),$AO$1006:$BQ$1006,0))&gt;=100000), " ",IF(INDEX($AO$2:$BQ$1001,MATCH(ROWS($AH$2:AH216),$AH$2:$AH$1001,0),MATCH(COLUMNS($AO$1006:AQ1006),$AO$1006:$BQ$1006,0)), HYPERLINK("#",""), HYPERLINK(CONCATENATE("#Metadata!", ADDRESS(INDEX($AJ$2:$AJ$1001,MATCH(ROWS($AH$2:AH216),$AH$2:$AH$1001,0),0), INDEX($AO$1004:$BQ$1004,1,MATCH(COLUMNS($AO$1006:AQ1006),$AO$1006:$BQ$1006,0)))),"Fix")))</f>
        <v>#N/A</v>
      </c>
      <c r="E216" s="5" t="e">
        <f ca="1">IF(OR(INDEX($AI$2:$AI$1001,MATCH(ROWS($AH$2:AH216),$AH$2:$AH$1001,0),1)&gt;=100000,INDEX($AO$1005:$BQ$1005,1,MATCH(COLUMNS($AO$1006:AR1006),$AO$1006:$BQ$1006,0))&gt;=100000), " ",IF(INDEX($AO$2:$BQ$1001,MATCH(ROWS($AH$2:AH216),$AH$2:$AH$1001,0),MATCH(COLUMNS($AO$1006:AR1006),$AO$1006:$BQ$1006,0)), HYPERLINK("#",""), HYPERLINK(CONCATENATE("#Metadata!", ADDRESS(INDEX($AJ$2:$AJ$1001,MATCH(ROWS($AH$2:AH216),$AH$2:$AH$1001,0),0), INDEX($AO$1004:$BQ$1004,1,MATCH(COLUMNS($AO$1006:AR1006),$AO$1006:$BQ$1006,0)))),"Fix")))</f>
        <v>#N/A</v>
      </c>
      <c r="F216" s="5" t="e">
        <f ca="1">IF(OR(INDEX($AI$2:$AI$1001,MATCH(ROWS($AH$2:AH216),$AH$2:$AH$1001,0),1)&gt;=100000,INDEX($AO$1005:$BQ$1005,1,MATCH(COLUMNS($AO$1006:AS1006),$AO$1006:$BQ$1006,0))&gt;=100000), " ",IF(INDEX($AO$2:$BQ$1001,MATCH(ROWS($AH$2:AH216),$AH$2:$AH$1001,0),MATCH(COLUMNS($AO$1006:AS1006),$AO$1006:$BQ$1006,0)), HYPERLINK("#",""), HYPERLINK(CONCATENATE("#Metadata!", ADDRESS(INDEX($AJ$2:$AJ$1001,MATCH(ROWS($AH$2:AH216),$AH$2:$AH$1001,0),0), INDEX($AO$1004:$BQ$1004,1,MATCH(COLUMNS($AO$1006:AS1006),$AO$1006:$BQ$1006,0)))),"Fix")))</f>
        <v>#N/A</v>
      </c>
      <c r="G216" s="5" t="e">
        <f ca="1">IF(OR(INDEX($AI$2:$AI$1001,MATCH(ROWS($AH$2:AH216),$AH$2:$AH$1001,0),1)&gt;=100000,INDEX($AO$1005:$BQ$1005,1,MATCH(COLUMNS($AO$1006:AT1006),$AO$1006:$BQ$1006,0))&gt;=100000), " ",IF(INDEX($AO$2:$BQ$1001,MATCH(ROWS($AH$2:AH216),$AH$2:$AH$1001,0),MATCH(COLUMNS($AO$1006:AT1006),$AO$1006:$BQ$1006,0)), HYPERLINK("#",""), HYPERLINK(CONCATENATE("#Metadata!", ADDRESS(INDEX($AJ$2:$AJ$1001,MATCH(ROWS($AH$2:AH216),$AH$2:$AH$1001,0),0), INDEX($AO$1004:$BQ$1004,1,MATCH(COLUMNS($AO$1006:AT1006),$AO$1006:$BQ$1006,0)))),"Fix")))</f>
        <v>#N/A</v>
      </c>
      <c r="H216" s="5" t="e">
        <f ca="1">IF(OR(INDEX($AI$2:$AI$1001,MATCH(ROWS($AH$2:AH216),$AH$2:$AH$1001,0),1)&gt;=100000,INDEX($AO$1005:$BQ$1005,1,MATCH(COLUMNS($AO$1006:AU1006),$AO$1006:$BQ$1006,0))&gt;=100000), " ",IF(INDEX($AO$2:$BQ$1001,MATCH(ROWS($AH$2:AH216),$AH$2:$AH$1001,0),MATCH(COLUMNS($AO$1006:AU1006),$AO$1006:$BQ$1006,0)), HYPERLINK("#",""), HYPERLINK(CONCATENATE("#Metadata!", ADDRESS(INDEX($AJ$2:$AJ$1001,MATCH(ROWS($AH$2:AH216),$AH$2:$AH$1001,0),0), INDEX($AO$1004:$BQ$1004,1,MATCH(COLUMNS($AO$1006:AU1006),$AO$1006:$BQ$1006,0)))),"Fix")))</f>
        <v>#N/A</v>
      </c>
      <c r="I216" s="5" t="e">
        <f ca="1">IF(OR(INDEX($AI$2:$AI$1001,MATCH(ROWS($AH$2:AH216),$AH$2:$AH$1001,0),1)&gt;=100000,INDEX($AO$1005:$BQ$1005,1,MATCH(COLUMNS($AO$1006:AV1006),$AO$1006:$BQ$1006,0))&gt;=100000), " ",IF(INDEX($AO$2:$BQ$1001,MATCH(ROWS($AH$2:AH216),$AH$2:$AH$1001,0),MATCH(COLUMNS($AO$1006:AV1006),$AO$1006:$BQ$1006,0)), HYPERLINK("#",""), HYPERLINK(CONCATENATE("#Metadata!", ADDRESS(INDEX($AJ$2:$AJ$1001,MATCH(ROWS($AH$2:AH216),$AH$2:$AH$1001,0),0), INDEX($AO$1004:$BQ$1004,1,MATCH(COLUMNS($AO$1006:AV1006),$AO$1006:$BQ$1006,0)))),"Fix")))</f>
        <v>#N/A</v>
      </c>
      <c r="J216" s="5" t="e">
        <f ca="1">IF(OR(INDEX($AI$2:$AI$1001,MATCH(ROWS($AH$2:AH216),$AH$2:$AH$1001,0),1)&gt;=100000,INDEX($AO$1005:$BQ$1005,1,MATCH(COLUMNS($AO$1006:AW1006),$AO$1006:$BQ$1006,0))&gt;=100000), " ",IF(INDEX($AO$2:$BQ$1001,MATCH(ROWS($AH$2:AH216),$AH$2:$AH$1001,0),MATCH(COLUMNS($AO$1006:AW1006),$AO$1006:$BQ$1006,0)), HYPERLINK("#",""), HYPERLINK(CONCATENATE("#Metadata!", ADDRESS(INDEX($AJ$2:$AJ$1001,MATCH(ROWS($AH$2:AH216),$AH$2:$AH$1001,0),0), INDEX($AO$1004:$BQ$1004,1,MATCH(COLUMNS($AO$1006:AW1006),$AO$1006:$BQ$1006,0)))),"Fix")))</f>
        <v>#N/A</v>
      </c>
      <c r="K216" s="5" t="e">
        <f ca="1">IF(OR(INDEX($AI$2:$AI$1001,MATCH(ROWS($AH$2:AH216),$AH$2:$AH$1001,0),1)&gt;=100000,INDEX($AO$1005:$BQ$1005,1,MATCH(COLUMNS($AO$1006:AX1006),$AO$1006:$BQ$1006,0))&gt;=100000), " ",IF(INDEX($AO$2:$BQ$1001,MATCH(ROWS($AH$2:AH216),$AH$2:$AH$1001,0),MATCH(COLUMNS($AO$1006:AX1006),$AO$1006:$BQ$1006,0)), HYPERLINK("#",""), HYPERLINK(CONCATENATE("#Metadata!", ADDRESS(INDEX($AJ$2:$AJ$1001,MATCH(ROWS($AH$2:AH216),$AH$2:$AH$1001,0),0), INDEX($AO$1004:$BQ$1004,1,MATCH(COLUMNS($AO$1006:AX1006),$AO$1006:$BQ$1006,0)))),"Fix")))</f>
        <v>#N/A</v>
      </c>
      <c r="L216" s="5" t="e">
        <f ca="1">IF(OR(INDEX($AI$2:$AI$1001,MATCH(ROWS($AH$2:AH216),$AH$2:$AH$1001,0),1)&gt;=100000,INDEX($AO$1005:$BQ$1005,1,MATCH(COLUMNS($AO$1006:AY1006),$AO$1006:$BQ$1006,0))&gt;=100000), " ",IF(INDEX($AO$2:$BQ$1001,MATCH(ROWS($AH$2:AH216),$AH$2:$AH$1001,0),MATCH(COLUMNS($AO$1006:AY1006),$AO$1006:$BQ$1006,0)), HYPERLINK("#",""), HYPERLINK(CONCATENATE("#Metadata!", ADDRESS(INDEX($AJ$2:$AJ$1001,MATCH(ROWS($AH$2:AH216),$AH$2:$AH$1001,0),0), INDEX($AO$1004:$BQ$1004,1,MATCH(COLUMNS($AO$1006:AY1006),$AO$1006:$BQ$1006,0)))),"Fix")))</f>
        <v>#N/A</v>
      </c>
      <c r="M216" s="5" t="e">
        <f ca="1">IF(OR(INDEX($AI$2:$AI$1001,MATCH(ROWS($AH$2:AH216),$AH$2:$AH$1001,0),1)&gt;=100000,INDEX($AO$1005:$BQ$1005,1,MATCH(COLUMNS($AO$1006:AZ1006),$AO$1006:$BQ$1006,0))&gt;=100000), " ",IF(INDEX($AO$2:$BQ$1001,MATCH(ROWS($AH$2:AH216),$AH$2:$AH$1001,0),MATCH(COLUMNS($AO$1006:AZ1006),$AO$1006:$BQ$1006,0)), HYPERLINK("#",""), HYPERLINK(CONCATENATE("#Metadata!", ADDRESS(INDEX($AJ$2:$AJ$1001,MATCH(ROWS($AH$2:AH216),$AH$2:$AH$1001,0),0), INDEX($AO$1004:$BQ$1004,1,MATCH(COLUMNS($AO$1006:AZ1006),$AO$1006:$BQ$1006,0)))),"Fix")))</f>
        <v>#N/A</v>
      </c>
      <c r="N216" s="5" t="e">
        <f ca="1">IF(OR(INDEX($AI$2:$AI$1001,MATCH(ROWS($AH$2:AH216),$AH$2:$AH$1001,0),1)&gt;=100000,INDEX($AO$1005:$BQ$1005,1,MATCH(COLUMNS($AO$1006:BA1006),$AO$1006:$BQ$1006,0))&gt;=100000), " ",IF(INDEX($AO$2:$BQ$1001,MATCH(ROWS($AH$2:AH216),$AH$2:$AH$1001,0),MATCH(COLUMNS($AO$1006:BA1006),$AO$1006:$BQ$1006,0)), HYPERLINK("#",""), HYPERLINK(CONCATENATE("#Metadata!", ADDRESS(INDEX($AJ$2:$AJ$1001,MATCH(ROWS($AH$2:AH216),$AH$2:$AH$1001,0),0), INDEX($AO$1004:$BQ$1004,1,MATCH(COLUMNS($AO$1006:BA1006),$AO$1006:$BQ$1006,0)))),"Fix")))</f>
        <v>#N/A</v>
      </c>
      <c r="O216" s="5" t="e">
        <f ca="1">IF(OR(INDEX($AI$2:$AI$1001,MATCH(ROWS($AH$2:AH216),$AH$2:$AH$1001,0),1)&gt;=100000,INDEX($AO$1005:$BQ$1005,1,MATCH(COLUMNS($AO$1006:BB1006),$AO$1006:$BQ$1006,0))&gt;=100000), " ",IF(INDEX($AO$2:$BQ$1001,MATCH(ROWS($AH$2:AH216),$AH$2:$AH$1001,0),MATCH(COLUMNS($AO$1006:BB1006),$AO$1006:$BQ$1006,0)), HYPERLINK("#",""), HYPERLINK(CONCATENATE("#Metadata!", ADDRESS(INDEX($AJ$2:$AJ$1001,MATCH(ROWS($AH$2:AH216),$AH$2:$AH$1001,0),0), INDEX($AO$1004:$BQ$1004,1,MATCH(COLUMNS($AO$1006:BB1006),$AO$1006:$BQ$1006,0)))),"Fix")))</f>
        <v>#N/A</v>
      </c>
      <c r="P216" s="5" t="e">
        <f ca="1">IF(OR(INDEX($AI$2:$AI$1001,MATCH(ROWS($AH$2:AH216),$AH$2:$AH$1001,0),1)&gt;=100000,INDEX($AO$1005:$BQ$1005,1,MATCH(COLUMNS($AO$1006:BC1006),$AO$1006:$BQ$1006,0))&gt;=100000), " ",IF(INDEX($AO$2:$BQ$1001,MATCH(ROWS($AH$2:AH216),$AH$2:$AH$1001,0),MATCH(COLUMNS($AO$1006:BC1006),$AO$1006:$BQ$1006,0)), HYPERLINK("#",""), HYPERLINK(CONCATENATE("#Metadata!", ADDRESS(INDEX($AJ$2:$AJ$1001,MATCH(ROWS($AH$2:AH216),$AH$2:$AH$1001,0),0), INDEX($AO$1004:$BQ$1004,1,MATCH(COLUMNS($AO$1006:BC1006),$AO$1006:$BQ$1006,0)))),"Fix")))</f>
        <v>#N/A</v>
      </c>
      <c r="Q216" s="5" t="e">
        <f ca="1">IF(OR(INDEX($AI$2:$AI$1001,MATCH(ROWS($AH$2:AH216),$AH$2:$AH$1001,0),1)&gt;=100000,INDEX($AO$1005:$BQ$1005,1,MATCH(COLUMNS($AO$1006:BD1006),$AO$1006:$BQ$1006,0))&gt;=100000), " ",IF(INDEX($AO$2:$BQ$1001,MATCH(ROWS($AH$2:AH216),$AH$2:$AH$1001,0),MATCH(COLUMNS($AO$1006:BD1006),$AO$1006:$BQ$1006,0)), HYPERLINK("#",""), HYPERLINK(CONCATENATE("#Metadata!", ADDRESS(INDEX($AJ$2:$AJ$1001,MATCH(ROWS($AH$2:AH216),$AH$2:$AH$1001,0),0), INDEX($AO$1004:$BQ$1004,1,MATCH(COLUMNS($AO$1006:BD1006),$AO$1006:$BQ$1006,0)))),"Fix")))</f>
        <v>#N/A</v>
      </c>
      <c r="R216" s="5" t="e">
        <f ca="1">IF(OR(INDEX($AI$2:$AI$1001,MATCH(ROWS($AH$2:AH216),$AH$2:$AH$1001,0),1)&gt;=100000,INDEX($AO$1005:$BQ$1005,1,MATCH(COLUMNS($AO$1006:BE1006),$AO$1006:$BQ$1006,0))&gt;=100000), " ",IF(INDEX($AO$2:$BQ$1001,MATCH(ROWS($AH$2:AH216),$AH$2:$AH$1001,0),MATCH(COLUMNS($AO$1006:BE1006),$AO$1006:$BQ$1006,0)), HYPERLINK("#",""), HYPERLINK(CONCATENATE("#Metadata!", ADDRESS(INDEX($AJ$2:$AJ$1001,MATCH(ROWS($AH$2:AH216),$AH$2:$AH$1001,0),0), INDEX($AO$1004:$BQ$1004,1,MATCH(COLUMNS($AO$1006:BE1006),$AO$1006:$BQ$1006,0)))),"Fix")))</f>
        <v>#N/A</v>
      </c>
      <c r="S216" s="5" t="e">
        <f ca="1">IF(OR(INDEX($AI$2:$AI$1001,MATCH(ROWS($AH$2:AH216),$AH$2:$AH$1001,0),1)&gt;=100000,INDEX($AO$1005:$BQ$1005,1,MATCH(COLUMNS($AO$1006:BF1006),$AO$1006:$BQ$1006,0))&gt;=100000), " ",IF(INDEX($AO$2:$BQ$1001,MATCH(ROWS($AH$2:AH216),$AH$2:$AH$1001,0),MATCH(COLUMNS($AO$1006:BF1006),$AO$1006:$BQ$1006,0)), HYPERLINK("#",""), HYPERLINK(CONCATENATE("#Metadata!", ADDRESS(INDEX($AJ$2:$AJ$1001,MATCH(ROWS($AH$2:AH216),$AH$2:$AH$1001,0),0), INDEX($AO$1004:$BQ$1004,1,MATCH(COLUMNS($AO$1006:BF1006),$AO$1006:$BQ$1006,0)))),"Fix")))</f>
        <v>#N/A</v>
      </c>
      <c r="T216" s="5" t="e">
        <f ca="1">IF(OR(INDEX($AI$2:$AI$1001,MATCH(ROWS($AH$2:AH216),$AH$2:$AH$1001,0),1)&gt;=100000,INDEX($AO$1005:$BQ$1005,1,MATCH(COLUMNS($AO$1006:BG1006),$AO$1006:$BQ$1006,0))&gt;=100000), " ",IF(INDEX($AO$2:$BQ$1001,MATCH(ROWS($AH$2:AH216),$AH$2:$AH$1001,0),MATCH(COLUMNS($AO$1006:BG1006),$AO$1006:$BQ$1006,0)), HYPERLINK("#",""), HYPERLINK(CONCATENATE("#Metadata!", ADDRESS(INDEX($AJ$2:$AJ$1001,MATCH(ROWS($AH$2:AH216),$AH$2:$AH$1001,0),0), INDEX($AO$1004:$BQ$1004,1,MATCH(COLUMNS($AO$1006:BG1006),$AO$1006:$BQ$1006,0)))),"Fix")))</f>
        <v>#N/A</v>
      </c>
      <c r="U216" s="5" t="e">
        <f ca="1">IF(OR(INDEX($AI$2:$AI$1001,MATCH(ROWS($AH$2:AH216),$AH$2:$AH$1001,0),1)&gt;=100000,INDEX($AO$1005:$BQ$1005,1,MATCH(COLUMNS($AO$1006:BH1006),$AO$1006:$BQ$1006,0))&gt;=100000), " ",IF(INDEX($AO$2:$BQ$1001,MATCH(ROWS($AH$2:AH216),$AH$2:$AH$1001,0),MATCH(COLUMNS($AO$1006:BH1006),$AO$1006:$BQ$1006,0)), HYPERLINK("#",""), HYPERLINK(CONCATENATE("#Metadata!", ADDRESS(INDEX($AJ$2:$AJ$1001,MATCH(ROWS($AH$2:AH216),$AH$2:$AH$1001,0),0), INDEX($AO$1004:$BQ$1004,1,MATCH(COLUMNS($AO$1006:BH1006),$AO$1006:$BQ$1006,0)))),"Fix")))</f>
        <v>#N/A</v>
      </c>
      <c r="V216" s="5" t="e">
        <f ca="1">IF(OR(INDEX($AI$2:$AI$1001,MATCH(ROWS($AH$2:AH216),$AH$2:$AH$1001,0),1)&gt;=100000,INDEX($AO$1005:$BQ$1005,1,MATCH(COLUMNS($AO$1006:BI1006),$AO$1006:$BQ$1006,0))&gt;=100000), " ",IF(INDEX($AO$2:$BQ$1001,MATCH(ROWS($AH$2:AH216),$AH$2:$AH$1001,0),MATCH(COLUMNS($AO$1006:BI1006),$AO$1006:$BQ$1006,0)), HYPERLINK("#",""), HYPERLINK(CONCATENATE("#Metadata!", ADDRESS(INDEX($AJ$2:$AJ$1001,MATCH(ROWS($AH$2:AH216),$AH$2:$AH$1001,0),0), INDEX($AO$1004:$BQ$1004,1,MATCH(COLUMNS($AO$1006:BI1006),$AO$1006:$BQ$1006,0)))),"Fix")))</f>
        <v>#N/A</v>
      </c>
      <c r="W216" s="5" t="e">
        <f ca="1">IF(OR(INDEX($AI$2:$AI$1001,MATCH(ROWS($AH$2:AH216),$AH$2:$AH$1001,0),1)&gt;=100000,INDEX($AO$1005:$BQ$1005,1,MATCH(COLUMNS($AO$1006:BJ1006),$AO$1006:$BQ$1006,0))&gt;=100000), " ",IF(INDEX($AO$2:$BQ$1001,MATCH(ROWS($AH$2:AH216),$AH$2:$AH$1001,0),MATCH(COLUMNS($AO$1006:BJ1006),$AO$1006:$BQ$1006,0)), HYPERLINK("#",""), HYPERLINK(CONCATENATE("#Metadata!", ADDRESS(INDEX($AJ$2:$AJ$1001,MATCH(ROWS($AH$2:AH216),$AH$2:$AH$1001,0),0), INDEX($AO$1004:$BQ$1004,1,MATCH(COLUMNS($AO$1006:BJ1006),$AO$1006:$BQ$1006,0)))),"Fix")))</f>
        <v>#N/A</v>
      </c>
      <c r="X216" s="5" t="e">
        <f ca="1">IF(OR(INDEX($AI$2:$AI$1001,MATCH(ROWS($AH$2:AH216),$AH$2:$AH$1001,0),1)&gt;=100000,INDEX($AO$1005:$BQ$1005,1,MATCH(COLUMNS($AO$1006:BK1006),$AO$1006:$BQ$1006,0))&gt;=100000), " ",IF(INDEX($AO$2:$BQ$1001,MATCH(ROWS($AH$2:AH216),$AH$2:$AH$1001,0),MATCH(COLUMNS($AO$1006:BK1006),$AO$1006:$BQ$1006,0)), HYPERLINK("#",""), HYPERLINK(CONCATENATE("#Metadata!", ADDRESS(INDEX($AJ$2:$AJ$1001,MATCH(ROWS($AH$2:AH216),$AH$2:$AH$1001,0),0), INDEX($AO$1004:$BQ$1004,1,MATCH(COLUMNS($AO$1006:BK1006),$AO$1006:$BQ$1006,0)))),"Fix")))</f>
        <v>#N/A</v>
      </c>
      <c r="Y216" s="5" t="e">
        <f ca="1">IF(OR(INDEX($AI$2:$AI$1001,MATCH(ROWS($AH$2:AH216),$AH$2:$AH$1001,0),1)&gt;=100000,INDEX($AO$1005:$BQ$1005,1,MATCH(COLUMNS($AO$1006:BL1006),$AO$1006:$BQ$1006,0))&gt;=100000), " ",IF(INDEX($AO$2:$BQ$1001,MATCH(ROWS($AH$2:AH216),$AH$2:$AH$1001,0),MATCH(COLUMNS($AO$1006:BL1006),$AO$1006:$BQ$1006,0)), HYPERLINK("#",""), HYPERLINK(CONCATENATE("#Metadata!", ADDRESS(INDEX($AJ$2:$AJ$1001,MATCH(ROWS($AH$2:AH216),$AH$2:$AH$1001,0),0), INDEX($AO$1004:$BQ$1004,1,MATCH(COLUMNS($AO$1006:BL1006),$AO$1006:$BQ$1006,0)))),"Fix")))</f>
        <v>#N/A</v>
      </c>
      <c r="Z216" s="5" t="e">
        <f ca="1">IF(OR(INDEX($AI$2:$AI$1001,MATCH(ROWS($AH$2:AH216),$AH$2:$AH$1001,0),1)&gt;=100000,INDEX($AO$1005:$BQ$1005,1,MATCH(COLUMNS($AO$1006:BM1006),$AO$1006:$BQ$1006,0))&gt;=100000), " ",IF(INDEX($AO$2:$BQ$1001,MATCH(ROWS($AH$2:AH216),$AH$2:$AH$1001,0),MATCH(COLUMNS($AO$1006:BM1006),$AO$1006:$BQ$1006,0)), HYPERLINK("#",""), HYPERLINK(CONCATENATE("#Metadata!", ADDRESS(INDEX($AJ$2:$AJ$1001,MATCH(ROWS($AH$2:AH216),$AH$2:$AH$1001,0),0), INDEX($AO$1004:$BQ$1004,1,MATCH(COLUMNS($AO$1006:BM1006),$AO$1006:$BQ$1006,0)))),"Fix")))</f>
        <v>#N/A</v>
      </c>
      <c r="AA216" s="5" t="e">
        <f ca="1">IF(OR(INDEX($AI$2:$AI$1001,MATCH(ROWS($AH$2:AH216),$AH$2:$AH$1001,0),1)&gt;=100000,INDEX($AO$1005:$BQ$1005,1,MATCH(COLUMNS($AO$1006:BN1006),$AO$1006:$BQ$1006,0))&gt;=100000), " ",IF(INDEX($AO$2:$BQ$1001,MATCH(ROWS($AH$2:AH216),$AH$2:$AH$1001,0),MATCH(COLUMNS($AO$1006:BN1006),$AO$1006:$BQ$1006,0)), HYPERLINK("#",""), HYPERLINK(CONCATENATE("#Metadata!", ADDRESS(INDEX($AJ$2:$AJ$1001,MATCH(ROWS($AH$2:AH216),$AH$2:$AH$1001,0),0), INDEX($AO$1004:$BQ$1004,1,MATCH(COLUMNS($AO$1006:BN1006),$AO$1006:$BQ$1006,0)))),"Fix")))</f>
        <v>#N/A</v>
      </c>
      <c r="AB216" s="5" t="e">
        <f ca="1">IF(OR(INDEX($AI$2:$AI$1001,MATCH(ROWS($AH$2:AH216),$AH$2:$AH$1001,0),1)&gt;=100000,INDEX($AO$1005:$BQ$1005,1,MATCH(COLUMNS($AO$1006:BO1006),$AO$1006:$BQ$1006,0))&gt;=100000), " ",IF(INDEX($AO$2:$BQ$1001,MATCH(ROWS($AH$2:AH216),$AH$2:$AH$1001,0),MATCH(COLUMNS($AO$1006:BO1006),$AO$1006:$BQ$1006,0)), HYPERLINK("#",""), HYPERLINK(CONCATENATE("#Metadata!", ADDRESS(INDEX($AJ$2:$AJ$1001,MATCH(ROWS($AH$2:AH216),$AH$2:$AH$1001,0),0), INDEX($AO$1004:$BQ$1004,1,MATCH(COLUMNS($AO$1006:BO1006),$AO$1006:$BQ$1006,0)))),"Fix")))</f>
        <v>#N/A</v>
      </c>
      <c r="AC216" s="5" t="e">
        <f ca="1">IF(OR(INDEX($AI$2:$AI$1001,MATCH(ROWS($AH$2:AH216),$AH$2:$AH$1001,0),1)&gt;=100000,INDEX($AO$1005:$BQ$1005,1,MATCH(COLUMNS($AO$1006:BP1006),$AO$1006:$BQ$1006,0))&gt;=100000), " ",IF(INDEX($AO$2:$BQ$1001,MATCH(ROWS($AH$2:AH216),$AH$2:$AH$1001,0),MATCH(COLUMNS($AO$1006:BP1006),$AO$1006:$BQ$1006,0)), HYPERLINK("#",""), HYPERLINK(CONCATENATE("#Metadata!", ADDRESS(INDEX($AJ$2:$AJ$1001,MATCH(ROWS($AH$2:AH216),$AH$2:$AH$1001,0),0), INDEX($AO$1004:$BQ$1004,1,MATCH(COLUMNS($AO$1006:BP1006),$AO$1006:$BQ$1006,0)))),"Fix")))</f>
        <v>#N/A</v>
      </c>
      <c r="AD216" s="5" t="e">
        <f ca="1">IF(OR(INDEX($AI$2:$AI$1001,MATCH(ROWS($AH$2:AH216),$AH$2:$AH$1001,0),1)&gt;=100000,INDEX($AO$1005:$BQ$1005,1,MATCH(COLUMNS($AO$1006:BQ1006),$AO$1006:$BQ$1006,0))&gt;=100000), " ",IF(INDEX($AO$2:$BQ$1001,MATCH(ROWS($AH$2:AH216),$AH$2:$AH$1001,0),MATCH(COLUMNS($AO$1006:BQ1006),$AO$1006:$BQ$1006,0)), HYPERLINK("#",""), HYPERLINK(CONCATENATE("#Metadata!", ADDRESS(INDEX($AJ$2:$AJ$1001,MATCH(ROWS($AH$2:AH216),$AH$2:$AH$1001,0),0), INDEX($AO$1004:$BQ$1004,1,MATCH(COLUMNS($AO$1006:BQ1006),$AO$1006:$BQ$1006,0)))),"Fix")))</f>
        <v>#REF!</v>
      </c>
      <c r="AH216">
        <f ca="1"/>
        <v>213</v>
      </c>
      <c r="AI216">
        <v>100216</v>
      </c>
      <c r="AJ216">
        <v>216</v>
      </c>
      <c r="AK216" t="b">
        <f t="shared" si="3"/>
        <v>1</v>
      </c>
      <c r="AL216" t="b">
        <f>COUNTBLANK(Metadata!B216:AD216)=COLUMNS(Metadata!B216:AD216)</f>
        <v>1</v>
      </c>
      <c r="AM216" t="str">
        <v/>
      </c>
      <c r="AO216" t="b">
        <f ca="1">AND(IF(Metadata!B216="",FALSE,TRUE),COUNTIF(Metadata!B:B, Metadata!B216) = 1,NOT(ISERROR(SUMPRODUCT(SEARCH(MID(Metadata!B216,ROW(INDIRECT("1:"&amp;LEN(Metadata!B216))), 1),"0123456789abcdefghijklmnopqrstuvwxyzABCDEFGHIJKLMNOPQRSTUVWXYZ.")))))</f>
        <v>0</v>
      </c>
      <c r="AP216" t="b">
        <f>IF(Metadata!C216="",FALSE,TRUE)</f>
        <v>0</v>
      </c>
      <c r="AQ216" t="b">
        <f>IF(Metadata!D216="",FALSE,TRUE)</f>
        <v>0</v>
      </c>
      <c r="AR216" t="b">
        <f ca="1">OR(AND(IF(Metadata!E216="",FALSE,TRUE),OR(EXACT(Metadata!E216,"not collected"),EXACT(Metadata!E216,"not provided"),EXACT(Metadata!E216,"restricted access"))),AND(IF(Metadata!E216="",FALSE,TRUE),AND(AND(IFERROR(INT(LEFT(Metadata!E216,4))&gt;1900,FALSE),IFERROR(INT(LEFT(Metadata!E216,4))&lt;=YEAR(NOW()),FALSE)), OR(MID(Metadata!E216,5,1)="", AND(AND(MID(Metadata!E216,5,1)="-",IFERROR(INT(MID(Metadata!E216,6,1))&gt;=0,FALSE),IFERROR(INT(MID(Metadata!E216,6,1))&lt;=1,FALSE),NOT(MID(Metadata!E216,7,1)=""),IFERROR(INT(MID(Metadata!E216,6,2))&gt;=1,FALSE),IFERROR(INT(MID(Metadata!E216,6,2))&lt;=12,FALSE)), OR(MID(Metadata!E216,8,1)="", AND(AND(MID(Metadata!E216,8,1)="-",IFERROR(INT(MID(Metadata!E216,9,1))&gt;=0,FALSE),IFERROR(INT(MID(Metadata!E216,9,1))&lt;=3,FALSE),NOT(MID(Metadata!E216,10,1)=""),IFERROR(INT(MID(Metadata!E216,9,2))&gt;=1,FALSE),IFERROR(INT(MID(Metadata!E216,9,2))&lt;=31,FALSE)), OR(MID(Metadata!E216,11,1)="", AND(AND(MID(Metadata!E216,11,1)=" ",IFERROR(INT(MID(Metadata!E216,12,1))&gt;=0,FALSE),IFERROR(INT(MID(Metadata!E216,12,1))&lt;=2,FALSE),NOT(MID(Metadata!E216,13,1)=""),IFERROR(INT(MID(Metadata!E216,12,2))&gt;=0,FALSE),IFERROR(INT(MID(Metadata!E216,12,2))&lt;=23,FALSE)), OR(MID(Metadata!E216,14,1)="", AND(AND(MID(Metadata!E216,14,1)=":",IFERROR(INT(MID(Metadata!E216,15,1))&gt;=0,FALSE),IFERROR(INT(MID(Metadata!E216,15,1))&lt;=5,FALSE),NOT(MID(Metadata!E216,16,1)=""),IFERROR(INT(MID(Metadata!E216,15,2))&gt;=0,FALSE),IFERROR(INT(MID(Metadata!E216,15,2))&lt;=59,FALSE)), OR(MID(Metadata!E216,17,1)="", AND(AND(MID(Metadata!E216,17,1)=":",IFERROR(INT(MID(Metadata!E216,18,1))&gt;=0,FALSE),IFERROR(INT(MID(Metadata!E216,18,1))&lt;=5,FALSE),NOT(MID(Metadata!E216,19,1)=""),IFERROR(INT(MID(Metadata!E216,18,2))&gt;=0,FALSE),IFERROR(INT(MID(Metadata!E216,18,2))&lt;=59,FALSE)), LEN(Metadata!E216)&lt;=19)))))))))))))</f>
        <v>0</v>
      </c>
      <c r="AS216" t="b">
        <f>IF(Metadata!F216="",FALSE,TRUE)</f>
        <v>0</v>
      </c>
      <c r="AT216" t="b">
        <f>OR(AND(IF(Metadata!G216="",FALSE,TRUE),OR(EXACT(Metadata!G216,"not collected"),EXACT(Metadata!G216,"not provided"))),AND(IF(Metadata!G216="",FALSE,TRUE),OR(EXACT(Metadata!G216,"TRUE"),EXACT(Metadata!G216,"FALSE"))))</f>
        <v>0</v>
      </c>
      <c r="AU216" t="b">
        <f>OR(AND(IF(Metadata!H216="",FALSE,TRUE),OR(EXACT(Metadata!H216,"not collected"),EXACT(Metadata!H216,"not provided"),EXACT(Metadata!H216,"restricted access"))),AND(IF(Metadata!H216="",FALSE,ISNUMBER(VALUE(Metadata!H216))),Metadata!H216&gt;=-413))</f>
        <v>0</v>
      </c>
      <c r="AV216" t="b">
        <f>AND(IF(Metadata!I216="",FALSE,TRUE),EXACT(Metadata!I216,"meters"))</f>
        <v>0</v>
      </c>
      <c r="AW216" t="b">
        <f>AND(IF(Metadata!J216="",FALSE,TRUE),EXACT(Metadata!J216,"free-living"))</f>
        <v>0</v>
      </c>
      <c r="AX216" t="b">
        <f>AND(IF(Metadata!K216="",FALSE,TRUE),OR(EXACT(Metadata!K216,"saline"),EXACT(Metadata!K216,"non-saline")))</f>
        <v>0</v>
      </c>
      <c r="AY216" t="b">
        <f>AND(IF(Metadata!L216="",FALSE,TRUE),OR(EXACT(Metadata!L216,"sub-surface (non-saline)"),EXACT(Metadata!L216,"surface (non-saline)"),EXACT(Metadata!L216,"water (non-saline)"),EXACT(Metadata!L216,"soil (non-saline)"),EXACT(Metadata!L216,"aerosol (non-saline)"),EXACT(Metadata!L216,"sediment (non-saline)"),EXACT(Metadata!L216,"surface (saline)"),EXACT(Metadata!L216,"water (saline)"),EXACT(Metadata!L216,"hypersaline (saline)"),EXACT(Metadata!L216,"aerosol (saline)"),EXACT(Metadata!L216,"sediment (saline)")))</f>
        <v>0</v>
      </c>
      <c r="AZ216" t="b">
        <f>IF(Metadata!M216="",FALSE,TRUE)</f>
        <v>0</v>
      </c>
      <c r="BA216" t="b">
        <f>IF(Metadata!N216="",FALSE,TRUE)</f>
        <v>0</v>
      </c>
      <c r="BB216" t="b">
        <f>IF(Metadata!O216="",FALSE,TRUE)</f>
        <v>0</v>
      </c>
      <c r="BC216" t="b">
        <f>AND(IF(Metadata!P216="",FALSE,TRUE),OR(EXACT(Metadata!P216,"air"),EXACT(Metadata!P216,"microbial mat/biofilm"),EXACT(Metadata!P216,"misc environment"),EXACT(Metadata!P216,"sediment"),EXACT(Metadata!P216,"soil"),EXACT(Metadata!P216,"wastewater/sludge"),EXACT(Metadata!P216,"water")))</f>
        <v>0</v>
      </c>
      <c r="BD216" t="b">
        <f>IF(Metadata!Q216="",FALSE,TRUE)</f>
        <v>0</v>
      </c>
      <c r="BE216" t="b">
        <f>IF(Metadata!R216="",FALSE,TRUE)</f>
        <v>0</v>
      </c>
      <c r="BF216" t="b">
        <f>OR(AND(IF(Metadata!S216="",FALSE,TRUE),OR(EXACT(Metadata!S216,"not collected"),EXACT(Metadata!S216,"not provided"),EXACT(Metadata!S216,"restricted access"))),AND(IF(Metadata!S216="",FALSE,ISNUMBER(VALUE(Metadata!S216))),Metadata!S216&gt;=-90,Metadata!S216&lt;=90))</f>
        <v>0</v>
      </c>
      <c r="BG216" t="b">
        <f>AND(IF(Metadata!T216="",FALSE,TRUE),EXACT(Metadata!T216,"Decimal degrees"))</f>
        <v>0</v>
      </c>
      <c r="BH216" t="b">
        <f>OR(AND(IF(Metadata!U216="",FALSE,TRUE),OR(EXACT(Metadata!U216,"not applicable"),EXACT(Metadata!U216,"not collected"))),IF(Metadata!U216="",FALSE,TRUE))</f>
        <v>0</v>
      </c>
      <c r="BI216" t="b">
        <f>OR(AND(IF(Metadata!V216="",FALSE,TRUE),OR(EXACT(Metadata!V216,"not collected"),EXACT(Metadata!V216,"not provided"),EXACT(Metadata!V216,"restricted access"))),AND(IF(Metadata!V216="",FALSE,ISNUMBER(VALUE(Metadata!V216))),Metadata!V216&gt;=-180,Metadata!V216&lt;=180))</f>
        <v>0</v>
      </c>
      <c r="BJ216" t="b">
        <f>AND(IF(Metadata!W216="",FALSE,TRUE),EXACT(Metadata!W216,"Decimal degrees"))</f>
        <v>0</v>
      </c>
      <c r="BK216" t="b">
        <f>IF(Metadata!X216="",FALSE,TRUE)</f>
        <v>0</v>
      </c>
      <c r="BL216" t="b">
        <f>OR(AND(IF(Metadata!Y216="",FALSE,TRUE),OR(EXACT(Metadata!Y216,"not collected"),EXACT(Metadata!Y216,"not provided"),EXACT(Metadata!Y216,"restricted access"))),AND(IF(Metadata!Y216="",FALSE,TRUE),OR(EXACT(Metadata!Y216,"TRUE"),EXACT(Metadata!Y216,"FALSE"))))</f>
        <v>0</v>
      </c>
      <c r="BM216" t="b">
        <f>OR(AND(IF(Metadata!Z216="",FALSE,TRUE),EXACT(Metadata!Z216,"not applicable")),AND(IF(Metadata!Z216="",FALSE,TRUE),OR(EXACT(Metadata!Z216,"beer"),EXACT(Metadata!Z216,"cheese"),EXACT(Metadata!Z216,"fresh water"),EXACT(Metadata!Z216,"marine sediment"),EXACT(Metadata!Z216,"sea water"),EXACT(Metadata!Z216,"sediment"),EXACT(Metadata!Z216,"soil"),EXACT(Metadata!Z216,"waste water"))))</f>
        <v>0</v>
      </c>
      <c r="BN216" t="b">
        <f>AND(IF(Metadata!AA216="",FALSE,TRUE),EXACT(Metadata!AA216,"metagenome"))</f>
        <v>0</v>
      </c>
      <c r="BO216" t="b">
        <f>AND(IF(Metadata!AB216="",FALSE,TRUE),EXACT(Metadata!AB216,"256318"))</f>
        <v>0</v>
      </c>
      <c r="BP216" t="b">
        <f>IF(Metadata!AC216="",FALSE,TRUE)</f>
        <v>0</v>
      </c>
      <c r="BQ216" t="b">
        <f>IF(Metadata!AD216="",FALSE,TRUE)</f>
        <v>0</v>
      </c>
    </row>
    <row r="217" spans="1:69" x14ac:dyDescent="0.2">
      <c r="A217" s="4" t="e">
        <f ca="1">IF(B217=" "," ",HYPERLINK(CONCATENATE("#metadata!",ADDRESS(INDEX($AJ$2:$AJ$1001,MATCH(ROWS($AH$2:AH217),$AH$2:$AH$1001,0),0),2)),INDEX($AM$2:$AM$1001,MATCH(ROWS($AH$2:AH217),$AH$2:$AH$1001,0),0)))</f>
        <v>#N/A</v>
      </c>
      <c r="B217" s="5" t="e">
        <f ca="1">IF(OR(INDEX($AI$2:$AI$1001,MATCH(ROWS($AH$2:AH217),$AH$2:$AH$1001,0),1)&gt;=100000,INDEX($AO$1005:$BQ$1005,1,MATCH(COLUMNS($AO$1006:AO1006),$AO$1006:$BQ$1006,0))&gt;=100000), " ",IF(INDEX($AO$2:$BQ$1001,MATCH(ROWS($AH$2:AH217),$AH$2:$AH$1001,0),MATCH(COLUMNS($AO$1006:AO1006),$AO$1006:$BQ$1006,0)), HYPERLINK("#",""), HYPERLINK(CONCATENATE("#Metadata!", ADDRESS(INDEX($AJ$2:$AJ$1001,MATCH(ROWS($AH$2:AH217),$AH$2:$AH$1001,0),0), INDEX($AO$1004:$BQ$1004,1,MATCH(COLUMNS($AO$1006:AO1006),$AO$1006:$BQ$1006,0)))),"Fix")))</f>
        <v>#N/A</v>
      </c>
      <c r="C217" s="5" t="e">
        <f ca="1">IF(OR(INDEX($AI$2:$AI$1001,MATCH(ROWS($AH$2:AH217),$AH$2:$AH$1001,0),1)&gt;=100000,INDEX($AO$1005:$BQ$1005,1,MATCH(COLUMNS($AO$1006:AP1006),$AO$1006:$BQ$1006,0))&gt;=100000), " ",IF(INDEX($AO$2:$BQ$1001,MATCH(ROWS($AH$2:AH217),$AH$2:$AH$1001,0),MATCH(COLUMNS($AO$1006:AP1006),$AO$1006:$BQ$1006,0)), HYPERLINK("#",""), HYPERLINK(CONCATENATE("#Metadata!", ADDRESS(INDEX($AJ$2:$AJ$1001,MATCH(ROWS($AH$2:AH217),$AH$2:$AH$1001,0),0), INDEX($AO$1004:$BQ$1004,1,MATCH(COLUMNS($AO$1006:AP1006),$AO$1006:$BQ$1006,0)))),"Fix")))</f>
        <v>#N/A</v>
      </c>
      <c r="D217" s="5" t="e">
        <f ca="1">IF(OR(INDEX($AI$2:$AI$1001,MATCH(ROWS($AH$2:AH217),$AH$2:$AH$1001,0),1)&gt;=100000,INDEX($AO$1005:$BQ$1005,1,MATCH(COLUMNS($AO$1006:AQ1006),$AO$1006:$BQ$1006,0))&gt;=100000), " ",IF(INDEX($AO$2:$BQ$1001,MATCH(ROWS($AH$2:AH217),$AH$2:$AH$1001,0),MATCH(COLUMNS($AO$1006:AQ1006),$AO$1006:$BQ$1006,0)), HYPERLINK("#",""), HYPERLINK(CONCATENATE("#Metadata!", ADDRESS(INDEX($AJ$2:$AJ$1001,MATCH(ROWS($AH$2:AH217),$AH$2:$AH$1001,0),0), INDEX($AO$1004:$BQ$1004,1,MATCH(COLUMNS($AO$1006:AQ1006),$AO$1006:$BQ$1006,0)))),"Fix")))</f>
        <v>#N/A</v>
      </c>
      <c r="E217" s="5" t="e">
        <f ca="1">IF(OR(INDEX($AI$2:$AI$1001,MATCH(ROWS($AH$2:AH217),$AH$2:$AH$1001,0),1)&gt;=100000,INDEX($AO$1005:$BQ$1005,1,MATCH(COLUMNS($AO$1006:AR1006),$AO$1006:$BQ$1006,0))&gt;=100000), " ",IF(INDEX($AO$2:$BQ$1001,MATCH(ROWS($AH$2:AH217),$AH$2:$AH$1001,0),MATCH(COLUMNS($AO$1006:AR1006),$AO$1006:$BQ$1006,0)), HYPERLINK("#",""), HYPERLINK(CONCATENATE("#Metadata!", ADDRESS(INDEX($AJ$2:$AJ$1001,MATCH(ROWS($AH$2:AH217),$AH$2:$AH$1001,0),0), INDEX($AO$1004:$BQ$1004,1,MATCH(COLUMNS($AO$1006:AR1006),$AO$1006:$BQ$1006,0)))),"Fix")))</f>
        <v>#N/A</v>
      </c>
      <c r="F217" s="5" t="e">
        <f ca="1">IF(OR(INDEX($AI$2:$AI$1001,MATCH(ROWS($AH$2:AH217),$AH$2:$AH$1001,0),1)&gt;=100000,INDEX($AO$1005:$BQ$1005,1,MATCH(COLUMNS($AO$1006:AS1006),$AO$1006:$BQ$1006,0))&gt;=100000), " ",IF(INDEX($AO$2:$BQ$1001,MATCH(ROWS($AH$2:AH217),$AH$2:$AH$1001,0),MATCH(COLUMNS($AO$1006:AS1006),$AO$1006:$BQ$1006,0)), HYPERLINK("#",""), HYPERLINK(CONCATENATE("#Metadata!", ADDRESS(INDEX($AJ$2:$AJ$1001,MATCH(ROWS($AH$2:AH217),$AH$2:$AH$1001,0),0), INDEX($AO$1004:$BQ$1004,1,MATCH(COLUMNS($AO$1006:AS1006),$AO$1006:$BQ$1006,0)))),"Fix")))</f>
        <v>#N/A</v>
      </c>
      <c r="G217" s="5" t="e">
        <f ca="1">IF(OR(INDEX($AI$2:$AI$1001,MATCH(ROWS($AH$2:AH217),$AH$2:$AH$1001,0),1)&gt;=100000,INDEX($AO$1005:$BQ$1005,1,MATCH(COLUMNS($AO$1006:AT1006),$AO$1006:$BQ$1006,0))&gt;=100000), " ",IF(INDEX($AO$2:$BQ$1001,MATCH(ROWS($AH$2:AH217),$AH$2:$AH$1001,0),MATCH(COLUMNS($AO$1006:AT1006),$AO$1006:$BQ$1006,0)), HYPERLINK("#",""), HYPERLINK(CONCATENATE("#Metadata!", ADDRESS(INDEX($AJ$2:$AJ$1001,MATCH(ROWS($AH$2:AH217),$AH$2:$AH$1001,0),0), INDEX($AO$1004:$BQ$1004,1,MATCH(COLUMNS($AO$1006:AT1006),$AO$1006:$BQ$1006,0)))),"Fix")))</f>
        <v>#N/A</v>
      </c>
      <c r="H217" s="5" t="e">
        <f ca="1">IF(OR(INDEX($AI$2:$AI$1001,MATCH(ROWS($AH$2:AH217),$AH$2:$AH$1001,0),1)&gt;=100000,INDEX($AO$1005:$BQ$1005,1,MATCH(COLUMNS($AO$1006:AU1006),$AO$1006:$BQ$1006,0))&gt;=100000), " ",IF(INDEX($AO$2:$BQ$1001,MATCH(ROWS($AH$2:AH217),$AH$2:$AH$1001,0),MATCH(COLUMNS($AO$1006:AU1006),$AO$1006:$BQ$1006,0)), HYPERLINK("#",""), HYPERLINK(CONCATENATE("#Metadata!", ADDRESS(INDEX($AJ$2:$AJ$1001,MATCH(ROWS($AH$2:AH217),$AH$2:$AH$1001,0),0), INDEX($AO$1004:$BQ$1004,1,MATCH(COLUMNS($AO$1006:AU1006),$AO$1006:$BQ$1006,0)))),"Fix")))</f>
        <v>#N/A</v>
      </c>
      <c r="I217" s="5" t="e">
        <f ca="1">IF(OR(INDEX($AI$2:$AI$1001,MATCH(ROWS($AH$2:AH217),$AH$2:$AH$1001,0),1)&gt;=100000,INDEX($AO$1005:$BQ$1005,1,MATCH(COLUMNS($AO$1006:AV1006),$AO$1006:$BQ$1006,0))&gt;=100000), " ",IF(INDEX($AO$2:$BQ$1001,MATCH(ROWS($AH$2:AH217),$AH$2:$AH$1001,0),MATCH(COLUMNS($AO$1006:AV1006),$AO$1006:$BQ$1006,0)), HYPERLINK("#",""), HYPERLINK(CONCATENATE("#Metadata!", ADDRESS(INDEX($AJ$2:$AJ$1001,MATCH(ROWS($AH$2:AH217),$AH$2:$AH$1001,0),0), INDEX($AO$1004:$BQ$1004,1,MATCH(COLUMNS($AO$1006:AV1006),$AO$1006:$BQ$1006,0)))),"Fix")))</f>
        <v>#N/A</v>
      </c>
      <c r="J217" s="5" t="e">
        <f ca="1">IF(OR(INDEX($AI$2:$AI$1001,MATCH(ROWS($AH$2:AH217),$AH$2:$AH$1001,0),1)&gt;=100000,INDEX($AO$1005:$BQ$1005,1,MATCH(COLUMNS($AO$1006:AW1006),$AO$1006:$BQ$1006,0))&gt;=100000), " ",IF(INDEX($AO$2:$BQ$1001,MATCH(ROWS($AH$2:AH217),$AH$2:$AH$1001,0),MATCH(COLUMNS($AO$1006:AW1006),$AO$1006:$BQ$1006,0)), HYPERLINK("#",""), HYPERLINK(CONCATENATE("#Metadata!", ADDRESS(INDEX($AJ$2:$AJ$1001,MATCH(ROWS($AH$2:AH217),$AH$2:$AH$1001,0),0), INDEX($AO$1004:$BQ$1004,1,MATCH(COLUMNS($AO$1006:AW1006),$AO$1006:$BQ$1006,0)))),"Fix")))</f>
        <v>#N/A</v>
      </c>
      <c r="K217" s="5" t="e">
        <f ca="1">IF(OR(INDEX($AI$2:$AI$1001,MATCH(ROWS($AH$2:AH217),$AH$2:$AH$1001,0),1)&gt;=100000,INDEX($AO$1005:$BQ$1005,1,MATCH(COLUMNS($AO$1006:AX1006),$AO$1006:$BQ$1006,0))&gt;=100000), " ",IF(INDEX($AO$2:$BQ$1001,MATCH(ROWS($AH$2:AH217),$AH$2:$AH$1001,0),MATCH(COLUMNS($AO$1006:AX1006),$AO$1006:$BQ$1006,0)), HYPERLINK("#",""), HYPERLINK(CONCATENATE("#Metadata!", ADDRESS(INDEX($AJ$2:$AJ$1001,MATCH(ROWS($AH$2:AH217),$AH$2:$AH$1001,0),0), INDEX($AO$1004:$BQ$1004,1,MATCH(COLUMNS($AO$1006:AX1006),$AO$1006:$BQ$1006,0)))),"Fix")))</f>
        <v>#N/A</v>
      </c>
      <c r="L217" s="5" t="e">
        <f ca="1">IF(OR(INDEX($AI$2:$AI$1001,MATCH(ROWS($AH$2:AH217),$AH$2:$AH$1001,0),1)&gt;=100000,INDEX($AO$1005:$BQ$1005,1,MATCH(COLUMNS($AO$1006:AY1006),$AO$1006:$BQ$1006,0))&gt;=100000), " ",IF(INDEX($AO$2:$BQ$1001,MATCH(ROWS($AH$2:AH217),$AH$2:$AH$1001,0),MATCH(COLUMNS($AO$1006:AY1006),$AO$1006:$BQ$1006,0)), HYPERLINK("#",""), HYPERLINK(CONCATENATE("#Metadata!", ADDRESS(INDEX($AJ$2:$AJ$1001,MATCH(ROWS($AH$2:AH217),$AH$2:$AH$1001,0),0), INDEX($AO$1004:$BQ$1004,1,MATCH(COLUMNS($AO$1006:AY1006),$AO$1006:$BQ$1006,0)))),"Fix")))</f>
        <v>#N/A</v>
      </c>
      <c r="M217" s="5" t="e">
        <f ca="1">IF(OR(INDEX($AI$2:$AI$1001,MATCH(ROWS($AH$2:AH217),$AH$2:$AH$1001,0),1)&gt;=100000,INDEX($AO$1005:$BQ$1005,1,MATCH(COLUMNS($AO$1006:AZ1006),$AO$1006:$BQ$1006,0))&gt;=100000), " ",IF(INDEX($AO$2:$BQ$1001,MATCH(ROWS($AH$2:AH217),$AH$2:$AH$1001,0),MATCH(COLUMNS($AO$1006:AZ1006),$AO$1006:$BQ$1006,0)), HYPERLINK("#",""), HYPERLINK(CONCATENATE("#Metadata!", ADDRESS(INDEX($AJ$2:$AJ$1001,MATCH(ROWS($AH$2:AH217),$AH$2:$AH$1001,0),0), INDEX($AO$1004:$BQ$1004,1,MATCH(COLUMNS($AO$1006:AZ1006),$AO$1006:$BQ$1006,0)))),"Fix")))</f>
        <v>#N/A</v>
      </c>
      <c r="N217" s="5" t="e">
        <f ca="1">IF(OR(INDEX($AI$2:$AI$1001,MATCH(ROWS($AH$2:AH217),$AH$2:$AH$1001,0),1)&gt;=100000,INDEX($AO$1005:$BQ$1005,1,MATCH(COLUMNS($AO$1006:BA1006),$AO$1006:$BQ$1006,0))&gt;=100000), " ",IF(INDEX($AO$2:$BQ$1001,MATCH(ROWS($AH$2:AH217),$AH$2:$AH$1001,0),MATCH(COLUMNS($AO$1006:BA1006),$AO$1006:$BQ$1006,0)), HYPERLINK("#",""), HYPERLINK(CONCATENATE("#Metadata!", ADDRESS(INDEX($AJ$2:$AJ$1001,MATCH(ROWS($AH$2:AH217),$AH$2:$AH$1001,0),0), INDEX($AO$1004:$BQ$1004,1,MATCH(COLUMNS($AO$1006:BA1006),$AO$1006:$BQ$1006,0)))),"Fix")))</f>
        <v>#N/A</v>
      </c>
      <c r="O217" s="5" t="e">
        <f ca="1">IF(OR(INDEX($AI$2:$AI$1001,MATCH(ROWS($AH$2:AH217),$AH$2:$AH$1001,0),1)&gt;=100000,INDEX($AO$1005:$BQ$1005,1,MATCH(COLUMNS($AO$1006:BB1006),$AO$1006:$BQ$1006,0))&gt;=100000), " ",IF(INDEX($AO$2:$BQ$1001,MATCH(ROWS($AH$2:AH217),$AH$2:$AH$1001,0),MATCH(COLUMNS($AO$1006:BB1006),$AO$1006:$BQ$1006,0)), HYPERLINK("#",""), HYPERLINK(CONCATENATE("#Metadata!", ADDRESS(INDEX($AJ$2:$AJ$1001,MATCH(ROWS($AH$2:AH217),$AH$2:$AH$1001,0),0), INDEX($AO$1004:$BQ$1004,1,MATCH(COLUMNS($AO$1006:BB1006),$AO$1006:$BQ$1006,0)))),"Fix")))</f>
        <v>#N/A</v>
      </c>
      <c r="P217" s="5" t="e">
        <f ca="1">IF(OR(INDEX($AI$2:$AI$1001,MATCH(ROWS($AH$2:AH217),$AH$2:$AH$1001,0),1)&gt;=100000,INDEX($AO$1005:$BQ$1005,1,MATCH(COLUMNS($AO$1006:BC1006),$AO$1006:$BQ$1006,0))&gt;=100000), " ",IF(INDEX($AO$2:$BQ$1001,MATCH(ROWS($AH$2:AH217),$AH$2:$AH$1001,0),MATCH(COLUMNS($AO$1006:BC1006),$AO$1006:$BQ$1006,0)), HYPERLINK("#",""), HYPERLINK(CONCATENATE("#Metadata!", ADDRESS(INDEX($AJ$2:$AJ$1001,MATCH(ROWS($AH$2:AH217),$AH$2:$AH$1001,0),0), INDEX($AO$1004:$BQ$1004,1,MATCH(COLUMNS($AO$1006:BC1006),$AO$1006:$BQ$1006,0)))),"Fix")))</f>
        <v>#N/A</v>
      </c>
      <c r="Q217" s="5" t="e">
        <f ca="1">IF(OR(INDEX($AI$2:$AI$1001,MATCH(ROWS($AH$2:AH217),$AH$2:$AH$1001,0),1)&gt;=100000,INDEX($AO$1005:$BQ$1005,1,MATCH(COLUMNS($AO$1006:BD1006),$AO$1006:$BQ$1006,0))&gt;=100000), " ",IF(INDEX($AO$2:$BQ$1001,MATCH(ROWS($AH$2:AH217),$AH$2:$AH$1001,0),MATCH(COLUMNS($AO$1006:BD1006),$AO$1006:$BQ$1006,0)), HYPERLINK("#",""), HYPERLINK(CONCATENATE("#Metadata!", ADDRESS(INDEX($AJ$2:$AJ$1001,MATCH(ROWS($AH$2:AH217),$AH$2:$AH$1001,0),0), INDEX($AO$1004:$BQ$1004,1,MATCH(COLUMNS($AO$1006:BD1006),$AO$1006:$BQ$1006,0)))),"Fix")))</f>
        <v>#N/A</v>
      </c>
      <c r="R217" s="5" t="e">
        <f ca="1">IF(OR(INDEX($AI$2:$AI$1001,MATCH(ROWS($AH$2:AH217),$AH$2:$AH$1001,0),1)&gt;=100000,INDEX($AO$1005:$BQ$1005,1,MATCH(COLUMNS($AO$1006:BE1006),$AO$1006:$BQ$1006,0))&gt;=100000), " ",IF(INDEX($AO$2:$BQ$1001,MATCH(ROWS($AH$2:AH217),$AH$2:$AH$1001,0),MATCH(COLUMNS($AO$1006:BE1006),$AO$1006:$BQ$1006,0)), HYPERLINK("#",""), HYPERLINK(CONCATENATE("#Metadata!", ADDRESS(INDEX($AJ$2:$AJ$1001,MATCH(ROWS($AH$2:AH217),$AH$2:$AH$1001,0),0), INDEX($AO$1004:$BQ$1004,1,MATCH(COLUMNS($AO$1006:BE1006),$AO$1006:$BQ$1006,0)))),"Fix")))</f>
        <v>#N/A</v>
      </c>
      <c r="S217" s="5" t="e">
        <f ca="1">IF(OR(INDEX($AI$2:$AI$1001,MATCH(ROWS($AH$2:AH217),$AH$2:$AH$1001,0),1)&gt;=100000,INDEX($AO$1005:$BQ$1005,1,MATCH(COLUMNS($AO$1006:BF1006),$AO$1006:$BQ$1006,0))&gt;=100000), " ",IF(INDEX($AO$2:$BQ$1001,MATCH(ROWS($AH$2:AH217),$AH$2:$AH$1001,0),MATCH(COLUMNS($AO$1006:BF1006),$AO$1006:$BQ$1006,0)), HYPERLINK("#",""), HYPERLINK(CONCATENATE("#Metadata!", ADDRESS(INDEX($AJ$2:$AJ$1001,MATCH(ROWS($AH$2:AH217),$AH$2:$AH$1001,0),0), INDEX($AO$1004:$BQ$1004,1,MATCH(COLUMNS($AO$1006:BF1006),$AO$1006:$BQ$1006,0)))),"Fix")))</f>
        <v>#N/A</v>
      </c>
      <c r="T217" s="5" t="e">
        <f ca="1">IF(OR(INDEX($AI$2:$AI$1001,MATCH(ROWS($AH$2:AH217),$AH$2:$AH$1001,0),1)&gt;=100000,INDEX($AO$1005:$BQ$1005,1,MATCH(COLUMNS($AO$1006:BG1006),$AO$1006:$BQ$1006,0))&gt;=100000), " ",IF(INDEX($AO$2:$BQ$1001,MATCH(ROWS($AH$2:AH217),$AH$2:$AH$1001,0),MATCH(COLUMNS($AO$1006:BG1006),$AO$1006:$BQ$1006,0)), HYPERLINK("#",""), HYPERLINK(CONCATENATE("#Metadata!", ADDRESS(INDEX($AJ$2:$AJ$1001,MATCH(ROWS($AH$2:AH217),$AH$2:$AH$1001,0),0), INDEX($AO$1004:$BQ$1004,1,MATCH(COLUMNS($AO$1006:BG1006),$AO$1006:$BQ$1006,0)))),"Fix")))</f>
        <v>#N/A</v>
      </c>
      <c r="U217" s="5" t="e">
        <f ca="1">IF(OR(INDEX($AI$2:$AI$1001,MATCH(ROWS($AH$2:AH217),$AH$2:$AH$1001,0),1)&gt;=100000,INDEX($AO$1005:$BQ$1005,1,MATCH(COLUMNS($AO$1006:BH1006),$AO$1006:$BQ$1006,0))&gt;=100000), " ",IF(INDEX($AO$2:$BQ$1001,MATCH(ROWS($AH$2:AH217),$AH$2:$AH$1001,0),MATCH(COLUMNS($AO$1006:BH1006),$AO$1006:$BQ$1006,0)), HYPERLINK("#",""), HYPERLINK(CONCATENATE("#Metadata!", ADDRESS(INDEX($AJ$2:$AJ$1001,MATCH(ROWS($AH$2:AH217),$AH$2:$AH$1001,0),0), INDEX($AO$1004:$BQ$1004,1,MATCH(COLUMNS($AO$1006:BH1006),$AO$1006:$BQ$1006,0)))),"Fix")))</f>
        <v>#N/A</v>
      </c>
      <c r="V217" s="5" t="e">
        <f ca="1">IF(OR(INDEX($AI$2:$AI$1001,MATCH(ROWS($AH$2:AH217),$AH$2:$AH$1001,0),1)&gt;=100000,INDEX($AO$1005:$BQ$1005,1,MATCH(COLUMNS($AO$1006:BI1006),$AO$1006:$BQ$1006,0))&gt;=100000), " ",IF(INDEX($AO$2:$BQ$1001,MATCH(ROWS($AH$2:AH217),$AH$2:$AH$1001,0),MATCH(COLUMNS($AO$1006:BI1006),$AO$1006:$BQ$1006,0)), HYPERLINK("#",""), HYPERLINK(CONCATENATE("#Metadata!", ADDRESS(INDEX($AJ$2:$AJ$1001,MATCH(ROWS($AH$2:AH217),$AH$2:$AH$1001,0),0), INDEX($AO$1004:$BQ$1004,1,MATCH(COLUMNS($AO$1006:BI1006),$AO$1006:$BQ$1006,0)))),"Fix")))</f>
        <v>#N/A</v>
      </c>
      <c r="W217" s="5" t="e">
        <f ca="1">IF(OR(INDEX($AI$2:$AI$1001,MATCH(ROWS($AH$2:AH217),$AH$2:$AH$1001,0),1)&gt;=100000,INDEX($AO$1005:$BQ$1005,1,MATCH(COLUMNS($AO$1006:BJ1006),$AO$1006:$BQ$1006,0))&gt;=100000), " ",IF(INDEX($AO$2:$BQ$1001,MATCH(ROWS($AH$2:AH217),$AH$2:$AH$1001,0),MATCH(COLUMNS($AO$1006:BJ1006),$AO$1006:$BQ$1006,0)), HYPERLINK("#",""), HYPERLINK(CONCATENATE("#Metadata!", ADDRESS(INDEX($AJ$2:$AJ$1001,MATCH(ROWS($AH$2:AH217),$AH$2:$AH$1001,0),0), INDEX($AO$1004:$BQ$1004,1,MATCH(COLUMNS($AO$1006:BJ1006),$AO$1006:$BQ$1006,0)))),"Fix")))</f>
        <v>#N/A</v>
      </c>
      <c r="X217" s="5" t="e">
        <f ca="1">IF(OR(INDEX($AI$2:$AI$1001,MATCH(ROWS($AH$2:AH217),$AH$2:$AH$1001,0),1)&gt;=100000,INDEX($AO$1005:$BQ$1005,1,MATCH(COLUMNS($AO$1006:BK1006),$AO$1006:$BQ$1006,0))&gt;=100000), " ",IF(INDEX($AO$2:$BQ$1001,MATCH(ROWS($AH$2:AH217),$AH$2:$AH$1001,0),MATCH(COLUMNS($AO$1006:BK1006),$AO$1006:$BQ$1006,0)), HYPERLINK("#",""), HYPERLINK(CONCATENATE("#Metadata!", ADDRESS(INDEX($AJ$2:$AJ$1001,MATCH(ROWS($AH$2:AH217),$AH$2:$AH$1001,0),0), INDEX($AO$1004:$BQ$1004,1,MATCH(COLUMNS($AO$1006:BK1006),$AO$1006:$BQ$1006,0)))),"Fix")))</f>
        <v>#N/A</v>
      </c>
      <c r="Y217" s="5" t="e">
        <f ca="1">IF(OR(INDEX($AI$2:$AI$1001,MATCH(ROWS($AH$2:AH217),$AH$2:$AH$1001,0),1)&gt;=100000,INDEX($AO$1005:$BQ$1005,1,MATCH(COLUMNS($AO$1006:BL1006),$AO$1006:$BQ$1006,0))&gt;=100000), " ",IF(INDEX($AO$2:$BQ$1001,MATCH(ROWS($AH$2:AH217),$AH$2:$AH$1001,0),MATCH(COLUMNS($AO$1006:BL1006),$AO$1006:$BQ$1006,0)), HYPERLINK("#",""), HYPERLINK(CONCATENATE("#Metadata!", ADDRESS(INDEX($AJ$2:$AJ$1001,MATCH(ROWS($AH$2:AH217),$AH$2:$AH$1001,0),0), INDEX($AO$1004:$BQ$1004,1,MATCH(COLUMNS($AO$1006:BL1006),$AO$1006:$BQ$1006,0)))),"Fix")))</f>
        <v>#N/A</v>
      </c>
      <c r="Z217" s="5" t="e">
        <f ca="1">IF(OR(INDEX($AI$2:$AI$1001,MATCH(ROWS($AH$2:AH217),$AH$2:$AH$1001,0),1)&gt;=100000,INDEX($AO$1005:$BQ$1005,1,MATCH(COLUMNS($AO$1006:BM1006),$AO$1006:$BQ$1006,0))&gt;=100000), " ",IF(INDEX($AO$2:$BQ$1001,MATCH(ROWS($AH$2:AH217),$AH$2:$AH$1001,0),MATCH(COLUMNS($AO$1006:BM1006),$AO$1006:$BQ$1006,0)), HYPERLINK("#",""), HYPERLINK(CONCATENATE("#Metadata!", ADDRESS(INDEX($AJ$2:$AJ$1001,MATCH(ROWS($AH$2:AH217),$AH$2:$AH$1001,0),0), INDEX($AO$1004:$BQ$1004,1,MATCH(COLUMNS($AO$1006:BM1006),$AO$1006:$BQ$1006,0)))),"Fix")))</f>
        <v>#N/A</v>
      </c>
      <c r="AA217" s="5" t="e">
        <f ca="1">IF(OR(INDEX($AI$2:$AI$1001,MATCH(ROWS($AH$2:AH217),$AH$2:$AH$1001,0),1)&gt;=100000,INDEX($AO$1005:$BQ$1005,1,MATCH(COLUMNS($AO$1006:BN1006),$AO$1006:$BQ$1006,0))&gt;=100000), " ",IF(INDEX($AO$2:$BQ$1001,MATCH(ROWS($AH$2:AH217),$AH$2:$AH$1001,0),MATCH(COLUMNS($AO$1006:BN1006),$AO$1006:$BQ$1006,0)), HYPERLINK("#",""), HYPERLINK(CONCATENATE("#Metadata!", ADDRESS(INDEX($AJ$2:$AJ$1001,MATCH(ROWS($AH$2:AH217),$AH$2:$AH$1001,0),0), INDEX($AO$1004:$BQ$1004,1,MATCH(COLUMNS($AO$1006:BN1006),$AO$1006:$BQ$1006,0)))),"Fix")))</f>
        <v>#N/A</v>
      </c>
      <c r="AB217" s="5" t="e">
        <f ca="1">IF(OR(INDEX($AI$2:$AI$1001,MATCH(ROWS($AH$2:AH217),$AH$2:$AH$1001,0),1)&gt;=100000,INDEX($AO$1005:$BQ$1005,1,MATCH(COLUMNS($AO$1006:BO1006),$AO$1006:$BQ$1006,0))&gt;=100000), " ",IF(INDEX($AO$2:$BQ$1001,MATCH(ROWS($AH$2:AH217),$AH$2:$AH$1001,0),MATCH(COLUMNS($AO$1006:BO1006),$AO$1006:$BQ$1006,0)), HYPERLINK("#",""), HYPERLINK(CONCATENATE("#Metadata!", ADDRESS(INDEX($AJ$2:$AJ$1001,MATCH(ROWS($AH$2:AH217),$AH$2:$AH$1001,0),0), INDEX($AO$1004:$BQ$1004,1,MATCH(COLUMNS($AO$1006:BO1006),$AO$1006:$BQ$1006,0)))),"Fix")))</f>
        <v>#N/A</v>
      </c>
      <c r="AC217" s="5" t="e">
        <f ca="1">IF(OR(INDEX($AI$2:$AI$1001,MATCH(ROWS($AH$2:AH217),$AH$2:$AH$1001,0),1)&gt;=100000,INDEX($AO$1005:$BQ$1005,1,MATCH(COLUMNS($AO$1006:BP1006),$AO$1006:$BQ$1006,0))&gt;=100000), " ",IF(INDEX($AO$2:$BQ$1001,MATCH(ROWS($AH$2:AH217),$AH$2:$AH$1001,0),MATCH(COLUMNS($AO$1006:BP1006),$AO$1006:$BQ$1006,0)), HYPERLINK("#",""), HYPERLINK(CONCATENATE("#Metadata!", ADDRESS(INDEX($AJ$2:$AJ$1001,MATCH(ROWS($AH$2:AH217),$AH$2:$AH$1001,0),0), INDEX($AO$1004:$BQ$1004,1,MATCH(COLUMNS($AO$1006:BP1006),$AO$1006:$BQ$1006,0)))),"Fix")))</f>
        <v>#N/A</v>
      </c>
      <c r="AD217" s="5" t="e">
        <f ca="1">IF(OR(INDEX($AI$2:$AI$1001,MATCH(ROWS($AH$2:AH217),$AH$2:$AH$1001,0),1)&gt;=100000,INDEX($AO$1005:$BQ$1005,1,MATCH(COLUMNS($AO$1006:BQ1006),$AO$1006:$BQ$1006,0))&gt;=100000), " ",IF(INDEX($AO$2:$BQ$1001,MATCH(ROWS($AH$2:AH217),$AH$2:$AH$1001,0),MATCH(COLUMNS($AO$1006:BQ1006),$AO$1006:$BQ$1006,0)), HYPERLINK("#",""), HYPERLINK(CONCATENATE("#Metadata!", ADDRESS(INDEX($AJ$2:$AJ$1001,MATCH(ROWS($AH$2:AH217),$AH$2:$AH$1001,0),0), INDEX($AO$1004:$BQ$1004,1,MATCH(COLUMNS($AO$1006:BQ1006),$AO$1006:$BQ$1006,0)))),"Fix")))</f>
        <v>#REF!</v>
      </c>
      <c r="AH217">
        <f ca="1"/>
        <v>214</v>
      </c>
      <c r="AI217">
        <v>100217</v>
      </c>
      <c r="AJ217">
        <v>217</v>
      </c>
      <c r="AK217" t="b">
        <f t="shared" si="3"/>
        <v>1</v>
      </c>
      <c r="AL217" t="b">
        <f>COUNTBLANK(Metadata!B217:AD217)=COLUMNS(Metadata!B217:AD217)</f>
        <v>1</v>
      </c>
      <c r="AM217" t="str">
        <v/>
      </c>
      <c r="AO217" t="b">
        <f ca="1">AND(IF(Metadata!B217="",FALSE,TRUE),COUNTIF(Metadata!B:B, Metadata!B217) = 1,NOT(ISERROR(SUMPRODUCT(SEARCH(MID(Metadata!B217,ROW(INDIRECT("1:"&amp;LEN(Metadata!B217))), 1),"0123456789abcdefghijklmnopqrstuvwxyzABCDEFGHIJKLMNOPQRSTUVWXYZ.")))))</f>
        <v>0</v>
      </c>
      <c r="AP217" t="b">
        <f>IF(Metadata!C217="",FALSE,TRUE)</f>
        <v>0</v>
      </c>
      <c r="AQ217" t="b">
        <f>IF(Metadata!D217="",FALSE,TRUE)</f>
        <v>0</v>
      </c>
      <c r="AR217" t="b">
        <f ca="1">OR(AND(IF(Metadata!E217="",FALSE,TRUE),OR(EXACT(Metadata!E217,"not collected"),EXACT(Metadata!E217,"not provided"),EXACT(Metadata!E217,"restricted access"))),AND(IF(Metadata!E217="",FALSE,TRUE),AND(AND(IFERROR(INT(LEFT(Metadata!E217,4))&gt;1900,FALSE),IFERROR(INT(LEFT(Metadata!E217,4))&lt;=YEAR(NOW()),FALSE)), OR(MID(Metadata!E217,5,1)="", AND(AND(MID(Metadata!E217,5,1)="-",IFERROR(INT(MID(Metadata!E217,6,1))&gt;=0,FALSE),IFERROR(INT(MID(Metadata!E217,6,1))&lt;=1,FALSE),NOT(MID(Metadata!E217,7,1)=""),IFERROR(INT(MID(Metadata!E217,6,2))&gt;=1,FALSE),IFERROR(INT(MID(Metadata!E217,6,2))&lt;=12,FALSE)), OR(MID(Metadata!E217,8,1)="", AND(AND(MID(Metadata!E217,8,1)="-",IFERROR(INT(MID(Metadata!E217,9,1))&gt;=0,FALSE),IFERROR(INT(MID(Metadata!E217,9,1))&lt;=3,FALSE),NOT(MID(Metadata!E217,10,1)=""),IFERROR(INT(MID(Metadata!E217,9,2))&gt;=1,FALSE),IFERROR(INT(MID(Metadata!E217,9,2))&lt;=31,FALSE)), OR(MID(Metadata!E217,11,1)="", AND(AND(MID(Metadata!E217,11,1)=" ",IFERROR(INT(MID(Metadata!E217,12,1))&gt;=0,FALSE),IFERROR(INT(MID(Metadata!E217,12,1))&lt;=2,FALSE),NOT(MID(Metadata!E217,13,1)=""),IFERROR(INT(MID(Metadata!E217,12,2))&gt;=0,FALSE),IFERROR(INT(MID(Metadata!E217,12,2))&lt;=23,FALSE)), OR(MID(Metadata!E217,14,1)="", AND(AND(MID(Metadata!E217,14,1)=":",IFERROR(INT(MID(Metadata!E217,15,1))&gt;=0,FALSE),IFERROR(INT(MID(Metadata!E217,15,1))&lt;=5,FALSE),NOT(MID(Metadata!E217,16,1)=""),IFERROR(INT(MID(Metadata!E217,15,2))&gt;=0,FALSE),IFERROR(INT(MID(Metadata!E217,15,2))&lt;=59,FALSE)), OR(MID(Metadata!E217,17,1)="", AND(AND(MID(Metadata!E217,17,1)=":",IFERROR(INT(MID(Metadata!E217,18,1))&gt;=0,FALSE),IFERROR(INT(MID(Metadata!E217,18,1))&lt;=5,FALSE),NOT(MID(Metadata!E217,19,1)=""),IFERROR(INT(MID(Metadata!E217,18,2))&gt;=0,FALSE),IFERROR(INT(MID(Metadata!E217,18,2))&lt;=59,FALSE)), LEN(Metadata!E217)&lt;=19)))))))))))))</f>
        <v>0</v>
      </c>
      <c r="AS217" t="b">
        <f>IF(Metadata!F217="",FALSE,TRUE)</f>
        <v>0</v>
      </c>
      <c r="AT217" t="b">
        <f>OR(AND(IF(Metadata!G217="",FALSE,TRUE),OR(EXACT(Metadata!G217,"not collected"),EXACT(Metadata!G217,"not provided"))),AND(IF(Metadata!G217="",FALSE,TRUE),OR(EXACT(Metadata!G217,"TRUE"),EXACT(Metadata!G217,"FALSE"))))</f>
        <v>0</v>
      </c>
      <c r="AU217" t="b">
        <f>OR(AND(IF(Metadata!H217="",FALSE,TRUE),OR(EXACT(Metadata!H217,"not collected"),EXACT(Metadata!H217,"not provided"),EXACT(Metadata!H217,"restricted access"))),AND(IF(Metadata!H217="",FALSE,ISNUMBER(VALUE(Metadata!H217))),Metadata!H217&gt;=-413))</f>
        <v>0</v>
      </c>
      <c r="AV217" t="b">
        <f>AND(IF(Metadata!I217="",FALSE,TRUE),EXACT(Metadata!I217,"meters"))</f>
        <v>0</v>
      </c>
      <c r="AW217" t="b">
        <f>AND(IF(Metadata!J217="",FALSE,TRUE),EXACT(Metadata!J217,"free-living"))</f>
        <v>0</v>
      </c>
      <c r="AX217" t="b">
        <f>AND(IF(Metadata!K217="",FALSE,TRUE),OR(EXACT(Metadata!K217,"saline"),EXACT(Metadata!K217,"non-saline")))</f>
        <v>0</v>
      </c>
      <c r="AY217" t="b">
        <f>AND(IF(Metadata!L217="",FALSE,TRUE),OR(EXACT(Metadata!L217,"sub-surface (non-saline)"),EXACT(Metadata!L217,"surface (non-saline)"),EXACT(Metadata!L217,"water (non-saline)"),EXACT(Metadata!L217,"soil (non-saline)"),EXACT(Metadata!L217,"aerosol (non-saline)"),EXACT(Metadata!L217,"sediment (non-saline)"),EXACT(Metadata!L217,"surface (saline)"),EXACT(Metadata!L217,"water (saline)"),EXACT(Metadata!L217,"hypersaline (saline)"),EXACT(Metadata!L217,"aerosol (saline)"),EXACT(Metadata!L217,"sediment (saline)")))</f>
        <v>0</v>
      </c>
      <c r="AZ217" t="b">
        <f>IF(Metadata!M217="",FALSE,TRUE)</f>
        <v>0</v>
      </c>
      <c r="BA217" t="b">
        <f>IF(Metadata!N217="",FALSE,TRUE)</f>
        <v>0</v>
      </c>
      <c r="BB217" t="b">
        <f>IF(Metadata!O217="",FALSE,TRUE)</f>
        <v>0</v>
      </c>
      <c r="BC217" t="b">
        <f>AND(IF(Metadata!P217="",FALSE,TRUE),OR(EXACT(Metadata!P217,"air"),EXACT(Metadata!P217,"microbial mat/biofilm"),EXACT(Metadata!P217,"misc environment"),EXACT(Metadata!P217,"sediment"),EXACT(Metadata!P217,"soil"),EXACT(Metadata!P217,"wastewater/sludge"),EXACT(Metadata!P217,"water")))</f>
        <v>0</v>
      </c>
      <c r="BD217" t="b">
        <f>IF(Metadata!Q217="",FALSE,TRUE)</f>
        <v>0</v>
      </c>
      <c r="BE217" t="b">
        <f>IF(Metadata!R217="",FALSE,TRUE)</f>
        <v>0</v>
      </c>
      <c r="BF217" t="b">
        <f>OR(AND(IF(Metadata!S217="",FALSE,TRUE),OR(EXACT(Metadata!S217,"not collected"),EXACT(Metadata!S217,"not provided"),EXACT(Metadata!S217,"restricted access"))),AND(IF(Metadata!S217="",FALSE,ISNUMBER(VALUE(Metadata!S217))),Metadata!S217&gt;=-90,Metadata!S217&lt;=90))</f>
        <v>0</v>
      </c>
      <c r="BG217" t="b">
        <f>AND(IF(Metadata!T217="",FALSE,TRUE),EXACT(Metadata!T217,"Decimal degrees"))</f>
        <v>0</v>
      </c>
      <c r="BH217" t="b">
        <f>OR(AND(IF(Metadata!U217="",FALSE,TRUE),OR(EXACT(Metadata!U217,"not applicable"),EXACT(Metadata!U217,"not collected"))),IF(Metadata!U217="",FALSE,TRUE))</f>
        <v>0</v>
      </c>
      <c r="BI217" t="b">
        <f>OR(AND(IF(Metadata!V217="",FALSE,TRUE),OR(EXACT(Metadata!V217,"not collected"),EXACT(Metadata!V217,"not provided"),EXACT(Metadata!V217,"restricted access"))),AND(IF(Metadata!V217="",FALSE,ISNUMBER(VALUE(Metadata!V217))),Metadata!V217&gt;=-180,Metadata!V217&lt;=180))</f>
        <v>0</v>
      </c>
      <c r="BJ217" t="b">
        <f>AND(IF(Metadata!W217="",FALSE,TRUE),EXACT(Metadata!W217,"Decimal degrees"))</f>
        <v>0</v>
      </c>
      <c r="BK217" t="b">
        <f>IF(Metadata!X217="",FALSE,TRUE)</f>
        <v>0</v>
      </c>
      <c r="BL217" t="b">
        <f>OR(AND(IF(Metadata!Y217="",FALSE,TRUE),OR(EXACT(Metadata!Y217,"not collected"),EXACT(Metadata!Y217,"not provided"),EXACT(Metadata!Y217,"restricted access"))),AND(IF(Metadata!Y217="",FALSE,TRUE),OR(EXACT(Metadata!Y217,"TRUE"),EXACT(Metadata!Y217,"FALSE"))))</f>
        <v>0</v>
      </c>
      <c r="BM217" t="b">
        <f>OR(AND(IF(Metadata!Z217="",FALSE,TRUE),EXACT(Metadata!Z217,"not applicable")),AND(IF(Metadata!Z217="",FALSE,TRUE),OR(EXACT(Metadata!Z217,"beer"),EXACT(Metadata!Z217,"cheese"),EXACT(Metadata!Z217,"fresh water"),EXACT(Metadata!Z217,"marine sediment"),EXACT(Metadata!Z217,"sea water"),EXACT(Metadata!Z217,"sediment"),EXACT(Metadata!Z217,"soil"),EXACT(Metadata!Z217,"waste water"))))</f>
        <v>0</v>
      </c>
      <c r="BN217" t="b">
        <f>AND(IF(Metadata!AA217="",FALSE,TRUE),EXACT(Metadata!AA217,"metagenome"))</f>
        <v>0</v>
      </c>
      <c r="BO217" t="b">
        <f>AND(IF(Metadata!AB217="",FALSE,TRUE),EXACT(Metadata!AB217,"256318"))</f>
        <v>0</v>
      </c>
      <c r="BP217" t="b">
        <f>IF(Metadata!AC217="",FALSE,TRUE)</f>
        <v>0</v>
      </c>
      <c r="BQ217" t="b">
        <f>IF(Metadata!AD217="",FALSE,TRUE)</f>
        <v>0</v>
      </c>
    </row>
    <row r="218" spans="1:69" x14ac:dyDescent="0.2">
      <c r="A218" s="4" t="e">
        <f ca="1">IF(B218=" "," ",HYPERLINK(CONCATENATE("#metadata!",ADDRESS(INDEX($AJ$2:$AJ$1001,MATCH(ROWS($AH$2:AH218),$AH$2:$AH$1001,0),0),2)),INDEX($AM$2:$AM$1001,MATCH(ROWS($AH$2:AH218),$AH$2:$AH$1001,0),0)))</f>
        <v>#N/A</v>
      </c>
      <c r="B218" s="5" t="e">
        <f ca="1">IF(OR(INDEX($AI$2:$AI$1001,MATCH(ROWS($AH$2:AH218),$AH$2:$AH$1001,0),1)&gt;=100000,INDEX($AO$1005:$BQ$1005,1,MATCH(COLUMNS($AO$1006:AO1006),$AO$1006:$BQ$1006,0))&gt;=100000), " ",IF(INDEX($AO$2:$BQ$1001,MATCH(ROWS($AH$2:AH218),$AH$2:$AH$1001,0),MATCH(COLUMNS($AO$1006:AO1006),$AO$1006:$BQ$1006,0)), HYPERLINK("#",""), HYPERLINK(CONCATENATE("#Metadata!", ADDRESS(INDEX($AJ$2:$AJ$1001,MATCH(ROWS($AH$2:AH218),$AH$2:$AH$1001,0),0), INDEX($AO$1004:$BQ$1004,1,MATCH(COLUMNS($AO$1006:AO1006),$AO$1006:$BQ$1006,0)))),"Fix")))</f>
        <v>#N/A</v>
      </c>
      <c r="C218" s="5" t="e">
        <f ca="1">IF(OR(INDEX($AI$2:$AI$1001,MATCH(ROWS($AH$2:AH218),$AH$2:$AH$1001,0),1)&gt;=100000,INDEX($AO$1005:$BQ$1005,1,MATCH(COLUMNS($AO$1006:AP1006),$AO$1006:$BQ$1006,0))&gt;=100000), " ",IF(INDEX($AO$2:$BQ$1001,MATCH(ROWS($AH$2:AH218),$AH$2:$AH$1001,0),MATCH(COLUMNS($AO$1006:AP1006),$AO$1006:$BQ$1006,0)), HYPERLINK("#",""), HYPERLINK(CONCATENATE("#Metadata!", ADDRESS(INDEX($AJ$2:$AJ$1001,MATCH(ROWS($AH$2:AH218),$AH$2:$AH$1001,0),0), INDEX($AO$1004:$BQ$1004,1,MATCH(COLUMNS($AO$1006:AP1006),$AO$1006:$BQ$1006,0)))),"Fix")))</f>
        <v>#N/A</v>
      </c>
      <c r="D218" s="5" t="e">
        <f ca="1">IF(OR(INDEX($AI$2:$AI$1001,MATCH(ROWS($AH$2:AH218),$AH$2:$AH$1001,0),1)&gt;=100000,INDEX($AO$1005:$BQ$1005,1,MATCH(COLUMNS($AO$1006:AQ1006),$AO$1006:$BQ$1006,0))&gt;=100000), " ",IF(INDEX($AO$2:$BQ$1001,MATCH(ROWS($AH$2:AH218),$AH$2:$AH$1001,0),MATCH(COLUMNS($AO$1006:AQ1006),$AO$1006:$BQ$1006,0)), HYPERLINK("#",""), HYPERLINK(CONCATENATE("#Metadata!", ADDRESS(INDEX($AJ$2:$AJ$1001,MATCH(ROWS($AH$2:AH218),$AH$2:$AH$1001,0),0), INDEX($AO$1004:$BQ$1004,1,MATCH(COLUMNS($AO$1006:AQ1006),$AO$1006:$BQ$1006,0)))),"Fix")))</f>
        <v>#N/A</v>
      </c>
      <c r="E218" s="5" t="e">
        <f ca="1">IF(OR(INDEX($AI$2:$AI$1001,MATCH(ROWS($AH$2:AH218),$AH$2:$AH$1001,0),1)&gt;=100000,INDEX($AO$1005:$BQ$1005,1,MATCH(COLUMNS($AO$1006:AR1006),$AO$1006:$BQ$1006,0))&gt;=100000), " ",IF(INDEX($AO$2:$BQ$1001,MATCH(ROWS($AH$2:AH218),$AH$2:$AH$1001,0),MATCH(COLUMNS($AO$1006:AR1006),$AO$1006:$BQ$1006,0)), HYPERLINK("#",""), HYPERLINK(CONCATENATE("#Metadata!", ADDRESS(INDEX($AJ$2:$AJ$1001,MATCH(ROWS($AH$2:AH218),$AH$2:$AH$1001,0),0), INDEX($AO$1004:$BQ$1004,1,MATCH(COLUMNS($AO$1006:AR1006),$AO$1006:$BQ$1006,0)))),"Fix")))</f>
        <v>#N/A</v>
      </c>
      <c r="F218" s="5" t="e">
        <f ca="1">IF(OR(INDEX($AI$2:$AI$1001,MATCH(ROWS($AH$2:AH218),$AH$2:$AH$1001,0),1)&gt;=100000,INDEX($AO$1005:$BQ$1005,1,MATCH(COLUMNS($AO$1006:AS1006),$AO$1006:$BQ$1006,0))&gt;=100000), " ",IF(INDEX($AO$2:$BQ$1001,MATCH(ROWS($AH$2:AH218),$AH$2:$AH$1001,0),MATCH(COLUMNS($AO$1006:AS1006),$AO$1006:$BQ$1006,0)), HYPERLINK("#",""), HYPERLINK(CONCATENATE("#Metadata!", ADDRESS(INDEX($AJ$2:$AJ$1001,MATCH(ROWS($AH$2:AH218),$AH$2:$AH$1001,0),0), INDEX($AO$1004:$BQ$1004,1,MATCH(COLUMNS($AO$1006:AS1006),$AO$1006:$BQ$1006,0)))),"Fix")))</f>
        <v>#N/A</v>
      </c>
      <c r="G218" s="5" t="e">
        <f ca="1">IF(OR(INDEX($AI$2:$AI$1001,MATCH(ROWS($AH$2:AH218),$AH$2:$AH$1001,0),1)&gt;=100000,INDEX($AO$1005:$BQ$1005,1,MATCH(COLUMNS($AO$1006:AT1006),$AO$1006:$BQ$1006,0))&gt;=100000), " ",IF(INDEX($AO$2:$BQ$1001,MATCH(ROWS($AH$2:AH218),$AH$2:$AH$1001,0),MATCH(COLUMNS($AO$1006:AT1006),$AO$1006:$BQ$1006,0)), HYPERLINK("#",""), HYPERLINK(CONCATENATE("#Metadata!", ADDRESS(INDEX($AJ$2:$AJ$1001,MATCH(ROWS($AH$2:AH218),$AH$2:$AH$1001,0),0), INDEX($AO$1004:$BQ$1004,1,MATCH(COLUMNS($AO$1006:AT1006),$AO$1006:$BQ$1006,0)))),"Fix")))</f>
        <v>#N/A</v>
      </c>
      <c r="H218" s="5" t="e">
        <f ca="1">IF(OR(INDEX($AI$2:$AI$1001,MATCH(ROWS($AH$2:AH218),$AH$2:$AH$1001,0),1)&gt;=100000,INDEX($AO$1005:$BQ$1005,1,MATCH(COLUMNS($AO$1006:AU1006),$AO$1006:$BQ$1006,0))&gt;=100000), " ",IF(INDEX($AO$2:$BQ$1001,MATCH(ROWS($AH$2:AH218),$AH$2:$AH$1001,0),MATCH(COLUMNS($AO$1006:AU1006),$AO$1006:$BQ$1006,0)), HYPERLINK("#",""), HYPERLINK(CONCATENATE("#Metadata!", ADDRESS(INDEX($AJ$2:$AJ$1001,MATCH(ROWS($AH$2:AH218),$AH$2:$AH$1001,0),0), INDEX($AO$1004:$BQ$1004,1,MATCH(COLUMNS($AO$1006:AU1006),$AO$1006:$BQ$1006,0)))),"Fix")))</f>
        <v>#N/A</v>
      </c>
      <c r="I218" s="5" t="e">
        <f ca="1">IF(OR(INDEX($AI$2:$AI$1001,MATCH(ROWS($AH$2:AH218),$AH$2:$AH$1001,0),1)&gt;=100000,INDEX($AO$1005:$BQ$1005,1,MATCH(COLUMNS($AO$1006:AV1006),$AO$1006:$BQ$1006,0))&gt;=100000), " ",IF(INDEX($AO$2:$BQ$1001,MATCH(ROWS($AH$2:AH218),$AH$2:$AH$1001,0),MATCH(COLUMNS($AO$1006:AV1006),$AO$1006:$BQ$1006,0)), HYPERLINK("#",""), HYPERLINK(CONCATENATE("#Metadata!", ADDRESS(INDEX($AJ$2:$AJ$1001,MATCH(ROWS($AH$2:AH218),$AH$2:$AH$1001,0),0), INDEX($AO$1004:$BQ$1004,1,MATCH(COLUMNS($AO$1006:AV1006),$AO$1006:$BQ$1006,0)))),"Fix")))</f>
        <v>#N/A</v>
      </c>
      <c r="J218" s="5" t="e">
        <f ca="1">IF(OR(INDEX($AI$2:$AI$1001,MATCH(ROWS($AH$2:AH218),$AH$2:$AH$1001,0),1)&gt;=100000,INDEX($AO$1005:$BQ$1005,1,MATCH(COLUMNS($AO$1006:AW1006),$AO$1006:$BQ$1006,0))&gt;=100000), " ",IF(INDEX($AO$2:$BQ$1001,MATCH(ROWS($AH$2:AH218),$AH$2:$AH$1001,0),MATCH(COLUMNS($AO$1006:AW1006),$AO$1006:$BQ$1006,0)), HYPERLINK("#",""), HYPERLINK(CONCATENATE("#Metadata!", ADDRESS(INDEX($AJ$2:$AJ$1001,MATCH(ROWS($AH$2:AH218),$AH$2:$AH$1001,0),0), INDEX($AO$1004:$BQ$1004,1,MATCH(COLUMNS($AO$1006:AW1006),$AO$1006:$BQ$1006,0)))),"Fix")))</f>
        <v>#N/A</v>
      </c>
      <c r="K218" s="5" t="e">
        <f ca="1">IF(OR(INDEX($AI$2:$AI$1001,MATCH(ROWS($AH$2:AH218),$AH$2:$AH$1001,0),1)&gt;=100000,INDEX($AO$1005:$BQ$1005,1,MATCH(COLUMNS($AO$1006:AX1006),$AO$1006:$BQ$1006,0))&gt;=100000), " ",IF(INDEX($AO$2:$BQ$1001,MATCH(ROWS($AH$2:AH218),$AH$2:$AH$1001,0),MATCH(COLUMNS($AO$1006:AX1006),$AO$1006:$BQ$1006,0)), HYPERLINK("#",""), HYPERLINK(CONCATENATE("#Metadata!", ADDRESS(INDEX($AJ$2:$AJ$1001,MATCH(ROWS($AH$2:AH218),$AH$2:$AH$1001,0),0), INDEX($AO$1004:$BQ$1004,1,MATCH(COLUMNS($AO$1006:AX1006),$AO$1006:$BQ$1006,0)))),"Fix")))</f>
        <v>#N/A</v>
      </c>
      <c r="L218" s="5" t="e">
        <f ca="1">IF(OR(INDEX($AI$2:$AI$1001,MATCH(ROWS($AH$2:AH218),$AH$2:$AH$1001,0),1)&gt;=100000,INDEX($AO$1005:$BQ$1005,1,MATCH(COLUMNS($AO$1006:AY1006),$AO$1006:$BQ$1006,0))&gt;=100000), " ",IF(INDEX($AO$2:$BQ$1001,MATCH(ROWS($AH$2:AH218),$AH$2:$AH$1001,0),MATCH(COLUMNS($AO$1006:AY1006),$AO$1006:$BQ$1006,0)), HYPERLINK("#",""), HYPERLINK(CONCATENATE("#Metadata!", ADDRESS(INDEX($AJ$2:$AJ$1001,MATCH(ROWS($AH$2:AH218),$AH$2:$AH$1001,0),0), INDEX($AO$1004:$BQ$1004,1,MATCH(COLUMNS($AO$1006:AY1006),$AO$1006:$BQ$1006,0)))),"Fix")))</f>
        <v>#N/A</v>
      </c>
      <c r="M218" s="5" t="e">
        <f ca="1">IF(OR(INDEX($AI$2:$AI$1001,MATCH(ROWS($AH$2:AH218),$AH$2:$AH$1001,0),1)&gt;=100000,INDEX($AO$1005:$BQ$1005,1,MATCH(COLUMNS($AO$1006:AZ1006),$AO$1006:$BQ$1006,0))&gt;=100000), " ",IF(INDEX($AO$2:$BQ$1001,MATCH(ROWS($AH$2:AH218),$AH$2:$AH$1001,0),MATCH(COLUMNS($AO$1006:AZ1006),$AO$1006:$BQ$1006,0)), HYPERLINK("#",""), HYPERLINK(CONCATENATE("#Metadata!", ADDRESS(INDEX($AJ$2:$AJ$1001,MATCH(ROWS($AH$2:AH218),$AH$2:$AH$1001,0),0), INDEX($AO$1004:$BQ$1004,1,MATCH(COLUMNS($AO$1006:AZ1006),$AO$1006:$BQ$1006,0)))),"Fix")))</f>
        <v>#N/A</v>
      </c>
      <c r="N218" s="5" t="e">
        <f ca="1">IF(OR(INDEX($AI$2:$AI$1001,MATCH(ROWS($AH$2:AH218),$AH$2:$AH$1001,0),1)&gt;=100000,INDEX($AO$1005:$BQ$1005,1,MATCH(COLUMNS($AO$1006:BA1006),$AO$1006:$BQ$1006,0))&gt;=100000), " ",IF(INDEX($AO$2:$BQ$1001,MATCH(ROWS($AH$2:AH218),$AH$2:$AH$1001,0),MATCH(COLUMNS($AO$1006:BA1006),$AO$1006:$BQ$1006,0)), HYPERLINK("#",""), HYPERLINK(CONCATENATE("#Metadata!", ADDRESS(INDEX($AJ$2:$AJ$1001,MATCH(ROWS($AH$2:AH218),$AH$2:$AH$1001,0),0), INDEX($AO$1004:$BQ$1004,1,MATCH(COLUMNS($AO$1006:BA1006),$AO$1006:$BQ$1006,0)))),"Fix")))</f>
        <v>#N/A</v>
      </c>
      <c r="O218" s="5" t="e">
        <f ca="1">IF(OR(INDEX($AI$2:$AI$1001,MATCH(ROWS($AH$2:AH218),$AH$2:$AH$1001,0),1)&gt;=100000,INDEX($AO$1005:$BQ$1005,1,MATCH(COLUMNS($AO$1006:BB1006),$AO$1006:$BQ$1006,0))&gt;=100000), " ",IF(INDEX($AO$2:$BQ$1001,MATCH(ROWS($AH$2:AH218),$AH$2:$AH$1001,0),MATCH(COLUMNS($AO$1006:BB1006),$AO$1006:$BQ$1006,0)), HYPERLINK("#",""), HYPERLINK(CONCATENATE("#Metadata!", ADDRESS(INDEX($AJ$2:$AJ$1001,MATCH(ROWS($AH$2:AH218),$AH$2:$AH$1001,0),0), INDEX($AO$1004:$BQ$1004,1,MATCH(COLUMNS($AO$1006:BB1006),$AO$1006:$BQ$1006,0)))),"Fix")))</f>
        <v>#N/A</v>
      </c>
      <c r="P218" s="5" t="e">
        <f ca="1">IF(OR(INDEX($AI$2:$AI$1001,MATCH(ROWS($AH$2:AH218),$AH$2:$AH$1001,0),1)&gt;=100000,INDEX($AO$1005:$BQ$1005,1,MATCH(COLUMNS($AO$1006:BC1006),$AO$1006:$BQ$1006,0))&gt;=100000), " ",IF(INDEX($AO$2:$BQ$1001,MATCH(ROWS($AH$2:AH218),$AH$2:$AH$1001,0),MATCH(COLUMNS($AO$1006:BC1006),$AO$1006:$BQ$1006,0)), HYPERLINK("#",""), HYPERLINK(CONCATENATE("#Metadata!", ADDRESS(INDEX($AJ$2:$AJ$1001,MATCH(ROWS($AH$2:AH218),$AH$2:$AH$1001,0),0), INDEX($AO$1004:$BQ$1004,1,MATCH(COLUMNS($AO$1006:BC1006),$AO$1006:$BQ$1006,0)))),"Fix")))</f>
        <v>#N/A</v>
      </c>
      <c r="Q218" s="5" t="e">
        <f ca="1">IF(OR(INDEX($AI$2:$AI$1001,MATCH(ROWS($AH$2:AH218),$AH$2:$AH$1001,0),1)&gt;=100000,INDEX($AO$1005:$BQ$1005,1,MATCH(COLUMNS($AO$1006:BD1006),$AO$1006:$BQ$1006,0))&gt;=100000), " ",IF(INDEX($AO$2:$BQ$1001,MATCH(ROWS($AH$2:AH218),$AH$2:$AH$1001,0),MATCH(COLUMNS($AO$1006:BD1006),$AO$1006:$BQ$1006,0)), HYPERLINK("#",""), HYPERLINK(CONCATENATE("#Metadata!", ADDRESS(INDEX($AJ$2:$AJ$1001,MATCH(ROWS($AH$2:AH218),$AH$2:$AH$1001,0),0), INDEX($AO$1004:$BQ$1004,1,MATCH(COLUMNS($AO$1006:BD1006),$AO$1006:$BQ$1006,0)))),"Fix")))</f>
        <v>#N/A</v>
      </c>
      <c r="R218" s="5" t="e">
        <f ca="1">IF(OR(INDEX($AI$2:$AI$1001,MATCH(ROWS($AH$2:AH218),$AH$2:$AH$1001,0),1)&gt;=100000,INDEX($AO$1005:$BQ$1005,1,MATCH(COLUMNS($AO$1006:BE1006),$AO$1006:$BQ$1006,0))&gt;=100000), " ",IF(INDEX($AO$2:$BQ$1001,MATCH(ROWS($AH$2:AH218),$AH$2:$AH$1001,0),MATCH(COLUMNS($AO$1006:BE1006),$AO$1006:$BQ$1006,0)), HYPERLINK("#",""), HYPERLINK(CONCATENATE("#Metadata!", ADDRESS(INDEX($AJ$2:$AJ$1001,MATCH(ROWS($AH$2:AH218),$AH$2:$AH$1001,0),0), INDEX($AO$1004:$BQ$1004,1,MATCH(COLUMNS($AO$1006:BE1006),$AO$1006:$BQ$1006,0)))),"Fix")))</f>
        <v>#N/A</v>
      </c>
      <c r="S218" s="5" t="e">
        <f ca="1">IF(OR(INDEX($AI$2:$AI$1001,MATCH(ROWS($AH$2:AH218),$AH$2:$AH$1001,0),1)&gt;=100000,INDEX($AO$1005:$BQ$1005,1,MATCH(COLUMNS($AO$1006:BF1006),$AO$1006:$BQ$1006,0))&gt;=100000), " ",IF(INDEX($AO$2:$BQ$1001,MATCH(ROWS($AH$2:AH218),$AH$2:$AH$1001,0),MATCH(COLUMNS($AO$1006:BF1006),$AO$1006:$BQ$1006,0)), HYPERLINK("#",""), HYPERLINK(CONCATENATE("#Metadata!", ADDRESS(INDEX($AJ$2:$AJ$1001,MATCH(ROWS($AH$2:AH218),$AH$2:$AH$1001,0),0), INDEX($AO$1004:$BQ$1004,1,MATCH(COLUMNS($AO$1006:BF1006),$AO$1006:$BQ$1006,0)))),"Fix")))</f>
        <v>#N/A</v>
      </c>
      <c r="T218" s="5" t="e">
        <f ca="1">IF(OR(INDEX($AI$2:$AI$1001,MATCH(ROWS($AH$2:AH218),$AH$2:$AH$1001,0),1)&gt;=100000,INDEX($AO$1005:$BQ$1005,1,MATCH(COLUMNS($AO$1006:BG1006),$AO$1006:$BQ$1006,0))&gt;=100000), " ",IF(INDEX($AO$2:$BQ$1001,MATCH(ROWS($AH$2:AH218),$AH$2:$AH$1001,0),MATCH(COLUMNS($AO$1006:BG1006),$AO$1006:$BQ$1006,0)), HYPERLINK("#",""), HYPERLINK(CONCATENATE("#Metadata!", ADDRESS(INDEX($AJ$2:$AJ$1001,MATCH(ROWS($AH$2:AH218),$AH$2:$AH$1001,0),0), INDEX($AO$1004:$BQ$1004,1,MATCH(COLUMNS($AO$1006:BG1006),$AO$1006:$BQ$1006,0)))),"Fix")))</f>
        <v>#N/A</v>
      </c>
      <c r="U218" s="5" t="e">
        <f ca="1">IF(OR(INDEX($AI$2:$AI$1001,MATCH(ROWS($AH$2:AH218),$AH$2:$AH$1001,0),1)&gt;=100000,INDEX($AO$1005:$BQ$1005,1,MATCH(COLUMNS($AO$1006:BH1006),$AO$1006:$BQ$1006,0))&gt;=100000), " ",IF(INDEX($AO$2:$BQ$1001,MATCH(ROWS($AH$2:AH218),$AH$2:$AH$1001,0),MATCH(COLUMNS($AO$1006:BH1006),$AO$1006:$BQ$1006,0)), HYPERLINK("#",""), HYPERLINK(CONCATENATE("#Metadata!", ADDRESS(INDEX($AJ$2:$AJ$1001,MATCH(ROWS($AH$2:AH218),$AH$2:$AH$1001,0),0), INDEX($AO$1004:$BQ$1004,1,MATCH(COLUMNS($AO$1006:BH1006),$AO$1006:$BQ$1006,0)))),"Fix")))</f>
        <v>#N/A</v>
      </c>
      <c r="V218" s="5" t="e">
        <f ca="1">IF(OR(INDEX($AI$2:$AI$1001,MATCH(ROWS($AH$2:AH218),$AH$2:$AH$1001,0),1)&gt;=100000,INDEX($AO$1005:$BQ$1005,1,MATCH(COLUMNS($AO$1006:BI1006),$AO$1006:$BQ$1006,0))&gt;=100000), " ",IF(INDEX($AO$2:$BQ$1001,MATCH(ROWS($AH$2:AH218),$AH$2:$AH$1001,0),MATCH(COLUMNS($AO$1006:BI1006),$AO$1006:$BQ$1006,0)), HYPERLINK("#",""), HYPERLINK(CONCATENATE("#Metadata!", ADDRESS(INDEX($AJ$2:$AJ$1001,MATCH(ROWS($AH$2:AH218),$AH$2:$AH$1001,0),0), INDEX($AO$1004:$BQ$1004,1,MATCH(COLUMNS($AO$1006:BI1006),$AO$1006:$BQ$1006,0)))),"Fix")))</f>
        <v>#N/A</v>
      </c>
      <c r="W218" s="5" t="e">
        <f ca="1">IF(OR(INDEX($AI$2:$AI$1001,MATCH(ROWS($AH$2:AH218),$AH$2:$AH$1001,0),1)&gt;=100000,INDEX($AO$1005:$BQ$1005,1,MATCH(COLUMNS($AO$1006:BJ1006),$AO$1006:$BQ$1006,0))&gt;=100000), " ",IF(INDEX($AO$2:$BQ$1001,MATCH(ROWS($AH$2:AH218),$AH$2:$AH$1001,0),MATCH(COLUMNS($AO$1006:BJ1006),$AO$1006:$BQ$1006,0)), HYPERLINK("#",""), HYPERLINK(CONCATENATE("#Metadata!", ADDRESS(INDEX($AJ$2:$AJ$1001,MATCH(ROWS($AH$2:AH218),$AH$2:$AH$1001,0),0), INDEX($AO$1004:$BQ$1004,1,MATCH(COLUMNS($AO$1006:BJ1006),$AO$1006:$BQ$1006,0)))),"Fix")))</f>
        <v>#N/A</v>
      </c>
      <c r="X218" s="5" t="e">
        <f ca="1">IF(OR(INDEX($AI$2:$AI$1001,MATCH(ROWS($AH$2:AH218),$AH$2:$AH$1001,0),1)&gt;=100000,INDEX($AO$1005:$BQ$1005,1,MATCH(COLUMNS($AO$1006:BK1006),$AO$1006:$BQ$1006,0))&gt;=100000), " ",IF(INDEX($AO$2:$BQ$1001,MATCH(ROWS($AH$2:AH218),$AH$2:$AH$1001,0),MATCH(COLUMNS($AO$1006:BK1006),$AO$1006:$BQ$1006,0)), HYPERLINK("#",""), HYPERLINK(CONCATENATE("#Metadata!", ADDRESS(INDEX($AJ$2:$AJ$1001,MATCH(ROWS($AH$2:AH218),$AH$2:$AH$1001,0),0), INDEX($AO$1004:$BQ$1004,1,MATCH(COLUMNS($AO$1006:BK1006),$AO$1006:$BQ$1006,0)))),"Fix")))</f>
        <v>#N/A</v>
      </c>
      <c r="Y218" s="5" t="e">
        <f ca="1">IF(OR(INDEX($AI$2:$AI$1001,MATCH(ROWS($AH$2:AH218),$AH$2:$AH$1001,0),1)&gt;=100000,INDEX($AO$1005:$BQ$1005,1,MATCH(COLUMNS($AO$1006:BL1006),$AO$1006:$BQ$1006,0))&gt;=100000), " ",IF(INDEX($AO$2:$BQ$1001,MATCH(ROWS($AH$2:AH218),$AH$2:$AH$1001,0),MATCH(COLUMNS($AO$1006:BL1006),$AO$1006:$BQ$1006,0)), HYPERLINK("#",""), HYPERLINK(CONCATENATE("#Metadata!", ADDRESS(INDEX($AJ$2:$AJ$1001,MATCH(ROWS($AH$2:AH218),$AH$2:$AH$1001,0),0), INDEX($AO$1004:$BQ$1004,1,MATCH(COLUMNS($AO$1006:BL1006),$AO$1006:$BQ$1006,0)))),"Fix")))</f>
        <v>#N/A</v>
      </c>
      <c r="Z218" s="5" t="e">
        <f ca="1">IF(OR(INDEX($AI$2:$AI$1001,MATCH(ROWS($AH$2:AH218),$AH$2:$AH$1001,0),1)&gt;=100000,INDEX($AO$1005:$BQ$1005,1,MATCH(COLUMNS($AO$1006:BM1006),$AO$1006:$BQ$1006,0))&gt;=100000), " ",IF(INDEX($AO$2:$BQ$1001,MATCH(ROWS($AH$2:AH218),$AH$2:$AH$1001,0),MATCH(COLUMNS($AO$1006:BM1006),$AO$1006:$BQ$1006,0)), HYPERLINK("#",""), HYPERLINK(CONCATENATE("#Metadata!", ADDRESS(INDEX($AJ$2:$AJ$1001,MATCH(ROWS($AH$2:AH218),$AH$2:$AH$1001,0),0), INDEX($AO$1004:$BQ$1004,1,MATCH(COLUMNS($AO$1006:BM1006),$AO$1006:$BQ$1006,0)))),"Fix")))</f>
        <v>#N/A</v>
      </c>
      <c r="AA218" s="5" t="e">
        <f ca="1">IF(OR(INDEX($AI$2:$AI$1001,MATCH(ROWS($AH$2:AH218),$AH$2:$AH$1001,0),1)&gt;=100000,INDEX($AO$1005:$BQ$1005,1,MATCH(COLUMNS($AO$1006:BN1006),$AO$1006:$BQ$1006,0))&gt;=100000), " ",IF(INDEX($AO$2:$BQ$1001,MATCH(ROWS($AH$2:AH218),$AH$2:$AH$1001,0),MATCH(COLUMNS($AO$1006:BN1006),$AO$1006:$BQ$1006,0)), HYPERLINK("#",""), HYPERLINK(CONCATENATE("#Metadata!", ADDRESS(INDEX($AJ$2:$AJ$1001,MATCH(ROWS($AH$2:AH218),$AH$2:$AH$1001,0),0), INDEX($AO$1004:$BQ$1004,1,MATCH(COLUMNS($AO$1006:BN1006),$AO$1006:$BQ$1006,0)))),"Fix")))</f>
        <v>#N/A</v>
      </c>
      <c r="AB218" s="5" t="e">
        <f ca="1">IF(OR(INDEX($AI$2:$AI$1001,MATCH(ROWS($AH$2:AH218),$AH$2:$AH$1001,0),1)&gt;=100000,INDEX($AO$1005:$BQ$1005,1,MATCH(COLUMNS($AO$1006:BO1006),$AO$1006:$BQ$1006,0))&gt;=100000), " ",IF(INDEX($AO$2:$BQ$1001,MATCH(ROWS($AH$2:AH218),$AH$2:$AH$1001,0),MATCH(COLUMNS($AO$1006:BO1006),$AO$1006:$BQ$1006,0)), HYPERLINK("#",""), HYPERLINK(CONCATENATE("#Metadata!", ADDRESS(INDEX($AJ$2:$AJ$1001,MATCH(ROWS($AH$2:AH218),$AH$2:$AH$1001,0),0), INDEX($AO$1004:$BQ$1004,1,MATCH(COLUMNS($AO$1006:BO1006),$AO$1006:$BQ$1006,0)))),"Fix")))</f>
        <v>#N/A</v>
      </c>
      <c r="AC218" s="5" t="e">
        <f ca="1">IF(OR(INDEX($AI$2:$AI$1001,MATCH(ROWS($AH$2:AH218),$AH$2:$AH$1001,0),1)&gt;=100000,INDEX($AO$1005:$BQ$1005,1,MATCH(COLUMNS($AO$1006:BP1006),$AO$1006:$BQ$1006,0))&gt;=100000), " ",IF(INDEX($AO$2:$BQ$1001,MATCH(ROWS($AH$2:AH218),$AH$2:$AH$1001,0),MATCH(COLUMNS($AO$1006:BP1006),$AO$1006:$BQ$1006,0)), HYPERLINK("#",""), HYPERLINK(CONCATENATE("#Metadata!", ADDRESS(INDEX($AJ$2:$AJ$1001,MATCH(ROWS($AH$2:AH218),$AH$2:$AH$1001,0),0), INDEX($AO$1004:$BQ$1004,1,MATCH(COLUMNS($AO$1006:BP1006),$AO$1006:$BQ$1006,0)))),"Fix")))</f>
        <v>#N/A</v>
      </c>
      <c r="AD218" s="5" t="e">
        <f ca="1">IF(OR(INDEX($AI$2:$AI$1001,MATCH(ROWS($AH$2:AH218),$AH$2:$AH$1001,0),1)&gt;=100000,INDEX($AO$1005:$BQ$1005,1,MATCH(COLUMNS($AO$1006:BQ1006),$AO$1006:$BQ$1006,0))&gt;=100000), " ",IF(INDEX($AO$2:$BQ$1001,MATCH(ROWS($AH$2:AH218),$AH$2:$AH$1001,0),MATCH(COLUMNS($AO$1006:BQ1006),$AO$1006:$BQ$1006,0)), HYPERLINK("#",""), HYPERLINK(CONCATENATE("#Metadata!", ADDRESS(INDEX($AJ$2:$AJ$1001,MATCH(ROWS($AH$2:AH218),$AH$2:$AH$1001,0),0), INDEX($AO$1004:$BQ$1004,1,MATCH(COLUMNS($AO$1006:BQ1006),$AO$1006:$BQ$1006,0)))),"Fix")))</f>
        <v>#REF!</v>
      </c>
      <c r="AH218">
        <f ca="1"/>
        <v>215</v>
      </c>
      <c r="AI218">
        <v>100218</v>
      </c>
      <c r="AJ218">
        <v>218</v>
      </c>
      <c r="AK218" t="b">
        <f t="shared" si="3"/>
        <v>1</v>
      </c>
      <c r="AL218" t="b">
        <f>COUNTBLANK(Metadata!B218:AD218)=COLUMNS(Metadata!B218:AD218)</f>
        <v>1</v>
      </c>
      <c r="AM218" t="str">
        <v/>
      </c>
      <c r="AO218" t="b">
        <f ca="1">AND(IF(Metadata!B218="",FALSE,TRUE),COUNTIF(Metadata!B:B, Metadata!B218) = 1,NOT(ISERROR(SUMPRODUCT(SEARCH(MID(Metadata!B218,ROW(INDIRECT("1:"&amp;LEN(Metadata!B218))), 1),"0123456789abcdefghijklmnopqrstuvwxyzABCDEFGHIJKLMNOPQRSTUVWXYZ.")))))</f>
        <v>0</v>
      </c>
      <c r="AP218" t="b">
        <f>IF(Metadata!C218="",FALSE,TRUE)</f>
        <v>0</v>
      </c>
      <c r="AQ218" t="b">
        <f>IF(Metadata!D218="",FALSE,TRUE)</f>
        <v>0</v>
      </c>
      <c r="AR218" t="b">
        <f ca="1">OR(AND(IF(Metadata!E218="",FALSE,TRUE),OR(EXACT(Metadata!E218,"not collected"),EXACT(Metadata!E218,"not provided"),EXACT(Metadata!E218,"restricted access"))),AND(IF(Metadata!E218="",FALSE,TRUE),AND(AND(IFERROR(INT(LEFT(Metadata!E218,4))&gt;1900,FALSE),IFERROR(INT(LEFT(Metadata!E218,4))&lt;=YEAR(NOW()),FALSE)), OR(MID(Metadata!E218,5,1)="", AND(AND(MID(Metadata!E218,5,1)="-",IFERROR(INT(MID(Metadata!E218,6,1))&gt;=0,FALSE),IFERROR(INT(MID(Metadata!E218,6,1))&lt;=1,FALSE),NOT(MID(Metadata!E218,7,1)=""),IFERROR(INT(MID(Metadata!E218,6,2))&gt;=1,FALSE),IFERROR(INT(MID(Metadata!E218,6,2))&lt;=12,FALSE)), OR(MID(Metadata!E218,8,1)="", AND(AND(MID(Metadata!E218,8,1)="-",IFERROR(INT(MID(Metadata!E218,9,1))&gt;=0,FALSE),IFERROR(INT(MID(Metadata!E218,9,1))&lt;=3,FALSE),NOT(MID(Metadata!E218,10,1)=""),IFERROR(INT(MID(Metadata!E218,9,2))&gt;=1,FALSE),IFERROR(INT(MID(Metadata!E218,9,2))&lt;=31,FALSE)), OR(MID(Metadata!E218,11,1)="", AND(AND(MID(Metadata!E218,11,1)=" ",IFERROR(INT(MID(Metadata!E218,12,1))&gt;=0,FALSE),IFERROR(INT(MID(Metadata!E218,12,1))&lt;=2,FALSE),NOT(MID(Metadata!E218,13,1)=""),IFERROR(INT(MID(Metadata!E218,12,2))&gt;=0,FALSE),IFERROR(INT(MID(Metadata!E218,12,2))&lt;=23,FALSE)), OR(MID(Metadata!E218,14,1)="", AND(AND(MID(Metadata!E218,14,1)=":",IFERROR(INT(MID(Metadata!E218,15,1))&gt;=0,FALSE),IFERROR(INT(MID(Metadata!E218,15,1))&lt;=5,FALSE),NOT(MID(Metadata!E218,16,1)=""),IFERROR(INT(MID(Metadata!E218,15,2))&gt;=0,FALSE),IFERROR(INT(MID(Metadata!E218,15,2))&lt;=59,FALSE)), OR(MID(Metadata!E218,17,1)="", AND(AND(MID(Metadata!E218,17,1)=":",IFERROR(INT(MID(Metadata!E218,18,1))&gt;=0,FALSE),IFERROR(INT(MID(Metadata!E218,18,1))&lt;=5,FALSE),NOT(MID(Metadata!E218,19,1)=""),IFERROR(INT(MID(Metadata!E218,18,2))&gt;=0,FALSE),IFERROR(INT(MID(Metadata!E218,18,2))&lt;=59,FALSE)), LEN(Metadata!E218)&lt;=19)))))))))))))</f>
        <v>0</v>
      </c>
      <c r="AS218" t="b">
        <f>IF(Metadata!F218="",FALSE,TRUE)</f>
        <v>0</v>
      </c>
      <c r="AT218" t="b">
        <f>OR(AND(IF(Metadata!G218="",FALSE,TRUE),OR(EXACT(Metadata!G218,"not collected"),EXACT(Metadata!G218,"not provided"))),AND(IF(Metadata!G218="",FALSE,TRUE),OR(EXACT(Metadata!G218,"TRUE"),EXACT(Metadata!G218,"FALSE"))))</f>
        <v>0</v>
      </c>
      <c r="AU218" t="b">
        <f>OR(AND(IF(Metadata!H218="",FALSE,TRUE),OR(EXACT(Metadata!H218,"not collected"),EXACT(Metadata!H218,"not provided"),EXACT(Metadata!H218,"restricted access"))),AND(IF(Metadata!H218="",FALSE,ISNUMBER(VALUE(Metadata!H218))),Metadata!H218&gt;=-413))</f>
        <v>0</v>
      </c>
      <c r="AV218" t="b">
        <f>AND(IF(Metadata!I218="",FALSE,TRUE),EXACT(Metadata!I218,"meters"))</f>
        <v>0</v>
      </c>
      <c r="AW218" t="b">
        <f>AND(IF(Metadata!J218="",FALSE,TRUE),EXACT(Metadata!J218,"free-living"))</f>
        <v>0</v>
      </c>
      <c r="AX218" t="b">
        <f>AND(IF(Metadata!K218="",FALSE,TRUE),OR(EXACT(Metadata!K218,"saline"),EXACT(Metadata!K218,"non-saline")))</f>
        <v>0</v>
      </c>
      <c r="AY218" t="b">
        <f>AND(IF(Metadata!L218="",FALSE,TRUE),OR(EXACT(Metadata!L218,"sub-surface (non-saline)"),EXACT(Metadata!L218,"surface (non-saline)"),EXACT(Metadata!L218,"water (non-saline)"),EXACT(Metadata!L218,"soil (non-saline)"),EXACT(Metadata!L218,"aerosol (non-saline)"),EXACT(Metadata!L218,"sediment (non-saline)"),EXACT(Metadata!L218,"surface (saline)"),EXACT(Metadata!L218,"water (saline)"),EXACT(Metadata!L218,"hypersaline (saline)"),EXACT(Metadata!L218,"aerosol (saline)"),EXACT(Metadata!L218,"sediment (saline)")))</f>
        <v>0</v>
      </c>
      <c r="AZ218" t="b">
        <f>IF(Metadata!M218="",FALSE,TRUE)</f>
        <v>0</v>
      </c>
      <c r="BA218" t="b">
        <f>IF(Metadata!N218="",FALSE,TRUE)</f>
        <v>0</v>
      </c>
      <c r="BB218" t="b">
        <f>IF(Metadata!O218="",FALSE,TRUE)</f>
        <v>0</v>
      </c>
      <c r="BC218" t="b">
        <f>AND(IF(Metadata!P218="",FALSE,TRUE),OR(EXACT(Metadata!P218,"air"),EXACT(Metadata!P218,"microbial mat/biofilm"),EXACT(Metadata!P218,"misc environment"),EXACT(Metadata!P218,"sediment"),EXACT(Metadata!P218,"soil"),EXACT(Metadata!P218,"wastewater/sludge"),EXACT(Metadata!P218,"water")))</f>
        <v>0</v>
      </c>
      <c r="BD218" t="b">
        <f>IF(Metadata!Q218="",FALSE,TRUE)</f>
        <v>0</v>
      </c>
      <c r="BE218" t="b">
        <f>IF(Metadata!R218="",FALSE,TRUE)</f>
        <v>0</v>
      </c>
      <c r="BF218" t="b">
        <f>OR(AND(IF(Metadata!S218="",FALSE,TRUE),OR(EXACT(Metadata!S218,"not collected"),EXACT(Metadata!S218,"not provided"),EXACT(Metadata!S218,"restricted access"))),AND(IF(Metadata!S218="",FALSE,ISNUMBER(VALUE(Metadata!S218))),Metadata!S218&gt;=-90,Metadata!S218&lt;=90))</f>
        <v>0</v>
      </c>
      <c r="BG218" t="b">
        <f>AND(IF(Metadata!T218="",FALSE,TRUE),EXACT(Metadata!T218,"Decimal degrees"))</f>
        <v>0</v>
      </c>
      <c r="BH218" t="b">
        <f>OR(AND(IF(Metadata!U218="",FALSE,TRUE),OR(EXACT(Metadata!U218,"not applicable"),EXACT(Metadata!U218,"not collected"))),IF(Metadata!U218="",FALSE,TRUE))</f>
        <v>0</v>
      </c>
      <c r="BI218" t="b">
        <f>OR(AND(IF(Metadata!V218="",FALSE,TRUE),OR(EXACT(Metadata!V218,"not collected"),EXACT(Metadata!V218,"not provided"),EXACT(Metadata!V218,"restricted access"))),AND(IF(Metadata!V218="",FALSE,ISNUMBER(VALUE(Metadata!V218))),Metadata!V218&gt;=-180,Metadata!V218&lt;=180))</f>
        <v>0</v>
      </c>
      <c r="BJ218" t="b">
        <f>AND(IF(Metadata!W218="",FALSE,TRUE),EXACT(Metadata!W218,"Decimal degrees"))</f>
        <v>0</v>
      </c>
      <c r="BK218" t="b">
        <f>IF(Metadata!X218="",FALSE,TRUE)</f>
        <v>0</v>
      </c>
      <c r="BL218" t="b">
        <f>OR(AND(IF(Metadata!Y218="",FALSE,TRUE),OR(EXACT(Metadata!Y218,"not collected"),EXACT(Metadata!Y218,"not provided"),EXACT(Metadata!Y218,"restricted access"))),AND(IF(Metadata!Y218="",FALSE,TRUE),OR(EXACT(Metadata!Y218,"TRUE"),EXACT(Metadata!Y218,"FALSE"))))</f>
        <v>0</v>
      </c>
      <c r="BM218" t="b">
        <f>OR(AND(IF(Metadata!Z218="",FALSE,TRUE),EXACT(Metadata!Z218,"not applicable")),AND(IF(Metadata!Z218="",FALSE,TRUE),OR(EXACT(Metadata!Z218,"beer"),EXACT(Metadata!Z218,"cheese"),EXACT(Metadata!Z218,"fresh water"),EXACT(Metadata!Z218,"marine sediment"),EXACT(Metadata!Z218,"sea water"),EXACT(Metadata!Z218,"sediment"),EXACT(Metadata!Z218,"soil"),EXACT(Metadata!Z218,"waste water"))))</f>
        <v>0</v>
      </c>
      <c r="BN218" t="b">
        <f>AND(IF(Metadata!AA218="",FALSE,TRUE),EXACT(Metadata!AA218,"metagenome"))</f>
        <v>0</v>
      </c>
      <c r="BO218" t="b">
        <f>AND(IF(Metadata!AB218="",FALSE,TRUE),EXACT(Metadata!AB218,"256318"))</f>
        <v>0</v>
      </c>
      <c r="BP218" t="b">
        <f>IF(Metadata!AC218="",FALSE,TRUE)</f>
        <v>0</v>
      </c>
      <c r="BQ218" t="b">
        <f>IF(Metadata!AD218="",FALSE,TRUE)</f>
        <v>0</v>
      </c>
    </row>
    <row r="219" spans="1:69" x14ac:dyDescent="0.2">
      <c r="A219" s="4" t="e">
        <f ca="1">IF(B219=" "," ",HYPERLINK(CONCATENATE("#metadata!",ADDRESS(INDEX($AJ$2:$AJ$1001,MATCH(ROWS($AH$2:AH219),$AH$2:$AH$1001,0),0),2)),INDEX($AM$2:$AM$1001,MATCH(ROWS($AH$2:AH219),$AH$2:$AH$1001,0),0)))</f>
        <v>#N/A</v>
      </c>
      <c r="B219" s="5" t="e">
        <f ca="1">IF(OR(INDEX($AI$2:$AI$1001,MATCH(ROWS($AH$2:AH219),$AH$2:$AH$1001,0),1)&gt;=100000,INDEX($AO$1005:$BQ$1005,1,MATCH(COLUMNS($AO$1006:AO1006),$AO$1006:$BQ$1006,0))&gt;=100000), " ",IF(INDEX($AO$2:$BQ$1001,MATCH(ROWS($AH$2:AH219),$AH$2:$AH$1001,0),MATCH(COLUMNS($AO$1006:AO1006),$AO$1006:$BQ$1006,0)), HYPERLINK("#",""), HYPERLINK(CONCATENATE("#Metadata!", ADDRESS(INDEX($AJ$2:$AJ$1001,MATCH(ROWS($AH$2:AH219),$AH$2:$AH$1001,0),0), INDEX($AO$1004:$BQ$1004,1,MATCH(COLUMNS($AO$1006:AO1006),$AO$1006:$BQ$1006,0)))),"Fix")))</f>
        <v>#N/A</v>
      </c>
      <c r="C219" s="5" t="e">
        <f ca="1">IF(OR(INDEX($AI$2:$AI$1001,MATCH(ROWS($AH$2:AH219),$AH$2:$AH$1001,0),1)&gt;=100000,INDEX($AO$1005:$BQ$1005,1,MATCH(COLUMNS($AO$1006:AP1006),$AO$1006:$BQ$1006,0))&gt;=100000), " ",IF(INDEX($AO$2:$BQ$1001,MATCH(ROWS($AH$2:AH219),$AH$2:$AH$1001,0),MATCH(COLUMNS($AO$1006:AP1006),$AO$1006:$BQ$1006,0)), HYPERLINK("#",""), HYPERLINK(CONCATENATE("#Metadata!", ADDRESS(INDEX($AJ$2:$AJ$1001,MATCH(ROWS($AH$2:AH219),$AH$2:$AH$1001,0),0), INDEX($AO$1004:$BQ$1004,1,MATCH(COLUMNS($AO$1006:AP1006),$AO$1006:$BQ$1006,0)))),"Fix")))</f>
        <v>#N/A</v>
      </c>
      <c r="D219" s="5" t="e">
        <f ca="1">IF(OR(INDEX($AI$2:$AI$1001,MATCH(ROWS($AH$2:AH219),$AH$2:$AH$1001,0),1)&gt;=100000,INDEX($AO$1005:$BQ$1005,1,MATCH(COLUMNS($AO$1006:AQ1006),$AO$1006:$BQ$1006,0))&gt;=100000), " ",IF(INDEX($AO$2:$BQ$1001,MATCH(ROWS($AH$2:AH219),$AH$2:$AH$1001,0),MATCH(COLUMNS($AO$1006:AQ1006),$AO$1006:$BQ$1006,0)), HYPERLINK("#",""), HYPERLINK(CONCATENATE("#Metadata!", ADDRESS(INDEX($AJ$2:$AJ$1001,MATCH(ROWS($AH$2:AH219),$AH$2:$AH$1001,0),0), INDEX($AO$1004:$BQ$1004,1,MATCH(COLUMNS($AO$1006:AQ1006),$AO$1006:$BQ$1006,0)))),"Fix")))</f>
        <v>#N/A</v>
      </c>
      <c r="E219" s="5" t="e">
        <f ca="1">IF(OR(INDEX($AI$2:$AI$1001,MATCH(ROWS($AH$2:AH219),$AH$2:$AH$1001,0),1)&gt;=100000,INDEX($AO$1005:$BQ$1005,1,MATCH(COLUMNS($AO$1006:AR1006),$AO$1006:$BQ$1006,0))&gt;=100000), " ",IF(INDEX($AO$2:$BQ$1001,MATCH(ROWS($AH$2:AH219),$AH$2:$AH$1001,0),MATCH(COLUMNS($AO$1006:AR1006),$AO$1006:$BQ$1006,0)), HYPERLINK("#",""), HYPERLINK(CONCATENATE("#Metadata!", ADDRESS(INDEX($AJ$2:$AJ$1001,MATCH(ROWS($AH$2:AH219),$AH$2:$AH$1001,0),0), INDEX($AO$1004:$BQ$1004,1,MATCH(COLUMNS($AO$1006:AR1006),$AO$1006:$BQ$1006,0)))),"Fix")))</f>
        <v>#N/A</v>
      </c>
      <c r="F219" s="5" t="e">
        <f ca="1">IF(OR(INDEX($AI$2:$AI$1001,MATCH(ROWS($AH$2:AH219),$AH$2:$AH$1001,0),1)&gt;=100000,INDEX($AO$1005:$BQ$1005,1,MATCH(COLUMNS($AO$1006:AS1006),$AO$1006:$BQ$1006,0))&gt;=100000), " ",IF(INDEX($AO$2:$BQ$1001,MATCH(ROWS($AH$2:AH219),$AH$2:$AH$1001,0),MATCH(COLUMNS($AO$1006:AS1006),$AO$1006:$BQ$1006,0)), HYPERLINK("#",""), HYPERLINK(CONCATENATE("#Metadata!", ADDRESS(INDEX($AJ$2:$AJ$1001,MATCH(ROWS($AH$2:AH219),$AH$2:$AH$1001,0),0), INDEX($AO$1004:$BQ$1004,1,MATCH(COLUMNS($AO$1006:AS1006),$AO$1006:$BQ$1006,0)))),"Fix")))</f>
        <v>#N/A</v>
      </c>
      <c r="G219" s="5" t="e">
        <f ca="1">IF(OR(INDEX($AI$2:$AI$1001,MATCH(ROWS($AH$2:AH219),$AH$2:$AH$1001,0),1)&gt;=100000,INDEX($AO$1005:$BQ$1005,1,MATCH(COLUMNS($AO$1006:AT1006),$AO$1006:$BQ$1006,0))&gt;=100000), " ",IF(INDEX($AO$2:$BQ$1001,MATCH(ROWS($AH$2:AH219),$AH$2:$AH$1001,0),MATCH(COLUMNS($AO$1006:AT1006),$AO$1006:$BQ$1006,0)), HYPERLINK("#",""), HYPERLINK(CONCATENATE("#Metadata!", ADDRESS(INDEX($AJ$2:$AJ$1001,MATCH(ROWS($AH$2:AH219),$AH$2:$AH$1001,0),0), INDEX($AO$1004:$BQ$1004,1,MATCH(COLUMNS($AO$1006:AT1006),$AO$1006:$BQ$1006,0)))),"Fix")))</f>
        <v>#N/A</v>
      </c>
      <c r="H219" s="5" t="e">
        <f ca="1">IF(OR(INDEX($AI$2:$AI$1001,MATCH(ROWS($AH$2:AH219),$AH$2:$AH$1001,0),1)&gt;=100000,INDEX($AO$1005:$BQ$1005,1,MATCH(COLUMNS($AO$1006:AU1006),$AO$1006:$BQ$1006,0))&gt;=100000), " ",IF(INDEX($AO$2:$BQ$1001,MATCH(ROWS($AH$2:AH219),$AH$2:$AH$1001,0),MATCH(COLUMNS($AO$1006:AU1006),$AO$1006:$BQ$1006,0)), HYPERLINK("#",""), HYPERLINK(CONCATENATE("#Metadata!", ADDRESS(INDEX($AJ$2:$AJ$1001,MATCH(ROWS($AH$2:AH219),$AH$2:$AH$1001,0),0), INDEX($AO$1004:$BQ$1004,1,MATCH(COLUMNS($AO$1006:AU1006),$AO$1006:$BQ$1006,0)))),"Fix")))</f>
        <v>#N/A</v>
      </c>
      <c r="I219" s="5" t="e">
        <f ca="1">IF(OR(INDEX($AI$2:$AI$1001,MATCH(ROWS($AH$2:AH219),$AH$2:$AH$1001,0),1)&gt;=100000,INDEX($AO$1005:$BQ$1005,1,MATCH(COLUMNS($AO$1006:AV1006),$AO$1006:$BQ$1006,0))&gt;=100000), " ",IF(INDEX($AO$2:$BQ$1001,MATCH(ROWS($AH$2:AH219),$AH$2:$AH$1001,0),MATCH(COLUMNS($AO$1006:AV1006),$AO$1006:$BQ$1006,0)), HYPERLINK("#",""), HYPERLINK(CONCATENATE("#Metadata!", ADDRESS(INDEX($AJ$2:$AJ$1001,MATCH(ROWS($AH$2:AH219),$AH$2:$AH$1001,0),0), INDEX($AO$1004:$BQ$1004,1,MATCH(COLUMNS($AO$1006:AV1006),$AO$1006:$BQ$1006,0)))),"Fix")))</f>
        <v>#N/A</v>
      </c>
      <c r="J219" s="5" t="e">
        <f ca="1">IF(OR(INDEX($AI$2:$AI$1001,MATCH(ROWS($AH$2:AH219),$AH$2:$AH$1001,0),1)&gt;=100000,INDEX($AO$1005:$BQ$1005,1,MATCH(COLUMNS($AO$1006:AW1006),$AO$1006:$BQ$1006,0))&gt;=100000), " ",IF(INDEX($AO$2:$BQ$1001,MATCH(ROWS($AH$2:AH219),$AH$2:$AH$1001,0),MATCH(COLUMNS($AO$1006:AW1006),$AO$1006:$BQ$1006,0)), HYPERLINK("#",""), HYPERLINK(CONCATENATE("#Metadata!", ADDRESS(INDEX($AJ$2:$AJ$1001,MATCH(ROWS($AH$2:AH219),$AH$2:$AH$1001,0),0), INDEX($AO$1004:$BQ$1004,1,MATCH(COLUMNS($AO$1006:AW1006),$AO$1006:$BQ$1006,0)))),"Fix")))</f>
        <v>#N/A</v>
      </c>
      <c r="K219" s="5" t="e">
        <f ca="1">IF(OR(INDEX($AI$2:$AI$1001,MATCH(ROWS($AH$2:AH219),$AH$2:$AH$1001,0),1)&gt;=100000,INDEX($AO$1005:$BQ$1005,1,MATCH(COLUMNS($AO$1006:AX1006),$AO$1006:$BQ$1006,0))&gt;=100000), " ",IF(INDEX($AO$2:$BQ$1001,MATCH(ROWS($AH$2:AH219),$AH$2:$AH$1001,0),MATCH(COLUMNS($AO$1006:AX1006),$AO$1006:$BQ$1006,0)), HYPERLINK("#",""), HYPERLINK(CONCATENATE("#Metadata!", ADDRESS(INDEX($AJ$2:$AJ$1001,MATCH(ROWS($AH$2:AH219),$AH$2:$AH$1001,0),0), INDEX($AO$1004:$BQ$1004,1,MATCH(COLUMNS($AO$1006:AX1006),$AO$1006:$BQ$1006,0)))),"Fix")))</f>
        <v>#N/A</v>
      </c>
      <c r="L219" s="5" t="e">
        <f ca="1">IF(OR(INDEX($AI$2:$AI$1001,MATCH(ROWS($AH$2:AH219),$AH$2:$AH$1001,0),1)&gt;=100000,INDEX($AO$1005:$BQ$1005,1,MATCH(COLUMNS($AO$1006:AY1006),$AO$1006:$BQ$1006,0))&gt;=100000), " ",IF(INDEX($AO$2:$BQ$1001,MATCH(ROWS($AH$2:AH219),$AH$2:$AH$1001,0),MATCH(COLUMNS($AO$1006:AY1006),$AO$1006:$BQ$1006,0)), HYPERLINK("#",""), HYPERLINK(CONCATENATE("#Metadata!", ADDRESS(INDEX($AJ$2:$AJ$1001,MATCH(ROWS($AH$2:AH219),$AH$2:$AH$1001,0),0), INDEX($AO$1004:$BQ$1004,1,MATCH(COLUMNS($AO$1006:AY1006),$AO$1006:$BQ$1006,0)))),"Fix")))</f>
        <v>#N/A</v>
      </c>
      <c r="M219" s="5" t="e">
        <f ca="1">IF(OR(INDEX($AI$2:$AI$1001,MATCH(ROWS($AH$2:AH219),$AH$2:$AH$1001,0),1)&gt;=100000,INDEX($AO$1005:$BQ$1005,1,MATCH(COLUMNS($AO$1006:AZ1006),$AO$1006:$BQ$1006,0))&gt;=100000), " ",IF(INDEX($AO$2:$BQ$1001,MATCH(ROWS($AH$2:AH219),$AH$2:$AH$1001,0),MATCH(COLUMNS($AO$1006:AZ1006),$AO$1006:$BQ$1006,0)), HYPERLINK("#",""), HYPERLINK(CONCATENATE("#Metadata!", ADDRESS(INDEX($AJ$2:$AJ$1001,MATCH(ROWS($AH$2:AH219),$AH$2:$AH$1001,0),0), INDEX($AO$1004:$BQ$1004,1,MATCH(COLUMNS($AO$1006:AZ1006),$AO$1006:$BQ$1006,0)))),"Fix")))</f>
        <v>#N/A</v>
      </c>
      <c r="N219" s="5" t="e">
        <f ca="1">IF(OR(INDEX($AI$2:$AI$1001,MATCH(ROWS($AH$2:AH219),$AH$2:$AH$1001,0),1)&gt;=100000,INDEX($AO$1005:$BQ$1005,1,MATCH(COLUMNS($AO$1006:BA1006),$AO$1006:$BQ$1006,0))&gt;=100000), " ",IF(INDEX($AO$2:$BQ$1001,MATCH(ROWS($AH$2:AH219),$AH$2:$AH$1001,0),MATCH(COLUMNS($AO$1006:BA1006),$AO$1006:$BQ$1006,0)), HYPERLINK("#",""), HYPERLINK(CONCATENATE("#Metadata!", ADDRESS(INDEX($AJ$2:$AJ$1001,MATCH(ROWS($AH$2:AH219),$AH$2:$AH$1001,0),0), INDEX($AO$1004:$BQ$1004,1,MATCH(COLUMNS($AO$1006:BA1006),$AO$1006:$BQ$1006,0)))),"Fix")))</f>
        <v>#N/A</v>
      </c>
      <c r="O219" s="5" t="e">
        <f ca="1">IF(OR(INDEX($AI$2:$AI$1001,MATCH(ROWS($AH$2:AH219),$AH$2:$AH$1001,0),1)&gt;=100000,INDEX($AO$1005:$BQ$1005,1,MATCH(COLUMNS($AO$1006:BB1006),$AO$1006:$BQ$1006,0))&gt;=100000), " ",IF(INDEX($AO$2:$BQ$1001,MATCH(ROWS($AH$2:AH219),$AH$2:$AH$1001,0),MATCH(COLUMNS($AO$1006:BB1006),$AO$1006:$BQ$1006,0)), HYPERLINK("#",""), HYPERLINK(CONCATENATE("#Metadata!", ADDRESS(INDEX($AJ$2:$AJ$1001,MATCH(ROWS($AH$2:AH219),$AH$2:$AH$1001,0),0), INDEX($AO$1004:$BQ$1004,1,MATCH(COLUMNS($AO$1006:BB1006),$AO$1006:$BQ$1006,0)))),"Fix")))</f>
        <v>#N/A</v>
      </c>
      <c r="P219" s="5" t="e">
        <f ca="1">IF(OR(INDEX($AI$2:$AI$1001,MATCH(ROWS($AH$2:AH219),$AH$2:$AH$1001,0),1)&gt;=100000,INDEX($AO$1005:$BQ$1005,1,MATCH(COLUMNS($AO$1006:BC1006),$AO$1006:$BQ$1006,0))&gt;=100000), " ",IF(INDEX($AO$2:$BQ$1001,MATCH(ROWS($AH$2:AH219),$AH$2:$AH$1001,0),MATCH(COLUMNS($AO$1006:BC1006),$AO$1006:$BQ$1006,0)), HYPERLINK("#",""), HYPERLINK(CONCATENATE("#Metadata!", ADDRESS(INDEX($AJ$2:$AJ$1001,MATCH(ROWS($AH$2:AH219),$AH$2:$AH$1001,0),0), INDEX($AO$1004:$BQ$1004,1,MATCH(COLUMNS($AO$1006:BC1006),$AO$1006:$BQ$1006,0)))),"Fix")))</f>
        <v>#N/A</v>
      </c>
      <c r="Q219" s="5" t="e">
        <f ca="1">IF(OR(INDEX($AI$2:$AI$1001,MATCH(ROWS($AH$2:AH219),$AH$2:$AH$1001,0),1)&gt;=100000,INDEX($AO$1005:$BQ$1005,1,MATCH(COLUMNS($AO$1006:BD1006),$AO$1006:$BQ$1006,0))&gt;=100000), " ",IF(INDEX($AO$2:$BQ$1001,MATCH(ROWS($AH$2:AH219),$AH$2:$AH$1001,0),MATCH(COLUMNS($AO$1006:BD1006),$AO$1006:$BQ$1006,0)), HYPERLINK("#",""), HYPERLINK(CONCATENATE("#Metadata!", ADDRESS(INDEX($AJ$2:$AJ$1001,MATCH(ROWS($AH$2:AH219),$AH$2:$AH$1001,0),0), INDEX($AO$1004:$BQ$1004,1,MATCH(COLUMNS($AO$1006:BD1006),$AO$1006:$BQ$1006,0)))),"Fix")))</f>
        <v>#N/A</v>
      </c>
      <c r="R219" s="5" t="e">
        <f ca="1">IF(OR(INDEX($AI$2:$AI$1001,MATCH(ROWS($AH$2:AH219),$AH$2:$AH$1001,0),1)&gt;=100000,INDEX($AO$1005:$BQ$1005,1,MATCH(COLUMNS($AO$1006:BE1006),$AO$1006:$BQ$1006,0))&gt;=100000), " ",IF(INDEX($AO$2:$BQ$1001,MATCH(ROWS($AH$2:AH219),$AH$2:$AH$1001,0),MATCH(COLUMNS($AO$1006:BE1006),$AO$1006:$BQ$1006,0)), HYPERLINK("#",""), HYPERLINK(CONCATENATE("#Metadata!", ADDRESS(INDEX($AJ$2:$AJ$1001,MATCH(ROWS($AH$2:AH219),$AH$2:$AH$1001,0),0), INDEX($AO$1004:$BQ$1004,1,MATCH(COLUMNS($AO$1006:BE1006),$AO$1006:$BQ$1006,0)))),"Fix")))</f>
        <v>#N/A</v>
      </c>
      <c r="S219" s="5" t="e">
        <f ca="1">IF(OR(INDEX($AI$2:$AI$1001,MATCH(ROWS($AH$2:AH219),$AH$2:$AH$1001,0),1)&gt;=100000,INDEX($AO$1005:$BQ$1005,1,MATCH(COLUMNS($AO$1006:BF1006),$AO$1006:$BQ$1006,0))&gt;=100000), " ",IF(INDEX($AO$2:$BQ$1001,MATCH(ROWS($AH$2:AH219),$AH$2:$AH$1001,0),MATCH(COLUMNS($AO$1006:BF1006),$AO$1006:$BQ$1006,0)), HYPERLINK("#",""), HYPERLINK(CONCATENATE("#Metadata!", ADDRESS(INDEX($AJ$2:$AJ$1001,MATCH(ROWS($AH$2:AH219),$AH$2:$AH$1001,0),0), INDEX($AO$1004:$BQ$1004,1,MATCH(COLUMNS($AO$1006:BF1006),$AO$1006:$BQ$1006,0)))),"Fix")))</f>
        <v>#N/A</v>
      </c>
      <c r="T219" s="5" t="e">
        <f ca="1">IF(OR(INDEX($AI$2:$AI$1001,MATCH(ROWS($AH$2:AH219),$AH$2:$AH$1001,0),1)&gt;=100000,INDEX($AO$1005:$BQ$1005,1,MATCH(COLUMNS($AO$1006:BG1006),$AO$1006:$BQ$1006,0))&gt;=100000), " ",IF(INDEX($AO$2:$BQ$1001,MATCH(ROWS($AH$2:AH219),$AH$2:$AH$1001,0),MATCH(COLUMNS($AO$1006:BG1006),$AO$1006:$BQ$1006,0)), HYPERLINK("#",""), HYPERLINK(CONCATENATE("#Metadata!", ADDRESS(INDEX($AJ$2:$AJ$1001,MATCH(ROWS($AH$2:AH219),$AH$2:$AH$1001,0),0), INDEX($AO$1004:$BQ$1004,1,MATCH(COLUMNS($AO$1006:BG1006),$AO$1006:$BQ$1006,0)))),"Fix")))</f>
        <v>#N/A</v>
      </c>
      <c r="U219" s="5" t="e">
        <f ca="1">IF(OR(INDEX($AI$2:$AI$1001,MATCH(ROWS($AH$2:AH219),$AH$2:$AH$1001,0),1)&gt;=100000,INDEX($AO$1005:$BQ$1005,1,MATCH(COLUMNS($AO$1006:BH1006),$AO$1006:$BQ$1006,0))&gt;=100000), " ",IF(INDEX($AO$2:$BQ$1001,MATCH(ROWS($AH$2:AH219),$AH$2:$AH$1001,0),MATCH(COLUMNS($AO$1006:BH1006),$AO$1006:$BQ$1006,0)), HYPERLINK("#",""), HYPERLINK(CONCATENATE("#Metadata!", ADDRESS(INDEX($AJ$2:$AJ$1001,MATCH(ROWS($AH$2:AH219),$AH$2:$AH$1001,0),0), INDEX($AO$1004:$BQ$1004,1,MATCH(COLUMNS($AO$1006:BH1006),$AO$1006:$BQ$1006,0)))),"Fix")))</f>
        <v>#N/A</v>
      </c>
      <c r="V219" s="5" t="e">
        <f ca="1">IF(OR(INDEX($AI$2:$AI$1001,MATCH(ROWS($AH$2:AH219),$AH$2:$AH$1001,0),1)&gt;=100000,INDEX($AO$1005:$BQ$1005,1,MATCH(COLUMNS($AO$1006:BI1006),$AO$1006:$BQ$1006,0))&gt;=100000), " ",IF(INDEX($AO$2:$BQ$1001,MATCH(ROWS($AH$2:AH219),$AH$2:$AH$1001,0),MATCH(COLUMNS($AO$1006:BI1006),$AO$1006:$BQ$1006,0)), HYPERLINK("#",""), HYPERLINK(CONCATENATE("#Metadata!", ADDRESS(INDEX($AJ$2:$AJ$1001,MATCH(ROWS($AH$2:AH219),$AH$2:$AH$1001,0),0), INDEX($AO$1004:$BQ$1004,1,MATCH(COLUMNS($AO$1006:BI1006),$AO$1006:$BQ$1006,0)))),"Fix")))</f>
        <v>#N/A</v>
      </c>
      <c r="W219" s="5" t="e">
        <f ca="1">IF(OR(INDEX($AI$2:$AI$1001,MATCH(ROWS($AH$2:AH219),$AH$2:$AH$1001,0),1)&gt;=100000,INDEX($AO$1005:$BQ$1005,1,MATCH(COLUMNS($AO$1006:BJ1006),$AO$1006:$BQ$1006,0))&gt;=100000), " ",IF(INDEX($AO$2:$BQ$1001,MATCH(ROWS($AH$2:AH219),$AH$2:$AH$1001,0),MATCH(COLUMNS($AO$1006:BJ1006),$AO$1006:$BQ$1006,0)), HYPERLINK("#",""), HYPERLINK(CONCATENATE("#Metadata!", ADDRESS(INDEX($AJ$2:$AJ$1001,MATCH(ROWS($AH$2:AH219),$AH$2:$AH$1001,0),0), INDEX($AO$1004:$BQ$1004,1,MATCH(COLUMNS($AO$1006:BJ1006),$AO$1006:$BQ$1006,0)))),"Fix")))</f>
        <v>#N/A</v>
      </c>
      <c r="X219" s="5" t="e">
        <f ca="1">IF(OR(INDEX($AI$2:$AI$1001,MATCH(ROWS($AH$2:AH219),$AH$2:$AH$1001,0),1)&gt;=100000,INDEX($AO$1005:$BQ$1005,1,MATCH(COLUMNS($AO$1006:BK1006),$AO$1006:$BQ$1006,0))&gt;=100000), " ",IF(INDEX($AO$2:$BQ$1001,MATCH(ROWS($AH$2:AH219),$AH$2:$AH$1001,0),MATCH(COLUMNS($AO$1006:BK1006),$AO$1006:$BQ$1006,0)), HYPERLINK("#",""), HYPERLINK(CONCATENATE("#Metadata!", ADDRESS(INDEX($AJ$2:$AJ$1001,MATCH(ROWS($AH$2:AH219),$AH$2:$AH$1001,0),0), INDEX($AO$1004:$BQ$1004,1,MATCH(COLUMNS($AO$1006:BK1006),$AO$1006:$BQ$1006,0)))),"Fix")))</f>
        <v>#N/A</v>
      </c>
      <c r="Y219" s="5" t="e">
        <f ca="1">IF(OR(INDEX($AI$2:$AI$1001,MATCH(ROWS($AH$2:AH219),$AH$2:$AH$1001,0),1)&gt;=100000,INDEX($AO$1005:$BQ$1005,1,MATCH(COLUMNS($AO$1006:BL1006),$AO$1006:$BQ$1006,0))&gt;=100000), " ",IF(INDEX($AO$2:$BQ$1001,MATCH(ROWS($AH$2:AH219),$AH$2:$AH$1001,0),MATCH(COLUMNS($AO$1006:BL1006),$AO$1006:$BQ$1006,0)), HYPERLINK("#",""), HYPERLINK(CONCATENATE("#Metadata!", ADDRESS(INDEX($AJ$2:$AJ$1001,MATCH(ROWS($AH$2:AH219),$AH$2:$AH$1001,0),0), INDEX($AO$1004:$BQ$1004,1,MATCH(COLUMNS($AO$1006:BL1006),$AO$1006:$BQ$1006,0)))),"Fix")))</f>
        <v>#N/A</v>
      </c>
      <c r="Z219" s="5" t="e">
        <f ca="1">IF(OR(INDEX($AI$2:$AI$1001,MATCH(ROWS($AH$2:AH219),$AH$2:$AH$1001,0),1)&gt;=100000,INDEX($AO$1005:$BQ$1005,1,MATCH(COLUMNS($AO$1006:BM1006),$AO$1006:$BQ$1006,0))&gt;=100000), " ",IF(INDEX($AO$2:$BQ$1001,MATCH(ROWS($AH$2:AH219),$AH$2:$AH$1001,0),MATCH(COLUMNS($AO$1006:BM1006),$AO$1006:$BQ$1006,0)), HYPERLINK("#",""), HYPERLINK(CONCATENATE("#Metadata!", ADDRESS(INDEX($AJ$2:$AJ$1001,MATCH(ROWS($AH$2:AH219),$AH$2:$AH$1001,0),0), INDEX($AO$1004:$BQ$1004,1,MATCH(COLUMNS($AO$1006:BM1006),$AO$1006:$BQ$1006,0)))),"Fix")))</f>
        <v>#N/A</v>
      </c>
      <c r="AA219" s="5" t="e">
        <f ca="1">IF(OR(INDEX($AI$2:$AI$1001,MATCH(ROWS($AH$2:AH219),$AH$2:$AH$1001,0),1)&gt;=100000,INDEX($AO$1005:$BQ$1005,1,MATCH(COLUMNS($AO$1006:BN1006),$AO$1006:$BQ$1006,0))&gt;=100000), " ",IF(INDEX($AO$2:$BQ$1001,MATCH(ROWS($AH$2:AH219),$AH$2:$AH$1001,0),MATCH(COLUMNS($AO$1006:BN1006),$AO$1006:$BQ$1006,0)), HYPERLINK("#",""), HYPERLINK(CONCATENATE("#Metadata!", ADDRESS(INDEX($AJ$2:$AJ$1001,MATCH(ROWS($AH$2:AH219),$AH$2:$AH$1001,0),0), INDEX($AO$1004:$BQ$1004,1,MATCH(COLUMNS($AO$1006:BN1006),$AO$1006:$BQ$1006,0)))),"Fix")))</f>
        <v>#N/A</v>
      </c>
      <c r="AB219" s="5" t="e">
        <f ca="1">IF(OR(INDEX($AI$2:$AI$1001,MATCH(ROWS($AH$2:AH219),$AH$2:$AH$1001,0),1)&gt;=100000,INDEX($AO$1005:$BQ$1005,1,MATCH(COLUMNS($AO$1006:BO1006),$AO$1006:$BQ$1006,0))&gt;=100000), " ",IF(INDEX($AO$2:$BQ$1001,MATCH(ROWS($AH$2:AH219),$AH$2:$AH$1001,0),MATCH(COLUMNS($AO$1006:BO1006),$AO$1006:$BQ$1006,0)), HYPERLINK("#",""), HYPERLINK(CONCATENATE("#Metadata!", ADDRESS(INDEX($AJ$2:$AJ$1001,MATCH(ROWS($AH$2:AH219),$AH$2:$AH$1001,0),0), INDEX($AO$1004:$BQ$1004,1,MATCH(COLUMNS($AO$1006:BO1006),$AO$1006:$BQ$1006,0)))),"Fix")))</f>
        <v>#N/A</v>
      </c>
      <c r="AC219" s="5" t="e">
        <f ca="1">IF(OR(INDEX($AI$2:$AI$1001,MATCH(ROWS($AH$2:AH219),$AH$2:$AH$1001,0),1)&gt;=100000,INDEX($AO$1005:$BQ$1005,1,MATCH(COLUMNS($AO$1006:BP1006),$AO$1006:$BQ$1006,0))&gt;=100000), " ",IF(INDEX($AO$2:$BQ$1001,MATCH(ROWS($AH$2:AH219),$AH$2:$AH$1001,0),MATCH(COLUMNS($AO$1006:BP1006),$AO$1006:$BQ$1006,0)), HYPERLINK("#",""), HYPERLINK(CONCATENATE("#Metadata!", ADDRESS(INDEX($AJ$2:$AJ$1001,MATCH(ROWS($AH$2:AH219),$AH$2:$AH$1001,0),0), INDEX($AO$1004:$BQ$1004,1,MATCH(COLUMNS($AO$1006:BP1006),$AO$1006:$BQ$1006,0)))),"Fix")))</f>
        <v>#N/A</v>
      </c>
      <c r="AD219" s="5" t="e">
        <f ca="1">IF(OR(INDEX($AI$2:$AI$1001,MATCH(ROWS($AH$2:AH219),$AH$2:$AH$1001,0),1)&gt;=100000,INDEX($AO$1005:$BQ$1005,1,MATCH(COLUMNS($AO$1006:BQ1006),$AO$1006:$BQ$1006,0))&gt;=100000), " ",IF(INDEX($AO$2:$BQ$1001,MATCH(ROWS($AH$2:AH219),$AH$2:$AH$1001,0),MATCH(COLUMNS($AO$1006:BQ1006),$AO$1006:$BQ$1006,0)), HYPERLINK("#",""), HYPERLINK(CONCATENATE("#Metadata!", ADDRESS(INDEX($AJ$2:$AJ$1001,MATCH(ROWS($AH$2:AH219),$AH$2:$AH$1001,0),0), INDEX($AO$1004:$BQ$1004,1,MATCH(COLUMNS($AO$1006:BQ1006),$AO$1006:$BQ$1006,0)))),"Fix")))</f>
        <v>#REF!</v>
      </c>
      <c r="AH219">
        <f ca="1"/>
        <v>216</v>
      </c>
      <c r="AI219">
        <v>100219</v>
      </c>
      <c r="AJ219">
        <v>219</v>
      </c>
      <c r="AK219" t="b">
        <f t="shared" si="3"/>
        <v>1</v>
      </c>
      <c r="AL219" t="b">
        <f>COUNTBLANK(Metadata!B219:AD219)=COLUMNS(Metadata!B219:AD219)</f>
        <v>1</v>
      </c>
      <c r="AM219" t="str">
        <v/>
      </c>
      <c r="AO219" t="b">
        <f ca="1">AND(IF(Metadata!B219="",FALSE,TRUE),COUNTIF(Metadata!B:B, Metadata!B219) = 1,NOT(ISERROR(SUMPRODUCT(SEARCH(MID(Metadata!B219,ROW(INDIRECT("1:"&amp;LEN(Metadata!B219))), 1),"0123456789abcdefghijklmnopqrstuvwxyzABCDEFGHIJKLMNOPQRSTUVWXYZ.")))))</f>
        <v>0</v>
      </c>
      <c r="AP219" t="b">
        <f>IF(Metadata!C219="",FALSE,TRUE)</f>
        <v>0</v>
      </c>
      <c r="AQ219" t="b">
        <f>IF(Metadata!D219="",FALSE,TRUE)</f>
        <v>0</v>
      </c>
      <c r="AR219" t="b">
        <f ca="1">OR(AND(IF(Metadata!E219="",FALSE,TRUE),OR(EXACT(Metadata!E219,"not collected"),EXACT(Metadata!E219,"not provided"),EXACT(Metadata!E219,"restricted access"))),AND(IF(Metadata!E219="",FALSE,TRUE),AND(AND(IFERROR(INT(LEFT(Metadata!E219,4))&gt;1900,FALSE),IFERROR(INT(LEFT(Metadata!E219,4))&lt;=YEAR(NOW()),FALSE)), OR(MID(Metadata!E219,5,1)="", AND(AND(MID(Metadata!E219,5,1)="-",IFERROR(INT(MID(Metadata!E219,6,1))&gt;=0,FALSE),IFERROR(INT(MID(Metadata!E219,6,1))&lt;=1,FALSE),NOT(MID(Metadata!E219,7,1)=""),IFERROR(INT(MID(Metadata!E219,6,2))&gt;=1,FALSE),IFERROR(INT(MID(Metadata!E219,6,2))&lt;=12,FALSE)), OR(MID(Metadata!E219,8,1)="", AND(AND(MID(Metadata!E219,8,1)="-",IFERROR(INT(MID(Metadata!E219,9,1))&gt;=0,FALSE),IFERROR(INT(MID(Metadata!E219,9,1))&lt;=3,FALSE),NOT(MID(Metadata!E219,10,1)=""),IFERROR(INT(MID(Metadata!E219,9,2))&gt;=1,FALSE),IFERROR(INT(MID(Metadata!E219,9,2))&lt;=31,FALSE)), OR(MID(Metadata!E219,11,1)="", AND(AND(MID(Metadata!E219,11,1)=" ",IFERROR(INT(MID(Metadata!E219,12,1))&gt;=0,FALSE),IFERROR(INT(MID(Metadata!E219,12,1))&lt;=2,FALSE),NOT(MID(Metadata!E219,13,1)=""),IFERROR(INT(MID(Metadata!E219,12,2))&gt;=0,FALSE),IFERROR(INT(MID(Metadata!E219,12,2))&lt;=23,FALSE)), OR(MID(Metadata!E219,14,1)="", AND(AND(MID(Metadata!E219,14,1)=":",IFERROR(INT(MID(Metadata!E219,15,1))&gt;=0,FALSE),IFERROR(INT(MID(Metadata!E219,15,1))&lt;=5,FALSE),NOT(MID(Metadata!E219,16,1)=""),IFERROR(INT(MID(Metadata!E219,15,2))&gt;=0,FALSE),IFERROR(INT(MID(Metadata!E219,15,2))&lt;=59,FALSE)), OR(MID(Metadata!E219,17,1)="", AND(AND(MID(Metadata!E219,17,1)=":",IFERROR(INT(MID(Metadata!E219,18,1))&gt;=0,FALSE),IFERROR(INT(MID(Metadata!E219,18,1))&lt;=5,FALSE),NOT(MID(Metadata!E219,19,1)=""),IFERROR(INT(MID(Metadata!E219,18,2))&gt;=0,FALSE),IFERROR(INT(MID(Metadata!E219,18,2))&lt;=59,FALSE)), LEN(Metadata!E219)&lt;=19)))))))))))))</f>
        <v>0</v>
      </c>
      <c r="AS219" t="b">
        <f>IF(Metadata!F219="",FALSE,TRUE)</f>
        <v>0</v>
      </c>
      <c r="AT219" t="b">
        <f>OR(AND(IF(Metadata!G219="",FALSE,TRUE),OR(EXACT(Metadata!G219,"not collected"),EXACT(Metadata!G219,"not provided"))),AND(IF(Metadata!G219="",FALSE,TRUE),OR(EXACT(Metadata!G219,"TRUE"),EXACT(Metadata!G219,"FALSE"))))</f>
        <v>0</v>
      </c>
      <c r="AU219" t="b">
        <f>OR(AND(IF(Metadata!H219="",FALSE,TRUE),OR(EXACT(Metadata!H219,"not collected"),EXACT(Metadata!H219,"not provided"),EXACT(Metadata!H219,"restricted access"))),AND(IF(Metadata!H219="",FALSE,ISNUMBER(VALUE(Metadata!H219))),Metadata!H219&gt;=-413))</f>
        <v>0</v>
      </c>
      <c r="AV219" t="b">
        <f>AND(IF(Metadata!I219="",FALSE,TRUE),EXACT(Metadata!I219,"meters"))</f>
        <v>0</v>
      </c>
      <c r="AW219" t="b">
        <f>AND(IF(Metadata!J219="",FALSE,TRUE),EXACT(Metadata!J219,"free-living"))</f>
        <v>0</v>
      </c>
      <c r="AX219" t="b">
        <f>AND(IF(Metadata!K219="",FALSE,TRUE),OR(EXACT(Metadata!K219,"saline"),EXACT(Metadata!K219,"non-saline")))</f>
        <v>0</v>
      </c>
      <c r="AY219" t="b">
        <f>AND(IF(Metadata!L219="",FALSE,TRUE),OR(EXACT(Metadata!L219,"sub-surface (non-saline)"),EXACT(Metadata!L219,"surface (non-saline)"),EXACT(Metadata!L219,"water (non-saline)"),EXACT(Metadata!L219,"soil (non-saline)"),EXACT(Metadata!L219,"aerosol (non-saline)"),EXACT(Metadata!L219,"sediment (non-saline)"),EXACT(Metadata!L219,"surface (saline)"),EXACT(Metadata!L219,"water (saline)"),EXACT(Metadata!L219,"hypersaline (saline)"),EXACT(Metadata!L219,"aerosol (saline)"),EXACT(Metadata!L219,"sediment (saline)")))</f>
        <v>0</v>
      </c>
      <c r="AZ219" t="b">
        <f>IF(Metadata!M219="",FALSE,TRUE)</f>
        <v>0</v>
      </c>
      <c r="BA219" t="b">
        <f>IF(Metadata!N219="",FALSE,TRUE)</f>
        <v>0</v>
      </c>
      <c r="BB219" t="b">
        <f>IF(Metadata!O219="",FALSE,TRUE)</f>
        <v>0</v>
      </c>
      <c r="BC219" t="b">
        <f>AND(IF(Metadata!P219="",FALSE,TRUE),OR(EXACT(Metadata!P219,"air"),EXACT(Metadata!P219,"microbial mat/biofilm"),EXACT(Metadata!P219,"misc environment"),EXACT(Metadata!P219,"sediment"),EXACT(Metadata!P219,"soil"),EXACT(Metadata!P219,"wastewater/sludge"),EXACT(Metadata!P219,"water")))</f>
        <v>0</v>
      </c>
      <c r="BD219" t="b">
        <f>IF(Metadata!Q219="",FALSE,TRUE)</f>
        <v>0</v>
      </c>
      <c r="BE219" t="b">
        <f>IF(Metadata!R219="",FALSE,TRUE)</f>
        <v>0</v>
      </c>
      <c r="BF219" t="b">
        <f>OR(AND(IF(Metadata!S219="",FALSE,TRUE),OR(EXACT(Metadata!S219,"not collected"),EXACT(Metadata!S219,"not provided"),EXACT(Metadata!S219,"restricted access"))),AND(IF(Metadata!S219="",FALSE,ISNUMBER(VALUE(Metadata!S219))),Metadata!S219&gt;=-90,Metadata!S219&lt;=90))</f>
        <v>0</v>
      </c>
      <c r="BG219" t="b">
        <f>AND(IF(Metadata!T219="",FALSE,TRUE),EXACT(Metadata!T219,"Decimal degrees"))</f>
        <v>0</v>
      </c>
      <c r="BH219" t="b">
        <f>OR(AND(IF(Metadata!U219="",FALSE,TRUE),OR(EXACT(Metadata!U219,"not applicable"),EXACT(Metadata!U219,"not collected"))),IF(Metadata!U219="",FALSE,TRUE))</f>
        <v>0</v>
      </c>
      <c r="BI219" t="b">
        <f>OR(AND(IF(Metadata!V219="",FALSE,TRUE),OR(EXACT(Metadata!V219,"not collected"),EXACT(Metadata!V219,"not provided"),EXACT(Metadata!V219,"restricted access"))),AND(IF(Metadata!V219="",FALSE,ISNUMBER(VALUE(Metadata!V219))),Metadata!V219&gt;=-180,Metadata!V219&lt;=180))</f>
        <v>0</v>
      </c>
      <c r="BJ219" t="b">
        <f>AND(IF(Metadata!W219="",FALSE,TRUE),EXACT(Metadata!W219,"Decimal degrees"))</f>
        <v>0</v>
      </c>
      <c r="BK219" t="b">
        <f>IF(Metadata!X219="",FALSE,TRUE)</f>
        <v>0</v>
      </c>
      <c r="BL219" t="b">
        <f>OR(AND(IF(Metadata!Y219="",FALSE,TRUE),OR(EXACT(Metadata!Y219,"not collected"),EXACT(Metadata!Y219,"not provided"),EXACT(Metadata!Y219,"restricted access"))),AND(IF(Metadata!Y219="",FALSE,TRUE),OR(EXACT(Metadata!Y219,"TRUE"),EXACT(Metadata!Y219,"FALSE"))))</f>
        <v>0</v>
      </c>
      <c r="BM219" t="b">
        <f>OR(AND(IF(Metadata!Z219="",FALSE,TRUE),EXACT(Metadata!Z219,"not applicable")),AND(IF(Metadata!Z219="",FALSE,TRUE),OR(EXACT(Metadata!Z219,"beer"),EXACT(Metadata!Z219,"cheese"),EXACT(Metadata!Z219,"fresh water"),EXACT(Metadata!Z219,"marine sediment"),EXACT(Metadata!Z219,"sea water"),EXACT(Metadata!Z219,"sediment"),EXACT(Metadata!Z219,"soil"),EXACT(Metadata!Z219,"waste water"))))</f>
        <v>0</v>
      </c>
      <c r="BN219" t="b">
        <f>AND(IF(Metadata!AA219="",FALSE,TRUE),EXACT(Metadata!AA219,"metagenome"))</f>
        <v>0</v>
      </c>
      <c r="BO219" t="b">
        <f>AND(IF(Metadata!AB219="",FALSE,TRUE),EXACT(Metadata!AB219,"256318"))</f>
        <v>0</v>
      </c>
      <c r="BP219" t="b">
        <f>IF(Metadata!AC219="",FALSE,TRUE)</f>
        <v>0</v>
      </c>
      <c r="BQ219" t="b">
        <f>IF(Metadata!AD219="",FALSE,TRUE)</f>
        <v>0</v>
      </c>
    </row>
    <row r="220" spans="1:69" x14ac:dyDescent="0.2">
      <c r="A220" s="4" t="e">
        <f ca="1">IF(B220=" "," ",HYPERLINK(CONCATENATE("#metadata!",ADDRESS(INDEX($AJ$2:$AJ$1001,MATCH(ROWS($AH$2:AH220),$AH$2:$AH$1001,0),0),2)),INDEX($AM$2:$AM$1001,MATCH(ROWS($AH$2:AH220),$AH$2:$AH$1001,0),0)))</f>
        <v>#N/A</v>
      </c>
      <c r="B220" s="5" t="e">
        <f ca="1">IF(OR(INDEX($AI$2:$AI$1001,MATCH(ROWS($AH$2:AH220),$AH$2:$AH$1001,0),1)&gt;=100000,INDEX($AO$1005:$BQ$1005,1,MATCH(COLUMNS($AO$1006:AO1006),$AO$1006:$BQ$1006,0))&gt;=100000), " ",IF(INDEX($AO$2:$BQ$1001,MATCH(ROWS($AH$2:AH220),$AH$2:$AH$1001,0),MATCH(COLUMNS($AO$1006:AO1006),$AO$1006:$BQ$1006,0)), HYPERLINK("#",""), HYPERLINK(CONCATENATE("#Metadata!", ADDRESS(INDEX($AJ$2:$AJ$1001,MATCH(ROWS($AH$2:AH220),$AH$2:$AH$1001,0),0), INDEX($AO$1004:$BQ$1004,1,MATCH(COLUMNS($AO$1006:AO1006),$AO$1006:$BQ$1006,0)))),"Fix")))</f>
        <v>#N/A</v>
      </c>
      <c r="C220" s="5" t="e">
        <f ca="1">IF(OR(INDEX($AI$2:$AI$1001,MATCH(ROWS($AH$2:AH220),$AH$2:$AH$1001,0),1)&gt;=100000,INDEX($AO$1005:$BQ$1005,1,MATCH(COLUMNS($AO$1006:AP1006),$AO$1006:$BQ$1006,0))&gt;=100000), " ",IF(INDEX($AO$2:$BQ$1001,MATCH(ROWS($AH$2:AH220),$AH$2:$AH$1001,0),MATCH(COLUMNS($AO$1006:AP1006),$AO$1006:$BQ$1006,0)), HYPERLINK("#",""), HYPERLINK(CONCATENATE("#Metadata!", ADDRESS(INDEX($AJ$2:$AJ$1001,MATCH(ROWS($AH$2:AH220),$AH$2:$AH$1001,0),0), INDEX($AO$1004:$BQ$1004,1,MATCH(COLUMNS($AO$1006:AP1006),$AO$1006:$BQ$1006,0)))),"Fix")))</f>
        <v>#N/A</v>
      </c>
      <c r="D220" s="5" t="e">
        <f ca="1">IF(OR(INDEX($AI$2:$AI$1001,MATCH(ROWS($AH$2:AH220),$AH$2:$AH$1001,0),1)&gt;=100000,INDEX($AO$1005:$BQ$1005,1,MATCH(COLUMNS($AO$1006:AQ1006),$AO$1006:$BQ$1006,0))&gt;=100000), " ",IF(INDEX($AO$2:$BQ$1001,MATCH(ROWS($AH$2:AH220),$AH$2:$AH$1001,0),MATCH(COLUMNS($AO$1006:AQ1006),$AO$1006:$BQ$1006,0)), HYPERLINK("#",""), HYPERLINK(CONCATENATE("#Metadata!", ADDRESS(INDEX($AJ$2:$AJ$1001,MATCH(ROWS($AH$2:AH220),$AH$2:$AH$1001,0),0), INDEX($AO$1004:$BQ$1004,1,MATCH(COLUMNS($AO$1006:AQ1006),$AO$1006:$BQ$1006,0)))),"Fix")))</f>
        <v>#N/A</v>
      </c>
      <c r="E220" s="5" t="e">
        <f ca="1">IF(OR(INDEX($AI$2:$AI$1001,MATCH(ROWS($AH$2:AH220),$AH$2:$AH$1001,0),1)&gt;=100000,INDEX($AO$1005:$BQ$1005,1,MATCH(COLUMNS($AO$1006:AR1006),$AO$1006:$BQ$1006,0))&gt;=100000), " ",IF(INDEX($AO$2:$BQ$1001,MATCH(ROWS($AH$2:AH220),$AH$2:$AH$1001,0),MATCH(COLUMNS($AO$1006:AR1006),$AO$1006:$BQ$1006,0)), HYPERLINK("#",""), HYPERLINK(CONCATENATE("#Metadata!", ADDRESS(INDEX($AJ$2:$AJ$1001,MATCH(ROWS($AH$2:AH220),$AH$2:$AH$1001,0),0), INDEX($AO$1004:$BQ$1004,1,MATCH(COLUMNS($AO$1006:AR1006),$AO$1006:$BQ$1006,0)))),"Fix")))</f>
        <v>#N/A</v>
      </c>
      <c r="F220" s="5" t="e">
        <f ca="1">IF(OR(INDEX($AI$2:$AI$1001,MATCH(ROWS($AH$2:AH220),$AH$2:$AH$1001,0),1)&gt;=100000,INDEX($AO$1005:$BQ$1005,1,MATCH(COLUMNS($AO$1006:AS1006),$AO$1006:$BQ$1006,0))&gt;=100000), " ",IF(INDEX($AO$2:$BQ$1001,MATCH(ROWS($AH$2:AH220),$AH$2:$AH$1001,0),MATCH(COLUMNS($AO$1006:AS1006),$AO$1006:$BQ$1006,0)), HYPERLINK("#",""), HYPERLINK(CONCATENATE("#Metadata!", ADDRESS(INDEX($AJ$2:$AJ$1001,MATCH(ROWS($AH$2:AH220),$AH$2:$AH$1001,0),0), INDEX($AO$1004:$BQ$1004,1,MATCH(COLUMNS($AO$1006:AS1006),$AO$1006:$BQ$1006,0)))),"Fix")))</f>
        <v>#N/A</v>
      </c>
      <c r="G220" s="5" t="e">
        <f ca="1">IF(OR(INDEX($AI$2:$AI$1001,MATCH(ROWS($AH$2:AH220),$AH$2:$AH$1001,0),1)&gt;=100000,INDEX($AO$1005:$BQ$1005,1,MATCH(COLUMNS($AO$1006:AT1006),$AO$1006:$BQ$1006,0))&gt;=100000), " ",IF(INDEX($AO$2:$BQ$1001,MATCH(ROWS($AH$2:AH220),$AH$2:$AH$1001,0),MATCH(COLUMNS($AO$1006:AT1006),$AO$1006:$BQ$1006,0)), HYPERLINK("#",""), HYPERLINK(CONCATENATE("#Metadata!", ADDRESS(INDEX($AJ$2:$AJ$1001,MATCH(ROWS($AH$2:AH220),$AH$2:$AH$1001,0),0), INDEX($AO$1004:$BQ$1004,1,MATCH(COLUMNS($AO$1006:AT1006),$AO$1006:$BQ$1006,0)))),"Fix")))</f>
        <v>#N/A</v>
      </c>
      <c r="H220" s="5" t="e">
        <f ca="1">IF(OR(INDEX($AI$2:$AI$1001,MATCH(ROWS($AH$2:AH220),$AH$2:$AH$1001,0),1)&gt;=100000,INDEX($AO$1005:$BQ$1005,1,MATCH(COLUMNS($AO$1006:AU1006),$AO$1006:$BQ$1006,0))&gt;=100000), " ",IF(INDEX($AO$2:$BQ$1001,MATCH(ROWS($AH$2:AH220),$AH$2:$AH$1001,0),MATCH(COLUMNS($AO$1006:AU1006),$AO$1006:$BQ$1006,0)), HYPERLINK("#",""), HYPERLINK(CONCATENATE("#Metadata!", ADDRESS(INDEX($AJ$2:$AJ$1001,MATCH(ROWS($AH$2:AH220),$AH$2:$AH$1001,0),0), INDEX($AO$1004:$BQ$1004,1,MATCH(COLUMNS($AO$1006:AU1006),$AO$1006:$BQ$1006,0)))),"Fix")))</f>
        <v>#N/A</v>
      </c>
      <c r="I220" s="5" t="e">
        <f ca="1">IF(OR(INDEX($AI$2:$AI$1001,MATCH(ROWS($AH$2:AH220),$AH$2:$AH$1001,0),1)&gt;=100000,INDEX($AO$1005:$BQ$1005,1,MATCH(COLUMNS($AO$1006:AV1006),$AO$1006:$BQ$1006,0))&gt;=100000), " ",IF(INDEX($AO$2:$BQ$1001,MATCH(ROWS($AH$2:AH220),$AH$2:$AH$1001,0),MATCH(COLUMNS($AO$1006:AV1006),$AO$1006:$BQ$1006,0)), HYPERLINK("#",""), HYPERLINK(CONCATENATE("#Metadata!", ADDRESS(INDEX($AJ$2:$AJ$1001,MATCH(ROWS($AH$2:AH220),$AH$2:$AH$1001,0),0), INDEX($AO$1004:$BQ$1004,1,MATCH(COLUMNS($AO$1006:AV1006),$AO$1006:$BQ$1006,0)))),"Fix")))</f>
        <v>#N/A</v>
      </c>
      <c r="J220" s="5" t="e">
        <f ca="1">IF(OR(INDEX($AI$2:$AI$1001,MATCH(ROWS($AH$2:AH220),$AH$2:$AH$1001,0),1)&gt;=100000,INDEX($AO$1005:$BQ$1005,1,MATCH(COLUMNS($AO$1006:AW1006),$AO$1006:$BQ$1006,0))&gt;=100000), " ",IF(INDEX($AO$2:$BQ$1001,MATCH(ROWS($AH$2:AH220),$AH$2:$AH$1001,0),MATCH(COLUMNS($AO$1006:AW1006),$AO$1006:$BQ$1006,0)), HYPERLINK("#",""), HYPERLINK(CONCATENATE("#Metadata!", ADDRESS(INDEX($AJ$2:$AJ$1001,MATCH(ROWS($AH$2:AH220),$AH$2:$AH$1001,0),0), INDEX($AO$1004:$BQ$1004,1,MATCH(COLUMNS($AO$1006:AW1006),$AO$1006:$BQ$1006,0)))),"Fix")))</f>
        <v>#N/A</v>
      </c>
      <c r="K220" s="5" t="e">
        <f ca="1">IF(OR(INDEX($AI$2:$AI$1001,MATCH(ROWS($AH$2:AH220),$AH$2:$AH$1001,0),1)&gt;=100000,INDEX($AO$1005:$BQ$1005,1,MATCH(COLUMNS($AO$1006:AX1006),$AO$1006:$BQ$1006,0))&gt;=100000), " ",IF(INDEX($AO$2:$BQ$1001,MATCH(ROWS($AH$2:AH220),$AH$2:$AH$1001,0),MATCH(COLUMNS($AO$1006:AX1006),$AO$1006:$BQ$1006,0)), HYPERLINK("#",""), HYPERLINK(CONCATENATE("#Metadata!", ADDRESS(INDEX($AJ$2:$AJ$1001,MATCH(ROWS($AH$2:AH220),$AH$2:$AH$1001,0),0), INDEX($AO$1004:$BQ$1004,1,MATCH(COLUMNS($AO$1006:AX1006),$AO$1006:$BQ$1006,0)))),"Fix")))</f>
        <v>#N/A</v>
      </c>
      <c r="L220" s="5" t="e">
        <f ca="1">IF(OR(INDEX($AI$2:$AI$1001,MATCH(ROWS($AH$2:AH220),$AH$2:$AH$1001,0),1)&gt;=100000,INDEX($AO$1005:$BQ$1005,1,MATCH(COLUMNS($AO$1006:AY1006),$AO$1006:$BQ$1006,0))&gt;=100000), " ",IF(INDEX($AO$2:$BQ$1001,MATCH(ROWS($AH$2:AH220),$AH$2:$AH$1001,0),MATCH(COLUMNS($AO$1006:AY1006),$AO$1006:$BQ$1006,0)), HYPERLINK("#",""), HYPERLINK(CONCATENATE("#Metadata!", ADDRESS(INDEX($AJ$2:$AJ$1001,MATCH(ROWS($AH$2:AH220),$AH$2:$AH$1001,0),0), INDEX($AO$1004:$BQ$1004,1,MATCH(COLUMNS($AO$1006:AY1006),$AO$1006:$BQ$1006,0)))),"Fix")))</f>
        <v>#N/A</v>
      </c>
      <c r="M220" s="5" t="e">
        <f ca="1">IF(OR(INDEX($AI$2:$AI$1001,MATCH(ROWS($AH$2:AH220),$AH$2:$AH$1001,0),1)&gt;=100000,INDEX($AO$1005:$BQ$1005,1,MATCH(COLUMNS($AO$1006:AZ1006),$AO$1006:$BQ$1006,0))&gt;=100000), " ",IF(INDEX($AO$2:$BQ$1001,MATCH(ROWS($AH$2:AH220),$AH$2:$AH$1001,0),MATCH(COLUMNS($AO$1006:AZ1006),$AO$1006:$BQ$1006,0)), HYPERLINK("#",""), HYPERLINK(CONCATENATE("#Metadata!", ADDRESS(INDEX($AJ$2:$AJ$1001,MATCH(ROWS($AH$2:AH220),$AH$2:$AH$1001,0),0), INDEX($AO$1004:$BQ$1004,1,MATCH(COLUMNS($AO$1006:AZ1006),$AO$1006:$BQ$1006,0)))),"Fix")))</f>
        <v>#N/A</v>
      </c>
      <c r="N220" s="5" t="e">
        <f ca="1">IF(OR(INDEX($AI$2:$AI$1001,MATCH(ROWS($AH$2:AH220),$AH$2:$AH$1001,0),1)&gt;=100000,INDEX($AO$1005:$BQ$1005,1,MATCH(COLUMNS($AO$1006:BA1006),$AO$1006:$BQ$1006,0))&gt;=100000), " ",IF(INDEX($AO$2:$BQ$1001,MATCH(ROWS($AH$2:AH220),$AH$2:$AH$1001,0),MATCH(COLUMNS($AO$1006:BA1006),$AO$1006:$BQ$1006,0)), HYPERLINK("#",""), HYPERLINK(CONCATENATE("#Metadata!", ADDRESS(INDEX($AJ$2:$AJ$1001,MATCH(ROWS($AH$2:AH220),$AH$2:$AH$1001,0),0), INDEX($AO$1004:$BQ$1004,1,MATCH(COLUMNS($AO$1006:BA1006),$AO$1006:$BQ$1006,0)))),"Fix")))</f>
        <v>#N/A</v>
      </c>
      <c r="O220" s="5" t="e">
        <f ca="1">IF(OR(INDEX($AI$2:$AI$1001,MATCH(ROWS($AH$2:AH220),$AH$2:$AH$1001,0),1)&gt;=100000,INDEX($AO$1005:$BQ$1005,1,MATCH(COLUMNS($AO$1006:BB1006),$AO$1006:$BQ$1006,0))&gt;=100000), " ",IF(INDEX($AO$2:$BQ$1001,MATCH(ROWS($AH$2:AH220),$AH$2:$AH$1001,0),MATCH(COLUMNS($AO$1006:BB1006),$AO$1006:$BQ$1006,0)), HYPERLINK("#",""), HYPERLINK(CONCATENATE("#Metadata!", ADDRESS(INDEX($AJ$2:$AJ$1001,MATCH(ROWS($AH$2:AH220),$AH$2:$AH$1001,0),0), INDEX($AO$1004:$BQ$1004,1,MATCH(COLUMNS($AO$1006:BB1006),$AO$1006:$BQ$1006,0)))),"Fix")))</f>
        <v>#N/A</v>
      </c>
      <c r="P220" s="5" t="e">
        <f ca="1">IF(OR(INDEX($AI$2:$AI$1001,MATCH(ROWS($AH$2:AH220),$AH$2:$AH$1001,0),1)&gt;=100000,INDEX($AO$1005:$BQ$1005,1,MATCH(COLUMNS($AO$1006:BC1006),$AO$1006:$BQ$1006,0))&gt;=100000), " ",IF(INDEX($AO$2:$BQ$1001,MATCH(ROWS($AH$2:AH220),$AH$2:$AH$1001,0),MATCH(COLUMNS($AO$1006:BC1006),$AO$1006:$BQ$1006,0)), HYPERLINK("#",""), HYPERLINK(CONCATENATE("#Metadata!", ADDRESS(INDEX($AJ$2:$AJ$1001,MATCH(ROWS($AH$2:AH220),$AH$2:$AH$1001,0),0), INDEX($AO$1004:$BQ$1004,1,MATCH(COLUMNS($AO$1006:BC1006),$AO$1006:$BQ$1006,0)))),"Fix")))</f>
        <v>#N/A</v>
      </c>
      <c r="Q220" s="5" t="e">
        <f ca="1">IF(OR(INDEX($AI$2:$AI$1001,MATCH(ROWS($AH$2:AH220),$AH$2:$AH$1001,0),1)&gt;=100000,INDEX($AO$1005:$BQ$1005,1,MATCH(COLUMNS($AO$1006:BD1006),$AO$1006:$BQ$1006,0))&gt;=100000), " ",IF(INDEX($AO$2:$BQ$1001,MATCH(ROWS($AH$2:AH220),$AH$2:$AH$1001,0),MATCH(COLUMNS($AO$1006:BD1006),$AO$1006:$BQ$1006,0)), HYPERLINK("#",""), HYPERLINK(CONCATENATE("#Metadata!", ADDRESS(INDEX($AJ$2:$AJ$1001,MATCH(ROWS($AH$2:AH220),$AH$2:$AH$1001,0),0), INDEX($AO$1004:$BQ$1004,1,MATCH(COLUMNS($AO$1006:BD1006),$AO$1006:$BQ$1006,0)))),"Fix")))</f>
        <v>#N/A</v>
      </c>
      <c r="R220" s="5" t="e">
        <f ca="1">IF(OR(INDEX($AI$2:$AI$1001,MATCH(ROWS($AH$2:AH220),$AH$2:$AH$1001,0),1)&gt;=100000,INDEX($AO$1005:$BQ$1005,1,MATCH(COLUMNS($AO$1006:BE1006),$AO$1006:$BQ$1006,0))&gt;=100000), " ",IF(INDEX($AO$2:$BQ$1001,MATCH(ROWS($AH$2:AH220),$AH$2:$AH$1001,0),MATCH(COLUMNS($AO$1006:BE1006),$AO$1006:$BQ$1006,0)), HYPERLINK("#",""), HYPERLINK(CONCATENATE("#Metadata!", ADDRESS(INDEX($AJ$2:$AJ$1001,MATCH(ROWS($AH$2:AH220),$AH$2:$AH$1001,0),0), INDEX($AO$1004:$BQ$1004,1,MATCH(COLUMNS($AO$1006:BE1006),$AO$1006:$BQ$1006,0)))),"Fix")))</f>
        <v>#N/A</v>
      </c>
      <c r="S220" s="5" t="e">
        <f ca="1">IF(OR(INDEX($AI$2:$AI$1001,MATCH(ROWS($AH$2:AH220),$AH$2:$AH$1001,0),1)&gt;=100000,INDEX($AO$1005:$BQ$1005,1,MATCH(COLUMNS($AO$1006:BF1006),$AO$1006:$BQ$1006,0))&gt;=100000), " ",IF(INDEX($AO$2:$BQ$1001,MATCH(ROWS($AH$2:AH220),$AH$2:$AH$1001,0),MATCH(COLUMNS($AO$1006:BF1006),$AO$1006:$BQ$1006,0)), HYPERLINK("#",""), HYPERLINK(CONCATENATE("#Metadata!", ADDRESS(INDEX($AJ$2:$AJ$1001,MATCH(ROWS($AH$2:AH220),$AH$2:$AH$1001,0),0), INDEX($AO$1004:$BQ$1004,1,MATCH(COLUMNS($AO$1006:BF1006),$AO$1006:$BQ$1006,0)))),"Fix")))</f>
        <v>#N/A</v>
      </c>
      <c r="T220" s="5" t="e">
        <f ca="1">IF(OR(INDEX($AI$2:$AI$1001,MATCH(ROWS($AH$2:AH220),$AH$2:$AH$1001,0),1)&gt;=100000,INDEX($AO$1005:$BQ$1005,1,MATCH(COLUMNS($AO$1006:BG1006),$AO$1006:$BQ$1006,0))&gt;=100000), " ",IF(INDEX($AO$2:$BQ$1001,MATCH(ROWS($AH$2:AH220),$AH$2:$AH$1001,0),MATCH(COLUMNS($AO$1006:BG1006),$AO$1006:$BQ$1006,0)), HYPERLINK("#",""), HYPERLINK(CONCATENATE("#Metadata!", ADDRESS(INDEX($AJ$2:$AJ$1001,MATCH(ROWS($AH$2:AH220),$AH$2:$AH$1001,0),0), INDEX($AO$1004:$BQ$1004,1,MATCH(COLUMNS($AO$1006:BG1006),$AO$1006:$BQ$1006,0)))),"Fix")))</f>
        <v>#N/A</v>
      </c>
      <c r="U220" s="5" t="e">
        <f ca="1">IF(OR(INDEX($AI$2:$AI$1001,MATCH(ROWS($AH$2:AH220),$AH$2:$AH$1001,0),1)&gt;=100000,INDEX($AO$1005:$BQ$1005,1,MATCH(COLUMNS($AO$1006:BH1006),$AO$1006:$BQ$1006,0))&gt;=100000), " ",IF(INDEX($AO$2:$BQ$1001,MATCH(ROWS($AH$2:AH220),$AH$2:$AH$1001,0),MATCH(COLUMNS($AO$1006:BH1006),$AO$1006:$BQ$1006,0)), HYPERLINK("#",""), HYPERLINK(CONCATENATE("#Metadata!", ADDRESS(INDEX($AJ$2:$AJ$1001,MATCH(ROWS($AH$2:AH220),$AH$2:$AH$1001,0),0), INDEX($AO$1004:$BQ$1004,1,MATCH(COLUMNS($AO$1006:BH1006),$AO$1006:$BQ$1006,0)))),"Fix")))</f>
        <v>#N/A</v>
      </c>
      <c r="V220" s="5" t="e">
        <f ca="1">IF(OR(INDEX($AI$2:$AI$1001,MATCH(ROWS($AH$2:AH220),$AH$2:$AH$1001,0),1)&gt;=100000,INDEX($AO$1005:$BQ$1005,1,MATCH(COLUMNS($AO$1006:BI1006),$AO$1006:$BQ$1006,0))&gt;=100000), " ",IF(INDEX($AO$2:$BQ$1001,MATCH(ROWS($AH$2:AH220),$AH$2:$AH$1001,0),MATCH(COLUMNS($AO$1006:BI1006),$AO$1006:$BQ$1006,0)), HYPERLINK("#",""), HYPERLINK(CONCATENATE("#Metadata!", ADDRESS(INDEX($AJ$2:$AJ$1001,MATCH(ROWS($AH$2:AH220),$AH$2:$AH$1001,0),0), INDEX($AO$1004:$BQ$1004,1,MATCH(COLUMNS($AO$1006:BI1006),$AO$1006:$BQ$1006,0)))),"Fix")))</f>
        <v>#N/A</v>
      </c>
      <c r="W220" s="5" t="e">
        <f ca="1">IF(OR(INDEX($AI$2:$AI$1001,MATCH(ROWS($AH$2:AH220),$AH$2:$AH$1001,0),1)&gt;=100000,INDEX($AO$1005:$BQ$1005,1,MATCH(COLUMNS($AO$1006:BJ1006),$AO$1006:$BQ$1006,0))&gt;=100000), " ",IF(INDEX($AO$2:$BQ$1001,MATCH(ROWS($AH$2:AH220),$AH$2:$AH$1001,0),MATCH(COLUMNS($AO$1006:BJ1006),$AO$1006:$BQ$1006,0)), HYPERLINK("#",""), HYPERLINK(CONCATENATE("#Metadata!", ADDRESS(INDEX($AJ$2:$AJ$1001,MATCH(ROWS($AH$2:AH220),$AH$2:$AH$1001,0),0), INDEX($AO$1004:$BQ$1004,1,MATCH(COLUMNS($AO$1006:BJ1006),$AO$1006:$BQ$1006,0)))),"Fix")))</f>
        <v>#N/A</v>
      </c>
      <c r="X220" s="5" t="e">
        <f ca="1">IF(OR(INDEX($AI$2:$AI$1001,MATCH(ROWS($AH$2:AH220),$AH$2:$AH$1001,0),1)&gt;=100000,INDEX($AO$1005:$BQ$1005,1,MATCH(COLUMNS($AO$1006:BK1006),$AO$1006:$BQ$1006,0))&gt;=100000), " ",IF(INDEX($AO$2:$BQ$1001,MATCH(ROWS($AH$2:AH220),$AH$2:$AH$1001,0),MATCH(COLUMNS($AO$1006:BK1006),$AO$1006:$BQ$1006,0)), HYPERLINK("#",""), HYPERLINK(CONCATENATE("#Metadata!", ADDRESS(INDEX($AJ$2:$AJ$1001,MATCH(ROWS($AH$2:AH220),$AH$2:$AH$1001,0),0), INDEX($AO$1004:$BQ$1004,1,MATCH(COLUMNS($AO$1006:BK1006),$AO$1006:$BQ$1006,0)))),"Fix")))</f>
        <v>#N/A</v>
      </c>
      <c r="Y220" s="5" t="e">
        <f ca="1">IF(OR(INDEX($AI$2:$AI$1001,MATCH(ROWS($AH$2:AH220),$AH$2:$AH$1001,0),1)&gt;=100000,INDEX($AO$1005:$BQ$1005,1,MATCH(COLUMNS($AO$1006:BL1006),$AO$1006:$BQ$1006,0))&gt;=100000), " ",IF(INDEX($AO$2:$BQ$1001,MATCH(ROWS($AH$2:AH220),$AH$2:$AH$1001,0),MATCH(COLUMNS($AO$1006:BL1006),$AO$1006:$BQ$1006,0)), HYPERLINK("#",""), HYPERLINK(CONCATENATE("#Metadata!", ADDRESS(INDEX($AJ$2:$AJ$1001,MATCH(ROWS($AH$2:AH220),$AH$2:$AH$1001,0),0), INDEX($AO$1004:$BQ$1004,1,MATCH(COLUMNS($AO$1006:BL1006),$AO$1006:$BQ$1006,0)))),"Fix")))</f>
        <v>#N/A</v>
      </c>
      <c r="Z220" s="5" t="e">
        <f ca="1">IF(OR(INDEX($AI$2:$AI$1001,MATCH(ROWS($AH$2:AH220),$AH$2:$AH$1001,0),1)&gt;=100000,INDEX($AO$1005:$BQ$1005,1,MATCH(COLUMNS($AO$1006:BM1006),$AO$1006:$BQ$1006,0))&gt;=100000), " ",IF(INDEX($AO$2:$BQ$1001,MATCH(ROWS($AH$2:AH220),$AH$2:$AH$1001,0),MATCH(COLUMNS($AO$1006:BM1006),$AO$1006:$BQ$1006,0)), HYPERLINK("#",""), HYPERLINK(CONCATENATE("#Metadata!", ADDRESS(INDEX($AJ$2:$AJ$1001,MATCH(ROWS($AH$2:AH220),$AH$2:$AH$1001,0),0), INDEX($AO$1004:$BQ$1004,1,MATCH(COLUMNS($AO$1006:BM1006),$AO$1006:$BQ$1006,0)))),"Fix")))</f>
        <v>#N/A</v>
      </c>
      <c r="AA220" s="5" t="e">
        <f ca="1">IF(OR(INDEX($AI$2:$AI$1001,MATCH(ROWS($AH$2:AH220),$AH$2:$AH$1001,0),1)&gt;=100000,INDEX($AO$1005:$BQ$1005,1,MATCH(COLUMNS($AO$1006:BN1006),$AO$1006:$BQ$1006,0))&gt;=100000), " ",IF(INDEX($AO$2:$BQ$1001,MATCH(ROWS($AH$2:AH220),$AH$2:$AH$1001,0),MATCH(COLUMNS($AO$1006:BN1006),$AO$1006:$BQ$1006,0)), HYPERLINK("#",""), HYPERLINK(CONCATENATE("#Metadata!", ADDRESS(INDEX($AJ$2:$AJ$1001,MATCH(ROWS($AH$2:AH220),$AH$2:$AH$1001,0),0), INDEX($AO$1004:$BQ$1004,1,MATCH(COLUMNS($AO$1006:BN1006),$AO$1006:$BQ$1006,0)))),"Fix")))</f>
        <v>#N/A</v>
      </c>
      <c r="AB220" s="5" t="e">
        <f ca="1">IF(OR(INDEX($AI$2:$AI$1001,MATCH(ROWS($AH$2:AH220),$AH$2:$AH$1001,0),1)&gt;=100000,INDEX($AO$1005:$BQ$1005,1,MATCH(COLUMNS($AO$1006:BO1006),$AO$1006:$BQ$1006,0))&gt;=100000), " ",IF(INDEX($AO$2:$BQ$1001,MATCH(ROWS($AH$2:AH220),$AH$2:$AH$1001,0),MATCH(COLUMNS($AO$1006:BO1006),$AO$1006:$BQ$1006,0)), HYPERLINK("#",""), HYPERLINK(CONCATENATE("#Metadata!", ADDRESS(INDEX($AJ$2:$AJ$1001,MATCH(ROWS($AH$2:AH220),$AH$2:$AH$1001,0),0), INDEX($AO$1004:$BQ$1004,1,MATCH(COLUMNS($AO$1006:BO1006),$AO$1006:$BQ$1006,0)))),"Fix")))</f>
        <v>#N/A</v>
      </c>
      <c r="AC220" s="5" t="e">
        <f ca="1">IF(OR(INDEX($AI$2:$AI$1001,MATCH(ROWS($AH$2:AH220),$AH$2:$AH$1001,0),1)&gt;=100000,INDEX($AO$1005:$BQ$1005,1,MATCH(COLUMNS($AO$1006:BP1006),$AO$1006:$BQ$1006,0))&gt;=100000), " ",IF(INDEX($AO$2:$BQ$1001,MATCH(ROWS($AH$2:AH220),$AH$2:$AH$1001,0),MATCH(COLUMNS($AO$1006:BP1006),$AO$1006:$BQ$1006,0)), HYPERLINK("#",""), HYPERLINK(CONCATENATE("#Metadata!", ADDRESS(INDEX($AJ$2:$AJ$1001,MATCH(ROWS($AH$2:AH220),$AH$2:$AH$1001,0),0), INDEX($AO$1004:$BQ$1004,1,MATCH(COLUMNS($AO$1006:BP1006),$AO$1006:$BQ$1006,0)))),"Fix")))</f>
        <v>#N/A</v>
      </c>
      <c r="AD220" s="5" t="e">
        <f ca="1">IF(OR(INDEX($AI$2:$AI$1001,MATCH(ROWS($AH$2:AH220),$AH$2:$AH$1001,0),1)&gt;=100000,INDEX($AO$1005:$BQ$1005,1,MATCH(COLUMNS($AO$1006:BQ1006),$AO$1006:$BQ$1006,0))&gt;=100000), " ",IF(INDEX($AO$2:$BQ$1001,MATCH(ROWS($AH$2:AH220),$AH$2:$AH$1001,0),MATCH(COLUMNS($AO$1006:BQ1006),$AO$1006:$BQ$1006,0)), HYPERLINK("#",""), HYPERLINK(CONCATENATE("#Metadata!", ADDRESS(INDEX($AJ$2:$AJ$1001,MATCH(ROWS($AH$2:AH220),$AH$2:$AH$1001,0),0), INDEX($AO$1004:$BQ$1004,1,MATCH(COLUMNS($AO$1006:BQ1006),$AO$1006:$BQ$1006,0)))),"Fix")))</f>
        <v>#REF!</v>
      </c>
      <c r="AH220">
        <f ca="1"/>
        <v>217</v>
      </c>
      <c r="AI220">
        <v>100220</v>
      </c>
      <c r="AJ220">
        <v>220</v>
      </c>
      <c r="AK220" t="b">
        <f t="shared" si="3"/>
        <v>1</v>
      </c>
      <c r="AL220" t="b">
        <f>COUNTBLANK(Metadata!B220:AD220)=COLUMNS(Metadata!B220:AD220)</f>
        <v>1</v>
      </c>
      <c r="AM220" t="str">
        <v/>
      </c>
      <c r="AO220" t="b">
        <f ca="1">AND(IF(Metadata!B220="",FALSE,TRUE),COUNTIF(Metadata!B:B, Metadata!B220) = 1,NOT(ISERROR(SUMPRODUCT(SEARCH(MID(Metadata!B220,ROW(INDIRECT("1:"&amp;LEN(Metadata!B220))), 1),"0123456789abcdefghijklmnopqrstuvwxyzABCDEFGHIJKLMNOPQRSTUVWXYZ.")))))</f>
        <v>0</v>
      </c>
      <c r="AP220" t="b">
        <f>IF(Metadata!C220="",FALSE,TRUE)</f>
        <v>0</v>
      </c>
      <c r="AQ220" t="b">
        <f>IF(Metadata!D220="",FALSE,TRUE)</f>
        <v>0</v>
      </c>
      <c r="AR220" t="b">
        <f ca="1">OR(AND(IF(Metadata!E220="",FALSE,TRUE),OR(EXACT(Metadata!E220,"not collected"),EXACT(Metadata!E220,"not provided"),EXACT(Metadata!E220,"restricted access"))),AND(IF(Metadata!E220="",FALSE,TRUE),AND(AND(IFERROR(INT(LEFT(Metadata!E220,4))&gt;1900,FALSE),IFERROR(INT(LEFT(Metadata!E220,4))&lt;=YEAR(NOW()),FALSE)), OR(MID(Metadata!E220,5,1)="", AND(AND(MID(Metadata!E220,5,1)="-",IFERROR(INT(MID(Metadata!E220,6,1))&gt;=0,FALSE),IFERROR(INT(MID(Metadata!E220,6,1))&lt;=1,FALSE),NOT(MID(Metadata!E220,7,1)=""),IFERROR(INT(MID(Metadata!E220,6,2))&gt;=1,FALSE),IFERROR(INT(MID(Metadata!E220,6,2))&lt;=12,FALSE)), OR(MID(Metadata!E220,8,1)="", AND(AND(MID(Metadata!E220,8,1)="-",IFERROR(INT(MID(Metadata!E220,9,1))&gt;=0,FALSE),IFERROR(INT(MID(Metadata!E220,9,1))&lt;=3,FALSE),NOT(MID(Metadata!E220,10,1)=""),IFERROR(INT(MID(Metadata!E220,9,2))&gt;=1,FALSE),IFERROR(INT(MID(Metadata!E220,9,2))&lt;=31,FALSE)), OR(MID(Metadata!E220,11,1)="", AND(AND(MID(Metadata!E220,11,1)=" ",IFERROR(INT(MID(Metadata!E220,12,1))&gt;=0,FALSE),IFERROR(INT(MID(Metadata!E220,12,1))&lt;=2,FALSE),NOT(MID(Metadata!E220,13,1)=""),IFERROR(INT(MID(Metadata!E220,12,2))&gt;=0,FALSE),IFERROR(INT(MID(Metadata!E220,12,2))&lt;=23,FALSE)), OR(MID(Metadata!E220,14,1)="", AND(AND(MID(Metadata!E220,14,1)=":",IFERROR(INT(MID(Metadata!E220,15,1))&gt;=0,FALSE),IFERROR(INT(MID(Metadata!E220,15,1))&lt;=5,FALSE),NOT(MID(Metadata!E220,16,1)=""),IFERROR(INT(MID(Metadata!E220,15,2))&gt;=0,FALSE),IFERROR(INT(MID(Metadata!E220,15,2))&lt;=59,FALSE)), OR(MID(Metadata!E220,17,1)="", AND(AND(MID(Metadata!E220,17,1)=":",IFERROR(INT(MID(Metadata!E220,18,1))&gt;=0,FALSE),IFERROR(INT(MID(Metadata!E220,18,1))&lt;=5,FALSE),NOT(MID(Metadata!E220,19,1)=""),IFERROR(INT(MID(Metadata!E220,18,2))&gt;=0,FALSE),IFERROR(INT(MID(Metadata!E220,18,2))&lt;=59,FALSE)), LEN(Metadata!E220)&lt;=19)))))))))))))</f>
        <v>0</v>
      </c>
      <c r="AS220" t="b">
        <f>IF(Metadata!F220="",FALSE,TRUE)</f>
        <v>0</v>
      </c>
      <c r="AT220" t="b">
        <f>OR(AND(IF(Metadata!G220="",FALSE,TRUE),OR(EXACT(Metadata!G220,"not collected"),EXACT(Metadata!G220,"not provided"))),AND(IF(Metadata!G220="",FALSE,TRUE),OR(EXACT(Metadata!G220,"TRUE"),EXACT(Metadata!G220,"FALSE"))))</f>
        <v>0</v>
      </c>
      <c r="AU220" t="b">
        <f>OR(AND(IF(Metadata!H220="",FALSE,TRUE),OR(EXACT(Metadata!H220,"not collected"),EXACT(Metadata!H220,"not provided"),EXACT(Metadata!H220,"restricted access"))),AND(IF(Metadata!H220="",FALSE,ISNUMBER(VALUE(Metadata!H220))),Metadata!H220&gt;=-413))</f>
        <v>0</v>
      </c>
      <c r="AV220" t="b">
        <f>AND(IF(Metadata!I220="",FALSE,TRUE),EXACT(Metadata!I220,"meters"))</f>
        <v>0</v>
      </c>
      <c r="AW220" t="b">
        <f>AND(IF(Metadata!J220="",FALSE,TRUE),EXACT(Metadata!J220,"free-living"))</f>
        <v>0</v>
      </c>
      <c r="AX220" t="b">
        <f>AND(IF(Metadata!K220="",FALSE,TRUE),OR(EXACT(Metadata!K220,"saline"),EXACT(Metadata!K220,"non-saline")))</f>
        <v>0</v>
      </c>
      <c r="AY220" t="b">
        <f>AND(IF(Metadata!L220="",FALSE,TRUE),OR(EXACT(Metadata!L220,"sub-surface (non-saline)"),EXACT(Metadata!L220,"surface (non-saline)"),EXACT(Metadata!L220,"water (non-saline)"),EXACT(Metadata!L220,"soil (non-saline)"),EXACT(Metadata!L220,"aerosol (non-saline)"),EXACT(Metadata!L220,"sediment (non-saline)"),EXACT(Metadata!L220,"surface (saline)"),EXACT(Metadata!L220,"water (saline)"),EXACT(Metadata!L220,"hypersaline (saline)"),EXACT(Metadata!L220,"aerosol (saline)"),EXACT(Metadata!L220,"sediment (saline)")))</f>
        <v>0</v>
      </c>
      <c r="AZ220" t="b">
        <f>IF(Metadata!M220="",FALSE,TRUE)</f>
        <v>0</v>
      </c>
      <c r="BA220" t="b">
        <f>IF(Metadata!N220="",FALSE,TRUE)</f>
        <v>0</v>
      </c>
      <c r="BB220" t="b">
        <f>IF(Metadata!O220="",FALSE,TRUE)</f>
        <v>0</v>
      </c>
      <c r="BC220" t="b">
        <f>AND(IF(Metadata!P220="",FALSE,TRUE),OR(EXACT(Metadata!P220,"air"),EXACT(Metadata!P220,"microbial mat/biofilm"),EXACT(Metadata!P220,"misc environment"),EXACT(Metadata!P220,"sediment"),EXACT(Metadata!P220,"soil"),EXACT(Metadata!P220,"wastewater/sludge"),EXACT(Metadata!P220,"water")))</f>
        <v>0</v>
      </c>
      <c r="BD220" t="b">
        <f>IF(Metadata!Q220="",FALSE,TRUE)</f>
        <v>0</v>
      </c>
      <c r="BE220" t="b">
        <f>IF(Metadata!R220="",FALSE,TRUE)</f>
        <v>0</v>
      </c>
      <c r="BF220" t="b">
        <f>OR(AND(IF(Metadata!S220="",FALSE,TRUE),OR(EXACT(Metadata!S220,"not collected"),EXACT(Metadata!S220,"not provided"),EXACT(Metadata!S220,"restricted access"))),AND(IF(Metadata!S220="",FALSE,ISNUMBER(VALUE(Metadata!S220))),Metadata!S220&gt;=-90,Metadata!S220&lt;=90))</f>
        <v>0</v>
      </c>
      <c r="BG220" t="b">
        <f>AND(IF(Metadata!T220="",FALSE,TRUE),EXACT(Metadata!T220,"Decimal degrees"))</f>
        <v>0</v>
      </c>
      <c r="BH220" t="b">
        <f>OR(AND(IF(Metadata!U220="",FALSE,TRUE),OR(EXACT(Metadata!U220,"not applicable"),EXACT(Metadata!U220,"not collected"))),IF(Metadata!U220="",FALSE,TRUE))</f>
        <v>0</v>
      </c>
      <c r="BI220" t="b">
        <f>OR(AND(IF(Metadata!V220="",FALSE,TRUE),OR(EXACT(Metadata!V220,"not collected"),EXACT(Metadata!V220,"not provided"),EXACT(Metadata!V220,"restricted access"))),AND(IF(Metadata!V220="",FALSE,ISNUMBER(VALUE(Metadata!V220))),Metadata!V220&gt;=-180,Metadata!V220&lt;=180))</f>
        <v>0</v>
      </c>
      <c r="BJ220" t="b">
        <f>AND(IF(Metadata!W220="",FALSE,TRUE),EXACT(Metadata!W220,"Decimal degrees"))</f>
        <v>0</v>
      </c>
      <c r="BK220" t="b">
        <f>IF(Metadata!X220="",FALSE,TRUE)</f>
        <v>0</v>
      </c>
      <c r="BL220" t="b">
        <f>OR(AND(IF(Metadata!Y220="",FALSE,TRUE),OR(EXACT(Metadata!Y220,"not collected"),EXACT(Metadata!Y220,"not provided"),EXACT(Metadata!Y220,"restricted access"))),AND(IF(Metadata!Y220="",FALSE,TRUE),OR(EXACT(Metadata!Y220,"TRUE"),EXACT(Metadata!Y220,"FALSE"))))</f>
        <v>0</v>
      </c>
      <c r="BM220" t="b">
        <f>OR(AND(IF(Metadata!Z220="",FALSE,TRUE),EXACT(Metadata!Z220,"not applicable")),AND(IF(Metadata!Z220="",FALSE,TRUE),OR(EXACT(Metadata!Z220,"beer"),EXACT(Metadata!Z220,"cheese"),EXACT(Metadata!Z220,"fresh water"),EXACT(Metadata!Z220,"marine sediment"),EXACT(Metadata!Z220,"sea water"),EXACT(Metadata!Z220,"sediment"),EXACT(Metadata!Z220,"soil"),EXACT(Metadata!Z220,"waste water"))))</f>
        <v>0</v>
      </c>
      <c r="BN220" t="b">
        <f>AND(IF(Metadata!AA220="",FALSE,TRUE),EXACT(Metadata!AA220,"metagenome"))</f>
        <v>0</v>
      </c>
      <c r="BO220" t="b">
        <f>AND(IF(Metadata!AB220="",FALSE,TRUE),EXACT(Metadata!AB220,"256318"))</f>
        <v>0</v>
      </c>
      <c r="BP220" t="b">
        <f>IF(Metadata!AC220="",FALSE,TRUE)</f>
        <v>0</v>
      </c>
      <c r="BQ220" t="b">
        <f>IF(Metadata!AD220="",FALSE,TRUE)</f>
        <v>0</v>
      </c>
    </row>
    <row r="221" spans="1:69" x14ac:dyDescent="0.2">
      <c r="A221" s="4" t="e">
        <f ca="1">IF(B221=" "," ",HYPERLINK(CONCATENATE("#metadata!",ADDRESS(INDEX($AJ$2:$AJ$1001,MATCH(ROWS($AH$2:AH221),$AH$2:$AH$1001,0),0),2)),INDEX($AM$2:$AM$1001,MATCH(ROWS($AH$2:AH221),$AH$2:$AH$1001,0),0)))</f>
        <v>#N/A</v>
      </c>
      <c r="B221" s="5" t="e">
        <f ca="1">IF(OR(INDEX($AI$2:$AI$1001,MATCH(ROWS($AH$2:AH221),$AH$2:$AH$1001,0),1)&gt;=100000,INDEX($AO$1005:$BQ$1005,1,MATCH(COLUMNS($AO$1006:AO1006),$AO$1006:$BQ$1006,0))&gt;=100000), " ",IF(INDEX($AO$2:$BQ$1001,MATCH(ROWS($AH$2:AH221),$AH$2:$AH$1001,0),MATCH(COLUMNS($AO$1006:AO1006),$AO$1006:$BQ$1006,0)), HYPERLINK("#",""), HYPERLINK(CONCATENATE("#Metadata!", ADDRESS(INDEX($AJ$2:$AJ$1001,MATCH(ROWS($AH$2:AH221),$AH$2:$AH$1001,0),0), INDEX($AO$1004:$BQ$1004,1,MATCH(COLUMNS($AO$1006:AO1006),$AO$1006:$BQ$1006,0)))),"Fix")))</f>
        <v>#N/A</v>
      </c>
      <c r="C221" s="5" t="e">
        <f ca="1">IF(OR(INDEX($AI$2:$AI$1001,MATCH(ROWS($AH$2:AH221),$AH$2:$AH$1001,0),1)&gt;=100000,INDEX($AO$1005:$BQ$1005,1,MATCH(COLUMNS($AO$1006:AP1006),$AO$1006:$BQ$1006,0))&gt;=100000), " ",IF(INDEX($AO$2:$BQ$1001,MATCH(ROWS($AH$2:AH221),$AH$2:$AH$1001,0),MATCH(COLUMNS($AO$1006:AP1006),$AO$1006:$BQ$1006,0)), HYPERLINK("#",""), HYPERLINK(CONCATENATE("#Metadata!", ADDRESS(INDEX($AJ$2:$AJ$1001,MATCH(ROWS($AH$2:AH221),$AH$2:$AH$1001,0),0), INDEX($AO$1004:$BQ$1004,1,MATCH(COLUMNS($AO$1006:AP1006),$AO$1006:$BQ$1006,0)))),"Fix")))</f>
        <v>#N/A</v>
      </c>
      <c r="D221" s="5" t="e">
        <f ca="1">IF(OR(INDEX($AI$2:$AI$1001,MATCH(ROWS($AH$2:AH221),$AH$2:$AH$1001,0),1)&gt;=100000,INDEX($AO$1005:$BQ$1005,1,MATCH(COLUMNS($AO$1006:AQ1006),$AO$1006:$BQ$1006,0))&gt;=100000), " ",IF(INDEX($AO$2:$BQ$1001,MATCH(ROWS($AH$2:AH221),$AH$2:$AH$1001,0),MATCH(COLUMNS($AO$1006:AQ1006),$AO$1006:$BQ$1006,0)), HYPERLINK("#",""), HYPERLINK(CONCATENATE("#Metadata!", ADDRESS(INDEX($AJ$2:$AJ$1001,MATCH(ROWS($AH$2:AH221),$AH$2:$AH$1001,0),0), INDEX($AO$1004:$BQ$1004,1,MATCH(COLUMNS($AO$1006:AQ1006),$AO$1006:$BQ$1006,0)))),"Fix")))</f>
        <v>#N/A</v>
      </c>
      <c r="E221" s="5" t="e">
        <f ca="1">IF(OR(INDEX($AI$2:$AI$1001,MATCH(ROWS($AH$2:AH221),$AH$2:$AH$1001,0),1)&gt;=100000,INDEX($AO$1005:$BQ$1005,1,MATCH(COLUMNS($AO$1006:AR1006),$AO$1006:$BQ$1006,0))&gt;=100000), " ",IF(INDEX($AO$2:$BQ$1001,MATCH(ROWS($AH$2:AH221),$AH$2:$AH$1001,0),MATCH(COLUMNS($AO$1006:AR1006),$AO$1006:$BQ$1006,0)), HYPERLINK("#",""), HYPERLINK(CONCATENATE("#Metadata!", ADDRESS(INDEX($AJ$2:$AJ$1001,MATCH(ROWS($AH$2:AH221),$AH$2:$AH$1001,0),0), INDEX($AO$1004:$BQ$1004,1,MATCH(COLUMNS($AO$1006:AR1006),$AO$1006:$BQ$1006,0)))),"Fix")))</f>
        <v>#N/A</v>
      </c>
      <c r="F221" s="5" t="e">
        <f ca="1">IF(OR(INDEX($AI$2:$AI$1001,MATCH(ROWS($AH$2:AH221),$AH$2:$AH$1001,0),1)&gt;=100000,INDEX($AO$1005:$BQ$1005,1,MATCH(COLUMNS($AO$1006:AS1006),$AO$1006:$BQ$1006,0))&gt;=100000), " ",IF(INDEX($AO$2:$BQ$1001,MATCH(ROWS($AH$2:AH221),$AH$2:$AH$1001,0),MATCH(COLUMNS($AO$1006:AS1006),$AO$1006:$BQ$1006,0)), HYPERLINK("#",""), HYPERLINK(CONCATENATE("#Metadata!", ADDRESS(INDEX($AJ$2:$AJ$1001,MATCH(ROWS($AH$2:AH221),$AH$2:$AH$1001,0),0), INDEX($AO$1004:$BQ$1004,1,MATCH(COLUMNS($AO$1006:AS1006),$AO$1006:$BQ$1006,0)))),"Fix")))</f>
        <v>#N/A</v>
      </c>
      <c r="G221" s="5" t="e">
        <f ca="1">IF(OR(INDEX($AI$2:$AI$1001,MATCH(ROWS($AH$2:AH221),$AH$2:$AH$1001,0),1)&gt;=100000,INDEX($AO$1005:$BQ$1005,1,MATCH(COLUMNS($AO$1006:AT1006),$AO$1006:$BQ$1006,0))&gt;=100000), " ",IF(INDEX($AO$2:$BQ$1001,MATCH(ROWS($AH$2:AH221),$AH$2:$AH$1001,0),MATCH(COLUMNS($AO$1006:AT1006),$AO$1006:$BQ$1006,0)), HYPERLINK("#",""), HYPERLINK(CONCATENATE("#Metadata!", ADDRESS(INDEX($AJ$2:$AJ$1001,MATCH(ROWS($AH$2:AH221),$AH$2:$AH$1001,0),0), INDEX($AO$1004:$BQ$1004,1,MATCH(COLUMNS($AO$1006:AT1006),$AO$1006:$BQ$1006,0)))),"Fix")))</f>
        <v>#N/A</v>
      </c>
      <c r="H221" s="5" t="e">
        <f ca="1">IF(OR(INDEX($AI$2:$AI$1001,MATCH(ROWS($AH$2:AH221),$AH$2:$AH$1001,0),1)&gt;=100000,INDEX($AO$1005:$BQ$1005,1,MATCH(COLUMNS($AO$1006:AU1006),$AO$1006:$BQ$1006,0))&gt;=100000), " ",IF(INDEX($AO$2:$BQ$1001,MATCH(ROWS($AH$2:AH221),$AH$2:$AH$1001,0),MATCH(COLUMNS($AO$1006:AU1006),$AO$1006:$BQ$1006,0)), HYPERLINK("#",""), HYPERLINK(CONCATENATE("#Metadata!", ADDRESS(INDEX($AJ$2:$AJ$1001,MATCH(ROWS($AH$2:AH221),$AH$2:$AH$1001,0),0), INDEX($AO$1004:$BQ$1004,1,MATCH(COLUMNS($AO$1006:AU1006),$AO$1006:$BQ$1006,0)))),"Fix")))</f>
        <v>#N/A</v>
      </c>
      <c r="I221" s="5" t="e">
        <f ca="1">IF(OR(INDEX($AI$2:$AI$1001,MATCH(ROWS($AH$2:AH221),$AH$2:$AH$1001,0),1)&gt;=100000,INDEX($AO$1005:$BQ$1005,1,MATCH(COLUMNS($AO$1006:AV1006),$AO$1006:$BQ$1006,0))&gt;=100000), " ",IF(INDEX($AO$2:$BQ$1001,MATCH(ROWS($AH$2:AH221),$AH$2:$AH$1001,0),MATCH(COLUMNS($AO$1006:AV1006),$AO$1006:$BQ$1006,0)), HYPERLINK("#",""), HYPERLINK(CONCATENATE("#Metadata!", ADDRESS(INDEX($AJ$2:$AJ$1001,MATCH(ROWS($AH$2:AH221),$AH$2:$AH$1001,0),0), INDEX($AO$1004:$BQ$1004,1,MATCH(COLUMNS($AO$1006:AV1006),$AO$1006:$BQ$1006,0)))),"Fix")))</f>
        <v>#N/A</v>
      </c>
      <c r="J221" s="5" t="e">
        <f ca="1">IF(OR(INDEX($AI$2:$AI$1001,MATCH(ROWS($AH$2:AH221),$AH$2:$AH$1001,0),1)&gt;=100000,INDEX($AO$1005:$BQ$1005,1,MATCH(COLUMNS($AO$1006:AW1006),$AO$1006:$BQ$1006,0))&gt;=100000), " ",IF(INDEX($AO$2:$BQ$1001,MATCH(ROWS($AH$2:AH221),$AH$2:$AH$1001,0),MATCH(COLUMNS($AO$1006:AW1006),$AO$1006:$BQ$1006,0)), HYPERLINK("#",""), HYPERLINK(CONCATENATE("#Metadata!", ADDRESS(INDEX($AJ$2:$AJ$1001,MATCH(ROWS($AH$2:AH221),$AH$2:$AH$1001,0),0), INDEX($AO$1004:$BQ$1004,1,MATCH(COLUMNS($AO$1006:AW1006),$AO$1006:$BQ$1006,0)))),"Fix")))</f>
        <v>#N/A</v>
      </c>
      <c r="K221" s="5" t="e">
        <f ca="1">IF(OR(INDEX($AI$2:$AI$1001,MATCH(ROWS($AH$2:AH221),$AH$2:$AH$1001,0),1)&gt;=100000,INDEX($AO$1005:$BQ$1005,1,MATCH(COLUMNS($AO$1006:AX1006),$AO$1006:$BQ$1006,0))&gt;=100000), " ",IF(INDEX($AO$2:$BQ$1001,MATCH(ROWS($AH$2:AH221),$AH$2:$AH$1001,0),MATCH(COLUMNS($AO$1006:AX1006),$AO$1006:$BQ$1006,0)), HYPERLINK("#",""), HYPERLINK(CONCATENATE("#Metadata!", ADDRESS(INDEX($AJ$2:$AJ$1001,MATCH(ROWS($AH$2:AH221),$AH$2:$AH$1001,0),0), INDEX($AO$1004:$BQ$1004,1,MATCH(COLUMNS($AO$1006:AX1006),$AO$1006:$BQ$1006,0)))),"Fix")))</f>
        <v>#N/A</v>
      </c>
      <c r="L221" s="5" t="e">
        <f ca="1">IF(OR(INDEX($AI$2:$AI$1001,MATCH(ROWS($AH$2:AH221),$AH$2:$AH$1001,0),1)&gt;=100000,INDEX($AO$1005:$BQ$1005,1,MATCH(COLUMNS($AO$1006:AY1006),$AO$1006:$BQ$1006,0))&gt;=100000), " ",IF(INDEX($AO$2:$BQ$1001,MATCH(ROWS($AH$2:AH221),$AH$2:$AH$1001,0),MATCH(COLUMNS($AO$1006:AY1006),$AO$1006:$BQ$1006,0)), HYPERLINK("#",""), HYPERLINK(CONCATENATE("#Metadata!", ADDRESS(INDEX($AJ$2:$AJ$1001,MATCH(ROWS($AH$2:AH221),$AH$2:$AH$1001,0),0), INDEX($AO$1004:$BQ$1004,1,MATCH(COLUMNS($AO$1006:AY1006),$AO$1006:$BQ$1006,0)))),"Fix")))</f>
        <v>#N/A</v>
      </c>
      <c r="M221" s="5" t="e">
        <f ca="1">IF(OR(INDEX($AI$2:$AI$1001,MATCH(ROWS($AH$2:AH221),$AH$2:$AH$1001,0),1)&gt;=100000,INDEX($AO$1005:$BQ$1005,1,MATCH(COLUMNS($AO$1006:AZ1006),$AO$1006:$BQ$1006,0))&gt;=100000), " ",IF(INDEX($AO$2:$BQ$1001,MATCH(ROWS($AH$2:AH221),$AH$2:$AH$1001,0),MATCH(COLUMNS($AO$1006:AZ1006),$AO$1006:$BQ$1006,0)), HYPERLINK("#",""), HYPERLINK(CONCATENATE("#Metadata!", ADDRESS(INDEX($AJ$2:$AJ$1001,MATCH(ROWS($AH$2:AH221),$AH$2:$AH$1001,0),0), INDEX($AO$1004:$BQ$1004,1,MATCH(COLUMNS($AO$1006:AZ1006),$AO$1006:$BQ$1006,0)))),"Fix")))</f>
        <v>#N/A</v>
      </c>
      <c r="N221" s="5" t="e">
        <f ca="1">IF(OR(INDEX($AI$2:$AI$1001,MATCH(ROWS($AH$2:AH221),$AH$2:$AH$1001,0),1)&gt;=100000,INDEX($AO$1005:$BQ$1005,1,MATCH(COLUMNS($AO$1006:BA1006),$AO$1006:$BQ$1006,0))&gt;=100000), " ",IF(INDEX($AO$2:$BQ$1001,MATCH(ROWS($AH$2:AH221),$AH$2:$AH$1001,0),MATCH(COLUMNS($AO$1006:BA1006),$AO$1006:$BQ$1006,0)), HYPERLINK("#",""), HYPERLINK(CONCATENATE("#Metadata!", ADDRESS(INDEX($AJ$2:$AJ$1001,MATCH(ROWS($AH$2:AH221),$AH$2:$AH$1001,0),0), INDEX($AO$1004:$BQ$1004,1,MATCH(COLUMNS($AO$1006:BA1006),$AO$1006:$BQ$1006,0)))),"Fix")))</f>
        <v>#N/A</v>
      </c>
      <c r="O221" s="5" t="e">
        <f ca="1">IF(OR(INDEX($AI$2:$AI$1001,MATCH(ROWS($AH$2:AH221),$AH$2:$AH$1001,0),1)&gt;=100000,INDEX($AO$1005:$BQ$1005,1,MATCH(COLUMNS($AO$1006:BB1006),$AO$1006:$BQ$1006,0))&gt;=100000), " ",IF(INDEX($AO$2:$BQ$1001,MATCH(ROWS($AH$2:AH221),$AH$2:$AH$1001,0),MATCH(COLUMNS($AO$1006:BB1006),$AO$1006:$BQ$1006,0)), HYPERLINK("#",""), HYPERLINK(CONCATENATE("#Metadata!", ADDRESS(INDEX($AJ$2:$AJ$1001,MATCH(ROWS($AH$2:AH221),$AH$2:$AH$1001,0),0), INDEX($AO$1004:$BQ$1004,1,MATCH(COLUMNS($AO$1006:BB1006),$AO$1006:$BQ$1006,0)))),"Fix")))</f>
        <v>#N/A</v>
      </c>
      <c r="P221" s="5" t="e">
        <f ca="1">IF(OR(INDEX($AI$2:$AI$1001,MATCH(ROWS($AH$2:AH221),$AH$2:$AH$1001,0),1)&gt;=100000,INDEX($AO$1005:$BQ$1005,1,MATCH(COLUMNS($AO$1006:BC1006),$AO$1006:$BQ$1006,0))&gt;=100000), " ",IF(INDEX($AO$2:$BQ$1001,MATCH(ROWS($AH$2:AH221),$AH$2:$AH$1001,0),MATCH(COLUMNS($AO$1006:BC1006),$AO$1006:$BQ$1006,0)), HYPERLINK("#",""), HYPERLINK(CONCATENATE("#Metadata!", ADDRESS(INDEX($AJ$2:$AJ$1001,MATCH(ROWS($AH$2:AH221),$AH$2:$AH$1001,0),0), INDEX($AO$1004:$BQ$1004,1,MATCH(COLUMNS($AO$1006:BC1006),$AO$1006:$BQ$1006,0)))),"Fix")))</f>
        <v>#N/A</v>
      </c>
      <c r="Q221" s="5" t="e">
        <f ca="1">IF(OR(INDEX($AI$2:$AI$1001,MATCH(ROWS($AH$2:AH221),$AH$2:$AH$1001,0),1)&gt;=100000,INDEX($AO$1005:$BQ$1005,1,MATCH(COLUMNS($AO$1006:BD1006),$AO$1006:$BQ$1006,0))&gt;=100000), " ",IF(INDEX($AO$2:$BQ$1001,MATCH(ROWS($AH$2:AH221),$AH$2:$AH$1001,0),MATCH(COLUMNS($AO$1006:BD1006),$AO$1006:$BQ$1006,0)), HYPERLINK("#",""), HYPERLINK(CONCATENATE("#Metadata!", ADDRESS(INDEX($AJ$2:$AJ$1001,MATCH(ROWS($AH$2:AH221),$AH$2:$AH$1001,0),0), INDEX($AO$1004:$BQ$1004,1,MATCH(COLUMNS($AO$1006:BD1006),$AO$1006:$BQ$1006,0)))),"Fix")))</f>
        <v>#N/A</v>
      </c>
      <c r="R221" s="5" t="e">
        <f ca="1">IF(OR(INDEX($AI$2:$AI$1001,MATCH(ROWS($AH$2:AH221),$AH$2:$AH$1001,0),1)&gt;=100000,INDEX($AO$1005:$BQ$1005,1,MATCH(COLUMNS($AO$1006:BE1006),$AO$1006:$BQ$1006,0))&gt;=100000), " ",IF(INDEX($AO$2:$BQ$1001,MATCH(ROWS($AH$2:AH221),$AH$2:$AH$1001,0),MATCH(COLUMNS($AO$1006:BE1006),$AO$1006:$BQ$1006,0)), HYPERLINK("#",""), HYPERLINK(CONCATENATE("#Metadata!", ADDRESS(INDEX($AJ$2:$AJ$1001,MATCH(ROWS($AH$2:AH221),$AH$2:$AH$1001,0),0), INDEX($AO$1004:$BQ$1004,1,MATCH(COLUMNS($AO$1006:BE1006),$AO$1006:$BQ$1006,0)))),"Fix")))</f>
        <v>#N/A</v>
      </c>
      <c r="S221" s="5" t="e">
        <f ca="1">IF(OR(INDEX($AI$2:$AI$1001,MATCH(ROWS($AH$2:AH221),$AH$2:$AH$1001,0),1)&gt;=100000,INDEX($AO$1005:$BQ$1005,1,MATCH(COLUMNS($AO$1006:BF1006),$AO$1006:$BQ$1006,0))&gt;=100000), " ",IF(INDEX($AO$2:$BQ$1001,MATCH(ROWS($AH$2:AH221),$AH$2:$AH$1001,0),MATCH(COLUMNS($AO$1006:BF1006),$AO$1006:$BQ$1006,0)), HYPERLINK("#",""), HYPERLINK(CONCATENATE("#Metadata!", ADDRESS(INDEX($AJ$2:$AJ$1001,MATCH(ROWS($AH$2:AH221),$AH$2:$AH$1001,0),0), INDEX($AO$1004:$BQ$1004,1,MATCH(COLUMNS($AO$1006:BF1006),$AO$1006:$BQ$1006,0)))),"Fix")))</f>
        <v>#N/A</v>
      </c>
      <c r="T221" s="5" t="e">
        <f ca="1">IF(OR(INDEX($AI$2:$AI$1001,MATCH(ROWS($AH$2:AH221),$AH$2:$AH$1001,0),1)&gt;=100000,INDEX($AO$1005:$BQ$1005,1,MATCH(COLUMNS($AO$1006:BG1006),$AO$1006:$BQ$1006,0))&gt;=100000), " ",IF(INDEX($AO$2:$BQ$1001,MATCH(ROWS($AH$2:AH221),$AH$2:$AH$1001,0),MATCH(COLUMNS($AO$1006:BG1006),$AO$1006:$BQ$1006,0)), HYPERLINK("#",""), HYPERLINK(CONCATENATE("#Metadata!", ADDRESS(INDEX($AJ$2:$AJ$1001,MATCH(ROWS($AH$2:AH221),$AH$2:$AH$1001,0),0), INDEX($AO$1004:$BQ$1004,1,MATCH(COLUMNS($AO$1006:BG1006),$AO$1006:$BQ$1006,0)))),"Fix")))</f>
        <v>#N/A</v>
      </c>
      <c r="U221" s="5" t="e">
        <f ca="1">IF(OR(INDEX($AI$2:$AI$1001,MATCH(ROWS($AH$2:AH221),$AH$2:$AH$1001,0),1)&gt;=100000,INDEX($AO$1005:$BQ$1005,1,MATCH(COLUMNS($AO$1006:BH1006),$AO$1006:$BQ$1006,0))&gt;=100000), " ",IF(INDEX($AO$2:$BQ$1001,MATCH(ROWS($AH$2:AH221),$AH$2:$AH$1001,0),MATCH(COLUMNS($AO$1006:BH1006),$AO$1006:$BQ$1006,0)), HYPERLINK("#",""), HYPERLINK(CONCATENATE("#Metadata!", ADDRESS(INDEX($AJ$2:$AJ$1001,MATCH(ROWS($AH$2:AH221),$AH$2:$AH$1001,0),0), INDEX($AO$1004:$BQ$1004,1,MATCH(COLUMNS($AO$1006:BH1006),$AO$1006:$BQ$1006,0)))),"Fix")))</f>
        <v>#N/A</v>
      </c>
      <c r="V221" s="5" t="e">
        <f ca="1">IF(OR(INDEX($AI$2:$AI$1001,MATCH(ROWS($AH$2:AH221),$AH$2:$AH$1001,0),1)&gt;=100000,INDEX($AO$1005:$BQ$1005,1,MATCH(COLUMNS($AO$1006:BI1006),$AO$1006:$BQ$1006,0))&gt;=100000), " ",IF(INDEX($AO$2:$BQ$1001,MATCH(ROWS($AH$2:AH221),$AH$2:$AH$1001,0),MATCH(COLUMNS($AO$1006:BI1006),$AO$1006:$BQ$1006,0)), HYPERLINK("#",""), HYPERLINK(CONCATENATE("#Metadata!", ADDRESS(INDEX($AJ$2:$AJ$1001,MATCH(ROWS($AH$2:AH221),$AH$2:$AH$1001,0),0), INDEX($AO$1004:$BQ$1004,1,MATCH(COLUMNS($AO$1006:BI1006),$AO$1006:$BQ$1006,0)))),"Fix")))</f>
        <v>#N/A</v>
      </c>
      <c r="W221" s="5" t="e">
        <f ca="1">IF(OR(INDEX($AI$2:$AI$1001,MATCH(ROWS($AH$2:AH221),$AH$2:$AH$1001,0),1)&gt;=100000,INDEX($AO$1005:$BQ$1005,1,MATCH(COLUMNS($AO$1006:BJ1006),$AO$1006:$BQ$1006,0))&gt;=100000), " ",IF(INDEX($AO$2:$BQ$1001,MATCH(ROWS($AH$2:AH221),$AH$2:$AH$1001,0),MATCH(COLUMNS($AO$1006:BJ1006),$AO$1006:$BQ$1006,0)), HYPERLINK("#",""), HYPERLINK(CONCATENATE("#Metadata!", ADDRESS(INDEX($AJ$2:$AJ$1001,MATCH(ROWS($AH$2:AH221),$AH$2:$AH$1001,0),0), INDEX($AO$1004:$BQ$1004,1,MATCH(COLUMNS($AO$1006:BJ1006),$AO$1006:$BQ$1006,0)))),"Fix")))</f>
        <v>#N/A</v>
      </c>
      <c r="X221" s="5" t="e">
        <f ca="1">IF(OR(INDEX($AI$2:$AI$1001,MATCH(ROWS($AH$2:AH221),$AH$2:$AH$1001,0),1)&gt;=100000,INDEX($AO$1005:$BQ$1005,1,MATCH(COLUMNS($AO$1006:BK1006),$AO$1006:$BQ$1006,0))&gt;=100000), " ",IF(INDEX($AO$2:$BQ$1001,MATCH(ROWS($AH$2:AH221),$AH$2:$AH$1001,0),MATCH(COLUMNS($AO$1006:BK1006),$AO$1006:$BQ$1006,0)), HYPERLINK("#",""), HYPERLINK(CONCATENATE("#Metadata!", ADDRESS(INDEX($AJ$2:$AJ$1001,MATCH(ROWS($AH$2:AH221),$AH$2:$AH$1001,0),0), INDEX($AO$1004:$BQ$1004,1,MATCH(COLUMNS($AO$1006:BK1006),$AO$1006:$BQ$1006,0)))),"Fix")))</f>
        <v>#N/A</v>
      </c>
      <c r="Y221" s="5" t="e">
        <f ca="1">IF(OR(INDEX($AI$2:$AI$1001,MATCH(ROWS($AH$2:AH221),$AH$2:$AH$1001,0),1)&gt;=100000,INDEX($AO$1005:$BQ$1005,1,MATCH(COLUMNS($AO$1006:BL1006),$AO$1006:$BQ$1006,0))&gt;=100000), " ",IF(INDEX($AO$2:$BQ$1001,MATCH(ROWS($AH$2:AH221),$AH$2:$AH$1001,0),MATCH(COLUMNS($AO$1006:BL1006),$AO$1006:$BQ$1006,0)), HYPERLINK("#",""), HYPERLINK(CONCATENATE("#Metadata!", ADDRESS(INDEX($AJ$2:$AJ$1001,MATCH(ROWS($AH$2:AH221),$AH$2:$AH$1001,0),0), INDEX($AO$1004:$BQ$1004,1,MATCH(COLUMNS($AO$1006:BL1006),$AO$1006:$BQ$1006,0)))),"Fix")))</f>
        <v>#N/A</v>
      </c>
      <c r="Z221" s="5" t="e">
        <f ca="1">IF(OR(INDEX($AI$2:$AI$1001,MATCH(ROWS($AH$2:AH221),$AH$2:$AH$1001,0),1)&gt;=100000,INDEX($AO$1005:$BQ$1005,1,MATCH(COLUMNS($AO$1006:BM1006),$AO$1006:$BQ$1006,0))&gt;=100000), " ",IF(INDEX($AO$2:$BQ$1001,MATCH(ROWS($AH$2:AH221),$AH$2:$AH$1001,0),MATCH(COLUMNS($AO$1006:BM1006),$AO$1006:$BQ$1006,0)), HYPERLINK("#",""), HYPERLINK(CONCATENATE("#Metadata!", ADDRESS(INDEX($AJ$2:$AJ$1001,MATCH(ROWS($AH$2:AH221),$AH$2:$AH$1001,0),0), INDEX($AO$1004:$BQ$1004,1,MATCH(COLUMNS($AO$1006:BM1006),$AO$1006:$BQ$1006,0)))),"Fix")))</f>
        <v>#N/A</v>
      </c>
      <c r="AA221" s="5" t="e">
        <f ca="1">IF(OR(INDEX($AI$2:$AI$1001,MATCH(ROWS($AH$2:AH221),$AH$2:$AH$1001,0),1)&gt;=100000,INDEX($AO$1005:$BQ$1005,1,MATCH(COLUMNS($AO$1006:BN1006),$AO$1006:$BQ$1006,0))&gt;=100000), " ",IF(INDEX($AO$2:$BQ$1001,MATCH(ROWS($AH$2:AH221),$AH$2:$AH$1001,0),MATCH(COLUMNS($AO$1006:BN1006),$AO$1006:$BQ$1006,0)), HYPERLINK("#",""), HYPERLINK(CONCATENATE("#Metadata!", ADDRESS(INDEX($AJ$2:$AJ$1001,MATCH(ROWS($AH$2:AH221),$AH$2:$AH$1001,0),0), INDEX($AO$1004:$BQ$1004,1,MATCH(COLUMNS($AO$1006:BN1006),$AO$1006:$BQ$1006,0)))),"Fix")))</f>
        <v>#N/A</v>
      </c>
      <c r="AB221" s="5" t="e">
        <f ca="1">IF(OR(INDEX($AI$2:$AI$1001,MATCH(ROWS($AH$2:AH221),$AH$2:$AH$1001,0),1)&gt;=100000,INDEX($AO$1005:$BQ$1005,1,MATCH(COLUMNS($AO$1006:BO1006),$AO$1006:$BQ$1006,0))&gt;=100000), " ",IF(INDEX($AO$2:$BQ$1001,MATCH(ROWS($AH$2:AH221),$AH$2:$AH$1001,0),MATCH(COLUMNS($AO$1006:BO1006),$AO$1006:$BQ$1006,0)), HYPERLINK("#",""), HYPERLINK(CONCATENATE("#Metadata!", ADDRESS(INDEX($AJ$2:$AJ$1001,MATCH(ROWS($AH$2:AH221),$AH$2:$AH$1001,0),0), INDEX($AO$1004:$BQ$1004,1,MATCH(COLUMNS($AO$1006:BO1006),$AO$1006:$BQ$1006,0)))),"Fix")))</f>
        <v>#N/A</v>
      </c>
      <c r="AC221" s="5" t="e">
        <f ca="1">IF(OR(INDEX($AI$2:$AI$1001,MATCH(ROWS($AH$2:AH221),$AH$2:$AH$1001,0),1)&gt;=100000,INDEX($AO$1005:$BQ$1005,1,MATCH(COLUMNS($AO$1006:BP1006),$AO$1006:$BQ$1006,0))&gt;=100000), " ",IF(INDEX($AO$2:$BQ$1001,MATCH(ROWS($AH$2:AH221),$AH$2:$AH$1001,0),MATCH(COLUMNS($AO$1006:BP1006),$AO$1006:$BQ$1006,0)), HYPERLINK("#",""), HYPERLINK(CONCATENATE("#Metadata!", ADDRESS(INDEX($AJ$2:$AJ$1001,MATCH(ROWS($AH$2:AH221),$AH$2:$AH$1001,0),0), INDEX($AO$1004:$BQ$1004,1,MATCH(COLUMNS($AO$1006:BP1006),$AO$1006:$BQ$1006,0)))),"Fix")))</f>
        <v>#N/A</v>
      </c>
      <c r="AD221" s="5" t="e">
        <f ca="1">IF(OR(INDEX($AI$2:$AI$1001,MATCH(ROWS($AH$2:AH221),$AH$2:$AH$1001,0),1)&gt;=100000,INDEX($AO$1005:$BQ$1005,1,MATCH(COLUMNS($AO$1006:BQ1006),$AO$1006:$BQ$1006,0))&gt;=100000), " ",IF(INDEX($AO$2:$BQ$1001,MATCH(ROWS($AH$2:AH221),$AH$2:$AH$1001,0),MATCH(COLUMNS($AO$1006:BQ1006),$AO$1006:$BQ$1006,0)), HYPERLINK("#",""), HYPERLINK(CONCATENATE("#Metadata!", ADDRESS(INDEX($AJ$2:$AJ$1001,MATCH(ROWS($AH$2:AH221),$AH$2:$AH$1001,0),0), INDEX($AO$1004:$BQ$1004,1,MATCH(COLUMNS($AO$1006:BQ1006),$AO$1006:$BQ$1006,0)))),"Fix")))</f>
        <v>#REF!</v>
      </c>
      <c r="AH221">
        <f ca="1"/>
        <v>218</v>
      </c>
      <c r="AI221">
        <v>100221</v>
      </c>
      <c r="AJ221">
        <v>221</v>
      </c>
      <c r="AK221" t="b">
        <f t="shared" si="3"/>
        <v>1</v>
      </c>
      <c r="AL221" t="b">
        <f>COUNTBLANK(Metadata!B221:AD221)=COLUMNS(Metadata!B221:AD221)</f>
        <v>1</v>
      </c>
      <c r="AM221" t="str">
        <v/>
      </c>
      <c r="AO221" t="b">
        <f ca="1">AND(IF(Metadata!B221="",FALSE,TRUE),COUNTIF(Metadata!B:B, Metadata!B221) = 1,NOT(ISERROR(SUMPRODUCT(SEARCH(MID(Metadata!B221,ROW(INDIRECT("1:"&amp;LEN(Metadata!B221))), 1),"0123456789abcdefghijklmnopqrstuvwxyzABCDEFGHIJKLMNOPQRSTUVWXYZ.")))))</f>
        <v>0</v>
      </c>
      <c r="AP221" t="b">
        <f>IF(Metadata!C221="",FALSE,TRUE)</f>
        <v>0</v>
      </c>
      <c r="AQ221" t="b">
        <f>IF(Metadata!D221="",FALSE,TRUE)</f>
        <v>0</v>
      </c>
      <c r="AR221" t="b">
        <f ca="1">OR(AND(IF(Metadata!E221="",FALSE,TRUE),OR(EXACT(Metadata!E221,"not collected"),EXACT(Metadata!E221,"not provided"),EXACT(Metadata!E221,"restricted access"))),AND(IF(Metadata!E221="",FALSE,TRUE),AND(AND(IFERROR(INT(LEFT(Metadata!E221,4))&gt;1900,FALSE),IFERROR(INT(LEFT(Metadata!E221,4))&lt;=YEAR(NOW()),FALSE)), OR(MID(Metadata!E221,5,1)="", AND(AND(MID(Metadata!E221,5,1)="-",IFERROR(INT(MID(Metadata!E221,6,1))&gt;=0,FALSE),IFERROR(INT(MID(Metadata!E221,6,1))&lt;=1,FALSE),NOT(MID(Metadata!E221,7,1)=""),IFERROR(INT(MID(Metadata!E221,6,2))&gt;=1,FALSE),IFERROR(INT(MID(Metadata!E221,6,2))&lt;=12,FALSE)), OR(MID(Metadata!E221,8,1)="", AND(AND(MID(Metadata!E221,8,1)="-",IFERROR(INT(MID(Metadata!E221,9,1))&gt;=0,FALSE),IFERROR(INT(MID(Metadata!E221,9,1))&lt;=3,FALSE),NOT(MID(Metadata!E221,10,1)=""),IFERROR(INT(MID(Metadata!E221,9,2))&gt;=1,FALSE),IFERROR(INT(MID(Metadata!E221,9,2))&lt;=31,FALSE)), OR(MID(Metadata!E221,11,1)="", AND(AND(MID(Metadata!E221,11,1)=" ",IFERROR(INT(MID(Metadata!E221,12,1))&gt;=0,FALSE),IFERROR(INT(MID(Metadata!E221,12,1))&lt;=2,FALSE),NOT(MID(Metadata!E221,13,1)=""),IFERROR(INT(MID(Metadata!E221,12,2))&gt;=0,FALSE),IFERROR(INT(MID(Metadata!E221,12,2))&lt;=23,FALSE)), OR(MID(Metadata!E221,14,1)="", AND(AND(MID(Metadata!E221,14,1)=":",IFERROR(INT(MID(Metadata!E221,15,1))&gt;=0,FALSE),IFERROR(INT(MID(Metadata!E221,15,1))&lt;=5,FALSE),NOT(MID(Metadata!E221,16,1)=""),IFERROR(INT(MID(Metadata!E221,15,2))&gt;=0,FALSE),IFERROR(INT(MID(Metadata!E221,15,2))&lt;=59,FALSE)), OR(MID(Metadata!E221,17,1)="", AND(AND(MID(Metadata!E221,17,1)=":",IFERROR(INT(MID(Metadata!E221,18,1))&gt;=0,FALSE),IFERROR(INT(MID(Metadata!E221,18,1))&lt;=5,FALSE),NOT(MID(Metadata!E221,19,1)=""),IFERROR(INT(MID(Metadata!E221,18,2))&gt;=0,FALSE),IFERROR(INT(MID(Metadata!E221,18,2))&lt;=59,FALSE)), LEN(Metadata!E221)&lt;=19)))))))))))))</f>
        <v>0</v>
      </c>
      <c r="AS221" t="b">
        <f>IF(Metadata!F221="",FALSE,TRUE)</f>
        <v>0</v>
      </c>
      <c r="AT221" t="b">
        <f>OR(AND(IF(Metadata!G221="",FALSE,TRUE),OR(EXACT(Metadata!G221,"not collected"),EXACT(Metadata!G221,"not provided"))),AND(IF(Metadata!G221="",FALSE,TRUE),OR(EXACT(Metadata!G221,"TRUE"),EXACT(Metadata!G221,"FALSE"))))</f>
        <v>0</v>
      </c>
      <c r="AU221" t="b">
        <f>OR(AND(IF(Metadata!H221="",FALSE,TRUE),OR(EXACT(Metadata!H221,"not collected"),EXACT(Metadata!H221,"not provided"),EXACT(Metadata!H221,"restricted access"))),AND(IF(Metadata!H221="",FALSE,ISNUMBER(VALUE(Metadata!H221))),Metadata!H221&gt;=-413))</f>
        <v>0</v>
      </c>
      <c r="AV221" t="b">
        <f>AND(IF(Metadata!I221="",FALSE,TRUE),EXACT(Metadata!I221,"meters"))</f>
        <v>0</v>
      </c>
      <c r="AW221" t="b">
        <f>AND(IF(Metadata!J221="",FALSE,TRUE),EXACT(Metadata!J221,"free-living"))</f>
        <v>0</v>
      </c>
      <c r="AX221" t="b">
        <f>AND(IF(Metadata!K221="",FALSE,TRUE),OR(EXACT(Metadata!K221,"saline"),EXACT(Metadata!K221,"non-saline")))</f>
        <v>0</v>
      </c>
      <c r="AY221" t="b">
        <f>AND(IF(Metadata!L221="",FALSE,TRUE),OR(EXACT(Metadata!L221,"sub-surface (non-saline)"),EXACT(Metadata!L221,"surface (non-saline)"),EXACT(Metadata!L221,"water (non-saline)"),EXACT(Metadata!L221,"soil (non-saline)"),EXACT(Metadata!L221,"aerosol (non-saline)"),EXACT(Metadata!L221,"sediment (non-saline)"),EXACT(Metadata!L221,"surface (saline)"),EXACT(Metadata!L221,"water (saline)"),EXACT(Metadata!L221,"hypersaline (saline)"),EXACT(Metadata!L221,"aerosol (saline)"),EXACT(Metadata!L221,"sediment (saline)")))</f>
        <v>0</v>
      </c>
      <c r="AZ221" t="b">
        <f>IF(Metadata!M221="",FALSE,TRUE)</f>
        <v>0</v>
      </c>
      <c r="BA221" t="b">
        <f>IF(Metadata!N221="",FALSE,TRUE)</f>
        <v>0</v>
      </c>
      <c r="BB221" t="b">
        <f>IF(Metadata!O221="",FALSE,TRUE)</f>
        <v>0</v>
      </c>
      <c r="BC221" t="b">
        <f>AND(IF(Metadata!P221="",FALSE,TRUE),OR(EXACT(Metadata!P221,"air"),EXACT(Metadata!P221,"microbial mat/biofilm"),EXACT(Metadata!P221,"misc environment"),EXACT(Metadata!P221,"sediment"),EXACT(Metadata!P221,"soil"),EXACT(Metadata!P221,"wastewater/sludge"),EXACT(Metadata!P221,"water")))</f>
        <v>0</v>
      </c>
      <c r="BD221" t="b">
        <f>IF(Metadata!Q221="",FALSE,TRUE)</f>
        <v>0</v>
      </c>
      <c r="BE221" t="b">
        <f>IF(Metadata!R221="",FALSE,TRUE)</f>
        <v>0</v>
      </c>
      <c r="BF221" t="b">
        <f>OR(AND(IF(Metadata!S221="",FALSE,TRUE),OR(EXACT(Metadata!S221,"not collected"),EXACT(Metadata!S221,"not provided"),EXACT(Metadata!S221,"restricted access"))),AND(IF(Metadata!S221="",FALSE,ISNUMBER(VALUE(Metadata!S221))),Metadata!S221&gt;=-90,Metadata!S221&lt;=90))</f>
        <v>0</v>
      </c>
      <c r="BG221" t="b">
        <f>AND(IF(Metadata!T221="",FALSE,TRUE),EXACT(Metadata!T221,"Decimal degrees"))</f>
        <v>0</v>
      </c>
      <c r="BH221" t="b">
        <f>OR(AND(IF(Metadata!U221="",FALSE,TRUE),OR(EXACT(Metadata!U221,"not applicable"),EXACT(Metadata!U221,"not collected"))),IF(Metadata!U221="",FALSE,TRUE))</f>
        <v>0</v>
      </c>
      <c r="BI221" t="b">
        <f>OR(AND(IF(Metadata!V221="",FALSE,TRUE),OR(EXACT(Metadata!V221,"not collected"),EXACT(Metadata!V221,"not provided"),EXACT(Metadata!V221,"restricted access"))),AND(IF(Metadata!V221="",FALSE,ISNUMBER(VALUE(Metadata!V221))),Metadata!V221&gt;=-180,Metadata!V221&lt;=180))</f>
        <v>0</v>
      </c>
      <c r="BJ221" t="b">
        <f>AND(IF(Metadata!W221="",FALSE,TRUE),EXACT(Metadata!W221,"Decimal degrees"))</f>
        <v>0</v>
      </c>
      <c r="BK221" t="b">
        <f>IF(Metadata!X221="",FALSE,TRUE)</f>
        <v>0</v>
      </c>
      <c r="BL221" t="b">
        <f>OR(AND(IF(Metadata!Y221="",FALSE,TRUE),OR(EXACT(Metadata!Y221,"not collected"),EXACT(Metadata!Y221,"not provided"),EXACT(Metadata!Y221,"restricted access"))),AND(IF(Metadata!Y221="",FALSE,TRUE),OR(EXACT(Metadata!Y221,"TRUE"),EXACT(Metadata!Y221,"FALSE"))))</f>
        <v>0</v>
      </c>
      <c r="BM221" t="b">
        <f>OR(AND(IF(Metadata!Z221="",FALSE,TRUE),EXACT(Metadata!Z221,"not applicable")),AND(IF(Metadata!Z221="",FALSE,TRUE),OR(EXACT(Metadata!Z221,"beer"),EXACT(Metadata!Z221,"cheese"),EXACT(Metadata!Z221,"fresh water"),EXACT(Metadata!Z221,"marine sediment"),EXACT(Metadata!Z221,"sea water"),EXACT(Metadata!Z221,"sediment"),EXACT(Metadata!Z221,"soil"),EXACT(Metadata!Z221,"waste water"))))</f>
        <v>0</v>
      </c>
      <c r="BN221" t="b">
        <f>AND(IF(Metadata!AA221="",FALSE,TRUE),EXACT(Metadata!AA221,"metagenome"))</f>
        <v>0</v>
      </c>
      <c r="BO221" t="b">
        <f>AND(IF(Metadata!AB221="",FALSE,TRUE),EXACT(Metadata!AB221,"256318"))</f>
        <v>0</v>
      </c>
      <c r="BP221" t="b">
        <f>IF(Metadata!AC221="",FALSE,TRUE)</f>
        <v>0</v>
      </c>
      <c r="BQ221" t="b">
        <f>IF(Metadata!AD221="",FALSE,TRUE)</f>
        <v>0</v>
      </c>
    </row>
    <row r="222" spans="1:69" x14ac:dyDescent="0.2">
      <c r="A222" s="4" t="e">
        <f ca="1">IF(B222=" "," ",HYPERLINK(CONCATENATE("#metadata!",ADDRESS(INDEX($AJ$2:$AJ$1001,MATCH(ROWS($AH$2:AH222),$AH$2:$AH$1001,0),0),2)),INDEX($AM$2:$AM$1001,MATCH(ROWS($AH$2:AH222),$AH$2:$AH$1001,0),0)))</f>
        <v>#N/A</v>
      </c>
      <c r="B222" s="5" t="e">
        <f ca="1">IF(OR(INDEX($AI$2:$AI$1001,MATCH(ROWS($AH$2:AH222),$AH$2:$AH$1001,0),1)&gt;=100000,INDEX($AO$1005:$BQ$1005,1,MATCH(COLUMNS($AO$1006:AO1006),$AO$1006:$BQ$1006,0))&gt;=100000), " ",IF(INDEX($AO$2:$BQ$1001,MATCH(ROWS($AH$2:AH222),$AH$2:$AH$1001,0),MATCH(COLUMNS($AO$1006:AO1006),$AO$1006:$BQ$1006,0)), HYPERLINK("#",""), HYPERLINK(CONCATENATE("#Metadata!", ADDRESS(INDEX($AJ$2:$AJ$1001,MATCH(ROWS($AH$2:AH222),$AH$2:$AH$1001,0),0), INDEX($AO$1004:$BQ$1004,1,MATCH(COLUMNS($AO$1006:AO1006),$AO$1006:$BQ$1006,0)))),"Fix")))</f>
        <v>#N/A</v>
      </c>
      <c r="C222" s="5" t="e">
        <f ca="1">IF(OR(INDEX($AI$2:$AI$1001,MATCH(ROWS($AH$2:AH222),$AH$2:$AH$1001,0),1)&gt;=100000,INDEX($AO$1005:$BQ$1005,1,MATCH(COLUMNS($AO$1006:AP1006),$AO$1006:$BQ$1006,0))&gt;=100000), " ",IF(INDEX($AO$2:$BQ$1001,MATCH(ROWS($AH$2:AH222),$AH$2:$AH$1001,0),MATCH(COLUMNS($AO$1006:AP1006),$AO$1006:$BQ$1006,0)), HYPERLINK("#",""), HYPERLINK(CONCATENATE("#Metadata!", ADDRESS(INDEX($AJ$2:$AJ$1001,MATCH(ROWS($AH$2:AH222),$AH$2:$AH$1001,0),0), INDEX($AO$1004:$BQ$1004,1,MATCH(COLUMNS($AO$1006:AP1006),$AO$1006:$BQ$1006,0)))),"Fix")))</f>
        <v>#N/A</v>
      </c>
      <c r="D222" s="5" t="e">
        <f ca="1">IF(OR(INDEX($AI$2:$AI$1001,MATCH(ROWS($AH$2:AH222),$AH$2:$AH$1001,0),1)&gt;=100000,INDEX($AO$1005:$BQ$1005,1,MATCH(COLUMNS($AO$1006:AQ1006),$AO$1006:$BQ$1006,0))&gt;=100000), " ",IF(INDEX($AO$2:$BQ$1001,MATCH(ROWS($AH$2:AH222),$AH$2:$AH$1001,0),MATCH(COLUMNS($AO$1006:AQ1006),$AO$1006:$BQ$1006,0)), HYPERLINK("#",""), HYPERLINK(CONCATENATE("#Metadata!", ADDRESS(INDEX($AJ$2:$AJ$1001,MATCH(ROWS($AH$2:AH222),$AH$2:$AH$1001,0),0), INDEX($AO$1004:$BQ$1004,1,MATCH(COLUMNS($AO$1006:AQ1006),$AO$1006:$BQ$1006,0)))),"Fix")))</f>
        <v>#N/A</v>
      </c>
      <c r="E222" s="5" t="e">
        <f ca="1">IF(OR(INDEX($AI$2:$AI$1001,MATCH(ROWS($AH$2:AH222),$AH$2:$AH$1001,0),1)&gt;=100000,INDEX($AO$1005:$BQ$1005,1,MATCH(COLUMNS($AO$1006:AR1006),$AO$1006:$BQ$1006,0))&gt;=100000), " ",IF(INDEX($AO$2:$BQ$1001,MATCH(ROWS($AH$2:AH222),$AH$2:$AH$1001,0),MATCH(COLUMNS($AO$1006:AR1006),$AO$1006:$BQ$1006,0)), HYPERLINK("#",""), HYPERLINK(CONCATENATE("#Metadata!", ADDRESS(INDEX($AJ$2:$AJ$1001,MATCH(ROWS($AH$2:AH222),$AH$2:$AH$1001,0),0), INDEX($AO$1004:$BQ$1004,1,MATCH(COLUMNS($AO$1006:AR1006),$AO$1006:$BQ$1006,0)))),"Fix")))</f>
        <v>#N/A</v>
      </c>
      <c r="F222" s="5" t="e">
        <f ca="1">IF(OR(INDEX($AI$2:$AI$1001,MATCH(ROWS($AH$2:AH222),$AH$2:$AH$1001,0),1)&gt;=100000,INDEX($AO$1005:$BQ$1005,1,MATCH(COLUMNS($AO$1006:AS1006),$AO$1006:$BQ$1006,0))&gt;=100000), " ",IF(INDEX($AO$2:$BQ$1001,MATCH(ROWS($AH$2:AH222),$AH$2:$AH$1001,0),MATCH(COLUMNS($AO$1006:AS1006),$AO$1006:$BQ$1006,0)), HYPERLINK("#",""), HYPERLINK(CONCATENATE("#Metadata!", ADDRESS(INDEX($AJ$2:$AJ$1001,MATCH(ROWS($AH$2:AH222),$AH$2:$AH$1001,0),0), INDEX($AO$1004:$BQ$1004,1,MATCH(COLUMNS($AO$1006:AS1006),$AO$1006:$BQ$1006,0)))),"Fix")))</f>
        <v>#N/A</v>
      </c>
      <c r="G222" s="5" t="e">
        <f ca="1">IF(OR(INDEX($AI$2:$AI$1001,MATCH(ROWS($AH$2:AH222),$AH$2:$AH$1001,0),1)&gt;=100000,INDEX($AO$1005:$BQ$1005,1,MATCH(COLUMNS($AO$1006:AT1006),$AO$1006:$BQ$1006,0))&gt;=100000), " ",IF(INDEX($AO$2:$BQ$1001,MATCH(ROWS($AH$2:AH222),$AH$2:$AH$1001,0),MATCH(COLUMNS($AO$1006:AT1006),$AO$1006:$BQ$1006,0)), HYPERLINK("#",""), HYPERLINK(CONCATENATE("#Metadata!", ADDRESS(INDEX($AJ$2:$AJ$1001,MATCH(ROWS($AH$2:AH222),$AH$2:$AH$1001,0),0), INDEX($AO$1004:$BQ$1004,1,MATCH(COLUMNS($AO$1006:AT1006),$AO$1006:$BQ$1006,0)))),"Fix")))</f>
        <v>#N/A</v>
      </c>
      <c r="H222" s="5" t="e">
        <f ca="1">IF(OR(INDEX($AI$2:$AI$1001,MATCH(ROWS($AH$2:AH222),$AH$2:$AH$1001,0),1)&gt;=100000,INDEX($AO$1005:$BQ$1005,1,MATCH(COLUMNS($AO$1006:AU1006),$AO$1006:$BQ$1006,0))&gt;=100000), " ",IF(INDEX($AO$2:$BQ$1001,MATCH(ROWS($AH$2:AH222),$AH$2:$AH$1001,0),MATCH(COLUMNS($AO$1006:AU1006),$AO$1006:$BQ$1006,0)), HYPERLINK("#",""), HYPERLINK(CONCATENATE("#Metadata!", ADDRESS(INDEX($AJ$2:$AJ$1001,MATCH(ROWS($AH$2:AH222),$AH$2:$AH$1001,0),0), INDEX($AO$1004:$BQ$1004,1,MATCH(COLUMNS($AO$1006:AU1006),$AO$1006:$BQ$1006,0)))),"Fix")))</f>
        <v>#N/A</v>
      </c>
      <c r="I222" s="5" t="e">
        <f ca="1">IF(OR(INDEX($AI$2:$AI$1001,MATCH(ROWS($AH$2:AH222),$AH$2:$AH$1001,0),1)&gt;=100000,INDEX($AO$1005:$BQ$1005,1,MATCH(COLUMNS($AO$1006:AV1006),$AO$1006:$BQ$1006,0))&gt;=100000), " ",IF(INDEX($AO$2:$BQ$1001,MATCH(ROWS($AH$2:AH222),$AH$2:$AH$1001,0),MATCH(COLUMNS($AO$1006:AV1006),$AO$1006:$BQ$1006,0)), HYPERLINK("#",""), HYPERLINK(CONCATENATE("#Metadata!", ADDRESS(INDEX($AJ$2:$AJ$1001,MATCH(ROWS($AH$2:AH222),$AH$2:$AH$1001,0),0), INDEX($AO$1004:$BQ$1004,1,MATCH(COLUMNS($AO$1006:AV1006),$AO$1006:$BQ$1006,0)))),"Fix")))</f>
        <v>#N/A</v>
      </c>
      <c r="J222" s="5" t="e">
        <f ca="1">IF(OR(INDEX($AI$2:$AI$1001,MATCH(ROWS($AH$2:AH222),$AH$2:$AH$1001,0),1)&gt;=100000,INDEX($AO$1005:$BQ$1005,1,MATCH(COLUMNS($AO$1006:AW1006),$AO$1006:$BQ$1006,0))&gt;=100000), " ",IF(INDEX($AO$2:$BQ$1001,MATCH(ROWS($AH$2:AH222),$AH$2:$AH$1001,0),MATCH(COLUMNS($AO$1006:AW1006),$AO$1006:$BQ$1006,0)), HYPERLINK("#",""), HYPERLINK(CONCATENATE("#Metadata!", ADDRESS(INDEX($AJ$2:$AJ$1001,MATCH(ROWS($AH$2:AH222),$AH$2:$AH$1001,0),0), INDEX($AO$1004:$BQ$1004,1,MATCH(COLUMNS($AO$1006:AW1006),$AO$1006:$BQ$1006,0)))),"Fix")))</f>
        <v>#N/A</v>
      </c>
      <c r="K222" s="5" t="e">
        <f ca="1">IF(OR(INDEX($AI$2:$AI$1001,MATCH(ROWS($AH$2:AH222),$AH$2:$AH$1001,0),1)&gt;=100000,INDEX($AO$1005:$BQ$1005,1,MATCH(COLUMNS($AO$1006:AX1006),$AO$1006:$BQ$1006,0))&gt;=100000), " ",IF(INDEX($AO$2:$BQ$1001,MATCH(ROWS($AH$2:AH222),$AH$2:$AH$1001,0),MATCH(COLUMNS($AO$1006:AX1006),$AO$1006:$BQ$1006,0)), HYPERLINK("#",""), HYPERLINK(CONCATENATE("#Metadata!", ADDRESS(INDEX($AJ$2:$AJ$1001,MATCH(ROWS($AH$2:AH222),$AH$2:$AH$1001,0),0), INDEX($AO$1004:$BQ$1004,1,MATCH(COLUMNS($AO$1006:AX1006),$AO$1006:$BQ$1006,0)))),"Fix")))</f>
        <v>#N/A</v>
      </c>
      <c r="L222" s="5" t="e">
        <f ca="1">IF(OR(INDEX($AI$2:$AI$1001,MATCH(ROWS($AH$2:AH222),$AH$2:$AH$1001,0),1)&gt;=100000,INDEX($AO$1005:$BQ$1005,1,MATCH(COLUMNS($AO$1006:AY1006),$AO$1006:$BQ$1006,0))&gt;=100000), " ",IF(INDEX($AO$2:$BQ$1001,MATCH(ROWS($AH$2:AH222),$AH$2:$AH$1001,0),MATCH(COLUMNS($AO$1006:AY1006),$AO$1006:$BQ$1006,0)), HYPERLINK("#",""), HYPERLINK(CONCATENATE("#Metadata!", ADDRESS(INDEX($AJ$2:$AJ$1001,MATCH(ROWS($AH$2:AH222),$AH$2:$AH$1001,0),0), INDEX($AO$1004:$BQ$1004,1,MATCH(COLUMNS($AO$1006:AY1006),$AO$1006:$BQ$1006,0)))),"Fix")))</f>
        <v>#N/A</v>
      </c>
      <c r="M222" s="5" t="e">
        <f ca="1">IF(OR(INDEX($AI$2:$AI$1001,MATCH(ROWS($AH$2:AH222),$AH$2:$AH$1001,0),1)&gt;=100000,INDEX($AO$1005:$BQ$1005,1,MATCH(COLUMNS($AO$1006:AZ1006),$AO$1006:$BQ$1006,0))&gt;=100000), " ",IF(INDEX($AO$2:$BQ$1001,MATCH(ROWS($AH$2:AH222),$AH$2:$AH$1001,0),MATCH(COLUMNS($AO$1006:AZ1006),$AO$1006:$BQ$1006,0)), HYPERLINK("#",""), HYPERLINK(CONCATENATE("#Metadata!", ADDRESS(INDEX($AJ$2:$AJ$1001,MATCH(ROWS($AH$2:AH222),$AH$2:$AH$1001,0),0), INDEX($AO$1004:$BQ$1004,1,MATCH(COLUMNS($AO$1006:AZ1006),$AO$1006:$BQ$1006,0)))),"Fix")))</f>
        <v>#N/A</v>
      </c>
      <c r="N222" s="5" t="e">
        <f ca="1">IF(OR(INDEX($AI$2:$AI$1001,MATCH(ROWS($AH$2:AH222),$AH$2:$AH$1001,0),1)&gt;=100000,INDEX($AO$1005:$BQ$1005,1,MATCH(COLUMNS($AO$1006:BA1006),$AO$1006:$BQ$1006,0))&gt;=100000), " ",IF(INDEX($AO$2:$BQ$1001,MATCH(ROWS($AH$2:AH222),$AH$2:$AH$1001,0),MATCH(COLUMNS($AO$1006:BA1006),$AO$1006:$BQ$1006,0)), HYPERLINK("#",""), HYPERLINK(CONCATENATE("#Metadata!", ADDRESS(INDEX($AJ$2:$AJ$1001,MATCH(ROWS($AH$2:AH222),$AH$2:$AH$1001,0),0), INDEX($AO$1004:$BQ$1004,1,MATCH(COLUMNS($AO$1006:BA1006),$AO$1006:$BQ$1006,0)))),"Fix")))</f>
        <v>#N/A</v>
      </c>
      <c r="O222" s="5" t="e">
        <f ca="1">IF(OR(INDEX($AI$2:$AI$1001,MATCH(ROWS($AH$2:AH222),$AH$2:$AH$1001,0),1)&gt;=100000,INDEX($AO$1005:$BQ$1005,1,MATCH(COLUMNS($AO$1006:BB1006),$AO$1006:$BQ$1006,0))&gt;=100000), " ",IF(INDEX($AO$2:$BQ$1001,MATCH(ROWS($AH$2:AH222),$AH$2:$AH$1001,0),MATCH(COLUMNS($AO$1006:BB1006),$AO$1006:$BQ$1006,0)), HYPERLINK("#",""), HYPERLINK(CONCATENATE("#Metadata!", ADDRESS(INDEX($AJ$2:$AJ$1001,MATCH(ROWS($AH$2:AH222),$AH$2:$AH$1001,0),0), INDEX($AO$1004:$BQ$1004,1,MATCH(COLUMNS($AO$1006:BB1006),$AO$1006:$BQ$1006,0)))),"Fix")))</f>
        <v>#N/A</v>
      </c>
      <c r="P222" s="5" t="e">
        <f ca="1">IF(OR(INDEX($AI$2:$AI$1001,MATCH(ROWS($AH$2:AH222),$AH$2:$AH$1001,0),1)&gt;=100000,INDEX($AO$1005:$BQ$1005,1,MATCH(COLUMNS($AO$1006:BC1006),$AO$1006:$BQ$1006,0))&gt;=100000), " ",IF(INDEX($AO$2:$BQ$1001,MATCH(ROWS($AH$2:AH222),$AH$2:$AH$1001,0),MATCH(COLUMNS($AO$1006:BC1006),$AO$1006:$BQ$1006,0)), HYPERLINK("#",""), HYPERLINK(CONCATENATE("#Metadata!", ADDRESS(INDEX($AJ$2:$AJ$1001,MATCH(ROWS($AH$2:AH222),$AH$2:$AH$1001,0),0), INDEX($AO$1004:$BQ$1004,1,MATCH(COLUMNS($AO$1006:BC1006),$AO$1006:$BQ$1006,0)))),"Fix")))</f>
        <v>#N/A</v>
      </c>
      <c r="Q222" s="5" t="e">
        <f ca="1">IF(OR(INDEX($AI$2:$AI$1001,MATCH(ROWS($AH$2:AH222),$AH$2:$AH$1001,0),1)&gt;=100000,INDEX($AO$1005:$BQ$1005,1,MATCH(COLUMNS($AO$1006:BD1006),$AO$1006:$BQ$1006,0))&gt;=100000), " ",IF(INDEX($AO$2:$BQ$1001,MATCH(ROWS($AH$2:AH222),$AH$2:$AH$1001,0),MATCH(COLUMNS($AO$1006:BD1006),$AO$1006:$BQ$1006,0)), HYPERLINK("#",""), HYPERLINK(CONCATENATE("#Metadata!", ADDRESS(INDEX($AJ$2:$AJ$1001,MATCH(ROWS($AH$2:AH222),$AH$2:$AH$1001,0),0), INDEX($AO$1004:$BQ$1004,1,MATCH(COLUMNS($AO$1006:BD1006),$AO$1006:$BQ$1006,0)))),"Fix")))</f>
        <v>#N/A</v>
      </c>
      <c r="R222" s="5" t="e">
        <f ca="1">IF(OR(INDEX($AI$2:$AI$1001,MATCH(ROWS($AH$2:AH222),$AH$2:$AH$1001,0),1)&gt;=100000,INDEX($AO$1005:$BQ$1005,1,MATCH(COLUMNS($AO$1006:BE1006),$AO$1006:$BQ$1006,0))&gt;=100000), " ",IF(INDEX($AO$2:$BQ$1001,MATCH(ROWS($AH$2:AH222),$AH$2:$AH$1001,0),MATCH(COLUMNS($AO$1006:BE1006),$AO$1006:$BQ$1006,0)), HYPERLINK("#",""), HYPERLINK(CONCATENATE("#Metadata!", ADDRESS(INDEX($AJ$2:$AJ$1001,MATCH(ROWS($AH$2:AH222),$AH$2:$AH$1001,0),0), INDEX($AO$1004:$BQ$1004,1,MATCH(COLUMNS($AO$1006:BE1006),$AO$1006:$BQ$1006,0)))),"Fix")))</f>
        <v>#N/A</v>
      </c>
      <c r="S222" s="5" t="e">
        <f ca="1">IF(OR(INDEX($AI$2:$AI$1001,MATCH(ROWS($AH$2:AH222),$AH$2:$AH$1001,0),1)&gt;=100000,INDEX($AO$1005:$BQ$1005,1,MATCH(COLUMNS($AO$1006:BF1006),$AO$1006:$BQ$1006,0))&gt;=100000), " ",IF(INDEX($AO$2:$BQ$1001,MATCH(ROWS($AH$2:AH222),$AH$2:$AH$1001,0),MATCH(COLUMNS($AO$1006:BF1006),$AO$1006:$BQ$1006,0)), HYPERLINK("#",""), HYPERLINK(CONCATENATE("#Metadata!", ADDRESS(INDEX($AJ$2:$AJ$1001,MATCH(ROWS($AH$2:AH222),$AH$2:$AH$1001,0),0), INDEX($AO$1004:$BQ$1004,1,MATCH(COLUMNS($AO$1006:BF1006),$AO$1006:$BQ$1006,0)))),"Fix")))</f>
        <v>#N/A</v>
      </c>
      <c r="T222" s="5" t="e">
        <f ca="1">IF(OR(INDEX($AI$2:$AI$1001,MATCH(ROWS($AH$2:AH222),$AH$2:$AH$1001,0),1)&gt;=100000,INDEX($AO$1005:$BQ$1005,1,MATCH(COLUMNS($AO$1006:BG1006),$AO$1006:$BQ$1006,0))&gt;=100000), " ",IF(INDEX($AO$2:$BQ$1001,MATCH(ROWS($AH$2:AH222),$AH$2:$AH$1001,0),MATCH(COLUMNS($AO$1006:BG1006),$AO$1006:$BQ$1006,0)), HYPERLINK("#",""), HYPERLINK(CONCATENATE("#Metadata!", ADDRESS(INDEX($AJ$2:$AJ$1001,MATCH(ROWS($AH$2:AH222),$AH$2:$AH$1001,0),0), INDEX($AO$1004:$BQ$1004,1,MATCH(COLUMNS($AO$1006:BG1006),$AO$1006:$BQ$1006,0)))),"Fix")))</f>
        <v>#N/A</v>
      </c>
      <c r="U222" s="5" t="e">
        <f ca="1">IF(OR(INDEX($AI$2:$AI$1001,MATCH(ROWS($AH$2:AH222),$AH$2:$AH$1001,0),1)&gt;=100000,INDEX($AO$1005:$BQ$1005,1,MATCH(COLUMNS($AO$1006:BH1006),$AO$1006:$BQ$1006,0))&gt;=100000), " ",IF(INDEX($AO$2:$BQ$1001,MATCH(ROWS($AH$2:AH222),$AH$2:$AH$1001,0),MATCH(COLUMNS($AO$1006:BH1006),$AO$1006:$BQ$1006,0)), HYPERLINK("#",""), HYPERLINK(CONCATENATE("#Metadata!", ADDRESS(INDEX($AJ$2:$AJ$1001,MATCH(ROWS($AH$2:AH222),$AH$2:$AH$1001,0),0), INDEX($AO$1004:$BQ$1004,1,MATCH(COLUMNS($AO$1006:BH1006),$AO$1006:$BQ$1006,0)))),"Fix")))</f>
        <v>#N/A</v>
      </c>
      <c r="V222" s="5" t="e">
        <f ca="1">IF(OR(INDEX($AI$2:$AI$1001,MATCH(ROWS($AH$2:AH222),$AH$2:$AH$1001,0),1)&gt;=100000,INDEX($AO$1005:$BQ$1005,1,MATCH(COLUMNS($AO$1006:BI1006),$AO$1006:$BQ$1006,0))&gt;=100000), " ",IF(INDEX($AO$2:$BQ$1001,MATCH(ROWS($AH$2:AH222),$AH$2:$AH$1001,0),MATCH(COLUMNS($AO$1006:BI1006),$AO$1006:$BQ$1006,0)), HYPERLINK("#",""), HYPERLINK(CONCATENATE("#Metadata!", ADDRESS(INDEX($AJ$2:$AJ$1001,MATCH(ROWS($AH$2:AH222),$AH$2:$AH$1001,0),0), INDEX($AO$1004:$BQ$1004,1,MATCH(COLUMNS($AO$1006:BI1006),$AO$1006:$BQ$1006,0)))),"Fix")))</f>
        <v>#N/A</v>
      </c>
      <c r="W222" s="5" t="e">
        <f ca="1">IF(OR(INDEX($AI$2:$AI$1001,MATCH(ROWS($AH$2:AH222),$AH$2:$AH$1001,0),1)&gt;=100000,INDEX($AO$1005:$BQ$1005,1,MATCH(COLUMNS($AO$1006:BJ1006),$AO$1006:$BQ$1006,0))&gt;=100000), " ",IF(INDEX($AO$2:$BQ$1001,MATCH(ROWS($AH$2:AH222),$AH$2:$AH$1001,0),MATCH(COLUMNS($AO$1006:BJ1006),$AO$1006:$BQ$1006,0)), HYPERLINK("#",""), HYPERLINK(CONCATENATE("#Metadata!", ADDRESS(INDEX($AJ$2:$AJ$1001,MATCH(ROWS($AH$2:AH222),$AH$2:$AH$1001,0),0), INDEX($AO$1004:$BQ$1004,1,MATCH(COLUMNS($AO$1006:BJ1006),$AO$1006:$BQ$1006,0)))),"Fix")))</f>
        <v>#N/A</v>
      </c>
      <c r="X222" s="5" t="e">
        <f ca="1">IF(OR(INDEX($AI$2:$AI$1001,MATCH(ROWS($AH$2:AH222),$AH$2:$AH$1001,0),1)&gt;=100000,INDEX($AO$1005:$BQ$1005,1,MATCH(COLUMNS($AO$1006:BK1006),$AO$1006:$BQ$1006,0))&gt;=100000), " ",IF(INDEX($AO$2:$BQ$1001,MATCH(ROWS($AH$2:AH222),$AH$2:$AH$1001,0),MATCH(COLUMNS($AO$1006:BK1006),$AO$1006:$BQ$1006,0)), HYPERLINK("#",""), HYPERLINK(CONCATENATE("#Metadata!", ADDRESS(INDEX($AJ$2:$AJ$1001,MATCH(ROWS($AH$2:AH222),$AH$2:$AH$1001,0),0), INDEX($AO$1004:$BQ$1004,1,MATCH(COLUMNS($AO$1006:BK1006),$AO$1006:$BQ$1006,0)))),"Fix")))</f>
        <v>#N/A</v>
      </c>
      <c r="Y222" s="5" t="e">
        <f ca="1">IF(OR(INDEX($AI$2:$AI$1001,MATCH(ROWS($AH$2:AH222),$AH$2:$AH$1001,0),1)&gt;=100000,INDEX($AO$1005:$BQ$1005,1,MATCH(COLUMNS($AO$1006:BL1006),$AO$1006:$BQ$1006,0))&gt;=100000), " ",IF(INDEX($AO$2:$BQ$1001,MATCH(ROWS($AH$2:AH222),$AH$2:$AH$1001,0),MATCH(COLUMNS($AO$1006:BL1006),$AO$1006:$BQ$1006,0)), HYPERLINK("#",""), HYPERLINK(CONCATENATE("#Metadata!", ADDRESS(INDEX($AJ$2:$AJ$1001,MATCH(ROWS($AH$2:AH222),$AH$2:$AH$1001,0),0), INDEX($AO$1004:$BQ$1004,1,MATCH(COLUMNS($AO$1006:BL1006),$AO$1006:$BQ$1006,0)))),"Fix")))</f>
        <v>#N/A</v>
      </c>
      <c r="Z222" s="5" t="e">
        <f ca="1">IF(OR(INDEX($AI$2:$AI$1001,MATCH(ROWS($AH$2:AH222),$AH$2:$AH$1001,0),1)&gt;=100000,INDEX($AO$1005:$BQ$1005,1,MATCH(COLUMNS($AO$1006:BM1006),$AO$1006:$BQ$1006,0))&gt;=100000), " ",IF(INDEX($AO$2:$BQ$1001,MATCH(ROWS($AH$2:AH222),$AH$2:$AH$1001,0),MATCH(COLUMNS($AO$1006:BM1006),$AO$1006:$BQ$1006,0)), HYPERLINK("#",""), HYPERLINK(CONCATENATE("#Metadata!", ADDRESS(INDEX($AJ$2:$AJ$1001,MATCH(ROWS($AH$2:AH222),$AH$2:$AH$1001,0),0), INDEX($AO$1004:$BQ$1004,1,MATCH(COLUMNS($AO$1006:BM1006),$AO$1006:$BQ$1006,0)))),"Fix")))</f>
        <v>#N/A</v>
      </c>
      <c r="AA222" s="5" t="e">
        <f ca="1">IF(OR(INDEX($AI$2:$AI$1001,MATCH(ROWS($AH$2:AH222),$AH$2:$AH$1001,0),1)&gt;=100000,INDEX($AO$1005:$BQ$1005,1,MATCH(COLUMNS($AO$1006:BN1006),$AO$1006:$BQ$1006,0))&gt;=100000), " ",IF(INDEX($AO$2:$BQ$1001,MATCH(ROWS($AH$2:AH222),$AH$2:$AH$1001,0),MATCH(COLUMNS($AO$1006:BN1006),$AO$1006:$BQ$1006,0)), HYPERLINK("#",""), HYPERLINK(CONCATENATE("#Metadata!", ADDRESS(INDEX($AJ$2:$AJ$1001,MATCH(ROWS($AH$2:AH222),$AH$2:$AH$1001,0),0), INDEX($AO$1004:$BQ$1004,1,MATCH(COLUMNS($AO$1006:BN1006),$AO$1006:$BQ$1006,0)))),"Fix")))</f>
        <v>#N/A</v>
      </c>
      <c r="AB222" s="5" t="e">
        <f ca="1">IF(OR(INDEX($AI$2:$AI$1001,MATCH(ROWS($AH$2:AH222),$AH$2:$AH$1001,0),1)&gt;=100000,INDEX($AO$1005:$BQ$1005,1,MATCH(COLUMNS($AO$1006:BO1006),$AO$1006:$BQ$1006,0))&gt;=100000), " ",IF(INDEX($AO$2:$BQ$1001,MATCH(ROWS($AH$2:AH222),$AH$2:$AH$1001,0),MATCH(COLUMNS($AO$1006:BO1006),$AO$1006:$BQ$1006,0)), HYPERLINK("#",""), HYPERLINK(CONCATENATE("#Metadata!", ADDRESS(INDEX($AJ$2:$AJ$1001,MATCH(ROWS($AH$2:AH222),$AH$2:$AH$1001,0),0), INDEX($AO$1004:$BQ$1004,1,MATCH(COLUMNS($AO$1006:BO1006),$AO$1006:$BQ$1006,0)))),"Fix")))</f>
        <v>#N/A</v>
      </c>
      <c r="AC222" s="5" t="e">
        <f ca="1">IF(OR(INDEX($AI$2:$AI$1001,MATCH(ROWS($AH$2:AH222),$AH$2:$AH$1001,0),1)&gt;=100000,INDEX($AO$1005:$BQ$1005,1,MATCH(COLUMNS($AO$1006:BP1006),$AO$1006:$BQ$1006,0))&gt;=100000), " ",IF(INDEX($AO$2:$BQ$1001,MATCH(ROWS($AH$2:AH222),$AH$2:$AH$1001,0),MATCH(COLUMNS($AO$1006:BP1006),$AO$1006:$BQ$1006,0)), HYPERLINK("#",""), HYPERLINK(CONCATENATE("#Metadata!", ADDRESS(INDEX($AJ$2:$AJ$1001,MATCH(ROWS($AH$2:AH222),$AH$2:$AH$1001,0),0), INDEX($AO$1004:$BQ$1004,1,MATCH(COLUMNS($AO$1006:BP1006),$AO$1006:$BQ$1006,0)))),"Fix")))</f>
        <v>#N/A</v>
      </c>
      <c r="AD222" s="5" t="e">
        <f ca="1">IF(OR(INDEX($AI$2:$AI$1001,MATCH(ROWS($AH$2:AH222),$AH$2:$AH$1001,0),1)&gt;=100000,INDEX($AO$1005:$BQ$1005,1,MATCH(COLUMNS($AO$1006:BQ1006),$AO$1006:$BQ$1006,0))&gt;=100000), " ",IF(INDEX($AO$2:$BQ$1001,MATCH(ROWS($AH$2:AH222),$AH$2:$AH$1001,0),MATCH(COLUMNS($AO$1006:BQ1006),$AO$1006:$BQ$1006,0)), HYPERLINK("#",""), HYPERLINK(CONCATENATE("#Metadata!", ADDRESS(INDEX($AJ$2:$AJ$1001,MATCH(ROWS($AH$2:AH222),$AH$2:$AH$1001,0),0), INDEX($AO$1004:$BQ$1004,1,MATCH(COLUMNS($AO$1006:BQ1006),$AO$1006:$BQ$1006,0)))),"Fix")))</f>
        <v>#REF!</v>
      </c>
      <c r="AH222">
        <f ca="1"/>
        <v>219</v>
      </c>
      <c r="AI222">
        <v>100222</v>
      </c>
      <c r="AJ222">
        <v>222</v>
      </c>
      <c r="AK222" t="b">
        <f t="shared" si="3"/>
        <v>1</v>
      </c>
      <c r="AL222" t="b">
        <f>COUNTBLANK(Metadata!B222:AD222)=COLUMNS(Metadata!B222:AD222)</f>
        <v>1</v>
      </c>
      <c r="AM222" t="str">
        <v/>
      </c>
      <c r="AO222" t="b">
        <f ca="1">AND(IF(Metadata!B222="",FALSE,TRUE),COUNTIF(Metadata!B:B, Metadata!B222) = 1,NOT(ISERROR(SUMPRODUCT(SEARCH(MID(Metadata!B222,ROW(INDIRECT("1:"&amp;LEN(Metadata!B222))), 1),"0123456789abcdefghijklmnopqrstuvwxyzABCDEFGHIJKLMNOPQRSTUVWXYZ.")))))</f>
        <v>0</v>
      </c>
      <c r="AP222" t="b">
        <f>IF(Metadata!C222="",FALSE,TRUE)</f>
        <v>0</v>
      </c>
      <c r="AQ222" t="b">
        <f>IF(Metadata!D222="",FALSE,TRUE)</f>
        <v>0</v>
      </c>
      <c r="AR222" t="b">
        <f ca="1">OR(AND(IF(Metadata!E222="",FALSE,TRUE),OR(EXACT(Metadata!E222,"not collected"),EXACT(Metadata!E222,"not provided"),EXACT(Metadata!E222,"restricted access"))),AND(IF(Metadata!E222="",FALSE,TRUE),AND(AND(IFERROR(INT(LEFT(Metadata!E222,4))&gt;1900,FALSE),IFERROR(INT(LEFT(Metadata!E222,4))&lt;=YEAR(NOW()),FALSE)), OR(MID(Metadata!E222,5,1)="", AND(AND(MID(Metadata!E222,5,1)="-",IFERROR(INT(MID(Metadata!E222,6,1))&gt;=0,FALSE),IFERROR(INT(MID(Metadata!E222,6,1))&lt;=1,FALSE),NOT(MID(Metadata!E222,7,1)=""),IFERROR(INT(MID(Metadata!E222,6,2))&gt;=1,FALSE),IFERROR(INT(MID(Metadata!E222,6,2))&lt;=12,FALSE)), OR(MID(Metadata!E222,8,1)="", AND(AND(MID(Metadata!E222,8,1)="-",IFERROR(INT(MID(Metadata!E222,9,1))&gt;=0,FALSE),IFERROR(INT(MID(Metadata!E222,9,1))&lt;=3,FALSE),NOT(MID(Metadata!E222,10,1)=""),IFERROR(INT(MID(Metadata!E222,9,2))&gt;=1,FALSE),IFERROR(INT(MID(Metadata!E222,9,2))&lt;=31,FALSE)), OR(MID(Metadata!E222,11,1)="", AND(AND(MID(Metadata!E222,11,1)=" ",IFERROR(INT(MID(Metadata!E222,12,1))&gt;=0,FALSE),IFERROR(INT(MID(Metadata!E222,12,1))&lt;=2,FALSE),NOT(MID(Metadata!E222,13,1)=""),IFERROR(INT(MID(Metadata!E222,12,2))&gt;=0,FALSE),IFERROR(INT(MID(Metadata!E222,12,2))&lt;=23,FALSE)), OR(MID(Metadata!E222,14,1)="", AND(AND(MID(Metadata!E222,14,1)=":",IFERROR(INT(MID(Metadata!E222,15,1))&gt;=0,FALSE),IFERROR(INT(MID(Metadata!E222,15,1))&lt;=5,FALSE),NOT(MID(Metadata!E222,16,1)=""),IFERROR(INT(MID(Metadata!E222,15,2))&gt;=0,FALSE),IFERROR(INT(MID(Metadata!E222,15,2))&lt;=59,FALSE)), OR(MID(Metadata!E222,17,1)="", AND(AND(MID(Metadata!E222,17,1)=":",IFERROR(INT(MID(Metadata!E222,18,1))&gt;=0,FALSE),IFERROR(INT(MID(Metadata!E222,18,1))&lt;=5,FALSE),NOT(MID(Metadata!E222,19,1)=""),IFERROR(INT(MID(Metadata!E222,18,2))&gt;=0,FALSE),IFERROR(INT(MID(Metadata!E222,18,2))&lt;=59,FALSE)), LEN(Metadata!E222)&lt;=19)))))))))))))</f>
        <v>0</v>
      </c>
      <c r="AS222" t="b">
        <f>IF(Metadata!F222="",FALSE,TRUE)</f>
        <v>0</v>
      </c>
      <c r="AT222" t="b">
        <f>OR(AND(IF(Metadata!G222="",FALSE,TRUE),OR(EXACT(Metadata!G222,"not collected"),EXACT(Metadata!G222,"not provided"))),AND(IF(Metadata!G222="",FALSE,TRUE),OR(EXACT(Metadata!G222,"TRUE"),EXACT(Metadata!G222,"FALSE"))))</f>
        <v>0</v>
      </c>
      <c r="AU222" t="b">
        <f>OR(AND(IF(Metadata!H222="",FALSE,TRUE),OR(EXACT(Metadata!H222,"not collected"),EXACT(Metadata!H222,"not provided"),EXACT(Metadata!H222,"restricted access"))),AND(IF(Metadata!H222="",FALSE,ISNUMBER(VALUE(Metadata!H222))),Metadata!H222&gt;=-413))</f>
        <v>0</v>
      </c>
      <c r="AV222" t="b">
        <f>AND(IF(Metadata!I222="",FALSE,TRUE),EXACT(Metadata!I222,"meters"))</f>
        <v>0</v>
      </c>
      <c r="AW222" t="b">
        <f>AND(IF(Metadata!J222="",FALSE,TRUE),EXACT(Metadata!J222,"free-living"))</f>
        <v>0</v>
      </c>
      <c r="AX222" t="b">
        <f>AND(IF(Metadata!K222="",FALSE,TRUE),OR(EXACT(Metadata!K222,"saline"),EXACT(Metadata!K222,"non-saline")))</f>
        <v>0</v>
      </c>
      <c r="AY222" t="b">
        <f>AND(IF(Metadata!L222="",FALSE,TRUE),OR(EXACT(Metadata!L222,"sub-surface (non-saline)"),EXACT(Metadata!L222,"surface (non-saline)"),EXACT(Metadata!L222,"water (non-saline)"),EXACT(Metadata!L222,"soil (non-saline)"),EXACT(Metadata!L222,"aerosol (non-saline)"),EXACT(Metadata!L222,"sediment (non-saline)"),EXACT(Metadata!L222,"surface (saline)"),EXACT(Metadata!L222,"water (saline)"),EXACT(Metadata!L222,"hypersaline (saline)"),EXACT(Metadata!L222,"aerosol (saline)"),EXACT(Metadata!L222,"sediment (saline)")))</f>
        <v>0</v>
      </c>
      <c r="AZ222" t="b">
        <f>IF(Metadata!M222="",FALSE,TRUE)</f>
        <v>0</v>
      </c>
      <c r="BA222" t="b">
        <f>IF(Metadata!N222="",FALSE,TRUE)</f>
        <v>0</v>
      </c>
      <c r="BB222" t="b">
        <f>IF(Metadata!O222="",FALSE,TRUE)</f>
        <v>0</v>
      </c>
      <c r="BC222" t="b">
        <f>AND(IF(Metadata!P222="",FALSE,TRUE),OR(EXACT(Metadata!P222,"air"),EXACT(Metadata!P222,"microbial mat/biofilm"),EXACT(Metadata!P222,"misc environment"),EXACT(Metadata!P222,"sediment"),EXACT(Metadata!P222,"soil"),EXACT(Metadata!P222,"wastewater/sludge"),EXACT(Metadata!P222,"water")))</f>
        <v>0</v>
      </c>
      <c r="BD222" t="b">
        <f>IF(Metadata!Q222="",FALSE,TRUE)</f>
        <v>0</v>
      </c>
      <c r="BE222" t="b">
        <f>IF(Metadata!R222="",FALSE,TRUE)</f>
        <v>0</v>
      </c>
      <c r="BF222" t="b">
        <f>OR(AND(IF(Metadata!S222="",FALSE,TRUE),OR(EXACT(Metadata!S222,"not collected"),EXACT(Metadata!S222,"not provided"),EXACT(Metadata!S222,"restricted access"))),AND(IF(Metadata!S222="",FALSE,ISNUMBER(VALUE(Metadata!S222))),Metadata!S222&gt;=-90,Metadata!S222&lt;=90))</f>
        <v>0</v>
      </c>
      <c r="BG222" t="b">
        <f>AND(IF(Metadata!T222="",FALSE,TRUE),EXACT(Metadata!T222,"Decimal degrees"))</f>
        <v>0</v>
      </c>
      <c r="BH222" t="b">
        <f>OR(AND(IF(Metadata!U222="",FALSE,TRUE),OR(EXACT(Metadata!U222,"not applicable"),EXACT(Metadata!U222,"not collected"))),IF(Metadata!U222="",FALSE,TRUE))</f>
        <v>0</v>
      </c>
      <c r="BI222" t="b">
        <f>OR(AND(IF(Metadata!V222="",FALSE,TRUE),OR(EXACT(Metadata!V222,"not collected"),EXACT(Metadata!V222,"not provided"),EXACT(Metadata!V222,"restricted access"))),AND(IF(Metadata!V222="",FALSE,ISNUMBER(VALUE(Metadata!V222))),Metadata!V222&gt;=-180,Metadata!V222&lt;=180))</f>
        <v>0</v>
      </c>
      <c r="BJ222" t="b">
        <f>AND(IF(Metadata!W222="",FALSE,TRUE),EXACT(Metadata!W222,"Decimal degrees"))</f>
        <v>0</v>
      </c>
      <c r="BK222" t="b">
        <f>IF(Metadata!X222="",FALSE,TRUE)</f>
        <v>0</v>
      </c>
      <c r="BL222" t="b">
        <f>OR(AND(IF(Metadata!Y222="",FALSE,TRUE),OR(EXACT(Metadata!Y222,"not collected"),EXACT(Metadata!Y222,"not provided"),EXACT(Metadata!Y222,"restricted access"))),AND(IF(Metadata!Y222="",FALSE,TRUE),OR(EXACT(Metadata!Y222,"TRUE"),EXACT(Metadata!Y222,"FALSE"))))</f>
        <v>0</v>
      </c>
      <c r="BM222" t="b">
        <f>OR(AND(IF(Metadata!Z222="",FALSE,TRUE),EXACT(Metadata!Z222,"not applicable")),AND(IF(Metadata!Z222="",FALSE,TRUE),OR(EXACT(Metadata!Z222,"beer"),EXACT(Metadata!Z222,"cheese"),EXACT(Metadata!Z222,"fresh water"),EXACT(Metadata!Z222,"marine sediment"),EXACT(Metadata!Z222,"sea water"),EXACT(Metadata!Z222,"sediment"),EXACT(Metadata!Z222,"soil"),EXACT(Metadata!Z222,"waste water"))))</f>
        <v>0</v>
      </c>
      <c r="BN222" t="b">
        <f>AND(IF(Metadata!AA222="",FALSE,TRUE),EXACT(Metadata!AA222,"metagenome"))</f>
        <v>0</v>
      </c>
      <c r="BO222" t="b">
        <f>AND(IF(Metadata!AB222="",FALSE,TRUE),EXACT(Metadata!AB222,"256318"))</f>
        <v>0</v>
      </c>
      <c r="BP222" t="b">
        <f>IF(Metadata!AC222="",FALSE,TRUE)</f>
        <v>0</v>
      </c>
      <c r="BQ222" t="b">
        <f>IF(Metadata!AD222="",FALSE,TRUE)</f>
        <v>0</v>
      </c>
    </row>
    <row r="223" spans="1:69" x14ac:dyDescent="0.2">
      <c r="A223" s="4" t="e">
        <f ca="1">IF(B223=" "," ",HYPERLINK(CONCATENATE("#metadata!",ADDRESS(INDEX($AJ$2:$AJ$1001,MATCH(ROWS($AH$2:AH223),$AH$2:$AH$1001,0),0),2)),INDEX($AM$2:$AM$1001,MATCH(ROWS($AH$2:AH223),$AH$2:$AH$1001,0),0)))</f>
        <v>#N/A</v>
      </c>
      <c r="B223" s="5" t="e">
        <f ca="1">IF(OR(INDEX($AI$2:$AI$1001,MATCH(ROWS($AH$2:AH223),$AH$2:$AH$1001,0),1)&gt;=100000,INDEX($AO$1005:$BQ$1005,1,MATCH(COLUMNS($AO$1006:AO1006),$AO$1006:$BQ$1006,0))&gt;=100000), " ",IF(INDEX($AO$2:$BQ$1001,MATCH(ROWS($AH$2:AH223),$AH$2:$AH$1001,0),MATCH(COLUMNS($AO$1006:AO1006),$AO$1006:$BQ$1006,0)), HYPERLINK("#",""), HYPERLINK(CONCATENATE("#Metadata!", ADDRESS(INDEX($AJ$2:$AJ$1001,MATCH(ROWS($AH$2:AH223),$AH$2:$AH$1001,0),0), INDEX($AO$1004:$BQ$1004,1,MATCH(COLUMNS($AO$1006:AO1006),$AO$1006:$BQ$1006,0)))),"Fix")))</f>
        <v>#N/A</v>
      </c>
      <c r="C223" s="5" t="e">
        <f ca="1">IF(OR(INDEX($AI$2:$AI$1001,MATCH(ROWS($AH$2:AH223),$AH$2:$AH$1001,0),1)&gt;=100000,INDEX($AO$1005:$BQ$1005,1,MATCH(COLUMNS($AO$1006:AP1006),$AO$1006:$BQ$1006,0))&gt;=100000), " ",IF(INDEX($AO$2:$BQ$1001,MATCH(ROWS($AH$2:AH223),$AH$2:$AH$1001,0),MATCH(COLUMNS($AO$1006:AP1006),$AO$1006:$BQ$1006,0)), HYPERLINK("#",""), HYPERLINK(CONCATENATE("#Metadata!", ADDRESS(INDEX($AJ$2:$AJ$1001,MATCH(ROWS($AH$2:AH223),$AH$2:$AH$1001,0),0), INDEX($AO$1004:$BQ$1004,1,MATCH(COLUMNS($AO$1006:AP1006),$AO$1006:$BQ$1006,0)))),"Fix")))</f>
        <v>#N/A</v>
      </c>
      <c r="D223" s="5" t="e">
        <f ca="1">IF(OR(INDEX($AI$2:$AI$1001,MATCH(ROWS($AH$2:AH223),$AH$2:$AH$1001,0),1)&gt;=100000,INDEX($AO$1005:$BQ$1005,1,MATCH(COLUMNS($AO$1006:AQ1006),$AO$1006:$BQ$1006,0))&gt;=100000), " ",IF(INDEX($AO$2:$BQ$1001,MATCH(ROWS($AH$2:AH223),$AH$2:$AH$1001,0),MATCH(COLUMNS($AO$1006:AQ1006),$AO$1006:$BQ$1006,0)), HYPERLINK("#",""), HYPERLINK(CONCATENATE("#Metadata!", ADDRESS(INDEX($AJ$2:$AJ$1001,MATCH(ROWS($AH$2:AH223),$AH$2:$AH$1001,0),0), INDEX($AO$1004:$BQ$1004,1,MATCH(COLUMNS($AO$1006:AQ1006),$AO$1006:$BQ$1006,0)))),"Fix")))</f>
        <v>#N/A</v>
      </c>
      <c r="E223" s="5" t="e">
        <f ca="1">IF(OR(INDEX($AI$2:$AI$1001,MATCH(ROWS($AH$2:AH223),$AH$2:$AH$1001,0),1)&gt;=100000,INDEX($AO$1005:$BQ$1005,1,MATCH(COLUMNS($AO$1006:AR1006),$AO$1006:$BQ$1006,0))&gt;=100000), " ",IF(INDEX($AO$2:$BQ$1001,MATCH(ROWS($AH$2:AH223),$AH$2:$AH$1001,0),MATCH(COLUMNS($AO$1006:AR1006),$AO$1006:$BQ$1006,0)), HYPERLINK("#",""), HYPERLINK(CONCATENATE("#Metadata!", ADDRESS(INDEX($AJ$2:$AJ$1001,MATCH(ROWS($AH$2:AH223),$AH$2:$AH$1001,0),0), INDEX($AO$1004:$BQ$1004,1,MATCH(COLUMNS($AO$1006:AR1006),$AO$1006:$BQ$1006,0)))),"Fix")))</f>
        <v>#N/A</v>
      </c>
      <c r="F223" s="5" t="e">
        <f ca="1">IF(OR(INDEX($AI$2:$AI$1001,MATCH(ROWS($AH$2:AH223),$AH$2:$AH$1001,0),1)&gt;=100000,INDEX($AO$1005:$BQ$1005,1,MATCH(COLUMNS($AO$1006:AS1006),$AO$1006:$BQ$1006,0))&gt;=100000), " ",IF(INDEX($AO$2:$BQ$1001,MATCH(ROWS($AH$2:AH223),$AH$2:$AH$1001,0),MATCH(COLUMNS($AO$1006:AS1006),$AO$1006:$BQ$1006,0)), HYPERLINK("#",""), HYPERLINK(CONCATENATE("#Metadata!", ADDRESS(INDEX($AJ$2:$AJ$1001,MATCH(ROWS($AH$2:AH223),$AH$2:$AH$1001,0),0), INDEX($AO$1004:$BQ$1004,1,MATCH(COLUMNS($AO$1006:AS1006),$AO$1006:$BQ$1006,0)))),"Fix")))</f>
        <v>#N/A</v>
      </c>
      <c r="G223" s="5" t="e">
        <f ca="1">IF(OR(INDEX($AI$2:$AI$1001,MATCH(ROWS($AH$2:AH223),$AH$2:$AH$1001,0),1)&gt;=100000,INDEX($AO$1005:$BQ$1005,1,MATCH(COLUMNS($AO$1006:AT1006),$AO$1006:$BQ$1006,0))&gt;=100000), " ",IF(INDEX($AO$2:$BQ$1001,MATCH(ROWS($AH$2:AH223),$AH$2:$AH$1001,0),MATCH(COLUMNS($AO$1006:AT1006),$AO$1006:$BQ$1006,0)), HYPERLINK("#",""), HYPERLINK(CONCATENATE("#Metadata!", ADDRESS(INDEX($AJ$2:$AJ$1001,MATCH(ROWS($AH$2:AH223),$AH$2:$AH$1001,0),0), INDEX($AO$1004:$BQ$1004,1,MATCH(COLUMNS($AO$1006:AT1006),$AO$1006:$BQ$1006,0)))),"Fix")))</f>
        <v>#N/A</v>
      </c>
      <c r="H223" s="5" t="e">
        <f ca="1">IF(OR(INDEX($AI$2:$AI$1001,MATCH(ROWS($AH$2:AH223),$AH$2:$AH$1001,0),1)&gt;=100000,INDEX($AO$1005:$BQ$1005,1,MATCH(COLUMNS($AO$1006:AU1006),$AO$1006:$BQ$1006,0))&gt;=100000), " ",IF(INDEX($AO$2:$BQ$1001,MATCH(ROWS($AH$2:AH223),$AH$2:$AH$1001,0),MATCH(COLUMNS($AO$1006:AU1006),$AO$1006:$BQ$1006,0)), HYPERLINK("#",""), HYPERLINK(CONCATENATE("#Metadata!", ADDRESS(INDEX($AJ$2:$AJ$1001,MATCH(ROWS($AH$2:AH223),$AH$2:$AH$1001,0),0), INDEX($AO$1004:$BQ$1004,1,MATCH(COLUMNS($AO$1006:AU1006),$AO$1006:$BQ$1006,0)))),"Fix")))</f>
        <v>#N/A</v>
      </c>
      <c r="I223" s="5" t="e">
        <f ca="1">IF(OR(INDEX($AI$2:$AI$1001,MATCH(ROWS($AH$2:AH223),$AH$2:$AH$1001,0),1)&gt;=100000,INDEX($AO$1005:$BQ$1005,1,MATCH(COLUMNS($AO$1006:AV1006),$AO$1006:$BQ$1006,0))&gt;=100000), " ",IF(INDEX($AO$2:$BQ$1001,MATCH(ROWS($AH$2:AH223),$AH$2:$AH$1001,0),MATCH(COLUMNS($AO$1006:AV1006),$AO$1006:$BQ$1006,0)), HYPERLINK("#",""), HYPERLINK(CONCATENATE("#Metadata!", ADDRESS(INDEX($AJ$2:$AJ$1001,MATCH(ROWS($AH$2:AH223),$AH$2:$AH$1001,0),0), INDEX($AO$1004:$BQ$1004,1,MATCH(COLUMNS($AO$1006:AV1006),$AO$1006:$BQ$1006,0)))),"Fix")))</f>
        <v>#N/A</v>
      </c>
      <c r="J223" s="5" t="e">
        <f ca="1">IF(OR(INDEX($AI$2:$AI$1001,MATCH(ROWS($AH$2:AH223),$AH$2:$AH$1001,0),1)&gt;=100000,INDEX($AO$1005:$BQ$1005,1,MATCH(COLUMNS($AO$1006:AW1006),$AO$1006:$BQ$1006,0))&gt;=100000), " ",IF(INDEX($AO$2:$BQ$1001,MATCH(ROWS($AH$2:AH223),$AH$2:$AH$1001,0),MATCH(COLUMNS($AO$1006:AW1006),$AO$1006:$BQ$1006,0)), HYPERLINK("#",""), HYPERLINK(CONCATENATE("#Metadata!", ADDRESS(INDEX($AJ$2:$AJ$1001,MATCH(ROWS($AH$2:AH223),$AH$2:$AH$1001,0),0), INDEX($AO$1004:$BQ$1004,1,MATCH(COLUMNS($AO$1006:AW1006),$AO$1006:$BQ$1006,0)))),"Fix")))</f>
        <v>#N/A</v>
      </c>
      <c r="K223" s="5" t="e">
        <f ca="1">IF(OR(INDEX($AI$2:$AI$1001,MATCH(ROWS($AH$2:AH223),$AH$2:$AH$1001,0),1)&gt;=100000,INDEX($AO$1005:$BQ$1005,1,MATCH(COLUMNS($AO$1006:AX1006),$AO$1006:$BQ$1006,0))&gt;=100000), " ",IF(INDEX($AO$2:$BQ$1001,MATCH(ROWS($AH$2:AH223),$AH$2:$AH$1001,0),MATCH(COLUMNS($AO$1006:AX1006),$AO$1006:$BQ$1006,0)), HYPERLINK("#",""), HYPERLINK(CONCATENATE("#Metadata!", ADDRESS(INDEX($AJ$2:$AJ$1001,MATCH(ROWS($AH$2:AH223),$AH$2:$AH$1001,0),0), INDEX($AO$1004:$BQ$1004,1,MATCH(COLUMNS($AO$1006:AX1006),$AO$1006:$BQ$1006,0)))),"Fix")))</f>
        <v>#N/A</v>
      </c>
      <c r="L223" s="5" t="e">
        <f ca="1">IF(OR(INDEX($AI$2:$AI$1001,MATCH(ROWS($AH$2:AH223),$AH$2:$AH$1001,0),1)&gt;=100000,INDEX($AO$1005:$BQ$1005,1,MATCH(COLUMNS($AO$1006:AY1006),$AO$1006:$BQ$1006,0))&gt;=100000), " ",IF(INDEX($AO$2:$BQ$1001,MATCH(ROWS($AH$2:AH223),$AH$2:$AH$1001,0),MATCH(COLUMNS($AO$1006:AY1006),$AO$1006:$BQ$1006,0)), HYPERLINK("#",""), HYPERLINK(CONCATENATE("#Metadata!", ADDRESS(INDEX($AJ$2:$AJ$1001,MATCH(ROWS($AH$2:AH223),$AH$2:$AH$1001,0),0), INDEX($AO$1004:$BQ$1004,1,MATCH(COLUMNS($AO$1006:AY1006),$AO$1006:$BQ$1006,0)))),"Fix")))</f>
        <v>#N/A</v>
      </c>
      <c r="M223" s="5" t="e">
        <f ca="1">IF(OR(INDEX($AI$2:$AI$1001,MATCH(ROWS($AH$2:AH223),$AH$2:$AH$1001,0),1)&gt;=100000,INDEX($AO$1005:$BQ$1005,1,MATCH(COLUMNS($AO$1006:AZ1006),$AO$1006:$BQ$1006,0))&gt;=100000), " ",IF(INDEX($AO$2:$BQ$1001,MATCH(ROWS($AH$2:AH223),$AH$2:$AH$1001,0),MATCH(COLUMNS($AO$1006:AZ1006),$AO$1006:$BQ$1006,0)), HYPERLINK("#",""), HYPERLINK(CONCATENATE("#Metadata!", ADDRESS(INDEX($AJ$2:$AJ$1001,MATCH(ROWS($AH$2:AH223),$AH$2:$AH$1001,0),0), INDEX($AO$1004:$BQ$1004,1,MATCH(COLUMNS($AO$1006:AZ1006),$AO$1006:$BQ$1006,0)))),"Fix")))</f>
        <v>#N/A</v>
      </c>
      <c r="N223" s="5" t="e">
        <f ca="1">IF(OR(INDEX($AI$2:$AI$1001,MATCH(ROWS($AH$2:AH223),$AH$2:$AH$1001,0),1)&gt;=100000,INDEX($AO$1005:$BQ$1005,1,MATCH(COLUMNS($AO$1006:BA1006),$AO$1006:$BQ$1006,0))&gt;=100000), " ",IF(INDEX($AO$2:$BQ$1001,MATCH(ROWS($AH$2:AH223),$AH$2:$AH$1001,0),MATCH(COLUMNS($AO$1006:BA1006),$AO$1006:$BQ$1006,0)), HYPERLINK("#",""), HYPERLINK(CONCATENATE("#Metadata!", ADDRESS(INDEX($AJ$2:$AJ$1001,MATCH(ROWS($AH$2:AH223),$AH$2:$AH$1001,0),0), INDEX($AO$1004:$BQ$1004,1,MATCH(COLUMNS($AO$1006:BA1006),$AO$1006:$BQ$1006,0)))),"Fix")))</f>
        <v>#N/A</v>
      </c>
      <c r="O223" s="5" t="e">
        <f ca="1">IF(OR(INDEX($AI$2:$AI$1001,MATCH(ROWS($AH$2:AH223),$AH$2:$AH$1001,0),1)&gt;=100000,INDEX($AO$1005:$BQ$1005,1,MATCH(COLUMNS($AO$1006:BB1006),$AO$1006:$BQ$1006,0))&gt;=100000), " ",IF(INDEX($AO$2:$BQ$1001,MATCH(ROWS($AH$2:AH223),$AH$2:$AH$1001,0),MATCH(COLUMNS($AO$1006:BB1006),$AO$1006:$BQ$1006,0)), HYPERLINK("#",""), HYPERLINK(CONCATENATE("#Metadata!", ADDRESS(INDEX($AJ$2:$AJ$1001,MATCH(ROWS($AH$2:AH223),$AH$2:$AH$1001,0),0), INDEX($AO$1004:$BQ$1004,1,MATCH(COLUMNS($AO$1006:BB1006),$AO$1006:$BQ$1006,0)))),"Fix")))</f>
        <v>#N/A</v>
      </c>
      <c r="P223" s="5" t="e">
        <f ca="1">IF(OR(INDEX($AI$2:$AI$1001,MATCH(ROWS($AH$2:AH223),$AH$2:$AH$1001,0),1)&gt;=100000,INDEX($AO$1005:$BQ$1005,1,MATCH(COLUMNS($AO$1006:BC1006),$AO$1006:$BQ$1006,0))&gt;=100000), " ",IF(INDEX($AO$2:$BQ$1001,MATCH(ROWS($AH$2:AH223),$AH$2:$AH$1001,0),MATCH(COLUMNS($AO$1006:BC1006),$AO$1006:$BQ$1006,0)), HYPERLINK("#",""), HYPERLINK(CONCATENATE("#Metadata!", ADDRESS(INDEX($AJ$2:$AJ$1001,MATCH(ROWS($AH$2:AH223),$AH$2:$AH$1001,0),0), INDEX($AO$1004:$BQ$1004,1,MATCH(COLUMNS($AO$1006:BC1006),$AO$1006:$BQ$1006,0)))),"Fix")))</f>
        <v>#N/A</v>
      </c>
      <c r="Q223" s="5" t="e">
        <f ca="1">IF(OR(INDEX($AI$2:$AI$1001,MATCH(ROWS($AH$2:AH223),$AH$2:$AH$1001,0),1)&gt;=100000,INDEX($AO$1005:$BQ$1005,1,MATCH(COLUMNS($AO$1006:BD1006),$AO$1006:$BQ$1006,0))&gt;=100000), " ",IF(INDEX($AO$2:$BQ$1001,MATCH(ROWS($AH$2:AH223),$AH$2:$AH$1001,0),MATCH(COLUMNS($AO$1006:BD1006),$AO$1006:$BQ$1006,0)), HYPERLINK("#",""), HYPERLINK(CONCATENATE("#Metadata!", ADDRESS(INDEX($AJ$2:$AJ$1001,MATCH(ROWS($AH$2:AH223),$AH$2:$AH$1001,0),0), INDEX($AO$1004:$BQ$1004,1,MATCH(COLUMNS($AO$1006:BD1006),$AO$1006:$BQ$1006,0)))),"Fix")))</f>
        <v>#N/A</v>
      </c>
      <c r="R223" s="5" t="e">
        <f ca="1">IF(OR(INDEX($AI$2:$AI$1001,MATCH(ROWS($AH$2:AH223),$AH$2:$AH$1001,0),1)&gt;=100000,INDEX($AO$1005:$BQ$1005,1,MATCH(COLUMNS($AO$1006:BE1006),$AO$1006:$BQ$1006,0))&gt;=100000), " ",IF(INDEX($AO$2:$BQ$1001,MATCH(ROWS($AH$2:AH223),$AH$2:$AH$1001,0),MATCH(COLUMNS($AO$1006:BE1006),$AO$1006:$BQ$1006,0)), HYPERLINK("#",""), HYPERLINK(CONCATENATE("#Metadata!", ADDRESS(INDEX($AJ$2:$AJ$1001,MATCH(ROWS($AH$2:AH223),$AH$2:$AH$1001,0),0), INDEX($AO$1004:$BQ$1004,1,MATCH(COLUMNS($AO$1006:BE1006),$AO$1006:$BQ$1006,0)))),"Fix")))</f>
        <v>#N/A</v>
      </c>
      <c r="S223" s="5" t="e">
        <f ca="1">IF(OR(INDEX($AI$2:$AI$1001,MATCH(ROWS($AH$2:AH223),$AH$2:$AH$1001,0),1)&gt;=100000,INDEX($AO$1005:$BQ$1005,1,MATCH(COLUMNS($AO$1006:BF1006),$AO$1006:$BQ$1006,0))&gt;=100000), " ",IF(INDEX($AO$2:$BQ$1001,MATCH(ROWS($AH$2:AH223),$AH$2:$AH$1001,0),MATCH(COLUMNS($AO$1006:BF1006),$AO$1006:$BQ$1006,0)), HYPERLINK("#",""), HYPERLINK(CONCATENATE("#Metadata!", ADDRESS(INDEX($AJ$2:$AJ$1001,MATCH(ROWS($AH$2:AH223),$AH$2:$AH$1001,0),0), INDEX($AO$1004:$BQ$1004,1,MATCH(COLUMNS($AO$1006:BF1006),$AO$1006:$BQ$1006,0)))),"Fix")))</f>
        <v>#N/A</v>
      </c>
      <c r="T223" s="5" t="e">
        <f ca="1">IF(OR(INDEX($AI$2:$AI$1001,MATCH(ROWS($AH$2:AH223),$AH$2:$AH$1001,0),1)&gt;=100000,INDEX($AO$1005:$BQ$1005,1,MATCH(COLUMNS($AO$1006:BG1006),$AO$1006:$BQ$1006,0))&gt;=100000), " ",IF(INDEX($AO$2:$BQ$1001,MATCH(ROWS($AH$2:AH223),$AH$2:$AH$1001,0),MATCH(COLUMNS($AO$1006:BG1006),$AO$1006:$BQ$1006,0)), HYPERLINK("#",""), HYPERLINK(CONCATENATE("#Metadata!", ADDRESS(INDEX($AJ$2:$AJ$1001,MATCH(ROWS($AH$2:AH223),$AH$2:$AH$1001,0),0), INDEX($AO$1004:$BQ$1004,1,MATCH(COLUMNS($AO$1006:BG1006),$AO$1006:$BQ$1006,0)))),"Fix")))</f>
        <v>#N/A</v>
      </c>
      <c r="U223" s="5" t="e">
        <f ca="1">IF(OR(INDEX($AI$2:$AI$1001,MATCH(ROWS($AH$2:AH223),$AH$2:$AH$1001,0),1)&gt;=100000,INDEX($AO$1005:$BQ$1005,1,MATCH(COLUMNS($AO$1006:BH1006),$AO$1006:$BQ$1006,0))&gt;=100000), " ",IF(INDEX($AO$2:$BQ$1001,MATCH(ROWS($AH$2:AH223),$AH$2:$AH$1001,0),MATCH(COLUMNS($AO$1006:BH1006),$AO$1006:$BQ$1006,0)), HYPERLINK("#",""), HYPERLINK(CONCATENATE("#Metadata!", ADDRESS(INDEX($AJ$2:$AJ$1001,MATCH(ROWS($AH$2:AH223),$AH$2:$AH$1001,0),0), INDEX($AO$1004:$BQ$1004,1,MATCH(COLUMNS($AO$1006:BH1006),$AO$1006:$BQ$1006,0)))),"Fix")))</f>
        <v>#N/A</v>
      </c>
      <c r="V223" s="5" t="e">
        <f ca="1">IF(OR(INDEX($AI$2:$AI$1001,MATCH(ROWS($AH$2:AH223),$AH$2:$AH$1001,0),1)&gt;=100000,INDEX($AO$1005:$BQ$1005,1,MATCH(COLUMNS($AO$1006:BI1006),$AO$1006:$BQ$1006,0))&gt;=100000), " ",IF(INDEX($AO$2:$BQ$1001,MATCH(ROWS($AH$2:AH223),$AH$2:$AH$1001,0),MATCH(COLUMNS($AO$1006:BI1006),$AO$1006:$BQ$1006,0)), HYPERLINK("#",""), HYPERLINK(CONCATENATE("#Metadata!", ADDRESS(INDEX($AJ$2:$AJ$1001,MATCH(ROWS($AH$2:AH223),$AH$2:$AH$1001,0),0), INDEX($AO$1004:$BQ$1004,1,MATCH(COLUMNS($AO$1006:BI1006),$AO$1006:$BQ$1006,0)))),"Fix")))</f>
        <v>#N/A</v>
      </c>
      <c r="W223" s="5" t="e">
        <f ca="1">IF(OR(INDEX($AI$2:$AI$1001,MATCH(ROWS($AH$2:AH223),$AH$2:$AH$1001,0),1)&gt;=100000,INDEX($AO$1005:$BQ$1005,1,MATCH(COLUMNS($AO$1006:BJ1006),$AO$1006:$BQ$1006,0))&gt;=100000), " ",IF(INDEX($AO$2:$BQ$1001,MATCH(ROWS($AH$2:AH223),$AH$2:$AH$1001,0),MATCH(COLUMNS($AO$1006:BJ1006),$AO$1006:$BQ$1006,0)), HYPERLINK("#",""), HYPERLINK(CONCATENATE("#Metadata!", ADDRESS(INDEX($AJ$2:$AJ$1001,MATCH(ROWS($AH$2:AH223),$AH$2:$AH$1001,0),0), INDEX($AO$1004:$BQ$1004,1,MATCH(COLUMNS($AO$1006:BJ1006),$AO$1006:$BQ$1006,0)))),"Fix")))</f>
        <v>#N/A</v>
      </c>
      <c r="X223" s="5" t="e">
        <f ca="1">IF(OR(INDEX($AI$2:$AI$1001,MATCH(ROWS($AH$2:AH223),$AH$2:$AH$1001,0),1)&gt;=100000,INDEX($AO$1005:$BQ$1005,1,MATCH(COLUMNS($AO$1006:BK1006),$AO$1006:$BQ$1006,0))&gt;=100000), " ",IF(INDEX($AO$2:$BQ$1001,MATCH(ROWS($AH$2:AH223),$AH$2:$AH$1001,0),MATCH(COLUMNS($AO$1006:BK1006),$AO$1006:$BQ$1006,0)), HYPERLINK("#",""), HYPERLINK(CONCATENATE("#Metadata!", ADDRESS(INDEX($AJ$2:$AJ$1001,MATCH(ROWS($AH$2:AH223),$AH$2:$AH$1001,0),0), INDEX($AO$1004:$BQ$1004,1,MATCH(COLUMNS($AO$1006:BK1006),$AO$1006:$BQ$1006,0)))),"Fix")))</f>
        <v>#N/A</v>
      </c>
      <c r="Y223" s="5" t="e">
        <f ca="1">IF(OR(INDEX($AI$2:$AI$1001,MATCH(ROWS($AH$2:AH223),$AH$2:$AH$1001,0),1)&gt;=100000,INDEX($AO$1005:$BQ$1005,1,MATCH(COLUMNS($AO$1006:BL1006),$AO$1006:$BQ$1006,0))&gt;=100000), " ",IF(INDEX($AO$2:$BQ$1001,MATCH(ROWS($AH$2:AH223),$AH$2:$AH$1001,0),MATCH(COLUMNS($AO$1006:BL1006),$AO$1006:$BQ$1006,0)), HYPERLINK("#",""), HYPERLINK(CONCATENATE("#Metadata!", ADDRESS(INDEX($AJ$2:$AJ$1001,MATCH(ROWS($AH$2:AH223),$AH$2:$AH$1001,0),0), INDEX($AO$1004:$BQ$1004,1,MATCH(COLUMNS($AO$1006:BL1006),$AO$1006:$BQ$1006,0)))),"Fix")))</f>
        <v>#N/A</v>
      </c>
      <c r="Z223" s="5" t="e">
        <f ca="1">IF(OR(INDEX($AI$2:$AI$1001,MATCH(ROWS($AH$2:AH223),$AH$2:$AH$1001,0),1)&gt;=100000,INDEX($AO$1005:$BQ$1005,1,MATCH(COLUMNS($AO$1006:BM1006),$AO$1006:$BQ$1006,0))&gt;=100000), " ",IF(INDEX($AO$2:$BQ$1001,MATCH(ROWS($AH$2:AH223),$AH$2:$AH$1001,0),MATCH(COLUMNS($AO$1006:BM1006),$AO$1006:$BQ$1006,0)), HYPERLINK("#",""), HYPERLINK(CONCATENATE("#Metadata!", ADDRESS(INDEX($AJ$2:$AJ$1001,MATCH(ROWS($AH$2:AH223),$AH$2:$AH$1001,0),0), INDEX($AO$1004:$BQ$1004,1,MATCH(COLUMNS($AO$1006:BM1006),$AO$1006:$BQ$1006,0)))),"Fix")))</f>
        <v>#N/A</v>
      </c>
      <c r="AA223" s="5" t="e">
        <f ca="1">IF(OR(INDEX($AI$2:$AI$1001,MATCH(ROWS($AH$2:AH223),$AH$2:$AH$1001,0),1)&gt;=100000,INDEX($AO$1005:$BQ$1005,1,MATCH(COLUMNS($AO$1006:BN1006),$AO$1006:$BQ$1006,0))&gt;=100000), " ",IF(INDEX($AO$2:$BQ$1001,MATCH(ROWS($AH$2:AH223),$AH$2:$AH$1001,0),MATCH(COLUMNS($AO$1006:BN1006),$AO$1006:$BQ$1006,0)), HYPERLINK("#",""), HYPERLINK(CONCATENATE("#Metadata!", ADDRESS(INDEX($AJ$2:$AJ$1001,MATCH(ROWS($AH$2:AH223),$AH$2:$AH$1001,0),0), INDEX($AO$1004:$BQ$1004,1,MATCH(COLUMNS($AO$1006:BN1006),$AO$1006:$BQ$1006,0)))),"Fix")))</f>
        <v>#N/A</v>
      </c>
      <c r="AB223" s="5" t="e">
        <f ca="1">IF(OR(INDEX($AI$2:$AI$1001,MATCH(ROWS($AH$2:AH223),$AH$2:$AH$1001,0),1)&gt;=100000,INDEX($AO$1005:$BQ$1005,1,MATCH(COLUMNS($AO$1006:BO1006),$AO$1006:$BQ$1006,0))&gt;=100000), " ",IF(INDEX($AO$2:$BQ$1001,MATCH(ROWS($AH$2:AH223),$AH$2:$AH$1001,0),MATCH(COLUMNS($AO$1006:BO1006),$AO$1006:$BQ$1006,0)), HYPERLINK("#",""), HYPERLINK(CONCATENATE("#Metadata!", ADDRESS(INDEX($AJ$2:$AJ$1001,MATCH(ROWS($AH$2:AH223),$AH$2:$AH$1001,0),0), INDEX($AO$1004:$BQ$1004,1,MATCH(COLUMNS($AO$1006:BO1006),$AO$1006:$BQ$1006,0)))),"Fix")))</f>
        <v>#N/A</v>
      </c>
      <c r="AC223" s="5" t="e">
        <f ca="1">IF(OR(INDEX($AI$2:$AI$1001,MATCH(ROWS($AH$2:AH223),$AH$2:$AH$1001,0),1)&gt;=100000,INDEX($AO$1005:$BQ$1005,1,MATCH(COLUMNS($AO$1006:BP1006),$AO$1006:$BQ$1006,0))&gt;=100000), " ",IF(INDEX($AO$2:$BQ$1001,MATCH(ROWS($AH$2:AH223),$AH$2:$AH$1001,0),MATCH(COLUMNS($AO$1006:BP1006),$AO$1006:$BQ$1006,0)), HYPERLINK("#",""), HYPERLINK(CONCATENATE("#Metadata!", ADDRESS(INDEX($AJ$2:$AJ$1001,MATCH(ROWS($AH$2:AH223),$AH$2:$AH$1001,0),0), INDEX($AO$1004:$BQ$1004,1,MATCH(COLUMNS($AO$1006:BP1006),$AO$1006:$BQ$1006,0)))),"Fix")))</f>
        <v>#N/A</v>
      </c>
      <c r="AD223" s="5" t="e">
        <f ca="1">IF(OR(INDEX($AI$2:$AI$1001,MATCH(ROWS($AH$2:AH223),$AH$2:$AH$1001,0),1)&gt;=100000,INDEX($AO$1005:$BQ$1005,1,MATCH(COLUMNS($AO$1006:BQ1006),$AO$1006:$BQ$1006,0))&gt;=100000), " ",IF(INDEX($AO$2:$BQ$1001,MATCH(ROWS($AH$2:AH223),$AH$2:$AH$1001,0),MATCH(COLUMNS($AO$1006:BQ1006),$AO$1006:$BQ$1006,0)), HYPERLINK("#",""), HYPERLINK(CONCATENATE("#Metadata!", ADDRESS(INDEX($AJ$2:$AJ$1001,MATCH(ROWS($AH$2:AH223),$AH$2:$AH$1001,0),0), INDEX($AO$1004:$BQ$1004,1,MATCH(COLUMNS($AO$1006:BQ1006),$AO$1006:$BQ$1006,0)))),"Fix")))</f>
        <v>#REF!</v>
      </c>
      <c r="AH223">
        <f ca="1"/>
        <v>220</v>
      </c>
      <c r="AI223">
        <v>100223</v>
      </c>
      <c r="AJ223">
        <v>223</v>
      </c>
      <c r="AK223" t="b">
        <f t="shared" si="3"/>
        <v>1</v>
      </c>
      <c r="AL223" t="b">
        <f>COUNTBLANK(Metadata!B223:AD223)=COLUMNS(Metadata!B223:AD223)</f>
        <v>1</v>
      </c>
      <c r="AM223" t="str">
        <v/>
      </c>
      <c r="AO223" t="b">
        <f ca="1">AND(IF(Metadata!B223="",FALSE,TRUE),COUNTIF(Metadata!B:B, Metadata!B223) = 1,NOT(ISERROR(SUMPRODUCT(SEARCH(MID(Metadata!B223,ROW(INDIRECT("1:"&amp;LEN(Metadata!B223))), 1),"0123456789abcdefghijklmnopqrstuvwxyzABCDEFGHIJKLMNOPQRSTUVWXYZ.")))))</f>
        <v>0</v>
      </c>
      <c r="AP223" t="b">
        <f>IF(Metadata!C223="",FALSE,TRUE)</f>
        <v>0</v>
      </c>
      <c r="AQ223" t="b">
        <f>IF(Metadata!D223="",FALSE,TRUE)</f>
        <v>0</v>
      </c>
      <c r="AR223" t="b">
        <f ca="1">OR(AND(IF(Metadata!E223="",FALSE,TRUE),OR(EXACT(Metadata!E223,"not collected"),EXACT(Metadata!E223,"not provided"),EXACT(Metadata!E223,"restricted access"))),AND(IF(Metadata!E223="",FALSE,TRUE),AND(AND(IFERROR(INT(LEFT(Metadata!E223,4))&gt;1900,FALSE),IFERROR(INT(LEFT(Metadata!E223,4))&lt;=YEAR(NOW()),FALSE)), OR(MID(Metadata!E223,5,1)="", AND(AND(MID(Metadata!E223,5,1)="-",IFERROR(INT(MID(Metadata!E223,6,1))&gt;=0,FALSE),IFERROR(INT(MID(Metadata!E223,6,1))&lt;=1,FALSE),NOT(MID(Metadata!E223,7,1)=""),IFERROR(INT(MID(Metadata!E223,6,2))&gt;=1,FALSE),IFERROR(INT(MID(Metadata!E223,6,2))&lt;=12,FALSE)), OR(MID(Metadata!E223,8,1)="", AND(AND(MID(Metadata!E223,8,1)="-",IFERROR(INT(MID(Metadata!E223,9,1))&gt;=0,FALSE),IFERROR(INT(MID(Metadata!E223,9,1))&lt;=3,FALSE),NOT(MID(Metadata!E223,10,1)=""),IFERROR(INT(MID(Metadata!E223,9,2))&gt;=1,FALSE),IFERROR(INT(MID(Metadata!E223,9,2))&lt;=31,FALSE)), OR(MID(Metadata!E223,11,1)="", AND(AND(MID(Metadata!E223,11,1)=" ",IFERROR(INT(MID(Metadata!E223,12,1))&gt;=0,FALSE),IFERROR(INT(MID(Metadata!E223,12,1))&lt;=2,FALSE),NOT(MID(Metadata!E223,13,1)=""),IFERROR(INT(MID(Metadata!E223,12,2))&gt;=0,FALSE),IFERROR(INT(MID(Metadata!E223,12,2))&lt;=23,FALSE)), OR(MID(Metadata!E223,14,1)="", AND(AND(MID(Metadata!E223,14,1)=":",IFERROR(INT(MID(Metadata!E223,15,1))&gt;=0,FALSE),IFERROR(INT(MID(Metadata!E223,15,1))&lt;=5,FALSE),NOT(MID(Metadata!E223,16,1)=""),IFERROR(INT(MID(Metadata!E223,15,2))&gt;=0,FALSE),IFERROR(INT(MID(Metadata!E223,15,2))&lt;=59,FALSE)), OR(MID(Metadata!E223,17,1)="", AND(AND(MID(Metadata!E223,17,1)=":",IFERROR(INT(MID(Metadata!E223,18,1))&gt;=0,FALSE),IFERROR(INT(MID(Metadata!E223,18,1))&lt;=5,FALSE),NOT(MID(Metadata!E223,19,1)=""),IFERROR(INT(MID(Metadata!E223,18,2))&gt;=0,FALSE),IFERROR(INT(MID(Metadata!E223,18,2))&lt;=59,FALSE)), LEN(Metadata!E223)&lt;=19)))))))))))))</f>
        <v>0</v>
      </c>
      <c r="AS223" t="b">
        <f>IF(Metadata!F223="",FALSE,TRUE)</f>
        <v>0</v>
      </c>
      <c r="AT223" t="b">
        <f>OR(AND(IF(Metadata!G223="",FALSE,TRUE),OR(EXACT(Metadata!G223,"not collected"),EXACT(Metadata!G223,"not provided"))),AND(IF(Metadata!G223="",FALSE,TRUE),OR(EXACT(Metadata!G223,"TRUE"),EXACT(Metadata!G223,"FALSE"))))</f>
        <v>0</v>
      </c>
      <c r="AU223" t="b">
        <f>OR(AND(IF(Metadata!H223="",FALSE,TRUE),OR(EXACT(Metadata!H223,"not collected"),EXACT(Metadata!H223,"not provided"),EXACT(Metadata!H223,"restricted access"))),AND(IF(Metadata!H223="",FALSE,ISNUMBER(VALUE(Metadata!H223))),Metadata!H223&gt;=-413))</f>
        <v>0</v>
      </c>
      <c r="AV223" t="b">
        <f>AND(IF(Metadata!I223="",FALSE,TRUE),EXACT(Metadata!I223,"meters"))</f>
        <v>0</v>
      </c>
      <c r="AW223" t="b">
        <f>AND(IF(Metadata!J223="",FALSE,TRUE),EXACT(Metadata!J223,"free-living"))</f>
        <v>0</v>
      </c>
      <c r="AX223" t="b">
        <f>AND(IF(Metadata!K223="",FALSE,TRUE),OR(EXACT(Metadata!K223,"saline"),EXACT(Metadata!K223,"non-saline")))</f>
        <v>0</v>
      </c>
      <c r="AY223" t="b">
        <f>AND(IF(Metadata!L223="",FALSE,TRUE),OR(EXACT(Metadata!L223,"sub-surface (non-saline)"),EXACT(Metadata!L223,"surface (non-saline)"),EXACT(Metadata!L223,"water (non-saline)"),EXACT(Metadata!L223,"soil (non-saline)"),EXACT(Metadata!L223,"aerosol (non-saline)"),EXACT(Metadata!L223,"sediment (non-saline)"),EXACT(Metadata!L223,"surface (saline)"),EXACT(Metadata!L223,"water (saline)"),EXACT(Metadata!L223,"hypersaline (saline)"),EXACT(Metadata!L223,"aerosol (saline)"),EXACT(Metadata!L223,"sediment (saline)")))</f>
        <v>0</v>
      </c>
      <c r="AZ223" t="b">
        <f>IF(Metadata!M223="",FALSE,TRUE)</f>
        <v>0</v>
      </c>
      <c r="BA223" t="b">
        <f>IF(Metadata!N223="",FALSE,TRUE)</f>
        <v>0</v>
      </c>
      <c r="BB223" t="b">
        <f>IF(Metadata!O223="",FALSE,TRUE)</f>
        <v>0</v>
      </c>
      <c r="BC223" t="b">
        <f>AND(IF(Metadata!P223="",FALSE,TRUE),OR(EXACT(Metadata!P223,"air"),EXACT(Metadata!P223,"microbial mat/biofilm"),EXACT(Metadata!P223,"misc environment"),EXACT(Metadata!P223,"sediment"),EXACT(Metadata!P223,"soil"),EXACT(Metadata!P223,"wastewater/sludge"),EXACT(Metadata!P223,"water")))</f>
        <v>0</v>
      </c>
      <c r="BD223" t="b">
        <f>IF(Metadata!Q223="",FALSE,TRUE)</f>
        <v>0</v>
      </c>
      <c r="BE223" t="b">
        <f>IF(Metadata!R223="",FALSE,TRUE)</f>
        <v>0</v>
      </c>
      <c r="BF223" t="b">
        <f>OR(AND(IF(Metadata!S223="",FALSE,TRUE),OR(EXACT(Metadata!S223,"not collected"),EXACT(Metadata!S223,"not provided"),EXACT(Metadata!S223,"restricted access"))),AND(IF(Metadata!S223="",FALSE,ISNUMBER(VALUE(Metadata!S223))),Metadata!S223&gt;=-90,Metadata!S223&lt;=90))</f>
        <v>0</v>
      </c>
      <c r="BG223" t="b">
        <f>AND(IF(Metadata!T223="",FALSE,TRUE),EXACT(Metadata!T223,"Decimal degrees"))</f>
        <v>0</v>
      </c>
      <c r="BH223" t="b">
        <f>OR(AND(IF(Metadata!U223="",FALSE,TRUE),OR(EXACT(Metadata!U223,"not applicable"),EXACT(Metadata!U223,"not collected"))),IF(Metadata!U223="",FALSE,TRUE))</f>
        <v>0</v>
      </c>
      <c r="BI223" t="b">
        <f>OR(AND(IF(Metadata!V223="",FALSE,TRUE),OR(EXACT(Metadata!V223,"not collected"),EXACT(Metadata!V223,"not provided"),EXACT(Metadata!V223,"restricted access"))),AND(IF(Metadata!V223="",FALSE,ISNUMBER(VALUE(Metadata!V223))),Metadata!V223&gt;=-180,Metadata!V223&lt;=180))</f>
        <v>0</v>
      </c>
      <c r="BJ223" t="b">
        <f>AND(IF(Metadata!W223="",FALSE,TRUE),EXACT(Metadata!W223,"Decimal degrees"))</f>
        <v>0</v>
      </c>
      <c r="BK223" t="b">
        <f>IF(Metadata!X223="",FALSE,TRUE)</f>
        <v>0</v>
      </c>
      <c r="BL223" t="b">
        <f>OR(AND(IF(Metadata!Y223="",FALSE,TRUE),OR(EXACT(Metadata!Y223,"not collected"),EXACT(Metadata!Y223,"not provided"),EXACT(Metadata!Y223,"restricted access"))),AND(IF(Metadata!Y223="",FALSE,TRUE),OR(EXACT(Metadata!Y223,"TRUE"),EXACT(Metadata!Y223,"FALSE"))))</f>
        <v>0</v>
      </c>
      <c r="BM223" t="b">
        <f>OR(AND(IF(Metadata!Z223="",FALSE,TRUE),EXACT(Metadata!Z223,"not applicable")),AND(IF(Metadata!Z223="",FALSE,TRUE),OR(EXACT(Metadata!Z223,"beer"),EXACT(Metadata!Z223,"cheese"),EXACT(Metadata!Z223,"fresh water"),EXACT(Metadata!Z223,"marine sediment"),EXACT(Metadata!Z223,"sea water"),EXACT(Metadata!Z223,"sediment"),EXACT(Metadata!Z223,"soil"),EXACT(Metadata!Z223,"waste water"))))</f>
        <v>0</v>
      </c>
      <c r="BN223" t="b">
        <f>AND(IF(Metadata!AA223="",FALSE,TRUE),EXACT(Metadata!AA223,"metagenome"))</f>
        <v>0</v>
      </c>
      <c r="BO223" t="b">
        <f>AND(IF(Metadata!AB223="",FALSE,TRUE),EXACT(Metadata!AB223,"256318"))</f>
        <v>0</v>
      </c>
      <c r="BP223" t="b">
        <f>IF(Metadata!AC223="",FALSE,TRUE)</f>
        <v>0</v>
      </c>
      <c r="BQ223" t="b">
        <f>IF(Metadata!AD223="",FALSE,TRUE)</f>
        <v>0</v>
      </c>
    </row>
    <row r="224" spans="1:69" x14ac:dyDescent="0.2">
      <c r="A224" s="4" t="e">
        <f ca="1">IF(B224=" "," ",HYPERLINK(CONCATENATE("#metadata!",ADDRESS(INDEX($AJ$2:$AJ$1001,MATCH(ROWS($AH$2:AH224),$AH$2:$AH$1001,0),0),2)),INDEX($AM$2:$AM$1001,MATCH(ROWS($AH$2:AH224),$AH$2:$AH$1001,0),0)))</f>
        <v>#N/A</v>
      </c>
      <c r="B224" s="5" t="e">
        <f ca="1">IF(OR(INDEX($AI$2:$AI$1001,MATCH(ROWS($AH$2:AH224),$AH$2:$AH$1001,0),1)&gt;=100000,INDEX($AO$1005:$BQ$1005,1,MATCH(COLUMNS($AO$1006:AO1006),$AO$1006:$BQ$1006,0))&gt;=100000), " ",IF(INDEX($AO$2:$BQ$1001,MATCH(ROWS($AH$2:AH224),$AH$2:$AH$1001,0),MATCH(COLUMNS($AO$1006:AO1006),$AO$1006:$BQ$1006,0)), HYPERLINK("#",""), HYPERLINK(CONCATENATE("#Metadata!", ADDRESS(INDEX($AJ$2:$AJ$1001,MATCH(ROWS($AH$2:AH224),$AH$2:$AH$1001,0),0), INDEX($AO$1004:$BQ$1004,1,MATCH(COLUMNS($AO$1006:AO1006),$AO$1006:$BQ$1006,0)))),"Fix")))</f>
        <v>#N/A</v>
      </c>
      <c r="C224" s="5" t="e">
        <f ca="1">IF(OR(INDEX($AI$2:$AI$1001,MATCH(ROWS($AH$2:AH224),$AH$2:$AH$1001,0),1)&gt;=100000,INDEX($AO$1005:$BQ$1005,1,MATCH(COLUMNS($AO$1006:AP1006),$AO$1006:$BQ$1006,0))&gt;=100000), " ",IF(INDEX($AO$2:$BQ$1001,MATCH(ROWS($AH$2:AH224),$AH$2:$AH$1001,0),MATCH(COLUMNS($AO$1006:AP1006),$AO$1006:$BQ$1006,0)), HYPERLINK("#",""), HYPERLINK(CONCATENATE("#Metadata!", ADDRESS(INDEX($AJ$2:$AJ$1001,MATCH(ROWS($AH$2:AH224),$AH$2:$AH$1001,0),0), INDEX($AO$1004:$BQ$1004,1,MATCH(COLUMNS($AO$1006:AP1006),$AO$1006:$BQ$1006,0)))),"Fix")))</f>
        <v>#N/A</v>
      </c>
      <c r="D224" s="5" t="e">
        <f ca="1">IF(OR(INDEX($AI$2:$AI$1001,MATCH(ROWS($AH$2:AH224),$AH$2:$AH$1001,0),1)&gt;=100000,INDEX($AO$1005:$BQ$1005,1,MATCH(COLUMNS($AO$1006:AQ1006),$AO$1006:$BQ$1006,0))&gt;=100000), " ",IF(INDEX($AO$2:$BQ$1001,MATCH(ROWS($AH$2:AH224),$AH$2:$AH$1001,0),MATCH(COLUMNS($AO$1006:AQ1006),$AO$1006:$BQ$1006,0)), HYPERLINK("#",""), HYPERLINK(CONCATENATE("#Metadata!", ADDRESS(INDEX($AJ$2:$AJ$1001,MATCH(ROWS($AH$2:AH224),$AH$2:$AH$1001,0),0), INDEX($AO$1004:$BQ$1004,1,MATCH(COLUMNS($AO$1006:AQ1006),$AO$1006:$BQ$1006,0)))),"Fix")))</f>
        <v>#N/A</v>
      </c>
      <c r="E224" s="5" t="e">
        <f ca="1">IF(OR(INDEX($AI$2:$AI$1001,MATCH(ROWS($AH$2:AH224),$AH$2:$AH$1001,0),1)&gt;=100000,INDEX($AO$1005:$BQ$1005,1,MATCH(COLUMNS($AO$1006:AR1006),$AO$1006:$BQ$1006,0))&gt;=100000), " ",IF(INDEX($AO$2:$BQ$1001,MATCH(ROWS($AH$2:AH224),$AH$2:$AH$1001,0),MATCH(COLUMNS($AO$1006:AR1006),$AO$1006:$BQ$1006,0)), HYPERLINK("#",""), HYPERLINK(CONCATENATE("#Metadata!", ADDRESS(INDEX($AJ$2:$AJ$1001,MATCH(ROWS($AH$2:AH224),$AH$2:$AH$1001,0),0), INDEX($AO$1004:$BQ$1004,1,MATCH(COLUMNS($AO$1006:AR1006),$AO$1006:$BQ$1006,0)))),"Fix")))</f>
        <v>#N/A</v>
      </c>
      <c r="F224" s="5" t="e">
        <f ca="1">IF(OR(INDEX($AI$2:$AI$1001,MATCH(ROWS($AH$2:AH224),$AH$2:$AH$1001,0),1)&gt;=100000,INDEX($AO$1005:$BQ$1005,1,MATCH(COLUMNS($AO$1006:AS1006),$AO$1006:$BQ$1006,0))&gt;=100000), " ",IF(INDEX($AO$2:$BQ$1001,MATCH(ROWS($AH$2:AH224),$AH$2:$AH$1001,0),MATCH(COLUMNS($AO$1006:AS1006),$AO$1006:$BQ$1006,0)), HYPERLINK("#",""), HYPERLINK(CONCATENATE("#Metadata!", ADDRESS(INDEX($AJ$2:$AJ$1001,MATCH(ROWS($AH$2:AH224),$AH$2:$AH$1001,0),0), INDEX($AO$1004:$BQ$1004,1,MATCH(COLUMNS($AO$1006:AS1006),$AO$1006:$BQ$1006,0)))),"Fix")))</f>
        <v>#N/A</v>
      </c>
      <c r="G224" s="5" t="e">
        <f ca="1">IF(OR(INDEX($AI$2:$AI$1001,MATCH(ROWS($AH$2:AH224),$AH$2:$AH$1001,0),1)&gt;=100000,INDEX($AO$1005:$BQ$1005,1,MATCH(COLUMNS($AO$1006:AT1006),$AO$1006:$BQ$1006,0))&gt;=100000), " ",IF(INDEX($AO$2:$BQ$1001,MATCH(ROWS($AH$2:AH224),$AH$2:$AH$1001,0),MATCH(COLUMNS($AO$1006:AT1006),$AO$1006:$BQ$1006,0)), HYPERLINK("#",""), HYPERLINK(CONCATENATE("#Metadata!", ADDRESS(INDEX($AJ$2:$AJ$1001,MATCH(ROWS($AH$2:AH224),$AH$2:$AH$1001,0),0), INDEX($AO$1004:$BQ$1004,1,MATCH(COLUMNS($AO$1006:AT1006),$AO$1006:$BQ$1006,0)))),"Fix")))</f>
        <v>#N/A</v>
      </c>
      <c r="H224" s="5" t="e">
        <f ca="1">IF(OR(INDEX($AI$2:$AI$1001,MATCH(ROWS($AH$2:AH224),$AH$2:$AH$1001,0),1)&gt;=100000,INDEX($AO$1005:$BQ$1005,1,MATCH(COLUMNS($AO$1006:AU1006),$AO$1006:$BQ$1006,0))&gt;=100000), " ",IF(INDEX($AO$2:$BQ$1001,MATCH(ROWS($AH$2:AH224),$AH$2:$AH$1001,0),MATCH(COLUMNS($AO$1006:AU1006),$AO$1006:$BQ$1006,0)), HYPERLINK("#",""), HYPERLINK(CONCATENATE("#Metadata!", ADDRESS(INDEX($AJ$2:$AJ$1001,MATCH(ROWS($AH$2:AH224),$AH$2:$AH$1001,0),0), INDEX($AO$1004:$BQ$1004,1,MATCH(COLUMNS($AO$1006:AU1006),$AO$1006:$BQ$1006,0)))),"Fix")))</f>
        <v>#N/A</v>
      </c>
      <c r="I224" s="5" t="e">
        <f ca="1">IF(OR(INDEX($AI$2:$AI$1001,MATCH(ROWS($AH$2:AH224),$AH$2:$AH$1001,0),1)&gt;=100000,INDEX($AO$1005:$BQ$1005,1,MATCH(COLUMNS($AO$1006:AV1006),$AO$1006:$BQ$1006,0))&gt;=100000), " ",IF(INDEX($AO$2:$BQ$1001,MATCH(ROWS($AH$2:AH224),$AH$2:$AH$1001,0),MATCH(COLUMNS($AO$1006:AV1006),$AO$1006:$BQ$1006,0)), HYPERLINK("#",""), HYPERLINK(CONCATENATE("#Metadata!", ADDRESS(INDEX($AJ$2:$AJ$1001,MATCH(ROWS($AH$2:AH224),$AH$2:$AH$1001,0),0), INDEX($AO$1004:$BQ$1004,1,MATCH(COLUMNS($AO$1006:AV1006),$AO$1006:$BQ$1006,0)))),"Fix")))</f>
        <v>#N/A</v>
      </c>
      <c r="J224" s="5" t="e">
        <f ca="1">IF(OR(INDEX($AI$2:$AI$1001,MATCH(ROWS($AH$2:AH224),$AH$2:$AH$1001,0),1)&gt;=100000,INDEX($AO$1005:$BQ$1005,1,MATCH(COLUMNS($AO$1006:AW1006),$AO$1006:$BQ$1006,0))&gt;=100000), " ",IF(INDEX($AO$2:$BQ$1001,MATCH(ROWS($AH$2:AH224),$AH$2:$AH$1001,0),MATCH(COLUMNS($AO$1006:AW1006),$AO$1006:$BQ$1006,0)), HYPERLINK("#",""), HYPERLINK(CONCATENATE("#Metadata!", ADDRESS(INDEX($AJ$2:$AJ$1001,MATCH(ROWS($AH$2:AH224),$AH$2:$AH$1001,0),0), INDEX($AO$1004:$BQ$1004,1,MATCH(COLUMNS($AO$1006:AW1006),$AO$1006:$BQ$1006,0)))),"Fix")))</f>
        <v>#N/A</v>
      </c>
      <c r="K224" s="5" t="e">
        <f ca="1">IF(OR(INDEX($AI$2:$AI$1001,MATCH(ROWS($AH$2:AH224),$AH$2:$AH$1001,0),1)&gt;=100000,INDEX($AO$1005:$BQ$1005,1,MATCH(COLUMNS($AO$1006:AX1006),$AO$1006:$BQ$1006,0))&gt;=100000), " ",IF(INDEX($AO$2:$BQ$1001,MATCH(ROWS($AH$2:AH224),$AH$2:$AH$1001,0),MATCH(COLUMNS($AO$1006:AX1006),$AO$1006:$BQ$1006,0)), HYPERLINK("#",""), HYPERLINK(CONCATENATE("#Metadata!", ADDRESS(INDEX($AJ$2:$AJ$1001,MATCH(ROWS($AH$2:AH224),$AH$2:$AH$1001,0),0), INDEX($AO$1004:$BQ$1004,1,MATCH(COLUMNS($AO$1006:AX1006),$AO$1006:$BQ$1006,0)))),"Fix")))</f>
        <v>#N/A</v>
      </c>
      <c r="L224" s="5" t="e">
        <f ca="1">IF(OR(INDEX($AI$2:$AI$1001,MATCH(ROWS($AH$2:AH224),$AH$2:$AH$1001,0),1)&gt;=100000,INDEX($AO$1005:$BQ$1005,1,MATCH(COLUMNS($AO$1006:AY1006),$AO$1006:$BQ$1006,0))&gt;=100000), " ",IF(INDEX($AO$2:$BQ$1001,MATCH(ROWS($AH$2:AH224),$AH$2:$AH$1001,0),MATCH(COLUMNS($AO$1006:AY1006),$AO$1006:$BQ$1006,0)), HYPERLINK("#",""), HYPERLINK(CONCATENATE("#Metadata!", ADDRESS(INDEX($AJ$2:$AJ$1001,MATCH(ROWS($AH$2:AH224),$AH$2:$AH$1001,0),0), INDEX($AO$1004:$BQ$1004,1,MATCH(COLUMNS($AO$1006:AY1006),$AO$1006:$BQ$1006,0)))),"Fix")))</f>
        <v>#N/A</v>
      </c>
      <c r="M224" s="5" t="e">
        <f ca="1">IF(OR(INDEX($AI$2:$AI$1001,MATCH(ROWS($AH$2:AH224),$AH$2:$AH$1001,0),1)&gt;=100000,INDEX($AO$1005:$BQ$1005,1,MATCH(COLUMNS($AO$1006:AZ1006),$AO$1006:$BQ$1006,0))&gt;=100000), " ",IF(INDEX($AO$2:$BQ$1001,MATCH(ROWS($AH$2:AH224),$AH$2:$AH$1001,0),MATCH(COLUMNS($AO$1006:AZ1006),$AO$1006:$BQ$1006,0)), HYPERLINK("#",""), HYPERLINK(CONCATENATE("#Metadata!", ADDRESS(INDEX($AJ$2:$AJ$1001,MATCH(ROWS($AH$2:AH224),$AH$2:$AH$1001,0),0), INDEX($AO$1004:$BQ$1004,1,MATCH(COLUMNS($AO$1006:AZ1006),$AO$1006:$BQ$1006,0)))),"Fix")))</f>
        <v>#N/A</v>
      </c>
      <c r="N224" s="5" t="e">
        <f ca="1">IF(OR(INDEX($AI$2:$AI$1001,MATCH(ROWS($AH$2:AH224),$AH$2:$AH$1001,0),1)&gt;=100000,INDEX($AO$1005:$BQ$1005,1,MATCH(COLUMNS($AO$1006:BA1006),$AO$1006:$BQ$1006,0))&gt;=100000), " ",IF(INDEX($AO$2:$BQ$1001,MATCH(ROWS($AH$2:AH224),$AH$2:$AH$1001,0),MATCH(COLUMNS($AO$1006:BA1006),$AO$1006:$BQ$1006,0)), HYPERLINK("#",""), HYPERLINK(CONCATENATE("#Metadata!", ADDRESS(INDEX($AJ$2:$AJ$1001,MATCH(ROWS($AH$2:AH224),$AH$2:$AH$1001,0),0), INDEX($AO$1004:$BQ$1004,1,MATCH(COLUMNS($AO$1006:BA1006),$AO$1006:$BQ$1006,0)))),"Fix")))</f>
        <v>#N/A</v>
      </c>
      <c r="O224" s="5" t="e">
        <f ca="1">IF(OR(INDEX($AI$2:$AI$1001,MATCH(ROWS($AH$2:AH224),$AH$2:$AH$1001,0),1)&gt;=100000,INDEX($AO$1005:$BQ$1005,1,MATCH(COLUMNS($AO$1006:BB1006),$AO$1006:$BQ$1006,0))&gt;=100000), " ",IF(INDEX($AO$2:$BQ$1001,MATCH(ROWS($AH$2:AH224),$AH$2:$AH$1001,0),MATCH(COLUMNS($AO$1006:BB1006),$AO$1006:$BQ$1006,0)), HYPERLINK("#",""), HYPERLINK(CONCATENATE("#Metadata!", ADDRESS(INDEX($AJ$2:$AJ$1001,MATCH(ROWS($AH$2:AH224),$AH$2:$AH$1001,0),0), INDEX($AO$1004:$BQ$1004,1,MATCH(COLUMNS($AO$1006:BB1006),$AO$1006:$BQ$1006,0)))),"Fix")))</f>
        <v>#N/A</v>
      </c>
      <c r="P224" s="5" t="e">
        <f ca="1">IF(OR(INDEX($AI$2:$AI$1001,MATCH(ROWS($AH$2:AH224),$AH$2:$AH$1001,0),1)&gt;=100000,INDEX($AO$1005:$BQ$1005,1,MATCH(COLUMNS($AO$1006:BC1006),$AO$1006:$BQ$1006,0))&gt;=100000), " ",IF(INDEX($AO$2:$BQ$1001,MATCH(ROWS($AH$2:AH224),$AH$2:$AH$1001,0),MATCH(COLUMNS($AO$1006:BC1006),$AO$1006:$BQ$1006,0)), HYPERLINK("#",""), HYPERLINK(CONCATENATE("#Metadata!", ADDRESS(INDEX($AJ$2:$AJ$1001,MATCH(ROWS($AH$2:AH224),$AH$2:$AH$1001,0),0), INDEX($AO$1004:$BQ$1004,1,MATCH(COLUMNS($AO$1006:BC1006),$AO$1006:$BQ$1006,0)))),"Fix")))</f>
        <v>#N/A</v>
      </c>
      <c r="Q224" s="5" t="e">
        <f ca="1">IF(OR(INDEX($AI$2:$AI$1001,MATCH(ROWS($AH$2:AH224),$AH$2:$AH$1001,0),1)&gt;=100000,INDEX($AO$1005:$BQ$1005,1,MATCH(COLUMNS($AO$1006:BD1006),$AO$1006:$BQ$1006,0))&gt;=100000), " ",IF(INDEX($AO$2:$BQ$1001,MATCH(ROWS($AH$2:AH224),$AH$2:$AH$1001,0),MATCH(COLUMNS($AO$1006:BD1006),$AO$1006:$BQ$1006,0)), HYPERLINK("#",""), HYPERLINK(CONCATENATE("#Metadata!", ADDRESS(INDEX($AJ$2:$AJ$1001,MATCH(ROWS($AH$2:AH224),$AH$2:$AH$1001,0),0), INDEX($AO$1004:$BQ$1004,1,MATCH(COLUMNS($AO$1006:BD1006),$AO$1006:$BQ$1006,0)))),"Fix")))</f>
        <v>#N/A</v>
      </c>
      <c r="R224" s="5" t="e">
        <f ca="1">IF(OR(INDEX($AI$2:$AI$1001,MATCH(ROWS($AH$2:AH224),$AH$2:$AH$1001,0),1)&gt;=100000,INDEX($AO$1005:$BQ$1005,1,MATCH(COLUMNS($AO$1006:BE1006),$AO$1006:$BQ$1006,0))&gt;=100000), " ",IF(INDEX($AO$2:$BQ$1001,MATCH(ROWS($AH$2:AH224),$AH$2:$AH$1001,0),MATCH(COLUMNS($AO$1006:BE1006),$AO$1006:$BQ$1006,0)), HYPERLINK("#",""), HYPERLINK(CONCATENATE("#Metadata!", ADDRESS(INDEX($AJ$2:$AJ$1001,MATCH(ROWS($AH$2:AH224),$AH$2:$AH$1001,0),0), INDEX($AO$1004:$BQ$1004,1,MATCH(COLUMNS($AO$1006:BE1006),$AO$1006:$BQ$1006,0)))),"Fix")))</f>
        <v>#N/A</v>
      </c>
      <c r="S224" s="5" t="e">
        <f ca="1">IF(OR(INDEX($AI$2:$AI$1001,MATCH(ROWS($AH$2:AH224),$AH$2:$AH$1001,0),1)&gt;=100000,INDEX($AO$1005:$BQ$1005,1,MATCH(COLUMNS($AO$1006:BF1006),$AO$1006:$BQ$1006,0))&gt;=100000), " ",IF(INDEX($AO$2:$BQ$1001,MATCH(ROWS($AH$2:AH224),$AH$2:$AH$1001,0),MATCH(COLUMNS($AO$1006:BF1006),$AO$1006:$BQ$1006,0)), HYPERLINK("#",""), HYPERLINK(CONCATENATE("#Metadata!", ADDRESS(INDEX($AJ$2:$AJ$1001,MATCH(ROWS($AH$2:AH224),$AH$2:$AH$1001,0),0), INDEX($AO$1004:$BQ$1004,1,MATCH(COLUMNS($AO$1006:BF1006),$AO$1006:$BQ$1006,0)))),"Fix")))</f>
        <v>#N/A</v>
      </c>
      <c r="T224" s="5" t="e">
        <f ca="1">IF(OR(INDEX($AI$2:$AI$1001,MATCH(ROWS($AH$2:AH224),$AH$2:$AH$1001,0),1)&gt;=100000,INDEX($AO$1005:$BQ$1005,1,MATCH(COLUMNS($AO$1006:BG1006),$AO$1006:$BQ$1006,0))&gt;=100000), " ",IF(INDEX($AO$2:$BQ$1001,MATCH(ROWS($AH$2:AH224),$AH$2:$AH$1001,0),MATCH(COLUMNS($AO$1006:BG1006),$AO$1006:$BQ$1006,0)), HYPERLINK("#",""), HYPERLINK(CONCATENATE("#Metadata!", ADDRESS(INDEX($AJ$2:$AJ$1001,MATCH(ROWS($AH$2:AH224),$AH$2:$AH$1001,0),0), INDEX($AO$1004:$BQ$1004,1,MATCH(COLUMNS($AO$1006:BG1006),$AO$1006:$BQ$1006,0)))),"Fix")))</f>
        <v>#N/A</v>
      </c>
      <c r="U224" s="5" t="e">
        <f ca="1">IF(OR(INDEX($AI$2:$AI$1001,MATCH(ROWS($AH$2:AH224),$AH$2:$AH$1001,0),1)&gt;=100000,INDEX($AO$1005:$BQ$1005,1,MATCH(COLUMNS($AO$1006:BH1006),$AO$1006:$BQ$1006,0))&gt;=100000), " ",IF(INDEX($AO$2:$BQ$1001,MATCH(ROWS($AH$2:AH224),$AH$2:$AH$1001,0),MATCH(COLUMNS($AO$1006:BH1006),$AO$1006:$BQ$1006,0)), HYPERLINK("#",""), HYPERLINK(CONCATENATE("#Metadata!", ADDRESS(INDEX($AJ$2:$AJ$1001,MATCH(ROWS($AH$2:AH224),$AH$2:$AH$1001,0),0), INDEX($AO$1004:$BQ$1004,1,MATCH(COLUMNS($AO$1006:BH1006),$AO$1006:$BQ$1006,0)))),"Fix")))</f>
        <v>#N/A</v>
      </c>
      <c r="V224" s="5" t="e">
        <f ca="1">IF(OR(INDEX($AI$2:$AI$1001,MATCH(ROWS($AH$2:AH224),$AH$2:$AH$1001,0),1)&gt;=100000,INDEX($AO$1005:$BQ$1005,1,MATCH(COLUMNS($AO$1006:BI1006),$AO$1006:$BQ$1006,0))&gt;=100000), " ",IF(INDEX($AO$2:$BQ$1001,MATCH(ROWS($AH$2:AH224),$AH$2:$AH$1001,0),MATCH(COLUMNS($AO$1006:BI1006),$AO$1006:$BQ$1006,0)), HYPERLINK("#",""), HYPERLINK(CONCATENATE("#Metadata!", ADDRESS(INDEX($AJ$2:$AJ$1001,MATCH(ROWS($AH$2:AH224),$AH$2:$AH$1001,0),0), INDEX($AO$1004:$BQ$1004,1,MATCH(COLUMNS($AO$1006:BI1006),$AO$1006:$BQ$1006,0)))),"Fix")))</f>
        <v>#N/A</v>
      </c>
      <c r="W224" s="5" t="e">
        <f ca="1">IF(OR(INDEX($AI$2:$AI$1001,MATCH(ROWS($AH$2:AH224),$AH$2:$AH$1001,0),1)&gt;=100000,INDEX($AO$1005:$BQ$1005,1,MATCH(COLUMNS($AO$1006:BJ1006),$AO$1006:$BQ$1006,0))&gt;=100000), " ",IF(INDEX($AO$2:$BQ$1001,MATCH(ROWS($AH$2:AH224),$AH$2:$AH$1001,0),MATCH(COLUMNS($AO$1006:BJ1006),$AO$1006:$BQ$1006,0)), HYPERLINK("#",""), HYPERLINK(CONCATENATE("#Metadata!", ADDRESS(INDEX($AJ$2:$AJ$1001,MATCH(ROWS($AH$2:AH224),$AH$2:$AH$1001,0),0), INDEX($AO$1004:$BQ$1004,1,MATCH(COLUMNS($AO$1006:BJ1006),$AO$1006:$BQ$1006,0)))),"Fix")))</f>
        <v>#N/A</v>
      </c>
      <c r="X224" s="5" t="e">
        <f ca="1">IF(OR(INDEX($AI$2:$AI$1001,MATCH(ROWS($AH$2:AH224),$AH$2:$AH$1001,0),1)&gt;=100000,INDEX($AO$1005:$BQ$1005,1,MATCH(COLUMNS($AO$1006:BK1006),$AO$1006:$BQ$1006,0))&gt;=100000), " ",IF(INDEX($AO$2:$BQ$1001,MATCH(ROWS($AH$2:AH224),$AH$2:$AH$1001,0),MATCH(COLUMNS($AO$1006:BK1006),$AO$1006:$BQ$1006,0)), HYPERLINK("#",""), HYPERLINK(CONCATENATE("#Metadata!", ADDRESS(INDEX($AJ$2:$AJ$1001,MATCH(ROWS($AH$2:AH224),$AH$2:$AH$1001,0),0), INDEX($AO$1004:$BQ$1004,1,MATCH(COLUMNS($AO$1006:BK1006),$AO$1006:$BQ$1006,0)))),"Fix")))</f>
        <v>#N/A</v>
      </c>
      <c r="Y224" s="5" t="e">
        <f ca="1">IF(OR(INDEX($AI$2:$AI$1001,MATCH(ROWS($AH$2:AH224),$AH$2:$AH$1001,0),1)&gt;=100000,INDEX($AO$1005:$BQ$1005,1,MATCH(COLUMNS($AO$1006:BL1006),$AO$1006:$BQ$1006,0))&gt;=100000), " ",IF(INDEX($AO$2:$BQ$1001,MATCH(ROWS($AH$2:AH224),$AH$2:$AH$1001,0),MATCH(COLUMNS($AO$1006:BL1006),$AO$1006:$BQ$1006,0)), HYPERLINK("#",""), HYPERLINK(CONCATENATE("#Metadata!", ADDRESS(INDEX($AJ$2:$AJ$1001,MATCH(ROWS($AH$2:AH224),$AH$2:$AH$1001,0),0), INDEX($AO$1004:$BQ$1004,1,MATCH(COLUMNS($AO$1006:BL1006),$AO$1006:$BQ$1006,0)))),"Fix")))</f>
        <v>#N/A</v>
      </c>
      <c r="Z224" s="5" t="e">
        <f ca="1">IF(OR(INDEX($AI$2:$AI$1001,MATCH(ROWS($AH$2:AH224),$AH$2:$AH$1001,0),1)&gt;=100000,INDEX($AO$1005:$BQ$1005,1,MATCH(COLUMNS($AO$1006:BM1006),$AO$1006:$BQ$1006,0))&gt;=100000), " ",IF(INDEX($AO$2:$BQ$1001,MATCH(ROWS($AH$2:AH224),$AH$2:$AH$1001,0),MATCH(COLUMNS($AO$1006:BM1006),$AO$1006:$BQ$1006,0)), HYPERLINK("#",""), HYPERLINK(CONCATENATE("#Metadata!", ADDRESS(INDEX($AJ$2:$AJ$1001,MATCH(ROWS($AH$2:AH224),$AH$2:$AH$1001,0),0), INDEX($AO$1004:$BQ$1004,1,MATCH(COLUMNS($AO$1006:BM1006),$AO$1006:$BQ$1006,0)))),"Fix")))</f>
        <v>#N/A</v>
      </c>
      <c r="AA224" s="5" t="e">
        <f ca="1">IF(OR(INDEX($AI$2:$AI$1001,MATCH(ROWS($AH$2:AH224),$AH$2:$AH$1001,0),1)&gt;=100000,INDEX($AO$1005:$BQ$1005,1,MATCH(COLUMNS($AO$1006:BN1006),$AO$1006:$BQ$1006,0))&gt;=100000), " ",IF(INDEX($AO$2:$BQ$1001,MATCH(ROWS($AH$2:AH224),$AH$2:$AH$1001,0),MATCH(COLUMNS($AO$1006:BN1006),$AO$1006:$BQ$1006,0)), HYPERLINK("#",""), HYPERLINK(CONCATENATE("#Metadata!", ADDRESS(INDEX($AJ$2:$AJ$1001,MATCH(ROWS($AH$2:AH224),$AH$2:$AH$1001,0),0), INDEX($AO$1004:$BQ$1004,1,MATCH(COLUMNS($AO$1006:BN1006),$AO$1006:$BQ$1006,0)))),"Fix")))</f>
        <v>#N/A</v>
      </c>
      <c r="AB224" s="5" t="e">
        <f ca="1">IF(OR(INDEX($AI$2:$AI$1001,MATCH(ROWS($AH$2:AH224),$AH$2:$AH$1001,0),1)&gt;=100000,INDEX($AO$1005:$BQ$1005,1,MATCH(COLUMNS($AO$1006:BO1006),$AO$1006:$BQ$1006,0))&gt;=100000), " ",IF(INDEX($AO$2:$BQ$1001,MATCH(ROWS($AH$2:AH224),$AH$2:$AH$1001,0),MATCH(COLUMNS($AO$1006:BO1006),$AO$1006:$BQ$1006,0)), HYPERLINK("#",""), HYPERLINK(CONCATENATE("#Metadata!", ADDRESS(INDEX($AJ$2:$AJ$1001,MATCH(ROWS($AH$2:AH224),$AH$2:$AH$1001,0),0), INDEX($AO$1004:$BQ$1004,1,MATCH(COLUMNS($AO$1006:BO1006),$AO$1006:$BQ$1006,0)))),"Fix")))</f>
        <v>#N/A</v>
      </c>
      <c r="AC224" s="5" t="e">
        <f ca="1">IF(OR(INDEX($AI$2:$AI$1001,MATCH(ROWS($AH$2:AH224),$AH$2:$AH$1001,0),1)&gt;=100000,INDEX($AO$1005:$BQ$1005,1,MATCH(COLUMNS($AO$1006:BP1006),$AO$1006:$BQ$1006,0))&gt;=100000), " ",IF(INDEX($AO$2:$BQ$1001,MATCH(ROWS($AH$2:AH224),$AH$2:$AH$1001,0),MATCH(COLUMNS($AO$1006:BP1006),$AO$1006:$BQ$1006,0)), HYPERLINK("#",""), HYPERLINK(CONCATENATE("#Metadata!", ADDRESS(INDEX($AJ$2:$AJ$1001,MATCH(ROWS($AH$2:AH224),$AH$2:$AH$1001,0),0), INDEX($AO$1004:$BQ$1004,1,MATCH(COLUMNS($AO$1006:BP1006),$AO$1006:$BQ$1006,0)))),"Fix")))</f>
        <v>#N/A</v>
      </c>
      <c r="AD224" s="5" t="e">
        <f ca="1">IF(OR(INDEX($AI$2:$AI$1001,MATCH(ROWS($AH$2:AH224),$AH$2:$AH$1001,0),1)&gt;=100000,INDEX($AO$1005:$BQ$1005,1,MATCH(COLUMNS($AO$1006:BQ1006),$AO$1006:$BQ$1006,0))&gt;=100000), " ",IF(INDEX($AO$2:$BQ$1001,MATCH(ROWS($AH$2:AH224),$AH$2:$AH$1001,0),MATCH(COLUMNS($AO$1006:BQ1006),$AO$1006:$BQ$1006,0)), HYPERLINK("#",""), HYPERLINK(CONCATENATE("#Metadata!", ADDRESS(INDEX($AJ$2:$AJ$1001,MATCH(ROWS($AH$2:AH224),$AH$2:$AH$1001,0),0), INDEX($AO$1004:$BQ$1004,1,MATCH(COLUMNS($AO$1006:BQ1006),$AO$1006:$BQ$1006,0)))),"Fix")))</f>
        <v>#REF!</v>
      </c>
      <c r="AH224">
        <f ca="1"/>
        <v>221</v>
      </c>
      <c r="AI224">
        <v>100224</v>
      </c>
      <c r="AJ224">
        <v>224</v>
      </c>
      <c r="AK224" t="b">
        <f t="shared" si="3"/>
        <v>1</v>
      </c>
      <c r="AL224" t="b">
        <f>COUNTBLANK(Metadata!B224:AD224)=COLUMNS(Metadata!B224:AD224)</f>
        <v>1</v>
      </c>
      <c r="AM224" t="str">
        <v/>
      </c>
      <c r="AO224" t="b">
        <f ca="1">AND(IF(Metadata!B224="",FALSE,TRUE),COUNTIF(Metadata!B:B, Metadata!B224) = 1,NOT(ISERROR(SUMPRODUCT(SEARCH(MID(Metadata!B224,ROW(INDIRECT("1:"&amp;LEN(Metadata!B224))), 1),"0123456789abcdefghijklmnopqrstuvwxyzABCDEFGHIJKLMNOPQRSTUVWXYZ.")))))</f>
        <v>0</v>
      </c>
      <c r="AP224" t="b">
        <f>IF(Metadata!C224="",FALSE,TRUE)</f>
        <v>0</v>
      </c>
      <c r="AQ224" t="b">
        <f>IF(Metadata!D224="",FALSE,TRUE)</f>
        <v>0</v>
      </c>
      <c r="AR224" t="b">
        <f ca="1">OR(AND(IF(Metadata!E224="",FALSE,TRUE),OR(EXACT(Metadata!E224,"not collected"),EXACT(Metadata!E224,"not provided"),EXACT(Metadata!E224,"restricted access"))),AND(IF(Metadata!E224="",FALSE,TRUE),AND(AND(IFERROR(INT(LEFT(Metadata!E224,4))&gt;1900,FALSE),IFERROR(INT(LEFT(Metadata!E224,4))&lt;=YEAR(NOW()),FALSE)), OR(MID(Metadata!E224,5,1)="", AND(AND(MID(Metadata!E224,5,1)="-",IFERROR(INT(MID(Metadata!E224,6,1))&gt;=0,FALSE),IFERROR(INT(MID(Metadata!E224,6,1))&lt;=1,FALSE),NOT(MID(Metadata!E224,7,1)=""),IFERROR(INT(MID(Metadata!E224,6,2))&gt;=1,FALSE),IFERROR(INT(MID(Metadata!E224,6,2))&lt;=12,FALSE)), OR(MID(Metadata!E224,8,1)="", AND(AND(MID(Metadata!E224,8,1)="-",IFERROR(INT(MID(Metadata!E224,9,1))&gt;=0,FALSE),IFERROR(INT(MID(Metadata!E224,9,1))&lt;=3,FALSE),NOT(MID(Metadata!E224,10,1)=""),IFERROR(INT(MID(Metadata!E224,9,2))&gt;=1,FALSE),IFERROR(INT(MID(Metadata!E224,9,2))&lt;=31,FALSE)), OR(MID(Metadata!E224,11,1)="", AND(AND(MID(Metadata!E224,11,1)=" ",IFERROR(INT(MID(Metadata!E224,12,1))&gt;=0,FALSE),IFERROR(INT(MID(Metadata!E224,12,1))&lt;=2,FALSE),NOT(MID(Metadata!E224,13,1)=""),IFERROR(INT(MID(Metadata!E224,12,2))&gt;=0,FALSE),IFERROR(INT(MID(Metadata!E224,12,2))&lt;=23,FALSE)), OR(MID(Metadata!E224,14,1)="", AND(AND(MID(Metadata!E224,14,1)=":",IFERROR(INT(MID(Metadata!E224,15,1))&gt;=0,FALSE),IFERROR(INT(MID(Metadata!E224,15,1))&lt;=5,FALSE),NOT(MID(Metadata!E224,16,1)=""),IFERROR(INT(MID(Metadata!E224,15,2))&gt;=0,FALSE),IFERROR(INT(MID(Metadata!E224,15,2))&lt;=59,FALSE)), OR(MID(Metadata!E224,17,1)="", AND(AND(MID(Metadata!E224,17,1)=":",IFERROR(INT(MID(Metadata!E224,18,1))&gt;=0,FALSE),IFERROR(INT(MID(Metadata!E224,18,1))&lt;=5,FALSE),NOT(MID(Metadata!E224,19,1)=""),IFERROR(INT(MID(Metadata!E224,18,2))&gt;=0,FALSE),IFERROR(INT(MID(Metadata!E224,18,2))&lt;=59,FALSE)), LEN(Metadata!E224)&lt;=19)))))))))))))</f>
        <v>0</v>
      </c>
      <c r="AS224" t="b">
        <f>IF(Metadata!F224="",FALSE,TRUE)</f>
        <v>0</v>
      </c>
      <c r="AT224" t="b">
        <f>OR(AND(IF(Metadata!G224="",FALSE,TRUE),OR(EXACT(Metadata!G224,"not collected"),EXACT(Metadata!G224,"not provided"))),AND(IF(Metadata!G224="",FALSE,TRUE),OR(EXACT(Metadata!G224,"TRUE"),EXACT(Metadata!G224,"FALSE"))))</f>
        <v>0</v>
      </c>
      <c r="AU224" t="b">
        <f>OR(AND(IF(Metadata!H224="",FALSE,TRUE),OR(EXACT(Metadata!H224,"not collected"),EXACT(Metadata!H224,"not provided"),EXACT(Metadata!H224,"restricted access"))),AND(IF(Metadata!H224="",FALSE,ISNUMBER(VALUE(Metadata!H224))),Metadata!H224&gt;=-413))</f>
        <v>0</v>
      </c>
      <c r="AV224" t="b">
        <f>AND(IF(Metadata!I224="",FALSE,TRUE),EXACT(Metadata!I224,"meters"))</f>
        <v>0</v>
      </c>
      <c r="AW224" t="b">
        <f>AND(IF(Metadata!J224="",FALSE,TRUE),EXACT(Metadata!J224,"free-living"))</f>
        <v>0</v>
      </c>
      <c r="AX224" t="b">
        <f>AND(IF(Metadata!K224="",FALSE,TRUE),OR(EXACT(Metadata!K224,"saline"),EXACT(Metadata!K224,"non-saline")))</f>
        <v>0</v>
      </c>
      <c r="AY224" t="b">
        <f>AND(IF(Metadata!L224="",FALSE,TRUE),OR(EXACT(Metadata!L224,"sub-surface (non-saline)"),EXACT(Metadata!L224,"surface (non-saline)"),EXACT(Metadata!L224,"water (non-saline)"),EXACT(Metadata!L224,"soil (non-saline)"),EXACT(Metadata!L224,"aerosol (non-saline)"),EXACT(Metadata!L224,"sediment (non-saline)"),EXACT(Metadata!L224,"surface (saline)"),EXACT(Metadata!L224,"water (saline)"),EXACT(Metadata!L224,"hypersaline (saline)"),EXACT(Metadata!L224,"aerosol (saline)"),EXACT(Metadata!L224,"sediment (saline)")))</f>
        <v>0</v>
      </c>
      <c r="AZ224" t="b">
        <f>IF(Metadata!M224="",FALSE,TRUE)</f>
        <v>0</v>
      </c>
      <c r="BA224" t="b">
        <f>IF(Metadata!N224="",FALSE,TRUE)</f>
        <v>0</v>
      </c>
      <c r="BB224" t="b">
        <f>IF(Metadata!O224="",FALSE,TRUE)</f>
        <v>0</v>
      </c>
      <c r="BC224" t="b">
        <f>AND(IF(Metadata!P224="",FALSE,TRUE),OR(EXACT(Metadata!P224,"air"),EXACT(Metadata!P224,"microbial mat/biofilm"),EXACT(Metadata!P224,"misc environment"),EXACT(Metadata!P224,"sediment"),EXACT(Metadata!P224,"soil"),EXACT(Metadata!P224,"wastewater/sludge"),EXACT(Metadata!P224,"water")))</f>
        <v>0</v>
      </c>
      <c r="BD224" t="b">
        <f>IF(Metadata!Q224="",FALSE,TRUE)</f>
        <v>0</v>
      </c>
      <c r="BE224" t="b">
        <f>IF(Metadata!R224="",FALSE,TRUE)</f>
        <v>0</v>
      </c>
      <c r="BF224" t="b">
        <f>OR(AND(IF(Metadata!S224="",FALSE,TRUE),OR(EXACT(Metadata!S224,"not collected"),EXACT(Metadata!S224,"not provided"),EXACT(Metadata!S224,"restricted access"))),AND(IF(Metadata!S224="",FALSE,ISNUMBER(VALUE(Metadata!S224))),Metadata!S224&gt;=-90,Metadata!S224&lt;=90))</f>
        <v>0</v>
      </c>
      <c r="BG224" t="b">
        <f>AND(IF(Metadata!T224="",FALSE,TRUE),EXACT(Metadata!T224,"Decimal degrees"))</f>
        <v>0</v>
      </c>
      <c r="BH224" t="b">
        <f>OR(AND(IF(Metadata!U224="",FALSE,TRUE),OR(EXACT(Metadata!U224,"not applicable"),EXACT(Metadata!U224,"not collected"))),IF(Metadata!U224="",FALSE,TRUE))</f>
        <v>0</v>
      </c>
      <c r="BI224" t="b">
        <f>OR(AND(IF(Metadata!V224="",FALSE,TRUE),OR(EXACT(Metadata!V224,"not collected"),EXACT(Metadata!V224,"not provided"),EXACT(Metadata!V224,"restricted access"))),AND(IF(Metadata!V224="",FALSE,ISNUMBER(VALUE(Metadata!V224))),Metadata!V224&gt;=-180,Metadata!V224&lt;=180))</f>
        <v>0</v>
      </c>
      <c r="BJ224" t="b">
        <f>AND(IF(Metadata!W224="",FALSE,TRUE),EXACT(Metadata!W224,"Decimal degrees"))</f>
        <v>0</v>
      </c>
      <c r="BK224" t="b">
        <f>IF(Metadata!X224="",FALSE,TRUE)</f>
        <v>0</v>
      </c>
      <c r="BL224" t="b">
        <f>OR(AND(IF(Metadata!Y224="",FALSE,TRUE),OR(EXACT(Metadata!Y224,"not collected"),EXACT(Metadata!Y224,"not provided"),EXACT(Metadata!Y224,"restricted access"))),AND(IF(Metadata!Y224="",FALSE,TRUE),OR(EXACT(Metadata!Y224,"TRUE"),EXACT(Metadata!Y224,"FALSE"))))</f>
        <v>0</v>
      </c>
      <c r="BM224" t="b">
        <f>OR(AND(IF(Metadata!Z224="",FALSE,TRUE),EXACT(Metadata!Z224,"not applicable")),AND(IF(Metadata!Z224="",FALSE,TRUE),OR(EXACT(Metadata!Z224,"beer"),EXACT(Metadata!Z224,"cheese"),EXACT(Metadata!Z224,"fresh water"),EXACT(Metadata!Z224,"marine sediment"),EXACT(Metadata!Z224,"sea water"),EXACT(Metadata!Z224,"sediment"),EXACT(Metadata!Z224,"soil"),EXACT(Metadata!Z224,"waste water"))))</f>
        <v>0</v>
      </c>
      <c r="BN224" t="b">
        <f>AND(IF(Metadata!AA224="",FALSE,TRUE),EXACT(Metadata!AA224,"metagenome"))</f>
        <v>0</v>
      </c>
      <c r="BO224" t="b">
        <f>AND(IF(Metadata!AB224="",FALSE,TRUE),EXACT(Metadata!AB224,"256318"))</f>
        <v>0</v>
      </c>
      <c r="BP224" t="b">
        <f>IF(Metadata!AC224="",FALSE,TRUE)</f>
        <v>0</v>
      </c>
      <c r="BQ224" t="b">
        <f>IF(Metadata!AD224="",FALSE,TRUE)</f>
        <v>0</v>
      </c>
    </row>
    <row r="225" spans="1:69" x14ac:dyDescent="0.2">
      <c r="A225" s="4" t="e">
        <f ca="1">IF(B225=" "," ",HYPERLINK(CONCATENATE("#metadata!",ADDRESS(INDEX($AJ$2:$AJ$1001,MATCH(ROWS($AH$2:AH225),$AH$2:$AH$1001,0),0),2)),INDEX($AM$2:$AM$1001,MATCH(ROWS($AH$2:AH225),$AH$2:$AH$1001,0),0)))</f>
        <v>#N/A</v>
      </c>
      <c r="B225" s="5" t="e">
        <f ca="1">IF(OR(INDEX($AI$2:$AI$1001,MATCH(ROWS($AH$2:AH225),$AH$2:$AH$1001,0),1)&gt;=100000,INDEX($AO$1005:$BQ$1005,1,MATCH(COLUMNS($AO$1006:AO1006),$AO$1006:$BQ$1006,0))&gt;=100000), " ",IF(INDEX($AO$2:$BQ$1001,MATCH(ROWS($AH$2:AH225),$AH$2:$AH$1001,0),MATCH(COLUMNS($AO$1006:AO1006),$AO$1006:$BQ$1006,0)), HYPERLINK("#",""), HYPERLINK(CONCATENATE("#Metadata!", ADDRESS(INDEX($AJ$2:$AJ$1001,MATCH(ROWS($AH$2:AH225),$AH$2:$AH$1001,0),0), INDEX($AO$1004:$BQ$1004,1,MATCH(COLUMNS($AO$1006:AO1006),$AO$1006:$BQ$1006,0)))),"Fix")))</f>
        <v>#N/A</v>
      </c>
      <c r="C225" s="5" t="e">
        <f ca="1">IF(OR(INDEX($AI$2:$AI$1001,MATCH(ROWS($AH$2:AH225),$AH$2:$AH$1001,0),1)&gt;=100000,INDEX($AO$1005:$BQ$1005,1,MATCH(COLUMNS($AO$1006:AP1006),$AO$1006:$BQ$1006,0))&gt;=100000), " ",IF(INDEX($AO$2:$BQ$1001,MATCH(ROWS($AH$2:AH225),$AH$2:$AH$1001,0),MATCH(COLUMNS($AO$1006:AP1006),$AO$1006:$BQ$1006,0)), HYPERLINK("#",""), HYPERLINK(CONCATENATE("#Metadata!", ADDRESS(INDEX($AJ$2:$AJ$1001,MATCH(ROWS($AH$2:AH225),$AH$2:$AH$1001,0),0), INDEX($AO$1004:$BQ$1004,1,MATCH(COLUMNS($AO$1006:AP1006),$AO$1006:$BQ$1006,0)))),"Fix")))</f>
        <v>#N/A</v>
      </c>
      <c r="D225" s="5" t="e">
        <f ca="1">IF(OR(INDEX($AI$2:$AI$1001,MATCH(ROWS($AH$2:AH225),$AH$2:$AH$1001,0),1)&gt;=100000,INDEX($AO$1005:$BQ$1005,1,MATCH(COLUMNS($AO$1006:AQ1006),$AO$1006:$BQ$1006,0))&gt;=100000), " ",IF(INDEX($AO$2:$BQ$1001,MATCH(ROWS($AH$2:AH225),$AH$2:$AH$1001,0),MATCH(COLUMNS($AO$1006:AQ1006),$AO$1006:$BQ$1006,0)), HYPERLINK("#",""), HYPERLINK(CONCATENATE("#Metadata!", ADDRESS(INDEX($AJ$2:$AJ$1001,MATCH(ROWS($AH$2:AH225),$AH$2:$AH$1001,0),0), INDEX($AO$1004:$BQ$1004,1,MATCH(COLUMNS($AO$1006:AQ1006),$AO$1006:$BQ$1006,0)))),"Fix")))</f>
        <v>#N/A</v>
      </c>
      <c r="E225" s="5" t="e">
        <f ca="1">IF(OR(INDEX($AI$2:$AI$1001,MATCH(ROWS($AH$2:AH225),$AH$2:$AH$1001,0),1)&gt;=100000,INDEX($AO$1005:$BQ$1005,1,MATCH(COLUMNS($AO$1006:AR1006),$AO$1006:$BQ$1006,0))&gt;=100000), " ",IF(INDEX($AO$2:$BQ$1001,MATCH(ROWS($AH$2:AH225),$AH$2:$AH$1001,0),MATCH(COLUMNS($AO$1006:AR1006),$AO$1006:$BQ$1006,0)), HYPERLINK("#",""), HYPERLINK(CONCATENATE("#Metadata!", ADDRESS(INDEX($AJ$2:$AJ$1001,MATCH(ROWS($AH$2:AH225),$AH$2:$AH$1001,0),0), INDEX($AO$1004:$BQ$1004,1,MATCH(COLUMNS($AO$1006:AR1006),$AO$1006:$BQ$1006,0)))),"Fix")))</f>
        <v>#N/A</v>
      </c>
      <c r="F225" s="5" t="e">
        <f ca="1">IF(OR(INDEX($AI$2:$AI$1001,MATCH(ROWS($AH$2:AH225),$AH$2:$AH$1001,0),1)&gt;=100000,INDEX($AO$1005:$BQ$1005,1,MATCH(COLUMNS($AO$1006:AS1006),$AO$1006:$BQ$1006,0))&gt;=100000), " ",IF(INDEX($AO$2:$BQ$1001,MATCH(ROWS($AH$2:AH225),$AH$2:$AH$1001,0),MATCH(COLUMNS($AO$1006:AS1006),$AO$1006:$BQ$1006,0)), HYPERLINK("#",""), HYPERLINK(CONCATENATE("#Metadata!", ADDRESS(INDEX($AJ$2:$AJ$1001,MATCH(ROWS($AH$2:AH225),$AH$2:$AH$1001,0),0), INDEX($AO$1004:$BQ$1004,1,MATCH(COLUMNS($AO$1006:AS1006),$AO$1006:$BQ$1006,0)))),"Fix")))</f>
        <v>#N/A</v>
      </c>
      <c r="G225" s="5" t="e">
        <f ca="1">IF(OR(INDEX($AI$2:$AI$1001,MATCH(ROWS($AH$2:AH225),$AH$2:$AH$1001,0),1)&gt;=100000,INDEX($AO$1005:$BQ$1005,1,MATCH(COLUMNS($AO$1006:AT1006),$AO$1006:$BQ$1006,0))&gt;=100000), " ",IF(INDEX($AO$2:$BQ$1001,MATCH(ROWS($AH$2:AH225),$AH$2:$AH$1001,0),MATCH(COLUMNS($AO$1006:AT1006),$AO$1006:$BQ$1006,0)), HYPERLINK("#",""), HYPERLINK(CONCATENATE("#Metadata!", ADDRESS(INDEX($AJ$2:$AJ$1001,MATCH(ROWS($AH$2:AH225),$AH$2:$AH$1001,0),0), INDEX($AO$1004:$BQ$1004,1,MATCH(COLUMNS($AO$1006:AT1006),$AO$1006:$BQ$1006,0)))),"Fix")))</f>
        <v>#N/A</v>
      </c>
      <c r="H225" s="5" t="e">
        <f ca="1">IF(OR(INDEX($AI$2:$AI$1001,MATCH(ROWS($AH$2:AH225),$AH$2:$AH$1001,0),1)&gt;=100000,INDEX($AO$1005:$BQ$1005,1,MATCH(COLUMNS($AO$1006:AU1006),$AO$1006:$BQ$1006,0))&gt;=100000), " ",IF(INDEX($AO$2:$BQ$1001,MATCH(ROWS($AH$2:AH225),$AH$2:$AH$1001,0),MATCH(COLUMNS($AO$1006:AU1006),$AO$1006:$BQ$1006,0)), HYPERLINK("#",""), HYPERLINK(CONCATENATE("#Metadata!", ADDRESS(INDEX($AJ$2:$AJ$1001,MATCH(ROWS($AH$2:AH225),$AH$2:$AH$1001,0),0), INDEX($AO$1004:$BQ$1004,1,MATCH(COLUMNS($AO$1006:AU1006),$AO$1006:$BQ$1006,0)))),"Fix")))</f>
        <v>#N/A</v>
      </c>
      <c r="I225" s="5" t="e">
        <f ca="1">IF(OR(INDEX($AI$2:$AI$1001,MATCH(ROWS($AH$2:AH225),$AH$2:$AH$1001,0),1)&gt;=100000,INDEX($AO$1005:$BQ$1005,1,MATCH(COLUMNS($AO$1006:AV1006),$AO$1006:$BQ$1006,0))&gt;=100000), " ",IF(INDEX($AO$2:$BQ$1001,MATCH(ROWS($AH$2:AH225),$AH$2:$AH$1001,0),MATCH(COLUMNS($AO$1006:AV1006),$AO$1006:$BQ$1006,0)), HYPERLINK("#",""), HYPERLINK(CONCATENATE("#Metadata!", ADDRESS(INDEX($AJ$2:$AJ$1001,MATCH(ROWS($AH$2:AH225),$AH$2:$AH$1001,0),0), INDEX($AO$1004:$BQ$1004,1,MATCH(COLUMNS($AO$1006:AV1006),$AO$1006:$BQ$1006,0)))),"Fix")))</f>
        <v>#N/A</v>
      </c>
      <c r="J225" s="5" t="e">
        <f ca="1">IF(OR(INDEX($AI$2:$AI$1001,MATCH(ROWS($AH$2:AH225),$AH$2:$AH$1001,0),1)&gt;=100000,INDEX($AO$1005:$BQ$1005,1,MATCH(COLUMNS($AO$1006:AW1006),$AO$1006:$BQ$1006,0))&gt;=100000), " ",IF(INDEX($AO$2:$BQ$1001,MATCH(ROWS($AH$2:AH225),$AH$2:$AH$1001,0),MATCH(COLUMNS($AO$1006:AW1006),$AO$1006:$BQ$1006,0)), HYPERLINK("#",""), HYPERLINK(CONCATENATE("#Metadata!", ADDRESS(INDEX($AJ$2:$AJ$1001,MATCH(ROWS($AH$2:AH225),$AH$2:$AH$1001,0),0), INDEX($AO$1004:$BQ$1004,1,MATCH(COLUMNS($AO$1006:AW1006),$AO$1006:$BQ$1006,0)))),"Fix")))</f>
        <v>#N/A</v>
      </c>
      <c r="K225" s="5" t="e">
        <f ca="1">IF(OR(INDEX($AI$2:$AI$1001,MATCH(ROWS($AH$2:AH225),$AH$2:$AH$1001,0),1)&gt;=100000,INDEX($AO$1005:$BQ$1005,1,MATCH(COLUMNS($AO$1006:AX1006),$AO$1006:$BQ$1006,0))&gt;=100000), " ",IF(INDEX($AO$2:$BQ$1001,MATCH(ROWS($AH$2:AH225),$AH$2:$AH$1001,0),MATCH(COLUMNS($AO$1006:AX1006),$AO$1006:$BQ$1006,0)), HYPERLINK("#",""), HYPERLINK(CONCATENATE("#Metadata!", ADDRESS(INDEX($AJ$2:$AJ$1001,MATCH(ROWS($AH$2:AH225),$AH$2:$AH$1001,0),0), INDEX($AO$1004:$BQ$1004,1,MATCH(COLUMNS($AO$1006:AX1006),$AO$1006:$BQ$1006,0)))),"Fix")))</f>
        <v>#N/A</v>
      </c>
      <c r="L225" s="5" t="e">
        <f ca="1">IF(OR(INDEX($AI$2:$AI$1001,MATCH(ROWS($AH$2:AH225),$AH$2:$AH$1001,0),1)&gt;=100000,INDEX($AO$1005:$BQ$1005,1,MATCH(COLUMNS($AO$1006:AY1006),$AO$1006:$BQ$1006,0))&gt;=100000), " ",IF(INDEX($AO$2:$BQ$1001,MATCH(ROWS($AH$2:AH225),$AH$2:$AH$1001,0),MATCH(COLUMNS($AO$1006:AY1006),$AO$1006:$BQ$1006,0)), HYPERLINK("#",""), HYPERLINK(CONCATENATE("#Metadata!", ADDRESS(INDEX($AJ$2:$AJ$1001,MATCH(ROWS($AH$2:AH225),$AH$2:$AH$1001,0),0), INDEX($AO$1004:$BQ$1004,1,MATCH(COLUMNS($AO$1006:AY1006),$AO$1006:$BQ$1006,0)))),"Fix")))</f>
        <v>#N/A</v>
      </c>
      <c r="M225" s="5" t="e">
        <f ca="1">IF(OR(INDEX($AI$2:$AI$1001,MATCH(ROWS($AH$2:AH225),$AH$2:$AH$1001,0),1)&gt;=100000,INDEX($AO$1005:$BQ$1005,1,MATCH(COLUMNS($AO$1006:AZ1006),$AO$1006:$BQ$1006,0))&gt;=100000), " ",IF(INDEX($AO$2:$BQ$1001,MATCH(ROWS($AH$2:AH225),$AH$2:$AH$1001,0),MATCH(COLUMNS($AO$1006:AZ1006),$AO$1006:$BQ$1006,0)), HYPERLINK("#",""), HYPERLINK(CONCATENATE("#Metadata!", ADDRESS(INDEX($AJ$2:$AJ$1001,MATCH(ROWS($AH$2:AH225),$AH$2:$AH$1001,0),0), INDEX($AO$1004:$BQ$1004,1,MATCH(COLUMNS($AO$1006:AZ1006),$AO$1006:$BQ$1006,0)))),"Fix")))</f>
        <v>#N/A</v>
      </c>
      <c r="N225" s="5" t="e">
        <f ca="1">IF(OR(INDEX($AI$2:$AI$1001,MATCH(ROWS($AH$2:AH225),$AH$2:$AH$1001,0),1)&gt;=100000,INDEX($AO$1005:$BQ$1005,1,MATCH(COLUMNS($AO$1006:BA1006),$AO$1006:$BQ$1006,0))&gt;=100000), " ",IF(INDEX($AO$2:$BQ$1001,MATCH(ROWS($AH$2:AH225),$AH$2:$AH$1001,0),MATCH(COLUMNS($AO$1006:BA1006),$AO$1006:$BQ$1006,0)), HYPERLINK("#",""), HYPERLINK(CONCATENATE("#Metadata!", ADDRESS(INDEX($AJ$2:$AJ$1001,MATCH(ROWS($AH$2:AH225),$AH$2:$AH$1001,0),0), INDEX($AO$1004:$BQ$1004,1,MATCH(COLUMNS($AO$1006:BA1006),$AO$1006:$BQ$1006,0)))),"Fix")))</f>
        <v>#N/A</v>
      </c>
      <c r="O225" s="5" t="e">
        <f ca="1">IF(OR(INDEX($AI$2:$AI$1001,MATCH(ROWS($AH$2:AH225),$AH$2:$AH$1001,0),1)&gt;=100000,INDEX($AO$1005:$BQ$1005,1,MATCH(COLUMNS($AO$1006:BB1006),$AO$1006:$BQ$1006,0))&gt;=100000), " ",IF(INDEX($AO$2:$BQ$1001,MATCH(ROWS($AH$2:AH225),$AH$2:$AH$1001,0),MATCH(COLUMNS($AO$1006:BB1006),$AO$1006:$BQ$1006,0)), HYPERLINK("#",""), HYPERLINK(CONCATENATE("#Metadata!", ADDRESS(INDEX($AJ$2:$AJ$1001,MATCH(ROWS($AH$2:AH225),$AH$2:$AH$1001,0),0), INDEX($AO$1004:$BQ$1004,1,MATCH(COLUMNS($AO$1006:BB1006),$AO$1006:$BQ$1006,0)))),"Fix")))</f>
        <v>#N/A</v>
      </c>
      <c r="P225" s="5" t="e">
        <f ca="1">IF(OR(INDEX($AI$2:$AI$1001,MATCH(ROWS($AH$2:AH225),$AH$2:$AH$1001,0),1)&gt;=100000,INDEX($AO$1005:$BQ$1005,1,MATCH(COLUMNS($AO$1006:BC1006),$AO$1006:$BQ$1006,0))&gt;=100000), " ",IF(INDEX($AO$2:$BQ$1001,MATCH(ROWS($AH$2:AH225),$AH$2:$AH$1001,0),MATCH(COLUMNS($AO$1006:BC1006),$AO$1006:$BQ$1006,0)), HYPERLINK("#",""), HYPERLINK(CONCATENATE("#Metadata!", ADDRESS(INDEX($AJ$2:$AJ$1001,MATCH(ROWS($AH$2:AH225),$AH$2:$AH$1001,0),0), INDEX($AO$1004:$BQ$1004,1,MATCH(COLUMNS($AO$1006:BC1006),$AO$1006:$BQ$1006,0)))),"Fix")))</f>
        <v>#N/A</v>
      </c>
      <c r="Q225" s="5" t="e">
        <f ca="1">IF(OR(INDEX($AI$2:$AI$1001,MATCH(ROWS($AH$2:AH225),$AH$2:$AH$1001,0),1)&gt;=100000,INDEX($AO$1005:$BQ$1005,1,MATCH(COLUMNS($AO$1006:BD1006),$AO$1006:$BQ$1006,0))&gt;=100000), " ",IF(INDEX($AO$2:$BQ$1001,MATCH(ROWS($AH$2:AH225),$AH$2:$AH$1001,0),MATCH(COLUMNS($AO$1006:BD1006),$AO$1006:$BQ$1006,0)), HYPERLINK("#",""), HYPERLINK(CONCATENATE("#Metadata!", ADDRESS(INDEX($AJ$2:$AJ$1001,MATCH(ROWS($AH$2:AH225),$AH$2:$AH$1001,0),0), INDEX($AO$1004:$BQ$1004,1,MATCH(COLUMNS($AO$1006:BD1006),$AO$1006:$BQ$1006,0)))),"Fix")))</f>
        <v>#N/A</v>
      </c>
      <c r="R225" s="5" t="e">
        <f ca="1">IF(OR(INDEX($AI$2:$AI$1001,MATCH(ROWS($AH$2:AH225),$AH$2:$AH$1001,0),1)&gt;=100000,INDEX($AO$1005:$BQ$1005,1,MATCH(COLUMNS($AO$1006:BE1006),$AO$1006:$BQ$1006,0))&gt;=100000), " ",IF(INDEX($AO$2:$BQ$1001,MATCH(ROWS($AH$2:AH225),$AH$2:$AH$1001,0),MATCH(COLUMNS($AO$1006:BE1006),$AO$1006:$BQ$1006,0)), HYPERLINK("#",""), HYPERLINK(CONCATENATE("#Metadata!", ADDRESS(INDEX($AJ$2:$AJ$1001,MATCH(ROWS($AH$2:AH225),$AH$2:$AH$1001,0),0), INDEX($AO$1004:$BQ$1004,1,MATCH(COLUMNS($AO$1006:BE1006),$AO$1006:$BQ$1006,0)))),"Fix")))</f>
        <v>#N/A</v>
      </c>
      <c r="S225" s="5" t="e">
        <f ca="1">IF(OR(INDEX($AI$2:$AI$1001,MATCH(ROWS($AH$2:AH225),$AH$2:$AH$1001,0),1)&gt;=100000,INDEX($AO$1005:$BQ$1005,1,MATCH(COLUMNS($AO$1006:BF1006),$AO$1006:$BQ$1006,0))&gt;=100000), " ",IF(INDEX($AO$2:$BQ$1001,MATCH(ROWS($AH$2:AH225),$AH$2:$AH$1001,0),MATCH(COLUMNS($AO$1006:BF1006),$AO$1006:$BQ$1006,0)), HYPERLINK("#",""), HYPERLINK(CONCATENATE("#Metadata!", ADDRESS(INDEX($AJ$2:$AJ$1001,MATCH(ROWS($AH$2:AH225),$AH$2:$AH$1001,0),0), INDEX($AO$1004:$BQ$1004,1,MATCH(COLUMNS($AO$1006:BF1006),$AO$1006:$BQ$1006,0)))),"Fix")))</f>
        <v>#N/A</v>
      </c>
      <c r="T225" s="5" t="e">
        <f ca="1">IF(OR(INDEX($AI$2:$AI$1001,MATCH(ROWS($AH$2:AH225),$AH$2:$AH$1001,0),1)&gt;=100000,INDEX($AO$1005:$BQ$1005,1,MATCH(COLUMNS($AO$1006:BG1006),$AO$1006:$BQ$1006,0))&gt;=100000), " ",IF(INDEX($AO$2:$BQ$1001,MATCH(ROWS($AH$2:AH225),$AH$2:$AH$1001,0),MATCH(COLUMNS($AO$1006:BG1006),$AO$1006:$BQ$1006,0)), HYPERLINK("#",""), HYPERLINK(CONCATENATE("#Metadata!", ADDRESS(INDEX($AJ$2:$AJ$1001,MATCH(ROWS($AH$2:AH225),$AH$2:$AH$1001,0),0), INDEX($AO$1004:$BQ$1004,1,MATCH(COLUMNS($AO$1006:BG1006),$AO$1006:$BQ$1006,0)))),"Fix")))</f>
        <v>#N/A</v>
      </c>
      <c r="U225" s="5" t="e">
        <f ca="1">IF(OR(INDEX($AI$2:$AI$1001,MATCH(ROWS($AH$2:AH225),$AH$2:$AH$1001,0),1)&gt;=100000,INDEX($AO$1005:$BQ$1005,1,MATCH(COLUMNS($AO$1006:BH1006),$AO$1006:$BQ$1006,0))&gt;=100000), " ",IF(INDEX($AO$2:$BQ$1001,MATCH(ROWS($AH$2:AH225),$AH$2:$AH$1001,0),MATCH(COLUMNS($AO$1006:BH1006),$AO$1006:$BQ$1006,0)), HYPERLINK("#",""), HYPERLINK(CONCATENATE("#Metadata!", ADDRESS(INDEX($AJ$2:$AJ$1001,MATCH(ROWS($AH$2:AH225),$AH$2:$AH$1001,0),0), INDEX($AO$1004:$BQ$1004,1,MATCH(COLUMNS($AO$1006:BH1006),$AO$1006:$BQ$1006,0)))),"Fix")))</f>
        <v>#N/A</v>
      </c>
      <c r="V225" s="5" t="e">
        <f ca="1">IF(OR(INDEX($AI$2:$AI$1001,MATCH(ROWS($AH$2:AH225),$AH$2:$AH$1001,0),1)&gt;=100000,INDEX($AO$1005:$BQ$1005,1,MATCH(COLUMNS($AO$1006:BI1006),$AO$1006:$BQ$1006,0))&gt;=100000), " ",IF(INDEX($AO$2:$BQ$1001,MATCH(ROWS($AH$2:AH225),$AH$2:$AH$1001,0),MATCH(COLUMNS($AO$1006:BI1006),$AO$1006:$BQ$1006,0)), HYPERLINK("#",""), HYPERLINK(CONCATENATE("#Metadata!", ADDRESS(INDEX($AJ$2:$AJ$1001,MATCH(ROWS($AH$2:AH225),$AH$2:$AH$1001,0),0), INDEX($AO$1004:$BQ$1004,1,MATCH(COLUMNS($AO$1006:BI1006),$AO$1006:$BQ$1006,0)))),"Fix")))</f>
        <v>#N/A</v>
      </c>
      <c r="W225" s="5" t="e">
        <f ca="1">IF(OR(INDEX($AI$2:$AI$1001,MATCH(ROWS($AH$2:AH225),$AH$2:$AH$1001,0),1)&gt;=100000,INDEX($AO$1005:$BQ$1005,1,MATCH(COLUMNS($AO$1006:BJ1006),$AO$1006:$BQ$1006,0))&gt;=100000), " ",IF(INDEX($AO$2:$BQ$1001,MATCH(ROWS($AH$2:AH225),$AH$2:$AH$1001,0),MATCH(COLUMNS($AO$1006:BJ1006),$AO$1006:$BQ$1006,0)), HYPERLINK("#",""), HYPERLINK(CONCATENATE("#Metadata!", ADDRESS(INDEX($AJ$2:$AJ$1001,MATCH(ROWS($AH$2:AH225),$AH$2:$AH$1001,0),0), INDEX($AO$1004:$BQ$1004,1,MATCH(COLUMNS($AO$1006:BJ1006),$AO$1006:$BQ$1006,0)))),"Fix")))</f>
        <v>#N/A</v>
      </c>
      <c r="X225" s="5" t="e">
        <f ca="1">IF(OR(INDEX($AI$2:$AI$1001,MATCH(ROWS($AH$2:AH225),$AH$2:$AH$1001,0),1)&gt;=100000,INDEX($AO$1005:$BQ$1005,1,MATCH(COLUMNS($AO$1006:BK1006),$AO$1006:$BQ$1006,0))&gt;=100000), " ",IF(INDEX($AO$2:$BQ$1001,MATCH(ROWS($AH$2:AH225),$AH$2:$AH$1001,0),MATCH(COLUMNS($AO$1006:BK1006),$AO$1006:$BQ$1006,0)), HYPERLINK("#",""), HYPERLINK(CONCATENATE("#Metadata!", ADDRESS(INDEX($AJ$2:$AJ$1001,MATCH(ROWS($AH$2:AH225),$AH$2:$AH$1001,0),0), INDEX($AO$1004:$BQ$1004,1,MATCH(COLUMNS($AO$1006:BK1006),$AO$1006:$BQ$1006,0)))),"Fix")))</f>
        <v>#N/A</v>
      </c>
      <c r="Y225" s="5" t="e">
        <f ca="1">IF(OR(INDEX($AI$2:$AI$1001,MATCH(ROWS($AH$2:AH225),$AH$2:$AH$1001,0),1)&gt;=100000,INDEX($AO$1005:$BQ$1005,1,MATCH(COLUMNS($AO$1006:BL1006),$AO$1006:$BQ$1006,0))&gt;=100000), " ",IF(INDEX($AO$2:$BQ$1001,MATCH(ROWS($AH$2:AH225),$AH$2:$AH$1001,0),MATCH(COLUMNS($AO$1006:BL1006),$AO$1006:$BQ$1006,0)), HYPERLINK("#",""), HYPERLINK(CONCATENATE("#Metadata!", ADDRESS(INDEX($AJ$2:$AJ$1001,MATCH(ROWS($AH$2:AH225),$AH$2:$AH$1001,0),0), INDEX($AO$1004:$BQ$1004,1,MATCH(COLUMNS($AO$1006:BL1006),$AO$1006:$BQ$1006,0)))),"Fix")))</f>
        <v>#N/A</v>
      </c>
      <c r="Z225" s="5" t="e">
        <f ca="1">IF(OR(INDEX($AI$2:$AI$1001,MATCH(ROWS($AH$2:AH225),$AH$2:$AH$1001,0),1)&gt;=100000,INDEX($AO$1005:$BQ$1005,1,MATCH(COLUMNS($AO$1006:BM1006),$AO$1006:$BQ$1006,0))&gt;=100000), " ",IF(INDEX($AO$2:$BQ$1001,MATCH(ROWS($AH$2:AH225),$AH$2:$AH$1001,0),MATCH(COLUMNS($AO$1006:BM1006),$AO$1006:$BQ$1006,0)), HYPERLINK("#",""), HYPERLINK(CONCATENATE("#Metadata!", ADDRESS(INDEX($AJ$2:$AJ$1001,MATCH(ROWS($AH$2:AH225),$AH$2:$AH$1001,0),0), INDEX($AO$1004:$BQ$1004,1,MATCH(COLUMNS($AO$1006:BM1006),$AO$1006:$BQ$1006,0)))),"Fix")))</f>
        <v>#N/A</v>
      </c>
      <c r="AA225" s="5" t="e">
        <f ca="1">IF(OR(INDEX($AI$2:$AI$1001,MATCH(ROWS($AH$2:AH225),$AH$2:$AH$1001,0),1)&gt;=100000,INDEX($AO$1005:$BQ$1005,1,MATCH(COLUMNS($AO$1006:BN1006),$AO$1006:$BQ$1006,0))&gt;=100000), " ",IF(INDEX($AO$2:$BQ$1001,MATCH(ROWS($AH$2:AH225),$AH$2:$AH$1001,0),MATCH(COLUMNS($AO$1006:BN1006),$AO$1006:$BQ$1006,0)), HYPERLINK("#",""), HYPERLINK(CONCATENATE("#Metadata!", ADDRESS(INDEX($AJ$2:$AJ$1001,MATCH(ROWS($AH$2:AH225),$AH$2:$AH$1001,0),0), INDEX($AO$1004:$BQ$1004,1,MATCH(COLUMNS($AO$1006:BN1006),$AO$1006:$BQ$1006,0)))),"Fix")))</f>
        <v>#N/A</v>
      </c>
      <c r="AB225" s="5" t="e">
        <f ca="1">IF(OR(INDEX($AI$2:$AI$1001,MATCH(ROWS($AH$2:AH225),$AH$2:$AH$1001,0),1)&gt;=100000,INDEX($AO$1005:$BQ$1005,1,MATCH(COLUMNS($AO$1006:BO1006),$AO$1006:$BQ$1006,0))&gt;=100000), " ",IF(INDEX($AO$2:$BQ$1001,MATCH(ROWS($AH$2:AH225),$AH$2:$AH$1001,0),MATCH(COLUMNS($AO$1006:BO1006),$AO$1006:$BQ$1006,0)), HYPERLINK("#",""), HYPERLINK(CONCATENATE("#Metadata!", ADDRESS(INDEX($AJ$2:$AJ$1001,MATCH(ROWS($AH$2:AH225),$AH$2:$AH$1001,0),0), INDEX($AO$1004:$BQ$1004,1,MATCH(COLUMNS($AO$1006:BO1006),$AO$1006:$BQ$1006,0)))),"Fix")))</f>
        <v>#N/A</v>
      </c>
      <c r="AC225" s="5" t="e">
        <f ca="1">IF(OR(INDEX($AI$2:$AI$1001,MATCH(ROWS($AH$2:AH225),$AH$2:$AH$1001,0),1)&gt;=100000,INDEX($AO$1005:$BQ$1005,1,MATCH(COLUMNS($AO$1006:BP1006),$AO$1006:$BQ$1006,0))&gt;=100000), " ",IF(INDEX($AO$2:$BQ$1001,MATCH(ROWS($AH$2:AH225),$AH$2:$AH$1001,0),MATCH(COLUMNS($AO$1006:BP1006),$AO$1006:$BQ$1006,0)), HYPERLINK("#",""), HYPERLINK(CONCATENATE("#Metadata!", ADDRESS(INDEX($AJ$2:$AJ$1001,MATCH(ROWS($AH$2:AH225),$AH$2:$AH$1001,0),0), INDEX($AO$1004:$BQ$1004,1,MATCH(COLUMNS($AO$1006:BP1006),$AO$1006:$BQ$1006,0)))),"Fix")))</f>
        <v>#N/A</v>
      </c>
      <c r="AD225" s="5" t="e">
        <f ca="1">IF(OR(INDEX($AI$2:$AI$1001,MATCH(ROWS($AH$2:AH225),$AH$2:$AH$1001,0),1)&gt;=100000,INDEX($AO$1005:$BQ$1005,1,MATCH(COLUMNS($AO$1006:BQ1006),$AO$1006:$BQ$1006,0))&gt;=100000), " ",IF(INDEX($AO$2:$BQ$1001,MATCH(ROWS($AH$2:AH225),$AH$2:$AH$1001,0),MATCH(COLUMNS($AO$1006:BQ1006),$AO$1006:$BQ$1006,0)), HYPERLINK("#",""), HYPERLINK(CONCATENATE("#Metadata!", ADDRESS(INDEX($AJ$2:$AJ$1001,MATCH(ROWS($AH$2:AH225),$AH$2:$AH$1001,0),0), INDEX($AO$1004:$BQ$1004,1,MATCH(COLUMNS($AO$1006:BQ1006),$AO$1006:$BQ$1006,0)))),"Fix")))</f>
        <v>#REF!</v>
      </c>
      <c r="AH225">
        <f ca="1"/>
        <v>222</v>
      </c>
      <c r="AI225">
        <v>100225</v>
      </c>
      <c r="AJ225">
        <v>225</v>
      </c>
      <c r="AK225" t="b">
        <f t="shared" si="3"/>
        <v>1</v>
      </c>
      <c r="AL225" t="b">
        <f>COUNTBLANK(Metadata!B225:AD225)=COLUMNS(Metadata!B225:AD225)</f>
        <v>1</v>
      </c>
      <c r="AM225" t="str">
        <v/>
      </c>
      <c r="AO225" t="b">
        <f ca="1">AND(IF(Metadata!B225="",FALSE,TRUE),COUNTIF(Metadata!B:B, Metadata!B225) = 1,NOT(ISERROR(SUMPRODUCT(SEARCH(MID(Metadata!B225,ROW(INDIRECT("1:"&amp;LEN(Metadata!B225))), 1),"0123456789abcdefghijklmnopqrstuvwxyzABCDEFGHIJKLMNOPQRSTUVWXYZ.")))))</f>
        <v>0</v>
      </c>
      <c r="AP225" t="b">
        <f>IF(Metadata!C225="",FALSE,TRUE)</f>
        <v>0</v>
      </c>
      <c r="AQ225" t="b">
        <f>IF(Metadata!D225="",FALSE,TRUE)</f>
        <v>0</v>
      </c>
      <c r="AR225" t="b">
        <f ca="1">OR(AND(IF(Metadata!E225="",FALSE,TRUE),OR(EXACT(Metadata!E225,"not collected"),EXACT(Metadata!E225,"not provided"),EXACT(Metadata!E225,"restricted access"))),AND(IF(Metadata!E225="",FALSE,TRUE),AND(AND(IFERROR(INT(LEFT(Metadata!E225,4))&gt;1900,FALSE),IFERROR(INT(LEFT(Metadata!E225,4))&lt;=YEAR(NOW()),FALSE)), OR(MID(Metadata!E225,5,1)="", AND(AND(MID(Metadata!E225,5,1)="-",IFERROR(INT(MID(Metadata!E225,6,1))&gt;=0,FALSE),IFERROR(INT(MID(Metadata!E225,6,1))&lt;=1,FALSE),NOT(MID(Metadata!E225,7,1)=""),IFERROR(INT(MID(Metadata!E225,6,2))&gt;=1,FALSE),IFERROR(INT(MID(Metadata!E225,6,2))&lt;=12,FALSE)), OR(MID(Metadata!E225,8,1)="", AND(AND(MID(Metadata!E225,8,1)="-",IFERROR(INT(MID(Metadata!E225,9,1))&gt;=0,FALSE),IFERROR(INT(MID(Metadata!E225,9,1))&lt;=3,FALSE),NOT(MID(Metadata!E225,10,1)=""),IFERROR(INT(MID(Metadata!E225,9,2))&gt;=1,FALSE),IFERROR(INT(MID(Metadata!E225,9,2))&lt;=31,FALSE)), OR(MID(Metadata!E225,11,1)="", AND(AND(MID(Metadata!E225,11,1)=" ",IFERROR(INT(MID(Metadata!E225,12,1))&gt;=0,FALSE),IFERROR(INT(MID(Metadata!E225,12,1))&lt;=2,FALSE),NOT(MID(Metadata!E225,13,1)=""),IFERROR(INT(MID(Metadata!E225,12,2))&gt;=0,FALSE),IFERROR(INT(MID(Metadata!E225,12,2))&lt;=23,FALSE)), OR(MID(Metadata!E225,14,1)="", AND(AND(MID(Metadata!E225,14,1)=":",IFERROR(INT(MID(Metadata!E225,15,1))&gt;=0,FALSE),IFERROR(INT(MID(Metadata!E225,15,1))&lt;=5,FALSE),NOT(MID(Metadata!E225,16,1)=""),IFERROR(INT(MID(Metadata!E225,15,2))&gt;=0,FALSE),IFERROR(INT(MID(Metadata!E225,15,2))&lt;=59,FALSE)), OR(MID(Metadata!E225,17,1)="", AND(AND(MID(Metadata!E225,17,1)=":",IFERROR(INT(MID(Metadata!E225,18,1))&gt;=0,FALSE),IFERROR(INT(MID(Metadata!E225,18,1))&lt;=5,FALSE),NOT(MID(Metadata!E225,19,1)=""),IFERROR(INT(MID(Metadata!E225,18,2))&gt;=0,FALSE),IFERROR(INT(MID(Metadata!E225,18,2))&lt;=59,FALSE)), LEN(Metadata!E225)&lt;=19)))))))))))))</f>
        <v>0</v>
      </c>
      <c r="AS225" t="b">
        <f>IF(Metadata!F225="",FALSE,TRUE)</f>
        <v>0</v>
      </c>
      <c r="AT225" t="b">
        <f>OR(AND(IF(Metadata!G225="",FALSE,TRUE),OR(EXACT(Metadata!G225,"not collected"),EXACT(Metadata!G225,"not provided"))),AND(IF(Metadata!G225="",FALSE,TRUE),OR(EXACT(Metadata!G225,"TRUE"),EXACT(Metadata!G225,"FALSE"))))</f>
        <v>0</v>
      </c>
      <c r="AU225" t="b">
        <f>OR(AND(IF(Metadata!H225="",FALSE,TRUE),OR(EXACT(Metadata!H225,"not collected"),EXACT(Metadata!H225,"not provided"),EXACT(Metadata!H225,"restricted access"))),AND(IF(Metadata!H225="",FALSE,ISNUMBER(VALUE(Metadata!H225))),Metadata!H225&gt;=-413))</f>
        <v>0</v>
      </c>
      <c r="AV225" t="b">
        <f>AND(IF(Metadata!I225="",FALSE,TRUE),EXACT(Metadata!I225,"meters"))</f>
        <v>0</v>
      </c>
      <c r="AW225" t="b">
        <f>AND(IF(Metadata!J225="",FALSE,TRUE),EXACT(Metadata!J225,"free-living"))</f>
        <v>0</v>
      </c>
      <c r="AX225" t="b">
        <f>AND(IF(Metadata!K225="",FALSE,TRUE),OR(EXACT(Metadata!K225,"saline"),EXACT(Metadata!K225,"non-saline")))</f>
        <v>0</v>
      </c>
      <c r="AY225" t="b">
        <f>AND(IF(Metadata!L225="",FALSE,TRUE),OR(EXACT(Metadata!L225,"sub-surface (non-saline)"),EXACT(Metadata!L225,"surface (non-saline)"),EXACT(Metadata!L225,"water (non-saline)"),EXACT(Metadata!L225,"soil (non-saline)"),EXACT(Metadata!L225,"aerosol (non-saline)"),EXACT(Metadata!L225,"sediment (non-saline)"),EXACT(Metadata!L225,"surface (saline)"),EXACT(Metadata!L225,"water (saline)"),EXACT(Metadata!L225,"hypersaline (saline)"),EXACT(Metadata!L225,"aerosol (saline)"),EXACT(Metadata!L225,"sediment (saline)")))</f>
        <v>0</v>
      </c>
      <c r="AZ225" t="b">
        <f>IF(Metadata!M225="",FALSE,TRUE)</f>
        <v>0</v>
      </c>
      <c r="BA225" t="b">
        <f>IF(Metadata!N225="",FALSE,TRUE)</f>
        <v>0</v>
      </c>
      <c r="BB225" t="b">
        <f>IF(Metadata!O225="",FALSE,TRUE)</f>
        <v>0</v>
      </c>
      <c r="BC225" t="b">
        <f>AND(IF(Metadata!P225="",FALSE,TRUE),OR(EXACT(Metadata!P225,"air"),EXACT(Metadata!P225,"microbial mat/biofilm"),EXACT(Metadata!P225,"misc environment"),EXACT(Metadata!P225,"sediment"),EXACT(Metadata!P225,"soil"),EXACT(Metadata!P225,"wastewater/sludge"),EXACT(Metadata!P225,"water")))</f>
        <v>0</v>
      </c>
      <c r="BD225" t="b">
        <f>IF(Metadata!Q225="",FALSE,TRUE)</f>
        <v>0</v>
      </c>
      <c r="BE225" t="b">
        <f>IF(Metadata!R225="",FALSE,TRUE)</f>
        <v>0</v>
      </c>
      <c r="BF225" t="b">
        <f>OR(AND(IF(Metadata!S225="",FALSE,TRUE),OR(EXACT(Metadata!S225,"not collected"),EXACT(Metadata!S225,"not provided"),EXACT(Metadata!S225,"restricted access"))),AND(IF(Metadata!S225="",FALSE,ISNUMBER(VALUE(Metadata!S225))),Metadata!S225&gt;=-90,Metadata!S225&lt;=90))</f>
        <v>0</v>
      </c>
      <c r="BG225" t="b">
        <f>AND(IF(Metadata!T225="",FALSE,TRUE),EXACT(Metadata!T225,"Decimal degrees"))</f>
        <v>0</v>
      </c>
      <c r="BH225" t="b">
        <f>OR(AND(IF(Metadata!U225="",FALSE,TRUE),OR(EXACT(Metadata!U225,"not applicable"),EXACT(Metadata!U225,"not collected"))),IF(Metadata!U225="",FALSE,TRUE))</f>
        <v>0</v>
      </c>
      <c r="BI225" t="b">
        <f>OR(AND(IF(Metadata!V225="",FALSE,TRUE),OR(EXACT(Metadata!V225,"not collected"),EXACT(Metadata!V225,"not provided"),EXACT(Metadata!V225,"restricted access"))),AND(IF(Metadata!V225="",FALSE,ISNUMBER(VALUE(Metadata!V225))),Metadata!V225&gt;=-180,Metadata!V225&lt;=180))</f>
        <v>0</v>
      </c>
      <c r="BJ225" t="b">
        <f>AND(IF(Metadata!W225="",FALSE,TRUE),EXACT(Metadata!W225,"Decimal degrees"))</f>
        <v>0</v>
      </c>
      <c r="BK225" t="b">
        <f>IF(Metadata!X225="",FALSE,TRUE)</f>
        <v>0</v>
      </c>
      <c r="BL225" t="b">
        <f>OR(AND(IF(Metadata!Y225="",FALSE,TRUE),OR(EXACT(Metadata!Y225,"not collected"),EXACT(Metadata!Y225,"not provided"),EXACT(Metadata!Y225,"restricted access"))),AND(IF(Metadata!Y225="",FALSE,TRUE),OR(EXACT(Metadata!Y225,"TRUE"),EXACT(Metadata!Y225,"FALSE"))))</f>
        <v>0</v>
      </c>
      <c r="BM225" t="b">
        <f>OR(AND(IF(Metadata!Z225="",FALSE,TRUE),EXACT(Metadata!Z225,"not applicable")),AND(IF(Metadata!Z225="",FALSE,TRUE),OR(EXACT(Metadata!Z225,"beer"),EXACT(Metadata!Z225,"cheese"),EXACT(Metadata!Z225,"fresh water"),EXACT(Metadata!Z225,"marine sediment"),EXACT(Metadata!Z225,"sea water"),EXACT(Metadata!Z225,"sediment"),EXACT(Metadata!Z225,"soil"),EXACT(Metadata!Z225,"waste water"))))</f>
        <v>0</v>
      </c>
      <c r="BN225" t="b">
        <f>AND(IF(Metadata!AA225="",FALSE,TRUE),EXACT(Metadata!AA225,"metagenome"))</f>
        <v>0</v>
      </c>
      <c r="BO225" t="b">
        <f>AND(IF(Metadata!AB225="",FALSE,TRUE),EXACT(Metadata!AB225,"256318"))</f>
        <v>0</v>
      </c>
      <c r="BP225" t="b">
        <f>IF(Metadata!AC225="",FALSE,TRUE)</f>
        <v>0</v>
      </c>
      <c r="BQ225" t="b">
        <f>IF(Metadata!AD225="",FALSE,TRUE)</f>
        <v>0</v>
      </c>
    </row>
    <row r="226" spans="1:69" x14ac:dyDescent="0.2">
      <c r="A226" s="4" t="e">
        <f ca="1">IF(B226=" "," ",HYPERLINK(CONCATENATE("#metadata!",ADDRESS(INDEX($AJ$2:$AJ$1001,MATCH(ROWS($AH$2:AH226),$AH$2:$AH$1001,0),0),2)),INDEX($AM$2:$AM$1001,MATCH(ROWS($AH$2:AH226),$AH$2:$AH$1001,0),0)))</f>
        <v>#N/A</v>
      </c>
      <c r="B226" s="5" t="e">
        <f ca="1">IF(OR(INDEX($AI$2:$AI$1001,MATCH(ROWS($AH$2:AH226),$AH$2:$AH$1001,0),1)&gt;=100000,INDEX($AO$1005:$BQ$1005,1,MATCH(COLUMNS($AO$1006:AO1006),$AO$1006:$BQ$1006,0))&gt;=100000), " ",IF(INDEX($AO$2:$BQ$1001,MATCH(ROWS($AH$2:AH226),$AH$2:$AH$1001,0),MATCH(COLUMNS($AO$1006:AO1006),$AO$1006:$BQ$1006,0)), HYPERLINK("#",""), HYPERLINK(CONCATENATE("#Metadata!", ADDRESS(INDEX($AJ$2:$AJ$1001,MATCH(ROWS($AH$2:AH226),$AH$2:$AH$1001,0),0), INDEX($AO$1004:$BQ$1004,1,MATCH(COLUMNS($AO$1006:AO1006),$AO$1006:$BQ$1006,0)))),"Fix")))</f>
        <v>#N/A</v>
      </c>
      <c r="C226" s="5" t="e">
        <f ca="1">IF(OR(INDEX($AI$2:$AI$1001,MATCH(ROWS($AH$2:AH226),$AH$2:$AH$1001,0),1)&gt;=100000,INDEX($AO$1005:$BQ$1005,1,MATCH(COLUMNS($AO$1006:AP1006),$AO$1006:$BQ$1006,0))&gt;=100000), " ",IF(INDEX($AO$2:$BQ$1001,MATCH(ROWS($AH$2:AH226),$AH$2:$AH$1001,0),MATCH(COLUMNS($AO$1006:AP1006),$AO$1006:$BQ$1006,0)), HYPERLINK("#",""), HYPERLINK(CONCATENATE("#Metadata!", ADDRESS(INDEX($AJ$2:$AJ$1001,MATCH(ROWS($AH$2:AH226),$AH$2:$AH$1001,0),0), INDEX($AO$1004:$BQ$1004,1,MATCH(COLUMNS($AO$1006:AP1006),$AO$1006:$BQ$1006,0)))),"Fix")))</f>
        <v>#N/A</v>
      </c>
      <c r="D226" s="5" t="e">
        <f ca="1">IF(OR(INDEX($AI$2:$AI$1001,MATCH(ROWS($AH$2:AH226),$AH$2:$AH$1001,0),1)&gt;=100000,INDEX($AO$1005:$BQ$1005,1,MATCH(COLUMNS($AO$1006:AQ1006),$AO$1006:$BQ$1006,0))&gt;=100000), " ",IF(INDEX($AO$2:$BQ$1001,MATCH(ROWS($AH$2:AH226),$AH$2:$AH$1001,0),MATCH(COLUMNS($AO$1006:AQ1006),$AO$1006:$BQ$1006,0)), HYPERLINK("#",""), HYPERLINK(CONCATENATE("#Metadata!", ADDRESS(INDEX($AJ$2:$AJ$1001,MATCH(ROWS($AH$2:AH226),$AH$2:$AH$1001,0),0), INDEX($AO$1004:$BQ$1004,1,MATCH(COLUMNS($AO$1006:AQ1006),$AO$1006:$BQ$1006,0)))),"Fix")))</f>
        <v>#N/A</v>
      </c>
      <c r="E226" s="5" t="e">
        <f ca="1">IF(OR(INDEX($AI$2:$AI$1001,MATCH(ROWS($AH$2:AH226),$AH$2:$AH$1001,0),1)&gt;=100000,INDEX($AO$1005:$BQ$1005,1,MATCH(COLUMNS($AO$1006:AR1006),$AO$1006:$BQ$1006,0))&gt;=100000), " ",IF(INDEX($AO$2:$BQ$1001,MATCH(ROWS($AH$2:AH226),$AH$2:$AH$1001,0),MATCH(COLUMNS($AO$1006:AR1006),$AO$1006:$BQ$1006,0)), HYPERLINK("#",""), HYPERLINK(CONCATENATE("#Metadata!", ADDRESS(INDEX($AJ$2:$AJ$1001,MATCH(ROWS($AH$2:AH226),$AH$2:$AH$1001,0),0), INDEX($AO$1004:$BQ$1004,1,MATCH(COLUMNS($AO$1006:AR1006),$AO$1006:$BQ$1006,0)))),"Fix")))</f>
        <v>#N/A</v>
      </c>
      <c r="F226" s="5" t="e">
        <f ca="1">IF(OR(INDEX($AI$2:$AI$1001,MATCH(ROWS($AH$2:AH226),$AH$2:$AH$1001,0),1)&gt;=100000,INDEX($AO$1005:$BQ$1005,1,MATCH(COLUMNS($AO$1006:AS1006),$AO$1006:$BQ$1006,0))&gt;=100000), " ",IF(INDEX($AO$2:$BQ$1001,MATCH(ROWS($AH$2:AH226),$AH$2:$AH$1001,0),MATCH(COLUMNS($AO$1006:AS1006),$AO$1006:$BQ$1006,0)), HYPERLINK("#",""), HYPERLINK(CONCATENATE("#Metadata!", ADDRESS(INDEX($AJ$2:$AJ$1001,MATCH(ROWS($AH$2:AH226),$AH$2:$AH$1001,0),0), INDEX($AO$1004:$BQ$1004,1,MATCH(COLUMNS($AO$1006:AS1006),$AO$1006:$BQ$1006,0)))),"Fix")))</f>
        <v>#N/A</v>
      </c>
      <c r="G226" s="5" t="e">
        <f ca="1">IF(OR(INDEX($AI$2:$AI$1001,MATCH(ROWS($AH$2:AH226),$AH$2:$AH$1001,0),1)&gt;=100000,INDEX($AO$1005:$BQ$1005,1,MATCH(COLUMNS($AO$1006:AT1006),$AO$1006:$BQ$1006,0))&gt;=100000), " ",IF(INDEX($AO$2:$BQ$1001,MATCH(ROWS($AH$2:AH226),$AH$2:$AH$1001,0),MATCH(COLUMNS($AO$1006:AT1006),$AO$1006:$BQ$1006,0)), HYPERLINK("#",""), HYPERLINK(CONCATENATE("#Metadata!", ADDRESS(INDEX($AJ$2:$AJ$1001,MATCH(ROWS($AH$2:AH226),$AH$2:$AH$1001,0),0), INDEX($AO$1004:$BQ$1004,1,MATCH(COLUMNS($AO$1006:AT1006),$AO$1006:$BQ$1006,0)))),"Fix")))</f>
        <v>#N/A</v>
      </c>
      <c r="H226" s="5" t="e">
        <f ca="1">IF(OR(INDEX($AI$2:$AI$1001,MATCH(ROWS($AH$2:AH226),$AH$2:$AH$1001,0),1)&gt;=100000,INDEX($AO$1005:$BQ$1005,1,MATCH(COLUMNS($AO$1006:AU1006),$AO$1006:$BQ$1006,0))&gt;=100000), " ",IF(INDEX($AO$2:$BQ$1001,MATCH(ROWS($AH$2:AH226),$AH$2:$AH$1001,0),MATCH(COLUMNS($AO$1006:AU1006),$AO$1006:$BQ$1006,0)), HYPERLINK("#",""), HYPERLINK(CONCATENATE("#Metadata!", ADDRESS(INDEX($AJ$2:$AJ$1001,MATCH(ROWS($AH$2:AH226),$AH$2:$AH$1001,0),0), INDEX($AO$1004:$BQ$1004,1,MATCH(COLUMNS($AO$1006:AU1006),$AO$1006:$BQ$1006,0)))),"Fix")))</f>
        <v>#N/A</v>
      </c>
      <c r="I226" s="5" t="e">
        <f ca="1">IF(OR(INDEX($AI$2:$AI$1001,MATCH(ROWS($AH$2:AH226),$AH$2:$AH$1001,0),1)&gt;=100000,INDEX($AO$1005:$BQ$1005,1,MATCH(COLUMNS($AO$1006:AV1006),$AO$1006:$BQ$1006,0))&gt;=100000), " ",IF(INDEX($AO$2:$BQ$1001,MATCH(ROWS($AH$2:AH226),$AH$2:$AH$1001,0),MATCH(COLUMNS($AO$1006:AV1006),$AO$1006:$BQ$1006,0)), HYPERLINK("#",""), HYPERLINK(CONCATENATE("#Metadata!", ADDRESS(INDEX($AJ$2:$AJ$1001,MATCH(ROWS($AH$2:AH226),$AH$2:$AH$1001,0),0), INDEX($AO$1004:$BQ$1004,1,MATCH(COLUMNS($AO$1006:AV1006),$AO$1006:$BQ$1006,0)))),"Fix")))</f>
        <v>#N/A</v>
      </c>
      <c r="J226" s="5" t="e">
        <f ca="1">IF(OR(INDEX($AI$2:$AI$1001,MATCH(ROWS($AH$2:AH226),$AH$2:$AH$1001,0),1)&gt;=100000,INDEX($AO$1005:$BQ$1005,1,MATCH(COLUMNS($AO$1006:AW1006),$AO$1006:$BQ$1006,0))&gt;=100000), " ",IF(INDEX($AO$2:$BQ$1001,MATCH(ROWS($AH$2:AH226),$AH$2:$AH$1001,0),MATCH(COLUMNS($AO$1006:AW1006),$AO$1006:$BQ$1006,0)), HYPERLINK("#",""), HYPERLINK(CONCATENATE("#Metadata!", ADDRESS(INDEX($AJ$2:$AJ$1001,MATCH(ROWS($AH$2:AH226),$AH$2:$AH$1001,0),0), INDEX($AO$1004:$BQ$1004,1,MATCH(COLUMNS($AO$1006:AW1006),$AO$1006:$BQ$1006,0)))),"Fix")))</f>
        <v>#N/A</v>
      </c>
      <c r="K226" s="5" t="e">
        <f ca="1">IF(OR(INDEX($AI$2:$AI$1001,MATCH(ROWS($AH$2:AH226),$AH$2:$AH$1001,0),1)&gt;=100000,INDEX($AO$1005:$BQ$1005,1,MATCH(COLUMNS($AO$1006:AX1006),$AO$1006:$BQ$1006,0))&gt;=100000), " ",IF(INDEX($AO$2:$BQ$1001,MATCH(ROWS($AH$2:AH226),$AH$2:$AH$1001,0),MATCH(COLUMNS($AO$1006:AX1006),$AO$1006:$BQ$1006,0)), HYPERLINK("#",""), HYPERLINK(CONCATENATE("#Metadata!", ADDRESS(INDEX($AJ$2:$AJ$1001,MATCH(ROWS($AH$2:AH226),$AH$2:$AH$1001,0),0), INDEX($AO$1004:$BQ$1004,1,MATCH(COLUMNS($AO$1006:AX1006),$AO$1006:$BQ$1006,0)))),"Fix")))</f>
        <v>#N/A</v>
      </c>
      <c r="L226" s="5" t="e">
        <f ca="1">IF(OR(INDEX($AI$2:$AI$1001,MATCH(ROWS($AH$2:AH226),$AH$2:$AH$1001,0),1)&gt;=100000,INDEX($AO$1005:$BQ$1005,1,MATCH(COLUMNS($AO$1006:AY1006),$AO$1006:$BQ$1006,0))&gt;=100000), " ",IF(INDEX($AO$2:$BQ$1001,MATCH(ROWS($AH$2:AH226),$AH$2:$AH$1001,0),MATCH(COLUMNS($AO$1006:AY1006),$AO$1006:$BQ$1006,0)), HYPERLINK("#",""), HYPERLINK(CONCATENATE("#Metadata!", ADDRESS(INDEX($AJ$2:$AJ$1001,MATCH(ROWS($AH$2:AH226),$AH$2:$AH$1001,0),0), INDEX($AO$1004:$BQ$1004,1,MATCH(COLUMNS($AO$1006:AY1006),$AO$1006:$BQ$1006,0)))),"Fix")))</f>
        <v>#N/A</v>
      </c>
      <c r="M226" s="5" t="e">
        <f ca="1">IF(OR(INDEX($AI$2:$AI$1001,MATCH(ROWS($AH$2:AH226),$AH$2:$AH$1001,0),1)&gt;=100000,INDEX($AO$1005:$BQ$1005,1,MATCH(COLUMNS($AO$1006:AZ1006),$AO$1006:$BQ$1006,0))&gt;=100000), " ",IF(INDEX($AO$2:$BQ$1001,MATCH(ROWS($AH$2:AH226),$AH$2:$AH$1001,0),MATCH(COLUMNS($AO$1006:AZ1006),$AO$1006:$BQ$1006,0)), HYPERLINK("#",""), HYPERLINK(CONCATENATE("#Metadata!", ADDRESS(INDEX($AJ$2:$AJ$1001,MATCH(ROWS($AH$2:AH226),$AH$2:$AH$1001,0),0), INDEX($AO$1004:$BQ$1004,1,MATCH(COLUMNS($AO$1006:AZ1006),$AO$1006:$BQ$1006,0)))),"Fix")))</f>
        <v>#N/A</v>
      </c>
      <c r="N226" s="5" t="e">
        <f ca="1">IF(OR(INDEX($AI$2:$AI$1001,MATCH(ROWS($AH$2:AH226),$AH$2:$AH$1001,0),1)&gt;=100000,INDEX($AO$1005:$BQ$1005,1,MATCH(COLUMNS($AO$1006:BA1006),$AO$1006:$BQ$1006,0))&gt;=100000), " ",IF(INDEX($AO$2:$BQ$1001,MATCH(ROWS($AH$2:AH226),$AH$2:$AH$1001,0),MATCH(COLUMNS($AO$1006:BA1006),$AO$1006:$BQ$1006,0)), HYPERLINK("#",""), HYPERLINK(CONCATENATE("#Metadata!", ADDRESS(INDEX($AJ$2:$AJ$1001,MATCH(ROWS($AH$2:AH226),$AH$2:$AH$1001,0),0), INDEX($AO$1004:$BQ$1004,1,MATCH(COLUMNS($AO$1006:BA1006),$AO$1006:$BQ$1006,0)))),"Fix")))</f>
        <v>#N/A</v>
      </c>
      <c r="O226" s="5" t="e">
        <f ca="1">IF(OR(INDEX($AI$2:$AI$1001,MATCH(ROWS($AH$2:AH226),$AH$2:$AH$1001,0),1)&gt;=100000,INDEX($AO$1005:$BQ$1005,1,MATCH(COLUMNS($AO$1006:BB1006),$AO$1006:$BQ$1006,0))&gt;=100000), " ",IF(INDEX($AO$2:$BQ$1001,MATCH(ROWS($AH$2:AH226),$AH$2:$AH$1001,0),MATCH(COLUMNS($AO$1006:BB1006),$AO$1006:$BQ$1006,0)), HYPERLINK("#",""), HYPERLINK(CONCATENATE("#Metadata!", ADDRESS(INDEX($AJ$2:$AJ$1001,MATCH(ROWS($AH$2:AH226),$AH$2:$AH$1001,0),0), INDEX($AO$1004:$BQ$1004,1,MATCH(COLUMNS($AO$1006:BB1006),$AO$1006:$BQ$1006,0)))),"Fix")))</f>
        <v>#N/A</v>
      </c>
      <c r="P226" s="5" t="e">
        <f ca="1">IF(OR(INDEX($AI$2:$AI$1001,MATCH(ROWS($AH$2:AH226),$AH$2:$AH$1001,0),1)&gt;=100000,INDEX($AO$1005:$BQ$1005,1,MATCH(COLUMNS($AO$1006:BC1006),$AO$1006:$BQ$1006,0))&gt;=100000), " ",IF(INDEX($AO$2:$BQ$1001,MATCH(ROWS($AH$2:AH226),$AH$2:$AH$1001,0),MATCH(COLUMNS($AO$1006:BC1006),$AO$1006:$BQ$1006,0)), HYPERLINK("#",""), HYPERLINK(CONCATENATE("#Metadata!", ADDRESS(INDEX($AJ$2:$AJ$1001,MATCH(ROWS($AH$2:AH226),$AH$2:$AH$1001,0),0), INDEX($AO$1004:$BQ$1004,1,MATCH(COLUMNS($AO$1006:BC1006),$AO$1006:$BQ$1006,0)))),"Fix")))</f>
        <v>#N/A</v>
      </c>
      <c r="Q226" s="5" t="e">
        <f ca="1">IF(OR(INDEX($AI$2:$AI$1001,MATCH(ROWS($AH$2:AH226),$AH$2:$AH$1001,0),1)&gt;=100000,INDEX($AO$1005:$BQ$1005,1,MATCH(COLUMNS($AO$1006:BD1006),$AO$1006:$BQ$1006,0))&gt;=100000), " ",IF(INDEX($AO$2:$BQ$1001,MATCH(ROWS($AH$2:AH226),$AH$2:$AH$1001,0),MATCH(COLUMNS($AO$1006:BD1006),$AO$1006:$BQ$1006,0)), HYPERLINK("#",""), HYPERLINK(CONCATENATE("#Metadata!", ADDRESS(INDEX($AJ$2:$AJ$1001,MATCH(ROWS($AH$2:AH226),$AH$2:$AH$1001,0),0), INDEX($AO$1004:$BQ$1004,1,MATCH(COLUMNS($AO$1006:BD1006),$AO$1006:$BQ$1006,0)))),"Fix")))</f>
        <v>#N/A</v>
      </c>
      <c r="R226" s="5" t="e">
        <f ca="1">IF(OR(INDEX($AI$2:$AI$1001,MATCH(ROWS($AH$2:AH226),$AH$2:$AH$1001,0),1)&gt;=100000,INDEX($AO$1005:$BQ$1005,1,MATCH(COLUMNS($AO$1006:BE1006),$AO$1006:$BQ$1006,0))&gt;=100000), " ",IF(INDEX($AO$2:$BQ$1001,MATCH(ROWS($AH$2:AH226),$AH$2:$AH$1001,0),MATCH(COLUMNS($AO$1006:BE1006),$AO$1006:$BQ$1006,0)), HYPERLINK("#",""), HYPERLINK(CONCATENATE("#Metadata!", ADDRESS(INDEX($AJ$2:$AJ$1001,MATCH(ROWS($AH$2:AH226),$AH$2:$AH$1001,0),0), INDEX($AO$1004:$BQ$1004,1,MATCH(COLUMNS($AO$1006:BE1006),$AO$1006:$BQ$1006,0)))),"Fix")))</f>
        <v>#N/A</v>
      </c>
      <c r="S226" s="5" t="e">
        <f ca="1">IF(OR(INDEX($AI$2:$AI$1001,MATCH(ROWS($AH$2:AH226),$AH$2:$AH$1001,0),1)&gt;=100000,INDEX($AO$1005:$BQ$1005,1,MATCH(COLUMNS($AO$1006:BF1006),$AO$1006:$BQ$1006,0))&gt;=100000), " ",IF(INDEX($AO$2:$BQ$1001,MATCH(ROWS($AH$2:AH226),$AH$2:$AH$1001,0),MATCH(COLUMNS($AO$1006:BF1006),$AO$1006:$BQ$1006,0)), HYPERLINK("#",""), HYPERLINK(CONCATENATE("#Metadata!", ADDRESS(INDEX($AJ$2:$AJ$1001,MATCH(ROWS($AH$2:AH226),$AH$2:$AH$1001,0),0), INDEX($AO$1004:$BQ$1004,1,MATCH(COLUMNS($AO$1006:BF1006),$AO$1006:$BQ$1006,0)))),"Fix")))</f>
        <v>#N/A</v>
      </c>
      <c r="T226" s="5" t="e">
        <f ca="1">IF(OR(INDEX($AI$2:$AI$1001,MATCH(ROWS($AH$2:AH226),$AH$2:$AH$1001,0),1)&gt;=100000,INDEX($AO$1005:$BQ$1005,1,MATCH(COLUMNS($AO$1006:BG1006),$AO$1006:$BQ$1006,0))&gt;=100000), " ",IF(INDEX($AO$2:$BQ$1001,MATCH(ROWS($AH$2:AH226),$AH$2:$AH$1001,0),MATCH(COLUMNS($AO$1006:BG1006),$AO$1006:$BQ$1006,0)), HYPERLINK("#",""), HYPERLINK(CONCATENATE("#Metadata!", ADDRESS(INDEX($AJ$2:$AJ$1001,MATCH(ROWS($AH$2:AH226),$AH$2:$AH$1001,0),0), INDEX($AO$1004:$BQ$1004,1,MATCH(COLUMNS($AO$1006:BG1006),$AO$1006:$BQ$1006,0)))),"Fix")))</f>
        <v>#N/A</v>
      </c>
      <c r="U226" s="5" t="e">
        <f ca="1">IF(OR(INDEX($AI$2:$AI$1001,MATCH(ROWS($AH$2:AH226),$AH$2:$AH$1001,0),1)&gt;=100000,INDEX($AO$1005:$BQ$1005,1,MATCH(COLUMNS($AO$1006:BH1006),$AO$1006:$BQ$1006,0))&gt;=100000), " ",IF(INDEX($AO$2:$BQ$1001,MATCH(ROWS($AH$2:AH226),$AH$2:$AH$1001,0),MATCH(COLUMNS($AO$1006:BH1006),$AO$1006:$BQ$1006,0)), HYPERLINK("#",""), HYPERLINK(CONCATENATE("#Metadata!", ADDRESS(INDEX($AJ$2:$AJ$1001,MATCH(ROWS($AH$2:AH226),$AH$2:$AH$1001,0),0), INDEX($AO$1004:$BQ$1004,1,MATCH(COLUMNS($AO$1006:BH1006),$AO$1006:$BQ$1006,0)))),"Fix")))</f>
        <v>#N/A</v>
      </c>
      <c r="V226" s="5" t="e">
        <f ca="1">IF(OR(INDEX($AI$2:$AI$1001,MATCH(ROWS($AH$2:AH226),$AH$2:$AH$1001,0),1)&gt;=100000,INDEX($AO$1005:$BQ$1005,1,MATCH(COLUMNS($AO$1006:BI1006),$AO$1006:$BQ$1006,0))&gt;=100000), " ",IF(INDEX($AO$2:$BQ$1001,MATCH(ROWS($AH$2:AH226),$AH$2:$AH$1001,0),MATCH(COLUMNS($AO$1006:BI1006),$AO$1006:$BQ$1006,0)), HYPERLINK("#",""), HYPERLINK(CONCATENATE("#Metadata!", ADDRESS(INDEX($AJ$2:$AJ$1001,MATCH(ROWS($AH$2:AH226),$AH$2:$AH$1001,0),0), INDEX($AO$1004:$BQ$1004,1,MATCH(COLUMNS($AO$1006:BI1006),$AO$1006:$BQ$1006,0)))),"Fix")))</f>
        <v>#N/A</v>
      </c>
      <c r="W226" s="5" t="e">
        <f ca="1">IF(OR(INDEX($AI$2:$AI$1001,MATCH(ROWS($AH$2:AH226),$AH$2:$AH$1001,0),1)&gt;=100000,INDEX($AO$1005:$BQ$1005,1,MATCH(COLUMNS($AO$1006:BJ1006),$AO$1006:$BQ$1006,0))&gt;=100000), " ",IF(INDEX($AO$2:$BQ$1001,MATCH(ROWS($AH$2:AH226),$AH$2:$AH$1001,0),MATCH(COLUMNS($AO$1006:BJ1006),$AO$1006:$BQ$1006,0)), HYPERLINK("#",""), HYPERLINK(CONCATENATE("#Metadata!", ADDRESS(INDEX($AJ$2:$AJ$1001,MATCH(ROWS($AH$2:AH226),$AH$2:$AH$1001,0),0), INDEX($AO$1004:$BQ$1004,1,MATCH(COLUMNS($AO$1006:BJ1006),$AO$1006:$BQ$1006,0)))),"Fix")))</f>
        <v>#N/A</v>
      </c>
      <c r="X226" s="5" t="e">
        <f ca="1">IF(OR(INDEX($AI$2:$AI$1001,MATCH(ROWS($AH$2:AH226),$AH$2:$AH$1001,0),1)&gt;=100000,INDEX($AO$1005:$BQ$1005,1,MATCH(COLUMNS($AO$1006:BK1006),$AO$1006:$BQ$1006,0))&gt;=100000), " ",IF(INDEX($AO$2:$BQ$1001,MATCH(ROWS($AH$2:AH226),$AH$2:$AH$1001,0),MATCH(COLUMNS($AO$1006:BK1006),$AO$1006:$BQ$1006,0)), HYPERLINK("#",""), HYPERLINK(CONCATENATE("#Metadata!", ADDRESS(INDEX($AJ$2:$AJ$1001,MATCH(ROWS($AH$2:AH226),$AH$2:$AH$1001,0),0), INDEX($AO$1004:$BQ$1004,1,MATCH(COLUMNS($AO$1006:BK1006),$AO$1006:$BQ$1006,0)))),"Fix")))</f>
        <v>#N/A</v>
      </c>
      <c r="Y226" s="5" t="e">
        <f ca="1">IF(OR(INDEX($AI$2:$AI$1001,MATCH(ROWS($AH$2:AH226),$AH$2:$AH$1001,0),1)&gt;=100000,INDEX($AO$1005:$BQ$1005,1,MATCH(COLUMNS($AO$1006:BL1006),$AO$1006:$BQ$1006,0))&gt;=100000), " ",IF(INDEX($AO$2:$BQ$1001,MATCH(ROWS($AH$2:AH226),$AH$2:$AH$1001,0),MATCH(COLUMNS($AO$1006:BL1006),$AO$1006:$BQ$1006,0)), HYPERLINK("#",""), HYPERLINK(CONCATENATE("#Metadata!", ADDRESS(INDEX($AJ$2:$AJ$1001,MATCH(ROWS($AH$2:AH226),$AH$2:$AH$1001,0),0), INDEX($AO$1004:$BQ$1004,1,MATCH(COLUMNS($AO$1006:BL1006),$AO$1006:$BQ$1006,0)))),"Fix")))</f>
        <v>#N/A</v>
      </c>
      <c r="Z226" s="5" t="e">
        <f ca="1">IF(OR(INDEX($AI$2:$AI$1001,MATCH(ROWS($AH$2:AH226),$AH$2:$AH$1001,0),1)&gt;=100000,INDEX($AO$1005:$BQ$1005,1,MATCH(COLUMNS($AO$1006:BM1006),$AO$1006:$BQ$1006,0))&gt;=100000), " ",IF(INDEX($AO$2:$BQ$1001,MATCH(ROWS($AH$2:AH226),$AH$2:$AH$1001,0),MATCH(COLUMNS($AO$1006:BM1006),$AO$1006:$BQ$1006,0)), HYPERLINK("#",""), HYPERLINK(CONCATENATE("#Metadata!", ADDRESS(INDEX($AJ$2:$AJ$1001,MATCH(ROWS($AH$2:AH226),$AH$2:$AH$1001,0),0), INDEX($AO$1004:$BQ$1004,1,MATCH(COLUMNS($AO$1006:BM1006),$AO$1006:$BQ$1006,0)))),"Fix")))</f>
        <v>#N/A</v>
      </c>
      <c r="AA226" s="5" t="e">
        <f ca="1">IF(OR(INDEX($AI$2:$AI$1001,MATCH(ROWS($AH$2:AH226),$AH$2:$AH$1001,0),1)&gt;=100000,INDEX($AO$1005:$BQ$1005,1,MATCH(COLUMNS($AO$1006:BN1006),$AO$1006:$BQ$1006,0))&gt;=100000), " ",IF(INDEX($AO$2:$BQ$1001,MATCH(ROWS($AH$2:AH226),$AH$2:$AH$1001,0),MATCH(COLUMNS($AO$1006:BN1006),$AO$1006:$BQ$1006,0)), HYPERLINK("#",""), HYPERLINK(CONCATENATE("#Metadata!", ADDRESS(INDEX($AJ$2:$AJ$1001,MATCH(ROWS($AH$2:AH226),$AH$2:$AH$1001,0),0), INDEX($AO$1004:$BQ$1004,1,MATCH(COLUMNS($AO$1006:BN1006),$AO$1006:$BQ$1006,0)))),"Fix")))</f>
        <v>#N/A</v>
      </c>
      <c r="AB226" s="5" t="e">
        <f ca="1">IF(OR(INDEX($AI$2:$AI$1001,MATCH(ROWS($AH$2:AH226),$AH$2:$AH$1001,0),1)&gt;=100000,INDEX($AO$1005:$BQ$1005,1,MATCH(COLUMNS($AO$1006:BO1006),$AO$1006:$BQ$1006,0))&gt;=100000), " ",IF(INDEX($AO$2:$BQ$1001,MATCH(ROWS($AH$2:AH226),$AH$2:$AH$1001,0),MATCH(COLUMNS($AO$1006:BO1006),$AO$1006:$BQ$1006,0)), HYPERLINK("#",""), HYPERLINK(CONCATENATE("#Metadata!", ADDRESS(INDEX($AJ$2:$AJ$1001,MATCH(ROWS($AH$2:AH226),$AH$2:$AH$1001,0),0), INDEX($AO$1004:$BQ$1004,1,MATCH(COLUMNS($AO$1006:BO1006),$AO$1006:$BQ$1006,0)))),"Fix")))</f>
        <v>#N/A</v>
      </c>
      <c r="AC226" s="5" t="e">
        <f ca="1">IF(OR(INDEX($AI$2:$AI$1001,MATCH(ROWS($AH$2:AH226),$AH$2:$AH$1001,0),1)&gt;=100000,INDEX($AO$1005:$BQ$1005,1,MATCH(COLUMNS($AO$1006:BP1006),$AO$1006:$BQ$1006,0))&gt;=100000), " ",IF(INDEX($AO$2:$BQ$1001,MATCH(ROWS($AH$2:AH226),$AH$2:$AH$1001,0),MATCH(COLUMNS($AO$1006:BP1006),$AO$1006:$BQ$1006,0)), HYPERLINK("#",""), HYPERLINK(CONCATENATE("#Metadata!", ADDRESS(INDEX($AJ$2:$AJ$1001,MATCH(ROWS($AH$2:AH226),$AH$2:$AH$1001,0),0), INDEX($AO$1004:$BQ$1004,1,MATCH(COLUMNS($AO$1006:BP1006),$AO$1006:$BQ$1006,0)))),"Fix")))</f>
        <v>#N/A</v>
      </c>
      <c r="AD226" s="5" t="e">
        <f ca="1">IF(OR(INDEX($AI$2:$AI$1001,MATCH(ROWS($AH$2:AH226),$AH$2:$AH$1001,0),1)&gt;=100000,INDEX($AO$1005:$BQ$1005,1,MATCH(COLUMNS($AO$1006:BQ1006),$AO$1006:$BQ$1006,0))&gt;=100000), " ",IF(INDEX($AO$2:$BQ$1001,MATCH(ROWS($AH$2:AH226),$AH$2:$AH$1001,0),MATCH(COLUMNS($AO$1006:BQ1006),$AO$1006:$BQ$1006,0)), HYPERLINK("#",""), HYPERLINK(CONCATENATE("#Metadata!", ADDRESS(INDEX($AJ$2:$AJ$1001,MATCH(ROWS($AH$2:AH226),$AH$2:$AH$1001,0),0), INDEX($AO$1004:$BQ$1004,1,MATCH(COLUMNS($AO$1006:BQ1006),$AO$1006:$BQ$1006,0)))),"Fix")))</f>
        <v>#REF!</v>
      </c>
      <c r="AH226">
        <f ca="1"/>
        <v>223</v>
      </c>
      <c r="AI226">
        <v>100226</v>
      </c>
      <c r="AJ226">
        <v>226</v>
      </c>
      <c r="AK226" t="b">
        <f t="shared" si="3"/>
        <v>1</v>
      </c>
      <c r="AL226" t="b">
        <f>COUNTBLANK(Metadata!B226:AD226)=COLUMNS(Metadata!B226:AD226)</f>
        <v>1</v>
      </c>
      <c r="AM226" t="str">
        <v/>
      </c>
      <c r="AO226" t="b">
        <f ca="1">AND(IF(Metadata!B226="",FALSE,TRUE),COUNTIF(Metadata!B:B, Metadata!B226) = 1,NOT(ISERROR(SUMPRODUCT(SEARCH(MID(Metadata!B226,ROW(INDIRECT("1:"&amp;LEN(Metadata!B226))), 1),"0123456789abcdefghijklmnopqrstuvwxyzABCDEFGHIJKLMNOPQRSTUVWXYZ.")))))</f>
        <v>0</v>
      </c>
      <c r="AP226" t="b">
        <f>IF(Metadata!C226="",FALSE,TRUE)</f>
        <v>0</v>
      </c>
      <c r="AQ226" t="b">
        <f>IF(Metadata!D226="",FALSE,TRUE)</f>
        <v>0</v>
      </c>
      <c r="AR226" t="b">
        <f ca="1">OR(AND(IF(Metadata!E226="",FALSE,TRUE),OR(EXACT(Metadata!E226,"not collected"),EXACT(Metadata!E226,"not provided"),EXACT(Metadata!E226,"restricted access"))),AND(IF(Metadata!E226="",FALSE,TRUE),AND(AND(IFERROR(INT(LEFT(Metadata!E226,4))&gt;1900,FALSE),IFERROR(INT(LEFT(Metadata!E226,4))&lt;=YEAR(NOW()),FALSE)), OR(MID(Metadata!E226,5,1)="", AND(AND(MID(Metadata!E226,5,1)="-",IFERROR(INT(MID(Metadata!E226,6,1))&gt;=0,FALSE),IFERROR(INT(MID(Metadata!E226,6,1))&lt;=1,FALSE),NOT(MID(Metadata!E226,7,1)=""),IFERROR(INT(MID(Metadata!E226,6,2))&gt;=1,FALSE),IFERROR(INT(MID(Metadata!E226,6,2))&lt;=12,FALSE)), OR(MID(Metadata!E226,8,1)="", AND(AND(MID(Metadata!E226,8,1)="-",IFERROR(INT(MID(Metadata!E226,9,1))&gt;=0,FALSE),IFERROR(INT(MID(Metadata!E226,9,1))&lt;=3,FALSE),NOT(MID(Metadata!E226,10,1)=""),IFERROR(INT(MID(Metadata!E226,9,2))&gt;=1,FALSE),IFERROR(INT(MID(Metadata!E226,9,2))&lt;=31,FALSE)), OR(MID(Metadata!E226,11,1)="", AND(AND(MID(Metadata!E226,11,1)=" ",IFERROR(INT(MID(Metadata!E226,12,1))&gt;=0,FALSE),IFERROR(INT(MID(Metadata!E226,12,1))&lt;=2,FALSE),NOT(MID(Metadata!E226,13,1)=""),IFERROR(INT(MID(Metadata!E226,12,2))&gt;=0,FALSE),IFERROR(INT(MID(Metadata!E226,12,2))&lt;=23,FALSE)), OR(MID(Metadata!E226,14,1)="", AND(AND(MID(Metadata!E226,14,1)=":",IFERROR(INT(MID(Metadata!E226,15,1))&gt;=0,FALSE),IFERROR(INT(MID(Metadata!E226,15,1))&lt;=5,FALSE),NOT(MID(Metadata!E226,16,1)=""),IFERROR(INT(MID(Metadata!E226,15,2))&gt;=0,FALSE),IFERROR(INT(MID(Metadata!E226,15,2))&lt;=59,FALSE)), OR(MID(Metadata!E226,17,1)="", AND(AND(MID(Metadata!E226,17,1)=":",IFERROR(INT(MID(Metadata!E226,18,1))&gt;=0,FALSE),IFERROR(INT(MID(Metadata!E226,18,1))&lt;=5,FALSE),NOT(MID(Metadata!E226,19,1)=""),IFERROR(INT(MID(Metadata!E226,18,2))&gt;=0,FALSE),IFERROR(INT(MID(Metadata!E226,18,2))&lt;=59,FALSE)), LEN(Metadata!E226)&lt;=19)))))))))))))</f>
        <v>0</v>
      </c>
      <c r="AS226" t="b">
        <f>IF(Metadata!F226="",FALSE,TRUE)</f>
        <v>0</v>
      </c>
      <c r="AT226" t="b">
        <f>OR(AND(IF(Metadata!G226="",FALSE,TRUE),OR(EXACT(Metadata!G226,"not collected"),EXACT(Metadata!G226,"not provided"))),AND(IF(Metadata!G226="",FALSE,TRUE),OR(EXACT(Metadata!G226,"TRUE"),EXACT(Metadata!G226,"FALSE"))))</f>
        <v>0</v>
      </c>
      <c r="AU226" t="b">
        <f>OR(AND(IF(Metadata!H226="",FALSE,TRUE),OR(EXACT(Metadata!H226,"not collected"),EXACT(Metadata!H226,"not provided"),EXACT(Metadata!H226,"restricted access"))),AND(IF(Metadata!H226="",FALSE,ISNUMBER(VALUE(Metadata!H226))),Metadata!H226&gt;=-413))</f>
        <v>0</v>
      </c>
      <c r="AV226" t="b">
        <f>AND(IF(Metadata!I226="",FALSE,TRUE),EXACT(Metadata!I226,"meters"))</f>
        <v>0</v>
      </c>
      <c r="AW226" t="b">
        <f>AND(IF(Metadata!J226="",FALSE,TRUE),EXACT(Metadata!J226,"free-living"))</f>
        <v>0</v>
      </c>
      <c r="AX226" t="b">
        <f>AND(IF(Metadata!K226="",FALSE,TRUE),OR(EXACT(Metadata!K226,"saline"),EXACT(Metadata!K226,"non-saline")))</f>
        <v>0</v>
      </c>
      <c r="AY226" t="b">
        <f>AND(IF(Metadata!L226="",FALSE,TRUE),OR(EXACT(Metadata!L226,"sub-surface (non-saline)"),EXACT(Metadata!L226,"surface (non-saline)"),EXACT(Metadata!L226,"water (non-saline)"),EXACT(Metadata!L226,"soil (non-saline)"),EXACT(Metadata!L226,"aerosol (non-saline)"),EXACT(Metadata!L226,"sediment (non-saline)"),EXACT(Metadata!L226,"surface (saline)"),EXACT(Metadata!L226,"water (saline)"),EXACT(Metadata!L226,"hypersaline (saline)"),EXACT(Metadata!L226,"aerosol (saline)"),EXACT(Metadata!L226,"sediment (saline)")))</f>
        <v>0</v>
      </c>
      <c r="AZ226" t="b">
        <f>IF(Metadata!M226="",FALSE,TRUE)</f>
        <v>0</v>
      </c>
      <c r="BA226" t="b">
        <f>IF(Metadata!N226="",FALSE,TRUE)</f>
        <v>0</v>
      </c>
      <c r="BB226" t="b">
        <f>IF(Metadata!O226="",FALSE,TRUE)</f>
        <v>0</v>
      </c>
      <c r="BC226" t="b">
        <f>AND(IF(Metadata!P226="",FALSE,TRUE),OR(EXACT(Metadata!P226,"air"),EXACT(Metadata!P226,"microbial mat/biofilm"),EXACT(Metadata!P226,"misc environment"),EXACT(Metadata!P226,"sediment"),EXACT(Metadata!P226,"soil"),EXACT(Metadata!P226,"wastewater/sludge"),EXACT(Metadata!P226,"water")))</f>
        <v>0</v>
      </c>
      <c r="BD226" t="b">
        <f>IF(Metadata!Q226="",FALSE,TRUE)</f>
        <v>0</v>
      </c>
      <c r="BE226" t="b">
        <f>IF(Metadata!R226="",FALSE,TRUE)</f>
        <v>0</v>
      </c>
      <c r="BF226" t="b">
        <f>OR(AND(IF(Metadata!S226="",FALSE,TRUE),OR(EXACT(Metadata!S226,"not collected"),EXACT(Metadata!S226,"not provided"),EXACT(Metadata!S226,"restricted access"))),AND(IF(Metadata!S226="",FALSE,ISNUMBER(VALUE(Metadata!S226))),Metadata!S226&gt;=-90,Metadata!S226&lt;=90))</f>
        <v>0</v>
      </c>
      <c r="BG226" t="b">
        <f>AND(IF(Metadata!T226="",FALSE,TRUE),EXACT(Metadata!T226,"Decimal degrees"))</f>
        <v>0</v>
      </c>
      <c r="BH226" t="b">
        <f>OR(AND(IF(Metadata!U226="",FALSE,TRUE),OR(EXACT(Metadata!U226,"not applicable"),EXACT(Metadata!U226,"not collected"))),IF(Metadata!U226="",FALSE,TRUE))</f>
        <v>0</v>
      </c>
      <c r="BI226" t="b">
        <f>OR(AND(IF(Metadata!V226="",FALSE,TRUE),OR(EXACT(Metadata!V226,"not collected"),EXACT(Metadata!V226,"not provided"),EXACT(Metadata!V226,"restricted access"))),AND(IF(Metadata!V226="",FALSE,ISNUMBER(VALUE(Metadata!V226))),Metadata!V226&gt;=-180,Metadata!V226&lt;=180))</f>
        <v>0</v>
      </c>
      <c r="BJ226" t="b">
        <f>AND(IF(Metadata!W226="",FALSE,TRUE),EXACT(Metadata!W226,"Decimal degrees"))</f>
        <v>0</v>
      </c>
      <c r="BK226" t="b">
        <f>IF(Metadata!X226="",FALSE,TRUE)</f>
        <v>0</v>
      </c>
      <c r="BL226" t="b">
        <f>OR(AND(IF(Metadata!Y226="",FALSE,TRUE),OR(EXACT(Metadata!Y226,"not collected"),EXACT(Metadata!Y226,"not provided"),EXACT(Metadata!Y226,"restricted access"))),AND(IF(Metadata!Y226="",FALSE,TRUE),OR(EXACT(Metadata!Y226,"TRUE"),EXACT(Metadata!Y226,"FALSE"))))</f>
        <v>0</v>
      </c>
      <c r="BM226" t="b">
        <f>OR(AND(IF(Metadata!Z226="",FALSE,TRUE),EXACT(Metadata!Z226,"not applicable")),AND(IF(Metadata!Z226="",FALSE,TRUE),OR(EXACT(Metadata!Z226,"beer"),EXACT(Metadata!Z226,"cheese"),EXACT(Metadata!Z226,"fresh water"),EXACT(Metadata!Z226,"marine sediment"),EXACT(Metadata!Z226,"sea water"),EXACT(Metadata!Z226,"sediment"),EXACT(Metadata!Z226,"soil"),EXACT(Metadata!Z226,"waste water"))))</f>
        <v>0</v>
      </c>
      <c r="BN226" t="b">
        <f>AND(IF(Metadata!AA226="",FALSE,TRUE),EXACT(Metadata!AA226,"metagenome"))</f>
        <v>0</v>
      </c>
      <c r="BO226" t="b">
        <f>AND(IF(Metadata!AB226="",FALSE,TRUE),EXACT(Metadata!AB226,"256318"))</f>
        <v>0</v>
      </c>
      <c r="BP226" t="b">
        <f>IF(Metadata!AC226="",FALSE,TRUE)</f>
        <v>0</v>
      </c>
      <c r="BQ226" t="b">
        <f>IF(Metadata!AD226="",FALSE,TRUE)</f>
        <v>0</v>
      </c>
    </row>
    <row r="227" spans="1:69" x14ac:dyDescent="0.2">
      <c r="A227" s="4" t="e">
        <f ca="1">IF(B227=" "," ",HYPERLINK(CONCATENATE("#metadata!",ADDRESS(INDEX($AJ$2:$AJ$1001,MATCH(ROWS($AH$2:AH227),$AH$2:$AH$1001,0),0),2)),INDEX($AM$2:$AM$1001,MATCH(ROWS($AH$2:AH227),$AH$2:$AH$1001,0),0)))</f>
        <v>#N/A</v>
      </c>
      <c r="B227" s="5" t="e">
        <f ca="1">IF(OR(INDEX($AI$2:$AI$1001,MATCH(ROWS($AH$2:AH227),$AH$2:$AH$1001,0),1)&gt;=100000,INDEX($AO$1005:$BQ$1005,1,MATCH(COLUMNS($AO$1006:AO1006),$AO$1006:$BQ$1006,0))&gt;=100000), " ",IF(INDEX($AO$2:$BQ$1001,MATCH(ROWS($AH$2:AH227),$AH$2:$AH$1001,0),MATCH(COLUMNS($AO$1006:AO1006),$AO$1006:$BQ$1006,0)), HYPERLINK("#",""), HYPERLINK(CONCATENATE("#Metadata!", ADDRESS(INDEX($AJ$2:$AJ$1001,MATCH(ROWS($AH$2:AH227),$AH$2:$AH$1001,0),0), INDEX($AO$1004:$BQ$1004,1,MATCH(COLUMNS($AO$1006:AO1006),$AO$1006:$BQ$1006,0)))),"Fix")))</f>
        <v>#N/A</v>
      </c>
      <c r="C227" s="5" t="e">
        <f ca="1">IF(OR(INDEX($AI$2:$AI$1001,MATCH(ROWS($AH$2:AH227),$AH$2:$AH$1001,0),1)&gt;=100000,INDEX($AO$1005:$BQ$1005,1,MATCH(COLUMNS($AO$1006:AP1006),$AO$1006:$BQ$1006,0))&gt;=100000), " ",IF(INDEX($AO$2:$BQ$1001,MATCH(ROWS($AH$2:AH227),$AH$2:$AH$1001,0),MATCH(COLUMNS($AO$1006:AP1006),$AO$1006:$BQ$1006,0)), HYPERLINK("#",""), HYPERLINK(CONCATENATE("#Metadata!", ADDRESS(INDEX($AJ$2:$AJ$1001,MATCH(ROWS($AH$2:AH227),$AH$2:$AH$1001,0),0), INDEX($AO$1004:$BQ$1004,1,MATCH(COLUMNS($AO$1006:AP1006),$AO$1006:$BQ$1006,0)))),"Fix")))</f>
        <v>#N/A</v>
      </c>
      <c r="D227" s="5" t="e">
        <f ca="1">IF(OR(INDEX($AI$2:$AI$1001,MATCH(ROWS($AH$2:AH227),$AH$2:$AH$1001,0),1)&gt;=100000,INDEX($AO$1005:$BQ$1005,1,MATCH(COLUMNS($AO$1006:AQ1006),$AO$1006:$BQ$1006,0))&gt;=100000), " ",IF(INDEX($AO$2:$BQ$1001,MATCH(ROWS($AH$2:AH227),$AH$2:$AH$1001,0),MATCH(COLUMNS($AO$1006:AQ1006),$AO$1006:$BQ$1006,0)), HYPERLINK("#",""), HYPERLINK(CONCATENATE("#Metadata!", ADDRESS(INDEX($AJ$2:$AJ$1001,MATCH(ROWS($AH$2:AH227),$AH$2:$AH$1001,0),0), INDEX($AO$1004:$BQ$1004,1,MATCH(COLUMNS($AO$1006:AQ1006),$AO$1006:$BQ$1006,0)))),"Fix")))</f>
        <v>#N/A</v>
      </c>
      <c r="E227" s="5" t="e">
        <f ca="1">IF(OR(INDEX($AI$2:$AI$1001,MATCH(ROWS($AH$2:AH227),$AH$2:$AH$1001,0),1)&gt;=100000,INDEX($AO$1005:$BQ$1005,1,MATCH(COLUMNS($AO$1006:AR1006),$AO$1006:$BQ$1006,0))&gt;=100000), " ",IF(INDEX($AO$2:$BQ$1001,MATCH(ROWS($AH$2:AH227),$AH$2:$AH$1001,0),MATCH(COLUMNS($AO$1006:AR1006),$AO$1006:$BQ$1006,0)), HYPERLINK("#",""), HYPERLINK(CONCATENATE("#Metadata!", ADDRESS(INDEX($AJ$2:$AJ$1001,MATCH(ROWS($AH$2:AH227),$AH$2:$AH$1001,0),0), INDEX($AO$1004:$BQ$1004,1,MATCH(COLUMNS($AO$1006:AR1006),$AO$1006:$BQ$1006,0)))),"Fix")))</f>
        <v>#N/A</v>
      </c>
      <c r="F227" s="5" t="e">
        <f ca="1">IF(OR(INDEX($AI$2:$AI$1001,MATCH(ROWS($AH$2:AH227),$AH$2:$AH$1001,0),1)&gt;=100000,INDEX($AO$1005:$BQ$1005,1,MATCH(COLUMNS($AO$1006:AS1006),$AO$1006:$BQ$1006,0))&gt;=100000), " ",IF(INDEX($AO$2:$BQ$1001,MATCH(ROWS($AH$2:AH227),$AH$2:$AH$1001,0),MATCH(COLUMNS($AO$1006:AS1006),$AO$1006:$BQ$1006,0)), HYPERLINK("#",""), HYPERLINK(CONCATENATE("#Metadata!", ADDRESS(INDEX($AJ$2:$AJ$1001,MATCH(ROWS($AH$2:AH227),$AH$2:$AH$1001,0),0), INDEX($AO$1004:$BQ$1004,1,MATCH(COLUMNS($AO$1006:AS1006),$AO$1006:$BQ$1006,0)))),"Fix")))</f>
        <v>#N/A</v>
      </c>
      <c r="G227" s="5" t="e">
        <f ca="1">IF(OR(INDEX($AI$2:$AI$1001,MATCH(ROWS($AH$2:AH227),$AH$2:$AH$1001,0),1)&gt;=100000,INDEX($AO$1005:$BQ$1005,1,MATCH(COLUMNS($AO$1006:AT1006),$AO$1006:$BQ$1006,0))&gt;=100000), " ",IF(INDEX($AO$2:$BQ$1001,MATCH(ROWS($AH$2:AH227),$AH$2:$AH$1001,0),MATCH(COLUMNS($AO$1006:AT1006),$AO$1006:$BQ$1006,0)), HYPERLINK("#",""), HYPERLINK(CONCATENATE("#Metadata!", ADDRESS(INDEX($AJ$2:$AJ$1001,MATCH(ROWS($AH$2:AH227),$AH$2:$AH$1001,0),0), INDEX($AO$1004:$BQ$1004,1,MATCH(COLUMNS($AO$1006:AT1006),$AO$1006:$BQ$1006,0)))),"Fix")))</f>
        <v>#N/A</v>
      </c>
      <c r="H227" s="5" t="e">
        <f ca="1">IF(OR(INDEX($AI$2:$AI$1001,MATCH(ROWS($AH$2:AH227),$AH$2:$AH$1001,0),1)&gt;=100000,INDEX($AO$1005:$BQ$1005,1,MATCH(COLUMNS($AO$1006:AU1006),$AO$1006:$BQ$1006,0))&gt;=100000), " ",IF(INDEX($AO$2:$BQ$1001,MATCH(ROWS($AH$2:AH227),$AH$2:$AH$1001,0),MATCH(COLUMNS($AO$1006:AU1006),$AO$1006:$BQ$1006,0)), HYPERLINK("#",""), HYPERLINK(CONCATENATE("#Metadata!", ADDRESS(INDEX($AJ$2:$AJ$1001,MATCH(ROWS($AH$2:AH227),$AH$2:$AH$1001,0),0), INDEX($AO$1004:$BQ$1004,1,MATCH(COLUMNS($AO$1006:AU1006),$AO$1006:$BQ$1006,0)))),"Fix")))</f>
        <v>#N/A</v>
      </c>
      <c r="I227" s="5" t="e">
        <f ca="1">IF(OR(INDEX($AI$2:$AI$1001,MATCH(ROWS($AH$2:AH227),$AH$2:$AH$1001,0),1)&gt;=100000,INDEX($AO$1005:$BQ$1005,1,MATCH(COLUMNS($AO$1006:AV1006),$AO$1006:$BQ$1006,0))&gt;=100000), " ",IF(INDEX($AO$2:$BQ$1001,MATCH(ROWS($AH$2:AH227),$AH$2:$AH$1001,0),MATCH(COLUMNS($AO$1006:AV1006),$AO$1006:$BQ$1006,0)), HYPERLINK("#",""), HYPERLINK(CONCATENATE("#Metadata!", ADDRESS(INDEX($AJ$2:$AJ$1001,MATCH(ROWS($AH$2:AH227),$AH$2:$AH$1001,0),0), INDEX($AO$1004:$BQ$1004,1,MATCH(COLUMNS($AO$1006:AV1006),$AO$1006:$BQ$1006,0)))),"Fix")))</f>
        <v>#N/A</v>
      </c>
      <c r="J227" s="5" t="e">
        <f ca="1">IF(OR(INDEX($AI$2:$AI$1001,MATCH(ROWS($AH$2:AH227),$AH$2:$AH$1001,0),1)&gt;=100000,INDEX($AO$1005:$BQ$1005,1,MATCH(COLUMNS($AO$1006:AW1006),$AO$1006:$BQ$1006,0))&gt;=100000), " ",IF(INDEX($AO$2:$BQ$1001,MATCH(ROWS($AH$2:AH227),$AH$2:$AH$1001,0),MATCH(COLUMNS($AO$1006:AW1006),$AO$1006:$BQ$1006,0)), HYPERLINK("#",""), HYPERLINK(CONCATENATE("#Metadata!", ADDRESS(INDEX($AJ$2:$AJ$1001,MATCH(ROWS($AH$2:AH227),$AH$2:$AH$1001,0),0), INDEX($AO$1004:$BQ$1004,1,MATCH(COLUMNS($AO$1006:AW1006),$AO$1006:$BQ$1006,0)))),"Fix")))</f>
        <v>#N/A</v>
      </c>
      <c r="K227" s="5" t="e">
        <f ca="1">IF(OR(INDEX($AI$2:$AI$1001,MATCH(ROWS($AH$2:AH227),$AH$2:$AH$1001,0),1)&gt;=100000,INDEX($AO$1005:$BQ$1005,1,MATCH(COLUMNS($AO$1006:AX1006),$AO$1006:$BQ$1006,0))&gt;=100000), " ",IF(INDEX($AO$2:$BQ$1001,MATCH(ROWS($AH$2:AH227),$AH$2:$AH$1001,0),MATCH(COLUMNS($AO$1006:AX1006),$AO$1006:$BQ$1006,0)), HYPERLINK("#",""), HYPERLINK(CONCATENATE("#Metadata!", ADDRESS(INDEX($AJ$2:$AJ$1001,MATCH(ROWS($AH$2:AH227),$AH$2:$AH$1001,0),0), INDEX($AO$1004:$BQ$1004,1,MATCH(COLUMNS($AO$1006:AX1006),$AO$1006:$BQ$1006,0)))),"Fix")))</f>
        <v>#N/A</v>
      </c>
      <c r="L227" s="5" t="e">
        <f ca="1">IF(OR(INDEX($AI$2:$AI$1001,MATCH(ROWS($AH$2:AH227),$AH$2:$AH$1001,0),1)&gt;=100000,INDEX($AO$1005:$BQ$1005,1,MATCH(COLUMNS($AO$1006:AY1006),$AO$1006:$BQ$1006,0))&gt;=100000), " ",IF(INDEX($AO$2:$BQ$1001,MATCH(ROWS($AH$2:AH227),$AH$2:$AH$1001,0),MATCH(COLUMNS($AO$1006:AY1006),$AO$1006:$BQ$1006,0)), HYPERLINK("#",""), HYPERLINK(CONCATENATE("#Metadata!", ADDRESS(INDEX($AJ$2:$AJ$1001,MATCH(ROWS($AH$2:AH227),$AH$2:$AH$1001,0),0), INDEX($AO$1004:$BQ$1004,1,MATCH(COLUMNS($AO$1006:AY1006),$AO$1006:$BQ$1006,0)))),"Fix")))</f>
        <v>#N/A</v>
      </c>
      <c r="M227" s="5" t="e">
        <f ca="1">IF(OR(INDEX($AI$2:$AI$1001,MATCH(ROWS($AH$2:AH227),$AH$2:$AH$1001,0),1)&gt;=100000,INDEX($AO$1005:$BQ$1005,1,MATCH(COLUMNS($AO$1006:AZ1006),$AO$1006:$BQ$1006,0))&gt;=100000), " ",IF(INDEX($AO$2:$BQ$1001,MATCH(ROWS($AH$2:AH227),$AH$2:$AH$1001,0),MATCH(COLUMNS($AO$1006:AZ1006),$AO$1006:$BQ$1006,0)), HYPERLINK("#",""), HYPERLINK(CONCATENATE("#Metadata!", ADDRESS(INDEX($AJ$2:$AJ$1001,MATCH(ROWS($AH$2:AH227),$AH$2:$AH$1001,0),0), INDEX($AO$1004:$BQ$1004,1,MATCH(COLUMNS($AO$1006:AZ1006),$AO$1006:$BQ$1006,0)))),"Fix")))</f>
        <v>#N/A</v>
      </c>
      <c r="N227" s="5" t="e">
        <f ca="1">IF(OR(INDEX($AI$2:$AI$1001,MATCH(ROWS($AH$2:AH227),$AH$2:$AH$1001,0),1)&gt;=100000,INDEX($AO$1005:$BQ$1005,1,MATCH(COLUMNS($AO$1006:BA1006),$AO$1006:$BQ$1006,0))&gt;=100000), " ",IF(INDEX($AO$2:$BQ$1001,MATCH(ROWS($AH$2:AH227),$AH$2:$AH$1001,0),MATCH(COLUMNS($AO$1006:BA1006),$AO$1006:$BQ$1006,0)), HYPERLINK("#",""), HYPERLINK(CONCATENATE("#Metadata!", ADDRESS(INDEX($AJ$2:$AJ$1001,MATCH(ROWS($AH$2:AH227),$AH$2:$AH$1001,0),0), INDEX($AO$1004:$BQ$1004,1,MATCH(COLUMNS($AO$1006:BA1006),$AO$1006:$BQ$1006,0)))),"Fix")))</f>
        <v>#N/A</v>
      </c>
      <c r="O227" s="5" t="e">
        <f ca="1">IF(OR(INDEX($AI$2:$AI$1001,MATCH(ROWS($AH$2:AH227),$AH$2:$AH$1001,0),1)&gt;=100000,INDEX($AO$1005:$BQ$1005,1,MATCH(COLUMNS($AO$1006:BB1006),$AO$1006:$BQ$1006,0))&gt;=100000), " ",IF(INDEX($AO$2:$BQ$1001,MATCH(ROWS($AH$2:AH227),$AH$2:$AH$1001,0),MATCH(COLUMNS($AO$1006:BB1006),$AO$1006:$BQ$1006,0)), HYPERLINK("#",""), HYPERLINK(CONCATENATE("#Metadata!", ADDRESS(INDEX($AJ$2:$AJ$1001,MATCH(ROWS($AH$2:AH227),$AH$2:$AH$1001,0),0), INDEX($AO$1004:$BQ$1004,1,MATCH(COLUMNS($AO$1006:BB1006),$AO$1006:$BQ$1006,0)))),"Fix")))</f>
        <v>#N/A</v>
      </c>
      <c r="P227" s="5" t="e">
        <f ca="1">IF(OR(INDEX($AI$2:$AI$1001,MATCH(ROWS($AH$2:AH227),$AH$2:$AH$1001,0),1)&gt;=100000,INDEX($AO$1005:$BQ$1005,1,MATCH(COLUMNS($AO$1006:BC1006),$AO$1006:$BQ$1006,0))&gt;=100000), " ",IF(INDEX($AO$2:$BQ$1001,MATCH(ROWS($AH$2:AH227),$AH$2:$AH$1001,0),MATCH(COLUMNS($AO$1006:BC1006),$AO$1006:$BQ$1006,0)), HYPERLINK("#",""), HYPERLINK(CONCATENATE("#Metadata!", ADDRESS(INDEX($AJ$2:$AJ$1001,MATCH(ROWS($AH$2:AH227),$AH$2:$AH$1001,0),0), INDEX($AO$1004:$BQ$1004,1,MATCH(COLUMNS($AO$1006:BC1006),$AO$1006:$BQ$1006,0)))),"Fix")))</f>
        <v>#N/A</v>
      </c>
      <c r="Q227" s="5" t="e">
        <f ca="1">IF(OR(INDEX($AI$2:$AI$1001,MATCH(ROWS($AH$2:AH227),$AH$2:$AH$1001,0),1)&gt;=100000,INDEX($AO$1005:$BQ$1005,1,MATCH(COLUMNS($AO$1006:BD1006),$AO$1006:$BQ$1006,0))&gt;=100000), " ",IF(INDEX($AO$2:$BQ$1001,MATCH(ROWS($AH$2:AH227),$AH$2:$AH$1001,0),MATCH(COLUMNS($AO$1006:BD1006),$AO$1006:$BQ$1006,0)), HYPERLINK("#",""), HYPERLINK(CONCATENATE("#Metadata!", ADDRESS(INDEX($AJ$2:$AJ$1001,MATCH(ROWS($AH$2:AH227),$AH$2:$AH$1001,0),0), INDEX($AO$1004:$BQ$1004,1,MATCH(COLUMNS($AO$1006:BD1006),$AO$1006:$BQ$1006,0)))),"Fix")))</f>
        <v>#N/A</v>
      </c>
      <c r="R227" s="5" t="e">
        <f ca="1">IF(OR(INDEX($AI$2:$AI$1001,MATCH(ROWS($AH$2:AH227),$AH$2:$AH$1001,0),1)&gt;=100000,INDEX($AO$1005:$BQ$1005,1,MATCH(COLUMNS($AO$1006:BE1006),$AO$1006:$BQ$1006,0))&gt;=100000), " ",IF(INDEX($AO$2:$BQ$1001,MATCH(ROWS($AH$2:AH227),$AH$2:$AH$1001,0),MATCH(COLUMNS($AO$1006:BE1006),$AO$1006:$BQ$1006,0)), HYPERLINK("#",""), HYPERLINK(CONCATENATE("#Metadata!", ADDRESS(INDEX($AJ$2:$AJ$1001,MATCH(ROWS($AH$2:AH227),$AH$2:$AH$1001,0),0), INDEX($AO$1004:$BQ$1004,1,MATCH(COLUMNS($AO$1006:BE1006),$AO$1006:$BQ$1006,0)))),"Fix")))</f>
        <v>#N/A</v>
      </c>
      <c r="S227" s="5" t="e">
        <f ca="1">IF(OR(INDEX($AI$2:$AI$1001,MATCH(ROWS($AH$2:AH227),$AH$2:$AH$1001,0),1)&gt;=100000,INDEX($AO$1005:$BQ$1005,1,MATCH(COLUMNS($AO$1006:BF1006),$AO$1006:$BQ$1006,0))&gt;=100000), " ",IF(INDEX($AO$2:$BQ$1001,MATCH(ROWS($AH$2:AH227),$AH$2:$AH$1001,0),MATCH(COLUMNS($AO$1006:BF1006),$AO$1006:$BQ$1006,0)), HYPERLINK("#",""), HYPERLINK(CONCATENATE("#Metadata!", ADDRESS(INDEX($AJ$2:$AJ$1001,MATCH(ROWS($AH$2:AH227),$AH$2:$AH$1001,0),0), INDEX($AO$1004:$BQ$1004,1,MATCH(COLUMNS($AO$1006:BF1006),$AO$1006:$BQ$1006,0)))),"Fix")))</f>
        <v>#N/A</v>
      </c>
      <c r="T227" s="5" t="e">
        <f ca="1">IF(OR(INDEX($AI$2:$AI$1001,MATCH(ROWS($AH$2:AH227),$AH$2:$AH$1001,0),1)&gt;=100000,INDEX($AO$1005:$BQ$1005,1,MATCH(COLUMNS($AO$1006:BG1006),$AO$1006:$BQ$1006,0))&gt;=100000), " ",IF(INDEX($AO$2:$BQ$1001,MATCH(ROWS($AH$2:AH227),$AH$2:$AH$1001,0),MATCH(COLUMNS($AO$1006:BG1006),$AO$1006:$BQ$1006,0)), HYPERLINK("#",""), HYPERLINK(CONCATENATE("#Metadata!", ADDRESS(INDEX($AJ$2:$AJ$1001,MATCH(ROWS($AH$2:AH227),$AH$2:$AH$1001,0),0), INDEX($AO$1004:$BQ$1004,1,MATCH(COLUMNS($AO$1006:BG1006),$AO$1006:$BQ$1006,0)))),"Fix")))</f>
        <v>#N/A</v>
      </c>
      <c r="U227" s="5" t="e">
        <f ca="1">IF(OR(INDEX($AI$2:$AI$1001,MATCH(ROWS($AH$2:AH227),$AH$2:$AH$1001,0),1)&gt;=100000,INDEX($AO$1005:$BQ$1005,1,MATCH(COLUMNS($AO$1006:BH1006),$AO$1006:$BQ$1006,0))&gt;=100000), " ",IF(INDEX($AO$2:$BQ$1001,MATCH(ROWS($AH$2:AH227),$AH$2:$AH$1001,0),MATCH(COLUMNS($AO$1006:BH1006),$AO$1006:$BQ$1006,0)), HYPERLINK("#",""), HYPERLINK(CONCATENATE("#Metadata!", ADDRESS(INDEX($AJ$2:$AJ$1001,MATCH(ROWS($AH$2:AH227),$AH$2:$AH$1001,0),0), INDEX($AO$1004:$BQ$1004,1,MATCH(COLUMNS($AO$1006:BH1006),$AO$1006:$BQ$1006,0)))),"Fix")))</f>
        <v>#N/A</v>
      </c>
      <c r="V227" s="5" t="e">
        <f ca="1">IF(OR(INDEX($AI$2:$AI$1001,MATCH(ROWS($AH$2:AH227),$AH$2:$AH$1001,0),1)&gt;=100000,INDEX($AO$1005:$BQ$1005,1,MATCH(COLUMNS($AO$1006:BI1006),$AO$1006:$BQ$1006,0))&gt;=100000), " ",IF(INDEX($AO$2:$BQ$1001,MATCH(ROWS($AH$2:AH227),$AH$2:$AH$1001,0),MATCH(COLUMNS($AO$1006:BI1006),$AO$1006:$BQ$1006,0)), HYPERLINK("#",""), HYPERLINK(CONCATENATE("#Metadata!", ADDRESS(INDEX($AJ$2:$AJ$1001,MATCH(ROWS($AH$2:AH227),$AH$2:$AH$1001,0),0), INDEX($AO$1004:$BQ$1004,1,MATCH(COLUMNS($AO$1006:BI1006),$AO$1006:$BQ$1006,0)))),"Fix")))</f>
        <v>#N/A</v>
      </c>
      <c r="W227" s="5" t="e">
        <f ca="1">IF(OR(INDEX($AI$2:$AI$1001,MATCH(ROWS($AH$2:AH227),$AH$2:$AH$1001,0),1)&gt;=100000,INDEX($AO$1005:$BQ$1005,1,MATCH(COLUMNS($AO$1006:BJ1006),$AO$1006:$BQ$1006,0))&gt;=100000), " ",IF(INDEX($AO$2:$BQ$1001,MATCH(ROWS($AH$2:AH227),$AH$2:$AH$1001,0),MATCH(COLUMNS($AO$1006:BJ1006),$AO$1006:$BQ$1006,0)), HYPERLINK("#",""), HYPERLINK(CONCATENATE("#Metadata!", ADDRESS(INDEX($AJ$2:$AJ$1001,MATCH(ROWS($AH$2:AH227),$AH$2:$AH$1001,0),0), INDEX($AO$1004:$BQ$1004,1,MATCH(COLUMNS($AO$1006:BJ1006),$AO$1006:$BQ$1006,0)))),"Fix")))</f>
        <v>#N/A</v>
      </c>
      <c r="X227" s="5" t="e">
        <f ca="1">IF(OR(INDEX($AI$2:$AI$1001,MATCH(ROWS($AH$2:AH227),$AH$2:$AH$1001,0),1)&gt;=100000,INDEX($AO$1005:$BQ$1005,1,MATCH(COLUMNS($AO$1006:BK1006),$AO$1006:$BQ$1006,0))&gt;=100000), " ",IF(INDEX($AO$2:$BQ$1001,MATCH(ROWS($AH$2:AH227),$AH$2:$AH$1001,0),MATCH(COLUMNS($AO$1006:BK1006),$AO$1006:$BQ$1006,0)), HYPERLINK("#",""), HYPERLINK(CONCATENATE("#Metadata!", ADDRESS(INDEX($AJ$2:$AJ$1001,MATCH(ROWS($AH$2:AH227),$AH$2:$AH$1001,0),0), INDEX($AO$1004:$BQ$1004,1,MATCH(COLUMNS($AO$1006:BK1006),$AO$1006:$BQ$1006,0)))),"Fix")))</f>
        <v>#N/A</v>
      </c>
      <c r="Y227" s="5" t="e">
        <f ca="1">IF(OR(INDEX($AI$2:$AI$1001,MATCH(ROWS($AH$2:AH227),$AH$2:$AH$1001,0),1)&gt;=100000,INDEX($AO$1005:$BQ$1005,1,MATCH(COLUMNS($AO$1006:BL1006),$AO$1006:$BQ$1006,0))&gt;=100000), " ",IF(INDEX($AO$2:$BQ$1001,MATCH(ROWS($AH$2:AH227),$AH$2:$AH$1001,0),MATCH(COLUMNS($AO$1006:BL1006),$AO$1006:$BQ$1006,0)), HYPERLINK("#",""), HYPERLINK(CONCATENATE("#Metadata!", ADDRESS(INDEX($AJ$2:$AJ$1001,MATCH(ROWS($AH$2:AH227),$AH$2:$AH$1001,0),0), INDEX($AO$1004:$BQ$1004,1,MATCH(COLUMNS($AO$1006:BL1006),$AO$1006:$BQ$1006,0)))),"Fix")))</f>
        <v>#N/A</v>
      </c>
      <c r="Z227" s="5" t="e">
        <f ca="1">IF(OR(INDEX($AI$2:$AI$1001,MATCH(ROWS($AH$2:AH227),$AH$2:$AH$1001,0),1)&gt;=100000,INDEX($AO$1005:$BQ$1005,1,MATCH(COLUMNS($AO$1006:BM1006),$AO$1006:$BQ$1006,0))&gt;=100000), " ",IF(INDEX($AO$2:$BQ$1001,MATCH(ROWS($AH$2:AH227),$AH$2:$AH$1001,0),MATCH(COLUMNS($AO$1006:BM1006),$AO$1006:$BQ$1006,0)), HYPERLINK("#",""), HYPERLINK(CONCATENATE("#Metadata!", ADDRESS(INDEX($AJ$2:$AJ$1001,MATCH(ROWS($AH$2:AH227),$AH$2:$AH$1001,0),0), INDEX($AO$1004:$BQ$1004,1,MATCH(COLUMNS($AO$1006:BM1006),$AO$1006:$BQ$1006,0)))),"Fix")))</f>
        <v>#N/A</v>
      </c>
      <c r="AA227" s="5" t="e">
        <f ca="1">IF(OR(INDEX($AI$2:$AI$1001,MATCH(ROWS($AH$2:AH227),$AH$2:$AH$1001,0),1)&gt;=100000,INDEX($AO$1005:$BQ$1005,1,MATCH(COLUMNS($AO$1006:BN1006),$AO$1006:$BQ$1006,0))&gt;=100000), " ",IF(INDEX($AO$2:$BQ$1001,MATCH(ROWS($AH$2:AH227),$AH$2:$AH$1001,0),MATCH(COLUMNS($AO$1006:BN1006),$AO$1006:$BQ$1006,0)), HYPERLINK("#",""), HYPERLINK(CONCATENATE("#Metadata!", ADDRESS(INDEX($AJ$2:$AJ$1001,MATCH(ROWS($AH$2:AH227),$AH$2:$AH$1001,0),0), INDEX($AO$1004:$BQ$1004,1,MATCH(COLUMNS($AO$1006:BN1006),$AO$1006:$BQ$1006,0)))),"Fix")))</f>
        <v>#N/A</v>
      </c>
      <c r="AB227" s="5" t="e">
        <f ca="1">IF(OR(INDEX($AI$2:$AI$1001,MATCH(ROWS($AH$2:AH227),$AH$2:$AH$1001,0),1)&gt;=100000,INDEX($AO$1005:$BQ$1005,1,MATCH(COLUMNS($AO$1006:BO1006),$AO$1006:$BQ$1006,0))&gt;=100000), " ",IF(INDEX($AO$2:$BQ$1001,MATCH(ROWS($AH$2:AH227),$AH$2:$AH$1001,0),MATCH(COLUMNS($AO$1006:BO1006),$AO$1006:$BQ$1006,0)), HYPERLINK("#",""), HYPERLINK(CONCATENATE("#Metadata!", ADDRESS(INDEX($AJ$2:$AJ$1001,MATCH(ROWS($AH$2:AH227),$AH$2:$AH$1001,0),0), INDEX($AO$1004:$BQ$1004,1,MATCH(COLUMNS($AO$1006:BO1006),$AO$1006:$BQ$1006,0)))),"Fix")))</f>
        <v>#N/A</v>
      </c>
      <c r="AC227" s="5" t="e">
        <f ca="1">IF(OR(INDEX($AI$2:$AI$1001,MATCH(ROWS($AH$2:AH227),$AH$2:$AH$1001,0),1)&gt;=100000,INDEX($AO$1005:$BQ$1005,1,MATCH(COLUMNS($AO$1006:BP1006),$AO$1006:$BQ$1006,0))&gt;=100000), " ",IF(INDEX($AO$2:$BQ$1001,MATCH(ROWS($AH$2:AH227),$AH$2:$AH$1001,0),MATCH(COLUMNS($AO$1006:BP1006),$AO$1006:$BQ$1006,0)), HYPERLINK("#",""), HYPERLINK(CONCATENATE("#Metadata!", ADDRESS(INDEX($AJ$2:$AJ$1001,MATCH(ROWS($AH$2:AH227),$AH$2:$AH$1001,0),0), INDEX($AO$1004:$BQ$1004,1,MATCH(COLUMNS($AO$1006:BP1006),$AO$1006:$BQ$1006,0)))),"Fix")))</f>
        <v>#N/A</v>
      </c>
      <c r="AD227" s="5" t="e">
        <f ca="1">IF(OR(INDEX($AI$2:$AI$1001,MATCH(ROWS($AH$2:AH227),$AH$2:$AH$1001,0),1)&gt;=100000,INDEX($AO$1005:$BQ$1005,1,MATCH(COLUMNS($AO$1006:BQ1006),$AO$1006:$BQ$1006,0))&gt;=100000), " ",IF(INDEX($AO$2:$BQ$1001,MATCH(ROWS($AH$2:AH227),$AH$2:$AH$1001,0),MATCH(COLUMNS($AO$1006:BQ1006),$AO$1006:$BQ$1006,0)), HYPERLINK("#",""), HYPERLINK(CONCATENATE("#Metadata!", ADDRESS(INDEX($AJ$2:$AJ$1001,MATCH(ROWS($AH$2:AH227),$AH$2:$AH$1001,0),0), INDEX($AO$1004:$BQ$1004,1,MATCH(COLUMNS($AO$1006:BQ1006),$AO$1006:$BQ$1006,0)))),"Fix")))</f>
        <v>#REF!</v>
      </c>
      <c r="AH227">
        <f ca="1"/>
        <v>224</v>
      </c>
      <c r="AI227">
        <v>100227</v>
      </c>
      <c r="AJ227">
        <v>227</v>
      </c>
      <c r="AK227" t="b">
        <f t="shared" si="3"/>
        <v>1</v>
      </c>
      <c r="AL227" t="b">
        <f>COUNTBLANK(Metadata!B227:AD227)=COLUMNS(Metadata!B227:AD227)</f>
        <v>1</v>
      </c>
      <c r="AM227" t="str">
        <v/>
      </c>
      <c r="AO227" t="b">
        <f ca="1">AND(IF(Metadata!B227="",FALSE,TRUE),COUNTIF(Metadata!B:B, Metadata!B227) = 1,NOT(ISERROR(SUMPRODUCT(SEARCH(MID(Metadata!B227,ROW(INDIRECT("1:"&amp;LEN(Metadata!B227))), 1),"0123456789abcdefghijklmnopqrstuvwxyzABCDEFGHIJKLMNOPQRSTUVWXYZ.")))))</f>
        <v>0</v>
      </c>
      <c r="AP227" t="b">
        <f>IF(Metadata!C227="",FALSE,TRUE)</f>
        <v>0</v>
      </c>
      <c r="AQ227" t="b">
        <f>IF(Metadata!D227="",FALSE,TRUE)</f>
        <v>0</v>
      </c>
      <c r="AR227" t="b">
        <f ca="1">OR(AND(IF(Metadata!E227="",FALSE,TRUE),OR(EXACT(Metadata!E227,"not collected"),EXACT(Metadata!E227,"not provided"),EXACT(Metadata!E227,"restricted access"))),AND(IF(Metadata!E227="",FALSE,TRUE),AND(AND(IFERROR(INT(LEFT(Metadata!E227,4))&gt;1900,FALSE),IFERROR(INT(LEFT(Metadata!E227,4))&lt;=YEAR(NOW()),FALSE)), OR(MID(Metadata!E227,5,1)="", AND(AND(MID(Metadata!E227,5,1)="-",IFERROR(INT(MID(Metadata!E227,6,1))&gt;=0,FALSE),IFERROR(INT(MID(Metadata!E227,6,1))&lt;=1,FALSE),NOT(MID(Metadata!E227,7,1)=""),IFERROR(INT(MID(Metadata!E227,6,2))&gt;=1,FALSE),IFERROR(INT(MID(Metadata!E227,6,2))&lt;=12,FALSE)), OR(MID(Metadata!E227,8,1)="", AND(AND(MID(Metadata!E227,8,1)="-",IFERROR(INT(MID(Metadata!E227,9,1))&gt;=0,FALSE),IFERROR(INT(MID(Metadata!E227,9,1))&lt;=3,FALSE),NOT(MID(Metadata!E227,10,1)=""),IFERROR(INT(MID(Metadata!E227,9,2))&gt;=1,FALSE),IFERROR(INT(MID(Metadata!E227,9,2))&lt;=31,FALSE)), OR(MID(Metadata!E227,11,1)="", AND(AND(MID(Metadata!E227,11,1)=" ",IFERROR(INT(MID(Metadata!E227,12,1))&gt;=0,FALSE),IFERROR(INT(MID(Metadata!E227,12,1))&lt;=2,FALSE),NOT(MID(Metadata!E227,13,1)=""),IFERROR(INT(MID(Metadata!E227,12,2))&gt;=0,FALSE),IFERROR(INT(MID(Metadata!E227,12,2))&lt;=23,FALSE)), OR(MID(Metadata!E227,14,1)="", AND(AND(MID(Metadata!E227,14,1)=":",IFERROR(INT(MID(Metadata!E227,15,1))&gt;=0,FALSE),IFERROR(INT(MID(Metadata!E227,15,1))&lt;=5,FALSE),NOT(MID(Metadata!E227,16,1)=""),IFERROR(INT(MID(Metadata!E227,15,2))&gt;=0,FALSE),IFERROR(INT(MID(Metadata!E227,15,2))&lt;=59,FALSE)), OR(MID(Metadata!E227,17,1)="", AND(AND(MID(Metadata!E227,17,1)=":",IFERROR(INT(MID(Metadata!E227,18,1))&gt;=0,FALSE),IFERROR(INT(MID(Metadata!E227,18,1))&lt;=5,FALSE),NOT(MID(Metadata!E227,19,1)=""),IFERROR(INT(MID(Metadata!E227,18,2))&gt;=0,FALSE),IFERROR(INT(MID(Metadata!E227,18,2))&lt;=59,FALSE)), LEN(Metadata!E227)&lt;=19)))))))))))))</f>
        <v>0</v>
      </c>
      <c r="AS227" t="b">
        <f>IF(Metadata!F227="",FALSE,TRUE)</f>
        <v>0</v>
      </c>
      <c r="AT227" t="b">
        <f>OR(AND(IF(Metadata!G227="",FALSE,TRUE),OR(EXACT(Metadata!G227,"not collected"),EXACT(Metadata!G227,"not provided"))),AND(IF(Metadata!G227="",FALSE,TRUE),OR(EXACT(Metadata!G227,"TRUE"),EXACT(Metadata!G227,"FALSE"))))</f>
        <v>0</v>
      </c>
      <c r="AU227" t="b">
        <f>OR(AND(IF(Metadata!H227="",FALSE,TRUE),OR(EXACT(Metadata!H227,"not collected"),EXACT(Metadata!H227,"not provided"),EXACT(Metadata!H227,"restricted access"))),AND(IF(Metadata!H227="",FALSE,ISNUMBER(VALUE(Metadata!H227))),Metadata!H227&gt;=-413))</f>
        <v>0</v>
      </c>
      <c r="AV227" t="b">
        <f>AND(IF(Metadata!I227="",FALSE,TRUE),EXACT(Metadata!I227,"meters"))</f>
        <v>0</v>
      </c>
      <c r="AW227" t="b">
        <f>AND(IF(Metadata!J227="",FALSE,TRUE),EXACT(Metadata!J227,"free-living"))</f>
        <v>0</v>
      </c>
      <c r="AX227" t="b">
        <f>AND(IF(Metadata!K227="",FALSE,TRUE),OR(EXACT(Metadata!K227,"saline"),EXACT(Metadata!K227,"non-saline")))</f>
        <v>0</v>
      </c>
      <c r="AY227" t="b">
        <f>AND(IF(Metadata!L227="",FALSE,TRUE),OR(EXACT(Metadata!L227,"sub-surface (non-saline)"),EXACT(Metadata!L227,"surface (non-saline)"),EXACT(Metadata!L227,"water (non-saline)"),EXACT(Metadata!L227,"soil (non-saline)"),EXACT(Metadata!L227,"aerosol (non-saline)"),EXACT(Metadata!L227,"sediment (non-saline)"),EXACT(Metadata!L227,"surface (saline)"),EXACT(Metadata!L227,"water (saline)"),EXACT(Metadata!L227,"hypersaline (saline)"),EXACT(Metadata!L227,"aerosol (saline)"),EXACT(Metadata!L227,"sediment (saline)")))</f>
        <v>0</v>
      </c>
      <c r="AZ227" t="b">
        <f>IF(Metadata!M227="",FALSE,TRUE)</f>
        <v>0</v>
      </c>
      <c r="BA227" t="b">
        <f>IF(Metadata!N227="",FALSE,TRUE)</f>
        <v>0</v>
      </c>
      <c r="BB227" t="b">
        <f>IF(Metadata!O227="",FALSE,TRUE)</f>
        <v>0</v>
      </c>
      <c r="BC227" t="b">
        <f>AND(IF(Metadata!P227="",FALSE,TRUE),OR(EXACT(Metadata!P227,"air"),EXACT(Metadata!P227,"microbial mat/biofilm"),EXACT(Metadata!P227,"misc environment"),EXACT(Metadata!P227,"sediment"),EXACT(Metadata!P227,"soil"),EXACT(Metadata!P227,"wastewater/sludge"),EXACT(Metadata!P227,"water")))</f>
        <v>0</v>
      </c>
      <c r="BD227" t="b">
        <f>IF(Metadata!Q227="",FALSE,TRUE)</f>
        <v>0</v>
      </c>
      <c r="BE227" t="b">
        <f>IF(Metadata!R227="",FALSE,TRUE)</f>
        <v>0</v>
      </c>
      <c r="BF227" t="b">
        <f>OR(AND(IF(Metadata!S227="",FALSE,TRUE),OR(EXACT(Metadata!S227,"not collected"),EXACT(Metadata!S227,"not provided"),EXACT(Metadata!S227,"restricted access"))),AND(IF(Metadata!S227="",FALSE,ISNUMBER(VALUE(Metadata!S227))),Metadata!S227&gt;=-90,Metadata!S227&lt;=90))</f>
        <v>0</v>
      </c>
      <c r="BG227" t="b">
        <f>AND(IF(Metadata!T227="",FALSE,TRUE),EXACT(Metadata!T227,"Decimal degrees"))</f>
        <v>0</v>
      </c>
      <c r="BH227" t="b">
        <f>OR(AND(IF(Metadata!U227="",FALSE,TRUE),OR(EXACT(Metadata!U227,"not applicable"),EXACT(Metadata!U227,"not collected"))),IF(Metadata!U227="",FALSE,TRUE))</f>
        <v>0</v>
      </c>
      <c r="BI227" t="b">
        <f>OR(AND(IF(Metadata!V227="",FALSE,TRUE),OR(EXACT(Metadata!V227,"not collected"),EXACT(Metadata!V227,"not provided"),EXACT(Metadata!V227,"restricted access"))),AND(IF(Metadata!V227="",FALSE,ISNUMBER(VALUE(Metadata!V227))),Metadata!V227&gt;=-180,Metadata!V227&lt;=180))</f>
        <v>0</v>
      </c>
      <c r="BJ227" t="b">
        <f>AND(IF(Metadata!W227="",FALSE,TRUE),EXACT(Metadata!W227,"Decimal degrees"))</f>
        <v>0</v>
      </c>
      <c r="BK227" t="b">
        <f>IF(Metadata!X227="",FALSE,TRUE)</f>
        <v>0</v>
      </c>
      <c r="BL227" t="b">
        <f>OR(AND(IF(Metadata!Y227="",FALSE,TRUE),OR(EXACT(Metadata!Y227,"not collected"),EXACT(Metadata!Y227,"not provided"),EXACT(Metadata!Y227,"restricted access"))),AND(IF(Metadata!Y227="",FALSE,TRUE),OR(EXACT(Metadata!Y227,"TRUE"),EXACT(Metadata!Y227,"FALSE"))))</f>
        <v>0</v>
      </c>
      <c r="BM227" t="b">
        <f>OR(AND(IF(Metadata!Z227="",FALSE,TRUE),EXACT(Metadata!Z227,"not applicable")),AND(IF(Metadata!Z227="",FALSE,TRUE),OR(EXACT(Metadata!Z227,"beer"),EXACT(Metadata!Z227,"cheese"),EXACT(Metadata!Z227,"fresh water"),EXACT(Metadata!Z227,"marine sediment"),EXACT(Metadata!Z227,"sea water"),EXACT(Metadata!Z227,"sediment"),EXACT(Metadata!Z227,"soil"),EXACT(Metadata!Z227,"waste water"))))</f>
        <v>0</v>
      </c>
      <c r="BN227" t="b">
        <f>AND(IF(Metadata!AA227="",FALSE,TRUE),EXACT(Metadata!AA227,"metagenome"))</f>
        <v>0</v>
      </c>
      <c r="BO227" t="b">
        <f>AND(IF(Metadata!AB227="",FALSE,TRUE),EXACT(Metadata!AB227,"256318"))</f>
        <v>0</v>
      </c>
      <c r="BP227" t="b">
        <f>IF(Metadata!AC227="",FALSE,TRUE)</f>
        <v>0</v>
      </c>
      <c r="BQ227" t="b">
        <f>IF(Metadata!AD227="",FALSE,TRUE)</f>
        <v>0</v>
      </c>
    </row>
    <row r="228" spans="1:69" x14ac:dyDescent="0.2">
      <c r="A228" s="4" t="e">
        <f ca="1">IF(B228=" "," ",HYPERLINK(CONCATENATE("#metadata!",ADDRESS(INDEX($AJ$2:$AJ$1001,MATCH(ROWS($AH$2:AH228),$AH$2:$AH$1001,0),0),2)),INDEX($AM$2:$AM$1001,MATCH(ROWS($AH$2:AH228),$AH$2:$AH$1001,0),0)))</f>
        <v>#N/A</v>
      </c>
      <c r="B228" s="5" t="e">
        <f ca="1">IF(OR(INDEX($AI$2:$AI$1001,MATCH(ROWS($AH$2:AH228),$AH$2:$AH$1001,0),1)&gt;=100000,INDEX($AO$1005:$BQ$1005,1,MATCH(COLUMNS($AO$1006:AO1006),$AO$1006:$BQ$1006,0))&gt;=100000), " ",IF(INDEX($AO$2:$BQ$1001,MATCH(ROWS($AH$2:AH228),$AH$2:$AH$1001,0),MATCH(COLUMNS($AO$1006:AO1006),$AO$1006:$BQ$1006,0)), HYPERLINK("#",""), HYPERLINK(CONCATENATE("#Metadata!", ADDRESS(INDEX($AJ$2:$AJ$1001,MATCH(ROWS($AH$2:AH228),$AH$2:$AH$1001,0),0), INDEX($AO$1004:$BQ$1004,1,MATCH(COLUMNS($AO$1006:AO1006),$AO$1006:$BQ$1006,0)))),"Fix")))</f>
        <v>#N/A</v>
      </c>
      <c r="C228" s="5" t="e">
        <f ca="1">IF(OR(INDEX($AI$2:$AI$1001,MATCH(ROWS($AH$2:AH228),$AH$2:$AH$1001,0),1)&gt;=100000,INDEX($AO$1005:$BQ$1005,1,MATCH(COLUMNS($AO$1006:AP1006),$AO$1006:$BQ$1006,0))&gt;=100000), " ",IF(INDEX($AO$2:$BQ$1001,MATCH(ROWS($AH$2:AH228),$AH$2:$AH$1001,0),MATCH(COLUMNS($AO$1006:AP1006),$AO$1006:$BQ$1006,0)), HYPERLINK("#",""), HYPERLINK(CONCATENATE("#Metadata!", ADDRESS(INDEX($AJ$2:$AJ$1001,MATCH(ROWS($AH$2:AH228),$AH$2:$AH$1001,0),0), INDEX($AO$1004:$BQ$1004,1,MATCH(COLUMNS($AO$1006:AP1006),$AO$1006:$BQ$1006,0)))),"Fix")))</f>
        <v>#N/A</v>
      </c>
      <c r="D228" s="5" t="e">
        <f ca="1">IF(OR(INDEX($AI$2:$AI$1001,MATCH(ROWS($AH$2:AH228),$AH$2:$AH$1001,0),1)&gt;=100000,INDEX($AO$1005:$BQ$1005,1,MATCH(COLUMNS($AO$1006:AQ1006),$AO$1006:$BQ$1006,0))&gt;=100000), " ",IF(INDEX($AO$2:$BQ$1001,MATCH(ROWS($AH$2:AH228),$AH$2:$AH$1001,0),MATCH(COLUMNS($AO$1006:AQ1006),$AO$1006:$BQ$1006,0)), HYPERLINK("#",""), HYPERLINK(CONCATENATE("#Metadata!", ADDRESS(INDEX($AJ$2:$AJ$1001,MATCH(ROWS($AH$2:AH228),$AH$2:$AH$1001,0),0), INDEX($AO$1004:$BQ$1004,1,MATCH(COLUMNS($AO$1006:AQ1006),$AO$1006:$BQ$1006,0)))),"Fix")))</f>
        <v>#N/A</v>
      </c>
      <c r="E228" s="5" t="e">
        <f ca="1">IF(OR(INDEX($AI$2:$AI$1001,MATCH(ROWS($AH$2:AH228),$AH$2:$AH$1001,0),1)&gt;=100000,INDEX($AO$1005:$BQ$1005,1,MATCH(COLUMNS($AO$1006:AR1006),$AO$1006:$BQ$1006,0))&gt;=100000), " ",IF(INDEX($AO$2:$BQ$1001,MATCH(ROWS($AH$2:AH228),$AH$2:$AH$1001,0),MATCH(COLUMNS($AO$1006:AR1006),$AO$1006:$BQ$1006,0)), HYPERLINK("#",""), HYPERLINK(CONCATENATE("#Metadata!", ADDRESS(INDEX($AJ$2:$AJ$1001,MATCH(ROWS($AH$2:AH228),$AH$2:$AH$1001,0),0), INDEX($AO$1004:$BQ$1004,1,MATCH(COLUMNS($AO$1006:AR1006),$AO$1006:$BQ$1006,0)))),"Fix")))</f>
        <v>#N/A</v>
      </c>
      <c r="F228" s="5" t="e">
        <f ca="1">IF(OR(INDEX($AI$2:$AI$1001,MATCH(ROWS($AH$2:AH228),$AH$2:$AH$1001,0),1)&gt;=100000,INDEX($AO$1005:$BQ$1005,1,MATCH(COLUMNS($AO$1006:AS1006),$AO$1006:$BQ$1006,0))&gt;=100000), " ",IF(INDEX($AO$2:$BQ$1001,MATCH(ROWS($AH$2:AH228),$AH$2:$AH$1001,0),MATCH(COLUMNS($AO$1006:AS1006),$AO$1006:$BQ$1006,0)), HYPERLINK("#",""), HYPERLINK(CONCATENATE("#Metadata!", ADDRESS(INDEX($AJ$2:$AJ$1001,MATCH(ROWS($AH$2:AH228),$AH$2:$AH$1001,0),0), INDEX($AO$1004:$BQ$1004,1,MATCH(COLUMNS($AO$1006:AS1006),$AO$1006:$BQ$1006,0)))),"Fix")))</f>
        <v>#N/A</v>
      </c>
      <c r="G228" s="5" t="e">
        <f ca="1">IF(OR(INDEX($AI$2:$AI$1001,MATCH(ROWS($AH$2:AH228),$AH$2:$AH$1001,0),1)&gt;=100000,INDEX($AO$1005:$BQ$1005,1,MATCH(COLUMNS($AO$1006:AT1006),$AO$1006:$BQ$1006,0))&gt;=100000), " ",IF(INDEX($AO$2:$BQ$1001,MATCH(ROWS($AH$2:AH228),$AH$2:$AH$1001,0),MATCH(COLUMNS($AO$1006:AT1006),$AO$1006:$BQ$1006,0)), HYPERLINK("#",""), HYPERLINK(CONCATENATE("#Metadata!", ADDRESS(INDEX($AJ$2:$AJ$1001,MATCH(ROWS($AH$2:AH228),$AH$2:$AH$1001,0),0), INDEX($AO$1004:$BQ$1004,1,MATCH(COLUMNS($AO$1006:AT1006),$AO$1006:$BQ$1006,0)))),"Fix")))</f>
        <v>#N/A</v>
      </c>
      <c r="H228" s="5" t="e">
        <f ca="1">IF(OR(INDEX($AI$2:$AI$1001,MATCH(ROWS($AH$2:AH228),$AH$2:$AH$1001,0),1)&gt;=100000,INDEX($AO$1005:$BQ$1005,1,MATCH(COLUMNS($AO$1006:AU1006),$AO$1006:$BQ$1006,0))&gt;=100000), " ",IF(INDEX($AO$2:$BQ$1001,MATCH(ROWS($AH$2:AH228),$AH$2:$AH$1001,0),MATCH(COLUMNS($AO$1006:AU1006),$AO$1006:$BQ$1006,0)), HYPERLINK("#",""), HYPERLINK(CONCATENATE("#Metadata!", ADDRESS(INDEX($AJ$2:$AJ$1001,MATCH(ROWS($AH$2:AH228),$AH$2:$AH$1001,0),0), INDEX($AO$1004:$BQ$1004,1,MATCH(COLUMNS($AO$1006:AU1006),$AO$1006:$BQ$1006,0)))),"Fix")))</f>
        <v>#N/A</v>
      </c>
      <c r="I228" s="5" t="e">
        <f ca="1">IF(OR(INDEX($AI$2:$AI$1001,MATCH(ROWS($AH$2:AH228),$AH$2:$AH$1001,0),1)&gt;=100000,INDEX($AO$1005:$BQ$1005,1,MATCH(COLUMNS($AO$1006:AV1006),$AO$1006:$BQ$1006,0))&gt;=100000), " ",IF(INDEX($AO$2:$BQ$1001,MATCH(ROWS($AH$2:AH228),$AH$2:$AH$1001,0),MATCH(COLUMNS($AO$1006:AV1006),$AO$1006:$BQ$1006,0)), HYPERLINK("#",""), HYPERLINK(CONCATENATE("#Metadata!", ADDRESS(INDEX($AJ$2:$AJ$1001,MATCH(ROWS($AH$2:AH228),$AH$2:$AH$1001,0),0), INDEX($AO$1004:$BQ$1004,1,MATCH(COLUMNS($AO$1006:AV1006),$AO$1006:$BQ$1006,0)))),"Fix")))</f>
        <v>#N/A</v>
      </c>
      <c r="J228" s="5" t="e">
        <f ca="1">IF(OR(INDEX($AI$2:$AI$1001,MATCH(ROWS($AH$2:AH228),$AH$2:$AH$1001,0),1)&gt;=100000,INDEX($AO$1005:$BQ$1005,1,MATCH(COLUMNS($AO$1006:AW1006),$AO$1006:$BQ$1006,0))&gt;=100000), " ",IF(INDEX($AO$2:$BQ$1001,MATCH(ROWS($AH$2:AH228),$AH$2:$AH$1001,0),MATCH(COLUMNS($AO$1006:AW1006),$AO$1006:$BQ$1006,0)), HYPERLINK("#",""), HYPERLINK(CONCATENATE("#Metadata!", ADDRESS(INDEX($AJ$2:$AJ$1001,MATCH(ROWS($AH$2:AH228),$AH$2:$AH$1001,0),0), INDEX($AO$1004:$BQ$1004,1,MATCH(COLUMNS($AO$1006:AW1006),$AO$1006:$BQ$1006,0)))),"Fix")))</f>
        <v>#N/A</v>
      </c>
      <c r="K228" s="5" t="e">
        <f ca="1">IF(OR(INDEX($AI$2:$AI$1001,MATCH(ROWS($AH$2:AH228),$AH$2:$AH$1001,0),1)&gt;=100000,INDEX($AO$1005:$BQ$1005,1,MATCH(COLUMNS($AO$1006:AX1006),$AO$1006:$BQ$1006,0))&gt;=100000), " ",IF(INDEX($AO$2:$BQ$1001,MATCH(ROWS($AH$2:AH228),$AH$2:$AH$1001,0),MATCH(COLUMNS($AO$1006:AX1006),$AO$1006:$BQ$1006,0)), HYPERLINK("#",""), HYPERLINK(CONCATENATE("#Metadata!", ADDRESS(INDEX($AJ$2:$AJ$1001,MATCH(ROWS($AH$2:AH228),$AH$2:$AH$1001,0),0), INDEX($AO$1004:$BQ$1004,1,MATCH(COLUMNS($AO$1006:AX1006),$AO$1006:$BQ$1006,0)))),"Fix")))</f>
        <v>#N/A</v>
      </c>
      <c r="L228" s="5" t="e">
        <f ca="1">IF(OR(INDEX($AI$2:$AI$1001,MATCH(ROWS($AH$2:AH228),$AH$2:$AH$1001,0),1)&gt;=100000,INDEX($AO$1005:$BQ$1005,1,MATCH(COLUMNS($AO$1006:AY1006),$AO$1006:$BQ$1006,0))&gt;=100000), " ",IF(INDEX($AO$2:$BQ$1001,MATCH(ROWS($AH$2:AH228),$AH$2:$AH$1001,0),MATCH(COLUMNS($AO$1006:AY1006),$AO$1006:$BQ$1006,0)), HYPERLINK("#",""), HYPERLINK(CONCATENATE("#Metadata!", ADDRESS(INDEX($AJ$2:$AJ$1001,MATCH(ROWS($AH$2:AH228),$AH$2:$AH$1001,0),0), INDEX($AO$1004:$BQ$1004,1,MATCH(COLUMNS($AO$1006:AY1006),$AO$1006:$BQ$1006,0)))),"Fix")))</f>
        <v>#N/A</v>
      </c>
      <c r="M228" s="5" t="e">
        <f ca="1">IF(OR(INDEX($AI$2:$AI$1001,MATCH(ROWS($AH$2:AH228),$AH$2:$AH$1001,0),1)&gt;=100000,INDEX($AO$1005:$BQ$1005,1,MATCH(COLUMNS($AO$1006:AZ1006),$AO$1006:$BQ$1006,0))&gt;=100000), " ",IF(INDEX($AO$2:$BQ$1001,MATCH(ROWS($AH$2:AH228),$AH$2:$AH$1001,0),MATCH(COLUMNS($AO$1006:AZ1006),$AO$1006:$BQ$1006,0)), HYPERLINK("#",""), HYPERLINK(CONCATENATE("#Metadata!", ADDRESS(INDEX($AJ$2:$AJ$1001,MATCH(ROWS($AH$2:AH228),$AH$2:$AH$1001,0),0), INDEX($AO$1004:$BQ$1004,1,MATCH(COLUMNS($AO$1006:AZ1006),$AO$1006:$BQ$1006,0)))),"Fix")))</f>
        <v>#N/A</v>
      </c>
      <c r="N228" s="5" t="e">
        <f ca="1">IF(OR(INDEX($AI$2:$AI$1001,MATCH(ROWS($AH$2:AH228),$AH$2:$AH$1001,0),1)&gt;=100000,INDEX($AO$1005:$BQ$1005,1,MATCH(COLUMNS($AO$1006:BA1006),$AO$1006:$BQ$1006,0))&gt;=100000), " ",IF(INDEX($AO$2:$BQ$1001,MATCH(ROWS($AH$2:AH228),$AH$2:$AH$1001,0),MATCH(COLUMNS($AO$1006:BA1006),$AO$1006:$BQ$1006,0)), HYPERLINK("#",""), HYPERLINK(CONCATENATE("#Metadata!", ADDRESS(INDEX($AJ$2:$AJ$1001,MATCH(ROWS($AH$2:AH228),$AH$2:$AH$1001,0),0), INDEX($AO$1004:$BQ$1004,1,MATCH(COLUMNS($AO$1006:BA1006),$AO$1006:$BQ$1006,0)))),"Fix")))</f>
        <v>#N/A</v>
      </c>
      <c r="O228" s="5" t="e">
        <f ca="1">IF(OR(INDEX($AI$2:$AI$1001,MATCH(ROWS($AH$2:AH228),$AH$2:$AH$1001,0),1)&gt;=100000,INDEX($AO$1005:$BQ$1005,1,MATCH(COLUMNS($AO$1006:BB1006),$AO$1006:$BQ$1006,0))&gt;=100000), " ",IF(INDEX($AO$2:$BQ$1001,MATCH(ROWS($AH$2:AH228),$AH$2:$AH$1001,0),MATCH(COLUMNS($AO$1006:BB1006),$AO$1006:$BQ$1006,0)), HYPERLINK("#",""), HYPERLINK(CONCATENATE("#Metadata!", ADDRESS(INDEX($AJ$2:$AJ$1001,MATCH(ROWS($AH$2:AH228),$AH$2:$AH$1001,0),0), INDEX($AO$1004:$BQ$1004,1,MATCH(COLUMNS($AO$1006:BB1006),$AO$1006:$BQ$1006,0)))),"Fix")))</f>
        <v>#N/A</v>
      </c>
      <c r="P228" s="5" t="e">
        <f ca="1">IF(OR(INDEX($AI$2:$AI$1001,MATCH(ROWS($AH$2:AH228),$AH$2:$AH$1001,0),1)&gt;=100000,INDEX($AO$1005:$BQ$1005,1,MATCH(COLUMNS($AO$1006:BC1006),$AO$1006:$BQ$1006,0))&gt;=100000), " ",IF(INDEX($AO$2:$BQ$1001,MATCH(ROWS($AH$2:AH228),$AH$2:$AH$1001,0),MATCH(COLUMNS($AO$1006:BC1006),$AO$1006:$BQ$1006,0)), HYPERLINK("#",""), HYPERLINK(CONCATENATE("#Metadata!", ADDRESS(INDEX($AJ$2:$AJ$1001,MATCH(ROWS($AH$2:AH228),$AH$2:$AH$1001,0),0), INDEX($AO$1004:$BQ$1004,1,MATCH(COLUMNS($AO$1006:BC1006),$AO$1006:$BQ$1006,0)))),"Fix")))</f>
        <v>#N/A</v>
      </c>
      <c r="Q228" s="5" t="e">
        <f ca="1">IF(OR(INDEX($AI$2:$AI$1001,MATCH(ROWS($AH$2:AH228),$AH$2:$AH$1001,0),1)&gt;=100000,INDEX($AO$1005:$BQ$1005,1,MATCH(COLUMNS($AO$1006:BD1006),$AO$1006:$BQ$1006,0))&gt;=100000), " ",IF(INDEX($AO$2:$BQ$1001,MATCH(ROWS($AH$2:AH228),$AH$2:$AH$1001,0),MATCH(COLUMNS($AO$1006:BD1006),$AO$1006:$BQ$1006,0)), HYPERLINK("#",""), HYPERLINK(CONCATENATE("#Metadata!", ADDRESS(INDEX($AJ$2:$AJ$1001,MATCH(ROWS($AH$2:AH228),$AH$2:$AH$1001,0),0), INDEX($AO$1004:$BQ$1004,1,MATCH(COLUMNS($AO$1006:BD1006),$AO$1006:$BQ$1006,0)))),"Fix")))</f>
        <v>#N/A</v>
      </c>
      <c r="R228" s="5" t="e">
        <f ca="1">IF(OR(INDEX($AI$2:$AI$1001,MATCH(ROWS($AH$2:AH228),$AH$2:$AH$1001,0),1)&gt;=100000,INDEX($AO$1005:$BQ$1005,1,MATCH(COLUMNS($AO$1006:BE1006),$AO$1006:$BQ$1006,0))&gt;=100000), " ",IF(INDEX($AO$2:$BQ$1001,MATCH(ROWS($AH$2:AH228),$AH$2:$AH$1001,0),MATCH(COLUMNS($AO$1006:BE1006),$AO$1006:$BQ$1006,0)), HYPERLINK("#",""), HYPERLINK(CONCATENATE("#Metadata!", ADDRESS(INDEX($AJ$2:$AJ$1001,MATCH(ROWS($AH$2:AH228),$AH$2:$AH$1001,0),0), INDEX($AO$1004:$BQ$1004,1,MATCH(COLUMNS($AO$1006:BE1006),$AO$1006:$BQ$1006,0)))),"Fix")))</f>
        <v>#N/A</v>
      </c>
      <c r="S228" s="5" t="e">
        <f ca="1">IF(OR(INDEX($AI$2:$AI$1001,MATCH(ROWS($AH$2:AH228),$AH$2:$AH$1001,0),1)&gt;=100000,INDEX($AO$1005:$BQ$1005,1,MATCH(COLUMNS($AO$1006:BF1006),$AO$1006:$BQ$1006,0))&gt;=100000), " ",IF(INDEX($AO$2:$BQ$1001,MATCH(ROWS($AH$2:AH228),$AH$2:$AH$1001,0),MATCH(COLUMNS($AO$1006:BF1006),$AO$1006:$BQ$1006,0)), HYPERLINK("#",""), HYPERLINK(CONCATENATE("#Metadata!", ADDRESS(INDEX($AJ$2:$AJ$1001,MATCH(ROWS($AH$2:AH228),$AH$2:$AH$1001,0),0), INDEX($AO$1004:$BQ$1004,1,MATCH(COLUMNS($AO$1006:BF1006),$AO$1006:$BQ$1006,0)))),"Fix")))</f>
        <v>#N/A</v>
      </c>
      <c r="T228" s="5" t="e">
        <f ca="1">IF(OR(INDEX($AI$2:$AI$1001,MATCH(ROWS($AH$2:AH228),$AH$2:$AH$1001,0),1)&gt;=100000,INDEX($AO$1005:$BQ$1005,1,MATCH(COLUMNS($AO$1006:BG1006),$AO$1006:$BQ$1006,0))&gt;=100000), " ",IF(INDEX($AO$2:$BQ$1001,MATCH(ROWS($AH$2:AH228),$AH$2:$AH$1001,0),MATCH(COLUMNS($AO$1006:BG1006),$AO$1006:$BQ$1006,0)), HYPERLINK("#",""), HYPERLINK(CONCATENATE("#Metadata!", ADDRESS(INDEX($AJ$2:$AJ$1001,MATCH(ROWS($AH$2:AH228),$AH$2:$AH$1001,0),0), INDEX($AO$1004:$BQ$1004,1,MATCH(COLUMNS($AO$1006:BG1006),$AO$1006:$BQ$1006,0)))),"Fix")))</f>
        <v>#N/A</v>
      </c>
      <c r="U228" s="5" t="e">
        <f ca="1">IF(OR(INDEX($AI$2:$AI$1001,MATCH(ROWS($AH$2:AH228),$AH$2:$AH$1001,0),1)&gt;=100000,INDEX($AO$1005:$BQ$1005,1,MATCH(COLUMNS($AO$1006:BH1006),$AO$1006:$BQ$1006,0))&gt;=100000), " ",IF(INDEX($AO$2:$BQ$1001,MATCH(ROWS($AH$2:AH228),$AH$2:$AH$1001,0),MATCH(COLUMNS($AO$1006:BH1006),$AO$1006:$BQ$1006,0)), HYPERLINK("#",""), HYPERLINK(CONCATENATE("#Metadata!", ADDRESS(INDEX($AJ$2:$AJ$1001,MATCH(ROWS($AH$2:AH228),$AH$2:$AH$1001,0),0), INDEX($AO$1004:$BQ$1004,1,MATCH(COLUMNS($AO$1006:BH1006),$AO$1006:$BQ$1006,0)))),"Fix")))</f>
        <v>#N/A</v>
      </c>
      <c r="V228" s="5" t="e">
        <f ca="1">IF(OR(INDEX($AI$2:$AI$1001,MATCH(ROWS($AH$2:AH228),$AH$2:$AH$1001,0),1)&gt;=100000,INDEX($AO$1005:$BQ$1005,1,MATCH(COLUMNS($AO$1006:BI1006),$AO$1006:$BQ$1006,0))&gt;=100000), " ",IF(INDEX($AO$2:$BQ$1001,MATCH(ROWS($AH$2:AH228),$AH$2:$AH$1001,0),MATCH(COLUMNS($AO$1006:BI1006),$AO$1006:$BQ$1006,0)), HYPERLINK("#",""), HYPERLINK(CONCATENATE("#Metadata!", ADDRESS(INDEX($AJ$2:$AJ$1001,MATCH(ROWS($AH$2:AH228),$AH$2:$AH$1001,0),0), INDEX($AO$1004:$BQ$1004,1,MATCH(COLUMNS($AO$1006:BI1006),$AO$1006:$BQ$1006,0)))),"Fix")))</f>
        <v>#N/A</v>
      </c>
      <c r="W228" s="5" t="e">
        <f ca="1">IF(OR(INDEX($AI$2:$AI$1001,MATCH(ROWS($AH$2:AH228),$AH$2:$AH$1001,0),1)&gt;=100000,INDEX($AO$1005:$BQ$1005,1,MATCH(COLUMNS($AO$1006:BJ1006),$AO$1006:$BQ$1006,0))&gt;=100000), " ",IF(INDEX($AO$2:$BQ$1001,MATCH(ROWS($AH$2:AH228),$AH$2:$AH$1001,0),MATCH(COLUMNS($AO$1006:BJ1006),$AO$1006:$BQ$1006,0)), HYPERLINK("#",""), HYPERLINK(CONCATENATE("#Metadata!", ADDRESS(INDEX($AJ$2:$AJ$1001,MATCH(ROWS($AH$2:AH228),$AH$2:$AH$1001,0),0), INDEX($AO$1004:$BQ$1004,1,MATCH(COLUMNS($AO$1006:BJ1006),$AO$1006:$BQ$1006,0)))),"Fix")))</f>
        <v>#N/A</v>
      </c>
      <c r="X228" s="5" t="e">
        <f ca="1">IF(OR(INDEX($AI$2:$AI$1001,MATCH(ROWS($AH$2:AH228),$AH$2:$AH$1001,0),1)&gt;=100000,INDEX($AO$1005:$BQ$1005,1,MATCH(COLUMNS($AO$1006:BK1006),$AO$1006:$BQ$1006,0))&gt;=100000), " ",IF(INDEX($AO$2:$BQ$1001,MATCH(ROWS($AH$2:AH228),$AH$2:$AH$1001,0),MATCH(COLUMNS($AO$1006:BK1006),$AO$1006:$BQ$1006,0)), HYPERLINK("#",""), HYPERLINK(CONCATENATE("#Metadata!", ADDRESS(INDEX($AJ$2:$AJ$1001,MATCH(ROWS($AH$2:AH228),$AH$2:$AH$1001,0),0), INDEX($AO$1004:$BQ$1004,1,MATCH(COLUMNS($AO$1006:BK1006),$AO$1006:$BQ$1006,0)))),"Fix")))</f>
        <v>#N/A</v>
      </c>
      <c r="Y228" s="5" t="e">
        <f ca="1">IF(OR(INDEX($AI$2:$AI$1001,MATCH(ROWS($AH$2:AH228),$AH$2:$AH$1001,0),1)&gt;=100000,INDEX($AO$1005:$BQ$1005,1,MATCH(COLUMNS($AO$1006:BL1006),$AO$1006:$BQ$1006,0))&gt;=100000), " ",IF(INDEX($AO$2:$BQ$1001,MATCH(ROWS($AH$2:AH228),$AH$2:$AH$1001,0),MATCH(COLUMNS($AO$1006:BL1006),$AO$1006:$BQ$1006,0)), HYPERLINK("#",""), HYPERLINK(CONCATENATE("#Metadata!", ADDRESS(INDEX($AJ$2:$AJ$1001,MATCH(ROWS($AH$2:AH228),$AH$2:$AH$1001,0),0), INDEX($AO$1004:$BQ$1004,1,MATCH(COLUMNS($AO$1006:BL1006),$AO$1006:$BQ$1006,0)))),"Fix")))</f>
        <v>#N/A</v>
      </c>
      <c r="Z228" s="5" t="e">
        <f ca="1">IF(OR(INDEX($AI$2:$AI$1001,MATCH(ROWS($AH$2:AH228),$AH$2:$AH$1001,0),1)&gt;=100000,INDEX($AO$1005:$BQ$1005,1,MATCH(COLUMNS($AO$1006:BM1006),$AO$1006:$BQ$1006,0))&gt;=100000), " ",IF(INDEX($AO$2:$BQ$1001,MATCH(ROWS($AH$2:AH228),$AH$2:$AH$1001,0),MATCH(COLUMNS($AO$1006:BM1006),$AO$1006:$BQ$1006,0)), HYPERLINK("#",""), HYPERLINK(CONCATENATE("#Metadata!", ADDRESS(INDEX($AJ$2:$AJ$1001,MATCH(ROWS($AH$2:AH228),$AH$2:$AH$1001,0),0), INDEX($AO$1004:$BQ$1004,1,MATCH(COLUMNS($AO$1006:BM1006),$AO$1006:$BQ$1006,0)))),"Fix")))</f>
        <v>#N/A</v>
      </c>
      <c r="AA228" s="5" t="e">
        <f ca="1">IF(OR(INDEX($AI$2:$AI$1001,MATCH(ROWS($AH$2:AH228),$AH$2:$AH$1001,0),1)&gt;=100000,INDEX($AO$1005:$BQ$1005,1,MATCH(COLUMNS($AO$1006:BN1006),$AO$1006:$BQ$1006,0))&gt;=100000), " ",IF(INDEX($AO$2:$BQ$1001,MATCH(ROWS($AH$2:AH228),$AH$2:$AH$1001,0),MATCH(COLUMNS($AO$1006:BN1006),$AO$1006:$BQ$1006,0)), HYPERLINK("#",""), HYPERLINK(CONCATENATE("#Metadata!", ADDRESS(INDEX($AJ$2:$AJ$1001,MATCH(ROWS($AH$2:AH228),$AH$2:$AH$1001,0),0), INDEX($AO$1004:$BQ$1004,1,MATCH(COLUMNS($AO$1006:BN1006),$AO$1006:$BQ$1006,0)))),"Fix")))</f>
        <v>#N/A</v>
      </c>
      <c r="AB228" s="5" t="e">
        <f ca="1">IF(OR(INDEX($AI$2:$AI$1001,MATCH(ROWS($AH$2:AH228),$AH$2:$AH$1001,0),1)&gt;=100000,INDEX($AO$1005:$BQ$1005,1,MATCH(COLUMNS($AO$1006:BO1006),$AO$1006:$BQ$1006,0))&gt;=100000), " ",IF(INDEX($AO$2:$BQ$1001,MATCH(ROWS($AH$2:AH228),$AH$2:$AH$1001,0),MATCH(COLUMNS($AO$1006:BO1006),$AO$1006:$BQ$1006,0)), HYPERLINK("#",""), HYPERLINK(CONCATENATE("#Metadata!", ADDRESS(INDEX($AJ$2:$AJ$1001,MATCH(ROWS($AH$2:AH228),$AH$2:$AH$1001,0),0), INDEX($AO$1004:$BQ$1004,1,MATCH(COLUMNS($AO$1006:BO1006),$AO$1006:$BQ$1006,0)))),"Fix")))</f>
        <v>#N/A</v>
      </c>
      <c r="AC228" s="5" t="e">
        <f ca="1">IF(OR(INDEX($AI$2:$AI$1001,MATCH(ROWS($AH$2:AH228),$AH$2:$AH$1001,0),1)&gt;=100000,INDEX($AO$1005:$BQ$1005,1,MATCH(COLUMNS($AO$1006:BP1006),$AO$1006:$BQ$1006,0))&gt;=100000), " ",IF(INDEX($AO$2:$BQ$1001,MATCH(ROWS($AH$2:AH228),$AH$2:$AH$1001,0),MATCH(COLUMNS($AO$1006:BP1006),$AO$1006:$BQ$1006,0)), HYPERLINK("#",""), HYPERLINK(CONCATENATE("#Metadata!", ADDRESS(INDEX($AJ$2:$AJ$1001,MATCH(ROWS($AH$2:AH228),$AH$2:$AH$1001,0),0), INDEX($AO$1004:$BQ$1004,1,MATCH(COLUMNS($AO$1006:BP1006),$AO$1006:$BQ$1006,0)))),"Fix")))</f>
        <v>#N/A</v>
      </c>
      <c r="AD228" s="5" t="e">
        <f ca="1">IF(OR(INDEX($AI$2:$AI$1001,MATCH(ROWS($AH$2:AH228),$AH$2:$AH$1001,0),1)&gt;=100000,INDEX($AO$1005:$BQ$1005,1,MATCH(COLUMNS($AO$1006:BQ1006),$AO$1006:$BQ$1006,0))&gt;=100000), " ",IF(INDEX($AO$2:$BQ$1001,MATCH(ROWS($AH$2:AH228),$AH$2:$AH$1001,0),MATCH(COLUMNS($AO$1006:BQ1006),$AO$1006:$BQ$1006,0)), HYPERLINK("#",""), HYPERLINK(CONCATENATE("#Metadata!", ADDRESS(INDEX($AJ$2:$AJ$1001,MATCH(ROWS($AH$2:AH228),$AH$2:$AH$1001,0),0), INDEX($AO$1004:$BQ$1004,1,MATCH(COLUMNS($AO$1006:BQ1006),$AO$1006:$BQ$1006,0)))),"Fix")))</f>
        <v>#REF!</v>
      </c>
      <c r="AH228">
        <f ca="1"/>
        <v>225</v>
      </c>
      <c r="AI228">
        <v>100228</v>
      </c>
      <c r="AJ228">
        <v>228</v>
      </c>
      <c r="AK228" t="b">
        <f t="shared" si="3"/>
        <v>1</v>
      </c>
      <c r="AL228" t="b">
        <f>COUNTBLANK(Metadata!B228:AD228)=COLUMNS(Metadata!B228:AD228)</f>
        <v>1</v>
      </c>
      <c r="AM228" t="str">
        <v/>
      </c>
      <c r="AO228" t="b">
        <f ca="1">AND(IF(Metadata!B228="",FALSE,TRUE),COUNTIF(Metadata!B:B, Metadata!B228) = 1,NOT(ISERROR(SUMPRODUCT(SEARCH(MID(Metadata!B228,ROW(INDIRECT("1:"&amp;LEN(Metadata!B228))), 1),"0123456789abcdefghijklmnopqrstuvwxyzABCDEFGHIJKLMNOPQRSTUVWXYZ.")))))</f>
        <v>0</v>
      </c>
      <c r="AP228" t="b">
        <f>IF(Metadata!C228="",FALSE,TRUE)</f>
        <v>0</v>
      </c>
      <c r="AQ228" t="b">
        <f>IF(Metadata!D228="",FALSE,TRUE)</f>
        <v>0</v>
      </c>
      <c r="AR228" t="b">
        <f ca="1">OR(AND(IF(Metadata!E228="",FALSE,TRUE),OR(EXACT(Metadata!E228,"not collected"),EXACT(Metadata!E228,"not provided"),EXACT(Metadata!E228,"restricted access"))),AND(IF(Metadata!E228="",FALSE,TRUE),AND(AND(IFERROR(INT(LEFT(Metadata!E228,4))&gt;1900,FALSE),IFERROR(INT(LEFT(Metadata!E228,4))&lt;=YEAR(NOW()),FALSE)), OR(MID(Metadata!E228,5,1)="", AND(AND(MID(Metadata!E228,5,1)="-",IFERROR(INT(MID(Metadata!E228,6,1))&gt;=0,FALSE),IFERROR(INT(MID(Metadata!E228,6,1))&lt;=1,FALSE),NOT(MID(Metadata!E228,7,1)=""),IFERROR(INT(MID(Metadata!E228,6,2))&gt;=1,FALSE),IFERROR(INT(MID(Metadata!E228,6,2))&lt;=12,FALSE)), OR(MID(Metadata!E228,8,1)="", AND(AND(MID(Metadata!E228,8,1)="-",IFERROR(INT(MID(Metadata!E228,9,1))&gt;=0,FALSE),IFERROR(INT(MID(Metadata!E228,9,1))&lt;=3,FALSE),NOT(MID(Metadata!E228,10,1)=""),IFERROR(INT(MID(Metadata!E228,9,2))&gt;=1,FALSE),IFERROR(INT(MID(Metadata!E228,9,2))&lt;=31,FALSE)), OR(MID(Metadata!E228,11,1)="", AND(AND(MID(Metadata!E228,11,1)=" ",IFERROR(INT(MID(Metadata!E228,12,1))&gt;=0,FALSE),IFERROR(INT(MID(Metadata!E228,12,1))&lt;=2,FALSE),NOT(MID(Metadata!E228,13,1)=""),IFERROR(INT(MID(Metadata!E228,12,2))&gt;=0,FALSE),IFERROR(INT(MID(Metadata!E228,12,2))&lt;=23,FALSE)), OR(MID(Metadata!E228,14,1)="", AND(AND(MID(Metadata!E228,14,1)=":",IFERROR(INT(MID(Metadata!E228,15,1))&gt;=0,FALSE),IFERROR(INT(MID(Metadata!E228,15,1))&lt;=5,FALSE),NOT(MID(Metadata!E228,16,1)=""),IFERROR(INT(MID(Metadata!E228,15,2))&gt;=0,FALSE),IFERROR(INT(MID(Metadata!E228,15,2))&lt;=59,FALSE)), OR(MID(Metadata!E228,17,1)="", AND(AND(MID(Metadata!E228,17,1)=":",IFERROR(INT(MID(Metadata!E228,18,1))&gt;=0,FALSE),IFERROR(INT(MID(Metadata!E228,18,1))&lt;=5,FALSE),NOT(MID(Metadata!E228,19,1)=""),IFERROR(INT(MID(Metadata!E228,18,2))&gt;=0,FALSE),IFERROR(INT(MID(Metadata!E228,18,2))&lt;=59,FALSE)), LEN(Metadata!E228)&lt;=19)))))))))))))</f>
        <v>0</v>
      </c>
      <c r="AS228" t="b">
        <f>IF(Metadata!F228="",FALSE,TRUE)</f>
        <v>0</v>
      </c>
      <c r="AT228" t="b">
        <f>OR(AND(IF(Metadata!G228="",FALSE,TRUE),OR(EXACT(Metadata!G228,"not collected"),EXACT(Metadata!G228,"not provided"))),AND(IF(Metadata!G228="",FALSE,TRUE),OR(EXACT(Metadata!G228,"TRUE"),EXACT(Metadata!G228,"FALSE"))))</f>
        <v>0</v>
      </c>
      <c r="AU228" t="b">
        <f>OR(AND(IF(Metadata!H228="",FALSE,TRUE),OR(EXACT(Metadata!H228,"not collected"),EXACT(Metadata!H228,"not provided"),EXACT(Metadata!H228,"restricted access"))),AND(IF(Metadata!H228="",FALSE,ISNUMBER(VALUE(Metadata!H228))),Metadata!H228&gt;=-413))</f>
        <v>0</v>
      </c>
      <c r="AV228" t="b">
        <f>AND(IF(Metadata!I228="",FALSE,TRUE),EXACT(Metadata!I228,"meters"))</f>
        <v>0</v>
      </c>
      <c r="AW228" t="b">
        <f>AND(IF(Metadata!J228="",FALSE,TRUE),EXACT(Metadata!J228,"free-living"))</f>
        <v>0</v>
      </c>
      <c r="AX228" t="b">
        <f>AND(IF(Metadata!K228="",FALSE,TRUE),OR(EXACT(Metadata!K228,"saline"),EXACT(Metadata!K228,"non-saline")))</f>
        <v>0</v>
      </c>
      <c r="AY228" t="b">
        <f>AND(IF(Metadata!L228="",FALSE,TRUE),OR(EXACT(Metadata!L228,"sub-surface (non-saline)"),EXACT(Metadata!L228,"surface (non-saline)"),EXACT(Metadata!L228,"water (non-saline)"),EXACT(Metadata!L228,"soil (non-saline)"),EXACT(Metadata!L228,"aerosol (non-saline)"),EXACT(Metadata!L228,"sediment (non-saline)"),EXACT(Metadata!L228,"surface (saline)"),EXACT(Metadata!L228,"water (saline)"),EXACT(Metadata!L228,"hypersaline (saline)"),EXACT(Metadata!L228,"aerosol (saline)"),EXACT(Metadata!L228,"sediment (saline)")))</f>
        <v>0</v>
      </c>
      <c r="AZ228" t="b">
        <f>IF(Metadata!M228="",FALSE,TRUE)</f>
        <v>0</v>
      </c>
      <c r="BA228" t="b">
        <f>IF(Metadata!N228="",FALSE,TRUE)</f>
        <v>0</v>
      </c>
      <c r="BB228" t="b">
        <f>IF(Metadata!O228="",FALSE,TRUE)</f>
        <v>0</v>
      </c>
      <c r="BC228" t="b">
        <f>AND(IF(Metadata!P228="",FALSE,TRUE),OR(EXACT(Metadata!P228,"air"),EXACT(Metadata!P228,"microbial mat/biofilm"),EXACT(Metadata!P228,"misc environment"),EXACT(Metadata!P228,"sediment"),EXACT(Metadata!P228,"soil"),EXACT(Metadata!P228,"wastewater/sludge"),EXACT(Metadata!P228,"water")))</f>
        <v>0</v>
      </c>
      <c r="BD228" t="b">
        <f>IF(Metadata!Q228="",FALSE,TRUE)</f>
        <v>0</v>
      </c>
      <c r="BE228" t="b">
        <f>IF(Metadata!R228="",FALSE,TRUE)</f>
        <v>0</v>
      </c>
      <c r="BF228" t="b">
        <f>OR(AND(IF(Metadata!S228="",FALSE,TRUE),OR(EXACT(Metadata!S228,"not collected"),EXACT(Metadata!S228,"not provided"),EXACT(Metadata!S228,"restricted access"))),AND(IF(Metadata!S228="",FALSE,ISNUMBER(VALUE(Metadata!S228))),Metadata!S228&gt;=-90,Metadata!S228&lt;=90))</f>
        <v>0</v>
      </c>
      <c r="BG228" t="b">
        <f>AND(IF(Metadata!T228="",FALSE,TRUE),EXACT(Metadata!T228,"Decimal degrees"))</f>
        <v>0</v>
      </c>
      <c r="BH228" t="b">
        <f>OR(AND(IF(Metadata!U228="",FALSE,TRUE),OR(EXACT(Metadata!U228,"not applicable"),EXACT(Metadata!U228,"not collected"))),IF(Metadata!U228="",FALSE,TRUE))</f>
        <v>0</v>
      </c>
      <c r="BI228" t="b">
        <f>OR(AND(IF(Metadata!V228="",FALSE,TRUE),OR(EXACT(Metadata!V228,"not collected"),EXACT(Metadata!V228,"not provided"),EXACT(Metadata!V228,"restricted access"))),AND(IF(Metadata!V228="",FALSE,ISNUMBER(VALUE(Metadata!V228))),Metadata!V228&gt;=-180,Metadata!V228&lt;=180))</f>
        <v>0</v>
      </c>
      <c r="BJ228" t="b">
        <f>AND(IF(Metadata!W228="",FALSE,TRUE),EXACT(Metadata!W228,"Decimal degrees"))</f>
        <v>0</v>
      </c>
      <c r="BK228" t="b">
        <f>IF(Metadata!X228="",FALSE,TRUE)</f>
        <v>0</v>
      </c>
      <c r="BL228" t="b">
        <f>OR(AND(IF(Metadata!Y228="",FALSE,TRUE),OR(EXACT(Metadata!Y228,"not collected"),EXACT(Metadata!Y228,"not provided"),EXACT(Metadata!Y228,"restricted access"))),AND(IF(Metadata!Y228="",FALSE,TRUE),OR(EXACT(Metadata!Y228,"TRUE"),EXACT(Metadata!Y228,"FALSE"))))</f>
        <v>0</v>
      </c>
      <c r="BM228" t="b">
        <f>OR(AND(IF(Metadata!Z228="",FALSE,TRUE),EXACT(Metadata!Z228,"not applicable")),AND(IF(Metadata!Z228="",FALSE,TRUE),OR(EXACT(Metadata!Z228,"beer"),EXACT(Metadata!Z228,"cheese"),EXACT(Metadata!Z228,"fresh water"),EXACT(Metadata!Z228,"marine sediment"),EXACT(Metadata!Z228,"sea water"),EXACT(Metadata!Z228,"sediment"),EXACT(Metadata!Z228,"soil"),EXACT(Metadata!Z228,"waste water"))))</f>
        <v>0</v>
      </c>
      <c r="BN228" t="b">
        <f>AND(IF(Metadata!AA228="",FALSE,TRUE),EXACT(Metadata!AA228,"metagenome"))</f>
        <v>0</v>
      </c>
      <c r="BO228" t="b">
        <f>AND(IF(Metadata!AB228="",FALSE,TRUE),EXACT(Metadata!AB228,"256318"))</f>
        <v>0</v>
      </c>
      <c r="BP228" t="b">
        <f>IF(Metadata!AC228="",FALSE,TRUE)</f>
        <v>0</v>
      </c>
      <c r="BQ228" t="b">
        <f>IF(Metadata!AD228="",FALSE,TRUE)</f>
        <v>0</v>
      </c>
    </row>
    <row r="229" spans="1:69" x14ac:dyDescent="0.2">
      <c r="A229" s="4" t="e">
        <f ca="1">IF(B229=" "," ",HYPERLINK(CONCATENATE("#metadata!",ADDRESS(INDEX($AJ$2:$AJ$1001,MATCH(ROWS($AH$2:AH229),$AH$2:$AH$1001,0),0),2)),INDEX($AM$2:$AM$1001,MATCH(ROWS($AH$2:AH229),$AH$2:$AH$1001,0),0)))</f>
        <v>#N/A</v>
      </c>
      <c r="B229" s="5" t="e">
        <f ca="1">IF(OR(INDEX($AI$2:$AI$1001,MATCH(ROWS($AH$2:AH229),$AH$2:$AH$1001,0),1)&gt;=100000,INDEX($AO$1005:$BQ$1005,1,MATCH(COLUMNS($AO$1006:AO1006),$AO$1006:$BQ$1006,0))&gt;=100000), " ",IF(INDEX($AO$2:$BQ$1001,MATCH(ROWS($AH$2:AH229),$AH$2:$AH$1001,0),MATCH(COLUMNS($AO$1006:AO1006),$AO$1006:$BQ$1006,0)), HYPERLINK("#",""), HYPERLINK(CONCATENATE("#Metadata!", ADDRESS(INDEX($AJ$2:$AJ$1001,MATCH(ROWS($AH$2:AH229),$AH$2:$AH$1001,0),0), INDEX($AO$1004:$BQ$1004,1,MATCH(COLUMNS($AO$1006:AO1006),$AO$1006:$BQ$1006,0)))),"Fix")))</f>
        <v>#N/A</v>
      </c>
      <c r="C229" s="5" t="e">
        <f ca="1">IF(OR(INDEX($AI$2:$AI$1001,MATCH(ROWS($AH$2:AH229),$AH$2:$AH$1001,0),1)&gt;=100000,INDEX($AO$1005:$BQ$1005,1,MATCH(COLUMNS($AO$1006:AP1006),$AO$1006:$BQ$1006,0))&gt;=100000), " ",IF(INDEX($AO$2:$BQ$1001,MATCH(ROWS($AH$2:AH229),$AH$2:$AH$1001,0),MATCH(COLUMNS($AO$1006:AP1006),$AO$1006:$BQ$1006,0)), HYPERLINK("#",""), HYPERLINK(CONCATENATE("#Metadata!", ADDRESS(INDEX($AJ$2:$AJ$1001,MATCH(ROWS($AH$2:AH229),$AH$2:$AH$1001,0),0), INDEX($AO$1004:$BQ$1004,1,MATCH(COLUMNS($AO$1006:AP1006),$AO$1006:$BQ$1006,0)))),"Fix")))</f>
        <v>#N/A</v>
      </c>
      <c r="D229" s="5" t="e">
        <f ca="1">IF(OR(INDEX($AI$2:$AI$1001,MATCH(ROWS($AH$2:AH229),$AH$2:$AH$1001,0),1)&gt;=100000,INDEX($AO$1005:$BQ$1005,1,MATCH(COLUMNS($AO$1006:AQ1006),$AO$1006:$BQ$1006,0))&gt;=100000), " ",IF(INDEX($AO$2:$BQ$1001,MATCH(ROWS($AH$2:AH229),$AH$2:$AH$1001,0),MATCH(COLUMNS($AO$1006:AQ1006),$AO$1006:$BQ$1006,0)), HYPERLINK("#",""), HYPERLINK(CONCATENATE("#Metadata!", ADDRESS(INDEX($AJ$2:$AJ$1001,MATCH(ROWS($AH$2:AH229),$AH$2:$AH$1001,0),0), INDEX($AO$1004:$BQ$1004,1,MATCH(COLUMNS($AO$1006:AQ1006),$AO$1006:$BQ$1006,0)))),"Fix")))</f>
        <v>#N/A</v>
      </c>
      <c r="E229" s="5" t="e">
        <f ca="1">IF(OR(INDEX($AI$2:$AI$1001,MATCH(ROWS($AH$2:AH229),$AH$2:$AH$1001,0),1)&gt;=100000,INDEX($AO$1005:$BQ$1005,1,MATCH(COLUMNS($AO$1006:AR1006),$AO$1006:$BQ$1006,0))&gt;=100000), " ",IF(INDEX($AO$2:$BQ$1001,MATCH(ROWS($AH$2:AH229),$AH$2:$AH$1001,0),MATCH(COLUMNS($AO$1006:AR1006),$AO$1006:$BQ$1006,0)), HYPERLINK("#",""), HYPERLINK(CONCATENATE("#Metadata!", ADDRESS(INDEX($AJ$2:$AJ$1001,MATCH(ROWS($AH$2:AH229),$AH$2:$AH$1001,0),0), INDEX($AO$1004:$BQ$1004,1,MATCH(COLUMNS($AO$1006:AR1006),$AO$1006:$BQ$1006,0)))),"Fix")))</f>
        <v>#N/A</v>
      </c>
      <c r="F229" s="5" t="e">
        <f ca="1">IF(OR(INDEX($AI$2:$AI$1001,MATCH(ROWS($AH$2:AH229),$AH$2:$AH$1001,0),1)&gt;=100000,INDEX($AO$1005:$BQ$1005,1,MATCH(COLUMNS($AO$1006:AS1006),$AO$1006:$BQ$1006,0))&gt;=100000), " ",IF(INDEX($AO$2:$BQ$1001,MATCH(ROWS($AH$2:AH229),$AH$2:$AH$1001,0),MATCH(COLUMNS($AO$1006:AS1006),$AO$1006:$BQ$1006,0)), HYPERLINK("#",""), HYPERLINK(CONCATENATE("#Metadata!", ADDRESS(INDEX($AJ$2:$AJ$1001,MATCH(ROWS($AH$2:AH229),$AH$2:$AH$1001,0),0), INDEX($AO$1004:$BQ$1004,1,MATCH(COLUMNS($AO$1006:AS1006),$AO$1006:$BQ$1006,0)))),"Fix")))</f>
        <v>#N/A</v>
      </c>
      <c r="G229" s="5" t="e">
        <f ca="1">IF(OR(INDEX($AI$2:$AI$1001,MATCH(ROWS($AH$2:AH229),$AH$2:$AH$1001,0),1)&gt;=100000,INDEX($AO$1005:$BQ$1005,1,MATCH(COLUMNS($AO$1006:AT1006),$AO$1006:$BQ$1006,0))&gt;=100000), " ",IF(INDEX($AO$2:$BQ$1001,MATCH(ROWS($AH$2:AH229),$AH$2:$AH$1001,0),MATCH(COLUMNS($AO$1006:AT1006),$AO$1006:$BQ$1006,0)), HYPERLINK("#",""), HYPERLINK(CONCATENATE("#Metadata!", ADDRESS(INDEX($AJ$2:$AJ$1001,MATCH(ROWS($AH$2:AH229),$AH$2:$AH$1001,0),0), INDEX($AO$1004:$BQ$1004,1,MATCH(COLUMNS($AO$1006:AT1006),$AO$1006:$BQ$1006,0)))),"Fix")))</f>
        <v>#N/A</v>
      </c>
      <c r="H229" s="5" t="e">
        <f ca="1">IF(OR(INDEX($AI$2:$AI$1001,MATCH(ROWS($AH$2:AH229),$AH$2:$AH$1001,0),1)&gt;=100000,INDEX($AO$1005:$BQ$1005,1,MATCH(COLUMNS($AO$1006:AU1006),$AO$1006:$BQ$1006,0))&gt;=100000), " ",IF(INDEX($AO$2:$BQ$1001,MATCH(ROWS($AH$2:AH229),$AH$2:$AH$1001,0),MATCH(COLUMNS($AO$1006:AU1006),$AO$1006:$BQ$1006,0)), HYPERLINK("#",""), HYPERLINK(CONCATENATE("#Metadata!", ADDRESS(INDEX($AJ$2:$AJ$1001,MATCH(ROWS($AH$2:AH229),$AH$2:$AH$1001,0),0), INDEX($AO$1004:$BQ$1004,1,MATCH(COLUMNS($AO$1006:AU1006),$AO$1006:$BQ$1006,0)))),"Fix")))</f>
        <v>#N/A</v>
      </c>
      <c r="I229" s="5" t="e">
        <f ca="1">IF(OR(INDEX($AI$2:$AI$1001,MATCH(ROWS($AH$2:AH229),$AH$2:$AH$1001,0),1)&gt;=100000,INDEX($AO$1005:$BQ$1005,1,MATCH(COLUMNS($AO$1006:AV1006),$AO$1006:$BQ$1006,0))&gt;=100000), " ",IF(INDEX($AO$2:$BQ$1001,MATCH(ROWS($AH$2:AH229),$AH$2:$AH$1001,0),MATCH(COLUMNS($AO$1006:AV1006),$AO$1006:$BQ$1006,0)), HYPERLINK("#",""), HYPERLINK(CONCATENATE("#Metadata!", ADDRESS(INDEX($AJ$2:$AJ$1001,MATCH(ROWS($AH$2:AH229),$AH$2:$AH$1001,0),0), INDEX($AO$1004:$BQ$1004,1,MATCH(COLUMNS($AO$1006:AV1006),$AO$1006:$BQ$1006,0)))),"Fix")))</f>
        <v>#N/A</v>
      </c>
      <c r="J229" s="5" t="e">
        <f ca="1">IF(OR(INDEX($AI$2:$AI$1001,MATCH(ROWS($AH$2:AH229),$AH$2:$AH$1001,0),1)&gt;=100000,INDEX($AO$1005:$BQ$1005,1,MATCH(COLUMNS($AO$1006:AW1006),$AO$1006:$BQ$1006,0))&gt;=100000), " ",IF(INDEX($AO$2:$BQ$1001,MATCH(ROWS($AH$2:AH229),$AH$2:$AH$1001,0),MATCH(COLUMNS($AO$1006:AW1006),$AO$1006:$BQ$1006,0)), HYPERLINK("#",""), HYPERLINK(CONCATENATE("#Metadata!", ADDRESS(INDEX($AJ$2:$AJ$1001,MATCH(ROWS($AH$2:AH229),$AH$2:$AH$1001,0),0), INDEX($AO$1004:$BQ$1004,1,MATCH(COLUMNS($AO$1006:AW1006),$AO$1006:$BQ$1006,0)))),"Fix")))</f>
        <v>#N/A</v>
      </c>
      <c r="K229" s="5" t="e">
        <f ca="1">IF(OR(INDEX($AI$2:$AI$1001,MATCH(ROWS($AH$2:AH229),$AH$2:$AH$1001,0),1)&gt;=100000,INDEX($AO$1005:$BQ$1005,1,MATCH(COLUMNS($AO$1006:AX1006),$AO$1006:$BQ$1006,0))&gt;=100000), " ",IF(INDEX($AO$2:$BQ$1001,MATCH(ROWS($AH$2:AH229),$AH$2:$AH$1001,0),MATCH(COLUMNS($AO$1006:AX1006),$AO$1006:$BQ$1006,0)), HYPERLINK("#",""), HYPERLINK(CONCATENATE("#Metadata!", ADDRESS(INDEX($AJ$2:$AJ$1001,MATCH(ROWS($AH$2:AH229),$AH$2:$AH$1001,0),0), INDEX($AO$1004:$BQ$1004,1,MATCH(COLUMNS($AO$1006:AX1006),$AO$1006:$BQ$1006,0)))),"Fix")))</f>
        <v>#N/A</v>
      </c>
      <c r="L229" s="5" t="e">
        <f ca="1">IF(OR(INDEX($AI$2:$AI$1001,MATCH(ROWS($AH$2:AH229),$AH$2:$AH$1001,0),1)&gt;=100000,INDEX($AO$1005:$BQ$1005,1,MATCH(COLUMNS($AO$1006:AY1006),$AO$1006:$BQ$1006,0))&gt;=100000), " ",IF(INDEX($AO$2:$BQ$1001,MATCH(ROWS($AH$2:AH229),$AH$2:$AH$1001,0),MATCH(COLUMNS($AO$1006:AY1006),$AO$1006:$BQ$1006,0)), HYPERLINK("#",""), HYPERLINK(CONCATENATE("#Metadata!", ADDRESS(INDEX($AJ$2:$AJ$1001,MATCH(ROWS($AH$2:AH229),$AH$2:$AH$1001,0),0), INDEX($AO$1004:$BQ$1004,1,MATCH(COLUMNS($AO$1006:AY1006),$AO$1006:$BQ$1006,0)))),"Fix")))</f>
        <v>#N/A</v>
      </c>
      <c r="M229" s="5" t="e">
        <f ca="1">IF(OR(INDEX($AI$2:$AI$1001,MATCH(ROWS($AH$2:AH229),$AH$2:$AH$1001,0),1)&gt;=100000,INDEX($AO$1005:$BQ$1005,1,MATCH(COLUMNS($AO$1006:AZ1006),$AO$1006:$BQ$1006,0))&gt;=100000), " ",IF(INDEX($AO$2:$BQ$1001,MATCH(ROWS($AH$2:AH229),$AH$2:$AH$1001,0),MATCH(COLUMNS($AO$1006:AZ1006),$AO$1006:$BQ$1006,0)), HYPERLINK("#",""), HYPERLINK(CONCATENATE("#Metadata!", ADDRESS(INDEX($AJ$2:$AJ$1001,MATCH(ROWS($AH$2:AH229),$AH$2:$AH$1001,0),0), INDEX($AO$1004:$BQ$1004,1,MATCH(COLUMNS($AO$1006:AZ1006),$AO$1006:$BQ$1006,0)))),"Fix")))</f>
        <v>#N/A</v>
      </c>
      <c r="N229" s="5" t="e">
        <f ca="1">IF(OR(INDEX($AI$2:$AI$1001,MATCH(ROWS($AH$2:AH229),$AH$2:$AH$1001,0),1)&gt;=100000,INDEX($AO$1005:$BQ$1005,1,MATCH(COLUMNS($AO$1006:BA1006),$AO$1006:$BQ$1006,0))&gt;=100000), " ",IF(INDEX($AO$2:$BQ$1001,MATCH(ROWS($AH$2:AH229),$AH$2:$AH$1001,0),MATCH(COLUMNS($AO$1006:BA1006),$AO$1006:$BQ$1006,0)), HYPERLINK("#",""), HYPERLINK(CONCATENATE("#Metadata!", ADDRESS(INDEX($AJ$2:$AJ$1001,MATCH(ROWS($AH$2:AH229),$AH$2:$AH$1001,0),0), INDEX($AO$1004:$BQ$1004,1,MATCH(COLUMNS($AO$1006:BA1006),$AO$1006:$BQ$1006,0)))),"Fix")))</f>
        <v>#N/A</v>
      </c>
      <c r="O229" s="5" t="e">
        <f ca="1">IF(OR(INDEX($AI$2:$AI$1001,MATCH(ROWS($AH$2:AH229),$AH$2:$AH$1001,0),1)&gt;=100000,INDEX($AO$1005:$BQ$1005,1,MATCH(COLUMNS($AO$1006:BB1006),$AO$1006:$BQ$1006,0))&gt;=100000), " ",IF(INDEX($AO$2:$BQ$1001,MATCH(ROWS($AH$2:AH229),$AH$2:$AH$1001,0),MATCH(COLUMNS($AO$1006:BB1006),$AO$1006:$BQ$1006,0)), HYPERLINK("#",""), HYPERLINK(CONCATENATE("#Metadata!", ADDRESS(INDEX($AJ$2:$AJ$1001,MATCH(ROWS($AH$2:AH229),$AH$2:$AH$1001,0),0), INDEX($AO$1004:$BQ$1004,1,MATCH(COLUMNS($AO$1006:BB1006),$AO$1006:$BQ$1006,0)))),"Fix")))</f>
        <v>#N/A</v>
      </c>
      <c r="P229" s="5" t="e">
        <f ca="1">IF(OR(INDEX($AI$2:$AI$1001,MATCH(ROWS($AH$2:AH229),$AH$2:$AH$1001,0),1)&gt;=100000,INDEX($AO$1005:$BQ$1005,1,MATCH(COLUMNS($AO$1006:BC1006),$AO$1006:$BQ$1006,0))&gt;=100000), " ",IF(INDEX($AO$2:$BQ$1001,MATCH(ROWS($AH$2:AH229),$AH$2:$AH$1001,0),MATCH(COLUMNS($AO$1006:BC1006),$AO$1006:$BQ$1006,0)), HYPERLINK("#",""), HYPERLINK(CONCATENATE("#Metadata!", ADDRESS(INDEX($AJ$2:$AJ$1001,MATCH(ROWS($AH$2:AH229),$AH$2:$AH$1001,0),0), INDEX($AO$1004:$BQ$1004,1,MATCH(COLUMNS($AO$1006:BC1006),$AO$1006:$BQ$1006,0)))),"Fix")))</f>
        <v>#N/A</v>
      </c>
      <c r="Q229" s="5" t="e">
        <f ca="1">IF(OR(INDEX($AI$2:$AI$1001,MATCH(ROWS($AH$2:AH229),$AH$2:$AH$1001,0),1)&gt;=100000,INDEX($AO$1005:$BQ$1005,1,MATCH(COLUMNS($AO$1006:BD1006),$AO$1006:$BQ$1006,0))&gt;=100000), " ",IF(INDEX($AO$2:$BQ$1001,MATCH(ROWS($AH$2:AH229),$AH$2:$AH$1001,0),MATCH(COLUMNS($AO$1006:BD1006),$AO$1006:$BQ$1006,0)), HYPERLINK("#",""), HYPERLINK(CONCATENATE("#Metadata!", ADDRESS(INDEX($AJ$2:$AJ$1001,MATCH(ROWS($AH$2:AH229),$AH$2:$AH$1001,0),0), INDEX($AO$1004:$BQ$1004,1,MATCH(COLUMNS($AO$1006:BD1006),$AO$1006:$BQ$1006,0)))),"Fix")))</f>
        <v>#N/A</v>
      </c>
      <c r="R229" s="5" t="e">
        <f ca="1">IF(OR(INDEX($AI$2:$AI$1001,MATCH(ROWS($AH$2:AH229),$AH$2:$AH$1001,0),1)&gt;=100000,INDEX($AO$1005:$BQ$1005,1,MATCH(COLUMNS($AO$1006:BE1006),$AO$1006:$BQ$1006,0))&gt;=100000), " ",IF(INDEX($AO$2:$BQ$1001,MATCH(ROWS($AH$2:AH229),$AH$2:$AH$1001,0),MATCH(COLUMNS($AO$1006:BE1006),$AO$1006:$BQ$1006,0)), HYPERLINK("#",""), HYPERLINK(CONCATENATE("#Metadata!", ADDRESS(INDEX($AJ$2:$AJ$1001,MATCH(ROWS($AH$2:AH229),$AH$2:$AH$1001,0),0), INDEX($AO$1004:$BQ$1004,1,MATCH(COLUMNS($AO$1006:BE1006),$AO$1006:$BQ$1006,0)))),"Fix")))</f>
        <v>#N/A</v>
      </c>
      <c r="S229" s="5" t="e">
        <f ca="1">IF(OR(INDEX($AI$2:$AI$1001,MATCH(ROWS($AH$2:AH229),$AH$2:$AH$1001,0),1)&gt;=100000,INDEX($AO$1005:$BQ$1005,1,MATCH(COLUMNS($AO$1006:BF1006),$AO$1006:$BQ$1006,0))&gt;=100000), " ",IF(INDEX($AO$2:$BQ$1001,MATCH(ROWS($AH$2:AH229),$AH$2:$AH$1001,0),MATCH(COLUMNS($AO$1006:BF1006),$AO$1006:$BQ$1006,0)), HYPERLINK("#",""), HYPERLINK(CONCATENATE("#Metadata!", ADDRESS(INDEX($AJ$2:$AJ$1001,MATCH(ROWS($AH$2:AH229),$AH$2:$AH$1001,0),0), INDEX($AO$1004:$BQ$1004,1,MATCH(COLUMNS($AO$1006:BF1006),$AO$1006:$BQ$1006,0)))),"Fix")))</f>
        <v>#N/A</v>
      </c>
      <c r="T229" s="5" t="e">
        <f ca="1">IF(OR(INDEX($AI$2:$AI$1001,MATCH(ROWS($AH$2:AH229),$AH$2:$AH$1001,0),1)&gt;=100000,INDEX($AO$1005:$BQ$1005,1,MATCH(COLUMNS($AO$1006:BG1006),$AO$1006:$BQ$1006,0))&gt;=100000), " ",IF(INDEX($AO$2:$BQ$1001,MATCH(ROWS($AH$2:AH229),$AH$2:$AH$1001,0),MATCH(COLUMNS($AO$1006:BG1006),$AO$1006:$BQ$1006,0)), HYPERLINK("#",""), HYPERLINK(CONCATENATE("#Metadata!", ADDRESS(INDEX($AJ$2:$AJ$1001,MATCH(ROWS($AH$2:AH229),$AH$2:$AH$1001,0),0), INDEX($AO$1004:$BQ$1004,1,MATCH(COLUMNS($AO$1006:BG1006),$AO$1006:$BQ$1006,0)))),"Fix")))</f>
        <v>#N/A</v>
      </c>
      <c r="U229" s="5" t="e">
        <f ca="1">IF(OR(INDEX($AI$2:$AI$1001,MATCH(ROWS($AH$2:AH229),$AH$2:$AH$1001,0),1)&gt;=100000,INDEX($AO$1005:$BQ$1005,1,MATCH(COLUMNS($AO$1006:BH1006),$AO$1006:$BQ$1006,0))&gt;=100000), " ",IF(INDEX($AO$2:$BQ$1001,MATCH(ROWS($AH$2:AH229),$AH$2:$AH$1001,0),MATCH(COLUMNS($AO$1006:BH1006),$AO$1006:$BQ$1006,0)), HYPERLINK("#",""), HYPERLINK(CONCATENATE("#Metadata!", ADDRESS(INDEX($AJ$2:$AJ$1001,MATCH(ROWS($AH$2:AH229),$AH$2:$AH$1001,0),0), INDEX($AO$1004:$BQ$1004,1,MATCH(COLUMNS($AO$1006:BH1006),$AO$1006:$BQ$1006,0)))),"Fix")))</f>
        <v>#N/A</v>
      </c>
      <c r="V229" s="5" t="e">
        <f ca="1">IF(OR(INDEX($AI$2:$AI$1001,MATCH(ROWS($AH$2:AH229),$AH$2:$AH$1001,0),1)&gt;=100000,INDEX($AO$1005:$BQ$1005,1,MATCH(COLUMNS($AO$1006:BI1006),$AO$1006:$BQ$1006,0))&gt;=100000), " ",IF(INDEX($AO$2:$BQ$1001,MATCH(ROWS($AH$2:AH229),$AH$2:$AH$1001,0),MATCH(COLUMNS($AO$1006:BI1006),$AO$1006:$BQ$1006,0)), HYPERLINK("#",""), HYPERLINK(CONCATENATE("#Metadata!", ADDRESS(INDEX($AJ$2:$AJ$1001,MATCH(ROWS($AH$2:AH229),$AH$2:$AH$1001,0),0), INDEX($AO$1004:$BQ$1004,1,MATCH(COLUMNS($AO$1006:BI1006),$AO$1006:$BQ$1006,0)))),"Fix")))</f>
        <v>#N/A</v>
      </c>
      <c r="W229" s="5" t="e">
        <f ca="1">IF(OR(INDEX($AI$2:$AI$1001,MATCH(ROWS($AH$2:AH229),$AH$2:$AH$1001,0),1)&gt;=100000,INDEX($AO$1005:$BQ$1005,1,MATCH(COLUMNS($AO$1006:BJ1006),$AO$1006:$BQ$1006,0))&gt;=100000), " ",IF(INDEX($AO$2:$BQ$1001,MATCH(ROWS($AH$2:AH229),$AH$2:$AH$1001,0),MATCH(COLUMNS($AO$1006:BJ1006),$AO$1006:$BQ$1006,0)), HYPERLINK("#",""), HYPERLINK(CONCATENATE("#Metadata!", ADDRESS(INDEX($AJ$2:$AJ$1001,MATCH(ROWS($AH$2:AH229),$AH$2:$AH$1001,0),0), INDEX($AO$1004:$BQ$1004,1,MATCH(COLUMNS($AO$1006:BJ1006),$AO$1006:$BQ$1006,0)))),"Fix")))</f>
        <v>#N/A</v>
      </c>
      <c r="X229" s="5" t="e">
        <f ca="1">IF(OR(INDEX($AI$2:$AI$1001,MATCH(ROWS($AH$2:AH229),$AH$2:$AH$1001,0),1)&gt;=100000,INDEX($AO$1005:$BQ$1005,1,MATCH(COLUMNS($AO$1006:BK1006),$AO$1006:$BQ$1006,0))&gt;=100000), " ",IF(INDEX($AO$2:$BQ$1001,MATCH(ROWS($AH$2:AH229),$AH$2:$AH$1001,0),MATCH(COLUMNS($AO$1006:BK1006),$AO$1006:$BQ$1006,0)), HYPERLINK("#",""), HYPERLINK(CONCATENATE("#Metadata!", ADDRESS(INDEX($AJ$2:$AJ$1001,MATCH(ROWS($AH$2:AH229),$AH$2:$AH$1001,0),0), INDEX($AO$1004:$BQ$1004,1,MATCH(COLUMNS($AO$1006:BK1006),$AO$1006:$BQ$1006,0)))),"Fix")))</f>
        <v>#N/A</v>
      </c>
      <c r="Y229" s="5" t="e">
        <f ca="1">IF(OR(INDEX($AI$2:$AI$1001,MATCH(ROWS($AH$2:AH229),$AH$2:$AH$1001,0),1)&gt;=100000,INDEX($AO$1005:$BQ$1005,1,MATCH(COLUMNS($AO$1006:BL1006),$AO$1006:$BQ$1006,0))&gt;=100000), " ",IF(INDEX($AO$2:$BQ$1001,MATCH(ROWS($AH$2:AH229),$AH$2:$AH$1001,0),MATCH(COLUMNS($AO$1006:BL1006),$AO$1006:$BQ$1006,0)), HYPERLINK("#",""), HYPERLINK(CONCATENATE("#Metadata!", ADDRESS(INDEX($AJ$2:$AJ$1001,MATCH(ROWS($AH$2:AH229),$AH$2:$AH$1001,0),0), INDEX($AO$1004:$BQ$1004,1,MATCH(COLUMNS($AO$1006:BL1006),$AO$1006:$BQ$1006,0)))),"Fix")))</f>
        <v>#N/A</v>
      </c>
      <c r="Z229" s="5" t="e">
        <f ca="1">IF(OR(INDEX($AI$2:$AI$1001,MATCH(ROWS($AH$2:AH229),$AH$2:$AH$1001,0),1)&gt;=100000,INDEX($AO$1005:$BQ$1005,1,MATCH(COLUMNS($AO$1006:BM1006),$AO$1006:$BQ$1006,0))&gt;=100000), " ",IF(INDEX($AO$2:$BQ$1001,MATCH(ROWS($AH$2:AH229),$AH$2:$AH$1001,0),MATCH(COLUMNS($AO$1006:BM1006),$AO$1006:$BQ$1006,0)), HYPERLINK("#",""), HYPERLINK(CONCATENATE("#Metadata!", ADDRESS(INDEX($AJ$2:$AJ$1001,MATCH(ROWS($AH$2:AH229),$AH$2:$AH$1001,0),0), INDEX($AO$1004:$BQ$1004,1,MATCH(COLUMNS($AO$1006:BM1006),$AO$1006:$BQ$1006,0)))),"Fix")))</f>
        <v>#N/A</v>
      </c>
      <c r="AA229" s="5" t="e">
        <f ca="1">IF(OR(INDEX($AI$2:$AI$1001,MATCH(ROWS($AH$2:AH229),$AH$2:$AH$1001,0),1)&gt;=100000,INDEX($AO$1005:$BQ$1005,1,MATCH(COLUMNS($AO$1006:BN1006),$AO$1006:$BQ$1006,0))&gt;=100000), " ",IF(INDEX($AO$2:$BQ$1001,MATCH(ROWS($AH$2:AH229),$AH$2:$AH$1001,0),MATCH(COLUMNS($AO$1006:BN1006),$AO$1006:$BQ$1006,0)), HYPERLINK("#",""), HYPERLINK(CONCATENATE("#Metadata!", ADDRESS(INDEX($AJ$2:$AJ$1001,MATCH(ROWS($AH$2:AH229),$AH$2:$AH$1001,0),0), INDEX($AO$1004:$BQ$1004,1,MATCH(COLUMNS($AO$1006:BN1006),$AO$1006:$BQ$1006,0)))),"Fix")))</f>
        <v>#N/A</v>
      </c>
      <c r="AB229" s="5" t="e">
        <f ca="1">IF(OR(INDEX($AI$2:$AI$1001,MATCH(ROWS($AH$2:AH229),$AH$2:$AH$1001,0),1)&gt;=100000,INDEX($AO$1005:$BQ$1005,1,MATCH(COLUMNS($AO$1006:BO1006),$AO$1006:$BQ$1006,0))&gt;=100000), " ",IF(INDEX($AO$2:$BQ$1001,MATCH(ROWS($AH$2:AH229),$AH$2:$AH$1001,0),MATCH(COLUMNS($AO$1006:BO1006),$AO$1006:$BQ$1006,0)), HYPERLINK("#",""), HYPERLINK(CONCATENATE("#Metadata!", ADDRESS(INDEX($AJ$2:$AJ$1001,MATCH(ROWS($AH$2:AH229),$AH$2:$AH$1001,0),0), INDEX($AO$1004:$BQ$1004,1,MATCH(COLUMNS($AO$1006:BO1006),$AO$1006:$BQ$1006,0)))),"Fix")))</f>
        <v>#N/A</v>
      </c>
      <c r="AC229" s="5" t="e">
        <f ca="1">IF(OR(INDEX($AI$2:$AI$1001,MATCH(ROWS($AH$2:AH229),$AH$2:$AH$1001,0),1)&gt;=100000,INDEX($AO$1005:$BQ$1005,1,MATCH(COLUMNS($AO$1006:BP1006),$AO$1006:$BQ$1006,0))&gt;=100000), " ",IF(INDEX($AO$2:$BQ$1001,MATCH(ROWS($AH$2:AH229),$AH$2:$AH$1001,0),MATCH(COLUMNS($AO$1006:BP1006),$AO$1006:$BQ$1006,0)), HYPERLINK("#",""), HYPERLINK(CONCATENATE("#Metadata!", ADDRESS(INDEX($AJ$2:$AJ$1001,MATCH(ROWS($AH$2:AH229),$AH$2:$AH$1001,0),0), INDEX($AO$1004:$BQ$1004,1,MATCH(COLUMNS($AO$1006:BP1006),$AO$1006:$BQ$1006,0)))),"Fix")))</f>
        <v>#N/A</v>
      </c>
      <c r="AD229" s="5" t="e">
        <f ca="1">IF(OR(INDEX($AI$2:$AI$1001,MATCH(ROWS($AH$2:AH229),$AH$2:$AH$1001,0),1)&gt;=100000,INDEX($AO$1005:$BQ$1005,1,MATCH(COLUMNS($AO$1006:BQ1006),$AO$1006:$BQ$1006,0))&gt;=100000), " ",IF(INDEX($AO$2:$BQ$1001,MATCH(ROWS($AH$2:AH229),$AH$2:$AH$1001,0),MATCH(COLUMNS($AO$1006:BQ1006),$AO$1006:$BQ$1006,0)), HYPERLINK("#",""), HYPERLINK(CONCATENATE("#Metadata!", ADDRESS(INDEX($AJ$2:$AJ$1001,MATCH(ROWS($AH$2:AH229),$AH$2:$AH$1001,0),0), INDEX($AO$1004:$BQ$1004,1,MATCH(COLUMNS($AO$1006:BQ1006),$AO$1006:$BQ$1006,0)))),"Fix")))</f>
        <v>#REF!</v>
      </c>
      <c r="AH229">
        <f ca="1"/>
        <v>226</v>
      </c>
      <c r="AI229">
        <v>100229</v>
      </c>
      <c r="AJ229">
        <v>229</v>
      </c>
      <c r="AK229" t="b">
        <f t="shared" si="3"/>
        <v>1</v>
      </c>
      <c r="AL229" t="b">
        <f>COUNTBLANK(Metadata!B229:AD229)=COLUMNS(Metadata!B229:AD229)</f>
        <v>1</v>
      </c>
      <c r="AM229" t="str">
        <v/>
      </c>
      <c r="AO229" t="b">
        <f ca="1">AND(IF(Metadata!B229="",FALSE,TRUE),COUNTIF(Metadata!B:B, Metadata!B229) = 1,NOT(ISERROR(SUMPRODUCT(SEARCH(MID(Metadata!B229,ROW(INDIRECT("1:"&amp;LEN(Metadata!B229))), 1),"0123456789abcdefghijklmnopqrstuvwxyzABCDEFGHIJKLMNOPQRSTUVWXYZ.")))))</f>
        <v>0</v>
      </c>
      <c r="AP229" t="b">
        <f>IF(Metadata!C229="",FALSE,TRUE)</f>
        <v>0</v>
      </c>
      <c r="AQ229" t="b">
        <f>IF(Metadata!D229="",FALSE,TRUE)</f>
        <v>0</v>
      </c>
      <c r="AR229" t="b">
        <f ca="1">OR(AND(IF(Metadata!E229="",FALSE,TRUE),OR(EXACT(Metadata!E229,"not collected"),EXACT(Metadata!E229,"not provided"),EXACT(Metadata!E229,"restricted access"))),AND(IF(Metadata!E229="",FALSE,TRUE),AND(AND(IFERROR(INT(LEFT(Metadata!E229,4))&gt;1900,FALSE),IFERROR(INT(LEFT(Metadata!E229,4))&lt;=YEAR(NOW()),FALSE)), OR(MID(Metadata!E229,5,1)="", AND(AND(MID(Metadata!E229,5,1)="-",IFERROR(INT(MID(Metadata!E229,6,1))&gt;=0,FALSE),IFERROR(INT(MID(Metadata!E229,6,1))&lt;=1,FALSE),NOT(MID(Metadata!E229,7,1)=""),IFERROR(INT(MID(Metadata!E229,6,2))&gt;=1,FALSE),IFERROR(INT(MID(Metadata!E229,6,2))&lt;=12,FALSE)), OR(MID(Metadata!E229,8,1)="", AND(AND(MID(Metadata!E229,8,1)="-",IFERROR(INT(MID(Metadata!E229,9,1))&gt;=0,FALSE),IFERROR(INT(MID(Metadata!E229,9,1))&lt;=3,FALSE),NOT(MID(Metadata!E229,10,1)=""),IFERROR(INT(MID(Metadata!E229,9,2))&gt;=1,FALSE),IFERROR(INT(MID(Metadata!E229,9,2))&lt;=31,FALSE)), OR(MID(Metadata!E229,11,1)="", AND(AND(MID(Metadata!E229,11,1)=" ",IFERROR(INT(MID(Metadata!E229,12,1))&gt;=0,FALSE),IFERROR(INT(MID(Metadata!E229,12,1))&lt;=2,FALSE),NOT(MID(Metadata!E229,13,1)=""),IFERROR(INT(MID(Metadata!E229,12,2))&gt;=0,FALSE),IFERROR(INT(MID(Metadata!E229,12,2))&lt;=23,FALSE)), OR(MID(Metadata!E229,14,1)="", AND(AND(MID(Metadata!E229,14,1)=":",IFERROR(INT(MID(Metadata!E229,15,1))&gt;=0,FALSE),IFERROR(INT(MID(Metadata!E229,15,1))&lt;=5,FALSE),NOT(MID(Metadata!E229,16,1)=""),IFERROR(INT(MID(Metadata!E229,15,2))&gt;=0,FALSE),IFERROR(INT(MID(Metadata!E229,15,2))&lt;=59,FALSE)), OR(MID(Metadata!E229,17,1)="", AND(AND(MID(Metadata!E229,17,1)=":",IFERROR(INT(MID(Metadata!E229,18,1))&gt;=0,FALSE),IFERROR(INT(MID(Metadata!E229,18,1))&lt;=5,FALSE),NOT(MID(Metadata!E229,19,1)=""),IFERROR(INT(MID(Metadata!E229,18,2))&gt;=0,FALSE),IFERROR(INT(MID(Metadata!E229,18,2))&lt;=59,FALSE)), LEN(Metadata!E229)&lt;=19)))))))))))))</f>
        <v>0</v>
      </c>
      <c r="AS229" t="b">
        <f>IF(Metadata!F229="",FALSE,TRUE)</f>
        <v>0</v>
      </c>
      <c r="AT229" t="b">
        <f>OR(AND(IF(Metadata!G229="",FALSE,TRUE),OR(EXACT(Metadata!G229,"not collected"),EXACT(Metadata!G229,"not provided"))),AND(IF(Metadata!G229="",FALSE,TRUE),OR(EXACT(Metadata!G229,"TRUE"),EXACT(Metadata!G229,"FALSE"))))</f>
        <v>0</v>
      </c>
      <c r="AU229" t="b">
        <f>OR(AND(IF(Metadata!H229="",FALSE,TRUE),OR(EXACT(Metadata!H229,"not collected"),EXACT(Metadata!H229,"not provided"),EXACT(Metadata!H229,"restricted access"))),AND(IF(Metadata!H229="",FALSE,ISNUMBER(VALUE(Metadata!H229))),Metadata!H229&gt;=-413))</f>
        <v>0</v>
      </c>
      <c r="AV229" t="b">
        <f>AND(IF(Metadata!I229="",FALSE,TRUE),EXACT(Metadata!I229,"meters"))</f>
        <v>0</v>
      </c>
      <c r="AW229" t="b">
        <f>AND(IF(Metadata!J229="",FALSE,TRUE),EXACT(Metadata!J229,"free-living"))</f>
        <v>0</v>
      </c>
      <c r="AX229" t="b">
        <f>AND(IF(Metadata!K229="",FALSE,TRUE),OR(EXACT(Metadata!K229,"saline"),EXACT(Metadata!K229,"non-saline")))</f>
        <v>0</v>
      </c>
      <c r="AY229" t="b">
        <f>AND(IF(Metadata!L229="",FALSE,TRUE),OR(EXACT(Metadata!L229,"sub-surface (non-saline)"),EXACT(Metadata!L229,"surface (non-saline)"),EXACT(Metadata!L229,"water (non-saline)"),EXACT(Metadata!L229,"soil (non-saline)"),EXACT(Metadata!L229,"aerosol (non-saline)"),EXACT(Metadata!L229,"sediment (non-saline)"),EXACT(Metadata!L229,"surface (saline)"),EXACT(Metadata!L229,"water (saline)"),EXACT(Metadata!L229,"hypersaline (saline)"),EXACT(Metadata!L229,"aerosol (saline)"),EXACT(Metadata!L229,"sediment (saline)")))</f>
        <v>0</v>
      </c>
      <c r="AZ229" t="b">
        <f>IF(Metadata!M229="",FALSE,TRUE)</f>
        <v>0</v>
      </c>
      <c r="BA229" t="b">
        <f>IF(Metadata!N229="",FALSE,TRUE)</f>
        <v>0</v>
      </c>
      <c r="BB229" t="b">
        <f>IF(Metadata!O229="",FALSE,TRUE)</f>
        <v>0</v>
      </c>
      <c r="BC229" t="b">
        <f>AND(IF(Metadata!P229="",FALSE,TRUE),OR(EXACT(Metadata!P229,"air"),EXACT(Metadata!P229,"microbial mat/biofilm"),EXACT(Metadata!P229,"misc environment"),EXACT(Metadata!P229,"sediment"),EXACT(Metadata!P229,"soil"),EXACT(Metadata!P229,"wastewater/sludge"),EXACT(Metadata!P229,"water")))</f>
        <v>0</v>
      </c>
      <c r="BD229" t="b">
        <f>IF(Metadata!Q229="",FALSE,TRUE)</f>
        <v>0</v>
      </c>
      <c r="BE229" t="b">
        <f>IF(Metadata!R229="",FALSE,TRUE)</f>
        <v>0</v>
      </c>
      <c r="BF229" t="b">
        <f>OR(AND(IF(Metadata!S229="",FALSE,TRUE),OR(EXACT(Metadata!S229,"not collected"),EXACT(Metadata!S229,"not provided"),EXACT(Metadata!S229,"restricted access"))),AND(IF(Metadata!S229="",FALSE,ISNUMBER(VALUE(Metadata!S229))),Metadata!S229&gt;=-90,Metadata!S229&lt;=90))</f>
        <v>0</v>
      </c>
      <c r="BG229" t="b">
        <f>AND(IF(Metadata!T229="",FALSE,TRUE),EXACT(Metadata!T229,"Decimal degrees"))</f>
        <v>0</v>
      </c>
      <c r="BH229" t="b">
        <f>OR(AND(IF(Metadata!U229="",FALSE,TRUE),OR(EXACT(Metadata!U229,"not applicable"),EXACT(Metadata!U229,"not collected"))),IF(Metadata!U229="",FALSE,TRUE))</f>
        <v>0</v>
      </c>
      <c r="BI229" t="b">
        <f>OR(AND(IF(Metadata!V229="",FALSE,TRUE),OR(EXACT(Metadata!V229,"not collected"),EXACT(Metadata!V229,"not provided"),EXACT(Metadata!V229,"restricted access"))),AND(IF(Metadata!V229="",FALSE,ISNUMBER(VALUE(Metadata!V229))),Metadata!V229&gt;=-180,Metadata!V229&lt;=180))</f>
        <v>0</v>
      </c>
      <c r="BJ229" t="b">
        <f>AND(IF(Metadata!W229="",FALSE,TRUE),EXACT(Metadata!W229,"Decimal degrees"))</f>
        <v>0</v>
      </c>
      <c r="BK229" t="b">
        <f>IF(Metadata!X229="",FALSE,TRUE)</f>
        <v>0</v>
      </c>
      <c r="BL229" t="b">
        <f>OR(AND(IF(Metadata!Y229="",FALSE,TRUE),OR(EXACT(Metadata!Y229,"not collected"),EXACT(Metadata!Y229,"not provided"),EXACT(Metadata!Y229,"restricted access"))),AND(IF(Metadata!Y229="",FALSE,TRUE),OR(EXACT(Metadata!Y229,"TRUE"),EXACT(Metadata!Y229,"FALSE"))))</f>
        <v>0</v>
      </c>
      <c r="BM229" t="b">
        <f>OR(AND(IF(Metadata!Z229="",FALSE,TRUE),EXACT(Metadata!Z229,"not applicable")),AND(IF(Metadata!Z229="",FALSE,TRUE),OR(EXACT(Metadata!Z229,"beer"),EXACT(Metadata!Z229,"cheese"),EXACT(Metadata!Z229,"fresh water"),EXACT(Metadata!Z229,"marine sediment"),EXACT(Metadata!Z229,"sea water"),EXACT(Metadata!Z229,"sediment"),EXACT(Metadata!Z229,"soil"),EXACT(Metadata!Z229,"waste water"))))</f>
        <v>0</v>
      </c>
      <c r="BN229" t="b">
        <f>AND(IF(Metadata!AA229="",FALSE,TRUE),EXACT(Metadata!AA229,"metagenome"))</f>
        <v>0</v>
      </c>
      <c r="BO229" t="b">
        <f>AND(IF(Metadata!AB229="",FALSE,TRUE),EXACT(Metadata!AB229,"256318"))</f>
        <v>0</v>
      </c>
      <c r="BP229" t="b">
        <f>IF(Metadata!AC229="",FALSE,TRUE)</f>
        <v>0</v>
      </c>
      <c r="BQ229" t="b">
        <f>IF(Metadata!AD229="",FALSE,TRUE)</f>
        <v>0</v>
      </c>
    </row>
    <row r="230" spans="1:69" x14ac:dyDescent="0.2">
      <c r="A230" s="4" t="e">
        <f ca="1">IF(B230=" "," ",HYPERLINK(CONCATENATE("#metadata!",ADDRESS(INDEX($AJ$2:$AJ$1001,MATCH(ROWS($AH$2:AH230),$AH$2:$AH$1001,0),0),2)),INDEX($AM$2:$AM$1001,MATCH(ROWS($AH$2:AH230),$AH$2:$AH$1001,0),0)))</f>
        <v>#N/A</v>
      </c>
      <c r="B230" s="5" t="e">
        <f ca="1">IF(OR(INDEX($AI$2:$AI$1001,MATCH(ROWS($AH$2:AH230),$AH$2:$AH$1001,0),1)&gt;=100000,INDEX($AO$1005:$BQ$1005,1,MATCH(COLUMNS($AO$1006:AO1006),$AO$1006:$BQ$1006,0))&gt;=100000), " ",IF(INDEX($AO$2:$BQ$1001,MATCH(ROWS($AH$2:AH230),$AH$2:$AH$1001,0),MATCH(COLUMNS($AO$1006:AO1006),$AO$1006:$BQ$1006,0)), HYPERLINK("#",""), HYPERLINK(CONCATENATE("#Metadata!", ADDRESS(INDEX($AJ$2:$AJ$1001,MATCH(ROWS($AH$2:AH230),$AH$2:$AH$1001,0),0), INDEX($AO$1004:$BQ$1004,1,MATCH(COLUMNS($AO$1006:AO1006),$AO$1006:$BQ$1006,0)))),"Fix")))</f>
        <v>#N/A</v>
      </c>
      <c r="C230" s="5" t="e">
        <f ca="1">IF(OR(INDEX($AI$2:$AI$1001,MATCH(ROWS($AH$2:AH230),$AH$2:$AH$1001,0),1)&gt;=100000,INDEX($AO$1005:$BQ$1005,1,MATCH(COLUMNS($AO$1006:AP1006),$AO$1006:$BQ$1006,0))&gt;=100000), " ",IF(INDEX($AO$2:$BQ$1001,MATCH(ROWS($AH$2:AH230),$AH$2:$AH$1001,0),MATCH(COLUMNS($AO$1006:AP1006),$AO$1006:$BQ$1006,0)), HYPERLINK("#",""), HYPERLINK(CONCATENATE("#Metadata!", ADDRESS(INDEX($AJ$2:$AJ$1001,MATCH(ROWS($AH$2:AH230),$AH$2:$AH$1001,0),0), INDEX($AO$1004:$BQ$1004,1,MATCH(COLUMNS($AO$1006:AP1006),$AO$1006:$BQ$1006,0)))),"Fix")))</f>
        <v>#N/A</v>
      </c>
      <c r="D230" s="5" t="e">
        <f ca="1">IF(OR(INDEX($AI$2:$AI$1001,MATCH(ROWS($AH$2:AH230),$AH$2:$AH$1001,0),1)&gt;=100000,INDEX($AO$1005:$BQ$1005,1,MATCH(COLUMNS($AO$1006:AQ1006),$AO$1006:$BQ$1006,0))&gt;=100000), " ",IF(INDEX($AO$2:$BQ$1001,MATCH(ROWS($AH$2:AH230),$AH$2:$AH$1001,0),MATCH(COLUMNS($AO$1006:AQ1006),$AO$1006:$BQ$1006,0)), HYPERLINK("#",""), HYPERLINK(CONCATENATE("#Metadata!", ADDRESS(INDEX($AJ$2:$AJ$1001,MATCH(ROWS($AH$2:AH230),$AH$2:$AH$1001,0),0), INDEX($AO$1004:$BQ$1004,1,MATCH(COLUMNS($AO$1006:AQ1006),$AO$1006:$BQ$1006,0)))),"Fix")))</f>
        <v>#N/A</v>
      </c>
      <c r="E230" s="5" t="e">
        <f ca="1">IF(OR(INDEX($AI$2:$AI$1001,MATCH(ROWS($AH$2:AH230),$AH$2:$AH$1001,0),1)&gt;=100000,INDEX($AO$1005:$BQ$1005,1,MATCH(COLUMNS($AO$1006:AR1006),$AO$1006:$BQ$1006,0))&gt;=100000), " ",IF(INDEX($AO$2:$BQ$1001,MATCH(ROWS($AH$2:AH230),$AH$2:$AH$1001,0),MATCH(COLUMNS($AO$1006:AR1006),$AO$1006:$BQ$1006,0)), HYPERLINK("#",""), HYPERLINK(CONCATENATE("#Metadata!", ADDRESS(INDEX($AJ$2:$AJ$1001,MATCH(ROWS($AH$2:AH230),$AH$2:$AH$1001,0),0), INDEX($AO$1004:$BQ$1004,1,MATCH(COLUMNS($AO$1006:AR1006),$AO$1006:$BQ$1006,0)))),"Fix")))</f>
        <v>#N/A</v>
      </c>
      <c r="F230" s="5" t="e">
        <f ca="1">IF(OR(INDEX($AI$2:$AI$1001,MATCH(ROWS($AH$2:AH230),$AH$2:$AH$1001,0),1)&gt;=100000,INDEX($AO$1005:$BQ$1005,1,MATCH(COLUMNS($AO$1006:AS1006),$AO$1006:$BQ$1006,0))&gt;=100000), " ",IF(INDEX($AO$2:$BQ$1001,MATCH(ROWS($AH$2:AH230),$AH$2:$AH$1001,0),MATCH(COLUMNS($AO$1006:AS1006),$AO$1006:$BQ$1006,0)), HYPERLINK("#",""), HYPERLINK(CONCATENATE("#Metadata!", ADDRESS(INDEX($AJ$2:$AJ$1001,MATCH(ROWS($AH$2:AH230),$AH$2:$AH$1001,0),0), INDEX($AO$1004:$BQ$1004,1,MATCH(COLUMNS($AO$1006:AS1006),$AO$1006:$BQ$1006,0)))),"Fix")))</f>
        <v>#N/A</v>
      </c>
      <c r="G230" s="5" t="e">
        <f ca="1">IF(OR(INDEX($AI$2:$AI$1001,MATCH(ROWS($AH$2:AH230),$AH$2:$AH$1001,0),1)&gt;=100000,INDEX($AO$1005:$BQ$1005,1,MATCH(COLUMNS($AO$1006:AT1006),$AO$1006:$BQ$1006,0))&gt;=100000), " ",IF(INDEX($AO$2:$BQ$1001,MATCH(ROWS($AH$2:AH230),$AH$2:$AH$1001,0),MATCH(COLUMNS($AO$1006:AT1006),$AO$1006:$BQ$1006,0)), HYPERLINK("#",""), HYPERLINK(CONCATENATE("#Metadata!", ADDRESS(INDEX($AJ$2:$AJ$1001,MATCH(ROWS($AH$2:AH230),$AH$2:$AH$1001,0),0), INDEX($AO$1004:$BQ$1004,1,MATCH(COLUMNS($AO$1006:AT1006),$AO$1006:$BQ$1006,0)))),"Fix")))</f>
        <v>#N/A</v>
      </c>
      <c r="H230" s="5" t="e">
        <f ca="1">IF(OR(INDEX($AI$2:$AI$1001,MATCH(ROWS($AH$2:AH230),$AH$2:$AH$1001,0),1)&gt;=100000,INDEX($AO$1005:$BQ$1005,1,MATCH(COLUMNS($AO$1006:AU1006),$AO$1006:$BQ$1006,0))&gt;=100000), " ",IF(INDEX($AO$2:$BQ$1001,MATCH(ROWS($AH$2:AH230),$AH$2:$AH$1001,0),MATCH(COLUMNS($AO$1006:AU1006),$AO$1006:$BQ$1006,0)), HYPERLINK("#",""), HYPERLINK(CONCATENATE("#Metadata!", ADDRESS(INDEX($AJ$2:$AJ$1001,MATCH(ROWS($AH$2:AH230),$AH$2:$AH$1001,0),0), INDEX($AO$1004:$BQ$1004,1,MATCH(COLUMNS($AO$1006:AU1006),$AO$1006:$BQ$1006,0)))),"Fix")))</f>
        <v>#N/A</v>
      </c>
      <c r="I230" s="5" t="e">
        <f ca="1">IF(OR(INDEX($AI$2:$AI$1001,MATCH(ROWS($AH$2:AH230),$AH$2:$AH$1001,0),1)&gt;=100000,INDEX($AO$1005:$BQ$1005,1,MATCH(COLUMNS($AO$1006:AV1006),$AO$1006:$BQ$1006,0))&gt;=100000), " ",IF(INDEX($AO$2:$BQ$1001,MATCH(ROWS($AH$2:AH230),$AH$2:$AH$1001,0),MATCH(COLUMNS($AO$1006:AV1006),$AO$1006:$BQ$1006,0)), HYPERLINK("#",""), HYPERLINK(CONCATENATE("#Metadata!", ADDRESS(INDEX($AJ$2:$AJ$1001,MATCH(ROWS($AH$2:AH230),$AH$2:$AH$1001,0),0), INDEX($AO$1004:$BQ$1004,1,MATCH(COLUMNS($AO$1006:AV1006),$AO$1006:$BQ$1006,0)))),"Fix")))</f>
        <v>#N/A</v>
      </c>
      <c r="J230" s="5" t="e">
        <f ca="1">IF(OR(INDEX($AI$2:$AI$1001,MATCH(ROWS($AH$2:AH230),$AH$2:$AH$1001,0),1)&gt;=100000,INDEX($AO$1005:$BQ$1005,1,MATCH(COLUMNS($AO$1006:AW1006),$AO$1006:$BQ$1006,0))&gt;=100000), " ",IF(INDEX($AO$2:$BQ$1001,MATCH(ROWS($AH$2:AH230),$AH$2:$AH$1001,0),MATCH(COLUMNS($AO$1006:AW1006),$AO$1006:$BQ$1006,0)), HYPERLINK("#",""), HYPERLINK(CONCATENATE("#Metadata!", ADDRESS(INDEX($AJ$2:$AJ$1001,MATCH(ROWS($AH$2:AH230),$AH$2:$AH$1001,0),0), INDEX($AO$1004:$BQ$1004,1,MATCH(COLUMNS($AO$1006:AW1006),$AO$1006:$BQ$1006,0)))),"Fix")))</f>
        <v>#N/A</v>
      </c>
      <c r="K230" s="5" t="e">
        <f ca="1">IF(OR(INDEX($AI$2:$AI$1001,MATCH(ROWS($AH$2:AH230),$AH$2:$AH$1001,0),1)&gt;=100000,INDEX($AO$1005:$BQ$1005,1,MATCH(COLUMNS($AO$1006:AX1006),$AO$1006:$BQ$1006,0))&gt;=100000), " ",IF(INDEX($AO$2:$BQ$1001,MATCH(ROWS($AH$2:AH230),$AH$2:$AH$1001,0),MATCH(COLUMNS($AO$1006:AX1006),$AO$1006:$BQ$1006,0)), HYPERLINK("#",""), HYPERLINK(CONCATENATE("#Metadata!", ADDRESS(INDEX($AJ$2:$AJ$1001,MATCH(ROWS($AH$2:AH230),$AH$2:$AH$1001,0),0), INDEX($AO$1004:$BQ$1004,1,MATCH(COLUMNS($AO$1006:AX1006),$AO$1006:$BQ$1006,0)))),"Fix")))</f>
        <v>#N/A</v>
      </c>
      <c r="L230" s="5" t="e">
        <f ca="1">IF(OR(INDEX($AI$2:$AI$1001,MATCH(ROWS($AH$2:AH230),$AH$2:$AH$1001,0),1)&gt;=100000,INDEX($AO$1005:$BQ$1005,1,MATCH(COLUMNS($AO$1006:AY1006),$AO$1006:$BQ$1006,0))&gt;=100000), " ",IF(INDEX($AO$2:$BQ$1001,MATCH(ROWS($AH$2:AH230),$AH$2:$AH$1001,0),MATCH(COLUMNS($AO$1006:AY1006),$AO$1006:$BQ$1006,0)), HYPERLINK("#",""), HYPERLINK(CONCATENATE("#Metadata!", ADDRESS(INDEX($AJ$2:$AJ$1001,MATCH(ROWS($AH$2:AH230),$AH$2:$AH$1001,0),0), INDEX($AO$1004:$BQ$1004,1,MATCH(COLUMNS($AO$1006:AY1006),$AO$1006:$BQ$1006,0)))),"Fix")))</f>
        <v>#N/A</v>
      </c>
      <c r="M230" s="5" t="e">
        <f ca="1">IF(OR(INDEX($AI$2:$AI$1001,MATCH(ROWS($AH$2:AH230),$AH$2:$AH$1001,0),1)&gt;=100000,INDEX($AO$1005:$BQ$1005,1,MATCH(COLUMNS($AO$1006:AZ1006),$AO$1006:$BQ$1006,0))&gt;=100000), " ",IF(INDEX($AO$2:$BQ$1001,MATCH(ROWS($AH$2:AH230),$AH$2:$AH$1001,0),MATCH(COLUMNS($AO$1006:AZ1006),$AO$1006:$BQ$1006,0)), HYPERLINK("#",""), HYPERLINK(CONCATENATE("#Metadata!", ADDRESS(INDEX($AJ$2:$AJ$1001,MATCH(ROWS($AH$2:AH230),$AH$2:$AH$1001,0),0), INDEX($AO$1004:$BQ$1004,1,MATCH(COLUMNS($AO$1006:AZ1006),$AO$1006:$BQ$1006,0)))),"Fix")))</f>
        <v>#N/A</v>
      </c>
      <c r="N230" s="5" t="e">
        <f ca="1">IF(OR(INDEX($AI$2:$AI$1001,MATCH(ROWS($AH$2:AH230),$AH$2:$AH$1001,0),1)&gt;=100000,INDEX($AO$1005:$BQ$1005,1,MATCH(COLUMNS($AO$1006:BA1006),$AO$1006:$BQ$1006,0))&gt;=100000), " ",IF(INDEX($AO$2:$BQ$1001,MATCH(ROWS($AH$2:AH230),$AH$2:$AH$1001,0),MATCH(COLUMNS($AO$1006:BA1006),$AO$1006:$BQ$1006,0)), HYPERLINK("#",""), HYPERLINK(CONCATENATE("#Metadata!", ADDRESS(INDEX($AJ$2:$AJ$1001,MATCH(ROWS($AH$2:AH230),$AH$2:$AH$1001,0),0), INDEX($AO$1004:$BQ$1004,1,MATCH(COLUMNS($AO$1006:BA1006),$AO$1006:$BQ$1006,0)))),"Fix")))</f>
        <v>#N/A</v>
      </c>
      <c r="O230" s="5" t="e">
        <f ca="1">IF(OR(INDEX($AI$2:$AI$1001,MATCH(ROWS($AH$2:AH230),$AH$2:$AH$1001,0),1)&gt;=100000,INDEX($AO$1005:$BQ$1005,1,MATCH(COLUMNS($AO$1006:BB1006),$AO$1006:$BQ$1006,0))&gt;=100000), " ",IF(INDEX($AO$2:$BQ$1001,MATCH(ROWS($AH$2:AH230),$AH$2:$AH$1001,0),MATCH(COLUMNS($AO$1006:BB1006),$AO$1006:$BQ$1006,0)), HYPERLINK("#",""), HYPERLINK(CONCATENATE("#Metadata!", ADDRESS(INDEX($AJ$2:$AJ$1001,MATCH(ROWS($AH$2:AH230),$AH$2:$AH$1001,0),0), INDEX($AO$1004:$BQ$1004,1,MATCH(COLUMNS($AO$1006:BB1006),$AO$1006:$BQ$1006,0)))),"Fix")))</f>
        <v>#N/A</v>
      </c>
      <c r="P230" s="5" t="e">
        <f ca="1">IF(OR(INDEX($AI$2:$AI$1001,MATCH(ROWS($AH$2:AH230),$AH$2:$AH$1001,0),1)&gt;=100000,INDEX($AO$1005:$BQ$1005,1,MATCH(COLUMNS($AO$1006:BC1006),$AO$1006:$BQ$1006,0))&gt;=100000), " ",IF(INDEX($AO$2:$BQ$1001,MATCH(ROWS($AH$2:AH230),$AH$2:$AH$1001,0),MATCH(COLUMNS($AO$1006:BC1006),$AO$1006:$BQ$1006,0)), HYPERLINK("#",""), HYPERLINK(CONCATENATE("#Metadata!", ADDRESS(INDEX($AJ$2:$AJ$1001,MATCH(ROWS($AH$2:AH230),$AH$2:$AH$1001,0),0), INDEX($AO$1004:$BQ$1004,1,MATCH(COLUMNS($AO$1006:BC1006),$AO$1006:$BQ$1006,0)))),"Fix")))</f>
        <v>#N/A</v>
      </c>
      <c r="Q230" s="5" t="e">
        <f ca="1">IF(OR(INDEX($AI$2:$AI$1001,MATCH(ROWS($AH$2:AH230),$AH$2:$AH$1001,0),1)&gt;=100000,INDEX($AO$1005:$BQ$1005,1,MATCH(COLUMNS($AO$1006:BD1006),$AO$1006:$BQ$1006,0))&gt;=100000), " ",IF(INDEX($AO$2:$BQ$1001,MATCH(ROWS($AH$2:AH230),$AH$2:$AH$1001,0),MATCH(COLUMNS($AO$1006:BD1006),$AO$1006:$BQ$1006,0)), HYPERLINK("#",""), HYPERLINK(CONCATENATE("#Metadata!", ADDRESS(INDEX($AJ$2:$AJ$1001,MATCH(ROWS($AH$2:AH230),$AH$2:$AH$1001,0),0), INDEX($AO$1004:$BQ$1004,1,MATCH(COLUMNS($AO$1006:BD1006),$AO$1006:$BQ$1006,0)))),"Fix")))</f>
        <v>#N/A</v>
      </c>
      <c r="R230" s="5" t="e">
        <f ca="1">IF(OR(INDEX($AI$2:$AI$1001,MATCH(ROWS($AH$2:AH230),$AH$2:$AH$1001,0),1)&gt;=100000,INDEX($AO$1005:$BQ$1005,1,MATCH(COLUMNS($AO$1006:BE1006),$AO$1006:$BQ$1006,0))&gt;=100000), " ",IF(INDEX($AO$2:$BQ$1001,MATCH(ROWS($AH$2:AH230),$AH$2:$AH$1001,0),MATCH(COLUMNS($AO$1006:BE1006),$AO$1006:$BQ$1006,0)), HYPERLINK("#",""), HYPERLINK(CONCATENATE("#Metadata!", ADDRESS(INDEX($AJ$2:$AJ$1001,MATCH(ROWS($AH$2:AH230),$AH$2:$AH$1001,0),0), INDEX($AO$1004:$BQ$1004,1,MATCH(COLUMNS($AO$1006:BE1006),$AO$1006:$BQ$1006,0)))),"Fix")))</f>
        <v>#N/A</v>
      </c>
      <c r="S230" s="5" t="e">
        <f ca="1">IF(OR(INDEX($AI$2:$AI$1001,MATCH(ROWS($AH$2:AH230),$AH$2:$AH$1001,0),1)&gt;=100000,INDEX($AO$1005:$BQ$1005,1,MATCH(COLUMNS($AO$1006:BF1006),$AO$1006:$BQ$1006,0))&gt;=100000), " ",IF(INDEX($AO$2:$BQ$1001,MATCH(ROWS($AH$2:AH230),$AH$2:$AH$1001,0),MATCH(COLUMNS($AO$1006:BF1006),$AO$1006:$BQ$1006,0)), HYPERLINK("#",""), HYPERLINK(CONCATENATE("#Metadata!", ADDRESS(INDEX($AJ$2:$AJ$1001,MATCH(ROWS($AH$2:AH230),$AH$2:$AH$1001,0),0), INDEX($AO$1004:$BQ$1004,1,MATCH(COLUMNS($AO$1006:BF1006),$AO$1006:$BQ$1006,0)))),"Fix")))</f>
        <v>#N/A</v>
      </c>
      <c r="T230" s="5" t="e">
        <f ca="1">IF(OR(INDEX($AI$2:$AI$1001,MATCH(ROWS($AH$2:AH230),$AH$2:$AH$1001,0),1)&gt;=100000,INDEX($AO$1005:$BQ$1005,1,MATCH(COLUMNS($AO$1006:BG1006),$AO$1006:$BQ$1006,0))&gt;=100000), " ",IF(INDEX($AO$2:$BQ$1001,MATCH(ROWS($AH$2:AH230),$AH$2:$AH$1001,0),MATCH(COLUMNS($AO$1006:BG1006),$AO$1006:$BQ$1006,0)), HYPERLINK("#",""), HYPERLINK(CONCATENATE("#Metadata!", ADDRESS(INDEX($AJ$2:$AJ$1001,MATCH(ROWS($AH$2:AH230),$AH$2:$AH$1001,0),0), INDEX($AO$1004:$BQ$1004,1,MATCH(COLUMNS($AO$1006:BG1006),$AO$1006:$BQ$1006,0)))),"Fix")))</f>
        <v>#N/A</v>
      </c>
      <c r="U230" s="5" t="e">
        <f ca="1">IF(OR(INDEX($AI$2:$AI$1001,MATCH(ROWS($AH$2:AH230),$AH$2:$AH$1001,0),1)&gt;=100000,INDEX($AO$1005:$BQ$1005,1,MATCH(COLUMNS($AO$1006:BH1006),$AO$1006:$BQ$1006,0))&gt;=100000), " ",IF(INDEX($AO$2:$BQ$1001,MATCH(ROWS($AH$2:AH230),$AH$2:$AH$1001,0),MATCH(COLUMNS($AO$1006:BH1006),$AO$1006:$BQ$1006,0)), HYPERLINK("#",""), HYPERLINK(CONCATENATE("#Metadata!", ADDRESS(INDEX($AJ$2:$AJ$1001,MATCH(ROWS($AH$2:AH230),$AH$2:$AH$1001,0),0), INDEX($AO$1004:$BQ$1004,1,MATCH(COLUMNS($AO$1006:BH1006),$AO$1006:$BQ$1006,0)))),"Fix")))</f>
        <v>#N/A</v>
      </c>
      <c r="V230" s="5" t="e">
        <f ca="1">IF(OR(INDEX($AI$2:$AI$1001,MATCH(ROWS($AH$2:AH230),$AH$2:$AH$1001,0),1)&gt;=100000,INDEX($AO$1005:$BQ$1005,1,MATCH(COLUMNS($AO$1006:BI1006),$AO$1006:$BQ$1006,0))&gt;=100000), " ",IF(INDEX($AO$2:$BQ$1001,MATCH(ROWS($AH$2:AH230),$AH$2:$AH$1001,0),MATCH(COLUMNS($AO$1006:BI1006),$AO$1006:$BQ$1006,0)), HYPERLINK("#",""), HYPERLINK(CONCATENATE("#Metadata!", ADDRESS(INDEX($AJ$2:$AJ$1001,MATCH(ROWS($AH$2:AH230),$AH$2:$AH$1001,0),0), INDEX($AO$1004:$BQ$1004,1,MATCH(COLUMNS($AO$1006:BI1006),$AO$1006:$BQ$1006,0)))),"Fix")))</f>
        <v>#N/A</v>
      </c>
      <c r="W230" s="5" t="e">
        <f ca="1">IF(OR(INDEX($AI$2:$AI$1001,MATCH(ROWS($AH$2:AH230),$AH$2:$AH$1001,0),1)&gt;=100000,INDEX($AO$1005:$BQ$1005,1,MATCH(COLUMNS($AO$1006:BJ1006),$AO$1006:$BQ$1006,0))&gt;=100000), " ",IF(INDEX($AO$2:$BQ$1001,MATCH(ROWS($AH$2:AH230),$AH$2:$AH$1001,0),MATCH(COLUMNS($AO$1006:BJ1006),$AO$1006:$BQ$1006,0)), HYPERLINK("#",""), HYPERLINK(CONCATENATE("#Metadata!", ADDRESS(INDEX($AJ$2:$AJ$1001,MATCH(ROWS($AH$2:AH230),$AH$2:$AH$1001,0),0), INDEX($AO$1004:$BQ$1004,1,MATCH(COLUMNS($AO$1006:BJ1006),$AO$1006:$BQ$1006,0)))),"Fix")))</f>
        <v>#N/A</v>
      </c>
      <c r="X230" s="5" t="e">
        <f ca="1">IF(OR(INDEX($AI$2:$AI$1001,MATCH(ROWS($AH$2:AH230),$AH$2:$AH$1001,0),1)&gt;=100000,INDEX($AO$1005:$BQ$1005,1,MATCH(COLUMNS($AO$1006:BK1006),$AO$1006:$BQ$1006,0))&gt;=100000), " ",IF(INDEX($AO$2:$BQ$1001,MATCH(ROWS($AH$2:AH230),$AH$2:$AH$1001,0),MATCH(COLUMNS($AO$1006:BK1006),$AO$1006:$BQ$1006,0)), HYPERLINK("#",""), HYPERLINK(CONCATENATE("#Metadata!", ADDRESS(INDEX($AJ$2:$AJ$1001,MATCH(ROWS($AH$2:AH230),$AH$2:$AH$1001,0),0), INDEX($AO$1004:$BQ$1004,1,MATCH(COLUMNS($AO$1006:BK1006),$AO$1006:$BQ$1006,0)))),"Fix")))</f>
        <v>#N/A</v>
      </c>
      <c r="Y230" s="5" t="e">
        <f ca="1">IF(OR(INDEX($AI$2:$AI$1001,MATCH(ROWS($AH$2:AH230),$AH$2:$AH$1001,0),1)&gt;=100000,INDEX($AO$1005:$BQ$1005,1,MATCH(COLUMNS($AO$1006:BL1006),$AO$1006:$BQ$1006,0))&gt;=100000), " ",IF(INDEX($AO$2:$BQ$1001,MATCH(ROWS($AH$2:AH230),$AH$2:$AH$1001,0),MATCH(COLUMNS($AO$1006:BL1006),$AO$1006:$BQ$1006,0)), HYPERLINK("#",""), HYPERLINK(CONCATENATE("#Metadata!", ADDRESS(INDEX($AJ$2:$AJ$1001,MATCH(ROWS($AH$2:AH230),$AH$2:$AH$1001,0),0), INDEX($AO$1004:$BQ$1004,1,MATCH(COLUMNS($AO$1006:BL1006),$AO$1006:$BQ$1006,0)))),"Fix")))</f>
        <v>#N/A</v>
      </c>
      <c r="Z230" s="5" t="e">
        <f ca="1">IF(OR(INDEX($AI$2:$AI$1001,MATCH(ROWS($AH$2:AH230),$AH$2:$AH$1001,0),1)&gt;=100000,INDEX($AO$1005:$BQ$1005,1,MATCH(COLUMNS($AO$1006:BM1006),$AO$1006:$BQ$1006,0))&gt;=100000), " ",IF(INDEX($AO$2:$BQ$1001,MATCH(ROWS($AH$2:AH230),$AH$2:$AH$1001,0),MATCH(COLUMNS($AO$1006:BM1006),$AO$1006:$BQ$1006,0)), HYPERLINK("#",""), HYPERLINK(CONCATENATE("#Metadata!", ADDRESS(INDEX($AJ$2:$AJ$1001,MATCH(ROWS($AH$2:AH230),$AH$2:$AH$1001,0),0), INDEX($AO$1004:$BQ$1004,1,MATCH(COLUMNS($AO$1006:BM1006),$AO$1006:$BQ$1006,0)))),"Fix")))</f>
        <v>#N/A</v>
      </c>
      <c r="AA230" s="5" t="e">
        <f ca="1">IF(OR(INDEX($AI$2:$AI$1001,MATCH(ROWS($AH$2:AH230),$AH$2:$AH$1001,0),1)&gt;=100000,INDEX($AO$1005:$BQ$1005,1,MATCH(COLUMNS($AO$1006:BN1006),$AO$1006:$BQ$1006,0))&gt;=100000), " ",IF(INDEX($AO$2:$BQ$1001,MATCH(ROWS($AH$2:AH230),$AH$2:$AH$1001,0),MATCH(COLUMNS($AO$1006:BN1006),$AO$1006:$BQ$1006,0)), HYPERLINK("#",""), HYPERLINK(CONCATENATE("#Metadata!", ADDRESS(INDEX($AJ$2:$AJ$1001,MATCH(ROWS($AH$2:AH230),$AH$2:$AH$1001,0),0), INDEX($AO$1004:$BQ$1004,1,MATCH(COLUMNS($AO$1006:BN1006),$AO$1006:$BQ$1006,0)))),"Fix")))</f>
        <v>#N/A</v>
      </c>
      <c r="AB230" s="5" t="e">
        <f ca="1">IF(OR(INDEX($AI$2:$AI$1001,MATCH(ROWS($AH$2:AH230),$AH$2:$AH$1001,0),1)&gt;=100000,INDEX($AO$1005:$BQ$1005,1,MATCH(COLUMNS($AO$1006:BO1006),$AO$1006:$BQ$1006,0))&gt;=100000), " ",IF(INDEX($AO$2:$BQ$1001,MATCH(ROWS($AH$2:AH230),$AH$2:$AH$1001,0),MATCH(COLUMNS($AO$1006:BO1006),$AO$1006:$BQ$1006,0)), HYPERLINK("#",""), HYPERLINK(CONCATENATE("#Metadata!", ADDRESS(INDEX($AJ$2:$AJ$1001,MATCH(ROWS($AH$2:AH230),$AH$2:$AH$1001,0),0), INDEX($AO$1004:$BQ$1004,1,MATCH(COLUMNS($AO$1006:BO1006),$AO$1006:$BQ$1006,0)))),"Fix")))</f>
        <v>#N/A</v>
      </c>
      <c r="AC230" s="5" t="e">
        <f ca="1">IF(OR(INDEX($AI$2:$AI$1001,MATCH(ROWS($AH$2:AH230),$AH$2:$AH$1001,0),1)&gt;=100000,INDEX($AO$1005:$BQ$1005,1,MATCH(COLUMNS($AO$1006:BP1006),$AO$1006:$BQ$1006,0))&gt;=100000), " ",IF(INDEX($AO$2:$BQ$1001,MATCH(ROWS($AH$2:AH230),$AH$2:$AH$1001,0),MATCH(COLUMNS($AO$1006:BP1006),$AO$1006:$BQ$1006,0)), HYPERLINK("#",""), HYPERLINK(CONCATENATE("#Metadata!", ADDRESS(INDEX($AJ$2:$AJ$1001,MATCH(ROWS($AH$2:AH230),$AH$2:$AH$1001,0),0), INDEX($AO$1004:$BQ$1004,1,MATCH(COLUMNS($AO$1006:BP1006),$AO$1006:$BQ$1006,0)))),"Fix")))</f>
        <v>#N/A</v>
      </c>
      <c r="AD230" s="5" t="e">
        <f ca="1">IF(OR(INDEX($AI$2:$AI$1001,MATCH(ROWS($AH$2:AH230),$AH$2:$AH$1001,0),1)&gt;=100000,INDEX($AO$1005:$BQ$1005,1,MATCH(COLUMNS($AO$1006:BQ1006),$AO$1006:$BQ$1006,0))&gt;=100000), " ",IF(INDEX($AO$2:$BQ$1001,MATCH(ROWS($AH$2:AH230),$AH$2:$AH$1001,0),MATCH(COLUMNS($AO$1006:BQ1006),$AO$1006:$BQ$1006,0)), HYPERLINK("#",""), HYPERLINK(CONCATENATE("#Metadata!", ADDRESS(INDEX($AJ$2:$AJ$1001,MATCH(ROWS($AH$2:AH230),$AH$2:$AH$1001,0),0), INDEX($AO$1004:$BQ$1004,1,MATCH(COLUMNS($AO$1006:BQ1006),$AO$1006:$BQ$1006,0)))),"Fix")))</f>
        <v>#REF!</v>
      </c>
      <c r="AH230">
        <f ca="1"/>
        <v>227</v>
      </c>
      <c r="AI230">
        <v>100230</v>
      </c>
      <c r="AJ230">
        <v>230</v>
      </c>
      <c r="AK230" t="b">
        <f t="shared" si="3"/>
        <v>1</v>
      </c>
      <c r="AL230" t="b">
        <f>COUNTBLANK(Metadata!B230:AD230)=COLUMNS(Metadata!B230:AD230)</f>
        <v>1</v>
      </c>
      <c r="AM230" t="str">
        <v/>
      </c>
      <c r="AO230" t="b">
        <f ca="1">AND(IF(Metadata!B230="",FALSE,TRUE),COUNTIF(Metadata!B:B, Metadata!B230) = 1,NOT(ISERROR(SUMPRODUCT(SEARCH(MID(Metadata!B230,ROW(INDIRECT("1:"&amp;LEN(Metadata!B230))), 1),"0123456789abcdefghijklmnopqrstuvwxyzABCDEFGHIJKLMNOPQRSTUVWXYZ.")))))</f>
        <v>0</v>
      </c>
      <c r="AP230" t="b">
        <f>IF(Metadata!C230="",FALSE,TRUE)</f>
        <v>0</v>
      </c>
      <c r="AQ230" t="b">
        <f>IF(Metadata!D230="",FALSE,TRUE)</f>
        <v>0</v>
      </c>
      <c r="AR230" t="b">
        <f ca="1">OR(AND(IF(Metadata!E230="",FALSE,TRUE),OR(EXACT(Metadata!E230,"not collected"),EXACT(Metadata!E230,"not provided"),EXACT(Metadata!E230,"restricted access"))),AND(IF(Metadata!E230="",FALSE,TRUE),AND(AND(IFERROR(INT(LEFT(Metadata!E230,4))&gt;1900,FALSE),IFERROR(INT(LEFT(Metadata!E230,4))&lt;=YEAR(NOW()),FALSE)), OR(MID(Metadata!E230,5,1)="", AND(AND(MID(Metadata!E230,5,1)="-",IFERROR(INT(MID(Metadata!E230,6,1))&gt;=0,FALSE),IFERROR(INT(MID(Metadata!E230,6,1))&lt;=1,FALSE),NOT(MID(Metadata!E230,7,1)=""),IFERROR(INT(MID(Metadata!E230,6,2))&gt;=1,FALSE),IFERROR(INT(MID(Metadata!E230,6,2))&lt;=12,FALSE)), OR(MID(Metadata!E230,8,1)="", AND(AND(MID(Metadata!E230,8,1)="-",IFERROR(INT(MID(Metadata!E230,9,1))&gt;=0,FALSE),IFERROR(INT(MID(Metadata!E230,9,1))&lt;=3,FALSE),NOT(MID(Metadata!E230,10,1)=""),IFERROR(INT(MID(Metadata!E230,9,2))&gt;=1,FALSE),IFERROR(INT(MID(Metadata!E230,9,2))&lt;=31,FALSE)), OR(MID(Metadata!E230,11,1)="", AND(AND(MID(Metadata!E230,11,1)=" ",IFERROR(INT(MID(Metadata!E230,12,1))&gt;=0,FALSE),IFERROR(INT(MID(Metadata!E230,12,1))&lt;=2,FALSE),NOT(MID(Metadata!E230,13,1)=""),IFERROR(INT(MID(Metadata!E230,12,2))&gt;=0,FALSE),IFERROR(INT(MID(Metadata!E230,12,2))&lt;=23,FALSE)), OR(MID(Metadata!E230,14,1)="", AND(AND(MID(Metadata!E230,14,1)=":",IFERROR(INT(MID(Metadata!E230,15,1))&gt;=0,FALSE),IFERROR(INT(MID(Metadata!E230,15,1))&lt;=5,FALSE),NOT(MID(Metadata!E230,16,1)=""),IFERROR(INT(MID(Metadata!E230,15,2))&gt;=0,FALSE),IFERROR(INT(MID(Metadata!E230,15,2))&lt;=59,FALSE)), OR(MID(Metadata!E230,17,1)="", AND(AND(MID(Metadata!E230,17,1)=":",IFERROR(INT(MID(Metadata!E230,18,1))&gt;=0,FALSE),IFERROR(INT(MID(Metadata!E230,18,1))&lt;=5,FALSE),NOT(MID(Metadata!E230,19,1)=""),IFERROR(INT(MID(Metadata!E230,18,2))&gt;=0,FALSE),IFERROR(INT(MID(Metadata!E230,18,2))&lt;=59,FALSE)), LEN(Metadata!E230)&lt;=19)))))))))))))</f>
        <v>0</v>
      </c>
      <c r="AS230" t="b">
        <f>IF(Metadata!F230="",FALSE,TRUE)</f>
        <v>0</v>
      </c>
      <c r="AT230" t="b">
        <f>OR(AND(IF(Metadata!G230="",FALSE,TRUE),OR(EXACT(Metadata!G230,"not collected"),EXACT(Metadata!G230,"not provided"))),AND(IF(Metadata!G230="",FALSE,TRUE),OR(EXACT(Metadata!G230,"TRUE"),EXACT(Metadata!G230,"FALSE"))))</f>
        <v>0</v>
      </c>
      <c r="AU230" t="b">
        <f>OR(AND(IF(Metadata!H230="",FALSE,TRUE),OR(EXACT(Metadata!H230,"not collected"),EXACT(Metadata!H230,"not provided"),EXACT(Metadata!H230,"restricted access"))),AND(IF(Metadata!H230="",FALSE,ISNUMBER(VALUE(Metadata!H230))),Metadata!H230&gt;=-413))</f>
        <v>0</v>
      </c>
      <c r="AV230" t="b">
        <f>AND(IF(Metadata!I230="",FALSE,TRUE),EXACT(Metadata!I230,"meters"))</f>
        <v>0</v>
      </c>
      <c r="AW230" t="b">
        <f>AND(IF(Metadata!J230="",FALSE,TRUE),EXACT(Metadata!J230,"free-living"))</f>
        <v>0</v>
      </c>
      <c r="AX230" t="b">
        <f>AND(IF(Metadata!K230="",FALSE,TRUE),OR(EXACT(Metadata!K230,"saline"),EXACT(Metadata!K230,"non-saline")))</f>
        <v>0</v>
      </c>
      <c r="AY230" t="b">
        <f>AND(IF(Metadata!L230="",FALSE,TRUE),OR(EXACT(Metadata!L230,"sub-surface (non-saline)"),EXACT(Metadata!L230,"surface (non-saline)"),EXACT(Metadata!L230,"water (non-saline)"),EXACT(Metadata!L230,"soil (non-saline)"),EXACT(Metadata!L230,"aerosol (non-saline)"),EXACT(Metadata!L230,"sediment (non-saline)"),EXACT(Metadata!L230,"surface (saline)"),EXACT(Metadata!L230,"water (saline)"),EXACT(Metadata!L230,"hypersaline (saline)"),EXACT(Metadata!L230,"aerosol (saline)"),EXACT(Metadata!L230,"sediment (saline)")))</f>
        <v>0</v>
      </c>
      <c r="AZ230" t="b">
        <f>IF(Metadata!M230="",FALSE,TRUE)</f>
        <v>0</v>
      </c>
      <c r="BA230" t="b">
        <f>IF(Metadata!N230="",FALSE,TRUE)</f>
        <v>0</v>
      </c>
      <c r="BB230" t="b">
        <f>IF(Metadata!O230="",FALSE,TRUE)</f>
        <v>0</v>
      </c>
      <c r="BC230" t="b">
        <f>AND(IF(Metadata!P230="",FALSE,TRUE),OR(EXACT(Metadata!P230,"air"),EXACT(Metadata!P230,"microbial mat/biofilm"),EXACT(Metadata!P230,"misc environment"),EXACT(Metadata!P230,"sediment"),EXACT(Metadata!P230,"soil"),EXACT(Metadata!P230,"wastewater/sludge"),EXACT(Metadata!P230,"water")))</f>
        <v>0</v>
      </c>
      <c r="BD230" t="b">
        <f>IF(Metadata!Q230="",FALSE,TRUE)</f>
        <v>0</v>
      </c>
      <c r="BE230" t="b">
        <f>IF(Metadata!R230="",FALSE,TRUE)</f>
        <v>0</v>
      </c>
      <c r="BF230" t="b">
        <f>OR(AND(IF(Metadata!S230="",FALSE,TRUE),OR(EXACT(Metadata!S230,"not collected"),EXACT(Metadata!S230,"not provided"),EXACT(Metadata!S230,"restricted access"))),AND(IF(Metadata!S230="",FALSE,ISNUMBER(VALUE(Metadata!S230))),Metadata!S230&gt;=-90,Metadata!S230&lt;=90))</f>
        <v>0</v>
      </c>
      <c r="BG230" t="b">
        <f>AND(IF(Metadata!T230="",FALSE,TRUE),EXACT(Metadata!T230,"Decimal degrees"))</f>
        <v>0</v>
      </c>
      <c r="BH230" t="b">
        <f>OR(AND(IF(Metadata!U230="",FALSE,TRUE),OR(EXACT(Metadata!U230,"not applicable"),EXACT(Metadata!U230,"not collected"))),IF(Metadata!U230="",FALSE,TRUE))</f>
        <v>0</v>
      </c>
      <c r="BI230" t="b">
        <f>OR(AND(IF(Metadata!V230="",FALSE,TRUE),OR(EXACT(Metadata!V230,"not collected"),EXACT(Metadata!V230,"not provided"),EXACT(Metadata!V230,"restricted access"))),AND(IF(Metadata!V230="",FALSE,ISNUMBER(VALUE(Metadata!V230))),Metadata!V230&gt;=-180,Metadata!V230&lt;=180))</f>
        <v>0</v>
      </c>
      <c r="BJ230" t="b">
        <f>AND(IF(Metadata!W230="",FALSE,TRUE),EXACT(Metadata!W230,"Decimal degrees"))</f>
        <v>0</v>
      </c>
      <c r="BK230" t="b">
        <f>IF(Metadata!X230="",FALSE,TRUE)</f>
        <v>0</v>
      </c>
      <c r="BL230" t="b">
        <f>OR(AND(IF(Metadata!Y230="",FALSE,TRUE),OR(EXACT(Metadata!Y230,"not collected"),EXACT(Metadata!Y230,"not provided"),EXACT(Metadata!Y230,"restricted access"))),AND(IF(Metadata!Y230="",FALSE,TRUE),OR(EXACT(Metadata!Y230,"TRUE"),EXACT(Metadata!Y230,"FALSE"))))</f>
        <v>0</v>
      </c>
      <c r="BM230" t="b">
        <f>OR(AND(IF(Metadata!Z230="",FALSE,TRUE),EXACT(Metadata!Z230,"not applicable")),AND(IF(Metadata!Z230="",FALSE,TRUE),OR(EXACT(Metadata!Z230,"beer"),EXACT(Metadata!Z230,"cheese"),EXACT(Metadata!Z230,"fresh water"),EXACT(Metadata!Z230,"marine sediment"),EXACT(Metadata!Z230,"sea water"),EXACT(Metadata!Z230,"sediment"),EXACT(Metadata!Z230,"soil"),EXACT(Metadata!Z230,"waste water"))))</f>
        <v>0</v>
      </c>
      <c r="BN230" t="b">
        <f>AND(IF(Metadata!AA230="",FALSE,TRUE),EXACT(Metadata!AA230,"metagenome"))</f>
        <v>0</v>
      </c>
      <c r="BO230" t="b">
        <f>AND(IF(Metadata!AB230="",FALSE,TRUE),EXACT(Metadata!AB230,"256318"))</f>
        <v>0</v>
      </c>
      <c r="BP230" t="b">
        <f>IF(Metadata!AC230="",FALSE,TRUE)</f>
        <v>0</v>
      </c>
      <c r="BQ230" t="b">
        <f>IF(Metadata!AD230="",FALSE,TRUE)</f>
        <v>0</v>
      </c>
    </row>
    <row r="231" spans="1:69" x14ac:dyDescent="0.2">
      <c r="A231" s="4" t="e">
        <f ca="1">IF(B231=" "," ",HYPERLINK(CONCATENATE("#metadata!",ADDRESS(INDEX($AJ$2:$AJ$1001,MATCH(ROWS($AH$2:AH231),$AH$2:$AH$1001,0),0),2)),INDEX($AM$2:$AM$1001,MATCH(ROWS($AH$2:AH231),$AH$2:$AH$1001,0),0)))</f>
        <v>#N/A</v>
      </c>
      <c r="B231" s="5" t="e">
        <f ca="1">IF(OR(INDEX($AI$2:$AI$1001,MATCH(ROWS($AH$2:AH231),$AH$2:$AH$1001,0),1)&gt;=100000,INDEX($AO$1005:$BQ$1005,1,MATCH(COLUMNS($AO$1006:AO1006),$AO$1006:$BQ$1006,0))&gt;=100000), " ",IF(INDEX($AO$2:$BQ$1001,MATCH(ROWS($AH$2:AH231),$AH$2:$AH$1001,0),MATCH(COLUMNS($AO$1006:AO1006),$AO$1006:$BQ$1006,0)), HYPERLINK("#",""), HYPERLINK(CONCATENATE("#Metadata!", ADDRESS(INDEX($AJ$2:$AJ$1001,MATCH(ROWS($AH$2:AH231),$AH$2:$AH$1001,0),0), INDEX($AO$1004:$BQ$1004,1,MATCH(COLUMNS($AO$1006:AO1006),$AO$1006:$BQ$1006,0)))),"Fix")))</f>
        <v>#N/A</v>
      </c>
      <c r="C231" s="5" t="e">
        <f ca="1">IF(OR(INDEX($AI$2:$AI$1001,MATCH(ROWS($AH$2:AH231),$AH$2:$AH$1001,0),1)&gt;=100000,INDEX($AO$1005:$BQ$1005,1,MATCH(COLUMNS($AO$1006:AP1006),$AO$1006:$BQ$1006,0))&gt;=100000), " ",IF(INDEX($AO$2:$BQ$1001,MATCH(ROWS($AH$2:AH231),$AH$2:$AH$1001,0),MATCH(COLUMNS($AO$1006:AP1006),$AO$1006:$BQ$1006,0)), HYPERLINK("#",""), HYPERLINK(CONCATENATE("#Metadata!", ADDRESS(INDEX($AJ$2:$AJ$1001,MATCH(ROWS($AH$2:AH231),$AH$2:$AH$1001,0),0), INDEX($AO$1004:$BQ$1004,1,MATCH(COLUMNS($AO$1006:AP1006),$AO$1006:$BQ$1006,0)))),"Fix")))</f>
        <v>#N/A</v>
      </c>
      <c r="D231" s="5" t="e">
        <f ca="1">IF(OR(INDEX($AI$2:$AI$1001,MATCH(ROWS($AH$2:AH231),$AH$2:$AH$1001,0),1)&gt;=100000,INDEX($AO$1005:$BQ$1005,1,MATCH(COLUMNS($AO$1006:AQ1006),$AO$1006:$BQ$1006,0))&gt;=100000), " ",IF(INDEX($AO$2:$BQ$1001,MATCH(ROWS($AH$2:AH231),$AH$2:$AH$1001,0),MATCH(COLUMNS($AO$1006:AQ1006),$AO$1006:$BQ$1006,0)), HYPERLINK("#",""), HYPERLINK(CONCATENATE("#Metadata!", ADDRESS(INDEX($AJ$2:$AJ$1001,MATCH(ROWS($AH$2:AH231),$AH$2:$AH$1001,0),0), INDEX($AO$1004:$BQ$1004,1,MATCH(COLUMNS($AO$1006:AQ1006),$AO$1006:$BQ$1006,0)))),"Fix")))</f>
        <v>#N/A</v>
      </c>
      <c r="E231" s="5" t="e">
        <f ca="1">IF(OR(INDEX($AI$2:$AI$1001,MATCH(ROWS($AH$2:AH231),$AH$2:$AH$1001,0),1)&gt;=100000,INDEX($AO$1005:$BQ$1005,1,MATCH(COLUMNS($AO$1006:AR1006),$AO$1006:$BQ$1006,0))&gt;=100000), " ",IF(INDEX($AO$2:$BQ$1001,MATCH(ROWS($AH$2:AH231),$AH$2:$AH$1001,0),MATCH(COLUMNS($AO$1006:AR1006),$AO$1006:$BQ$1006,0)), HYPERLINK("#",""), HYPERLINK(CONCATENATE("#Metadata!", ADDRESS(INDEX($AJ$2:$AJ$1001,MATCH(ROWS($AH$2:AH231),$AH$2:$AH$1001,0),0), INDEX($AO$1004:$BQ$1004,1,MATCH(COLUMNS($AO$1006:AR1006),$AO$1006:$BQ$1006,0)))),"Fix")))</f>
        <v>#N/A</v>
      </c>
      <c r="F231" s="5" t="e">
        <f ca="1">IF(OR(INDEX($AI$2:$AI$1001,MATCH(ROWS($AH$2:AH231),$AH$2:$AH$1001,0),1)&gt;=100000,INDEX($AO$1005:$BQ$1005,1,MATCH(COLUMNS($AO$1006:AS1006),$AO$1006:$BQ$1006,0))&gt;=100000), " ",IF(INDEX($AO$2:$BQ$1001,MATCH(ROWS($AH$2:AH231),$AH$2:$AH$1001,0),MATCH(COLUMNS($AO$1006:AS1006),$AO$1006:$BQ$1006,0)), HYPERLINK("#",""), HYPERLINK(CONCATENATE("#Metadata!", ADDRESS(INDEX($AJ$2:$AJ$1001,MATCH(ROWS($AH$2:AH231),$AH$2:$AH$1001,0),0), INDEX($AO$1004:$BQ$1004,1,MATCH(COLUMNS($AO$1006:AS1006),$AO$1006:$BQ$1006,0)))),"Fix")))</f>
        <v>#N/A</v>
      </c>
      <c r="G231" s="5" t="e">
        <f ca="1">IF(OR(INDEX($AI$2:$AI$1001,MATCH(ROWS($AH$2:AH231),$AH$2:$AH$1001,0),1)&gt;=100000,INDEX($AO$1005:$BQ$1005,1,MATCH(COLUMNS($AO$1006:AT1006),$AO$1006:$BQ$1006,0))&gt;=100000), " ",IF(INDEX($AO$2:$BQ$1001,MATCH(ROWS($AH$2:AH231),$AH$2:$AH$1001,0),MATCH(COLUMNS($AO$1006:AT1006),$AO$1006:$BQ$1006,0)), HYPERLINK("#",""), HYPERLINK(CONCATENATE("#Metadata!", ADDRESS(INDEX($AJ$2:$AJ$1001,MATCH(ROWS($AH$2:AH231),$AH$2:$AH$1001,0),0), INDEX($AO$1004:$BQ$1004,1,MATCH(COLUMNS($AO$1006:AT1006),$AO$1006:$BQ$1006,0)))),"Fix")))</f>
        <v>#N/A</v>
      </c>
      <c r="H231" s="5" t="e">
        <f ca="1">IF(OR(INDEX($AI$2:$AI$1001,MATCH(ROWS($AH$2:AH231),$AH$2:$AH$1001,0),1)&gt;=100000,INDEX($AO$1005:$BQ$1005,1,MATCH(COLUMNS($AO$1006:AU1006),$AO$1006:$BQ$1006,0))&gt;=100000), " ",IF(INDEX($AO$2:$BQ$1001,MATCH(ROWS($AH$2:AH231),$AH$2:$AH$1001,0),MATCH(COLUMNS($AO$1006:AU1006),$AO$1006:$BQ$1006,0)), HYPERLINK("#",""), HYPERLINK(CONCATENATE("#Metadata!", ADDRESS(INDEX($AJ$2:$AJ$1001,MATCH(ROWS($AH$2:AH231),$AH$2:$AH$1001,0),0), INDEX($AO$1004:$BQ$1004,1,MATCH(COLUMNS($AO$1006:AU1006),$AO$1006:$BQ$1006,0)))),"Fix")))</f>
        <v>#N/A</v>
      </c>
      <c r="I231" s="5" t="e">
        <f ca="1">IF(OR(INDEX($AI$2:$AI$1001,MATCH(ROWS($AH$2:AH231),$AH$2:$AH$1001,0),1)&gt;=100000,INDEX($AO$1005:$BQ$1005,1,MATCH(COLUMNS($AO$1006:AV1006),$AO$1006:$BQ$1006,0))&gt;=100000), " ",IF(INDEX($AO$2:$BQ$1001,MATCH(ROWS($AH$2:AH231),$AH$2:$AH$1001,0),MATCH(COLUMNS($AO$1006:AV1006),$AO$1006:$BQ$1006,0)), HYPERLINK("#",""), HYPERLINK(CONCATENATE("#Metadata!", ADDRESS(INDEX($AJ$2:$AJ$1001,MATCH(ROWS($AH$2:AH231),$AH$2:$AH$1001,0),0), INDEX($AO$1004:$BQ$1004,1,MATCH(COLUMNS($AO$1006:AV1006),$AO$1006:$BQ$1006,0)))),"Fix")))</f>
        <v>#N/A</v>
      </c>
      <c r="J231" s="5" t="e">
        <f ca="1">IF(OR(INDEX($AI$2:$AI$1001,MATCH(ROWS($AH$2:AH231),$AH$2:$AH$1001,0),1)&gt;=100000,INDEX($AO$1005:$BQ$1005,1,MATCH(COLUMNS($AO$1006:AW1006),$AO$1006:$BQ$1006,0))&gt;=100000), " ",IF(INDEX($AO$2:$BQ$1001,MATCH(ROWS($AH$2:AH231),$AH$2:$AH$1001,0),MATCH(COLUMNS($AO$1006:AW1006),$AO$1006:$BQ$1006,0)), HYPERLINK("#",""), HYPERLINK(CONCATENATE("#Metadata!", ADDRESS(INDEX($AJ$2:$AJ$1001,MATCH(ROWS($AH$2:AH231),$AH$2:$AH$1001,0),0), INDEX($AO$1004:$BQ$1004,1,MATCH(COLUMNS($AO$1006:AW1006),$AO$1006:$BQ$1006,0)))),"Fix")))</f>
        <v>#N/A</v>
      </c>
      <c r="K231" s="5" t="e">
        <f ca="1">IF(OR(INDEX($AI$2:$AI$1001,MATCH(ROWS($AH$2:AH231),$AH$2:$AH$1001,0),1)&gt;=100000,INDEX($AO$1005:$BQ$1005,1,MATCH(COLUMNS($AO$1006:AX1006),$AO$1006:$BQ$1006,0))&gt;=100000), " ",IF(INDEX($AO$2:$BQ$1001,MATCH(ROWS($AH$2:AH231),$AH$2:$AH$1001,0),MATCH(COLUMNS($AO$1006:AX1006),$AO$1006:$BQ$1006,0)), HYPERLINK("#",""), HYPERLINK(CONCATENATE("#Metadata!", ADDRESS(INDEX($AJ$2:$AJ$1001,MATCH(ROWS($AH$2:AH231),$AH$2:$AH$1001,0),0), INDEX($AO$1004:$BQ$1004,1,MATCH(COLUMNS($AO$1006:AX1006),$AO$1006:$BQ$1006,0)))),"Fix")))</f>
        <v>#N/A</v>
      </c>
      <c r="L231" s="5" t="e">
        <f ca="1">IF(OR(INDEX($AI$2:$AI$1001,MATCH(ROWS($AH$2:AH231),$AH$2:$AH$1001,0),1)&gt;=100000,INDEX($AO$1005:$BQ$1005,1,MATCH(COLUMNS($AO$1006:AY1006),$AO$1006:$BQ$1006,0))&gt;=100000), " ",IF(INDEX($AO$2:$BQ$1001,MATCH(ROWS($AH$2:AH231),$AH$2:$AH$1001,0),MATCH(COLUMNS($AO$1006:AY1006),$AO$1006:$BQ$1006,0)), HYPERLINK("#",""), HYPERLINK(CONCATENATE("#Metadata!", ADDRESS(INDEX($AJ$2:$AJ$1001,MATCH(ROWS($AH$2:AH231),$AH$2:$AH$1001,0),0), INDEX($AO$1004:$BQ$1004,1,MATCH(COLUMNS($AO$1006:AY1006),$AO$1006:$BQ$1006,0)))),"Fix")))</f>
        <v>#N/A</v>
      </c>
      <c r="M231" s="5" t="e">
        <f ca="1">IF(OR(INDEX($AI$2:$AI$1001,MATCH(ROWS($AH$2:AH231),$AH$2:$AH$1001,0),1)&gt;=100000,INDEX($AO$1005:$BQ$1005,1,MATCH(COLUMNS($AO$1006:AZ1006),$AO$1006:$BQ$1006,0))&gt;=100000), " ",IF(INDEX($AO$2:$BQ$1001,MATCH(ROWS($AH$2:AH231),$AH$2:$AH$1001,0),MATCH(COLUMNS($AO$1006:AZ1006),$AO$1006:$BQ$1006,0)), HYPERLINK("#",""), HYPERLINK(CONCATENATE("#Metadata!", ADDRESS(INDEX($AJ$2:$AJ$1001,MATCH(ROWS($AH$2:AH231),$AH$2:$AH$1001,0),0), INDEX($AO$1004:$BQ$1004,1,MATCH(COLUMNS($AO$1006:AZ1006),$AO$1006:$BQ$1006,0)))),"Fix")))</f>
        <v>#N/A</v>
      </c>
      <c r="N231" s="5" t="e">
        <f ca="1">IF(OR(INDEX($AI$2:$AI$1001,MATCH(ROWS($AH$2:AH231),$AH$2:$AH$1001,0),1)&gt;=100000,INDEX($AO$1005:$BQ$1005,1,MATCH(COLUMNS($AO$1006:BA1006),$AO$1006:$BQ$1006,0))&gt;=100000), " ",IF(INDEX($AO$2:$BQ$1001,MATCH(ROWS($AH$2:AH231),$AH$2:$AH$1001,0),MATCH(COLUMNS($AO$1006:BA1006),$AO$1006:$BQ$1006,0)), HYPERLINK("#",""), HYPERLINK(CONCATENATE("#Metadata!", ADDRESS(INDEX($AJ$2:$AJ$1001,MATCH(ROWS($AH$2:AH231),$AH$2:$AH$1001,0),0), INDEX($AO$1004:$BQ$1004,1,MATCH(COLUMNS($AO$1006:BA1006),$AO$1006:$BQ$1006,0)))),"Fix")))</f>
        <v>#N/A</v>
      </c>
      <c r="O231" s="5" t="e">
        <f ca="1">IF(OR(INDEX($AI$2:$AI$1001,MATCH(ROWS($AH$2:AH231),$AH$2:$AH$1001,0),1)&gt;=100000,INDEX($AO$1005:$BQ$1005,1,MATCH(COLUMNS($AO$1006:BB1006),$AO$1006:$BQ$1006,0))&gt;=100000), " ",IF(INDEX($AO$2:$BQ$1001,MATCH(ROWS($AH$2:AH231),$AH$2:$AH$1001,0),MATCH(COLUMNS($AO$1006:BB1006),$AO$1006:$BQ$1006,0)), HYPERLINK("#",""), HYPERLINK(CONCATENATE("#Metadata!", ADDRESS(INDEX($AJ$2:$AJ$1001,MATCH(ROWS($AH$2:AH231),$AH$2:$AH$1001,0),0), INDEX($AO$1004:$BQ$1004,1,MATCH(COLUMNS($AO$1006:BB1006),$AO$1006:$BQ$1006,0)))),"Fix")))</f>
        <v>#N/A</v>
      </c>
      <c r="P231" s="5" t="e">
        <f ca="1">IF(OR(INDEX($AI$2:$AI$1001,MATCH(ROWS($AH$2:AH231),$AH$2:$AH$1001,0),1)&gt;=100000,INDEX($AO$1005:$BQ$1005,1,MATCH(COLUMNS($AO$1006:BC1006),$AO$1006:$BQ$1006,0))&gt;=100000), " ",IF(INDEX($AO$2:$BQ$1001,MATCH(ROWS($AH$2:AH231),$AH$2:$AH$1001,0),MATCH(COLUMNS($AO$1006:BC1006),$AO$1006:$BQ$1006,0)), HYPERLINK("#",""), HYPERLINK(CONCATENATE("#Metadata!", ADDRESS(INDEX($AJ$2:$AJ$1001,MATCH(ROWS($AH$2:AH231),$AH$2:$AH$1001,0),0), INDEX($AO$1004:$BQ$1004,1,MATCH(COLUMNS($AO$1006:BC1006),$AO$1006:$BQ$1006,0)))),"Fix")))</f>
        <v>#N/A</v>
      </c>
      <c r="Q231" s="5" t="e">
        <f ca="1">IF(OR(INDEX($AI$2:$AI$1001,MATCH(ROWS($AH$2:AH231),$AH$2:$AH$1001,0),1)&gt;=100000,INDEX($AO$1005:$BQ$1005,1,MATCH(COLUMNS($AO$1006:BD1006),$AO$1006:$BQ$1006,0))&gt;=100000), " ",IF(INDEX($AO$2:$BQ$1001,MATCH(ROWS($AH$2:AH231),$AH$2:$AH$1001,0),MATCH(COLUMNS($AO$1006:BD1006),$AO$1006:$BQ$1006,0)), HYPERLINK("#",""), HYPERLINK(CONCATENATE("#Metadata!", ADDRESS(INDEX($AJ$2:$AJ$1001,MATCH(ROWS($AH$2:AH231),$AH$2:$AH$1001,0),0), INDEX($AO$1004:$BQ$1004,1,MATCH(COLUMNS($AO$1006:BD1006),$AO$1006:$BQ$1006,0)))),"Fix")))</f>
        <v>#N/A</v>
      </c>
      <c r="R231" s="5" t="e">
        <f ca="1">IF(OR(INDEX($AI$2:$AI$1001,MATCH(ROWS($AH$2:AH231),$AH$2:$AH$1001,0),1)&gt;=100000,INDEX($AO$1005:$BQ$1005,1,MATCH(COLUMNS($AO$1006:BE1006),$AO$1006:$BQ$1006,0))&gt;=100000), " ",IF(INDEX($AO$2:$BQ$1001,MATCH(ROWS($AH$2:AH231),$AH$2:$AH$1001,0),MATCH(COLUMNS($AO$1006:BE1006),$AO$1006:$BQ$1006,0)), HYPERLINK("#",""), HYPERLINK(CONCATENATE("#Metadata!", ADDRESS(INDEX($AJ$2:$AJ$1001,MATCH(ROWS($AH$2:AH231),$AH$2:$AH$1001,0),0), INDEX($AO$1004:$BQ$1004,1,MATCH(COLUMNS($AO$1006:BE1006),$AO$1006:$BQ$1006,0)))),"Fix")))</f>
        <v>#N/A</v>
      </c>
      <c r="S231" s="5" t="e">
        <f ca="1">IF(OR(INDEX($AI$2:$AI$1001,MATCH(ROWS($AH$2:AH231),$AH$2:$AH$1001,0),1)&gt;=100000,INDEX($AO$1005:$BQ$1005,1,MATCH(COLUMNS($AO$1006:BF1006),$AO$1006:$BQ$1006,0))&gt;=100000), " ",IF(INDEX($AO$2:$BQ$1001,MATCH(ROWS($AH$2:AH231),$AH$2:$AH$1001,0),MATCH(COLUMNS($AO$1006:BF1006),$AO$1006:$BQ$1006,0)), HYPERLINK("#",""), HYPERLINK(CONCATENATE("#Metadata!", ADDRESS(INDEX($AJ$2:$AJ$1001,MATCH(ROWS($AH$2:AH231),$AH$2:$AH$1001,0),0), INDEX($AO$1004:$BQ$1004,1,MATCH(COLUMNS($AO$1006:BF1006),$AO$1006:$BQ$1006,0)))),"Fix")))</f>
        <v>#N/A</v>
      </c>
      <c r="T231" s="5" t="e">
        <f ca="1">IF(OR(INDEX($AI$2:$AI$1001,MATCH(ROWS($AH$2:AH231),$AH$2:$AH$1001,0),1)&gt;=100000,INDEX($AO$1005:$BQ$1005,1,MATCH(COLUMNS($AO$1006:BG1006),$AO$1006:$BQ$1006,0))&gt;=100000), " ",IF(INDEX($AO$2:$BQ$1001,MATCH(ROWS($AH$2:AH231),$AH$2:$AH$1001,0),MATCH(COLUMNS($AO$1006:BG1006),$AO$1006:$BQ$1006,0)), HYPERLINK("#",""), HYPERLINK(CONCATENATE("#Metadata!", ADDRESS(INDEX($AJ$2:$AJ$1001,MATCH(ROWS($AH$2:AH231),$AH$2:$AH$1001,0),0), INDEX($AO$1004:$BQ$1004,1,MATCH(COLUMNS($AO$1006:BG1006),$AO$1006:$BQ$1006,0)))),"Fix")))</f>
        <v>#N/A</v>
      </c>
      <c r="U231" s="5" t="e">
        <f ca="1">IF(OR(INDEX($AI$2:$AI$1001,MATCH(ROWS($AH$2:AH231),$AH$2:$AH$1001,0),1)&gt;=100000,INDEX($AO$1005:$BQ$1005,1,MATCH(COLUMNS($AO$1006:BH1006),$AO$1006:$BQ$1006,0))&gt;=100000), " ",IF(INDEX($AO$2:$BQ$1001,MATCH(ROWS($AH$2:AH231),$AH$2:$AH$1001,0),MATCH(COLUMNS($AO$1006:BH1006),$AO$1006:$BQ$1006,0)), HYPERLINK("#",""), HYPERLINK(CONCATENATE("#Metadata!", ADDRESS(INDEX($AJ$2:$AJ$1001,MATCH(ROWS($AH$2:AH231),$AH$2:$AH$1001,0),0), INDEX($AO$1004:$BQ$1004,1,MATCH(COLUMNS($AO$1006:BH1006),$AO$1006:$BQ$1006,0)))),"Fix")))</f>
        <v>#N/A</v>
      </c>
      <c r="V231" s="5" t="e">
        <f ca="1">IF(OR(INDEX($AI$2:$AI$1001,MATCH(ROWS($AH$2:AH231),$AH$2:$AH$1001,0),1)&gt;=100000,INDEX($AO$1005:$BQ$1005,1,MATCH(COLUMNS($AO$1006:BI1006),$AO$1006:$BQ$1006,0))&gt;=100000), " ",IF(INDEX($AO$2:$BQ$1001,MATCH(ROWS($AH$2:AH231),$AH$2:$AH$1001,0),MATCH(COLUMNS($AO$1006:BI1006),$AO$1006:$BQ$1006,0)), HYPERLINK("#",""), HYPERLINK(CONCATENATE("#Metadata!", ADDRESS(INDEX($AJ$2:$AJ$1001,MATCH(ROWS($AH$2:AH231),$AH$2:$AH$1001,0),0), INDEX($AO$1004:$BQ$1004,1,MATCH(COLUMNS($AO$1006:BI1006),$AO$1006:$BQ$1006,0)))),"Fix")))</f>
        <v>#N/A</v>
      </c>
      <c r="W231" s="5" t="e">
        <f ca="1">IF(OR(INDEX($AI$2:$AI$1001,MATCH(ROWS($AH$2:AH231),$AH$2:$AH$1001,0),1)&gt;=100000,INDEX($AO$1005:$BQ$1005,1,MATCH(COLUMNS($AO$1006:BJ1006),$AO$1006:$BQ$1006,0))&gt;=100000), " ",IF(INDEX($AO$2:$BQ$1001,MATCH(ROWS($AH$2:AH231),$AH$2:$AH$1001,0),MATCH(COLUMNS($AO$1006:BJ1006),$AO$1006:$BQ$1006,0)), HYPERLINK("#",""), HYPERLINK(CONCATENATE("#Metadata!", ADDRESS(INDEX($AJ$2:$AJ$1001,MATCH(ROWS($AH$2:AH231),$AH$2:$AH$1001,0),0), INDEX($AO$1004:$BQ$1004,1,MATCH(COLUMNS($AO$1006:BJ1006),$AO$1006:$BQ$1006,0)))),"Fix")))</f>
        <v>#N/A</v>
      </c>
      <c r="X231" s="5" t="e">
        <f ca="1">IF(OR(INDEX($AI$2:$AI$1001,MATCH(ROWS($AH$2:AH231),$AH$2:$AH$1001,0),1)&gt;=100000,INDEX($AO$1005:$BQ$1005,1,MATCH(COLUMNS($AO$1006:BK1006),$AO$1006:$BQ$1006,0))&gt;=100000), " ",IF(INDEX($AO$2:$BQ$1001,MATCH(ROWS($AH$2:AH231),$AH$2:$AH$1001,0),MATCH(COLUMNS($AO$1006:BK1006),$AO$1006:$BQ$1006,0)), HYPERLINK("#",""), HYPERLINK(CONCATENATE("#Metadata!", ADDRESS(INDEX($AJ$2:$AJ$1001,MATCH(ROWS($AH$2:AH231),$AH$2:$AH$1001,0),0), INDEX($AO$1004:$BQ$1004,1,MATCH(COLUMNS($AO$1006:BK1006),$AO$1006:$BQ$1006,0)))),"Fix")))</f>
        <v>#N/A</v>
      </c>
      <c r="Y231" s="5" t="e">
        <f ca="1">IF(OR(INDEX($AI$2:$AI$1001,MATCH(ROWS($AH$2:AH231),$AH$2:$AH$1001,0),1)&gt;=100000,INDEX($AO$1005:$BQ$1005,1,MATCH(COLUMNS($AO$1006:BL1006),$AO$1006:$BQ$1006,0))&gt;=100000), " ",IF(INDEX($AO$2:$BQ$1001,MATCH(ROWS($AH$2:AH231),$AH$2:$AH$1001,0),MATCH(COLUMNS($AO$1006:BL1006),$AO$1006:$BQ$1006,0)), HYPERLINK("#",""), HYPERLINK(CONCATENATE("#Metadata!", ADDRESS(INDEX($AJ$2:$AJ$1001,MATCH(ROWS($AH$2:AH231),$AH$2:$AH$1001,0),0), INDEX($AO$1004:$BQ$1004,1,MATCH(COLUMNS($AO$1006:BL1006),$AO$1006:$BQ$1006,0)))),"Fix")))</f>
        <v>#N/A</v>
      </c>
      <c r="Z231" s="5" t="e">
        <f ca="1">IF(OR(INDEX($AI$2:$AI$1001,MATCH(ROWS($AH$2:AH231),$AH$2:$AH$1001,0),1)&gt;=100000,INDEX($AO$1005:$BQ$1005,1,MATCH(COLUMNS($AO$1006:BM1006),$AO$1006:$BQ$1006,0))&gt;=100000), " ",IF(INDEX($AO$2:$BQ$1001,MATCH(ROWS($AH$2:AH231),$AH$2:$AH$1001,0),MATCH(COLUMNS($AO$1006:BM1006),$AO$1006:$BQ$1006,0)), HYPERLINK("#",""), HYPERLINK(CONCATENATE("#Metadata!", ADDRESS(INDEX($AJ$2:$AJ$1001,MATCH(ROWS($AH$2:AH231),$AH$2:$AH$1001,0),0), INDEX($AO$1004:$BQ$1004,1,MATCH(COLUMNS($AO$1006:BM1006),$AO$1006:$BQ$1006,0)))),"Fix")))</f>
        <v>#N/A</v>
      </c>
      <c r="AA231" s="5" t="e">
        <f ca="1">IF(OR(INDEX($AI$2:$AI$1001,MATCH(ROWS($AH$2:AH231),$AH$2:$AH$1001,0),1)&gt;=100000,INDEX($AO$1005:$BQ$1005,1,MATCH(COLUMNS($AO$1006:BN1006),$AO$1006:$BQ$1006,0))&gt;=100000), " ",IF(INDEX($AO$2:$BQ$1001,MATCH(ROWS($AH$2:AH231),$AH$2:$AH$1001,0),MATCH(COLUMNS($AO$1006:BN1006),$AO$1006:$BQ$1006,0)), HYPERLINK("#",""), HYPERLINK(CONCATENATE("#Metadata!", ADDRESS(INDEX($AJ$2:$AJ$1001,MATCH(ROWS($AH$2:AH231),$AH$2:$AH$1001,0),0), INDEX($AO$1004:$BQ$1004,1,MATCH(COLUMNS($AO$1006:BN1006),$AO$1006:$BQ$1006,0)))),"Fix")))</f>
        <v>#N/A</v>
      </c>
      <c r="AB231" s="5" t="e">
        <f ca="1">IF(OR(INDEX($AI$2:$AI$1001,MATCH(ROWS($AH$2:AH231),$AH$2:$AH$1001,0),1)&gt;=100000,INDEX($AO$1005:$BQ$1005,1,MATCH(COLUMNS($AO$1006:BO1006),$AO$1006:$BQ$1006,0))&gt;=100000), " ",IF(INDEX($AO$2:$BQ$1001,MATCH(ROWS($AH$2:AH231),$AH$2:$AH$1001,0),MATCH(COLUMNS($AO$1006:BO1006),$AO$1006:$BQ$1006,0)), HYPERLINK("#",""), HYPERLINK(CONCATENATE("#Metadata!", ADDRESS(INDEX($AJ$2:$AJ$1001,MATCH(ROWS($AH$2:AH231),$AH$2:$AH$1001,0),0), INDEX($AO$1004:$BQ$1004,1,MATCH(COLUMNS($AO$1006:BO1006),$AO$1006:$BQ$1006,0)))),"Fix")))</f>
        <v>#N/A</v>
      </c>
      <c r="AC231" s="5" t="e">
        <f ca="1">IF(OR(INDEX($AI$2:$AI$1001,MATCH(ROWS($AH$2:AH231),$AH$2:$AH$1001,0),1)&gt;=100000,INDEX($AO$1005:$BQ$1005,1,MATCH(COLUMNS($AO$1006:BP1006),$AO$1006:$BQ$1006,0))&gt;=100000), " ",IF(INDEX($AO$2:$BQ$1001,MATCH(ROWS($AH$2:AH231),$AH$2:$AH$1001,0),MATCH(COLUMNS($AO$1006:BP1006),$AO$1006:$BQ$1006,0)), HYPERLINK("#",""), HYPERLINK(CONCATENATE("#Metadata!", ADDRESS(INDEX($AJ$2:$AJ$1001,MATCH(ROWS($AH$2:AH231),$AH$2:$AH$1001,0),0), INDEX($AO$1004:$BQ$1004,1,MATCH(COLUMNS($AO$1006:BP1006),$AO$1006:$BQ$1006,0)))),"Fix")))</f>
        <v>#N/A</v>
      </c>
      <c r="AD231" s="5" t="e">
        <f ca="1">IF(OR(INDEX($AI$2:$AI$1001,MATCH(ROWS($AH$2:AH231),$AH$2:$AH$1001,0),1)&gt;=100000,INDEX($AO$1005:$BQ$1005,1,MATCH(COLUMNS($AO$1006:BQ1006),$AO$1006:$BQ$1006,0))&gt;=100000), " ",IF(INDEX($AO$2:$BQ$1001,MATCH(ROWS($AH$2:AH231),$AH$2:$AH$1001,0),MATCH(COLUMNS($AO$1006:BQ1006),$AO$1006:$BQ$1006,0)), HYPERLINK("#",""), HYPERLINK(CONCATENATE("#Metadata!", ADDRESS(INDEX($AJ$2:$AJ$1001,MATCH(ROWS($AH$2:AH231),$AH$2:$AH$1001,0),0), INDEX($AO$1004:$BQ$1004,1,MATCH(COLUMNS($AO$1006:BQ1006),$AO$1006:$BQ$1006,0)))),"Fix")))</f>
        <v>#REF!</v>
      </c>
      <c r="AH231">
        <f ca="1"/>
        <v>228</v>
      </c>
      <c r="AI231">
        <v>100231</v>
      </c>
      <c r="AJ231">
        <v>231</v>
      </c>
      <c r="AK231" t="b">
        <f t="shared" si="3"/>
        <v>1</v>
      </c>
      <c r="AL231" t="b">
        <f>COUNTBLANK(Metadata!B231:AD231)=COLUMNS(Metadata!B231:AD231)</f>
        <v>1</v>
      </c>
      <c r="AM231" t="str">
        <v/>
      </c>
      <c r="AO231" t="b">
        <f ca="1">AND(IF(Metadata!B231="",FALSE,TRUE),COUNTIF(Metadata!B:B, Metadata!B231) = 1,NOT(ISERROR(SUMPRODUCT(SEARCH(MID(Metadata!B231,ROW(INDIRECT("1:"&amp;LEN(Metadata!B231))), 1),"0123456789abcdefghijklmnopqrstuvwxyzABCDEFGHIJKLMNOPQRSTUVWXYZ.")))))</f>
        <v>0</v>
      </c>
      <c r="AP231" t="b">
        <f>IF(Metadata!C231="",FALSE,TRUE)</f>
        <v>0</v>
      </c>
      <c r="AQ231" t="b">
        <f>IF(Metadata!D231="",FALSE,TRUE)</f>
        <v>0</v>
      </c>
      <c r="AR231" t="b">
        <f ca="1">OR(AND(IF(Metadata!E231="",FALSE,TRUE),OR(EXACT(Metadata!E231,"not collected"),EXACT(Metadata!E231,"not provided"),EXACT(Metadata!E231,"restricted access"))),AND(IF(Metadata!E231="",FALSE,TRUE),AND(AND(IFERROR(INT(LEFT(Metadata!E231,4))&gt;1900,FALSE),IFERROR(INT(LEFT(Metadata!E231,4))&lt;=YEAR(NOW()),FALSE)), OR(MID(Metadata!E231,5,1)="", AND(AND(MID(Metadata!E231,5,1)="-",IFERROR(INT(MID(Metadata!E231,6,1))&gt;=0,FALSE),IFERROR(INT(MID(Metadata!E231,6,1))&lt;=1,FALSE),NOT(MID(Metadata!E231,7,1)=""),IFERROR(INT(MID(Metadata!E231,6,2))&gt;=1,FALSE),IFERROR(INT(MID(Metadata!E231,6,2))&lt;=12,FALSE)), OR(MID(Metadata!E231,8,1)="", AND(AND(MID(Metadata!E231,8,1)="-",IFERROR(INT(MID(Metadata!E231,9,1))&gt;=0,FALSE),IFERROR(INT(MID(Metadata!E231,9,1))&lt;=3,FALSE),NOT(MID(Metadata!E231,10,1)=""),IFERROR(INT(MID(Metadata!E231,9,2))&gt;=1,FALSE),IFERROR(INT(MID(Metadata!E231,9,2))&lt;=31,FALSE)), OR(MID(Metadata!E231,11,1)="", AND(AND(MID(Metadata!E231,11,1)=" ",IFERROR(INT(MID(Metadata!E231,12,1))&gt;=0,FALSE),IFERROR(INT(MID(Metadata!E231,12,1))&lt;=2,FALSE),NOT(MID(Metadata!E231,13,1)=""),IFERROR(INT(MID(Metadata!E231,12,2))&gt;=0,FALSE),IFERROR(INT(MID(Metadata!E231,12,2))&lt;=23,FALSE)), OR(MID(Metadata!E231,14,1)="", AND(AND(MID(Metadata!E231,14,1)=":",IFERROR(INT(MID(Metadata!E231,15,1))&gt;=0,FALSE),IFERROR(INT(MID(Metadata!E231,15,1))&lt;=5,FALSE),NOT(MID(Metadata!E231,16,1)=""),IFERROR(INT(MID(Metadata!E231,15,2))&gt;=0,FALSE),IFERROR(INT(MID(Metadata!E231,15,2))&lt;=59,FALSE)), OR(MID(Metadata!E231,17,1)="", AND(AND(MID(Metadata!E231,17,1)=":",IFERROR(INT(MID(Metadata!E231,18,1))&gt;=0,FALSE),IFERROR(INT(MID(Metadata!E231,18,1))&lt;=5,FALSE),NOT(MID(Metadata!E231,19,1)=""),IFERROR(INT(MID(Metadata!E231,18,2))&gt;=0,FALSE),IFERROR(INT(MID(Metadata!E231,18,2))&lt;=59,FALSE)), LEN(Metadata!E231)&lt;=19)))))))))))))</f>
        <v>0</v>
      </c>
      <c r="AS231" t="b">
        <f>IF(Metadata!F231="",FALSE,TRUE)</f>
        <v>0</v>
      </c>
      <c r="AT231" t="b">
        <f>OR(AND(IF(Metadata!G231="",FALSE,TRUE),OR(EXACT(Metadata!G231,"not collected"),EXACT(Metadata!G231,"not provided"))),AND(IF(Metadata!G231="",FALSE,TRUE),OR(EXACT(Metadata!G231,"TRUE"),EXACT(Metadata!G231,"FALSE"))))</f>
        <v>0</v>
      </c>
      <c r="AU231" t="b">
        <f>OR(AND(IF(Metadata!H231="",FALSE,TRUE),OR(EXACT(Metadata!H231,"not collected"),EXACT(Metadata!H231,"not provided"),EXACT(Metadata!H231,"restricted access"))),AND(IF(Metadata!H231="",FALSE,ISNUMBER(VALUE(Metadata!H231))),Metadata!H231&gt;=-413))</f>
        <v>0</v>
      </c>
      <c r="AV231" t="b">
        <f>AND(IF(Metadata!I231="",FALSE,TRUE),EXACT(Metadata!I231,"meters"))</f>
        <v>0</v>
      </c>
      <c r="AW231" t="b">
        <f>AND(IF(Metadata!J231="",FALSE,TRUE),EXACT(Metadata!J231,"free-living"))</f>
        <v>0</v>
      </c>
      <c r="AX231" t="b">
        <f>AND(IF(Metadata!K231="",FALSE,TRUE),OR(EXACT(Metadata!K231,"saline"),EXACT(Metadata!K231,"non-saline")))</f>
        <v>0</v>
      </c>
      <c r="AY231" t="b">
        <f>AND(IF(Metadata!L231="",FALSE,TRUE),OR(EXACT(Metadata!L231,"sub-surface (non-saline)"),EXACT(Metadata!L231,"surface (non-saline)"),EXACT(Metadata!L231,"water (non-saline)"),EXACT(Metadata!L231,"soil (non-saline)"),EXACT(Metadata!L231,"aerosol (non-saline)"),EXACT(Metadata!L231,"sediment (non-saline)"),EXACT(Metadata!L231,"surface (saline)"),EXACT(Metadata!L231,"water (saline)"),EXACT(Metadata!L231,"hypersaline (saline)"),EXACT(Metadata!L231,"aerosol (saline)"),EXACT(Metadata!L231,"sediment (saline)")))</f>
        <v>0</v>
      </c>
      <c r="AZ231" t="b">
        <f>IF(Metadata!M231="",FALSE,TRUE)</f>
        <v>0</v>
      </c>
      <c r="BA231" t="b">
        <f>IF(Metadata!N231="",FALSE,TRUE)</f>
        <v>0</v>
      </c>
      <c r="BB231" t="b">
        <f>IF(Metadata!O231="",FALSE,TRUE)</f>
        <v>0</v>
      </c>
      <c r="BC231" t="b">
        <f>AND(IF(Metadata!P231="",FALSE,TRUE),OR(EXACT(Metadata!P231,"air"),EXACT(Metadata!P231,"microbial mat/biofilm"),EXACT(Metadata!P231,"misc environment"),EXACT(Metadata!P231,"sediment"),EXACT(Metadata!P231,"soil"),EXACT(Metadata!P231,"wastewater/sludge"),EXACT(Metadata!P231,"water")))</f>
        <v>0</v>
      </c>
      <c r="BD231" t="b">
        <f>IF(Metadata!Q231="",FALSE,TRUE)</f>
        <v>0</v>
      </c>
      <c r="BE231" t="b">
        <f>IF(Metadata!R231="",FALSE,TRUE)</f>
        <v>0</v>
      </c>
      <c r="BF231" t="b">
        <f>OR(AND(IF(Metadata!S231="",FALSE,TRUE),OR(EXACT(Metadata!S231,"not collected"),EXACT(Metadata!S231,"not provided"),EXACT(Metadata!S231,"restricted access"))),AND(IF(Metadata!S231="",FALSE,ISNUMBER(VALUE(Metadata!S231))),Metadata!S231&gt;=-90,Metadata!S231&lt;=90))</f>
        <v>0</v>
      </c>
      <c r="BG231" t="b">
        <f>AND(IF(Metadata!T231="",FALSE,TRUE),EXACT(Metadata!T231,"Decimal degrees"))</f>
        <v>0</v>
      </c>
      <c r="BH231" t="b">
        <f>OR(AND(IF(Metadata!U231="",FALSE,TRUE),OR(EXACT(Metadata!U231,"not applicable"),EXACT(Metadata!U231,"not collected"))),IF(Metadata!U231="",FALSE,TRUE))</f>
        <v>0</v>
      </c>
      <c r="BI231" t="b">
        <f>OR(AND(IF(Metadata!V231="",FALSE,TRUE),OR(EXACT(Metadata!V231,"not collected"),EXACT(Metadata!V231,"not provided"),EXACT(Metadata!V231,"restricted access"))),AND(IF(Metadata!V231="",FALSE,ISNUMBER(VALUE(Metadata!V231))),Metadata!V231&gt;=-180,Metadata!V231&lt;=180))</f>
        <v>0</v>
      </c>
      <c r="BJ231" t="b">
        <f>AND(IF(Metadata!W231="",FALSE,TRUE),EXACT(Metadata!W231,"Decimal degrees"))</f>
        <v>0</v>
      </c>
      <c r="BK231" t="b">
        <f>IF(Metadata!X231="",FALSE,TRUE)</f>
        <v>0</v>
      </c>
      <c r="BL231" t="b">
        <f>OR(AND(IF(Metadata!Y231="",FALSE,TRUE),OR(EXACT(Metadata!Y231,"not collected"),EXACT(Metadata!Y231,"not provided"),EXACT(Metadata!Y231,"restricted access"))),AND(IF(Metadata!Y231="",FALSE,TRUE),OR(EXACT(Metadata!Y231,"TRUE"),EXACT(Metadata!Y231,"FALSE"))))</f>
        <v>0</v>
      </c>
      <c r="BM231" t="b">
        <f>OR(AND(IF(Metadata!Z231="",FALSE,TRUE),EXACT(Metadata!Z231,"not applicable")),AND(IF(Metadata!Z231="",FALSE,TRUE),OR(EXACT(Metadata!Z231,"beer"),EXACT(Metadata!Z231,"cheese"),EXACT(Metadata!Z231,"fresh water"),EXACT(Metadata!Z231,"marine sediment"),EXACT(Metadata!Z231,"sea water"),EXACT(Metadata!Z231,"sediment"),EXACT(Metadata!Z231,"soil"),EXACT(Metadata!Z231,"waste water"))))</f>
        <v>0</v>
      </c>
      <c r="BN231" t="b">
        <f>AND(IF(Metadata!AA231="",FALSE,TRUE),EXACT(Metadata!AA231,"metagenome"))</f>
        <v>0</v>
      </c>
      <c r="BO231" t="b">
        <f>AND(IF(Metadata!AB231="",FALSE,TRUE),EXACT(Metadata!AB231,"256318"))</f>
        <v>0</v>
      </c>
      <c r="BP231" t="b">
        <f>IF(Metadata!AC231="",FALSE,TRUE)</f>
        <v>0</v>
      </c>
      <c r="BQ231" t="b">
        <f>IF(Metadata!AD231="",FALSE,TRUE)</f>
        <v>0</v>
      </c>
    </row>
    <row r="232" spans="1:69" x14ac:dyDescent="0.2">
      <c r="A232" s="4" t="e">
        <f ca="1">IF(B232=" "," ",HYPERLINK(CONCATENATE("#metadata!",ADDRESS(INDEX($AJ$2:$AJ$1001,MATCH(ROWS($AH$2:AH232),$AH$2:$AH$1001,0),0),2)),INDEX($AM$2:$AM$1001,MATCH(ROWS($AH$2:AH232),$AH$2:$AH$1001,0),0)))</f>
        <v>#N/A</v>
      </c>
      <c r="B232" s="5" t="e">
        <f ca="1">IF(OR(INDEX($AI$2:$AI$1001,MATCH(ROWS($AH$2:AH232),$AH$2:$AH$1001,0),1)&gt;=100000,INDEX($AO$1005:$BQ$1005,1,MATCH(COLUMNS($AO$1006:AO1006),$AO$1006:$BQ$1006,0))&gt;=100000), " ",IF(INDEX($AO$2:$BQ$1001,MATCH(ROWS($AH$2:AH232),$AH$2:$AH$1001,0),MATCH(COLUMNS($AO$1006:AO1006),$AO$1006:$BQ$1006,0)), HYPERLINK("#",""), HYPERLINK(CONCATENATE("#Metadata!", ADDRESS(INDEX($AJ$2:$AJ$1001,MATCH(ROWS($AH$2:AH232),$AH$2:$AH$1001,0),0), INDEX($AO$1004:$BQ$1004,1,MATCH(COLUMNS($AO$1006:AO1006),$AO$1006:$BQ$1006,0)))),"Fix")))</f>
        <v>#N/A</v>
      </c>
      <c r="C232" s="5" t="e">
        <f ca="1">IF(OR(INDEX($AI$2:$AI$1001,MATCH(ROWS($AH$2:AH232),$AH$2:$AH$1001,0),1)&gt;=100000,INDEX($AO$1005:$BQ$1005,1,MATCH(COLUMNS($AO$1006:AP1006),$AO$1006:$BQ$1006,0))&gt;=100000), " ",IF(INDEX($AO$2:$BQ$1001,MATCH(ROWS($AH$2:AH232),$AH$2:$AH$1001,0),MATCH(COLUMNS($AO$1006:AP1006),$AO$1006:$BQ$1006,0)), HYPERLINK("#",""), HYPERLINK(CONCATENATE("#Metadata!", ADDRESS(INDEX($AJ$2:$AJ$1001,MATCH(ROWS($AH$2:AH232),$AH$2:$AH$1001,0),0), INDEX($AO$1004:$BQ$1004,1,MATCH(COLUMNS($AO$1006:AP1006),$AO$1006:$BQ$1006,0)))),"Fix")))</f>
        <v>#N/A</v>
      </c>
      <c r="D232" s="5" t="e">
        <f ca="1">IF(OR(INDEX($AI$2:$AI$1001,MATCH(ROWS($AH$2:AH232),$AH$2:$AH$1001,0),1)&gt;=100000,INDEX($AO$1005:$BQ$1005,1,MATCH(COLUMNS($AO$1006:AQ1006),$AO$1006:$BQ$1006,0))&gt;=100000), " ",IF(INDEX($AO$2:$BQ$1001,MATCH(ROWS($AH$2:AH232),$AH$2:$AH$1001,0),MATCH(COLUMNS($AO$1006:AQ1006),$AO$1006:$BQ$1006,0)), HYPERLINK("#",""), HYPERLINK(CONCATENATE("#Metadata!", ADDRESS(INDEX($AJ$2:$AJ$1001,MATCH(ROWS($AH$2:AH232),$AH$2:$AH$1001,0),0), INDEX($AO$1004:$BQ$1004,1,MATCH(COLUMNS($AO$1006:AQ1006),$AO$1006:$BQ$1006,0)))),"Fix")))</f>
        <v>#N/A</v>
      </c>
      <c r="E232" s="5" t="e">
        <f ca="1">IF(OR(INDEX($AI$2:$AI$1001,MATCH(ROWS($AH$2:AH232),$AH$2:$AH$1001,0),1)&gt;=100000,INDEX($AO$1005:$BQ$1005,1,MATCH(COLUMNS($AO$1006:AR1006),$AO$1006:$BQ$1006,0))&gt;=100000), " ",IF(INDEX($AO$2:$BQ$1001,MATCH(ROWS($AH$2:AH232),$AH$2:$AH$1001,0),MATCH(COLUMNS($AO$1006:AR1006),$AO$1006:$BQ$1006,0)), HYPERLINK("#",""), HYPERLINK(CONCATENATE("#Metadata!", ADDRESS(INDEX($AJ$2:$AJ$1001,MATCH(ROWS($AH$2:AH232),$AH$2:$AH$1001,0),0), INDEX($AO$1004:$BQ$1004,1,MATCH(COLUMNS($AO$1006:AR1006),$AO$1006:$BQ$1006,0)))),"Fix")))</f>
        <v>#N/A</v>
      </c>
      <c r="F232" s="5" t="e">
        <f ca="1">IF(OR(INDEX($AI$2:$AI$1001,MATCH(ROWS($AH$2:AH232),$AH$2:$AH$1001,0),1)&gt;=100000,INDEX($AO$1005:$BQ$1005,1,MATCH(COLUMNS($AO$1006:AS1006),$AO$1006:$BQ$1006,0))&gt;=100000), " ",IF(INDEX($AO$2:$BQ$1001,MATCH(ROWS($AH$2:AH232),$AH$2:$AH$1001,0),MATCH(COLUMNS($AO$1006:AS1006),$AO$1006:$BQ$1006,0)), HYPERLINK("#",""), HYPERLINK(CONCATENATE("#Metadata!", ADDRESS(INDEX($AJ$2:$AJ$1001,MATCH(ROWS($AH$2:AH232),$AH$2:$AH$1001,0),0), INDEX($AO$1004:$BQ$1004,1,MATCH(COLUMNS($AO$1006:AS1006),$AO$1006:$BQ$1006,0)))),"Fix")))</f>
        <v>#N/A</v>
      </c>
      <c r="G232" s="5" t="e">
        <f ca="1">IF(OR(INDEX($AI$2:$AI$1001,MATCH(ROWS($AH$2:AH232),$AH$2:$AH$1001,0),1)&gt;=100000,INDEX($AO$1005:$BQ$1005,1,MATCH(COLUMNS($AO$1006:AT1006),$AO$1006:$BQ$1006,0))&gt;=100000), " ",IF(INDEX($AO$2:$BQ$1001,MATCH(ROWS($AH$2:AH232),$AH$2:$AH$1001,0),MATCH(COLUMNS($AO$1006:AT1006),$AO$1006:$BQ$1006,0)), HYPERLINK("#",""), HYPERLINK(CONCATENATE("#Metadata!", ADDRESS(INDEX($AJ$2:$AJ$1001,MATCH(ROWS($AH$2:AH232),$AH$2:$AH$1001,0),0), INDEX($AO$1004:$BQ$1004,1,MATCH(COLUMNS($AO$1006:AT1006),$AO$1006:$BQ$1006,0)))),"Fix")))</f>
        <v>#N/A</v>
      </c>
      <c r="H232" s="5" t="e">
        <f ca="1">IF(OR(INDEX($AI$2:$AI$1001,MATCH(ROWS($AH$2:AH232),$AH$2:$AH$1001,0),1)&gt;=100000,INDEX($AO$1005:$BQ$1005,1,MATCH(COLUMNS($AO$1006:AU1006),$AO$1006:$BQ$1006,0))&gt;=100000), " ",IF(INDEX($AO$2:$BQ$1001,MATCH(ROWS($AH$2:AH232),$AH$2:$AH$1001,0),MATCH(COLUMNS($AO$1006:AU1006),$AO$1006:$BQ$1006,0)), HYPERLINK("#",""), HYPERLINK(CONCATENATE("#Metadata!", ADDRESS(INDEX($AJ$2:$AJ$1001,MATCH(ROWS($AH$2:AH232),$AH$2:$AH$1001,0),0), INDEX($AO$1004:$BQ$1004,1,MATCH(COLUMNS($AO$1006:AU1006),$AO$1006:$BQ$1006,0)))),"Fix")))</f>
        <v>#N/A</v>
      </c>
      <c r="I232" s="5" t="e">
        <f ca="1">IF(OR(INDEX($AI$2:$AI$1001,MATCH(ROWS($AH$2:AH232),$AH$2:$AH$1001,0),1)&gt;=100000,INDEX($AO$1005:$BQ$1005,1,MATCH(COLUMNS($AO$1006:AV1006),$AO$1006:$BQ$1006,0))&gt;=100000), " ",IF(INDEX($AO$2:$BQ$1001,MATCH(ROWS($AH$2:AH232),$AH$2:$AH$1001,0),MATCH(COLUMNS($AO$1006:AV1006),$AO$1006:$BQ$1006,0)), HYPERLINK("#",""), HYPERLINK(CONCATENATE("#Metadata!", ADDRESS(INDEX($AJ$2:$AJ$1001,MATCH(ROWS($AH$2:AH232),$AH$2:$AH$1001,0),0), INDEX($AO$1004:$BQ$1004,1,MATCH(COLUMNS($AO$1006:AV1006),$AO$1006:$BQ$1006,0)))),"Fix")))</f>
        <v>#N/A</v>
      </c>
      <c r="J232" s="5" t="e">
        <f ca="1">IF(OR(INDEX($AI$2:$AI$1001,MATCH(ROWS($AH$2:AH232),$AH$2:$AH$1001,0),1)&gt;=100000,INDEX($AO$1005:$BQ$1005,1,MATCH(COLUMNS($AO$1006:AW1006),$AO$1006:$BQ$1006,0))&gt;=100000), " ",IF(INDEX($AO$2:$BQ$1001,MATCH(ROWS($AH$2:AH232),$AH$2:$AH$1001,0),MATCH(COLUMNS($AO$1006:AW1006),$AO$1006:$BQ$1006,0)), HYPERLINK("#",""), HYPERLINK(CONCATENATE("#Metadata!", ADDRESS(INDEX($AJ$2:$AJ$1001,MATCH(ROWS($AH$2:AH232),$AH$2:$AH$1001,0),0), INDEX($AO$1004:$BQ$1004,1,MATCH(COLUMNS($AO$1006:AW1006),$AO$1006:$BQ$1006,0)))),"Fix")))</f>
        <v>#N/A</v>
      </c>
      <c r="K232" s="5" t="e">
        <f ca="1">IF(OR(INDEX($AI$2:$AI$1001,MATCH(ROWS($AH$2:AH232),$AH$2:$AH$1001,0),1)&gt;=100000,INDEX($AO$1005:$BQ$1005,1,MATCH(COLUMNS($AO$1006:AX1006),$AO$1006:$BQ$1006,0))&gt;=100000), " ",IF(INDEX($AO$2:$BQ$1001,MATCH(ROWS($AH$2:AH232),$AH$2:$AH$1001,0),MATCH(COLUMNS($AO$1006:AX1006),$AO$1006:$BQ$1006,0)), HYPERLINK("#",""), HYPERLINK(CONCATENATE("#Metadata!", ADDRESS(INDEX($AJ$2:$AJ$1001,MATCH(ROWS($AH$2:AH232),$AH$2:$AH$1001,0),0), INDEX($AO$1004:$BQ$1004,1,MATCH(COLUMNS($AO$1006:AX1006),$AO$1006:$BQ$1006,0)))),"Fix")))</f>
        <v>#N/A</v>
      </c>
      <c r="L232" s="5" t="e">
        <f ca="1">IF(OR(INDEX($AI$2:$AI$1001,MATCH(ROWS($AH$2:AH232),$AH$2:$AH$1001,0),1)&gt;=100000,INDEX($AO$1005:$BQ$1005,1,MATCH(COLUMNS($AO$1006:AY1006),$AO$1006:$BQ$1006,0))&gt;=100000), " ",IF(INDEX($AO$2:$BQ$1001,MATCH(ROWS($AH$2:AH232),$AH$2:$AH$1001,0),MATCH(COLUMNS($AO$1006:AY1006),$AO$1006:$BQ$1006,0)), HYPERLINK("#",""), HYPERLINK(CONCATENATE("#Metadata!", ADDRESS(INDEX($AJ$2:$AJ$1001,MATCH(ROWS($AH$2:AH232),$AH$2:$AH$1001,0),0), INDEX($AO$1004:$BQ$1004,1,MATCH(COLUMNS($AO$1006:AY1006),$AO$1006:$BQ$1006,0)))),"Fix")))</f>
        <v>#N/A</v>
      </c>
      <c r="M232" s="5" t="e">
        <f ca="1">IF(OR(INDEX($AI$2:$AI$1001,MATCH(ROWS($AH$2:AH232),$AH$2:$AH$1001,0),1)&gt;=100000,INDEX($AO$1005:$BQ$1005,1,MATCH(COLUMNS($AO$1006:AZ1006),$AO$1006:$BQ$1006,0))&gt;=100000), " ",IF(INDEX($AO$2:$BQ$1001,MATCH(ROWS($AH$2:AH232),$AH$2:$AH$1001,0),MATCH(COLUMNS($AO$1006:AZ1006),$AO$1006:$BQ$1006,0)), HYPERLINK("#",""), HYPERLINK(CONCATENATE("#Metadata!", ADDRESS(INDEX($AJ$2:$AJ$1001,MATCH(ROWS($AH$2:AH232),$AH$2:$AH$1001,0),0), INDEX($AO$1004:$BQ$1004,1,MATCH(COLUMNS($AO$1006:AZ1006),$AO$1006:$BQ$1006,0)))),"Fix")))</f>
        <v>#N/A</v>
      </c>
      <c r="N232" s="5" t="e">
        <f ca="1">IF(OR(INDEX($AI$2:$AI$1001,MATCH(ROWS($AH$2:AH232),$AH$2:$AH$1001,0),1)&gt;=100000,INDEX($AO$1005:$BQ$1005,1,MATCH(COLUMNS($AO$1006:BA1006),$AO$1006:$BQ$1006,0))&gt;=100000), " ",IF(INDEX($AO$2:$BQ$1001,MATCH(ROWS($AH$2:AH232),$AH$2:$AH$1001,0),MATCH(COLUMNS($AO$1006:BA1006),$AO$1006:$BQ$1006,0)), HYPERLINK("#",""), HYPERLINK(CONCATENATE("#Metadata!", ADDRESS(INDEX($AJ$2:$AJ$1001,MATCH(ROWS($AH$2:AH232),$AH$2:$AH$1001,0),0), INDEX($AO$1004:$BQ$1004,1,MATCH(COLUMNS($AO$1006:BA1006),$AO$1006:$BQ$1006,0)))),"Fix")))</f>
        <v>#N/A</v>
      </c>
      <c r="O232" s="5" t="e">
        <f ca="1">IF(OR(INDEX($AI$2:$AI$1001,MATCH(ROWS($AH$2:AH232),$AH$2:$AH$1001,0),1)&gt;=100000,INDEX($AO$1005:$BQ$1005,1,MATCH(COLUMNS($AO$1006:BB1006),$AO$1006:$BQ$1006,0))&gt;=100000), " ",IF(INDEX($AO$2:$BQ$1001,MATCH(ROWS($AH$2:AH232),$AH$2:$AH$1001,0),MATCH(COLUMNS($AO$1006:BB1006),$AO$1006:$BQ$1006,0)), HYPERLINK("#",""), HYPERLINK(CONCATENATE("#Metadata!", ADDRESS(INDEX($AJ$2:$AJ$1001,MATCH(ROWS($AH$2:AH232),$AH$2:$AH$1001,0),0), INDEX($AO$1004:$BQ$1004,1,MATCH(COLUMNS($AO$1006:BB1006),$AO$1006:$BQ$1006,0)))),"Fix")))</f>
        <v>#N/A</v>
      </c>
      <c r="P232" s="5" t="e">
        <f ca="1">IF(OR(INDEX($AI$2:$AI$1001,MATCH(ROWS($AH$2:AH232),$AH$2:$AH$1001,0),1)&gt;=100000,INDEX($AO$1005:$BQ$1005,1,MATCH(COLUMNS($AO$1006:BC1006),$AO$1006:$BQ$1006,0))&gt;=100000), " ",IF(INDEX($AO$2:$BQ$1001,MATCH(ROWS($AH$2:AH232),$AH$2:$AH$1001,0),MATCH(COLUMNS($AO$1006:BC1006),$AO$1006:$BQ$1006,0)), HYPERLINK("#",""), HYPERLINK(CONCATENATE("#Metadata!", ADDRESS(INDEX($AJ$2:$AJ$1001,MATCH(ROWS($AH$2:AH232),$AH$2:$AH$1001,0),0), INDEX($AO$1004:$BQ$1004,1,MATCH(COLUMNS($AO$1006:BC1006),$AO$1006:$BQ$1006,0)))),"Fix")))</f>
        <v>#N/A</v>
      </c>
      <c r="Q232" s="5" t="e">
        <f ca="1">IF(OR(INDEX($AI$2:$AI$1001,MATCH(ROWS($AH$2:AH232),$AH$2:$AH$1001,0),1)&gt;=100000,INDEX($AO$1005:$BQ$1005,1,MATCH(COLUMNS($AO$1006:BD1006),$AO$1006:$BQ$1006,0))&gt;=100000), " ",IF(INDEX($AO$2:$BQ$1001,MATCH(ROWS($AH$2:AH232),$AH$2:$AH$1001,0),MATCH(COLUMNS($AO$1006:BD1006),$AO$1006:$BQ$1006,0)), HYPERLINK("#",""), HYPERLINK(CONCATENATE("#Metadata!", ADDRESS(INDEX($AJ$2:$AJ$1001,MATCH(ROWS($AH$2:AH232),$AH$2:$AH$1001,0),0), INDEX($AO$1004:$BQ$1004,1,MATCH(COLUMNS($AO$1006:BD1006),$AO$1006:$BQ$1006,0)))),"Fix")))</f>
        <v>#N/A</v>
      </c>
      <c r="R232" s="5" t="e">
        <f ca="1">IF(OR(INDEX($AI$2:$AI$1001,MATCH(ROWS($AH$2:AH232),$AH$2:$AH$1001,0),1)&gt;=100000,INDEX($AO$1005:$BQ$1005,1,MATCH(COLUMNS($AO$1006:BE1006),$AO$1006:$BQ$1006,0))&gt;=100000), " ",IF(INDEX($AO$2:$BQ$1001,MATCH(ROWS($AH$2:AH232),$AH$2:$AH$1001,0),MATCH(COLUMNS($AO$1006:BE1006),$AO$1006:$BQ$1006,0)), HYPERLINK("#",""), HYPERLINK(CONCATENATE("#Metadata!", ADDRESS(INDEX($AJ$2:$AJ$1001,MATCH(ROWS($AH$2:AH232),$AH$2:$AH$1001,0),0), INDEX($AO$1004:$BQ$1004,1,MATCH(COLUMNS($AO$1006:BE1006),$AO$1006:$BQ$1006,0)))),"Fix")))</f>
        <v>#N/A</v>
      </c>
      <c r="S232" s="5" t="e">
        <f ca="1">IF(OR(INDEX($AI$2:$AI$1001,MATCH(ROWS($AH$2:AH232),$AH$2:$AH$1001,0),1)&gt;=100000,INDEX($AO$1005:$BQ$1005,1,MATCH(COLUMNS($AO$1006:BF1006),$AO$1006:$BQ$1006,0))&gt;=100000), " ",IF(INDEX($AO$2:$BQ$1001,MATCH(ROWS($AH$2:AH232),$AH$2:$AH$1001,0),MATCH(COLUMNS($AO$1006:BF1006),$AO$1006:$BQ$1006,0)), HYPERLINK("#",""), HYPERLINK(CONCATENATE("#Metadata!", ADDRESS(INDEX($AJ$2:$AJ$1001,MATCH(ROWS($AH$2:AH232),$AH$2:$AH$1001,0),0), INDEX($AO$1004:$BQ$1004,1,MATCH(COLUMNS($AO$1006:BF1006),$AO$1006:$BQ$1006,0)))),"Fix")))</f>
        <v>#N/A</v>
      </c>
      <c r="T232" s="5" t="e">
        <f ca="1">IF(OR(INDEX($AI$2:$AI$1001,MATCH(ROWS($AH$2:AH232),$AH$2:$AH$1001,0),1)&gt;=100000,INDEX($AO$1005:$BQ$1005,1,MATCH(COLUMNS($AO$1006:BG1006),$AO$1006:$BQ$1006,0))&gt;=100000), " ",IF(INDEX($AO$2:$BQ$1001,MATCH(ROWS($AH$2:AH232),$AH$2:$AH$1001,0),MATCH(COLUMNS($AO$1006:BG1006),$AO$1006:$BQ$1006,0)), HYPERLINK("#",""), HYPERLINK(CONCATENATE("#Metadata!", ADDRESS(INDEX($AJ$2:$AJ$1001,MATCH(ROWS($AH$2:AH232),$AH$2:$AH$1001,0),0), INDEX($AO$1004:$BQ$1004,1,MATCH(COLUMNS($AO$1006:BG1006),$AO$1006:$BQ$1006,0)))),"Fix")))</f>
        <v>#N/A</v>
      </c>
      <c r="U232" s="5" t="e">
        <f ca="1">IF(OR(INDEX($AI$2:$AI$1001,MATCH(ROWS($AH$2:AH232),$AH$2:$AH$1001,0),1)&gt;=100000,INDEX($AO$1005:$BQ$1005,1,MATCH(COLUMNS($AO$1006:BH1006),$AO$1006:$BQ$1006,0))&gt;=100000), " ",IF(INDEX($AO$2:$BQ$1001,MATCH(ROWS($AH$2:AH232),$AH$2:$AH$1001,0),MATCH(COLUMNS($AO$1006:BH1006),$AO$1006:$BQ$1006,0)), HYPERLINK("#",""), HYPERLINK(CONCATENATE("#Metadata!", ADDRESS(INDEX($AJ$2:$AJ$1001,MATCH(ROWS($AH$2:AH232),$AH$2:$AH$1001,0),0), INDEX($AO$1004:$BQ$1004,1,MATCH(COLUMNS($AO$1006:BH1006),$AO$1006:$BQ$1006,0)))),"Fix")))</f>
        <v>#N/A</v>
      </c>
      <c r="V232" s="5" t="e">
        <f ca="1">IF(OR(INDEX($AI$2:$AI$1001,MATCH(ROWS($AH$2:AH232),$AH$2:$AH$1001,0),1)&gt;=100000,INDEX($AO$1005:$BQ$1005,1,MATCH(COLUMNS($AO$1006:BI1006),$AO$1006:$BQ$1006,0))&gt;=100000), " ",IF(INDEX($AO$2:$BQ$1001,MATCH(ROWS($AH$2:AH232),$AH$2:$AH$1001,0),MATCH(COLUMNS($AO$1006:BI1006),$AO$1006:$BQ$1006,0)), HYPERLINK("#",""), HYPERLINK(CONCATENATE("#Metadata!", ADDRESS(INDEX($AJ$2:$AJ$1001,MATCH(ROWS($AH$2:AH232),$AH$2:$AH$1001,0),0), INDEX($AO$1004:$BQ$1004,1,MATCH(COLUMNS($AO$1006:BI1006),$AO$1006:$BQ$1006,0)))),"Fix")))</f>
        <v>#N/A</v>
      </c>
      <c r="W232" s="5" t="e">
        <f ca="1">IF(OR(INDEX($AI$2:$AI$1001,MATCH(ROWS($AH$2:AH232),$AH$2:$AH$1001,0),1)&gt;=100000,INDEX($AO$1005:$BQ$1005,1,MATCH(COLUMNS($AO$1006:BJ1006),$AO$1006:$BQ$1006,0))&gt;=100000), " ",IF(INDEX($AO$2:$BQ$1001,MATCH(ROWS($AH$2:AH232),$AH$2:$AH$1001,0),MATCH(COLUMNS($AO$1006:BJ1006),$AO$1006:$BQ$1006,0)), HYPERLINK("#",""), HYPERLINK(CONCATENATE("#Metadata!", ADDRESS(INDEX($AJ$2:$AJ$1001,MATCH(ROWS($AH$2:AH232),$AH$2:$AH$1001,0),0), INDEX($AO$1004:$BQ$1004,1,MATCH(COLUMNS($AO$1006:BJ1006),$AO$1006:$BQ$1006,0)))),"Fix")))</f>
        <v>#N/A</v>
      </c>
      <c r="X232" s="5" t="e">
        <f ca="1">IF(OR(INDEX($AI$2:$AI$1001,MATCH(ROWS($AH$2:AH232),$AH$2:$AH$1001,0),1)&gt;=100000,INDEX($AO$1005:$BQ$1005,1,MATCH(COLUMNS($AO$1006:BK1006),$AO$1006:$BQ$1006,0))&gt;=100000), " ",IF(INDEX($AO$2:$BQ$1001,MATCH(ROWS($AH$2:AH232),$AH$2:$AH$1001,0),MATCH(COLUMNS($AO$1006:BK1006),$AO$1006:$BQ$1006,0)), HYPERLINK("#",""), HYPERLINK(CONCATENATE("#Metadata!", ADDRESS(INDEX($AJ$2:$AJ$1001,MATCH(ROWS($AH$2:AH232),$AH$2:$AH$1001,0),0), INDEX($AO$1004:$BQ$1004,1,MATCH(COLUMNS($AO$1006:BK1006),$AO$1006:$BQ$1006,0)))),"Fix")))</f>
        <v>#N/A</v>
      </c>
      <c r="Y232" s="5" t="e">
        <f ca="1">IF(OR(INDEX($AI$2:$AI$1001,MATCH(ROWS($AH$2:AH232),$AH$2:$AH$1001,0),1)&gt;=100000,INDEX($AO$1005:$BQ$1005,1,MATCH(COLUMNS($AO$1006:BL1006),$AO$1006:$BQ$1006,0))&gt;=100000), " ",IF(INDEX($AO$2:$BQ$1001,MATCH(ROWS($AH$2:AH232),$AH$2:$AH$1001,0),MATCH(COLUMNS($AO$1006:BL1006),$AO$1006:$BQ$1006,0)), HYPERLINK("#",""), HYPERLINK(CONCATENATE("#Metadata!", ADDRESS(INDEX($AJ$2:$AJ$1001,MATCH(ROWS($AH$2:AH232),$AH$2:$AH$1001,0),0), INDEX($AO$1004:$BQ$1004,1,MATCH(COLUMNS($AO$1006:BL1006),$AO$1006:$BQ$1006,0)))),"Fix")))</f>
        <v>#N/A</v>
      </c>
      <c r="Z232" s="5" t="e">
        <f ca="1">IF(OR(INDEX($AI$2:$AI$1001,MATCH(ROWS($AH$2:AH232),$AH$2:$AH$1001,0),1)&gt;=100000,INDEX($AO$1005:$BQ$1005,1,MATCH(COLUMNS($AO$1006:BM1006),$AO$1006:$BQ$1006,0))&gt;=100000), " ",IF(INDEX($AO$2:$BQ$1001,MATCH(ROWS($AH$2:AH232),$AH$2:$AH$1001,0),MATCH(COLUMNS($AO$1006:BM1006),$AO$1006:$BQ$1006,0)), HYPERLINK("#",""), HYPERLINK(CONCATENATE("#Metadata!", ADDRESS(INDEX($AJ$2:$AJ$1001,MATCH(ROWS($AH$2:AH232),$AH$2:$AH$1001,0),0), INDEX($AO$1004:$BQ$1004,1,MATCH(COLUMNS($AO$1006:BM1006),$AO$1006:$BQ$1006,0)))),"Fix")))</f>
        <v>#N/A</v>
      </c>
      <c r="AA232" s="5" t="e">
        <f ca="1">IF(OR(INDEX($AI$2:$AI$1001,MATCH(ROWS($AH$2:AH232),$AH$2:$AH$1001,0),1)&gt;=100000,INDEX($AO$1005:$BQ$1005,1,MATCH(COLUMNS($AO$1006:BN1006),$AO$1006:$BQ$1006,0))&gt;=100000), " ",IF(INDEX($AO$2:$BQ$1001,MATCH(ROWS($AH$2:AH232),$AH$2:$AH$1001,0),MATCH(COLUMNS($AO$1006:BN1006),$AO$1006:$BQ$1006,0)), HYPERLINK("#",""), HYPERLINK(CONCATENATE("#Metadata!", ADDRESS(INDEX($AJ$2:$AJ$1001,MATCH(ROWS($AH$2:AH232),$AH$2:$AH$1001,0),0), INDEX($AO$1004:$BQ$1004,1,MATCH(COLUMNS($AO$1006:BN1006),$AO$1006:$BQ$1006,0)))),"Fix")))</f>
        <v>#N/A</v>
      </c>
      <c r="AB232" s="5" t="e">
        <f ca="1">IF(OR(INDEX($AI$2:$AI$1001,MATCH(ROWS($AH$2:AH232),$AH$2:$AH$1001,0),1)&gt;=100000,INDEX($AO$1005:$BQ$1005,1,MATCH(COLUMNS($AO$1006:BO1006),$AO$1006:$BQ$1006,0))&gt;=100000), " ",IF(INDEX($AO$2:$BQ$1001,MATCH(ROWS($AH$2:AH232),$AH$2:$AH$1001,0),MATCH(COLUMNS($AO$1006:BO1006),$AO$1006:$BQ$1006,0)), HYPERLINK("#",""), HYPERLINK(CONCATENATE("#Metadata!", ADDRESS(INDEX($AJ$2:$AJ$1001,MATCH(ROWS($AH$2:AH232),$AH$2:$AH$1001,0),0), INDEX($AO$1004:$BQ$1004,1,MATCH(COLUMNS($AO$1006:BO1006),$AO$1006:$BQ$1006,0)))),"Fix")))</f>
        <v>#N/A</v>
      </c>
      <c r="AC232" s="5" t="e">
        <f ca="1">IF(OR(INDEX($AI$2:$AI$1001,MATCH(ROWS($AH$2:AH232),$AH$2:$AH$1001,0),1)&gt;=100000,INDEX($AO$1005:$BQ$1005,1,MATCH(COLUMNS($AO$1006:BP1006),$AO$1006:$BQ$1006,0))&gt;=100000), " ",IF(INDEX($AO$2:$BQ$1001,MATCH(ROWS($AH$2:AH232),$AH$2:$AH$1001,0),MATCH(COLUMNS($AO$1006:BP1006),$AO$1006:$BQ$1006,0)), HYPERLINK("#",""), HYPERLINK(CONCATENATE("#Metadata!", ADDRESS(INDEX($AJ$2:$AJ$1001,MATCH(ROWS($AH$2:AH232),$AH$2:$AH$1001,0),0), INDEX($AO$1004:$BQ$1004,1,MATCH(COLUMNS($AO$1006:BP1006),$AO$1006:$BQ$1006,0)))),"Fix")))</f>
        <v>#N/A</v>
      </c>
      <c r="AD232" s="5" t="e">
        <f ca="1">IF(OR(INDEX($AI$2:$AI$1001,MATCH(ROWS($AH$2:AH232),$AH$2:$AH$1001,0),1)&gt;=100000,INDEX($AO$1005:$BQ$1005,1,MATCH(COLUMNS($AO$1006:BQ1006),$AO$1006:$BQ$1006,0))&gt;=100000), " ",IF(INDEX($AO$2:$BQ$1001,MATCH(ROWS($AH$2:AH232),$AH$2:$AH$1001,0),MATCH(COLUMNS($AO$1006:BQ1006),$AO$1006:$BQ$1006,0)), HYPERLINK("#",""), HYPERLINK(CONCATENATE("#Metadata!", ADDRESS(INDEX($AJ$2:$AJ$1001,MATCH(ROWS($AH$2:AH232),$AH$2:$AH$1001,0),0), INDEX($AO$1004:$BQ$1004,1,MATCH(COLUMNS($AO$1006:BQ1006),$AO$1006:$BQ$1006,0)))),"Fix")))</f>
        <v>#REF!</v>
      </c>
      <c r="AH232">
        <f ca="1"/>
        <v>229</v>
      </c>
      <c r="AI232">
        <v>100232</v>
      </c>
      <c r="AJ232">
        <v>232</v>
      </c>
      <c r="AK232" t="b">
        <f t="shared" si="3"/>
        <v>1</v>
      </c>
      <c r="AL232" t="b">
        <f>COUNTBLANK(Metadata!B232:AD232)=COLUMNS(Metadata!B232:AD232)</f>
        <v>1</v>
      </c>
      <c r="AM232" t="str">
        <v/>
      </c>
      <c r="AO232" t="b">
        <f ca="1">AND(IF(Metadata!B232="",FALSE,TRUE),COUNTIF(Metadata!B:B, Metadata!B232) = 1,NOT(ISERROR(SUMPRODUCT(SEARCH(MID(Metadata!B232,ROW(INDIRECT("1:"&amp;LEN(Metadata!B232))), 1),"0123456789abcdefghijklmnopqrstuvwxyzABCDEFGHIJKLMNOPQRSTUVWXYZ.")))))</f>
        <v>0</v>
      </c>
      <c r="AP232" t="b">
        <f>IF(Metadata!C232="",FALSE,TRUE)</f>
        <v>0</v>
      </c>
      <c r="AQ232" t="b">
        <f>IF(Metadata!D232="",FALSE,TRUE)</f>
        <v>0</v>
      </c>
      <c r="AR232" t="b">
        <f ca="1">OR(AND(IF(Metadata!E232="",FALSE,TRUE),OR(EXACT(Metadata!E232,"not collected"),EXACT(Metadata!E232,"not provided"),EXACT(Metadata!E232,"restricted access"))),AND(IF(Metadata!E232="",FALSE,TRUE),AND(AND(IFERROR(INT(LEFT(Metadata!E232,4))&gt;1900,FALSE),IFERROR(INT(LEFT(Metadata!E232,4))&lt;=YEAR(NOW()),FALSE)), OR(MID(Metadata!E232,5,1)="", AND(AND(MID(Metadata!E232,5,1)="-",IFERROR(INT(MID(Metadata!E232,6,1))&gt;=0,FALSE),IFERROR(INT(MID(Metadata!E232,6,1))&lt;=1,FALSE),NOT(MID(Metadata!E232,7,1)=""),IFERROR(INT(MID(Metadata!E232,6,2))&gt;=1,FALSE),IFERROR(INT(MID(Metadata!E232,6,2))&lt;=12,FALSE)), OR(MID(Metadata!E232,8,1)="", AND(AND(MID(Metadata!E232,8,1)="-",IFERROR(INT(MID(Metadata!E232,9,1))&gt;=0,FALSE),IFERROR(INT(MID(Metadata!E232,9,1))&lt;=3,FALSE),NOT(MID(Metadata!E232,10,1)=""),IFERROR(INT(MID(Metadata!E232,9,2))&gt;=1,FALSE),IFERROR(INT(MID(Metadata!E232,9,2))&lt;=31,FALSE)), OR(MID(Metadata!E232,11,1)="", AND(AND(MID(Metadata!E232,11,1)=" ",IFERROR(INT(MID(Metadata!E232,12,1))&gt;=0,FALSE),IFERROR(INT(MID(Metadata!E232,12,1))&lt;=2,FALSE),NOT(MID(Metadata!E232,13,1)=""),IFERROR(INT(MID(Metadata!E232,12,2))&gt;=0,FALSE),IFERROR(INT(MID(Metadata!E232,12,2))&lt;=23,FALSE)), OR(MID(Metadata!E232,14,1)="", AND(AND(MID(Metadata!E232,14,1)=":",IFERROR(INT(MID(Metadata!E232,15,1))&gt;=0,FALSE),IFERROR(INT(MID(Metadata!E232,15,1))&lt;=5,FALSE),NOT(MID(Metadata!E232,16,1)=""),IFERROR(INT(MID(Metadata!E232,15,2))&gt;=0,FALSE),IFERROR(INT(MID(Metadata!E232,15,2))&lt;=59,FALSE)), OR(MID(Metadata!E232,17,1)="", AND(AND(MID(Metadata!E232,17,1)=":",IFERROR(INT(MID(Metadata!E232,18,1))&gt;=0,FALSE),IFERROR(INT(MID(Metadata!E232,18,1))&lt;=5,FALSE),NOT(MID(Metadata!E232,19,1)=""),IFERROR(INT(MID(Metadata!E232,18,2))&gt;=0,FALSE),IFERROR(INT(MID(Metadata!E232,18,2))&lt;=59,FALSE)), LEN(Metadata!E232)&lt;=19)))))))))))))</f>
        <v>0</v>
      </c>
      <c r="AS232" t="b">
        <f>IF(Metadata!F232="",FALSE,TRUE)</f>
        <v>0</v>
      </c>
      <c r="AT232" t="b">
        <f>OR(AND(IF(Metadata!G232="",FALSE,TRUE),OR(EXACT(Metadata!G232,"not collected"),EXACT(Metadata!G232,"not provided"))),AND(IF(Metadata!G232="",FALSE,TRUE),OR(EXACT(Metadata!G232,"TRUE"),EXACT(Metadata!G232,"FALSE"))))</f>
        <v>0</v>
      </c>
      <c r="AU232" t="b">
        <f>OR(AND(IF(Metadata!H232="",FALSE,TRUE),OR(EXACT(Metadata!H232,"not collected"),EXACT(Metadata!H232,"not provided"),EXACT(Metadata!H232,"restricted access"))),AND(IF(Metadata!H232="",FALSE,ISNUMBER(VALUE(Metadata!H232))),Metadata!H232&gt;=-413))</f>
        <v>0</v>
      </c>
      <c r="AV232" t="b">
        <f>AND(IF(Metadata!I232="",FALSE,TRUE),EXACT(Metadata!I232,"meters"))</f>
        <v>0</v>
      </c>
      <c r="AW232" t="b">
        <f>AND(IF(Metadata!J232="",FALSE,TRUE),EXACT(Metadata!J232,"free-living"))</f>
        <v>0</v>
      </c>
      <c r="AX232" t="b">
        <f>AND(IF(Metadata!K232="",FALSE,TRUE),OR(EXACT(Metadata!K232,"saline"),EXACT(Metadata!K232,"non-saline")))</f>
        <v>0</v>
      </c>
      <c r="AY232" t="b">
        <f>AND(IF(Metadata!L232="",FALSE,TRUE),OR(EXACT(Metadata!L232,"sub-surface (non-saline)"),EXACT(Metadata!L232,"surface (non-saline)"),EXACT(Metadata!L232,"water (non-saline)"),EXACT(Metadata!L232,"soil (non-saline)"),EXACT(Metadata!L232,"aerosol (non-saline)"),EXACT(Metadata!L232,"sediment (non-saline)"),EXACT(Metadata!L232,"surface (saline)"),EXACT(Metadata!L232,"water (saline)"),EXACT(Metadata!L232,"hypersaline (saline)"),EXACT(Metadata!L232,"aerosol (saline)"),EXACT(Metadata!L232,"sediment (saline)")))</f>
        <v>0</v>
      </c>
      <c r="AZ232" t="b">
        <f>IF(Metadata!M232="",FALSE,TRUE)</f>
        <v>0</v>
      </c>
      <c r="BA232" t="b">
        <f>IF(Metadata!N232="",FALSE,TRUE)</f>
        <v>0</v>
      </c>
      <c r="BB232" t="b">
        <f>IF(Metadata!O232="",FALSE,TRUE)</f>
        <v>0</v>
      </c>
      <c r="BC232" t="b">
        <f>AND(IF(Metadata!P232="",FALSE,TRUE),OR(EXACT(Metadata!P232,"air"),EXACT(Metadata!P232,"microbial mat/biofilm"),EXACT(Metadata!P232,"misc environment"),EXACT(Metadata!P232,"sediment"),EXACT(Metadata!P232,"soil"),EXACT(Metadata!P232,"wastewater/sludge"),EXACT(Metadata!P232,"water")))</f>
        <v>0</v>
      </c>
      <c r="BD232" t="b">
        <f>IF(Metadata!Q232="",FALSE,TRUE)</f>
        <v>0</v>
      </c>
      <c r="BE232" t="b">
        <f>IF(Metadata!R232="",FALSE,TRUE)</f>
        <v>0</v>
      </c>
      <c r="BF232" t="b">
        <f>OR(AND(IF(Metadata!S232="",FALSE,TRUE),OR(EXACT(Metadata!S232,"not collected"),EXACT(Metadata!S232,"not provided"),EXACT(Metadata!S232,"restricted access"))),AND(IF(Metadata!S232="",FALSE,ISNUMBER(VALUE(Metadata!S232))),Metadata!S232&gt;=-90,Metadata!S232&lt;=90))</f>
        <v>0</v>
      </c>
      <c r="BG232" t="b">
        <f>AND(IF(Metadata!T232="",FALSE,TRUE),EXACT(Metadata!T232,"Decimal degrees"))</f>
        <v>0</v>
      </c>
      <c r="BH232" t="b">
        <f>OR(AND(IF(Metadata!U232="",FALSE,TRUE),OR(EXACT(Metadata!U232,"not applicable"),EXACT(Metadata!U232,"not collected"))),IF(Metadata!U232="",FALSE,TRUE))</f>
        <v>0</v>
      </c>
      <c r="BI232" t="b">
        <f>OR(AND(IF(Metadata!V232="",FALSE,TRUE),OR(EXACT(Metadata!V232,"not collected"),EXACT(Metadata!V232,"not provided"),EXACT(Metadata!V232,"restricted access"))),AND(IF(Metadata!V232="",FALSE,ISNUMBER(VALUE(Metadata!V232))),Metadata!V232&gt;=-180,Metadata!V232&lt;=180))</f>
        <v>0</v>
      </c>
      <c r="BJ232" t="b">
        <f>AND(IF(Metadata!W232="",FALSE,TRUE),EXACT(Metadata!W232,"Decimal degrees"))</f>
        <v>0</v>
      </c>
      <c r="BK232" t="b">
        <f>IF(Metadata!X232="",FALSE,TRUE)</f>
        <v>0</v>
      </c>
      <c r="BL232" t="b">
        <f>OR(AND(IF(Metadata!Y232="",FALSE,TRUE),OR(EXACT(Metadata!Y232,"not collected"),EXACT(Metadata!Y232,"not provided"),EXACT(Metadata!Y232,"restricted access"))),AND(IF(Metadata!Y232="",FALSE,TRUE),OR(EXACT(Metadata!Y232,"TRUE"),EXACT(Metadata!Y232,"FALSE"))))</f>
        <v>0</v>
      </c>
      <c r="BM232" t="b">
        <f>OR(AND(IF(Metadata!Z232="",FALSE,TRUE),EXACT(Metadata!Z232,"not applicable")),AND(IF(Metadata!Z232="",FALSE,TRUE),OR(EXACT(Metadata!Z232,"beer"),EXACT(Metadata!Z232,"cheese"),EXACT(Metadata!Z232,"fresh water"),EXACT(Metadata!Z232,"marine sediment"),EXACT(Metadata!Z232,"sea water"),EXACT(Metadata!Z232,"sediment"),EXACT(Metadata!Z232,"soil"),EXACT(Metadata!Z232,"waste water"))))</f>
        <v>0</v>
      </c>
      <c r="BN232" t="b">
        <f>AND(IF(Metadata!AA232="",FALSE,TRUE),EXACT(Metadata!AA232,"metagenome"))</f>
        <v>0</v>
      </c>
      <c r="BO232" t="b">
        <f>AND(IF(Metadata!AB232="",FALSE,TRUE),EXACT(Metadata!AB232,"256318"))</f>
        <v>0</v>
      </c>
      <c r="BP232" t="b">
        <f>IF(Metadata!AC232="",FALSE,TRUE)</f>
        <v>0</v>
      </c>
      <c r="BQ232" t="b">
        <f>IF(Metadata!AD232="",FALSE,TRUE)</f>
        <v>0</v>
      </c>
    </row>
    <row r="233" spans="1:69" x14ac:dyDescent="0.2">
      <c r="A233" s="4" t="e">
        <f ca="1">IF(B233=" "," ",HYPERLINK(CONCATENATE("#metadata!",ADDRESS(INDEX($AJ$2:$AJ$1001,MATCH(ROWS($AH$2:AH233),$AH$2:$AH$1001,0),0),2)),INDEX($AM$2:$AM$1001,MATCH(ROWS($AH$2:AH233),$AH$2:$AH$1001,0),0)))</f>
        <v>#N/A</v>
      </c>
      <c r="B233" s="5" t="e">
        <f ca="1">IF(OR(INDEX($AI$2:$AI$1001,MATCH(ROWS($AH$2:AH233),$AH$2:$AH$1001,0),1)&gt;=100000,INDEX($AO$1005:$BQ$1005,1,MATCH(COLUMNS($AO$1006:AO1006),$AO$1006:$BQ$1006,0))&gt;=100000), " ",IF(INDEX($AO$2:$BQ$1001,MATCH(ROWS($AH$2:AH233),$AH$2:$AH$1001,0),MATCH(COLUMNS($AO$1006:AO1006),$AO$1006:$BQ$1006,0)), HYPERLINK("#",""), HYPERLINK(CONCATENATE("#Metadata!", ADDRESS(INDEX($AJ$2:$AJ$1001,MATCH(ROWS($AH$2:AH233),$AH$2:$AH$1001,0),0), INDEX($AO$1004:$BQ$1004,1,MATCH(COLUMNS($AO$1006:AO1006),$AO$1006:$BQ$1006,0)))),"Fix")))</f>
        <v>#N/A</v>
      </c>
      <c r="C233" s="5" t="e">
        <f ca="1">IF(OR(INDEX($AI$2:$AI$1001,MATCH(ROWS($AH$2:AH233),$AH$2:$AH$1001,0),1)&gt;=100000,INDEX($AO$1005:$BQ$1005,1,MATCH(COLUMNS($AO$1006:AP1006),$AO$1006:$BQ$1006,0))&gt;=100000), " ",IF(INDEX($AO$2:$BQ$1001,MATCH(ROWS($AH$2:AH233),$AH$2:$AH$1001,0),MATCH(COLUMNS($AO$1006:AP1006),$AO$1006:$BQ$1006,0)), HYPERLINK("#",""), HYPERLINK(CONCATENATE("#Metadata!", ADDRESS(INDEX($AJ$2:$AJ$1001,MATCH(ROWS($AH$2:AH233),$AH$2:$AH$1001,0),0), INDEX($AO$1004:$BQ$1004,1,MATCH(COLUMNS($AO$1006:AP1006),$AO$1006:$BQ$1006,0)))),"Fix")))</f>
        <v>#N/A</v>
      </c>
      <c r="D233" s="5" t="e">
        <f ca="1">IF(OR(INDEX($AI$2:$AI$1001,MATCH(ROWS($AH$2:AH233),$AH$2:$AH$1001,0),1)&gt;=100000,INDEX($AO$1005:$BQ$1005,1,MATCH(COLUMNS($AO$1006:AQ1006),$AO$1006:$BQ$1006,0))&gt;=100000), " ",IF(INDEX($AO$2:$BQ$1001,MATCH(ROWS($AH$2:AH233),$AH$2:$AH$1001,0),MATCH(COLUMNS($AO$1006:AQ1006),$AO$1006:$BQ$1006,0)), HYPERLINK("#",""), HYPERLINK(CONCATENATE("#Metadata!", ADDRESS(INDEX($AJ$2:$AJ$1001,MATCH(ROWS($AH$2:AH233),$AH$2:$AH$1001,0),0), INDEX($AO$1004:$BQ$1004,1,MATCH(COLUMNS($AO$1006:AQ1006),$AO$1006:$BQ$1006,0)))),"Fix")))</f>
        <v>#N/A</v>
      </c>
      <c r="E233" s="5" t="e">
        <f ca="1">IF(OR(INDEX($AI$2:$AI$1001,MATCH(ROWS($AH$2:AH233),$AH$2:$AH$1001,0),1)&gt;=100000,INDEX($AO$1005:$BQ$1005,1,MATCH(COLUMNS($AO$1006:AR1006),$AO$1006:$BQ$1006,0))&gt;=100000), " ",IF(INDEX($AO$2:$BQ$1001,MATCH(ROWS($AH$2:AH233),$AH$2:$AH$1001,0),MATCH(COLUMNS($AO$1006:AR1006),$AO$1006:$BQ$1006,0)), HYPERLINK("#",""), HYPERLINK(CONCATENATE("#Metadata!", ADDRESS(INDEX($AJ$2:$AJ$1001,MATCH(ROWS($AH$2:AH233),$AH$2:$AH$1001,0),0), INDEX($AO$1004:$BQ$1004,1,MATCH(COLUMNS($AO$1006:AR1006),$AO$1006:$BQ$1006,0)))),"Fix")))</f>
        <v>#N/A</v>
      </c>
      <c r="F233" s="5" t="e">
        <f ca="1">IF(OR(INDEX($AI$2:$AI$1001,MATCH(ROWS($AH$2:AH233),$AH$2:$AH$1001,0),1)&gt;=100000,INDEX($AO$1005:$BQ$1005,1,MATCH(COLUMNS($AO$1006:AS1006),$AO$1006:$BQ$1006,0))&gt;=100000), " ",IF(INDEX($AO$2:$BQ$1001,MATCH(ROWS($AH$2:AH233),$AH$2:$AH$1001,0),MATCH(COLUMNS($AO$1006:AS1006),$AO$1006:$BQ$1006,0)), HYPERLINK("#",""), HYPERLINK(CONCATENATE("#Metadata!", ADDRESS(INDEX($AJ$2:$AJ$1001,MATCH(ROWS($AH$2:AH233),$AH$2:$AH$1001,0),0), INDEX($AO$1004:$BQ$1004,1,MATCH(COLUMNS($AO$1006:AS1006),$AO$1006:$BQ$1006,0)))),"Fix")))</f>
        <v>#N/A</v>
      </c>
      <c r="G233" s="5" t="e">
        <f ca="1">IF(OR(INDEX($AI$2:$AI$1001,MATCH(ROWS($AH$2:AH233),$AH$2:$AH$1001,0),1)&gt;=100000,INDEX($AO$1005:$BQ$1005,1,MATCH(COLUMNS($AO$1006:AT1006),$AO$1006:$BQ$1006,0))&gt;=100000), " ",IF(INDEX($AO$2:$BQ$1001,MATCH(ROWS($AH$2:AH233),$AH$2:$AH$1001,0),MATCH(COLUMNS($AO$1006:AT1006),$AO$1006:$BQ$1006,0)), HYPERLINK("#",""), HYPERLINK(CONCATENATE("#Metadata!", ADDRESS(INDEX($AJ$2:$AJ$1001,MATCH(ROWS($AH$2:AH233),$AH$2:$AH$1001,0),0), INDEX($AO$1004:$BQ$1004,1,MATCH(COLUMNS($AO$1006:AT1006),$AO$1006:$BQ$1006,0)))),"Fix")))</f>
        <v>#N/A</v>
      </c>
      <c r="H233" s="5" t="e">
        <f ca="1">IF(OR(INDEX($AI$2:$AI$1001,MATCH(ROWS($AH$2:AH233),$AH$2:$AH$1001,0),1)&gt;=100000,INDEX($AO$1005:$BQ$1005,1,MATCH(COLUMNS($AO$1006:AU1006),$AO$1006:$BQ$1006,0))&gt;=100000), " ",IF(INDEX($AO$2:$BQ$1001,MATCH(ROWS($AH$2:AH233),$AH$2:$AH$1001,0),MATCH(COLUMNS($AO$1006:AU1006),$AO$1006:$BQ$1006,0)), HYPERLINK("#",""), HYPERLINK(CONCATENATE("#Metadata!", ADDRESS(INDEX($AJ$2:$AJ$1001,MATCH(ROWS($AH$2:AH233),$AH$2:$AH$1001,0),0), INDEX($AO$1004:$BQ$1004,1,MATCH(COLUMNS($AO$1006:AU1006),$AO$1006:$BQ$1006,0)))),"Fix")))</f>
        <v>#N/A</v>
      </c>
      <c r="I233" s="5" t="e">
        <f ca="1">IF(OR(INDEX($AI$2:$AI$1001,MATCH(ROWS($AH$2:AH233),$AH$2:$AH$1001,0),1)&gt;=100000,INDEX($AO$1005:$BQ$1005,1,MATCH(COLUMNS($AO$1006:AV1006),$AO$1006:$BQ$1006,0))&gt;=100000), " ",IF(INDEX($AO$2:$BQ$1001,MATCH(ROWS($AH$2:AH233),$AH$2:$AH$1001,0),MATCH(COLUMNS($AO$1006:AV1006),$AO$1006:$BQ$1006,0)), HYPERLINK("#",""), HYPERLINK(CONCATENATE("#Metadata!", ADDRESS(INDEX($AJ$2:$AJ$1001,MATCH(ROWS($AH$2:AH233),$AH$2:$AH$1001,0),0), INDEX($AO$1004:$BQ$1004,1,MATCH(COLUMNS($AO$1006:AV1006),$AO$1006:$BQ$1006,0)))),"Fix")))</f>
        <v>#N/A</v>
      </c>
      <c r="J233" s="5" t="e">
        <f ca="1">IF(OR(INDEX($AI$2:$AI$1001,MATCH(ROWS($AH$2:AH233),$AH$2:$AH$1001,0),1)&gt;=100000,INDEX($AO$1005:$BQ$1005,1,MATCH(COLUMNS($AO$1006:AW1006),$AO$1006:$BQ$1006,0))&gt;=100000), " ",IF(INDEX($AO$2:$BQ$1001,MATCH(ROWS($AH$2:AH233),$AH$2:$AH$1001,0),MATCH(COLUMNS($AO$1006:AW1006),$AO$1006:$BQ$1006,0)), HYPERLINK("#",""), HYPERLINK(CONCATENATE("#Metadata!", ADDRESS(INDEX($AJ$2:$AJ$1001,MATCH(ROWS($AH$2:AH233),$AH$2:$AH$1001,0),0), INDEX($AO$1004:$BQ$1004,1,MATCH(COLUMNS($AO$1006:AW1006),$AO$1006:$BQ$1006,0)))),"Fix")))</f>
        <v>#N/A</v>
      </c>
      <c r="K233" s="5" t="e">
        <f ca="1">IF(OR(INDEX($AI$2:$AI$1001,MATCH(ROWS($AH$2:AH233),$AH$2:$AH$1001,0),1)&gt;=100000,INDEX($AO$1005:$BQ$1005,1,MATCH(COLUMNS($AO$1006:AX1006),$AO$1006:$BQ$1006,0))&gt;=100000), " ",IF(INDEX($AO$2:$BQ$1001,MATCH(ROWS($AH$2:AH233),$AH$2:$AH$1001,0),MATCH(COLUMNS($AO$1006:AX1006),$AO$1006:$BQ$1006,0)), HYPERLINK("#",""), HYPERLINK(CONCATENATE("#Metadata!", ADDRESS(INDEX($AJ$2:$AJ$1001,MATCH(ROWS($AH$2:AH233),$AH$2:$AH$1001,0),0), INDEX($AO$1004:$BQ$1004,1,MATCH(COLUMNS($AO$1006:AX1006),$AO$1006:$BQ$1006,0)))),"Fix")))</f>
        <v>#N/A</v>
      </c>
      <c r="L233" s="5" t="e">
        <f ca="1">IF(OR(INDEX($AI$2:$AI$1001,MATCH(ROWS($AH$2:AH233),$AH$2:$AH$1001,0),1)&gt;=100000,INDEX($AO$1005:$BQ$1005,1,MATCH(COLUMNS($AO$1006:AY1006),$AO$1006:$BQ$1006,0))&gt;=100000), " ",IF(INDEX($AO$2:$BQ$1001,MATCH(ROWS($AH$2:AH233),$AH$2:$AH$1001,0),MATCH(COLUMNS($AO$1006:AY1006),$AO$1006:$BQ$1006,0)), HYPERLINK("#",""), HYPERLINK(CONCATENATE("#Metadata!", ADDRESS(INDEX($AJ$2:$AJ$1001,MATCH(ROWS($AH$2:AH233),$AH$2:$AH$1001,0),0), INDEX($AO$1004:$BQ$1004,1,MATCH(COLUMNS($AO$1006:AY1006),$AO$1006:$BQ$1006,0)))),"Fix")))</f>
        <v>#N/A</v>
      </c>
      <c r="M233" s="5" t="e">
        <f ca="1">IF(OR(INDEX($AI$2:$AI$1001,MATCH(ROWS($AH$2:AH233),$AH$2:$AH$1001,0),1)&gt;=100000,INDEX($AO$1005:$BQ$1005,1,MATCH(COLUMNS($AO$1006:AZ1006),$AO$1006:$BQ$1006,0))&gt;=100000), " ",IF(INDEX($AO$2:$BQ$1001,MATCH(ROWS($AH$2:AH233),$AH$2:$AH$1001,0),MATCH(COLUMNS($AO$1006:AZ1006),$AO$1006:$BQ$1006,0)), HYPERLINK("#",""), HYPERLINK(CONCATENATE("#Metadata!", ADDRESS(INDEX($AJ$2:$AJ$1001,MATCH(ROWS($AH$2:AH233),$AH$2:$AH$1001,0),0), INDEX($AO$1004:$BQ$1004,1,MATCH(COLUMNS($AO$1006:AZ1006),$AO$1006:$BQ$1006,0)))),"Fix")))</f>
        <v>#N/A</v>
      </c>
      <c r="N233" s="5" t="e">
        <f ca="1">IF(OR(INDEX($AI$2:$AI$1001,MATCH(ROWS($AH$2:AH233),$AH$2:$AH$1001,0),1)&gt;=100000,INDEX($AO$1005:$BQ$1005,1,MATCH(COLUMNS($AO$1006:BA1006),$AO$1006:$BQ$1006,0))&gt;=100000), " ",IF(INDEX($AO$2:$BQ$1001,MATCH(ROWS($AH$2:AH233),$AH$2:$AH$1001,0),MATCH(COLUMNS($AO$1006:BA1006),$AO$1006:$BQ$1006,0)), HYPERLINK("#",""), HYPERLINK(CONCATENATE("#Metadata!", ADDRESS(INDEX($AJ$2:$AJ$1001,MATCH(ROWS($AH$2:AH233),$AH$2:$AH$1001,0),0), INDEX($AO$1004:$BQ$1004,1,MATCH(COLUMNS($AO$1006:BA1006),$AO$1006:$BQ$1006,0)))),"Fix")))</f>
        <v>#N/A</v>
      </c>
      <c r="O233" s="5" t="e">
        <f ca="1">IF(OR(INDEX($AI$2:$AI$1001,MATCH(ROWS($AH$2:AH233),$AH$2:$AH$1001,0),1)&gt;=100000,INDEX($AO$1005:$BQ$1005,1,MATCH(COLUMNS($AO$1006:BB1006),$AO$1006:$BQ$1006,0))&gt;=100000), " ",IF(INDEX($AO$2:$BQ$1001,MATCH(ROWS($AH$2:AH233),$AH$2:$AH$1001,0),MATCH(COLUMNS($AO$1006:BB1006),$AO$1006:$BQ$1006,0)), HYPERLINK("#",""), HYPERLINK(CONCATENATE("#Metadata!", ADDRESS(INDEX($AJ$2:$AJ$1001,MATCH(ROWS($AH$2:AH233),$AH$2:$AH$1001,0),0), INDEX($AO$1004:$BQ$1004,1,MATCH(COLUMNS($AO$1006:BB1006),$AO$1006:$BQ$1006,0)))),"Fix")))</f>
        <v>#N/A</v>
      </c>
      <c r="P233" s="5" t="e">
        <f ca="1">IF(OR(INDEX($AI$2:$AI$1001,MATCH(ROWS($AH$2:AH233),$AH$2:$AH$1001,0),1)&gt;=100000,INDEX($AO$1005:$BQ$1005,1,MATCH(COLUMNS($AO$1006:BC1006),$AO$1006:$BQ$1006,0))&gt;=100000), " ",IF(INDEX($AO$2:$BQ$1001,MATCH(ROWS($AH$2:AH233),$AH$2:$AH$1001,0),MATCH(COLUMNS($AO$1006:BC1006),$AO$1006:$BQ$1006,0)), HYPERLINK("#",""), HYPERLINK(CONCATENATE("#Metadata!", ADDRESS(INDEX($AJ$2:$AJ$1001,MATCH(ROWS($AH$2:AH233),$AH$2:$AH$1001,0),0), INDEX($AO$1004:$BQ$1004,1,MATCH(COLUMNS($AO$1006:BC1006),$AO$1006:$BQ$1006,0)))),"Fix")))</f>
        <v>#N/A</v>
      </c>
      <c r="Q233" s="5" t="e">
        <f ca="1">IF(OR(INDEX($AI$2:$AI$1001,MATCH(ROWS($AH$2:AH233),$AH$2:$AH$1001,0),1)&gt;=100000,INDEX($AO$1005:$BQ$1005,1,MATCH(COLUMNS($AO$1006:BD1006),$AO$1006:$BQ$1006,0))&gt;=100000), " ",IF(INDEX($AO$2:$BQ$1001,MATCH(ROWS($AH$2:AH233),$AH$2:$AH$1001,0),MATCH(COLUMNS($AO$1006:BD1006),$AO$1006:$BQ$1006,0)), HYPERLINK("#",""), HYPERLINK(CONCATENATE("#Metadata!", ADDRESS(INDEX($AJ$2:$AJ$1001,MATCH(ROWS($AH$2:AH233),$AH$2:$AH$1001,0),0), INDEX($AO$1004:$BQ$1004,1,MATCH(COLUMNS($AO$1006:BD1006),$AO$1006:$BQ$1006,0)))),"Fix")))</f>
        <v>#N/A</v>
      </c>
      <c r="R233" s="5" t="e">
        <f ca="1">IF(OR(INDEX($AI$2:$AI$1001,MATCH(ROWS($AH$2:AH233),$AH$2:$AH$1001,0),1)&gt;=100000,INDEX($AO$1005:$BQ$1005,1,MATCH(COLUMNS($AO$1006:BE1006),$AO$1006:$BQ$1006,0))&gt;=100000), " ",IF(INDEX($AO$2:$BQ$1001,MATCH(ROWS($AH$2:AH233),$AH$2:$AH$1001,0),MATCH(COLUMNS($AO$1006:BE1006),$AO$1006:$BQ$1006,0)), HYPERLINK("#",""), HYPERLINK(CONCATENATE("#Metadata!", ADDRESS(INDEX($AJ$2:$AJ$1001,MATCH(ROWS($AH$2:AH233),$AH$2:$AH$1001,0),0), INDEX($AO$1004:$BQ$1004,1,MATCH(COLUMNS($AO$1006:BE1006),$AO$1006:$BQ$1006,0)))),"Fix")))</f>
        <v>#N/A</v>
      </c>
      <c r="S233" s="5" t="e">
        <f ca="1">IF(OR(INDEX($AI$2:$AI$1001,MATCH(ROWS($AH$2:AH233),$AH$2:$AH$1001,0),1)&gt;=100000,INDEX($AO$1005:$BQ$1005,1,MATCH(COLUMNS($AO$1006:BF1006),$AO$1006:$BQ$1006,0))&gt;=100000), " ",IF(INDEX($AO$2:$BQ$1001,MATCH(ROWS($AH$2:AH233),$AH$2:$AH$1001,0),MATCH(COLUMNS($AO$1006:BF1006),$AO$1006:$BQ$1006,0)), HYPERLINK("#",""), HYPERLINK(CONCATENATE("#Metadata!", ADDRESS(INDEX($AJ$2:$AJ$1001,MATCH(ROWS($AH$2:AH233),$AH$2:$AH$1001,0),0), INDEX($AO$1004:$BQ$1004,1,MATCH(COLUMNS($AO$1006:BF1006),$AO$1006:$BQ$1006,0)))),"Fix")))</f>
        <v>#N/A</v>
      </c>
      <c r="T233" s="5" t="e">
        <f ca="1">IF(OR(INDEX($AI$2:$AI$1001,MATCH(ROWS($AH$2:AH233),$AH$2:$AH$1001,0),1)&gt;=100000,INDEX($AO$1005:$BQ$1005,1,MATCH(COLUMNS($AO$1006:BG1006),$AO$1006:$BQ$1006,0))&gt;=100000), " ",IF(INDEX($AO$2:$BQ$1001,MATCH(ROWS($AH$2:AH233),$AH$2:$AH$1001,0),MATCH(COLUMNS($AO$1006:BG1006),$AO$1006:$BQ$1006,0)), HYPERLINK("#",""), HYPERLINK(CONCATENATE("#Metadata!", ADDRESS(INDEX($AJ$2:$AJ$1001,MATCH(ROWS($AH$2:AH233),$AH$2:$AH$1001,0),0), INDEX($AO$1004:$BQ$1004,1,MATCH(COLUMNS($AO$1006:BG1006),$AO$1006:$BQ$1006,0)))),"Fix")))</f>
        <v>#N/A</v>
      </c>
      <c r="U233" s="5" t="e">
        <f ca="1">IF(OR(INDEX($AI$2:$AI$1001,MATCH(ROWS($AH$2:AH233),$AH$2:$AH$1001,0),1)&gt;=100000,INDEX($AO$1005:$BQ$1005,1,MATCH(COLUMNS($AO$1006:BH1006),$AO$1006:$BQ$1006,0))&gt;=100000), " ",IF(INDEX($AO$2:$BQ$1001,MATCH(ROWS($AH$2:AH233),$AH$2:$AH$1001,0),MATCH(COLUMNS($AO$1006:BH1006),$AO$1006:$BQ$1006,0)), HYPERLINK("#",""), HYPERLINK(CONCATENATE("#Metadata!", ADDRESS(INDEX($AJ$2:$AJ$1001,MATCH(ROWS($AH$2:AH233),$AH$2:$AH$1001,0),0), INDEX($AO$1004:$BQ$1004,1,MATCH(COLUMNS($AO$1006:BH1006),$AO$1006:$BQ$1006,0)))),"Fix")))</f>
        <v>#N/A</v>
      </c>
      <c r="V233" s="5" t="e">
        <f ca="1">IF(OR(INDEX($AI$2:$AI$1001,MATCH(ROWS($AH$2:AH233),$AH$2:$AH$1001,0),1)&gt;=100000,INDEX($AO$1005:$BQ$1005,1,MATCH(COLUMNS($AO$1006:BI1006),$AO$1006:$BQ$1006,0))&gt;=100000), " ",IF(INDEX($AO$2:$BQ$1001,MATCH(ROWS($AH$2:AH233),$AH$2:$AH$1001,0),MATCH(COLUMNS($AO$1006:BI1006),$AO$1006:$BQ$1006,0)), HYPERLINK("#",""), HYPERLINK(CONCATENATE("#Metadata!", ADDRESS(INDEX($AJ$2:$AJ$1001,MATCH(ROWS($AH$2:AH233),$AH$2:$AH$1001,0),0), INDEX($AO$1004:$BQ$1004,1,MATCH(COLUMNS($AO$1006:BI1006),$AO$1006:$BQ$1006,0)))),"Fix")))</f>
        <v>#N/A</v>
      </c>
      <c r="W233" s="5" t="e">
        <f ca="1">IF(OR(INDEX($AI$2:$AI$1001,MATCH(ROWS($AH$2:AH233),$AH$2:$AH$1001,0),1)&gt;=100000,INDEX($AO$1005:$BQ$1005,1,MATCH(COLUMNS($AO$1006:BJ1006),$AO$1006:$BQ$1006,0))&gt;=100000), " ",IF(INDEX($AO$2:$BQ$1001,MATCH(ROWS($AH$2:AH233),$AH$2:$AH$1001,0),MATCH(COLUMNS($AO$1006:BJ1006),$AO$1006:$BQ$1006,0)), HYPERLINK("#",""), HYPERLINK(CONCATENATE("#Metadata!", ADDRESS(INDEX($AJ$2:$AJ$1001,MATCH(ROWS($AH$2:AH233),$AH$2:$AH$1001,0),0), INDEX($AO$1004:$BQ$1004,1,MATCH(COLUMNS($AO$1006:BJ1006),$AO$1006:$BQ$1006,0)))),"Fix")))</f>
        <v>#N/A</v>
      </c>
      <c r="X233" s="5" t="e">
        <f ca="1">IF(OR(INDEX($AI$2:$AI$1001,MATCH(ROWS($AH$2:AH233),$AH$2:$AH$1001,0),1)&gt;=100000,INDEX($AO$1005:$BQ$1005,1,MATCH(COLUMNS($AO$1006:BK1006),$AO$1006:$BQ$1006,0))&gt;=100000), " ",IF(INDEX($AO$2:$BQ$1001,MATCH(ROWS($AH$2:AH233),$AH$2:$AH$1001,0),MATCH(COLUMNS($AO$1006:BK1006),$AO$1006:$BQ$1006,0)), HYPERLINK("#",""), HYPERLINK(CONCATENATE("#Metadata!", ADDRESS(INDEX($AJ$2:$AJ$1001,MATCH(ROWS($AH$2:AH233),$AH$2:$AH$1001,0),0), INDEX($AO$1004:$BQ$1004,1,MATCH(COLUMNS($AO$1006:BK1006),$AO$1006:$BQ$1006,0)))),"Fix")))</f>
        <v>#N/A</v>
      </c>
      <c r="Y233" s="5" t="e">
        <f ca="1">IF(OR(INDEX($AI$2:$AI$1001,MATCH(ROWS($AH$2:AH233),$AH$2:$AH$1001,0),1)&gt;=100000,INDEX($AO$1005:$BQ$1005,1,MATCH(COLUMNS($AO$1006:BL1006),$AO$1006:$BQ$1006,0))&gt;=100000), " ",IF(INDEX($AO$2:$BQ$1001,MATCH(ROWS($AH$2:AH233),$AH$2:$AH$1001,0),MATCH(COLUMNS($AO$1006:BL1006),$AO$1006:$BQ$1006,0)), HYPERLINK("#",""), HYPERLINK(CONCATENATE("#Metadata!", ADDRESS(INDEX($AJ$2:$AJ$1001,MATCH(ROWS($AH$2:AH233),$AH$2:$AH$1001,0),0), INDEX($AO$1004:$BQ$1004,1,MATCH(COLUMNS($AO$1006:BL1006),$AO$1006:$BQ$1006,0)))),"Fix")))</f>
        <v>#N/A</v>
      </c>
      <c r="Z233" s="5" t="e">
        <f ca="1">IF(OR(INDEX($AI$2:$AI$1001,MATCH(ROWS($AH$2:AH233),$AH$2:$AH$1001,0),1)&gt;=100000,INDEX($AO$1005:$BQ$1005,1,MATCH(COLUMNS($AO$1006:BM1006),$AO$1006:$BQ$1006,0))&gt;=100000), " ",IF(INDEX($AO$2:$BQ$1001,MATCH(ROWS($AH$2:AH233),$AH$2:$AH$1001,0),MATCH(COLUMNS($AO$1006:BM1006),$AO$1006:$BQ$1006,0)), HYPERLINK("#",""), HYPERLINK(CONCATENATE("#Metadata!", ADDRESS(INDEX($AJ$2:$AJ$1001,MATCH(ROWS($AH$2:AH233),$AH$2:$AH$1001,0),0), INDEX($AO$1004:$BQ$1004,1,MATCH(COLUMNS($AO$1006:BM1006),$AO$1006:$BQ$1006,0)))),"Fix")))</f>
        <v>#N/A</v>
      </c>
      <c r="AA233" s="5" t="e">
        <f ca="1">IF(OR(INDEX($AI$2:$AI$1001,MATCH(ROWS($AH$2:AH233),$AH$2:$AH$1001,0),1)&gt;=100000,INDEX($AO$1005:$BQ$1005,1,MATCH(COLUMNS($AO$1006:BN1006),$AO$1006:$BQ$1006,0))&gt;=100000), " ",IF(INDEX($AO$2:$BQ$1001,MATCH(ROWS($AH$2:AH233),$AH$2:$AH$1001,0),MATCH(COLUMNS($AO$1006:BN1006),$AO$1006:$BQ$1006,0)), HYPERLINK("#",""), HYPERLINK(CONCATENATE("#Metadata!", ADDRESS(INDEX($AJ$2:$AJ$1001,MATCH(ROWS($AH$2:AH233),$AH$2:$AH$1001,0),0), INDEX($AO$1004:$BQ$1004,1,MATCH(COLUMNS($AO$1006:BN1006),$AO$1006:$BQ$1006,0)))),"Fix")))</f>
        <v>#N/A</v>
      </c>
      <c r="AB233" s="5" t="e">
        <f ca="1">IF(OR(INDEX($AI$2:$AI$1001,MATCH(ROWS($AH$2:AH233),$AH$2:$AH$1001,0),1)&gt;=100000,INDEX($AO$1005:$BQ$1005,1,MATCH(COLUMNS($AO$1006:BO1006),$AO$1006:$BQ$1006,0))&gt;=100000), " ",IF(INDEX($AO$2:$BQ$1001,MATCH(ROWS($AH$2:AH233),$AH$2:$AH$1001,0),MATCH(COLUMNS($AO$1006:BO1006),$AO$1006:$BQ$1006,0)), HYPERLINK("#",""), HYPERLINK(CONCATENATE("#Metadata!", ADDRESS(INDEX($AJ$2:$AJ$1001,MATCH(ROWS($AH$2:AH233),$AH$2:$AH$1001,0),0), INDEX($AO$1004:$BQ$1004,1,MATCH(COLUMNS($AO$1006:BO1006),$AO$1006:$BQ$1006,0)))),"Fix")))</f>
        <v>#N/A</v>
      </c>
      <c r="AC233" s="5" t="e">
        <f ca="1">IF(OR(INDEX($AI$2:$AI$1001,MATCH(ROWS($AH$2:AH233),$AH$2:$AH$1001,0),1)&gt;=100000,INDEX($AO$1005:$BQ$1005,1,MATCH(COLUMNS($AO$1006:BP1006),$AO$1006:$BQ$1006,0))&gt;=100000), " ",IF(INDEX($AO$2:$BQ$1001,MATCH(ROWS($AH$2:AH233),$AH$2:$AH$1001,0),MATCH(COLUMNS($AO$1006:BP1006),$AO$1006:$BQ$1006,0)), HYPERLINK("#",""), HYPERLINK(CONCATENATE("#Metadata!", ADDRESS(INDEX($AJ$2:$AJ$1001,MATCH(ROWS($AH$2:AH233),$AH$2:$AH$1001,0),0), INDEX($AO$1004:$BQ$1004,1,MATCH(COLUMNS($AO$1006:BP1006),$AO$1006:$BQ$1006,0)))),"Fix")))</f>
        <v>#N/A</v>
      </c>
      <c r="AD233" s="5" t="e">
        <f ca="1">IF(OR(INDEX($AI$2:$AI$1001,MATCH(ROWS($AH$2:AH233),$AH$2:$AH$1001,0),1)&gt;=100000,INDEX($AO$1005:$BQ$1005,1,MATCH(COLUMNS($AO$1006:BQ1006),$AO$1006:$BQ$1006,0))&gt;=100000), " ",IF(INDEX($AO$2:$BQ$1001,MATCH(ROWS($AH$2:AH233),$AH$2:$AH$1001,0),MATCH(COLUMNS($AO$1006:BQ1006),$AO$1006:$BQ$1006,0)), HYPERLINK("#",""), HYPERLINK(CONCATENATE("#Metadata!", ADDRESS(INDEX($AJ$2:$AJ$1001,MATCH(ROWS($AH$2:AH233),$AH$2:$AH$1001,0),0), INDEX($AO$1004:$BQ$1004,1,MATCH(COLUMNS($AO$1006:BQ1006),$AO$1006:$BQ$1006,0)))),"Fix")))</f>
        <v>#REF!</v>
      </c>
      <c r="AH233">
        <f ca="1"/>
        <v>230</v>
      </c>
      <c r="AI233">
        <v>100233</v>
      </c>
      <c r="AJ233">
        <v>233</v>
      </c>
      <c r="AK233" t="b">
        <f t="shared" si="3"/>
        <v>1</v>
      </c>
      <c r="AL233" t="b">
        <f>COUNTBLANK(Metadata!B233:AD233)=COLUMNS(Metadata!B233:AD233)</f>
        <v>1</v>
      </c>
      <c r="AM233" t="str">
        <v/>
      </c>
      <c r="AO233" t="b">
        <f ca="1">AND(IF(Metadata!B233="",FALSE,TRUE),COUNTIF(Metadata!B:B, Metadata!B233) = 1,NOT(ISERROR(SUMPRODUCT(SEARCH(MID(Metadata!B233,ROW(INDIRECT("1:"&amp;LEN(Metadata!B233))), 1),"0123456789abcdefghijklmnopqrstuvwxyzABCDEFGHIJKLMNOPQRSTUVWXYZ.")))))</f>
        <v>0</v>
      </c>
      <c r="AP233" t="b">
        <f>IF(Metadata!C233="",FALSE,TRUE)</f>
        <v>0</v>
      </c>
      <c r="AQ233" t="b">
        <f>IF(Metadata!D233="",FALSE,TRUE)</f>
        <v>0</v>
      </c>
      <c r="AR233" t="b">
        <f ca="1">OR(AND(IF(Metadata!E233="",FALSE,TRUE),OR(EXACT(Metadata!E233,"not collected"),EXACT(Metadata!E233,"not provided"),EXACT(Metadata!E233,"restricted access"))),AND(IF(Metadata!E233="",FALSE,TRUE),AND(AND(IFERROR(INT(LEFT(Metadata!E233,4))&gt;1900,FALSE),IFERROR(INT(LEFT(Metadata!E233,4))&lt;=YEAR(NOW()),FALSE)), OR(MID(Metadata!E233,5,1)="", AND(AND(MID(Metadata!E233,5,1)="-",IFERROR(INT(MID(Metadata!E233,6,1))&gt;=0,FALSE),IFERROR(INT(MID(Metadata!E233,6,1))&lt;=1,FALSE),NOT(MID(Metadata!E233,7,1)=""),IFERROR(INT(MID(Metadata!E233,6,2))&gt;=1,FALSE),IFERROR(INT(MID(Metadata!E233,6,2))&lt;=12,FALSE)), OR(MID(Metadata!E233,8,1)="", AND(AND(MID(Metadata!E233,8,1)="-",IFERROR(INT(MID(Metadata!E233,9,1))&gt;=0,FALSE),IFERROR(INT(MID(Metadata!E233,9,1))&lt;=3,FALSE),NOT(MID(Metadata!E233,10,1)=""),IFERROR(INT(MID(Metadata!E233,9,2))&gt;=1,FALSE),IFERROR(INT(MID(Metadata!E233,9,2))&lt;=31,FALSE)), OR(MID(Metadata!E233,11,1)="", AND(AND(MID(Metadata!E233,11,1)=" ",IFERROR(INT(MID(Metadata!E233,12,1))&gt;=0,FALSE),IFERROR(INT(MID(Metadata!E233,12,1))&lt;=2,FALSE),NOT(MID(Metadata!E233,13,1)=""),IFERROR(INT(MID(Metadata!E233,12,2))&gt;=0,FALSE),IFERROR(INT(MID(Metadata!E233,12,2))&lt;=23,FALSE)), OR(MID(Metadata!E233,14,1)="", AND(AND(MID(Metadata!E233,14,1)=":",IFERROR(INT(MID(Metadata!E233,15,1))&gt;=0,FALSE),IFERROR(INT(MID(Metadata!E233,15,1))&lt;=5,FALSE),NOT(MID(Metadata!E233,16,1)=""),IFERROR(INT(MID(Metadata!E233,15,2))&gt;=0,FALSE),IFERROR(INT(MID(Metadata!E233,15,2))&lt;=59,FALSE)), OR(MID(Metadata!E233,17,1)="", AND(AND(MID(Metadata!E233,17,1)=":",IFERROR(INT(MID(Metadata!E233,18,1))&gt;=0,FALSE),IFERROR(INT(MID(Metadata!E233,18,1))&lt;=5,FALSE),NOT(MID(Metadata!E233,19,1)=""),IFERROR(INT(MID(Metadata!E233,18,2))&gt;=0,FALSE),IFERROR(INT(MID(Metadata!E233,18,2))&lt;=59,FALSE)), LEN(Metadata!E233)&lt;=19)))))))))))))</f>
        <v>0</v>
      </c>
      <c r="AS233" t="b">
        <f>IF(Metadata!F233="",FALSE,TRUE)</f>
        <v>0</v>
      </c>
      <c r="AT233" t="b">
        <f>OR(AND(IF(Metadata!G233="",FALSE,TRUE),OR(EXACT(Metadata!G233,"not collected"),EXACT(Metadata!G233,"not provided"))),AND(IF(Metadata!G233="",FALSE,TRUE),OR(EXACT(Metadata!G233,"TRUE"),EXACT(Metadata!G233,"FALSE"))))</f>
        <v>0</v>
      </c>
      <c r="AU233" t="b">
        <f>OR(AND(IF(Metadata!H233="",FALSE,TRUE),OR(EXACT(Metadata!H233,"not collected"),EXACT(Metadata!H233,"not provided"),EXACT(Metadata!H233,"restricted access"))),AND(IF(Metadata!H233="",FALSE,ISNUMBER(VALUE(Metadata!H233))),Metadata!H233&gt;=-413))</f>
        <v>0</v>
      </c>
      <c r="AV233" t="b">
        <f>AND(IF(Metadata!I233="",FALSE,TRUE),EXACT(Metadata!I233,"meters"))</f>
        <v>0</v>
      </c>
      <c r="AW233" t="b">
        <f>AND(IF(Metadata!J233="",FALSE,TRUE),EXACT(Metadata!J233,"free-living"))</f>
        <v>0</v>
      </c>
      <c r="AX233" t="b">
        <f>AND(IF(Metadata!K233="",FALSE,TRUE),OR(EXACT(Metadata!K233,"saline"),EXACT(Metadata!K233,"non-saline")))</f>
        <v>0</v>
      </c>
      <c r="AY233" t="b">
        <f>AND(IF(Metadata!L233="",FALSE,TRUE),OR(EXACT(Metadata!L233,"sub-surface (non-saline)"),EXACT(Metadata!L233,"surface (non-saline)"),EXACT(Metadata!L233,"water (non-saline)"),EXACT(Metadata!L233,"soil (non-saline)"),EXACT(Metadata!L233,"aerosol (non-saline)"),EXACT(Metadata!L233,"sediment (non-saline)"),EXACT(Metadata!L233,"surface (saline)"),EXACT(Metadata!L233,"water (saline)"),EXACT(Metadata!L233,"hypersaline (saline)"),EXACT(Metadata!L233,"aerosol (saline)"),EXACT(Metadata!L233,"sediment (saline)")))</f>
        <v>0</v>
      </c>
      <c r="AZ233" t="b">
        <f>IF(Metadata!M233="",FALSE,TRUE)</f>
        <v>0</v>
      </c>
      <c r="BA233" t="b">
        <f>IF(Metadata!N233="",FALSE,TRUE)</f>
        <v>0</v>
      </c>
      <c r="BB233" t="b">
        <f>IF(Metadata!O233="",FALSE,TRUE)</f>
        <v>0</v>
      </c>
      <c r="BC233" t="b">
        <f>AND(IF(Metadata!P233="",FALSE,TRUE),OR(EXACT(Metadata!P233,"air"),EXACT(Metadata!P233,"microbial mat/biofilm"),EXACT(Metadata!P233,"misc environment"),EXACT(Metadata!P233,"sediment"),EXACT(Metadata!P233,"soil"),EXACT(Metadata!P233,"wastewater/sludge"),EXACT(Metadata!P233,"water")))</f>
        <v>0</v>
      </c>
      <c r="BD233" t="b">
        <f>IF(Metadata!Q233="",FALSE,TRUE)</f>
        <v>0</v>
      </c>
      <c r="BE233" t="b">
        <f>IF(Metadata!R233="",FALSE,TRUE)</f>
        <v>0</v>
      </c>
      <c r="BF233" t="b">
        <f>OR(AND(IF(Metadata!S233="",FALSE,TRUE),OR(EXACT(Metadata!S233,"not collected"),EXACT(Metadata!S233,"not provided"),EXACT(Metadata!S233,"restricted access"))),AND(IF(Metadata!S233="",FALSE,ISNUMBER(VALUE(Metadata!S233))),Metadata!S233&gt;=-90,Metadata!S233&lt;=90))</f>
        <v>0</v>
      </c>
      <c r="BG233" t="b">
        <f>AND(IF(Metadata!T233="",FALSE,TRUE),EXACT(Metadata!T233,"Decimal degrees"))</f>
        <v>0</v>
      </c>
      <c r="BH233" t="b">
        <f>OR(AND(IF(Metadata!U233="",FALSE,TRUE),OR(EXACT(Metadata!U233,"not applicable"),EXACT(Metadata!U233,"not collected"))),IF(Metadata!U233="",FALSE,TRUE))</f>
        <v>0</v>
      </c>
      <c r="BI233" t="b">
        <f>OR(AND(IF(Metadata!V233="",FALSE,TRUE),OR(EXACT(Metadata!V233,"not collected"),EXACT(Metadata!V233,"not provided"),EXACT(Metadata!V233,"restricted access"))),AND(IF(Metadata!V233="",FALSE,ISNUMBER(VALUE(Metadata!V233))),Metadata!V233&gt;=-180,Metadata!V233&lt;=180))</f>
        <v>0</v>
      </c>
      <c r="BJ233" t="b">
        <f>AND(IF(Metadata!W233="",FALSE,TRUE),EXACT(Metadata!W233,"Decimal degrees"))</f>
        <v>0</v>
      </c>
      <c r="BK233" t="b">
        <f>IF(Metadata!X233="",FALSE,TRUE)</f>
        <v>0</v>
      </c>
      <c r="BL233" t="b">
        <f>OR(AND(IF(Metadata!Y233="",FALSE,TRUE),OR(EXACT(Metadata!Y233,"not collected"),EXACT(Metadata!Y233,"not provided"),EXACT(Metadata!Y233,"restricted access"))),AND(IF(Metadata!Y233="",FALSE,TRUE),OR(EXACT(Metadata!Y233,"TRUE"),EXACT(Metadata!Y233,"FALSE"))))</f>
        <v>0</v>
      </c>
      <c r="BM233" t="b">
        <f>OR(AND(IF(Metadata!Z233="",FALSE,TRUE),EXACT(Metadata!Z233,"not applicable")),AND(IF(Metadata!Z233="",FALSE,TRUE),OR(EXACT(Metadata!Z233,"beer"),EXACT(Metadata!Z233,"cheese"),EXACT(Metadata!Z233,"fresh water"),EXACT(Metadata!Z233,"marine sediment"),EXACT(Metadata!Z233,"sea water"),EXACT(Metadata!Z233,"sediment"),EXACT(Metadata!Z233,"soil"),EXACT(Metadata!Z233,"waste water"))))</f>
        <v>0</v>
      </c>
      <c r="BN233" t="b">
        <f>AND(IF(Metadata!AA233="",FALSE,TRUE),EXACT(Metadata!AA233,"metagenome"))</f>
        <v>0</v>
      </c>
      <c r="BO233" t="b">
        <f>AND(IF(Metadata!AB233="",FALSE,TRUE),EXACT(Metadata!AB233,"256318"))</f>
        <v>0</v>
      </c>
      <c r="BP233" t="b">
        <f>IF(Metadata!AC233="",FALSE,TRUE)</f>
        <v>0</v>
      </c>
      <c r="BQ233" t="b">
        <f>IF(Metadata!AD233="",FALSE,TRUE)</f>
        <v>0</v>
      </c>
    </row>
    <row r="234" spans="1:69" x14ac:dyDescent="0.2">
      <c r="A234" s="4" t="e">
        <f ca="1">IF(B234=" "," ",HYPERLINK(CONCATENATE("#metadata!",ADDRESS(INDEX($AJ$2:$AJ$1001,MATCH(ROWS($AH$2:AH234),$AH$2:$AH$1001,0),0),2)),INDEX($AM$2:$AM$1001,MATCH(ROWS($AH$2:AH234),$AH$2:$AH$1001,0),0)))</f>
        <v>#N/A</v>
      </c>
      <c r="B234" s="5" t="e">
        <f ca="1">IF(OR(INDEX($AI$2:$AI$1001,MATCH(ROWS($AH$2:AH234),$AH$2:$AH$1001,0),1)&gt;=100000,INDEX($AO$1005:$BQ$1005,1,MATCH(COLUMNS($AO$1006:AO1006),$AO$1006:$BQ$1006,0))&gt;=100000), " ",IF(INDEX($AO$2:$BQ$1001,MATCH(ROWS($AH$2:AH234),$AH$2:$AH$1001,0),MATCH(COLUMNS($AO$1006:AO1006),$AO$1006:$BQ$1006,0)), HYPERLINK("#",""), HYPERLINK(CONCATENATE("#Metadata!", ADDRESS(INDEX($AJ$2:$AJ$1001,MATCH(ROWS($AH$2:AH234),$AH$2:$AH$1001,0),0), INDEX($AO$1004:$BQ$1004,1,MATCH(COLUMNS($AO$1006:AO1006),$AO$1006:$BQ$1006,0)))),"Fix")))</f>
        <v>#N/A</v>
      </c>
      <c r="C234" s="5" t="e">
        <f ca="1">IF(OR(INDEX($AI$2:$AI$1001,MATCH(ROWS($AH$2:AH234),$AH$2:$AH$1001,0),1)&gt;=100000,INDEX($AO$1005:$BQ$1005,1,MATCH(COLUMNS($AO$1006:AP1006),$AO$1006:$BQ$1006,0))&gt;=100000), " ",IF(INDEX($AO$2:$BQ$1001,MATCH(ROWS($AH$2:AH234),$AH$2:$AH$1001,0),MATCH(COLUMNS($AO$1006:AP1006),$AO$1006:$BQ$1006,0)), HYPERLINK("#",""), HYPERLINK(CONCATENATE("#Metadata!", ADDRESS(INDEX($AJ$2:$AJ$1001,MATCH(ROWS($AH$2:AH234),$AH$2:$AH$1001,0),0), INDEX($AO$1004:$BQ$1004,1,MATCH(COLUMNS($AO$1006:AP1006),$AO$1006:$BQ$1006,0)))),"Fix")))</f>
        <v>#N/A</v>
      </c>
      <c r="D234" s="5" t="e">
        <f ca="1">IF(OR(INDEX($AI$2:$AI$1001,MATCH(ROWS($AH$2:AH234),$AH$2:$AH$1001,0),1)&gt;=100000,INDEX($AO$1005:$BQ$1005,1,MATCH(COLUMNS($AO$1006:AQ1006),$AO$1006:$BQ$1006,0))&gt;=100000), " ",IF(INDEX($AO$2:$BQ$1001,MATCH(ROWS($AH$2:AH234),$AH$2:$AH$1001,0),MATCH(COLUMNS($AO$1006:AQ1006),$AO$1006:$BQ$1006,0)), HYPERLINK("#",""), HYPERLINK(CONCATENATE("#Metadata!", ADDRESS(INDEX($AJ$2:$AJ$1001,MATCH(ROWS($AH$2:AH234),$AH$2:$AH$1001,0),0), INDEX($AO$1004:$BQ$1004,1,MATCH(COLUMNS($AO$1006:AQ1006),$AO$1006:$BQ$1006,0)))),"Fix")))</f>
        <v>#N/A</v>
      </c>
      <c r="E234" s="5" t="e">
        <f ca="1">IF(OR(INDEX($AI$2:$AI$1001,MATCH(ROWS($AH$2:AH234),$AH$2:$AH$1001,0),1)&gt;=100000,INDEX($AO$1005:$BQ$1005,1,MATCH(COLUMNS($AO$1006:AR1006),$AO$1006:$BQ$1006,0))&gt;=100000), " ",IF(INDEX($AO$2:$BQ$1001,MATCH(ROWS($AH$2:AH234),$AH$2:$AH$1001,0),MATCH(COLUMNS($AO$1006:AR1006),$AO$1006:$BQ$1006,0)), HYPERLINK("#",""), HYPERLINK(CONCATENATE("#Metadata!", ADDRESS(INDEX($AJ$2:$AJ$1001,MATCH(ROWS($AH$2:AH234),$AH$2:$AH$1001,0),0), INDEX($AO$1004:$BQ$1004,1,MATCH(COLUMNS($AO$1006:AR1006),$AO$1006:$BQ$1006,0)))),"Fix")))</f>
        <v>#N/A</v>
      </c>
      <c r="F234" s="5" t="e">
        <f ca="1">IF(OR(INDEX($AI$2:$AI$1001,MATCH(ROWS($AH$2:AH234),$AH$2:$AH$1001,0),1)&gt;=100000,INDEX($AO$1005:$BQ$1005,1,MATCH(COLUMNS($AO$1006:AS1006),$AO$1006:$BQ$1006,0))&gt;=100000), " ",IF(INDEX($AO$2:$BQ$1001,MATCH(ROWS($AH$2:AH234),$AH$2:$AH$1001,0),MATCH(COLUMNS($AO$1006:AS1006),$AO$1006:$BQ$1006,0)), HYPERLINK("#",""), HYPERLINK(CONCATENATE("#Metadata!", ADDRESS(INDEX($AJ$2:$AJ$1001,MATCH(ROWS($AH$2:AH234),$AH$2:$AH$1001,0),0), INDEX($AO$1004:$BQ$1004,1,MATCH(COLUMNS($AO$1006:AS1006),$AO$1006:$BQ$1006,0)))),"Fix")))</f>
        <v>#N/A</v>
      </c>
      <c r="G234" s="5" t="e">
        <f ca="1">IF(OR(INDEX($AI$2:$AI$1001,MATCH(ROWS($AH$2:AH234),$AH$2:$AH$1001,0),1)&gt;=100000,INDEX($AO$1005:$BQ$1005,1,MATCH(COLUMNS($AO$1006:AT1006),$AO$1006:$BQ$1006,0))&gt;=100000), " ",IF(INDEX($AO$2:$BQ$1001,MATCH(ROWS($AH$2:AH234),$AH$2:$AH$1001,0),MATCH(COLUMNS($AO$1006:AT1006),$AO$1006:$BQ$1006,0)), HYPERLINK("#",""), HYPERLINK(CONCATENATE("#Metadata!", ADDRESS(INDEX($AJ$2:$AJ$1001,MATCH(ROWS($AH$2:AH234),$AH$2:$AH$1001,0),0), INDEX($AO$1004:$BQ$1004,1,MATCH(COLUMNS($AO$1006:AT1006),$AO$1006:$BQ$1006,0)))),"Fix")))</f>
        <v>#N/A</v>
      </c>
      <c r="H234" s="5" t="e">
        <f ca="1">IF(OR(INDEX($AI$2:$AI$1001,MATCH(ROWS($AH$2:AH234),$AH$2:$AH$1001,0),1)&gt;=100000,INDEX($AO$1005:$BQ$1005,1,MATCH(COLUMNS($AO$1006:AU1006),$AO$1006:$BQ$1006,0))&gt;=100000), " ",IF(INDEX($AO$2:$BQ$1001,MATCH(ROWS($AH$2:AH234),$AH$2:$AH$1001,0),MATCH(COLUMNS($AO$1006:AU1006),$AO$1006:$BQ$1006,0)), HYPERLINK("#",""), HYPERLINK(CONCATENATE("#Metadata!", ADDRESS(INDEX($AJ$2:$AJ$1001,MATCH(ROWS($AH$2:AH234),$AH$2:$AH$1001,0),0), INDEX($AO$1004:$BQ$1004,1,MATCH(COLUMNS($AO$1006:AU1006),$AO$1006:$BQ$1006,0)))),"Fix")))</f>
        <v>#N/A</v>
      </c>
      <c r="I234" s="5" t="e">
        <f ca="1">IF(OR(INDEX($AI$2:$AI$1001,MATCH(ROWS($AH$2:AH234),$AH$2:$AH$1001,0),1)&gt;=100000,INDEX($AO$1005:$BQ$1005,1,MATCH(COLUMNS($AO$1006:AV1006),$AO$1006:$BQ$1006,0))&gt;=100000), " ",IF(INDEX($AO$2:$BQ$1001,MATCH(ROWS($AH$2:AH234),$AH$2:$AH$1001,0),MATCH(COLUMNS($AO$1006:AV1006),$AO$1006:$BQ$1006,0)), HYPERLINK("#",""), HYPERLINK(CONCATENATE("#Metadata!", ADDRESS(INDEX($AJ$2:$AJ$1001,MATCH(ROWS($AH$2:AH234),$AH$2:$AH$1001,0),0), INDEX($AO$1004:$BQ$1004,1,MATCH(COLUMNS($AO$1006:AV1006),$AO$1006:$BQ$1006,0)))),"Fix")))</f>
        <v>#N/A</v>
      </c>
      <c r="J234" s="5" t="e">
        <f ca="1">IF(OR(INDEX($AI$2:$AI$1001,MATCH(ROWS($AH$2:AH234),$AH$2:$AH$1001,0),1)&gt;=100000,INDEX($AO$1005:$BQ$1005,1,MATCH(COLUMNS($AO$1006:AW1006),$AO$1006:$BQ$1006,0))&gt;=100000), " ",IF(INDEX($AO$2:$BQ$1001,MATCH(ROWS($AH$2:AH234),$AH$2:$AH$1001,0),MATCH(COLUMNS($AO$1006:AW1006),$AO$1006:$BQ$1006,0)), HYPERLINK("#",""), HYPERLINK(CONCATENATE("#Metadata!", ADDRESS(INDEX($AJ$2:$AJ$1001,MATCH(ROWS($AH$2:AH234),$AH$2:$AH$1001,0),0), INDEX($AO$1004:$BQ$1004,1,MATCH(COLUMNS($AO$1006:AW1006),$AO$1006:$BQ$1006,0)))),"Fix")))</f>
        <v>#N/A</v>
      </c>
      <c r="K234" s="5" t="e">
        <f ca="1">IF(OR(INDEX($AI$2:$AI$1001,MATCH(ROWS($AH$2:AH234),$AH$2:$AH$1001,0),1)&gt;=100000,INDEX($AO$1005:$BQ$1005,1,MATCH(COLUMNS($AO$1006:AX1006),$AO$1006:$BQ$1006,0))&gt;=100000), " ",IF(INDEX($AO$2:$BQ$1001,MATCH(ROWS($AH$2:AH234),$AH$2:$AH$1001,0),MATCH(COLUMNS($AO$1006:AX1006),$AO$1006:$BQ$1006,0)), HYPERLINK("#",""), HYPERLINK(CONCATENATE("#Metadata!", ADDRESS(INDEX($AJ$2:$AJ$1001,MATCH(ROWS($AH$2:AH234),$AH$2:$AH$1001,0),0), INDEX($AO$1004:$BQ$1004,1,MATCH(COLUMNS($AO$1006:AX1006),$AO$1006:$BQ$1006,0)))),"Fix")))</f>
        <v>#N/A</v>
      </c>
      <c r="L234" s="5" t="e">
        <f ca="1">IF(OR(INDEX($AI$2:$AI$1001,MATCH(ROWS($AH$2:AH234),$AH$2:$AH$1001,0),1)&gt;=100000,INDEX($AO$1005:$BQ$1005,1,MATCH(COLUMNS($AO$1006:AY1006),$AO$1006:$BQ$1006,0))&gt;=100000), " ",IF(INDEX($AO$2:$BQ$1001,MATCH(ROWS($AH$2:AH234),$AH$2:$AH$1001,0),MATCH(COLUMNS($AO$1006:AY1006),$AO$1006:$BQ$1006,0)), HYPERLINK("#",""), HYPERLINK(CONCATENATE("#Metadata!", ADDRESS(INDEX($AJ$2:$AJ$1001,MATCH(ROWS($AH$2:AH234),$AH$2:$AH$1001,0),0), INDEX($AO$1004:$BQ$1004,1,MATCH(COLUMNS($AO$1006:AY1006),$AO$1006:$BQ$1006,0)))),"Fix")))</f>
        <v>#N/A</v>
      </c>
      <c r="M234" s="5" t="e">
        <f ca="1">IF(OR(INDEX($AI$2:$AI$1001,MATCH(ROWS($AH$2:AH234),$AH$2:$AH$1001,0),1)&gt;=100000,INDEX($AO$1005:$BQ$1005,1,MATCH(COLUMNS($AO$1006:AZ1006),$AO$1006:$BQ$1006,0))&gt;=100000), " ",IF(INDEX($AO$2:$BQ$1001,MATCH(ROWS($AH$2:AH234),$AH$2:$AH$1001,0),MATCH(COLUMNS($AO$1006:AZ1006),$AO$1006:$BQ$1006,0)), HYPERLINK("#",""), HYPERLINK(CONCATENATE("#Metadata!", ADDRESS(INDEX($AJ$2:$AJ$1001,MATCH(ROWS($AH$2:AH234),$AH$2:$AH$1001,0),0), INDEX($AO$1004:$BQ$1004,1,MATCH(COLUMNS($AO$1006:AZ1006),$AO$1006:$BQ$1006,0)))),"Fix")))</f>
        <v>#N/A</v>
      </c>
      <c r="N234" s="5" t="e">
        <f ca="1">IF(OR(INDEX($AI$2:$AI$1001,MATCH(ROWS($AH$2:AH234),$AH$2:$AH$1001,0),1)&gt;=100000,INDEX($AO$1005:$BQ$1005,1,MATCH(COLUMNS($AO$1006:BA1006),$AO$1006:$BQ$1006,0))&gt;=100000), " ",IF(INDEX($AO$2:$BQ$1001,MATCH(ROWS($AH$2:AH234),$AH$2:$AH$1001,0),MATCH(COLUMNS($AO$1006:BA1006),$AO$1006:$BQ$1006,0)), HYPERLINK("#",""), HYPERLINK(CONCATENATE("#Metadata!", ADDRESS(INDEX($AJ$2:$AJ$1001,MATCH(ROWS($AH$2:AH234),$AH$2:$AH$1001,0),0), INDEX($AO$1004:$BQ$1004,1,MATCH(COLUMNS($AO$1006:BA1006),$AO$1006:$BQ$1006,0)))),"Fix")))</f>
        <v>#N/A</v>
      </c>
      <c r="O234" s="5" t="e">
        <f ca="1">IF(OR(INDEX($AI$2:$AI$1001,MATCH(ROWS($AH$2:AH234),$AH$2:$AH$1001,0),1)&gt;=100000,INDEX($AO$1005:$BQ$1005,1,MATCH(COLUMNS($AO$1006:BB1006),$AO$1006:$BQ$1006,0))&gt;=100000), " ",IF(INDEX($AO$2:$BQ$1001,MATCH(ROWS($AH$2:AH234),$AH$2:$AH$1001,0),MATCH(COLUMNS($AO$1006:BB1006),$AO$1006:$BQ$1006,0)), HYPERLINK("#",""), HYPERLINK(CONCATENATE("#Metadata!", ADDRESS(INDEX($AJ$2:$AJ$1001,MATCH(ROWS($AH$2:AH234),$AH$2:$AH$1001,0),0), INDEX($AO$1004:$BQ$1004,1,MATCH(COLUMNS($AO$1006:BB1006),$AO$1006:$BQ$1006,0)))),"Fix")))</f>
        <v>#N/A</v>
      </c>
      <c r="P234" s="5" t="e">
        <f ca="1">IF(OR(INDEX($AI$2:$AI$1001,MATCH(ROWS($AH$2:AH234),$AH$2:$AH$1001,0),1)&gt;=100000,INDEX($AO$1005:$BQ$1005,1,MATCH(COLUMNS($AO$1006:BC1006),$AO$1006:$BQ$1006,0))&gt;=100000), " ",IF(INDEX($AO$2:$BQ$1001,MATCH(ROWS($AH$2:AH234),$AH$2:$AH$1001,0),MATCH(COLUMNS($AO$1006:BC1006),$AO$1006:$BQ$1006,0)), HYPERLINK("#",""), HYPERLINK(CONCATENATE("#Metadata!", ADDRESS(INDEX($AJ$2:$AJ$1001,MATCH(ROWS($AH$2:AH234),$AH$2:$AH$1001,0),0), INDEX($AO$1004:$BQ$1004,1,MATCH(COLUMNS($AO$1006:BC1006),$AO$1006:$BQ$1006,0)))),"Fix")))</f>
        <v>#N/A</v>
      </c>
      <c r="Q234" s="5" t="e">
        <f ca="1">IF(OR(INDEX($AI$2:$AI$1001,MATCH(ROWS($AH$2:AH234),$AH$2:$AH$1001,0),1)&gt;=100000,INDEX($AO$1005:$BQ$1005,1,MATCH(COLUMNS($AO$1006:BD1006),$AO$1006:$BQ$1006,0))&gt;=100000), " ",IF(INDEX($AO$2:$BQ$1001,MATCH(ROWS($AH$2:AH234),$AH$2:$AH$1001,0),MATCH(COLUMNS($AO$1006:BD1006),$AO$1006:$BQ$1006,0)), HYPERLINK("#",""), HYPERLINK(CONCATENATE("#Metadata!", ADDRESS(INDEX($AJ$2:$AJ$1001,MATCH(ROWS($AH$2:AH234),$AH$2:$AH$1001,0),0), INDEX($AO$1004:$BQ$1004,1,MATCH(COLUMNS($AO$1006:BD1006),$AO$1006:$BQ$1006,0)))),"Fix")))</f>
        <v>#N/A</v>
      </c>
      <c r="R234" s="5" t="e">
        <f ca="1">IF(OR(INDEX($AI$2:$AI$1001,MATCH(ROWS($AH$2:AH234),$AH$2:$AH$1001,0),1)&gt;=100000,INDEX($AO$1005:$BQ$1005,1,MATCH(COLUMNS($AO$1006:BE1006),$AO$1006:$BQ$1006,0))&gt;=100000), " ",IF(INDEX($AO$2:$BQ$1001,MATCH(ROWS($AH$2:AH234),$AH$2:$AH$1001,0),MATCH(COLUMNS($AO$1006:BE1006),$AO$1006:$BQ$1006,0)), HYPERLINK("#",""), HYPERLINK(CONCATENATE("#Metadata!", ADDRESS(INDEX($AJ$2:$AJ$1001,MATCH(ROWS($AH$2:AH234),$AH$2:$AH$1001,0),0), INDEX($AO$1004:$BQ$1004,1,MATCH(COLUMNS($AO$1006:BE1006),$AO$1006:$BQ$1006,0)))),"Fix")))</f>
        <v>#N/A</v>
      </c>
      <c r="S234" s="5" t="e">
        <f ca="1">IF(OR(INDEX($AI$2:$AI$1001,MATCH(ROWS($AH$2:AH234),$AH$2:$AH$1001,0),1)&gt;=100000,INDEX($AO$1005:$BQ$1005,1,MATCH(COLUMNS($AO$1006:BF1006),$AO$1006:$BQ$1006,0))&gt;=100000), " ",IF(INDEX($AO$2:$BQ$1001,MATCH(ROWS($AH$2:AH234),$AH$2:$AH$1001,0),MATCH(COLUMNS($AO$1006:BF1006),$AO$1006:$BQ$1006,0)), HYPERLINK("#",""), HYPERLINK(CONCATENATE("#Metadata!", ADDRESS(INDEX($AJ$2:$AJ$1001,MATCH(ROWS($AH$2:AH234),$AH$2:$AH$1001,0),0), INDEX($AO$1004:$BQ$1004,1,MATCH(COLUMNS($AO$1006:BF1006),$AO$1006:$BQ$1006,0)))),"Fix")))</f>
        <v>#N/A</v>
      </c>
      <c r="T234" s="5" t="e">
        <f ca="1">IF(OR(INDEX($AI$2:$AI$1001,MATCH(ROWS($AH$2:AH234),$AH$2:$AH$1001,0),1)&gt;=100000,INDEX($AO$1005:$BQ$1005,1,MATCH(COLUMNS($AO$1006:BG1006),$AO$1006:$BQ$1006,0))&gt;=100000), " ",IF(INDEX($AO$2:$BQ$1001,MATCH(ROWS($AH$2:AH234),$AH$2:$AH$1001,0),MATCH(COLUMNS($AO$1006:BG1006),$AO$1006:$BQ$1006,0)), HYPERLINK("#",""), HYPERLINK(CONCATENATE("#Metadata!", ADDRESS(INDEX($AJ$2:$AJ$1001,MATCH(ROWS($AH$2:AH234),$AH$2:$AH$1001,0),0), INDEX($AO$1004:$BQ$1004,1,MATCH(COLUMNS($AO$1006:BG1006),$AO$1006:$BQ$1006,0)))),"Fix")))</f>
        <v>#N/A</v>
      </c>
      <c r="U234" s="5" t="e">
        <f ca="1">IF(OR(INDEX($AI$2:$AI$1001,MATCH(ROWS($AH$2:AH234),$AH$2:$AH$1001,0),1)&gt;=100000,INDEX($AO$1005:$BQ$1005,1,MATCH(COLUMNS($AO$1006:BH1006),$AO$1006:$BQ$1006,0))&gt;=100000), " ",IF(INDEX($AO$2:$BQ$1001,MATCH(ROWS($AH$2:AH234),$AH$2:$AH$1001,0),MATCH(COLUMNS($AO$1006:BH1006),$AO$1006:$BQ$1006,0)), HYPERLINK("#",""), HYPERLINK(CONCATENATE("#Metadata!", ADDRESS(INDEX($AJ$2:$AJ$1001,MATCH(ROWS($AH$2:AH234),$AH$2:$AH$1001,0),0), INDEX($AO$1004:$BQ$1004,1,MATCH(COLUMNS($AO$1006:BH1006),$AO$1006:$BQ$1006,0)))),"Fix")))</f>
        <v>#N/A</v>
      </c>
      <c r="V234" s="5" t="e">
        <f ca="1">IF(OR(INDEX($AI$2:$AI$1001,MATCH(ROWS($AH$2:AH234),$AH$2:$AH$1001,0),1)&gt;=100000,INDEX($AO$1005:$BQ$1005,1,MATCH(COLUMNS($AO$1006:BI1006),$AO$1006:$BQ$1006,0))&gt;=100000), " ",IF(INDEX($AO$2:$BQ$1001,MATCH(ROWS($AH$2:AH234),$AH$2:$AH$1001,0),MATCH(COLUMNS($AO$1006:BI1006),$AO$1006:$BQ$1006,0)), HYPERLINK("#",""), HYPERLINK(CONCATENATE("#Metadata!", ADDRESS(INDEX($AJ$2:$AJ$1001,MATCH(ROWS($AH$2:AH234),$AH$2:$AH$1001,0),0), INDEX($AO$1004:$BQ$1004,1,MATCH(COLUMNS($AO$1006:BI1006),$AO$1006:$BQ$1006,0)))),"Fix")))</f>
        <v>#N/A</v>
      </c>
      <c r="W234" s="5" t="e">
        <f ca="1">IF(OR(INDEX($AI$2:$AI$1001,MATCH(ROWS($AH$2:AH234),$AH$2:$AH$1001,0),1)&gt;=100000,INDEX($AO$1005:$BQ$1005,1,MATCH(COLUMNS($AO$1006:BJ1006),$AO$1006:$BQ$1006,0))&gt;=100000), " ",IF(INDEX($AO$2:$BQ$1001,MATCH(ROWS($AH$2:AH234),$AH$2:$AH$1001,0),MATCH(COLUMNS($AO$1006:BJ1006),$AO$1006:$BQ$1006,0)), HYPERLINK("#",""), HYPERLINK(CONCATENATE("#Metadata!", ADDRESS(INDEX($AJ$2:$AJ$1001,MATCH(ROWS($AH$2:AH234),$AH$2:$AH$1001,0),0), INDEX($AO$1004:$BQ$1004,1,MATCH(COLUMNS($AO$1006:BJ1006),$AO$1006:$BQ$1006,0)))),"Fix")))</f>
        <v>#N/A</v>
      </c>
      <c r="X234" s="5" t="e">
        <f ca="1">IF(OR(INDEX($AI$2:$AI$1001,MATCH(ROWS($AH$2:AH234),$AH$2:$AH$1001,0),1)&gt;=100000,INDEX($AO$1005:$BQ$1005,1,MATCH(COLUMNS($AO$1006:BK1006),$AO$1006:$BQ$1006,0))&gt;=100000), " ",IF(INDEX($AO$2:$BQ$1001,MATCH(ROWS($AH$2:AH234),$AH$2:$AH$1001,0),MATCH(COLUMNS($AO$1006:BK1006),$AO$1006:$BQ$1006,0)), HYPERLINK("#",""), HYPERLINK(CONCATENATE("#Metadata!", ADDRESS(INDEX($AJ$2:$AJ$1001,MATCH(ROWS($AH$2:AH234),$AH$2:$AH$1001,0),0), INDEX($AO$1004:$BQ$1004,1,MATCH(COLUMNS($AO$1006:BK1006),$AO$1006:$BQ$1006,0)))),"Fix")))</f>
        <v>#N/A</v>
      </c>
      <c r="Y234" s="5" t="e">
        <f ca="1">IF(OR(INDEX($AI$2:$AI$1001,MATCH(ROWS($AH$2:AH234),$AH$2:$AH$1001,0),1)&gt;=100000,INDEX($AO$1005:$BQ$1005,1,MATCH(COLUMNS($AO$1006:BL1006),$AO$1006:$BQ$1006,0))&gt;=100000), " ",IF(INDEX($AO$2:$BQ$1001,MATCH(ROWS($AH$2:AH234),$AH$2:$AH$1001,0),MATCH(COLUMNS($AO$1006:BL1006),$AO$1006:$BQ$1006,0)), HYPERLINK("#",""), HYPERLINK(CONCATENATE("#Metadata!", ADDRESS(INDEX($AJ$2:$AJ$1001,MATCH(ROWS($AH$2:AH234),$AH$2:$AH$1001,0),0), INDEX($AO$1004:$BQ$1004,1,MATCH(COLUMNS($AO$1006:BL1006),$AO$1006:$BQ$1006,0)))),"Fix")))</f>
        <v>#N/A</v>
      </c>
      <c r="Z234" s="5" t="e">
        <f ca="1">IF(OR(INDEX($AI$2:$AI$1001,MATCH(ROWS($AH$2:AH234),$AH$2:$AH$1001,0),1)&gt;=100000,INDEX($AO$1005:$BQ$1005,1,MATCH(COLUMNS($AO$1006:BM1006),$AO$1006:$BQ$1006,0))&gt;=100000), " ",IF(INDEX($AO$2:$BQ$1001,MATCH(ROWS($AH$2:AH234),$AH$2:$AH$1001,0),MATCH(COLUMNS($AO$1006:BM1006),$AO$1006:$BQ$1006,0)), HYPERLINK("#",""), HYPERLINK(CONCATENATE("#Metadata!", ADDRESS(INDEX($AJ$2:$AJ$1001,MATCH(ROWS($AH$2:AH234),$AH$2:$AH$1001,0),0), INDEX($AO$1004:$BQ$1004,1,MATCH(COLUMNS($AO$1006:BM1006),$AO$1006:$BQ$1006,0)))),"Fix")))</f>
        <v>#N/A</v>
      </c>
      <c r="AA234" s="5" t="e">
        <f ca="1">IF(OR(INDEX($AI$2:$AI$1001,MATCH(ROWS($AH$2:AH234),$AH$2:$AH$1001,0),1)&gt;=100000,INDEX($AO$1005:$BQ$1005,1,MATCH(COLUMNS($AO$1006:BN1006),$AO$1006:$BQ$1006,0))&gt;=100000), " ",IF(INDEX($AO$2:$BQ$1001,MATCH(ROWS($AH$2:AH234),$AH$2:$AH$1001,0),MATCH(COLUMNS($AO$1006:BN1006),$AO$1006:$BQ$1006,0)), HYPERLINK("#",""), HYPERLINK(CONCATENATE("#Metadata!", ADDRESS(INDEX($AJ$2:$AJ$1001,MATCH(ROWS($AH$2:AH234),$AH$2:$AH$1001,0),0), INDEX($AO$1004:$BQ$1004,1,MATCH(COLUMNS($AO$1006:BN1006),$AO$1006:$BQ$1006,0)))),"Fix")))</f>
        <v>#N/A</v>
      </c>
      <c r="AB234" s="5" t="e">
        <f ca="1">IF(OR(INDEX($AI$2:$AI$1001,MATCH(ROWS($AH$2:AH234),$AH$2:$AH$1001,0),1)&gt;=100000,INDEX($AO$1005:$BQ$1005,1,MATCH(COLUMNS($AO$1006:BO1006),$AO$1006:$BQ$1006,0))&gt;=100000), " ",IF(INDEX($AO$2:$BQ$1001,MATCH(ROWS($AH$2:AH234),$AH$2:$AH$1001,0),MATCH(COLUMNS($AO$1006:BO1006),$AO$1006:$BQ$1006,0)), HYPERLINK("#",""), HYPERLINK(CONCATENATE("#Metadata!", ADDRESS(INDEX($AJ$2:$AJ$1001,MATCH(ROWS($AH$2:AH234),$AH$2:$AH$1001,0),0), INDEX($AO$1004:$BQ$1004,1,MATCH(COLUMNS($AO$1006:BO1006),$AO$1006:$BQ$1006,0)))),"Fix")))</f>
        <v>#N/A</v>
      </c>
      <c r="AC234" s="5" t="e">
        <f ca="1">IF(OR(INDEX($AI$2:$AI$1001,MATCH(ROWS($AH$2:AH234),$AH$2:$AH$1001,0),1)&gt;=100000,INDEX($AO$1005:$BQ$1005,1,MATCH(COLUMNS($AO$1006:BP1006),$AO$1006:$BQ$1006,0))&gt;=100000), " ",IF(INDEX($AO$2:$BQ$1001,MATCH(ROWS($AH$2:AH234),$AH$2:$AH$1001,0),MATCH(COLUMNS($AO$1006:BP1006),$AO$1006:$BQ$1006,0)), HYPERLINK("#",""), HYPERLINK(CONCATENATE("#Metadata!", ADDRESS(INDEX($AJ$2:$AJ$1001,MATCH(ROWS($AH$2:AH234),$AH$2:$AH$1001,0),0), INDEX($AO$1004:$BQ$1004,1,MATCH(COLUMNS($AO$1006:BP1006),$AO$1006:$BQ$1006,0)))),"Fix")))</f>
        <v>#N/A</v>
      </c>
      <c r="AD234" s="5" t="e">
        <f ca="1">IF(OR(INDEX($AI$2:$AI$1001,MATCH(ROWS($AH$2:AH234),$AH$2:$AH$1001,0),1)&gt;=100000,INDEX($AO$1005:$BQ$1005,1,MATCH(COLUMNS($AO$1006:BQ1006),$AO$1006:$BQ$1006,0))&gt;=100000), " ",IF(INDEX($AO$2:$BQ$1001,MATCH(ROWS($AH$2:AH234),$AH$2:$AH$1001,0),MATCH(COLUMNS($AO$1006:BQ1006),$AO$1006:$BQ$1006,0)), HYPERLINK("#",""), HYPERLINK(CONCATENATE("#Metadata!", ADDRESS(INDEX($AJ$2:$AJ$1001,MATCH(ROWS($AH$2:AH234),$AH$2:$AH$1001,0),0), INDEX($AO$1004:$BQ$1004,1,MATCH(COLUMNS($AO$1006:BQ1006),$AO$1006:$BQ$1006,0)))),"Fix")))</f>
        <v>#REF!</v>
      </c>
      <c r="AH234">
        <f ca="1"/>
        <v>231</v>
      </c>
      <c r="AI234">
        <v>100234</v>
      </c>
      <c r="AJ234">
        <v>234</v>
      </c>
      <c r="AK234" t="b">
        <f t="shared" si="3"/>
        <v>1</v>
      </c>
      <c r="AL234" t="b">
        <f>COUNTBLANK(Metadata!B234:AD234)=COLUMNS(Metadata!B234:AD234)</f>
        <v>1</v>
      </c>
      <c r="AM234" t="str">
        <v/>
      </c>
      <c r="AO234" t="b">
        <f ca="1">AND(IF(Metadata!B234="",FALSE,TRUE),COUNTIF(Metadata!B:B, Metadata!B234) = 1,NOT(ISERROR(SUMPRODUCT(SEARCH(MID(Metadata!B234,ROW(INDIRECT("1:"&amp;LEN(Metadata!B234))), 1),"0123456789abcdefghijklmnopqrstuvwxyzABCDEFGHIJKLMNOPQRSTUVWXYZ.")))))</f>
        <v>0</v>
      </c>
      <c r="AP234" t="b">
        <f>IF(Metadata!C234="",FALSE,TRUE)</f>
        <v>0</v>
      </c>
      <c r="AQ234" t="b">
        <f>IF(Metadata!D234="",FALSE,TRUE)</f>
        <v>0</v>
      </c>
      <c r="AR234" t="b">
        <f ca="1">OR(AND(IF(Metadata!E234="",FALSE,TRUE),OR(EXACT(Metadata!E234,"not collected"),EXACT(Metadata!E234,"not provided"),EXACT(Metadata!E234,"restricted access"))),AND(IF(Metadata!E234="",FALSE,TRUE),AND(AND(IFERROR(INT(LEFT(Metadata!E234,4))&gt;1900,FALSE),IFERROR(INT(LEFT(Metadata!E234,4))&lt;=YEAR(NOW()),FALSE)), OR(MID(Metadata!E234,5,1)="", AND(AND(MID(Metadata!E234,5,1)="-",IFERROR(INT(MID(Metadata!E234,6,1))&gt;=0,FALSE),IFERROR(INT(MID(Metadata!E234,6,1))&lt;=1,FALSE),NOT(MID(Metadata!E234,7,1)=""),IFERROR(INT(MID(Metadata!E234,6,2))&gt;=1,FALSE),IFERROR(INT(MID(Metadata!E234,6,2))&lt;=12,FALSE)), OR(MID(Metadata!E234,8,1)="", AND(AND(MID(Metadata!E234,8,1)="-",IFERROR(INT(MID(Metadata!E234,9,1))&gt;=0,FALSE),IFERROR(INT(MID(Metadata!E234,9,1))&lt;=3,FALSE),NOT(MID(Metadata!E234,10,1)=""),IFERROR(INT(MID(Metadata!E234,9,2))&gt;=1,FALSE),IFERROR(INT(MID(Metadata!E234,9,2))&lt;=31,FALSE)), OR(MID(Metadata!E234,11,1)="", AND(AND(MID(Metadata!E234,11,1)=" ",IFERROR(INT(MID(Metadata!E234,12,1))&gt;=0,FALSE),IFERROR(INT(MID(Metadata!E234,12,1))&lt;=2,FALSE),NOT(MID(Metadata!E234,13,1)=""),IFERROR(INT(MID(Metadata!E234,12,2))&gt;=0,FALSE),IFERROR(INT(MID(Metadata!E234,12,2))&lt;=23,FALSE)), OR(MID(Metadata!E234,14,1)="", AND(AND(MID(Metadata!E234,14,1)=":",IFERROR(INT(MID(Metadata!E234,15,1))&gt;=0,FALSE),IFERROR(INT(MID(Metadata!E234,15,1))&lt;=5,FALSE),NOT(MID(Metadata!E234,16,1)=""),IFERROR(INT(MID(Metadata!E234,15,2))&gt;=0,FALSE),IFERROR(INT(MID(Metadata!E234,15,2))&lt;=59,FALSE)), OR(MID(Metadata!E234,17,1)="", AND(AND(MID(Metadata!E234,17,1)=":",IFERROR(INT(MID(Metadata!E234,18,1))&gt;=0,FALSE),IFERROR(INT(MID(Metadata!E234,18,1))&lt;=5,FALSE),NOT(MID(Metadata!E234,19,1)=""),IFERROR(INT(MID(Metadata!E234,18,2))&gt;=0,FALSE),IFERROR(INT(MID(Metadata!E234,18,2))&lt;=59,FALSE)), LEN(Metadata!E234)&lt;=19)))))))))))))</f>
        <v>0</v>
      </c>
      <c r="AS234" t="b">
        <f>IF(Metadata!F234="",FALSE,TRUE)</f>
        <v>0</v>
      </c>
      <c r="AT234" t="b">
        <f>OR(AND(IF(Metadata!G234="",FALSE,TRUE),OR(EXACT(Metadata!G234,"not collected"),EXACT(Metadata!G234,"not provided"))),AND(IF(Metadata!G234="",FALSE,TRUE),OR(EXACT(Metadata!G234,"TRUE"),EXACT(Metadata!G234,"FALSE"))))</f>
        <v>0</v>
      </c>
      <c r="AU234" t="b">
        <f>OR(AND(IF(Metadata!H234="",FALSE,TRUE),OR(EXACT(Metadata!H234,"not collected"),EXACT(Metadata!H234,"not provided"),EXACT(Metadata!H234,"restricted access"))),AND(IF(Metadata!H234="",FALSE,ISNUMBER(VALUE(Metadata!H234))),Metadata!H234&gt;=-413))</f>
        <v>0</v>
      </c>
      <c r="AV234" t="b">
        <f>AND(IF(Metadata!I234="",FALSE,TRUE),EXACT(Metadata!I234,"meters"))</f>
        <v>0</v>
      </c>
      <c r="AW234" t="b">
        <f>AND(IF(Metadata!J234="",FALSE,TRUE),EXACT(Metadata!J234,"free-living"))</f>
        <v>0</v>
      </c>
      <c r="AX234" t="b">
        <f>AND(IF(Metadata!K234="",FALSE,TRUE),OR(EXACT(Metadata!K234,"saline"),EXACT(Metadata!K234,"non-saline")))</f>
        <v>0</v>
      </c>
      <c r="AY234" t="b">
        <f>AND(IF(Metadata!L234="",FALSE,TRUE),OR(EXACT(Metadata!L234,"sub-surface (non-saline)"),EXACT(Metadata!L234,"surface (non-saline)"),EXACT(Metadata!L234,"water (non-saline)"),EXACT(Metadata!L234,"soil (non-saline)"),EXACT(Metadata!L234,"aerosol (non-saline)"),EXACT(Metadata!L234,"sediment (non-saline)"),EXACT(Metadata!L234,"surface (saline)"),EXACT(Metadata!L234,"water (saline)"),EXACT(Metadata!L234,"hypersaline (saline)"),EXACT(Metadata!L234,"aerosol (saline)"),EXACT(Metadata!L234,"sediment (saline)")))</f>
        <v>0</v>
      </c>
      <c r="AZ234" t="b">
        <f>IF(Metadata!M234="",FALSE,TRUE)</f>
        <v>0</v>
      </c>
      <c r="BA234" t="b">
        <f>IF(Metadata!N234="",FALSE,TRUE)</f>
        <v>0</v>
      </c>
      <c r="BB234" t="b">
        <f>IF(Metadata!O234="",FALSE,TRUE)</f>
        <v>0</v>
      </c>
      <c r="BC234" t="b">
        <f>AND(IF(Metadata!P234="",FALSE,TRUE),OR(EXACT(Metadata!P234,"air"),EXACT(Metadata!P234,"microbial mat/biofilm"),EXACT(Metadata!P234,"misc environment"),EXACT(Metadata!P234,"sediment"),EXACT(Metadata!P234,"soil"),EXACT(Metadata!P234,"wastewater/sludge"),EXACT(Metadata!P234,"water")))</f>
        <v>0</v>
      </c>
      <c r="BD234" t="b">
        <f>IF(Metadata!Q234="",FALSE,TRUE)</f>
        <v>0</v>
      </c>
      <c r="BE234" t="b">
        <f>IF(Metadata!R234="",FALSE,TRUE)</f>
        <v>0</v>
      </c>
      <c r="BF234" t="b">
        <f>OR(AND(IF(Metadata!S234="",FALSE,TRUE),OR(EXACT(Metadata!S234,"not collected"),EXACT(Metadata!S234,"not provided"),EXACT(Metadata!S234,"restricted access"))),AND(IF(Metadata!S234="",FALSE,ISNUMBER(VALUE(Metadata!S234))),Metadata!S234&gt;=-90,Metadata!S234&lt;=90))</f>
        <v>0</v>
      </c>
      <c r="BG234" t="b">
        <f>AND(IF(Metadata!T234="",FALSE,TRUE),EXACT(Metadata!T234,"Decimal degrees"))</f>
        <v>0</v>
      </c>
      <c r="BH234" t="b">
        <f>OR(AND(IF(Metadata!U234="",FALSE,TRUE),OR(EXACT(Metadata!U234,"not applicable"),EXACT(Metadata!U234,"not collected"))),IF(Metadata!U234="",FALSE,TRUE))</f>
        <v>0</v>
      </c>
      <c r="BI234" t="b">
        <f>OR(AND(IF(Metadata!V234="",FALSE,TRUE),OR(EXACT(Metadata!V234,"not collected"),EXACT(Metadata!V234,"not provided"),EXACT(Metadata!V234,"restricted access"))),AND(IF(Metadata!V234="",FALSE,ISNUMBER(VALUE(Metadata!V234))),Metadata!V234&gt;=-180,Metadata!V234&lt;=180))</f>
        <v>0</v>
      </c>
      <c r="BJ234" t="b">
        <f>AND(IF(Metadata!W234="",FALSE,TRUE),EXACT(Metadata!W234,"Decimal degrees"))</f>
        <v>0</v>
      </c>
      <c r="BK234" t="b">
        <f>IF(Metadata!X234="",FALSE,TRUE)</f>
        <v>0</v>
      </c>
      <c r="BL234" t="b">
        <f>OR(AND(IF(Metadata!Y234="",FALSE,TRUE),OR(EXACT(Metadata!Y234,"not collected"),EXACT(Metadata!Y234,"not provided"),EXACT(Metadata!Y234,"restricted access"))),AND(IF(Metadata!Y234="",FALSE,TRUE),OR(EXACT(Metadata!Y234,"TRUE"),EXACT(Metadata!Y234,"FALSE"))))</f>
        <v>0</v>
      </c>
      <c r="BM234" t="b">
        <f>OR(AND(IF(Metadata!Z234="",FALSE,TRUE),EXACT(Metadata!Z234,"not applicable")),AND(IF(Metadata!Z234="",FALSE,TRUE),OR(EXACT(Metadata!Z234,"beer"),EXACT(Metadata!Z234,"cheese"),EXACT(Metadata!Z234,"fresh water"),EXACT(Metadata!Z234,"marine sediment"),EXACT(Metadata!Z234,"sea water"),EXACT(Metadata!Z234,"sediment"),EXACT(Metadata!Z234,"soil"),EXACT(Metadata!Z234,"waste water"))))</f>
        <v>0</v>
      </c>
      <c r="BN234" t="b">
        <f>AND(IF(Metadata!AA234="",FALSE,TRUE),EXACT(Metadata!AA234,"metagenome"))</f>
        <v>0</v>
      </c>
      <c r="BO234" t="b">
        <f>AND(IF(Metadata!AB234="",FALSE,TRUE),EXACT(Metadata!AB234,"256318"))</f>
        <v>0</v>
      </c>
      <c r="BP234" t="b">
        <f>IF(Metadata!AC234="",FALSE,TRUE)</f>
        <v>0</v>
      </c>
      <c r="BQ234" t="b">
        <f>IF(Metadata!AD234="",FALSE,TRUE)</f>
        <v>0</v>
      </c>
    </row>
    <row r="235" spans="1:69" x14ac:dyDescent="0.2">
      <c r="A235" s="4" t="e">
        <f ca="1">IF(B235=" "," ",HYPERLINK(CONCATENATE("#metadata!",ADDRESS(INDEX($AJ$2:$AJ$1001,MATCH(ROWS($AH$2:AH235),$AH$2:$AH$1001,0),0),2)),INDEX($AM$2:$AM$1001,MATCH(ROWS($AH$2:AH235),$AH$2:$AH$1001,0),0)))</f>
        <v>#N/A</v>
      </c>
      <c r="B235" s="5" t="e">
        <f ca="1">IF(OR(INDEX($AI$2:$AI$1001,MATCH(ROWS($AH$2:AH235),$AH$2:$AH$1001,0),1)&gt;=100000,INDEX($AO$1005:$BQ$1005,1,MATCH(COLUMNS($AO$1006:AO1006),$AO$1006:$BQ$1006,0))&gt;=100000), " ",IF(INDEX($AO$2:$BQ$1001,MATCH(ROWS($AH$2:AH235),$AH$2:$AH$1001,0),MATCH(COLUMNS($AO$1006:AO1006),$AO$1006:$BQ$1006,0)), HYPERLINK("#",""), HYPERLINK(CONCATENATE("#Metadata!", ADDRESS(INDEX($AJ$2:$AJ$1001,MATCH(ROWS($AH$2:AH235),$AH$2:$AH$1001,0),0), INDEX($AO$1004:$BQ$1004,1,MATCH(COLUMNS($AO$1006:AO1006),$AO$1006:$BQ$1006,0)))),"Fix")))</f>
        <v>#N/A</v>
      </c>
      <c r="C235" s="5" t="e">
        <f ca="1">IF(OR(INDEX($AI$2:$AI$1001,MATCH(ROWS($AH$2:AH235),$AH$2:$AH$1001,0),1)&gt;=100000,INDEX($AO$1005:$BQ$1005,1,MATCH(COLUMNS($AO$1006:AP1006),$AO$1006:$BQ$1006,0))&gt;=100000), " ",IF(INDEX($AO$2:$BQ$1001,MATCH(ROWS($AH$2:AH235),$AH$2:$AH$1001,0),MATCH(COLUMNS($AO$1006:AP1006),$AO$1006:$BQ$1006,0)), HYPERLINK("#",""), HYPERLINK(CONCATENATE("#Metadata!", ADDRESS(INDEX($AJ$2:$AJ$1001,MATCH(ROWS($AH$2:AH235),$AH$2:$AH$1001,0),0), INDEX($AO$1004:$BQ$1004,1,MATCH(COLUMNS($AO$1006:AP1006),$AO$1006:$BQ$1006,0)))),"Fix")))</f>
        <v>#N/A</v>
      </c>
      <c r="D235" s="5" t="e">
        <f ca="1">IF(OR(INDEX($AI$2:$AI$1001,MATCH(ROWS($AH$2:AH235),$AH$2:$AH$1001,0),1)&gt;=100000,INDEX($AO$1005:$BQ$1005,1,MATCH(COLUMNS($AO$1006:AQ1006),$AO$1006:$BQ$1006,0))&gt;=100000), " ",IF(INDEX($AO$2:$BQ$1001,MATCH(ROWS($AH$2:AH235),$AH$2:$AH$1001,0),MATCH(COLUMNS($AO$1006:AQ1006),$AO$1006:$BQ$1006,0)), HYPERLINK("#",""), HYPERLINK(CONCATENATE("#Metadata!", ADDRESS(INDEX($AJ$2:$AJ$1001,MATCH(ROWS($AH$2:AH235),$AH$2:$AH$1001,0),0), INDEX($AO$1004:$BQ$1004,1,MATCH(COLUMNS($AO$1006:AQ1006),$AO$1006:$BQ$1006,0)))),"Fix")))</f>
        <v>#N/A</v>
      </c>
      <c r="E235" s="5" t="e">
        <f ca="1">IF(OR(INDEX($AI$2:$AI$1001,MATCH(ROWS($AH$2:AH235),$AH$2:$AH$1001,0),1)&gt;=100000,INDEX($AO$1005:$BQ$1005,1,MATCH(COLUMNS($AO$1006:AR1006),$AO$1006:$BQ$1006,0))&gt;=100000), " ",IF(INDEX($AO$2:$BQ$1001,MATCH(ROWS($AH$2:AH235),$AH$2:$AH$1001,0),MATCH(COLUMNS($AO$1006:AR1006),$AO$1006:$BQ$1006,0)), HYPERLINK("#",""), HYPERLINK(CONCATENATE("#Metadata!", ADDRESS(INDEX($AJ$2:$AJ$1001,MATCH(ROWS($AH$2:AH235),$AH$2:$AH$1001,0),0), INDEX($AO$1004:$BQ$1004,1,MATCH(COLUMNS($AO$1006:AR1006),$AO$1006:$BQ$1006,0)))),"Fix")))</f>
        <v>#N/A</v>
      </c>
      <c r="F235" s="5" t="e">
        <f ca="1">IF(OR(INDEX($AI$2:$AI$1001,MATCH(ROWS($AH$2:AH235),$AH$2:$AH$1001,0),1)&gt;=100000,INDEX($AO$1005:$BQ$1005,1,MATCH(COLUMNS($AO$1006:AS1006),$AO$1006:$BQ$1006,0))&gt;=100000), " ",IF(INDEX($AO$2:$BQ$1001,MATCH(ROWS($AH$2:AH235),$AH$2:$AH$1001,0),MATCH(COLUMNS($AO$1006:AS1006),$AO$1006:$BQ$1006,0)), HYPERLINK("#",""), HYPERLINK(CONCATENATE("#Metadata!", ADDRESS(INDEX($AJ$2:$AJ$1001,MATCH(ROWS($AH$2:AH235),$AH$2:$AH$1001,0),0), INDEX($AO$1004:$BQ$1004,1,MATCH(COLUMNS($AO$1006:AS1006),$AO$1006:$BQ$1006,0)))),"Fix")))</f>
        <v>#N/A</v>
      </c>
      <c r="G235" s="5" t="e">
        <f ca="1">IF(OR(INDEX($AI$2:$AI$1001,MATCH(ROWS($AH$2:AH235),$AH$2:$AH$1001,0),1)&gt;=100000,INDEX($AO$1005:$BQ$1005,1,MATCH(COLUMNS($AO$1006:AT1006),$AO$1006:$BQ$1006,0))&gt;=100000), " ",IF(INDEX($AO$2:$BQ$1001,MATCH(ROWS($AH$2:AH235),$AH$2:$AH$1001,0),MATCH(COLUMNS($AO$1006:AT1006),$AO$1006:$BQ$1006,0)), HYPERLINK("#",""), HYPERLINK(CONCATENATE("#Metadata!", ADDRESS(INDEX($AJ$2:$AJ$1001,MATCH(ROWS($AH$2:AH235),$AH$2:$AH$1001,0),0), INDEX($AO$1004:$BQ$1004,1,MATCH(COLUMNS($AO$1006:AT1006),$AO$1006:$BQ$1006,0)))),"Fix")))</f>
        <v>#N/A</v>
      </c>
      <c r="H235" s="5" t="e">
        <f ca="1">IF(OR(INDEX($AI$2:$AI$1001,MATCH(ROWS($AH$2:AH235),$AH$2:$AH$1001,0),1)&gt;=100000,INDEX($AO$1005:$BQ$1005,1,MATCH(COLUMNS($AO$1006:AU1006),$AO$1006:$BQ$1006,0))&gt;=100000), " ",IF(INDEX($AO$2:$BQ$1001,MATCH(ROWS($AH$2:AH235),$AH$2:$AH$1001,0),MATCH(COLUMNS($AO$1006:AU1006),$AO$1006:$BQ$1006,0)), HYPERLINK("#",""), HYPERLINK(CONCATENATE("#Metadata!", ADDRESS(INDEX($AJ$2:$AJ$1001,MATCH(ROWS($AH$2:AH235),$AH$2:$AH$1001,0),0), INDEX($AO$1004:$BQ$1004,1,MATCH(COLUMNS($AO$1006:AU1006),$AO$1006:$BQ$1006,0)))),"Fix")))</f>
        <v>#N/A</v>
      </c>
      <c r="I235" s="5" t="e">
        <f ca="1">IF(OR(INDEX($AI$2:$AI$1001,MATCH(ROWS($AH$2:AH235),$AH$2:$AH$1001,0),1)&gt;=100000,INDEX($AO$1005:$BQ$1005,1,MATCH(COLUMNS($AO$1006:AV1006),$AO$1006:$BQ$1006,0))&gt;=100000), " ",IF(INDEX($AO$2:$BQ$1001,MATCH(ROWS($AH$2:AH235),$AH$2:$AH$1001,0),MATCH(COLUMNS($AO$1006:AV1006),$AO$1006:$BQ$1006,0)), HYPERLINK("#",""), HYPERLINK(CONCATENATE("#Metadata!", ADDRESS(INDEX($AJ$2:$AJ$1001,MATCH(ROWS($AH$2:AH235),$AH$2:$AH$1001,0),0), INDEX($AO$1004:$BQ$1004,1,MATCH(COLUMNS($AO$1006:AV1006),$AO$1006:$BQ$1006,0)))),"Fix")))</f>
        <v>#N/A</v>
      </c>
      <c r="J235" s="5" t="e">
        <f ca="1">IF(OR(INDEX($AI$2:$AI$1001,MATCH(ROWS($AH$2:AH235),$AH$2:$AH$1001,0),1)&gt;=100000,INDEX($AO$1005:$BQ$1005,1,MATCH(COLUMNS($AO$1006:AW1006),$AO$1006:$BQ$1006,0))&gt;=100000), " ",IF(INDEX($AO$2:$BQ$1001,MATCH(ROWS($AH$2:AH235),$AH$2:$AH$1001,0),MATCH(COLUMNS($AO$1006:AW1006),$AO$1006:$BQ$1006,0)), HYPERLINK("#",""), HYPERLINK(CONCATENATE("#Metadata!", ADDRESS(INDEX($AJ$2:$AJ$1001,MATCH(ROWS($AH$2:AH235),$AH$2:$AH$1001,0),0), INDEX($AO$1004:$BQ$1004,1,MATCH(COLUMNS($AO$1006:AW1006),$AO$1006:$BQ$1006,0)))),"Fix")))</f>
        <v>#N/A</v>
      </c>
      <c r="K235" s="5" t="e">
        <f ca="1">IF(OR(INDEX($AI$2:$AI$1001,MATCH(ROWS($AH$2:AH235),$AH$2:$AH$1001,0),1)&gt;=100000,INDEX($AO$1005:$BQ$1005,1,MATCH(COLUMNS($AO$1006:AX1006),$AO$1006:$BQ$1006,0))&gt;=100000), " ",IF(INDEX($AO$2:$BQ$1001,MATCH(ROWS($AH$2:AH235),$AH$2:$AH$1001,0),MATCH(COLUMNS($AO$1006:AX1006),$AO$1006:$BQ$1006,0)), HYPERLINK("#",""), HYPERLINK(CONCATENATE("#Metadata!", ADDRESS(INDEX($AJ$2:$AJ$1001,MATCH(ROWS($AH$2:AH235),$AH$2:$AH$1001,0),0), INDEX($AO$1004:$BQ$1004,1,MATCH(COLUMNS($AO$1006:AX1006),$AO$1006:$BQ$1006,0)))),"Fix")))</f>
        <v>#N/A</v>
      </c>
      <c r="L235" s="5" t="e">
        <f ca="1">IF(OR(INDEX($AI$2:$AI$1001,MATCH(ROWS($AH$2:AH235),$AH$2:$AH$1001,0),1)&gt;=100000,INDEX($AO$1005:$BQ$1005,1,MATCH(COLUMNS($AO$1006:AY1006),$AO$1006:$BQ$1006,0))&gt;=100000), " ",IF(INDEX($AO$2:$BQ$1001,MATCH(ROWS($AH$2:AH235),$AH$2:$AH$1001,0),MATCH(COLUMNS($AO$1006:AY1006),$AO$1006:$BQ$1006,0)), HYPERLINK("#",""), HYPERLINK(CONCATENATE("#Metadata!", ADDRESS(INDEX($AJ$2:$AJ$1001,MATCH(ROWS($AH$2:AH235),$AH$2:$AH$1001,0),0), INDEX($AO$1004:$BQ$1004,1,MATCH(COLUMNS($AO$1006:AY1006),$AO$1006:$BQ$1006,0)))),"Fix")))</f>
        <v>#N/A</v>
      </c>
      <c r="M235" s="5" t="e">
        <f ca="1">IF(OR(INDEX($AI$2:$AI$1001,MATCH(ROWS($AH$2:AH235),$AH$2:$AH$1001,0),1)&gt;=100000,INDEX($AO$1005:$BQ$1005,1,MATCH(COLUMNS($AO$1006:AZ1006),$AO$1006:$BQ$1006,0))&gt;=100000), " ",IF(INDEX($AO$2:$BQ$1001,MATCH(ROWS($AH$2:AH235),$AH$2:$AH$1001,0),MATCH(COLUMNS($AO$1006:AZ1006),$AO$1006:$BQ$1006,0)), HYPERLINK("#",""), HYPERLINK(CONCATENATE("#Metadata!", ADDRESS(INDEX($AJ$2:$AJ$1001,MATCH(ROWS($AH$2:AH235),$AH$2:$AH$1001,0),0), INDEX($AO$1004:$BQ$1004,1,MATCH(COLUMNS($AO$1006:AZ1006),$AO$1006:$BQ$1006,0)))),"Fix")))</f>
        <v>#N/A</v>
      </c>
      <c r="N235" s="5" t="e">
        <f ca="1">IF(OR(INDEX($AI$2:$AI$1001,MATCH(ROWS($AH$2:AH235),$AH$2:$AH$1001,0),1)&gt;=100000,INDEX($AO$1005:$BQ$1005,1,MATCH(COLUMNS($AO$1006:BA1006),$AO$1006:$BQ$1006,0))&gt;=100000), " ",IF(INDEX($AO$2:$BQ$1001,MATCH(ROWS($AH$2:AH235),$AH$2:$AH$1001,0),MATCH(COLUMNS($AO$1006:BA1006),$AO$1006:$BQ$1006,0)), HYPERLINK("#",""), HYPERLINK(CONCATENATE("#Metadata!", ADDRESS(INDEX($AJ$2:$AJ$1001,MATCH(ROWS($AH$2:AH235),$AH$2:$AH$1001,0),0), INDEX($AO$1004:$BQ$1004,1,MATCH(COLUMNS($AO$1006:BA1006),$AO$1006:$BQ$1006,0)))),"Fix")))</f>
        <v>#N/A</v>
      </c>
      <c r="O235" s="5" t="e">
        <f ca="1">IF(OR(INDEX($AI$2:$AI$1001,MATCH(ROWS($AH$2:AH235),$AH$2:$AH$1001,0),1)&gt;=100000,INDEX($AO$1005:$BQ$1005,1,MATCH(COLUMNS($AO$1006:BB1006),$AO$1006:$BQ$1006,0))&gt;=100000), " ",IF(INDEX($AO$2:$BQ$1001,MATCH(ROWS($AH$2:AH235),$AH$2:$AH$1001,0),MATCH(COLUMNS($AO$1006:BB1006),$AO$1006:$BQ$1006,0)), HYPERLINK("#",""), HYPERLINK(CONCATENATE("#Metadata!", ADDRESS(INDEX($AJ$2:$AJ$1001,MATCH(ROWS($AH$2:AH235),$AH$2:$AH$1001,0),0), INDEX($AO$1004:$BQ$1004,1,MATCH(COLUMNS($AO$1006:BB1006),$AO$1006:$BQ$1006,0)))),"Fix")))</f>
        <v>#N/A</v>
      </c>
      <c r="P235" s="5" t="e">
        <f ca="1">IF(OR(INDEX($AI$2:$AI$1001,MATCH(ROWS($AH$2:AH235),$AH$2:$AH$1001,0),1)&gt;=100000,INDEX($AO$1005:$BQ$1005,1,MATCH(COLUMNS($AO$1006:BC1006),$AO$1006:$BQ$1006,0))&gt;=100000), " ",IF(INDEX($AO$2:$BQ$1001,MATCH(ROWS($AH$2:AH235),$AH$2:$AH$1001,0),MATCH(COLUMNS($AO$1006:BC1006),$AO$1006:$BQ$1006,0)), HYPERLINK("#",""), HYPERLINK(CONCATENATE("#Metadata!", ADDRESS(INDEX($AJ$2:$AJ$1001,MATCH(ROWS($AH$2:AH235),$AH$2:$AH$1001,0),0), INDEX($AO$1004:$BQ$1004,1,MATCH(COLUMNS($AO$1006:BC1006),$AO$1006:$BQ$1006,0)))),"Fix")))</f>
        <v>#N/A</v>
      </c>
      <c r="Q235" s="5" t="e">
        <f ca="1">IF(OR(INDEX($AI$2:$AI$1001,MATCH(ROWS($AH$2:AH235),$AH$2:$AH$1001,0),1)&gt;=100000,INDEX($AO$1005:$BQ$1005,1,MATCH(COLUMNS($AO$1006:BD1006),$AO$1006:$BQ$1006,0))&gt;=100000), " ",IF(INDEX($AO$2:$BQ$1001,MATCH(ROWS($AH$2:AH235),$AH$2:$AH$1001,0),MATCH(COLUMNS($AO$1006:BD1006),$AO$1006:$BQ$1006,0)), HYPERLINK("#",""), HYPERLINK(CONCATENATE("#Metadata!", ADDRESS(INDEX($AJ$2:$AJ$1001,MATCH(ROWS($AH$2:AH235),$AH$2:$AH$1001,0),0), INDEX($AO$1004:$BQ$1004,1,MATCH(COLUMNS($AO$1006:BD1006),$AO$1006:$BQ$1006,0)))),"Fix")))</f>
        <v>#N/A</v>
      </c>
      <c r="R235" s="5" t="e">
        <f ca="1">IF(OR(INDEX($AI$2:$AI$1001,MATCH(ROWS($AH$2:AH235),$AH$2:$AH$1001,0),1)&gt;=100000,INDEX($AO$1005:$BQ$1005,1,MATCH(COLUMNS($AO$1006:BE1006),$AO$1006:$BQ$1006,0))&gt;=100000), " ",IF(INDEX($AO$2:$BQ$1001,MATCH(ROWS($AH$2:AH235),$AH$2:$AH$1001,0),MATCH(COLUMNS($AO$1006:BE1006),$AO$1006:$BQ$1006,0)), HYPERLINK("#",""), HYPERLINK(CONCATENATE("#Metadata!", ADDRESS(INDEX($AJ$2:$AJ$1001,MATCH(ROWS($AH$2:AH235),$AH$2:$AH$1001,0),0), INDEX($AO$1004:$BQ$1004,1,MATCH(COLUMNS($AO$1006:BE1006),$AO$1006:$BQ$1006,0)))),"Fix")))</f>
        <v>#N/A</v>
      </c>
      <c r="S235" s="5" t="e">
        <f ca="1">IF(OR(INDEX($AI$2:$AI$1001,MATCH(ROWS($AH$2:AH235),$AH$2:$AH$1001,0),1)&gt;=100000,INDEX($AO$1005:$BQ$1005,1,MATCH(COLUMNS($AO$1006:BF1006),$AO$1006:$BQ$1006,0))&gt;=100000), " ",IF(INDEX($AO$2:$BQ$1001,MATCH(ROWS($AH$2:AH235),$AH$2:$AH$1001,0),MATCH(COLUMNS($AO$1006:BF1006),$AO$1006:$BQ$1006,0)), HYPERLINK("#",""), HYPERLINK(CONCATENATE("#Metadata!", ADDRESS(INDEX($AJ$2:$AJ$1001,MATCH(ROWS($AH$2:AH235),$AH$2:$AH$1001,0),0), INDEX($AO$1004:$BQ$1004,1,MATCH(COLUMNS($AO$1006:BF1006),$AO$1006:$BQ$1006,0)))),"Fix")))</f>
        <v>#N/A</v>
      </c>
      <c r="T235" s="5" t="e">
        <f ca="1">IF(OR(INDEX($AI$2:$AI$1001,MATCH(ROWS($AH$2:AH235),$AH$2:$AH$1001,0),1)&gt;=100000,INDEX($AO$1005:$BQ$1005,1,MATCH(COLUMNS($AO$1006:BG1006),$AO$1006:$BQ$1006,0))&gt;=100000), " ",IF(INDEX($AO$2:$BQ$1001,MATCH(ROWS($AH$2:AH235),$AH$2:$AH$1001,0),MATCH(COLUMNS($AO$1006:BG1006),$AO$1006:$BQ$1006,0)), HYPERLINK("#",""), HYPERLINK(CONCATENATE("#Metadata!", ADDRESS(INDEX($AJ$2:$AJ$1001,MATCH(ROWS($AH$2:AH235),$AH$2:$AH$1001,0),0), INDEX($AO$1004:$BQ$1004,1,MATCH(COLUMNS($AO$1006:BG1006),$AO$1006:$BQ$1006,0)))),"Fix")))</f>
        <v>#N/A</v>
      </c>
      <c r="U235" s="5" t="e">
        <f ca="1">IF(OR(INDEX($AI$2:$AI$1001,MATCH(ROWS($AH$2:AH235),$AH$2:$AH$1001,0),1)&gt;=100000,INDEX($AO$1005:$BQ$1005,1,MATCH(COLUMNS($AO$1006:BH1006),$AO$1006:$BQ$1006,0))&gt;=100000), " ",IF(INDEX($AO$2:$BQ$1001,MATCH(ROWS($AH$2:AH235),$AH$2:$AH$1001,0),MATCH(COLUMNS($AO$1006:BH1006),$AO$1006:$BQ$1006,0)), HYPERLINK("#",""), HYPERLINK(CONCATENATE("#Metadata!", ADDRESS(INDEX($AJ$2:$AJ$1001,MATCH(ROWS($AH$2:AH235),$AH$2:$AH$1001,0),0), INDEX($AO$1004:$BQ$1004,1,MATCH(COLUMNS($AO$1006:BH1006),$AO$1006:$BQ$1006,0)))),"Fix")))</f>
        <v>#N/A</v>
      </c>
      <c r="V235" s="5" t="e">
        <f ca="1">IF(OR(INDEX($AI$2:$AI$1001,MATCH(ROWS($AH$2:AH235),$AH$2:$AH$1001,0),1)&gt;=100000,INDEX($AO$1005:$BQ$1005,1,MATCH(COLUMNS($AO$1006:BI1006),$AO$1006:$BQ$1006,0))&gt;=100000), " ",IF(INDEX($AO$2:$BQ$1001,MATCH(ROWS($AH$2:AH235),$AH$2:$AH$1001,0),MATCH(COLUMNS($AO$1006:BI1006),$AO$1006:$BQ$1006,0)), HYPERLINK("#",""), HYPERLINK(CONCATENATE("#Metadata!", ADDRESS(INDEX($AJ$2:$AJ$1001,MATCH(ROWS($AH$2:AH235),$AH$2:$AH$1001,0),0), INDEX($AO$1004:$BQ$1004,1,MATCH(COLUMNS($AO$1006:BI1006),$AO$1006:$BQ$1006,0)))),"Fix")))</f>
        <v>#N/A</v>
      </c>
      <c r="W235" s="5" t="e">
        <f ca="1">IF(OR(INDEX($AI$2:$AI$1001,MATCH(ROWS($AH$2:AH235),$AH$2:$AH$1001,0),1)&gt;=100000,INDEX($AO$1005:$BQ$1005,1,MATCH(COLUMNS($AO$1006:BJ1006),$AO$1006:$BQ$1006,0))&gt;=100000), " ",IF(INDEX($AO$2:$BQ$1001,MATCH(ROWS($AH$2:AH235),$AH$2:$AH$1001,0),MATCH(COLUMNS($AO$1006:BJ1006),$AO$1006:$BQ$1006,0)), HYPERLINK("#",""), HYPERLINK(CONCATENATE("#Metadata!", ADDRESS(INDEX($AJ$2:$AJ$1001,MATCH(ROWS($AH$2:AH235),$AH$2:$AH$1001,0),0), INDEX($AO$1004:$BQ$1004,1,MATCH(COLUMNS($AO$1006:BJ1006),$AO$1006:$BQ$1006,0)))),"Fix")))</f>
        <v>#N/A</v>
      </c>
      <c r="X235" s="5" t="e">
        <f ca="1">IF(OR(INDEX($AI$2:$AI$1001,MATCH(ROWS($AH$2:AH235),$AH$2:$AH$1001,0),1)&gt;=100000,INDEX($AO$1005:$BQ$1005,1,MATCH(COLUMNS($AO$1006:BK1006),$AO$1006:$BQ$1006,0))&gt;=100000), " ",IF(INDEX($AO$2:$BQ$1001,MATCH(ROWS($AH$2:AH235),$AH$2:$AH$1001,0),MATCH(COLUMNS($AO$1006:BK1006),$AO$1006:$BQ$1006,0)), HYPERLINK("#",""), HYPERLINK(CONCATENATE("#Metadata!", ADDRESS(INDEX($AJ$2:$AJ$1001,MATCH(ROWS($AH$2:AH235),$AH$2:$AH$1001,0),0), INDEX($AO$1004:$BQ$1004,1,MATCH(COLUMNS($AO$1006:BK1006),$AO$1006:$BQ$1006,0)))),"Fix")))</f>
        <v>#N/A</v>
      </c>
      <c r="Y235" s="5" t="e">
        <f ca="1">IF(OR(INDEX($AI$2:$AI$1001,MATCH(ROWS($AH$2:AH235),$AH$2:$AH$1001,0),1)&gt;=100000,INDEX($AO$1005:$BQ$1005,1,MATCH(COLUMNS($AO$1006:BL1006),$AO$1006:$BQ$1006,0))&gt;=100000), " ",IF(INDEX($AO$2:$BQ$1001,MATCH(ROWS($AH$2:AH235),$AH$2:$AH$1001,0),MATCH(COLUMNS($AO$1006:BL1006),$AO$1006:$BQ$1006,0)), HYPERLINK("#",""), HYPERLINK(CONCATENATE("#Metadata!", ADDRESS(INDEX($AJ$2:$AJ$1001,MATCH(ROWS($AH$2:AH235),$AH$2:$AH$1001,0),0), INDEX($AO$1004:$BQ$1004,1,MATCH(COLUMNS($AO$1006:BL1006),$AO$1006:$BQ$1006,0)))),"Fix")))</f>
        <v>#N/A</v>
      </c>
      <c r="Z235" s="5" t="e">
        <f ca="1">IF(OR(INDEX($AI$2:$AI$1001,MATCH(ROWS($AH$2:AH235),$AH$2:$AH$1001,0),1)&gt;=100000,INDEX($AO$1005:$BQ$1005,1,MATCH(COLUMNS($AO$1006:BM1006),$AO$1006:$BQ$1006,0))&gt;=100000), " ",IF(INDEX($AO$2:$BQ$1001,MATCH(ROWS($AH$2:AH235),$AH$2:$AH$1001,0),MATCH(COLUMNS($AO$1006:BM1006),$AO$1006:$BQ$1006,0)), HYPERLINK("#",""), HYPERLINK(CONCATENATE("#Metadata!", ADDRESS(INDEX($AJ$2:$AJ$1001,MATCH(ROWS($AH$2:AH235),$AH$2:$AH$1001,0),0), INDEX($AO$1004:$BQ$1004,1,MATCH(COLUMNS($AO$1006:BM1006),$AO$1006:$BQ$1006,0)))),"Fix")))</f>
        <v>#N/A</v>
      </c>
      <c r="AA235" s="5" t="e">
        <f ca="1">IF(OR(INDEX($AI$2:$AI$1001,MATCH(ROWS($AH$2:AH235),$AH$2:$AH$1001,0),1)&gt;=100000,INDEX($AO$1005:$BQ$1005,1,MATCH(COLUMNS($AO$1006:BN1006),$AO$1006:$BQ$1006,0))&gt;=100000), " ",IF(INDEX($AO$2:$BQ$1001,MATCH(ROWS($AH$2:AH235),$AH$2:$AH$1001,0),MATCH(COLUMNS($AO$1006:BN1006),$AO$1006:$BQ$1006,0)), HYPERLINK("#",""), HYPERLINK(CONCATENATE("#Metadata!", ADDRESS(INDEX($AJ$2:$AJ$1001,MATCH(ROWS($AH$2:AH235),$AH$2:$AH$1001,0),0), INDEX($AO$1004:$BQ$1004,1,MATCH(COLUMNS($AO$1006:BN1006),$AO$1006:$BQ$1006,0)))),"Fix")))</f>
        <v>#N/A</v>
      </c>
      <c r="AB235" s="5" t="e">
        <f ca="1">IF(OR(INDEX($AI$2:$AI$1001,MATCH(ROWS($AH$2:AH235),$AH$2:$AH$1001,0),1)&gt;=100000,INDEX($AO$1005:$BQ$1005,1,MATCH(COLUMNS($AO$1006:BO1006),$AO$1006:$BQ$1006,0))&gt;=100000), " ",IF(INDEX($AO$2:$BQ$1001,MATCH(ROWS($AH$2:AH235),$AH$2:$AH$1001,0),MATCH(COLUMNS($AO$1006:BO1006),$AO$1006:$BQ$1006,0)), HYPERLINK("#",""), HYPERLINK(CONCATENATE("#Metadata!", ADDRESS(INDEX($AJ$2:$AJ$1001,MATCH(ROWS($AH$2:AH235),$AH$2:$AH$1001,0),0), INDEX($AO$1004:$BQ$1004,1,MATCH(COLUMNS($AO$1006:BO1006),$AO$1006:$BQ$1006,0)))),"Fix")))</f>
        <v>#N/A</v>
      </c>
      <c r="AC235" s="5" t="e">
        <f ca="1">IF(OR(INDEX($AI$2:$AI$1001,MATCH(ROWS($AH$2:AH235),$AH$2:$AH$1001,0),1)&gt;=100000,INDEX($AO$1005:$BQ$1005,1,MATCH(COLUMNS($AO$1006:BP1006),$AO$1006:$BQ$1006,0))&gt;=100000), " ",IF(INDEX($AO$2:$BQ$1001,MATCH(ROWS($AH$2:AH235),$AH$2:$AH$1001,0),MATCH(COLUMNS($AO$1006:BP1006),$AO$1006:$BQ$1006,0)), HYPERLINK("#",""), HYPERLINK(CONCATENATE("#Metadata!", ADDRESS(INDEX($AJ$2:$AJ$1001,MATCH(ROWS($AH$2:AH235),$AH$2:$AH$1001,0),0), INDEX($AO$1004:$BQ$1004,1,MATCH(COLUMNS($AO$1006:BP1006),$AO$1006:$BQ$1006,0)))),"Fix")))</f>
        <v>#N/A</v>
      </c>
      <c r="AD235" s="5" t="e">
        <f ca="1">IF(OR(INDEX($AI$2:$AI$1001,MATCH(ROWS($AH$2:AH235),$AH$2:$AH$1001,0),1)&gt;=100000,INDEX($AO$1005:$BQ$1005,1,MATCH(COLUMNS($AO$1006:BQ1006),$AO$1006:$BQ$1006,0))&gt;=100000), " ",IF(INDEX($AO$2:$BQ$1001,MATCH(ROWS($AH$2:AH235),$AH$2:$AH$1001,0),MATCH(COLUMNS($AO$1006:BQ1006),$AO$1006:$BQ$1006,0)), HYPERLINK("#",""), HYPERLINK(CONCATENATE("#Metadata!", ADDRESS(INDEX($AJ$2:$AJ$1001,MATCH(ROWS($AH$2:AH235),$AH$2:$AH$1001,0),0), INDEX($AO$1004:$BQ$1004,1,MATCH(COLUMNS($AO$1006:BQ1006),$AO$1006:$BQ$1006,0)))),"Fix")))</f>
        <v>#REF!</v>
      </c>
      <c r="AH235">
        <f ca="1"/>
        <v>232</v>
      </c>
      <c r="AI235">
        <v>100235</v>
      </c>
      <c r="AJ235">
        <v>235</v>
      </c>
      <c r="AK235" t="b">
        <f t="shared" si="3"/>
        <v>1</v>
      </c>
      <c r="AL235" t="b">
        <f>COUNTBLANK(Metadata!B235:AD235)=COLUMNS(Metadata!B235:AD235)</f>
        <v>1</v>
      </c>
      <c r="AM235" t="str">
        <v/>
      </c>
      <c r="AO235" t="b">
        <f ca="1">AND(IF(Metadata!B235="",FALSE,TRUE),COUNTIF(Metadata!B:B, Metadata!B235) = 1,NOT(ISERROR(SUMPRODUCT(SEARCH(MID(Metadata!B235,ROW(INDIRECT("1:"&amp;LEN(Metadata!B235))), 1),"0123456789abcdefghijklmnopqrstuvwxyzABCDEFGHIJKLMNOPQRSTUVWXYZ.")))))</f>
        <v>0</v>
      </c>
      <c r="AP235" t="b">
        <f>IF(Metadata!C235="",FALSE,TRUE)</f>
        <v>0</v>
      </c>
      <c r="AQ235" t="b">
        <f>IF(Metadata!D235="",FALSE,TRUE)</f>
        <v>0</v>
      </c>
      <c r="AR235" t="b">
        <f ca="1">OR(AND(IF(Metadata!E235="",FALSE,TRUE),OR(EXACT(Metadata!E235,"not collected"),EXACT(Metadata!E235,"not provided"),EXACT(Metadata!E235,"restricted access"))),AND(IF(Metadata!E235="",FALSE,TRUE),AND(AND(IFERROR(INT(LEFT(Metadata!E235,4))&gt;1900,FALSE),IFERROR(INT(LEFT(Metadata!E235,4))&lt;=YEAR(NOW()),FALSE)), OR(MID(Metadata!E235,5,1)="", AND(AND(MID(Metadata!E235,5,1)="-",IFERROR(INT(MID(Metadata!E235,6,1))&gt;=0,FALSE),IFERROR(INT(MID(Metadata!E235,6,1))&lt;=1,FALSE),NOT(MID(Metadata!E235,7,1)=""),IFERROR(INT(MID(Metadata!E235,6,2))&gt;=1,FALSE),IFERROR(INT(MID(Metadata!E235,6,2))&lt;=12,FALSE)), OR(MID(Metadata!E235,8,1)="", AND(AND(MID(Metadata!E235,8,1)="-",IFERROR(INT(MID(Metadata!E235,9,1))&gt;=0,FALSE),IFERROR(INT(MID(Metadata!E235,9,1))&lt;=3,FALSE),NOT(MID(Metadata!E235,10,1)=""),IFERROR(INT(MID(Metadata!E235,9,2))&gt;=1,FALSE),IFERROR(INT(MID(Metadata!E235,9,2))&lt;=31,FALSE)), OR(MID(Metadata!E235,11,1)="", AND(AND(MID(Metadata!E235,11,1)=" ",IFERROR(INT(MID(Metadata!E235,12,1))&gt;=0,FALSE),IFERROR(INT(MID(Metadata!E235,12,1))&lt;=2,FALSE),NOT(MID(Metadata!E235,13,1)=""),IFERROR(INT(MID(Metadata!E235,12,2))&gt;=0,FALSE),IFERROR(INT(MID(Metadata!E235,12,2))&lt;=23,FALSE)), OR(MID(Metadata!E235,14,1)="", AND(AND(MID(Metadata!E235,14,1)=":",IFERROR(INT(MID(Metadata!E235,15,1))&gt;=0,FALSE),IFERROR(INT(MID(Metadata!E235,15,1))&lt;=5,FALSE),NOT(MID(Metadata!E235,16,1)=""),IFERROR(INT(MID(Metadata!E235,15,2))&gt;=0,FALSE),IFERROR(INT(MID(Metadata!E235,15,2))&lt;=59,FALSE)), OR(MID(Metadata!E235,17,1)="", AND(AND(MID(Metadata!E235,17,1)=":",IFERROR(INT(MID(Metadata!E235,18,1))&gt;=0,FALSE),IFERROR(INT(MID(Metadata!E235,18,1))&lt;=5,FALSE),NOT(MID(Metadata!E235,19,1)=""),IFERROR(INT(MID(Metadata!E235,18,2))&gt;=0,FALSE),IFERROR(INT(MID(Metadata!E235,18,2))&lt;=59,FALSE)), LEN(Metadata!E235)&lt;=19)))))))))))))</f>
        <v>0</v>
      </c>
      <c r="AS235" t="b">
        <f>IF(Metadata!F235="",FALSE,TRUE)</f>
        <v>0</v>
      </c>
      <c r="AT235" t="b">
        <f>OR(AND(IF(Metadata!G235="",FALSE,TRUE),OR(EXACT(Metadata!G235,"not collected"),EXACT(Metadata!G235,"not provided"))),AND(IF(Metadata!G235="",FALSE,TRUE),OR(EXACT(Metadata!G235,"TRUE"),EXACT(Metadata!G235,"FALSE"))))</f>
        <v>0</v>
      </c>
      <c r="AU235" t="b">
        <f>OR(AND(IF(Metadata!H235="",FALSE,TRUE),OR(EXACT(Metadata!H235,"not collected"),EXACT(Metadata!H235,"not provided"),EXACT(Metadata!H235,"restricted access"))),AND(IF(Metadata!H235="",FALSE,ISNUMBER(VALUE(Metadata!H235))),Metadata!H235&gt;=-413))</f>
        <v>0</v>
      </c>
      <c r="AV235" t="b">
        <f>AND(IF(Metadata!I235="",FALSE,TRUE),EXACT(Metadata!I235,"meters"))</f>
        <v>0</v>
      </c>
      <c r="AW235" t="b">
        <f>AND(IF(Metadata!J235="",FALSE,TRUE),EXACT(Metadata!J235,"free-living"))</f>
        <v>0</v>
      </c>
      <c r="AX235" t="b">
        <f>AND(IF(Metadata!K235="",FALSE,TRUE),OR(EXACT(Metadata!K235,"saline"),EXACT(Metadata!K235,"non-saline")))</f>
        <v>0</v>
      </c>
      <c r="AY235" t="b">
        <f>AND(IF(Metadata!L235="",FALSE,TRUE),OR(EXACT(Metadata!L235,"sub-surface (non-saline)"),EXACT(Metadata!L235,"surface (non-saline)"),EXACT(Metadata!L235,"water (non-saline)"),EXACT(Metadata!L235,"soil (non-saline)"),EXACT(Metadata!L235,"aerosol (non-saline)"),EXACT(Metadata!L235,"sediment (non-saline)"),EXACT(Metadata!L235,"surface (saline)"),EXACT(Metadata!L235,"water (saline)"),EXACT(Metadata!L235,"hypersaline (saline)"),EXACT(Metadata!L235,"aerosol (saline)"),EXACT(Metadata!L235,"sediment (saline)")))</f>
        <v>0</v>
      </c>
      <c r="AZ235" t="b">
        <f>IF(Metadata!M235="",FALSE,TRUE)</f>
        <v>0</v>
      </c>
      <c r="BA235" t="b">
        <f>IF(Metadata!N235="",FALSE,TRUE)</f>
        <v>0</v>
      </c>
      <c r="BB235" t="b">
        <f>IF(Metadata!O235="",FALSE,TRUE)</f>
        <v>0</v>
      </c>
      <c r="BC235" t="b">
        <f>AND(IF(Metadata!P235="",FALSE,TRUE),OR(EXACT(Metadata!P235,"air"),EXACT(Metadata!P235,"microbial mat/biofilm"),EXACT(Metadata!P235,"misc environment"),EXACT(Metadata!P235,"sediment"),EXACT(Metadata!P235,"soil"),EXACT(Metadata!P235,"wastewater/sludge"),EXACT(Metadata!P235,"water")))</f>
        <v>0</v>
      </c>
      <c r="BD235" t="b">
        <f>IF(Metadata!Q235="",FALSE,TRUE)</f>
        <v>0</v>
      </c>
      <c r="BE235" t="b">
        <f>IF(Metadata!R235="",FALSE,TRUE)</f>
        <v>0</v>
      </c>
      <c r="BF235" t="b">
        <f>OR(AND(IF(Metadata!S235="",FALSE,TRUE),OR(EXACT(Metadata!S235,"not collected"),EXACT(Metadata!S235,"not provided"),EXACT(Metadata!S235,"restricted access"))),AND(IF(Metadata!S235="",FALSE,ISNUMBER(VALUE(Metadata!S235))),Metadata!S235&gt;=-90,Metadata!S235&lt;=90))</f>
        <v>0</v>
      </c>
      <c r="BG235" t="b">
        <f>AND(IF(Metadata!T235="",FALSE,TRUE),EXACT(Metadata!T235,"Decimal degrees"))</f>
        <v>0</v>
      </c>
      <c r="BH235" t="b">
        <f>OR(AND(IF(Metadata!U235="",FALSE,TRUE),OR(EXACT(Metadata!U235,"not applicable"),EXACT(Metadata!U235,"not collected"))),IF(Metadata!U235="",FALSE,TRUE))</f>
        <v>0</v>
      </c>
      <c r="BI235" t="b">
        <f>OR(AND(IF(Metadata!V235="",FALSE,TRUE),OR(EXACT(Metadata!V235,"not collected"),EXACT(Metadata!V235,"not provided"),EXACT(Metadata!V235,"restricted access"))),AND(IF(Metadata!V235="",FALSE,ISNUMBER(VALUE(Metadata!V235))),Metadata!V235&gt;=-180,Metadata!V235&lt;=180))</f>
        <v>0</v>
      </c>
      <c r="BJ235" t="b">
        <f>AND(IF(Metadata!W235="",FALSE,TRUE),EXACT(Metadata!W235,"Decimal degrees"))</f>
        <v>0</v>
      </c>
      <c r="BK235" t="b">
        <f>IF(Metadata!X235="",FALSE,TRUE)</f>
        <v>0</v>
      </c>
      <c r="BL235" t="b">
        <f>OR(AND(IF(Metadata!Y235="",FALSE,TRUE),OR(EXACT(Metadata!Y235,"not collected"),EXACT(Metadata!Y235,"not provided"),EXACT(Metadata!Y235,"restricted access"))),AND(IF(Metadata!Y235="",FALSE,TRUE),OR(EXACT(Metadata!Y235,"TRUE"),EXACT(Metadata!Y235,"FALSE"))))</f>
        <v>0</v>
      </c>
      <c r="BM235" t="b">
        <f>OR(AND(IF(Metadata!Z235="",FALSE,TRUE),EXACT(Metadata!Z235,"not applicable")),AND(IF(Metadata!Z235="",FALSE,TRUE),OR(EXACT(Metadata!Z235,"beer"),EXACT(Metadata!Z235,"cheese"),EXACT(Metadata!Z235,"fresh water"),EXACT(Metadata!Z235,"marine sediment"),EXACT(Metadata!Z235,"sea water"),EXACT(Metadata!Z235,"sediment"),EXACT(Metadata!Z235,"soil"),EXACT(Metadata!Z235,"waste water"))))</f>
        <v>0</v>
      </c>
      <c r="BN235" t="b">
        <f>AND(IF(Metadata!AA235="",FALSE,TRUE),EXACT(Metadata!AA235,"metagenome"))</f>
        <v>0</v>
      </c>
      <c r="BO235" t="b">
        <f>AND(IF(Metadata!AB235="",FALSE,TRUE),EXACT(Metadata!AB235,"256318"))</f>
        <v>0</v>
      </c>
      <c r="BP235" t="b">
        <f>IF(Metadata!AC235="",FALSE,TRUE)</f>
        <v>0</v>
      </c>
      <c r="BQ235" t="b">
        <f>IF(Metadata!AD235="",FALSE,TRUE)</f>
        <v>0</v>
      </c>
    </row>
    <row r="236" spans="1:69" x14ac:dyDescent="0.2">
      <c r="A236" s="4" t="e">
        <f ca="1">IF(B236=" "," ",HYPERLINK(CONCATENATE("#metadata!",ADDRESS(INDEX($AJ$2:$AJ$1001,MATCH(ROWS($AH$2:AH236),$AH$2:$AH$1001,0),0),2)),INDEX($AM$2:$AM$1001,MATCH(ROWS($AH$2:AH236),$AH$2:$AH$1001,0),0)))</f>
        <v>#N/A</v>
      </c>
      <c r="B236" s="5" t="e">
        <f ca="1">IF(OR(INDEX($AI$2:$AI$1001,MATCH(ROWS($AH$2:AH236),$AH$2:$AH$1001,0),1)&gt;=100000,INDEX($AO$1005:$BQ$1005,1,MATCH(COLUMNS($AO$1006:AO1006),$AO$1006:$BQ$1006,0))&gt;=100000), " ",IF(INDEX($AO$2:$BQ$1001,MATCH(ROWS($AH$2:AH236),$AH$2:$AH$1001,0),MATCH(COLUMNS($AO$1006:AO1006),$AO$1006:$BQ$1006,0)), HYPERLINK("#",""), HYPERLINK(CONCATENATE("#Metadata!", ADDRESS(INDEX($AJ$2:$AJ$1001,MATCH(ROWS($AH$2:AH236),$AH$2:$AH$1001,0),0), INDEX($AO$1004:$BQ$1004,1,MATCH(COLUMNS($AO$1006:AO1006),$AO$1006:$BQ$1006,0)))),"Fix")))</f>
        <v>#N/A</v>
      </c>
      <c r="C236" s="5" t="e">
        <f ca="1">IF(OR(INDEX($AI$2:$AI$1001,MATCH(ROWS($AH$2:AH236),$AH$2:$AH$1001,0),1)&gt;=100000,INDEX($AO$1005:$BQ$1005,1,MATCH(COLUMNS($AO$1006:AP1006),$AO$1006:$BQ$1006,0))&gt;=100000), " ",IF(INDEX($AO$2:$BQ$1001,MATCH(ROWS($AH$2:AH236),$AH$2:$AH$1001,0),MATCH(COLUMNS($AO$1006:AP1006),$AO$1006:$BQ$1006,0)), HYPERLINK("#",""), HYPERLINK(CONCATENATE("#Metadata!", ADDRESS(INDEX($AJ$2:$AJ$1001,MATCH(ROWS($AH$2:AH236),$AH$2:$AH$1001,0),0), INDEX($AO$1004:$BQ$1004,1,MATCH(COLUMNS($AO$1006:AP1006),$AO$1006:$BQ$1006,0)))),"Fix")))</f>
        <v>#N/A</v>
      </c>
      <c r="D236" s="5" t="e">
        <f ca="1">IF(OR(INDEX($AI$2:$AI$1001,MATCH(ROWS($AH$2:AH236),$AH$2:$AH$1001,0),1)&gt;=100000,INDEX($AO$1005:$BQ$1005,1,MATCH(COLUMNS($AO$1006:AQ1006),$AO$1006:$BQ$1006,0))&gt;=100000), " ",IF(INDEX($AO$2:$BQ$1001,MATCH(ROWS($AH$2:AH236),$AH$2:$AH$1001,0),MATCH(COLUMNS($AO$1006:AQ1006),$AO$1006:$BQ$1006,0)), HYPERLINK("#",""), HYPERLINK(CONCATENATE("#Metadata!", ADDRESS(INDEX($AJ$2:$AJ$1001,MATCH(ROWS($AH$2:AH236),$AH$2:$AH$1001,0),0), INDEX($AO$1004:$BQ$1004,1,MATCH(COLUMNS($AO$1006:AQ1006),$AO$1006:$BQ$1006,0)))),"Fix")))</f>
        <v>#N/A</v>
      </c>
      <c r="E236" s="5" t="e">
        <f ca="1">IF(OR(INDEX($AI$2:$AI$1001,MATCH(ROWS($AH$2:AH236),$AH$2:$AH$1001,0),1)&gt;=100000,INDEX($AO$1005:$BQ$1005,1,MATCH(COLUMNS($AO$1006:AR1006),$AO$1006:$BQ$1006,0))&gt;=100000), " ",IF(INDEX($AO$2:$BQ$1001,MATCH(ROWS($AH$2:AH236),$AH$2:$AH$1001,0),MATCH(COLUMNS($AO$1006:AR1006),$AO$1006:$BQ$1006,0)), HYPERLINK("#",""), HYPERLINK(CONCATENATE("#Metadata!", ADDRESS(INDEX($AJ$2:$AJ$1001,MATCH(ROWS($AH$2:AH236),$AH$2:$AH$1001,0),0), INDEX($AO$1004:$BQ$1004,1,MATCH(COLUMNS($AO$1006:AR1006),$AO$1006:$BQ$1006,0)))),"Fix")))</f>
        <v>#N/A</v>
      </c>
      <c r="F236" s="5" t="e">
        <f ca="1">IF(OR(INDEX($AI$2:$AI$1001,MATCH(ROWS($AH$2:AH236),$AH$2:$AH$1001,0),1)&gt;=100000,INDEX($AO$1005:$BQ$1005,1,MATCH(COLUMNS($AO$1006:AS1006),$AO$1006:$BQ$1006,0))&gt;=100000), " ",IF(INDEX($AO$2:$BQ$1001,MATCH(ROWS($AH$2:AH236),$AH$2:$AH$1001,0),MATCH(COLUMNS($AO$1006:AS1006),$AO$1006:$BQ$1006,0)), HYPERLINK("#",""), HYPERLINK(CONCATENATE("#Metadata!", ADDRESS(INDEX($AJ$2:$AJ$1001,MATCH(ROWS($AH$2:AH236),$AH$2:$AH$1001,0),0), INDEX($AO$1004:$BQ$1004,1,MATCH(COLUMNS($AO$1006:AS1006),$AO$1006:$BQ$1006,0)))),"Fix")))</f>
        <v>#N/A</v>
      </c>
      <c r="G236" s="5" t="e">
        <f ca="1">IF(OR(INDEX($AI$2:$AI$1001,MATCH(ROWS($AH$2:AH236),$AH$2:$AH$1001,0),1)&gt;=100000,INDEX($AO$1005:$BQ$1005,1,MATCH(COLUMNS($AO$1006:AT1006),$AO$1006:$BQ$1006,0))&gt;=100000), " ",IF(INDEX($AO$2:$BQ$1001,MATCH(ROWS($AH$2:AH236),$AH$2:$AH$1001,0),MATCH(COLUMNS($AO$1006:AT1006),$AO$1006:$BQ$1006,0)), HYPERLINK("#",""), HYPERLINK(CONCATENATE("#Metadata!", ADDRESS(INDEX($AJ$2:$AJ$1001,MATCH(ROWS($AH$2:AH236),$AH$2:$AH$1001,0),0), INDEX($AO$1004:$BQ$1004,1,MATCH(COLUMNS($AO$1006:AT1006),$AO$1006:$BQ$1006,0)))),"Fix")))</f>
        <v>#N/A</v>
      </c>
      <c r="H236" s="5" t="e">
        <f ca="1">IF(OR(INDEX($AI$2:$AI$1001,MATCH(ROWS($AH$2:AH236),$AH$2:$AH$1001,0),1)&gt;=100000,INDEX($AO$1005:$BQ$1005,1,MATCH(COLUMNS($AO$1006:AU1006),$AO$1006:$BQ$1006,0))&gt;=100000), " ",IF(INDEX($AO$2:$BQ$1001,MATCH(ROWS($AH$2:AH236),$AH$2:$AH$1001,0),MATCH(COLUMNS($AO$1006:AU1006),$AO$1006:$BQ$1006,0)), HYPERLINK("#",""), HYPERLINK(CONCATENATE("#Metadata!", ADDRESS(INDEX($AJ$2:$AJ$1001,MATCH(ROWS($AH$2:AH236),$AH$2:$AH$1001,0),0), INDEX($AO$1004:$BQ$1004,1,MATCH(COLUMNS($AO$1006:AU1006),$AO$1006:$BQ$1006,0)))),"Fix")))</f>
        <v>#N/A</v>
      </c>
      <c r="I236" s="5" t="e">
        <f ca="1">IF(OR(INDEX($AI$2:$AI$1001,MATCH(ROWS($AH$2:AH236),$AH$2:$AH$1001,0),1)&gt;=100000,INDEX($AO$1005:$BQ$1005,1,MATCH(COLUMNS($AO$1006:AV1006),$AO$1006:$BQ$1006,0))&gt;=100000), " ",IF(INDEX($AO$2:$BQ$1001,MATCH(ROWS($AH$2:AH236),$AH$2:$AH$1001,0),MATCH(COLUMNS($AO$1006:AV1006),$AO$1006:$BQ$1006,0)), HYPERLINK("#",""), HYPERLINK(CONCATENATE("#Metadata!", ADDRESS(INDEX($AJ$2:$AJ$1001,MATCH(ROWS($AH$2:AH236),$AH$2:$AH$1001,0),0), INDEX($AO$1004:$BQ$1004,1,MATCH(COLUMNS($AO$1006:AV1006),$AO$1006:$BQ$1006,0)))),"Fix")))</f>
        <v>#N/A</v>
      </c>
      <c r="J236" s="5" t="e">
        <f ca="1">IF(OR(INDEX($AI$2:$AI$1001,MATCH(ROWS($AH$2:AH236),$AH$2:$AH$1001,0),1)&gt;=100000,INDEX($AO$1005:$BQ$1005,1,MATCH(COLUMNS($AO$1006:AW1006),$AO$1006:$BQ$1006,0))&gt;=100000), " ",IF(INDEX($AO$2:$BQ$1001,MATCH(ROWS($AH$2:AH236),$AH$2:$AH$1001,0),MATCH(COLUMNS($AO$1006:AW1006),$AO$1006:$BQ$1006,0)), HYPERLINK("#",""), HYPERLINK(CONCATENATE("#Metadata!", ADDRESS(INDEX($AJ$2:$AJ$1001,MATCH(ROWS($AH$2:AH236),$AH$2:$AH$1001,0),0), INDEX($AO$1004:$BQ$1004,1,MATCH(COLUMNS($AO$1006:AW1006),$AO$1006:$BQ$1006,0)))),"Fix")))</f>
        <v>#N/A</v>
      </c>
      <c r="K236" s="5" t="e">
        <f ca="1">IF(OR(INDEX($AI$2:$AI$1001,MATCH(ROWS($AH$2:AH236),$AH$2:$AH$1001,0),1)&gt;=100000,INDEX($AO$1005:$BQ$1005,1,MATCH(COLUMNS($AO$1006:AX1006),$AO$1006:$BQ$1006,0))&gt;=100000), " ",IF(INDEX($AO$2:$BQ$1001,MATCH(ROWS($AH$2:AH236),$AH$2:$AH$1001,0),MATCH(COLUMNS($AO$1006:AX1006),$AO$1006:$BQ$1006,0)), HYPERLINK("#",""), HYPERLINK(CONCATENATE("#Metadata!", ADDRESS(INDEX($AJ$2:$AJ$1001,MATCH(ROWS($AH$2:AH236),$AH$2:$AH$1001,0),0), INDEX($AO$1004:$BQ$1004,1,MATCH(COLUMNS($AO$1006:AX1006),$AO$1006:$BQ$1006,0)))),"Fix")))</f>
        <v>#N/A</v>
      </c>
      <c r="L236" s="5" t="e">
        <f ca="1">IF(OR(INDEX($AI$2:$AI$1001,MATCH(ROWS($AH$2:AH236),$AH$2:$AH$1001,0),1)&gt;=100000,INDEX($AO$1005:$BQ$1005,1,MATCH(COLUMNS($AO$1006:AY1006),$AO$1006:$BQ$1006,0))&gt;=100000), " ",IF(INDEX($AO$2:$BQ$1001,MATCH(ROWS($AH$2:AH236),$AH$2:$AH$1001,0),MATCH(COLUMNS($AO$1006:AY1006),$AO$1006:$BQ$1006,0)), HYPERLINK("#",""), HYPERLINK(CONCATENATE("#Metadata!", ADDRESS(INDEX($AJ$2:$AJ$1001,MATCH(ROWS($AH$2:AH236),$AH$2:$AH$1001,0),0), INDEX($AO$1004:$BQ$1004,1,MATCH(COLUMNS($AO$1006:AY1006),$AO$1006:$BQ$1006,0)))),"Fix")))</f>
        <v>#N/A</v>
      </c>
      <c r="M236" s="5" t="e">
        <f ca="1">IF(OR(INDEX($AI$2:$AI$1001,MATCH(ROWS($AH$2:AH236),$AH$2:$AH$1001,0),1)&gt;=100000,INDEX($AO$1005:$BQ$1005,1,MATCH(COLUMNS($AO$1006:AZ1006),$AO$1006:$BQ$1006,0))&gt;=100000), " ",IF(INDEX($AO$2:$BQ$1001,MATCH(ROWS($AH$2:AH236),$AH$2:$AH$1001,0),MATCH(COLUMNS($AO$1006:AZ1006),$AO$1006:$BQ$1006,0)), HYPERLINK("#",""), HYPERLINK(CONCATENATE("#Metadata!", ADDRESS(INDEX($AJ$2:$AJ$1001,MATCH(ROWS($AH$2:AH236),$AH$2:$AH$1001,0),0), INDEX($AO$1004:$BQ$1004,1,MATCH(COLUMNS($AO$1006:AZ1006),$AO$1006:$BQ$1006,0)))),"Fix")))</f>
        <v>#N/A</v>
      </c>
      <c r="N236" s="5" t="e">
        <f ca="1">IF(OR(INDEX($AI$2:$AI$1001,MATCH(ROWS($AH$2:AH236),$AH$2:$AH$1001,0),1)&gt;=100000,INDEX($AO$1005:$BQ$1005,1,MATCH(COLUMNS($AO$1006:BA1006),$AO$1006:$BQ$1006,0))&gt;=100000), " ",IF(INDEX($AO$2:$BQ$1001,MATCH(ROWS($AH$2:AH236),$AH$2:$AH$1001,0),MATCH(COLUMNS($AO$1006:BA1006),$AO$1006:$BQ$1006,0)), HYPERLINK("#",""), HYPERLINK(CONCATENATE("#Metadata!", ADDRESS(INDEX($AJ$2:$AJ$1001,MATCH(ROWS($AH$2:AH236),$AH$2:$AH$1001,0),0), INDEX($AO$1004:$BQ$1004,1,MATCH(COLUMNS($AO$1006:BA1006),$AO$1006:$BQ$1006,0)))),"Fix")))</f>
        <v>#N/A</v>
      </c>
      <c r="O236" s="5" t="e">
        <f ca="1">IF(OR(INDEX($AI$2:$AI$1001,MATCH(ROWS($AH$2:AH236),$AH$2:$AH$1001,0),1)&gt;=100000,INDEX($AO$1005:$BQ$1005,1,MATCH(COLUMNS($AO$1006:BB1006),$AO$1006:$BQ$1006,0))&gt;=100000), " ",IF(INDEX($AO$2:$BQ$1001,MATCH(ROWS($AH$2:AH236),$AH$2:$AH$1001,0),MATCH(COLUMNS($AO$1006:BB1006),$AO$1006:$BQ$1006,0)), HYPERLINK("#",""), HYPERLINK(CONCATENATE("#Metadata!", ADDRESS(INDEX($AJ$2:$AJ$1001,MATCH(ROWS($AH$2:AH236),$AH$2:$AH$1001,0),0), INDEX($AO$1004:$BQ$1004,1,MATCH(COLUMNS($AO$1006:BB1006),$AO$1006:$BQ$1006,0)))),"Fix")))</f>
        <v>#N/A</v>
      </c>
      <c r="P236" s="5" t="e">
        <f ca="1">IF(OR(INDEX($AI$2:$AI$1001,MATCH(ROWS($AH$2:AH236),$AH$2:$AH$1001,0),1)&gt;=100000,INDEX($AO$1005:$BQ$1005,1,MATCH(COLUMNS($AO$1006:BC1006),$AO$1006:$BQ$1006,0))&gt;=100000), " ",IF(INDEX($AO$2:$BQ$1001,MATCH(ROWS($AH$2:AH236),$AH$2:$AH$1001,0),MATCH(COLUMNS($AO$1006:BC1006),$AO$1006:$BQ$1006,0)), HYPERLINK("#",""), HYPERLINK(CONCATENATE("#Metadata!", ADDRESS(INDEX($AJ$2:$AJ$1001,MATCH(ROWS($AH$2:AH236),$AH$2:$AH$1001,0),0), INDEX($AO$1004:$BQ$1004,1,MATCH(COLUMNS($AO$1006:BC1006),$AO$1006:$BQ$1006,0)))),"Fix")))</f>
        <v>#N/A</v>
      </c>
      <c r="Q236" s="5" t="e">
        <f ca="1">IF(OR(INDEX($AI$2:$AI$1001,MATCH(ROWS($AH$2:AH236),$AH$2:$AH$1001,0),1)&gt;=100000,INDEX($AO$1005:$BQ$1005,1,MATCH(COLUMNS($AO$1006:BD1006),$AO$1006:$BQ$1006,0))&gt;=100000), " ",IF(INDEX($AO$2:$BQ$1001,MATCH(ROWS($AH$2:AH236),$AH$2:$AH$1001,0),MATCH(COLUMNS($AO$1006:BD1006),$AO$1006:$BQ$1006,0)), HYPERLINK("#",""), HYPERLINK(CONCATENATE("#Metadata!", ADDRESS(INDEX($AJ$2:$AJ$1001,MATCH(ROWS($AH$2:AH236),$AH$2:$AH$1001,0),0), INDEX($AO$1004:$BQ$1004,1,MATCH(COLUMNS($AO$1006:BD1006),$AO$1006:$BQ$1006,0)))),"Fix")))</f>
        <v>#N/A</v>
      </c>
      <c r="R236" s="5" t="e">
        <f ca="1">IF(OR(INDEX($AI$2:$AI$1001,MATCH(ROWS($AH$2:AH236),$AH$2:$AH$1001,0),1)&gt;=100000,INDEX($AO$1005:$BQ$1005,1,MATCH(COLUMNS($AO$1006:BE1006),$AO$1006:$BQ$1006,0))&gt;=100000), " ",IF(INDEX($AO$2:$BQ$1001,MATCH(ROWS($AH$2:AH236),$AH$2:$AH$1001,0),MATCH(COLUMNS($AO$1006:BE1006),$AO$1006:$BQ$1006,0)), HYPERLINK("#",""), HYPERLINK(CONCATENATE("#Metadata!", ADDRESS(INDEX($AJ$2:$AJ$1001,MATCH(ROWS($AH$2:AH236),$AH$2:$AH$1001,0),0), INDEX($AO$1004:$BQ$1004,1,MATCH(COLUMNS($AO$1006:BE1006),$AO$1006:$BQ$1006,0)))),"Fix")))</f>
        <v>#N/A</v>
      </c>
      <c r="S236" s="5" t="e">
        <f ca="1">IF(OR(INDEX($AI$2:$AI$1001,MATCH(ROWS($AH$2:AH236),$AH$2:$AH$1001,0),1)&gt;=100000,INDEX($AO$1005:$BQ$1005,1,MATCH(COLUMNS($AO$1006:BF1006),$AO$1006:$BQ$1006,0))&gt;=100000), " ",IF(INDEX($AO$2:$BQ$1001,MATCH(ROWS($AH$2:AH236),$AH$2:$AH$1001,0),MATCH(COLUMNS($AO$1006:BF1006),$AO$1006:$BQ$1006,0)), HYPERLINK("#",""), HYPERLINK(CONCATENATE("#Metadata!", ADDRESS(INDEX($AJ$2:$AJ$1001,MATCH(ROWS($AH$2:AH236),$AH$2:$AH$1001,0),0), INDEX($AO$1004:$BQ$1004,1,MATCH(COLUMNS($AO$1006:BF1006),$AO$1006:$BQ$1006,0)))),"Fix")))</f>
        <v>#N/A</v>
      </c>
      <c r="T236" s="5" t="e">
        <f ca="1">IF(OR(INDEX($AI$2:$AI$1001,MATCH(ROWS($AH$2:AH236),$AH$2:$AH$1001,0),1)&gt;=100000,INDEX($AO$1005:$BQ$1005,1,MATCH(COLUMNS($AO$1006:BG1006),$AO$1006:$BQ$1006,0))&gt;=100000), " ",IF(INDEX($AO$2:$BQ$1001,MATCH(ROWS($AH$2:AH236),$AH$2:$AH$1001,0),MATCH(COLUMNS($AO$1006:BG1006),$AO$1006:$BQ$1006,0)), HYPERLINK("#",""), HYPERLINK(CONCATENATE("#Metadata!", ADDRESS(INDEX($AJ$2:$AJ$1001,MATCH(ROWS($AH$2:AH236),$AH$2:$AH$1001,0),0), INDEX($AO$1004:$BQ$1004,1,MATCH(COLUMNS($AO$1006:BG1006),$AO$1006:$BQ$1006,0)))),"Fix")))</f>
        <v>#N/A</v>
      </c>
      <c r="U236" s="5" t="e">
        <f ca="1">IF(OR(INDEX($AI$2:$AI$1001,MATCH(ROWS($AH$2:AH236),$AH$2:$AH$1001,0),1)&gt;=100000,INDEX($AO$1005:$BQ$1005,1,MATCH(COLUMNS($AO$1006:BH1006),$AO$1006:$BQ$1006,0))&gt;=100000), " ",IF(INDEX($AO$2:$BQ$1001,MATCH(ROWS($AH$2:AH236),$AH$2:$AH$1001,0),MATCH(COLUMNS($AO$1006:BH1006),$AO$1006:$BQ$1006,0)), HYPERLINK("#",""), HYPERLINK(CONCATENATE("#Metadata!", ADDRESS(INDEX($AJ$2:$AJ$1001,MATCH(ROWS($AH$2:AH236),$AH$2:$AH$1001,0),0), INDEX($AO$1004:$BQ$1004,1,MATCH(COLUMNS($AO$1006:BH1006),$AO$1006:$BQ$1006,0)))),"Fix")))</f>
        <v>#N/A</v>
      </c>
      <c r="V236" s="5" t="e">
        <f ca="1">IF(OR(INDEX($AI$2:$AI$1001,MATCH(ROWS($AH$2:AH236),$AH$2:$AH$1001,0),1)&gt;=100000,INDEX($AO$1005:$BQ$1005,1,MATCH(COLUMNS($AO$1006:BI1006),$AO$1006:$BQ$1006,0))&gt;=100000), " ",IF(INDEX($AO$2:$BQ$1001,MATCH(ROWS($AH$2:AH236),$AH$2:$AH$1001,0),MATCH(COLUMNS($AO$1006:BI1006),$AO$1006:$BQ$1006,0)), HYPERLINK("#",""), HYPERLINK(CONCATENATE("#Metadata!", ADDRESS(INDEX($AJ$2:$AJ$1001,MATCH(ROWS($AH$2:AH236),$AH$2:$AH$1001,0),0), INDEX($AO$1004:$BQ$1004,1,MATCH(COLUMNS($AO$1006:BI1006),$AO$1006:$BQ$1006,0)))),"Fix")))</f>
        <v>#N/A</v>
      </c>
      <c r="W236" s="5" t="e">
        <f ca="1">IF(OR(INDEX($AI$2:$AI$1001,MATCH(ROWS($AH$2:AH236),$AH$2:$AH$1001,0),1)&gt;=100000,INDEX($AO$1005:$BQ$1005,1,MATCH(COLUMNS($AO$1006:BJ1006),$AO$1006:$BQ$1006,0))&gt;=100000), " ",IF(INDEX($AO$2:$BQ$1001,MATCH(ROWS($AH$2:AH236),$AH$2:$AH$1001,0),MATCH(COLUMNS($AO$1006:BJ1006),$AO$1006:$BQ$1006,0)), HYPERLINK("#",""), HYPERLINK(CONCATENATE("#Metadata!", ADDRESS(INDEX($AJ$2:$AJ$1001,MATCH(ROWS($AH$2:AH236),$AH$2:$AH$1001,0),0), INDEX($AO$1004:$BQ$1004,1,MATCH(COLUMNS($AO$1006:BJ1006),$AO$1006:$BQ$1006,0)))),"Fix")))</f>
        <v>#N/A</v>
      </c>
      <c r="X236" s="5" t="e">
        <f ca="1">IF(OR(INDEX($AI$2:$AI$1001,MATCH(ROWS($AH$2:AH236),$AH$2:$AH$1001,0),1)&gt;=100000,INDEX($AO$1005:$BQ$1005,1,MATCH(COLUMNS($AO$1006:BK1006),$AO$1006:$BQ$1006,0))&gt;=100000), " ",IF(INDEX($AO$2:$BQ$1001,MATCH(ROWS($AH$2:AH236),$AH$2:$AH$1001,0),MATCH(COLUMNS($AO$1006:BK1006),$AO$1006:$BQ$1006,0)), HYPERLINK("#",""), HYPERLINK(CONCATENATE("#Metadata!", ADDRESS(INDEX($AJ$2:$AJ$1001,MATCH(ROWS($AH$2:AH236),$AH$2:$AH$1001,0),0), INDEX($AO$1004:$BQ$1004,1,MATCH(COLUMNS($AO$1006:BK1006),$AO$1006:$BQ$1006,0)))),"Fix")))</f>
        <v>#N/A</v>
      </c>
      <c r="Y236" s="5" t="e">
        <f ca="1">IF(OR(INDEX($AI$2:$AI$1001,MATCH(ROWS($AH$2:AH236),$AH$2:$AH$1001,0),1)&gt;=100000,INDEX($AO$1005:$BQ$1005,1,MATCH(COLUMNS($AO$1006:BL1006),$AO$1006:$BQ$1006,0))&gt;=100000), " ",IF(INDEX($AO$2:$BQ$1001,MATCH(ROWS($AH$2:AH236),$AH$2:$AH$1001,0),MATCH(COLUMNS($AO$1006:BL1006),$AO$1006:$BQ$1006,0)), HYPERLINK("#",""), HYPERLINK(CONCATENATE("#Metadata!", ADDRESS(INDEX($AJ$2:$AJ$1001,MATCH(ROWS($AH$2:AH236),$AH$2:$AH$1001,0),0), INDEX($AO$1004:$BQ$1004,1,MATCH(COLUMNS($AO$1006:BL1006),$AO$1006:$BQ$1006,0)))),"Fix")))</f>
        <v>#N/A</v>
      </c>
      <c r="Z236" s="5" t="e">
        <f ca="1">IF(OR(INDEX($AI$2:$AI$1001,MATCH(ROWS($AH$2:AH236),$AH$2:$AH$1001,0),1)&gt;=100000,INDEX($AO$1005:$BQ$1005,1,MATCH(COLUMNS($AO$1006:BM1006),$AO$1006:$BQ$1006,0))&gt;=100000), " ",IF(INDEX($AO$2:$BQ$1001,MATCH(ROWS($AH$2:AH236),$AH$2:$AH$1001,0),MATCH(COLUMNS($AO$1006:BM1006),$AO$1006:$BQ$1006,0)), HYPERLINK("#",""), HYPERLINK(CONCATENATE("#Metadata!", ADDRESS(INDEX($AJ$2:$AJ$1001,MATCH(ROWS($AH$2:AH236),$AH$2:$AH$1001,0),0), INDEX($AO$1004:$BQ$1004,1,MATCH(COLUMNS($AO$1006:BM1006),$AO$1006:$BQ$1006,0)))),"Fix")))</f>
        <v>#N/A</v>
      </c>
      <c r="AA236" s="5" t="e">
        <f ca="1">IF(OR(INDEX($AI$2:$AI$1001,MATCH(ROWS($AH$2:AH236),$AH$2:$AH$1001,0),1)&gt;=100000,INDEX($AO$1005:$BQ$1005,1,MATCH(COLUMNS($AO$1006:BN1006),$AO$1006:$BQ$1006,0))&gt;=100000), " ",IF(INDEX($AO$2:$BQ$1001,MATCH(ROWS($AH$2:AH236),$AH$2:$AH$1001,0),MATCH(COLUMNS($AO$1006:BN1006),$AO$1006:$BQ$1006,0)), HYPERLINK("#",""), HYPERLINK(CONCATENATE("#Metadata!", ADDRESS(INDEX($AJ$2:$AJ$1001,MATCH(ROWS($AH$2:AH236),$AH$2:$AH$1001,0),0), INDEX($AO$1004:$BQ$1004,1,MATCH(COLUMNS($AO$1006:BN1006),$AO$1006:$BQ$1006,0)))),"Fix")))</f>
        <v>#N/A</v>
      </c>
      <c r="AB236" s="5" t="e">
        <f ca="1">IF(OR(INDEX($AI$2:$AI$1001,MATCH(ROWS($AH$2:AH236),$AH$2:$AH$1001,0),1)&gt;=100000,INDEX($AO$1005:$BQ$1005,1,MATCH(COLUMNS($AO$1006:BO1006),$AO$1006:$BQ$1006,0))&gt;=100000), " ",IF(INDEX($AO$2:$BQ$1001,MATCH(ROWS($AH$2:AH236),$AH$2:$AH$1001,0),MATCH(COLUMNS($AO$1006:BO1006),$AO$1006:$BQ$1006,0)), HYPERLINK("#",""), HYPERLINK(CONCATENATE("#Metadata!", ADDRESS(INDEX($AJ$2:$AJ$1001,MATCH(ROWS($AH$2:AH236),$AH$2:$AH$1001,0),0), INDEX($AO$1004:$BQ$1004,1,MATCH(COLUMNS($AO$1006:BO1006),$AO$1006:$BQ$1006,0)))),"Fix")))</f>
        <v>#N/A</v>
      </c>
      <c r="AC236" s="5" t="e">
        <f ca="1">IF(OR(INDEX($AI$2:$AI$1001,MATCH(ROWS($AH$2:AH236),$AH$2:$AH$1001,0),1)&gt;=100000,INDEX($AO$1005:$BQ$1005,1,MATCH(COLUMNS($AO$1006:BP1006),$AO$1006:$BQ$1006,0))&gt;=100000), " ",IF(INDEX($AO$2:$BQ$1001,MATCH(ROWS($AH$2:AH236),$AH$2:$AH$1001,0),MATCH(COLUMNS($AO$1006:BP1006),$AO$1006:$BQ$1006,0)), HYPERLINK("#",""), HYPERLINK(CONCATENATE("#Metadata!", ADDRESS(INDEX($AJ$2:$AJ$1001,MATCH(ROWS($AH$2:AH236),$AH$2:$AH$1001,0),0), INDEX($AO$1004:$BQ$1004,1,MATCH(COLUMNS($AO$1006:BP1006),$AO$1006:$BQ$1006,0)))),"Fix")))</f>
        <v>#N/A</v>
      </c>
      <c r="AD236" s="5" t="e">
        <f ca="1">IF(OR(INDEX($AI$2:$AI$1001,MATCH(ROWS($AH$2:AH236),$AH$2:$AH$1001,0),1)&gt;=100000,INDEX($AO$1005:$BQ$1005,1,MATCH(COLUMNS($AO$1006:BQ1006),$AO$1006:$BQ$1006,0))&gt;=100000), " ",IF(INDEX($AO$2:$BQ$1001,MATCH(ROWS($AH$2:AH236),$AH$2:$AH$1001,0),MATCH(COLUMNS($AO$1006:BQ1006),$AO$1006:$BQ$1006,0)), HYPERLINK("#",""), HYPERLINK(CONCATENATE("#Metadata!", ADDRESS(INDEX($AJ$2:$AJ$1001,MATCH(ROWS($AH$2:AH236),$AH$2:$AH$1001,0),0), INDEX($AO$1004:$BQ$1004,1,MATCH(COLUMNS($AO$1006:BQ1006),$AO$1006:$BQ$1006,0)))),"Fix")))</f>
        <v>#REF!</v>
      </c>
      <c r="AH236">
        <f ca="1"/>
        <v>233</v>
      </c>
      <c r="AI236">
        <v>100236</v>
      </c>
      <c r="AJ236">
        <v>236</v>
      </c>
      <c r="AK236" t="b">
        <f t="shared" si="3"/>
        <v>1</v>
      </c>
      <c r="AL236" t="b">
        <f>COUNTBLANK(Metadata!B236:AD236)=COLUMNS(Metadata!B236:AD236)</f>
        <v>1</v>
      </c>
      <c r="AM236" t="str">
        <v/>
      </c>
      <c r="AO236" t="b">
        <f ca="1">AND(IF(Metadata!B236="",FALSE,TRUE),COUNTIF(Metadata!B:B, Metadata!B236) = 1,NOT(ISERROR(SUMPRODUCT(SEARCH(MID(Metadata!B236,ROW(INDIRECT("1:"&amp;LEN(Metadata!B236))), 1),"0123456789abcdefghijklmnopqrstuvwxyzABCDEFGHIJKLMNOPQRSTUVWXYZ.")))))</f>
        <v>0</v>
      </c>
      <c r="AP236" t="b">
        <f>IF(Metadata!C236="",FALSE,TRUE)</f>
        <v>0</v>
      </c>
      <c r="AQ236" t="b">
        <f>IF(Metadata!D236="",FALSE,TRUE)</f>
        <v>0</v>
      </c>
      <c r="AR236" t="b">
        <f ca="1">OR(AND(IF(Metadata!E236="",FALSE,TRUE),OR(EXACT(Metadata!E236,"not collected"),EXACT(Metadata!E236,"not provided"),EXACT(Metadata!E236,"restricted access"))),AND(IF(Metadata!E236="",FALSE,TRUE),AND(AND(IFERROR(INT(LEFT(Metadata!E236,4))&gt;1900,FALSE),IFERROR(INT(LEFT(Metadata!E236,4))&lt;=YEAR(NOW()),FALSE)), OR(MID(Metadata!E236,5,1)="", AND(AND(MID(Metadata!E236,5,1)="-",IFERROR(INT(MID(Metadata!E236,6,1))&gt;=0,FALSE),IFERROR(INT(MID(Metadata!E236,6,1))&lt;=1,FALSE),NOT(MID(Metadata!E236,7,1)=""),IFERROR(INT(MID(Metadata!E236,6,2))&gt;=1,FALSE),IFERROR(INT(MID(Metadata!E236,6,2))&lt;=12,FALSE)), OR(MID(Metadata!E236,8,1)="", AND(AND(MID(Metadata!E236,8,1)="-",IFERROR(INT(MID(Metadata!E236,9,1))&gt;=0,FALSE),IFERROR(INT(MID(Metadata!E236,9,1))&lt;=3,FALSE),NOT(MID(Metadata!E236,10,1)=""),IFERROR(INT(MID(Metadata!E236,9,2))&gt;=1,FALSE),IFERROR(INT(MID(Metadata!E236,9,2))&lt;=31,FALSE)), OR(MID(Metadata!E236,11,1)="", AND(AND(MID(Metadata!E236,11,1)=" ",IFERROR(INT(MID(Metadata!E236,12,1))&gt;=0,FALSE),IFERROR(INT(MID(Metadata!E236,12,1))&lt;=2,FALSE),NOT(MID(Metadata!E236,13,1)=""),IFERROR(INT(MID(Metadata!E236,12,2))&gt;=0,FALSE),IFERROR(INT(MID(Metadata!E236,12,2))&lt;=23,FALSE)), OR(MID(Metadata!E236,14,1)="", AND(AND(MID(Metadata!E236,14,1)=":",IFERROR(INT(MID(Metadata!E236,15,1))&gt;=0,FALSE),IFERROR(INT(MID(Metadata!E236,15,1))&lt;=5,FALSE),NOT(MID(Metadata!E236,16,1)=""),IFERROR(INT(MID(Metadata!E236,15,2))&gt;=0,FALSE),IFERROR(INT(MID(Metadata!E236,15,2))&lt;=59,FALSE)), OR(MID(Metadata!E236,17,1)="", AND(AND(MID(Metadata!E236,17,1)=":",IFERROR(INT(MID(Metadata!E236,18,1))&gt;=0,FALSE),IFERROR(INT(MID(Metadata!E236,18,1))&lt;=5,FALSE),NOT(MID(Metadata!E236,19,1)=""),IFERROR(INT(MID(Metadata!E236,18,2))&gt;=0,FALSE),IFERROR(INT(MID(Metadata!E236,18,2))&lt;=59,FALSE)), LEN(Metadata!E236)&lt;=19)))))))))))))</f>
        <v>0</v>
      </c>
      <c r="AS236" t="b">
        <f>IF(Metadata!F236="",FALSE,TRUE)</f>
        <v>0</v>
      </c>
      <c r="AT236" t="b">
        <f>OR(AND(IF(Metadata!G236="",FALSE,TRUE),OR(EXACT(Metadata!G236,"not collected"),EXACT(Metadata!G236,"not provided"))),AND(IF(Metadata!G236="",FALSE,TRUE),OR(EXACT(Metadata!G236,"TRUE"),EXACT(Metadata!G236,"FALSE"))))</f>
        <v>0</v>
      </c>
      <c r="AU236" t="b">
        <f>OR(AND(IF(Metadata!H236="",FALSE,TRUE),OR(EXACT(Metadata!H236,"not collected"),EXACT(Metadata!H236,"not provided"),EXACT(Metadata!H236,"restricted access"))),AND(IF(Metadata!H236="",FALSE,ISNUMBER(VALUE(Metadata!H236))),Metadata!H236&gt;=-413))</f>
        <v>0</v>
      </c>
      <c r="AV236" t="b">
        <f>AND(IF(Metadata!I236="",FALSE,TRUE),EXACT(Metadata!I236,"meters"))</f>
        <v>0</v>
      </c>
      <c r="AW236" t="b">
        <f>AND(IF(Metadata!J236="",FALSE,TRUE),EXACT(Metadata!J236,"free-living"))</f>
        <v>0</v>
      </c>
      <c r="AX236" t="b">
        <f>AND(IF(Metadata!K236="",FALSE,TRUE),OR(EXACT(Metadata!K236,"saline"),EXACT(Metadata!K236,"non-saline")))</f>
        <v>0</v>
      </c>
      <c r="AY236" t="b">
        <f>AND(IF(Metadata!L236="",FALSE,TRUE),OR(EXACT(Metadata!L236,"sub-surface (non-saline)"),EXACT(Metadata!L236,"surface (non-saline)"),EXACT(Metadata!L236,"water (non-saline)"),EXACT(Metadata!L236,"soil (non-saline)"),EXACT(Metadata!L236,"aerosol (non-saline)"),EXACT(Metadata!L236,"sediment (non-saline)"),EXACT(Metadata!L236,"surface (saline)"),EXACT(Metadata!L236,"water (saline)"),EXACT(Metadata!L236,"hypersaline (saline)"),EXACT(Metadata!L236,"aerosol (saline)"),EXACT(Metadata!L236,"sediment (saline)")))</f>
        <v>0</v>
      </c>
      <c r="AZ236" t="b">
        <f>IF(Metadata!M236="",FALSE,TRUE)</f>
        <v>0</v>
      </c>
      <c r="BA236" t="b">
        <f>IF(Metadata!N236="",FALSE,TRUE)</f>
        <v>0</v>
      </c>
      <c r="BB236" t="b">
        <f>IF(Metadata!O236="",FALSE,TRUE)</f>
        <v>0</v>
      </c>
      <c r="BC236" t="b">
        <f>AND(IF(Metadata!P236="",FALSE,TRUE),OR(EXACT(Metadata!P236,"air"),EXACT(Metadata!P236,"microbial mat/biofilm"),EXACT(Metadata!P236,"misc environment"),EXACT(Metadata!P236,"sediment"),EXACT(Metadata!P236,"soil"),EXACT(Metadata!P236,"wastewater/sludge"),EXACT(Metadata!P236,"water")))</f>
        <v>0</v>
      </c>
      <c r="BD236" t="b">
        <f>IF(Metadata!Q236="",FALSE,TRUE)</f>
        <v>0</v>
      </c>
      <c r="BE236" t="b">
        <f>IF(Metadata!R236="",FALSE,TRUE)</f>
        <v>0</v>
      </c>
      <c r="BF236" t="b">
        <f>OR(AND(IF(Metadata!S236="",FALSE,TRUE),OR(EXACT(Metadata!S236,"not collected"),EXACT(Metadata!S236,"not provided"),EXACT(Metadata!S236,"restricted access"))),AND(IF(Metadata!S236="",FALSE,ISNUMBER(VALUE(Metadata!S236))),Metadata!S236&gt;=-90,Metadata!S236&lt;=90))</f>
        <v>0</v>
      </c>
      <c r="BG236" t="b">
        <f>AND(IF(Metadata!T236="",FALSE,TRUE),EXACT(Metadata!T236,"Decimal degrees"))</f>
        <v>0</v>
      </c>
      <c r="BH236" t="b">
        <f>OR(AND(IF(Metadata!U236="",FALSE,TRUE),OR(EXACT(Metadata!U236,"not applicable"),EXACT(Metadata!U236,"not collected"))),IF(Metadata!U236="",FALSE,TRUE))</f>
        <v>0</v>
      </c>
      <c r="BI236" t="b">
        <f>OR(AND(IF(Metadata!V236="",FALSE,TRUE),OR(EXACT(Metadata!V236,"not collected"),EXACT(Metadata!V236,"not provided"),EXACT(Metadata!V236,"restricted access"))),AND(IF(Metadata!V236="",FALSE,ISNUMBER(VALUE(Metadata!V236))),Metadata!V236&gt;=-180,Metadata!V236&lt;=180))</f>
        <v>0</v>
      </c>
      <c r="BJ236" t="b">
        <f>AND(IF(Metadata!W236="",FALSE,TRUE),EXACT(Metadata!W236,"Decimal degrees"))</f>
        <v>0</v>
      </c>
      <c r="BK236" t="b">
        <f>IF(Metadata!X236="",FALSE,TRUE)</f>
        <v>0</v>
      </c>
      <c r="BL236" t="b">
        <f>OR(AND(IF(Metadata!Y236="",FALSE,TRUE),OR(EXACT(Metadata!Y236,"not collected"),EXACT(Metadata!Y236,"not provided"),EXACT(Metadata!Y236,"restricted access"))),AND(IF(Metadata!Y236="",FALSE,TRUE),OR(EXACT(Metadata!Y236,"TRUE"),EXACT(Metadata!Y236,"FALSE"))))</f>
        <v>0</v>
      </c>
      <c r="BM236" t="b">
        <f>OR(AND(IF(Metadata!Z236="",FALSE,TRUE),EXACT(Metadata!Z236,"not applicable")),AND(IF(Metadata!Z236="",FALSE,TRUE),OR(EXACT(Metadata!Z236,"beer"),EXACT(Metadata!Z236,"cheese"),EXACT(Metadata!Z236,"fresh water"),EXACT(Metadata!Z236,"marine sediment"),EXACT(Metadata!Z236,"sea water"),EXACT(Metadata!Z236,"sediment"),EXACT(Metadata!Z236,"soil"),EXACT(Metadata!Z236,"waste water"))))</f>
        <v>0</v>
      </c>
      <c r="BN236" t="b">
        <f>AND(IF(Metadata!AA236="",FALSE,TRUE),EXACT(Metadata!AA236,"metagenome"))</f>
        <v>0</v>
      </c>
      <c r="BO236" t="b">
        <f>AND(IF(Metadata!AB236="",FALSE,TRUE),EXACT(Metadata!AB236,"256318"))</f>
        <v>0</v>
      </c>
      <c r="BP236" t="b">
        <f>IF(Metadata!AC236="",FALSE,TRUE)</f>
        <v>0</v>
      </c>
      <c r="BQ236" t="b">
        <f>IF(Metadata!AD236="",FALSE,TRUE)</f>
        <v>0</v>
      </c>
    </row>
    <row r="237" spans="1:69" x14ac:dyDescent="0.2">
      <c r="A237" s="4" t="e">
        <f ca="1">IF(B237=" "," ",HYPERLINK(CONCATENATE("#metadata!",ADDRESS(INDEX($AJ$2:$AJ$1001,MATCH(ROWS($AH$2:AH237),$AH$2:$AH$1001,0),0),2)),INDEX($AM$2:$AM$1001,MATCH(ROWS($AH$2:AH237),$AH$2:$AH$1001,0),0)))</f>
        <v>#N/A</v>
      </c>
      <c r="B237" s="5" t="e">
        <f ca="1">IF(OR(INDEX($AI$2:$AI$1001,MATCH(ROWS($AH$2:AH237),$AH$2:$AH$1001,0),1)&gt;=100000,INDEX($AO$1005:$BQ$1005,1,MATCH(COLUMNS($AO$1006:AO1006),$AO$1006:$BQ$1006,0))&gt;=100000), " ",IF(INDEX($AO$2:$BQ$1001,MATCH(ROWS($AH$2:AH237),$AH$2:$AH$1001,0),MATCH(COLUMNS($AO$1006:AO1006),$AO$1006:$BQ$1006,0)), HYPERLINK("#",""), HYPERLINK(CONCATENATE("#Metadata!", ADDRESS(INDEX($AJ$2:$AJ$1001,MATCH(ROWS($AH$2:AH237),$AH$2:$AH$1001,0),0), INDEX($AO$1004:$BQ$1004,1,MATCH(COLUMNS($AO$1006:AO1006),$AO$1006:$BQ$1006,0)))),"Fix")))</f>
        <v>#N/A</v>
      </c>
      <c r="C237" s="5" t="e">
        <f ca="1">IF(OR(INDEX($AI$2:$AI$1001,MATCH(ROWS($AH$2:AH237),$AH$2:$AH$1001,0),1)&gt;=100000,INDEX($AO$1005:$BQ$1005,1,MATCH(COLUMNS($AO$1006:AP1006),$AO$1006:$BQ$1006,0))&gt;=100000), " ",IF(INDEX($AO$2:$BQ$1001,MATCH(ROWS($AH$2:AH237),$AH$2:$AH$1001,0),MATCH(COLUMNS($AO$1006:AP1006),$AO$1006:$BQ$1006,0)), HYPERLINK("#",""), HYPERLINK(CONCATENATE("#Metadata!", ADDRESS(INDEX($AJ$2:$AJ$1001,MATCH(ROWS($AH$2:AH237),$AH$2:$AH$1001,0),0), INDEX($AO$1004:$BQ$1004,1,MATCH(COLUMNS($AO$1006:AP1006),$AO$1006:$BQ$1006,0)))),"Fix")))</f>
        <v>#N/A</v>
      </c>
      <c r="D237" s="5" t="e">
        <f ca="1">IF(OR(INDEX($AI$2:$AI$1001,MATCH(ROWS($AH$2:AH237),$AH$2:$AH$1001,0),1)&gt;=100000,INDEX($AO$1005:$BQ$1005,1,MATCH(COLUMNS($AO$1006:AQ1006),$AO$1006:$BQ$1006,0))&gt;=100000), " ",IF(INDEX($AO$2:$BQ$1001,MATCH(ROWS($AH$2:AH237),$AH$2:$AH$1001,0),MATCH(COLUMNS($AO$1006:AQ1006),$AO$1006:$BQ$1006,0)), HYPERLINK("#",""), HYPERLINK(CONCATENATE("#Metadata!", ADDRESS(INDEX($AJ$2:$AJ$1001,MATCH(ROWS($AH$2:AH237),$AH$2:$AH$1001,0),0), INDEX($AO$1004:$BQ$1004,1,MATCH(COLUMNS($AO$1006:AQ1006),$AO$1006:$BQ$1006,0)))),"Fix")))</f>
        <v>#N/A</v>
      </c>
      <c r="E237" s="5" t="e">
        <f ca="1">IF(OR(INDEX($AI$2:$AI$1001,MATCH(ROWS($AH$2:AH237),$AH$2:$AH$1001,0),1)&gt;=100000,INDEX($AO$1005:$BQ$1005,1,MATCH(COLUMNS($AO$1006:AR1006),$AO$1006:$BQ$1006,0))&gt;=100000), " ",IF(INDEX($AO$2:$BQ$1001,MATCH(ROWS($AH$2:AH237),$AH$2:$AH$1001,0),MATCH(COLUMNS($AO$1006:AR1006),$AO$1006:$BQ$1006,0)), HYPERLINK("#",""), HYPERLINK(CONCATENATE("#Metadata!", ADDRESS(INDEX($AJ$2:$AJ$1001,MATCH(ROWS($AH$2:AH237),$AH$2:$AH$1001,0),0), INDEX($AO$1004:$BQ$1004,1,MATCH(COLUMNS($AO$1006:AR1006),$AO$1006:$BQ$1006,0)))),"Fix")))</f>
        <v>#N/A</v>
      </c>
      <c r="F237" s="5" t="e">
        <f ca="1">IF(OR(INDEX($AI$2:$AI$1001,MATCH(ROWS($AH$2:AH237),$AH$2:$AH$1001,0),1)&gt;=100000,INDEX($AO$1005:$BQ$1005,1,MATCH(COLUMNS($AO$1006:AS1006),$AO$1006:$BQ$1006,0))&gt;=100000), " ",IF(INDEX($AO$2:$BQ$1001,MATCH(ROWS($AH$2:AH237),$AH$2:$AH$1001,0),MATCH(COLUMNS($AO$1006:AS1006),$AO$1006:$BQ$1006,0)), HYPERLINK("#",""), HYPERLINK(CONCATENATE("#Metadata!", ADDRESS(INDEX($AJ$2:$AJ$1001,MATCH(ROWS($AH$2:AH237),$AH$2:$AH$1001,0),0), INDEX($AO$1004:$BQ$1004,1,MATCH(COLUMNS($AO$1006:AS1006),$AO$1006:$BQ$1006,0)))),"Fix")))</f>
        <v>#N/A</v>
      </c>
      <c r="G237" s="5" t="e">
        <f ca="1">IF(OR(INDEX($AI$2:$AI$1001,MATCH(ROWS($AH$2:AH237),$AH$2:$AH$1001,0),1)&gt;=100000,INDEX($AO$1005:$BQ$1005,1,MATCH(COLUMNS($AO$1006:AT1006),$AO$1006:$BQ$1006,0))&gt;=100000), " ",IF(INDEX($AO$2:$BQ$1001,MATCH(ROWS($AH$2:AH237),$AH$2:$AH$1001,0),MATCH(COLUMNS($AO$1006:AT1006),$AO$1006:$BQ$1006,0)), HYPERLINK("#",""), HYPERLINK(CONCATENATE("#Metadata!", ADDRESS(INDEX($AJ$2:$AJ$1001,MATCH(ROWS($AH$2:AH237),$AH$2:$AH$1001,0),0), INDEX($AO$1004:$BQ$1004,1,MATCH(COLUMNS($AO$1006:AT1006),$AO$1006:$BQ$1006,0)))),"Fix")))</f>
        <v>#N/A</v>
      </c>
      <c r="H237" s="5" t="e">
        <f ca="1">IF(OR(INDEX($AI$2:$AI$1001,MATCH(ROWS($AH$2:AH237),$AH$2:$AH$1001,0),1)&gt;=100000,INDEX($AO$1005:$BQ$1005,1,MATCH(COLUMNS($AO$1006:AU1006),$AO$1006:$BQ$1006,0))&gt;=100000), " ",IF(INDEX($AO$2:$BQ$1001,MATCH(ROWS($AH$2:AH237),$AH$2:$AH$1001,0),MATCH(COLUMNS($AO$1006:AU1006),$AO$1006:$BQ$1006,0)), HYPERLINK("#",""), HYPERLINK(CONCATENATE("#Metadata!", ADDRESS(INDEX($AJ$2:$AJ$1001,MATCH(ROWS($AH$2:AH237),$AH$2:$AH$1001,0),0), INDEX($AO$1004:$BQ$1004,1,MATCH(COLUMNS($AO$1006:AU1006),$AO$1006:$BQ$1006,0)))),"Fix")))</f>
        <v>#N/A</v>
      </c>
      <c r="I237" s="5" t="e">
        <f ca="1">IF(OR(INDEX($AI$2:$AI$1001,MATCH(ROWS($AH$2:AH237),$AH$2:$AH$1001,0),1)&gt;=100000,INDEX($AO$1005:$BQ$1005,1,MATCH(COLUMNS($AO$1006:AV1006),$AO$1006:$BQ$1006,0))&gt;=100000), " ",IF(INDEX($AO$2:$BQ$1001,MATCH(ROWS($AH$2:AH237),$AH$2:$AH$1001,0),MATCH(COLUMNS($AO$1006:AV1006),$AO$1006:$BQ$1006,0)), HYPERLINK("#",""), HYPERLINK(CONCATENATE("#Metadata!", ADDRESS(INDEX($AJ$2:$AJ$1001,MATCH(ROWS($AH$2:AH237),$AH$2:$AH$1001,0),0), INDEX($AO$1004:$BQ$1004,1,MATCH(COLUMNS($AO$1006:AV1006),$AO$1006:$BQ$1006,0)))),"Fix")))</f>
        <v>#N/A</v>
      </c>
      <c r="J237" s="5" t="e">
        <f ca="1">IF(OR(INDEX($AI$2:$AI$1001,MATCH(ROWS($AH$2:AH237),$AH$2:$AH$1001,0),1)&gt;=100000,INDEX($AO$1005:$BQ$1005,1,MATCH(COLUMNS($AO$1006:AW1006),$AO$1006:$BQ$1006,0))&gt;=100000), " ",IF(INDEX($AO$2:$BQ$1001,MATCH(ROWS($AH$2:AH237),$AH$2:$AH$1001,0),MATCH(COLUMNS($AO$1006:AW1006),$AO$1006:$BQ$1006,0)), HYPERLINK("#",""), HYPERLINK(CONCATENATE("#Metadata!", ADDRESS(INDEX($AJ$2:$AJ$1001,MATCH(ROWS($AH$2:AH237),$AH$2:$AH$1001,0),0), INDEX($AO$1004:$BQ$1004,1,MATCH(COLUMNS($AO$1006:AW1006),$AO$1006:$BQ$1006,0)))),"Fix")))</f>
        <v>#N/A</v>
      </c>
      <c r="K237" s="5" t="e">
        <f ca="1">IF(OR(INDEX($AI$2:$AI$1001,MATCH(ROWS($AH$2:AH237),$AH$2:$AH$1001,0),1)&gt;=100000,INDEX($AO$1005:$BQ$1005,1,MATCH(COLUMNS($AO$1006:AX1006),$AO$1006:$BQ$1006,0))&gt;=100000), " ",IF(INDEX($AO$2:$BQ$1001,MATCH(ROWS($AH$2:AH237),$AH$2:$AH$1001,0),MATCH(COLUMNS($AO$1006:AX1006),$AO$1006:$BQ$1006,0)), HYPERLINK("#",""), HYPERLINK(CONCATENATE("#Metadata!", ADDRESS(INDEX($AJ$2:$AJ$1001,MATCH(ROWS($AH$2:AH237),$AH$2:$AH$1001,0),0), INDEX($AO$1004:$BQ$1004,1,MATCH(COLUMNS($AO$1006:AX1006),$AO$1006:$BQ$1006,0)))),"Fix")))</f>
        <v>#N/A</v>
      </c>
      <c r="L237" s="5" t="e">
        <f ca="1">IF(OR(INDEX($AI$2:$AI$1001,MATCH(ROWS($AH$2:AH237),$AH$2:$AH$1001,0),1)&gt;=100000,INDEX($AO$1005:$BQ$1005,1,MATCH(COLUMNS($AO$1006:AY1006),$AO$1006:$BQ$1006,0))&gt;=100000), " ",IF(INDEX($AO$2:$BQ$1001,MATCH(ROWS($AH$2:AH237),$AH$2:$AH$1001,0),MATCH(COLUMNS($AO$1006:AY1006),$AO$1006:$BQ$1006,0)), HYPERLINK("#",""), HYPERLINK(CONCATENATE("#Metadata!", ADDRESS(INDEX($AJ$2:$AJ$1001,MATCH(ROWS($AH$2:AH237),$AH$2:$AH$1001,0),0), INDEX($AO$1004:$BQ$1004,1,MATCH(COLUMNS($AO$1006:AY1006),$AO$1006:$BQ$1006,0)))),"Fix")))</f>
        <v>#N/A</v>
      </c>
      <c r="M237" s="5" t="e">
        <f ca="1">IF(OR(INDEX($AI$2:$AI$1001,MATCH(ROWS($AH$2:AH237),$AH$2:$AH$1001,0),1)&gt;=100000,INDEX($AO$1005:$BQ$1005,1,MATCH(COLUMNS($AO$1006:AZ1006),$AO$1006:$BQ$1006,0))&gt;=100000), " ",IF(INDEX($AO$2:$BQ$1001,MATCH(ROWS($AH$2:AH237),$AH$2:$AH$1001,0),MATCH(COLUMNS($AO$1006:AZ1006),$AO$1006:$BQ$1006,0)), HYPERLINK("#",""), HYPERLINK(CONCATENATE("#Metadata!", ADDRESS(INDEX($AJ$2:$AJ$1001,MATCH(ROWS($AH$2:AH237),$AH$2:$AH$1001,0),0), INDEX($AO$1004:$BQ$1004,1,MATCH(COLUMNS($AO$1006:AZ1006),$AO$1006:$BQ$1006,0)))),"Fix")))</f>
        <v>#N/A</v>
      </c>
      <c r="N237" s="5" t="e">
        <f ca="1">IF(OR(INDEX($AI$2:$AI$1001,MATCH(ROWS($AH$2:AH237),$AH$2:$AH$1001,0),1)&gt;=100000,INDEX($AO$1005:$BQ$1005,1,MATCH(COLUMNS($AO$1006:BA1006),$AO$1006:$BQ$1006,0))&gt;=100000), " ",IF(INDEX($AO$2:$BQ$1001,MATCH(ROWS($AH$2:AH237),$AH$2:$AH$1001,0),MATCH(COLUMNS($AO$1006:BA1006),$AO$1006:$BQ$1006,0)), HYPERLINK("#",""), HYPERLINK(CONCATENATE("#Metadata!", ADDRESS(INDEX($AJ$2:$AJ$1001,MATCH(ROWS($AH$2:AH237),$AH$2:$AH$1001,0),0), INDEX($AO$1004:$BQ$1004,1,MATCH(COLUMNS($AO$1006:BA1006),$AO$1006:$BQ$1006,0)))),"Fix")))</f>
        <v>#N/A</v>
      </c>
      <c r="O237" s="5" t="e">
        <f ca="1">IF(OR(INDEX($AI$2:$AI$1001,MATCH(ROWS($AH$2:AH237),$AH$2:$AH$1001,0),1)&gt;=100000,INDEX($AO$1005:$BQ$1005,1,MATCH(COLUMNS($AO$1006:BB1006),$AO$1006:$BQ$1006,0))&gt;=100000), " ",IF(INDEX($AO$2:$BQ$1001,MATCH(ROWS($AH$2:AH237),$AH$2:$AH$1001,0),MATCH(COLUMNS($AO$1006:BB1006),$AO$1006:$BQ$1006,0)), HYPERLINK("#",""), HYPERLINK(CONCATENATE("#Metadata!", ADDRESS(INDEX($AJ$2:$AJ$1001,MATCH(ROWS($AH$2:AH237),$AH$2:$AH$1001,0),0), INDEX($AO$1004:$BQ$1004,1,MATCH(COLUMNS($AO$1006:BB1006),$AO$1006:$BQ$1006,0)))),"Fix")))</f>
        <v>#N/A</v>
      </c>
      <c r="P237" s="5" t="e">
        <f ca="1">IF(OR(INDEX($AI$2:$AI$1001,MATCH(ROWS($AH$2:AH237),$AH$2:$AH$1001,0),1)&gt;=100000,INDEX($AO$1005:$BQ$1005,1,MATCH(COLUMNS($AO$1006:BC1006),$AO$1006:$BQ$1006,0))&gt;=100000), " ",IF(INDEX($AO$2:$BQ$1001,MATCH(ROWS($AH$2:AH237),$AH$2:$AH$1001,0),MATCH(COLUMNS($AO$1006:BC1006),$AO$1006:$BQ$1006,0)), HYPERLINK("#",""), HYPERLINK(CONCATENATE("#Metadata!", ADDRESS(INDEX($AJ$2:$AJ$1001,MATCH(ROWS($AH$2:AH237),$AH$2:$AH$1001,0),0), INDEX($AO$1004:$BQ$1004,1,MATCH(COLUMNS($AO$1006:BC1006),$AO$1006:$BQ$1006,0)))),"Fix")))</f>
        <v>#N/A</v>
      </c>
      <c r="Q237" s="5" t="e">
        <f ca="1">IF(OR(INDEX($AI$2:$AI$1001,MATCH(ROWS($AH$2:AH237),$AH$2:$AH$1001,0),1)&gt;=100000,INDEX($AO$1005:$BQ$1005,1,MATCH(COLUMNS($AO$1006:BD1006),$AO$1006:$BQ$1006,0))&gt;=100000), " ",IF(INDEX($AO$2:$BQ$1001,MATCH(ROWS($AH$2:AH237),$AH$2:$AH$1001,0),MATCH(COLUMNS($AO$1006:BD1006),$AO$1006:$BQ$1006,0)), HYPERLINK("#",""), HYPERLINK(CONCATENATE("#Metadata!", ADDRESS(INDEX($AJ$2:$AJ$1001,MATCH(ROWS($AH$2:AH237),$AH$2:$AH$1001,0),0), INDEX($AO$1004:$BQ$1004,1,MATCH(COLUMNS($AO$1006:BD1006),$AO$1006:$BQ$1006,0)))),"Fix")))</f>
        <v>#N/A</v>
      </c>
      <c r="R237" s="5" t="e">
        <f ca="1">IF(OR(INDEX($AI$2:$AI$1001,MATCH(ROWS($AH$2:AH237),$AH$2:$AH$1001,0),1)&gt;=100000,INDEX($AO$1005:$BQ$1005,1,MATCH(COLUMNS($AO$1006:BE1006),$AO$1006:$BQ$1006,0))&gt;=100000), " ",IF(INDEX($AO$2:$BQ$1001,MATCH(ROWS($AH$2:AH237),$AH$2:$AH$1001,0),MATCH(COLUMNS($AO$1006:BE1006),$AO$1006:$BQ$1006,0)), HYPERLINK("#",""), HYPERLINK(CONCATENATE("#Metadata!", ADDRESS(INDEX($AJ$2:$AJ$1001,MATCH(ROWS($AH$2:AH237),$AH$2:$AH$1001,0),0), INDEX($AO$1004:$BQ$1004,1,MATCH(COLUMNS($AO$1006:BE1006),$AO$1006:$BQ$1006,0)))),"Fix")))</f>
        <v>#N/A</v>
      </c>
      <c r="S237" s="5" t="e">
        <f ca="1">IF(OR(INDEX($AI$2:$AI$1001,MATCH(ROWS($AH$2:AH237),$AH$2:$AH$1001,0),1)&gt;=100000,INDEX($AO$1005:$BQ$1005,1,MATCH(COLUMNS($AO$1006:BF1006),$AO$1006:$BQ$1006,0))&gt;=100000), " ",IF(INDEX($AO$2:$BQ$1001,MATCH(ROWS($AH$2:AH237),$AH$2:$AH$1001,0),MATCH(COLUMNS($AO$1006:BF1006),$AO$1006:$BQ$1006,0)), HYPERLINK("#",""), HYPERLINK(CONCATENATE("#Metadata!", ADDRESS(INDEX($AJ$2:$AJ$1001,MATCH(ROWS($AH$2:AH237),$AH$2:$AH$1001,0),0), INDEX($AO$1004:$BQ$1004,1,MATCH(COLUMNS($AO$1006:BF1006),$AO$1006:$BQ$1006,0)))),"Fix")))</f>
        <v>#N/A</v>
      </c>
      <c r="T237" s="5" t="e">
        <f ca="1">IF(OR(INDEX($AI$2:$AI$1001,MATCH(ROWS($AH$2:AH237),$AH$2:$AH$1001,0),1)&gt;=100000,INDEX($AO$1005:$BQ$1005,1,MATCH(COLUMNS($AO$1006:BG1006),$AO$1006:$BQ$1006,0))&gt;=100000), " ",IF(INDEX($AO$2:$BQ$1001,MATCH(ROWS($AH$2:AH237),$AH$2:$AH$1001,0),MATCH(COLUMNS($AO$1006:BG1006),$AO$1006:$BQ$1006,0)), HYPERLINK("#",""), HYPERLINK(CONCATENATE("#Metadata!", ADDRESS(INDEX($AJ$2:$AJ$1001,MATCH(ROWS($AH$2:AH237),$AH$2:$AH$1001,0),0), INDEX($AO$1004:$BQ$1004,1,MATCH(COLUMNS($AO$1006:BG1006),$AO$1006:$BQ$1006,0)))),"Fix")))</f>
        <v>#N/A</v>
      </c>
      <c r="U237" s="5" t="e">
        <f ca="1">IF(OR(INDEX($AI$2:$AI$1001,MATCH(ROWS($AH$2:AH237),$AH$2:$AH$1001,0),1)&gt;=100000,INDEX($AO$1005:$BQ$1005,1,MATCH(COLUMNS($AO$1006:BH1006),$AO$1006:$BQ$1006,0))&gt;=100000), " ",IF(INDEX($AO$2:$BQ$1001,MATCH(ROWS($AH$2:AH237),$AH$2:$AH$1001,0),MATCH(COLUMNS($AO$1006:BH1006),$AO$1006:$BQ$1006,0)), HYPERLINK("#",""), HYPERLINK(CONCATENATE("#Metadata!", ADDRESS(INDEX($AJ$2:$AJ$1001,MATCH(ROWS($AH$2:AH237),$AH$2:$AH$1001,0),0), INDEX($AO$1004:$BQ$1004,1,MATCH(COLUMNS($AO$1006:BH1006),$AO$1006:$BQ$1006,0)))),"Fix")))</f>
        <v>#N/A</v>
      </c>
      <c r="V237" s="5" t="e">
        <f ca="1">IF(OR(INDEX($AI$2:$AI$1001,MATCH(ROWS($AH$2:AH237),$AH$2:$AH$1001,0),1)&gt;=100000,INDEX($AO$1005:$BQ$1005,1,MATCH(COLUMNS($AO$1006:BI1006),$AO$1006:$BQ$1006,0))&gt;=100000), " ",IF(INDEX($AO$2:$BQ$1001,MATCH(ROWS($AH$2:AH237),$AH$2:$AH$1001,0),MATCH(COLUMNS($AO$1006:BI1006),$AO$1006:$BQ$1006,0)), HYPERLINK("#",""), HYPERLINK(CONCATENATE("#Metadata!", ADDRESS(INDEX($AJ$2:$AJ$1001,MATCH(ROWS($AH$2:AH237),$AH$2:$AH$1001,0),0), INDEX($AO$1004:$BQ$1004,1,MATCH(COLUMNS($AO$1006:BI1006),$AO$1006:$BQ$1006,0)))),"Fix")))</f>
        <v>#N/A</v>
      </c>
      <c r="W237" s="5" t="e">
        <f ca="1">IF(OR(INDEX($AI$2:$AI$1001,MATCH(ROWS($AH$2:AH237),$AH$2:$AH$1001,0),1)&gt;=100000,INDEX($AO$1005:$BQ$1005,1,MATCH(COLUMNS($AO$1006:BJ1006),$AO$1006:$BQ$1006,0))&gt;=100000), " ",IF(INDEX($AO$2:$BQ$1001,MATCH(ROWS($AH$2:AH237),$AH$2:$AH$1001,0),MATCH(COLUMNS($AO$1006:BJ1006),$AO$1006:$BQ$1006,0)), HYPERLINK("#",""), HYPERLINK(CONCATENATE("#Metadata!", ADDRESS(INDEX($AJ$2:$AJ$1001,MATCH(ROWS($AH$2:AH237),$AH$2:$AH$1001,0),0), INDEX($AO$1004:$BQ$1004,1,MATCH(COLUMNS($AO$1006:BJ1006),$AO$1006:$BQ$1006,0)))),"Fix")))</f>
        <v>#N/A</v>
      </c>
      <c r="X237" s="5" t="e">
        <f ca="1">IF(OR(INDEX($AI$2:$AI$1001,MATCH(ROWS($AH$2:AH237),$AH$2:$AH$1001,0),1)&gt;=100000,INDEX($AO$1005:$BQ$1005,1,MATCH(COLUMNS($AO$1006:BK1006),$AO$1006:$BQ$1006,0))&gt;=100000), " ",IF(INDEX($AO$2:$BQ$1001,MATCH(ROWS($AH$2:AH237),$AH$2:$AH$1001,0),MATCH(COLUMNS($AO$1006:BK1006),$AO$1006:$BQ$1006,0)), HYPERLINK("#",""), HYPERLINK(CONCATENATE("#Metadata!", ADDRESS(INDEX($AJ$2:$AJ$1001,MATCH(ROWS($AH$2:AH237),$AH$2:$AH$1001,0),0), INDEX($AO$1004:$BQ$1004,1,MATCH(COLUMNS($AO$1006:BK1006),$AO$1006:$BQ$1006,0)))),"Fix")))</f>
        <v>#N/A</v>
      </c>
      <c r="Y237" s="5" t="e">
        <f ca="1">IF(OR(INDEX($AI$2:$AI$1001,MATCH(ROWS($AH$2:AH237),$AH$2:$AH$1001,0),1)&gt;=100000,INDEX($AO$1005:$BQ$1005,1,MATCH(COLUMNS($AO$1006:BL1006),$AO$1006:$BQ$1006,0))&gt;=100000), " ",IF(INDEX($AO$2:$BQ$1001,MATCH(ROWS($AH$2:AH237),$AH$2:$AH$1001,0),MATCH(COLUMNS($AO$1006:BL1006),$AO$1006:$BQ$1006,0)), HYPERLINK("#",""), HYPERLINK(CONCATENATE("#Metadata!", ADDRESS(INDEX($AJ$2:$AJ$1001,MATCH(ROWS($AH$2:AH237),$AH$2:$AH$1001,0),0), INDEX($AO$1004:$BQ$1004,1,MATCH(COLUMNS($AO$1006:BL1006),$AO$1006:$BQ$1006,0)))),"Fix")))</f>
        <v>#N/A</v>
      </c>
      <c r="Z237" s="5" t="e">
        <f ca="1">IF(OR(INDEX($AI$2:$AI$1001,MATCH(ROWS($AH$2:AH237),$AH$2:$AH$1001,0),1)&gt;=100000,INDEX($AO$1005:$BQ$1005,1,MATCH(COLUMNS($AO$1006:BM1006),$AO$1006:$BQ$1006,0))&gt;=100000), " ",IF(INDEX($AO$2:$BQ$1001,MATCH(ROWS($AH$2:AH237),$AH$2:$AH$1001,0),MATCH(COLUMNS($AO$1006:BM1006),$AO$1006:$BQ$1006,0)), HYPERLINK("#",""), HYPERLINK(CONCATENATE("#Metadata!", ADDRESS(INDEX($AJ$2:$AJ$1001,MATCH(ROWS($AH$2:AH237),$AH$2:$AH$1001,0),0), INDEX($AO$1004:$BQ$1004,1,MATCH(COLUMNS($AO$1006:BM1006),$AO$1006:$BQ$1006,0)))),"Fix")))</f>
        <v>#N/A</v>
      </c>
      <c r="AA237" s="5" t="e">
        <f ca="1">IF(OR(INDEX($AI$2:$AI$1001,MATCH(ROWS($AH$2:AH237),$AH$2:$AH$1001,0),1)&gt;=100000,INDEX($AO$1005:$BQ$1005,1,MATCH(COLUMNS($AO$1006:BN1006),$AO$1006:$BQ$1006,0))&gt;=100000), " ",IF(INDEX($AO$2:$BQ$1001,MATCH(ROWS($AH$2:AH237),$AH$2:$AH$1001,0),MATCH(COLUMNS($AO$1006:BN1006),$AO$1006:$BQ$1006,0)), HYPERLINK("#",""), HYPERLINK(CONCATENATE("#Metadata!", ADDRESS(INDEX($AJ$2:$AJ$1001,MATCH(ROWS($AH$2:AH237),$AH$2:$AH$1001,0),0), INDEX($AO$1004:$BQ$1004,1,MATCH(COLUMNS($AO$1006:BN1006),$AO$1006:$BQ$1006,0)))),"Fix")))</f>
        <v>#N/A</v>
      </c>
      <c r="AB237" s="5" t="e">
        <f ca="1">IF(OR(INDEX($AI$2:$AI$1001,MATCH(ROWS($AH$2:AH237),$AH$2:$AH$1001,0),1)&gt;=100000,INDEX($AO$1005:$BQ$1005,1,MATCH(COLUMNS($AO$1006:BO1006),$AO$1006:$BQ$1006,0))&gt;=100000), " ",IF(INDEX($AO$2:$BQ$1001,MATCH(ROWS($AH$2:AH237),$AH$2:$AH$1001,0),MATCH(COLUMNS($AO$1006:BO1006),$AO$1006:$BQ$1006,0)), HYPERLINK("#",""), HYPERLINK(CONCATENATE("#Metadata!", ADDRESS(INDEX($AJ$2:$AJ$1001,MATCH(ROWS($AH$2:AH237),$AH$2:$AH$1001,0),0), INDEX($AO$1004:$BQ$1004,1,MATCH(COLUMNS($AO$1006:BO1006),$AO$1006:$BQ$1006,0)))),"Fix")))</f>
        <v>#N/A</v>
      </c>
      <c r="AC237" s="5" t="e">
        <f ca="1">IF(OR(INDEX($AI$2:$AI$1001,MATCH(ROWS($AH$2:AH237),$AH$2:$AH$1001,0),1)&gt;=100000,INDEX($AO$1005:$BQ$1005,1,MATCH(COLUMNS($AO$1006:BP1006),$AO$1006:$BQ$1006,0))&gt;=100000), " ",IF(INDEX($AO$2:$BQ$1001,MATCH(ROWS($AH$2:AH237),$AH$2:$AH$1001,0),MATCH(COLUMNS($AO$1006:BP1006),$AO$1006:$BQ$1006,0)), HYPERLINK("#",""), HYPERLINK(CONCATENATE("#Metadata!", ADDRESS(INDEX($AJ$2:$AJ$1001,MATCH(ROWS($AH$2:AH237),$AH$2:$AH$1001,0),0), INDEX($AO$1004:$BQ$1004,1,MATCH(COLUMNS($AO$1006:BP1006),$AO$1006:$BQ$1006,0)))),"Fix")))</f>
        <v>#N/A</v>
      </c>
      <c r="AD237" s="5" t="e">
        <f ca="1">IF(OR(INDEX($AI$2:$AI$1001,MATCH(ROWS($AH$2:AH237),$AH$2:$AH$1001,0),1)&gt;=100000,INDEX($AO$1005:$BQ$1005,1,MATCH(COLUMNS($AO$1006:BQ1006),$AO$1006:$BQ$1006,0))&gt;=100000), " ",IF(INDEX($AO$2:$BQ$1001,MATCH(ROWS($AH$2:AH237),$AH$2:$AH$1001,0),MATCH(COLUMNS($AO$1006:BQ1006),$AO$1006:$BQ$1006,0)), HYPERLINK("#",""), HYPERLINK(CONCATENATE("#Metadata!", ADDRESS(INDEX($AJ$2:$AJ$1001,MATCH(ROWS($AH$2:AH237),$AH$2:$AH$1001,0),0), INDEX($AO$1004:$BQ$1004,1,MATCH(COLUMNS($AO$1006:BQ1006),$AO$1006:$BQ$1006,0)))),"Fix")))</f>
        <v>#REF!</v>
      </c>
      <c r="AH237">
        <f ca="1"/>
        <v>234</v>
      </c>
      <c r="AI237">
        <v>100237</v>
      </c>
      <c r="AJ237">
        <v>237</v>
      </c>
      <c r="AK237" t="b">
        <f t="shared" si="3"/>
        <v>1</v>
      </c>
      <c r="AL237" t="b">
        <f>COUNTBLANK(Metadata!B237:AD237)=COLUMNS(Metadata!B237:AD237)</f>
        <v>1</v>
      </c>
      <c r="AM237" t="str">
        <v/>
      </c>
      <c r="AO237" t="b">
        <f ca="1">AND(IF(Metadata!B237="",FALSE,TRUE),COUNTIF(Metadata!B:B, Metadata!B237) = 1,NOT(ISERROR(SUMPRODUCT(SEARCH(MID(Metadata!B237,ROW(INDIRECT("1:"&amp;LEN(Metadata!B237))), 1),"0123456789abcdefghijklmnopqrstuvwxyzABCDEFGHIJKLMNOPQRSTUVWXYZ.")))))</f>
        <v>0</v>
      </c>
      <c r="AP237" t="b">
        <f>IF(Metadata!C237="",FALSE,TRUE)</f>
        <v>0</v>
      </c>
      <c r="AQ237" t="b">
        <f>IF(Metadata!D237="",FALSE,TRUE)</f>
        <v>0</v>
      </c>
      <c r="AR237" t="b">
        <f ca="1">OR(AND(IF(Metadata!E237="",FALSE,TRUE),OR(EXACT(Metadata!E237,"not collected"),EXACT(Metadata!E237,"not provided"),EXACT(Metadata!E237,"restricted access"))),AND(IF(Metadata!E237="",FALSE,TRUE),AND(AND(IFERROR(INT(LEFT(Metadata!E237,4))&gt;1900,FALSE),IFERROR(INT(LEFT(Metadata!E237,4))&lt;=YEAR(NOW()),FALSE)), OR(MID(Metadata!E237,5,1)="", AND(AND(MID(Metadata!E237,5,1)="-",IFERROR(INT(MID(Metadata!E237,6,1))&gt;=0,FALSE),IFERROR(INT(MID(Metadata!E237,6,1))&lt;=1,FALSE),NOT(MID(Metadata!E237,7,1)=""),IFERROR(INT(MID(Metadata!E237,6,2))&gt;=1,FALSE),IFERROR(INT(MID(Metadata!E237,6,2))&lt;=12,FALSE)), OR(MID(Metadata!E237,8,1)="", AND(AND(MID(Metadata!E237,8,1)="-",IFERROR(INT(MID(Metadata!E237,9,1))&gt;=0,FALSE),IFERROR(INT(MID(Metadata!E237,9,1))&lt;=3,FALSE),NOT(MID(Metadata!E237,10,1)=""),IFERROR(INT(MID(Metadata!E237,9,2))&gt;=1,FALSE),IFERROR(INT(MID(Metadata!E237,9,2))&lt;=31,FALSE)), OR(MID(Metadata!E237,11,1)="", AND(AND(MID(Metadata!E237,11,1)=" ",IFERROR(INT(MID(Metadata!E237,12,1))&gt;=0,FALSE),IFERROR(INT(MID(Metadata!E237,12,1))&lt;=2,FALSE),NOT(MID(Metadata!E237,13,1)=""),IFERROR(INT(MID(Metadata!E237,12,2))&gt;=0,FALSE),IFERROR(INT(MID(Metadata!E237,12,2))&lt;=23,FALSE)), OR(MID(Metadata!E237,14,1)="", AND(AND(MID(Metadata!E237,14,1)=":",IFERROR(INT(MID(Metadata!E237,15,1))&gt;=0,FALSE),IFERROR(INT(MID(Metadata!E237,15,1))&lt;=5,FALSE),NOT(MID(Metadata!E237,16,1)=""),IFERROR(INT(MID(Metadata!E237,15,2))&gt;=0,FALSE),IFERROR(INT(MID(Metadata!E237,15,2))&lt;=59,FALSE)), OR(MID(Metadata!E237,17,1)="", AND(AND(MID(Metadata!E237,17,1)=":",IFERROR(INT(MID(Metadata!E237,18,1))&gt;=0,FALSE),IFERROR(INT(MID(Metadata!E237,18,1))&lt;=5,FALSE),NOT(MID(Metadata!E237,19,1)=""),IFERROR(INT(MID(Metadata!E237,18,2))&gt;=0,FALSE),IFERROR(INT(MID(Metadata!E237,18,2))&lt;=59,FALSE)), LEN(Metadata!E237)&lt;=19)))))))))))))</f>
        <v>0</v>
      </c>
      <c r="AS237" t="b">
        <f>IF(Metadata!F237="",FALSE,TRUE)</f>
        <v>0</v>
      </c>
      <c r="AT237" t="b">
        <f>OR(AND(IF(Metadata!G237="",FALSE,TRUE),OR(EXACT(Metadata!G237,"not collected"),EXACT(Metadata!G237,"not provided"))),AND(IF(Metadata!G237="",FALSE,TRUE),OR(EXACT(Metadata!G237,"TRUE"),EXACT(Metadata!G237,"FALSE"))))</f>
        <v>0</v>
      </c>
      <c r="AU237" t="b">
        <f>OR(AND(IF(Metadata!H237="",FALSE,TRUE),OR(EXACT(Metadata!H237,"not collected"),EXACT(Metadata!H237,"not provided"),EXACT(Metadata!H237,"restricted access"))),AND(IF(Metadata!H237="",FALSE,ISNUMBER(VALUE(Metadata!H237))),Metadata!H237&gt;=-413))</f>
        <v>0</v>
      </c>
      <c r="AV237" t="b">
        <f>AND(IF(Metadata!I237="",FALSE,TRUE),EXACT(Metadata!I237,"meters"))</f>
        <v>0</v>
      </c>
      <c r="AW237" t="b">
        <f>AND(IF(Metadata!J237="",FALSE,TRUE),EXACT(Metadata!J237,"free-living"))</f>
        <v>0</v>
      </c>
      <c r="AX237" t="b">
        <f>AND(IF(Metadata!K237="",FALSE,TRUE),OR(EXACT(Metadata!K237,"saline"),EXACT(Metadata!K237,"non-saline")))</f>
        <v>0</v>
      </c>
      <c r="AY237" t="b">
        <f>AND(IF(Metadata!L237="",FALSE,TRUE),OR(EXACT(Metadata!L237,"sub-surface (non-saline)"),EXACT(Metadata!L237,"surface (non-saline)"),EXACT(Metadata!L237,"water (non-saline)"),EXACT(Metadata!L237,"soil (non-saline)"),EXACT(Metadata!L237,"aerosol (non-saline)"),EXACT(Metadata!L237,"sediment (non-saline)"),EXACT(Metadata!L237,"surface (saline)"),EXACT(Metadata!L237,"water (saline)"),EXACT(Metadata!L237,"hypersaline (saline)"),EXACT(Metadata!L237,"aerosol (saline)"),EXACT(Metadata!L237,"sediment (saline)")))</f>
        <v>0</v>
      </c>
      <c r="AZ237" t="b">
        <f>IF(Metadata!M237="",FALSE,TRUE)</f>
        <v>0</v>
      </c>
      <c r="BA237" t="b">
        <f>IF(Metadata!N237="",FALSE,TRUE)</f>
        <v>0</v>
      </c>
      <c r="BB237" t="b">
        <f>IF(Metadata!O237="",FALSE,TRUE)</f>
        <v>0</v>
      </c>
      <c r="BC237" t="b">
        <f>AND(IF(Metadata!P237="",FALSE,TRUE),OR(EXACT(Metadata!P237,"air"),EXACT(Metadata!P237,"microbial mat/biofilm"),EXACT(Metadata!P237,"misc environment"),EXACT(Metadata!P237,"sediment"),EXACT(Metadata!P237,"soil"),EXACT(Metadata!P237,"wastewater/sludge"),EXACT(Metadata!P237,"water")))</f>
        <v>0</v>
      </c>
      <c r="BD237" t="b">
        <f>IF(Metadata!Q237="",FALSE,TRUE)</f>
        <v>0</v>
      </c>
      <c r="BE237" t="b">
        <f>IF(Metadata!R237="",FALSE,TRUE)</f>
        <v>0</v>
      </c>
      <c r="BF237" t="b">
        <f>OR(AND(IF(Metadata!S237="",FALSE,TRUE),OR(EXACT(Metadata!S237,"not collected"),EXACT(Metadata!S237,"not provided"),EXACT(Metadata!S237,"restricted access"))),AND(IF(Metadata!S237="",FALSE,ISNUMBER(VALUE(Metadata!S237))),Metadata!S237&gt;=-90,Metadata!S237&lt;=90))</f>
        <v>0</v>
      </c>
      <c r="BG237" t="b">
        <f>AND(IF(Metadata!T237="",FALSE,TRUE),EXACT(Metadata!T237,"Decimal degrees"))</f>
        <v>0</v>
      </c>
      <c r="BH237" t="b">
        <f>OR(AND(IF(Metadata!U237="",FALSE,TRUE),OR(EXACT(Metadata!U237,"not applicable"),EXACT(Metadata!U237,"not collected"))),IF(Metadata!U237="",FALSE,TRUE))</f>
        <v>0</v>
      </c>
      <c r="BI237" t="b">
        <f>OR(AND(IF(Metadata!V237="",FALSE,TRUE),OR(EXACT(Metadata!V237,"not collected"),EXACT(Metadata!V237,"not provided"),EXACT(Metadata!V237,"restricted access"))),AND(IF(Metadata!V237="",FALSE,ISNUMBER(VALUE(Metadata!V237))),Metadata!V237&gt;=-180,Metadata!V237&lt;=180))</f>
        <v>0</v>
      </c>
      <c r="BJ237" t="b">
        <f>AND(IF(Metadata!W237="",FALSE,TRUE),EXACT(Metadata!W237,"Decimal degrees"))</f>
        <v>0</v>
      </c>
      <c r="BK237" t="b">
        <f>IF(Metadata!X237="",FALSE,TRUE)</f>
        <v>0</v>
      </c>
      <c r="BL237" t="b">
        <f>OR(AND(IF(Metadata!Y237="",FALSE,TRUE),OR(EXACT(Metadata!Y237,"not collected"),EXACT(Metadata!Y237,"not provided"),EXACT(Metadata!Y237,"restricted access"))),AND(IF(Metadata!Y237="",FALSE,TRUE),OR(EXACT(Metadata!Y237,"TRUE"),EXACT(Metadata!Y237,"FALSE"))))</f>
        <v>0</v>
      </c>
      <c r="BM237" t="b">
        <f>OR(AND(IF(Metadata!Z237="",FALSE,TRUE),EXACT(Metadata!Z237,"not applicable")),AND(IF(Metadata!Z237="",FALSE,TRUE),OR(EXACT(Metadata!Z237,"beer"),EXACT(Metadata!Z237,"cheese"),EXACT(Metadata!Z237,"fresh water"),EXACT(Metadata!Z237,"marine sediment"),EXACT(Metadata!Z237,"sea water"),EXACT(Metadata!Z237,"sediment"),EXACT(Metadata!Z237,"soil"),EXACT(Metadata!Z237,"waste water"))))</f>
        <v>0</v>
      </c>
      <c r="BN237" t="b">
        <f>AND(IF(Metadata!AA237="",FALSE,TRUE),EXACT(Metadata!AA237,"metagenome"))</f>
        <v>0</v>
      </c>
      <c r="BO237" t="b">
        <f>AND(IF(Metadata!AB237="",FALSE,TRUE),EXACT(Metadata!AB237,"256318"))</f>
        <v>0</v>
      </c>
      <c r="BP237" t="b">
        <f>IF(Metadata!AC237="",FALSE,TRUE)</f>
        <v>0</v>
      </c>
      <c r="BQ237" t="b">
        <f>IF(Metadata!AD237="",FALSE,TRUE)</f>
        <v>0</v>
      </c>
    </row>
    <row r="238" spans="1:69" x14ac:dyDescent="0.2">
      <c r="A238" s="4" t="e">
        <f ca="1">IF(B238=" "," ",HYPERLINK(CONCATENATE("#metadata!",ADDRESS(INDEX($AJ$2:$AJ$1001,MATCH(ROWS($AH$2:AH238),$AH$2:$AH$1001,0),0),2)),INDEX($AM$2:$AM$1001,MATCH(ROWS($AH$2:AH238),$AH$2:$AH$1001,0),0)))</f>
        <v>#N/A</v>
      </c>
      <c r="B238" s="5" t="e">
        <f ca="1">IF(OR(INDEX($AI$2:$AI$1001,MATCH(ROWS($AH$2:AH238),$AH$2:$AH$1001,0),1)&gt;=100000,INDEX($AO$1005:$BQ$1005,1,MATCH(COLUMNS($AO$1006:AO1006),$AO$1006:$BQ$1006,0))&gt;=100000), " ",IF(INDEX($AO$2:$BQ$1001,MATCH(ROWS($AH$2:AH238),$AH$2:$AH$1001,0),MATCH(COLUMNS($AO$1006:AO1006),$AO$1006:$BQ$1006,0)), HYPERLINK("#",""), HYPERLINK(CONCATENATE("#Metadata!", ADDRESS(INDEX($AJ$2:$AJ$1001,MATCH(ROWS($AH$2:AH238),$AH$2:$AH$1001,0),0), INDEX($AO$1004:$BQ$1004,1,MATCH(COLUMNS($AO$1006:AO1006),$AO$1006:$BQ$1006,0)))),"Fix")))</f>
        <v>#N/A</v>
      </c>
      <c r="C238" s="5" t="e">
        <f ca="1">IF(OR(INDEX($AI$2:$AI$1001,MATCH(ROWS($AH$2:AH238),$AH$2:$AH$1001,0),1)&gt;=100000,INDEX($AO$1005:$BQ$1005,1,MATCH(COLUMNS($AO$1006:AP1006),$AO$1006:$BQ$1006,0))&gt;=100000), " ",IF(INDEX($AO$2:$BQ$1001,MATCH(ROWS($AH$2:AH238),$AH$2:$AH$1001,0),MATCH(COLUMNS($AO$1006:AP1006),$AO$1006:$BQ$1006,0)), HYPERLINK("#",""), HYPERLINK(CONCATENATE("#Metadata!", ADDRESS(INDEX($AJ$2:$AJ$1001,MATCH(ROWS($AH$2:AH238),$AH$2:$AH$1001,0),0), INDEX($AO$1004:$BQ$1004,1,MATCH(COLUMNS($AO$1006:AP1006),$AO$1006:$BQ$1006,0)))),"Fix")))</f>
        <v>#N/A</v>
      </c>
      <c r="D238" s="5" t="e">
        <f ca="1">IF(OR(INDEX($AI$2:$AI$1001,MATCH(ROWS($AH$2:AH238),$AH$2:$AH$1001,0),1)&gt;=100000,INDEX($AO$1005:$BQ$1005,1,MATCH(COLUMNS($AO$1006:AQ1006),$AO$1006:$BQ$1006,0))&gt;=100000), " ",IF(INDEX($AO$2:$BQ$1001,MATCH(ROWS($AH$2:AH238),$AH$2:$AH$1001,0),MATCH(COLUMNS($AO$1006:AQ1006),$AO$1006:$BQ$1006,0)), HYPERLINK("#",""), HYPERLINK(CONCATENATE("#Metadata!", ADDRESS(INDEX($AJ$2:$AJ$1001,MATCH(ROWS($AH$2:AH238),$AH$2:$AH$1001,0),0), INDEX($AO$1004:$BQ$1004,1,MATCH(COLUMNS($AO$1006:AQ1006),$AO$1006:$BQ$1006,0)))),"Fix")))</f>
        <v>#N/A</v>
      </c>
      <c r="E238" s="5" t="e">
        <f ca="1">IF(OR(INDEX($AI$2:$AI$1001,MATCH(ROWS($AH$2:AH238),$AH$2:$AH$1001,0),1)&gt;=100000,INDEX($AO$1005:$BQ$1005,1,MATCH(COLUMNS($AO$1006:AR1006),$AO$1006:$BQ$1006,0))&gt;=100000), " ",IF(INDEX($AO$2:$BQ$1001,MATCH(ROWS($AH$2:AH238),$AH$2:$AH$1001,0),MATCH(COLUMNS($AO$1006:AR1006),$AO$1006:$BQ$1006,0)), HYPERLINK("#",""), HYPERLINK(CONCATENATE("#Metadata!", ADDRESS(INDEX($AJ$2:$AJ$1001,MATCH(ROWS($AH$2:AH238),$AH$2:$AH$1001,0),0), INDEX($AO$1004:$BQ$1004,1,MATCH(COLUMNS($AO$1006:AR1006),$AO$1006:$BQ$1006,0)))),"Fix")))</f>
        <v>#N/A</v>
      </c>
      <c r="F238" s="5" t="e">
        <f ca="1">IF(OR(INDEX($AI$2:$AI$1001,MATCH(ROWS($AH$2:AH238),$AH$2:$AH$1001,0),1)&gt;=100000,INDEX($AO$1005:$BQ$1005,1,MATCH(COLUMNS($AO$1006:AS1006),$AO$1006:$BQ$1006,0))&gt;=100000), " ",IF(INDEX($AO$2:$BQ$1001,MATCH(ROWS($AH$2:AH238),$AH$2:$AH$1001,0),MATCH(COLUMNS($AO$1006:AS1006),$AO$1006:$BQ$1006,0)), HYPERLINK("#",""), HYPERLINK(CONCATENATE("#Metadata!", ADDRESS(INDEX($AJ$2:$AJ$1001,MATCH(ROWS($AH$2:AH238),$AH$2:$AH$1001,0),0), INDEX($AO$1004:$BQ$1004,1,MATCH(COLUMNS($AO$1006:AS1006),$AO$1006:$BQ$1006,0)))),"Fix")))</f>
        <v>#N/A</v>
      </c>
      <c r="G238" s="5" t="e">
        <f ca="1">IF(OR(INDEX($AI$2:$AI$1001,MATCH(ROWS($AH$2:AH238),$AH$2:$AH$1001,0),1)&gt;=100000,INDEX($AO$1005:$BQ$1005,1,MATCH(COLUMNS($AO$1006:AT1006),$AO$1006:$BQ$1006,0))&gt;=100000), " ",IF(INDEX($AO$2:$BQ$1001,MATCH(ROWS($AH$2:AH238),$AH$2:$AH$1001,0),MATCH(COLUMNS($AO$1006:AT1006),$AO$1006:$BQ$1006,0)), HYPERLINK("#",""), HYPERLINK(CONCATENATE("#Metadata!", ADDRESS(INDEX($AJ$2:$AJ$1001,MATCH(ROWS($AH$2:AH238),$AH$2:$AH$1001,0),0), INDEX($AO$1004:$BQ$1004,1,MATCH(COLUMNS($AO$1006:AT1006),$AO$1006:$BQ$1006,0)))),"Fix")))</f>
        <v>#N/A</v>
      </c>
      <c r="H238" s="5" t="e">
        <f ca="1">IF(OR(INDEX($AI$2:$AI$1001,MATCH(ROWS($AH$2:AH238),$AH$2:$AH$1001,0),1)&gt;=100000,INDEX($AO$1005:$BQ$1005,1,MATCH(COLUMNS($AO$1006:AU1006),$AO$1006:$BQ$1006,0))&gt;=100000), " ",IF(INDEX($AO$2:$BQ$1001,MATCH(ROWS($AH$2:AH238),$AH$2:$AH$1001,0),MATCH(COLUMNS($AO$1006:AU1006),$AO$1006:$BQ$1006,0)), HYPERLINK("#",""), HYPERLINK(CONCATENATE("#Metadata!", ADDRESS(INDEX($AJ$2:$AJ$1001,MATCH(ROWS($AH$2:AH238),$AH$2:$AH$1001,0),0), INDEX($AO$1004:$BQ$1004,1,MATCH(COLUMNS($AO$1006:AU1006),$AO$1006:$BQ$1006,0)))),"Fix")))</f>
        <v>#N/A</v>
      </c>
      <c r="I238" s="5" t="e">
        <f ca="1">IF(OR(INDEX($AI$2:$AI$1001,MATCH(ROWS($AH$2:AH238),$AH$2:$AH$1001,0),1)&gt;=100000,INDEX($AO$1005:$BQ$1005,1,MATCH(COLUMNS($AO$1006:AV1006),$AO$1006:$BQ$1006,0))&gt;=100000), " ",IF(INDEX($AO$2:$BQ$1001,MATCH(ROWS($AH$2:AH238),$AH$2:$AH$1001,0),MATCH(COLUMNS($AO$1006:AV1006),$AO$1006:$BQ$1006,0)), HYPERLINK("#",""), HYPERLINK(CONCATENATE("#Metadata!", ADDRESS(INDEX($AJ$2:$AJ$1001,MATCH(ROWS($AH$2:AH238),$AH$2:$AH$1001,0),0), INDEX($AO$1004:$BQ$1004,1,MATCH(COLUMNS($AO$1006:AV1006),$AO$1006:$BQ$1006,0)))),"Fix")))</f>
        <v>#N/A</v>
      </c>
      <c r="J238" s="5" t="e">
        <f ca="1">IF(OR(INDEX($AI$2:$AI$1001,MATCH(ROWS($AH$2:AH238),$AH$2:$AH$1001,0),1)&gt;=100000,INDEX($AO$1005:$BQ$1005,1,MATCH(COLUMNS($AO$1006:AW1006),$AO$1006:$BQ$1006,0))&gt;=100000), " ",IF(INDEX($AO$2:$BQ$1001,MATCH(ROWS($AH$2:AH238),$AH$2:$AH$1001,0),MATCH(COLUMNS($AO$1006:AW1006),$AO$1006:$BQ$1006,0)), HYPERLINK("#",""), HYPERLINK(CONCATENATE("#Metadata!", ADDRESS(INDEX($AJ$2:$AJ$1001,MATCH(ROWS($AH$2:AH238),$AH$2:$AH$1001,0),0), INDEX($AO$1004:$BQ$1004,1,MATCH(COLUMNS($AO$1006:AW1006),$AO$1006:$BQ$1006,0)))),"Fix")))</f>
        <v>#N/A</v>
      </c>
      <c r="K238" s="5" t="e">
        <f ca="1">IF(OR(INDEX($AI$2:$AI$1001,MATCH(ROWS($AH$2:AH238),$AH$2:$AH$1001,0),1)&gt;=100000,INDEX($AO$1005:$BQ$1005,1,MATCH(COLUMNS($AO$1006:AX1006),$AO$1006:$BQ$1006,0))&gt;=100000), " ",IF(INDEX($AO$2:$BQ$1001,MATCH(ROWS($AH$2:AH238),$AH$2:$AH$1001,0),MATCH(COLUMNS($AO$1006:AX1006),$AO$1006:$BQ$1006,0)), HYPERLINK("#",""), HYPERLINK(CONCATENATE("#Metadata!", ADDRESS(INDEX($AJ$2:$AJ$1001,MATCH(ROWS($AH$2:AH238),$AH$2:$AH$1001,0),0), INDEX($AO$1004:$BQ$1004,1,MATCH(COLUMNS($AO$1006:AX1006),$AO$1006:$BQ$1006,0)))),"Fix")))</f>
        <v>#N/A</v>
      </c>
      <c r="L238" s="5" t="e">
        <f ca="1">IF(OR(INDEX($AI$2:$AI$1001,MATCH(ROWS($AH$2:AH238),$AH$2:$AH$1001,0),1)&gt;=100000,INDEX($AO$1005:$BQ$1005,1,MATCH(COLUMNS($AO$1006:AY1006),$AO$1006:$BQ$1006,0))&gt;=100000), " ",IF(INDEX($AO$2:$BQ$1001,MATCH(ROWS($AH$2:AH238),$AH$2:$AH$1001,0),MATCH(COLUMNS($AO$1006:AY1006),$AO$1006:$BQ$1006,0)), HYPERLINK("#",""), HYPERLINK(CONCATENATE("#Metadata!", ADDRESS(INDEX($AJ$2:$AJ$1001,MATCH(ROWS($AH$2:AH238),$AH$2:$AH$1001,0),0), INDEX($AO$1004:$BQ$1004,1,MATCH(COLUMNS($AO$1006:AY1006),$AO$1006:$BQ$1006,0)))),"Fix")))</f>
        <v>#N/A</v>
      </c>
      <c r="M238" s="5" t="e">
        <f ca="1">IF(OR(INDEX($AI$2:$AI$1001,MATCH(ROWS($AH$2:AH238),$AH$2:$AH$1001,0),1)&gt;=100000,INDEX($AO$1005:$BQ$1005,1,MATCH(COLUMNS($AO$1006:AZ1006),$AO$1006:$BQ$1006,0))&gt;=100000), " ",IF(INDEX($AO$2:$BQ$1001,MATCH(ROWS($AH$2:AH238),$AH$2:$AH$1001,0),MATCH(COLUMNS($AO$1006:AZ1006),$AO$1006:$BQ$1006,0)), HYPERLINK("#",""), HYPERLINK(CONCATENATE("#Metadata!", ADDRESS(INDEX($AJ$2:$AJ$1001,MATCH(ROWS($AH$2:AH238),$AH$2:$AH$1001,0),0), INDEX($AO$1004:$BQ$1004,1,MATCH(COLUMNS($AO$1006:AZ1006),$AO$1006:$BQ$1006,0)))),"Fix")))</f>
        <v>#N/A</v>
      </c>
      <c r="N238" s="5" t="e">
        <f ca="1">IF(OR(INDEX($AI$2:$AI$1001,MATCH(ROWS($AH$2:AH238),$AH$2:$AH$1001,0),1)&gt;=100000,INDEX($AO$1005:$BQ$1005,1,MATCH(COLUMNS($AO$1006:BA1006),$AO$1006:$BQ$1006,0))&gt;=100000), " ",IF(INDEX($AO$2:$BQ$1001,MATCH(ROWS($AH$2:AH238),$AH$2:$AH$1001,0),MATCH(COLUMNS($AO$1006:BA1006),$AO$1006:$BQ$1006,0)), HYPERLINK("#",""), HYPERLINK(CONCATENATE("#Metadata!", ADDRESS(INDEX($AJ$2:$AJ$1001,MATCH(ROWS($AH$2:AH238),$AH$2:$AH$1001,0),0), INDEX($AO$1004:$BQ$1004,1,MATCH(COLUMNS($AO$1006:BA1006),$AO$1006:$BQ$1006,0)))),"Fix")))</f>
        <v>#N/A</v>
      </c>
      <c r="O238" s="5" t="e">
        <f ca="1">IF(OR(INDEX($AI$2:$AI$1001,MATCH(ROWS($AH$2:AH238),$AH$2:$AH$1001,0),1)&gt;=100000,INDEX($AO$1005:$BQ$1005,1,MATCH(COLUMNS($AO$1006:BB1006),$AO$1006:$BQ$1006,0))&gt;=100000), " ",IF(INDEX($AO$2:$BQ$1001,MATCH(ROWS($AH$2:AH238),$AH$2:$AH$1001,0),MATCH(COLUMNS($AO$1006:BB1006),$AO$1006:$BQ$1006,0)), HYPERLINK("#",""), HYPERLINK(CONCATENATE("#Metadata!", ADDRESS(INDEX($AJ$2:$AJ$1001,MATCH(ROWS($AH$2:AH238),$AH$2:$AH$1001,0),0), INDEX($AO$1004:$BQ$1004,1,MATCH(COLUMNS($AO$1006:BB1006),$AO$1006:$BQ$1006,0)))),"Fix")))</f>
        <v>#N/A</v>
      </c>
      <c r="P238" s="5" t="e">
        <f ca="1">IF(OR(INDEX($AI$2:$AI$1001,MATCH(ROWS($AH$2:AH238),$AH$2:$AH$1001,0),1)&gt;=100000,INDEX($AO$1005:$BQ$1005,1,MATCH(COLUMNS($AO$1006:BC1006),$AO$1006:$BQ$1006,0))&gt;=100000), " ",IF(INDEX($AO$2:$BQ$1001,MATCH(ROWS($AH$2:AH238),$AH$2:$AH$1001,0),MATCH(COLUMNS($AO$1006:BC1006),$AO$1006:$BQ$1006,0)), HYPERLINK("#",""), HYPERLINK(CONCATENATE("#Metadata!", ADDRESS(INDEX($AJ$2:$AJ$1001,MATCH(ROWS($AH$2:AH238),$AH$2:$AH$1001,0),0), INDEX($AO$1004:$BQ$1004,1,MATCH(COLUMNS($AO$1006:BC1006),$AO$1006:$BQ$1006,0)))),"Fix")))</f>
        <v>#N/A</v>
      </c>
      <c r="Q238" s="5" t="e">
        <f ca="1">IF(OR(INDEX($AI$2:$AI$1001,MATCH(ROWS($AH$2:AH238),$AH$2:$AH$1001,0),1)&gt;=100000,INDEX($AO$1005:$BQ$1005,1,MATCH(COLUMNS($AO$1006:BD1006),$AO$1006:$BQ$1006,0))&gt;=100000), " ",IF(INDEX($AO$2:$BQ$1001,MATCH(ROWS($AH$2:AH238),$AH$2:$AH$1001,0),MATCH(COLUMNS($AO$1006:BD1006),$AO$1006:$BQ$1006,0)), HYPERLINK("#",""), HYPERLINK(CONCATENATE("#Metadata!", ADDRESS(INDEX($AJ$2:$AJ$1001,MATCH(ROWS($AH$2:AH238),$AH$2:$AH$1001,0),0), INDEX($AO$1004:$BQ$1004,1,MATCH(COLUMNS($AO$1006:BD1006),$AO$1006:$BQ$1006,0)))),"Fix")))</f>
        <v>#N/A</v>
      </c>
      <c r="R238" s="5" t="e">
        <f ca="1">IF(OR(INDEX($AI$2:$AI$1001,MATCH(ROWS($AH$2:AH238),$AH$2:$AH$1001,0),1)&gt;=100000,INDEX($AO$1005:$BQ$1005,1,MATCH(COLUMNS($AO$1006:BE1006),$AO$1006:$BQ$1006,0))&gt;=100000), " ",IF(INDEX($AO$2:$BQ$1001,MATCH(ROWS($AH$2:AH238),$AH$2:$AH$1001,0),MATCH(COLUMNS($AO$1006:BE1006),$AO$1006:$BQ$1006,0)), HYPERLINK("#",""), HYPERLINK(CONCATENATE("#Metadata!", ADDRESS(INDEX($AJ$2:$AJ$1001,MATCH(ROWS($AH$2:AH238),$AH$2:$AH$1001,0),0), INDEX($AO$1004:$BQ$1004,1,MATCH(COLUMNS($AO$1006:BE1006),$AO$1006:$BQ$1006,0)))),"Fix")))</f>
        <v>#N/A</v>
      </c>
      <c r="S238" s="5" t="e">
        <f ca="1">IF(OR(INDEX($AI$2:$AI$1001,MATCH(ROWS($AH$2:AH238),$AH$2:$AH$1001,0),1)&gt;=100000,INDEX($AO$1005:$BQ$1005,1,MATCH(COLUMNS($AO$1006:BF1006),$AO$1006:$BQ$1006,0))&gt;=100000), " ",IF(INDEX($AO$2:$BQ$1001,MATCH(ROWS($AH$2:AH238),$AH$2:$AH$1001,0),MATCH(COLUMNS($AO$1006:BF1006),$AO$1006:$BQ$1006,0)), HYPERLINK("#",""), HYPERLINK(CONCATENATE("#Metadata!", ADDRESS(INDEX($AJ$2:$AJ$1001,MATCH(ROWS($AH$2:AH238),$AH$2:$AH$1001,0),0), INDEX($AO$1004:$BQ$1004,1,MATCH(COLUMNS($AO$1006:BF1006),$AO$1006:$BQ$1006,0)))),"Fix")))</f>
        <v>#N/A</v>
      </c>
      <c r="T238" s="5" t="e">
        <f ca="1">IF(OR(INDEX($AI$2:$AI$1001,MATCH(ROWS($AH$2:AH238),$AH$2:$AH$1001,0),1)&gt;=100000,INDEX($AO$1005:$BQ$1005,1,MATCH(COLUMNS($AO$1006:BG1006),$AO$1006:$BQ$1006,0))&gt;=100000), " ",IF(INDEX($AO$2:$BQ$1001,MATCH(ROWS($AH$2:AH238),$AH$2:$AH$1001,0),MATCH(COLUMNS($AO$1006:BG1006),$AO$1006:$BQ$1006,0)), HYPERLINK("#",""), HYPERLINK(CONCATENATE("#Metadata!", ADDRESS(INDEX($AJ$2:$AJ$1001,MATCH(ROWS($AH$2:AH238),$AH$2:$AH$1001,0),0), INDEX($AO$1004:$BQ$1004,1,MATCH(COLUMNS($AO$1006:BG1006),$AO$1006:$BQ$1006,0)))),"Fix")))</f>
        <v>#N/A</v>
      </c>
      <c r="U238" s="5" t="e">
        <f ca="1">IF(OR(INDEX($AI$2:$AI$1001,MATCH(ROWS($AH$2:AH238),$AH$2:$AH$1001,0),1)&gt;=100000,INDEX($AO$1005:$BQ$1005,1,MATCH(COLUMNS($AO$1006:BH1006),$AO$1006:$BQ$1006,0))&gt;=100000), " ",IF(INDEX($AO$2:$BQ$1001,MATCH(ROWS($AH$2:AH238),$AH$2:$AH$1001,0),MATCH(COLUMNS($AO$1006:BH1006),$AO$1006:$BQ$1006,0)), HYPERLINK("#",""), HYPERLINK(CONCATENATE("#Metadata!", ADDRESS(INDEX($AJ$2:$AJ$1001,MATCH(ROWS($AH$2:AH238),$AH$2:$AH$1001,0),0), INDEX($AO$1004:$BQ$1004,1,MATCH(COLUMNS($AO$1006:BH1006),$AO$1006:$BQ$1006,0)))),"Fix")))</f>
        <v>#N/A</v>
      </c>
      <c r="V238" s="5" t="e">
        <f ca="1">IF(OR(INDEX($AI$2:$AI$1001,MATCH(ROWS($AH$2:AH238),$AH$2:$AH$1001,0),1)&gt;=100000,INDEX($AO$1005:$BQ$1005,1,MATCH(COLUMNS($AO$1006:BI1006),$AO$1006:$BQ$1006,0))&gt;=100000), " ",IF(INDEX($AO$2:$BQ$1001,MATCH(ROWS($AH$2:AH238),$AH$2:$AH$1001,0),MATCH(COLUMNS($AO$1006:BI1006),$AO$1006:$BQ$1006,0)), HYPERLINK("#",""), HYPERLINK(CONCATENATE("#Metadata!", ADDRESS(INDEX($AJ$2:$AJ$1001,MATCH(ROWS($AH$2:AH238),$AH$2:$AH$1001,0),0), INDEX($AO$1004:$BQ$1004,1,MATCH(COLUMNS($AO$1006:BI1006),$AO$1006:$BQ$1006,0)))),"Fix")))</f>
        <v>#N/A</v>
      </c>
      <c r="W238" s="5" t="e">
        <f ca="1">IF(OR(INDEX($AI$2:$AI$1001,MATCH(ROWS($AH$2:AH238),$AH$2:$AH$1001,0),1)&gt;=100000,INDEX($AO$1005:$BQ$1005,1,MATCH(COLUMNS($AO$1006:BJ1006),$AO$1006:$BQ$1006,0))&gt;=100000), " ",IF(INDEX($AO$2:$BQ$1001,MATCH(ROWS($AH$2:AH238),$AH$2:$AH$1001,0),MATCH(COLUMNS($AO$1006:BJ1006),$AO$1006:$BQ$1006,0)), HYPERLINK("#",""), HYPERLINK(CONCATENATE("#Metadata!", ADDRESS(INDEX($AJ$2:$AJ$1001,MATCH(ROWS($AH$2:AH238),$AH$2:$AH$1001,0),0), INDEX($AO$1004:$BQ$1004,1,MATCH(COLUMNS($AO$1006:BJ1006),$AO$1006:$BQ$1006,0)))),"Fix")))</f>
        <v>#N/A</v>
      </c>
      <c r="X238" s="5" t="e">
        <f ca="1">IF(OR(INDEX($AI$2:$AI$1001,MATCH(ROWS($AH$2:AH238),$AH$2:$AH$1001,0),1)&gt;=100000,INDEX($AO$1005:$BQ$1005,1,MATCH(COLUMNS($AO$1006:BK1006),$AO$1006:$BQ$1006,0))&gt;=100000), " ",IF(INDEX($AO$2:$BQ$1001,MATCH(ROWS($AH$2:AH238),$AH$2:$AH$1001,0),MATCH(COLUMNS($AO$1006:BK1006),$AO$1006:$BQ$1006,0)), HYPERLINK("#",""), HYPERLINK(CONCATENATE("#Metadata!", ADDRESS(INDEX($AJ$2:$AJ$1001,MATCH(ROWS($AH$2:AH238),$AH$2:$AH$1001,0),0), INDEX($AO$1004:$BQ$1004,1,MATCH(COLUMNS($AO$1006:BK1006),$AO$1006:$BQ$1006,0)))),"Fix")))</f>
        <v>#N/A</v>
      </c>
      <c r="Y238" s="5" t="e">
        <f ca="1">IF(OR(INDEX($AI$2:$AI$1001,MATCH(ROWS($AH$2:AH238),$AH$2:$AH$1001,0),1)&gt;=100000,INDEX($AO$1005:$BQ$1005,1,MATCH(COLUMNS($AO$1006:BL1006),$AO$1006:$BQ$1006,0))&gt;=100000), " ",IF(INDEX($AO$2:$BQ$1001,MATCH(ROWS($AH$2:AH238),$AH$2:$AH$1001,0),MATCH(COLUMNS($AO$1006:BL1006),$AO$1006:$BQ$1006,0)), HYPERLINK("#",""), HYPERLINK(CONCATENATE("#Metadata!", ADDRESS(INDEX($AJ$2:$AJ$1001,MATCH(ROWS($AH$2:AH238),$AH$2:$AH$1001,0),0), INDEX($AO$1004:$BQ$1004,1,MATCH(COLUMNS($AO$1006:BL1006),$AO$1006:$BQ$1006,0)))),"Fix")))</f>
        <v>#N/A</v>
      </c>
      <c r="Z238" s="5" t="e">
        <f ca="1">IF(OR(INDEX($AI$2:$AI$1001,MATCH(ROWS($AH$2:AH238),$AH$2:$AH$1001,0),1)&gt;=100000,INDEX($AO$1005:$BQ$1005,1,MATCH(COLUMNS($AO$1006:BM1006),$AO$1006:$BQ$1006,0))&gt;=100000), " ",IF(INDEX($AO$2:$BQ$1001,MATCH(ROWS($AH$2:AH238),$AH$2:$AH$1001,0),MATCH(COLUMNS($AO$1006:BM1006),$AO$1006:$BQ$1006,0)), HYPERLINK("#",""), HYPERLINK(CONCATENATE("#Metadata!", ADDRESS(INDEX($AJ$2:$AJ$1001,MATCH(ROWS($AH$2:AH238),$AH$2:$AH$1001,0),0), INDEX($AO$1004:$BQ$1004,1,MATCH(COLUMNS($AO$1006:BM1006),$AO$1006:$BQ$1006,0)))),"Fix")))</f>
        <v>#N/A</v>
      </c>
      <c r="AA238" s="5" t="e">
        <f ca="1">IF(OR(INDEX($AI$2:$AI$1001,MATCH(ROWS($AH$2:AH238),$AH$2:$AH$1001,0),1)&gt;=100000,INDEX($AO$1005:$BQ$1005,1,MATCH(COLUMNS($AO$1006:BN1006),$AO$1006:$BQ$1006,0))&gt;=100000), " ",IF(INDEX($AO$2:$BQ$1001,MATCH(ROWS($AH$2:AH238),$AH$2:$AH$1001,0),MATCH(COLUMNS($AO$1006:BN1006),$AO$1006:$BQ$1006,0)), HYPERLINK("#",""), HYPERLINK(CONCATENATE("#Metadata!", ADDRESS(INDEX($AJ$2:$AJ$1001,MATCH(ROWS($AH$2:AH238),$AH$2:$AH$1001,0),0), INDEX($AO$1004:$BQ$1004,1,MATCH(COLUMNS($AO$1006:BN1006),$AO$1006:$BQ$1006,0)))),"Fix")))</f>
        <v>#N/A</v>
      </c>
      <c r="AB238" s="5" t="e">
        <f ca="1">IF(OR(INDEX($AI$2:$AI$1001,MATCH(ROWS($AH$2:AH238),$AH$2:$AH$1001,0),1)&gt;=100000,INDEX($AO$1005:$BQ$1005,1,MATCH(COLUMNS($AO$1006:BO1006),$AO$1006:$BQ$1006,0))&gt;=100000), " ",IF(INDEX($AO$2:$BQ$1001,MATCH(ROWS($AH$2:AH238),$AH$2:$AH$1001,0),MATCH(COLUMNS($AO$1006:BO1006),$AO$1006:$BQ$1006,0)), HYPERLINK("#",""), HYPERLINK(CONCATENATE("#Metadata!", ADDRESS(INDEX($AJ$2:$AJ$1001,MATCH(ROWS($AH$2:AH238),$AH$2:$AH$1001,0),0), INDEX($AO$1004:$BQ$1004,1,MATCH(COLUMNS($AO$1006:BO1006),$AO$1006:$BQ$1006,0)))),"Fix")))</f>
        <v>#N/A</v>
      </c>
      <c r="AC238" s="5" t="e">
        <f ca="1">IF(OR(INDEX($AI$2:$AI$1001,MATCH(ROWS($AH$2:AH238),$AH$2:$AH$1001,0),1)&gt;=100000,INDEX($AO$1005:$BQ$1005,1,MATCH(COLUMNS($AO$1006:BP1006),$AO$1006:$BQ$1006,0))&gt;=100000), " ",IF(INDEX($AO$2:$BQ$1001,MATCH(ROWS($AH$2:AH238),$AH$2:$AH$1001,0),MATCH(COLUMNS($AO$1006:BP1006),$AO$1006:$BQ$1006,0)), HYPERLINK("#",""), HYPERLINK(CONCATENATE("#Metadata!", ADDRESS(INDEX($AJ$2:$AJ$1001,MATCH(ROWS($AH$2:AH238),$AH$2:$AH$1001,0),0), INDEX($AO$1004:$BQ$1004,1,MATCH(COLUMNS($AO$1006:BP1006),$AO$1006:$BQ$1006,0)))),"Fix")))</f>
        <v>#N/A</v>
      </c>
      <c r="AD238" s="5" t="e">
        <f ca="1">IF(OR(INDEX($AI$2:$AI$1001,MATCH(ROWS($AH$2:AH238),$AH$2:$AH$1001,0),1)&gt;=100000,INDEX($AO$1005:$BQ$1005,1,MATCH(COLUMNS($AO$1006:BQ1006),$AO$1006:$BQ$1006,0))&gt;=100000), " ",IF(INDEX($AO$2:$BQ$1001,MATCH(ROWS($AH$2:AH238),$AH$2:$AH$1001,0),MATCH(COLUMNS($AO$1006:BQ1006),$AO$1006:$BQ$1006,0)), HYPERLINK("#",""), HYPERLINK(CONCATENATE("#Metadata!", ADDRESS(INDEX($AJ$2:$AJ$1001,MATCH(ROWS($AH$2:AH238),$AH$2:$AH$1001,0),0), INDEX($AO$1004:$BQ$1004,1,MATCH(COLUMNS($AO$1006:BQ1006),$AO$1006:$BQ$1006,0)))),"Fix")))</f>
        <v>#REF!</v>
      </c>
      <c r="AH238">
        <f ca="1"/>
        <v>235</v>
      </c>
      <c r="AI238">
        <v>100238</v>
      </c>
      <c r="AJ238">
        <v>238</v>
      </c>
      <c r="AK238" t="b">
        <f t="shared" si="3"/>
        <v>1</v>
      </c>
      <c r="AL238" t="b">
        <f>COUNTBLANK(Metadata!B238:AD238)=COLUMNS(Metadata!B238:AD238)</f>
        <v>1</v>
      </c>
      <c r="AM238" t="str">
        <v/>
      </c>
      <c r="AO238" t="b">
        <f ca="1">AND(IF(Metadata!B238="",FALSE,TRUE),COUNTIF(Metadata!B:B, Metadata!B238) = 1,NOT(ISERROR(SUMPRODUCT(SEARCH(MID(Metadata!B238,ROW(INDIRECT("1:"&amp;LEN(Metadata!B238))), 1),"0123456789abcdefghijklmnopqrstuvwxyzABCDEFGHIJKLMNOPQRSTUVWXYZ.")))))</f>
        <v>0</v>
      </c>
      <c r="AP238" t="b">
        <f>IF(Metadata!C238="",FALSE,TRUE)</f>
        <v>0</v>
      </c>
      <c r="AQ238" t="b">
        <f>IF(Metadata!D238="",FALSE,TRUE)</f>
        <v>0</v>
      </c>
      <c r="AR238" t="b">
        <f ca="1">OR(AND(IF(Metadata!E238="",FALSE,TRUE),OR(EXACT(Metadata!E238,"not collected"),EXACT(Metadata!E238,"not provided"),EXACT(Metadata!E238,"restricted access"))),AND(IF(Metadata!E238="",FALSE,TRUE),AND(AND(IFERROR(INT(LEFT(Metadata!E238,4))&gt;1900,FALSE),IFERROR(INT(LEFT(Metadata!E238,4))&lt;=YEAR(NOW()),FALSE)), OR(MID(Metadata!E238,5,1)="", AND(AND(MID(Metadata!E238,5,1)="-",IFERROR(INT(MID(Metadata!E238,6,1))&gt;=0,FALSE),IFERROR(INT(MID(Metadata!E238,6,1))&lt;=1,FALSE),NOT(MID(Metadata!E238,7,1)=""),IFERROR(INT(MID(Metadata!E238,6,2))&gt;=1,FALSE),IFERROR(INT(MID(Metadata!E238,6,2))&lt;=12,FALSE)), OR(MID(Metadata!E238,8,1)="", AND(AND(MID(Metadata!E238,8,1)="-",IFERROR(INT(MID(Metadata!E238,9,1))&gt;=0,FALSE),IFERROR(INT(MID(Metadata!E238,9,1))&lt;=3,FALSE),NOT(MID(Metadata!E238,10,1)=""),IFERROR(INT(MID(Metadata!E238,9,2))&gt;=1,FALSE),IFERROR(INT(MID(Metadata!E238,9,2))&lt;=31,FALSE)), OR(MID(Metadata!E238,11,1)="", AND(AND(MID(Metadata!E238,11,1)=" ",IFERROR(INT(MID(Metadata!E238,12,1))&gt;=0,FALSE),IFERROR(INT(MID(Metadata!E238,12,1))&lt;=2,FALSE),NOT(MID(Metadata!E238,13,1)=""),IFERROR(INT(MID(Metadata!E238,12,2))&gt;=0,FALSE),IFERROR(INT(MID(Metadata!E238,12,2))&lt;=23,FALSE)), OR(MID(Metadata!E238,14,1)="", AND(AND(MID(Metadata!E238,14,1)=":",IFERROR(INT(MID(Metadata!E238,15,1))&gt;=0,FALSE),IFERROR(INT(MID(Metadata!E238,15,1))&lt;=5,FALSE),NOT(MID(Metadata!E238,16,1)=""),IFERROR(INT(MID(Metadata!E238,15,2))&gt;=0,FALSE),IFERROR(INT(MID(Metadata!E238,15,2))&lt;=59,FALSE)), OR(MID(Metadata!E238,17,1)="", AND(AND(MID(Metadata!E238,17,1)=":",IFERROR(INT(MID(Metadata!E238,18,1))&gt;=0,FALSE),IFERROR(INT(MID(Metadata!E238,18,1))&lt;=5,FALSE),NOT(MID(Metadata!E238,19,1)=""),IFERROR(INT(MID(Metadata!E238,18,2))&gt;=0,FALSE),IFERROR(INT(MID(Metadata!E238,18,2))&lt;=59,FALSE)), LEN(Metadata!E238)&lt;=19)))))))))))))</f>
        <v>0</v>
      </c>
      <c r="AS238" t="b">
        <f>IF(Metadata!F238="",FALSE,TRUE)</f>
        <v>0</v>
      </c>
      <c r="AT238" t="b">
        <f>OR(AND(IF(Metadata!G238="",FALSE,TRUE),OR(EXACT(Metadata!G238,"not collected"),EXACT(Metadata!G238,"not provided"))),AND(IF(Metadata!G238="",FALSE,TRUE),OR(EXACT(Metadata!G238,"TRUE"),EXACT(Metadata!G238,"FALSE"))))</f>
        <v>0</v>
      </c>
      <c r="AU238" t="b">
        <f>OR(AND(IF(Metadata!H238="",FALSE,TRUE),OR(EXACT(Metadata!H238,"not collected"),EXACT(Metadata!H238,"not provided"),EXACT(Metadata!H238,"restricted access"))),AND(IF(Metadata!H238="",FALSE,ISNUMBER(VALUE(Metadata!H238))),Metadata!H238&gt;=-413))</f>
        <v>0</v>
      </c>
      <c r="AV238" t="b">
        <f>AND(IF(Metadata!I238="",FALSE,TRUE),EXACT(Metadata!I238,"meters"))</f>
        <v>0</v>
      </c>
      <c r="AW238" t="b">
        <f>AND(IF(Metadata!J238="",FALSE,TRUE),EXACT(Metadata!J238,"free-living"))</f>
        <v>0</v>
      </c>
      <c r="AX238" t="b">
        <f>AND(IF(Metadata!K238="",FALSE,TRUE),OR(EXACT(Metadata!K238,"saline"),EXACT(Metadata!K238,"non-saline")))</f>
        <v>0</v>
      </c>
      <c r="AY238" t="b">
        <f>AND(IF(Metadata!L238="",FALSE,TRUE),OR(EXACT(Metadata!L238,"sub-surface (non-saline)"),EXACT(Metadata!L238,"surface (non-saline)"),EXACT(Metadata!L238,"water (non-saline)"),EXACT(Metadata!L238,"soil (non-saline)"),EXACT(Metadata!L238,"aerosol (non-saline)"),EXACT(Metadata!L238,"sediment (non-saline)"),EXACT(Metadata!L238,"surface (saline)"),EXACT(Metadata!L238,"water (saline)"),EXACT(Metadata!L238,"hypersaline (saline)"),EXACT(Metadata!L238,"aerosol (saline)"),EXACT(Metadata!L238,"sediment (saline)")))</f>
        <v>0</v>
      </c>
      <c r="AZ238" t="b">
        <f>IF(Metadata!M238="",FALSE,TRUE)</f>
        <v>0</v>
      </c>
      <c r="BA238" t="b">
        <f>IF(Metadata!N238="",FALSE,TRUE)</f>
        <v>0</v>
      </c>
      <c r="BB238" t="b">
        <f>IF(Metadata!O238="",FALSE,TRUE)</f>
        <v>0</v>
      </c>
      <c r="BC238" t="b">
        <f>AND(IF(Metadata!P238="",FALSE,TRUE),OR(EXACT(Metadata!P238,"air"),EXACT(Metadata!P238,"microbial mat/biofilm"),EXACT(Metadata!P238,"misc environment"),EXACT(Metadata!P238,"sediment"),EXACT(Metadata!P238,"soil"),EXACT(Metadata!P238,"wastewater/sludge"),EXACT(Metadata!P238,"water")))</f>
        <v>0</v>
      </c>
      <c r="BD238" t="b">
        <f>IF(Metadata!Q238="",FALSE,TRUE)</f>
        <v>0</v>
      </c>
      <c r="BE238" t="b">
        <f>IF(Metadata!R238="",FALSE,TRUE)</f>
        <v>0</v>
      </c>
      <c r="BF238" t="b">
        <f>OR(AND(IF(Metadata!S238="",FALSE,TRUE),OR(EXACT(Metadata!S238,"not collected"),EXACT(Metadata!S238,"not provided"),EXACT(Metadata!S238,"restricted access"))),AND(IF(Metadata!S238="",FALSE,ISNUMBER(VALUE(Metadata!S238))),Metadata!S238&gt;=-90,Metadata!S238&lt;=90))</f>
        <v>0</v>
      </c>
      <c r="BG238" t="b">
        <f>AND(IF(Metadata!T238="",FALSE,TRUE),EXACT(Metadata!T238,"Decimal degrees"))</f>
        <v>0</v>
      </c>
      <c r="BH238" t="b">
        <f>OR(AND(IF(Metadata!U238="",FALSE,TRUE),OR(EXACT(Metadata!U238,"not applicable"),EXACT(Metadata!U238,"not collected"))),IF(Metadata!U238="",FALSE,TRUE))</f>
        <v>0</v>
      </c>
      <c r="BI238" t="b">
        <f>OR(AND(IF(Metadata!V238="",FALSE,TRUE),OR(EXACT(Metadata!V238,"not collected"),EXACT(Metadata!V238,"not provided"),EXACT(Metadata!V238,"restricted access"))),AND(IF(Metadata!V238="",FALSE,ISNUMBER(VALUE(Metadata!V238))),Metadata!V238&gt;=-180,Metadata!V238&lt;=180))</f>
        <v>0</v>
      </c>
      <c r="BJ238" t="b">
        <f>AND(IF(Metadata!W238="",FALSE,TRUE),EXACT(Metadata!W238,"Decimal degrees"))</f>
        <v>0</v>
      </c>
      <c r="BK238" t="b">
        <f>IF(Metadata!X238="",FALSE,TRUE)</f>
        <v>0</v>
      </c>
      <c r="BL238" t="b">
        <f>OR(AND(IF(Metadata!Y238="",FALSE,TRUE),OR(EXACT(Metadata!Y238,"not collected"),EXACT(Metadata!Y238,"not provided"),EXACT(Metadata!Y238,"restricted access"))),AND(IF(Metadata!Y238="",FALSE,TRUE),OR(EXACT(Metadata!Y238,"TRUE"),EXACT(Metadata!Y238,"FALSE"))))</f>
        <v>0</v>
      </c>
      <c r="BM238" t="b">
        <f>OR(AND(IF(Metadata!Z238="",FALSE,TRUE),EXACT(Metadata!Z238,"not applicable")),AND(IF(Metadata!Z238="",FALSE,TRUE),OR(EXACT(Metadata!Z238,"beer"),EXACT(Metadata!Z238,"cheese"),EXACT(Metadata!Z238,"fresh water"),EXACT(Metadata!Z238,"marine sediment"),EXACT(Metadata!Z238,"sea water"),EXACT(Metadata!Z238,"sediment"),EXACT(Metadata!Z238,"soil"),EXACT(Metadata!Z238,"waste water"))))</f>
        <v>0</v>
      </c>
      <c r="BN238" t="b">
        <f>AND(IF(Metadata!AA238="",FALSE,TRUE),EXACT(Metadata!AA238,"metagenome"))</f>
        <v>0</v>
      </c>
      <c r="BO238" t="b">
        <f>AND(IF(Metadata!AB238="",FALSE,TRUE),EXACT(Metadata!AB238,"256318"))</f>
        <v>0</v>
      </c>
      <c r="BP238" t="b">
        <f>IF(Metadata!AC238="",FALSE,TRUE)</f>
        <v>0</v>
      </c>
      <c r="BQ238" t="b">
        <f>IF(Metadata!AD238="",FALSE,TRUE)</f>
        <v>0</v>
      </c>
    </row>
    <row r="239" spans="1:69" x14ac:dyDescent="0.2">
      <c r="A239" s="4" t="e">
        <f ca="1">IF(B239=" "," ",HYPERLINK(CONCATENATE("#metadata!",ADDRESS(INDEX($AJ$2:$AJ$1001,MATCH(ROWS($AH$2:AH239),$AH$2:$AH$1001,0),0),2)),INDEX($AM$2:$AM$1001,MATCH(ROWS($AH$2:AH239),$AH$2:$AH$1001,0),0)))</f>
        <v>#N/A</v>
      </c>
      <c r="B239" s="5" t="e">
        <f ca="1">IF(OR(INDEX($AI$2:$AI$1001,MATCH(ROWS($AH$2:AH239),$AH$2:$AH$1001,0),1)&gt;=100000,INDEX($AO$1005:$BQ$1005,1,MATCH(COLUMNS($AO$1006:AO1006),$AO$1006:$BQ$1006,0))&gt;=100000), " ",IF(INDEX($AO$2:$BQ$1001,MATCH(ROWS($AH$2:AH239),$AH$2:$AH$1001,0),MATCH(COLUMNS($AO$1006:AO1006),$AO$1006:$BQ$1006,0)), HYPERLINK("#",""), HYPERLINK(CONCATENATE("#Metadata!", ADDRESS(INDEX($AJ$2:$AJ$1001,MATCH(ROWS($AH$2:AH239),$AH$2:$AH$1001,0),0), INDEX($AO$1004:$BQ$1004,1,MATCH(COLUMNS($AO$1006:AO1006),$AO$1006:$BQ$1006,0)))),"Fix")))</f>
        <v>#N/A</v>
      </c>
      <c r="C239" s="5" t="e">
        <f ca="1">IF(OR(INDEX($AI$2:$AI$1001,MATCH(ROWS($AH$2:AH239),$AH$2:$AH$1001,0),1)&gt;=100000,INDEX($AO$1005:$BQ$1005,1,MATCH(COLUMNS($AO$1006:AP1006),$AO$1006:$BQ$1006,0))&gt;=100000), " ",IF(INDEX($AO$2:$BQ$1001,MATCH(ROWS($AH$2:AH239),$AH$2:$AH$1001,0),MATCH(COLUMNS($AO$1006:AP1006),$AO$1006:$BQ$1006,0)), HYPERLINK("#",""), HYPERLINK(CONCATENATE("#Metadata!", ADDRESS(INDEX($AJ$2:$AJ$1001,MATCH(ROWS($AH$2:AH239),$AH$2:$AH$1001,0),0), INDEX($AO$1004:$BQ$1004,1,MATCH(COLUMNS($AO$1006:AP1006),$AO$1006:$BQ$1006,0)))),"Fix")))</f>
        <v>#N/A</v>
      </c>
      <c r="D239" s="5" t="e">
        <f ca="1">IF(OR(INDEX($AI$2:$AI$1001,MATCH(ROWS($AH$2:AH239),$AH$2:$AH$1001,0),1)&gt;=100000,INDEX($AO$1005:$BQ$1005,1,MATCH(COLUMNS($AO$1006:AQ1006),$AO$1006:$BQ$1006,0))&gt;=100000), " ",IF(INDEX($AO$2:$BQ$1001,MATCH(ROWS($AH$2:AH239),$AH$2:$AH$1001,0),MATCH(COLUMNS($AO$1006:AQ1006),$AO$1006:$BQ$1006,0)), HYPERLINK("#",""), HYPERLINK(CONCATENATE("#Metadata!", ADDRESS(INDEX($AJ$2:$AJ$1001,MATCH(ROWS($AH$2:AH239),$AH$2:$AH$1001,0),0), INDEX($AO$1004:$BQ$1004,1,MATCH(COLUMNS($AO$1006:AQ1006),$AO$1006:$BQ$1006,0)))),"Fix")))</f>
        <v>#N/A</v>
      </c>
      <c r="E239" s="5" t="e">
        <f ca="1">IF(OR(INDEX($AI$2:$AI$1001,MATCH(ROWS($AH$2:AH239),$AH$2:$AH$1001,0),1)&gt;=100000,INDEX($AO$1005:$BQ$1005,1,MATCH(COLUMNS($AO$1006:AR1006),$AO$1006:$BQ$1006,0))&gt;=100000), " ",IF(INDEX($AO$2:$BQ$1001,MATCH(ROWS($AH$2:AH239),$AH$2:$AH$1001,0),MATCH(COLUMNS($AO$1006:AR1006),$AO$1006:$BQ$1006,0)), HYPERLINK("#",""), HYPERLINK(CONCATENATE("#Metadata!", ADDRESS(INDEX($AJ$2:$AJ$1001,MATCH(ROWS($AH$2:AH239),$AH$2:$AH$1001,0),0), INDEX($AO$1004:$BQ$1004,1,MATCH(COLUMNS($AO$1006:AR1006),$AO$1006:$BQ$1006,0)))),"Fix")))</f>
        <v>#N/A</v>
      </c>
      <c r="F239" s="5" t="e">
        <f ca="1">IF(OR(INDEX($AI$2:$AI$1001,MATCH(ROWS($AH$2:AH239),$AH$2:$AH$1001,0),1)&gt;=100000,INDEX($AO$1005:$BQ$1005,1,MATCH(COLUMNS($AO$1006:AS1006),$AO$1006:$BQ$1006,0))&gt;=100000), " ",IF(INDEX($AO$2:$BQ$1001,MATCH(ROWS($AH$2:AH239),$AH$2:$AH$1001,0),MATCH(COLUMNS($AO$1006:AS1006),$AO$1006:$BQ$1006,0)), HYPERLINK("#",""), HYPERLINK(CONCATENATE("#Metadata!", ADDRESS(INDEX($AJ$2:$AJ$1001,MATCH(ROWS($AH$2:AH239),$AH$2:$AH$1001,0),0), INDEX($AO$1004:$BQ$1004,1,MATCH(COLUMNS($AO$1006:AS1006),$AO$1006:$BQ$1006,0)))),"Fix")))</f>
        <v>#N/A</v>
      </c>
      <c r="G239" s="5" t="e">
        <f ca="1">IF(OR(INDEX($AI$2:$AI$1001,MATCH(ROWS($AH$2:AH239),$AH$2:$AH$1001,0),1)&gt;=100000,INDEX($AO$1005:$BQ$1005,1,MATCH(COLUMNS($AO$1006:AT1006),$AO$1006:$BQ$1006,0))&gt;=100000), " ",IF(INDEX($AO$2:$BQ$1001,MATCH(ROWS($AH$2:AH239),$AH$2:$AH$1001,0),MATCH(COLUMNS($AO$1006:AT1006),$AO$1006:$BQ$1006,0)), HYPERLINK("#",""), HYPERLINK(CONCATENATE("#Metadata!", ADDRESS(INDEX($AJ$2:$AJ$1001,MATCH(ROWS($AH$2:AH239),$AH$2:$AH$1001,0),0), INDEX($AO$1004:$BQ$1004,1,MATCH(COLUMNS($AO$1006:AT1006),$AO$1006:$BQ$1006,0)))),"Fix")))</f>
        <v>#N/A</v>
      </c>
      <c r="H239" s="5" t="e">
        <f ca="1">IF(OR(INDEX($AI$2:$AI$1001,MATCH(ROWS($AH$2:AH239),$AH$2:$AH$1001,0),1)&gt;=100000,INDEX($AO$1005:$BQ$1005,1,MATCH(COLUMNS($AO$1006:AU1006),$AO$1006:$BQ$1006,0))&gt;=100000), " ",IF(INDEX($AO$2:$BQ$1001,MATCH(ROWS($AH$2:AH239),$AH$2:$AH$1001,0),MATCH(COLUMNS($AO$1006:AU1006),$AO$1006:$BQ$1006,0)), HYPERLINK("#",""), HYPERLINK(CONCATENATE("#Metadata!", ADDRESS(INDEX($AJ$2:$AJ$1001,MATCH(ROWS($AH$2:AH239),$AH$2:$AH$1001,0),0), INDEX($AO$1004:$BQ$1004,1,MATCH(COLUMNS($AO$1006:AU1006),$AO$1006:$BQ$1006,0)))),"Fix")))</f>
        <v>#N/A</v>
      </c>
      <c r="I239" s="5" t="e">
        <f ca="1">IF(OR(INDEX($AI$2:$AI$1001,MATCH(ROWS($AH$2:AH239),$AH$2:$AH$1001,0),1)&gt;=100000,INDEX($AO$1005:$BQ$1005,1,MATCH(COLUMNS($AO$1006:AV1006),$AO$1006:$BQ$1006,0))&gt;=100000), " ",IF(INDEX($AO$2:$BQ$1001,MATCH(ROWS($AH$2:AH239),$AH$2:$AH$1001,0),MATCH(COLUMNS($AO$1006:AV1006),$AO$1006:$BQ$1006,0)), HYPERLINK("#",""), HYPERLINK(CONCATENATE("#Metadata!", ADDRESS(INDEX($AJ$2:$AJ$1001,MATCH(ROWS($AH$2:AH239),$AH$2:$AH$1001,0),0), INDEX($AO$1004:$BQ$1004,1,MATCH(COLUMNS($AO$1006:AV1006),$AO$1006:$BQ$1006,0)))),"Fix")))</f>
        <v>#N/A</v>
      </c>
      <c r="J239" s="5" t="e">
        <f ca="1">IF(OR(INDEX($AI$2:$AI$1001,MATCH(ROWS($AH$2:AH239),$AH$2:$AH$1001,0),1)&gt;=100000,INDEX($AO$1005:$BQ$1005,1,MATCH(COLUMNS($AO$1006:AW1006),$AO$1006:$BQ$1006,0))&gt;=100000), " ",IF(INDEX($AO$2:$BQ$1001,MATCH(ROWS($AH$2:AH239),$AH$2:$AH$1001,0),MATCH(COLUMNS($AO$1006:AW1006),$AO$1006:$BQ$1006,0)), HYPERLINK("#",""), HYPERLINK(CONCATENATE("#Metadata!", ADDRESS(INDEX($AJ$2:$AJ$1001,MATCH(ROWS($AH$2:AH239),$AH$2:$AH$1001,0),0), INDEX($AO$1004:$BQ$1004,1,MATCH(COLUMNS($AO$1006:AW1006),$AO$1006:$BQ$1006,0)))),"Fix")))</f>
        <v>#N/A</v>
      </c>
      <c r="K239" s="5" t="e">
        <f ca="1">IF(OR(INDEX($AI$2:$AI$1001,MATCH(ROWS($AH$2:AH239),$AH$2:$AH$1001,0),1)&gt;=100000,INDEX($AO$1005:$BQ$1005,1,MATCH(COLUMNS($AO$1006:AX1006),$AO$1006:$BQ$1006,0))&gt;=100000), " ",IF(INDEX($AO$2:$BQ$1001,MATCH(ROWS($AH$2:AH239),$AH$2:$AH$1001,0),MATCH(COLUMNS($AO$1006:AX1006),$AO$1006:$BQ$1006,0)), HYPERLINK("#",""), HYPERLINK(CONCATENATE("#Metadata!", ADDRESS(INDEX($AJ$2:$AJ$1001,MATCH(ROWS($AH$2:AH239),$AH$2:$AH$1001,0),0), INDEX($AO$1004:$BQ$1004,1,MATCH(COLUMNS($AO$1006:AX1006),$AO$1006:$BQ$1006,0)))),"Fix")))</f>
        <v>#N/A</v>
      </c>
      <c r="L239" s="5" t="e">
        <f ca="1">IF(OR(INDEX($AI$2:$AI$1001,MATCH(ROWS($AH$2:AH239),$AH$2:$AH$1001,0),1)&gt;=100000,INDEX($AO$1005:$BQ$1005,1,MATCH(COLUMNS($AO$1006:AY1006),$AO$1006:$BQ$1006,0))&gt;=100000), " ",IF(INDEX($AO$2:$BQ$1001,MATCH(ROWS($AH$2:AH239),$AH$2:$AH$1001,0),MATCH(COLUMNS($AO$1006:AY1006),$AO$1006:$BQ$1006,0)), HYPERLINK("#",""), HYPERLINK(CONCATENATE("#Metadata!", ADDRESS(INDEX($AJ$2:$AJ$1001,MATCH(ROWS($AH$2:AH239),$AH$2:$AH$1001,0),0), INDEX($AO$1004:$BQ$1004,1,MATCH(COLUMNS($AO$1006:AY1006),$AO$1006:$BQ$1006,0)))),"Fix")))</f>
        <v>#N/A</v>
      </c>
      <c r="M239" s="5" t="e">
        <f ca="1">IF(OR(INDEX($AI$2:$AI$1001,MATCH(ROWS($AH$2:AH239),$AH$2:$AH$1001,0),1)&gt;=100000,INDEX($AO$1005:$BQ$1005,1,MATCH(COLUMNS($AO$1006:AZ1006),$AO$1006:$BQ$1006,0))&gt;=100000), " ",IF(INDEX($AO$2:$BQ$1001,MATCH(ROWS($AH$2:AH239),$AH$2:$AH$1001,0),MATCH(COLUMNS($AO$1006:AZ1006),$AO$1006:$BQ$1006,0)), HYPERLINK("#",""), HYPERLINK(CONCATENATE("#Metadata!", ADDRESS(INDEX($AJ$2:$AJ$1001,MATCH(ROWS($AH$2:AH239),$AH$2:$AH$1001,0),0), INDEX($AO$1004:$BQ$1004,1,MATCH(COLUMNS($AO$1006:AZ1006),$AO$1006:$BQ$1006,0)))),"Fix")))</f>
        <v>#N/A</v>
      </c>
      <c r="N239" s="5" t="e">
        <f ca="1">IF(OR(INDEX($AI$2:$AI$1001,MATCH(ROWS($AH$2:AH239),$AH$2:$AH$1001,0),1)&gt;=100000,INDEX($AO$1005:$BQ$1005,1,MATCH(COLUMNS($AO$1006:BA1006),$AO$1006:$BQ$1006,0))&gt;=100000), " ",IF(INDEX($AO$2:$BQ$1001,MATCH(ROWS($AH$2:AH239),$AH$2:$AH$1001,0),MATCH(COLUMNS($AO$1006:BA1006),$AO$1006:$BQ$1006,0)), HYPERLINK("#",""), HYPERLINK(CONCATENATE("#Metadata!", ADDRESS(INDEX($AJ$2:$AJ$1001,MATCH(ROWS($AH$2:AH239),$AH$2:$AH$1001,0),0), INDEX($AO$1004:$BQ$1004,1,MATCH(COLUMNS($AO$1006:BA1006),$AO$1006:$BQ$1006,0)))),"Fix")))</f>
        <v>#N/A</v>
      </c>
      <c r="O239" s="5" t="e">
        <f ca="1">IF(OR(INDEX($AI$2:$AI$1001,MATCH(ROWS($AH$2:AH239),$AH$2:$AH$1001,0),1)&gt;=100000,INDEX($AO$1005:$BQ$1005,1,MATCH(COLUMNS($AO$1006:BB1006),$AO$1006:$BQ$1006,0))&gt;=100000), " ",IF(INDEX($AO$2:$BQ$1001,MATCH(ROWS($AH$2:AH239),$AH$2:$AH$1001,0),MATCH(COLUMNS($AO$1006:BB1006),$AO$1006:$BQ$1006,0)), HYPERLINK("#",""), HYPERLINK(CONCATENATE("#Metadata!", ADDRESS(INDEX($AJ$2:$AJ$1001,MATCH(ROWS($AH$2:AH239),$AH$2:$AH$1001,0),0), INDEX($AO$1004:$BQ$1004,1,MATCH(COLUMNS($AO$1006:BB1006),$AO$1006:$BQ$1006,0)))),"Fix")))</f>
        <v>#N/A</v>
      </c>
      <c r="P239" s="5" t="e">
        <f ca="1">IF(OR(INDEX($AI$2:$AI$1001,MATCH(ROWS($AH$2:AH239),$AH$2:$AH$1001,0),1)&gt;=100000,INDEX($AO$1005:$BQ$1005,1,MATCH(COLUMNS($AO$1006:BC1006),$AO$1006:$BQ$1006,0))&gt;=100000), " ",IF(INDEX($AO$2:$BQ$1001,MATCH(ROWS($AH$2:AH239),$AH$2:$AH$1001,0),MATCH(COLUMNS($AO$1006:BC1006),$AO$1006:$BQ$1006,0)), HYPERLINK("#",""), HYPERLINK(CONCATENATE("#Metadata!", ADDRESS(INDEX($AJ$2:$AJ$1001,MATCH(ROWS($AH$2:AH239),$AH$2:$AH$1001,0),0), INDEX($AO$1004:$BQ$1004,1,MATCH(COLUMNS($AO$1006:BC1006),$AO$1006:$BQ$1006,0)))),"Fix")))</f>
        <v>#N/A</v>
      </c>
      <c r="Q239" s="5" t="e">
        <f ca="1">IF(OR(INDEX($AI$2:$AI$1001,MATCH(ROWS($AH$2:AH239),$AH$2:$AH$1001,0),1)&gt;=100000,INDEX($AO$1005:$BQ$1005,1,MATCH(COLUMNS($AO$1006:BD1006),$AO$1006:$BQ$1006,0))&gt;=100000), " ",IF(INDEX($AO$2:$BQ$1001,MATCH(ROWS($AH$2:AH239),$AH$2:$AH$1001,0),MATCH(COLUMNS($AO$1006:BD1006),$AO$1006:$BQ$1006,0)), HYPERLINK("#",""), HYPERLINK(CONCATENATE("#Metadata!", ADDRESS(INDEX($AJ$2:$AJ$1001,MATCH(ROWS($AH$2:AH239),$AH$2:$AH$1001,0),0), INDEX($AO$1004:$BQ$1004,1,MATCH(COLUMNS($AO$1006:BD1006),$AO$1006:$BQ$1006,0)))),"Fix")))</f>
        <v>#N/A</v>
      </c>
      <c r="R239" s="5" t="e">
        <f ca="1">IF(OR(INDEX($AI$2:$AI$1001,MATCH(ROWS($AH$2:AH239),$AH$2:$AH$1001,0),1)&gt;=100000,INDEX($AO$1005:$BQ$1005,1,MATCH(COLUMNS($AO$1006:BE1006),$AO$1006:$BQ$1006,0))&gt;=100000), " ",IF(INDEX($AO$2:$BQ$1001,MATCH(ROWS($AH$2:AH239),$AH$2:$AH$1001,0),MATCH(COLUMNS($AO$1006:BE1006),$AO$1006:$BQ$1006,0)), HYPERLINK("#",""), HYPERLINK(CONCATENATE("#Metadata!", ADDRESS(INDEX($AJ$2:$AJ$1001,MATCH(ROWS($AH$2:AH239),$AH$2:$AH$1001,0),0), INDEX($AO$1004:$BQ$1004,1,MATCH(COLUMNS($AO$1006:BE1006),$AO$1006:$BQ$1006,0)))),"Fix")))</f>
        <v>#N/A</v>
      </c>
      <c r="S239" s="5" t="e">
        <f ca="1">IF(OR(INDEX($AI$2:$AI$1001,MATCH(ROWS($AH$2:AH239),$AH$2:$AH$1001,0),1)&gt;=100000,INDEX($AO$1005:$BQ$1005,1,MATCH(COLUMNS($AO$1006:BF1006),$AO$1006:$BQ$1006,0))&gt;=100000), " ",IF(INDEX($AO$2:$BQ$1001,MATCH(ROWS($AH$2:AH239),$AH$2:$AH$1001,0),MATCH(COLUMNS($AO$1006:BF1006),$AO$1006:$BQ$1006,0)), HYPERLINK("#",""), HYPERLINK(CONCATENATE("#Metadata!", ADDRESS(INDEX($AJ$2:$AJ$1001,MATCH(ROWS($AH$2:AH239),$AH$2:$AH$1001,0),0), INDEX($AO$1004:$BQ$1004,1,MATCH(COLUMNS($AO$1006:BF1006),$AO$1006:$BQ$1006,0)))),"Fix")))</f>
        <v>#N/A</v>
      </c>
      <c r="T239" s="5" t="e">
        <f ca="1">IF(OR(INDEX($AI$2:$AI$1001,MATCH(ROWS($AH$2:AH239),$AH$2:$AH$1001,0),1)&gt;=100000,INDEX($AO$1005:$BQ$1005,1,MATCH(COLUMNS($AO$1006:BG1006),$AO$1006:$BQ$1006,0))&gt;=100000), " ",IF(INDEX($AO$2:$BQ$1001,MATCH(ROWS($AH$2:AH239),$AH$2:$AH$1001,0),MATCH(COLUMNS($AO$1006:BG1006),$AO$1006:$BQ$1006,0)), HYPERLINK("#",""), HYPERLINK(CONCATENATE("#Metadata!", ADDRESS(INDEX($AJ$2:$AJ$1001,MATCH(ROWS($AH$2:AH239),$AH$2:$AH$1001,0),0), INDEX($AO$1004:$BQ$1004,1,MATCH(COLUMNS($AO$1006:BG1006),$AO$1006:$BQ$1006,0)))),"Fix")))</f>
        <v>#N/A</v>
      </c>
      <c r="U239" s="5" t="e">
        <f ca="1">IF(OR(INDEX($AI$2:$AI$1001,MATCH(ROWS($AH$2:AH239),$AH$2:$AH$1001,0),1)&gt;=100000,INDEX($AO$1005:$BQ$1005,1,MATCH(COLUMNS($AO$1006:BH1006),$AO$1006:$BQ$1006,0))&gt;=100000), " ",IF(INDEX($AO$2:$BQ$1001,MATCH(ROWS($AH$2:AH239),$AH$2:$AH$1001,0),MATCH(COLUMNS($AO$1006:BH1006),$AO$1006:$BQ$1006,0)), HYPERLINK("#",""), HYPERLINK(CONCATENATE("#Metadata!", ADDRESS(INDEX($AJ$2:$AJ$1001,MATCH(ROWS($AH$2:AH239),$AH$2:$AH$1001,0),0), INDEX($AO$1004:$BQ$1004,1,MATCH(COLUMNS($AO$1006:BH1006),$AO$1006:$BQ$1006,0)))),"Fix")))</f>
        <v>#N/A</v>
      </c>
      <c r="V239" s="5" t="e">
        <f ca="1">IF(OR(INDEX($AI$2:$AI$1001,MATCH(ROWS($AH$2:AH239),$AH$2:$AH$1001,0),1)&gt;=100000,INDEX($AO$1005:$BQ$1005,1,MATCH(COLUMNS($AO$1006:BI1006),$AO$1006:$BQ$1006,0))&gt;=100000), " ",IF(INDEX($AO$2:$BQ$1001,MATCH(ROWS($AH$2:AH239),$AH$2:$AH$1001,0),MATCH(COLUMNS($AO$1006:BI1006),$AO$1006:$BQ$1006,0)), HYPERLINK("#",""), HYPERLINK(CONCATENATE("#Metadata!", ADDRESS(INDEX($AJ$2:$AJ$1001,MATCH(ROWS($AH$2:AH239),$AH$2:$AH$1001,0),0), INDEX($AO$1004:$BQ$1004,1,MATCH(COLUMNS($AO$1006:BI1006),$AO$1006:$BQ$1006,0)))),"Fix")))</f>
        <v>#N/A</v>
      </c>
      <c r="W239" s="5" t="e">
        <f ca="1">IF(OR(INDEX($AI$2:$AI$1001,MATCH(ROWS($AH$2:AH239),$AH$2:$AH$1001,0),1)&gt;=100000,INDEX($AO$1005:$BQ$1005,1,MATCH(COLUMNS($AO$1006:BJ1006),$AO$1006:$BQ$1006,0))&gt;=100000), " ",IF(INDEX($AO$2:$BQ$1001,MATCH(ROWS($AH$2:AH239),$AH$2:$AH$1001,0),MATCH(COLUMNS($AO$1006:BJ1006),$AO$1006:$BQ$1006,0)), HYPERLINK("#",""), HYPERLINK(CONCATENATE("#Metadata!", ADDRESS(INDEX($AJ$2:$AJ$1001,MATCH(ROWS($AH$2:AH239),$AH$2:$AH$1001,0),0), INDEX($AO$1004:$BQ$1004,1,MATCH(COLUMNS($AO$1006:BJ1006),$AO$1006:$BQ$1006,0)))),"Fix")))</f>
        <v>#N/A</v>
      </c>
      <c r="X239" s="5" t="e">
        <f ca="1">IF(OR(INDEX($AI$2:$AI$1001,MATCH(ROWS($AH$2:AH239),$AH$2:$AH$1001,0),1)&gt;=100000,INDEX($AO$1005:$BQ$1005,1,MATCH(COLUMNS($AO$1006:BK1006),$AO$1006:$BQ$1006,0))&gt;=100000), " ",IF(INDEX($AO$2:$BQ$1001,MATCH(ROWS($AH$2:AH239),$AH$2:$AH$1001,0),MATCH(COLUMNS($AO$1006:BK1006),$AO$1006:$BQ$1006,0)), HYPERLINK("#",""), HYPERLINK(CONCATENATE("#Metadata!", ADDRESS(INDEX($AJ$2:$AJ$1001,MATCH(ROWS($AH$2:AH239),$AH$2:$AH$1001,0),0), INDEX($AO$1004:$BQ$1004,1,MATCH(COLUMNS($AO$1006:BK1006),$AO$1006:$BQ$1006,0)))),"Fix")))</f>
        <v>#N/A</v>
      </c>
      <c r="Y239" s="5" t="e">
        <f ca="1">IF(OR(INDEX($AI$2:$AI$1001,MATCH(ROWS($AH$2:AH239),$AH$2:$AH$1001,0),1)&gt;=100000,INDEX($AO$1005:$BQ$1005,1,MATCH(COLUMNS($AO$1006:BL1006),$AO$1006:$BQ$1006,0))&gt;=100000), " ",IF(INDEX($AO$2:$BQ$1001,MATCH(ROWS($AH$2:AH239),$AH$2:$AH$1001,0),MATCH(COLUMNS($AO$1006:BL1006),$AO$1006:$BQ$1006,0)), HYPERLINK("#",""), HYPERLINK(CONCATENATE("#Metadata!", ADDRESS(INDEX($AJ$2:$AJ$1001,MATCH(ROWS($AH$2:AH239),$AH$2:$AH$1001,0),0), INDEX($AO$1004:$BQ$1004,1,MATCH(COLUMNS($AO$1006:BL1006),$AO$1006:$BQ$1006,0)))),"Fix")))</f>
        <v>#N/A</v>
      </c>
      <c r="Z239" s="5" t="e">
        <f ca="1">IF(OR(INDEX($AI$2:$AI$1001,MATCH(ROWS($AH$2:AH239),$AH$2:$AH$1001,0),1)&gt;=100000,INDEX($AO$1005:$BQ$1005,1,MATCH(COLUMNS($AO$1006:BM1006),$AO$1006:$BQ$1006,0))&gt;=100000), " ",IF(INDEX($AO$2:$BQ$1001,MATCH(ROWS($AH$2:AH239),$AH$2:$AH$1001,0),MATCH(COLUMNS($AO$1006:BM1006),$AO$1006:$BQ$1006,0)), HYPERLINK("#",""), HYPERLINK(CONCATENATE("#Metadata!", ADDRESS(INDEX($AJ$2:$AJ$1001,MATCH(ROWS($AH$2:AH239),$AH$2:$AH$1001,0),0), INDEX($AO$1004:$BQ$1004,1,MATCH(COLUMNS($AO$1006:BM1006),$AO$1006:$BQ$1006,0)))),"Fix")))</f>
        <v>#N/A</v>
      </c>
      <c r="AA239" s="5" t="e">
        <f ca="1">IF(OR(INDEX($AI$2:$AI$1001,MATCH(ROWS($AH$2:AH239),$AH$2:$AH$1001,0),1)&gt;=100000,INDEX($AO$1005:$BQ$1005,1,MATCH(COLUMNS($AO$1006:BN1006),$AO$1006:$BQ$1006,0))&gt;=100000), " ",IF(INDEX($AO$2:$BQ$1001,MATCH(ROWS($AH$2:AH239),$AH$2:$AH$1001,0),MATCH(COLUMNS($AO$1006:BN1006),$AO$1006:$BQ$1006,0)), HYPERLINK("#",""), HYPERLINK(CONCATENATE("#Metadata!", ADDRESS(INDEX($AJ$2:$AJ$1001,MATCH(ROWS($AH$2:AH239),$AH$2:$AH$1001,0),0), INDEX($AO$1004:$BQ$1004,1,MATCH(COLUMNS($AO$1006:BN1006),$AO$1006:$BQ$1006,0)))),"Fix")))</f>
        <v>#N/A</v>
      </c>
      <c r="AB239" s="5" t="e">
        <f ca="1">IF(OR(INDEX($AI$2:$AI$1001,MATCH(ROWS($AH$2:AH239),$AH$2:$AH$1001,0),1)&gt;=100000,INDEX($AO$1005:$BQ$1005,1,MATCH(COLUMNS($AO$1006:BO1006),$AO$1006:$BQ$1006,0))&gt;=100000), " ",IF(INDEX($AO$2:$BQ$1001,MATCH(ROWS($AH$2:AH239),$AH$2:$AH$1001,0),MATCH(COLUMNS($AO$1006:BO1006),$AO$1006:$BQ$1006,0)), HYPERLINK("#",""), HYPERLINK(CONCATENATE("#Metadata!", ADDRESS(INDEX($AJ$2:$AJ$1001,MATCH(ROWS($AH$2:AH239),$AH$2:$AH$1001,0),0), INDEX($AO$1004:$BQ$1004,1,MATCH(COLUMNS($AO$1006:BO1006),$AO$1006:$BQ$1006,0)))),"Fix")))</f>
        <v>#N/A</v>
      </c>
      <c r="AC239" s="5" t="e">
        <f ca="1">IF(OR(INDEX($AI$2:$AI$1001,MATCH(ROWS($AH$2:AH239),$AH$2:$AH$1001,0),1)&gt;=100000,INDEX($AO$1005:$BQ$1005,1,MATCH(COLUMNS($AO$1006:BP1006),$AO$1006:$BQ$1006,0))&gt;=100000), " ",IF(INDEX($AO$2:$BQ$1001,MATCH(ROWS($AH$2:AH239),$AH$2:$AH$1001,0),MATCH(COLUMNS($AO$1006:BP1006),$AO$1006:$BQ$1006,0)), HYPERLINK("#",""), HYPERLINK(CONCATENATE("#Metadata!", ADDRESS(INDEX($AJ$2:$AJ$1001,MATCH(ROWS($AH$2:AH239),$AH$2:$AH$1001,0),0), INDEX($AO$1004:$BQ$1004,1,MATCH(COLUMNS($AO$1006:BP1006),$AO$1006:$BQ$1006,0)))),"Fix")))</f>
        <v>#N/A</v>
      </c>
      <c r="AD239" s="5" t="e">
        <f ca="1">IF(OR(INDEX($AI$2:$AI$1001,MATCH(ROWS($AH$2:AH239),$AH$2:$AH$1001,0),1)&gt;=100000,INDEX($AO$1005:$BQ$1005,1,MATCH(COLUMNS($AO$1006:BQ1006),$AO$1006:$BQ$1006,0))&gt;=100000), " ",IF(INDEX($AO$2:$BQ$1001,MATCH(ROWS($AH$2:AH239),$AH$2:$AH$1001,0),MATCH(COLUMNS($AO$1006:BQ1006),$AO$1006:$BQ$1006,0)), HYPERLINK("#",""), HYPERLINK(CONCATENATE("#Metadata!", ADDRESS(INDEX($AJ$2:$AJ$1001,MATCH(ROWS($AH$2:AH239),$AH$2:$AH$1001,0),0), INDEX($AO$1004:$BQ$1004,1,MATCH(COLUMNS($AO$1006:BQ1006),$AO$1006:$BQ$1006,0)))),"Fix")))</f>
        <v>#REF!</v>
      </c>
      <c r="AH239">
        <f ca="1"/>
        <v>236</v>
      </c>
      <c r="AI239">
        <v>100239</v>
      </c>
      <c r="AJ239">
        <v>239</v>
      </c>
      <c r="AK239" t="b">
        <f t="shared" si="3"/>
        <v>1</v>
      </c>
      <c r="AL239" t="b">
        <f>COUNTBLANK(Metadata!B239:AD239)=COLUMNS(Metadata!B239:AD239)</f>
        <v>1</v>
      </c>
      <c r="AM239" t="str">
        <v/>
      </c>
      <c r="AO239" t="b">
        <f ca="1">AND(IF(Metadata!B239="",FALSE,TRUE),COUNTIF(Metadata!B:B, Metadata!B239) = 1,NOT(ISERROR(SUMPRODUCT(SEARCH(MID(Metadata!B239,ROW(INDIRECT("1:"&amp;LEN(Metadata!B239))), 1),"0123456789abcdefghijklmnopqrstuvwxyzABCDEFGHIJKLMNOPQRSTUVWXYZ.")))))</f>
        <v>0</v>
      </c>
      <c r="AP239" t="b">
        <f>IF(Metadata!C239="",FALSE,TRUE)</f>
        <v>0</v>
      </c>
      <c r="AQ239" t="b">
        <f>IF(Metadata!D239="",FALSE,TRUE)</f>
        <v>0</v>
      </c>
      <c r="AR239" t="b">
        <f ca="1">OR(AND(IF(Metadata!E239="",FALSE,TRUE),OR(EXACT(Metadata!E239,"not collected"),EXACT(Metadata!E239,"not provided"),EXACT(Metadata!E239,"restricted access"))),AND(IF(Metadata!E239="",FALSE,TRUE),AND(AND(IFERROR(INT(LEFT(Metadata!E239,4))&gt;1900,FALSE),IFERROR(INT(LEFT(Metadata!E239,4))&lt;=YEAR(NOW()),FALSE)), OR(MID(Metadata!E239,5,1)="", AND(AND(MID(Metadata!E239,5,1)="-",IFERROR(INT(MID(Metadata!E239,6,1))&gt;=0,FALSE),IFERROR(INT(MID(Metadata!E239,6,1))&lt;=1,FALSE),NOT(MID(Metadata!E239,7,1)=""),IFERROR(INT(MID(Metadata!E239,6,2))&gt;=1,FALSE),IFERROR(INT(MID(Metadata!E239,6,2))&lt;=12,FALSE)), OR(MID(Metadata!E239,8,1)="", AND(AND(MID(Metadata!E239,8,1)="-",IFERROR(INT(MID(Metadata!E239,9,1))&gt;=0,FALSE),IFERROR(INT(MID(Metadata!E239,9,1))&lt;=3,FALSE),NOT(MID(Metadata!E239,10,1)=""),IFERROR(INT(MID(Metadata!E239,9,2))&gt;=1,FALSE),IFERROR(INT(MID(Metadata!E239,9,2))&lt;=31,FALSE)), OR(MID(Metadata!E239,11,1)="", AND(AND(MID(Metadata!E239,11,1)=" ",IFERROR(INT(MID(Metadata!E239,12,1))&gt;=0,FALSE),IFERROR(INT(MID(Metadata!E239,12,1))&lt;=2,FALSE),NOT(MID(Metadata!E239,13,1)=""),IFERROR(INT(MID(Metadata!E239,12,2))&gt;=0,FALSE),IFERROR(INT(MID(Metadata!E239,12,2))&lt;=23,FALSE)), OR(MID(Metadata!E239,14,1)="", AND(AND(MID(Metadata!E239,14,1)=":",IFERROR(INT(MID(Metadata!E239,15,1))&gt;=0,FALSE),IFERROR(INT(MID(Metadata!E239,15,1))&lt;=5,FALSE),NOT(MID(Metadata!E239,16,1)=""),IFERROR(INT(MID(Metadata!E239,15,2))&gt;=0,FALSE),IFERROR(INT(MID(Metadata!E239,15,2))&lt;=59,FALSE)), OR(MID(Metadata!E239,17,1)="", AND(AND(MID(Metadata!E239,17,1)=":",IFERROR(INT(MID(Metadata!E239,18,1))&gt;=0,FALSE),IFERROR(INT(MID(Metadata!E239,18,1))&lt;=5,FALSE),NOT(MID(Metadata!E239,19,1)=""),IFERROR(INT(MID(Metadata!E239,18,2))&gt;=0,FALSE),IFERROR(INT(MID(Metadata!E239,18,2))&lt;=59,FALSE)), LEN(Metadata!E239)&lt;=19)))))))))))))</f>
        <v>0</v>
      </c>
      <c r="AS239" t="b">
        <f>IF(Metadata!F239="",FALSE,TRUE)</f>
        <v>0</v>
      </c>
      <c r="AT239" t="b">
        <f>OR(AND(IF(Metadata!G239="",FALSE,TRUE),OR(EXACT(Metadata!G239,"not collected"),EXACT(Metadata!G239,"not provided"))),AND(IF(Metadata!G239="",FALSE,TRUE),OR(EXACT(Metadata!G239,"TRUE"),EXACT(Metadata!G239,"FALSE"))))</f>
        <v>0</v>
      </c>
      <c r="AU239" t="b">
        <f>OR(AND(IF(Metadata!H239="",FALSE,TRUE),OR(EXACT(Metadata!H239,"not collected"),EXACT(Metadata!H239,"not provided"),EXACT(Metadata!H239,"restricted access"))),AND(IF(Metadata!H239="",FALSE,ISNUMBER(VALUE(Metadata!H239))),Metadata!H239&gt;=-413))</f>
        <v>0</v>
      </c>
      <c r="AV239" t="b">
        <f>AND(IF(Metadata!I239="",FALSE,TRUE),EXACT(Metadata!I239,"meters"))</f>
        <v>0</v>
      </c>
      <c r="AW239" t="b">
        <f>AND(IF(Metadata!J239="",FALSE,TRUE),EXACT(Metadata!J239,"free-living"))</f>
        <v>0</v>
      </c>
      <c r="AX239" t="b">
        <f>AND(IF(Metadata!K239="",FALSE,TRUE),OR(EXACT(Metadata!K239,"saline"),EXACT(Metadata!K239,"non-saline")))</f>
        <v>0</v>
      </c>
      <c r="AY239" t="b">
        <f>AND(IF(Metadata!L239="",FALSE,TRUE),OR(EXACT(Metadata!L239,"sub-surface (non-saline)"),EXACT(Metadata!L239,"surface (non-saline)"),EXACT(Metadata!L239,"water (non-saline)"),EXACT(Metadata!L239,"soil (non-saline)"),EXACT(Metadata!L239,"aerosol (non-saline)"),EXACT(Metadata!L239,"sediment (non-saline)"),EXACT(Metadata!L239,"surface (saline)"),EXACT(Metadata!L239,"water (saline)"),EXACT(Metadata!L239,"hypersaline (saline)"),EXACT(Metadata!L239,"aerosol (saline)"),EXACT(Metadata!L239,"sediment (saline)")))</f>
        <v>0</v>
      </c>
      <c r="AZ239" t="b">
        <f>IF(Metadata!M239="",FALSE,TRUE)</f>
        <v>0</v>
      </c>
      <c r="BA239" t="b">
        <f>IF(Metadata!N239="",FALSE,TRUE)</f>
        <v>0</v>
      </c>
      <c r="BB239" t="b">
        <f>IF(Metadata!O239="",FALSE,TRUE)</f>
        <v>0</v>
      </c>
      <c r="BC239" t="b">
        <f>AND(IF(Metadata!P239="",FALSE,TRUE),OR(EXACT(Metadata!P239,"air"),EXACT(Metadata!P239,"microbial mat/biofilm"),EXACT(Metadata!P239,"misc environment"),EXACT(Metadata!P239,"sediment"),EXACT(Metadata!P239,"soil"),EXACT(Metadata!P239,"wastewater/sludge"),EXACT(Metadata!P239,"water")))</f>
        <v>0</v>
      </c>
      <c r="BD239" t="b">
        <f>IF(Metadata!Q239="",FALSE,TRUE)</f>
        <v>0</v>
      </c>
      <c r="BE239" t="b">
        <f>IF(Metadata!R239="",FALSE,TRUE)</f>
        <v>0</v>
      </c>
      <c r="BF239" t="b">
        <f>OR(AND(IF(Metadata!S239="",FALSE,TRUE),OR(EXACT(Metadata!S239,"not collected"),EXACT(Metadata!S239,"not provided"),EXACT(Metadata!S239,"restricted access"))),AND(IF(Metadata!S239="",FALSE,ISNUMBER(VALUE(Metadata!S239))),Metadata!S239&gt;=-90,Metadata!S239&lt;=90))</f>
        <v>0</v>
      </c>
      <c r="BG239" t="b">
        <f>AND(IF(Metadata!T239="",FALSE,TRUE),EXACT(Metadata!T239,"Decimal degrees"))</f>
        <v>0</v>
      </c>
      <c r="BH239" t="b">
        <f>OR(AND(IF(Metadata!U239="",FALSE,TRUE),OR(EXACT(Metadata!U239,"not applicable"),EXACT(Metadata!U239,"not collected"))),IF(Metadata!U239="",FALSE,TRUE))</f>
        <v>0</v>
      </c>
      <c r="BI239" t="b">
        <f>OR(AND(IF(Metadata!V239="",FALSE,TRUE),OR(EXACT(Metadata!V239,"not collected"),EXACT(Metadata!V239,"not provided"),EXACT(Metadata!V239,"restricted access"))),AND(IF(Metadata!V239="",FALSE,ISNUMBER(VALUE(Metadata!V239))),Metadata!V239&gt;=-180,Metadata!V239&lt;=180))</f>
        <v>0</v>
      </c>
      <c r="BJ239" t="b">
        <f>AND(IF(Metadata!W239="",FALSE,TRUE),EXACT(Metadata!W239,"Decimal degrees"))</f>
        <v>0</v>
      </c>
      <c r="BK239" t="b">
        <f>IF(Metadata!X239="",FALSE,TRUE)</f>
        <v>0</v>
      </c>
      <c r="BL239" t="b">
        <f>OR(AND(IF(Metadata!Y239="",FALSE,TRUE),OR(EXACT(Metadata!Y239,"not collected"),EXACT(Metadata!Y239,"not provided"),EXACT(Metadata!Y239,"restricted access"))),AND(IF(Metadata!Y239="",FALSE,TRUE),OR(EXACT(Metadata!Y239,"TRUE"),EXACT(Metadata!Y239,"FALSE"))))</f>
        <v>0</v>
      </c>
      <c r="BM239" t="b">
        <f>OR(AND(IF(Metadata!Z239="",FALSE,TRUE),EXACT(Metadata!Z239,"not applicable")),AND(IF(Metadata!Z239="",FALSE,TRUE),OR(EXACT(Metadata!Z239,"beer"),EXACT(Metadata!Z239,"cheese"),EXACT(Metadata!Z239,"fresh water"),EXACT(Metadata!Z239,"marine sediment"),EXACT(Metadata!Z239,"sea water"),EXACT(Metadata!Z239,"sediment"),EXACT(Metadata!Z239,"soil"),EXACT(Metadata!Z239,"waste water"))))</f>
        <v>0</v>
      </c>
      <c r="BN239" t="b">
        <f>AND(IF(Metadata!AA239="",FALSE,TRUE),EXACT(Metadata!AA239,"metagenome"))</f>
        <v>0</v>
      </c>
      <c r="BO239" t="b">
        <f>AND(IF(Metadata!AB239="",FALSE,TRUE),EXACT(Metadata!AB239,"256318"))</f>
        <v>0</v>
      </c>
      <c r="BP239" t="b">
        <f>IF(Metadata!AC239="",FALSE,TRUE)</f>
        <v>0</v>
      </c>
      <c r="BQ239" t="b">
        <f>IF(Metadata!AD239="",FALSE,TRUE)</f>
        <v>0</v>
      </c>
    </row>
    <row r="240" spans="1:69" x14ac:dyDescent="0.2">
      <c r="A240" s="4" t="e">
        <f ca="1">IF(B240=" "," ",HYPERLINK(CONCATENATE("#metadata!",ADDRESS(INDEX($AJ$2:$AJ$1001,MATCH(ROWS($AH$2:AH240),$AH$2:$AH$1001,0),0),2)),INDEX($AM$2:$AM$1001,MATCH(ROWS($AH$2:AH240),$AH$2:$AH$1001,0),0)))</f>
        <v>#N/A</v>
      </c>
      <c r="B240" s="5" t="e">
        <f ca="1">IF(OR(INDEX($AI$2:$AI$1001,MATCH(ROWS($AH$2:AH240),$AH$2:$AH$1001,0),1)&gt;=100000,INDEX($AO$1005:$BQ$1005,1,MATCH(COLUMNS($AO$1006:AO1006),$AO$1006:$BQ$1006,0))&gt;=100000), " ",IF(INDEX($AO$2:$BQ$1001,MATCH(ROWS($AH$2:AH240),$AH$2:$AH$1001,0),MATCH(COLUMNS($AO$1006:AO1006),$AO$1006:$BQ$1006,0)), HYPERLINK("#",""), HYPERLINK(CONCATENATE("#Metadata!", ADDRESS(INDEX($AJ$2:$AJ$1001,MATCH(ROWS($AH$2:AH240),$AH$2:$AH$1001,0),0), INDEX($AO$1004:$BQ$1004,1,MATCH(COLUMNS($AO$1006:AO1006),$AO$1006:$BQ$1006,0)))),"Fix")))</f>
        <v>#N/A</v>
      </c>
      <c r="C240" s="5" t="e">
        <f ca="1">IF(OR(INDEX($AI$2:$AI$1001,MATCH(ROWS($AH$2:AH240),$AH$2:$AH$1001,0),1)&gt;=100000,INDEX($AO$1005:$BQ$1005,1,MATCH(COLUMNS($AO$1006:AP1006),$AO$1006:$BQ$1006,0))&gt;=100000), " ",IF(INDEX($AO$2:$BQ$1001,MATCH(ROWS($AH$2:AH240),$AH$2:$AH$1001,0),MATCH(COLUMNS($AO$1006:AP1006),$AO$1006:$BQ$1006,0)), HYPERLINK("#",""), HYPERLINK(CONCATENATE("#Metadata!", ADDRESS(INDEX($AJ$2:$AJ$1001,MATCH(ROWS($AH$2:AH240),$AH$2:$AH$1001,0),0), INDEX($AO$1004:$BQ$1004,1,MATCH(COLUMNS($AO$1006:AP1006),$AO$1006:$BQ$1006,0)))),"Fix")))</f>
        <v>#N/A</v>
      </c>
      <c r="D240" s="5" t="e">
        <f ca="1">IF(OR(INDEX($AI$2:$AI$1001,MATCH(ROWS($AH$2:AH240),$AH$2:$AH$1001,0),1)&gt;=100000,INDEX($AO$1005:$BQ$1005,1,MATCH(COLUMNS($AO$1006:AQ1006),$AO$1006:$BQ$1006,0))&gt;=100000), " ",IF(INDEX($AO$2:$BQ$1001,MATCH(ROWS($AH$2:AH240),$AH$2:$AH$1001,0),MATCH(COLUMNS($AO$1006:AQ1006),$AO$1006:$BQ$1006,0)), HYPERLINK("#",""), HYPERLINK(CONCATENATE("#Metadata!", ADDRESS(INDEX($AJ$2:$AJ$1001,MATCH(ROWS($AH$2:AH240),$AH$2:$AH$1001,0),0), INDEX($AO$1004:$BQ$1004,1,MATCH(COLUMNS($AO$1006:AQ1006),$AO$1006:$BQ$1006,0)))),"Fix")))</f>
        <v>#N/A</v>
      </c>
      <c r="E240" s="5" t="e">
        <f ca="1">IF(OR(INDEX($AI$2:$AI$1001,MATCH(ROWS($AH$2:AH240),$AH$2:$AH$1001,0),1)&gt;=100000,INDEX($AO$1005:$BQ$1005,1,MATCH(COLUMNS($AO$1006:AR1006),$AO$1006:$BQ$1006,0))&gt;=100000), " ",IF(INDEX($AO$2:$BQ$1001,MATCH(ROWS($AH$2:AH240),$AH$2:$AH$1001,0),MATCH(COLUMNS($AO$1006:AR1006),$AO$1006:$BQ$1006,0)), HYPERLINK("#",""), HYPERLINK(CONCATENATE("#Metadata!", ADDRESS(INDEX($AJ$2:$AJ$1001,MATCH(ROWS($AH$2:AH240),$AH$2:$AH$1001,0),0), INDEX($AO$1004:$BQ$1004,1,MATCH(COLUMNS($AO$1006:AR1006),$AO$1006:$BQ$1006,0)))),"Fix")))</f>
        <v>#N/A</v>
      </c>
      <c r="F240" s="5" t="e">
        <f ca="1">IF(OR(INDEX($AI$2:$AI$1001,MATCH(ROWS($AH$2:AH240),$AH$2:$AH$1001,0),1)&gt;=100000,INDEX($AO$1005:$BQ$1005,1,MATCH(COLUMNS($AO$1006:AS1006),$AO$1006:$BQ$1006,0))&gt;=100000), " ",IF(INDEX($AO$2:$BQ$1001,MATCH(ROWS($AH$2:AH240),$AH$2:$AH$1001,0),MATCH(COLUMNS($AO$1006:AS1006),$AO$1006:$BQ$1006,0)), HYPERLINK("#",""), HYPERLINK(CONCATENATE("#Metadata!", ADDRESS(INDEX($AJ$2:$AJ$1001,MATCH(ROWS($AH$2:AH240),$AH$2:$AH$1001,0),0), INDEX($AO$1004:$BQ$1004,1,MATCH(COLUMNS($AO$1006:AS1006),$AO$1006:$BQ$1006,0)))),"Fix")))</f>
        <v>#N/A</v>
      </c>
      <c r="G240" s="5" t="e">
        <f ca="1">IF(OR(INDEX($AI$2:$AI$1001,MATCH(ROWS($AH$2:AH240),$AH$2:$AH$1001,0),1)&gt;=100000,INDEX($AO$1005:$BQ$1005,1,MATCH(COLUMNS($AO$1006:AT1006),$AO$1006:$BQ$1006,0))&gt;=100000), " ",IF(INDEX($AO$2:$BQ$1001,MATCH(ROWS($AH$2:AH240),$AH$2:$AH$1001,0),MATCH(COLUMNS($AO$1006:AT1006),$AO$1006:$BQ$1006,0)), HYPERLINK("#",""), HYPERLINK(CONCATENATE("#Metadata!", ADDRESS(INDEX($AJ$2:$AJ$1001,MATCH(ROWS($AH$2:AH240),$AH$2:$AH$1001,0),0), INDEX($AO$1004:$BQ$1004,1,MATCH(COLUMNS($AO$1006:AT1006),$AO$1006:$BQ$1006,0)))),"Fix")))</f>
        <v>#N/A</v>
      </c>
      <c r="H240" s="5" t="e">
        <f ca="1">IF(OR(INDEX($AI$2:$AI$1001,MATCH(ROWS($AH$2:AH240),$AH$2:$AH$1001,0),1)&gt;=100000,INDEX($AO$1005:$BQ$1005,1,MATCH(COLUMNS($AO$1006:AU1006),$AO$1006:$BQ$1006,0))&gt;=100000), " ",IF(INDEX($AO$2:$BQ$1001,MATCH(ROWS($AH$2:AH240),$AH$2:$AH$1001,0),MATCH(COLUMNS($AO$1006:AU1006),$AO$1006:$BQ$1006,0)), HYPERLINK("#",""), HYPERLINK(CONCATENATE("#Metadata!", ADDRESS(INDEX($AJ$2:$AJ$1001,MATCH(ROWS($AH$2:AH240),$AH$2:$AH$1001,0),0), INDEX($AO$1004:$BQ$1004,1,MATCH(COLUMNS($AO$1006:AU1006),$AO$1006:$BQ$1006,0)))),"Fix")))</f>
        <v>#N/A</v>
      </c>
      <c r="I240" s="5" t="e">
        <f ca="1">IF(OR(INDEX($AI$2:$AI$1001,MATCH(ROWS($AH$2:AH240),$AH$2:$AH$1001,0),1)&gt;=100000,INDEX($AO$1005:$BQ$1005,1,MATCH(COLUMNS($AO$1006:AV1006),$AO$1006:$BQ$1006,0))&gt;=100000), " ",IF(INDEX($AO$2:$BQ$1001,MATCH(ROWS($AH$2:AH240),$AH$2:$AH$1001,0),MATCH(COLUMNS($AO$1006:AV1006),$AO$1006:$BQ$1006,0)), HYPERLINK("#",""), HYPERLINK(CONCATENATE("#Metadata!", ADDRESS(INDEX($AJ$2:$AJ$1001,MATCH(ROWS($AH$2:AH240),$AH$2:$AH$1001,0),0), INDEX($AO$1004:$BQ$1004,1,MATCH(COLUMNS($AO$1006:AV1006),$AO$1006:$BQ$1006,0)))),"Fix")))</f>
        <v>#N/A</v>
      </c>
      <c r="J240" s="5" t="e">
        <f ca="1">IF(OR(INDEX($AI$2:$AI$1001,MATCH(ROWS($AH$2:AH240),$AH$2:$AH$1001,0),1)&gt;=100000,INDEX($AO$1005:$BQ$1005,1,MATCH(COLUMNS($AO$1006:AW1006),$AO$1006:$BQ$1006,0))&gt;=100000), " ",IF(INDEX($AO$2:$BQ$1001,MATCH(ROWS($AH$2:AH240),$AH$2:$AH$1001,0),MATCH(COLUMNS($AO$1006:AW1006),$AO$1006:$BQ$1006,0)), HYPERLINK("#",""), HYPERLINK(CONCATENATE("#Metadata!", ADDRESS(INDEX($AJ$2:$AJ$1001,MATCH(ROWS($AH$2:AH240),$AH$2:$AH$1001,0),0), INDEX($AO$1004:$BQ$1004,1,MATCH(COLUMNS($AO$1006:AW1006),$AO$1006:$BQ$1006,0)))),"Fix")))</f>
        <v>#N/A</v>
      </c>
      <c r="K240" s="5" t="e">
        <f ca="1">IF(OR(INDEX($AI$2:$AI$1001,MATCH(ROWS($AH$2:AH240),$AH$2:$AH$1001,0),1)&gt;=100000,INDEX($AO$1005:$BQ$1005,1,MATCH(COLUMNS($AO$1006:AX1006),$AO$1006:$BQ$1006,0))&gt;=100000), " ",IF(INDEX($AO$2:$BQ$1001,MATCH(ROWS($AH$2:AH240),$AH$2:$AH$1001,0),MATCH(COLUMNS($AO$1006:AX1006),$AO$1006:$BQ$1006,0)), HYPERLINK("#",""), HYPERLINK(CONCATENATE("#Metadata!", ADDRESS(INDEX($AJ$2:$AJ$1001,MATCH(ROWS($AH$2:AH240),$AH$2:$AH$1001,0),0), INDEX($AO$1004:$BQ$1004,1,MATCH(COLUMNS($AO$1006:AX1006),$AO$1006:$BQ$1006,0)))),"Fix")))</f>
        <v>#N/A</v>
      </c>
      <c r="L240" s="5" t="e">
        <f ca="1">IF(OR(INDEX($AI$2:$AI$1001,MATCH(ROWS($AH$2:AH240),$AH$2:$AH$1001,0),1)&gt;=100000,INDEX($AO$1005:$BQ$1005,1,MATCH(COLUMNS($AO$1006:AY1006),$AO$1006:$BQ$1006,0))&gt;=100000), " ",IF(INDEX($AO$2:$BQ$1001,MATCH(ROWS($AH$2:AH240),$AH$2:$AH$1001,0),MATCH(COLUMNS($AO$1006:AY1006),$AO$1006:$BQ$1006,0)), HYPERLINK("#",""), HYPERLINK(CONCATENATE("#Metadata!", ADDRESS(INDEX($AJ$2:$AJ$1001,MATCH(ROWS($AH$2:AH240),$AH$2:$AH$1001,0),0), INDEX($AO$1004:$BQ$1004,1,MATCH(COLUMNS($AO$1006:AY1006),$AO$1006:$BQ$1006,0)))),"Fix")))</f>
        <v>#N/A</v>
      </c>
      <c r="M240" s="5" t="e">
        <f ca="1">IF(OR(INDEX($AI$2:$AI$1001,MATCH(ROWS($AH$2:AH240),$AH$2:$AH$1001,0),1)&gt;=100000,INDEX($AO$1005:$BQ$1005,1,MATCH(COLUMNS($AO$1006:AZ1006),$AO$1006:$BQ$1006,0))&gt;=100000), " ",IF(INDEX($AO$2:$BQ$1001,MATCH(ROWS($AH$2:AH240),$AH$2:$AH$1001,0),MATCH(COLUMNS($AO$1006:AZ1006),$AO$1006:$BQ$1006,0)), HYPERLINK("#",""), HYPERLINK(CONCATENATE("#Metadata!", ADDRESS(INDEX($AJ$2:$AJ$1001,MATCH(ROWS($AH$2:AH240),$AH$2:$AH$1001,0),0), INDEX($AO$1004:$BQ$1004,1,MATCH(COLUMNS($AO$1006:AZ1006),$AO$1006:$BQ$1006,0)))),"Fix")))</f>
        <v>#N/A</v>
      </c>
      <c r="N240" s="5" t="e">
        <f ca="1">IF(OR(INDEX($AI$2:$AI$1001,MATCH(ROWS($AH$2:AH240),$AH$2:$AH$1001,0),1)&gt;=100000,INDEX($AO$1005:$BQ$1005,1,MATCH(COLUMNS($AO$1006:BA1006),$AO$1006:$BQ$1006,0))&gt;=100000), " ",IF(INDEX($AO$2:$BQ$1001,MATCH(ROWS($AH$2:AH240),$AH$2:$AH$1001,0),MATCH(COLUMNS($AO$1006:BA1006),$AO$1006:$BQ$1006,0)), HYPERLINK("#",""), HYPERLINK(CONCATENATE("#Metadata!", ADDRESS(INDEX($AJ$2:$AJ$1001,MATCH(ROWS($AH$2:AH240),$AH$2:$AH$1001,0),0), INDEX($AO$1004:$BQ$1004,1,MATCH(COLUMNS($AO$1006:BA1006),$AO$1006:$BQ$1006,0)))),"Fix")))</f>
        <v>#N/A</v>
      </c>
      <c r="O240" s="5" t="e">
        <f ca="1">IF(OR(INDEX($AI$2:$AI$1001,MATCH(ROWS($AH$2:AH240),$AH$2:$AH$1001,0),1)&gt;=100000,INDEX($AO$1005:$BQ$1005,1,MATCH(COLUMNS($AO$1006:BB1006),$AO$1006:$BQ$1006,0))&gt;=100000), " ",IF(INDEX($AO$2:$BQ$1001,MATCH(ROWS($AH$2:AH240),$AH$2:$AH$1001,0),MATCH(COLUMNS($AO$1006:BB1006),$AO$1006:$BQ$1006,0)), HYPERLINK("#",""), HYPERLINK(CONCATENATE("#Metadata!", ADDRESS(INDEX($AJ$2:$AJ$1001,MATCH(ROWS($AH$2:AH240),$AH$2:$AH$1001,0),0), INDEX($AO$1004:$BQ$1004,1,MATCH(COLUMNS($AO$1006:BB1006),$AO$1006:$BQ$1006,0)))),"Fix")))</f>
        <v>#N/A</v>
      </c>
      <c r="P240" s="5" t="e">
        <f ca="1">IF(OR(INDEX($AI$2:$AI$1001,MATCH(ROWS($AH$2:AH240),$AH$2:$AH$1001,0),1)&gt;=100000,INDEX($AO$1005:$BQ$1005,1,MATCH(COLUMNS($AO$1006:BC1006),$AO$1006:$BQ$1006,0))&gt;=100000), " ",IF(INDEX($AO$2:$BQ$1001,MATCH(ROWS($AH$2:AH240),$AH$2:$AH$1001,0),MATCH(COLUMNS($AO$1006:BC1006),$AO$1006:$BQ$1006,0)), HYPERLINK("#",""), HYPERLINK(CONCATENATE("#Metadata!", ADDRESS(INDEX($AJ$2:$AJ$1001,MATCH(ROWS($AH$2:AH240),$AH$2:$AH$1001,0),0), INDEX($AO$1004:$BQ$1004,1,MATCH(COLUMNS($AO$1006:BC1006),$AO$1006:$BQ$1006,0)))),"Fix")))</f>
        <v>#N/A</v>
      </c>
      <c r="Q240" s="5" t="e">
        <f ca="1">IF(OR(INDEX($AI$2:$AI$1001,MATCH(ROWS($AH$2:AH240),$AH$2:$AH$1001,0),1)&gt;=100000,INDEX($AO$1005:$BQ$1005,1,MATCH(COLUMNS($AO$1006:BD1006),$AO$1006:$BQ$1006,0))&gt;=100000), " ",IF(INDEX($AO$2:$BQ$1001,MATCH(ROWS($AH$2:AH240),$AH$2:$AH$1001,0),MATCH(COLUMNS($AO$1006:BD1006),$AO$1006:$BQ$1006,0)), HYPERLINK("#",""), HYPERLINK(CONCATENATE("#Metadata!", ADDRESS(INDEX($AJ$2:$AJ$1001,MATCH(ROWS($AH$2:AH240),$AH$2:$AH$1001,0),0), INDEX($AO$1004:$BQ$1004,1,MATCH(COLUMNS($AO$1006:BD1006),$AO$1006:$BQ$1006,0)))),"Fix")))</f>
        <v>#N/A</v>
      </c>
      <c r="R240" s="5" t="e">
        <f ca="1">IF(OR(INDEX($AI$2:$AI$1001,MATCH(ROWS($AH$2:AH240),$AH$2:$AH$1001,0),1)&gt;=100000,INDEX($AO$1005:$BQ$1005,1,MATCH(COLUMNS($AO$1006:BE1006),$AO$1006:$BQ$1006,0))&gt;=100000), " ",IF(INDEX($AO$2:$BQ$1001,MATCH(ROWS($AH$2:AH240),$AH$2:$AH$1001,0),MATCH(COLUMNS($AO$1006:BE1006),$AO$1006:$BQ$1006,0)), HYPERLINK("#",""), HYPERLINK(CONCATENATE("#Metadata!", ADDRESS(INDEX($AJ$2:$AJ$1001,MATCH(ROWS($AH$2:AH240),$AH$2:$AH$1001,0),0), INDEX($AO$1004:$BQ$1004,1,MATCH(COLUMNS($AO$1006:BE1006),$AO$1006:$BQ$1006,0)))),"Fix")))</f>
        <v>#N/A</v>
      </c>
      <c r="S240" s="5" t="e">
        <f ca="1">IF(OR(INDEX($AI$2:$AI$1001,MATCH(ROWS($AH$2:AH240),$AH$2:$AH$1001,0),1)&gt;=100000,INDEX($AO$1005:$BQ$1005,1,MATCH(COLUMNS($AO$1006:BF1006),$AO$1006:$BQ$1006,0))&gt;=100000), " ",IF(INDEX($AO$2:$BQ$1001,MATCH(ROWS($AH$2:AH240),$AH$2:$AH$1001,0),MATCH(COLUMNS($AO$1006:BF1006),$AO$1006:$BQ$1006,0)), HYPERLINK("#",""), HYPERLINK(CONCATENATE("#Metadata!", ADDRESS(INDEX($AJ$2:$AJ$1001,MATCH(ROWS($AH$2:AH240),$AH$2:$AH$1001,0),0), INDEX($AO$1004:$BQ$1004,1,MATCH(COLUMNS($AO$1006:BF1006),$AO$1006:$BQ$1006,0)))),"Fix")))</f>
        <v>#N/A</v>
      </c>
      <c r="T240" s="5" t="e">
        <f ca="1">IF(OR(INDEX($AI$2:$AI$1001,MATCH(ROWS($AH$2:AH240),$AH$2:$AH$1001,0),1)&gt;=100000,INDEX($AO$1005:$BQ$1005,1,MATCH(COLUMNS($AO$1006:BG1006),$AO$1006:$BQ$1006,0))&gt;=100000), " ",IF(INDEX($AO$2:$BQ$1001,MATCH(ROWS($AH$2:AH240),$AH$2:$AH$1001,0),MATCH(COLUMNS($AO$1006:BG1006),$AO$1006:$BQ$1006,0)), HYPERLINK("#",""), HYPERLINK(CONCATENATE("#Metadata!", ADDRESS(INDEX($AJ$2:$AJ$1001,MATCH(ROWS($AH$2:AH240),$AH$2:$AH$1001,0),0), INDEX($AO$1004:$BQ$1004,1,MATCH(COLUMNS($AO$1006:BG1006),$AO$1006:$BQ$1006,0)))),"Fix")))</f>
        <v>#N/A</v>
      </c>
      <c r="U240" s="5" t="e">
        <f ca="1">IF(OR(INDEX($AI$2:$AI$1001,MATCH(ROWS($AH$2:AH240),$AH$2:$AH$1001,0),1)&gt;=100000,INDEX($AO$1005:$BQ$1005,1,MATCH(COLUMNS($AO$1006:BH1006),$AO$1006:$BQ$1006,0))&gt;=100000), " ",IF(INDEX($AO$2:$BQ$1001,MATCH(ROWS($AH$2:AH240),$AH$2:$AH$1001,0),MATCH(COLUMNS($AO$1006:BH1006),$AO$1006:$BQ$1006,0)), HYPERLINK("#",""), HYPERLINK(CONCATENATE("#Metadata!", ADDRESS(INDEX($AJ$2:$AJ$1001,MATCH(ROWS($AH$2:AH240),$AH$2:$AH$1001,0),0), INDEX($AO$1004:$BQ$1004,1,MATCH(COLUMNS($AO$1006:BH1006),$AO$1006:$BQ$1006,0)))),"Fix")))</f>
        <v>#N/A</v>
      </c>
      <c r="V240" s="5" t="e">
        <f ca="1">IF(OR(INDEX($AI$2:$AI$1001,MATCH(ROWS($AH$2:AH240),$AH$2:$AH$1001,0),1)&gt;=100000,INDEX($AO$1005:$BQ$1005,1,MATCH(COLUMNS($AO$1006:BI1006),$AO$1006:$BQ$1006,0))&gt;=100000), " ",IF(INDEX($AO$2:$BQ$1001,MATCH(ROWS($AH$2:AH240),$AH$2:$AH$1001,0),MATCH(COLUMNS($AO$1006:BI1006),$AO$1006:$BQ$1006,0)), HYPERLINK("#",""), HYPERLINK(CONCATENATE("#Metadata!", ADDRESS(INDEX($AJ$2:$AJ$1001,MATCH(ROWS($AH$2:AH240),$AH$2:$AH$1001,0),0), INDEX($AO$1004:$BQ$1004,1,MATCH(COLUMNS($AO$1006:BI1006),$AO$1006:$BQ$1006,0)))),"Fix")))</f>
        <v>#N/A</v>
      </c>
      <c r="W240" s="5" t="e">
        <f ca="1">IF(OR(INDEX($AI$2:$AI$1001,MATCH(ROWS($AH$2:AH240),$AH$2:$AH$1001,0),1)&gt;=100000,INDEX($AO$1005:$BQ$1005,1,MATCH(COLUMNS($AO$1006:BJ1006),$AO$1006:$BQ$1006,0))&gt;=100000), " ",IF(INDEX($AO$2:$BQ$1001,MATCH(ROWS($AH$2:AH240),$AH$2:$AH$1001,0),MATCH(COLUMNS($AO$1006:BJ1006),$AO$1006:$BQ$1006,0)), HYPERLINK("#",""), HYPERLINK(CONCATENATE("#Metadata!", ADDRESS(INDEX($AJ$2:$AJ$1001,MATCH(ROWS($AH$2:AH240),$AH$2:$AH$1001,0),0), INDEX($AO$1004:$BQ$1004,1,MATCH(COLUMNS($AO$1006:BJ1006),$AO$1006:$BQ$1006,0)))),"Fix")))</f>
        <v>#N/A</v>
      </c>
      <c r="X240" s="5" t="e">
        <f ca="1">IF(OR(INDEX($AI$2:$AI$1001,MATCH(ROWS($AH$2:AH240),$AH$2:$AH$1001,0),1)&gt;=100000,INDEX($AO$1005:$BQ$1005,1,MATCH(COLUMNS($AO$1006:BK1006),$AO$1006:$BQ$1006,0))&gt;=100000), " ",IF(INDEX($AO$2:$BQ$1001,MATCH(ROWS($AH$2:AH240),$AH$2:$AH$1001,0),MATCH(COLUMNS($AO$1006:BK1006),$AO$1006:$BQ$1006,0)), HYPERLINK("#",""), HYPERLINK(CONCATENATE("#Metadata!", ADDRESS(INDEX($AJ$2:$AJ$1001,MATCH(ROWS($AH$2:AH240),$AH$2:$AH$1001,0),0), INDEX($AO$1004:$BQ$1004,1,MATCH(COLUMNS($AO$1006:BK1006),$AO$1006:$BQ$1006,0)))),"Fix")))</f>
        <v>#N/A</v>
      </c>
      <c r="Y240" s="5" t="e">
        <f ca="1">IF(OR(INDEX($AI$2:$AI$1001,MATCH(ROWS($AH$2:AH240),$AH$2:$AH$1001,0),1)&gt;=100000,INDEX($AO$1005:$BQ$1005,1,MATCH(COLUMNS($AO$1006:BL1006),$AO$1006:$BQ$1006,0))&gt;=100000), " ",IF(INDEX($AO$2:$BQ$1001,MATCH(ROWS($AH$2:AH240),$AH$2:$AH$1001,0),MATCH(COLUMNS($AO$1006:BL1006),$AO$1006:$BQ$1006,0)), HYPERLINK("#",""), HYPERLINK(CONCATENATE("#Metadata!", ADDRESS(INDEX($AJ$2:$AJ$1001,MATCH(ROWS($AH$2:AH240),$AH$2:$AH$1001,0),0), INDEX($AO$1004:$BQ$1004,1,MATCH(COLUMNS($AO$1006:BL1006),$AO$1006:$BQ$1006,0)))),"Fix")))</f>
        <v>#N/A</v>
      </c>
      <c r="Z240" s="5" t="e">
        <f ca="1">IF(OR(INDEX($AI$2:$AI$1001,MATCH(ROWS($AH$2:AH240),$AH$2:$AH$1001,0),1)&gt;=100000,INDEX($AO$1005:$BQ$1005,1,MATCH(COLUMNS($AO$1006:BM1006),$AO$1006:$BQ$1006,0))&gt;=100000), " ",IF(INDEX($AO$2:$BQ$1001,MATCH(ROWS($AH$2:AH240),$AH$2:$AH$1001,0),MATCH(COLUMNS($AO$1006:BM1006),$AO$1006:$BQ$1006,0)), HYPERLINK("#",""), HYPERLINK(CONCATENATE("#Metadata!", ADDRESS(INDEX($AJ$2:$AJ$1001,MATCH(ROWS($AH$2:AH240),$AH$2:$AH$1001,0),0), INDEX($AO$1004:$BQ$1004,1,MATCH(COLUMNS($AO$1006:BM1006),$AO$1006:$BQ$1006,0)))),"Fix")))</f>
        <v>#N/A</v>
      </c>
      <c r="AA240" s="5" t="e">
        <f ca="1">IF(OR(INDEX($AI$2:$AI$1001,MATCH(ROWS($AH$2:AH240),$AH$2:$AH$1001,0),1)&gt;=100000,INDEX($AO$1005:$BQ$1005,1,MATCH(COLUMNS($AO$1006:BN1006),$AO$1006:$BQ$1006,0))&gt;=100000), " ",IF(INDEX($AO$2:$BQ$1001,MATCH(ROWS($AH$2:AH240),$AH$2:$AH$1001,0),MATCH(COLUMNS($AO$1006:BN1006),$AO$1006:$BQ$1006,0)), HYPERLINK("#",""), HYPERLINK(CONCATENATE("#Metadata!", ADDRESS(INDEX($AJ$2:$AJ$1001,MATCH(ROWS($AH$2:AH240),$AH$2:$AH$1001,0),0), INDEX($AO$1004:$BQ$1004,1,MATCH(COLUMNS($AO$1006:BN1006),$AO$1006:$BQ$1006,0)))),"Fix")))</f>
        <v>#N/A</v>
      </c>
      <c r="AB240" s="5" t="e">
        <f ca="1">IF(OR(INDEX($AI$2:$AI$1001,MATCH(ROWS($AH$2:AH240),$AH$2:$AH$1001,0),1)&gt;=100000,INDEX($AO$1005:$BQ$1005,1,MATCH(COLUMNS($AO$1006:BO1006),$AO$1006:$BQ$1006,0))&gt;=100000), " ",IF(INDEX($AO$2:$BQ$1001,MATCH(ROWS($AH$2:AH240),$AH$2:$AH$1001,0),MATCH(COLUMNS($AO$1006:BO1006),$AO$1006:$BQ$1006,0)), HYPERLINK("#",""), HYPERLINK(CONCATENATE("#Metadata!", ADDRESS(INDEX($AJ$2:$AJ$1001,MATCH(ROWS($AH$2:AH240),$AH$2:$AH$1001,0),0), INDEX($AO$1004:$BQ$1004,1,MATCH(COLUMNS($AO$1006:BO1006),$AO$1006:$BQ$1006,0)))),"Fix")))</f>
        <v>#N/A</v>
      </c>
      <c r="AC240" s="5" t="e">
        <f ca="1">IF(OR(INDEX($AI$2:$AI$1001,MATCH(ROWS($AH$2:AH240),$AH$2:$AH$1001,0),1)&gt;=100000,INDEX($AO$1005:$BQ$1005,1,MATCH(COLUMNS($AO$1006:BP1006),$AO$1006:$BQ$1006,0))&gt;=100000), " ",IF(INDEX($AO$2:$BQ$1001,MATCH(ROWS($AH$2:AH240),$AH$2:$AH$1001,0),MATCH(COLUMNS($AO$1006:BP1006),$AO$1006:$BQ$1006,0)), HYPERLINK("#",""), HYPERLINK(CONCATENATE("#Metadata!", ADDRESS(INDEX($AJ$2:$AJ$1001,MATCH(ROWS($AH$2:AH240),$AH$2:$AH$1001,0),0), INDEX($AO$1004:$BQ$1004,1,MATCH(COLUMNS($AO$1006:BP1006),$AO$1006:$BQ$1006,0)))),"Fix")))</f>
        <v>#N/A</v>
      </c>
      <c r="AD240" s="5" t="e">
        <f ca="1">IF(OR(INDEX($AI$2:$AI$1001,MATCH(ROWS($AH$2:AH240),$AH$2:$AH$1001,0),1)&gt;=100000,INDEX($AO$1005:$BQ$1005,1,MATCH(COLUMNS($AO$1006:BQ1006),$AO$1006:$BQ$1006,0))&gt;=100000), " ",IF(INDEX($AO$2:$BQ$1001,MATCH(ROWS($AH$2:AH240),$AH$2:$AH$1001,0),MATCH(COLUMNS($AO$1006:BQ1006),$AO$1006:$BQ$1006,0)), HYPERLINK("#",""), HYPERLINK(CONCATENATE("#Metadata!", ADDRESS(INDEX($AJ$2:$AJ$1001,MATCH(ROWS($AH$2:AH240),$AH$2:$AH$1001,0),0), INDEX($AO$1004:$BQ$1004,1,MATCH(COLUMNS($AO$1006:BQ1006),$AO$1006:$BQ$1006,0)))),"Fix")))</f>
        <v>#REF!</v>
      </c>
      <c r="AH240">
        <f ca="1"/>
        <v>237</v>
      </c>
      <c r="AI240">
        <v>100240</v>
      </c>
      <c r="AJ240">
        <v>240</v>
      </c>
      <c r="AK240" t="b">
        <f t="shared" si="3"/>
        <v>1</v>
      </c>
      <c r="AL240" t="b">
        <f>COUNTBLANK(Metadata!B240:AD240)=COLUMNS(Metadata!B240:AD240)</f>
        <v>1</v>
      </c>
      <c r="AM240" t="str">
        <v/>
      </c>
      <c r="AO240" t="b">
        <f ca="1">AND(IF(Metadata!B240="",FALSE,TRUE),COUNTIF(Metadata!B:B, Metadata!B240) = 1,NOT(ISERROR(SUMPRODUCT(SEARCH(MID(Metadata!B240,ROW(INDIRECT("1:"&amp;LEN(Metadata!B240))), 1),"0123456789abcdefghijklmnopqrstuvwxyzABCDEFGHIJKLMNOPQRSTUVWXYZ.")))))</f>
        <v>0</v>
      </c>
      <c r="AP240" t="b">
        <f>IF(Metadata!C240="",FALSE,TRUE)</f>
        <v>0</v>
      </c>
      <c r="AQ240" t="b">
        <f>IF(Metadata!D240="",FALSE,TRUE)</f>
        <v>0</v>
      </c>
      <c r="AR240" t="b">
        <f ca="1">OR(AND(IF(Metadata!E240="",FALSE,TRUE),OR(EXACT(Metadata!E240,"not collected"),EXACT(Metadata!E240,"not provided"),EXACT(Metadata!E240,"restricted access"))),AND(IF(Metadata!E240="",FALSE,TRUE),AND(AND(IFERROR(INT(LEFT(Metadata!E240,4))&gt;1900,FALSE),IFERROR(INT(LEFT(Metadata!E240,4))&lt;=YEAR(NOW()),FALSE)), OR(MID(Metadata!E240,5,1)="", AND(AND(MID(Metadata!E240,5,1)="-",IFERROR(INT(MID(Metadata!E240,6,1))&gt;=0,FALSE),IFERROR(INT(MID(Metadata!E240,6,1))&lt;=1,FALSE),NOT(MID(Metadata!E240,7,1)=""),IFERROR(INT(MID(Metadata!E240,6,2))&gt;=1,FALSE),IFERROR(INT(MID(Metadata!E240,6,2))&lt;=12,FALSE)), OR(MID(Metadata!E240,8,1)="", AND(AND(MID(Metadata!E240,8,1)="-",IFERROR(INT(MID(Metadata!E240,9,1))&gt;=0,FALSE),IFERROR(INT(MID(Metadata!E240,9,1))&lt;=3,FALSE),NOT(MID(Metadata!E240,10,1)=""),IFERROR(INT(MID(Metadata!E240,9,2))&gt;=1,FALSE),IFERROR(INT(MID(Metadata!E240,9,2))&lt;=31,FALSE)), OR(MID(Metadata!E240,11,1)="", AND(AND(MID(Metadata!E240,11,1)=" ",IFERROR(INT(MID(Metadata!E240,12,1))&gt;=0,FALSE),IFERROR(INT(MID(Metadata!E240,12,1))&lt;=2,FALSE),NOT(MID(Metadata!E240,13,1)=""),IFERROR(INT(MID(Metadata!E240,12,2))&gt;=0,FALSE),IFERROR(INT(MID(Metadata!E240,12,2))&lt;=23,FALSE)), OR(MID(Metadata!E240,14,1)="", AND(AND(MID(Metadata!E240,14,1)=":",IFERROR(INT(MID(Metadata!E240,15,1))&gt;=0,FALSE),IFERROR(INT(MID(Metadata!E240,15,1))&lt;=5,FALSE),NOT(MID(Metadata!E240,16,1)=""),IFERROR(INT(MID(Metadata!E240,15,2))&gt;=0,FALSE),IFERROR(INT(MID(Metadata!E240,15,2))&lt;=59,FALSE)), OR(MID(Metadata!E240,17,1)="", AND(AND(MID(Metadata!E240,17,1)=":",IFERROR(INT(MID(Metadata!E240,18,1))&gt;=0,FALSE),IFERROR(INT(MID(Metadata!E240,18,1))&lt;=5,FALSE),NOT(MID(Metadata!E240,19,1)=""),IFERROR(INT(MID(Metadata!E240,18,2))&gt;=0,FALSE),IFERROR(INT(MID(Metadata!E240,18,2))&lt;=59,FALSE)), LEN(Metadata!E240)&lt;=19)))))))))))))</f>
        <v>0</v>
      </c>
      <c r="AS240" t="b">
        <f>IF(Metadata!F240="",FALSE,TRUE)</f>
        <v>0</v>
      </c>
      <c r="AT240" t="b">
        <f>OR(AND(IF(Metadata!G240="",FALSE,TRUE),OR(EXACT(Metadata!G240,"not collected"),EXACT(Metadata!G240,"not provided"))),AND(IF(Metadata!G240="",FALSE,TRUE),OR(EXACT(Metadata!G240,"TRUE"),EXACT(Metadata!G240,"FALSE"))))</f>
        <v>0</v>
      </c>
      <c r="AU240" t="b">
        <f>OR(AND(IF(Metadata!H240="",FALSE,TRUE),OR(EXACT(Metadata!H240,"not collected"),EXACT(Metadata!H240,"not provided"),EXACT(Metadata!H240,"restricted access"))),AND(IF(Metadata!H240="",FALSE,ISNUMBER(VALUE(Metadata!H240))),Metadata!H240&gt;=-413))</f>
        <v>0</v>
      </c>
      <c r="AV240" t="b">
        <f>AND(IF(Metadata!I240="",FALSE,TRUE),EXACT(Metadata!I240,"meters"))</f>
        <v>0</v>
      </c>
      <c r="AW240" t="b">
        <f>AND(IF(Metadata!J240="",FALSE,TRUE),EXACT(Metadata!J240,"free-living"))</f>
        <v>0</v>
      </c>
      <c r="AX240" t="b">
        <f>AND(IF(Metadata!K240="",FALSE,TRUE),OR(EXACT(Metadata!K240,"saline"),EXACT(Metadata!K240,"non-saline")))</f>
        <v>0</v>
      </c>
      <c r="AY240" t="b">
        <f>AND(IF(Metadata!L240="",FALSE,TRUE),OR(EXACT(Metadata!L240,"sub-surface (non-saline)"),EXACT(Metadata!L240,"surface (non-saline)"),EXACT(Metadata!L240,"water (non-saline)"),EXACT(Metadata!L240,"soil (non-saline)"),EXACT(Metadata!L240,"aerosol (non-saline)"),EXACT(Metadata!L240,"sediment (non-saline)"),EXACT(Metadata!L240,"surface (saline)"),EXACT(Metadata!L240,"water (saline)"),EXACT(Metadata!L240,"hypersaline (saline)"),EXACT(Metadata!L240,"aerosol (saline)"),EXACT(Metadata!L240,"sediment (saline)")))</f>
        <v>0</v>
      </c>
      <c r="AZ240" t="b">
        <f>IF(Metadata!M240="",FALSE,TRUE)</f>
        <v>0</v>
      </c>
      <c r="BA240" t="b">
        <f>IF(Metadata!N240="",FALSE,TRUE)</f>
        <v>0</v>
      </c>
      <c r="BB240" t="b">
        <f>IF(Metadata!O240="",FALSE,TRUE)</f>
        <v>0</v>
      </c>
      <c r="BC240" t="b">
        <f>AND(IF(Metadata!P240="",FALSE,TRUE),OR(EXACT(Metadata!P240,"air"),EXACT(Metadata!P240,"microbial mat/biofilm"),EXACT(Metadata!P240,"misc environment"),EXACT(Metadata!P240,"sediment"),EXACT(Metadata!P240,"soil"),EXACT(Metadata!P240,"wastewater/sludge"),EXACT(Metadata!P240,"water")))</f>
        <v>0</v>
      </c>
      <c r="BD240" t="b">
        <f>IF(Metadata!Q240="",FALSE,TRUE)</f>
        <v>0</v>
      </c>
      <c r="BE240" t="b">
        <f>IF(Metadata!R240="",FALSE,TRUE)</f>
        <v>0</v>
      </c>
      <c r="BF240" t="b">
        <f>OR(AND(IF(Metadata!S240="",FALSE,TRUE),OR(EXACT(Metadata!S240,"not collected"),EXACT(Metadata!S240,"not provided"),EXACT(Metadata!S240,"restricted access"))),AND(IF(Metadata!S240="",FALSE,ISNUMBER(VALUE(Metadata!S240))),Metadata!S240&gt;=-90,Metadata!S240&lt;=90))</f>
        <v>0</v>
      </c>
      <c r="BG240" t="b">
        <f>AND(IF(Metadata!T240="",FALSE,TRUE),EXACT(Metadata!T240,"Decimal degrees"))</f>
        <v>0</v>
      </c>
      <c r="BH240" t="b">
        <f>OR(AND(IF(Metadata!U240="",FALSE,TRUE),OR(EXACT(Metadata!U240,"not applicable"),EXACT(Metadata!U240,"not collected"))),IF(Metadata!U240="",FALSE,TRUE))</f>
        <v>0</v>
      </c>
      <c r="BI240" t="b">
        <f>OR(AND(IF(Metadata!V240="",FALSE,TRUE),OR(EXACT(Metadata!V240,"not collected"),EXACT(Metadata!V240,"not provided"),EXACT(Metadata!V240,"restricted access"))),AND(IF(Metadata!V240="",FALSE,ISNUMBER(VALUE(Metadata!V240))),Metadata!V240&gt;=-180,Metadata!V240&lt;=180))</f>
        <v>0</v>
      </c>
      <c r="BJ240" t="b">
        <f>AND(IF(Metadata!W240="",FALSE,TRUE),EXACT(Metadata!W240,"Decimal degrees"))</f>
        <v>0</v>
      </c>
      <c r="BK240" t="b">
        <f>IF(Metadata!X240="",FALSE,TRUE)</f>
        <v>0</v>
      </c>
      <c r="BL240" t="b">
        <f>OR(AND(IF(Metadata!Y240="",FALSE,TRUE),OR(EXACT(Metadata!Y240,"not collected"),EXACT(Metadata!Y240,"not provided"),EXACT(Metadata!Y240,"restricted access"))),AND(IF(Metadata!Y240="",FALSE,TRUE),OR(EXACT(Metadata!Y240,"TRUE"),EXACT(Metadata!Y240,"FALSE"))))</f>
        <v>0</v>
      </c>
      <c r="BM240" t="b">
        <f>OR(AND(IF(Metadata!Z240="",FALSE,TRUE),EXACT(Metadata!Z240,"not applicable")),AND(IF(Metadata!Z240="",FALSE,TRUE),OR(EXACT(Metadata!Z240,"beer"),EXACT(Metadata!Z240,"cheese"),EXACT(Metadata!Z240,"fresh water"),EXACT(Metadata!Z240,"marine sediment"),EXACT(Metadata!Z240,"sea water"),EXACT(Metadata!Z240,"sediment"),EXACT(Metadata!Z240,"soil"),EXACT(Metadata!Z240,"waste water"))))</f>
        <v>0</v>
      </c>
      <c r="BN240" t="b">
        <f>AND(IF(Metadata!AA240="",FALSE,TRUE),EXACT(Metadata!AA240,"metagenome"))</f>
        <v>0</v>
      </c>
      <c r="BO240" t="b">
        <f>AND(IF(Metadata!AB240="",FALSE,TRUE),EXACT(Metadata!AB240,"256318"))</f>
        <v>0</v>
      </c>
      <c r="BP240" t="b">
        <f>IF(Metadata!AC240="",FALSE,TRUE)</f>
        <v>0</v>
      </c>
      <c r="BQ240" t="b">
        <f>IF(Metadata!AD240="",FALSE,TRUE)</f>
        <v>0</v>
      </c>
    </row>
    <row r="241" spans="1:69" x14ac:dyDescent="0.2">
      <c r="A241" s="4" t="e">
        <f ca="1">IF(B241=" "," ",HYPERLINK(CONCATENATE("#metadata!",ADDRESS(INDEX($AJ$2:$AJ$1001,MATCH(ROWS($AH$2:AH241),$AH$2:$AH$1001,0),0),2)),INDEX($AM$2:$AM$1001,MATCH(ROWS($AH$2:AH241),$AH$2:$AH$1001,0),0)))</f>
        <v>#N/A</v>
      </c>
      <c r="B241" s="5" t="e">
        <f ca="1">IF(OR(INDEX($AI$2:$AI$1001,MATCH(ROWS($AH$2:AH241),$AH$2:$AH$1001,0),1)&gt;=100000,INDEX($AO$1005:$BQ$1005,1,MATCH(COLUMNS($AO$1006:AO1006),$AO$1006:$BQ$1006,0))&gt;=100000), " ",IF(INDEX($AO$2:$BQ$1001,MATCH(ROWS($AH$2:AH241),$AH$2:$AH$1001,0),MATCH(COLUMNS($AO$1006:AO1006),$AO$1006:$BQ$1006,0)), HYPERLINK("#",""), HYPERLINK(CONCATENATE("#Metadata!", ADDRESS(INDEX($AJ$2:$AJ$1001,MATCH(ROWS($AH$2:AH241),$AH$2:$AH$1001,0),0), INDEX($AO$1004:$BQ$1004,1,MATCH(COLUMNS($AO$1006:AO1006),$AO$1006:$BQ$1006,0)))),"Fix")))</f>
        <v>#N/A</v>
      </c>
      <c r="C241" s="5" t="e">
        <f ca="1">IF(OR(INDEX($AI$2:$AI$1001,MATCH(ROWS($AH$2:AH241),$AH$2:$AH$1001,0),1)&gt;=100000,INDEX($AO$1005:$BQ$1005,1,MATCH(COLUMNS($AO$1006:AP1006),$AO$1006:$BQ$1006,0))&gt;=100000), " ",IF(INDEX($AO$2:$BQ$1001,MATCH(ROWS($AH$2:AH241),$AH$2:$AH$1001,0),MATCH(COLUMNS($AO$1006:AP1006),$AO$1006:$BQ$1006,0)), HYPERLINK("#",""), HYPERLINK(CONCATENATE("#Metadata!", ADDRESS(INDEX($AJ$2:$AJ$1001,MATCH(ROWS($AH$2:AH241),$AH$2:$AH$1001,0),0), INDEX($AO$1004:$BQ$1004,1,MATCH(COLUMNS($AO$1006:AP1006),$AO$1006:$BQ$1006,0)))),"Fix")))</f>
        <v>#N/A</v>
      </c>
      <c r="D241" s="5" t="e">
        <f ca="1">IF(OR(INDEX($AI$2:$AI$1001,MATCH(ROWS($AH$2:AH241),$AH$2:$AH$1001,0),1)&gt;=100000,INDEX($AO$1005:$BQ$1005,1,MATCH(COLUMNS($AO$1006:AQ1006),$AO$1006:$BQ$1006,0))&gt;=100000), " ",IF(INDEX($AO$2:$BQ$1001,MATCH(ROWS($AH$2:AH241),$AH$2:$AH$1001,0),MATCH(COLUMNS($AO$1006:AQ1006),$AO$1006:$BQ$1006,0)), HYPERLINK("#",""), HYPERLINK(CONCATENATE("#Metadata!", ADDRESS(INDEX($AJ$2:$AJ$1001,MATCH(ROWS($AH$2:AH241),$AH$2:$AH$1001,0),0), INDEX($AO$1004:$BQ$1004,1,MATCH(COLUMNS($AO$1006:AQ1006),$AO$1006:$BQ$1006,0)))),"Fix")))</f>
        <v>#N/A</v>
      </c>
      <c r="E241" s="5" t="e">
        <f ca="1">IF(OR(INDEX($AI$2:$AI$1001,MATCH(ROWS($AH$2:AH241),$AH$2:$AH$1001,0),1)&gt;=100000,INDEX($AO$1005:$BQ$1005,1,MATCH(COLUMNS($AO$1006:AR1006),$AO$1006:$BQ$1006,0))&gt;=100000), " ",IF(INDEX($AO$2:$BQ$1001,MATCH(ROWS($AH$2:AH241),$AH$2:$AH$1001,0),MATCH(COLUMNS($AO$1006:AR1006),$AO$1006:$BQ$1006,0)), HYPERLINK("#",""), HYPERLINK(CONCATENATE("#Metadata!", ADDRESS(INDEX($AJ$2:$AJ$1001,MATCH(ROWS($AH$2:AH241),$AH$2:$AH$1001,0),0), INDEX($AO$1004:$BQ$1004,1,MATCH(COLUMNS($AO$1006:AR1006),$AO$1006:$BQ$1006,0)))),"Fix")))</f>
        <v>#N/A</v>
      </c>
      <c r="F241" s="5" t="e">
        <f ca="1">IF(OR(INDEX($AI$2:$AI$1001,MATCH(ROWS($AH$2:AH241),$AH$2:$AH$1001,0),1)&gt;=100000,INDEX($AO$1005:$BQ$1005,1,MATCH(COLUMNS($AO$1006:AS1006),$AO$1006:$BQ$1006,0))&gt;=100000), " ",IF(INDEX($AO$2:$BQ$1001,MATCH(ROWS($AH$2:AH241),$AH$2:$AH$1001,0),MATCH(COLUMNS($AO$1006:AS1006),$AO$1006:$BQ$1006,0)), HYPERLINK("#",""), HYPERLINK(CONCATENATE("#Metadata!", ADDRESS(INDEX($AJ$2:$AJ$1001,MATCH(ROWS($AH$2:AH241),$AH$2:$AH$1001,0),0), INDEX($AO$1004:$BQ$1004,1,MATCH(COLUMNS($AO$1006:AS1006),$AO$1006:$BQ$1006,0)))),"Fix")))</f>
        <v>#N/A</v>
      </c>
      <c r="G241" s="5" t="e">
        <f ca="1">IF(OR(INDEX($AI$2:$AI$1001,MATCH(ROWS($AH$2:AH241),$AH$2:$AH$1001,0),1)&gt;=100000,INDEX($AO$1005:$BQ$1005,1,MATCH(COLUMNS($AO$1006:AT1006),$AO$1006:$BQ$1006,0))&gt;=100000), " ",IF(INDEX($AO$2:$BQ$1001,MATCH(ROWS($AH$2:AH241),$AH$2:$AH$1001,0),MATCH(COLUMNS($AO$1006:AT1006),$AO$1006:$BQ$1006,0)), HYPERLINK("#",""), HYPERLINK(CONCATENATE("#Metadata!", ADDRESS(INDEX($AJ$2:$AJ$1001,MATCH(ROWS($AH$2:AH241),$AH$2:$AH$1001,0),0), INDEX($AO$1004:$BQ$1004,1,MATCH(COLUMNS($AO$1006:AT1006),$AO$1006:$BQ$1006,0)))),"Fix")))</f>
        <v>#N/A</v>
      </c>
      <c r="H241" s="5" t="e">
        <f ca="1">IF(OR(INDEX($AI$2:$AI$1001,MATCH(ROWS($AH$2:AH241),$AH$2:$AH$1001,0),1)&gt;=100000,INDEX($AO$1005:$BQ$1005,1,MATCH(COLUMNS($AO$1006:AU1006),$AO$1006:$BQ$1006,0))&gt;=100000), " ",IF(INDEX($AO$2:$BQ$1001,MATCH(ROWS($AH$2:AH241),$AH$2:$AH$1001,0),MATCH(COLUMNS($AO$1006:AU1006),$AO$1006:$BQ$1006,0)), HYPERLINK("#",""), HYPERLINK(CONCATENATE("#Metadata!", ADDRESS(INDEX($AJ$2:$AJ$1001,MATCH(ROWS($AH$2:AH241),$AH$2:$AH$1001,0),0), INDEX($AO$1004:$BQ$1004,1,MATCH(COLUMNS($AO$1006:AU1006),$AO$1006:$BQ$1006,0)))),"Fix")))</f>
        <v>#N/A</v>
      </c>
      <c r="I241" s="5" t="e">
        <f ca="1">IF(OR(INDEX($AI$2:$AI$1001,MATCH(ROWS($AH$2:AH241),$AH$2:$AH$1001,0),1)&gt;=100000,INDEX($AO$1005:$BQ$1005,1,MATCH(COLUMNS($AO$1006:AV1006),$AO$1006:$BQ$1006,0))&gt;=100000), " ",IF(INDEX($AO$2:$BQ$1001,MATCH(ROWS($AH$2:AH241),$AH$2:$AH$1001,0),MATCH(COLUMNS($AO$1006:AV1006),$AO$1006:$BQ$1006,0)), HYPERLINK("#",""), HYPERLINK(CONCATENATE("#Metadata!", ADDRESS(INDEX($AJ$2:$AJ$1001,MATCH(ROWS($AH$2:AH241),$AH$2:$AH$1001,0),0), INDEX($AO$1004:$BQ$1004,1,MATCH(COLUMNS($AO$1006:AV1006),$AO$1006:$BQ$1006,0)))),"Fix")))</f>
        <v>#N/A</v>
      </c>
      <c r="J241" s="5" t="e">
        <f ca="1">IF(OR(INDEX($AI$2:$AI$1001,MATCH(ROWS($AH$2:AH241),$AH$2:$AH$1001,0),1)&gt;=100000,INDEX($AO$1005:$BQ$1005,1,MATCH(COLUMNS($AO$1006:AW1006),$AO$1006:$BQ$1006,0))&gt;=100000), " ",IF(INDEX($AO$2:$BQ$1001,MATCH(ROWS($AH$2:AH241),$AH$2:$AH$1001,0),MATCH(COLUMNS($AO$1006:AW1006),$AO$1006:$BQ$1006,0)), HYPERLINK("#",""), HYPERLINK(CONCATENATE("#Metadata!", ADDRESS(INDEX($AJ$2:$AJ$1001,MATCH(ROWS($AH$2:AH241),$AH$2:$AH$1001,0),0), INDEX($AO$1004:$BQ$1004,1,MATCH(COLUMNS($AO$1006:AW1006),$AO$1006:$BQ$1006,0)))),"Fix")))</f>
        <v>#N/A</v>
      </c>
      <c r="K241" s="5" t="e">
        <f ca="1">IF(OR(INDEX($AI$2:$AI$1001,MATCH(ROWS($AH$2:AH241),$AH$2:$AH$1001,0),1)&gt;=100000,INDEX($AO$1005:$BQ$1005,1,MATCH(COLUMNS($AO$1006:AX1006),$AO$1006:$BQ$1006,0))&gt;=100000), " ",IF(INDEX($AO$2:$BQ$1001,MATCH(ROWS($AH$2:AH241),$AH$2:$AH$1001,0),MATCH(COLUMNS($AO$1006:AX1006),$AO$1006:$BQ$1006,0)), HYPERLINK("#",""), HYPERLINK(CONCATENATE("#Metadata!", ADDRESS(INDEX($AJ$2:$AJ$1001,MATCH(ROWS($AH$2:AH241),$AH$2:$AH$1001,0),0), INDEX($AO$1004:$BQ$1004,1,MATCH(COLUMNS($AO$1006:AX1006),$AO$1006:$BQ$1006,0)))),"Fix")))</f>
        <v>#N/A</v>
      </c>
      <c r="L241" s="5" t="e">
        <f ca="1">IF(OR(INDEX($AI$2:$AI$1001,MATCH(ROWS($AH$2:AH241),$AH$2:$AH$1001,0),1)&gt;=100000,INDEX($AO$1005:$BQ$1005,1,MATCH(COLUMNS($AO$1006:AY1006),$AO$1006:$BQ$1006,0))&gt;=100000), " ",IF(INDEX($AO$2:$BQ$1001,MATCH(ROWS($AH$2:AH241),$AH$2:$AH$1001,0),MATCH(COLUMNS($AO$1006:AY1006),$AO$1006:$BQ$1006,0)), HYPERLINK("#",""), HYPERLINK(CONCATENATE("#Metadata!", ADDRESS(INDEX($AJ$2:$AJ$1001,MATCH(ROWS($AH$2:AH241),$AH$2:$AH$1001,0),0), INDEX($AO$1004:$BQ$1004,1,MATCH(COLUMNS($AO$1006:AY1006),$AO$1006:$BQ$1006,0)))),"Fix")))</f>
        <v>#N/A</v>
      </c>
      <c r="M241" s="5" t="e">
        <f ca="1">IF(OR(INDEX($AI$2:$AI$1001,MATCH(ROWS($AH$2:AH241),$AH$2:$AH$1001,0),1)&gt;=100000,INDEX($AO$1005:$BQ$1005,1,MATCH(COLUMNS($AO$1006:AZ1006),$AO$1006:$BQ$1006,0))&gt;=100000), " ",IF(INDEX($AO$2:$BQ$1001,MATCH(ROWS($AH$2:AH241),$AH$2:$AH$1001,0),MATCH(COLUMNS($AO$1006:AZ1006),$AO$1006:$BQ$1006,0)), HYPERLINK("#",""), HYPERLINK(CONCATENATE("#Metadata!", ADDRESS(INDEX($AJ$2:$AJ$1001,MATCH(ROWS($AH$2:AH241),$AH$2:$AH$1001,0),0), INDEX($AO$1004:$BQ$1004,1,MATCH(COLUMNS($AO$1006:AZ1006),$AO$1006:$BQ$1006,0)))),"Fix")))</f>
        <v>#N/A</v>
      </c>
      <c r="N241" s="5" t="e">
        <f ca="1">IF(OR(INDEX($AI$2:$AI$1001,MATCH(ROWS($AH$2:AH241),$AH$2:$AH$1001,0),1)&gt;=100000,INDEX($AO$1005:$BQ$1005,1,MATCH(COLUMNS($AO$1006:BA1006),$AO$1006:$BQ$1006,0))&gt;=100000), " ",IF(INDEX($AO$2:$BQ$1001,MATCH(ROWS($AH$2:AH241),$AH$2:$AH$1001,0),MATCH(COLUMNS($AO$1006:BA1006),$AO$1006:$BQ$1006,0)), HYPERLINK("#",""), HYPERLINK(CONCATENATE("#Metadata!", ADDRESS(INDEX($AJ$2:$AJ$1001,MATCH(ROWS($AH$2:AH241),$AH$2:$AH$1001,0),0), INDEX($AO$1004:$BQ$1004,1,MATCH(COLUMNS($AO$1006:BA1006),$AO$1006:$BQ$1006,0)))),"Fix")))</f>
        <v>#N/A</v>
      </c>
      <c r="O241" s="5" t="e">
        <f ca="1">IF(OR(INDEX($AI$2:$AI$1001,MATCH(ROWS($AH$2:AH241),$AH$2:$AH$1001,0),1)&gt;=100000,INDEX($AO$1005:$BQ$1005,1,MATCH(COLUMNS($AO$1006:BB1006),$AO$1006:$BQ$1006,0))&gt;=100000), " ",IF(INDEX($AO$2:$BQ$1001,MATCH(ROWS($AH$2:AH241),$AH$2:$AH$1001,0),MATCH(COLUMNS($AO$1006:BB1006),$AO$1006:$BQ$1006,0)), HYPERLINK("#",""), HYPERLINK(CONCATENATE("#Metadata!", ADDRESS(INDEX($AJ$2:$AJ$1001,MATCH(ROWS($AH$2:AH241),$AH$2:$AH$1001,0),0), INDEX($AO$1004:$BQ$1004,1,MATCH(COLUMNS($AO$1006:BB1006),$AO$1006:$BQ$1006,0)))),"Fix")))</f>
        <v>#N/A</v>
      </c>
      <c r="P241" s="5" t="e">
        <f ca="1">IF(OR(INDEX($AI$2:$AI$1001,MATCH(ROWS($AH$2:AH241),$AH$2:$AH$1001,0),1)&gt;=100000,INDEX($AO$1005:$BQ$1005,1,MATCH(COLUMNS($AO$1006:BC1006),$AO$1006:$BQ$1006,0))&gt;=100000), " ",IF(INDEX($AO$2:$BQ$1001,MATCH(ROWS($AH$2:AH241),$AH$2:$AH$1001,0),MATCH(COLUMNS($AO$1006:BC1006),$AO$1006:$BQ$1006,0)), HYPERLINK("#",""), HYPERLINK(CONCATENATE("#Metadata!", ADDRESS(INDEX($AJ$2:$AJ$1001,MATCH(ROWS($AH$2:AH241),$AH$2:$AH$1001,0),0), INDEX($AO$1004:$BQ$1004,1,MATCH(COLUMNS($AO$1006:BC1006),$AO$1006:$BQ$1006,0)))),"Fix")))</f>
        <v>#N/A</v>
      </c>
      <c r="Q241" s="5" t="e">
        <f ca="1">IF(OR(INDEX($AI$2:$AI$1001,MATCH(ROWS($AH$2:AH241),$AH$2:$AH$1001,0),1)&gt;=100000,INDEX($AO$1005:$BQ$1005,1,MATCH(COLUMNS($AO$1006:BD1006),$AO$1006:$BQ$1006,0))&gt;=100000), " ",IF(INDEX($AO$2:$BQ$1001,MATCH(ROWS($AH$2:AH241),$AH$2:$AH$1001,0),MATCH(COLUMNS($AO$1006:BD1006),$AO$1006:$BQ$1006,0)), HYPERLINK("#",""), HYPERLINK(CONCATENATE("#Metadata!", ADDRESS(INDEX($AJ$2:$AJ$1001,MATCH(ROWS($AH$2:AH241),$AH$2:$AH$1001,0),0), INDEX($AO$1004:$BQ$1004,1,MATCH(COLUMNS($AO$1006:BD1006),$AO$1006:$BQ$1006,0)))),"Fix")))</f>
        <v>#N/A</v>
      </c>
      <c r="R241" s="5" t="e">
        <f ca="1">IF(OR(INDEX($AI$2:$AI$1001,MATCH(ROWS($AH$2:AH241),$AH$2:$AH$1001,0),1)&gt;=100000,INDEX($AO$1005:$BQ$1005,1,MATCH(COLUMNS($AO$1006:BE1006),$AO$1006:$BQ$1006,0))&gt;=100000), " ",IF(INDEX($AO$2:$BQ$1001,MATCH(ROWS($AH$2:AH241),$AH$2:$AH$1001,0),MATCH(COLUMNS($AO$1006:BE1006),$AO$1006:$BQ$1006,0)), HYPERLINK("#",""), HYPERLINK(CONCATENATE("#Metadata!", ADDRESS(INDEX($AJ$2:$AJ$1001,MATCH(ROWS($AH$2:AH241),$AH$2:$AH$1001,0),0), INDEX($AO$1004:$BQ$1004,1,MATCH(COLUMNS($AO$1006:BE1006),$AO$1006:$BQ$1006,0)))),"Fix")))</f>
        <v>#N/A</v>
      </c>
      <c r="S241" s="5" t="e">
        <f ca="1">IF(OR(INDEX($AI$2:$AI$1001,MATCH(ROWS($AH$2:AH241),$AH$2:$AH$1001,0),1)&gt;=100000,INDEX($AO$1005:$BQ$1005,1,MATCH(COLUMNS($AO$1006:BF1006),$AO$1006:$BQ$1006,0))&gt;=100000), " ",IF(INDEX($AO$2:$BQ$1001,MATCH(ROWS($AH$2:AH241),$AH$2:$AH$1001,0),MATCH(COLUMNS($AO$1006:BF1006),$AO$1006:$BQ$1006,0)), HYPERLINK("#",""), HYPERLINK(CONCATENATE("#Metadata!", ADDRESS(INDEX($AJ$2:$AJ$1001,MATCH(ROWS($AH$2:AH241),$AH$2:$AH$1001,0),0), INDEX($AO$1004:$BQ$1004,1,MATCH(COLUMNS($AO$1006:BF1006),$AO$1006:$BQ$1006,0)))),"Fix")))</f>
        <v>#N/A</v>
      </c>
      <c r="T241" s="5" t="e">
        <f ca="1">IF(OR(INDEX($AI$2:$AI$1001,MATCH(ROWS($AH$2:AH241),$AH$2:$AH$1001,0),1)&gt;=100000,INDEX($AO$1005:$BQ$1005,1,MATCH(COLUMNS($AO$1006:BG1006),$AO$1006:$BQ$1006,0))&gt;=100000), " ",IF(INDEX($AO$2:$BQ$1001,MATCH(ROWS($AH$2:AH241),$AH$2:$AH$1001,0),MATCH(COLUMNS($AO$1006:BG1006),$AO$1006:$BQ$1006,0)), HYPERLINK("#",""), HYPERLINK(CONCATENATE("#Metadata!", ADDRESS(INDEX($AJ$2:$AJ$1001,MATCH(ROWS($AH$2:AH241),$AH$2:$AH$1001,0),0), INDEX($AO$1004:$BQ$1004,1,MATCH(COLUMNS($AO$1006:BG1006),$AO$1006:$BQ$1006,0)))),"Fix")))</f>
        <v>#N/A</v>
      </c>
      <c r="U241" s="5" t="e">
        <f ca="1">IF(OR(INDEX($AI$2:$AI$1001,MATCH(ROWS($AH$2:AH241),$AH$2:$AH$1001,0),1)&gt;=100000,INDEX($AO$1005:$BQ$1005,1,MATCH(COLUMNS($AO$1006:BH1006),$AO$1006:$BQ$1006,0))&gt;=100000), " ",IF(INDEX($AO$2:$BQ$1001,MATCH(ROWS($AH$2:AH241),$AH$2:$AH$1001,0),MATCH(COLUMNS($AO$1006:BH1006),$AO$1006:$BQ$1006,0)), HYPERLINK("#",""), HYPERLINK(CONCATENATE("#Metadata!", ADDRESS(INDEX($AJ$2:$AJ$1001,MATCH(ROWS($AH$2:AH241),$AH$2:$AH$1001,0),0), INDEX($AO$1004:$BQ$1004,1,MATCH(COLUMNS($AO$1006:BH1006),$AO$1006:$BQ$1006,0)))),"Fix")))</f>
        <v>#N/A</v>
      </c>
      <c r="V241" s="5" t="e">
        <f ca="1">IF(OR(INDEX($AI$2:$AI$1001,MATCH(ROWS($AH$2:AH241),$AH$2:$AH$1001,0),1)&gt;=100000,INDEX($AO$1005:$BQ$1005,1,MATCH(COLUMNS($AO$1006:BI1006),$AO$1006:$BQ$1006,0))&gt;=100000), " ",IF(INDEX($AO$2:$BQ$1001,MATCH(ROWS($AH$2:AH241),$AH$2:$AH$1001,0),MATCH(COLUMNS($AO$1006:BI1006),$AO$1006:$BQ$1006,0)), HYPERLINK("#",""), HYPERLINK(CONCATENATE("#Metadata!", ADDRESS(INDEX($AJ$2:$AJ$1001,MATCH(ROWS($AH$2:AH241),$AH$2:$AH$1001,0),0), INDEX($AO$1004:$BQ$1004,1,MATCH(COLUMNS($AO$1006:BI1006),$AO$1006:$BQ$1006,0)))),"Fix")))</f>
        <v>#N/A</v>
      </c>
      <c r="W241" s="5" t="e">
        <f ca="1">IF(OR(INDEX($AI$2:$AI$1001,MATCH(ROWS($AH$2:AH241),$AH$2:$AH$1001,0),1)&gt;=100000,INDEX($AO$1005:$BQ$1005,1,MATCH(COLUMNS($AO$1006:BJ1006),$AO$1006:$BQ$1006,0))&gt;=100000), " ",IF(INDEX($AO$2:$BQ$1001,MATCH(ROWS($AH$2:AH241),$AH$2:$AH$1001,0),MATCH(COLUMNS($AO$1006:BJ1006),$AO$1006:$BQ$1006,0)), HYPERLINK("#",""), HYPERLINK(CONCATENATE("#Metadata!", ADDRESS(INDEX($AJ$2:$AJ$1001,MATCH(ROWS($AH$2:AH241),$AH$2:$AH$1001,0),0), INDEX($AO$1004:$BQ$1004,1,MATCH(COLUMNS($AO$1006:BJ1006),$AO$1006:$BQ$1006,0)))),"Fix")))</f>
        <v>#N/A</v>
      </c>
      <c r="X241" s="5" t="e">
        <f ca="1">IF(OR(INDEX($AI$2:$AI$1001,MATCH(ROWS($AH$2:AH241),$AH$2:$AH$1001,0),1)&gt;=100000,INDEX($AO$1005:$BQ$1005,1,MATCH(COLUMNS($AO$1006:BK1006),$AO$1006:$BQ$1006,0))&gt;=100000), " ",IF(INDEX($AO$2:$BQ$1001,MATCH(ROWS($AH$2:AH241),$AH$2:$AH$1001,0),MATCH(COLUMNS($AO$1006:BK1006),$AO$1006:$BQ$1006,0)), HYPERLINK("#",""), HYPERLINK(CONCATENATE("#Metadata!", ADDRESS(INDEX($AJ$2:$AJ$1001,MATCH(ROWS($AH$2:AH241),$AH$2:$AH$1001,0),0), INDEX($AO$1004:$BQ$1004,1,MATCH(COLUMNS($AO$1006:BK1006),$AO$1006:$BQ$1006,0)))),"Fix")))</f>
        <v>#N/A</v>
      </c>
      <c r="Y241" s="5" t="e">
        <f ca="1">IF(OR(INDEX($AI$2:$AI$1001,MATCH(ROWS($AH$2:AH241),$AH$2:$AH$1001,0),1)&gt;=100000,INDEX($AO$1005:$BQ$1005,1,MATCH(COLUMNS($AO$1006:BL1006),$AO$1006:$BQ$1006,0))&gt;=100000), " ",IF(INDEX($AO$2:$BQ$1001,MATCH(ROWS($AH$2:AH241),$AH$2:$AH$1001,0),MATCH(COLUMNS($AO$1006:BL1006),$AO$1006:$BQ$1006,0)), HYPERLINK("#",""), HYPERLINK(CONCATENATE("#Metadata!", ADDRESS(INDEX($AJ$2:$AJ$1001,MATCH(ROWS($AH$2:AH241),$AH$2:$AH$1001,0),0), INDEX($AO$1004:$BQ$1004,1,MATCH(COLUMNS($AO$1006:BL1006),$AO$1006:$BQ$1006,0)))),"Fix")))</f>
        <v>#N/A</v>
      </c>
      <c r="Z241" s="5" t="e">
        <f ca="1">IF(OR(INDEX($AI$2:$AI$1001,MATCH(ROWS($AH$2:AH241),$AH$2:$AH$1001,0),1)&gt;=100000,INDEX($AO$1005:$BQ$1005,1,MATCH(COLUMNS($AO$1006:BM1006),$AO$1006:$BQ$1006,0))&gt;=100000), " ",IF(INDEX($AO$2:$BQ$1001,MATCH(ROWS($AH$2:AH241),$AH$2:$AH$1001,0),MATCH(COLUMNS($AO$1006:BM1006),$AO$1006:$BQ$1006,0)), HYPERLINK("#",""), HYPERLINK(CONCATENATE("#Metadata!", ADDRESS(INDEX($AJ$2:$AJ$1001,MATCH(ROWS($AH$2:AH241),$AH$2:$AH$1001,0),0), INDEX($AO$1004:$BQ$1004,1,MATCH(COLUMNS($AO$1006:BM1006),$AO$1006:$BQ$1006,0)))),"Fix")))</f>
        <v>#N/A</v>
      </c>
      <c r="AA241" s="5" t="e">
        <f ca="1">IF(OR(INDEX($AI$2:$AI$1001,MATCH(ROWS($AH$2:AH241),$AH$2:$AH$1001,0),1)&gt;=100000,INDEX($AO$1005:$BQ$1005,1,MATCH(COLUMNS($AO$1006:BN1006),$AO$1006:$BQ$1006,0))&gt;=100000), " ",IF(INDEX($AO$2:$BQ$1001,MATCH(ROWS($AH$2:AH241),$AH$2:$AH$1001,0),MATCH(COLUMNS($AO$1006:BN1006),$AO$1006:$BQ$1006,0)), HYPERLINK("#",""), HYPERLINK(CONCATENATE("#Metadata!", ADDRESS(INDEX($AJ$2:$AJ$1001,MATCH(ROWS($AH$2:AH241),$AH$2:$AH$1001,0),0), INDEX($AO$1004:$BQ$1004,1,MATCH(COLUMNS($AO$1006:BN1006),$AO$1006:$BQ$1006,0)))),"Fix")))</f>
        <v>#N/A</v>
      </c>
      <c r="AB241" s="5" t="e">
        <f ca="1">IF(OR(INDEX($AI$2:$AI$1001,MATCH(ROWS($AH$2:AH241),$AH$2:$AH$1001,0),1)&gt;=100000,INDEX($AO$1005:$BQ$1005,1,MATCH(COLUMNS($AO$1006:BO1006),$AO$1006:$BQ$1006,0))&gt;=100000), " ",IF(INDEX($AO$2:$BQ$1001,MATCH(ROWS($AH$2:AH241),$AH$2:$AH$1001,0),MATCH(COLUMNS($AO$1006:BO1006),$AO$1006:$BQ$1006,0)), HYPERLINK("#",""), HYPERLINK(CONCATENATE("#Metadata!", ADDRESS(INDEX($AJ$2:$AJ$1001,MATCH(ROWS($AH$2:AH241),$AH$2:$AH$1001,0),0), INDEX($AO$1004:$BQ$1004,1,MATCH(COLUMNS($AO$1006:BO1006),$AO$1006:$BQ$1006,0)))),"Fix")))</f>
        <v>#N/A</v>
      </c>
      <c r="AC241" s="5" t="e">
        <f ca="1">IF(OR(INDEX($AI$2:$AI$1001,MATCH(ROWS($AH$2:AH241),$AH$2:$AH$1001,0),1)&gt;=100000,INDEX($AO$1005:$BQ$1005,1,MATCH(COLUMNS($AO$1006:BP1006),$AO$1006:$BQ$1006,0))&gt;=100000), " ",IF(INDEX($AO$2:$BQ$1001,MATCH(ROWS($AH$2:AH241),$AH$2:$AH$1001,0),MATCH(COLUMNS($AO$1006:BP1006),$AO$1006:$BQ$1006,0)), HYPERLINK("#",""), HYPERLINK(CONCATENATE("#Metadata!", ADDRESS(INDEX($AJ$2:$AJ$1001,MATCH(ROWS($AH$2:AH241),$AH$2:$AH$1001,0),0), INDEX($AO$1004:$BQ$1004,1,MATCH(COLUMNS($AO$1006:BP1006),$AO$1006:$BQ$1006,0)))),"Fix")))</f>
        <v>#N/A</v>
      </c>
      <c r="AD241" s="5" t="e">
        <f ca="1">IF(OR(INDEX($AI$2:$AI$1001,MATCH(ROWS($AH$2:AH241),$AH$2:$AH$1001,0),1)&gt;=100000,INDEX($AO$1005:$BQ$1005,1,MATCH(COLUMNS($AO$1006:BQ1006),$AO$1006:$BQ$1006,0))&gt;=100000), " ",IF(INDEX($AO$2:$BQ$1001,MATCH(ROWS($AH$2:AH241),$AH$2:$AH$1001,0),MATCH(COLUMNS($AO$1006:BQ1006),$AO$1006:$BQ$1006,0)), HYPERLINK("#",""), HYPERLINK(CONCATENATE("#Metadata!", ADDRESS(INDEX($AJ$2:$AJ$1001,MATCH(ROWS($AH$2:AH241),$AH$2:$AH$1001,0),0), INDEX($AO$1004:$BQ$1004,1,MATCH(COLUMNS($AO$1006:BQ1006),$AO$1006:$BQ$1006,0)))),"Fix")))</f>
        <v>#REF!</v>
      </c>
      <c r="AH241">
        <f ca="1"/>
        <v>238</v>
      </c>
      <c r="AI241">
        <v>100241</v>
      </c>
      <c r="AJ241">
        <v>241</v>
      </c>
      <c r="AK241" t="b">
        <f t="shared" si="3"/>
        <v>1</v>
      </c>
      <c r="AL241" t="b">
        <f>COUNTBLANK(Metadata!B241:AD241)=COLUMNS(Metadata!B241:AD241)</f>
        <v>1</v>
      </c>
      <c r="AM241" t="str">
        <v/>
      </c>
      <c r="AO241" t="b">
        <f ca="1">AND(IF(Metadata!B241="",FALSE,TRUE),COUNTIF(Metadata!B:B, Metadata!B241) = 1,NOT(ISERROR(SUMPRODUCT(SEARCH(MID(Metadata!B241,ROW(INDIRECT("1:"&amp;LEN(Metadata!B241))), 1),"0123456789abcdefghijklmnopqrstuvwxyzABCDEFGHIJKLMNOPQRSTUVWXYZ.")))))</f>
        <v>0</v>
      </c>
      <c r="AP241" t="b">
        <f>IF(Metadata!C241="",FALSE,TRUE)</f>
        <v>0</v>
      </c>
      <c r="AQ241" t="b">
        <f>IF(Metadata!D241="",FALSE,TRUE)</f>
        <v>0</v>
      </c>
      <c r="AR241" t="b">
        <f ca="1">OR(AND(IF(Metadata!E241="",FALSE,TRUE),OR(EXACT(Metadata!E241,"not collected"),EXACT(Metadata!E241,"not provided"),EXACT(Metadata!E241,"restricted access"))),AND(IF(Metadata!E241="",FALSE,TRUE),AND(AND(IFERROR(INT(LEFT(Metadata!E241,4))&gt;1900,FALSE),IFERROR(INT(LEFT(Metadata!E241,4))&lt;=YEAR(NOW()),FALSE)), OR(MID(Metadata!E241,5,1)="", AND(AND(MID(Metadata!E241,5,1)="-",IFERROR(INT(MID(Metadata!E241,6,1))&gt;=0,FALSE),IFERROR(INT(MID(Metadata!E241,6,1))&lt;=1,FALSE),NOT(MID(Metadata!E241,7,1)=""),IFERROR(INT(MID(Metadata!E241,6,2))&gt;=1,FALSE),IFERROR(INT(MID(Metadata!E241,6,2))&lt;=12,FALSE)), OR(MID(Metadata!E241,8,1)="", AND(AND(MID(Metadata!E241,8,1)="-",IFERROR(INT(MID(Metadata!E241,9,1))&gt;=0,FALSE),IFERROR(INT(MID(Metadata!E241,9,1))&lt;=3,FALSE),NOT(MID(Metadata!E241,10,1)=""),IFERROR(INT(MID(Metadata!E241,9,2))&gt;=1,FALSE),IFERROR(INT(MID(Metadata!E241,9,2))&lt;=31,FALSE)), OR(MID(Metadata!E241,11,1)="", AND(AND(MID(Metadata!E241,11,1)=" ",IFERROR(INT(MID(Metadata!E241,12,1))&gt;=0,FALSE),IFERROR(INT(MID(Metadata!E241,12,1))&lt;=2,FALSE),NOT(MID(Metadata!E241,13,1)=""),IFERROR(INT(MID(Metadata!E241,12,2))&gt;=0,FALSE),IFERROR(INT(MID(Metadata!E241,12,2))&lt;=23,FALSE)), OR(MID(Metadata!E241,14,1)="", AND(AND(MID(Metadata!E241,14,1)=":",IFERROR(INT(MID(Metadata!E241,15,1))&gt;=0,FALSE),IFERROR(INT(MID(Metadata!E241,15,1))&lt;=5,FALSE),NOT(MID(Metadata!E241,16,1)=""),IFERROR(INT(MID(Metadata!E241,15,2))&gt;=0,FALSE),IFERROR(INT(MID(Metadata!E241,15,2))&lt;=59,FALSE)), OR(MID(Metadata!E241,17,1)="", AND(AND(MID(Metadata!E241,17,1)=":",IFERROR(INT(MID(Metadata!E241,18,1))&gt;=0,FALSE),IFERROR(INT(MID(Metadata!E241,18,1))&lt;=5,FALSE),NOT(MID(Metadata!E241,19,1)=""),IFERROR(INT(MID(Metadata!E241,18,2))&gt;=0,FALSE),IFERROR(INT(MID(Metadata!E241,18,2))&lt;=59,FALSE)), LEN(Metadata!E241)&lt;=19)))))))))))))</f>
        <v>0</v>
      </c>
      <c r="AS241" t="b">
        <f>IF(Metadata!F241="",FALSE,TRUE)</f>
        <v>0</v>
      </c>
      <c r="AT241" t="b">
        <f>OR(AND(IF(Metadata!G241="",FALSE,TRUE),OR(EXACT(Metadata!G241,"not collected"),EXACT(Metadata!G241,"not provided"))),AND(IF(Metadata!G241="",FALSE,TRUE),OR(EXACT(Metadata!G241,"TRUE"),EXACT(Metadata!G241,"FALSE"))))</f>
        <v>0</v>
      </c>
      <c r="AU241" t="b">
        <f>OR(AND(IF(Metadata!H241="",FALSE,TRUE),OR(EXACT(Metadata!H241,"not collected"),EXACT(Metadata!H241,"not provided"),EXACT(Metadata!H241,"restricted access"))),AND(IF(Metadata!H241="",FALSE,ISNUMBER(VALUE(Metadata!H241))),Metadata!H241&gt;=-413))</f>
        <v>0</v>
      </c>
      <c r="AV241" t="b">
        <f>AND(IF(Metadata!I241="",FALSE,TRUE),EXACT(Metadata!I241,"meters"))</f>
        <v>0</v>
      </c>
      <c r="AW241" t="b">
        <f>AND(IF(Metadata!J241="",FALSE,TRUE),EXACT(Metadata!J241,"free-living"))</f>
        <v>0</v>
      </c>
      <c r="AX241" t="b">
        <f>AND(IF(Metadata!K241="",FALSE,TRUE),OR(EXACT(Metadata!K241,"saline"),EXACT(Metadata!K241,"non-saline")))</f>
        <v>0</v>
      </c>
      <c r="AY241" t="b">
        <f>AND(IF(Metadata!L241="",FALSE,TRUE),OR(EXACT(Metadata!L241,"sub-surface (non-saline)"),EXACT(Metadata!L241,"surface (non-saline)"),EXACT(Metadata!L241,"water (non-saline)"),EXACT(Metadata!L241,"soil (non-saline)"),EXACT(Metadata!L241,"aerosol (non-saline)"),EXACT(Metadata!L241,"sediment (non-saline)"),EXACT(Metadata!L241,"surface (saline)"),EXACT(Metadata!L241,"water (saline)"),EXACT(Metadata!L241,"hypersaline (saline)"),EXACT(Metadata!L241,"aerosol (saline)"),EXACT(Metadata!L241,"sediment (saline)")))</f>
        <v>0</v>
      </c>
      <c r="AZ241" t="b">
        <f>IF(Metadata!M241="",FALSE,TRUE)</f>
        <v>0</v>
      </c>
      <c r="BA241" t="b">
        <f>IF(Metadata!N241="",FALSE,TRUE)</f>
        <v>0</v>
      </c>
      <c r="BB241" t="b">
        <f>IF(Metadata!O241="",FALSE,TRUE)</f>
        <v>0</v>
      </c>
      <c r="BC241" t="b">
        <f>AND(IF(Metadata!P241="",FALSE,TRUE),OR(EXACT(Metadata!P241,"air"),EXACT(Metadata!P241,"microbial mat/biofilm"),EXACT(Metadata!P241,"misc environment"),EXACT(Metadata!P241,"sediment"),EXACT(Metadata!P241,"soil"),EXACT(Metadata!P241,"wastewater/sludge"),EXACT(Metadata!P241,"water")))</f>
        <v>0</v>
      </c>
      <c r="BD241" t="b">
        <f>IF(Metadata!Q241="",FALSE,TRUE)</f>
        <v>0</v>
      </c>
      <c r="BE241" t="b">
        <f>IF(Metadata!R241="",FALSE,TRUE)</f>
        <v>0</v>
      </c>
      <c r="BF241" t="b">
        <f>OR(AND(IF(Metadata!S241="",FALSE,TRUE),OR(EXACT(Metadata!S241,"not collected"),EXACT(Metadata!S241,"not provided"),EXACT(Metadata!S241,"restricted access"))),AND(IF(Metadata!S241="",FALSE,ISNUMBER(VALUE(Metadata!S241))),Metadata!S241&gt;=-90,Metadata!S241&lt;=90))</f>
        <v>0</v>
      </c>
      <c r="BG241" t="b">
        <f>AND(IF(Metadata!T241="",FALSE,TRUE),EXACT(Metadata!T241,"Decimal degrees"))</f>
        <v>0</v>
      </c>
      <c r="BH241" t="b">
        <f>OR(AND(IF(Metadata!U241="",FALSE,TRUE),OR(EXACT(Metadata!U241,"not applicable"),EXACT(Metadata!U241,"not collected"))),IF(Metadata!U241="",FALSE,TRUE))</f>
        <v>0</v>
      </c>
      <c r="BI241" t="b">
        <f>OR(AND(IF(Metadata!V241="",FALSE,TRUE),OR(EXACT(Metadata!V241,"not collected"),EXACT(Metadata!V241,"not provided"),EXACT(Metadata!V241,"restricted access"))),AND(IF(Metadata!V241="",FALSE,ISNUMBER(VALUE(Metadata!V241))),Metadata!V241&gt;=-180,Metadata!V241&lt;=180))</f>
        <v>0</v>
      </c>
      <c r="BJ241" t="b">
        <f>AND(IF(Metadata!W241="",FALSE,TRUE),EXACT(Metadata!W241,"Decimal degrees"))</f>
        <v>0</v>
      </c>
      <c r="BK241" t="b">
        <f>IF(Metadata!X241="",FALSE,TRUE)</f>
        <v>0</v>
      </c>
      <c r="BL241" t="b">
        <f>OR(AND(IF(Metadata!Y241="",FALSE,TRUE),OR(EXACT(Metadata!Y241,"not collected"),EXACT(Metadata!Y241,"not provided"),EXACT(Metadata!Y241,"restricted access"))),AND(IF(Metadata!Y241="",FALSE,TRUE),OR(EXACT(Metadata!Y241,"TRUE"),EXACT(Metadata!Y241,"FALSE"))))</f>
        <v>0</v>
      </c>
      <c r="BM241" t="b">
        <f>OR(AND(IF(Metadata!Z241="",FALSE,TRUE),EXACT(Metadata!Z241,"not applicable")),AND(IF(Metadata!Z241="",FALSE,TRUE),OR(EXACT(Metadata!Z241,"beer"),EXACT(Metadata!Z241,"cheese"),EXACT(Metadata!Z241,"fresh water"),EXACT(Metadata!Z241,"marine sediment"),EXACT(Metadata!Z241,"sea water"),EXACT(Metadata!Z241,"sediment"),EXACT(Metadata!Z241,"soil"),EXACT(Metadata!Z241,"waste water"))))</f>
        <v>0</v>
      </c>
      <c r="BN241" t="b">
        <f>AND(IF(Metadata!AA241="",FALSE,TRUE),EXACT(Metadata!AA241,"metagenome"))</f>
        <v>0</v>
      </c>
      <c r="BO241" t="b">
        <f>AND(IF(Metadata!AB241="",FALSE,TRUE),EXACT(Metadata!AB241,"256318"))</f>
        <v>0</v>
      </c>
      <c r="BP241" t="b">
        <f>IF(Metadata!AC241="",FALSE,TRUE)</f>
        <v>0</v>
      </c>
      <c r="BQ241" t="b">
        <f>IF(Metadata!AD241="",FALSE,TRUE)</f>
        <v>0</v>
      </c>
    </row>
    <row r="242" spans="1:69" x14ac:dyDescent="0.2">
      <c r="A242" s="4" t="e">
        <f ca="1">IF(B242=" "," ",HYPERLINK(CONCATENATE("#metadata!",ADDRESS(INDEX($AJ$2:$AJ$1001,MATCH(ROWS($AH$2:AH242),$AH$2:$AH$1001,0),0),2)),INDEX($AM$2:$AM$1001,MATCH(ROWS($AH$2:AH242),$AH$2:$AH$1001,0),0)))</f>
        <v>#N/A</v>
      </c>
      <c r="B242" s="5" t="e">
        <f ca="1">IF(OR(INDEX($AI$2:$AI$1001,MATCH(ROWS($AH$2:AH242),$AH$2:$AH$1001,0),1)&gt;=100000,INDEX($AO$1005:$BQ$1005,1,MATCH(COLUMNS($AO$1006:AO1006),$AO$1006:$BQ$1006,0))&gt;=100000), " ",IF(INDEX($AO$2:$BQ$1001,MATCH(ROWS($AH$2:AH242),$AH$2:$AH$1001,0),MATCH(COLUMNS($AO$1006:AO1006),$AO$1006:$BQ$1006,0)), HYPERLINK("#",""), HYPERLINK(CONCATENATE("#Metadata!", ADDRESS(INDEX($AJ$2:$AJ$1001,MATCH(ROWS($AH$2:AH242),$AH$2:$AH$1001,0),0), INDEX($AO$1004:$BQ$1004,1,MATCH(COLUMNS($AO$1006:AO1006),$AO$1006:$BQ$1006,0)))),"Fix")))</f>
        <v>#N/A</v>
      </c>
      <c r="C242" s="5" t="e">
        <f ca="1">IF(OR(INDEX($AI$2:$AI$1001,MATCH(ROWS($AH$2:AH242),$AH$2:$AH$1001,0),1)&gt;=100000,INDEX($AO$1005:$BQ$1005,1,MATCH(COLUMNS($AO$1006:AP1006),$AO$1006:$BQ$1006,0))&gt;=100000), " ",IF(INDEX($AO$2:$BQ$1001,MATCH(ROWS($AH$2:AH242),$AH$2:$AH$1001,0),MATCH(COLUMNS($AO$1006:AP1006),$AO$1006:$BQ$1006,0)), HYPERLINK("#",""), HYPERLINK(CONCATENATE("#Metadata!", ADDRESS(INDEX($AJ$2:$AJ$1001,MATCH(ROWS($AH$2:AH242),$AH$2:$AH$1001,0),0), INDEX($AO$1004:$BQ$1004,1,MATCH(COLUMNS($AO$1006:AP1006),$AO$1006:$BQ$1006,0)))),"Fix")))</f>
        <v>#N/A</v>
      </c>
      <c r="D242" s="5" t="e">
        <f ca="1">IF(OR(INDEX($AI$2:$AI$1001,MATCH(ROWS($AH$2:AH242),$AH$2:$AH$1001,0),1)&gt;=100000,INDEX($AO$1005:$BQ$1005,1,MATCH(COLUMNS($AO$1006:AQ1006),$AO$1006:$BQ$1006,0))&gt;=100000), " ",IF(INDEX($AO$2:$BQ$1001,MATCH(ROWS($AH$2:AH242),$AH$2:$AH$1001,0),MATCH(COLUMNS($AO$1006:AQ1006),$AO$1006:$BQ$1006,0)), HYPERLINK("#",""), HYPERLINK(CONCATENATE("#Metadata!", ADDRESS(INDEX($AJ$2:$AJ$1001,MATCH(ROWS($AH$2:AH242),$AH$2:$AH$1001,0),0), INDEX($AO$1004:$BQ$1004,1,MATCH(COLUMNS($AO$1006:AQ1006),$AO$1006:$BQ$1006,0)))),"Fix")))</f>
        <v>#N/A</v>
      </c>
      <c r="E242" s="5" t="e">
        <f ca="1">IF(OR(INDEX($AI$2:$AI$1001,MATCH(ROWS($AH$2:AH242),$AH$2:$AH$1001,0),1)&gt;=100000,INDEX($AO$1005:$BQ$1005,1,MATCH(COLUMNS($AO$1006:AR1006),$AO$1006:$BQ$1006,0))&gt;=100000), " ",IF(INDEX($AO$2:$BQ$1001,MATCH(ROWS($AH$2:AH242),$AH$2:$AH$1001,0),MATCH(COLUMNS($AO$1006:AR1006),$AO$1006:$BQ$1006,0)), HYPERLINK("#",""), HYPERLINK(CONCATENATE("#Metadata!", ADDRESS(INDEX($AJ$2:$AJ$1001,MATCH(ROWS($AH$2:AH242),$AH$2:$AH$1001,0),0), INDEX($AO$1004:$BQ$1004,1,MATCH(COLUMNS($AO$1006:AR1006),$AO$1006:$BQ$1006,0)))),"Fix")))</f>
        <v>#N/A</v>
      </c>
      <c r="F242" s="5" t="e">
        <f ca="1">IF(OR(INDEX($AI$2:$AI$1001,MATCH(ROWS($AH$2:AH242),$AH$2:$AH$1001,0),1)&gt;=100000,INDEX($AO$1005:$BQ$1005,1,MATCH(COLUMNS($AO$1006:AS1006),$AO$1006:$BQ$1006,0))&gt;=100000), " ",IF(INDEX($AO$2:$BQ$1001,MATCH(ROWS($AH$2:AH242),$AH$2:$AH$1001,0),MATCH(COLUMNS($AO$1006:AS1006),$AO$1006:$BQ$1006,0)), HYPERLINK("#",""), HYPERLINK(CONCATENATE("#Metadata!", ADDRESS(INDEX($AJ$2:$AJ$1001,MATCH(ROWS($AH$2:AH242),$AH$2:$AH$1001,0),0), INDEX($AO$1004:$BQ$1004,1,MATCH(COLUMNS($AO$1006:AS1006),$AO$1006:$BQ$1006,0)))),"Fix")))</f>
        <v>#N/A</v>
      </c>
      <c r="G242" s="5" t="e">
        <f ca="1">IF(OR(INDEX($AI$2:$AI$1001,MATCH(ROWS($AH$2:AH242),$AH$2:$AH$1001,0),1)&gt;=100000,INDEX($AO$1005:$BQ$1005,1,MATCH(COLUMNS($AO$1006:AT1006),$AO$1006:$BQ$1006,0))&gt;=100000), " ",IF(INDEX($AO$2:$BQ$1001,MATCH(ROWS($AH$2:AH242),$AH$2:$AH$1001,0),MATCH(COLUMNS($AO$1006:AT1006),$AO$1006:$BQ$1006,0)), HYPERLINK("#",""), HYPERLINK(CONCATENATE("#Metadata!", ADDRESS(INDEX($AJ$2:$AJ$1001,MATCH(ROWS($AH$2:AH242),$AH$2:$AH$1001,0),0), INDEX($AO$1004:$BQ$1004,1,MATCH(COLUMNS($AO$1006:AT1006),$AO$1006:$BQ$1006,0)))),"Fix")))</f>
        <v>#N/A</v>
      </c>
      <c r="H242" s="5" t="e">
        <f ca="1">IF(OR(INDEX($AI$2:$AI$1001,MATCH(ROWS($AH$2:AH242),$AH$2:$AH$1001,0),1)&gt;=100000,INDEX($AO$1005:$BQ$1005,1,MATCH(COLUMNS($AO$1006:AU1006),$AO$1006:$BQ$1006,0))&gt;=100000), " ",IF(INDEX($AO$2:$BQ$1001,MATCH(ROWS($AH$2:AH242),$AH$2:$AH$1001,0),MATCH(COLUMNS($AO$1006:AU1006),$AO$1006:$BQ$1006,0)), HYPERLINK("#",""), HYPERLINK(CONCATENATE("#Metadata!", ADDRESS(INDEX($AJ$2:$AJ$1001,MATCH(ROWS($AH$2:AH242),$AH$2:$AH$1001,0),0), INDEX($AO$1004:$BQ$1004,1,MATCH(COLUMNS($AO$1006:AU1006),$AO$1006:$BQ$1006,0)))),"Fix")))</f>
        <v>#N/A</v>
      </c>
      <c r="I242" s="5" t="e">
        <f ca="1">IF(OR(INDEX($AI$2:$AI$1001,MATCH(ROWS($AH$2:AH242),$AH$2:$AH$1001,0),1)&gt;=100000,INDEX($AO$1005:$BQ$1005,1,MATCH(COLUMNS($AO$1006:AV1006),$AO$1006:$BQ$1006,0))&gt;=100000), " ",IF(INDEX($AO$2:$BQ$1001,MATCH(ROWS($AH$2:AH242),$AH$2:$AH$1001,0),MATCH(COLUMNS($AO$1006:AV1006),$AO$1006:$BQ$1006,0)), HYPERLINK("#",""), HYPERLINK(CONCATENATE("#Metadata!", ADDRESS(INDEX($AJ$2:$AJ$1001,MATCH(ROWS($AH$2:AH242),$AH$2:$AH$1001,0),0), INDEX($AO$1004:$BQ$1004,1,MATCH(COLUMNS($AO$1006:AV1006),$AO$1006:$BQ$1006,0)))),"Fix")))</f>
        <v>#N/A</v>
      </c>
      <c r="J242" s="5" t="e">
        <f ca="1">IF(OR(INDEX($AI$2:$AI$1001,MATCH(ROWS($AH$2:AH242),$AH$2:$AH$1001,0),1)&gt;=100000,INDEX($AO$1005:$BQ$1005,1,MATCH(COLUMNS($AO$1006:AW1006),$AO$1006:$BQ$1006,0))&gt;=100000), " ",IF(INDEX($AO$2:$BQ$1001,MATCH(ROWS($AH$2:AH242),$AH$2:$AH$1001,0),MATCH(COLUMNS($AO$1006:AW1006),$AO$1006:$BQ$1006,0)), HYPERLINK("#",""), HYPERLINK(CONCATENATE("#Metadata!", ADDRESS(INDEX($AJ$2:$AJ$1001,MATCH(ROWS($AH$2:AH242),$AH$2:$AH$1001,0),0), INDEX($AO$1004:$BQ$1004,1,MATCH(COLUMNS($AO$1006:AW1006),$AO$1006:$BQ$1006,0)))),"Fix")))</f>
        <v>#N/A</v>
      </c>
      <c r="K242" s="5" t="e">
        <f ca="1">IF(OR(INDEX($AI$2:$AI$1001,MATCH(ROWS($AH$2:AH242),$AH$2:$AH$1001,0),1)&gt;=100000,INDEX($AO$1005:$BQ$1005,1,MATCH(COLUMNS($AO$1006:AX1006),$AO$1006:$BQ$1006,0))&gt;=100000), " ",IF(INDEX($AO$2:$BQ$1001,MATCH(ROWS($AH$2:AH242),$AH$2:$AH$1001,0),MATCH(COLUMNS($AO$1006:AX1006),$AO$1006:$BQ$1006,0)), HYPERLINK("#",""), HYPERLINK(CONCATENATE("#Metadata!", ADDRESS(INDEX($AJ$2:$AJ$1001,MATCH(ROWS($AH$2:AH242),$AH$2:$AH$1001,0),0), INDEX($AO$1004:$BQ$1004,1,MATCH(COLUMNS($AO$1006:AX1006),$AO$1006:$BQ$1006,0)))),"Fix")))</f>
        <v>#N/A</v>
      </c>
      <c r="L242" s="5" t="e">
        <f ca="1">IF(OR(INDEX($AI$2:$AI$1001,MATCH(ROWS($AH$2:AH242),$AH$2:$AH$1001,0),1)&gt;=100000,INDEX($AO$1005:$BQ$1005,1,MATCH(COLUMNS($AO$1006:AY1006),$AO$1006:$BQ$1006,0))&gt;=100000), " ",IF(INDEX($AO$2:$BQ$1001,MATCH(ROWS($AH$2:AH242),$AH$2:$AH$1001,0),MATCH(COLUMNS($AO$1006:AY1006),$AO$1006:$BQ$1006,0)), HYPERLINK("#",""), HYPERLINK(CONCATENATE("#Metadata!", ADDRESS(INDEX($AJ$2:$AJ$1001,MATCH(ROWS($AH$2:AH242),$AH$2:$AH$1001,0),0), INDEX($AO$1004:$BQ$1004,1,MATCH(COLUMNS($AO$1006:AY1006),$AO$1006:$BQ$1006,0)))),"Fix")))</f>
        <v>#N/A</v>
      </c>
      <c r="M242" s="5" t="e">
        <f ca="1">IF(OR(INDEX($AI$2:$AI$1001,MATCH(ROWS($AH$2:AH242),$AH$2:$AH$1001,0),1)&gt;=100000,INDEX($AO$1005:$BQ$1005,1,MATCH(COLUMNS($AO$1006:AZ1006),$AO$1006:$BQ$1006,0))&gt;=100000), " ",IF(INDEX($AO$2:$BQ$1001,MATCH(ROWS($AH$2:AH242),$AH$2:$AH$1001,0),MATCH(COLUMNS($AO$1006:AZ1006),$AO$1006:$BQ$1006,0)), HYPERLINK("#",""), HYPERLINK(CONCATENATE("#Metadata!", ADDRESS(INDEX($AJ$2:$AJ$1001,MATCH(ROWS($AH$2:AH242),$AH$2:$AH$1001,0),0), INDEX($AO$1004:$BQ$1004,1,MATCH(COLUMNS($AO$1006:AZ1006),$AO$1006:$BQ$1006,0)))),"Fix")))</f>
        <v>#N/A</v>
      </c>
      <c r="N242" s="5" t="e">
        <f ca="1">IF(OR(INDEX($AI$2:$AI$1001,MATCH(ROWS($AH$2:AH242),$AH$2:$AH$1001,0),1)&gt;=100000,INDEX($AO$1005:$BQ$1005,1,MATCH(COLUMNS($AO$1006:BA1006),$AO$1006:$BQ$1006,0))&gt;=100000), " ",IF(INDEX($AO$2:$BQ$1001,MATCH(ROWS($AH$2:AH242),$AH$2:$AH$1001,0),MATCH(COLUMNS($AO$1006:BA1006),$AO$1006:$BQ$1006,0)), HYPERLINK("#",""), HYPERLINK(CONCATENATE("#Metadata!", ADDRESS(INDEX($AJ$2:$AJ$1001,MATCH(ROWS($AH$2:AH242),$AH$2:$AH$1001,0),0), INDEX($AO$1004:$BQ$1004,1,MATCH(COLUMNS($AO$1006:BA1006),$AO$1006:$BQ$1006,0)))),"Fix")))</f>
        <v>#N/A</v>
      </c>
      <c r="O242" s="5" t="e">
        <f ca="1">IF(OR(INDEX($AI$2:$AI$1001,MATCH(ROWS($AH$2:AH242),$AH$2:$AH$1001,0),1)&gt;=100000,INDEX($AO$1005:$BQ$1005,1,MATCH(COLUMNS($AO$1006:BB1006),$AO$1006:$BQ$1006,0))&gt;=100000), " ",IF(INDEX($AO$2:$BQ$1001,MATCH(ROWS($AH$2:AH242),$AH$2:$AH$1001,0),MATCH(COLUMNS($AO$1006:BB1006),$AO$1006:$BQ$1006,0)), HYPERLINK("#",""), HYPERLINK(CONCATENATE("#Metadata!", ADDRESS(INDEX($AJ$2:$AJ$1001,MATCH(ROWS($AH$2:AH242),$AH$2:$AH$1001,0),0), INDEX($AO$1004:$BQ$1004,1,MATCH(COLUMNS($AO$1006:BB1006),$AO$1006:$BQ$1006,0)))),"Fix")))</f>
        <v>#N/A</v>
      </c>
      <c r="P242" s="5" t="e">
        <f ca="1">IF(OR(INDEX($AI$2:$AI$1001,MATCH(ROWS($AH$2:AH242),$AH$2:$AH$1001,0),1)&gt;=100000,INDEX($AO$1005:$BQ$1005,1,MATCH(COLUMNS($AO$1006:BC1006),$AO$1006:$BQ$1006,0))&gt;=100000), " ",IF(INDEX($AO$2:$BQ$1001,MATCH(ROWS($AH$2:AH242),$AH$2:$AH$1001,0),MATCH(COLUMNS($AO$1006:BC1006),$AO$1006:$BQ$1006,0)), HYPERLINK("#",""), HYPERLINK(CONCATENATE("#Metadata!", ADDRESS(INDEX($AJ$2:$AJ$1001,MATCH(ROWS($AH$2:AH242),$AH$2:$AH$1001,0),0), INDEX($AO$1004:$BQ$1004,1,MATCH(COLUMNS($AO$1006:BC1006),$AO$1006:$BQ$1006,0)))),"Fix")))</f>
        <v>#N/A</v>
      </c>
      <c r="Q242" s="5" t="e">
        <f ca="1">IF(OR(INDEX($AI$2:$AI$1001,MATCH(ROWS($AH$2:AH242),$AH$2:$AH$1001,0),1)&gt;=100000,INDEX($AO$1005:$BQ$1005,1,MATCH(COLUMNS($AO$1006:BD1006),$AO$1006:$BQ$1006,0))&gt;=100000), " ",IF(INDEX($AO$2:$BQ$1001,MATCH(ROWS($AH$2:AH242),$AH$2:$AH$1001,0),MATCH(COLUMNS($AO$1006:BD1006),$AO$1006:$BQ$1006,0)), HYPERLINK("#",""), HYPERLINK(CONCATENATE("#Metadata!", ADDRESS(INDEX($AJ$2:$AJ$1001,MATCH(ROWS($AH$2:AH242),$AH$2:$AH$1001,0),0), INDEX($AO$1004:$BQ$1004,1,MATCH(COLUMNS($AO$1006:BD1006),$AO$1006:$BQ$1006,0)))),"Fix")))</f>
        <v>#N/A</v>
      </c>
      <c r="R242" s="5" t="e">
        <f ca="1">IF(OR(INDEX($AI$2:$AI$1001,MATCH(ROWS($AH$2:AH242),$AH$2:$AH$1001,0),1)&gt;=100000,INDEX($AO$1005:$BQ$1005,1,MATCH(COLUMNS($AO$1006:BE1006),$AO$1006:$BQ$1006,0))&gt;=100000), " ",IF(INDEX($AO$2:$BQ$1001,MATCH(ROWS($AH$2:AH242),$AH$2:$AH$1001,0),MATCH(COLUMNS($AO$1006:BE1006),$AO$1006:$BQ$1006,0)), HYPERLINK("#",""), HYPERLINK(CONCATENATE("#Metadata!", ADDRESS(INDEX($AJ$2:$AJ$1001,MATCH(ROWS($AH$2:AH242),$AH$2:$AH$1001,0),0), INDEX($AO$1004:$BQ$1004,1,MATCH(COLUMNS($AO$1006:BE1006),$AO$1006:$BQ$1006,0)))),"Fix")))</f>
        <v>#N/A</v>
      </c>
      <c r="S242" s="5" t="e">
        <f ca="1">IF(OR(INDEX($AI$2:$AI$1001,MATCH(ROWS($AH$2:AH242),$AH$2:$AH$1001,0),1)&gt;=100000,INDEX($AO$1005:$BQ$1005,1,MATCH(COLUMNS($AO$1006:BF1006),$AO$1006:$BQ$1006,0))&gt;=100000), " ",IF(INDEX($AO$2:$BQ$1001,MATCH(ROWS($AH$2:AH242),$AH$2:$AH$1001,0),MATCH(COLUMNS($AO$1006:BF1006),$AO$1006:$BQ$1006,0)), HYPERLINK("#",""), HYPERLINK(CONCATENATE("#Metadata!", ADDRESS(INDEX($AJ$2:$AJ$1001,MATCH(ROWS($AH$2:AH242),$AH$2:$AH$1001,0),0), INDEX($AO$1004:$BQ$1004,1,MATCH(COLUMNS($AO$1006:BF1006),$AO$1006:$BQ$1006,0)))),"Fix")))</f>
        <v>#N/A</v>
      </c>
      <c r="T242" s="5" t="e">
        <f ca="1">IF(OR(INDEX($AI$2:$AI$1001,MATCH(ROWS($AH$2:AH242),$AH$2:$AH$1001,0),1)&gt;=100000,INDEX($AO$1005:$BQ$1005,1,MATCH(COLUMNS($AO$1006:BG1006),$AO$1006:$BQ$1006,0))&gt;=100000), " ",IF(INDEX($AO$2:$BQ$1001,MATCH(ROWS($AH$2:AH242),$AH$2:$AH$1001,0),MATCH(COLUMNS($AO$1006:BG1006),$AO$1006:$BQ$1006,0)), HYPERLINK("#",""), HYPERLINK(CONCATENATE("#Metadata!", ADDRESS(INDEX($AJ$2:$AJ$1001,MATCH(ROWS($AH$2:AH242),$AH$2:$AH$1001,0),0), INDEX($AO$1004:$BQ$1004,1,MATCH(COLUMNS($AO$1006:BG1006),$AO$1006:$BQ$1006,0)))),"Fix")))</f>
        <v>#N/A</v>
      </c>
      <c r="U242" s="5" t="e">
        <f ca="1">IF(OR(INDEX($AI$2:$AI$1001,MATCH(ROWS($AH$2:AH242),$AH$2:$AH$1001,0),1)&gt;=100000,INDEX($AO$1005:$BQ$1005,1,MATCH(COLUMNS($AO$1006:BH1006),$AO$1006:$BQ$1006,0))&gt;=100000), " ",IF(INDEX($AO$2:$BQ$1001,MATCH(ROWS($AH$2:AH242),$AH$2:$AH$1001,0),MATCH(COLUMNS($AO$1006:BH1006),$AO$1006:$BQ$1006,0)), HYPERLINK("#",""), HYPERLINK(CONCATENATE("#Metadata!", ADDRESS(INDEX($AJ$2:$AJ$1001,MATCH(ROWS($AH$2:AH242),$AH$2:$AH$1001,0),0), INDEX($AO$1004:$BQ$1004,1,MATCH(COLUMNS($AO$1006:BH1006),$AO$1006:$BQ$1006,0)))),"Fix")))</f>
        <v>#N/A</v>
      </c>
      <c r="V242" s="5" t="e">
        <f ca="1">IF(OR(INDEX($AI$2:$AI$1001,MATCH(ROWS($AH$2:AH242),$AH$2:$AH$1001,0),1)&gt;=100000,INDEX($AO$1005:$BQ$1005,1,MATCH(COLUMNS($AO$1006:BI1006),$AO$1006:$BQ$1006,0))&gt;=100000), " ",IF(INDEX($AO$2:$BQ$1001,MATCH(ROWS($AH$2:AH242),$AH$2:$AH$1001,0),MATCH(COLUMNS($AO$1006:BI1006),$AO$1006:$BQ$1006,0)), HYPERLINK("#",""), HYPERLINK(CONCATENATE("#Metadata!", ADDRESS(INDEX($AJ$2:$AJ$1001,MATCH(ROWS($AH$2:AH242),$AH$2:$AH$1001,0),0), INDEX($AO$1004:$BQ$1004,1,MATCH(COLUMNS($AO$1006:BI1006),$AO$1006:$BQ$1006,0)))),"Fix")))</f>
        <v>#N/A</v>
      </c>
      <c r="W242" s="5" t="e">
        <f ca="1">IF(OR(INDEX($AI$2:$AI$1001,MATCH(ROWS($AH$2:AH242),$AH$2:$AH$1001,0),1)&gt;=100000,INDEX($AO$1005:$BQ$1005,1,MATCH(COLUMNS($AO$1006:BJ1006),$AO$1006:$BQ$1006,0))&gt;=100000), " ",IF(INDEX($AO$2:$BQ$1001,MATCH(ROWS($AH$2:AH242),$AH$2:$AH$1001,0),MATCH(COLUMNS($AO$1006:BJ1006),$AO$1006:$BQ$1006,0)), HYPERLINK("#",""), HYPERLINK(CONCATENATE("#Metadata!", ADDRESS(INDEX($AJ$2:$AJ$1001,MATCH(ROWS($AH$2:AH242),$AH$2:$AH$1001,0),0), INDEX($AO$1004:$BQ$1004,1,MATCH(COLUMNS($AO$1006:BJ1006),$AO$1006:$BQ$1006,0)))),"Fix")))</f>
        <v>#N/A</v>
      </c>
      <c r="X242" s="5" t="e">
        <f ca="1">IF(OR(INDEX($AI$2:$AI$1001,MATCH(ROWS($AH$2:AH242),$AH$2:$AH$1001,0),1)&gt;=100000,INDEX($AO$1005:$BQ$1005,1,MATCH(COLUMNS($AO$1006:BK1006),$AO$1006:$BQ$1006,0))&gt;=100000), " ",IF(INDEX($AO$2:$BQ$1001,MATCH(ROWS($AH$2:AH242),$AH$2:$AH$1001,0),MATCH(COLUMNS($AO$1006:BK1006),$AO$1006:$BQ$1006,0)), HYPERLINK("#",""), HYPERLINK(CONCATENATE("#Metadata!", ADDRESS(INDEX($AJ$2:$AJ$1001,MATCH(ROWS($AH$2:AH242),$AH$2:$AH$1001,0),0), INDEX($AO$1004:$BQ$1004,1,MATCH(COLUMNS($AO$1006:BK1006),$AO$1006:$BQ$1006,0)))),"Fix")))</f>
        <v>#N/A</v>
      </c>
      <c r="Y242" s="5" t="e">
        <f ca="1">IF(OR(INDEX($AI$2:$AI$1001,MATCH(ROWS($AH$2:AH242),$AH$2:$AH$1001,0),1)&gt;=100000,INDEX($AO$1005:$BQ$1005,1,MATCH(COLUMNS($AO$1006:BL1006),$AO$1006:$BQ$1006,0))&gt;=100000), " ",IF(INDEX($AO$2:$BQ$1001,MATCH(ROWS($AH$2:AH242),$AH$2:$AH$1001,0),MATCH(COLUMNS($AO$1006:BL1006),$AO$1006:$BQ$1006,0)), HYPERLINK("#",""), HYPERLINK(CONCATENATE("#Metadata!", ADDRESS(INDEX($AJ$2:$AJ$1001,MATCH(ROWS($AH$2:AH242),$AH$2:$AH$1001,0),0), INDEX($AO$1004:$BQ$1004,1,MATCH(COLUMNS($AO$1006:BL1006),$AO$1006:$BQ$1006,0)))),"Fix")))</f>
        <v>#N/A</v>
      </c>
      <c r="Z242" s="5" t="e">
        <f ca="1">IF(OR(INDEX($AI$2:$AI$1001,MATCH(ROWS($AH$2:AH242),$AH$2:$AH$1001,0),1)&gt;=100000,INDEX($AO$1005:$BQ$1005,1,MATCH(COLUMNS($AO$1006:BM1006),$AO$1006:$BQ$1006,0))&gt;=100000), " ",IF(INDEX($AO$2:$BQ$1001,MATCH(ROWS($AH$2:AH242),$AH$2:$AH$1001,0),MATCH(COLUMNS($AO$1006:BM1006),$AO$1006:$BQ$1006,0)), HYPERLINK("#",""), HYPERLINK(CONCATENATE("#Metadata!", ADDRESS(INDEX($AJ$2:$AJ$1001,MATCH(ROWS($AH$2:AH242),$AH$2:$AH$1001,0),0), INDEX($AO$1004:$BQ$1004,1,MATCH(COLUMNS($AO$1006:BM1006),$AO$1006:$BQ$1006,0)))),"Fix")))</f>
        <v>#N/A</v>
      </c>
      <c r="AA242" s="5" t="e">
        <f ca="1">IF(OR(INDEX($AI$2:$AI$1001,MATCH(ROWS($AH$2:AH242),$AH$2:$AH$1001,0),1)&gt;=100000,INDEX($AO$1005:$BQ$1005,1,MATCH(COLUMNS($AO$1006:BN1006),$AO$1006:$BQ$1006,0))&gt;=100000), " ",IF(INDEX($AO$2:$BQ$1001,MATCH(ROWS($AH$2:AH242),$AH$2:$AH$1001,0),MATCH(COLUMNS($AO$1006:BN1006),$AO$1006:$BQ$1006,0)), HYPERLINK("#",""), HYPERLINK(CONCATENATE("#Metadata!", ADDRESS(INDEX($AJ$2:$AJ$1001,MATCH(ROWS($AH$2:AH242),$AH$2:$AH$1001,0),0), INDEX($AO$1004:$BQ$1004,1,MATCH(COLUMNS($AO$1006:BN1006),$AO$1006:$BQ$1006,0)))),"Fix")))</f>
        <v>#N/A</v>
      </c>
      <c r="AB242" s="5" t="e">
        <f ca="1">IF(OR(INDEX($AI$2:$AI$1001,MATCH(ROWS($AH$2:AH242),$AH$2:$AH$1001,0),1)&gt;=100000,INDEX($AO$1005:$BQ$1005,1,MATCH(COLUMNS($AO$1006:BO1006),$AO$1006:$BQ$1006,0))&gt;=100000), " ",IF(INDEX($AO$2:$BQ$1001,MATCH(ROWS($AH$2:AH242),$AH$2:$AH$1001,0),MATCH(COLUMNS($AO$1006:BO1006),$AO$1006:$BQ$1006,0)), HYPERLINK("#",""), HYPERLINK(CONCATENATE("#Metadata!", ADDRESS(INDEX($AJ$2:$AJ$1001,MATCH(ROWS($AH$2:AH242),$AH$2:$AH$1001,0),0), INDEX($AO$1004:$BQ$1004,1,MATCH(COLUMNS($AO$1006:BO1006),$AO$1006:$BQ$1006,0)))),"Fix")))</f>
        <v>#N/A</v>
      </c>
      <c r="AC242" s="5" t="e">
        <f ca="1">IF(OR(INDEX($AI$2:$AI$1001,MATCH(ROWS($AH$2:AH242),$AH$2:$AH$1001,0),1)&gt;=100000,INDEX($AO$1005:$BQ$1005,1,MATCH(COLUMNS($AO$1006:BP1006),$AO$1006:$BQ$1006,0))&gt;=100000), " ",IF(INDEX($AO$2:$BQ$1001,MATCH(ROWS($AH$2:AH242),$AH$2:$AH$1001,0),MATCH(COLUMNS($AO$1006:BP1006),$AO$1006:$BQ$1006,0)), HYPERLINK("#",""), HYPERLINK(CONCATENATE("#Metadata!", ADDRESS(INDEX($AJ$2:$AJ$1001,MATCH(ROWS($AH$2:AH242),$AH$2:$AH$1001,0),0), INDEX($AO$1004:$BQ$1004,1,MATCH(COLUMNS($AO$1006:BP1006),$AO$1006:$BQ$1006,0)))),"Fix")))</f>
        <v>#N/A</v>
      </c>
      <c r="AD242" s="5" t="e">
        <f ca="1">IF(OR(INDEX($AI$2:$AI$1001,MATCH(ROWS($AH$2:AH242),$AH$2:$AH$1001,0),1)&gt;=100000,INDEX($AO$1005:$BQ$1005,1,MATCH(COLUMNS($AO$1006:BQ1006),$AO$1006:$BQ$1006,0))&gt;=100000), " ",IF(INDEX($AO$2:$BQ$1001,MATCH(ROWS($AH$2:AH242),$AH$2:$AH$1001,0),MATCH(COLUMNS($AO$1006:BQ1006),$AO$1006:$BQ$1006,0)), HYPERLINK("#",""), HYPERLINK(CONCATENATE("#Metadata!", ADDRESS(INDEX($AJ$2:$AJ$1001,MATCH(ROWS($AH$2:AH242),$AH$2:$AH$1001,0),0), INDEX($AO$1004:$BQ$1004,1,MATCH(COLUMNS($AO$1006:BQ1006),$AO$1006:$BQ$1006,0)))),"Fix")))</f>
        <v>#REF!</v>
      </c>
      <c r="AH242">
        <f ca="1"/>
        <v>239</v>
      </c>
      <c r="AI242">
        <v>100242</v>
      </c>
      <c r="AJ242">
        <v>242</v>
      </c>
      <c r="AK242" t="b">
        <f t="shared" si="3"/>
        <v>1</v>
      </c>
      <c r="AL242" t="b">
        <f>COUNTBLANK(Metadata!B242:AD242)=COLUMNS(Metadata!B242:AD242)</f>
        <v>1</v>
      </c>
      <c r="AM242" t="str">
        <v/>
      </c>
      <c r="AO242" t="b">
        <f ca="1">AND(IF(Metadata!B242="",FALSE,TRUE),COUNTIF(Metadata!B:B, Metadata!B242) = 1,NOT(ISERROR(SUMPRODUCT(SEARCH(MID(Metadata!B242,ROW(INDIRECT("1:"&amp;LEN(Metadata!B242))), 1),"0123456789abcdefghijklmnopqrstuvwxyzABCDEFGHIJKLMNOPQRSTUVWXYZ.")))))</f>
        <v>0</v>
      </c>
      <c r="AP242" t="b">
        <f>IF(Metadata!C242="",FALSE,TRUE)</f>
        <v>0</v>
      </c>
      <c r="AQ242" t="b">
        <f>IF(Metadata!D242="",FALSE,TRUE)</f>
        <v>0</v>
      </c>
      <c r="AR242" t="b">
        <f ca="1">OR(AND(IF(Metadata!E242="",FALSE,TRUE),OR(EXACT(Metadata!E242,"not collected"),EXACT(Metadata!E242,"not provided"),EXACT(Metadata!E242,"restricted access"))),AND(IF(Metadata!E242="",FALSE,TRUE),AND(AND(IFERROR(INT(LEFT(Metadata!E242,4))&gt;1900,FALSE),IFERROR(INT(LEFT(Metadata!E242,4))&lt;=YEAR(NOW()),FALSE)), OR(MID(Metadata!E242,5,1)="", AND(AND(MID(Metadata!E242,5,1)="-",IFERROR(INT(MID(Metadata!E242,6,1))&gt;=0,FALSE),IFERROR(INT(MID(Metadata!E242,6,1))&lt;=1,FALSE),NOT(MID(Metadata!E242,7,1)=""),IFERROR(INT(MID(Metadata!E242,6,2))&gt;=1,FALSE),IFERROR(INT(MID(Metadata!E242,6,2))&lt;=12,FALSE)), OR(MID(Metadata!E242,8,1)="", AND(AND(MID(Metadata!E242,8,1)="-",IFERROR(INT(MID(Metadata!E242,9,1))&gt;=0,FALSE),IFERROR(INT(MID(Metadata!E242,9,1))&lt;=3,FALSE),NOT(MID(Metadata!E242,10,1)=""),IFERROR(INT(MID(Metadata!E242,9,2))&gt;=1,FALSE),IFERROR(INT(MID(Metadata!E242,9,2))&lt;=31,FALSE)), OR(MID(Metadata!E242,11,1)="", AND(AND(MID(Metadata!E242,11,1)=" ",IFERROR(INT(MID(Metadata!E242,12,1))&gt;=0,FALSE),IFERROR(INT(MID(Metadata!E242,12,1))&lt;=2,FALSE),NOT(MID(Metadata!E242,13,1)=""),IFERROR(INT(MID(Metadata!E242,12,2))&gt;=0,FALSE),IFERROR(INT(MID(Metadata!E242,12,2))&lt;=23,FALSE)), OR(MID(Metadata!E242,14,1)="", AND(AND(MID(Metadata!E242,14,1)=":",IFERROR(INT(MID(Metadata!E242,15,1))&gt;=0,FALSE),IFERROR(INT(MID(Metadata!E242,15,1))&lt;=5,FALSE),NOT(MID(Metadata!E242,16,1)=""),IFERROR(INT(MID(Metadata!E242,15,2))&gt;=0,FALSE),IFERROR(INT(MID(Metadata!E242,15,2))&lt;=59,FALSE)), OR(MID(Metadata!E242,17,1)="", AND(AND(MID(Metadata!E242,17,1)=":",IFERROR(INT(MID(Metadata!E242,18,1))&gt;=0,FALSE),IFERROR(INT(MID(Metadata!E242,18,1))&lt;=5,FALSE),NOT(MID(Metadata!E242,19,1)=""),IFERROR(INT(MID(Metadata!E242,18,2))&gt;=0,FALSE),IFERROR(INT(MID(Metadata!E242,18,2))&lt;=59,FALSE)), LEN(Metadata!E242)&lt;=19)))))))))))))</f>
        <v>0</v>
      </c>
      <c r="AS242" t="b">
        <f>IF(Metadata!F242="",FALSE,TRUE)</f>
        <v>0</v>
      </c>
      <c r="AT242" t="b">
        <f>OR(AND(IF(Metadata!G242="",FALSE,TRUE),OR(EXACT(Metadata!G242,"not collected"),EXACT(Metadata!G242,"not provided"))),AND(IF(Metadata!G242="",FALSE,TRUE),OR(EXACT(Metadata!G242,"TRUE"),EXACT(Metadata!G242,"FALSE"))))</f>
        <v>0</v>
      </c>
      <c r="AU242" t="b">
        <f>OR(AND(IF(Metadata!H242="",FALSE,TRUE),OR(EXACT(Metadata!H242,"not collected"),EXACT(Metadata!H242,"not provided"),EXACT(Metadata!H242,"restricted access"))),AND(IF(Metadata!H242="",FALSE,ISNUMBER(VALUE(Metadata!H242))),Metadata!H242&gt;=-413))</f>
        <v>0</v>
      </c>
      <c r="AV242" t="b">
        <f>AND(IF(Metadata!I242="",FALSE,TRUE),EXACT(Metadata!I242,"meters"))</f>
        <v>0</v>
      </c>
      <c r="AW242" t="b">
        <f>AND(IF(Metadata!J242="",FALSE,TRUE),EXACT(Metadata!J242,"free-living"))</f>
        <v>0</v>
      </c>
      <c r="AX242" t="b">
        <f>AND(IF(Metadata!K242="",FALSE,TRUE),OR(EXACT(Metadata!K242,"saline"),EXACT(Metadata!K242,"non-saline")))</f>
        <v>0</v>
      </c>
      <c r="AY242" t="b">
        <f>AND(IF(Metadata!L242="",FALSE,TRUE),OR(EXACT(Metadata!L242,"sub-surface (non-saline)"),EXACT(Metadata!L242,"surface (non-saline)"),EXACT(Metadata!L242,"water (non-saline)"),EXACT(Metadata!L242,"soil (non-saline)"),EXACT(Metadata!L242,"aerosol (non-saline)"),EXACT(Metadata!L242,"sediment (non-saline)"),EXACT(Metadata!L242,"surface (saline)"),EXACT(Metadata!L242,"water (saline)"),EXACT(Metadata!L242,"hypersaline (saline)"),EXACT(Metadata!L242,"aerosol (saline)"),EXACT(Metadata!L242,"sediment (saline)")))</f>
        <v>0</v>
      </c>
      <c r="AZ242" t="b">
        <f>IF(Metadata!M242="",FALSE,TRUE)</f>
        <v>0</v>
      </c>
      <c r="BA242" t="b">
        <f>IF(Metadata!N242="",FALSE,TRUE)</f>
        <v>0</v>
      </c>
      <c r="BB242" t="b">
        <f>IF(Metadata!O242="",FALSE,TRUE)</f>
        <v>0</v>
      </c>
      <c r="BC242" t="b">
        <f>AND(IF(Metadata!P242="",FALSE,TRUE),OR(EXACT(Metadata!P242,"air"),EXACT(Metadata!P242,"microbial mat/biofilm"),EXACT(Metadata!P242,"misc environment"),EXACT(Metadata!P242,"sediment"),EXACT(Metadata!P242,"soil"),EXACT(Metadata!P242,"wastewater/sludge"),EXACT(Metadata!P242,"water")))</f>
        <v>0</v>
      </c>
      <c r="BD242" t="b">
        <f>IF(Metadata!Q242="",FALSE,TRUE)</f>
        <v>0</v>
      </c>
      <c r="BE242" t="b">
        <f>IF(Metadata!R242="",FALSE,TRUE)</f>
        <v>0</v>
      </c>
      <c r="BF242" t="b">
        <f>OR(AND(IF(Metadata!S242="",FALSE,TRUE),OR(EXACT(Metadata!S242,"not collected"),EXACT(Metadata!S242,"not provided"),EXACT(Metadata!S242,"restricted access"))),AND(IF(Metadata!S242="",FALSE,ISNUMBER(VALUE(Metadata!S242))),Metadata!S242&gt;=-90,Metadata!S242&lt;=90))</f>
        <v>0</v>
      </c>
      <c r="BG242" t="b">
        <f>AND(IF(Metadata!T242="",FALSE,TRUE),EXACT(Metadata!T242,"Decimal degrees"))</f>
        <v>0</v>
      </c>
      <c r="BH242" t="b">
        <f>OR(AND(IF(Metadata!U242="",FALSE,TRUE),OR(EXACT(Metadata!U242,"not applicable"),EXACT(Metadata!U242,"not collected"))),IF(Metadata!U242="",FALSE,TRUE))</f>
        <v>0</v>
      </c>
      <c r="BI242" t="b">
        <f>OR(AND(IF(Metadata!V242="",FALSE,TRUE),OR(EXACT(Metadata!V242,"not collected"),EXACT(Metadata!V242,"not provided"),EXACT(Metadata!V242,"restricted access"))),AND(IF(Metadata!V242="",FALSE,ISNUMBER(VALUE(Metadata!V242))),Metadata!V242&gt;=-180,Metadata!V242&lt;=180))</f>
        <v>0</v>
      </c>
      <c r="BJ242" t="b">
        <f>AND(IF(Metadata!W242="",FALSE,TRUE),EXACT(Metadata!W242,"Decimal degrees"))</f>
        <v>0</v>
      </c>
      <c r="BK242" t="b">
        <f>IF(Metadata!X242="",FALSE,TRUE)</f>
        <v>0</v>
      </c>
      <c r="BL242" t="b">
        <f>OR(AND(IF(Metadata!Y242="",FALSE,TRUE),OR(EXACT(Metadata!Y242,"not collected"),EXACT(Metadata!Y242,"not provided"),EXACT(Metadata!Y242,"restricted access"))),AND(IF(Metadata!Y242="",FALSE,TRUE),OR(EXACT(Metadata!Y242,"TRUE"),EXACT(Metadata!Y242,"FALSE"))))</f>
        <v>0</v>
      </c>
      <c r="BM242" t="b">
        <f>OR(AND(IF(Metadata!Z242="",FALSE,TRUE),EXACT(Metadata!Z242,"not applicable")),AND(IF(Metadata!Z242="",FALSE,TRUE),OR(EXACT(Metadata!Z242,"beer"),EXACT(Metadata!Z242,"cheese"),EXACT(Metadata!Z242,"fresh water"),EXACT(Metadata!Z242,"marine sediment"),EXACT(Metadata!Z242,"sea water"),EXACT(Metadata!Z242,"sediment"),EXACT(Metadata!Z242,"soil"),EXACT(Metadata!Z242,"waste water"))))</f>
        <v>0</v>
      </c>
      <c r="BN242" t="b">
        <f>AND(IF(Metadata!AA242="",FALSE,TRUE),EXACT(Metadata!AA242,"metagenome"))</f>
        <v>0</v>
      </c>
      <c r="BO242" t="b">
        <f>AND(IF(Metadata!AB242="",FALSE,TRUE),EXACT(Metadata!AB242,"256318"))</f>
        <v>0</v>
      </c>
      <c r="BP242" t="b">
        <f>IF(Metadata!AC242="",FALSE,TRUE)</f>
        <v>0</v>
      </c>
      <c r="BQ242" t="b">
        <f>IF(Metadata!AD242="",FALSE,TRUE)</f>
        <v>0</v>
      </c>
    </row>
    <row r="243" spans="1:69" x14ac:dyDescent="0.2">
      <c r="A243" s="4" t="e">
        <f ca="1">IF(B243=" "," ",HYPERLINK(CONCATENATE("#metadata!",ADDRESS(INDEX($AJ$2:$AJ$1001,MATCH(ROWS($AH$2:AH243),$AH$2:$AH$1001,0),0),2)),INDEX($AM$2:$AM$1001,MATCH(ROWS($AH$2:AH243),$AH$2:$AH$1001,0),0)))</f>
        <v>#N/A</v>
      </c>
      <c r="B243" s="5" t="e">
        <f ca="1">IF(OR(INDEX($AI$2:$AI$1001,MATCH(ROWS($AH$2:AH243),$AH$2:$AH$1001,0),1)&gt;=100000,INDEX($AO$1005:$BQ$1005,1,MATCH(COLUMNS($AO$1006:AO1006),$AO$1006:$BQ$1006,0))&gt;=100000), " ",IF(INDEX($AO$2:$BQ$1001,MATCH(ROWS($AH$2:AH243),$AH$2:$AH$1001,0),MATCH(COLUMNS($AO$1006:AO1006),$AO$1006:$BQ$1006,0)), HYPERLINK("#",""), HYPERLINK(CONCATENATE("#Metadata!", ADDRESS(INDEX($AJ$2:$AJ$1001,MATCH(ROWS($AH$2:AH243),$AH$2:$AH$1001,0),0), INDEX($AO$1004:$BQ$1004,1,MATCH(COLUMNS($AO$1006:AO1006),$AO$1006:$BQ$1006,0)))),"Fix")))</f>
        <v>#N/A</v>
      </c>
      <c r="C243" s="5" t="e">
        <f ca="1">IF(OR(INDEX($AI$2:$AI$1001,MATCH(ROWS($AH$2:AH243),$AH$2:$AH$1001,0),1)&gt;=100000,INDEX($AO$1005:$BQ$1005,1,MATCH(COLUMNS($AO$1006:AP1006),$AO$1006:$BQ$1006,0))&gt;=100000), " ",IF(INDEX($AO$2:$BQ$1001,MATCH(ROWS($AH$2:AH243),$AH$2:$AH$1001,0),MATCH(COLUMNS($AO$1006:AP1006),$AO$1006:$BQ$1006,0)), HYPERLINK("#",""), HYPERLINK(CONCATENATE("#Metadata!", ADDRESS(INDEX($AJ$2:$AJ$1001,MATCH(ROWS($AH$2:AH243),$AH$2:$AH$1001,0),0), INDEX($AO$1004:$BQ$1004,1,MATCH(COLUMNS($AO$1006:AP1006),$AO$1006:$BQ$1006,0)))),"Fix")))</f>
        <v>#N/A</v>
      </c>
      <c r="D243" s="5" t="e">
        <f ca="1">IF(OR(INDEX($AI$2:$AI$1001,MATCH(ROWS($AH$2:AH243),$AH$2:$AH$1001,0),1)&gt;=100000,INDEX($AO$1005:$BQ$1005,1,MATCH(COLUMNS($AO$1006:AQ1006),$AO$1006:$BQ$1006,0))&gt;=100000), " ",IF(INDEX($AO$2:$BQ$1001,MATCH(ROWS($AH$2:AH243),$AH$2:$AH$1001,0),MATCH(COLUMNS($AO$1006:AQ1006),$AO$1006:$BQ$1006,0)), HYPERLINK("#",""), HYPERLINK(CONCATENATE("#Metadata!", ADDRESS(INDEX($AJ$2:$AJ$1001,MATCH(ROWS($AH$2:AH243),$AH$2:$AH$1001,0),0), INDEX($AO$1004:$BQ$1004,1,MATCH(COLUMNS($AO$1006:AQ1006),$AO$1006:$BQ$1006,0)))),"Fix")))</f>
        <v>#N/A</v>
      </c>
      <c r="E243" s="5" t="e">
        <f ca="1">IF(OR(INDEX($AI$2:$AI$1001,MATCH(ROWS($AH$2:AH243),$AH$2:$AH$1001,0),1)&gt;=100000,INDEX($AO$1005:$BQ$1005,1,MATCH(COLUMNS($AO$1006:AR1006),$AO$1006:$BQ$1006,0))&gt;=100000), " ",IF(INDEX($AO$2:$BQ$1001,MATCH(ROWS($AH$2:AH243),$AH$2:$AH$1001,0),MATCH(COLUMNS($AO$1006:AR1006),$AO$1006:$BQ$1006,0)), HYPERLINK("#",""), HYPERLINK(CONCATENATE("#Metadata!", ADDRESS(INDEX($AJ$2:$AJ$1001,MATCH(ROWS($AH$2:AH243),$AH$2:$AH$1001,0),0), INDEX($AO$1004:$BQ$1004,1,MATCH(COLUMNS($AO$1006:AR1006),$AO$1006:$BQ$1006,0)))),"Fix")))</f>
        <v>#N/A</v>
      </c>
      <c r="F243" s="5" t="e">
        <f ca="1">IF(OR(INDEX($AI$2:$AI$1001,MATCH(ROWS($AH$2:AH243),$AH$2:$AH$1001,0),1)&gt;=100000,INDEX($AO$1005:$BQ$1005,1,MATCH(COLUMNS($AO$1006:AS1006),$AO$1006:$BQ$1006,0))&gt;=100000), " ",IF(INDEX($AO$2:$BQ$1001,MATCH(ROWS($AH$2:AH243),$AH$2:$AH$1001,0),MATCH(COLUMNS($AO$1006:AS1006),$AO$1006:$BQ$1006,0)), HYPERLINK("#",""), HYPERLINK(CONCATENATE("#Metadata!", ADDRESS(INDEX($AJ$2:$AJ$1001,MATCH(ROWS($AH$2:AH243),$AH$2:$AH$1001,0),0), INDEX($AO$1004:$BQ$1004,1,MATCH(COLUMNS($AO$1006:AS1006),$AO$1006:$BQ$1006,0)))),"Fix")))</f>
        <v>#N/A</v>
      </c>
      <c r="G243" s="5" t="e">
        <f ca="1">IF(OR(INDEX($AI$2:$AI$1001,MATCH(ROWS($AH$2:AH243),$AH$2:$AH$1001,0),1)&gt;=100000,INDEX($AO$1005:$BQ$1005,1,MATCH(COLUMNS($AO$1006:AT1006),$AO$1006:$BQ$1006,0))&gt;=100000), " ",IF(INDEX($AO$2:$BQ$1001,MATCH(ROWS($AH$2:AH243),$AH$2:$AH$1001,0),MATCH(COLUMNS($AO$1006:AT1006),$AO$1006:$BQ$1006,0)), HYPERLINK("#",""), HYPERLINK(CONCATENATE("#Metadata!", ADDRESS(INDEX($AJ$2:$AJ$1001,MATCH(ROWS($AH$2:AH243),$AH$2:$AH$1001,0),0), INDEX($AO$1004:$BQ$1004,1,MATCH(COLUMNS($AO$1006:AT1006),$AO$1006:$BQ$1006,0)))),"Fix")))</f>
        <v>#N/A</v>
      </c>
      <c r="H243" s="5" t="e">
        <f ca="1">IF(OR(INDEX($AI$2:$AI$1001,MATCH(ROWS($AH$2:AH243),$AH$2:$AH$1001,0),1)&gt;=100000,INDEX($AO$1005:$BQ$1005,1,MATCH(COLUMNS($AO$1006:AU1006),$AO$1006:$BQ$1006,0))&gt;=100000), " ",IF(INDEX($AO$2:$BQ$1001,MATCH(ROWS($AH$2:AH243),$AH$2:$AH$1001,0),MATCH(COLUMNS($AO$1006:AU1006),$AO$1006:$BQ$1006,0)), HYPERLINK("#",""), HYPERLINK(CONCATENATE("#Metadata!", ADDRESS(INDEX($AJ$2:$AJ$1001,MATCH(ROWS($AH$2:AH243),$AH$2:$AH$1001,0),0), INDEX($AO$1004:$BQ$1004,1,MATCH(COLUMNS($AO$1006:AU1006),$AO$1006:$BQ$1006,0)))),"Fix")))</f>
        <v>#N/A</v>
      </c>
      <c r="I243" s="5" t="e">
        <f ca="1">IF(OR(INDEX($AI$2:$AI$1001,MATCH(ROWS($AH$2:AH243),$AH$2:$AH$1001,0),1)&gt;=100000,INDEX($AO$1005:$BQ$1005,1,MATCH(COLUMNS($AO$1006:AV1006),$AO$1006:$BQ$1006,0))&gt;=100000), " ",IF(INDEX($AO$2:$BQ$1001,MATCH(ROWS($AH$2:AH243),$AH$2:$AH$1001,0),MATCH(COLUMNS($AO$1006:AV1006),$AO$1006:$BQ$1006,0)), HYPERLINK("#",""), HYPERLINK(CONCATENATE("#Metadata!", ADDRESS(INDEX($AJ$2:$AJ$1001,MATCH(ROWS($AH$2:AH243),$AH$2:$AH$1001,0),0), INDEX($AO$1004:$BQ$1004,1,MATCH(COLUMNS($AO$1006:AV1006),$AO$1006:$BQ$1006,0)))),"Fix")))</f>
        <v>#N/A</v>
      </c>
      <c r="J243" s="5" t="e">
        <f ca="1">IF(OR(INDEX($AI$2:$AI$1001,MATCH(ROWS($AH$2:AH243),$AH$2:$AH$1001,0),1)&gt;=100000,INDEX($AO$1005:$BQ$1005,1,MATCH(COLUMNS($AO$1006:AW1006),$AO$1006:$BQ$1006,0))&gt;=100000), " ",IF(INDEX($AO$2:$BQ$1001,MATCH(ROWS($AH$2:AH243),$AH$2:$AH$1001,0),MATCH(COLUMNS($AO$1006:AW1006),$AO$1006:$BQ$1006,0)), HYPERLINK("#",""), HYPERLINK(CONCATENATE("#Metadata!", ADDRESS(INDEX($AJ$2:$AJ$1001,MATCH(ROWS($AH$2:AH243),$AH$2:$AH$1001,0),0), INDEX($AO$1004:$BQ$1004,1,MATCH(COLUMNS($AO$1006:AW1006),$AO$1006:$BQ$1006,0)))),"Fix")))</f>
        <v>#N/A</v>
      </c>
      <c r="K243" s="5" t="e">
        <f ca="1">IF(OR(INDEX($AI$2:$AI$1001,MATCH(ROWS($AH$2:AH243),$AH$2:$AH$1001,0),1)&gt;=100000,INDEX($AO$1005:$BQ$1005,1,MATCH(COLUMNS($AO$1006:AX1006),$AO$1006:$BQ$1006,0))&gt;=100000), " ",IF(INDEX($AO$2:$BQ$1001,MATCH(ROWS($AH$2:AH243),$AH$2:$AH$1001,0),MATCH(COLUMNS($AO$1006:AX1006),$AO$1006:$BQ$1006,0)), HYPERLINK("#",""), HYPERLINK(CONCATENATE("#Metadata!", ADDRESS(INDEX($AJ$2:$AJ$1001,MATCH(ROWS($AH$2:AH243),$AH$2:$AH$1001,0),0), INDEX($AO$1004:$BQ$1004,1,MATCH(COLUMNS($AO$1006:AX1006),$AO$1006:$BQ$1006,0)))),"Fix")))</f>
        <v>#N/A</v>
      </c>
      <c r="L243" s="5" t="e">
        <f ca="1">IF(OR(INDEX($AI$2:$AI$1001,MATCH(ROWS($AH$2:AH243),$AH$2:$AH$1001,0),1)&gt;=100000,INDEX($AO$1005:$BQ$1005,1,MATCH(COLUMNS($AO$1006:AY1006),$AO$1006:$BQ$1006,0))&gt;=100000), " ",IF(INDEX($AO$2:$BQ$1001,MATCH(ROWS($AH$2:AH243),$AH$2:$AH$1001,0),MATCH(COLUMNS($AO$1006:AY1006),$AO$1006:$BQ$1006,0)), HYPERLINK("#",""), HYPERLINK(CONCATENATE("#Metadata!", ADDRESS(INDEX($AJ$2:$AJ$1001,MATCH(ROWS($AH$2:AH243),$AH$2:$AH$1001,0),0), INDEX($AO$1004:$BQ$1004,1,MATCH(COLUMNS($AO$1006:AY1006),$AO$1006:$BQ$1006,0)))),"Fix")))</f>
        <v>#N/A</v>
      </c>
      <c r="M243" s="5" t="e">
        <f ca="1">IF(OR(INDEX($AI$2:$AI$1001,MATCH(ROWS($AH$2:AH243),$AH$2:$AH$1001,0),1)&gt;=100000,INDEX($AO$1005:$BQ$1005,1,MATCH(COLUMNS($AO$1006:AZ1006),$AO$1006:$BQ$1006,0))&gt;=100000), " ",IF(INDEX($AO$2:$BQ$1001,MATCH(ROWS($AH$2:AH243),$AH$2:$AH$1001,0),MATCH(COLUMNS($AO$1006:AZ1006),$AO$1006:$BQ$1006,0)), HYPERLINK("#",""), HYPERLINK(CONCATENATE("#Metadata!", ADDRESS(INDEX($AJ$2:$AJ$1001,MATCH(ROWS($AH$2:AH243),$AH$2:$AH$1001,0),0), INDEX($AO$1004:$BQ$1004,1,MATCH(COLUMNS($AO$1006:AZ1006),$AO$1006:$BQ$1006,0)))),"Fix")))</f>
        <v>#N/A</v>
      </c>
      <c r="N243" s="5" t="e">
        <f ca="1">IF(OR(INDEX($AI$2:$AI$1001,MATCH(ROWS($AH$2:AH243),$AH$2:$AH$1001,0),1)&gt;=100000,INDEX($AO$1005:$BQ$1005,1,MATCH(COLUMNS($AO$1006:BA1006),$AO$1006:$BQ$1006,0))&gt;=100000), " ",IF(INDEX($AO$2:$BQ$1001,MATCH(ROWS($AH$2:AH243),$AH$2:$AH$1001,0),MATCH(COLUMNS($AO$1006:BA1006),$AO$1006:$BQ$1006,0)), HYPERLINK("#",""), HYPERLINK(CONCATENATE("#Metadata!", ADDRESS(INDEX($AJ$2:$AJ$1001,MATCH(ROWS($AH$2:AH243),$AH$2:$AH$1001,0),0), INDEX($AO$1004:$BQ$1004,1,MATCH(COLUMNS($AO$1006:BA1006),$AO$1006:$BQ$1006,0)))),"Fix")))</f>
        <v>#N/A</v>
      </c>
      <c r="O243" s="5" t="e">
        <f ca="1">IF(OR(INDEX($AI$2:$AI$1001,MATCH(ROWS($AH$2:AH243),$AH$2:$AH$1001,0),1)&gt;=100000,INDEX($AO$1005:$BQ$1005,1,MATCH(COLUMNS($AO$1006:BB1006),$AO$1006:$BQ$1006,0))&gt;=100000), " ",IF(INDEX($AO$2:$BQ$1001,MATCH(ROWS($AH$2:AH243),$AH$2:$AH$1001,0),MATCH(COLUMNS($AO$1006:BB1006),$AO$1006:$BQ$1006,0)), HYPERLINK("#",""), HYPERLINK(CONCATENATE("#Metadata!", ADDRESS(INDEX($AJ$2:$AJ$1001,MATCH(ROWS($AH$2:AH243),$AH$2:$AH$1001,0),0), INDEX($AO$1004:$BQ$1004,1,MATCH(COLUMNS($AO$1006:BB1006),$AO$1006:$BQ$1006,0)))),"Fix")))</f>
        <v>#N/A</v>
      </c>
      <c r="P243" s="5" t="e">
        <f ca="1">IF(OR(INDEX($AI$2:$AI$1001,MATCH(ROWS($AH$2:AH243),$AH$2:$AH$1001,0),1)&gt;=100000,INDEX($AO$1005:$BQ$1005,1,MATCH(COLUMNS($AO$1006:BC1006),$AO$1006:$BQ$1006,0))&gt;=100000), " ",IF(INDEX($AO$2:$BQ$1001,MATCH(ROWS($AH$2:AH243),$AH$2:$AH$1001,0),MATCH(COLUMNS($AO$1006:BC1006),$AO$1006:$BQ$1006,0)), HYPERLINK("#",""), HYPERLINK(CONCATENATE("#Metadata!", ADDRESS(INDEX($AJ$2:$AJ$1001,MATCH(ROWS($AH$2:AH243),$AH$2:$AH$1001,0),0), INDEX($AO$1004:$BQ$1004,1,MATCH(COLUMNS($AO$1006:BC1006),$AO$1006:$BQ$1006,0)))),"Fix")))</f>
        <v>#N/A</v>
      </c>
      <c r="Q243" s="5" t="e">
        <f ca="1">IF(OR(INDEX($AI$2:$AI$1001,MATCH(ROWS($AH$2:AH243),$AH$2:$AH$1001,0),1)&gt;=100000,INDEX($AO$1005:$BQ$1005,1,MATCH(COLUMNS($AO$1006:BD1006),$AO$1006:$BQ$1006,0))&gt;=100000), " ",IF(INDEX($AO$2:$BQ$1001,MATCH(ROWS($AH$2:AH243),$AH$2:$AH$1001,0),MATCH(COLUMNS($AO$1006:BD1006),$AO$1006:$BQ$1006,0)), HYPERLINK("#",""), HYPERLINK(CONCATENATE("#Metadata!", ADDRESS(INDEX($AJ$2:$AJ$1001,MATCH(ROWS($AH$2:AH243),$AH$2:$AH$1001,0),0), INDEX($AO$1004:$BQ$1004,1,MATCH(COLUMNS($AO$1006:BD1006),$AO$1006:$BQ$1006,0)))),"Fix")))</f>
        <v>#N/A</v>
      </c>
      <c r="R243" s="5" t="e">
        <f ca="1">IF(OR(INDEX($AI$2:$AI$1001,MATCH(ROWS($AH$2:AH243),$AH$2:$AH$1001,0),1)&gt;=100000,INDEX($AO$1005:$BQ$1005,1,MATCH(COLUMNS($AO$1006:BE1006),$AO$1006:$BQ$1006,0))&gt;=100000), " ",IF(INDEX($AO$2:$BQ$1001,MATCH(ROWS($AH$2:AH243),$AH$2:$AH$1001,0),MATCH(COLUMNS($AO$1006:BE1006),$AO$1006:$BQ$1006,0)), HYPERLINK("#",""), HYPERLINK(CONCATENATE("#Metadata!", ADDRESS(INDEX($AJ$2:$AJ$1001,MATCH(ROWS($AH$2:AH243),$AH$2:$AH$1001,0),0), INDEX($AO$1004:$BQ$1004,1,MATCH(COLUMNS($AO$1006:BE1006),$AO$1006:$BQ$1006,0)))),"Fix")))</f>
        <v>#N/A</v>
      </c>
      <c r="S243" s="5" t="e">
        <f ca="1">IF(OR(INDEX($AI$2:$AI$1001,MATCH(ROWS($AH$2:AH243),$AH$2:$AH$1001,0),1)&gt;=100000,INDEX($AO$1005:$BQ$1005,1,MATCH(COLUMNS($AO$1006:BF1006),$AO$1006:$BQ$1006,0))&gt;=100000), " ",IF(INDEX($AO$2:$BQ$1001,MATCH(ROWS($AH$2:AH243),$AH$2:$AH$1001,0),MATCH(COLUMNS($AO$1006:BF1006),$AO$1006:$BQ$1006,0)), HYPERLINK("#",""), HYPERLINK(CONCATENATE("#Metadata!", ADDRESS(INDEX($AJ$2:$AJ$1001,MATCH(ROWS($AH$2:AH243),$AH$2:$AH$1001,0),0), INDEX($AO$1004:$BQ$1004,1,MATCH(COLUMNS($AO$1006:BF1006),$AO$1006:$BQ$1006,0)))),"Fix")))</f>
        <v>#N/A</v>
      </c>
      <c r="T243" s="5" t="e">
        <f ca="1">IF(OR(INDEX($AI$2:$AI$1001,MATCH(ROWS($AH$2:AH243),$AH$2:$AH$1001,0),1)&gt;=100000,INDEX($AO$1005:$BQ$1005,1,MATCH(COLUMNS($AO$1006:BG1006),$AO$1006:$BQ$1006,0))&gt;=100000), " ",IF(INDEX($AO$2:$BQ$1001,MATCH(ROWS($AH$2:AH243),$AH$2:$AH$1001,0),MATCH(COLUMNS($AO$1006:BG1006),$AO$1006:$BQ$1006,0)), HYPERLINK("#",""), HYPERLINK(CONCATENATE("#Metadata!", ADDRESS(INDEX($AJ$2:$AJ$1001,MATCH(ROWS($AH$2:AH243),$AH$2:$AH$1001,0),0), INDEX($AO$1004:$BQ$1004,1,MATCH(COLUMNS($AO$1006:BG1006),$AO$1006:$BQ$1006,0)))),"Fix")))</f>
        <v>#N/A</v>
      </c>
      <c r="U243" s="5" t="e">
        <f ca="1">IF(OR(INDEX($AI$2:$AI$1001,MATCH(ROWS($AH$2:AH243),$AH$2:$AH$1001,0),1)&gt;=100000,INDEX($AO$1005:$BQ$1005,1,MATCH(COLUMNS($AO$1006:BH1006),$AO$1006:$BQ$1006,0))&gt;=100000), " ",IF(INDEX($AO$2:$BQ$1001,MATCH(ROWS($AH$2:AH243),$AH$2:$AH$1001,0),MATCH(COLUMNS($AO$1006:BH1006),$AO$1006:$BQ$1006,0)), HYPERLINK("#",""), HYPERLINK(CONCATENATE("#Metadata!", ADDRESS(INDEX($AJ$2:$AJ$1001,MATCH(ROWS($AH$2:AH243),$AH$2:$AH$1001,0),0), INDEX($AO$1004:$BQ$1004,1,MATCH(COLUMNS($AO$1006:BH1006),$AO$1006:$BQ$1006,0)))),"Fix")))</f>
        <v>#N/A</v>
      </c>
      <c r="V243" s="5" t="e">
        <f ca="1">IF(OR(INDEX($AI$2:$AI$1001,MATCH(ROWS($AH$2:AH243),$AH$2:$AH$1001,0),1)&gt;=100000,INDEX($AO$1005:$BQ$1005,1,MATCH(COLUMNS($AO$1006:BI1006),$AO$1006:$BQ$1006,0))&gt;=100000), " ",IF(INDEX($AO$2:$BQ$1001,MATCH(ROWS($AH$2:AH243),$AH$2:$AH$1001,0),MATCH(COLUMNS($AO$1006:BI1006),$AO$1006:$BQ$1006,0)), HYPERLINK("#",""), HYPERLINK(CONCATENATE("#Metadata!", ADDRESS(INDEX($AJ$2:$AJ$1001,MATCH(ROWS($AH$2:AH243),$AH$2:$AH$1001,0),0), INDEX($AO$1004:$BQ$1004,1,MATCH(COLUMNS($AO$1006:BI1006),$AO$1006:$BQ$1006,0)))),"Fix")))</f>
        <v>#N/A</v>
      </c>
      <c r="W243" s="5" t="e">
        <f ca="1">IF(OR(INDEX($AI$2:$AI$1001,MATCH(ROWS($AH$2:AH243),$AH$2:$AH$1001,0),1)&gt;=100000,INDEX($AO$1005:$BQ$1005,1,MATCH(COLUMNS($AO$1006:BJ1006),$AO$1006:$BQ$1006,0))&gt;=100000), " ",IF(INDEX($AO$2:$BQ$1001,MATCH(ROWS($AH$2:AH243),$AH$2:$AH$1001,0),MATCH(COLUMNS($AO$1006:BJ1006),$AO$1006:$BQ$1006,0)), HYPERLINK("#",""), HYPERLINK(CONCATENATE("#Metadata!", ADDRESS(INDEX($AJ$2:$AJ$1001,MATCH(ROWS($AH$2:AH243),$AH$2:$AH$1001,0),0), INDEX($AO$1004:$BQ$1004,1,MATCH(COLUMNS($AO$1006:BJ1006),$AO$1006:$BQ$1006,0)))),"Fix")))</f>
        <v>#N/A</v>
      </c>
      <c r="X243" s="5" t="e">
        <f ca="1">IF(OR(INDEX($AI$2:$AI$1001,MATCH(ROWS($AH$2:AH243),$AH$2:$AH$1001,0),1)&gt;=100000,INDEX($AO$1005:$BQ$1005,1,MATCH(COLUMNS($AO$1006:BK1006),$AO$1006:$BQ$1006,0))&gt;=100000), " ",IF(INDEX($AO$2:$BQ$1001,MATCH(ROWS($AH$2:AH243),$AH$2:$AH$1001,0),MATCH(COLUMNS($AO$1006:BK1006),$AO$1006:$BQ$1006,0)), HYPERLINK("#",""), HYPERLINK(CONCATENATE("#Metadata!", ADDRESS(INDEX($AJ$2:$AJ$1001,MATCH(ROWS($AH$2:AH243),$AH$2:$AH$1001,0),0), INDEX($AO$1004:$BQ$1004,1,MATCH(COLUMNS($AO$1006:BK1006),$AO$1006:$BQ$1006,0)))),"Fix")))</f>
        <v>#N/A</v>
      </c>
      <c r="Y243" s="5" t="e">
        <f ca="1">IF(OR(INDEX($AI$2:$AI$1001,MATCH(ROWS($AH$2:AH243),$AH$2:$AH$1001,0),1)&gt;=100000,INDEX($AO$1005:$BQ$1005,1,MATCH(COLUMNS($AO$1006:BL1006),$AO$1006:$BQ$1006,0))&gt;=100000), " ",IF(INDEX($AO$2:$BQ$1001,MATCH(ROWS($AH$2:AH243),$AH$2:$AH$1001,0),MATCH(COLUMNS($AO$1006:BL1006),$AO$1006:$BQ$1006,0)), HYPERLINK("#",""), HYPERLINK(CONCATENATE("#Metadata!", ADDRESS(INDEX($AJ$2:$AJ$1001,MATCH(ROWS($AH$2:AH243),$AH$2:$AH$1001,0),0), INDEX($AO$1004:$BQ$1004,1,MATCH(COLUMNS($AO$1006:BL1006),$AO$1006:$BQ$1006,0)))),"Fix")))</f>
        <v>#N/A</v>
      </c>
      <c r="Z243" s="5" t="e">
        <f ca="1">IF(OR(INDEX($AI$2:$AI$1001,MATCH(ROWS($AH$2:AH243),$AH$2:$AH$1001,0),1)&gt;=100000,INDEX($AO$1005:$BQ$1005,1,MATCH(COLUMNS($AO$1006:BM1006),$AO$1006:$BQ$1006,0))&gt;=100000), " ",IF(INDEX($AO$2:$BQ$1001,MATCH(ROWS($AH$2:AH243),$AH$2:$AH$1001,0),MATCH(COLUMNS($AO$1006:BM1006),$AO$1006:$BQ$1006,0)), HYPERLINK("#",""), HYPERLINK(CONCATENATE("#Metadata!", ADDRESS(INDEX($AJ$2:$AJ$1001,MATCH(ROWS($AH$2:AH243),$AH$2:$AH$1001,0),0), INDEX($AO$1004:$BQ$1004,1,MATCH(COLUMNS($AO$1006:BM1006),$AO$1006:$BQ$1006,0)))),"Fix")))</f>
        <v>#N/A</v>
      </c>
      <c r="AA243" s="5" t="e">
        <f ca="1">IF(OR(INDEX($AI$2:$AI$1001,MATCH(ROWS($AH$2:AH243),$AH$2:$AH$1001,0),1)&gt;=100000,INDEX($AO$1005:$BQ$1005,1,MATCH(COLUMNS($AO$1006:BN1006),$AO$1006:$BQ$1006,0))&gt;=100000), " ",IF(INDEX($AO$2:$BQ$1001,MATCH(ROWS($AH$2:AH243),$AH$2:$AH$1001,0),MATCH(COLUMNS($AO$1006:BN1006),$AO$1006:$BQ$1006,0)), HYPERLINK("#",""), HYPERLINK(CONCATENATE("#Metadata!", ADDRESS(INDEX($AJ$2:$AJ$1001,MATCH(ROWS($AH$2:AH243),$AH$2:$AH$1001,0),0), INDEX($AO$1004:$BQ$1004,1,MATCH(COLUMNS($AO$1006:BN1006),$AO$1006:$BQ$1006,0)))),"Fix")))</f>
        <v>#N/A</v>
      </c>
      <c r="AB243" s="5" t="e">
        <f ca="1">IF(OR(INDEX($AI$2:$AI$1001,MATCH(ROWS($AH$2:AH243),$AH$2:$AH$1001,0),1)&gt;=100000,INDEX($AO$1005:$BQ$1005,1,MATCH(COLUMNS($AO$1006:BO1006),$AO$1006:$BQ$1006,0))&gt;=100000), " ",IF(INDEX($AO$2:$BQ$1001,MATCH(ROWS($AH$2:AH243),$AH$2:$AH$1001,0),MATCH(COLUMNS($AO$1006:BO1006),$AO$1006:$BQ$1006,0)), HYPERLINK("#",""), HYPERLINK(CONCATENATE("#Metadata!", ADDRESS(INDEX($AJ$2:$AJ$1001,MATCH(ROWS($AH$2:AH243),$AH$2:$AH$1001,0),0), INDEX($AO$1004:$BQ$1004,1,MATCH(COLUMNS($AO$1006:BO1006),$AO$1006:$BQ$1006,0)))),"Fix")))</f>
        <v>#N/A</v>
      </c>
      <c r="AC243" s="5" t="e">
        <f ca="1">IF(OR(INDEX($AI$2:$AI$1001,MATCH(ROWS($AH$2:AH243),$AH$2:$AH$1001,0),1)&gt;=100000,INDEX($AO$1005:$BQ$1005,1,MATCH(COLUMNS($AO$1006:BP1006),$AO$1006:$BQ$1006,0))&gt;=100000), " ",IF(INDEX($AO$2:$BQ$1001,MATCH(ROWS($AH$2:AH243),$AH$2:$AH$1001,0),MATCH(COLUMNS($AO$1006:BP1006),$AO$1006:$BQ$1006,0)), HYPERLINK("#",""), HYPERLINK(CONCATENATE("#Metadata!", ADDRESS(INDEX($AJ$2:$AJ$1001,MATCH(ROWS($AH$2:AH243),$AH$2:$AH$1001,0),0), INDEX($AO$1004:$BQ$1004,1,MATCH(COLUMNS($AO$1006:BP1006),$AO$1006:$BQ$1006,0)))),"Fix")))</f>
        <v>#N/A</v>
      </c>
      <c r="AD243" s="5" t="e">
        <f ca="1">IF(OR(INDEX($AI$2:$AI$1001,MATCH(ROWS($AH$2:AH243),$AH$2:$AH$1001,0),1)&gt;=100000,INDEX($AO$1005:$BQ$1005,1,MATCH(COLUMNS($AO$1006:BQ1006),$AO$1006:$BQ$1006,0))&gt;=100000), " ",IF(INDEX($AO$2:$BQ$1001,MATCH(ROWS($AH$2:AH243),$AH$2:$AH$1001,0),MATCH(COLUMNS($AO$1006:BQ1006),$AO$1006:$BQ$1006,0)), HYPERLINK("#",""), HYPERLINK(CONCATENATE("#Metadata!", ADDRESS(INDEX($AJ$2:$AJ$1001,MATCH(ROWS($AH$2:AH243),$AH$2:$AH$1001,0),0), INDEX($AO$1004:$BQ$1004,1,MATCH(COLUMNS($AO$1006:BQ1006),$AO$1006:$BQ$1006,0)))),"Fix")))</f>
        <v>#REF!</v>
      </c>
      <c r="AH243">
        <f ca="1"/>
        <v>240</v>
      </c>
      <c r="AI243">
        <v>100243</v>
      </c>
      <c r="AJ243">
        <v>243</v>
      </c>
      <c r="AK243" t="b">
        <f t="shared" si="3"/>
        <v>1</v>
      </c>
      <c r="AL243" t="b">
        <f>COUNTBLANK(Metadata!B243:AD243)=COLUMNS(Metadata!B243:AD243)</f>
        <v>1</v>
      </c>
      <c r="AM243" t="str">
        <v/>
      </c>
      <c r="AO243" t="b">
        <f ca="1">AND(IF(Metadata!B243="",FALSE,TRUE),COUNTIF(Metadata!B:B, Metadata!B243) = 1,NOT(ISERROR(SUMPRODUCT(SEARCH(MID(Metadata!B243,ROW(INDIRECT("1:"&amp;LEN(Metadata!B243))), 1),"0123456789abcdefghijklmnopqrstuvwxyzABCDEFGHIJKLMNOPQRSTUVWXYZ.")))))</f>
        <v>0</v>
      </c>
      <c r="AP243" t="b">
        <f>IF(Metadata!C243="",FALSE,TRUE)</f>
        <v>0</v>
      </c>
      <c r="AQ243" t="b">
        <f>IF(Metadata!D243="",FALSE,TRUE)</f>
        <v>0</v>
      </c>
      <c r="AR243" t="b">
        <f ca="1">OR(AND(IF(Metadata!E243="",FALSE,TRUE),OR(EXACT(Metadata!E243,"not collected"),EXACT(Metadata!E243,"not provided"),EXACT(Metadata!E243,"restricted access"))),AND(IF(Metadata!E243="",FALSE,TRUE),AND(AND(IFERROR(INT(LEFT(Metadata!E243,4))&gt;1900,FALSE),IFERROR(INT(LEFT(Metadata!E243,4))&lt;=YEAR(NOW()),FALSE)), OR(MID(Metadata!E243,5,1)="", AND(AND(MID(Metadata!E243,5,1)="-",IFERROR(INT(MID(Metadata!E243,6,1))&gt;=0,FALSE),IFERROR(INT(MID(Metadata!E243,6,1))&lt;=1,FALSE),NOT(MID(Metadata!E243,7,1)=""),IFERROR(INT(MID(Metadata!E243,6,2))&gt;=1,FALSE),IFERROR(INT(MID(Metadata!E243,6,2))&lt;=12,FALSE)), OR(MID(Metadata!E243,8,1)="", AND(AND(MID(Metadata!E243,8,1)="-",IFERROR(INT(MID(Metadata!E243,9,1))&gt;=0,FALSE),IFERROR(INT(MID(Metadata!E243,9,1))&lt;=3,FALSE),NOT(MID(Metadata!E243,10,1)=""),IFERROR(INT(MID(Metadata!E243,9,2))&gt;=1,FALSE),IFERROR(INT(MID(Metadata!E243,9,2))&lt;=31,FALSE)), OR(MID(Metadata!E243,11,1)="", AND(AND(MID(Metadata!E243,11,1)=" ",IFERROR(INT(MID(Metadata!E243,12,1))&gt;=0,FALSE),IFERROR(INT(MID(Metadata!E243,12,1))&lt;=2,FALSE),NOT(MID(Metadata!E243,13,1)=""),IFERROR(INT(MID(Metadata!E243,12,2))&gt;=0,FALSE),IFERROR(INT(MID(Metadata!E243,12,2))&lt;=23,FALSE)), OR(MID(Metadata!E243,14,1)="", AND(AND(MID(Metadata!E243,14,1)=":",IFERROR(INT(MID(Metadata!E243,15,1))&gt;=0,FALSE),IFERROR(INT(MID(Metadata!E243,15,1))&lt;=5,FALSE),NOT(MID(Metadata!E243,16,1)=""),IFERROR(INT(MID(Metadata!E243,15,2))&gt;=0,FALSE),IFERROR(INT(MID(Metadata!E243,15,2))&lt;=59,FALSE)), OR(MID(Metadata!E243,17,1)="", AND(AND(MID(Metadata!E243,17,1)=":",IFERROR(INT(MID(Metadata!E243,18,1))&gt;=0,FALSE),IFERROR(INT(MID(Metadata!E243,18,1))&lt;=5,FALSE),NOT(MID(Metadata!E243,19,1)=""),IFERROR(INT(MID(Metadata!E243,18,2))&gt;=0,FALSE),IFERROR(INT(MID(Metadata!E243,18,2))&lt;=59,FALSE)), LEN(Metadata!E243)&lt;=19)))))))))))))</f>
        <v>0</v>
      </c>
      <c r="AS243" t="b">
        <f>IF(Metadata!F243="",FALSE,TRUE)</f>
        <v>0</v>
      </c>
      <c r="AT243" t="b">
        <f>OR(AND(IF(Metadata!G243="",FALSE,TRUE),OR(EXACT(Metadata!G243,"not collected"),EXACT(Metadata!G243,"not provided"))),AND(IF(Metadata!G243="",FALSE,TRUE),OR(EXACT(Metadata!G243,"TRUE"),EXACT(Metadata!G243,"FALSE"))))</f>
        <v>0</v>
      </c>
      <c r="AU243" t="b">
        <f>OR(AND(IF(Metadata!H243="",FALSE,TRUE),OR(EXACT(Metadata!H243,"not collected"),EXACT(Metadata!H243,"not provided"),EXACT(Metadata!H243,"restricted access"))),AND(IF(Metadata!H243="",FALSE,ISNUMBER(VALUE(Metadata!H243))),Metadata!H243&gt;=-413))</f>
        <v>0</v>
      </c>
      <c r="AV243" t="b">
        <f>AND(IF(Metadata!I243="",FALSE,TRUE),EXACT(Metadata!I243,"meters"))</f>
        <v>0</v>
      </c>
      <c r="AW243" t="b">
        <f>AND(IF(Metadata!J243="",FALSE,TRUE),EXACT(Metadata!J243,"free-living"))</f>
        <v>0</v>
      </c>
      <c r="AX243" t="b">
        <f>AND(IF(Metadata!K243="",FALSE,TRUE),OR(EXACT(Metadata!K243,"saline"),EXACT(Metadata!K243,"non-saline")))</f>
        <v>0</v>
      </c>
      <c r="AY243" t="b">
        <f>AND(IF(Metadata!L243="",FALSE,TRUE),OR(EXACT(Metadata!L243,"sub-surface (non-saline)"),EXACT(Metadata!L243,"surface (non-saline)"),EXACT(Metadata!L243,"water (non-saline)"),EXACT(Metadata!L243,"soil (non-saline)"),EXACT(Metadata!L243,"aerosol (non-saline)"),EXACT(Metadata!L243,"sediment (non-saline)"),EXACT(Metadata!L243,"surface (saline)"),EXACT(Metadata!L243,"water (saline)"),EXACT(Metadata!L243,"hypersaline (saline)"),EXACT(Metadata!L243,"aerosol (saline)"),EXACT(Metadata!L243,"sediment (saline)")))</f>
        <v>0</v>
      </c>
      <c r="AZ243" t="b">
        <f>IF(Metadata!M243="",FALSE,TRUE)</f>
        <v>0</v>
      </c>
      <c r="BA243" t="b">
        <f>IF(Metadata!N243="",FALSE,TRUE)</f>
        <v>0</v>
      </c>
      <c r="BB243" t="b">
        <f>IF(Metadata!O243="",FALSE,TRUE)</f>
        <v>0</v>
      </c>
      <c r="BC243" t="b">
        <f>AND(IF(Metadata!P243="",FALSE,TRUE),OR(EXACT(Metadata!P243,"air"),EXACT(Metadata!P243,"microbial mat/biofilm"),EXACT(Metadata!P243,"misc environment"),EXACT(Metadata!P243,"sediment"),EXACT(Metadata!P243,"soil"),EXACT(Metadata!P243,"wastewater/sludge"),EXACT(Metadata!P243,"water")))</f>
        <v>0</v>
      </c>
      <c r="BD243" t="b">
        <f>IF(Metadata!Q243="",FALSE,TRUE)</f>
        <v>0</v>
      </c>
      <c r="BE243" t="b">
        <f>IF(Metadata!R243="",FALSE,TRUE)</f>
        <v>0</v>
      </c>
      <c r="BF243" t="b">
        <f>OR(AND(IF(Metadata!S243="",FALSE,TRUE),OR(EXACT(Metadata!S243,"not collected"),EXACT(Metadata!S243,"not provided"),EXACT(Metadata!S243,"restricted access"))),AND(IF(Metadata!S243="",FALSE,ISNUMBER(VALUE(Metadata!S243))),Metadata!S243&gt;=-90,Metadata!S243&lt;=90))</f>
        <v>0</v>
      </c>
      <c r="BG243" t="b">
        <f>AND(IF(Metadata!T243="",FALSE,TRUE),EXACT(Metadata!T243,"Decimal degrees"))</f>
        <v>0</v>
      </c>
      <c r="BH243" t="b">
        <f>OR(AND(IF(Metadata!U243="",FALSE,TRUE),OR(EXACT(Metadata!U243,"not applicable"),EXACT(Metadata!U243,"not collected"))),IF(Metadata!U243="",FALSE,TRUE))</f>
        <v>0</v>
      </c>
      <c r="BI243" t="b">
        <f>OR(AND(IF(Metadata!V243="",FALSE,TRUE),OR(EXACT(Metadata!V243,"not collected"),EXACT(Metadata!V243,"not provided"),EXACT(Metadata!V243,"restricted access"))),AND(IF(Metadata!V243="",FALSE,ISNUMBER(VALUE(Metadata!V243))),Metadata!V243&gt;=-180,Metadata!V243&lt;=180))</f>
        <v>0</v>
      </c>
      <c r="BJ243" t="b">
        <f>AND(IF(Metadata!W243="",FALSE,TRUE),EXACT(Metadata!W243,"Decimal degrees"))</f>
        <v>0</v>
      </c>
      <c r="BK243" t="b">
        <f>IF(Metadata!X243="",FALSE,TRUE)</f>
        <v>0</v>
      </c>
      <c r="BL243" t="b">
        <f>OR(AND(IF(Metadata!Y243="",FALSE,TRUE),OR(EXACT(Metadata!Y243,"not collected"),EXACT(Metadata!Y243,"not provided"),EXACT(Metadata!Y243,"restricted access"))),AND(IF(Metadata!Y243="",FALSE,TRUE),OR(EXACT(Metadata!Y243,"TRUE"),EXACT(Metadata!Y243,"FALSE"))))</f>
        <v>0</v>
      </c>
      <c r="BM243" t="b">
        <f>OR(AND(IF(Metadata!Z243="",FALSE,TRUE),EXACT(Metadata!Z243,"not applicable")),AND(IF(Metadata!Z243="",FALSE,TRUE),OR(EXACT(Metadata!Z243,"beer"),EXACT(Metadata!Z243,"cheese"),EXACT(Metadata!Z243,"fresh water"),EXACT(Metadata!Z243,"marine sediment"),EXACT(Metadata!Z243,"sea water"),EXACT(Metadata!Z243,"sediment"),EXACT(Metadata!Z243,"soil"),EXACT(Metadata!Z243,"waste water"))))</f>
        <v>0</v>
      </c>
      <c r="BN243" t="b">
        <f>AND(IF(Metadata!AA243="",FALSE,TRUE),EXACT(Metadata!AA243,"metagenome"))</f>
        <v>0</v>
      </c>
      <c r="BO243" t="b">
        <f>AND(IF(Metadata!AB243="",FALSE,TRUE),EXACT(Metadata!AB243,"256318"))</f>
        <v>0</v>
      </c>
      <c r="BP243" t="b">
        <f>IF(Metadata!AC243="",FALSE,TRUE)</f>
        <v>0</v>
      </c>
      <c r="BQ243" t="b">
        <f>IF(Metadata!AD243="",FALSE,TRUE)</f>
        <v>0</v>
      </c>
    </row>
    <row r="244" spans="1:69" x14ac:dyDescent="0.2">
      <c r="A244" s="4" t="e">
        <f ca="1">IF(B244=" "," ",HYPERLINK(CONCATENATE("#metadata!",ADDRESS(INDEX($AJ$2:$AJ$1001,MATCH(ROWS($AH$2:AH244),$AH$2:$AH$1001,0),0),2)),INDEX($AM$2:$AM$1001,MATCH(ROWS($AH$2:AH244),$AH$2:$AH$1001,0),0)))</f>
        <v>#N/A</v>
      </c>
      <c r="B244" s="5" t="e">
        <f ca="1">IF(OR(INDEX($AI$2:$AI$1001,MATCH(ROWS($AH$2:AH244),$AH$2:$AH$1001,0),1)&gt;=100000,INDEX($AO$1005:$BQ$1005,1,MATCH(COLUMNS($AO$1006:AO1006),$AO$1006:$BQ$1006,0))&gt;=100000), " ",IF(INDEX($AO$2:$BQ$1001,MATCH(ROWS($AH$2:AH244),$AH$2:$AH$1001,0),MATCH(COLUMNS($AO$1006:AO1006),$AO$1006:$BQ$1006,0)), HYPERLINK("#",""), HYPERLINK(CONCATENATE("#Metadata!", ADDRESS(INDEX($AJ$2:$AJ$1001,MATCH(ROWS($AH$2:AH244),$AH$2:$AH$1001,0),0), INDEX($AO$1004:$BQ$1004,1,MATCH(COLUMNS($AO$1006:AO1006),$AO$1006:$BQ$1006,0)))),"Fix")))</f>
        <v>#N/A</v>
      </c>
      <c r="C244" s="5" t="e">
        <f ca="1">IF(OR(INDEX($AI$2:$AI$1001,MATCH(ROWS($AH$2:AH244),$AH$2:$AH$1001,0),1)&gt;=100000,INDEX($AO$1005:$BQ$1005,1,MATCH(COLUMNS($AO$1006:AP1006),$AO$1006:$BQ$1006,0))&gt;=100000), " ",IF(INDEX($AO$2:$BQ$1001,MATCH(ROWS($AH$2:AH244),$AH$2:$AH$1001,0),MATCH(COLUMNS($AO$1006:AP1006),$AO$1006:$BQ$1006,0)), HYPERLINK("#",""), HYPERLINK(CONCATENATE("#Metadata!", ADDRESS(INDEX($AJ$2:$AJ$1001,MATCH(ROWS($AH$2:AH244),$AH$2:$AH$1001,0),0), INDEX($AO$1004:$BQ$1004,1,MATCH(COLUMNS($AO$1006:AP1006),$AO$1006:$BQ$1006,0)))),"Fix")))</f>
        <v>#N/A</v>
      </c>
      <c r="D244" s="5" t="e">
        <f ca="1">IF(OR(INDEX($AI$2:$AI$1001,MATCH(ROWS($AH$2:AH244),$AH$2:$AH$1001,0),1)&gt;=100000,INDEX($AO$1005:$BQ$1005,1,MATCH(COLUMNS($AO$1006:AQ1006),$AO$1006:$BQ$1006,0))&gt;=100000), " ",IF(INDEX($AO$2:$BQ$1001,MATCH(ROWS($AH$2:AH244),$AH$2:$AH$1001,0),MATCH(COLUMNS($AO$1006:AQ1006),$AO$1006:$BQ$1006,0)), HYPERLINK("#",""), HYPERLINK(CONCATENATE("#Metadata!", ADDRESS(INDEX($AJ$2:$AJ$1001,MATCH(ROWS($AH$2:AH244),$AH$2:$AH$1001,0),0), INDEX($AO$1004:$BQ$1004,1,MATCH(COLUMNS($AO$1006:AQ1006),$AO$1006:$BQ$1006,0)))),"Fix")))</f>
        <v>#N/A</v>
      </c>
      <c r="E244" s="5" t="e">
        <f ca="1">IF(OR(INDEX($AI$2:$AI$1001,MATCH(ROWS($AH$2:AH244),$AH$2:$AH$1001,0),1)&gt;=100000,INDEX($AO$1005:$BQ$1005,1,MATCH(COLUMNS($AO$1006:AR1006),$AO$1006:$BQ$1006,0))&gt;=100000), " ",IF(INDEX($AO$2:$BQ$1001,MATCH(ROWS($AH$2:AH244),$AH$2:$AH$1001,0),MATCH(COLUMNS($AO$1006:AR1006),$AO$1006:$BQ$1006,0)), HYPERLINK("#",""), HYPERLINK(CONCATENATE("#Metadata!", ADDRESS(INDEX($AJ$2:$AJ$1001,MATCH(ROWS($AH$2:AH244),$AH$2:$AH$1001,0),0), INDEX($AO$1004:$BQ$1004,1,MATCH(COLUMNS($AO$1006:AR1006),$AO$1006:$BQ$1006,0)))),"Fix")))</f>
        <v>#N/A</v>
      </c>
      <c r="F244" s="5" t="e">
        <f ca="1">IF(OR(INDEX($AI$2:$AI$1001,MATCH(ROWS($AH$2:AH244),$AH$2:$AH$1001,0),1)&gt;=100000,INDEX($AO$1005:$BQ$1005,1,MATCH(COLUMNS($AO$1006:AS1006),$AO$1006:$BQ$1006,0))&gt;=100000), " ",IF(INDEX($AO$2:$BQ$1001,MATCH(ROWS($AH$2:AH244),$AH$2:$AH$1001,0),MATCH(COLUMNS($AO$1006:AS1006),$AO$1006:$BQ$1006,0)), HYPERLINK("#",""), HYPERLINK(CONCATENATE("#Metadata!", ADDRESS(INDEX($AJ$2:$AJ$1001,MATCH(ROWS($AH$2:AH244),$AH$2:$AH$1001,0),0), INDEX($AO$1004:$BQ$1004,1,MATCH(COLUMNS($AO$1006:AS1006),$AO$1006:$BQ$1006,0)))),"Fix")))</f>
        <v>#N/A</v>
      </c>
      <c r="G244" s="5" t="e">
        <f ca="1">IF(OR(INDEX($AI$2:$AI$1001,MATCH(ROWS($AH$2:AH244),$AH$2:$AH$1001,0),1)&gt;=100000,INDEX($AO$1005:$BQ$1005,1,MATCH(COLUMNS($AO$1006:AT1006),$AO$1006:$BQ$1006,0))&gt;=100000), " ",IF(INDEX($AO$2:$BQ$1001,MATCH(ROWS($AH$2:AH244),$AH$2:$AH$1001,0),MATCH(COLUMNS($AO$1006:AT1006),$AO$1006:$BQ$1006,0)), HYPERLINK("#",""), HYPERLINK(CONCATENATE("#Metadata!", ADDRESS(INDEX($AJ$2:$AJ$1001,MATCH(ROWS($AH$2:AH244),$AH$2:$AH$1001,0),0), INDEX($AO$1004:$BQ$1004,1,MATCH(COLUMNS($AO$1006:AT1006),$AO$1006:$BQ$1006,0)))),"Fix")))</f>
        <v>#N/A</v>
      </c>
      <c r="H244" s="5" t="e">
        <f ca="1">IF(OR(INDEX($AI$2:$AI$1001,MATCH(ROWS($AH$2:AH244),$AH$2:$AH$1001,0),1)&gt;=100000,INDEX($AO$1005:$BQ$1005,1,MATCH(COLUMNS($AO$1006:AU1006),$AO$1006:$BQ$1006,0))&gt;=100000), " ",IF(INDEX($AO$2:$BQ$1001,MATCH(ROWS($AH$2:AH244),$AH$2:$AH$1001,0),MATCH(COLUMNS($AO$1006:AU1006),$AO$1006:$BQ$1006,0)), HYPERLINK("#",""), HYPERLINK(CONCATENATE("#Metadata!", ADDRESS(INDEX($AJ$2:$AJ$1001,MATCH(ROWS($AH$2:AH244),$AH$2:$AH$1001,0),0), INDEX($AO$1004:$BQ$1004,1,MATCH(COLUMNS($AO$1006:AU1006),$AO$1006:$BQ$1006,0)))),"Fix")))</f>
        <v>#N/A</v>
      </c>
      <c r="I244" s="5" t="e">
        <f ca="1">IF(OR(INDEX($AI$2:$AI$1001,MATCH(ROWS($AH$2:AH244),$AH$2:$AH$1001,0),1)&gt;=100000,INDEX($AO$1005:$BQ$1005,1,MATCH(COLUMNS($AO$1006:AV1006),$AO$1006:$BQ$1006,0))&gt;=100000), " ",IF(INDEX($AO$2:$BQ$1001,MATCH(ROWS($AH$2:AH244),$AH$2:$AH$1001,0),MATCH(COLUMNS($AO$1006:AV1006),$AO$1006:$BQ$1006,0)), HYPERLINK("#",""), HYPERLINK(CONCATENATE("#Metadata!", ADDRESS(INDEX($AJ$2:$AJ$1001,MATCH(ROWS($AH$2:AH244),$AH$2:$AH$1001,0),0), INDEX($AO$1004:$BQ$1004,1,MATCH(COLUMNS($AO$1006:AV1006),$AO$1006:$BQ$1006,0)))),"Fix")))</f>
        <v>#N/A</v>
      </c>
      <c r="J244" s="5" t="e">
        <f ca="1">IF(OR(INDEX($AI$2:$AI$1001,MATCH(ROWS($AH$2:AH244),$AH$2:$AH$1001,0),1)&gt;=100000,INDEX($AO$1005:$BQ$1005,1,MATCH(COLUMNS($AO$1006:AW1006),$AO$1006:$BQ$1006,0))&gt;=100000), " ",IF(INDEX($AO$2:$BQ$1001,MATCH(ROWS($AH$2:AH244),$AH$2:$AH$1001,0),MATCH(COLUMNS($AO$1006:AW1006),$AO$1006:$BQ$1006,0)), HYPERLINK("#",""), HYPERLINK(CONCATENATE("#Metadata!", ADDRESS(INDEX($AJ$2:$AJ$1001,MATCH(ROWS($AH$2:AH244),$AH$2:$AH$1001,0),0), INDEX($AO$1004:$BQ$1004,1,MATCH(COLUMNS($AO$1006:AW1006),$AO$1006:$BQ$1006,0)))),"Fix")))</f>
        <v>#N/A</v>
      </c>
      <c r="K244" s="5" t="e">
        <f ca="1">IF(OR(INDEX($AI$2:$AI$1001,MATCH(ROWS($AH$2:AH244),$AH$2:$AH$1001,0),1)&gt;=100000,INDEX($AO$1005:$BQ$1005,1,MATCH(COLUMNS($AO$1006:AX1006),$AO$1006:$BQ$1006,0))&gt;=100000), " ",IF(INDEX($AO$2:$BQ$1001,MATCH(ROWS($AH$2:AH244),$AH$2:$AH$1001,0),MATCH(COLUMNS($AO$1006:AX1006),$AO$1006:$BQ$1006,0)), HYPERLINK("#",""), HYPERLINK(CONCATENATE("#Metadata!", ADDRESS(INDEX($AJ$2:$AJ$1001,MATCH(ROWS($AH$2:AH244),$AH$2:$AH$1001,0),0), INDEX($AO$1004:$BQ$1004,1,MATCH(COLUMNS($AO$1006:AX1006),$AO$1006:$BQ$1006,0)))),"Fix")))</f>
        <v>#N/A</v>
      </c>
      <c r="L244" s="5" t="e">
        <f ca="1">IF(OR(INDEX($AI$2:$AI$1001,MATCH(ROWS($AH$2:AH244),$AH$2:$AH$1001,0),1)&gt;=100000,INDEX($AO$1005:$BQ$1005,1,MATCH(COLUMNS($AO$1006:AY1006),$AO$1006:$BQ$1006,0))&gt;=100000), " ",IF(INDEX($AO$2:$BQ$1001,MATCH(ROWS($AH$2:AH244),$AH$2:$AH$1001,0),MATCH(COLUMNS($AO$1006:AY1006),$AO$1006:$BQ$1006,0)), HYPERLINK("#",""), HYPERLINK(CONCATENATE("#Metadata!", ADDRESS(INDEX($AJ$2:$AJ$1001,MATCH(ROWS($AH$2:AH244),$AH$2:$AH$1001,0),0), INDEX($AO$1004:$BQ$1004,1,MATCH(COLUMNS($AO$1006:AY1006),$AO$1006:$BQ$1006,0)))),"Fix")))</f>
        <v>#N/A</v>
      </c>
      <c r="M244" s="5" t="e">
        <f ca="1">IF(OR(INDEX($AI$2:$AI$1001,MATCH(ROWS($AH$2:AH244),$AH$2:$AH$1001,0),1)&gt;=100000,INDEX($AO$1005:$BQ$1005,1,MATCH(COLUMNS($AO$1006:AZ1006),$AO$1006:$BQ$1006,0))&gt;=100000), " ",IF(INDEX($AO$2:$BQ$1001,MATCH(ROWS($AH$2:AH244),$AH$2:$AH$1001,0),MATCH(COLUMNS($AO$1006:AZ1006),$AO$1006:$BQ$1006,0)), HYPERLINK("#",""), HYPERLINK(CONCATENATE("#Metadata!", ADDRESS(INDEX($AJ$2:$AJ$1001,MATCH(ROWS($AH$2:AH244),$AH$2:$AH$1001,0),0), INDEX($AO$1004:$BQ$1004,1,MATCH(COLUMNS($AO$1006:AZ1006),$AO$1006:$BQ$1006,0)))),"Fix")))</f>
        <v>#N/A</v>
      </c>
      <c r="N244" s="5" t="e">
        <f ca="1">IF(OR(INDEX($AI$2:$AI$1001,MATCH(ROWS($AH$2:AH244),$AH$2:$AH$1001,0),1)&gt;=100000,INDEX($AO$1005:$BQ$1005,1,MATCH(COLUMNS($AO$1006:BA1006),$AO$1006:$BQ$1006,0))&gt;=100000), " ",IF(INDEX($AO$2:$BQ$1001,MATCH(ROWS($AH$2:AH244),$AH$2:$AH$1001,0),MATCH(COLUMNS($AO$1006:BA1006),$AO$1006:$BQ$1006,0)), HYPERLINK("#",""), HYPERLINK(CONCATENATE("#Metadata!", ADDRESS(INDEX($AJ$2:$AJ$1001,MATCH(ROWS($AH$2:AH244),$AH$2:$AH$1001,0),0), INDEX($AO$1004:$BQ$1004,1,MATCH(COLUMNS($AO$1006:BA1006),$AO$1006:$BQ$1006,0)))),"Fix")))</f>
        <v>#N/A</v>
      </c>
      <c r="O244" s="5" t="e">
        <f ca="1">IF(OR(INDEX($AI$2:$AI$1001,MATCH(ROWS($AH$2:AH244),$AH$2:$AH$1001,0),1)&gt;=100000,INDEX($AO$1005:$BQ$1005,1,MATCH(COLUMNS($AO$1006:BB1006),$AO$1006:$BQ$1006,0))&gt;=100000), " ",IF(INDEX($AO$2:$BQ$1001,MATCH(ROWS($AH$2:AH244),$AH$2:$AH$1001,0),MATCH(COLUMNS($AO$1006:BB1006),$AO$1006:$BQ$1006,0)), HYPERLINK("#",""), HYPERLINK(CONCATENATE("#Metadata!", ADDRESS(INDEX($AJ$2:$AJ$1001,MATCH(ROWS($AH$2:AH244),$AH$2:$AH$1001,0),0), INDEX($AO$1004:$BQ$1004,1,MATCH(COLUMNS($AO$1006:BB1006),$AO$1006:$BQ$1006,0)))),"Fix")))</f>
        <v>#N/A</v>
      </c>
      <c r="P244" s="5" t="e">
        <f ca="1">IF(OR(INDEX($AI$2:$AI$1001,MATCH(ROWS($AH$2:AH244),$AH$2:$AH$1001,0),1)&gt;=100000,INDEX($AO$1005:$BQ$1005,1,MATCH(COLUMNS($AO$1006:BC1006),$AO$1006:$BQ$1006,0))&gt;=100000), " ",IF(INDEX($AO$2:$BQ$1001,MATCH(ROWS($AH$2:AH244),$AH$2:$AH$1001,0),MATCH(COLUMNS($AO$1006:BC1006),$AO$1006:$BQ$1006,0)), HYPERLINK("#",""), HYPERLINK(CONCATENATE("#Metadata!", ADDRESS(INDEX($AJ$2:$AJ$1001,MATCH(ROWS($AH$2:AH244),$AH$2:$AH$1001,0),0), INDEX($AO$1004:$BQ$1004,1,MATCH(COLUMNS($AO$1006:BC1006),$AO$1006:$BQ$1006,0)))),"Fix")))</f>
        <v>#N/A</v>
      </c>
      <c r="Q244" s="5" t="e">
        <f ca="1">IF(OR(INDEX($AI$2:$AI$1001,MATCH(ROWS($AH$2:AH244),$AH$2:$AH$1001,0),1)&gt;=100000,INDEX($AO$1005:$BQ$1005,1,MATCH(COLUMNS($AO$1006:BD1006),$AO$1006:$BQ$1006,0))&gt;=100000), " ",IF(INDEX($AO$2:$BQ$1001,MATCH(ROWS($AH$2:AH244),$AH$2:$AH$1001,0),MATCH(COLUMNS($AO$1006:BD1006),$AO$1006:$BQ$1006,0)), HYPERLINK("#",""), HYPERLINK(CONCATENATE("#Metadata!", ADDRESS(INDEX($AJ$2:$AJ$1001,MATCH(ROWS($AH$2:AH244),$AH$2:$AH$1001,0),0), INDEX($AO$1004:$BQ$1004,1,MATCH(COLUMNS($AO$1006:BD1006),$AO$1006:$BQ$1006,0)))),"Fix")))</f>
        <v>#N/A</v>
      </c>
      <c r="R244" s="5" t="e">
        <f ca="1">IF(OR(INDEX($AI$2:$AI$1001,MATCH(ROWS($AH$2:AH244),$AH$2:$AH$1001,0),1)&gt;=100000,INDEX($AO$1005:$BQ$1005,1,MATCH(COLUMNS($AO$1006:BE1006),$AO$1006:$BQ$1006,0))&gt;=100000), " ",IF(INDEX($AO$2:$BQ$1001,MATCH(ROWS($AH$2:AH244),$AH$2:$AH$1001,0),MATCH(COLUMNS($AO$1006:BE1006),$AO$1006:$BQ$1006,0)), HYPERLINK("#",""), HYPERLINK(CONCATENATE("#Metadata!", ADDRESS(INDEX($AJ$2:$AJ$1001,MATCH(ROWS($AH$2:AH244),$AH$2:$AH$1001,0),0), INDEX($AO$1004:$BQ$1004,1,MATCH(COLUMNS($AO$1006:BE1006),$AO$1006:$BQ$1006,0)))),"Fix")))</f>
        <v>#N/A</v>
      </c>
      <c r="S244" s="5" t="e">
        <f ca="1">IF(OR(INDEX($AI$2:$AI$1001,MATCH(ROWS($AH$2:AH244),$AH$2:$AH$1001,0),1)&gt;=100000,INDEX($AO$1005:$BQ$1005,1,MATCH(COLUMNS($AO$1006:BF1006),$AO$1006:$BQ$1006,0))&gt;=100000), " ",IF(INDEX($AO$2:$BQ$1001,MATCH(ROWS($AH$2:AH244),$AH$2:$AH$1001,0),MATCH(COLUMNS($AO$1006:BF1006),$AO$1006:$BQ$1006,0)), HYPERLINK("#",""), HYPERLINK(CONCATENATE("#Metadata!", ADDRESS(INDEX($AJ$2:$AJ$1001,MATCH(ROWS($AH$2:AH244),$AH$2:$AH$1001,0),0), INDEX($AO$1004:$BQ$1004,1,MATCH(COLUMNS($AO$1006:BF1006),$AO$1006:$BQ$1006,0)))),"Fix")))</f>
        <v>#N/A</v>
      </c>
      <c r="T244" s="5" t="e">
        <f ca="1">IF(OR(INDEX($AI$2:$AI$1001,MATCH(ROWS($AH$2:AH244),$AH$2:$AH$1001,0),1)&gt;=100000,INDEX($AO$1005:$BQ$1005,1,MATCH(COLUMNS($AO$1006:BG1006),$AO$1006:$BQ$1006,0))&gt;=100000), " ",IF(INDEX($AO$2:$BQ$1001,MATCH(ROWS($AH$2:AH244),$AH$2:$AH$1001,0),MATCH(COLUMNS($AO$1006:BG1006),$AO$1006:$BQ$1006,0)), HYPERLINK("#",""), HYPERLINK(CONCATENATE("#Metadata!", ADDRESS(INDEX($AJ$2:$AJ$1001,MATCH(ROWS($AH$2:AH244),$AH$2:$AH$1001,0),0), INDEX($AO$1004:$BQ$1004,1,MATCH(COLUMNS($AO$1006:BG1006),$AO$1006:$BQ$1006,0)))),"Fix")))</f>
        <v>#N/A</v>
      </c>
      <c r="U244" s="5" t="e">
        <f ca="1">IF(OR(INDEX($AI$2:$AI$1001,MATCH(ROWS($AH$2:AH244),$AH$2:$AH$1001,0),1)&gt;=100000,INDEX($AO$1005:$BQ$1005,1,MATCH(COLUMNS($AO$1006:BH1006),$AO$1006:$BQ$1006,0))&gt;=100000), " ",IF(INDEX($AO$2:$BQ$1001,MATCH(ROWS($AH$2:AH244),$AH$2:$AH$1001,0),MATCH(COLUMNS($AO$1006:BH1006),$AO$1006:$BQ$1006,0)), HYPERLINK("#",""), HYPERLINK(CONCATENATE("#Metadata!", ADDRESS(INDEX($AJ$2:$AJ$1001,MATCH(ROWS($AH$2:AH244),$AH$2:$AH$1001,0),0), INDEX($AO$1004:$BQ$1004,1,MATCH(COLUMNS($AO$1006:BH1006),$AO$1006:$BQ$1006,0)))),"Fix")))</f>
        <v>#N/A</v>
      </c>
      <c r="V244" s="5" t="e">
        <f ca="1">IF(OR(INDEX($AI$2:$AI$1001,MATCH(ROWS($AH$2:AH244),$AH$2:$AH$1001,0),1)&gt;=100000,INDEX($AO$1005:$BQ$1005,1,MATCH(COLUMNS($AO$1006:BI1006),$AO$1006:$BQ$1006,0))&gt;=100000), " ",IF(INDEX($AO$2:$BQ$1001,MATCH(ROWS($AH$2:AH244),$AH$2:$AH$1001,0),MATCH(COLUMNS($AO$1006:BI1006),$AO$1006:$BQ$1006,0)), HYPERLINK("#",""), HYPERLINK(CONCATENATE("#Metadata!", ADDRESS(INDEX($AJ$2:$AJ$1001,MATCH(ROWS($AH$2:AH244),$AH$2:$AH$1001,0),0), INDEX($AO$1004:$BQ$1004,1,MATCH(COLUMNS($AO$1006:BI1006),$AO$1006:$BQ$1006,0)))),"Fix")))</f>
        <v>#N/A</v>
      </c>
      <c r="W244" s="5" t="e">
        <f ca="1">IF(OR(INDEX($AI$2:$AI$1001,MATCH(ROWS($AH$2:AH244),$AH$2:$AH$1001,0),1)&gt;=100000,INDEX($AO$1005:$BQ$1005,1,MATCH(COLUMNS($AO$1006:BJ1006),$AO$1006:$BQ$1006,0))&gt;=100000), " ",IF(INDEX($AO$2:$BQ$1001,MATCH(ROWS($AH$2:AH244),$AH$2:$AH$1001,0),MATCH(COLUMNS($AO$1006:BJ1006),$AO$1006:$BQ$1006,0)), HYPERLINK("#",""), HYPERLINK(CONCATENATE("#Metadata!", ADDRESS(INDEX($AJ$2:$AJ$1001,MATCH(ROWS($AH$2:AH244),$AH$2:$AH$1001,0),0), INDEX($AO$1004:$BQ$1004,1,MATCH(COLUMNS($AO$1006:BJ1006),$AO$1006:$BQ$1006,0)))),"Fix")))</f>
        <v>#N/A</v>
      </c>
      <c r="X244" s="5" t="e">
        <f ca="1">IF(OR(INDEX($AI$2:$AI$1001,MATCH(ROWS($AH$2:AH244),$AH$2:$AH$1001,0),1)&gt;=100000,INDEX($AO$1005:$BQ$1005,1,MATCH(COLUMNS($AO$1006:BK1006),$AO$1006:$BQ$1006,0))&gt;=100000), " ",IF(INDEX($AO$2:$BQ$1001,MATCH(ROWS($AH$2:AH244),$AH$2:$AH$1001,0),MATCH(COLUMNS($AO$1006:BK1006),$AO$1006:$BQ$1006,0)), HYPERLINK("#",""), HYPERLINK(CONCATENATE("#Metadata!", ADDRESS(INDEX($AJ$2:$AJ$1001,MATCH(ROWS($AH$2:AH244),$AH$2:$AH$1001,0),0), INDEX($AO$1004:$BQ$1004,1,MATCH(COLUMNS($AO$1006:BK1006),$AO$1006:$BQ$1006,0)))),"Fix")))</f>
        <v>#N/A</v>
      </c>
      <c r="Y244" s="5" t="e">
        <f ca="1">IF(OR(INDEX($AI$2:$AI$1001,MATCH(ROWS($AH$2:AH244),$AH$2:$AH$1001,0),1)&gt;=100000,INDEX($AO$1005:$BQ$1005,1,MATCH(COLUMNS($AO$1006:BL1006),$AO$1006:$BQ$1006,0))&gt;=100000), " ",IF(INDEX($AO$2:$BQ$1001,MATCH(ROWS($AH$2:AH244),$AH$2:$AH$1001,0),MATCH(COLUMNS($AO$1006:BL1006),$AO$1006:$BQ$1006,0)), HYPERLINK("#",""), HYPERLINK(CONCATENATE("#Metadata!", ADDRESS(INDEX($AJ$2:$AJ$1001,MATCH(ROWS($AH$2:AH244),$AH$2:$AH$1001,0),0), INDEX($AO$1004:$BQ$1004,1,MATCH(COLUMNS($AO$1006:BL1006),$AO$1006:$BQ$1006,0)))),"Fix")))</f>
        <v>#N/A</v>
      </c>
      <c r="Z244" s="5" t="e">
        <f ca="1">IF(OR(INDEX($AI$2:$AI$1001,MATCH(ROWS($AH$2:AH244),$AH$2:$AH$1001,0),1)&gt;=100000,INDEX($AO$1005:$BQ$1005,1,MATCH(COLUMNS($AO$1006:BM1006),$AO$1006:$BQ$1006,0))&gt;=100000), " ",IF(INDEX($AO$2:$BQ$1001,MATCH(ROWS($AH$2:AH244),$AH$2:$AH$1001,0),MATCH(COLUMNS($AO$1006:BM1006),$AO$1006:$BQ$1006,0)), HYPERLINK("#",""), HYPERLINK(CONCATENATE("#Metadata!", ADDRESS(INDEX($AJ$2:$AJ$1001,MATCH(ROWS($AH$2:AH244),$AH$2:$AH$1001,0),0), INDEX($AO$1004:$BQ$1004,1,MATCH(COLUMNS($AO$1006:BM1006),$AO$1006:$BQ$1006,0)))),"Fix")))</f>
        <v>#N/A</v>
      </c>
      <c r="AA244" s="5" t="e">
        <f ca="1">IF(OR(INDEX($AI$2:$AI$1001,MATCH(ROWS($AH$2:AH244),$AH$2:$AH$1001,0),1)&gt;=100000,INDEX($AO$1005:$BQ$1005,1,MATCH(COLUMNS($AO$1006:BN1006),$AO$1006:$BQ$1006,0))&gt;=100000), " ",IF(INDEX($AO$2:$BQ$1001,MATCH(ROWS($AH$2:AH244),$AH$2:$AH$1001,0),MATCH(COLUMNS($AO$1006:BN1006),$AO$1006:$BQ$1006,0)), HYPERLINK("#",""), HYPERLINK(CONCATENATE("#Metadata!", ADDRESS(INDEX($AJ$2:$AJ$1001,MATCH(ROWS($AH$2:AH244),$AH$2:$AH$1001,0),0), INDEX($AO$1004:$BQ$1004,1,MATCH(COLUMNS($AO$1006:BN1006),$AO$1006:$BQ$1006,0)))),"Fix")))</f>
        <v>#N/A</v>
      </c>
      <c r="AB244" s="5" t="e">
        <f ca="1">IF(OR(INDEX($AI$2:$AI$1001,MATCH(ROWS($AH$2:AH244),$AH$2:$AH$1001,0),1)&gt;=100000,INDEX($AO$1005:$BQ$1005,1,MATCH(COLUMNS($AO$1006:BO1006),$AO$1006:$BQ$1006,0))&gt;=100000), " ",IF(INDEX($AO$2:$BQ$1001,MATCH(ROWS($AH$2:AH244),$AH$2:$AH$1001,0),MATCH(COLUMNS($AO$1006:BO1006),$AO$1006:$BQ$1006,0)), HYPERLINK("#",""), HYPERLINK(CONCATENATE("#Metadata!", ADDRESS(INDEX($AJ$2:$AJ$1001,MATCH(ROWS($AH$2:AH244),$AH$2:$AH$1001,0),0), INDEX($AO$1004:$BQ$1004,1,MATCH(COLUMNS($AO$1006:BO1006),$AO$1006:$BQ$1006,0)))),"Fix")))</f>
        <v>#N/A</v>
      </c>
      <c r="AC244" s="5" t="e">
        <f ca="1">IF(OR(INDEX($AI$2:$AI$1001,MATCH(ROWS($AH$2:AH244),$AH$2:$AH$1001,0),1)&gt;=100000,INDEX($AO$1005:$BQ$1005,1,MATCH(COLUMNS($AO$1006:BP1006),$AO$1006:$BQ$1006,0))&gt;=100000), " ",IF(INDEX($AO$2:$BQ$1001,MATCH(ROWS($AH$2:AH244),$AH$2:$AH$1001,0),MATCH(COLUMNS($AO$1006:BP1006),$AO$1006:$BQ$1006,0)), HYPERLINK("#",""), HYPERLINK(CONCATENATE("#Metadata!", ADDRESS(INDEX($AJ$2:$AJ$1001,MATCH(ROWS($AH$2:AH244),$AH$2:$AH$1001,0),0), INDEX($AO$1004:$BQ$1004,1,MATCH(COLUMNS($AO$1006:BP1006),$AO$1006:$BQ$1006,0)))),"Fix")))</f>
        <v>#N/A</v>
      </c>
      <c r="AD244" s="5" t="e">
        <f ca="1">IF(OR(INDEX($AI$2:$AI$1001,MATCH(ROWS($AH$2:AH244),$AH$2:$AH$1001,0),1)&gt;=100000,INDEX($AO$1005:$BQ$1005,1,MATCH(COLUMNS($AO$1006:BQ1006),$AO$1006:$BQ$1006,0))&gt;=100000), " ",IF(INDEX($AO$2:$BQ$1001,MATCH(ROWS($AH$2:AH244),$AH$2:$AH$1001,0),MATCH(COLUMNS($AO$1006:BQ1006),$AO$1006:$BQ$1006,0)), HYPERLINK("#",""), HYPERLINK(CONCATENATE("#Metadata!", ADDRESS(INDEX($AJ$2:$AJ$1001,MATCH(ROWS($AH$2:AH244),$AH$2:$AH$1001,0),0), INDEX($AO$1004:$BQ$1004,1,MATCH(COLUMNS($AO$1006:BQ1006),$AO$1006:$BQ$1006,0)))),"Fix")))</f>
        <v>#REF!</v>
      </c>
      <c r="AH244">
        <f ca="1"/>
        <v>241</v>
      </c>
      <c r="AI244">
        <v>100244</v>
      </c>
      <c r="AJ244">
        <v>244</v>
      </c>
      <c r="AK244" t="b">
        <f t="shared" si="3"/>
        <v>1</v>
      </c>
      <c r="AL244" t="b">
        <f>COUNTBLANK(Metadata!B244:AD244)=COLUMNS(Metadata!B244:AD244)</f>
        <v>1</v>
      </c>
      <c r="AM244" t="str">
        <v/>
      </c>
      <c r="AO244" t="b">
        <f ca="1">AND(IF(Metadata!B244="",FALSE,TRUE),COUNTIF(Metadata!B:B, Metadata!B244) = 1,NOT(ISERROR(SUMPRODUCT(SEARCH(MID(Metadata!B244,ROW(INDIRECT("1:"&amp;LEN(Metadata!B244))), 1),"0123456789abcdefghijklmnopqrstuvwxyzABCDEFGHIJKLMNOPQRSTUVWXYZ.")))))</f>
        <v>0</v>
      </c>
      <c r="AP244" t="b">
        <f>IF(Metadata!C244="",FALSE,TRUE)</f>
        <v>0</v>
      </c>
      <c r="AQ244" t="b">
        <f>IF(Metadata!D244="",FALSE,TRUE)</f>
        <v>0</v>
      </c>
      <c r="AR244" t="b">
        <f ca="1">OR(AND(IF(Metadata!E244="",FALSE,TRUE),OR(EXACT(Metadata!E244,"not collected"),EXACT(Metadata!E244,"not provided"),EXACT(Metadata!E244,"restricted access"))),AND(IF(Metadata!E244="",FALSE,TRUE),AND(AND(IFERROR(INT(LEFT(Metadata!E244,4))&gt;1900,FALSE),IFERROR(INT(LEFT(Metadata!E244,4))&lt;=YEAR(NOW()),FALSE)), OR(MID(Metadata!E244,5,1)="", AND(AND(MID(Metadata!E244,5,1)="-",IFERROR(INT(MID(Metadata!E244,6,1))&gt;=0,FALSE),IFERROR(INT(MID(Metadata!E244,6,1))&lt;=1,FALSE),NOT(MID(Metadata!E244,7,1)=""),IFERROR(INT(MID(Metadata!E244,6,2))&gt;=1,FALSE),IFERROR(INT(MID(Metadata!E244,6,2))&lt;=12,FALSE)), OR(MID(Metadata!E244,8,1)="", AND(AND(MID(Metadata!E244,8,1)="-",IFERROR(INT(MID(Metadata!E244,9,1))&gt;=0,FALSE),IFERROR(INT(MID(Metadata!E244,9,1))&lt;=3,FALSE),NOT(MID(Metadata!E244,10,1)=""),IFERROR(INT(MID(Metadata!E244,9,2))&gt;=1,FALSE),IFERROR(INT(MID(Metadata!E244,9,2))&lt;=31,FALSE)), OR(MID(Metadata!E244,11,1)="", AND(AND(MID(Metadata!E244,11,1)=" ",IFERROR(INT(MID(Metadata!E244,12,1))&gt;=0,FALSE),IFERROR(INT(MID(Metadata!E244,12,1))&lt;=2,FALSE),NOT(MID(Metadata!E244,13,1)=""),IFERROR(INT(MID(Metadata!E244,12,2))&gt;=0,FALSE),IFERROR(INT(MID(Metadata!E244,12,2))&lt;=23,FALSE)), OR(MID(Metadata!E244,14,1)="", AND(AND(MID(Metadata!E244,14,1)=":",IFERROR(INT(MID(Metadata!E244,15,1))&gt;=0,FALSE),IFERROR(INT(MID(Metadata!E244,15,1))&lt;=5,FALSE),NOT(MID(Metadata!E244,16,1)=""),IFERROR(INT(MID(Metadata!E244,15,2))&gt;=0,FALSE),IFERROR(INT(MID(Metadata!E244,15,2))&lt;=59,FALSE)), OR(MID(Metadata!E244,17,1)="", AND(AND(MID(Metadata!E244,17,1)=":",IFERROR(INT(MID(Metadata!E244,18,1))&gt;=0,FALSE),IFERROR(INT(MID(Metadata!E244,18,1))&lt;=5,FALSE),NOT(MID(Metadata!E244,19,1)=""),IFERROR(INT(MID(Metadata!E244,18,2))&gt;=0,FALSE),IFERROR(INT(MID(Metadata!E244,18,2))&lt;=59,FALSE)), LEN(Metadata!E244)&lt;=19)))))))))))))</f>
        <v>0</v>
      </c>
      <c r="AS244" t="b">
        <f>IF(Metadata!F244="",FALSE,TRUE)</f>
        <v>0</v>
      </c>
      <c r="AT244" t="b">
        <f>OR(AND(IF(Metadata!G244="",FALSE,TRUE),OR(EXACT(Metadata!G244,"not collected"),EXACT(Metadata!G244,"not provided"))),AND(IF(Metadata!G244="",FALSE,TRUE),OR(EXACT(Metadata!G244,"TRUE"),EXACT(Metadata!G244,"FALSE"))))</f>
        <v>0</v>
      </c>
      <c r="AU244" t="b">
        <f>OR(AND(IF(Metadata!H244="",FALSE,TRUE),OR(EXACT(Metadata!H244,"not collected"),EXACT(Metadata!H244,"not provided"),EXACT(Metadata!H244,"restricted access"))),AND(IF(Metadata!H244="",FALSE,ISNUMBER(VALUE(Metadata!H244))),Metadata!H244&gt;=-413))</f>
        <v>0</v>
      </c>
      <c r="AV244" t="b">
        <f>AND(IF(Metadata!I244="",FALSE,TRUE),EXACT(Metadata!I244,"meters"))</f>
        <v>0</v>
      </c>
      <c r="AW244" t="b">
        <f>AND(IF(Metadata!J244="",FALSE,TRUE),EXACT(Metadata!J244,"free-living"))</f>
        <v>0</v>
      </c>
      <c r="AX244" t="b">
        <f>AND(IF(Metadata!K244="",FALSE,TRUE),OR(EXACT(Metadata!K244,"saline"),EXACT(Metadata!K244,"non-saline")))</f>
        <v>0</v>
      </c>
      <c r="AY244" t="b">
        <f>AND(IF(Metadata!L244="",FALSE,TRUE),OR(EXACT(Metadata!L244,"sub-surface (non-saline)"),EXACT(Metadata!L244,"surface (non-saline)"),EXACT(Metadata!L244,"water (non-saline)"),EXACT(Metadata!L244,"soil (non-saline)"),EXACT(Metadata!L244,"aerosol (non-saline)"),EXACT(Metadata!L244,"sediment (non-saline)"),EXACT(Metadata!L244,"surface (saline)"),EXACT(Metadata!L244,"water (saline)"),EXACT(Metadata!L244,"hypersaline (saline)"),EXACT(Metadata!L244,"aerosol (saline)"),EXACT(Metadata!L244,"sediment (saline)")))</f>
        <v>0</v>
      </c>
      <c r="AZ244" t="b">
        <f>IF(Metadata!M244="",FALSE,TRUE)</f>
        <v>0</v>
      </c>
      <c r="BA244" t="b">
        <f>IF(Metadata!N244="",FALSE,TRUE)</f>
        <v>0</v>
      </c>
      <c r="BB244" t="b">
        <f>IF(Metadata!O244="",FALSE,TRUE)</f>
        <v>0</v>
      </c>
      <c r="BC244" t="b">
        <f>AND(IF(Metadata!P244="",FALSE,TRUE),OR(EXACT(Metadata!P244,"air"),EXACT(Metadata!P244,"microbial mat/biofilm"),EXACT(Metadata!P244,"misc environment"),EXACT(Metadata!P244,"sediment"),EXACT(Metadata!P244,"soil"),EXACT(Metadata!P244,"wastewater/sludge"),EXACT(Metadata!P244,"water")))</f>
        <v>0</v>
      </c>
      <c r="BD244" t="b">
        <f>IF(Metadata!Q244="",FALSE,TRUE)</f>
        <v>0</v>
      </c>
      <c r="BE244" t="b">
        <f>IF(Metadata!R244="",FALSE,TRUE)</f>
        <v>0</v>
      </c>
      <c r="BF244" t="b">
        <f>OR(AND(IF(Metadata!S244="",FALSE,TRUE),OR(EXACT(Metadata!S244,"not collected"),EXACT(Metadata!S244,"not provided"),EXACT(Metadata!S244,"restricted access"))),AND(IF(Metadata!S244="",FALSE,ISNUMBER(VALUE(Metadata!S244))),Metadata!S244&gt;=-90,Metadata!S244&lt;=90))</f>
        <v>0</v>
      </c>
      <c r="BG244" t="b">
        <f>AND(IF(Metadata!T244="",FALSE,TRUE),EXACT(Metadata!T244,"Decimal degrees"))</f>
        <v>0</v>
      </c>
      <c r="BH244" t="b">
        <f>OR(AND(IF(Metadata!U244="",FALSE,TRUE),OR(EXACT(Metadata!U244,"not applicable"),EXACT(Metadata!U244,"not collected"))),IF(Metadata!U244="",FALSE,TRUE))</f>
        <v>0</v>
      </c>
      <c r="BI244" t="b">
        <f>OR(AND(IF(Metadata!V244="",FALSE,TRUE),OR(EXACT(Metadata!V244,"not collected"),EXACT(Metadata!V244,"not provided"),EXACT(Metadata!V244,"restricted access"))),AND(IF(Metadata!V244="",FALSE,ISNUMBER(VALUE(Metadata!V244))),Metadata!V244&gt;=-180,Metadata!V244&lt;=180))</f>
        <v>0</v>
      </c>
      <c r="BJ244" t="b">
        <f>AND(IF(Metadata!W244="",FALSE,TRUE),EXACT(Metadata!W244,"Decimal degrees"))</f>
        <v>0</v>
      </c>
      <c r="BK244" t="b">
        <f>IF(Metadata!X244="",FALSE,TRUE)</f>
        <v>0</v>
      </c>
      <c r="BL244" t="b">
        <f>OR(AND(IF(Metadata!Y244="",FALSE,TRUE),OR(EXACT(Metadata!Y244,"not collected"),EXACT(Metadata!Y244,"not provided"),EXACT(Metadata!Y244,"restricted access"))),AND(IF(Metadata!Y244="",FALSE,TRUE),OR(EXACT(Metadata!Y244,"TRUE"),EXACT(Metadata!Y244,"FALSE"))))</f>
        <v>0</v>
      </c>
      <c r="BM244" t="b">
        <f>OR(AND(IF(Metadata!Z244="",FALSE,TRUE),EXACT(Metadata!Z244,"not applicable")),AND(IF(Metadata!Z244="",FALSE,TRUE),OR(EXACT(Metadata!Z244,"beer"),EXACT(Metadata!Z244,"cheese"),EXACT(Metadata!Z244,"fresh water"),EXACT(Metadata!Z244,"marine sediment"),EXACT(Metadata!Z244,"sea water"),EXACT(Metadata!Z244,"sediment"),EXACT(Metadata!Z244,"soil"),EXACT(Metadata!Z244,"waste water"))))</f>
        <v>0</v>
      </c>
      <c r="BN244" t="b">
        <f>AND(IF(Metadata!AA244="",FALSE,TRUE),EXACT(Metadata!AA244,"metagenome"))</f>
        <v>0</v>
      </c>
      <c r="BO244" t="b">
        <f>AND(IF(Metadata!AB244="",FALSE,TRUE),EXACT(Metadata!AB244,"256318"))</f>
        <v>0</v>
      </c>
      <c r="BP244" t="b">
        <f>IF(Metadata!AC244="",FALSE,TRUE)</f>
        <v>0</v>
      </c>
      <c r="BQ244" t="b">
        <f>IF(Metadata!AD244="",FALSE,TRUE)</f>
        <v>0</v>
      </c>
    </row>
    <row r="245" spans="1:69" x14ac:dyDescent="0.2">
      <c r="A245" s="4" t="e">
        <f ca="1">IF(B245=" "," ",HYPERLINK(CONCATENATE("#metadata!",ADDRESS(INDEX($AJ$2:$AJ$1001,MATCH(ROWS($AH$2:AH245),$AH$2:$AH$1001,0),0),2)),INDEX($AM$2:$AM$1001,MATCH(ROWS($AH$2:AH245),$AH$2:$AH$1001,0),0)))</f>
        <v>#N/A</v>
      </c>
      <c r="B245" s="5" t="e">
        <f ca="1">IF(OR(INDEX($AI$2:$AI$1001,MATCH(ROWS($AH$2:AH245),$AH$2:$AH$1001,0),1)&gt;=100000,INDEX($AO$1005:$BQ$1005,1,MATCH(COLUMNS($AO$1006:AO1006),$AO$1006:$BQ$1006,0))&gt;=100000), " ",IF(INDEX($AO$2:$BQ$1001,MATCH(ROWS($AH$2:AH245),$AH$2:$AH$1001,0),MATCH(COLUMNS($AO$1006:AO1006),$AO$1006:$BQ$1006,0)), HYPERLINK("#",""), HYPERLINK(CONCATENATE("#Metadata!", ADDRESS(INDEX($AJ$2:$AJ$1001,MATCH(ROWS($AH$2:AH245),$AH$2:$AH$1001,0),0), INDEX($AO$1004:$BQ$1004,1,MATCH(COLUMNS($AO$1006:AO1006),$AO$1006:$BQ$1006,0)))),"Fix")))</f>
        <v>#N/A</v>
      </c>
      <c r="C245" s="5" t="e">
        <f ca="1">IF(OR(INDEX($AI$2:$AI$1001,MATCH(ROWS($AH$2:AH245),$AH$2:$AH$1001,0),1)&gt;=100000,INDEX($AO$1005:$BQ$1005,1,MATCH(COLUMNS($AO$1006:AP1006),$AO$1006:$BQ$1006,0))&gt;=100000), " ",IF(INDEX($AO$2:$BQ$1001,MATCH(ROWS($AH$2:AH245),$AH$2:$AH$1001,0),MATCH(COLUMNS($AO$1006:AP1006),$AO$1006:$BQ$1006,0)), HYPERLINK("#",""), HYPERLINK(CONCATENATE("#Metadata!", ADDRESS(INDEX($AJ$2:$AJ$1001,MATCH(ROWS($AH$2:AH245),$AH$2:$AH$1001,0),0), INDEX($AO$1004:$BQ$1004,1,MATCH(COLUMNS($AO$1006:AP1006),$AO$1006:$BQ$1006,0)))),"Fix")))</f>
        <v>#N/A</v>
      </c>
      <c r="D245" s="5" t="e">
        <f ca="1">IF(OR(INDEX($AI$2:$AI$1001,MATCH(ROWS($AH$2:AH245),$AH$2:$AH$1001,0),1)&gt;=100000,INDEX($AO$1005:$BQ$1005,1,MATCH(COLUMNS($AO$1006:AQ1006),$AO$1006:$BQ$1006,0))&gt;=100000), " ",IF(INDEX($AO$2:$BQ$1001,MATCH(ROWS($AH$2:AH245),$AH$2:$AH$1001,0),MATCH(COLUMNS($AO$1006:AQ1006),$AO$1006:$BQ$1006,0)), HYPERLINK("#",""), HYPERLINK(CONCATENATE("#Metadata!", ADDRESS(INDEX($AJ$2:$AJ$1001,MATCH(ROWS($AH$2:AH245),$AH$2:$AH$1001,0),0), INDEX($AO$1004:$BQ$1004,1,MATCH(COLUMNS($AO$1006:AQ1006),$AO$1006:$BQ$1006,0)))),"Fix")))</f>
        <v>#N/A</v>
      </c>
      <c r="E245" s="5" t="e">
        <f ca="1">IF(OR(INDEX($AI$2:$AI$1001,MATCH(ROWS($AH$2:AH245),$AH$2:$AH$1001,0),1)&gt;=100000,INDEX($AO$1005:$BQ$1005,1,MATCH(COLUMNS($AO$1006:AR1006),$AO$1006:$BQ$1006,0))&gt;=100000), " ",IF(INDEX($AO$2:$BQ$1001,MATCH(ROWS($AH$2:AH245),$AH$2:$AH$1001,0),MATCH(COLUMNS($AO$1006:AR1006),$AO$1006:$BQ$1006,0)), HYPERLINK("#",""), HYPERLINK(CONCATENATE("#Metadata!", ADDRESS(INDEX($AJ$2:$AJ$1001,MATCH(ROWS($AH$2:AH245),$AH$2:$AH$1001,0),0), INDEX($AO$1004:$BQ$1004,1,MATCH(COLUMNS($AO$1006:AR1006),$AO$1006:$BQ$1006,0)))),"Fix")))</f>
        <v>#N/A</v>
      </c>
      <c r="F245" s="5" t="e">
        <f ca="1">IF(OR(INDEX($AI$2:$AI$1001,MATCH(ROWS($AH$2:AH245),$AH$2:$AH$1001,0),1)&gt;=100000,INDEX($AO$1005:$BQ$1005,1,MATCH(COLUMNS($AO$1006:AS1006),$AO$1006:$BQ$1006,0))&gt;=100000), " ",IF(INDEX($AO$2:$BQ$1001,MATCH(ROWS($AH$2:AH245),$AH$2:$AH$1001,0),MATCH(COLUMNS($AO$1006:AS1006),$AO$1006:$BQ$1006,0)), HYPERLINK("#",""), HYPERLINK(CONCATENATE("#Metadata!", ADDRESS(INDEX($AJ$2:$AJ$1001,MATCH(ROWS($AH$2:AH245),$AH$2:$AH$1001,0),0), INDEX($AO$1004:$BQ$1004,1,MATCH(COLUMNS($AO$1006:AS1006),$AO$1006:$BQ$1006,0)))),"Fix")))</f>
        <v>#N/A</v>
      </c>
      <c r="G245" s="5" t="e">
        <f ca="1">IF(OR(INDEX($AI$2:$AI$1001,MATCH(ROWS($AH$2:AH245),$AH$2:$AH$1001,0),1)&gt;=100000,INDEX($AO$1005:$BQ$1005,1,MATCH(COLUMNS($AO$1006:AT1006),$AO$1006:$BQ$1006,0))&gt;=100000), " ",IF(INDEX($AO$2:$BQ$1001,MATCH(ROWS($AH$2:AH245),$AH$2:$AH$1001,0),MATCH(COLUMNS($AO$1006:AT1006),$AO$1006:$BQ$1006,0)), HYPERLINK("#",""), HYPERLINK(CONCATENATE("#Metadata!", ADDRESS(INDEX($AJ$2:$AJ$1001,MATCH(ROWS($AH$2:AH245),$AH$2:$AH$1001,0),0), INDEX($AO$1004:$BQ$1004,1,MATCH(COLUMNS($AO$1006:AT1006),$AO$1006:$BQ$1006,0)))),"Fix")))</f>
        <v>#N/A</v>
      </c>
      <c r="H245" s="5" t="e">
        <f ca="1">IF(OR(INDEX($AI$2:$AI$1001,MATCH(ROWS($AH$2:AH245),$AH$2:$AH$1001,0),1)&gt;=100000,INDEX($AO$1005:$BQ$1005,1,MATCH(COLUMNS($AO$1006:AU1006),$AO$1006:$BQ$1006,0))&gt;=100000), " ",IF(INDEX($AO$2:$BQ$1001,MATCH(ROWS($AH$2:AH245),$AH$2:$AH$1001,0),MATCH(COLUMNS($AO$1006:AU1006),$AO$1006:$BQ$1006,0)), HYPERLINK("#",""), HYPERLINK(CONCATENATE("#Metadata!", ADDRESS(INDEX($AJ$2:$AJ$1001,MATCH(ROWS($AH$2:AH245),$AH$2:$AH$1001,0),0), INDEX($AO$1004:$BQ$1004,1,MATCH(COLUMNS($AO$1006:AU1006),$AO$1006:$BQ$1006,0)))),"Fix")))</f>
        <v>#N/A</v>
      </c>
      <c r="I245" s="5" t="e">
        <f ca="1">IF(OR(INDEX($AI$2:$AI$1001,MATCH(ROWS($AH$2:AH245),$AH$2:$AH$1001,0),1)&gt;=100000,INDEX($AO$1005:$BQ$1005,1,MATCH(COLUMNS($AO$1006:AV1006),$AO$1006:$BQ$1006,0))&gt;=100000), " ",IF(INDEX($AO$2:$BQ$1001,MATCH(ROWS($AH$2:AH245),$AH$2:$AH$1001,0),MATCH(COLUMNS($AO$1006:AV1006),$AO$1006:$BQ$1006,0)), HYPERLINK("#",""), HYPERLINK(CONCATENATE("#Metadata!", ADDRESS(INDEX($AJ$2:$AJ$1001,MATCH(ROWS($AH$2:AH245),$AH$2:$AH$1001,0),0), INDEX($AO$1004:$BQ$1004,1,MATCH(COLUMNS($AO$1006:AV1006),$AO$1006:$BQ$1006,0)))),"Fix")))</f>
        <v>#N/A</v>
      </c>
      <c r="J245" s="5" t="e">
        <f ca="1">IF(OR(INDEX($AI$2:$AI$1001,MATCH(ROWS($AH$2:AH245),$AH$2:$AH$1001,0),1)&gt;=100000,INDEX($AO$1005:$BQ$1005,1,MATCH(COLUMNS($AO$1006:AW1006),$AO$1006:$BQ$1006,0))&gt;=100000), " ",IF(INDEX($AO$2:$BQ$1001,MATCH(ROWS($AH$2:AH245),$AH$2:$AH$1001,0),MATCH(COLUMNS($AO$1006:AW1006),$AO$1006:$BQ$1006,0)), HYPERLINK("#",""), HYPERLINK(CONCATENATE("#Metadata!", ADDRESS(INDEX($AJ$2:$AJ$1001,MATCH(ROWS($AH$2:AH245),$AH$2:$AH$1001,0),0), INDEX($AO$1004:$BQ$1004,1,MATCH(COLUMNS($AO$1006:AW1006),$AO$1006:$BQ$1006,0)))),"Fix")))</f>
        <v>#N/A</v>
      </c>
      <c r="K245" s="5" t="e">
        <f ca="1">IF(OR(INDEX($AI$2:$AI$1001,MATCH(ROWS($AH$2:AH245),$AH$2:$AH$1001,0),1)&gt;=100000,INDEX($AO$1005:$BQ$1005,1,MATCH(COLUMNS($AO$1006:AX1006),$AO$1006:$BQ$1006,0))&gt;=100000), " ",IF(INDEX($AO$2:$BQ$1001,MATCH(ROWS($AH$2:AH245),$AH$2:$AH$1001,0),MATCH(COLUMNS($AO$1006:AX1006),$AO$1006:$BQ$1006,0)), HYPERLINK("#",""), HYPERLINK(CONCATENATE("#Metadata!", ADDRESS(INDEX($AJ$2:$AJ$1001,MATCH(ROWS($AH$2:AH245),$AH$2:$AH$1001,0),0), INDEX($AO$1004:$BQ$1004,1,MATCH(COLUMNS($AO$1006:AX1006),$AO$1006:$BQ$1006,0)))),"Fix")))</f>
        <v>#N/A</v>
      </c>
      <c r="L245" s="5" t="e">
        <f ca="1">IF(OR(INDEX($AI$2:$AI$1001,MATCH(ROWS($AH$2:AH245),$AH$2:$AH$1001,0),1)&gt;=100000,INDEX($AO$1005:$BQ$1005,1,MATCH(COLUMNS($AO$1006:AY1006),$AO$1006:$BQ$1006,0))&gt;=100000), " ",IF(INDEX($AO$2:$BQ$1001,MATCH(ROWS($AH$2:AH245),$AH$2:$AH$1001,0),MATCH(COLUMNS($AO$1006:AY1006),$AO$1006:$BQ$1006,0)), HYPERLINK("#",""), HYPERLINK(CONCATENATE("#Metadata!", ADDRESS(INDEX($AJ$2:$AJ$1001,MATCH(ROWS($AH$2:AH245),$AH$2:$AH$1001,0),0), INDEX($AO$1004:$BQ$1004,1,MATCH(COLUMNS($AO$1006:AY1006),$AO$1006:$BQ$1006,0)))),"Fix")))</f>
        <v>#N/A</v>
      </c>
      <c r="M245" s="5" t="e">
        <f ca="1">IF(OR(INDEX($AI$2:$AI$1001,MATCH(ROWS($AH$2:AH245),$AH$2:$AH$1001,0),1)&gt;=100000,INDEX($AO$1005:$BQ$1005,1,MATCH(COLUMNS($AO$1006:AZ1006),$AO$1006:$BQ$1006,0))&gt;=100000), " ",IF(INDEX($AO$2:$BQ$1001,MATCH(ROWS($AH$2:AH245),$AH$2:$AH$1001,0),MATCH(COLUMNS($AO$1006:AZ1006),$AO$1006:$BQ$1006,0)), HYPERLINK("#",""), HYPERLINK(CONCATENATE("#Metadata!", ADDRESS(INDEX($AJ$2:$AJ$1001,MATCH(ROWS($AH$2:AH245),$AH$2:$AH$1001,0),0), INDEX($AO$1004:$BQ$1004,1,MATCH(COLUMNS($AO$1006:AZ1006),$AO$1006:$BQ$1006,0)))),"Fix")))</f>
        <v>#N/A</v>
      </c>
      <c r="N245" s="5" t="e">
        <f ca="1">IF(OR(INDEX($AI$2:$AI$1001,MATCH(ROWS($AH$2:AH245),$AH$2:$AH$1001,0),1)&gt;=100000,INDEX($AO$1005:$BQ$1005,1,MATCH(COLUMNS($AO$1006:BA1006),$AO$1006:$BQ$1006,0))&gt;=100000), " ",IF(INDEX($AO$2:$BQ$1001,MATCH(ROWS($AH$2:AH245),$AH$2:$AH$1001,0),MATCH(COLUMNS($AO$1006:BA1006),$AO$1006:$BQ$1006,0)), HYPERLINK("#",""), HYPERLINK(CONCATENATE("#Metadata!", ADDRESS(INDEX($AJ$2:$AJ$1001,MATCH(ROWS($AH$2:AH245),$AH$2:$AH$1001,0),0), INDEX($AO$1004:$BQ$1004,1,MATCH(COLUMNS($AO$1006:BA1006),$AO$1006:$BQ$1006,0)))),"Fix")))</f>
        <v>#N/A</v>
      </c>
      <c r="O245" s="5" t="e">
        <f ca="1">IF(OR(INDEX($AI$2:$AI$1001,MATCH(ROWS($AH$2:AH245),$AH$2:$AH$1001,0),1)&gt;=100000,INDEX($AO$1005:$BQ$1005,1,MATCH(COLUMNS($AO$1006:BB1006),$AO$1006:$BQ$1006,0))&gt;=100000), " ",IF(INDEX($AO$2:$BQ$1001,MATCH(ROWS($AH$2:AH245),$AH$2:$AH$1001,0),MATCH(COLUMNS($AO$1006:BB1006),$AO$1006:$BQ$1006,0)), HYPERLINK("#",""), HYPERLINK(CONCATENATE("#Metadata!", ADDRESS(INDEX($AJ$2:$AJ$1001,MATCH(ROWS($AH$2:AH245),$AH$2:$AH$1001,0),0), INDEX($AO$1004:$BQ$1004,1,MATCH(COLUMNS($AO$1006:BB1006),$AO$1006:$BQ$1006,0)))),"Fix")))</f>
        <v>#N/A</v>
      </c>
      <c r="P245" s="5" t="e">
        <f ca="1">IF(OR(INDEX($AI$2:$AI$1001,MATCH(ROWS($AH$2:AH245),$AH$2:$AH$1001,0),1)&gt;=100000,INDEX($AO$1005:$BQ$1005,1,MATCH(COLUMNS($AO$1006:BC1006),$AO$1006:$BQ$1006,0))&gt;=100000), " ",IF(INDEX($AO$2:$BQ$1001,MATCH(ROWS($AH$2:AH245),$AH$2:$AH$1001,0),MATCH(COLUMNS($AO$1006:BC1006),$AO$1006:$BQ$1006,0)), HYPERLINK("#",""), HYPERLINK(CONCATENATE("#Metadata!", ADDRESS(INDEX($AJ$2:$AJ$1001,MATCH(ROWS($AH$2:AH245),$AH$2:$AH$1001,0),0), INDEX($AO$1004:$BQ$1004,1,MATCH(COLUMNS($AO$1006:BC1006),$AO$1006:$BQ$1006,0)))),"Fix")))</f>
        <v>#N/A</v>
      </c>
      <c r="Q245" s="5" t="e">
        <f ca="1">IF(OR(INDEX($AI$2:$AI$1001,MATCH(ROWS($AH$2:AH245),$AH$2:$AH$1001,0),1)&gt;=100000,INDEX($AO$1005:$BQ$1005,1,MATCH(COLUMNS($AO$1006:BD1006),$AO$1006:$BQ$1006,0))&gt;=100000), " ",IF(INDEX($AO$2:$BQ$1001,MATCH(ROWS($AH$2:AH245),$AH$2:$AH$1001,0),MATCH(COLUMNS($AO$1006:BD1006),$AO$1006:$BQ$1006,0)), HYPERLINK("#",""), HYPERLINK(CONCATENATE("#Metadata!", ADDRESS(INDEX($AJ$2:$AJ$1001,MATCH(ROWS($AH$2:AH245),$AH$2:$AH$1001,0),0), INDEX($AO$1004:$BQ$1004,1,MATCH(COLUMNS($AO$1006:BD1006),$AO$1006:$BQ$1006,0)))),"Fix")))</f>
        <v>#N/A</v>
      </c>
      <c r="R245" s="5" t="e">
        <f ca="1">IF(OR(INDEX($AI$2:$AI$1001,MATCH(ROWS($AH$2:AH245),$AH$2:$AH$1001,0),1)&gt;=100000,INDEX($AO$1005:$BQ$1005,1,MATCH(COLUMNS($AO$1006:BE1006),$AO$1006:$BQ$1006,0))&gt;=100000), " ",IF(INDEX($AO$2:$BQ$1001,MATCH(ROWS($AH$2:AH245),$AH$2:$AH$1001,0),MATCH(COLUMNS($AO$1006:BE1006),$AO$1006:$BQ$1006,0)), HYPERLINK("#",""), HYPERLINK(CONCATENATE("#Metadata!", ADDRESS(INDEX($AJ$2:$AJ$1001,MATCH(ROWS($AH$2:AH245),$AH$2:$AH$1001,0),0), INDEX($AO$1004:$BQ$1004,1,MATCH(COLUMNS($AO$1006:BE1006),$AO$1006:$BQ$1006,0)))),"Fix")))</f>
        <v>#N/A</v>
      </c>
      <c r="S245" s="5" t="e">
        <f ca="1">IF(OR(INDEX($AI$2:$AI$1001,MATCH(ROWS($AH$2:AH245),$AH$2:$AH$1001,0),1)&gt;=100000,INDEX($AO$1005:$BQ$1005,1,MATCH(COLUMNS($AO$1006:BF1006),$AO$1006:$BQ$1006,0))&gt;=100000), " ",IF(INDEX($AO$2:$BQ$1001,MATCH(ROWS($AH$2:AH245),$AH$2:$AH$1001,0),MATCH(COLUMNS($AO$1006:BF1006),$AO$1006:$BQ$1006,0)), HYPERLINK("#",""), HYPERLINK(CONCATENATE("#Metadata!", ADDRESS(INDEX($AJ$2:$AJ$1001,MATCH(ROWS($AH$2:AH245),$AH$2:$AH$1001,0),0), INDEX($AO$1004:$BQ$1004,1,MATCH(COLUMNS($AO$1006:BF1006),$AO$1006:$BQ$1006,0)))),"Fix")))</f>
        <v>#N/A</v>
      </c>
      <c r="T245" s="5" t="e">
        <f ca="1">IF(OR(INDEX($AI$2:$AI$1001,MATCH(ROWS($AH$2:AH245),$AH$2:$AH$1001,0),1)&gt;=100000,INDEX($AO$1005:$BQ$1005,1,MATCH(COLUMNS($AO$1006:BG1006),$AO$1006:$BQ$1006,0))&gt;=100000), " ",IF(INDEX($AO$2:$BQ$1001,MATCH(ROWS($AH$2:AH245),$AH$2:$AH$1001,0),MATCH(COLUMNS($AO$1006:BG1006),$AO$1006:$BQ$1006,0)), HYPERLINK("#",""), HYPERLINK(CONCATENATE("#Metadata!", ADDRESS(INDEX($AJ$2:$AJ$1001,MATCH(ROWS($AH$2:AH245),$AH$2:$AH$1001,0),0), INDEX($AO$1004:$BQ$1004,1,MATCH(COLUMNS($AO$1006:BG1006),$AO$1006:$BQ$1006,0)))),"Fix")))</f>
        <v>#N/A</v>
      </c>
      <c r="U245" s="5" t="e">
        <f ca="1">IF(OR(INDEX($AI$2:$AI$1001,MATCH(ROWS($AH$2:AH245),$AH$2:$AH$1001,0),1)&gt;=100000,INDEX($AO$1005:$BQ$1005,1,MATCH(COLUMNS($AO$1006:BH1006),$AO$1006:$BQ$1006,0))&gt;=100000), " ",IF(INDEX($AO$2:$BQ$1001,MATCH(ROWS($AH$2:AH245),$AH$2:$AH$1001,0),MATCH(COLUMNS($AO$1006:BH1006),$AO$1006:$BQ$1006,0)), HYPERLINK("#",""), HYPERLINK(CONCATENATE("#Metadata!", ADDRESS(INDEX($AJ$2:$AJ$1001,MATCH(ROWS($AH$2:AH245),$AH$2:$AH$1001,0),0), INDEX($AO$1004:$BQ$1004,1,MATCH(COLUMNS($AO$1006:BH1006),$AO$1006:$BQ$1006,0)))),"Fix")))</f>
        <v>#N/A</v>
      </c>
      <c r="V245" s="5" t="e">
        <f ca="1">IF(OR(INDEX($AI$2:$AI$1001,MATCH(ROWS($AH$2:AH245),$AH$2:$AH$1001,0),1)&gt;=100000,INDEX($AO$1005:$BQ$1005,1,MATCH(COLUMNS($AO$1006:BI1006),$AO$1006:$BQ$1006,0))&gt;=100000), " ",IF(INDEX($AO$2:$BQ$1001,MATCH(ROWS($AH$2:AH245),$AH$2:$AH$1001,0),MATCH(COLUMNS($AO$1006:BI1006),$AO$1006:$BQ$1006,0)), HYPERLINK("#",""), HYPERLINK(CONCATENATE("#Metadata!", ADDRESS(INDEX($AJ$2:$AJ$1001,MATCH(ROWS($AH$2:AH245),$AH$2:$AH$1001,0),0), INDEX($AO$1004:$BQ$1004,1,MATCH(COLUMNS($AO$1006:BI1006),$AO$1006:$BQ$1006,0)))),"Fix")))</f>
        <v>#N/A</v>
      </c>
      <c r="W245" s="5" t="e">
        <f ca="1">IF(OR(INDEX($AI$2:$AI$1001,MATCH(ROWS($AH$2:AH245),$AH$2:$AH$1001,0),1)&gt;=100000,INDEX($AO$1005:$BQ$1005,1,MATCH(COLUMNS($AO$1006:BJ1006),$AO$1006:$BQ$1006,0))&gt;=100000), " ",IF(INDEX($AO$2:$BQ$1001,MATCH(ROWS($AH$2:AH245),$AH$2:$AH$1001,0),MATCH(COLUMNS($AO$1006:BJ1006),$AO$1006:$BQ$1006,0)), HYPERLINK("#",""), HYPERLINK(CONCATENATE("#Metadata!", ADDRESS(INDEX($AJ$2:$AJ$1001,MATCH(ROWS($AH$2:AH245),$AH$2:$AH$1001,0),0), INDEX($AO$1004:$BQ$1004,1,MATCH(COLUMNS($AO$1006:BJ1006),$AO$1006:$BQ$1006,0)))),"Fix")))</f>
        <v>#N/A</v>
      </c>
      <c r="X245" s="5" t="e">
        <f ca="1">IF(OR(INDEX($AI$2:$AI$1001,MATCH(ROWS($AH$2:AH245),$AH$2:$AH$1001,0),1)&gt;=100000,INDEX($AO$1005:$BQ$1005,1,MATCH(COLUMNS($AO$1006:BK1006),$AO$1006:$BQ$1006,0))&gt;=100000), " ",IF(INDEX($AO$2:$BQ$1001,MATCH(ROWS($AH$2:AH245),$AH$2:$AH$1001,0),MATCH(COLUMNS($AO$1006:BK1006),$AO$1006:$BQ$1006,0)), HYPERLINK("#",""), HYPERLINK(CONCATENATE("#Metadata!", ADDRESS(INDEX($AJ$2:$AJ$1001,MATCH(ROWS($AH$2:AH245),$AH$2:$AH$1001,0),0), INDEX($AO$1004:$BQ$1004,1,MATCH(COLUMNS($AO$1006:BK1006),$AO$1006:$BQ$1006,0)))),"Fix")))</f>
        <v>#N/A</v>
      </c>
      <c r="Y245" s="5" t="e">
        <f ca="1">IF(OR(INDEX($AI$2:$AI$1001,MATCH(ROWS($AH$2:AH245),$AH$2:$AH$1001,0),1)&gt;=100000,INDEX($AO$1005:$BQ$1005,1,MATCH(COLUMNS($AO$1006:BL1006),$AO$1006:$BQ$1006,0))&gt;=100000), " ",IF(INDEX($AO$2:$BQ$1001,MATCH(ROWS($AH$2:AH245),$AH$2:$AH$1001,0),MATCH(COLUMNS($AO$1006:BL1006),$AO$1006:$BQ$1006,0)), HYPERLINK("#",""), HYPERLINK(CONCATENATE("#Metadata!", ADDRESS(INDEX($AJ$2:$AJ$1001,MATCH(ROWS($AH$2:AH245),$AH$2:$AH$1001,0),0), INDEX($AO$1004:$BQ$1004,1,MATCH(COLUMNS($AO$1006:BL1006),$AO$1006:$BQ$1006,0)))),"Fix")))</f>
        <v>#N/A</v>
      </c>
      <c r="Z245" s="5" t="e">
        <f ca="1">IF(OR(INDEX($AI$2:$AI$1001,MATCH(ROWS($AH$2:AH245),$AH$2:$AH$1001,0),1)&gt;=100000,INDEX($AO$1005:$BQ$1005,1,MATCH(COLUMNS($AO$1006:BM1006),$AO$1006:$BQ$1006,0))&gt;=100000), " ",IF(INDEX($AO$2:$BQ$1001,MATCH(ROWS($AH$2:AH245),$AH$2:$AH$1001,0),MATCH(COLUMNS($AO$1006:BM1006),$AO$1006:$BQ$1006,0)), HYPERLINK("#",""), HYPERLINK(CONCATENATE("#Metadata!", ADDRESS(INDEX($AJ$2:$AJ$1001,MATCH(ROWS($AH$2:AH245),$AH$2:$AH$1001,0),0), INDEX($AO$1004:$BQ$1004,1,MATCH(COLUMNS($AO$1006:BM1006),$AO$1006:$BQ$1006,0)))),"Fix")))</f>
        <v>#N/A</v>
      </c>
      <c r="AA245" s="5" t="e">
        <f ca="1">IF(OR(INDEX($AI$2:$AI$1001,MATCH(ROWS($AH$2:AH245),$AH$2:$AH$1001,0),1)&gt;=100000,INDEX($AO$1005:$BQ$1005,1,MATCH(COLUMNS($AO$1006:BN1006),$AO$1006:$BQ$1006,0))&gt;=100000), " ",IF(INDEX($AO$2:$BQ$1001,MATCH(ROWS($AH$2:AH245),$AH$2:$AH$1001,0),MATCH(COLUMNS($AO$1006:BN1006),$AO$1006:$BQ$1006,0)), HYPERLINK("#",""), HYPERLINK(CONCATENATE("#Metadata!", ADDRESS(INDEX($AJ$2:$AJ$1001,MATCH(ROWS($AH$2:AH245),$AH$2:$AH$1001,0),0), INDEX($AO$1004:$BQ$1004,1,MATCH(COLUMNS($AO$1006:BN1006),$AO$1006:$BQ$1006,0)))),"Fix")))</f>
        <v>#N/A</v>
      </c>
      <c r="AB245" s="5" t="e">
        <f ca="1">IF(OR(INDEX($AI$2:$AI$1001,MATCH(ROWS($AH$2:AH245),$AH$2:$AH$1001,0),1)&gt;=100000,INDEX($AO$1005:$BQ$1005,1,MATCH(COLUMNS($AO$1006:BO1006),$AO$1006:$BQ$1006,0))&gt;=100000), " ",IF(INDEX($AO$2:$BQ$1001,MATCH(ROWS($AH$2:AH245),$AH$2:$AH$1001,0),MATCH(COLUMNS($AO$1006:BO1006),$AO$1006:$BQ$1006,0)), HYPERLINK("#",""), HYPERLINK(CONCATENATE("#Metadata!", ADDRESS(INDEX($AJ$2:$AJ$1001,MATCH(ROWS($AH$2:AH245),$AH$2:$AH$1001,0),0), INDEX($AO$1004:$BQ$1004,1,MATCH(COLUMNS($AO$1006:BO1006),$AO$1006:$BQ$1006,0)))),"Fix")))</f>
        <v>#N/A</v>
      </c>
      <c r="AC245" s="5" t="e">
        <f ca="1">IF(OR(INDEX($AI$2:$AI$1001,MATCH(ROWS($AH$2:AH245),$AH$2:$AH$1001,0),1)&gt;=100000,INDEX($AO$1005:$BQ$1005,1,MATCH(COLUMNS($AO$1006:BP1006),$AO$1006:$BQ$1006,0))&gt;=100000), " ",IF(INDEX($AO$2:$BQ$1001,MATCH(ROWS($AH$2:AH245),$AH$2:$AH$1001,0),MATCH(COLUMNS($AO$1006:BP1006),$AO$1006:$BQ$1006,0)), HYPERLINK("#",""), HYPERLINK(CONCATENATE("#Metadata!", ADDRESS(INDEX($AJ$2:$AJ$1001,MATCH(ROWS($AH$2:AH245),$AH$2:$AH$1001,0),0), INDEX($AO$1004:$BQ$1004,1,MATCH(COLUMNS($AO$1006:BP1006),$AO$1006:$BQ$1006,0)))),"Fix")))</f>
        <v>#N/A</v>
      </c>
      <c r="AD245" s="5" t="e">
        <f ca="1">IF(OR(INDEX($AI$2:$AI$1001,MATCH(ROWS($AH$2:AH245),$AH$2:$AH$1001,0),1)&gt;=100000,INDEX($AO$1005:$BQ$1005,1,MATCH(COLUMNS($AO$1006:BQ1006),$AO$1006:$BQ$1006,0))&gt;=100000), " ",IF(INDEX($AO$2:$BQ$1001,MATCH(ROWS($AH$2:AH245),$AH$2:$AH$1001,0),MATCH(COLUMNS($AO$1006:BQ1006),$AO$1006:$BQ$1006,0)), HYPERLINK("#",""), HYPERLINK(CONCATENATE("#Metadata!", ADDRESS(INDEX($AJ$2:$AJ$1001,MATCH(ROWS($AH$2:AH245),$AH$2:$AH$1001,0),0), INDEX($AO$1004:$BQ$1004,1,MATCH(COLUMNS($AO$1006:BQ1006),$AO$1006:$BQ$1006,0)))),"Fix")))</f>
        <v>#REF!</v>
      </c>
      <c r="AH245">
        <f ca="1"/>
        <v>242</v>
      </c>
      <c r="AI245">
        <v>100245</v>
      </c>
      <c r="AJ245">
        <v>245</v>
      </c>
      <c r="AK245" t="b">
        <f t="shared" si="3"/>
        <v>1</v>
      </c>
      <c r="AL245" t="b">
        <f>COUNTBLANK(Metadata!B245:AD245)=COLUMNS(Metadata!B245:AD245)</f>
        <v>1</v>
      </c>
      <c r="AM245" t="str">
        <v/>
      </c>
      <c r="AO245" t="b">
        <f ca="1">AND(IF(Metadata!B245="",FALSE,TRUE),COUNTIF(Metadata!B:B, Metadata!B245) = 1,NOT(ISERROR(SUMPRODUCT(SEARCH(MID(Metadata!B245,ROW(INDIRECT("1:"&amp;LEN(Metadata!B245))), 1),"0123456789abcdefghijklmnopqrstuvwxyzABCDEFGHIJKLMNOPQRSTUVWXYZ.")))))</f>
        <v>0</v>
      </c>
      <c r="AP245" t="b">
        <f>IF(Metadata!C245="",FALSE,TRUE)</f>
        <v>0</v>
      </c>
      <c r="AQ245" t="b">
        <f>IF(Metadata!D245="",FALSE,TRUE)</f>
        <v>0</v>
      </c>
      <c r="AR245" t="b">
        <f ca="1">OR(AND(IF(Metadata!E245="",FALSE,TRUE),OR(EXACT(Metadata!E245,"not collected"),EXACT(Metadata!E245,"not provided"),EXACT(Metadata!E245,"restricted access"))),AND(IF(Metadata!E245="",FALSE,TRUE),AND(AND(IFERROR(INT(LEFT(Metadata!E245,4))&gt;1900,FALSE),IFERROR(INT(LEFT(Metadata!E245,4))&lt;=YEAR(NOW()),FALSE)), OR(MID(Metadata!E245,5,1)="", AND(AND(MID(Metadata!E245,5,1)="-",IFERROR(INT(MID(Metadata!E245,6,1))&gt;=0,FALSE),IFERROR(INT(MID(Metadata!E245,6,1))&lt;=1,FALSE),NOT(MID(Metadata!E245,7,1)=""),IFERROR(INT(MID(Metadata!E245,6,2))&gt;=1,FALSE),IFERROR(INT(MID(Metadata!E245,6,2))&lt;=12,FALSE)), OR(MID(Metadata!E245,8,1)="", AND(AND(MID(Metadata!E245,8,1)="-",IFERROR(INT(MID(Metadata!E245,9,1))&gt;=0,FALSE),IFERROR(INT(MID(Metadata!E245,9,1))&lt;=3,FALSE),NOT(MID(Metadata!E245,10,1)=""),IFERROR(INT(MID(Metadata!E245,9,2))&gt;=1,FALSE),IFERROR(INT(MID(Metadata!E245,9,2))&lt;=31,FALSE)), OR(MID(Metadata!E245,11,1)="", AND(AND(MID(Metadata!E245,11,1)=" ",IFERROR(INT(MID(Metadata!E245,12,1))&gt;=0,FALSE),IFERROR(INT(MID(Metadata!E245,12,1))&lt;=2,FALSE),NOT(MID(Metadata!E245,13,1)=""),IFERROR(INT(MID(Metadata!E245,12,2))&gt;=0,FALSE),IFERROR(INT(MID(Metadata!E245,12,2))&lt;=23,FALSE)), OR(MID(Metadata!E245,14,1)="", AND(AND(MID(Metadata!E245,14,1)=":",IFERROR(INT(MID(Metadata!E245,15,1))&gt;=0,FALSE),IFERROR(INT(MID(Metadata!E245,15,1))&lt;=5,FALSE),NOT(MID(Metadata!E245,16,1)=""),IFERROR(INT(MID(Metadata!E245,15,2))&gt;=0,FALSE),IFERROR(INT(MID(Metadata!E245,15,2))&lt;=59,FALSE)), OR(MID(Metadata!E245,17,1)="", AND(AND(MID(Metadata!E245,17,1)=":",IFERROR(INT(MID(Metadata!E245,18,1))&gt;=0,FALSE),IFERROR(INT(MID(Metadata!E245,18,1))&lt;=5,FALSE),NOT(MID(Metadata!E245,19,1)=""),IFERROR(INT(MID(Metadata!E245,18,2))&gt;=0,FALSE),IFERROR(INT(MID(Metadata!E245,18,2))&lt;=59,FALSE)), LEN(Metadata!E245)&lt;=19)))))))))))))</f>
        <v>0</v>
      </c>
      <c r="AS245" t="b">
        <f>IF(Metadata!F245="",FALSE,TRUE)</f>
        <v>0</v>
      </c>
      <c r="AT245" t="b">
        <f>OR(AND(IF(Metadata!G245="",FALSE,TRUE),OR(EXACT(Metadata!G245,"not collected"),EXACT(Metadata!G245,"not provided"))),AND(IF(Metadata!G245="",FALSE,TRUE),OR(EXACT(Metadata!G245,"TRUE"),EXACT(Metadata!G245,"FALSE"))))</f>
        <v>0</v>
      </c>
      <c r="AU245" t="b">
        <f>OR(AND(IF(Metadata!H245="",FALSE,TRUE),OR(EXACT(Metadata!H245,"not collected"),EXACT(Metadata!H245,"not provided"),EXACT(Metadata!H245,"restricted access"))),AND(IF(Metadata!H245="",FALSE,ISNUMBER(VALUE(Metadata!H245))),Metadata!H245&gt;=-413))</f>
        <v>0</v>
      </c>
      <c r="AV245" t="b">
        <f>AND(IF(Metadata!I245="",FALSE,TRUE),EXACT(Metadata!I245,"meters"))</f>
        <v>0</v>
      </c>
      <c r="AW245" t="b">
        <f>AND(IF(Metadata!J245="",FALSE,TRUE),EXACT(Metadata!J245,"free-living"))</f>
        <v>0</v>
      </c>
      <c r="AX245" t="b">
        <f>AND(IF(Metadata!K245="",FALSE,TRUE),OR(EXACT(Metadata!K245,"saline"),EXACT(Metadata!K245,"non-saline")))</f>
        <v>0</v>
      </c>
      <c r="AY245" t="b">
        <f>AND(IF(Metadata!L245="",FALSE,TRUE),OR(EXACT(Metadata!L245,"sub-surface (non-saline)"),EXACT(Metadata!L245,"surface (non-saline)"),EXACT(Metadata!L245,"water (non-saline)"),EXACT(Metadata!L245,"soil (non-saline)"),EXACT(Metadata!L245,"aerosol (non-saline)"),EXACT(Metadata!L245,"sediment (non-saline)"),EXACT(Metadata!L245,"surface (saline)"),EXACT(Metadata!L245,"water (saline)"),EXACT(Metadata!L245,"hypersaline (saline)"),EXACT(Metadata!L245,"aerosol (saline)"),EXACT(Metadata!L245,"sediment (saline)")))</f>
        <v>0</v>
      </c>
      <c r="AZ245" t="b">
        <f>IF(Metadata!M245="",FALSE,TRUE)</f>
        <v>0</v>
      </c>
      <c r="BA245" t="b">
        <f>IF(Metadata!N245="",FALSE,TRUE)</f>
        <v>0</v>
      </c>
      <c r="BB245" t="b">
        <f>IF(Metadata!O245="",FALSE,TRUE)</f>
        <v>0</v>
      </c>
      <c r="BC245" t="b">
        <f>AND(IF(Metadata!P245="",FALSE,TRUE),OR(EXACT(Metadata!P245,"air"),EXACT(Metadata!P245,"microbial mat/biofilm"),EXACT(Metadata!P245,"misc environment"),EXACT(Metadata!P245,"sediment"),EXACT(Metadata!P245,"soil"),EXACT(Metadata!P245,"wastewater/sludge"),EXACT(Metadata!P245,"water")))</f>
        <v>0</v>
      </c>
      <c r="BD245" t="b">
        <f>IF(Metadata!Q245="",FALSE,TRUE)</f>
        <v>0</v>
      </c>
      <c r="BE245" t="b">
        <f>IF(Metadata!R245="",FALSE,TRUE)</f>
        <v>0</v>
      </c>
      <c r="BF245" t="b">
        <f>OR(AND(IF(Metadata!S245="",FALSE,TRUE),OR(EXACT(Metadata!S245,"not collected"),EXACT(Metadata!S245,"not provided"),EXACT(Metadata!S245,"restricted access"))),AND(IF(Metadata!S245="",FALSE,ISNUMBER(VALUE(Metadata!S245))),Metadata!S245&gt;=-90,Metadata!S245&lt;=90))</f>
        <v>0</v>
      </c>
      <c r="BG245" t="b">
        <f>AND(IF(Metadata!T245="",FALSE,TRUE),EXACT(Metadata!T245,"Decimal degrees"))</f>
        <v>0</v>
      </c>
      <c r="BH245" t="b">
        <f>OR(AND(IF(Metadata!U245="",FALSE,TRUE),OR(EXACT(Metadata!U245,"not applicable"),EXACT(Metadata!U245,"not collected"))),IF(Metadata!U245="",FALSE,TRUE))</f>
        <v>0</v>
      </c>
      <c r="BI245" t="b">
        <f>OR(AND(IF(Metadata!V245="",FALSE,TRUE),OR(EXACT(Metadata!V245,"not collected"),EXACT(Metadata!V245,"not provided"),EXACT(Metadata!V245,"restricted access"))),AND(IF(Metadata!V245="",FALSE,ISNUMBER(VALUE(Metadata!V245))),Metadata!V245&gt;=-180,Metadata!V245&lt;=180))</f>
        <v>0</v>
      </c>
      <c r="BJ245" t="b">
        <f>AND(IF(Metadata!W245="",FALSE,TRUE),EXACT(Metadata!W245,"Decimal degrees"))</f>
        <v>0</v>
      </c>
      <c r="BK245" t="b">
        <f>IF(Metadata!X245="",FALSE,TRUE)</f>
        <v>0</v>
      </c>
      <c r="BL245" t="b">
        <f>OR(AND(IF(Metadata!Y245="",FALSE,TRUE),OR(EXACT(Metadata!Y245,"not collected"),EXACT(Metadata!Y245,"not provided"),EXACT(Metadata!Y245,"restricted access"))),AND(IF(Metadata!Y245="",FALSE,TRUE),OR(EXACT(Metadata!Y245,"TRUE"),EXACT(Metadata!Y245,"FALSE"))))</f>
        <v>0</v>
      </c>
      <c r="BM245" t="b">
        <f>OR(AND(IF(Metadata!Z245="",FALSE,TRUE),EXACT(Metadata!Z245,"not applicable")),AND(IF(Metadata!Z245="",FALSE,TRUE),OR(EXACT(Metadata!Z245,"beer"),EXACT(Metadata!Z245,"cheese"),EXACT(Metadata!Z245,"fresh water"),EXACT(Metadata!Z245,"marine sediment"),EXACT(Metadata!Z245,"sea water"),EXACT(Metadata!Z245,"sediment"),EXACT(Metadata!Z245,"soil"),EXACT(Metadata!Z245,"waste water"))))</f>
        <v>0</v>
      </c>
      <c r="BN245" t="b">
        <f>AND(IF(Metadata!AA245="",FALSE,TRUE),EXACT(Metadata!AA245,"metagenome"))</f>
        <v>0</v>
      </c>
      <c r="BO245" t="b">
        <f>AND(IF(Metadata!AB245="",FALSE,TRUE),EXACT(Metadata!AB245,"256318"))</f>
        <v>0</v>
      </c>
      <c r="BP245" t="b">
        <f>IF(Metadata!AC245="",FALSE,TRUE)</f>
        <v>0</v>
      </c>
      <c r="BQ245" t="b">
        <f>IF(Metadata!AD245="",FALSE,TRUE)</f>
        <v>0</v>
      </c>
    </row>
    <row r="246" spans="1:69" x14ac:dyDescent="0.2">
      <c r="A246" s="4" t="e">
        <f ca="1">IF(B246=" "," ",HYPERLINK(CONCATENATE("#metadata!",ADDRESS(INDEX($AJ$2:$AJ$1001,MATCH(ROWS($AH$2:AH246),$AH$2:$AH$1001,0),0),2)),INDEX($AM$2:$AM$1001,MATCH(ROWS($AH$2:AH246),$AH$2:$AH$1001,0),0)))</f>
        <v>#N/A</v>
      </c>
      <c r="B246" s="5" t="e">
        <f ca="1">IF(OR(INDEX($AI$2:$AI$1001,MATCH(ROWS($AH$2:AH246),$AH$2:$AH$1001,0),1)&gt;=100000,INDEX($AO$1005:$BQ$1005,1,MATCH(COLUMNS($AO$1006:AO1006),$AO$1006:$BQ$1006,0))&gt;=100000), " ",IF(INDEX($AO$2:$BQ$1001,MATCH(ROWS($AH$2:AH246),$AH$2:$AH$1001,0),MATCH(COLUMNS($AO$1006:AO1006),$AO$1006:$BQ$1006,0)), HYPERLINK("#",""), HYPERLINK(CONCATENATE("#Metadata!", ADDRESS(INDEX($AJ$2:$AJ$1001,MATCH(ROWS($AH$2:AH246),$AH$2:$AH$1001,0),0), INDEX($AO$1004:$BQ$1004,1,MATCH(COLUMNS($AO$1006:AO1006),$AO$1006:$BQ$1006,0)))),"Fix")))</f>
        <v>#N/A</v>
      </c>
      <c r="C246" s="5" t="e">
        <f ca="1">IF(OR(INDEX($AI$2:$AI$1001,MATCH(ROWS($AH$2:AH246),$AH$2:$AH$1001,0),1)&gt;=100000,INDEX($AO$1005:$BQ$1005,1,MATCH(COLUMNS($AO$1006:AP1006),$AO$1006:$BQ$1006,0))&gt;=100000), " ",IF(INDEX($AO$2:$BQ$1001,MATCH(ROWS($AH$2:AH246),$AH$2:$AH$1001,0),MATCH(COLUMNS($AO$1006:AP1006),$AO$1006:$BQ$1006,0)), HYPERLINK("#",""), HYPERLINK(CONCATENATE("#Metadata!", ADDRESS(INDEX($AJ$2:$AJ$1001,MATCH(ROWS($AH$2:AH246),$AH$2:$AH$1001,0),0), INDEX($AO$1004:$BQ$1004,1,MATCH(COLUMNS($AO$1006:AP1006),$AO$1006:$BQ$1006,0)))),"Fix")))</f>
        <v>#N/A</v>
      </c>
      <c r="D246" s="5" t="e">
        <f ca="1">IF(OR(INDEX($AI$2:$AI$1001,MATCH(ROWS($AH$2:AH246),$AH$2:$AH$1001,0),1)&gt;=100000,INDEX($AO$1005:$BQ$1005,1,MATCH(COLUMNS($AO$1006:AQ1006),$AO$1006:$BQ$1006,0))&gt;=100000), " ",IF(INDEX($AO$2:$BQ$1001,MATCH(ROWS($AH$2:AH246),$AH$2:$AH$1001,0),MATCH(COLUMNS($AO$1006:AQ1006),$AO$1006:$BQ$1006,0)), HYPERLINK("#",""), HYPERLINK(CONCATENATE("#Metadata!", ADDRESS(INDEX($AJ$2:$AJ$1001,MATCH(ROWS($AH$2:AH246),$AH$2:$AH$1001,0),0), INDEX($AO$1004:$BQ$1004,1,MATCH(COLUMNS($AO$1006:AQ1006),$AO$1006:$BQ$1006,0)))),"Fix")))</f>
        <v>#N/A</v>
      </c>
      <c r="E246" s="5" t="e">
        <f ca="1">IF(OR(INDEX($AI$2:$AI$1001,MATCH(ROWS($AH$2:AH246),$AH$2:$AH$1001,0),1)&gt;=100000,INDEX($AO$1005:$BQ$1005,1,MATCH(COLUMNS($AO$1006:AR1006),$AO$1006:$BQ$1006,0))&gt;=100000), " ",IF(INDEX($AO$2:$BQ$1001,MATCH(ROWS($AH$2:AH246),$AH$2:$AH$1001,0),MATCH(COLUMNS($AO$1006:AR1006),$AO$1006:$BQ$1006,0)), HYPERLINK("#",""), HYPERLINK(CONCATENATE("#Metadata!", ADDRESS(INDEX($AJ$2:$AJ$1001,MATCH(ROWS($AH$2:AH246),$AH$2:$AH$1001,0),0), INDEX($AO$1004:$BQ$1004,1,MATCH(COLUMNS($AO$1006:AR1006),$AO$1006:$BQ$1006,0)))),"Fix")))</f>
        <v>#N/A</v>
      </c>
      <c r="F246" s="5" t="e">
        <f ca="1">IF(OR(INDEX($AI$2:$AI$1001,MATCH(ROWS($AH$2:AH246),$AH$2:$AH$1001,0),1)&gt;=100000,INDEX($AO$1005:$BQ$1005,1,MATCH(COLUMNS($AO$1006:AS1006),$AO$1006:$BQ$1006,0))&gt;=100000), " ",IF(INDEX($AO$2:$BQ$1001,MATCH(ROWS($AH$2:AH246),$AH$2:$AH$1001,0),MATCH(COLUMNS($AO$1006:AS1006),$AO$1006:$BQ$1006,0)), HYPERLINK("#",""), HYPERLINK(CONCATENATE("#Metadata!", ADDRESS(INDEX($AJ$2:$AJ$1001,MATCH(ROWS($AH$2:AH246),$AH$2:$AH$1001,0),0), INDEX($AO$1004:$BQ$1004,1,MATCH(COLUMNS($AO$1006:AS1006),$AO$1006:$BQ$1006,0)))),"Fix")))</f>
        <v>#N/A</v>
      </c>
      <c r="G246" s="5" t="e">
        <f ca="1">IF(OR(INDEX($AI$2:$AI$1001,MATCH(ROWS($AH$2:AH246),$AH$2:$AH$1001,0),1)&gt;=100000,INDEX($AO$1005:$BQ$1005,1,MATCH(COLUMNS($AO$1006:AT1006),$AO$1006:$BQ$1006,0))&gt;=100000), " ",IF(INDEX($AO$2:$BQ$1001,MATCH(ROWS($AH$2:AH246),$AH$2:$AH$1001,0),MATCH(COLUMNS($AO$1006:AT1006),$AO$1006:$BQ$1006,0)), HYPERLINK("#",""), HYPERLINK(CONCATENATE("#Metadata!", ADDRESS(INDEX($AJ$2:$AJ$1001,MATCH(ROWS($AH$2:AH246),$AH$2:$AH$1001,0),0), INDEX($AO$1004:$BQ$1004,1,MATCH(COLUMNS($AO$1006:AT1006),$AO$1006:$BQ$1006,0)))),"Fix")))</f>
        <v>#N/A</v>
      </c>
      <c r="H246" s="5" t="e">
        <f ca="1">IF(OR(INDEX($AI$2:$AI$1001,MATCH(ROWS($AH$2:AH246),$AH$2:$AH$1001,0),1)&gt;=100000,INDEX($AO$1005:$BQ$1005,1,MATCH(COLUMNS($AO$1006:AU1006),$AO$1006:$BQ$1006,0))&gt;=100000), " ",IF(INDEX($AO$2:$BQ$1001,MATCH(ROWS($AH$2:AH246),$AH$2:$AH$1001,0),MATCH(COLUMNS($AO$1006:AU1006),$AO$1006:$BQ$1006,0)), HYPERLINK("#",""), HYPERLINK(CONCATENATE("#Metadata!", ADDRESS(INDEX($AJ$2:$AJ$1001,MATCH(ROWS($AH$2:AH246),$AH$2:$AH$1001,0),0), INDEX($AO$1004:$BQ$1004,1,MATCH(COLUMNS($AO$1006:AU1006),$AO$1006:$BQ$1006,0)))),"Fix")))</f>
        <v>#N/A</v>
      </c>
      <c r="I246" s="5" t="e">
        <f ca="1">IF(OR(INDEX($AI$2:$AI$1001,MATCH(ROWS($AH$2:AH246),$AH$2:$AH$1001,0),1)&gt;=100000,INDEX($AO$1005:$BQ$1005,1,MATCH(COLUMNS($AO$1006:AV1006),$AO$1006:$BQ$1006,0))&gt;=100000), " ",IF(INDEX($AO$2:$BQ$1001,MATCH(ROWS($AH$2:AH246),$AH$2:$AH$1001,0),MATCH(COLUMNS($AO$1006:AV1006),$AO$1006:$BQ$1006,0)), HYPERLINK("#",""), HYPERLINK(CONCATENATE("#Metadata!", ADDRESS(INDEX($AJ$2:$AJ$1001,MATCH(ROWS($AH$2:AH246),$AH$2:$AH$1001,0),0), INDEX($AO$1004:$BQ$1004,1,MATCH(COLUMNS($AO$1006:AV1006),$AO$1006:$BQ$1006,0)))),"Fix")))</f>
        <v>#N/A</v>
      </c>
      <c r="J246" s="5" t="e">
        <f ca="1">IF(OR(INDEX($AI$2:$AI$1001,MATCH(ROWS($AH$2:AH246),$AH$2:$AH$1001,0),1)&gt;=100000,INDEX($AO$1005:$BQ$1005,1,MATCH(COLUMNS($AO$1006:AW1006),$AO$1006:$BQ$1006,0))&gt;=100000), " ",IF(INDEX($AO$2:$BQ$1001,MATCH(ROWS($AH$2:AH246),$AH$2:$AH$1001,0),MATCH(COLUMNS($AO$1006:AW1006),$AO$1006:$BQ$1006,0)), HYPERLINK("#",""), HYPERLINK(CONCATENATE("#Metadata!", ADDRESS(INDEX($AJ$2:$AJ$1001,MATCH(ROWS($AH$2:AH246),$AH$2:$AH$1001,0),0), INDEX($AO$1004:$BQ$1004,1,MATCH(COLUMNS($AO$1006:AW1006),$AO$1006:$BQ$1006,0)))),"Fix")))</f>
        <v>#N/A</v>
      </c>
      <c r="K246" s="5" t="e">
        <f ca="1">IF(OR(INDEX($AI$2:$AI$1001,MATCH(ROWS($AH$2:AH246),$AH$2:$AH$1001,0),1)&gt;=100000,INDEX($AO$1005:$BQ$1005,1,MATCH(COLUMNS($AO$1006:AX1006),$AO$1006:$BQ$1006,0))&gt;=100000), " ",IF(INDEX($AO$2:$BQ$1001,MATCH(ROWS($AH$2:AH246),$AH$2:$AH$1001,0),MATCH(COLUMNS($AO$1006:AX1006),$AO$1006:$BQ$1006,0)), HYPERLINK("#",""), HYPERLINK(CONCATENATE("#Metadata!", ADDRESS(INDEX($AJ$2:$AJ$1001,MATCH(ROWS($AH$2:AH246),$AH$2:$AH$1001,0),0), INDEX($AO$1004:$BQ$1004,1,MATCH(COLUMNS($AO$1006:AX1006),$AO$1006:$BQ$1006,0)))),"Fix")))</f>
        <v>#N/A</v>
      </c>
      <c r="L246" s="5" t="e">
        <f ca="1">IF(OR(INDEX($AI$2:$AI$1001,MATCH(ROWS($AH$2:AH246),$AH$2:$AH$1001,0),1)&gt;=100000,INDEX($AO$1005:$BQ$1005,1,MATCH(COLUMNS($AO$1006:AY1006),$AO$1006:$BQ$1006,0))&gt;=100000), " ",IF(INDEX($AO$2:$BQ$1001,MATCH(ROWS($AH$2:AH246),$AH$2:$AH$1001,0),MATCH(COLUMNS($AO$1006:AY1006),$AO$1006:$BQ$1006,0)), HYPERLINK("#",""), HYPERLINK(CONCATENATE("#Metadata!", ADDRESS(INDEX($AJ$2:$AJ$1001,MATCH(ROWS($AH$2:AH246),$AH$2:$AH$1001,0),0), INDEX($AO$1004:$BQ$1004,1,MATCH(COLUMNS($AO$1006:AY1006),$AO$1006:$BQ$1006,0)))),"Fix")))</f>
        <v>#N/A</v>
      </c>
      <c r="M246" s="5" t="e">
        <f ca="1">IF(OR(INDEX($AI$2:$AI$1001,MATCH(ROWS($AH$2:AH246),$AH$2:$AH$1001,0),1)&gt;=100000,INDEX($AO$1005:$BQ$1005,1,MATCH(COLUMNS($AO$1006:AZ1006),$AO$1006:$BQ$1006,0))&gt;=100000), " ",IF(INDEX($AO$2:$BQ$1001,MATCH(ROWS($AH$2:AH246),$AH$2:$AH$1001,0),MATCH(COLUMNS($AO$1006:AZ1006),$AO$1006:$BQ$1006,0)), HYPERLINK("#",""), HYPERLINK(CONCATENATE("#Metadata!", ADDRESS(INDEX($AJ$2:$AJ$1001,MATCH(ROWS($AH$2:AH246),$AH$2:$AH$1001,0),0), INDEX($AO$1004:$BQ$1004,1,MATCH(COLUMNS($AO$1006:AZ1006),$AO$1006:$BQ$1006,0)))),"Fix")))</f>
        <v>#N/A</v>
      </c>
      <c r="N246" s="5" t="e">
        <f ca="1">IF(OR(INDEX($AI$2:$AI$1001,MATCH(ROWS($AH$2:AH246),$AH$2:$AH$1001,0),1)&gt;=100000,INDEX($AO$1005:$BQ$1005,1,MATCH(COLUMNS($AO$1006:BA1006),$AO$1006:$BQ$1006,0))&gt;=100000), " ",IF(INDEX($AO$2:$BQ$1001,MATCH(ROWS($AH$2:AH246),$AH$2:$AH$1001,0),MATCH(COLUMNS($AO$1006:BA1006),$AO$1006:$BQ$1006,0)), HYPERLINK("#",""), HYPERLINK(CONCATENATE("#Metadata!", ADDRESS(INDEX($AJ$2:$AJ$1001,MATCH(ROWS($AH$2:AH246),$AH$2:$AH$1001,0),0), INDEX($AO$1004:$BQ$1004,1,MATCH(COLUMNS($AO$1006:BA1006),$AO$1006:$BQ$1006,0)))),"Fix")))</f>
        <v>#N/A</v>
      </c>
      <c r="O246" s="5" t="e">
        <f ca="1">IF(OR(INDEX($AI$2:$AI$1001,MATCH(ROWS($AH$2:AH246),$AH$2:$AH$1001,0),1)&gt;=100000,INDEX($AO$1005:$BQ$1005,1,MATCH(COLUMNS($AO$1006:BB1006),$AO$1006:$BQ$1006,0))&gt;=100000), " ",IF(INDEX($AO$2:$BQ$1001,MATCH(ROWS($AH$2:AH246),$AH$2:$AH$1001,0),MATCH(COLUMNS($AO$1006:BB1006),$AO$1006:$BQ$1006,0)), HYPERLINK("#",""), HYPERLINK(CONCATENATE("#Metadata!", ADDRESS(INDEX($AJ$2:$AJ$1001,MATCH(ROWS($AH$2:AH246),$AH$2:$AH$1001,0),0), INDEX($AO$1004:$BQ$1004,1,MATCH(COLUMNS($AO$1006:BB1006),$AO$1006:$BQ$1006,0)))),"Fix")))</f>
        <v>#N/A</v>
      </c>
      <c r="P246" s="5" t="e">
        <f ca="1">IF(OR(INDEX($AI$2:$AI$1001,MATCH(ROWS($AH$2:AH246),$AH$2:$AH$1001,0),1)&gt;=100000,INDEX($AO$1005:$BQ$1005,1,MATCH(COLUMNS($AO$1006:BC1006),$AO$1006:$BQ$1006,0))&gt;=100000), " ",IF(INDEX($AO$2:$BQ$1001,MATCH(ROWS($AH$2:AH246),$AH$2:$AH$1001,0),MATCH(COLUMNS($AO$1006:BC1006),$AO$1006:$BQ$1006,0)), HYPERLINK("#",""), HYPERLINK(CONCATENATE("#Metadata!", ADDRESS(INDEX($AJ$2:$AJ$1001,MATCH(ROWS($AH$2:AH246),$AH$2:$AH$1001,0),0), INDEX($AO$1004:$BQ$1004,1,MATCH(COLUMNS($AO$1006:BC1006),$AO$1006:$BQ$1006,0)))),"Fix")))</f>
        <v>#N/A</v>
      </c>
      <c r="Q246" s="5" t="e">
        <f ca="1">IF(OR(INDEX($AI$2:$AI$1001,MATCH(ROWS($AH$2:AH246),$AH$2:$AH$1001,0),1)&gt;=100000,INDEX($AO$1005:$BQ$1005,1,MATCH(COLUMNS($AO$1006:BD1006),$AO$1006:$BQ$1006,0))&gt;=100000), " ",IF(INDEX($AO$2:$BQ$1001,MATCH(ROWS($AH$2:AH246),$AH$2:$AH$1001,0),MATCH(COLUMNS($AO$1006:BD1006),$AO$1006:$BQ$1006,0)), HYPERLINK("#",""), HYPERLINK(CONCATENATE("#Metadata!", ADDRESS(INDEX($AJ$2:$AJ$1001,MATCH(ROWS($AH$2:AH246),$AH$2:$AH$1001,0),0), INDEX($AO$1004:$BQ$1004,1,MATCH(COLUMNS($AO$1006:BD1006),$AO$1006:$BQ$1006,0)))),"Fix")))</f>
        <v>#N/A</v>
      </c>
      <c r="R246" s="5" t="e">
        <f ca="1">IF(OR(INDEX($AI$2:$AI$1001,MATCH(ROWS($AH$2:AH246),$AH$2:$AH$1001,0),1)&gt;=100000,INDEX($AO$1005:$BQ$1005,1,MATCH(COLUMNS($AO$1006:BE1006),$AO$1006:$BQ$1006,0))&gt;=100000), " ",IF(INDEX($AO$2:$BQ$1001,MATCH(ROWS($AH$2:AH246),$AH$2:$AH$1001,0),MATCH(COLUMNS($AO$1006:BE1006),$AO$1006:$BQ$1006,0)), HYPERLINK("#",""), HYPERLINK(CONCATENATE("#Metadata!", ADDRESS(INDEX($AJ$2:$AJ$1001,MATCH(ROWS($AH$2:AH246),$AH$2:$AH$1001,0),0), INDEX($AO$1004:$BQ$1004,1,MATCH(COLUMNS($AO$1006:BE1006),$AO$1006:$BQ$1006,0)))),"Fix")))</f>
        <v>#N/A</v>
      </c>
      <c r="S246" s="5" t="e">
        <f ca="1">IF(OR(INDEX($AI$2:$AI$1001,MATCH(ROWS($AH$2:AH246),$AH$2:$AH$1001,0),1)&gt;=100000,INDEX($AO$1005:$BQ$1005,1,MATCH(COLUMNS($AO$1006:BF1006),$AO$1006:$BQ$1006,0))&gt;=100000), " ",IF(INDEX($AO$2:$BQ$1001,MATCH(ROWS($AH$2:AH246),$AH$2:$AH$1001,0),MATCH(COLUMNS($AO$1006:BF1006),$AO$1006:$BQ$1006,0)), HYPERLINK("#",""), HYPERLINK(CONCATENATE("#Metadata!", ADDRESS(INDEX($AJ$2:$AJ$1001,MATCH(ROWS($AH$2:AH246),$AH$2:$AH$1001,0),0), INDEX($AO$1004:$BQ$1004,1,MATCH(COLUMNS($AO$1006:BF1006),$AO$1006:$BQ$1006,0)))),"Fix")))</f>
        <v>#N/A</v>
      </c>
      <c r="T246" s="5" t="e">
        <f ca="1">IF(OR(INDEX($AI$2:$AI$1001,MATCH(ROWS($AH$2:AH246),$AH$2:$AH$1001,0),1)&gt;=100000,INDEX($AO$1005:$BQ$1005,1,MATCH(COLUMNS($AO$1006:BG1006),$AO$1006:$BQ$1006,0))&gt;=100000), " ",IF(INDEX($AO$2:$BQ$1001,MATCH(ROWS($AH$2:AH246),$AH$2:$AH$1001,0),MATCH(COLUMNS($AO$1006:BG1006),$AO$1006:$BQ$1006,0)), HYPERLINK("#",""), HYPERLINK(CONCATENATE("#Metadata!", ADDRESS(INDEX($AJ$2:$AJ$1001,MATCH(ROWS($AH$2:AH246),$AH$2:$AH$1001,0),0), INDEX($AO$1004:$BQ$1004,1,MATCH(COLUMNS($AO$1006:BG1006),$AO$1006:$BQ$1006,0)))),"Fix")))</f>
        <v>#N/A</v>
      </c>
      <c r="U246" s="5" t="e">
        <f ca="1">IF(OR(INDEX($AI$2:$AI$1001,MATCH(ROWS($AH$2:AH246),$AH$2:$AH$1001,0),1)&gt;=100000,INDEX($AO$1005:$BQ$1005,1,MATCH(COLUMNS($AO$1006:BH1006),$AO$1006:$BQ$1006,0))&gt;=100000), " ",IF(INDEX($AO$2:$BQ$1001,MATCH(ROWS($AH$2:AH246),$AH$2:$AH$1001,0),MATCH(COLUMNS($AO$1006:BH1006),$AO$1006:$BQ$1006,0)), HYPERLINK("#",""), HYPERLINK(CONCATENATE("#Metadata!", ADDRESS(INDEX($AJ$2:$AJ$1001,MATCH(ROWS($AH$2:AH246),$AH$2:$AH$1001,0),0), INDEX($AO$1004:$BQ$1004,1,MATCH(COLUMNS($AO$1006:BH1006),$AO$1006:$BQ$1006,0)))),"Fix")))</f>
        <v>#N/A</v>
      </c>
      <c r="V246" s="5" t="e">
        <f ca="1">IF(OR(INDEX($AI$2:$AI$1001,MATCH(ROWS($AH$2:AH246),$AH$2:$AH$1001,0),1)&gt;=100000,INDEX($AO$1005:$BQ$1005,1,MATCH(COLUMNS($AO$1006:BI1006),$AO$1006:$BQ$1006,0))&gt;=100000), " ",IF(INDEX($AO$2:$BQ$1001,MATCH(ROWS($AH$2:AH246),$AH$2:$AH$1001,0),MATCH(COLUMNS($AO$1006:BI1006),$AO$1006:$BQ$1006,0)), HYPERLINK("#",""), HYPERLINK(CONCATENATE("#Metadata!", ADDRESS(INDEX($AJ$2:$AJ$1001,MATCH(ROWS($AH$2:AH246),$AH$2:$AH$1001,0),0), INDEX($AO$1004:$BQ$1004,1,MATCH(COLUMNS($AO$1006:BI1006),$AO$1006:$BQ$1006,0)))),"Fix")))</f>
        <v>#N/A</v>
      </c>
      <c r="W246" s="5" t="e">
        <f ca="1">IF(OR(INDEX($AI$2:$AI$1001,MATCH(ROWS($AH$2:AH246),$AH$2:$AH$1001,0),1)&gt;=100000,INDEX($AO$1005:$BQ$1005,1,MATCH(COLUMNS($AO$1006:BJ1006),$AO$1006:$BQ$1006,0))&gt;=100000), " ",IF(INDEX($AO$2:$BQ$1001,MATCH(ROWS($AH$2:AH246),$AH$2:$AH$1001,0),MATCH(COLUMNS($AO$1006:BJ1006),$AO$1006:$BQ$1006,0)), HYPERLINK("#",""), HYPERLINK(CONCATENATE("#Metadata!", ADDRESS(INDEX($AJ$2:$AJ$1001,MATCH(ROWS($AH$2:AH246),$AH$2:$AH$1001,0),0), INDEX($AO$1004:$BQ$1004,1,MATCH(COLUMNS($AO$1006:BJ1006),$AO$1006:$BQ$1006,0)))),"Fix")))</f>
        <v>#N/A</v>
      </c>
      <c r="X246" s="5" t="e">
        <f ca="1">IF(OR(INDEX($AI$2:$AI$1001,MATCH(ROWS($AH$2:AH246),$AH$2:$AH$1001,0),1)&gt;=100000,INDEX($AO$1005:$BQ$1005,1,MATCH(COLUMNS($AO$1006:BK1006),$AO$1006:$BQ$1006,0))&gt;=100000), " ",IF(INDEX($AO$2:$BQ$1001,MATCH(ROWS($AH$2:AH246),$AH$2:$AH$1001,0),MATCH(COLUMNS($AO$1006:BK1006),$AO$1006:$BQ$1006,0)), HYPERLINK("#",""), HYPERLINK(CONCATENATE("#Metadata!", ADDRESS(INDEX($AJ$2:$AJ$1001,MATCH(ROWS($AH$2:AH246),$AH$2:$AH$1001,0),0), INDEX($AO$1004:$BQ$1004,1,MATCH(COLUMNS($AO$1006:BK1006),$AO$1006:$BQ$1006,0)))),"Fix")))</f>
        <v>#N/A</v>
      </c>
      <c r="Y246" s="5" t="e">
        <f ca="1">IF(OR(INDEX($AI$2:$AI$1001,MATCH(ROWS($AH$2:AH246),$AH$2:$AH$1001,0),1)&gt;=100000,INDEX($AO$1005:$BQ$1005,1,MATCH(COLUMNS($AO$1006:BL1006),$AO$1006:$BQ$1006,0))&gt;=100000), " ",IF(INDEX($AO$2:$BQ$1001,MATCH(ROWS($AH$2:AH246),$AH$2:$AH$1001,0),MATCH(COLUMNS($AO$1006:BL1006),$AO$1006:$BQ$1006,0)), HYPERLINK("#",""), HYPERLINK(CONCATENATE("#Metadata!", ADDRESS(INDEX($AJ$2:$AJ$1001,MATCH(ROWS($AH$2:AH246),$AH$2:$AH$1001,0),0), INDEX($AO$1004:$BQ$1004,1,MATCH(COLUMNS($AO$1006:BL1006),$AO$1006:$BQ$1006,0)))),"Fix")))</f>
        <v>#N/A</v>
      </c>
      <c r="Z246" s="5" t="e">
        <f ca="1">IF(OR(INDEX($AI$2:$AI$1001,MATCH(ROWS($AH$2:AH246),$AH$2:$AH$1001,0),1)&gt;=100000,INDEX($AO$1005:$BQ$1005,1,MATCH(COLUMNS($AO$1006:BM1006),$AO$1006:$BQ$1006,0))&gt;=100000), " ",IF(INDEX($AO$2:$BQ$1001,MATCH(ROWS($AH$2:AH246),$AH$2:$AH$1001,0),MATCH(COLUMNS($AO$1006:BM1006),$AO$1006:$BQ$1006,0)), HYPERLINK("#",""), HYPERLINK(CONCATENATE("#Metadata!", ADDRESS(INDEX($AJ$2:$AJ$1001,MATCH(ROWS($AH$2:AH246),$AH$2:$AH$1001,0),0), INDEX($AO$1004:$BQ$1004,1,MATCH(COLUMNS($AO$1006:BM1006),$AO$1006:$BQ$1006,0)))),"Fix")))</f>
        <v>#N/A</v>
      </c>
      <c r="AA246" s="5" t="e">
        <f ca="1">IF(OR(INDEX($AI$2:$AI$1001,MATCH(ROWS($AH$2:AH246),$AH$2:$AH$1001,0),1)&gt;=100000,INDEX($AO$1005:$BQ$1005,1,MATCH(COLUMNS($AO$1006:BN1006),$AO$1006:$BQ$1006,0))&gt;=100000), " ",IF(INDEX($AO$2:$BQ$1001,MATCH(ROWS($AH$2:AH246),$AH$2:$AH$1001,0),MATCH(COLUMNS($AO$1006:BN1006),$AO$1006:$BQ$1006,0)), HYPERLINK("#",""), HYPERLINK(CONCATENATE("#Metadata!", ADDRESS(INDEX($AJ$2:$AJ$1001,MATCH(ROWS($AH$2:AH246),$AH$2:$AH$1001,0),0), INDEX($AO$1004:$BQ$1004,1,MATCH(COLUMNS($AO$1006:BN1006),$AO$1006:$BQ$1006,0)))),"Fix")))</f>
        <v>#N/A</v>
      </c>
      <c r="AB246" s="5" t="e">
        <f ca="1">IF(OR(INDEX($AI$2:$AI$1001,MATCH(ROWS($AH$2:AH246),$AH$2:$AH$1001,0),1)&gt;=100000,INDEX($AO$1005:$BQ$1005,1,MATCH(COLUMNS($AO$1006:BO1006),$AO$1006:$BQ$1006,0))&gt;=100000), " ",IF(INDEX($AO$2:$BQ$1001,MATCH(ROWS($AH$2:AH246),$AH$2:$AH$1001,0),MATCH(COLUMNS($AO$1006:BO1006),$AO$1006:$BQ$1006,0)), HYPERLINK("#",""), HYPERLINK(CONCATENATE("#Metadata!", ADDRESS(INDEX($AJ$2:$AJ$1001,MATCH(ROWS($AH$2:AH246),$AH$2:$AH$1001,0),0), INDEX($AO$1004:$BQ$1004,1,MATCH(COLUMNS($AO$1006:BO1006),$AO$1006:$BQ$1006,0)))),"Fix")))</f>
        <v>#N/A</v>
      </c>
      <c r="AC246" s="5" t="e">
        <f ca="1">IF(OR(INDEX($AI$2:$AI$1001,MATCH(ROWS($AH$2:AH246),$AH$2:$AH$1001,0),1)&gt;=100000,INDEX($AO$1005:$BQ$1005,1,MATCH(COLUMNS($AO$1006:BP1006),$AO$1006:$BQ$1006,0))&gt;=100000), " ",IF(INDEX($AO$2:$BQ$1001,MATCH(ROWS($AH$2:AH246),$AH$2:$AH$1001,0),MATCH(COLUMNS($AO$1006:BP1006),$AO$1006:$BQ$1006,0)), HYPERLINK("#",""), HYPERLINK(CONCATENATE("#Metadata!", ADDRESS(INDEX($AJ$2:$AJ$1001,MATCH(ROWS($AH$2:AH246),$AH$2:$AH$1001,0),0), INDEX($AO$1004:$BQ$1004,1,MATCH(COLUMNS($AO$1006:BP1006),$AO$1006:$BQ$1006,0)))),"Fix")))</f>
        <v>#N/A</v>
      </c>
      <c r="AD246" s="5" t="e">
        <f ca="1">IF(OR(INDEX($AI$2:$AI$1001,MATCH(ROWS($AH$2:AH246),$AH$2:$AH$1001,0),1)&gt;=100000,INDEX($AO$1005:$BQ$1005,1,MATCH(COLUMNS($AO$1006:BQ1006),$AO$1006:$BQ$1006,0))&gt;=100000), " ",IF(INDEX($AO$2:$BQ$1001,MATCH(ROWS($AH$2:AH246),$AH$2:$AH$1001,0),MATCH(COLUMNS($AO$1006:BQ1006),$AO$1006:$BQ$1006,0)), HYPERLINK("#",""), HYPERLINK(CONCATENATE("#Metadata!", ADDRESS(INDEX($AJ$2:$AJ$1001,MATCH(ROWS($AH$2:AH246),$AH$2:$AH$1001,0),0), INDEX($AO$1004:$BQ$1004,1,MATCH(COLUMNS($AO$1006:BQ1006),$AO$1006:$BQ$1006,0)))),"Fix")))</f>
        <v>#REF!</v>
      </c>
      <c r="AH246">
        <f ca="1"/>
        <v>243</v>
      </c>
      <c r="AI246">
        <v>100246</v>
      </c>
      <c r="AJ246">
        <v>246</v>
      </c>
      <c r="AK246" t="b">
        <f t="shared" si="3"/>
        <v>1</v>
      </c>
      <c r="AL246" t="b">
        <f>COUNTBLANK(Metadata!B246:AD246)=COLUMNS(Metadata!B246:AD246)</f>
        <v>1</v>
      </c>
      <c r="AM246" t="str">
        <v/>
      </c>
      <c r="AO246" t="b">
        <f ca="1">AND(IF(Metadata!B246="",FALSE,TRUE),COUNTIF(Metadata!B:B, Metadata!B246) = 1,NOT(ISERROR(SUMPRODUCT(SEARCH(MID(Metadata!B246,ROW(INDIRECT("1:"&amp;LEN(Metadata!B246))), 1),"0123456789abcdefghijklmnopqrstuvwxyzABCDEFGHIJKLMNOPQRSTUVWXYZ.")))))</f>
        <v>0</v>
      </c>
      <c r="AP246" t="b">
        <f>IF(Metadata!C246="",FALSE,TRUE)</f>
        <v>0</v>
      </c>
      <c r="AQ246" t="b">
        <f>IF(Metadata!D246="",FALSE,TRUE)</f>
        <v>0</v>
      </c>
      <c r="AR246" t="b">
        <f ca="1">OR(AND(IF(Metadata!E246="",FALSE,TRUE),OR(EXACT(Metadata!E246,"not collected"),EXACT(Metadata!E246,"not provided"),EXACT(Metadata!E246,"restricted access"))),AND(IF(Metadata!E246="",FALSE,TRUE),AND(AND(IFERROR(INT(LEFT(Metadata!E246,4))&gt;1900,FALSE),IFERROR(INT(LEFT(Metadata!E246,4))&lt;=YEAR(NOW()),FALSE)), OR(MID(Metadata!E246,5,1)="", AND(AND(MID(Metadata!E246,5,1)="-",IFERROR(INT(MID(Metadata!E246,6,1))&gt;=0,FALSE),IFERROR(INT(MID(Metadata!E246,6,1))&lt;=1,FALSE),NOT(MID(Metadata!E246,7,1)=""),IFERROR(INT(MID(Metadata!E246,6,2))&gt;=1,FALSE),IFERROR(INT(MID(Metadata!E246,6,2))&lt;=12,FALSE)), OR(MID(Metadata!E246,8,1)="", AND(AND(MID(Metadata!E246,8,1)="-",IFERROR(INT(MID(Metadata!E246,9,1))&gt;=0,FALSE),IFERROR(INT(MID(Metadata!E246,9,1))&lt;=3,FALSE),NOT(MID(Metadata!E246,10,1)=""),IFERROR(INT(MID(Metadata!E246,9,2))&gt;=1,FALSE),IFERROR(INT(MID(Metadata!E246,9,2))&lt;=31,FALSE)), OR(MID(Metadata!E246,11,1)="", AND(AND(MID(Metadata!E246,11,1)=" ",IFERROR(INT(MID(Metadata!E246,12,1))&gt;=0,FALSE),IFERROR(INT(MID(Metadata!E246,12,1))&lt;=2,FALSE),NOT(MID(Metadata!E246,13,1)=""),IFERROR(INT(MID(Metadata!E246,12,2))&gt;=0,FALSE),IFERROR(INT(MID(Metadata!E246,12,2))&lt;=23,FALSE)), OR(MID(Metadata!E246,14,1)="", AND(AND(MID(Metadata!E246,14,1)=":",IFERROR(INT(MID(Metadata!E246,15,1))&gt;=0,FALSE),IFERROR(INT(MID(Metadata!E246,15,1))&lt;=5,FALSE),NOT(MID(Metadata!E246,16,1)=""),IFERROR(INT(MID(Metadata!E246,15,2))&gt;=0,FALSE),IFERROR(INT(MID(Metadata!E246,15,2))&lt;=59,FALSE)), OR(MID(Metadata!E246,17,1)="", AND(AND(MID(Metadata!E246,17,1)=":",IFERROR(INT(MID(Metadata!E246,18,1))&gt;=0,FALSE),IFERROR(INT(MID(Metadata!E246,18,1))&lt;=5,FALSE),NOT(MID(Metadata!E246,19,1)=""),IFERROR(INT(MID(Metadata!E246,18,2))&gt;=0,FALSE),IFERROR(INT(MID(Metadata!E246,18,2))&lt;=59,FALSE)), LEN(Metadata!E246)&lt;=19)))))))))))))</f>
        <v>0</v>
      </c>
      <c r="AS246" t="b">
        <f>IF(Metadata!F246="",FALSE,TRUE)</f>
        <v>0</v>
      </c>
      <c r="AT246" t="b">
        <f>OR(AND(IF(Metadata!G246="",FALSE,TRUE),OR(EXACT(Metadata!G246,"not collected"),EXACT(Metadata!G246,"not provided"))),AND(IF(Metadata!G246="",FALSE,TRUE),OR(EXACT(Metadata!G246,"TRUE"),EXACT(Metadata!G246,"FALSE"))))</f>
        <v>0</v>
      </c>
      <c r="AU246" t="b">
        <f>OR(AND(IF(Metadata!H246="",FALSE,TRUE),OR(EXACT(Metadata!H246,"not collected"),EXACT(Metadata!H246,"not provided"),EXACT(Metadata!H246,"restricted access"))),AND(IF(Metadata!H246="",FALSE,ISNUMBER(VALUE(Metadata!H246))),Metadata!H246&gt;=-413))</f>
        <v>0</v>
      </c>
      <c r="AV246" t="b">
        <f>AND(IF(Metadata!I246="",FALSE,TRUE),EXACT(Metadata!I246,"meters"))</f>
        <v>0</v>
      </c>
      <c r="AW246" t="b">
        <f>AND(IF(Metadata!J246="",FALSE,TRUE),EXACT(Metadata!J246,"free-living"))</f>
        <v>0</v>
      </c>
      <c r="AX246" t="b">
        <f>AND(IF(Metadata!K246="",FALSE,TRUE),OR(EXACT(Metadata!K246,"saline"),EXACT(Metadata!K246,"non-saline")))</f>
        <v>0</v>
      </c>
      <c r="AY246" t="b">
        <f>AND(IF(Metadata!L246="",FALSE,TRUE),OR(EXACT(Metadata!L246,"sub-surface (non-saline)"),EXACT(Metadata!L246,"surface (non-saline)"),EXACT(Metadata!L246,"water (non-saline)"),EXACT(Metadata!L246,"soil (non-saline)"),EXACT(Metadata!L246,"aerosol (non-saline)"),EXACT(Metadata!L246,"sediment (non-saline)"),EXACT(Metadata!L246,"surface (saline)"),EXACT(Metadata!L246,"water (saline)"),EXACT(Metadata!L246,"hypersaline (saline)"),EXACT(Metadata!L246,"aerosol (saline)"),EXACT(Metadata!L246,"sediment (saline)")))</f>
        <v>0</v>
      </c>
      <c r="AZ246" t="b">
        <f>IF(Metadata!M246="",FALSE,TRUE)</f>
        <v>0</v>
      </c>
      <c r="BA246" t="b">
        <f>IF(Metadata!N246="",FALSE,TRUE)</f>
        <v>0</v>
      </c>
      <c r="BB246" t="b">
        <f>IF(Metadata!O246="",FALSE,TRUE)</f>
        <v>0</v>
      </c>
      <c r="BC246" t="b">
        <f>AND(IF(Metadata!P246="",FALSE,TRUE),OR(EXACT(Metadata!P246,"air"),EXACT(Metadata!P246,"microbial mat/biofilm"),EXACT(Metadata!P246,"misc environment"),EXACT(Metadata!P246,"sediment"),EXACT(Metadata!P246,"soil"),EXACT(Metadata!P246,"wastewater/sludge"),EXACT(Metadata!P246,"water")))</f>
        <v>0</v>
      </c>
      <c r="BD246" t="b">
        <f>IF(Metadata!Q246="",FALSE,TRUE)</f>
        <v>0</v>
      </c>
      <c r="BE246" t="b">
        <f>IF(Metadata!R246="",FALSE,TRUE)</f>
        <v>0</v>
      </c>
      <c r="BF246" t="b">
        <f>OR(AND(IF(Metadata!S246="",FALSE,TRUE),OR(EXACT(Metadata!S246,"not collected"),EXACT(Metadata!S246,"not provided"),EXACT(Metadata!S246,"restricted access"))),AND(IF(Metadata!S246="",FALSE,ISNUMBER(VALUE(Metadata!S246))),Metadata!S246&gt;=-90,Metadata!S246&lt;=90))</f>
        <v>0</v>
      </c>
      <c r="BG246" t="b">
        <f>AND(IF(Metadata!T246="",FALSE,TRUE),EXACT(Metadata!T246,"Decimal degrees"))</f>
        <v>0</v>
      </c>
      <c r="BH246" t="b">
        <f>OR(AND(IF(Metadata!U246="",FALSE,TRUE),OR(EXACT(Metadata!U246,"not applicable"),EXACT(Metadata!U246,"not collected"))),IF(Metadata!U246="",FALSE,TRUE))</f>
        <v>0</v>
      </c>
      <c r="BI246" t="b">
        <f>OR(AND(IF(Metadata!V246="",FALSE,TRUE),OR(EXACT(Metadata!V246,"not collected"),EXACT(Metadata!V246,"not provided"),EXACT(Metadata!V246,"restricted access"))),AND(IF(Metadata!V246="",FALSE,ISNUMBER(VALUE(Metadata!V246))),Metadata!V246&gt;=-180,Metadata!V246&lt;=180))</f>
        <v>0</v>
      </c>
      <c r="BJ246" t="b">
        <f>AND(IF(Metadata!W246="",FALSE,TRUE),EXACT(Metadata!W246,"Decimal degrees"))</f>
        <v>0</v>
      </c>
      <c r="BK246" t="b">
        <f>IF(Metadata!X246="",FALSE,TRUE)</f>
        <v>0</v>
      </c>
      <c r="BL246" t="b">
        <f>OR(AND(IF(Metadata!Y246="",FALSE,TRUE),OR(EXACT(Metadata!Y246,"not collected"),EXACT(Metadata!Y246,"not provided"),EXACT(Metadata!Y246,"restricted access"))),AND(IF(Metadata!Y246="",FALSE,TRUE),OR(EXACT(Metadata!Y246,"TRUE"),EXACT(Metadata!Y246,"FALSE"))))</f>
        <v>0</v>
      </c>
      <c r="BM246" t="b">
        <f>OR(AND(IF(Metadata!Z246="",FALSE,TRUE),EXACT(Metadata!Z246,"not applicable")),AND(IF(Metadata!Z246="",FALSE,TRUE),OR(EXACT(Metadata!Z246,"beer"),EXACT(Metadata!Z246,"cheese"),EXACT(Metadata!Z246,"fresh water"),EXACT(Metadata!Z246,"marine sediment"),EXACT(Metadata!Z246,"sea water"),EXACT(Metadata!Z246,"sediment"),EXACT(Metadata!Z246,"soil"),EXACT(Metadata!Z246,"waste water"))))</f>
        <v>0</v>
      </c>
      <c r="BN246" t="b">
        <f>AND(IF(Metadata!AA246="",FALSE,TRUE),EXACT(Metadata!AA246,"metagenome"))</f>
        <v>0</v>
      </c>
      <c r="BO246" t="b">
        <f>AND(IF(Metadata!AB246="",FALSE,TRUE),EXACT(Metadata!AB246,"256318"))</f>
        <v>0</v>
      </c>
      <c r="BP246" t="b">
        <f>IF(Metadata!AC246="",FALSE,TRUE)</f>
        <v>0</v>
      </c>
      <c r="BQ246" t="b">
        <f>IF(Metadata!AD246="",FALSE,TRUE)</f>
        <v>0</v>
      </c>
    </row>
    <row r="247" spans="1:69" x14ac:dyDescent="0.2">
      <c r="A247" s="4" t="e">
        <f ca="1">IF(B247=" "," ",HYPERLINK(CONCATENATE("#metadata!",ADDRESS(INDEX($AJ$2:$AJ$1001,MATCH(ROWS($AH$2:AH247),$AH$2:$AH$1001,0),0),2)),INDEX($AM$2:$AM$1001,MATCH(ROWS($AH$2:AH247),$AH$2:$AH$1001,0),0)))</f>
        <v>#N/A</v>
      </c>
      <c r="B247" s="5" t="e">
        <f ca="1">IF(OR(INDEX($AI$2:$AI$1001,MATCH(ROWS($AH$2:AH247),$AH$2:$AH$1001,0),1)&gt;=100000,INDEX($AO$1005:$BQ$1005,1,MATCH(COLUMNS($AO$1006:AO1006),$AO$1006:$BQ$1006,0))&gt;=100000), " ",IF(INDEX($AO$2:$BQ$1001,MATCH(ROWS($AH$2:AH247),$AH$2:$AH$1001,0),MATCH(COLUMNS($AO$1006:AO1006),$AO$1006:$BQ$1006,0)), HYPERLINK("#",""), HYPERLINK(CONCATENATE("#Metadata!", ADDRESS(INDEX($AJ$2:$AJ$1001,MATCH(ROWS($AH$2:AH247),$AH$2:$AH$1001,0),0), INDEX($AO$1004:$BQ$1004,1,MATCH(COLUMNS($AO$1006:AO1006),$AO$1006:$BQ$1006,0)))),"Fix")))</f>
        <v>#N/A</v>
      </c>
      <c r="C247" s="5" t="e">
        <f ca="1">IF(OR(INDEX($AI$2:$AI$1001,MATCH(ROWS($AH$2:AH247),$AH$2:$AH$1001,0),1)&gt;=100000,INDEX($AO$1005:$BQ$1005,1,MATCH(COLUMNS($AO$1006:AP1006),$AO$1006:$BQ$1006,0))&gt;=100000), " ",IF(INDEX($AO$2:$BQ$1001,MATCH(ROWS($AH$2:AH247),$AH$2:$AH$1001,0),MATCH(COLUMNS($AO$1006:AP1006),$AO$1006:$BQ$1006,0)), HYPERLINK("#",""), HYPERLINK(CONCATENATE("#Metadata!", ADDRESS(INDEX($AJ$2:$AJ$1001,MATCH(ROWS($AH$2:AH247),$AH$2:$AH$1001,0),0), INDEX($AO$1004:$BQ$1004,1,MATCH(COLUMNS($AO$1006:AP1006),$AO$1006:$BQ$1006,0)))),"Fix")))</f>
        <v>#N/A</v>
      </c>
      <c r="D247" s="5" t="e">
        <f ca="1">IF(OR(INDEX($AI$2:$AI$1001,MATCH(ROWS($AH$2:AH247),$AH$2:$AH$1001,0),1)&gt;=100000,INDEX($AO$1005:$BQ$1005,1,MATCH(COLUMNS($AO$1006:AQ1006),$AO$1006:$BQ$1006,0))&gt;=100000), " ",IF(INDEX($AO$2:$BQ$1001,MATCH(ROWS($AH$2:AH247),$AH$2:$AH$1001,0),MATCH(COLUMNS($AO$1006:AQ1006),$AO$1006:$BQ$1006,0)), HYPERLINK("#",""), HYPERLINK(CONCATENATE("#Metadata!", ADDRESS(INDEX($AJ$2:$AJ$1001,MATCH(ROWS($AH$2:AH247),$AH$2:$AH$1001,0),0), INDEX($AO$1004:$BQ$1004,1,MATCH(COLUMNS($AO$1006:AQ1006),$AO$1006:$BQ$1006,0)))),"Fix")))</f>
        <v>#N/A</v>
      </c>
      <c r="E247" s="5" t="e">
        <f ca="1">IF(OR(INDEX($AI$2:$AI$1001,MATCH(ROWS($AH$2:AH247),$AH$2:$AH$1001,0),1)&gt;=100000,INDEX($AO$1005:$BQ$1005,1,MATCH(COLUMNS($AO$1006:AR1006),$AO$1006:$BQ$1006,0))&gt;=100000), " ",IF(INDEX($AO$2:$BQ$1001,MATCH(ROWS($AH$2:AH247),$AH$2:$AH$1001,0),MATCH(COLUMNS($AO$1006:AR1006),$AO$1006:$BQ$1006,0)), HYPERLINK("#",""), HYPERLINK(CONCATENATE("#Metadata!", ADDRESS(INDEX($AJ$2:$AJ$1001,MATCH(ROWS($AH$2:AH247),$AH$2:$AH$1001,0),0), INDEX($AO$1004:$BQ$1004,1,MATCH(COLUMNS($AO$1006:AR1006),$AO$1006:$BQ$1006,0)))),"Fix")))</f>
        <v>#N/A</v>
      </c>
      <c r="F247" s="5" t="e">
        <f ca="1">IF(OR(INDEX($AI$2:$AI$1001,MATCH(ROWS($AH$2:AH247),$AH$2:$AH$1001,0),1)&gt;=100000,INDEX($AO$1005:$BQ$1005,1,MATCH(COLUMNS($AO$1006:AS1006),$AO$1006:$BQ$1006,0))&gt;=100000), " ",IF(INDEX($AO$2:$BQ$1001,MATCH(ROWS($AH$2:AH247),$AH$2:$AH$1001,0),MATCH(COLUMNS($AO$1006:AS1006),$AO$1006:$BQ$1006,0)), HYPERLINK("#",""), HYPERLINK(CONCATENATE("#Metadata!", ADDRESS(INDEX($AJ$2:$AJ$1001,MATCH(ROWS($AH$2:AH247),$AH$2:$AH$1001,0),0), INDEX($AO$1004:$BQ$1004,1,MATCH(COLUMNS($AO$1006:AS1006),$AO$1006:$BQ$1006,0)))),"Fix")))</f>
        <v>#N/A</v>
      </c>
      <c r="G247" s="5" t="e">
        <f ca="1">IF(OR(INDEX($AI$2:$AI$1001,MATCH(ROWS($AH$2:AH247),$AH$2:$AH$1001,0),1)&gt;=100000,INDEX($AO$1005:$BQ$1005,1,MATCH(COLUMNS($AO$1006:AT1006),$AO$1006:$BQ$1006,0))&gt;=100000), " ",IF(INDEX($AO$2:$BQ$1001,MATCH(ROWS($AH$2:AH247),$AH$2:$AH$1001,0),MATCH(COLUMNS($AO$1006:AT1006),$AO$1006:$BQ$1006,0)), HYPERLINK("#",""), HYPERLINK(CONCATENATE("#Metadata!", ADDRESS(INDEX($AJ$2:$AJ$1001,MATCH(ROWS($AH$2:AH247),$AH$2:$AH$1001,0),0), INDEX($AO$1004:$BQ$1004,1,MATCH(COLUMNS($AO$1006:AT1006),$AO$1006:$BQ$1006,0)))),"Fix")))</f>
        <v>#N/A</v>
      </c>
      <c r="H247" s="5" t="e">
        <f ca="1">IF(OR(INDEX($AI$2:$AI$1001,MATCH(ROWS($AH$2:AH247),$AH$2:$AH$1001,0),1)&gt;=100000,INDEX($AO$1005:$BQ$1005,1,MATCH(COLUMNS($AO$1006:AU1006),$AO$1006:$BQ$1006,0))&gt;=100000), " ",IF(INDEX($AO$2:$BQ$1001,MATCH(ROWS($AH$2:AH247),$AH$2:$AH$1001,0),MATCH(COLUMNS($AO$1006:AU1006),$AO$1006:$BQ$1006,0)), HYPERLINK("#",""), HYPERLINK(CONCATENATE("#Metadata!", ADDRESS(INDEX($AJ$2:$AJ$1001,MATCH(ROWS($AH$2:AH247),$AH$2:$AH$1001,0),0), INDEX($AO$1004:$BQ$1004,1,MATCH(COLUMNS($AO$1006:AU1006),$AO$1006:$BQ$1006,0)))),"Fix")))</f>
        <v>#N/A</v>
      </c>
      <c r="I247" s="5" t="e">
        <f ca="1">IF(OR(INDEX($AI$2:$AI$1001,MATCH(ROWS($AH$2:AH247),$AH$2:$AH$1001,0),1)&gt;=100000,INDEX($AO$1005:$BQ$1005,1,MATCH(COLUMNS($AO$1006:AV1006),$AO$1006:$BQ$1006,0))&gt;=100000), " ",IF(INDEX($AO$2:$BQ$1001,MATCH(ROWS($AH$2:AH247),$AH$2:$AH$1001,0),MATCH(COLUMNS($AO$1006:AV1006),$AO$1006:$BQ$1006,0)), HYPERLINK("#",""), HYPERLINK(CONCATENATE("#Metadata!", ADDRESS(INDEX($AJ$2:$AJ$1001,MATCH(ROWS($AH$2:AH247),$AH$2:$AH$1001,0),0), INDEX($AO$1004:$BQ$1004,1,MATCH(COLUMNS($AO$1006:AV1006),$AO$1006:$BQ$1006,0)))),"Fix")))</f>
        <v>#N/A</v>
      </c>
      <c r="J247" s="5" t="e">
        <f ca="1">IF(OR(INDEX($AI$2:$AI$1001,MATCH(ROWS($AH$2:AH247),$AH$2:$AH$1001,0),1)&gt;=100000,INDEX($AO$1005:$BQ$1005,1,MATCH(COLUMNS($AO$1006:AW1006),$AO$1006:$BQ$1006,0))&gt;=100000), " ",IF(INDEX($AO$2:$BQ$1001,MATCH(ROWS($AH$2:AH247),$AH$2:$AH$1001,0),MATCH(COLUMNS($AO$1006:AW1006),$AO$1006:$BQ$1006,0)), HYPERLINK("#",""), HYPERLINK(CONCATENATE("#Metadata!", ADDRESS(INDEX($AJ$2:$AJ$1001,MATCH(ROWS($AH$2:AH247),$AH$2:$AH$1001,0),0), INDEX($AO$1004:$BQ$1004,1,MATCH(COLUMNS($AO$1006:AW1006),$AO$1006:$BQ$1006,0)))),"Fix")))</f>
        <v>#N/A</v>
      </c>
      <c r="K247" s="5" t="e">
        <f ca="1">IF(OR(INDEX($AI$2:$AI$1001,MATCH(ROWS($AH$2:AH247),$AH$2:$AH$1001,0),1)&gt;=100000,INDEX($AO$1005:$BQ$1005,1,MATCH(COLUMNS($AO$1006:AX1006),$AO$1006:$BQ$1006,0))&gt;=100000), " ",IF(INDEX($AO$2:$BQ$1001,MATCH(ROWS($AH$2:AH247),$AH$2:$AH$1001,0),MATCH(COLUMNS($AO$1006:AX1006),$AO$1006:$BQ$1006,0)), HYPERLINK("#",""), HYPERLINK(CONCATENATE("#Metadata!", ADDRESS(INDEX($AJ$2:$AJ$1001,MATCH(ROWS($AH$2:AH247),$AH$2:$AH$1001,0),0), INDEX($AO$1004:$BQ$1004,1,MATCH(COLUMNS($AO$1006:AX1006),$AO$1006:$BQ$1006,0)))),"Fix")))</f>
        <v>#N/A</v>
      </c>
      <c r="L247" s="5" t="e">
        <f ca="1">IF(OR(INDEX($AI$2:$AI$1001,MATCH(ROWS($AH$2:AH247),$AH$2:$AH$1001,0),1)&gt;=100000,INDEX($AO$1005:$BQ$1005,1,MATCH(COLUMNS($AO$1006:AY1006),$AO$1006:$BQ$1006,0))&gt;=100000), " ",IF(INDEX($AO$2:$BQ$1001,MATCH(ROWS($AH$2:AH247),$AH$2:$AH$1001,0),MATCH(COLUMNS($AO$1006:AY1006),$AO$1006:$BQ$1006,0)), HYPERLINK("#",""), HYPERLINK(CONCATENATE("#Metadata!", ADDRESS(INDEX($AJ$2:$AJ$1001,MATCH(ROWS($AH$2:AH247),$AH$2:$AH$1001,0),0), INDEX($AO$1004:$BQ$1004,1,MATCH(COLUMNS($AO$1006:AY1006),$AO$1006:$BQ$1006,0)))),"Fix")))</f>
        <v>#N/A</v>
      </c>
      <c r="M247" s="5" t="e">
        <f ca="1">IF(OR(INDEX($AI$2:$AI$1001,MATCH(ROWS($AH$2:AH247),$AH$2:$AH$1001,0),1)&gt;=100000,INDEX($AO$1005:$BQ$1005,1,MATCH(COLUMNS($AO$1006:AZ1006),$AO$1006:$BQ$1006,0))&gt;=100000), " ",IF(INDEX($AO$2:$BQ$1001,MATCH(ROWS($AH$2:AH247),$AH$2:$AH$1001,0),MATCH(COLUMNS($AO$1006:AZ1006),$AO$1006:$BQ$1006,0)), HYPERLINK("#",""), HYPERLINK(CONCATENATE("#Metadata!", ADDRESS(INDEX($AJ$2:$AJ$1001,MATCH(ROWS($AH$2:AH247),$AH$2:$AH$1001,0),0), INDEX($AO$1004:$BQ$1004,1,MATCH(COLUMNS($AO$1006:AZ1006),$AO$1006:$BQ$1006,0)))),"Fix")))</f>
        <v>#N/A</v>
      </c>
      <c r="N247" s="5" t="e">
        <f ca="1">IF(OR(INDEX($AI$2:$AI$1001,MATCH(ROWS($AH$2:AH247),$AH$2:$AH$1001,0),1)&gt;=100000,INDEX($AO$1005:$BQ$1005,1,MATCH(COLUMNS($AO$1006:BA1006),$AO$1006:$BQ$1006,0))&gt;=100000), " ",IF(INDEX($AO$2:$BQ$1001,MATCH(ROWS($AH$2:AH247),$AH$2:$AH$1001,0),MATCH(COLUMNS($AO$1006:BA1006),$AO$1006:$BQ$1006,0)), HYPERLINK("#",""), HYPERLINK(CONCATENATE("#Metadata!", ADDRESS(INDEX($AJ$2:$AJ$1001,MATCH(ROWS($AH$2:AH247),$AH$2:$AH$1001,0),0), INDEX($AO$1004:$BQ$1004,1,MATCH(COLUMNS($AO$1006:BA1006),$AO$1006:$BQ$1006,0)))),"Fix")))</f>
        <v>#N/A</v>
      </c>
      <c r="O247" s="5" t="e">
        <f ca="1">IF(OR(INDEX($AI$2:$AI$1001,MATCH(ROWS($AH$2:AH247),$AH$2:$AH$1001,0),1)&gt;=100000,INDEX($AO$1005:$BQ$1005,1,MATCH(COLUMNS($AO$1006:BB1006),$AO$1006:$BQ$1006,0))&gt;=100000), " ",IF(INDEX($AO$2:$BQ$1001,MATCH(ROWS($AH$2:AH247),$AH$2:$AH$1001,0),MATCH(COLUMNS($AO$1006:BB1006),$AO$1006:$BQ$1006,0)), HYPERLINK("#",""), HYPERLINK(CONCATENATE("#Metadata!", ADDRESS(INDEX($AJ$2:$AJ$1001,MATCH(ROWS($AH$2:AH247),$AH$2:$AH$1001,0),0), INDEX($AO$1004:$BQ$1004,1,MATCH(COLUMNS($AO$1006:BB1006),$AO$1006:$BQ$1006,0)))),"Fix")))</f>
        <v>#N/A</v>
      </c>
      <c r="P247" s="5" t="e">
        <f ca="1">IF(OR(INDEX($AI$2:$AI$1001,MATCH(ROWS($AH$2:AH247),$AH$2:$AH$1001,0),1)&gt;=100000,INDEX($AO$1005:$BQ$1005,1,MATCH(COLUMNS($AO$1006:BC1006),$AO$1006:$BQ$1006,0))&gt;=100000), " ",IF(INDEX($AO$2:$BQ$1001,MATCH(ROWS($AH$2:AH247),$AH$2:$AH$1001,0),MATCH(COLUMNS($AO$1006:BC1006),$AO$1006:$BQ$1006,0)), HYPERLINK("#",""), HYPERLINK(CONCATENATE("#Metadata!", ADDRESS(INDEX($AJ$2:$AJ$1001,MATCH(ROWS($AH$2:AH247),$AH$2:$AH$1001,0),0), INDEX($AO$1004:$BQ$1004,1,MATCH(COLUMNS($AO$1006:BC1006),$AO$1006:$BQ$1006,0)))),"Fix")))</f>
        <v>#N/A</v>
      </c>
      <c r="Q247" s="5" t="e">
        <f ca="1">IF(OR(INDEX($AI$2:$AI$1001,MATCH(ROWS($AH$2:AH247),$AH$2:$AH$1001,0),1)&gt;=100000,INDEX($AO$1005:$BQ$1005,1,MATCH(COLUMNS($AO$1006:BD1006),$AO$1006:$BQ$1006,0))&gt;=100000), " ",IF(INDEX($AO$2:$BQ$1001,MATCH(ROWS($AH$2:AH247),$AH$2:$AH$1001,0),MATCH(COLUMNS($AO$1006:BD1006),$AO$1006:$BQ$1006,0)), HYPERLINK("#",""), HYPERLINK(CONCATENATE("#Metadata!", ADDRESS(INDEX($AJ$2:$AJ$1001,MATCH(ROWS($AH$2:AH247),$AH$2:$AH$1001,0),0), INDEX($AO$1004:$BQ$1004,1,MATCH(COLUMNS($AO$1006:BD1006),$AO$1006:$BQ$1006,0)))),"Fix")))</f>
        <v>#N/A</v>
      </c>
      <c r="R247" s="5" t="e">
        <f ca="1">IF(OR(INDEX($AI$2:$AI$1001,MATCH(ROWS($AH$2:AH247),$AH$2:$AH$1001,0),1)&gt;=100000,INDEX($AO$1005:$BQ$1005,1,MATCH(COLUMNS($AO$1006:BE1006),$AO$1006:$BQ$1006,0))&gt;=100000), " ",IF(INDEX($AO$2:$BQ$1001,MATCH(ROWS($AH$2:AH247),$AH$2:$AH$1001,0),MATCH(COLUMNS($AO$1006:BE1006),$AO$1006:$BQ$1006,0)), HYPERLINK("#",""), HYPERLINK(CONCATENATE("#Metadata!", ADDRESS(INDEX($AJ$2:$AJ$1001,MATCH(ROWS($AH$2:AH247),$AH$2:$AH$1001,0),0), INDEX($AO$1004:$BQ$1004,1,MATCH(COLUMNS($AO$1006:BE1006),$AO$1006:$BQ$1006,0)))),"Fix")))</f>
        <v>#N/A</v>
      </c>
      <c r="S247" s="5" t="e">
        <f ca="1">IF(OR(INDEX($AI$2:$AI$1001,MATCH(ROWS($AH$2:AH247),$AH$2:$AH$1001,0),1)&gt;=100000,INDEX($AO$1005:$BQ$1005,1,MATCH(COLUMNS($AO$1006:BF1006),$AO$1006:$BQ$1006,0))&gt;=100000), " ",IF(INDEX($AO$2:$BQ$1001,MATCH(ROWS($AH$2:AH247),$AH$2:$AH$1001,0),MATCH(COLUMNS($AO$1006:BF1006),$AO$1006:$BQ$1006,0)), HYPERLINK("#",""), HYPERLINK(CONCATENATE("#Metadata!", ADDRESS(INDEX($AJ$2:$AJ$1001,MATCH(ROWS($AH$2:AH247),$AH$2:$AH$1001,0),0), INDEX($AO$1004:$BQ$1004,1,MATCH(COLUMNS($AO$1006:BF1006),$AO$1006:$BQ$1006,0)))),"Fix")))</f>
        <v>#N/A</v>
      </c>
      <c r="T247" s="5" t="e">
        <f ca="1">IF(OR(INDEX($AI$2:$AI$1001,MATCH(ROWS($AH$2:AH247),$AH$2:$AH$1001,0),1)&gt;=100000,INDEX($AO$1005:$BQ$1005,1,MATCH(COLUMNS($AO$1006:BG1006),$AO$1006:$BQ$1006,0))&gt;=100000), " ",IF(INDEX($AO$2:$BQ$1001,MATCH(ROWS($AH$2:AH247),$AH$2:$AH$1001,0),MATCH(COLUMNS($AO$1006:BG1006),$AO$1006:$BQ$1006,0)), HYPERLINK("#",""), HYPERLINK(CONCATENATE("#Metadata!", ADDRESS(INDEX($AJ$2:$AJ$1001,MATCH(ROWS($AH$2:AH247),$AH$2:$AH$1001,0),0), INDEX($AO$1004:$BQ$1004,1,MATCH(COLUMNS($AO$1006:BG1006),$AO$1006:$BQ$1006,0)))),"Fix")))</f>
        <v>#N/A</v>
      </c>
      <c r="U247" s="5" t="e">
        <f ca="1">IF(OR(INDEX($AI$2:$AI$1001,MATCH(ROWS($AH$2:AH247),$AH$2:$AH$1001,0),1)&gt;=100000,INDEX($AO$1005:$BQ$1005,1,MATCH(COLUMNS($AO$1006:BH1006),$AO$1006:$BQ$1006,0))&gt;=100000), " ",IF(INDEX($AO$2:$BQ$1001,MATCH(ROWS($AH$2:AH247),$AH$2:$AH$1001,0),MATCH(COLUMNS($AO$1006:BH1006),$AO$1006:$BQ$1006,0)), HYPERLINK("#",""), HYPERLINK(CONCATENATE("#Metadata!", ADDRESS(INDEX($AJ$2:$AJ$1001,MATCH(ROWS($AH$2:AH247),$AH$2:$AH$1001,0),0), INDEX($AO$1004:$BQ$1004,1,MATCH(COLUMNS($AO$1006:BH1006),$AO$1006:$BQ$1006,0)))),"Fix")))</f>
        <v>#N/A</v>
      </c>
      <c r="V247" s="5" t="e">
        <f ca="1">IF(OR(INDEX($AI$2:$AI$1001,MATCH(ROWS($AH$2:AH247),$AH$2:$AH$1001,0),1)&gt;=100000,INDEX($AO$1005:$BQ$1005,1,MATCH(COLUMNS($AO$1006:BI1006),$AO$1006:$BQ$1006,0))&gt;=100000), " ",IF(INDEX($AO$2:$BQ$1001,MATCH(ROWS($AH$2:AH247),$AH$2:$AH$1001,0),MATCH(COLUMNS($AO$1006:BI1006),$AO$1006:$BQ$1006,0)), HYPERLINK("#",""), HYPERLINK(CONCATENATE("#Metadata!", ADDRESS(INDEX($AJ$2:$AJ$1001,MATCH(ROWS($AH$2:AH247),$AH$2:$AH$1001,0),0), INDEX($AO$1004:$BQ$1004,1,MATCH(COLUMNS($AO$1006:BI1006),$AO$1006:$BQ$1006,0)))),"Fix")))</f>
        <v>#N/A</v>
      </c>
      <c r="W247" s="5" t="e">
        <f ca="1">IF(OR(INDEX($AI$2:$AI$1001,MATCH(ROWS($AH$2:AH247),$AH$2:$AH$1001,0),1)&gt;=100000,INDEX($AO$1005:$BQ$1005,1,MATCH(COLUMNS($AO$1006:BJ1006),$AO$1006:$BQ$1006,0))&gt;=100000), " ",IF(INDEX($AO$2:$BQ$1001,MATCH(ROWS($AH$2:AH247),$AH$2:$AH$1001,0),MATCH(COLUMNS($AO$1006:BJ1006),$AO$1006:$BQ$1006,0)), HYPERLINK("#",""), HYPERLINK(CONCATENATE("#Metadata!", ADDRESS(INDEX($AJ$2:$AJ$1001,MATCH(ROWS($AH$2:AH247),$AH$2:$AH$1001,0),0), INDEX($AO$1004:$BQ$1004,1,MATCH(COLUMNS($AO$1006:BJ1006),$AO$1006:$BQ$1006,0)))),"Fix")))</f>
        <v>#N/A</v>
      </c>
      <c r="X247" s="5" t="e">
        <f ca="1">IF(OR(INDEX($AI$2:$AI$1001,MATCH(ROWS($AH$2:AH247),$AH$2:$AH$1001,0),1)&gt;=100000,INDEX($AO$1005:$BQ$1005,1,MATCH(COLUMNS($AO$1006:BK1006),$AO$1006:$BQ$1006,0))&gt;=100000), " ",IF(INDEX($AO$2:$BQ$1001,MATCH(ROWS($AH$2:AH247),$AH$2:$AH$1001,0),MATCH(COLUMNS($AO$1006:BK1006),$AO$1006:$BQ$1006,0)), HYPERLINK("#",""), HYPERLINK(CONCATENATE("#Metadata!", ADDRESS(INDEX($AJ$2:$AJ$1001,MATCH(ROWS($AH$2:AH247),$AH$2:$AH$1001,0),0), INDEX($AO$1004:$BQ$1004,1,MATCH(COLUMNS($AO$1006:BK1006),$AO$1006:$BQ$1006,0)))),"Fix")))</f>
        <v>#N/A</v>
      </c>
      <c r="Y247" s="5" t="e">
        <f ca="1">IF(OR(INDEX($AI$2:$AI$1001,MATCH(ROWS($AH$2:AH247),$AH$2:$AH$1001,0),1)&gt;=100000,INDEX($AO$1005:$BQ$1005,1,MATCH(COLUMNS($AO$1006:BL1006),$AO$1006:$BQ$1006,0))&gt;=100000), " ",IF(INDEX($AO$2:$BQ$1001,MATCH(ROWS($AH$2:AH247),$AH$2:$AH$1001,0),MATCH(COLUMNS($AO$1006:BL1006),$AO$1006:$BQ$1006,0)), HYPERLINK("#",""), HYPERLINK(CONCATENATE("#Metadata!", ADDRESS(INDEX($AJ$2:$AJ$1001,MATCH(ROWS($AH$2:AH247),$AH$2:$AH$1001,0),0), INDEX($AO$1004:$BQ$1004,1,MATCH(COLUMNS($AO$1006:BL1006),$AO$1006:$BQ$1006,0)))),"Fix")))</f>
        <v>#N/A</v>
      </c>
      <c r="Z247" s="5" t="e">
        <f ca="1">IF(OR(INDEX($AI$2:$AI$1001,MATCH(ROWS($AH$2:AH247),$AH$2:$AH$1001,0),1)&gt;=100000,INDEX($AO$1005:$BQ$1005,1,MATCH(COLUMNS($AO$1006:BM1006),$AO$1006:$BQ$1006,0))&gt;=100000), " ",IF(INDEX($AO$2:$BQ$1001,MATCH(ROWS($AH$2:AH247),$AH$2:$AH$1001,0),MATCH(COLUMNS($AO$1006:BM1006),$AO$1006:$BQ$1006,0)), HYPERLINK("#",""), HYPERLINK(CONCATENATE("#Metadata!", ADDRESS(INDEX($AJ$2:$AJ$1001,MATCH(ROWS($AH$2:AH247),$AH$2:$AH$1001,0),0), INDEX($AO$1004:$BQ$1004,1,MATCH(COLUMNS($AO$1006:BM1006),$AO$1006:$BQ$1006,0)))),"Fix")))</f>
        <v>#N/A</v>
      </c>
      <c r="AA247" s="5" t="e">
        <f ca="1">IF(OR(INDEX($AI$2:$AI$1001,MATCH(ROWS($AH$2:AH247),$AH$2:$AH$1001,0),1)&gt;=100000,INDEX($AO$1005:$BQ$1005,1,MATCH(COLUMNS($AO$1006:BN1006),$AO$1006:$BQ$1006,0))&gt;=100000), " ",IF(INDEX($AO$2:$BQ$1001,MATCH(ROWS($AH$2:AH247),$AH$2:$AH$1001,0),MATCH(COLUMNS($AO$1006:BN1006),$AO$1006:$BQ$1006,0)), HYPERLINK("#",""), HYPERLINK(CONCATENATE("#Metadata!", ADDRESS(INDEX($AJ$2:$AJ$1001,MATCH(ROWS($AH$2:AH247),$AH$2:$AH$1001,0),0), INDEX($AO$1004:$BQ$1004,1,MATCH(COLUMNS($AO$1006:BN1006),$AO$1006:$BQ$1006,0)))),"Fix")))</f>
        <v>#N/A</v>
      </c>
      <c r="AB247" s="5" t="e">
        <f ca="1">IF(OR(INDEX($AI$2:$AI$1001,MATCH(ROWS($AH$2:AH247),$AH$2:$AH$1001,0),1)&gt;=100000,INDEX($AO$1005:$BQ$1005,1,MATCH(COLUMNS($AO$1006:BO1006),$AO$1006:$BQ$1006,0))&gt;=100000), " ",IF(INDEX($AO$2:$BQ$1001,MATCH(ROWS($AH$2:AH247),$AH$2:$AH$1001,0),MATCH(COLUMNS($AO$1006:BO1006),$AO$1006:$BQ$1006,0)), HYPERLINK("#",""), HYPERLINK(CONCATENATE("#Metadata!", ADDRESS(INDEX($AJ$2:$AJ$1001,MATCH(ROWS($AH$2:AH247),$AH$2:$AH$1001,0),0), INDEX($AO$1004:$BQ$1004,1,MATCH(COLUMNS($AO$1006:BO1006),$AO$1006:$BQ$1006,0)))),"Fix")))</f>
        <v>#N/A</v>
      </c>
      <c r="AC247" s="5" t="e">
        <f ca="1">IF(OR(INDEX($AI$2:$AI$1001,MATCH(ROWS($AH$2:AH247),$AH$2:$AH$1001,0),1)&gt;=100000,INDEX($AO$1005:$BQ$1005,1,MATCH(COLUMNS($AO$1006:BP1006),$AO$1006:$BQ$1006,0))&gt;=100000), " ",IF(INDEX($AO$2:$BQ$1001,MATCH(ROWS($AH$2:AH247),$AH$2:$AH$1001,0),MATCH(COLUMNS($AO$1006:BP1006),$AO$1006:$BQ$1006,0)), HYPERLINK("#",""), HYPERLINK(CONCATENATE("#Metadata!", ADDRESS(INDEX($AJ$2:$AJ$1001,MATCH(ROWS($AH$2:AH247),$AH$2:$AH$1001,0),0), INDEX($AO$1004:$BQ$1004,1,MATCH(COLUMNS($AO$1006:BP1006),$AO$1006:$BQ$1006,0)))),"Fix")))</f>
        <v>#N/A</v>
      </c>
      <c r="AD247" s="5" t="e">
        <f ca="1">IF(OR(INDEX($AI$2:$AI$1001,MATCH(ROWS($AH$2:AH247),$AH$2:$AH$1001,0),1)&gt;=100000,INDEX($AO$1005:$BQ$1005,1,MATCH(COLUMNS($AO$1006:BQ1006),$AO$1006:$BQ$1006,0))&gt;=100000), " ",IF(INDEX($AO$2:$BQ$1001,MATCH(ROWS($AH$2:AH247),$AH$2:$AH$1001,0),MATCH(COLUMNS($AO$1006:BQ1006),$AO$1006:$BQ$1006,0)), HYPERLINK("#",""), HYPERLINK(CONCATENATE("#Metadata!", ADDRESS(INDEX($AJ$2:$AJ$1001,MATCH(ROWS($AH$2:AH247),$AH$2:$AH$1001,0),0), INDEX($AO$1004:$BQ$1004,1,MATCH(COLUMNS($AO$1006:BQ1006),$AO$1006:$BQ$1006,0)))),"Fix")))</f>
        <v>#REF!</v>
      </c>
      <c r="AH247">
        <f ca="1"/>
        <v>244</v>
      </c>
      <c r="AI247">
        <v>100247</v>
      </c>
      <c r="AJ247">
        <v>247</v>
      </c>
      <c r="AK247" t="b">
        <f t="shared" si="3"/>
        <v>1</v>
      </c>
      <c r="AL247" t="b">
        <f>COUNTBLANK(Metadata!B247:AD247)=COLUMNS(Metadata!B247:AD247)</f>
        <v>1</v>
      </c>
      <c r="AM247" t="str">
        <v/>
      </c>
      <c r="AO247" t="b">
        <f ca="1">AND(IF(Metadata!B247="",FALSE,TRUE),COUNTIF(Metadata!B:B, Metadata!B247) = 1,NOT(ISERROR(SUMPRODUCT(SEARCH(MID(Metadata!B247,ROW(INDIRECT("1:"&amp;LEN(Metadata!B247))), 1),"0123456789abcdefghijklmnopqrstuvwxyzABCDEFGHIJKLMNOPQRSTUVWXYZ.")))))</f>
        <v>0</v>
      </c>
      <c r="AP247" t="b">
        <f>IF(Metadata!C247="",FALSE,TRUE)</f>
        <v>0</v>
      </c>
      <c r="AQ247" t="b">
        <f>IF(Metadata!D247="",FALSE,TRUE)</f>
        <v>0</v>
      </c>
      <c r="AR247" t="b">
        <f ca="1">OR(AND(IF(Metadata!E247="",FALSE,TRUE),OR(EXACT(Metadata!E247,"not collected"),EXACT(Metadata!E247,"not provided"),EXACT(Metadata!E247,"restricted access"))),AND(IF(Metadata!E247="",FALSE,TRUE),AND(AND(IFERROR(INT(LEFT(Metadata!E247,4))&gt;1900,FALSE),IFERROR(INT(LEFT(Metadata!E247,4))&lt;=YEAR(NOW()),FALSE)), OR(MID(Metadata!E247,5,1)="", AND(AND(MID(Metadata!E247,5,1)="-",IFERROR(INT(MID(Metadata!E247,6,1))&gt;=0,FALSE),IFERROR(INT(MID(Metadata!E247,6,1))&lt;=1,FALSE),NOT(MID(Metadata!E247,7,1)=""),IFERROR(INT(MID(Metadata!E247,6,2))&gt;=1,FALSE),IFERROR(INT(MID(Metadata!E247,6,2))&lt;=12,FALSE)), OR(MID(Metadata!E247,8,1)="", AND(AND(MID(Metadata!E247,8,1)="-",IFERROR(INT(MID(Metadata!E247,9,1))&gt;=0,FALSE),IFERROR(INT(MID(Metadata!E247,9,1))&lt;=3,FALSE),NOT(MID(Metadata!E247,10,1)=""),IFERROR(INT(MID(Metadata!E247,9,2))&gt;=1,FALSE),IFERROR(INT(MID(Metadata!E247,9,2))&lt;=31,FALSE)), OR(MID(Metadata!E247,11,1)="", AND(AND(MID(Metadata!E247,11,1)=" ",IFERROR(INT(MID(Metadata!E247,12,1))&gt;=0,FALSE),IFERROR(INT(MID(Metadata!E247,12,1))&lt;=2,FALSE),NOT(MID(Metadata!E247,13,1)=""),IFERROR(INT(MID(Metadata!E247,12,2))&gt;=0,FALSE),IFERROR(INT(MID(Metadata!E247,12,2))&lt;=23,FALSE)), OR(MID(Metadata!E247,14,1)="", AND(AND(MID(Metadata!E247,14,1)=":",IFERROR(INT(MID(Metadata!E247,15,1))&gt;=0,FALSE),IFERROR(INT(MID(Metadata!E247,15,1))&lt;=5,FALSE),NOT(MID(Metadata!E247,16,1)=""),IFERROR(INT(MID(Metadata!E247,15,2))&gt;=0,FALSE),IFERROR(INT(MID(Metadata!E247,15,2))&lt;=59,FALSE)), OR(MID(Metadata!E247,17,1)="", AND(AND(MID(Metadata!E247,17,1)=":",IFERROR(INT(MID(Metadata!E247,18,1))&gt;=0,FALSE),IFERROR(INT(MID(Metadata!E247,18,1))&lt;=5,FALSE),NOT(MID(Metadata!E247,19,1)=""),IFERROR(INT(MID(Metadata!E247,18,2))&gt;=0,FALSE),IFERROR(INT(MID(Metadata!E247,18,2))&lt;=59,FALSE)), LEN(Metadata!E247)&lt;=19)))))))))))))</f>
        <v>0</v>
      </c>
      <c r="AS247" t="b">
        <f>IF(Metadata!F247="",FALSE,TRUE)</f>
        <v>0</v>
      </c>
      <c r="AT247" t="b">
        <f>OR(AND(IF(Metadata!G247="",FALSE,TRUE),OR(EXACT(Metadata!G247,"not collected"),EXACT(Metadata!G247,"not provided"))),AND(IF(Metadata!G247="",FALSE,TRUE),OR(EXACT(Metadata!G247,"TRUE"),EXACT(Metadata!G247,"FALSE"))))</f>
        <v>0</v>
      </c>
      <c r="AU247" t="b">
        <f>OR(AND(IF(Metadata!H247="",FALSE,TRUE),OR(EXACT(Metadata!H247,"not collected"),EXACT(Metadata!H247,"not provided"),EXACT(Metadata!H247,"restricted access"))),AND(IF(Metadata!H247="",FALSE,ISNUMBER(VALUE(Metadata!H247))),Metadata!H247&gt;=-413))</f>
        <v>0</v>
      </c>
      <c r="AV247" t="b">
        <f>AND(IF(Metadata!I247="",FALSE,TRUE),EXACT(Metadata!I247,"meters"))</f>
        <v>0</v>
      </c>
      <c r="AW247" t="b">
        <f>AND(IF(Metadata!J247="",FALSE,TRUE),EXACT(Metadata!J247,"free-living"))</f>
        <v>0</v>
      </c>
      <c r="AX247" t="b">
        <f>AND(IF(Metadata!K247="",FALSE,TRUE),OR(EXACT(Metadata!K247,"saline"),EXACT(Metadata!K247,"non-saline")))</f>
        <v>0</v>
      </c>
      <c r="AY247" t="b">
        <f>AND(IF(Metadata!L247="",FALSE,TRUE),OR(EXACT(Metadata!L247,"sub-surface (non-saline)"),EXACT(Metadata!L247,"surface (non-saline)"),EXACT(Metadata!L247,"water (non-saline)"),EXACT(Metadata!L247,"soil (non-saline)"),EXACT(Metadata!L247,"aerosol (non-saline)"),EXACT(Metadata!L247,"sediment (non-saline)"),EXACT(Metadata!L247,"surface (saline)"),EXACT(Metadata!L247,"water (saline)"),EXACT(Metadata!L247,"hypersaline (saline)"),EXACT(Metadata!L247,"aerosol (saline)"),EXACT(Metadata!L247,"sediment (saline)")))</f>
        <v>0</v>
      </c>
      <c r="AZ247" t="b">
        <f>IF(Metadata!M247="",FALSE,TRUE)</f>
        <v>0</v>
      </c>
      <c r="BA247" t="b">
        <f>IF(Metadata!N247="",FALSE,TRUE)</f>
        <v>0</v>
      </c>
      <c r="BB247" t="b">
        <f>IF(Metadata!O247="",FALSE,TRUE)</f>
        <v>0</v>
      </c>
      <c r="BC247" t="b">
        <f>AND(IF(Metadata!P247="",FALSE,TRUE),OR(EXACT(Metadata!P247,"air"),EXACT(Metadata!P247,"microbial mat/biofilm"),EXACT(Metadata!P247,"misc environment"),EXACT(Metadata!P247,"sediment"),EXACT(Metadata!P247,"soil"),EXACT(Metadata!P247,"wastewater/sludge"),EXACT(Metadata!P247,"water")))</f>
        <v>0</v>
      </c>
      <c r="BD247" t="b">
        <f>IF(Metadata!Q247="",FALSE,TRUE)</f>
        <v>0</v>
      </c>
      <c r="BE247" t="b">
        <f>IF(Metadata!R247="",FALSE,TRUE)</f>
        <v>0</v>
      </c>
      <c r="BF247" t="b">
        <f>OR(AND(IF(Metadata!S247="",FALSE,TRUE),OR(EXACT(Metadata!S247,"not collected"),EXACT(Metadata!S247,"not provided"),EXACT(Metadata!S247,"restricted access"))),AND(IF(Metadata!S247="",FALSE,ISNUMBER(VALUE(Metadata!S247))),Metadata!S247&gt;=-90,Metadata!S247&lt;=90))</f>
        <v>0</v>
      </c>
      <c r="BG247" t="b">
        <f>AND(IF(Metadata!T247="",FALSE,TRUE),EXACT(Metadata!T247,"Decimal degrees"))</f>
        <v>0</v>
      </c>
      <c r="BH247" t="b">
        <f>OR(AND(IF(Metadata!U247="",FALSE,TRUE),OR(EXACT(Metadata!U247,"not applicable"),EXACT(Metadata!U247,"not collected"))),IF(Metadata!U247="",FALSE,TRUE))</f>
        <v>0</v>
      </c>
      <c r="BI247" t="b">
        <f>OR(AND(IF(Metadata!V247="",FALSE,TRUE),OR(EXACT(Metadata!V247,"not collected"),EXACT(Metadata!V247,"not provided"),EXACT(Metadata!V247,"restricted access"))),AND(IF(Metadata!V247="",FALSE,ISNUMBER(VALUE(Metadata!V247))),Metadata!V247&gt;=-180,Metadata!V247&lt;=180))</f>
        <v>0</v>
      </c>
      <c r="BJ247" t="b">
        <f>AND(IF(Metadata!W247="",FALSE,TRUE),EXACT(Metadata!W247,"Decimal degrees"))</f>
        <v>0</v>
      </c>
      <c r="BK247" t="b">
        <f>IF(Metadata!X247="",FALSE,TRUE)</f>
        <v>0</v>
      </c>
      <c r="BL247" t="b">
        <f>OR(AND(IF(Metadata!Y247="",FALSE,TRUE),OR(EXACT(Metadata!Y247,"not collected"),EXACT(Metadata!Y247,"not provided"),EXACT(Metadata!Y247,"restricted access"))),AND(IF(Metadata!Y247="",FALSE,TRUE),OR(EXACT(Metadata!Y247,"TRUE"),EXACT(Metadata!Y247,"FALSE"))))</f>
        <v>0</v>
      </c>
      <c r="BM247" t="b">
        <f>OR(AND(IF(Metadata!Z247="",FALSE,TRUE),EXACT(Metadata!Z247,"not applicable")),AND(IF(Metadata!Z247="",FALSE,TRUE),OR(EXACT(Metadata!Z247,"beer"),EXACT(Metadata!Z247,"cheese"),EXACT(Metadata!Z247,"fresh water"),EXACT(Metadata!Z247,"marine sediment"),EXACT(Metadata!Z247,"sea water"),EXACT(Metadata!Z247,"sediment"),EXACT(Metadata!Z247,"soil"),EXACT(Metadata!Z247,"waste water"))))</f>
        <v>0</v>
      </c>
      <c r="BN247" t="b">
        <f>AND(IF(Metadata!AA247="",FALSE,TRUE),EXACT(Metadata!AA247,"metagenome"))</f>
        <v>0</v>
      </c>
      <c r="BO247" t="b">
        <f>AND(IF(Metadata!AB247="",FALSE,TRUE),EXACT(Metadata!AB247,"256318"))</f>
        <v>0</v>
      </c>
      <c r="BP247" t="b">
        <f>IF(Metadata!AC247="",FALSE,TRUE)</f>
        <v>0</v>
      </c>
      <c r="BQ247" t="b">
        <f>IF(Metadata!AD247="",FALSE,TRUE)</f>
        <v>0</v>
      </c>
    </row>
    <row r="248" spans="1:69" x14ac:dyDescent="0.2">
      <c r="A248" s="4" t="e">
        <f ca="1">IF(B248=" "," ",HYPERLINK(CONCATENATE("#metadata!",ADDRESS(INDEX($AJ$2:$AJ$1001,MATCH(ROWS($AH$2:AH248),$AH$2:$AH$1001,0),0),2)),INDEX($AM$2:$AM$1001,MATCH(ROWS($AH$2:AH248),$AH$2:$AH$1001,0),0)))</f>
        <v>#N/A</v>
      </c>
      <c r="B248" s="5" t="e">
        <f ca="1">IF(OR(INDEX($AI$2:$AI$1001,MATCH(ROWS($AH$2:AH248),$AH$2:$AH$1001,0),1)&gt;=100000,INDEX($AO$1005:$BQ$1005,1,MATCH(COLUMNS($AO$1006:AO1006),$AO$1006:$BQ$1006,0))&gt;=100000), " ",IF(INDEX($AO$2:$BQ$1001,MATCH(ROWS($AH$2:AH248),$AH$2:$AH$1001,0),MATCH(COLUMNS($AO$1006:AO1006),$AO$1006:$BQ$1006,0)), HYPERLINK("#",""), HYPERLINK(CONCATENATE("#Metadata!", ADDRESS(INDEX($AJ$2:$AJ$1001,MATCH(ROWS($AH$2:AH248),$AH$2:$AH$1001,0),0), INDEX($AO$1004:$BQ$1004,1,MATCH(COLUMNS($AO$1006:AO1006),$AO$1006:$BQ$1006,0)))),"Fix")))</f>
        <v>#N/A</v>
      </c>
      <c r="C248" s="5" t="e">
        <f ca="1">IF(OR(INDEX($AI$2:$AI$1001,MATCH(ROWS($AH$2:AH248),$AH$2:$AH$1001,0),1)&gt;=100000,INDEX($AO$1005:$BQ$1005,1,MATCH(COLUMNS($AO$1006:AP1006),$AO$1006:$BQ$1006,0))&gt;=100000), " ",IF(INDEX($AO$2:$BQ$1001,MATCH(ROWS($AH$2:AH248),$AH$2:$AH$1001,0),MATCH(COLUMNS($AO$1006:AP1006),$AO$1006:$BQ$1006,0)), HYPERLINK("#",""), HYPERLINK(CONCATENATE("#Metadata!", ADDRESS(INDEX($AJ$2:$AJ$1001,MATCH(ROWS($AH$2:AH248),$AH$2:$AH$1001,0),0), INDEX($AO$1004:$BQ$1004,1,MATCH(COLUMNS($AO$1006:AP1006),$AO$1006:$BQ$1006,0)))),"Fix")))</f>
        <v>#N/A</v>
      </c>
      <c r="D248" s="5" t="e">
        <f ca="1">IF(OR(INDEX($AI$2:$AI$1001,MATCH(ROWS($AH$2:AH248),$AH$2:$AH$1001,0),1)&gt;=100000,INDEX($AO$1005:$BQ$1005,1,MATCH(COLUMNS($AO$1006:AQ1006),$AO$1006:$BQ$1006,0))&gt;=100000), " ",IF(INDEX($AO$2:$BQ$1001,MATCH(ROWS($AH$2:AH248),$AH$2:$AH$1001,0),MATCH(COLUMNS($AO$1006:AQ1006),$AO$1006:$BQ$1006,0)), HYPERLINK("#",""), HYPERLINK(CONCATENATE("#Metadata!", ADDRESS(INDEX($AJ$2:$AJ$1001,MATCH(ROWS($AH$2:AH248),$AH$2:$AH$1001,0),0), INDEX($AO$1004:$BQ$1004,1,MATCH(COLUMNS($AO$1006:AQ1006),$AO$1006:$BQ$1006,0)))),"Fix")))</f>
        <v>#N/A</v>
      </c>
      <c r="E248" s="5" t="e">
        <f ca="1">IF(OR(INDEX($AI$2:$AI$1001,MATCH(ROWS($AH$2:AH248),$AH$2:$AH$1001,0),1)&gt;=100000,INDEX($AO$1005:$BQ$1005,1,MATCH(COLUMNS($AO$1006:AR1006),$AO$1006:$BQ$1006,0))&gt;=100000), " ",IF(INDEX($AO$2:$BQ$1001,MATCH(ROWS($AH$2:AH248),$AH$2:$AH$1001,0),MATCH(COLUMNS($AO$1006:AR1006),$AO$1006:$BQ$1006,0)), HYPERLINK("#",""), HYPERLINK(CONCATENATE("#Metadata!", ADDRESS(INDEX($AJ$2:$AJ$1001,MATCH(ROWS($AH$2:AH248),$AH$2:$AH$1001,0),0), INDEX($AO$1004:$BQ$1004,1,MATCH(COLUMNS($AO$1006:AR1006),$AO$1006:$BQ$1006,0)))),"Fix")))</f>
        <v>#N/A</v>
      </c>
      <c r="F248" s="5" t="e">
        <f ca="1">IF(OR(INDEX($AI$2:$AI$1001,MATCH(ROWS($AH$2:AH248),$AH$2:$AH$1001,0),1)&gt;=100000,INDEX($AO$1005:$BQ$1005,1,MATCH(COLUMNS($AO$1006:AS1006),$AO$1006:$BQ$1006,0))&gt;=100000), " ",IF(INDEX($AO$2:$BQ$1001,MATCH(ROWS($AH$2:AH248),$AH$2:$AH$1001,0),MATCH(COLUMNS($AO$1006:AS1006),$AO$1006:$BQ$1006,0)), HYPERLINK("#",""), HYPERLINK(CONCATENATE("#Metadata!", ADDRESS(INDEX($AJ$2:$AJ$1001,MATCH(ROWS($AH$2:AH248),$AH$2:$AH$1001,0),0), INDEX($AO$1004:$BQ$1004,1,MATCH(COLUMNS($AO$1006:AS1006),$AO$1006:$BQ$1006,0)))),"Fix")))</f>
        <v>#N/A</v>
      </c>
      <c r="G248" s="5" t="e">
        <f ca="1">IF(OR(INDEX($AI$2:$AI$1001,MATCH(ROWS($AH$2:AH248),$AH$2:$AH$1001,0),1)&gt;=100000,INDEX($AO$1005:$BQ$1005,1,MATCH(COLUMNS($AO$1006:AT1006),$AO$1006:$BQ$1006,0))&gt;=100000), " ",IF(INDEX($AO$2:$BQ$1001,MATCH(ROWS($AH$2:AH248),$AH$2:$AH$1001,0),MATCH(COLUMNS($AO$1006:AT1006),$AO$1006:$BQ$1006,0)), HYPERLINK("#",""), HYPERLINK(CONCATENATE("#Metadata!", ADDRESS(INDEX($AJ$2:$AJ$1001,MATCH(ROWS($AH$2:AH248),$AH$2:$AH$1001,0),0), INDEX($AO$1004:$BQ$1004,1,MATCH(COLUMNS($AO$1006:AT1006),$AO$1006:$BQ$1006,0)))),"Fix")))</f>
        <v>#N/A</v>
      </c>
      <c r="H248" s="5" t="e">
        <f ca="1">IF(OR(INDEX($AI$2:$AI$1001,MATCH(ROWS($AH$2:AH248),$AH$2:$AH$1001,0),1)&gt;=100000,INDEX($AO$1005:$BQ$1005,1,MATCH(COLUMNS($AO$1006:AU1006),$AO$1006:$BQ$1006,0))&gt;=100000), " ",IF(INDEX($AO$2:$BQ$1001,MATCH(ROWS($AH$2:AH248),$AH$2:$AH$1001,0),MATCH(COLUMNS($AO$1006:AU1006),$AO$1006:$BQ$1006,0)), HYPERLINK("#",""), HYPERLINK(CONCATENATE("#Metadata!", ADDRESS(INDEX($AJ$2:$AJ$1001,MATCH(ROWS($AH$2:AH248),$AH$2:$AH$1001,0),0), INDEX($AO$1004:$BQ$1004,1,MATCH(COLUMNS($AO$1006:AU1006),$AO$1006:$BQ$1006,0)))),"Fix")))</f>
        <v>#N/A</v>
      </c>
      <c r="I248" s="5" t="e">
        <f ca="1">IF(OR(INDEX($AI$2:$AI$1001,MATCH(ROWS($AH$2:AH248),$AH$2:$AH$1001,0),1)&gt;=100000,INDEX($AO$1005:$BQ$1005,1,MATCH(COLUMNS($AO$1006:AV1006),$AO$1006:$BQ$1006,0))&gt;=100000), " ",IF(INDEX($AO$2:$BQ$1001,MATCH(ROWS($AH$2:AH248),$AH$2:$AH$1001,0),MATCH(COLUMNS($AO$1006:AV1006),$AO$1006:$BQ$1006,0)), HYPERLINK("#",""), HYPERLINK(CONCATENATE("#Metadata!", ADDRESS(INDEX($AJ$2:$AJ$1001,MATCH(ROWS($AH$2:AH248),$AH$2:$AH$1001,0),0), INDEX($AO$1004:$BQ$1004,1,MATCH(COLUMNS($AO$1006:AV1006),$AO$1006:$BQ$1006,0)))),"Fix")))</f>
        <v>#N/A</v>
      </c>
      <c r="J248" s="5" t="e">
        <f ca="1">IF(OR(INDEX($AI$2:$AI$1001,MATCH(ROWS($AH$2:AH248),$AH$2:$AH$1001,0),1)&gt;=100000,INDEX($AO$1005:$BQ$1005,1,MATCH(COLUMNS($AO$1006:AW1006),$AO$1006:$BQ$1006,0))&gt;=100000), " ",IF(INDEX($AO$2:$BQ$1001,MATCH(ROWS($AH$2:AH248),$AH$2:$AH$1001,0),MATCH(COLUMNS($AO$1006:AW1006),$AO$1006:$BQ$1006,0)), HYPERLINK("#",""), HYPERLINK(CONCATENATE("#Metadata!", ADDRESS(INDEX($AJ$2:$AJ$1001,MATCH(ROWS($AH$2:AH248),$AH$2:$AH$1001,0),0), INDEX($AO$1004:$BQ$1004,1,MATCH(COLUMNS($AO$1006:AW1006),$AO$1006:$BQ$1006,0)))),"Fix")))</f>
        <v>#N/A</v>
      </c>
      <c r="K248" s="5" t="e">
        <f ca="1">IF(OR(INDEX($AI$2:$AI$1001,MATCH(ROWS($AH$2:AH248),$AH$2:$AH$1001,0),1)&gt;=100000,INDEX($AO$1005:$BQ$1005,1,MATCH(COLUMNS($AO$1006:AX1006),$AO$1006:$BQ$1006,0))&gt;=100000), " ",IF(INDEX($AO$2:$BQ$1001,MATCH(ROWS($AH$2:AH248),$AH$2:$AH$1001,0),MATCH(COLUMNS($AO$1006:AX1006),$AO$1006:$BQ$1006,0)), HYPERLINK("#",""), HYPERLINK(CONCATENATE("#Metadata!", ADDRESS(INDEX($AJ$2:$AJ$1001,MATCH(ROWS($AH$2:AH248),$AH$2:$AH$1001,0),0), INDEX($AO$1004:$BQ$1004,1,MATCH(COLUMNS($AO$1006:AX1006),$AO$1006:$BQ$1006,0)))),"Fix")))</f>
        <v>#N/A</v>
      </c>
      <c r="L248" s="5" t="e">
        <f ca="1">IF(OR(INDEX($AI$2:$AI$1001,MATCH(ROWS($AH$2:AH248),$AH$2:$AH$1001,0),1)&gt;=100000,INDEX($AO$1005:$BQ$1005,1,MATCH(COLUMNS($AO$1006:AY1006),$AO$1006:$BQ$1006,0))&gt;=100000), " ",IF(INDEX($AO$2:$BQ$1001,MATCH(ROWS($AH$2:AH248),$AH$2:$AH$1001,0),MATCH(COLUMNS($AO$1006:AY1006),$AO$1006:$BQ$1006,0)), HYPERLINK("#",""), HYPERLINK(CONCATENATE("#Metadata!", ADDRESS(INDEX($AJ$2:$AJ$1001,MATCH(ROWS($AH$2:AH248),$AH$2:$AH$1001,0),0), INDEX($AO$1004:$BQ$1004,1,MATCH(COLUMNS($AO$1006:AY1006),$AO$1006:$BQ$1006,0)))),"Fix")))</f>
        <v>#N/A</v>
      </c>
      <c r="M248" s="5" t="e">
        <f ca="1">IF(OR(INDEX($AI$2:$AI$1001,MATCH(ROWS($AH$2:AH248),$AH$2:$AH$1001,0),1)&gt;=100000,INDEX($AO$1005:$BQ$1005,1,MATCH(COLUMNS($AO$1006:AZ1006),$AO$1006:$BQ$1006,0))&gt;=100000), " ",IF(INDEX($AO$2:$BQ$1001,MATCH(ROWS($AH$2:AH248),$AH$2:$AH$1001,0),MATCH(COLUMNS($AO$1006:AZ1006),$AO$1006:$BQ$1006,0)), HYPERLINK("#",""), HYPERLINK(CONCATENATE("#Metadata!", ADDRESS(INDEX($AJ$2:$AJ$1001,MATCH(ROWS($AH$2:AH248),$AH$2:$AH$1001,0),0), INDEX($AO$1004:$BQ$1004,1,MATCH(COLUMNS($AO$1006:AZ1006),$AO$1006:$BQ$1006,0)))),"Fix")))</f>
        <v>#N/A</v>
      </c>
      <c r="N248" s="5" t="e">
        <f ca="1">IF(OR(INDEX($AI$2:$AI$1001,MATCH(ROWS($AH$2:AH248),$AH$2:$AH$1001,0),1)&gt;=100000,INDEX($AO$1005:$BQ$1005,1,MATCH(COLUMNS($AO$1006:BA1006),$AO$1006:$BQ$1006,0))&gt;=100000), " ",IF(INDEX($AO$2:$BQ$1001,MATCH(ROWS($AH$2:AH248),$AH$2:$AH$1001,0),MATCH(COLUMNS($AO$1006:BA1006),$AO$1006:$BQ$1006,0)), HYPERLINK("#",""), HYPERLINK(CONCATENATE("#Metadata!", ADDRESS(INDEX($AJ$2:$AJ$1001,MATCH(ROWS($AH$2:AH248),$AH$2:$AH$1001,0),0), INDEX($AO$1004:$BQ$1004,1,MATCH(COLUMNS($AO$1006:BA1006),$AO$1006:$BQ$1006,0)))),"Fix")))</f>
        <v>#N/A</v>
      </c>
      <c r="O248" s="5" t="e">
        <f ca="1">IF(OR(INDEX($AI$2:$AI$1001,MATCH(ROWS($AH$2:AH248),$AH$2:$AH$1001,0),1)&gt;=100000,INDEX($AO$1005:$BQ$1005,1,MATCH(COLUMNS($AO$1006:BB1006),$AO$1006:$BQ$1006,0))&gt;=100000), " ",IF(INDEX($AO$2:$BQ$1001,MATCH(ROWS($AH$2:AH248),$AH$2:$AH$1001,0),MATCH(COLUMNS($AO$1006:BB1006),$AO$1006:$BQ$1006,0)), HYPERLINK("#",""), HYPERLINK(CONCATENATE("#Metadata!", ADDRESS(INDEX($AJ$2:$AJ$1001,MATCH(ROWS($AH$2:AH248),$AH$2:$AH$1001,0),0), INDEX($AO$1004:$BQ$1004,1,MATCH(COLUMNS($AO$1006:BB1006),$AO$1006:$BQ$1006,0)))),"Fix")))</f>
        <v>#N/A</v>
      </c>
      <c r="P248" s="5" t="e">
        <f ca="1">IF(OR(INDEX($AI$2:$AI$1001,MATCH(ROWS($AH$2:AH248),$AH$2:$AH$1001,0),1)&gt;=100000,INDEX($AO$1005:$BQ$1005,1,MATCH(COLUMNS($AO$1006:BC1006),$AO$1006:$BQ$1006,0))&gt;=100000), " ",IF(INDEX($AO$2:$BQ$1001,MATCH(ROWS($AH$2:AH248),$AH$2:$AH$1001,0),MATCH(COLUMNS($AO$1006:BC1006),$AO$1006:$BQ$1006,0)), HYPERLINK("#",""), HYPERLINK(CONCATENATE("#Metadata!", ADDRESS(INDEX($AJ$2:$AJ$1001,MATCH(ROWS($AH$2:AH248),$AH$2:$AH$1001,0),0), INDEX($AO$1004:$BQ$1004,1,MATCH(COLUMNS($AO$1006:BC1006),$AO$1006:$BQ$1006,0)))),"Fix")))</f>
        <v>#N/A</v>
      </c>
      <c r="Q248" s="5" t="e">
        <f ca="1">IF(OR(INDEX($AI$2:$AI$1001,MATCH(ROWS($AH$2:AH248),$AH$2:$AH$1001,0),1)&gt;=100000,INDEX($AO$1005:$BQ$1005,1,MATCH(COLUMNS($AO$1006:BD1006),$AO$1006:$BQ$1006,0))&gt;=100000), " ",IF(INDEX($AO$2:$BQ$1001,MATCH(ROWS($AH$2:AH248),$AH$2:$AH$1001,0),MATCH(COLUMNS($AO$1006:BD1006),$AO$1006:$BQ$1006,0)), HYPERLINK("#",""), HYPERLINK(CONCATENATE("#Metadata!", ADDRESS(INDEX($AJ$2:$AJ$1001,MATCH(ROWS($AH$2:AH248),$AH$2:$AH$1001,0),0), INDEX($AO$1004:$BQ$1004,1,MATCH(COLUMNS($AO$1006:BD1006),$AO$1006:$BQ$1006,0)))),"Fix")))</f>
        <v>#N/A</v>
      </c>
      <c r="R248" s="5" t="e">
        <f ca="1">IF(OR(INDEX($AI$2:$AI$1001,MATCH(ROWS($AH$2:AH248),$AH$2:$AH$1001,0),1)&gt;=100000,INDEX($AO$1005:$BQ$1005,1,MATCH(COLUMNS($AO$1006:BE1006),$AO$1006:$BQ$1006,0))&gt;=100000), " ",IF(INDEX($AO$2:$BQ$1001,MATCH(ROWS($AH$2:AH248),$AH$2:$AH$1001,0),MATCH(COLUMNS($AO$1006:BE1006),$AO$1006:$BQ$1006,0)), HYPERLINK("#",""), HYPERLINK(CONCATENATE("#Metadata!", ADDRESS(INDEX($AJ$2:$AJ$1001,MATCH(ROWS($AH$2:AH248),$AH$2:$AH$1001,0),0), INDEX($AO$1004:$BQ$1004,1,MATCH(COLUMNS($AO$1006:BE1006),$AO$1006:$BQ$1006,0)))),"Fix")))</f>
        <v>#N/A</v>
      </c>
      <c r="S248" s="5" t="e">
        <f ca="1">IF(OR(INDEX($AI$2:$AI$1001,MATCH(ROWS($AH$2:AH248),$AH$2:$AH$1001,0),1)&gt;=100000,INDEX($AO$1005:$BQ$1005,1,MATCH(COLUMNS($AO$1006:BF1006),$AO$1006:$BQ$1006,0))&gt;=100000), " ",IF(INDEX($AO$2:$BQ$1001,MATCH(ROWS($AH$2:AH248),$AH$2:$AH$1001,0),MATCH(COLUMNS($AO$1006:BF1006),$AO$1006:$BQ$1006,0)), HYPERLINK("#",""), HYPERLINK(CONCATENATE("#Metadata!", ADDRESS(INDEX($AJ$2:$AJ$1001,MATCH(ROWS($AH$2:AH248),$AH$2:$AH$1001,0),0), INDEX($AO$1004:$BQ$1004,1,MATCH(COLUMNS($AO$1006:BF1006),$AO$1006:$BQ$1006,0)))),"Fix")))</f>
        <v>#N/A</v>
      </c>
      <c r="T248" s="5" t="e">
        <f ca="1">IF(OR(INDEX($AI$2:$AI$1001,MATCH(ROWS($AH$2:AH248),$AH$2:$AH$1001,0),1)&gt;=100000,INDEX($AO$1005:$BQ$1005,1,MATCH(COLUMNS($AO$1006:BG1006),$AO$1006:$BQ$1006,0))&gt;=100000), " ",IF(INDEX($AO$2:$BQ$1001,MATCH(ROWS($AH$2:AH248),$AH$2:$AH$1001,0),MATCH(COLUMNS($AO$1006:BG1006),$AO$1006:$BQ$1006,0)), HYPERLINK("#",""), HYPERLINK(CONCATENATE("#Metadata!", ADDRESS(INDEX($AJ$2:$AJ$1001,MATCH(ROWS($AH$2:AH248),$AH$2:$AH$1001,0),0), INDEX($AO$1004:$BQ$1004,1,MATCH(COLUMNS($AO$1006:BG1006),$AO$1006:$BQ$1006,0)))),"Fix")))</f>
        <v>#N/A</v>
      </c>
      <c r="U248" s="5" t="e">
        <f ca="1">IF(OR(INDEX($AI$2:$AI$1001,MATCH(ROWS($AH$2:AH248),$AH$2:$AH$1001,0),1)&gt;=100000,INDEX($AO$1005:$BQ$1005,1,MATCH(COLUMNS($AO$1006:BH1006),$AO$1006:$BQ$1006,0))&gt;=100000), " ",IF(INDEX($AO$2:$BQ$1001,MATCH(ROWS($AH$2:AH248),$AH$2:$AH$1001,0),MATCH(COLUMNS($AO$1006:BH1006),$AO$1006:$BQ$1006,0)), HYPERLINK("#",""), HYPERLINK(CONCATENATE("#Metadata!", ADDRESS(INDEX($AJ$2:$AJ$1001,MATCH(ROWS($AH$2:AH248),$AH$2:$AH$1001,0),0), INDEX($AO$1004:$BQ$1004,1,MATCH(COLUMNS($AO$1006:BH1006),$AO$1006:$BQ$1006,0)))),"Fix")))</f>
        <v>#N/A</v>
      </c>
      <c r="V248" s="5" t="e">
        <f ca="1">IF(OR(INDEX($AI$2:$AI$1001,MATCH(ROWS($AH$2:AH248),$AH$2:$AH$1001,0),1)&gt;=100000,INDEX($AO$1005:$BQ$1005,1,MATCH(COLUMNS($AO$1006:BI1006),$AO$1006:$BQ$1006,0))&gt;=100000), " ",IF(INDEX($AO$2:$BQ$1001,MATCH(ROWS($AH$2:AH248),$AH$2:$AH$1001,0),MATCH(COLUMNS($AO$1006:BI1006),$AO$1006:$BQ$1006,0)), HYPERLINK("#",""), HYPERLINK(CONCATENATE("#Metadata!", ADDRESS(INDEX($AJ$2:$AJ$1001,MATCH(ROWS($AH$2:AH248),$AH$2:$AH$1001,0),0), INDEX($AO$1004:$BQ$1004,1,MATCH(COLUMNS($AO$1006:BI1006),$AO$1006:$BQ$1006,0)))),"Fix")))</f>
        <v>#N/A</v>
      </c>
      <c r="W248" s="5" t="e">
        <f ca="1">IF(OR(INDEX($AI$2:$AI$1001,MATCH(ROWS($AH$2:AH248),$AH$2:$AH$1001,0),1)&gt;=100000,INDEX($AO$1005:$BQ$1005,1,MATCH(COLUMNS($AO$1006:BJ1006),$AO$1006:$BQ$1006,0))&gt;=100000), " ",IF(INDEX($AO$2:$BQ$1001,MATCH(ROWS($AH$2:AH248),$AH$2:$AH$1001,0),MATCH(COLUMNS($AO$1006:BJ1006),$AO$1006:$BQ$1006,0)), HYPERLINK("#",""), HYPERLINK(CONCATENATE("#Metadata!", ADDRESS(INDEX($AJ$2:$AJ$1001,MATCH(ROWS($AH$2:AH248),$AH$2:$AH$1001,0),0), INDEX($AO$1004:$BQ$1004,1,MATCH(COLUMNS($AO$1006:BJ1006),$AO$1006:$BQ$1006,0)))),"Fix")))</f>
        <v>#N/A</v>
      </c>
      <c r="X248" s="5" t="e">
        <f ca="1">IF(OR(INDEX($AI$2:$AI$1001,MATCH(ROWS($AH$2:AH248),$AH$2:$AH$1001,0),1)&gt;=100000,INDEX($AO$1005:$BQ$1005,1,MATCH(COLUMNS($AO$1006:BK1006),$AO$1006:$BQ$1006,0))&gt;=100000), " ",IF(INDEX($AO$2:$BQ$1001,MATCH(ROWS($AH$2:AH248),$AH$2:$AH$1001,0),MATCH(COLUMNS($AO$1006:BK1006),$AO$1006:$BQ$1006,0)), HYPERLINK("#",""), HYPERLINK(CONCATENATE("#Metadata!", ADDRESS(INDEX($AJ$2:$AJ$1001,MATCH(ROWS($AH$2:AH248),$AH$2:$AH$1001,0),0), INDEX($AO$1004:$BQ$1004,1,MATCH(COLUMNS($AO$1006:BK1006),$AO$1006:$BQ$1006,0)))),"Fix")))</f>
        <v>#N/A</v>
      </c>
      <c r="Y248" s="5" t="e">
        <f ca="1">IF(OR(INDEX($AI$2:$AI$1001,MATCH(ROWS($AH$2:AH248),$AH$2:$AH$1001,0),1)&gt;=100000,INDEX($AO$1005:$BQ$1005,1,MATCH(COLUMNS($AO$1006:BL1006),$AO$1006:$BQ$1006,0))&gt;=100000), " ",IF(INDEX($AO$2:$BQ$1001,MATCH(ROWS($AH$2:AH248),$AH$2:$AH$1001,0),MATCH(COLUMNS($AO$1006:BL1006),$AO$1006:$BQ$1006,0)), HYPERLINK("#",""), HYPERLINK(CONCATENATE("#Metadata!", ADDRESS(INDEX($AJ$2:$AJ$1001,MATCH(ROWS($AH$2:AH248),$AH$2:$AH$1001,0),0), INDEX($AO$1004:$BQ$1004,1,MATCH(COLUMNS($AO$1006:BL1006),$AO$1006:$BQ$1006,0)))),"Fix")))</f>
        <v>#N/A</v>
      </c>
      <c r="Z248" s="5" t="e">
        <f ca="1">IF(OR(INDEX($AI$2:$AI$1001,MATCH(ROWS($AH$2:AH248),$AH$2:$AH$1001,0),1)&gt;=100000,INDEX($AO$1005:$BQ$1005,1,MATCH(COLUMNS($AO$1006:BM1006),$AO$1006:$BQ$1006,0))&gt;=100000), " ",IF(INDEX($AO$2:$BQ$1001,MATCH(ROWS($AH$2:AH248),$AH$2:$AH$1001,0),MATCH(COLUMNS($AO$1006:BM1006),$AO$1006:$BQ$1006,0)), HYPERLINK("#",""), HYPERLINK(CONCATENATE("#Metadata!", ADDRESS(INDEX($AJ$2:$AJ$1001,MATCH(ROWS($AH$2:AH248),$AH$2:$AH$1001,0),0), INDEX($AO$1004:$BQ$1004,1,MATCH(COLUMNS($AO$1006:BM1006),$AO$1006:$BQ$1006,0)))),"Fix")))</f>
        <v>#N/A</v>
      </c>
      <c r="AA248" s="5" t="e">
        <f ca="1">IF(OR(INDEX($AI$2:$AI$1001,MATCH(ROWS($AH$2:AH248),$AH$2:$AH$1001,0),1)&gt;=100000,INDEX($AO$1005:$BQ$1005,1,MATCH(COLUMNS($AO$1006:BN1006),$AO$1006:$BQ$1006,0))&gt;=100000), " ",IF(INDEX($AO$2:$BQ$1001,MATCH(ROWS($AH$2:AH248),$AH$2:$AH$1001,0),MATCH(COLUMNS($AO$1006:BN1006),$AO$1006:$BQ$1006,0)), HYPERLINK("#",""), HYPERLINK(CONCATENATE("#Metadata!", ADDRESS(INDEX($AJ$2:$AJ$1001,MATCH(ROWS($AH$2:AH248),$AH$2:$AH$1001,0),0), INDEX($AO$1004:$BQ$1004,1,MATCH(COLUMNS($AO$1006:BN1006),$AO$1006:$BQ$1006,0)))),"Fix")))</f>
        <v>#N/A</v>
      </c>
      <c r="AB248" s="5" t="e">
        <f ca="1">IF(OR(INDEX($AI$2:$AI$1001,MATCH(ROWS($AH$2:AH248),$AH$2:$AH$1001,0),1)&gt;=100000,INDEX($AO$1005:$BQ$1005,1,MATCH(COLUMNS($AO$1006:BO1006),$AO$1006:$BQ$1006,0))&gt;=100000), " ",IF(INDEX($AO$2:$BQ$1001,MATCH(ROWS($AH$2:AH248),$AH$2:$AH$1001,0),MATCH(COLUMNS($AO$1006:BO1006),$AO$1006:$BQ$1006,0)), HYPERLINK("#",""), HYPERLINK(CONCATENATE("#Metadata!", ADDRESS(INDEX($AJ$2:$AJ$1001,MATCH(ROWS($AH$2:AH248),$AH$2:$AH$1001,0),0), INDEX($AO$1004:$BQ$1004,1,MATCH(COLUMNS($AO$1006:BO1006),$AO$1006:$BQ$1006,0)))),"Fix")))</f>
        <v>#N/A</v>
      </c>
      <c r="AC248" s="5" t="e">
        <f ca="1">IF(OR(INDEX($AI$2:$AI$1001,MATCH(ROWS($AH$2:AH248),$AH$2:$AH$1001,0),1)&gt;=100000,INDEX($AO$1005:$BQ$1005,1,MATCH(COLUMNS($AO$1006:BP1006),$AO$1006:$BQ$1006,0))&gt;=100000), " ",IF(INDEX($AO$2:$BQ$1001,MATCH(ROWS($AH$2:AH248),$AH$2:$AH$1001,0),MATCH(COLUMNS($AO$1006:BP1006),$AO$1006:$BQ$1006,0)), HYPERLINK("#",""), HYPERLINK(CONCATENATE("#Metadata!", ADDRESS(INDEX($AJ$2:$AJ$1001,MATCH(ROWS($AH$2:AH248),$AH$2:$AH$1001,0),0), INDEX($AO$1004:$BQ$1004,1,MATCH(COLUMNS($AO$1006:BP1006),$AO$1006:$BQ$1006,0)))),"Fix")))</f>
        <v>#N/A</v>
      </c>
      <c r="AD248" s="5" t="e">
        <f ca="1">IF(OR(INDEX($AI$2:$AI$1001,MATCH(ROWS($AH$2:AH248),$AH$2:$AH$1001,0),1)&gt;=100000,INDEX($AO$1005:$BQ$1005,1,MATCH(COLUMNS($AO$1006:BQ1006),$AO$1006:$BQ$1006,0))&gt;=100000), " ",IF(INDEX($AO$2:$BQ$1001,MATCH(ROWS($AH$2:AH248),$AH$2:$AH$1001,0),MATCH(COLUMNS($AO$1006:BQ1006),$AO$1006:$BQ$1006,0)), HYPERLINK("#",""), HYPERLINK(CONCATENATE("#Metadata!", ADDRESS(INDEX($AJ$2:$AJ$1001,MATCH(ROWS($AH$2:AH248),$AH$2:$AH$1001,0),0), INDEX($AO$1004:$BQ$1004,1,MATCH(COLUMNS($AO$1006:BQ1006),$AO$1006:$BQ$1006,0)))),"Fix")))</f>
        <v>#REF!</v>
      </c>
      <c r="AH248">
        <f ca="1"/>
        <v>245</v>
      </c>
      <c r="AI248">
        <v>100248</v>
      </c>
      <c r="AJ248">
        <v>248</v>
      </c>
      <c r="AK248" t="b">
        <f t="shared" si="3"/>
        <v>1</v>
      </c>
      <c r="AL248" t="b">
        <f>COUNTBLANK(Metadata!B248:AD248)=COLUMNS(Metadata!B248:AD248)</f>
        <v>1</v>
      </c>
      <c r="AM248" t="str">
        <v/>
      </c>
      <c r="AO248" t="b">
        <f ca="1">AND(IF(Metadata!B248="",FALSE,TRUE),COUNTIF(Metadata!B:B, Metadata!B248) = 1,NOT(ISERROR(SUMPRODUCT(SEARCH(MID(Metadata!B248,ROW(INDIRECT("1:"&amp;LEN(Metadata!B248))), 1),"0123456789abcdefghijklmnopqrstuvwxyzABCDEFGHIJKLMNOPQRSTUVWXYZ.")))))</f>
        <v>0</v>
      </c>
      <c r="AP248" t="b">
        <f>IF(Metadata!C248="",FALSE,TRUE)</f>
        <v>0</v>
      </c>
      <c r="AQ248" t="b">
        <f>IF(Metadata!D248="",FALSE,TRUE)</f>
        <v>0</v>
      </c>
      <c r="AR248" t="b">
        <f ca="1">OR(AND(IF(Metadata!E248="",FALSE,TRUE),OR(EXACT(Metadata!E248,"not collected"),EXACT(Metadata!E248,"not provided"),EXACT(Metadata!E248,"restricted access"))),AND(IF(Metadata!E248="",FALSE,TRUE),AND(AND(IFERROR(INT(LEFT(Metadata!E248,4))&gt;1900,FALSE),IFERROR(INT(LEFT(Metadata!E248,4))&lt;=YEAR(NOW()),FALSE)), OR(MID(Metadata!E248,5,1)="", AND(AND(MID(Metadata!E248,5,1)="-",IFERROR(INT(MID(Metadata!E248,6,1))&gt;=0,FALSE),IFERROR(INT(MID(Metadata!E248,6,1))&lt;=1,FALSE),NOT(MID(Metadata!E248,7,1)=""),IFERROR(INT(MID(Metadata!E248,6,2))&gt;=1,FALSE),IFERROR(INT(MID(Metadata!E248,6,2))&lt;=12,FALSE)), OR(MID(Metadata!E248,8,1)="", AND(AND(MID(Metadata!E248,8,1)="-",IFERROR(INT(MID(Metadata!E248,9,1))&gt;=0,FALSE),IFERROR(INT(MID(Metadata!E248,9,1))&lt;=3,FALSE),NOT(MID(Metadata!E248,10,1)=""),IFERROR(INT(MID(Metadata!E248,9,2))&gt;=1,FALSE),IFERROR(INT(MID(Metadata!E248,9,2))&lt;=31,FALSE)), OR(MID(Metadata!E248,11,1)="", AND(AND(MID(Metadata!E248,11,1)=" ",IFERROR(INT(MID(Metadata!E248,12,1))&gt;=0,FALSE),IFERROR(INT(MID(Metadata!E248,12,1))&lt;=2,FALSE),NOT(MID(Metadata!E248,13,1)=""),IFERROR(INT(MID(Metadata!E248,12,2))&gt;=0,FALSE),IFERROR(INT(MID(Metadata!E248,12,2))&lt;=23,FALSE)), OR(MID(Metadata!E248,14,1)="", AND(AND(MID(Metadata!E248,14,1)=":",IFERROR(INT(MID(Metadata!E248,15,1))&gt;=0,FALSE),IFERROR(INT(MID(Metadata!E248,15,1))&lt;=5,FALSE),NOT(MID(Metadata!E248,16,1)=""),IFERROR(INT(MID(Metadata!E248,15,2))&gt;=0,FALSE),IFERROR(INT(MID(Metadata!E248,15,2))&lt;=59,FALSE)), OR(MID(Metadata!E248,17,1)="", AND(AND(MID(Metadata!E248,17,1)=":",IFERROR(INT(MID(Metadata!E248,18,1))&gt;=0,FALSE),IFERROR(INT(MID(Metadata!E248,18,1))&lt;=5,FALSE),NOT(MID(Metadata!E248,19,1)=""),IFERROR(INT(MID(Metadata!E248,18,2))&gt;=0,FALSE),IFERROR(INT(MID(Metadata!E248,18,2))&lt;=59,FALSE)), LEN(Metadata!E248)&lt;=19)))))))))))))</f>
        <v>0</v>
      </c>
      <c r="AS248" t="b">
        <f>IF(Metadata!F248="",FALSE,TRUE)</f>
        <v>0</v>
      </c>
      <c r="AT248" t="b">
        <f>OR(AND(IF(Metadata!G248="",FALSE,TRUE),OR(EXACT(Metadata!G248,"not collected"),EXACT(Metadata!G248,"not provided"))),AND(IF(Metadata!G248="",FALSE,TRUE),OR(EXACT(Metadata!G248,"TRUE"),EXACT(Metadata!G248,"FALSE"))))</f>
        <v>0</v>
      </c>
      <c r="AU248" t="b">
        <f>OR(AND(IF(Metadata!H248="",FALSE,TRUE),OR(EXACT(Metadata!H248,"not collected"),EXACT(Metadata!H248,"not provided"),EXACT(Metadata!H248,"restricted access"))),AND(IF(Metadata!H248="",FALSE,ISNUMBER(VALUE(Metadata!H248))),Metadata!H248&gt;=-413))</f>
        <v>0</v>
      </c>
      <c r="AV248" t="b">
        <f>AND(IF(Metadata!I248="",FALSE,TRUE),EXACT(Metadata!I248,"meters"))</f>
        <v>0</v>
      </c>
      <c r="AW248" t="b">
        <f>AND(IF(Metadata!J248="",FALSE,TRUE),EXACT(Metadata!J248,"free-living"))</f>
        <v>0</v>
      </c>
      <c r="AX248" t="b">
        <f>AND(IF(Metadata!K248="",FALSE,TRUE),OR(EXACT(Metadata!K248,"saline"),EXACT(Metadata!K248,"non-saline")))</f>
        <v>0</v>
      </c>
      <c r="AY248" t="b">
        <f>AND(IF(Metadata!L248="",FALSE,TRUE),OR(EXACT(Metadata!L248,"sub-surface (non-saline)"),EXACT(Metadata!L248,"surface (non-saline)"),EXACT(Metadata!L248,"water (non-saline)"),EXACT(Metadata!L248,"soil (non-saline)"),EXACT(Metadata!L248,"aerosol (non-saline)"),EXACT(Metadata!L248,"sediment (non-saline)"),EXACT(Metadata!L248,"surface (saline)"),EXACT(Metadata!L248,"water (saline)"),EXACT(Metadata!L248,"hypersaline (saline)"),EXACT(Metadata!L248,"aerosol (saline)"),EXACT(Metadata!L248,"sediment (saline)")))</f>
        <v>0</v>
      </c>
      <c r="AZ248" t="b">
        <f>IF(Metadata!M248="",FALSE,TRUE)</f>
        <v>0</v>
      </c>
      <c r="BA248" t="b">
        <f>IF(Metadata!N248="",FALSE,TRUE)</f>
        <v>0</v>
      </c>
      <c r="BB248" t="b">
        <f>IF(Metadata!O248="",FALSE,TRUE)</f>
        <v>0</v>
      </c>
      <c r="BC248" t="b">
        <f>AND(IF(Metadata!P248="",FALSE,TRUE),OR(EXACT(Metadata!P248,"air"),EXACT(Metadata!P248,"microbial mat/biofilm"),EXACT(Metadata!P248,"misc environment"),EXACT(Metadata!P248,"sediment"),EXACT(Metadata!P248,"soil"),EXACT(Metadata!P248,"wastewater/sludge"),EXACT(Metadata!P248,"water")))</f>
        <v>0</v>
      </c>
      <c r="BD248" t="b">
        <f>IF(Metadata!Q248="",FALSE,TRUE)</f>
        <v>0</v>
      </c>
      <c r="BE248" t="b">
        <f>IF(Metadata!R248="",FALSE,TRUE)</f>
        <v>0</v>
      </c>
      <c r="BF248" t="b">
        <f>OR(AND(IF(Metadata!S248="",FALSE,TRUE),OR(EXACT(Metadata!S248,"not collected"),EXACT(Metadata!S248,"not provided"),EXACT(Metadata!S248,"restricted access"))),AND(IF(Metadata!S248="",FALSE,ISNUMBER(VALUE(Metadata!S248))),Metadata!S248&gt;=-90,Metadata!S248&lt;=90))</f>
        <v>0</v>
      </c>
      <c r="BG248" t="b">
        <f>AND(IF(Metadata!T248="",FALSE,TRUE),EXACT(Metadata!T248,"Decimal degrees"))</f>
        <v>0</v>
      </c>
      <c r="BH248" t="b">
        <f>OR(AND(IF(Metadata!U248="",FALSE,TRUE),OR(EXACT(Metadata!U248,"not applicable"),EXACT(Metadata!U248,"not collected"))),IF(Metadata!U248="",FALSE,TRUE))</f>
        <v>0</v>
      </c>
      <c r="BI248" t="b">
        <f>OR(AND(IF(Metadata!V248="",FALSE,TRUE),OR(EXACT(Metadata!V248,"not collected"),EXACT(Metadata!V248,"not provided"),EXACT(Metadata!V248,"restricted access"))),AND(IF(Metadata!V248="",FALSE,ISNUMBER(VALUE(Metadata!V248))),Metadata!V248&gt;=-180,Metadata!V248&lt;=180))</f>
        <v>0</v>
      </c>
      <c r="BJ248" t="b">
        <f>AND(IF(Metadata!W248="",FALSE,TRUE),EXACT(Metadata!W248,"Decimal degrees"))</f>
        <v>0</v>
      </c>
      <c r="BK248" t="b">
        <f>IF(Metadata!X248="",FALSE,TRUE)</f>
        <v>0</v>
      </c>
      <c r="BL248" t="b">
        <f>OR(AND(IF(Metadata!Y248="",FALSE,TRUE),OR(EXACT(Metadata!Y248,"not collected"),EXACT(Metadata!Y248,"not provided"),EXACT(Metadata!Y248,"restricted access"))),AND(IF(Metadata!Y248="",FALSE,TRUE),OR(EXACT(Metadata!Y248,"TRUE"),EXACT(Metadata!Y248,"FALSE"))))</f>
        <v>0</v>
      </c>
      <c r="BM248" t="b">
        <f>OR(AND(IF(Metadata!Z248="",FALSE,TRUE),EXACT(Metadata!Z248,"not applicable")),AND(IF(Metadata!Z248="",FALSE,TRUE),OR(EXACT(Metadata!Z248,"beer"),EXACT(Metadata!Z248,"cheese"),EXACT(Metadata!Z248,"fresh water"),EXACT(Metadata!Z248,"marine sediment"),EXACT(Metadata!Z248,"sea water"),EXACT(Metadata!Z248,"sediment"),EXACT(Metadata!Z248,"soil"),EXACT(Metadata!Z248,"waste water"))))</f>
        <v>0</v>
      </c>
      <c r="BN248" t="b">
        <f>AND(IF(Metadata!AA248="",FALSE,TRUE),EXACT(Metadata!AA248,"metagenome"))</f>
        <v>0</v>
      </c>
      <c r="BO248" t="b">
        <f>AND(IF(Metadata!AB248="",FALSE,TRUE),EXACT(Metadata!AB248,"256318"))</f>
        <v>0</v>
      </c>
      <c r="BP248" t="b">
        <f>IF(Metadata!AC248="",FALSE,TRUE)</f>
        <v>0</v>
      </c>
      <c r="BQ248" t="b">
        <f>IF(Metadata!AD248="",FALSE,TRUE)</f>
        <v>0</v>
      </c>
    </row>
    <row r="249" spans="1:69" x14ac:dyDescent="0.2">
      <c r="A249" s="4" t="e">
        <f ca="1">IF(B249=" "," ",HYPERLINK(CONCATENATE("#metadata!",ADDRESS(INDEX($AJ$2:$AJ$1001,MATCH(ROWS($AH$2:AH249),$AH$2:$AH$1001,0),0),2)),INDEX($AM$2:$AM$1001,MATCH(ROWS($AH$2:AH249),$AH$2:$AH$1001,0),0)))</f>
        <v>#N/A</v>
      </c>
      <c r="B249" s="5" t="e">
        <f ca="1">IF(OR(INDEX($AI$2:$AI$1001,MATCH(ROWS($AH$2:AH249),$AH$2:$AH$1001,0),1)&gt;=100000,INDEX($AO$1005:$BQ$1005,1,MATCH(COLUMNS($AO$1006:AO1006),$AO$1006:$BQ$1006,0))&gt;=100000), " ",IF(INDEX($AO$2:$BQ$1001,MATCH(ROWS($AH$2:AH249),$AH$2:$AH$1001,0),MATCH(COLUMNS($AO$1006:AO1006),$AO$1006:$BQ$1006,0)), HYPERLINK("#",""), HYPERLINK(CONCATENATE("#Metadata!", ADDRESS(INDEX($AJ$2:$AJ$1001,MATCH(ROWS($AH$2:AH249),$AH$2:$AH$1001,0),0), INDEX($AO$1004:$BQ$1004,1,MATCH(COLUMNS($AO$1006:AO1006),$AO$1006:$BQ$1006,0)))),"Fix")))</f>
        <v>#N/A</v>
      </c>
      <c r="C249" s="5" t="e">
        <f ca="1">IF(OR(INDEX($AI$2:$AI$1001,MATCH(ROWS($AH$2:AH249),$AH$2:$AH$1001,0),1)&gt;=100000,INDEX($AO$1005:$BQ$1005,1,MATCH(COLUMNS($AO$1006:AP1006),$AO$1006:$BQ$1006,0))&gt;=100000), " ",IF(INDEX($AO$2:$BQ$1001,MATCH(ROWS($AH$2:AH249),$AH$2:$AH$1001,0),MATCH(COLUMNS($AO$1006:AP1006),$AO$1006:$BQ$1006,0)), HYPERLINK("#",""), HYPERLINK(CONCATENATE("#Metadata!", ADDRESS(INDEX($AJ$2:$AJ$1001,MATCH(ROWS($AH$2:AH249),$AH$2:$AH$1001,0),0), INDEX($AO$1004:$BQ$1004,1,MATCH(COLUMNS($AO$1006:AP1006),$AO$1006:$BQ$1006,0)))),"Fix")))</f>
        <v>#N/A</v>
      </c>
      <c r="D249" s="5" t="e">
        <f ca="1">IF(OR(INDEX($AI$2:$AI$1001,MATCH(ROWS($AH$2:AH249),$AH$2:$AH$1001,0),1)&gt;=100000,INDEX($AO$1005:$BQ$1005,1,MATCH(COLUMNS($AO$1006:AQ1006),$AO$1006:$BQ$1006,0))&gt;=100000), " ",IF(INDEX($AO$2:$BQ$1001,MATCH(ROWS($AH$2:AH249),$AH$2:$AH$1001,0),MATCH(COLUMNS($AO$1006:AQ1006),$AO$1006:$BQ$1006,0)), HYPERLINK("#",""), HYPERLINK(CONCATENATE("#Metadata!", ADDRESS(INDEX($AJ$2:$AJ$1001,MATCH(ROWS($AH$2:AH249),$AH$2:$AH$1001,0),0), INDEX($AO$1004:$BQ$1004,1,MATCH(COLUMNS($AO$1006:AQ1006),$AO$1006:$BQ$1006,0)))),"Fix")))</f>
        <v>#N/A</v>
      </c>
      <c r="E249" s="5" t="e">
        <f ca="1">IF(OR(INDEX($AI$2:$AI$1001,MATCH(ROWS($AH$2:AH249),$AH$2:$AH$1001,0),1)&gt;=100000,INDEX($AO$1005:$BQ$1005,1,MATCH(COLUMNS($AO$1006:AR1006),$AO$1006:$BQ$1006,0))&gt;=100000), " ",IF(INDEX($AO$2:$BQ$1001,MATCH(ROWS($AH$2:AH249),$AH$2:$AH$1001,0),MATCH(COLUMNS($AO$1006:AR1006),$AO$1006:$BQ$1006,0)), HYPERLINK("#",""), HYPERLINK(CONCATENATE("#Metadata!", ADDRESS(INDEX($AJ$2:$AJ$1001,MATCH(ROWS($AH$2:AH249),$AH$2:$AH$1001,0),0), INDEX($AO$1004:$BQ$1004,1,MATCH(COLUMNS($AO$1006:AR1006),$AO$1006:$BQ$1006,0)))),"Fix")))</f>
        <v>#N/A</v>
      </c>
      <c r="F249" s="5" t="e">
        <f ca="1">IF(OR(INDEX($AI$2:$AI$1001,MATCH(ROWS($AH$2:AH249),$AH$2:$AH$1001,0),1)&gt;=100000,INDEX($AO$1005:$BQ$1005,1,MATCH(COLUMNS($AO$1006:AS1006),$AO$1006:$BQ$1006,0))&gt;=100000), " ",IF(INDEX($AO$2:$BQ$1001,MATCH(ROWS($AH$2:AH249),$AH$2:$AH$1001,0),MATCH(COLUMNS($AO$1006:AS1006),$AO$1006:$BQ$1006,0)), HYPERLINK("#",""), HYPERLINK(CONCATENATE("#Metadata!", ADDRESS(INDEX($AJ$2:$AJ$1001,MATCH(ROWS($AH$2:AH249),$AH$2:$AH$1001,0),0), INDEX($AO$1004:$BQ$1004,1,MATCH(COLUMNS($AO$1006:AS1006),$AO$1006:$BQ$1006,0)))),"Fix")))</f>
        <v>#N/A</v>
      </c>
      <c r="G249" s="5" t="e">
        <f ca="1">IF(OR(INDEX($AI$2:$AI$1001,MATCH(ROWS($AH$2:AH249),$AH$2:$AH$1001,0),1)&gt;=100000,INDEX($AO$1005:$BQ$1005,1,MATCH(COLUMNS($AO$1006:AT1006),$AO$1006:$BQ$1006,0))&gt;=100000), " ",IF(INDEX($AO$2:$BQ$1001,MATCH(ROWS($AH$2:AH249),$AH$2:$AH$1001,0),MATCH(COLUMNS($AO$1006:AT1006),$AO$1006:$BQ$1006,0)), HYPERLINK("#",""), HYPERLINK(CONCATENATE("#Metadata!", ADDRESS(INDEX($AJ$2:$AJ$1001,MATCH(ROWS($AH$2:AH249),$AH$2:$AH$1001,0),0), INDEX($AO$1004:$BQ$1004,1,MATCH(COLUMNS($AO$1006:AT1006),$AO$1006:$BQ$1006,0)))),"Fix")))</f>
        <v>#N/A</v>
      </c>
      <c r="H249" s="5" t="e">
        <f ca="1">IF(OR(INDEX($AI$2:$AI$1001,MATCH(ROWS($AH$2:AH249),$AH$2:$AH$1001,0),1)&gt;=100000,INDEX($AO$1005:$BQ$1005,1,MATCH(COLUMNS($AO$1006:AU1006),$AO$1006:$BQ$1006,0))&gt;=100000), " ",IF(INDEX($AO$2:$BQ$1001,MATCH(ROWS($AH$2:AH249),$AH$2:$AH$1001,0),MATCH(COLUMNS($AO$1006:AU1006),$AO$1006:$BQ$1006,0)), HYPERLINK("#",""), HYPERLINK(CONCATENATE("#Metadata!", ADDRESS(INDEX($AJ$2:$AJ$1001,MATCH(ROWS($AH$2:AH249),$AH$2:$AH$1001,0),0), INDEX($AO$1004:$BQ$1004,1,MATCH(COLUMNS($AO$1006:AU1006),$AO$1006:$BQ$1006,0)))),"Fix")))</f>
        <v>#N/A</v>
      </c>
      <c r="I249" s="5" t="e">
        <f ca="1">IF(OR(INDEX($AI$2:$AI$1001,MATCH(ROWS($AH$2:AH249),$AH$2:$AH$1001,0),1)&gt;=100000,INDEX($AO$1005:$BQ$1005,1,MATCH(COLUMNS($AO$1006:AV1006),$AO$1006:$BQ$1006,0))&gt;=100000), " ",IF(INDEX($AO$2:$BQ$1001,MATCH(ROWS($AH$2:AH249),$AH$2:$AH$1001,0),MATCH(COLUMNS($AO$1006:AV1006),$AO$1006:$BQ$1006,0)), HYPERLINK("#",""), HYPERLINK(CONCATENATE("#Metadata!", ADDRESS(INDEX($AJ$2:$AJ$1001,MATCH(ROWS($AH$2:AH249),$AH$2:$AH$1001,0),0), INDEX($AO$1004:$BQ$1004,1,MATCH(COLUMNS($AO$1006:AV1006),$AO$1006:$BQ$1006,0)))),"Fix")))</f>
        <v>#N/A</v>
      </c>
      <c r="J249" s="5" t="e">
        <f ca="1">IF(OR(INDEX($AI$2:$AI$1001,MATCH(ROWS($AH$2:AH249),$AH$2:$AH$1001,0),1)&gt;=100000,INDEX($AO$1005:$BQ$1005,1,MATCH(COLUMNS($AO$1006:AW1006),$AO$1006:$BQ$1006,0))&gt;=100000), " ",IF(INDEX($AO$2:$BQ$1001,MATCH(ROWS($AH$2:AH249),$AH$2:$AH$1001,0),MATCH(COLUMNS($AO$1006:AW1006),$AO$1006:$BQ$1006,0)), HYPERLINK("#",""), HYPERLINK(CONCATENATE("#Metadata!", ADDRESS(INDEX($AJ$2:$AJ$1001,MATCH(ROWS($AH$2:AH249),$AH$2:$AH$1001,0),0), INDEX($AO$1004:$BQ$1004,1,MATCH(COLUMNS($AO$1006:AW1006),$AO$1006:$BQ$1006,0)))),"Fix")))</f>
        <v>#N/A</v>
      </c>
      <c r="K249" s="5" t="e">
        <f ca="1">IF(OR(INDEX($AI$2:$AI$1001,MATCH(ROWS($AH$2:AH249),$AH$2:$AH$1001,0),1)&gt;=100000,INDEX($AO$1005:$BQ$1005,1,MATCH(COLUMNS($AO$1006:AX1006),$AO$1006:$BQ$1006,0))&gt;=100000), " ",IF(INDEX($AO$2:$BQ$1001,MATCH(ROWS($AH$2:AH249),$AH$2:$AH$1001,0),MATCH(COLUMNS($AO$1006:AX1006),$AO$1006:$BQ$1006,0)), HYPERLINK("#",""), HYPERLINK(CONCATENATE("#Metadata!", ADDRESS(INDEX($AJ$2:$AJ$1001,MATCH(ROWS($AH$2:AH249),$AH$2:$AH$1001,0),0), INDEX($AO$1004:$BQ$1004,1,MATCH(COLUMNS($AO$1006:AX1006),$AO$1006:$BQ$1006,0)))),"Fix")))</f>
        <v>#N/A</v>
      </c>
      <c r="L249" s="5" t="e">
        <f ca="1">IF(OR(INDEX($AI$2:$AI$1001,MATCH(ROWS($AH$2:AH249),$AH$2:$AH$1001,0),1)&gt;=100000,INDEX($AO$1005:$BQ$1005,1,MATCH(COLUMNS($AO$1006:AY1006),$AO$1006:$BQ$1006,0))&gt;=100000), " ",IF(INDEX($AO$2:$BQ$1001,MATCH(ROWS($AH$2:AH249),$AH$2:$AH$1001,0),MATCH(COLUMNS($AO$1006:AY1006),$AO$1006:$BQ$1006,0)), HYPERLINK("#",""), HYPERLINK(CONCATENATE("#Metadata!", ADDRESS(INDEX($AJ$2:$AJ$1001,MATCH(ROWS($AH$2:AH249),$AH$2:$AH$1001,0),0), INDEX($AO$1004:$BQ$1004,1,MATCH(COLUMNS($AO$1006:AY1006),$AO$1006:$BQ$1006,0)))),"Fix")))</f>
        <v>#N/A</v>
      </c>
      <c r="M249" s="5" t="e">
        <f ca="1">IF(OR(INDEX($AI$2:$AI$1001,MATCH(ROWS($AH$2:AH249),$AH$2:$AH$1001,0),1)&gt;=100000,INDEX($AO$1005:$BQ$1005,1,MATCH(COLUMNS($AO$1006:AZ1006),$AO$1006:$BQ$1006,0))&gt;=100000), " ",IF(INDEX($AO$2:$BQ$1001,MATCH(ROWS($AH$2:AH249),$AH$2:$AH$1001,0),MATCH(COLUMNS($AO$1006:AZ1006),$AO$1006:$BQ$1006,0)), HYPERLINK("#",""), HYPERLINK(CONCATENATE("#Metadata!", ADDRESS(INDEX($AJ$2:$AJ$1001,MATCH(ROWS($AH$2:AH249),$AH$2:$AH$1001,0),0), INDEX($AO$1004:$BQ$1004,1,MATCH(COLUMNS($AO$1006:AZ1006),$AO$1006:$BQ$1006,0)))),"Fix")))</f>
        <v>#N/A</v>
      </c>
      <c r="N249" s="5" t="e">
        <f ca="1">IF(OR(INDEX($AI$2:$AI$1001,MATCH(ROWS($AH$2:AH249),$AH$2:$AH$1001,0),1)&gt;=100000,INDEX($AO$1005:$BQ$1005,1,MATCH(COLUMNS($AO$1006:BA1006),$AO$1006:$BQ$1006,0))&gt;=100000), " ",IF(INDEX($AO$2:$BQ$1001,MATCH(ROWS($AH$2:AH249),$AH$2:$AH$1001,0),MATCH(COLUMNS($AO$1006:BA1006),$AO$1006:$BQ$1006,0)), HYPERLINK("#",""), HYPERLINK(CONCATENATE("#Metadata!", ADDRESS(INDEX($AJ$2:$AJ$1001,MATCH(ROWS($AH$2:AH249),$AH$2:$AH$1001,0),0), INDEX($AO$1004:$BQ$1004,1,MATCH(COLUMNS($AO$1006:BA1006),$AO$1006:$BQ$1006,0)))),"Fix")))</f>
        <v>#N/A</v>
      </c>
      <c r="O249" s="5" t="e">
        <f ca="1">IF(OR(INDEX($AI$2:$AI$1001,MATCH(ROWS($AH$2:AH249),$AH$2:$AH$1001,0),1)&gt;=100000,INDEX($AO$1005:$BQ$1005,1,MATCH(COLUMNS($AO$1006:BB1006),$AO$1006:$BQ$1006,0))&gt;=100000), " ",IF(INDEX($AO$2:$BQ$1001,MATCH(ROWS($AH$2:AH249),$AH$2:$AH$1001,0),MATCH(COLUMNS($AO$1006:BB1006),$AO$1006:$BQ$1006,0)), HYPERLINK("#",""), HYPERLINK(CONCATENATE("#Metadata!", ADDRESS(INDEX($AJ$2:$AJ$1001,MATCH(ROWS($AH$2:AH249),$AH$2:$AH$1001,0),0), INDEX($AO$1004:$BQ$1004,1,MATCH(COLUMNS($AO$1006:BB1006),$AO$1006:$BQ$1006,0)))),"Fix")))</f>
        <v>#N/A</v>
      </c>
      <c r="P249" s="5" t="e">
        <f ca="1">IF(OR(INDEX($AI$2:$AI$1001,MATCH(ROWS($AH$2:AH249),$AH$2:$AH$1001,0),1)&gt;=100000,INDEX($AO$1005:$BQ$1005,1,MATCH(COLUMNS($AO$1006:BC1006),$AO$1006:$BQ$1006,0))&gt;=100000), " ",IF(INDEX($AO$2:$BQ$1001,MATCH(ROWS($AH$2:AH249),$AH$2:$AH$1001,0),MATCH(COLUMNS($AO$1006:BC1006),$AO$1006:$BQ$1006,0)), HYPERLINK("#",""), HYPERLINK(CONCATENATE("#Metadata!", ADDRESS(INDEX($AJ$2:$AJ$1001,MATCH(ROWS($AH$2:AH249),$AH$2:$AH$1001,0),0), INDEX($AO$1004:$BQ$1004,1,MATCH(COLUMNS($AO$1006:BC1006),$AO$1006:$BQ$1006,0)))),"Fix")))</f>
        <v>#N/A</v>
      </c>
      <c r="Q249" s="5" t="e">
        <f ca="1">IF(OR(INDEX($AI$2:$AI$1001,MATCH(ROWS($AH$2:AH249),$AH$2:$AH$1001,0),1)&gt;=100000,INDEX($AO$1005:$BQ$1005,1,MATCH(COLUMNS($AO$1006:BD1006),$AO$1006:$BQ$1006,0))&gt;=100000), " ",IF(INDEX($AO$2:$BQ$1001,MATCH(ROWS($AH$2:AH249),$AH$2:$AH$1001,0),MATCH(COLUMNS($AO$1006:BD1006),$AO$1006:$BQ$1006,0)), HYPERLINK("#",""), HYPERLINK(CONCATENATE("#Metadata!", ADDRESS(INDEX($AJ$2:$AJ$1001,MATCH(ROWS($AH$2:AH249),$AH$2:$AH$1001,0),0), INDEX($AO$1004:$BQ$1004,1,MATCH(COLUMNS($AO$1006:BD1006),$AO$1006:$BQ$1006,0)))),"Fix")))</f>
        <v>#N/A</v>
      </c>
      <c r="R249" s="5" t="e">
        <f ca="1">IF(OR(INDEX($AI$2:$AI$1001,MATCH(ROWS($AH$2:AH249),$AH$2:$AH$1001,0),1)&gt;=100000,INDEX($AO$1005:$BQ$1005,1,MATCH(COLUMNS($AO$1006:BE1006),$AO$1006:$BQ$1006,0))&gt;=100000), " ",IF(INDEX($AO$2:$BQ$1001,MATCH(ROWS($AH$2:AH249),$AH$2:$AH$1001,0),MATCH(COLUMNS($AO$1006:BE1006),$AO$1006:$BQ$1006,0)), HYPERLINK("#",""), HYPERLINK(CONCATENATE("#Metadata!", ADDRESS(INDEX($AJ$2:$AJ$1001,MATCH(ROWS($AH$2:AH249),$AH$2:$AH$1001,0),0), INDEX($AO$1004:$BQ$1004,1,MATCH(COLUMNS($AO$1006:BE1006),$AO$1006:$BQ$1006,0)))),"Fix")))</f>
        <v>#N/A</v>
      </c>
      <c r="S249" s="5" t="e">
        <f ca="1">IF(OR(INDEX($AI$2:$AI$1001,MATCH(ROWS($AH$2:AH249),$AH$2:$AH$1001,0),1)&gt;=100000,INDEX($AO$1005:$BQ$1005,1,MATCH(COLUMNS($AO$1006:BF1006),$AO$1006:$BQ$1006,0))&gt;=100000), " ",IF(INDEX($AO$2:$BQ$1001,MATCH(ROWS($AH$2:AH249),$AH$2:$AH$1001,0),MATCH(COLUMNS($AO$1006:BF1006),$AO$1006:$BQ$1006,0)), HYPERLINK("#",""), HYPERLINK(CONCATENATE("#Metadata!", ADDRESS(INDEX($AJ$2:$AJ$1001,MATCH(ROWS($AH$2:AH249),$AH$2:$AH$1001,0),0), INDEX($AO$1004:$BQ$1004,1,MATCH(COLUMNS($AO$1006:BF1006),$AO$1006:$BQ$1006,0)))),"Fix")))</f>
        <v>#N/A</v>
      </c>
      <c r="T249" s="5" t="e">
        <f ca="1">IF(OR(INDEX($AI$2:$AI$1001,MATCH(ROWS($AH$2:AH249),$AH$2:$AH$1001,0),1)&gt;=100000,INDEX($AO$1005:$BQ$1005,1,MATCH(COLUMNS($AO$1006:BG1006),$AO$1006:$BQ$1006,0))&gt;=100000), " ",IF(INDEX($AO$2:$BQ$1001,MATCH(ROWS($AH$2:AH249),$AH$2:$AH$1001,0),MATCH(COLUMNS($AO$1006:BG1006),$AO$1006:$BQ$1006,0)), HYPERLINK("#",""), HYPERLINK(CONCATENATE("#Metadata!", ADDRESS(INDEX($AJ$2:$AJ$1001,MATCH(ROWS($AH$2:AH249),$AH$2:$AH$1001,0),0), INDEX($AO$1004:$BQ$1004,1,MATCH(COLUMNS($AO$1006:BG1006),$AO$1006:$BQ$1006,0)))),"Fix")))</f>
        <v>#N/A</v>
      </c>
      <c r="U249" s="5" t="e">
        <f ca="1">IF(OR(INDEX($AI$2:$AI$1001,MATCH(ROWS($AH$2:AH249),$AH$2:$AH$1001,0),1)&gt;=100000,INDEX($AO$1005:$BQ$1005,1,MATCH(COLUMNS($AO$1006:BH1006),$AO$1006:$BQ$1006,0))&gt;=100000), " ",IF(INDEX($AO$2:$BQ$1001,MATCH(ROWS($AH$2:AH249),$AH$2:$AH$1001,0),MATCH(COLUMNS($AO$1006:BH1006),$AO$1006:$BQ$1006,0)), HYPERLINK("#",""), HYPERLINK(CONCATENATE("#Metadata!", ADDRESS(INDEX($AJ$2:$AJ$1001,MATCH(ROWS($AH$2:AH249),$AH$2:$AH$1001,0),0), INDEX($AO$1004:$BQ$1004,1,MATCH(COLUMNS($AO$1006:BH1006),$AO$1006:$BQ$1006,0)))),"Fix")))</f>
        <v>#N/A</v>
      </c>
      <c r="V249" s="5" t="e">
        <f ca="1">IF(OR(INDEX($AI$2:$AI$1001,MATCH(ROWS($AH$2:AH249),$AH$2:$AH$1001,0),1)&gt;=100000,INDEX($AO$1005:$BQ$1005,1,MATCH(COLUMNS($AO$1006:BI1006),$AO$1006:$BQ$1006,0))&gt;=100000), " ",IF(INDEX($AO$2:$BQ$1001,MATCH(ROWS($AH$2:AH249),$AH$2:$AH$1001,0),MATCH(COLUMNS($AO$1006:BI1006),$AO$1006:$BQ$1006,0)), HYPERLINK("#",""), HYPERLINK(CONCATENATE("#Metadata!", ADDRESS(INDEX($AJ$2:$AJ$1001,MATCH(ROWS($AH$2:AH249),$AH$2:$AH$1001,0),0), INDEX($AO$1004:$BQ$1004,1,MATCH(COLUMNS($AO$1006:BI1006),$AO$1006:$BQ$1006,0)))),"Fix")))</f>
        <v>#N/A</v>
      </c>
      <c r="W249" s="5" t="e">
        <f ca="1">IF(OR(INDEX($AI$2:$AI$1001,MATCH(ROWS($AH$2:AH249),$AH$2:$AH$1001,0),1)&gt;=100000,INDEX($AO$1005:$BQ$1005,1,MATCH(COLUMNS($AO$1006:BJ1006),$AO$1006:$BQ$1006,0))&gt;=100000), " ",IF(INDEX($AO$2:$BQ$1001,MATCH(ROWS($AH$2:AH249),$AH$2:$AH$1001,0),MATCH(COLUMNS($AO$1006:BJ1006),$AO$1006:$BQ$1006,0)), HYPERLINK("#",""), HYPERLINK(CONCATENATE("#Metadata!", ADDRESS(INDEX($AJ$2:$AJ$1001,MATCH(ROWS($AH$2:AH249),$AH$2:$AH$1001,0),0), INDEX($AO$1004:$BQ$1004,1,MATCH(COLUMNS($AO$1006:BJ1006),$AO$1006:$BQ$1006,0)))),"Fix")))</f>
        <v>#N/A</v>
      </c>
      <c r="X249" s="5" t="e">
        <f ca="1">IF(OR(INDEX($AI$2:$AI$1001,MATCH(ROWS($AH$2:AH249),$AH$2:$AH$1001,0),1)&gt;=100000,INDEX($AO$1005:$BQ$1005,1,MATCH(COLUMNS($AO$1006:BK1006),$AO$1006:$BQ$1006,0))&gt;=100000), " ",IF(INDEX($AO$2:$BQ$1001,MATCH(ROWS($AH$2:AH249),$AH$2:$AH$1001,0),MATCH(COLUMNS($AO$1006:BK1006),$AO$1006:$BQ$1006,0)), HYPERLINK("#",""), HYPERLINK(CONCATENATE("#Metadata!", ADDRESS(INDEX($AJ$2:$AJ$1001,MATCH(ROWS($AH$2:AH249),$AH$2:$AH$1001,0),0), INDEX($AO$1004:$BQ$1004,1,MATCH(COLUMNS($AO$1006:BK1006),$AO$1006:$BQ$1006,0)))),"Fix")))</f>
        <v>#N/A</v>
      </c>
      <c r="Y249" s="5" t="e">
        <f ca="1">IF(OR(INDEX($AI$2:$AI$1001,MATCH(ROWS($AH$2:AH249),$AH$2:$AH$1001,0),1)&gt;=100000,INDEX($AO$1005:$BQ$1005,1,MATCH(COLUMNS($AO$1006:BL1006),$AO$1006:$BQ$1006,0))&gt;=100000), " ",IF(INDEX($AO$2:$BQ$1001,MATCH(ROWS($AH$2:AH249),$AH$2:$AH$1001,0),MATCH(COLUMNS($AO$1006:BL1006),$AO$1006:$BQ$1006,0)), HYPERLINK("#",""), HYPERLINK(CONCATENATE("#Metadata!", ADDRESS(INDEX($AJ$2:$AJ$1001,MATCH(ROWS($AH$2:AH249),$AH$2:$AH$1001,0),0), INDEX($AO$1004:$BQ$1004,1,MATCH(COLUMNS($AO$1006:BL1006),$AO$1006:$BQ$1006,0)))),"Fix")))</f>
        <v>#N/A</v>
      </c>
      <c r="Z249" s="5" t="e">
        <f ca="1">IF(OR(INDEX($AI$2:$AI$1001,MATCH(ROWS($AH$2:AH249),$AH$2:$AH$1001,0),1)&gt;=100000,INDEX($AO$1005:$BQ$1005,1,MATCH(COLUMNS($AO$1006:BM1006),$AO$1006:$BQ$1006,0))&gt;=100000), " ",IF(INDEX($AO$2:$BQ$1001,MATCH(ROWS($AH$2:AH249),$AH$2:$AH$1001,0),MATCH(COLUMNS($AO$1006:BM1006),$AO$1006:$BQ$1006,0)), HYPERLINK("#",""), HYPERLINK(CONCATENATE("#Metadata!", ADDRESS(INDEX($AJ$2:$AJ$1001,MATCH(ROWS($AH$2:AH249),$AH$2:$AH$1001,0),0), INDEX($AO$1004:$BQ$1004,1,MATCH(COLUMNS($AO$1006:BM1006),$AO$1006:$BQ$1006,0)))),"Fix")))</f>
        <v>#N/A</v>
      </c>
      <c r="AA249" s="5" t="e">
        <f ca="1">IF(OR(INDEX($AI$2:$AI$1001,MATCH(ROWS($AH$2:AH249),$AH$2:$AH$1001,0),1)&gt;=100000,INDEX($AO$1005:$BQ$1005,1,MATCH(COLUMNS($AO$1006:BN1006),$AO$1006:$BQ$1006,0))&gt;=100000), " ",IF(INDEX($AO$2:$BQ$1001,MATCH(ROWS($AH$2:AH249),$AH$2:$AH$1001,0),MATCH(COLUMNS($AO$1006:BN1006),$AO$1006:$BQ$1006,0)), HYPERLINK("#",""), HYPERLINK(CONCATENATE("#Metadata!", ADDRESS(INDEX($AJ$2:$AJ$1001,MATCH(ROWS($AH$2:AH249),$AH$2:$AH$1001,0),0), INDEX($AO$1004:$BQ$1004,1,MATCH(COLUMNS($AO$1006:BN1006),$AO$1006:$BQ$1006,0)))),"Fix")))</f>
        <v>#N/A</v>
      </c>
      <c r="AB249" s="5" t="e">
        <f ca="1">IF(OR(INDEX($AI$2:$AI$1001,MATCH(ROWS($AH$2:AH249),$AH$2:$AH$1001,0),1)&gt;=100000,INDEX($AO$1005:$BQ$1005,1,MATCH(COLUMNS($AO$1006:BO1006),$AO$1006:$BQ$1006,0))&gt;=100000), " ",IF(INDEX($AO$2:$BQ$1001,MATCH(ROWS($AH$2:AH249),$AH$2:$AH$1001,0),MATCH(COLUMNS($AO$1006:BO1006),$AO$1006:$BQ$1006,0)), HYPERLINK("#",""), HYPERLINK(CONCATENATE("#Metadata!", ADDRESS(INDEX($AJ$2:$AJ$1001,MATCH(ROWS($AH$2:AH249),$AH$2:$AH$1001,0),0), INDEX($AO$1004:$BQ$1004,1,MATCH(COLUMNS($AO$1006:BO1006),$AO$1006:$BQ$1006,0)))),"Fix")))</f>
        <v>#N/A</v>
      </c>
      <c r="AC249" s="5" t="e">
        <f ca="1">IF(OR(INDEX($AI$2:$AI$1001,MATCH(ROWS($AH$2:AH249),$AH$2:$AH$1001,0),1)&gt;=100000,INDEX($AO$1005:$BQ$1005,1,MATCH(COLUMNS($AO$1006:BP1006),$AO$1006:$BQ$1006,0))&gt;=100000), " ",IF(INDEX($AO$2:$BQ$1001,MATCH(ROWS($AH$2:AH249),$AH$2:$AH$1001,0),MATCH(COLUMNS($AO$1006:BP1006),$AO$1006:$BQ$1006,0)), HYPERLINK("#",""), HYPERLINK(CONCATENATE("#Metadata!", ADDRESS(INDEX($AJ$2:$AJ$1001,MATCH(ROWS($AH$2:AH249),$AH$2:$AH$1001,0),0), INDEX($AO$1004:$BQ$1004,1,MATCH(COLUMNS($AO$1006:BP1006),$AO$1006:$BQ$1006,0)))),"Fix")))</f>
        <v>#N/A</v>
      </c>
      <c r="AD249" s="5" t="e">
        <f ca="1">IF(OR(INDEX($AI$2:$AI$1001,MATCH(ROWS($AH$2:AH249),$AH$2:$AH$1001,0),1)&gt;=100000,INDEX($AO$1005:$BQ$1005,1,MATCH(COLUMNS($AO$1006:BQ1006),$AO$1006:$BQ$1006,0))&gt;=100000), " ",IF(INDEX($AO$2:$BQ$1001,MATCH(ROWS($AH$2:AH249),$AH$2:$AH$1001,0),MATCH(COLUMNS($AO$1006:BQ1006),$AO$1006:$BQ$1006,0)), HYPERLINK("#",""), HYPERLINK(CONCATENATE("#Metadata!", ADDRESS(INDEX($AJ$2:$AJ$1001,MATCH(ROWS($AH$2:AH249),$AH$2:$AH$1001,0),0), INDEX($AO$1004:$BQ$1004,1,MATCH(COLUMNS($AO$1006:BQ1006),$AO$1006:$BQ$1006,0)))),"Fix")))</f>
        <v>#REF!</v>
      </c>
      <c r="AH249">
        <f ca="1"/>
        <v>246</v>
      </c>
      <c r="AI249">
        <v>100249</v>
      </c>
      <c r="AJ249">
        <v>249</v>
      </c>
      <c r="AK249" t="b">
        <f t="shared" si="3"/>
        <v>1</v>
      </c>
      <c r="AL249" t="b">
        <f>COUNTBLANK(Metadata!B249:AD249)=COLUMNS(Metadata!B249:AD249)</f>
        <v>1</v>
      </c>
      <c r="AM249" t="str">
        <v/>
      </c>
      <c r="AO249" t="b">
        <f ca="1">AND(IF(Metadata!B249="",FALSE,TRUE),COUNTIF(Metadata!B:B, Metadata!B249) = 1,NOT(ISERROR(SUMPRODUCT(SEARCH(MID(Metadata!B249,ROW(INDIRECT("1:"&amp;LEN(Metadata!B249))), 1),"0123456789abcdefghijklmnopqrstuvwxyzABCDEFGHIJKLMNOPQRSTUVWXYZ.")))))</f>
        <v>0</v>
      </c>
      <c r="AP249" t="b">
        <f>IF(Metadata!C249="",FALSE,TRUE)</f>
        <v>0</v>
      </c>
      <c r="AQ249" t="b">
        <f>IF(Metadata!D249="",FALSE,TRUE)</f>
        <v>0</v>
      </c>
      <c r="AR249" t="b">
        <f ca="1">OR(AND(IF(Metadata!E249="",FALSE,TRUE),OR(EXACT(Metadata!E249,"not collected"),EXACT(Metadata!E249,"not provided"),EXACT(Metadata!E249,"restricted access"))),AND(IF(Metadata!E249="",FALSE,TRUE),AND(AND(IFERROR(INT(LEFT(Metadata!E249,4))&gt;1900,FALSE),IFERROR(INT(LEFT(Metadata!E249,4))&lt;=YEAR(NOW()),FALSE)), OR(MID(Metadata!E249,5,1)="", AND(AND(MID(Metadata!E249,5,1)="-",IFERROR(INT(MID(Metadata!E249,6,1))&gt;=0,FALSE),IFERROR(INT(MID(Metadata!E249,6,1))&lt;=1,FALSE),NOT(MID(Metadata!E249,7,1)=""),IFERROR(INT(MID(Metadata!E249,6,2))&gt;=1,FALSE),IFERROR(INT(MID(Metadata!E249,6,2))&lt;=12,FALSE)), OR(MID(Metadata!E249,8,1)="", AND(AND(MID(Metadata!E249,8,1)="-",IFERROR(INT(MID(Metadata!E249,9,1))&gt;=0,FALSE),IFERROR(INT(MID(Metadata!E249,9,1))&lt;=3,FALSE),NOT(MID(Metadata!E249,10,1)=""),IFERROR(INT(MID(Metadata!E249,9,2))&gt;=1,FALSE),IFERROR(INT(MID(Metadata!E249,9,2))&lt;=31,FALSE)), OR(MID(Metadata!E249,11,1)="", AND(AND(MID(Metadata!E249,11,1)=" ",IFERROR(INT(MID(Metadata!E249,12,1))&gt;=0,FALSE),IFERROR(INT(MID(Metadata!E249,12,1))&lt;=2,FALSE),NOT(MID(Metadata!E249,13,1)=""),IFERROR(INT(MID(Metadata!E249,12,2))&gt;=0,FALSE),IFERROR(INT(MID(Metadata!E249,12,2))&lt;=23,FALSE)), OR(MID(Metadata!E249,14,1)="", AND(AND(MID(Metadata!E249,14,1)=":",IFERROR(INT(MID(Metadata!E249,15,1))&gt;=0,FALSE),IFERROR(INT(MID(Metadata!E249,15,1))&lt;=5,FALSE),NOT(MID(Metadata!E249,16,1)=""),IFERROR(INT(MID(Metadata!E249,15,2))&gt;=0,FALSE),IFERROR(INT(MID(Metadata!E249,15,2))&lt;=59,FALSE)), OR(MID(Metadata!E249,17,1)="", AND(AND(MID(Metadata!E249,17,1)=":",IFERROR(INT(MID(Metadata!E249,18,1))&gt;=0,FALSE),IFERROR(INT(MID(Metadata!E249,18,1))&lt;=5,FALSE),NOT(MID(Metadata!E249,19,1)=""),IFERROR(INT(MID(Metadata!E249,18,2))&gt;=0,FALSE),IFERROR(INT(MID(Metadata!E249,18,2))&lt;=59,FALSE)), LEN(Metadata!E249)&lt;=19)))))))))))))</f>
        <v>0</v>
      </c>
      <c r="AS249" t="b">
        <f>IF(Metadata!F249="",FALSE,TRUE)</f>
        <v>0</v>
      </c>
      <c r="AT249" t="b">
        <f>OR(AND(IF(Metadata!G249="",FALSE,TRUE),OR(EXACT(Metadata!G249,"not collected"),EXACT(Metadata!G249,"not provided"))),AND(IF(Metadata!G249="",FALSE,TRUE),OR(EXACT(Metadata!G249,"TRUE"),EXACT(Metadata!G249,"FALSE"))))</f>
        <v>0</v>
      </c>
      <c r="AU249" t="b">
        <f>OR(AND(IF(Metadata!H249="",FALSE,TRUE),OR(EXACT(Metadata!H249,"not collected"),EXACT(Metadata!H249,"not provided"),EXACT(Metadata!H249,"restricted access"))),AND(IF(Metadata!H249="",FALSE,ISNUMBER(VALUE(Metadata!H249))),Metadata!H249&gt;=-413))</f>
        <v>0</v>
      </c>
      <c r="AV249" t="b">
        <f>AND(IF(Metadata!I249="",FALSE,TRUE),EXACT(Metadata!I249,"meters"))</f>
        <v>0</v>
      </c>
      <c r="AW249" t="b">
        <f>AND(IF(Metadata!J249="",FALSE,TRUE),EXACT(Metadata!J249,"free-living"))</f>
        <v>0</v>
      </c>
      <c r="AX249" t="b">
        <f>AND(IF(Metadata!K249="",FALSE,TRUE),OR(EXACT(Metadata!K249,"saline"),EXACT(Metadata!K249,"non-saline")))</f>
        <v>0</v>
      </c>
      <c r="AY249" t="b">
        <f>AND(IF(Metadata!L249="",FALSE,TRUE),OR(EXACT(Metadata!L249,"sub-surface (non-saline)"),EXACT(Metadata!L249,"surface (non-saline)"),EXACT(Metadata!L249,"water (non-saline)"),EXACT(Metadata!L249,"soil (non-saline)"),EXACT(Metadata!L249,"aerosol (non-saline)"),EXACT(Metadata!L249,"sediment (non-saline)"),EXACT(Metadata!L249,"surface (saline)"),EXACT(Metadata!L249,"water (saline)"),EXACT(Metadata!L249,"hypersaline (saline)"),EXACT(Metadata!L249,"aerosol (saline)"),EXACT(Metadata!L249,"sediment (saline)")))</f>
        <v>0</v>
      </c>
      <c r="AZ249" t="b">
        <f>IF(Metadata!M249="",FALSE,TRUE)</f>
        <v>0</v>
      </c>
      <c r="BA249" t="b">
        <f>IF(Metadata!N249="",FALSE,TRUE)</f>
        <v>0</v>
      </c>
      <c r="BB249" t="b">
        <f>IF(Metadata!O249="",FALSE,TRUE)</f>
        <v>0</v>
      </c>
      <c r="BC249" t="b">
        <f>AND(IF(Metadata!P249="",FALSE,TRUE),OR(EXACT(Metadata!P249,"air"),EXACT(Metadata!P249,"microbial mat/biofilm"),EXACT(Metadata!P249,"misc environment"),EXACT(Metadata!P249,"sediment"),EXACT(Metadata!P249,"soil"),EXACT(Metadata!P249,"wastewater/sludge"),EXACT(Metadata!P249,"water")))</f>
        <v>0</v>
      </c>
      <c r="BD249" t="b">
        <f>IF(Metadata!Q249="",FALSE,TRUE)</f>
        <v>0</v>
      </c>
      <c r="BE249" t="b">
        <f>IF(Metadata!R249="",FALSE,TRUE)</f>
        <v>0</v>
      </c>
      <c r="BF249" t="b">
        <f>OR(AND(IF(Metadata!S249="",FALSE,TRUE),OR(EXACT(Metadata!S249,"not collected"),EXACT(Metadata!S249,"not provided"),EXACT(Metadata!S249,"restricted access"))),AND(IF(Metadata!S249="",FALSE,ISNUMBER(VALUE(Metadata!S249))),Metadata!S249&gt;=-90,Metadata!S249&lt;=90))</f>
        <v>0</v>
      </c>
      <c r="BG249" t="b">
        <f>AND(IF(Metadata!T249="",FALSE,TRUE),EXACT(Metadata!T249,"Decimal degrees"))</f>
        <v>0</v>
      </c>
      <c r="BH249" t="b">
        <f>OR(AND(IF(Metadata!U249="",FALSE,TRUE),OR(EXACT(Metadata!U249,"not applicable"),EXACT(Metadata!U249,"not collected"))),IF(Metadata!U249="",FALSE,TRUE))</f>
        <v>0</v>
      </c>
      <c r="BI249" t="b">
        <f>OR(AND(IF(Metadata!V249="",FALSE,TRUE),OR(EXACT(Metadata!V249,"not collected"),EXACT(Metadata!V249,"not provided"),EXACT(Metadata!V249,"restricted access"))),AND(IF(Metadata!V249="",FALSE,ISNUMBER(VALUE(Metadata!V249))),Metadata!V249&gt;=-180,Metadata!V249&lt;=180))</f>
        <v>0</v>
      </c>
      <c r="BJ249" t="b">
        <f>AND(IF(Metadata!W249="",FALSE,TRUE),EXACT(Metadata!W249,"Decimal degrees"))</f>
        <v>0</v>
      </c>
      <c r="BK249" t="b">
        <f>IF(Metadata!X249="",FALSE,TRUE)</f>
        <v>0</v>
      </c>
      <c r="BL249" t="b">
        <f>OR(AND(IF(Metadata!Y249="",FALSE,TRUE),OR(EXACT(Metadata!Y249,"not collected"),EXACT(Metadata!Y249,"not provided"),EXACT(Metadata!Y249,"restricted access"))),AND(IF(Metadata!Y249="",FALSE,TRUE),OR(EXACT(Metadata!Y249,"TRUE"),EXACT(Metadata!Y249,"FALSE"))))</f>
        <v>0</v>
      </c>
      <c r="BM249" t="b">
        <f>OR(AND(IF(Metadata!Z249="",FALSE,TRUE),EXACT(Metadata!Z249,"not applicable")),AND(IF(Metadata!Z249="",FALSE,TRUE),OR(EXACT(Metadata!Z249,"beer"),EXACT(Metadata!Z249,"cheese"),EXACT(Metadata!Z249,"fresh water"),EXACT(Metadata!Z249,"marine sediment"),EXACT(Metadata!Z249,"sea water"),EXACT(Metadata!Z249,"sediment"),EXACT(Metadata!Z249,"soil"),EXACT(Metadata!Z249,"waste water"))))</f>
        <v>0</v>
      </c>
      <c r="BN249" t="b">
        <f>AND(IF(Metadata!AA249="",FALSE,TRUE),EXACT(Metadata!AA249,"metagenome"))</f>
        <v>0</v>
      </c>
      <c r="BO249" t="b">
        <f>AND(IF(Metadata!AB249="",FALSE,TRUE),EXACT(Metadata!AB249,"256318"))</f>
        <v>0</v>
      </c>
      <c r="BP249" t="b">
        <f>IF(Metadata!AC249="",FALSE,TRUE)</f>
        <v>0</v>
      </c>
      <c r="BQ249" t="b">
        <f>IF(Metadata!AD249="",FALSE,TRUE)</f>
        <v>0</v>
      </c>
    </row>
    <row r="250" spans="1:69" x14ac:dyDescent="0.2">
      <c r="A250" s="4" t="e">
        <f ca="1">IF(B250=" "," ",HYPERLINK(CONCATENATE("#metadata!",ADDRESS(INDEX($AJ$2:$AJ$1001,MATCH(ROWS($AH$2:AH250),$AH$2:$AH$1001,0),0),2)),INDEX($AM$2:$AM$1001,MATCH(ROWS($AH$2:AH250),$AH$2:$AH$1001,0),0)))</f>
        <v>#N/A</v>
      </c>
      <c r="B250" s="5" t="e">
        <f ca="1">IF(OR(INDEX($AI$2:$AI$1001,MATCH(ROWS($AH$2:AH250),$AH$2:$AH$1001,0),1)&gt;=100000,INDEX($AO$1005:$BQ$1005,1,MATCH(COLUMNS($AO$1006:AO1006),$AO$1006:$BQ$1006,0))&gt;=100000), " ",IF(INDEX($AO$2:$BQ$1001,MATCH(ROWS($AH$2:AH250),$AH$2:$AH$1001,0),MATCH(COLUMNS($AO$1006:AO1006),$AO$1006:$BQ$1006,0)), HYPERLINK("#",""), HYPERLINK(CONCATENATE("#Metadata!", ADDRESS(INDEX($AJ$2:$AJ$1001,MATCH(ROWS($AH$2:AH250),$AH$2:$AH$1001,0),0), INDEX($AO$1004:$BQ$1004,1,MATCH(COLUMNS($AO$1006:AO1006),$AO$1006:$BQ$1006,0)))),"Fix")))</f>
        <v>#N/A</v>
      </c>
      <c r="C250" s="5" t="e">
        <f ca="1">IF(OR(INDEX($AI$2:$AI$1001,MATCH(ROWS($AH$2:AH250),$AH$2:$AH$1001,0),1)&gt;=100000,INDEX($AO$1005:$BQ$1005,1,MATCH(COLUMNS($AO$1006:AP1006),$AO$1006:$BQ$1006,0))&gt;=100000), " ",IF(INDEX($AO$2:$BQ$1001,MATCH(ROWS($AH$2:AH250),$AH$2:$AH$1001,0),MATCH(COLUMNS($AO$1006:AP1006),$AO$1006:$BQ$1006,0)), HYPERLINK("#",""), HYPERLINK(CONCATENATE("#Metadata!", ADDRESS(INDEX($AJ$2:$AJ$1001,MATCH(ROWS($AH$2:AH250),$AH$2:$AH$1001,0),0), INDEX($AO$1004:$BQ$1004,1,MATCH(COLUMNS($AO$1006:AP1006),$AO$1006:$BQ$1006,0)))),"Fix")))</f>
        <v>#N/A</v>
      </c>
      <c r="D250" s="5" t="e">
        <f ca="1">IF(OR(INDEX($AI$2:$AI$1001,MATCH(ROWS($AH$2:AH250),$AH$2:$AH$1001,0),1)&gt;=100000,INDEX($AO$1005:$BQ$1005,1,MATCH(COLUMNS($AO$1006:AQ1006),$AO$1006:$BQ$1006,0))&gt;=100000), " ",IF(INDEX($AO$2:$BQ$1001,MATCH(ROWS($AH$2:AH250),$AH$2:$AH$1001,0),MATCH(COLUMNS($AO$1006:AQ1006),$AO$1006:$BQ$1006,0)), HYPERLINK("#",""), HYPERLINK(CONCATENATE("#Metadata!", ADDRESS(INDEX($AJ$2:$AJ$1001,MATCH(ROWS($AH$2:AH250),$AH$2:$AH$1001,0),0), INDEX($AO$1004:$BQ$1004,1,MATCH(COLUMNS($AO$1006:AQ1006),$AO$1006:$BQ$1006,0)))),"Fix")))</f>
        <v>#N/A</v>
      </c>
      <c r="E250" s="5" t="e">
        <f ca="1">IF(OR(INDEX($AI$2:$AI$1001,MATCH(ROWS($AH$2:AH250),$AH$2:$AH$1001,0),1)&gt;=100000,INDEX($AO$1005:$BQ$1005,1,MATCH(COLUMNS($AO$1006:AR1006),$AO$1006:$BQ$1006,0))&gt;=100000), " ",IF(INDEX($AO$2:$BQ$1001,MATCH(ROWS($AH$2:AH250),$AH$2:$AH$1001,0),MATCH(COLUMNS($AO$1006:AR1006),$AO$1006:$BQ$1006,0)), HYPERLINK("#",""), HYPERLINK(CONCATENATE("#Metadata!", ADDRESS(INDEX($AJ$2:$AJ$1001,MATCH(ROWS($AH$2:AH250),$AH$2:$AH$1001,0),0), INDEX($AO$1004:$BQ$1004,1,MATCH(COLUMNS($AO$1006:AR1006),$AO$1006:$BQ$1006,0)))),"Fix")))</f>
        <v>#N/A</v>
      </c>
      <c r="F250" s="5" t="e">
        <f ca="1">IF(OR(INDEX($AI$2:$AI$1001,MATCH(ROWS($AH$2:AH250),$AH$2:$AH$1001,0),1)&gt;=100000,INDEX($AO$1005:$BQ$1005,1,MATCH(COLUMNS($AO$1006:AS1006),$AO$1006:$BQ$1006,0))&gt;=100000), " ",IF(INDEX($AO$2:$BQ$1001,MATCH(ROWS($AH$2:AH250),$AH$2:$AH$1001,0),MATCH(COLUMNS($AO$1006:AS1006),$AO$1006:$BQ$1006,0)), HYPERLINK("#",""), HYPERLINK(CONCATENATE("#Metadata!", ADDRESS(INDEX($AJ$2:$AJ$1001,MATCH(ROWS($AH$2:AH250),$AH$2:$AH$1001,0),0), INDEX($AO$1004:$BQ$1004,1,MATCH(COLUMNS($AO$1006:AS1006),$AO$1006:$BQ$1006,0)))),"Fix")))</f>
        <v>#N/A</v>
      </c>
      <c r="G250" s="5" t="e">
        <f ca="1">IF(OR(INDEX($AI$2:$AI$1001,MATCH(ROWS($AH$2:AH250),$AH$2:$AH$1001,0),1)&gt;=100000,INDEX($AO$1005:$BQ$1005,1,MATCH(COLUMNS($AO$1006:AT1006),$AO$1006:$BQ$1006,0))&gt;=100000), " ",IF(INDEX($AO$2:$BQ$1001,MATCH(ROWS($AH$2:AH250),$AH$2:$AH$1001,0),MATCH(COLUMNS($AO$1006:AT1006),$AO$1006:$BQ$1006,0)), HYPERLINK("#",""), HYPERLINK(CONCATENATE("#Metadata!", ADDRESS(INDEX($AJ$2:$AJ$1001,MATCH(ROWS($AH$2:AH250),$AH$2:$AH$1001,0),0), INDEX($AO$1004:$BQ$1004,1,MATCH(COLUMNS($AO$1006:AT1006),$AO$1006:$BQ$1006,0)))),"Fix")))</f>
        <v>#N/A</v>
      </c>
      <c r="H250" s="5" t="e">
        <f ca="1">IF(OR(INDEX($AI$2:$AI$1001,MATCH(ROWS($AH$2:AH250),$AH$2:$AH$1001,0),1)&gt;=100000,INDEX($AO$1005:$BQ$1005,1,MATCH(COLUMNS($AO$1006:AU1006),$AO$1006:$BQ$1006,0))&gt;=100000), " ",IF(INDEX($AO$2:$BQ$1001,MATCH(ROWS($AH$2:AH250),$AH$2:$AH$1001,0),MATCH(COLUMNS($AO$1006:AU1006),$AO$1006:$BQ$1006,0)), HYPERLINK("#",""), HYPERLINK(CONCATENATE("#Metadata!", ADDRESS(INDEX($AJ$2:$AJ$1001,MATCH(ROWS($AH$2:AH250),$AH$2:$AH$1001,0),0), INDEX($AO$1004:$BQ$1004,1,MATCH(COLUMNS($AO$1006:AU1006),$AO$1006:$BQ$1006,0)))),"Fix")))</f>
        <v>#N/A</v>
      </c>
      <c r="I250" s="5" t="e">
        <f ca="1">IF(OR(INDEX($AI$2:$AI$1001,MATCH(ROWS($AH$2:AH250),$AH$2:$AH$1001,0),1)&gt;=100000,INDEX($AO$1005:$BQ$1005,1,MATCH(COLUMNS($AO$1006:AV1006),$AO$1006:$BQ$1006,0))&gt;=100000), " ",IF(INDEX($AO$2:$BQ$1001,MATCH(ROWS($AH$2:AH250),$AH$2:$AH$1001,0),MATCH(COLUMNS($AO$1006:AV1006),$AO$1006:$BQ$1006,0)), HYPERLINK("#",""), HYPERLINK(CONCATENATE("#Metadata!", ADDRESS(INDEX($AJ$2:$AJ$1001,MATCH(ROWS($AH$2:AH250),$AH$2:$AH$1001,0),0), INDEX($AO$1004:$BQ$1004,1,MATCH(COLUMNS($AO$1006:AV1006),$AO$1006:$BQ$1006,0)))),"Fix")))</f>
        <v>#N/A</v>
      </c>
      <c r="J250" s="5" t="e">
        <f ca="1">IF(OR(INDEX($AI$2:$AI$1001,MATCH(ROWS($AH$2:AH250),$AH$2:$AH$1001,0),1)&gt;=100000,INDEX($AO$1005:$BQ$1005,1,MATCH(COLUMNS($AO$1006:AW1006),$AO$1006:$BQ$1006,0))&gt;=100000), " ",IF(INDEX($AO$2:$BQ$1001,MATCH(ROWS($AH$2:AH250),$AH$2:$AH$1001,0),MATCH(COLUMNS($AO$1006:AW1006),$AO$1006:$BQ$1006,0)), HYPERLINK("#",""), HYPERLINK(CONCATENATE("#Metadata!", ADDRESS(INDEX($AJ$2:$AJ$1001,MATCH(ROWS($AH$2:AH250),$AH$2:$AH$1001,0),0), INDEX($AO$1004:$BQ$1004,1,MATCH(COLUMNS($AO$1006:AW1006),$AO$1006:$BQ$1006,0)))),"Fix")))</f>
        <v>#N/A</v>
      </c>
      <c r="K250" s="5" t="e">
        <f ca="1">IF(OR(INDEX($AI$2:$AI$1001,MATCH(ROWS($AH$2:AH250),$AH$2:$AH$1001,0),1)&gt;=100000,INDEX($AO$1005:$BQ$1005,1,MATCH(COLUMNS($AO$1006:AX1006),$AO$1006:$BQ$1006,0))&gt;=100000), " ",IF(INDEX($AO$2:$BQ$1001,MATCH(ROWS($AH$2:AH250),$AH$2:$AH$1001,0),MATCH(COLUMNS($AO$1006:AX1006),$AO$1006:$BQ$1006,0)), HYPERLINK("#",""), HYPERLINK(CONCATENATE("#Metadata!", ADDRESS(INDEX($AJ$2:$AJ$1001,MATCH(ROWS($AH$2:AH250),$AH$2:$AH$1001,0),0), INDEX($AO$1004:$BQ$1004,1,MATCH(COLUMNS($AO$1006:AX1006),$AO$1006:$BQ$1006,0)))),"Fix")))</f>
        <v>#N/A</v>
      </c>
      <c r="L250" s="5" t="e">
        <f ca="1">IF(OR(INDEX($AI$2:$AI$1001,MATCH(ROWS($AH$2:AH250),$AH$2:$AH$1001,0),1)&gt;=100000,INDEX($AO$1005:$BQ$1005,1,MATCH(COLUMNS($AO$1006:AY1006),$AO$1006:$BQ$1006,0))&gt;=100000), " ",IF(INDEX($AO$2:$BQ$1001,MATCH(ROWS($AH$2:AH250),$AH$2:$AH$1001,0),MATCH(COLUMNS($AO$1006:AY1006),$AO$1006:$BQ$1006,0)), HYPERLINK("#",""), HYPERLINK(CONCATENATE("#Metadata!", ADDRESS(INDEX($AJ$2:$AJ$1001,MATCH(ROWS($AH$2:AH250),$AH$2:$AH$1001,0),0), INDEX($AO$1004:$BQ$1004,1,MATCH(COLUMNS($AO$1006:AY1006),$AO$1006:$BQ$1006,0)))),"Fix")))</f>
        <v>#N/A</v>
      </c>
      <c r="M250" s="5" t="e">
        <f ca="1">IF(OR(INDEX($AI$2:$AI$1001,MATCH(ROWS($AH$2:AH250),$AH$2:$AH$1001,0),1)&gt;=100000,INDEX($AO$1005:$BQ$1005,1,MATCH(COLUMNS($AO$1006:AZ1006),$AO$1006:$BQ$1006,0))&gt;=100000), " ",IF(INDEX($AO$2:$BQ$1001,MATCH(ROWS($AH$2:AH250),$AH$2:$AH$1001,0),MATCH(COLUMNS($AO$1006:AZ1006),$AO$1006:$BQ$1006,0)), HYPERLINK("#",""), HYPERLINK(CONCATENATE("#Metadata!", ADDRESS(INDEX($AJ$2:$AJ$1001,MATCH(ROWS($AH$2:AH250),$AH$2:$AH$1001,0),0), INDEX($AO$1004:$BQ$1004,1,MATCH(COLUMNS($AO$1006:AZ1006),$AO$1006:$BQ$1006,0)))),"Fix")))</f>
        <v>#N/A</v>
      </c>
      <c r="N250" s="5" t="e">
        <f ca="1">IF(OR(INDEX($AI$2:$AI$1001,MATCH(ROWS($AH$2:AH250),$AH$2:$AH$1001,0),1)&gt;=100000,INDEX($AO$1005:$BQ$1005,1,MATCH(COLUMNS($AO$1006:BA1006),$AO$1006:$BQ$1006,0))&gt;=100000), " ",IF(INDEX($AO$2:$BQ$1001,MATCH(ROWS($AH$2:AH250),$AH$2:$AH$1001,0),MATCH(COLUMNS($AO$1006:BA1006),$AO$1006:$BQ$1006,0)), HYPERLINK("#",""), HYPERLINK(CONCATENATE("#Metadata!", ADDRESS(INDEX($AJ$2:$AJ$1001,MATCH(ROWS($AH$2:AH250),$AH$2:$AH$1001,0),0), INDEX($AO$1004:$BQ$1004,1,MATCH(COLUMNS($AO$1006:BA1006),$AO$1006:$BQ$1006,0)))),"Fix")))</f>
        <v>#N/A</v>
      </c>
      <c r="O250" s="5" t="e">
        <f ca="1">IF(OR(INDEX($AI$2:$AI$1001,MATCH(ROWS($AH$2:AH250),$AH$2:$AH$1001,0),1)&gt;=100000,INDEX($AO$1005:$BQ$1005,1,MATCH(COLUMNS($AO$1006:BB1006),$AO$1006:$BQ$1006,0))&gt;=100000), " ",IF(INDEX($AO$2:$BQ$1001,MATCH(ROWS($AH$2:AH250),$AH$2:$AH$1001,0),MATCH(COLUMNS($AO$1006:BB1006),$AO$1006:$BQ$1006,0)), HYPERLINK("#",""), HYPERLINK(CONCATENATE("#Metadata!", ADDRESS(INDEX($AJ$2:$AJ$1001,MATCH(ROWS($AH$2:AH250),$AH$2:$AH$1001,0),0), INDEX($AO$1004:$BQ$1004,1,MATCH(COLUMNS($AO$1006:BB1006),$AO$1006:$BQ$1006,0)))),"Fix")))</f>
        <v>#N/A</v>
      </c>
      <c r="P250" s="5" t="e">
        <f ca="1">IF(OR(INDEX($AI$2:$AI$1001,MATCH(ROWS($AH$2:AH250),$AH$2:$AH$1001,0),1)&gt;=100000,INDEX($AO$1005:$BQ$1005,1,MATCH(COLUMNS($AO$1006:BC1006),$AO$1006:$BQ$1006,0))&gt;=100000), " ",IF(INDEX($AO$2:$BQ$1001,MATCH(ROWS($AH$2:AH250),$AH$2:$AH$1001,0),MATCH(COLUMNS($AO$1006:BC1006),$AO$1006:$BQ$1006,0)), HYPERLINK("#",""), HYPERLINK(CONCATENATE("#Metadata!", ADDRESS(INDEX($AJ$2:$AJ$1001,MATCH(ROWS($AH$2:AH250),$AH$2:$AH$1001,0),0), INDEX($AO$1004:$BQ$1004,1,MATCH(COLUMNS($AO$1006:BC1006),$AO$1006:$BQ$1006,0)))),"Fix")))</f>
        <v>#N/A</v>
      </c>
      <c r="Q250" s="5" t="e">
        <f ca="1">IF(OR(INDEX($AI$2:$AI$1001,MATCH(ROWS($AH$2:AH250),$AH$2:$AH$1001,0),1)&gt;=100000,INDEX($AO$1005:$BQ$1005,1,MATCH(COLUMNS($AO$1006:BD1006),$AO$1006:$BQ$1006,0))&gt;=100000), " ",IF(INDEX($AO$2:$BQ$1001,MATCH(ROWS($AH$2:AH250),$AH$2:$AH$1001,0),MATCH(COLUMNS($AO$1006:BD1006),$AO$1006:$BQ$1006,0)), HYPERLINK("#",""), HYPERLINK(CONCATENATE("#Metadata!", ADDRESS(INDEX($AJ$2:$AJ$1001,MATCH(ROWS($AH$2:AH250),$AH$2:$AH$1001,0),0), INDEX($AO$1004:$BQ$1004,1,MATCH(COLUMNS($AO$1006:BD1006),$AO$1006:$BQ$1006,0)))),"Fix")))</f>
        <v>#N/A</v>
      </c>
      <c r="R250" s="5" t="e">
        <f ca="1">IF(OR(INDEX($AI$2:$AI$1001,MATCH(ROWS($AH$2:AH250),$AH$2:$AH$1001,0),1)&gt;=100000,INDEX($AO$1005:$BQ$1005,1,MATCH(COLUMNS($AO$1006:BE1006),$AO$1006:$BQ$1006,0))&gt;=100000), " ",IF(INDEX($AO$2:$BQ$1001,MATCH(ROWS($AH$2:AH250),$AH$2:$AH$1001,0),MATCH(COLUMNS($AO$1006:BE1006),$AO$1006:$BQ$1006,0)), HYPERLINK("#",""), HYPERLINK(CONCATENATE("#Metadata!", ADDRESS(INDEX($AJ$2:$AJ$1001,MATCH(ROWS($AH$2:AH250),$AH$2:$AH$1001,0),0), INDEX($AO$1004:$BQ$1004,1,MATCH(COLUMNS($AO$1006:BE1006),$AO$1006:$BQ$1006,0)))),"Fix")))</f>
        <v>#N/A</v>
      </c>
      <c r="S250" s="5" t="e">
        <f ca="1">IF(OR(INDEX($AI$2:$AI$1001,MATCH(ROWS($AH$2:AH250),$AH$2:$AH$1001,0),1)&gt;=100000,INDEX($AO$1005:$BQ$1005,1,MATCH(COLUMNS($AO$1006:BF1006),$AO$1006:$BQ$1006,0))&gt;=100000), " ",IF(INDEX($AO$2:$BQ$1001,MATCH(ROWS($AH$2:AH250),$AH$2:$AH$1001,0),MATCH(COLUMNS($AO$1006:BF1006),$AO$1006:$BQ$1006,0)), HYPERLINK("#",""), HYPERLINK(CONCATENATE("#Metadata!", ADDRESS(INDEX($AJ$2:$AJ$1001,MATCH(ROWS($AH$2:AH250),$AH$2:$AH$1001,0),0), INDEX($AO$1004:$BQ$1004,1,MATCH(COLUMNS($AO$1006:BF1006),$AO$1006:$BQ$1006,0)))),"Fix")))</f>
        <v>#N/A</v>
      </c>
      <c r="T250" s="5" t="e">
        <f ca="1">IF(OR(INDEX($AI$2:$AI$1001,MATCH(ROWS($AH$2:AH250),$AH$2:$AH$1001,0),1)&gt;=100000,INDEX($AO$1005:$BQ$1005,1,MATCH(COLUMNS($AO$1006:BG1006),$AO$1006:$BQ$1006,0))&gt;=100000), " ",IF(INDEX($AO$2:$BQ$1001,MATCH(ROWS($AH$2:AH250),$AH$2:$AH$1001,0),MATCH(COLUMNS($AO$1006:BG1006),$AO$1006:$BQ$1006,0)), HYPERLINK("#",""), HYPERLINK(CONCATENATE("#Metadata!", ADDRESS(INDEX($AJ$2:$AJ$1001,MATCH(ROWS($AH$2:AH250),$AH$2:$AH$1001,0),0), INDEX($AO$1004:$BQ$1004,1,MATCH(COLUMNS($AO$1006:BG1006),$AO$1006:$BQ$1006,0)))),"Fix")))</f>
        <v>#N/A</v>
      </c>
      <c r="U250" s="5" t="e">
        <f ca="1">IF(OR(INDEX($AI$2:$AI$1001,MATCH(ROWS($AH$2:AH250),$AH$2:$AH$1001,0),1)&gt;=100000,INDEX($AO$1005:$BQ$1005,1,MATCH(COLUMNS($AO$1006:BH1006),$AO$1006:$BQ$1006,0))&gt;=100000), " ",IF(INDEX($AO$2:$BQ$1001,MATCH(ROWS($AH$2:AH250),$AH$2:$AH$1001,0),MATCH(COLUMNS($AO$1006:BH1006),$AO$1006:$BQ$1006,0)), HYPERLINK("#",""), HYPERLINK(CONCATENATE("#Metadata!", ADDRESS(INDEX($AJ$2:$AJ$1001,MATCH(ROWS($AH$2:AH250),$AH$2:$AH$1001,0),0), INDEX($AO$1004:$BQ$1004,1,MATCH(COLUMNS($AO$1006:BH1006),$AO$1006:$BQ$1006,0)))),"Fix")))</f>
        <v>#N/A</v>
      </c>
      <c r="V250" s="5" t="e">
        <f ca="1">IF(OR(INDEX($AI$2:$AI$1001,MATCH(ROWS($AH$2:AH250),$AH$2:$AH$1001,0),1)&gt;=100000,INDEX($AO$1005:$BQ$1005,1,MATCH(COLUMNS($AO$1006:BI1006),$AO$1006:$BQ$1006,0))&gt;=100000), " ",IF(INDEX($AO$2:$BQ$1001,MATCH(ROWS($AH$2:AH250),$AH$2:$AH$1001,0),MATCH(COLUMNS($AO$1006:BI1006),$AO$1006:$BQ$1006,0)), HYPERLINK("#",""), HYPERLINK(CONCATENATE("#Metadata!", ADDRESS(INDEX($AJ$2:$AJ$1001,MATCH(ROWS($AH$2:AH250),$AH$2:$AH$1001,0),0), INDEX($AO$1004:$BQ$1004,1,MATCH(COLUMNS($AO$1006:BI1006),$AO$1006:$BQ$1006,0)))),"Fix")))</f>
        <v>#N/A</v>
      </c>
      <c r="W250" s="5" t="e">
        <f ca="1">IF(OR(INDEX($AI$2:$AI$1001,MATCH(ROWS($AH$2:AH250),$AH$2:$AH$1001,0),1)&gt;=100000,INDEX($AO$1005:$BQ$1005,1,MATCH(COLUMNS($AO$1006:BJ1006),$AO$1006:$BQ$1006,0))&gt;=100000), " ",IF(INDEX($AO$2:$BQ$1001,MATCH(ROWS($AH$2:AH250),$AH$2:$AH$1001,0),MATCH(COLUMNS($AO$1006:BJ1006),$AO$1006:$BQ$1006,0)), HYPERLINK("#",""), HYPERLINK(CONCATENATE("#Metadata!", ADDRESS(INDEX($AJ$2:$AJ$1001,MATCH(ROWS($AH$2:AH250),$AH$2:$AH$1001,0),0), INDEX($AO$1004:$BQ$1004,1,MATCH(COLUMNS($AO$1006:BJ1006),$AO$1006:$BQ$1006,0)))),"Fix")))</f>
        <v>#N/A</v>
      </c>
      <c r="X250" s="5" t="e">
        <f ca="1">IF(OR(INDEX($AI$2:$AI$1001,MATCH(ROWS($AH$2:AH250),$AH$2:$AH$1001,0),1)&gt;=100000,INDEX($AO$1005:$BQ$1005,1,MATCH(COLUMNS($AO$1006:BK1006),$AO$1006:$BQ$1006,0))&gt;=100000), " ",IF(INDEX($AO$2:$BQ$1001,MATCH(ROWS($AH$2:AH250),$AH$2:$AH$1001,0),MATCH(COLUMNS($AO$1006:BK1006),$AO$1006:$BQ$1006,0)), HYPERLINK("#",""), HYPERLINK(CONCATENATE("#Metadata!", ADDRESS(INDEX($AJ$2:$AJ$1001,MATCH(ROWS($AH$2:AH250),$AH$2:$AH$1001,0),0), INDEX($AO$1004:$BQ$1004,1,MATCH(COLUMNS($AO$1006:BK1006),$AO$1006:$BQ$1006,0)))),"Fix")))</f>
        <v>#N/A</v>
      </c>
      <c r="Y250" s="5" t="e">
        <f ca="1">IF(OR(INDEX($AI$2:$AI$1001,MATCH(ROWS($AH$2:AH250),$AH$2:$AH$1001,0),1)&gt;=100000,INDEX($AO$1005:$BQ$1005,1,MATCH(COLUMNS($AO$1006:BL1006),$AO$1006:$BQ$1006,0))&gt;=100000), " ",IF(INDEX($AO$2:$BQ$1001,MATCH(ROWS($AH$2:AH250),$AH$2:$AH$1001,0),MATCH(COLUMNS($AO$1006:BL1006),$AO$1006:$BQ$1006,0)), HYPERLINK("#",""), HYPERLINK(CONCATENATE("#Metadata!", ADDRESS(INDEX($AJ$2:$AJ$1001,MATCH(ROWS($AH$2:AH250),$AH$2:$AH$1001,0),0), INDEX($AO$1004:$BQ$1004,1,MATCH(COLUMNS($AO$1006:BL1006),$AO$1006:$BQ$1006,0)))),"Fix")))</f>
        <v>#N/A</v>
      </c>
      <c r="Z250" s="5" t="e">
        <f ca="1">IF(OR(INDEX($AI$2:$AI$1001,MATCH(ROWS($AH$2:AH250),$AH$2:$AH$1001,0),1)&gt;=100000,INDEX($AO$1005:$BQ$1005,1,MATCH(COLUMNS($AO$1006:BM1006),$AO$1006:$BQ$1006,0))&gt;=100000), " ",IF(INDEX($AO$2:$BQ$1001,MATCH(ROWS($AH$2:AH250),$AH$2:$AH$1001,0),MATCH(COLUMNS($AO$1006:BM1006),$AO$1006:$BQ$1006,0)), HYPERLINK("#",""), HYPERLINK(CONCATENATE("#Metadata!", ADDRESS(INDEX($AJ$2:$AJ$1001,MATCH(ROWS($AH$2:AH250),$AH$2:$AH$1001,0),0), INDEX($AO$1004:$BQ$1004,1,MATCH(COLUMNS($AO$1006:BM1006),$AO$1006:$BQ$1006,0)))),"Fix")))</f>
        <v>#N/A</v>
      </c>
      <c r="AA250" s="5" t="e">
        <f ca="1">IF(OR(INDEX($AI$2:$AI$1001,MATCH(ROWS($AH$2:AH250),$AH$2:$AH$1001,0),1)&gt;=100000,INDEX($AO$1005:$BQ$1005,1,MATCH(COLUMNS($AO$1006:BN1006),$AO$1006:$BQ$1006,0))&gt;=100000), " ",IF(INDEX($AO$2:$BQ$1001,MATCH(ROWS($AH$2:AH250),$AH$2:$AH$1001,0),MATCH(COLUMNS($AO$1006:BN1006),$AO$1006:$BQ$1006,0)), HYPERLINK("#",""), HYPERLINK(CONCATENATE("#Metadata!", ADDRESS(INDEX($AJ$2:$AJ$1001,MATCH(ROWS($AH$2:AH250),$AH$2:$AH$1001,0),0), INDEX($AO$1004:$BQ$1004,1,MATCH(COLUMNS($AO$1006:BN1006),$AO$1006:$BQ$1006,0)))),"Fix")))</f>
        <v>#N/A</v>
      </c>
      <c r="AB250" s="5" t="e">
        <f ca="1">IF(OR(INDEX($AI$2:$AI$1001,MATCH(ROWS($AH$2:AH250),$AH$2:$AH$1001,0),1)&gt;=100000,INDEX($AO$1005:$BQ$1005,1,MATCH(COLUMNS($AO$1006:BO1006),$AO$1006:$BQ$1006,0))&gt;=100000), " ",IF(INDEX($AO$2:$BQ$1001,MATCH(ROWS($AH$2:AH250),$AH$2:$AH$1001,0),MATCH(COLUMNS($AO$1006:BO1006),$AO$1006:$BQ$1006,0)), HYPERLINK("#",""), HYPERLINK(CONCATENATE("#Metadata!", ADDRESS(INDEX($AJ$2:$AJ$1001,MATCH(ROWS($AH$2:AH250),$AH$2:$AH$1001,0),0), INDEX($AO$1004:$BQ$1004,1,MATCH(COLUMNS($AO$1006:BO1006),$AO$1006:$BQ$1006,0)))),"Fix")))</f>
        <v>#N/A</v>
      </c>
      <c r="AC250" s="5" t="e">
        <f ca="1">IF(OR(INDEX($AI$2:$AI$1001,MATCH(ROWS($AH$2:AH250),$AH$2:$AH$1001,0),1)&gt;=100000,INDEX($AO$1005:$BQ$1005,1,MATCH(COLUMNS($AO$1006:BP1006),$AO$1006:$BQ$1006,0))&gt;=100000), " ",IF(INDEX($AO$2:$BQ$1001,MATCH(ROWS($AH$2:AH250),$AH$2:$AH$1001,0),MATCH(COLUMNS($AO$1006:BP1006),$AO$1006:$BQ$1006,0)), HYPERLINK("#",""), HYPERLINK(CONCATENATE("#Metadata!", ADDRESS(INDEX($AJ$2:$AJ$1001,MATCH(ROWS($AH$2:AH250),$AH$2:$AH$1001,0),0), INDEX($AO$1004:$BQ$1004,1,MATCH(COLUMNS($AO$1006:BP1006),$AO$1006:$BQ$1006,0)))),"Fix")))</f>
        <v>#N/A</v>
      </c>
      <c r="AD250" s="5" t="e">
        <f ca="1">IF(OR(INDEX($AI$2:$AI$1001,MATCH(ROWS($AH$2:AH250),$AH$2:$AH$1001,0),1)&gt;=100000,INDEX($AO$1005:$BQ$1005,1,MATCH(COLUMNS($AO$1006:BQ1006),$AO$1006:$BQ$1006,0))&gt;=100000), " ",IF(INDEX($AO$2:$BQ$1001,MATCH(ROWS($AH$2:AH250),$AH$2:$AH$1001,0),MATCH(COLUMNS($AO$1006:BQ1006),$AO$1006:$BQ$1006,0)), HYPERLINK("#",""), HYPERLINK(CONCATENATE("#Metadata!", ADDRESS(INDEX($AJ$2:$AJ$1001,MATCH(ROWS($AH$2:AH250),$AH$2:$AH$1001,0),0), INDEX($AO$1004:$BQ$1004,1,MATCH(COLUMNS($AO$1006:BQ1006),$AO$1006:$BQ$1006,0)))),"Fix")))</f>
        <v>#REF!</v>
      </c>
      <c r="AH250">
        <f ca="1"/>
        <v>247</v>
      </c>
      <c r="AI250">
        <v>100250</v>
      </c>
      <c r="AJ250">
        <v>250</v>
      </c>
      <c r="AK250" t="b">
        <f t="shared" si="3"/>
        <v>1</v>
      </c>
      <c r="AL250" t="b">
        <f>COUNTBLANK(Metadata!B250:AD250)=COLUMNS(Metadata!B250:AD250)</f>
        <v>1</v>
      </c>
      <c r="AM250" t="str">
        <v/>
      </c>
      <c r="AO250" t="b">
        <f ca="1">AND(IF(Metadata!B250="",FALSE,TRUE),COUNTIF(Metadata!B:B, Metadata!B250) = 1,NOT(ISERROR(SUMPRODUCT(SEARCH(MID(Metadata!B250,ROW(INDIRECT("1:"&amp;LEN(Metadata!B250))), 1),"0123456789abcdefghijklmnopqrstuvwxyzABCDEFGHIJKLMNOPQRSTUVWXYZ.")))))</f>
        <v>0</v>
      </c>
      <c r="AP250" t="b">
        <f>IF(Metadata!C250="",FALSE,TRUE)</f>
        <v>0</v>
      </c>
      <c r="AQ250" t="b">
        <f>IF(Metadata!D250="",FALSE,TRUE)</f>
        <v>0</v>
      </c>
      <c r="AR250" t="b">
        <f ca="1">OR(AND(IF(Metadata!E250="",FALSE,TRUE),OR(EXACT(Metadata!E250,"not collected"),EXACT(Metadata!E250,"not provided"),EXACT(Metadata!E250,"restricted access"))),AND(IF(Metadata!E250="",FALSE,TRUE),AND(AND(IFERROR(INT(LEFT(Metadata!E250,4))&gt;1900,FALSE),IFERROR(INT(LEFT(Metadata!E250,4))&lt;=YEAR(NOW()),FALSE)), OR(MID(Metadata!E250,5,1)="", AND(AND(MID(Metadata!E250,5,1)="-",IFERROR(INT(MID(Metadata!E250,6,1))&gt;=0,FALSE),IFERROR(INT(MID(Metadata!E250,6,1))&lt;=1,FALSE),NOT(MID(Metadata!E250,7,1)=""),IFERROR(INT(MID(Metadata!E250,6,2))&gt;=1,FALSE),IFERROR(INT(MID(Metadata!E250,6,2))&lt;=12,FALSE)), OR(MID(Metadata!E250,8,1)="", AND(AND(MID(Metadata!E250,8,1)="-",IFERROR(INT(MID(Metadata!E250,9,1))&gt;=0,FALSE),IFERROR(INT(MID(Metadata!E250,9,1))&lt;=3,FALSE),NOT(MID(Metadata!E250,10,1)=""),IFERROR(INT(MID(Metadata!E250,9,2))&gt;=1,FALSE),IFERROR(INT(MID(Metadata!E250,9,2))&lt;=31,FALSE)), OR(MID(Metadata!E250,11,1)="", AND(AND(MID(Metadata!E250,11,1)=" ",IFERROR(INT(MID(Metadata!E250,12,1))&gt;=0,FALSE),IFERROR(INT(MID(Metadata!E250,12,1))&lt;=2,FALSE),NOT(MID(Metadata!E250,13,1)=""),IFERROR(INT(MID(Metadata!E250,12,2))&gt;=0,FALSE),IFERROR(INT(MID(Metadata!E250,12,2))&lt;=23,FALSE)), OR(MID(Metadata!E250,14,1)="", AND(AND(MID(Metadata!E250,14,1)=":",IFERROR(INT(MID(Metadata!E250,15,1))&gt;=0,FALSE),IFERROR(INT(MID(Metadata!E250,15,1))&lt;=5,FALSE),NOT(MID(Metadata!E250,16,1)=""),IFERROR(INT(MID(Metadata!E250,15,2))&gt;=0,FALSE),IFERROR(INT(MID(Metadata!E250,15,2))&lt;=59,FALSE)), OR(MID(Metadata!E250,17,1)="", AND(AND(MID(Metadata!E250,17,1)=":",IFERROR(INT(MID(Metadata!E250,18,1))&gt;=0,FALSE),IFERROR(INT(MID(Metadata!E250,18,1))&lt;=5,FALSE),NOT(MID(Metadata!E250,19,1)=""),IFERROR(INT(MID(Metadata!E250,18,2))&gt;=0,FALSE),IFERROR(INT(MID(Metadata!E250,18,2))&lt;=59,FALSE)), LEN(Metadata!E250)&lt;=19)))))))))))))</f>
        <v>0</v>
      </c>
      <c r="AS250" t="b">
        <f>IF(Metadata!F250="",FALSE,TRUE)</f>
        <v>0</v>
      </c>
      <c r="AT250" t="b">
        <f>OR(AND(IF(Metadata!G250="",FALSE,TRUE),OR(EXACT(Metadata!G250,"not collected"),EXACT(Metadata!G250,"not provided"))),AND(IF(Metadata!G250="",FALSE,TRUE),OR(EXACT(Metadata!G250,"TRUE"),EXACT(Metadata!G250,"FALSE"))))</f>
        <v>0</v>
      </c>
      <c r="AU250" t="b">
        <f>OR(AND(IF(Metadata!H250="",FALSE,TRUE),OR(EXACT(Metadata!H250,"not collected"),EXACT(Metadata!H250,"not provided"),EXACT(Metadata!H250,"restricted access"))),AND(IF(Metadata!H250="",FALSE,ISNUMBER(VALUE(Metadata!H250))),Metadata!H250&gt;=-413))</f>
        <v>0</v>
      </c>
      <c r="AV250" t="b">
        <f>AND(IF(Metadata!I250="",FALSE,TRUE),EXACT(Metadata!I250,"meters"))</f>
        <v>0</v>
      </c>
      <c r="AW250" t="b">
        <f>AND(IF(Metadata!J250="",FALSE,TRUE),EXACT(Metadata!J250,"free-living"))</f>
        <v>0</v>
      </c>
      <c r="AX250" t="b">
        <f>AND(IF(Metadata!K250="",FALSE,TRUE),OR(EXACT(Metadata!K250,"saline"),EXACT(Metadata!K250,"non-saline")))</f>
        <v>0</v>
      </c>
      <c r="AY250" t="b">
        <f>AND(IF(Metadata!L250="",FALSE,TRUE),OR(EXACT(Metadata!L250,"sub-surface (non-saline)"),EXACT(Metadata!L250,"surface (non-saline)"),EXACT(Metadata!L250,"water (non-saline)"),EXACT(Metadata!L250,"soil (non-saline)"),EXACT(Metadata!L250,"aerosol (non-saline)"),EXACT(Metadata!L250,"sediment (non-saline)"),EXACT(Metadata!L250,"surface (saline)"),EXACT(Metadata!L250,"water (saline)"),EXACT(Metadata!L250,"hypersaline (saline)"),EXACT(Metadata!L250,"aerosol (saline)"),EXACT(Metadata!L250,"sediment (saline)")))</f>
        <v>0</v>
      </c>
      <c r="AZ250" t="b">
        <f>IF(Metadata!M250="",FALSE,TRUE)</f>
        <v>0</v>
      </c>
      <c r="BA250" t="b">
        <f>IF(Metadata!N250="",FALSE,TRUE)</f>
        <v>0</v>
      </c>
      <c r="BB250" t="b">
        <f>IF(Metadata!O250="",FALSE,TRUE)</f>
        <v>0</v>
      </c>
      <c r="BC250" t="b">
        <f>AND(IF(Metadata!P250="",FALSE,TRUE),OR(EXACT(Metadata!P250,"air"),EXACT(Metadata!P250,"microbial mat/biofilm"),EXACT(Metadata!P250,"misc environment"),EXACT(Metadata!P250,"sediment"),EXACT(Metadata!P250,"soil"),EXACT(Metadata!P250,"wastewater/sludge"),EXACT(Metadata!P250,"water")))</f>
        <v>0</v>
      </c>
      <c r="BD250" t="b">
        <f>IF(Metadata!Q250="",FALSE,TRUE)</f>
        <v>0</v>
      </c>
      <c r="BE250" t="b">
        <f>IF(Metadata!R250="",FALSE,TRUE)</f>
        <v>0</v>
      </c>
      <c r="BF250" t="b">
        <f>OR(AND(IF(Metadata!S250="",FALSE,TRUE),OR(EXACT(Metadata!S250,"not collected"),EXACT(Metadata!S250,"not provided"),EXACT(Metadata!S250,"restricted access"))),AND(IF(Metadata!S250="",FALSE,ISNUMBER(VALUE(Metadata!S250))),Metadata!S250&gt;=-90,Metadata!S250&lt;=90))</f>
        <v>0</v>
      </c>
      <c r="BG250" t="b">
        <f>AND(IF(Metadata!T250="",FALSE,TRUE),EXACT(Metadata!T250,"Decimal degrees"))</f>
        <v>0</v>
      </c>
      <c r="BH250" t="b">
        <f>OR(AND(IF(Metadata!U250="",FALSE,TRUE),OR(EXACT(Metadata!U250,"not applicable"),EXACT(Metadata!U250,"not collected"))),IF(Metadata!U250="",FALSE,TRUE))</f>
        <v>0</v>
      </c>
      <c r="BI250" t="b">
        <f>OR(AND(IF(Metadata!V250="",FALSE,TRUE),OR(EXACT(Metadata!V250,"not collected"),EXACT(Metadata!V250,"not provided"),EXACT(Metadata!V250,"restricted access"))),AND(IF(Metadata!V250="",FALSE,ISNUMBER(VALUE(Metadata!V250))),Metadata!V250&gt;=-180,Metadata!V250&lt;=180))</f>
        <v>0</v>
      </c>
      <c r="BJ250" t="b">
        <f>AND(IF(Metadata!W250="",FALSE,TRUE),EXACT(Metadata!W250,"Decimal degrees"))</f>
        <v>0</v>
      </c>
      <c r="BK250" t="b">
        <f>IF(Metadata!X250="",FALSE,TRUE)</f>
        <v>0</v>
      </c>
      <c r="BL250" t="b">
        <f>OR(AND(IF(Metadata!Y250="",FALSE,TRUE),OR(EXACT(Metadata!Y250,"not collected"),EXACT(Metadata!Y250,"not provided"),EXACT(Metadata!Y250,"restricted access"))),AND(IF(Metadata!Y250="",FALSE,TRUE),OR(EXACT(Metadata!Y250,"TRUE"),EXACT(Metadata!Y250,"FALSE"))))</f>
        <v>0</v>
      </c>
      <c r="BM250" t="b">
        <f>OR(AND(IF(Metadata!Z250="",FALSE,TRUE),EXACT(Metadata!Z250,"not applicable")),AND(IF(Metadata!Z250="",FALSE,TRUE),OR(EXACT(Metadata!Z250,"beer"),EXACT(Metadata!Z250,"cheese"),EXACT(Metadata!Z250,"fresh water"),EXACT(Metadata!Z250,"marine sediment"),EXACT(Metadata!Z250,"sea water"),EXACT(Metadata!Z250,"sediment"),EXACT(Metadata!Z250,"soil"),EXACT(Metadata!Z250,"waste water"))))</f>
        <v>0</v>
      </c>
      <c r="BN250" t="b">
        <f>AND(IF(Metadata!AA250="",FALSE,TRUE),EXACT(Metadata!AA250,"metagenome"))</f>
        <v>0</v>
      </c>
      <c r="BO250" t="b">
        <f>AND(IF(Metadata!AB250="",FALSE,TRUE),EXACT(Metadata!AB250,"256318"))</f>
        <v>0</v>
      </c>
      <c r="BP250" t="b">
        <f>IF(Metadata!AC250="",FALSE,TRUE)</f>
        <v>0</v>
      </c>
      <c r="BQ250" t="b">
        <f>IF(Metadata!AD250="",FALSE,TRUE)</f>
        <v>0</v>
      </c>
    </row>
    <row r="251" spans="1:69" x14ac:dyDescent="0.2">
      <c r="A251" s="4" t="e">
        <f ca="1">IF(B251=" "," ",HYPERLINK(CONCATENATE("#metadata!",ADDRESS(INDEX($AJ$2:$AJ$1001,MATCH(ROWS($AH$2:AH251),$AH$2:$AH$1001,0),0),2)),INDEX($AM$2:$AM$1001,MATCH(ROWS($AH$2:AH251),$AH$2:$AH$1001,0),0)))</f>
        <v>#N/A</v>
      </c>
      <c r="B251" s="5" t="e">
        <f ca="1">IF(OR(INDEX($AI$2:$AI$1001,MATCH(ROWS($AH$2:AH251),$AH$2:$AH$1001,0),1)&gt;=100000,INDEX($AO$1005:$BQ$1005,1,MATCH(COLUMNS($AO$1006:AO1006),$AO$1006:$BQ$1006,0))&gt;=100000), " ",IF(INDEX($AO$2:$BQ$1001,MATCH(ROWS($AH$2:AH251),$AH$2:$AH$1001,0),MATCH(COLUMNS($AO$1006:AO1006),$AO$1006:$BQ$1006,0)), HYPERLINK("#",""), HYPERLINK(CONCATENATE("#Metadata!", ADDRESS(INDEX($AJ$2:$AJ$1001,MATCH(ROWS($AH$2:AH251),$AH$2:$AH$1001,0),0), INDEX($AO$1004:$BQ$1004,1,MATCH(COLUMNS($AO$1006:AO1006),$AO$1006:$BQ$1006,0)))),"Fix")))</f>
        <v>#N/A</v>
      </c>
      <c r="C251" s="5" t="e">
        <f ca="1">IF(OR(INDEX($AI$2:$AI$1001,MATCH(ROWS($AH$2:AH251),$AH$2:$AH$1001,0),1)&gt;=100000,INDEX($AO$1005:$BQ$1005,1,MATCH(COLUMNS($AO$1006:AP1006),$AO$1006:$BQ$1006,0))&gt;=100000), " ",IF(INDEX($AO$2:$BQ$1001,MATCH(ROWS($AH$2:AH251),$AH$2:$AH$1001,0),MATCH(COLUMNS($AO$1006:AP1006),$AO$1006:$BQ$1006,0)), HYPERLINK("#",""), HYPERLINK(CONCATENATE("#Metadata!", ADDRESS(INDEX($AJ$2:$AJ$1001,MATCH(ROWS($AH$2:AH251),$AH$2:$AH$1001,0),0), INDEX($AO$1004:$BQ$1004,1,MATCH(COLUMNS($AO$1006:AP1006),$AO$1006:$BQ$1006,0)))),"Fix")))</f>
        <v>#N/A</v>
      </c>
      <c r="D251" s="5" t="e">
        <f ca="1">IF(OR(INDEX($AI$2:$AI$1001,MATCH(ROWS($AH$2:AH251),$AH$2:$AH$1001,0),1)&gt;=100000,INDEX($AO$1005:$BQ$1005,1,MATCH(COLUMNS($AO$1006:AQ1006),$AO$1006:$BQ$1006,0))&gt;=100000), " ",IF(INDEX($AO$2:$BQ$1001,MATCH(ROWS($AH$2:AH251),$AH$2:$AH$1001,0),MATCH(COLUMNS($AO$1006:AQ1006),$AO$1006:$BQ$1006,0)), HYPERLINK("#",""), HYPERLINK(CONCATENATE("#Metadata!", ADDRESS(INDEX($AJ$2:$AJ$1001,MATCH(ROWS($AH$2:AH251),$AH$2:$AH$1001,0),0), INDEX($AO$1004:$BQ$1004,1,MATCH(COLUMNS($AO$1006:AQ1006),$AO$1006:$BQ$1006,0)))),"Fix")))</f>
        <v>#N/A</v>
      </c>
      <c r="E251" s="5" t="e">
        <f ca="1">IF(OR(INDEX($AI$2:$AI$1001,MATCH(ROWS($AH$2:AH251),$AH$2:$AH$1001,0),1)&gt;=100000,INDEX($AO$1005:$BQ$1005,1,MATCH(COLUMNS($AO$1006:AR1006),$AO$1006:$BQ$1006,0))&gt;=100000), " ",IF(INDEX($AO$2:$BQ$1001,MATCH(ROWS($AH$2:AH251),$AH$2:$AH$1001,0),MATCH(COLUMNS($AO$1006:AR1006),$AO$1006:$BQ$1006,0)), HYPERLINK("#",""), HYPERLINK(CONCATENATE("#Metadata!", ADDRESS(INDEX($AJ$2:$AJ$1001,MATCH(ROWS($AH$2:AH251),$AH$2:$AH$1001,0),0), INDEX($AO$1004:$BQ$1004,1,MATCH(COLUMNS($AO$1006:AR1006),$AO$1006:$BQ$1006,0)))),"Fix")))</f>
        <v>#N/A</v>
      </c>
      <c r="F251" s="5" t="e">
        <f ca="1">IF(OR(INDEX($AI$2:$AI$1001,MATCH(ROWS($AH$2:AH251),$AH$2:$AH$1001,0),1)&gt;=100000,INDEX($AO$1005:$BQ$1005,1,MATCH(COLUMNS($AO$1006:AS1006),$AO$1006:$BQ$1006,0))&gt;=100000), " ",IF(INDEX($AO$2:$BQ$1001,MATCH(ROWS($AH$2:AH251),$AH$2:$AH$1001,0),MATCH(COLUMNS($AO$1006:AS1006),$AO$1006:$BQ$1006,0)), HYPERLINK("#",""), HYPERLINK(CONCATENATE("#Metadata!", ADDRESS(INDEX($AJ$2:$AJ$1001,MATCH(ROWS($AH$2:AH251),$AH$2:$AH$1001,0),0), INDEX($AO$1004:$BQ$1004,1,MATCH(COLUMNS($AO$1006:AS1006),$AO$1006:$BQ$1006,0)))),"Fix")))</f>
        <v>#N/A</v>
      </c>
      <c r="G251" s="5" t="e">
        <f ca="1">IF(OR(INDEX($AI$2:$AI$1001,MATCH(ROWS($AH$2:AH251),$AH$2:$AH$1001,0),1)&gt;=100000,INDEX($AO$1005:$BQ$1005,1,MATCH(COLUMNS($AO$1006:AT1006),$AO$1006:$BQ$1006,0))&gt;=100000), " ",IF(INDEX($AO$2:$BQ$1001,MATCH(ROWS($AH$2:AH251),$AH$2:$AH$1001,0),MATCH(COLUMNS($AO$1006:AT1006),$AO$1006:$BQ$1006,0)), HYPERLINK("#",""), HYPERLINK(CONCATENATE("#Metadata!", ADDRESS(INDEX($AJ$2:$AJ$1001,MATCH(ROWS($AH$2:AH251),$AH$2:$AH$1001,0),0), INDEX($AO$1004:$BQ$1004,1,MATCH(COLUMNS($AO$1006:AT1006),$AO$1006:$BQ$1006,0)))),"Fix")))</f>
        <v>#N/A</v>
      </c>
      <c r="H251" s="5" t="e">
        <f ca="1">IF(OR(INDEX($AI$2:$AI$1001,MATCH(ROWS($AH$2:AH251),$AH$2:$AH$1001,0),1)&gt;=100000,INDEX($AO$1005:$BQ$1005,1,MATCH(COLUMNS($AO$1006:AU1006),$AO$1006:$BQ$1006,0))&gt;=100000), " ",IF(INDEX($AO$2:$BQ$1001,MATCH(ROWS($AH$2:AH251),$AH$2:$AH$1001,0),MATCH(COLUMNS($AO$1006:AU1006),$AO$1006:$BQ$1006,0)), HYPERLINK("#",""), HYPERLINK(CONCATENATE("#Metadata!", ADDRESS(INDEX($AJ$2:$AJ$1001,MATCH(ROWS($AH$2:AH251),$AH$2:$AH$1001,0),0), INDEX($AO$1004:$BQ$1004,1,MATCH(COLUMNS($AO$1006:AU1006),$AO$1006:$BQ$1006,0)))),"Fix")))</f>
        <v>#N/A</v>
      </c>
      <c r="I251" s="5" t="e">
        <f ca="1">IF(OR(INDEX($AI$2:$AI$1001,MATCH(ROWS($AH$2:AH251),$AH$2:$AH$1001,0),1)&gt;=100000,INDEX($AO$1005:$BQ$1005,1,MATCH(COLUMNS($AO$1006:AV1006),$AO$1006:$BQ$1006,0))&gt;=100000), " ",IF(INDEX($AO$2:$BQ$1001,MATCH(ROWS($AH$2:AH251),$AH$2:$AH$1001,0),MATCH(COLUMNS($AO$1006:AV1006),$AO$1006:$BQ$1006,0)), HYPERLINK("#",""), HYPERLINK(CONCATENATE("#Metadata!", ADDRESS(INDEX($AJ$2:$AJ$1001,MATCH(ROWS($AH$2:AH251),$AH$2:$AH$1001,0),0), INDEX($AO$1004:$BQ$1004,1,MATCH(COLUMNS($AO$1006:AV1006),$AO$1006:$BQ$1006,0)))),"Fix")))</f>
        <v>#N/A</v>
      </c>
      <c r="J251" s="5" t="e">
        <f ca="1">IF(OR(INDEX($AI$2:$AI$1001,MATCH(ROWS($AH$2:AH251),$AH$2:$AH$1001,0),1)&gt;=100000,INDEX($AO$1005:$BQ$1005,1,MATCH(COLUMNS($AO$1006:AW1006),$AO$1006:$BQ$1006,0))&gt;=100000), " ",IF(INDEX($AO$2:$BQ$1001,MATCH(ROWS($AH$2:AH251),$AH$2:$AH$1001,0),MATCH(COLUMNS($AO$1006:AW1006),$AO$1006:$BQ$1006,0)), HYPERLINK("#",""), HYPERLINK(CONCATENATE("#Metadata!", ADDRESS(INDEX($AJ$2:$AJ$1001,MATCH(ROWS($AH$2:AH251),$AH$2:$AH$1001,0),0), INDEX($AO$1004:$BQ$1004,1,MATCH(COLUMNS($AO$1006:AW1006),$AO$1006:$BQ$1006,0)))),"Fix")))</f>
        <v>#N/A</v>
      </c>
      <c r="K251" s="5" t="e">
        <f ca="1">IF(OR(INDEX($AI$2:$AI$1001,MATCH(ROWS($AH$2:AH251),$AH$2:$AH$1001,0),1)&gt;=100000,INDEX($AO$1005:$BQ$1005,1,MATCH(COLUMNS($AO$1006:AX1006),$AO$1006:$BQ$1006,0))&gt;=100000), " ",IF(INDEX($AO$2:$BQ$1001,MATCH(ROWS($AH$2:AH251),$AH$2:$AH$1001,0),MATCH(COLUMNS($AO$1006:AX1006),$AO$1006:$BQ$1006,0)), HYPERLINK("#",""), HYPERLINK(CONCATENATE("#Metadata!", ADDRESS(INDEX($AJ$2:$AJ$1001,MATCH(ROWS($AH$2:AH251),$AH$2:$AH$1001,0),0), INDEX($AO$1004:$BQ$1004,1,MATCH(COLUMNS($AO$1006:AX1006),$AO$1006:$BQ$1006,0)))),"Fix")))</f>
        <v>#N/A</v>
      </c>
      <c r="L251" s="5" t="e">
        <f ca="1">IF(OR(INDEX($AI$2:$AI$1001,MATCH(ROWS($AH$2:AH251),$AH$2:$AH$1001,0),1)&gt;=100000,INDEX($AO$1005:$BQ$1005,1,MATCH(COLUMNS($AO$1006:AY1006),$AO$1006:$BQ$1006,0))&gt;=100000), " ",IF(INDEX($AO$2:$BQ$1001,MATCH(ROWS($AH$2:AH251),$AH$2:$AH$1001,0),MATCH(COLUMNS($AO$1006:AY1006),$AO$1006:$BQ$1006,0)), HYPERLINK("#",""), HYPERLINK(CONCATENATE("#Metadata!", ADDRESS(INDEX($AJ$2:$AJ$1001,MATCH(ROWS($AH$2:AH251),$AH$2:$AH$1001,0),0), INDEX($AO$1004:$BQ$1004,1,MATCH(COLUMNS($AO$1006:AY1006),$AO$1006:$BQ$1006,0)))),"Fix")))</f>
        <v>#N/A</v>
      </c>
      <c r="M251" s="5" t="e">
        <f ca="1">IF(OR(INDEX($AI$2:$AI$1001,MATCH(ROWS($AH$2:AH251),$AH$2:$AH$1001,0),1)&gt;=100000,INDEX($AO$1005:$BQ$1005,1,MATCH(COLUMNS($AO$1006:AZ1006),$AO$1006:$BQ$1006,0))&gt;=100000), " ",IF(INDEX($AO$2:$BQ$1001,MATCH(ROWS($AH$2:AH251),$AH$2:$AH$1001,0),MATCH(COLUMNS($AO$1006:AZ1006),$AO$1006:$BQ$1006,0)), HYPERLINK("#",""), HYPERLINK(CONCATENATE("#Metadata!", ADDRESS(INDEX($AJ$2:$AJ$1001,MATCH(ROWS($AH$2:AH251),$AH$2:$AH$1001,0),0), INDEX($AO$1004:$BQ$1004,1,MATCH(COLUMNS($AO$1006:AZ1006),$AO$1006:$BQ$1006,0)))),"Fix")))</f>
        <v>#N/A</v>
      </c>
      <c r="N251" s="5" t="e">
        <f ca="1">IF(OR(INDEX($AI$2:$AI$1001,MATCH(ROWS($AH$2:AH251),$AH$2:$AH$1001,0),1)&gt;=100000,INDEX($AO$1005:$BQ$1005,1,MATCH(COLUMNS($AO$1006:BA1006),$AO$1006:$BQ$1006,0))&gt;=100000), " ",IF(INDEX($AO$2:$BQ$1001,MATCH(ROWS($AH$2:AH251),$AH$2:$AH$1001,0),MATCH(COLUMNS($AO$1006:BA1006),$AO$1006:$BQ$1006,0)), HYPERLINK("#",""), HYPERLINK(CONCATENATE("#Metadata!", ADDRESS(INDEX($AJ$2:$AJ$1001,MATCH(ROWS($AH$2:AH251),$AH$2:$AH$1001,0),0), INDEX($AO$1004:$BQ$1004,1,MATCH(COLUMNS($AO$1006:BA1006),$AO$1006:$BQ$1006,0)))),"Fix")))</f>
        <v>#N/A</v>
      </c>
      <c r="O251" s="5" t="e">
        <f ca="1">IF(OR(INDEX($AI$2:$AI$1001,MATCH(ROWS($AH$2:AH251),$AH$2:$AH$1001,0),1)&gt;=100000,INDEX($AO$1005:$BQ$1005,1,MATCH(COLUMNS($AO$1006:BB1006),$AO$1006:$BQ$1006,0))&gt;=100000), " ",IF(INDEX($AO$2:$BQ$1001,MATCH(ROWS($AH$2:AH251),$AH$2:$AH$1001,0),MATCH(COLUMNS($AO$1006:BB1006),$AO$1006:$BQ$1006,0)), HYPERLINK("#",""), HYPERLINK(CONCATENATE("#Metadata!", ADDRESS(INDEX($AJ$2:$AJ$1001,MATCH(ROWS($AH$2:AH251),$AH$2:$AH$1001,0),0), INDEX($AO$1004:$BQ$1004,1,MATCH(COLUMNS($AO$1006:BB1006),$AO$1006:$BQ$1006,0)))),"Fix")))</f>
        <v>#N/A</v>
      </c>
      <c r="P251" s="5" t="e">
        <f ca="1">IF(OR(INDEX($AI$2:$AI$1001,MATCH(ROWS($AH$2:AH251),$AH$2:$AH$1001,0),1)&gt;=100000,INDEX($AO$1005:$BQ$1005,1,MATCH(COLUMNS($AO$1006:BC1006),$AO$1006:$BQ$1006,0))&gt;=100000), " ",IF(INDEX($AO$2:$BQ$1001,MATCH(ROWS($AH$2:AH251),$AH$2:$AH$1001,0),MATCH(COLUMNS($AO$1006:BC1006),$AO$1006:$BQ$1006,0)), HYPERLINK("#",""), HYPERLINK(CONCATENATE("#Metadata!", ADDRESS(INDEX($AJ$2:$AJ$1001,MATCH(ROWS($AH$2:AH251),$AH$2:$AH$1001,0),0), INDEX($AO$1004:$BQ$1004,1,MATCH(COLUMNS($AO$1006:BC1006),$AO$1006:$BQ$1006,0)))),"Fix")))</f>
        <v>#N/A</v>
      </c>
      <c r="Q251" s="5" t="e">
        <f ca="1">IF(OR(INDEX($AI$2:$AI$1001,MATCH(ROWS($AH$2:AH251),$AH$2:$AH$1001,0),1)&gt;=100000,INDEX($AO$1005:$BQ$1005,1,MATCH(COLUMNS($AO$1006:BD1006),$AO$1006:$BQ$1006,0))&gt;=100000), " ",IF(INDEX($AO$2:$BQ$1001,MATCH(ROWS($AH$2:AH251),$AH$2:$AH$1001,0),MATCH(COLUMNS($AO$1006:BD1006),$AO$1006:$BQ$1006,0)), HYPERLINK("#",""), HYPERLINK(CONCATENATE("#Metadata!", ADDRESS(INDEX($AJ$2:$AJ$1001,MATCH(ROWS($AH$2:AH251),$AH$2:$AH$1001,0),0), INDEX($AO$1004:$BQ$1004,1,MATCH(COLUMNS($AO$1006:BD1006),$AO$1006:$BQ$1006,0)))),"Fix")))</f>
        <v>#N/A</v>
      </c>
      <c r="R251" s="5" t="e">
        <f ca="1">IF(OR(INDEX($AI$2:$AI$1001,MATCH(ROWS($AH$2:AH251),$AH$2:$AH$1001,0),1)&gt;=100000,INDEX($AO$1005:$BQ$1005,1,MATCH(COLUMNS($AO$1006:BE1006),$AO$1006:$BQ$1006,0))&gt;=100000), " ",IF(INDEX($AO$2:$BQ$1001,MATCH(ROWS($AH$2:AH251),$AH$2:$AH$1001,0),MATCH(COLUMNS($AO$1006:BE1006),$AO$1006:$BQ$1006,0)), HYPERLINK("#",""), HYPERLINK(CONCATENATE("#Metadata!", ADDRESS(INDEX($AJ$2:$AJ$1001,MATCH(ROWS($AH$2:AH251),$AH$2:$AH$1001,0),0), INDEX($AO$1004:$BQ$1004,1,MATCH(COLUMNS($AO$1006:BE1006),$AO$1006:$BQ$1006,0)))),"Fix")))</f>
        <v>#N/A</v>
      </c>
      <c r="S251" s="5" t="e">
        <f ca="1">IF(OR(INDEX($AI$2:$AI$1001,MATCH(ROWS($AH$2:AH251),$AH$2:$AH$1001,0),1)&gt;=100000,INDEX($AO$1005:$BQ$1005,1,MATCH(COLUMNS($AO$1006:BF1006),$AO$1006:$BQ$1006,0))&gt;=100000), " ",IF(INDEX($AO$2:$BQ$1001,MATCH(ROWS($AH$2:AH251),$AH$2:$AH$1001,0),MATCH(COLUMNS($AO$1006:BF1006),$AO$1006:$BQ$1006,0)), HYPERLINK("#",""), HYPERLINK(CONCATENATE("#Metadata!", ADDRESS(INDEX($AJ$2:$AJ$1001,MATCH(ROWS($AH$2:AH251),$AH$2:$AH$1001,0),0), INDEX($AO$1004:$BQ$1004,1,MATCH(COLUMNS($AO$1006:BF1006),$AO$1006:$BQ$1006,0)))),"Fix")))</f>
        <v>#N/A</v>
      </c>
      <c r="T251" s="5" t="e">
        <f ca="1">IF(OR(INDEX($AI$2:$AI$1001,MATCH(ROWS($AH$2:AH251),$AH$2:$AH$1001,0),1)&gt;=100000,INDEX($AO$1005:$BQ$1005,1,MATCH(COLUMNS($AO$1006:BG1006),$AO$1006:$BQ$1006,0))&gt;=100000), " ",IF(INDEX($AO$2:$BQ$1001,MATCH(ROWS($AH$2:AH251),$AH$2:$AH$1001,0),MATCH(COLUMNS($AO$1006:BG1006),$AO$1006:$BQ$1006,0)), HYPERLINK("#",""), HYPERLINK(CONCATENATE("#Metadata!", ADDRESS(INDEX($AJ$2:$AJ$1001,MATCH(ROWS($AH$2:AH251),$AH$2:$AH$1001,0),0), INDEX($AO$1004:$BQ$1004,1,MATCH(COLUMNS($AO$1006:BG1006),$AO$1006:$BQ$1006,0)))),"Fix")))</f>
        <v>#N/A</v>
      </c>
      <c r="U251" s="5" t="e">
        <f ca="1">IF(OR(INDEX($AI$2:$AI$1001,MATCH(ROWS($AH$2:AH251),$AH$2:$AH$1001,0),1)&gt;=100000,INDEX($AO$1005:$BQ$1005,1,MATCH(COLUMNS($AO$1006:BH1006),$AO$1006:$BQ$1006,0))&gt;=100000), " ",IF(INDEX($AO$2:$BQ$1001,MATCH(ROWS($AH$2:AH251),$AH$2:$AH$1001,0),MATCH(COLUMNS($AO$1006:BH1006),$AO$1006:$BQ$1006,0)), HYPERLINK("#",""), HYPERLINK(CONCATENATE("#Metadata!", ADDRESS(INDEX($AJ$2:$AJ$1001,MATCH(ROWS($AH$2:AH251),$AH$2:$AH$1001,0),0), INDEX($AO$1004:$BQ$1004,1,MATCH(COLUMNS($AO$1006:BH1006),$AO$1006:$BQ$1006,0)))),"Fix")))</f>
        <v>#N/A</v>
      </c>
      <c r="V251" s="5" t="e">
        <f ca="1">IF(OR(INDEX($AI$2:$AI$1001,MATCH(ROWS($AH$2:AH251),$AH$2:$AH$1001,0),1)&gt;=100000,INDEX($AO$1005:$BQ$1005,1,MATCH(COLUMNS($AO$1006:BI1006),$AO$1006:$BQ$1006,0))&gt;=100000), " ",IF(INDEX($AO$2:$BQ$1001,MATCH(ROWS($AH$2:AH251),$AH$2:$AH$1001,0),MATCH(COLUMNS($AO$1006:BI1006),$AO$1006:$BQ$1006,0)), HYPERLINK("#",""), HYPERLINK(CONCATENATE("#Metadata!", ADDRESS(INDEX($AJ$2:$AJ$1001,MATCH(ROWS($AH$2:AH251),$AH$2:$AH$1001,0),0), INDEX($AO$1004:$BQ$1004,1,MATCH(COLUMNS($AO$1006:BI1006),$AO$1006:$BQ$1006,0)))),"Fix")))</f>
        <v>#N/A</v>
      </c>
      <c r="W251" s="5" t="e">
        <f ca="1">IF(OR(INDEX($AI$2:$AI$1001,MATCH(ROWS($AH$2:AH251),$AH$2:$AH$1001,0),1)&gt;=100000,INDEX($AO$1005:$BQ$1005,1,MATCH(COLUMNS($AO$1006:BJ1006),$AO$1006:$BQ$1006,0))&gt;=100000), " ",IF(INDEX($AO$2:$BQ$1001,MATCH(ROWS($AH$2:AH251),$AH$2:$AH$1001,0),MATCH(COLUMNS($AO$1006:BJ1006),$AO$1006:$BQ$1006,0)), HYPERLINK("#",""), HYPERLINK(CONCATENATE("#Metadata!", ADDRESS(INDEX($AJ$2:$AJ$1001,MATCH(ROWS($AH$2:AH251),$AH$2:$AH$1001,0),0), INDEX($AO$1004:$BQ$1004,1,MATCH(COLUMNS($AO$1006:BJ1006),$AO$1006:$BQ$1006,0)))),"Fix")))</f>
        <v>#N/A</v>
      </c>
      <c r="X251" s="5" t="e">
        <f ca="1">IF(OR(INDEX($AI$2:$AI$1001,MATCH(ROWS($AH$2:AH251),$AH$2:$AH$1001,0),1)&gt;=100000,INDEX($AO$1005:$BQ$1005,1,MATCH(COLUMNS($AO$1006:BK1006),$AO$1006:$BQ$1006,0))&gt;=100000), " ",IF(INDEX($AO$2:$BQ$1001,MATCH(ROWS($AH$2:AH251),$AH$2:$AH$1001,0),MATCH(COLUMNS($AO$1006:BK1006),$AO$1006:$BQ$1006,0)), HYPERLINK("#",""), HYPERLINK(CONCATENATE("#Metadata!", ADDRESS(INDEX($AJ$2:$AJ$1001,MATCH(ROWS($AH$2:AH251),$AH$2:$AH$1001,0),0), INDEX($AO$1004:$BQ$1004,1,MATCH(COLUMNS($AO$1006:BK1006),$AO$1006:$BQ$1006,0)))),"Fix")))</f>
        <v>#N/A</v>
      </c>
      <c r="Y251" s="5" t="e">
        <f ca="1">IF(OR(INDEX($AI$2:$AI$1001,MATCH(ROWS($AH$2:AH251),$AH$2:$AH$1001,0),1)&gt;=100000,INDEX($AO$1005:$BQ$1005,1,MATCH(COLUMNS($AO$1006:BL1006),$AO$1006:$BQ$1006,0))&gt;=100000), " ",IF(INDEX($AO$2:$BQ$1001,MATCH(ROWS($AH$2:AH251),$AH$2:$AH$1001,0),MATCH(COLUMNS($AO$1006:BL1006),$AO$1006:$BQ$1006,0)), HYPERLINK("#",""), HYPERLINK(CONCATENATE("#Metadata!", ADDRESS(INDEX($AJ$2:$AJ$1001,MATCH(ROWS($AH$2:AH251),$AH$2:$AH$1001,0),0), INDEX($AO$1004:$BQ$1004,1,MATCH(COLUMNS($AO$1006:BL1006),$AO$1006:$BQ$1006,0)))),"Fix")))</f>
        <v>#N/A</v>
      </c>
      <c r="Z251" s="5" t="e">
        <f ca="1">IF(OR(INDEX($AI$2:$AI$1001,MATCH(ROWS($AH$2:AH251),$AH$2:$AH$1001,0),1)&gt;=100000,INDEX($AO$1005:$BQ$1005,1,MATCH(COLUMNS($AO$1006:BM1006),$AO$1006:$BQ$1006,0))&gt;=100000), " ",IF(INDEX($AO$2:$BQ$1001,MATCH(ROWS($AH$2:AH251),$AH$2:$AH$1001,0),MATCH(COLUMNS($AO$1006:BM1006),$AO$1006:$BQ$1006,0)), HYPERLINK("#",""), HYPERLINK(CONCATENATE("#Metadata!", ADDRESS(INDEX($AJ$2:$AJ$1001,MATCH(ROWS($AH$2:AH251),$AH$2:$AH$1001,0),0), INDEX($AO$1004:$BQ$1004,1,MATCH(COLUMNS($AO$1006:BM1006),$AO$1006:$BQ$1006,0)))),"Fix")))</f>
        <v>#N/A</v>
      </c>
      <c r="AA251" s="5" t="e">
        <f ca="1">IF(OR(INDEX($AI$2:$AI$1001,MATCH(ROWS($AH$2:AH251),$AH$2:$AH$1001,0),1)&gt;=100000,INDEX($AO$1005:$BQ$1005,1,MATCH(COLUMNS($AO$1006:BN1006),$AO$1006:$BQ$1006,0))&gt;=100000), " ",IF(INDEX($AO$2:$BQ$1001,MATCH(ROWS($AH$2:AH251),$AH$2:$AH$1001,0),MATCH(COLUMNS($AO$1006:BN1006),$AO$1006:$BQ$1006,0)), HYPERLINK("#",""), HYPERLINK(CONCATENATE("#Metadata!", ADDRESS(INDEX($AJ$2:$AJ$1001,MATCH(ROWS($AH$2:AH251),$AH$2:$AH$1001,0),0), INDEX($AO$1004:$BQ$1004,1,MATCH(COLUMNS($AO$1006:BN1006),$AO$1006:$BQ$1006,0)))),"Fix")))</f>
        <v>#N/A</v>
      </c>
      <c r="AB251" s="5" t="e">
        <f ca="1">IF(OR(INDEX($AI$2:$AI$1001,MATCH(ROWS($AH$2:AH251),$AH$2:$AH$1001,0),1)&gt;=100000,INDEX($AO$1005:$BQ$1005,1,MATCH(COLUMNS($AO$1006:BO1006),$AO$1006:$BQ$1006,0))&gt;=100000), " ",IF(INDEX($AO$2:$BQ$1001,MATCH(ROWS($AH$2:AH251),$AH$2:$AH$1001,0),MATCH(COLUMNS($AO$1006:BO1006),$AO$1006:$BQ$1006,0)), HYPERLINK("#",""), HYPERLINK(CONCATENATE("#Metadata!", ADDRESS(INDEX($AJ$2:$AJ$1001,MATCH(ROWS($AH$2:AH251),$AH$2:$AH$1001,0),0), INDEX($AO$1004:$BQ$1004,1,MATCH(COLUMNS($AO$1006:BO1006),$AO$1006:$BQ$1006,0)))),"Fix")))</f>
        <v>#N/A</v>
      </c>
      <c r="AC251" s="5" t="e">
        <f ca="1">IF(OR(INDEX($AI$2:$AI$1001,MATCH(ROWS($AH$2:AH251),$AH$2:$AH$1001,0),1)&gt;=100000,INDEX($AO$1005:$BQ$1005,1,MATCH(COLUMNS($AO$1006:BP1006),$AO$1006:$BQ$1006,0))&gt;=100000), " ",IF(INDEX($AO$2:$BQ$1001,MATCH(ROWS($AH$2:AH251),$AH$2:$AH$1001,0),MATCH(COLUMNS($AO$1006:BP1006),$AO$1006:$BQ$1006,0)), HYPERLINK("#",""), HYPERLINK(CONCATENATE("#Metadata!", ADDRESS(INDEX($AJ$2:$AJ$1001,MATCH(ROWS($AH$2:AH251),$AH$2:$AH$1001,0),0), INDEX($AO$1004:$BQ$1004,1,MATCH(COLUMNS($AO$1006:BP1006),$AO$1006:$BQ$1006,0)))),"Fix")))</f>
        <v>#N/A</v>
      </c>
      <c r="AD251" s="5" t="e">
        <f ca="1">IF(OR(INDEX($AI$2:$AI$1001,MATCH(ROWS($AH$2:AH251),$AH$2:$AH$1001,0),1)&gt;=100000,INDEX($AO$1005:$BQ$1005,1,MATCH(COLUMNS($AO$1006:BQ1006),$AO$1006:$BQ$1006,0))&gt;=100000), " ",IF(INDEX($AO$2:$BQ$1001,MATCH(ROWS($AH$2:AH251),$AH$2:$AH$1001,0),MATCH(COLUMNS($AO$1006:BQ1006),$AO$1006:$BQ$1006,0)), HYPERLINK("#",""), HYPERLINK(CONCATENATE("#Metadata!", ADDRESS(INDEX($AJ$2:$AJ$1001,MATCH(ROWS($AH$2:AH251),$AH$2:$AH$1001,0),0), INDEX($AO$1004:$BQ$1004,1,MATCH(COLUMNS($AO$1006:BQ1006),$AO$1006:$BQ$1006,0)))),"Fix")))</f>
        <v>#REF!</v>
      </c>
      <c r="AH251">
        <f ca="1"/>
        <v>248</v>
      </c>
      <c r="AI251">
        <v>100251</v>
      </c>
      <c r="AJ251">
        <v>251</v>
      </c>
      <c r="AK251" t="b">
        <f t="shared" si="3"/>
        <v>1</v>
      </c>
      <c r="AL251" t="b">
        <f>COUNTBLANK(Metadata!B251:AD251)=COLUMNS(Metadata!B251:AD251)</f>
        <v>1</v>
      </c>
      <c r="AM251" t="str">
        <v/>
      </c>
      <c r="AO251" t="b">
        <f ca="1">AND(IF(Metadata!B251="",FALSE,TRUE),COUNTIF(Metadata!B:B, Metadata!B251) = 1,NOT(ISERROR(SUMPRODUCT(SEARCH(MID(Metadata!B251,ROW(INDIRECT("1:"&amp;LEN(Metadata!B251))), 1),"0123456789abcdefghijklmnopqrstuvwxyzABCDEFGHIJKLMNOPQRSTUVWXYZ.")))))</f>
        <v>0</v>
      </c>
      <c r="AP251" t="b">
        <f>IF(Metadata!C251="",FALSE,TRUE)</f>
        <v>0</v>
      </c>
      <c r="AQ251" t="b">
        <f>IF(Metadata!D251="",FALSE,TRUE)</f>
        <v>0</v>
      </c>
      <c r="AR251" t="b">
        <f ca="1">OR(AND(IF(Metadata!E251="",FALSE,TRUE),OR(EXACT(Metadata!E251,"not collected"),EXACT(Metadata!E251,"not provided"),EXACT(Metadata!E251,"restricted access"))),AND(IF(Metadata!E251="",FALSE,TRUE),AND(AND(IFERROR(INT(LEFT(Metadata!E251,4))&gt;1900,FALSE),IFERROR(INT(LEFT(Metadata!E251,4))&lt;=YEAR(NOW()),FALSE)), OR(MID(Metadata!E251,5,1)="", AND(AND(MID(Metadata!E251,5,1)="-",IFERROR(INT(MID(Metadata!E251,6,1))&gt;=0,FALSE),IFERROR(INT(MID(Metadata!E251,6,1))&lt;=1,FALSE),NOT(MID(Metadata!E251,7,1)=""),IFERROR(INT(MID(Metadata!E251,6,2))&gt;=1,FALSE),IFERROR(INT(MID(Metadata!E251,6,2))&lt;=12,FALSE)), OR(MID(Metadata!E251,8,1)="", AND(AND(MID(Metadata!E251,8,1)="-",IFERROR(INT(MID(Metadata!E251,9,1))&gt;=0,FALSE),IFERROR(INT(MID(Metadata!E251,9,1))&lt;=3,FALSE),NOT(MID(Metadata!E251,10,1)=""),IFERROR(INT(MID(Metadata!E251,9,2))&gt;=1,FALSE),IFERROR(INT(MID(Metadata!E251,9,2))&lt;=31,FALSE)), OR(MID(Metadata!E251,11,1)="", AND(AND(MID(Metadata!E251,11,1)=" ",IFERROR(INT(MID(Metadata!E251,12,1))&gt;=0,FALSE),IFERROR(INT(MID(Metadata!E251,12,1))&lt;=2,FALSE),NOT(MID(Metadata!E251,13,1)=""),IFERROR(INT(MID(Metadata!E251,12,2))&gt;=0,FALSE),IFERROR(INT(MID(Metadata!E251,12,2))&lt;=23,FALSE)), OR(MID(Metadata!E251,14,1)="", AND(AND(MID(Metadata!E251,14,1)=":",IFERROR(INT(MID(Metadata!E251,15,1))&gt;=0,FALSE),IFERROR(INT(MID(Metadata!E251,15,1))&lt;=5,FALSE),NOT(MID(Metadata!E251,16,1)=""),IFERROR(INT(MID(Metadata!E251,15,2))&gt;=0,FALSE),IFERROR(INT(MID(Metadata!E251,15,2))&lt;=59,FALSE)), OR(MID(Metadata!E251,17,1)="", AND(AND(MID(Metadata!E251,17,1)=":",IFERROR(INT(MID(Metadata!E251,18,1))&gt;=0,FALSE),IFERROR(INT(MID(Metadata!E251,18,1))&lt;=5,FALSE),NOT(MID(Metadata!E251,19,1)=""),IFERROR(INT(MID(Metadata!E251,18,2))&gt;=0,FALSE),IFERROR(INT(MID(Metadata!E251,18,2))&lt;=59,FALSE)), LEN(Metadata!E251)&lt;=19)))))))))))))</f>
        <v>0</v>
      </c>
      <c r="AS251" t="b">
        <f>IF(Metadata!F251="",FALSE,TRUE)</f>
        <v>0</v>
      </c>
      <c r="AT251" t="b">
        <f>OR(AND(IF(Metadata!G251="",FALSE,TRUE),OR(EXACT(Metadata!G251,"not collected"),EXACT(Metadata!G251,"not provided"))),AND(IF(Metadata!G251="",FALSE,TRUE),OR(EXACT(Metadata!G251,"TRUE"),EXACT(Metadata!G251,"FALSE"))))</f>
        <v>0</v>
      </c>
      <c r="AU251" t="b">
        <f>OR(AND(IF(Metadata!H251="",FALSE,TRUE),OR(EXACT(Metadata!H251,"not collected"),EXACT(Metadata!H251,"not provided"),EXACT(Metadata!H251,"restricted access"))),AND(IF(Metadata!H251="",FALSE,ISNUMBER(VALUE(Metadata!H251))),Metadata!H251&gt;=-413))</f>
        <v>0</v>
      </c>
      <c r="AV251" t="b">
        <f>AND(IF(Metadata!I251="",FALSE,TRUE),EXACT(Metadata!I251,"meters"))</f>
        <v>0</v>
      </c>
      <c r="AW251" t="b">
        <f>AND(IF(Metadata!J251="",FALSE,TRUE),EXACT(Metadata!J251,"free-living"))</f>
        <v>0</v>
      </c>
      <c r="AX251" t="b">
        <f>AND(IF(Metadata!K251="",FALSE,TRUE),OR(EXACT(Metadata!K251,"saline"),EXACT(Metadata!K251,"non-saline")))</f>
        <v>0</v>
      </c>
      <c r="AY251" t="b">
        <f>AND(IF(Metadata!L251="",FALSE,TRUE),OR(EXACT(Metadata!L251,"sub-surface (non-saline)"),EXACT(Metadata!L251,"surface (non-saline)"),EXACT(Metadata!L251,"water (non-saline)"),EXACT(Metadata!L251,"soil (non-saline)"),EXACT(Metadata!L251,"aerosol (non-saline)"),EXACT(Metadata!L251,"sediment (non-saline)"),EXACT(Metadata!L251,"surface (saline)"),EXACT(Metadata!L251,"water (saline)"),EXACT(Metadata!L251,"hypersaline (saline)"),EXACT(Metadata!L251,"aerosol (saline)"),EXACT(Metadata!L251,"sediment (saline)")))</f>
        <v>0</v>
      </c>
      <c r="AZ251" t="b">
        <f>IF(Metadata!M251="",FALSE,TRUE)</f>
        <v>0</v>
      </c>
      <c r="BA251" t="b">
        <f>IF(Metadata!N251="",FALSE,TRUE)</f>
        <v>0</v>
      </c>
      <c r="BB251" t="b">
        <f>IF(Metadata!O251="",FALSE,TRUE)</f>
        <v>0</v>
      </c>
      <c r="BC251" t="b">
        <f>AND(IF(Metadata!P251="",FALSE,TRUE),OR(EXACT(Metadata!P251,"air"),EXACT(Metadata!P251,"microbial mat/biofilm"),EXACT(Metadata!P251,"misc environment"),EXACT(Metadata!P251,"sediment"),EXACT(Metadata!P251,"soil"),EXACT(Metadata!P251,"wastewater/sludge"),EXACT(Metadata!P251,"water")))</f>
        <v>0</v>
      </c>
      <c r="BD251" t="b">
        <f>IF(Metadata!Q251="",FALSE,TRUE)</f>
        <v>0</v>
      </c>
      <c r="BE251" t="b">
        <f>IF(Metadata!R251="",FALSE,TRUE)</f>
        <v>0</v>
      </c>
      <c r="BF251" t="b">
        <f>OR(AND(IF(Metadata!S251="",FALSE,TRUE),OR(EXACT(Metadata!S251,"not collected"),EXACT(Metadata!S251,"not provided"),EXACT(Metadata!S251,"restricted access"))),AND(IF(Metadata!S251="",FALSE,ISNUMBER(VALUE(Metadata!S251))),Metadata!S251&gt;=-90,Metadata!S251&lt;=90))</f>
        <v>0</v>
      </c>
      <c r="BG251" t="b">
        <f>AND(IF(Metadata!T251="",FALSE,TRUE),EXACT(Metadata!T251,"Decimal degrees"))</f>
        <v>0</v>
      </c>
      <c r="BH251" t="b">
        <f>OR(AND(IF(Metadata!U251="",FALSE,TRUE),OR(EXACT(Metadata!U251,"not applicable"),EXACT(Metadata!U251,"not collected"))),IF(Metadata!U251="",FALSE,TRUE))</f>
        <v>0</v>
      </c>
      <c r="BI251" t="b">
        <f>OR(AND(IF(Metadata!V251="",FALSE,TRUE),OR(EXACT(Metadata!V251,"not collected"),EXACT(Metadata!V251,"not provided"),EXACT(Metadata!V251,"restricted access"))),AND(IF(Metadata!V251="",FALSE,ISNUMBER(VALUE(Metadata!V251))),Metadata!V251&gt;=-180,Metadata!V251&lt;=180))</f>
        <v>0</v>
      </c>
      <c r="BJ251" t="b">
        <f>AND(IF(Metadata!W251="",FALSE,TRUE),EXACT(Metadata!W251,"Decimal degrees"))</f>
        <v>0</v>
      </c>
      <c r="BK251" t="b">
        <f>IF(Metadata!X251="",FALSE,TRUE)</f>
        <v>0</v>
      </c>
      <c r="BL251" t="b">
        <f>OR(AND(IF(Metadata!Y251="",FALSE,TRUE),OR(EXACT(Metadata!Y251,"not collected"),EXACT(Metadata!Y251,"not provided"),EXACT(Metadata!Y251,"restricted access"))),AND(IF(Metadata!Y251="",FALSE,TRUE),OR(EXACT(Metadata!Y251,"TRUE"),EXACT(Metadata!Y251,"FALSE"))))</f>
        <v>0</v>
      </c>
      <c r="BM251" t="b">
        <f>OR(AND(IF(Metadata!Z251="",FALSE,TRUE),EXACT(Metadata!Z251,"not applicable")),AND(IF(Metadata!Z251="",FALSE,TRUE),OR(EXACT(Metadata!Z251,"beer"),EXACT(Metadata!Z251,"cheese"),EXACT(Metadata!Z251,"fresh water"),EXACT(Metadata!Z251,"marine sediment"),EXACT(Metadata!Z251,"sea water"),EXACT(Metadata!Z251,"sediment"),EXACT(Metadata!Z251,"soil"),EXACT(Metadata!Z251,"waste water"))))</f>
        <v>0</v>
      </c>
      <c r="BN251" t="b">
        <f>AND(IF(Metadata!AA251="",FALSE,TRUE),EXACT(Metadata!AA251,"metagenome"))</f>
        <v>0</v>
      </c>
      <c r="BO251" t="b">
        <f>AND(IF(Metadata!AB251="",FALSE,TRUE),EXACT(Metadata!AB251,"256318"))</f>
        <v>0</v>
      </c>
      <c r="BP251" t="b">
        <f>IF(Metadata!AC251="",FALSE,TRUE)</f>
        <v>0</v>
      </c>
      <c r="BQ251" t="b">
        <f>IF(Metadata!AD251="",FALSE,TRUE)</f>
        <v>0</v>
      </c>
    </row>
    <row r="252" spans="1:69" x14ac:dyDescent="0.2">
      <c r="A252" s="4" t="e">
        <f ca="1">IF(B252=" "," ",HYPERLINK(CONCATENATE("#metadata!",ADDRESS(INDEX($AJ$2:$AJ$1001,MATCH(ROWS($AH$2:AH252),$AH$2:$AH$1001,0),0),2)),INDEX($AM$2:$AM$1001,MATCH(ROWS($AH$2:AH252),$AH$2:$AH$1001,0),0)))</f>
        <v>#N/A</v>
      </c>
      <c r="B252" s="5" t="e">
        <f ca="1">IF(OR(INDEX($AI$2:$AI$1001,MATCH(ROWS($AH$2:AH252),$AH$2:$AH$1001,0),1)&gt;=100000,INDEX($AO$1005:$BQ$1005,1,MATCH(COLUMNS($AO$1006:AO1006),$AO$1006:$BQ$1006,0))&gt;=100000), " ",IF(INDEX($AO$2:$BQ$1001,MATCH(ROWS($AH$2:AH252),$AH$2:$AH$1001,0),MATCH(COLUMNS($AO$1006:AO1006),$AO$1006:$BQ$1006,0)), HYPERLINK("#",""), HYPERLINK(CONCATENATE("#Metadata!", ADDRESS(INDEX($AJ$2:$AJ$1001,MATCH(ROWS($AH$2:AH252),$AH$2:$AH$1001,0),0), INDEX($AO$1004:$BQ$1004,1,MATCH(COLUMNS($AO$1006:AO1006),$AO$1006:$BQ$1006,0)))),"Fix")))</f>
        <v>#N/A</v>
      </c>
      <c r="C252" s="5" t="e">
        <f ca="1">IF(OR(INDEX($AI$2:$AI$1001,MATCH(ROWS($AH$2:AH252),$AH$2:$AH$1001,0),1)&gt;=100000,INDEX($AO$1005:$BQ$1005,1,MATCH(COLUMNS($AO$1006:AP1006),$AO$1006:$BQ$1006,0))&gt;=100000), " ",IF(INDEX($AO$2:$BQ$1001,MATCH(ROWS($AH$2:AH252),$AH$2:$AH$1001,0),MATCH(COLUMNS($AO$1006:AP1006),$AO$1006:$BQ$1006,0)), HYPERLINK("#",""), HYPERLINK(CONCATENATE("#Metadata!", ADDRESS(INDEX($AJ$2:$AJ$1001,MATCH(ROWS($AH$2:AH252),$AH$2:$AH$1001,0),0), INDEX($AO$1004:$BQ$1004,1,MATCH(COLUMNS($AO$1006:AP1006),$AO$1006:$BQ$1006,0)))),"Fix")))</f>
        <v>#N/A</v>
      </c>
      <c r="D252" s="5" t="e">
        <f ca="1">IF(OR(INDEX($AI$2:$AI$1001,MATCH(ROWS($AH$2:AH252),$AH$2:$AH$1001,0),1)&gt;=100000,INDEX($AO$1005:$BQ$1005,1,MATCH(COLUMNS($AO$1006:AQ1006),$AO$1006:$BQ$1006,0))&gt;=100000), " ",IF(INDEX($AO$2:$BQ$1001,MATCH(ROWS($AH$2:AH252),$AH$2:$AH$1001,0),MATCH(COLUMNS($AO$1006:AQ1006),$AO$1006:$BQ$1006,0)), HYPERLINK("#",""), HYPERLINK(CONCATENATE("#Metadata!", ADDRESS(INDEX($AJ$2:$AJ$1001,MATCH(ROWS($AH$2:AH252),$AH$2:$AH$1001,0),0), INDEX($AO$1004:$BQ$1004,1,MATCH(COLUMNS($AO$1006:AQ1006),$AO$1006:$BQ$1006,0)))),"Fix")))</f>
        <v>#N/A</v>
      </c>
      <c r="E252" s="5" t="e">
        <f ca="1">IF(OR(INDEX($AI$2:$AI$1001,MATCH(ROWS($AH$2:AH252),$AH$2:$AH$1001,0),1)&gt;=100000,INDEX($AO$1005:$BQ$1005,1,MATCH(COLUMNS($AO$1006:AR1006),$AO$1006:$BQ$1006,0))&gt;=100000), " ",IF(INDEX($AO$2:$BQ$1001,MATCH(ROWS($AH$2:AH252),$AH$2:$AH$1001,0),MATCH(COLUMNS($AO$1006:AR1006),$AO$1006:$BQ$1006,0)), HYPERLINK("#",""), HYPERLINK(CONCATENATE("#Metadata!", ADDRESS(INDEX($AJ$2:$AJ$1001,MATCH(ROWS($AH$2:AH252),$AH$2:$AH$1001,0),0), INDEX($AO$1004:$BQ$1004,1,MATCH(COLUMNS($AO$1006:AR1006),$AO$1006:$BQ$1006,0)))),"Fix")))</f>
        <v>#N/A</v>
      </c>
      <c r="F252" s="5" t="e">
        <f ca="1">IF(OR(INDEX($AI$2:$AI$1001,MATCH(ROWS($AH$2:AH252),$AH$2:$AH$1001,0),1)&gt;=100000,INDEX($AO$1005:$BQ$1005,1,MATCH(COLUMNS($AO$1006:AS1006),$AO$1006:$BQ$1006,0))&gt;=100000), " ",IF(INDEX($AO$2:$BQ$1001,MATCH(ROWS($AH$2:AH252),$AH$2:$AH$1001,0),MATCH(COLUMNS($AO$1006:AS1006),$AO$1006:$BQ$1006,0)), HYPERLINK("#",""), HYPERLINK(CONCATENATE("#Metadata!", ADDRESS(INDEX($AJ$2:$AJ$1001,MATCH(ROWS($AH$2:AH252),$AH$2:$AH$1001,0),0), INDEX($AO$1004:$BQ$1004,1,MATCH(COLUMNS($AO$1006:AS1006),$AO$1006:$BQ$1006,0)))),"Fix")))</f>
        <v>#N/A</v>
      </c>
      <c r="G252" s="5" t="e">
        <f ca="1">IF(OR(INDEX($AI$2:$AI$1001,MATCH(ROWS($AH$2:AH252),$AH$2:$AH$1001,0),1)&gt;=100000,INDEX($AO$1005:$BQ$1005,1,MATCH(COLUMNS($AO$1006:AT1006),$AO$1006:$BQ$1006,0))&gt;=100000), " ",IF(INDEX($AO$2:$BQ$1001,MATCH(ROWS($AH$2:AH252),$AH$2:$AH$1001,0),MATCH(COLUMNS($AO$1006:AT1006),$AO$1006:$BQ$1006,0)), HYPERLINK("#",""), HYPERLINK(CONCATENATE("#Metadata!", ADDRESS(INDEX($AJ$2:$AJ$1001,MATCH(ROWS($AH$2:AH252),$AH$2:$AH$1001,0),0), INDEX($AO$1004:$BQ$1004,1,MATCH(COLUMNS($AO$1006:AT1006),$AO$1006:$BQ$1006,0)))),"Fix")))</f>
        <v>#N/A</v>
      </c>
      <c r="H252" s="5" t="e">
        <f ca="1">IF(OR(INDEX($AI$2:$AI$1001,MATCH(ROWS($AH$2:AH252),$AH$2:$AH$1001,0),1)&gt;=100000,INDEX($AO$1005:$BQ$1005,1,MATCH(COLUMNS($AO$1006:AU1006),$AO$1006:$BQ$1006,0))&gt;=100000), " ",IF(INDEX($AO$2:$BQ$1001,MATCH(ROWS($AH$2:AH252),$AH$2:$AH$1001,0),MATCH(COLUMNS($AO$1006:AU1006),$AO$1006:$BQ$1006,0)), HYPERLINK("#",""), HYPERLINK(CONCATENATE("#Metadata!", ADDRESS(INDEX($AJ$2:$AJ$1001,MATCH(ROWS($AH$2:AH252),$AH$2:$AH$1001,0),0), INDEX($AO$1004:$BQ$1004,1,MATCH(COLUMNS($AO$1006:AU1006),$AO$1006:$BQ$1006,0)))),"Fix")))</f>
        <v>#N/A</v>
      </c>
      <c r="I252" s="5" t="e">
        <f ca="1">IF(OR(INDEX($AI$2:$AI$1001,MATCH(ROWS($AH$2:AH252),$AH$2:$AH$1001,0),1)&gt;=100000,INDEX($AO$1005:$BQ$1005,1,MATCH(COLUMNS($AO$1006:AV1006),$AO$1006:$BQ$1006,0))&gt;=100000), " ",IF(INDEX($AO$2:$BQ$1001,MATCH(ROWS($AH$2:AH252),$AH$2:$AH$1001,0),MATCH(COLUMNS($AO$1006:AV1006),$AO$1006:$BQ$1006,0)), HYPERLINK("#",""), HYPERLINK(CONCATENATE("#Metadata!", ADDRESS(INDEX($AJ$2:$AJ$1001,MATCH(ROWS($AH$2:AH252),$AH$2:$AH$1001,0),0), INDEX($AO$1004:$BQ$1004,1,MATCH(COLUMNS($AO$1006:AV1006),$AO$1006:$BQ$1006,0)))),"Fix")))</f>
        <v>#N/A</v>
      </c>
      <c r="J252" s="5" t="e">
        <f ca="1">IF(OR(INDEX($AI$2:$AI$1001,MATCH(ROWS($AH$2:AH252),$AH$2:$AH$1001,0),1)&gt;=100000,INDEX($AO$1005:$BQ$1005,1,MATCH(COLUMNS($AO$1006:AW1006),$AO$1006:$BQ$1006,0))&gt;=100000), " ",IF(INDEX($AO$2:$BQ$1001,MATCH(ROWS($AH$2:AH252),$AH$2:$AH$1001,0),MATCH(COLUMNS($AO$1006:AW1006),$AO$1006:$BQ$1006,0)), HYPERLINK("#",""), HYPERLINK(CONCATENATE("#Metadata!", ADDRESS(INDEX($AJ$2:$AJ$1001,MATCH(ROWS($AH$2:AH252),$AH$2:$AH$1001,0),0), INDEX($AO$1004:$BQ$1004,1,MATCH(COLUMNS($AO$1006:AW1006),$AO$1006:$BQ$1006,0)))),"Fix")))</f>
        <v>#N/A</v>
      </c>
      <c r="K252" s="5" t="e">
        <f ca="1">IF(OR(INDEX($AI$2:$AI$1001,MATCH(ROWS($AH$2:AH252),$AH$2:$AH$1001,0),1)&gt;=100000,INDEX($AO$1005:$BQ$1005,1,MATCH(COLUMNS($AO$1006:AX1006),$AO$1006:$BQ$1006,0))&gt;=100000), " ",IF(INDEX($AO$2:$BQ$1001,MATCH(ROWS($AH$2:AH252),$AH$2:$AH$1001,0),MATCH(COLUMNS($AO$1006:AX1006),$AO$1006:$BQ$1006,0)), HYPERLINK("#",""), HYPERLINK(CONCATENATE("#Metadata!", ADDRESS(INDEX($AJ$2:$AJ$1001,MATCH(ROWS($AH$2:AH252),$AH$2:$AH$1001,0),0), INDEX($AO$1004:$BQ$1004,1,MATCH(COLUMNS($AO$1006:AX1006),$AO$1006:$BQ$1006,0)))),"Fix")))</f>
        <v>#N/A</v>
      </c>
      <c r="L252" s="5" t="e">
        <f ca="1">IF(OR(INDEX($AI$2:$AI$1001,MATCH(ROWS($AH$2:AH252),$AH$2:$AH$1001,0),1)&gt;=100000,INDEX($AO$1005:$BQ$1005,1,MATCH(COLUMNS($AO$1006:AY1006),$AO$1006:$BQ$1006,0))&gt;=100000), " ",IF(INDEX($AO$2:$BQ$1001,MATCH(ROWS($AH$2:AH252),$AH$2:$AH$1001,0),MATCH(COLUMNS($AO$1006:AY1006),$AO$1006:$BQ$1006,0)), HYPERLINK("#",""), HYPERLINK(CONCATENATE("#Metadata!", ADDRESS(INDEX($AJ$2:$AJ$1001,MATCH(ROWS($AH$2:AH252),$AH$2:$AH$1001,0),0), INDEX($AO$1004:$BQ$1004,1,MATCH(COLUMNS($AO$1006:AY1006),$AO$1006:$BQ$1006,0)))),"Fix")))</f>
        <v>#N/A</v>
      </c>
      <c r="M252" s="5" t="e">
        <f ca="1">IF(OR(INDEX($AI$2:$AI$1001,MATCH(ROWS($AH$2:AH252),$AH$2:$AH$1001,0),1)&gt;=100000,INDEX($AO$1005:$BQ$1005,1,MATCH(COLUMNS($AO$1006:AZ1006),$AO$1006:$BQ$1006,0))&gt;=100000), " ",IF(INDEX($AO$2:$BQ$1001,MATCH(ROWS($AH$2:AH252),$AH$2:$AH$1001,0),MATCH(COLUMNS($AO$1006:AZ1006),$AO$1006:$BQ$1006,0)), HYPERLINK("#",""), HYPERLINK(CONCATENATE("#Metadata!", ADDRESS(INDEX($AJ$2:$AJ$1001,MATCH(ROWS($AH$2:AH252),$AH$2:$AH$1001,0),0), INDEX($AO$1004:$BQ$1004,1,MATCH(COLUMNS($AO$1006:AZ1006),$AO$1006:$BQ$1006,0)))),"Fix")))</f>
        <v>#N/A</v>
      </c>
      <c r="N252" s="5" t="e">
        <f ca="1">IF(OR(INDEX($AI$2:$AI$1001,MATCH(ROWS($AH$2:AH252),$AH$2:$AH$1001,0),1)&gt;=100000,INDEX($AO$1005:$BQ$1005,1,MATCH(COLUMNS($AO$1006:BA1006),$AO$1006:$BQ$1006,0))&gt;=100000), " ",IF(INDEX($AO$2:$BQ$1001,MATCH(ROWS($AH$2:AH252),$AH$2:$AH$1001,0),MATCH(COLUMNS($AO$1006:BA1006),$AO$1006:$BQ$1006,0)), HYPERLINK("#",""), HYPERLINK(CONCATENATE("#Metadata!", ADDRESS(INDEX($AJ$2:$AJ$1001,MATCH(ROWS($AH$2:AH252),$AH$2:$AH$1001,0),0), INDEX($AO$1004:$BQ$1004,1,MATCH(COLUMNS($AO$1006:BA1006),$AO$1006:$BQ$1006,0)))),"Fix")))</f>
        <v>#N/A</v>
      </c>
      <c r="O252" s="5" t="e">
        <f ca="1">IF(OR(INDEX($AI$2:$AI$1001,MATCH(ROWS($AH$2:AH252),$AH$2:$AH$1001,0),1)&gt;=100000,INDEX($AO$1005:$BQ$1005,1,MATCH(COLUMNS($AO$1006:BB1006),$AO$1006:$BQ$1006,0))&gt;=100000), " ",IF(INDEX($AO$2:$BQ$1001,MATCH(ROWS($AH$2:AH252),$AH$2:$AH$1001,0),MATCH(COLUMNS($AO$1006:BB1006),$AO$1006:$BQ$1006,0)), HYPERLINK("#",""), HYPERLINK(CONCATENATE("#Metadata!", ADDRESS(INDEX($AJ$2:$AJ$1001,MATCH(ROWS($AH$2:AH252),$AH$2:$AH$1001,0),0), INDEX($AO$1004:$BQ$1004,1,MATCH(COLUMNS($AO$1006:BB1006),$AO$1006:$BQ$1006,0)))),"Fix")))</f>
        <v>#N/A</v>
      </c>
      <c r="P252" s="5" t="e">
        <f ca="1">IF(OR(INDEX($AI$2:$AI$1001,MATCH(ROWS($AH$2:AH252),$AH$2:$AH$1001,0),1)&gt;=100000,INDEX($AO$1005:$BQ$1005,1,MATCH(COLUMNS($AO$1006:BC1006),$AO$1006:$BQ$1006,0))&gt;=100000), " ",IF(INDEX($AO$2:$BQ$1001,MATCH(ROWS($AH$2:AH252),$AH$2:$AH$1001,0),MATCH(COLUMNS($AO$1006:BC1006),$AO$1006:$BQ$1006,0)), HYPERLINK("#",""), HYPERLINK(CONCATENATE("#Metadata!", ADDRESS(INDEX($AJ$2:$AJ$1001,MATCH(ROWS($AH$2:AH252),$AH$2:$AH$1001,0),0), INDEX($AO$1004:$BQ$1004,1,MATCH(COLUMNS($AO$1006:BC1006),$AO$1006:$BQ$1006,0)))),"Fix")))</f>
        <v>#N/A</v>
      </c>
      <c r="Q252" s="5" t="e">
        <f ca="1">IF(OR(INDEX($AI$2:$AI$1001,MATCH(ROWS($AH$2:AH252),$AH$2:$AH$1001,0),1)&gt;=100000,INDEX($AO$1005:$BQ$1005,1,MATCH(COLUMNS($AO$1006:BD1006),$AO$1006:$BQ$1006,0))&gt;=100000), " ",IF(INDEX($AO$2:$BQ$1001,MATCH(ROWS($AH$2:AH252),$AH$2:$AH$1001,0),MATCH(COLUMNS($AO$1006:BD1006),$AO$1006:$BQ$1006,0)), HYPERLINK("#",""), HYPERLINK(CONCATENATE("#Metadata!", ADDRESS(INDEX($AJ$2:$AJ$1001,MATCH(ROWS($AH$2:AH252),$AH$2:$AH$1001,0),0), INDEX($AO$1004:$BQ$1004,1,MATCH(COLUMNS($AO$1006:BD1006),$AO$1006:$BQ$1006,0)))),"Fix")))</f>
        <v>#N/A</v>
      </c>
      <c r="R252" s="5" t="e">
        <f ca="1">IF(OR(INDEX($AI$2:$AI$1001,MATCH(ROWS($AH$2:AH252),$AH$2:$AH$1001,0),1)&gt;=100000,INDEX($AO$1005:$BQ$1005,1,MATCH(COLUMNS($AO$1006:BE1006),$AO$1006:$BQ$1006,0))&gt;=100000), " ",IF(INDEX($AO$2:$BQ$1001,MATCH(ROWS($AH$2:AH252),$AH$2:$AH$1001,0),MATCH(COLUMNS($AO$1006:BE1006),$AO$1006:$BQ$1006,0)), HYPERLINK("#",""), HYPERLINK(CONCATENATE("#Metadata!", ADDRESS(INDEX($AJ$2:$AJ$1001,MATCH(ROWS($AH$2:AH252),$AH$2:$AH$1001,0),0), INDEX($AO$1004:$BQ$1004,1,MATCH(COLUMNS($AO$1006:BE1006),$AO$1006:$BQ$1006,0)))),"Fix")))</f>
        <v>#N/A</v>
      </c>
      <c r="S252" s="5" t="e">
        <f ca="1">IF(OR(INDEX($AI$2:$AI$1001,MATCH(ROWS($AH$2:AH252),$AH$2:$AH$1001,0),1)&gt;=100000,INDEX($AO$1005:$BQ$1005,1,MATCH(COLUMNS($AO$1006:BF1006),$AO$1006:$BQ$1006,0))&gt;=100000), " ",IF(INDEX($AO$2:$BQ$1001,MATCH(ROWS($AH$2:AH252),$AH$2:$AH$1001,0),MATCH(COLUMNS($AO$1006:BF1006),$AO$1006:$BQ$1006,0)), HYPERLINK("#",""), HYPERLINK(CONCATENATE("#Metadata!", ADDRESS(INDEX($AJ$2:$AJ$1001,MATCH(ROWS($AH$2:AH252),$AH$2:$AH$1001,0),0), INDEX($AO$1004:$BQ$1004,1,MATCH(COLUMNS($AO$1006:BF1006),$AO$1006:$BQ$1006,0)))),"Fix")))</f>
        <v>#N/A</v>
      </c>
      <c r="T252" s="5" t="e">
        <f ca="1">IF(OR(INDEX($AI$2:$AI$1001,MATCH(ROWS($AH$2:AH252),$AH$2:$AH$1001,0),1)&gt;=100000,INDEX($AO$1005:$BQ$1005,1,MATCH(COLUMNS($AO$1006:BG1006),$AO$1006:$BQ$1006,0))&gt;=100000), " ",IF(INDEX($AO$2:$BQ$1001,MATCH(ROWS($AH$2:AH252),$AH$2:$AH$1001,0),MATCH(COLUMNS($AO$1006:BG1006),$AO$1006:$BQ$1006,0)), HYPERLINK("#",""), HYPERLINK(CONCATENATE("#Metadata!", ADDRESS(INDEX($AJ$2:$AJ$1001,MATCH(ROWS($AH$2:AH252),$AH$2:$AH$1001,0),0), INDEX($AO$1004:$BQ$1004,1,MATCH(COLUMNS($AO$1006:BG1006),$AO$1006:$BQ$1006,0)))),"Fix")))</f>
        <v>#N/A</v>
      </c>
      <c r="U252" s="5" t="e">
        <f ca="1">IF(OR(INDEX($AI$2:$AI$1001,MATCH(ROWS($AH$2:AH252),$AH$2:$AH$1001,0),1)&gt;=100000,INDEX($AO$1005:$BQ$1005,1,MATCH(COLUMNS($AO$1006:BH1006),$AO$1006:$BQ$1006,0))&gt;=100000), " ",IF(INDEX($AO$2:$BQ$1001,MATCH(ROWS($AH$2:AH252),$AH$2:$AH$1001,0),MATCH(COLUMNS($AO$1006:BH1006),$AO$1006:$BQ$1006,0)), HYPERLINK("#",""), HYPERLINK(CONCATENATE("#Metadata!", ADDRESS(INDEX($AJ$2:$AJ$1001,MATCH(ROWS($AH$2:AH252),$AH$2:$AH$1001,0),0), INDEX($AO$1004:$BQ$1004,1,MATCH(COLUMNS($AO$1006:BH1006),$AO$1006:$BQ$1006,0)))),"Fix")))</f>
        <v>#N/A</v>
      </c>
      <c r="V252" s="5" t="e">
        <f ca="1">IF(OR(INDEX($AI$2:$AI$1001,MATCH(ROWS($AH$2:AH252),$AH$2:$AH$1001,0),1)&gt;=100000,INDEX($AO$1005:$BQ$1005,1,MATCH(COLUMNS($AO$1006:BI1006),$AO$1006:$BQ$1006,0))&gt;=100000), " ",IF(INDEX($AO$2:$BQ$1001,MATCH(ROWS($AH$2:AH252),$AH$2:$AH$1001,0),MATCH(COLUMNS($AO$1006:BI1006),$AO$1006:$BQ$1006,0)), HYPERLINK("#",""), HYPERLINK(CONCATENATE("#Metadata!", ADDRESS(INDEX($AJ$2:$AJ$1001,MATCH(ROWS($AH$2:AH252),$AH$2:$AH$1001,0),0), INDEX($AO$1004:$BQ$1004,1,MATCH(COLUMNS($AO$1006:BI1006),$AO$1006:$BQ$1006,0)))),"Fix")))</f>
        <v>#N/A</v>
      </c>
      <c r="W252" s="5" t="e">
        <f ca="1">IF(OR(INDEX($AI$2:$AI$1001,MATCH(ROWS($AH$2:AH252),$AH$2:$AH$1001,0),1)&gt;=100000,INDEX($AO$1005:$BQ$1005,1,MATCH(COLUMNS($AO$1006:BJ1006),$AO$1006:$BQ$1006,0))&gt;=100000), " ",IF(INDEX($AO$2:$BQ$1001,MATCH(ROWS($AH$2:AH252),$AH$2:$AH$1001,0),MATCH(COLUMNS($AO$1006:BJ1006),$AO$1006:$BQ$1006,0)), HYPERLINK("#",""), HYPERLINK(CONCATENATE("#Metadata!", ADDRESS(INDEX($AJ$2:$AJ$1001,MATCH(ROWS($AH$2:AH252),$AH$2:$AH$1001,0),0), INDEX($AO$1004:$BQ$1004,1,MATCH(COLUMNS($AO$1006:BJ1006),$AO$1006:$BQ$1006,0)))),"Fix")))</f>
        <v>#N/A</v>
      </c>
      <c r="X252" s="5" t="e">
        <f ca="1">IF(OR(INDEX($AI$2:$AI$1001,MATCH(ROWS($AH$2:AH252),$AH$2:$AH$1001,0),1)&gt;=100000,INDEX($AO$1005:$BQ$1005,1,MATCH(COLUMNS($AO$1006:BK1006),$AO$1006:$BQ$1006,0))&gt;=100000), " ",IF(INDEX($AO$2:$BQ$1001,MATCH(ROWS($AH$2:AH252),$AH$2:$AH$1001,0),MATCH(COLUMNS($AO$1006:BK1006),$AO$1006:$BQ$1006,0)), HYPERLINK("#",""), HYPERLINK(CONCATENATE("#Metadata!", ADDRESS(INDEX($AJ$2:$AJ$1001,MATCH(ROWS($AH$2:AH252),$AH$2:$AH$1001,0),0), INDEX($AO$1004:$BQ$1004,1,MATCH(COLUMNS($AO$1006:BK1006),$AO$1006:$BQ$1006,0)))),"Fix")))</f>
        <v>#N/A</v>
      </c>
      <c r="Y252" s="5" t="e">
        <f ca="1">IF(OR(INDEX($AI$2:$AI$1001,MATCH(ROWS($AH$2:AH252),$AH$2:$AH$1001,0),1)&gt;=100000,INDEX($AO$1005:$BQ$1005,1,MATCH(COLUMNS($AO$1006:BL1006),$AO$1006:$BQ$1006,0))&gt;=100000), " ",IF(INDEX($AO$2:$BQ$1001,MATCH(ROWS($AH$2:AH252),$AH$2:$AH$1001,0),MATCH(COLUMNS($AO$1006:BL1006),$AO$1006:$BQ$1006,0)), HYPERLINK("#",""), HYPERLINK(CONCATENATE("#Metadata!", ADDRESS(INDEX($AJ$2:$AJ$1001,MATCH(ROWS($AH$2:AH252),$AH$2:$AH$1001,0),0), INDEX($AO$1004:$BQ$1004,1,MATCH(COLUMNS($AO$1006:BL1006),$AO$1006:$BQ$1006,0)))),"Fix")))</f>
        <v>#N/A</v>
      </c>
      <c r="Z252" s="5" t="e">
        <f ca="1">IF(OR(INDEX($AI$2:$AI$1001,MATCH(ROWS($AH$2:AH252),$AH$2:$AH$1001,0),1)&gt;=100000,INDEX($AO$1005:$BQ$1005,1,MATCH(COLUMNS($AO$1006:BM1006),$AO$1006:$BQ$1006,0))&gt;=100000), " ",IF(INDEX($AO$2:$BQ$1001,MATCH(ROWS($AH$2:AH252),$AH$2:$AH$1001,0),MATCH(COLUMNS($AO$1006:BM1006),$AO$1006:$BQ$1006,0)), HYPERLINK("#",""), HYPERLINK(CONCATENATE("#Metadata!", ADDRESS(INDEX($AJ$2:$AJ$1001,MATCH(ROWS($AH$2:AH252),$AH$2:$AH$1001,0),0), INDEX($AO$1004:$BQ$1004,1,MATCH(COLUMNS($AO$1006:BM1006),$AO$1006:$BQ$1006,0)))),"Fix")))</f>
        <v>#N/A</v>
      </c>
      <c r="AA252" s="5" t="e">
        <f ca="1">IF(OR(INDEX($AI$2:$AI$1001,MATCH(ROWS($AH$2:AH252),$AH$2:$AH$1001,0),1)&gt;=100000,INDEX($AO$1005:$BQ$1005,1,MATCH(COLUMNS($AO$1006:BN1006),$AO$1006:$BQ$1006,0))&gt;=100000), " ",IF(INDEX($AO$2:$BQ$1001,MATCH(ROWS($AH$2:AH252),$AH$2:$AH$1001,0),MATCH(COLUMNS($AO$1006:BN1006),$AO$1006:$BQ$1006,0)), HYPERLINK("#",""), HYPERLINK(CONCATENATE("#Metadata!", ADDRESS(INDEX($AJ$2:$AJ$1001,MATCH(ROWS($AH$2:AH252),$AH$2:$AH$1001,0),0), INDEX($AO$1004:$BQ$1004,1,MATCH(COLUMNS($AO$1006:BN1006),$AO$1006:$BQ$1006,0)))),"Fix")))</f>
        <v>#N/A</v>
      </c>
      <c r="AB252" s="5" t="e">
        <f ca="1">IF(OR(INDEX($AI$2:$AI$1001,MATCH(ROWS($AH$2:AH252),$AH$2:$AH$1001,0),1)&gt;=100000,INDEX($AO$1005:$BQ$1005,1,MATCH(COLUMNS($AO$1006:BO1006),$AO$1006:$BQ$1006,0))&gt;=100000), " ",IF(INDEX($AO$2:$BQ$1001,MATCH(ROWS($AH$2:AH252),$AH$2:$AH$1001,0),MATCH(COLUMNS($AO$1006:BO1006),$AO$1006:$BQ$1006,0)), HYPERLINK("#",""), HYPERLINK(CONCATENATE("#Metadata!", ADDRESS(INDEX($AJ$2:$AJ$1001,MATCH(ROWS($AH$2:AH252),$AH$2:$AH$1001,0),0), INDEX($AO$1004:$BQ$1004,1,MATCH(COLUMNS($AO$1006:BO1006),$AO$1006:$BQ$1006,0)))),"Fix")))</f>
        <v>#N/A</v>
      </c>
      <c r="AC252" s="5" t="e">
        <f ca="1">IF(OR(INDEX($AI$2:$AI$1001,MATCH(ROWS($AH$2:AH252),$AH$2:$AH$1001,0),1)&gt;=100000,INDEX($AO$1005:$BQ$1005,1,MATCH(COLUMNS($AO$1006:BP1006),$AO$1006:$BQ$1006,0))&gt;=100000), " ",IF(INDEX($AO$2:$BQ$1001,MATCH(ROWS($AH$2:AH252),$AH$2:$AH$1001,0),MATCH(COLUMNS($AO$1006:BP1006),$AO$1006:$BQ$1006,0)), HYPERLINK("#",""), HYPERLINK(CONCATENATE("#Metadata!", ADDRESS(INDEX($AJ$2:$AJ$1001,MATCH(ROWS($AH$2:AH252),$AH$2:$AH$1001,0),0), INDEX($AO$1004:$BQ$1004,1,MATCH(COLUMNS($AO$1006:BP1006),$AO$1006:$BQ$1006,0)))),"Fix")))</f>
        <v>#N/A</v>
      </c>
      <c r="AD252" s="5" t="e">
        <f ca="1">IF(OR(INDEX($AI$2:$AI$1001,MATCH(ROWS($AH$2:AH252),$AH$2:$AH$1001,0),1)&gt;=100000,INDEX($AO$1005:$BQ$1005,1,MATCH(COLUMNS($AO$1006:BQ1006),$AO$1006:$BQ$1006,0))&gt;=100000), " ",IF(INDEX($AO$2:$BQ$1001,MATCH(ROWS($AH$2:AH252),$AH$2:$AH$1001,0),MATCH(COLUMNS($AO$1006:BQ1006),$AO$1006:$BQ$1006,0)), HYPERLINK("#",""), HYPERLINK(CONCATENATE("#Metadata!", ADDRESS(INDEX($AJ$2:$AJ$1001,MATCH(ROWS($AH$2:AH252),$AH$2:$AH$1001,0),0), INDEX($AO$1004:$BQ$1004,1,MATCH(COLUMNS($AO$1006:BQ1006),$AO$1006:$BQ$1006,0)))),"Fix")))</f>
        <v>#REF!</v>
      </c>
      <c r="AH252">
        <f ca="1"/>
        <v>249</v>
      </c>
      <c r="AI252">
        <v>100252</v>
      </c>
      <c r="AJ252">
        <v>252</v>
      </c>
      <c r="AK252" t="b">
        <f t="shared" si="3"/>
        <v>1</v>
      </c>
      <c r="AL252" t="b">
        <f>COUNTBLANK(Metadata!B252:AD252)=COLUMNS(Metadata!B252:AD252)</f>
        <v>1</v>
      </c>
      <c r="AM252" t="str">
        <v/>
      </c>
      <c r="AO252" t="b">
        <f ca="1">AND(IF(Metadata!B252="",FALSE,TRUE),COUNTIF(Metadata!B:B, Metadata!B252) = 1,NOT(ISERROR(SUMPRODUCT(SEARCH(MID(Metadata!B252,ROW(INDIRECT("1:"&amp;LEN(Metadata!B252))), 1),"0123456789abcdefghijklmnopqrstuvwxyzABCDEFGHIJKLMNOPQRSTUVWXYZ.")))))</f>
        <v>0</v>
      </c>
      <c r="AP252" t="b">
        <f>IF(Metadata!C252="",FALSE,TRUE)</f>
        <v>0</v>
      </c>
      <c r="AQ252" t="b">
        <f>IF(Metadata!D252="",FALSE,TRUE)</f>
        <v>0</v>
      </c>
      <c r="AR252" t="b">
        <f ca="1">OR(AND(IF(Metadata!E252="",FALSE,TRUE),OR(EXACT(Metadata!E252,"not collected"),EXACT(Metadata!E252,"not provided"),EXACT(Metadata!E252,"restricted access"))),AND(IF(Metadata!E252="",FALSE,TRUE),AND(AND(IFERROR(INT(LEFT(Metadata!E252,4))&gt;1900,FALSE),IFERROR(INT(LEFT(Metadata!E252,4))&lt;=YEAR(NOW()),FALSE)), OR(MID(Metadata!E252,5,1)="", AND(AND(MID(Metadata!E252,5,1)="-",IFERROR(INT(MID(Metadata!E252,6,1))&gt;=0,FALSE),IFERROR(INT(MID(Metadata!E252,6,1))&lt;=1,FALSE),NOT(MID(Metadata!E252,7,1)=""),IFERROR(INT(MID(Metadata!E252,6,2))&gt;=1,FALSE),IFERROR(INT(MID(Metadata!E252,6,2))&lt;=12,FALSE)), OR(MID(Metadata!E252,8,1)="", AND(AND(MID(Metadata!E252,8,1)="-",IFERROR(INT(MID(Metadata!E252,9,1))&gt;=0,FALSE),IFERROR(INT(MID(Metadata!E252,9,1))&lt;=3,FALSE),NOT(MID(Metadata!E252,10,1)=""),IFERROR(INT(MID(Metadata!E252,9,2))&gt;=1,FALSE),IFERROR(INT(MID(Metadata!E252,9,2))&lt;=31,FALSE)), OR(MID(Metadata!E252,11,1)="", AND(AND(MID(Metadata!E252,11,1)=" ",IFERROR(INT(MID(Metadata!E252,12,1))&gt;=0,FALSE),IFERROR(INT(MID(Metadata!E252,12,1))&lt;=2,FALSE),NOT(MID(Metadata!E252,13,1)=""),IFERROR(INT(MID(Metadata!E252,12,2))&gt;=0,FALSE),IFERROR(INT(MID(Metadata!E252,12,2))&lt;=23,FALSE)), OR(MID(Metadata!E252,14,1)="", AND(AND(MID(Metadata!E252,14,1)=":",IFERROR(INT(MID(Metadata!E252,15,1))&gt;=0,FALSE),IFERROR(INT(MID(Metadata!E252,15,1))&lt;=5,FALSE),NOT(MID(Metadata!E252,16,1)=""),IFERROR(INT(MID(Metadata!E252,15,2))&gt;=0,FALSE),IFERROR(INT(MID(Metadata!E252,15,2))&lt;=59,FALSE)), OR(MID(Metadata!E252,17,1)="", AND(AND(MID(Metadata!E252,17,1)=":",IFERROR(INT(MID(Metadata!E252,18,1))&gt;=0,FALSE),IFERROR(INT(MID(Metadata!E252,18,1))&lt;=5,FALSE),NOT(MID(Metadata!E252,19,1)=""),IFERROR(INT(MID(Metadata!E252,18,2))&gt;=0,FALSE),IFERROR(INT(MID(Metadata!E252,18,2))&lt;=59,FALSE)), LEN(Metadata!E252)&lt;=19)))))))))))))</f>
        <v>0</v>
      </c>
      <c r="AS252" t="b">
        <f>IF(Metadata!F252="",FALSE,TRUE)</f>
        <v>0</v>
      </c>
      <c r="AT252" t="b">
        <f>OR(AND(IF(Metadata!G252="",FALSE,TRUE),OR(EXACT(Metadata!G252,"not collected"),EXACT(Metadata!G252,"not provided"))),AND(IF(Metadata!G252="",FALSE,TRUE),OR(EXACT(Metadata!G252,"TRUE"),EXACT(Metadata!G252,"FALSE"))))</f>
        <v>0</v>
      </c>
      <c r="AU252" t="b">
        <f>OR(AND(IF(Metadata!H252="",FALSE,TRUE),OR(EXACT(Metadata!H252,"not collected"),EXACT(Metadata!H252,"not provided"),EXACT(Metadata!H252,"restricted access"))),AND(IF(Metadata!H252="",FALSE,ISNUMBER(VALUE(Metadata!H252))),Metadata!H252&gt;=-413))</f>
        <v>0</v>
      </c>
      <c r="AV252" t="b">
        <f>AND(IF(Metadata!I252="",FALSE,TRUE),EXACT(Metadata!I252,"meters"))</f>
        <v>0</v>
      </c>
      <c r="AW252" t="b">
        <f>AND(IF(Metadata!J252="",FALSE,TRUE),EXACT(Metadata!J252,"free-living"))</f>
        <v>0</v>
      </c>
      <c r="AX252" t="b">
        <f>AND(IF(Metadata!K252="",FALSE,TRUE),OR(EXACT(Metadata!K252,"saline"),EXACT(Metadata!K252,"non-saline")))</f>
        <v>0</v>
      </c>
      <c r="AY252" t="b">
        <f>AND(IF(Metadata!L252="",FALSE,TRUE),OR(EXACT(Metadata!L252,"sub-surface (non-saline)"),EXACT(Metadata!L252,"surface (non-saline)"),EXACT(Metadata!L252,"water (non-saline)"),EXACT(Metadata!L252,"soil (non-saline)"),EXACT(Metadata!L252,"aerosol (non-saline)"),EXACT(Metadata!L252,"sediment (non-saline)"),EXACT(Metadata!L252,"surface (saline)"),EXACT(Metadata!L252,"water (saline)"),EXACT(Metadata!L252,"hypersaline (saline)"),EXACT(Metadata!L252,"aerosol (saline)"),EXACT(Metadata!L252,"sediment (saline)")))</f>
        <v>0</v>
      </c>
      <c r="AZ252" t="b">
        <f>IF(Metadata!M252="",FALSE,TRUE)</f>
        <v>0</v>
      </c>
      <c r="BA252" t="b">
        <f>IF(Metadata!N252="",FALSE,TRUE)</f>
        <v>0</v>
      </c>
      <c r="BB252" t="b">
        <f>IF(Metadata!O252="",FALSE,TRUE)</f>
        <v>0</v>
      </c>
      <c r="BC252" t="b">
        <f>AND(IF(Metadata!P252="",FALSE,TRUE),OR(EXACT(Metadata!P252,"air"),EXACT(Metadata!P252,"microbial mat/biofilm"),EXACT(Metadata!P252,"misc environment"),EXACT(Metadata!P252,"sediment"),EXACT(Metadata!P252,"soil"),EXACT(Metadata!P252,"wastewater/sludge"),EXACT(Metadata!P252,"water")))</f>
        <v>0</v>
      </c>
      <c r="BD252" t="b">
        <f>IF(Metadata!Q252="",FALSE,TRUE)</f>
        <v>0</v>
      </c>
      <c r="BE252" t="b">
        <f>IF(Metadata!R252="",FALSE,TRUE)</f>
        <v>0</v>
      </c>
      <c r="BF252" t="b">
        <f>OR(AND(IF(Metadata!S252="",FALSE,TRUE),OR(EXACT(Metadata!S252,"not collected"),EXACT(Metadata!S252,"not provided"),EXACT(Metadata!S252,"restricted access"))),AND(IF(Metadata!S252="",FALSE,ISNUMBER(VALUE(Metadata!S252))),Metadata!S252&gt;=-90,Metadata!S252&lt;=90))</f>
        <v>0</v>
      </c>
      <c r="BG252" t="b">
        <f>AND(IF(Metadata!T252="",FALSE,TRUE),EXACT(Metadata!T252,"Decimal degrees"))</f>
        <v>0</v>
      </c>
      <c r="BH252" t="b">
        <f>OR(AND(IF(Metadata!U252="",FALSE,TRUE),OR(EXACT(Metadata!U252,"not applicable"),EXACT(Metadata!U252,"not collected"))),IF(Metadata!U252="",FALSE,TRUE))</f>
        <v>0</v>
      </c>
      <c r="BI252" t="b">
        <f>OR(AND(IF(Metadata!V252="",FALSE,TRUE),OR(EXACT(Metadata!V252,"not collected"),EXACT(Metadata!V252,"not provided"),EXACT(Metadata!V252,"restricted access"))),AND(IF(Metadata!V252="",FALSE,ISNUMBER(VALUE(Metadata!V252))),Metadata!V252&gt;=-180,Metadata!V252&lt;=180))</f>
        <v>0</v>
      </c>
      <c r="BJ252" t="b">
        <f>AND(IF(Metadata!W252="",FALSE,TRUE),EXACT(Metadata!W252,"Decimal degrees"))</f>
        <v>0</v>
      </c>
      <c r="BK252" t="b">
        <f>IF(Metadata!X252="",FALSE,TRUE)</f>
        <v>0</v>
      </c>
      <c r="BL252" t="b">
        <f>OR(AND(IF(Metadata!Y252="",FALSE,TRUE),OR(EXACT(Metadata!Y252,"not collected"),EXACT(Metadata!Y252,"not provided"),EXACT(Metadata!Y252,"restricted access"))),AND(IF(Metadata!Y252="",FALSE,TRUE),OR(EXACT(Metadata!Y252,"TRUE"),EXACT(Metadata!Y252,"FALSE"))))</f>
        <v>0</v>
      </c>
      <c r="BM252" t="b">
        <f>OR(AND(IF(Metadata!Z252="",FALSE,TRUE),EXACT(Metadata!Z252,"not applicable")),AND(IF(Metadata!Z252="",FALSE,TRUE),OR(EXACT(Metadata!Z252,"beer"),EXACT(Metadata!Z252,"cheese"),EXACT(Metadata!Z252,"fresh water"),EXACT(Metadata!Z252,"marine sediment"),EXACT(Metadata!Z252,"sea water"),EXACT(Metadata!Z252,"sediment"),EXACT(Metadata!Z252,"soil"),EXACT(Metadata!Z252,"waste water"))))</f>
        <v>0</v>
      </c>
      <c r="BN252" t="b">
        <f>AND(IF(Metadata!AA252="",FALSE,TRUE),EXACT(Metadata!AA252,"metagenome"))</f>
        <v>0</v>
      </c>
      <c r="BO252" t="b">
        <f>AND(IF(Metadata!AB252="",FALSE,TRUE),EXACT(Metadata!AB252,"256318"))</f>
        <v>0</v>
      </c>
      <c r="BP252" t="b">
        <f>IF(Metadata!AC252="",FALSE,TRUE)</f>
        <v>0</v>
      </c>
      <c r="BQ252" t="b">
        <f>IF(Metadata!AD252="",FALSE,TRUE)</f>
        <v>0</v>
      </c>
    </row>
    <row r="253" spans="1:69" x14ac:dyDescent="0.2">
      <c r="A253" s="4" t="e">
        <f ca="1">IF(B253=" "," ",HYPERLINK(CONCATENATE("#metadata!",ADDRESS(INDEX($AJ$2:$AJ$1001,MATCH(ROWS($AH$2:AH253),$AH$2:$AH$1001,0),0),2)),INDEX($AM$2:$AM$1001,MATCH(ROWS($AH$2:AH253),$AH$2:$AH$1001,0),0)))</f>
        <v>#N/A</v>
      </c>
      <c r="B253" s="5" t="e">
        <f ca="1">IF(OR(INDEX($AI$2:$AI$1001,MATCH(ROWS($AH$2:AH253),$AH$2:$AH$1001,0),1)&gt;=100000,INDEX($AO$1005:$BQ$1005,1,MATCH(COLUMNS($AO$1006:AO1006),$AO$1006:$BQ$1006,0))&gt;=100000), " ",IF(INDEX($AO$2:$BQ$1001,MATCH(ROWS($AH$2:AH253),$AH$2:$AH$1001,0),MATCH(COLUMNS($AO$1006:AO1006),$AO$1006:$BQ$1006,0)), HYPERLINK("#",""), HYPERLINK(CONCATENATE("#Metadata!", ADDRESS(INDEX($AJ$2:$AJ$1001,MATCH(ROWS($AH$2:AH253),$AH$2:$AH$1001,0),0), INDEX($AO$1004:$BQ$1004,1,MATCH(COLUMNS($AO$1006:AO1006),$AO$1006:$BQ$1006,0)))),"Fix")))</f>
        <v>#N/A</v>
      </c>
      <c r="C253" s="5" t="e">
        <f ca="1">IF(OR(INDEX($AI$2:$AI$1001,MATCH(ROWS($AH$2:AH253),$AH$2:$AH$1001,0),1)&gt;=100000,INDEX($AO$1005:$BQ$1005,1,MATCH(COLUMNS($AO$1006:AP1006),$AO$1006:$BQ$1006,0))&gt;=100000), " ",IF(INDEX($AO$2:$BQ$1001,MATCH(ROWS($AH$2:AH253),$AH$2:$AH$1001,0),MATCH(COLUMNS($AO$1006:AP1006),$AO$1006:$BQ$1006,0)), HYPERLINK("#",""), HYPERLINK(CONCATENATE("#Metadata!", ADDRESS(INDEX($AJ$2:$AJ$1001,MATCH(ROWS($AH$2:AH253),$AH$2:$AH$1001,0),0), INDEX($AO$1004:$BQ$1004,1,MATCH(COLUMNS($AO$1006:AP1006),$AO$1006:$BQ$1006,0)))),"Fix")))</f>
        <v>#N/A</v>
      </c>
      <c r="D253" s="5" t="e">
        <f ca="1">IF(OR(INDEX($AI$2:$AI$1001,MATCH(ROWS($AH$2:AH253),$AH$2:$AH$1001,0),1)&gt;=100000,INDEX($AO$1005:$BQ$1005,1,MATCH(COLUMNS($AO$1006:AQ1006),$AO$1006:$BQ$1006,0))&gt;=100000), " ",IF(INDEX($AO$2:$BQ$1001,MATCH(ROWS($AH$2:AH253),$AH$2:$AH$1001,0),MATCH(COLUMNS($AO$1006:AQ1006),$AO$1006:$BQ$1006,0)), HYPERLINK("#",""), HYPERLINK(CONCATENATE("#Metadata!", ADDRESS(INDEX($AJ$2:$AJ$1001,MATCH(ROWS($AH$2:AH253),$AH$2:$AH$1001,0),0), INDEX($AO$1004:$BQ$1004,1,MATCH(COLUMNS($AO$1006:AQ1006),$AO$1006:$BQ$1006,0)))),"Fix")))</f>
        <v>#N/A</v>
      </c>
      <c r="E253" s="5" t="e">
        <f ca="1">IF(OR(INDEX($AI$2:$AI$1001,MATCH(ROWS($AH$2:AH253),$AH$2:$AH$1001,0),1)&gt;=100000,INDEX($AO$1005:$BQ$1005,1,MATCH(COLUMNS($AO$1006:AR1006),$AO$1006:$BQ$1006,0))&gt;=100000), " ",IF(INDEX($AO$2:$BQ$1001,MATCH(ROWS($AH$2:AH253),$AH$2:$AH$1001,0),MATCH(COLUMNS($AO$1006:AR1006),$AO$1006:$BQ$1006,0)), HYPERLINK("#",""), HYPERLINK(CONCATENATE("#Metadata!", ADDRESS(INDEX($AJ$2:$AJ$1001,MATCH(ROWS($AH$2:AH253),$AH$2:$AH$1001,0),0), INDEX($AO$1004:$BQ$1004,1,MATCH(COLUMNS($AO$1006:AR1006),$AO$1006:$BQ$1006,0)))),"Fix")))</f>
        <v>#N/A</v>
      </c>
      <c r="F253" s="5" t="e">
        <f ca="1">IF(OR(INDEX($AI$2:$AI$1001,MATCH(ROWS($AH$2:AH253),$AH$2:$AH$1001,0),1)&gt;=100000,INDEX($AO$1005:$BQ$1005,1,MATCH(COLUMNS($AO$1006:AS1006),$AO$1006:$BQ$1006,0))&gt;=100000), " ",IF(INDEX($AO$2:$BQ$1001,MATCH(ROWS($AH$2:AH253),$AH$2:$AH$1001,0),MATCH(COLUMNS($AO$1006:AS1006),$AO$1006:$BQ$1006,0)), HYPERLINK("#",""), HYPERLINK(CONCATENATE("#Metadata!", ADDRESS(INDEX($AJ$2:$AJ$1001,MATCH(ROWS($AH$2:AH253),$AH$2:$AH$1001,0),0), INDEX($AO$1004:$BQ$1004,1,MATCH(COLUMNS($AO$1006:AS1006),$AO$1006:$BQ$1006,0)))),"Fix")))</f>
        <v>#N/A</v>
      </c>
      <c r="G253" s="5" t="e">
        <f ca="1">IF(OR(INDEX($AI$2:$AI$1001,MATCH(ROWS($AH$2:AH253),$AH$2:$AH$1001,0),1)&gt;=100000,INDEX($AO$1005:$BQ$1005,1,MATCH(COLUMNS($AO$1006:AT1006),$AO$1006:$BQ$1006,0))&gt;=100000), " ",IF(INDEX($AO$2:$BQ$1001,MATCH(ROWS($AH$2:AH253),$AH$2:$AH$1001,0),MATCH(COLUMNS($AO$1006:AT1006),$AO$1006:$BQ$1006,0)), HYPERLINK("#",""), HYPERLINK(CONCATENATE("#Metadata!", ADDRESS(INDEX($AJ$2:$AJ$1001,MATCH(ROWS($AH$2:AH253),$AH$2:$AH$1001,0),0), INDEX($AO$1004:$BQ$1004,1,MATCH(COLUMNS($AO$1006:AT1006),$AO$1006:$BQ$1006,0)))),"Fix")))</f>
        <v>#N/A</v>
      </c>
      <c r="H253" s="5" t="e">
        <f ca="1">IF(OR(INDEX($AI$2:$AI$1001,MATCH(ROWS($AH$2:AH253),$AH$2:$AH$1001,0),1)&gt;=100000,INDEX($AO$1005:$BQ$1005,1,MATCH(COLUMNS($AO$1006:AU1006),$AO$1006:$BQ$1006,0))&gt;=100000), " ",IF(INDEX($AO$2:$BQ$1001,MATCH(ROWS($AH$2:AH253),$AH$2:$AH$1001,0),MATCH(COLUMNS($AO$1006:AU1006),$AO$1006:$BQ$1006,0)), HYPERLINK("#",""), HYPERLINK(CONCATENATE("#Metadata!", ADDRESS(INDEX($AJ$2:$AJ$1001,MATCH(ROWS($AH$2:AH253),$AH$2:$AH$1001,0),0), INDEX($AO$1004:$BQ$1004,1,MATCH(COLUMNS($AO$1006:AU1006),$AO$1006:$BQ$1006,0)))),"Fix")))</f>
        <v>#N/A</v>
      </c>
      <c r="I253" s="5" t="e">
        <f ca="1">IF(OR(INDEX($AI$2:$AI$1001,MATCH(ROWS($AH$2:AH253),$AH$2:$AH$1001,0),1)&gt;=100000,INDEX($AO$1005:$BQ$1005,1,MATCH(COLUMNS($AO$1006:AV1006),$AO$1006:$BQ$1006,0))&gt;=100000), " ",IF(INDEX($AO$2:$BQ$1001,MATCH(ROWS($AH$2:AH253),$AH$2:$AH$1001,0),MATCH(COLUMNS($AO$1006:AV1006),$AO$1006:$BQ$1006,0)), HYPERLINK("#",""), HYPERLINK(CONCATENATE("#Metadata!", ADDRESS(INDEX($AJ$2:$AJ$1001,MATCH(ROWS($AH$2:AH253),$AH$2:$AH$1001,0),0), INDEX($AO$1004:$BQ$1004,1,MATCH(COLUMNS($AO$1006:AV1006),$AO$1006:$BQ$1006,0)))),"Fix")))</f>
        <v>#N/A</v>
      </c>
      <c r="J253" s="5" t="e">
        <f ca="1">IF(OR(INDEX($AI$2:$AI$1001,MATCH(ROWS($AH$2:AH253),$AH$2:$AH$1001,0),1)&gt;=100000,INDEX($AO$1005:$BQ$1005,1,MATCH(COLUMNS($AO$1006:AW1006),$AO$1006:$BQ$1006,0))&gt;=100000), " ",IF(INDEX($AO$2:$BQ$1001,MATCH(ROWS($AH$2:AH253),$AH$2:$AH$1001,0),MATCH(COLUMNS($AO$1006:AW1006),$AO$1006:$BQ$1006,0)), HYPERLINK("#",""), HYPERLINK(CONCATENATE("#Metadata!", ADDRESS(INDEX($AJ$2:$AJ$1001,MATCH(ROWS($AH$2:AH253),$AH$2:$AH$1001,0),0), INDEX($AO$1004:$BQ$1004,1,MATCH(COLUMNS($AO$1006:AW1006),$AO$1006:$BQ$1006,0)))),"Fix")))</f>
        <v>#N/A</v>
      </c>
      <c r="K253" s="5" t="e">
        <f ca="1">IF(OR(INDEX($AI$2:$AI$1001,MATCH(ROWS($AH$2:AH253),$AH$2:$AH$1001,0),1)&gt;=100000,INDEX($AO$1005:$BQ$1005,1,MATCH(COLUMNS($AO$1006:AX1006),$AO$1006:$BQ$1006,0))&gt;=100000), " ",IF(INDEX($AO$2:$BQ$1001,MATCH(ROWS($AH$2:AH253),$AH$2:$AH$1001,0),MATCH(COLUMNS($AO$1006:AX1006),$AO$1006:$BQ$1006,0)), HYPERLINK("#",""), HYPERLINK(CONCATENATE("#Metadata!", ADDRESS(INDEX($AJ$2:$AJ$1001,MATCH(ROWS($AH$2:AH253),$AH$2:$AH$1001,0),0), INDEX($AO$1004:$BQ$1004,1,MATCH(COLUMNS($AO$1006:AX1006),$AO$1006:$BQ$1006,0)))),"Fix")))</f>
        <v>#N/A</v>
      </c>
      <c r="L253" s="5" t="e">
        <f ca="1">IF(OR(INDEX($AI$2:$AI$1001,MATCH(ROWS($AH$2:AH253),$AH$2:$AH$1001,0),1)&gt;=100000,INDEX($AO$1005:$BQ$1005,1,MATCH(COLUMNS($AO$1006:AY1006),$AO$1006:$BQ$1006,0))&gt;=100000), " ",IF(INDEX($AO$2:$BQ$1001,MATCH(ROWS($AH$2:AH253),$AH$2:$AH$1001,0),MATCH(COLUMNS($AO$1006:AY1006),$AO$1006:$BQ$1006,0)), HYPERLINK("#",""), HYPERLINK(CONCATENATE("#Metadata!", ADDRESS(INDEX($AJ$2:$AJ$1001,MATCH(ROWS($AH$2:AH253),$AH$2:$AH$1001,0),0), INDEX($AO$1004:$BQ$1004,1,MATCH(COLUMNS($AO$1006:AY1006),$AO$1006:$BQ$1006,0)))),"Fix")))</f>
        <v>#N/A</v>
      </c>
      <c r="M253" s="5" t="e">
        <f ca="1">IF(OR(INDEX($AI$2:$AI$1001,MATCH(ROWS($AH$2:AH253),$AH$2:$AH$1001,0),1)&gt;=100000,INDEX($AO$1005:$BQ$1005,1,MATCH(COLUMNS($AO$1006:AZ1006),$AO$1006:$BQ$1006,0))&gt;=100000), " ",IF(INDEX($AO$2:$BQ$1001,MATCH(ROWS($AH$2:AH253),$AH$2:$AH$1001,0),MATCH(COLUMNS($AO$1006:AZ1006),$AO$1006:$BQ$1006,0)), HYPERLINK("#",""), HYPERLINK(CONCATENATE("#Metadata!", ADDRESS(INDEX($AJ$2:$AJ$1001,MATCH(ROWS($AH$2:AH253),$AH$2:$AH$1001,0),0), INDEX($AO$1004:$BQ$1004,1,MATCH(COLUMNS($AO$1006:AZ1006),$AO$1006:$BQ$1006,0)))),"Fix")))</f>
        <v>#N/A</v>
      </c>
      <c r="N253" s="5" t="e">
        <f ca="1">IF(OR(INDEX($AI$2:$AI$1001,MATCH(ROWS($AH$2:AH253),$AH$2:$AH$1001,0),1)&gt;=100000,INDEX($AO$1005:$BQ$1005,1,MATCH(COLUMNS($AO$1006:BA1006),$AO$1006:$BQ$1006,0))&gt;=100000), " ",IF(INDEX($AO$2:$BQ$1001,MATCH(ROWS($AH$2:AH253),$AH$2:$AH$1001,0),MATCH(COLUMNS($AO$1006:BA1006),$AO$1006:$BQ$1006,0)), HYPERLINK("#",""), HYPERLINK(CONCATENATE("#Metadata!", ADDRESS(INDEX($AJ$2:$AJ$1001,MATCH(ROWS($AH$2:AH253),$AH$2:$AH$1001,0),0), INDEX($AO$1004:$BQ$1004,1,MATCH(COLUMNS($AO$1006:BA1006),$AO$1006:$BQ$1006,0)))),"Fix")))</f>
        <v>#N/A</v>
      </c>
      <c r="O253" s="5" t="e">
        <f ca="1">IF(OR(INDEX($AI$2:$AI$1001,MATCH(ROWS($AH$2:AH253),$AH$2:$AH$1001,0),1)&gt;=100000,INDEX($AO$1005:$BQ$1005,1,MATCH(COLUMNS($AO$1006:BB1006),$AO$1006:$BQ$1006,0))&gt;=100000), " ",IF(INDEX($AO$2:$BQ$1001,MATCH(ROWS($AH$2:AH253),$AH$2:$AH$1001,0),MATCH(COLUMNS($AO$1006:BB1006),$AO$1006:$BQ$1006,0)), HYPERLINK("#",""), HYPERLINK(CONCATENATE("#Metadata!", ADDRESS(INDEX($AJ$2:$AJ$1001,MATCH(ROWS($AH$2:AH253),$AH$2:$AH$1001,0),0), INDEX($AO$1004:$BQ$1004,1,MATCH(COLUMNS($AO$1006:BB1006),$AO$1006:$BQ$1006,0)))),"Fix")))</f>
        <v>#N/A</v>
      </c>
      <c r="P253" s="5" t="e">
        <f ca="1">IF(OR(INDEX($AI$2:$AI$1001,MATCH(ROWS($AH$2:AH253),$AH$2:$AH$1001,0),1)&gt;=100000,INDEX($AO$1005:$BQ$1005,1,MATCH(COLUMNS($AO$1006:BC1006),$AO$1006:$BQ$1006,0))&gt;=100000), " ",IF(INDEX($AO$2:$BQ$1001,MATCH(ROWS($AH$2:AH253),$AH$2:$AH$1001,0),MATCH(COLUMNS($AO$1006:BC1006),$AO$1006:$BQ$1006,0)), HYPERLINK("#",""), HYPERLINK(CONCATENATE("#Metadata!", ADDRESS(INDEX($AJ$2:$AJ$1001,MATCH(ROWS($AH$2:AH253),$AH$2:$AH$1001,0),0), INDEX($AO$1004:$BQ$1004,1,MATCH(COLUMNS($AO$1006:BC1006),$AO$1006:$BQ$1006,0)))),"Fix")))</f>
        <v>#N/A</v>
      </c>
      <c r="Q253" s="5" t="e">
        <f ca="1">IF(OR(INDEX($AI$2:$AI$1001,MATCH(ROWS($AH$2:AH253),$AH$2:$AH$1001,0),1)&gt;=100000,INDEX($AO$1005:$BQ$1005,1,MATCH(COLUMNS($AO$1006:BD1006),$AO$1006:$BQ$1006,0))&gt;=100000), " ",IF(INDEX($AO$2:$BQ$1001,MATCH(ROWS($AH$2:AH253),$AH$2:$AH$1001,0),MATCH(COLUMNS($AO$1006:BD1006),$AO$1006:$BQ$1006,0)), HYPERLINK("#",""), HYPERLINK(CONCATENATE("#Metadata!", ADDRESS(INDEX($AJ$2:$AJ$1001,MATCH(ROWS($AH$2:AH253),$AH$2:$AH$1001,0),0), INDEX($AO$1004:$BQ$1004,1,MATCH(COLUMNS($AO$1006:BD1006),$AO$1006:$BQ$1006,0)))),"Fix")))</f>
        <v>#N/A</v>
      </c>
      <c r="R253" s="5" t="e">
        <f ca="1">IF(OR(INDEX($AI$2:$AI$1001,MATCH(ROWS($AH$2:AH253),$AH$2:$AH$1001,0),1)&gt;=100000,INDEX($AO$1005:$BQ$1005,1,MATCH(COLUMNS($AO$1006:BE1006),$AO$1006:$BQ$1006,0))&gt;=100000), " ",IF(INDEX($AO$2:$BQ$1001,MATCH(ROWS($AH$2:AH253),$AH$2:$AH$1001,0),MATCH(COLUMNS($AO$1006:BE1006),$AO$1006:$BQ$1006,0)), HYPERLINK("#",""), HYPERLINK(CONCATENATE("#Metadata!", ADDRESS(INDEX($AJ$2:$AJ$1001,MATCH(ROWS($AH$2:AH253),$AH$2:$AH$1001,0),0), INDEX($AO$1004:$BQ$1004,1,MATCH(COLUMNS($AO$1006:BE1006),$AO$1006:$BQ$1006,0)))),"Fix")))</f>
        <v>#N/A</v>
      </c>
      <c r="S253" s="5" t="e">
        <f ca="1">IF(OR(INDEX($AI$2:$AI$1001,MATCH(ROWS($AH$2:AH253),$AH$2:$AH$1001,0),1)&gt;=100000,INDEX($AO$1005:$BQ$1005,1,MATCH(COLUMNS($AO$1006:BF1006),$AO$1006:$BQ$1006,0))&gt;=100000), " ",IF(INDEX($AO$2:$BQ$1001,MATCH(ROWS($AH$2:AH253),$AH$2:$AH$1001,0),MATCH(COLUMNS($AO$1006:BF1006),$AO$1006:$BQ$1006,0)), HYPERLINK("#",""), HYPERLINK(CONCATENATE("#Metadata!", ADDRESS(INDEX($AJ$2:$AJ$1001,MATCH(ROWS($AH$2:AH253),$AH$2:$AH$1001,0),0), INDEX($AO$1004:$BQ$1004,1,MATCH(COLUMNS($AO$1006:BF1006),$AO$1006:$BQ$1006,0)))),"Fix")))</f>
        <v>#N/A</v>
      </c>
      <c r="T253" s="5" t="e">
        <f ca="1">IF(OR(INDEX($AI$2:$AI$1001,MATCH(ROWS($AH$2:AH253),$AH$2:$AH$1001,0),1)&gt;=100000,INDEX($AO$1005:$BQ$1005,1,MATCH(COLUMNS($AO$1006:BG1006),$AO$1006:$BQ$1006,0))&gt;=100000), " ",IF(INDEX($AO$2:$BQ$1001,MATCH(ROWS($AH$2:AH253),$AH$2:$AH$1001,0),MATCH(COLUMNS($AO$1006:BG1006),$AO$1006:$BQ$1006,0)), HYPERLINK("#",""), HYPERLINK(CONCATENATE("#Metadata!", ADDRESS(INDEX($AJ$2:$AJ$1001,MATCH(ROWS($AH$2:AH253),$AH$2:$AH$1001,0),0), INDEX($AO$1004:$BQ$1004,1,MATCH(COLUMNS($AO$1006:BG1006),$AO$1006:$BQ$1006,0)))),"Fix")))</f>
        <v>#N/A</v>
      </c>
      <c r="U253" s="5" t="e">
        <f ca="1">IF(OR(INDEX($AI$2:$AI$1001,MATCH(ROWS($AH$2:AH253),$AH$2:$AH$1001,0),1)&gt;=100000,INDEX($AO$1005:$BQ$1005,1,MATCH(COLUMNS($AO$1006:BH1006),$AO$1006:$BQ$1006,0))&gt;=100000), " ",IF(INDEX($AO$2:$BQ$1001,MATCH(ROWS($AH$2:AH253),$AH$2:$AH$1001,0),MATCH(COLUMNS($AO$1006:BH1006),$AO$1006:$BQ$1006,0)), HYPERLINK("#",""), HYPERLINK(CONCATENATE("#Metadata!", ADDRESS(INDEX($AJ$2:$AJ$1001,MATCH(ROWS($AH$2:AH253),$AH$2:$AH$1001,0),0), INDEX($AO$1004:$BQ$1004,1,MATCH(COLUMNS($AO$1006:BH1006),$AO$1006:$BQ$1006,0)))),"Fix")))</f>
        <v>#N/A</v>
      </c>
      <c r="V253" s="5" t="e">
        <f ca="1">IF(OR(INDEX($AI$2:$AI$1001,MATCH(ROWS($AH$2:AH253),$AH$2:$AH$1001,0),1)&gt;=100000,INDEX($AO$1005:$BQ$1005,1,MATCH(COLUMNS($AO$1006:BI1006),$AO$1006:$BQ$1006,0))&gt;=100000), " ",IF(INDEX($AO$2:$BQ$1001,MATCH(ROWS($AH$2:AH253),$AH$2:$AH$1001,0),MATCH(COLUMNS($AO$1006:BI1006),$AO$1006:$BQ$1006,0)), HYPERLINK("#",""), HYPERLINK(CONCATENATE("#Metadata!", ADDRESS(INDEX($AJ$2:$AJ$1001,MATCH(ROWS($AH$2:AH253),$AH$2:$AH$1001,0),0), INDEX($AO$1004:$BQ$1004,1,MATCH(COLUMNS($AO$1006:BI1006),$AO$1006:$BQ$1006,0)))),"Fix")))</f>
        <v>#N/A</v>
      </c>
      <c r="W253" s="5" t="e">
        <f ca="1">IF(OR(INDEX($AI$2:$AI$1001,MATCH(ROWS($AH$2:AH253),$AH$2:$AH$1001,0),1)&gt;=100000,INDEX($AO$1005:$BQ$1005,1,MATCH(COLUMNS($AO$1006:BJ1006),$AO$1006:$BQ$1006,0))&gt;=100000), " ",IF(INDEX($AO$2:$BQ$1001,MATCH(ROWS($AH$2:AH253),$AH$2:$AH$1001,0),MATCH(COLUMNS($AO$1006:BJ1006),$AO$1006:$BQ$1006,0)), HYPERLINK("#",""), HYPERLINK(CONCATENATE("#Metadata!", ADDRESS(INDEX($AJ$2:$AJ$1001,MATCH(ROWS($AH$2:AH253),$AH$2:$AH$1001,0),0), INDEX($AO$1004:$BQ$1004,1,MATCH(COLUMNS($AO$1006:BJ1006),$AO$1006:$BQ$1006,0)))),"Fix")))</f>
        <v>#N/A</v>
      </c>
      <c r="X253" s="5" t="e">
        <f ca="1">IF(OR(INDEX($AI$2:$AI$1001,MATCH(ROWS($AH$2:AH253),$AH$2:$AH$1001,0),1)&gt;=100000,INDEX($AO$1005:$BQ$1005,1,MATCH(COLUMNS($AO$1006:BK1006),$AO$1006:$BQ$1006,0))&gt;=100000), " ",IF(INDEX($AO$2:$BQ$1001,MATCH(ROWS($AH$2:AH253),$AH$2:$AH$1001,0),MATCH(COLUMNS($AO$1006:BK1006),$AO$1006:$BQ$1006,0)), HYPERLINK("#",""), HYPERLINK(CONCATENATE("#Metadata!", ADDRESS(INDEX($AJ$2:$AJ$1001,MATCH(ROWS($AH$2:AH253),$AH$2:$AH$1001,0),0), INDEX($AO$1004:$BQ$1004,1,MATCH(COLUMNS($AO$1006:BK1006),$AO$1006:$BQ$1006,0)))),"Fix")))</f>
        <v>#N/A</v>
      </c>
      <c r="Y253" s="5" t="e">
        <f ca="1">IF(OR(INDEX($AI$2:$AI$1001,MATCH(ROWS($AH$2:AH253),$AH$2:$AH$1001,0),1)&gt;=100000,INDEX($AO$1005:$BQ$1005,1,MATCH(COLUMNS($AO$1006:BL1006),$AO$1006:$BQ$1006,0))&gt;=100000), " ",IF(INDEX($AO$2:$BQ$1001,MATCH(ROWS($AH$2:AH253),$AH$2:$AH$1001,0),MATCH(COLUMNS($AO$1006:BL1006),$AO$1006:$BQ$1006,0)), HYPERLINK("#",""), HYPERLINK(CONCATENATE("#Metadata!", ADDRESS(INDEX($AJ$2:$AJ$1001,MATCH(ROWS($AH$2:AH253),$AH$2:$AH$1001,0),0), INDEX($AO$1004:$BQ$1004,1,MATCH(COLUMNS($AO$1006:BL1006),$AO$1006:$BQ$1006,0)))),"Fix")))</f>
        <v>#N/A</v>
      </c>
      <c r="Z253" s="5" t="e">
        <f ca="1">IF(OR(INDEX($AI$2:$AI$1001,MATCH(ROWS($AH$2:AH253),$AH$2:$AH$1001,0),1)&gt;=100000,INDEX($AO$1005:$BQ$1005,1,MATCH(COLUMNS($AO$1006:BM1006),$AO$1006:$BQ$1006,0))&gt;=100000), " ",IF(INDEX($AO$2:$BQ$1001,MATCH(ROWS($AH$2:AH253),$AH$2:$AH$1001,0),MATCH(COLUMNS($AO$1006:BM1006),$AO$1006:$BQ$1006,0)), HYPERLINK("#",""), HYPERLINK(CONCATENATE("#Metadata!", ADDRESS(INDEX($AJ$2:$AJ$1001,MATCH(ROWS($AH$2:AH253),$AH$2:$AH$1001,0),0), INDEX($AO$1004:$BQ$1004,1,MATCH(COLUMNS($AO$1006:BM1006),$AO$1006:$BQ$1006,0)))),"Fix")))</f>
        <v>#N/A</v>
      </c>
      <c r="AA253" s="5" t="e">
        <f ca="1">IF(OR(INDEX($AI$2:$AI$1001,MATCH(ROWS($AH$2:AH253),$AH$2:$AH$1001,0),1)&gt;=100000,INDEX($AO$1005:$BQ$1005,1,MATCH(COLUMNS($AO$1006:BN1006),$AO$1006:$BQ$1006,0))&gt;=100000), " ",IF(INDEX($AO$2:$BQ$1001,MATCH(ROWS($AH$2:AH253),$AH$2:$AH$1001,0),MATCH(COLUMNS($AO$1006:BN1006),$AO$1006:$BQ$1006,0)), HYPERLINK("#",""), HYPERLINK(CONCATENATE("#Metadata!", ADDRESS(INDEX($AJ$2:$AJ$1001,MATCH(ROWS($AH$2:AH253),$AH$2:$AH$1001,0),0), INDEX($AO$1004:$BQ$1004,1,MATCH(COLUMNS($AO$1006:BN1006),$AO$1006:$BQ$1006,0)))),"Fix")))</f>
        <v>#N/A</v>
      </c>
      <c r="AB253" s="5" t="e">
        <f ca="1">IF(OR(INDEX($AI$2:$AI$1001,MATCH(ROWS($AH$2:AH253),$AH$2:$AH$1001,0),1)&gt;=100000,INDEX($AO$1005:$BQ$1005,1,MATCH(COLUMNS($AO$1006:BO1006),$AO$1006:$BQ$1006,0))&gt;=100000), " ",IF(INDEX($AO$2:$BQ$1001,MATCH(ROWS($AH$2:AH253),$AH$2:$AH$1001,0),MATCH(COLUMNS($AO$1006:BO1006),$AO$1006:$BQ$1006,0)), HYPERLINK("#",""), HYPERLINK(CONCATENATE("#Metadata!", ADDRESS(INDEX($AJ$2:$AJ$1001,MATCH(ROWS($AH$2:AH253),$AH$2:$AH$1001,0),0), INDEX($AO$1004:$BQ$1004,1,MATCH(COLUMNS($AO$1006:BO1006),$AO$1006:$BQ$1006,0)))),"Fix")))</f>
        <v>#N/A</v>
      </c>
      <c r="AC253" s="5" t="e">
        <f ca="1">IF(OR(INDEX($AI$2:$AI$1001,MATCH(ROWS($AH$2:AH253),$AH$2:$AH$1001,0),1)&gt;=100000,INDEX($AO$1005:$BQ$1005,1,MATCH(COLUMNS($AO$1006:BP1006),$AO$1006:$BQ$1006,0))&gt;=100000), " ",IF(INDEX($AO$2:$BQ$1001,MATCH(ROWS($AH$2:AH253),$AH$2:$AH$1001,0),MATCH(COLUMNS($AO$1006:BP1006),$AO$1006:$BQ$1006,0)), HYPERLINK("#",""), HYPERLINK(CONCATENATE("#Metadata!", ADDRESS(INDEX($AJ$2:$AJ$1001,MATCH(ROWS($AH$2:AH253),$AH$2:$AH$1001,0),0), INDEX($AO$1004:$BQ$1004,1,MATCH(COLUMNS($AO$1006:BP1006),$AO$1006:$BQ$1006,0)))),"Fix")))</f>
        <v>#N/A</v>
      </c>
      <c r="AD253" s="5" t="e">
        <f ca="1">IF(OR(INDEX($AI$2:$AI$1001,MATCH(ROWS($AH$2:AH253),$AH$2:$AH$1001,0),1)&gt;=100000,INDEX($AO$1005:$BQ$1005,1,MATCH(COLUMNS($AO$1006:BQ1006),$AO$1006:$BQ$1006,0))&gt;=100000), " ",IF(INDEX($AO$2:$BQ$1001,MATCH(ROWS($AH$2:AH253),$AH$2:$AH$1001,0),MATCH(COLUMNS($AO$1006:BQ1006),$AO$1006:$BQ$1006,0)), HYPERLINK("#",""), HYPERLINK(CONCATENATE("#Metadata!", ADDRESS(INDEX($AJ$2:$AJ$1001,MATCH(ROWS($AH$2:AH253),$AH$2:$AH$1001,0),0), INDEX($AO$1004:$BQ$1004,1,MATCH(COLUMNS($AO$1006:BQ1006),$AO$1006:$BQ$1006,0)))),"Fix")))</f>
        <v>#REF!</v>
      </c>
      <c r="AH253">
        <f ca="1"/>
        <v>250</v>
      </c>
      <c r="AI253">
        <v>100253</v>
      </c>
      <c r="AJ253">
        <v>253</v>
      </c>
      <c r="AK253" t="b">
        <f t="shared" si="3"/>
        <v>1</v>
      </c>
      <c r="AL253" t="b">
        <f>COUNTBLANK(Metadata!B253:AD253)=COLUMNS(Metadata!B253:AD253)</f>
        <v>1</v>
      </c>
      <c r="AM253" t="str">
        <v/>
      </c>
      <c r="AO253" t="b">
        <f ca="1">AND(IF(Metadata!B253="",FALSE,TRUE),COUNTIF(Metadata!B:B, Metadata!B253) = 1,NOT(ISERROR(SUMPRODUCT(SEARCH(MID(Metadata!B253,ROW(INDIRECT("1:"&amp;LEN(Metadata!B253))), 1),"0123456789abcdefghijklmnopqrstuvwxyzABCDEFGHIJKLMNOPQRSTUVWXYZ.")))))</f>
        <v>0</v>
      </c>
      <c r="AP253" t="b">
        <f>IF(Metadata!C253="",FALSE,TRUE)</f>
        <v>0</v>
      </c>
      <c r="AQ253" t="b">
        <f>IF(Metadata!D253="",FALSE,TRUE)</f>
        <v>0</v>
      </c>
      <c r="AR253" t="b">
        <f ca="1">OR(AND(IF(Metadata!E253="",FALSE,TRUE),OR(EXACT(Metadata!E253,"not collected"),EXACT(Metadata!E253,"not provided"),EXACT(Metadata!E253,"restricted access"))),AND(IF(Metadata!E253="",FALSE,TRUE),AND(AND(IFERROR(INT(LEFT(Metadata!E253,4))&gt;1900,FALSE),IFERROR(INT(LEFT(Metadata!E253,4))&lt;=YEAR(NOW()),FALSE)), OR(MID(Metadata!E253,5,1)="", AND(AND(MID(Metadata!E253,5,1)="-",IFERROR(INT(MID(Metadata!E253,6,1))&gt;=0,FALSE),IFERROR(INT(MID(Metadata!E253,6,1))&lt;=1,FALSE),NOT(MID(Metadata!E253,7,1)=""),IFERROR(INT(MID(Metadata!E253,6,2))&gt;=1,FALSE),IFERROR(INT(MID(Metadata!E253,6,2))&lt;=12,FALSE)), OR(MID(Metadata!E253,8,1)="", AND(AND(MID(Metadata!E253,8,1)="-",IFERROR(INT(MID(Metadata!E253,9,1))&gt;=0,FALSE),IFERROR(INT(MID(Metadata!E253,9,1))&lt;=3,FALSE),NOT(MID(Metadata!E253,10,1)=""),IFERROR(INT(MID(Metadata!E253,9,2))&gt;=1,FALSE),IFERROR(INT(MID(Metadata!E253,9,2))&lt;=31,FALSE)), OR(MID(Metadata!E253,11,1)="", AND(AND(MID(Metadata!E253,11,1)=" ",IFERROR(INT(MID(Metadata!E253,12,1))&gt;=0,FALSE),IFERROR(INT(MID(Metadata!E253,12,1))&lt;=2,FALSE),NOT(MID(Metadata!E253,13,1)=""),IFERROR(INT(MID(Metadata!E253,12,2))&gt;=0,FALSE),IFERROR(INT(MID(Metadata!E253,12,2))&lt;=23,FALSE)), OR(MID(Metadata!E253,14,1)="", AND(AND(MID(Metadata!E253,14,1)=":",IFERROR(INT(MID(Metadata!E253,15,1))&gt;=0,FALSE),IFERROR(INT(MID(Metadata!E253,15,1))&lt;=5,FALSE),NOT(MID(Metadata!E253,16,1)=""),IFERROR(INT(MID(Metadata!E253,15,2))&gt;=0,FALSE),IFERROR(INT(MID(Metadata!E253,15,2))&lt;=59,FALSE)), OR(MID(Metadata!E253,17,1)="", AND(AND(MID(Metadata!E253,17,1)=":",IFERROR(INT(MID(Metadata!E253,18,1))&gt;=0,FALSE),IFERROR(INT(MID(Metadata!E253,18,1))&lt;=5,FALSE),NOT(MID(Metadata!E253,19,1)=""),IFERROR(INT(MID(Metadata!E253,18,2))&gt;=0,FALSE),IFERROR(INT(MID(Metadata!E253,18,2))&lt;=59,FALSE)), LEN(Metadata!E253)&lt;=19)))))))))))))</f>
        <v>0</v>
      </c>
      <c r="AS253" t="b">
        <f>IF(Metadata!F253="",FALSE,TRUE)</f>
        <v>0</v>
      </c>
      <c r="AT253" t="b">
        <f>OR(AND(IF(Metadata!G253="",FALSE,TRUE),OR(EXACT(Metadata!G253,"not collected"),EXACT(Metadata!G253,"not provided"))),AND(IF(Metadata!G253="",FALSE,TRUE),OR(EXACT(Metadata!G253,"TRUE"),EXACT(Metadata!G253,"FALSE"))))</f>
        <v>0</v>
      </c>
      <c r="AU253" t="b">
        <f>OR(AND(IF(Metadata!H253="",FALSE,TRUE),OR(EXACT(Metadata!H253,"not collected"),EXACT(Metadata!H253,"not provided"),EXACT(Metadata!H253,"restricted access"))),AND(IF(Metadata!H253="",FALSE,ISNUMBER(VALUE(Metadata!H253))),Metadata!H253&gt;=-413))</f>
        <v>0</v>
      </c>
      <c r="AV253" t="b">
        <f>AND(IF(Metadata!I253="",FALSE,TRUE),EXACT(Metadata!I253,"meters"))</f>
        <v>0</v>
      </c>
      <c r="AW253" t="b">
        <f>AND(IF(Metadata!J253="",FALSE,TRUE),EXACT(Metadata!J253,"free-living"))</f>
        <v>0</v>
      </c>
      <c r="AX253" t="b">
        <f>AND(IF(Metadata!K253="",FALSE,TRUE),OR(EXACT(Metadata!K253,"saline"),EXACT(Metadata!K253,"non-saline")))</f>
        <v>0</v>
      </c>
      <c r="AY253" t="b">
        <f>AND(IF(Metadata!L253="",FALSE,TRUE),OR(EXACT(Metadata!L253,"sub-surface (non-saline)"),EXACT(Metadata!L253,"surface (non-saline)"),EXACT(Metadata!L253,"water (non-saline)"),EXACT(Metadata!L253,"soil (non-saline)"),EXACT(Metadata!L253,"aerosol (non-saline)"),EXACT(Metadata!L253,"sediment (non-saline)"),EXACT(Metadata!L253,"surface (saline)"),EXACT(Metadata!L253,"water (saline)"),EXACT(Metadata!L253,"hypersaline (saline)"),EXACT(Metadata!L253,"aerosol (saline)"),EXACT(Metadata!L253,"sediment (saline)")))</f>
        <v>0</v>
      </c>
      <c r="AZ253" t="b">
        <f>IF(Metadata!M253="",FALSE,TRUE)</f>
        <v>0</v>
      </c>
      <c r="BA253" t="b">
        <f>IF(Metadata!N253="",FALSE,TRUE)</f>
        <v>0</v>
      </c>
      <c r="BB253" t="b">
        <f>IF(Metadata!O253="",FALSE,TRUE)</f>
        <v>0</v>
      </c>
      <c r="BC253" t="b">
        <f>AND(IF(Metadata!P253="",FALSE,TRUE),OR(EXACT(Metadata!P253,"air"),EXACT(Metadata!P253,"microbial mat/biofilm"),EXACT(Metadata!P253,"misc environment"),EXACT(Metadata!P253,"sediment"),EXACT(Metadata!P253,"soil"),EXACT(Metadata!P253,"wastewater/sludge"),EXACT(Metadata!P253,"water")))</f>
        <v>0</v>
      </c>
      <c r="BD253" t="b">
        <f>IF(Metadata!Q253="",FALSE,TRUE)</f>
        <v>0</v>
      </c>
      <c r="BE253" t="b">
        <f>IF(Metadata!R253="",FALSE,TRUE)</f>
        <v>0</v>
      </c>
      <c r="BF253" t="b">
        <f>OR(AND(IF(Metadata!S253="",FALSE,TRUE),OR(EXACT(Metadata!S253,"not collected"),EXACT(Metadata!S253,"not provided"),EXACT(Metadata!S253,"restricted access"))),AND(IF(Metadata!S253="",FALSE,ISNUMBER(VALUE(Metadata!S253))),Metadata!S253&gt;=-90,Metadata!S253&lt;=90))</f>
        <v>0</v>
      </c>
      <c r="BG253" t="b">
        <f>AND(IF(Metadata!T253="",FALSE,TRUE),EXACT(Metadata!T253,"Decimal degrees"))</f>
        <v>0</v>
      </c>
      <c r="BH253" t="b">
        <f>OR(AND(IF(Metadata!U253="",FALSE,TRUE),OR(EXACT(Metadata!U253,"not applicable"),EXACT(Metadata!U253,"not collected"))),IF(Metadata!U253="",FALSE,TRUE))</f>
        <v>0</v>
      </c>
      <c r="BI253" t="b">
        <f>OR(AND(IF(Metadata!V253="",FALSE,TRUE),OR(EXACT(Metadata!V253,"not collected"),EXACT(Metadata!V253,"not provided"),EXACT(Metadata!V253,"restricted access"))),AND(IF(Metadata!V253="",FALSE,ISNUMBER(VALUE(Metadata!V253))),Metadata!V253&gt;=-180,Metadata!V253&lt;=180))</f>
        <v>0</v>
      </c>
      <c r="BJ253" t="b">
        <f>AND(IF(Metadata!W253="",FALSE,TRUE),EXACT(Metadata!W253,"Decimal degrees"))</f>
        <v>0</v>
      </c>
      <c r="BK253" t="b">
        <f>IF(Metadata!X253="",FALSE,TRUE)</f>
        <v>0</v>
      </c>
      <c r="BL253" t="b">
        <f>OR(AND(IF(Metadata!Y253="",FALSE,TRUE),OR(EXACT(Metadata!Y253,"not collected"),EXACT(Metadata!Y253,"not provided"),EXACT(Metadata!Y253,"restricted access"))),AND(IF(Metadata!Y253="",FALSE,TRUE),OR(EXACT(Metadata!Y253,"TRUE"),EXACT(Metadata!Y253,"FALSE"))))</f>
        <v>0</v>
      </c>
      <c r="BM253" t="b">
        <f>OR(AND(IF(Metadata!Z253="",FALSE,TRUE),EXACT(Metadata!Z253,"not applicable")),AND(IF(Metadata!Z253="",FALSE,TRUE),OR(EXACT(Metadata!Z253,"beer"),EXACT(Metadata!Z253,"cheese"),EXACT(Metadata!Z253,"fresh water"),EXACT(Metadata!Z253,"marine sediment"),EXACT(Metadata!Z253,"sea water"),EXACT(Metadata!Z253,"sediment"),EXACT(Metadata!Z253,"soil"),EXACT(Metadata!Z253,"waste water"))))</f>
        <v>0</v>
      </c>
      <c r="BN253" t="b">
        <f>AND(IF(Metadata!AA253="",FALSE,TRUE),EXACT(Metadata!AA253,"metagenome"))</f>
        <v>0</v>
      </c>
      <c r="BO253" t="b">
        <f>AND(IF(Metadata!AB253="",FALSE,TRUE),EXACT(Metadata!AB253,"256318"))</f>
        <v>0</v>
      </c>
      <c r="BP253" t="b">
        <f>IF(Metadata!AC253="",FALSE,TRUE)</f>
        <v>0</v>
      </c>
      <c r="BQ253" t="b">
        <f>IF(Metadata!AD253="",FALSE,TRUE)</f>
        <v>0</v>
      </c>
    </row>
    <row r="254" spans="1:69" x14ac:dyDescent="0.2">
      <c r="A254" s="4" t="e">
        <f ca="1">IF(B254=" "," ",HYPERLINK(CONCATENATE("#metadata!",ADDRESS(INDEX($AJ$2:$AJ$1001,MATCH(ROWS($AH$2:AH254),$AH$2:$AH$1001,0),0),2)),INDEX($AM$2:$AM$1001,MATCH(ROWS($AH$2:AH254),$AH$2:$AH$1001,0),0)))</f>
        <v>#N/A</v>
      </c>
      <c r="B254" s="5" t="e">
        <f ca="1">IF(OR(INDEX($AI$2:$AI$1001,MATCH(ROWS($AH$2:AH254),$AH$2:$AH$1001,0),1)&gt;=100000,INDEX($AO$1005:$BQ$1005,1,MATCH(COLUMNS($AO$1006:AO1006),$AO$1006:$BQ$1006,0))&gt;=100000), " ",IF(INDEX($AO$2:$BQ$1001,MATCH(ROWS($AH$2:AH254),$AH$2:$AH$1001,0),MATCH(COLUMNS($AO$1006:AO1006),$AO$1006:$BQ$1006,0)), HYPERLINK("#",""), HYPERLINK(CONCATENATE("#Metadata!", ADDRESS(INDEX($AJ$2:$AJ$1001,MATCH(ROWS($AH$2:AH254),$AH$2:$AH$1001,0),0), INDEX($AO$1004:$BQ$1004,1,MATCH(COLUMNS($AO$1006:AO1006),$AO$1006:$BQ$1006,0)))),"Fix")))</f>
        <v>#N/A</v>
      </c>
      <c r="C254" s="5" t="e">
        <f ca="1">IF(OR(INDEX($AI$2:$AI$1001,MATCH(ROWS($AH$2:AH254),$AH$2:$AH$1001,0),1)&gt;=100000,INDEX($AO$1005:$BQ$1005,1,MATCH(COLUMNS($AO$1006:AP1006),$AO$1006:$BQ$1006,0))&gt;=100000), " ",IF(INDEX($AO$2:$BQ$1001,MATCH(ROWS($AH$2:AH254),$AH$2:$AH$1001,0),MATCH(COLUMNS($AO$1006:AP1006),$AO$1006:$BQ$1006,0)), HYPERLINK("#",""), HYPERLINK(CONCATENATE("#Metadata!", ADDRESS(INDEX($AJ$2:$AJ$1001,MATCH(ROWS($AH$2:AH254),$AH$2:$AH$1001,0),0), INDEX($AO$1004:$BQ$1004,1,MATCH(COLUMNS($AO$1006:AP1006),$AO$1006:$BQ$1006,0)))),"Fix")))</f>
        <v>#N/A</v>
      </c>
      <c r="D254" s="5" t="e">
        <f ca="1">IF(OR(INDEX($AI$2:$AI$1001,MATCH(ROWS($AH$2:AH254),$AH$2:$AH$1001,0),1)&gt;=100000,INDEX($AO$1005:$BQ$1005,1,MATCH(COLUMNS($AO$1006:AQ1006),$AO$1006:$BQ$1006,0))&gt;=100000), " ",IF(INDEX($AO$2:$BQ$1001,MATCH(ROWS($AH$2:AH254),$AH$2:$AH$1001,0),MATCH(COLUMNS($AO$1006:AQ1006),$AO$1006:$BQ$1006,0)), HYPERLINK("#",""), HYPERLINK(CONCATENATE("#Metadata!", ADDRESS(INDEX($AJ$2:$AJ$1001,MATCH(ROWS($AH$2:AH254),$AH$2:$AH$1001,0),0), INDEX($AO$1004:$BQ$1004,1,MATCH(COLUMNS($AO$1006:AQ1006),$AO$1006:$BQ$1006,0)))),"Fix")))</f>
        <v>#N/A</v>
      </c>
      <c r="E254" s="5" t="e">
        <f ca="1">IF(OR(INDEX($AI$2:$AI$1001,MATCH(ROWS($AH$2:AH254),$AH$2:$AH$1001,0),1)&gt;=100000,INDEX($AO$1005:$BQ$1005,1,MATCH(COLUMNS($AO$1006:AR1006),$AO$1006:$BQ$1006,0))&gt;=100000), " ",IF(INDEX($AO$2:$BQ$1001,MATCH(ROWS($AH$2:AH254),$AH$2:$AH$1001,0),MATCH(COLUMNS($AO$1006:AR1006),$AO$1006:$BQ$1006,0)), HYPERLINK("#",""), HYPERLINK(CONCATENATE("#Metadata!", ADDRESS(INDEX($AJ$2:$AJ$1001,MATCH(ROWS($AH$2:AH254),$AH$2:$AH$1001,0),0), INDEX($AO$1004:$BQ$1004,1,MATCH(COLUMNS($AO$1006:AR1006),$AO$1006:$BQ$1006,0)))),"Fix")))</f>
        <v>#N/A</v>
      </c>
      <c r="F254" s="5" t="e">
        <f ca="1">IF(OR(INDEX($AI$2:$AI$1001,MATCH(ROWS($AH$2:AH254),$AH$2:$AH$1001,0),1)&gt;=100000,INDEX($AO$1005:$BQ$1005,1,MATCH(COLUMNS($AO$1006:AS1006),$AO$1006:$BQ$1006,0))&gt;=100000), " ",IF(INDEX($AO$2:$BQ$1001,MATCH(ROWS($AH$2:AH254),$AH$2:$AH$1001,0),MATCH(COLUMNS($AO$1006:AS1006),$AO$1006:$BQ$1006,0)), HYPERLINK("#",""), HYPERLINK(CONCATENATE("#Metadata!", ADDRESS(INDEX($AJ$2:$AJ$1001,MATCH(ROWS($AH$2:AH254),$AH$2:$AH$1001,0),0), INDEX($AO$1004:$BQ$1004,1,MATCH(COLUMNS($AO$1006:AS1006),$AO$1006:$BQ$1006,0)))),"Fix")))</f>
        <v>#N/A</v>
      </c>
      <c r="G254" s="5" t="e">
        <f ca="1">IF(OR(INDEX($AI$2:$AI$1001,MATCH(ROWS($AH$2:AH254),$AH$2:$AH$1001,0),1)&gt;=100000,INDEX($AO$1005:$BQ$1005,1,MATCH(COLUMNS($AO$1006:AT1006),$AO$1006:$BQ$1006,0))&gt;=100000), " ",IF(INDEX($AO$2:$BQ$1001,MATCH(ROWS($AH$2:AH254),$AH$2:$AH$1001,0),MATCH(COLUMNS($AO$1006:AT1006),$AO$1006:$BQ$1006,0)), HYPERLINK("#",""), HYPERLINK(CONCATENATE("#Metadata!", ADDRESS(INDEX($AJ$2:$AJ$1001,MATCH(ROWS($AH$2:AH254),$AH$2:$AH$1001,0),0), INDEX($AO$1004:$BQ$1004,1,MATCH(COLUMNS($AO$1006:AT1006),$AO$1006:$BQ$1006,0)))),"Fix")))</f>
        <v>#N/A</v>
      </c>
      <c r="H254" s="5" t="e">
        <f ca="1">IF(OR(INDEX($AI$2:$AI$1001,MATCH(ROWS($AH$2:AH254),$AH$2:$AH$1001,0),1)&gt;=100000,INDEX($AO$1005:$BQ$1005,1,MATCH(COLUMNS($AO$1006:AU1006),$AO$1006:$BQ$1006,0))&gt;=100000), " ",IF(INDEX($AO$2:$BQ$1001,MATCH(ROWS($AH$2:AH254),$AH$2:$AH$1001,0),MATCH(COLUMNS($AO$1006:AU1006),$AO$1006:$BQ$1006,0)), HYPERLINK("#",""), HYPERLINK(CONCATENATE("#Metadata!", ADDRESS(INDEX($AJ$2:$AJ$1001,MATCH(ROWS($AH$2:AH254),$AH$2:$AH$1001,0),0), INDEX($AO$1004:$BQ$1004,1,MATCH(COLUMNS($AO$1006:AU1006),$AO$1006:$BQ$1006,0)))),"Fix")))</f>
        <v>#N/A</v>
      </c>
      <c r="I254" s="5" t="e">
        <f ca="1">IF(OR(INDEX($AI$2:$AI$1001,MATCH(ROWS($AH$2:AH254),$AH$2:$AH$1001,0),1)&gt;=100000,INDEX($AO$1005:$BQ$1005,1,MATCH(COLUMNS($AO$1006:AV1006),$AO$1006:$BQ$1006,0))&gt;=100000), " ",IF(INDEX($AO$2:$BQ$1001,MATCH(ROWS($AH$2:AH254),$AH$2:$AH$1001,0),MATCH(COLUMNS($AO$1006:AV1006),$AO$1006:$BQ$1006,0)), HYPERLINK("#",""), HYPERLINK(CONCATENATE("#Metadata!", ADDRESS(INDEX($AJ$2:$AJ$1001,MATCH(ROWS($AH$2:AH254),$AH$2:$AH$1001,0),0), INDEX($AO$1004:$BQ$1004,1,MATCH(COLUMNS($AO$1006:AV1006),$AO$1006:$BQ$1006,0)))),"Fix")))</f>
        <v>#N/A</v>
      </c>
      <c r="J254" s="5" t="e">
        <f ca="1">IF(OR(INDEX($AI$2:$AI$1001,MATCH(ROWS($AH$2:AH254),$AH$2:$AH$1001,0),1)&gt;=100000,INDEX($AO$1005:$BQ$1005,1,MATCH(COLUMNS($AO$1006:AW1006),$AO$1006:$BQ$1006,0))&gt;=100000), " ",IF(INDEX($AO$2:$BQ$1001,MATCH(ROWS($AH$2:AH254),$AH$2:$AH$1001,0),MATCH(COLUMNS($AO$1006:AW1006),$AO$1006:$BQ$1006,0)), HYPERLINK("#",""), HYPERLINK(CONCATENATE("#Metadata!", ADDRESS(INDEX($AJ$2:$AJ$1001,MATCH(ROWS($AH$2:AH254),$AH$2:$AH$1001,0),0), INDEX($AO$1004:$BQ$1004,1,MATCH(COLUMNS($AO$1006:AW1006),$AO$1006:$BQ$1006,0)))),"Fix")))</f>
        <v>#N/A</v>
      </c>
      <c r="K254" s="5" t="e">
        <f ca="1">IF(OR(INDEX($AI$2:$AI$1001,MATCH(ROWS($AH$2:AH254),$AH$2:$AH$1001,0),1)&gt;=100000,INDEX($AO$1005:$BQ$1005,1,MATCH(COLUMNS($AO$1006:AX1006),$AO$1006:$BQ$1006,0))&gt;=100000), " ",IF(INDEX($AO$2:$BQ$1001,MATCH(ROWS($AH$2:AH254),$AH$2:$AH$1001,0),MATCH(COLUMNS($AO$1006:AX1006),$AO$1006:$BQ$1006,0)), HYPERLINK("#",""), HYPERLINK(CONCATENATE("#Metadata!", ADDRESS(INDEX($AJ$2:$AJ$1001,MATCH(ROWS($AH$2:AH254),$AH$2:$AH$1001,0),0), INDEX($AO$1004:$BQ$1004,1,MATCH(COLUMNS($AO$1006:AX1006),$AO$1006:$BQ$1006,0)))),"Fix")))</f>
        <v>#N/A</v>
      </c>
      <c r="L254" s="5" t="e">
        <f ca="1">IF(OR(INDEX($AI$2:$AI$1001,MATCH(ROWS($AH$2:AH254),$AH$2:$AH$1001,0),1)&gt;=100000,INDEX($AO$1005:$BQ$1005,1,MATCH(COLUMNS($AO$1006:AY1006),$AO$1006:$BQ$1006,0))&gt;=100000), " ",IF(INDEX($AO$2:$BQ$1001,MATCH(ROWS($AH$2:AH254),$AH$2:$AH$1001,0),MATCH(COLUMNS($AO$1006:AY1006),$AO$1006:$BQ$1006,0)), HYPERLINK("#",""), HYPERLINK(CONCATENATE("#Metadata!", ADDRESS(INDEX($AJ$2:$AJ$1001,MATCH(ROWS($AH$2:AH254),$AH$2:$AH$1001,0),0), INDEX($AO$1004:$BQ$1004,1,MATCH(COLUMNS($AO$1006:AY1006),$AO$1006:$BQ$1006,0)))),"Fix")))</f>
        <v>#N/A</v>
      </c>
      <c r="M254" s="5" t="e">
        <f ca="1">IF(OR(INDEX($AI$2:$AI$1001,MATCH(ROWS($AH$2:AH254),$AH$2:$AH$1001,0),1)&gt;=100000,INDEX($AO$1005:$BQ$1005,1,MATCH(COLUMNS($AO$1006:AZ1006),$AO$1006:$BQ$1006,0))&gt;=100000), " ",IF(INDEX($AO$2:$BQ$1001,MATCH(ROWS($AH$2:AH254),$AH$2:$AH$1001,0),MATCH(COLUMNS($AO$1006:AZ1006),$AO$1006:$BQ$1006,0)), HYPERLINK("#",""), HYPERLINK(CONCATENATE("#Metadata!", ADDRESS(INDEX($AJ$2:$AJ$1001,MATCH(ROWS($AH$2:AH254),$AH$2:$AH$1001,0),0), INDEX($AO$1004:$BQ$1004,1,MATCH(COLUMNS($AO$1006:AZ1006),$AO$1006:$BQ$1006,0)))),"Fix")))</f>
        <v>#N/A</v>
      </c>
      <c r="N254" s="5" t="e">
        <f ca="1">IF(OR(INDEX($AI$2:$AI$1001,MATCH(ROWS($AH$2:AH254),$AH$2:$AH$1001,0),1)&gt;=100000,INDEX($AO$1005:$BQ$1005,1,MATCH(COLUMNS($AO$1006:BA1006),$AO$1006:$BQ$1006,0))&gt;=100000), " ",IF(INDEX($AO$2:$BQ$1001,MATCH(ROWS($AH$2:AH254),$AH$2:$AH$1001,0),MATCH(COLUMNS($AO$1006:BA1006),$AO$1006:$BQ$1006,0)), HYPERLINK("#",""), HYPERLINK(CONCATENATE("#Metadata!", ADDRESS(INDEX($AJ$2:$AJ$1001,MATCH(ROWS($AH$2:AH254),$AH$2:$AH$1001,0),0), INDEX($AO$1004:$BQ$1004,1,MATCH(COLUMNS($AO$1006:BA1006),$AO$1006:$BQ$1006,0)))),"Fix")))</f>
        <v>#N/A</v>
      </c>
      <c r="O254" s="5" t="e">
        <f ca="1">IF(OR(INDEX($AI$2:$AI$1001,MATCH(ROWS($AH$2:AH254),$AH$2:$AH$1001,0),1)&gt;=100000,INDEX($AO$1005:$BQ$1005,1,MATCH(COLUMNS($AO$1006:BB1006),$AO$1006:$BQ$1006,0))&gt;=100000), " ",IF(INDEX($AO$2:$BQ$1001,MATCH(ROWS($AH$2:AH254),$AH$2:$AH$1001,0),MATCH(COLUMNS($AO$1006:BB1006),$AO$1006:$BQ$1006,0)), HYPERLINK("#",""), HYPERLINK(CONCATENATE("#Metadata!", ADDRESS(INDEX($AJ$2:$AJ$1001,MATCH(ROWS($AH$2:AH254),$AH$2:$AH$1001,0),0), INDEX($AO$1004:$BQ$1004,1,MATCH(COLUMNS($AO$1006:BB1006),$AO$1006:$BQ$1006,0)))),"Fix")))</f>
        <v>#N/A</v>
      </c>
      <c r="P254" s="5" t="e">
        <f ca="1">IF(OR(INDEX($AI$2:$AI$1001,MATCH(ROWS($AH$2:AH254),$AH$2:$AH$1001,0),1)&gt;=100000,INDEX($AO$1005:$BQ$1005,1,MATCH(COLUMNS($AO$1006:BC1006),$AO$1006:$BQ$1006,0))&gt;=100000), " ",IF(INDEX($AO$2:$BQ$1001,MATCH(ROWS($AH$2:AH254),$AH$2:$AH$1001,0),MATCH(COLUMNS($AO$1006:BC1006),$AO$1006:$BQ$1006,0)), HYPERLINK("#",""), HYPERLINK(CONCATENATE("#Metadata!", ADDRESS(INDEX($AJ$2:$AJ$1001,MATCH(ROWS($AH$2:AH254),$AH$2:$AH$1001,0),0), INDEX($AO$1004:$BQ$1004,1,MATCH(COLUMNS($AO$1006:BC1006),$AO$1006:$BQ$1006,0)))),"Fix")))</f>
        <v>#N/A</v>
      </c>
      <c r="Q254" s="5" t="e">
        <f ca="1">IF(OR(INDEX($AI$2:$AI$1001,MATCH(ROWS($AH$2:AH254),$AH$2:$AH$1001,0),1)&gt;=100000,INDEX($AO$1005:$BQ$1005,1,MATCH(COLUMNS($AO$1006:BD1006),$AO$1006:$BQ$1006,0))&gt;=100000), " ",IF(INDEX($AO$2:$BQ$1001,MATCH(ROWS($AH$2:AH254),$AH$2:$AH$1001,0),MATCH(COLUMNS($AO$1006:BD1006),$AO$1006:$BQ$1006,0)), HYPERLINK("#",""), HYPERLINK(CONCATENATE("#Metadata!", ADDRESS(INDEX($AJ$2:$AJ$1001,MATCH(ROWS($AH$2:AH254),$AH$2:$AH$1001,0),0), INDEX($AO$1004:$BQ$1004,1,MATCH(COLUMNS($AO$1006:BD1006),$AO$1006:$BQ$1006,0)))),"Fix")))</f>
        <v>#N/A</v>
      </c>
      <c r="R254" s="5" t="e">
        <f ca="1">IF(OR(INDEX($AI$2:$AI$1001,MATCH(ROWS($AH$2:AH254),$AH$2:$AH$1001,0),1)&gt;=100000,INDEX($AO$1005:$BQ$1005,1,MATCH(COLUMNS($AO$1006:BE1006),$AO$1006:$BQ$1006,0))&gt;=100000), " ",IF(INDEX($AO$2:$BQ$1001,MATCH(ROWS($AH$2:AH254),$AH$2:$AH$1001,0),MATCH(COLUMNS($AO$1006:BE1006),$AO$1006:$BQ$1006,0)), HYPERLINK("#",""), HYPERLINK(CONCATENATE("#Metadata!", ADDRESS(INDEX($AJ$2:$AJ$1001,MATCH(ROWS($AH$2:AH254),$AH$2:$AH$1001,0),0), INDEX($AO$1004:$BQ$1004,1,MATCH(COLUMNS($AO$1006:BE1006),$AO$1006:$BQ$1006,0)))),"Fix")))</f>
        <v>#N/A</v>
      </c>
      <c r="S254" s="5" t="e">
        <f ca="1">IF(OR(INDEX($AI$2:$AI$1001,MATCH(ROWS($AH$2:AH254),$AH$2:$AH$1001,0),1)&gt;=100000,INDEX($AO$1005:$BQ$1005,1,MATCH(COLUMNS($AO$1006:BF1006),$AO$1006:$BQ$1006,0))&gt;=100000), " ",IF(INDEX($AO$2:$BQ$1001,MATCH(ROWS($AH$2:AH254),$AH$2:$AH$1001,0),MATCH(COLUMNS($AO$1006:BF1006),$AO$1006:$BQ$1006,0)), HYPERLINK("#",""), HYPERLINK(CONCATENATE("#Metadata!", ADDRESS(INDEX($AJ$2:$AJ$1001,MATCH(ROWS($AH$2:AH254),$AH$2:$AH$1001,0),0), INDEX($AO$1004:$BQ$1004,1,MATCH(COLUMNS($AO$1006:BF1006),$AO$1006:$BQ$1006,0)))),"Fix")))</f>
        <v>#N/A</v>
      </c>
      <c r="T254" s="5" t="e">
        <f ca="1">IF(OR(INDEX($AI$2:$AI$1001,MATCH(ROWS($AH$2:AH254),$AH$2:$AH$1001,0),1)&gt;=100000,INDEX($AO$1005:$BQ$1005,1,MATCH(COLUMNS($AO$1006:BG1006),$AO$1006:$BQ$1006,0))&gt;=100000), " ",IF(INDEX($AO$2:$BQ$1001,MATCH(ROWS($AH$2:AH254),$AH$2:$AH$1001,0),MATCH(COLUMNS($AO$1006:BG1006),$AO$1006:$BQ$1006,0)), HYPERLINK("#",""), HYPERLINK(CONCATENATE("#Metadata!", ADDRESS(INDEX($AJ$2:$AJ$1001,MATCH(ROWS($AH$2:AH254),$AH$2:$AH$1001,0),0), INDEX($AO$1004:$BQ$1004,1,MATCH(COLUMNS($AO$1006:BG1006),$AO$1006:$BQ$1006,0)))),"Fix")))</f>
        <v>#N/A</v>
      </c>
      <c r="U254" s="5" t="e">
        <f ca="1">IF(OR(INDEX($AI$2:$AI$1001,MATCH(ROWS($AH$2:AH254),$AH$2:$AH$1001,0),1)&gt;=100000,INDEX($AO$1005:$BQ$1005,1,MATCH(COLUMNS($AO$1006:BH1006),$AO$1006:$BQ$1006,0))&gt;=100000), " ",IF(INDEX($AO$2:$BQ$1001,MATCH(ROWS($AH$2:AH254),$AH$2:$AH$1001,0),MATCH(COLUMNS($AO$1006:BH1006),$AO$1006:$BQ$1006,0)), HYPERLINK("#",""), HYPERLINK(CONCATENATE("#Metadata!", ADDRESS(INDEX($AJ$2:$AJ$1001,MATCH(ROWS($AH$2:AH254),$AH$2:$AH$1001,0),0), INDEX($AO$1004:$BQ$1004,1,MATCH(COLUMNS($AO$1006:BH1006),$AO$1006:$BQ$1006,0)))),"Fix")))</f>
        <v>#N/A</v>
      </c>
      <c r="V254" s="5" t="e">
        <f ca="1">IF(OR(INDEX($AI$2:$AI$1001,MATCH(ROWS($AH$2:AH254),$AH$2:$AH$1001,0),1)&gt;=100000,INDEX($AO$1005:$BQ$1005,1,MATCH(COLUMNS($AO$1006:BI1006),$AO$1006:$BQ$1006,0))&gt;=100000), " ",IF(INDEX($AO$2:$BQ$1001,MATCH(ROWS($AH$2:AH254),$AH$2:$AH$1001,0),MATCH(COLUMNS($AO$1006:BI1006),$AO$1006:$BQ$1006,0)), HYPERLINK("#",""), HYPERLINK(CONCATENATE("#Metadata!", ADDRESS(INDEX($AJ$2:$AJ$1001,MATCH(ROWS($AH$2:AH254),$AH$2:$AH$1001,0),0), INDEX($AO$1004:$BQ$1004,1,MATCH(COLUMNS($AO$1006:BI1006),$AO$1006:$BQ$1006,0)))),"Fix")))</f>
        <v>#N/A</v>
      </c>
      <c r="W254" s="5" t="e">
        <f ca="1">IF(OR(INDEX($AI$2:$AI$1001,MATCH(ROWS($AH$2:AH254),$AH$2:$AH$1001,0),1)&gt;=100000,INDEX($AO$1005:$BQ$1005,1,MATCH(COLUMNS($AO$1006:BJ1006),$AO$1006:$BQ$1006,0))&gt;=100000), " ",IF(INDEX($AO$2:$BQ$1001,MATCH(ROWS($AH$2:AH254),$AH$2:$AH$1001,0),MATCH(COLUMNS($AO$1006:BJ1006),$AO$1006:$BQ$1006,0)), HYPERLINK("#",""), HYPERLINK(CONCATENATE("#Metadata!", ADDRESS(INDEX($AJ$2:$AJ$1001,MATCH(ROWS($AH$2:AH254),$AH$2:$AH$1001,0),0), INDEX($AO$1004:$BQ$1004,1,MATCH(COLUMNS($AO$1006:BJ1006),$AO$1006:$BQ$1006,0)))),"Fix")))</f>
        <v>#N/A</v>
      </c>
      <c r="X254" s="5" t="e">
        <f ca="1">IF(OR(INDEX($AI$2:$AI$1001,MATCH(ROWS($AH$2:AH254),$AH$2:$AH$1001,0),1)&gt;=100000,INDEX($AO$1005:$BQ$1005,1,MATCH(COLUMNS($AO$1006:BK1006),$AO$1006:$BQ$1006,0))&gt;=100000), " ",IF(INDEX($AO$2:$BQ$1001,MATCH(ROWS($AH$2:AH254),$AH$2:$AH$1001,0),MATCH(COLUMNS($AO$1006:BK1006),$AO$1006:$BQ$1006,0)), HYPERLINK("#",""), HYPERLINK(CONCATENATE("#Metadata!", ADDRESS(INDEX($AJ$2:$AJ$1001,MATCH(ROWS($AH$2:AH254),$AH$2:$AH$1001,0),0), INDEX($AO$1004:$BQ$1004,1,MATCH(COLUMNS($AO$1006:BK1006),$AO$1006:$BQ$1006,0)))),"Fix")))</f>
        <v>#N/A</v>
      </c>
      <c r="Y254" s="5" t="e">
        <f ca="1">IF(OR(INDEX($AI$2:$AI$1001,MATCH(ROWS($AH$2:AH254),$AH$2:$AH$1001,0),1)&gt;=100000,INDEX($AO$1005:$BQ$1005,1,MATCH(COLUMNS($AO$1006:BL1006),$AO$1006:$BQ$1006,0))&gt;=100000), " ",IF(INDEX($AO$2:$BQ$1001,MATCH(ROWS($AH$2:AH254),$AH$2:$AH$1001,0),MATCH(COLUMNS($AO$1006:BL1006),$AO$1006:$BQ$1006,0)), HYPERLINK("#",""), HYPERLINK(CONCATENATE("#Metadata!", ADDRESS(INDEX($AJ$2:$AJ$1001,MATCH(ROWS($AH$2:AH254),$AH$2:$AH$1001,0),0), INDEX($AO$1004:$BQ$1004,1,MATCH(COLUMNS($AO$1006:BL1006),$AO$1006:$BQ$1006,0)))),"Fix")))</f>
        <v>#N/A</v>
      </c>
      <c r="Z254" s="5" t="e">
        <f ca="1">IF(OR(INDEX($AI$2:$AI$1001,MATCH(ROWS($AH$2:AH254),$AH$2:$AH$1001,0),1)&gt;=100000,INDEX($AO$1005:$BQ$1005,1,MATCH(COLUMNS($AO$1006:BM1006),$AO$1006:$BQ$1006,0))&gt;=100000), " ",IF(INDEX($AO$2:$BQ$1001,MATCH(ROWS($AH$2:AH254),$AH$2:$AH$1001,0),MATCH(COLUMNS($AO$1006:BM1006),$AO$1006:$BQ$1006,0)), HYPERLINK("#",""), HYPERLINK(CONCATENATE("#Metadata!", ADDRESS(INDEX($AJ$2:$AJ$1001,MATCH(ROWS($AH$2:AH254),$AH$2:$AH$1001,0),0), INDEX($AO$1004:$BQ$1004,1,MATCH(COLUMNS($AO$1006:BM1006),$AO$1006:$BQ$1006,0)))),"Fix")))</f>
        <v>#N/A</v>
      </c>
      <c r="AA254" s="5" t="e">
        <f ca="1">IF(OR(INDEX($AI$2:$AI$1001,MATCH(ROWS($AH$2:AH254),$AH$2:$AH$1001,0),1)&gt;=100000,INDEX($AO$1005:$BQ$1005,1,MATCH(COLUMNS($AO$1006:BN1006),$AO$1006:$BQ$1006,0))&gt;=100000), " ",IF(INDEX($AO$2:$BQ$1001,MATCH(ROWS($AH$2:AH254),$AH$2:$AH$1001,0),MATCH(COLUMNS($AO$1006:BN1006),$AO$1006:$BQ$1006,0)), HYPERLINK("#",""), HYPERLINK(CONCATENATE("#Metadata!", ADDRESS(INDEX($AJ$2:$AJ$1001,MATCH(ROWS($AH$2:AH254),$AH$2:$AH$1001,0),0), INDEX($AO$1004:$BQ$1004,1,MATCH(COLUMNS($AO$1006:BN1006),$AO$1006:$BQ$1006,0)))),"Fix")))</f>
        <v>#N/A</v>
      </c>
      <c r="AB254" s="5" t="e">
        <f ca="1">IF(OR(INDEX($AI$2:$AI$1001,MATCH(ROWS($AH$2:AH254),$AH$2:$AH$1001,0),1)&gt;=100000,INDEX($AO$1005:$BQ$1005,1,MATCH(COLUMNS($AO$1006:BO1006),$AO$1006:$BQ$1006,0))&gt;=100000), " ",IF(INDEX($AO$2:$BQ$1001,MATCH(ROWS($AH$2:AH254),$AH$2:$AH$1001,0),MATCH(COLUMNS($AO$1006:BO1006),$AO$1006:$BQ$1006,0)), HYPERLINK("#",""), HYPERLINK(CONCATENATE("#Metadata!", ADDRESS(INDEX($AJ$2:$AJ$1001,MATCH(ROWS($AH$2:AH254),$AH$2:$AH$1001,0),0), INDEX($AO$1004:$BQ$1004,1,MATCH(COLUMNS($AO$1006:BO1006),$AO$1006:$BQ$1006,0)))),"Fix")))</f>
        <v>#N/A</v>
      </c>
      <c r="AC254" s="5" t="e">
        <f ca="1">IF(OR(INDEX($AI$2:$AI$1001,MATCH(ROWS($AH$2:AH254),$AH$2:$AH$1001,0),1)&gt;=100000,INDEX($AO$1005:$BQ$1005,1,MATCH(COLUMNS($AO$1006:BP1006),$AO$1006:$BQ$1006,0))&gt;=100000), " ",IF(INDEX($AO$2:$BQ$1001,MATCH(ROWS($AH$2:AH254),$AH$2:$AH$1001,0),MATCH(COLUMNS($AO$1006:BP1006),$AO$1006:$BQ$1006,0)), HYPERLINK("#",""), HYPERLINK(CONCATENATE("#Metadata!", ADDRESS(INDEX($AJ$2:$AJ$1001,MATCH(ROWS($AH$2:AH254),$AH$2:$AH$1001,0),0), INDEX($AO$1004:$BQ$1004,1,MATCH(COLUMNS($AO$1006:BP1006),$AO$1006:$BQ$1006,0)))),"Fix")))</f>
        <v>#N/A</v>
      </c>
      <c r="AD254" s="5" t="e">
        <f ca="1">IF(OR(INDEX($AI$2:$AI$1001,MATCH(ROWS($AH$2:AH254),$AH$2:$AH$1001,0),1)&gt;=100000,INDEX($AO$1005:$BQ$1005,1,MATCH(COLUMNS($AO$1006:BQ1006),$AO$1006:$BQ$1006,0))&gt;=100000), " ",IF(INDEX($AO$2:$BQ$1001,MATCH(ROWS($AH$2:AH254),$AH$2:$AH$1001,0),MATCH(COLUMNS($AO$1006:BQ1006),$AO$1006:$BQ$1006,0)), HYPERLINK("#",""), HYPERLINK(CONCATENATE("#Metadata!", ADDRESS(INDEX($AJ$2:$AJ$1001,MATCH(ROWS($AH$2:AH254),$AH$2:$AH$1001,0),0), INDEX($AO$1004:$BQ$1004,1,MATCH(COLUMNS($AO$1006:BQ1006),$AO$1006:$BQ$1006,0)))),"Fix")))</f>
        <v>#REF!</v>
      </c>
      <c r="AH254">
        <f ca="1"/>
        <v>251</v>
      </c>
      <c r="AI254">
        <v>100254</v>
      </c>
      <c r="AJ254">
        <v>254</v>
      </c>
      <c r="AK254" t="b">
        <f t="shared" si="3"/>
        <v>1</v>
      </c>
      <c r="AL254" t="b">
        <f>COUNTBLANK(Metadata!B254:AD254)=COLUMNS(Metadata!B254:AD254)</f>
        <v>1</v>
      </c>
      <c r="AM254" t="str">
        <v/>
      </c>
      <c r="AO254" t="b">
        <f ca="1">AND(IF(Metadata!B254="",FALSE,TRUE),COUNTIF(Metadata!B:B, Metadata!B254) = 1,NOT(ISERROR(SUMPRODUCT(SEARCH(MID(Metadata!B254,ROW(INDIRECT("1:"&amp;LEN(Metadata!B254))), 1),"0123456789abcdefghijklmnopqrstuvwxyzABCDEFGHIJKLMNOPQRSTUVWXYZ.")))))</f>
        <v>0</v>
      </c>
      <c r="AP254" t="b">
        <f>IF(Metadata!C254="",FALSE,TRUE)</f>
        <v>0</v>
      </c>
      <c r="AQ254" t="b">
        <f>IF(Metadata!D254="",FALSE,TRUE)</f>
        <v>0</v>
      </c>
      <c r="AR254" t="b">
        <f ca="1">OR(AND(IF(Metadata!E254="",FALSE,TRUE),OR(EXACT(Metadata!E254,"not collected"),EXACT(Metadata!E254,"not provided"),EXACT(Metadata!E254,"restricted access"))),AND(IF(Metadata!E254="",FALSE,TRUE),AND(AND(IFERROR(INT(LEFT(Metadata!E254,4))&gt;1900,FALSE),IFERROR(INT(LEFT(Metadata!E254,4))&lt;=YEAR(NOW()),FALSE)), OR(MID(Metadata!E254,5,1)="", AND(AND(MID(Metadata!E254,5,1)="-",IFERROR(INT(MID(Metadata!E254,6,1))&gt;=0,FALSE),IFERROR(INT(MID(Metadata!E254,6,1))&lt;=1,FALSE),NOT(MID(Metadata!E254,7,1)=""),IFERROR(INT(MID(Metadata!E254,6,2))&gt;=1,FALSE),IFERROR(INT(MID(Metadata!E254,6,2))&lt;=12,FALSE)), OR(MID(Metadata!E254,8,1)="", AND(AND(MID(Metadata!E254,8,1)="-",IFERROR(INT(MID(Metadata!E254,9,1))&gt;=0,FALSE),IFERROR(INT(MID(Metadata!E254,9,1))&lt;=3,FALSE),NOT(MID(Metadata!E254,10,1)=""),IFERROR(INT(MID(Metadata!E254,9,2))&gt;=1,FALSE),IFERROR(INT(MID(Metadata!E254,9,2))&lt;=31,FALSE)), OR(MID(Metadata!E254,11,1)="", AND(AND(MID(Metadata!E254,11,1)=" ",IFERROR(INT(MID(Metadata!E254,12,1))&gt;=0,FALSE),IFERROR(INT(MID(Metadata!E254,12,1))&lt;=2,FALSE),NOT(MID(Metadata!E254,13,1)=""),IFERROR(INT(MID(Metadata!E254,12,2))&gt;=0,FALSE),IFERROR(INT(MID(Metadata!E254,12,2))&lt;=23,FALSE)), OR(MID(Metadata!E254,14,1)="", AND(AND(MID(Metadata!E254,14,1)=":",IFERROR(INT(MID(Metadata!E254,15,1))&gt;=0,FALSE),IFERROR(INT(MID(Metadata!E254,15,1))&lt;=5,FALSE),NOT(MID(Metadata!E254,16,1)=""),IFERROR(INT(MID(Metadata!E254,15,2))&gt;=0,FALSE),IFERROR(INT(MID(Metadata!E254,15,2))&lt;=59,FALSE)), OR(MID(Metadata!E254,17,1)="", AND(AND(MID(Metadata!E254,17,1)=":",IFERROR(INT(MID(Metadata!E254,18,1))&gt;=0,FALSE),IFERROR(INT(MID(Metadata!E254,18,1))&lt;=5,FALSE),NOT(MID(Metadata!E254,19,1)=""),IFERROR(INT(MID(Metadata!E254,18,2))&gt;=0,FALSE),IFERROR(INT(MID(Metadata!E254,18,2))&lt;=59,FALSE)), LEN(Metadata!E254)&lt;=19)))))))))))))</f>
        <v>0</v>
      </c>
      <c r="AS254" t="b">
        <f>IF(Metadata!F254="",FALSE,TRUE)</f>
        <v>0</v>
      </c>
      <c r="AT254" t="b">
        <f>OR(AND(IF(Metadata!G254="",FALSE,TRUE),OR(EXACT(Metadata!G254,"not collected"),EXACT(Metadata!G254,"not provided"))),AND(IF(Metadata!G254="",FALSE,TRUE),OR(EXACT(Metadata!G254,"TRUE"),EXACT(Metadata!G254,"FALSE"))))</f>
        <v>0</v>
      </c>
      <c r="AU254" t="b">
        <f>OR(AND(IF(Metadata!H254="",FALSE,TRUE),OR(EXACT(Metadata!H254,"not collected"),EXACT(Metadata!H254,"not provided"),EXACT(Metadata!H254,"restricted access"))),AND(IF(Metadata!H254="",FALSE,ISNUMBER(VALUE(Metadata!H254))),Metadata!H254&gt;=-413))</f>
        <v>0</v>
      </c>
      <c r="AV254" t="b">
        <f>AND(IF(Metadata!I254="",FALSE,TRUE),EXACT(Metadata!I254,"meters"))</f>
        <v>0</v>
      </c>
      <c r="AW254" t="b">
        <f>AND(IF(Metadata!J254="",FALSE,TRUE),EXACT(Metadata!J254,"free-living"))</f>
        <v>0</v>
      </c>
      <c r="AX254" t="b">
        <f>AND(IF(Metadata!K254="",FALSE,TRUE),OR(EXACT(Metadata!K254,"saline"),EXACT(Metadata!K254,"non-saline")))</f>
        <v>0</v>
      </c>
      <c r="AY254" t="b">
        <f>AND(IF(Metadata!L254="",FALSE,TRUE),OR(EXACT(Metadata!L254,"sub-surface (non-saline)"),EXACT(Metadata!L254,"surface (non-saline)"),EXACT(Metadata!L254,"water (non-saline)"),EXACT(Metadata!L254,"soil (non-saline)"),EXACT(Metadata!L254,"aerosol (non-saline)"),EXACT(Metadata!L254,"sediment (non-saline)"),EXACT(Metadata!L254,"surface (saline)"),EXACT(Metadata!L254,"water (saline)"),EXACT(Metadata!L254,"hypersaline (saline)"),EXACT(Metadata!L254,"aerosol (saline)"),EXACT(Metadata!L254,"sediment (saline)")))</f>
        <v>0</v>
      </c>
      <c r="AZ254" t="b">
        <f>IF(Metadata!M254="",FALSE,TRUE)</f>
        <v>0</v>
      </c>
      <c r="BA254" t="b">
        <f>IF(Metadata!N254="",FALSE,TRUE)</f>
        <v>0</v>
      </c>
      <c r="BB254" t="b">
        <f>IF(Metadata!O254="",FALSE,TRUE)</f>
        <v>0</v>
      </c>
      <c r="BC254" t="b">
        <f>AND(IF(Metadata!P254="",FALSE,TRUE),OR(EXACT(Metadata!P254,"air"),EXACT(Metadata!P254,"microbial mat/biofilm"),EXACT(Metadata!P254,"misc environment"),EXACT(Metadata!P254,"sediment"),EXACT(Metadata!P254,"soil"),EXACT(Metadata!P254,"wastewater/sludge"),EXACT(Metadata!P254,"water")))</f>
        <v>0</v>
      </c>
      <c r="BD254" t="b">
        <f>IF(Metadata!Q254="",FALSE,TRUE)</f>
        <v>0</v>
      </c>
      <c r="BE254" t="b">
        <f>IF(Metadata!R254="",FALSE,TRUE)</f>
        <v>0</v>
      </c>
      <c r="BF254" t="b">
        <f>OR(AND(IF(Metadata!S254="",FALSE,TRUE),OR(EXACT(Metadata!S254,"not collected"),EXACT(Metadata!S254,"not provided"),EXACT(Metadata!S254,"restricted access"))),AND(IF(Metadata!S254="",FALSE,ISNUMBER(VALUE(Metadata!S254))),Metadata!S254&gt;=-90,Metadata!S254&lt;=90))</f>
        <v>0</v>
      </c>
      <c r="BG254" t="b">
        <f>AND(IF(Metadata!T254="",FALSE,TRUE),EXACT(Metadata!T254,"Decimal degrees"))</f>
        <v>0</v>
      </c>
      <c r="BH254" t="b">
        <f>OR(AND(IF(Metadata!U254="",FALSE,TRUE),OR(EXACT(Metadata!U254,"not applicable"),EXACT(Metadata!U254,"not collected"))),IF(Metadata!U254="",FALSE,TRUE))</f>
        <v>0</v>
      </c>
      <c r="BI254" t="b">
        <f>OR(AND(IF(Metadata!V254="",FALSE,TRUE),OR(EXACT(Metadata!V254,"not collected"),EXACT(Metadata!V254,"not provided"),EXACT(Metadata!V254,"restricted access"))),AND(IF(Metadata!V254="",FALSE,ISNUMBER(VALUE(Metadata!V254))),Metadata!V254&gt;=-180,Metadata!V254&lt;=180))</f>
        <v>0</v>
      </c>
      <c r="BJ254" t="b">
        <f>AND(IF(Metadata!W254="",FALSE,TRUE),EXACT(Metadata!W254,"Decimal degrees"))</f>
        <v>0</v>
      </c>
      <c r="BK254" t="b">
        <f>IF(Metadata!X254="",FALSE,TRUE)</f>
        <v>0</v>
      </c>
      <c r="BL254" t="b">
        <f>OR(AND(IF(Metadata!Y254="",FALSE,TRUE),OR(EXACT(Metadata!Y254,"not collected"),EXACT(Metadata!Y254,"not provided"),EXACT(Metadata!Y254,"restricted access"))),AND(IF(Metadata!Y254="",FALSE,TRUE),OR(EXACT(Metadata!Y254,"TRUE"),EXACT(Metadata!Y254,"FALSE"))))</f>
        <v>0</v>
      </c>
      <c r="BM254" t="b">
        <f>OR(AND(IF(Metadata!Z254="",FALSE,TRUE),EXACT(Metadata!Z254,"not applicable")),AND(IF(Metadata!Z254="",FALSE,TRUE),OR(EXACT(Metadata!Z254,"beer"),EXACT(Metadata!Z254,"cheese"),EXACT(Metadata!Z254,"fresh water"),EXACT(Metadata!Z254,"marine sediment"),EXACT(Metadata!Z254,"sea water"),EXACT(Metadata!Z254,"sediment"),EXACT(Metadata!Z254,"soil"),EXACT(Metadata!Z254,"waste water"))))</f>
        <v>0</v>
      </c>
      <c r="BN254" t="b">
        <f>AND(IF(Metadata!AA254="",FALSE,TRUE),EXACT(Metadata!AA254,"metagenome"))</f>
        <v>0</v>
      </c>
      <c r="BO254" t="b">
        <f>AND(IF(Metadata!AB254="",FALSE,TRUE),EXACT(Metadata!AB254,"256318"))</f>
        <v>0</v>
      </c>
      <c r="BP254" t="b">
        <f>IF(Metadata!AC254="",FALSE,TRUE)</f>
        <v>0</v>
      </c>
      <c r="BQ254" t="b">
        <f>IF(Metadata!AD254="",FALSE,TRUE)</f>
        <v>0</v>
      </c>
    </row>
    <row r="255" spans="1:69" x14ac:dyDescent="0.2">
      <c r="A255" s="4" t="e">
        <f ca="1">IF(B255=" "," ",HYPERLINK(CONCATENATE("#metadata!",ADDRESS(INDEX($AJ$2:$AJ$1001,MATCH(ROWS($AH$2:AH255),$AH$2:$AH$1001,0),0),2)),INDEX($AM$2:$AM$1001,MATCH(ROWS($AH$2:AH255),$AH$2:$AH$1001,0),0)))</f>
        <v>#N/A</v>
      </c>
      <c r="B255" s="5" t="e">
        <f ca="1">IF(OR(INDEX($AI$2:$AI$1001,MATCH(ROWS($AH$2:AH255),$AH$2:$AH$1001,0),1)&gt;=100000,INDEX($AO$1005:$BQ$1005,1,MATCH(COLUMNS($AO$1006:AO1006),$AO$1006:$BQ$1006,0))&gt;=100000), " ",IF(INDEX($AO$2:$BQ$1001,MATCH(ROWS($AH$2:AH255),$AH$2:$AH$1001,0),MATCH(COLUMNS($AO$1006:AO1006),$AO$1006:$BQ$1006,0)), HYPERLINK("#",""), HYPERLINK(CONCATENATE("#Metadata!", ADDRESS(INDEX($AJ$2:$AJ$1001,MATCH(ROWS($AH$2:AH255),$AH$2:$AH$1001,0),0), INDEX($AO$1004:$BQ$1004,1,MATCH(COLUMNS($AO$1006:AO1006),$AO$1006:$BQ$1006,0)))),"Fix")))</f>
        <v>#N/A</v>
      </c>
      <c r="C255" s="5" t="e">
        <f ca="1">IF(OR(INDEX($AI$2:$AI$1001,MATCH(ROWS($AH$2:AH255),$AH$2:$AH$1001,0),1)&gt;=100000,INDEX($AO$1005:$BQ$1005,1,MATCH(COLUMNS($AO$1006:AP1006),$AO$1006:$BQ$1006,0))&gt;=100000), " ",IF(INDEX($AO$2:$BQ$1001,MATCH(ROWS($AH$2:AH255),$AH$2:$AH$1001,0),MATCH(COLUMNS($AO$1006:AP1006),$AO$1006:$BQ$1006,0)), HYPERLINK("#",""), HYPERLINK(CONCATENATE("#Metadata!", ADDRESS(INDEX($AJ$2:$AJ$1001,MATCH(ROWS($AH$2:AH255),$AH$2:$AH$1001,0),0), INDEX($AO$1004:$BQ$1004,1,MATCH(COLUMNS($AO$1006:AP1006),$AO$1006:$BQ$1006,0)))),"Fix")))</f>
        <v>#N/A</v>
      </c>
      <c r="D255" s="5" t="e">
        <f ca="1">IF(OR(INDEX($AI$2:$AI$1001,MATCH(ROWS($AH$2:AH255),$AH$2:$AH$1001,0),1)&gt;=100000,INDEX($AO$1005:$BQ$1005,1,MATCH(COLUMNS($AO$1006:AQ1006),$AO$1006:$BQ$1006,0))&gt;=100000), " ",IF(INDEX($AO$2:$BQ$1001,MATCH(ROWS($AH$2:AH255),$AH$2:$AH$1001,0),MATCH(COLUMNS($AO$1006:AQ1006),$AO$1006:$BQ$1006,0)), HYPERLINK("#",""), HYPERLINK(CONCATENATE("#Metadata!", ADDRESS(INDEX($AJ$2:$AJ$1001,MATCH(ROWS($AH$2:AH255),$AH$2:$AH$1001,0),0), INDEX($AO$1004:$BQ$1004,1,MATCH(COLUMNS($AO$1006:AQ1006),$AO$1006:$BQ$1006,0)))),"Fix")))</f>
        <v>#N/A</v>
      </c>
      <c r="E255" s="5" t="e">
        <f ca="1">IF(OR(INDEX($AI$2:$AI$1001,MATCH(ROWS($AH$2:AH255),$AH$2:$AH$1001,0),1)&gt;=100000,INDEX($AO$1005:$BQ$1005,1,MATCH(COLUMNS($AO$1006:AR1006),$AO$1006:$BQ$1006,0))&gt;=100000), " ",IF(INDEX($AO$2:$BQ$1001,MATCH(ROWS($AH$2:AH255),$AH$2:$AH$1001,0),MATCH(COLUMNS($AO$1006:AR1006),$AO$1006:$BQ$1006,0)), HYPERLINK("#",""), HYPERLINK(CONCATENATE("#Metadata!", ADDRESS(INDEX($AJ$2:$AJ$1001,MATCH(ROWS($AH$2:AH255),$AH$2:$AH$1001,0),0), INDEX($AO$1004:$BQ$1004,1,MATCH(COLUMNS($AO$1006:AR1006),$AO$1006:$BQ$1006,0)))),"Fix")))</f>
        <v>#N/A</v>
      </c>
      <c r="F255" s="5" t="e">
        <f ca="1">IF(OR(INDEX($AI$2:$AI$1001,MATCH(ROWS($AH$2:AH255),$AH$2:$AH$1001,0),1)&gt;=100000,INDEX($AO$1005:$BQ$1005,1,MATCH(COLUMNS($AO$1006:AS1006),$AO$1006:$BQ$1006,0))&gt;=100000), " ",IF(INDEX($AO$2:$BQ$1001,MATCH(ROWS($AH$2:AH255),$AH$2:$AH$1001,0),MATCH(COLUMNS($AO$1006:AS1006),$AO$1006:$BQ$1006,0)), HYPERLINK("#",""), HYPERLINK(CONCATENATE("#Metadata!", ADDRESS(INDEX($AJ$2:$AJ$1001,MATCH(ROWS($AH$2:AH255),$AH$2:$AH$1001,0),0), INDEX($AO$1004:$BQ$1004,1,MATCH(COLUMNS($AO$1006:AS1006),$AO$1006:$BQ$1006,0)))),"Fix")))</f>
        <v>#N/A</v>
      </c>
      <c r="G255" s="5" t="e">
        <f ca="1">IF(OR(INDEX($AI$2:$AI$1001,MATCH(ROWS($AH$2:AH255),$AH$2:$AH$1001,0),1)&gt;=100000,INDEX($AO$1005:$BQ$1005,1,MATCH(COLUMNS($AO$1006:AT1006),$AO$1006:$BQ$1006,0))&gt;=100000), " ",IF(INDEX($AO$2:$BQ$1001,MATCH(ROWS($AH$2:AH255),$AH$2:$AH$1001,0),MATCH(COLUMNS($AO$1006:AT1006),$AO$1006:$BQ$1006,0)), HYPERLINK("#",""), HYPERLINK(CONCATENATE("#Metadata!", ADDRESS(INDEX($AJ$2:$AJ$1001,MATCH(ROWS($AH$2:AH255),$AH$2:$AH$1001,0),0), INDEX($AO$1004:$BQ$1004,1,MATCH(COLUMNS($AO$1006:AT1006),$AO$1006:$BQ$1006,0)))),"Fix")))</f>
        <v>#N/A</v>
      </c>
      <c r="H255" s="5" t="e">
        <f ca="1">IF(OR(INDEX($AI$2:$AI$1001,MATCH(ROWS($AH$2:AH255),$AH$2:$AH$1001,0),1)&gt;=100000,INDEX($AO$1005:$BQ$1005,1,MATCH(COLUMNS($AO$1006:AU1006),$AO$1006:$BQ$1006,0))&gt;=100000), " ",IF(INDEX($AO$2:$BQ$1001,MATCH(ROWS($AH$2:AH255),$AH$2:$AH$1001,0),MATCH(COLUMNS($AO$1006:AU1006),$AO$1006:$BQ$1006,0)), HYPERLINK("#",""), HYPERLINK(CONCATENATE("#Metadata!", ADDRESS(INDEX($AJ$2:$AJ$1001,MATCH(ROWS($AH$2:AH255),$AH$2:$AH$1001,0),0), INDEX($AO$1004:$BQ$1004,1,MATCH(COLUMNS($AO$1006:AU1006),$AO$1006:$BQ$1006,0)))),"Fix")))</f>
        <v>#N/A</v>
      </c>
      <c r="I255" s="5" t="e">
        <f ca="1">IF(OR(INDEX($AI$2:$AI$1001,MATCH(ROWS($AH$2:AH255),$AH$2:$AH$1001,0),1)&gt;=100000,INDEX($AO$1005:$BQ$1005,1,MATCH(COLUMNS($AO$1006:AV1006),$AO$1006:$BQ$1006,0))&gt;=100000), " ",IF(INDEX($AO$2:$BQ$1001,MATCH(ROWS($AH$2:AH255),$AH$2:$AH$1001,0),MATCH(COLUMNS($AO$1006:AV1006),$AO$1006:$BQ$1006,0)), HYPERLINK("#",""), HYPERLINK(CONCATENATE("#Metadata!", ADDRESS(INDEX($AJ$2:$AJ$1001,MATCH(ROWS($AH$2:AH255),$AH$2:$AH$1001,0),0), INDEX($AO$1004:$BQ$1004,1,MATCH(COLUMNS($AO$1006:AV1006),$AO$1006:$BQ$1006,0)))),"Fix")))</f>
        <v>#N/A</v>
      </c>
      <c r="J255" s="5" t="e">
        <f ca="1">IF(OR(INDEX($AI$2:$AI$1001,MATCH(ROWS($AH$2:AH255),$AH$2:$AH$1001,0),1)&gt;=100000,INDEX($AO$1005:$BQ$1005,1,MATCH(COLUMNS($AO$1006:AW1006),$AO$1006:$BQ$1006,0))&gt;=100000), " ",IF(INDEX($AO$2:$BQ$1001,MATCH(ROWS($AH$2:AH255),$AH$2:$AH$1001,0),MATCH(COLUMNS($AO$1006:AW1006),$AO$1006:$BQ$1006,0)), HYPERLINK("#",""), HYPERLINK(CONCATENATE("#Metadata!", ADDRESS(INDEX($AJ$2:$AJ$1001,MATCH(ROWS($AH$2:AH255),$AH$2:$AH$1001,0),0), INDEX($AO$1004:$BQ$1004,1,MATCH(COLUMNS($AO$1006:AW1006),$AO$1006:$BQ$1006,0)))),"Fix")))</f>
        <v>#N/A</v>
      </c>
      <c r="K255" s="5" t="e">
        <f ca="1">IF(OR(INDEX($AI$2:$AI$1001,MATCH(ROWS($AH$2:AH255),$AH$2:$AH$1001,0),1)&gt;=100000,INDEX($AO$1005:$BQ$1005,1,MATCH(COLUMNS($AO$1006:AX1006),$AO$1006:$BQ$1006,0))&gt;=100000), " ",IF(INDEX($AO$2:$BQ$1001,MATCH(ROWS($AH$2:AH255),$AH$2:$AH$1001,0),MATCH(COLUMNS($AO$1006:AX1006),$AO$1006:$BQ$1006,0)), HYPERLINK("#",""), HYPERLINK(CONCATENATE("#Metadata!", ADDRESS(INDEX($AJ$2:$AJ$1001,MATCH(ROWS($AH$2:AH255),$AH$2:$AH$1001,0),0), INDEX($AO$1004:$BQ$1004,1,MATCH(COLUMNS($AO$1006:AX1006),$AO$1006:$BQ$1006,0)))),"Fix")))</f>
        <v>#N/A</v>
      </c>
      <c r="L255" s="5" t="e">
        <f ca="1">IF(OR(INDEX($AI$2:$AI$1001,MATCH(ROWS($AH$2:AH255),$AH$2:$AH$1001,0),1)&gt;=100000,INDEX($AO$1005:$BQ$1005,1,MATCH(COLUMNS($AO$1006:AY1006),$AO$1006:$BQ$1006,0))&gt;=100000), " ",IF(INDEX($AO$2:$BQ$1001,MATCH(ROWS($AH$2:AH255),$AH$2:$AH$1001,0),MATCH(COLUMNS($AO$1006:AY1006),$AO$1006:$BQ$1006,0)), HYPERLINK("#",""), HYPERLINK(CONCATENATE("#Metadata!", ADDRESS(INDEX($AJ$2:$AJ$1001,MATCH(ROWS($AH$2:AH255),$AH$2:$AH$1001,0),0), INDEX($AO$1004:$BQ$1004,1,MATCH(COLUMNS($AO$1006:AY1006),$AO$1006:$BQ$1006,0)))),"Fix")))</f>
        <v>#N/A</v>
      </c>
      <c r="M255" s="5" t="e">
        <f ca="1">IF(OR(INDEX($AI$2:$AI$1001,MATCH(ROWS($AH$2:AH255),$AH$2:$AH$1001,0),1)&gt;=100000,INDEX($AO$1005:$BQ$1005,1,MATCH(COLUMNS($AO$1006:AZ1006),$AO$1006:$BQ$1006,0))&gt;=100000), " ",IF(INDEX($AO$2:$BQ$1001,MATCH(ROWS($AH$2:AH255),$AH$2:$AH$1001,0),MATCH(COLUMNS($AO$1006:AZ1006),$AO$1006:$BQ$1006,0)), HYPERLINK("#",""), HYPERLINK(CONCATENATE("#Metadata!", ADDRESS(INDEX($AJ$2:$AJ$1001,MATCH(ROWS($AH$2:AH255),$AH$2:$AH$1001,0),0), INDEX($AO$1004:$BQ$1004,1,MATCH(COLUMNS($AO$1006:AZ1006),$AO$1006:$BQ$1006,0)))),"Fix")))</f>
        <v>#N/A</v>
      </c>
      <c r="N255" s="5" t="e">
        <f ca="1">IF(OR(INDEX($AI$2:$AI$1001,MATCH(ROWS($AH$2:AH255),$AH$2:$AH$1001,0),1)&gt;=100000,INDEX($AO$1005:$BQ$1005,1,MATCH(COLUMNS($AO$1006:BA1006),$AO$1006:$BQ$1006,0))&gt;=100000), " ",IF(INDEX($AO$2:$BQ$1001,MATCH(ROWS($AH$2:AH255),$AH$2:$AH$1001,0),MATCH(COLUMNS($AO$1006:BA1006),$AO$1006:$BQ$1006,0)), HYPERLINK("#",""), HYPERLINK(CONCATENATE("#Metadata!", ADDRESS(INDEX($AJ$2:$AJ$1001,MATCH(ROWS($AH$2:AH255),$AH$2:$AH$1001,0),0), INDEX($AO$1004:$BQ$1004,1,MATCH(COLUMNS($AO$1006:BA1006),$AO$1006:$BQ$1006,0)))),"Fix")))</f>
        <v>#N/A</v>
      </c>
      <c r="O255" s="5" t="e">
        <f ca="1">IF(OR(INDEX($AI$2:$AI$1001,MATCH(ROWS($AH$2:AH255),$AH$2:$AH$1001,0),1)&gt;=100000,INDEX($AO$1005:$BQ$1005,1,MATCH(COLUMNS($AO$1006:BB1006),$AO$1006:$BQ$1006,0))&gt;=100000), " ",IF(INDEX($AO$2:$BQ$1001,MATCH(ROWS($AH$2:AH255),$AH$2:$AH$1001,0),MATCH(COLUMNS($AO$1006:BB1006),$AO$1006:$BQ$1006,0)), HYPERLINK("#",""), HYPERLINK(CONCATENATE("#Metadata!", ADDRESS(INDEX($AJ$2:$AJ$1001,MATCH(ROWS($AH$2:AH255),$AH$2:$AH$1001,0),0), INDEX($AO$1004:$BQ$1004,1,MATCH(COLUMNS($AO$1006:BB1006),$AO$1006:$BQ$1006,0)))),"Fix")))</f>
        <v>#N/A</v>
      </c>
      <c r="P255" s="5" t="e">
        <f ca="1">IF(OR(INDEX($AI$2:$AI$1001,MATCH(ROWS($AH$2:AH255),$AH$2:$AH$1001,0),1)&gt;=100000,INDEX($AO$1005:$BQ$1005,1,MATCH(COLUMNS($AO$1006:BC1006),$AO$1006:$BQ$1006,0))&gt;=100000), " ",IF(INDEX($AO$2:$BQ$1001,MATCH(ROWS($AH$2:AH255),$AH$2:$AH$1001,0),MATCH(COLUMNS($AO$1006:BC1006),$AO$1006:$BQ$1006,0)), HYPERLINK("#",""), HYPERLINK(CONCATENATE("#Metadata!", ADDRESS(INDEX($AJ$2:$AJ$1001,MATCH(ROWS($AH$2:AH255),$AH$2:$AH$1001,0),0), INDEX($AO$1004:$BQ$1004,1,MATCH(COLUMNS($AO$1006:BC1006),$AO$1006:$BQ$1006,0)))),"Fix")))</f>
        <v>#N/A</v>
      </c>
      <c r="Q255" s="5" t="e">
        <f ca="1">IF(OR(INDEX($AI$2:$AI$1001,MATCH(ROWS($AH$2:AH255),$AH$2:$AH$1001,0),1)&gt;=100000,INDEX($AO$1005:$BQ$1005,1,MATCH(COLUMNS($AO$1006:BD1006),$AO$1006:$BQ$1006,0))&gt;=100000), " ",IF(INDEX($AO$2:$BQ$1001,MATCH(ROWS($AH$2:AH255),$AH$2:$AH$1001,0),MATCH(COLUMNS($AO$1006:BD1006),$AO$1006:$BQ$1006,0)), HYPERLINK("#",""), HYPERLINK(CONCATENATE("#Metadata!", ADDRESS(INDEX($AJ$2:$AJ$1001,MATCH(ROWS($AH$2:AH255),$AH$2:$AH$1001,0),0), INDEX($AO$1004:$BQ$1004,1,MATCH(COLUMNS($AO$1006:BD1006),$AO$1006:$BQ$1006,0)))),"Fix")))</f>
        <v>#N/A</v>
      </c>
      <c r="R255" s="5" t="e">
        <f ca="1">IF(OR(INDEX($AI$2:$AI$1001,MATCH(ROWS($AH$2:AH255),$AH$2:$AH$1001,0),1)&gt;=100000,INDEX($AO$1005:$BQ$1005,1,MATCH(COLUMNS($AO$1006:BE1006),$AO$1006:$BQ$1006,0))&gt;=100000), " ",IF(INDEX($AO$2:$BQ$1001,MATCH(ROWS($AH$2:AH255),$AH$2:$AH$1001,0),MATCH(COLUMNS($AO$1006:BE1006),$AO$1006:$BQ$1006,0)), HYPERLINK("#",""), HYPERLINK(CONCATENATE("#Metadata!", ADDRESS(INDEX($AJ$2:$AJ$1001,MATCH(ROWS($AH$2:AH255),$AH$2:$AH$1001,0),0), INDEX($AO$1004:$BQ$1004,1,MATCH(COLUMNS($AO$1006:BE1006),$AO$1006:$BQ$1006,0)))),"Fix")))</f>
        <v>#N/A</v>
      </c>
      <c r="S255" s="5" t="e">
        <f ca="1">IF(OR(INDEX($AI$2:$AI$1001,MATCH(ROWS($AH$2:AH255),$AH$2:$AH$1001,0),1)&gt;=100000,INDEX($AO$1005:$BQ$1005,1,MATCH(COLUMNS($AO$1006:BF1006),$AO$1006:$BQ$1006,0))&gt;=100000), " ",IF(INDEX($AO$2:$BQ$1001,MATCH(ROWS($AH$2:AH255),$AH$2:$AH$1001,0),MATCH(COLUMNS($AO$1006:BF1006),$AO$1006:$BQ$1006,0)), HYPERLINK("#",""), HYPERLINK(CONCATENATE("#Metadata!", ADDRESS(INDEX($AJ$2:$AJ$1001,MATCH(ROWS($AH$2:AH255),$AH$2:$AH$1001,0),0), INDEX($AO$1004:$BQ$1004,1,MATCH(COLUMNS($AO$1006:BF1006),$AO$1006:$BQ$1006,0)))),"Fix")))</f>
        <v>#N/A</v>
      </c>
      <c r="T255" s="5" t="e">
        <f ca="1">IF(OR(INDEX($AI$2:$AI$1001,MATCH(ROWS($AH$2:AH255),$AH$2:$AH$1001,0),1)&gt;=100000,INDEX($AO$1005:$BQ$1005,1,MATCH(COLUMNS($AO$1006:BG1006),$AO$1006:$BQ$1006,0))&gt;=100000), " ",IF(INDEX($AO$2:$BQ$1001,MATCH(ROWS($AH$2:AH255),$AH$2:$AH$1001,0),MATCH(COLUMNS($AO$1006:BG1006),$AO$1006:$BQ$1006,0)), HYPERLINK("#",""), HYPERLINK(CONCATENATE("#Metadata!", ADDRESS(INDEX($AJ$2:$AJ$1001,MATCH(ROWS($AH$2:AH255),$AH$2:$AH$1001,0),0), INDEX($AO$1004:$BQ$1004,1,MATCH(COLUMNS($AO$1006:BG1006),$AO$1006:$BQ$1006,0)))),"Fix")))</f>
        <v>#N/A</v>
      </c>
      <c r="U255" s="5" t="e">
        <f ca="1">IF(OR(INDEX($AI$2:$AI$1001,MATCH(ROWS($AH$2:AH255),$AH$2:$AH$1001,0),1)&gt;=100000,INDEX($AO$1005:$BQ$1005,1,MATCH(COLUMNS($AO$1006:BH1006),$AO$1006:$BQ$1006,0))&gt;=100000), " ",IF(INDEX($AO$2:$BQ$1001,MATCH(ROWS($AH$2:AH255),$AH$2:$AH$1001,0),MATCH(COLUMNS($AO$1006:BH1006),$AO$1006:$BQ$1006,0)), HYPERLINK("#",""), HYPERLINK(CONCATENATE("#Metadata!", ADDRESS(INDEX($AJ$2:$AJ$1001,MATCH(ROWS($AH$2:AH255),$AH$2:$AH$1001,0),0), INDEX($AO$1004:$BQ$1004,1,MATCH(COLUMNS($AO$1006:BH1006),$AO$1006:$BQ$1006,0)))),"Fix")))</f>
        <v>#N/A</v>
      </c>
      <c r="V255" s="5" t="e">
        <f ca="1">IF(OR(INDEX($AI$2:$AI$1001,MATCH(ROWS($AH$2:AH255),$AH$2:$AH$1001,0),1)&gt;=100000,INDEX($AO$1005:$BQ$1005,1,MATCH(COLUMNS($AO$1006:BI1006),$AO$1006:$BQ$1006,0))&gt;=100000), " ",IF(INDEX($AO$2:$BQ$1001,MATCH(ROWS($AH$2:AH255),$AH$2:$AH$1001,0),MATCH(COLUMNS($AO$1006:BI1006),$AO$1006:$BQ$1006,0)), HYPERLINK("#",""), HYPERLINK(CONCATENATE("#Metadata!", ADDRESS(INDEX($AJ$2:$AJ$1001,MATCH(ROWS($AH$2:AH255),$AH$2:$AH$1001,0),0), INDEX($AO$1004:$BQ$1004,1,MATCH(COLUMNS($AO$1006:BI1006),$AO$1006:$BQ$1006,0)))),"Fix")))</f>
        <v>#N/A</v>
      </c>
      <c r="W255" s="5" t="e">
        <f ca="1">IF(OR(INDEX($AI$2:$AI$1001,MATCH(ROWS($AH$2:AH255),$AH$2:$AH$1001,0),1)&gt;=100000,INDEX($AO$1005:$BQ$1005,1,MATCH(COLUMNS($AO$1006:BJ1006),$AO$1006:$BQ$1006,0))&gt;=100000), " ",IF(INDEX($AO$2:$BQ$1001,MATCH(ROWS($AH$2:AH255),$AH$2:$AH$1001,0),MATCH(COLUMNS($AO$1006:BJ1006),$AO$1006:$BQ$1006,0)), HYPERLINK("#",""), HYPERLINK(CONCATENATE("#Metadata!", ADDRESS(INDEX($AJ$2:$AJ$1001,MATCH(ROWS($AH$2:AH255),$AH$2:$AH$1001,0),0), INDEX($AO$1004:$BQ$1004,1,MATCH(COLUMNS($AO$1006:BJ1006),$AO$1006:$BQ$1006,0)))),"Fix")))</f>
        <v>#N/A</v>
      </c>
      <c r="X255" s="5" t="e">
        <f ca="1">IF(OR(INDEX($AI$2:$AI$1001,MATCH(ROWS($AH$2:AH255),$AH$2:$AH$1001,0),1)&gt;=100000,INDEX($AO$1005:$BQ$1005,1,MATCH(COLUMNS($AO$1006:BK1006),$AO$1006:$BQ$1006,0))&gt;=100000), " ",IF(INDEX($AO$2:$BQ$1001,MATCH(ROWS($AH$2:AH255),$AH$2:$AH$1001,0),MATCH(COLUMNS($AO$1006:BK1006),$AO$1006:$BQ$1006,0)), HYPERLINK("#",""), HYPERLINK(CONCATENATE("#Metadata!", ADDRESS(INDEX($AJ$2:$AJ$1001,MATCH(ROWS($AH$2:AH255),$AH$2:$AH$1001,0),0), INDEX($AO$1004:$BQ$1004,1,MATCH(COLUMNS($AO$1006:BK1006),$AO$1006:$BQ$1006,0)))),"Fix")))</f>
        <v>#N/A</v>
      </c>
      <c r="Y255" s="5" t="e">
        <f ca="1">IF(OR(INDEX($AI$2:$AI$1001,MATCH(ROWS($AH$2:AH255),$AH$2:$AH$1001,0),1)&gt;=100000,INDEX($AO$1005:$BQ$1005,1,MATCH(COLUMNS($AO$1006:BL1006),$AO$1006:$BQ$1006,0))&gt;=100000), " ",IF(INDEX($AO$2:$BQ$1001,MATCH(ROWS($AH$2:AH255),$AH$2:$AH$1001,0),MATCH(COLUMNS($AO$1006:BL1006),$AO$1006:$BQ$1006,0)), HYPERLINK("#",""), HYPERLINK(CONCATENATE("#Metadata!", ADDRESS(INDEX($AJ$2:$AJ$1001,MATCH(ROWS($AH$2:AH255),$AH$2:$AH$1001,0),0), INDEX($AO$1004:$BQ$1004,1,MATCH(COLUMNS($AO$1006:BL1006),$AO$1006:$BQ$1006,0)))),"Fix")))</f>
        <v>#N/A</v>
      </c>
      <c r="Z255" s="5" t="e">
        <f ca="1">IF(OR(INDEX($AI$2:$AI$1001,MATCH(ROWS($AH$2:AH255),$AH$2:$AH$1001,0),1)&gt;=100000,INDEX($AO$1005:$BQ$1005,1,MATCH(COLUMNS($AO$1006:BM1006),$AO$1006:$BQ$1006,0))&gt;=100000), " ",IF(INDEX($AO$2:$BQ$1001,MATCH(ROWS($AH$2:AH255),$AH$2:$AH$1001,0),MATCH(COLUMNS($AO$1006:BM1006),$AO$1006:$BQ$1006,0)), HYPERLINK("#",""), HYPERLINK(CONCATENATE("#Metadata!", ADDRESS(INDEX($AJ$2:$AJ$1001,MATCH(ROWS($AH$2:AH255),$AH$2:$AH$1001,0),0), INDEX($AO$1004:$BQ$1004,1,MATCH(COLUMNS($AO$1006:BM1006),$AO$1006:$BQ$1006,0)))),"Fix")))</f>
        <v>#N/A</v>
      </c>
      <c r="AA255" s="5" t="e">
        <f ca="1">IF(OR(INDEX($AI$2:$AI$1001,MATCH(ROWS($AH$2:AH255),$AH$2:$AH$1001,0),1)&gt;=100000,INDEX($AO$1005:$BQ$1005,1,MATCH(COLUMNS($AO$1006:BN1006),$AO$1006:$BQ$1006,0))&gt;=100000), " ",IF(INDEX($AO$2:$BQ$1001,MATCH(ROWS($AH$2:AH255),$AH$2:$AH$1001,0),MATCH(COLUMNS($AO$1006:BN1006),$AO$1006:$BQ$1006,0)), HYPERLINK("#",""), HYPERLINK(CONCATENATE("#Metadata!", ADDRESS(INDEX($AJ$2:$AJ$1001,MATCH(ROWS($AH$2:AH255),$AH$2:$AH$1001,0),0), INDEX($AO$1004:$BQ$1004,1,MATCH(COLUMNS($AO$1006:BN1006),$AO$1006:$BQ$1006,0)))),"Fix")))</f>
        <v>#N/A</v>
      </c>
      <c r="AB255" s="5" t="e">
        <f ca="1">IF(OR(INDEX($AI$2:$AI$1001,MATCH(ROWS($AH$2:AH255),$AH$2:$AH$1001,0),1)&gt;=100000,INDEX($AO$1005:$BQ$1005,1,MATCH(COLUMNS($AO$1006:BO1006),$AO$1006:$BQ$1006,0))&gt;=100000), " ",IF(INDEX($AO$2:$BQ$1001,MATCH(ROWS($AH$2:AH255),$AH$2:$AH$1001,0),MATCH(COLUMNS($AO$1006:BO1006),$AO$1006:$BQ$1006,0)), HYPERLINK("#",""), HYPERLINK(CONCATENATE("#Metadata!", ADDRESS(INDEX($AJ$2:$AJ$1001,MATCH(ROWS($AH$2:AH255),$AH$2:$AH$1001,0),0), INDEX($AO$1004:$BQ$1004,1,MATCH(COLUMNS($AO$1006:BO1006),$AO$1006:$BQ$1006,0)))),"Fix")))</f>
        <v>#N/A</v>
      </c>
      <c r="AC255" s="5" t="e">
        <f ca="1">IF(OR(INDEX($AI$2:$AI$1001,MATCH(ROWS($AH$2:AH255),$AH$2:$AH$1001,0),1)&gt;=100000,INDEX($AO$1005:$BQ$1005,1,MATCH(COLUMNS($AO$1006:BP1006),$AO$1006:$BQ$1006,0))&gt;=100000), " ",IF(INDEX($AO$2:$BQ$1001,MATCH(ROWS($AH$2:AH255),$AH$2:$AH$1001,0),MATCH(COLUMNS($AO$1006:BP1006),$AO$1006:$BQ$1006,0)), HYPERLINK("#",""), HYPERLINK(CONCATENATE("#Metadata!", ADDRESS(INDEX($AJ$2:$AJ$1001,MATCH(ROWS($AH$2:AH255),$AH$2:$AH$1001,0),0), INDEX($AO$1004:$BQ$1004,1,MATCH(COLUMNS($AO$1006:BP1006),$AO$1006:$BQ$1006,0)))),"Fix")))</f>
        <v>#N/A</v>
      </c>
      <c r="AD255" s="5" t="e">
        <f ca="1">IF(OR(INDEX($AI$2:$AI$1001,MATCH(ROWS($AH$2:AH255),$AH$2:$AH$1001,0),1)&gt;=100000,INDEX($AO$1005:$BQ$1005,1,MATCH(COLUMNS($AO$1006:BQ1006),$AO$1006:$BQ$1006,0))&gt;=100000), " ",IF(INDEX($AO$2:$BQ$1001,MATCH(ROWS($AH$2:AH255),$AH$2:$AH$1001,0),MATCH(COLUMNS($AO$1006:BQ1006),$AO$1006:$BQ$1006,0)), HYPERLINK("#",""), HYPERLINK(CONCATENATE("#Metadata!", ADDRESS(INDEX($AJ$2:$AJ$1001,MATCH(ROWS($AH$2:AH255),$AH$2:$AH$1001,0),0), INDEX($AO$1004:$BQ$1004,1,MATCH(COLUMNS($AO$1006:BQ1006),$AO$1006:$BQ$1006,0)))),"Fix")))</f>
        <v>#REF!</v>
      </c>
      <c r="AH255">
        <f ca="1"/>
        <v>252</v>
      </c>
      <c r="AI255">
        <v>100255</v>
      </c>
      <c r="AJ255">
        <v>255</v>
      </c>
      <c r="AK255" t="b">
        <f t="shared" si="3"/>
        <v>1</v>
      </c>
      <c r="AL255" t="b">
        <f>COUNTBLANK(Metadata!B255:AD255)=COLUMNS(Metadata!B255:AD255)</f>
        <v>1</v>
      </c>
      <c r="AM255" t="str">
        <v/>
      </c>
      <c r="AO255" t="b">
        <f ca="1">AND(IF(Metadata!B255="",FALSE,TRUE),COUNTIF(Metadata!B:B, Metadata!B255) = 1,NOT(ISERROR(SUMPRODUCT(SEARCH(MID(Metadata!B255,ROW(INDIRECT("1:"&amp;LEN(Metadata!B255))), 1),"0123456789abcdefghijklmnopqrstuvwxyzABCDEFGHIJKLMNOPQRSTUVWXYZ.")))))</f>
        <v>0</v>
      </c>
      <c r="AP255" t="b">
        <f>IF(Metadata!C255="",FALSE,TRUE)</f>
        <v>0</v>
      </c>
      <c r="AQ255" t="b">
        <f>IF(Metadata!D255="",FALSE,TRUE)</f>
        <v>0</v>
      </c>
      <c r="AR255" t="b">
        <f ca="1">OR(AND(IF(Metadata!E255="",FALSE,TRUE),OR(EXACT(Metadata!E255,"not collected"),EXACT(Metadata!E255,"not provided"),EXACT(Metadata!E255,"restricted access"))),AND(IF(Metadata!E255="",FALSE,TRUE),AND(AND(IFERROR(INT(LEFT(Metadata!E255,4))&gt;1900,FALSE),IFERROR(INT(LEFT(Metadata!E255,4))&lt;=YEAR(NOW()),FALSE)), OR(MID(Metadata!E255,5,1)="", AND(AND(MID(Metadata!E255,5,1)="-",IFERROR(INT(MID(Metadata!E255,6,1))&gt;=0,FALSE),IFERROR(INT(MID(Metadata!E255,6,1))&lt;=1,FALSE),NOT(MID(Metadata!E255,7,1)=""),IFERROR(INT(MID(Metadata!E255,6,2))&gt;=1,FALSE),IFERROR(INT(MID(Metadata!E255,6,2))&lt;=12,FALSE)), OR(MID(Metadata!E255,8,1)="", AND(AND(MID(Metadata!E255,8,1)="-",IFERROR(INT(MID(Metadata!E255,9,1))&gt;=0,FALSE),IFERROR(INT(MID(Metadata!E255,9,1))&lt;=3,FALSE),NOT(MID(Metadata!E255,10,1)=""),IFERROR(INT(MID(Metadata!E255,9,2))&gt;=1,FALSE),IFERROR(INT(MID(Metadata!E255,9,2))&lt;=31,FALSE)), OR(MID(Metadata!E255,11,1)="", AND(AND(MID(Metadata!E255,11,1)=" ",IFERROR(INT(MID(Metadata!E255,12,1))&gt;=0,FALSE),IFERROR(INT(MID(Metadata!E255,12,1))&lt;=2,FALSE),NOT(MID(Metadata!E255,13,1)=""),IFERROR(INT(MID(Metadata!E255,12,2))&gt;=0,FALSE),IFERROR(INT(MID(Metadata!E255,12,2))&lt;=23,FALSE)), OR(MID(Metadata!E255,14,1)="", AND(AND(MID(Metadata!E255,14,1)=":",IFERROR(INT(MID(Metadata!E255,15,1))&gt;=0,FALSE),IFERROR(INT(MID(Metadata!E255,15,1))&lt;=5,FALSE),NOT(MID(Metadata!E255,16,1)=""),IFERROR(INT(MID(Metadata!E255,15,2))&gt;=0,FALSE),IFERROR(INT(MID(Metadata!E255,15,2))&lt;=59,FALSE)), OR(MID(Metadata!E255,17,1)="", AND(AND(MID(Metadata!E255,17,1)=":",IFERROR(INT(MID(Metadata!E255,18,1))&gt;=0,FALSE),IFERROR(INT(MID(Metadata!E255,18,1))&lt;=5,FALSE),NOT(MID(Metadata!E255,19,1)=""),IFERROR(INT(MID(Metadata!E255,18,2))&gt;=0,FALSE),IFERROR(INT(MID(Metadata!E255,18,2))&lt;=59,FALSE)), LEN(Metadata!E255)&lt;=19)))))))))))))</f>
        <v>0</v>
      </c>
      <c r="AS255" t="b">
        <f>IF(Metadata!F255="",FALSE,TRUE)</f>
        <v>0</v>
      </c>
      <c r="AT255" t="b">
        <f>OR(AND(IF(Metadata!G255="",FALSE,TRUE),OR(EXACT(Metadata!G255,"not collected"),EXACT(Metadata!G255,"not provided"))),AND(IF(Metadata!G255="",FALSE,TRUE),OR(EXACT(Metadata!G255,"TRUE"),EXACT(Metadata!G255,"FALSE"))))</f>
        <v>0</v>
      </c>
      <c r="AU255" t="b">
        <f>OR(AND(IF(Metadata!H255="",FALSE,TRUE),OR(EXACT(Metadata!H255,"not collected"),EXACT(Metadata!H255,"not provided"),EXACT(Metadata!H255,"restricted access"))),AND(IF(Metadata!H255="",FALSE,ISNUMBER(VALUE(Metadata!H255))),Metadata!H255&gt;=-413))</f>
        <v>0</v>
      </c>
      <c r="AV255" t="b">
        <f>AND(IF(Metadata!I255="",FALSE,TRUE),EXACT(Metadata!I255,"meters"))</f>
        <v>0</v>
      </c>
      <c r="AW255" t="b">
        <f>AND(IF(Metadata!J255="",FALSE,TRUE),EXACT(Metadata!J255,"free-living"))</f>
        <v>0</v>
      </c>
      <c r="AX255" t="b">
        <f>AND(IF(Metadata!K255="",FALSE,TRUE),OR(EXACT(Metadata!K255,"saline"),EXACT(Metadata!K255,"non-saline")))</f>
        <v>0</v>
      </c>
      <c r="AY255" t="b">
        <f>AND(IF(Metadata!L255="",FALSE,TRUE),OR(EXACT(Metadata!L255,"sub-surface (non-saline)"),EXACT(Metadata!L255,"surface (non-saline)"),EXACT(Metadata!L255,"water (non-saline)"),EXACT(Metadata!L255,"soil (non-saline)"),EXACT(Metadata!L255,"aerosol (non-saline)"),EXACT(Metadata!L255,"sediment (non-saline)"),EXACT(Metadata!L255,"surface (saline)"),EXACT(Metadata!L255,"water (saline)"),EXACT(Metadata!L255,"hypersaline (saline)"),EXACT(Metadata!L255,"aerosol (saline)"),EXACT(Metadata!L255,"sediment (saline)")))</f>
        <v>0</v>
      </c>
      <c r="AZ255" t="b">
        <f>IF(Metadata!M255="",FALSE,TRUE)</f>
        <v>0</v>
      </c>
      <c r="BA255" t="b">
        <f>IF(Metadata!N255="",FALSE,TRUE)</f>
        <v>0</v>
      </c>
      <c r="BB255" t="b">
        <f>IF(Metadata!O255="",FALSE,TRUE)</f>
        <v>0</v>
      </c>
      <c r="BC255" t="b">
        <f>AND(IF(Metadata!P255="",FALSE,TRUE),OR(EXACT(Metadata!P255,"air"),EXACT(Metadata!P255,"microbial mat/biofilm"),EXACT(Metadata!P255,"misc environment"),EXACT(Metadata!P255,"sediment"),EXACT(Metadata!P255,"soil"),EXACT(Metadata!P255,"wastewater/sludge"),EXACT(Metadata!P255,"water")))</f>
        <v>0</v>
      </c>
      <c r="BD255" t="b">
        <f>IF(Metadata!Q255="",FALSE,TRUE)</f>
        <v>0</v>
      </c>
      <c r="BE255" t="b">
        <f>IF(Metadata!R255="",FALSE,TRUE)</f>
        <v>0</v>
      </c>
      <c r="BF255" t="b">
        <f>OR(AND(IF(Metadata!S255="",FALSE,TRUE),OR(EXACT(Metadata!S255,"not collected"),EXACT(Metadata!S255,"not provided"),EXACT(Metadata!S255,"restricted access"))),AND(IF(Metadata!S255="",FALSE,ISNUMBER(VALUE(Metadata!S255))),Metadata!S255&gt;=-90,Metadata!S255&lt;=90))</f>
        <v>0</v>
      </c>
      <c r="BG255" t="b">
        <f>AND(IF(Metadata!T255="",FALSE,TRUE),EXACT(Metadata!T255,"Decimal degrees"))</f>
        <v>0</v>
      </c>
      <c r="BH255" t="b">
        <f>OR(AND(IF(Metadata!U255="",FALSE,TRUE),OR(EXACT(Metadata!U255,"not applicable"),EXACT(Metadata!U255,"not collected"))),IF(Metadata!U255="",FALSE,TRUE))</f>
        <v>0</v>
      </c>
      <c r="BI255" t="b">
        <f>OR(AND(IF(Metadata!V255="",FALSE,TRUE),OR(EXACT(Metadata!V255,"not collected"),EXACT(Metadata!V255,"not provided"),EXACT(Metadata!V255,"restricted access"))),AND(IF(Metadata!V255="",FALSE,ISNUMBER(VALUE(Metadata!V255))),Metadata!V255&gt;=-180,Metadata!V255&lt;=180))</f>
        <v>0</v>
      </c>
      <c r="BJ255" t="b">
        <f>AND(IF(Metadata!W255="",FALSE,TRUE),EXACT(Metadata!W255,"Decimal degrees"))</f>
        <v>0</v>
      </c>
      <c r="BK255" t="b">
        <f>IF(Metadata!X255="",FALSE,TRUE)</f>
        <v>0</v>
      </c>
      <c r="BL255" t="b">
        <f>OR(AND(IF(Metadata!Y255="",FALSE,TRUE),OR(EXACT(Metadata!Y255,"not collected"),EXACT(Metadata!Y255,"not provided"),EXACT(Metadata!Y255,"restricted access"))),AND(IF(Metadata!Y255="",FALSE,TRUE),OR(EXACT(Metadata!Y255,"TRUE"),EXACT(Metadata!Y255,"FALSE"))))</f>
        <v>0</v>
      </c>
      <c r="BM255" t="b">
        <f>OR(AND(IF(Metadata!Z255="",FALSE,TRUE),EXACT(Metadata!Z255,"not applicable")),AND(IF(Metadata!Z255="",FALSE,TRUE),OR(EXACT(Metadata!Z255,"beer"),EXACT(Metadata!Z255,"cheese"),EXACT(Metadata!Z255,"fresh water"),EXACT(Metadata!Z255,"marine sediment"),EXACT(Metadata!Z255,"sea water"),EXACT(Metadata!Z255,"sediment"),EXACT(Metadata!Z255,"soil"),EXACT(Metadata!Z255,"waste water"))))</f>
        <v>0</v>
      </c>
      <c r="BN255" t="b">
        <f>AND(IF(Metadata!AA255="",FALSE,TRUE),EXACT(Metadata!AA255,"metagenome"))</f>
        <v>0</v>
      </c>
      <c r="BO255" t="b">
        <f>AND(IF(Metadata!AB255="",FALSE,TRUE),EXACT(Metadata!AB255,"256318"))</f>
        <v>0</v>
      </c>
      <c r="BP255" t="b">
        <f>IF(Metadata!AC255="",FALSE,TRUE)</f>
        <v>0</v>
      </c>
      <c r="BQ255" t="b">
        <f>IF(Metadata!AD255="",FALSE,TRUE)</f>
        <v>0</v>
      </c>
    </row>
    <row r="256" spans="1:69" x14ac:dyDescent="0.2">
      <c r="A256" s="4" t="e">
        <f ca="1">IF(B256=" "," ",HYPERLINK(CONCATENATE("#metadata!",ADDRESS(INDEX($AJ$2:$AJ$1001,MATCH(ROWS($AH$2:AH256),$AH$2:$AH$1001,0),0),2)),INDEX($AM$2:$AM$1001,MATCH(ROWS($AH$2:AH256),$AH$2:$AH$1001,0),0)))</f>
        <v>#N/A</v>
      </c>
      <c r="B256" s="5" t="e">
        <f ca="1">IF(OR(INDEX($AI$2:$AI$1001,MATCH(ROWS($AH$2:AH256),$AH$2:$AH$1001,0),1)&gt;=100000,INDEX($AO$1005:$BQ$1005,1,MATCH(COLUMNS($AO$1006:AO1006),$AO$1006:$BQ$1006,0))&gt;=100000), " ",IF(INDEX($AO$2:$BQ$1001,MATCH(ROWS($AH$2:AH256),$AH$2:$AH$1001,0),MATCH(COLUMNS($AO$1006:AO1006),$AO$1006:$BQ$1006,0)), HYPERLINK("#",""), HYPERLINK(CONCATENATE("#Metadata!", ADDRESS(INDEX($AJ$2:$AJ$1001,MATCH(ROWS($AH$2:AH256),$AH$2:$AH$1001,0),0), INDEX($AO$1004:$BQ$1004,1,MATCH(COLUMNS($AO$1006:AO1006),$AO$1006:$BQ$1006,0)))),"Fix")))</f>
        <v>#N/A</v>
      </c>
      <c r="C256" s="5" t="e">
        <f ca="1">IF(OR(INDEX($AI$2:$AI$1001,MATCH(ROWS($AH$2:AH256),$AH$2:$AH$1001,0),1)&gt;=100000,INDEX($AO$1005:$BQ$1005,1,MATCH(COLUMNS($AO$1006:AP1006),$AO$1006:$BQ$1006,0))&gt;=100000), " ",IF(INDEX($AO$2:$BQ$1001,MATCH(ROWS($AH$2:AH256),$AH$2:$AH$1001,0),MATCH(COLUMNS($AO$1006:AP1006),$AO$1006:$BQ$1006,0)), HYPERLINK("#",""), HYPERLINK(CONCATENATE("#Metadata!", ADDRESS(INDEX($AJ$2:$AJ$1001,MATCH(ROWS($AH$2:AH256),$AH$2:$AH$1001,0),0), INDEX($AO$1004:$BQ$1004,1,MATCH(COLUMNS($AO$1006:AP1006),$AO$1006:$BQ$1006,0)))),"Fix")))</f>
        <v>#N/A</v>
      </c>
      <c r="D256" s="5" t="e">
        <f ca="1">IF(OR(INDEX($AI$2:$AI$1001,MATCH(ROWS($AH$2:AH256),$AH$2:$AH$1001,0),1)&gt;=100000,INDEX($AO$1005:$BQ$1005,1,MATCH(COLUMNS($AO$1006:AQ1006),$AO$1006:$BQ$1006,0))&gt;=100000), " ",IF(INDEX($AO$2:$BQ$1001,MATCH(ROWS($AH$2:AH256),$AH$2:$AH$1001,0),MATCH(COLUMNS($AO$1006:AQ1006),$AO$1006:$BQ$1006,0)), HYPERLINK("#",""), HYPERLINK(CONCATENATE("#Metadata!", ADDRESS(INDEX($AJ$2:$AJ$1001,MATCH(ROWS($AH$2:AH256),$AH$2:$AH$1001,0),0), INDEX($AO$1004:$BQ$1004,1,MATCH(COLUMNS($AO$1006:AQ1006),$AO$1006:$BQ$1006,0)))),"Fix")))</f>
        <v>#N/A</v>
      </c>
      <c r="E256" s="5" t="e">
        <f ca="1">IF(OR(INDEX($AI$2:$AI$1001,MATCH(ROWS($AH$2:AH256),$AH$2:$AH$1001,0),1)&gt;=100000,INDEX($AO$1005:$BQ$1005,1,MATCH(COLUMNS($AO$1006:AR1006),$AO$1006:$BQ$1006,0))&gt;=100000), " ",IF(INDEX($AO$2:$BQ$1001,MATCH(ROWS($AH$2:AH256),$AH$2:$AH$1001,0),MATCH(COLUMNS($AO$1006:AR1006),$AO$1006:$BQ$1006,0)), HYPERLINK("#",""), HYPERLINK(CONCATENATE("#Metadata!", ADDRESS(INDEX($AJ$2:$AJ$1001,MATCH(ROWS($AH$2:AH256),$AH$2:$AH$1001,0),0), INDEX($AO$1004:$BQ$1004,1,MATCH(COLUMNS($AO$1006:AR1006),$AO$1006:$BQ$1006,0)))),"Fix")))</f>
        <v>#N/A</v>
      </c>
      <c r="F256" s="5" t="e">
        <f ca="1">IF(OR(INDEX($AI$2:$AI$1001,MATCH(ROWS($AH$2:AH256),$AH$2:$AH$1001,0),1)&gt;=100000,INDEX($AO$1005:$BQ$1005,1,MATCH(COLUMNS($AO$1006:AS1006),$AO$1006:$BQ$1006,0))&gt;=100000), " ",IF(INDEX($AO$2:$BQ$1001,MATCH(ROWS($AH$2:AH256),$AH$2:$AH$1001,0),MATCH(COLUMNS($AO$1006:AS1006),$AO$1006:$BQ$1006,0)), HYPERLINK("#",""), HYPERLINK(CONCATENATE("#Metadata!", ADDRESS(INDEX($AJ$2:$AJ$1001,MATCH(ROWS($AH$2:AH256),$AH$2:$AH$1001,0),0), INDEX($AO$1004:$BQ$1004,1,MATCH(COLUMNS($AO$1006:AS1006),$AO$1006:$BQ$1006,0)))),"Fix")))</f>
        <v>#N/A</v>
      </c>
      <c r="G256" s="5" t="e">
        <f ca="1">IF(OR(INDEX($AI$2:$AI$1001,MATCH(ROWS($AH$2:AH256),$AH$2:$AH$1001,0),1)&gt;=100000,INDEX($AO$1005:$BQ$1005,1,MATCH(COLUMNS($AO$1006:AT1006),$AO$1006:$BQ$1006,0))&gt;=100000), " ",IF(INDEX($AO$2:$BQ$1001,MATCH(ROWS($AH$2:AH256),$AH$2:$AH$1001,0),MATCH(COLUMNS($AO$1006:AT1006),$AO$1006:$BQ$1006,0)), HYPERLINK("#",""), HYPERLINK(CONCATENATE("#Metadata!", ADDRESS(INDEX($AJ$2:$AJ$1001,MATCH(ROWS($AH$2:AH256),$AH$2:$AH$1001,0),0), INDEX($AO$1004:$BQ$1004,1,MATCH(COLUMNS($AO$1006:AT1006),$AO$1006:$BQ$1006,0)))),"Fix")))</f>
        <v>#N/A</v>
      </c>
      <c r="H256" s="5" t="e">
        <f ca="1">IF(OR(INDEX($AI$2:$AI$1001,MATCH(ROWS($AH$2:AH256),$AH$2:$AH$1001,0),1)&gt;=100000,INDEX($AO$1005:$BQ$1005,1,MATCH(COLUMNS($AO$1006:AU1006),$AO$1006:$BQ$1006,0))&gt;=100000), " ",IF(INDEX($AO$2:$BQ$1001,MATCH(ROWS($AH$2:AH256),$AH$2:$AH$1001,0),MATCH(COLUMNS($AO$1006:AU1006),$AO$1006:$BQ$1006,0)), HYPERLINK("#",""), HYPERLINK(CONCATENATE("#Metadata!", ADDRESS(INDEX($AJ$2:$AJ$1001,MATCH(ROWS($AH$2:AH256),$AH$2:$AH$1001,0),0), INDEX($AO$1004:$BQ$1004,1,MATCH(COLUMNS($AO$1006:AU1006),$AO$1006:$BQ$1006,0)))),"Fix")))</f>
        <v>#N/A</v>
      </c>
      <c r="I256" s="5" t="e">
        <f ca="1">IF(OR(INDEX($AI$2:$AI$1001,MATCH(ROWS($AH$2:AH256),$AH$2:$AH$1001,0),1)&gt;=100000,INDEX($AO$1005:$BQ$1005,1,MATCH(COLUMNS($AO$1006:AV1006),$AO$1006:$BQ$1006,0))&gt;=100000), " ",IF(INDEX($AO$2:$BQ$1001,MATCH(ROWS($AH$2:AH256),$AH$2:$AH$1001,0),MATCH(COLUMNS($AO$1006:AV1006),$AO$1006:$BQ$1006,0)), HYPERLINK("#",""), HYPERLINK(CONCATENATE("#Metadata!", ADDRESS(INDEX($AJ$2:$AJ$1001,MATCH(ROWS($AH$2:AH256),$AH$2:$AH$1001,0),0), INDEX($AO$1004:$BQ$1004,1,MATCH(COLUMNS($AO$1006:AV1006),$AO$1006:$BQ$1006,0)))),"Fix")))</f>
        <v>#N/A</v>
      </c>
      <c r="J256" s="5" t="e">
        <f ca="1">IF(OR(INDEX($AI$2:$AI$1001,MATCH(ROWS($AH$2:AH256),$AH$2:$AH$1001,0),1)&gt;=100000,INDEX($AO$1005:$BQ$1005,1,MATCH(COLUMNS($AO$1006:AW1006),$AO$1006:$BQ$1006,0))&gt;=100000), " ",IF(INDEX($AO$2:$BQ$1001,MATCH(ROWS($AH$2:AH256),$AH$2:$AH$1001,0),MATCH(COLUMNS($AO$1006:AW1006),$AO$1006:$BQ$1006,0)), HYPERLINK("#",""), HYPERLINK(CONCATENATE("#Metadata!", ADDRESS(INDEX($AJ$2:$AJ$1001,MATCH(ROWS($AH$2:AH256),$AH$2:$AH$1001,0),0), INDEX($AO$1004:$BQ$1004,1,MATCH(COLUMNS($AO$1006:AW1006),$AO$1006:$BQ$1006,0)))),"Fix")))</f>
        <v>#N/A</v>
      </c>
      <c r="K256" s="5" t="e">
        <f ca="1">IF(OR(INDEX($AI$2:$AI$1001,MATCH(ROWS($AH$2:AH256),$AH$2:$AH$1001,0),1)&gt;=100000,INDEX($AO$1005:$BQ$1005,1,MATCH(COLUMNS($AO$1006:AX1006),$AO$1006:$BQ$1006,0))&gt;=100000), " ",IF(INDEX($AO$2:$BQ$1001,MATCH(ROWS($AH$2:AH256),$AH$2:$AH$1001,0),MATCH(COLUMNS($AO$1006:AX1006),$AO$1006:$BQ$1006,0)), HYPERLINK("#",""), HYPERLINK(CONCATENATE("#Metadata!", ADDRESS(INDEX($AJ$2:$AJ$1001,MATCH(ROWS($AH$2:AH256),$AH$2:$AH$1001,0),0), INDEX($AO$1004:$BQ$1004,1,MATCH(COLUMNS($AO$1006:AX1006),$AO$1006:$BQ$1006,0)))),"Fix")))</f>
        <v>#N/A</v>
      </c>
      <c r="L256" s="5" t="e">
        <f ca="1">IF(OR(INDEX($AI$2:$AI$1001,MATCH(ROWS($AH$2:AH256),$AH$2:$AH$1001,0),1)&gt;=100000,INDEX($AO$1005:$BQ$1005,1,MATCH(COLUMNS($AO$1006:AY1006),$AO$1006:$BQ$1006,0))&gt;=100000), " ",IF(INDEX($AO$2:$BQ$1001,MATCH(ROWS($AH$2:AH256),$AH$2:$AH$1001,0),MATCH(COLUMNS($AO$1006:AY1006),$AO$1006:$BQ$1006,0)), HYPERLINK("#",""), HYPERLINK(CONCATENATE("#Metadata!", ADDRESS(INDEX($AJ$2:$AJ$1001,MATCH(ROWS($AH$2:AH256),$AH$2:$AH$1001,0),0), INDEX($AO$1004:$BQ$1004,1,MATCH(COLUMNS($AO$1006:AY1006),$AO$1006:$BQ$1006,0)))),"Fix")))</f>
        <v>#N/A</v>
      </c>
      <c r="M256" s="5" t="e">
        <f ca="1">IF(OR(INDEX($AI$2:$AI$1001,MATCH(ROWS($AH$2:AH256),$AH$2:$AH$1001,0),1)&gt;=100000,INDEX($AO$1005:$BQ$1005,1,MATCH(COLUMNS($AO$1006:AZ1006),$AO$1006:$BQ$1006,0))&gt;=100000), " ",IF(INDEX($AO$2:$BQ$1001,MATCH(ROWS($AH$2:AH256),$AH$2:$AH$1001,0),MATCH(COLUMNS($AO$1006:AZ1006),$AO$1006:$BQ$1006,0)), HYPERLINK("#",""), HYPERLINK(CONCATENATE("#Metadata!", ADDRESS(INDEX($AJ$2:$AJ$1001,MATCH(ROWS($AH$2:AH256),$AH$2:$AH$1001,0),0), INDEX($AO$1004:$BQ$1004,1,MATCH(COLUMNS($AO$1006:AZ1006),$AO$1006:$BQ$1006,0)))),"Fix")))</f>
        <v>#N/A</v>
      </c>
      <c r="N256" s="5" t="e">
        <f ca="1">IF(OR(INDEX($AI$2:$AI$1001,MATCH(ROWS($AH$2:AH256),$AH$2:$AH$1001,0),1)&gt;=100000,INDEX($AO$1005:$BQ$1005,1,MATCH(COLUMNS($AO$1006:BA1006),$AO$1006:$BQ$1006,0))&gt;=100000), " ",IF(INDEX($AO$2:$BQ$1001,MATCH(ROWS($AH$2:AH256),$AH$2:$AH$1001,0),MATCH(COLUMNS($AO$1006:BA1006),$AO$1006:$BQ$1006,0)), HYPERLINK("#",""), HYPERLINK(CONCATENATE("#Metadata!", ADDRESS(INDEX($AJ$2:$AJ$1001,MATCH(ROWS($AH$2:AH256),$AH$2:$AH$1001,0),0), INDEX($AO$1004:$BQ$1004,1,MATCH(COLUMNS($AO$1006:BA1006),$AO$1006:$BQ$1006,0)))),"Fix")))</f>
        <v>#N/A</v>
      </c>
      <c r="O256" s="5" t="e">
        <f ca="1">IF(OR(INDEX($AI$2:$AI$1001,MATCH(ROWS($AH$2:AH256),$AH$2:$AH$1001,0),1)&gt;=100000,INDEX($AO$1005:$BQ$1005,1,MATCH(COLUMNS($AO$1006:BB1006),$AO$1006:$BQ$1006,0))&gt;=100000), " ",IF(INDEX($AO$2:$BQ$1001,MATCH(ROWS($AH$2:AH256),$AH$2:$AH$1001,0),MATCH(COLUMNS($AO$1006:BB1006),$AO$1006:$BQ$1006,0)), HYPERLINK("#",""), HYPERLINK(CONCATENATE("#Metadata!", ADDRESS(INDEX($AJ$2:$AJ$1001,MATCH(ROWS($AH$2:AH256),$AH$2:$AH$1001,0),0), INDEX($AO$1004:$BQ$1004,1,MATCH(COLUMNS($AO$1006:BB1006),$AO$1006:$BQ$1006,0)))),"Fix")))</f>
        <v>#N/A</v>
      </c>
      <c r="P256" s="5" t="e">
        <f ca="1">IF(OR(INDEX($AI$2:$AI$1001,MATCH(ROWS($AH$2:AH256),$AH$2:$AH$1001,0),1)&gt;=100000,INDEX($AO$1005:$BQ$1005,1,MATCH(COLUMNS($AO$1006:BC1006),$AO$1006:$BQ$1006,0))&gt;=100000), " ",IF(INDEX($AO$2:$BQ$1001,MATCH(ROWS($AH$2:AH256),$AH$2:$AH$1001,0),MATCH(COLUMNS($AO$1006:BC1006),$AO$1006:$BQ$1006,0)), HYPERLINK("#",""), HYPERLINK(CONCATENATE("#Metadata!", ADDRESS(INDEX($AJ$2:$AJ$1001,MATCH(ROWS($AH$2:AH256),$AH$2:$AH$1001,0),0), INDEX($AO$1004:$BQ$1004,1,MATCH(COLUMNS($AO$1006:BC1006),$AO$1006:$BQ$1006,0)))),"Fix")))</f>
        <v>#N/A</v>
      </c>
      <c r="Q256" s="5" t="e">
        <f ca="1">IF(OR(INDEX($AI$2:$AI$1001,MATCH(ROWS($AH$2:AH256),$AH$2:$AH$1001,0),1)&gt;=100000,INDEX($AO$1005:$BQ$1005,1,MATCH(COLUMNS($AO$1006:BD1006),$AO$1006:$BQ$1006,0))&gt;=100000), " ",IF(INDEX($AO$2:$BQ$1001,MATCH(ROWS($AH$2:AH256),$AH$2:$AH$1001,0),MATCH(COLUMNS($AO$1006:BD1006),$AO$1006:$BQ$1006,0)), HYPERLINK("#",""), HYPERLINK(CONCATENATE("#Metadata!", ADDRESS(INDEX($AJ$2:$AJ$1001,MATCH(ROWS($AH$2:AH256),$AH$2:$AH$1001,0),0), INDEX($AO$1004:$BQ$1004,1,MATCH(COLUMNS($AO$1006:BD1006),$AO$1006:$BQ$1006,0)))),"Fix")))</f>
        <v>#N/A</v>
      </c>
      <c r="R256" s="5" t="e">
        <f ca="1">IF(OR(INDEX($AI$2:$AI$1001,MATCH(ROWS($AH$2:AH256),$AH$2:$AH$1001,0),1)&gt;=100000,INDEX($AO$1005:$BQ$1005,1,MATCH(COLUMNS($AO$1006:BE1006),$AO$1006:$BQ$1006,0))&gt;=100000), " ",IF(INDEX($AO$2:$BQ$1001,MATCH(ROWS($AH$2:AH256),$AH$2:$AH$1001,0),MATCH(COLUMNS($AO$1006:BE1006),$AO$1006:$BQ$1006,0)), HYPERLINK("#",""), HYPERLINK(CONCATENATE("#Metadata!", ADDRESS(INDEX($AJ$2:$AJ$1001,MATCH(ROWS($AH$2:AH256),$AH$2:$AH$1001,0),0), INDEX($AO$1004:$BQ$1004,1,MATCH(COLUMNS($AO$1006:BE1006),$AO$1006:$BQ$1006,0)))),"Fix")))</f>
        <v>#N/A</v>
      </c>
      <c r="S256" s="5" t="e">
        <f ca="1">IF(OR(INDEX($AI$2:$AI$1001,MATCH(ROWS($AH$2:AH256),$AH$2:$AH$1001,0),1)&gt;=100000,INDEX($AO$1005:$BQ$1005,1,MATCH(COLUMNS($AO$1006:BF1006),$AO$1006:$BQ$1006,0))&gt;=100000), " ",IF(INDEX($AO$2:$BQ$1001,MATCH(ROWS($AH$2:AH256),$AH$2:$AH$1001,0),MATCH(COLUMNS($AO$1006:BF1006),$AO$1006:$BQ$1006,0)), HYPERLINK("#",""), HYPERLINK(CONCATENATE("#Metadata!", ADDRESS(INDEX($AJ$2:$AJ$1001,MATCH(ROWS($AH$2:AH256),$AH$2:$AH$1001,0),0), INDEX($AO$1004:$BQ$1004,1,MATCH(COLUMNS($AO$1006:BF1006),$AO$1006:$BQ$1006,0)))),"Fix")))</f>
        <v>#N/A</v>
      </c>
      <c r="T256" s="5" t="e">
        <f ca="1">IF(OR(INDEX($AI$2:$AI$1001,MATCH(ROWS($AH$2:AH256),$AH$2:$AH$1001,0),1)&gt;=100000,INDEX($AO$1005:$BQ$1005,1,MATCH(COLUMNS($AO$1006:BG1006),$AO$1006:$BQ$1006,0))&gt;=100000), " ",IF(INDEX($AO$2:$BQ$1001,MATCH(ROWS($AH$2:AH256),$AH$2:$AH$1001,0),MATCH(COLUMNS($AO$1006:BG1006),$AO$1006:$BQ$1006,0)), HYPERLINK("#",""), HYPERLINK(CONCATENATE("#Metadata!", ADDRESS(INDEX($AJ$2:$AJ$1001,MATCH(ROWS($AH$2:AH256),$AH$2:$AH$1001,0),0), INDEX($AO$1004:$BQ$1004,1,MATCH(COLUMNS($AO$1006:BG1006),$AO$1006:$BQ$1006,0)))),"Fix")))</f>
        <v>#N/A</v>
      </c>
      <c r="U256" s="5" t="e">
        <f ca="1">IF(OR(INDEX($AI$2:$AI$1001,MATCH(ROWS($AH$2:AH256),$AH$2:$AH$1001,0),1)&gt;=100000,INDEX($AO$1005:$BQ$1005,1,MATCH(COLUMNS($AO$1006:BH1006),$AO$1006:$BQ$1006,0))&gt;=100000), " ",IF(INDEX($AO$2:$BQ$1001,MATCH(ROWS($AH$2:AH256),$AH$2:$AH$1001,0),MATCH(COLUMNS($AO$1006:BH1006),$AO$1006:$BQ$1006,0)), HYPERLINK("#",""), HYPERLINK(CONCATENATE("#Metadata!", ADDRESS(INDEX($AJ$2:$AJ$1001,MATCH(ROWS($AH$2:AH256),$AH$2:$AH$1001,0),0), INDEX($AO$1004:$BQ$1004,1,MATCH(COLUMNS($AO$1006:BH1006),$AO$1006:$BQ$1006,0)))),"Fix")))</f>
        <v>#N/A</v>
      </c>
      <c r="V256" s="5" t="e">
        <f ca="1">IF(OR(INDEX($AI$2:$AI$1001,MATCH(ROWS($AH$2:AH256),$AH$2:$AH$1001,0),1)&gt;=100000,INDEX($AO$1005:$BQ$1005,1,MATCH(COLUMNS($AO$1006:BI1006),$AO$1006:$BQ$1006,0))&gt;=100000), " ",IF(INDEX($AO$2:$BQ$1001,MATCH(ROWS($AH$2:AH256),$AH$2:$AH$1001,0),MATCH(COLUMNS($AO$1006:BI1006),$AO$1006:$BQ$1006,0)), HYPERLINK("#",""), HYPERLINK(CONCATENATE("#Metadata!", ADDRESS(INDEX($AJ$2:$AJ$1001,MATCH(ROWS($AH$2:AH256),$AH$2:$AH$1001,0),0), INDEX($AO$1004:$BQ$1004,1,MATCH(COLUMNS($AO$1006:BI1006),$AO$1006:$BQ$1006,0)))),"Fix")))</f>
        <v>#N/A</v>
      </c>
      <c r="W256" s="5" t="e">
        <f ca="1">IF(OR(INDEX($AI$2:$AI$1001,MATCH(ROWS($AH$2:AH256),$AH$2:$AH$1001,0),1)&gt;=100000,INDEX($AO$1005:$BQ$1005,1,MATCH(COLUMNS($AO$1006:BJ1006),$AO$1006:$BQ$1006,0))&gt;=100000), " ",IF(INDEX($AO$2:$BQ$1001,MATCH(ROWS($AH$2:AH256),$AH$2:$AH$1001,0),MATCH(COLUMNS($AO$1006:BJ1006),$AO$1006:$BQ$1006,0)), HYPERLINK("#",""), HYPERLINK(CONCATENATE("#Metadata!", ADDRESS(INDEX($AJ$2:$AJ$1001,MATCH(ROWS($AH$2:AH256),$AH$2:$AH$1001,0),0), INDEX($AO$1004:$BQ$1004,1,MATCH(COLUMNS($AO$1006:BJ1006),$AO$1006:$BQ$1006,0)))),"Fix")))</f>
        <v>#N/A</v>
      </c>
      <c r="X256" s="5" t="e">
        <f ca="1">IF(OR(INDEX($AI$2:$AI$1001,MATCH(ROWS($AH$2:AH256),$AH$2:$AH$1001,0),1)&gt;=100000,INDEX($AO$1005:$BQ$1005,1,MATCH(COLUMNS($AO$1006:BK1006),$AO$1006:$BQ$1006,0))&gt;=100000), " ",IF(INDEX($AO$2:$BQ$1001,MATCH(ROWS($AH$2:AH256),$AH$2:$AH$1001,0),MATCH(COLUMNS($AO$1006:BK1006),$AO$1006:$BQ$1006,0)), HYPERLINK("#",""), HYPERLINK(CONCATENATE("#Metadata!", ADDRESS(INDEX($AJ$2:$AJ$1001,MATCH(ROWS($AH$2:AH256),$AH$2:$AH$1001,0),0), INDEX($AO$1004:$BQ$1004,1,MATCH(COLUMNS($AO$1006:BK1006),$AO$1006:$BQ$1006,0)))),"Fix")))</f>
        <v>#N/A</v>
      </c>
      <c r="Y256" s="5" t="e">
        <f ca="1">IF(OR(INDEX($AI$2:$AI$1001,MATCH(ROWS($AH$2:AH256),$AH$2:$AH$1001,0),1)&gt;=100000,INDEX($AO$1005:$BQ$1005,1,MATCH(COLUMNS($AO$1006:BL1006),$AO$1006:$BQ$1006,0))&gt;=100000), " ",IF(INDEX($AO$2:$BQ$1001,MATCH(ROWS($AH$2:AH256),$AH$2:$AH$1001,0),MATCH(COLUMNS($AO$1006:BL1006),$AO$1006:$BQ$1006,0)), HYPERLINK("#",""), HYPERLINK(CONCATENATE("#Metadata!", ADDRESS(INDEX($AJ$2:$AJ$1001,MATCH(ROWS($AH$2:AH256),$AH$2:$AH$1001,0),0), INDEX($AO$1004:$BQ$1004,1,MATCH(COLUMNS($AO$1006:BL1006),$AO$1006:$BQ$1006,0)))),"Fix")))</f>
        <v>#N/A</v>
      </c>
      <c r="Z256" s="5" t="e">
        <f ca="1">IF(OR(INDEX($AI$2:$AI$1001,MATCH(ROWS($AH$2:AH256),$AH$2:$AH$1001,0),1)&gt;=100000,INDEX($AO$1005:$BQ$1005,1,MATCH(COLUMNS($AO$1006:BM1006),$AO$1006:$BQ$1006,0))&gt;=100000), " ",IF(INDEX($AO$2:$BQ$1001,MATCH(ROWS($AH$2:AH256),$AH$2:$AH$1001,0),MATCH(COLUMNS($AO$1006:BM1006),$AO$1006:$BQ$1006,0)), HYPERLINK("#",""), HYPERLINK(CONCATENATE("#Metadata!", ADDRESS(INDEX($AJ$2:$AJ$1001,MATCH(ROWS($AH$2:AH256),$AH$2:$AH$1001,0),0), INDEX($AO$1004:$BQ$1004,1,MATCH(COLUMNS($AO$1006:BM1006),$AO$1006:$BQ$1006,0)))),"Fix")))</f>
        <v>#N/A</v>
      </c>
      <c r="AA256" s="5" t="e">
        <f ca="1">IF(OR(INDEX($AI$2:$AI$1001,MATCH(ROWS($AH$2:AH256),$AH$2:$AH$1001,0),1)&gt;=100000,INDEX($AO$1005:$BQ$1005,1,MATCH(COLUMNS($AO$1006:BN1006),$AO$1006:$BQ$1006,0))&gt;=100000), " ",IF(INDEX($AO$2:$BQ$1001,MATCH(ROWS($AH$2:AH256),$AH$2:$AH$1001,0),MATCH(COLUMNS($AO$1006:BN1006),$AO$1006:$BQ$1006,0)), HYPERLINK("#",""), HYPERLINK(CONCATENATE("#Metadata!", ADDRESS(INDEX($AJ$2:$AJ$1001,MATCH(ROWS($AH$2:AH256),$AH$2:$AH$1001,0),0), INDEX($AO$1004:$BQ$1004,1,MATCH(COLUMNS($AO$1006:BN1006),$AO$1006:$BQ$1006,0)))),"Fix")))</f>
        <v>#N/A</v>
      </c>
      <c r="AB256" s="5" t="e">
        <f ca="1">IF(OR(INDEX($AI$2:$AI$1001,MATCH(ROWS($AH$2:AH256),$AH$2:$AH$1001,0),1)&gt;=100000,INDEX($AO$1005:$BQ$1005,1,MATCH(COLUMNS($AO$1006:BO1006),$AO$1006:$BQ$1006,0))&gt;=100000), " ",IF(INDEX($AO$2:$BQ$1001,MATCH(ROWS($AH$2:AH256),$AH$2:$AH$1001,0),MATCH(COLUMNS($AO$1006:BO1006),$AO$1006:$BQ$1006,0)), HYPERLINK("#",""), HYPERLINK(CONCATENATE("#Metadata!", ADDRESS(INDEX($AJ$2:$AJ$1001,MATCH(ROWS($AH$2:AH256),$AH$2:$AH$1001,0),0), INDEX($AO$1004:$BQ$1004,1,MATCH(COLUMNS($AO$1006:BO1006),$AO$1006:$BQ$1006,0)))),"Fix")))</f>
        <v>#N/A</v>
      </c>
      <c r="AC256" s="5" t="e">
        <f ca="1">IF(OR(INDEX($AI$2:$AI$1001,MATCH(ROWS($AH$2:AH256),$AH$2:$AH$1001,0),1)&gt;=100000,INDEX($AO$1005:$BQ$1005,1,MATCH(COLUMNS($AO$1006:BP1006),$AO$1006:$BQ$1006,0))&gt;=100000), " ",IF(INDEX($AO$2:$BQ$1001,MATCH(ROWS($AH$2:AH256),$AH$2:$AH$1001,0),MATCH(COLUMNS($AO$1006:BP1006),$AO$1006:$BQ$1006,0)), HYPERLINK("#",""), HYPERLINK(CONCATENATE("#Metadata!", ADDRESS(INDEX($AJ$2:$AJ$1001,MATCH(ROWS($AH$2:AH256),$AH$2:$AH$1001,0),0), INDEX($AO$1004:$BQ$1004,1,MATCH(COLUMNS($AO$1006:BP1006),$AO$1006:$BQ$1006,0)))),"Fix")))</f>
        <v>#N/A</v>
      </c>
      <c r="AD256" s="5" t="e">
        <f ca="1">IF(OR(INDEX($AI$2:$AI$1001,MATCH(ROWS($AH$2:AH256),$AH$2:$AH$1001,0),1)&gt;=100000,INDEX($AO$1005:$BQ$1005,1,MATCH(COLUMNS($AO$1006:BQ1006),$AO$1006:$BQ$1006,0))&gt;=100000), " ",IF(INDEX($AO$2:$BQ$1001,MATCH(ROWS($AH$2:AH256),$AH$2:$AH$1001,0),MATCH(COLUMNS($AO$1006:BQ1006),$AO$1006:$BQ$1006,0)), HYPERLINK("#",""), HYPERLINK(CONCATENATE("#Metadata!", ADDRESS(INDEX($AJ$2:$AJ$1001,MATCH(ROWS($AH$2:AH256),$AH$2:$AH$1001,0),0), INDEX($AO$1004:$BQ$1004,1,MATCH(COLUMNS($AO$1006:BQ1006),$AO$1006:$BQ$1006,0)))),"Fix")))</f>
        <v>#REF!</v>
      </c>
      <c r="AH256">
        <f ca="1"/>
        <v>253</v>
      </c>
      <c r="AI256">
        <v>100256</v>
      </c>
      <c r="AJ256">
        <v>256</v>
      </c>
      <c r="AK256" t="b">
        <f t="shared" si="3"/>
        <v>1</v>
      </c>
      <c r="AL256" t="b">
        <f>COUNTBLANK(Metadata!B256:AD256)=COLUMNS(Metadata!B256:AD256)</f>
        <v>1</v>
      </c>
      <c r="AM256" t="str">
        <v/>
      </c>
      <c r="AO256" t="b">
        <f ca="1">AND(IF(Metadata!B256="",FALSE,TRUE),COUNTIF(Metadata!B:B, Metadata!B256) = 1,NOT(ISERROR(SUMPRODUCT(SEARCH(MID(Metadata!B256,ROW(INDIRECT("1:"&amp;LEN(Metadata!B256))), 1),"0123456789abcdefghijklmnopqrstuvwxyzABCDEFGHIJKLMNOPQRSTUVWXYZ.")))))</f>
        <v>0</v>
      </c>
      <c r="AP256" t="b">
        <f>IF(Metadata!C256="",FALSE,TRUE)</f>
        <v>0</v>
      </c>
      <c r="AQ256" t="b">
        <f>IF(Metadata!D256="",FALSE,TRUE)</f>
        <v>0</v>
      </c>
      <c r="AR256" t="b">
        <f ca="1">OR(AND(IF(Metadata!E256="",FALSE,TRUE),OR(EXACT(Metadata!E256,"not collected"),EXACT(Metadata!E256,"not provided"),EXACT(Metadata!E256,"restricted access"))),AND(IF(Metadata!E256="",FALSE,TRUE),AND(AND(IFERROR(INT(LEFT(Metadata!E256,4))&gt;1900,FALSE),IFERROR(INT(LEFT(Metadata!E256,4))&lt;=YEAR(NOW()),FALSE)), OR(MID(Metadata!E256,5,1)="", AND(AND(MID(Metadata!E256,5,1)="-",IFERROR(INT(MID(Metadata!E256,6,1))&gt;=0,FALSE),IFERROR(INT(MID(Metadata!E256,6,1))&lt;=1,FALSE),NOT(MID(Metadata!E256,7,1)=""),IFERROR(INT(MID(Metadata!E256,6,2))&gt;=1,FALSE),IFERROR(INT(MID(Metadata!E256,6,2))&lt;=12,FALSE)), OR(MID(Metadata!E256,8,1)="", AND(AND(MID(Metadata!E256,8,1)="-",IFERROR(INT(MID(Metadata!E256,9,1))&gt;=0,FALSE),IFERROR(INT(MID(Metadata!E256,9,1))&lt;=3,FALSE),NOT(MID(Metadata!E256,10,1)=""),IFERROR(INT(MID(Metadata!E256,9,2))&gt;=1,FALSE),IFERROR(INT(MID(Metadata!E256,9,2))&lt;=31,FALSE)), OR(MID(Metadata!E256,11,1)="", AND(AND(MID(Metadata!E256,11,1)=" ",IFERROR(INT(MID(Metadata!E256,12,1))&gt;=0,FALSE),IFERROR(INT(MID(Metadata!E256,12,1))&lt;=2,FALSE),NOT(MID(Metadata!E256,13,1)=""),IFERROR(INT(MID(Metadata!E256,12,2))&gt;=0,FALSE),IFERROR(INT(MID(Metadata!E256,12,2))&lt;=23,FALSE)), OR(MID(Metadata!E256,14,1)="", AND(AND(MID(Metadata!E256,14,1)=":",IFERROR(INT(MID(Metadata!E256,15,1))&gt;=0,FALSE),IFERROR(INT(MID(Metadata!E256,15,1))&lt;=5,FALSE),NOT(MID(Metadata!E256,16,1)=""),IFERROR(INT(MID(Metadata!E256,15,2))&gt;=0,FALSE),IFERROR(INT(MID(Metadata!E256,15,2))&lt;=59,FALSE)), OR(MID(Metadata!E256,17,1)="", AND(AND(MID(Metadata!E256,17,1)=":",IFERROR(INT(MID(Metadata!E256,18,1))&gt;=0,FALSE),IFERROR(INT(MID(Metadata!E256,18,1))&lt;=5,FALSE),NOT(MID(Metadata!E256,19,1)=""),IFERROR(INT(MID(Metadata!E256,18,2))&gt;=0,FALSE),IFERROR(INT(MID(Metadata!E256,18,2))&lt;=59,FALSE)), LEN(Metadata!E256)&lt;=19)))))))))))))</f>
        <v>0</v>
      </c>
      <c r="AS256" t="b">
        <f>IF(Metadata!F256="",FALSE,TRUE)</f>
        <v>0</v>
      </c>
      <c r="AT256" t="b">
        <f>OR(AND(IF(Metadata!G256="",FALSE,TRUE),OR(EXACT(Metadata!G256,"not collected"),EXACT(Metadata!G256,"not provided"))),AND(IF(Metadata!G256="",FALSE,TRUE),OR(EXACT(Metadata!G256,"TRUE"),EXACT(Metadata!G256,"FALSE"))))</f>
        <v>0</v>
      </c>
      <c r="AU256" t="b">
        <f>OR(AND(IF(Metadata!H256="",FALSE,TRUE),OR(EXACT(Metadata!H256,"not collected"),EXACT(Metadata!H256,"not provided"),EXACT(Metadata!H256,"restricted access"))),AND(IF(Metadata!H256="",FALSE,ISNUMBER(VALUE(Metadata!H256))),Metadata!H256&gt;=-413))</f>
        <v>0</v>
      </c>
      <c r="AV256" t="b">
        <f>AND(IF(Metadata!I256="",FALSE,TRUE),EXACT(Metadata!I256,"meters"))</f>
        <v>0</v>
      </c>
      <c r="AW256" t="b">
        <f>AND(IF(Metadata!J256="",FALSE,TRUE),EXACT(Metadata!J256,"free-living"))</f>
        <v>0</v>
      </c>
      <c r="AX256" t="b">
        <f>AND(IF(Metadata!K256="",FALSE,TRUE),OR(EXACT(Metadata!K256,"saline"),EXACT(Metadata!K256,"non-saline")))</f>
        <v>0</v>
      </c>
      <c r="AY256" t="b">
        <f>AND(IF(Metadata!L256="",FALSE,TRUE),OR(EXACT(Metadata!L256,"sub-surface (non-saline)"),EXACT(Metadata!L256,"surface (non-saline)"),EXACT(Metadata!L256,"water (non-saline)"),EXACT(Metadata!L256,"soil (non-saline)"),EXACT(Metadata!L256,"aerosol (non-saline)"),EXACT(Metadata!L256,"sediment (non-saline)"),EXACT(Metadata!L256,"surface (saline)"),EXACT(Metadata!L256,"water (saline)"),EXACT(Metadata!L256,"hypersaline (saline)"),EXACT(Metadata!L256,"aerosol (saline)"),EXACT(Metadata!L256,"sediment (saline)")))</f>
        <v>0</v>
      </c>
      <c r="AZ256" t="b">
        <f>IF(Metadata!M256="",FALSE,TRUE)</f>
        <v>0</v>
      </c>
      <c r="BA256" t="b">
        <f>IF(Metadata!N256="",FALSE,TRUE)</f>
        <v>0</v>
      </c>
      <c r="BB256" t="b">
        <f>IF(Metadata!O256="",FALSE,TRUE)</f>
        <v>0</v>
      </c>
      <c r="BC256" t="b">
        <f>AND(IF(Metadata!P256="",FALSE,TRUE),OR(EXACT(Metadata!P256,"air"),EXACT(Metadata!P256,"microbial mat/biofilm"),EXACT(Metadata!P256,"misc environment"),EXACT(Metadata!P256,"sediment"),EXACT(Metadata!P256,"soil"),EXACT(Metadata!P256,"wastewater/sludge"),EXACT(Metadata!P256,"water")))</f>
        <v>0</v>
      </c>
      <c r="BD256" t="b">
        <f>IF(Metadata!Q256="",FALSE,TRUE)</f>
        <v>0</v>
      </c>
      <c r="BE256" t="b">
        <f>IF(Metadata!R256="",FALSE,TRUE)</f>
        <v>0</v>
      </c>
      <c r="BF256" t="b">
        <f>OR(AND(IF(Metadata!S256="",FALSE,TRUE),OR(EXACT(Metadata!S256,"not collected"),EXACT(Metadata!S256,"not provided"),EXACT(Metadata!S256,"restricted access"))),AND(IF(Metadata!S256="",FALSE,ISNUMBER(VALUE(Metadata!S256))),Metadata!S256&gt;=-90,Metadata!S256&lt;=90))</f>
        <v>0</v>
      </c>
      <c r="BG256" t="b">
        <f>AND(IF(Metadata!T256="",FALSE,TRUE),EXACT(Metadata!T256,"Decimal degrees"))</f>
        <v>0</v>
      </c>
      <c r="BH256" t="b">
        <f>OR(AND(IF(Metadata!U256="",FALSE,TRUE),OR(EXACT(Metadata!U256,"not applicable"),EXACT(Metadata!U256,"not collected"))),IF(Metadata!U256="",FALSE,TRUE))</f>
        <v>0</v>
      </c>
      <c r="BI256" t="b">
        <f>OR(AND(IF(Metadata!V256="",FALSE,TRUE),OR(EXACT(Metadata!V256,"not collected"),EXACT(Metadata!V256,"not provided"),EXACT(Metadata!V256,"restricted access"))),AND(IF(Metadata!V256="",FALSE,ISNUMBER(VALUE(Metadata!V256))),Metadata!V256&gt;=-180,Metadata!V256&lt;=180))</f>
        <v>0</v>
      </c>
      <c r="BJ256" t="b">
        <f>AND(IF(Metadata!W256="",FALSE,TRUE),EXACT(Metadata!W256,"Decimal degrees"))</f>
        <v>0</v>
      </c>
      <c r="BK256" t="b">
        <f>IF(Metadata!X256="",FALSE,TRUE)</f>
        <v>0</v>
      </c>
      <c r="BL256" t="b">
        <f>OR(AND(IF(Metadata!Y256="",FALSE,TRUE),OR(EXACT(Metadata!Y256,"not collected"),EXACT(Metadata!Y256,"not provided"),EXACT(Metadata!Y256,"restricted access"))),AND(IF(Metadata!Y256="",FALSE,TRUE),OR(EXACT(Metadata!Y256,"TRUE"),EXACT(Metadata!Y256,"FALSE"))))</f>
        <v>0</v>
      </c>
      <c r="BM256" t="b">
        <f>OR(AND(IF(Metadata!Z256="",FALSE,TRUE),EXACT(Metadata!Z256,"not applicable")),AND(IF(Metadata!Z256="",FALSE,TRUE),OR(EXACT(Metadata!Z256,"beer"),EXACT(Metadata!Z256,"cheese"),EXACT(Metadata!Z256,"fresh water"),EXACT(Metadata!Z256,"marine sediment"),EXACT(Metadata!Z256,"sea water"),EXACT(Metadata!Z256,"sediment"),EXACT(Metadata!Z256,"soil"),EXACT(Metadata!Z256,"waste water"))))</f>
        <v>0</v>
      </c>
      <c r="BN256" t="b">
        <f>AND(IF(Metadata!AA256="",FALSE,TRUE),EXACT(Metadata!AA256,"metagenome"))</f>
        <v>0</v>
      </c>
      <c r="BO256" t="b">
        <f>AND(IF(Metadata!AB256="",FALSE,TRUE),EXACT(Metadata!AB256,"256318"))</f>
        <v>0</v>
      </c>
      <c r="BP256" t="b">
        <f>IF(Metadata!AC256="",FALSE,TRUE)</f>
        <v>0</v>
      </c>
      <c r="BQ256" t="b">
        <f>IF(Metadata!AD256="",FALSE,TRUE)</f>
        <v>0</v>
      </c>
    </row>
    <row r="257" spans="1:69" x14ac:dyDescent="0.2">
      <c r="A257" s="4" t="e">
        <f ca="1">IF(B257=" "," ",HYPERLINK(CONCATENATE("#metadata!",ADDRESS(INDEX($AJ$2:$AJ$1001,MATCH(ROWS($AH$2:AH257),$AH$2:$AH$1001,0),0),2)),INDEX($AM$2:$AM$1001,MATCH(ROWS($AH$2:AH257),$AH$2:$AH$1001,0),0)))</f>
        <v>#N/A</v>
      </c>
      <c r="B257" s="5" t="e">
        <f ca="1">IF(OR(INDEX($AI$2:$AI$1001,MATCH(ROWS($AH$2:AH257),$AH$2:$AH$1001,0),1)&gt;=100000,INDEX($AO$1005:$BQ$1005,1,MATCH(COLUMNS($AO$1006:AO1006),$AO$1006:$BQ$1006,0))&gt;=100000), " ",IF(INDEX($AO$2:$BQ$1001,MATCH(ROWS($AH$2:AH257),$AH$2:$AH$1001,0),MATCH(COLUMNS($AO$1006:AO1006),$AO$1006:$BQ$1006,0)), HYPERLINK("#",""), HYPERLINK(CONCATENATE("#Metadata!", ADDRESS(INDEX($AJ$2:$AJ$1001,MATCH(ROWS($AH$2:AH257),$AH$2:$AH$1001,0),0), INDEX($AO$1004:$BQ$1004,1,MATCH(COLUMNS($AO$1006:AO1006),$AO$1006:$BQ$1006,0)))),"Fix")))</f>
        <v>#N/A</v>
      </c>
      <c r="C257" s="5" t="e">
        <f ca="1">IF(OR(INDEX($AI$2:$AI$1001,MATCH(ROWS($AH$2:AH257),$AH$2:$AH$1001,0),1)&gt;=100000,INDEX($AO$1005:$BQ$1005,1,MATCH(COLUMNS($AO$1006:AP1006),$AO$1006:$BQ$1006,0))&gt;=100000), " ",IF(INDEX($AO$2:$BQ$1001,MATCH(ROWS($AH$2:AH257),$AH$2:$AH$1001,0),MATCH(COLUMNS($AO$1006:AP1006),$AO$1006:$BQ$1006,0)), HYPERLINK("#",""), HYPERLINK(CONCATENATE("#Metadata!", ADDRESS(INDEX($AJ$2:$AJ$1001,MATCH(ROWS($AH$2:AH257),$AH$2:$AH$1001,0),0), INDEX($AO$1004:$BQ$1004,1,MATCH(COLUMNS($AO$1006:AP1006),$AO$1006:$BQ$1006,0)))),"Fix")))</f>
        <v>#N/A</v>
      </c>
      <c r="D257" s="5" t="e">
        <f ca="1">IF(OR(INDEX($AI$2:$AI$1001,MATCH(ROWS($AH$2:AH257),$AH$2:$AH$1001,0),1)&gt;=100000,INDEX($AO$1005:$BQ$1005,1,MATCH(COLUMNS($AO$1006:AQ1006),$AO$1006:$BQ$1006,0))&gt;=100000), " ",IF(INDEX($AO$2:$BQ$1001,MATCH(ROWS($AH$2:AH257),$AH$2:$AH$1001,0),MATCH(COLUMNS($AO$1006:AQ1006),$AO$1006:$BQ$1006,0)), HYPERLINK("#",""), HYPERLINK(CONCATENATE("#Metadata!", ADDRESS(INDEX($AJ$2:$AJ$1001,MATCH(ROWS($AH$2:AH257),$AH$2:$AH$1001,0),0), INDEX($AO$1004:$BQ$1004,1,MATCH(COLUMNS($AO$1006:AQ1006),$AO$1006:$BQ$1006,0)))),"Fix")))</f>
        <v>#N/A</v>
      </c>
      <c r="E257" s="5" t="e">
        <f ca="1">IF(OR(INDEX($AI$2:$AI$1001,MATCH(ROWS($AH$2:AH257),$AH$2:$AH$1001,0),1)&gt;=100000,INDEX($AO$1005:$BQ$1005,1,MATCH(COLUMNS($AO$1006:AR1006),$AO$1006:$BQ$1006,0))&gt;=100000), " ",IF(INDEX($AO$2:$BQ$1001,MATCH(ROWS($AH$2:AH257),$AH$2:$AH$1001,0),MATCH(COLUMNS($AO$1006:AR1006),$AO$1006:$BQ$1006,0)), HYPERLINK("#",""), HYPERLINK(CONCATENATE("#Metadata!", ADDRESS(INDEX($AJ$2:$AJ$1001,MATCH(ROWS($AH$2:AH257),$AH$2:$AH$1001,0),0), INDEX($AO$1004:$BQ$1004,1,MATCH(COLUMNS($AO$1006:AR1006),$AO$1006:$BQ$1006,0)))),"Fix")))</f>
        <v>#N/A</v>
      </c>
      <c r="F257" s="5" t="e">
        <f ca="1">IF(OR(INDEX($AI$2:$AI$1001,MATCH(ROWS($AH$2:AH257),$AH$2:$AH$1001,0),1)&gt;=100000,INDEX($AO$1005:$BQ$1005,1,MATCH(COLUMNS($AO$1006:AS1006),$AO$1006:$BQ$1006,0))&gt;=100000), " ",IF(INDEX($AO$2:$BQ$1001,MATCH(ROWS($AH$2:AH257),$AH$2:$AH$1001,0),MATCH(COLUMNS($AO$1006:AS1006),$AO$1006:$BQ$1006,0)), HYPERLINK("#",""), HYPERLINK(CONCATENATE("#Metadata!", ADDRESS(INDEX($AJ$2:$AJ$1001,MATCH(ROWS($AH$2:AH257),$AH$2:$AH$1001,0),0), INDEX($AO$1004:$BQ$1004,1,MATCH(COLUMNS($AO$1006:AS1006),$AO$1006:$BQ$1006,0)))),"Fix")))</f>
        <v>#N/A</v>
      </c>
      <c r="G257" s="5" t="e">
        <f ca="1">IF(OR(INDEX($AI$2:$AI$1001,MATCH(ROWS($AH$2:AH257),$AH$2:$AH$1001,0),1)&gt;=100000,INDEX($AO$1005:$BQ$1005,1,MATCH(COLUMNS($AO$1006:AT1006),$AO$1006:$BQ$1006,0))&gt;=100000), " ",IF(INDEX($AO$2:$BQ$1001,MATCH(ROWS($AH$2:AH257),$AH$2:$AH$1001,0),MATCH(COLUMNS($AO$1006:AT1006),$AO$1006:$BQ$1006,0)), HYPERLINK("#",""), HYPERLINK(CONCATENATE("#Metadata!", ADDRESS(INDEX($AJ$2:$AJ$1001,MATCH(ROWS($AH$2:AH257),$AH$2:$AH$1001,0),0), INDEX($AO$1004:$BQ$1004,1,MATCH(COLUMNS($AO$1006:AT1006),$AO$1006:$BQ$1006,0)))),"Fix")))</f>
        <v>#N/A</v>
      </c>
      <c r="H257" s="5" t="e">
        <f ca="1">IF(OR(INDEX($AI$2:$AI$1001,MATCH(ROWS($AH$2:AH257),$AH$2:$AH$1001,0),1)&gt;=100000,INDEX($AO$1005:$BQ$1005,1,MATCH(COLUMNS($AO$1006:AU1006),$AO$1006:$BQ$1006,0))&gt;=100000), " ",IF(INDEX($AO$2:$BQ$1001,MATCH(ROWS($AH$2:AH257),$AH$2:$AH$1001,0),MATCH(COLUMNS($AO$1006:AU1006),$AO$1006:$BQ$1006,0)), HYPERLINK("#",""), HYPERLINK(CONCATENATE("#Metadata!", ADDRESS(INDEX($AJ$2:$AJ$1001,MATCH(ROWS($AH$2:AH257),$AH$2:$AH$1001,0),0), INDEX($AO$1004:$BQ$1004,1,MATCH(COLUMNS($AO$1006:AU1006),$AO$1006:$BQ$1006,0)))),"Fix")))</f>
        <v>#N/A</v>
      </c>
      <c r="I257" s="5" t="e">
        <f ca="1">IF(OR(INDEX($AI$2:$AI$1001,MATCH(ROWS($AH$2:AH257),$AH$2:$AH$1001,0),1)&gt;=100000,INDEX($AO$1005:$BQ$1005,1,MATCH(COLUMNS($AO$1006:AV1006),$AO$1006:$BQ$1006,0))&gt;=100000), " ",IF(INDEX($AO$2:$BQ$1001,MATCH(ROWS($AH$2:AH257),$AH$2:$AH$1001,0),MATCH(COLUMNS($AO$1006:AV1006),$AO$1006:$BQ$1006,0)), HYPERLINK("#",""), HYPERLINK(CONCATENATE("#Metadata!", ADDRESS(INDEX($AJ$2:$AJ$1001,MATCH(ROWS($AH$2:AH257),$AH$2:$AH$1001,0),0), INDEX($AO$1004:$BQ$1004,1,MATCH(COLUMNS($AO$1006:AV1006),$AO$1006:$BQ$1006,0)))),"Fix")))</f>
        <v>#N/A</v>
      </c>
      <c r="J257" s="5" t="e">
        <f ca="1">IF(OR(INDEX($AI$2:$AI$1001,MATCH(ROWS($AH$2:AH257),$AH$2:$AH$1001,0),1)&gt;=100000,INDEX($AO$1005:$BQ$1005,1,MATCH(COLUMNS($AO$1006:AW1006),$AO$1006:$BQ$1006,0))&gt;=100000), " ",IF(INDEX($AO$2:$BQ$1001,MATCH(ROWS($AH$2:AH257),$AH$2:$AH$1001,0),MATCH(COLUMNS($AO$1006:AW1006),$AO$1006:$BQ$1006,0)), HYPERLINK("#",""), HYPERLINK(CONCATENATE("#Metadata!", ADDRESS(INDEX($AJ$2:$AJ$1001,MATCH(ROWS($AH$2:AH257),$AH$2:$AH$1001,0),0), INDEX($AO$1004:$BQ$1004,1,MATCH(COLUMNS($AO$1006:AW1006),$AO$1006:$BQ$1006,0)))),"Fix")))</f>
        <v>#N/A</v>
      </c>
      <c r="K257" s="5" t="e">
        <f ca="1">IF(OR(INDEX($AI$2:$AI$1001,MATCH(ROWS($AH$2:AH257),$AH$2:$AH$1001,0),1)&gt;=100000,INDEX($AO$1005:$BQ$1005,1,MATCH(COLUMNS($AO$1006:AX1006),$AO$1006:$BQ$1006,0))&gt;=100000), " ",IF(INDEX($AO$2:$BQ$1001,MATCH(ROWS($AH$2:AH257),$AH$2:$AH$1001,0),MATCH(COLUMNS($AO$1006:AX1006),$AO$1006:$BQ$1006,0)), HYPERLINK("#",""), HYPERLINK(CONCATENATE("#Metadata!", ADDRESS(INDEX($AJ$2:$AJ$1001,MATCH(ROWS($AH$2:AH257),$AH$2:$AH$1001,0),0), INDEX($AO$1004:$BQ$1004,1,MATCH(COLUMNS($AO$1006:AX1006),$AO$1006:$BQ$1006,0)))),"Fix")))</f>
        <v>#N/A</v>
      </c>
      <c r="L257" s="5" t="e">
        <f ca="1">IF(OR(INDEX($AI$2:$AI$1001,MATCH(ROWS($AH$2:AH257),$AH$2:$AH$1001,0),1)&gt;=100000,INDEX($AO$1005:$BQ$1005,1,MATCH(COLUMNS($AO$1006:AY1006),$AO$1006:$BQ$1006,0))&gt;=100000), " ",IF(INDEX($AO$2:$BQ$1001,MATCH(ROWS($AH$2:AH257),$AH$2:$AH$1001,0),MATCH(COLUMNS($AO$1006:AY1006),$AO$1006:$BQ$1006,0)), HYPERLINK("#",""), HYPERLINK(CONCATENATE("#Metadata!", ADDRESS(INDEX($AJ$2:$AJ$1001,MATCH(ROWS($AH$2:AH257),$AH$2:$AH$1001,0),0), INDEX($AO$1004:$BQ$1004,1,MATCH(COLUMNS($AO$1006:AY1006),$AO$1006:$BQ$1006,0)))),"Fix")))</f>
        <v>#N/A</v>
      </c>
      <c r="M257" s="5" t="e">
        <f ca="1">IF(OR(INDEX($AI$2:$AI$1001,MATCH(ROWS($AH$2:AH257),$AH$2:$AH$1001,0),1)&gt;=100000,INDEX($AO$1005:$BQ$1005,1,MATCH(COLUMNS($AO$1006:AZ1006),$AO$1006:$BQ$1006,0))&gt;=100000), " ",IF(INDEX($AO$2:$BQ$1001,MATCH(ROWS($AH$2:AH257),$AH$2:$AH$1001,0),MATCH(COLUMNS($AO$1006:AZ1006),$AO$1006:$BQ$1006,0)), HYPERLINK("#",""), HYPERLINK(CONCATENATE("#Metadata!", ADDRESS(INDEX($AJ$2:$AJ$1001,MATCH(ROWS($AH$2:AH257),$AH$2:$AH$1001,0),0), INDEX($AO$1004:$BQ$1004,1,MATCH(COLUMNS($AO$1006:AZ1006),$AO$1006:$BQ$1006,0)))),"Fix")))</f>
        <v>#N/A</v>
      </c>
      <c r="N257" s="5" t="e">
        <f ca="1">IF(OR(INDEX($AI$2:$AI$1001,MATCH(ROWS($AH$2:AH257),$AH$2:$AH$1001,0),1)&gt;=100000,INDEX($AO$1005:$BQ$1005,1,MATCH(COLUMNS($AO$1006:BA1006),$AO$1006:$BQ$1006,0))&gt;=100000), " ",IF(INDEX($AO$2:$BQ$1001,MATCH(ROWS($AH$2:AH257),$AH$2:$AH$1001,0),MATCH(COLUMNS($AO$1006:BA1006),$AO$1006:$BQ$1006,0)), HYPERLINK("#",""), HYPERLINK(CONCATENATE("#Metadata!", ADDRESS(INDEX($AJ$2:$AJ$1001,MATCH(ROWS($AH$2:AH257),$AH$2:$AH$1001,0),0), INDEX($AO$1004:$BQ$1004,1,MATCH(COLUMNS($AO$1006:BA1006),$AO$1006:$BQ$1006,0)))),"Fix")))</f>
        <v>#N/A</v>
      </c>
      <c r="O257" s="5" t="e">
        <f ca="1">IF(OR(INDEX($AI$2:$AI$1001,MATCH(ROWS($AH$2:AH257),$AH$2:$AH$1001,0),1)&gt;=100000,INDEX($AO$1005:$BQ$1005,1,MATCH(COLUMNS($AO$1006:BB1006),$AO$1006:$BQ$1006,0))&gt;=100000), " ",IF(INDEX($AO$2:$BQ$1001,MATCH(ROWS($AH$2:AH257),$AH$2:$AH$1001,0),MATCH(COLUMNS($AO$1006:BB1006),$AO$1006:$BQ$1006,0)), HYPERLINK("#",""), HYPERLINK(CONCATENATE("#Metadata!", ADDRESS(INDEX($AJ$2:$AJ$1001,MATCH(ROWS($AH$2:AH257),$AH$2:$AH$1001,0),0), INDEX($AO$1004:$BQ$1004,1,MATCH(COLUMNS($AO$1006:BB1006),$AO$1006:$BQ$1006,0)))),"Fix")))</f>
        <v>#N/A</v>
      </c>
      <c r="P257" s="5" t="e">
        <f ca="1">IF(OR(INDEX($AI$2:$AI$1001,MATCH(ROWS($AH$2:AH257),$AH$2:$AH$1001,0),1)&gt;=100000,INDEX($AO$1005:$BQ$1005,1,MATCH(COLUMNS($AO$1006:BC1006),$AO$1006:$BQ$1006,0))&gt;=100000), " ",IF(INDEX($AO$2:$BQ$1001,MATCH(ROWS($AH$2:AH257),$AH$2:$AH$1001,0),MATCH(COLUMNS($AO$1006:BC1006),$AO$1006:$BQ$1006,0)), HYPERLINK("#",""), HYPERLINK(CONCATENATE("#Metadata!", ADDRESS(INDEX($AJ$2:$AJ$1001,MATCH(ROWS($AH$2:AH257),$AH$2:$AH$1001,0),0), INDEX($AO$1004:$BQ$1004,1,MATCH(COLUMNS($AO$1006:BC1006),$AO$1006:$BQ$1006,0)))),"Fix")))</f>
        <v>#N/A</v>
      </c>
      <c r="Q257" s="5" t="e">
        <f ca="1">IF(OR(INDEX($AI$2:$AI$1001,MATCH(ROWS($AH$2:AH257),$AH$2:$AH$1001,0),1)&gt;=100000,INDEX($AO$1005:$BQ$1005,1,MATCH(COLUMNS($AO$1006:BD1006),$AO$1006:$BQ$1006,0))&gt;=100000), " ",IF(INDEX($AO$2:$BQ$1001,MATCH(ROWS($AH$2:AH257),$AH$2:$AH$1001,0),MATCH(COLUMNS($AO$1006:BD1006),$AO$1006:$BQ$1006,0)), HYPERLINK("#",""), HYPERLINK(CONCATENATE("#Metadata!", ADDRESS(INDEX($AJ$2:$AJ$1001,MATCH(ROWS($AH$2:AH257),$AH$2:$AH$1001,0),0), INDEX($AO$1004:$BQ$1004,1,MATCH(COLUMNS($AO$1006:BD1006),$AO$1006:$BQ$1006,0)))),"Fix")))</f>
        <v>#N/A</v>
      </c>
      <c r="R257" s="5" t="e">
        <f ca="1">IF(OR(INDEX($AI$2:$AI$1001,MATCH(ROWS($AH$2:AH257),$AH$2:$AH$1001,0),1)&gt;=100000,INDEX($AO$1005:$BQ$1005,1,MATCH(COLUMNS($AO$1006:BE1006),$AO$1006:$BQ$1006,0))&gt;=100000), " ",IF(INDEX($AO$2:$BQ$1001,MATCH(ROWS($AH$2:AH257),$AH$2:$AH$1001,0),MATCH(COLUMNS($AO$1006:BE1006),$AO$1006:$BQ$1006,0)), HYPERLINK("#",""), HYPERLINK(CONCATENATE("#Metadata!", ADDRESS(INDEX($AJ$2:$AJ$1001,MATCH(ROWS($AH$2:AH257),$AH$2:$AH$1001,0),0), INDEX($AO$1004:$BQ$1004,1,MATCH(COLUMNS($AO$1006:BE1006),$AO$1006:$BQ$1006,0)))),"Fix")))</f>
        <v>#N/A</v>
      </c>
      <c r="S257" s="5" t="e">
        <f ca="1">IF(OR(INDEX($AI$2:$AI$1001,MATCH(ROWS($AH$2:AH257),$AH$2:$AH$1001,0),1)&gt;=100000,INDEX($AO$1005:$BQ$1005,1,MATCH(COLUMNS($AO$1006:BF1006),$AO$1006:$BQ$1006,0))&gt;=100000), " ",IF(INDEX($AO$2:$BQ$1001,MATCH(ROWS($AH$2:AH257),$AH$2:$AH$1001,0),MATCH(COLUMNS($AO$1006:BF1006),$AO$1006:$BQ$1006,0)), HYPERLINK("#",""), HYPERLINK(CONCATENATE("#Metadata!", ADDRESS(INDEX($AJ$2:$AJ$1001,MATCH(ROWS($AH$2:AH257),$AH$2:$AH$1001,0),0), INDEX($AO$1004:$BQ$1004,1,MATCH(COLUMNS($AO$1006:BF1006),$AO$1006:$BQ$1006,0)))),"Fix")))</f>
        <v>#N/A</v>
      </c>
      <c r="T257" s="5" t="e">
        <f ca="1">IF(OR(INDEX($AI$2:$AI$1001,MATCH(ROWS($AH$2:AH257),$AH$2:$AH$1001,0),1)&gt;=100000,INDEX($AO$1005:$BQ$1005,1,MATCH(COLUMNS($AO$1006:BG1006),$AO$1006:$BQ$1006,0))&gt;=100000), " ",IF(INDEX($AO$2:$BQ$1001,MATCH(ROWS($AH$2:AH257),$AH$2:$AH$1001,0),MATCH(COLUMNS($AO$1006:BG1006),$AO$1006:$BQ$1006,0)), HYPERLINK("#",""), HYPERLINK(CONCATENATE("#Metadata!", ADDRESS(INDEX($AJ$2:$AJ$1001,MATCH(ROWS($AH$2:AH257),$AH$2:$AH$1001,0),0), INDEX($AO$1004:$BQ$1004,1,MATCH(COLUMNS($AO$1006:BG1006),$AO$1006:$BQ$1006,0)))),"Fix")))</f>
        <v>#N/A</v>
      </c>
      <c r="U257" s="5" t="e">
        <f ca="1">IF(OR(INDEX($AI$2:$AI$1001,MATCH(ROWS($AH$2:AH257),$AH$2:$AH$1001,0),1)&gt;=100000,INDEX($AO$1005:$BQ$1005,1,MATCH(COLUMNS($AO$1006:BH1006),$AO$1006:$BQ$1006,0))&gt;=100000), " ",IF(INDEX($AO$2:$BQ$1001,MATCH(ROWS($AH$2:AH257),$AH$2:$AH$1001,0),MATCH(COLUMNS($AO$1006:BH1006),$AO$1006:$BQ$1006,0)), HYPERLINK("#",""), HYPERLINK(CONCATENATE("#Metadata!", ADDRESS(INDEX($AJ$2:$AJ$1001,MATCH(ROWS($AH$2:AH257),$AH$2:$AH$1001,0),0), INDEX($AO$1004:$BQ$1004,1,MATCH(COLUMNS($AO$1006:BH1006),$AO$1006:$BQ$1006,0)))),"Fix")))</f>
        <v>#N/A</v>
      </c>
      <c r="V257" s="5" t="e">
        <f ca="1">IF(OR(INDEX($AI$2:$AI$1001,MATCH(ROWS($AH$2:AH257),$AH$2:$AH$1001,0),1)&gt;=100000,INDEX($AO$1005:$BQ$1005,1,MATCH(COLUMNS($AO$1006:BI1006),$AO$1006:$BQ$1006,0))&gt;=100000), " ",IF(INDEX($AO$2:$BQ$1001,MATCH(ROWS($AH$2:AH257),$AH$2:$AH$1001,0),MATCH(COLUMNS($AO$1006:BI1006),$AO$1006:$BQ$1006,0)), HYPERLINK("#",""), HYPERLINK(CONCATENATE("#Metadata!", ADDRESS(INDEX($AJ$2:$AJ$1001,MATCH(ROWS($AH$2:AH257),$AH$2:$AH$1001,0),0), INDEX($AO$1004:$BQ$1004,1,MATCH(COLUMNS($AO$1006:BI1006),$AO$1006:$BQ$1006,0)))),"Fix")))</f>
        <v>#N/A</v>
      </c>
      <c r="W257" s="5" t="e">
        <f ca="1">IF(OR(INDEX($AI$2:$AI$1001,MATCH(ROWS($AH$2:AH257),$AH$2:$AH$1001,0),1)&gt;=100000,INDEX($AO$1005:$BQ$1005,1,MATCH(COLUMNS($AO$1006:BJ1006),$AO$1006:$BQ$1006,0))&gt;=100000), " ",IF(INDEX($AO$2:$BQ$1001,MATCH(ROWS($AH$2:AH257),$AH$2:$AH$1001,0),MATCH(COLUMNS($AO$1006:BJ1006),$AO$1006:$BQ$1006,0)), HYPERLINK("#",""), HYPERLINK(CONCATENATE("#Metadata!", ADDRESS(INDEX($AJ$2:$AJ$1001,MATCH(ROWS($AH$2:AH257),$AH$2:$AH$1001,0),0), INDEX($AO$1004:$BQ$1004,1,MATCH(COLUMNS($AO$1006:BJ1006),$AO$1006:$BQ$1006,0)))),"Fix")))</f>
        <v>#N/A</v>
      </c>
      <c r="X257" s="5" t="e">
        <f ca="1">IF(OR(INDEX($AI$2:$AI$1001,MATCH(ROWS($AH$2:AH257),$AH$2:$AH$1001,0),1)&gt;=100000,INDEX($AO$1005:$BQ$1005,1,MATCH(COLUMNS($AO$1006:BK1006),$AO$1006:$BQ$1006,0))&gt;=100000), " ",IF(INDEX($AO$2:$BQ$1001,MATCH(ROWS($AH$2:AH257),$AH$2:$AH$1001,0),MATCH(COLUMNS($AO$1006:BK1006),$AO$1006:$BQ$1006,0)), HYPERLINK("#",""), HYPERLINK(CONCATENATE("#Metadata!", ADDRESS(INDEX($AJ$2:$AJ$1001,MATCH(ROWS($AH$2:AH257),$AH$2:$AH$1001,0),0), INDEX($AO$1004:$BQ$1004,1,MATCH(COLUMNS($AO$1006:BK1006),$AO$1006:$BQ$1006,0)))),"Fix")))</f>
        <v>#N/A</v>
      </c>
      <c r="Y257" s="5" t="e">
        <f ca="1">IF(OR(INDEX($AI$2:$AI$1001,MATCH(ROWS($AH$2:AH257),$AH$2:$AH$1001,0),1)&gt;=100000,INDEX($AO$1005:$BQ$1005,1,MATCH(COLUMNS($AO$1006:BL1006),$AO$1006:$BQ$1006,0))&gt;=100000), " ",IF(INDEX($AO$2:$BQ$1001,MATCH(ROWS($AH$2:AH257),$AH$2:$AH$1001,0),MATCH(COLUMNS($AO$1006:BL1006),$AO$1006:$BQ$1006,0)), HYPERLINK("#",""), HYPERLINK(CONCATENATE("#Metadata!", ADDRESS(INDEX($AJ$2:$AJ$1001,MATCH(ROWS($AH$2:AH257),$AH$2:$AH$1001,0),0), INDEX($AO$1004:$BQ$1004,1,MATCH(COLUMNS($AO$1006:BL1006),$AO$1006:$BQ$1006,0)))),"Fix")))</f>
        <v>#N/A</v>
      </c>
      <c r="Z257" s="5" t="e">
        <f ca="1">IF(OR(INDEX($AI$2:$AI$1001,MATCH(ROWS($AH$2:AH257),$AH$2:$AH$1001,0),1)&gt;=100000,INDEX($AO$1005:$BQ$1005,1,MATCH(COLUMNS($AO$1006:BM1006),$AO$1006:$BQ$1006,0))&gt;=100000), " ",IF(INDEX($AO$2:$BQ$1001,MATCH(ROWS($AH$2:AH257),$AH$2:$AH$1001,0),MATCH(COLUMNS($AO$1006:BM1006),$AO$1006:$BQ$1006,0)), HYPERLINK("#",""), HYPERLINK(CONCATENATE("#Metadata!", ADDRESS(INDEX($AJ$2:$AJ$1001,MATCH(ROWS($AH$2:AH257),$AH$2:$AH$1001,0),0), INDEX($AO$1004:$BQ$1004,1,MATCH(COLUMNS($AO$1006:BM1006),$AO$1006:$BQ$1006,0)))),"Fix")))</f>
        <v>#N/A</v>
      </c>
      <c r="AA257" s="5" t="e">
        <f ca="1">IF(OR(INDEX($AI$2:$AI$1001,MATCH(ROWS($AH$2:AH257),$AH$2:$AH$1001,0),1)&gt;=100000,INDEX($AO$1005:$BQ$1005,1,MATCH(COLUMNS($AO$1006:BN1006),$AO$1006:$BQ$1006,0))&gt;=100000), " ",IF(INDEX($AO$2:$BQ$1001,MATCH(ROWS($AH$2:AH257),$AH$2:$AH$1001,0),MATCH(COLUMNS($AO$1006:BN1006),$AO$1006:$BQ$1006,0)), HYPERLINK("#",""), HYPERLINK(CONCATENATE("#Metadata!", ADDRESS(INDEX($AJ$2:$AJ$1001,MATCH(ROWS($AH$2:AH257),$AH$2:$AH$1001,0),0), INDEX($AO$1004:$BQ$1004,1,MATCH(COLUMNS($AO$1006:BN1006),$AO$1006:$BQ$1006,0)))),"Fix")))</f>
        <v>#N/A</v>
      </c>
      <c r="AB257" s="5" t="e">
        <f ca="1">IF(OR(INDEX($AI$2:$AI$1001,MATCH(ROWS($AH$2:AH257),$AH$2:$AH$1001,0),1)&gt;=100000,INDEX($AO$1005:$BQ$1005,1,MATCH(COLUMNS($AO$1006:BO1006),$AO$1006:$BQ$1006,0))&gt;=100000), " ",IF(INDEX($AO$2:$BQ$1001,MATCH(ROWS($AH$2:AH257),$AH$2:$AH$1001,0),MATCH(COLUMNS($AO$1006:BO1006),$AO$1006:$BQ$1006,0)), HYPERLINK("#",""), HYPERLINK(CONCATENATE("#Metadata!", ADDRESS(INDEX($AJ$2:$AJ$1001,MATCH(ROWS($AH$2:AH257),$AH$2:$AH$1001,0),0), INDEX($AO$1004:$BQ$1004,1,MATCH(COLUMNS($AO$1006:BO1006),$AO$1006:$BQ$1006,0)))),"Fix")))</f>
        <v>#N/A</v>
      </c>
      <c r="AC257" s="5" t="e">
        <f ca="1">IF(OR(INDEX($AI$2:$AI$1001,MATCH(ROWS($AH$2:AH257),$AH$2:$AH$1001,0),1)&gt;=100000,INDEX($AO$1005:$BQ$1005,1,MATCH(COLUMNS($AO$1006:BP1006),$AO$1006:$BQ$1006,0))&gt;=100000), " ",IF(INDEX($AO$2:$BQ$1001,MATCH(ROWS($AH$2:AH257),$AH$2:$AH$1001,0),MATCH(COLUMNS($AO$1006:BP1006),$AO$1006:$BQ$1006,0)), HYPERLINK("#",""), HYPERLINK(CONCATENATE("#Metadata!", ADDRESS(INDEX($AJ$2:$AJ$1001,MATCH(ROWS($AH$2:AH257),$AH$2:$AH$1001,0),0), INDEX($AO$1004:$BQ$1004,1,MATCH(COLUMNS($AO$1006:BP1006),$AO$1006:$BQ$1006,0)))),"Fix")))</f>
        <v>#N/A</v>
      </c>
      <c r="AD257" s="5" t="e">
        <f ca="1">IF(OR(INDEX($AI$2:$AI$1001,MATCH(ROWS($AH$2:AH257),$AH$2:$AH$1001,0),1)&gt;=100000,INDEX($AO$1005:$BQ$1005,1,MATCH(COLUMNS($AO$1006:BQ1006),$AO$1006:$BQ$1006,0))&gt;=100000), " ",IF(INDEX($AO$2:$BQ$1001,MATCH(ROWS($AH$2:AH257),$AH$2:$AH$1001,0),MATCH(COLUMNS($AO$1006:BQ1006),$AO$1006:$BQ$1006,0)), HYPERLINK("#",""), HYPERLINK(CONCATENATE("#Metadata!", ADDRESS(INDEX($AJ$2:$AJ$1001,MATCH(ROWS($AH$2:AH257),$AH$2:$AH$1001,0),0), INDEX($AO$1004:$BQ$1004,1,MATCH(COLUMNS($AO$1006:BQ1006),$AO$1006:$BQ$1006,0)))),"Fix")))</f>
        <v>#REF!</v>
      </c>
      <c r="AH257">
        <f ca="1"/>
        <v>254</v>
      </c>
      <c r="AI257">
        <v>100257</v>
      </c>
      <c r="AJ257">
        <v>257</v>
      </c>
      <c r="AK257" t="b">
        <f t="shared" si="3"/>
        <v>1</v>
      </c>
      <c r="AL257" t="b">
        <f>COUNTBLANK(Metadata!B257:AD257)=COLUMNS(Metadata!B257:AD257)</f>
        <v>1</v>
      </c>
      <c r="AM257" t="str">
        <v/>
      </c>
      <c r="AO257" t="b">
        <f ca="1">AND(IF(Metadata!B257="",FALSE,TRUE),COUNTIF(Metadata!B:B, Metadata!B257) = 1,NOT(ISERROR(SUMPRODUCT(SEARCH(MID(Metadata!B257,ROW(INDIRECT("1:"&amp;LEN(Metadata!B257))), 1),"0123456789abcdefghijklmnopqrstuvwxyzABCDEFGHIJKLMNOPQRSTUVWXYZ.")))))</f>
        <v>0</v>
      </c>
      <c r="AP257" t="b">
        <f>IF(Metadata!C257="",FALSE,TRUE)</f>
        <v>0</v>
      </c>
      <c r="AQ257" t="b">
        <f>IF(Metadata!D257="",FALSE,TRUE)</f>
        <v>0</v>
      </c>
      <c r="AR257" t="b">
        <f ca="1">OR(AND(IF(Metadata!E257="",FALSE,TRUE),OR(EXACT(Metadata!E257,"not collected"),EXACT(Metadata!E257,"not provided"),EXACT(Metadata!E257,"restricted access"))),AND(IF(Metadata!E257="",FALSE,TRUE),AND(AND(IFERROR(INT(LEFT(Metadata!E257,4))&gt;1900,FALSE),IFERROR(INT(LEFT(Metadata!E257,4))&lt;=YEAR(NOW()),FALSE)), OR(MID(Metadata!E257,5,1)="", AND(AND(MID(Metadata!E257,5,1)="-",IFERROR(INT(MID(Metadata!E257,6,1))&gt;=0,FALSE),IFERROR(INT(MID(Metadata!E257,6,1))&lt;=1,FALSE),NOT(MID(Metadata!E257,7,1)=""),IFERROR(INT(MID(Metadata!E257,6,2))&gt;=1,FALSE),IFERROR(INT(MID(Metadata!E257,6,2))&lt;=12,FALSE)), OR(MID(Metadata!E257,8,1)="", AND(AND(MID(Metadata!E257,8,1)="-",IFERROR(INT(MID(Metadata!E257,9,1))&gt;=0,FALSE),IFERROR(INT(MID(Metadata!E257,9,1))&lt;=3,FALSE),NOT(MID(Metadata!E257,10,1)=""),IFERROR(INT(MID(Metadata!E257,9,2))&gt;=1,FALSE),IFERROR(INT(MID(Metadata!E257,9,2))&lt;=31,FALSE)), OR(MID(Metadata!E257,11,1)="", AND(AND(MID(Metadata!E257,11,1)=" ",IFERROR(INT(MID(Metadata!E257,12,1))&gt;=0,FALSE),IFERROR(INT(MID(Metadata!E257,12,1))&lt;=2,FALSE),NOT(MID(Metadata!E257,13,1)=""),IFERROR(INT(MID(Metadata!E257,12,2))&gt;=0,FALSE),IFERROR(INT(MID(Metadata!E257,12,2))&lt;=23,FALSE)), OR(MID(Metadata!E257,14,1)="", AND(AND(MID(Metadata!E257,14,1)=":",IFERROR(INT(MID(Metadata!E257,15,1))&gt;=0,FALSE),IFERROR(INT(MID(Metadata!E257,15,1))&lt;=5,FALSE),NOT(MID(Metadata!E257,16,1)=""),IFERROR(INT(MID(Metadata!E257,15,2))&gt;=0,FALSE),IFERROR(INT(MID(Metadata!E257,15,2))&lt;=59,FALSE)), OR(MID(Metadata!E257,17,1)="", AND(AND(MID(Metadata!E257,17,1)=":",IFERROR(INT(MID(Metadata!E257,18,1))&gt;=0,FALSE),IFERROR(INT(MID(Metadata!E257,18,1))&lt;=5,FALSE),NOT(MID(Metadata!E257,19,1)=""),IFERROR(INT(MID(Metadata!E257,18,2))&gt;=0,FALSE),IFERROR(INT(MID(Metadata!E257,18,2))&lt;=59,FALSE)), LEN(Metadata!E257)&lt;=19)))))))))))))</f>
        <v>0</v>
      </c>
      <c r="AS257" t="b">
        <f>IF(Metadata!F257="",FALSE,TRUE)</f>
        <v>0</v>
      </c>
      <c r="AT257" t="b">
        <f>OR(AND(IF(Metadata!G257="",FALSE,TRUE),OR(EXACT(Metadata!G257,"not collected"),EXACT(Metadata!G257,"not provided"))),AND(IF(Metadata!G257="",FALSE,TRUE),OR(EXACT(Metadata!G257,"TRUE"),EXACT(Metadata!G257,"FALSE"))))</f>
        <v>0</v>
      </c>
      <c r="AU257" t="b">
        <f>OR(AND(IF(Metadata!H257="",FALSE,TRUE),OR(EXACT(Metadata!H257,"not collected"),EXACT(Metadata!H257,"not provided"),EXACT(Metadata!H257,"restricted access"))),AND(IF(Metadata!H257="",FALSE,ISNUMBER(VALUE(Metadata!H257))),Metadata!H257&gt;=-413))</f>
        <v>0</v>
      </c>
      <c r="AV257" t="b">
        <f>AND(IF(Metadata!I257="",FALSE,TRUE),EXACT(Metadata!I257,"meters"))</f>
        <v>0</v>
      </c>
      <c r="AW257" t="b">
        <f>AND(IF(Metadata!J257="",FALSE,TRUE),EXACT(Metadata!J257,"free-living"))</f>
        <v>0</v>
      </c>
      <c r="AX257" t="b">
        <f>AND(IF(Metadata!K257="",FALSE,TRUE),OR(EXACT(Metadata!K257,"saline"),EXACT(Metadata!K257,"non-saline")))</f>
        <v>0</v>
      </c>
      <c r="AY257" t="b">
        <f>AND(IF(Metadata!L257="",FALSE,TRUE),OR(EXACT(Metadata!L257,"sub-surface (non-saline)"),EXACT(Metadata!L257,"surface (non-saline)"),EXACT(Metadata!L257,"water (non-saline)"),EXACT(Metadata!L257,"soil (non-saline)"),EXACT(Metadata!L257,"aerosol (non-saline)"),EXACT(Metadata!L257,"sediment (non-saline)"),EXACT(Metadata!L257,"surface (saline)"),EXACT(Metadata!L257,"water (saline)"),EXACT(Metadata!L257,"hypersaline (saline)"),EXACT(Metadata!L257,"aerosol (saline)"),EXACT(Metadata!L257,"sediment (saline)")))</f>
        <v>0</v>
      </c>
      <c r="AZ257" t="b">
        <f>IF(Metadata!M257="",FALSE,TRUE)</f>
        <v>0</v>
      </c>
      <c r="BA257" t="b">
        <f>IF(Metadata!N257="",FALSE,TRUE)</f>
        <v>0</v>
      </c>
      <c r="BB257" t="b">
        <f>IF(Metadata!O257="",FALSE,TRUE)</f>
        <v>0</v>
      </c>
      <c r="BC257" t="b">
        <f>AND(IF(Metadata!P257="",FALSE,TRUE),OR(EXACT(Metadata!P257,"air"),EXACT(Metadata!P257,"microbial mat/biofilm"),EXACT(Metadata!P257,"misc environment"),EXACT(Metadata!P257,"sediment"),EXACT(Metadata!P257,"soil"),EXACT(Metadata!P257,"wastewater/sludge"),EXACT(Metadata!P257,"water")))</f>
        <v>0</v>
      </c>
      <c r="BD257" t="b">
        <f>IF(Metadata!Q257="",FALSE,TRUE)</f>
        <v>0</v>
      </c>
      <c r="BE257" t="b">
        <f>IF(Metadata!R257="",FALSE,TRUE)</f>
        <v>0</v>
      </c>
      <c r="BF257" t="b">
        <f>OR(AND(IF(Metadata!S257="",FALSE,TRUE),OR(EXACT(Metadata!S257,"not collected"),EXACT(Metadata!S257,"not provided"),EXACT(Metadata!S257,"restricted access"))),AND(IF(Metadata!S257="",FALSE,ISNUMBER(VALUE(Metadata!S257))),Metadata!S257&gt;=-90,Metadata!S257&lt;=90))</f>
        <v>0</v>
      </c>
      <c r="BG257" t="b">
        <f>AND(IF(Metadata!T257="",FALSE,TRUE),EXACT(Metadata!T257,"Decimal degrees"))</f>
        <v>0</v>
      </c>
      <c r="BH257" t="b">
        <f>OR(AND(IF(Metadata!U257="",FALSE,TRUE),OR(EXACT(Metadata!U257,"not applicable"),EXACT(Metadata!U257,"not collected"))),IF(Metadata!U257="",FALSE,TRUE))</f>
        <v>0</v>
      </c>
      <c r="BI257" t="b">
        <f>OR(AND(IF(Metadata!V257="",FALSE,TRUE),OR(EXACT(Metadata!V257,"not collected"),EXACT(Metadata!V257,"not provided"),EXACT(Metadata!V257,"restricted access"))),AND(IF(Metadata!V257="",FALSE,ISNUMBER(VALUE(Metadata!V257))),Metadata!V257&gt;=-180,Metadata!V257&lt;=180))</f>
        <v>0</v>
      </c>
      <c r="BJ257" t="b">
        <f>AND(IF(Metadata!W257="",FALSE,TRUE),EXACT(Metadata!W257,"Decimal degrees"))</f>
        <v>0</v>
      </c>
      <c r="BK257" t="b">
        <f>IF(Metadata!X257="",FALSE,TRUE)</f>
        <v>0</v>
      </c>
      <c r="BL257" t="b">
        <f>OR(AND(IF(Metadata!Y257="",FALSE,TRUE),OR(EXACT(Metadata!Y257,"not collected"),EXACT(Metadata!Y257,"not provided"),EXACT(Metadata!Y257,"restricted access"))),AND(IF(Metadata!Y257="",FALSE,TRUE),OR(EXACT(Metadata!Y257,"TRUE"),EXACT(Metadata!Y257,"FALSE"))))</f>
        <v>0</v>
      </c>
      <c r="BM257" t="b">
        <f>OR(AND(IF(Metadata!Z257="",FALSE,TRUE),EXACT(Metadata!Z257,"not applicable")),AND(IF(Metadata!Z257="",FALSE,TRUE),OR(EXACT(Metadata!Z257,"beer"),EXACT(Metadata!Z257,"cheese"),EXACT(Metadata!Z257,"fresh water"),EXACT(Metadata!Z257,"marine sediment"),EXACT(Metadata!Z257,"sea water"),EXACT(Metadata!Z257,"sediment"),EXACT(Metadata!Z257,"soil"),EXACT(Metadata!Z257,"waste water"))))</f>
        <v>0</v>
      </c>
      <c r="BN257" t="b">
        <f>AND(IF(Metadata!AA257="",FALSE,TRUE),EXACT(Metadata!AA257,"metagenome"))</f>
        <v>0</v>
      </c>
      <c r="BO257" t="b">
        <f>AND(IF(Metadata!AB257="",FALSE,TRUE),EXACT(Metadata!AB257,"256318"))</f>
        <v>0</v>
      </c>
      <c r="BP257" t="b">
        <f>IF(Metadata!AC257="",FALSE,TRUE)</f>
        <v>0</v>
      </c>
      <c r="BQ257" t="b">
        <f>IF(Metadata!AD257="",FALSE,TRUE)</f>
        <v>0</v>
      </c>
    </row>
    <row r="258" spans="1:69" x14ac:dyDescent="0.2">
      <c r="A258" s="4" t="e">
        <f ca="1">IF(B258=" "," ",HYPERLINK(CONCATENATE("#metadata!",ADDRESS(INDEX($AJ$2:$AJ$1001,MATCH(ROWS($AH$2:AH258),$AH$2:$AH$1001,0),0),2)),INDEX($AM$2:$AM$1001,MATCH(ROWS($AH$2:AH258),$AH$2:$AH$1001,0),0)))</f>
        <v>#N/A</v>
      </c>
      <c r="B258" s="5" t="e">
        <f ca="1">IF(OR(INDEX($AI$2:$AI$1001,MATCH(ROWS($AH$2:AH258),$AH$2:$AH$1001,0),1)&gt;=100000,INDEX($AO$1005:$BQ$1005,1,MATCH(COLUMNS($AO$1006:AO1006),$AO$1006:$BQ$1006,0))&gt;=100000), " ",IF(INDEX($AO$2:$BQ$1001,MATCH(ROWS($AH$2:AH258),$AH$2:$AH$1001,0),MATCH(COLUMNS($AO$1006:AO1006),$AO$1006:$BQ$1006,0)), HYPERLINK("#",""), HYPERLINK(CONCATENATE("#Metadata!", ADDRESS(INDEX($AJ$2:$AJ$1001,MATCH(ROWS($AH$2:AH258),$AH$2:$AH$1001,0),0), INDEX($AO$1004:$BQ$1004,1,MATCH(COLUMNS($AO$1006:AO1006),$AO$1006:$BQ$1006,0)))),"Fix")))</f>
        <v>#N/A</v>
      </c>
      <c r="C258" s="5" t="e">
        <f ca="1">IF(OR(INDEX($AI$2:$AI$1001,MATCH(ROWS($AH$2:AH258),$AH$2:$AH$1001,0),1)&gt;=100000,INDEX($AO$1005:$BQ$1005,1,MATCH(COLUMNS($AO$1006:AP1006),$AO$1006:$BQ$1006,0))&gt;=100000), " ",IF(INDEX($AO$2:$BQ$1001,MATCH(ROWS($AH$2:AH258),$AH$2:$AH$1001,0),MATCH(COLUMNS($AO$1006:AP1006),$AO$1006:$BQ$1006,0)), HYPERLINK("#",""), HYPERLINK(CONCATENATE("#Metadata!", ADDRESS(INDEX($AJ$2:$AJ$1001,MATCH(ROWS($AH$2:AH258),$AH$2:$AH$1001,0),0), INDEX($AO$1004:$BQ$1004,1,MATCH(COLUMNS($AO$1006:AP1006),$AO$1006:$BQ$1006,0)))),"Fix")))</f>
        <v>#N/A</v>
      </c>
      <c r="D258" s="5" t="e">
        <f ca="1">IF(OR(INDEX($AI$2:$AI$1001,MATCH(ROWS($AH$2:AH258),$AH$2:$AH$1001,0),1)&gt;=100000,INDEX($AO$1005:$BQ$1005,1,MATCH(COLUMNS($AO$1006:AQ1006),$AO$1006:$BQ$1006,0))&gt;=100000), " ",IF(INDEX($AO$2:$BQ$1001,MATCH(ROWS($AH$2:AH258),$AH$2:$AH$1001,0),MATCH(COLUMNS($AO$1006:AQ1006),$AO$1006:$BQ$1006,0)), HYPERLINK("#",""), HYPERLINK(CONCATENATE("#Metadata!", ADDRESS(INDEX($AJ$2:$AJ$1001,MATCH(ROWS($AH$2:AH258),$AH$2:$AH$1001,0),0), INDEX($AO$1004:$BQ$1004,1,MATCH(COLUMNS($AO$1006:AQ1006),$AO$1006:$BQ$1006,0)))),"Fix")))</f>
        <v>#N/A</v>
      </c>
      <c r="E258" s="5" t="e">
        <f ca="1">IF(OR(INDEX($AI$2:$AI$1001,MATCH(ROWS($AH$2:AH258),$AH$2:$AH$1001,0),1)&gt;=100000,INDEX($AO$1005:$BQ$1005,1,MATCH(COLUMNS($AO$1006:AR1006),$AO$1006:$BQ$1006,0))&gt;=100000), " ",IF(INDEX($AO$2:$BQ$1001,MATCH(ROWS($AH$2:AH258),$AH$2:$AH$1001,0),MATCH(COLUMNS($AO$1006:AR1006),$AO$1006:$BQ$1006,0)), HYPERLINK("#",""), HYPERLINK(CONCATENATE("#Metadata!", ADDRESS(INDEX($AJ$2:$AJ$1001,MATCH(ROWS($AH$2:AH258),$AH$2:$AH$1001,0),0), INDEX($AO$1004:$BQ$1004,1,MATCH(COLUMNS($AO$1006:AR1006),$AO$1006:$BQ$1006,0)))),"Fix")))</f>
        <v>#N/A</v>
      </c>
      <c r="F258" s="5" t="e">
        <f ca="1">IF(OR(INDEX($AI$2:$AI$1001,MATCH(ROWS($AH$2:AH258),$AH$2:$AH$1001,0),1)&gt;=100000,INDEX($AO$1005:$BQ$1005,1,MATCH(COLUMNS($AO$1006:AS1006),$AO$1006:$BQ$1006,0))&gt;=100000), " ",IF(INDEX($AO$2:$BQ$1001,MATCH(ROWS($AH$2:AH258),$AH$2:$AH$1001,0),MATCH(COLUMNS($AO$1006:AS1006),$AO$1006:$BQ$1006,0)), HYPERLINK("#",""), HYPERLINK(CONCATENATE("#Metadata!", ADDRESS(INDEX($AJ$2:$AJ$1001,MATCH(ROWS($AH$2:AH258),$AH$2:$AH$1001,0),0), INDEX($AO$1004:$BQ$1004,1,MATCH(COLUMNS($AO$1006:AS1006),$AO$1006:$BQ$1006,0)))),"Fix")))</f>
        <v>#N/A</v>
      </c>
      <c r="G258" s="5" t="e">
        <f ca="1">IF(OR(INDEX($AI$2:$AI$1001,MATCH(ROWS($AH$2:AH258),$AH$2:$AH$1001,0),1)&gt;=100000,INDEX($AO$1005:$BQ$1005,1,MATCH(COLUMNS($AO$1006:AT1006),$AO$1006:$BQ$1006,0))&gt;=100000), " ",IF(INDEX($AO$2:$BQ$1001,MATCH(ROWS($AH$2:AH258),$AH$2:$AH$1001,0),MATCH(COLUMNS($AO$1006:AT1006),$AO$1006:$BQ$1006,0)), HYPERLINK("#",""), HYPERLINK(CONCATENATE("#Metadata!", ADDRESS(INDEX($AJ$2:$AJ$1001,MATCH(ROWS($AH$2:AH258),$AH$2:$AH$1001,0),0), INDEX($AO$1004:$BQ$1004,1,MATCH(COLUMNS($AO$1006:AT1006),$AO$1006:$BQ$1006,0)))),"Fix")))</f>
        <v>#N/A</v>
      </c>
      <c r="H258" s="5" t="e">
        <f ca="1">IF(OR(INDEX($AI$2:$AI$1001,MATCH(ROWS($AH$2:AH258),$AH$2:$AH$1001,0),1)&gt;=100000,INDEX($AO$1005:$BQ$1005,1,MATCH(COLUMNS($AO$1006:AU1006),$AO$1006:$BQ$1006,0))&gt;=100000), " ",IF(INDEX($AO$2:$BQ$1001,MATCH(ROWS($AH$2:AH258),$AH$2:$AH$1001,0),MATCH(COLUMNS($AO$1006:AU1006),$AO$1006:$BQ$1006,0)), HYPERLINK("#",""), HYPERLINK(CONCATENATE("#Metadata!", ADDRESS(INDEX($AJ$2:$AJ$1001,MATCH(ROWS($AH$2:AH258),$AH$2:$AH$1001,0),0), INDEX($AO$1004:$BQ$1004,1,MATCH(COLUMNS($AO$1006:AU1006),$AO$1006:$BQ$1006,0)))),"Fix")))</f>
        <v>#N/A</v>
      </c>
      <c r="I258" s="5" t="e">
        <f ca="1">IF(OR(INDEX($AI$2:$AI$1001,MATCH(ROWS($AH$2:AH258),$AH$2:$AH$1001,0),1)&gt;=100000,INDEX($AO$1005:$BQ$1005,1,MATCH(COLUMNS($AO$1006:AV1006),$AO$1006:$BQ$1006,0))&gt;=100000), " ",IF(INDEX($AO$2:$BQ$1001,MATCH(ROWS($AH$2:AH258),$AH$2:$AH$1001,0),MATCH(COLUMNS($AO$1006:AV1006),$AO$1006:$BQ$1006,0)), HYPERLINK("#",""), HYPERLINK(CONCATENATE("#Metadata!", ADDRESS(INDEX($AJ$2:$AJ$1001,MATCH(ROWS($AH$2:AH258),$AH$2:$AH$1001,0),0), INDEX($AO$1004:$BQ$1004,1,MATCH(COLUMNS($AO$1006:AV1006),$AO$1006:$BQ$1006,0)))),"Fix")))</f>
        <v>#N/A</v>
      </c>
      <c r="J258" s="5" t="e">
        <f ca="1">IF(OR(INDEX($AI$2:$AI$1001,MATCH(ROWS($AH$2:AH258),$AH$2:$AH$1001,0),1)&gt;=100000,INDEX($AO$1005:$BQ$1005,1,MATCH(COLUMNS($AO$1006:AW1006),$AO$1006:$BQ$1006,0))&gt;=100000), " ",IF(INDEX($AO$2:$BQ$1001,MATCH(ROWS($AH$2:AH258),$AH$2:$AH$1001,0),MATCH(COLUMNS($AO$1006:AW1006),$AO$1006:$BQ$1006,0)), HYPERLINK("#",""), HYPERLINK(CONCATENATE("#Metadata!", ADDRESS(INDEX($AJ$2:$AJ$1001,MATCH(ROWS($AH$2:AH258),$AH$2:$AH$1001,0),0), INDEX($AO$1004:$BQ$1004,1,MATCH(COLUMNS($AO$1006:AW1006),$AO$1006:$BQ$1006,0)))),"Fix")))</f>
        <v>#N/A</v>
      </c>
      <c r="K258" s="5" t="e">
        <f ca="1">IF(OR(INDEX($AI$2:$AI$1001,MATCH(ROWS($AH$2:AH258),$AH$2:$AH$1001,0),1)&gt;=100000,INDEX($AO$1005:$BQ$1005,1,MATCH(COLUMNS($AO$1006:AX1006),$AO$1006:$BQ$1006,0))&gt;=100000), " ",IF(INDEX($AO$2:$BQ$1001,MATCH(ROWS($AH$2:AH258),$AH$2:$AH$1001,0),MATCH(COLUMNS($AO$1006:AX1006),$AO$1006:$BQ$1006,0)), HYPERLINK("#",""), HYPERLINK(CONCATENATE("#Metadata!", ADDRESS(INDEX($AJ$2:$AJ$1001,MATCH(ROWS($AH$2:AH258),$AH$2:$AH$1001,0),0), INDEX($AO$1004:$BQ$1004,1,MATCH(COLUMNS($AO$1006:AX1006),$AO$1006:$BQ$1006,0)))),"Fix")))</f>
        <v>#N/A</v>
      </c>
      <c r="L258" s="5" t="e">
        <f ca="1">IF(OR(INDEX($AI$2:$AI$1001,MATCH(ROWS($AH$2:AH258),$AH$2:$AH$1001,0),1)&gt;=100000,INDEX($AO$1005:$BQ$1005,1,MATCH(COLUMNS($AO$1006:AY1006),$AO$1006:$BQ$1006,0))&gt;=100000), " ",IF(INDEX($AO$2:$BQ$1001,MATCH(ROWS($AH$2:AH258),$AH$2:$AH$1001,0),MATCH(COLUMNS($AO$1006:AY1006),$AO$1006:$BQ$1006,0)), HYPERLINK("#",""), HYPERLINK(CONCATENATE("#Metadata!", ADDRESS(INDEX($AJ$2:$AJ$1001,MATCH(ROWS($AH$2:AH258),$AH$2:$AH$1001,0),0), INDEX($AO$1004:$BQ$1004,1,MATCH(COLUMNS($AO$1006:AY1006),$AO$1006:$BQ$1006,0)))),"Fix")))</f>
        <v>#N/A</v>
      </c>
      <c r="M258" s="5" t="e">
        <f ca="1">IF(OR(INDEX($AI$2:$AI$1001,MATCH(ROWS($AH$2:AH258),$AH$2:$AH$1001,0),1)&gt;=100000,INDEX($AO$1005:$BQ$1005,1,MATCH(COLUMNS($AO$1006:AZ1006),$AO$1006:$BQ$1006,0))&gt;=100000), " ",IF(INDEX($AO$2:$BQ$1001,MATCH(ROWS($AH$2:AH258),$AH$2:$AH$1001,0),MATCH(COLUMNS($AO$1006:AZ1006),$AO$1006:$BQ$1006,0)), HYPERLINK("#",""), HYPERLINK(CONCATENATE("#Metadata!", ADDRESS(INDEX($AJ$2:$AJ$1001,MATCH(ROWS($AH$2:AH258),$AH$2:$AH$1001,0),0), INDEX($AO$1004:$BQ$1004,1,MATCH(COLUMNS($AO$1006:AZ1006),$AO$1006:$BQ$1006,0)))),"Fix")))</f>
        <v>#N/A</v>
      </c>
      <c r="N258" s="5" t="e">
        <f ca="1">IF(OR(INDEX($AI$2:$AI$1001,MATCH(ROWS($AH$2:AH258),$AH$2:$AH$1001,0),1)&gt;=100000,INDEX($AO$1005:$BQ$1005,1,MATCH(COLUMNS($AO$1006:BA1006),$AO$1006:$BQ$1006,0))&gt;=100000), " ",IF(INDEX($AO$2:$BQ$1001,MATCH(ROWS($AH$2:AH258),$AH$2:$AH$1001,0),MATCH(COLUMNS($AO$1006:BA1006),$AO$1006:$BQ$1006,0)), HYPERLINK("#",""), HYPERLINK(CONCATENATE("#Metadata!", ADDRESS(INDEX($AJ$2:$AJ$1001,MATCH(ROWS($AH$2:AH258),$AH$2:$AH$1001,0),0), INDEX($AO$1004:$BQ$1004,1,MATCH(COLUMNS($AO$1006:BA1006),$AO$1006:$BQ$1006,0)))),"Fix")))</f>
        <v>#N/A</v>
      </c>
      <c r="O258" s="5" t="e">
        <f ca="1">IF(OR(INDEX($AI$2:$AI$1001,MATCH(ROWS($AH$2:AH258),$AH$2:$AH$1001,0),1)&gt;=100000,INDEX($AO$1005:$BQ$1005,1,MATCH(COLUMNS($AO$1006:BB1006),$AO$1006:$BQ$1006,0))&gt;=100000), " ",IF(INDEX($AO$2:$BQ$1001,MATCH(ROWS($AH$2:AH258),$AH$2:$AH$1001,0),MATCH(COLUMNS($AO$1006:BB1006),$AO$1006:$BQ$1006,0)), HYPERLINK("#",""), HYPERLINK(CONCATENATE("#Metadata!", ADDRESS(INDEX($AJ$2:$AJ$1001,MATCH(ROWS($AH$2:AH258),$AH$2:$AH$1001,0),0), INDEX($AO$1004:$BQ$1004,1,MATCH(COLUMNS($AO$1006:BB1006),$AO$1006:$BQ$1006,0)))),"Fix")))</f>
        <v>#N/A</v>
      </c>
      <c r="P258" s="5" t="e">
        <f ca="1">IF(OR(INDEX($AI$2:$AI$1001,MATCH(ROWS($AH$2:AH258),$AH$2:$AH$1001,0),1)&gt;=100000,INDEX($AO$1005:$BQ$1005,1,MATCH(COLUMNS($AO$1006:BC1006),$AO$1006:$BQ$1006,0))&gt;=100000), " ",IF(INDEX($AO$2:$BQ$1001,MATCH(ROWS($AH$2:AH258),$AH$2:$AH$1001,0),MATCH(COLUMNS($AO$1006:BC1006),$AO$1006:$BQ$1006,0)), HYPERLINK("#",""), HYPERLINK(CONCATENATE("#Metadata!", ADDRESS(INDEX($AJ$2:$AJ$1001,MATCH(ROWS($AH$2:AH258),$AH$2:$AH$1001,0),0), INDEX($AO$1004:$BQ$1004,1,MATCH(COLUMNS($AO$1006:BC1006),$AO$1006:$BQ$1006,0)))),"Fix")))</f>
        <v>#N/A</v>
      </c>
      <c r="Q258" s="5" t="e">
        <f ca="1">IF(OR(INDEX($AI$2:$AI$1001,MATCH(ROWS($AH$2:AH258),$AH$2:$AH$1001,0),1)&gt;=100000,INDEX($AO$1005:$BQ$1005,1,MATCH(COLUMNS($AO$1006:BD1006),$AO$1006:$BQ$1006,0))&gt;=100000), " ",IF(INDEX($AO$2:$BQ$1001,MATCH(ROWS($AH$2:AH258),$AH$2:$AH$1001,0),MATCH(COLUMNS($AO$1006:BD1006),$AO$1006:$BQ$1006,0)), HYPERLINK("#",""), HYPERLINK(CONCATENATE("#Metadata!", ADDRESS(INDEX($AJ$2:$AJ$1001,MATCH(ROWS($AH$2:AH258),$AH$2:$AH$1001,0),0), INDEX($AO$1004:$BQ$1004,1,MATCH(COLUMNS($AO$1006:BD1006),$AO$1006:$BQ$1006,0)))),"Fix")))</f>
        <v>#N/A</v>
      </c>
      <c r="R258" s="5" t="e">
        <f ca="1">IF(OR(INDEX($AI$2:$AI$1001,MATCH(ROWS($AH$2:AH258),$AH$2:$AH$1001,0),1)&gt;=100000,INDEX($AO$1005:$BQ$1005,1,MATCH(COLUMNS($AO$1006:BE1006),$AO$1006:$BQ$1006,0))&gt;=100000), " ",IF(INDEX($AO$2:$BQ$1001,MATCH(ROWS($AH$2:AH258),$AH$2:$AH$1001,0),MATCH(COLUMNS($AO$1006:BE1006),$AO$1006:$BQ$1006,0)), HYPERLINK("#",""), HYPERLINK(CONCATENATE("#Metadata!", ADDRESS(INDEX($AJ$2:$AJ$1001,MATCH(ROWS($AH$2:AH258),$AH$2:$AH$1001,0),0), INDEX($AO$1004:$BQ$1004,1,MATCH(COLUMNS($AO$1006:BE1006),$AO$1006:$BQ$1006,0)))),"Fix")))</f>
        <v>#N/A</v>
      </c>
      <c r="S258" s="5" t="e">
        <f ca="1">IF(OR(INDEX($AI$2:$AI$1001,MATCH(ROWS($AH$2:AH258),$AH$2:$AH$1001,0),1)&gt;=100000,INDEX($AO$1005:$BQ$1005,1,MATCH(COLUMNS($AO$1006:BF1006),$AO$1006:$BQ$1006,0))&gt;=100000), " ",IF(INDEX($AO$2:$BQ$1001,MATCH(ROWS($AH$2:AH258),$AH$2:$AH$1001,0),MATCH(COLUMNS($AO$1006:BF1006),$AO$1006:$BQ$1006,0)), HYPERLINK("#",""), HYPERLINK(CONCATENATE("#Metadata!", ADDRESS(INDEX($AJ$2:$AJ$1001,MATCH(ROWS($AH$2:AH258),$AH$2:$AH$1001,0),0), INDEX($AO$1004:$BQ$1004,1,MATCH(COLUMNS($AO$1006:BF1006),$AO$1006:$BQ$1006,0)))),"Fix")))</f>
        <v>#N/A</v>
      </c>
      <c r="T258" s="5" t="e">
        <f ca="1">IF(OR(INDEX($AI$2:$AI$1001,MATCH(ROWS($AH$2:AH258),$AH$2:$AH$1001,0),1)&gt;=100000,INDEX($AO$1005:$BQ$1005,1,MATCH(COLUMNS($AO$1006:BG1006),$AO$1006:$BQ$1006,0))&gt;=100000), " ",IF(INDEX($AO$2:$BQ$1001,MATCH(ROWS($AH$2:AH258),$AH$2:$AH$1001,0),MATCH(COLUMNS($AO$1006:BG1006),$AO$1006:$BQ$1006,0)), HYPERLINK("#",""), HYPERLINK(CONCATENATE("#Metadata!", ADDRESS(INDEX($AJ$2:$AJ$1001,MATCH(ROWS($AH$2:AH258),$AH$2:$AH$1001,0),0), INDEX($AO$1004:$BQ$1004,1,MATCH(COLUMNS($AO$1006:BG1006),$AO$1006:$BQ$1006,0)))),"Fix")))</f>
        <v>#N/A</v>
      </c>
      <c r="U258" s="5" t="e">
        <f ca="1">IF(OR(INDEX($AI$2:$AI$1001,MATCH(ROWS($AH$2:AH258),$AH$2:$AH$1001,0),1)&gt;=100000,INDEX($AO$1005:$BQ$1005,1,MATCH(COLUMNS($AO$1006:BH1006),$AO$1006:$BQ$1006,0))&gt;=100000), " ",IF(INDEX($AO$2:$BQ$1001,MATCH(ROWS($AH$2:AH258),$AH$2:$AH$1001,0),MATCH(COLUMNS($AO$1006:BH1006),$AO$1006:$BQ$1006,0)), HYPERLINK("#",""), HYPERLINK(CONCATENATE("#Metadata!", ADDRESS(INDEX($AJ$2:$AJ$1001,MATCH(ROWS($AH$2:AH258),$AH$2:$AH$1001,0),0), INDEX($AO$1004:$BQ$1004,1,MATCH(COLUMNS($AO$1006:BH1006),$AO$1006:$BQ$1006,0)))),"Fix")))</f>
        <v>#N/A</v>
      </c>
      <c r="V258" s="5" t="e">
        <f ca="1">IF(OR(INDEX($AI$2:$AI$1001,MATCH(ROWS($AH$2:AH258),$AH$2:$AH$1001,0),1)&gt;=100000,INDEX($AO$1005:$BQ$1005,1,MATCH(COLUMNS($AO$1006:BI1006),$AO$1006:$BQ$1006,0))&gt;=100000), " ",IF(INDEX($AO$2:$BQ$1001,MATCH(ROWS($AH$2:AH258),$AH$2:$AH$1001,0),MATCH(COLUMNS($AO$1006:BI1006),$AO$1006:$BQ$1006,0)), HYPERLINK("#",""), HYPERLINK(CONCATENATE("#Metadata!", ADDRESS(INDEX($AJ$2:$AJ$1001,MATCH(ROWS($AH$2:AH258),$AH$2:$AH$1001,0),0), INDEX($AO$1004:$BQ$1004,1,MATCH(COLUMNS($AO$1006:BI1006),$AO$1006:$BQ$1006,0)))),"Fix")))</f>
        <v>#N/A</v>
      </c>
      <c r="W258" s="5" t="e">
        <f ca="1">IF(OR(INDEX($AI$2:$AI$1001,MATCH(ROWS($AH$2:AH258),$AH$2:$AH$1001,0),1)&gt;=100000,INDEX($AO$1005:$BQ$1005,1,MATCH(COLUMNS($AO$1006:BJ1006),$AO$1006:$BQ$1006,0))&gt;=100000), " ",IF(INDEX($AO$2:$BQ$1001,MATCH(ROWS($AH$2:AH258),$AH$2:$AH$1001,0),MATCH(COLUMNS($AO$1006:BJ1006),$AO$1006:$BQ$1006,0)), HYPERLINK("#",""), HYPERLINK(CONCATENATE("#Metadata!", ADDRESS(INDEX($AJ$2:$AJ$1001,MATCH(ROWS($AH$2:AH258),$AH$2:$AH$1001,0),0), INDEX($AO$1004:$BQ$1004,1,MATCH(COLUMNS($AO$1006:BJ1006),$AO$1006:$BQ$1006,0)))),"Fix")))</f>
        <v>#N/A</v>
      </c>
      <c r="X258" s="5" t="e">
        <f ca="1">IF(OR(INDEX($AI$2:$AI$1001,MATCH(ROWS($AH$2:AH258),$AH$2:$AH$1001,0),1)&gt;=100000,INDEX($AO$1005:$BQ$1005,1,MATCH(COLUMNS($AO$1006:BK1006),$AO$1006:$BQ$1006,0))&gt;=100000), " ",IF(INDEX($AO$2:$BQ$1001,MATCH(ROWS($AH$2:AH258),$AH$2:$AH$1001,0),MATCH(COLUMNS($AO$1006:BK1006),$AO$1006:$BQ$1006,0)), HYPERLINK("#",""), HYPERLINK(CONCATENATE("#Metadata!", ADDRESS(INDEX($AJ$2:$AJ$1001,MATCH(ROWS($AH$2:AH258),$AH$2:$AH$1001,0),0), INDEX($AO$1004:$BQ$1004,1,MATCH(COLUMNS($AO$1006:BK1006),$AO$1006:$BQ$1006,0)))),"Fix")))</f>
        <v>#N/A</v>
      </c>
      <c r="Y258" s="5" t="e">
        <f ca="1">IF(OR(INDEX($AI$2:$AI$1001,MATCH(ROWS($AH$2:AH258),$AH$2:$AH$1001,0),1)&gt;=100000,INDEX($AO$1005:$BQ$1005,1,MATCH(COLUMNS($AO$1006:BL1006),$AO$1006:$BQ$1006,0))&gt;=100000), " ",IF(INDEX($AO$2:$BQ$1001,MATCH(ROWS($AH$2:AH258),$AH$2:$AH$1001,0),MATCH(COLUMNS($AO$1006:BL1006),$AO$1006:$BQ$1006,0)), HYPERLINK("#",""), HYPERLINK(CONCATENATE("#Metadata!", ADDRESS(INDEX($AJ$2:$AJ$1001,MATCH(ROWS($AH$2:AH258),$AH$2:$AH$1001,0),0), INDEX($AO$1004:$BQ$1004,1,MATCH(COLUMNS($AO$1006:BL1006),$AO$1006:$BQ$1006,0)))),"Fix")))</f>
        <v>#N/A</v>
      </c>
      <c r="Z258" s="5" t="e">
        <f ca="1">IF(OR(INDEX($AI$2:$AI$1001,MATCH(ROWS($AH$2:AH258),$AH$2:$AH$1001,0),1)&gt;=100000,INDEX($AO$1005:$BQ$1005,1,MATCH(COLUMNS($AO$1006:BM1006),$AO$1006:$BQ$1006,0))&gt;=100000), " ",IF(INDEX($AO$2:$BQ$1001,MATCH(ROWS($AH$2:AH258),$AH$2:$AH$1001,0),MATCH(COLUMNS($AO$1006:BM1006),$AO$1006:$BQ$1006,0)), HYPERLINK("#",""), HYPERLINK(CONCATENATE("#Metadata!", ADDRESS(INDEX($AJ$2:$AJ$1001,MATCH(ROWS($AH$2:AH258),$AH$2:$AH$1001,0),0), INDEX($AO$1004:$BQ$1004,1,MATCH(COLUMNS($AO$1006:BM1006),$AO$1006:$BQ$1006,0)))),"Fix")))</f>
        <v>#N/A</v>
      </c>
      <c r="AA258" s="5" t="e">
        <f ca="1">IF(OR(INDEX($AI$2:$AI$1001,MATCH(ROWS($AH$2:AH258),$AH$2:$AH$1001,0),1)&gt;=100000,INDEX($AO$1005:$BQ$1005,1,MATCH(COLUMNS($AO$1006:BN1006),$AO$1006:$BQ$1006,0))&gt;=100000), " ",IF(INDEX($AO$2:$BQ$1001,MATCH(ROWS($AH$2:AH258),$AH$2:$AH$1001,0),MATCH(COLUMNS($AO$1006:BN1006),$AO$1006:$BQ$1006,0)), HYPERLINK("#",""), HYPERLINK(CONCATENATE("#Metadata!", ADDRESS(INDEX($AJ$2:$AJ$1001,MATCH(ROWS($AH$2:AH258),$AH$2:$AH$1001,0),0), INDEX($AO$1004:$BQ$1004,1,MATCH(COLUMNS($AO$1006:BN1006),$AO$1006:$BQ$1006,0)))),"Fix")))</f>
        <v>#N/A</v>
      </c>
      <c r="AB258" s="5" t="e">
        <f ca="1">IF(OR(INDEX($AI$2:$AI$1001,MATCH(ROWS($AH$2:AH258),$AH$2:$AH$1001,0),1)&gt;=100000,INDEX($AO$1005:$BQ$1005,1,MATCH(COLUMNS($AO$1006:BO1006),$AO$1006:$BQ$1006,0))&gt;=100000), " ",IF(INDEX($AO$2:$BQ$1001,MATCH(ROWS($AH$2:AH258),$AH$2:$AH$1001,0),MATCH(COLUMNS($AO$1006:BO1006),$AO$1006:$BQ$1006,0)), HYPERLINK("#",""), HYPERLINK(CONCATENATE("#Metadata!", ADDRESS(INDEX($AJ$2:$AJ$1001,MATCH(ROWS($AH$2:AH258),$AH$2:$AH$1001,0),0), INDEX($AO$1004:$BQ$1004,1,MATCH(COLUMNS($AO$1006:BO1006),$AO$1006:$BQ$1006,0)))),"Fix")))</f>
        <v>#N/A</v>
      </c>
      <c r="AC258" s="5" t="e">
        <f ca="1">IF(OR(INDEX($AI$2:$AI$1001,MATCH(ROWS($AH$2:AH258),$AH$2:$AH$1001,0),1)&gt;=100000,INDEX($AO$1005:$BQ$1005,1,MATCH(COLUMNS($AO$1006:BP1006),$AO$1006:$BQ$1006,0))&gt;=100000), " ",IF(INDEX($AO$2:$BQ$1001,MATCH(ROWS($AH$2:AH258),$AH$2:$AH$1001,0),MATCH(COLUMNS($AO$1006:BP1006),$AO$1006:$BQ$1006,0)), HYPERLINK("#",""), HYPERLINK(CONCATENATE("#Metadata!", ADDRESS(INDEX($AJ$2:$AJ$1001,MATCH(ROWS($AH$2:AH258),$AH$2:$AH$1001,0),0), INDEX($AO$1004:$BQ$1004,1,MATCH(COLUMNS($AO$1006:BP1006),$AO$1006:$BQ$1006,0)))),"Fix")))</f>
        <v>#N/A</v>
      </c>
      <c r="AD258" s="5" t="e">
        <f ca="1">IF(OR(INDEX($AI$2:$AI$1001,MATCH(ROWS($AH$2:AH258),$AH$2:$AH$1001,0),1)&gt;=100000,INDEX($AO$1005:$BQ$1005,1,MATCH(COLUMNS($AO$1006:BQ1006),$AO$1006:$BQ$1006,0))&gt;=100000), " ",IF(INDEX($AO$2:$BQ$1001,MATCH(ROWS($AH$2:AH258),$AH$2:$AH$1001,0),MATCH(COLUMNS($AO$1006:BQ1006),$AO$1006:$BQ$1006,0)), HYPERLINK("#",""), HYPERLINK(CONCATENATE("#Metadata!", ADDRESS(INDEX($AJ$2:$AJ$1001,MATCH(ROWS($AH$2:AH258),$AH$2:$AH$1001,0),0), INDEX($AO$1004:$BQ$1004,1,MATCH(COLUMNS($AO$1006:BQ1006),$AO$1006:$BQ$1006,0)))),"Fix")))</f>
        <v>#REF!</v>
      </c>
      <c r="AH258">
        <f ca="1"/>
        <v>255</v>
      </c>
      <c r="AI258">
        <v>100258</v>
      </c>
      <c r="AJ258">
        <v>258</v>
      </c>
      <c r="AK258" t="b">
        <f t="shared" ref="AK258:AK321" si="4">IF(AL258,TRUE,AND(AO258:BQ258))</f>
        <v>1</v>
      </c>
      <c r="AL258" t="b">
        <f>COUNTBLANK(Metadata!B258:AD258)=COLUMNS(Metadata!B258:AD258)</f>
        <v>1</v>
      </c>
      <c r="AM258" t="str">
        <v/>
      </c>
      <c r="AO258" t="b">
        <f ca="1">AND(IF(Metadata!B258="",FALSE,TRUE),COUNTIF(Metadata!B:B, Metadata!B258) = 1,NOT(ISERROR(SUMPRODUCT(SEARCH(MID(Metadata!B258,ROW(INDIRECT("1:"&amp;LEN(Metadata!B258))), 1),"0123456789abcdefghijklmnopqrstuvwxyzABCDEFGHIJKLMNOPQRSTUVWXYZ.")))))</f>
        <v>0</v>
      </c>
      <c r="AP258" t="b">
        <f>IF(Metadata!C258="",FALSE,TRUE)</f>
        <v>0</v>
      </c>
      <c r="AQ258" t="b">
        <f>IF(Metadata!D258="",FALSE,TRUE)</f>
        <v>0</v>
      </c>
      <c r="AR258" t="b">
        <f ca="1">OR(AND(IF(Metadata!E258="",FALSE,TRUE),OR(EXACT(Metadata!E258,"not collected"),EXACT(Metadata!E258,"not provided"),EXACT(Metadata!E258,"restricted access"))),AND(IF(Metadata!E258="",FALSE,TRUE),AND(AND(IFERROR(INT(LEFT(Metadata!E258,4))&gt;1900,FALSE),IFERROR(INT(LEFT(Metadata!E258,4))&lt;=YEAR(NOW()),FALSE)), OR(MID(Metadata!E258,5,1)="", AND(AND(MID(Metadata!E258,5,1)="-",IFERROR(INT(MID(Metadata!E258,6,1))&gt;=0,FALSE),IFERROR(INT(MID(Metadata!E258,6,1))&lt;=1,FALSE),NOT(MID(Metadata!E258,7,1)=""),IFERROR(INT(MID(Metadata!E258,6,2))&gt;=1,FALSE),IFERROR(INT(MID(Metadata!E258,6,2))&lt;=12,FALSE)), OR(MID(Metadata!E258,8,1)="", AND(AND(MID(Metadata!E258,8,1)="-",IFERROR(INT(MID(Metadata!E258,9,1))&gt;=0,FALSE),IFERROR(INT(MID(Metadata!E258,9,1))&lt;=3,FALSE),NOT(MID(Metadata!E258,10,1)=""),IFERROR(INT(MID(Metadata!E258,9,2))&gt;=1,FALSE),IFERROR(INT(MID(Metadata!E258,9,2))&lt;=31,FALSE)), OR(MID(Metadata!E258,11,1)="", AND(AND(MID(Metadata!E258,11,1)=" ",IFERROR(INT(MID(Metadata!E258,12,1))&gt;=0,FALSE),IFERROR(INT(MID(Metadata!E258,12,1))&lt;=2,FALSE),NOT(MID(Metadata!E258,13,1)=""),IFERROR(INT(MID(Metadata!E258,12,2))&gt;=0,FALSE),IFERROR(INT(MID(Metadata!E258,12,2))&lt;=23,FALSE)), OR(MID(Metadata!E258,14,1)="", AND(AND(MID(Metadata!E258,14,1)=":",IFERROR(INT(MID(Metadata!E258,15,1))&gt;=0,FALSE),IFERROR(INT(MID(Metadata!E258,15,1))&lt;=5,FALSE),NOT(MID(Metadata!E258,16,1)=""),IFERROR(INT(MID(Metadata!E258,15,2))&gt;=0,FALSE),IFERROR(INT(MID(Metadata!E258,15,2))&lt;=59,FALSE)), OR(MID(Metadata!E258,17,1)="", AND(AND(MID(Metadata!E258,17,1)=":",IFERROR(INT(MID(Metadata!E258,18,1))&gt;=0,FALSE),IFERROR(INT(MID(Metadata!E258,18,1))&lt;=5,FALSE),NOT(MID(Metadata!E258,19,1)=""),IFERROR(INT(MID(Metadata!E258,18,2))&gt;=0,FALSE),IFERROR(INT(MID(Metadata!E258,18,2))&lt;=59,FALSE)), LEN(Metadata!E258)&lt;=19)))))))))))))</f>
        <v>0</v>
      </c>
      <c r="AS258" t="b">
        <f>IF(Metadata!F258="",FALSE,TRUE)</f>
        <v>0</v>
      </c>
      <c r="AT258" t="b">
        <f>OR(AND(IF(Metadata!G258="",FALSE,TRUE),OR(EXACT(Metadata!G258,"not collected"),EXACT(Metadata!G258,"not provided"))),AND(IF(Metadata!G258="",FALSE,TRUE),OR(EXACT(Metadata!G258,"TRUE"),EXACT(Metadata!G258,"FALSE"))))</f>
        <v>0</v>
      </c>
      <c r="AU258" t="b">
        <f>OR(AND(IF(Metadata!H258="",FALSE,TRUE),OR(EXACT(Metadata!H258,"not collected"),EXACT(Metadata!H258,"not provided"),EXACT(Metadata!H258,"restricted access"))),AND(IF(Metadata!H258="",FALSE,ISNUMBER(VALUE(Metadata!H258))),Metadata!H258&gt;=-413))</f>
        <v>0</v>
      </c>
      <c r="AV258" t="b">
        <f>AND(IF(Metadata!I258="",FALSE,TRUE),EXACT(Metadata!I258,"meters"))</f>
        <v>0</v>
      </c>
      <c r="AW258" t="b">
        <f>AND(IF(Metadata!J258="",FALSE,TRUE),EXACT(Metadata!J258,"free-living"))</f>
        <v>0</v>
      </c>
      <c r="AX258" t="b">
        <f>AND(IF(Metadata!K258="",FALSE,TRUE),OR(EXACT(Metadata!K258,"saline"),EXACT(Metadata!K258,"non-saline")))</f>
        <v>0</v>
      </c>
      <c r="AY258" t="b">
        <f>AND(IF(Metadata!L258="",FALSE,TRUE),OR(EXACT(Metadata!L258,"sub-surface (non-saline)"),EXACT(Metadata!L258,"surface (non-saline)"),EXACT(Metadata!L258,"water (non-saline)"),EXACT(Metadata!L258,"soil (non-saline)"),EXACT(Metadata!L258,"aerosol (non-saline)"),EXACT(Metadata!L258,"sediment (non-saline)"),EXACT(Metadata!L258,"surface (saline)"),EXACT(Metadata!L258,"water (saline)"),EXACT(Metadata!L258,"hypersaline (saline)"),EXACT(Metadata!L258,"aerosol (saline)"),EXACT(Metadata!L258,"sediment (saline)")))</f>
        <v>0</v>
      </c>
      <c r="AZ258" t="b">
        <f>IF(Metadata!M258="",FALSE,TRUE)</f>
        <v>0</v>
      </c>
      <c r="BA258" t="b">
        <f>IF(Metadata!N258="",FALSE,TRUE)</f>
        <v>0</v>
      </c>
      <c r="BB258" t="b">
        <f>IF(Metadata!O258="",FALSE,TRUE)</f>
        <v>0</v>
      </c>
      <c r="BC258" t="b">
        <f>AND(IF(Metadata!P258="",FALSE,TRUE),OR(EXACT(Metadata!P258,"air"),EXACT(Metadata!P258,"microbial mat/biofilm"),EXACT(Metadata!P258,"misc environment"),EXACT(Metadata!P258,"sediment"),EXACT(Metadata!P258,"soil"),EXACT(Metadata!P258,"wastewater/sludge"),EXACT(Metadata!P258,"water")))</f>
        <v>0</v>
      </c>
      <c r="BD258" t="b">
        <f>IF(Metadata!Q258="",FALSE,TRUE)</f>
        <v>0</v>
      </c>
      <c r="BE258" t="b">
        <f>IF(Metadata!R258="",FALSE,TRUE)</f>
        <v>0</v>
      </c>
      <c r="BF258" t="b">
        <f>OR(AND(IF(Metadata!S258="",FALSE,TRUE),OR(EXACT(Metadata!S258,"not collected"),EXACT(Metadata!S258,"not provided"),EXACT(Metadata!S258,"restricted access"))),AND(IF(Metadata!S258="",FALSE,ISNUMBER(VALUE(Metadata!S258))),Metadata!S258&gt;=-90,Metadata!S258&lt;=90))</f>
        <v>0</v>
      </c>
      <c r="BG258" t="b">
        <f>AND(IF(Metadata!T258="",FALSE,TRUE),EXACT(Metadata!T258,"Decimal degrees"))</f>
        <v>0</v>
      </c>
      <c r="BH258" t="b">
        <f>OR(AND(IF(Metadata!U258="",FALSE,TRUE),OR(EXACT(Metadata!U258,"not applicable"),EXACT(Metadata!U258,"not collected"))),IF(Metadata!U258="",FALSE,TRUE))</f>
        <v>0</v>
      </c>
      <c r="BI258" t="b">
        <f>OR(AND(IF(Metadata!V258="",FALSE,TRUE),OR(EXACT(Metadata!V258,"not collected"),EXACT(Metadata!V258,"not provided"),EXACT(Metadata!V258,"restricted access"))),AND(IF(Metadata!V258="",FALSE,ISNUMBER(VALUE(Metadata!V258))),Metadata!V258&gt;=-180,Metadata!V258&lt;=180))</f>
        <v>0</v>
      </c>
      <c r="BJ258" t="b">
        <f>AND(IF(Metadata!W258="",FALSE,TRUE),EXACT(Metadata!W258,"Decimal degrees"))</f>
        <v>0</v>
      </c>
      <c r="BK258" t="b">
        <f>IF(Metadata!X258="",FALSE,TRUE)</f>
        <v>0</v>
      </c>
      <c r="BL258" t="b">
        <f>OR(AND(IF(Metadata!Y258="",FALSE,TRUE),OR(EXACT(Metadata!Y258,"not collected"),EXACT(Metadata!Y258,"not provided"),EXACT(Metadata!Y258,"restricted access"))),AND(IF(Metadata!Y258="",FALSE,TRUE),OR(EXACT(Metadata!Y258,"TRUE"),EXACT(Metadata!Y258,"FALSE"))))</f>
        <v>0</v>
      </c>
      <c r="BM258" t="b">
        <f>OR(AND(IF(Metadata!Z258="",FALSE,TRUE),EXACT(Metadata!Z258,"not applicable")),AND(IF(Metadata!Z258="",FALSE,TRUE),OR(EXACT(Metadata!Z258,"beer"),EXACT(Metadata!Z258,"cheese"),EXACT(Metadata!Z258,"fresh water"),EXACT(Metadata!Z258,"marine sediment"),EXACT(Metadata!Z258,"sea water"),EXACT(Metadata!Z258,"sediment"),EXACT(Metadata!Z258,"soil"),EXACT(Metadata!Z258,"waste water"))))</f>
        <v>0</v>
      </c>
      <c r="BN258" t="b">
        <f>AND(IF(Metadata!AA258="",FALSE,TRUE),EXACT(Metadata!AA258,"metagenome"))</f>
        <v>0</v>
      </c>
      <c r="BO258" t="b">
        <f>AND(IF(Metadata!AB258="",FALSE,TRUE),EXACT(Metadata!AB258,"256318"))</f>
        <v>0</v>
      </c>
      <c r="BP258" t="b">
        <f>IF(Metadata!AC258="",FALSE,TRUE)</f>
        <v>0</v>
      </c>
      <c r="BQ258" t="b">
        <f>IF(Metadata!AD258="",FALSE,TRUE)</f>
        <v>0</v>
      </c>
    </row>
    <row r="259" spans="1:69" x14ac:dyDescent="0.2">
      <c r="A259" s="4" t="e">
        <f ca="1">IF(B259=" "," ",HYPERLINK(CONCATENATE("#metadata!",ADDRESS(INDEX($AJ$2:$AJ$1001,MATCH(ROWS($AH$2:AH259),$AH$2:$AH$1001,0),0),2)),INDEX($AM$2:$AM$1001,MATCH(ROWS($AH$2:AH259),$AH$2:$AH$1001,0),0)))</f>
        <v>#N/A</v>
      </c>
      <c r="B259" s="5" t="e">
        <f ca="1">IF(OR(INDEX($AI$2:$AI$1001,MATCH(ROWS($AH$2:AH259),$AH$2:$AH$1001,0),1)&gt;=100000,INDEX($AO$1005:$BQ$1005,1,MATCH(COLUMNS($AO$1006:AO1006),$AO$1006:$BQ$1006,0))&gt;=100000), " ",IF(INDEX($AO$2:$BQ$1001,MATCH(ROWS($AH$2:AH259),$AH$2:$AH$1001,0),MATCH(COLUMNS($AO$1006:AO1006),$AO$1006:$BQ$1006,0)), HYPERLINK("#",""), HYPERLINK(CONCATENATE("#Metadata!", ADDRESS(INDEX($AJ$2:$AJ$1001,MATCH(ROWS($AH$2:AH259),$AH$2:$AH$1001,0),0), INDEX($AO$1004:$BQ$1004,1,MATCH(COLUMNS($AO$1006:AO1006),$AO$1006:$BQ$1006,0)))),"Fix")))</f>
        <v>#N/A</v>
      </c>
      <c r="C259" s="5" t="e">
        <f ca="1">IF(OR(INDEX($AI$2:$AI$1001,MATCH(ROWS($AH$2:AH259),$AH$2:$AH$1001,0),1)&gt;=100000,INDEX($AO$1005:$BQ$1005,1,MATCH(COLUMNS($AO$1006:AP1006),$AO$1006:$BQ$1006,0))&gt;=100000), " ",IF(INDEX($AO$2:$BQ$1001,MATCH(ROWS($AH$2:AH259),$AH$2:$AH$1001,0),MATCH(COLUMNS($AO$1006:AP1006),$AO$1006:$BQ$1006,0)), HYPERLINK("#",""), HYPERLINK(CONCATENATE("#Metadata!", ADDRESS(INDEX($AJ$2:$AJ$1001,MATCH(ROWS($AH$2:AH259),$AH$2:$AH$1001,0),0), INDEX($AO$1004:$BQ$1004,1,MATCH(COLUMNS($AO$1006:AP1006),$AO$1006:$BQ$1006,0)))),"Fix")))</f>
        <v>#N/A</v>
      </c>
      <c r="D259" s="5" t="e">
        <f ca="1">IF(OR(INDEX($AI$2:$AI$1001,MATCH(ROWS($AH$2:AH259),$AH$2:$AH$1001,0),1)&gt;=100000,INDEX($AO$1005:$BQ$1005,1,MATCH(COLUMNS($AO$1006:AQ1006),$AO$1006:$BQ$1006,0))&gt;=100000), " ",IF(INDEX($AO$2:$BQ$1001,MATCH(ROWS($AH$2:AH259),$AH$2:$AH$1001,0),MATCH(COLUMNS($AO$1006:AQ1006),$AO$1006:$BQ$1006,0)), HYPERLINK("#",""), HYPERLINK(CONCATENATE("#Metadata!", ADDRESS(INDEX($AJ$2:$AJ$1001,MATCH(ROWS($AH$2:AH259),$AH$2:$AH$1001,0),0), INDEX($AO$1004:$BQ$1004,1,MATCH(COLUMNS($AO$1006:AQ1006),$AO$1006:$BQ$1006,0)))),"Fix")))</f>
        <v>#N/A</v>
      </c>
      <c r="E259" s="5" t="e">
        <f ca="1">IF(OR(INDEX($AI$2:$AI$1001,MATCH(ROWS($AH$2:AH259),$AH$2:$AH$1001,0),1)&gt;=100000,INDEX($AO$1005:$BQ$1005,1,MATCH(COLUMNS($AO$1006:AR1006),$AO$1006:$BQ$1006,0))&gt;=100000), " ",IF(INDEX($AO$2:$BQ$1001,MATCH(ROWS($AH$2:AH259),$AH$2:$AH$1001,0),MATCH(COLUMNS($AO$1006:AR1006),$AO$1006:$BQ$1006,0)), HYPERLINK("#",""), HYPERLINK(CONCATENATE("#Metadata!", ADDRESS(INDEX($AJ$2:$AJ$1001,MATCH(ROWS($AH$2:AH259),$AH$2:$AH$1001,0),0), INDEX($AO$1004:$BQ$1004,1,MATCH(COLUMNS($AO$1006:AR1006),$AO$1006:$BQ$1006,0)))),"Fix")))</f>
        <v>#N/A</v>
      </c>
      <c r="F259" s="5" t="e">
        <f ca="1">IF(OR(INDEX($AI$2:$AI$1001,MATCH(ROWS($AH$2:AH259),$AH$2:$AH$1001,0),1)&gt;=100000,INDEX($AO$1005:$BQ$1005,1,MATCH(COLUMNS($AO$1006:AS1006),$AO$1006:$BQ$1006,0))&gt;=100000), " ",IF(INDEX($AO$2:$BQ$1001,MATCH(ROWS($AH$2:AH259),$AH$2:$AH$1001,0),MATCH(COLUMNS($AO$1006:AS1006),$AO$1006:$BQ$1006,0)), HYPERLINK("#",""), HYPERLINK(CONCATENATE("#Metadata!", ADDRESS(INDEX($AJ$2:$AJ$1001,MATCH(ROWS($AH$2:AH259),$AH$2:$AH$1001,0),0), INDEX($AO$1004:$BQ$1004,1,MATCH(COLUMNS($AO$1006:AS1006),$AO$1006:$BQ$1006,0)))),"Fix")))</f>
        <v>#N/A</v>
      </c>
      <c r="G259" s="5" t="e">
        <f ca="1">IF(OR(INDEX($AI$2:$AI$1001,MATCH(ROWS($AH$2:AH259),$AH$2:$AH$1001,0),1)&gt;=100000,INDEX($AO$1005:$BQ$1005,1,MATCH(COLUMNS($AO$1006:AT1006),$AO$1006:$BQ$1006,0))&gt;=100000), " ",IF(INDEX($AO$2:$BQ$1001,MATCH(ROWS($AH$2:AH259),$AH$2:$AH$1001,0),MATCH(COLUMNS($AO$1006:AT1006),$AO$1006:$BQ$1006,0)), HYPERLINK("#",""), HYPERLINK(CONCATENATE("#Metadata!", ADDRESS(INDEX($AJ$2:$AJ$1001,MATCH(ROWS($AH$2:AH259),$AH$2:$AH$1001,0),0), INDEX($AO$1004:$BQ$1004,1,MATCH(COLUMNS($AO$1006:AT1006),$AO$1006:$BQ$1006,0)))),"Fix")))</f>
        <v>#N/A</v>
      </c>
      <c r="H259" s="5" t="e">
        <f ca="1">IF(OR(INDEX($AI$2:$AI$1001,MATCH(ROWS($AH$2:AH259),$AH$2:$AH$1001,0),1)&gt;=100000,INDEX($AO$1005:$BQ$1005,1,MATCH(COLUMNS($AO$1006:AU1006),$AO$1006:$BQ$1006,0))&gt;=100000), " ",IF(INDEX($AO$2:$BQ$1001,MATCH(ROWS($AH$2:AH259),$AH$2:$AH$1001,0),MATCH(COLUMNS($AO$1006:AU1006),$AO$1006:$BQ$1006,0)), HYPERLINK("#",""), HYPERLINK(CONCATENATE("#Metadata!", ADDRESS(INDEX($AJ$2:$AJ$1001,MATCH(ROWS($AH$2:AH259),$AH$2:$AH$1001,0),0), INDEX($AO$1004:$BQ$1004,1,MATCH(COLUMNS($AO$1006:AU1006),$AO$1006:$BQ$1006,0)))),"Fix")))</f>
        <v>#N/A</v>
      </c>
      <c r="I259" s="5" t="e">
        <f ca="1">IF(OR(INDEX($AI$2:$AI$1001,MATCH(ROWS($AH$2:AH259),$AH$2:$AH$1001,0),1)&gt;=100000,INDEX($AO$1005:$BQ$1005,1,MATCH(COLUMNS($AO$1006:AV1006),$AO$1006:$BQ$1006,0))&gt;=100000), " ",IF(INDEX($AO$2:$BQ$1001,MATCH(ROWS($AH$2:AH259),$AH$2:$AH$1001,0),MATCH(COLUMNS($AO$1006:AV1006),$AO$1006:$BQ$1006,0)), HYPERLINK("#",""), HYPERLINK(CONCATENATE("#Metadata!", ADDRESS(INDEX($AJ$2:$AJ$1001,MATCH(ROWS($AH$2:AH259),$AH$2:$AH$1001,0),0), INDEX($AO$1004:$BQ$1004,1,MATCH(COLUMNS($AO$1006:AV1006),$AO$1006:$BQ$1006,0)))),"Fix")))</f>
        <v>#N/A</v>
      </c>
      <c r="J259" s="5" t="e">
        <f ca="1">IF(OR(INDEX($AI$2:$AI$1001,MATCH(ROWS($AH$2:AH259),$AH$2:$AH$1001,0),1)&gt;=100000,INDEX($AO$1005:$BQ$1005,1,MATCH(COLUMNS($AO$1006:AW1006),$AO$1006:$BQ$1006,0))&gt;=100000), " ",IF(INDEX($AO$2:$BQ$1001,MATCH(ROWS($AH$2:AH259),$AH$2:$AH$1001,0),MATCH(COLUMNS($AO$1006:AW1006),$AO$1006:$BQ$1006,0)), HYPERLINK("#",""), HYPERLINK(CONCATENATE("#Metadata!", ADDRESS(INDEX($AJ$2:$AJ$1001,MATCH(ROWS($AH$2:AH259),$AH$2:$AH$1001,0),0), INDEX($AO$1004:$BQ$1004,1,MATCH(COLUMNS($AO$1006:AW1006),$AO$1006:$BQ$1006,0)))),"Fix")))</f>
        <v>#N/A</v>
      </c>
      <c r="K259" s="5" t="e">
        <f ca="1">IF(OR(INDEX($AI$2:$AI$1001,MATCH(ROWS($AH$2:AH259),$AH$2:$AH$1001,0),1)&gt;=100000,INDEX($AO$1005:$BQ$1005,1,MATCH(COLUMNS($AO$1006:AX1006),$AO$1006:$BQ$1006,0))&gt;=100000), " ",IF(INDEX($AO$2:$BQ$1001,MATCH(ROWS($AH$2:AH259),$AH$2:$AH$1001,0),MATCH(COLUMNS($AO$1006:AX1006),$AO$1006:$BQ$1006,0)), HYPERLINK("#",""), HYPERLINK(CONCATENATE("#Metadata!", ADDRESS(INDEX($AJ$2:$AJ$1001,MATCH(ROWS($AH$2:AH259),$AH$2:$AH$1001,0),0), INDEX($AO$1004:$BQ$1004,1,MATCH(COLUMNS($AO$1006:AX1006),$AO$1006:$BQ$1006,0)))),"Fix")))</f>
        <v>#N/A</v>
      </c>
      <c r="L259" s="5" t="e">
        <f ca="1">IF(OR(INDEX($AI$2:$AI$1001,MATCH(ROWS($AH$2:AH259),$AH$2:$AH$1001,0),1)&gt;=100000,INDEX($AO$1005:$BQ$1005,1,MATCH(COLUMNS($AO$1006:AY1006),$AO$1006:$BQ$1006,0))&gt;=100000), " ",IF(INDEX($AO$2:$BQ$1001,MATCH(ROWS($AH$2:AH259),$AH$2:$AH$1001,0),MATCH(COLUMNS($AO$1006:AY1006),$AO$1006:$BQ$1006,0)), HYPERLINK("#",""), HYPERLINK(CONCATENATE("#Metadata!", ADDRESS(INDEX($AJ$2:$AJ$1001,MATCH(ROWS($AH$2:AH259),$AH$2:$AH$1001,0),0), INDEX($AO$1004:$BQ$1004,1,MATCH(COLUMNS($AO$1006:AY1006),$AO$1006:$BQ$1006,0)))),"Fix")))</f>
        <v>#N/A</v>
      </c>
      <c r="M259" s="5" t="e">
        <f ca="1">IF(OR(INDEX($AI$2:$AI$1001,MATCH(ROWS($AH$2:AH259),$AH$2:$AH$1001,0),1)&gt;=100000,INDEX($AO$1005:$BQ$1005,1,MATCH(COLUMNS($AO$1006:AZ1006),$AO$1006:$BQ$1006,0))&gt;=100000), " ",IF(INDEX($AO$2:$BQ$1001,MATCH(ROWS($AH$2:AH259),$AH$2:$AH$1001,0),MATCH(COLUMNS($AO$1006:AZ1006),$AO$1006:$BQ$1006,0)), HYPERLINK("#",""), HYPERLINK(CONCATENATE("#Metadata!", ADDRESS(INDEX($AJ$2:$AJ$1001,MATCH(ROWS($AH$2:AH259),$AH$2:$AH$1001,0),0), INDEX($AO$1004:$BQ$1004,1,MATCH(COLUMNS($AO$1006:AZ1006),$AO$1006:$BQ$1006,0)))),"Fix")))</f>
        <v>#N/A</v>
      </c>
      <c r="N259" s="5" t="e">
        <f ca="1">IF(OR(INDEX($AI$2:$AI$1001,MATCH(ROWS($AH$2:AH259),$AH$2:$AH$1001,0),1)&gt;=100000,INDEX($AO$1005:$BQ$1005,1,MATCH(COLUMNS($AO$1006:BA1006),$AO$1006:$BQ$1006,0))&gt;=100000), " ",IF(INDEX($AO$2:$BQ$1001,MATCH(ROWS($AH$2:AH259),$AH$2:$AH$1001,0),MATCH(COLUMNS($AO$1006:BA1006),$AO$1006:$BQ$1006,0)), HYPERLINK("#",""), HYPERLINK(CONCATENATE("#Metadata!", ADDRESS(INDEX($AJ$2:$AJ$1001,MATCH(ROWS($AH$2:AH259),$AH$2:$AH$1001,0),0), INDEX($AO$1004:$BQ$1004,1,MATCH(COLUMNS($AO$1006:BA1006),$AO$1006:$BQ$1006,0)))),"Fix")))</f>
        <v>#N/A</v>
      </c>
      <c r="O259" s="5" t="e">
        <f ca="1">IF(OR(INDEX($AI$2:$AI$1001,MATCH(ROWS($AH$2:AH259),$AH$2:$AH$1001,0),1)&gt;=100000,INDEX($AO$1005:$BQ$1005,1,MATCH(COLUMNS($AO$1006:BB1006),$AO$1006:$BQ$1006,0))&gt;=100000), " ",IF(INDEX($AO$2:$BQ$1001,MATCH(ROWS($AH$2:AH259),$AH$2:$AH$1001,0),MATCH(COLUMNS($AO$1006:BB1006),$AO$1006:$BQ$1006,0)), HYPERLINK("#",""), HYPERLINK(CONCATENATE("#Metadata!", ADDRESS(INDEX($AJ$2:$AJ$1001,MATCH(ROWS($AH$2:AH259),$AH$2:$AH$1001,0),0), INDEX($AO$1004:$BQ$1004,1,MATCH(COLUMNS($AO$1006:BB1006),$AO$1006:$BQ$1006,0)))),"Fix")))</f>
        <v>#N/A</v>
      </c>
      <c r="P259" s="5" t="e">
        <f ca="1">IF(OR(INDEX($AI$2:$AI$1001,MATCH(ROWS($AH$2:AH259),$AH$2:$AH$1001,0),1)&gt;=100000,INDEX($AO$1005:$BQ$1005,1,MATCH(COLUMNS($AO$1006:BC1006),$AO$1006:$BQ$1006,0))&gt;=100000), " ",IF(INDEX($AO$2:$BQ$1001,MATCH(ROWS($AH$2:AH259),$AH$2:$AH$1001,0),MATCH(COLUMNS($AO$1006:BC1006),$AO$1006:$BQ$1006,0)), HYPERLINK("#",""), HYPERLINK(CONCATENATE("#Metadata!", ADDRESS(INDEX($AJ$2:$AJ$1001,MATCH(ROWS($AH$2:AH259),$AH$2:$AH$1001,0),0), INDEX($AO$1004:$BQ$1004,1,MATCH(COLUMNS($AO$1006:BC1006),$AO$1006:$BQ$1006,0)))),"Fix")))</f>
        <v>#N/A</v>
      </c>
      <c r="Q259" s="5" t="e">
        <f ca="1">IF(OR(INDEX($AI$2:$AI$1001,MATCH(ROWS($AH$2:AH259),$AH$2:$AH$1001,0),1)&gt;=100000,INDEX($AO$1005:$BQ$1005,1,MATCH(COLUMNS($AO$1006:BD1006),$AO$1006:$BQ$1006,0))&gt;=100000), " ",IF(INDEX($AO$2:$BQ$1001,MATCH(ROWS($AH$2:AH259),$AH$2:$AH$1001,0),MATCH(COLUMNS($AO$1006:BD1006),$AO$1006:$BQ$1006,0)), HYPERLINK("#",""), HYPERLINK(CONCATENATE("#Metadata!", ADDRESS(INDEX($AJ$2:$AJ$1001,MATCH(ROWS($AH$2:AH259),$AH$2:$AH$1001,0),0), INDEX($AO$1004:$BQ$1004,1,MATCH(COLUMNS($AO$1006:BD1006),$AO$1006:$BQ$1006,0)))),"Fix")))</f>
        <v>#N/A</v>
      </c>
      <c r="R259" s="5" t="e">
        <f ca="1">IF(OR(INDEX($AI$2:$AI$1001,MATCH(ROWS($AH$2:AH259),$AH$2:$AH$1001,0),1)&gt;=100000,INDEX($AO$1005:$BQ$1005,1,MATCH(COLUMNS($AO$1006:BE1006),$AO$1006:$BQ$1006,0))&gt;=100000), " ",IF(INDEX($AO$2:$BQ$1001,MATCH(ROWS($AH$2:AH259),$AH$2:$AH$1001,0),MATCH(COLUMNS($AO$1006:BE1006),$AO$1006:$BQ$1006,0)), HYPERLINK("#",""), HYPERLINK(CONCATENATE("#Metadata!", ADDRESS(INDEX($AJ$2:$AJ$1001,MATCH(ROWS($AH$2:AH259),$AH$2:$AH$1001,0),0), INDEX($AO$1004:$BQ$1004,1,MATCH(COLUMNS($AO$1006:BE1006),$AO$1006:$BQ$1006,0)))),"Fix")))</f>
        <v>#N/A</v>
      </c>
      <c r="S259" s="5" t="e">
        <f ca="1">IF(OR(INDEX($AI$2:$AI$1001,MATCH(ROWS($AH$2:AH259),$AH$2:$AH$1001,0),1)&gt;=100000,INDEX($AO$1005:$BQ$1005,1,MATCH(COLUMNS($AO$1006:BF1006),$AO$1006:$BQ$1006,0))&gt;=100000), " ",IF(INDEX($AO$2:$BQ$1001,MATCH(ROWS($AH$2:AH259),$AH$2:$AH$1001,0),MATCH(COLUMNS($AO$1006:BF1006),$AO$1006:$BQ$1006,0)), HYPERLINK("#",""), HYPERLINK(CONCATENATE("#Metadata!", ADDRESS(INDEX($AJ$2:$AJ$1001,MATCH(ROWS($AH$2:AH259),$AH$2:$AH$1001,0),0), INDEX($AO$1004:$BQ$1004,1,MATCH(COLUMNS($AO$1006:BF1006),$AO$1006:$BQ$1006,0)))),"Fix")))</f>
        <v>#N/A</v>
      </c>
      <c r="T259" s="5" t="e">
        <f ca="1">IF(OR(INDEX($AI$2:$AI$1001,MATCH(ROWS($AH$2:AH259),$AH$2:$AH$1001,0),1)&gt;=100000,INDEX($AO$1005:$BQ$1005,1,MATCH(COLUMNS($AO$1006:BG1006),$AO$1006:$BQ$1006,0))&gt;=100000), " ",IF(INDEX($AO$2:$BQ$1001,MATCH(ROWS($AH$2:AH259),$AH$2:$AH$1001,0),MATCH(COLUMNS($AO$1006:BG1006),$AO$1006:$BQ$1006,0)), HYPERLINK("#",""), HYPERLINK(CONCATENATE("#Metadata!", ADDRESS(INDEX($AJ$2:$AJ$1001,MATCH(ROWS($AH$2:AH259),$AH$2:$AH$1001,0),0), INDEX($AO$1004:$BQ$1004,1,MATCH(COLUMNS($AO$1006:BG1006),$AO$1006:$BQ$1006,0)))),"Fix")))</f>
        <v>#N/A</v>
      </c>
      <c r="U259" s="5" t="e">
        <f ca="1">IF(OR(INDEX($AI$2:$AI$1001,MATCH(ROWS($AH$2:AH259),$AH$2:$AH$1001,0),1)&gt;=100000,INDEX($AO$1005:$BQ$1005,1,MATCH(COLUMNS($AO$1006:BH1006),$AO$1006:$BQ$1006,0))&gt;=100000), " ",IF(INDEX($AO$2:$BQ$1001,MATCH(ROWS($AH$2:AH259),$AH$2:$AH$1001,0),MATCH(COLUMNS($AO$1006:BH1006),$AO$1006:$BQ$1006,0)), HYPERLINK("#",""), HYPERLINK(CONCATENATE("#Metadata!", ADDRESS(INDEX($AJ$2:$AJ$1001,MATCH(ROWS($AH$2:AH259),$AH$2:$AH$1001,0),0), INDEX($AO$1004:$BQ$1004,1,MATCH(COLUMNS($AO$1006:BH1006),$AO$1006:$BQ$1006,0)))),"Fix")))</f>
        <v>#N/A</v>
      </c>
      <c r="V259" s="5" t="e">
        <f ca="1">IF(OR(INDEX($AI$2:$AI$1001,MATCH(ROWS($AH$2:AH259),$AH$2:$AH$1001,0),1)&gt;=100000,INDEX($AO$1005:$BQ$1005,1,MATCH(COLUMNS($AO$1006:BI1006),$AO$1006:$BQ$1006,0))&gt;=100000), " ",IF(INDEX($AO$2:$BQ$1001,MATCH(ROWS($AH$2:AH259),$AH$2:$AH$1001,0),MATCH(COLUMNS($AO$1006:BI1006),$AO$1006:$BQ$1006,0)), HYPERLINK("#",""), HYPERLINK(CONCATENATE("#Metadata!", ADDRESS(INDEX($AJ$2:$AJ$1001,MATCH(ROWS($AH$2:AH259),$AH$2:$AH$1001,0),0), INDEX($AO$1004:$BQ$1004,1,MATCH(COLUMNS($AO$1006:BI1006),$AO$1006:$BQ$1006,0)))),"Fix")))</f>
        <v>#N/A</v>
      </c>
      <c r="W259" s="5" t="e">
        <f ca="1">IF(OR(INDEX($AI$2:$AI$1001,MATCH(ROWS($AH$2:AH259),$AH$2:$AH$1001,0),1)&gt;=100000,INDEX($AO$1005:$BQ$1005,1,MATCH(COLUMNS($AO$1006:BJ1006),$AO$1006:$BQ$1006,0))&gt;=100000), " ",IF(INDEX($AO$2:$BQ$1001,MATCH(ROWS($AH$2:AH259),$AH$2:$AH$1001,0),MATCH(COLUMNS($AO$1006:BJ1006),$AO$1006:$BQ$1006,0)), HYPERLINK("#",""), HYPERLINK(CONCATENATE("#Metadata!", ADDRESS(INDEX($AJ$2:$AJ$1001,MATCH(ROWS($AH$2:AH259),$AH$2:$AH$1001,0),0), INDEX($AO$1004:$BQ$1004,1,MATCH(COLUMNS($AO$1006:BJ1006),$AO$1006:$BQ$1006,0)))),"Fix")))</f>
        <v>#N/A</v>
      </c>
      <c r="X259" s="5" t="e">
        <f ca="1">IF(OR(INDEX($AI$2:$AI$1001,MATCH(ROWS($AH$2:AH259),$AH$2:$AH$1001,0),1)&gt;=100000,INDEX($AO$1005:$BQ$1005,1,MATCH(COLUMNS($AO$1006:BK1006),$AO$1006:$BQ$1006,0))&gt;=100000), " ",IF(INDEX($AO$2:$BQ$1001,MATCH(ROWS($AH$2:AH259),$AH$2:$AH$1001,0),MATCH(COLUMNS($AO$1006:BK1006),$AO$1006:$BQ$1006,0)), HYPERLINK("#",""), HYPERLINK(CONCATENATE("#Metadata!", ADDRESS(INDEX($AJ$2:$AJ$1001,MATCH(ROWS($AH$2:AH259),$AH$2:$AH$1001,0),0), INDEX($AO$1004:$BQ$1004,1,MATCH(COLUMNS($AO$1006:BK1006),$AO$1006:$BQ$1006,0)))),"Fix")))</f>
        <v>#N/A</v>
      </c>
      <c r="Y259" s="5" t="e">
        <f ca="1">IF(OR(INDEX($AI$2:$AI$1001,MATCH(ROWS($AH$2:AH259),$AH$2:$AH$1001,0),1)&gt;=100000,INDEX($AO$1005:$BQ$1005,1,MATCH(COLUMNS($AO$1006:BL1006),$AO$1006:$BQ$1006,0))&gt;=100000), " ",IF(INDEX($AO$2:$BQ$1001,MATCH(ROWS($AH$2:AH259),$AH$2:$AH$1001,0),MATCH(COLUMNS($AO$1006:BL1006),$AO$1006:$BQ$1006,0)), HYPERLINK("#",""), HYPERLINK(CONCATENATE("#Metadata!", ADDRESS(INDEX($AJ$2:$AJ$1001,MATCH(ROWS($AH$2:AH259),$AH$2:$AH$1001,0),0), INDEX($AO$1004:$BQ$1004,1,MATCH(COLUMNS($AO$1006:BL1006),$AO$1006:$BQ$1006,0)))),"Fix")))</f>
        <v>#N/A</v>
      </c>
      <c r="Z259" s="5" t="e">
        <f ca="1">IF(OR(INDEX($AI$2:$AI$1001,MATCH(ROWS($AH$2:AH259),$AH$2:$AH$1001,0),1)&gt;=100000,INDEX($AO$1005:$BQ$1005,1,MATCH(COLUMNS($AO$1006:BM1006),$AO$1006:$BQ$1006,0))&gt;=100000), " ",IF(INDEX($AO$2:$BQ$1001,MATCH(ROWS($AH$2:AH259),$AH$2:$AH$1001,0),MATCH(COLUMNS($AO$1006:BM1006),$AO$1006:$BQ$1006,0)), HYPERLINK("#",""), HYPERLINK(CONCATENATE("#Metadata!", ADDRESS(INDEX($AJ$2:$AJ$1001,MATCH(ROWS($AH$2:AH259),$AH$2:$AH$1001,0),0), INDEX($AO$1004:$BQ$1004,1,MATCH(COLUMNS($AO$1006:BM1006),$AO$1006:$BQ$1006,0)))),"Fix")))</f>
        <v>#N/A</v>
      </c>
      <c r="AA259" s="5" t="e">
        <f ca="1">IF(OR(INDEX($AI$2:$AI$1001,MATCH(ROWS($AH$2:AH259),$AH$2:$AH$1001,0),1)&gt;=100000,INDEX($AO$1005:$BQ$1005,1,MATCH(COLUMNS($AO$1006:BN1006),$AO$1006:$BQ$1006,0))&gt;=100000), " ",IF(INDEX($AO$2:$BQ$1001,MATCH(ROWS($AH$2:AH259),$AH$2:$AH$1001,0),MATCH(COLUMNS($AO$1006:BN1006),$AO$1006:$BQ$1006,0)), HYPERLINK("#",""), HYPERLINK(CONCATENATE("#Metadata!", ADDRESS(INDEX($AJ$2:$AJ$1001,MATCH(ROWS($AH$2:AH259),$AH$2:$AH$1001,0),0), INDEX($AO$1004:$BQ$1004,1,MATCH(COLUMNS($AO$1006:BN1006),$AO$1006:$BQ$1006,0)))),"Fix")))</f>
        <v>#N/A</v>
      </c>
      <c r="AB259" s="5" t="e">
        <f ca="1">IF(OR(INDEX($AI$2:$AI$1001,MATCH(ROWS($AH$2:AH259),$AH$2:$AH$1001,0),1)&gt;=100000,INDEX($AO$1005:$BQ$1005,1,MATCH(COLUMNS($AO$1006:BO1006),$AO$1006:$BQ$1006,0))&gt;=100000), " ",IF(INDEX($AO$2:$BQ$1001,MATCH(ROWS($AH$2:AH259),$AH$2:$AH$1001,0),MATCH(COLUMNS($AO$1006:BO1006),$AO$1006:$BQ$1006,0)), HYPERLINK("#",""), HYPERLINK(CONCATENATE("#Metadata!", ADDRESS(INDEX($AJ$2:$AJ$1001,MATCH(ROWS($AH$2:AH259),$AH$2:$AH$1001,0),0), INDEX($AO$1004:$BQ$1004,1,MATCH(COLUMNS($AO$1006:BO1006),$AO$1006:$BQ$1006,0)))),"Fix")))</f>
        <v>#N/A</v>
      </c>
      <c r="AC259" s="5" t="e">
        <f ca="1">IF(OR(INDEX($AI$2:$AI$1001,MATCH(ROWS($AH$2:AH259),$AH$2:$AH$1001,0),1)&gt;=100000,INDEX($AO$1005:$BQ$1005,1,MATCH(COLUMNS($AO$1006:BP1006),$AO$1006:$BQ$1006,0))&gt;=100000), " ",IF(INDEX($AO$2:$BQ$1001,MATCH(ROWS($AH$2:AH259),$AH$2:$AH$1001,0),MATCH(COLUMNS($AO$1006:BP1006),$AO$1006:$BQ$1006,0)), HYPERLINK("#",""), HYPERLINK(CONCATENATE("#Metadata!", ADDRESS(INDEX($AJ$2:$AJ$1001,MATCH(ROWS($AH$2:AH259),$AH$2:$AH$1001,0),0), INDEX($AO$1004:$BQ$1004,1,MATCH(COLUMNS($AO$1006:BP1006),$AO$1006:$BQ$1006,0)))),"Fix")))</f>
        <v>#N/A</v>
      </c>
      <c r="AD259" s="5" t="e">
        <f ca="1">IF(OR(INDEX($AI$2:$AI$1001,MATCH(ROWS($AH$2:AH259),$AH$2:$AH$1001,0),1)&gt;=100000,INDEX($AO$1005:$BQ$1005,1,MATCH(COLUMNS($AO$1006:BQ1006),$AO$1006:$BQ$1006,0))&gt;=100000), " ",IF(INDEX($AO$2:$BQ$1001,MATCH(ROWS($AH$2:AH259),$AH$2:$AH$1001,0),MATCH(COLUMNS($AO$1006:BQ1006),$AO$1006:$BQ$1006,0)), HYPERLINK("#",""), HYPERLINK(CONCATENATE("#Metadata!", ADDRESS(INDEX($AJ$2:$AJ$1001,MATCH(ROWS($AH$2:AH259),$AH$2:$AH$1001,0),0), INDEX($AO$1004:$BQ$1004,1,MATCH(COLUMNS($AO$1006:BQ1006),$AO$1006:$BQ$1006,0)))),"Fix")))</f>
        <v>#REF!</v>
      </c>
      <c r="AH259">
        <f ca="1"/>
        <v>256</v>
      </c>
      <c r="AI259">
        <v>100259</v>
      </c>
      <c r="AJ259">
        <v>259</v>
      </c>
      <c r="AK259" t="b">
        <f t="shared" si="4"/>
        <v>1</v>
      </c>
      <c r="AL259" t="b">
        <f>COUNTBLANK(Metadata!B259:AD259)=COLUMNS(Metadata!B259:AD259)</f>
        <v>1</v>
      </c>
      <c r="AM259" t="str">
        <v/>
      </c>
      <c r="AO259" t="b">
        <f ca="1">AND(IF(Metadata!B259="",FALSE,TRUE),COUNTIF(Metadata!B:B, Metadata!B259) = 1,NOT(ISERROR(SUMPRODUCT(SEARCH(MID(Metadata!B259,ROW(INDIRECT("1:"&amp;LEN(Metadata!B259))), 1),"0123456789abcdefghijklmnopqrstuvwxyzABCDEFGHIJKLMNOPQRSTUVWXYZ.")))))</f>
        <v>0</v>
      </c>
      <c r="AP259" t="b">
        <f>IF(Metadata!C259="",FALSE,TRUE)</f>
        <v>0</v>
      </c>
      <c r="AQ259" t="b">
        <f>IF(Metadata!D259="",FALSE,TRUE)</f>
        <v>0</v>
      </c>
      <c r="AR259" t="b">
        <f ca="1">OR(AND(IF(Metadata!E259="",FALSE,TRUE),OR(EXACT(Metadata!E259,"not collected"),EXACT(Metadata!E259,"not provided"),EXACT(Metadata!E259,"restricted access"))),AND(IF(Metadata!E259="",FALSE,TRUE),AND(AND(IFERROR(INT(LEFT(Metadata!E259,4))&gt;1900,FALSE),IFERROR(INT(LEFT(Metadata!E259,4))&lt;=YEAR(NOW()),FALSE)), OR(MID(Metadata!E259,5,1)="", AND(AND(MID(Metadata!E259,5,1)="-",IFERROR(INT(MID(Metadata!E259,6,1))&gt;=0,FALSE),IFERROR(INT(MID(Metadata!E259,6,1))&lt;=1,FALSE),NOT(MID(Metadata!E259,7,1)=""),IFERROR(INT(MID(Metadata!E259,6,2))&gt;=1,FALSE),IFERROR(INT(MID(Metadata!E259,6,2))&lt;=12,FALSE)), OR(MID(Metadata!E259,8,1)="", AND(AND(MID(Metadata!E259,8,1)="-",IFERROR(INT(MID(Metadata!E259,9,1))&gt;=0,FALSE),IFERROR(INT(MID(Metadata!E259,9,1))&lt;=3,FALSE),NOT(MID(Metadata!E259,10,1)=""),IFERROR(INT(MID(Metadata!E259,9,2))&gt;=1,FALSE),IFERROR(INT(MID(Metadata!E259,9,2))&lt;=31,FALSE)), OR(MID(Metadata!E259,11,1)="", AND(AND(MID(Metadata!E259,11,1)=" ",IFERROR(INT(MID(Metadata!E259,12,1))&gt;=0,FALSE),IFERROR(INT(MID(Metadata!E259,12,1))&lt;=2,FALSE),NOT(MID(Metadata!E259,13,1)=""),IFERROR(INT(MID(Metadata!E259,12,2))&gt;=0,FALSE),IFERROR(INT(MID(Metadata!E259,12,2))&lt;=23,FALSE)), OR(MID(Metadata!E259,14,1)="", AND(AND(MID(Metadata!E259,14,1)=":",IFERROR(INT(MID(Metadata!E259,15,1))&gt;=0,FALSE),IFERROR(INT(MID(Metadata!E259,15,1))&lt;=5,FALSE),NOT(MID(Metadata!E259,16,1)=""),IFERROR(INT(MID(Metadata!E259,15,2))&gt;=0,FALSE),IFERROR(INT(MID(Metadata!E259,15,2))&lt;=59,FALSE)), OR(MID(Metadata!E259,17,1)="", AND(AND(MID(Metadata!E259,17,1)=":",IFERROR(INT(MID(Metadata!E259,18,1))&gt;=0,FALSE),IFERROR(INT(MID(Metadata!E259,18,1))&lt;=5,FALSE),NOT(MID(Metadata!E259,19,1)=""),IFERROR(INT(MID(Metadata!E259,18,2))&gt;=0,FALSE),IFERROR(INT(MID(Metadata!E259,18,2))&lt;=59,FALSE)), LEN(Metadata!E259)&lt;=19)))))))))))))</f>
        <v>0</v>
      </c>
      <c r="AS259" t="b">
        <f>IF(Metadata!F259="",FALSE,TRUE)</f>
        <v>0</v>
      </c>
      <c r="AT259" t="b">
        <f>OR(AND(IF(Metadata!G259="",FALSE,TRUE),OR(EXACT(Metadata!G259,"not collected"),EXACT(Metadata!G259,"not provided"))),AND(IF(Metadata!G259="",FALSE,TRUE),OR(EXACT(Metadata!G259,"TRUE"),EXACT(Metadata!G259,"FALSE"))))</f>
        <v>0</v>
      </c>
      <c r="AU259" t="b">
        <f>OR(AND(IF(Metadata!H259="",FALSE,TRUE),OR(EXACT(Metadata!H259,"not collected"),EXACT(Metadata!H259,"not provided"),EXACT(Metadata!H259,"restricted access"))),AND(IF(Metadata!H259="",FALSE,ISNUMBER(VALUE(Metadata!H259))),Metadata!H259&gt;=-413))</f>
        <v>0</v>
      </c>
      <c r="AV259" t="b">
        <f>AND(IF(Metadata!I259="",FALSE,TRUE),EXACT(Metadata!I259,"meters"))</f>
        <v>0</v>
      </c>
      <c r="AW259" t="b">
        <f>AND(IF(Metadata!J259="",FALSE,TRUE),EXACT(Metadata!J259,"free-living"))</f>
        <v>0</v>
      </c>
      <c r="AX259" t="b">
        <f>AND(IF(Metadata!K259="",FALSE,TRUE),OR(EXACT(Metadata!K259,"saline"),EXACT(Metadata!K259,"non-saline")))</f>
        <v>0</v>
      </c>
      <c r="AY259" t="b">
        <f>AND(IF(Metadata!L259="",FALSE,TRUE),OR(EXACT(Metadata!L259,"sub-surface (non-saline)"),EXACT(Metadata!L259,"surface (non-saline)"),EXACT(Metadata!L259,"water (non-saline)"),EXACT(Metadata!L259,"soil (non-saline)"),EXACT(Metadata!L259,"aerosol (non-saline)"),EXACT(Metadata!L259,"sediment (non-saline)"),EXACT(Metadata!L259,"surface (saline)"),EXACT(Metadata!L259,"water (saline)"),EXACT(Metadata!L259,"hypersaline (saline)"),EXACT(Metadata!L259,"aerosol (saline)"),EXACT(Metadata!L259,"sediment (saline)")))</f>
        <v>0</v>
      </c>
      <c r="AZ259" t="b">
        <f>IF(Metadata!M259="",FALSE,TRUE)</f>
        <v>0</v>
      </c>
      <c r="BA259" t="b">
        <f>IF(Metadata!N259="",FALSE,TRUE)</f>
        <v>0</v>
      </c>
      <c r="BB259" t="b">
        <f>IF(Metadata!O259="",FALSE,TRUE)</f>
        <v>0</v>
      </c>
      <c r="BC259" t="b">
        <f>AND(IF(Metadata!P259="",FALSE,TRUE),OR(EXACT(Metadata!P259,"air"),EXACT(Metadata!P259,"microbial mat/biofilm"),EXACT(Metadata!P259,"misc environment"),EXACT(Metadata!P259,"sediment"),EXACT(Metadata!P259,"soil"),EXACT(Metadata!P259,"wastewater/sludge"),EXACT(Metadata!P259,"water")))</f>
        <v>0</v>
      </c>
      <c r="BD259" t="b">
        <f>IF(Metadata!Q259="",FALSE,TRUE)</f>
        <v>0</v>
      </c>
      <c r="BE259" t="b">
        <f>IF(Metadata!R259="",FALSE,TRUE)</f>
        <v>0</v>
      </c>
      <c r="BF259" t="b">
        <f>OR(AND(IF(Metadata!S259="",FALSE,TRUE),OR(EXACT(Metadata!S259,"not collected"),EXACT(Metadata!S259,"not provided"),EXACT(Metadata!S259,"restricted access"))),AND(IF(Metadata!S259="",FALSE,ISNUMBER(VALUE(Metadata!S259))),Metadata!S259&gt;=-90,Metadata!S259&lt;=90))</f>
        <v>0</v>
      </c>
      <c r="BG259" t="b">
        <f>AND(IF(Metadata!T259="",FALSE,TRUE),EXACT(Metadata!T259,"Decimal degrees"))</f>
        <v>0</v>
      </c>
      <c r="BH259" t="b">
        <f>OR(AND(IF(Metadata!U259="",FALSE,TRUE),OR(EXACT(Metadata!U259,"not applicable"),EXACT(Metadata!U259,"not collected"))),IF(Metadata!U259="",FALSE,TRUE))</f>
        <v>0</v>
      </c>
      <c r="BI259" t="b">
        <f>OR(AND(IF(Metadata!V259="",FALSE,TRUE),OR(EXACT(Metadata!V259,"not collected"),EXACT(Metadata!V259,"not provided"),EXACT(Metadata!V259,"restricted access"))),AND(IF(Metadata!V259="",FALSE,ISNUMBER(VALUE(Metadata!V259))),Metadata!V259&gt;=-180,Metadata!V259&lt;=180))</f>
        <v>0</v>
      </c>
      <c r="BJ259" t="b">
        <f>AND(IF(Metadata!W259="",FALSE,TRUE),EXACT(Metadata!W259,"Decimal degrees"))</f>
        <v>0</v>
      </c>
      <c r="BK259" t="b">
        <f>IF(Metadata!X259="",FALSE,TRUE)</f>
        <v>0</v>
      </c>
      <c r="BL259" t="b">
        <f>OR(AND(IF(Metadata!Y259="",FALSE,TRUE),OR(EXACT(Metadata!Y259,"not collected"),EXACT(Metadata!Y259,"not provided"),EXACT(Metadata!Y259,"restricted access"))),AND(IF(Metadata!Y259="",FALSE,TRUE),OR(EXACT(Metadata!Y259,"TRUE"),EXACT(Metadata!Y259,"FALSE"))))</f>
        <v>0</v>
      </c>
      <c r="BM259" t="b">
        <f>OR(AND(IF(Metadata!Z259="",FALSE,TRUE),EXACT(Metadata!Z259,"not applicable")),AND(IF(Metadata!Z259="",FALSE,TRUE),OR(EXACT(Metadata!Z259,"beer"),EXACT(Metadata!Z259,"cheese"),EXACT(Metadata!Z259,"fresh water"),EXACT(Metadata!Z259,"marine sediment"),EXACT(Metadata!Z259,"sea water"),EXACT(Metadata!Z259,"sediment"),EXACT(Metadata!Z259,"soil"),EXACT(Metadata!Z259,"waste water"))))</f>
        <v>0</v>
      </c>
      <c r="BN259" t="b">
        <f>AND(IF(Metadata!AA259="",FALSE,TRUE),EXACT(Metadata!AA259,"metagenome"))</f>
        <v>0</v>
      </c>
      <c r="BO259" t="b">
        <f>AND(IF(Metadata!AB259="",FALSE,TRUE),EXACT(Metadata!AB259,"256318"))</f>
        <v>0</v>
      </c>
      <c r="BP259" t="b">
        <f>IF(Metadata!AC259="",FALSE,TRUE)</f>
        <v>0</v>
      </c>
      <c r="BQ259" t="b">
        <f>IF(Metadata!AD259="",FALSE,TRUE)</f>
        <v>0</v>
      </c>
    </row>
    <row r="260" spans="1:69" x14ac:dyDescent="0.2">
      <c r="A260" s="4" t="e">
        <f ca="1">IF(B260=" "," ",HYPERLINK(CONCATENATE("#metadata!",ADDRESS(INDEX($AJ$2:$AJ$1001,MATCH(ROWS($AH$2:AH260),$AH$2:$AH$1001,0),0),2)),INDEX($AM$2:$AM$1001,MATCH(ROWS($AH$2:AH260),$AH$2:$AH$1001,0),0)))</f>
        <v>#N/A</v>
      </c>
      <c r="B260" s="5" t="e">
        <f ca="1">IF(OR(INDEX($AI$2:$AI$1001,MATCH(ROWS($AH$2:AH260),$AH$2:$AH$1001,0),1)&gt;=100000,INDEX($AO$1005:$BQ$1005,1,MATCH(COLUMNS($AO$1006:AO1006),$AO$1006:$BQ$1006,0))&gt;=100000), " ",IF(INDEX($AO$2:$BQ$1001,MATCH(ROWS($AH$2:AH260),$AH$2:$AH$1001,0),MATCH(COLUMNS($AO$1006:AO1006),$AO$1006:$BQ$1006,0)), HYPERLINK("#",""), HYPERLINK(CONCATENATE("#Metadata!", ADDRESS(INDEX($AJ$2:$AJ$1001,MATCH(ROWS($AH$2:AH260),$AH$2:$AH$1001,0),0), INDEX($AO$1004:$BQ$1004,1,MATCH(COLUMNS($AO$1006:AO1006),$AO$1006:$BQ$1006,0)))),"Fix")))</f>
        <v>#N/A</v>
      </c>
      <c r="C260" s="5" t="e">
        <f ca="1">IF(OR(INDEX($AI$2:$AI$1001,MATCH(ROWS($AH$2:AH260),$AH$2:$AH$1001,0),1)&gt;=100000,INDEX($AO$1005:$BQ$1005,1,MATCH(COLUMNS($AO$1006:AP1006),$AO$1006:$BQ$1006,0))&gt;=100000), " ",IF(INDEX($AO$2:$BQ$1001,MATCH(ROWS($AH$2:AH260),$AH$2:$AH$1001,0),MATCH(COLUMNS($AO$1006:AP1006),$AO$1006:$BQ$1006,0)), HYPERLINK("#",""), HYPERLINK(CONCATENATE("#Metadata!", ADDRESS(INDEX($AJ$2:$AJ$1001,MATCH(ROWS($AH$2:AH260),$AH$2:$AH$1001,0),0), INDEX($AO$1004:$BQ$1004,1,MATCH(COLUMNS($AO$1006:AP1006),$AO$1006:$BQ$1006,0)))),"Fix")))</f>
        <v>#N/A</v>
      </c>
      <c r="D260" s="5" t="e">
        <f ca="1">IF(OR(INDEX($AI$2:$AI$1001,MATCH(ROWS($AH$2:AH260),$AH$2:$AH$1001,0),1)&gt;=100000,INDEX($AO$1005:$BQ$1005,1,MATCH(COLUMNS($AO$1006:AQ1006),$AO$1006:$BQ$1006,0))&gt;=100000), " ",IF(INDEX($AO$2:$BQ$1001,MATCH(ROWS($AH$2:AH260),$AH$2:$AH$1001,0),MATCH(COLUMNS($AO$1006:AQ1006),$AO$1006:$BQ$1006,0)), HYPERLINK("#",""), HYPERLINK(CONCATENATE("#Metadata!", ADDRESS(INDEX($AJ$2:$AJ$1001,MATCH(ROWS($AH$2:AH260),$AH$2:$AH$1001,0),0), INDEX($AO$1004:$BQ$1004,1,MATCH(COLUMNS($AO$1006:AQ1006),$AO$1006:$BQ$1006,0)))),"Fix")))</f>
        <v>#N/A</v>
      </c>
      <c r="E260" s="5" t="e">
        <f ca="1">IF(OR(INDEX($AI$2:$AI$1001,MATCH(ROWS($AH$2:AH260),$AH$2:$AH$1001,0),1)&gt;=100000,INDEX($AO$1005:$BQ$1005,1,MATCH(COLUMNS($AO$1006:AR1006),$AO$1006:$BQ$1006,0))&gt;=100000), " ",IF(INDEX($AO$2:$BQ$1001,MATCH(ROWS($AH$2:AH260),$AH$2:$AH$1001,0),MATCH(COLUMNS($AO$1006:AR1006),$AO$1006:$BQ$1006,0)), HYPERLINK("#",""), HYPERLINK(CONCATENATE("#Metadata!", ADDRESS(INDEX($AJ$2:$AJ$1001,MATCH(ROWS($AH$2:AH260),$AH$2:$AH$1001,0),0), INDEX($AO$1004:$BQ$1004,1,MATCH(COLUMNS($AO$1006:AR1006),$AO$1006:$BQ$1006,0)))),"Fix")))</f>
        <v>#N/A</v>
      </c>
      <c r="F260" s="5" t="e">
        <f ca="1">IF(OR(INDEX($AI$2:$AI$1001,MATCH(ROWS($AH$2:AH260),$AH$2:$AH$1001,0),1)&gt;=100000,INDEX($AO$1005:$BQ$1005,1,MATCH(COLUMNS($AO$1006:AS1006),$AO$1006:$BQ$1006,0))&gt;=100000), " ",IF(INDEX($AO$2:$BQ$1001,MATCH(ROWS($AH$2:AH260),$AH$2:$AH$1001,0),MATCH(COLUMNS($AO$1006:AS1006),$AO$1006:$BQ$1006,0)), HYPERLINK("#",""), HYPERLINK(CONCATENATE("#Metadata!", ADDRESS(INDEX($AJ$2:$AJ$1001,MATCH(ROWS($AH$2:AH260),$AH$2:$AH$1001,0),0), INDEX($AO$1004:$BQ$1004,1,MATCH(COLUMNS($AO$1006:AS1006),$AO$1006:$BQ$1006,0)))),"Fix")))</f>
        <v>#N/A</v>
      </c>
      <c r="G260" s="5" t="e">
        <f ca="1">IF(OR(INDEX($AI$2:$AI$1001,MATCH(ROWS($AH$2:AH260),$AH$2:$AH$1001,0),1)&gt;=100000,INDEX($AO$1005:$BQ$1005,1,MATCH(COLUMNS($AO$1006:AT1006),$AO$1006:$BQ$1006,0))&gt;=100000), " ",IF(INDEX($AO$2:$BQ$1001,MATCH(ROWS($AH$2:AH260),$AH$2:$AH$1001,0),MATCH(COLUMNS($AO$1006:AT1006),$AO$1006:$BQ$1006,0)), HYPERLINK("#",""), HYPERLINK(CONCATENATE("#Metadata!", ADDRESS(INDEX($AJ$2:$AJ$1001,MATCH(ROWS($AH$2:AH260),$AH$2:$AH$1001,0),0), INDEX($AO$1004:$BQ$1004,1,MATCH(COLUMNS($AO$1006:AT1006),$AO$1006:$BQ$1006,0)))),"Fix")))</f>
        <v>#N/A</v>
      </c>
      <c r="H260" s="5" t="e">
        <f ca="1">IF(OR(INDEX($AI$2:$AI$1001,MATCH(ROWS($AH$2:AH260),$AH$2:$AH$1001,0),1)&gt;=100000,INDEX($AO$1005:$BQ$1005,1,MATCH(COLUMNS($AO$1006:AU1006),$AO$1006:$BQ$1006,0))&gt;=100000), " ",IF(INDEX($AO$2:$BQ$1001,MATCH(ROWS($AH$2:AH260),$AH$2:$AH$1001,0),MATCH(COLUMNS($AO$1006:AU1006),$AO$1006:$BQ$1006,0)), HYPERLINK("#",""), HYPERLINK(CONCATENATE("#Metadata!", ADDRESS(INDEX($AJ$2:$AJ$1001,MATCH(ROWS($AH$2:AH260),$AH$2:$AH$1001,0),0), INDEX($AO$1004:$BQ$1004,1,MATCH(COLUMNS($AO$1006:AU1006),$AO$1006:$BQ$1006,0)))),"Fix")))</f>
        <v>#N/A</v>
      </c>
      <c r="I260" s="5" t="e">
        <f ca="1">IF(OR(INDEX($AI$2:$AI$1001,MATCH(ROWS($AH$2:AH260),$AH$2:$AH$1001,0),1)&gt;=100000,INDEX($AO$1005:$BQ$1005,1,MATCH(COLUMNS($AO$1006:AV1006),$AO$1006:$BQ$1006,0))&gt;=100000), " ",IF(INDEX($AO$2:$BQ$1001,MATCH(ROWS($AH$2:AH260),$AH$2:$AH$1001,0),MATCH(COLUMNS($AO$1006:AV1006),$AO$1006:$BQ$1006,0)), HYPERLINK("#",""), HYPERLINK(CONCATENATE("#Metadata!", ADDRESS(INDEX($AJ$2:$AJ$1001,MATCH(ROWS($AH$2:AH260),$AH$2:$AH$1001,0),0), INDEX($AO$1004:$BQ$1004,1,MATCH(COLUMNS($AO$1006:AV1006),$AO$1006:$BQ$1006,0)))),"Fix")))</f>
        <v>#N/A</v>
      </c>
      <c r="J260" s="5" t="e">
        <f ca="1">IF(OR(INDEX($AI$2:$AI$1001,MATCH(ROWS($AH$2:AH260),$AH$2:$AH$1001,0),1)&gt;=100000,INDEX($AO$1005:$BQ$1005,1,MATCH(COLUMNS($AO$1006:AW1006),$AO$1006:$BQ$1006,0))&gt;=100000), " ",IF(INDEX($AO$2:$BQ$1001,MATCH(ROWS($AH$2:AH260),$AH$2:$AH$1001,0),MATCH(COLUMNS($AO$1006:AW1006),$AO$1006:$BQ$1006,0)), HYPERLINK("#",""), HYPERLINK(CONCATENATE("#Metadata!", ADDRESS(INDEX($AJ$2:$AJ$1001,MATCH(ROWS($AH$2:AH260),$AH$2:$AH$1001,0),0), INDEX($AO$1004:$BQ$1004,1,MATCH(COLUMNS($AO$1006:AW1006),$AO$1006:$BQ$1006,0)))),"Fix")))</f>
        <v>#N/A</v>
      </c>
      <c r="K260" s="5" t="e">
        <f ca="1">IF(OR(INDEX($AI$2:$AI$1001,MATCH(ROWS($AH$2:AH260),$AH$2:$AH$1001,0),1)&gt;=100000,INDEX($AO$1005:$BQ$1005,1,MATCH(COLUMNS($AO$1006:AX1006),$AO$1006:$BQ$1006,0))&gt;=100000), " ",IF(INDEX($AO$2:$BQ$1001,MATCH(ROWS($AH$2:AH260),$AH$2:$AH$1001,0),MATCH(COLUMNS($AO$1006:AX1006),$AO$1006:$BQ$1006,0)), HYPERLINK("#",""), HYPERLINK(CONCATENATE("#Metadata!", ADDRESS(INDEX($AJ$2:$AJ$1001,MATCH(ROWS($AH$2:AH260),$AH$2:$AH$1001,0),0), INDEX($AO$1004:$BQ$1004,1,MATCH(COLUMNS($AO$1006:AX1006),$AO$1006:$BQ$1006,0)))),"Fix")))</f>
        <v>#N/A</v>
      </c>
      <c r="L260" s="5" t="e">
        <f ca="1">IF(OR(INDEX($AI$2:$AI$1001,MATCH(ROWS($AH$2:AH260),$AH$2:$AH$1001,0),1)&gt;=100000,INDEX($AO$1005:$BQ$1005,1,MATCH(COLUMNS($AO$1006:AY1006),$AO$1006:$BQ$1006,0))&gt;=100000), " ",IF(INDEX($AO$2:$BQ$1001,MATCH(ROWS($AH$2:AH260),$AH$2:$AH$1001,0),MATCH(COLUMNS($AO$1006:AY1006),$AO$1006:$BQ$1006,0)), HYPERLINK("#",""), HYPERLINK(CONCATENATE("#Metadata!", ADDRESS(INDEX($AJ$2:$AJ$1001,MATCH(ROWS($AH$2:AH260),$AH$2:$AH$1001,0),0), INDEX($AO$1004:$BQ$1004,1,MATCH(COLUMNS($AO$1006:AY1006),$AO$1006:$BQ$1006,0)))),"Fix")))</f>
        <v>#N/A</v>
      </c>
      <c r="M260" s="5" t="e">
        <f ca="1">IF(OR(INDEX($AI$2:$AI$1001,MATCH(ROWS($AH$2:AH260),$AH$2:$AH$1001,0),1)&gt;=100000,INDEX($AO$1005:$BQ$1005,1,MATCH(COLUMNS($AO$1006:AZ1006),$AO$1006:$BQ$1006,0))&gt;=100000), " ",IF(INDEX($AO$2:$BQ$1001,MATCH(ROWS($AH$2:AH260),$AH$2:$AH$1001,0),MATCH(COLUMNS($AO$1006:AZ1006),$AO$1006:$BQ$1006,0)), HYPERLINK("#",""), HYPERLINK(CONCATENATE("#Metadata!", ADDRESS(INDEX($AJ$2:$AJ$1001,MATCH(ROWS($AH$2:AH260),$AH$2:$AH$1001,0),0), INDEX($AO$1004:$BQ$1004,1,MATCH(COLUMNS($AO$1006:AZ1006),$AO$1006:$BQ$1006,0)))),"Fix")))</f>
        <v>#N/A</v>
      </c>
      <c r="N260" s="5" t="e">
        <f ca="1">IF(OR(INDEX($AI$2:$AI$1001,MATCH(ROWS($AH$2:AH260),$AH$2:$AH$1001,0),1)&gt;=100000,INDEX($AO$1005:$BQ$1005,1,MATCH(COLUMNS($AO$1006:BA1006),$AO$1006:$BQ$1006,0))&gt;=100000), " ",IF(INDEX($AO$2:$BQ$1001,MATCH(ROWS($AH$2:AH260),$AH$2:$AH$1001,0),MATCH(COLUMNS($AO$1006:BA1006),$AO$1006:$BQ$1006,0)), HYPERLINK("#",""), HYPERLINK(CONCATENATE("#Metadata!", ADDRESS(INDEX($AJ$2:$AJ$1001,MATCH(ROWS($AH$2:AH260),$AH$2:$AH$1001,0),0), INDEX($AO$1004:$BQ$1004,1,MATCH(COLUMNS($AO$1006:BA1006),$AO$1006:$BQ$1006,0)))),"Fix")))</f>
        <v>#N/A</v>
      </c>
      <c r="O260" s="5" t="e">
        <f ca="1">IF(OR(INDEX($AI$2:$AI$1001,MATCH(ROWS($AH$2:AH260),$AH$2:$AH$1001,0),1)&gt;=100000,INDEX($AO$1005:$BQ$1005,1,MATCH(COLUMNS($AO$1006:BB1006),$AO$1006:$BQ$1006,0))&gt;=100000), " ",IF(INDEX($AO$2:$BQ$1001,MATCH(ROWS($AH$2:AH260),$AH$2:$AH$1001,0),MATCH(COLUMNS($AO$1006:BB1006),$AO$1006:$BQ$1006,0)), HYPERLINK("#",""), HYPERLINK(CONCATENATE("#Metadata!", ADDRESS(INDEX($AJ$2:$AJ$1001,MATCH(ROWS($AH$2:AH260),$AH$2:$AH$1001,0),0), INDEX($AO$1004:$BQ$1004,1,MATCH(COLUMNS($AO$1006:BB1006),$AO$1006:$BQ$1006,0)))),"Fix")))</f>
        <v>#N/A</v>
      </c>
      <c r="P260" s="5" t="e">
        <f ca="1">IF(OR(INDEX($AI$2:$AI$1001,MATCH(ROWS($AH$2:AH260),$AH$2:$AH$1001,0),1)&gt;=100000,INDEX($AO$1005:$BQ$1005,1,MATCH(COLUMNS($AO$1006:BC1006),$AO$1006:$BQ$1006,0))&gt;=100000), " ",IF(INDEX($AO$2:$BQ$1001,MATCH(ROWS($AH$2:AH260),$AH$2:$AH$1001,0),MATCH(COLUMNS($AO$1006:BC1006),$AO$1006:$BQ$1006,0)), HYPERLINK("#",""), HYPERLINK(CONCATENATE("#Metadata!", ADDRESS(INDEX($AJ$2:$AJ$1001,MATCH(ROWS($AH$2:AH260),$AH$2:$AH$1001,0),0), INDEX($AO$1004:$BQ$1004,1,MATCH(COLUMNS($AO$1006:BC1006),$AO$1006:$BQ$1006,0)))),"Fix")))</f>
        <v>#N/A</v>
      </c>
      <c r="Q260" s="5" t="e">
        <f ca="1">IF(OR(INDEX($AI$2:$AI$1001,MATCH(ROWS($AH$2:AH260),$AH$2:$AH$1001,0),1)&gt;=100000,INDEX($AO$1005:$BQ$1005,1,MATCH(COLUMNS($AO$1006:BD1006),$AO$1006:$BQ$1006,0))&gt;=100000), " ",IF(INDEX($AO$2:$BQ$1001,MATCH(ROWS($AH$2:AH260),$AH$2:$AH$1001,0),MATCH(COLUMNS($AO$1006:BD1006),$AO$1006:$BQ$1006,0)), HYPERLINK("#",""), HYPERLINK(CONCATENATE("#Metadata!", ADDRESS(INDEX($AJ$2:$AJ$1001,MATCH(ROWS($AH$2:AH260),$AH$2:$AH$1001,0),0), INDEX($AO$1004:$BQ$1004,1,MATCH(COLUMNS($AO$1006:BD1006),$AO$1006:$BQ$1006,0)))),"Fix")))</f>
        <v>#N/A</v>
      </c>
      <c r="R260" s="5" t="e">
        <f ca="1">IF(OR(INDEX($AI$2:$AI$1001,MATCH(ROWS($AH$2:AH260),$AH$2:$AH$1001,0),1)&gt;=100000,INDEX($AO$1005:$BQ$1005,1,MATCH(COLUMNS($AO$1006:BE1006),$AO$1006:$BQ$1006,0))&gt;=100000), " ",IF(INDEX($AO$2:$BQ$1001,MATCH(ROWS($AH$2:AH260),$AH$2:$AH$1001,0),MATCH(COLUMNS($AO$1006:BE1006),$AO$1006:$BQ$1006,0)), HYPERLINK("#",""), HYPERLINK(CONCATENATE("#Metadata!", ADDRESS(INDEX($AJ$2:$AJ$1001,MATCH(ROWS($AH$2:AH260),$AH$2:$AH$1001,0),0), INDEX($AO$1004:$BQ$1004,1,MATCH(COLUMNS($AO$1006:BE1006),$AO$1006:$BQ$1006,0)))),"Fix")))</f>
        <v>#N/A</v>
      </c>
      <c r="S260" s="5" t="e">
        <f ca="1">IF(OR(INDEX($AI$2:$AI$1001,MATCH(ROWS($AH$2:AH260),$AH$2:$AH$1001,0),1)&gt;=100000,INDEX($AO$1005:$BQ$1005,1,MATCH(COLUMNS($AO$1006:BF1006),$AO$1006:$BQ$1006,0))&gt;=100000), " ",IF(INDEX($AO$2:$BQ$1001,MATCH(ROWS($AH$2:AH260),$AH$2:$AH$1001,0),MATCH(COLUMNS($AO$1006:BF1006),$AO$1006:$BQ$1006,0)), HYPERLINK("#",""), HYPERLINK(CONCATENATE("#Metadata!", ADDRESS(INDEX($AJ$2:$AJ$1001,MATCH(ROWS($AH$2:AH260),$AH$2:$AH$1001,0),0), INDEX($AO$1004:$BQ$1004,1,MATCH(COLUMNS($AO$1006:BF1006),$AO$1006:$BQ$1006,0)))),"Fix")))</f>
        <v>#N/A</v>
      </c>
      <c r="T260" s="5" t="e">
        <f ca="1">IF(OR(INDEX($AI$2:$AI$1001,MATCH(ROWS($AH$2:AH260),$AH$2:$AH$1001,0),1)&gt;=100000,INDEX($AO$1005:$BQ$1005,1,MATCH(COLUMNS($AO$1006:BG1006),$AO$1006:$BQ$1006,0))&gt;=100000), " ",IF(INDEX($AO$2:$BQ$1001,MATCH(ROWS($AH$2:AH260),$AH$2:$AH$1001,0),MATCH(COLUMNS($AO$1006:BG1006),$AO$1006:$BQ$1006,0)), HYPERLINK("#",""), HYPERLINK(CONCATENATE("#Metadata!", ADDRESS(INDEX($AJ$2:$AJ$1001,MATCH(ROWS($AH$2:AH260),$AH$2:$AH$1001,0),0), INDEX($AO$1004:$BQ$1004,1,MATCH(COLUMNS($AO$1006:BG1006),$AO$1006:$BQ$1006,0)))),"Fix")))</f>
        <v>#N/A</v>
      </c>
      <c r="U260" s="5" t="e">
        <f ca="1">IF(OR(INDEX($AI$2:$AI$1001,MATCH(ROWS($AH$2:AH260),$AH$2:$AH$1001,0),1)&gt;=100000,INDEX($AO$1005:$BQ$1005,1,MATCH(COLUMNS($AO$1006:BH1006),$AO$1006:$BQ$1006,0))&gt;=100000), " ",IF(INDEX($AO$2:$BQ$1001,MATCH(ROWS($AH$2:AH260),$AH$2:$AH$1001,0),MATCH(COLUMNS($AO$1006:BH1006),$AO$1006:$BQ$1006,0)), HYPERLINK("#",""), HYPERLINK(CONCATENATE("#Metadata!", ADDRESS(INDEX($AJ$2:$AJ$1001,MATCH(ROWS($AH$2:AH260),$AH$2:$AH$1001,0),0), INDEX($AO$1004:$BQ$1004,1,MATCH(COLUMNS($AO$1006:BH1006),$AO$1006:$BQ$1006,0)))),"Fix")))</f>
        <v>#N/A</v>
      </c>
      <c r="V260" s="5" t="e">
        <f ca="1">IF(OR(INDEX($AI$2:$AI$1001,MATCH(ROWS($AH$2:AH260),$AH$2:$AH$1001,0),1)&gt;=100000,INDEX($AO$1005:$BQ$1005,1,MATCH(COLUMNS($AO$1006:BI1006),$AO$1006:$BQ$1006,0))&gt;=100000), " ",IF(INDEX($AO$2:$BQ$1001,MATCH(ROWS($AH$2:AH260),$AH$2:$AH$1001,0),MATCH(COLUMNS($AO$1006:BI1006),$AO$1006:$BQ$1006,0)), HYPERLINK("#",""), HYPERLINK(CONCATENATE("#Metadata!", ADDRESS(INDEX($AJ$2:$AJ$1001,MATCH(ROWS($AH$2:AH260),$AH$2:$AH$1001,0),0), INDEX($AO$1004:$BQ$1004,1,MATCH(COLUMNS($AO$1006:BI1006),$AO$1006:$BQ$1006,0)))),"Fix")))</f>
        <v>#N/A</v>
      </c>
      <c r="W260" s="5" t="e">
        <f ca="1">IF(OR(INDEX($AI$2:$AI$1001,MATCH(ROWS($AH$2:AH260),$AH$2:$AH$1001,0),1)&gt;=100000,INDEX($AO$1005:$BQ$1005,1,MATCH(COLUMNS($AO$1006:BJ1006),$AO$1006:$BQ$1006,0))&gt;=100000), " ",IF(INDEX($AO$2:$BQ$1001,MATCH(ROWS($AH$2:AH260),$AH$2:$AH$1001,0),MATCH(COLUMNS($AO$1006:BJ1006),$AO$1006:$BQ$1006,0)), HYPERLINK("#",""), HYPERLINK(CONCATENATE("#Metadata!", ADDRESS(INDEX($AJ$2:$AJ$1001,MATCH(ROWS($AH$2:AH260),$AH$2:$AH$1001,0),0), INDEX($AO$1004:$BQ$1004,1,MATCH(COLUMNS($AO$1006:BJ1006),$AO$1006:$BQ$1006,0)))),"Fix")))</f>
        <v>#N/A</v>
      </c>
      <c r="X260" s="5" t="e">
        <f ca="1">IF(OR(INDEX($AI$2:$AI$1001,MATCH(ROWS($AH$2:AH260),$AH$2:$AH$1001,0),1)&gt;=100000,INDEX($AO$1005:$BQ$1005,1,MATCH(COLUMNS($AO$1006:BK1006),$AO$1006:$BQ$1006,0))&gt;=100000), " ",IF(INDEX($AO$2:$BQ$1001,MATCH(ROWS($AH$2:AH260),$AH$2:$AH$1001,0),MATCH(COLUMNS($AO$1006:BK1006),$AO$1006:$BQ$1006,0)), HYPERLINK("#",""), HYPERLINK(CONCATENATE("#Metadata!", ADDRESS(INDEX($AJ$2:$AJ$1001,MATCH(ROWS($AH$2:AH260),$AH$2:$AH$1001,0),0), INDEX($AO$1004:$BQ$1004,1,MATCH(COLUMNS($AO$1006:BK1006),$AO$1006:$BQ$1006,0)))),"Fix")))</f>
        <v>#N/A</v>
      </c>
      <c r="Y260" s="5" t="e">
        <f ca="1">IF(OR(INDEX($AI$2:$AI$1001,MATCH(ROWS($AH$2:AH260),$AH$2:$AH$1001,0),1)&gt;=100000,INDEX($AO$1005:$BQ$1005,1,MATCH(COLUMNS($AO$1006:BL1006),$AO$1006:$BQ$1006,0))&gt;=100000), " ",IF(INDEX($AO$2:$BQ$1001,MATCH(ROWS($AH$2:AH260),$AH$2:$AH$1001,0),MATCH(COLUMNS($AO$1006:BL1006),$AO$1006:$BQ$1006,0)), HYPERLINK("#",""), HYPERLINK(CONCATENATE("#Metadata!", ADDRESS(INDEX($AJ$2:$AJ$1001,MATCH(ROWS($AH$2:AH260),$AH$2:$AH$1001,0),0), INDEX($AO$1004:$BQ$1004,1,MATCH(COLUMNS($AO$1006:BL1006),$AO$1006:$BQ$1006,0)))),"Fix")))</f>
        <v>#N/A</v>
      </c>
      <c r="Z260" s="5" t="e">
        <f ca="1">IF(OR(INDEX($AI$2:$AI$1001,MATCH(ROWS($AH$2:AH260),$AH$2:$AH$1001,0),1)&gt;=100000,INDEX($AO$1005:$BQ$1005,1,MATCH(COLUMNS($AO$1006:BM1006),$AO$1006:$BQ$1006,0))&gt;=100000), " ",IF(INDEX($AO$2:$BQ$1001,MATCH(ROWS($AH$2:AH260),$AH$2:$AH$1001,0),MATCH(COLUMNS($AO$1006:BM1006),$AO$1006:$BQ$1006,0)), HYPERLINK("#",""), HYPERLINK(CONCATENATE("#Metadata!", ADDRESS(INDEX($AJ$2:$AJ$1001,MATCH(ROWS($AH$2:AH260),$AH$2:$AH$1001,0),0), INDEX($AO$1004:$BQ$1004,1,MATCH(COLUMNS($AO$1006:BM1006),$AO$1006:$BQ$1006,0)))),"Fix")))</f>
        <v>#N/A</v>
      </c>
      <c r="AA260" s="5" t="e">
        <f ca="1">IF(OR(INDEX($AI$2:$AI$1001,MATCH(ROWS($AH$2:AH260),$AH$2:$AH$1001,0),1)&gt;=100000,INDEX($AO$1005:$BQ$1005,1,MATCH(COLUMNS($AO$1006:BN1006),$AO$1006:$BQ$1006,0))&gt;=100000), " ",IF(INDEX($AO$2:$BQ$1001,MATCH(ROWS($AH$2:AH260),$AH$2:$AH$1001,0),MATCH(COLUMNS($AO$1006:BN1006),$AO$1006:$BQ$1006,0)), HYPERLINK("#",""), HYPERLINK(CONCATENATE("#Metadata!", ADDRESS(INDEX($AJ$2:$AJ$1001,MATCH(ROWS($AH$2:AH260),$AH$2:$AH$1001,0),0), INDEX($AO$1004:$BQ$1004,1,MATCH(COLUMNS($AO$1006:BN1006),$AO$1006:$BQ$1006,0)))),"Fix")))</f>
        <v>#N/A</v>
      </c>
      <c r="AB260" s="5" t="e">
        <f ca="1">IF(OR(INDEX($AI$2:$AI$1001,MATCH(ROWS($AH$2:AH260),$AH$2:$AH$1001,0),1)&gt;=100000,INDEX($AO$1005:$BQ$1005,1,MATCH(COLUMNS($AO$1006:BO1006),$AO$1006:$BQ$1006,0))&gt;=100000), " ",IF(INDEX($AO$2:$BQ$1001,MATCH(ROWS($AH$2:AH260),$AH$2:$AH$1001,0),MATCH(COLUMNS($AO$1006:BO1006),$AO$1006:$BQ$1006,0)), HYPERLINK("#",""), HYPERLINK(CONCATENATE("#Metadata!", ADDRESS(INDEX($AJ$2:$AJ$1001,MATCH(ROWS($AH$2:AH260),$AH$2:$AH$1001,0),0), INDEX($AO$1004:$BQ$1004,1,MATCH(COLUMNS($AO$1006:BO1006),$AO$1006:$BQ$1006,0)))),"Fix")))</f>
        <v>#N/A</v>
      </c>
      <c r="AC260" s="5" t="e">
        <f ca="1">IF(OR(INDEX($AI$2:$AI$1001,MATCH(ROWS($AH$2:AH260),$AH$2:$AH$1001,0),1)&gt;=100000,INDEX($AO$1005:$BQ$1005,1,MATCH(COLUMNS($AO$1006:BP1006),$AO$1006:$BQ$1006,0))&gt;=100000), " ",IF(INDEX($AO$2:$BQ$1001,MATCH(ROWS($AH$2:AH260),$AH$2:$AH$1001,0),MATCH(COLUMNS($AO$1006:BP1006),$AO$1006:$BQ$1006,0)), HYPERLINK("#",""), HYPERLINK(CONCATENATE("#Metadata!", ADDRESS(INDEX($AJ$2:$AJ$1001,MATCH(ROWS($AH$2:AH260),$AH$2:$AH$1001,0),0), INDEX($AO$1004:$BQ$1004,1,MATCH(COLUMNS($AO$1006:BP1006),$AO$1006:$BQ$1006,0)))),"Fix")))</f>
        <v>#N/A</v>
      </c>
      <c r="AD260" s="5" t="e">
        <f ca="1">IF(OR(INDEX($AI$2:$AI$1001,MATCH(ROWS($AH$2:AH260),$AH$2:$AH$1001,0),1)&gt;=100000,INDEX($AO$1005:$BQ$1005,1,MATCH(COLUMNS($AO$1006:BQ1006),$AO$1006:$BQ$1006,0))&gt;=100000), " ",IF(INDEX($AO$2:$BQ$1001,MATCH(ROWS($AH$2:AH260),$AH$2:$AH$1001,0),MATCH(COLUMNS($AO$1006:BQ1006),$AO$1006:$BQ$1006,0)), HYPERLINK("#",""), HYPERLINK(CONCATENATE("#Metadata!", ADDRESS(INDEX($AJ$2:$AJ$1001,MATCH(ROWS($AH$2:AH260),$AH$2:$AH$1001,0),0), INDEX($AO$1004:$BQ$1004,1,MATCH(COLUMNS($AO$1006:BQ1006),$AO$1006:$BQ$1006,0)))),"Fix")))</f>
        <v>#REF!</v>
      </c>
      <c r="AH260">
        <f ca="1"/>
        <v>257</v>
      </c>
      <c r="AI260">
        <v>100260</v>
      </c>
      <c r="AJ260">
        <v>260</v>
      </c>
      <c r="AK260" t="b">
        <f t="shared" si="4"/>
        <v>1</v>
      </c>
      <c r="AL260" t="b">
        <f>COUNTBLANK(Metadata!B260:AD260)=COLUMNS(Metadata!B260:AD260)</f>
        <v>1</v>
      </c>
      <c r="AM260" t="str">
        <v/>
      </c>
      <c r="AO260" t="b">
        <f ca="1">AND(IF(Metadata!B260="",FALSE,TRUE),COUNTIF(Metadata!B:B, Metadata!B260) = 1,NOT(ISERROR(SUMPRODUCT(SEARCH(MID(Metadata!B260,ROW(INDIRECT("1:"&amp;LEN(Metadata!B260))), 1),"0123456789abcdefghijklmnopqrstuvwxyzABCDEFGHIJKLMNOPQRSTUVWXYZ.")))))</f>
        <v>0</v>
      </c>
      <c r="AP260" t="b">
        <f>IF(Metadata!C260="",FALSE,TRUE)</f>
        <v>0</v>
      </c>
      <c r="AQ260" t="b">
        <f>IF(Metadata!D260="",FALSE,TRUE)</f>
        <v>0</v>
      </c>
      <c r="AR260" t="b">
        <f ca="1">OR(AND(IF(Metadata!E260="",FALSE,TRUE),OR(EXACT(Metadata!E260,"not collected"),EXACT(Metadata!E260,"not provided"),EXACT(Metadata!E260,"restricted access"))),AND(IF(Metadata!E260="",FALSE,TRUE),AND(AND(IFERROR(INT(LEFT(Metadata!E260,4))&gt;1900,FALSE),IFERROR(INT(LEFT(Metadata!E260,4))&lt;=YEAR(NOW()),FALSE)), OR(MID(Metadata!E260,5,1)="", AND(AND(MID(Metadata!E260,5,1)="-",IFERROR(INT(MID(Metadata!E260,6,1))&gt;=0,FALSE),IFERROR(INT(MID(Metadata!E260,6,1))&lt;=1,FALSE),NOT(MID(Metadata!E260,7,1)=""),IFERROR(INT(MID(Metadata!E260,6,2))&gt;=1,FALSE),IFERROR(INT(MID(Metadata!E260,6,2))&lt;=12,FALSE)), OR(MID(Metadata!E260,8,1)="", AND(AND(MID(Metadata!E260,8,1)="-",IFERROR(INT(MID(Metadata!E260,9,1))&gt;=0,FALSE),IFERROR(INT(MID(Metadata!E260,9,1))&lt;=3,FALSE),NOT(MID(Metadata!E260,10,1)=""),IFERROR(INT(MID(Metadata!E260,9,2))&gt;=1,FALSE),IFERROR(INT(MID(Metadata!E260,9,2))&lt;=31,FALSE)), OR(MID(Metadata!E260,11,1)="", AND(AND(MID(Metadata!E260,11,1)=" ",IFERROR(INT(MID(Metadata!E260,12,1))&gt;=0,FALSE),IFERROR(INT(MID(Metadata!E260,12,1))&lt;=2,FALSE),NOT(MID(Metadata!E260,13,1)=""),IFERROR(INT(MID(Metadata!E260,12,2))&gt;=0,FALSE),IFERROR(INT(MID(Metadata!E260,12,2))&lt;=23,FALSE)), OR(MID(Metadata!E260,14,1)="", AND(AND(MID(Metadata!E260,14,1)=":",IFERROR(INT(MID(Metadata!E260,15,1))&gt;=0,FALSE),IFERROR(INT(MID(Metadata!E260,15,1))&lt;=5,FALSE),NOT(MID(Metadata!E260,16,1)=""),IFERROR(INT(MID(Metadata!E260,15,2))&gt;=0,FALSE),IFERROR(INT(MID(Metadata!E260,15,2))&lt;=59,FALSE)), OR(MID(Metadata!E260,17,1)="", AND(AND(MID(Metadata!E260,17,1)=":",IFERROR(INT(MID(Metadata!E260,18,1))&gt;=0,FALSE),IFERROR(INT(MID(Metadata!E260,18,1))&lt;=5,FALSE),NOT(MID(Metadata!E260,19,1)=""),IFERROR(INT(MID(Metadata!E260,18,2))&gt;=0,FALSE),IFERROR(INT(MID(Metadata!E260,18,2))&lt;=59,FALSE)), LEN(Metadata!E260)&lt;=19)))))))))))))</f>
        <v>0</v>
      </c>
      <c r="AS260" t="b">
        <f>IF(Metadata!F260="",FALSE,TRUE)</f>
        <v>0</v>
      </c>
      <c r="AT260" t="b">
        <f>OR(AND(IF(Metadata!G260="",FALSE,TRUE),OR(EXACT(Metadata!G260,"not collected"),EXACT(Metadata!G260,"not provided"))),AND(IF(Metadata!G260="",FALSE,TRUE),OR(EXACT(Metadata!G260,"TRUE"),EXACT(Metadata!G260,"FALSE"))))</f>
        <v>0</v>
      </c>
      <c r="AU260" t="b">
        <f>OR(AND(IF(Metadata!H260="",FALSE,TRUE),OR(EXACT(Metadata!H260,"not collected"),EXACT(Metadata!H260,"not provided"),EXACT(Metadata!H260,"restricted access"))),AND(IF(Metadata!H260="",FALSE,ISNUMBER(VALUE(Metadata!H260))),Metadata!H260&gt;=-413))</f>
        <v>0</v>
      </c>
      <c r="AV260" t="b">
        <f>AND(IF(Metadata!I260="",FALSE,TRUE),EXACT(Metadata!I260,"meters"))</f>
        <v>0</v>
      </c>
      <c r="AW260" t="b">
        <f>AND(IF(Metadata!J260="",FALSE,TRUE),EXACT(Metadata!J260,"free-living"))</f>
        <v>0</v>
      </c>
      <c r="AX260" t="b">
        <f>AND(IF(Metadata!K260="",FALSE,TRUE),OR(EXACT(Metadata!K260,"saline"),EXACT(Metadata!K260,"non-saline")))</f>
        <v>0</v>
      </c>
      <c r="AY260" t="b">
        <f>AND(IF(Metadata!L260="",FALSE,TRUE),OR(EXACT(Metadata!L260,"sub-surface (non-saline)"),EXACT(Metadata!L260,"surface (non-saline)"),EXACT(Metadata!L260,"water (non-saline)"),EXACT(Metadata!L260,"soil (non-saline)"),EXACT(Metadata!L260,"aerosol (non-saline)"),EXACT(Metadata!L260,"sediment (non-saline)"),EXACT(Metadata!L260,"surface (saline)"),EXACT(Metadata!L260,"water (saline)"),EXACT(Metadata!L260,"hypersaline (saline)"),EXACT(Metadata!L260,"aerosol (saline)"),EXACT(Metadata!L260,"sediment (saline)")))</f>
        <v>0</v>
      </c>
      <c r="AZ260" t="b">
        <f>IF(Metadata!M260="",FALSE,TRUE)</f>
        <v>0</v>
      </c>
      <c r="BA260" t="b">
        <f>IF(Metadata!N260="",FALSE,TRUE)</f>
        <v>0</v>
      </c>
      <c r="BB260" t="b">
        <f>IF(Metadata!O260="",FALSE,TRUE)</f>
        <v>0</v>
      </c>
      <c r="BC260" t="b">
        <f>AND(IF(Metadata!P260="",FALSE,TRUE),OR(EXACT(Metadata!P260,"air"),EXACT(Metadata!P260,"microbial mat/biofilm"),EXACT(Metadata!P260,"misc environment"),EXACT(Metadata!P260,"sediment"),EXACT(Metadata!P260,"soil"),EXACT(Metadata!P260,"wastewater/sludge"),EXACT(Metadata!P260,"water")))</f>
        <v>0</v>
      </c>
      <c r="BD260" t="b">
        <f>IF(Metadata!Q260="",FALSE,TRUE)</f>
        <v>0</v>
      </c>
      <c r="BE260" t="b">
        <f>IF(Metadata!R260="",FALSE,TRUE)</f>
        <v>0</v>
      </c>
      <c r="BF260" t="b">
        <f>OR(AND(IF(Metadata!S260="",FALSE,TRUE),OR(EXACT(Metadata!S260,"not collected"),EXACT(Metadata!S260,"not provided"),EXACT(Metadata!S260,"restricted access"))),AND(IF(Metadata!S260="",FALSE,ISNUMBER(VALUE(Metadata!S260))),Metadata!S260&gt;=-90,Metadata!S260&lt;=90))</f>
        <v>0</v>
      </c>
      <c r="BG260" t="b">
        <f>AND(IF(Metadata!T260="",FALSE,TRUE),EXACT(Metadata!T260,"Decimal degrees"))</f>
        <v>0</v>
      </c>
      <c r="BH260" t="b">
        <f>OR(AND(IF(Metadata!U260="",FALSE,TRUE),OR(EXACT(Metadata!U260,"not applicable"),EXACT(Metadata!U260,"not collected"))),IF(Metadata!U260="",FALSE,TRUE))</f>
        <v>0</v>
      </c>
      <c r="BI260" t="b">
        <f>OR(AND(IF(Metadata!V260="",FALSE,TRUE),OR(EXACT(Metadata!V260,"not collected"),EXACT(Metadata!V260,"not provided"),EXACT(Metadata!V260,"restricted access"))),AND(IF(Metadata!V260="",FALSE,ISNUMBER(VALUE(Metadata!V260))),Metadata!V260&gt;=-180,Metadata!V260&lt;=180))</f>
        <v>0</v>
      </c>
      <c r="BJ260" t="b">
        <f>AND(IF(Metadata!W260="",FALSE,TRUE),EXACT(Metadata!W260,"Decimal degrees"))</f>
        <v>0</v>
      </c>
      <c r="BK260" t="b">
        <f>IF(Metadata!X260="",FALSE,TRUE)</f>
        <v>0</v>
      </c>
      <c r="BL260" t="b">
        <f>OR(AND(IF(Metadata!Y260="",FALSE,TRUE),OR(EXACT(Metadata!Y260,"not collected"),EXACT(Metadata!Y260,"not provided"),EXACT(Metadata!Y260,"restricted access"))),AND(IF(Metadata!Y260="",FALSE,TRUE),OR(EXACT(Metadata!Y260,"TRUE"),EXACT(Metadata!Y260,"FALSE"))))</f>
        <v>0</v>
      </c>
      <c r="BM260" t="b">
        <f>OR(AND(IF(Metadata!Z260="",FALSE,TRUE),EXACT(Metadata!Z260,"not applicable")),AND(IF(Metadata!Z260="",FALSE,TRUE),OR(EXACT(Metadata!Z260,"beer"),EXACT(Metadata!Z260,"cheese"),EXACT(Metadata!Z260,"fresh water"),EXACT(Metadata!Z260,"marine sediment"),EXACT(Metadata!Z260,"sea water"),EXACT(Metadata!Z260,"sediment"),EXACT(Metadata!Z260,"soil"),EXACT(Metadata!Z260,"waste water"))))</f>
        <v>0</v>
      </c>
      <c r="BN260" t="b">
        <f>AND(IF(Metadata!AA260="",FALSE,TRUE),EXACT(Metadata!AA260,"metagenome"))</f>
        <v>0</v>
      </c>
      <c r="BO260" t="b">
        <f>AND(IF(Metadata!AB260="",FALSE,TRUE),EXACT(Metadata!AB260,"256318"))</f>
        <v>0</v>
      </c>
      <c r="BP260" t="b">
        <f>IF(Metadata!AC260="",FALSE,TRUE)</f>
        <v>0</v>
      </c>
      <c r="BQ260" t="b">
        <f>IF(Metadata!AD260="",FALSE,TRUE)</f>
        <v>0</v>
      </c>
    </row>
    <row r="261" spans="1:69" x14ac:dyDescent="0.2">
      <c r="A261" s="4" t="e">
        <f ca="1">IF(B261=" "," ",HYPERLINK(CONCATENATE("#metadata!",ADDRESS(INDEX($AJ$2:$AJ$1001,MATCH(ROWS($AH$2:AH261),$AH$2:$AH$1001,0),0),2)),INDEX($AM$2:$AM$1001,MATCH(ROWS($AH$2:AH261),$AH$2:$AH$1001,0),0)))</f>
        <v>#N/A</v>
      </c>
      <c r="B261" s="5" t="e">
        <f ca="1">IF(OR(INDEX($AI$2:$AI$1001,MATCH(ROWS($AH$2:AH261),$AH$2:$AH$1001,0),1)&gt;=100000,INDEX($AO$1005:$BQ$1005,1,MATCH(COLUMNS($AO$1006:AO1006),$AO$1006:$BQ$1006,0))&gt;=100000), " ",IF(INDEX($AO$2:$BQ$1001,MATCH(ROWS($AH$2:AH261),$AH$2:$AH$1001,0),MATCH(COLUMNS($AO$1006:AO1006),$AO$1006:$BQ$1006,0)), HYPERLINK("#",""), HYPERLINK(CONCATENATE("#Metadata!", ADDRESS(INDEX($AJ$2:$AJ$1001,MATCH(ROWS($AH$2:AH261),$AH$2:$AH$1001,0),0), INDEX($AO$1004:$BQ$1004,1,MATCH(COLUMNS($AO$1006:AO1006),$AO$1006:$BQ$1006,0)))),"Fix")))</f>
        <v>#N/A</v>
      </c>
      <c r="C261" s="5" t="e">
        <f ca="1">IF(OR(INDEX($AI$2:$AI$1001,MATCH(ROWS($AH$2:AH261),$AH$2:$AH$1001,0),1)&gt;=100000,INDEX($AO$1005:$BQ$1005,1,MATCH(COLUMNS($AO$1006:AP1006),$AO$1006:$BQ$1006,0))&gt;=100000), " ",IF(INDEX($AO$2:$BQ$1001,MATCH(ROWS($AH$2:AH261),$AH$2:$AH$1001,0),MATCH(COLUMNS($AO$1006:AP1006),$AO$1006:$BQ$1006,0)), HYPERLINK("#",""), HYPERLINK(CONCATENATE("#Metadata!", ADDRESS(INDEX($AJ$2:$AJ$1001,MATCH(ROWS($AH$2:AH261),$AH$2:$AH$1001,0),0), INDEX($AO$1004:$BQ$1004,1,MATCH(COLUMNS($AO$1006:AP1006),$AO$1006:$BQ$1006,0)))),"Fix")))</f>
        <v>#N/A</v>
      </c>
      <c r="D261" s="5" t="e">
        <f ca="1">IF(OR(INDEX($AI$2:$AI$1001,MATCH(ROWS($AH$2:AH261),$AH$2:$AH$1001,0),1)&gt;=100000,INDEX($AO$1005:$BQ$1005,1,MATCH(COLUMNS($AO$1006:AQ1006),$AO$1006:$BQ$1006,0))&gt;=100000), " ",IF(INDEX($AO$2:$BQ$1001,MATCH(ROWS($AH$2:AH261),$AH$2:$AH$1001,0),MATCH(COLUMNS($AO$1006:AQ1006),$AO$1006:$BQ$1006,0)), HYPERLINK("#",""), HYPERLINK(CONCATENATE("#Metadata!", ADDRESS(INDEX($AJ$2:$AJ$1001,MATCH(ROWS($AH$2:AH261),$AH$2:$AH$1001,0),0), INDEX($AO$1004:$BQ$1004,1,MATCH(COLUMNS($AO$1006:AQ1006),$AO$1006:$BQ$1006,0)))),"Fix")))</f>
        <v>#N/A</v>
      </c>
      <c r="E261" s="5" t="e">
        <f ca="1">IF(OR(INDEX($AI$2:$AI$1001,MATCH(ROWS($AH$2:AH261),$AH$2:$AH$1001,0),1)&gt;=100000,INDEX($AO$1005:$BQ$1005,1,MATCH(COLUMNS($AO$1006:AR1006),$AO$1006:$BQ$1006,0))&gt;=100000), " ",IF(INDEX($AO$2:$BQ$1001,MATCH(ROWS($AH$2:AH261),$AH$2:$AH$1001,0),MATCH(COLUMNS($AO$1006:AR1006),$AO$1006:$BQ$1006,0)), HYPERLINK("#",""), HYPERLINK(CONCATENATE("#Metadata!", ADDRESS(INDEX($AJ$2:$AJ$1001,MATCH(ROWS($AH$2:AH261),$AH$2:$AH$1001,0),0), INDEX($AO$1004:$BQ$1004,1,MATCH(COLUMNS($AO$1006:AR1006),$AO$1006:$BQ$1006,0)))),"Fix")))</f>
        <v>#N/A</v>
      </c>
      <c r="F261" s="5" t="e">
        <f ca="1">IF(OR(INDEX($AI$2:$AI$1001,MATCH(ROWS($AH$2:AH261),$AH$2:$AH$1001,0),1)&gt;=100000,INDEX($AO$1005:$BQ$1005,1,MATCH(COLUMNS($AO$1006:AS1006),$AO$1006:$BQ$1006,0))&gt;=100000), " ",IF(INDEX($AO$2:$BQ$1001,MATCH(ROWS($AH$2:AH261),$AH$2:$AH$1001,0),MATCH(COLUMNS($AO$1006:AS1006),$AO$1006:$BQ$1006,0)), HYPERLINK("#",""), HYPERLINK(CONCATENATE("#Metadata!", ADDRESS(INDEX($AJ$2:$AJ$1001,MATCH(ROWS($AH$2:AH261),$AH$2:$AH$1001,0),0), INDEX($AO$1004:$BQ$1004,1,MATCH(COLUMNS($AO$1006:AS1006),$AO$1006:$BQ$1006,0)))),"Fix")))</f>
        <v>#N/A</v>
      </c>
      <c r="G261" s="5" t="e">
        <f ca="1">IF(OR(INDEX($AI$2:$AI$1001,MATCH(ROWS($AH$2:AH261),$AH$2:$AH$1001,0),1)&gt;=100000,INDEX($AO$1005:$BQ$1005,1,MATCH(COLUMNS($AO$1006:AT1006),$AO$1006:$BQ$1006,0))&gt;=100000), " ",IF(INDEX($AO$2:$BQ$1001,MATCH(ROWS($AH$2:AH261),$AH$2:$AH$1001,0),MATCH(COLUMNS($AO$1006:AT1006),$AO$1006:$BQ$1006,0)), HYPERLINK("#",""), HYPERLINK(CONCATENATE("#Metadata!", ADDRESS(INDEX($AJ$2:$AJ$1001,MATCH(ROWS($AH$2:AH261),$AH$2:$AH$1001,0),0), INDEX($AO$1004:$BQ$1004,1,MATCH(COLUMNS($AO$1006:AT1006),$AO$1006:$BQ$1006,0)))),"Fix")))</f>
        <v>#N/A</v>
      </c>
      <c r="H261" s="5" t="e">
        <f ca="1">IF(OR(INDEX($AI$2:$AI$1001,MATCH(ROWS($AH$2:AH261),$AH$2:$AH$1001,0),1)&gt;=100000,INDEX($AO$1005:$BQ$1005,1,MATCH(COLUMNS($AO$1006:AU1006),$AO$1006:$BQ$1006,0))&gt;=100000), " ",IF(INDEX($AO$2:$BQ$1001,MATCH(ROWS($AH$2:AH261),$AH$2:$AH$1001,0),MATCH(COLUMNS($AO$1006:AU1006),$AO$1006:$BQ$1006,0)), HYPERLINK("#",""), HYPERLINK(CONCATENATE("#Metadata!", ADDRESS(INDEX($AJ$2:$AJ$1001,MATCH(ROWS($AH$2:AH261),$AH$2:$AH$1001,0),0), INDEX($AO$1004:$BQ$1004,1,MATCH(COLUMNS($AO$1006:AU1006),$AO$1006:$BQ$1006,0)))),"Fix")))</f>
        <v>#N/A</v>
      </c>
      <c r="I261" s="5" t="e">
        <f ca="1">IF(OR(INDEX($AI$2:$AI$1001,MATCH(ROWS($AH$2:AH261),$AH$2:$AH$1001,0),1)&gt;=100000,INDEX($AO$1005:$BQ$1005,1,MATCH(COLUMNS($AO$1006:AV1006),$AO$1006:$BQ$1006,0))&gt;=100000), " ",IF(INDEX($AO$2:$BQ$1001,MATCH(ROWS($AH$2:AH261),$AH$2:$AH$1001,0),MATCH(COLUMNS($AO$1006:AV1006),$AO$1006:$BQ$1006,0)), HYPERLINK("#",""), HYPERLINK(CONCATENATE("#Metadata!", ADDRESS(INDEX($AJ$2:$AJ$1001,MATCH(ROWS($AH$2:AH261),$AH$2:$AH$1001,0),0), INDEX($AO$1004:$BQ$1004,1,MATCH(COLUMNS($AO$1006:AV1006),$AO$1006:$BQ$1006,0)))),"Fix")))</f>
        <v>#N/A</v>
      </c>
      <c r="J261" s="5" t="e">
        <f ca="1">IF(OR(INDEX($AI$2:$AI$1001,MATCH(ROWS($AH$2:AH261),$AH$2:$AH$1001,0),1)&gt;=100000,INDEX($AO$1005:$BQ$1005,1,MATCH(COLUMNS($AO$1006:AW1006),$AO$1006:$BQ$1006,0))&gt;=100000), " ",IF(INDEX($AO$2:$BQ$1001,MATCH(ROWS($AH$2:AH261),$AH$2:$AH$1001,0),MATCH(COLUMNS($AO$1006:AW1006),$AO$1006:$BQ$1006,0)), HYPERLINK("#",""), HYPERLINK(CONCATENATE("#Metadata!", ADDRESS(INDEX($AJ$2:$AJ$1001,MATCH(ROWS($AH$2:AH261),$AH$2:$AH$1001,0),0), INDEX($AO$1004:$BQ$1004,1,MATCH(COLUMNS($AO$1006:AW1006),$AO$1006:$BQ$1006,0)))),"Fix")))</f>
        <v>#N/A</v>
      </c>
      <c r="K261" s="5" t="e">
        <f ca="1">IF(OR(INDEX($AI$2:$AI$1001,MATCH(ROWS($AH$2:AH261),$AH$2:$AH$1001,0),1)&gt;=100000,INDEX($AO$1005:$BQ$1005,1,MATCH(COLUMNS($AO$1006:AX1006),$AO$1006:$BQ$1006,0))&gt;=100000), " ",IF(INDEX($AO$2:$BQ$1001,MATCH(ROWS($AH$2:AH261),$AH$2:$AH$1001,0),MATCH(COLUMNS($AO$1006:AX1006),$AO$1006:$BQ$1006,0)), HYPERLINK("#",""), HYPERLINK(CONCATENATE("#Metadata!", ADDRESS(INDEX($AJ$2:$AJ$1001,MATCH(ROWS($AH$2:AH261),$AH$2:$AH$1001,0),0), INDEX($AO$1004:$BQ$1004,1,MATCH(COLUMNS($AO$1006:AX1006),$AO$1006:$BQ$1006,0)))),"Fix")))</f>
        <v>#N/A</v>
      </c>
      <c r="L261" s="5" t="e">
        <f ca="1">IF(OR(INDEX($AI$2:$AI$1001,MATCH(ROWS($AH$2:AH261),$AH$2:$AH$1001,0),1)&gt;=100000,INDEX($AO$1005:$BQ$1005,1,MATCH(COLUMNS($AO$1006:AY1006),$AO$1006:$BQ$1006,0))&gt;=100000), " ",IF(INDEX($AO$2:$BQ$1001,MATCH(ROWS($AH$2:AH261),$AH$2:$AH$1001,0),MATCH(COLUMNS($AO$1006:AY1006),$AO$1006:$BQ$1006,0)), HYPERLINK("#",""), HYPERLINK(CONCATENATE("#Metadata!", ADDRESS(INDEX($AJ$2:$AJ$1001,MATCH(ROWS($AH$2:AH261),$AH$2:$AH$1001,0),0), INDEX($AO$1004:$BQ$1004,1,MATCH(COLUMNS($AO$1006:AY1006),$AO$1006:$BQ$1006,0)))),"Fix")))</f>
        <v>#N/A</v>
      </c>
      <c r="M261" s="5" t="e">
        <f ca="1">IF(OR(INDEX($AI$2:$AI$1001,MATCH(ROWS($AH$2:AH261),$AH$2:$AH$1001,0),1)&gt;=100000,INDEX($AO$1005:$BQ$1005,1,MATCH(COLUMNS($AO$1006:AZ1006),$AO$1006:$BQ$1006,0))&gt;=100000), " ",IF(INDEX($AO$2:$BQ$1001,MATCH(ROWS($AH$2:AH261),$AH$2:$AH$1001,0),MATCH(COLUMNS($AO$1006:AZ1006),$AO$1006:$BQ$1006,0)), HYPERLINK("#",""), HYPERLINK(CONCATENATE("#Metadata!", ADDRESS(INDEX($AJ$2:$AJ$1001,MATCH(ROWS($AH$2:AH261),$AH$2:$AH$1001,0),0), INDEX($AO$1004:$BQ$1004,1,MATCH(COLUMNS($AO$1006:AZ1006),$AO$1006:$BQ$1006,0)))),"Fix")))</f>
        <v>#N/A</v>
      </c>
      <c r="N261" s="5" t="e">
        <f ca="1">IF(OR(INDEX($AI$2:$AI$1001,MATCH(ROWS($AH$2:AH261),$AH$2:$AH$1001,0),1)&gt;=100000,INDEX($AO$1005:$BQ$1005,1,MATCH(COLUMNS($AO$1006:BA1006),$AO$1006:$BQ$1006,0))&gt;=100000), " ",IF(INDEX($AO$2:$BQ$1001,MATCH(ROWS($AH$2:AH261),$AH$2:$AH$1001,0),MATCH(COLUMNS($AO$1006:BA1006),$AO$1006:$BQ$1006,0)), HYPERLINK("#",""), HYPERLINK(CONCATENATE("#Metadata!", ADDRESS(INDEX($AJ$2:$AJ$1001,MATCH(ROWS($AH$2:AH261),$AH$2:$AH$1001,0),0), INDEX($AO$1004:$BQ$1004,1,MATCH(COLUMNS($AO$1006:BA1006),$AO$1006:$BQ$1006,0)))),"Fix")))</f>
        <v>#N/A</v>
      </c>
      <c r="O261" s="5" t="e">
        <f ca="1">IF(OR(INDEX($AI$2:$AI$1001,MATCH(ROWS($AH$2:AH261),$AH$2:$AH$1001,0),1)&gt;=100000,INDEX($AO$1005:$BQ$1005,1,MATCH(COLUMNS($AO$1006:BB1006),$AO$1006:$BQ$1006,0))&gt;=100000), " ",IF(INDEX($AO$2:$BQ$1001,MATCH(ROWS($AH$2:AH261),$AH$2:$AH$1001,0),MATCH(COLUMNS($AO$1006:BB1006),$AO$1006:$BQ$1006,0)), HYPERLINK("#",""), HYPERLINK(CONCATENATE("#Metadata!", ADDRESS(INDEX($AJ$2:$AJ$1001,MATCH(ROWS($AH$2:AH261),$AH$2:$AH$1001,0),0), INDEX($AO$1004:$BQ$1004,1,MATCH(COLUMNS($AO$1006:BB1006),$AO$1006:$BQ$1006,0)))),"Fix")))</f>
        <v>#N/A</v>
      </c>
      <c r="P261" s="5" t="e">
        <f ca="1">IF(OR(INDEX($AI$2:$AI$1001,MATCH(ROWS($AH$2:AH261),$AH$2:$AH$1001,0),1)&gt;=100000,INDEX($AO$1005:$BQ$1005,1,MATCH(COLUMNS($AO$1006:BC1006),$AO$1006:$BQ$1006,0))&gt;=100000), " ",IF(INDEX($AO$2:$BQ$1001,MATCH(ROWS($AH$2:AH261),$AH$2:$AH$1001,0),MATCH(COLUMNS($AO$1006:BC1006),$AO$1006:$BQ$1006,0)), HYPERLINK("#",""), HYPERLINK(CONCATENATE("#Metadata!", ADDRESS(INDEX($AJ$2:$AJ$1001,MATCH(ROWS($AH$2:AH261),$AH$2:$AH$1001,0),0), INDEX($AO$1004:$BQ$1004,1,MATCH(COLUMNS($AO$1006:BC1006),$AO$1006:$BQ$1006,0)))),"Fix")))</f>
        <v>#N/A</v>
      </c>
      <c r="Q261" s="5" t="e">
        <f ca="1">IF(OR(INDEX($AI$2:$AI$1001,MATCH(ROWS($AH$2:AH261),$AH$2:$AH$1001,0),1)&gt;=100000,INDEX($AO$1005:$BQ$1005,1,MATCH(COLUMNS($AO$1006:BD1006),$AO$1006:$BQ$1006,0))&gt;=100000), " ",IF(INDEX($AO$2:$BQ$1001,MATCH(ROWS($AH$2:AH261),$AH$2:$AH$1001,0),MATCH(COLUMNS($AO$1006:BD1006),$AO$1006:$BQ$1006,0)), HYPERLINK("#",""), HYPERLINK(CONCATENATE("#Metadata!", ADDRESS(INDEX($AJ$2:$AJ$1001,MATCH(ROWS($AH$2:AH261),$AH$2:$AH$1001,0),0), INDEX($AO$1004:$BQ$1004,1,MATCH(COLUMNS($AO$1006:BD1006),$AO$1006:$BQ$1006,0)))),"Fix")))</f>
        <v>#N/A</v>
      </c>
      <c r="R261" s="5" t="e">
        <f ca="1">IF(OR(INDEX($AI$2:$AI$1001,MATCH(ROWS($AH$2:AH261),$AH$2:$AH$1001,0),1)&gt;=100000,INDEX($AO$1005:$BQ$1005,1,MATCH(COLUMNS($AO$1006:BE1006),$AO$1006:$BQ$1006,0))&gt;=100000), " ",IF(INDEX($AO$2:$BQ$1001,MATCH(ROWS($AH$2:AH261),$AH$2:$AH$1001,0),MATCH(COLUMNS($AO$1006:BE1006),$AO$1006:$BQ$1006,0)), HYPERLINK("#",""), HYPERLINK(CONCATENATE("#Metadata!", ADDRESS(INDEX($AJ$2:$AJ$1001,MATCH(ROWS($AH$2:AH261),$AH$2:$AH$1001,0),0), INDEX($AO$1004:$BQ$1004,1,MATCH(COLUMNS($AO$1006:BE1006),$AO$1006:$BQ$1006,0)))),"Fix")))</f>
        <v>#N/A</v>
      </c>
      <c r="S261" s="5" t="e">
        <f ca="1">IF(OR(INDEX($AI$2:$AI$1001,MATCH(ROWS($AH$2:AH261),$AH$2:$AH$1001,0),1)&gt;=100000,INDEX($AO$1005:$BQ$1005,1,MATCH(COLUMNS($AO$1006:BF1006),$AO$1006:$BQ$1006,0))&gt;=100000), " ",IF(INDEX($AO$2:$BQ$1001,MATCH(ROWS($AH$2:AH261),$AH$2:$AH$1001,0),MATCH(COLUMNS($AO$1006:BF1006),$AO$1006:$BQ$1006,0)), HYPERLINK("#",""), HYPERLINK(CONCATENATE("#Metadata!", ADDRESS(INDEX($AJ$2:$AJ$1001,MATCH(ROWS($AH$2:AH261),$AH$2:$AH$1001,0),0), INDEX($AO$1004:$BQ$1004,1,MATCH(COLUMNS($AO$1006:BF1006),$AO$1006:$BQ$1006,0)))),"Fix")))</f>
        <v>#N/A</v>
      </c>
      <c r="T261" s="5" t="e">
        <f ca="1">IF(OR(INDEX($AI$2:$AI$1001,MATCH(ROWS($AH$2:AH261),$AH$2:$AH$1001,0),1)&gt;=100000,INDEX($AO$1005:$BQ$1005,1,MATCH(COLUMNS($AO$1006:BG1006),$AO$1006:$BQ$1006,0))&gt;=100000), " ",IF(INDEX($AO$2:$BQ$1001,MATCH(ROWS($AH$2:AH261),$AH$2:$AH$1001,0),MATCH(COLUMNS($AO$1006:BG1006),$AO$1006:$BQ$1006,0)), HYPERLINK("#",""), HYPERLINK(CONCATENATE("#Metadata!", ADDRESS(INDEX($AJ$2:$AJ$1001,MATCH(ROWS($AH$2:AH261),$AH$2:$AH$1001,0),0), INDEX($AO$1004:$BQ$1004,1,MATCH(COLUMNS($AO$1006:BG1006),$AO$1006:$BQ$1006,0)))),"Fix")))</f>
        <v>#N/A</v>
      </c>
      <c r="U261" s="5" t="e">
        <f ca="1">IF(OR(INDEX($AI$2:$AI$1001,MATCH(ROWS($AH$2:AH261),$AH$2:$AH$1001,0),1)&gt;=100000,INDEX($AO$1005:$BQ$1005,1,MATCH(COLUMNS($AO$1006:BH1006),$AO$1006:$BQ$1006,0))&gt;=100000), " ",IF(INDEX($AO$2:$BQ$1001,MATCH(ROWS($AH$2:AH261),$AH$2:$AH$1001,0),MATCH(COLUMNS($AO$1006:BH1006),$AO$1006:$BQ$1006,0)), HYPERLINK("#",""), HYPERLINK(CONCATENATE("#Metadata!", ADDRESS(INDEX($AJ$2:$AJ$1001,MATCH(ROWS($AH$2:AH261),$AH$2:$AH$1001,0),0), INDEX($AO$1004:$BQ$1004,1,MATCH(COLUMNS($AO$1006:BH1006),$AO$1006:$BQ$1006,0)))),"Fix")))</f>
        <v>#N/A</v>
      </c>
      <c r="V261" s="5" t="e">
        <f ca="1">IF(OR(INDEX($AI$2:$AI$1001,MATCH(ROWS($AH$2:AH261),$AH$2:$AH$1001,0),1)&gt;=100000,INDEX($AO$1005:$BQ$1005,1,MATCH(COLUMNS($AO$1006:BI1006),$AO$1006:$BQ$1006,0))&gt;=100000), " ",IF(INDEX($AO$2:$BQ$1001,MATCH(ROWS($AH$2:AH261),$AH$2:$AH$1001,0),MATCH(COLUMNS($AO$1006:BI1006),$AO$1006:$BQ$1006,0)), HYPERLINK("#",""), HYPERLINK(CONCATENATE("#Metadata!", ADDRESS(INDEX($AJ$2:$AJ$1001,MATCH(ROWS($AH$2:AH261),$AH$2:$AH$1001,0),0), INDEX($AO$1004:$BQ$1004,1,MATCH(COLUMNS($AO$1006:BI1006),$AO$1006:$BQ$1006,0)))),"Fix")))</f>
        <v>#N/A</v>
      </c>
      <c r="W261" s="5" t="e">
        <f ca="1">IF(OR(INDEX($AI$2:$AI$1001,MATCH(ROWS($AH$2:AH261),$AH$2:$AH$1001,0),1)&gt;=100000,INDEX($AO$1005:$BQ$1005,1,MATCH(COLUMNS($AO$1006:BJ1006),$AO$1006:$BQ$1006,0))&gt;=100000), " ",IF(INDEX($AO$2:$BQ$1001,MATCH(ROWS($AH$2:AH261),$AH$2:$AH$1001,0),MATCH(COLUMNS($AO$1006:BJ1006),$AO$1006:$BQ$1006,0)), HYPERLINK("#",""), HYPERLINK(CONCATENATE("#Metadata!", ADDRESS(INDEX($AJ$2:$AJ$1001,MATCH(ROWS($AH$2:AH261),$AH$2:$AH$1001,0),0), INDEX($AO$1004:$BQ$1004,1,MATCH(COLUMNS($AO$1006:BJ1006),$AO$1006:$BQ$1006,0)))),"Fix")))</f>
        <v>#N/A</v>
      </c>
      <c r="X261" s="5" t="e">
        <f ca="1">IF(OR(INDEX($AI$2:$AI$1001,MATCH(ROWS($AH$2:AH261),$AH$2:$AH$1001,0),1)&gt;=100000,INDEX($AO$1005:$BQ$1005,1,MATCH(COLUMNS($AO$1006:BK1006),$AO$1006:$BQ$1006,0))&gt;=100000), " ",IF(INDEX($AO$2:$BQ$1001,MATCH(ROWS($AH$2:AH261),$AH$2:$AH$1001,0),MATCH(COLUMNS($AO$1006:BK1006),$AO$1006:$BQ$1006,0)), HYPERLINK("#",""), HYPERLINK(CONCATENATE("#Metadata!", ADDRESS(INDEX($AJ$2:$AJ$1001,MATCH(ROWS($AH$2:AH261),$AH$2:$AH$1001,0),0), INDEX($AO$1004:$BQ$1004,1,MATCH(COLUMNS($AO$1006:BK1006),$AO$1006:$BQ$1006,0)))),"Fix")))</f>
        <v>#N/A</v>
      </c>
      <c r="Y261" s="5" t="e">
        <f ca="1">IF(OR(INDEX($AI$2:$AI$1001,MATCH(ROWS($AH$2:AH261),$AH$2:$AH$1001,0),1)&gt;=100000,INDEX($AO$1005:$BQ$1005,1,MATCH(COLUMNS($AO$1006:BL1006),$AO$1006:$BQ$1006,0))&gt;=100000), " ",IF(INDEX($AO$2:$BQ$1001,MATCH(ROWS($AH$2:AH261),$AH$2:$AH$1001,0),MATCH(COLUMNS($AO$1006:BL1006),$AO$1006:$BQ$1006,0)), HYPERLINK("#",""), HYPERLINK(CONCATENATE("#Metadata!", ADDRESS(INDEX($AJ$2:$AJ$1001,MATCH(ROWS($AH$2:AH261),$AH$2:$AH$1001,0),0), INDEX($AO$1004:$BQ$1004,1,MATCH(COLUMNS($AO$1006:BL1006),$AO$1006:$BQ$1006,0)))),"Fix")))</f>
        <v>#N/A</v>
      </c>
      <c r="Z261" s="5" t="e">
        <f ca="1">IF(OR(INDEX($AI$2:$AI$1001,MATCH(ROWS($AH$2:AH261),$AH$2:$AH$1001,0),1)&gt;=100000,INDEX($AO$1005:$BQ$1005,1,MATCH(COLUMNS($AO$1006:BM1006),$AO$1006:$BQ$1006,0))&gt;=100000), " ",IF(INDEX($AO$2:$BQ$1001,MATCH(ROWS($AH$2:AH261),$AH$2:$AH$1001,0),MATCH(COLUMNS($AO$1006:BM1006),$AO$1006:$BQ$1006,0)), HYPERLINK("#",""), HYPERLINK(CONCATENATE("#Metadata!", ADDRESS(INDEX($AJ$2:$AJ$1001,MATCH(ROWS($AH$2:AH261),$AH$2:$AH$1001,0),0), INDEX($AO$1004:$BQ$1004,1,MATCH(COLUMNS($AO$1006:BM1006),$AO$1006:$BQ$1006,0)))),"Fix")))</f>
        <v>#N/A</v>
      </c>
      <c r="AA261" s="5" t="e">
        <f ca="1">IF(OR(INDEX($AI$2:$AI$1001,MATCH(ROWS($AH$2:AH261),$AH$2:$AH$1001,0),1)&gt;=100000,INDEX($AO$1005:$BQ$1005,1,MATCH(COLUMNS($AO$1006:BN1006),$AO$1006:$BQ$1006,0))&gt;=100000), " ",IF(INDEX($AO$2:$BQ$1001,MATCH(ROWS($AH$2:AH261),$AH$2:$AH$1001,0),MATCH(COLUMNS($AO$1006:BN1006),$AO$1006:$BQ$1006,0)), HYPERLINK("#",""), HYPERLINK(CONCATENATE("#Metadata!", ADDRESS(INDEX($AJ$2:$AJ$1001,MATCH(ROWS($AH$2:AH261),$AH$2:$AH$1001,0),0), INDEX($AO$1004:$BQ$1004,1,MATCH(COLUMNS($AO$1006:BN1006),$AO$1006:$BQ$1006,0)))),"Fix")))</f>
        <v>#N/A</v>
      </c>
      <c r="AB261" s="5" t="e">
        <f ca="1">IF(OR(INDEX($AI$2:$AI$1001,MATCH(ROWS($AH$2:AH261),$AH$2:$AH$1001,0),1)&gt;=100000,INDEX($AO$1005:$BQ$1005,1,MATCH(COLUMNS($AO$1006:BO1006),$AO$1006:$BQ$1006,0))&gt;=100000), " ",IF(INDEX($AO$2:$BQ$1001,MATCH(ROWS($AH$2:AH261),$AH$2:$AH$1001,0),MATCH(COLUMNS($AO$1006:BO1006),$AO$1006:$BQ$1006,0)), HYPERLINK("#",""), HYPERLINK(CONCATENATE("#Metadata!", ADDRESS(INDEX($AJ$2:$AJ$1001,MATCH(ROWS($AH$2:AH261),$AH$2:$AH$1001,0),0), INDEX($AO$1004:$BQ$1004,1,MATCH(COLUMNS($AO$1006:BO1006),$AO$1006:$BQ$1006,0)))),"Fix")))</f>
        <v>#N/A</v>
      </c>
      <c r="AC261" s="5" t="e">
        <f ca="1">IF(OR(INDEX($AI$2:$AI$1001,MATCH(ROWS($AH$2:AH261),$AH$2:$AH$1001,0),1)&gt;=100000,INDEX($AO$1005:$BQ$1005,1,MATCH(COLUMNS($AO$1006:BP1006),$AO$1006:$BQ$1006,0))&gt;=100000), " ",IF(INDEX($AO$2:$BQ$1001,MATCH(ROWS($AH$2:AH261),$AH$2:$AH$1001,0),MATCH(COLUMNS($AO$1006:BP1006),$AO$1006:$BQ$1006,0)), HYPERLINK("#",""), HYPERLINK(CONCATENATE("#Metadata!", ADDRESS(INDEX($AJ$2:$AJ$1001,MATCH(ROWS($AH$2:AH261),$AH$2:$AH$1001,0),0), INDEX($AO$1004:$BQ$1004,1,MATCH(COLUMNS($AO$1006:BP1006),$AO$1006:$BQ$1006,0)))),"Fix")))</f>
        <v>#N/A</v>
      </c>
      <c r="AD261" s="5" t="e">
        <f ca="1">IF(OR(INDEX($AI$2:$AI$1001,MATCH(ROWS($AH$2:AH261),$AH$2:$AH$1001,0),1)&gt;=100000,INDEX($AO$1005:$BQ$1005,1,MATCH(COLUMNS($AO$1006:BQ1006),$AO$1006:$BQ$1006,0))&gt;=100000), " ",IF(INDEX($AO$2:$BQ$1001,MATCH(ROWS($AH$2:AH261),$AH$2:$AH$1001,0),MATCH(COLUMNS($AO$1006:BQ1006),$AO$1006:$BQ$1006,0)), HYPERLINK("#",""), HYPERLINK(CONCATENATE("#Metadata!", ADDRESS(INDEX($AJ$2:$AJ$1001,MATCH(ROWS($AH$2:AH261),$AH$2:$AH$1001,0),0), INDEX($AO$1004:$BQ$1004,1,MATCH(COLUMNS($AO$1006:BQ1006),$AO$1006:$BQ$1006,0)))),"Fix")))</f>
        <v>#REF!</v>
      </c>
      <c r="AH261">
        <f ca="1"/>
        <v>258</v>
      </c>
      <c r="AI261">
        <v>100261</v>
      </c>
      <c r="AJ261">
        <v>261</v>
      </c>
      <c r="AK261" t="b">
        <f t="shared" si="4"/>
        <v>1</v>
      </c>
      <c r="AL261" t="b">
        <f>COUNTBLANK(Metadata!B261:AD261)=COLUMNS(Metadata!B261:AD261)</f>
        <v>1</v>
      </c>
      <c r="AM261" t="str">
        <v/>
      </c>
      <c r="AO261" t="b">
        <f ca="1">AND(IF(Metadata!B261="",FALSE,TRUE),COUNTIF(Metadata!B:B, Metadata!B261) = 1,NOT(ISERROR(SUMPRODUCT(SEARCH(MID(Metadata!B261,ROW(INDIRECT("1:"&amp;LEN(Metadata!B261))), 1),"0123456789abcdefghijklmnopqrstuvwxyzABCDEFGHIJKLMNOPQRSTUVWXYZ.")))))</f>
        <v>0</v>
      </c>
      <c r="AP261" t="b">
        <f>IF(Metadata!C261="",FALSE,TRUE)</f>
        <v>0</v>
      </c>
      <c r="AQ261" t="b">
        <f>IF(Metadata!D261="",FALSE,TRUE)</f>
        <v>0</v>
      </c>
      <c r="AR261" t="b">
        <f ca="1">OR(AND(IF(Metadata!E261="",FALSE,TRUE),OR(EXACT(Metadata!E261,"not collected"),EXACT(Metadata!E261,"not provided"),EXACT(Metadata!E261,"restricted access"))),AND(IF(Metadata!E261="",FALSE,TRUE),AND(AND(IFERROR(INT(LEFT(Metadata!E261,4))&gt;1900,FALSE),IFERROR(INT(LEFT(Metadata!E261,4))&lt;=YEAR(NOW()),FALSE)), OR(MID(Metadata!E261,5,1)="", AND(AND(MID(Metadata!E261,5,1)="-",IFERROR(INT(MID(Metadata!E261,6,1))&gt;=0,FALSE),IFERROR(INT(MID(Metadata!E261,6,1))&lt;=1,FALSE),NOT(MID(Metadata!E261,7,1)=""),IFERROR(INT(MID(Metadata!E261,6,2))&gt;=1,FALSE),IFERROR(INT(MID(Metadata!E261,6,2))&lt;=12,FALSE)), OR(MID(Metadata!E261,8,1)="", AND(AND(MID(Metadata!E261,8,1)="-",IFERROR(INT(MID(Metadata!E261,9,1))&gt;=0,FALSE),IFERROR(INT(MID(Metadata!E261,9,1))&lt;=3,FALSE),NOT(MID(Metadata!E261,10,1)=""),IFERROR(INT(MID(Metadata!E261,9,2))&gt;=1,FALSE),IFERROR(INT(MID(Metadata!E261,9,2))&lt;=31,FALSE)), OR(MID(Metadata!E261,11,1)="", AND(AND(MID(Metadata!E261,11,1)=" ",IFERROR(INT(MID(Metadata!E261,12,1))&gt;=0,FALSE),IFERROR(INT(MID(Metadata!E261,12,1))&lt;=2,FALSE),NOT(MID(Metadata!E261,13,1)=""),IFERROR(INT(MID(Metadata!E261,12,2))&gt;=0,FALSE),IFERROR(INT(MID(Metadata!E261,12,2))&lt;=23,FALSE)), OR(MID(Metadata!E261,14,1)="", AND(AND(MID(Metadata!E261,14,1)=":",IFERROR(INT(MID(Metadata!E261,15,1))&gt;=0,FALSE),IFERROR(INT(MID(Metadata!E261,15,1))&lt;=5,FALSE),NOT(MID(Metadata!E261,16,1)=""),IFERROR(INT(MID(Metadata!E261,15,2))&gt;=0,FALSE),IFERROR(INT(MID(Metadata!E261,15,2))&lt;=59,FALSE)), OR(MID(Metadata!E261,17,1)="", AND(AND(MID(Metadata!E261,17,1)=":",IFERROR(INT(MID(Metadata!E261,18,1))&gt;=0,FALSE),IFERROR(INT(MID(Metadata!E261,18,1))&lt;=5,FALSE),NOT(MID(Metadata!E261,19,1)=""),IFERROR(INT(MID(Metadata!E261,18,2))&gt;=0,FALSE),IFERROR(INT(MID(Metadata!E261,18,2))&lt;=59,FALSE)), LEN(Metadata!E261)&lt;=19)))))))))))))</f>
        <v>0</v>
      </c>
      <c r="AS261" t="b">
        <f>IF(Metadata!F261="",FALSE,TRUE)</f>
        <v>0</v>
      </c>
      <c r="AT261" t="b">
        <f>OR(AND(IF(Metadata!G261="",FALSE,TRUE),OR(EXACT(Metadata!G261,"not collected"),EXACT(Metadata!G261,"not provided"))),AND(IF(Metadata!G261="",FALSE,TRUE),OR(EXACT(Metadata!G261,"TRUE"),EXACT(Metadata!G261,"FALSE"))))</f>
        <v>0</v>
      </c>
      <c r="AU261" t="b">
        <f>OR(AND(IF(Metadata!H261="",FALSE,TRUE),OR(EXACT(Metadata!H261,"not collected"),EXACT(Metadata!H261,"not provided"),EXACT(Metadata!H261,"restricted access"))),AND(IF(Metadata!H261="",FALSE,ISNUMBER(VALUE(Metadata!H261))),Metadata!H261&gt;=-413))</f>
        <v>0</v>
      </c>
      <c r="AV261" t="b">
        <f>AND(IF(Metadata!I261="",FALSE,TRUE),EXACT(Metadata!I261,"meters"))</f>
        <v>0</v>
      </c>
      <c r="AW261" t="b">
        <f>AND(IF(Metadata!J261="",FALSE,TRUE),EXACT(Metadata!J261,"free-living"))</f>
        <v>0</v>
      </c>
      <c r="AX261" t="b">
        <f>AND(IF(Metadata!K261="",FALSE,TRUE),OR(EXACT(Metadata!K261,"saline"),EXACT(Metadata!K261,"non-saline")))</f>
        <v>0</v>
      </c>
      <c r="AY261" t="b">
        <f>AND(IF(Metadata!L261="",FALSE,TRUE),OR(EXACT(Metadata!L261,"sub-surface (non-saline)"),EXACT(Metadata!L261,"surface (non-saline)"),EXACT(Metadata!L261,"water (non-saline)"),EXACT(Metadata!L261,"soil (non-saline)"),EXACT(Metadata!L261,"aerosol (non-saline)"),EXACT(Metadata!L261,"sediment (non-saline)"),EXACT(Metadata!L261,"surface (saline)"),EXACT(Metadata!L261,"water (saline)"),EXACT(Metadata!L261,"hypersaline (saline)"),EXACT(Metadata!L261,"aerosol (saline)"),EXACT(Metadata!L261,"sediment (saline)")))</f>
        <v>0</v>
      </c>
      <c r="AZ261" t="b">
        <f>IF(Metadata!M261="",FALSE,TRUE)</f>
        <v>0</v>
      </c>
      <c r="BA261" t="b">
        <f>IF(Metadata!N261="",FALSE,TRUE)</f>
        <v>0</v>
      </c>
      <c r="BB261" t="b">
        <f>IF(Metadata!O261="",FALSE,TRUE)</f>
        <v>0</v>
      </c>
      <c r="BC261" t="b">
        <f>AND(IF(Metadata!P261="",FALSE,TRUE),OR(EXACT(Metadata!P261,"air"),EXACT(Metadata!P261,"microbial mat/biofilm"),EXACT(Metadata!P261,"misc environment"),EXACT(Metadata!P261,"sediment"),EXACT(Metadata!P261,"soil"),EXACT(Metadata!P261,"wastewater/sludge"),EXACT(Metadata!P261,"water")))</f>
        <v>0</v>
      </c>
      <c r="BD261" t="b">
        <f>IF(Metadata!Q261="",FALSE,TRUE)</f>
        <v>0</v>
      </c>
      <c r="BE261" t="b">
        <f>IF(Metadata!R261="",FALSE,TRUE)</f>
        <v>0</v>
      </c>
      <c r="BF261" t="b">
        <f>OR(AND(IF(Metadata!S261="",FALSE,TRUE),OR(EXACT(Metadata!S261,"not collected"),EXACT(Metadata!S261,"not provided"),EXACT(Metadata!S261,"restricted access"))),AND(IF(Metadata!S261="",FALSE,ISNUMBER(VALUE(Metadata!S261))),Metadata!S261&gt;=-90,Metadata!S261&lt;=90))</f>
        <v>0</v>
      </c>
      <c r="BG261" t="b">
        <f>AND(IF(Metadata!T261="",FALSE,TRUE),EXACT(Metadata!T261,"Decimal degrees"))</f>
        <v>0</v>
      </c>
      <c r="BH261" t="b">
        <f>OR(AND(IF(Metadata!U261="",FALSE,TRUE),OR(EXACT(Metadata!U261,"not applicable"),EXACT(Metadata!U261,"not collected"))),IF(Metadata!U261="",FALSE,TRUE))</f>
        <v>0</v>
      </c>
      <c r="BI261" t="b">
        <f>OR(AND(IF(Metadata!V261="",FALSE,TRUE),OR(EXACT(Metadata!V261,"not collected"),EXACT(Metadata!V261,"not provided"),EXACT(Metadata!V261,"restricted access"))),AND(IF(Metadata!V261="",FALSE,ISNUMBER(VALUE(Metadata!V261))),Metadata!V261&gt;=-180,Metadata!V261&lt;=180))</f>
        <v>0</v>
      </c>
      <c r="BJ261" t="b">
        <f>AND(IF(Metadata!W261="",FALSE,TRUE),EXACT(Metadata!W261,"Decimal degrees"))</f>
        <v>0</v>
      </c>
      <c r="BK261" t="b">
        <f>IF(Metadata!X261="",FALSE,TRUE)</f>
        <v>0</v>
      </c>
      <c r="BL261" t="b">
        <f>OR(AND(IF(Metadata!Y261="",FALSE,TRUE),OR(EXACT(Metadata!Y261,"not collected"),EXACT(Metadata!Y261,"not provided"),EXACT(Metadata!Y261,"restricted access"))),AND(IF(Metadata!Y261="",FALSE,TRUE),OR(EXACT(Metadata!Y261,"TRUE"),EXACT(Metadata!Y261,"FALSE"))))</f>
        <v>0</v>
      </c>
      <c r="BM261" t="b">
        <f>OR(AND(IF(Metadata!Z261="",FALSE,TRUE),EXACT(Metadata!Z261,"not applicable")),AND(IF(Metadata!Z261="",FALSE,TRUE),OR(EXACT(Metadata!Z261,"beer"),EXACT(Metadata!Z261,"cheese"),EXACT(Metadata!Z261,"fresh water"),EXACT(Metadata!Z261,"marine sediment"),EXACT(Metadata!Z261,"sea water"),EXACT(Metadata!Z261,"sediment"),EXACT(Metadata!Z261,"soil"),EXACT(Metadata!Z261,"waste water"))))</f>
        <v>0</v>
      </c>
      <c r="BN261" t="b">
        <f>AND(IF(Metadata!AA261="",FALSE,TRUE),EXACT(Metadata!AA261,"metagenome"))</f>
        <v>0</v>
      </c>
      <c r="BO261" t="b">
        <f>AND(IF(Metadata!AB261="",FALSE,TRUE),EXACT(Metadata!AB261,"256318"))</f>
        <v>0</v>
      </c>
      <c r="BP261" t="b">
        <f>IF(Metadata!AC261="",FALSE,TRUE)</f>
        <v>0</v>
      </c>
      <c r="BQ261" t="b">
        <f>IF(Metadata!AD261="",FALSE,TRUE)</f>
        <v>0</v>
      </c>
    </row>
    <row r="262" spans="1:69" x14ac:dyDescent="0.2">
      <c r="A262" s="4" t="e">
        <f ca="1">IF(B262=" "," ",HYPERLINK(CONCATENATE("#metadata!",ADDRESS(INDEX($AJ$2:$AJ$1001,MATCH(ROWS($AH$2:AH262),$AH$2:$AH$1001,0),0),2)),INDEX($AM$2:$AM$1001,MATCH(ROWS($AH$2:AH262),$AH$2:$AH$1001,0),0)))</f>
        <v>#N/A</v>
      </c>
      <c r="B262" s="5" t="e">
        <f ca="1">IF(OR(INDEX($AI$2:$AI$1001,MATCH(ROWS($AH$2:AH262),$AH$2:$AH$1001,0),1)&gt;=100000,INDEX($AO$1005:$BQ$1005,1,MATCH(COLUMNS($AO$1006:AO1006),$AO$1006:$BQ$1006,0))&gt;=100000), " ",IF(INDEX($AO$2:$BQ$1001,MATCH(ROWS($AH$2:AH262),$AH$2:$AH$1001,0),MATCH(COLUMNS($AO$1006:AO1006),$AO$1006:$BQ$1006,0)), HYPERLINK("#",""), HYPERLINK(CONCATENATE("#Metadata!", ADDRESS(INDEX($AJ$2:$AJ$1001,MATCH(ROWS($AH$2:AH262),$AH$2:$AH$1001,0),0), INDEX($AO$1004:$BQ$1004,1,MATCH(COLUMNS($AO$1006:AO1006),$AO$1006:$BQ$1006,0)))),"Fix")))</f>
        <v>#N/A</v>
      </c>
      <c r="C262" s="5" t="e">
        <f ca="1">IF(OR(INDEX($AI$2:$AI$1001,MATCH(ROWS($AH$2:AH262),$AH$2:$AH$1001,0),1)&gt;=100000,INDEX($AO$1005:$BQ$1005,1,MATCH(COLUMNS($AO$1006:AP1006),$AO$1006:$BQ$1006,0))&gt;=100000), " ",IF(INDEX($AO$2:$BQ$1001,MATCH(ROWS($AH$2:AH262),$AH$2:$AH$1001,0),MATCH(COLUMNS($AO$1006:AP1006),$AO$1006:$BQ$1006,0)), HYPERLINK("#",""), HYPERLINK(CONCATENATE("#Metadata!", ADDRESS(INDEX($AJ$2:$AJ$1001,MATCH(ROWS($AH$2:AH262),$AH$2:$AH$1001,0),0), INDEX($AO$1004:$BQ$1004,1,MATCH(COLUMNS($AO$1006:AP1006),$AO$1006:$BQ$1006,0)))),"Fix")))</f>
        <v>#N/A</v>
      </c>
      <c r="D262" s="5" t="e">
        <f ca="1">IF(OR(INDEX($AI$2:$AI$1001,MATCH(ROWS($AH$2:AH262),$AH$2:$AH$1001,0),1)&gt;=100000,INDEX($AO$1005:$BQ$1005,1,MATCH(COLUMNS($AO$1006:AQ1006),$AO$1006:$BQ$1006,0))&gt;=100000), " ",IF(INDEX($AO$2:$BQ$1001,MATCH(ROWS($AH$2:AH262),$AH$2:$AH$1001,0),MATCH(COLUMNS($AO$1006:AQ1006),$AO$1006:$BQ$1006,0)), HYPERLINK("#",""), HYPERLINK(CONCATENATE("#Metadata!", ADDRESS(INDEX($AJ$2:$AJ$1001,MATCH(ROWS($AH$2:AH262),$AH$2:$AH$1001,0),0), INDEX($AO$1004:$BQ$1004,1,MATCH(COLUMNS($AO$1006:AQ1006),$AO$1006:$BQ$1006,0)))),"Fix")))</f>
        <v>#N/A</v>
      </c>
      <c r="E262" s="5" t="e">
        <f ca="1">IF(OR(INDEX($AI$2:$AI$1001,MATCH(ROWS($AH$2:AH262),$AH$2:$AH$1001,0),1)&gt;=100000,INDEX($AO$1005:$BQ$1005,1,MATCH(COLUMNS($AO$1006:AR1006),$AO$1006:$BQ$1006,0))&gt;=100000), " ",IF(INDEX($AO$2:$BQ$1001,MATCH(ROWS($AH$2:AH262),$AH$2:$AH$1001,0),MATCH(COLUMNS($AO$1006:AR1006),$AO$1006:$BQ$1006,0)), HYPERLINK("#",""), HYPERLINK(CONCATENATE("#Metadata!", ADDRESS(INDEX($AJ$2:$AJ$1001,MATCH(ROWS($AH$2:AH262),$AH$2:$AH$1001,0),0), INDEX($AO$1004:$BQ$1004,1,MATCH(COLUMNS($AO$1006:AR1006),$AO$1006:$BQ$1006,0)))),"Fix")))</f>
        <v>#N/A</v>
      </c>
      <c r="F262" s="5" t="e">
        <f ca="1">IF(OR(INDEX($AI$2:$AI$1001,MATCH(ROWS($AH$2:AH262),$AH$2:$AH$1001,0),1)&gt;=100000,INDEX($AO$1005:$BQ$1005,1,MATCH(COLUMNS($AO$1006:AS1006),$AO$1006:$BQ$1006,0))&gt;=100000), " ",IF(INDEX($AO$2:$BQ$1001,MATCH(ROWS($AH$2:AH262),$AH$2:$AH$1001,0),MATCH(COLUMNS($AO$1006:AS1006),$AO$1006:$BQ$1006,0)), HYPERLINK("#",""), HYPERLINK(CONCATENATE("#Metadata!", ADDRESS(INDEX($AJ$2:$AJ$1001,MATCH(ROWS($AH$2:AH262),$AH$2:$AH$1001,0),0), INDEX($AO$1004:$BQ$1004,1,MATCH(COLUMNS($AO$1006:AS1006),$AO$1006:$BQ$1006,0)))),"Fix")))</f>
        <v>#N/A</v>
      </c>
      <c r="G262" s="5" t="e">
        <f ca="1">IF(OR(INDEX($AI$2:$AI$1001,MATCH(ROWS($AH$2:AH262),$AH$2:$AH$1001,0),1)&gt;=100000,INDEX($AO$1005:$BQ$1005,1,MATCH(COLUMNS($AO$1006:AT1006),$AO$1006:$BQ$1006,0))&gt;=100000), " ",IF(INDEX($AO$2:$BQ$1001,MATCH(ROWS($AH$2:AH262),$AH$2:$AH$1001,0),MATCH(COLUMNS($AO$1006:AT1006),$AO$1006:$BQ$1006,0)), HYPERLINK("#",""), HYPERLINK(CONCATENATE("#Metadata!", ADDRESS(INDEX($AJ$2:$AJ$1001,MATCH(ROWS($AH$2:AH262),$AH$2:$AH$1001,0),0), INDEX($AO$1004:$BQ$1004,1,MATCH(COLUMNS($AO$1006:AT1006),$AO$1006:$BQ$1006,0)))),"Fix")))</f>
        <v>#N/A</v>
      </c>
      <c r="H262" s="5" t="e">
        <f ca="1">IF(OR(INDEX($AI$2:$AI$1001,MATCH(ROWS($AH$2:AH262),$AH$2:$AH$1001,0),1)&gt;=100000,INDEX($AO$1005:$BQ$1005,1,MATCH(COLUMNS($AO$1006:AU1006),$AO$1006:$BQ$1006,0))&gt;=100000), " ",IF(INDEX($AO$2:$BQ$1001,MATCH(ROWS($AH$2:AH262),$AH$2:$AH$1001,0),MATCH(COLUMNS($AO$1006:AU1006),$AO$1006:$BQ$1006,0)), HYPERLINK("#",""), HYPERLINK(CONCATENATE("#Metadata!", ADDRESS(INDEX($AJ$2:$AJ$1001,MATCH(ROWS($AH$2:AH262),$AH$2:$AH$1001,0),0), INDEX($AO$1004:$BQ$1004,1,MATCH(COLUMNS($AO$1006:AU1006),$AO$1006:$BQ$1006,0)))),"Fix")))</f>
        <v>#N/A</v>
      </c>
      <c r="I262" s="5" t="e">
        <f ca="1">IF(OR(INDEX($AI$2:$AI$1001,MATCH(ROWS($AH$2:AH262),$AH$2:$AH$1001,0),1)&gt;=100000,INDEX($AO$1005:$BQ$1005,1,MATCH(COLUMNS($AO$1006:AV1006),$AO$1006:$BQ$1006,0))&gt;=100000), " ",IF(INDEX($AO$2:$BQ$1001,MATCH(ROWS($AH$2:AH262),$AH$2:$AH$1001,0),MATCH(COLUMNS($AO$1006:AV1006),$AO$1006:$BQ$1006,0)), HYPERLINK("#",""), HYPERLINK(CONCATENATE("#Metadata!", ADDRESS(INDEX($AJ$2:$AJ$1001,MATCH(ROWS($AH$2:AH262),$AH$2:$AH$1001,0),0), INDEX($AO$1004:$BQ$1004,1,MATCH(COLUMNS($AO$1006:AV1006),$AO$1006:$BQ$1006,0)))),"Fix")))</f>
        <v>#N/A</v>
      </c>
      <c r="J262" s="5" t="e">
        <f ca="1">IF(OR(INDEX($AI$2:$AI$1001,MATCH(ROWS($AH$2:AH262),$AH$2:$AH$1001,0),1)&gt;=100000,INDEX($AO$1005:$BQ$1005,1,MATCH(COLUMNS($AO$1006:AW1006),$AO$1006:$BQ$1006,0))&gt;=100000), " ",IF(INDEX($AO$2:$BQ$1001,MATCH(ROWS($AH$2:AH262),$AH$2:$AH$1001,0),MATCH(COLUMNS($AO$1006:AW1006),$AO$1006:$BQ$1006,0)), HYPERLINK("#",""), HYPERLINK(CONCATENATE("#Metadata!", ADDRESS(INDEX($AJ$2:$AJ$1001,MATCH(ROWS($AH$2:AH262),$AH$2:$AH$1001,0),0), INDEX($AO$1004:$BQ$1004,1,MATCH(COLUMNS($AO$1006:AW1006),$AO$1006:$BQ$1006,0)))),"Fix")))</f>
        <v>#N/A</v>
      </c>
      <c r="K262" s="5" t="e">
        <f ca="1">IF(OR(INDEX($AI$2:$AI$1001,MATCH(ROWS($AH$2:AH262),$AH$2:$AH$1001,0),1)&gt;=100000,INDEX($AO$1005:$BQ$1005,1,MATCH(COLUMNS($AO$1006:AX1006),$AO$1006:$BQ$1006,0))&gt;=100000), " ",IF(INDEX($AO$2:$BQ$1001,MATCH(ROWS($AH$2:AH262),$AH$2:$AH$1001,0),MATCH(COLUMNS($AO$1006:AX1006),$AO$1006:$BQ$1006,0)), HYPERLINK("#",""), HYPERLINK(CONCATENATE("#Metadata!", ADDRESS(INDEX($AJ$2:$AJ$1001,MATCH(ROWS($AH$2:AH262),$AH$2:$AH$1001,0),0), INDEX($AO$1004:$BQ$1004,1,MATCH(COLUMNS($AO$1006:AX1006),$AO$1006:$BQ$1006,0)))),"Fix")))</f>
        <v>#N/A</v>
      </c>
      <c r="L262" s="5" t="e">
        <f ca="1">IF(OR(INDEX($AI$2:$AI$1001,MATCH(ROWS($AH$2:AH262),$AH$2:$AH$1001,0),1)&gt;=100000,INDEX($AO$1005:$BQ$1005,1,MATCH(COLUMNS($AO$1006:AY1006),$AO$1006:$BQ$1006,0))&gt;=100000), " ",IF(INDEX($AO$2:$BQ$1001,MATCH(ROWS($AH$2:AH262),$AH$2:$AH$1001,0),MATCH(COLUMNS($AO$1006:AY1006),$AO$1006:$BQ$1006,0)), HYPERLINK("#",""), HYPERLINK(CONCATENATE("#Metadata!", ADDRESS(INDEX($AJ$2:$AJ$1001,MATCH(ROWS($AH$2:AH262),$AH$2:$AH$1001,0),0), INDEX($AO$1004:$BQ$1004,1,MATCH(COLUMNS($AO$1006:AY1006),$AO$1006:$BQ$1006,0)))),"Fix")))</f>
        <v>#N/A</v>
      </c>
      <c r="M262" s="5" t="e">
        <f ca="1">IF(OR(INDEX($AI$2:$AI$1001,MATCH(ROWS($AH$2:AH262),$AH$2:$AH$1001,0),1)&gt;=100000,INDEX($AO$1005:$BQ$1005,1,MATCH(COLUMNS($AO$1006:AZ1006),$AO$1006:$BQ$1006,0))&gt;=100000), " ",IF(INDEX($AO$2:$BQ$1001,MATCH(ROWS($AH$2:AH262),$AH$2:$AH$1001,0),MATCH(COLUMNS($AO$1006:AZ1006),$AO$1006:$BQ$1006,0)), HYPERLINK("#",""), HYPERLINK(CONCATENATE("#Metadata!", ADDRESS(INDEX($AJ$2:$AJ$1001,MATCH(ROWS($AH$2:AH262),$AH$2:$AH$1001,0),0), INDEX($AO$1004:$BQ$1004,1,MATCH(COLUMNS($AO$1006:AZ1006),$AO$1006:$BQ$1006,0)))),"Fix")))</f>
        <v>#N/A</v>
      </c>
      <c r="N262" s="5" t="e">
        <f ca="1">IF(OR(INDEX($AI$2:$AI$1001,MATCH(ROWS($AH$2:AH262),$AH$2:$AH$1001,0),1)&gt;=100000,INDEX($AO$1005:$BQ$1005,1,MATCH(COLUMNS($AO$1006:BA1006),$AO$1006:$BQ$1006,0))&gt;=100000), " ",IF(INDEX($AO$2:$BQ$1001,MATCH(ROWS($AH$2:AH262),$AH$2:$AH$1001,0),MATCH(COLUMNS($AO$1006:BA1006),$AO$1006:$BQ$1006,0)), HYPERLINK("#",""), HYPERLINK(CONCATENATE("#Metadata!", ADDRESS(INDEX($AJ$2:$AJ$1001,MATCH(ROWS($AH$2:AH262),$AH$2:$AH$1001,0),0), INDEX($AO$1004:$BQ$1004,1,MATCH(COLUMNS($AO$1006:BA1006),$AO$1006:$BQ$1006,0)))),"Fix")))</f>
        <v>#N/A</v>
      </c>
      <c r="O262" s="5" t="e">
        <f ca="1">IF(OR(INDEX($AI$2:$AI$1001,MATCH(ROWS($AH$2:AH262),$AH$2:$AH$1001,0),1)&gt;=100000,INDEX($AO$1005:$BQ$1005,1,MATCH(COLUMNS($AO$1006:BB1006),$AO$1006:$BQ$1006,0))&gt;=100000), " ",IF(INDEX($AO$2:$BQ$1001,MATCH(ROWS($AH$2:AH262),$AH$2:$AH$1001,0),MATCH(COLUMNS($AO$1006:BB1006),$AO$1006:$BQ$1006,0)), HYPERLINK("#",""), HYPERLINK(CONCATENATE("#Metadata!", ADDRESS(INDEX($AJ$2:$AJ$1001,MATCH(ROWS($AH$2:AH262),$AH$2:$AH$1001,0),0), INDEX($AO$1004:$BQ$1004,1,MATCH(COLUMNS($AO$1006:BB1006),$AO$1006:$BQ$1006,0)))),"Fix")))</f>
        <v>#N/A</v>
      </c>
      <c r="P262" s="5" t="e">
        <f ca="1">IF(OR(INDEX($AI$2:$AI$1001,MATCH(ROWS($AH$2:AH262),$AH$2:$AH$1001,0),1)&gt;=100000,INDEX($AO$1005:$BQ$1005,1,MATCH(COLUMNS($AO$1006:BC1006),$AO$1006:$BQ$1006,0))&gt;=100000), " ",IF(INDEX($AO$2:$BQ$1001,MATCH(ROWS($AH$2:AH262),$AH$2:$AH$1001,0),MATCH(COLUMNS($AO$1006:BC1006),$AO$1006:$BQ$1006,0)), HYPERLINK("#",""), HYPERLINK(CONCATENATE("#Metadata!", ADDRESS(INDEX($AJ$2:$AJ$1001,MATCH(ROWS($AH$2:AH262),$AH$2:$AH$1001,0),0), INDEX($AO$1004:$BQ$1004,1,MATCH(COLUMNS($AO$1006:BC1006),$AO$1006:$BQ$1006,0)))),"Fix")))</f>
        <v>#N/A</v>
      </c>
      <c r="Q262" s="5" t="e">
        <f ca="1">IF(OR(INDEX($AI$2:$AI$1001,MATCH(ROWS($AH$2:AH262),$AH$2:$AH$1001,0),1)&gt;=100000,INDEX($AO$1005:$BQ$1005,1,MATCH(COLUMNS($AO$1006:BD1006),$AO$1006:$BQ$1006,0))&gt;=100000), " ",IF(INDEX($AO$2:$BQ$1001,MATCH(ROWS($AH$2:AH262),$AH$2:$AH$1001,0),MATCH(COLUMNS($AO$1006:BD1006),$AO$1006:$BQ$1006,0)), HYPERLINK("#",""), HYPERLINK(CONCATENATE("#Metadata!", ADDRESS(INDEX($AJ$2:$AJ$1001,MATCH(ROWS($AH$2:AH262),$AH$2:$AH$1001,0),0), INDEX($AO$1004:$BQ$1004,1,MATCH(COLUMNS($AO$1006:BD1006),$AO$1006:$BQ$1006,0)))),"Fix")))</f>
        <v>#N/A</v>
      </c>
      <c r="R262" s="5" t="e">
        <f ca="1">IF(OR(INDEX($AI$2:$AI$1001,MATCH(ROWS($AH$2:AH262),$AH$2:$AH$1001,0),1)&gt;=100000,INDEX($AO$1005:$BQ$1005,1,MATCH(COLUMNS($AO$1006:BE1006),$AO$1006:$BQ$1006,0))&gt;=100000), " ",IF(INDEX($AO$2:$BQ$1001,MATCH(ROWS($AH$2:AH262),$AH$2:$AH$1001,0),MATCH(COLUMNS($AO$1006:BE1006),$AO$1006:$BQ$1006,0)), HYPERLINK("#",""), HYPERLINK(CONCATENATE("#Metadata!", ADDRESS(INDEX($AJ$2:$AJ$1001,MATCH(ROWS($AH$2:AH262),$AH$2:$AH$1001,0),0), INDEX($AO$1004:$BQ$1004,1,MATCH(COLUMNS($AO$1006:BE1006),$AO$1006:$BQ$1006,0)))),"Fix")))</f>
        <v>#N/A</v>
      </c>
      <c r="S262" s="5" t="e">
        <f ca="1">IF(OR(INDEX($AI$2:$AI$1001,MATCH(ROWS($AH$2:AH262),$AH$2:$AH$1001,0),1)&gt;=100000,INDEX($AO$1005:$BQ$1005,1,MATCH(COLUMNS($AO$1006:BF1006),$AO$1006:$BQ$1006,0))&gt;=100000), " ",IF(INDEX($AO$2:$BQ$1001,MATCH(ROWS($AH$2:AH262),$AH$2:$AH$1001,0),MATCH(COLUMNS($AO$1006:BF1006),$AO$1006:$BQ$1006,0)), HYPERLINK("#",""), HYPERLINK(CONCATENATE("#Metadata!", ADDRESS(INDEX($AJ$2:$AJ$1001,MATCH(ROWS($AH$2:AH262),$AH$2:$AH$1001,0),0), INDEX($AO$1004:$BQ$1004,1,MATCH(COLUMNS($AO$1006:BF1006),$AO$1006:$BQ$1006,0)))),"Fix")))</f>
        <v>#N/A</v>
      </c>
      <c r="T262" s="5" t="e">
        <f ca="1">IF(OR(INDEX($AI$2:$AI$1001,MATCH(ROWS($AH$2:AH262),$AH$2:$AH$1001,0),1)&gt;=100000,INDEX($AO$1005:$BQ$1005,1,MATCH(COLUMNS($AO$1006:BG1006),$AO$1006:$BQ$1006,0))&gt;=100000), " ",IF(INDEX($AO$2:$BQ$1001,MATCH(ROWS($AH$2:AH262),$AH$2:$AH$1001,0),MATCH(COLUMNS($AO$1006:BG1006),$AO$1006:$BQ$1006,0)), HYPERLINK("#",""), HYPERLINK(CONCATENATE("#Metadata!", ADDRESS(INDEX($AJ$2:$AJ$1001,MATCH(ROWS($AH$2:AH262),$AH$2:$AH$1001,0),0), INDEX($AO$1004:$BQ$1004,1,MATCH(COLUMNS($AO$1006:BG1006),$AO$1006:$BQ$1006,0)))),"Fix")))</f>
        <v>#N/A</v>
      </c>
      <c r="U262" s="5" t="e">
        <f ca="1">IF(OR(INDEX($AI$2:$AI$1001,MATCH(ROWS($AH$2:AH262),$AH$2:$AH$1001,0),1)&gt;=100000,INDEX($AO$1005:$BQ$1005,1,MATCH(COLUMNS($AO$1006:BH1006),$AO$1006:$BQ$1006,0))&gt;=100000), " ",IF(INDEX($AO$2:$BQ$1001,MATCH(ROWS($AH$2:AH262),$AH$2:$AH$1001,0),MATCH(COLUMNS($AO$1006:BH1006),$AO$1006:$BQ$1006,0)), HYPERLINK("#",""), HYPERLINK(CONCATENATE("#Metadata!", ADDRESS(INDEX($AJ$2:$AJ$1001,MATCH(ROWS($AH$2:AH262),$AH$2:$AH$1001,0),0), INDEX($AO$1004:$BQ$1004,1,MATCH(COLUMNS($AO$1006:BH1006),$AO$1006:$BQ$1006,0)))),"Fix")))</f>
        <v>#N/A</v>
      </c>
      <c r="V262" s="5" t="e">
        <f ca="1">IF(OR(INDEX($AI$2:$AI$1001,MATCH(ROWS($AH$2:AH262),$AH$2:$AH$1001,0),1)&gt;=100000,INDEX($AO$1005:$BQ$1005,1,MATCH(COLUMNS($AO$1006:BI1006),$AO$1006:$BQ$1006,0))&gt;=100000), " ",IF(INDEX($AO$2:$BQ$1001,MATCH(ROWS($AH$2:AH262),$AH$2:$AH$1001,0),MATCH(COLUMNS($AO$1006:BI1006),$AO$1006:$BQ$1006,0)), HYPERLINK("#",""), HYPERLINK(CONCATENATE("#Metadata!", ADDRESS(INDEX($AJ$2:$AJ$1001,MATCH(ROWS($AH$2:AH262),$AH$2:$AH$1001,0),0), INDEX($AO$1004:$BQ$1004,1,MATCH(COLUMNS($AO$1006:BI1006),$AO$1006:$BQ$1006,0)))),"Fix")))</f>
        <v>#N/A</v>
      </c>
      <c r="W262" s="5" t="e">
        <f ca="1">IF(OR(INDEX($AI$2:$AI$1001,MATCH(ROWS($AH$2:AH262),$AH$2:$AH$1001,0),1)&gt;=100000,INDEX($AO$1005:$BQ$1005,1,MATCH(COLUMNS($AO$1006:BJ1006),$AO$1006:$BQ$1006,0))&gt;=100000), " ",IF(INDEX($AO$2:$BQ$1001,MATCH(ROWS($AH$2:AH262),$AH$2:$AH$1001,0),MATCH(COLUMNS($AO$1006:BJ1006),$AO$1006:$BQ$1006,0)), HYPERLINK("#",""), HYPERLINK(CONCATENATE("#Metadata!", ADDRESS(INDEX($AJ$2:$AJ$1001,MATCH(ROWS($AH$2:AH262),$AH$2:$AH$1001,0),0), INDEX($AO$1004:$BQ$1004,1,MATCH(COLUMNS($AO$1006:BJ1006),$AO$1006:$BQ$1006,0)))),"Fix")))</f>
        <v>#N/A</v>
      </c>
      <c r="X262" s="5" t="e">
        <f ca="1">IF(OR(INDEX($AI$2:$AI$1001,MATCH(ROWS($AH$2:AH262),$AH$2:$AH$1001,0),1)&gt;=100000,INDEX($AO$1005:$BQ$1005,1,MATCH(COLUMNS($AO$1006:BK1006),$AO$1006:$BQ$1006,0))&gt;=100000), " ",IF(INDEX($AO$2:$BQ$1001,MATCH(ROWS($AH$2:AH262),$AH$2:$AH$1001,0),MATCH(COLUMNS($AO$1006:BK1006),$AO$1006:$BQ$1006,0)), HYPERLINK("#",""), HYPERLINK(CONCATENATE("#Metadata!", ADDRESS(INDEX($AJ$2:$AJ$1001,MATCH(ROWS($AH$2:AH262),$AH$2:$AH$1001,0),0), INDEX($AO$1004:$BQ$1004,1,MATCH(COLUMNS($AO$1006:BK1006),$AO$1006:$BQ$1006,0)))),"Fix")))</f>
        <v>#N/A</v>
      </c>
      <c r="Y262" s="5" t="e">
        <f ca="1">IF(OR(INDEX($AI$2:$AI$1001,MATCH(ROWS($AH$2:AH262),$AH$2:$AH$1001,0),1)&gt;=100000,INDEX($AO$1005:$BQ$1005,1,MATCH(COLUMNS($AO$1006:BL1006),$AO$1006:$BQ$1006,0))&gt;=100000), " ",IF(INDEX($AO$2:$BQ$1001,MATCH(ROWS($AH$2:AH262),$AH$2:$AH$1001,0),MATCH(COLUMNS($AO$1006:BL1006),$AO$1006:$BQ$1006,0)), HYPERLINK("#",""), HYPERLINK(CONCATENATE("#Metadata!", ADDRESS(INDEX($AJ$2:$AJ$1001,MATCH(ROWS($AH$2:AH262),$AH$2:$AH$1001,0),0), INDEX($AO$1004:$BQ$1004,1,MATCH(COLUMNS($AO$1006:BL1006),$AO$1006:$BQ$1006,0)))),"Fix")))</f>
        <v>#N/A</v>
      </c>
      <c r="Z262" s="5" t="e">
        <f ca="1">IF(OR(INDEX($AI$2:$AI$1001,MATCH(ROWS($AH$2:AH262),$AH$2:$AH$1001,0),1)&gt;=100000,INDEX($AO$1005:$BQ$1005,1,MATCH(COLUMNS($AO$1006:BM1006),$AO$1006:$BQ$1006,0))&gt;=100000), " ",IF(INDEX($AO$2:$BQ$1001,MATCH(ROWS($AH$2:AH262),$AH$2:$AH$1001,0),MATCH(COLUMNS($AO$1006:BM1006),$AO$1006:$BQ$1006,0)), HYPERLINK("#",""), HYPERLINK(CONCATENATE("#Metadata!", ADDRESS(INDEX($AJ$2:$AJ$1001,MATCH(ROWS($AH$2:AH262),$AH$2:$AH$1001,0),0), INDEX($AO$1004:$BQ$1004,1,MATCH(COLUMNS($AO$1006:BM1006),$AO$1006:$BQ$1006,0)))),"Fix")))</f>
        <v>#N/A</v>
      </c>
      <c r="AA262" s="5" t="e">
        <f ca="1">IF(OR(INDEX($AI$2:$AI$1001,MATCH(ROWS($AH$2:AH262),$AH$2:$AH$1001,0),1)&gt;=100000,INDEX($AO$1005:$BQ$1005,1,MATCH(COLUMNS($AO$1006:BN1006),$AO$1006:$BQ$1006,0))&gt;=100000), " ",IF(INDEX($AO$2:$BQ$1001,MATCH(ROWS($AH$2:AH262),$AH$2:$AH$1001,0),MATCH(COLUMNS($AO$1006:BN1006),$AO$1006:$BQ$1006,0)), HYPERLINK("#",""), HYPERLINK(CONCATENATE("#Metadata!", ADDRESS(INDEX($AJ$2:$AJ$1001,MATCH(ROWS($AH$2:AH262),$AH$2:$AH$1001,0),0), INDEX($AO$1004:$BQ$1004,1,MATCH(COLUMNS($AO$1006:BN1006),$AO$1006:$BQ$1006,0)))),"Fix")))</f>
        <v>#N/A</v>
      </c>
      <c r="AB262" s="5" t="e">
        <f ca="1">IF(OR(INDEX($AI$2:$AI$1001,MATCH(ROWS($AH$2:AH262),$AH$2:$AH$1001,0),1)&gt;=100000,INDEX($AO$1005:$BQ$1005,1,MATCH(COLUMNS($AO$1006:BO1006),$AO$1006:$BQ$1006,0))&gt;=100000), " ",IF(INDEX($AO$2:$BQ$1001,MATCH(ROWS($AH$2:AH262),$AH$2:$AH$1001,0),MATCH(COLUMNS($AO$1006:BO1006),$AO$1006:$BQ$1006,0)), HYPERLINK("#",""), HYPERLINK(CONCATENATE("#Metadata!", ADDRESS(INDEX($AJ$2:$AJ$1001,MATCH(ROWS($AH$2:AH262),$AH$2:$AH$1001,0),0), INDEX($AO$1004:$BQ$1004,1,MATCH(COLUMNS($AO$1006:BO1006),$AO$1006:$BQ$1006,0)))),"Fix")))</f>
        <v>#N/A</v>
      </c>
      <c r="AC262" s="5" t="e">
        <f ca="1">IF(OR(INDEX($AI$2:$AI$1001,MATCH(ROWS($AH$2:AH262),$AH$2:$AH$1001,0),1)&gt;=100000,INDEX($AO$1005:$BQ$1005,1,MATCH(COLUMNS($AO$1006:BP1006),$AO$1006:$BQ$1006,0))&gt;=100000), " ",IF(INDEX($AO$2:$BQ$1001,MATCH(ROWS($AH$2:AH262),$AH$2:$AH$1001,0),MATCH(COLUMNS($AO$1006:BP1006),$AO$1006:$BQ$1006,0)), HYPERLINK("#",""), HYPERLINK(CONCATENATE("#Metadata!", ADDRESS(INDEX($AJ$2:$AJ$1001,MATCH(ROWS($AH$2:AH262),$AH$2:$AH$1001,0),0), INDEX($AO$1004:$BQ$1004,1,MATCH(COLUMNS($AO$1006:BP1006),$AO$1006:$BQ$1006,0)))),"Fix")))</f>
        <v>#N/A</v>
      </c>
      <c r="AD262" s="5" t="e">
        <f ca="1">IF(OR(INDEX($AI$2:$AI$1001,MATCH(ROWS($AH$2:AH262),$AH$2:$AH$1001,0),1)&gt;=100000,INDEX($AO$1005:$BQ$1005,1,MATCH(COLUMNS($AO$1006:BQ1006),$AO$1006:$BQ$1006,0))&gt;=100000), " ",IF(INDEX($AO$2:$BQ$1001,MATCH(ROWS($AH$2:AH262),$AH$2:$AH$1001,0),MATCH(COLUMNS($AO$1006:BQ1006),$AO$1006:$BQ$1006,0)), HYPERLINK("#",""), HYPERLINK(CONCATENATE("#Metadata!", ADDRESS(INDEX($AJ$2:$AJ$1001,MATCH(ROWS($AH$2:AH262),$AH$2:$AH$1001,0),0), INDEX($AO$1004:$BQ$1004,1,MATCH(COLUMNS($AO$1006:BQ1006),$AO$1006:$BQ$1006,0)))),"Fix")))</f>
        <v>#REF!</v>
      </c>
      <c r="AH262">
        <f ca="1"/>
        <v>259</v>
      </c>
      <c r="AI262">
        <v>100262</v>
      </c>
      <c r="AJ262">
        <v>262</v>
      </c>
      <c r="AK262" t="b">
        <f t="shared" si="4"/>
        <v>1</v>
      </c>
      <c r="AL262" t="b">
        <f>COUNTBLANK(Metadata!B262:AD262)=COLUMNS(Metadata!B262:AD262)</f>
        <v>1</v>
      </c>
      <c r="AM262" t="str">
        <v/>
      </c>
      <c r="AO262" t="b">
        <f ca="1">AND(IF(Metadata!B262="",FALSE,TRUE),COUNTIF(Metadata!B:B, Metadata!B262) = 1,NOT(ISERROR(SUMPRODUCT(SEARCH(MID(Metadata!B262,ROW(INDIRECT("1:"&amp;LEN(Metadata!B262))), 1),"0123456789abcdefghijklmnopqrstuvwxyzABCDEFGHIJKLMNOPQRSTUVWXYZ.")))))</f>
        <v>0</v>
      </c>
      <c r="AP262" t="b">
        <f>IF(Metadata!C262="",FALSE,TRUE)</f>
        <v>0</v>
      </c>
      <c r="AQ262" t="b">
        <f>IF(Metadata!D262="",FALSE,TRUE)</f>
        <v>0</v>
      </c>
      <c r="AR262" t="b">
        <f ca="1">OR(AND(IF(Metadata!E262="",FALSE,TRUE),OR(EXACT(Metadata!E262,"not collected"),EXACT(Metadata!E262,"not provided"),EXACT(Metadata!E262,"restricted access"))),AND(IF(Metadata!E262="",FALSE,TRUE),AND(AND(IFERROR(INT(LEFT(Metadata!E262,4))&gt;1900,FALSE),IFERROR(INT(LEFT(Metadata!E262,4))&lt;=YEAR(NOW()),FALSE)), OR(MID(Metadata!E262,5,1)="", AND(AND(MID(Metadata!E262,5,1)="-",IFERROR(INT(MID(Metadata!E262,6,1))&gt;=0,FALSE),IFERROR(INT(MID(Metadata!E262,6,1))&lt;=1,FALSE),NOT(MID(Metadata!E262,7,1)=""),IFERROR(INT(MID(Metadata!E262,6,2))&gt;=1,FALSE),IFERROR(INT(MID(Metadata!E262,6,2))&lt;=12,FALSE)), OR(MID(Metadata!E262,8,1)="", AND(AND(MID(Metadata!E262,8,1)="-",IFERROR(INT(MID(Metadata!E262,9,1))&gt;=0,FALSE),IFERROR(INT(MID(Metadata!E262,9,1))&lt;=3,FALSE),NOT(MID(Metadata!E262,10,1)=""),IFERROR(INT(MID(Metadata!E262,9,2))&gt;=1,FALSE),IFERROR(INT(MID(Metadata!E262,9,2))&lt;=31,FALSE)), OR(MID(Metadata!E262,11,1)="", AND(AND(MID(Metadata!E262,11,1)=" ",IFERROR(INT(MID(Metadata!E262,12,1))&gt;=0,FALSE),IFERROR(INT(MID(Metadata!E262,12,1))&lt;=2,FALSE),NOT(MID(Metadata!E262,13,1)=""),IFERROR(INT(MID(Metadata!E262,12,2))&gt;=0,FALSE),IFERROR(INT(MID(Metadata!E262,12,2))&lt;=23,FALSE)), OR(MID(Metadata!E262,14,1)="", AND(AND(MID(Metadata!E262,14,1)=":",IFERROR(INT(MID(Metadata!E262,15,1))&gt;=0,FALSE),IFERROR(INT(MID(Metadata!E262,15,1))&lt;=5,FALSE),NOT(MID(Metadata!E262,16,1)=""),IFERROR(INT(MID(Metadata!E262,15,2))&gt;=0,FALSE),IFERROR(INT(MID(Metadata!E262,15,2))&lt;=59,FALSE)), OR(MID(Metadata!E262,17,1)="", AND(AND(MID(Metadata!E262,17,1)=":",IFERROR(INT(MID(Metadata!E262,18,1))&gt;=0,FALSE),IFERROR(INT(MID(Metadata!E262,18,1))&lt;=5,FALSE),NOT(MID(Metadata!E262,19,1)=""),IFERROR(INT(MID(Metadata!E262,18,2))&gt;=0,FALSE),IFERROR(INT(MID(Metadata!E262,18,2))&lt;=59,FALSE)), LEN(Metadata!E262)&lt;=19)))))))))))))</f>
        <v>0</v>
      </c>
      <c r="AS262" t="b">
        <f>IF(Metadata!F262="",FALSE,TRUE)</f>
        <v>0</v>
      </c>
      <c r="AT262" t="b">
        <f>OR(AND(IF(Metadata!G262="",FALSE,TRUE),OR(EXACT(Metadata!G262,"not collected"),EXACT(Metadata!G262,"not provided"))),AND(IF(Metadata!G262="",FALSE,TRUE),OR(EXACT(Metadata!G262,"TRUE"),EXACT(Metadata!G262,"FALSE"))))</f>
        <v>0</v>
      </c>
      <c r="AU262" t="b">
        <f>OR(AND(IF(Metadata!H262="",FALSE,TRUE),OR(EXACT(Metadata!H262,"not collected"),EXACT(Metadata!H262,"not provided"),EXACT(Metadata!H262,"restricted access"))),AND(IF(Metadata!H262="",FALSE,ISNUMBER(VALUE(Metadata!H262))),Metadata!H262&gt;=-413))</f>
        <v>0</v>
      </c>
      <c r="AV262" t="b">
        <f>AND(IF(Metadata!I262="",FALSE,TRUE),EXACT(Metadata!I262,"meters"))</f>
        <v>0</v>
      </c>
      <c r="AW262" t="b">
        <f>AND(IF(Metadata!J262="",FALSE,TRUE),EXACT(Metadata!J262,"free-living"))</f>
        <v>0</v>
      </c>
      <c r="AX262" t="b">
        <f>AND(IF(Metadata!K262="",FALSE,TRUE),OR(EXACT(Metadata!K262,"saline"),EXACT(Metadata!K262,"non-saline")))</f>
        <v>0</v>
      </c>
      <c r="AY262" t="b">
        <f>AND(IF(Metadata!L262="",FALSE,TRUE),OR(EXACT(Metadata!L262,"sub-surface (non-saline)"),EXACT(Metadata!L262,"surface (non-saline)"),EXACT(Metadata!L262,"water (non-saline)"),EXACT(Metadata!L262,"soil (non-saline)"),EXACT(Metadata!L262,"aerosol (non-saline)"),EXACT(Metadata!L262,"sediment (non-saline)"),EXACT(Metadata!L262,"surface (saline)"),EXACT(Metadata!L262,"water (saline)"),EXACT(Metadata!L262,"hypersaline (saline)"),EXACT(Metadata!L262,"aerosol (saline)"),EXACT(Metadata!L262,"sediment (saline)")))</f>
        <v>0</v>
      </c>
      <c r="AZ262" t="b">
        <f>IF(Metadata!M262="",FALSE,TRUE)</f>
        <v>0</v>
      </c>
      <c r="BA262" t="b">
        <f>IF(Metadata!N262="",FALSE,TRUE)</f>
        <v>0</v>
      </c>
      <c r="BB262" t="b">
        <f>IF(Metadata!O262="",FALSE,TRUE)</f>
        <v>0</v>
      </c>
      <c r="BC262" t="b">
        <f>AND(IF(Metadata!P262="",FALSE,TRUE),OR(EXACT(Metadata!P262,"air"),EXACT(Metadata!P262,"microbial mat/biofilm"),EXACT(Metadata!P262,"misc environment"),EXACT(Metadata!P262,"sediment"),EXACT(Metadata!P262,"soil"),EXACT(Metadata!P262,"wastewater/sludge"),EXACT(Metadata!P262,"water")))</f>
        <v>0</v>
      </c>
      <c r="BD262" t="b">
        <f>IF(Metadata!Q262="",FALSE,TRUE)</f>
        <v>0</v>
      </c>
      <c r="BE262" t="b">
        <f>IF(Metadata!R262="",FALSE,TRUE)</f>
        <v>0</v>
      </c>
      <c r="BF262" t="b">
        <f>OR(AND(IF(Metadata!S262="",FALSE,TRUE),OR(EXACT(Metadata!S262,"not collected"),EXACT(Metadata!S262,"not provided"),EXACT(Metadata!S262,"restricted access"))),AND(IF(Metadata!S262="",FALSE,ISNUMBER(VALUE(Metadata!S262))),Metadata!S262&gt;=-90,Metadata!S262&lt;=90))</f>
        <v>0</v>
      </c>
      <c r="BG262" t="b">
        <f>AND(IF(Metadata!T262="",FALSE,TRUE),EXACT(Metadata!T262,"Decimal degrees"))</f>
        <v>0</v>
      </c>
      <c r="BH262" t="b">
        <f>OR(AND(IF(Metadata!U262="",FALSE,TRUE),OR(EXACT(Metadata!U262,"not applicable"),EXACT(Metadata!U262,"not collected"))),IF(Metadata!U262="",FALSE,TRUE))</f>
        <v>0</v>
      </c>
      <c r="BI262" t="b">
        <f>OR(AND(IF(Metadata!V262="",FALSE,TRUE),OR(EXACT(Metadata!V262,"not collected"),EXACT(Metadata!V262,"not provided"),EXACT(Metadata!V262,"restricted access"))),AND(IF(Metadata!V262="",FALSE,ISNUMBER(VALUE(Metadata!V262))),Metadata!V262&gt;=-180,Metadata!V262&lt;=180))</f>
        <v>0</v>
      </c>
      <c r="BJ262" t="b">
        <f>AND(IF(Metadata!W262="",FALSE,TRUE),EXACT(Metadata!W262,"Decimal degrees"))</f>
        <v>0</v>
      </c>
      <c r="BK262" t="b">
        <f>IF(Metadata!X262="",FALSE,TRUE)</f>
        <v>0</v>
      </c>
      <c r="BL262" t="b">
        <f>OR(AND(IF(Metadata!Y262="",FALSE,TRUE),OR(EXACT(Metadata!Y262,"not collected"),EXACT(Metadata!Y262,"not provided"),EXACT(Metadata!Y262,"restricted access"))),AND(IF(Metadata!Y262="",FALSE,TRUE),OR(EXACT(Metadata!Y262,"TRUE"),EXACT(Metadata!Y262,"FALSE"))))</f>
        <v>0</v>
      </c>
      <c r="BM262" t="b">
        <f>OR(AND(IF(Metadata!Z262="",FALSE,TRUE),EXACT(Metadata!Z262,"not applicable")),AND(IF(Metadata!Z262="",FALSE,TRUE),OR(EXACT(Metadata!Z262,"beer"),EXACT(Metadata!Z262,"cheese"),EXACT(Metadata!Z262,"fresh water"),EXACT(Metadata!Z262,"marine sediment"),EXACT(Metadata!Z262,"sea water"),EXACT(Metadata!Z262,"sediment"),EXACT(Metadata!Z262,"soil"),EXACT(Metadata!Z262,"waste water"))))</f>
        <v>0</v>
      </c>
      <c r="BN262" t="b">
        <f>AND(IF(Metadata!AA262="",FALSE,TRUE),EXACT(Metadata!AA262,"metagenome"))</f>
        <v>0</v>
      </c>
      <c r="BO262" t="b">
        <f>AND(IF(Metadata!AB262="",FALSE,TRUE),EXACT(Metadata!AB262,"256318"))</f>
        <v>0</v>
      </c>
      <c r="BP262" t="b">
        <f>IF(Metadata!AC262="",FALSE,TRUE)</f>
        <v>0</v>
      </c>
      <c r="BQ262" t="b">
        <f>IF(Metadata!AD262="",FALSE,TRUE)</f>
        <v>0</v>
      </c>
    </row>
    <row r="263" spans="1:69" x14ac:dyDescent="0.2">
      <c r="A263" s="4" t="e">
        <f ca="1">IF(B263=" "," ",HYPERLINK(CONCATENATE("#metadata!",ADDRESS(INDEX($AJ$2:$AJ$1001,MATCH(ROWS($AH$2:AH263),$AH$2:$AH$1001,0),0),2)),INDEX($AM$2:$AM$1001,MATCH(ROWS($AH$2:AH263),$AH$2:$AH$1001,0),0)))</f>
        <v>#N/A</v>
      </c>
      <c r="B263" s="5" t="e">
        <f ca="1">IF(OR(INDEX($AI$2:$AI$1001,MATCH(ROWS($AH$2:AH263),$AH$2:$AH$1001,0),1)&gt;=100000,INDEX($AO$1005:$BQ$1005,1,MATCH(COLUMNS($AO$1006:AO1006),$AO$1006:$BQ$1006,0))&gt;=100000), " ",IF(INDEX($AO$2:$BQ$1001,MATCH(ROWS($AH$2:AH263),$AH$2:$AH$1001,0),MATCH(COLUMNS($AO$1006:AO1006),$AO$1006:$BQ$1006,0)), HYPERLINK("#",""), HYPERLINK(CONCATENATE("#Metadata!", ADDRESS(INDEX($AJ$2:$AJ$1001,MATCH(ROWS($AH$2:AH263),$AH$2:$AH$1001,0),0), INDEX($AO$1004:$BQ$1004,1,MATCH(COLUMNS($AO$1006:AO1006),$AO$1006:$BQ$1006,0)))),"Fix")))</f>
        <v>#N/A</v>
      </c>
      <c r="C263" s="5" t="e">
        <f ca="1">IF(OR(INDEX($AI$2:$AI$1001,MATCH(ROWS($AH$2:AH263),$AH$2:$AH$1001,0),1)&gt;=100000,INDEX($AO$1005:$BQ$1005,1,MATCH(COLUMNS($AO$1006:AP1006),$AO$1006:$BQ$1006,0))&gt;=100000), " ",IF(INDEX($AO$2:$BQ$1001,MATCH(ROWS($AH$2:AH263),$AH$2:$AH$1001,0),MATCH(COLUMNS($AO$1006:AP1006),$AO$1006:$BQ$1006,0)), HYPERLINK("#",""), HYPERLINK(CONCATENATE("#Metadata!", ADDRESS(INDEX($AJ$2:$AJ$1001,MATCH(ROWS($AH$2:AH263),$AH$2:$AH$1001,0),0), INDEX($AO$1004:$BQ$1004,1,MATCH(COLUMNS($AO$1006:AP1006),$AO$1006:$BQ$1006,0)))),"Fix")))</f>
        <v>#N/A</v>
      </c>
      <c r="D263" s="5" t="e">
        <f ca="1">IF(OR(INDEX($AI$2:$AI$1001,MATCH(ROWS($AH$2:AH263),$AH$2:$AH$1001,0),1)&gt;=100000,INDEX($AO$1005:$BQ$1005,1,MATCH(COLUMNS($AO$1006:AQ1006),$AO$1006:$BQ$1006,0))&gt;=100000), " ",IF(INDEX($AO$2:$BQ$1001,MATCH(ROWS($AH$2:AH263),$AH$2:$AH$1001,0),MATCH(COLUMNS($AO$1006:AQ1006),$AO$1006:$BQ$1006,0)), HYPERLINK("#",""), HYPERLINK(CONCATENATE("#Metadata!", ADDRESS(INDEX($AJ$2:$AJ$1001,MATCH(ROWS($AH$2:AH263),$AH$2:$AH$1001,0),0), INDEX($AO$1004:$BQ$1004,1,MATCH(COLUMNS($AO$1006:AQ1006),$AO$1006:$BQ$1006,0)))),"Fix")))</f>
        <v>#N/A</v>
      </c>
      <c r="E263" s="5" t="e">
        <f ca="1">IF(OR(INDEX($AI$2:$AI$1001,MATCH(ROWS($AH$2:AH263),$AH$2:$AH$1001,0),1)&gt;=100000,INDEX($AO$1005:$BQ$1005,1,MATCH(COLUMNS($AO$1006:AR1006),$AO$1006:$BQ$1006,0))&gt;=100000), " ",IF(INDEX($AO$2:$BQ$1001,MATCH(ROWS($AH$2:AH263),$AH$2:$AH$1001,0),MATCH(COLUMNS($AO$1006:AR1006),$AO$1006:$BQ$1006,0)), HYPERLINK("#",""), HYPERLINK(CONCATENATE("#Metadata!", ADDRESS(INDEX($AJ$2:$AJ$1001,MATCH(ROWS($AH$2:AH263),$AH$2:$AH$1001,0),0), INDEX($AO$1004:$BQ$1004,1,MATCH(COLUMNS($AO$1006:AR1006),$AO$1006:$BQ$1006,0)))),"Fix")))</f>
        <v>#N/A</v>
      </c>
      <c r="F263" s="5" t="e">
        <f ca="1">IF(OR(INDEX($AI$2:$AI$1001,MATCH(ROWS($AH$2:AH263),$AH$2:$AH$1001,0),1)&gt;=100000,INDEX($AO$1005:$BQ$1005,1,MATCH(COLUMNS($AO$1006:AS1006),$AO$1006:$BQ$1006,0))&gt;=100000), " ",IF(INDEX($AO$2:$BQ$1001,MATCH(ROWS($AH$2:AH263),$AH$2:$AH$1001,0),MATCH(COLUMNS($AO$1006:AS1006),$AO$1006:$BQ$1006,0)), HYPERLINK("#",""), HYPERLINK(CONCATENATE("#Metadata!", ADDRESS(INDEX($AJ$2:$AJ$1001,MATCH(ROWS($AH$2:AH263),$AH$2:$AH$1001,0),0), INDEX($AO$1004:$BQ$1004,1,MATCH(COLUMNS($AO$1006:AS1006),$AO$1006:$BQ$1006,0)))),"Fix")))</f>
        <v>#N/A</v>
      </c>
      <c r="G263" s="5" t="e">
        <f ca="1">IF(OR(INDEX($AI$2:$AI$1001,MATCH(ROWS($AH$2:AH263),$AH$2:$AH$1001,0),1)&gt;=100000,INDEX($AO$1005:$BQ$1005,1,MATCH(COLUMNS($AO$1006:AT1006),$AO$1006:$BQ$1006,0))&gt;=100000), " ",IF(INDEX($AO$2:$BQ$1001,MATCH(ROWS($AH$2:AH263),$AH$2:$AH$1001,0),MATCH(COLUMNS($AO$1006:AT1006),$AO$1006:$BQ$1006,0)), HYPERLINK("#",""), HYPERLINK(CONCATENATE("#Metadata!", ADDRESS(INDEX($AJ$2:$AJ$1001,MATCH(ROWS($AH$2:AH263),$AH$2:$AH$1001,0),0), INDEX($AO$1004:$BQ$1004,1,MATCH(COLUMNS($AO$1006:AT1006),$AO$1006:$BQ$1006,0)))),"Fix")))</f>
        <v>#N/A</v>
      </c>
      <c r="H263" s="5" t="e">
        <f ca="1">IF(OR(INDEX($AI$2:$AI$1001,MATCH(ROWS($AH$2:AH263),$AH$2:$AH$1001,0),1)&gt;=100000,INDEX($AO$1005:$BQ$1005,1,MATCH(COLUMNS($AO$1006:AU1006),$AO$1006:$BQ$1006,0))&gt;=100000), " ",IF(INDEX($AO$2:$BQ$1001,MATCH(ROWS($AH$2:AH263),$AH$2:$AH$1001,0),MATCH(COLUMNS($AO$1006:AU1006),$AO$1006:$BQ$1006,0)), HYPERLINK("#",""), HYPERLINK(CONCATENATE("#Metadata!", ADDRESS(INDEX($AJ$2:$AJ$1001,MATCH(ROWS($AH$2:AH263),$AH$2:$AH$1001,0),0), INDEX($AO$1004:$BQ$1004,1,MATCH(COLUMNS($AO$1006:AU1006),$AO$1006:$BQ$1006,0)))),"Fix")))</f>
        <v>#N/A</v>
      </c>
      <c r="I263" s="5" t="e">
        <f ca="1">IF(OR(INDEX($AI$2:$AI$1001,MATCH(ROWS($AH$2:AH263),$AH$2:$AH$1001,0),1)&gt;=100000,INDEX($AO$1005:$BQ$1005,1,MATCH(COLUMNS($AO$1006:AV1006),$AO$1006:$BQ$1006,0))&gt;=100000), " ",IF(INDEX($AO$2:$BQ$1001,MATCH(ROWS($AH$2:AH263),$AH$2:$AH$1001,0),MATCH(COLUMNS($AO$1006:AV1006),$AO$1006:$BQ$1006,0)), HYPERLINK("#",""), HYPERLINK(CONCATENATE("#Metadata!", ADDRESS(INDEX($AJ$2:$AJ$1001,MATCH(ROWS($AH$2:AH263),$AH$2:$AH$1001,0),0), INDEX($AO$1004:$BQ$1004,1,MATCH(COLUMNS($AO$1006:AV1006),$AO$1006:$BQ$1006,0)))),"Fix")))</f>
        <v>#N/A</v>
      </c>
      <c r="J263" s="5" t="e">
        <f ca="1">IF(OR(INDEX($AI$2:$AI$1001,MATCH(ROWS($AH$2:AH263),$AH$2:$AH$1001,0),1)&gt;=100000,INDEX($AO$1005:$BQ$1005,1,MATCH(COLUMNS($AO$1006:AW1006),$AO$1006:$BQ$1006,0))&gt;=100000), " ",IF(INDEX($AO$2:$BQ$1001,MATCH(ROWS($AH$2:AH263),$AH$2:$AH$1001,0),MATCH(COLUMNS($AO$1006:AW1006),$AO$1006:$BQ$1006,0)), HYPERLINK("#",""), HYPERLINK(CONCATENATE("#Metadata!", ADDRESS(INDEX($AJ$2:$AJ$1001,MATCH(ROWS($AH$2:AH263),$AH$2:$AH$1001,0),0), INDEX($AO$1004:$BQ$1004,1,MATCH(COLUMNS($AO$1006:AW1006),$AO$1006:$BQ$1006,0)))),"Fix")))</f>
        <v>#N/A</v>
      </c>
      <c r="K263" s="5" t="e">
        <f ca="1">IF(OR(INDEX($AI$2:$AI$1001,MATCH(ROWS($AH$2:AH263),$AH$2:$AH$1001,0),1)&gt;=100000,INDEX($AO$1005:$BQ$1005,1,MATCH(COLUMNS($AO$1006:AX1006),$AO$1006:$BQ$1006,0))&gt;=100000), " ",IF(INDEX($AO$2:$BQ$1001,MATCH(ROWS($AH$2:AH263),$AH$2:$AH$1001,0),MATCH(COLUMNS($AO$1006:AX1006),$AO$1006:$BQ$1006,0)), HYPERLINK("#",""), HYPERLINK(CONCATENATE("#Metadata!", ADDRESS(INDEX($AJ$2:$AJ$1001,MATCH(ROWS($AH$2:AH263),$AH$2:$AH$1001,0),0), INDEX($AO$1004:$BQ$1004,1,MATCH(COLUMNS($AO$1006:AX1006),$AO$1006:$BQ$1006,0)))),"Fix")))</f>
        <v>#N/A</v>
      </c>
      <c r="L263" s="5" t="e">
        <f ca="1">IF(OR(INDEX($AI$2:$AI$1001,MATCH(ROWS($AH$2:AH263),$AH$2:$AH$1001,0),1)&gt;=100000,INDEX($AO$1005:$BQ$1005,1,MATCH(COLUMNS($AO$1006:AY1006),$AO$1006:$BQ$1006,0))&gt;=100000), " ",IF(INDEX($AO$2:$BQ$1001,MATCH(ROWS($AH$2:AH263),$AH$2:$AH$1001,0),MATCH(COLUMNS($AO$1006:AY1006),$AO$1006:$BQ$1006,0)), HYPERLINK("#",""), HYPERLINK(CONCATENATE("#Metadata!", ADDRESS(INDEX($AJ$2:$AJ$1001,MATCH(ROWS($AH$2:AH263),$AH$2:$AH$1001,0),0), INDEX($AO$1004:$BQ$1004,1,MATCH(COLUMNS($AO$1006:AY1006),$AO$1006:$BQ$1006,0)))),"Fix")))</f>
        <v>#N/A</v>
      </c>
      <c r="M263" s="5" t="e">
        <f ca="1">IF(OR(INDEX($AI$2:$AI$1001,MATCH(ROWS($AH$2:AH263),$AH$2:$AH$1001,0),1)&gt;=100000,INDEX($AO$1005:$BQ$1005,1,MATCH(COLUMNS($AO$1006:AZ1006),$AO$1006:$BQ$1006,0))&gt;=100000), " ",IF(INDEX($AO$2:$BQ$1001,MATCH(ROWS($AH$2:AH263),$AH$2:$AH$1001,0),MATCH(COLUMNS($AO$1006:AZ1006),$AO$1006:$BQ$1006,0)), HYPERLINK("#",""), HYPERLINK(CONCATENATE("#Metadata!", ADDRESS(INDEX($AJ$2:$AJ$1001,MATCH(ROWS($AH$2:AH263),$AH$2:$AH$1001,0),0), INDEX($AO$1004:$BQ$1004,1,MATCH(COLUMNS($AO$1006:AZ1006),$AO$1006:$BQ$1006,0)))),"Fix")))</f>
        <v>#N/A</v>
      </c>
      <c r="N263" s="5" t="e">
        <f ca="1">IF(OR(INDEX($AI$2:$AI$1001,MATCH(ROWS($AH$2:AH263),$AH$2:$AH$1001,0),1)&gt;=100000,INDEX($AO$1005:$BQ$1005,1,MATCH(COLUMNS($AO$1006:BA1006),$AO$1006:$BQ$1006,0))&gt;=100000), " ",IF(INDEX($AO$2:$BQ$1001,MATCH(ROWS($AH$2:AH263),$AH$2:$AH$1001,0),MATCH(COLUMNS($AO$1006:BA1006),$AO$1006:$BQ$1006,0)), HYPERLINK("#",""), HYPERLINK(CONCATENATE("#Metadata!", ADDRESS(INDEX($AJ$2:$AJ$1001,MATCH(ROWS($AH$2:AH263),$AH$2:$AH$1001,0),0), INDEX($AO$1004:$BQ$1004,1,MATCH(COLUMNS($AO$1006:BA1006),$AO$1006:$BQ$1006,0)))),"Fix")))</f>
        <v>#N/A</v>
      </c>
      <c r="O263" s="5" t="e">
        <f ca="1">IF(OR(INDEX($AI$2:$AI$1001,MATCH(ROWS($AH$2:AH263),$AH$2:$AH$1001,0),1)&gt;=100000,INDEX($AO$1005:$BQ$1005,1,MATCH(COLUMNS($AO$1006:BB1006),$AO$1006:$BQ$1006,0))&gt;=100000), " ",IF(INDEX($AO$2:$BQ$1001,MATCH(ROWS($AH$2:AH263),$AH$2:$AH$1001,0),MATCH(COLUMNS($AO$1006:BB1006),$AO$1006:$BQ$1006,0)), HYPERLINK("#",""), HYPERLINK(CONCATENATE("#Metadata!", ADDRESS(INDEX($AJ$2:$AJ$1001,MATCH(ROWS($AH$2:AH263),$AH$2:$AH$1001,0),0), INDEX($AO$1004:$BQ$1004,1,MATCH(COLUMNS($AO$1006:BB1006),$AO$1006:$BQ$1006,0)))),"Fix")))</f>
        <v>#N/A</v>
      </c>
      <c r="P263" s="5" t="e">
        <f ca="1">IF(OR(INDEX($AI$2:$AI$1001,MATCH(ROWS($AH$2:AH263),$AH$2:$AH$1001,0),1)&gt;=100000,INDEX($AO$1005:$BQ$1005,1,MATCH(COLUMNS($AO$1006:BC1006),$AO$1006:$BQ$1006,0))&gt;=100000), " ",IF(INDEX($AO$2:$BQ$1001,MATCH(ROWS($AH$2:AH263),$AH$2:$AH$1001,0),MATCH(COLUMNS($AO$1006:BC1006),$AO$1006:$BQ$1006,0)), HYPERLINK("#",""), HYPERLINK(CONCATENATE("#Metadata!", ADDRESS(INDEX($AJ$2:$AJ$1001,MATCH(ROWS($AH$2:AH263),$AH$2:$AH$1001,0),0), INDEX($AO$1004:$BQ$1004,1,MATCH(COLUMNS($AO$1006:BC1006),$AO$1006:$BQ$1006,0)))),"Fix")))</f>
        <v>#N/A</v>
      </c>
      <c r="Q263" s="5" t="e">
        <f ca="1">IF(OR(INDEX($AI$2:$AI$1001,MATCH(ROWS($AH$2:AH263),$AH$2:$AH$1001,0),1)&gt;=100000,INDEX($AO$1005:$BQ$1005,1,MATCH(COLUMNS($AO$1006:BD1006),$AO$1006:$BQ$1006,0))&gt;=100000), " ",IF(INDEX($AO$2:$BQ$1001,MATCH(ROWS($AH$2:AH263),$AH$2:$AH$1001,0),MATCH(COLUMNS($AO$1006:BD1006),$AO$1006:$BQ$1006,0)), HYPERLINK("#",""), HYPERLINK(CONCATENATE("#Metadata!", ADDRESS(INDEX($AJ$2:$AJ$1001,MATCH(ROWS($AH$2:AH263),$AH$2:$AH$1001,0),0), INDEX($AO$1004:$BQ$1004,1,MATCH(COLUMNS($AO$1006:BD1006),$AO$1006:$BQ$1006,0)))),"Fix")))</f>
        <v>#N/A</v>
      </c>
      <c r="R263" s="5" t="e">
        <f ca="1">IF(OR(INDEX($AI$2:$AI$1001,MATCH(ROWS($AH$2:AH263),$AH$2:$AH$1001,0),1)&gt;=100000,INDEX($AO$1005:$BQ$1005,1,MATCH(COLUMNS($AO$1006:BE1006),$AO$1006:$BQ$1006,0))&gt;=100000), " ",IF(INDEX($AO$2:$BQ$1001,MATCH(ROWS($AH$2:AH263),$AH$2:$AH$1001,0),MATCH(COLUMNS($AO$1006:BE1006),$AO$1006:$BQ$1006,0)), HYPERLINK("#",""), HYPERLINK(CONCATENATE("#Metadata!", ADDRESS(INDEX($AJ$2:$AJ$1001,MATCH(ROWS($AH$2:AH263),$AH$2:$AH$1001,0),0), INDEX($AO$1004:$BQ$1004,1,MATCH(COLUMNS($AO$1006:BE1006),$AO$1006:$BQ$1006,0)))),"Fix")))</f>
        <v>#N/A</v>
      </c>
      <c r="S263" s="5" t="e">
        <f ca="1">IF(OR(INDEX($AI$2:$AI$1001,MATCH(ROWS($AH$2:AH263),$AH$2:$AH$1001,0),1)&gt;=100000,INDEX($AO$1005:$BQ$1005,1,MATCH(COLUMNS($AO$1006:BF1006),$AO$1006:$BQ$1006,0))&gt;=100000), " ",IF(INDEX($AO$2:$BQ$1001,MATCH(ROWS($AH$2:AH263),$AH$2:$AH$1001,0),MATCH(COLUMNS($AO$1006:BF1006),$AO$1006:$BQ$1006,0)), HYPERLINK("#",""), HYPERLINK(CONCATENATE("#Metadata!", ADDRESS(INDEX($AJ$2:$AJ$1001,MATCH(ROWS($AH$2:AH263),$AH$2:$AH$1001,0),0), INDEX($AO$1004:$BQ$1004,1,MATCH(COLUMNS($AO$1006:BF1006),$AO$1006:$BQ$1006,0)))),"Fix")))</f>
        <v>#N/A</v>
      </c>
      <c r="T263" s="5" t="e">
        <f ca="1">IF(OR(INDEX($AI$2:$AI$1001,MATCH(ROWS($AH$2:AH263),$AH$2:$AH$1001,0),1)&gt;=100000,INDEX($AO$1005:$BQ$1005,1,MATCH(COLUMNS($AO$1006:BG1006),$AO$1006:$BQ$1006,0))&gt;=100000), " ",IF(INDEX($AO$2:$BQ$1001,MATCH(ROWS($AH$2:AH263),$AH$2:$AH$1001,0),MATCH(COLUMNS($AO$1006:BG1006),$AO$1006:$BQ$1006,0)), HYPERLINK("#",""), HYPERLINK(CONCATENATE("#Metadata!", ADDRESS(INDEX($AJ$2:$AJ$1001,MATCH(ROWS($AH$2:AH263),$AH$2:$AH$1001,0),0), INDEX($AO$1004:$BQ$1004,1,MATCH(COLUMNS($AO$1006:BG1006),$AO$1006:$BQ$1006,0)))),"Fix")))</f>
        <v>#N/A</v>
      </c>
      <c r="U263" s="5" t="e">
        <f ca="1">IF(OR(INDEX($AI$2:$AI$1001,MATCH(ROWS($AH$2:AH263),$AH$2:$AH$1001,0),1)&gt;=100000,INDEX($AO$1005:$BQ$1005,1,MATCH(COLUMNS($AO$1006:BH1006),$AO$1006:$BQ$1006,0))&gt;=100000), " ",IF(INDEX($AO$2:$BQ$1001,MATCH(ROWS($AH$2:AH263),$AH$2:$AH$1001,0),MATCH(COLUMNS($AO$1006:BH1006),$AO$1006:$BQ$1006,0)), HYPERLINK("#",""), HYPERLINK(CONCATENATE("#Metadata!", ADDRESS(INDEX($AJ$2:$AJ$1001,MATCH(ROWS($AH$2:AH263),$AH$2:$AH$1001,0),0), INDEX($AO$1004:$BQ$1004,1,MATCH(COLUMNS($AO$1006:BH1006),$AO$1006:$BQ$1006,0)))),"Fix")))</f>
        <v>#N/A</v>
      </c>
      <c r="V263" s="5" t="e">
        <f ca="1">IF(OR(INDEX($AI$2:$AI$1001,MATCH(ROWS($AH$2:AH263),$AH$2:$AH$1001,0),1)&gt;=100000,INDEX($AO$1005:$BQ$1005,1,MATCH(COLUMNS($AO$1006:BI1006),$AO$1006:$BQ$1006,0))&gt;=100000), " ",IF(INDEX($AO$2:$BQ$1001,MATCH(ROWS($AH$2:AH263),$AH$2:$AH$1001,0),MATCH(COLUMNS($AO$1006:BI1006),$AO$1006:$BQ$1006,0)), HYPERLINK("#",""), HYPERLINK(CONCATENATE("#Metadata!", ADDRESS(INDEX($AJ$2:$AJ$1001,MATCH(ROWS($AH$2:AH263),$AH$2:$AH$1001,0),0), INDEX($AO$1004:$BQ$1004,1,MATCH(COLUMNS($AO$1006:BI1006),$AO$1006:$BQ$1006,0)))),"Fix")))</f>
        <v>#N/A</v>
      </c>
      <c r="W263" s="5" t="e">
        <f ca="1">IF(OR(INDEX($AI$2:$AI$1001,MATCH(ROWS($AH$2:AH263),$AH$2:$AH$1001,0),1)&gt;=100000,INDEX($AO$1005:$BQ$1005,1,MATCH(COLUMNS($AO$1006:BJ1006),$AO$1006:$BQ$1006,0))&gt;=100000), " ",IF(INDEX($AO$2:$BQ$1001,MATCH(ROWS($AH$2:AH263),$AH$2:$AH$1001,0),MATCH(COLUMNS($AO$1006:BJ1006),$AO$1006:$BQ$1006,0)), HYPERLINK("#",""), HYPERLINK(CONCATENATE("#Metadata!", ADDRESS(INDEX($AJ$2:$AJ$1001,MATCH(ROWS($AH$2:AH263),$AH$2:$AH$1001,0),0), INDEX($AO$1004:$BQ$1004,1,MATCH(COLUMNS($AO$1006:BJ1006),$AO$1006:$BQ$1006,0)))),"Fix")))</f>
        <v>#N/A</v>
      </c>
      <c r="X263" s="5" t="e">
        <f ca="1">IF(OR(INDEX($AI$2:$AI$1001,MATCH(ROWS($AH$2:AH263),$AH$2:$AH$1001,0),1)&gt;=100000,INDEX($AO$1005:$BQ$1005,1,MATCH(COLUMNS($AO$1006:BK1006),$AO$1006:$BQ$1006,0))&gt;=100000), " ",IF(INDEX($AO$2:$BQ$1001,MATCH(ROWS($AH$2:AH263),$AH$2:$AH$1001,0),MATCH(COLUMNS($AO$1006:BK1006),$AO$1006:$BQ$1006,0)), HYPERLINK("#",""), HYPERLINK(CONCATENATE("#Metadata!", ADDRESS(INDEX($AJ$2:$AJ$1001,MATCH(ROWS($AH$2:AH263),$AH$2:$AH$1001,0),0), INDEX($AO$1004:$BQ$1004,1,MATCH(COLUMNS($AO$1006:BK1006),$AO$1006:$BQ$1006,0)))),"Fix")))</f>
        <v>#N/A</v>
      </c>
      <c r="Y263" s="5" t="e">
        <f ca="1">IF(OR(INDEX($AI$2:$AI$1001,MATCH(ROWS($AH$2:AH263),$AH$2:$AH$1001,0),1)&gt;=100000,INDEX($AO$1005:$BQ$1005,1,MATCH(COLUMNS($AO$1006:BL1006),$AO$1006:$BQ$1006,0))&gt;=100000), " ",IF(INDEX($AO$2:$BQ$1001,MATCH(ROWS($AH$2:AH263),$AH$2:$AH$1001,0),MATCH(COLUMNS($AO$1006:BL1006),$AO$1006:$BQ$1006,0)), HYPERLINK("#",""), HYPERLINK(CONCATENATE("#Metadata!", ADDRESS(INDEX($AJ$2:$AJ$1001,MATCH(ROWS($AH$2:AH263),$AH$2:$AH$1001,0),0), INDEX($AO$1004:$BQ$1004,1,MATCH(COLUMNS($AO$1006:BL1006),$AO$1006:$BQ$1006,0)))),"Fix")))</f>
        <v>#N/A</v>
      </c>
      <c r="Z263" s="5" t="e">
        <f ca="1">IF(OR(INDEX($AI$2:$AI$1001,MATCH(ROWS($AH$2:AH263),$AH$2:$AH$1001,0),1)&gt;=100000,INDEX($AO$1005:$BQ$1005,1,MATCH(COLUMNS($AO$1006:BM1006),$AO$1006:$BQ$1006,0))&gt;=100000), " ",IF(INDEX($AO$2:$BQ$1001,MATCH(ROWS($AH$2:AH263),$AH$2:$AH$1001,0),MATCH(COLUMNS($AO$1006:BM1006),$AO$1006:$BQ$1006,0)), HYPERLINK("#",""), HYPERLINK(CONCATENATE("#Metadata!", ADDRESS(INDEX($AJ$2:$AJ$1001,MATCH(ROWS($AH$2:AH263),$AH$2:$AH$1001,0),0), INDEX($AO$1004:$BQ$1004,1,MATCH(COLUMNS($AO$1006:BM1006),$AO$1006:$BQ$1006,0)))),"Fix")))</f>
        <v>#N/A</v>
      </c>
      <c r="AA263" s="5" t="e">
        <f ca="1">IF(OR(INDEX($AI$2:$AI$1001,MATCH(ROWS($AH$2:AH263),$AH$2:$AH$1001,0),1)&gt;=100000,INDEX($AO$1005:$BQ$1005,1,MATCH(COLUMNS($AO$1006:BN1006),$AO$1006:$BQ$1006,0))&gt;=100000), " ",IF(INDEX($AO$2:$BQ$1001,MATCH(ROWS($AH$2:AH263),$AH$2:$AH$1001,0),MATCH(COLUMNS($AO$1006:BN1006),$AO$1006:$BQ$1006,0)), HYPERLINK("#",""), HYPERLINK(CONCATENATE("#Metadata!", ADDRESS(INDEX($AJ$2:$AJ$1001,MATCH(ROWS($AH$2:AH263),$AH$2:$AH$1001,0),0), INDEX($AO$1004:$BQ$1004,1,MATCH(COLUMNS($AO$1006:BN1006),$AO$1006:$BQ$1006,0)))),"Fix")))</f>
        <v>#N/A</v>
      </c>
      <c r="AB263" s="5" t="e">
        <f ca="1">IF(OR(INDEX($AI$2:$AI$1001,MATCH(ROWS($AH$2:AH263),$AH$2:$AH$1001,0),1)&gt;=100000,INDEX($AO$1005:$BQ$1005,1,MATCH(COLUMNS($AO$1006:BO1006),$AO$1006:$BQ$1006,0))&gt;=100000), " ",IF(INDEX($AO$2:$BQ$1001,MATCH(ROWS($AH$2:AH263),$AH$2:$AH$1001,0),MATCH(COLUMNS($AO$1006:BO1006),$AO$1006:$BQ$1006,0)), HYPERLINK("#",""), HYPERLINK(CONCATENATE("#Metadata!", ADDRESS(INDEX($AJ$2:$AJ$1001,MATCH(ROWS($AH$2:AH263),$AH$2:$AH$1001,0),0), INDEX($AO$1004:$BQ$1004,1,MATCH(COLUMNS($AO$1006:BO1006),$AO$1006:$BQ$1006,0)))),"Fix")))</f>
        <v>#N/A</v>
      </c>
      <c r="AC263" s="5" t="e">
        <f ca="1">IF(OR(INDEX($AI$2:$AI$1001,MATCH(ROWS($AH$2:AH263),$AH$2:$AH$1001,0),1)&gt;=100000,INDEX($AO$1005:$BQ$1005,1,MATCH(COLUMNS($AO$1006:BP1006),$AO$1006:$BQ$1006,0))&gt;=100000), " ",IF(INDEX($AO$2:$BQ$1001,MATCH(ROWS($AH$2:AH263),$AH$2:$AH$1001,0),MATCH(COLUMNS($AO$1006:BP1006),$AO$1006:$BQ$1006,0)), HYPERLINK("#",""), HYPERLINK(CONCATENATE("#Metadata!", ADDRESS(INDEX($AJ$2:$AJ$1001,MATCH(ROWS($AH$2:AH263),$AH$2:$AH$1001,0),0), INDEX($AO$1004:$BQ$1004,1,MATCH(COLUMNS($AO$1006:BP1006),$AO$1006:$BQ$1006,0)))),"Fix")))</f>
        <v>#N/A</v>
      </c>
      <c r="AD263" s="5" t="e">
        <f ca="1">IF(OR(INDEX($AI$2:$AI$1001,MATCH(ROWS($AH$2:AH263),$AH$2:$AH$1001,0),1)&gt;=100000,INDEX($AO$1005:$BQ$1005,1,MATCH(COLUMNS($AO$1006:BQ1006),$AO$1006:$BQ$1006,0))&gt;=100000), " ",IF(INDEX($AO$2:$BQ$1001,MATCH(ROWS($AH$2:AH263),$AH$2:$AH$1001,0),MATCH(COLUMNS($AO$1006:BQ1006),$AO$1006:$BQ$1006,0)), HYPERLINK("#",""), HYPERLINK(CONCATENATE("#Metadata!", ADDRESS(INDEX($AJ$2:$AJ$1001,MATCH(ROWS($AH$2:AH263),$AH$2:$AH$1001,0),0), INDEX($AO$1004:$BQ$1004,1,MATCH(COLUMNS($AO$1006:BQ1006),$AO$1006:$BQ$1006,0)))),"Fix")))</f>
        <v>#REF!</v>
      </c>
      <c r="AH263">
        <f ca="1"/>
        <v>260</v>
      </c>
      <c r="AI263">
        <v>100263</v>
      </c>
      <c r="AJ263">
        <v>263</v>
      </c>
      <c r="AK263" t="b">
        <f t="shared" si="4"/>
        <v>1</v>
      </c>
      <c r="AL263" t="b">
        <f>COUNTBLANK(Metadata!B263:AD263)=COLUMNS(Metadata!B263:AD263)</f>
        <v>1</v>
      </c>
      <c r="AM263" t="str">
        <v/>
      </c>
      <c r="AO263" t="b">
        <f ca="1">AND(IF(Metadata!B263="",FALSE,TRUE),COUNTIF(Metadata!B:B, Metadata!B263) = 1,NOT(ISERROR(SUMPRODUCT(SEARCH(MID(Metadata!B263,ROW(INDIRECT("1:"&amp;LEN(Metadata!B263))), 1),"0123456789abcdefghijklmnopqrstuvwxyzABCDEFGHIJKLMNOPQRSTUVWXYZ.")))))</f>
        <v>0</v>
      </c>
      <c r="AP263" t="b">
        <f>IF(Metadata!C263="",FALSE,TRUE)</f>
        <v>0</v>
      </c>
      <c r="AQ263" t="b">
        <f>IF(Metadata!D263="",FALSE,TRUE)</f>
        <v>0</v>
      </c>
      <c r="AR263" t="b">
        <f ca="1">OR(AND(IF(Metadata!E263="",FALSE,TRUE),OR(EXACT(Metadata!E263,"not collected"),EXACT(Metadata!E263,"not provided"),EXACT(Metadata!E263,"restricted access"))),AND(IF(Metadata!E263="",FALSE,TRUE),AND(AND(IFERROR(INT(LEFT(Metadata!E263,4))&gt;1900,FALSE),IFERROR(INT(LEFT(Metadata!E263,4))&lt;=YEAR(NOW()),FALSE)), OR(MID(Metadata!E263,5,1)="", AND(AND(MID(Metadata!E263,5,1)="-",IFERROR(INT(MID(Metadata!E263,6,1))&gt;=0,FALSE),IFERROR(INT(MID(Metadata!E263,6,1))&lt;=1,FALSE),NOT(MID(Metadata!E263,7,1)=""),IFERROR(INT(MID(Metadata!E263,6,2))&gt;=1,FALSE),IFERROR(INT(MID(Metadata!E263,6,2))&lt;=12,FALSE)), OR(MID(Metadata!E263,8,1)="", AND(AND(MID(Metadata!E263,8,1)="-",IFERROR(INT(MID(Metadata!E263,9,1))&gt;=0,FALSE),IFERROR(INT(MID(Metadata!E263,9,1))&lt;=3,FALSE),NOT(MID(Metadata!E263,10,1)=""),IFERROR(INT(MID(Metadata!E263,9,2))&gt;=1,FALSE),IFERROR(INT(MID(Metadata!E263,9,2))&lt;=31,FALSE)), OR(MID(Metadata!E263,11,1)="", AND(AND(MID(Metadata!E263,11,1)=" ",IFERROR(INT(MID(Metadata!E263,12,1))&gt;=0,FALSE),IFERROR(INT(MID(Metadata!E263,12,1))&lt;=2,FALSE),NOT(MID(Metadata!E263,13,1)=""),IFERROR(INT(MID(Metadata!E263,12,2))&gt;=0,FALSE),IFERROR(INT(MID(Metadata!E263,12,2))&lt;=23,FALSE)), OR(MID(Metadata!E263,14,1)="", AND(AND(MID(Metadata!E263,14,1)=":",IFERROR(INT(MID(Metadata!E263,15,1))&gt;=0,FALSE),IFERROR(INT(MID(Metadata!E263,15,1))&lt;=5,FALSE),NOT(MID(Metadata!E263,16,1)=""),IFERROR(INT(MID(Metadata!E263,15,2))&gt;=0,FALSE),IFERROR(INT(MID(Metadata!E263,15,2))&lt;=59,FALSE)), OR(MID(Metadata!E263,17,1)="", AND(AND(MID(Metadata!E263,17,1)=":",IFERROR(INT(MID(Metadata!E263,18,1))&gt;=0,FALSE),IFERROR(INT(MID(Metadata!E263,18,1))&lt;=5,FALSE),NOT(MID(Metadata!E263,19,1)=""),IFERROR(INT(MID(Metadata!E263,18,2))&gt;=0,FALSE),IFERROR(INT(MID(Metadata!E263,18,2))&lt;=59,FALSE)), LEN(Metadata!E263)&lt;=19)))))))))))))</f>
        <v>0</v>
      </c>
      <c r="AS263" t="b">
        <f>IF(Metadata!F263="",FALSE,TRUE)</f>
        <v>0</v>
      </c>
      <c r="AT263" t="b">
        <f>OR(AND(IF(Metadata!G263="",FALSE,TRUE),OR(EXACT(Metadata!G263,"not collected"),EXACT(Metadata!G263,"not provided"))),AND(IF(Metadata!G263="",FALSE,TRUE),OR(EXACT(Metadata!G263,"TRUE"),EXACT(Metadata!G263,"FALSE"))))</f>
        <v>0</v>
      </c>
      <c r="AU263" t="b">
        <f>OR(AND(IF(Metadata!H263="",FALSE,TRUE),OR(EXACT(Metadata!H263,"not collected"),EXACT(Metadata!H263,"not provided"),EXACT(Metadata!H263,"restricted access"))),AND(IF(Metadata!H263="",FALSE,ISNUMBER(VALUE(Metadata!H263))),Metadata!H263&gt;=-413))</f>
        <v>0</v>
      </c>
      <c r="AV263" t="b">
        <f>AND(IF(Metadata!I263="",FALSE,TRUE),EXACT(Metadata!I263,"meters"))</f>
        <v>0</v>
      </c>
      <c r="AW263" t="b">
        <f>AND(IF(Metadata!J263="",FALSE,TRUE),EXACT(Metadata!J263,"free-living"))</f>
        <v>0</v>
      </c>
      <c r="AX263" t="b">
        <f>AND(IF(Metadata!K263="",FALSE,TRUE),OR(EXACT(Metadata!K263,"saline"),EXACT(Metadata!K263,"non-saline")))</f>
        <v>0</v>
      </c>
      <c r="AY263" t="b">
        <f>AND(IF(Metadata!L263="",FALSE,TRUE),OR(EXACT(Metadata!L263,"sub-surface (non-saline)"),EXACT(Metadata!L263,"surface (non-saline)"),EXACT(Metadata!L263,"water (non-saline)"),EXACT(Metadata!L263,"soil (non-saline)"),EXACT(Metadata!L263,"aerosol (non-saline)"),EXACT(Metadata!L263,"sediment (non-saline)"),EXACT(Metadata!L263,"surface (saline)"),EXACT(Metadata!L263,"water (saline)"),EXACT(Metadata!L263,"hypersaline (saline)"),EXACT(Metadata!L263,"aerosol (saline)"),EXACT(Metadata!L263,"sediment (saline)")))</f>
        <v>0</v>
      </c>
      <c r="AZ263" t="b">
        <f>IF(Metadata!M263="",FALSE,TRUE)</f>
        <v>0</v>
      </c>
      <c r="BA263" t="b">
        <f>IF(Metadata!N263="",FALSE,TRUE)</f>
        <v>0</v>
      </c>
      <c r="BB263" t="b">
        <f>IF(Metadata!O263="",FALSE,TRUE)</f>
        <v>0</v>
      </c>
      <c r="BC263" t="b">
        <f>AND(IF(Metadata!P263="",FALSE,TRUE),OR(EXACT(Metadata!P263,"air"),EXACT(Metadata!P263,"microbial mat/biofilm"),EXACT(Metadata!P263,"misc environment"),EXACT(Metadata!P263,"sediment"),EXACT(Metadata!P263,"soil"),EXACT(Metadata!P263,"wastewater/sludge"),EXACT(Metadata!P263,"water")))</f>
        <v>0</v>
      </c>
      <c r="BD263" t="b">
        <f>IF(Metadata!Q263="",FALSE,TRUE)</f>
        <v>0</v>
      </c>
      <c r="BE263" t="b">
        <f>IF(Metadata!R263="",FALSE,TRUE)</f>
        <v>0</v>
      </c>
      <c r="BF263" t="b">
        <f>OR(AND(IF(Metadata!S263="",FALSE,TRUE),OR(EXACT(Metadata!S263,"not collected"),EXACT(Metadata!S263,"not provided"),EXACT(Metadata!S263,"restricted access"))),AND(IF(Metadata!S263="",FALSE,ISNUMBER(VALUE(Metadata!S263))),Metadata!S263&gt;=-90,Metadata!S263&lt;=90))</f>
        <v>0</v>
      </c>
      <c r="BG263" t="b">
        <f>AND(IF(Metadata!T263="",FALSE,TRUE),EXACT(Metadata!T263,"Decimal degrees"))</f>
        <v>0</v>
      </c>
      <c r="BH263" t="b">
        <f>OR(AND(IF(Metadata!U263="",FALSE,TRUE),OR(EXACT(Metadata!U263,"not applicable"),EXACT(Metadata!U263,"not collected"))),IF(Metadata!U263="",FALSE,TRUE))</f>
        <v>0</v>
      </c>
      <c r="BI263" t="b">
        <f>OR(AND(IF(Metadata!V263="",FALSE,TRUE),OR(EXACT(Metadata!V263,"not collected"),EXACT(Metadata!V263,"not provided"),EXACT(Metadata!V263,"restricted access"))),AND(IF(Metadata!V263="",FALSE,ISNUMBER(VALUE(Metadata!V263))),Metadata!V263&gt;=-180,Metadata!V263&lt;=180))</f>
        <v>0</v>
      </c>
      <c r="BJ263" t="b">
        <f>AND(IF(Metadata!W263="",FALSE,TRUE),EXACT(Metadata!W263,"Decimal degrees"))</f>
        <v>0</v>
      </c>
      <c r="BK263" t="b">
        <f>IF(Metadata!X263="",FALSE,TRUE)</f>
        <v>0</v>
      </c>
      <c r="BL263" t="b">
        <f>OR(AND(IF(Metadata!Y263="",FALSE,TRUE),OR(EXACT(Metadata!Y263,"not collected"),EXACT(Metadata!Y263,"not provided"),EXACT(Metadata!Y263,"restricted access"))),AND(IF(Metadata!Y263="",FALSE,TRUE),OR(EXACT(Metadata!Y263,"TRUE"),EXACT(Metadata!Y263,"FALSE"))))</f>
        <v>0</v>
      </c>
      <c r="BM263" t="b">
        <f>OR(AND(IF(Metadata!Z263="",FALSE,TRUE),EXACT(Metadata!Z263,"not applicable")),AND(IF(Metadata!Z263="",FALSE,TRUE),OR(EXACT(Metadata!Z263,"beer"),EXACT(Metadata!Z263,"cheese"),EXACT(Metadata!Z263,"fresh water"),EXACT(Metadata!Z263,"marine sediment"),EXACT(Metadata!Z263,"sea water"),EXACT(Metadata!Z263,"sediment"),EXACT(Metadata!Z263,"soil"),EXACT(Metadata!Z263,"waste water"))))</f>
        <v>0</v>
      </c>
      <c r="BN263" t="b">
        <f>AND(IF(Metadata!AA263="",FALSE,TRUE),EXACT(Metadata!AA263,"metagenome"))</f>
        <v>0</v>
      </c>
      <c r="BO263" t="b">
        <f>AND(IF(Metadata!AB263="",FALSE,TRUE),EXACT(Metadata!AB263,"256318"))</f>
        <v>0</v>
      </c>
      <c r="BP263" t="b">
        <f>IF(Metadata!AC263="",FALSE,TRUE)</f>
        <v>0</v>
      </c>
      <c r="BQ263" t="b">
        <f>IF(Metadata!AD263="",FALSE,TRUE)</f>
        <v>0</v>
      </c>
    </row>
    <row r="264" spans="1:69" x14ac:dyDescent="0.2">
      <c r="A264" s="4" t="e">
        <f ca="1">IF(B264=" "," ",HYPERLINK(CONCATENATE("#metadata!",ADDRESS(INDEX($AJ$2:$AJ$1001,MATCH(ROWS($AH$2:AH264),$AH$2:$AH$1001,0),0),2)),INDEX($AM$2:$AM$1001,MATCH(ROWS($AH$2:AH264),$AH$2:$AH$1001,0),0)))</f>
        <v>#N/A</v>
      </c>
      <c r="B264" s="5" t="e">
        <f ca="1">IF(OR(INDEX($AI$2:$AI$1001,MATCH(ROWS($AH$2:AH264),$AH$2:$AH$1001,0),1)&gt;=100000,INDEX($AO$1005:$BQ$1005,1,MATCH(COLUMNS($AO$1006:AO1006),$AO$1006:$BQ$1006,0))&gt;=100000), " ",IF(INDEX($AO$2:$BQ$1001,MATCH(ROWS($AH$2:AH264),$AH$2:$AH$1001,0),MATCH(COLUMNS($AO$1006:AO1006),$AO$1006:$BQ$1006,0)), HYPERLINK("#",""), HYPERLINK(CONCATENATE("#Metadata!", ADDRESS(INDEX($AJ$2:$AJ$1001,MATCH(ROWS($AH$2:AH264),$AH$2:$AH$1001,0),0), INDEX($AO$1004:$BQ$1004,1,MATCH(COLUMNS($AO$1006:AO1006),$AO$1006:$BQ$1006,0)))),"Fix")))</f>
        <v>#N/A</v>
      </c>
      <c r="C264" s="5" t="e">
        <f ca="1">IF(OR(INDEX($AI$2:$AI$1001,MATCH(ROWS($AH$2:AH264),$AH$2:$AH$1001,0),1)&gt;=100000,INDEX($AO$1005:$BQ$1005,1,MATCH(COLUMNS($AO$1006:AP1006),$AO$1006:$BQ$1006,0))&gt;=100000), " ",IF(INDEX($AO$2:$BQ$1001,MATCH(ROWS($AH$2:AH264),$AH$2:$AH$1001,0),MATCH(COLUMNS($AO$1006:AP1006),$AO$1006:$BQ$1006,0)), HYPERLINK("#",""), HYPERLINK(CONCATENATE("#Metadata!", ADDRESS(INDEX($AJ$2:$AJ$1001,MATCH(ROWS($AH$2:AH264),$AH$2:$AH$1001,0),0), INDEX($AO$1004:$BQ$1004,1,MATCH(COLUMNS($AO$1006:AP1006),$AO$1006:$BQ$1006,0)))),"Fix")))</f>
        <v>#N/A</v>
      </c>
      <c r="D264" s="5" t="e">
        <f ca="1">IF(OR(INDEX($AI$2:$AI$1001,MATCH(ROWS($AH$2:AH264),$AH$2:$AH$1001,0),1)&gt;=100000,INDEX($AO$1005:$BQ$1005,1,MATCH(COLUMNS($AO$1006:AQ1006),$AO$1006:$BQ$1006,0))&gt;=100000), " ",IF(INDEX($AO$2:$BQ$1001,MATCH(ROWS($AH$2:AH264),$AH$2:$AH$1001,0),MATCH(COLUMNS($AO$1006:AQ1006),$AO$1006:$BQ$1006,0)), HYPERLINK("#",""), HYPERLINK(CONCATENATE("#Metadata!", ADDRESS(INDEX($AJ$2:$AJ$1001,MATCH(ROWS($AH$2:AH264),$AH$2:$AH$1001,0),0), INDEX($AO$1004:$BQ$1004,1,MATCH(COLUMNS($AO$1006:AQ1006),$AO$1006:$BQ$1006,0)))),"Fix")))</f>
        <v>#N/A</v>
      </c>
      <c r="E264" s="5" t="e">
        <f ca="1">IF(OR(INDEX($AI$2:$AI$1001,MATCH(ROWS($AH$2:AH264),$AH$2:$AH$1001,0),1)&gt;=100000,INDEX($AO$1005:$BQ$1005,1,MATCH(COLUMNS($AO$1006:AR1006),$AO$1006:$BQ$1006,0))&gt;=100000), " ",IF(INDEX($AO$2:$BQ$1001,MATCH(ROWS($AH$2:AH264),$AH$2:$AH$1001,0),MATCH(COLUMNS($AO$1006:AR1006),$AO$1006:$BQ$1006,0)), HYPERLINK("#",""), HYPERLINK(CONCATENATE("#Metadata!", ADDRESS(INDEX($AJ$2:$AJ$1001,MATCH(ROWS($AH$2:AH264),$AH$2:$AH$1001,0),0), INDEX($AO$1004:$BQ$1004,1,MATCH(COLUMNS($AO$1006:AR1006),$AO$1006:$BQ$1006,0)))),"Fix")))</f>
        <v>#N/A</v>
      </c>
      <c r="F264" s="5" t="e">
        <f ca="1">IF(OR(INDEX($AI$2:$AI$1001,MATCH(ROWS($AH$2:AH264),$AH$2:$AH$1001,0),1)&gt;=100000,INDEX($AO$1005:$BQ$1005,1,MATCH(COLUMNS($AO$1006:AS1006),$AO$1006:$BQ$1006,0))&gt;=100000), " ",IF(INDEX($AO$2:$BQ$1001,MATCH(ROWS($AH$2:AH264),$AH$2:$AH$1001,0),MATCH(COLUMNS($AO$1006:AS1006),$AO$1006:$BQ$1006,0)), HYPERLINK("#",""), HYPERLINK(CONCATENATE("#Metadata!", ADDRESS(INDEX($AJ$2:$AJ$1001,MATCH(ROWS($AH$2:AH264),$AH$2:$AH$1001,0),0), INDEX($AO$1004:$BQ$1004,1,MATCH(COLUMNS($AO$1006:AS1006),$AO$1006:$BQ$1006,0)))),"Fix")))</f>
        <v>#N/A</v>
      </c>
      <c r="G264" s="5" t="e">
        <f ca="1">IF(OR(INDEX($AI$2:$AI$1001,MATCH(ROWS($AH$2:AH264),$AH$2:$AH$1001,0),1)&gt;=100000,INDEX($AO$1005:$BQ$1005,1,MATCH(COLUMNS($AO$1006:AT1006),$AO$1006:$BQ$1006,0))&gt;=100000), " ",IF(INDEX($AO$2:$BQ$1001,MATCH(ROWS($AH$2:AH264),$AH$2:$AH$1001,0),MATCH(COLUMNS($AO$1006:AT1006),$AO$1006:$BQ$1006,0)), HYPERLINK("#",""), HYPERLINK(CONCATENATE("#Metadata!", ADDRESS(INDEX($AJ$2:$AJ$1001,MATCH(ROWS($AH$2:AH264),$AH$2:$AH$1001,0),0), INDEX($AO$1004:$BQ$1004,1,MATCH(COLUMNS($AO$1006:AT1006),$AO$1006:$BQ$1006,0)))),"Fix")))</f>
        <v>#N/A</v>
      </c>
      <c r="H264" s="5" t="e">
        <f ca="1">IF(OR(INDEX($AI$2:$AI$1001,MATCH(ROWS($AH$2:AH264),$AH$2:$AH$1001,0),1)&gt;=100000,INDEX($AO$1005:$BQ$1005,1,MATCH(COLUMNS($AO$1006:AU1006),$AO$1006:$BQ$1006,0))&gt;=100000), " ",IF(INDEX($AO$2:$BQ$1001,MATCH(ROWS($AH$2:AH264),$AH$2:$AH$1001,0),MATCH(COLUMNS($AO$1006:AU1006),$AO$1006:$BQ$1006,0)), HYPERLINK("#",""), HYPERLINK(CONCATENATE("#Metadata!", ADDRESS(INDEX($AJ$2:$AJ$1001,MATCH(ROWS($AH$2:AH264),$AH$2:$AH$1001,0),0), INDEX($AO$1004:$BQ$1004,1,MATCH(COLUMNS($AO$1006:AU1006),$AO$1006:$BQ$1006,0)))),"Fix")))</f>
        <v>#N/A</v>
      </c>
      <c r="I264" s="5" t="e">
        <f ca="1">IF(OR(INDEX($AI$2:$AI$1001,MATCH(ROWS($AH$2:AH264),$AH$2:$AH$1001,0),1)&gt;=100000,INDEX($AO$1005:$BQ$1005,1,MATCH(COLUMNS($AO$1006:AV1006),$AO$1006:$BQ$1006,0))&gt;=100000), " ",IF(INDEX($AO$2:$BQ$1001,MATCH(ROWS($AH$2:AH264),$AH$2:$AH$1001,0),MATCH(COLUMNS($AO$1006:AV1006),$AO$1006:$BQ$1006,0)), HYPERLINK("#",""), HYPERLINK(CONCATENATE("#Metadata!", ADDRESS(INDEX($AJ$2:$AJ$1001,MATCH(ROWS($AH$2:AH264),$AH$2:$AH$1001,0),0), INDEX($AO$1004:$BQ$1004,1,MATCH(COLUMNS($AO$1006:AV1006),$AO$1006:$BQ$1006,0)))),"Fix")))</f>
        <v>#N/A</v>
      </c>
      <c r="J264" s="5" t="e">
        <f ca="1">IF(OR(INDEX($AI$2:$AI$1001,MATCH(ROWS($AH$2:AH264),$AH$2:$AH$1001,0),1)&gt;=100000,INDEX($AO$1005:$BQ$1005,1,MATCH(COLUMNS($AO$1006:AW1006),$AO$1006:$BQ$1006,0))&gt;=100000), " ",IF(INDEX($AO$2:$BQ$1001,MATCH(ROWS($AH$2:AH264),$AH$2:$AH$1001,0),MATCH(COLUMNS($AO$1006:AW1006),$AO$1006:$BQ$1006,0)), HYPERLINK("#",""), HYPERLINK(CONCATENATE("#Metadata!", ADDRESS(INDEX($AJ$2:$AJ$1001,MATCH(ROWS($AH$2:AH264),$AH$2:$AH$1001,0),0), INDEX($AO$1004:$BQ$1004,1,MATCH(COLUMNS($AO$1006:AW1006),$AO$1006:$BQ$1006,0)))),"Fix")))</f>
        <v>#N/A</v>
      </c>
      <c r="K264" s="5" t="e">
        <f ca="1">IF(OR(INDEX($AI$2:$AI$1001,MATCH(ROWS($AH$2:AH264),$AH$2:$AH$1001,0),1)&gt;=100000,INDEX($AO$1005:$BQ$1005,1,MATCH(COLUMNS($AO$1006:AX1006),$AO$1006:$BQ$1006,0))&gt;=100000), " ",IF(INDEX($AO$2:$BQ$1001,MATCH(ROWS($AH$2:AH264),$AH$2:$AH$1001,0),MATCH(COLUMNS($AO$1006:AX1006),$AO$1006:$BQ$1006,0)), HYPERLINK("#",""), HYPERLINK(CONCATENATE("#Metadata!", ADDRESS(INDEX($AJ$2:$AJ$1001,MATCH(ROWS($AH$2:AH264),$AH$2:$AH$1001,0),0), INDEX($AO$1004:$BQ$1004,1,MATCH(COLUMNS($AO$1006:AX1006),$AO$1006:$BQ$1006,0)))),"Fix")))</f>
        <v>#N/A</v>
      </c>
      <c r="L264" s="5" t="e">
        <f ca="1">IF(OR(INDEX($AI$2:$AI$1001,MATCH(ROWS($AH$2:AH264),$AH$2:$AH$1001,0),1)&gt;=100000,INDEX($AO$1005:$BQ$1005,1,MATCH(COLUMNS($AO$1006:AY1006),$AO$1006:$BQ$1006,0))&gt;=100000), " ",IF(INDEX($AO$2:$BQ$1001,MATCH(ROWS($AH$2:AH264),$AH$2:$AH$1001,0),MATCH(COLUMNS($AO$1006:AY1006),$AO$1006:$BQ$1006,0)), HYPERLINK("#",""), HYPERLINK(CONCATENATE("#Metadata!", ADDRESS(INDEX($AJ$2:$AJ$1001,MATCH(ROWS($AH$2:AH264),$AH$2:$AH$1001,0),0), INDEX($AO$1004:$BQ$1004,1,MATCH(COLUMNS($AO$1006:AY1006),$AO$1006:$BQ$1006,0)))),"Fix")))</f>
        <v>#N/A</v>
      </c>
      <c r="M264" s="5" t="e">
        <f ca="1">IF(OR(INDEX($AI$2:$AI$1001,MATCH(ROWS($AH$2:AH264),$AH$2:$AH$1001,0),1)&gt;=100000,INDEX($AO$1005:$BQ$1005,1,MATCH(COLUMNS($AO$1006:AZ1006),$AO$1006:$BQ$1006,0))&gt;=100000), " ",IF(INDEX($AO$2:$BQ$1001,MATCH(ROWS($AH$2:AH264),$AH$2:$AH$1001,0),MATCH(COLUMNS($AO$1006:AZ1006),$AO$1006:$BQ$1006,0)), HYPERLINK("#",""), HYPERLINK(CONCATENATE("#Metadata!", ADDRESS(INDEX($AJ$2:$AJ$1001,MATCH(ROWS($AH$2:AH264),$AH$2:$AH$1001,0),0), INDEX($AO$1004:$BQ$1004,1,MATCH(COLUMNS($AO$1006:AZ1006),$AO$1006:$BQ$1006,0)))),"Fix")))</f>
        <v>#N/A</v>
      </c>
      <c r="N264" s="5" t="e">
        <f ca="1">IF(OR(INDEX($AI$2:$AI$1001,MATCH(ROWS($AH$2:AH264),$AH$2:$AH$1001,0),1)&gt;=100000,INDEX($AO$1005:$BQ$1005,1,MATCH(COLUMNS($AO$1006:BA1006),$AO$1006:$BQ$1006,0))&gt;=100000), " ",IF(INDEX($AO$2:$BQ$1001,MATCH(ROWS($AH$2:AH264),$AH$2:$AH$1001,0),MATCH(COLUMNS($AO$1006:BA1006),$AO$1006:$BQ$1006,0)), HYPERLINK("#",""), HYPERLINK(CONCATENATE("#Metadata!", ADDRESS(INDEX($AJ$2:$AJ$1001,MATCH(ROWS($AH$2:AH264),$AH$2:$AH$1001,0),0), INDEX($AO$1004:$BQ$1004,1,MATCH(COLUMNS($AO$1006:BA1006),$AO$1006:$BQ$1006,0)))),"Fix")))</f>
        <v>#N/A</v>
      </c>
      <c r="O264" s="5" t="e">
        <f ca="1">IF(OR(INDEX($AI$2:$AI$1001,MATCH(ROWS($AH$2:AH264),$AH$2:$AH$1001,0),1)&gt;=100000,INDEX($AO$1005:$BQ$1005,1,MATCH(COLUMNS($AO$1006:BB1006),$AO$1006:$BQ$1006,0))&gt;=100000), " ",IF(INDEX($AO$2:$BQ$1001,MATCH(ROWS($AH$2:AH264),$AH$2:$AH$1001,0),MATCH(COLUMNS($AO$1006:BB1006),$AO$1006:$BQ$1006,0)), HYPERLINK("#",""), HYPERLINK(CONCATENATE("#Metadata!", ADDRESS(INDEX($AJ$2:$AJ$1001,MATCH(ROWS($AH$2:AH264),$AH$2:$AH$1001,0),0), INDEX($AO$1004:$BQ$1004,1,MATCH(COLUMNS($AO$1006:BB1006),$AO$1006:$BQ$1006,0)))),"Fix")))</f>
        <v>#N/A</v>
      </c>
      <c r="P264" s="5" t="e">
        <f ca="1">IF(OR(INDEX($AI$2:$AI$1001,MATCH(ROWS($AH$2:AH264),$AH$2:$AH$1001,0),1)&gt;=100000,INDEX($AO$1005:$BQ$1005,1,MATCH(COLUMNS($AO$1006:BC1006),$AO$1006:$BQ$1006,0))&gt;=100000), " ",IF(INDEX($AO$2:$BQ$1001,MATCH(ROWS($AH$2:AH264),$AH$2:$AH$1001,0),MATCH(COLUMNS($AO$1006:BC1006),$AO$1006:$BQ$1006,0)), HYPERLINK("#",""), HYPERLINK(CONCATENATE("#Metadata!", ADDRESS(INDEX($AJ$2:$AJ$1001,MATCH(ROWS($AH$2:AH264),$AH$2:$AH$1001,0),0), INDEX($AO$1004:$BQ$1004,1,MATCH(COLUMNS($AO$1006:BC1006),$AO$1006:$BQ$1006,0)))),"Fix")))</f>
        <v>#N/A</v>
      </c>
      <c r="Q264" s="5" t="e">
        <f ca="1">IF(OR(INDEX($AI$2:$AI$1001,MATCH(ROWS($AH$2:AH264),$AH$2:$AH$1001,0),1)&gt;=100000,INDEX($AO$1005:$BQ$1005,1,MATCH(COLUMNS($AO$1006:BD1006),$AO$1006:$BQ$1006,0))&gt;=100000), " ",IF(INDEX($AO$2:$BQ$1001,MATCH(ROWS($AH$2:AH264),$AH$2:$AH$1001,0),MATCH(COLUMNS($AO$1006:BD1006),$AO$1006:$BQ$1006,0)), HYPERLINK("#",""), HYPERLINK(CONCATENATE("#Metadata!", ADDRESS(INDEX($AJ$2:$AJ$1001,MATCH(ROWS($AH$2:AH264),$AH$2:$AH$1001,0),0), INDEX($AO$1004:$BQ$1004,1,MATCH(COLUMNS($AO$1006:BD1006),$AO$1006:$BQ$1006,0)))),"Fix")))</f>
        <v>#N/A</v>
      </c>
      <c r="R264" s="5" t="e">
        <f ca="1">IF(OR(INDEX($AI$2:$AI$1001,MATCH(ROWS($AH$2:AH264),$AH$2:$AH$1001,0),1)&gt;=100000,INDEX($AO$1005:$BQ$1005,1,MATCH(COLUMNS($AO$1006:BE1006),$AO$1006:$BQ$1006,0))&gt;=100000), " ",IF(INDEX($AO$2:$BQ$1001,MATCH(ROWS($AH$2:AH264),$AH$2:$AH$1001,0),MATCH(COLUMNS($AO$1006:BE1006),$AO$1006:$BQ$1006,0)), HYPERLINK("#",""), HYPERLINK(CONCATENATE("#Metadata!", ADDRESS(INDEX($AJ$2:$AJ$1001,MATCH(ROWS($AH$2:AH264),$AH$2:$AH$1001,0),0), INDEX($AO$1004:$BQ$1004,1,MATCH(COLUMNS($AO$1006:BE1006),$AO$1006:$BQ$1006,0)))),"Fix")))</f>
        <v>#N/A</v>
      </c>
      <c r="S264" s="5" t="e">
        <f ca="1">IF(OR(INDEX($AI$2:$AI$1001,MATCH(ROWS($AH$2:AH264),$AH$2:$AH$1001,0),1)&gt;=100000,INDEX($AO$1005:$BQ$1005,1,MATCH(COLUMNS($AO$1006:BF1006),$AO$1006:$BQ$1006,0))&gt;=100000), " ",IF(INDEX($AO$2:$BQ$1001,MATCH(ROWS($AH$2:AH264),$AH$2:$AH$1001,0),MATCH(COLUMNS($AO$1006:BF1006),$AO$1006:$BQ$1006,0)), HYPERLINK("#",""), HYPERLINK(CONCATENATE("#Metadata!", ADDRESS(INDEX($AJ$2:$AJ$1001,MATCH(ROWS($AH$2:AH264),$AH$2:$AH$1001,0),0), INDEX($AO$1004:$BQ$1004,1,MATCH(COLUMNS($AO$1006:BF1006),$AO$1006:$BQ$1006,0)))),"Fix")))</f>
        <v>#N/A</v>
      </c>
      <c r="T264" s="5" t="e">
        <f ca="1">IF(OR(INDEX($AI$2:$AI$1001,MATCH(ROWS($AH$2:AH264),$AH$2:$AH$1001,0),1)&gt;=100000,INDEX($AO$1005:$BQ$1005,1,MATCH(COLUMNS($AO$1006:BG1006),$AO$1006:$BQ$1006,0))&gt;=100000), " ",IF(INDEX($AO$2:$BQ$1001,MATCH(ROWS($AH$2:AH264),$AH$2:$AH$1001,0),MATCH(COLUMNS($AO$1006:BG1006),$AO$1006:$BQ$1006,0)), HYPERLINK("#",""), HYPERLINK(CONCATENATE("#Metadata!", ADDRESS(INDEX($AJ$2:$AJ$1001,MATCH(ROWS($AH$2:AH264),$AH$2:$AH$1001,0),0), INDEX($AO$1004:$BQ$1004,1,MATCH(COLUMNS($AO$1006:BG1006),$AO$1006:$BQ$1006,0)))),"Fix")))</f>
        <v>#N/A</v>
      </c>
      <c r="U264" s="5" t="e">
        <f ca="1">IF(OR(INDEX($AI$2:$AI$1001,MATCH(ROWS($AH$2:AH264),$AH$2:$AH$1001,0),1)&gt;=100000,INDEX($AO$1005:$BQ$1005,1,MATCH(COLUMNS($AO$1006:BH1006),$AO$1006:$BQ$1006,0))&gt;=100000), " ",IF(INDEX($AO$2:$BQ$1001,MATCH(ROWS($AH$2:AH264),$AH$2:$AH$1001,0),MATCH(COLUMNS($AO$1006:BH1006),$AO$1006:$BQ$1006,0)), HYPERLINK("#",""), HYPERLINK(CONCATENATE("#Metadata!", ADDRESS(INDEX($AJ$2:$AJ$1001,MATCH(ROWS($AH$2:AH264),$AH$2:$AH$1001,0),0), INDEX($AO$1004:$BQ$1004,1,MATCH(COLUMNS($AO$1006:BH1006),$AO$1006:$BQ$1006,0)))),"Fix")))</f>
        <v>#N/A</v>
      </c>
      <c r="V264" s="5" t="e">
        <f ca="1">IF(OR(INDEX($AI$2:$AI$1001,MATCH(ROWS($AH$2:AH264),$AH$2:$AH$1001,0),1)&gt;=100000,INDEX($AO$1005:$BQ$1005,1,MATCH(COLUMNS($AO$1006:BI1006),$AO$1006:$BQ$1006,0))&gt;=100000), " ",IF(INDEX($AO$2:$BQ$1001,MATCH(ROWS($AH$2:AH264),$AH$2:$AH$1001,0),MATCH(COLUMNS($AO$1006:BI1006),$AO$1006:$BQ$1006,0)), HYPERLINK("#",""), HYPERLINK(CONCATENATE("#Metadata!", ADDRESS(INDEX($AJ$2:$AJ$1001,MATCH(ROWS($AH$2:AH264),$AH$2:$AH$1001,0),0), INDEX($AO$1004:$BQ$1004,1,MATCH(COLUMNS($AO$1006:BI1006),$AO$1006:$BQ$1006,0)))),"Fix")))</f>
        <v>#N/A</v>
      </c>
      <c r="W264" s="5" t="e">
        <f ca="1">IF(OR(INDEX($AI$2:$AI$1001,MATCH(ROWS($AH$2:AH264),$AH$2:$AH$1001,0),1)&gt;=100000,INDEX($AO$1005:$BQ$1005,1,MATCH(COLUMNS($AO$1006:BJ1006),$AO$1006:$BQ$1006,0))&gt;=100000), " ",IF(INDEX($AO$2:$BQ$1001,MATCH(ROWS($AH$2:AH264),$AH$2:$AH$1001,0),MATCH(COLUMNS($AO$1006:BJ1006),$AO$1006:$BQ$1006,0)), HYPERLINK("#",""), HYPERLINK(CONCATENATE("#Metadata!", ADDRESS(INDEX($AJ$2:$AJ$1001,MATCH(ROWS($AH$2:AH264),$AH$2:$AH$1001,0),0), INDEX($AO$1004:$BQ$1004,1,MATCH(COLUMNS($AO$1006:BJ1006),$AO$1006:$BQ$1006,0)))),"Fix")))</f>
        <v>#N/A</v>
      </c>
      <c r="X264" s="5" t="e">
        <f ca="1">IF(OR(INDEX($AI$2:$AI$1001,MATCH(ROWS($AH$2:AH264),$AH$2:$AH$1001,0),1)&gt;=100000,INDEX($AO$1005:$BQ$1005,1,MATCH(COLUMNS($AO$1006:BK1006),$AO$1006:$BQ$1006,0))&gt;=100000), " ",IF(INDEX($AO$2:$BQ$1001,MATCH(ROWS($AH$2:AH264),$AH$2:$AH$1001,0),MATCH(COLUMNS($AO$1006:BK1006),$AO$1006:$BQ$1006,0)), HYPERLINK("#",""), HYPERLINK(CONCATENATE("#Metadata!", ADDRESS(INDEX($AJ$2:$AJ$1001,MATCH(ROWS($AH$2:AH264),$AH$2:$AH$1001,0),0), INDEX($AO$1004:$BQ$1004,1,MATCH(COLUMNS($AO$1006:BK1006),$AO$1006:$BQ$1006,0)))),"Fix")))</f>
        <v>#N/A</v>
      </c>
      <c r="Y264" s="5" t="e">
        <f ca="1">IF(OR(INDEX($AI$2:$AI$1001,MATCH(ROWS($AH$2:AH264),$AH$2:$AH$1001,0),1)&gt;=100000,INDEX($AO$1005:$BQ$1005,1,MATCH(COLUMNS($AO$1006:BL1006),$AO$1006:$BQ$1006,0))&gt;=100000), " ",IF(INDEX($AO$2:$BQ$1001,MATCH(ROWS($AH$2:AH264),$AH$2:$AH$1001,0),MATCH(COLUMNS($AO$1006:BL1006),$AO$1006:$BQ$1006,0)), HYPERLINK("#",""), HYPERLINK(CONCATENATE("#Metadata!", ADDRESS(INDEX($AJ$2:$AJ$1001,MATCH(ROWS($AH$2:AH264),$AH$2:$AH$1001,0),0), INDEX($AO$1004:$BQ$1004,1,MATCH(COLUMNS($AO$1006:BL1006),$AO$1006:$BQ$1006,0)))),"Fix")))</f>
        <v>#N/A</v>
      </c>
      <c r="Z264" s="5" t="e">
        <f ca="1">IF(OR(INDEX($AI$2:$AI$1001,MATCH(ROWS($AH$2:AH264),$AH$2:$AH$1001,0),1)&gt;=100000,INDEX($AO$1005:$BQ$1005,1,MATCH(COLUMNS($AO$1006:BM1006),$AO$1006:$BQ$1006,0))&gt;=100000), " ",IF(INDEX($AO$2:$BQ$1001,MATCH(ROWS($AH$2:AH264),$AH$2:$AH$1001,0),MATCH(COLUMNS($AO$1006:BM1006),$AO$1006:$BQ$1006,0)), HYPERLINK("#",""), HYPERLINK(CONCATENATE("#Metadata!", ADDRESS(INDEX($AJ$2:$AJ$1001,MATCH(ROWS($AH$2:AH264),$AH$2:$AH$1001,0),0), INDEX($AO$1004:$BQ$1004,1,MATCH(COLUMNS($AO$1006:BM1006),$AO$1006:$BQ$1006,0)))),"Fix")))</f>
        <v>#N/A</v>
      </c>
      <c r="AA264" s="5" t="e">
        <f ca="1">IF(OR(INDEX($AI$2:$AI$1001,MATCH(ROWS($AH$2:AH264),$AH$2:$AH$1001,0),1)&gt;=100000,INDEX($AO$1005:$BQ$1005,1,MATCH(COLUMNS($AO$1006:BN1006),$AO$1006:$BQ$1006,0))&gt;=100000), " ",IF(INDEX($AO$2:$BQ$1001,MATCH(ROWS($AH$2:AH264),$AH$2:$AH$1001,0),MATCH(COLUMNS($AO$1006:BN1006),$AO$1006:$BQ$1006,0)), HYPERLINK("#",""), HYPERLINK(CONCATENATE("#Metadata!", ADDRESS(INDEX($AJ$2:$AJ$1001,MATCH(ROWS($AH$2:AH264),$AH$2:$AH$1001,0),0), INDEX($AO$1004:$BQ$1004,1,MATCH(COLUMNS($AO$1006:BN1006),$AO$1006:$BQ$1006,0)))),"Fix")))</f>
        <v>#N/A</v>
      </c>
      <c r="AB264" s="5" t="e">
        <f ca="1">IF(OR(INDEX($AI$2:$AI$1001,MATCH(ROWS($AH$2:AH264),$AH$2:$AH$1001,0),1)&gt;=100000,INDEX($AO$1005:$BQ$1005,1,MATCH(COLUMNS($AO$1006:BO1006),$AO$1006:$BQ$1006,0))&gt;=100000), " ",IF(INDEX($AO$2:$BQ$1001,MATCH(ROWS($AH$2:AH264),$AH$2:$AH$1001,0),MATCH(COLUMNS($AO$1006:BO1006),$AO$1006:$BQ$1006,0)), HYPERLINK("#",""), HYPERLINK(CONCATENATE("#Metadata!", ADDRESS(INDEX($AJ$2:$AJ$1001,MATCH(ROWS($AH$2:AH264),$AH$2:$AH$1001,0),0), INDEX($AO$1004:$BQ$1004,1,MATCH(COLUMNS($AO$1006:BO1006),$AO$1006:$BQ$1006,0)))),"Fix")))</f>
        <v>#N/A</v>
      </c>
      <c r="AC264" s="5" t="e">
        <f ca="1">IF(OR(INDEX($AI$2:$AI$1001,MATCH(ROWS($AH$2:AH264),$AH$2:$AH$1001,0),1)&gt;=100000,INDEX($AO$1005:$BQ$1005,1,MATCH(COLUMNS($AO$1006:BP1006),$AO$1006:$BQ$1006,0))&gt;=100000), " ",IF(INDEX($AO$2:$BQ$1001,MATCH(ROWS($AH$2:AH264),$AH$2:$AH$1001,0),MATCH(COLUMNS($AO$1006:BP1006),$AO$1006:$BQ$1006,0)), HYPERLINK("#",""), HYPERLINK(CONCATENATE("#Metadata!", ADDRESS(INDEX($AJ$2:$AJ$1001,MATCH(ROWS($AH$2:AH264),$AH$2:$AH$1001,0),0), INDEX($AO$1004:$BQ$1004,1,MATCH(COLUMNS($AO$1006:BP1006),$AO$1006:$BQ$1006,0)))),"Fix")))</f>
        <v>#N/A</v>
      </c>
      <c r="AD264" s="5" t="e">
        <f ca="1">IF(OR(INDEX($AI$2:$AI$1001,MATCH(ROWS($AH$2:AH264),$AH$2:$AH$1001,0),1)&gt;=100000,INDEX($AO$1005:$BQ$1005,1,MATCH(COLUMNS($AO$1006:BQ1006),$AO$1006:$BQ$1006,0))&gt;=100000), " ",IF(INDEX($AO$2:$BQ$1001,MATCH(ROWS($AH$2:AH264),$AH$2:$AH$1001,0),MATCH(COLUMNS($AO$1006:BQ1006),$AO$1006:$BQ$1006,0)), HYPERLINK("#",""), HYPERLINK(CONCATENATE("#Metadata!", ADDRESS(INDEX($AJ$2:$AJ$1001,MATCH(ROWS($AH$2:AH264),$AH$2:$AH$1001,0),0), INDEX($AO$1004:$BQ$1004,1,MATCH(COLUMNS($AO$1006:BQ1006),$AO$1006:$BQ$1006,0)))),"Fix")))</f>
        <v>#REF!</v>
      </c>
      <c r="AH264">
        <f ca="1"/>
        <v>261</v>
      </c>
      <c r="AI264">
        <v>100264</v>
      </c>
      <c r="AJ264">
        <v>264</v>
      </c>
      <c r="AK264" t="b">
        <f t="shared" si="4"/>
        <v>1</v>
      </c>
      <c r="AL264" t="b">
        <f>COUNTBLANK(Metadata!B264:AD264)=COLUMNS(Metadata!B264:AD264)</f>
        <v>1</v>
      </c>
      <c r="AM264" t="str">
        <v/>
      </c>
      <c r="AO264" t="b">
        <f ca="1">AND(IF(Metadata!B264="",FALSE,TRUE),COUNTIF(Metadata!B:B, Metadata!B264) = 1,NOT(ISERROR(SUMPRODUCT(SEARCH(MID(Metadata!B264,ROW(INDIRECT("1:"&amp;LEN(Metadata!B264))), 1),"0123456789abcdefghijklmnopqrstuvwxyzABCDEFGHIJKLMNOPQRSTUVWXYZ.")))))</f>
        <v>0</v>
      </c>
      <c r="AP264" t="b">
        <f>IF(Metadata!C264="",FALSE,TRUE)</f>
        <v>0</v>
      </c>
      <c r="AQ264" t="b">
        <f>IF(Metadata!D264="",FALSE,TRUE)</f>
        <v>0</v>
      </c>
      <c r="AR264" t="b">
        <f ca="1">OR(AND(IF(Metadata!E264="",FALSE,TRUE),OR(EXACT(Metadata!E264,"not collected"),EXACT(Metadata!E264,"not provided"),EXACT(Metadata!E264,"restricted access"))),AND(IF(Metadata!E264="",FALSE,TRUE),AND(AND(IFERROR(INT(LEFT(Metadata!E264,4))&gt;1900,FALSE),IFERROR(INT(LEFT(Metadata!E264,4))&lt;=YEAR(NOW()),FALSE)), OR(MID(Metadata!E264,5,1)="", AND(AND(MID(Metadata!E264,5,1)="-",IFERROR(INT(MID(Metadata!E264,6,1))&gt;=0,FALSE),IFERROR(INT(MID(Metadata!E264,6,1))&lt;=1,FALSE),NOT(MID(Metadata!E264,7,1)=""),IFERROR(INT(MID(Metadata!E264,6,2))&gt;=1,FALSE),IFERROR(INT(MID(Metadata!E264,6,2))&lt;=12,FALSE)), OR(MID(Metadata!E264,8,1)="", AND(AND(MID(Metadata!E264,8,1)="-",IFERROR(INT(MID(Metadata!E264,9,1))&gt;=0,FALSE),IFERROR(INT(MID(Metadata!E264,9,1))&lt;=3,FALSE),NOT(MID(Metadata!E264,10,1)=""),IFERROR(INT(MID(Metadata!E264,9,2))&gt;=1,FALSE),IFERROR(INT(MID(Metadata!E264,9,2))&lt;=31,FALSE)), OR(MID(Metadata!E264,11,1)="", AND(AND(MID(Metadata!E264,11,1)=" ",IFERROR(INT(MID(Metadata!E264,12,1))&gt;=0,FALSE),IFERROR(INT(MID(Metadata!E264,12,1))&lt;=2,FALSE),NOT(MID(Metadata!E264,13,1)=""),IFERROR(INT(MID(Metadata!E264,12,2))&gt;=0,FALSE),IFERROR(INT(MID(Metadata!E264,12,2))&lt;=23,FALSE)), OR(MID(Metadata!E264,14,1)="", AND(AND(MID(Metadata!E264,14,1)=":",IFERROR(INT(MID(Metadata!E264,15,1))&gt;=0,FALSE),IFERROR(INT(MID(Metadata!E264,15,1))&lt;=5,FALSE),NOT(MID(Metadata!E264,16,1)=""),IFERROR(INT(MID(Metadata!E264,15,2))&gt;=0,FALSE),IFERROR(INT(MID(Metadata!E264,15,2))&lt;=59,FALSE)), OR(MID(Metadata!E264,17,1)="", AND(AND(MID(Metadata!E264,17,1)=":",IFERROR(INT(MID(Metadata!E264,18,1))&gt;=0,FALSE),IFERROR(INT(MID(Metadata!E264,18,1))&lt;=5,FALSE),NOT(MID(Metadata!E264,19,1)=""),IFERROR(INT(MID(Metadata!E264,18,2))&gt;=0,FALSE),IFERROR(INT(MID(Metadata!E264,18,2))&lt;=59,FALSE)), LEN(Metadata!E264)&lt;=19)))))))))))))</f>
        <v>0</v>
      </c>
      <c r="AS264" t="b">
        <f>IF(Metadata!F264="",FALSE,TRUE)</f>
        <v>0</v>
      </c>
      <c r="AT264" t="b">
        <f>OR(AND(IF(Metadata!G264="",FALSE,TRUE),OR(EXACT(Metadata!G264,"not collected"),EXACT(Metadata!G264,"not provided"))),AND(IF(Metadata!G264="",FALSE,TRUE),OR(EXACT(Metadata!G264,"TRUE"),EXACT(Metadata!G264,"FALSE"))))</f>
        <v>0</v>
      </c>
      <c r="AU264" t="b">
        <f>OR(AND(IF(Metadata!H264="",FALSE,TRUE),OR(EXACT(Metadata!H264,"not collected"),EXACT(Metadata!H264,"not provided"),EXACT(Metadata!H264,"restricted access"))),AND(IF(Metadata!H264="",FALSE,ISNUMBER(VALUE(Metadata!H264))),Metadata!H264&gt;=-413))</f>
        <v>0</v>
      </c>
      <c r="AV264" t="b">
        <f>AND(IF(Metadata!I264="",FALSE,TRUE),EXACT(Metadata!I264,"meters"))</f>
        <v>0</v>
      </c>
      <c r="AW264" t="b">
        <f>AND(IF(Metadata!J264="",FALSE,TRUE),EXACT(Metadata!J264,"free-living"))</f>
        <v>0</v>
      </c>
      <c r="AX264" t="b">
        <f>AND(IF(Metadata!K264="",FALSE,TRUE),OR(EXACT(Metadata!K264,"saline"),EXACT(Metadata!K264,"non-saline")))</f>
        <v>0</v>
      </c>
      <c r="AY264" t="b">
        <f>AND(IF(Metadata!L264="",FALSE,TRUE),OR(EXACT(Metadata!L264,"sub-surface (non-saline)"),EXACT(Metadata!L264,"surface (non-saline)"),EXACT(Metadata!L264,"water (non-saline)"),EXACT(Metadata!L264,"soil (non-saline)"),EXACT(Metadata!L264,"aerosol (non-saline)"),EXACT(Metadata!L264,"sediment (non-saline)"),EXACT(Metadata!L264,"surface (saline)"),EXACT(Metadata!L264,"water (saline)"),EXACT(Metadata!L264,"hypersaline (saline)"),EXACT(Metadata!L264,"aerosol (saline)"),EXACT(Metadata!L264,"sediment (saline)")))</f>
        <v>0</v>
      </c>
      <c r="AZ264" t="b">
        <f>IF(Metadata!M264="",FALSE,TRUE)</f>
        <v>0</v>
      </c>
      <c r="BA264" t="b">
        <f>IF(Metadata!N264="",FALSE,TRUE)</f>
        <v>0</v>
      </c>
      <c r="BB264" t="b">
        <f>IF(Metadata!O264="",FALSE,TRUE)</f>
        <v>0</v>
      </c>
      <c r="BC264" t="b">
        <f>AND(IF(Metadata!P264="",FALSE,TRUE),OR(EXACT(Metadata!P264,"air"),EXACT(Metadata!P264,"microbial mat/biofilm"),EXACT(Metadata!P264,"misc environment"),EXACT(Metadata!P264,"sediment"),EXACT(Metadata!P264,"soil"),EXACT(Metadata!P264,"wastewater/sludge"),EXACT(Metadata!P264,"water")))</f>
        <v>0</v>
      </c>
      <c r="BD264" t="b">
        <f>IF(Metadata!Q264="",FALSE,TRUE)</f>
        <v>0</v>
      </c>
      <c r="BE264" t="b">
        <f>IF(Metadata!R264="",FALSE,TRUE)</f>
        <v>0</v>
      </c>
      <c r="BF264" t="b">
        <f>OR(AND(IF(Metadata!S264="",FALSE,TRUE),OR(EXACT(Metadata!S264,"not collected"),EXACT(Metadata!S264,"not provided"),EXACT(Metadata!S264,"restricted access"))),AND(IF(Metadata!S264="",FALSE,ISNUMBER(VALUE(Metadata!S264))),Metadata!S264&gt;=-90,Metadata!S264&lt;=90))</f>
        <v>0</v>
      </c>
      <c r="BG264" t="b">
        <f>AND(IF(Metadata!T264="",FALSE,TRUE),EXACT(Metadata!T264,"Decimal degrees"))</f>
        <v>0</v>
      </c>
      <c r="BH264" t="b">
        <f>OR(AND(IF(Metadata!U264="",FALSE,TRUE),OR(EXACT(Metadata!U264,"not applicable"),EXACT(Metadata!U264,"not collected"))),IF(Metadata!U264="",FALSE,TRUE))</f>
        <v>0</v>
      </c>
      <c r="BI264" t="b">
        <f>OR(AND(IF(Metadata!V264="",FALSE,TRUE),OR(EXACT(Metadata!V264,"not collected"),EXACT(Metadata!V264,"not provided"),EXACT(Metadata!V264,"restricted access"))),AND(IF(Metadata!V264="",FALSE,ISNUMBER(VALUE(Metadata!V264))),Metadata!V264&gt;=-180,Metadata!V264&lt;=180))</f>
        <v>0</v>
      </c>
      <c r="BJ264" t="b">
        <f>AND(IF(Metadata!W264="",FALSE,TRUE),EXACT(Metadata!W264,"Decimal degrees"))</f>
        <v>0</v>
      </c>
      <c r="BK264" t="b">
        <f>IF(Metadata!X264="",FALSE,TRUE)</f>
        <v>0</v>
      </c>
      <c r="BL264" t="b">
        <f>OR(AND(IF(Metadata!Y264="",FALSE,TRUE),OR(EXACT(Metadata!Y264,"not collected"),EXACT(Metadata!Y264,"not provided"),EXACT(Metadata!Y264,"restricted access"))),AND(IF(Metadata!Y264="",FALSE,TRUE),OR(EXACT(Metadata!Y264,"TRUE"),EXACT(Metadata!Y264,"FALSE"))))</f>
        <v>0</v>
      </c>
      <c r="BM264" t="b">
        <f>OR(AND(IF(Metadata!Z264="",FALSE,TRUE),EXACT(Metadata!Z264,"not applicable")),AND(IF(Metadata!Z264="",FALSE,TRUE),OR(EXACT(Metadata!Z264,"beer"),EXACT(Metadata!Z264,"cheese"),EXACT(Metadata!Z264,"fresh water"),EXACT(Metadata!Z264,"marine sediment"),EXACT(Metadata!Z264,"sea water"),EXACT(Metadata!Z264,"sediment"),EXACT(Metadata!Z264,"soil"),EXACT(Metadata!Z264,"waste water"))))</f>
        <v>0</v>
      </c>
      <c r="BN264" t="b">
        <f>AND(IF(Metadata!AA264="",FALSE,TRUE),EXACT(Metadata!AA264,"metagenome"))</f>
        <v>0</v>
      </c>
      <c r="BO264" t="b">
        <f>AND(IF(Metadata!AB264="",FALSE,TRUE),EXACT(Metadata!AB264,"256318"))</f>
        <v>0</v>
      </c>
      <c r="BP264" t="b">
        <f>IF(Metadata!AC264="",FALSE,TRUE)</f>
        <v>0</v>
      </c>
      <c r="BQ264" t="b">
        <f>IF(Metadata!AD264="",FALSE,TRUE)</f>
        <v>0</v>
      </c>
    </row>
    <row r="265" spans="1:69" x14ac:dyDescent="0.2">
      <c r="A265" s="4" t="e">
        <f ca="1">IF(B265=" "," ",HYPERLINK(CONCATENATE("#metadata!",ADDRESS(INDEX($AJ$2:$AJ$1001,MATCH(ROWS($AH$2:AH265),$AH$2:$AH$1001,0),0),2)),INDEX($AM$2:$AM$1001,MATCH(ROWS($AH$2:AH265),$AH$2:$AH$1001,0),0)))</f>
        <v>#N/A</v>
      </c>
      <c r="B265" s="5" t="e">
        <f ca="1">IF(OR(INDEX($AI$2:$AI$1001,MATCH(ROWS($AH$2:AH265),$AH$2:$AH$1001,0),1)&gt;=100000,INDEX($AO$1005:$BQ$1005,1,MATCH(COLUMNS($AO$1006:AO1006),$AO$1006:$BQ$1006,0))&gt;=100000), " ",IF(INDEX($AO$2:$BQ$1001,MATCH(ROWS($AH$2:AH265),$AH$2:$AH$1001,0),MATCH(COLUMNS($AO$1006:AO1006),$AO$1006:$BQ$1006,0)), HYPERLINK("#",""), HYPERLINK(CONCATENATE("#Metadata!", ADDRESS(INDEX($AJ$2:$AJ$1001,MATCH(ROWS($AH$2:AH265),$AH$2:$AH$1001,0),0), INDEX($AO$1004:$BQ$1004,1,MATCH(COLUMNS($AO$1006:AO1006),$AO$1006:$BQ$1006,0)))),"Fix")))</f>
        <v>#N/A</v>
      </c>
      <c r="C265" s="5" t="e">
        <f ca="1">IF(OR(INDEX($AI$2:$AI$1001,MATCH(ROWS($AH$2:AH265),$AH$2:$AH$1001,0),1)&gt;=100000,INDEX($AO$1005:$BQ$1005,1,MATCH(COLUMNS($AO$1006:AP1006),$AO$1006:$BQ$1006,0))&gt;=100000), " ",IF(INDEX($AO$2:$BQ$1001,MATCH(ROWS($AH$2:AH265),$AH$2:$AH$1001,0),MATCH(COLUMNS($AO$1006:AP1006),$AO$1006:$BQ$1006,0)), HYPERLINK("#",""), HYPERLINK(CONCATENATE("#Metadata!", ADDRESS(INDEX($AJ$2:$AJ$1001,MATCH(ROWS($AH$2:AH265),$AH$2:$AH$1001,0),0), INDEX($AO$1004:$BQ$1004,1,MATCH(COLUMNS($AO$1006:AP1006),$AO$1006:$BQ$1006,0)))),"Fix")))</f>
        <v>#N/A</v>
      </c>
      <c r="D265" s="5" t="e">
        <f ca="1">IF(OR(INDEX($AI$2:$AI$1001,MATCH(ROWS($AH$2:AH265),$AH$2:$AH$1001,0),1)&gt;=100000,INDEX($AO$1005:$BQ$1005,1,MATCH(COLUMNS($AO$1006:AQ1006),$AO$1006:$BQ$1006,0))&gt;=100000), " ",IF(INDEX($AO$2:$BQ$1001,MATCH(ROWS($AH$2:AH265),$AH$2:$AH$1001,0),MATCH(COLUMNS($AO$1006:AQ1006),$AO$1006:$BQ$1006,0)), HYPERLINK("#",""), HYPERLINK(CONCATENATE("#Metadata!", ADDRESS(INDEX($AJ$2:$AJ$1001,MATCH(ROWS($AH$2:AH265),$AH$2:$AH$1001,0),0), INDEX($AO$1004:$BQ$1004,1,MATCH(COLUMNS($AO$1006:AQ1006),$AO$1006:$BQ$1006,0)))),"Fix")))</f>
        <v>#N/A</v>
      </c>
      <c r="E265" s="5" t="e">
        <f ca="1">IF(OR(INDEX($AI$2:$AI$1001,MATCH(ROWS($AH$2:AH265),$AH$2:$AH$1001,0),1)&gt;=100000,INDEX($AO$1005:$BQ$1005,1,MATCH(COLUMNS($AO$1006:AR1006),$AO$1006:$BQ$1006,0))&gt;=100000), " ",IF(INDEX($AO$2:$BQ$1001,MATCH(ROWS($AH$2:AH265),$AH$2:$AH$1001,0),MATCH(COLUMNS($AO$1006:AR1006),$AO$1006:$BQ$1006,0)), HYPERLINK("#",""), HYPERLINK(CONCATENATE("#Metadata!", ADDRESS(INDEX($AJ$2:$AJ$1001,MATCH(ROWS($AH$2:AH265),$AH$2:$AH$1001,0),0), INDEX($AO$1004:$BQ$1004,1,MATCH(COLUMNS($AO$1006:AR1006),$AO$1006:$BQ$1006,0)))),"Fix")))</f>
        <v>#N/A</v>
      </c>
      <c r="F265" s="5" t="e">
        <f ca="1">IF(OR(INDEX($AI$2:$AI$1001,MATCH(ROWS($AH$2:AH265),$AH$2:$AH$1001,0),1)&gt;=100000,INDEX($AO$1005:$BQ$1005,1,MATCH(COLUMNS($AO$1006:AS1006),$AO$1006:$BQ$1006,0))&gt;=100000), " ",IF(INDEX($AO$2:$BQ$1001,MATCH(ROWS($AH$2:AH265),$AH$2:$AH$1001,0),MATCH(COLUMNS($AO$1006:AS1006),$AO$1006:$BQ$1006,0)), HYPERLINK("#",""), HYPERLINK(CONCATENATE("#Metadata!", ADDRESS(INDEX($AJ$2:$AJ$1001,MATCH(ROWS($AH$2:AH265),$AH$2:$AH$1001,0),0), INDEX($AO$1004:$BQ$1004,1,MATCH(COLUMNS($AO$1006:AS1006),$AO$1006:$BQ$1006,0)))),"Fix")))</f>
        <v>#N/A</v>
      </c>
      <c r="G265" s="5" t="e">
        <f ca="1">IF(OR(INDEX($AI$2:$AI$1001,MATCH(ROWS($AH$2:AH265),$AH$2:$AH$1001,0),1)&gt;=100000,INDEX($AO$1005:$BQ$1005,1,MATCH(COLUMNS($AO$1006:AT1006),$AO$1006:$BQ$1006,0))&gt;=100000), " ",IF(INDEX($AO$2:$BQ$1001,MATCH(ROWS($AH$2:AH265),$AH$2:$AH$1001,0),MATCH(COLUMNS($AO$1006:AT1006),$AO$1006:$BQ$1006,0)), HYPERLINK("#",""), HYPERLINK(CONCATENATE("#Metadata!", ADDRESS(INDEX($AJ$2:$AJ$1001,MATCH(ROWS($AH$2:AH265),$AH$2:$AH$1001,0),0), INDEX($AO$1004:$BQ$1004,1,MATCH(COLUMNS($AO$1006:AT1006),$AO$1006:$BQ$1006,0)))),"Fix")))</f>
        <v>#N/A</v>
      </c>
      <c r="H265" s="5" t="e">
        <f ca="1">IF(OR(INDEX($AI$2:$AI$1001,MATCH(ROWS($AH$2:AH265),$AH$2:$AH$1001,0),1)&gt;=100000,INDEX($AO$1005:$BQ$1005,1,MATCH(COLUMNS($AO$1006:AU1006),$AO$1006:$BQ$1006,0))&gt;=100000), " ",IF(INDEX($AO$2:$BQ$1001,MATCH(ROWS($AH$2:AH265),$AH$2:$AH$1001,0),MATCH(COLUMNS($AO$1006:AU1006),$AO$1006:$BQ$1006,0)), HYPERLINK("#",""), HYPERLINK(CONCATENATE("#Metadata!", ADDRESS(INDEX($AJ$2:$AJ$1001,MATCH(ROWS($AH$2:AH265),$AH$2:$AH$1001,0),0), INDEX($AO$1004:$BQ$1004,1,MATCH(COLUMNS($AO$1006:AU1006),$AO$1006:$BQ$1006,0)))),"Fix")))</f>
        <v>#N/A</v>
      </c>
      <c r="I265" s="5" t="e">
        <f ca="1">IF(OR(INDEX($AI$2:$AI$1001,MATCH(ROWS($AH$2:AH265),$AH$2:$AH$1001,0),1)&gt;=100000,INDEX($AO$1005:$BQ$1005,1,MATCH(COLUMNS($AO$1006:AV1006),$AO$1006:$BQ$1006,0))&gt;=100000), " ",IF(INDEX($AO$2:$BQ$1001,MATCH(ROWS($AH$2:AH265),$AH$2:$AH$1001,0),MATCH(COLUMNS($AO$1006:AV1006),$AO$1006:$BQ$1006,0)), HYPERLINK("#",""), HYPERLINK(CONCATENATE("#Metadata!", ADDRESS(INDEX($AJ$2:$AJ$1001,MATCH(ROWS($AH$2:AH265),$AH$2:$AH$1001,0),0), INDEX($AO$1004:$BQ$1004,1,MATCH(COLUMNS($AO$1006:AV1006),$AO$1006:$BQ$1006,0)))),"Fix")))</f>
        <v>#N/A</v>
      </c>
      <c r="J265" s="5" t="e">
        <f ca="1">IF(OR(INDEX($AI$2:$AI$1001,MATCH(ROWS($AH$2:AH265),$AH$2:$AH$1001,0),1)&gt;=100000,INDEX($AO$1005:$BQ$1005,1,MATCH(COLUMNS($AO$1006:AW1006),$AO$1006:$BQ$1006,0))&gt;=100000), " ",IF(INDEX($AO$2:$BQ$1001,MATCH(ROWS($AH$2:AH265),$AH$2:$AH$1001,0),MATCH(COLUMNS($AO$1006:AW1006),$AO$1006:$BQ$1006,0)), HYPERLINK("#",""), HYPERLINK(CONCATENATE("#Metadata!", ADDRESS(INDEX($AJ$2:$AJ$1001,MATCH(ROWS($AH$2:AH265),$AH$2:$AH$1001,0),0), INDEX($AO$1004:$BQ$1004,1,MATCH(COLUMNS($AO$1006:AW1006),$AO$1006:$BQ$1006,0)))),"Fix")))</f>
        <v>#N/A</v>
      </c>
      <c r="K265" s="5" t="e">
        <f ca="1">IF(OR(INDEX($AI$2:$AI$1001,MATCH(ROWS($AH$2:AH265),$AH$2:$AH$1001,0),1)&gt;=100000,INDEX($AO$1005:$BQ$1005,1,MATCH(COLUMNS($AO$1006:AX1006),$AO$1006:$BQ$1006,0))&gt;=100000), " ",IF(INDEX($AO$2:$BQ$1001,MATCH(ROWS($AH$2:AH265),$AH$2:$AH$1001,0),MATCH(COLUMNS($AO$1006:AX1006),$AO$1006:$BQ$1006,0)), HYPERLINK("#",""), HYPERLINK(CONCATENATE("#Metadata!", ADDRESS(INDEX($AJ$2:$AJ$1001,MATCH(ROWS($AH$2:AH265),$AH$2:$AH$1001,0),0), INDEX($AO$1004:$BQ$1004,1,MATCH(COLUMNS($AO$1006:AX1006),$AO$1006:$BQ$1006,0)))),"Fix")))</f>
        <v>#N/A</v>
      </c>
      <c r="L265" s="5" t="e">
        <f ca="1">IF(OR(INDEX($AI$2:$AI$1001,MATCH(ROWS($AH$2:AH265),$AH$2:$AH$1001,0),1)&gt;=100000,INDEX($AO$1005:$BQ$1005,1,MATCH(COLUMNS($AO$1006:AY1006),$AO$1006:$BQ$1006,0))&gt;=100000), " ",IF(INDEX($AO$2:$BQ$1001,MATCH(ROWS($AH$2:AH265),$AH$2:$AH$1001,0),MATCH(COLUMNS($AO$1006:AY1006),$AO$1006:$BQ$1006,0)), HYPERLINK("#",""), HYPERLINK(CONCATENATE("#Metadata!", ADDRESS(INDEX($AJ$2:$AJ$1001,MATCH(ROWS($AH$2:AH265),$AH$2:$AH$1001,0),0), INDEX($AO$1004:$BQ$1004,1,MATCH(COLUMNS($AO$1006:AY1006),$AO$1006:$BQ$1006,0)))),"Fix")))</f>
        <v>#N/A</v>
      </c>
      <c r="M265" s="5" t="e">
        <f ca="1">IF(OR(INDEX($AI$2:$AI$1001,MATCH(ROWS($AH$2:AH265),$AH$2:$AH$1001,0),1)&gt;=100000,INDEX($AO$1005:$BQ$1005,1,MATCH(COLUMNS($AO$1006:AZ1006),$AO$1006:$BQ$1006,0))&gt;=100000), " ",IF(INDEX($AO$2:$BQ$1001,MATCH(ROWS($AH$2:AH265),$AH$2:$AH$1001,0),MATCH(COLUMNS($AO$1006:AZ1006),$AO$1006:$BQ$1006,0)), HYPERLINK("#",""), HYPERLINK(CONCATENATE("#Metadata!", ADDRESS(INDEX($AJ$2:$AJ$1001,MATCH(ROWS($AH$2:AH265),$AH$2:$AH$1001,0),0), INDEX($AO$1004:$BQ$1004,1,MATCH(COLUMNS($AO$1006:AZ1006),$AO$1006:$BQ$1006,0)))),"Fix")))</f>
        <v>#N/A</v>
      </c>
      <c r="N265" s="5" t="e">
        <f ca="1">IF(OR(INDEX($AI$2:$AI$1001,MATCH(ROWS($AH$2:AH265),$AH$2:$AH$1001,0),1)&gt;=100000,INDEX($AO$1005:$BQ$1005,1,MATCH(COLUMNS($AO$1006:BA1006),$AO$1006:$BQ$1006,0))&gt;=100000), " ",IF(INDEX($AO$2:$BQ$1001,MATCH(ROWS($AH$2:AH265),$AH$2:$AH$1001,0),MATCH(COLUMNS($AO$1006:BA1006),$AO$1006:$BQ$1006,0)), HYPERLINK("#",""), HYPERLINK(CONCATENATE("#Metadata!", ADDRESS(INDEX($AJ$2:$AJ$1001,MATCH(ROWS($AH$2:AH265),$AH$2:$AH$1001,0),0), INDEX($AO$1004:$BQ$1004,1,MATCH(COLUMNS($AO$1006:BA1006),$AO$1006:$BQ$1006,0)))),"Fix")))</f>
        <v>#N/A</v>
      </c>
      <c r="O265" s="5" t="e">
        <f ca="1">IF(OR(INDEX($AI$2:$AI$1001,MATCH(ROWS($AH$2:AH265),$AH$2:$AH$1001,0),1)&gt;=100000,INDEX($AO$1005:$BQ$1005,1,MATCH(COLUMNS($AO$1006:BB1006),$AO$1006:$BQ$1006,0))&gt;=100000), " ",IF(INDEX($AO$2:$BQ$1001,MATCH(ROWS($AH$2:AH265),$AH$2:$AH$1001,0),MATCH(COLUMNS($AO$1006:BB1006),$AO$1006:$BQ$1006,0)), HYPERLINK("#",""), HYPERLINK(CONCATENATE("#Metadata!", ADDRESS(INDEX($AJ$2:$AJ$1001,MATCH(ROWS($AH$2:AH265),$AH$2:$AH$1001,0),0), INDEX($AO$1004:$BQ$1004,1,MATCH(COLUMNS($AO$1006:BB1006),$AO$1006:$BQ$1006,0)))),"Fix")))</f>
        <v>#N/A</v>
      </c>
      <c r="P265" s="5" t="e">
        <f ca="1">IF(OR(INDEX($AI$2:$AI$1001,MATCH(ROWS($AH$2:AH265),$AH$2:$AH$1001,0),1)&gt;=100000,INDEX($AO$1005:$BQ$1005,1,MATCH(COLUMNS($AO$1006:BC1006),$AO$1006:$BQ$1006,0))&gt;=100000), " ",IF(INDEX($AO$2:$BQ$1001,MATCH(ROWS($AH$2:AH265),$AH$2:$AH$1001,0),MATCH(COLUMNS($AO$1006:BC1006),$AO$1006:$BQ$1006,0)), HYPERLINK("#",""), HYPERLINK(CONCATENATE("#Metadata!", ADDRESS(INDEX($AJ$2:$AJ$1001,MATCH(ROWS($AH$2:AH265),$AH$2:$AH$1001,0),0), INDEX($AO$1004:$BQ$1004,1,MATCH(COLUMNS($AO$1006:BC1006),$AO$1006:$BQ$1006,0)))),"Fix")))</f>
        <v>#N/A</v>
      </c>
      <c r="Q265" s="5" t="e">
        <f ca="1">IF(OR(INDEX($AI$2:$AI$1001,MATCH(ROWS($AH$2:AH265),$AH$2:$AH$1001,0),1)&gt;=100000,INDEX($AO$1005:$BQ$1005,1,MATCH(COLUMNS($AO$1006:BD1006),$AO$1006:$BQ$1006,0))&gt;=100000), " ",IF(INDEX($AO$2:$BQ$1001,MATCH(ROWS($AH$2:AH265),$AH$2:$AH$1001,0),MATCH(COLUMNS($AO$1006:BD1006),$AO$1006:$BQ$1006,0)), HYPERLINK("#",""), HYPERLINK(CONCATENATE("#Metadata!", ADDRESS(INDEX($AJ$2:$AJ$1001,MATCH(ROWS($AH$2:AH265),$AH$2:$AH$1001,0),0), INDEX($AO$1004:$BQ$1004,1,MATCH(COLUMNS($AO$1006:BD1006),$AO$1006:$BQ$1006,0)))),"Fix")))</f>
        <v>#N/A</v>
      </c>
      <c r="R265" s="5" t="e">
        <f ca="1">IF(OR(INDEX($AI$2:$AI$1001,MATCH(ROWS($AH$2:AH265),$AH$2:$AH$1001,0),1)&gt;=100000,INDEX($AO$1005:$BQ$1005,1,MATCH(COLUMNS($AO$1006:BE1006),$AO$1006:$BQ$1006,0))&gt;=100000), " ",IF(INDEX($AO$2:$BQ$1001,MATCH(ROWS($AH$2:AH265),$AH$2:$AH$1001,0),MATCH(COLUMNS($AO$1006:BE1006),$AO$1006:$BQ$1006,0)), HYPERLINK("#",""), HYPERLINK(CONCATENATE("#Metadata!", ADDRESS(INDEX($AJ$2:$AJ$1001,MATCH(ROWS($AH$2:AH265),$AH$2:$AH$1001,0),0), INDEX($AO$1004:$BQ$1004,1,MATCH(COLUMNS($AO$1006:BE1006),$AO$1006:$BQ$1006,0)))),"Fix")))</f>
        <v>#N/A</v>
      </c>
      <c r="S265" s="5" t="e">
        <f ca="1">IF(OR(INDEX($AI$2:$AI$1001,MATCH(ROWS($AH$2:AH265),$AH$2:$AH$1001,0),1)&gt;=100000,INDEX($AO$1005:$BQ$1005,1,MATCH(COLUMNS($AO$1006:BF1006),$AO$1006:$BQ$1006,0))&gt;=100000), " ",IF(INDEX($AO$2:$BQ$1001,MATCH(ROWS($AH$2:AH265),$AH$2:$AH$1001,0),MATCH(COLUMNS($AO$1006:BF1006),$AO$1006:$BQ$1006,0)), HYPERLINK("#",""), HYPERLINK(CONCATENATE("#Metadata!", ADDRESS(INDEX($AJ$2:$AJ$1001,MATCH(ROWS($AH$2:AH265),$AH$2:$AH$1001,0),0), INDEX($AO$1004:$BQ$1004,1,MATCH(COLUMNS($AO$1006:BF1006),$AO$1006:$BQ$1006,0)))),"Fix")))</f>
        <v>#N/A</v>
      </c>
      <c r="T265" s="5" t="e">
        <f ca="1">IF(OR(INDEX($AI$2:$AI$1001,MATCH(ROWS($AH$2:AH265),$AH$2:$AH$1001,0),1)&gt;=100000,INDEX($AO$1005:$BQ$1005,1,MATCH(COLUMNS($AO$1006:BG1006),$AO$1006:$BQ$1006,0))&gt;=100000), " ",IF(INDEX($AO$2:$BQ$1001,MATCH(ROWS($AH$2:AH265),$AH$2:$AH$1001,0),MATCH(COLUMNS($AO$1006:BG1006),$AO$1006:$BQ$1006,0)), HYPERLINK("#",""), HYPERLINK(CONCATENATE("#Metadata!", ADDRESS(INDEX($AJ$2:$AJ$1001,MATCH(ROWS($AH$2:AH265),$AH$2:$AH$1001,0),0), INDEX($AO$1004:$BQ$1004,1,MATCH(COLUMNS($AO$1006:BG1006),$AO$1006:$BQ$1006,0)))),"Fix")))</f>
        <v>#N/A</v>
      </c>
      <c r="U265" s="5" t="e">
        <f ca="1">IF(OR(INDEX($AI$2:$AI$1001,MATCH(ROWS($AH$2:AH265),$AH$2:$AH$1001,0),1)&gt;=100000,INDEX($AO$1005:$BQ$1005,1,MATCH(COLUMNS($AO$1006:BH1006),$AO$1006:$BQ$1006,0))&gt;=100000), " ",IF(INDEX($AO$2:$BQ$1001,MATCH(ROWS($AH$2:AH265),$AH$2:$AH$1001,0),MATCH(COLUMNS($AO$1006:BH1006),$AO$1006:$BQ$1006,0)), HYPERLINK("#",""), HYPERLINK(CONCATENATE("#Metadata!", ADDRESS(INDEX($AJ$2:$AJ$1001,MATCH(ROWS($AH$2:AH265),$AH$2:$AH$1001,0),0), INDEX($AO$1004:$BQ$1004,1,MATCH(COLUMNS($AO$1006:BH1006),$AO$1006:$BQ$1006,0)))),"Fix")))</f>
        <v>#N/A</v>
      </c>
      <c r="V265" s="5" t="e">
        <f ca="1">IF(OR(INDEX($AI$2:$AI$1001,MATCH(ROWS($AH$2:AH265),$AH$2:$AH$1001,0),1)&gt;=100000,INDEX($AO$1005:$BQ$1005,1,MATCH(COLUMNS($AO$1006:BI1006),$AO$1006:$BQ$1006,0))&gt;=100000), " ",IF(INDEX($AO$2:$BQ$1001,MATCH(ROWS($AH$2:AH265),$AH$2:$AH$1001,0),MATCH(COLUMNS($AO$1006:BI1006),$AO$1006:$BQ$1006,0)), HYPERLINK("#",""), HYPERLINK(CONCATENATE("#Metadata!", ADDRESS(INDEX($AJ$2:$AJ$1001,MATCH(ROWS($AH$2:AH265),$AH$2:$AH$1001,0),0), INDEX($AO$1004:$BQ$1004,1,MATCH(COLUMNS($AO$1006:BI1006),$AO$1006:$BQ$1006,0)))),"Fix")))</f>
        <v>#N/A</v>
      </c>
      <c r="W265" s="5" t="e">
        <f ca="1">IF(OR(INDEX($AI$2:$AI$1001,MATCH(ROWS($AH$2:AH265),$AH$2:$AH$1001,0),1)&gt;=100000,INDEX($AO$1005:$BQ$1005,1,MATCH(COLUMNS($AO$1006:BJ1006),$AO$1006:$BQ$1006,0))&gt;=100000), " ",IF(INDEX($AO$2:$BQ$1001,MATCH(ROWS($AH$2:AH265),$AH$2:$AH$1001,0),MATCH(COLUMNS($AO$1006:BJ1006),$AO$1006:$BQ$1006,0)), HYPERLINK("#",""), HYPERLINK(CONCATENATE("#Metadata!", ADDRESS(INDEX($AJ$2:$AJ$1001,MATCH(ROWS($AH$2:AH265),$AH$2:$AH$1001,0),0), INDEX($AO$1004:$BQ$1004,1,MATCH(COLUMNS($AO$1006:BJ1006),$AO$1006:$BQ$1006,0)))),"Fix")))</f>
        <v>#N/A</v>
      </c>
      <c r="X265" s="5" t="e">
        <f ca="1">IF(OR(INDEX($AI$2:$AI$1001,MATCH(ROWS($AH$2:AH265),$AH$2:$AH$1001,0),1)&gt;=100000,INDEX($AO$1005:$BQ$1005,1,MATCH(COLUMNS($AO$1006:BK1006),$AO$1006:$BQ$1006,0))&gt;=100000), " ",IF(INDEX($AO$2:$BQ$1001,MATCH(ROWS($AH$2:AH265),$AH$2:$AH$1001,0),MATCH(COLUMNS($AO$1006:BK1006),$AO$1006:$BQ$1006,0)), HYPERLINK("#",""), HYPERLINK(CONCATENATE("#Metadata!", ADDRESS(INDEX($AJ$2:$AJ$1001,MATCH(ROWS($AH$2:AH265),$AH$2:$AH$1001,0),0), INDEX($AO$1004:$BQ$1004,1,MATCH(COLUMNS($AO$1006:BK1006),$AO$1006:$BQ$1006,0)))),"Fix")))</f>
        <v>#N/A</v>
      </c>
      <c r="Y265" s="5" t="e">
        <f ca="1">IF(OR(INDEX($AI$2:$AI$1001,MATCH(ROWS($AH$2:AH265),$AH$2:$AH$1001,0),1)&gt;=100000,INDEX($AO$1005:$BQ$1005,1,MATCH(COLUMNS($AO$1006:BL1006),$AO$1006:$BQ$1006,0))&gt;=100000), " ",IF(INDEX($AO$2:$BQ$1001,MATCH(ROWS($AH$2:AH265),$AH$2:$AH$1001,0),MATCH(COLUMNS($AO$1006:BL1006),$AO$1006:$BQ$1006,0)), HYPERLINK("#",""), HYPERLINK(CONCATENATE("#Metadata!", ADDRESS(INDEX($AJ$2:$AJ$1001,MATCH(ROWS($AH$2:AH265),$AH$2:$AH$1001,0),0), INDEX($AO$1004:$BQ$1004,1,MATCH(COLUMNS($AO$1006:BL1006),$AO$1006:$BQ$1006,0)))),"Fix")))</f>
        <v>#N/A</v>
      </c>
      <c r="Z265" s="5" t="e">
        <f ca="1">IF(OR(INDEX($AI$2:$AI$1001,MATCH(ROWS($AH$2:AH265),$AH$2:$AH$1001,0),1)&gt;=100000,INDEX($AO$1005:$BQ$1005,1,MATCH(COLUMNS($AO$1006:BM1006),$AO$1006:$BQ$1006,0))&gt;=100000), " ",IF(INDEX($AO$2:$BQ$1001,MATCH(ROWS($AH$2:AH265),$AH$2:$AH$1001,0),MATCH(COLUMNS($AO$1006:BM1006),$AO$1006:$BQ$1006,0)), HYPERLINK("#",""), HYPERLINK(CONCATENATE("#Metadata!", ADDRESS(INDEX($AJ$2:$AJ$1001,MATCH(ROWS($AH$2:AH265),$AH$2:$AH$1001,0),0), INDEX($AO$1004:$BQ$1004,1,MATCH(COLUMNS($AO$1006:BM1006),$AO$1006:$BQ$1006,0)))),"Fix")))</f>
        <v>#N/A</v>
      </c>
      <c r="AA265" s="5" t="e">
        <f ca="1">IF(OR(INDEX($AI$2:$AI$1001,MATCH(ROWS($AH$2:AH265),$AH$2:$AH$1001,0),1)&gt;=100000,INDEX($AO$1005:$BQ$1005,1,MATCH(COLUMNS($AO$1006:BN1006),$AO$1006:$BQ$1006,0))&gt;=100000), " ",IF(INDEX($AO$2:$BQ$1001,MATCH(ROWS($AH$2:AH265),$AH$2:$AH$1001,0),MATCH(COLUMNS($AO$1006:BN1006),$AO$1006:$BQ$1006,0)), HYPERLINK("#",""), HYPERLINK(CONCATENATE("#Metadata!", ADDRESS(INDEX($AJ$2:$AJ$1001,MATCH(ROWS($AH$2:AH265),$AH$2:$AH$1001,0),0), INDEX($AO$1004:$BQ$1004,1,MATCH(COLUMNS($AO$1006:BN1006),$AO$1006:$BQ$1006,0)))),"Fix")))</f>
        <v>#N/A</v>
      </c>
      <c r="AB265" s="5" t="e">
        <f ca="1">IF(OR(INDEX($AI$2:$AI$1001,MATCH(ROWS($AH$2:AH265),$AH$2:$AH$1001,0),1)&gt;=100000,INDEX($AO$1005:$BQ$1005,1,MATCH(COLUMNS($AO$1006:BO1006),$AO$1006:$BQ$1006,0))&gt;=100000), " ",IF(INDEX($AO$2:$BQ$1001,MATCH(ROWS($AH$2:AH265),$AH$2:$AH$1001,0),MATCH(COLUMNS($AO$1006:BO1006),$AO$1006:$BQ$1006,0)), HYPERLINK("#",""), HYPERLINK(CONCATENATE("#Metadata!", ADDRESS(INDEX($AJ$2:$AJ$1001,MATCH(ROWS($AH$2:AH265),$AH$2:$AH$1001,0),0), INDEX($AO$1004:$BQ$1004,1,MATCH(COLUMNS($AO$1006:BO1006),$AO$1006:$BQ$1006,0)))),"Fix")))</f>
        <v>#N/A</v>
      </c>
      <c r="AC265" s="5" t="e">
        <f ca="1">IF(OR(INDEX($AI$2:$AI$1001,MATCH(ROWS($AH$2:AH265),$AH$2:$AH$1001,0),1)&gt;=100000,INDEX($AO$1005:$BQ$1005,1,MATCH(COLUMNS($AO$1006:BP1006),$AO$1006:$BQ$1006,0))&gt;=100000), " ",IF(INDEX($AO$2:$BQ$1001,MATCH(ROWS($AH$2:AH265),$AH$2:$AH$1001,0),MATCH(COLUMNS($AO$1006:BP1006),$AO$1006:$BQ$1006,0)), HYPERLINK("#",""), HYPERLINK(CONCATENATE("#Metadata!", ADDRESS(INDEX($AJ$2:$AJ$1001,MATCH(ROWS($AH$2:AH265),$AH$2:$AH$1001,0),0), INDEX($AO$1004:$BQ$1004,1,MATCH(COLUMNS($AO$1006:BP1006),$AO$1006:$BQ$1006,0)))),"Fix")))</f>
        <v>#N/A</v>
      </c>
      <c r="AD265" s="5" t="e">
        <f ca="1">IF(OR(INDEX($AI$2:$AI$1001,MATCH(ROWS($AH$2:AH265),$AH$2:$AH$1001,0),1)&gt;=100000,INDEX($AO$1005:$BQ$1005,1,MATCH(COLUMNS($AO$1006:BQ1006),$AO$1006:$BQ$1006,0))&gt;=100000), " ",IF(INDEX($AO$2:$BQ$1001,MATCH(ROWS($AH$2:AH265),$AH$2:$AH$1001,0),MATCH(COLUMNS($AO$1006:BQ1006),$AO$1006:$BQ$1006,0)), HYPERLINK("#",""), HYPERLINK(CONCATENATE("#Metadata!", ADDRESS(INDEX($AJ$2:$AJ$1001,MATCH(ROWS($AH$2:AH265),$AH$2:$AH$1001,0),0), INDEX($AO$1004:$BQ$1004,1,MATCH(COLUMNS($AO$1006:BQ1006),$AO$1006:$BQ$1006,0)))),"Fix")))</f>
        <v>#REF!</v>
      </c>
      <c r="AH265">
        <f ca="1"/>
        <v>262</v>
      </c>
      <c r="AI265">
        <v>100265</v>
      </c>
      <c r="AJ265">
        <v>265</v>
      </c>
      <c r="AK265" t="b">
        <f t="shared" si="4"/>
        <v>1</v>
      </c>
      <c r="AL265" t="b">
        <f>COUNTBLANK(Metadata!B265:AD265)=COLUMNS(Metadata!B265:AD265)</f>
        <v>1</v>
      </c>
      <c r="AM265" t="str">
        <v/>
      </c>
      <c r="AO265" t="b">
        <f ca="1">AND(IF(Metadata!B265="",FALSE,TRUE),COUNTIF(Metadata!B:B, Metadata!B265) = 1,NOT(ISERROR(SUMPRODUCT(SEARCH(MID(Metadata!B265,ROW(INDIRECT("1:"&amp;LEN(Metadata!B265))), 1),"0123456789abcdefghijklmnopqrstuvwxyzABCDEFGHIJKLMNOPQRSTUVWXYZ.")))))</f>
        <v>0</v>
      </c>
      <c r="AP265" t="b">
        <f>IF(Metadata!C265="",FALSE,TRUE)</f>
        <v>0</v>
      </c>
      <c r="AQ265" t="b">
        <f>IF(Metadata!D265="",FALSE,TRUE)</f>
        <v>0</v>
      </c>
      <c r="AR265" t="b">
        <f ca="1">OR(AND(IF(Metadata!E265="",FALSE,TRUE),OR(EXACT(Metadata!E265,"not collected"),EXACT(Metadata!E265,"not provided"),EXACT(Metadata!E265,"restricted access"))),AND(IF(Metadata!E265="",FALSE,TRUE),AND(AND(IFERROR(INT(LEFT(Metadata!E265,4))&gt;1900,FALSE),IFERROR(INT(LEFT(Metadata!E265,4))&lt;=YEAR(NOW()),FALSE)), OR(MID(Metadata!E265,5,1)="", AND(AND(MID(Metadata!E265,5,1)="-",IFERROR(INT(MID(Metadata!E265,6,1))&gt;=0,FALSE),IFERROR(INT(MID(Metadata!E265,6,1))&lt;=1,FALSE),NOT(MID(Metadata!E265,7,1)=""),IFERROR(INT(MID(Metadata!E265,6,2))&gt;=1,FALSE),IFERROR(INT(MID(Metadata!E265,6,2))&lt;=12,FALSE)), OR(MID(Metadata!E265,8,1)="", AND(AND(MID(Metadata!E265,8,1)="-",IFERROR(INT(MID(Metadata!E265,9,1))&gt;=0,FALSE),IFERROR(INT(MID(Metadata!E265,9,1))&lt;=3,FALSE),NOT(MID(Metadata!E265,10,1)=""),IFERROR(INT(MID(Metadata!E265,9,2))&gt;=1,FALSE),IFERROR(INT(MID(Metadata!E265,9,2))&lt;=31,FALSE)), OR(MID(Metadata!E265,11,1)="", AND(AND(MID(Metadata!E265,11,1)=" ",IFERROR(INT(MID(Metadata!E265,12,1))&gt;=0,FALSE),IFERROR(INT(MID(Metadata!E265,12,1))&lt;=2,FALSE),NOT(MID(Metadata!E265,13,1)=""),IFERROR(INT(MID(Metadata!E265,12,2))&gt;=0,FALSE),IFERROR(INT(MID(Metadata!E265,12,2))&lt;=23,FALSE)), OR(MID(Metadata!E265,14,1)="", AND(AND(MID(Metadata!E265,14,1)=":",IFERROR(INT(MID(Metadata!E265,15,1))&gt;=0,FALSE),IFERROR(INT(MID(Metadata!E265,15,1))&lt;=5,FALSE),NOT(MID(Metadata!E265,16,1)=""),IFERROR(INT(MID(Metadata!E265,15,2))&gt;=0,FALSE),IFERROR(INT(MID(Metadata!E265,15,2))&lt;=59,FALSE)), OR(MID(Metadata!E265,17,1)="", AND(AND(MID(Metadata!E265,17,1)=":",IFERROR(INT(MID(Metadata!E265,18,1))&gt;=0,FALSE),IFERROR(INT(MID(Metadata!E265,18,1))&lt;=5,FALSE),NOT(MID(Metadata!E265,19,1)=""),IFERROR(INT(MID(Metadata!E265,18,2))&gt;=0,FALSE),IFERROR(INT(MID(Metadata!E265,18,2))&lt;=59,FALSE)), LEN(Metadata!E265)&lt;=19)))))))))))))</f>
        <v>0</v>
      </c>
      <c r="AS265" t="b">
        <f>IF(Metadata!F265="",FALSE,TRUE)</f>
        <v>0</v>
      </c>
      <c r="AT265" t="b">
        <f>OR(AND(IF(Metadata!G265="",FALSE,TRUE),OR(EXACT(Metadata!G265,"not collected"),EXACT(Metadata!G265,"not provided"))),AND(IF(Metadata!G265="",FALSE,TRUE),OR(EXACT(Metadata!G265,"TRUE"),EXACT(Metadata!G265,"FALSE"))))</f>
        <v>0</v>
      </c>
      <c r="AU265" t="b">
        <f>OR(AND(IF(Metadata!H265="",FALSE,TRUE),OR(EXACT(Metadata!H265,"not collected"),EXACT(Metadata!H265,"not provided"),EXACT(Metadata!H265,"restricted access"))),AND(IF(Metadata!H265="",FALSE,ISNUMBER(VALUE(Metadata!H265))),Metadata!H265&gt;=-413))</f>
        <v>0</v>
      </c>
      <c r="AV265" t="b">
        <f>AND(IF(Metadata!I265="",FALSE,TRUE),EXACT(Metadata!I265,"meters"))</f>
        <v>0</v>
      </c>
      <c r="AW265" t="b">
        <f>AND(IF(Metadata!J265="",FALSE,TRUE),EXACT(Metadata!J265,"free-living"))</f>
        <v>0</v>
      </c>
      <c r="AX265" t="b">
        <f>AND(IF(Metadata!K265="",FALSE,TRUE),OR(EXACT(Metadata!K265,"saline"),EXACT(Metadata!K265,"non-saline")))</f>
        <v>0</v>
      </c>
      <c r="AY265" t="b">
        <f>AND(IF(Metadata!L265="",FALSE,TRUE),OR(EXACT(Metadata!L265,"sub-surface (non-saline)"),EXACT(Metadata!L265,"surface (non-saline)"),EXACT(Metadata!L265,"water (non-saline)"),EXACT(Metadata!L265,"soil (non-saline)"),EXACT(Metadata!L265,"aerosol (non-saline)"),EXACT(Metadata!L265,"sediment (non-saline)"),EXACT(Metadata!L265,"surface (saline)"),EXACT(Metadata!L265,"water (saline)"),EXACT(Metadata!L265,"hypersaline (saline)"),EXACT(Metadata!L265,"aerosol (saline)"),EXACT(Metadata!L265,"sediment (saline)")))</f>
        <v>0</v>
      </c>
      <c r="AZ265" t="b">
        <f>IF(Metadata!M265="",FALSE,TRUE)</f>
        <v>0</v>
      </c>
      <c r="BA265" t="b">
        <f>IF(Metadata!N265="",FALSE,TRUE)</f>
        <v>0</v>
      </c>
      <c r="BB265" t="b">
        <f>IF(Metadata!O265="",FALSE,TRUE)</f>
        <v>0</v>
      </c>
      <c r="BC265" t="b">
        <f>AND(IF(Metadata!P265="",FALSE,TRUE),OR(EXACT(Metadata!P265,"air"),EXACT(Metadata!P265,"microbial mat/biofilm"),EXACT(Metadata!P265,"misc environment"),EXACT(Metadata!P265,"sediment"),EXACT(Metadata!P265,"soil"),EXACT(Metadata!P265,"wastewater/sludge"),EXACT(Metadata!P265,"water")))</f>
        <v>0</v>
      </c>
      <c r="BD265" t="b">
        <f>IF(Metadata!Q265="",FALSE,TRUE)</f>
        <v>0</v>
      </c>
      <c r="BE265" t="b">
        <f>IF(Metadata!R265="",FALSE,TRUE)</f>
        <v>0</v>
      </c>
      <c r="BF265" t="b">
        <f>OR(AND(IF(Metadata!S265="",FALSE,TRUE),OR(EXACT(Metadata!S265,"not collected"),EXACT(Metadata!S265,"not provided"),EXACT(Metadata!S265,"restricted access"))),AND(IF(Metadata!S265="",FALSE,ISNUMBER(VALUE(Metadata!S265))),Metadata!S265&gt;=-90,Metadata!S265&lt;=90))</f>
        <v>0</v>
      </c>
      <c r="BG265" t="b">
        <f>AND(IF(Metadata!T265="",FALSE,TRUE),EXACT(Metadata!T265,"Decimal degrees"))</f>
        <v>0</v>
      </c>
      <c r="BH265" t="b">
        <f>OR(AND(IF(Metadata!U265="",FALSE,TRUE),OR(EXACT(Metadata!U265,"not applicable"),EXACT(Metadata!U265,"not collected"))),IF(Metadata!U265="",FALSE,TRUE))</f>
        <v>0</v>
      </c>
      <c r="BI265" t="b">
        <f>OR(AND(IF(Metadata!V265="",FALSE,TRUE),OR(EXACT(Metadata!V265,"not collected"),EXACT(Metadata!V265,"not provided"),EXACT(Metadata!V265,"restricted access"))),AND(IF(Metadata!V265="",FALSE,ISNUMBER(VALUE(Metadata!V265))),Metadata!V265&gt;=-180,Metadata!V265&lt;=180))</f>
        <v>0</v>
      </c>
      <c r="BJ265" t="b">
        <f>AND(IF(Metadata!W265="",FALSE,TRUE),EXACT(Metadata!W265,"Decimal degrees"))</f>
        <v>0</v>
      </c>
      <c r="BK265" t="b">
        <f>IF(Metadata!X265="",FALSE,TRUE)</f>
        <v>0</v>
      </c>
      <c r="BL265" t="b">
        <f>OR(AND(IF(Metadata!Y265="",FALSE,TRUE),OR(EXACT(Metadata!Y265,"not collected"),EXACT(Metadata!Y265,"not provided"),EXACT(Metadata!Y265,"restricted access"))),AND(IF(Metadata!Y265="",FALSE,TRUE),OR(EXACT(Metadata!Y265,"TRUE"),EXACT(Metadata!Y265,"FALSE"))))</f>
        <v>0</v>
      </c>
      <c r="BM265" t="b">
        <f>OR(AND(IF(Metadata!Z265="",FALSE,TRUE),EXACT(Metadata!Z265,"not applicable")),AND(IF(Metadata!Z265="",FALSE,TRUE),OR(EXACT(Metadata!Z265,"beer"),EXACT(Metadata!Z265,"cheese"),EXACT(Metadata!Z265,"fresh water"),EXACT(Metadata!Z265,"marine sediment"),EXACT(Metadata!Z265,"sea water"),EXACT(Metadata!Z265,"sediment"),EXACT(Metadata!Z265,"soil"),EXACT(Metadata!Z265,"waste water"))))</f>
        <v>0</v>
      </c>
      <c r="BN265" t="b">
        <f>AND(IF(Metadata!AA265="",FALSE,TRUE),EXACT(Metadata!AA265,"metagenome"))</f>
        <v>0</v>
      </c>
      <c r="BO265" t="b">
        <f>AND(IF(Metadata!AB265="",FALSE,TRUE),EXACT(Metadata!AB265,"256318"))</f>
        <v>0</v>
      </c>
      <c r="BP265" t="b">
        <f>IF(Metadata!AC265="",FALSE,TRUE)</f>
        <v>0</v>
      </c>
      <c r="BQ265" t="b">
        <f>IF(Metadata!AD265="",FALSE,TRUE)</f>
        <v>0</v>
      </c>
    </row>
    <row r="266" spans="1:69" x14ac:dyDescent="0.2">
      <c r="A266" s="4" t="e">
        <f ca="1">IF(B266=" "," ",HYPERLINK(CONCATENATE("#metadata!",ADDRESS(INDEX($AJ$2:$AJ$1001,MATCH(ROWS($AH$2:AH266),$AH$2:$AH$1001,0),0),2)),INDEX($AM$2:$AM$1001,MATCH(ROWS($AH$2:AH266),$AH$2:$AH$1001,0),0)))</f>
        <v>#N/A</v>
      </c>
      <c r="B266" s="5" t="e">
        <f ca="1">IF(OR(INDEX($AI$2:$AI$1001,MATCH(ROWS($AH$2:AH266),$AH$2:$AH$1001,0),1)&gt;=100000,INDEX($AO$1005:$BQ$1005,1,MATCH(COLUMNS($AO$1006:AO1006),$AO$1006:$BQ$1006,0))&gt;=100000), " ",IF(INDEX($AO$2:$BQ$1001,MATCH(ROWS($AH$2:AH266),$AH$2:$AH$1001,0),MATCH(COLUMNS($AO$1006:AO1006),$AO$1006:$BQ$1006,0)), HYPERLINK("#",""), HYPERLINK(CONCATENATE("#Metadata!", ADDRESS(INDEX($AJ$2:$AJ$1001,MATCH(ROWS($AH$2:AH266),$AH$2:$AH$1001,0),0), INDEX($AO$1004:$BQ$1004,1,MATCH(COLUMNS($AO$1006:AO1006),$AO$1006:$BQ$1006,0)))),"Fix")))</f>
        <v>#N/A</v>
      </c>
      <c r="C266" s="5" t="e">
        <f ca="1">IF(OR(INDEX($AI$2:$AI$1001,MATCH(ROWS($AH$2:AH266),$AH$2:$AH$1001,0),1)&gt;=100000,INDEX($AO$1005:$BQ$1005,1,MATCH(COLUMNS($AO$1006:AP1006),$AO$1006:$BQ$1006,0))&gt;=100000), " ",IF(INDEX($AO$2:$BQ$1001,MATCH(ROWS($AH$2:AH266),$AH$2:$AH$1001,0),MATCH(COLUMNS($AO$1006:AP1006),$AO$1006:$BQ$1006,0)), HYPERLINK("#",""), HYPERLINK(CONCATENATE("#Metadata!", ADDRESS(INDEX($AJ$2:$AJ$1001,MATCH(ROWS($AH$2:AH266),$AH$2:$AH$1001,0),0), INDEX($AO$1004:$BQ$1004,1,MATCH(COLUMNS($AO$1006:AP1006),$AO$1006:$BQ$1006,0)))),"Fix")))</f>
        <v>#N/A</v>
      </c>
      <c r="D266" s="5" t="e">
        <f ca="1">IF(OR(INDEX($AI$2:$AI$1001,MATCH(ROWS($AH$2:AH266),$AH$2:$AH$1001,0),1)&gt;=100000,INDEX($AO$1005:$BQ$1005,1,MATCH(COLUMNS($AO$1006:AQ1006),$AO$1006:$BQ$1006,0))&gt;=100000), " ",IF(INDEX($AO$2:$BQ$1001,MATCH(ROWS($AH$2:AH266),$AH$2:$AH$1001,0),MATCH(COLUMNS($AO$1006:AQ1006),$AO$1006:$BQ$1006,0)), HYPERLINK("#",""), HYPERLINK(CONCATENATE("#Metadata!", ADDRESS(INDEX($AJ$2:$AJ$1001,MATCH(ROWS($AH$2:AH266),$AH$2:$AH$1001,0),0), INDEX($AO$1004:$BQ$1004,1,MATCH(COLUMNS($AO$1006:AQ1006),$AO$1006:$BQ$1006,0)))),"Fix")))</f>
        <v>#N/A</v>
      </c>
      <c r="E266" s="5" t="e">
        <f ca="1">IF(OR(INDEX($AI$2:$AI$1001,MATCH(ROWS($AH$2:AH266),$AH$2:$AH$1001,0),1)&gt;=100000,INDEX($AO$1005:$BQ$1005,1,MATCH(COLUMNS($AO$1006:AR1006),$AO$1006:$BQ$1006,0))&gt;=100000), " ",IF(INDEX($AO$2:$BQ$1001,MATCH(ROWS($AH$2:AH266),$AH$2:$AH$1001,0),MATCH(COLUMNS($AO$1006:AR1006),$AO$1006:$BQ$1006,0)), HYPERLINK("#",""), HYPERLINK(CONCATENATE("#Metadata!", ADDRESS(INDEX($AJ$2:$AJ$1001,MATCH(ROWS($AH$2:AH266),$AH$2:$AH$1001,0),0), INDEX($AO$1004:$BQ$1004,1,MATCH(COLUMNS($AO$1006:AR1006),$AO$1006:$BQ$1006,0)))),"Fix")))</f>
        <v>#N/A</v>
      </c>
      <c r="F266" s="5" t="e">
        <f ca="1">IF(OR(INDEX($AI$2:$AI$1001,MATCH(ROWS($AH$2:AH266),$AH$2:$AH$1001,0),1)&gt;=100000,INDEX($AO$1005:$BQ$1005,1,MATCH(COLUMNS($AO$1006:AS1006),$AO$1006:$BQ$1006,0))&gt;=100000), " ",IF(INDEX($AO$2:$BQ$1001,MATCH(ROWS($AH$2:AH266),$AH$2:$AH$1001,0),MATCH(COLUMNS($AO$1006:AS1006),$AO$1006:$BQ$1006,0)), HYPERLINK("#",""), HYPERLINK(CONCATENATE("#Metadata!", ADDRESS(INDEX($AJ$2:$AJ$1001,MATCH(ROWS($AH$2:AH266),$AH$2:$AH$1001,0),0), INDEX($AO$1004:$BQ$1004,1,MATCH(COLUMNS($AO$1006:AS1006),$AO$1006:$BQ$1006,0)))),"Fix")))</f>
        <v>#N/A</v>
      </c>
      <c r="G266" s="5" t="e">
        <f ca="1">IF(OR(INDEX($AI$2:$AI$1001,MATCH(ROWS($AH$2:AH266),$AH$2:$AH$1001,0),1)&gt;=100000,INDEX($AO$1005:$BQ$1005,1,MATCH(COLUMNS($AO$1006:AT1006),$AO$1006:$BQ$1006,0))&gt;=100000), " ",IF(INDEX($AO$2:$BQ$1001,MATCH(ROWS($AH$2:AH266),$AH$2:$AH$1001,0),MATCH(COLUMNS($AO$1006:AT1006),$AO$1006:$BQ$1006,0)), HYPERLINK("#",""), HYPERLINK(CONCATENATE("#Metadata!", ADDRESS(INDEX($AJ$2:$AJ$1001,MATCH(ROWS($AH$2:AH266),$AH$2:$AH$1001,0),0), INDEX($AO$1004:$BQ$1004,1,MATCH(COLUMNS($AO$1006:AT1006),$AO$1006:$BQ$1006,0)))),"Fix")))</f>
        <v>#N/A</v>
      </c>
      <c r="H266" s="5" t="e">
        <f ca="1">IF(OR(INDEX($AI$2:$AI$1001,MATCH(ROWS($AH$2:AH266),$AH$2:$AH$1001,0),1)&gt;=100000,INDEX($AO$1005:$BQ$1005,1,MATCH(COLUMNS($AO$1006:AU1006),$AO$1006:$BQ$1006,0))&gt;=100000), " ",IF(INDEX($AO$2:$BQ$1001,MATCH(ROWS($AH$2:AH266),$AH$2:$AH$1001,0),MATCH(COLUMNS($AO$1006:AU1006),$AO$1006:$BQ$1006,0)), HYPERLINK("#",""), HYPERLINK(CONCATENATE("#Metadata!", ADDRESS(INDEX($AJ$2:$AJ$1001,MATCH(ROWS($AH$2:AH266),$AH$2:$AH$1001,0),0), INDEX($AO$1004:$BQ$1004,1,MATCH(COLUMNS($AO$1006:AU1006),$AO$1006:$BQ$1006,0)))),"Fix")))</f>
        <v>#N/A</v>
      </c>
      <c r="I266" s="5" t="e">
        <f ca="1">IF(OR(INDEX($AI$2:$AI$1001,MATCH(ROWS($AH$2:AH266),$AH$2:$AH$1001,0),1)&gt;=100000,INDEX($AO$1005:$BQ$1005,1,MATCH(COLUMNS($AO$1006:AV1006),$AO$1006:$BQ$1006,0))&gt;=100000), " ",IF(INDEX($AO$2:$BQ$1001,MATCH(ROWS($AH$2:AH266),$AH$2:$AH$1001,0),MATCH(COLUMNS($AO$1006:AV1006),$AO$1006:$BQ$1006,0)), HYPERLINK("#",""), HYPERLINK(CONCATENATE("#Metadata!", ADDRESS(INDEX($AJ$2:$AJ$1001,MATCH(ROWS($AH$2:AH266),$AH$2:$AH$1001,0),0), INDEX($AO$1004:$BQ$1004,1,MATCH(COLUMNS($AO$1006:AV1006),$AO$1006:$BQ$1006,0)))),"Fix")))</f>
        <v>#N/A</v>
      </c>
      <c r="J266" s="5" t="e">
        <f ca="1">IF(OR(INDEX($AI$2:$AI$1001,MATCH(ROWS($AH$2:AH266),$AH$2:$AH$1001,0),1)&gt;=100000,INDEX($AO$1005:$BQ$1005,1,MATCH(COLUMNS($AO$1006:AW1006),$AO$1006:$BQ$1006,0))&gt;=100000), " ",IF(INDEX($AO$2:$BQ$1001,MATCH(ROWS($AH$2:AH266),$AH$2:$AH$1001,0),MATCH(COLUMNS($AO$1006:AW1006),$AO$1006:$BQ$1006,0)), HYPERLINK("#",""), HYPERLINK(CONCATENATE("#Metadata!", ADDRESS(INDEX($AJ$2:$AJ$1001,MATCH(ROWS($AH$2:AH266),$AH$2:$AH$1001,0),0), INDEX($AO$1004:$BQ$1004,1,MATCH(COLUMNS($AO$1006:AW1006),$AO$1006:$BQ$1006,0)))),"Fix")))</f>
        <v>#N/A</v>
      </c>
      <c r="K266" s="5" t="e">
        <f ca="1">IF(OR(INDEX($AI$2:$AI$1001,MATCH(ROWS($AH$2:AH266),$AH$2:$AH$1001,0),1)&gt;=100000,INDEX($AO$1005:$BQ$1005,1,MATCH(COLUMNS($AO$1006:AX1006),$AO$1006:$BQ$1006,0))&gt;=100000), " ",IF(INDEX($AO$2:$BQ$1001,MATCH(ROWS($AH$2:AH266),$AH$2:$AH$1001,0),MATCH(COLUMNS($AO$1006:AX1006),$AO$1006:$BQ$1006,0)), HYPERLINK("#",""), HYPERLINK(CONCATENATE("#Metadata!", ADDRESS(INDEX($AJ$2:$AJ$1001,MATCH(ROWS($AH$2:AH266),$AH$2:$AH$1001,0),0), INDEX($AO$1004:$BQ$1004,1,MATCH(COLUMNS($AO$1006:AX1006),$AO$1006:$BQ$1006,0)))),"Fix")))</f>
        <v>#N/A</v>
      </c>
      <c r="L266" s="5" t="e">
        <f ca="1">IF(OR(INDEX($AI$2:$AI$1001,MATCH(ROWS($AH$2:AH266),$AH$2:$AH$1001,0),1)&gt;=100000,INDEX($AO$1005:$BQ$1005,1,MATCH(COLUMNS($AO$1006:AY1006),$AO$1006:$BQ$1006,0))&gt;=100000), " ",IF(INDEX($AO$2:$BQ$1001,MATCH(ROWS($AH$2:AH266),$AH$2:$AH$1001,0),MATCH(COLUMNS($AO$1006:AY1006),$AO$1006:$BQ$1006,0)), HYPERLINK("#",""), HYPERLINK(CONCATENATE("#Metadata!", ADDRESS(INDEX($AJ$2:$AJ$1001,MATCH(ROWS($AH$2:AH266),$AH$2:$AH$1001,0),0), INDEX($AO$1004:$BQ$1004,1,MATCH(COLUMNS($AO$1006:AY1006),$AO$1006:$BQ$1006,0)))),"Fix")))</f>
        <v>#N/A</v>
      </c>
      <c r="M266" s="5" t="e">
        <f ca="1">IF(OR(INDEX($AI$2:$AI$1001,MATCH(ROWS($AH$2:AH266),$AH$2:$AH$1001,0),1)&gt;=100000,INDEX($AO$1005:$BQ$1005,1,MATCH(COLUMNS($AO$1006:AZ1006),$AO$1006:$BQ$1006,0))&gt;=100000), " ",IF(INDEX($AO$2:$BQ$1001,MATCH(ROWS($AH$2:AH266),$AH$2:$AH$1001,0),MATCH(COLUMNS($AO$1006:AZ1006),$AO$1006:$BQ$1006,0)), HYPERLINK("#",""), HYPERLINK(CONCATENATE("#Metadata!", ADDRESS(INDEX($AJ$2:$AJ$1001,MATCH(ROWS($AH$2:AH266),$AH$2:$AH$1001,0),0), INDEX($AO$1004:$BQ$1004,1,MATCH(COLUMNS($AO$1006:AZ1006),$AO$1006:$BQ$1006,0)))),"Fix")))</f>
        <v>#N/A</v>
      </c>
      <c r="N266" s="5" t="e">
        <f ca="1">IF(OR(INDEX($AI$2:$AI$1001,MATCH(ROWS($AH$2:AH266),$AH$2:$AH$1001,0),1)&gt;=100000,INDEX($AO$1005:$BQ$1005,1,MATCH(COLUMNS($AO$1006:BA1006),$AO$1006:$BQ$1006,0))&gt;=100000), " ",IF(INDEX($AO$2:$BQ$1001,MATCH(ROWS($AH$2:AH266),$AH$2:$AH$1001,0),MATCH(COLUMNS($AO$1006:BA1006),$AO$1006:$BQ$1006,0)), HYPERLINK("#",""), HYPERLINK(CONCATENATE("#Metadata!", ADDRESS(INDEX($AJ$2:$AJ$1001,MATCH(ROWS($AH$2:AH266),$AH$2:$AH$1001,0),0), INDEX($AO$1004:$BQ$1004,1,MATCH(COLUMNS($AO$1006:BA1006),$AO$1006:$BQ$1006,0)))),"Fix")))</f>
        <v>#N/A</v>
      </c>
      <c r="O266" s="5" t="e">
        <f ca="1">IF(OR(INDEX($AI$2:$AI$1001,MATCH(ROWS($AH$2:AH266),$AH$2:$AH$1001,0),1)&gt;=100000,INDEX($AO$1005:$BQ$1005,1,MATCH(COLUMNS($AO$1006:BB1006),$AO$1006:$BQ$1006,0))&gt;=100000), " ",IF(INDEX($AO$2:$BQ$1001,MATCH(ROWS($AH$2:AH266),$AH$2:$AH$1001,0),MATCH(COLUMNS($AO$1006:BB1006),$AO$1006:$BQ$1006,0)), HYPERLINK("#",""), HYPERLINK(CONCATENATE("#Metadata!", ADDRESS(INDEX($AJ$2:$AJ$1001,MATCH(ROWS($AH$2:AH266),$AH$2:$AH$1001,0),0), INDEX($AO$1004:$BQ$1004,1,MATCH(COLUMNS($AO$1006:BB1006),$AO$1006:$BQ$1006,0)))),"Fix")))</f>
        <v>#N/A</v>
      </c>
      <c r="P266" s="5" t="e">
        <f ca="1">IF(OR(INDEX($AI$2:$AI$1001,MATCH(ROWS($AH$2:AH266),$AH$2:$AH$1001,0),1)&gt;=100000,INDEX($AO$1005:$BQ$1005,1,MATCH(COLUMNS($AO$1006:BC1006),$AO$1006:$BQ$1006,0))&gt;=100000), " ",IF(INDEX($AO$2:$BQ$1001,MATCH(ROWS($AH$2:AH266),$AH$2:$AH$1001,0),MATCH(COLUMNS($AO$1006:BC1006),$AO$1006:$BQ$1006,0)), HYPERLINK("#",""), HYPERLINK(CONCATENATE("#Metadata!", ADDRESS(INDEX($AJ$2:$AJ$1001,MATCH(ROWS($AH$2:AH266),$AH$2:$AH$1001,0),0), INDEX($AO$1004:$BQ$1004,1,MATCH(COLUMNS($AO$1006:BC1006),$AO$1006:$BQ$1006,0)))),"Fix")))</f>
        <v>#N/A</v>
      </c>
      <c r="Q266" s="5" t="e">
        <f ca="1">IF(OR(INDEX($AI$2:$AI$1001,MATCH(ROWS($AH$2:AH266),$AH$2:$AH$1001,0),1)&gt;=100000,INDEX($AO$1005:$BQ$1005,1,MATCH(COLUMNS($AO$1006:BD1006),$AO$1006:$BQ$1006,0))&gt;=100000), " ",IF(INDEX($AO$2:$BQ$1001,MATCH(ROWS($AH$2:AH266),$AH$2:$AH$1001,0),MATCH(COLUMNS($AO$1006:BD1006),$AO$1006:$BQ$1006,0)), HYPERLINK("#",""), HYPERLINK(CONCATENATE("#Metadata!", ADDRESS(INDEX($AJ$2:$AJ$1001,MATCH(ROWS($AH$2:AH266),$AH$2:$AH$1001,0),0), INDEX($AO$1004:$BQ$1004,1,MATCH(COLUMNS($AO$1006:BD1006),$AO$1006:$BQ$1006,0)))),"Fix")))</f>
        <v>#N/A</v>
      </c>
      <c r="R266" s="5" t="e">
        <f ca="1">IF(OR(INDEX($AI$2:$AI$1001,MATCH(ROWS($AH$2:AH266),$AH$2:$AH$1001,0),1)&gt;=100000,INDEX($AO$1005:$BQ$1005,1,MATCH(COLUMNS($AO$1006:BE1006),$AO$1006:$BQ$1006,0))&gt;=100000), " ",IF(INDEX($AO$2:$BQ$1001,MATCH(ROWS($AH$2:AH266),$AH$2:$AH$1001,0),MATCH(COLUMNS($AO$1006:BE1006),$AO$1006:$BQ$1006,0)), HYPERLINK("#",""), HYPERLINK(CONCATENATE("#Metadata!", ADDRESS(INDEX($AJ$2:$AJ$1001,MATCH(ROWS($AH$2:AH266),$AH$2:$AH$1001,0),0), INDEX($AO$1004:$BQ$1004,1,MATCH(COLUMNS($AO$1006:BE1006),$AO$1006:$BQ$1006,0)))),"Fix")))</f>
        <v>#N/A</v>
      </c>
      <c r="S266" s="5" t="e">
        <f ca="1">IF(OR(INDEX($AI$2:$AI$1001,MATCH(ROWS($AH$2:AH266),$AH$2:$AH$1001,0),1)&gt;=100000,INDEX($AO$1005:$BQ$1005,1,MATCH(COLUMNS($AO$1006:BF1006),$AO$1006:$BQ$1006,0))&gt;=100000), " ",IF(INDEX($AO$2:$BQ$1001,MATCH(ROWS($AH$2:AH266),$AH$2:$AH$1001,0),MATCH(COLUMNS($AO$1006:BF1006),$AO$1006:$BQ$1006,0)), HYPERLINK("#",""), HYPERLINK(CONCATENATE("#Metadata!", ADDRESS(INDEX($AJ$2:$AJ$1001,MATCH(ROWS($AH$2:AH266),$AH$2:$AH$1001,0),0), INDEX($AO$1004:$BQ$1004,1,MATCH(COLUMNS($AO$1006:BF1006),$AO$1006:$BQ$1006,0)))),"Fix")))</f>
        <v>#N/A</v>
      </c>
      <c r="T266" s="5" t="e">
        <f ca="1">IF(OR(INDEX($AI$2:$AI$1001,MATCH(ROWS($AH$2:AH266),$AH$2:$AH$1001,0),1)&gt;=100000,INDEX($AO$1005:$BQ$1005,1,MATCH(COLUMNS($AO$1006:BG1006),$AO$1006:$BQ$1006,0))&gt;=100000), " ",IF(INDEX($AO$2:$BQ$1001,MATCH(ROWS($AH$2:AH266),$AH$2:$AH$1001,0),MATCH(COLUMNS($AO$1006:BG1006),$AO$1006:$BQ$1006,0)), HYPERLINK("#",""), HYPERLINK(CONCATENATE("#Metadata!", ADDRESS(INDEX($AJ$2:$AJ$1001,MATCH(ROWS($AH$2:AH266),$AH$2:$AH$1001,0),0), INDEX($AO$1004:$BQ$1004,1,MATCH(COLUMNS($AO$1006:BG1006),$AO$1006:$BQ$1006,0)))),"Fix")))</f>
        <v>#N/A</v>
      </c>
      <c r="U266" s="5" t="e">
        <f ca="1">IF(OR(INDEX($AI$2:$AI$1001,MATCH(ROWS($AH$2:AH266),$AH$2:$AH$1001,0),1)&gt;=100000,INDEX($AO$1005:$BQ$1005,1,MATCH(COLUMNS($AO$1006:BH1006),$AO$1006:$BQ$1006,0))&gt;=100000), " ",IF(INDEX($AO$2:$BQ$1001,MATCH(ROWS($AH$2:AH266),$AH$2:$AH$1001,0),MATCH(COLUMNS($AO$1006:BH1006),$AO$1006:$BQ$1006,0)), HYPERLINK("#",""), HYPERLINK(CONCATENATE("#Metadata!", ADDRESS(INDEX($AJ$2:$AJ$1001,MATCH(ROWS($AH$2:AH266),$AH$2:$AH$1001,0),0), INDEX($AO$1004:$BQ$1004,1,MATCH(COLUMNS($AO$1006:BH1006),$AO$1006:$BQ$1006,0)))),"Fix")))</f>
        <v>#N/A</v>
      </c>
      <c r="V266" s="5" t="e">
        <f ca="1">IF(OR(INDEX($AI$2:$AI$1001,MATCH(ROWS($AH$2:AH266),$AH$2:$AH$1001,0),1)&gt;=100000,INDEX($AO$1005:$BQ$1005,1,MATCH(COLUMNS($AO$1006:BI1006),$AO$1006:$BQ$1006,0))&gt;=100000), " ",IF(INDEX($AO$2:$BQ$1001,MATCH(ROWS($AH$2:AH266),$AH$2:$AH$1001,0),MATCH(COLUMNS($AO$1006:BI1006),$AO$1006:$BQ$1006,0)), HYPERLINK("#",""), HYPERLINK(CONCATENATE("#Metadata!", ADDRESS(INDEX($AJ$2:$AJ$1001,MATCH(ROWS($AH$2:AH266),$AH$2:$AH$1001,0),0), INDEX($AO$1004:$BQ$1004,1,MATCH(COLUMNS($AO$1006:BI1006),$AO$1006:$BQ$1006,0)))),"Fix")))</f>
        <v>#N/A</v>
      </c>
      <c r="W266" s="5" t="e">
        <f ca="1">IF(OR(INDEX($AI$2:$AI$1001,MATCH(ROWS($AH$2:AH266),$AH$2:$AH$1001,0),1)&gt;=100000,INDEX($AO$1005:$BQ$1005,1,MATCH(COLUMNS($AO$1006:BJ1006),$AO$1006:$BQ$1006,0))&gt;=100000), " ",IF(INDEX($AO$2:$BQ$1001,MATCH(ROWS($AH$2:AH266),$AH$2:$AH$1001,0),MATCH(COLUMNS($AO$1006:BJ1006),$AO$1006:$BQ$1006,0)), HYPERLINK("#",""), HYPERLINK(CONCATENATE("#Metadata!", ADDRESS(INDEX($AJ$2:$AJ$1001,MATCH(ROWS($AH$2:AH266),$AH$2:$AH$1001,0),0), INDEX($AO$1004:$BQ$1004,1,MATCH(COLUMNS($AO$1006:BJ1006),$AO$1006:$BQ$1006,0)))),"Fix")))</f>
        <v>#N/A</v>
      </c>
      <c r="X266" s="5" t="e">
        <f ca="1">IF(OR(INDEX($AI$2:$AI$1001,MATCH(ROWS($AH$2:AH266),$AH$2:$AH$1001,0),1)&gt;=100000,INDEX($AO$1005:$BQ$1005,1,MATCH(COLUMNS($AO$1006:BK1006),$AO$1006:$BQ$1006,0))&gt;=100000), " ",IF(INDEX($AO$2:$BQ$1001,MATCH(ROWS($AH$2:AH266),$AH$2:$AH$1001,0),MATCH(COLUMNS($AO$1006:BK1006),$AO$1006:$BQ$1006,0)), HYPERLINK("#",""), HYPERLINK(CONCATENATE("#Metadata!", ADDRESS(INDEX($AJ$2:$AJ$1001,MATCH(ROWS($AH$2:AH266),$AH$2:$AH$1001,0),0), INDEX($AO$1004:$BQ$1004,1,MATCH(COLUMNS($AO$1006:BK1006),$AO$1006:$BQ$1006,0)))),"Fix")))</f>
        <v>#N/A</v>
      </c>
      <c r="Y266" s="5" t="e">
        <f ca="1">IF(OR(INDEX($AI$2:$AI$1001,MATCH(ROWS($AH$2:AH266),$AH$2:$AH$1001,0),1)&gt;=100000,INDEX($AO$1005:$BQ$1005,1,MATCH(COLUMNS($AO$1006:BL1006),$AO$1006:$BQ$1006,0))&gt;=100000), " ",IF(INDEX($AO$2:$BQ$1001,MATCH(ROWS($AH$2:AH266),$AH$2:$AH$1001,0),MATCH(COLUMNS($AO$1006:BL1006),$AO$1006:$BQ$1006,0)), HYPERLINK("#",""), HYPERLINK(CONCATENATE("#Metadata!", ADDRESS(INDEX($AJ$2:$AJ$1001,MATCH(ROWS($AH$2:AH266),$AH$2:$AH$1001,0),0), INDEX($AO$1004:$BQ$1004,1,MATCH(COLUMNS($AO$1006:BL1006),$AO$1006:$BQ$1006,0)))),"Fix")))</f>
        <v>#N/A</v>
      </c>
      <c r="Z266" s="5" t="e">
        <f ca="1">IF(OR(INDEX($AI$2:$AI$1001,MATCH(ROWS($AH$2:AH266),$AH$2:$AH$1001,0),1)&gt;=100000,INDEX($AO$1005:$BQ$1005,1,MATCH(COLUMNS($AO$1006:BM1006),$AO$1006:$BQ$1006,0))&gt;=100000), " ",IF(INDEX($AO$2:$BQ$1001,MATCH(ROWS($AH$2:AH266),$AH$2:$AH$1001,0),MATCH(COLUMNS($AO$1006:BM1006),$AO$1006:$BQ$1006,0)), HYPERLINK("#",""), HYPERLINK(CONCATENATE("#Metadata!", ADDRESS(INDEX($AJ$2:$AJ$1001,MATCH(ROWS($AH$2:AH266),$AH$2:$AH$1001,0),0), INDEX($AO$1004:$BQ$1004,1,MATCH(COLUMNS($AO$1006:BM1006),$AO$1006:$BQ$1006,0)))),"Fix")))</f>
        <v>#N/A</v>
      </c>
      <c r="AA266" s="5" t="e">
        <f ca="1">IF(OR(INDEX($AI$2:$AI$1001,MATCH(ROWS($AH$2:AH266),$AH$2:$AH$1001,0),1)&gt;=100000,INDEX($AO$1005:$BQ$1005,1,MATCH(COLUMNS($AO$1006:BN1006),$AO$1006:$BQ$1006,0))&gt;=100000), " ",IF(INDEX($AO$2:$BQ$1001,MATCH(ROWS($AH$2:AH266),$AH$2:$AH$1001,0),MATCH(COLUMNS($AO$1006:BN1006),$AO$1006:$BQ$1006,0)), HYPERLINK("#",""), HYPERLINK(CONCATENATE("#Metadata!", ADDRESS(INDEX($AJ$2:$AJ$1001,MATCH(ROWS($AH$2:AH266),$AH$2:$AH$1001,0),0), INDEX($AO$1004:$BQ$1004,1,MATCH(COLUMNS($AO$1006:BN1006),$AO$1006:$BQ$1006,0)))),"Fix")))</f>
        <v>#N/A</v>
      </c>
      <c r="AB266" s="5" t="e">
        <f ca="1">IF(OR(INDEX($AI$2:$AI$1001,MATCH(ROWS($AH$2:AH266),$AH$2:$AH$1001,0),1)&gt;=100000,INDEX($AO$1005:$BQ$1005,1,MATCH(COLUMNS($AO$1006:BO1006),$AO$1006:$BQ$1006,0))&gt;=100000), " ",IF(INDEX($AO$2:$BQ$1001,MATCH(ROWS($AH$2:AH266),$AH$2:$AH$1001,0),MATCH(COLUMNS($AO$1006:BO1006),$AO$1006:$BQ$1006,0)), HYPERLINK("#",""), HYPERLINK(CONCATENATE("#Metadata!", ADDRESS(INDEX($AJ$2:$AJ$1001,MATCH(ROWS($AH$2:AH266),$AH$2:$AH$1001,0),0), INDEX($AO$1004:$BQ$1004,1,MATCH(COLUMNS($AO$1006:BO1006),$AO$1006:$BQ$1006,0)))),"Fix")))</f>
        <v>#N/A</v>
      </c>
      <c r="AC266" s="5" t="e">
        <f ca="1">IF(OR(INDEX($AI$2:$AI$1001,MATCH(ROWS($AH$2:AH266),$AH$2:$AH$1001,0),1)&gt;=100000,INDEX($AO$1005:$BQ$1005,1,MATCH(COLUMNS($AO$1006:BP1006),$AO$1006:$BQ$1006,0))&gt;=100000), " ",IF(INDEX($AO$2:$BQ$1001,MATCH(ROWS($AH$2:AH266),$AH$2:$AH$1001,0),MATCH(COLUMNS($AO$1006:BP1006),$AO$1006:$BQ$1006,0)), HYPERLINK("#",""), HYPERLINK(CONCATENATE("#Metadata!", ADDRESS(INDEX($AJ$2:$AJ$1001,MATCH(ROWS($AH$2:AH266),$AH$2:$AH$1001,0),0), INDEX($AO$1004:$BQ$1004,1,MATCH(COLUMNS($AO$1006:BP1006),$AO$1006:$BQ$1006,0)))),"Fix")))</f>
        <v>#N/A</v>
      </c>
      <c r="AD266" s="5" t="e">
        <f ca="1">IF(OR(INDEX($AI$2:$AI$1001,MATCH(ROWS($AH$2:AH266),$AH$2:$AH$1001,0),1)&gt;=100000,INDEX($AO$1005:$BQ$1005,1,MATCH(COLUMNS($AO$1006:BQ1006),$AO$1006:$BQ$1006,0))&gt;=100000), " ",IF(INDEX($AO$2:$BQ$1001,MATCH(ROWS($AH$2:AH266),$AH$2:$AH$1001,0),MATCH(COLUMNS($AO$1006:BQ1006),$AO$1006:$BQ$1006,0)), HYPERLINK("#",""), HYPERLINK(CONCATENATE("#Metadata!", ADDRESS(INDEX($AJ$2:$AJ$1001,MATCH(ROWS($AH$2:AH266),$AH$2:$AH$1001,0),0), INDEX($AO$1004:$BQ$1004,1,MATCH(COLUMNS($AO$1006:BQ1006),$AO$1006:$BQ$1006,0)))),"Fix")))</f>
        <v>#REF!</v>
      </c>
      <c r="AH266">
        <f ca="1"/>
        <v>263</v>
      </c>
      <c r="AI266">
        <v>100266</v>
      </c>
      <c r="AJ266">
        <v>266</v>
      </c>
      <c r="AK266" t="b">
        <f t="shared" si="4"/>
        <v>1</v>
      </c>
      <c r="AL266" t="b">
        <f>COUNTBLANK(Metadata!B266:AD266)=COLUMNS(Metadata!B266:AD266)</f>
        <v>1</v>
      </c>
      <c r="AM266" t="str">
        <v/>
      </c>
      <c r="AO266" t="b">
        <f ca="1">AND(IF(Metadata!B266="",FALSE,TRUE),COUNTIF(Metadata!B:B, Metadata!B266) = 1,NOT(ISERROR(SUMPRODUCT(SEARCH(MID(Metadata!B266,ROW(INDIRECT("1:"&amp;LEN(Metadata!B266))), 1),"0123456789abcdefghijklmnopqrstuvwxyzABCDEFGHIJKLMNOPQRSTUVWXYZ.")))))</f>
        <v>0</v>
      </c>
      <c r="AP266" t="b">
        <f>IF(Metadata!C266="",FALSE,TRUE)</f>
        <v>0</v>
      </c>
      <c r="AQ266" t="b">
        <f>IF(Metadata!D266="",FALSE,TRUE)</f>
        <v>0</v>
      </c>
      <c r="AR266" t="b">
        <f ca="1">OR(AND(IF(Metadata!E266="",FALSE,TRUE),OR(EXACT(Metadata!E266,"not collected"),EXACT(Metadata!E266,"not provided"),EXACT(Metadata!E266,"restricted access"))),AND(IF(Metadata!E266="",FALSE,TRUE),AND(AND(IFERROR(INT(LEFT(Metadata!E266,4))&gt;1900,FALSE),IFERROR(INT(LEFT(Metadata!E266,4))&lt;=YEAR(NOW()),FALSE)), OR(MID(Metadata!E266,5,1)="", AND(AND(MID(Metadata!E266,5,1)="-",IFERROR(INT(MID(Metadata!E266,6,1))&gt;=0,FALSE),IFERROR(INT(MID(Metadata!E266,6,1))&lt;=1,FALSE),NOT(MID(Metadata!E266,7,1)=""),IFERROR(INT(MID(Metadata!E266,6,2))&gt;=1,FALSE),IFERROR(INT(MID(Metadata!E266,6,2))&lt;=12,FALSE)), OR(MID(Metadata!E266,8,1)="", AND(AND(MID(Metadata!E266,8,1)="-",IFERROR(INT(MID(Metadata!E266,9,1))&gt;=0,FALSE),IFERROR(INT(MID(Metadata!E266,9,1))&lt;=3,FALSE),NOT(MID(Metadata!E266,10,1)=""),IFERROR(INT(MID(Metadata!E266,9,2))&gt;=1,FALSE),IFERROR(INT(MID(Metadata!E266,9,2))&lt;=31,FALSE)), OR(MID(Metadata!E266,11,1)="", AND(AND(MID(Metadata!E266,11,1)=" ",IFERROR(INT(MID(Metadata!E266,12,1))&gt;=0,FALSE),IFERROR(INT(MID(Metadata!E266,12,1))&lt;=2,FALSE),NOT(MID(Metadata!E266,13,1)=""),IFERROR(INT(MID(Metadata!E266,12,2))&gt;=0,FALSE),IFERROR(INT(MID(Metadata!E266,12,2))&lt;=23,FALSE)), OR(MID(Metadata!E266,14,1)="", AND(AND(MID(Metadata!E266,14,1)=":",IFERROR(INT(MID(Metadata!E266,15,1))&gt;=0,FALSE),IFERROR(INT(MID(Metadata!E266,15,1))&lt;=5,FALSE),NOT(MID(Metadata!E266,16,1)=""),IFERROR(INT(MID(Metadata!E266,15,2))&gt;=0,FALSE),IFERROR(INT(MID(Metadata!E266,15,2))&lt;=59,FALSE)), OR(MID(Metadata!E266,17,1)="", AND(AND(MID(Metadata!E266,17,1)=":",IFERROR(INT(MID(Metadata!E266,18,1))&gt;=0,FALSE),IFERROR(INT(MID(Metadata!E266,18,1))&lt;=5,FALSE),NOT(MID(Metadata!E266,19,1)=""),IFERROR(INT(MID(Metadata!E266,18,2))&gt;=0,FALSE),IFERROR(INT(MID(Metadata!E266,18,2))&lt;=59,FALSE)), LEN(Metadata!E266)&lt;=19)))))))))))))</f>
        <v>0</v>
      </c>
      <c r="AS266" t="b">
        <f>IF(Metadata!F266="",FALSE,TRUE)</f>
        <v>0</v>
      </c>
      <c r="AT266" t="b">
        <f>OR(AND(IF(Metadata!G266="",FALSE,TRUE),OR(EXACT(Metadata!G266,"not collected"),EXACT(Metadata!G266,"not provided"))),AND(IF(Metadata!G266="",FALSE,TRUE),OR(EXACT(Metadata!G266,"TRUE"),EXACT(Metadata!G266,"FALSE"))))</f>
        <v>0</v>
      </c>
      <c r="AU266" t="b">
        <f>OR(AND(IF(Metadata!H266="",FALSE,TRUE),OR(EXACT(Metadata!H266,"not collected"),EXACT(Metadata!H266,"not provided"),EXACT(Metadata!H266,"restricted access"))),AND(IF(Metadata!H266="",FALSE,ISNUMBER(VALUE(Metadata!H266))),Metadata!H266&gt;=-413))</f>
        <v>0</v>
      </c>
      <c r="AV266" t="b">
        <f>AND(IF(Metadata!I266="",FALSE,TRUE),EXACT(Metadata!I266,"meters"))</f>
        <v>0</v>
      </c>
      <c r="AW266" t="b">
        <f>AND(IF(Metadata!J266="",FALSE,TRUE),EXACT(Metadata!J266,"free-living"))</f>
        <v>0</v>
      </c>
      <c r="AX266" t="b">
        <f>AND(IF(Metadata!K266="",FALSE,TRUE),OR(EXACT(Metadata!K266,"saline"),EXACT(Metadata!K266,"non-saline")))</f>
        <v>0</v>
      </c>
      <c r="AY266" t="b">
        <f>AND(IF(Metadata!L266="",FALSE,TRUE),OR(EXACT(Metadata!L266,"sub-surface (non-saline)"),EXACT(Metadata!L266,"surface (non-saline)"),EXACT(Metadata!L266,"water (non-saline)"),EXACT(Metadata!L266,"soil (non-saline)"),EXACT(Metadata!L266,"aerosol (non-saline)"),EXACT(Metadata!L266,"sediment (non-saline)"),EXACT(Metadata!L266,"surface (saline)"),EXACT(Metadata!L266,"water (saline)"),EXACT(Metadata!L266,"hypersaline (saline)"),EXACT(Metadata!L266,"aerosol (saline)"),EXACT(Metadata!L266,"sediment (saline)")))</f>
        <v>0</v>
      </c>
      <c r="AZ266" t="b">
        <f>IF(Metadata!M266="",FALSE,TRUE)</f>
        <v>0</v>
      </c>
      <c r="BA266" t="b">
        <f>IF(Metadata!N266="",FALSE,TRUE)</f>
        <v>0</v>
      </c>
      <c r="BB266" t="b">
        <f>IF(Metadata!O266="",FALSE,TRUE)</f>
        <v>0</v>
      </c>
      <c r="BC266" t="b">
        <f>AND(IF(Metadata!P266="",FALSE,TRUE),OR(EXACT(Metadata!P266,"air"),EXACT(Metadata!P266,"microbial mat/biofilm"),EXACT(Metadata!P266,"misc environment"),EXACT(Metadata!P266,"sediment"),EXACT(Metadata!P266,"soil"),EXACT(Metadata!P266,"wastewater/sludge"),EXACT(Metadata!P266,"water")))</f>
        <v>0</v>
      </c>
      <c r="BD266" t="b">
        <f>IF(Metadata!Q266="",FALSE,TRUE)</f>
        <v>0</v>
      </c>
      <c r="BE266" t="b">
        <f>IF(Metadata!R266="",FALSE,TRUE)</f>
        <v>0</v>
      </c>
      <c r="BF266" t="b">
        <f>OR(AND(IF(Metadata!S266="",FALSE,TRUE),OR(EXACT(Metadata!S266,"not collected"),EXACT(Metadata!S266,"not provided"),EXACT(Metadata!S266,"restricted access"))),AND(IF(Metadata!S266="",FALSE,ISNUMBER(VALUE(Metadata!S266))),Metadata!S266&gt;=-90,Metadata!S266&lt;=90))</f>
        <v>0</v>
      </c>
      <c r="BG266" t="b">
        <f>AND(IF(Metadata!T266="",FALSE,TRUE),EXACT(Metadata!T266,"Decimal degrees"))</f>
        <v>0</v>
      </c>
      <c r="BH266" t="b">
        <f>OR(AND(IF(Metadata!U266="",FALSE,TRUE),OR(EXACT(Metadata!U266,"not applicable"),EXACT(Metadata!U266,"not collected"))),IF(Metadata!U266="",FALSE,TRUE))</f>
        <v>0</v>
      </c>
      <c r="BI266" t="b">
        <f>OR(AND(IF(Metadata!V266="",FALSE,TRUE),OR(EXACT(Metadata!V266,"not collected"),EXACT(Metadata!V266,"not provided"),EXACT(Metadata!V266,"restricted access"))),AND(IF(Metadata!V266="",FALSE,ISNUMBER(VALUE(Metadata!V266))),Metadata!V266&gt;=-180,Metadata!V266&lt;=180))</f>
        <v>0</v>
      </c>
      <c r="BJ266" t="b">
        <f>AND(IF(Metadata!W266="",FALSE,TRUE),EXACT(Metadata!W266,"Decimal degrees"))</f>
        <v>0</v>
      </c>
      <c r="BK266" t="b">
        <f>IF(Metadata!X266="",FALSE,TRUE)</f>
        <v>0</v>
      </c>
      <c r="BL266" t="b">
        <f>OR(AND(IF(Metadata!Y266="",FALSE,TRUE),OR(EXACT(Metadata!Y266,"not collected"),EXACT(Metadata!Y266,"not provided"),EXACT(Metadata!Y266,"restricted access"))),AND(IF(Metadata!Y266="",FALSE,TRUE),OR(EXACT(Metadata!Y266,"TRUE"),EXACT(Metadata!Y266,"FALSE"))))</f>
        <v>0</v>
      </c>
      <c r="BM266" t="b">
        <f>OR(AND(IF(Metadata!Z266="",FALSE,TRUE),EXACT(Metadata!Z266,"not applicable")),AND(IF(Metadata!Z266="",FALSE,TRUE),OR(EXACT(Metadata!Z266,"beer"),EXACT(Metadata!Z266,"cheese"),EXACT(Metadata!Z266,"fresh water"),EXACT(Metadata!Z266,"marine sediment"),EXACT(Metadata!Z266,"sea water"),EXACT(Metadata!Z266,"sediment"),EXACT(Metadata!Z266,"soil"),EXACT(Metadata!Z266,"waste water"))))</f>
        <v>0</v>
      </c>
      <c r="BN266" t="b">
        <f>AND(IF(Metadata!AA266="",FALSE,TRUE),EXACT(Metadata!AA266,"metagenome"))</f>
        <v>0</v>
      </c>
      <c r="BO266" t="b">
        <f>AND(IF(Metadata!AB266="",FALSE,TRUE),EXACT(Metadata!AB266,"256318"))</f>
        <v>0</v>
      </c>
      <c r="BP266" t="b">
        <f>IF(Metadata!AC266="",FALSE,TRUE)</f>
        <v>0</v>
      </c>
      <c r="BQ266" t="b">
        <f>IF(Metadata!AD266="",FALSE,TRUE)</f>
        <v>0</v>
      </c>
    </row>
    <row r="267" spans="1:69" x14ac:dyDescent="0.2">
      <c r="A267" s="4" t="e">
        <f ca="1">IF(B267=" "," ",HYPERLINK(CONCATENATE("#metadata!",ADDRESS(INDEX($AJ$2:$AJ$1001,MATCH(ROWS($AH$2:AH267),$AH$2:$AH$1001,0),0),2)),INDEX($AM$2:$AM$1001,MATCH(ROWS($AH$2:AH267),$AH$2:$AH$1001,0),0)))</f>
        <v>#N/A</v>
      </c>
      <c r="B267" s="5" t="e">
        <f ca="1">IF(OR(INDEX($AI$2:$AI$1001,MATCH(ROWS($AH$2:AH267),$AH$2:$AH$1001,0),1)&gt;=100000,INDEX($AO$1005:$BQ$1005,1,MATCH(COLUMNS($AO$1006:AO1006),$AO$1006:$BQ$1006,0))&gt;=100000), " ",IF(INDEX($AO$2:$BQ$1001,MATCH(ROWS($AH$2:AH267),$AH$2:$AH$1001,0),MATCH(COLUMNS($AO$1006:AO1006),$AO$1006:$BQ$1006,0)), HYPERLINK("#",""), HYPERLINK(CONCATENATE("#Metadata!", ADDRESS(INDEX($AJ$2:$AJ$1001,MATCH(ROWS($AH$2:AH267),$AH$2:$AH$1001,0),0), INDEX($AO$1004:$BQ$1004,1,MATCH(COLUMNS($AO$1006:AO1006),$AO$1006:$BQ$1006,0)))),"Fix")))</f>
        <v>#N/A</v>
      </c>
      <c r="C267" s="5" t="e">
        <f ca="1">IF(OR(INDEX($AI$2:$AI$1001,MATCH(ROWS($AH$2:AH267),$AH$2:$AH$1001,0),1)&gt;=100000,INDEX($AO$1005:$BQ$1005,1,MATCH(COLUMNS($AO$1006:AP1006),$AO$1006:$BQ$1006,0))&gt;=100000), " ",IF(INDEX($AO$2:$BQ$1001,MATCH(ROWS($AH$2:AH267),$AH$2:$AH$1001,0),MATCH(COLUMNS($AO$1006:AP1006),$AO$1006:$BQ$1006,0)), HYPERLINK("#",""), HYPERLINK(CONCATENATE("#Metadata!", ADDRESS(INDEX($AJ$2:$AJ$1001,MATCH(ROWS($AH$2:AH267),$AH$2:$AH$1001,0),0), INDEX($AO$1004:$BQ$1004,1,MATCH(COLUMNS($AO$1006:AP1006),$AO$1006:$BQ$1006,0)))),"Fix")))</f>
        <v>#N/A</v>
      </c>
      <c r="D267" s="5" t="e">
        <f ca="1">IF(OR(INDEX($AI$2:$AI$1001,MATCH(ROWS($AH$2:AH267),$AH$2:$AH$1001,0),1)&gt;=100000,INDEX($AO$1005:$BQ$1005,1,MATCH(COLUMNS($AO$1006:AQ1006),$AO$1006:$BQ$1006,0))&gt;=100000), " ",IF(INDEX($AO$2:$BQ$1001,MATCH(ROWS($AH$2:AH267),$AH$2:$AH$1001,0),MATCH(COLUMNS($AO$1006:AQ1006),$AO$1006:$BQ$1006,0)), HYPERLINK("#",""), HYPERLINK(CONCATENATE("#Metadata!", ADDRESS(INDEX($AJ$2:$AJ$1001,MATCH(ROWS($AH$2:AH267),$AH$2:$AH$1001,0),0), INDEX($AO$1004:$BQ$1004,1,MATCH(COLUMNS($AO$1006:AQ1006),$AO$1006:$BQ$1006,0)))),"Fix")))</f>
        <v>#N/A</v>
      </c>
      <c r="E267" s="5" t="e">
        <f ca="1">IF(OR(INDEX($AI$2:$AI$1001,MATCH(ROWS($AH$2:AH267),$AH$2:$AH$1001,0),1)&gt;=100000,INDEX($AO$1005:$BQ$1005,1,MATCH(COLUMNS($AO$1006:AR1006),$AO$1006:$BQ$1006,0))&gt;=100000), " ",IF(INDEX($AO$2:$BQ$1001,MATCH(ROWS($AH$2:AH267),$AH$2:$AH$1001,0),MATCH(COLUMNS($AO$1006:AR1006),$AO$1006:$BQ$1006,0)), HYPERLINK("#",""), HYPERLINK(CONCATENATE("#Metadata!", ADDRESS(INDEX($AJ$2:$AJ$1001,MATCH(ROWS($AH$2:AH267),$AH$2:$AH$1001,0),0), INDEX($AO$1004:$BQ$1004,1,MATCH(COLUMNS($AO$1006:AR1006),$AO$1006:$BQ$1006,0)))),"Fix")))</f>
        <v>#N/A</v>
      </c>
      <c r="F267" s="5" t="e">
        <f ca="1">IF(OR(INDEX($AI$2:$AI$1001,MATCH(ROWS($AH$2:AH267),$AH$2:$AH$1001,0),1)&gt;=100000,INDEX($AO$1005:$BQ$1005,1,MATCH(COLUMNS($AO$1006:AS1006),$AO$1006:$BQ$1006,0))&gt;=100000), " ",IF(INDEX($AO$2:$BQ$1001,MATCH(ROWS($AH$2:AH267),$AH$2:$AH$1001,0),MATCH(COLUMNS($AO$1006:AS1006),$AO$1006:$BQ$1006,0)), HYPERLINK("#",""), HYPERLINK(CONCATENATE("#Metadata!", ADDRESS(INDEX($AJ$2:$AJ$1001,MATCH(ROWS($AH$2:AH267),$AH$2:$AH$1001,0),0), INDEX($AO$1004:$BQ$1004,1,MATCH(COLUMNS($AO$1006:AS1006),$AO$1006:$BQ$1006,0)))),"Fix")))</f>
        <v>#N/A</v>
      </c>
      <c r="G267" s="5" t="e">
        <f ca="1">IF(OR(INDEX($AI$2:$AI$1001,MATCH(ROWS($AH$2:AH267),$AH$2:$AH$1001,0),1)&gt;=100000,INDEX($AO$1005:$BQ$1005,1,MATCH(COLUMNS($AO$1006:AT1006),$AO$1006:$BQ$1006,0))&gt;=100000), " ",IF(INDEX($AO$2:$BQ$1001,MATCH(ROWS($AH$2:AH267),$AH$2:$AH$1001,0),MATCH(COLUMNS($AO$1006:AT1006),$AO$1006:$BQ$1006,0)), HYPERLINK("#",""), HYPERLINK(CONCATENATE("#Metadata!", ADDRESS(INDEX($AJ$2:$AJ$1001,MATCH(ROWS($AH$2:AH267),$AH$2:$AH$1001,0),0), INDEX($AO$1004:$BQ$1004,1,MATCH(COLUMNS($AO$1006:AT1006),$AO$1006:$BQ$1006,0)))),"Fix")))</f>
        <v>#N/A</v>
      </c>
      <c r="H267" s="5" t="e">
        <f ca="1">IF(OR(INDEX($AI$2:$AI$1001,MATCH(ROWS($AH$2:AH267),$AH$2:$AH$1001,0),1)&gt;=100000,INDEX($AO$1005:$BQ$1005,1,MATCH(COLUMNS($AO$1006:AU1006),$AO$1006:$BQ$1006,0))&gt;=100000), " ",IF(INDEX($AO$2:$BQ$1001,MATCH(ROWS($AH$2:AH267),$AH$2:$AH$1001,0),MATCH(COLUMNS($AO$1006:AU1006),$AO$1006:$BQ$1006,0)), HYPERLINK("#",""), HYPERLINK(CONCATENATE("#Metadata!", ADDRESS(INDEX($AJ$2:$AJ$1001,MATCH(ROWS($AH$2:AH267),$AH$2:$AH$1001,0),0), INDEX($AO$1004:$BQ$1004,1,MATCH(COLUMNS($AO$1006:AU1006),$AO$1006:$BQ$1006,0)))),"Fix")))</f>
        <v>#N/A</v>
      </c>
      <c r="I267" s="5" t="e">
        <f ca="1">IF(OR(INDEX($AI$2:$AI$1001,MATCH(ROWS($AH$2:AH267),$AH$2:$AH$1001,0),1)&gt;=100000,INDEX($AO$1005:$BQ$1005,1,MATCH(COLUMNS($AO$1006:AV1006),$AO$1006:$BQ$1006,0))&gt;=100000), " ",IF(INDEX($AO$2:$BQ$1001,MATCH(ROWS($AH$2:AH267),$AH$2:$AH$1001,0),MATCH(COLUMNS($AO$1006:AV1006),$AO$1006:$BQ$1006,0)), HYPERLINK("#",""), HYPERLINK(CONCATENATE("#Metadata!", ADDRESS(INDEX($AJ$2:$AJ$1001,MATCH(ROWS($AH$2:AH267),$AH$2:$AH$1001,0),0), INDEX($AO$1004:$BQ$1004,1,MATCH(COLUMNS($AO$1006:AV1006),$AO$1006:$BQ$1006,0)))),"Fix")))</f>
        <v>#N/A</v>
      </c>
      <c r="J267" s="5" t="e">
        <f ca="1">IF(OR(INDEX($AI$2:$AI$1001,MATCH(ROWS($AH$2:AH267),$AH$2:$AH$1001,0),1)&gt;=100000,INDEX($AO$1005:$BQ$1005,1,MATCH(COLUMNS($AO$1006:AW1006),$AO$1006:$BQ$1006,0))&gt;=100000), " ",IF(INDEX($AO$2:$BQ$1001,MATCH(ROWS($AH$2:AH267),$AH$2:$AH$1001,0),MATCH(COLUMNS($AO$1006:AW1006),$AO$1006:$BQ$1006,0)), HYPERLINK("#",""), HYPERLINK(CONCATENATE("#Metadata!", ADDRESS(INDEX($AJ$2:$AJ$1001,MATCH(ROWS($AH$2:AH267),$AH$2:$AH$1001,0),0), INDEX($AO$1004:$BQ$1004,1,MATCH(COLUMNS($AO$1006:AW1006),$AO$1006:$BQ$1006,0)))),"Fix")))</f>
        <v>#N/A</v>
      </c>
      <c r="K267" s="5" t="e">
        <f ca="1">IF(OR(INDEX($AI$2:$AI$1001,MATCH(ROWS($AH$2:AH267),$AH$2:$AH$1001,0),1)&gt;=100000,INDEX($AO$1005:$BQ$1005,1,MATCH(COLUMNS($AO$1006:AX1006),$AO$1006:$BQ$1006,0))&gt;=100000), " ",IF(INDEX($AO$2:$BQ$1001,MATCH(ROWS($AH$2:AH267),$AH$2:$AH$1001,0),MATCH(COLUMNS($AO$1006:AX1006),$AO$1006:$BQ$1006,0)), HYPERLINK("#",""), HYPERLINK(CONCATENATE("#Metadata!", ADDRESS(INDEX($AJ$2:$AJ$1001,MATCH(ROWS($AH$2:AH267),$AH$2:$AH$1001,0),0), INDEX($AO$1004:$BQ$1004,1,MATCH(COLUMNS($AO$1006:AX1006),$AO$1006:$BQ$1006,0)))),"Fix")))</f>
        <v>#N/A</v>
      </c>
      <c r="L267" s="5" t="e">
        <f ca="1">IF(OR(INDEX($AI$2:$AI$1001,MATCH(ROWS($AH$2:AH267),$AH$2:$AH$1001,0),1)&gt;=100000,INDEX($AO$1005:$BQ$1005,1,MATCH(COLUMNS($AO$1006:AY1006),$AO$1006:$BQ$1006,0))&gt;=100000), " ",IF(INDEX($AO$2:$BQ$1001,MATCH(ROWS($AH$2:AH267),$AH$2:$AH$1001,0),MATCH(COLUMNS($AO$1006:AY1006),$AO$1006:$BQ$1006,0)), HYPERLINK("#",""), HYPERLINK(CONCATENATE("#Metadata!", ADDRESS(INDEX($AJ$2:$AJ$1001,MATCH(ROWS($AH$2:AH267),$AH$2:$AH$1001,0),0), INDEX($AO$1004:$BQ$1004,1,MATCH(COLUMNS($AO$1006:AY1006),$AO$1006:$BQ$1006,0)))),"Fix")))</f>
        <v>#N/A</v>
      </c>
      <c r="M267" s="5" t="e">
        <f ca="1">IF(OR(INDEX($AI$2:$AI$1001,MATCH(ROWS($AH$2:AH267),$AH$2:$AH$1001,0),1)&gt;=100000,INDEX($AO$1005:$BQ$1005,1,MATCH(COLUMNS($AO$1006:AZ1006),$AO$1006:$BQ$1006,0))&gt;=100000), " ",IF(INDEX($AO$2:$BQ$1001,MATCH(ROWS($AH$2:AH267),$AH$2:$AH$1001,0),MATCH(COLUMNS($AO$1006:AZ1006),$AO$1006:$BQ$1006,0)), HYPERLINK("#",""), HYPERLINK(CONCATENATE("#Metadata!", ADDRESS(INDEX($AJ$2:$AJ$1001,MATCH(ROWS($AH$2:AH267),$AH$2:$AH$1001,0),0), INDEX($AO$1004:$BQ$1004,1,MATCH(COLUMNS($AO$1006:AZ1006),$AO$1006:$BQ$1006,0)))),"Fix")))</f>
        <v>#N/A</v>
      </c>
      <c r="N267" s="5" t="e">
        <f ca="1">IF(OR(INDEX($AI$2:$AI$1001,MATCH(ROWS($AH$2:AH267),$AH$2:$AH$1001,0),1)&gt;=100000,INDEX($AO$1005:$BQ$1005,1,MATCH(COLUMNS($AO$1006:BA1006),$AO$1006:$BQ$1006,0))&gt;=100000), " ",IF(INDEX($AO$2:$BQ$1001,MATCH(ROWS($AH$2:AH267),$AH$2:$AH$1001,0),MATCH(COLUMNS($AO$1006:BA1006),$AO$1006:$BQ$1006,0)), HYPERLINK("#",""), HYPERLINK(CONCATENATE("#Metadata!", ADDRESS(INDEX($AJ$2:$AJ$1001,MATCH(ROWS($AH$2:AH267),$AH$2:$AH$1001,0),0), INDEX($AO$1004:$BQ$1004,1,MATCH(COLUMNS($AO$1006:BA1006),$AO$1006:$BQ$1006,0)))),"Fix")))</f>
        <v>#N/A</v>
      </c>
      <c r="O267" s="5" t="e">
        <f ca="1">IF(OR(INDEX($AI$2:$AI$1001,MATCH(ROWS($AH$2:AH267),$AH$2:$AH$1001,0),1)&gt;=100000,INDEX($AO$1005:$BQ$1005,1,MATCH(COLUMNS($AO$1006:BB1006),$AO$1006:$BQ$1006,0))&gt;=100000), " ",IF(INDEX($AO$2:$BQ$1001,MATCH(ROWS($AH$2:AH267),$AH$2:$AH$1001,0),MATCH(COLUMNS($AO$1006:BB1006),$AO$1006:$BQ$1006,0)), HYPERLINK("#",""), HYPERLINK(CONCATENATE("#Metadata!", ADDRESS(INDEX($AJ$2:$AJ$1001,MATCH(ROWS($AH$2:AH267),$AH$2:$AH$1001,0),0), INDEX($AO$1004:$BQ$1004,1,MATCH(COLUMNS($AO$1006:BB1006),$AO$1006:$BQ$1006,0)))),"Fix")))</f>
        <v>#N/A</v>
      </c>
      <c r="P267" s="5" t="e">
        <f ca="1">IF(OR(INDEX($AI$2:$AI$1001,MATCH(ROWS($AH$2:AH267),$AH$2:$AH$1001,0),1)&gt;=100000,INDEX($AO$1005:$BQ$1005,1,MATCH(COLUMNS($AO$1006:BC1006),$AO$1006:$BQ$1006,0))&gt;=100000), " ",IF(INDEX($AO$2:$BQ$1001,MATCH(ROWS($AH$2:AH267),$AH$2:$AH$1001,0),MATCH(COLUMNS($AO$1006:BC1006),$AO$1006:$BQ$1006,0)), HYPERLINK("#",""), HYPERLINK(CONCATENATE("#Metadata!", ADDRESS(INDEX($AJ$2:$AJ$1001,MATCH(ROWS($AH$2:AH267),$AH$2:$AH$1001,0),0), INDEX($AO$1004:$BQ$1004,1,MATCH(COLUMNS($AO$1006:BC1006),$AO$1006:$BQ$1006,0)))),"Fix")))</f>
        <v>#N/A</v>
      </c>
      <c r="Q267" s="5" t="e">
        <f ca="1">IF(OR(INDEX($AI$2:$AI$1001,MATCH(ROWS($AH$2:AH267),$AH$2:$AH$1001,0),1)&gt;=100000,INDEX($AO$1005:$BQ$1005,1,MATCH(COLUMNS($AO$1006:BD1006),$AO$1006:$BQ$1006,0))&gt;=100000), " ",IF(INDEX($AO$2:$BQ$1001,MATCH(ROWS($AH$2:AH267),$AH$2:$AH$1001,0),MATCH(COLUMNS($AO$1006:BD1006),$AO$1006:$BQ$1006,0)), HYPERLINK("#",""), HYPERLINK(CONCATENATE("#Metadata!", ADDRESS(INDEX($AJ$2:$AJ$1001,MATCH(ROWS($AH$2:AH267),$AH$2:$AH$1001,0),0), INDEX($AO$1004:$BQ$1004,1,MATCH(COLUMNS($AO$1006:BD1006),$AO$1006:$BQ$1006,0)))),"Fix")))</f>
        <v>#N/A</v>
      </c>
      <c r="R267" s="5" t="e">
        <f ca="1">IF(OR(INDEX($AI$2:$AI$1001,MATCH(ROWS($AH$2:AH267),$AH$2:$AH$1001,0),1)&gt;=100000,INDEX($AO$1005:$BQ$1005,1,MATCH(COLUMNS($AO$1006:BE1006),$AO$1006:$BQ$1006,0))&gt;=100000), " ",IF(INDEX($AO$2:$BQ$1001,MATCH(ROWS($AH$2:AH267),$AH$2:$AH$1001,0),MATCH(COLUMNS($AO$1006:BE1006),$AO$1006:$BQ$1006,0)), HYPERLINK("#",""), HYPERLINK(CONCATENATE("#Metadata!", ADDRESS(INDEX($AJ$2:$AJ$1001,MATCH(ROWS($AH$2:AH267),$AH$2:$AH$1001,0),0), INDEX($AO$1004:$BQ$1004,1,MATCH(COLUMNS($AO$1006:BE1006),$AO$1006:$BQ$1006,0)))),"Fix")))</f>
        <v>#N/A</v>
      </c>
      <c r="S267" s="5" t="e">
        <f ca="1">IF(OR(INDEX($AI$2:$AI$1001,MATCH(ROWS($AH$2:AH267),$AH$2:$AH$1001,0),1)&gt;=100000,INDEX($AO$1005:$BQ$1005,1,MATCH(COLUMNS($AO$1006:BF1006),$AO$1006:$BQ$1006,0))&gt;=100000), " ",IF(INDEX($AO$2:$BQ$1001,MATCH(ROWS($AH$2:AH267),$AH$2:$AH$1001,0),MATCH(COLUMNS($AO$1006:BF1006),$AO$1006:$BQ$1006,0)), HYPERLINK("#",""), HYPERLINK(CONCATENATE("#Metadata!", ADDRESS(INDEX($AJ$2:$AJ$1001,MATCH(ROWS($AH$2:AH267),$AH$2:$AH$1001,0),0), INDEX($AO$1004:$BQ$1004,1,MATCH(COLUMNS($AO$1006:BF1006),$AO$1006:$BQ$1006,0)))),"Fix")))</f>
        <v>#N/A</v>
      </c>
      <c r="T267" s="5" t="e">
        <f ca="1">IF(OR(INDEX($AI$2:$AI$1001,MATCH(ROWS($AH$2:AH267),$AH$2:$AH$1001,0),1)&gt;=100000,INDEX($AO$1005:$BQ$1005,1,MATCH(COLUMNS($AO$1006:BG1006),$AO$1006:$BQ$1006,0))&gt;=100000), " ",IF(INDEX($AO$2:$BQ$1001,MATCH(ROWS($AH$2:AH267),$AH$2:$AH$1001,0),MATCH(COLUMNS($AO$1006:BG1006),$AO$1006:$BQ$1006,0)), HYPERLINK("#",""), HYPERLINK(CONCATENATE("#Metadata!", ADDRESS(INDEX($AJ$2:$AJ$1001,MATCH(ROWS($AH$2:AH267),$AH$2:$AH$1001,0),0), INDEX($AO$1004:$BQ$1004,1,MATCH(COLUMNS($AO$1006:BG1006),$AO$1006:$BQ$1006,0)))),"Fix")))</f>
        <v>#N/A</v>
      </c>
      <c r="U267" s="5" t="e">
        <f ca="1">IF(OR(INDEX($AI$2:$AI$1001,MATCH(ROWS($AH$2:AH267),$AH$2:$AH$1001,0),1)&gt;=100000,INDEX($AO$1005:$BQ$1005,1,MATCH(COLUMNS($AO$1006:BH1006),$AO$1006:$BQ$1006,0))&gt;=100000), " ",IF(INDEX($AO$2:$BQ$1001,MATCH(ROWS($AH$2:AH267),$AH$2:$AH$1001,0),MATCH(COLUMNS($AO$1006:BH1006),$AO$1006:$BQ$1006,0)), HYPERLINK("#",""), HYPERLINK(CONCATENATE("#Metadata!", ADDRESS(INDEX($AJ$2:$AJ$1001,MATCH(ROWS($AH$2:AH267),$AH$2:$AH$1001,0),0), INDEX($AO$1004:$BQ$1004,1,MATCH(COLUMNS($AO$1006:BH1006),$AO$1006:$BQ$1006,0)))),"Fix")))</f>
        <v>#N/A</v>
      </c>
      <c r="V267" s="5" t="e">
        <f ca="1">IF(OR(INDEX($AI$2:$AI$1001,MATCH(ROWS($AH$2:AH267),$AH$2:$AH$1001,0),1)&gt;=100000,INDEX($AO$1005:$BQ$1005,1,MATCH(COLUMNS($AO$1006:BI1006),$AO$1006:$BQ$1006,0))&gt;=100000), " ",IF(INDEX($AO$2:$BQ$1001,MATCH(ROWS($AH$2:AH267),$AH$2:$AH$1001,0),MATCH(COLUMNS($AO$1006:BI1006),$AO$1006:$BQ$1006,0)), HYPERLINK("#",""), HYPERLINK(CONCATENATE("#Metadata!", ADDRESS(INDEX($AJ$2:$AJ$1001,MATCH(ROWS($AH$2:AH267),$AH$2:$AH$1001,0),0), INDEX($AO$1004:$BQ$1004,1,MATCH(COLUMNS($AO$1006:BI1006),$AO$1006:$BQ$1006,0)))),"Fix")))</f>
        <v>#N/A</v>
      </c>
      <c r="W267" s="5" t="e">
        <f ca="1">IF(OR(INDEX($AI$2:$AI$1001,MATCH(ROWS($AH$2:AH267),$AH$2:$AH$1001,0),1)&gt;=100000,INDEX($AO$1005:$BQ$1005,1,MATCH(COLUMNS($AO$1006:BJ1006),$AO$1006:$BQ$1006,0))&gt;=100000), " ",IF(INDEX($AO$2:$BQ$1001,MATCH(ROWS($AH$2:AH267),$AH$2:$AH$1001,0),MATCH(COLUMNS($AO$1006:BJ1006),$AO$1006:$BQ$1006,0)), HYPERLINK("#",""), HYPERLINK(CONCATENATE("#Metadata!", ADDRESS(INDEX($AJ$2:$AJ$1001,MATCH(ROWS($AH$2:AH267),$AH$2:$AH$1001,0),0), INDEX($AO$1004:$BQ$1004,1,MATCH(COLUMNS($AO$1006:BJ1006),$AO$1006:$BQ$1006,0)))),"Fix")))</f>
        <v>#N/A</v>
      </c>
      <c r="X267" s="5" t="e">
        <f ca="1">IF(OR(INDEX($AI$2:$AI$1001,MATCH(ROWS($AH$2:AH267),$AH$2:$AH$1001,0),1)&gt;=100000,INDEX($AO$1005:$BQ$1005,1,MATCH(COLUMNS($AO$1006:BK1006),$AO$1006:$BQ$1006,0))&gt;=100000), " ",IF(INDEX($AO$2:$BQ$1001,MATCH(ROWS($AH$2:AH267),$AH$2:$AH$1001,0),MATCH(COLUMNS($AO$1006:BK1006),$AO$1006:$BQ$1006,0)), HYPERLINK("#",""), HYPERLINK(CONCATENATE("#Metadata!", ADDRESS(INDEX($AJ$2:$AJ$1001,MATCH(ROWS($AH$2:AH267),$AH$2:$AH$1001,0),0), INDEX($AO$1004:$BQ$1004,1,MATCH(COLUMNS($AO$1006:BK1006),$AO$1006:$BQ$1006,0)))),"Fix")))</f>
        <v>#N/A</v>
      </c>
      <c r="Y267" s="5" t="e">
        <f ca="1">IF(OR(INDEX($AI$2:$AI$1001,MATCH(ROWS($AH$2:AH267),$AH$2:$AH$1001,0),1)&gt;=100000,INDEX($AO$1005:$BQ$1005,1,MATCH(COLUMNS($AO$1006:BL1006),$AO$1006:$BQ$1006,0))&gt;=100000), " ",IF(INDEX($AO$2:$BQ$1001,MATCH(ROWS($AH$2:AH267),$AH$2:$AH$1001,0),MATCH(COLUMNS($AO$1006:BL1006),$AO$1006:$BQ$1006,0)), HYPERLINK("#",""), HYPERLINK(CONCATENATE("#Metadata!", ADDRESS(INDEX($AJ$2:$AJ$1001,MATCH(ROWS($AH$2:AH267),$AH$2:$AH$1001,0),0), INDEX($AO$1004:$BQ$1004,1,MATCH(COLUMNS($AO$1006:BL1006),$AO$1006:$BQ$1006,0)))),"Fix")))</f>
        <v>#N/A</v>
      </c>
      <c r="Z267" s="5" t="e">
        <f ca="1">IF(OR(INDEX($AI$2:$AI$1001,MATCH(ROWS($AH$2:AH267),$AH$2:$AH$1001,0),1)&gt;=100000,INDEX($AO$1005:$BQ$1005,1,MATCH(COLUMNS($AO$1006:BM1006),$AO$1006:$BQ$1006,0))&gt;=100000), " ",IF(INDEX($AO$2:$BQ$1001,MATCH(ROWS($AH$2:AH267),$AH$2:$AH$1001,0),MATCH(COLUMNS($AO$1006:BM1006),$AO$1006:$BQ$1006,0)), HYPERLINK("#",""), HYPERLINK(CONCATENATE("#Metadata!", ADDRESS(INDEX($AJ$2:$AJ$1001,MATCH(ROWS($AH$2:AH267),$AH$2:$AH$1001,0),0), INDEX($AO$1004:$BQ$1004,1,MATCH(COLUMNS($AO$1006:BM1006),$AO$1006:$BQ$1006,0)))),"Fix")))</f>
        <v>#N/A</v>
      </c>
      <c r="AA267" s="5" t="e">
        <f ca="1">IF(OR(INDEX($AI$2:$AI$1001,MATCH(ROWS($AH$2:AH267),$AH$2:$AH$1001,0),1)&gt;=100000,INDEX($AO$1005:$BQ$1005,1,MATCH(COLUMNS($AO$1006:BN1006),$AO$1006:$BQ$1006,0))&gt;=100000), " ",IF(INDEX($AO$2:$BQ$1001,MATCH(ROWS($AH$2:AH267),$AH$2:$AH$1001,0),MATCH(COLUMNS($AO$1006:BN1006),$AO$1006:$BQ$1006,0)), HYPERLINK("#",""), HYPERLINK(CONCATENATE("#Metadata!", ADDRESS(INDEX($AJ$2:$AJ$1001,MATCH(ROWS($AH$2:AH267),$AH$2:$AH$1001,0),0), INDEX($AO$1004:$BQ$1004,1,MATCH(COLUMNS($AO$1006:BN1006),$AO$1006:$BQ$1006,0)))),"Fix")))</f>
        <v>#N/A</v>
      </c>
      <c r="AB267" s="5" t="e">
        <f ca="1">IF(OR(INDEX($AI$2:$AI$1001,MATCH(ROWS($AH$2:AH267),$AH$2:$AH$1001,0),1)&gt;=100000,INDEX($AO$1005:$BQ$1005,1,MATCH(COLUMNS($AO$1006:BO1006),$AO$1006:$BQ$1006,0))&gt;=100000), " ",IF(INDEX($AO$2:$BQ$1001,MATCH(ROWS($AH$2:AH267),$AH$2:$AH$1001,0),MATCH(COLUMNS($AO$1006:BO1006),$AO$1006:$BQ$1006,0)), HYPERLINK("#",""), HYPERLINK(CONCATENATE("#Metadata!", ADDRESS(INDEX($AJ$2:$AJ$1001,MATCH(ROWS($AH$2:AH267),$AH$2:$AH$1001,0),0), INDEX($AO$1004:$BQ$1004,1,MATCH(COLUMNS($AO$1006:BO1006),$AO$1006:$BQ$1006,0)))),"Fix")))</f>
        <v>#N/A</v>
      </c>
      <c r="AC267" s="5" t="e">
        <f ca="1">IF(OR(INDEX($AI$2:$AI$1001,MATCH(ROWS($AH$2:AH267),$AH$2:$AH$1001,0),1)&gt;=100000,INDEX($AO$1005:$BQ$1005,1,MATCH(COLUMNS($AO$1006:BP1006),$AO$1006:$BQ$1006,0))&gt;=100000), " ",IF(INDEX($AO$2:$BQ$1001,MATCH(ROWS($AH$2:AH267),$AH$2:$AH$1001,0),MATCH(COLUMNS($AO$1006:BP1006),$AO$1006:$BQ$1006,0)), HYPERLINK("#",""), HYPERLINK(CONCATENATE("#Metadata!", ADDRESS(INDEX($AJ$2:$AJ$1001,MATCH(ROWS($AH$2:AH267),$AH$2:$AH$1001,0),0), INDEX($AO$1004:$BQ$1004,1,MATCH(COLUMNS($AO$1006:BP1006),$AO$1006:$BQ$1006,0)))),"Fix")))</f>
        <v>#N/A</v>
      </c>
      <c r="AD267" s="5" t="e">
        <f ca="1">IF(OR(INDEX($AI$2:$AI$1001,MATCH(ROWS($AH$2:AH267),$AH$2:$AH$1001,0),1)&gt;=100000,INDEX($AO$1005:$BQ$1005,1,MATCH(COLUMNS($AO$1006:BQ1006),$AO$1006:$BQ$1006,0))&gt;=100000), " ",IF(INDEX($AO$2:$BQ$1001,MATCH(ROWS($AH$2:AH267),$AH$2:$AH$1001,0),MATCH(COLUMNS($AO$1006:BQ1006),$AO$1006:$BQ$1006,0)), HYPERLINK("#",""), HYPERLINK(CONCATENATE("#Metadata!", ADDRESS(INDEX($AJ$2:$AJ$1001,MATCH(ROWS($AH$2:AH267),$AH$2:$AH$1001,0),0), INDEX($AO$1004:$BQ$1004,1,MATCH(COLUMNS($AO$1006:BQ1006),$AO$1006:$BQ$1006,0)))),"Fix")))</f>
        <v>#REF!</v>
      </c>
      <c r="AH267">
        <f ca="1"/>
        <v>264</v>
      </c>
      <c r="AI267">
        <v>100267</v>
      </c>
      <c r="AJ267">
        <v>267</v>
      </c>
      <c r="AK267" t="b">
        <f t="shared" si="4"/>
        <v>1</v>
      </c>
      <c r="AL267" t="b">
        <f>COUNTBLANK(Metadata!B267:AD267)=COLUMNS(Metadata!B267:AD267)</f>
        <v>1</v>
      </c>
      <c r="AM267" t="str">
        <v/>
      </c>
      <c r="AO267" t="b">
        <f ca="1">AND(IF(Metadata!B267="",FALSE,TRUE),COUNTIF(Metadata!B:B, Metadata!B267) = 1,NOT(ISERROR(SUMPRODUCT(SEARCH(MID(Metadata!B267,ROW(INDIRECT("1:"&amp;LEN(Metadata!B267))), 1),"0123456789abcdefghijklmnopqrstuvwxyzABCDEFGHIJKLMNOPQRSTUVWXYZ.")))))</f>
        <v>0</v>
      </c>
      <c r="AP267" t="b">
        <f>IF(Metadata!C267="",FALSE,TRUE)</f>
        <v>0</v>
      </c>
      <c r="AQ267" t="b">
        <f>IF(Metadata!D267="",FALSE,TRUE)</f>
        <v>0</v>
      </c>
      <c r="AR267" t="b">
        <f ca="1">OR(AND(IF(Metadata!E267="",FALSE,TRUE),OR(EXACT(Metadata!E267,"not collected"),EXACT(Metadata!E267,"not provided"),EXACT(Metadata!E267,"restricted access"))),AND(IF(Metadata!E267="",FALSE,TRUE),AND(AND(IFERROR(INT(LEFT(Metadata!E267,4))&gt;1900,FALSE),IFERROR(INT(LEFT(Metadata!E267,4))&lt;=YEAR(NOW()),FALSE)), OR(MID(Metadata!E267,5,1)="", AND(AND(MID(Metadata!E267,5,1)="-",IFERROR(INT(MID(Metadata!E267,6,1))&gt;=0,FALSE),IFERROR(INT(MID(Metadata!E267,6,1))&lt;=1,FALSE),NOT(MID(Metadata!E267,7,1)=""),IFERROR(INT(MID(Metadata!E267,6,2))&gt;=1,FALSE),IFERROR(INT(MID(Metadata!E267,6,2))&lt;=12,FALSE)), OR(MID(Metadata!E267,8,1)="", AND(AND(MID(Metadata!E267,8,1)="-",IFERROR(INT(MID(Metadata!E267,9,1))&gt;=0,FALSE),IFERROR(INT(MID(Metadata!E267,9,1))&lt;=3,FALSE),NOT(MID(Metadata!E267,10,1)=""),IFERROR(INT(MID(Metadata!E267,9,2))&gt;=1,FALSE),IFERROR(INT(MID(Metadata!E267,9,2))&lt;=31,FALSE)), OR(MID(Metadata!E267,11,1)="", AND(AND(MID(Metadata!E267,11,1)=" ",IFERROR(INT(MID(Metadata!E267,12,1))&gt;=0,FALSE),IFERROR(INT(MID(Metadata!E267,12,1))&lt;=2,FALSE),NOT(MID(Metadata!E267,13,1)=""),IFERROR(INT(MID(Metadata!E267,12,2))&gt;=0,FALSE),IFERROR(INT(MID(Metadata!E267,12,2))&lt;=23,FALSE)), OR(MID(Metadata!E267,14,1)="", AND(AND(MID(Metadata!E267,14,1)=":",IFERROR(INT(MID(Metadata!E267,15,1))&gt;=0,FALSE),IFERROR(INT(MID(Metadata!E267,15,1))&lt;=5,FALSE),NOT(MID(Metadata!E267,16,1)=""),IFERROR(INT(MID(Metadata!E267,15,2))&gt;=0,FALSE),IFERROR(INT(MID(Metadata!E267,15,2))&lt;=59,FALSE)), OR(MID(Metadata!E267,17,1)="", AND(AND(MID(Metadata!E267,17,1)=":",IFERROR(INT(MID(Metadata!E267,18,1))&gt;=0,FALSE),IFERROR(INT(MID(Metadata!E267,18,1))&lt;=5,FALSE),NOT(MID(Metadata!E267,19,1)=""),IFERROR(INT(MID(Metadata!E267,18,2))&gt;=0,FALSE),IFERROR(INT(MID(Metadata!E267,18,2))&lt;=59,FALSE)), LEN(Metadata!E267)&lt;=19)))))))))))))</f>
        <v>0</v>
      </c>
      <c r="AS267" t="b">
        <f>IF(Metadata!F267="",FALSE,TRUE)</f>
        <v>0</v>
      </c>
      <c r="AT267" t="b">
        <f>OR(AND(IF(Metadata!G267="",FALSE,TRUE),OR(EXACT(Metadata!G267,"not collected"),EXACT(Metadata!G267,"not provided"))),AND(IF(Metadata!G267="",FALSE,TRUE),OR(EXACT(Metadata!G267,"TRUE"),EXACT(Metadata!G267,"FALSE"))))</f>
        <v>0</v>
      </c>
      <c r="AU267" t="b">
        <f>OR(AND(IF(Metadata!H267="",FALSE,TRUE),OR(EXACT(Metadata!H267,"not collected"),EXACT(Metadata!H267,"not provided"),EXACT(Metadata!H267,"restricted access"))),AND(IF(Metadata!H267="",FALSE,ISNUMBER(VALUE(Metadata!H267))),Metadata!H267&gt;=-413))</f>
        <v>0</v>
      </c>
      <c r="AV267" t="b">
        <f>AND(IF(Metadata!I267="",FALSE,TRUE),EXACT(Metadata!I267,"meters"))</f>
        <v>0</v>
      </c>
      <c r="AW267" t="b">
        <f>AND(IF(Metadata!J267="",FALSE,TRUE),EXACT(Metadata!J267,"free-living"))</f>
        <v>0</v>
      </c>
      <c r="AX267" t="b">
        <f>AND(IF(Metadata!K267="",FALSE,TRUE),OR(EXACT(Metadata!K267,"saline"),EXACT(Metadata!K267,"non-saline")))</f>
        <v>0</v>
      </c>
      <c r="AY267" t="b">
        <f>AND(IF(Metadata!L267="",FALSE,TRUE),OR(EXACT(Metadata!L267,"sub-surface (non-saline)"),EXACT(Metadata!L267,"surface (non-saline)"),EXACT(Metadata!L267,"water (non-saline)"),EXACT(Metadata!L267,"soil (non-saline)"),EXACT(Metadata!L267,"aerosol (non-saline)"),EXACT(Metadata!L267,"sediment (non-saline)"),EXACT(Metadata!L267,"surface (saline)"),EXACT(Metadata!L267,"water (saline)"),EXACT(Metadata!L267,"hypersaline (saline)"),EXACT(Metadata!L267,"aerosol (saline)"),EXACT(Metadata!L267,"sediment (saline)")))</f>
        <v>0</v>
      </c>
      <c r="AZ267" t="b">
        <f>IF(Metadata!M267="",FALSE,TRUE)</f>
        <v>0</v>
      </c>
      <c r="BA267" t="b">
        <f>IF(Metadata!N267="",FALSE,TRUE)</f>
        <v>0</v>
      </c>
      <c r="BB267" t="b">
        <f>IF(Metadata!O267="",FALSE,TRUE)</f>
        <v>0</v>
      </c>
      <c r="BC267" t="b">
        <f>AND(IF(Metadata!P267="",FALSE,TRUE),OR(EXACT(Metadata!P267,"air"),EXACT(Metadata!P267,"microbial mat/biofilm"),EXACT(Metadata!P267,"misc environment"),EXACT(Metadata!P267,"sediment"),EXACT(Metadata!P267,"soil"),EXACT(Metadata!P267,"wastewater/sludge"),EXACT(Metadata!P267,"water")))</f>
        <v>0</v>
      </c>
      <c r="BD267" t="b">
        <f>IF(Metadata!Q267="",FALSE,TRUE)</f>
        <v>0</v>
      </c>
      <c r="BE267" t="b">
        <f>IF(Metadata!R267="",FALSE,TRUE)</f>
        <v>0</v>
      </c>
      <c r="BF267" t="b">
        <f>OR(AND(IF(Metadata!S267="",FALSE,TRUE),OR(EXACT(Metadata!S267,"not collected"),EXACT(Metadata!S267,"not provided"),EXACT(Metadata!S267,"restricted access"))),AND(IF(Metadata!S267="",FALSE,ISNUMBER(VALUE(Metadata!S267))),Metadata!S267&gt;=-90,Metadata!S267&lt;=90))</f>
        <v>0</v>
      </c>
      <c r="BG267" t="b">
        <f>AND(IF(Metadata!T267="",FALSE,TRUE),EXACT(Metadata!T267,"Decimal degrees"))</f>
        <v>0</v>
      </c>
      <c r="BH267" t="b">
        <f>OR(AND(IF(Metadata!U267="",FALSE,TRUE),OR(EXACT(Metadata!U267,"not applicable"),EXACT(Metadata!U267,"not collected"))),IF(Metadata!U267="",FALSE,TRUE))</f>
        <v>0</v>
      </c>
      <c r="BI267" t="b">
        <f>OR(AND(IF(Metadata!V267="",FALSE,TRUE),OR(EXACT(Metadata!V267,"not collected"),EXACT(Metadata!V267,"not provided"),EXACT(Metadata!V267,"restricted access"))),AND(IF(Metadata!V267="",FALSE,ISNUMBER(VALUE(Metadata!V267))),Metadata!V267&gt;=-180,Metadata!V267&lt;=180))</f>
        <v>0</v>
      </c>
      <c r="BJ267" t="b">
        <f>AND(IF(Metadata!W267="",FALSE,TRUE),EXACT(Metadata!W267,"Decimal degrees"))</f>
        <v>0</v>
      </c>
      <c r="BK267" t="b">
        <f>IF(Metadata!X267="",FALSE,TRUE)</f>
        <v>0</v>
      </c>
      <c r="BL267" t="b">
        <f>OR(AND(IF(Metadata!Y267="",FALSE,TRUE),OR(EXACT(Metadata!Y267,"not collected"),EXACT(Metadata!Y267,"not provided"),EXACT(Metadata!Y267,"restricted access"))),AND(IF(Metadata!Y267="",FALSE,TRUE),OR(EXACT(Metadata!Y267,"TRUE"),EXACT(Metadata!Y267,"FALSE"))))</f>
        <v>0</v>
      </c>
      <c r="BM267" t="b">
        <f>OR(AND(IF(Metadata!Z267="",FALSE,TRUE),EXACT(Metadata!Z267,"not applicable")),AND(IF(Metadata!Z267="",FALSE,TRUE),OR(EXACT(Metadata!Z267,"beer"),EXACT(Metadata!Z267,"cheese"),EXACT(Metadata!Z267,"fresh water"),EXACT(Metadata!Z267,"marine sediment"),EXACT(Metadata!Z267,"sea water"),EXACT(Metadata!Z267,"sediment"),EXACT(Metadata!Z267,"soil"),EXACT(Metadata!Z267,"waste water"))))</f>
        <v>0</v>
      </c>
      <c r="BN267" t="b">
        <f>AND(IF(Metadata!AA267="",FALSE,TRUE),EXACT(Metadata!AA267,"metagenome"))</f>
        <v>0</v>
      </c>
      <c r="BO267" t="b">
        <f>AND(IF(Metadata!AB267="",FALSE,TRUE),EXACT(Metadata!AB267,"256318"))</f>
        <v>0</v>
      </c>
      <c r="BP267" t="b">
        <f>IF(Metadata!AC267="",FALSE,TRUE)</f>
        <v>0</v>
      </c>
      <c r="BQ267" t="b">
        <f>IF(Metadata!AD267="",FALSE,TRUE)</f>
        <v>0</v>
      </c>
    </row>
    <row r="268" spans="1:69" x14ac:dyDescent="0.2">
      <c r="A268" s="4" t="e">
        <f ca="1">IF(B268=" "," ",HYPERLINK(CONCATENATE("#metadata!",ADDRESS(INDEX($AJ$2:$AJ$1001,MATCH(ROWS($AH$2:AH268),$AH$2:$AH$1001,0),0),2)),INDEX($AM$2:$AM$1001,MATCH(ROWS($AH$2:AH268),$AH$2:$AH$1001,0),0)))</f>
        <v>#N/A</v>
      </c>
      <c r="B268" s="5" t="e">
        <f ca="1">IF(OR(INDEX($AI$2:$AI$1001,MATCH(ROWS($AH$2:AH268),$AH$2:$AH$1001,0),1)&gt;=100000,INDEX($AO$1005:$BQ$1005,1,MATCH(COLUMNS($AO$1006:AO1006),$AO$1006:$BQ$1006,0))&gt;=100000), " ",IF(INDEX($AO$2:$BQ$1001,MATCH(ROWS($AH$2:AH268),$AH$2:$AH$1001,0),MATCH(COLUMNS($AO$1006:AO1006),$AO$1006:$BQ$1006,0)), HYPERLINK("#",""), HYPERLINK(CONCATENATE("#Metadata!", ADDRESS(INDEX($AJ$2:$AJ$1001,MATCH(ROWS($AH$2:AH268),$AH$2:$AH$1001,0),0), INDEX($AO$1004:$BQ$1004,1,MATCH(COLUMNS($AO$1006:AO1006),$AO$1006:$BQ$1006,0)))),"Fix")))</f>
        <v>#N/A</v>
      </c>
      <c r="C268" s="5" t="e">
        <f ca="1">IF(OR(INDEX($AI$2:$AI$1001,MATCH(ROWS($AH$2:AH268),$AH$2:$AH$1001,0),1)&gt;=100000,INDEX($AO$1005:$BQ$1005,1,MATCH(COLUMNS($AO$1006:AP1006),$AO$1006:$BQ$1006,0))&gt;=100000), " ",IF(INDEX($AO$2:$BQ$1001,MATCH(ROWS($AH$2:AH268),$AH$2:$AH$1001,0),MATCH(COLUMNS($AO$1006:AP1006),$AO$1006:$BQ$1006,0)), HYPERLINK("#",""), HYPERLINK(CONCATENATE("#Metadata!", ADDRESS(INDEX($AJ$2:$AJ$1001,MATCH(ROWS($AH$2:AH268),$AH$2:$AH$1001,0),0), INDEX($AO$1004:$BQ$1004,1,MATCH(COLUMNS($AO$1006:AP1006),$AO$1006:$BQ$1006,0)))),"Fix")))</f>
        <v>#N/A</v>
      </c>
      <c r="D268" s="5" t="e">
        <f ca="1">IF(OR(INDEX($AI$2:$AI$1001,MATCH(ROWS($AH$2:AH268),$AH$2:$AH$1001,0),1)&gt;=100000,INDEX($AO$1005:$BQ$1005,1,MATCH(COLUMNS($AO$1006:AQ1006),$AO$1006:$BQ$1006,0))&gt;=100000), " ",IF(INDEX($AO$2:$BQ$1001,MATCH(ROWS($AH$2:AH268),$AH$2:$AH$1001,0),MATCH(COLUMNS($AO$1006:AQ1006),$AO$1006:$BQ$1006,0)), HYPERLINK("#",""), HYPERLINK(CONCATENATE("#Metadata!", ADDRESS(INDEX($AJ$2:$AJ$1001,MATCH(ROWS($AH$2:AH268),$AH$2:$AH$1001,0),0), INDEX($AO$1004:$BQ$1004,1,MATCH(COLUMNS($AO$1006:AQ1006),$AO$1006:$BQ$1006,0)))),"Fix")))</f>
        <v>#N/A</v>
      </c>
      <c r="E268" s="5" t="e">
        <f ca="1">IF(OR(INDEX($AI$2:$AI$1001,MATCH(ROWS($AH$2:AH268),$AH$2:$AH$1001,0),1)&gt;=100000,INDEX($AO$1005:$BQ$1005,1,MATCH(COLUMNS($AO$1006:AR1006),$AO$1006:$BQ$1006,0))&gt;=100000), " ",IF(INDEX($AO$2:$BQ$1001,MATCH(ROWS($AH$2:AH268),$AH$2:$AH$1001,0),MATCH(COLUMNS($AO$1006:AR1006),$AO$1006:$BQ$1006,0)), HYPERLINK("#",""), HYPERLINK(CONCATENATE("#Metadata!", ADDRESS(INDEX($AJ$2:$AJ$1001,MATCH(ROWS($AH$2:AH268),$AH$2:$AH$1001,0),0), INDEX($AO$1004:$BQ$1004,1,MATCH(COLUMNS($AO$1006:AR1006),$AO$1006:$BQ$1006,0)))),"Fix")))</f>
        <v>#N/A</v>
      </c>
      <c r="F268" s="5" t="e">
        <f ca="1">IF(OR(INDEX($AI$2:$AI$1001,MATCH(ROWS($AH$2:AH268),$AH$2:$AH$1001,0),1)&gt;=100000,INDEX($AO$1005:$BQ$1005,1,MATCH(COLUMNS($AO$1006:AS1006),$AO$1006:$BQ$1006,0))&gt;=100000), " ",IF(INDEX($AO$2:$BQ$1001,MATCH(ROWS($AH$2:AH268),$AH$2:$AH$1001,0),MATCH(COLUMNS($AO$1006:AS1006),$AO$1006:$BQ$1006,0)), HYPERLINK("#",""), HYPERLINK(CONCATENATE("#Metadata!", ADDRESS(INDEX($AJ$2:$AJ$1001,MATCH(ROWS($AH$2:AH268),$AH$2:$AH$1001,0),0), INDEX($AO$1004:$BQ$1004,1,MATCH(COLUMNS($AO$1006:AS1006),$AO$1006:$BQ$1006,0)))),"Fix")))</f>
        <v>#N/A</v>
      </c>
      <c r="G268" s="5" t="e">
        <f ca="1">IF(OR(INDEX($AI$2:$AI$1001,MATCH(ROWS($AH$2:AH268),$AH$2:$AH$1001,0),1)&gt;=100000,INDEX($AO$1005:$BQ$1005,1,MATCH(COLUMNS($AO$1006:AT1006),$AO$1006:$BQ$1006,0))&gt;=100000), " ",IF(INDEX($AO$2:$BQ$1001,MATCH(ROWS($AH$2:AH268),$AH$2:$AH$1001,0),MATCH(COLUMNS($AO$1006:AT1006),$AO$1006:$BQ$1006,0)), HYPERLINK("#",""), HYPERLINK(CONCATENATE("#Metadata!", ADDRESS(INDEX($AJ$2:$AJ$1001,MATCH(ROWS($AH$2:AH268),$AH$2:$AH$1001,0),0), INDEX($AO$1004:$BQ$1004,1,MATCH(COLUMNS($AO$1006:AT1006),$AO$1006:$BQ$1006,0)))),"Fix")))</f>
        <v>#N/A</v>
      </c>
      <c r="H268" s="5" t="e">
        <f ca="1">IF(OR(INDEX($AI$2:$AI$1001,MATCH(ROWS($AH$2:AH268),$AH$2:$AH$1001,0),1)&gt;=100000,INDEX($AO$1005:$BQ$1005,1,MATCH(COLUMNS($AO$1006:AU1006),$AO$1006:$BQ$1006,0))&gt;=100000), " ",IF(INDEX($AO$2:$BQ$1001,MATCH(ROWS($AH$2:AH268),$AH$2:$AH$1001,0),MATCH(COLUMNS($AO$1006:AU1006),$AO$1006:$BQ$1006,0)), HYPERLINK("#",""), HYPERLINK(CONCATENATE("#Metadata!", ADDRESS(INDEX($AJ$2:$AJ$1001,MATCH(ROWS($AH$2:AH268),$AH$2:$AH$1001,0),0), INDEX($AO$1004:$BQ$1004,1,MATCH(COLUMNS($AO$1006:AU1006),$AO$1006:$BQ$1006,0)))),"Fix")))</f>
        <v>#N/A</v>
      </c>
      <c r="I268" s="5" t="e">
        <f ca="1">IF(OR(INDEX($AI$2:$AI$1001,MATCH(ROWS($AH$2:AH268),$AH$2:$AH$1001,0),1)&gt;=100000,INDEX($AO$1005:$BQ$1005,1,MATCH(COLUMNS($AO$1006:AV1006),$AO$1006:$BQ$1006,0))&gt;=100000), " ",IF(INDEX($AO$2:$BQ$1001,MATCH(ROWS($AH$2:AH268),$AH$2:$AH$1001,0),MATCH(COLUMNS($AO$1006:AV1006),$AO$1006:$BQ$1006,0)), HYPERLINK("#",""), HYPERLINK(CONCATENATE("#Metadata!", ADDRESS(INDEX($AJ$2:$AJ$1001,MATCH(ROWS($AH$2:AH268),$AH$2:$AH$1001,0),0), INDEX($AO$1004:$BQ$1004,1,MATCH(COLUMNS($AO$1006:AV1006),$AO$1006:$BQ$1006,0)))),"Fix")))</f>
        <v>#N/A</v>
      </c>
      <c r="J268" s="5" t="e">
        <f ca="1">IF(OR(INDEX($AI$2:$AI$1001,MATCH(ROWS($AH$2:AH268),$AH$2:$AH$1001,0),1)&gt;=100000,INDEX($AO$1005:$BQ$1005,1,MATCH(COLUMNS($AO$1006:AW1006),$AO$1006:$BQ$1006,0))&gt;=100000), " ",IF(INDEX($AO$2:$BQ$1001,MATCH(ROWS($AH$2:AH268),$AH$2:$AH$1001,0),MATCH(COLUMNS($AO$1006:AW1006),$AO$1006:$BQ$1006,0)), HYPERLINK("#",""), HYPERLINK(CONCATENATE("#Metadata!", ADDRESS(INDEX($AJ$2:$AJ$1001,MATCH(ROWS($AH$2:AH268),$AH$2:$AH$1001,0),0), INDEX($AO$1004:$BQ$1004,1,MATCH(COLUMNS($AO$1006:AW1006),$AO$1006:$BQ$1006,0)))),"Fix")))</f>
        <v>#N/A</v>
      </c>
      <c r="K268" s="5" t="e">
        <f ca="1">IF(OR(INDEX($AI$2:$AI$1001,MATCH(ROWS($AH$2:AH268),$AH$2:$AH$1001,0),1)&gt;=100000,INDEX($AO$1005:$BQ$1005,1,MATCH(COLUMNS($AO$1006:AX1006),$AO$1006:$BQ$1006,0))&gt;=100000), " ",IF(INDEX($AO$2:$BQ$1001,MATCH(ROWS($AH$2:AH268),$AH$2:$AH$1001,0),MATCH(COLUMNS($AO$1006:AX1006),$AO$1006:$BQ$1006,0)), HYPERLINK("#",""), HYPERLINK(CONCATENATE("#Metadata!", ADDRESS(INDEX($AJ$2:$AJ$1001,MATCH(ROWS($AH$2:AH268),$AH$2:$AH$1001,0),0), INDEX($AO$1004:$BQ$1004,1,MATCH(COLUMNS($AO$1006:AX1006),$AO$1006:$BQ$1006,0)))),"Fix")))</f>
        <v>#N/A</v>
      </c>
      <c r="L268" s="5" t="e">
        <f ca="1">IF(OR(INDEX($AI$2:$AI$1001,MATCH(ROWS($AH$2:AH268),$AH$2:$AH$1001,0),1)&gt;=100000,INDEX($AO$1005:$BQ$1005,1,MATCH(COLUMNS($AO$1006:AY1006),$AO$1006:$BQ$1006,0))&gt;=100000), " ",IF(INDEX($AO$2:$BQ$1001,MATCH(ROWS($AH$2:AH268),$AH$2:$AH$1001,0),MATCH(COLUMNS($AO$1006:AY1006),$AO$1006:$BQ$1006,0)), HYPERLINK("#",""), HYPERLINK(CONCATENATE("#Metadata!", ADDRESS(INDEX($AJ$2:$AJ$1001,MATCH(ROWS($AH$2:AH268),$AH$2:$AH$1001,0),0), INDEX($AO$1004:$BQ$1004,1,MATCH(COLUMNS($AO$1006:AY1006),$AO$1006:$BQ$1006,0)))),"Fix")))</f>
        <v>#N/A</v>
      </c>
      <c r="M268" s="5" t="e">
        <f ca="1">IF(OR(INDEX($AI$2:$AI$1001,MATCH(ROWS($AH$2:AH268),$AH$2:$AH$1001,0),1)&gt;=100000,INDEX($AO$1005:$BQ$1005,1,MATCH(COLUMNS($AO$1006:AZ1006),$AO$1006:$BQ$1006,0))&gt;=100000), " ",IF(INDEX($AO$2:$BQ$1001,MATCH(ROWS($AH$2:AH268),$AH$2:$AH$1001,0),MATCH(COLUMNS($AO$1006:AZ1006),$AO$1006:$BQ$1006,0)), HYPERLINK("#",""), HYPERLINK(CONCATENATE("#Metadata!", ADDRESS(INDEX($AJ$2:$AJ$1001,MATCH(ROWS($AH$2:AH268),$AH$2:$AH$1001,0),0), INDEX($AO$1004:$BQ$1004,1,MATCH(COLUMNS($AO$1006:AZ1006),$AO$1006:$BQ$1006,0)))),"Fix")))</f>
        <v>#N/A</v>
      </c>
      <c r="N268" s="5" t="e">
        <f ca="1">IF(OR(INDEX($AI$2:$AI$1001,MATCH(ROWS($AH$2:AH268),$AH$2:$AH$1001,0),1)&gt;=100000,INDEX($AO$1005:$BQ$1005,1,MATCH(COLUMNS($AO$1006:BA1006),$AO$1006:$BQ$1006,0))&gt;=100000), " ",IF(INDEX($AO$2:$BQ$1001,MATCH(ROWS($AH$2:AH268),$AH$2:$AH$1001,0),MATCH(COLUMNS($AO$1006:BA1006),$AO$1006:$BQ$1006,0)), HYPERLINK("#",""), HYPERLINK(CONCATENATE("#Metadata!", ADDRESS(INDEX($AJ$2:$AJ$1001,MATCH(ROWS($AH$2:AH268),$AH$2:$AH$1001,0),0), INDEX($AO$1004:$BQ$1004,1,MATCH(COLUMNS($AO$1006:BA1006),$AO$1006:$BQ$1006,0)))),"Fix")))</f>
        <v>#N/A</v>
      </c>
      <c r="O268" s="5" t="e">
        <f ca="1">IF(OR(INDEX($AI$2:$AI$1001,MATCH(ROWS($AH$2:AH268),$AH$2:$AH$1001,0),1)&gt;=100000,INDEX($AO$1005:$BQ$1005,1,MATCH(COLUMNS($AO$1006:BB1006),$AO$1006:$BQ$1006,0))&gt;=100000), " ",IF(INDEX($AO$2:$BQ$1001,MATCH(ROWS($AH$2:AH268),$AH$2:$AH$1001,0),MATCH(COLUMNS($AO$1006:BB1006),$AO$1006:$BQ$1006,0)), HYPERLINK("#",""), HYPERLINK(CONCATENATE("#Metadata!", ADDRESS(INDEX($AJ$2:$AJ$1001,MATCH(ROWS($AH$2:AH268),$AH$2:$AH$1001,0),0), INDEX($AO$1004:$BQ$1004,1,MATCH(COLUMNS($AO$1006:BB1006),$AO$1006:$BQ$1006,0)))),"Fix")))</f>
        <v>#N/A</v>
      </c>
      <c r="P268" s="5" t="e">
        <f ca="1">IF(OR(INDEX($AI$2:$AI$1001,MATCH(ROWS($AH$2:AH268),$AH$2:$AH$1001,0),1)&gt;=100000,INDEX($AO$1005:$BQ$1005,1,MATCH(COLUMNS($AO$1006:BC1006),$AO$1006:$BQ$1006,0))&gt;=100000), " ",IF(INDEX($AO$2:$BQ$1001,MATCH(ROWS($AH$2:AH268),$AH$2:$AH$1001,0),MATCH(COLUMNS($AO$1006:BC1006),$AO$1006:$BQ$1006,0)), HYPERLINK("#",""), HYPERLINK(CONCATENATE("#Metadata!", ADDRESS(INDEX($AJ$2:$AJ$1001,MATCH(ROWS($AH$2:AH268),$AH$2:$AH$1001,0),0), INDEX($AO$1004:$BQ$1004,1,MATCH(COLUMNS($AO$1006:BC1006),$AO$1006:$BQ$1006,0)))),"Fix")))</f>
        <v>#N/A</v>
      </c>
      <c r="Q268" s="5" t="e">
        <f ca="1">IF(OR(INDEX($AI$2:$AI$1001,MATCH(ROWS($AH$2:AH268),$AH$2:$AH$1001,0),1)&gt;=100000,INDEX($AO$1005:$BQ$1005,1,MATCH(COLUMNS($AO$1006:BD1006),$AO$1006:$BQ$1006,0))&gt;=100000), " ",IF(INDEX($AO$2:$BQ$1001,MATCH(ROWS($AH$2:AH268),$AH$2:$AH$1001,0),MATCH(COLUMNS($AO$1006:BD1006),$AO$1006:$BQ$1006,0)), HYPERLINK("#",""), HYPERLINK(CONCATENATE("#Metadata!", ADDRESS(INDEX($AJ$2:$AJ$1001,MATCH(ROWS($AH$2:AH268),$AH$2:$AH$1001,0),0), INDEX($AO$1004:$BQ$1004,1,MATCH(COLUMNS($AO$1006:BD1006),$AO$1006:$BQ$1006,0)))),"Fix")))</f>
        <v>#N/A</v>
      </c>
      <c r="R268" s="5" t="e">
        <f ca="1">IF(OR(INDEX($AI$2:$AI$1001,MATCH(ROWS($AH$2:AH268),$AH$2:$AH$1001,0),1)&gt;=100000,INDEX($AO$1005:$BQ$1005,1,MATCH(COLUMNS($AO$1006:BE1006),$AO$1006:$BQ$1006,0))&gt;=100000), " ",IF(INDEX($AO$2:$BQ$1001,MATCH(ROWS($AH$2:AH268),$AH$2:$AH$1001,0),MATCH(COLUMNS($AO$1006:BE1006),$AO$1006:$BQ$1006,0)), HYPERLINK("#",""), HYPERLINK(CONCATENATE("#Metadata!", ADDRESS(INDEX($AJ$2:$AJ$1001,MATCH(ROWS($AH$2:AH268),$AH$2:$AH$1001,0),0), INDEX($AO$1004:$BQ$1004,1,MATCH(COLUMNS($AO$1006:BE1006),$AO$1006:$BQ$1006,0)))),"Fix")))</f>
        <v>#N/A</v>
      </c>
      <c r="S268" s="5" t="e">
        <f ca="1">IF(OR(INDEX($AI$2:$AI$1001,MATCH(ROWS($AH$2:AH268),$AH$2:$AH$1001,0),1)&gt;=100000,INDEX($AO$1005:$BQ$1005,1,MATCH(COLUMNS($AO$1006:BF1006),$AO$1006:$BQ$1006,0))&gt;=100000), " ",IF(INDEX($AO$2:$BQ$1001,MATCH(ROWS($AH$2:AH268),$AH$2:$AH$1001,0),MATCH(COLUMNS($AO$1006:BF1006),$AO$1006:$BQ$1006,0)), HYPERLINK("#",""), HYPERLINK(CONCATENATE("#Metadata!", ADDRESS(INDEX($AJ$2:$AJ$1001,MATCH(ROWS($AH$2:AH268),$AH$2:$AH$1001,0),0), INDEX($AO$1004:$BQ$1004,1,MATCH(COLUMNS($AO$1006:BF1006),$AO$1006:$BQ$1006,0)))),"Fix")))</f>
        <v>#N/A</v>
      </c>
      <c r="T268" s="5" t="e">
        <f ca="1">IF(OR(INDEX($AI$2:$AI$1001,MATCH(ROWS($AH$2:AH268),$AH$2:$AH$1001,0),1)&gt;=100000,INDEX($AO$1005:$BQ$1005,1,MATCH(COLUMNS($AO$1006:BG1006),$AO$1006:$BQ$1006,0))&gt;=100000), " ",IF(INDEX($AO$2:$BQ$1001,MATCH(ROWS($AH$2:AH268),$AH$2:$AH$1001,0),MATCH(COLUMNS($AO$1006:BG1006),$AO$1006:$BQ$1006,0)), HYPERLINK("#",""), HYPERLINK(CONCATENATE("#Metadata!", ADDRESS(INDEX($AJ$2:$AJ$1001,MATCH(ROWS($AH$2:AH268),$AH$2:$AH$1001,0),0), INDEX($AO$1004:$BQ$1004,1,MATCH(COLUMNS($AO$1006:BG1006),$AO$1006:$BQ$1006,0)))),"Fix")))</f>
        <v>#N/A</v>
      </c>
      <c r="U268" s="5" t="e">
        <f ca="1">IF(OR(INDEX($AI$2:$AI$1001,MATCH(ROWS($AH$2:AH268),$AH$2:$AH$1001,0),1)&gt;=100000,INDEX($AO$1005:$BQ$1005,1,MATCH(COLUMNS($AO$1006:BH1006),$AO$1006:$BQ$1006,0))&gt;=100000), " ",IF(INDEX($AO$2:$BQ$1001,MATCH(ROWS($AH$2:AH268),$AH$2:$AH$1001,0),MATCH(COLUMNS($AO$1006:BH1006),$AO$1006:$BQ$1006,0)), HYPERLINK("#",""), HYPERLINK(CONCATENATE("#Metadata!", ADDRESS(INDEX($AJ$2:$AJ$1001,MATCH(ROWS($AH$2:AH268),$AH$2:$AH$1001,0),0), INDEX($AO$1004:$BQ$1004,1,MATCH(COLUMNS($AO$1006:BH1006),$AO$1006:$BQ$1006,0)))),"Fix")))</f>
        <v>#N/A</v>
      </c>
      <c r="V268" s="5" t="e">
        <f ca="1">IF(OR(INDEX($AI$2:$AI$1001,MATCH(ROWS($AH$2:AH268),$AH$2:$AH$1001,0),1)&gt;=100000,INDEX($AO$1005:$BQ$1005,1,MATCH(COLUMNS($AO$1006:BI1006),$AO$1006:$BQ$1006,0))&gt;=100000), " ",IF(INDEX($AO$2:$BQ$1001,MATCH(ROWS($AH$2:AH268),$AH$2:$AH$1001,0),MATCH(COLUMNS($AO$1006:BI1006),$AO$1006:$BQ$1006,0)), HYPERLINK("#",""), HYPERLINK(CONCATENATE("#Metadata!", ADDRESS(INDEX($AJ$2:$AJ$1001,MATCH(ROWS($AH$2:AH268),$AH$2:$AH$1001,0),0), INDEX($AO$1004:$BQ$1004,1,MATCH(COLUMNS($AO$1006:BI1006),$AO$1006:$BQ$1006,0)))),"Fix")))</f>
        <v>#N/A</v>
      </c>
      <c r="W268" s="5" t="e">
        <f ca="1">IF(OR(INDEX($AI$2:$AI$1001,MATCH(ROWS($AH$2:AH268),$AH$2:$AH$1001,0),1)&gt;=100000,INDEX($AO$1005:$BQ$1005,1,MATCH(COLUMNS($AO$1006:BJ1006),$AO$1006:$BQ$1006,0))&gt;=100000), " ",IF(INDEX($AO$2:$BQ$1001,MATCH(ROWS($AH$2:AH268),$AH$2:$AH$1001,0),MATCH(COLUMNS($AO$1006:BJ1006),$AO$1006:$BQ$1006,0)), HYPERLINK("#",""), HYPERLINK(CONCATENATE("#Metadata!", ADDRESS(INDEX($AJ$2:$AJ$1001,MATCH(ROWS($AH$2:AH268),$AH$2:$AH$1001,0),0), INDEX($AO$1004:$BQ$1004,1,MATCH(COLUMNS($AO$1006:BJ1006),$AO$1006:$BQ$1006,0)))),"Fix")))</f>
        <v>#N/A</v>
      </c>
      <c r="X268" s="5" t="e">
        <f ca="1">IF(OR(INDEX($AI$2:$AI$1001,MATCH(ROWS($AH$2:AH268),$AH$2:$AH$1001,0),1)&gt;=100000,INDEX($AO$1005:$BQ$1005,1,MATCH(COLUMNS($AO$1006:BK1006),$AO$1006:$BQ$1006,0))&gt;=100000), " ",IF(INDEX($AO$2:$BQ$1001,MATCH(ROWS($AH$2:AH268),$AH$2:$AH$1001,0),MATCH(COLUMNS($AO$1006:BK1006),$AO$1006:$BQ$1006,0)), HYPERLINK("#",""), HYPERLINK(CONCATENATE("#Metadata!", ADDRESS(INDEX($AJ$2:$AJ$1001,MATCH(ROWS($AH$2:AH268),$AH$2:$AH$1001,0),0), INDEX($AO$1004:$BQ$1004,1,MATCH(COLUMNS($AO$1006:BK1006),$AO$1006:$BQ$1006,0)))),"Fix")))</f>
        <v>#N/A</v>
      </c>
      <c r="Y268" s="5" t="e">
        <f ca="1">IF(OR(INDEX($AI$2:$AI$1001,MATCH(ROWS($AH$2:AH268),$AH$2:$AH$1001,0),1)&gt;=100000,INDEX($AO$1005:$BQ$1005,1,MATCH(COLUMNS($AO$1006:BL1006),$AO$1006:$BQ$1006,0))&gt;=100000), " ",IF(INDEX($AO$2:$BQ$1001,MATCH(ROWS($AH$2:AH268),$AH$2:$AH$1001,0),MATCH(COLUMNS($AO$1006:BL1006),$AO$1006:$BQ$1006,0)), HYPERLINK("#",""), HYPERLINK(CONCATENATE("#Metadata!", ADDRESS(INDEX($AJ$2:$AJ$1001,MATCH(ROWS($AH$2:AH268),$AH$2:$AH$1001,0),0), INDEX($AO$1004:$BQ$1004,1,MATCH(COLUMNS($AO$1006:BL1006),$AO$1006:$BQ$1006,0)))),"Fix")))</f>
        <v>#N/A</v>
      </c>
      <c r="Z268" s="5" t="e">
        <f ca="1">IF(OR(INDEX($AI$2:$AI$1001,MATCH(ROWS($AH$2:AH268),$AH$2:$AH$1001,0),1)&gt;=100000,INDEX($AO$1005:$BQ$1005,1,MATCH(COLUMNS($AO$1006:BM1006),$AO$1006:$BQ$1006,0))&gt;=100000), " ",IF(INDEX($AO$2:$BQ$1001,MATCH(ROWS($AH$2:AH268),$AH$2:$AH$1001,0),MATCH(COLUMNS($AO$1006:BM1006),$AO$1006:$BQ$1006,0)), HYPERLINK("#",""), HYPERLINK(CONCATENATE("#Metadata!", ADDRESS(INDEX($AJ$2:$AJ$1001,MATCH(ROWS($AH$2:AH268),$AH$2:$AH$1001,0),0), INDEX($AO$1004:$BQ$1004,1,MATCH(COLUMNS($AO$1006:BM1006),$AO$1006:$BQ$1006,0)))),"Fix")))</f>
        <v>#N/A</v>
      </c>
      <c r="AA268" s="5" t="e">
        <f ca="1">IF(OR(INDEX($AI$2:$AI$1001,MATCH(ROWS($AH$2:AH268),$AH$2:$AH$1001,0),1)&gt;=100000,INDEX($AO$1005:$BQ$1005,1,MATCH(COLUMNS($AO$1006:BN1006),$AO$1006:$BQ$1006,0))&gt;=100000), " ",IF(INDEX($AO$2:$BQ$1001,MATCH(ROWS($AH$2:AH268),$AH$2:$AH$1001,0),MATCH(COLUMNS($AO$1006:BN1006),$AO$1006:$BQ$1006,0)), HYPERLINK("#",""), HYPERLINK(CONCATENATE("#Metadata!", ADDRESS(INDEX($AJ$2:$AJ$1001,MATCH(ROWS($AH$2:AH268),$AH$2:$AH$1001,0),0), INDEX($AO$1004:$BQ$1004,1,MATCH(COLUMNS($AO$1006:BN1006),$AO$1006:$BQ$1006,0)))),"Fix")))</f>
        <v>#N/A</v>
      </c>
      <c r="AB268" s="5" t="e">
        <f ca="1">IF(OR(INDEX($AI$2:$AI$1001,MATCH(ROWS($AH$2:AH268),$AH$2:$AH$1001,0),1)&gt;=100000,INDEX($AO$1005:$BQ$1005,1,MATCH(COLUMNS($AO$1006:BO1006),$AO$1006:$BQ$1006,0))&gt;=100000), " ",IF(INDEX($AO$2:$BQ$1001,MATCH(ROWS($AH$2:AH268),$AH$2:$AH$1001,0),MATCH(COLUMNS($AO$1006:BO1006),$AO$1006:$BQ$1006,0)), HYPERLINK("#",""), HYPERLINK(CONCATENATE("#Metadata!", ADDRESS(INDEX($AJ$2:$AJ$1001,MATCH(ROWS($AH$2:AH268),$AH$2:$AH$1001,0),0), INDEX($AO$1004:$BQ$1004,1,MATCH(COLUMNS($AO$1006:BO1006),$AO$1006:$BQ$1006,0)))),"Fix")))</f>
        <v>#N/A</v>
      </c>
      <c r="AC268" s="5" t="e">
        <f ca="1">IF(OR(INDEX($AI$2:$AI$1001,MATCH(ROWS($AH$2:AH268),$AH$2:$AH$1001,0),1)&gt;=100000,INDEX($AO$1005:$BQ$1005,1,MATCH(COLUMNS($AO$1006:BP1006),$AO$1006:$BQ$1006,0))&gt;=100000), " ",IF(INDEX($AO$2:$BQ$1001,MATCH(ROWS($AH$2:AH268),$AH$2:$AH$1001,0),MATCH(COLUMNS($AO$1006:BP1006),$AO$1006:$BQ$1006,0)), HYPERLINK("#",""), HYPERLINK(CONCATENATE("#Metadata!", ADDRESS(INDEX($AJ$2:$AJ$1001,MATCH(ROWS($AH$2:AH268),$AH$2:$AH$1001,0),0), INDEX($AO$1004:$BQ$1004,1,MATCH(COLUMNS($AO$1006:BP1006),$AO$1006:$BQ$1006,0)))),"Fix")))</f>
        <v>#N/A</v>
      </c>
      <c r="AD268" s="5" t="e">
        <f ca="1">IF(OR(INDEX($AI$2:$AI$1001,MATCH(ROWS($AH$2:AH268),$AH$2:$AH$1001,0),1)&gt;=100000,INDEX($AO$1005:$BQ$1005,1,MATCH(COLUMNS($AO$1006:BQ1006),$AO$1006:$BQ$1006,0))&gt;=100000), " ",IF(INDEX($AO$2:$BQ$1001,MATCH(ROWS($AH$2:AH268),$AH$2:$AH$1001,0),MATCH(COLUMNS($AO$1006:BQ1006),$AO$1006:$BQ$1006,0)), HYPERLINK("#",""), HYPERLINK(CONCATENATE("#Metadata!", ADDRESS(INDEX($AJ$2:$AJ$1001,MATCH(ROWS($AH$2:AH268),$AH$2:$AH$1001,0),0), INDEX($AO$1004:$BQ$1004,1,MATCH(COLUMNS($AO$1006:BQ1006),$AO$1006:$BQ$1006,0)))),"Fix")))</f>
        <v>#REF!</v>
      </c>
      <c r="AH268">
        <f ca="1"/>
        <v>265</v>
      </c>
      <c r="AI268">
        <v>100268</v>
      </c>
      <c r="AJ268">
        <v>268</v>
      </c>
      <c r="AK268" t="b">
        <f t="shared" si="4"/>
        <v>1</v>
      </c>
      <c r="AL268" t="b">
        <f>COUNTBLANK(Metadata!B268:AD268)=COLUMNS(Metadata!B268:AD268)</f>
        <v>1</v>
      </c>
      <c r="AM268" t="str">
        <v/>
      </c>
      <c r="AO268" t="b">
        <f ca="1">AND(IF(Metadata!B268="",FALSE,TRUE),COUNTIF(Metadata!B:B, Metadata!B268) = 1,NOT(ISERROR(SUMPRODUCT(SEARCH(MID(Metadata!B268,ROW(INDIRECT("1:"&amp;LEN(Metadata!B268))), 1),"0123456789abcdefghijklmnopqrstuvwxyzABCDEFGHIJKLMNOPQRSTUVWXYZ.")))))</f>
        <v>0</v>
      </c>
      <c r="AP268" t="b">
        <f>IF(Metadata!C268="",FALSE,TRUE)</f>
        <v>0</v>
      </c>
      <c r="AQ268" t="b">
        <f>IF(Metadata!D268="",FALSE,TRUE)</f>
        <v>0</v>
      </c>
      <c r="AR268" t="b">
        <f ca="1">OR(AND(IF(Metadata!E268="",FALSE,TRUE),OR(EXACT(Metadata!E268,"not collected"),EXACT(Metadata!E268,"not provided"),EXACT(Metadata!E268,"restricted access"))),AND(IF(Metadata!E268="",FALSE,TRUE),AND(AND(IFERROR(INT(LEFT(Metadata!E268,4))&gt;1900,FALSE),IFERROR(INT(LEFT(Metadata!E268,4))&lt;=YEAR(NOW()),FALSE)), OR(MID(Metadata!E268,5,1)="", AND(AND(MID(Metadata!E268,5,1)="-",IFERROR(INT(MID(Metadata!E268,6,1))&gt;=0,FALSE),IFERROR(INT(MID(Metadata!E268,6,1))&lt;=1,FALSE),NOT(MID(Metadata!E268,7,1)=""),IFERROR(INT(MID(Metadata!E268,6,2))&gt;=1,FALSE),IFERROR(INT(MID(Metadata!E268,6,2))&lt;=12,FALSE)), OR(MID(Metadata!E268,8,1)="", AND(AND(MID(Metadata!E268,8,1)="-",IFERROR(INT(MID(Metadata!E268,9,1))&gt;=0,FALSE),IFERROR(INT(MID(Metadata!E268,9,1))&lt;=3,FALSE),NOT(MID(Metadata!E268,10,1)=""),IFERROR(INT(MID(Metadata!E268,9,2))&gt;=1,FALSE),IFERROR(INT(MID(Metadata!E268,9,2))&lt;=31,FALSE)), OR(MID(Metadata!E268,11,1)="", AND(AND(MID(Metadata!E268,11,1)=" ",IFERROR(INT(MID(Metadata!E268,12,1))&gt;=0,FALSE),IFERROR(INT(MID(Metadata!E268,12,1))&lt;=2,FALSE),NOT(MID(Metadata!E268,13,1)=""),IFERROR(INT(MID(Metadata!E268,12,2))&gt;=0,FALSE),IFERROR(INT(MID(Metadata!E268,12,2))&lt;=23,FALSE)), OR(MID(Metadata!E268,14,1)="", AND(AND(MID(Metadata!E268,14,1)=":",IFERROR(INT(MID(Metadata!E268,15,1))&gt;=0,FALSE),IFERROR(INT(MID(Metadata!E268,15,1))&lt;=5,FALSE),NOT(MID(Metadata!E268,16,1)=""),IFERROR(INT(MID(Metadata!E268,15,2))&gt;=0,FALSE),IFERROR(INT(MID(Metadata!E268,15,2))&lt;=59,FALSE)), OR(MID(Metadata!E268,17,1)="", AND(AND(MID(Metadata!E268,17,1)=":",IFERROR(INT(MID(Metadata!E268,18,1))&gt;=0,FALSE),IFERROR(INT(MID(Metadata!E268,18,1))&lt;=5,FALSE),NOT(MID(Metadata!E268,19,1)=""),IFERROR(INT(MID(Metadata!E268,18,2))&gt;=0,FALSE),IFERROR(INT(MID(Metadata!E268,18,2))&lt;=59,FALSE)), LEN(Metadata!E268)&lt;=19)))))))))))))</f>
        <v>0</v>
      </c>
      <c r="AS268" t="b">
        <f>IF(Metadata!F268="",FALSE,TRUE)</f>
        <v>0</v>
      </c>
      <c r="AT268" t="b">
        <f>OR(AND(IF(Metadata!G268="",FALSE,TRUE),OR(EXACT(Metadata!G268,"not collected"),EXACT(Metadata!G268,"not provided"))),AND(IF(Metadata!G268="",FALSE,TRUE),OR(EXACT(Metadata!G268,"TRUE"),EXACT(Metadata!G268,"FALSE"))))</f>
        <v>0</v>
      </c>
      <c r="AU268" t="b">
        <f>OR(AND(IF(Metadata!H268="",FALSE,TRUE),OR(EXACT(Metadata!H268,"not collected"),EXACT(Metadata!H268,"not provided"),EXACT(Metadata!H268,"restricted access"))),AND(IF(Metadata!H268="",FALSE,ISNUMBER(VALUE(Metadata!H268))),Metadata!H268&gt;=-413))</f>
        <v>0</v>
      </c>
      <c r="AV268" t="b">
        <f>AND(IF(Metadata!I268="",FALSE,TRUE),EXACT(Metadata!I268,"meters"))</f>
        <v>0</v>
      </c>
      <c r="AW268" t="b">
        <f>AND(IF(Metadata!J268="",FALSE,TRUE),EXACT(Metadata!J268,"free-living"))</f>
        <v>0</v>
      </c>
      <c r="AX268" t="b">
        <f>AND(IF(Metadata!K268="",FALSE,TRUE),OR(EXACT(Metadata!K268,"saline"),EXACT(Metadata!K268,"non-saline")))</f>
        <v>0</v>
      </c>
      <c r="AY268" t="b">
        <f>AND(IF(Metadata!L268="",FALSE,TRUE),OR(EXACT(Metadata!L268,"sub-surface (non-saline)"),EXACT(Metadata!L268,"surface (non-saline)"),EXACT(Metadata!L268,"water (non-saline)"),EXACT(Metadata!L268,"soil (non-saline)"),EXACT(Metadata!L268,"aerosol (non-saline)"),EXACT(Metadata!L268,"sediment (non-saline)"),EXACT(Metadata!L268,"surface (saline)"),EXACT(Metadata!L268,"water (saline)"),EXACT(Metadata!L268,"hypersaline (saline)"),EXACT(Metadata!L268,"aerosol (saline)"),EXACT(Metadata!L268,"sediment (saline)")))</f>
        <v>0</v>
      </c>
      <c r="AZ268" t="b">
        <f>IF(Metadata!M268="",FALSE,TRUE)</f>
        <v>0</v>
      </c>
      <c r="BA268" t="b">
        <f>IF(Metadata!N268="",FALSE,TRUE)</f>
        <v>0</v>
      </c>
      <c r="BB268" t="b">
        <f>IF(Metadata!O268="",FALSE,TRUE)</f>
        <v>0</v>
      </c>
      <c r="BC268" t="b">
        <f>AND(IF(Metadata!P268="",FALSE,TRUE),OR(EXACT(Metadata!P268,"air"),EXACT(Metadata!P268,"microbial mat/biofilm"),EXACT(Metadata!P268,"misc environment"),EXACT(Metadata!P268,"sediment"),EXACT(Metadata!P268,"soil"),EXACT(Metadata!P268,"wastewater/sludge"),EXACT(Metadata!P268,"water")))</f>
        <v>0</v>
      </c>
      <c r="BD268" t="b">
        <f>IF(Metadata!Q268="",FALSE,TRUE)</f>
        <v>0</v>
      </c>
      <c r="BE268" t="b">
        <f>IF(Metadata!R268="",FALSE,TRUE)</f>
        <v>0</v>
      </c>
      <c r="BF268" t="b">
        <f>OR(AND(IF(Metadata!S268="",FALSE,TRUE),OR(EXACT(Metadata!S268,"not collected"),EXACT(Metadata!S268,"not provided"),EXACT(Metadata!S268,"restricted access"))),AND(IF(Metadata!S268="",FALSE,ISNUMBER(VALUE(Metadata!S268))),Metadata!S268&gt;=-90,Metadata!S268&lt;=90))</f>
        <v>0</v>
      </c>
      <c r="BG268" t="b">
        <f>AND(IF(Metadata!T268="",FALSE,TRUE),EXACT(Metadata!T268,"Decimal degrees"))</f>
        <v>0</v>
      </c>
      <c r="BH268" t="b">
        <f>OR(AND(IF(Metadata!U268="",FALSE,TRUE),OR(EXACT(Metadata!U268,"not applicable"),EXACT(Metadata!U268,"not collected"))),IF(Metadata!U268="",FALSE,TRUE))</f>
        <v>0</v>
      </c>
      <c r="BI268" t="b">
        <f>OR(AND(IF(Metadata!V268="",FALSE,TRUE),OR(EXACT(Metadata!V268,"not collected"),EXACT(Metadata!V268,"not provided"),EXACT(Metadata!V268,"restricted access"))),AND(IF(Metadata!V268="",FALSE,ISNUMBER(VALUE(Metadata!V268))),Metadata!V268&gt;=-180,Metadata!V268&lt;=180))</f>
        <v>0</v>
      </c>
      <c r="BJ268" t="b">
        <f>AND(IF(Metadata!W268="",FALSE,TRUE),EXACT(Metadata!W268,"Decimal degrees"))</f>
        <v>0</v>
      </c>
      <c r="BK268" t="b">
        <f>IF(Metadata!X268="",FALSE,TRUE)</f>
        <v>0</v>
      </c>
      <c r="BL268" t="b">
        <f>OR(AND(IF(Metadata!Y268="",FALSE,TRUE),OR(EXACT(Metadata!Y268,"not collected"),EXACT(Metadata!Y268,"not provided"),EXACT(Metadata!Y268,"restricted access"))),AND(IF(Metadata!Y268="",FALSE,TRUE),OR(EXACT(Metadata!Y268,"TRUE"),EXACT(Metadata!Y268,"FALSE"))))</f>
        <v>0</v>
      </c>
      <c r="BM268" t="b">
        <f>OR(AND(IF(Metadata!Z268="",FALSE,TRUE),EXACT(Metadata!Z268,"not applicable")),AND(IF(Metadata!Z268="",FALSE,TRUE),OR(EXACT(Metadata!Z268,"beer"),EXACT(Metadata!Z268,"cheese"),EXACT(Metadata!Z268,"fresh water"),EXACT(Metadata!Z268,"marine sediment"),EXACT(Metadata!Z268,"sea water"),EXACT(Metadata!Z268,"sediment"),EXACT(Metadata!Z268,"soil"),EXACT(Metadata!Z268,"waste water"))))</f>
        <v>0</v>
      </c>
      <c r="BN268" t="b">
        <f>AND(IF(Metadata!AA268="",FALSE,TRUE),EXACT(Metadata!AA268,"metagenome"))</f>
        <v>0</v>
      </c>
      <c r="BO268" t="b">
        <f>AND(IF(Metadata!AB268="",FALSE,TRUE),EXACT(Metadata!AB268,"256318"))</f>
        <v>0</v>
      </c>
      <c r="BP268" t="b">
        <f>IF(Metadata!AC268="",FALSE,TRUE)</f>
        <v>0</v>
      </c>
      <c r="BQ268" t="b">
        <f>IF(Metadata!AD268="",FALSE,TRUE)</f>
        <v>0</v>
      </c>
    </row>
    <row r="269" spans="1:69" x14ac:dyDescent="0.2">
      <c r="A269" s="4" t="e">
        <f ca="1">IF(B269=" "," ",HYPERLINK(CONCATENATE("#metadata!",ADDRESS(INDEX($AJ$2:$AJ$1001,MATCH(ROWS($AH$2:AH269),$AH$2:$AH$1001,0),0),2)),INDEX($AM$2:$AM$1001,MATCH(ROWS($AH$2:AH269),$AH$2:$AH$1001,0),0)))</f>
        <v>#N/A</v>
      </c>
      <c r="B269" s="5" t="e">
        <f ca="1">IF(OR(INDEX($AI$2:$AI$1001,MATCH(ROWS($AH$2:AH269),$AH$2:$AH$1001,0),1)&gt;=100000,INDEX($AO$1005:$BQ$1005,1,MATCH(COLUMNS($AO$1006:AO1006),$AO$1006:$BQ$1006,0))&gt;=100000), " ",IF(INDEX($AO$2:$BQ$1001,MATCH(ROWS($AH$2:AH269),$AH$2:$AH$1001,0),MATCH(COLUMNS($AO$1006:AO1006),$AO$1006:$BQ$1006,0)), HYPERLINK("#",""), HYPERLINK(CONCATENATE("#Metadata!", ADDRESS(INDEX($AJ$2:$AJ$1001,MATCH(ROWS($AH$2:AH269),$AH$2:$AH$1001,0),0), INDEX($AO$1004:$BQ$1004,1,MATCH(COLUMNS($AO$1006:AO1006),$AO$1006:$BQ$1006,0)))),"Fix")))</f>
        <v>#N/A</v>
      </c>
      <c r="C269" s="5" t="e">
        <f ca="1">IF(OR(INDEX($AI$2:$AI$1001,MATCH(ROWS($AH$2:AH269),$AH$2:$AH$1001,0),1)&gt;=100000,INDEX($AO$1005:$BQ$1005,1,MATCH(COLUMNS($AO$1006:AP1006),$AO$1006:$BQ$1006,0))&gt;=100000), " ",IF(INDEX($AO$2:$BQ$1001,MATCH(ROWS($AH$2:AH269),$AH$2:$AH$1001,0),MATCH(COLUMNS($AO$1006:AP1006),$AO$1006:$BQ$1006,0)), HYPERLINK("#",""), HYPERLINK(CONCATENATE("#Metadata!", ADDRESS(INDEX($AJ$2:$AJ$1001,MATCH(ROWS($AH$2:AH269),$AH$2:$AH$1001,0),0), INDEX($AO$1004:$BQ$1004,1,MATCH(COLUMNS($AO$1006:AP1006),$AO$1006:$BQ$1006,0)))),"Fix")))</f>
        <v>#N/A</v>
      </c>
      <c r="D269" s="5" t="e">
        <f ca="1">IF(OR(INDEX($AI$2:$AI$1001,MATCH(ROWS($AH$2:AH269),$AH$2:$AH$1001,0),1)&gt;=100000,INDEX($AO$1005:$BQ$1005,1,MATCH(COLUMNS($AO$1006:AQ1006),$AO$1006:$BQ$1006,0))&gt;=100000), " ",IF(INDEX($AO$2:$BQ$1001,MATCH(ROWS($AH$2:AH269),$AH$2:$AH$1001,0),MATCH(COLUMNS($AO$1006:AQ1006),$AO$1006:$BQ$1006,0)), HYPERLINK("#",""), HYPERLINK(CONCATENATE("#Metadata!", ADDRESS(INDEX($AJ$2:$AJ$1001,MATCH(ROWS($AH$2:AH269),$AH$2:$AH$1001,0),0), INDEX($AO$1004:$BQ$1004,1,MATCH(COLUMNS($AO$1006:AQ1006),$AO$1006:$BQ$1006,0)))),"Fix")))</f>
        <v>#N/A</v>
      </c>
      <c r="E269" s="5" t="e">
        <f ca="1">IF(OR(INDEX($AI$2:$AI$1001,MATCH(ROWS($AH$2:AH269),$AH$2:$AH$1001,0),1)&gt;=100000,INDEX($AO$1005:$BQ$1005,1,MATCH(COLUMNS($AO$1006:AR1006),$AO$1006:$BQ$1006,0))&gt;=100000), " ",IF(INDEX($AO$2:$BQ$1001,MATCH(ROWS($AH$2:AH269),$AH$2:$AH$1001,0),MATCH(COLUMNS($AO$1006:AR1006),$AO$1006:$BQ$1006,0)), HYPERLINK("#",""), HYPERLINK(CONCATENATE("#Metadata!", ADDRESS(INDEX($AJ$2:$AJ$1001,MATCH(ROWS($AH$2:AH269),$AH$2:$AH$1001,0),0), INDEX($AO$1004:$BQ$1004,1,MATCH(COLUMNS($AO$1006:AR1006),$AO$1006:$BQ$1006,0)))),"Fix")))</f>
        <v>#N/A</v>
      </c>
      <c r="F269" s="5" t="e">
        <f ca="1">IF(OR(INDEX($AI$2:$AI$1001,MATCH(ROWS($AH$2:AH269),$AH$2:$AH$1001,0),1)&gt;=100000,INDEX($AO$1005:$BQ$1005,1,MATCH(COLUMNS($AO$1006:AS1006),$AO$1006:$BQ$1006,0))&gt;=100000), " ",IF(INDEX($AO$2:$BQ$1001,MATCH(ROWS($AH$2:AH269),$AH$2:$AH$1001,0),MATCH(COLUMNS($AO$1006:AS1006),$AO$1006:$BQ$1006,0)), HYPERLINK("#",""), HYPERLINK(CONCATENATE("#Metadata!", ADDRESS(INDEX($AJ$2:$AJ$1001,MATCH(ROWS($AH$2:AH269),$AH$2:$AH$1001,0),0), INDEX($AO$1004:$BQ$1004,1,MATCH(COLUMNS($AO$1006:AS1006),$AO$1006:$BQ$1006,0)))),"Fix")))</f>
        <v>#N/A</v>
      </c>
      <c r="G269" s="5" t="e">
        <f ca="1">IF(OR(INDEX($AI$2:$AI$1001,MATCH(ROWS($AH$2:AH269),$AH$2:$AH$1001,0),1)&gt;=100000,INDEX($AO$1005:$BQ$1005,1,MATCH(COLUMNS($AO$1006:AT1006),$AO$1006:$BQ$1006,0))&gt;=100000), " ",IF(INDEX($AO$2:$BQ$1001,MATCH(ROWS($AH$2:AH269),$AH$2:$AH$1001,0),MATCH(COLUMNS($AO$1006:AT1006),$AO$1006:$BQ$1006,0)), HYPERLINK("#",""), HYPERLINK(CONCATENATE("#Metadata!", ADDRESS(INDEX($AJ$2:$AJ$1001,MATCH(ROWS($AH$2:AH269),$AH$2:$AH$1001,0),0), INDEX($AO$1004:$BQ$1004,1,MATCH(COLUMNS($AO$1006:AT1006),$AO$1006:$BQ$1006,0)))),"Fix")))</f>
        <v>#N/A</v>
      </c>
      <c r="H269" s="5" t="e">
        <f ca="1">IF(OR(INDEX($AI$2:$AI$1001,MATCH(ROWS($AH$2:AH269),$AH$2:$AH$1001,0),1)&gt;=100000,INDEX($AO$1005:$BQ$1005,1,MATCH(COLUMNS($AO$1006:AU1006),$AO$1006:$BQ$1006,0))&gt;=100000), " ",IF(INDEX($AO$2:$BQ$1001,MATCH(ROWS($AH$2:AH269),$AH$2:$AH$1001,0),MATCH(COLUMNS($AO$1006:AU1006),$AO$1006:$BQ$1006,0)), HYPERLINK("#",""), HYPERLINK(CONCATENATE("#Metadata!", ADDRESS(INDEX($AJ$2:$AJ$1001,MATCH(ROWS($AH$2:AH269),$AH$2:$AH$1001,0),0), INDEX($AO$1004:$BQ$1004,1,MATCH(COLUMNS($AO$1006:AU1006),$AO$1006:$BQ$1006,0)))),"Fix")))</f>
        <v>#N/A</v>
      </c>
      <c r="I269" s="5" t="e">
        <f ca="1">IF(OR(INDEX($AI$2:$AI$1001,MATCH(ROWS($AH$2:AH269),$AH$2:$AH$1001,0),1)&gt;=100000,INDEX($AO$1005:$BQ$1005,1,MATCH(COLUMNS($AO$1006:AV1006),$AO$1006:$BQ$1006,0))&gt;=100000), " ",IF(INDEX($AO$2:$BQ$1001,MATCH(ROWS($AH$2:AH269),$AH$2:$AH$1001,0),MATCH(COLUMNS($AO$1006:AV1006),$AO$1006:$BQ$1006,0)), HYPERLINK("#",""), HYPERLINK(CONCATENATE("#Metadata!", ADDRESS(INDEX($AJ$2:$AJ$1001,MATCH(ROWS($AH$2:AH269),$AH$2:$AH$1001,0),0), INDEX($AO$1004:$BQ$1004,1,MATCH(COLUMNS($AO$1006:AV1006),$AO$1006:$BQ$1006,0)))),"Fix")))</f>
        <v>#N/A</v>
      </c>
      <c r="J269" s="5" t="e">
        <f ca="1">IF(OR(INDEX($AI$2:$AI$1001,MATCH(ROWS($AH$2:AH269),$AH$2:$AH$1001,0),1)&gt;=100000,INDEX($AO$1005:$BQ$1005,1,MATCH(COLUMNS($AO$1006:AW1006),$AO$1006:$BQ$1006,0))&gt;=100000), " ",IF(INDEX($AO$2:$BQ$1001,MATCH(ROWS($AH$2:AH269),$AH$2:$AH$1001,0),MATCH(COLUMNS($AO$1006:AW1006),$AO$1006:$BQ$1006,0)), HYPERLINK("#",""), HYPERLINK(CONCATENATE("#Metadata!", ADDRESS(INDEX($AJ$2:$AJ$1001,MATCH(ROWS($AH$2:AH269),$AH$2:$AH$1001,0),0), INDEX($AO$1004:$BQ$1004,1,MATCH(COLUMNS($AO$1006:AW1006),$AO$1006:$BQ$1006,0)))),"Fix")))</f>
        <v>#N/A</v>
      </c>
      <c r="K269" s="5" t="e">
        <f ca="1">IF(OR(INDEX($AI$2:$AI$1001,MATCH(ROWS($AH$2:AH269),$AH$2:$AH$1001,0),1)&gt;=100000,INDEX($AO$1005:$BQ$1005,1,MATCH(COLUMNS($AO$1006:AX1006),$AO$1006:$BQ$1006,0))&gt;=100000), " ",IF(INDEX($AO$2:$BQ$1001,MATCH(ROWS($AH$2:AH269),$AH$2:$AH$1001,0),MATCH(COLUMNS($AO$1006:AX1006),$AO$1006:$BQ$1006,0)), HYPERLINK("#",""), HYPERLINK(CONCATENATE("#Metadata!", ADDRESS(INDEX($AJ$2:$AJ$1001,MATCH(ROWS($AH$2:AH269),$AH$2:$AH$1001,0),0), INDEX($AO$1004:$BQ$1004,1,MATCH(COLUMNS($AO$1006:AX1006),$AO$1006:$BQ$1006,0)))),"Fix")))</f>
        <v>#N/A</v>
      </c>
      <c r="L269" s="5" t="e">
        <f ca="1">IF(OR(INDEX($AI$2:$AI$1001,MATCH(ROWS($AH$2:AH269),$AH$2:$AH$1001,0),1)&gt;=100000,INDEX($AO$1005:$BQ$1005,1,MATCH(COLUMNS($AO$1006:AY1006),$AO$1006:$BQ$1006,0))&gt;=100000), " ",IF(INDEX($AO$2:$BQ$1001,MATCH(ROWS($AH$2:AH269),$AH$2:$AH$1001,0),MATCH(COLUMNS($AO$1006:AY1006),$AO$1006:$BQ$1006,0)), HYPERLINK("#",""), HYPERLINK(CONCATENATE("#Metadata!", ADDRESS(INDEX($AJ$2:$AJ$1001,MATCH(ROWS($AH$2:AH269),$AH$2:$AH$1001,0),0), INDEX($AO$1004:$BQ$1004,1,MATCH(COLUMNS($AO$1006:AY1006),$AO$1006:$BQ$1006,0)))),"Fix")))</f>
        <v>#N/A</v>
      </c>
      <c r="M269" s="5" t="e">
        <f ca="1">IF(OR(INDEX($AI$2:$AI$1001,MATCH(ROWS($AH$2:AH269),$AH$2:$AH$1001,0),1)&gt;=100000,INDEX($AO$1005:$BQ$1005,1,MATCH(COLUMNS($AO$1006:AZ1006),$AO$1006:$BQ$1006,0))&gt;=100000), " ",IF(INDEX($AO$2:$BQ$1001,MATCH(ROWS($AH$2:AH269),$AH$2:$AH$1001,0),MATCH(COLUMNS($AO$1006:AZ1006),$AO$1006:$BQ$1006,0)), HYPERLINK("#",""), HYPERLINK(CONCATENATE("#Metadata!", ADDRESS(INDEX($AJ$2:$AJ$1001,MATCH(ROWS($AH$2:AH269),$AH$2:$AH$1001,0),0), INDEX($AO$1004:$BQ$1004,1,MATCH(COLUMNS($AO$1006:AZ1006),$AO$1006:$BQ$1006,0)))),"Fix")))</f>
        <v>#N/A</v>
      </c>
      <c r="N269" s="5" t="e">
        <f ca="1">IF(OR(INDEX($AI$2:$AI$1001,MATCH(ROWS($AH$2:AH269),$AH$2:$AH$1001,0),1)&gt;=100000,INDEX($AO$1005:$BQ$1005,1,MATCH(COLUMNS($AO$1006:BA1006),$AO$1006:$BQ$1006,0))&gt;=100000), " ",IF(INDEX($AO$2:$BQ$1001,MATCH(ROWS($AH$2:AH269),$AH$2:$AH$1001,0),MATCH(COLUMNS($AO$1006:BA1006),$AO$1006:$BQ$1006,0)), HYPERLINK("#",""), HYPERLINK(CONCATENATE("#Metadata!", ADDRESS(INDEX($AJ$2:$AJ$1001,MATCH(ROWS($AH$2:AH269),$AH$2:$AH$1001,0),0), INDEX($AO$1004:$BQ$1004,1,MATCH(COLUMNS($AO$1006:BA1006),$AO$1006:$BQ$1006,0)))),"Fix")))</f>
        <v>#N/A</v>
      </c>
      <c r="O269" s="5" t="e">
        <f ca="1">IF(OR(INDEX($AI$2:$AI$1001,MATCH(ROWS($AH$2:AH269),$AH$2:$AH$1001,0),1)&gt;=100000,INDEX($AO$1005:$BQ$1005,1,MATCH(COLUMNS($AO$1006:BB1006),$AO$1006:$BQ$1006,0))&gt;=100000), " ",IF(INDEX($AO$2:$BQ$1001,MATCH(ROWS($AH$2:AH269),$AH$2:$AH$1001,0),MATCH(COLUMNS($AO$1006:BB1006),$AO$1006:$BQ$1006,0)), HYPERLINK("#",""), HYPERLINK(CONCATENATE("#Metadata!", ADDRESS(INDEX($AJ$2:$AJ$1001,MATCH(ROWS($AH$2:AH269),$AH$2:$AH$1001,0),0), INDEX($AO$1004:$BQ$1004,1,MATCH(COLUMNS($AO$1006:BB1006),$AO$1006:$BQ$1006,0)))),"Fix")))</f>
        <v>#N/A</v>
      </c>
      <c r="P269" s="5" t="e">
        <f ca="1">IF(OR(INDEX($AI$2:$AI$1001,MATCH(ROWS($AH$2:AH269),$AH$2:$AH$1001,0),1)&gt;=100000,INDEX($AO$1005:$BQ$1005,1,MATCH(COLUMNS($AO$1006:BC1006),$AO$1006:$BQ$1006,0))&gt;=100000), " ",IF(INDEX($AO$2:$BQ$1001,MATCH(ROWS($AH$2:AH269),$AH$2:$AH$1001,0),MATCH(COLUMNS($AO$1006:BC1006),$AO$1006:$BQ$1006,0)), HYPERLINK("#",""), HYPERLINK(CONCATENATE("#Metadata!", ADDRESS(INDEX($AJ$2:$AJ$1001,MATCH(ROWS($AH$2:AH269),$AH$2:$AH$1001,0),0), INDEX($AO$1004:$BQ$1004,1,MATCH(COLUMNS($AO$1006:BC1006),$AO$1006:$BQ$1006,0)))),"Fix")))</f>
        <v>#N/A</v>
      </c>
      <c r="Q269" s="5" t="e">
        <f ca="1">IF(OR(INDEX($AI$2:$AI$1001,MATCH(ROWS($AH$2:AH269),$AH$2:$AH$1001,0),1)&gt;=100000,INDEX($AO$1005:$BQ$1005,1,MATCH(COLUMNS($AO$1006:BD1006),$AO$1006:$BQ$1006,0))&gt;=100000), " ",IF(INDEX($AO$2:$BQ$1001,MATCH(ROWS($AH$2:AH269),$AH$2:$AH$1001,0),MATCH(COLUMNS($AO$1006:BD1006),$AO$1006:$BQ$1006,0)), HYPERLINK("#",""), HYPERLINK(CONCATENATE("#Metadata!", ADDRESS(INDEX($AJ$2:$AJ$1001,MATCH(ROWS($AH$2:AH269),$AH$2:$AH$1001,0),0), INDEX($AO$1004:$BQ$1004,1,MATCH(COLUMNS($AO$1006:BD1006),$AO$1006:$BQ$1006,0)))),"Fix")))</f>
        <v>#N/A</v>
      </c>
      <c r="R269" s="5" t="e">
        <f ca="1">IF(OR(INDEX($AI$2:$AI$1001,MATCH(ROWS($AH$2:AH269),$AH$2:$AH$1001,0),1)&gt;=100000,INDEX($AO$1005:$BQ$1005,1,MATCH(COLUMNS($AO$1006:BE1006),$AO$1006:$BQ$1006,0))&gt;=100000), " ",IF(INDEX($AO$2:$BQ$1001,MATCH(ROWS($AH$2:AH269),$AH$2:$AH$1001,0),MATCH(COLUMNS($AO$1006:BE1006),$AO$1006:$BQ$1006,0)), HYPERLINK("#",""), HYPERLINK(CONCATENATE("#Metadata!", ADDRESS(INDEX($AJ$2:$AJ$1001,MATCH(ROWS($AH$2:AH269),$AH$2:$AH$1001,0),0), INDEX($AO$1004:$BQ$1004,1,MATCH(COLUMNS($AO$1006:BE1006),$AO$1006:$BQ$1006,0)))),"Fix")))</f>
        <v>#N/A</v>
      </c>
      <c r="S269" s="5" t="e">
        <f ca="1">IF(OR(INDEX($AI$2:$AI$1001,MATCH(ROWS($AH$2:AH269),$AH$2:$AH$1001,0),1)&gt;=100000,INDEX($AO$1005:$BQ$1005,1,MATCH(COLUMNS($AO$1006:BF1006),$AO$1006:$BQ$1006,0))&gt;=100000), " ",IF(INDEX($AO$2:$BQ$1001,MATCH(ROWS($AH$2:AH269),$AH$2:$AH$1001,0),MATCH(COLUMNS($AO$1006:BF1006),$AO$1006:$BQ$1006,0)), HYPERLINK("#",""), HYPERLINK(CONCATENATE("#Metadata!", ADDRESS(INDEX($AJ$2:$AJ$1001,MATCH(ROWS($AH$2:AH269),$AH$2:$AH$1001,0),0), INDEX($AO$1004:$BQ$1004,1,MATCH(COLUMNS($AO$1006:BF1006),$AO$1006:$BQ$1006,0)))),"Fix")))</f>
        <v>#N/A</v>
      </c>
      <c r="T269" s="5" t="e">
        <f ca="1">IF(OR(INDEX($AI$2:$AI$1001,MATCH(ROWS($AH$2:AH269),$AH$2:$AH$1001,0),1)&gt;=100000,INDEX($AO$1005:$BQ$1005,1,MATCH(COLUMNS($AO$1006:BG1006),$AO$1006:$BQ$1006,0))&gt;=100000), " ",IF(INDEX($AO$2:$BQ$1001,MATCH(ROWS($AH$2:AH269),$AH$2:$AH$1001,0),MATCH(COLUMNS($AO$1006:BG1006),$AO$1006:$BQ$1006,0)), HYPERLINK("#",""), HYPERLINK(CONCATENATE("#Metadata!", ADDRESS(INDEX($AJ$2:$AJ$1001,MATCH(ROWS($AH$2:AH269),$AH$2:$AH$1001,0),0), INDEX($AO$1004:$BQ$1004,1,MATCH(COLUMNS($AO$1006:BG1006),$AO$1006:$BQ$1006,0)))),"Fix")))</f>
        <v>#N/A</v>
      </c>
      <c r="U269" s="5" t="e">
        <f ca="1">IF(OR(INDEX($AI$2:$AI$1001,MATCH(ROWS($AH$2:AH269),$AH$2:$AH$1001,0),1)&gt;=100000,INDEX($AO$1005:$BQ$1005,1,MATCH(COLUMNS($AO$1006:BH1006),$AO$1006:$BQ$1006,0))&gt;=100000), " ",IF(INDEX($AO$2:$BQ$1001,MATCH(ROWS($AH$2:AH269),$AH$2:$AH$1001,0),MATCH(COLUMNS($AO$1006:BH1006),$AO$1006:$BQ$1006,0)), HYPERLINK("#",""), HYPERLINK(CONCATENATE("#Metadata!", ADDRESS(INDEX($AJ$2:$AJ$1001,MATCH(ROWS($AH$2:AH269),$AH$2:$AH$1001,0),0), INDEX($AO$1004:$BQ$1004,1,MATCH(COLUMNS($AO$1006:BH1006),$AO$1006:$BQ$1006,0)))),"Fix")))</f>
        <v>#N/A</v>
      </c>
      <c r="V269" s="5" t="e">
        <f ca="1">IF(OR(INDEX($AI$2:$AI$1001,MATCH(ROWS($AH$2:AH269),$AH$2:$AH$1001,0),1)&gt;=100000,INDEX($AO$1005:$BQ$1005,1,MATCH(COLUMNS($AO$1006:BI1006),$AO$1006:$BQ$1006,0))&gt;=100000), " ",IF(INDEX($AO$2:$BQ$1001,MATCH(ROWS($AH$2:AH269),$AH$2:$AH$1001,0),MATCH(COLUMNS($AO$1006:BI1006),$AO$1006:$BQ$1006,0)), HYPERLINK("#",""), HYPERLINK(CONCATENATE("#Metadata!", ADDRESS(INDEX($AJ$2:$AJ$1001,MATCH(ROWS($AH$2:AH269),$AH$2:$AH$1001,0),0), INDEX($AO$1004:$BQ$1004,1,MATCH(COLUMNS($AO$1006:BI1006),$AO$1006:$BQ$1006,0)))),"Fix")))</f>
        <v>#N/A</v>
      </c>
      <c r="W269" s="5" t="e">
        <f ca="1">IF(OR(INDEX($AI$2:$AI$1001,MATCH(ROWS($AH$2:AH269),$AH$2:$AH$1001,0),1)&gt;=100000,INDEX($AO$1005:$BQ$1005,1,MATCH(COLUMNS($AO$1006:BJ1006),$AO$1006:$BQ$1006,0))&gt;=100000), " ",IF(INDEX($AO$2:$BQ$1001,MATCH(ROWS($AH$2:AH269),$AH$2:$AH$1001,0),MATCH(COLUMNS($AO$1006:BJ1006),$AO$1006:$BQ$1006,0)), HYPERLINK("#",""), HYPERLINK(CONCATENATE("#Metadata!", ADDRESS(INDEX($AJ$2:$AJ$1001,MATCH(ROWS($AH$2:AH269),$AH$2:$AH$1001,0),0), INDEX($AO$1004:$BQ$1004,1,MATCH(COLUMNS($AO$1006:BJ1006),$AO$1006:$BQ$1006,0)))),"Fix")))</f>
        <v>#N/A</v>
      </c>
      <c r="X269" s="5" t="e">
        <f ca="1">IF(OR(INDEX($AI$2:$AI$1001,MATCH(ROWS($AH$2:AH269),$AH$2:$AH$1001,0),1)&gt;=100000,INDEX($AO$1005:$BQ$1005,1,MATCH(COLUMNS($AO$1006:BK1006),$AO$1006:$BQ$1006,0))&gt;=100000), " ",IF(INDEX($AO$2:$BQ$1001,MATCH(ROWS($AH$2:AH269),$AH$2:$AH$1001,0),MATCH(COLUMNS($AO$1006:BK1006),$AO$1006:$BQ$1006,0)), HYPERLINK("#",""), HYPERLINK(CONCATENATE("#Metadata!", ADDRESS(INDEX($AJ$2:$AJ$1001,MATCH(ROWS($AH$2:AH269),$AH$2:$AH$1001,0),0), INDEX($AO$1004:$BQ$1004,1,MATCH(COLUMNS($AO$1006:BK1006),$AO$1006:$BQ$1006,0)))),"Fix")))</f>
        <v>#N/A</v>
      </c>
      <c r="Y269" s="5" t="e">
        <f ca="1">IF(OR(INDEX($AI$2:$AI$1001,MATCH(ROWS($AH$2:AH269),$AH$2:$AH$1001,0),1)&gt;=100000,INDEX($AO$1005:$BQ$1005,1,MATCH(COLUMNS($AO$1006:BL1006),$AO$1006:$BQ$1006,0))&gt;=100000), " ",IF(INDEX($AO$2:$BQ$1001,MATCH(ROWS($AH$2:AH269),$AH$2:$AH$1001,0),MATCH(COLUMNS($AO$1006:BL1006),$AO$1006:$BQ$1006,0)), HYPERLINK("#",""), HYPERLINK(CONCATENATE("#Metadata!", ADDRESS(INDEX($AJ$2:$AJ$1001,MATCH(ROWS($AH$2:AH269),$AH$2:$AH$1001,0),0), INDEX($AO$1004:$BQ$1004,1,MATCH(COLUMNS($AO$1006:BL1006),$AO$1006:$BQ$1006,0)))),"Fix")))</f>
        <v>#N/A</v>
      </c>
      <c r="Z269" s="5" t="e">
        <f ca="1">IF(OR(INDEX($AI$2:$AI$1001,MATCH(ROWS($AH$2:AH269),$AH$2:$AH$1001,0),1)&gt;=100000,INDEX($AO$1005:$BQ$1005,1,MATCH(COLUMNS($AO$1006:BM1006),$AO$1006:$BQ$1006,0))&gt;=100000), " ",IF(INDEX($AO$2:$BQ$1001,MATCH(ROWS($AH$2:AH269),$AH$2:$AH$1001,0),MATCH(COLUMNS($AO$1006:BM1006),$AO$1006:$BQ$1006,0)), HYPERLINK("#",""), HYPERLINK(CONCATENATE("#Metadata!", ADDRESS(INDEX($AJ$2:$AJ$1001,MATCH(ROWS($AH$2:AH269),$AH$2:$AH$1001,0),0), INDEX($AO$1004:$BQ$1004,1,MATCH(COLUMNS($AO$1006:BM1006),$AO$1006:$BQ$1006,0)))),"Fix")))</f>
        <v>#N/A</v>
      </c>
      <c r="AA269" s="5" t="e">
        <f ca="1">IF(OR(INDEX($AI$2:$AI$1001,MATCH(ROWS($AH$2:AH269),$AH$2:$AH$1001,0),1)&gt;=100000,INDEX($AO$1005:$BQ$1005,1,MATCH(COLUMNS($AO$1006:BN1006),$AO$1006:$BQ$1006,0))&gt;=100000), " ",IF(INDEX($AO$2:$BQ$1001,MATCH(ROWS($AH$2:AH269),$AH$2:$AH$1001,0),MATCH(COLUMNS($AO$1006:BN1006),$AO$1006:$BQ$1006,0)), HYPERLINK("#",""), HYPERLINK(CONCATENATE("#Metadata!", ADDRESS(INDEX($AJ$2:$AJ$1001,MATCH(ROWS($AH$2:AH269),$AH$2:$AH$1001,0),0), INDEX($AO$1004:$BQ$1004,1,MATCH(COLUMNS($AO$1006:BN1006),$AO$1006:$BQ$1006,0)))),"Fix")))</f>
        <v>#N/A</v>
      </c>
      <c r="AB269" s="5" t="e">
        <f ca="1">IF(OR(INDEX($AI$2:$AI$1001,MATCH(ROWS($AH$2:AH269),$AH$2:$AH$1001,0),1)&gt;=100000,INDEX($AO$1005:$BQ$1005,1,MATCH(COLUMNS($AO$1006:BO1006),$AO$1006:$BQ$1006,0))&gt;=100000), " ",IF(INDEX($AO$2:$BQ$1001,MATCH(ROWS($AH$2:AH269),$AH$2:$AH$1001,0),MATCH(COLUMNS($AO$1006:BO1006),$AO$1006:$BQ$1006,0)), HYPERLINK("#",""), HYPERLINK(CONCATENATE("#Metadata!", ADDRESS(INDEX($AJ$2:$AJ$1001,MATCH(ROWS($AH$2:AH269),$AH$2:$AH$1001,0),0), INDEX($AO$1004:$BQ$1004,1,MATCH(COLUMNS($AO$1006:BO1006),$AO$1006:$BQ$1006,0)))),"Fix")))</f>
        <v>#N/A</v>
      </c>
      <c r="AC269" s="5" t="e">
        <f ca="1">IF(OR(INDEX($AI$2:$AI$1001,MATCH(ROWS($AH$2:AH269),$AH$2:$AH$1001,0),1)&gt;=100000,INDEX($AO$1005:$BQ$1005,1,MATCH(COLUMNS($AO$1006:BP1006),$AO$1006:$BQ$1006,0))&gt;=100000), " ",IF(INDEX($AO$2:$BQ$1001,MATCH(ROWS($AH$2:AH269),$AH$2:$AH$1001,0),MATCH(COLUMNS($AO$1006:BP1006),$AO$1006:$BQ$1006,0)), HYPERLINK("#",""), HYPERLINK(CONCATENATE("#Metadata!", ADDRESS(INDEX($AJ$2:$AJ$1001,MATCH(ROWS($AH$2:AH269),$AH$2:$AH$1001,0),0), INDEX($AO$1004:$BQ$1004,1,MATCH(COLUMNS($AO$1006:BP1006),$AO$1006:$BQ$1006,0)))),"Fix")))</f>
        <v>#N/A</v>
      </c>
      <c r="AD269" s="5" t="e">
        <f ca="1">IF(OR(INDEX($AI$2:$AI$1001,MATCH(ROWS($AH$2:AH269),$AH$2:$AH$1001,0),1)&gt;=100000,INDEX($AO$1005:$BQ$1005,1,MATCH(COLUMNS($AO$1006:BQ1006),$AO$1006:$BQ$1006,0))&gt;=100000), " ",IF(INDEX($AO$2:$BQ$1001,MATCH(ROWS($AH$2:AH269),$AH$2:$AH$1001,0),MATCH(COLUMNS($AO$1006:BQ1006),$AO$1006:$BQ$1006,0)), HYPERLINK("#",""), HYPERLINK(CONCATENATE("#Metadata!", ADDRESS(INDEX($AJ$2:$AJ$1001,MATCH(ROWS($AH$2:AH269),$AH$2:$AH$1001,0),0), INDEX($AO$1004:$BQ$1004,1,MATCH(COLUMNS($AO$1006:BQ1006),$AO$1006:$BQ$1006,0)))),"Fix")))</f>
        <v>#REF!</v>
      </c>
      <c r="AH269">
        <f ca="1"/>
        <v>266</v>
      </c>
      <c r="AI269">
        <v>100269</v>
      </c>
      <c r="AJ269">
        <v>269</v>
      </c>
      <c r="AK269" t="b">
        <f t="shared" si="4"/>
        <v>1</v>
      </c>
      <c r="AL269" t="b">
        <f>COUNTBLANK(Metadata!B269:AD269)=COLUMNS(Metadata!B269:AD269)</f>
        <v>1</v>
      </c>
      <c r="AM269" t="str">
        <v/>
      </c>
      <c r="AO269" t="b">
        <f ca="1">AND(IF(Metadata!B269="",FALSE,TRUE),COUNTIF(Metadata!B:B, Metadata!B269) = 1,NOT(ISERROR(SUMPRODUCT(SEARCH(MID(Metadata!B269,ROW(INDIRECT("1:"&amp;LEN(Metadata!B269))), 1),"0123456789abcdefghijklmnopqrstuvwxyzABCDEFGHIJKLMNOPQRSTUVWXYZ.")))))</f>
        <v>0</v>
      </c>
      <c r="AP269" t="b">
        <f>IF(Metadata!C269="",FALSE,TRUE)</f>
        <v>0</v>
      </c>
      <c r="AQ269" t="b">
        <f>IF(Metadata!D269="",FALSE,TRUE)</f>
        <v>0</v>
      </c>
      <c r="AR269" t="b">
        <f ca="1">OR(AND(IF(Metadata!E269="",FALSE,TRUE),OR(EXACT(Metadata!E269,"not collected"),EXACT(Metadata!E269,"not provided"),EXACT(Metadata!E269,"restricted access"))),AND(IF(Metadata!E269="",FALSE,TRUE),AND(AND(IFERROR(INT(LEFT(Metadata!E269,4))&gt;1900,FALSE),IFERROR(INT(LEFT(Metadata!E269,4))&lt;=YEAR(NOW()),FALSE)), OR(MID(Metadata!E269,5,1)="", AND(AND(MID(Metadata!E269,5,1)="-",IFERROR(INT(MID(Metadata!E269,6,1))&gt;=0,FALSE),IFERROR(INT(MID(Metadata!E269,6,1))&lt;=1,FALSE),NOT(MID(Metadata!E269,7,1)=""),IFERROR(INT(MID(Metadata!E269,6,2))&gt;=1,FALSE),IFERROR(INT(MID(Metadata!E269,6,2))&lt;=12,FALSE)), OR(MID(Metadata!E269,8,1)="", AND(AND(MID(Metadata!E269,8,1)="-",IFERROR(INT(MID(Metadata!E269,9,1))&gt;=0,FALSE),IFERROR(INT(MID(Metadata!E269,9,1))&lt;=3,FALSE),NOT(MID(Metadata!E269,10,1)=""),IFERROR(INT(MID(Metadata!E269,9,2))&gt;=1,FALSE),IFERROR(INT(MID(Metadata!E269,9,2))&lt;=31,FALSE)), OR(MID(Metadata!E269,11,1)="", AND(AND(MID(Metadata!E269,11,1)=" ",IFERROR(INT(MID(Metadata!E269,12,1))&gt;=0,FALSE),IFERROR(INT(MID(Metadata!E269,12,1))&lt;=2,FALSE),NOT(MID(Metadata!E269,13,1)=""),IFERROR(INT(MID(Metadata!E269,12,2))&gt;=0,FALSE),IFERROR(INT(MID(Metadata!E269,12,2))&lt;=23,FALSE)), OR(MID(Metadata!E269,14,1)="", AND(AND(MID(Metadata!E269,14,1)=":",IFERROR(INT(MID(Metadata!E269,15,1))&gt;=0,FALSE),IFERROR(INT(MID(Metadata!E269,15,1))&lt;=5,FALSE),NOT(MID(Metadata!E269,16,1)=""),IFERROR(INT(MID(Metadata!E269,15,2))&gt;=0,FALSE),IFERROR(INT(MID(Metadata!E269,15,2))&lt;=59,FALSE)), OR(MID(Metadata!E269,17,1)="", AND(AND(MID(Metadata!E269,17,1)=":",IFERROR(INT(MID(Metadata!E269,18,1))&gt;=0,FALSE),IFERROR(INT(MID(Metadata!E269,18,1))&lt;=5,FALSE),NOT(MID(Metadata!E269,19,1)=""),IFERROR(INT(MID(Metadata!E269,18,2))&gt;=0,FALSE),IFERROR(INT(MID(Metadata!E269,18,2))&lt;=59,FALSE)), LEN(Metadata!E269)&lt;=19)))))))))))))</f>
        <v>0</v>
      </c>
      <c r="AS269" t="b">
        <f>IF(Metadata!F269="",FALSE,TRUE)</f>
        <v>0</v>
      </c>
      <c r="AT269" t="b">
        <f>OR(AND(IF(Metadata!G269="",FALSE,TRUE),OR(EXACT(Metadata!G269,"not collected"),EXACT(Metadata!G269,"not provided"))),AND(IF(Metadata!G269="",FALSE,TRUE),OR(EXACT(Metadata!G269,"TRUE"),EXACT(Metadata!G269,"FALSE"))))</f>
        <v>0</v>
      </c>
      <c r="AU269" t="b">
        <f>OR(AND(IF(Metadata!H269="",FALSE,TRUE),OR(EXACT(Metadata!H269,"not collected"),EXACT(Metadata!H269,"not provided"),EXACT(Metadata!H269,"restricted access"))),AND(IF(Metadata!H269="",FALSE,ISNUMBER(VALUE(Metadata!H269))),Metadata!H269&gt;=-413))</f>
        <v>0</v>
      </c>
      <c r="AV269" t="b">
        <f>AND(IF(Metadata!I269="",FALSE,TRUE),EXACT(Metadata!I269,"meters"))</f>
        <v>0</v>
      </c>
      <c r="AW269" t="b">
        <f>AND(IF(Metadata!J269="",FALSE,TRUE),EXACT(Metadata!J269,"free-living"))</f>
        <v>0</v>
      </c>
      <c r="AX269" t="b">
        <f>AND(IF(Metadata!K269="",FALSE,TRUE),OR(EXACT(Metadata!K269,"saline"),EXACT(Metadata!K269,"non-saline")))</f>
        <v>0</v>
      </c>
      <c r="AY269" t="b">
        <f>AND(IF(Metadata!L269="",FALSE,TRUE),OR(EXACT(Metadata!L269,"sub-surface (non-saline)"),EXACT(Metadata!L269,"surface (non-saline)"),EXACT(Metadata!L269,"water (non-saline)"),EXACT(Metadata!L269,"soil (non-saline)"),EXACT(Metadata!L269,"aerosol (non-saline)"),EXACT(Metadata!L269,"sediment (non-saline)"),EXACT(Metadata!L269,"surface (saline)"),EXACT(Metadata!L269,"water (saline)"),EXACT(Metadata!L269,"hypersaline (saline)"),EXACT(Metadata!L269,"aerosol (saline)"),EXACT(Metadata!L269,"sediment (saline)")))</f>
        <v>0</v>
      </c>
      <c r="AZ269" t="b">
        <f>IF(Metadata!M269="",FALSE,TRUE)</f>
        <v>0</v>
      </c>
      <c r="BA269" t="b">
        <f>IF(Metadata!N269="",FALSE,TRUE)</f>
        <v>0</v>
      </c>
      <c r="BB269" t="b">
        <f>IF(Metadata!O269="",FALSE,TRUE)</f>
        <v>0</v>
      </c>
      <c r="BC269" t="b">
        <f>AND(IF(Metadata!P269="",FALSE,TRUE),OR(EXACT(Metadata!P269,"air"),EXACT(Metadata!P269,"microbial mat/biofilm"),EXACT(Metadata!P269,"misc environment"),EXACT(Metadata!P269,"sediment"),EXACT(Metadata!P269,"soil"),EXACT(Metadata!P269,"wastewater/sludge"),EXACT(Metadata!P269,"water")))</f>
        <v>0</v>
      </c>
      <c r="BD269" t="b">
        <f>IF(Metadata!Q269="",FALSE,TRUE)</f>
        <v>0</v>
      </c>
      <c r="BE269" t="b">
        <f>IF(Metadata!R269="",FALSE,TRUE)</f>
        <v>0</v>
      </c>
      <c r="BF269" t="b">
        <f>OR(AND(IF(Metadata!S269="",FALSE,TRUE),OR(EXACT(Metadata!S269,"not collected"),EXACT(Metadata!S269,"not provided"),EXACT(Metadata!S269,"restricted access"))),AND(IF(Metadata!S269="",FALSE,ISNUMBER(VALUE(Metadata!S269))),Metadata!S269&gt;=-90,Metadata!S269&lt;=90))</f>
        <v>0</v>
      </c>
      <c r="BG269" t="b">
        <f>AND(IF(Metadata!T269="",FALSE,TRUE),EXACT(Metadata!T269,"Decimal degrees"))</f>
        <v>0</v>
      </c>
      <c r="BH269" t="b">
        <f>OR(AND(IF(Metadata!U269="",FALSE,TRUE),OR(EXACT(Metadata!U269,"not applicable"),EXACT(Metadata!U269,"not collected"))),IF(Metadata!U269="",FALSE,TRUE))</f>
        <v>0</v>
      </c>
      <c r="BI269" t="b">
        <f>OR(AND(IF(Metadata!V269="",FALSE,TRUE),OR(EXACT(Metadata!V269,"not collected"),EXACT(Metadata!V269,"not provided"),EXACT(Metadata!V269,"restricted access"))),AND(IF(Metadata!V269="",FALSE,ISNUMBER(VALUE(Metadata!V269))),Metadata!V269&gt;=-180,Metadata!V269&lt;=180))</f>
        <v>0</v>
      </c>
      <c r="BJ269" t="b">
        <f>AND(IF(Metadata!W269="",FALSE,TRUE),EXACT(Metadata!W269,"Decimal degrees"))</f>
        <v>0</v>
      </c>
      <c r="BK269" t="b">
        <f>IF(Metadata!X269="",FALSE,TRUE)</f>
        <v>0</v>
      </c>
      <c r="BL269" t="b">
        <f>OR(AND(IF(Metadata!Y269="",FALSE,TRUE),OR(EXACT(Metadata!Y269,"not collected"),EXACT(Metadata!Y269,"not provided"),EXACT(Metadata!Y269,"restricted access"))),AND(IF(Metadata!Y269="",FALSE,TRUE),OR(EXACT(Metadata!Y269,"TRUE"),EXACT(Metadata!Y269,"FALSE"))))</f>
        <v>0</v>
      </c>
      <c r="BM269" t="b">
        <f>OR(AND(IF(Metadata!Z269="",FALSE,TRUE),EXACT(Metadata!Z269,"not applicable")),AND(IF(Metadata!Z269="",FALSE,TRUE),OR(EXACT(Metadata!Z269,"beer"),EXACT(Metadata!Z269,"cheese"),EXACT(Metadata!Z269,"fresh water"),EXACT(Metadata!Z269,"marine sediment"),EXACT(Metadata!Z269,"sea water"),EXACT(Metadata!Z269,"sediment"),EXACT(Metadata!Z269,"soil"),EXACT(Metadata!Z269,"waste water"))))</f>
        <v>0</v>
      </c>
      <c r="BN269" t="b">
        <f>AND(IF(Metadata!AA269="",FALSE,TRUE),EXACT(Metadata!AA269,"metagenome"))</f>
        <v>0</v>
      </c>
      <c r="BO269" t="b">
        <f>AND(IF(Metadata!AB269="",FALSE,TRUE),EXACT(Metadata!AB269,"256318"))</f>
        <v>0</v>
      </c>
      <c r="BP269" t="b">
        <f>IF(Metadata!AC269="",FALSE,TRUE)</f>
        <v>0</v>
      </c>
      <c r="BQ269" t="b">
        <f>IF(Metadata!AD269="",FALSE,TRUE)</f>
        <v>0</v>
      </c>
    </row>
    <row r="270" spans="1:69" x14ac:dyDescent="0.2">
      <c r="A270" s="4" t="e">
        <f ca="1">IF(B270=" "," ",HYPERLINK(CONCATENATE("#metadata!",ADDRESS(INDEX($AJ$2:$AJ$1001,MATCH(ROWS($AH$2:AH270),$AH$2:$AH$1001,0),0),2)),INDEX($AM$2:$AM$1001,MATCH(ROWS($AH$2:AH270),$AH$2:$AH$1001,0),0)))</f>
        <v>#N/A</v>
      </c>
      <c r="B270" s="5" t="e">
        <f ca="1">IF(OR(INDEX($AI$2:$AI$1001,MATCH(ROWS($AH$2:AH270),$AH$2:$AH$1001,0),1)&gt;=100000,INDEX($AO$1005:$BQ$1005,1,MATCH(COLUMNS($AO$1006:AO1006),$AO$1006:$BQ$1006,0))&gt;=100000), " ",IF(INDEX($AO$2:$BQ$1001,MATCH(ROWS($AH$2:AH270),$AH$2:$AH$1001,0),MATCH(COLUMNS($AO$1006:AO1006),$AO$1006:$BQ$1006,0)), HYPERLINK("#",""), HYPERLINK(CONCATENATE("#Metadata!", ADDRESS(INDEX($AJ$2:$AJ$1001,MATCH(ROWS($AH$2:AH270),$AH$2:$AH$1001,0),0), INDEX($AO$1004:$BQ$1004,1,MATCH(COLUMNS($AO$1006:AO1006),$AO$1006:$BQ$1006,0)))),"Fix")))</f>
        <v>#N/A</v>
      </c>
      <c r="C270" s="5" t="e">
        <f ca="1">IF(OR(INDEX($AI$2:$AI$1001,MATCH(ROWS($AH$2:AH270),$AH$2:$AH$1001,0),1)&gt;=100000,INDEX($AO$1005:$BQ$1005,1,MATCH(COLUMNS($AO$1006:AP1006),$AO$1006:$BQ$1006,0))&gt;=100000), " ",IF(INDEX($AO$2:$BQ$1001,MATCH(ROWS($AH$2:AH270),$AH$2:$AH$1001,0),MATCH(COLUMNS($AO$1006:AP1006),$AO$1006:$BQ$1006,0)), HYPERLINK("#",""), HYPERLINK(CONCATENATE("#Metadata!", ADDRESS(INDEX($AJ$2:$AJ$1001,MATCH(ROWS($AH$2:AH270),$AH$2:$AH$1001,0),0), INDEX($AO$1004:$BQ$1004,1,MATCH(COLUMNS($AO$1006:AP1006),$AO$1006:$BQ$1006,0)))),"Fix")))</f>
        <v>#N/A</v>
      </c>
      <c r="D270" s="5" t="e">
        <f ca="1">IF(OR(INDEX($AI$2:$AI$1001,MATCH(ROWS($AH$2:AH270),$AH$2:$AH$1001,0),1)&gt;=100000,INDEX($AO$1005:$BQ$1005,1,MATCH(COLUMNS($AO$1006:AQ1006),$AO$1006:$BQ$1006,0))&gt;=100000), " ",IF(INDEX($AO$2:$BQ$1001,MATCH(ROWS($AH$2:AH270),$AH$2:$AH$1001,0),MATCH(COLUMNS($AO$1006:AQ1006),$AO$1006:$BQ$1006,0)), HYPERLINK("#",""), HYPERLINK(CONCATENATE("#Metadata!", ADDRESS(INDEX($AJ$2:$AJ$1001,MATCH(ROWS($AH$2:AH270),$AH$2:$AH$1001,0),0), INDEX($AO$1004:$BQ$1004,1,MATCH(COLUMNS($AO$1006:AQ1006),$AO$1006:$BQ$1006,0)))),"Fix")))</f>
        <v>#N/A</v>
      </c>
      <c r="E270" s="5" t="e">
        <f ca="1">IF(OR(INDEX($AI$2:$AI$1001,MATCH(ROWS($AH$2:AH270),$AH$2:$AH$1001,0),1)&gt;=100000,INDEX($AO$1005:$BQ$1005,1,MATCH(COLUMNS($AO$1006:AR1006),$AO$1006:$BQ$1006,0))&gt;=100000), " ",IF(INDEX($AO$2:$BQ$1001,MATCH(ROWS($AH$2:AH270),$AH$2:$AH$1001,0),MATCH(COLUMNS($AO$1006:AR1006),$AO$1006:$BQ$1006,0)), HYPERLINK("#",""), HYPERLINK(CONCATENATE("#Metadata!", ADDRESS(INDEX($AJ$2:$AJ$1001,MATCH(ROWS($AH$2:AH270),$AH$2:$AH$1001,0),0), INDEX($AO$1004:$BQ$1004,1,MATCH(COLUMNS($AO$1006:AR1006),$AO$1006:$BQ$1006,0)))),"Fix")))</f>
        <v>#N/A</v>
      </c>
      <c r="F270" s="5" t="e">
        <f ca="1">IF(OR(INDEX($AI$2:$AI$1001,MATCH(ROWS($AH$2:AH270),$AH$2:$AH$1001,0),1)&gt;=100000,INDEX($AO$1005:$BQ$1005,1,MATCH(COLUMNS($AO$1006:AS1006),$AO$1006:$BQ$1006,0))&gt;=100000), " ",IF(INDEX($AO$2:$BQ$1001,MATCH(ROWS($AH$2:AH270),$AH$2:$AH$1001,0),MATCH(COLUMNS($AO$1006:AS1006),$AO$1006:$BQ$1006,0)), HYPERLINK("#",""), HYPERLINK(CONCATENATE("#Metadata!", ADDRESS(INDEX($AJ$2:$AJ$1001,MATCH(ROWS($AH$2:AH270),$AH$2:$AH$1001,0),0), INDEX($AO$1004:$BQ$1004,1,MATCH(COLUMNS($AO$1006:AS1006),$AO$1006:$BQ$1006,0)))),"Fix")))</f>
        <v>#N/A</v>
      </c>
      <c r="G270" s="5" t="e">
        <f ca="1">IF(OR(INDEX($AI$2:$AI$1001,MATCH(ROWS($AH$2:AH270),$AH$2:$AH$1001,0),1)&gt;=100000,INDEX($AO$1005:$BQ$1005,1,MATCH(COLUMNS($AO$1006:AT1006),$AO$1006:$BQ$1006,0))&gt;=100000), " ",IF(INDEX($AO$2:$BQ$1001,MATCH(ROWS($AH$2:AH270),$AH$2:$AH$1001,0),MATCH(COLUMNS($AO$1006:AT1006),$AO$1006:$BQ$1006,0)), HYPERLINK("#",""), HYPERLINK(CONCATENATE("#Metadata!", ADDRESS(INDEX($AJ$2:$AJ$1001,MATCH(ROWS($AH$2:AH270),$AH$2:$AH$1001,0),0), INDEX($AO$1004:$BQ$1004,1,MATCH(COLUMNS($AO$1006:AT1006),$AO$1006:$BQ$1006,0)))),"Fix")))</f>
        <v>#N/A</v>
      </c>
      <c r="H270" s="5" t="e">
        <f ca="1">IF(OR(INDEX($AI$2:$AI$1001,MATCH(ROWS($AH$2:AH270),$AH$2:$AH$1001,0),1)&gt;=100000,INDEX($AO$1005:$BQ$1005,1,MATCH(COLUMNS($AO$1006:AU1006),$AO$1006:$BQ$1006,0))&gt;=100000), " ",IF(INDEX($AO$2:$BQ$1001,MATCH(ROWS($AH$2:AH270),$AH$2:$AH$1001,0),MATCH(COLUMNS($AO$1006:AU1006),$AO$1006:$BQ$1006,0)), HYPERLINK("#",""), HYPERLINK(CONCATENATE("#Metadata!", ADDRESS(INDEX($AJ$2:$AJ$1001,MATCH(ROWS($AH$2:AH270),$AH$2:$AH$1001,0),0), INDEX($AO$1004:$BQ$1004,1,MATCH(COLUMNS($AO$1006:AU1006),$AO$1006:$BQ$1006,0)))),"Fix")))</f>
        <v>#N/A</v>
      </c>
      <c r="I270" s="5" t="e">
        <f ca="1">IF(OR(INDEX($AI$2:$AI$1001,MATCH(ROWS($AH$2:AH270),$AH$2:$AH$1001,0),1)&gt;=100000,INDEX($AO$1005:$BQ$1005,1,MATCH(COLUMNS($AO$1006:AV1006),$AO$1006:$BQ$1006,0))&gt;=100000), " ",IF(INDEX($AO$2:$BQ$1001,MATCH(ROWS($AH$2:AH270),$AH$2:$AH$1001,0),MATCH(COLUMNS($AO$1006:AV1006),$AO$1006:$BQ$1006,0)), HYPERLINK("#",""), HYPERLINK(CONCATENATE("#Metadata!", ADDRESS(INDEX($AJ$2:$AJ$1001,MATCH(ROWS($AH$2:AH270),$AH$2:$AH$1001,0),0), INDEX($AO$1004:$BQ$1004,1,MATCH(COLUMNS($AO$1006:AV1006),$AO$1006:$BQ$1006,0)))),"Fix")))</f>
        <v>#N/A</v>
      </c>
      <c r="J270" s="5" t="e">
        <f ca="1">IF(OR(INDEX($AI$2:$AI$1001,MATCH(ROWS($AH$2:AH270),$AH$2:$AH$1001,0),1)&gt;=100000,INDEX($AO$1005:$BQ$1005,1,MATCH(COLUMNS($AO$1006:AW1006),$AO$1006:$BQ$1006,0))&gt;=100000), " ",IF(INDEX($AO$2:$BQ$1001,MATCH(ROWS($AH$2:AH270),$AH$2:$AH$1001,0),MATCH(COLUMNS($AO$1006:AW1006),$AO$1006:$BQ$1006,0)), HYPERLINK("#",""), HYPERLINK(CONCATENATE("#Metadata!", ADDRESS(INDEX($AJ$2:$AJ$1001,MATCH(ROWS($AH$2:AH270),$AH$2:$AH$1001,0),0), INDEX($AO$1004:$BQ$1004,1,MATCH(COLUMNS($AO$1006:AW1006),$AO$1006:$BQ$1006,0)))),"Fix")))</f>
        <v>#N/A</v>
      </c>
      <c r="K270" s="5" t="e">
        <f ca="1">IF(OR(INDEX($AI$2:$AI$1001,MATCH(ROWS($AH$2:AH270),$AH$2:$AH$1001,0),1)&gt;=100000,INDEX($AO$1005:$BQ$1005,1,MATCH(COLUMNS($AO$1006:AX1006),$AO$1006:$BQ$1006,0))&gt;=100000), " ",IF(INDEX($AO$2:$BQ$1001,MATCH(ROWS($AH$2:AH270),$AH$2:$AH$1001,0),MATCH(COLUMNS($AO$1006:AX1006),$AO$1006:$BQ$1006,0)), HYPERLINK("#",""), HYPERLINK(CONCATENATE("#Metadata!", ADDRESS(INDEX($AJ$2:$AJ$1001,MATCH(ROWS($AH$2:AH270),$AH$2:$AH$1001,0),0), INDEX($AO$1004:$BQ$1004,1,MATCH(COLUMNS($AO$1006:AX1006),$AO$1006:$BQ$1006,0)))),"Fix")))</f>
        <v>#N/A</v>
      </c>
      <c r="L270" s="5" t="e">
        <f ca="1">IF(OR(INDEX($AI$2:$AI$1001,MATCH(ROWS($AH$2:AH270),$AH$2:$AH$1001,0),1)&gt;=100000,INDEX($AO$1005:$BQ$1005,1,MATCH(COLUMNS($AO$1006:AY1006),$AO$1006:$BQ$1006,0))&gt;=100000), " ",IF(INDEX($AO$2:$BQ$1001,MATCH(ROWS($AH$2:AH270),$AH$2:$AH$1001,0),MATCH(COLUMNS($AO$1006:AY1006),$AO$1006:$BQ$1006,0)), HYPERLINK("#",""), HYPERLINK(CONCATENATE("#Metadata!", ADDRESS(INDEX($AJ$2:$AJ$1001,MATCH(ROWS($AH$2:AH270),$AH$2:$AH$1001,0),0), INDEX($AO$1004:$BQ$1004,1,MATCH(COLUMNS($AO$1006:AY1006),$AO$1006:$BQ$1006,0)))),"Fix")))</f>
        <v>#N/A</v>
      </c>
      <c r="M270" s="5" t="e">
        <f ca="1">IF(OR(INDEX($AI$2:$AI$1001,MATCH(ROWS($AH$2:AH270),$AH$2:$AH$1001,0),1)&gt;=100000,INDEX($AO$1005:$BQ$1005,1,MATCH(COLUMNS($AO$1006:AZ1006),$AO$1006:$BQ$1006,0))&gt;=100000), " ",IF(INDEX($AO$2:$BQ$1001,MATCH(ROWS($AH$2:AH270),$AH$2:$AH$1001,0),MATCH(COLUMNS($AO$1006:AZ1006),$AO$1006:$BQ$1006,0)), HYPERLINK("#",""), HYPERLINK(CONCATENATE("#Metadata!", ADDRESS(INDEX($AJ$2:$AJ$1001,MATCH(ROWS($AH$2:AH270),$AH$2:$AH$1001,0),0), INDEX($AO$1004:$BQ$1004,1,MATCH(COLUMNS($AO$1006:AZ1006),$AO$1006:$BQ$1006,0)))),"Fix")))</f>
        <v>#N/A</v>
      </c>
      <c r="N270" s="5" t="e">
        <f ca="1">IF(OR(INDEX($AI$2:$AI$1001,MATCH(ROWS($AH$2:AH270),$AH$2:$AH$1001,0),1)&gt;=100000,INDEX($AO$1005:$BQ$1005,1,MATCH(COLUMNS($AO$1006:BA1006),$AO$1006:$BQ$1006,0))&gt;=100000), " ",IF(INDEX($AO$2:$BQ$1001,MATCH(ROWS($AH$2:AH270),$AH$2:$AH$1001,0),MATCH(COLUMNS($AO$1006:BA1006),$AO$1006:$BQ$1006,0)), HYPERLINK("#",""), HYPERLINK(CONCATENATE("#Metadata!", ADDRESS(INDEX($AJ$2:$AJ$1001,MATCH(ROWS($AH$2:AH270),$AH$2:$AH$1001,0),0), INDEX($AO$1004:$BQ$1004,1,MATCH(COLUMNS($AO$1006:BA1006),$AO$1006:$BQ$1006,0)))),"Fix")))</f>
        <v>#N/A</v>
      </c>
      <c r="O270" s="5" t="e">
        <f ca="1">IF(OR(INDEX($AI$2:$AI$1001,MATCH(ROWS($AH$2:AH270),$AH$2:$AH$1001,0),1)&gt;=100000,INDEX($AO$1005:$BQ$1005,1,MATCH(COLUMNS($AO$1006:BB1006),$AO$1006:$BQ$1006,0))&gt;=100000), " ",IF(INDEX($AO$2:$BQ$1001,MATCH(ROWS($AH$2:AH270),$AH$2:$AH$1001,0),MATCH(COLUMNS($AO$1006:BB1006),$AO$1006:$BQ$1006,0)), HYPERLINK("#",""), HYPERLINK(CONCATENATE("#Metadata!", ADDRESS(INDEX($AJ$2:$AJ$1001,MATCH(ROWS($AH$2:AH270),$AH$2:$AH$1001,0),0), INDEX($AO$1004:$BQ$1004,1,MATCH(COLUMNS($AO$1006:BB1006),$AO$1006:$BQ$1006,0)))),"Fix")))</f>
        <v>#N/A</v>
      </c>
      <c r="P270" s="5" t="e">
        <f ca="1">IF(OR(INDEX($AI$2:$AI$1001,MATCH(ROWS($AH$2:AH270),$AH$2:$AH$1001,0),1)&gt;=100000,INDEX($AO$1005:$BQ$1005,1,MATCH(COLUMNS($AO$1006:BC1006),$AO$1006:$BQ$1006,0))&gt;=100000), " ",IF(INDEX($AO$2:$BQ$1001,MATCH(ROWS($AH$2:AH270),$AH$2:$AH$1001,0),MATCH(COLUMNS($AO$1006:BC1006),$AO$1006:$BQ$1006,0)), HYPERLINK("#",""), HYPERLINK(CONCATENATE("#Metadata!", ADDRESS(INDEX($AJ$2:$AJ$1001,MATCH(ROWS($AH$2:AH270),$AH$2:$AH$1001,0),0), INDEX($AO$1004:$BQ$1004,1,MATCH(COLUMNS($AO$1006:BC1006),$AO$1006:$BQ$1006,0)))),"Fix")))</f>
        <v>#N/A</v>
      </c>
      <c r="Q270" s="5" t="e">
        <f ca="1">IF(OR(INDEX($AI$2:$AI$1001,MATCH(ROWS($AH$2:AH270),$AH$2:$AH$1001,0),1)&gt;=100000,INDEX($AO$1005:$BQ$1005,1,MATCH(COLUMNS($AO$1006:BD1006),$AO$1006:$BQ$1006,0))&gt;=100000), " ",IF(INDEX($AO$2:$BQ$1001,MATCH(ROWS($AH$2:AH270),$AH$2:$AH$1001,0),MATCH(COLUMNS($AO$1006:BD1006),$AO$1006:$BQ$1006,0)), HYPERLINK("#",""), HYPERLINK(CONCATENATE("#Metadata!", ADDRESS(INDEX($AJ$2:$AJ$1001,MATCH(ROWS($AH$2:AH270),$AH$2:$AH$1001,0),0), INDEX($AO$1004:$BQ$1004,1,MATCH(COLUMNS($AO$1006:BD1006),$AO$1006:$BQ$1006,0)))),"Fix")))</f>
        <v>#N/A</v>
      </c>
      <c r="R270" s="5" t="e">
        <f ca="1">IF(OR(INDEX($AI$2:$AI$1001,MATCH(ROWS($AH$2:AH270),$AH$2:$AH$1001,0),1)&gt;=100000,INDEX($AO$1005:$BQ$1005,1,MATCH(COLUMNS($AO$1006:BE1006),$AO$1006:$BQ$1006,0))&gt;=100000), " ",IF(INDEX($AO$2:$BQ$1001,MATCH(ROWS($AH$2:AH270),$AH$2:$AH$1001,0),MATCH(COLUMNS($AO$1006:BE1006),$AO$1006:$BQ$1006,0)), HYPERLINK("#",""), HYPERLINK(CONCATENATE("#Metadata!", ADDRESS(INDEX($AJ$2:$AJ$1001,MATCH(ROWS($AH$2:AH270),$AH$2:$AH$1001,0),0), INDEX($AO$1004:$BQ$1004,1,MATCH(COLUMNS($AO$1006:BE1006),$AO$1006:$BQ$1006,0)))),"Fix")))</f>
        <v>#N/A</v>
      </c>
      <c r="S270" s="5" t="e">
        <f ca="1">IF(OR(INDEX($AI$2:$AI$1001,MATCH(ROWS($AH$2:AH270),$AH$2:$AH$1001,0),1)&gt;=100000,INDEX($AO$1005:$BQ$1005,1,MATCH(COLUMNS($AO$1006:BF1006),$AO$1006:$BQ$1006,0))&gt;=100000), " ",IF(INDEX($AO$2:$BQ$1001,MATCH(ROWS($AH$2:AH270),$AH$2:$AH$1001,0),MATCH(COLUMNS($AO$1006:BF1006),$AO$1006:$BQ$1006,0)), HYPERLINK("#",""), HYPERLINK(CONCATENATE("#Metadata!", ADDRESS(INDEX($AJ$2:$AJ$1001,MATCH(ROWS($AH$2:AH270),$AH$2:$AH$1001,0),0), INDEX($AO$1004:$BQ$1004,1,MATCH(COLUMNS($AO$1006:BF1006),$AO$1006:$BQ$1006,0)))),"Fix")))</f>
        <v>#N/A</v>
      </c>
      <c r="T270" s="5" t="e">
        <f ca="1">IF(OR(INDEX($AI$2:$AI$1001,MATCH(ROWS($AH$2:AH270),$AH$2:$AH$1001,0),1)&gt;=100000,INDEX($AO$1005:$BQ$1005,1,MATCH(COLUMNS($AO$1006:BG1006),$AO$1006:$BQ$1006,0))&gt;=100000), " ",IF(INDEX($AO$2:$BQ$1001,MATCH(ROWS($AH$2:AH270),$AH$2:$AH$1001,0),MATCH(COLUMNS($AO$1006:BG1006),$AO$1006:$BQ$1006,0)), HYPERLINK("#",""), HYPERLINK(CONCATENATE("#Metadata!", ADDRESS(INDEX($AJ$2:$AJ$1001,MATCH(ROWS($AH$2:AH270),$AH$2:$AH$1001,0),0), INDEX($AO$1004:$BQ$1004,1,MATCH(COLUMNS($AO$1006:BG1006),$AO$1006:$BQ$1006,0)))),"Fix")))</f>
        <v>#N/A</v>
      </c>
      <c r="U270" s="5" t="e">
        <f ca="1">IF(OR(INDEX($AI$2:$AI$1001,MATCH(ROWS($AH$2:AH270),$AH$2:$AH$1001,0),1)&gt;=100000,INDEX($AO$1005:$BQ$1005,1,MATCH(COLUMNS($AO$1006:BH1006),$AO$1006:$BQ$1006,0))&gt;=100000), " ",IF(INDEX($AO$2:$BQ$1001,MATCH(ROWS($AH$2:AH270),$AH$2:$AH$1001,0),MATCH(COLUMNS($AO$1006:BH1006),$AO$1006:$BQ$1006,0)), HYPERLINK("#",""), HYPERLINK(CONCATENATE("#Metadata!", ADDRESS(INDEX($AJ$2:$AJ$1001,MATCH(ROWS($AH$2:AH270),$AH$2:$AH$1001,0),0), INDEX($AO$1004:$BQ$1004,1,MATCH(COLUMNS($AO$1006:BH1006),$AO$1006:$BQ$1006,0)))),"Fix")))</f>
        <v>#N/A</v>
      </c>
      <c r="V270" s="5" t="e">
        <f ca="1">IF(OR(INDEX($AI$2:$AI$1001,MATCH(ROWS($AH$2:AH270),$AH$2:$AH$1001,0),1)&gt;=100000,INDEX($AO$1005:$BQ$1005,1,MATCH(COLUMNS($AO$1006:BI1006),$AO$1006:$BQ$1006,0))&gt;=100000), " ",IF(INDEX($AO$2:$BQ$1001,MATCH(ROWS($AH$2:AH270),$AH$2:$AH$1001,0),MATCH(COLUMNS($AO$1006:BI1006),$AO$1006:$BQ$1006,0)), HYPERLINK("#",""), HYPERLINK(CONCATENATE("#Metadata!", ADDRESS(INDEX($AJ$2:$AJ$1001,MATCH(ROWS($AH$2:AH270),$AH$2:$AH$1001,0),0), INDEX($AO$1004:$BQ$1004,1,MATCH(COLUMNS($AO$1006:BI1006),$AO$1006:$BQ$1006,0)))),"Fix")))</f>
        <v>#N/A</v>
      </c>
      <c r="W270" s="5" t="e">
        <f ca="1">IF(OR(INDEX($AI$2:$AI$1001,MATCH(ROWS($AH$2:AH270),$AH$2:$AH$1001,0),1)&gt;=100000,INDEX($AO$1005:$BQ$1005,1,MATCH(COLUMNS($AO$1006:BJ1006),$AO$1006:$BQ$1006,0))&gt;=100000), " ",IF(INDEX($AO$2:$BQ$1001,MATCH(ROWS($AH$2:AH270),$AH$2:$AH$1001,0),MATCH(COLUMNS($AO$1006:BJ1006),$AO$1006:$BQ$1006,0)), HYPERLINK("#",""), HYPERLINK(CONCATENATE("#Metadata!", ADDRESS(INDEX($AJ$2:$AJ$1001,MATCH(ROWS($AH$2:AH270),$AH$2:$AH$1001,0),0), INDEX($AO$1004:$BQ$1004,1,MATCH(COLUMNS($AO$1006:BJ1006),$AO$1006:$BQ$1006,0)))),"Fix")))</f>
        <v>#N/A</v>
      </c>
      <c r="X270" s="5" t="e">
        <f ca="1">IF(OR(INDEX($AI$2:$AI$1001,MATCH(ROWS($AH$2:AH270),$AH$2:$AH$1001,0),1)&gt;=100000,INDEX($AO$1005:$BQ$1005,1,MATCH(COLUMNS($AO$1006:BK1006),$AO$1006:$BQ$1006,0))&gt;=100000), " ",IF(INDEX($AO$2:$BQ$1001,MATCH(ROWS($AH$2:AH270),$AH$2:$AH$1001,0),MATCH(COLUMNS($AO$1006:BK1006),$AO$1006:$BQ$1006,0)), HYPERLINK("#",""), HYPERLINK(CONCATENATE("#Metadata!", ADDRESS(INDEX($AJ$2:$AJ$1001,MATCH(ROWS($AH$2:AH270),$AH$2:$AH$1001,0),0), INDEX($AO$1004:$BQ$1004,1,MATCH(COLUMNS($AO$1006:BK1006),$AO$1006:$BQ$1006,0)))),"Fix")))</f>
        <v>#N/A</v>
      </c>
      <c r="Y270" s="5" t="e">
        <f ca="1">IF(OR(INDEX($AI$2:$AI$1001,MATCH(ROWS($AH$2:AH270),$AH$2:$AH$1001,0),1)&gt;=100000,INDEX($AO$1005:$BQ$1005,1,MATCH(COLUMNS($AO$1006:BL1006),$AO$1006:$BQ$1006,0))&gt;=100000), " ",IF(INDEX($AO$2:$BQ$1001,MATCH(ROWS($AH$2:AH270),$AH$2:$AH$1001,0),MATCH(COLUMNS($AO$1006:BL1006),$AO$1006:$BQ$1006,0)), HYPERLINK("#",""), HYPERLINK(CONCATENATE("#Metadata!", ADDRESS(INDEX($AJ$2:$AJ$1001,MATCH(ROWS($AH$2:AH270),$AH$2:$AH$1001,0),0), INDEX($AO$1004:$BQ$1004,1,MATCH(COLUMNS($AO$1006:BL1006),$AO$1006:$BQ$1006,0)))),"Fix")))</f>
        <v>#N/A</v>
      </c>
      <c r="Z270" s="5" t="e">
        <f ca="1">IF(OR(INDEX($AI$2:$AI$1001,MATCH(ROWS($AH$2:AH270),$AH$2:$AH$1001,0),1)&gt;=100000,INDEX($AO$1005:$BQ$1005,1,MATCH(COLUMNS($AO$1006:BM1006),$AO$1006:$BQ$1006,0))&gt;=100000), " ",IF(INDEX($AO$2:$BQ$1001,MATCH(ROWS($AH$2:AH270),$AH$2:$AH$1001,0),MATCH(COLUMNS($AO$1006:BM1006),$AO$1006:$BQ$1006,0)), HYPERLINK("#",""), HYPERLINK(CONCATENATE("#Metadata!", ADDRESS(INDEX($AJ$2:$AJ$1001,MATCH(ROWS($AH$2:AH270),$AH$2:$AH$1001,0),0), INDEX($AO$1004:$BQ$1004,1,MATCH(COLUMNS($AO$1006:BM1006),$AO$1006:$BQ$1006,0)))),"Fix")))</f>
        <v>#N/A</v>
      </c>
      <c r="AA270" s="5" t="e">
        <f ca="1">IF(OR(INDEX($AI$2:$AI$1001,MATCH(ROWS($AH$2:AH270),$AH$2:$AH$1001,0),1)&gt;=100000,INDEX($AO$1005:$BQ$1005,1,MATCH(COLUMNS($AO$1006:BN1006),$AO$1006:$BQ$1006,0))&gt;=100000), " ",IF(INDEX($AO$2:$BQ$1001,MATCH(ROWS($AH$2:AH270),$AH$2:$AH$1001,0),MATCH(COLUMNS($AO$1006:BN1006),$AO$1006:$BQ$1006,0)), HYPERLINK("#",""), HYPERLINK(CONCATENATE("#Metadata!", ADDRESS(INDEX($AJ$2:$AJ$1001,MATCH(ROWS($AH$2:AH270),$AH$2:$AH$1001,0),0), INDEX($AO$1004:$BQ$1004,1,MATCH(COLUMNS($AO$1006:BN1006),$AO$1006:$BQ$1006,0)))),"Fix")))</f>
        <v>#N/A</v>
      </c>
      <c r="AB270" s="5" t="e">
        <f ca="1">IF(OR(INDEX($AI$2:$AI$1001,MATCH(ROWS($AH$2:AH270),$AH$2:$AH$1001,0),1)&gt;=100000,INDEX($AO$1005:$BQ$1005,1,MATCH(COLUMNS($AO$1006:BO1006),$AO$1006:$BQ$1006,0))&gt;=100000), " ",IF(INDEX($AO$2:$BQ$1001,MATCH(ROWS($AH$2:AH270),$AH$2:$AH$1001,0),MATCH(COLUMNS($AO$1006:BO1006),$AO$1006:$BQ$1006,0)), HYPERLINK("#",""), HYPERLINK(CONCATENATE("#Metadata!", ADDRESS(INDEX($AJ$2:$AJ$1001,MATCH(ROWS($AH$2:AH270),$AH$2:$AH$1001,0),0), INDEX($AO$1004:$BQ$1004,1,MATCH(COLUMNS($AO$1006:BO1006),$AO$1006:$BQ$1006,0)))),"Fix")))</f>
        <v>#N/A</v>
      </c>
      <c r="AC270" s="5" t="e">
        <f ca="1">IF(OR(INDEX($AI$2:$AI$1001,MATCH(ROWS($AH$2:AH270),$AH$2:$AH$1001,0),1)&gt;=100000,INDEX($AO$1005:$BQ$1005,1,MATCH(COLUMNS($AO$1006:BP1006),$AO$1006:$BQ$1006,0))&gt;=100000), " ",IF(INDEX($AO$2:$BQ$1001,MATCH(ROWS($AH$2:AH270),$AH$2:$AH$1001,0),MATCH(COLUMNS($AO$1006:BP1006),$AO$1006:$BQ$1006,0)), HYPERLINK("#",""), HYPERLINK(CONCATENATE("#Metadata!", ADDRESS(INDEX($AJ$2:$AJ$1001,MATCH(ROWS($AH$2:AH270),$AH$2:$AH$1001,0),0), INDEX($AO$1004:$BQ$1004,1,MATCH(COLUMNS($AO$1006:BP1006),$AO$1006:$BQ$1006,0)))),"Fix")))</f>
        <v>#N/A</v>
      </c>
      <c r="AD270" s="5" t="e">
        <f ca="1">IF(OR(INDEX($AI$2:$AI$1001,MATCH(ROWS($AH$2:AH270),$AH$2:$AH$1001,0),1)&gt;=100000,INDEX($AO$1005:$BQ$1005,1,MATCH(COLUMNS($AO$1006:BQ1006),$AO$1006:$BQ$1006,0))&gt;=100000), " ",IF(INDEX($AO$2:$BQ$1001,MATCH(ROWS($AH$2:AH270),$AH$2:$AH$1001,0),MATCH(COLUMNS($AO$1006:BQ1006),$AO$1006:$BQ$1006,0)), HYPERLINK("#",""), HYPERLINK(CONCATENATE("#Metadata!", ADDRESS(INDEX($AJ$2:$AJ$1001,MATCH(ROWS($AH$2:AH270),$AH$2:$AH$1001,0),0), INDEX($AO$1004:$BQ$1004,1,MATCH(COLUMNS($AO$1006:BQ1006),$AO$1006:$BQ$1006,0)))),"Fix")))</f>
        <v>#REF!</v>
      </c>
      <c r="AH270">
        <f ca="1"/>
        <v>267</v>
      </c>
      <c r="AI270">
        <v>100270</v>
      </c>
      <c r="AJ270">
        <v>270</v>
      </c>
      <c r="AK270" t="b">
        <f t="shared" si="4"/>
        <v>1</v>
      </c>
      <c r="AL270" t="b">
        <f>COUNTBLANK(Metadata!B270:AD270)=COLUMNS(Metadata!B270:AD270)</f>
        <v>1</v>
      </c>
      <c r="AM270" t="str">
        <v/>
      </c>
      <c r="AO270" t="b">
        <f ca="1">AND(IF(Metadata!B270="",FALSE,TRUE),COUNTIF(Metadata!B:B, Metadata!B270) = 1,NOT(ISERROR(SUMPRODUCT(SEARCH(MID(Metadata!B270,ROW(INDIRECT("1:"&amp;LEN(Metadata!B270))), 1),"0123456789abcdefghijklmnopqrstuvwxyzABCDEFGHIJKLMNOPQRSTUVWXYZ.")))))</f>
        <v>0</v>
      </c>
      <c r="AP270" t="b">
        <f>IF(Metadata!C270="",FALSE,TRUE)</f>
        <v>0</v>
      </c>
      <c r="AQ270" t="b">
        <f>IF(Metadata!D270="",FALSE,TRUE)</f>
        <v>0</v>
      </c>
      <c r="AR270" t="b">
        <f ca="1">OR(AND(IF(Metadata!E270="",FALSE,TRUE),OR(EXACT(Metadata!E270,"not collected"),EXACT(Metadata!E270,"not provided"),EXACT(Metadata!E270,"restricted access"))),AND(IF(Metadata!E270="",FALSE,TRUE),AND(AND(IFERROR(INT(LEFT(Metadata!E270,4))&gt;1900,FALSE),IFERROR(INT(LEFT(Metadata!E270,4))&lt;=YEAR(NOW()),FALSE)), OR(MID(Metadata!E270,5,1)="", AND(AND(MID(Metadata!E270,5,1)="-",IFERROR(INT(MID(Metadata!E270,6,1))&gt;=0,FALSE),IFERROR(INT(MID(Metadata!E270,6,1))&lt;=1,FALSE),NOT(MID(Metadata!E270,7,1)=""),IFERROR(INT(MID(Metadata!E270,6,2))&gt;=1,FALSE),IFERROR(INT(MID(Metadata!E270,6,2))&lt;=12,FALSE)), OR(MID(Metadata!E270,8,1)="", AND(AND(MID(Metadata!E270,8,1)="-",IFERROR(INT(MID(Metadata!E270,9,1))&gt;=0,FALSE),IFERROR(INT(MID(Metadata!E270,9,1))&lt;=3,FALSE),NOT(MID(Metadata!E270,10,1)=""),IFERROR(INT(MID(Metadata!E270,9,2))&gt;=1,FALSE),IFERROR(INT(MID(Metadata!E270,9,2))&lt;=31,FALSE)), OR(MID(Metadata!E270,11,1)="", AND(AND(MID(Metadata!E270,11,1)=" ",IFERROR(INT(MID(Metadata!E270,12,1))&gt;=0,FALSE),IFERROR(INT(MID(Metadata!E270,12,1))&lt;=2,FALSE),NOT(MID(Metadata!E270,13,1)=""),IFERROR(INT(MID(Metadata!E270,12,2))&gt;=0,FALSE),IFERROR(INT(MID(Metadata!E270,12,2))&lt;=23,FALSE)), OR(MID(Metadata!E270,14,1)="", AND(AND(MID(Metadata!E270,14,1)=":",IFERROR(INT(MID(Metadata!E270,15,1))&gt;=0,FALSE),IFERROR(INT(MID(Metadata!E270,15,1))&lt;=5,FALSE),NOT(MID(Metadata!E270,16,1)=""),IFERROR(INT(MID(Metadata!E270,15,2))&gt;=0,FALSE),IFERROR(INT(MID(Metadata!E270,15,2))&lt;=59,FALSE)), OR(MID(Metadata!E270,17,1)="", AND(AND(MID(Metadata!E270,17,1)=":",IFERROR(INT(MID(Metadata!E270,18,1))&gt;=0,FALSE),IFERROR(INT(MID(Metadata!E270,18,1))&lt;=5,FALSE),NOT(MID(Metadata!E270,19,1)=""),IFERROR(INT(MID(Metadata!E270,18,2))&gt;=0,FALSE),IFERROR(INT(MID(Metadata!E270,18,2))&lt;=59,FALSE)), LEN(Metadata!E270)&lt;=19)))))))))))))</f>
        <v>0</v>
      </c>
      <c r="AS270" t="b">
        <f>IF(Metadata!F270="",FALSE,TRUE)</f>
        <v>0</v>
      </c>
      <c r="AT270" t="b">
        <f>OR(AND(IF(Metadata!G270="",FALSE,TRUE),OR(EXACT(Metadata!G270,"not collected"),EXACT(Metadata!G270,"not provided"))),AND(IF(Metadata!G270="",FALSE,TRUE),OR(EXACT(Metadata!G270,"TRUE"),EXACT(Metadata!G270,"FALSE"))))</f>
        <v>0</v>
      </c>
      <c r="AU270" t="b">
        <f>OR(AND(IF(Metadata!H270="",FALSE,TRUE),OR(EXACT(Metadata!H270,"not collected"),EXACT(Metadata!H270,"not provided"),EXACT(Metadata!H270,"restricted access"))),AND(IF(Metadata!H270="",FALSE,ISNUMBER(VALUE(Metadata!H270))),Metadata!H270&gt;=-413))</f>
        <v>0</v>
      </c>
      <c r="AV270" t="b">
        <f>AND(IF(Metadata!I270="",FALSE,TRUE),EXACT(Metadata!I270,"meters"))</f>
        <v>0</v>
      </c>
      <c r="AW270" t="b">
        <f>AND(IF(Metadata!J270="",FALSE,TRUE),EXACT(Metadata!J270,"free-living"))</f>
        <v>0</v>
      </c>
      <c r="AX270" t="b">
        <f>AND(IF(Metadata!K270="",FALSE,TRUE),OR(EXACT(Metadata!K270,"saline"),EXACT(Metadata!K270,"non-saline")))</f>
        <v>0</v>
      </c>
      <c r="AY270" t="b">
        <f>AND(IF(Metadata!L270="",FALSE,TRUE),OR(EXACT(Metadata!L270,"sub-surface (non-saline)"),EXACT(Metadata!L270,"surface (non-saline)"),EXACT(Metadata!L270,"water (non-saline)"),EXACT(Metadata!L270,"soil (non-saline)"),EXACT(Metadata!L270,"aerosol (non-saline)"),EXACT(Metadata!L270,"sediment (non-saline)"),EXACT(Metadata!L270,"surface (saline)"),EXACT(Metadata!L270,"water (saline)"),EXACT(Metadata!L270,"hypersaline (saline)"),EXACT(Metadata!L270,"aerosol (saline)"),EXACT(Metadata!L270,"sediment (saline)")))</f>
        <v>0</v>
      </c>
      <c r="AZ270" t="b">
        <f>IF(Metadata!M270="",FALSE,TRUE)</f>
        <v>0</v>
      </c>
      <c r="BA270" t="b">
        <f>IF(Metadata!N270="",FALSE,TRUE)</f>
        <v>0</v>
      </c>
      <c r="BB270" t="b">
        <f>IF(Metadata!O270="",FALSE,TRUE)</f>
        <v>0</v>
      </c>
      <c r="BC270" t="b">
        <f>AND(IF(Metadata!P270="",FALSE,TRUE),OR(EXACT(Metadata!P270,"air"),EXACT(Metadata!P270,"microbial mat/biofilm"),EXACT(Metadata!P270,"misc environment"),EXACT(Metadata!P270,"sediment"),EXACT(Metadata!P270,"soil"),EXACT(Metadata!P270,"wastewater/sludge"),EXACT(Metadata!P270,"water")))</f>
        <v>0</v>
      </c>
      <c r="BD270" t="b">
        <f>IF(Metadata!Q270="",FALSE,TRUE)</f>
        <v>0</v>
      </c>
      <c r="BE270" t="b">
        <f>IF(Metadata!R270="",FALSE,TRUE)</f>
        <v>0</v>
      </c>
      <c r="BF270" t="b">
        <f>OR(AND(IF(Metadata!S270="",FALSE,TRUE),OR(EXACT(Metadata!S270,"not collected"),EXACT(Metadata!S270,"not provided"),EXACT(Metadata!S270,"restricted access"))),AND(IF(Metadata!S270="",FALSE,ISNUMBER(VALUE(Metadata!S270))),Metadata!S270&gt;=-90,Metadata!S270&lt;=90))</f>
        <v>0</v>
      </c>
      <c r="BG270" t="b">
        <f>AND(IF(Metadata!T270="",FALSE,TRUE),EXACT(Metadata!T270,"Decimal degrees"))</f>
        <v>0</v>
      </c>
      <c r="BH270" t="b">
        <f>OR(AND(IF(Metadata!U270="",FALSE,TRUE),OR(EXACT(Metadata!U270,"not applicable"),EXACT(Metadata!U270,"not collected"))),IF(Metadata!U270="",FALSE,TRUE))</f>
        <v>0</v>
      </c>
      <c r="BI270" t="b">
        <f>OR(AND(IF(Metadata!V270="",FALSE,TRUE),OR(EXACT(Metadata!V270,"not collected"),EXACT(Metadata!V270,"not provided"),EXACT(Metadata!V270,"restricted access"))),AND(IF(Metadata!V270="",FALSE,ISNUMBER(VALUE(Metadata!V270))),Metadata!V270&gt;=-180,Metadata!V270&lt;=180))</f>
        <v>0</v>
      </c>
      <c r="BJ270" t="b">
        <f>AND(IF(Metadata!W270="",FALSE,TRUE),EXACT(Metadata!W270,"Decimal degrees"))</f>
        <v>0</v>
      </c>
      <c r="BK270" t="b">
        <f>IF(Metadata!X270="",FALSE,TRUE)</f>
        <v>0</v>
      </c>
      <c r="BL270" t="b">
        <f>OR(AND(IF(Metadata!Y270="",FALSE,TRUE),OR(EXACT(Metadata!Y270,"not collected"),EXACT(Metadata!Y270,"not provided"),EXACT(Metadata!Y270,"restricted access"))),AND(IF(Metadata!Y270="",FALSE,TRUE),OR(EXACT(Metadata!Y270,"TRUE"),EXACT(Metadata!Y270,"FALSE"))))</f>
        <v>0</v>
      </c>
      <c r="BM270" t="b">
        <f>OR(AND(IF(Metadata!Z270="",FALSE,TRUE),EXACT(Metadata!Z270,"not applicable")),AND(IF(Metadata!Z270="",FALSE,TRUE),OR(EXACT(Metadata!Z270,"beer"),EXACT(Metadata!Z270,"cheese"),EXACT(Metadata!Z270,"fresh water"),EXACT(Metadata!Z270,"marine sediment"),EXACT(Metadata!Z270,"sea water"),EXACT(Metadata!Z270,"sediment"),EXACT(Metadata!Z270,"soil"),EXACT(Metadata!Z270,"waste water"))))</f>
        <v>0</v>
      </c>
      <c r="BN270" t="b">
        <f>AND(IF(Metadata!AA270="",FALSE,TRUE),EXACT(Metadata!AA270,"metagenome"))</f>
        <v>0</v>
      </c>
      <c r="BO270" t="b">
        <f>AND(IF(Metadata!AB270="",FALSE,TRUE),EXACT(Metadata!AB270,"256318"))</f>
        <v>0</v>
      </c>
      <c r="BP270" t="b">
        <f>IF(Metadata!AC270="",FALSE,TRUE)</f>
        <v>0</v>
      </c>
      <c r="BQ270" t="b">
        <f>IF(Metadata!AD270="",FALSE,TRUE)</f>
        <v>0</v>
      </c>
    </row>
    <row r="271" spans="1:69" x14ac:dyDescent="0.2">
      <c r="A271" s="4" t="e">
        <f ca="1">IF(B271=" "," ",HYPERLINK(CONCATENATE("#metadata!",ADDRESS(INDEX($AJ$2:$AJ$1001,MATCH(ROWS($AH$2:AH271),$AH$2:$AH$1001,0),0),2)),INDEX($AM$2:$AM$1001,MATCH(ROWS($AH$2:AH271),$AH$2:$AH$1001,0),0)))</f>
        <v>#N/A</v>
      </c>
      <c r="B271" s="5" t="e">
        <f ca="1">IF(OR(INDEX($AI$2:$AI$1001,MATCH(ROWS($AH$2:AH271),$AH$2:$AH$1001,0),1)&gt;=100000,INDEX($AO$1005:$BQ$1005,1,MATCH(COLUMNS($AO$1006:AO1006),$AO$1006:$BQ$1006,0))&gt;=100000), " ",IF(INDEX($AO$2:$BQ$1001,MATCH(ROWS($AH$2:AH271),$AH$2:$AH$1001,0),MATCH(COLUMNS($AO$1006:AO1006),$AO$1006:$BQ$1006,0)), HYPERLINK("#",""), HYPERLINK(CONCATENATE("#Metadata!", ADDRESS(INDEX($AJ$2:$AJ$1001,MATCH(ROWS($AH$2:AH271),$AH$2:$AH$1001,0),0), INDEX($AO$1004:$BQ$1004,1,MATCH(COLUMNS($AO$1006:AO1006),$AO$1006:$BQ$1006,0)))),"Fix")))</f>
        <v>#N/A</v>
      </c>
      <c r="C271" s="5" t="e">
        <f ca="1">IF(OR(INDEX($AI$2:$AI$1001,MATCH(ROWS($AH$2:AH271),$AH$2:$AH$1001,0),1)&gt;=100000,INDEX($AO$1005:$BQ$1005,1,MATCH(COLUMNS($AO$1006:AP1006),$AO$1006:$BQ$1006,0))&gt;=100000), " ",IF(INDEX($AO$2:$BQ$1001,MATCH(ROWS($AH$2:AH271),$AH$2:$AH$1001,0),MATCH(COLUMNS($AO$1006:AP1006),$AO$1006:$BQ$1006,0)), HYPERLINK("#",""), HYPERLINK(CONCATENATE("#Metadata!", ADDRESS(INDEX($AJ$2:$AJ$1001,MATCH(ROWS($AH$2:AH271),$AH$2:$AH$1001,0),0), INDEX($AO$1004:$BQ$1004,1,MATCH(COLUMNS($AO$1006:AP1006),$AO$1006:$BQ$1006,0)))),"Fix")))</f>
        <v>#N/A</v>
      </c>
      <c r="D271" s="5" t="e">
        <f ca="1">IF(OR(INDEX($AI$2:$AI$1001,MATCH(ROWS($AH$2:AH271),$AH$2:$AH$1001,0),1)&gt;=100000,INDEX($AO$1005:$BQ$1005,1,MATCH(COLUMNS($AO$1006:AQ1006),$AO$1006:$BQ$1006,0))&gt;=100000), " ",IF(INDEX($AO$2:$BQ$1001,MATCH(ROWS($AH$2:AH271),$AH$2:$AH$1001,0),MATCH(COLUMNS($AO$1006:AQ1006),$AO$1006:$BQ$1006,0)), HYPERLINK("#",""), HYPERLINK(CONCATENATE("#Metadata!", ADDRESS(INDEX($AJ$2:$AJ$1001,MATCH(ROWS($AH$2:AH271),$AH$2:$AH$1001,0),0), INDEX($AO$1004:$BQ$1004,1,MATCH(COLUMNS($AO$1006:AQ1006),$AO$1006:$BQ$1006,0)))),"Fix")))</f>
        <v>#N/A</v>
      </c>
      <c r="E271" s="5" t="e">
        <f ca="1">IF(OR(INDEX($AI$2:$AI$1001,MATCH(ROWS($AH$2:AH271),$AH$2:$AH$1001,0),1)&gt;=100000,INDEX($AO$1005:$BQ$1005,1,MATCH(COLUMNS($AO$1006:AR1006),$AO$1006:$BQ$1006,0))&gt;=100000), " ",IF(INDEX($AO$2:$BQ$1001,MATCH(ROWS($AH$2:AH271),$AH$2:$AH$1001,0),MATCH(COLUMNS($AO$1006:AR1006),$AO$1006:$BQ$1006,0)), HYPERLINK("#",""), HYPERLINK(CONCATENATE("#Metadata!", ADDRESS(INDEX($AJ$2:$AJ$1001,MATCH(ROWS($AH$2:AH271),$AH$2:$AH$1001,0),0), INDEX($AO$1004:$BQ$1004,1,MATCH(COLUMNS($AO$1006:AR1006),$AO$1006:$BQ$1006,0)))),"Fix")))</f>
        <v>#N/A</v>
      </c>
      <c r="F271" s="5" t="e">
        <f ca="1">IF(OR(INDEX($AI$2:$AI$1001,MATCH(ROWS($AH$2:AH271),$AH$2:$AH$1001,0),1)&gt;=100000,INDEX($AO$1005:$BQ$1005,1,MATCH(COLUMNS($AO$1006:AS1006),$AO$1006:$BQ$1006,0))&gt;=100000), " ",IF(INDEX($AO$2:$BQ$1001,MATCH(ROWS($AH$2:AH271),$AH$2:$AH$1001,0),MATCH(COLUMNS($AO$1006:AS1006),$AO$1006:$BQ$1006,0)), HYPERLINK("#",""), HYPERLINK(CONCATENATE("#Metadata!", ADDRESS(INDEX($AJ$2:$AJ$1001,MATCH(ROWS($AH$2:AH271),$AH$2:$AH$1001,0),0), INDEX($AO$1004:$BQ$1004,1,MATCH(COLUMNS($AO$1006:AS1006),$AO$1006:$BQ$1006,0)))),"Fix")))</f>
        <v>#N/A</v>
      </c>
      <c r="G271" s="5" t="e">
        <f ca="1">IF(OR(INDEX($AI$2:$AI$1001,MATCH(ROWS($AH$2:AH271),$AH$2:$AH$1001,0),1)&gt;=100000,INDEX($AO$1005:$BQ$1005,1,MATCH(COLUMNS($AO$1006:AT1006),$AO$1006:$BQ$1006,0))&gt;=100000), " ",IF(INDEX($AO$2:$BQ$1001,MATCH(ROWS($AH$2:AH271),$AH$2:$AH$1001,0),MATCH(COLUMNS($AO$1006:AT1006),$AO$1006:$BQ$1006,0)), HYPERLINK("#",""), HYPERLINK(CONCATENATE("#Metadata!", ADDRESS(INDEX($AJ$2:$AJ$1001,MATCH(ROWS($AH$2:AH271),$AH$2:$AH$1001,0),0), INDEX($AO$1004:$BQ$1004,1,MATCH(COLUMNS($AO$1006:AT1006),$AO$1006:$BQ$1006,0)))),"Fix")))</f>
        <v>#N/A</v>
      </c>
      <c r="H271" s="5" t="e">
        <f ca="1">IF(OR(INDEX($AI$2:$AI$1001,MATCH(ROWS($AH$2:AH271),$AH$2:$AH$1001,0),1)&gt;=100000,INDEX($AO$1005:$BQ$1005,1,MATCH(COLUMNS($AO$1006:AU1006),$AO$1006:$BQ$1006,0))&gt;=100000), " ",IF(INDEX($AO$2:$BQ$1001,MATCH(ROWS($AH$2:AH271),$AH$2:$AH$1001,0),MATCH(COLUMNS($AO$1006:AU1006),$AO$1006:$BQ$1006,0)), HYPERLINK("#",""), HYPERLINK(CONCATENATE("#Metadata!", ADDRESS(INDEX($AJ$2:$AJ$1001,MATCH(ROWS($AH$2:AH271),$AH$2:$AH$1001,0),0), INDEX($AO$1004:$BQ$1004,1,MATCH(COLUMNS($AO$1006:AU1006),$AO$1006:$BQ$1006,0)))),"Fix")))</f>
        <v>#N/A</v>
      </c>
      <c r="I271" s="5" t="e">
        <f ca="1">IF(OR(INDEX($AI$2:$AI$1001,MATCH(ROWS($AH$2:AH271),$AH$2:$AH$1001,0),1)&gt;=100000,INDEX($AO$1005:$BQ$1005,1,MATCH(COLUMNS($AO$1006:AV1006),$AO$1006:$BQ$1006,0))&gt;=100000), " ",IF(INDEX($AO$2:$BQ$1001,MATCH(ROWS($AH$2:AH271),$AH$2:$AH$1001,0),MATCH(COLUMNS($AO$1006:AV1006),$AO$1006:$BQ$1006,0)), HYPERLINK("#",""), HYPERLINK(CONCATENATE("#Metadata!", ADDRESS(INDEX($AJ$2:$AJ$1001,MATCH(ROWS($AH$2:AH271),$AH$2:$AH$1001,0),0), INDEX($AO$1004:$BQ$1004,1,MATCH(COLUMNS($AO$1006:AV1006),$AO$1006:$BQ$1006,0)))),"Fix")))</f>
        <v>#N/A</v>
      </c>
      <c r="J271" s="5" t="e">
        <f ca="1">IF(OR(INDEX($AI$2:$AI$1001,MATCH(ROWS($AH$2:AH271),$AH$2:$AH$1001,0),1)&gt;=100000,INDEX($AO$1005:$BQ$1005,1,MATCH(COLUMNS($AO$1006:AW1006),$AO$1006:$BQ$1006,0))&gt;=100000), " ",IF(INDEX($AO$2:$BQ$1001,MATCH(ROWS($AH$2:AH271),$AH$2:$AH$1001,0),MATCH(COLUMNS($AO$1006:AW1006),$AO$1006:$BQ$1006,0)), HYPERLINK("#",""), HYPERLINK(CONCATENATE("#Metadata!", ADDRESS(INDEX($AJ$2:$AJ$1001,MATCH(ROWS($AH$2:AH271),$AH$2:$AH$1001,0),0), INDEX($AO$1004:$BQ$1004,1,MATCH(COLUMNS($AO$1006:AW1006),$AO$1006:$BQ$1006,0)))),"Fix")))</f>
        <v>#N/A</v>
      </c>
      <c r="K271" s="5" t="e">
        <f ca="1">IF(OR(INDEX($AI$2:$AI$1001,MATCH(ROWS($AH$2:AH271),$AH$2:$AH$1001,0),1)&gt;=100000,INDEX($AO$1005:$BQ$1005,1,MATCH(COLUMNS($AO$1006:AX1006),$AO$1006:$BQ$1006,0))&gt;=100000), " ",IF(INDEX($AO$2:$BQ$1001,MATCH(ROWS($AH$2:AH271),$AH$2:$AH$1001,0),MATCH(COLUMNS($AO$1006:AX1006),$AO$1006:$BQ$1006,0)), HYPERLINK("#",""), HYPERLINK(CONCATENATE("#Metadata!", ADDRESS(INDEX($AJ$2:$AJ$1001,MATCH(ROWS($AH$2:AH271),$AH$2:$AH$1001,0),0), INDEX($AO$1004:$BQ$1004,1,MATCH(COLUMNS($AO$1006:AX1006),$AO$1006:$BQ$1006,0)))),"Fix")))</f>
        <v>#N/A</v>
      </c>
      <c r="L271" s="5" t="e">
        <f ca="1">IF(OR(INDEX($AI$2:$AI$1001,MATCH(ROWS($AH$2:AH271),$AH$2:$AH$1001,0),1)&gt;=100000,INDEX($AO$1005:$BQ$1005,1,MATCH(COLUMNS($AO$1006:AY1006),$AO$1006:$BQ$1006,0))&gt;=100000), " ",IF(INDEX($AO$2:$BQ$1001,MATCH(ROWS($AH$2:AH271),$AH$2:$AH$1001,0),MATCH(COLUMNS($AO$1006:AY1006),$AO$1006:$BQ$1006,0)), HYPERLINK("#",""), HYPERLINK(CONCATENATE("#Metadata!", ADDRESS(INDEX($AJ$2:$AJ$1001,MATCH(ROWS($AH$2:AH271),$AH$2:$AH$1001,0),0), INDEX($AO$1004:$BQ$1004,1,MATCH(COLUMNS($AO$1006:AY1006),$AO$1006:$BQ$1006,0)))),"Fix")))</f>
        <v>#N/A</v>
      </c>
      <c r="M271" s="5" t="e">
        <f ca="1">IF(OR(INDEX($AI$2:$AI$1001,MATCH(ROWS($AH$2:AH271),$AH$2:$AH$1001,0),1)&gt;=100000,INDEX($AO$1005:$BQ$1005,1,MATCH(COLUMNS($AO$1006:AZ1006),$AO$1006:$BQ$1006,0))&gt;=100000), " ",IF(INDEX($AO$2:$BQ$1001,MATCH(ROWS($AH$2:AH271),$AH$2:$AH$1001,0),MATCH(COLUMNS($AO$1006:AZ1006),$AO$1006:$BQ$1006,0)), HYPERLINK("#",""), HYPERLINK(CONCATENATE("#Metadata!", ADDRESS(INDEX($AJ$2:$AJ$1001,MATCH(ROWS($AH$2:AH271),$AH$2:$AH$1001,0),0), INDEX($AO$1004:$BQ$1004,1,MATCH(COLUMNS($AO$1006:AZ1006),$AO$1006:$BQ$1006,0)))),"Fix")))</f>
        <v>#N/A</v>
      </c>
      <c r="N271" s="5" t="e">
        <f ca="1">IF(OR(INDEX($AI$2:$AI$1001,MATCH(ROWS($AH$2:AH271),$AH$2:$AH$1001,0),1)&gt;=100000,INDEX($AO$1005:$BQ$1005,1,MATCH(COLUMNS($AO$1006:BA1006),$AO$1006:$BQ$1006,0))&gt;=100000), " ",IF(INDEX($AO$2:$BQ$1001,MATCH(ROWS($AH$2:AH271),$AH$2:$AH$1001,0),MATCH(COLUMNS($AO$1006:BA1006),$AO$1006:$BQ$1006,0)), HYPERLINK("#",""), HYPERLINK(CONCATENATE("#Metadata!", ADDRESS(INDEX($AJ$2:$AJ$1001,MATCH(ROWS($AH$2:AH271),$AH$2:$AH$1001,0),0), INDEX($AO$1004:$BQ$1004,1,MATCH(COLUMNS($AO$1006:BA1006),$AO$1006:$BQ$1006,0)))),"Fix")))</f>
        <v>#N/A</v>
      </c>
      <c r="O271" s="5" t="e">
        <f ca="1">IF(OR(INDEX($AI$2:$AI$1001,MATCH(ROWS($AH$2:AH271),$AH$2:$AH$1001,0),1)&gt;=100000,INDEX($AO$1005:$BQ$1005,1,MATCH(COLUMNS($AO$1006:BB1006),$AO$1006:$BQ$1006,0))&gt;=100000), " ",IF(INDEX($AO$2:$BQ$1001,MATCH(ROWS($AH$2:AH271),$AH$2:$AH$1001,0),MATCH(COLUMNS($AO$1006:BB1006),$AO$1006:$BQ$1006,0)), HYPERLINK("#",""), HYPERLINK(CONCATENATE("#Metadata!", ADDRESS(INDEX($AJ$2:$AJ$1001,MATCH(ROWS($AH$2:AH271),$AH$2:$AH$1001,0),0), INDEX($AO$1004:$BQ$1004,1,MATCH(COLUMNS($AO$1006:BB1006),$AO$1006:$BQ$1006,0)))),"Fix")))</f>
        <v>#N/A</v>
      </c>
      <c r="P271" s="5" t="e">
        <f ca="1">IF(OR(INDEX($AI$2:$AI$1001,MATCH(ROWS($AH$2:AH271),$AH$2:$AH$1001,0),1)&gt;=100000,INDEX($AO$1005:$BQ$1005,1,MATCH(COLUMNS($AO$1006:BC1006),$AO$1006:$BQ$1006,0))&gt;=100000), " ",IF(INDEX($AO$2:$BQ$1001,MATCH(ROWS($AH$2:AH271),$AH$2:$AH$1001,0),MATCH(COLUMNS($AO$1006:BC1006),$AO$1006:$BQ$1006,0)), HYPERLINK("#",""), HYPERLINK(CONCATENATE("#Metadata!", ADDRESS(INDEX($AJ$2:$AJ$1001,MATCH(ROWS($AH$2:AH271),$AH$2:$AH$1001,0),0), INDEX($AO$1004:$BQ$1004,1,MATCH(COLUMNS($AO$1006:BC1006),$AO$1006:$BQ$1006,0)))),"Fix")))</f>
        <v>#N/A</v>
      </c>
      <c r="Q271" s="5" t="e">
        <f ca="1">IF(OR(INDEX($AI$2:$AI$1001,MATCH(ROWS($AH$2:AH271),$AH$2:$AH$1001,0),1)&gt;=100000,INDEX($AO$1005:$BQ$1005,1,MATCH(COLUMNS($AO$1006:BD1006),$AO$1006:$BQ$1006,0))&gt;=100000), " ",IF(INDEX($AO$2:$BQ$1001,MATCH(ROWS($AH$2:AH271),$AH$2:$AH$1001,0),MATCH(COLUMNS($AO$1006:BD1006),$AO$1006:$BQ$1006,0)), HYPERLINK("#",""), HYPERLINK(CONCATENATE("#Metadata!", ADDRESS(INDEX($AJ$2:$AJ$1001,MATCH(ROWS($AH$2:AH271),$AH$2:$AH$1001,0),0), INDEX($AO$1004:$BQ$1004,1,MATCH(COLUMNS($AO$1006:BD1006),$AO$1006:$BQ$1006,0)))),"Fix")))</f>
        <v>#N/A</v>
      </c>
      <c r="R271" s="5" t="e">
        <f ca="1">IF(OR(INDEX($AI$2:$AI$1001,MATCH(ROWS($AH$2:AH271),$AH$2:$AH$1001,0),1)&gt;=100000,INDEX($AO$1005:$BQ$1005,1,MATCH(COLUMNS($AO$1006:BE1006),$AO$1006:$BQ$1006,0))&gt;=100000), " ",IF(INDEX($AO$2:$BQ$1001,MATCH(ROWS($AH$2:AH271),$AH$2:$AH$1001,0),MATCH(COLUMNS($AO$1006:BE1006),$AO$1006:$BQ$1006,0)), HYPERLINK("#",""), HYPERLINK(CONCATENATE("#Metadata!", ADDRESS(INDEX($AJ$2:$AJ$1001,MATCH(ROWS($AH$2:AH271),$AH$2:$AH$1001,0),0), INDEX($AO$1004:$BQ$1004,1,MATCH(COLUMNS($AO$1006:BE1006),$AO$1006:$BQ$1006,0)))),"Fix")))</f>
        <v>#N/A</v>
      </c>
      <c r="S271" s="5" t="e">
        <f ca="1">IF(OR(INDEX($AI$2:$AI$1001,MATCH(ROWS($AH$2:AH271),$AH$2:$AH$1001,0),1)&gt;=100000,INDEX($AO$1005:$BQ$1005,1,MATCH(COLUMNS($AO$1006:BF1006),$AO$1006:$BQ$1006,0))&gt;=100000), " ",IF(INDEX($AO$2:$BQ$1001,MATCH(ROWS($AH$2:AH271),$AH$2:$AH$1001,0),MATCH(COLUMNS($AO$1006:BF1006),$AO$1006:$BQ$1006,0)), HYPERLINK("#",""), HYPERLINK(CONCATENATE("#Metadata!", ADDRESS(INDEX($AJ$2:$AJ$1001,MATCH(ROWS($AH$2:AH271),$AH$2:$AH$1001,0),0), INDEX($AO$1004:$BQ$1004,1,MATCH(COLUMNS($AO$1006:BF1006),$AO$1006:$BQ$1006,0)))),"Fix")))</f>
        <v>#N/A</v>
      </c>
      <c r="T271" s="5" t="e">
        <f ca="1">IF(OR(INDEX($AI$2:$AI$1001,MATCH(ROWS($AH$2:AH271),$AH$2:$AH$1001,0),1)&gt;=100000,INDEX($AO$1005:$BQ$1005,1,MATCH(COLUMNS($AO$1006:BG1006),$AO$1006:$BQ$1006,0))&gt;=100000), " ",IF(INDEX($AO$2:$BQ$1001,MATCH(ROWS($AH$2:AH271),$AH$2:$AH$1001,0),MATCH(COLUMNS($AO$1006:BG1006),$AO$1006:$BQ$1006,0)), HYPERLINK("#",""), HYPERLINK(CONCATENATE("#Metadata!", ADDRESS(INDEX($AJ$2:$AJ$1001,MATCH(ROWS($AH$2:AH271),$AH$2:$AH$1001,0),0), INDEX($AO$1004:$BQ$1004,1,MATCH(COLUMNS($AO$1006:BG1006),$AO$1006:$BQ$1006,0)))),"Fix")))</f>
        <v>#N/A</v>
      </c>
      <c r="U271" s="5" t="e">
        <f ca="1">IF(OR(INDEX($AI$2:$AI$1001,MATCH(ROWS($AH$2:AH271),$AH$2:$AH$1001,0),1)&gt;=100000,INDEX($AO$1005:$BQ$1005,1,MATCH(COLUMNS($AO$1006:BH1006),$AO$1006:$BQ$1006,0))&gt;=100000), " ",IF(INDEX($AO$2:$BQ$1001,MATCH(ROWS($AH$2:AH271),$AH$2:$AH$1001,0),MATCH(COLUMNS($AO$1006:BH1006),$AO$1006:$BQ$1006,0)), HYPERLINK("#",""), HYPERLINK(CONCATENATE("#Metadata!", ADDRESS(INDEX($AJ$2:$AJ$1001,MATCH(ROWS($AH$2:AH271),$AH$2:$AH$1001,0),0), INDEX($AO$1004:$BQ$1004,1,MATCH(COLUMNS($AO$1006:BH1006),$AO$1006:$BQ$1006,0)))),"Fix")))</f>
        <v>#N/A</v>
      </c>
      <c r="V271" s="5" t="e">
        <f ca="1">IF(OR(INDEX($AI$2:$AI$1001,MATCH(ROWS($AH$2:AH271),$AH$2:$AH$1001,0),1)&gt;=100000,INDEX($AO$1005:$BQ$1005,1,MATCH(COLUMNS($AO$1006:BI1006),$AO$1006:$BQ$1006,0))&gt;=100000), " ",IF(INDEX($AO$2:$BQ$1001,MATCH(ROWS($AH$2:AH271),$AH$2:$AH$1001,0),MATCH(COLUMNS($AO$1006:BI1006),$AO$1006:$BQ$1006,0)), HYPERLINK("#",""), HYPERLINK(CONCATENATE("#Metadata!", ADDRESS(INDEX($AJ$2:$AJ$1001,MATCH(ROWS($AH$2:AH271),$AH$2:$AH$1001,0),0), INDEX($AO$1004:$BQ$1004,1,MATCH(COLUMNS($AO$1006:BI1006),$AO$1006:$BQ$1006,0)))),"Fix")))</f>
        <v>#N/A</v>
      </c>
      <c r="W271" s="5" t="e">
        <f ca="1">IF(OR(INDEX($AI$2:$AI$1001,MATCH(ROWS($AH$2:AH271),$AH$2:$AH$1001,0),1)&gt;=100000,INDEX($AO$1005:$BQ$1005,1,MATCH(COLUMNS($AO$1006:BJ1006),$AO$1006:$BQ$1006,0))&gt;=100000), " ",IF(INDEX($AO$2:$BQ$1001,MATCH(ROWS($AH$2:AH271),$AH$2:$AH$1001,0),MATCH(COLUMNS($AO$1006:BJ1006),$AO$1006:$BQ$1006,0)), HYPERLINK("#",""), HYPERLINK(CONCATENATE("#Metadata!", ADDRESS(INDEX($AJ$2:$AJ$1001,MATCH(ROWS($AH$2:AH271),$AH$2:$AH$1001,0),0), INDEX($AO$1004:$BQ$1004,1,MATCH(COLUMNS($AO$1006:BJ1006),$AO$1006:$BQ$1006,0)))),"Fix")))</f>
        <v>#N/A</v>
      </c>
      <c r="X271" s="5" t="e">
        <f ca="1">IF(OR(INDEX($AI$2:$AI$1001,MATCH(ROWS($AH$2:AH271),$AH$2:$AH$1001,0),1)&gt;=100000,INDEX($AO$1005:$BQ$1005,1,MATCH(COLUMNS($AO$1006:BK1006),$AO$1006:$BQ$1006,0))&gt;=100000), " ",IF(INDEX($AO$2:$BQ$1001,MATCH(ROWS($AH$2:AH271),$AH$2:$AH$1001,0),MATCH(COLUMNS($AO$1006:BK1006),$AO$1006:$BQ$1006,0)), HYPERLINK("#",""), HYPERLINK(CONCATENATE("#Metadata!", ADDRESS(INDEX($AJ$2:$AJ$1001,MATCH(ROWS($AH$2:AH271),$AH$2:$AH$1001,0),0), INDEX($AO$1004:$BQ$1004,1,MATCH(COLUMNS($AO$1006:BK1006),$AO$1006:$BQ$1006,0)))),"Fix")))</f>
        <v>#N/A</v>
      </c>
      <c r="Y271" s="5" t="e">
        <f ca="1">IF(OR(INDEX($AI$2:$AI$1001,MATCH(ROWS($AH$2:AH271),$AH$2:$AH$1001,0),1)&gt;=100000,INDEX($AO$1005:$BQ$1005,1,MATCH(COLUMNS($AO$1006:BL1006),$AO$1006:$BQ$1006,0))&gt;=100000), " ",IF(INDEX($AO$2:$BQ$1001,MATCH(ROWS($AH$2:AH271),$AH$2:$AH$1001,0),MATCH(COLUMNS($AO$1006:BL1006),$AO$1006:$BQ$1006,0)), HYPERLINK("#",""), HYPERLINK(CONCATENATE("#Metadata!", ADDRESS(INDEX($AJ$2:$AJ$1001,MATCH(ROWS($AH$2:AH271),$AH$2:$AH$1001,0),0), INDEX($AO$1004:$BQ$1004,1,MATCH(COLUMNS($AO$1006:BL1006),$AO$1006:$BQ$1006,0)))),"Fix")))</f>
        <v>#N/A</v>
      </c>
      <c r="Z271" s="5" t="e">
        <f ca="1">IF(OR(INDEX($AI$2:$AI$1001,MATCH(ROWS($AH$2:AH271),$AH$2:$AH$1001,0),1)&gt;=100000,INDEX($AO$1005:$BQ$1005,1,MATCH(COLUMNS($AO$1006:BM1006),$AO$1006:$BQ$1006,0))&gt;=100000), " ",IF(INDEX($AO$2:$BQ$1001,MATCH(ROWS($AH$2:AH271),$AH$2:$AH$1001,0),MATCH(COLUMNS($AO$1006:BM1006),$AO$1006:$BQ$1006,0)), HYPERLINK("#",""), HYPERLINK(CONCATENATE("#Metadata!", ADDRESS(INDEX($AJ$2:$AJ$1001,MATCH(ROWS($AH$2:AH271),$AH$2:$AH$1001,0),0), INDEX($AO$1004:$BQ$1004,1,MATCH(COLUMNS($AO$1006:BM1006),$AO$1006:$BQ$1006,0)))),"Fix")))</f>
        <v>#N/A</v>
      </c>
      <c r="AA271" s="5" t="e">
        <f ca="1">IF(OR(INDEX($AI$2:$AI$1001,MATCH(ROWS($AH$2:AH271),$AH$2:$AH$1001,0),1)&gt;=100000,INDEX($AO$1005:$BQ$1005,1,MATCH(COLUMNS($AO$1006:BN1006),$AO$1006:$BQ$1006,0))&gt;=100000), " ",IF(INDEX($AO$2:$BQ$1001,MATCH(ROWS($AH$2:AH271),$AH$2:$AH$1001,0),MATCH(COLUMNS($AO$1006:BN1006),$AO$1006:$BQ$1006,0)), HYPERLINK("#",""), HYPERLINK(CONCATENATE("#Metadata!", ADDRESS(INDEX($AJ$2:$AJ$1001,MATCH(ROWS($AH$2:AH271),$AH$2:$AH$1001,0),0), INDEX($AO$1004:$BQ$1004,1,MATCH(COLUMNS($AO$1006:BN1006),$AO$1006:$BQ$1006,0)))),"Fix")))</f>
        <v>#N/A</v>
      </c>
      <c r="AB271" s="5" t="e">
        <f ca="1">IF(OR(INDEX($AI$2:$AI$1001,MATCH(ROWS($AH$2:AH271),$AH$2:$AH$1001,0),1)&gt;=100000,INDEX($AO$1005:$BQ$1005,1,MATCH(COLUMNS($AO$1006:BO1006),$AO$1006:$BQ$1006,0))&gt;=100000), " ",IF(INDEX($AO$2:$BQ$1001,MATCH(ROWS($AH$2:AH271),$AH$2:$AH$1001,0),MATCH(COLUMNS($AO$1006:BO1006),$AO$1006:$BQ$1006,0)), HYPERLINK("#",""), HYPERLINK(CONCATENATE("#Metadata!", ADDRESS(INDEX($AJ$2:$AJ$1001,MATCH(ROWS($AH$2:AH271),$AH$2:$AH$1001,0),0), INDEX($AO$1004:$BQ$1004,1,MATCH(COLUMNS($AO$1006:BO1006),$AO$1006:$BQ$1006,0)))),"Fix")))</f>
        <v>#N/A</v>
      </c>
      <c r="AC271" s="5" t="e">
        <f ca="1">IF(OR(INDEX($AI$2:$AI$1001,MATCH(ROWS($AH$2:AH271),$AH$2:$AH$1001,0),1)&gt;=100000,INDEX($AO$1005:$BQ$1005,1,MATCH(COLUMNS($AO$1006:BP1006),$AO$1006:$BQ$1006,0))&gt;=100000), " ",IF(INDEX($AO$2:$BQ$1001,MATCH(ROWS($AH$2:AH271),$AH$2:$AH$1001,0),MATCH(COLUMNS($AO$1006:BP1006),$AO$1006:$BQ$1006,0)), HYPERLINK("#",""), HYPERLINK(CONCATENATE("#Metadata!", ADDRESS(INDEX($AJ$2:$AJ$1001,MATCH(ROWS($AH$2:AH271),$AH$2:$AH$1001,0),0), INDEX($AO$1004:$BQ$1004,1,MATCH(COLUMNS($AO$1006:BP1006),$AO$1006:$BQ$1006,0)))),"Fix")))</f>
        <v>#N/A</v>
      </c>
      <c r="AD271" s="5" t="e">
        <f ca="1">IF(OR(INDEX($AI$2:$AI$1001,MATCH(ROWS($AH$2:AH271),$AH$2:$AH$1001,0),1)&gt;=100000,INDEX($AO$1005:$BQ$1005,1,MATCH(COLUMNS($AO$1006:BQ1006),$AO$1006:$BQ$1006,0))&gt;=100000), " ",IF(INDEX($AO$2:$BQ$1001,MATCH(ROWS($AH$2:AH271),$AH$2:$AH$1001,0),MATCH(COLUMNS($AO$1006:BQ1006),$AO$1006:$BQ$1006,0)), HYPERLINK("#",""), HYPERLINK(CONCATENATE("#Metadata!", ADDRESS(INDEX($AJ$2:$AJ$1001,MATCH(ROWS($AH$2:AH271),$AH$2:$AH$1001,0),0), INDEX($AO$1004:$BQ$1004,1,MATCH(COLUMNS($AO$1006:BQ1006),$AO$1006:$BQ$1006,0)))),"Fix")))</f>
        <v>#REF!</v>
      </c>
      <c r="AH271">
        <f ca="1"/>
        <v>268</v>
      </c>
      <c r="AI271">
        <v>100271</v>
      </c>
      <c r="AJ271">
        <v>271</v>
      </c>
      <c r="AK271" t="b">
        <f t="shared" si="4"/>
        <v>1</v>
      </c>
      <c r="AL271" t="b">
        <f>COUNTBLANK(Metadata!B271:AD271)=COLUMNS(Metadata!B271:AD271)</f>
        <v>1</v>
      </c>
      <c r="AM271" t="str">
        <v/>
      </c>
      <c r="AO271" t="b">
        <f ca="1">AND(IF(Metadata!B271="",FALSE,TRUE),COUNTIF(Metadata!B:B, Metadata!B271) = 1,NOT(ISERROR(SUMPRODUCT(SEARCH(MID(Metadata!B271,ROW(INDIRECT("1:"&amp;LEN(Metadata!B271))), 1),"0123456789abcdefghijklmnopqrstuvwxyzABCDEFGHIJKLMNOPQRSTUVWXYZ.")))))</f>
        <v>0</v>
      </c>
      <c r="AP271" t="b">
        <f>IF(Metadata!C271="",FALSE,TRUE)</f>
        <v>0</v>
      </c>
      <c r="AQ271" t="b">
        <f>IF(Metadata!D271="",FALSE,TRUE)</f>
        <v>0</v>
      </c>
      <c r="AR271" t="b">
        <f ca="1">OR(AND(IF(Metadata!E271="",FALSE,TRUE),OR(EXACT(Metadata!E271,"not collected"),EXACT(Metadata!E271,"not provided"),EXACT(Metadata!E271,"restricted access"))),AND(IF(Metadata!E271="",FALSE,TRUE),AND(AND(IFERROR(INT(LEFT(Metadata!E271,4))&gt;1900,FALSE),IFERROR(INT(LEFT(Metadata!E271,4))&lt;=YEAR(NOW()),FALSE)), OR(MID(Metadata!E271,5,1)="", AND(AND(MID(Metadata!E271,5,1)="-",IFERROR(INT(MID(Metadata!E271,6,1))&gt;=0,FALSE),IFERROR(INT(MID(Metadata!E271,6,1))&lt;=1,FALSE),NOT(MID(Metadata!E271,7,1)=""),IFERROR(INT(MID(Metadata!E271,6,2))&gt;=1,FALSE),IFERROR(INT(MID(Metadata!E271,6,2))&lt;=12,FALSE)), OR(MID(Metadata!E271,8,1)="", AND(AND(MID(Metadata!E271,8,1)="-",IFERROR(INT(MID(Metadata!E271,9,1))&gt;=0,FALSE),IFERROR(INT(MID(Metadata!E271,9,1))&lt;=3,FALSE),NOT(MID(Metadata!E271,10,1)=""),IFERROR(INT(MID(Metadata!E271,9,2))&gt;=1,FALSE),IFERROR(INT(MID(Metadata!E271,9,2))&lt;=31,FALSE)), OR(MID(Metadata!E271,11,1)="", AND(AND(MID(Metadata!E271,11,1)=" ",IFERROR(INT(MID(Metadata!E271,12,1))&gt;=0,FALSE),IFERROR(INT(MID(Metadata!E271,12,1))&lt;=2,FALSE),NOT(MID(Metadata!E271,13,1)=""),IFERROR(INT(MID(Metadata!E271,12,2))&gt;=0,FALSE),IFERROR(INT(MID(Metadata!E271,12,2))&lt;=23,FALSE)), OR(MID(Metadata!E271,14,1)="", AND(AND(MID(Metadata!E271,14,1)=":",IFERROR(INT(MID(Metadata!E271,15,1))&gt;=0,FALSE),IFERROR(INT(MID(Metadata!E271,15,1))&lt;=5,FALSE),NOT(MID(Metadata!E271,16,1)=""),IFERROR(INT(MID(Metadata!E271,15,2))&gt;=0,FALSE),IFERROR(INT(MID(Metadata!E271,15,2))&lt;=59,FALSE)), OR(MID(Metadata!E271,17,1)="", AND(AND(MID(Metadata!E271,17,1)=":",IFERROR(INT(MID(Metadata!E271,18,1))&gt;=0,FALSE),IFERROR(INT(MID(Metadata!E271,18,1))&lt;=5,FALSE),NOT(MID(Metadata!E271,19,1)=""),IFERROR(INT(MID(Metadata!E271,18,2))&gt;=0,FALSE),IFERROR(INT(MID(Metadata!E271,18,2))&lt;=59,FALSE)), LEN(Metadata!E271)&lt;=19)))))))))))))</f>
        <v>0</v>
      </c>
      <c r="AS271" t="b">
        <f>IF(Metadata!F271="",FALSE,TRUE)</f>
        <v>0</v>
      </c>
      <c r="AT271" t="b">
        <f>OR(AND(IF(Metadata!G271="",FALSE,TRUE),OR(EXACT(Metadata!G271,"not collected"),EXACT(Metadata!G271,"not provided"))),AND(IF(Metadata!G271="",FALSE,TRUE),OR(EXACT(Metadata!G271,"TRUE"),EXACT(Metadata!G271,"FALSE"))))</f>
        <v>0</v>
      </c>
      <c r="AU271" t="b">
        <f>OR(AND(IF(Metadata!H271="",FALSE,TRUE),OR(EXACT(Metadata!H271,"not collected"),EXACT(Metadata!H271,"not provided"),EXACT(Metadata!H271,"restricted access"))),AND(IF(Metadata!H271="",FALSE,ISNUMBER(VALUE(Metadata!H271))),Metadata!H271&gt;=-413))</f>
        <v>0</v>
      </c>
      <c r="AV271" t="b">
        <f>AND(IF(Metadata!I271="",FALSE,TRUE),EXACT(Metadata!I271,"meters"))</f>
        <v>0</v>
      </c>
      <c r="AW271" t="b">
        <f>AND(IF(Metadata!J271="",FALSE,TRUE),EXACT(Metadata!J271,"free-living"))</f>
        <v>0</v>
      </c>
      <c r="AX271" t="b">
        <f>AND(IF(Metadata!K271="",FALSE,TRUE),OR(EXACT(Metadata!K271,"saline"),EXACT(Metadata!K271,"non-saline")))</f>
        <v>0</v>
      </c>
      <c r="AY271" t="b">
        <f>AND(IF(Metadata!L271="",FALSE,TRUE),OR(EXACT(Metadata!L271,"sub-surface (non-saline)"),EXACT(Metadata!L271,"surface (non-saline)"),EXACT(Metadata!L271,"water (non-saline)"),EXACT(Metadata!L271,"soil (non-saline)"),EXACT(Metadata!L271,"aerosol (non-saline)"),EXACT(Metadata!L271,"sediment (non-saline)"),EXACT(Metadata!L271,"surface (saline)"),EXACT(Metadata!L271,"water (saline)"),EXACT(Metadata!L271,"hypersaline (saline)"),EXACT(Metadata!L271,"aerosol (saline)"),EXACT(Metadata!L271,"sediment (saline)")))</f>
        <v>0</v>
      </c>
      <c r="AZ271" t="b">
        <f>IF(Metadata!M271="",FALSE,TRUE)</f>
        <v>0</v>
      </c>
      <c r="BA271" t="b">
        <f>IF(Metadata!N271="",FALSE,TRUE)</f>
        <v>0</v>
      </c>
      <c r="BB271" t="b">
        <f>IF(Metadata!O271="",FALSE,TRUE)</f>
        <v>0</v>
      </c>
      <c r="BC271" t="b">
        <f>AND(IF(Metadata!P271="",FALSE,TRUE),OR(EXACT(Metadata!P271,"air"),EXACT(Metadata!P271,"microbial mat/biofilm"),EXACT(Metadata!P271,"misc environment"),EXACT(Metadata!P271,"sediment"),EXACT(Metadata!P271,"soil"),EXACT(Metadata!P271,"wastewater/sludge"),EXACT(Metadata!P271,"water")))</f>
        <v>0</v>
      </c>
      <c r="BD271" t="b">
        <f>IF(Metadata!Q271="",FALSE,TRUE)</f>
        <v>0</v>
      </c>
      <c r="BE271" t="b">
        <f>IF(Metadata!R271="",FALSE,TRUE)</f>
        <v>0</v>
      </c>
      <c r="BF271" t="b">
        <f>OR(AND(IF(Metadata!S271="",FALSE,TRUE),OR(EXACT(Metadata!S271,"not collected"),EXACT(Metadata!S271,"not provided"),EXACT(Metadata!S271,"restricted access"))),AND(IF(Metadata!S271="",FALSE,ISNUMBER(VALUE(Metadata!S271))),Metadata!S271&gt;=-90,Metadata!S271&lt;=90))</f>
        <v>0</v>
      </c>
      <c r="BG271" t="b">
        <f>AND(IF(Metadata!T271="",FALSE,TRUE),EXACT(Metadata!T271,"Decimal degrees"))</f>
        <v>0</v>
      </c>
      <c r="BH271" t="b">
        <f>OR(AND(IF(Metadata!U271="",FALSE,TRUE),OR(EXACT(Metadata!U271,"not applicable"),EXACT(Metadata!U271,"not collected"))),IF(Metadata!U271="",FALSE,TRUE))</f>
        <v>0</v>
      </c>
      <c r="BI271" t="b">
        <f>OR(AND(IF(Metadata!V271="",FALSE,TRUE),OR(EXACT(Metadata!V271,"not collected"),EXACT(Metadata!V271,"not provided"),EXACT(Metadata!V271,"restricted access"))),AND(IF(Metadata!V271="",FALSE,ISNUMBER(VALUE(Metadata!V271))),Metadata!V271&gt;=-180,Metadata!V271&lt;=180))</f>
        <v>0</v>
      </c>
      <c r="BJ271" t="b">
        <f>AND(IF(Metadata!W271="",FALSE,TRUE),EXACT(Metadata!W271,"Decimal degrees"))</f>
        <v>0</v>
      </c>
      <c r="BK271" t="b">
        <f>IF(Metadata!X271="",FALSE,TRUE)</f>
        <v>0</v>
      </c>
      <c r="BL271" t="b">
        <f>OR(AND(IF(Metadata!Y271="",FALSE,TRUE),OR(EXACT(Metadata!Y271,"not collected"),EXACT(Metadata!Y271,"not provided"),EXACT(Metadata!Y271,"restricted access"))),AND(IF(Metadata!Y271="",FALSE,TRUE),OR(EXACT(Metadata!Y271,"TRUE"),EXACT(Metadata!Y271,"FALSE"))))</f>
        <v>0</v>
      </c>
      <c r="BM271" t="b">
        <f>OR(AND(IF(Metadata!Z271="",FALSE,TRUE),EXACT(Metadata!Z271,"not applicable")),AND(IF(Metadata!Z271="",FALSE,TRUE),OR(EXACT(Metadata!Z271,"beer"),EXACT(Metadata!Z271,"cheese"),EXACT(Metadata!Z271,"fresh water"),EXACT(Metadata!Z271,"marine sediment"),EXACT(Metadata!Z271,"sea water"),EXACT(Metadata!Z271,"sediment"),EXACT(Metadata!Z271,"soil"),EXACT(Metadata!Z271,"waste water"))))</f>
        <v>0</v>
      </c>
      <c r="BN271" t="b">
        <f>AND(IF(Metadata!AA271="",FALSE,TRUE),EXACT(Metadata!AA271,"metagenome"))</f>
        <v>0</v>
      </c>
      <c r="BO271" t="b">
        <f>AND(IF(Metadata!AB271="",FALSE,TRUE),EXACT(Metadata!AB271,"256318"))</f>
        <v>0</v>
      </c>
      <c r="BP271" t="b">
        <f>IF(Metadata!AC271="",FALSE,TRUE)</f>
        <v>0</v>
      </c>
      <c r="BQ271" t="b">
        <f>IF(Metadata!AD271="",FALSE,TRUE)</f>
        <v>0</v>
      </c>
    </row>
    <row r="272" spans="1:69" x14ac:dyDescent="0.2">
      <c r="A272" s="4" t="e">
        <f ca="1">IF(B272=" "," ",HYPERLINK(CONCATENATE("#metadata!",ADDRESS(INDEX($AJ$2:$AJ$1001,MATCH(ROWS($AH$2:AH272),$AH$2:$AH$1001,0),0),2)),INDEX($AM$2:$AM$1001,MATCH(ROWS($AH$2:AH272),$AH$2:$AH$1001,0),0)))</f>
        <v>#N/A</v>
      </c>
      <c r="B272" s="5" t="e">
        <f ca="1">IF(OR(INDEX($AI$2:$AI$1001,MATCH(ROWS($AH$2:AH272),$AH$2:$AH$1001,0),1)&gt;=100000,INDEX($AO$1005:$BQ$1005,1,MATCH(COLUMNS($AO$1006:AO1006),$AO$1006:$BQ$1006,0))&gt;=100000), " ",IF(INDEX($AO$2:$BQ$1001,MATCH(ROWS($AH$2:AH272),$AH$2:$AH$1001,0),MATCH(COLUMNS($AO$1006:AO1006),$AO$1006:$BQ$1006,0)), HYPERLINK("#",""), HYPERLINK(CONCATENATE("#Metadata!", ADDRESS(INDEX($AJ$2:$AJ$1001,MATCH(ROWS($AH$2:AH272),$AH$2:$AH$1001,0),0), INDEX($AO$1004:$BQ$1004,1,MATCH(COLUMNS($AO$1006:AO1006),$AO$1006:$BQ$1006,0)))),"Fix")))</f>
        <v>#N/A</v>
      </c>
      <c r="C272" s="5" t="e">
        <f ca="1">IF(OR(INDEX($AI$2:$AI$1001,MATCH(ROWS($AH$2:AH272),$AH$2:$AH$1001,0),1)&gt;=100000,INDEX($AO$1005:$BQ$1005,1,MATCH(COLUMNS($AO$1006:AP1006),$AO$1006:$BQ$1006,0))&gt;=100000), " ",IF(INDEX($AO$2:$BQ$1001,MATCH(ROWS($AH$2:AH272),$AH$2:$AH$1001,0),MATCH(COLUMNS($AO$1006:AP1006),$AO$1006:$BQ$1006,0)), HYPERLINK("#",""), HYPERLINK(CONCATENATE("#Metadata!", ADDRESS(INDEX($AJ$2:$AJ$1001,MATCH(ROWS($AH$2:AH272),$AH$2:$AH$1001,0),0), INDEX($AO$1004:$BQ$1004,1,MATCH(COLUMNS($AO$1006:AP1006),$AO$1006:$BQ$1006,0)))),"Fix")))</f>
        <v>#N/A</v>
      </c>
      <c r="D272" s="5" t="e">
        <f ca="1">IF(OR(INDEX($AI$2:$AI$1001,MATCH(ROWS($AH$2:AH272),$AH$2:$AH$1001,0),1)&gt;=100000,INDEX($AO$1005:$BQ$1005,1,MATCH(COLUMNS($AO$1006:AQ1006),$AO$1006:$BQ$1006,0))&gt;=100000), " ",IF(INDEX($AO$2:$BQ$1001,MATCH(ROWS($AH$2:AH272),$AH$2:$AH$1001,0),MATCH(COLUMNS($AO$1006:AQ1006),$AO$1006:$BQ$1006,0)), HYPERLINK("#",""), HYPERLINK(CONCATENATE("#Metadata!", ADDRESS(INDEX($AJ$2:$AJ$1001,MATCH(ROWS($AH$2:AH272),$AH$2:$AH$1001,0),0), INDEX($AO$1004:$BQ$1004,1,MATCH(COLUMNS($AO$1006:AQ1006),$AO$1006:$BQ$1006,0)))),"Fix")))</f>
        <v>#N/A</v>
      </c>
      <c r="E272" s="5" t="e">
        <f ca="1">IF(OR(INDEX($AI$2:$AI$1001,MATCH(ROWS($AH$2:AH272),$AH$2:$AH$1001,0),1)&gt;=100000,INDEX($AO$1005:$BQ$1005,1,MATCH(COLUMNS($AO$1006:AR1006),$AO$1006:$BQ$1006,0))&gt;=100000), " ",IF(INDEX($AO$2:$BQ$1001,MATCH(ROWS($AH$2:AH272),$AH$2:$AH$1001,0),MATCH(COLUMNS($AO$1006:AR1006),$AO$1006:$BQ$1006,0)), HYPERLINK("#",""), HYPERLINK(CONCATENATE("#Metadata!", ADDRESS(INDEX($AJ$2:$AJ$1001,MATCH(ROWS($AH$2:AH272),$AH$2:$AH$1001,0),0), INDEX($AO$1004:$BQ$1004,1,MATCH(COLUMNS($AO$1006:AR1006),$AO$1006:$BQ$1006,0)))),"Fix")))</f>
        <v>#N/A</v>
      </c>
      <c r="F272" s="5" t="e">
        <f ca="1">IF(OR(INDEX($AI$2:$AI$1001,MATCH(ROWS($AH$2:AH272),$AH$2:$AH$1001,0),1)&gt;=100000,INDEX($AO$1005:$BQ$1005,1,MATCH(COLUMNS($AO$1006:AS1006),$AO$1006:$BQ$1006,0))&gt;=100000), " ",IF(INDEX($AO$2:$BQ$1001,MATCH(ROWS($AH$2:AH272),$AH$2:$AH$1001,0),MATCH(COLUMNS($AO$1006:AS1006),$AO$1006:$BQ$1006,0)), HYPERLINK("#",""), HYPERLINK(CONCATENATE("#Metadata!", ADDRESS(INDEX($AJ$2:$AJ$1001,MATCH(ROWS($AH$2:AH272),$AH$2:$AH$1001,0),0), INDEX($AO$1004:$BQ$1004,1,MATCH(COLUMNS($AO$1006:AS1006),$AO$1006:$BQ$1006,0)))),"Fix")))</f>
        <v>#N/A</v>
      </c>
      <c r="G272" s="5" t="e">
        <f ca="1">IF(OR(INDEX($AI$2:$AI$1001,MATCH(ROWS($AH$2:AH272),$AH$2:$AH$1001,0),1)&gt;=100000,INDEX($AO$1005:$BQ$1005,1,MATCH(COLUMNS($AO$1006:AT1006),$AO$1006:$BQ$1006,0))&gt;=100000), " ",IF(INDEX($AO$2:$BQ$1001,MATCH(ROWS($AH$2:AH272),$AH$2:$AH$1001,0),MATCH(COLUMNS($AO$1006:AT1006),$AO$1006:$BQ$1006,0)), HYPERLINK("#",""), HYPERLINK(CONCATENATE("#Metadata!", ADDRESS(INDEX($AJ$2:$AJ$1001,MATCH(ROWS($AH$2:AH272),$AH$2:$AH$1001,0),0), INDEX($AO$1004:$BQ$1004,1,MATCH(COLUMNS($AO$1006:AT1006),$AO$1006:$BQ$1006,0)))),"Fix")))</f>
        <v>#N/A</v>
      </c>
      <c r="H272" s="5" t="e">
        <f ca="1">IF(OR(INDEX($AI$2:$AI$1001,MATCH(ROWS($AH$2:AH272),$AH$2:$AH$1001,0),1)&gt;=100000,INDEX($AO$1005:$BQ$1005,1,MATCH(COLUMNS($AO$1006:AU1006),$AO$1006:$BQ$1006,0))&gt;=100000), " ",IF(INDEX($AO$2:$BQ$1001,MATCH(ROWS($AH$2:AH272),$AH$2:$AH$1001,0),MATCH(COLUMNS($AO$1006:AU1006),$AO$1006:$BQ$1006,0)), HYPERLINK("#",""), HYPERLINK(CONCATENATE("#Metadata!", ADDRESS(INDEX($AJ$2:$AJ$1001,MATCH(ROWS($AH$2:AH272),$AH$2:$AH$1001,0),0), INDEX($AO$1004:$BQ$1004,1,MATCH(COLUMNS($AO$1006:AU1006),$AO$1006:$BQ$1006,0)))),"Fix")))</f>
        <v>#N/A</v>
      </c>
      <c r="I272" s="5" t="e">
        <f ca="1">IF(OR(INDEX($AI$2:$AI$1001,MATCH(ROWS($AH$2:AH272),$AH$2:$AH$1001,0),1)&gt;=100000,INDEX($AO$1005:$BQ$1005,1,MATCH(COLUMNS($AO$1006:AV1006),$AO$1006:$BQ$1006,0))&gt;=100000), " ",IF(INDEX($AO$2:$BQ$1001,MATCH(ROWS($AH$2:AH272),$AH$2:$AH$1001,0),MATCH(COLUMNS($AO$1006:AV1006),$AO$1006:$BQ$1006,0)), HYPERLINK("#",""), HYPERLINK(CONCATENATE("#Metadata!", ADDRESS(INDEX($AJ$2:$AJ$1001,MATCH(ROWS($AH$2:AH272),$AH$2:$AH$1001,0),0), INDEX($AO$1004:$BQ$1004,1,MATCH(COLUMNS($AO$1006:AV1006),$AO$1006:$BQ$1006,0)))),"Fix")))</f>
        <v>#N/A</v>
      </c>
      <c r="J272" s="5" t="e">
        <f ca="1">IF(OR(INDEX($AI$2:$AI$1001,MATCH(ROWS($AH$2:AH272),$AH$2:$AH$1001,0),1)&gt;=100000,INDEX($AO$1005:$BQ$1005,1,MATCH(COLUMNS($AO$1006:AW1006),$AO$1006:$BQ$1006,0))&gt;=100000), " ",IF(INDEX($AO$2:$BQ$1001,MATCH(ROWS($AH$2:AH272),$AH$2:$AH$1001,0),MATCH(COLUMNS($AO$1006:AW1006),$AO$1006:$BQ$1006,0)), HYPERLINK("#",""), HYPERLINK(CONCATENATE("#Metadata!", ADDRESS(INDEX($AJ$2:$AJ$1001,MATCH(ROWS($AH$2:AH272),$AH$2:$AH$1001,0),0), INDEX($AO$1004:$BQ$1004,1,MATCH(COLUMNS($AO$1006:AW1006),$AO$1006:$BQ$1006,0)))),"Fix")))</f>
        <v>#N/A</v>
      </c>
      <c r="K272" s="5" t="e">
        <f ca="1">IF(OR(INDEX($AI$2:$AI$1001,MATCH(ROWS($AH$2:AH272),$AH$2:$AH$1001,0),1)&gt;=100000,INDEX($AO$1005:$BQ$1005,1,MATCH(COLUMNS($AO$1006:AX1006),$AO$1006:$BQ$1006,0))&gt;=100000), " ",IF(INDEX($AO$2:$BQ$1001,MATCH(ROWS($AH$2:AH272),$AH$2:$AH$1001,0),MATCH(COLUMNS($AO$1006:AX1006),$AO$1006:$BQ$1006,0)), HYPERLINK("#",""), HYPERLINK(CONCATENATE("#Metadata!", ADDRESS(INDEX($AJ$2:$AJ$1001,MATCH(ROWS($AH$2:AH272),$AH$2:$AH$1001,0),0), INDEX($AO$1004:$BQ$1004,1,MATCH(COLUMNS($AO$1006:AX1006),$AO$1006:$BQ$1006,0)))),"Fix")))</f>
        <v>#N/A</v>
      </c>
      <c r="L272" s="5" t="e">
        <f ca="1">IF(OR(INDEX($AI$2:$AI$1001,MATCH(ROWS($AH$2:AH272),$AH$2:$AH$1001,0),1)&gt;=100000,INDEX($AO$1005:$BQ$1005,1,MATCH(COLUMNS($AO$1006:AY1006),$AO$1006:$BQ$1006,0))&gt;=100000), " ",IF(INDEX($AO$2:$BQ$1001,MATCH(ROWS($AH$2:AH272),$AH$2:$AH$1001,0),MATCH(COLUMNS($AO$1006:AY1006),$AO$1006:$BQ$1006,0)), HYPERLINK("#",""), HYPERLINK(CONCATENATE("#Metadata!", ADDRESS(INDEX($AJ$2:$AJ$1001,MATCH(ROWS($AH$2:AH272),$AH$2:$AH$1001,0),0), INDEX($AO$1004:$BQ$1004,1,MATCH(COLUMNS($AO$1006:AY1006),$AO$1006:$BQ$1006,0)))),"Fix")))</f>
        <v>#N/A</v>
      </c>
      <c r="M272" s="5" t="e">
        <f ca="1">IF(OR(INDEX($AI$2:$AI$1001,MATCH(ROWS($AH$2:AH272),$AH$2:$AH$1001,0),1)&gt;=100000,INDEX($AO$1005:$BQ$1005,1,MATCH(COLUMNS($AO$1006:AZ1006),$AO$1006:$BQ$1006,0))&gt;=100000), " ",IF(INDEX($AO$2:$BQ$1001,MATCH(ROWS($AH$2:AH272),$AH$2:$AH$1001,0),MATCH(COLUMNS($AO$1006:AZ1006),$AO$1006:$BQ$1006,0)), HYPERLINK("#",""), HYPERLINK(CONCATENATE("#Metadata!", ADDRESS(INDEX($AJ$2:$AJ$1001,MATCH(ROWS($AH$2:AH272),$AH$2:$AH$1001,0),0), INDEX($AO$1004:$BQ$1004,1,MATCH(COLUMNS($AO$1006:AZ1006),$AO$1006:$BQ$1006,0)))),"Fix")))</f>
        <v>#N/A</v>
      </c>
      <c r="N272" s="5" t="e">
        <f ca="1">IF(OR(INDEX($AI$2:$AI$1001,MATCH(ROWS($AH$2:AH272),$AH$2:$AH$1001,0),1)&gt;=100000,INDEX($AO$1005:$BQ$1005,1,MATCH(COLUMNS($AO$1006:BA1006),$AO$1006:$BQ$1006,0))&gt;=100000), " ",IF(INDEX($AO$2:$BQ$1001,MATCH(ROWS($AH$2:AH272),$AH$2:$AH$1001,0),MATCH(COLUMNS($AO$1006:BA1006),$AO$1006:$BQ$1006,0)), HYPERLINK("#",""), HYPERLINK(CONCATENATE("#Metadata!", ADDRESS(INDEX($AJ$2:$AJ$1001,MATCH(ROWS($AH$2:AH272),$AH$2:$AH$1001,0),0), INDEX($AO$1004:$BQ$1004,1,MATCH(COLUMNS($AO$1006:BA1006),$AO$1006:$BQ$1006,0)))),"Fix")))</f>
        <v>#N/A</v>
      </c>
      <c r="O272" s="5" t="e">
        <f ca="1">IF(OR(INDEX($AI$2:$AI$1001,MATCH(ROWS($AH$2:AH272),$AH$2:$AH$1001,0),1)&gt;=100000,INDEX($AO$1005:$BQ$1005,1,MATCH(COLUMNS($AO$1006:BB1006),$AO$1006:$BQ$1006,0))&gt;=100000), " ",IF(INDEX($AO$2:$BQ$1001,MATCH(ROWS($AH$2:AH272),$AH$2:$AH$1001,0),MATCH(COLUMNS($AO$1006:BB1006),$AO$1006:$BQ$1006,0)), HYPERLINK("#",""), HYPERLINK(CONCATENATE("#Metadata!", ADDRESS(INDEX($AJ$2:$AJ$1001,MATCH(ROWS($AH$2:AH272),$AH$2:$AH$1001,0),0), INDEX($AO$1004:$BQ$1004,1,MATCH(COLUMNS($AO$1006:BB1006),$AO$1006:$BQ$1006,0)))),"Fix")))</f>
        <v>#N/A</v>
      </c>
      <c r="P272" s="5" t="e">
        <f ca="1">IF(OR(INDEX($AI$2:$AI$1001,MATCH(ROWS($AH$2:AH272),$AH$2:$AH$1001,0),1)&gt;=100000,INDEX($AO$1005:$BQ$1005,1,MATCH(COLUMNS($AO$1006:BC1006),$AO$1006:$BQ$1006,0))&gt;=100000), " ",IF(INDEX($AO$2:$BQ$1001,MATCH(ROWS($AH$2:AH272),$AH$2:$AH$1001,0),MATCH(COLUMNS($AO$1006:BC1006),$AO$1006:$BQ$1006,0)), HYPERLINK("#",""), HYPERLINK(CONCATENATE("#Metadata!", ADDRESS(INDEX($AJ$2:$AJ$1001,MATCH(ROWS($AH$2:AH272),$AH$2:$AH$1001,0),0), INDEX($AO$1004:$BQ$1004,1,MATCH(COLUMNS($AO$1006:BC1006),$AO$1006:$BQ$1006,0)))),"Fix")))</f>
        <v>#N/A</v>
      </c>
      <c r="Q272" s="5" t="e">
        <f ca="1">IF(OR(INDEX($AI$2:$AI$1001,MATCH(ROWS($AH$2:AH272),$AH$2:$AH$1001,0),1)&gt;=100000,INDEX($AO$1005:$BQ$1005,1,MATCH(COLUMNS($AO$1006:BD1006),$AO$1006:$BQ$1006,0))&gt;=100000), " ",IF(INDEX($AO$2:$BQ$1001,MATCH(ROWS($AH$2:AH272),$AH$2:$AH$1001,0),MATCH(COLUMNS($AO$1006:BD1006),$AO$1006:$BQ$1006,0)), HYPERLINK("#",""), HYPERLINK(CONCATENATE("#Metadata!", ADDRESS(INDEX($AJ$2:$AJ$1001,MATCH(ROWS($AH$2:AH272),$AH$2:$AH$1001,0),0), INDEX($AO$1004:$BQ$1004,1,MATCH(COLUMNS($AO$1006:BD1006),$AO$1006:$BQ$1006,0)))),"Fix")))</f>
        <v>#N/A</v>
      </c>
      <c r="R272" s="5" t="e">
        <f ca="1">IF(OR(INDEX($AI$2:$AI$1001,MATCH(ROWS($AH$2:AH272),$AH$2:$AH$1001,0),1)&gt;=100000,INDEX($AO$1005:$BQ$1005,1,MATCH(COLUMNS($AO$1006:BE1006),$AO$1006:$BQ$1006,0))&gt;=100000), " ",IF(INDEX($AO$2:$BQ$1001,MATCH(ROWS($AH$2:AH272),$AH$2:$AH$1001,0),MATCH(COLUMNS($AO$1006:BE1006),$AO$1006:$BQ$1006,0)), HYPERLINK("#",""), HYPERLINK(CONCATENATE("#Metadata!", ADDRESS(INDEX($AJ$2:$AJ$1001,MATCH(ROWS($AH$2:AH272),$AH$2:$AH$1001,0),0), INDEX($AO$1004:$BQ$1004,1,MATCH(COLUMNS($AO$1006:BE1006),$AO$1006:$BQ$1006,0)))),"Fix")))</f>
        <v>#N/A</v>
      </c>
      <c r="S272" s="5" t="e">
        <f ca="1">IF(OR(INDEX($AI$2:$AI$1001,MATCH(ROWS($AH$2:AH272),$AH$2:$AH$1001,0),1)&gt;=100000,INDEX($AO$1005:$BQ$1005,1,MATCH(COLUMNS($AO$1006:BF1006),$AO$1006:$BQ$1006,0))&gt;=100000), " ",IF(INDEX($AO$2:$BQ$1001,MATCH(ROWS($AH$2:AH272),$AH$2:$AH$1001,0),MATCH(COLUMNS($AO$1006:BF1006),$AO$1006:$BQ$1006,0)), HYPERLINK("#",""), HYPERLINK(CONCATENATE("#Metadata!", ADDRESS(INDEX($AJ$2:$AJ$1001,MATCH(ROWS($AH$2:AH272),$AH$2:$AH$1001,0),0), INDEX($AO$1004:$BQ$1004,1,MATCH(COLUMNS($AO$1006:BF1006),$AO$1006:$BQ$1006,0)))),"Fix")))</f>
        <v>#N/A</v>
      </c>
      <c r="T272" s="5" t="e">
        <f ca="1">IF(OR(INDEX($AI$2:$AI$1001,MATCH(ROWS($AH$2:AH272),$AH$2:$AH$1001,0),1)&gt;=100000,INDEX($AO$1005:$BQ$1005,1,MATCH(COLUMNS($AO$1006:BG1006),$AO$1006:$BQ$1006,0))&gt;=100000), " ",IF(INDEX($AO$2:$BQ$1001,MATCH(ROWS($AH$2:AH272),$AH$2:$AH$1001,0),MATCH(COLUMNS($AO$1006:BG1006),$AO$1006:$BQ$1006,0)), HYPERLINK("#",""), HYPERLINK(CONCATENATE("#Metadata!", ADDRESS(INDEX($AJ$2:$AJ$1001,MATCH(ROWS($AH$2:AH272),$AH$2:$AH$1001,0),0), INDEX($AO$1004:$BQ$1004,1,MATCH(COLUMNS($AO$1006:BG1006),$AO$1006:$BQ$1006,0)))),"Fix")))</f>
        <v>#N/A</v>
      </c>
      <c r="U272" s="5" t="e">
        <f ca="1">IF(OR(INDEX($AI$2:$AI$1001,MATCH(ROWS($AH$2:AH272),$AH$2:$AH$1001,0),1)&gt;=100000,INDEX($AO$1005:$BQ$1005,1,MATCH(COLUMNS($AO$1006:BH1006),$AO$1006:$BQ$1006,0))&gt;=100000), " ",IF(INDEX($AO$2:$BQ$1001,MATCH(ROWS($AH$2:AH272),$AH$2:$AH$1001,0),MATCH(COLUMNS($AO$1006:BH1006),$AO$1006:$BQ$1006,0)), HYPERLINK("#",""), HYPERLINK(CONCATENATE("#Metadata!", ADDRESS(INDEX($AJ$2:$AJ$1001,MATCH(ROWS($AH$2:AH272),$AH$2:$AH$1001,0),0), INDEX($AO$1004:$BQ$1004,1,MATCH(COLUMNS($AO$1006:BH1006),$AO$1006:$BQ$1006,0)))),"Fix")))</f>
        <v>#N/A</v>
      </c>
      <c r="V272" s="5" t="e">
        <f ca="1">IF(OR(INDEX($AI$2:$AI$1001,MATCH(ROWS($AH$2:AH272),$AH$2:$AH$1001,0),1)&gt;=100000,INDEX($AO$1005:$BQ$1005,1,MATCH(COLUMNS($AO$1006:BI1006),$AO$1006:$BQ$1006,0))&gt;=100000), " ",IF(INDEX($AO$2:$BQ$1001,MATCH(ROWS($AH$2:AH272),$AH$2:$AH$1001,0),MATCH(COLUMNS($AO$1006:BI1006),$AO$1006:$BQ$1006,0)), HYPERLINK("#",""), HYPERLINK(CONCATENATE("#Metadata!", ADDRESS(INDEX($AJ$2:$AJ$1001,MATCH(ROWS($AH$2:AH272),$AH$2:$AH$1001,0),0), INDEX($AO$1004:$BQ$1004,1,MATCH(COLUMNS($AO$1006:BI1006),$AO$1006:$BQ$1006,0)))),"Fix")))</f>
        <v>#N/A</v>
      </c>
      <c r="W272" s="5" t="e">
        <f ca="1">IF(OR(INDEX($AI$2:$AI$1001,MATCH(ROWS($AH$2:AH272),$AH$2:$AH$1001,0),1)&gt;=100000,INDEX($AO$1005:$BQ$1005,1,MATCH(COLUMNS($AO$1006:BJ1006),$AO$1006:$BQ$1006,0))&gt;=100000), " ",IF(INDEX($AO$2:$BQ$1001,MATCH(ROWS($AH$2:AH272),$AH$2:$AH$1001,0),MATCH(COLUMNS($AO$1006:BJ1006),$AO$1006:$BQ$1006,0)), HYPERLINK("#",""), HYPERLINK(CONCATENATE("#Metadata!", ADDRESS(INDEX($AJ$2:$AJ$1001,MATCH(ROWS($AH$2:AH272),$AH$2:$AH$1001,0),0), INDEX($AO$1004:$BQ$1004,1,MATCH(COLUMNS($AO$1006:BJ1006),$AO$1006:$BQ$1006,0)))),"Fix")))</f>
        <v>#N/A</v>
      </c>
      <c r="X272" s="5" t="e">
        <f ca="1">IF(OR(INDEX($AI$2:$AI$1001,MATCH(ROWS($AH$2:AH272),$AH$2:$AH$1001,0),1)&gt;=100000,INDEX($AO$1005:$BQ$1005,1,MATCH(COLUMNS($AO$1006:BK1006),$AO$1006:$BQ$1006,0))&gt;=100000), " ",IF(INDEX($AO$2:$BQ$1001,MATCH(ROWS($AH$2:AH272),$AH$2:$AH$1001,0),MATCH(COLUMNS($AO$1006:BK1006),$AO$1006:$BQ$1006,0)), HYPERLINK("#",""), HYPERLINK(CONCATENATE("#Metadata!", ADDRESS(INDEX($AJ$2:$AJ$1001,MATCH(ROWS($AH$2:AH272),$AH$2:$AH$1001,0),0), INDEX($AO$1004:$BQ$1004,1,MATCH(COLUMNS($AO$1006:BK1006),$AO$1006:$BQ$1006,0)))),"Fix")))</f>
        <v>#N/A</v>
      </c>
      <c r="Y272" s="5" t="e">
        <f ca="1">IF(OR(INDEX($AI$2:$AI$1001,MATCH(ROWS($AH$2:AH272),$AH$2:$AH$1001,0),1)&gt;=100000,INDEX($AO$1005:$BQ$1005,1,MATCH(COLUMNS($AO$1006:BL1006),$AO$1006:$BQ$1006,0))&gt;=100000), " ",IF(INDEX($AO$2:$BQ$1001,MATCH(ROWS($AH$2:AH272),$AH$2:$AH$1001,0),MATCH(COLUMNS($AO$1006:BL1006),$AO$1006:$BQ$1006,0)), HYPERLINK("#",""), HYPERLINK(CONCATENATE("#Metadata!", ADDRESS(INDEX($AJ$2:$AJ$1001,MATCH(ROWS($AH$2:AH272),$AH$2:$AH$1001,0),0), INDEX($AO$1004:$BQ$1004,1,MATCH(COLUMNS($AO$1006:BL1006),$AO$1006:$BQ$1006,0)))),"Fix")))</f>
        <v>#N/A</v>
      </c>
      <c r="Z272" s="5" t="e">
        <f ca="1">IF(OR(INDEX($AI$2:$AI$1001,MATCH(ROWS($AH$2:AH272),$AH$2:$AH$1001,0),1)&gt;=100000,INDEX($AO$1005:$BQ$1005,1,MATCH(COLUMNS($AO$1006:BM1006),$AO$1006:$BQ$1006,0))&gt;=100000), " ",IF(INDEX($AO$2:$BQ$1001,MATCH(ROWS($AH$2:AH272),$AH$2:$AH$1001,0),MATCH(COLUMNS($AO$1006:BM1006),$AO$1006:$BQ$1006,0)), HYPERLINK("#",""), HYPERLINK(CONCATENATE("#Metadata!", ADDRESS(INDEX($AJ$2:$AJ$1001,MATCH(ROWS($AH$2:AH272),$AH$2:$AH$1001,0),0), INDEX($AO$1004:$BQ$1004,1,MATCH(COLUMNS($AO$1006:BM1006),$AO$1006:$BQ$1006,0)))),"Fix")))</f>
        <v>#N/A</v>
      </c>
      <c r="AA272" s="5" t="e">
        <f ca="1">IF(OR(INDEX($AI$2:$AI$1001,MATCH(ROWS($AH$2:AH272),$AH$2:$AH$1001,0),1)&gt;=100000,INDEX($AO$1005:$BQ$1005,1,MATCH(COLUMNS($AO$1006:BN1006),$AO$1006:$BQ$1006,0))&gt;=100000), " ",IF(INDEX($AO$2:$BQ$1001,MATCH(ROWS($AH$2:AH272),$AH$2:$AH$1001,0),MATCH(COLUMNS($AO$1006:BN1006),$AO$1006:$BQ$1006,0)), HYPERLINK("#",""), HYPERLINK(CONCATENATE("#Metadata!", ADDRESS(INDEX($AJ$2:$AJ$1001,MATCH(ROWS($AH$2:AH272),$AH$2:$AH$1001,0),0), INDEX($AO$1004:$BQ$1004,1,MATCH(COLUMNS($AO$1006:BN1006),$AO$1006:$BQ$1006,0)))),"Fix")))</f>
        <v>#N/A</v>
      </c>
      <c r="AB272" s="5" t="e">
        <f ca="1">IF(OR(INDEX($AI$2:$AI$1001,MATCH(ROWS($AH$2:AH272),$AH$2:$AH$1001,0),1)&gt;=100000,INDEX($AO$1005:$BQ$1005,1,MATCH(COLUMNS($AO$1006:BO1006),$AO$1006:$BQ$1006,0))&gt;=100000), " ",IF(INDEX($AO$2:$BQ$1001,MATCH(ROWS($AH$2:AH272),$AH$2:$AH$1001,0),MATCH(COLUMNS($AO$1006:BO1006),$AO$1006:$BQ$1006,0)), HYPERLINK("#",""), HYPERLINK(CONCATENATE("#Metadata!", ADDRESS(INDEX($AJ$2:$AJ$1001,MATCH(ROWS($AH$2:AH272),$AH$2:$AH$1001,0),0), INDEX($AO$1004:$BQ$1004,1,MATCH(COLUMNS($AO$1006:BO1006),$AO$1006:$BQ$1006,0)))),"Fix")))</f>
        <v>#N/A</v>
      </c>
      <c r="AC272" s="5" t="e">
        <f ca="1">IF(OR(INDEX($AI$2:$AI$1001,MATCH(ROWS($AH$2:AH272),$AH$2:$AH$1001,0),1)&gt;=100000,INDEX($AO$1005:$BQ$1005,1,MATCH(COLUMNS($AO$1006:BP1006),$AO$1006:$BQ$1006,0))&gt;=100000), " ",IF(INDEX($AO$2:$BQ$1001,MATCH(ROWS($AH$2:AH272),$AH$2:$AH$1001,0),MATCH(COLUMNS($AO$1006:BP1006),$AO$1006:$BQ$1006,0)), HYPERLINK("#",""), HYPERLINK(CONCATENATE("#Metadata!", ADDRESS(INDEX($AJ$2:$AJ$1001,MATCH(ROWS($AH$2:AH272),$AH$2:$AH$1001,0),0), INDEX($AO$1004:$BQ$1004,1,MATCH(COLUMNS($AO$1006:BP1006),$AO$1006:$BQ$1006,0)))),"Fix")))</f>
        <v>#N/A</v>
      </c>
      <c r="AD272" s="5" t="e">
        <f ca="1">IF(OR(INDEX($AI$2:$AI$1001,MATCH(ROWS($AH$2:AH272),$AH$2:$AH$1001,0),1)&gt;=100000,INDEX($AO$1005:$BQ$1005,1,MATCH(COLUMNS($AO$1006:BQ1006),$AO$1006:$BQ$1006,0))&gt;=100000), " ",IF(INDEX($AO$2:$BQ$1001,MATCH(ROWS($AH$2:AH272),$AH$2:$AH$1001,0),MATCH(COLUMNS($AO$1006:BQ1006),$AO$1006:$BQ$1006,0)), HYPERLINK("#",""), HYPERLINK(CONCATENATE("#Metadata!", ADDRESS(INDEX($AJ$2:$AJ$1001,MATCH(ROWS($AH$2:AH272),$AH$2:$AH$1001,0),0), INDEX($AO$1004:$BQ$1004,1,MATCH(COLUMNS($AO$1006:BQ1006),$AO$1006:$BQ$1006,0)))),"Fix")))</f>
        <v>#REF!</v>
      </c>
      <c r="AH272">
        <f ca="1"/>
        <v>269</v>
      </c>
      <c r="AI272">
        <v>100272</v>
      </c>
      <c r="AJ272">
        <v>272</v>
      </c>
      <c r="AK272" t="b">
        <f t="shared" si="4"/>
        <v>1</v>
      </c>
      <c r="AL272" t="b">
        <f>COUNTBLANK(Metadata!B272:AD272)=COLUMNS(Metadata!B272:AD272)</f>
        <v>1</v>
      </c>
      <c r="AM272" t="str">
        <v/>
      </c>
      <c r="AO272" t="b">
        <f ca="1">AND(IF(Metadata!B272="",FALSE,TRUE),COUNTIF(Metadata!B:B, Metadata!B272) = 1,NOT(ISERROR(SUMPRODUCT(SEARCH(MID(Metadata!B272,ROW(INDIRECT("1:"&amp;LEN(Metadata!B272))), 1),"0123456789abcdefghijklmnopqrstuvwxyzABCDEFGHIJKLMNOPQRSTUVWXYZ.")))))</f>
        <v>0</v>
      </c>
      <c r="AP272" t="b">
        <f>IF(Metadata!C272="",FALSE,TRUE)</f>
        <v>0</v>
      </c>
      <c r="AQ272" t="b">
        <f>IF(Metadata!D272="",FALSE,TRUE)</f>
        <v>0</v>
      </c>
      <c r="AR272" t="b">
        <f ca="1">OR(AND(IF(Metadata!E272="",FALSE,TRUE),OR(EXACT(Metadata!E272,"not collected"),EXACT(Metadata!E272,"not provided"),EXACT(Metadata!E272,"restricted access"))),AND(IF(Metadata!E272="",FALSE,TRUE),AND(AND(IFERROR(INT(LEFT(Metadata!E272,4))&gt;1900,FALSE),IFERROR(INT(LEFT(Metadata!E272,4))&lt;=YEAR(NOW()),FALSE)), OR(MID(Metadata!E272,5,1)="", AND(AND(MID(Metadata!E272,5,1)="-",IFERROR(INT(MID(Metadata!E272,6,1))&gt;=0,FALSE),IFERROR(INT(MID(Metadata!E272,6,1))&lt;=1,FALSE),NOT(MID(Metadata!E272,7,1)=""),IFERROR(INT(MID(Metadata!E272,6,2))&gt;=1,FALSE),IFERROR(INT(MID(Metadata!E272,6,2))&lt;=12,FALSE)), OR(MID(Metadata!E272,8,1)="", AND(AND(MID(Metadata!E272,8,1)="-",IFERROR(INT(MID(Metadata!E272,9,1))&gt;=0,FALSE),IFERROR(INT(MID(Metadata!E272,9,1))&lt;=3,FALSE),NOT(MID(Metadata!E272,10,1)=""),IFERROR(INT(MID(Metadata!E272,9,2))&gt;=1,FALSE),IFERROR(INT(MID(Metadata!E272,9,2))&lt;=31,FALSE)), OR(MID(Metadata!E272,11,1)="", AND(AND(MID(Metadata!E272,11,1)=" ",IFERROR(INT(MID(Metadata!E272,12,1))&gt;=0,FALSE),IFERROR(INT(MID(Metadata!E272,12,1))&lt;=2,FALSE),NOT(MID(Metadata!E272,13,1)=""),IFERROR(INT(MID(Metadata!E272,12,2))&gt;=0,FALSE),IFERROR(INT(MID(Metadata!E272,12,2))&lt;=23,FALSE)), OR(MID(Metadata!E272,14,1)="", AND(AND(MID(Metadata!E272,14,1)=":",IFERROR(INT(MID(Metadata!E272,15,1))&gt;=0,FALSE),IFERROR(INT(MID(Metadata!E272,15,1))&lt;=5,FALSE),NOT(MID(Metadata!E272,16,1)=""),IFERROR(INT(MID(Metadata!E272,15,2))&gt;=0,FALSE),IFERROR(INT(MID(Metadata!E272,15,2))&lt;=59,FALSE)), OR(MID(Metadata!E272,17,1)="", AND(AND(MID(Metadata!E272,17,1)=":",IFERROR(INT(MID(Metadata!E272,18,1))&gt;=0,FALSE),IFERROR(INT(MID(Metadata!E272,18,1))&lt;=5,FALSE),NOT(MID(Metadata!E272,19,1)=""),IFERROR(INT(MID(Metadata!E272,18,2))&gt;=0,FALSE),IFERROR(INT(MID(Metadata!E272,18,2))&lt;=59,FALSE)), LEN(Metadata!E272)&lt;=19)))))))))))))</f>
        <v>0</v>
      </c>
      <c r="AS272" t="b">
        <f>IF(Metadata!F272="",FALSE,TRUE)</f>
        <v>0</v>
      </c>
      <c r="AT272" t="b">
        <f>OR(AND(IF(Metadata!G272="",FALSE,TRUE),OR(EXACT(Metadata!G272,"not collected"),EXACT(Metadata!G272,"not provided"))),AND(IF(Metadata!G272="",FALSE,TRUE),OR(EXACT(Metadata!G272,"TRUE"),EXACT(Metadata!G272,"FALSE"))))</f>
        <v>0</v>
      </c>
      <c r="AU272" t="b">
        <f>OR(AND(IF(Metadata!H272="",FALSE,TRUE),OR(EXACT(Metadata!H272,"not collected"),EXACT(Metadata!H272,"not provided"),EXACT(Metadata!H272,"restricted access"))),AND(IF(Metadata!H272="",FALSE,ISNUMBER(VALUE(Metadata!H272))),Metadata!H272&gt;=-413))</f>
        <v>0</v>
      </c>
      <c r="AV272" t="b">
        <f>AND(IF(Metadata!I272="",FALSE,TRUE),EXACT(Metadata!I272,"meters"))</f>
        <v>0</v>
      </c>
      <c r="AW272" t="b">
        <f>AND(IF(Metadata!J272="",FALSE,TRUE),EXACT(Metadata!J272,"free-living"))</f>
        <v>0</v>
      </c>
      <c r="AX272" t="b">
        <f>AND(IF(Metadata!K272="",FALSE,TRUE),OR(EXACT(Metadata!K272,"saline"),EXACT(Metadata!K272,"non-saline")))</f>
        <v>0</v>
      </c>
      <c r="AY272" t="b">
        <f>AND(IF(Metadata!L272="",FALSE,TRUE),OR(EXACT(Metadata!L272,"sub-surface (non-saline)"),EXACT(Metadata!L272,"surface (non-saline)"),EXACT(Metadata!L272,"water (non-saline)"),EXACT(Metadata!L272,"soil (non-saline)"),EXACT(Metadata!L272,"aerosol (non-saline)"),EXACT(Metadata!L272,"sediment (non-saline)"),EXACT(Metadata!L272,"surface (saline)"),EXACT(Metadata!L272,"water (saline)"),EXACT(Metadata!L272,"hypersaline (saline)"),EXACT(Metadata!L272,"aerosol (saline)"),EXACT(Metadata!L272,"sediment (saline)")))</f>
        <v>0</v>
      </c>
      <c r="AZ272" t="b">
        <f>IF(Metadata!M272="",FALSE,TRUE)</f>
        <v>0</v>
      </c>
      <c r="BA272" t="b">
        <f>IF(Metadata!N272="",FALSE,TRUE)</f>
        <v>0</v>
      </c>
      <c r="BB272" t="b">
        <f>IF(Metadata!O272="",FALSE,TRUE)</f>
        <v>0</v>
      </c>
      <c r="BC272" t="b">
        <f>AND(IF(Metadata!P272="",FALSE,TRUE),OR(EXACT(Metadata!P272,"air"),EXACT(Metadata!P272,"microbial mat/biofilm"),EXACT(Metadata!P272,"misc environment"),EXACT(Metadata!P272,"sediment"),EXACT(Metadata!P272,"soil"),EXACT(Metadata!P272,"wastewater/sludge"),EXACT(Metadata!P272,"water")))</f>
        <v>0</v>
      </c>
      <c r="BD272" t="b">
        <f>IF(Metadata!Q272="",FALSE,TRUE)</f>
        <v>0</v>
      </c>
      <c r="BE272" t="b">
        <f>IF(Metadata!R272="",FALSE,TRUE)</f>
        <v>0</v>
      </c>
      <c r="BF272" t="b">
        <f>OR(AND(IF(Metadata!S272="",FALSE,TRUE),OR(EXACT(Metadata!S272,"not collected"),EXACT(Metadata!S272,"not provided"),EXACT(Metadata!S272,"restricted access"))),AND(IF(Metadata!S272="",FALSE,ISNUMBER(VALUE(Metadata!S272))),Metadata!S272&gt;=-90,Metadata!S272&lt;=90))</f>
        <v>0</v>
      </c>
      <c r="BG272" t="b">
        <f>AND(IF(Metadata!T272="",FALSE,TRUE),EXACT(Metadata!T272,"Decimal degrees"))</f>
        <v>0</v>
      </c>
      <c r="BH272" t="b">
        <f>OR(AND(IF(Metadata!U272="",FALSE,TRUE),OR(EXACT(Metadata!U272,"not applicable"),EXACT(Metadata!U272,"not collected"))),IF(Metadata!U272="",FALSE,TRUE))</f>
        <v>0</v>
      </c>
      <c r="BI272" t="b">
        <f>OR(AND(IF(Metadata!V272="",FALSE,TRUE),OR(EXACT(Metadata!V272,"not collected"),EXACT(Metadata!V272,"not provided"),EXACT(Metadata!V272,"restricted access"))),AND(IF(Metadata!V272="",FALSE,ISNUMBER(VALUE(Metadata!V272))),Metadata!V272&gt;=-180,Metadata!V272&lt;=180))</f>
        <v>0</v>
      </c>
      <c r="BJ272" t="b">
        <f>AND(IF(Metadata!W272="",FALSE,TRUE),EXACT(Metadata!W272,"Decimal degrees"))</f>
        <v>0</v>
      </c>
      <c r="BK272" t="b">
        <f>IF(Metadata!X272="",FALSE,TRUE)</f>
        <v>0</v>
      </c>
      <c r="BL272" t="b">
        <f>OR(AND(IF(Metadata!Y272="",FALSE,TRUE),OR(EXACT(Metadata!Y272,"not collected"),EXACT(Metadata!Y272,"not provided"),EXACT(Metadata!Y272,"restricted access"))),AND(IF(Metadata!Y272="",FALSE,TRUE),OR(EXACT(Metadata!Y272,"TRUE"),EXACT(Metadata!Y272,"FALSE"))))</f>
        <v>0</v>
      </c>
      <c r="BM272" t="b">
        <f>OR(AND(IF(Metadata!Z272="",FALSE,TRUE),EXACT(Metadata!Z272,"not applicable")),AND(IF(Metadata!Z272="",FALSE,TRUE),OR(EXACT(Metadata!Z272,"beer"),EXACT(Metadata!Z272,"cheese"),EXACT(Metadata!Z272,"fresh water"),EXACT(Metadata!Z272,"marine sediment"),EXACT(Metadata!Z272,"sea water"),EXACT(Metadata!Z272,"sediment"),EXACT(Metadata!Z272,"soil"),EXACT(Metadata!Z272,"waste water"))))</f>
        <v>0</v>
      </c>
      <c r="BN272" t="b">
        <f>AND(IF(Metadata!AA272="",FALSE,TRUE),EXACT(Metadata!AA272,"metagenome"))</f>
        <v>0</v>
      </c>
      <c r="BO272" t="b">
        <f>AND(IF(Metadata!AB272="",FALSE,TRUE),EXACT(Metadata!AB272,"256318"))</f>
        <v>0</v>
      </c>
      <c r="BP272" t="b">
        <f>IF(Metadata!AC272="",FALSE,TRUE)</f>
        <v>0</v>
      </c>
      <c r="BQ272" t="b">
        <f>IF(Metadata!AD272="",FALSE,TRUE)</f>
        <v>0</v>
      </c>
    </row>
    <row r="273" spans="1:69" x14ac:dyDescent="0.2">
      <c r="A273" s="4" t="e">
        <f ca="1">IF(B273=" "," ",HYPERLINK(CONCATENATE("#metadata!",ADDRESS(INDEX($AJ$2:$AJ$1001,MATCH(ROWS($AH$2:AH273),$AH$2:$AH$1001,0),0),2)),INDEX($AM$2:$AM$1001,MATCH(ROWS($AH$2:AH273),$AH$2:$AH$1001,0),0)))</f>
        <v>#N/A</v>
      </c>
      <c r="B273" s="5" t="e">
        <f ca="1">IF(OR(INDEX($AI$2:$AI$1001,MATCH(ROWS($AH$2:AH273),$AH$2:$AH$1001,0),1)&gt;=100000,INDEX($AO$1005:$BQ$1005,1,MATCH(COLUMNS($AO$1006:AO1006),$AO$1006:$BQ$1006,0))&gt;=100000), " ",IF(INDEX($AO$2:$BQ$1001,MATCH(ROWS($AH$2:AH273),$AH$2:$AH$1001,0),MATCH(COLUMNS($AO$1006:AO1006),$AO$1006:$BQ$1006,0)), HYPERLINK("#",""), HYPERLINK(CONCATENATE("#Metadata!", ADDRESS(INDEX($AJ$2:$AJ$1001,MATCH(ROWS($AH$2:AH273),$AH$2:$AH$1001,0),0), INDEX($AO$1004:$BQ$1004,1,MATCH(COLUMNS($AO$1006:AO1006),$AO$1006:$BQ$1006,0)))),"Fix")))</f>
        <v>#N/A</v>
      </c>
      <c r="C273" s="5" t="e">
        <f ca="1">IF(OR(INDEX($AI$2:$AI$1001,MATCH(ROWS($AH$2:AH273),$AH$2:$AH$1001,0),1)&gt;=100000,INDEX($AO$1005:$BQ$1005,1,MATCH(COLUMNS($AO$1006:AP1006),$AO$1006:$BQ$1006,0))&gt;=100000), " ",IF(INDEX($AO$2:$BQ$1001,MATCH(ROWS($AH$2:AH273),$AH$2:$AH$1001,0),MATCH(COLUMNS($AO$1006:AP1006),$AO$1006:$BQ$1006,0)), HYPERLINK("#",""), HYPERLINK(CONCATENATE("#Metadata!", ADDRESS(INDEX($AJ$2:$AJ$1001,MATCH(ROWS($AH$2:AH273),$AH$2:$AH$1001,0),0), INDEX($AO$1004:$BQ$1004,1,MATCH(COLUMNS($AO$1006:AP1006),$AO$1006:$BQ$1006,0)))),"Fix")))</f>
        <v>#N/A</v>
      </c>
      <c r="D273" s="5" t="e">
        <f ca="1">IF(OR(INDEX($AI$2:$AI$1001,MATCH(ROWS($AH$2:AH273),$AH$2:$AH$1001,0),1)&gt;=100000,INDEX($AO$1005:$BQ$1005,1,MATCH(COLUMNS($AO$1006:AQ1006),$AO$1006:$BQ$1006,0))&gt;=100000), " ",IF(INDEX($AO$2:$BQ$1001,MATCH(ROWS($AH$2:AH273),$AH$2:$AH$1001,0),MATCH(COLUMNS($AO$1006:AQ1006),$AO$1006:$BQ$1006,0)), HYPERLINK("#",""), HYPERLINK(CONCATENATE("#Metadata!", ADDRESS(INDEX($AJ$2:$AJ$1001,MATCH(ROWS($AH$2:AH273),$AH$2:$AH$1001,0),0), INDEX($AO$1004:$BQ$1004,1,MATCH(COLUMNS($AO$1006:AQ1006),$AO$1006:$BQ$1006,0)))),"Fix")))</f>
        <v>#N/A</v>
      </c>
      <c r="E273" s="5" t="e">
        <f ca="1">IF(OR(INDEX($AI$2:$AI$1001,MATCH(ROWS($AH$2:AH273),$AH$2:$AH$1001,0),1)&gt;=100000,INDEX($AO$1005:$BQ$1005,1,MATCH(COLUMNS($AO$1006:AR1006),$AO$1006:$BQ$1006,0))&gt;=100000), " ",IF(INDEX($AO$2:$BQ$1001,MATCH(ROWS($AH$2:AH273),$AH$2:$AH$1001,0),MATCH(COLUMNS($AO$1006:AR1006),$AO$1006:$BQ$1006,0)), HYPERLINK("#",""), HYPERLINK(CONCATENATE("#Metadata!", ADDRESS(INDEX($AJ$2:$AJ$1001,MATCH(ROWS($AH$2:AH273),$AH$2:$AH$1001,0),0), INDEX($AO$1004:$BQ$1004,1,MATCH(COLUMNS($AO$1006:AR1006),$AO$1006:$BQ$1006,0)))),"Fix")))</f>
        <v>#N/A</v>
      </c>
      <c r="F273" s="5" t="e">
        <f ca="1">IF(OR(INDEX($AI$2:$AI$1001,MATCH(ROWS($AH$2:AH273),$AH$2:$AH$1001,0),1)&gt;=100000,INDEX($AO$1005:$BQ$1005,1,MATCH(COLUMNS($AO$1006:AS1006),$AO$1006:$BQ$1006,0))&gt;=100000), " ",IF(INDEX($AO$2:$BQ$1001,MATCH(ROWS($AH$2:AH273),$AH$2:$AH$1001,0),MATCH(COLUMNS($AO$1006:AS1006),$AO$1006:$BQ$1006,0)), HYPERLINK("#",""), HYPERLINK(CONCATENATE("#Metadata!", ADDRESS(INDEX($AJ$2:$AJ$1001,MATCH(ROWS($AH$2:AH273),$AH$2:$AH$1001,0),0), INDEX($AO$1004:$BQ$1004,1,MATCH(COLUMNS($AO$1006:AS1006),$AO$1006:$BQ$1006,0)))),"Fix")))</f>
        <v>#N/A</v>
      </c>
      <c r="G273" s="5" t="e">
        <f ca="1">IF(OR(INDEX($AI$2:$AI$1001,MATCH(ROWS($AH$2:AH273),$AH$2:$AH$1001,0),1)&gt;=100000,INDEX($AO$1005:$BQ$1005,1,MATCH(COLUMNS($AO$1006:AT1006),$AO$1006:$BQ$1006,0))&gt;=100000), " ",IF(INDEX($AO$2:$BQ$1001,MATCH(ROWS($AH$2:AH273),$AH$2:$AH$1001,0),MATCH(COLUMNS($AO$1006:AT1006),$AO$1006:$BQ$1006,0)), HYPERLINK("#",""), HYPERLINK(CONCATENATE("#Metadata!", ADDRESS(INDEX($AJ$2:$AJ$1001,MATCH(ROWS($AH$2:AH273),$AH$2:$AH$1001,0),0), INDEX($AO$1004:$BQ$1004,1,MATCH(COLUMNS($AO$1006:AT1006),$AO$1006:$BQ$1006,0)))),"Fix")))</f>
        <v>#N/A</v>
      </c>
      <c r="H273" s="5" t="e">
        <f ca="1">IF(OR(INDEX($AI$2:$AI$1001,MATCH(ROWS($AH$2:AH273),$AH$2:$AH$1001,0),1)&gt;=100000,INDEX($AO$1005:$BQ$1005,1,MATCH(COLUMNS($AO$1006:AU1006),$AO$1006:$BQ$1006,0))&gt;=100000), " ",IF(INDEX($AO$2:$BQ$1001,MATCH(ROWS($AH$2:AH273),$AH$2:$AH$1001,0),MATCH(COLUMNS($AO$1006:AU1006),$AO$1006:$BQ$1006,0)), HYPERLINK("#",""), HYPERLINK(CONCATENATE("#Metadata!", ADDRESS(INDEX($AJ$2:$AJ$1001,MATCH(ROWS($AH$2:AH273),$AH$2:$AH$1001,0),0), INDEX($AO$1004:$BQ$1004,1,MATCH(COLUMNS($AO$1006:AU1006),$AO$1006:$BQ$1006,0)))),"Fix")))</f>
        <v>#N/A</v>
      </c>
      <c r="I273" s="5" t="e">
        <f ca="1">IF(OR(INDEX($AI$2:$AI$1001,MATCH(ROWS($AH$2:AH273),$AH$2:$AH$1001,0),1)&gt;=100000,INDEX($AO$1005:$BQ$1005,1,MATCH(COLUMNS($AO$1006:AV1006),$AO$1006:$BQ$1006,0))&gt;=100000), " ",IF(INDEX($AO$2:$BQ$1001,MATCH(ROWS($AH$2:AH273),$AH$2:$AH$1001,0),MATCH(COLUMNS($AO$1006:AV1006),$AO$1006:$BQ$1006,0)), HYPERLINK("#",""), HYPERLINK(CONCATENATE("#Metadata!", ADDRESS(INDEX($AJ$2:$AJ$1001,MATCH(ROWS($AH$2:AH273),$AH$2:$AH$1001,0),0), INDEX($AO$1004:$BQ$1004,1,MATCH(COLUMNS($AO$1006:AV1006),$AO$1006:$BQ$1006,0)))),"Fix")))</f>
        <v>#N/A</v>
      </c>
      <c r="J273" s="5" t="e">
        <f ca="1">IF(OR(INDEX($AI$2:$AI$1001,MATCH(ROWS($AH$2:AH273),$AH$2:$AH$1001,0),1)&gt;=100000,INDEX($AO$1005:$BQ$1005,1,MATCH(COLUMNS($AO$1006:AW1006),$AO$1006:$BQ$1006,0))&gt;=100000), " ",IF(INDEX($AO$2:$BQ$1001,MATCH(ROWS($AH$2:AH273),$AH$2:$AH$1001,0),MATCH(COLUMNS($AO$1006:AW1006),$AO$1006:$BQ$1006,0)), HYPERLINK("#",""), HYPERLINK(CONCATENATE("#Metadata!", ADDRESS(INDEX($AJ$2:$AJ$1001,MATCH(ROWS($AH$2:AH273),$AH$2:$AH$1001,0),0), INDEX($AO$1004:$BQ$1004,1,MATCH(COLUMNS($AO$1006:AW1006),$AO$1006:$BQ$1006,0)))),"Fix")))</f>
        <v>#N/A</v>
      </c>
      <c r="K273" s="5" t="e">
        <f ca="1">IF(OR(INDEX($AI$2:$AI$1001,MATCH(ROWS($AH$2:AH273),$AH$2:$AH$1001,0),1)&gt;=100000,INDEX($AO$1005:$BQ$1005,1,MATCH(COLUMNS($AO$1006:AX1006),$AO$1006:$BQ$1006,0))&gt;=100000), " ",IF(INDEX($AO$2:$BQ$1001,MATCH(ROWS($AH$2:AH273),$AH$2:$AH$1001,0),MATCH(COLUMNS($AO$1006:AX1006),$AO$1006:$BQ$1006,0)), HYPERLINK("#",""), HYPERLINK(CONCATENATE("#Metadata!", ADDRESS(INDEX($AJ$2:$AJ$1001,MATCH(ROWS($AH$2:AH273),$AH$2:$AH$1001,0),0), INDEX($AO$1004:$BQ$1004,1,MATCH(COLUMNS($AO$1006:AX1006),$AO$1006:$BQ$1006,0)))),"Fix")))</f>
        <v>#N/A</v>
      </c>
      <c r="L273" s="5" t="e">
        <f ca="1">IF(OR(INDEX($AI$2:$AI$1001,MATCH(ROWS($AH$2:AH273),$AH$2:$AH$1001,0),1)&gt;=100000,INDEX($AO$1005:$BQ$1005,1,MATCH(COLUMNS($AO$1006:AY1006),$AO$1006:$BQ$1006,0))&gt;=100000), " ",IF(INDEX($AO$2:$BQ$1001,MATCH(ROWS($AH$2:AH273),$AH$2:$AH$1001,0),MATCH(COLUMNS($AO$1006:AY1006),$AO$1006:$BQ$1006,0)), HYPERLINK("#",""), HYPERLINK(CONCATENATE("#Metadata!", ADDRESS(INDEX($AJ$2:$AJ$1001,MATCH(ROWS($AH$2:AH273),$AH$2:$AH$1001,0),0), INDEX($AO$1004:$BQ$1004,1,MATCH(COLUMNS($AO$1006:AY1006),$AO$1006:$BQ$1006,0)))),"Fix")))</f>
        <v>#N/A</v>
      </c>
      <c r="M273" s="5" t="e">
        <f ca="1">IF(OR(INDEX($AI$2:$AI$1001,MATCH(ROWS($AH$2:AH273),$AH$2:$AH$1001,0),1)&gt;=100000,INDEX($AO$1005:$BQ$1005,1,MATCH(COLUMNS($AO$1006:AZ1006),$AO$1006:$BQ$1006,0))&gt;=100000), " ",IF(INDEX($AO$2:$BQ$1001,MATCH(ROWS($AH$2:AH273),$AH$2:$AH$1001,0),MATCH(COLUMNS($AO$1006:AZ1006),$AO$1006:$BQ$1006,0)), HYPERLINK("#",""), HYPERLINK(CONCATENATE("#Metadata!", ADDRESS(INDEX($AJ$2:$AJ$1001,MATCH(ROWS($AH$2:AH273),$AH$2:$AH$1001,0),0), INDEX($AO$1004:$BQ$1004,1,MATCH(COLUMNS($AO$1006:AZ1006),$AO$1006:$BQ$1006,0)))),"Fix")))</f>
        <v>#N/A</v>
      </c>
      <c r="N273" s="5" t="e">
        <f ca="1">IF(OR(INDEX($AI$2:$AI$1001,MATCH(ROWS($AH$2:AH273),$AH$2:$AH$1001,0),1)&gt;=100000,INDEX($AO$1005:$BQ$1005,1,MATCH(COLUMNS($AO$1006:BA1006),$AO$1006:$BQ$1006,0))&gt;=100000), " ",IF(INDEX($AO$2:$BQ$1001,MATCH(ROWS($AH$2:AH273),$AH$2:$AH$1001,0),MATCH(COLUMNS($AO$1006:BA1006),$AO$1006:$BQ$1006,0)), HYPERLINK("#",""), HYPERLINK(CONCATENATE("#Metadata!", ADDRESS(INDEX($AJ$2:$AJ$1001,MATCH(ROWS($AH$2:AH273),$AH$2:$AH$1001,0),0), INDEX($AO$1004:$BQ$1004,1,MATCH(COLUMNS($AO$1006:BA1006),$AO$1006:$BQ$1006,0)))),"Fix")))</f>
        <v>#N/A</v>
      </c>
      <c r="O273" s="5" t="e">
        <f ca="1">IF(OR(INDEX($AI$2:$AI$1001,MATCH(ROWS($AH$2:AH273),$AH$2:$AH$1001,0),1)&gt;=100000,INDEX($AO$1005:$BQ$1005,1,MATCH(COLUMNS($AO$1006:BB1006),$AO$1006:$BQ$1006,0))&gt;=100000), " ",IF(INDEX($AO$2:$BQ$1001,MATCH(ROWS($AH$2:AH273),$AH$2:$AH$1001,0),MATCH(COLUMNS($AO$1006:BB1006),$AO$1006:$BQ$1006,0)), HYPERLINK("#",""), HYPERLINK(CONCATENATE("#Metadata!", ADDRESS(INDEX($AJ$2:$AJ$1001,MATCH(ROWS($AH$2:AH273),$AH$2:$AH$1001,0),0), INDEX($AO$1004:$BQ$1004,1,MATCH(COLUMNS($AO$1006:BB1006),$AO$1006:$BQ$1006,0)))),"Fix")))</f>
        <v>#N/A</v>
      </c>
      <c r="P273" s="5" t="e">
        <f ca="1">IF(OR(INDEX($AI$2:$AI$1001,MATCH(ROWS($AH$2:AH273),$AH$2:$AH$1001,0),1)&gt;=100000,INDEX($AO$1005:$BQ$1005,1,MATCH(COLUMNS($AO$1006:BC1006),$AO$1006:$BQ$1006,0))&gt;=100000), " ",IF(INDEX($AO$2:$BQ$1001,MATCH(ROWS($AH$2:AH273),$AH$2:$AH$1001,0),MATCH(COLUMNS($AO$1006:BC1006),$AO$1006:$BQ$1006,0)), HYPERLINK("#",""), HYPERLINK(CONCATENATE("#Metadata!", ADDRESS(INDEX($AJ$2:$AJ$1001,MATCH(ROWS($AH$2:AH273),$AH$2:$AH$1001,0),0), INDEX($AO$1004:$BQ$1004,1,MATCH(COLUMNS($AO$1006:BC1006),$AO$1006:$BQ$1006,0)))),"Fix")))</f>
        <v>#N/A</v>
      </c>
      <c r="Q273" s="5" t="e">
        <f ca="1">IF(OR(INDEX($AI$2:$AI$1001,MATCH(ROWS($AH$2:AH273),$AH$2:$AH$1001,0),1)&gt;=100000,INDEX($AO$1005:$BQ$1005,1,MATCH(COLUMNS($AO$1006:BD1006),$AO$1006:$BQ$1006,0))&gt;=100000), " ",IF(INDEX($AO$2:$BQ$1001,MATCH(ROWS($AH$2:AH273),$AH$2:$AH$1001,0),MATCH(COLUMNS($AO$1006:BD1006),$AO$1006:$BQ$1006,0)), HYPERLINK("#",""), HYPERLINK(CONCATENATE("#Metadata!", ADDRESS(INDEX($AJ$2:$AJ$1001,MATCH(ROWS($AH$2:AH273),$AH$2:$AH$1001,0),0), INDEX($AO$1004:$BQ$1004,1,MATCH(COLUMNS($AO$1006:BD1006),$AO$1006:$BQ$1006,0)))),"Fix")))</f>
        <v>#N/A</v>
      </c>
      <c r="R273" s="5" t="e">
        <f ca="1">IF(OR(INDEX($AI$2:$AI$1001,MATCH(ROWS($AH$2:AH273),$AH$2:$AH$1001,0),1)&gt;=100000,INDEX($AO$1005:$BQ$1005,1,MATCH(COLUMNS($AO$1006:BE1006),$AO$1006:$BQ$1006,0))&gt;=100000), " ",IF(INDEX($AO$2:$BQ$1001,MATCH(ROWS($AH$2:AH273),$AH$2:$AH$1001,0),MATCH(COLUMNS($AO$1006:BE1006),$AO$1006:$BQ$1006,0)), HYPERLINK("#",""), HYPERLINK(CONCATENATE("#Metadata!", ADDRESS(INDEX($AJ$2:$AJ$1001,MATCH(ROWS($AH$2:AH273),$AH$2:$AH$1001,0),0), INDEX($AO$1004:$BQ$1004,1,MATCH(COLUMNS($AO$1006:BE1006),$AO$1006:$BQ$1006,0)))),"Fix")))</f>
        <v>#N/A</v>
      </c>
      <c r="S273" s="5" t="e">
        <f ca="1">IF(OR(INDEX($AI$2:$AI$1001,MATCH(ROWS($AH$2:AH273),$AH$2:$AH$1001,0),1)&gt;=100000,INDEX($AO$1005:$BQ$1005,1,MATCH(COLUMNS($AO$1006:BF1006),$AO$1006:$BQ$1006,0))&gt;=100000), " ",IF(INDEX($AO$2:$BQ$1001,MATCH(ROWS($AH$2:AH273),$AH$2:$AH$1001,0),MATCH(COLUMNS($AO$1006:BF1006),$AO$1006:$BQ$1006,0)), HYPERLINK("#",""), HYPERLINK(CONCATENATE("#Metadata!", ADDRESS(INDEX($AJ$2:$AJ$1001,MATCH(ROWS($AH$2:AH273),$AH$2:$AH$1001,0),0), INDEX($AO$1004:$BQ$1004,1,MATCH(COLUMNS($AO$1006:BF1006),$AO$1006:$BQ$1006,0)))),"Fix")))</f>
        <v>#N/A</v>
      </c>
      <c r="T273" s="5" t="e">
        <f ca="1">IF(OR(INDEX($AI$2:$AI$1001,MATCH(ROWS($AH$2:AH273),$AH$2:$AH$1001,0),1)&gt;=100000,INDEX($AO$1005:$BQ$1005,1,MATCH(COLUMNS($AO$1006:BG1006),$AO$1006:$BQ$1006,0))&gt;=100000), " ",IF(INDEX($AO$2:$BQ$1001,MATCH(ROWS($AH$2:AH273),$AH$2:$AH$1001,0),MATCH(COLUMNS($AO$1006:BG1006),$AO$1006:$BQ$1006,0)), HYPERLINK("#",""), HYPERLINK(CONCATENATE("#Metadata!", ADDRESS(INDEX($AJ$2:$AJ$1001,MATCH(ROWS($AH$2:AH273),$AH$2:$AH$1001,0),0), INDEX($AO$1004:$BQ$1004,1,MATCH(COLUMNS($AO$1006:BG1006),$AO$1006:$BQ$1006,0)))),"Fix")))</f>
        <v>#N/A</v>
      </c>
      <c r="U273" s="5" t="e">
        <f ca="1">IF(OR(INDEX($AI$2:$AI$1001,MATCH(ROWS($AH$2:AH273),$AH$2:$AH$1001,0),1)&gt;=100000,INDEX($AO$1005:$BQ$1005,1,MATCH(COLUMNS($AO$1006:BH1006),$AO$1006:$BQ$1006,0))&gt;=100000), " ",IF(INDEX($AO$2:$BQ$1001,MATCH(ROWS($AH$2:AH273),$AH$2:$AH$1001,0),MATCH(COLUMNS($AO$1006:BH1006),$AO$1006:$BQ$1006,0)), HYPERLINK("#",""), HYPERLINK(CONCATENATE("#Metadata!", ADDRESS(INDEX($AJ$2:$AJ$1001,MATCH(ROWS($AH$2:AH273),$AH$2:$AH$1001,0),0), INDEX($AO$1004:$BQ$1004,1,MATCH(COLUMNS($AO$1006:BH1006),$AO$1006:$BQ$1006,0)))),"Fix")))</f>
        <v>#N/A</v>
      </c>
      <c r="V273" s="5" t="e">
        <f ca="1">IF(OR(INDEX($AI$2:$AI$1001,MATCH(ROWS($AH$2:AH273),$AH$2:$AH$1001,0),1)&gt;=100000,INDEX($AO$1005:$BQ$1005,1,MATCH(COLUMNS($AO$1006:BI1006),$AO$1006:$BQ$1006,0))&gt;=100000), " ",IF(INDEX($AO$2:$BQ$1001,MATCH(ROWS($AH$2:AH273),$AH$2:$AH$1001,0),MATCH(COLUMNS($AO$1006:BI1006),$AO$1006:$BQ$1006,0)), HYPERLINK("#",""), HYPERLINK(CONCATENATE("#Metadata!", ADDRESS(INDEX($AJ$2:$AJ$1001,MATCH(ROWS($AH$2:AH273),$AH$2:$AH$1001,0),0), INDEX($AO$1004:$BQ$1004,1,MATCH(COLUMNS($AO$1006:BI1006),$AO$1006:$BQ$1006,0)))),"Fix")))</f>
        <v>#N/A</v>
      </c>
      <c r="W273" s="5" t="e">
        <f ca="1">IF(OR(INDEX($AI$2:$AI$1001,MATCH(ROWS($AH$2:AH273),$AH$2:$AH$1001,0),1)&gt;=100000,INDEX($AO$1005:$BQ$1005,1,MATCH(COLUMNS($AO$1006:BJ1006),$AO$1006:$BQ$1006,0))&gt;=100000), " ",IF(INDEX($AO$2:$BQ$1001,MATCH(ROWS($AH$2:AH273),$AH$2:$AH$1001,0),MATCH(COLUMNS($AO$1006:BJ1006),$AO$1006:$BQ$1006,0)), HYPERLINK("#",""), HYPERLINK(CONCATENATE("#Metadata!", ADDRESS(INDEX($AJ$2:$AJ$1001,MATCH(ROWS($AH$2:AH273),$AH$2:$AH$1001,0),0), INDEX($AO$1004:$BQ$1004,1,MATCH(COLUMNS($AO$1006:BJ1006),$AO$1006:$BQ$1006,0)))),"Fix")))</f>
        <v>#N/A</v>
      </c>
      <c r="X273" s="5" t="e">
        <f ca="1">IF(OR(INDEX($AI$2:$AI$1001,MATCH(ROWS($AH$2:AH273),$AH$2:$AH$1001,0),1)&gt;=100000,INDEX($AO$1005:$BQ$1005,1,MATCH(COLUMNS($AO$1006:BK1006),$AO$1006:$BQ$1006,0))&gt;=100000), " ",IF(INDEX($AO$2:$BQ$1001,MATCH(ROWS($AH$2:AH273),$AH$2:$AH$1001,0),MATCH(COLUMNS($AO$1006:BK1006),$AO$1006:$BQ$1006,0)), HYPERLINK("#",""), HYPERLINK(CONCATENATE("#Metadata!", ADDRESS(INDEX($AJ$2:$AJ$1001,MATCH(ROWS($AH$2:AH273),$AH$2:$AH$1001,0),0), INDEX($AO$1004:$BQ$1004,1,MATCH(COLUMNS($AO$1006:BK1006),$AO$1006:$BQ$1006,0)))),"Fix")))</f>
        <v>#N/A</v>
      </c>
      <c r="Y273" s="5" t="e">
        <f ca="1">IF(OR(INDEX($AI$2:$AI$1001,MATCH(ROWS($AH$2:AH273),$AH$2:$AH$1001,0),1)&gt;=100000,INDEX($AO$1005:$BQ$1005,1,MATCH(COLUMNS($AO$1006:BL1006),$AO$1006:$BQ$1006,0))&gt;=100000), " ",IF(INDEX($AO$2:$BQ$1001,MATCH(ROWS($AH$2:AH273),$AH$2:$AH$1001,0),MATCH(COLUMNS($AO$1006:BL1006),$AO$1006:$BQ$1006,0)), HYPERLINK("#",""), HYPERLINK(CONCATENATE("#Metadata!", ADDRESS(INDEX($AJ$2:$AJ$1001,MATCH(ROWS($AH$2:AH273),$AH$2:$AH$1001,0),0), INDEX($AO$1004:$BQ$1004,1,MATCH(COLUMNS($AO$1006:BL1006),$AO$1006:$BQ$1006,0)))),"Fix")))</f>
        <v>#N/A</v>
      </c>
      <c r="Z273" s="5" t="e">
        <f ca="1">IF(OR(INDEX($AI$2:$AI$1001,MATCH(ROWS($AH$2:AH273),$AH$2:$AH$1001,0),1)&gt;=100000,INDEX($AO$1005:$BQ$1005,1,MATCH(COLUMNS($AO$1006:BM1006),$AO$1006:$BQ$1006,0))&gt;=100000), " ",IF(INDEX($AO$2:$BQ$1001,MATCH(ROWS($AH$2:AH273),$AH$2:$AH$1001,0),MATCH(COLUMNS($AO$1006:BM1006),$AO$1006:$BQ$1006,0)), HYPERLINK("#",""), HYPERLINK(CONCATENATE("#Metadata!", ADDRESS(INDEX($AJ$2:$AJ$1001,MATCH(ROWS($AH$2:AH273),$AH$2:$AH$1001,0),0), INDEX($AO$1004:$BQ$1004,1,MATCH(COLUMNS($AO$1006:BM1006),$AO$1006:$BQ$1006,0)))),"Fix")))</f>
        <v>#N/A</v>
      </c>
      <c r="AA273" s="5" t="e">
        <f ca="1">IF(OR(INDEX($AI$2:$AI$1001,MATCH(ROWS($AH$2:AH273),$AH$2:$AH$1001,0),1)&gt;=100000,INDEX($AO$1005:$BQ$1005,1,MATCH(COLUMNS($AO$1006:BN1006),$AO$1006:$BQ$1006,0))&gt;=100000), " ",IF(INDEX($AO$2:$BQ$1001,MATCH(ROWS($AH$2:AH273),$AH$2:$AH$1001,0),MATCH(COLUMNS($AO$1006:BN1006),$AO$1006:$BQ$1006,0)), HYPERLINK("#",""), HYPERLINK(CONCATENATE("#Metadata!", ADDRESS(INDEX($AJ$2:$AJ$1001,MATCH(ROWS($AH$2:AH273),$AH$2:$AH$1001,0),0), INDEX($AO$1004:$BQ$1004,1,MATCH(COLUMNS($AO$1006:BN1006),$AO$1006:$BQ$1006,0)))),"Fix")))</f>
        <v>#N/A</v>
      </c>
      <c r="AB273" s="5" t="e">
        <f ca="1">IF(OR(INDEX($AI$2:$AI$1001,MATCH(ROWS($AH$2:AH273),$AH$2:$AH$1001,0),1)&gt;=100000,INDEX($AO$1005:$BQ$1005,1,MATCH(COLUMNS($AO$1006:BO1006),$AO$1006:$BQ$1006,0))&gt;=100000), " ",IF(INDEX($AO$2:$BQ$1001,MATCH(ROWS($AH$2:AH273),$AH$2:$AH$1001,0),MATCH(COLUMNS($AO$1006:BO1006),$AO$1006:$BQ$1006,0)), HYPERLINK("#",""), HYPERLINK(CONCATENATE("#Metadata!", ADDRESS(INDEX($AJ$2:$AJ$1001,MATCH(ROWS($AH$2:AH273),$AH$2:$AH$1001,0),0), INDEX($AO$1004:$BQ$1004,1,MATCH(COLUMNS($AO$1006:BO1006),$AO$1006:$BQ$1006,0)))),"Fix")))</f>
        <v>#N/A</v>
      </c>
      <c r="AC273" s="5" t="e">
        <f ca="1">IF(OR(INDEX($AI$2:$AI$1001,MATCH(ROWS($AH$2:AH273),$AH$2:$AH$1001,0),1)&gt;=100000,INDEX($AO$1005:$BQ$1005,1,MATCH(COLUMNS($AO$1006:BP1006),$AO$1006:$BQ$1006,0))&gt;=100000), " ",IF(INDEX($AO$2:$BQ$1001,MATCH(ROWS($AH$2:AH273),$AH$2:$AH$1001,0),MATCH(COLUMNS($AO$1006:BP1006),$AO$1006:$BQ$1006,0)), HYPERLINK("#",""), HYPERLINK(CONCATENATE("#Metadata!", ADDRESS(INDEX($AJ$2:$AJ$1001,MATCH(ROWS($AH$2:AH273),$AH$2:$AH$1001,0),0), INDEX($AO$1004:$BQ$1004,1,MATCH(COLUMNS($AO$1006:BP1006),$AO$1006:$BQ$1006,0)))),"Fix")))</f>
        <v>#N/A</v>
      </c>
      <c r="AD273" s="5" t="e">
        <f ca="1">IF(OR(INDEX($AI$2:$AI$1001,MATCH(ROWS($AH$2:AH273),$AH$2:$AH$1001,0),1)&gt;=100000,INDEX($AO$1005:$BQ$1005,1,MATCH(COLUMNS($AO$1006:BQ1006),$AO$1006:$BQ$1006,0))&gt;=100000), " ",IF(INDEX($AO$2:$BQ$1001,MATCH(ROWS($AH$2:AH273),$AH$2:$AH$1001,0),MATCH(COLUMNS($AO$1006:BQ1006),$AO$1006:$BQ$1006,0)), HYPERLINK("#",""), HYPERLINK(CONCATENATE("#Metadata!", ADDRESS(INDEX($AJ$2:$AJ$1001,MATCH(ROWS($AH$2:AH273),$AH$2:$AH$1001,0),0), INDEX($AO$1004:$BQ$1004,1,MATCH(COLUMNS($AO$1006:BQ1006),$AO$1006:$BQ$1006,0)))),"Fix")))</f>
        <v>#REF!</v>
      </c>
      <c r="AH273">
        <f ca="1"/>
        <v>270</v>
      </c>
      <c r="AI273">
        <v>100273</v>
      </c>
      <c r="AJ273">
        <v>273</v>
      </c>
      <c r="AK273" t="b">
        <f t="shared" si="4"/>
        <v>1</v>
      </c>
      <c r="AL273" t="b">
        <f>COUNTBLANK(Metadata!B273:AD273)=COLUMNS(Metadata!B273:AD273)</f>
        <v>1</v>
      </c>
      <c r="AM273" t="str">
        <v/>
      </c>
      <c r="AO273" t="b">
        <f ca="1">AND(IF(Metadata!B273="",FALSE,TRUE),COUNTIF(Metadata!B:B, Metadata!B273) = 1,NOT(ISERROR(SUMPRODUCT(SEARCH(MID(Metadata!B273,ROW(INDIRECT("1:"&amp;LEN(Metadata!B273))), 1),"0123456789abcdefghijklmnopqrstuvwxyzABCDEFGHIJKLMNOPQRSTUVWXYZ.")))))</f>
        <v>0</v>
      </c>
      <c r="AP273" t="b">
        <f>IF(Metadata!C273="",FALSE,TRUE)</f>
        <v>0</v>
      </c>
      <c r="AQ273" t="b">
        <f>IF(Metadata!D273="",FALSE,TRUE)</f>
        <v>0</v>
      </c>
      <c r="AR273" t="b">
        <f ca="1">OR(AND(IF(Metadata!E273="",FALSE,TRUE),OR(EXACT(Metadata!E273,"not collected"),EXACT(Metadata!E273,"not provided"),EXACT(Metadata!E273,"restricted access"))),AND(IF(Metadata!E273="",FALSE,TRUE),AND(AND(IFERROR(INT(LEFT(Metadata!E273,4))&gt;1900,FALSE),IFERROR(INT(LEFT(Metadata!E273,4))&lt;=YEAR(NOW()),FALSE)), OR(MID(Metadata!E273,5,1)="", AND(AND(MID(Metadata!E273,5,1)="-",IFERROR(INT(MID(Metadata!E273,6,1))&gt;=0,FALSE),IFERROR(INT(MID(Metadata!E273,6,1))&lt;=1,FALSE),NOT(MID(Metadata!E273,7,1)=""),IFERROR(INT(MID(Metadata!E273,6,2))&gt;=1,FALSE),IFERROR(INT(MID(Metadata!E273,6,2))&lt;=12,FALSE)), OR(MID(Metadata!E273,8,1)="", AND(AND(MID(Metadata!E273,8,1)="-",IFERROR(INT(MID(Metadata!E273,9,1))&gt;=0,FALSE),IFERROR(INT(MID(Metadata!E273,9,1))&lt;=3,FALSE),NOT(MID(Metadata!E273,10,1)=""),IFERROR(INT(MID(Metadata!E273,9,2))&gt;=1,FALSE),IFERROR(INT(MID(Metadata!E273,9,2))&lt;=31,FALSE)), OR(MID(Metadata!E273,11,1)="", AND(AND(MID(Metadata!E273,11,1)=" ",IFERROR(INT(MID(Metadata!E273,12,1))&gt;=0,FALSE),IFERROR(INT(MID(Metadata!E273,12,1))&lt;=2,FALSE),NOT(MID(Metadata!E273,13,1)=""),IFERROR(INT(MID(Metadata!E273,12,2))&gt;=0,FALSE),IFERROR(INT(MID(Metadata!E273,12,2))&lt;=23,FALSE)), OR(MID(Metadata!E273,14,1)="", AND(AND(MID(Metadata!E273,14,1)=":",IFERROR(INT(MID(Metadata!E273,15,1))&gt;=0,FALSE),IFERROR(INT(MID(Metadata!E273,15,1))&lt;=5,FALSE),NOT(MID(Metadata!E273,16,1)=""),IFERROR(INT(MID(Metadata!E273,15,2))&gt;=0,FALSE),IFERROR(INT(MID(Metadata!E273,15,2))&lt;=59,FALSE)), OR(MID(Metadata!E273,17,1)="", AND(AND(MID(Metadata!E273,17,1)=":",IFERROR(INT(MID(Metadata!E273,18,1))&gt;=0,FALSE),IFERROR(INT(MID(Metadata!E273,18,1))&lt;=5,FALSE),NOT(MID(Metadata!E273,19,1)=""),IFERROR(INT(MID(Metadata!E273,18,2))&gt;=0,FALSE),IFERROR(INT(MID(Metadata!E273,18,2))&lt;=59,FALSE)), LEN(Metadata!E273)&lt;=19)))))))))))))</f>
        <v>0</v>
      </c>
      <c r="AS273" t="b">
        <f>IF(Metadata!F273="",FALSE,TRUE)</f>
        <v>0</v>
      </c>
      <c r="AT273" t="b">
        <f>OR(AND(IF(Metadata!G273="",FALSE,TRUE),OR(EXACT(Metadata!G273,"not collected"),EXACT(Metadata!G273,"not provided"))),AND(IF(Metadata!G273="",FALSE,TRUE),OR(EXACT(Metadata!G273,"TRUE"),EXACT(Metadata!G273,"FALSE"))))</f>
        <v>0</v>
      </c>
      <c r="AU273" t="b">
        <f>OR(AND(IF(Metadata!H273="",FALSE,TRUE),OR(EXACT(Metadata!H273,"not collected"),EXACT(Metadata!H273,"not provided"),EXACT(Metadata!H273,"restricted access"))),AND(IF(Metadata!H273="",FALSE,ISNUMBER(VALUE(Metadata!H273))),Metadata!H273&gt;=-413))</f>
        <v>0</v>
      </c>
      <c r="AV273" t="b">
        <f>AND(IF(Metadata!I273="",FALSE,TRUE),EXACT(Metadata!I273,"meters"))</f>
        <v>0</v>
      </c>
      <c r="AW273" t="b">
        <f>AND(IF(Metadata!J273="",FALSE,TRUE),EXACT(Metadata!J273,"free-living"))</f>
        <v>0</v>
      </c>
      <c r="AX273" t="b">
        <f>AND(IF(Metadata!K273="",FALSE,TRUE),OR(EXACT(Metadata!K273,"saline"),EXACT(Metadata!K273,"non-saline")))</f>
        <v>0</v>
      </c>
      <c r="AY273" t="b">
        <f>AND(IF(Metadata!L273="",FALSE,TRUE),OR(EXACT(Metadata!L273,"sub-surface (non-saline)"),EXACT(Metadata!L273,"surface (non-saline)"),EXACT(Metadata!L273,"water (non-saline)"),EXACT(Metadata!L273,"soil (non-saline)"),EXACT(Metadata!L273,"aerosol (non-saline)"),EXACT(Metadata!L273,"sediment (non-saline)"),EXACT(Metadata!L273,"surface (saline)"),EXACT(Metadata!L273,"water (saline)"),EXACT(Metadata!L273,"hypersaline (saline)"),EXACT(Metadata!L273,"aerosol (saline)"),EXACT(Metadata!L273,"sediment (saline)")))</f>
        <v>0</v>
      </c>
      <c r="AZ273" t="b">
        <f>IF(Metadata!M273="",FALSE,TRUE)</f>
        <v>0</v>
      </c>
      <c r="BA273" t="b">
        <f>IF(Metadata!N273="",FALSE,TRUE)</f>
        <v>0</v>
      </c>
      <c r="BB273" t="b">
        <f>IF(Metadata!O273="",FALSE,TRUE)</f>
        <v>0</v>
      </c>
      <c r="BC273" t="b">
        <f>AND(IF(Metadata!P273="",FALSE,TRUE),OR(EXACT(Metadata!P273,"air"),EXACT(Metadata!P273,"microbial mat/biofilm"),EXACT(Metadata!P273,"misc environment"),EXACT(Metadata!P273,"sediment"),EXACT(Metadata!P273,"soil"),EXACT(Metadata!P273,"wastewater/sludge"),EXACT(Metadata!P273,"water")))</f>
        <v>0</v>
      </c>
      <c r="BD273" t="b">
        <f>IF(Metadata!Q273="",FALSE,TRUE)</f>
        <v>0</v>
      </c>
      <c r="BE273" t="b">
        <f>IF(Metadata!R273="",FALSE,TRUE)</f>
        <v>0</v>
      </c>
      <c r="BF273" t="b">
        <f>OR(AND(IF(Metadata!S273="",FALSE,TRUE),OR(EXACT(Metadata!S273,"not collected"),EXACT(Metadata!S273,"not provided"),EXACT(Metadata!S273,"restricted access"))),AND(IF(Metadata!S273="",FALSE,ISNUMBER(VALUE(Metadata!S273))),Metadata!S273&gt;=-90,Metadata!S273&lt;=90))</f>
        <v>0</v>
      </c>
      <c r="BG273" t="b">
        <f>AND(IF(Metadata!T273="",FALSE,TRUE),EXACT(Metadata!T273,"Decimal degrees"))</f>
        <v>0</v>
      </c>
      <c r="BH273" t="b">
        <f>OR(AND(IF(Metadata!U273="",FALSE,TRUE),OR(EXACT(Metadata!U273,"not applicable"),EXACT(Metadata!U273,"not collected"))),IF(Metadata!U273="",FALSE,TRUE))</f>
        <v>0</v>
      </c>
      <c r="BI273" t="b">
        <f>OR(AND(IF(Metadata!V273="",FALSE,TRUE),OR(EXACT(Metadata!V273,"not collected"),EXACT(Metadata!V273,"not provided"),EXACT(Metadata!V273,"restricted access"))),AND(IF(Metadata!V273="",FALSE,ISNUMBER(VALUE(Metadata!V273))),Metadata!V273&gt;=-180,Metadata!V273&lt;=180))</f>
        <v>0</v>
      </c>
      <c r="BJ273" t="b">
        <f>AND(IF(Metadata!W273="",FALSE,TRUE),EXACT(Metadata!W273,"Decimal degrees"))</f>
        <v>0</v>
      </c>
      <c r="BK273" t="b">
        <f>IF(Metadata!X273="",FALSE,TRUE)</f>
        <v>0</v>
      </c>
      <c r="BL273" t="b">
        <f>OR(AND(IF(Metadata!Y273="",FALSE,TRUE),OR(EXACT(Metadata!Y273,"not collected"),EXACT(Metadata!Y273,"not provided"),EXACT(Metadata!Y273,"restricted access"))),AND(IF(Metadata!Y273="",FALSE,TRUE),OR(EXACT(Metadata!Y273,"TRUE"),EXACT(Metadata!Y273,"FALSE"))))</f>
        <v>0</v>
      </c>
      <c r="BM273" t="b">
        <f>OR(AND(IF(Metadata!Z273="",FALSE,TRUE),EXACT(Metadata!Z273,"not applicable")),AND(IF(Metadata!Z273="",FALSE,TRUE),OR(EXACT(Metadata!Z273,"beer"),EXACT(Metadata!Z273,"cheese"),EXACT(Metadata!Z273,"fresh water"),EXACT(Metadata!Z273,"marine sediment"),EXACT(Metadata!Z273,"sea water"),EXACT(Metadata!Z273,"sediment"),EXACT(Metadata!Z273,"soil"),EXACT(Metadata!Z273,"waste water"))))</f>
        <v>0</v>
      </c>
      <c r="BN273" t="b">
        <f>AND(IF(Metadata!AA273="",FALSE,TRUE),EXACT(Metadata!AA273,"metagenome"))</f>
        <v>0</v>
      </c>
      <c r="BO273" t="b">
        <f>AND(IF(Metadata!AB273="",FALSE,TRUE),EXACT(Metadata!AB273,"256318"))</f>
        <v>0</v>
      </c>
      <c r="BP273" t="b">
        <f>IF(Metadata!AC273="",FALSE,TRUE)</f>
        <v>0</v>
      </c>
      <c r="BQ273" t="b">
        <f>IF(Metadata!AD273="",FALSE,TRUE)</f>
        <v>0</v>
      </c>
    </row>
    <row r="274" spans="1:69" x14ac:dyDescent="0.2">
      <c r="A274" s="4" t="e">
        <f ca="1">IF(B274=" "," ",HYPERLINK(CONCATENATE("#metadata!",ADDRESS(INDEX($AJ$2:$AJ$1001,MATCH(ROWS($AH$2:AH274),$AH$2:$AH$1001,0),0),2)),INDEX($AM$2:$AM$1001,MATCH(ROWS($AH$2:AH274),$AH$2:$AH$1001,0),0)))</f>
        <v>#N/A</v>
      </c>
      <c r="B274" s="5" t="e">
        <f ca="1">IF(OR(INDEX($AI$2:$AI$1001,MATCH(ROWS($AH$2:AH274),$AH$2:$AH$1001,0),1)&gt;=100000,INDEX($AO$1005:$BQ$1005,1,MATCH(COLUMNS($AO$1006:AO1006),$AO$1006:$BQ$1006,0))&gt;=100000), " ",IF(INDEX($AO$2:$BQ$1001,MATCH(ROWS($AH$2:AH274),$AH$2:$AH$1001,0),MATCH(COLUMNS($AO$1006:AO1006),$AO$1006:$BQ$1006,0)), HYPERLINK("#",""), HYPERLINK(CONCATENATE("#Metadata!", ADDRESS(INDEX($AJ$2:$AJ$1001,MATCH(ROWS($AH$2:AH274),$AH$2:$AH$1001,0),0), INDEX($AO$1004:$BQ$1004,1,MATCH(COLUMNS($AO$1006:AO1006),$AO$1006:$BQ$1006,0)))),"Fix")))</f>
        <v>#N/A</v>
      </c>
      <c r="C274" s="5" t="e">
        <f ca="1">IF(OR(INDEX($AI$2:$AI$1001,MATCH(ROWS($AH$2:AH274),$AH$2:$AH$1001,0),1)&gt;=100000,INDEX($AO$1005:$BQ$1005,1,MATCH(COLUMNS($AO$1006:AP1006),$AO$1006:$BQ$1006,0))&gt;=100000), " ",IF(INDEX($AO$2:$BQ$1001,MATCH(ROWS($AH$2:AH274),$AH$2:$AH$1001,0),MATCH(COLUMNS($AO$1006:AP1006),$AO$1006:$BQ$1006,0)), HYPERLINK("#",""), HYPERLINK(CONCATENATE("#Metadata!", ADDRESS(INDEX($AJ$2:$AJ$1001,MATCH(ROWS($AH$2:AH274),$AH$2:$AH$1001,0),0), INDEX($AO$1004:$BQ$1004,1,MATCH(COLUMNS($AO$1006:AP1006),$AO$1006:$BQ$1006,0)))),"Fix")))</f>
        <v>#N/A</v>
      </c>
      <c r="D274" s="5" t="e">
        <f ca="1">IF(OR(INDEX($AI$2:$AI$1001,MATCH(ROWS($AH$2:AH274),$AH$2:$AH$1001,0),1)&gt;=100000,INDEX($AO$1005:$BQ$1005,1,MATCH(COLUMNS($AO$1006:AQ1006),$AO$1006:$BQ$1006,0))&gt;=100000), " ",IF(INDEX($AO$2:$BQ$1001,MATCH(ROWS($AH$2:AH274),$AH$2:$AH$1001,0),MATCH(COLUMNS($AO$1006:AQ1006),$AO$1006:$BQ$1006,0)), HYPERLINK("#",""), HYPERLINK(CONCATENATE("#Metadata!", ADDRESS(INDEX($AJ$2:$AJ$1001,MATCH(ROWS($AH$2:AH274),$AH$2:$AH$1001,0),0), INDEX($AO$1004:$BQ$1004,1,MATCH(COLUMNS($AO$1006:AQ1006),$AO$1006:$BQ$1006,0)))),"Fix")))</f>
        <v>#N/A</v>
      </c>
      <c r="E274" s="5" t="e">
        <f ca="1">IF(OR(INDEX($AI$2:$AI$1001,MATCH(ROWS($AH$2:AH274),$AH$2:$AH$1001,0),1)&gt;=100000,INDEX($AO$1005:$BQ$1005,1,MATCH(COLUMNS($AO$1006:AR1006),$AO$1006:$BQ$1006,0))&gt;=100000), " ",IF(INDEX($AO$2:$BQ$1001,MATCH(ROWS($AH$2:AH274),$AH$2:$AH$1001,0),MATCH(COLUMNS($AO$1006:AR1006),$AO$1006:$BQ$1006,0)), HYPERLINK("#",""), HYPERLINK(CONCATENATE("#Metadata!", ADDRESS(INDEX($AJ$2:$AJ$1001,MATCH(ROWS($AH$2:AH274),$AH$2:$AH$1001,0),0), INDEX($AO$1004:$BQ$1004,1,MATCH(COLUMNS($AO$1006:AR1006),$AO$1006:$BQ$1006,0)))),"Fix")))</f>
        <v>#N/A</v>
      </c>
      <c r="F274" s="5" t="e">
        <f ca="1">IF(OR(INDEX($AI$2:$AI$1001,MATCH(ROWS($AH$2:AH274),$AH$2:$AH$1001,0),1)&gt;=100000,INDEX($AO$1005:$BQ$1005,1,MATCH(COLUMNS($AO$1006:AS1006),$AO$1006:$BQ$1006,0))&gt;=100000), " ",IF(INDEX($AO$2:$BQ$1001,MATCH(ROWS($AH$2:AH274),$AH$2:$AH$1001,0),MATCH(COLUMNS($AO$1006:AS1006),$AO$1006:$BQ$1006,0)), HYPERLINK("#",""), HYPERLINK(CONCATENATE("#Metadata!", ADDRESS(INDEX($AJ$2:$AJ$1001,MATCH(ROWS($AH$2:AH274),$AH$2:$AH$1001,0),0), INDEX($AO$1004:$BQ$1004,1,MATCH(COLUMNS($AO$1006:AS1006),$AO$1006:$BQ$1006,0)))),"Fix")))</f>
        <v>#N/A</v>
      </c>
      <c r="G274" s="5" t="e">
        <f ca="1">IF(OR(INDEX($AI$2:$AI$1001,MATCH(ROWS($AH$2:AH274),$AH$2:$AH$1001,0),1)&gt;=100000,INDEX($AO$1005:$BQ$1005,1,MATCH(COLUMNS($AO$1006:AT1006),$AO$1006:$BQ$1006,0))&gt;=100000), " ",IF(INDEX($AO$2:$BQ$1001,MATCH(ROWS($AH$2:AH274),$AH$2:$AH$1001,0),MATCH(COLUMNS($AO$1006:AT1006),$AO$1006:$BQ$1006,0)), HYPERLINK("#",""), HYPERLINK(CONCATENATE("#Metadata!", ADDRESS(INDEX($AJ$2:$AJ$1001,MATCH(ROWS($AH$2:AH274),$AH$2:$AH$1001,0),0), INDEX($AO$1004:$BQ$1004,1,MATCH(COLUMNS($AO$1006:AT1006),$AO$1006:$BQ$1006,0)))),"Fix")))</f>
        <v>#N/A</v>
      </c>
      <c r="H274" s="5" t="e">
        <f ca="1">IF(OR(INDEX($AI$2:$AI$1001,MATCH(ROWS($AH$2:AH274),$AH$2:$AH$1001,0),1)&gt;=100000,INDEX($AO$1005:$BQ$1005,1,MATCH(COLUMNS($AO$1006:AU1006),$AO$1006:$BQ$1006,0))&gt;=100000), " ",IF(INDEX($AO$2:$BQ$1001,MATCH(ROWS($AH$2:AH274),$AH$2:$AH$1001,0),MATCH(COLUMNS($AO$1006:AU1006),$AO$1006:$BQ$1006,0)), HYPERLINK("#",""), HYPERLINK(CONCATENATE("#Metadata!", ADDRESS(INDEX($AJ$2:$AJ$1001,MATCH(ROWS($AH$2:AH274),$AH$2:$AH$1001,0),0), INDEX($AO$1004:$BQ$1004,1,MATCH(COLUMNS($AO$1006:AU1006),$AO$1006:$BQ$1006,0)))),"Fix")))</f>
        <v>#N/A</v>
      </c>
      <c r="I274" s="5" t="e">
        <f ca="1">IF(OR(INDEX($AI$2:$AI$1001,MATCH(ROWS($AH$2:AH274),$AH$2:$AH$1001,0),1)&gt;=100000,INDEX($AO$1005:$BQ$1005,1,MATCH(COLUMNS($AO$1006:AV1006),$AO$1006:$BQ$1006,0))&gt;=100000), " ",IF(INDEX($AO$2:$BQ$1001,MATCH(ROWS($AH$2:AH274),$AH$2:$AH$1001,0),MATCH(COLUMNS($AO$1006:AV1006),$AO$1006:$BQ$1006,0)), HYPERLINK("#",""), HYPERLINK(CONCATENATE("#Metadata!", ADDRESS(INDEX($AJ$2:$AJ$1001,MATCH(ROWS($AH$2:AH274),$AH$2:$AH$1001,0),0), INDEX($AO$1004:$BQ$1004,1,MATCH(COLUMNS($AO$1006:AV1006),$AO$1006:$BQ$1006,0)))),"Fix")))</f>
        <v>#N/A</v>
      </c>
      <c r="J274" s="5" t="e">
        <f ca="1">IF(OR(INDEX($AI$2:$AI$1001,MATCH(ROWS($AH$2:AH274),$AH$2:$AH$1001,0),1)&gt;=100000,INDEX($AO$1005:$BQ$1005,1,MATCH(COLUMNS($AO$1006:AW1006),$AO$1006:$BQ$1006,0))&gt;=100000), " ",IF(INDEX($AO$2:$BQ$1001,MATCH(ROWS($AH$2:AH274),$AH$2:$AH$1001,0),MATCH(COLUMNS($AO$1006:AW1006),$AO$1006:$BQ$1006,0)), HYPERLINK("#",""), HYPERLINK(CONCATENATE("#Metadata!", ADDRESS(INDEX($AJ$2:$AJ$1001,MATCH(ROWS($AH$2:AH274),$AH$2:$AH$1001,0),0), INDEX($AO$1004:$BQ$1004,1,MATCH(COLUMNS($AO$1006:AW1006),$AO$1006:$BQ$1006,0)))),"Fix")))</f>
        <v>#N/A</v>
      </c>
      <c r="K274" s="5" t="e">
        <f ca="1">IF(OR(INDEX($AI$2:$AI$1001,MATCH(ROWS($AH$2:AH274),$AH$2:$AH$1001,0),1)&gt;=100000,INDEX($AO$1005:$BQ$1005,1,MATCH(COLUMNS($AO$1006:AX1006),$AO$1006:$BQ$1006,0))&gt;=100000), " ",IF(INDEX($AO$2:$BQ$1001,MATCH(ROWS($AH$2:AH274),$AH$2:$AH$1001,0),MATCH(COLUMNS($AO$1006:AX1006),$AO$1006:$BQ$1006,0)), HYPERLINK("#",""), HYPERLINK(CONCATENATE("#Metadata!", ADDRESS(INDEX($AJ$2:$AJ$1001,MATCH(ROWS($AH$2:AH274),$AH$2:$AH$1001,0),0), INDEX($AO$1004:$BQ$1004,1,MATCH(COLUMNS($AO$1006:AX1006),$AO$1006:$BQ$1006,0)))),"Fix")))</f>
        <v>#N/A</v>
      </c>
      <c r="L274" s="5" t="e">
        <f ca="1">IF(OR(INDEX($AI$2:$AI$1001,MATCH(ROWS($AH$2:AH274),$AH$2:$AH$1001,0),1)&gt;=100000,INDEX($AO$1005:$BQ$1005,1,MATCH(COLUMNS($AO$1006:AY1006),$AO$1006:$BQ$1006,0))&gt;=100000), " ",IF(INDEX($AO$2:$BQ$1001,MATCH(ROWS($AH$2:AH274),$AH$2:$AH$1001,0),MATCH(COLUMNS($AO$1006:AY1006),$AO$1006:$BQ$1006,0)), HYPERLINK("#",""), HYPERLINK(CONCATENATE("#Metadata!", ADDRESS(INDEX($AJ$2:$AJ$1001,MATCH(ROWS($AH$2:AH274),$AH$2:$AH$1001,0),0), INDEX($AO$1004:$BQ$1004,1,MATCH(COLUMNS($AO$1006:AY1006),$AO$1006:$BQ$1006,0)))),"Fix")))</f>
        <v>#N/A</v>
      </c>
      <c r="M274" s="5" t="e">
        <f ca="1">IF(OR(INDEX($AI$2:$AI$1001,MATCH(ROWS($AH$2:AH274),$AH$2:$AH$1001,0),1)&gt;=100000,INDEX($AO$1005:$BQ$1005,1,MATCH(COLUMNS($AO$1006:AZ1006),$AO$1006:$BQ$1006,0))&gt;=100000), " ",IF(INDEX($AO$2:$BQ$1001,MATCH(ROWS($AH$2:AH274),$AH$2:$AH$1001,0),MATCH(COLUMNS($AO$1006:AZ1006),$AO$1006:$BQ$1006,0)), HYPERLINK("#",""), HYPERLINK(CONCATENATE("#Metadata!", ADDRESS(INDEX($AJ$2:$AJ$1001,MATCH(ROWS($AH$2:AH274),$AH$2:$AH$1001,0),0), INDEX($AO$1004:$BQ$1004,1,MATCH(COLUMNS($AO$1006:AZ1006),$AO$1006:$BQ$1006,0)))),"Fix")))</f>
        <v>#N/A</v>
      </c>
      <c r="N274" s="5" t="e">
        <f ca="1">IF(OR(INDEX($AI$2:$AI$1001,MATCH(ROWS($AH$2:AH274),$AH$2:$AH$1001,0),1)&gt;=100000,INDEX($AO$1005:$BQ$1005,1,MATCH(COLUMNS($AO$1006:BA1006),$AO$1006:$BQ$1006,0))&gt;=100000), " ",IF(INDEX($AO$2:$BQ$1001,MATCH(ROWS($AH$2:AH274),$AH$2:$AH$1001,0),MATCH(COLUMNS($AO$1006:BA1006),$AO$1006:$BQ$1006,0)), HYPERLINK("#",""), HYPERLINK(CONCATENATE("#Metadata!", ADDRESS(INDEX($AJ$2:$AJ$1001,MATCH(ROWS($AH$2:AH274),$AH$2:$AH$1001,0),0), INDEX($AO$1004:$BQ$1004,1,MATCH(COLUMNS($AO$1006:BA1006),$AO$1006:$BQ$1006,0)))),"Fix")))</f>
        <v>#N/A</v>
      </c>
      <c r="O274" s="5" t="e">
        <f ca="1">IF(OR(INDEX($AI$2:$AI$1001,MATCH(ROWS($AH$2:AH274),$AH$2:$AH$1001,0),1)&gt;=100000,INDEX($AO$1005:$BQ$1005,1,MATCH(COLUMNS($AO$1006:BB1006),$AO$1006:$BQ$1006,0))&gt;=100000), " ",IF(INDEX($AO$2:$BQ$1001,MATCH(ROWS($AH$2:AH274),$AH$2:$AH$1001,0),MATCH(COLUMNS($AO$1006:BB1006),$AO$1006:$BQ$1006,0)), HYPERLINK("#",""), HYPERLINK(CONCATENATE("#Metadata!", ADDRESS(INDEX($AJ$2:$AJ$1001,MATCH(ROWS($AH$2:AH274),$AH$2:$AH$1001,0),0), INDEX($AO$1004:$BQ$1004,1,MATCH(COLUMNS($AO$1006:BB1006),$AO$1006:$BQ$1006,0)))),"Fix")))</f>
        <v>#N/A</v>
      </c>
      <c r="P274" s="5" t="e">
        <f ca="1">IF(OR(INDEX($AI$2:$AI$1001,MATCH(ROWS($AH$2:AH274),$AH$2:$AH$1001,0),1)&gt;=100000,INDEX($AO$1005:$BQ$1005,1,MATCH(COLUMNS($AO$1006:BC1006),$AO$1006:$BQ$1006,0))&gt;=100000), " ",IF(INDEX($AO$2:$BQ$1001,MATCH(ROWS($AH$2:AH274),$AH$2:$AH$1001,0),MATCH(COLUMNS($AO$1006:BC1006),$AO$1006:$BQ$1006,0)), HYPERLINK("#",""), HYPERLINK(CONCATENATE("#Metadata!", ADDRESS(INDEX($AJ$2:$AJ$1001,MATCH(ROWS($AH$2:AH274),$AH$2:$AH$1001,0),0), INDEX($AO$1004:$BQ$1004,1,MATCH(COLUMNS($AO$1006:BC1006),$AO$1006:$BQ$1006,0)))),"Fix")))</f>
        <v>#N/A</v>
      </c>
      <c r="Q274" s="5" t="e">
        <f ca="1">IF(OR(INDEX($AI$2:$AI$1001,MATCH(ROWS($AH$2:AH274),$AH$2:$AH$1001,0),1)&gt;=100000,INDEX($AO$1005:$BQ$1005,1,MATCH(COLUMNS($AO$1006:BD1006),$AO$1006:$BQ$1006,0))&gt;=100000), " ",IF(INDEX($AO$2:$BQ$1001,MATCH(ROWS($AH$2:AH274),$AH$2:$AH$1001,0),MATCH(COLUMNS($AO$1006:BD1006),$AO$1006:$BQ$1006,0)), HYPERLINK("#",""), HYPERLINK(CONCATENATE("#Metadata!", ADDRESS(INDEX($AJ$2:$AJ$1001,MATCH(ROWS($AH$2:AH274),$AH$2:$AH$1001,0),0), INDEX($AO$1004:$BQ$1004,1,MATCH(COLUMNS($AO$1006:BD1006),$AO$1006:$BQ$1006,0)))),"Fix")))</f>
        <v>#N/A</v>
      </c>
      <c r="R274" s="5" t="e">
        <f ca="1">IF(OR(INDEX($AI$2:$AI$1001,MATCH(ROWS($AH$2:AH274),$AH$2:$AH$1001,0),1)&gt;=100000,INDEX($AO$1005:$BQ$1005,1,MATCH(COLUMNS($AO$1006:BE1006),$AO$1006:$BQ$1006,0))&gt;=100000), " ",IF(INDEX($AO$2:$BQ$1001,MATCH(ROWS($AH$2:AH274),$AH$2:$AH$1001,0),MATCH(COLUMNS($AO$1006:BE1006),$AO$1006:$BQ$1006,0)), HYPERLINK("#",""), HYPERLINK(CONCATENATE("#Metadata!", ADDRESS(INDEX($AJ$2:$AJ$1001,MATCH(ROWS($AH$2:AH274),$AH$2:$AH$1001,0),0), INDEX($AO$1004:$BQ$1004,1,MATCH(COLUMNS($AO$1006:BE1006),$AO$1006:$BQ$1006,0)))),"Fix")))</f>
        <v>#N/A</v>
      </c>
      <c r="S274" s="5" t="e">
        <f ca="1">IF(OR(INDEX($AI$2:$AI$1001,MATCH(ROWS($AH$2:AH274),$AH$2:$AH$1001,0),1)&gt;=100000,INDEX($AO$1005:$BQ$1005,1,MATCH(COLUMNS($AO$1006:BF1006),$AO$1006:$BQ$1006,0))&gt;=100000), " ",IF(INDEX($AO$2:$BQ$1001,MATCH(ROWS($AH$2:AH274),$AH$2:$AH$1001,0),MATCH(COLUMNS($AO$1006:BF1006),$AO$1006:$BQ$1006,0)), HYPERLINK("#",""), HYPERLINK(CONCATENATE("#Metadata!", ADDRESS(INDEX($AJ$2:$AJ$1001,MATCH(ROWS($AH$2:AH274),$AH$2:$AH$1001,0),0), INDEX($AO$1004:$BQ$1004,1,MATCH(COLUMNS($AO$1006:BF1006),$AO$1006:$BQ$1006,0)))),"Fix")))</f>
        <v>#N/A</v>
      </c>
      <c r="T274" s="5" t="e">
        <f ca="1">IF(OR(INDEX($AI$2:$AI$1001,MATCH(ROWS($AH$2:AH274),$AH$2:$AH$1001,0),1)&gt;=100000,INDEX($AO$1005:$BQ$1005,1,MATCH(COLUMNS($AO$1006:BG1006),$AO$1006:$BQ$1006,0))&gt;=100000), " ",IF(INDEX($AO$2:$BQ$1001,MATCH(ROWS($AH$2:AH274),$AH$2:$AH$1001,0),MATCH(COLUMNS($AO$1006:BG1006),$AO$1006:$BQ$1006,0)), HYPERLINK("#",""), HYPERLINK(CONCATENATE("#Metadata!", ADDRESS(INDEX($AJ$2:$AJ$1001,MATCH(ROWS($AH$2:AH274),$AH$2:$AH$1001,0),0), INDEX($AO$1004:$BQ$1004,1,MATCH(COLUMNS($AO$1006:BG1006),$AO$1006:$BQ$1006,0)))),"Fix")))</f>
        <v>#N/A</v>
      </c>
      <c r="U274" s="5" t="e">
        <f ca="1">IF(OR(INDEX($AI$2:$AI$1001,MATCH(ROWS($AH$2:AH274),$AH$2:$AH$1001,0),1)&gt;=100000,INDEX($AO$1005:$BQ$1005,1,MATCH(COLUMNS($AO$1006:BH1006),$AO$1006:$BQ$1006,0))&gt;=100000), " ",IF(INDEX($AO$2:$BQ$1001,MATCH(ROWS($AH$2:AH274),$AH$2:$AH$1001,0),MATCH(COLUMNS($AO$1006:BH1006),$AO$1006:$BQ$1006,0)), HYPERLINK("#",""), HYPERLINK(CONCATENATE("#Metadata!", ADDRESS(INDEX($AJ$2:$AJ$1001,MATCH(ROWS($AH$2:AH274),$AH$2:$AH$1001,0),0), INDEX($AO$1004:$BQ$1004,1,MATCH(COLUMNS($AO$1006:BH1006),$AO$1006:$BQ$1006,0)))),"Fix")))</f>
        <v>#N/A</v>
      </c>
      <c r="V274" s="5" t="e">
        <f ca="1">IF(OR(INDEX($AI$2:$AI$1001,MATCH(ROWS($AH$2:AH274),$AH$2:$AH$1001,0),1)&gt;=100000,INDEX($AO$1005:$BQ$1005,1,MATCH(COLUMNS($AO$1006:BI1006),$AO$1006:$BQ$1006,0))&gt;=100000), " ",IF(INDEX($AO$2:$BQ$1001,MATCH(ROWS($AH$2:AH274),$AH$2:$AH$1001,0),MATCH(COLUMNS($AO$1006:BI1006),$AO$1006:$BQ$1006,0)), HYPERLINK("#",""), HYPERLINK(CONCATENATE("#Metadata!", ADDRESS(INDEX($AJ$2:$AJ$1001,MATCH(ROWS($AH$2:AH274),$AH$2:$AH$1001,0),0), INDEX($AO$1004:$BQ$1004,1,MATCH(COLUMNS($AO$1006:BI1006),$AO$1006:$BQ$1006,0)))),"Fix")))</f>
        <v>#N/A</v>
      </c>
      <c r="W274" s="5" t="e">
        <f ca="1">IF(OR(INDEX($AI$2:$AI$1001,MATCH(ROWS($AH$2:AH274),$AH$2:$AH$1001,0),1)&gt;=100000,INDEX($AO$1005:$BQ$1005,1,MATCH(COLUMNS($AO$1006:BJ1006),$AO$1006:$BQ$1006,0))&gt;=100000), " ",IF(INDEX($AO$2:$BQ$1001,MATCH(ROWS($AH$2:AH274),$AH$2:$AH$1001,0),MATCH(COLUMNS($AO$1006:BJ1006),$AO$1006:$BQ$1006,0)), HYPERLINK("#",""), HYPERLINK(CONCATENATE("#Metadata!", ADDRESS(INDEX($AJ$2:$AJ$1001,MATCH(ROWS($AH$2:AH274),$AH$2:$AH$1001,0),0), INDEX($AO$1004:$BQ$1004,1,MATCH(COLUMNS($AO$1006:BJ1006),$AO$1006:$BQ$1006,0)))),"Fix")))</f>
        <v>#N/A</v>
      </c>
      <c r="X274" s="5" t="e">
        <f ca="1">IF(OR(INDEX($AI$2:$AI$1001,MATCH(ROWS($AH$2:AH274),$AH$2:$AH$1001,0),1)&gt;=100000,INDEX($AO$1005:$BQ$1005,1,MATCH(COLUMNS($AO$1006:BK1006),$AO$1006:$BQ$1006,0))&gt;=100000), " ",IF(INDEX($AO$2:$BQ$1001,MATCH(ROWS($AH$2:AH274),$AH$2:$AH$1001,0),MATCH(COLUMNS($AO$1006:BK1006),$AO$1006:$BQ$1006,0)), HYPERLINK("#",""), HYPERLINK(CONCATENATE("#Metadata!", ADDRESS(INDEX($AJ$2:$AJ$1001,MATCH(ROWS($AH$2:AH274),$AH$2:$AH$1001,0),0), INDEX($AO$1004:$BQ$1004,1,MATCH(COLUMNS($AO$1006:BK1006),$AO$1006:$BQ$1006,0)))),"Fix")))</f>
        <v>#N/A</v>
      </c>
      <c r="Y274" s="5" t="e">
        <f ca="1">IF(OR(INDEX($AI$2:$AI$1001,MATCH(ROWS($AH$2:AH274),$AH$2:$AH$1001,0),1)&gt;=100000,INDEX($AO$1005:$BQ$1005,1,MATCH(COLUMNS($AO$1006:BL1006),$AO$1006:$BQ$1006,0))&gt;=100000), " ",IF(INDEX($AO$2:$BQ$1001,MATCH(ROWS($AH$2:AH274),$AH$2:$AH$1001,0),MATCH(COLUMNS($AO$1006:BL1006),$AO$1006:$BQ$1006,0)), HYPERLINK("#",""), HYPERLINK(CONCATENATE("#Metadata!", ADDRESS(INDEX($AJ$2:$AJ$1001,MATCH(ROWS($AH$2:AH274),$AH$2:$AH$1001,0),0), INDEX($AO$1004:$BQ$1004,1,MATCH(COLUMNS($AO$1006:BL1006),$AO$1006:$BQ$1006,0)))),"Fix")))</f>
        <v>#N/A</v>
      </c>
      <c r="Z274" s="5" t="e">
        <f ca="1">IF(OR(INDEX($AI$2:$AI$1001,MATCH(ROWS($AH$2:AH274),$AH$2:$AH$1001,0),1)&gt;=100000,INDEX($AO$1005:$BQ$1005,1,MATCH(COLUMNS($AO$1006:BM1006),$AO$1006:$BQ$1006,0))&gt;=100000), " ",IF(INDEX($AO$2:$BQ$1001,MATCH(ROWS($AH$2:AH274),$AH$2:$AH$1001,0),MATCH(COLUMNS($AO$1006:BM1006),$AO$1006:$BQ$1006,0)), HYPERLINK("#",""), HYPERLINK(CONCATENATE("#Metadata!", ADDRESS(INDEX($AJ$2:$AJ$1001,MATCH(ROWS($AH$2:AH274),$AH$2:$AH$1001,0),0), INDEX($AO$1004:$BQ$1004,1,MATCH(COLUMNS($AO$1006:BM1006),$AO$1006:$BQ$1006,0)))),"Fix")))</f>
        <v>#N/A</v>
      </c>
      <c r="AA274" s="5" t="e">
        <f ca="1">IF(OR(INDEX($AI$2:$AI$1001,MATCH(ROWS($AH$2:AH274),$AH$2:$AH$1001,0),1)&gt;=100000,INDEX($AO$1005:$BQ$1005,1,MATCH(COLUMNS($AO$1006:BN1006),$AO$1006:$BQ$1006,0))&gt;=100000), " ",IF(INDEX($AO$2:$BQ$1001,MATCH(ROWS($AH$2:AH274),$AH$2:$AH$1001,0),MATCH(COLUMNS($AO$1006:BN1006),$AO$1006:$BQ$1006,0)), HYPERLINK("#",""), HYPERLINK(CONCATENATE("#Metadata!", ADDRESS(INDEX($AJ$2:$AJ$1001,MATCH(ROWS($AH$2:AH274),$AH$2:$AH$1001,0),0), INDEX($AO$1004:$BQ$1004,1,MATCH(COLUMNS($AO$1006:BN1006),$AO$1006:$BQ$1006,0)))),"Fix")))</f>
        <v>#N/A</v>
      </c>
      <c r="AB274" s="5" t="e">
        <f ca="1">IF(OR(INDEX($AI$2:$AI$1001,MATCH(ROWS($AH$2:AH274),$AH$2:$AH$1001,0),1)&gt;=100000,INDEX($AO$1005:$BQ$1005,1,MATCH(COLUMNS($AO$1006:BO1006),$AO$1006:$BQ$1006,0))&gt;=100000), " ",IF(INDEX($AO$2:$BQ$1001,MATCH(ROWS($AH$2:AH274),$AH$2:$AH$1001,0),MATCH(COLUMNS($AO$1006:BO1006),$AO$1006:$BQ$1006,0)), HYPERLINK("#",""), HYPERLINK(CONCATENATE("#Metadata!", ADDRESS(INDEX($AJ$2:$AJ$1001,MATCH(ROWS($AH$2:AH274),$AH$2:$AH$1001,0),0), INDEX($AO$1004:$BQ$1004,1,MATCH(COLUMNS($AO$1006:BO1006),$AO$1006:$BQ$1006,0)))),"Fix")))</f>
        <v>#N/A</v>
      </c>
      <c r="AC274" s="5" t="e">
        <f ca="1">IF(OR(INDEX($AI$2:$AI$1001,MATCH(ROWS($AH$2:AH274),$AH$2:$AH$1001,0),1)&gt;=100000,INDEX($AO$1005:$BQ$1005,1,MATCH(COLUMNS($AO$1006:BP1006),$AO$1006:$BQ$1006,0))&gt;=100000), " ",IF(INDEX($AO$2:$BQ$1001,MATCH(ROWS($AH$2:AH274),$AH$2:$AH$1001,0),MATCH(COLUMNS($AO$1006:BP1006),$AO$1006:$BQ$1006,0)), HYPERLINK("#",""), HYPERLINK(CONCATENATE("#Metadata!", ADDRESS(INDEX($AJ$2:$AJ$1001,MATCH(ROWS($AH$2:AH274),$AH$2:$AH$1001,0),0), INDEX($AO$1004:$BQ$1004,1,MATCH(COLUMNS($AO$1006:BP1006),$AO$1006:$BQ$1006,0)))),"Fix")))</f>
        <v>#N/A</v>
      </c>
      <c r="AD274" s="5" t="e">
        <f ca="1">IF(OR(INDEX($AI$2:$AI$1001,MATCH(ROWS($AH$2:AH274),$AH$2:$AH$1001,0),1)&gt;=100000,INDEX($AO$1005:$BQ$1005,1,MATCH(COLUMNS($AO$1006:BQ1006),$AO$1006:$BQ$1006,0))&gt;=100000), " ",IF(INDEX($AO$2:$BQ$1001,MATCH(ROWS($AH$2:AH274),$AH$2:$AH$1001,0),MATCH(COLUMNS($AO$1006:BQ1006),$AO$1006:$BQ$1006,0)), HYPERLINK("#",""), HYPERLINK(CONCATENATE("#Metadata!", ADDRESS(INDEX($AJ$2:$AJ$1001,MATCH(ROWS($AH$2:AH274),$AH$2:$AH$1001,0),0), INDEX($AO$1004:$BQ$1004,1,MATCH(COLUMNS($AO$1006:BQ1006),$AO$1006:$BQ$1006,0)))),"Fix")))</f>
        <v>#REF!</v>
      </c>
      <c r="AH274">
        <f ca="1"/>
        <v>271</v>
      </c>
      <c r="AI274">
        <v>100274</v>
      </c>
      <c r="AJ274">
        <v>274</v>
      </c>
      <c r="AK274" t="b">
        <f t="shared" si="4"/>
        <v>1</v>
      </c>
      <c r="AL274" t="b">
        <f>COUNTBLANK(Metadata!B274:AD274)=COLUMNS(Metadata!B274:AD274)</f>
        <v>1</v>
      </c>
      <c r="AM274" t="str">
        <v/>
      </c>
      <c r="AO274" t="b">
        <f ca="1">AND(IF(Metadata!B274="",FALSE,TRUE),COUNTIF(Metadata!B:B, Metadata!B274) = 1,NOT(ISERROR(SUMPRODUCT(SEARCH(MID(Metadata!B274,ROW(INDIRECT("1:"&amp;LEN(Metadata!B274))), 1),"0123456789abcdefghijklmnopqrstuvwxyzABCDEFGHIJKLMNOPQRSTUVWXYZ.")))))</f>
        <v>0</v>
      </c>
      <c r="AP274" t="b">
        <f>IF(Metadata!C274="",FALSE,TRUE)</f>
        <v>0</v>
      </c>
      <c r="AQ274" t="b">
        <f>IF(Metadata!D274="",FALSE,TRUE)</f>
        <v>0</v>
      </c>
      <c r="AR274" t="b">
        <f ca="1">OR(AND(IF(Metadata!E274="",FALSE,TRUE),OR(EXACT(Metadata!E274,"not collected"),EXACT(Metadata!E274,"not provided"),EXACT(Metadata!E274,"restricted access"))),AND(IF(Metadata!E274="",FALSE,TRUE),AND(AND(IFERROR(INT(LEFT(Metadata!E274,4))&gt;1900,FALSE),IFERROR(INT(LEFT(Metadata!E274,4))&lt;=YEAR(NOW()),FALSE)), OR(MID(Metadata!E274,5,1)="", AND(AND(MID(Metadata!E274,5,1)="-",IFERROR(INT(MID(Metadata!E274,6,1))&gt;=0,FALSE),IFERROR(INT(MID(Metadata!E274,6,1))&lt;=1,FALSE),NOT(MID(Metadata!E274,7,1)=""),IFERROR(INT(MID(Metadata!E274,6,2))&gt;=1,FALSE),IFERROR(INT(MID(Metadata!E274,6,2))&lt;=12,FALSE)), OR(MID(Metadata!E274,8,1)="", AND(AND(MID(Metadata!E274,8,1)="-",IFERROR(INT(MID(Metadata!E274,9,1))&gt;=0,FALSE),IFERROR(INT(MID(Metadata!E274,9,1))&lt;=3,FALSE),NOT(MID(Metadata!E274,10,1)=""),IFERROR(INT(MID(Metadata!E274,9,2))&gt;=1,FALSE),IFERROR(INT(MID(Metadata!E274,9,2))&lt;=31,FALSE)), OR(MID(Metadata!E274,11,1)="", AND(AND(MID(Metadata!E274,11,1)=" ",IFERROR(INT(MID(Metadata!E274,12,1))&gt;=0,FALSE),IFERROR(INT(MID(Metadata!E274,12,1))&lt;=2,FALSE),NOT(MID(Metadata!E274,13,1)=""),IFERROR(INT(MID(Metadata!E274,12,2))&gt;=0,FALSE),IFERROR(INT(MID(Metadata!E274,12,2))&lt;=23,FALSE)), OR(MID(Metadata!E274,14,1)="", AND(AND(MID(Metadata!E274,14,1)=":",IFERROR(INT(MID(Metadata!E274,15,1))&gt;=0,FALSE),IFERROR(INT(MID(Metadata!E274,15,1))&lt;=5,FALSE),NOT(MID(Metadata!E274,16,1)=""),IFERROR(INT(MID(Metadata!E274,15,2))&gt;=0,FALSE),IFERROR(INT(MID(Metadata!E274,15,2))&lt;=59,FALSE)), OR(MID(Metadata!E274,17,1)="", AND(AND(MID(Metadata!E274,17,1)=":",IFERROR(INT(MID(Metadata!E274,18,1))&gt;=0,FALSE),IFERROR(INT(MID(Metadata!E274,18,1))&lt;=5,FALSE),NOT(MID(Metadata!E274,19,1)=""),IFERROR(INT(MID(Metadata!E274,18,2))&gt;=0,FALSE),IFERROR(INT(MID(Metadata!E274,18,2))&lt;=59,FALSE)), LEN(Metadata!E274)&lt;=19)))))))))))))</f>
        <v>0</v>
      </c>
      <c r="AS274" t="b">
        <f>IF(Metadata!F274="",FALSE,TRUE)</f>
        <v>0</v>
      </c>
      <c r="AT274" t="b">
        <f>OR(AND(IF(Metadata!G274="",FALSE,TRUE),OR(EXACT(Metadata!G274,"not collected"),EXACT(Metadata!G274,"not provided"))),AND(IF(Metadata!G274="",FALSE,TRUE),OR(EXACT(Metadata!G274,"TRUE"),EXACT(Metadata!G274,"FALSE"))))</f>
        <v>0</v>
      </c>
      <c r="AU274" t="b">
        <f>OR(AND(IF(Metadata!H274="",FALSE,TRUE),OR(EXACT(Metadata!H274,"not collected"),EXACT(Metadata!H274,"not provided"),EXACT(Metadata!H274,"restricted access"))),AND(IF(Metadata!H274="",FALSE,ISNUMBER(VALUE(Metadata!H274))),Metadata!H274&gt;=-413))</f>
        <v>0</v>
      </c>
      <c r="AV274" t="b">
        <f>AND(IF(Metadata!I274="",FALSE,TRUE),EXACT(Metadata!I274,"meters"))</f>
        <v>0</v>
      </c>
      <c r="AW274" t="b">
        <f>AND(IF(Metadata!J274="",FALSE,TRUE),EXACT(Metadata!J274,"free-living"))</f>
        <v>0</v>
      </c>
      <c r="AX274" t="b">
        <f>AND(IF(Metadata!K274="",FALSE,TRUE),OR(EXACT(Metadata!K274,"saline"),EXACT(Metadata!K274,"non-saline")))</f>
        <v>0</v>
      </c>
      <c r="AY274" t="b">
        <f>AND(IF(Metadata!L274="",FALSE,TRUE),OR(EXACT(Metadata!L274,"sub-surface (non-saline)"),EXACT(Metadata!L274,"surface (non-saline)"),EXACT(Metadata!L274,"water (non-saline)"),EXACT(Metadata!L274,"soil (non-saline)"),EXACT(Metadata!L274,"aerosol (non-saline)"),EXACT(Metadata!L274,"sediment (non-saline)"),EXACT(Metadata!L274,"surface (saline)"),EXACT(Metadata!L274,"water (saline)"),EXACT(Metadata!L274,"hypersaline (saline)"),EXACT(Metadata!L274,"aerosol (saline)"),EXACT(Metadata!L274,"sediment (saline)")))</f>
        <v>0</v>
      </c>
      <c r="AZ274" t="b">
        <f>IF(Metadata!M274="",FALSE,TRUE)</f>
        <v>0</v>
      </c>
      <c r="BA274" t="b">
        <f>IF(Metadata!N274="",FALSE,TRUE)</f>
        <v>0</v>
      </c>
      <c r="BB274" t="b">
        <f>IF(Metadata!O274="",FALSE,TRUE)</f>
        <v>0</v>
      </c>
      <c r="BC274" t="b">
        <f>AND(IF(Metadata!P274="",FALSE,TRUE),OR(EXACT(Metadata!P274,"air"),EXACT(Metadata!P274,"microbial mat/biofilm"),EXACT(Metadata!P274,"misc environment"),EXACT(Metadata!P274,"sediment"),EXACT(Metadata!P274,"soil"),EXACT(Metadata!P274,"wastewater/sludge"),EXACT(Metadata!P274,"water")))</f>
        <v>0</v>
      </c>
      <c r="BD274" t="b">
        <f>IF(Metadata!Q274="",FALSE,TRUE)</f>
        <v>0</v>
      </c>
      <c r="BE274" t="b">
        <f>IF(Metadata!R274="",FALSE,TRUE)</f>
        <v>0</v>
      </c>
      <c r="BF274" t="b">
        <f>OR(AND(IF(Metadata!S274="",FALSE,TRUE),OR(EXACT(Metadata!S274,"not collected"),EXACT(Metadata!S274,"not provided"),EXACT(Metadata!S274,"restricted access"))),AND(IF(Metadata!S274="",FALSE,ISNUMBER(VALUE(Metadata!S274))),Metadata!S274&gt;=-90,Metadata!S274&lt;=90))</f>
        <v>0</v>
      </c>
      <c r="BG274" t="b">
        <f>AND(IF(Metadata!T274="",FALSE,TRUE),EXACT(Metadata!T274,"Decimal degrees"))</f>
        <v>0</v>
      </c>
      <c r="BH274" t="b">
        <f>OR(AND(IF(Metadata!U274="",FALSE,TRUE),OR(EXACT(Metadata!U274,"not applicable"),EXACT(Metadata!U274,"not collected"))),IF(Metadata!U274="",FALSE,TRUE))</f>
        <v>0</v>
      </c>
      <c r="BI274" t="b">
        <f>OR(AND(IF(Metadata!V274="",FALSE,TRUE),OR(EXACT(Metadata!V274,"not collected"),EXACT(Metadata!V274,"not provided"),EXACT(Metadata!V274,"restricted access"))),AND(IF(Metadata!V274="",FALSE,ISNUMBER(VALUE(Metadata!V274))),Metadata!V274&gt;=-180,Metadata!V274&lt;=180))</f>
        <v>0</v>
      </c>
      <c r="BJ274" t="b">
        <f>AND(IF(Metadata!W274="",FALSE,TRUE),EXACT(Metadata!W274,"Decimal degrees"))</f>
        <v>0</v>
      </c>
      <c r="BK274" t="b">
        <f>IF(Metadata!X274="",FALSE,TRUE)</f>
        <v>0</v>
      </c>
      <c r="BL274" t="b">
        <f>OR(AND(IF(Metadata!Y274="",FALSE,TRUE),OR(EXACT(Metadata!Y274,"not collected"),EXACT(Metadata!Y274,"not provided"),EXACT(Metadata!Y274,"restricted access"))),AND(IF(Metadata!Y274="",FALSE,TRUE),OR(EXACT(Metadata!Y274,"TRUE"),EXACT(Metadata!Y274,"FALSE"))))</f>
        <v>0</v>
      </c>
      <c r="BM274" t="b">
        <f>OR(AND(IF(Metadata!Z274="",FALSE,TRUE),EXACT(Metadata!Z274,"not applicable")),AND(IF(Metadata!Z274="",FALSE,TRUE),OR(EXACT(Metadata!Z274,"beer"),EXACT(Metadata!Z274,"cheese"),EXACT(Metadata!Z274,"fresh water"),EXACT(Metadata!Z274,"marine sediment"),EXACT(Metadata!Z274,"sea water"),EXACT(Metadata!Z274,"sediment"),EXACT(Metadata!Z274,"soil"),EXACT(Metadata!Z274,"waste water"))))</f>
        <v>0</v>
      </c>
      <c r="BN274" t="b">
        <f>AND(IF(Metadata!AA274="",FALSE,TRUE),EXACT(Metadata!AA274,"metagenome"))</f>
        <v>0</v>
      </c>
      <c r="BO274" t="b">
        <f>AND(IF(Metadata!AB274="",FALSE,TRUE),EXACT(Metadata!AB274,"256318"))</f>
        <v>0</v>
      </c>
      <c r="BP274" t="b">
        <f>IF(Metadata!AC274="",FALSE,TRUE)</f>
        <v>0</v>
      </c>
      <c r="BQ274" t="b">
        <f>IF(Metadata!AD274="",FALSE,TRUE)</f>
        <v>0</v>
      </c>
    </row>
    <row r="275" spans="1:69" x14ac:dyDescent="0.2">
      <c r="A275" s="4" t="e">
        <f ca="1">IF(B275=" "," ",HYPERLINK(CONCATENATE("#metadata!",ADDRESS(INDEX($AJ$2:$AJ$1001,MATCH(ROWS($AH$2:AH275),$AH$2:$AH$1001,0),0),2)),INDEX($AM$2:$AM$1001,MATCH(ROWS($AH$2:AH275),$AH$2:$AH$1001,0),0)))</f>
        <v>#N/A</v>
      </c>
      <c r="B275" s="5" t="e">
        <f ca="1">IF(OR(INDEX($AI$2:$AI$1001,MATCH(ROWS($AH$2:AH275),$AH$2:$AH$1001,0),1)&gt;=100000,INDEX($AO$1005:$BQ$1005,1,MATCH(COLUMNS($AO$1006:AO1006),$AO$1006:$BQ$1006,0))&gt;=100000), " ",IF(INDEX($AO$2:$BQ$1001,MATCH(ROWS($AH$2:AH275),$AH$2:$AH$1001,0),MATCH(COLUMNS($AO$1006:AO1006),$AO$1006:$BQ$1006,0)), HYPERLINK("#",""), HYPERLINK(CONCATENATE("#Metadata!", ADDRESS(INDEX($AJ$2:$AJ$1001,MATCH(ROWS($AH$2:AH275),$AH$2:$AH$1001,0),0), INDEX($AO$1004:$BQ$1004,1,MATCH(COLUMNS($AO$1006:AO1006),$AO$1006:$BQ$1006,0)))),"Fix")))</f>
        <v>#N/A</v>
      </c>
      <c r="C275" s="5" t="e">
        <f ca="1">IF(OR(INDEX($AI$2:$AI$1001,MATCH(ROWS($AH$2:AH275),$AH$2:$AH$1001,0),1)&gt;=100000,INDEX($AO$1005:$BQ$1005,1,MATCH(COLUMNS($AO$1006:AP1006),$AO$1006:$BQ$1006,0))&gt;=100000), " ",IF(INDEX($AO$2:$BQ$1001,MATCH(ROWS($AH$2:AH275),$AH$2:$AH$1001,0),MATCH(COLUMNS($AO$1006:AP1006),$AO$1006:$BQ$1006,0)), HYPERLINK("#",""), HYPERLINK(CONCATENATE("#Metadata!", ADDRESS(INDEX($AJ$2:$AJ$1001,MATCH(ROWS($AH$2:AH275),$AH$2:$AH$1001,0),0), INDEX($AO$1004:$BQ$1004,1,MATCH(COLUMNS($AO$1006:AP1006),$AO$1006:$BQ$1006,0)))),"Fix")))</f>
        <v>#N/A</v>
      </c>
      <c r="D275" s="5" t="e">
        <f ca="1">IF(OR(INDEX($AI$2:$AI$1001,MATCH(ROWS($AH$2:AH275),$AH$2:$AH$1001,0),1)&gt;=100000,INDEX($AO$1005:$BQ$1005,1,MATCH(COLUMNS($AO$1006:AQ1006),$AO$1006:$BQ$1006,0))&gt;=100000), " ",IF(INDEX($AO$2:$BQ$1001,MATCH(ROWS($AH$2:AH275),$AH$2:$AH$1001,0),MATCH(COLUMNS($AO$1006:AQ1006),$AO$1006:$BQ$1006,0)), HYPERLINK("#",""), HYPERLINK(CONCATENATE("#Metadata!", ADDRESS(INDEX($AJ$2:$AJ$1001,MATCH(ROWS($AH$2:AH275),$AH$2:$AH$1001,0),0), INDEX($AO$1004:$BQ$1004,1,MATCH(COLUMNS($AO$1006:AQ1006),$AO$1006:$BQ$1006,0)))),"Fix")))</f>
        <v>#N/A</v>
      </c>
      <c r="E275" s="5" t="e">
        <f ca="1">IF(OR(INDEX($AI$2:$AI$1001,MATCH(ROWS($AH$2:AH275),$AH$2:$AH$1001,0),1)&gt;=100000,INDEX($AO$1005:$BQ$1005,1,MATCH(COLUMNS($AO$1006:AR1006),$AO$1006:$BQ$1006,0))&gt;=100000), " ",IF(INDEX($AO$2:$BQ$1001,MATCH(ROWS($AH$2:AH275),$AH$2:$AH$1001,0),MATCH(COLUMNS($AO$1006:AR1006),$AO$1006:$BQ$1006,0)), HYPERLINK("#",""), HYPERLINK(CONCATENATE("#Metadata!", ADDRESS(INDEX($AJ$2:$AJ$1001,MATCH(ROWS($AH$2:AH275),$AH$2:$AH$1001,0),0), INDEX($AO$1004:$BQ$1004,1,MATCH(COLUMNS($AO$1006:AR1006),$AO$1006:$BQ$1006,0)))),"Fix")))</f>
        <v>#N/A</v>
      </c>
      <c r="F275" s="5" t="e">
        <f ca="1">IF(OR(INDEX($AI$2:$AI$1001,MATCH(ROWS($AH$2:AH275),$AH$2:$AH$1001,0),1)&gt;=100000,INDEX($AO$1005:$BQ$1005,1,MATCH(COLUMNS($AO$1006:AS1006),$AO$1006:$BQ$1006,0))&gt;=100000), " ",IF(INDEX($AO$2:$BQ$1001,MATCH(ROWS($AH$2:AH275),$AH$2:$AH$1001,0),MATCH(COLUMNS($AO$1006:AS1006),$AO$1006:$BQ$1006,0)), HYPERLINK("#",""), HYPERLINK(CONCATENATE("#Metadata!", ADDRESS(INDEX($AJ$2:$AJ$1001,MATCH(ROWS($AH$2:AH275),$AH$2:$AH$1001,0),0), INDEX($AO$1004:$BQ$1004,1,MATCH(COLUMNS($AO$1006:AS1006),$AO$1006:$BQ$1006,0)))),"Fix")))</f>
        <v>#N/A</v>
      </c>
      <c r="G275" s="5" t="e">
        <f ca="1">IF(OR(INDEX($AI$2:$AI$1001,MATCH(ROWS($AH$2:AH275),$AH$2:$AH$1001,0),1)&gt;=100000,INDEX($AO$1005:$BQ$1005,1,MATCH(COLUMNS($AO$1006:AT1006),$AO$1006:$BQ$1006,0))&gt;=100000), " ",IF(INDEX($AO$2:$BQ$1001,MATCH(ROWS($AH$2:AH275),$AH$2:$AH$1001,0),MATCH(COLUMNS($AO$1006:AT1006),$AO$1006:$BQ$1006,0)), HYPERLINK("#",""), HYPERLINK(CONCATENATE("#Metadata!", ADDRESS(INDEX($AJ$2:$AJ$1001,MATCH(ROWS($AH$2:AH275),$AH$2:$AH$1001,0),0), INDEX($AO$1004:$BQ$1004,1,MATCH(COLUMNS($AO$1006:AT1006),$AO$1006:$BQ$1006,0)))),"Fix")))</f>
        <v>#N/A</v>
      </c>
      <c r="H275" s="5" t="e">
        <f ca="1">IF(OR(INDEX($AI$2:$AI$1001,MATCH(ROWS($AH$2:AH275),$AH$2:$AH$1001,0),1)&gt;=100000,INDEX($AO$1005:$BQ$1005,1,MATCH(COLUMNS($AO$1006:AU1006),$AO$1006:$BQ$1006,0))&gt;=100000), " ",IF(INDEX($AO$2:$BQ$1001,MATCH(ROWS($AH$2:AH275),$AH$2:$AH$1001,0),MATCH(COLUMNS($AO$1006:AU1006),$AO$1006:$BQ$1006,0)), HYPERLINK("#",""), HYPERLINK(CONCATENATE("#Metadata!", ADDRESS(INDEX($AJ$2:$AJ$1001,MATCH(ROWS($AH$2:AH275),$AH$2:$AH$1001,0),0), INDEX($AO$1004:$BQ$1004,1,MATCH(COLUMNS($AO$1006:AU1006),$AO$1006:$BQ$1006,0)))),"Fix")))</f>
        <v>#N/A</v>
      </c>
      <c r="I275" s="5" t="e">
        <f ca="1">IF(OR(INDEX($AI$2:$AI$1001,MATCH(ROWS($AH$2:AH275),$AH$2:$AH$1001,0),1)&gt;=100000,INDEX($AO$1005:$BQ$1005,1,MATCH(COLUMNS($AO$1006:AV1006),$AO$1006:$BQ$1006,0))&gt;=100000), " ",IF(INDEX($AO$2:$BQ$1001,MATCH(ROWS($AH$2:AH275),$AH$2:$AH$1001,0),MATCH(COLUMNS($AO$1006:AV1006),$AO$1006:$BQ$1006,0)), HYPERLINK("#",""), HYPERLINK(CONCATENATE("#Metadata!", ADDRESS(INDEX($AJ$2:$AJ$1001,MATCH(ROWS($AH$2:AH275),$AH$2:$AH$1001,0),0), INDEX($AO$1004:$BQ$1004,1,MATCH(COLUMNS($AO$1006:AV1006),$AO$1006:$BQ$1006,0)))),"Fix")))</f>
        <v>#N/A</v>
      </c>
      <c r="J275" s="5" t="e">
        <f ca="1">IF(OR(INDEX($AI$2:$AI$1001,MATCH(ROWS($AH$2:AH275),$AH$2:$AH$1001,0),1)&gt;=100000,INDEX($AO$1005:$BQ$1005,1,MATCH(COLUMNS($AO$1006:AW1006),$AO$1006:$BQ$1006,0))&gt;=100000), " ",IF(INDEX($AO$2:$BQ$1001,MATCH(ROWS($AH$2:AH275),$AH$2:$AH$1001,0),MATCH(COLUMNS($AO$1006:AW1006),$AO$1006:$BQ$1006,0)), HYPERLINK("#",""), HYPERLINK(CONCATENATE("#Metadata!", ADDRESS(INDEX($AJ$2:$AJ$1001,MATCH(ROWS($AH$2:AH275),$AH$2:$AH$1001,0),0), INDEX($AO$1004:$BQ$1004,1,MATCH(COLUMNS($AO$1006:AW1006),$AO$1006:$BQ$1006,0)))),"Fix")))</f>
        <v>#N/A</v>
      </c>
      <c r="K275" s="5" t="e">
        <f ca="1">IF(OR(INDEX($AI$2:$AI$1001,MATCH(ROWS($AH$2:AH275),$AH$2:$AH$1001,0),1)&gt;=100000,INDEX($AO$1005:$BQ$1005,1,MATCH(COLUMNS($AO$1006:AX1006),$AO$1006:$BQ$1006,0))&gt;=100000), " ",IF(INDEX($AO$2:$BQ$1001,MATCH(ROWS($AH$2:AH275),$AH$2:$AH$1001,0),MATCH(COLUMNS($AO$1006:AX1006),$AO$1006:$BQ$1006,0)), HYPERLINK("#",""), HYPERLINK(CONCATENATE("#Metadata!", ADDRESS(INDEX($AJ$2:$AJ$1001,MATCH(ROWS($AH$2:AH275),$AH$2:$AH$1001,0),0), INDEX($AO$1004:$BQ$1004,1,MATCH(COLUMNS($AO$1006:AX1006),$AO$1006:$BQ$1006,0)))),"Fix")))</f>
        <v>#N/A</v>
      </c>
      <c r="L275" s="5" t="e">
        <f ca="1">IF(OR(INDEX($AI$2:$AI$1001,MATCH(ROWS($AH$2:AH275),$AH$2:$AH$1001,0),1)&gt;=100000,INDEX($AO$1005:$BQ$1005,1,MATCH(COLUMNS($AO$1006:AY1006),$AO$1006:$BQ$1006,0))&gt;=100000), " ",IF(INDEX($AO$2:$BQ$1001,MATCH(ROWS($AH$2:AH275),$AH$2:$AH$1001,0),MATCH(COLUMNS($AO$1006:AY1006),$AO$1006:$BQ$1006,0)), HYPERLINK("#",""), HYPERLINK(CONCATENATE("#Metadata!", ADDRESS(INDEX($AJ$2:$AJ$1001,MATCH(ROWS($AH$2:AH275),$AH$2:$AH$1001,0),0), INDEX($AO$1004:$BQ$1004,1,MATCH(COLUMNS($AO$1006:AY1006),$AO$1006:$BQ$1006,0)))),"Fix")))</f>
        <v>#N/A</v>
      </c>
      <c r="M275" s="5" t="e">
        <f ca="1">IF(OR(INDEX($AI$2:$AI$1001,MATCH(ROWS($AH$2:AH275),$AH$2:$AH$1001,0),1)&gt;=100000,INDEX($AO$1005:$BQ$1005,1,MATCH(COLUMNS($AO$1006:AZ1006),$AO$1006:$BQ$1006,0))&gt;=100000), " ",IF(INDEX($AO$2:$BQ$1001,MATCH(ROWS($AH$2:AH275),$AH$2:$AH$1001,0),MATCH(COLUMNS($AO$1006:AZ1006),$AO$1006:$BQ$1006,0)), HYPERLINK("#",""), HYPERLINK(CONCATENATE("#Metadata!", ADDRESS(INDEX($AJ$2:$AJ$1001,MATCH(ROWS($AH$2:AH275),$AH$2:$AH$1001,0),0), INDEX($AO$1004:$BQ$1004,1,MATCH(COLUMNS($AO$1006:AZ1006),$AO$1006:$BQ$1006,0)))),"Fix")))</f>
        <v>#N/A</v>
      </c>
      <c r="N275" s="5" t="e">
        <f ca="1">IF(OR(INDEX($AI$2:$AI$1001,MATCH(ROWS($AH$2:AH275),$AH$2:$AH$1001,0),1)&gt;=100000,INDEX($AO$1005:$BQ$1005,1,MATCH(COLUMNS($AO$1006:BA1006),$AO$1006:$BQ$1006,0))&gt;=100000), " ",IF(INDEX($AO$2:$BQ$1001,MATCH(ROWS($AH$2:AH275),$AH$2:$AH$1001,0),MATCH(COLUMNS($AO$1006:BA1006),$AO$1006:$BQ$1006,0)), HYPERLINK("#",""), HYPERLINK(CONCATENATE("#Metadata!", ADDRESS(INDEX($AJ$2:$AJ$1001,MATCH(ROWS($AH$2:AH275),$AH$2:$AH$1001,0),0), INDEX($AO$1004:$BQ$1004,1,MATCH(COLUMNS($AO$1006:BA1006),$AO$1006:$BQ$1006,0)))),"Fix")))</f>
        <v>#N/A</v>
      </c>
      <c r="O275" s="5" t="e">
        <f ca="1">IF(OR(INDEX($AI$2:$AI$1001,MATCH(ROWS($AH$2:AH275),$AH$2:$AH$1001,0),1)&gt;=100000,INDEX($AO$1005:$BQ$1005,1,MATCH(COLUMNS($AO$1006:BB1006),$AO$1006:$BQ$1006,0))&gt;=100000), " ",IF(INDEX($AO$2:$BQ$1001,MATCH(ROWS($AH$2:AH275),$AH$2:$AH$1001,0),MATCH(COLUMNS($AO$1006:BB1006),$AO$1006:$BQ$1006,0)), HYPERLINK("#",""), HYPERLINK(CONCATENATE("#Metadata!", ADDRESS(INDEX($AJ$2:$AJ$1001,MATCH(ROWS($AH$2:AH275),$AH$2:$AH$1001,0),0), INDEX($AO$1004:$BQ$1004,1,MATCH(COLUMNS($AO$1006:BB1006),$AO$1006:$BQ$1006,0)))),"Fix")))</f>
        <v>#N/A</v>
      </c>
      <c r="P275" s="5" t="e">
        <f ca="1">IF(OR(INDEX($AI$2:$AI$1001,MATCH(ROWS($AH$2:AH275),$AH$2:$AH$1001,0),1)&gt;=100000,INDEX($AO$1005:$BQ$1005,1,MATCH(COLUMNS($AO$1006:BC1006),$AO$1006:$BQ$1006,0))&gt;=100000), " ",IF(INDEX($AO$2:$BQ$1001,MATCH(ROWS($AH$2:AH275),$AH$2:$AH$1001,0),MATCH(COLUMNS($AO$1006:BC1006),$AO$1006:$BQ$1006,0)), HYPERLINK("#",""), HYPERLINK(CONCATENATE("#Metadata!", ADDRESS(INDEX($AJ$2:$AJ$1001,MATCH(ROWS($AH$2:AH275),$AH$2:$AH$1001,0),0), INDEX($AO$1004:$BQ$1004,1,MATCH(COLUMNS($AO$1006:BC1006),$AO$1006:$BQ$1006,0)))),"Fix")))</f>
        <v>#N/A</v>
      </c>
      <c r="Q275" s="5" t="e">
        <f ca="1">IF(OR(INDEX($AI$2:$AI$1001,MATCH(ROWS($AH$2:AH275),$AH$2:$AH$1001,0),1)&gt;=100000,INDEX($AO$1005:$BQ$1005,1,MATCH(COLUMNS($AO$1006:BD1006),$AO$1006:$BQ$1006,0))&gt;=100000), " ",IF(INDEX($AO$2:$BQ$1001,MATCH(ROWS($AH$2:AH275),$AH$2:$AH$1001,0),MATCH(COLUMNS($AO$1006:BD1006),$AO$1006:$BQ$1006,0)), HYPERLINK("#",""), HYPERLINK(CONCATENATE("#Metadata!", ADDRESS(INDEX($AJ$2:$AJ$1001,MATCH(ROWS($AH$2:AH275),$AH$2:$AH$1001,0),0), INDEX($AO$1004:$BQ$1004,1,MATCH(COLUMNS($AO$1006:BD1006),$AO$1006:$BQ$1006,0)))),"Fix")))</f>
        <v>#N/A</v>
      </c>
      <c r="R275" s="5" t="e">
        <f ca="1">IF(OR(INDEX($AI$2:$AI$1001,MATCH(ROWS($AH$2:AH275),$AH$2:$AH$1001,0),1)&gt;=100000,INDEX($AO$1005:$BQ$1005,1,MATCH(COLUMNS($AO$1006:BE1006),$AO$1006:$BQ$1006,0))&gt;=100000), " ",IF(INDEX($AO$2:$BQ$1001,MATCH(ROWS($AH$2:AH275),$AH$2:$AH$1001,0),MATCH(COLUMNS($AO$1006:BE1006),$AO$1006:$BQ$1006,0)), HYPERLINK("#",""), HYPERLINK(CONCATENATE("#Metadata!", ADDRESS(INDEX($AJ$2:$AJ$1001,MATCH(ROWS($AH$2:AH275),$AH$2:$AH$1001,0),0), INDEX($AO$1004:$BQ$1004,1,MATCH(COLUMNS($AO$1006:BE1006),$AO$1006:$BQ$1006,0)))),"Fix")))</f>
        <v>#N/A</v>
      </c>
      <c r="S275" s="5" t="e">
        <f ca="1">IF(OR(INDEX($AI$2:$AI$1001,MATCH(ROWS($AH$2:AH275),$AH$2:$AH$1001,0),1)&gt;=100000,INDEX($AO$1005:$BQ$1005,1,MATCH(COLUMNS($AO$1006:BF1006),$AO$1006:$BQ$1006,0))&gt;=100000), " ",IF(INDEX($AO$2:$BQ$1001,MATCH(ROWS($AH$2:AH275),$AH$2:$AH$1001,0),MATCH(COLUMNS($AO$1006:BF1006),$AO$1006:$BQ$1006,0)), HYPERLINK("#",""), HYPERLINK(CONCATENATE("#Metadata!", ADDRESS(INDEX($AJ$2:$AJ$1001,MATCH(ROWS($AH$2:AH275),$AH$2:$AH$1001,0),0), INDEX($AO$1004:$BQ$1004,1,MATCH(COLUMNS($AO$1006:BF1006),$AO$1006:$BQ$1006,0)))),"Fix")))</f>
        <v>#N/A</v>
      </c>
      <c r="T275" s="5" t="e">
        <f ca="1">IF(OR(INDEX($AI$2:$AI$1001,MATCH(ROWS($AH$2:AH275),$AH$2:$AH$1001,0),1)&gt;=100000,INDEX($AO$1005:$BQ$1005,1,MATCH(COLUMNS($AO$1006:BG1006),$AO$1006:$BQ$1006,0))&gt;=100000), " ",IF(INDEX($AO$2:$BQ$1001,MATCH(ROWS($AH$2:AH275),$AH$2:$AH$1001,0),MATCH(COLUMNS($AO$1006:BG1006),$AO$1006:$BQ$1006,0)), HYPERLINK("#",""), HYPERLINK(CONCATENATE("#Metadata!", ADDRESS(INDEX($AJ$2:$AJ$1001,MATCH(ROWS($AH$2:AH275),$AH$2:$AH$1001,0),0), INDEX($AO$1004:$BQ$1004,1,MATCH(COLUMNS($AO$1006:BG1006),$AO$1006:$BQ$1006,0)))),"Fix")))</f>
        <v>#N/A</v>
      </c>
      <c r="U275" s="5" t="e">
        <f ca="1">IF(OR(INDEX($AI$2:$AI$1001,MATCH(ROWS($AH$2:AH275),$AH$2:$AH$1001,0),1)&gt;=100000,INDEX($AO$1005:$BQ$1005,1,MATCH(COLUMNS($AO$1006:BH1006),$AO$1006:$BQ$1006,0))&gt;=100000), " ",IF(INDEX($AO$2:$BQ$1001,MATCH(ROWS($AH$2:AH275),$AH$2:$AH$1001,0),MATCH(COLUMNS($AO$1006:BH1006),$AO$1006:$BQ$1006,0)), HYPERLINK("#",""), HYPERLINK(CONCATENATE("#Metadata!", ADDRESS(INDEX($AJ$2:$AJ$1001,MATCH(ROWS($AH$2:AH275),$AH$2:$AH$1001,0),0), INDEX($AO$1004:$BQ$1004,1,MATCH(COLUMNS($AO$1006:BH1006),$AO$1006:$BQ$1006,0)))),"Fix")))</f>
        <v>#N/A</v>
      </c>
      <c r="V275" s="5" t="e">
        <f ca="1">IF(OR(INDEX($AI$2:$AI$1001,MATCH(ROWS($AH$2:AH275),$AH$2:$AH$1001,0),1)&gt;=100000,INDEX($AO$1005:$BQ$1005,1,MATCH(COLUMNS($AO$1006:BI1006),$AO$1006:$BQ$1006,0))&gt;=100000), " ",IF(INDEX($AO$2:$BQ$1001,MATCH(ROWS($AH$2:AH275),$AH$2:$AH$1001,0),MATCH(COLUMNS($AO$1006:BI1006),$AO$1006:$BQ$1006,0)), HYPERLINK("#",""), HYPERLINK(CONCATENATE("#Metadata!", ADDRESS(INDEX($AJ$2:$AJ$1001,MATCH(ROWS($AH$2:AH275),$AH$2:$AH$1001,0),0), INDEX($AO$1004:$BQ$1004,1,MATCH(COLUMNS($AO$1006:BI1006),$AO$1006:$BQ$1006,0)))),"Fix")))</f>
        <v>#N/A</v>
      </c>
      <c r="W275" s="5" t="e">
        <f ca="1">IF(OR(INDEX($AI$2:$AI$1001,MATCH(ROWS($AH$2:AH275),$AH$2:$AH$1001,0),1)&gt;=100000,INDEX($AO$1005:$BQ$1005,1,MATCH(COLUMNS($AO$1006:BJ1006),$AO$1006:$BQ$1006,0))&gt;=100000), " ",IF(INDEX($AO$2:$BQ$1001,MATCH(ROWS($AH$2:AH275),$AH$2:$AH$1001,0),MATCH(COLUMNS($AO$1006:BJ1006),$AO$1006:$BQ$1006,0)), HYPERLINK("#",""), HYPERLINK(CONCATENATE("#Metadata!", ADDRESS(INDEX($AJ$2:$AJ$1001,MATCH(ROWS($AH$2:AH275),$AH$2:$AH$1001,0),0), INDEX($AO$1004:$BQ$1004,1,MATCH(COLUMNS($AO$1006:BJ1006),$AO$1006:$BQ$1006,0)))),"Fix")))</f>
        <v>#N/A</v>
      </c>
      <c r="X275" s="5" t="e">
        <f ca="1">IF(OR(INDEX($AI$2:$AI$1001,MATCH(ROWS($AH$2:AH275),$AH$2:$AH$1001,0),1)&gt;=100000,INDEX($AO$1005:$BQ$1005,1,MATCH(COLUMNS($AO$1006:BK1006),$AO$1006:$BQ$1006,0))&gt;=100000), " ",IF(INDEX($AO$2:$BQ$1001,MATCH(ROWS($AH$2:AH275),$AH$2:$AH$1001,0),MATCH(COLUMNS($AO$1006:BK1006),$AO$1006:$BQ$1006,0)), HYPERLINK("#",""), HYPERLINK(CONCATENATE("#Metadata!", ADDRESS(INDEX($AJ$2:$AJ$1001,MATCH(ROWS($AH$2:AH275),$AH$2:$AH$1001,0),0), INDEX($AO$1004:$BQ$1004,1,MATCH(COLUMNS($AO$1006:BK1006),$AO$1006:$BQ$1006,0)))),"Fix")))</f>
        <v>#N/A</v>
      </c>
      <c r="Y275" s="5" t="e">
        <f ca="1">IF(OR(INDEX($AI$2:$AI$1001,MATCH(ROWS($AH$2:AH275),$AH$2:$AH$1001,0),1)&gt;=100000,INDEX($AO$1005:$BQ$1005,1,MATCH(COLUMNS($AO$1006:BL1006),$AO$1006:$BQ$1006,0))&gt;=100000), " ",IF(INDEX($AO$2:$BQ$1001,MATCH(ROWS($AH$2:AH275),$AH$2:$AH$1001,0),MATCH(COLUMNS($AO$1006:BL1006),$AO$1006:$BQ$1006,0)), HYPERLINK("#",""), HYPERLINK(CONCATENATE("#Metadata!", ADDRESS(INDEX($AJ$2:$AJ$1001,MATCH(ROWS($AH$2:AH275),$AH$2:$AH$1001,0),0), INDEX($AO$1004:$BQ$1004,1,MATCH(COLUMNS($AO$1006:BL1006),$AO$1006:$BQ$1006,0)))),"Fix")))</f>
        <v>#N/A</v>
      </c>
      <c r="Z275" s="5" t="e">
        <f ca="1">IF(OR(INDEX($AI$2:$AI$1001,MATCH(ROWS($AH$2:AH275),$AH$2:$AH$1001,0),1)&gt;=100000,INDEX($AO$1005:$BQ$1005,1,MATCH(COLUMNS($AO$1006:BM1006),$AO$1006:$BQ$1006,0))&gt;=100000), " ",IF(INDEX($AO$2:$BQ$1001,MATCH(ROWS($AH$2:AH275),$AH$2:$AH$1001,0),MATCH(COLUMNS($AO$1006:BM1006),$AO$1006:$BQ$1006,0)), HYPERLINK("#",""), HYPERLINK(CONCATENATE("#Metadata!", ADDRESS(INDEX($AJ$2:$AJ$1001,MATCH(ROWS($AH$2:AH275),$AH$2:$AH$1001,0),0), INDEX($AO$1004:$BQ$1004,1,MATCH(COLUMNS($AO$1006:BM1006),$AO$1006:$BQ$1006,0)))),"Fix")))</f>
        <v>#N/A</v>
      </c>
      <c r="AA275" s="5" t="e">
        <f ca="1">IF(OR(INDEX($AI$2:$AI$1001,MATCH(ROWS($AH$2:AH275),$AH$2:$AH$1001,0),1)&gt;=100000,INDEX($AO$1005:$BQ$1005,1,MATCH(COLUMNS($AO$1006:BN1006),$AO$1006:$BQ$1006,0))&gt;=100000), " ",IF(INDEX($AO$2:$BQ$1001,MATCH(ROWS($AH$2:AH275),$AH$2:$AH$1001,0),MATCH(COLUMNS($AO$1006:BN1006),$AO$1006:$BQ$1006,0)), HYPERLINK("#",""), HYPERLINK(CONCATENATE("#Metadata!", ADDRESS(INDEX($AJ$2:$AJ$1001,MATCH(ROWS($AH$2:AH275),$AH$2:$AH$1001,0),0), INDEX($AO$1004:$BQ$1004,1,MATCH(COLUMNS($AO$1006:BN1006),$AO$1006:$BQ$1006,0)))),"Fix")))</f>
        <v>#N/A</v>
      </c>
      <c r="AB275" s="5" t="e">
        <f ca="1">IF(OR(INDEX($AI$2:$AI$1001,MATCH(ROWS($AH$2:AH275),$AH$2:$AH$1001,0),1)&gt;=100000,INDEX($AO$1005:$BQ$1005,1,MATCH(COLUMNS($AO$1006:BO1006),$AO$1006:$BQ$1006,0))&gt;=100000), " ",IF(INDEX($AO$2:$BQ$1001,MATCH(ROWS($AH$2:AH275),$AH$2:$AH$1001,0),MATCH(COLUMNS($AO$1006:BO1006),$AO$1006:$BQ$1006,0)), HYPERLINK("#",""), HYPERLINK(CONCATENATE("#Metadata!", ADDRESS(INDEX($AJ$2:$AJ$1001,MATCH(ROWS($AH$2:AH275),$AH$2:$AH$1001,0),0), INDEX($AO$1004:$BQ$1004,1,MATCH(COLUMNS($AO$1006:BO1006),$AO$1006:$BQ$1006,0)))),"Fix")))</f>
        <v>#N/A</v>
      </c>
      <c r="AC275" s="5" t="e">
        <f ca="1">IF(OR(INDEX($AI$2:$AI$1001,MATCH(ROWS($AH$2:AH275),$AH$2:$AH$1001,0),1)&gt;=100000,INDEX($AO$1005:$BQ$1005,1,MATCH(COLUMNS($AO$1006:BP1006),$AO$1006:$BQ$1006,0))&gt;=100000), " ",IF(INDEX($AO$2:$BQ$1001,MATCH(ROWS($AH$2:AH275),$AH$2:$AH$1001,0),MATCH(COLUMNS($AO$1006:BP1006),$AO$1006:$BQ$1006,0)), HYPERLINK("#",""), HYPERLINK(CONCATENATE("#Metadata!", ADDRESS(INDEX($AJ$2:$AJ$1001,MATCH(ROWS($AH$2:AH275),$AH$2:$AH$1001,0),0), INDEX($AO$1004:$BQ$1004,1,MATCH(COLUMNS($AO$1006:BP1006),$AO$1006:$BQ$1006,0)))),"Fix")))</f>
        <v>#N/A</v>
      </c>
      <c r="AD275" s="5" t="e">
        <f ca="1">IF(OR(INDEX($AI$2:$AI$1001,MATCH(ROWS($AH$2:AH275),$AH$2:$AH$1001,0),1)&gt;=100000,INDEX($AO$1005:$BQ$1005,1,MATCH(COLUMNS($AO$1006:BQ1006),$AO$1006:$BQ$1006,0))&gt;=100000), " ",IF(INDEX($AO$2:$BQ$1001,MATCH(ROWS($AH$2:AH275),$AH$2:$AH$1001,0),MATCH(COLUMNS($AO$1006:BQ1006),$AO$1006:$BQ$1006,0)), HYPERLINK("#",""), HYPERLINK(CONCATENATE("#Metadata!", ADDRESS(INDEX($AJ$2:$AJ$1001,MATCH(ROWS($AH$2:AH275),$AH$2:$AH$1001,0),0), INDEX($AO$1004:$BQ$1004,1,MATCH(COLUMNS($AO$1006:BQ1006),$AO$1006:$BQ$1006,0)))),"Fix")))</f>
        <v>#REF!</v>
      </c>
      <c r="AH275">
        <f ca="1"/>
        <v>272</v>
      </c>
      <c r="AI275">
        <v>100275</v>
      </c>
      <c r="AJ275">
        <v>275</v>
      </c>
      <c r="AK275" t="b">
        <f t="shared" si="4"/>
        <v>1</v>
      </c>
      <c r="AL275" t="b">
        <f>COUNTBLANK(Metadata!B275:AD275)=COLUMNS(Metadata!B275:AD275)</f>
        <v>1</v>
      </c>
      <c r="AM275" t="str">
        <v/>
      </c>
      <c r="AO275" t="b">
        <f ca="1">AND(IF(Metadata!B275="",FALSE,TRUE),COUNTIF(Metadata!B:B, Metadata!B275) = 1,NOT(ISERROR(SUMPRODUCT(SEARCH(MID(Metadata!B275,ROW(INDIRECT("1:"&amp;LEN(Metadata!B275))), 1),"0123456789abcdefghijklmnopqrstuvwxyzABCDEFGHIJKLMNOPQRSTUVWXYZ.")))))</f>
        <v>0</v>
      </c>
      <c r="AP275" t="b">
        <f>IF(Metadata!C275="",FALSE,TRUE)</f>
        <v>0</v>
      </c>
      <c r="AQ275" t="b">
        <f>IF(Metadata!D275="",FALSE,TRUE)</f>
        <v>0</v>
      </c>
      <c r="AR275" t="b">
        <f ca="1">OR(AND(IF(Metadata!E275="",FALSE,TRUE),OR(EXACT(Metadata!E275,"not collected"),EXACT(Metadata!E275,"not provided"),EXACT(Metadata!E275,"restricted access"))),AND(IF(Metadata!E275="",FALSE,TRUE),AND(AND(IFERROR(INT(LEFT(Metadata!E275,4))&gt;1900,FALSE),IFERROR(INT(LEFT(Metadata!E275,4))&lt;=YEAR(NOW()),FALSE)), OR(MID(Metadata!E275,5,1)="", AND(AND(MID(Metadata!E275,5,1)="-",IFERROR(INT(MID(Metadata!E275,6,1))&gt;=0,FALSE),IFERROR(INT(MID(Metadata!E275,6,1))&lt;=1,FALSE),NOT(MID(Metadata!E275,7,1)=""),IFERROR(INT(MID(Metadata!E275,6,2))&gt;=1,FALSE),IFERROR(INT(MID(Metadata!E275,6,2))&lt;=12,FALSE)), OR(MID(Metadata!E275,8,1)="", AND(AND(MID(Metadata!E275,8,1)="-",IFERROR(INT(MID(Metadata!E275,9,1))&gt;=0,FALSE),IFERROR(INT(MID(Metadata!E275,9,1))&lt;=3,FALSE),NOT(MID(Metadata!E275,10,1)=""),IFERROR(INT(MID(Metadata!E275,9,2))&gt;=1,FALSE),IFERROR(INT(MID(Metadata!E275,9,2))&lt;=31,FALSE)), OR(MID(Metadata!E275,11,1)="", AND(AND(MID(Metadata!E275,11,1)=" ",IFERROR(INT(MID(Metadata!E275,12,1))&gt;=0,FALSE),IFERROR(INT(MID(Metadata!E275,12,1))&lt;=2,FALSE),NOT(MID(Metadata!E275,13,1)=""),IFERROR(INT(MID(Metadata!E275,12,2))&gt;=0,FALSE),IFERROR(INT(MID(Metadata!E275,12,2))&lt;=23,FALSE)), OR(MID(Metadata!E275,14,1)="", AND(AND(MID(Metadata!E275,14,1)=":",IFERROR(INT(MID(Metadata!E275,15,1))&gt;=0,FALSE),IFERROR(INT(MID(Metadata!E275,15,1))&lt;=5,FALSE),NOT(MID(Metadata!E275,16,1)=""),IFERROR(INT(MID(Metadata!E275,15,2))&gt;=0,FALSE),IFERROR(INT(MID(Metadata!E275,15,2))&lt;=59,FALSE)), OR(MID(Metadata!E275,17,1)="", AND(AND(MID(Metadata!E275,17,1)=":",IFERROR(INT(MID(Metadata!E275,18,1))&gt;=0,FALSE),IFERROR(INT(MID(Metadata!E275,18,1))&lt;=5,FALSE),NOT(MID(Metadata!E275,19,1)=""),IFERROR(INT(MID(Metadata!E275,18,2))&gt;=0,FALSE),IFERROR(INT(MID(Metadata!E275,18,2))&lt;=59,FALSE)), LEN(Metadata!E275)&lt;=19)))))))))))))</f>
        <v>0</v>
      </c>
      <c r="AS275" t="b">
        <f>IF(Metadata!F275="",FALSE,TRUE)</f>
        <v>0</v>
      </c>
      <c r="AT275" t="b">
        <f>OR(AND(IF(Metadata!G275="",FALSE,TRUE),OR(EXACT(Metadata!G275,"not collected"),EXACT(Metadata!G275,"not provided"))),AND(IF(Metadata!G275="",FALSE,TRUE),OR(EXACT(Metadata!G275,"TRUE"),EXACT(Metadata!G275,"FALSE"))))</f>
        <v>0</v>
      </c>
      <c r="AU275" t="b">
        <f>OR(AND(IF(Metadata!H275="",FALSE,TRUE),OR(EXACT(Metadata!H275,"not collected"),EXACT(Metadata!H275,"not provided"),EXACT(Metadata!H275,"restricted access"))),AND(IF(Metadata!H275="",FALSE,ISNUMBER(VALUE(Metadata!H275))),Metadata!H275&gt;=-413))</f>
        <v>0</v>
      </c>
      <c r="AV275" t="b">
        <f>AND(IF(Metadata!I275="",FALSE,TRUE),EXACT(Metadata!I275,"meters"))</f>
        <v>0</v>
      </c>
      <c r="AW275" t="b">
        <f>AND(IF(Metadata!J275="",FALSE,TRUE),EXACT(Metadata!J275,"free-living"))</f>
        <v>0</v>
      </c>
      <c r="AX275" t="b">
        <f>AND(IF(Metadata!K275="",FALSE,TRUE),OR(EXACT(Metadata!K275,"saline"),EXACT(Metadata!K275,"non-saline")))</f>
        <v>0</v>
      </c>
      <c r="AY275" t="b">
        <f>AND(IF(Metadata!L275="",FALSE,TRUE),OR(EXACT(Metadata!L275,"sub-surface (non-saline)"),EXACT(Metadata!L275,"surface (non-saline)"),EXACT(Metadata!L275,"water (non-saline)"),EXACT(Metadata!L275,"soil (non-saline)"),EXACT(Metadata!L275,"aerosol (non-saline)"),EXACT(Metadata!L275,"sediment (non-saline)"),EXACT(Metadata!L275,"surface (saline)"),EXACT(Metadata!L275,"water (saline)"),EXACT(Metadata!L275,"hypersaline (saline)"),EXACT(Metadata!L275,"aerosol (saline)"),EXACT(Metadata!L275,"sediment (saline)")))</f>
        <v>0</v>
      </c>
      <c r="AZ275" t="b">
        <f>IF(Metadata!M275="",FALSE,TRUE)</f>
        <v>0</v>
      </c>
      <c r="BA275" t="b">
        <f>IF(Metadata!N275="",FALSE,TRUE)</f>
        <v>0</v>
      </c>
      <c r="BB275" t="b">
        <f>IF(Metadata!O275="",FALSE,TRUE)</f>
        <v>0</v>
      </c>
      <c r="BC275" t="b">
        <f>AND(IF(Metadata!P275="",FALSE,TRUE),OR(EXACT(Metadata!P275,"air"),EXACT(Metadata!P275,"microbial mat/biofilm"),EXACT(Metadata!P275,"misc environment"),EXACT(Metadata!P275,"sediment"),EXACT(Metadata!P275,"soil"),EXACT(Metadata!P275,"wastewater/sludge"),EXACT(Metadata!P275,"water")))</f>
        <v>0</v>
      </c>
      <c r="BD275" t="b">
        <f>IF(Metadata!Q275="",FALSE,TRUE)</f>
        <v>0</v>
      </c>
      <c r="BE275" t="b">
        <f>IF(Metadata!R275="",FALSE,TRUE)</f>
        <v>0</v>
      </c>
      <c r="BF275" t="b">
        <f>OR(AND(IF(Metadata!S275="",FALSE,TRUE),OR(EXACT(Metadata!S275,"not collected"),EXACT(Metadata!S275,"not provided"),EXACT(Metadata!S275,"restricted access"))),AND(IF(Metadata!S275="",FALSE,ISNUMBER(VALUE(Metadata!S275))),Metadata!S275&gt;=-90,Metadata!S275&lt;=90))</f>
        <v>0</v>
      </c>
      <c r="BG275" t="b">
        <f>AND(IF(Metadata!T275="",FALSE,TRUE),EXACT(Metadata!T275,"Decimal degrees"))</f>
        <v>0</v>
      </c>
      <c r="BH275" t="b">
        <f>OR(AND(IF(Metadata!U275="",FALSE,TRUE),OR(EXACT(Metadata!U275,"not applicable"),EXACT(Metadata!U275,"not collected"))),IF(Metadata!U275="",FALSE,TRUE))</f>
        <v>0</v>
      </c>
      <c r="BI275" t="b">
        <f>OR(AND(IF(Metadata!V275="",FALSE,TRUE),OR(EXACT(Metadata!V275,"not collected"),EXACT(Metadata!V275,"not provided"),EXACT(Metadata!V275,"restricted access"))),AND(IF(Metadata!V275="",FALSE,ISNUMBER(VALUE(Metadata!V275))),Metadata!V275&gt;=-180,Metadata!V275&lt;=180))</f>
        <v>0</v>
      </c>
      <c r="BJ275" t="b">
        <f>AND(IF(Metadata!W275="",FALSE,TRUE),EXACT(Metadata!W275,"Decimal degrees"))</f>
        <v>0</v>
      </c>
      <c r="BK275" t="b">
        <f>IF(Metadata!X275="",FALSE,TRUE)</f>
        <v>0</v>
      </c>
      <c r="BL275" t="b">
        <f>OR(AND(IF(Metadata!Y275="",FALSE,TRUE),OR(EXACT(Metadata!Y275,"not collected"),EXACT(Metadata!Y275,"not provided"),EXACT(Metadata!Y275,"restricted access"))),AND(IF(Metadata!Y275="",FALSE,TRUE),OR(EXACT(Metadata!Y275,"TRUE"),EXACT(Metadata!Y275,"FALSE"))))</f>
        <v>0</v>
      </c>
      <c r="BM275" t="b">
        <f>OR(AND(IF(Metadata!Z275="",FALSE,TRUE),EXACT(Metadata!Z275,"not applicable")),AND(IF(Metadata!Z275="",FALSE,TRUE),OR(EXACT(Metadata!Z275,"beer"),EXACT(Metadata!Z275,"cheese"),EXACT(Metadata!Z275,"fresh water"),EXACT(Metadata!Z275,"marine sediment"),EXACT(Metadata!Z275,"sea water"),EXACT(Metadata!Z275,"sediment"),EXACT(Metadata!Z275,"soil"),EXACT(Metadata!Z275,"waste water"))))</f>
        <v>0</v>
      </c>
      <c r="BN275" t="b">
        <f>AND(IF(Metadata!AA275="",FALSE,TRUE),EXACT(Metadata!AA275,"metagenome"))</f>
        <v>0</v>
      </c>
      <c r="BO275" t="b">
        <f>AND(IF(Metadata!AB275="",FALSE,TRUE),EXACT(Metadata!AB275,"256318"))</f>
        <v>0</v>
      </c>
      <c r="BP275" t="b">
        <f>IF(Metadata!AC275="",FALSE,TRUE)</f>
        <v>0</v>
      </c>
      <c r="BQ275" t="b">
        <f>IF(Metadata!AD275="",FALSE,TRUE)</f>
        <v>0</v>
      </c>
    </row>
    <row r="276" spans="1:69" x14ac:dyDescent="0.2">
      <c r="A276" s="4" t="e">
        <f ca="1">IF(B276=" "," ",HYPERLINK(CONCATENATE("#metadata!",ADDRESS(INDEX($AJ$2:$AJ$1001,MATCH(ROWS($AH$2:AH276),$AH$2:$AH$1001,0),0),2)),INDEX($AM$2:$AM$1001,MATCH(ROWS($AH$2:AH276),$AH$2:$AH$1001,0),0)))</f>
        <v>#N/A</v>
      </c>
      <c r="B276" s="5" t="e">
        <f ca="1">IF(OR(INDEX($AI$2:$AI$1001,MATCH(ROWS($AH$2:AH276),$AH$2:$AH$1001,0),1)&gt;=100000,INDEX($AO$1005:$BQ$1005,1,MATCH(COLUMNS($AO$1006:AO1006),$AO$1006:$BQ$1006,0))&gt;=100000), " ",IF(INDEX($AO$2:$BQ$1001,MATCH(ROWS($AH$2:AH276),$AH$2:$AH$1001,0),MATCH(COLUMNS($AO$1006:AO1006),$AO$1006:$BQ$1006,0)), HYPERLINK("#",""), HYPERLINK(CONCATENATE("#Metadata!", ADDRESS(INDEX($AJ$2:$AJ$1001,MATCH(ROWS($AH$2:AH276),$AH$2:$AH$1001,0),0), INDEX($AO$1004:$BQ$1004,1,MATCH(COLUMNS($AO$1006:AO1006),$AO$1006:$BQ$1006,0)))),"Fix")))</f>
        <v>#N/A</v>
      </c>
      <c r="C276" s="5" t="e">
        <f ca="1">IF(OR(INDEX($AI$2:$AI$1001,MATCH(ROWS($AH$2:AH276),$AH$2:$AH$1001,0),1)&gt;=100000,INDEX($AO$1005:$BQ$1005,1,MATCH(COLUMNS($AO$1006:AP1006),$AO$1006:$BQ$1006,0))&gt;=100000), " ",IF(INDEX($AO$2:$BQ$1001,MATCH(ROWS($AH$2:AH276),$AH$2:$AH$1001,0),MATCH(COLUMNS($AO$1006:AP1006),$AO$1006:$BQ$1006,0)), HYPERLINK("#",""), HYPERLINK(CONCATENATE("#Metadata!", ADDRESS(INDEX($AJ$2:$AJ$1001,MATCH(ROWS($AH$2:AH276),$AH$2:$AH$1001,0),0), INDEX($AO$1004:$BQ$1004,1,MATCH(COLUMNS($AO$1006:AP1006),$AO$1006:$BQ$1006,0)))),"Fix")))</f>
        <v>#N/A</v>
      </c>
      <c r="D276" s="5" t="e">
        <f ca="1">IF(OR(INDEX($AI$2:$AI$1001,MATCH(ROWS($AH$2:AH276),$AH$2:$AH$1001,0),1)&gt;=100000,INDEX($AO$1005:$BQ$1005,1,MATCH(COLUMNS($AO$1006:AQ1006),$AO$1006:$BQ$1006,0))&gt;=100000), " ",IF(INDEX($AO$2:$BQ$1001,MATCH(ROWS($AH$2:AH276),$AH$2:$AH$1001,0),MATCH(COLUMNS($AO$1006:AQ1006),$AO$1006:$BQ$1006,0)), HYPERLINK("#",""), HYPERLINK(CONCATENATE("#Metadata!", ADDRESS(INDEX($AJ$2:$AJ$1001,MATCH(ROWS($AH$2:AH276),$AH$2:$AH$1001,0),0), INDEX($AO$1004:$BQ$1004,1,MATCH(COLUMNS($AO$1006:AQ1006),$AO$1006:$BQ$1006,0)))),"Fix")))</f>
        <v>#N/A</v>
      </c>
      <c r="E276" s="5" t="e">
        <f ca="1">IF(OR(INDEX($AI$2:$AI$1001,MATCH(ROWS($AH$2:AH276),$AH$2:$AH$1001,0),1)&gt;=100000,INDEX($AO$1005:$BQ$1005,1,MATCH(COLUMNS($AO$1006:AR1006),$AO$1006:$BQ$1006,0))&gt;=100000), " ",IF(INDEX($AO$2:$BQ$1001,MATCH(ROWS($AH$2:AH276),$AH$2:$AH$1001,0),MATCH(COLUMNS($AO$1006:AR1006),$AO$1006:$BQ$1006,0)), HYPERLINK("#",""), HYPERLINK(CONCATENATE("#Metadata!", ADDRESS(INDEX($AJ$2:$AJ$1001,MATCH(ROWS($AH$2:AH276),$AH$2:$AH$1001,0),0), INDEX($AO$1004:$BQ$1004,1,MATCH(COLUMNS($AO$1006:AR1006),$AO$1006:$BQ$1006,0)))),"Fix")))</f>
        <v>#N/A</v>
      </c>
      <c r="F276" s="5" t="e">
        <f ca="1">IF(OR(INDEX($AI$2:$AI$1001,MATCH(ROWS($AH$2:AH276),$AH$2:$AH$1001,0),1)&gt;=100000,INDEX($AO$1005:$BQ$1005,1,MATCH(COLUMNS($AO$1006:AS1006),$AO$1006:$BQ$1006,0))&gt;=100000), " ",IF(INDEX($AO$2:$BQ$1001,MATCH(ROWS($AH$2:AH276),$AH$2:$AH$1001,0),MATCH(COLUMNS($AO$1006:AS1006),$AO$1006:$BQ$1006,0)), HYPERLINK("#",""), HYPERLINK(CONCATENATE("#Metadata!", ADDRESS(INDEX($AJ$2:$AJ$1001,MATCH(ROWS($AH$2:AH276),$AH$2:$AH$1001,0),0), INDEX($AO$1004:$BQ$1004,1,MATCH(COLUMNS($AO$1006:AS1006),$AO$1006:$BQ$1006,0)))),"Fix")))</f>
        <v>#N/A</v>
      </c>
      <c r="G276" s="5" t="e">
        <f ca="1">IF(OR(INDEX($AI$2:$AI$1001,MATCH(ROWS($AH$2:AH276),$AH$2:$AH$1001,0),1)&gt;=100000,INDEX($AO$1005:$BQ$1005,1,MATCH(COLUMNS($AO$1006:AT1006),$AO$1006:$BQ$1006,0))&gt;=100000), " ",IF(INDEX($AO$2:$BQ$1001,MATCH(ROWS($AH$2:AH276),$AH$2:$AH$1001,0),MATCH(COLUMNS($AO$1006:AT1006),$AO$1006:$BQ$1006,0)), HYPERLINK("#",""), HYPERLINK(CONCATENATE("#Metadata!", ADDRESS(INDEX($AJ$2:$AJ$1001,MATCH(ROWS($AH$2:AH276),$AH$2:$AH$1001,0),0), INDEX($AO$1004:$BQ$1004,1,MATCH(COLUMNS($AO$1006:AT1006),$AO$1006:$BQ$1006,0)))),"Fix")))</f>
        <v>#N/A</v>
      </c>
      <c r="H276" s="5" t="e">
        <f ca="1">IF(OR(INDEX($AI$2:$AI$1001,MATCH(ROWS($AH$2:AH276),$AH$2:$AH$1001,0),1)&gt;=100000,INDEX($AO$1005:$BQ$1005,1,MATCH(COLUMNS($AO$1006:AU1006),$AO$1006:$BQ$1006,0))&gt;=100000), " ",IF(INDEX($AO$2:$BQ$1001,MATCH(ROWS($AH$2:AH276),$AH$2:$AH$1001,0),MATCH(COLUMNS($AO$1006:AU1006),$AO$1006:$BQ$1006,0)), HYPERLINK("#",""), HYPERLINK(CONCATENATE("#Metadata!", ADDRESS(INDEX($AJ$2:$AJ$1001,MATCH(ROWS($AH$2:AH276),$AH$2:$AH$1001,0),0), INDEX($AO$1004:$BQ$1004,1,MATCH(COLUMNS($AO$1006:AU1006),$AO$1006:$BQ$1006,0)))),"Fix")))</f>
        <v>#N/A</v>
      </c>
      <c r="I276" s="5" t="e">
        <f ca="1">IF(OR(INDEX($AI$2:$AI$1001,MATCH(ROWS($AH$2:AH276),$AH$2:$AH$1001,0),1)&gt;=100000,INDEX($AO$1005:$BQ$1005,1,MATCH(COLUMNS($AO$1006:AV1006),$AO$1006:$BQ$1006,0))&gt;=100000), " ",IF(INDEX($AO$2:$BQ$1001,MATCH(ROWS($AH$2:AH276),$AH$2:$AH$1001,0),MATCH(COLUMNS($AO$1006:AV1006),$AO$1006:$BQ$1006,0)), HYPERLINK("#",""), HYPERLINK(CONCATENATE("#Metadata!", ADDRESS(INDEX($AJ$2:$AJ$1001,MATCH(ROWS($AH$2:AH276),$AH$2:$AH$1001,0),0), INDEX($AO$1004:$BQ$1004,1,MATCH(COLUMNS($AO$1006:AV1006),$AO$1006:$BQ$1006,0)))),"Fix")))</f>
        <v>#N/A</v>
      </c>
      <c r="J276" s="5" t="e">
        <f ca="1">IF(OR(INDEX($AI$2:$AI$1001,MATCH(ROWS($AH$2:AH276),$AH$2:$AH$1001,0),1)&gt;=100000,INDEX($AO$1005:$BQ$1005,1,MATCH(COLUMNS($AO$1006:AW1006),$AO$1006:$BQ$1006,0))&gt;=100000), " ",IF(INDEX($AO$2:$BQ$1001,MATCH(ROWS($AH$2:AH276),$AH$2:$AH$1001,0),MATCH(COLUMNS($AO$1006:AW1006),$AO$1006:$BQ$1006,0)), HYPERLINK("#",""), HYPERLINK(CONCATENATE("#Metadata!", ADDRESS(INDEX($AJ$2:$AJ$1001,MATCH(ROWS($AH$2:AH276),$AH$2:$AH$1001,0),0), INDEX($AO$1004:$BQ$1004,1,MATCH(COLUMNS($AO$1006:AW1006),$AO$1006:$BQ$1006,0)))),"Fix")))</f>
        <v>#N/A</v>
      </c>
      <c r="K276" s="5" t="e">
        <f ca="1">IF(OR(INDEX($AI$2:$AI$1001,MATCH(ROWS($AH$2:AH276),$AH$2:$AH$1001,0),1)&gt;=100000,INDEX($AO$1005:$BQ$1005,1,MATCH(COLUMNS($AO$1006:AX1006),$AO$1006:$BQ$1006,0))&gt;=100000), " ",IF(INDEX($AO$2:$BQ$1001,MATCH(ROWS($AH$2:AH276),$AH$2:$AH$1001,0),MATCH(COLUMNS($AO$1006:AX1006),$AO$1006:$BQ$1006,0)), HYPERLINK("#",""), HYPERLINK(CONCATENATE("#Metadata!", ADDRESS(INDEX($AJ$2:$AJ$1001,MATCH(ROWS($AH$2:AH276),$AH$2:$AH$1001,0),0), INDEX($AO$1004:$BQ$1004,1,MATCH(COLUMNS($AO$1006:AX1006),$AO$1006:$BQ$1006,0)))),"Fix")))</f>
        <v>#N/A</v>
      </c>
      <c r="L276" s="5" t="e">
        <f ca="1">IF(OR(INDEX($AI$2:$AI$1001,MATCH(ROWS($AH$2:AH276),$AH$2:$AH$1001,0),1)&gt;=100000,INDEX($AO$1005:$BQ$1005,1,MATCH(COLUMNS($AO$1006:AY1006),$AO$1006:$BQ$1006,0))&gt;=100000), " ",IF(INDEX($AO$2:$BQ$1001,MATCH(ROWS($AH$2:AH276),$AH$2:$AH$1001,0),MATCH(COLUMNS($AO$1006:AY1006),$AO$1006:$BQ$1006,0)), HYPERLINK("#",""), HYPERLINK(CONCATENATE("#Metadata!", ADDRESS(INDEX($AJ$2:$AJ$1001,MATCH(ROWS($AH$2:AH276),$AH$2:$AH$1001,0),0), INDEX($AO$1004:$BQ$1004,1,MATCH(COLUMNS($AO$1006:AY1006),$AO$1006:$BQ$1006,0)))),"Fix")))</f>
        <v>#N/A</v>
      </c>
      <c r="M276" s="5" t="e">
        <f ca="1">IF(OR(INDEX($AI$2:$AI$1001,MATCH(ROWS($AH$2:AH276),$AH$2:$AH$1001,0),1)&gt;=100000,INDEX($AO$1005:$BQ$1005,1,MATCH(COLUMNS($AO$1006:AZ1006),$AO$1006:$BQ$1006,0))&gt;=100000), " ",IF(INDEX($AO$2:$BQ$1001,MATCH(ROWS($AH$2:AH276),$AH$2:$AH$1001,0),MATCH(COLUMNS($AO$1006:AZ1006),$AO$1006:$BQ$1006,0)), HYPERLINK("#",""), HYPERLINK(CONCATENATE("#Metadata!", ADDRESS(INDEX($AJ$2:$AJ$1001,MATCH(ROWS($AH$2:AH276),$AH$2:$AH$1001,0),0), INDEX($AO$1004:$BQ$1004,1,MATCH(COLUMNS($AO$1006:AZ1006),$AO$1006:$BQ$1006,0)))),"Fix")))</f>
        <v>#N/A</v>
      </c>
      <c r="N276" s="5" t="e">
        <f ca="1">IF(OR(INDEX($AI$2:$AI$1001,MATCH(ROWS($AH$2:AH276),$AH$2:$AH$1001,0),1)&gt;=100000,INDEX($AO$1005:$BQ$1005,1,MATCH(COLUMNS($AO$1006:BA1006),$AO$1006:$BQ$1006,0))&gt;=100000), " ",IF(INDEX($AO$2:$BQ$1001,MATCH(ROWS($AH$2:AH276),$AH$2:$AH$1001,0),MATCH(COLUMNS($AO$1006:BA1006),$AO$1006:$BQ$1006,0)), HYPERLINK("#",""), HYPERLINK(CONCATENATE("#Metadata!", ADDRESS(INDEX($AJ$2:$AJ$1001,MATCH(ROWS($AH$2:AH276),$AH$2:$AH$1001,0),0), INDEX($AO$1004:$BQ$1004,1,MATCH(COLUMNS($AO$1006:BA1006),$AO$1006:$BQ$1006,0)))),"Fix")))</f>
        <v>#N/A</v>
      </c>
      <c r="O276" s="5" t="e">
        <f ca="1">IF(OR(INDEX($AI$2:$AI$1001,MATCH(ROWS($AH$2:AH276),$AH$2:$AH$1001,0),1)&gt;=100000,INDEX($AO$1005:$BQ$1005,1,MATCH(COLUMNS($AO$1006:BB1006),$AO$1006:$BQ$1006,0))&gt;=100000), " ",IF(INDEX($AO$2:$BQ$1001,MATCH(ROWS($AH$2:AH276),$AH$2:$AH$1001,0),MATCH(COLUMNS($AO$1006:BB1006),$AO$1006:$BQ$1006,0)), HYPERLINK("#",""), HYPERLINK(CONCATENATE("#Metadata!", ADDRESS(INDEX($AJ$2:$AJ$1001,MATCH(ROWS($AH$2:AH276),$AH$2:$AH$1001,0),0), INDEX($AO$1004:$BQ$1004,1,MATCH(COLUMNS($AO$1006:BB1006),$AO$1006:$BQ$1006,0)))),"Fix")))</f>
        <v>#N/A</v>
      </c>
      <c r="P276" s="5" t="e">
        <f ca="1">IF(OR(INDEX($AI$2:$AI$1001,MATCH(ROWS($AH$2:AH276),$AH$2:$AH$1001,0),1)&gt;=100000,INDEX($AO$1005:$BQ$1005,1,MATCH(COLUMNS($AO$1006:BC1006),$AO$1006:$BQ$1006,0))&gt;=100000), " ",IF(INDEX($AO$2:$BQ$1001,MATCH(ROWS($AH$2:AH276),$AH$2:$AH$1001,0),MATCH(COLUMNS($AO$1006:BC1006),$AO$1006:$BQ$1006,0)), HYPERLINK("#",""), HYPERLINK(CONCATENATE("#Metadata!", ADDRESS(INDEX($AJ$2:$AJ$1001,MATCH(ROWS($AH$2:AH276),$AH$2:$AH$1001,0),0), INDEX($AO$1004:$BQ$1004,1,MATCH(COLUMNS($AO$1006:BC1006),$AO$1006:$BQ$1006,0)))),"Fix")))</f>
        <v>#N/A</v>
      </c>
      <c r="Q276" s="5" t="e">
        <f ca="1">IF(OR(INDEX($AI$2:$AI$1001,MATCH(ROWS($AH$2:AH276),$AH$2:$AH$1001,0),1)&gt;=100000,INDEX($AO$1005:$BQ$1005,1,MATCH(COLUMNS($AO$1006:BD1006),$AO$1006:$BQ$1006,0))&gt;=100000), " ",IF(INDEX($AO$2:$BQ$1001,MATCH(ROWS($AH$2:AH276),$AH$2:$AH$1001,0),MATCH(COLUMNS($AO$1006:BD1006),$AO$1006:$BQ$1006,0)), HYPERLINK("#",""), HYPERLINK(CONCATENATE("#Metadata!", ADDRESS(INDEX($AJ$2:$AJ$1001,MATCH(ROWS($AH$2:AH276),$AH$2:$AH$1001,0),0), INDEX($AO$1004:$BQ$1004,1,MATCH(COLUMNS($AO$1006:BD1006),$AO$1006:$BQ$1006,0)))),"Fix")))</f>
        <v>#N/A</v>
      </c>
      <c r="R276" s="5" t="e">
        <f ca="1">IF(OR(INDEX($AI$2:$AI$1001,MATCH(ROWS($AH$2:AH276),$AH$2:$AH$1001,0),1)&gt;=100000,INDEX($AO$1005:$BQ$1005,1,MATCH(COLUMNS($AO$1006:BE1006),$AO$1006:$BQ$1006,0))&gt;=100000), " ",IF(INDEX($AO$2:$BQ$1001,MATCH(ROWS($AH$2:AH276),$AH$2:$AH$1001,0),MATCH(COLUMNS($AO$1006:BE1006),$AO$1006:$BQ$1006,0)), HYPERLINK("#",""), HYPERLINK(CONCATENATE("#Metadata!", ADDRESS(INDEX($AJ$2:$AJ$1001,MATCH(ROWS($AH$2:AH276),$AH$2:$AH$1001,0),0), INDEX($AO$1004:$BQ$1004,1,MATCH(COLUMNS($AO$1006:BE1006),$AO$1006:$BQ$1006,0)))),"Fix")))</f>
        <v>#N/A</v>
      </c>
      <c r="S276" s="5" t="e">
        <f ca="1">IF(OR(INDEX($AI$2:$AI$1001,MATCH(ROWS($AH$2:AH276),$AH$2:$AH$1001,0),1)&gt;=100000,INDEX($AO$1005:$BQ$1005,1,MATCH(COLUMNS($AO$1006:BF1006),$AO$1006:$BQ$1006,0))&gt;=100000), " ",IF(INDEX($AO$2:$BQ$1001,MATCH(ROWS($AH$2:AH276),$AH$2:$AH$1001,0),MATCH(COLUMNS($AO$1006:BF1006),$AO$1006:$BQ$1006,0)), HYPERLINK("#",""), HYPERLINK(CONCATENATE("#Metadata!", ADDRESS(INDEX($AJ$2:$AJ$1001,MATCH(ROWS($AH$2:AH276),$AH$2:$AH$1001,0),0), INDEX($AO$1004:$BQ$1004,1,MATCH(COLUMNS($AO$1006:BF1006),$AO$1006:$BQ$1006,0)))),"Fix")))</f>
        <v>#N/A</v>
      </c>
      <c r="T276" s="5" t="e">
        <f ca="1">IF(OR(INDEX($AI$2:$AI$1001,MATCH(ROWS($AH$2:AH276),$AH$2:$AH$1001,0),1)&gt;=100000,INDEX($AO$1005:$BQ$1005,1,MATCH(COLUMNS($AO$1006:BG1006),$AO$1006:$BQ$1006,0))&gt;=100000), " ",IF(INDEX($AO$2:$BQ$1001,MATCH(ROWS($AH$2:AH276),$AH$2:$AH$1001,0),MATCH(COLUMNS($AO$1006:BG1006),$AO$1006:$BQ$1006,0)), HYPERLINK("#",""), HYPERLINK(CONCATENATE("#Metadata!", ADDRESS(INDEX($AJ$2:$AJ$1001,MATCH(ROWS($AH$2:AH276),$AH$2:$AH$1001,0),0), INDEX($AO$1004:$BQ$1004,1,MATCH(COLUMNS($AO$1006:BG1006),$AO$1006:$BQ$1006,0)))),"Fix")))</f>
        <v>#N/A</v>
      </c>
      <c r="U276" s="5" t="e">
        <f ca="1">IF(OR(INDEX($AI$2:$AI$1001,MATCH(ROWS($AH$2:AH276),$AH$2:$AH$1001,0),1)&gt;=100000,INDEX($AO$1005:$BQ$1005,1,MATCH(COLUMNS($AO$1006:BH1006),$AO$1006:$BQ$1006,0))&gt;=100000), " ",IF(INDEX($AO$2:$BQ$1001,MATCH(ROWS($AH$2:AH276),$AH$2:$AH$1001,0),MATCH(COLUMNS($AO$1006:BH1006),$AO$1006:$BQ$1006,0)), HYPERLINK("#",""), HYPERLINK(CONCATENATE("#Metadata!", ADDRESS(INDEX($AJ$2:$AJ$1001,MATCH(ROWS($AH$2:AH276),$AH$2:$AH$1001,0),0), INDEX($AO$1004:$BQ$1004,1,MATCH(COLUMNS($AO$1006:BH1006),$AO$1006:$BQ$1006,0)))),"Fix")))</f>
        <v>#N/A</v>
      </c>
      <c r="V276" s="5" t="e">
        <f ca="1">IF(OR(INDEX($AI$2:$AI$1001,MATCH(ROWS($AH$2:AH276),$AH$2:$AH$1001,0),1)&gt;=100000,INDEX($AO$1005:$BQ$1005,1,MATCH(COLUMNS($AO$1006:BI1006),$AO$1006:$BQ$1006,0))&gt;=100000), " ",IF(INDEX($AO$2:$BQ$1001,MATCH(ROWS($AH$2:AH276),$AH$2:$AH$1001,0),MATCH(COLUMNS($AO$1006:BI1006),$AO$1006:$BQ$1006,0)), HYPERLINK("#",""), HYPERLINK(CONCATENATE("#Metadata!", ADDRESS(INDEX($AJ$2:$AJ$1001,MATCH(ROWS($AH$2:AH276),$AH$2:$AH$1001,0),0), INDEX($AO$1004:$BQ$1004,1,MATCH(COLUMNS($AO$1006:BI1006),$AO$1006:$BQ$1006,0)))),"Fix")))</f>
        <v>#N/A</v>
      </c>
      <c r="W276" s="5" t="e">
        <f ca="1">IF(OR(INDEX($AI$2:$AI$1001,MATCH(ROWS($AH$2:AH276),$AH$2:$AH$1001,0),1)&gt;=100000,INDEX($AO$1005:$BQ$1005,1,MATCH(COLUMNS($AO$1006:BJ1006),$AO$1006:$BQ$1006,0))&gt;=100000), " ",IF(INDEX($AO$2:$BQ$1001,MATCH(ROWS($AH$2:AH276),$AH$2:$AH$1001,0),MATCH(COLUMNS($AO$1006:BJ1006),$AO$1006:$BQ$1006,0)), HYPERLINK("#",""), HYPERLINK(CONCATENATE("#Metadata!", ADDRESS(INDEX($AJ$2:$AJ$1001,MATCH(ROWS($AH$2:AH276),$AH$2:$AH$1001,0),0), INDEX($AO$1004:$BQ$1004,1,MATCH(COLUMNS($AO$1006:BJ1006),$AO$1006:$BQ$1006,0)))),"Fix")))</f>
        <v>#N/A</v>
      </c>
      <c r="X276" s="5" t="e">
        <f ca="1">IF(OR(INDEX($AI$2:$AI$1001,MATCH(ROWS($AH$2:AH276),$AH$2:$AH$1001,0),1)&gt;=100000,INDEX($AO$1005:$BQ$1005,1,MATCH(COLUMNS($AO$1006:BK1006),$AO$1006:$BQ$1006,0))&gt;=100000), " ",IF(INDEX($AO$2:$BQ$1001,MATCH(ROWS($AH$2:AH276),$AH$2:$AH$1001,0),MATCH(COLUMNS($AO$1006:BK1006),$AO$1006:$BQ$1006,0)), HYPERLINK("#",""), HYPERLINK(CONCATENATE("#Metadata!", ADDRESS(INDEX($AJ$2:$AJ$1001,MATCH(ROWS($AH$2:AH276),$AH$2:$AH$1001,0),0), INDEX($AO$1004:$BQ$1004,1,MATCH(COLUMNS($AO$1006:BK1006),$AO$1006:$BQ$1006,0)))),"Fix")))</f>
        <v>#N/A</v>
      </c>
      <c r="Y276" s="5" t="e">
        <f ca="1">IF(OR(INDEX($AI$2:$AI$1001,MATCH(ROWS($AH$2:AH276),$AH$2:$AH$1001,0),1)&gt;=100000,INDEX($AO$1005:$BQ$1005,1,MATCH(COLUMNS($AO$1006:BL1006),$AO$1006:$BQ$1006,0))&gt;=100000), " ",IF(INDEX($AO$2:$BQ$1001,MATCH(ROWS($AH$2:AH276),$AH$2:$AH$1001,0),MATCH(COLUMNS($AO$1006:BL1006),$AO$1006:$BQ$1006,0)), HYPERLINK("#",""), HYPERLINK(CONCATENATE("#Metadata!", ADDRESS(INDEX($AJ$2:$AJ$1001,MATCH(ROWS($AH$2:AH276),$AH$2:$AH$1001,0),0), INDEX($AO$1004:$BQ$1004,1,MATCH(COLUMNS($AO$1006:BL1006),$AO$1006:$BQ$1006,0)))),"Fix")))</f>
        <v>#N/A</v>
      </c>
      <c r="Z276" s="5" t="e">
        <f ca="1">IF(OR(INDEX($AI$2:$AI$1001,MATCH(ROWS($AH$2:AH276),$AH$2:$AH$1001,0),1)&gt;=100000,INDEX($AO$1005:$BQ$1005,1,MATCH(COLUMNS($AO$1006:BM1006),$AO$1006:$BQ$1006,0))&gt;=100000), " ",IF(INDEX($AO$2:$BQ$1001,MATCH(ROWS($AH$2:AH276),$AH$2:$AH$1001,0),MATCH(COLUMNS($AO$1006:BM1006),$AO$1006:$BQ$1006,0)), HYPERLINK("#",""), HYPERLINK(CONCATENATE("#Metadata!", ADDRESS(INDEX($AJ$2:$AJ$1001,MATCH(ROWS($AH$2:AH276),$AH$2:$AH$1001,0),0), INDEX($AO$1004:$BQ$1004,1,MATCH(COLUMNS($AO$1006:BM1006),$AO$1006:$BQ$1006,0)))),"Fix")))</f>
        <v>#N/A</v>
      </c>
      <c r="AA276" s="5" t="e">
        <f ca="1">IF(OR(INDEX($AI$2:$AI$1001,MATCH(ROWS($AH$2:AH276),$AH$2:$AH$1001,0),1)&gt;=100000,INDEX($AO$1005:$BQ$1005,1,MATCH(COLUMNS($AO$1006:BN1006),$AO$1006:$BQ$1006,0))&gt;=100000), " ",IF(INDEX($AO$2:$BQ$1001,MATCH(ROWS($AH$2:AH276),$AH$2:$AH$1001,0),MATCH(COLUMNS($AO$1006:BN1006),$AO$1006:$BQ$1006,0)), HYPERLINK("#",""), HYPERLINK(CONCATENATE("#Metadata!", ADDRESS(INDEX($AJ$2:$AJ$1001,MATCH(ROWS($AH$2:AH276),$AH$2:$AH$1001,0),0), INDEX($AO$1004:$BQ$1004,1,MATCH(COLUMNS($AO$1006:BN1006),$AO$1006:$BQ$1006,0)))),"Fix")))</f>
        <v>#N/A</v>
      </c>
      <c r="AB276" s="5" t="e">
        <f ca="1">IF(OR(INDEX($AI$2:$AI$1001,MATCH(ROWS($AH$2:AH276),$AH$2:$AH$1001,0),1)&gt;=100000,INDEX($AO$1005:$BQ$1005,1,MATCH(COLUMNS($AO$1006:BO1006),$AO$1006:$BQ$1006,0))&gt;=100000), " ",IF(INDEX($AO$2:$BQ$1001,MATCH(ROWS($AH$2:AH276),$AH$2:$AH$1001,0),MATCH(COLUMNS($AO$1006:BO1006),$AO$1006:$BQ$1006,0)), HYPERLINK("#",""), HYPERLINK(CONCATENATE("#Metadata!", ADDRESS(INDEX($AJ$2:$AJ$1001,MATCH(ROWS($AH$2:AH276),$AH$2:$AH$1001,0),0), INDEX($AO$1004:$BQ$1004,1,MATCH(COLUMNS($AO$1006:BO1006),$AO$1006:$BQ$1006,0)))),"Fix")))</f>
        <v>#N/A</v>
      </c>
      <c r="AC276" s="5" t="e">
        <f ca="1">IF(OR(INDEX($AI$2:$AI$1001,MATCH(ROWS($AH$2:AH276),$AH$2:$AH$1001,0),1)&gt;=100000,INDEX($AO$1005:$BQ$1005,1,MATCH(COLUMNS($AO$1006:BP1006),$AO$1006:$BQ$1006,0))&gt;=100000), " ",IF(INDEX($AO$2:$BQ$1001,MATCH(ROWS($AH$2:AH276),$AH$2:$AH$1001,0),MATCH(COLUMNS($AO$1006:BP1006),$AO$1006:$BQ$1006,0)), HYPERLINK("#",""), HYPERLINK(CONCATENATE("#Metadata!", ADDRESS(INDEX($AJ$2:$AJ$1001,MATCH(ROWS($AH$2:AH276),$AH$2:$AH$1001,0),0), INDEX($AO$1004:$BQ$1004,1,MATCH(COLUMNS($AO$1006:BP1006),$AO$1006:$BQ$1006,0)))),"Fix")))</f>
        <v>#N/A</v>
      </c>
      <c r="AD276" s="5" t="e">
        <f ca="1">IF(OR(INDEX($AI$2:$AI$1001,MATCH(ROWS($AH$2:AH276),$AH$2:$AH$1001,0),1)&gt;=100000,INDEX($AO$1005:$BQ$1005,1,MATCH(COLUMNS($AO$1006:BQ1006),$AO$1006:$BQ$1006,0))&gt;=100000), " ",IF(INDEX($AO$2:$BQ$1001,MATCH(ROWS($AH$2:AH276),$AH$2:$AH$1001,0),MATCH(COLUMNS($AO$1006:BQ1006),$AO$1006:$BQ$1006,0)), HYPERLINK("#",""), HYPERLINK(CONCATENATE("#Metadata!", ADDRESS(INDEX($AJ$2:$AJ$1001,MATCH(ROWS($AH$2:AH276),$AH$2:$AH$1001,0),0), INDEX($AO$1004:$BQ$1004,1,MATCH(COLUMNS($AO$1006:BQ1006),$AO$1006:$BQ$1006,0)))),"Fix")))</f>
        <v>#REF!</v>
      </c>
      <c r="AH276">
        <f ca="1"/>
        <v>273</v>
      </c>
      <c r="AI276">
        <v>100276</v>
      </c>
      <c r="AJ276">
        <v>276</v>
      </c>
      <c r="AK276" t="b">
        <f t="shared" si="4"/>
        <v>1</v>
      </c>
      <c r="AL276" t="b">
        <f>COUNTBLANK(Metadata!B276:AD276)=COLUMNS(Metadata!B276:AD276)</f>
        <v>1</v>
      </c>
      <c r="AM276" t="str">
        <v/>
      </c>
      <c r="AO276" t="b">
        <f ca="1">AND(IF(Metadata!B276="",FALSE,TRUE),COUNTIF(Metadata!B:B, Metadata!B276) = 1,NOT(ISERROR(SUMPRODUCT(SEARCH(MID(Metadata!B276,ROW(INDIRECT("1:"&amp;LEN(Metadata!B276))), 1),"0123456789abcdefghijklmnopqrstuvwxyzABCDEFGHIJKLMNOPQRSTUVWXYZ.")))))</f>
        <v>0</v>
      </c>
      <c r="AP276" t="b">
        <f>IF(Metadata!C276="",FALSE,TRUE)</f>
        <v>0</v>
      </c>
      <c r="AQ276" t="b">
        <f>IF(Metadata!D276="",FALSE,TRUE)</f>
        <v>0</v>
      </c>
      <c r="AR276" t="b">
        <f ca="1">OR(AND(IF(Metadata!E276="",FALSE,TRUE),OR(EXACT(Metadata!E276,"not collected"),EXACT(Metadata!E276,"not provided"),EXACT(Metadata!E276,"restricted access"))),AND(IF(Metadata!E276="",FALSE,TRUE),AND(AND(IFERROR(INT(LEFT(Metadata!E276,4))&gt;1900,FALSE),IFERROR(INT(LEFT(Metadata!E276,4))&lt;=YEAR(NOW()),FALSE)), OR(MID(Metadata!E276,5,1)="", AND(AND(MID(Metadata!E276,5,1)="-",IFERROR(INT(MID(Metadata!E276,6,1))&gt;=0,FALSE),IFERROR(INT(MID(Metadata!E276,6,1))&lt;=1,FALSE),NOT(MID(Metadata!E276,7,1)=""),IFERROR(INT(MID(Metadata!E276,6,2))&gt;=1,FALSE),IFERROR(INT(MID(Metadata!E276,6,2))&lt;=12,FALSE)), OR(MID(Metadata!E276,8,1)="", AND(AND(MID(Metadata!E276,8,1)="-",IFERROR(INT(MID(Metadata!E276,9,1))&gt;=0,FALSE),IFERROR(INT(MID(Metadata!E276,9,1))&lt;=3,FALSE),NOT(MID(Metadata!E276,10,1)=""),IFERROR(INT(MID(Metadata!E276,9,2))&gt;=1,FALSE),IFERROR(INT(MID(Metadata!E276,9,2))&lt;=31,FALSE)), OR(MID(Metadata!E276,11,1)="", AND(AND(MID(Metadata!E276,11,1)=" ",IFERROR(INT(MID(Metadata!E276,12,1))&gt;=0,FALSE),IFERROR(INT(MID(Metadata!E276,12,1))&lt;=2,FALSE),NOT(MID(Metadata!E276,13,1)=""),IFERROR(INT(MID(Metadata!E276,12,2))&gt;=0,FALSE),IFERROR(INT(MID(Metadata!E276,12,2))&lt;=23,FALSE)), OR(MID(Metadata!E276,14,1)="", AND(AND(MID(Metadata!E276,14,1)=":",IFERROR(INT(MID(Metadata!E276,15,1))&gt;=0,FALSE),IFERROR(INT(MID(Metadata!E276,15,1))&lt;=5,FALSE),NOT(MID(Metadata!E276,16,1)=""),IFERROR(INT(MID(Metadata!E276,15,2))&gt;=0,FALSE),IFERROR(INT(MID(Metadata!E276,15,2))&lt;=59,FALSE)), OR(MID(Metadata!E276,17,1)="", AND(AND(MID(Metadata!E276,17,1)=":",IFERROR(INT(MID(Metadata!E276,18,1))&gt;=0,FALSE),IFERROR(INT(MID(Metadata!E276,18,1))&lt;=5,FALSE),NOT(MID(Metadata!E276,19,1)=""),IFERROR(INT(MID(Metadata!E276,18,2))&gt;=0,FALSE),IFERROR(INT(MID(Metadata!E276,18,2))&lt;=59,FALSE)), LEN(Metadata!E276)&lt;=19)))))))))))))</f>
        <v>0</v>
      </c>
      <c r="AS276" t="b">
        <f>IF(Metadata!F276="",FALSE,TRUE)</f>
        <v>0</v>
      </c>
      <c r="AT276" t="b">
        <f>OR(AND(IF(Metadata!G276="",FALSE,TRUE),OR(EXACT(Metadata!G276,"not collected"),EXACT(Metadata!G276,"not provided"))),AND(IF(Metadata!G276="",FALSE,TRUE),OR(EXACT(Metadata!G276,"TRUE"),EXACT(Metadata!G276,"FALSE"))))</f>
        <v>0</v>
      </c>
      <c r="AU276" t="b">
        <f>OR(AND(IF(Metadata!H276="",FALSE,TRUE),OR(EXACT(Metadata!H276,"not collected"),EXACT(Metadata!H276,"not provided"),EXACT(Metadata!H276,"restricted access"))),AND(IF(Metadata!H276="",FALSE,ISNUMBER(VALUE(Metadata!H276))),Metadata!H276&gt;=-413))</f>
        <v>0</v>
      </c>
      <c r="AV276" t="b">
        <f>AND(IF(Metadata!I276="",FALSE,TRUE),EXACT(Metadata!I276,"meters"))</f>
        <v>0</v>
      </c>
      <c r="AW276" t="b">
        <f>AND(IF(Metadata!J276="",FALSE,TRUE),EXACT(Metadata!J276,"free-living"))</f>
        <v>0</v>
      </c>
      <c r="AX276" t="b">
        <f>AND(IF(Metadata!K276="",FALSE,TRUE),OR(EXACT(Metadata!K276,"saline"),EXACT(Metadata!K276,"non-saline")))</f>
        <v>0</v>
      </c>
      <c r="AY276" t="b">
        <f>AND(IF(Metadata!L276="",FALSE,TRUE),OR(EXACT(Metadata!L276,"sub-surface (non-saline)"),EXACT(Metadata!L276,"surface (non-saline)"),EXACT(Metadata!L276,"water (non-saline)"),EXACT(Metadata!L276,"soil (non-saline)"),EXACT(Metadata!L276,"aerosol (non-saline)"),EXACT(Metadata!L276,"sediment (non-saline)"),EXACT(Metadata!L276,"surface (saline)"),EXACT(Metadata!L276,"water (saline)"),EXACT(Metadata!L276,"hypersaline (saline)"),EXACT(Metadata!L276,"aerosol (saline)"),EXACT(Metadata!L276,"sediment (saline)")))</f>
        <v>0</v>
      </c>
      <c r="AZ276" t="b">
        <f>IF(Metadata!M276="",FALSE,TRUE)</f>
        <v>0</v>
      </c>
      <c r="BA276" t="b">
        <f>IF(Metadata!N276="",FALSE,TRUE)</f>
        <v>0</v>
      </c>
      <c r="BB276" t="b">
        <f>IF(Metadata!O276="",FALSE,TRUE)</f>
        <v>0</v>
      </c>
      <c r="BC276" t="b">
        <f>AND(IF(Metadata!P276="",FALSE,TRUE),OR(EXACT(Metadata!P276,"air"),EXACT(Metadata!P276,"microbial mat/biofilm"),EXACT(Metadata!P276,"misc environment"),EXACT(Metadata!P276,"sediment"),EXACT(Metadata!P276,"soil"),EXACT(Metadata!P276,"wastewater/sludge"),EXACT(Metadata!P276,"water")))</f>
        <v>0</v>
      </c>
      <c r="BD276" t="b">
        <f>IF(Metadata!Q276="",FALSE,TRUE)</f>
        <v>0</v>
      </c>
      <c r="BE276" t="b">
        <f>IF(Metadata!R276="",FALSE,TRUE)</f>
        <v>0</v>
      </c>
      <c r="BF276" t="b">
        <f>OR(AND(IF(Metadata!S276="",FALSE,TRUE),OR(EXACT(Metadata!S276,"not collected"),EXACT(Metadata!S276,"not provided"),EXACT(Metadata!S276,"restricted access"))),AND(IF(Metadata!S276="",FALSE,ISNUMBER(VALUE(Metadata!S276))),Metadata!S276&gt;=-90,Metadata!S276&lt;=90))</f>
        <v>0</v>
      </c>
      <c r="BG276" t="b">
        <f>AND(IF(Metadata!T276="",FALSE,TRUE),EXACT(Metadata!T276,"Decimal degrees"))</f>
        <v>0</v>
      </c>
      <c r="BH276" t="b">
        <f>OR(AND(IF(Metadata!U276="",FALSE,TRUE),OR(EXACT(Metadata!U276,"not applicable"),EXACT(Metadata!U276,"not collected"))),IF(Metadata!U276="",FALSE,TRUE))</f>
        <v>0</v>
      </c>
      <c r="BI276" t="b">
        <f>OR(AND(IF(Metadata!V276="",FALSE,TRUE),OR(EXACT(Metadata!V276,"not collected"),EXACT(Metadata!V276,"not provided"),EXACT(Metadata!V276,"restricted access"))),AND(IF(Metadata!V276="",FALSE,ISNUMBER(VALUE(Metadata!V276))),Metadata!V276&gt;=-180,Metadata!V276&lt;=180))</f>
        <v>0</v>
      </c>
      <c r="BJ276" t="b">
        <f>AND(IF(Metadata!W276="",FALSE,TRUE),EXACT(Metadata!W276,"Decimal degrees"))</f>
        <v>0</v>
      </c>
      <c r="BK276" t="b">
        <f>IF(Metadata!X276="",FALSE,TRUE)</f>
        <v>0</v>
      </c>
      <c r="BL276" t="b">
        <f>OR(AND(IF(Metadata!Y276="",FALSE,TRUE),OR(EXACT(Metadata!Y276,"not collected"),EXACT(Metadata!Y276,"not provided"),EXACT(Metadata!Y276,"restricted access"))),AND(IF(Metadata!Y276="",FALSE,TRUE),OR(EXACT(Metadata!Y276,"TRUE"),EXACT(Metadata!Y276,"FALSE"))))</f>
        <v>0</v>
      </c>
      <c r="BM276" t="b">
        <f>OR(AND(IF(Metadata!Z276="",FALSE,TRUE),EXACT(Metadata!Z276,"not applicable")),AND(IF(Metadata!Z276="",FALSE,TRUE),OR(EXACT(Metadata!Z276,"beer"),EXACT(Metadata!Z276,"cheese"),EXACT(Metadata!Z276,"fresh water"),EXACT(Metadata!Z276,"marine sediment"),EXACT(Metadata!Z276,"sea water"),EXACT(Metadata!Z276,"sediment"),EXACT(Metadata!Z276,"soil"),EXACT(Metadata!Z276,"waste water"))))</f>
        <v>0</v>
      </c>
      <c r="BN276" t="b">
        <f>AND(IF(Metadata!AA276="",FALSE,TRUE),EXACT(Metadata!AA276,"metagenome"))</f>
        <v>0</v>
      </c>
      <c r="BO276" t="b">
        <f>AND(IF(Metadata!AB276="",FALSE,TRUE),EXACT(Metadata!AB276,"256318"))</f>
        <v>0</v>
      </c>
      <c r="BP276" t="b">
        <f>IF(Metadata!AC276="",FALSE,TRUE)</f>
        <v>0</v>
      </c>
      <c r="BQ276" t="b">
        <f>IF(Metadata!AD276="",FALSE,TRUE)</f>
        <v>0</v>
      </c>
    </row>
    <row r="277" spans="1:69" x14ac:dyDescent="0.2">
      <c r="A277" s="4" t="e">
        <f ca="1">IF(B277=" "," ",HYPERLINK(CONCATENATE("#metadata!",ADDRESS(INDEX($AJ$2:$AJ$1001,MATCH(ROWS($AH$2:AH277),$AH$2:$AH$1001,0),0),2)),INDEX($AM$2:$AM$1001,MATCH(ROWS($AH$2:AH277),$AH$2:$AH$1001,0),0)))</f>
        <v>#N/A</v>
      </c>
      <c r="B277" s="5" t="e">
        <f ca="1">IF(OR(INDEX($AI$2:$AI$1001,MATCH(ROWS($AH$2:AH277),$AH$2:$AH$1001,0),1)&gt;=100000,INDEX($AO$1005:$BQ$1005,1,MATCH(COLUMNS($AO$1006:AO1006),$AO$1006:$BQ$1006,0))&gt;=100000), " ",IF(INDEX($AO$2:$BQ$1001,MATCH(ROWS($AH$2:AH277),$AH$2:$AH$1001,0),MATCH(COLUMNS($AO$1006:AO1006),$AO$1006:$BQ$1006,0)), HYPERLINK("#",""), HYPERLINK(CONCATENATE("#Metadata!", ADDRESS(INDEX($AJ$2:$AJ$1001,MATCH(ROWS($AH$2:AH277),$AH$2:$AH$1001,0),0), INDEX($AO$1004:$BQ$1004,1,MATCH(COLUMNS($AO$1006:AO1006),$AO$1006:$BQ$1006,0)))),"Fix")))</f>
        <v>#N/A</v>
      </c>
      <c r="C277" s="5" t="e">
        <f ca="1">IF(OR(INDEX($AI$2:$AI$1001,MATCH(ROWS($AH$2:AH277),$AH$2:$AH$1001,0),1)&gt;=100000,INDEX($AO$1005:$BQ$1005,1,MATCH(COLUMNS($AO$1006:AP1006),$AO$1006:$BQ$1006,0))&gt;=100000), " ",IF(INDEX($AO$2:$BQ$1001,MATCH(ROWS($AH$2:AH277),$AH$2:$AH$1001,0),MATCH(COLUMNS($AO$1006:AP1006),$AO$1006:$BQ$1006,0)), HYPERLINK("#",""), HYPERLINK(CONCATENATE("#Metadata!", ADDRESS(INDEX($AJ$2:$AJ$1001,MATCH(ROWS($AH$2:AH277),$AH$2:$AH$1001,0),0), INDEX($AO$1004:$BQ$1004,1,MATCH(COLUMNS($AO$1006:AP1006),$AO$1006:$BQ$1006,0)))),"Fix")))</f>
        <v>#N/A</v>
      </c>
      <c r="D277" s="5" t="e">
        <f ca="1">IF(OR(INDEX($AI$2:$AI$1001,MATCH(ROWS($AH$2:AH277),$AH$2:$AH$1001,0),1)&gt;=100000,INDEX($AO$1005:$BQ$1005,1,MATCH(COLUMNS($AO$1006:AQ1006),$AO$1006:$BQ$1006,0))&gt;=100000), " ",IF(INDEX($AO$2:$BQ$1001,MATCH(ROWS($AH$2:AH277),$AH$2:$AH$1001,0),MATCH(COLUMNS($AO$1006:AQ1006),$AO$1006:$BQ$1006,0)), HYPERLINK("#",""), HYPERLINK(CONCATENATE("#Metadata!", ADDRESS(INDEX($AJ$2:$AJ$1001,MATCH(ROWS($AH$2:AH277),$AH$2:$AH$1001,0),0), INDEX($AO$1004:$BQ$1004,1,MATCH(COLUMNS($AO$1006:AQ1006),$AO$1006:$BQ$1006,0)))),"Fix")))</f>
        <v>#N/A</v>
      </c>
      <c r="E277" s="5" t="e">
        <f ca="1">IF(OR(INDEX($AI$2:$AI$1001,MATCH(ROWS($AH$2:AH277),$AH$2:$AH$1001,0),1)&gt;=100000,INDEX($AO$1005:$BQ$1005,1,MATCH(COLUMNS($AO$1006:AR1006),$AO$1006:$BQ$1006,0))&gt;=100000), " ",IF(INDEX($AO$2:$BQ$1001,MATCH(ROWS($AH$2:AH277),$AH$2:$AH$1001,0),MATCH(COLUMNS($AO$1006:AR1006),$AO$1006:$BQ$1006,0)), HYPERLINK("#",""), HYPERLINK(CONCATENATE("#Metadata!", ADDRESS(INDEX($AJ$2:$AJ$1001,MATCH(ROWS($AH$2:AH277),$AH$2:$AH$1001,0),0), INDEX($AO$1004:$BQ$1004,1,MATCH(COLUMNS($AO$1006:AR1006),$AO$1006:$BQ$1006,0)))),"Fix")))</f>
        <v>#N/A</v>
      </c>
      <c r="F277" s="5" t="e">
        <f ca="1">IF(OR(INDEX($AI$2:$AI$1001,MATCH(ROWS($AH$2:AH277),$AH$2:$AH$1001,0),1)&gt;=100000,INDEX($AO$1005:$BQ$1005,1,MATCH(COLUMNS($AO$1006:AS1006),$AO$1006:$BQ$1006,0))&gt;=100000), " ",IF(INDEX($AO$2:$BQ$1001,MATCH(ROWS($AH$2:AH277),$AH$2:$AH$1001,0),MATCH(COLUMNS($AO$1006:AS1006),$AO$1006:$BQ$1006,0)), HYPERLINK("#",""), HYPERLINK(CONCATENATE("#Metadata!", ADDRESS(INDEX($AJ$2:$AJ$1001,MATCH(ROWS($AH$2:AH277),$AH$2:$AH$1001,0),0), INDEX($AO$1004:$BQ$1004,1,MATCH(COLUMNS($AO$1006:AS1006),$AO$1006:$BQ$1006,0)))),"Fix")))</f>
        <v>#N/A</v>
      </c>
      <c r="G277" s="5" t="e">
        <f ca="1">IF(OR(INDEX($AI$2:$AI$1001,MATCH(ROWS($AH$2:AH277),$AH$2:$AH$1001,0),1)&gt;=100000,INDEX($AO$1005:$BQ$1005,1,MATCH(COLUMNS($AO$1006:AT1006),$AO$1006:$BQ$1006,0))&gt;=100000), " ",IF(INDEX($AO$2:$BQ$1001,MATCH(ROWS($AH$2:AH277),$AH$2:$AH$1001,0),MATCH(COLUMNS($AO$1006:AT1006),$AO$1006:$BQ$1006,0)), HYPERLINK("#",""), HYPERLINK(CONCATENATE("#Metadata!", ADDRESS(INDEX($AJ$2:$AJ$1001,MATCH(ROWS($AH$2:AH277),$AH$2:$AH$1001,0),0), INDEX($AO$1004:$BQ$1004,1,MATCH(COLUMNS($AO$1006:AT1006),$AO$1006:$BQ$1006,0)))),"Fix")))</f>
        <v>#N/A</v>
      </c>
      <c r="H277" s="5" t="e">
        <f ca="1">IF(OR(INDEX($AI$2:$AI$1001,MATCH(ROWS($AH$2:AH277),$AH$2:$AH$1001,0),1)&gt;=100000,INDEX($AO$1005:$BQ$1005,1,MATCH(COLUMNS($AO$1006:AU1006),$AO$1006:$BQ$1006,0))&gt;=100000), " ",IF(INDEX($AO$2:$BQ$1001,MATCH(ROWS($AH$2:AH277),$AH$2:$AH$1001,0),MATCH(COLUMNS($AO$1006:AU1006),$AO$1006:$BQ$1006,0)), HYPERLINK("#",""), HYPERLINK(CONCATENATE("#Metadata!", ADDRESS(INDEX($AJ$2:$AJ$1001,MATCH(ROWS($AH$2:AH277),$AH$2:$AH$1001,0),0), INDEX($AO$1004:$BQ$1004,1,MATCH(COLUMNS($AO$1006:AU1006),$AO$1006:$BQ$1006,0)))),"Fix")))</f>
        <v>#N/A</v>
      </c>
      <c r="I277" s="5" t="e">
        <f ca="1">IF(OR(INDEX($AI$2:$AI$1001,MATCH(ROWS($AH$2:AH277),$AH$2:$AH$1001,0),1)&gt;=100000,INDEX($AO$1005:$BQ$1005,1,MATCH(COLUMNS($AO$1006:AV1006),$AO$1006:$BQ$1006,0))&gt;=100000), " ",IF(INDEX($AO$2:$BQ$1001,MATCH(ROWS($AH$2:AH277),$AH$2:$AH$1001,0),MATCH(COLUMNS($AO$1006:AV1006),$AO$1006:$BQ$1006,0)), HYPERLINK("#",""), HYPERLINK(CONCATENATE("#Metadata!", ADDRESS(INDEX($AJ$2:$AJ$1001,MATCH(ROWS($AH$2:AH277),$AH$2:$AH$1001,0),0), INDEX($AO$1004:$BQ$1004,1,MATCH(COLUMNS($AO$1006:AV1006),$AO$1006:$BQ$1006,0)))),"Fix")))</f>
        <v>#N/A</v>
      </c>
      <c r="J277" s="5" t="e">
        <f ca="1">IF(OR(INDEX($AI$2:$AI$1001,MATCH(ROWS($AH$2:AH277),$AH$2:$AH$1001,0),1)&gt;=100000,INDEX($AO$1005:$BQ$1005,1,MATCH(COLUMNS($AO$1006:AW1006),$AO$1006:$BQ$1006,0))&gt;=100000), " ",IF(INDEX($AO$2:$BQ$1001,MATCH(ROWS($AH$2:AH277),$AH$2:$AH$1001,0),MATCH(COLUMNS($AO$1006:AW1006),$AO$1006:$BQ$1006,0)), HYPERLINK("#",""), HYPERLINK(CONCATENATE("#Metadata!", ADDRESS(INDEX($AJ$2:$AJ$1001,MATCH(ROWS($AH$2:AH277),$AH$2:$AH$1001,0),0), INDEX($AO$1004:$BQ$1004,1,MATCH(COLUMNS($AO$1006:AW1006),$AO$1006:$BQ$1006,0)))),"Fix")))</f>
        <v>#N/A</v>
      </c>
      <c r="K277" s="5" t="e">
        <f ca="1">IF(OR(INDEX($AI$2:$AI$1001,MATCH(ROWS($AH$2:AH277),$AH$2:$AH$1001,0),1)&gt;=100000,INDEX($AO$1005:$BQ$1005,1,MATCH(COLUMNS($AO$1006:AX1006),$AO$1006:$BQ$1006,0))&gt;=100000), " ",IF(INDEX($AO$2:$BQ$1001,MATCH(ROWS($AH$2:AH277),$AH$2:$AH$1001,0),MATCH(COLUMNS($AO$1006:AX1006),$AO$1006:$BQ$1006,0)), HYPERLINK("#",""), HYPERLINK(CONCATENATE("#Metadata!", ADDRESS(INDEX($AJ$2:$AJ$1001,MATCH(ROWS($AH$2:AH277),$AH$2:$AH$1001,0),0), INDEX($AO$1004:$BQ$1004,1,MATCH(COLUMNS($AO$1006:AX1006),$AO$1006:$BQ$1006,0)))),"Fix")))</f>
        <v>#N/A</v>
      </c>
      <c r="L277" s="5" t="e">
        <f ca="1">IF(OR(INDEX($AI$2:$AI$1001,MATCH(ROWS($AH$2:AH277),$AH$2:$AH$1001,0),1)&gt;=100000,INDEX($AO$1005:$BQ$1005,1,MATCH(COLUMNS($AO$1006:AY1006),$AO$1006:$BQ$1006,0))&gt;=100000), " ",IF(INDEX($AO$2:$BQ$1001,MATCH(ROWS($AH$2:AH277),$AH$2:$AH$1001,0),MATCH(COLUMNS($AO$1006:AY1006),$AO$1006:$BQ$1006,0)), HYPERLINK("#",""), HYPERLINK(CONCATENATE("#Metadata!", ADDRESS(INDEX($AJ$2:$AJ$1001,MATCH(ROWS($AH$2:AH277),$AH$2:$AH$1001,0),0), INDEX($AO$1004:$BQ$1004,1,MATCH(COLUMNS($AO$1006:AY1006),$AO$1006:$BQ$1006,0)))),"Fix")))</f>
        <v>#N/A</v>
      </c>
      <c r="M277" s="5" t="e">
        <f ca="1">IF(OR(INDEX($AI$2:$AI$1001,MATCH(ROWS($AH$2:AH277),$AH$2:$AH$1001,0),1)&gt;=100000,INDEX($AO$1005:$BQ$1005,1,MATCH(COLUMNS($AO$1006:AZ1006),$AO$1006:$BQ$1006,0))&gt;=100000), " ",IF(INDEX($AO$2:$BQ$1001,MATCH(ROWS($AH$2:AH277),$AH$2:$AH$1001,0),MATCH(COLUMNS($AO$1006:AZ1006),$AO$1006:$BQ$1006,0)), HYPERLINK("#",""), HYPERLINK(CONCATENATE("#Metadata!", ADDRESS(INDEX($AJ$2:$AJ$1001,MATCH(ROWS($AH$2:AH277),$AH$2:$AH$1001,0),0), INDEX($AO$1004:$BQ$1004,1,MATCH(COLUMNS($AO$1006:AZ1006),$AO$1006:$BQ$1006,0)))),"Fix")))</f>
        <v>#N/A</v>
      </c>
      <c r="N277" s="5" t="e">
        <f ca="1">IF(OR(INDEX($AI$2:$AI$1001,MATCH(ROWS($AH$2:AH277),$AH$2:$AH$1001,0),1)&gt;=100000,INDEX($AO$1005:$BQ$1005,1,MATCH(COLUMNS($AO$1006:BA1006),$AO$1006:$BQ$1006,0))&gt;=100000), " ",IF(INDEX($AO$2:$BQ$1001,MATCH(ROWS($AH$2:AH277),$AH$2:$AH$1001,0),MATCH(COLUMNS($AO$1006:BA1006),$AO$1006:$BQ$1006,0)), HYPERLINK("#",""), HYPERLINK(CONCATENATE("#Metadata!", ADDRESS(INDEX($AJ$2:$AJ$1001,MATCH(ROWS($AH$2:AH277),$AH$2:$AH$1001,0),0), INDEX($AO$1004:$BQ$1004,1,MATCH(COLUMNS($AO$1006:BA1006),$AO$1006:$BQ$1006,0)))),"Fix")))</f>
        <v>#N/A</v>
      </c>
      <c r="O277" s="5" t="e">
        <f ca="1">IF(OR(INDEX($AI$2:$AI$1001,MATCH(ROWS($AH$2:AH277),$AH$2:$AH$1001,0),1)&gt;=100000,INDEX($AO$1005:$BQ$1005,1,MATCH(COLUMNS($AO$1006:BB1006),$AO$1006:$BQ$1006,0))&gt;=100000), " ",IF(INDEX($AO$2:$BQ$1001,MATCH(ROWS($AH$2:AH277),$AH$2:$AH$1001,0),MATCH(COLUMNS($AO$1006:BB1006),$AO$1006:$BQ$1006,0)), HYPERLINK("#",""), HYPERLINK(CONCATENATE("#Metadata!", ADDRESS(INDEX($AJ$2:$AJ$1001,MATCH(ROWS($AH$2:AH277),$AH$2:$AH$1001,0),0), INDEX($AO$1004:$BQ$1004,1,MATCH(COLUMNS($AO$1006:BB1006),$AO$1006:$BQ$1006,0)))),"Fix")))</f>
        <v>#N/A</v>
      </c>
      <c r="P277" s="5" t="e">
        <f ca="1">IF(OR(INDEX($AI$2:$AI$1001,MATCH(ROWS($AH$2:AH277),$AH$2:$AH$1001,0),1)&gt;=100000,INDEX($AO$1005:$BQ$1005,1,MATCH(COLUMNS($AO$1006:BC1006),$AO$1006:$BQ$1006,0))&gt;=100000), " ",IF(INDEX($AO$2:$BQ$1001,MATCH(ROWS($AH$2:AH277),$AH$2:$AH$1001,0),MATCH(COLUMNS($AO$1006:BC1006),$AO$1006:$BQ$1006,0)), HYPERLINK("#",""), HYPERLINK(CONCATENATE("#Metadata!", ADDRESS(INDEX($AJ$2:$AJ$1001,MATCH(ROWS($AH$2:AH277),$AH$2:$AH$1001,0),0), INDEX($AO$1004:$BQ$1004,1,MATCH(COLUMNS($AO$1006:BC1006),$AO$1006:$BQ$1006,0)))),"Fix")))</f>
        <v>#N/A</v>
      </c>
      <c r="Q277" s="5" t="e">
        <f ca="1">IF(OR(INDEX($AI$2:$AI$1001,MATCH(ROWS($AH$2:AH277),$AH$2:$AH$1001,0),1)&gt;=100000,INDEX($AO$1005:$BQ$1005,1,MATCH(COLUMNS($AO$1006:BD1006),$AO$1006:$BQ$1006,0))&gt;=100000), " ",IF(INDEX($AO$2:$BQ$1001,MATCH(ROWS($AH$2:AH277),$AH$2:$AH$1001,0),MATCH(COLUMNS($AO$1006:BD1006),$AO$1006:$BQ$1006,0)), HYPERLINK("#",""), HYPERLINK(CONCATENATE("#Metadata!", ADDRESS(INDEX($AJ$2:$AJ$1001,MATCH(ROWS($AH$2:AH277),$AH$2:$AH$1001,0),0), INDEX($AO$1004:$BQ$1004,1,MATCH(COLUMNS($AO$1006:BD1006),$AO$1006:$BQ$1006,0)))),"Fix")))</f>
        <v>#N/A</v>
      </c>
      <c r="R277" s="5" t="e">
        <f ca="1">IF(OR(INDEX($AI$2:$AI$1001,MATCH(ROWS($AH$2:AH277),$AH$2:$AH$1001,0),1)&gt;=100000,INDEX($AO$1005:$BQ$1005,1,MATCH(COLUMNS($AO$1006:BE1006),$AO$1006:$BQ$1006,0))&gt;=100000), " ",IF(INDEX($AO$2:$BQ$1001,MATCH(ROWS($AH$2:AH277),$AH$2:$AH$1001,0),MATCH(COLUMNS($AO$1006:BE1006),$AO$1006:$BQ$1006,0)), HYPERLINK("#",""), HYPERLINK(CONCATENATE("#Metadata!", ADDRESS(INDEX($AJ$2:$AJ$1001,MATCH(ROWS($AH$2:AH277),$AH$2:$AH$1001,0),0), INDEX($AO$1004:$BQ$1004,1,MATCH(COLUMNS($AO$1006:BE1006),$AO$1006:$BQ$1006,0)))),"Fix")))</f>
        <v>#N/A</v>
      </c>
      <c r="S277" s="5" t="e">
        <f ca="1">IF(OR(INDEX($AI$2:$AI$1001,MATCH(ROWS($AH$2:AH277),$AH$2:$AH$1001,0),1)&gt;=100000,INDEX($AO$1005:$BQ$1005,1,MATCH(COLUMNS($AO$1006:BF1006),$AO$1006:$BQ$1006,0))&gt;=100000), " ",IF(INDEX($AO$2:$BQ$1001,MATCH(ROWS($AH$2:AH277),$AH$2:$AH$1001,0),MATCH(COLUMNS($AO$1006:BF1006),$AO$1006:$BQ$1006,0)), HYPERLINK("#",""), HYPERLINK(CONCATENATE("#Metadata!", ADDRESS(INDEX($AJ$2:$AJ$1001,MATCH(ROWS($AH$2:AH277),$AH$2:$AH$1001,0),0), INDEX($AO$1004:$BQ$1004,1,MATCH(COLUMNS($AO$1006:BF1006),$AO$1006:$BQ$1006,0)))),"Fix")))</f>
        <v>#N/A</v>
      </c>
      <c r="T277" s="5" t="e">
        <f ca="1">IF(OR(INDEX($AI$2:$AI$1001,MATCH(ROWS($AH$2:AH277),$AH$2:$AH$1001,0),1)&gt;=100000,INDEX($AO$1005:$BQ$1005,1,MATCH(COLUMNS($AO$1006:BG1006),$AO$1006:$BQ$1006,0))&gt;=100000), " ",IF(INDEX($AO$2:$BQ$1001,MATCH(ROWS($AH$2:AH277),$AH$2:$AH$1001,0),MATCH(COLUMNS($AO$1006:BG1006),$AO$1006:$BQ$1006,0)), HYPERLINK("#",""), HYPERLINK(CONCATENATE("#Metadata!", ADDRESS(INDEX($AJ$2:$AJ$1001,MATCH(ROWS($AH$2:AH277),$AH$2:$AH$1001,0),0), INDEX($AO$1004:$BQ$1004,1,MATCH(COLUMNS($AO$1006:BG1006),$AO$1006:$BQ$1006,0)))),"Fix")))</f>
        <v>#N/A</v>
      </c>
      <c r="U277" s="5" t="e">
        <f ca="1">IF(OR(INDEX($AI$2:$AI$1001,MATCH(ROWS($AH$2:AH277),$AH$2:$AH$1001,0),1)&gt;=100000,INDEX($AO$1005:$BQ$1005,1,MATCH(COLUMNS($AO$1006:BH1006),$AO$1006:$BQ$1006,0))&gt;=100000), " ",IF(INDEX($AO$2:$BQ$1001,MATCH(ROWS($AH$2:AH277),$AH$2:$AH$1001,0),MATCH(COLUMNS($AO$1006:BH1006),$AO$1006:$BQ$1006,0)), HYPERLINK("#",""), HYPERLINK(CONCATENATE("#Metadata!", ADDRESS(INDEX($AJ$2:$AJ$1001,MATCH(ROWS($AH$2:AH277),$AH$2:$AH$1001,0),0), INDEX($AO$1004:$BQ$1004,1,MATCH(COLUMNS($AO$1006:BH1006),$AO$1006:$BQ$1006,0)))),"Fix")))</f>
        <v>#N/A</v>
      </c>
      <c r="V277" s="5" t="e">
        <f ca="1">IF(OR(INDEX($AI$2:$AI$1001,MATCH(ROWS($AH$2:AH277),$AH$2:$AH$1001,0),1)&gt;=100000,INDEX($AO$1005:$BQ$1005,1,MATCH(COLUMNS($AO$1006:BI1006),$AO$1006:$BQ$1006,0))&gt;=100000), " ",IF(INDEX($AO$2:$BQ$1001,MATCH(ROWS($AH$2:AH277),$AH$2:$AH$1001,0),MATCH(COLUMNS($AO$1006:BI1006),$AO$1006:$BQ$1006,0)), HYPERLINK("#",""), HYPERLINK(CONCATENATE("#Metadata!", ADDRESS(INDEX($AJ$2:$AJ$1001,MATCH(ROWS($AH$2:AH277),$AH$2:$AH$1001,0),0), INDEX($AO$1004:$BQ$1004,1,MATCH(COLUMNS($AO$1006:BI1006),$AO$1006:$BQ$1006,0)))),"Fix")))</f>
        <v>#N/A</v>
      </c>
      <c r="W277" s="5" t="e">
        <f ca="1">IF(OR(INDEX($AI$2:$AI$1001,MATCH(ROWS($AH$2:AH277),$AH$2:$AH$1001,0),1)&gt;=100000,INDEX($AO$1005:$BQ$1005,1,MATCH(COLUMNS($AO$1006:BJ1006),$AO$1006:$BQ$1006,0))&gt;=100000), " ",IF(INDEX($AO$2:$BQ$1001,MATCH(ROWS($AH$2:AH277),$AH$2:$AH$1001,0),MATCH(COLUMNS($AO$1006:BJ1006),$AO$1006:$BQ$1006,0)), HYPERLINK("#",""), HYPERLINK(CONCATENATE("#Metadata!", ADDRESS(INDEX($AJ$2:$AJ$1001,MATCH(ROWS($AH$2:AH277),$AH$2:$AH$1001,0),0), INDEX($AO$1004:$BQ$1004,1,MATCH(COLUMNS($AO$1006:BJ1006),$AO$1006:$BQ$1006,0)))),"Fix")))</f>
        <v>#N/A</v>
      </c>
      <c r="X277" s="5" t="e">
        <f ca="1">IF(OR(INDEX($AI$2:$AI$1001,MATCH(ROWS($AH$2:AH277),$AH$2:$AH$1001,0),1)&gt;=100000,INDEX($AO$1005:$BQ$1005,1,MATCH(COLUMNS($AO$1006:BK1006),$AO$1006:$BQ$1006,0))&gt;=100000), " ",IF(INDEX($AO$2:$BQ$1001,MATCH(ROWS($AH$2:AH277),$AH$2:$AH$1001,0),MATCH(COLUMNS($AO$1006:BK1006),$AO$1006:$BQ$1006,0)), HYPERLINK("#",""), HYPERLINK(CONCATENATE("#Metadata!", ADDRESS(INDEX($AJ$2:$AJ$1001,MATCH(ROWS($AH$2:AH277),$AH$2:$AH$1001,0),0), INDEX($AO$1004:$BQ$1004,1,MATCH(COLUMNS($AO$1006:BK1006),$AO$1006:$BQ$1006,0)))),"Fix")))</f>
        <v>#N/A</v>
      </c>
      <c r="Y277" s="5" t="e">
        <f ca="1">IF(OR(INDEX($AI$2:$AI$1001,MATCH(ROWS($AH$2:AH277),$AH$2:$AH$1001,0),1)&gt;=100000,INDEX($AO$1005:$BQ$1005,1,MATCH(COLUMNS($AO$1006:BL1006),$AO$1006:$BQ$1006,0))&gt;=100000), " ",IF(INDEX($AO$2:$BQ$1001,MATCH(ROWS($AH$2:AH277),$AH$2:$AH$1001,0),MATCH(COLUMNS($AO$1006:BL1006),$AO$1006:$BQ$1006,0)), HYPERLINK("#",""), HYPERLINK(CONCATENATE("#Metadata!", ADDRESS(INDEX($AJ$2:$AJ$1001,MATCH(ROWS($AH$2:AH277),$AH$2:$AH$1001,0),0), INDEX($AO$1004:$BQ$1004,1,MATCH(COLUMNS($AO$1006:BL1006),$AO$1006:$BQ$1006,0)))),"Fix")))</f>
        <v>#N/A</v>
      </c>
      <c r="Z277" s="5" t="e">
        <f ca="1">IF(OR(INDEX($AI$2:$AI$1001,MATCH(ROWS($AH$2:AH277),$AH$2:$AH$1001,0),1)&gt;=100000,INDEX($AO$1005:$BQ$1005,1,MATCH(COLUMNS($AO$1006:BM1006),$AO$1006:$BQ$1006,0))&gt;=100000), " ",IF(INDEX($AO$2:$BQ$1001,MATCH(ROWS($AH$2:AH277),$AH$2:$AH$1001,0),MATCH(COLUMNS($AO$1006:BM1006),$AO$1006:$BQ$1006,0)), HYPERLINK("#",""), HYPERLINK(CONCATENATE("#Metadata!", ADDRESS(INDEX($AJ$2:$AJ$1001,MATCH(ROWS($AH$2:AH277),$AH$2:$AH$1001,0),0), INDEX($AO$1004:$BQ$1004,1,MATCH(COLUMNS($AO$1006:BM1006),$AO$1006:$BQ$1006,0)))),"Fix")))</f>
        <v>#N/A</v>
      </c>
      <c r="AA277" s="5" t="e">
        <f ca="1">IF(OR(INDEX($AI$2:$AI$1001,MATCH(ROWS($AH$2:AH277),$AH$2:$AH$1001,0),1)&gt;=100000,INDEX($AO$1005:$BQ$1005,1,MATCH(COLUMNS($AO$1006:BN1006),$AO$1006:$BQ$1006,0))&gt;=100000), " ",IF(INDEX($AO$2:$BQ$1001,MATCH(ROWS($AH$2:AH277),$AH$2:$AH$1001,0),MATCH(COLUMNS($AO$1006:BN1006),$AO$1006:$BQ$1006,0)), HYPERLINK("#",""), HYPERLINK(CONCATENATE("#Metadata!", ADDRESS(INDEX($AJ$2:$AJ$1001,MATCH(ROWS($AH$2:AH277),$AH$2:$AH$1001,0),0), INDEX($AO$1004:$BQ$1004,1,MATCH(COLUMNS($AO$1006:BN1006),$AO$1006:$BQ$1006,0)))),"Fix")))</f>
        <v>#N/A</v>
      </c>
      <c r="AB277" s="5" t="e">
        <f ca="1">IF(OR(INDEX($AI$2:$AI$1001,MATCH(ROWS($AH$2:AH277),$AH$2:$AH$1001,0),1)&gt;=100000,INDEX($AO$1005:$BQ$1005,1,MATCH(COLUMNS($AO$1006:BO1006),$AO$1006:$BQ$1006,0))&gt;=100000), " ",IF(INDEX($AO$2:$BQ$1001,MATCH(ROWS($AH$2:AH277),$AH$2:$AH$1001,0),MATCH(COLUMNS($AO$1006:BO1006),$AO$1006:$BQ$1006,0)), HYPERLINK("#",""), HYPERLINK(CONCATENATE("#Metadata!", ADDRESS(INDEX($AJ$2:$AJ$1001,MATCH(ROWS($AH$2:AH277),$AH$2:$AH$1001,0),0), INDEX($AO$1004:$BQ$1004,1,MATCH(COLUMNS($AO$1006:BO1006),$AO$1006:$BQ$1006,0)))),"Fix")))</f>
        <v>#N/A</v>
      </c>
      <c r="AC277" s="5" t="e">
        <f ca="1">IF(OR(INDEX($AI$2:$AI$1001,MATCH(ROWS($AH$2:AH277),$AH$2:$AH$1001,0),1)&gt;=100000,INDEX($AO$1005:$BQ$1005,1,MATCH(COLUMNS($AO$1006:BP1006),$AO$1006:$BQ$1006,0))&gt;=100000), " ",IF(INDEX($AO$2:$BQ$1001,MATCH(ROWS($AH$2:AH277),$AH$2:$AH$1001,0),MATCH(COLUMNS($AO$1006:BP1006),$AO$1006:$BQ$1006,0)), HYPERLINK("#",""), HYPERLINK(CONCATENATE("#Metadata!", ADDRESS(INDEX($AJ$2:$AJ$1001,MATCH(ROWS($AH$2:AH277),$AH$2:$AH$1001,0),0), INDEX($AO$1004:$BQ$1004,1,MATCH(COLUMNS($AO$1006:BP1006),$AO$1006:$BQ$1006,0)))),"Fix")))</f>
        <v>#N/A</v>
      </c>
      <c r="AD277" s="5" t="e">
        <f ca="1">IF(OR(INDEX($AI$2:$AI$1001,MATCH(ROWS($AH$2:AH277),$AH$2:$AH$1001,0),1)&gt;=100000,INDEX($AO$1005:$BQ$1005,1,MATCH(COLUMNS($AO$1006:BQ1006),$AO$1006:$BQ$1006,0))&gt;=100000), " ",IF(INDEX($AO$2:$BQ$1001,MATCH(ROWS($AH$2:AH277),$AH$2:$AH$1001,0),MATCH(COLUMNS($AO$1006:BQ1006),$AO$1006:$BQ$1006,0)), HYPERLINK("#",""), HYPERLINK(CONCATENATE("#Metadata!", ADDRESS(INDEX($AJ$2:$AJ$1001,MATCH(ROWS($AH$2:AH277),$AH$2:$AH$1001,0),0), INDEX($AO$1004:$BQ$1004,1,MATCH(COLUMNS($AO$1006:BQ1006),$AO$1006:$BQ$1006,0)))),"Fix")))</f>
        <v>#REF!</v>
      </c>
      <c r="AH277">
        <f ca="1"/>
        <v>274</v>
      </c>
      <c r="AI277">
        <v>100277</v>
      </c>
      <c r="AJ277">
        <v>277</v>
      </c>
      <c r="AK277" t="b">
        <f t="shared" si="4"/>
        <v>1</v>
      </c>
      <c r="AL277" t="b">
        <f>COUNTBLANK(Metadata!B277:AD277)=COLUMNS(Metadata!B277:AD277)</f>
        <v>1</v>
      </c>
      <c r="AM277" t="str">
        <v/>
      </c>
      <c r="AO277" t="b">
        <f ca="1">AND(IF(Metadata!B277="",FALSE,TRUE),COUNTIF(Metadata!B:B, Metadata!B277) = 1,NOT(ISERROR(SUMPRODUCT(SEARCH(MID(Metadata!B277,ROW(INDIRECT("1:"&amp;LEN(Metadata!B277))), 1),"0123456789abcdefghijklmnopqrstuvwxyzABCDEFGHIJKLMNOPQRSTUVWXYZ.")))))</f>
        <v>0</v>
      </c>
      <c r="AP277" t="b">
        <f>IF(Metadata!C277="",FALSE,TRUE)</f>
        <v>0</v>
      </c>
      <c r="AQ277" t="b">
        <f>IF(Metadata!D277="",FALSE,TRUE)</f>
        <v>0</v>
      </c>
      <c r="AR277" t="b">
        <f ca="1">OR(AND(IF(Metadata!E277="",FALSE,TRUE),OR(EXACT(Metadata!E277,"not collected"),EXACT(Metadata!E277,"not provided"),EXACT(Metadata!E277,"restricted access"))),AND(IF(Metadata!E277="",FALSE,TRUE),AND(AND(IFERROR(INT(LEFT(Metadata!E277,4))&gt;1900,FALSE),IFERROR(INT(LEFT(Metadata!E277,4))&lt;=YEAR(NOW()),FALSE)), OR(MID(Metadata!E277,5,1)="", AND(AND(MID(Metadata!E277,5,1)="-",IFERROR(INT(MID(Metadata!E277,6,1))&gt;=0,FALSE),IFERROR(INT(MID(Metadata!E277,6,1))&lt;=1,FALSE),NOT(MID(Metadata!E277,7,1)=""),IFERROR(INT(MID(Metadata!E277,6,2))&gt;=1,FALSE),IFERROR(INT(MID(Metadata!E277,6,2))&lt;=12,FALSE)), OR(MID(Metadata!E277,8,1)="", AND(AND(MID(Metadata!E277,8,1)="-",IFERROR(INT(MID(Metadata!E277,9,1))&gt;=0,FALSE),IFERROR(INT(MID(Metadata!E277,9,1))&lt;=3,FALSE),NOT(MID(Metadata!E277,10,1)=""),IFERROR(INT(MID(Metadata!E277,9,2))&gt;=1,FALSE),IFERROR(INT(MID(Metadata!E277,9,2))&lt;=31,FALSE)), OR(MID(Metadata!E277,11,1)="", AND(AND(MID(Metadata!E277,11,1)=" ",IFERROR(INT(MID(Metadata!E277,12,1))&gt;=0,FALSE),IFERROR(INT(MID(Metadata!E277,12,1))&lt;=2,FALSE),NOT(MID(Metadata!E277,13,1)=""),IFERROR(INT(MID(Metadata!E277,12,2))&gt;=0,FALSE),IFERROR(INT(MID(Metadata!E277,12,2))&lt;=23,FALSE)), OR(MID(Metadata!E277,14,1)="", AND(AND(MID(Metadata!E277,14,1)=":",IFERROR(INT(MID(Metadata!E277,15,1))&gt;=0,FALSE),IFERROR(INT(MID(Metadata!E277,15,1))&lt;=5,FALSE),NOT(MID(Metadata!E277,16,1)=""),IFERROR(INT(MID(Metadata!E277,15,2))&gt;=0,FALSE),IFERROR(INT(MID(Metadata!E277,15,2))&lt;=59,FALSE)), OR(MID(Metadata!E277,17,1)="", AND(AND(MID(Metadata!E277,17,1)=":",IFERROR(INT(MID(Metadata!E277,18,1))&gt;=0,FALSE),IFERROR(INT(MID(Metadata!E277,18,1))&lt;=5,FALSE),NOT(MID(Metadata!E277,19,1)=""),IFERROR(INT(MID(Metadata!E277,18,2))&gt;=0,FALSE),IFERROR(INT(MID(Metadata!E277,18,2))&lt;=59,FALSE)), LEN(Metadata!E277)&lt;=19)))))))))))))</f>
        <v>0</v>
      </c>
      <c r="AS277" t="b">
        <f>IF(Metadata!F277="",FALSE,TRUE)</f>
        <v>0</v>
      </c>
      <c r="AT277" t="b">
        <f>OR(AND(IF(Metadata!G277="",FALSE,TRUE),OR(EXACT(Metadata!G277,"not collected"),EXACT(Metadata!G277,"not provided"))),AND(IF(Metadata!G277="",FALSE,TRUE),OR(EXACT(Metadata!G277,"TRUE"),EXACT(Metadata!G277,"FALSE"))))</f>
        <v>0</v>
      </c>
      <c r="AU277" t="b">
        <f>OR(AND(IF(Metadata!H277="",FALSE,TRUE),OR(EXACT(Metadata!H277,"not collected"),EXACT(Metadata!H277,"not provided"),EXACT(Metadata!H277,"restricted access"))),AND(IF(Metadata!H277="",FALSE,ISNUMBER(VALUE(Metadata!H277))),Metadata!H277&gt;=-413))</f>
        <v>0</v>
      </c>
      <c r="AV277" t="b">
        <f>AND(IF(Metadata!I277="",FALSE,TRUE),EXACT(Metadata!I277,"meters"))</f>
        <v>0</v>
      </c>
      <c r="AW277" t="b">
        <f>AND(IF(Metadata!J277="",FALSE,TRUE),EXACT(Metadata!J277,"free-living"))</f>
        <v>0</v>
      </c>
      <c r="AX277" t="b">
        <f>AND(IF(Metadata!K277="",FALSE,TRUE),OR(EXACT(Metadata!K277,"saline"),EXACT(Metadata!K277,"non-saline")))</f>
        <v>0</v>
      </c>
      <c r="AY277" t="b">
        <f>AND(IF(Metadata!L277="",FALSE,TRUE),OR(EXACT(Metadata!L277,"sub-surface (non-saline)"),EXACT(Metadata!L277,"surface (non-saline)"),EXACT(Metadata!L277,"water (non-saline)"),EXACT(Metadata!L277,"soil (non-saline)"),EXACT(Metadata!L277,"aerosol (non-saline)"),EXACT(Metadata!L277,"sediment (non-saline)"),EXACT(Metadata!L277,"surface (saline)"),EXACT(Metadata!L277,"water (saline)"),EXACT(Metadata!L277,"hypersaline (saline)"),EXACT(Metadata!L277,"aerosol (saline)"),EXACT(Metadata!L277,"sediment (saline)")))</f>
        <v>0</v>
      </c>
      <c r="AZ277" t="b">
        <f>IF(Metadata!M277="",FALSE,TRUE)</f>
        <v>0</v>
      </c>
      <c r="BA277" t="b">
        <f>IF(Metadata!N277="",FALSE,TRUE)</f>
        <v>0</v>
      </c>
      <c r="BB277" t="b">
        <f>IF(Metadata!O277="",FALSE,TRUE)</f>
        <v>0</v>
      </c>
      <c r="BC277" t="b">
        <f>AND(IF(Metadata!P277="",FALSE,TRUE),OR(EXACT(Metadata!P277,"air"),EXACT(Metadata!P277,"microbial mat/biofilm"),EXACT(Metadata!P277,"misc environment"),EXACT(Metadata!P277,"sediment"),EXACT(Metadata!P277,"soil"),EXACT(Metadata!P277,"wastewater/sludge"),EXACT(Metadata!P277,"water")))</f>
        <v>0</v>
      </c>
      <c r="BD277" t="b">
        <f>IF(Metadata!Q277="",FALSE,TRUE)</f>
        <v>0</v>
      </c>
      <c r="BE277" t="b">
        <f>IF(Metadata!R277="",FALSE,TRUE)</f>
        <v>0</v>
      </c>
      <c r="BF277" t="b">
        <f>OR(AND(IF(Metadata!S277="",FALSE,TRUE),OR(EXACT(Metadata!S277,"not collected"),EXACT(Metadata!S277,"not provided"),EXACT(Metadata!S277,"restricted access"))),AND(IF(Metadata!S277="",FALSE,ISNUMBER(VALUE(Metadata!S277))),Metadata!S277&gt;=-90,Metadata!S277&lt;=90))</f>
        <v>0</v>
      </c>
      <c r="BG277" t="b">
        <f>AND(IF(Metadata!T277="",FALSE,TRUE),EXACT(Metadata!T277,"Decimal degrees"))</f>
        <v>0</v>
      </c>
      <c r="BH277" t="b">
        <f>OR(AND(IF(Metadata!U277="",FALSE,TRUE),OR(EXACT(Metadata!U277,"not applicable"),EXACT(Metadata!U277,"not collected"))),IF(Metadata!U277="",FALSE,TRUE))</f>
        <v>0</v>
      </c>
      <c r="BI277" t="b">
        <f>OR(AND(IF(Metadata!V277="",FALSE,TRUE),OR(EXACT(Metadata!V277,"not collected"),EXACT(Metadata!V277,"not provided"),EXACT(Metadata!V277,"restricted access"))),AND(IF(Metadata!V277="",FALSE,ISNUMBER(VALUE(Metadata!V277))),Metadata!V277&gt;=-180,Metadata!V277&lt;=180))</f>
        <v>0</v>
      </c>
      <c r="BJ277" t="b">
        <f>AND(IF(Metadata!W277="",FALSE,TRUE),EXACT(Metadata!W277,"Decimal degrees"))</f>
        <v>0</v>
      </c>
      <c r="BK277" t="b">
        <f>IF(Metadata!X277="",FALSE,TRUE)</f>
        <v>0</v>
      </c>
      <c r="BL277" t="b">
        <f>OR(AND(IF(Metadata!Y277="",FALSE,TRUE),OR(EXACT(Metadata!Y277,"not collected"),EXACT(Metadata!Y277,"not provided"),EXACT(Metadata!Y277,"restricted access"))),AND(IF(Metadata!Y277="",FALSE,TRUE),OR(EXACT(Metadata!Y277,"TRUE"),EXACT(Metadata!Y277,"FALSE"))))</f>
        <v>0</v>
      </c>
      <c r="BM277" t="b">
        <f>OR(AND(IF(Metadata!Z277="",FALSE,TRUE),EXACT(Metadata!Z277,"not applicable")),AND(IF(Metadata!Z277="",FALSE,TRUE),OR(EXACT(Metadata!Z277,"beer"),EXACT(Metadata!Z277,"cheese"),EXACT(Metadata!Z277,"fresh water"),EXACT(Metadata!Z277,"marine sediment"),EXACT(Metadata!Z277,"sea water"),EXACT(Metadata!Z277,"sediment"),EXACT(Metadata!Z277,"soil"),EXACT(Metadata!Z277,"waste water"))))</f>
        <v>0</v>
      </c>
      <c r="BN277" t="b">
        <f>AND(IF(Metadata!AA277="",FALSE,TRUE),EXACT(Metadata!AA277,"metagenome"))</f>
        <v>0</v>
      </c>
      <c r="BO277" t="b">
        <f>AND(IF(Metadata!AB277="",FALSE,TRUE),EXACT(Metadata!AB277,"256318"))</f>
        <v>0</v>
      </c>
      <c r="BP277" t="b">
        <f>IF(Metadata!AC277="",FALSE,TRUE)</f>
        <v>0</v>
      </c>
      <c r="BQ277" t="b">
        <f>IF(Metadata!AD277="",FALSE,TRUE)</f>
        <v>0</v>
      </c>
    </row>
    <row r="278" spans="1:69" x14ac:dyDescent="0.2">
      <c r="A278" s="4" t="e">
        <f ca="1">IF(B278=" "," ",HYPERLINK(CONCATENATE("#metadata!",ADDRESS(INDEX($AJ$2:$AJ$1001,MATCH(ROWS($AH$2:AH278),$AH$2:$AH$1001,0),0),2)),INDEX($AM$2:$AM$1001,MATCH(ROWS($AH$2:AH278),$AH$2:$AH$1001,0),0)))</f>
        <v>#N/A</v>
      </c>
      <c r="B278" s="5" t="e">
        <f ca="1">IF(OR(INDEX($AI$2:$AI$1001,MATCH(ROWS($AH$2:AH278),$AH$2:$AH$1001,0),1)&gt;=100000,INDEX($AO$1005:$BQ$1005,1,MATCH(COLUMNS($AO$1006:AO1006),$AO$1006:$BQ$1006,0))&gt;=100000), " ",IF(INDEX($AO$2:$BQ$1001,MATCH(ROWS($AH$2:AH278),$AH$2:$AH$1001,0),MATCH(COLUMNS($AO$1006:AO1006),$AO$1006:$BQ$1006,0)), HYPERLINK("#",""), HYPERLINK(CONCATENATE("#Metadata!", ADDRESS(INDEX($AJ$2:$AJ$1001,MATCH(ROWS($AH$2:AH278),$AH$2:$AH$1001,0),0), INDEX($AO$1004:$BQ$1004,1,MATCH(COLUMNS($AO$1006:AO1006),$AO$1006:$BQ$1006,0)))),"Fix")))</f>
        <v>#N/A</v>
      </c>
      <c r="C278" s="5" t="e">
        <f ca="1">IF(OR(INDEX($AI$2:$AI$1001,MATCH(ROWS($AH$2:AH278),$AH$2:$AH$1001,0),1)&gt;=100000,INDEX($AO$1005:$BQ$1005,1,MATCH(COLUMNS($AO$1006:AP1006),$AO$1006:$BQ$1006,0))&gt;=100000), " ",IF(INDEX($AO$2:$BQ$1001,MATCH(ROWS($AH$2:AH278),$AH$2:$AH$1001,0),MATCH(COLUMNS($AO$1006:AP1006),$AO$1006:$BQ$1006,0)), HYPERLINK("#",""), HYPERLINK(CONCATENATE("#Metadata!", ADDRESS(INDEX($AJ$2:$AJ$1001,MATCH(ROWS($AH$2:AH278),$AH$2:$AH$1001,0),0), INDEX($AO$1004:$BQ$1004,1,MATCH(COLUMNS($AO$1006:AP1006),$AO$1006:$BQ$1006,0)))),"Fix")))</f>
        <v>#N/A</v>
      </c>
      <c r="D278" s="5" t="e">
        <f ca="1">IF(OR(INDEX($AI$2:$AI$1001,MATCH(ROWS($AH$2:AH278),$AH$2:$AH$1001,0),1)&gt;=100000,INDEX($AO$1005:$BQ$1005,1,MATCH(COLUMNS($AO$1006:AQ1006),$AO$1006:$BQ$1006,0))&gt;=100000), " ",IF(INDEX($AO$2:$BQ$1001,MATCH(ROWS($AH$2:AH278),$AH$2:$AH$1001,0),MATCH(COLUMNS($AO$1006:AQ1006),$AO$1006:$BQ$1006,0)), HYPERLINK("#",""), HYPERLINK(CONCATENATE("#Metadata!", ADDRESS(INDEX($AJ$2:$AJ$1001,MATCH(ROWS($AH$2:AH278),$AH$2:$AH$1001,0),0), INDEX($AO$1004:$BQ$1004,1,MATCH(COLUMNS($AO$1006:AQ1006),$AO$1006:$BQ$1006,0)))),"Fix")))</f>
        <v>#N/A</v>
      </c>
      <c r="E278" s="5" t="e">
        <f ca="1">IF(OR(INDEX($AI$2:$AI$1001,MATCH(ROWS($AH$2:AH278),$AH$2:$AH$1001,0),1)&gt;=100000,INDEX($AO$1005:$BQ$1005,1,MATCH(COLUMNS($AO$1006:AR1006),$AO$1006:$BQ$1006,0))&gt;=100000), " ",IF(INDEX($AO$2:$BQ$1001,MATCH(ROWS($AH$2:AH278),$AH$2:$AH$1001,0),MATCH(COLUMNS($AO$1006:AR1006),$AO$1006:$BQ$1006,0)), HYPERLINK("#",""), HYPERLINK(CONCATENATE("#Metadata!", ADDRESS(INDEX($AJ$2:$AJ$1001,MATCH(ROWS($AH$2:AH278),$AH$2:$AH$1001,0),0), INDEX($AO$1004:$BQ$1004,1,MATCH(COLUMNS($AO$1006:AR1006),$AO$1006:$BQ$1006,0)))),"Fix")))</f>
        <v>#N/A</v>
      </c>
      <c r="F278" s="5" t="e">
        <f ca="1">IF(OR(INDEX($AI$2:$AI$1001,MATCH(ROWS($AH$2:AH278),$AH$2:$AH$1001,0),1)&gt;=100000,INDEX($AO$1005:$BQ$1005,1,MATCH(COLUMNS($AO$1006:AS1006),$AO$1006:$BQ$1006,0))&gt;=100000), " ",IF(INDEX($AO$2:$BQ$1001,MATCH(ROWS($AH$2:AH278),$AH$2:$AH$1001,0),MATCH(COLUMNS($AO$1006:AS1006),$AO$1006:$BQ$1006,0)), HYPERLINK("#",""), HYPERLINK(CONCATENATE("#Metadata!", ADDRESS(INDEX($AJ$2:$AJ$1001,MATCH(ROWS($AH$2:AH278),$AH$2:$AH$1001,0),0), INDEX($AO$1004:$BQ$1004,1,MATCH(COLUMNS($AO$1006:AS1006),$AO$1006:$BQ$1006,0)))),"Fix")))</f>
        <v>#N/A</v>
      </c>
      <c r="G278" s="5" t="e">
        <f ca="1">IF(OR(INDEX($AI$2:$AI$1001,MATCH(ROWS($AH$2:AH278),$AH$2:$AH$1001,0),1)&gt;=100000,INDEX($AO$1005:$BQ$1005,1,MATCH(COLUMNS($AO$1006:AT1006),$AO$1006:$BQ$1006,0))&gt;=100000), " ",IF(INDEX($AO$2:$BQ$1001,MATCH(ROWS($AH$2:AH278),$AH$2:$AH$1001,0),MATCH(COLUMNS($AO$1006:AT1006),$AO$1006:$BQ$1006,0)), HYPERLINK("#",""), HYPERLINK(CONCATENATE("#Metadata!", ADDRESS(INDEX($AJ$2:$AJ$1001,MATCH(ROWS($AH$2:AH278),$AH$2:$AH$1001,0),0), INDEX($AO$1004:$BQ$1004,1,MATCH(COLUMNS($AO$1006:AT1006),$AO$1006:$BQ$1006,0)))),"Fix")))</f>
        <v>#N/A</v>
      </c>
      <c r="H278" s="5" t="e">
        <f ca="1">IF(OR(INDEX($AI$2:$AI$1001,MATCH(ROWS($AH$2:AH278),$AH$2:$AH$1001,0),1)&gt;=100000,INDEX($AO$1005:$BQ$1005,1,MATCH(COLUMNS($AO$1006:AU1006),$AO$1006:$BQ$1006,0))&gt;=100000), " ",IF(INDEX($AO$2:$BQ$1001,MATCH(ROWS($AH$2:AH278),$AH$2:$AH$1001,0),MATCH(COLUMNS($AO$1006:AU1006),$AO$1006:$BQ$1006,0)), HYPERLINK("#",""), HYPERLINK(CONCATENATE("#Metadata!", ADDRESS(INDEX($AJ$2:$AJ$1001,MATCH(ROWS($AH$2:AH278),$AH$2:$AH$1001,0),0), INDEX($AO$1004:$BQ$1004,1,MATCH(COLUMNS($AO$1006:AU1006),$AO$1006:$BQ$1006,0)))),"Fix")))</f>
        <v>#N/A</v>
      </c>
      <c r="I278" s="5" t="e">
        <f ca="1">IF(OR(INDEX($AI$2:$AI$1001,MATCH(ROWS($AH$2:AH278),$AH$2:$AH$1001,0),1)&gt;=100000,INDEX($AO$1005:$BQ$1005,1,MATCH(COLUMNS($AO$1006:AV1006),$AO$1006:$BQ$1006,0))&gt;=100000), " ",IF(INDEX($AO$2:$BQ$1001,MATCH(ROWS($AH$2:AH278),$AH$2:$AH$1001,0),MATCH(COLUMNS($AO$1006:AV1006),$AO$1006:$BQ$1006,0)), HYPERLINK("#",""), HYPERLINK(CONCATENATE("#Metadata!", ADDRESS(INDEX($AJ$2:$AJ$1001,MATCH(ROWS($AH$2:AH278),$AH$2:$AH$1001,0),0), INDEX($AO$1004:$BQ$1004,1,MATCH(COLUMNS($AO$1006:AV1006),$AO$1006:$BQ$1006,0)))),"Fix")))</f>
        <v>#N/A</v>
      </c>
      <c r="J278" s="5" t="e">
        <f ca="1">IF(OR(INDEX($AI$2:$AI$1001,MATCH(ROWS($AH$2:AH278),$AH$2:$AH$1001,0),1)&gt;=100000,INDEX($AO$1005:$BQ$1005,1,MATCH(COLUMNS($AO$1006:AW1006),$AO$1006:$BQ$1006,0))&gt;=100000), " ",IF(INDEX($AO$2:$BQ$1001,MATCH(ROWS($AH$2:AH278),$AH$2:$AH$1001,0),MATCH(COLUMNS($AO$1006:AW1006),$AO$1006:$BQ$1006,0)), HYPERLINK("#",""), HYPERLINK(CONCATENATE("#Metadata!", ADDRESS(INDEX($AJ$2:$AJ$1001,MATCH(ROWS($AH$2:AH278),$AH$2:$AH$1001,0),0), INDEX($AO$1004:$BQ$1004,1,MATCH(COLUMNS($AO$1006:AW1006),$AO$1006:$BQ$1006,0)))),"Fix")))</f>
        <v>#N/A</v>
      </c>
      <c r="K278" s="5" t="e">
        <f ca="1">IF(OR(INDEX($AI$2:$AI$1001,MATCH(ROWS($AH$2:AH278),$AH$2:$AH$1001,0),1)&gt;=100000,INDEX($AO$1005:$BQ$1005,1,MATCH(COLUMNS($AO$1006:AX1006),$AO$1006:$BQ$1006,0))&gt;=100000), " ",IF(INDEX($AO$2:$BQ$1001,MATCH(ROWS($AH$2:AH278),$AH$2:$AH$1001,0),MATCH(COLUMNS($AO$1006:AX1006),$AO$1006:$BQ$1006,0)), HYPERLINK("#",""), HYPERLINK(CONCATENATE("#Metadata!", ADDRESS(INDEX($AJ$2:$AJ$1001,MATCH(ROWS($AH$2:AH278),$AH$2:$AH$1001,0),0), INDEX($AO$1004:$BQ$1004,1,MATCH(COLUMNS($AO$1006:AX1006),$AO$1006:$BQ$1006,0)))),"Fix")))</f>
        <v>#N/A</v>
      </c>
      <c r="L278" s="5" t="e">
        <f ca="1">IF(OR(INDEX($AI$2:$AI$1001,MATCH(ROWS($AH$2:AH278),$AH$2:$AH$1001,0),1)&gt;=100000,INDEX($AO$1005:$BQ$1005,1,MATCH(COLUMNS($AO$1006:AY1006),$AO$1006:$BQ$1006,0))&gt;=100000), " ",IF(INDEX($AO$2:$BQ$1001,MATCH(ROWS($AH$2:AH278),$AH$2:$AH$1001,0),MATCH(COLUMNS($AO$1006:AY1006),$AO$1006:$BQ$1006,0)), HYPERLINK("#",""), HYPERLINK(CONCATENATE("#Metadata!", ADDRESS(INDEX($AJ$2:$AJ$1001,MATCH(ROWS($AH$2:AH278),$AH$2:$AH$1001,0),0), INDEX($AO$1004:$BQ$1004,1,MATCH(COLUMNS($AO$1006:AY1006),$AO$1006:$BQ$1006,0)))),"Fix")))</f>
        <v>#N/A</v>
      </c>
      <c r="M278" s="5" t="e">
        <f ca="1">IF(OR(INDEX($AI$2:$AI$1001,MATCH(ROWS($AH$2:AH278),$AH$2:$AH$1001,0),1)&gt;=100000,INDEX($AO$1005:$BQ$1005,1,MATCH(COLUMNS($AO$1006:AZ1006),$AO$1006:$BQ$1006,0))&gt;=100000), " ",IF(INDEX($AO$2:$BQ$1001,MATCH(ROWS($AH$2:AH278),$AH$2:$AH$1001,0),MATCH(COLUMNS($AO$1006:AZ1006),$AO$1006:$BQ$1006,0)), HYPERLINK("#",""), HYPERLINK(CONCATENATE("#Metadata!", ADDRESS(INDEX($AJ$2:$AJ$1001,MATCH(ROWS($AH$2:AH278),$AH$2:$AH$1001,0),0), INDEX($AO$1004:$BQ$1004,1,MATCH(COLUMNS($AO$1006:AZ1006),$AO$1006:$BQ$1006,0)))),"Fix")))</f>
        <v>#N/A</v>
      </c>
      <c r="N278" s="5" t="e">
        <f ca="1">IF(OR(INDEX($AI$2:$AI$1001,MATCH(ROWS($AH$2:AH278),$AH$2:$AH$1001,0),1)&gt;=100000,INDEX($AO$1005:$BQ$1005,1,MATCH(COLUMNS($AO$1006:BA1006),$AO$1006:$BQ$1006,0))&gt;=100000), " ",IF(INDEX($AO$2:$BQ$1001,MATCH(ROWS($AH$2:AH278),$AH$2:$AH$1001,0),MATCH(COLUMNS($AO$1006:BA1006),$AO$1006:$BQ$1006,0)), HYPERLINK("#",""), HYPERLINK(CONCATENATE("#Metadata!", ADDRESS(INDEX($AJ$2:$AJ$1001,MATCH(ROWS($AH$2:AH278),$AH$2:$AH$1001,0),0), INDEX($AO$1004:$BQ$1004,1,MATCH(COLUMNS($AO$1006:BA1006),$AO$1006:$BQ$1006,0)))),"Fix")))</f>
        <v>#N/A</v>
      </c>
      <c r="O278" s="5" t="e">
        <f ca="1">IF(OR(INDEX($AI$2:$AI$1001,MATCH(ROWS($AH$2:AH278),$AH$2:$AH$1001,0),1)&gt;=100000,INDEX($AO$1005:$BQ$1005,1,MATCH(COLUMNS($AO$1006:BB1006),$AO$1006:$BQ$1006,0))&gt;=100000), " ",IF(INDEX($AO$2:$BQ$1001,MATCH(ROWS($AH$2:AH278),$AH$2:$AH$1001,0),MATCH(COLUMNS($AO$1006:BB1006),$AO$1006:$BQ$1006,0)), HYPERLINK("#",""), HYPERLINK(CONCATENATE("#Metadata!", ADDRESS(INDEX($AJ$2:$AJ$1001,MATCH(ROWS($AH$2:AH278),$AH$2:$AH$1001,0),0), INDEX($AO$1004:$BQ$1004,1,MATCH(COLUMNS($AO$1006:BB1006),$AO$1006:$BQ$1006,0)))),"Fix")))</f>
        <v>#N/A</v>
      </c>
      <c r="P278" s="5" t="e">
        <f ca="1">IF(OR(INDEX($AI$2:$AI$1001,MATCH(ROWS($AH$2:AH278),$AH$2:$AH$1001,0),1)&gt;=100000,INDEX($AO$1005:$BQ$1005,1,MATCH(COLUMNS($AO$1006:BC1006),$AO$1006:$BQ$1006,0))&gt;=100000), " ",IF(INDEX($AO$2:$BQ$1001,MATCH(ROWS($AH$2:AH278),$AH$2:$AH$1001,0),MATCH(COLUMNS($AO$1006:BC1006),$AO$1006:$BQ$1006,0)), HYPERLINK("#",""), HYPERLINK(CONCATENATE("#Metadata!", ADDRESS(INDEX($AJ$2:$AJ$1001,MATCH(ROWS($AH$2:AH278),$AH$2:$AH$1001,0),0), INDEX($AO$1004:$BQ$1004,1,MATCH(COLUMNS($AO$1006:BC1006),$AO$1006:$BQ$1006,0)))),"Fix")))</f>
        <v>#N/A</v>
      </c>
      <c r="Q278" s="5" t="e">
        <f ca="1">IF(OR(INDEX($AI$2:$AI$1001,MATCH(ROWS($AH$2:AH278),$AH$2:$AH$1001,0),1)&gt;=100000,INDEX($AO$1005:$BQ$1005,1,MATCH(COLUMNS($AO$1006:BD1006),$AO$1006:$BQ$1006,0))&gt;=100000), " ",IF(INDEX($AO$2:$BQ$1001,MATCH(ROWS($AH$2:AH278),$AH$2:$AH$1001,0),MATCH(COLUMNS($AO$1006:BD1006),$AO$1006:$BQ$1006,0)), HYPERLINK("#",""), HYPERLINK(CONCATENATE("#Metadata!", ADDRESS(INDEX($AJ$2:$AJ$1001,MATCH(ROWS($AH$2:AH278),$AH$2:$AH$1001,0),0), INDEX($AO$1004:$BQ$1004,1,MATCH(COLUMNS($AO$1006:BD1006),$AO$1006:$BQ$1006,0)))),"Fix")))</f>
        <v>#N/A</v>
      </c>
      <c r="R278" s="5" t="e">
        <f ca="1">IF(OR(INDEX($AI$2:$AI$1001,MATCH(ROWS($AH$2:AH278),$AH$2:$AH$1001,0),1)&gt;=100000,INDEX($AO$1005:$BQ$1005,1,MATCH(COLUMNS($AO$1006:BE1006),$AO$1006:$BQ$1006,0))&gt;=100000), " ",IF(INDEX($AO$2:$BQ$1001,MATCH(ROWS($AH$2:AH278),$AH$2:$AH$1001,0),MATCH(COLUMNS($AO$1006:BE1006),$AO$1006:$BQ$1006,0)), HYPERLINK("#",""), HYPERLINK(CONCATENATE("#Metadata!", ADDRESS(INDEX($AJ$2:$AJ$1001,MATCH(ROWS($AH$2:AH278),$AH$2:$AH$1001,0),0), INDEX($AO$1004:$BQ$1004,1,MATCH(COLUMNS($AO$1006:BE1006),$AO$1006:$BQ$1006,0)))),"Fix")))</f>
        <v>#N/A</v>
      </c>
      <c r="S278" s="5" t="e">
        <f ca="1">IF(OR(INDEX($AI$2:$AI$1001,MATCH(ROWS($AH$2:AH278),$AH$2:$AH$1001,0),1)&gt;=100000,INDEX($AO$1005:$BQ$1005,1,MATCH(COLUMNS($AO$1006:BF1006),$AO$1006:$BQ$1006,0))&gt;=100000), " ",IF(INDEX($AO$2:$BQ$1001,MATCH(ROWS($AH$2:AH278),$AH$2:$AH$1001,0),MATCH(COLUMNS($AO$1006:BF1006),$AO$1006:$BQ$1006,0)), HYPERLINK("#",""), HYPERLINK(CONCATENATE("#Metadata!", ADDRESS(INDEX($AJ$2:$AJ$1001,MATCH(ROWS($AH$2:AH278),$AH$2:$AH$1001,0),0), INDEX($AO$1004:$BQ$1004,1,MATCH(COLUMNS($AO$1006:BF1006),$AO$1006:$BQ$1006,0)))),"Fix")))</f>
        <v>#N/A</v>
      </c>
      <c r="T278" s="5" t="e">
        <f ca="1">IF(OR(INDEX($AI$2:$AI$1001,MATCH(ROWS($AH$2:AH278),$AH$2:$AH$1001,0),1)&gt;=100000,INDEX($AO$1005:$BQ$1005,1,MATCH(COLUMNS($AO$1006:BG1006),$AO$1006:$BQ$1006,0))&gt;=100000), " ",IF(INDEX($AO$2:$BQ$1001,MATCH(ROWS($AH$2:AH278),$AH$2:$AH$1001,0),MATCH(COLUMNS($AO$1006:BG1006),$AO$1006:$BQ$1006,0)), HYPERLINK("#",""), HYPERLINK(CONCATENATE("#Metadata!", ADDRESS(INDEX($AJ$2:$AJ$1001,MATCH(ROWS($AH$2:AH278),$AH$2:$AH$1001,0),0), INDEX($AO$1004:$BQ$1004,1,MATCH(COLUMNS($AO$1006:BG1006),$AO$1006:$BQ$1006,0)))),"Fix")))</f>
        <v>#N/A</v>
      </c>
      <c r="U278" s="5" t="e">
        <f ca="1">IF(OR(INDEX($AI$2:$AI$1001,MATCH(ROWS($AH$2:AH278),$AH$2:$AH$1001,0),1)&gt;=100000,INDEX($AO$1005:$BQ$1005,1,MATCH(COLUMNS($AO$1006:BH1006),$AO$1006:$BQ$1006,0))&gt;=100000), " ",IF(INDEX($AO$2:$BQ$1001,MATCH(ROWS($AH$2:AH278),$AH$2:$AH$1001,0),MATCH(COLUMNS($AO$1006:BH1006),$AO$1006:$BQ$1006,0)), HYPERLINK("#",""), HYPERLINK(CONCATENATE("#Metadata!", ADDRESS(INDEX($AJ$2:$AJ$1001,MATCH(ROWS($AH$2:AH278),$AH$2:$AH$1001,0),0), INDEX($AO$1004:$BQ$1004,1,MATCH(COLUMNS($AO$1006:BH1006),$AO$1006:$BQ$1006,0)))),"Fix")))</f>
        <v>#N/A</v>
      </c>
      <c r="V278" s="5" t="e">
        <f ca="1">IF(OR(INDEX($AI$2:$AI$1001,MATCH(ROWS($AH$2:AH278),$AH$2:$AH$1001,0),1)&gt;=100000,INDEX($AO$1005:$BQ$1005,1,MATCH(COLUMNS($AO$1006:BI1006),$AO$1006:$BQ$1006,0))&gt;=100000), " ",IF(INDEX($AO$2:$BQ$1001,MATCH(ROWS($AH$2:AH278),$AH$2:$AH$1001,0),MATCH(COLUMNS($AO$1006:BI1006),$AO$1006:$BQ$1006,0)), HYPERLINK("#",""), HYPERLINK(CONCATENATE("#Metadata!", ADDRESS(INDEX($AJ$2:$AJ$1001,MATCH(ROWS($AH$2:AH278),$AH$2:$AH$1001,0),0), INDEX($AO$1004:$BQ$1004,1,MATCH(COLUMNS($AO$1006:BI1006),$AO$1006:$BQ$1006,0)))),"Fix")))</f>
        <v>#N/A</v>
      </c>
      <c r="W278" s="5" t="e">
        <f ca="1">IF(OR(INDEX($AI$2:$AI$1001,MATCH(ROWS($AH$2:AH278),$AH$2:$AH$1001,0),1)&gt;=100000,INDEX($AO$1005:$BQ$1005,1,MATCH(COLUMNS($AO$1006:BJ1006),$AO$1006:$BQ$1006,0))&gt;=100000), " ",IF(INDEX($AO$2:$BQ$1001,MATCH(ROWS($AH$2:AH278),$AH$2:$AH$1001,0),MATCH(COLUMNS($AO$1006:BJ1006),$AO$1006:$BQ$1006,0)), HYPERLINK("#",""), HYPERLINK(CONCATENATE("#Metadata!", ADDRESS(INDEX($AJ$2:$AJ$1001,MATCH(ROWS($AH$2:AH278),$AH$2:$AH$1001,0),0), INDEX($AO$1004:$BQ$1004,1,MATCH(COLUMNS($AO$1006:BJ1006),$AO$1006:$BQ$1006,0)))),"Fix")))</f>
        <v>#N/A</v>
      </c>
      <c r="X278" s="5" t="e">
        <f ca="1">IF(OR(INDEX($AI$2:$AI$1001,MATCH(ROWS($AH$2:AH278),$AH$2:$AH$1001,0),1)&gt;=100000,INDEX($AO$1005:$BQ$1005,1,MATCH(COLUMNS($AO$1006:BK1006),$AO$1006:$BQ$1006,0))&gt;=100000), " ",IF(INDEX($AO$2:$BQ$1001,MATCH(ROWS($AH$2:AH278),$AH$2:$AH$1001,0),MATCH(COLUMNS($AO$1006:BK1006),$AO$1006:$BQ$1006,0)), HYPERLINK("#",""), HYPERLINK(CONCATENATE("#Metadata!", ADDRESS(INDEX($AJ$2:$AJ$1001,MATCH(ROWS($AH$2:AH278),$AH$2:$AH$1001,0),0), INDEX($AO$1004:$BQ$1004,1,MATCH(COLUMNS($AO$1006:BK1006),$AO$1006:$BQ$1006,0)))),"Fix")))</f>
        <v>#N/A</v>
      </c>
      <c r="Y278" s="5" t="e">
        <f ca="1">IF(OR(INDEX($AI$2:$AI$1001,MATCH(ROWS($AH$2:AH278),$AH$2:$AH$1001,0),1)&gt;=100000,INDEX($AO$1005:$BQ$1005,1,MATCH(COLUMNS($AO$1006:BL1006),$AO$1006:$BQ$1006,0))&gt;=100000), " ",IF(INDEX($AO$2:$BQ$1001,MATCH(ROWS($AH$2:AH278),$AH$2:$AH$1001,0),MATCH(COLUMNS($AO$1006:BL1006),$AO$1006:$BQ$1006,0)), HYPERLINK("#",""), HYPERLINK(CONCATENATE("#Metadata!", ADDRESS(INDEX($AJ$2:$AJ$1001,MATCH(ROWS($AH$2:AH278),$AH$2:$AH$1001,0),0), INDEX($AO$1004:$BQ$1004,1,MATCH(COLUMNS($AO$1006:BL1006),$AO$1006:$BQ$1006,0)))),"Fix")))</f>
        <v>#N/A</v>
      </c>
      <c r="Z278" s="5" t="e">
        <f ca="1">IF(OR(INDEX($AI$2:$AI$1001,MATCH(ROWS($AH$2:AH278),$AH$2:$AH$1001,0),1)&gt;=100000,INDEX($AO$1005:$BQ$1005,1,MATCH(COLUMNS($AO$1006:BM1006),$AO$1006:$BQ$1006,0))&gt;=100000), " ",IF(INDEX($AO$2:$BQ$1001,MATCH(ROWS($AH$2:AH278),$AH$2:$AH$1001,0),MATCH(COLUMNS($AO$1006:BM1006),$AO$1006:$BQ$1006,0)), HYPERLINK("#",""), HYPERLINK(CONCATENATE("#Metadata!", ADDRESS(INDEX($AJ$2:$AJ$1001,MATCH(ROWS($AH$2:AH278),$AH$2:$AH$1001,0),0), INDEX($AO$1004:$BQ$1004,1,MATCH(COLUMNS($AO$1006:BM1006),$AO$1006:$BQ$1006,0)))),"Fix")))</f>
        <v>#N/A</v>
      </c>
      <c r="AA278" s="5" t="e">
        <f ca="1">IF(OR(INDEX($AI$2:$AI$1001,MATCH(ROWS($AH$2:AH278),$AH$2:$AH$1001,0),1)&gt;=100000,INDEX($AO$1005:$BQ$1005,1,MATCH(COLUMNS($AO$1006:BN1006),$AO$1006:$BQ$1006,0))&gt;=100000), " ",IF(INDEX($AO$2:$BQ$1001,MATCH(ROWS($AH$2:AH278),$AH$2:$AH$1001,0),MATCH(COLUMNS($AO$1006:BN1006),$AO$1006:$BQ$1006,0)), HYPERLINK("#",""), HYPERLINK(CONCATENATE("#Metadata!", ADDRESS(INDEX($AJ$2:$AJ$1001,MATCH(ROWS($AH$2:AH278),$AH$2:$AH$1001,0),0), INDEX($AO$1004:$BQ$1004,1,MATCH(COLUMNS($AO$1006:BN1006),$AO$1006:$BQ$1006,0)))),"Fix")))</f>
        <v>#N/A</v>
      </c>
      <c r="AB278" s="5" t="e">
        <f ca="1">IF(OR(INDEX($AI$2:$AI$1001,MATCH(ROWS($AH$2:AH278),$AH$2:$AH$1001,0),1)&gt;=100000,INDEX($AO$1005:$BQ$1005,1,MATCH(COLUMNS($AO$1006:BO1006),$AO$1006:$BQ$1006,0))&gt;=100000), " ",IF(INDEX($AO$2:$BQ$1001,MATCH(ROWS($AH$2:AH278),$AH$2:$AH$1001,0),MATCH(COLUMNS($AO$1006:BO1006),$AO$1006:$BQ$1006,0)), HYPERLINK("#",""), HYPERLINK(CONCATENATE("#Metadata!", ADDRESS(INDEX($AJ$2:$AJ$1001,MATCH(ROWS($AH$2:AH278),$AH$2:$AH$1001,0),0), INDEX($AO$1004:$BQ$1004,1,MATCH(COLUMNS($AO$1006:BO1006),$AO$1006:$BQ$1006,0)))),"Fix")))</f>
        <v>#N/A</v>
      </c>
      <c r="AC278" s="5" t="e">
        <f ca="1">IF(OR(INDEX($AI$2:$AI$1001,MATCH(ROWS($AH$2:AH278),$AH$2:$AH$1001,0),1)&gt;=100000,INDEX($AO$1005:$BQ$1005,1,MATCH(COLUMNS($AO$1006:BP1006),$AO$1006:$BQ$1006,0))&gt;=100000), " ",IF(INDEX($AO$2:$BQ$1001,MATCH(ROWS($AH$2:AH278),$AH$2:$AH$1001,0),MATCH(COLUMNS($AO$1006:BP1006),$AO$1006:$BQ$1006,0)), HYPERLINK("#",""), HYPERLINK(CONCATENATE("#Metadata!", ADDRESS(INDEX($AJ$2:$AJ$1001,MATCH(ROWS($AH$2:AH278),$AH$2:$AH$1001,0),0), INDEX($AO$1004:$BQ$1004,1,MATCH(COLUMNS($AO$1006:BP1006),$AO$1006:$BQ$1006,0)))),"Fix")))</f>
        <v>#N/A</v>
      </c>
      <c r="AD278" s="5" t="e">
        <f ca="1">IF(OR(INDEX($AI$2:$AI$1001,MATCH(ROWS($AH$2:AH278),$AH$2:$AH$1001,0),1)&gt;=100000,INDEX($AO$1005:$BQ$1005,1,MATCH(COLUMNS($AO$1006:BQ1006),$AO$1006:$BQ$1006,0))&gt;=100000), " ",IF(INDEX($AO$2:$BQ$1001,MATCH(ROWS($AH$2:AH278),$AH$2:$AH$1001,0),MATCH(COLUMNS($AO$1006:BQ1006),$AO$1006:$BQ$1006,0)), HYPERLINK("#",""), HYPERLINK(CONCATENATE("#Metadata!", ADDRESS(INDEX($AJ$2:$AJ$1001,MATCH(ROWS($AH$2:AH278),$AH$2:$AH$1001,0),0), INDEX($AO$1004:$BQ$1004,1,MATCH(COLUMNS($AO$1006:BQ1006),$AO$1006:$BQ$1006,0)))),"Fix")))</f>
        <v>#REF!</v>
      </c>
      <c r="AH278">
        <f ca="1"/>
        <v>275</v>
      </c>
      <c r="AI278">
        <v>100278</v>
      </c>
      <c r="AJ278">
        <v>278</v>
      </c>
      <c r="AK278" t="b">
        <f t="shared" si="4"/>
        <v>1</v>
      </c>
      <c r="AL278" t="b">
        <f>COUNTBLANK(Metadata!B278:AD278)=COLUMNS(Metadata!B278:AD278)</f>
        <v>1</v>
      </c>
      <c r="AM278" t="str">
        <v/>
      </c>
      <c r="AO278" t="b">
        <f ca="1">AND(IF(Metadata!B278="",FALSE,TRUE),COUNTIF(Metadata!B:B, Metadata!B278) = 1,NOT(ISERROR(SUMPRODUCT(SEARCH(MID(Metadata!B278,ROW(INDIRECT("1:"&amp;LEN(Metadata!B278))), 1),"0123456789abcdefghijklmnopqrstuvwxyzABCDEFGHIJKLMNOPQRSTUVWXYZ.")))))</f>
        <v>0</v>
      </c>
      <c r="AP278" t="b">
        <f>IF(Metadata!C278="",FALSE,TRUE)</f>
        <v>0</v>
      </c>
      <c r="AQ278" t="b">
        <f>IF(Metadata!D278="",FALSE,TRUE)</f>
        <v>0</v>
      </c>
      <c r="AR278" t="b">
        <f ca="1">OR(AND(IF(Metadata!E278="",FALSE,TRUE),OR(EXACT(Metadata!E278,"not collected"),EXACT(Metadata!E278,"not provided"),EXACT(Metadata!E278,"restricted access"))),AND(IF(Metadata!E278="",FALSE,TRUE),AND(AND(IFERROR(INT(LEFT(Metadata!E278,4))&gt;1900,FALSE),IFERROR(INT(LEFT(Metadata!E278,4))&lt;=YEAR(NOW()),FALSE)), OR(MID(Metadata!E278,5,1)="", AND(AND(MID(Metadata!E278,5,1)="-",IFERROR(INT(MID(Metadata!E278,6,1))&gt;=0,FALSE),IFERROR(INT(MID(Metadata!E278,6,1))&lt;=1,FALSE),NOT(MID(Metadata!E278,7,1)=""),IFERROR(INT(MID(Metadata!E278,6,2))&gt;=1,FALSE),IFERROR(INT(MID(Metadata!E278,6,2))&lt;=12,FALSE)), OR(MID(Metadata!E278,8,1)="", AND(AND(MID(Metadata!E278,8,1)="-",IFERROR(INT(MID(Metadata!E278,9,1))&gt;=0,FALSE),IFERROR(INT(MID(Metadata!E278,9,1))&lt;=3,FALSE),NOT(MID(Metadata!E278,10,1)=""),IFERROR(INT(MID(Metadata!E278,9,2))&gt;=1,FALSE),IFERROR(INT(MID(Metadata!E278,9,2))&lt;=31,FALSE)), OR(MID(Metadata!E278,11,1)="", AND(AND(MID(Metadata!E278,11,1)=" ",IFERROR(INT(MID(Metadata!E278,12,1))&gt;=0,FALSE),IFERROR(INT(MID(Metadata!E278,12,1))&lt;=2,FALSE),NOT(MID(Metadata!E278,13,1)=""),IFERROR(INT(MID(Metadata!E278,12,2))&gt;=0,FALSE),IFERROR(INT(MID(Metadata!E278,12,2))&lt;=23,FALSE)), OR(MID(Metadata!E278,14,1)="", AND(AND(MID(Metadata!E278,14,1)=":",IFERROR(INT(MID(Metadata!E278,15,1))&gt;=0,FALSE),IFERROR(INT(MID(Metadata!E278,15,1))&lt;=5,FALSE),NOT(MID(Metadata!E278,16,1)=""),IFERROR(INT(MID(Metadata!E278,15,2))&gt;=0,FALSE),IFERROR(INT(MID(Metadata!E278,15,2))&lt;=59,FALSE)), OR(MID(Metadata!E278,17,1)="", AND(AND(MID(Metadata!E278,17,1)=":",IFERROR(INT(MID(Metadata!E278,18,1))&gt;=0,FALSE),IFERROR(INT(MID(Metadata!E278,18,1))&lt;=5,FALSE),NOT(MID(Metadata!E278,19,1)=""),IFERROR(INT(MID(Metadata!E278,18,2))&gt;=0,FALSE),IFERROR(INT(MID(Metadata!E278,18,2))&lt;=59,FALSE)), LEN(Metadata!E278)&lt;=19)))))))))))))</f>
        <v>0</v>
      </c>
      <c r="AS278" t="b">
        <f>IF(Metadata!F278="",FALSE,TRUE)</f>
        <v>0</v>
      </c>
      <c r="AT278" t="b">
        <f>OR(AND(IF(Metadata!G278="",FALSE,TRUE),OR(EXACT(Metadata!G278,"not collected"),EXACT(Metadata!G278,"not provided"))),AND(IF(Metadata!G278="",FALSE,TRUE),OR(EXACT(Metadata!G278,"TRUE"),EXACT(Metadata!G278,"FALSE"))))</f>
        <v>0</v>
      </c>
      <c r="AU278" t="b">
        <f>OR(AND(IF(Metadata!H278="",FALSE,TRUE),OR(EXACT(Metadata!H278,"not collected"),EXACT(Metadata!H278,"not provided"),EXACT(Metadata!H278,"restricted access"))),AND(IF(Metadata!H278="",FALSE,ISNUMBER(VALUE(Metadata!H278))),Metadata!H278&gt;=-413))</f>
        <v>0</v>
      </c>
      <c r="AV278" t="b">
        <f>AND(IF(Metadata!I278="",FALSE,TRUE),EXACT(Metadata!I278,"meters"))</f>
        <v>0</v>
      </c>
      <c r="AW278" t="b">
        <f>AND(IF(Metadata!J278="",FALSE,TRUE),EXACT(Metadata!J278,"free-living"))</f>
        <v>0</v>
      </c>
      <c r="AX278" t="b">
        <f>AND(IF(Metadata!K278="",FALSE,TRUE),OR(EXACT(Metadata!K278,"saline"),EXACT(Metadata!K278,"non-saline")))</f>
        <v>0</v>
      </c>
      <c r="AY278" t="b">
        <f>AND(IF(Metadata!L278="",FALSE,TRUE),OR(EXACT(Metadata!L278,"sub-surface (non-saline)"),EXACT(Metadata!L278,"surface (non-saline)"),EXACT(Metadata!L278,"water (non-saline)"),EXACT(Metadata!L278,"soil (non-saline)"),EXACT(Metadata!L278,"aerosol (non-saline)"),EXACT(Metadata!L278,"sediment (non-saline)"),EXACT(Metadata!L278,"surface (saline)"),EXACT(Metadata!L278,"water (saline)"),EXACT(Metadata!L278,"hypersaline (saline)"),EXACT(Metadata!L278,"aerosol (saline)"),EXACT(Metadata!L278,"sediment (saline)")))</f>
        <v>0</v>
      </c>
      <c r="AZ278" t="b">
        <f>IF(Metadata!M278="",FALSE,TRUE)</f>
        <v>0</v>
      </c>
      <c r="BA278" t="b">
        <f>IF(Metadata!N278="",FALSE,TRUE)</f>
        <v>0</v>
      </c>
      <c r="BB278" t="b">
        <f>IF(Metadata!O278="",FALSE,TRUE)</f>
        <v>0</v>
      </c>
      <c r="BC278" t="b">
        <f>AND(IF(Metadata!P278="",FALSE,TRUE),OR(EXACT(Metadata!P278,"air"),EXACT(Metadata!P278,"microbial mat/biofilm"),EXACT(Metadata!P278,"misc environment"),EXACT(Metadata!P278,"sediment"),EXACT(Metadata!P278,"soil"),EXACT(Metadata!P278,"wastewater/sludge"),EXACT(Metadata!P278,"water")))</f>
        <v>0</v>
      </c>
      <c r="BD278" t="b">
        <f>IF(Metadata!Q278="",FALSE,TRUE)</f>
        <v>0</v>
      </c>
      <c r="BE278" t="b">
        <f>IF(Metadata!R278="",FALSE,TRUE)</f>
        <v>0</v>
      </c>
      <c r="BF278" t="b">
        <f>OR(AND(IF(Metadata!S278="",FALSE,TRUE),OR(EXACT(Metadata!S278,"not collected"),EXACT(Metadata!S278,"not provided"),EXACT(Metadata!S278,"restricted access"))),AND(IF(Metadata!S278="",FALSE,ISNUMBER(VALUE(Metadata!S278))),Metadata!S278&gt;=-90,Metadata!S278&lt;=90))</f>
        <v>0</v>
      </c>
      <c r="BG278" t="b">
        <f>AND(IF(Metadata!T278="",FALSE,TRUE),EXACT(Metadata!T278,"Decimal degrees"))</f>
        <v>0</v>
      </c>
      <c r="BH278" t="b">
        <f>OR(AND(IF(Metadata!U278="",FALSE,TRUE),OR(EXACT(Metadata!U278,"not applicable"),EXACT(Metadata!U278,"not collected"))),IF(Metadata!U278="",FALSE,TRUE))</f>
        <v>0</v>
      </c>
      <c r="BI278" t="b">
        <f>OR(AND(IF(Metadata!V278="",FALSE,TRUE),OR(EXACT(Metadata!V278,"not collected"),EXACT(Metadata!V278,"not provided"),EXACT(Metadata!V278,"restricted access"))),AND(IF(Metadata!V278="",FALSE,ISNUMBER(VALUE(Metadata!V278))),Metadata!V278&gt;=-180,Metadata!V278&lt;=180))</f>
        <v>0</v>
      </c>
      <c r="BJ278" t="b">
        <f>AND(IF(Metadata!W278="",FALSE,TRUE),EXACT(Metadata!W278,"Decimal degrees"))</f>
        <v>0</v>
      </c>
      <c r="BK278" t="b">
        <f>IF(Metadata!X278="",FALSE,TRUE)</f>
        <v>0</v>
      </c>
      <c r="BL278" t="b">
        <f>OR(AND(IF(Metadata!Y278="",FALSE,TRUE),OR(EXACT(Metadata!Y278,"not collected"),EXACT(Metadata!Y278,"not provided"),EXACT(Metadata!Y278,"restricted access"))),AND(IF(Metadata!Y278="",FALSE,TRUE),OR(EXACT(Metadata!Y278,"TRUE"),EXACT(Metadata!Y278,"FALSE"))))</f>
        <v>0</v>
      </c>
      <c r="BM278" t="b">
        <f>OR(AND(IF(Metadata!Z278="",FALSE,TRUE),EXACT(Metadata!Z278,"not applicable")),AND(IF(Metadata!Z278="",FALSE,TRUE),OR(EXACT(Metadata!Z278,"beer"),EXACT(Metadata!Z278,"cheese"),EXACT(Metadata!Z278,"fresh water"),EXACT(Metadata!Z278,"marine sediment"),EXACT(Metadata!Z278,"sea water"),EXACT(Metadata!Z278,"sediment"),EXACT(Metadata!Z278,"soil"),EXACT(Metadata!Z278,"waste water"))))</f>
        <v>0</v>
      </c>
      <c r="BN278" t="b">
        <f>AND(IF(Metadata!AA278="",FALSE,TRUE),EXACT(Metadata!AA278,"metagenome"))</f>
        <v>0</v>
      </c>
      <c r="BO278" t="b">
        <f>AND(IF(Metadata!AB278="",FALSE,TRUE),EXACT(Metadata!AB278,"256318"))</f>
        <v>0</v>
      </c>
      <c r="BP278" t="b">
        <f>IF(Metadata!AC278="",FALSE,TRUE)</f>
        <v>0</v>
      </c>
      <c r="BQ278" t="b">
        <f>IF(Metadata!AD278="",FALSE,TRUE)</f>
        <v>0</v>
      </c>
    </row>
    <row r="279" spans="1:69" x14ac:dyDescent="0.2">
      <c r="A279" s="4" t="e">
        <f ca="1">IF(B279=" "," ",HYPERLINK(CONCATENATE("#metadata!",ADDRESS(INDEX($AJ$2:$AJ$1001,MATCH(ROWS($AH$2:AH279),$AH$2:$AH$1001,0),0),2)),INDEX($AM$2:$AM$1001,MATCH(ROWS($AH$2:AH279),$AH$2:$AH$1001,0),0)))</f>
        <v>#N/A</v>
      </c>
      <c r="B279" s="5" t="e">
        <f ca="1">IF(OR(INDEX($AI$2:$AI$1001,MATCH(ROWS($AH$2:AH279),$AH$2:$AH$1001,0),1)&gt;=100000,INDEX($AO$1005:$BQ$1005,1,MATCH(COLUMNS($AO$1006:AO1006),$AO$1006:$BQ$1006,0))&gt;=100000), " ",IF(INDEX($AO$2:$BQ$1001,MATCH(ROWS($AH$2:AH279),$AH$2:$AH$1001,0),MATCH(COLUMNS($AO$1006:AO1006),$AO$1006:$BQ$1006,0)), HYPERLINK("#",""), HYPERLINK(CONCATENATE("#Metadata!", ADDRESS(INDEX($AJ$2:$AJ$1001,MATCH(ROWS($AH$2:AH279),$AH$2:$AH$1001,0),0), INDEX($AO$1004:$BQ$1004,1,MATCH(COLUMNS($AO$1006:AO1006),$AO$1006:$BQ$1006,0)))),"Fix")))</f>
        <v>#N/A</v>
      </c>
      <c r="C279" s="5" t="e">
        <f ca="1">IF(OR(INDEX($AI$2:$AI$1001,MATCH(ROWS($AH$2:AH279),$AH$2:$AH$1001,0),1)&gt;=100000,INDEX($AO$1005:$BQ$1005,1,MATCH(COLUMNS($AO$1006:AP1006),$AO$1006:$BQ$1006,0))&gt;=100000), " ",IF(INDEX($AO$2:$BQ$1001,MATCH(ROWS($AH$2:AH279),$AH$2:$AH$1001,0),MATCH(COLUMNS($AO$1006:AP1006),$AO$1006:$BQ$1006,0)), HYPERLINK("#",""), HYPERLINK(CONCATENATE("#Metadata!", ADDRESS(INDEX($AJ$2:$AJ$1001,MATCH(ROWS($AH$2:AH279),$AH$2:$AH$1001,0),0), INDEX($AO$1004:$BQ$1004,1,MATCH(COLUMNS($AO$1006:AP1006),$AO$1006:$BQ$1006,0)))),"Fix")))</f>
        <v>#N/A</v>
      </c>
      <c r="D279" s="5" t="e">
        <f ca="1">IF(OR(INDEX($AI$2:$AI$1001,MATCH(ROWS($AH$2:AH279),$AH$2:$AH$1001,0),1)&gt;=100000,INDEX($AO$1005:$BQ$1005,1,MATCH(COLUMNS($AO$1006:AQ1006),$AO$1006:$BQ$1006,0))&gt;=100000), " ",IF(INDEX($AO$2:$BQ$1001,MATCH(ROWS($AH$2:AH279),$AH$2:$AH$1001,0),MATCH(COLUMNS($AO$1006:AQ1006),$AO$1006:$BQ$1006,0)), HYPERLINK("#",""), HYPERLINK(CONCATENATE("#Metadata!", ADDRESS(INDEX($AJ$2:$AJ$1001,MATCH(ROWS($AH$2:AH279),$AH$2:$AH$1001,0),0), INDEX($AO$1004:$BQ$1004,1,MATCH(COLUMNS($AO$1006:AQ1006),$AO$1006:$BQ$1006,0)))),"Fix")))</f>
        <v>#N/A</v>
      </c>
      <c r="E279" s="5" t="e">
        <f ca="1">IF(OR(INDEX($AI$2:$AI$1001,MATCH(ROWS($AH$2:AH279),$AH$2:$AH$1001,0),1)&gt;=100000,INDEX($AO$1005:$BQ$1005,1,MATCH(COLUMNS($AO$1006:AR1006),$AO$1006:$BQ$1006,0))&gt;=100000), " ",IF(INDEX($AO$2:$BQ$1001,MATCH(ROWS($AH$2:AH279),$AH$2:$AH$1001,0),MATCH(COLUMNS($AO$1006:AR1006),$AO$1006:$BQ$1006,0)), HYPERLINK("#",""), HYPERLINK(CONCATENATE("#Metadata!", ADDRESS(INDEX($AJ$2:$AJ$1001,MATCH(ROWS($AH$2:AH279),$AH$2:$AH$1001,0),0), INDEX($AO$1004:$BQ$1004,1,MATCH(COLUMNS($AO$1006:AR1006),$AO$1006:$BQ$1006,0)))),"Fix")))</f>
        <v>#N/A</v>
      </c>
      <c r="F279" s="5" t="e">
        <f ca="1">IF(OR(INDEX($AI$2:$AI$1001,MATCH(ROWS($AH$2:AH279),$AH$2:$AH$1001,0),1)&gt;=100000,INDEX($AO$1005:$BQ$1005,1,MATCH(COLUMNS($AO$1006:AS1006),$AO$1006:$BQ$1006,0))&gt;=100000), " ",IF(INDEX($AO$2:$BQ$1001,MATCH(ROWS($AH$2:AH279),$AH$2:$AH$1001,0),MATCH(COLUMNS($AO$1006:AS1006),$AO$1006:$BQ$1006,0)), HYPERLINK("#",""), HYPERLINK(CONCATENATE("#Metadata!", ADDRESS(INDEX($AJ$2:$AJ$1001,MATCH(ROWS($AH$2:AH279),$AH$2:$AH$1001,0),0), INDEX($AO$1004:$BQ$1004,1,MATCH(COLUMNS($AO$1006:AS1006),$AO$1006:$BQ$1006,0)))),"Fix")))</f>
        <v>#N/A</v>
      </c>
      <c r="G279" s="5" t="e">
        <f ca="1">IF(OR(INDEX($AI$2:$AI$1001,MATCH(ROWS($AH$2:AH279),$AH$2:$AH$1001,0),1)&gt;=100000,INDEX($AO$1005:$BQ$1005,1,MATCH(COLUMNS($AO$1006:AT1006),$AO$1006:$BQ$1006,0))&gt;=100000), " ",IF(INDEX($AO$2:$BQ$1001,MATCH(ROWS($AH$2:AH279),$AH$2:$AH$1001,0),MATCH(COLUMNS($AO$1006:AT1006),$AO$1006:$BQ$1006,0)), HYPERLINK("#",""), HYPERLINK(CONCATENATE("#Metadata!", ADDRESS(INDEX($AJ$2:$AJ$1001,MATCH(ROWS($AH$2:AH279),$AH$2:$AH$1001,0),0), INDEX($AO$1004:$BQ$1004,1,MATCH(COLUMNS($AO$1006:AT1006),$AO$1006:$BQ$1006,0)))),"Fix")))</f>
        <v>#N/A</v>
      </c>
      <c r="H279" s="5" t="e">
        <f ca="1">IF(OR(INDEX($AI$2:$AI$1001,MATCH(ROWS($AH$2:AH279),$AH$2:$AH$1001,0),1)&gt;=100000,INDEX($AO$1005:$BQ$1005,1,MATCH(COLUMNS($AO$1006:AU1006),$AO$1006:$BQ$1006,0))&gt;=100000), " ",IF(INDEX($AO$2:$BQ$1001,MATCH(ROWS($AH$2:AH279),$AH$2:$AH$1001,0),MATCH(COLUMNS($AO$1006:AU1006),$AO$1006:$BQ$1006,0)), HYPERLINK("#",""), HYPERLINK(CONCATENATE("#Metadata!", ADDRESS(INDEX($AJ$2:$AJ$1001,MATCH(ROWS($AH$2:AH279),$AH$2:$AH$1001,0),0), INDEX($AO$1004:$BQ$1004,1,MATCH(COLUMNS($AO$1006:AU1006),$AO$1006:$BQ$1006,0)))),"Fix")))</f>
        <v>#N/A</v>
      </c>
      <c r="I279" s="5" t="e">
        <f ca="1">IF(OR(INDEX($AI$2:$AI$1001,MATCH(ROWS($AH$2:AH279),$AH$2:$AH$1001,0),1)&gt;=100000,INDEX($AO$1005:$BQ$1005,1,MATCH(COLUMNS($AO$1006:AV1006),$AO$1006:$BQ$1006,0))&gt;=100000), " ",IF(INDEX($AO$2:$BQ$1001,MATCH(ROWS($AH$2:AH279),$AH$2:$AH$1001,0),MATCH(COLUMNS($AO$1006:AV1006),$AO$1006:$BQ$1006,0)), HYPERLINK("#",""), HYPERLINK(CONCATENATE("#Metadata!", ADDRESS(INDEX($AJ$2:$AJ$1001,MATCH(ROWS($AH$2:AH279),$AH$2:$AH$1001,0),0), INDEX($AO$1004:$BQ$1004,1,MATCH(COLUMNS($AO$1006:AV1006),$AO$1006:$BQ$1006,0)))),"Fix")))</f>
        <v>#N/A</v>
      </c>
      <c r="J279" s="5" t="e">
        <f ca="1">IF(OR(INDEX($AI$2:$AI$1001,MATCH(ROWS($AH$2:AH279),$AH$2:$AH$1001,0),1)&gt;=100000,INDEX($AO$1005:$BQ$1005,1,MATCH(COLUMNS($AO$1006:AW1006),$AO$1006:$BQ$1006,0))&gt;=100000), " ",IF(INDEX($AO$2:$BQ$1001,MATCH(ROWS($AH$2:AH279),$AH$2:$AH$1001,0),MATCH(COLUMNS($AO$1006:AW1006),$AO$1006:$BQ$1006,0)), HYPERLINK("#",""), HYPERLINK(CONCATENATE("#Metadata!", ADDRESS(INDEX($AJ$2:$AJ$1001,MATCH(ROWS($AH$2:AH279),$AH$2:$AH$1001,0),0), INDEX($AO$1004:$BQ$1004,1,MATCH(COLUMNS($AO$1006:AW1006),$AO$1006:$BQ$1006,0)))),"Fix")))</f>
        <v>#N/A</v>
      </c>
      <c r="K279" s="5" t="e">
        <f ca="1">IF(OR(INDEX($AI$2:$AI$1001,MATCH(ROWS($AH$2:AH279),$AH$2:$AH$1001,0),1)&gt;=100000,INDEX($AO$1005:$BQ$1005,1,MATCH(COLUMNS($AO$1006:AX1006),$AO$1006:$BQ$1006,0))&gt;=100000), " ",IF(INDEX($AO$2:$BQ$1001,MATCH(ROWS($AH$2:AH279),$AH$2:$AH$1001,0),MATCH(COLUMNS($AO$1006:AX1006),$AO$1006:$BQ$1006,0)), HYPERLINK("#",""), HYPERLINK(CONCATENATE("#Metadata!", ADDRESS(INDEX($AJ$2:$AJ$1001,MATCH(ROWS($AH$2:AH279),$AH$2:$AH$1001,0),0), INDEX($AO$1004:$BQ$1004,1,MATCH(COLUMNS($AO$1006:AX1006),$AO$1006:$BQ$1006,0)))),"Fix")))</f>
        <v>#N/A</v>
      </c>
      <c r="L279" s="5" t="e">
        <f ca="1">IF(OR(INDEX($AI$2:$AI$1001,MATCH(ROWS($AH$2:AH279),$AH$2:$AH$1001,0),1)&gt;=100000,INDEX($AO$1005:$BQ$1005,1,MATCH(COLUMNS($AO$1006:AY1006),$AO$1006:$BQ$1006,0))&gt;=100000), " ",IF(INDEX($AO$2:$BQ$1001,MATCH(ROWS($AH$2:AH279),$AH$2:$AH$1001,0),MATCH(COLUMNS($AO$1006:AY1006),$AO$1006:$BQ$1006,0)), HYPERLINK("#",""), HYPERLINK(CONCATENATE("#Metadata!", ADDRESS(INDEX($AJ$2:$AJ$1001,MATCH(ROWS($AH$2:AH279),$AH$2:$AH$1001,0),0), INDEX($AO$1004:$BQ$1004,1,MATCH(COLUMNS($AO$1006:AY1006),$AO$1006:$BQ$1006,0)))),"Fix")))</f>
        <v>#N/A</v>
      </c>
      <c r="M279" s="5" t="e">
        <f ca="1">IF(OR(INDEX($AI$2:$AI$1001,MATCH(ROWS($AH$2:AH279),$AH$2:$AH$1001,0),1)&gt;=100000,INDEX($AO$1005:$BQ$1005,1,MATCH(COLUMNS($AO$1006:AZ1006),$AO$1006:$BQ$1006,0))&gt;=100000), " ",IF(INDEX($AO$2:$BQ$1001,MATCH(ROWS($AH$2:AH279),$AH$2:$AH$1001,0),MATCH(COLUMNS($AO$1006:AZ1006),$AO$1006:$BQ$1006,0)), HYPERLINK("#",""), HYPERLINK(CONCATENATE("#Metadata!", ADDRESS(INDEX($AJ$2:$AJ$1001,MATCH(ROWS($AH$2:AH279),$AH$2:$AH$1001,0),0), INDEX($AO$1004:$BQ$1004,1,MATCH(COLUMNS($AO$1006:AZ1006),$AO$1006:$BQ$1006,0)))),"Fix")))</f>
        <v>#N/A</v>
      </c>
      <c r="N279" s="5" t="e">
        <f ca="1">IF(OR(INDEX($AI$2:$AI$1001,MATCH(ROWS($AH$2:AH279),$AH$2:$AH$1001,0),1)&gt;=100000,INDEX($AO$1005:$BQ$1005,1,MATCH(COLUMNS($AO$1006:BA1006),$AO$1006:$BQ$1006,0))&gt;=100000), " ",IF(INDEX($AO$2:$BQ$1001,MATCH(ROWS($AH$2:AH279),$AH$2:$AH$1001,0),MATCH(COLUMNS($AO$1006:BA1006),$AO$1006:$BQ$1006,0)), HYPERLINK("#",""), HYPERLINK(CONCATENATE("#Metadata!", ADDRESS(INDEX($AJ$2:$AJ$1001,MATCH(ROWS($AH$2:AH279),$AH$2:$AH$1001,0),0), INDEX($AO$1004:$BQ$1004,1,MATCH(COLUMNS($AO$1006:BA1006),$AO$1006:$BQ$1006,0)))),"Fix")))</f>
        <v>#N/A</v>
      </c>
      <c r="O279" s="5" t="e">
        <f ca="1">IF(OR(INDEX($AI$2:$AI$1001,MATCH(ROWS($AH$2:AH279),$AH$2:$AH$1001,0),1)&gt;=100000,INDEX($AO$1005:$BQ$1005,1,MATCH(COLUMNS($AO$1006:BB1006),$AO$1006:$BQ$1006,0))&gt;=100000), " ",IF(INDEX($AO$2:$BQ$1001,MATCH(ROWS($AH$2:AH279),$AH$2:$AH$1001,0),MATCH(COLUMNS($AO$1006:BB1006),$AO$1006:$BQ$1006,0)), HYPERLINK("#",""), HYPERLINK(CONCATENATE("#Metadata!", ADDRESS(INDEX($AJ$2:$AJ$1001,MATCH(ROWS($AH$2:AH279),$AH$2:$AH$1001,0),0), INDEX($AO$1004:$BQ$1004,1,MATCH(COLUMNS($AO$1006:BB1006),$AO$1006:$BQ$1006,0)))),"Fix")))</f>
        <v>#N/A</v>
      </c>
      <c r="P279" s="5" t="e">
        <f ca="1">IF(OR(INDEX($AI$2:$AI$1001,MATCH(ROWS($AH$2:AH279),$AH$2:$AH$1001,0),1)&gt;=100000,INDEX($AO$1005:$BQ$1005,1,MATCH(COLUMNS($AO$1006:BC1006),$AO$1006:$BQ$1006,0))&gt;=100000), " ",IF(INDEX($AO$2:$BQ$1001,MATCH(ROWS($AH$2:AH279),$AH$2:$AH$1001,0),MATCH(COLUMNS($AO$1006:BC1006),$AO$1006:$BQ$1006,0)), HYPERLINK("#",""), HYPERLINK(CONCATENATE("#Metadata!", ADDRESS(INDEX($AJ$2:$AJ$1001,MATCH(ROWS($AH$2:AH279),$AH$2:$AH$1001,0),0), INDEX($AO$1004:$BQ$1004,1,MATCH(COLUMNS($AO$1006:BC1006),$AO$1006:$BQ$1006,0)))),"Fix")))</f>
        <v>#N/A</v>
      </c>
      <c r="Q279" s="5" t="e">
        <f ca="1">IF(OR(INDEX($AI$2:$AI$1001,MATCH(ROWS($AH$2:AH279),$AH$2:$AH$1001,0),1)&gt;=100000,INDEX($AO$1005:$BQ$1005,1,MATCH(COLUMNS($AO$1006:BD1006),$AO$1006:$BQ$1006,0))&gt;=100000), " ",IF(INDEX($AO$2:$BQ$1001,MATCH(ROWS($AH$2:AH279),$AH$2:$AH$1001,0),MATCH(COLUMNS($AO$1006:BD1006),$AO$1006:$BQ$1006,0)), HYPERLINK("#",""), HYPERLINK(CONCATENATE("#Metadata!", ADDRESS(INDEX($AJ$2:$AJ$1001,MATCH(ROWS($AH$2:AH279),$AH$2:$AH$1001,0),0), INDEX($AO$1004:$BQ$1004,1,MATCH(COLUMNS($AO$1006:BD1006),$AO$1006:$BQ$1006,0)))),"Fix")))</f>
        <v>#N/A</v>
      </c>
      <c r="R279" s="5" t="e">
        <f ca="1">IF(OR(INDEX($AI$2:$AI$1001,MATCH(ROWS($AH$2:AH279),$AH$2:$AH$1001,0),1)&gt;=100000,INDEX($AO$1005:$BQ$1005,1,MATCH(COLUMNS($AO$1006:BE1006),$AO$1006:$BQ$1006,0))&gt;=100000), " ",IF(INDEX($AO$2:$BQ$1001,MATCH(ROWS($AH$2:AH279),$AH$2:$AH$1001,0),MATCH(COLUMNS($AO$1006:BE1006),$AO$1006:$BQ$1006,0)), HYPERLINK("#",""), HYPERLINK(CONCATENATE("#Metadata!", ADDRESS(INDEX($AJ$2:$AJ$1001,MATCH(ROWS($AH$2:AH279),$AH$2:$AH$1001,0),0), INDEX($AO$1004:$BQ$1004,1,MATCH(COLUMNS($AO$1006:BE1006),$AO$1006:$BQ$1006,0)))),"Fix")))</f>
        <v>#N/A</v>
      </c>
      <c r="S279" s="5" t="e">
        <f ca="1">IF(OR(INDEX($AI$2:$AI$1001,MATCH(ROWS($AH$2:AH279),$AH$2:$AH$1001,0),1)&gt;=100000,INDEX($AO$1005:$BQ$1005,1,MATCH(COLUMNS($AO$1006:BF1006),$AO$1006:$BQ$1006,0))&gt;=100000), " ",IF(INDEX($AO$2:$BQ$1001,MATCH(ROWS($AH$2:AH279),$AH$2:$AH$1001,0),MATCH(COLUMNS($AO$1006:BF1006),$AO$1006:$BQ$1006,0)), HYPERLINK("#",""), HYPERLINK(CONCATENATE("#Metadata!", ADDRESS(INDEX($AJ$2:$AJ$1001,MATCH(ROWS($AH$2:AH279),$AH$2:$AH$1001,0),0), INDEX($AO$1004:$BQ$1004,1,MATCH(COLUMNS($AO$1006:BF1006),$AO$1006:$BQ$1006,0)))),"Fix")))</f>
        <v>#N/A</v>
      </c>
      <c r="T279" s="5" t="e">
        <f ca="1">IF(OR(INDEX($AI$2:$AI$1001,MATCH(ROWS($AH$2:AH279),$AH$2:$AH$1001,0),1)&gt;=100000,INDEX($AO$1005:$BQ$1005,1,MATCH(COLUMNS($AO$1006:BG1006),$AO$1006:$BQ$1006,0))&gt;=100000), " ",IF(INDEX($AO$2:$BQ$1001,MATCH(ROWS($AH$2:AH279),$AH$2:$AH$1001,0),MATCH(COLUMNS($AO$1006:BG1006),$AO$1006:$BQ$1006,0)), HYPERLINK("#",""), HYPERLINK(CONCATENATE("#Metadata!", ADDRESS(INDEX($AJ$2:$AJ$1001,MATCH(ROWS($AH$2:AH279),$AH$2:$AH$1001,0),0), INDEX($AO$1004:$BQ$1004,1,MATCH(COLUMNS($AO$1006:BG1006),$AO$1006:$BQ$1006,0)))),"Fix")))</f>
        <v>#N/A</v>
      </c>
      <c r="U279" s="5" t="e">
        <f ca="1">IF(OR(INDEX($AI$2:$AI$1001,MATCH(ROWS($AH$2:AH279),$AH$2:$AH$1001,0),1)&gt;=100000,INDEX($AO$1005:$BQ$1005,1,MATCH(COLUMNS($AO$1006:BH1006),$AO$1006:$BQ$1006,0))&gt;=100000), " ",IF(INDEX($AO$2:$BQ$1001,MATCH(ROWS($AH$2:AH279),$AH$2:$AH$1001,0),MATCH(COLUMNS($AO$1006:BH1006),$AO$1006:$BQ$1006,0)), HYPERLINK("#",""), HYPERLINK(CONCATENATE("#Metadata!", ADDRESS(INDEX($AJ$2:$AJ$1001,MATCH(ROWS($AH$2:AH279),$AH$2:$AH$1001,0),0), INDEX($AO$1004:$BQ$1004,1,MATCH(COLUMNS($AO$1006:BH1006),$AO$1006:$BQ$1006,0)))),"Fix")))</f>
        <v>#N/A</v>
      </c>
      <c r="V279" s="5" t="e">
        <f ca="1">IF(OR(INDEX($AI$2:$AI$1001,MATCH(ROWS($AH$2:AH279),$AH$2:$AH$1001,0),1)&gt;=100000,INDEX($AO$1005:$BQ$1005,1,MATCH(COLUMNS($AO$1006:BI1006),$AO$1006:$BQ$1006,0))&gt;=100000), " ",IF(INDEX($AO$2:$BQ$1001,MATCH(ROWS($AH$2:AH279),$AH$2:$AH$1001,0),MATCH(COLUMNS($AO$1006:BI1006),$AO$1006:$BQ$1006,0)), HYPERLINK("#",""), HYPERLINK(CONCATENATE("#Metadata!", ADDRESS(INDEX($AJ$2:$AJ$1001,MATCH(ROWS($AH$2:AH279),$AH$2:$AH$1001,0),0), INDEX($AO$1004:$BQ$1004,1,MATCH(COLUMNS($AO$1006:BI1006),$AO$1006:$BQ$1006,0)))),"Fix")))</f>
        <v>#N/A</v>
      </c>
      <c r="W279" s="5" t="e">
        <f ca="1">IF(OR(INDEX($AI$2:$AI$1001,MATCH(ROWS($AH$2:AH279),$AH$2:$AH$1001,0),1)&gt;=100000,INDEX($AO$1005:$BQ$1005,1,MATCH(COLUMNS($AO$1006:BJ1006),$AO$1006:$BQ$1006,0))&gt;=100000), " ",IF(INDEX($AO$2:$BQ$1001,MATCH(ROWS($AH$2:AH279),$AH$2:$AH$1001,0),MATCH(COLUMNS($AO$1006:BJ1006),$AO$1006:$BQ$1006,0)), HYPERLINK("#",""), HYPERLINK(CONCATENATE("#Metadata!", ADDRESS(INDEX($AJ$2:$AJ$1001,MATCH(ROWS($AH$2:AH279),$AH$2:$AH$1001,0),0), INDEX($AO$1004:$BQ$1004,1,MATCH(COLUMNS($AO$1006:BJ1006),$AO$1006:$BQ$1006,0)))),"Fix")))</f>
        <v>#N/A</v>
      </c>
      <c r="X279" s="5" t="e">
        <f ca="1">IF(OR(INDEX($AI$2:$AI$1001,MATCH(ROWS($AH$2:AH279),$AH$2:$AH$1001,0),1)&gt;=100000,INDEX($AO$1005:$BQ$1005,1,MATCH(COLUMNS($AO$1006:BK1006),$AO$1006:$BQ$1006,0))&gt;=100000), " ",IF(INDEX($AO$2:$BQ$1001,MATCH(ROWS($AH$2:AH279),$AH$2:$AH$1001,0),MATCH(COLUMNS($AO$1006:BK1006),$AO$1006:$BQ$1006,0)), HYPERLINK("#",""), HYPERLINK(CONCATENATE("#Metadata!", ADDRESS(INDEX($AJ$2:$AJ$1001,MATCH(ROWS($AH$2:AH279),$AH$2:$AH$1001,0),0), INDEX($AO$1004:$BQ$1004,1,MATCH(COLUMNS($AO$1006:BK1006),$AO$1006:$BQ$1006,0)))),"Fix")))</f>
        <v>#N/A</v>
      </c>
      <c r="Y279" s="5" t="e">
        <f ca="1">IF(OR(INDEX($AI$2:$AI$1001,MATCH(ROWS($AH$2:AH279),$AH$2:$AH$1001,0),1)&gt;=100000,INDEX($AO$1005:$BQ$1005,1,MATCH(COLUMNS($AO$1006:BL1006),$AO$1006:$BQ$1006,0))&gt;=100000), " ",IF(INDEX($AO$2:$BQ$1001,MATCH(ROWS($AH$2:AH279),$AH$2:$AH$1001,0),MATCH(COLUMNS($AO$1006:BL1006),$AO$1006:$BQ$1006,0)), HYPERLINK("#",""), HYPERLINK(CONCATENATE("#Metadata!", ADDRESS(INDEX($AJ$2:$AJ$1001,MATCH(ROWS($AH$2:AH279),$AH$2:$AH$1001,0),0), INDEX($AO$1004:$BQ$1004,1,MATCH(COLUMNS($AO$1006:BL1006),$AO$1006:$BQ$1006,0)))),"Fix")))</f>
        <v>#N/A</v>
      </c>
      <c r="Z279" s="5" t="e">
        <f ca="1">IF(OR(INDEX($AI$2:$AI$1001,MATCH(ROWS($AH$2:AH279),$AH$2:$AH$1001,0),1)&gt;=100000,INDEX($AO$1005:$BQ$1005,1,MATCH(COLUMNS($AO$1006:BM1006),$AO$1006:$BQ$1006,0))&gt;=100000), " ",IF(INDEX($AO$2:$BQ$1001,MATCH(ROWS($AH$2:AH279),$AH$2:$AH$1001,0),MATCH(COLUMNS($AO$1006:BM1006),$AO$1006:$BQ$1006,0)), HYPERLINK("#",""), HYPERLINK(CONCATENATE("#Metadata!", ADDRESS(INDEX($AJ$2:$AJ$1001,MATCH(ROWS($AH$2:AH279),$AH$2:$AH$1001,0),0), INDEX($AO$1004:$BQ$1004,1,MATCH(COLUMNS($AO$1006:BM1006),$AO$1006:$BQ$1006,0)))),"Fix")))</f>
        <v>#N/A</v>
      </c>
      <c r="AA279" s="5" t="e">
        <f ca="1">IF(OR(INDEX($AI$2:$AI$1001,MATCH(ROWS($AH$2:AH279),$AH$2:$AH$1001,0),1)&gt;=100000,INDEX($AO$1005:$BQ$1005,1,MATCH(COLUMNS($AO$1006:BN1006),$AO$1006:$BQ$1006,0))&gt;=100000), " ",IF(INDEX($AO$2:$BQ$1001,MATCH(ROWS($AH$2:AH279),$AH$2:$AH$1001,0),MATCH(COLUMNS($AO$1006:BN1006),$AO$1006:$BQ$1006,0)), HYPERLINK("#",""), HYPERLINK(CONCATENATE("#Metadata!", ADDRESS(INDEX($AJ$2:$AJ$1001,MATCH(ROWS($AH$2:AH279),$AH$2:$AH$1001,0),0), INDEX($AO$1004:$BQ$1004,1,MATCH(COLUMNS($AO$1006:BN1006),$AO$1006:$BQ$1006,0)))),"Fix")))</f>
        <v>#N/A</v>
      </c>
      <c r="AB279" s="5" t="e">
        <f ca="1">IF(OR(INDEX($AI$2:$AI$1001,MATCH(ROWS($AH$2:AH279),$AH$2:$AH$1001,0),1)&gt;=100000,INDEX($AO$1005:$BQ$1005,1,MATCH(COLUMNS($AO$1006:BO1006),$AO$1006:$BQ$1006,0))&gt;=100000), " ",IF(INDEX($AO$2:$BQ$1001,MATCH(ROWS($AH$2:AH279),$AH$2:$AH$1001,0),MATCH(COLUMNS($AO$1006:BO1006),$AO$1006:$BQ$1006,0)), HYPERLINK("#",""), HYPERLINK(CONCATENATE("#Metadata!", ADDRESS(INDEX($AJ$2:$AJ$1001,MATCH(ROWS($AH$2:AH279),$AH$2:$AH$1001,0),0), INDEX($AO$1004:$BQ$1004,1,MATCH(COLUMNS($AO$1006:BO1006),$AO$1006:$BQ$1006,0)))),"Fix")))</f>
        <v>#N/A</v>
      </c>
      <c r="AC279" s="5" t="e">
        <f ca="1">IF(OR(INDEX($AI$2:$AI$1001,MATCH(ROWS($AH$2:AH279),$AH$2:$AH$1001,0),1)&gt;=100000,INDEX($AO$1005:$BQ$1005,1,MATCH(COLUMNS($AO$1006:BP1006),$AO$1006:$BQ$1006,0))&gt;=100000), " ",IF(INDEX($AO$2:$BQ$1001,MATCH(ROWS($AH$2:AH279),$AH$2:$AH$1001,0),MATCH(COLUMNS($AO$1006:BP1006),$AO$1006:$BQ$1006,0)), HYPERLINK("#",""), HYPERLINK(CONCATENATE("#Metadata!", ADDRESS(INDEX($AJ$2:$AJ$1001,MATCH(ROWS($AH$2:AH279),$AH$2:$AH$1001,0),0), INDEX($AO$1004:$BQ$1004,1,MATCH(COLUMNS($AO$1006:BP1006),$AO$1006:$BQ$1006,0)))),"Fix")))</f>
        <v>#N/A</v>
      </c>
      <c r="AD279" s="5" t="e">
        <f ca="1">IF(OR(INDEX($AI$2:$AI$1001,MATCH(ROWS($AH$2:AH279),$AH$2:$AH$1001,0),1)&gt;=100000,INDEX($AO$1005:$BQ$1005,1,MATCH(COLUMNS($AO$1006:BQ1006),$AO$1006:$BQ$1006,0))&gt;=100000), " ",IF(INDEX($AO$2:$BQ$1001,MATCH(ROWS($AH$2:AH279),$AH$2:$AH$1001,0),MATCH(COLUMNS($AO$1006:BQ1006),$AO$1006:$BQ$1006,0)), HYPERLINK("#",""), HYPERLINK(CONCATENATE("#Metadata!", ADDRESS(INDEX($AJ$2:$AJ$1001,MATCH(ROWS($AH$2:AH279),$AH$2:$AH$1001,0),0), INDEX($AO$1004:$BQ$1004,1,MATCH(COLUMNS($AO$1006:BQ1006),$AO$1006:$BQ$1006,0)))),"Fix")))</f>
        <v>#REF!</v>
      </c>
      <c r="AH279">
        <f ca="1"/>
        <v>276</v>
      </c>
      <c r="AI279">
        <v>100279</v>
      </c>
      <c r="AJ279">
        <v>279</v>
      </c>
      <c r="AK279" t="b">
        <f t="shared" si="4"/>
        <v>1</v>
      </c>
      <c r="AL279" t="b">
        <f>COUNTBLANK(Metadata!B279:AD279)=COLUMNS(Metadata!B279:AD279)</f>
        <v>1</v>
      </c>
      <c r="AM279" t="str">
        <v/>
      </c>
      <c r="AO279" t="b">
        <f ca="1">AND(IF(Metadata!B279="",FALSE,TRUE),COUNTIF(Metadata!B:B, Metadata!B279) = 1,NOT(ISERROR(SUMPRODUCT(SEARCH(MID(Metadata!B279,ROW(INDIRECT("1:"&amp;LEN(Metadata!B279))), 1),"0123456789abcdefghijklmnopqrstuvwxyzABCDEFGHIJKLMNOPQRSTUVWXYZ.")))))</f>
        <v>0</v>
      </c>
      <c r="AP279" t="b">
        <f>IF(Metadata!C279="",FALSE,TRUE)</f>
        <v>0</v>
      </c>
      <c r="AQ279" t="b">
        <f>IF(Metadata!D279="",FALSE,TRUE)</f>
        <v>0</v>
      </c>
      <c r="AR279" t="b">
        <f ca="1">OR(AND(IF(Metadata!E279="",FALSE,TRUE),OR(EXACT(Metadata!E279,"not collected"),EXACT(Metadata!E279,"not provided"),EXACT(Metadata!E279,"restricted access"))),AND(IF(Metadata!E279="",FALSE,TRUE),AND(AND(IFERROR(INT(LEFT(Metadata!E279,4))&gt;1900,FALSE),IFERROR(INT(LEFT(Metadata!E279,4))&lt;=YEAR(NOW()),FALSE)), OR(MID(Metadata!E279,5,1)="", AND(AND(MID(Metadata!E279,5,1)="-",IFERROR(INT(MID(Metadata!E279,6,1))&gt;=0,FALSE),IFERROR(INT(MID(Metadata!E279,6,1))&lt;=1,FALSE),NOT(MID(Metadata!E279,7,1)=""),IFERROR(INT(MID(Metadata!E279,6,2))&gt;=1,FALSE),IFERROR(INT(MID(Metadata!E279,6,2))&lt;=12,FALSE)), OR(MID(Metadata!E279,8,1)="", AND(AND(MID(Metadata!E279,8,1)="-",IFERROR(INT(MID(Metadata!E279,9,1))&gt;=0,FALSE),IFERROR(INT(MID(Metadata!E279,9,1))&lt;=3,FALSE),NOT(MID(Metadata!E279,10,1)=""),IFERROR(INT(MID(Metadata!E279,9,2))&gt;=1,FALSE),IFERROR(INT(MID(Metadata!E279,9,2))&lt;=31,FALSE)), OR(MID(Metadata!E279,11,1)="", AND(AND(MID(Metadata!E279,11,1)=" ",IFERROR(INT(MID(Metadata!E279,12,1))&gt;=0,FALSE),IFERROR(INT(MID(Metadata!E279,12,1))&lt;=2,FALSE),NOT(MID(Metadata!E279,13,1)=""),IFERROR(INT(MID(Metadata!E279,12,2))&gt;=0,FALSE),IFERROR(INT(MID(Metadata!E279,12,2))&lt;=23,FALSE)), OR(MID(Metadata!E279,14,1)="", AND(AND(MID(Metadata!E279,14,1)=":",IFERROR(INT(MID(Metadata!E279,15,1))&gt;=0,FALSE),IFERROR(INT(MID(Metadata!E279,15,1))&lt;=5,FALSE),NOT(MID(Metadata!E279,16,1)=""),IFERROR(INT(MID(Metadata!E279,15,2))&gt;=0,FALSE),IFERROR(INT(MID(Metadata!E279,15,2))&lt;=59,FALSE)), OR(MID(Metadata!E279,17,1)="", AND(AND(MID(Metadata!E279,17,1)=":",IFERROR(INT(MID(Metadata!E279,18,1))&gt;=0,FALSE),IFERROR(INT(MID(Metadata!E279,18,1))&lt;=5,FALSE),NOT(MID(Metadata!E279,19,1)=""),IFERROR(INT(MID(Metadata!E279,18,2))&gt;=0,FALSE),IFERROR(INT(MID(Metadata!E279,18,2))&lt;=59,FALSE)), LEN(Metadata!E279)&lt;=19)))))))))))))</f>
        <v>0</v>
      </c>
      <c r="AS279" t="b">
        <f>IF(Metadata!F279="",FALSE,TRUE)</f>
        <v>0</v>
      </c>
      <c r="AT279" t="b">
        <f>OR(AND(IF(Metadata!G279="",FALSE,TRUE),OR(EXACT(Metadata!G279,"not collected"),EXACT(Metadata!G279,"not provided"))),AND(IF(Metadata!G279="",FALSE,TRUE),OR(EXACT(Metadata!G279,"TRUE"),EXACT(Metadata!G279,"FALSE"))))</f>
        <v>0</v>
      </c>
      <c r="AU279" t="b">
        <f>OR(AND(IF(Metadata!H279="",FALSE,TRUE),OR(EXACT(Metadata!H279,"not collected"),EXACT(Metadata!H279,"not provided"),EXACT(Metadata!H279,"restricted access"))),AND(IF(Metadata!H279="",FALSE,ISNUMBER(VALUE(Metadata!H279))),Metadata!H279&gt;=-413))</f>
        <v>0</v>
      </c>
      <c r="AV279" t="b">
        <f>AND(IF(Metadata!I279="",FALSE,TRUE),EXACT(Metadata!I279,"meters"))</f>
        <v>0</v>
      </c>
      <c r="AW279" t="b">
        <f>AND(IF(Metadata!J279="",FALSE,TRUE),EXACT(Metadata!J279,"free-living"))</f>
        <v>0</v>
      </c>
      <c r="AX279" t="b">
        <f>AND(IF(Metadata!K279="",FALSE,TRUE),OR(EXACT(Metadata!K279,"saline"),EXACT(Metadata!K279,"non-saline")))</f>
        <v>0</v>
      </c>
      <c r="AY279" t="b">
        <f>AND(IF(Metadata!L279="",FALSE,TRUE),OR(EXACT(Metadata!L279,"sub-surface (non-saline)"),EXACT(Metadata!L279,"surface (non-saline)"),EXACT(Metadata!L279,"water (non-saline)"),EXACT(Metadata!L279,"soil (non-saline)"),EXACT(Metadata!L279,"aerosol (non-saline)"),EXACT(Metadata!L279,"sediment (non-saline)"),EXACT(Metadata!L279,"surface (saline)"),EXACT(Metadata!L279,"water (saline)"),EXACT(Metadata!L279,"hypersaline (saline)"),EXACT(Metadata!L279,"aerosol (saline)"),EXACT(Metadata!L279,"sediment (saline)")))</f>
        <v>0</v>
      </c>
      <c r="AZ279" t="b">
        <f>IF(Metadata!M279="",FALSE,TRUE)</f>
        <v>0</v>
      </c>
      <c r="BA279" t="b">
        <f>IF(Metadata!N279="",FALSE,TRUE)</f>
        <v>0</v>
      </c>
      <c r="BB279" t="b">
        <f>IF(Metadata!O279="",FALSE,TRUE)</f>
        <v>0</v>
      </c>
      <c r="BC279" t="b">
        <f>AND(IF(Metadata!P279="",FALSE,TRUE),OR(EXACT(Metadata!P279,"air"),EXACT(Metadata!P279,"microbial mat/biofilm"),EXACT(Metadata!P279,"misc environment"),EXACT(Metadata!P279,"sediment"),EXACT(Metadata!P279,"soil"),EXACT(Metadata!P279,"wastewater/sludge"),EXACT(Metadata!P279,"water")))</f>
        <v>0</v>
      </c>
      <c r="BD279" t="b">
        <f>IF(Metadata!Q279="",FALSE,TRUE)</f>
        <v>0</v>
      </c>
      <c r="BE279" t="b">
        <f>IF(Metadata!R279="",FALSE,TRUE)</f>
        <v>0</v>
      </c>
      <c r="BF279" t="b">
        <f>OR(AND(IF(Metadata!S279="",FALSE,TRUE),OR(EXACT(Metadata!S279,"not collected"),EXACT(Metadata!S279,"not provided"),EXACT(Metadata!S279,"restricted access"))),AND(IF(Metadata!S279="",FALSE,ISNUMBER(VALUE(Metadata!S279))),Metadata!S279&gt;=-90,Metadata!S279&lt;=90))</f>
        <v>0</v>
      </c>
      <c r="BG279" t="b">
        <f>AND(IF(Metadata!T279="",FALSE,TRUE),EXACT(Metadata!T279,"Decimal degrees"))</f>
        <v>0</v>
      </c>
      <c r="BH279" t="b">
        <f>OR(AND(IF(Metadata!U279="",FALSE,TRUE),OR(EXACT(Metadata!U279,"not applicable"),EXACT(Metadata!U279,"not collected"))),IF(Metadata!U279="",FALSE,TRUE))</f>
        <v>0</v>
      </c>
      <c r="BI279" t="b">
        <f>OR(AND(IF(Metadata!V279="",FALSE,TRUE),OR(EXACT(Metadata!V279,"not collected"),EXACT(Metadata!V279,"not provided"),EXACT(Metadata!V279,"restricted access"))),AND(IF(Metadata!V279="",FALSE,ISNUMBER(VALUE(Metadata!V279))),Metadata!V279&gt;=-180,Metadata!V279&lt;=180))</f>
        <v>0</v>
      </c>
      <c r="BJ279" t="b">
        <f>AND(IF(Metadata!W279="",FALSE,TRUE),EXACT(Metadata!W279,"Decimal degrees"))</f>
        <v>0</v>
      </c>
      <c r="BK279" t="b">
        <f>IF(Metadata!X279="",FALSE,TRUE)</f>
        <v>0</v>
      </c>
      <c r="BL279" t="b">
        <f>OR(AND(IF(Metadata!Y279="",FALSE,TRUE),OR(EXACT(Metadata!Y279,"not collected"),EXACT(Metadata!Y279,"not provided"),EXACT(Metadata!Y279,"restricted access"))),AND(IF(Metadata!Y279="",FALSE,TRUE),OR(EXACT(Metadata!Y279,"TRUE"),EXACT(Metadata!Y279,"FALSE"))))</f>
        <v>0</v>
      </c>
      <c r="BM279" t="b">
        <f>OR(AND(IF(Metadata!Z279="",FALSE,TRUE),EXACT(Metadata!Z279,"not applicable")),AND(IF(Metadata!Z279="",FALSE,TRUE),OR(EXACT(Metadata!Z279,"beer"),EXACT(Metadata!Z279,"cheese"),EXACT(Metadata!Z279,"fresh water"),EXACT(Metadata!Z279,"marine sediment"),EXACT(Metadata!Z279,"sea water"),EXACT(Metadata!Z279,"sediment"),EXACT(Metadata!Z279,"soil"),EXACT(Metadata!Z279,"waste water"))))</f>
        <v>0</v>
      </c>
      <c r="BN279" t="b">
        <f>AND(IF(Metadata!AA279="",FALSE,TRUE),EXACT(Metadata!AA279,"metagenome"))</f>
        <v>0</v>
      </c>
      <c r="BO279" t="b">
        <f>AND(IF(Metadata!AB279="",FALSE,TRUE),EXACT(Metadata!AB279,"256318"))</f>
        <v>0</v>
      </c>
      <c r="BP279" t="b">
        <f>IF(Metadata!AC279="",FALSE,TRUE)</f>
        <v>0</v>
      </c>
      <c r="BQ279" t="b">
        <f>IF(Metadata!AD279="",FALSE,TRUE)</f>
        <v>0</v>
      </c>
    </row>
    <row r="280" spans="1:69" x14ac:dyDescent="0.2">
      <c r="A280" s="4" t="e">
        <f ca="1">IF(B280=" "," ",HYPERLINK(CONCATENATE("#metadata!",ADDRESS(INDEX($AJ$2:$AJ$1001,MATCH(ROWS($AH$2:AH280),$AH$2:$AH$1001,0),0),2)),INDEX($AM$2:$AM$1001,MATCH(ROWS($AH$2:AH280),$AH$2:$AH$1001,0),0)))</f>
        <v>#N/A</v>
      </c>
      <c r="B280" s="5" t="e">
        <f ca="1">IF(OR(INDEX($AI$2:$AI$1001,MATCH(ROWS($AH$2:AH280),$AH$2:$AH$1001,0),1)&gt;=100000,INDEX($AO$1005:$BQ$1005,1,MATCH(COLUMNS($AO$1006:AO1006),$AO$1006:$BQ$1006,0))&gt;=100000), " ",IF(INDEX($AO$2:$BQ$1001,MATCH(ROWS($AH$2:AH280),$AH$2:$AH$1001,0),MATCH(COLUMNS($AO$1006:AO1006),$AO$1006:$BQ$1006,0)), HYPERLINK("#",""), HYPERLINK(CONCATENATE("#Metadata!", ADDRESS(INDEX($AJ$2:$AJ$1001,MATCH(ROWS($AH$2:AH280),$AH$2:$AH$1001,0),0), INDEX($AO$1004:$BQ$1004,1,MATCH(COLUMNS($AO$1006:AO1006),$AO$1006:$BQ$1006,0)))),"Fix")))</f>
        <v>#N/A</v>
      </c>
      <c r="C280" s="5" t="e">
        <f ca="1">IF(OR(INDEX($AI$2:$AI$1001,MATCH(ROWS($AH$2:AH280),$AH$2:$AH$1001,0),1)&gt;=100000,INDEX($AO$1005:$BQ$1005,1,MATCH(COLUMNS($AO$1006:AP1006),$AO$1006:$BQ$1006,0))&gt;=100000), " ",IF(INDEX($AO$2:$BQ$1001,MATCH(ROWS($AH$2:AH280),$AH$2:$AH$1001,0),MATCH(COLUMNS($AO$1006:AP1006),$AO$1006:$BQ$1006,0)), HYPERLINK("#",""), HYPERLINK(CONCATENATE("#Metadata!", ADDRESS(INDEX($AJ$2:$AJ$1001,MATCH(ROWS($AH$2:AH280),$AH$2:$AH$1001,0),0), INDEX($AO$1004:$BQ$1004,1,MATCH(COLUMNS($AO$1006:AP1006),$AO$1006:$BQ$1006,0)))),"Fix")))</f>
        <v>#N/A</v>
      </c>
      <c r="D280" s="5" t="e">
        <f ca="1">IF(OR(INDEX($AI$2:$AI$1001,MATCH(ROWS($AH$2:AH280),$AH$2:$AH$1001,0),1)&gt;=100000,INDEX($AO$1005:$BQ$1005,1,MATCH(COLUMNS($AO$1006:AQ1006),$AO$1006:$BQ$1006,0))&gt;=100000), " ",IF(INDEX($AO$2:$BQ$1001,MATCH(ROWS($AH$2:AH280),$AH$2:$AH$1001,0),MATCH(COLUMNS($AO$1006:AQ1006),$AO$1006:$BQ$1006,0)), HYPERLINK("#",""), HYPERLINK(CONCATENATE("#Metadata!", ADDRESS(INDEX($AJ$2:$AJ$1001,MATCH(ROWS($AH$2:AH280),$AH$2:$AH$1001,0),0), INDEX($AO$1004:$BQ$1004,1,MATCH(COLUMNS($AO$1006:AQ1006),$AO$1006:$BQ$1006,0)))),"Fix")))</f>
        <v>#N/A</v>
      </c>
      <c r="E280" s="5" t="e">
        <f ca="1">IF(OR(INDEX($AI$2:$AI$1001,MATCH(ROWS($AH$2:AH280),$AH$2:$AH$1001,0),1)&gt;=100000,INDEX($AO$1005:$BQ$1005,1,MATCH(COLUMNS($AO$1006:AR1006),$AO$1006:$BQ$1006,0))&gt;=100000), " ",IF(INDEX($AO$2:$BQ$1001,MATCH(ROWS($AH$2:AH280),$AH$2:$AH$1001,0),MATCH(COLUMNS($AO$1006:AR1006),$AO$1006:$BQ$1006,0)), HYPERLINK("#",""), HYPERLINK(CONCATENATE("#Metadata!", ADDRESS(INDEX($AJ$2:$AJ$1001,MATCH(ROWS($AH$2:AH280),$AH$2:$AH$1001,0),0), INDEX($AO$1004:$BQ$1004,1,MATCH(COLUMNS($AO$1006:AR1006),$AO$1006:$BQ$1006,0)))),"Fix")))</f>
        <v>#N/A</v>
      </c>
      <c r="F280" s="5" t="e">
        <f ca="1">IF(OR(INDEX($AI$2:$AI$1001,MATCH(ROWS($AH$2:AH280),$AH$2:$AH$1001,0),1)&gt;=100000,INDEX($AO$1005:$BQ$1005,1,MATCH(COLUMNS($AO$1006:AS1006),$AO$1006:$BQ$1006,0))&gt;=100000), " ",IF(INDEX($AO$2:$BQ$1001,MATCH(ROWS($AH$2:AH280),$AH$2:$AH$1001,0),MATCH(COLUMNS($AO$1006:AS1006),$AO$1006:$BQ$1006,0)), HYPERLINK("#",""), HYPERLINK(CONCATENATE("#Metadata!", ADDRESS(INDEX($AJ$2:$AJ$1001,MATCH(ROWS($AH$2:AH280),$AH$2:$AH$1001,0),0), INDEX($AO$1004:$BQ$1004,1,MATCH(COLUMNS($AO$1006:AS1006),$AO$1006:$BQ$1006,0)))),"Fix")))</f>
        <v>#N/A</v>
      </c>
      <c r="G280" s="5" t="e">
        <f ca="1">IF(OR(INDEX($AI$2:$AI$1001,MATCH(ROWS($AH$2:AH280),$AH$2:$AH$1001,0),1)&gt;=100000,INDEX($AO$1005:$BQ$1005,1,MATCH(COLUMNS($AO$1006:AT1006),$AO$1006:$BQ$1006,0))&gt;=100000), " ",IF(INDEX($AO$2:$BQ$1001,MATCH(ROWS($AH$2:AH280),$AH$2:$AH$1001,0),MATCH(COLUMNS($AO$1006:AT1006),$AO$1006:$BQ$1006,0)), HYPERLINK("#",""), HYPERLINK(CONCATENATE("#Metadata!", ADDRESS(INDEX($AJ$2:$AJ$1001,MATCH(ROWS($AH$2:AH280),$AH$2:$AH$1001,0),0), INDEX($AO$1004:$BQ$1004,1,MATCH(COLUMNS($AO$1006:AT1006),$AO$1006:$BQ$1006,0)))),"Fix")))</f>
        <v>#N/A</v>
      </c>
      <c r="H280" s="5" t="e">
        <f ca="1">IF(OR(INDEX($AI$2:$AI$1001,MATCH(ROWS($AH$2:AH280),$AH$2:$AH$1001,0),1)&gt;=100000,INDEX($AO$1005:$BQ$1005,1,MATCH(COLUMNS($AO$1006:AU1006),$AO$1006:$BQ$1006,0))&gt;=100000), " ",IF(INDEX($AO$2:$BQ$1001,MATCH(ROWS($AH$2:AH280),$AH$2:$AH$1001,0),MATCH(COLUMNS($AO$1006:AU1006),$AO$1006:$BQ$1006,0)), HYPERLINK("#",""), HYPERLINK(CONCATENATE("#Metadata!", ADDRESS(INDEX($AJ$2:$AJ$1001,MATCH(ROWS($AH$2:AH280),$AH$2:$AH$1001,0),0), INDEX($AO$1004:$BQ$1004,1,MATCH(COLUMNS($AO$1006:AU1006),$AO$1006:$BQ$1006,0)))),"Fix")))</f>
        <v>#N/A</v>
      </c>
      <c r="I280" s="5" t="e">
        <f ca="1">IF(OR(INDEX($AI$2:$AI$1001,MATCH(ROWS($AH$2:AH280),$AH$2:$AH$1001,0),1)&gt;=100000,INDEX($AO$1005:$BQ$1005,1,MATCH(COLUMNS($AO$1006:AV1006),$AO$1006:$BQ$1006,0))&gt;=100000), " ",IF(INDEX($AO$2:$BQ$1001,MATCH(ROWS($AH$2:AH280),$AH$2:$AH$1001,0),MATCH(COLUMNS($AO$1006:AV1006),$AO$1006:$BQ$1006,0)), HYPERLINK("#",""), HYPERLINK(CONCATENATE("#Metadata!", ADDRESS(INDEX($AJ$2:$AJ$1001,MATCH(ROWS($AH$2:AH280),$AH$2:$AH$1001,0),0), INDEX($AO$1004:$BQ$1004,1,MATCH(COLUMNS($AO$1006:AV1006),$AO$1006:$BQ$1006,0)))),"Fix")))</f>
        <v>#N/A</v>
      </c>
      <c r="J280" s="5" t="e">
        <f ca="1">IF(OR(INDEX($AI$2:$AI$1001,MATCH(ROWS($AH$2:AH280),$AH$2:$AH$1001,0),1)&gt;=100000,INDEX($AO$1005:$BQ$1005,1,MATCH(COLUMNS($AO$1006:AW1006),$AO$1006:$BQ$1006,0))&gt;=100000), " ",IF(INDEX($AO$2:$BQ$1001,MATCH(ROWS($AH$2:AH280),$AH$2:$AH$1001,0),MATCH(COLUMNS($AO$1006:AW1006),$AO$1006:$BQ$1006,0)), HYPERLINK("#",""), HYPERLINK(CONCATENATE("#Metadata!", ADDRESS(INDEX($AJ$2:$AJ$1001,MATCH(ROWS($AH$2:AH280),$AH$2:$AH$1001,0),0), INDEX($AO$1004:$BQ$1004,1,MATCH(COLUMNS($AO$1006:AW1006),$AO$1006:$BQ$1006,0)))),"Fix")))</f>
        <v>#N/A</v>
      </c>
      <c r="K280" s="5" t="e">
        <f ca="1">IF(OR(INDEX($AI$2:$AI$1001,MATCH(ROWS($AH$2:AH280),$AH$2:$AH$1001,0),1)&gt;=100000,INDEX($AO$1005:$BQ$1005,1,MATCH(COLUMNS($AO$1006:AX1006),$AO$1006:$BQ$1006,0))&gt;=100000), " ",IF(INDEX($AO$2:$BQ$1001,MATCH(ROWS($AH$2:AH280),$AH$2:$AH$1001,0),MATCH(COLUMNS($AO$1006:AX1006),$AO$1006:$BQ$1006,0)), HYPERLINK("#",""), HYPERLINK(CONCATENATE("#Metadata!", ADDRESS(INDEX($AJ$2:$AJ$1001,MATCH(ROWS($AH$2:AH280),$AH$2:$AH$1001,0),0), INDEX($AO$1004:$BQ$1004,1,MATCH(COLUMNS($AO$1006:AX1006),$AO$1006:$BQ$1006,0)))),"Fix")))</f>
        <v>#N/A</v>
      </c>
      <c r="L280" s="5" t="e">
        <f ca="1">IF(OR(INDEX($AI$2:$AI$1001,MATCH(ROWS($AH$2:AH280),$AH$2:$AH$1001,0),1)&gt;=100000,INDEX($AO$1005:$BQ$1005,1,MATCH(COLUMNS($AO$1006:AY1006),$AO$1006:$BQ$1006,0))&gt;=100000), " ",IF(INDEX($AO$2:$BQ$1001,MATCH(ROWS($AH$2:AH280),$AH$2:$AH$1001,0),MATCH(COLUMNS($AO$1006:AY1006),$AO$1006:$BQ$1006,0)), HYPERLINK("#",""), HYPERLINK(CONCATENATE("#Metadata!", ADDRESS(INDEX($AJ$2:$AJ$1001,MATCH(ROWS($AH$2:AH280),$AH$2:$AH$1001,0),0), INDEX($AO$1004:$BQ$1004,1,MATCH(COLUMNS($AO$1006:AY1006),$AO$1006:$BQ$1006,0)))),"Fix")))</f>
        <v>#N/A</v>
      </c>
      <c r="M280" s="5" t="e">
        <f ca="1">IF(OR(INDEX($AI$2:$AI$1001,MATCH(ROWS($AH$2:AH280),$AH$2:$AH$1001,0),1)&gt;=100000,INDEX($AO$1005:$BQ$1005,1,MATCH(COLUMNS($AO$1006:AZ1006),$AO$1006:$BQ$1006,0))&gt;=100000), " ",IF(INDEX($AO$2:$BQ$1001,MATCH(ROWS($AH$2:AH280),$AH$2:$AH$1001,0),MATCH(COLUMNS($AO$1006:AZ1006),$AO$1006:$BQ$1006,0)), HYPERLINK("#",""), HYPERLINK(CONCATENATE("#Metadata!", ADDRESS(INDEX($AJ$2:$AJ$1001,MATCH(ROWS($AH$2:AH280),$AH$2:$AH$1001,0),0), INDEX($AO$1004:$BQ$1004,1,MATCH(COLUMNS($AO$1006:AZ1006),$AO$1006:$BQ$1006,0)))),"Fix")))</f>
        <v>#N/A</v>
      </c>
      <c r="N280" s="5" t="e">
        <f ca="1">IF(OR(INDEX($AI$2:$AI$1001,MATCH(ROWS($AH$2:AH280),$AH$2:$AH$1001,0),1)&gt;=100000,INDEX($AO$1005:$BQ$1005,1,MATCH(COLUMNS($AO$1006:BA1006),$AO$1006:$BQ$1006,0))&gt;=100000), " ",IF(INDEX($AO$2:$BQ$1001,MATCH(ROWS($AH$2:AH280),$AH$2:$AH$1001,0),MATCH(COLUMNS($AO$1006:BA1006),$AO$1006:$BQ$1006,0)), HYPERLINK("#",""), HYPERLINK(CONCATENATE("#Metadata!", ADDRESS(INDEX($AJ$2:$AJ$1001,MATCH(ROWS($AH$2:AH280),$AH$2:$AH$1001,0),0), INDEX($AO$1004:$BQ$1004,1,MATCH(COLUMNS($AO$1006:BA1006),$AO$1006:$BQ$1006,0)))),"Fix")))</f>
        <v>#N/A</v>
      </c>
      <c r="O280" s="5" t="e">
        <f ca="1">IF(OR(INDEX($AI$2:$AI$1001,MATCH(ROWS($AH$2:AH280),$AH$2:$AH$1001,0),1)&gt;=100000,INDEX($AO$1005:$BQ$1005,1,MATCH(COLUMNS($AO$1006:BB1006),$AO$1006:$BQ$1006,0))&gt;=100000), " ",IF(INDEX($AO$2:$BQ$1001,MATCH(ROWS($AH$2:AH280),$AH$2:$AH$1001,0),MATCH(COLUMNS($AO$1006:BB1006),$AO$1006:$BQ$1006,0)), HYPERLINK("#",""), HYPERLINK(CONCATENATE("#Metadata!", ADDRESS(INDEX($AJ$2:$AJ$1001,MATCH(ROWS($AH$2:AH280),$AH$2:$AH$1001,0),0), INDEX($AO$1004:$BQ$1004,1,MATCH(COLUMNS($AO$1006:BB1006),$AO$1006:$BQ$1006,0)))),"Fix")))</f>
        <v>#N/A</v>
      </c>
      <c r="P280" s="5" t="e">
        <f ca="1">IF(OR(INDEX($AI$2:$AI$1001,MATCH(ROWS($AH$2:AH280),$AH$2:$AH$1001,0),1)&gt;=100000,INDEX($AO$1005:$BQ$1005,1,MATCH(COLUMNS($AO$1006:BC1006),$AO$1006:$BQ$1006,0))&gt;=100000), " ",IF(INDEX($AO$2:$BQ$1001,MATCH(ROWS($AH$2:AH280),$AH$2:$AH$1001,0),MATCH(COLUMNS($AO$1006:BC1006),$AO$1006:$BQ$1006,0)), HYPERLINK("#",""), HYPERLINK(CONCATENATE("#Metadata!", ADDRESS(INDEX($AJ$2:$AJ$1001,MATCH(ROWS($AH$2:AH280),$AH$2:$AH$1001,0),0), INDEX($AO$1004:$BQ$1004,1,MATCH(COLUMNS($AO$1006:BC1006),$AO$1006:$BQ$1006,0)))),"Fix")))</f>
        <v>#N/A</v>
      </c>
      <c r="Q280" s="5" t="e">
        <f ca="1">IF(OR(INDEX($AI$2:$AI$1001,MATCH(ROWS($AH$2:AH280),$AH$2:$AH$1001,0),1)&gt;=100000,INDEX($AO$1005:$BQ$1005,1,MATCH(COLUMNS($AO$1006:BD1006),$AO$1006:$BQ$1006,0))&gt;=100000), " ",IF(INDEX($AO$2:$BQ$1001,MATCH(ROWS($AH$2:AH280),$AH$2:$AH$1001,0),MATCH(COLUMNS($AO$1006:BD1006),$AO$1006:$BQ$1006,0)), HYPERLINK("#",""), HYPERLINK(CONCATENATE("#Metadata!", ADDRESS(INDEX($AJ$2:$AJ$1001,MATCH(ROWS($AH$2:AH280),$AH$2:$AH$1001,0),0), INDEX($AO$1004:$BQ$1004,1,MATCH(COLUMNS($AO$1006:BD1006),$AO$1006:$BQ$1006,0)))),"Fix")))</f>
        <v>#N/A</v>
      </c>
      <c r="R280" s="5" t="e">
        <f ca="1">IF(OR(INDEX($AI$2:$AI$1001,MATCH(ROWS($AH$2:AH280),$AH$2:$AH$1001,0),1)&gt;=100000,INDEX($AO$1005:$BQ$1005,1,MATCH(COLUMNS($AO$1006:BE1006),$AO$1006:$BQ$1006,0))&gt;=100000), " ",IF(INDEX($AO$2:$BQ$1001,MATCH(ROWS($AH$2:AH280),$AH$2:$AH$1001,0),MATCH(COLUMNS($AO$1006:BE1006),$AO$1006:$BQ$1006,0)), HYPERLINK("#",""), HYPERLINK(CONCATENATE("#Metadata!", ADDRESS(INDEX($AJ$2:$AJ$1001,MATCH(ROWS($AH$2:AH280),$AH$2:$AH$1001,0),0), INDEX($AO$1004:$BQ$1004,1,MATCH(COLUMNS($AO$1006:BE1006),$AO$1006:$BQ$1006,0)))),"Fix")))</f>
        <v>#N/A</v>
      </c>
      <c r="S280" s="5" t="e">
        <f ca="1">IF(OR(INDEX($AI$2:$AI$1001,MATCH(ROWS($AH$2:AH280),$AH$2:$AH$1001,0),1)&gt;=100000,INDEX($AO$1005:$BQ$1005,1,MATCH(COLUMNS($AO$1006:BF1006),$AO$1006:$BQ$1006,0))&gt;=100000), " ",IF(INDEX($AO$2:$BQ$1001,MATCH(ROWS($AH$2:AH280),$AH$2:$AH$1001,0),MATCH(COLUMNS($AO$1006:BF1006),$AO$1006:$BQ$1006,0)), HYPERLINK("#",""), HYPERLINK(CONCATENATE("#Metadata!", ADDRESS(INDEX($AJ$2:$AJ$1001,MATCH(ROWS($AH$2:AH280),$AH$2:$AH$1001,0),0), INDEX($AO$1004:$BQ$1004,1,MATCH(COLUMNS($AO$1006:BF1006),$AO$1006:$BQ$1006,0)))),"Fix")))</f>
        <v>#N/A</v>
      </c>
      <c r="T280" s="5" t="e">
        <f ca="1">IF(OR(INDEX($AI$2:$AI$1001,MATCH(ROWS($AH$2:AH280),$AH$2:$AH$1001,0),1)&gt;=100000,INDEX($AO$1005:$BQ$1005,1,MATCH(COLUMNS($AO$1006:BG1006),$AO$1006:$BQ$1006,0))&gt;=100000), " ",IF(INDEX($AO$2:$BQ$1001,MATCH(ROWS($AH$2:AH280),$AH$2:$AH$1001,0),MATCH(COLUMNS($AO$1006:BG1006),$AO$1006:$BQ$1006,0)), HYPERLINK("#",""), HYPERLINK(CONCATENATE("#Metadata!", ADDRESS(INDEX($AJ$2:$AJ$1001,MATCH(ROWS($AH$2:AH280),$AH$2:$AH$1001,0),0), INDEX($AO$1004:$BQ$1004,1,MATCH(COLUMNS($AO$1006:BG1006),$AO$1006:$BQ$1006,0)))),"Fix")))</f>
        <v>#N/A</v>
      </c>
      <c r="U280" s="5" t="e">
        <f ca="1">IF(OR(INDEX($AI$2:$AI$1001,MATCH(ROWS($AH$2:AH280),$AH$2:$AH$1001,0),1)&gt;=100000,INDEX($AO$1005:$BQ$1005,1,MATCH(COLUMNS($AO$1006:BH1006),$AO$1006:$BQ$1006,0))&gt;=100000), " ",IF(INDEX($AO$2:$BQ$1001,MATCH(ROWS($AH$2:AH280),$AH$2:$AH$1001,0),MATCH(COLUMNS($AO$1006:BH1006),$AO$1006:$BQ$1006,0)), HYPERLINK("#",""), HYPERLINK(CONCATENATE("#Metadata!", ADDRESS(INDEX($AJ$2:$AJ$1001,MATCH(ROWS($AH$2:AH280),$AH$2:$AH$1001,0),0), INDEX($AO$1004:$BQ$1004,1,MATCH(COLUMNS($AO$1006:BH1006),$AO$1006:$BQ$1006,0)))),"Fix")))</f>
        <v>#N/A</v>
      </c>
      <c r="V280" s="5" t="e">
        <f ca="1">IF(OR(INDEX($AI$2:$AI$1001,MATCH(ROWS($AH$2:AH280),$AH$2:$AH$1001,0),1)&gt;=100000,INDEX($AO$1005:$BQ$1005,1,MATCH(COLUMNS($AO$1006:BI1006),$AO$1006:$BQ$1006,0))&gt;=100000), " ",IF(INDEX($AO$2:$BQ$1001,MATCH(ROWS($AH$2:AH280),$AH$2:$AH$1001,0),MATCH(COLUMNS($AO$1006:BI1006),$AO$1006:$BQ$1006,0)), HYPERLINK("#",""), HYPERLINK(CONCATENATE("#Metadata!", ADDRESS(INDEX($AJ$2:$AJ$1001,MATCH(ROWS($AH$2:AH280),$AH$2:$AH$1001,0),0), INDEX($AO$1004:$BQ$1004,1,MATCH(COLUMNS($AO$1006:BI1006),$AO$1006:$BQ$1006,0)))),"Fix")))</f>
        <v>#N/A</v>
      </c>
      <c r="W280" s="5" t="e">
        <f ca="1">IF(OR(INDEX($AI$2:$AI$1001,MATCH(ROWS($AH$2:AH280),$AH$2:$AH$1001,0),1)&gt;=100000,INDEX($AO$1005:$BQ$1005,1,MATCH(COLUMNS($AO$1006:BJ1006),$AO$1006:$BQ$1006,0))&gt;=100000), " ",IF(INDEX($AO$2:$BQ$1001,MATCH(ROWS($AH$2:AH280),$AH$2:$AH$1001,0),MATCH(COLUMNS($AO$1006:BJ1006),$AO$1006:$BQ$1006,0)), HYPERLINK("#",""), HYPERLINK(CONCATENATE("#Metadata!", ADDRESS(INDEX($AJ$2:$AJ$1001,MATCH(ROWS($AH$2:AH280),$AH$2:$AH$1001,0),0), INDEX($AO$1004:$BQ$1004,1,MATCH(COLUMNS($AO$1006:BJ1006),$AO$1006:$BQ$1006,0)))),"Fix")))</f>
        <v>#N/A</v>
      </c>
      <c r="X280" s="5" t="e">
        <f ca="1">IF(OR(INDEX($AI$2:$AI$1001,MATCH(ROWS($AH$2:AH280),$AH$2:$AH$1001,0),1)&gt;=100000,INDEX($AO$1005:$BQ$1005,1,MATCH(COLUMNS($AO$1006:BK1006),$AO$1006:$BQ$1006,0))&gt;=100000), " ",IF(INDEX($AO$2:$BQ$1001,MATCH(ROWS($AH$2:AH280),$AH$2:$AH$1001,0),MATCH(COLUMNS($AO$1006:BK1006),$AO$1006:$BQ$1006,0)), HYPERLINK("#",""), HYPERLINK(CONCATENATE("#Metadata!", ADDRESS(INDEX($AJ$2:$AJ$1001,MATCH(ROWS($AH$2:AH280),$AH$2:$AH$1001,0),0), INDEX($AO$1004:$BQ$1004,1,MATCH(COLUMNS($AO$1006:BK1006),$AO$1006:$BQ$1006,0)))),"Fix")))</f>
        <v>#N/A</v>
      </c>
      <c r="Y280" s="5" t="e">
        <f ca="1">IF(OR(INDEX($AI$2:$AI$1001,MATCH(ROWS($AH$2:AH280),$AH$2:$AH$1001,0),1)&gt;=100000,INDEX($AO$1005:$BQ$1005,1,MATCH(COLUMNS($AO$1006:BL1006),$AO$1006:$BQ$1006,0))&gt;=100000), " ",IF(INDEX($AO$2:$BQ$1001,MATCH(ROWS($AH$2:AH280),$AH$2:$AH$1001,0),MATCH(COLUMNS($AO$1006:BL1006),$AO$1006:$BQ$1006,0)), HYPERLINK("#",""), HYPERLINK(CONCATENATE("#Metadata!", ADDRESS(INDEX($AJ$2:$AJ$1001,MATCH(ROWS($AH$2:AH280),$AH$2:$AH$1001,0),0), INDEX($AO$1004:$BQ$1004,1,MATCH(COLUMNS($AO$1006:BL1006),$AO$1006:$BQ$1006,0)))),"Fix")))</f>
        <v>#N/A</v>
      </c>
      <c r="Z280" s="5" t="e">
        <f ca="1">IF(OR(INDEX($AI$2:$AI$1001,MATCH(ROWS($AH$2:AH280),$AH$2:$AH$1001,0),1)&gt;=100000,INDEX($AO$1005:$BQ$1005,1,MATCH(COLUMNS($AO$1006:BM1006),$AO$1006:$BQ$1006,0))&gt;=100000), " ",IF(INDEX($AO$2:$BQ$1001,MATCH(ROWS($AH$2:AH280),$AH$2:$AH$1001,0),MATCH(COLUMNS($AO$1006:BM1006),$AO$1006:$BQ$1006,0)), HYPERLINK("#",""), HYPERLINK(CONCATENATE("#Metadata!", ADDRESS(INDEX($AJ$2:$AJ$1001,MATCH(ROWS($AH$2:AH280),$AH$2:$AH$1001,0),0), INDEX($AO$1004:$BQ$1004,1,MATCH(COLUMNS($AO$1006:BM1006),$AO$1006:$BQ$1006,0)))),"Fix")))</f>
        <v>#N/A</v>
      </c>
      <c r="AA280" s="5" t="e">
        <f ca="1">IF(OR(INDEX($AI$2:$AI$1001,MATCH(ROWS($AH$2:AH280),$AH$2:$AH$1001,0),1)&gt;=100000,INDEX($AO$1005:$BQ$1005,1,MATCH(COLUMNS($AO$1006:BN1006),$AO$1006:$BQ$1006,0))&gt;=100000), " ",IF(INDEX($AO$2:$BQ$1001,MATCH(ROWS($AH$2:AH280),$AH$2:$AH$1001,0),MATCH(COLUMNS($AO$1006:BN1006),$AO$1006:$BQ$1006,0)), HYPERLINK("#",""), HYPERLINK(CONCATENATE("#Metadata!", ADDRESS(INDEX($AJ$2:$AJ$1001,MATCH(ROWS($AH$2:AH280),$AH$2:$AH$1001,0),0), INDEX($AO$1004:$BQ$1004,1,MATCH(COLUMNS($AO$1006:BN1006),$AO$1006:$BQ$1006,0)))),"Fix")))</f>
        <v>#N/A</v>
      </c>
      <c r="AB280" s="5" t="e">
        <f ca="1">IF(OR(INDEX($AI$2:$AI$1001,MATCH(ROWS($AH$2:AH280),$AH$2:$AH$1001,0),1)&gt;=100000,INDEX($AO$1005:$BQ$1005,1,MATCH(COLUMNS($AO$1006:BO1006),$AO$1006:$BQ$1006,0))&gt;=100000), " ",IF(INDEX($AO$2:$BQ$1001,MATCH(ROWS($AH$2:AH280),$AH$2:$AH$1001,0),MATCH(COLUMNS($AO$1006:BO1006),$AO$1006:$BQ$1006,0)), HYPERLINK("#",""), HYPERLINK(CONCATENATE("#Metadata!", ADDRESS(INDEX($AJ$2:$AJ$1001,MATCH(ROWS($AH$2:AH280),$AH$2:$AH$1001,0),0), INDEX($AO$1004:$BQ$1004,1,MATCH(COLUMNS($AO$1006:BO1006),$AO$1006:$BQ$1006,0)))),"Fix")))</f>
        <v>#N/A</v>
      </c>
      <c r="AC280" s="5" t="e">
        <f ca="1">IF(OR(INDEX($AI$2:$AI$1001,MATCH(ROWS($AH$2:AH280),$AH$2:$AH$1001,0),1)&gt;=100000,INDEX($AO$1005:$BQ$1005,1,MATCH(COLUMNS($AO$1006:BP1006),$AO$1006:$BQ$1006,0))&gt;=100000), " ",IF(INDEX($AO$2:$BQ$1001,MATCH(ROWS($AH$2:AH280),$AH$2:$AH$1001,0),MATCH(COLUMNS($AO$1006:BP1006),$AO$1006:$BQ$1006,0)), HYPERLINK("#",""), HYPERLINK(CONCATENATE("#Metadata!", ADDRESS(INDEX($AJ$2:$AJ$1001,MATCH(ROWS($AH$2:AH280),$AH$2:$AH$1001,0),0), INDEX($AO$1004:$BQ$1004,1,MATCH(COLUMNS($AO$1006:BP1006),$AO$1006:$BQ$1006,0)))),"Fix")))</f>
        <v>#N/A</v>
      </c>
      <c r="AD280" s="5" t="e">
        <f ca="1">IF(OR(INDEX($AI$2:$AI$1001,MATCH(ROWS($AH$2:AH280),$AH$2:$AH$1001,0),1)&gt;=100000,INDEX($AO$1005:$BQ$1005,1,MATCH(COLUMNS($AO$1006:BQ1006),$AO$1006:$BQ$1006,0))&gt;=100000), " ",IF(INDEX($AO$2:$BQ$1001,MATCH(ROWS($AH$2:AH280),$AH$2:$AH$1001,0),MATCH(COLUMNS($AO$1006:BQ1006),$AO$1006:$BQ$1006,0)), HYPERLINK("#",""), HYPERLINK(CONCATENATE("#Metadata!", ADDRESS(INDEX($AJ$2:$AJ$1001,MATCH(ROWS($AH$2:AH280),$AH$2:$AH$1001,0),0), INDEX($AO$1004:$BQ$1004,1,MATCH(COLUMNS($AO$1006:BQ1006),$AO$1006:$BQ$1006,0)))),"Fix")))</f>
        <v>#REF!</v>
      </c>
      <c r="AH280">
        <f ca="1"/>
        <v>277</v>
      </c>
      <c r="AI280">
        <v>100280</v>
      </c>
      <c r="AJ280">
        <v>280</v>
      </c>
      <c r="AK280" t="b">
        <f t="shared" si="4"/>
        <v>1</v>
      </c>
      <c r="AL280" t="b">
        <f>COUNTBLANK(Metadata!B280:AD280)=COLUMNS(Metadata!B280:AD280)</f>
        <v>1</v>
      </c>
      <c r="AM280" t="str">
        <v/>
      </c>
      <c r="AO280" t="b">
        <f ca="1">AND(IF(Metadata!B280="",FALSE,TRUE),COUNTIF(Metadata!B:B, Metadata!B280) = 1,NOT(ISERROR(SUMPRODUCT(SEARCH(MID(Metadata!B280,ROW(INDIRECT("1:"&amp;LEN(Metadata!B280))), 1),"0123456789abcdefghijklmnopqrstuvwxyzABCDEFGHIJKLMNOPQRSTUVWXYZ.")))))</f>
        <v>0</v>
      </c>
      <c r="AP280" t="b">
        <f>IF(Metadata!C280="",FALSE,TRUE)</f>
        <v>0</v>
      </c>
      <c r="AQ280" t="b">
        <f>IF(Metadata!D280="",FALSE,TRUE)</f>
        <v>0</v>
      </c>
      <c r="AR280" t="b">
        <f ca="1">OR(AND(IF(Metadata!E280="",FALSE,TRUE),OR(EXACT(Metadata!E280,"not collected"),EXACT(Metadata!E280,"not provided"),EXACT(Metadata!E280,"restricted access"))),AND(IF(Metadata!E280="",FALSE,TRUE),AND(AND(IFERROR(INT(LEFT(Metadata!E280,4))&gt;1900,FALSE),IFERROR(INT(LEFT(Metadata!E280,4))&lt;=YEAR(NOW()),FALSE)), OR(MID(Metadata!E280,5,1)="", AND(AND(MID(Metadata!E280,5,1)="-",IFERROR(INT(MID(Metadata!E280,6,1))&gt;=0,FALSE),IFERROR(INT(MID(Metadata!E280,6,1))&lt;=1,FALSE),NOT(MID(Metadata!E280,7,1)=""),IFERROR(INT(MID(Metadata!E280,6,2))&gt;=1,FALSE),IFERROR(INT(MID(Metadata!E280,6,2))&lt;=12,FALSE)), OR(MID(Metadata!E280,8,1)="", AND(AND(MID(Metadata!E280,8,1)="-",IFERROR(INT(MID(Metadata!E280,9,1))&gt;=0,FALSE),IFERROR(INT(MID(Metadata!E280,9,1))&lt;=3,FALSE),NOT(MID(Metadata!E280,10,1)=""),IFERROR(INT(MID(Metadata!E280,9,2))&gt;=1,FALSE),IFERROR(INT(MID(Metadata!E280,9,2))&lt;=31,FALSE)), OR(MID(Metadata!E280,11,1)="", AND(AND(MID(Metadata!E280,11,1)=" ",IFERROR(INT(MID(Metadata!E280,12,1))&gt;=0,FALSE),IFERROR(INT(MID(Metadata!E280,12,1))&lt;=2,FALSE),NOT(MID(Metadata!E280,13,1)=""),IFERROR(INT(MID(Metadata!E280,12,2))&gt;=0,FALSE),IFERROR(INT(MID(Metadata!E280,12,2))&lt;=23,FALSE)), OR(MID(Metadata!E280,14,1)="", AND(AND(MID(Metadata!E280,14,1)=":",IFERROR(INT(MID(Metadata!E280,15,1))&gt;=0,FALSE),IFERROR(INT(MID(Metadata!E280,15,1))&lt;=5,FALSE),NOT(MID(Metadata!E280,16,1)=""),IFERROR(INT(MID(Metadata!E280,15,2))&gt;=0,FALSE),IFERROR(INT(MID(Metadata!E280,15,2))&lt;=59,FALSE)), OR(MID(Metadata!E280,17,1)="", AND(AND(MID(Metadata!E280,17,1)=":",IFERROR(INT(MID(Metadata!E280,18,1))&gt;=0,FALSE),IFERROR(INT(MID(Metadata!E280,18,1))&lt;=5,FALSE),NOT(MID(Metadata!E280,19,1)=""),IFERROR(INT(MID(Metadata!E280,18,2))&gt;=0,FALSE),IFERROR(INT(MID(Metadata!E280,18,2))&lt;=59,FALSE)), LEN(Metadata!E280)&lt;=19)))))))))))))</f>
        <v>0</v>
      </c>
      <c r="AS280" t="b">
        <f>IF(Metadata!F280="",FALSE,TRUE)</f>
        <v>0</v>
      </c>
      <c r="AT280" t="b">
        <f>OR(AND(IF(Metadata!G280="",FALSE,TRUE),OR(EXACT(Metadata!G280,"not collected"),EXACT(Metadata!G280,"not provided"))),AND(IF(Metadata!G280="",FALSE,TRUE),OR(EXACT(Metadata!G280,"TRUE"),EXACT(Metadata!G280,"FALSE"))))</f>
        <v>0</v>
      </c>
      <c r="AU280" t="b">
        <f>OR(AND(IF(Metadata!H280="",FALSE,TRUE),OR(EXACT(Metadata!H280,"not collected"),EXACT(Metadata!H280,"not provided"),EXACT(Metadata!H280,"restricted access"))),AND(IF(Metadata!H280="",FALSE,ISNUMBER(VALUE(Metadata!H280))),Metadata!H280&gt;=-413))</f>
        <v>0</v>
      </c>
      <c r="AV280" t="b">
        <f>AND(IF(Metadata!I280="",FALSE,TRUE),EXACT(Metadata!I280,"meters"))</f>
        <v>0</v>
      </c>
      <c r="AW280" t="b">
        <f>AND(IF(Metadata!J280="",FALSE,TRUE),EXACT(Metadata!J280,"free-living"))</f>
        <v>0</v>
      </c>
      <c r="AX280" t="b">
        <f>AND(IF(Metadata!K280="",FALSE,TRUE),OR(EXACT(Metadata!K280,"saline"),EXACT(Metadata!K280,"non-saline")))</f>
        <v>0</v>
      </c>
      <c r="AY280" t="b">
        <f>AND(IF(Metadata!L280="",FALSE,TRUE),OR(EXACT(Metadata!L280,"sub-surface (non-saline)"),EXACT(Metadata!L280,"surface (non-saline)"),EXACT(Metadata!L280,"water (non-saline)"),EXACT(Metadata!L280,"soil (non-saline)"),EXACT(Metadata!L280,"aerosol (non-saline)"),EXACT(Metadata!L280,"sediment (non-saline)"),EXACT(Metadata!L280,"surface (saline)"),EXACT(Metadata!L280,"water (saline)"),EXACT(Metadata!L280,"hypersaline (saline)"),EXACT(Metadata!L280,"aerosol (saline)"),EXACT(Metadata!L280,"sediment (saline)")))</f>
        <v>0</v>
      </c>
      <c r="AZ280" t="b">
        <f>IF(Metadata!M280="",FALSE,TRUE)</f>
        <v>0</v>
      </c>
      <c r="BA280" t="b">
        <f>IF(Metadata!N280="",FALSE,TRUE)</f>
        <v>0</v>
      </c>
      <c r="BB280" t="b">
        <f>IF(Metadata!O280="",FALSE,TRUE)</f>
        <v>0</v>
      </c>
      <c r="BC280" t="b">
        <f>AND(IF(Metadata!P280="",FALSE,TRUE),OR(EXACT(Metadata!P280,"air"),EXACT(Metadata!P280,"microbial mat/biofilm"),EXACT(Metadata!P280,"misc environment"),EXACT(Metadata!P280,"sediment"),EXACT(Metadata!P280,"soil"),EXACT(Metadata!P280,"wastewater/sludge"),EXACT(Metadata!P280,"water")))</f>
        <v>0</v>
      </c>
      <c r="BD280" t="b">
        <f>IF(Metadata!Q280="",FALSE,TRUE)</f>
        <v>0</v>
      </c>
      <c r="BE280" t="b">
        <f>IF(Metadata!R280="",FALSE,TRUE)</f>
        <v>0</v>
      </c>
      <c r="BF280" t="b">
        <f>OR(AND(IF(Metadata!S280="",FALSE,TRUE),OR(EXACT(Metadata!S280,"not collected"),EXACT(Metadata!S280,"not provided"),EXACT(Metadata!S280,"restricted access"))),AND(IF(Metadata!S280="",FALSE,ISNUMBER(VALUE(Metadata!S280))),Metadata!S280&gt;=-90,Metadata!S280&lt;=90))</f>
        <v>0</v>
      </c>
      <c r="BG280" t="b">
        <f>AND(IF(Metadata!T280="",FALSE,TRUE),EXACT(Metadata!T280,"Decimal degrees"))</f>
        <v>0</v>
      </c>
      <c r="BH280" t="b">
        <f>OR(AND(IF(Metadata!U280="",FALSE,TRUE),OR(EXACT(Metadata!U280,"not applicable"),EXACT(Metadata!U280,"not collected"))),IF(Metadata!U280="",FALSE,TRUE))</f>
        <v>0</v>
      </c>
      <c r="BI280" t="b">
        <f>OR(AND(IF(Metadata!V280="",FALSE,TRUE),OR(EXACT(Metadata!V280,"not collected"),EXACT(Metadata!V280,"not provided"),EXACT(Metadata!V280,"restricted access"))),AND(IF(Metadata!V280="",FALSE,ISNUMBER(VALUE(Metadata!V280))),Metadata!V280&gt;=-180,Metadata!V280&lt;=180))</f>
        <v>0</v>
      </c>
      <c r="BJ280" t="b">
        <f>AND(IF(Metadata!W280="",FALSE,TRUE),EXACT(Metadata!W280,"Decimal degrees"))</f>
        <v>0</v>
      </c>
      <c r="BK280" t="b">
        <f>IF(Metadata!X280="",FALSE,TRUE)</f>
        <v>0</v>
      </c>
      <c r="BL280" t="b">
        <f>OR(AND(IF(Metadata!Y280="",FALSE,TRUE),OR(EXACT(Metadata!Y280,"not collected"),EXACT(Metadata!Y280,"not provided"),EXACT(Metadata!Y280,"restricted access"))),AND(IF(Metadata!Y280="",FALSE,TRUE),OR(EXACT(Metadata!Y280,"TRUE"),EXACT(Metadata!Y280,"FALSE"))))</f>
        <v>0</v>
      </c>
      <c r="BM280" t="b">
        <f>OR(AND(IF(Metadata!Z280="",FALSE,TRUE),EXACT(Metadata!Z280,"not applicable")),AND(IF(Metadata!Z280="",FALSE,TRUE),OR(EXACT(Metadata!Z280,"beer"),EXACT(Metadata!Z280,"cheese"),EXACT(Metadata!Z280,"fresh water"),EXACT(Metadata!Z280,"marine sediment"),EXACT(Metadata!Z280,"sea water"),EXACT(Metadata!Z280,"sediment"),EXACT(Metadata!Z280,"soil"),EXACT(Metadata!Z280,"waste water"))))</f>
        <v>0</v>
      </c>
      <c r="BN280" t="b">
        <f>AND(IF(Metadata!AA280="",FALSE,TRUE),EXACT(Metadata!AA280,"metagenome"))</f>
        <v>0</v>
      </c>
      <c r="BO280" t="b">
        <f>AND(IF(Metadata!AB280="",FALSE,TRUE),EXACT(Metadata!AB280,"256318"))</f>
        <v>0</v>
      </c>
      <c r="BP280" t="b">
        <f>IF(Metadata!AC280="",FALSE,TRUE)</f>
        <v>0</v>
      </c>
      <c r="BQ280" t="b">
        <f>IF(Metadata!AD280="",FALSE,TRUE)</f>
        <v>0</v>
      </c>
    </row>
    <row r="281" spans="1:69" x14ac:dyDescent="0.2">
      <c r="A281" s="4" t="e">
        <f ca="1">IF(B281=" "," ",HYPERLINK(CONCATENATE("#metadata!",ADDRESS(INDEX($AJ$2:$AJ$1001,MATCH(ROWS($AH$2:AH281),$AH$2:$AH$1001,0),0),2)),INDEX($AM$2:$AM$1001,MATCH(ROWS($AH$2:AH281),$AH$2:$AH$1001,0),0)))</f>
        <v>#N/A</v>
      </c>
      <c r="B281" s="5" t="e">
        <f ca="1">IF(OR(INDEX($AI$2:$AI$1001,MATCH(ROWS($AH$2:AH281),$AH$2:$AH$1001,0),1)&gt;=100000,INDEX($AO$1005:$BQ$1005,1,MATCH(COLUMNS($AO$1006:AO1006),$AO$1006:$BQ$1006,0))&gt;=100000), " ",IF(INDEX($AO$2:$BQ$1001,MATCH(ROWS($AH$2:AH281),$AH$2:$AH$1001,0),MATCH(COLUMNS($AO$1006:AO1006),$AO$1006:$BQ$1006,0)), HYPERLINK("#",""), HYPERLINK(CONCATENATE("#Metadata!", ADDRESS(INDEX($AJ$2:$AJ$1001,MATCH(ROWS($AH$2:AH281),$AH$2:$AH$1001,0),0), INDEX($AO$1004:$BQ$1004,1,MATCH(COLUMNS($AO$1006:AO1006),$AO$1006:$BQ$1006,0)))),"Fix")))</f>
        <v>#N/A</v>
      </c>
      <c r="C281" s="5" t="e">
        <f ca="1">IF(OR(INDEX($AI$2:$AI$1001,MATCH(ROWS($AH$2:AH281),$AH$2:$AH$1001,0),1)&gt;=100000,INDEX($AO$1005:$BQ$1005,1,MATCH(COLUMNS($AO$1006:AP1006),$AO$1006:$BQ$1006,0))&gt;=100000), " ",IF(INDEX($AO$2:$BQ$1001,MATCH(ROWS($AH$2:AH281),$AH$2:$AH$1001,0),MATCH(COLUMNS($AO$1006:AP1006),$AO$1006:$BQ$1006,0)), HYPERLINK("#",""), HYPERLINK(CONCATENATE("#Metadata!", ADDRESS(INDEX($AJ$2:$AJ$1001,MATCH(ROWS($AH$2:AH281),$AH$2:$AH$1001,0),0), INDEX($AO$1004:$BQ$1004,1,MATCH(COLUMNS($AO$1006:AP1006),$AO$1006:$BQ$1006,0)))),"Fix")))</f>
        <v>#N/A</v>
      </c>
      <c r="D281" s="5" t="e">
        <f ca="1">IF(OR(INDEX($AI$2:$AI$1001,MATCH(ROWS($AH$2:AH281),$AH$2:$AH$1001,0),1)&gt;=100000,INDEX($AO$1005:$BQ$1005,1,MATCH(COLUMNS($AO$1006:AQ1006),$AO$1006:$BQ$1006,0))&gt;=100000), " ",IF(INDEX($AO$2:$BQ$1001,MATCH(ROWS($AH$2:AH281),$AH$2:$AH$1001,0),MATCH(COLUMNS($AO$1006:AQ1006),$AO$1006:$BQ$1006,0)), HYPERLINK("#",""), HYPERLINK(CONCATENATE("#Metadata!", ADDRESS(INDEX($AJ$2:$AJ$1001,MATCH(ROWS($AH$2:AH281),$AH$2:$AH$1001,0),0), INDEX($AO$1004:$BQ$1004,1,MATCH(COLUMNS($AO$1006:AQ1006),$AO$1006:$BQ$1006,0)))),"Fix")))</f>
        <v>#N/A</v>
      </c>
      <c r="E281" s="5" t="e">
        <f ca="1">IF(OR(INDEX($AI$2:$AI$1001,MATCH(ROWS($AH$2:AH281),$AH$2:$AH$1001,0),1)&gt;=100000,INDEX($AO$1005:$BQ$1005,1,MATCH(COLUMNS($AO$1006:AR1006),$AO$1006:$BQ$1006,0))&gt;=100000), " ",IF(INDEX($AO$2:$BQ$1001,MATCH(ROWS($AH$2:AH281),$AH$2:$AH$1001,0),MATCH(COLUMNS($AO$1006:AR1006),$AO$1006:$BQ$1006,0)), HYPERLINK("#",""), HYPERLINK(CONCATENATE("#Metadata!", ADDRESS(INDEX($AJ$2:$AJ$1001,MATCH(ROWS($AH$2:AH281),$AH$2:$AH$1001,0),0), INDEX($AO$1004:$BQ$1004,1,MATCH(COLUMNS($AO$1006:AR1006),$AO$1006:$BQ$1006,0)))),"Fix")))</f>
        <v>#N/A</v>
      </c>
      <c r="F281" s="5" t="e">
        <f ca="1">IF(OR(INDEX($AI$2:$AI$1001,MATCH(ROWS($AH$2:AH281),$AH$2:$AH$1001,0),1)&gt;=100000,INDEX($AO$1005:$BQ$1005,1,MATCH(COLUMNS($AO$1006:AS1006),$AO$1006:$BQ$1006,0))&gt;=100000), " ",IF(INDEX($AO$2:$BQ$1001,MATCH(ROWS($AH$2:AH281),$AH$2:$AH$1001,0),MATCH(COLUMNS($AO$1006:AS1006),$AO$1006:$BQ$1006,0)), HYPERLINK("#",""), HYPERLINK(CONCATENATE("#Metadata!", ADDRESS(INDEX($AJ$2:$AJ$1001,MATCH(ROWS($AH$2:AH281),$AH$2:$AH$1001,0),0), INDEX($AO$1004:$BQ$1004,1,MATCH(COLUMNS($AO$1006:AS1006),$AO$1006:$BQ$1006,0)))),"Fix")))</f>
        <v>#N/A</v>
      </c>
      <c r="G281" s="5" t="e">
        <f ca="1">IF(OR(INDEX($AI$2:$AI$1001,MATCH(ROWS($AH$2:AH281),$AH$2:$AH$1001,0),1)&gt;=100000,INDEX($AO$1005:$BQ$1005,1,MATCH(COLUMNS($AO$1006:AT1006),$AO$1006:$BQ$1006,0))&gt;=100000), " ",IF(INDEX($AO$2:$BQ$1001,MATCH(ROWS($AH$2:AH281),$AH$2:$AH$1001,0),MATCH(COLUMNS($AO$1006:AT1006),$AO$1006:$BQ$1006,0)), HYPERLINK("#",""), HYPERLINK(CONCATENATE("#Metadata!", ADDRESS(INDEX($AJ$2:$AJ$1001,MATCH(ROWS($AH$2:AH281),$AH$2:$AH$1001,0),0), INDEX($AO$1004:$BQ$1004,1,MATCH(COLUMNS($AO$1006:AT1006),$AO$1006:$BQ$1006,0)))),"Fix")))</f>
        <v>#N/A</v>
      </c>
      <c r="H281" s="5" t="e">
        <f ca="1">IF(OR(INDEX($AI$2:$AI$1001,MATCH(ROWS($AH$2:AH281),$AH$2:$AH$1001,0),1)&gt;=100000,INDEX($AO$1005:$BQ$1005,1,MATCH(COLUMNS($AO$1006:AU1006),$AO$1006:$BQ$1006,0))&gt;=100000), " ",IF(INDEX($AO$2:$BQ$1001,MATCH(ROWS($AH$2:AH281),$AH$2:$AH$1001,0),MATCH(COLUMNS($AO$1006:AU1006),$AO$1006:$BQ$1006,0)), HYPERLINK("#",""), HYPERLINK(CONCATENATE("#Metadata!", ADDRESS(INDEX($AJ$2:$AJ$1001,MATCH(ROWS($AH$2:AH281),$AH$2:$AH$1001,0),0), INDEX($AO$1004:$BQ$1004,1,MATCH(COLUMNS($AO$1006:AU1006),$AO$1006:$BQ$1006,0)))),"Fix")))</f>
        <v>#N/A</v>
      </c>
      <c r="I281" s="5" t="e">
        <f ca="1">IF(OR(INDEX($AI$2:$AI$1001,MATCH(ROWS($AH$2:AH281),$AH$2:$AH$1001,0),1)&gt;=100000,INDEX($AO$1005:$BQ$1005,1,MATCH(COLUMNS($AO$1006:AV1006),$AO$1006:$BQ$1006,0))&gt;=100000), " ",IF(INDEX($AO$2:$BQ$1001,MATCH(ROWS($AH$2:AH281),$AH$2:$AH$1001,0),MATCH(COLUMNS($AO$1006:AV1006),$AO$1006:$BQ$1006,0)), HYPERLINK("#",""), HYPERLINK(CONCATENATE("#Metadata!", ADDRESS(INDEX($AJ$2:$AJ$1001,MATCH(ROWS($AH$2:AH281),$AH$2:$AH$1001,0),0), INDEX($AO$1004:$BQ$1004,1,MATCH(COLUMNS($AO$1006:AV1006),$AO$1006:$BQ$1006,0)))),"Fix")))</f>
        <v>#N/A</v>
      </c>
      <c r="J281" s="5" t="e">
        <f ca="1">IF(OR(INDEX($AI$2:$AI$1001,MATCH(ROWS($AH$2:AH281),$AH$2:$AH$1001,0),1)&gt;=100000,INDEX($AO$1005:$BQ$1005,1,MATCH(COLUMNS($AO$1006:AW1006),$AO$1006:$BQ$1006,0))&gt;=100000), " ",IF(INDEX($AO$2:$BQ$1001,MATCH(ROWS($AH$2:AH281),$AH$2:$AH$1001,0),MATCH(COLUMNS($AO$1006:AW1006),$AO$1006:$BQ$1006,0)), HYPERLINK("#",""), HYPERLINK(CONCATENATE("#Metadata!", ADDRESS(INDEX($AJ$2:$AJ$1001,MATCH(ROWS($AH$2:AH281),$AH$2:$AH$1001,0),0), INDEX($AO$1004:$BQ$1004,1,MATCH(COLUMNS($AO$1006:AW1006),$AO$1006:$BQ$1006,0)))),"Fix")))</f>
        <v>#N/A</v>
      </c>
      <c r="K281" s="5" t="e">
        <f ca="1">IF(OR(INDEX($AI$2:$AI$1001,MATCH(ROWS($AH$2:AH281),$AH$2:$AH$1001,0),1)&gt;=100000,INDEX($AO$1005:$BQ$1005,1,MATCH(COLUMNS($AO$1006:AX1006),$AO$1006:$BQ$1006,0))&gt;=100000), " ",IF(INDEX($AO$2:$BQ$1001,MATCH(ROWS($AH$2:AH281),$AH$2:$AH$1001,0),MATCH(COLUMNS($AO$1006:AX1006),$AO$1006:$BQ$1006,0)), HYPERLINK("#",""), HYPERLINK(CONCATENATE("#Metadata!", ADDRESS(INDEX($AJ$2:$AJ$1001,MATCH(ROWS($AH$2:AH281),$AH$2:$AH$1001,0),0), INDEX($AO$1004:$BQ$1004,1,MATCH(COLUMNS($AO$1006:AX1006),$AO$1006:$BQ$1006,0)))),"Fix")))</f>
        <v>#N/A</v>
      </c>
      <c r="L281" s="5" t="e">
        <f ca="1">IF(OR(INDEX($AI$2:$AI$1001,MATCH(ROWS($AH$2:AH281),$AH$2:$AH$1001,0),1)&gt;=100000,INDEX($AO$1005:$BQ$1005,1,MATCH(COLUMNS($AO$1006:AY1006),$AO$1006:$BQ$1006,0))&gt;=100000), " ",IF(INDEX($AO$2:$BQ$1001,MATCH(ROWS($AH$2:AH281),$AH$2:$AH$1001,0),MATCH(COLUMNS($AO$1006:AY1006),$AO$1006:$BQ$1006,0)), HYPERLINK("#",""), HYPERLINK(CONCATENATE("#Metadata!", ADDRESS(INDEX($AJ$2:$AJ$1001,MATCH(ROWS($AH$2:AH281),$AH$2:$AH$1001,0),0), INDEX($AO$1004:$BQ$1004,1,MATCH(COLUMNS($AO$1006:AY1006),$AO$1006:$BQ$1006,0)))),"Fix")))</f>
        <v>#N/A</v>
      </c>
      <c r="M281" s="5" t="e">
        <f ca="1">IF(OR(INDEX($AI$2:$AI$1001,MATCH(ROWS($AH$2:AH281),$AH$2:$AH$1001,0),1)&gt;=100000,INDEX($AO$1005:$BQ$1005,1,MATCH(COLUMNS($AO$1006:AZ1006),$AO$1006:$BQ$1006,0))&gt;=100000), " ",IF(INDEX($AO$2:$BQ$1001,MATCH(ROWS($AH$2:AH281),$AH$2:$AH$1001,0),MATCH(COLUMNS($AO$1006:AZ1006),$AO$1006:$BQ$1006,0)), HYPERLINK("#",""), HYPERLINK(CONCATENATE("#Metadata!", ADDRESS(INDEX($AJ$2:$AJ$1001,MATCH(ROWS($AH$2:AH281),$AH$2:$AH$1001,0),0), INDEX($AO$1004:$BQ$1004,1,MATCH(COLUMNS($AO$1006:AZ1006),$AO$1006:$BQ$1006,0)))),"Fix")))</f>
        <v>#N/A</v>
      </c>
      <c r="N281" s="5" t="e">
        <f ca="1">IF(OR(INDEX($AI$2:$AI$1001,MATCH(ROWS($AH$2:AH281),$AH$2:$AH$1001,0),1)&gt;=100000,INDEX($AO$1005:$BQ$1005,1,MATCH(COLUMNS($AO$1006:BA1006),$AO$1006:$BQ$1006,0))&gt;=100000), " ",IF(INDEX($AO$2:$BQ$1001,MATCH(ROWS($AH$2:AH281),$AH$2:$AH$1001,0),MATCH(COLUMNS($AO$1006:BA1006),$AO$1006:$BQ$1006,0)), HYPERLINK("#",""), HYPERLINK(CONCATENATE("#Metadata!", ADDRESS(INDEX($AJ$2:$AJ$1001,MATCH(ROWS($AH$2:AH281),$AH$2:$AH$1001,0),0), INDEX($AO$1004:$BQ$1004,1,MATCH(COLUMNS($AO$1006:BA1006),$AO$1006:$BQ$1006,0)))),"Fix")))</f>
        <v>#N/A</v>
      </c>
      <c r="O281" s="5" t="e">
        <f ca="1">IF(OR(INDEX($AI$2:$AI$1001,MATCH(ROWS($AH$2:AH281),$AH$2:$AH$1001,0),1)&gt;=100000,INDEX($AO$1005:$BQ$1005,1,MATCH(COLUMNS($AO$1006:BB1006),$AO$1006:$BQ$1006,0))&gt;=100000), " ",IF(INDEX($AO$2:$BQ$1001,MATCH(ROWS($AH$2:AH281),$AH$2:$AH$1001,0),MATCH(COLUMNS($AO$1006:BB1006),$AO$1006:$BQ$1006,0)), HYPERLINK("#",""), HYPERLINK(CONCATENATE("#Metadata!", ADDRESS(INDEX($AJ$2:$AJ$1001,MATCH(ROWS($AH$2:AH281),$AH$2:$AH$1001,0),0), INDEX($AO$1004:$BQ$1004,1,MATCH(COLUMNS($AO$1006:BB1006),$AO$1006:$BQ$1006,0)))),"Fix")))</f>
        <v>#N/A</v>
      </c>
      <c r="P281" s="5" t="e">
        <f ca="1">IF(OR(INDEX($AI$2:$AI$1001,MATCH(ROWS($AH$2:AH281),$AH$2:$AH$1001,0),1)&gt;=100000,INDEX($AO$1005:$BQ$1005,1,MATCH(COLUMNS($AO$1006:BC1006),$AO$1006:$BQ$1006,0))&gt;=100000), " ",IF(INDEX($AO$2:$BQ$1001,MATCH(ROWS($AH$2:AH281),$AH$2:$AH$1001,0),MATCH(COLUMNS($AO$1006:BC1006),$AO$1006:$BQ$1006,0)), HYPERLINK("#",""), HYPERLINK(CONCATENATE("#Metadata!", ADDRESS(INDEX($AJ$2:$AJ$1001,MATCH(ROWS($AH$2:AH281),$AH$2:$AH$1001,0),0), INDEX($AO$1004:$BQ$1004,1,MATCH(COLUMNS($AO$1006:BC1006),$AO$1006:$BQ$1006,0)))),"Fix")))</f>
        <v>#N/A</v>
      </c>
      <c r="Q281" s="5" t="e">
        <f ca="1">IF(OR(INDEX($AI$2:$AI$1001,MATCH(ROWS($AH$2:AH281),$AH$2:$AH$1001,0),1)&gt;=100000,INDEX($AO$1005:$BQ$1005,1,MATCH(COLUMNS($AO$1006:BD1006),$AO$1006:$BQ$1006,0))&gt;=100000), " ",IF(INDEX($AO$2:$BQ$1001,MATCH(ROWS($AH$2:AH281),$AH$2:$AH$1001,0),MATCH(COLUMNS($AO$1006:BD1006),$AO$1006:$BQ$1006,0)), HYPERLINK("#",""), HYPERLINK(CONCATENATE("#Metadata!", ADDRESS(INDEX($AJ$2:$AJ$1001,MATCH(ROWS($AH$2:AH281),$AH$2:$AH$1001,0),0), INDEX($AO$1004:$BQ$1004,1,MATCH(COLUMNS($AO$1006:BD1006),$AO$1006:$BQ$1006,0)))),"Fix")))</f>
        <v>#N/A</v>
      </c>
      <c r="R281" s="5" t="e">
        <f ca="1">IF(OR(INDEX($AI$2:$AI$1001,MATCH(ROWS($AH$2:AH281),$AH$2:$AH$1001,0),1)&gt;=100000,INDEX($AO$1005:$BQ$1005,1,MATCH(COLUMNS($AO$1006:BE1006),$AO$1006:$BQ$1006,0))&gt;=100000), " ",IF(INDEX($AO$2:$BQ$1001,MATCH(ROWS($AH$2:AH281),$AH$2:$AH$1001,0),MATCH(COLUMNS($AO$1006:BE1006),$AO$1006:$BQ$1006,0)), HYPERLINK("#",""), HYPERLINK(CONCATENATE("#Metadata!", ADDRESS(INDEX($AJ$2:$AJ$1001,MATCH(ROWS($AH$2:AH281),$AH$2:$AH$1001,0),0), INDEX($AO$1004:$BQ$1004,1,MATCH(COLUMNS($AO$1006:BE1006),$AO$1006:$BQ$1006,0)))),"Fix")))</f>
        <v>#N/A</v>
      </c>
      <c r="S281" s="5" t="e">
        <f ca="1">IF(OR(INDEX($AI$2:$AI$1001,MATCH(ROWS($AH$2:AH281),$AH$2:$AH$1001,0),1)&gt;=100000,INDEX($AO$1005:$BQ$1005,1,MATCH(COLUMNS($AO$1006:BF1006),$AO$1006:$BQ$1006,0))&gt;=100000), " ",IF(INDEX($AO$2:$BQ$1001,MATCH(ROWS($AH$2:AH281),$AH$2:$AH$1001,0),MATCH(COLUMNS($AO$1006:BF1006),$AO$1006:$BQ$1006,0)), HYPERLINK("#",""), HYPERLINK(CONCATENATE("#Metadata!", ADDRESS(INDEX($AJ$2:$AJ$1001,MATCH(ROWS($AH$2:AH281),$AH$2:$AH$1001,0),0), INDEX($AO$1004:$BQ$1004,1,MATCH(COLUMNS($AO$1006:BF1006),$AO$1006:$BQ$1006,0)))),"Fix")))</f>
        <v>#N/A</v>
      </c>
      <c r="T281" s="5" t="e">
        <f ca="1">IF(OR(INDEX($AI$2:$AI$1001,MATCH(ROWS($AH$2:AH281),$AH$2:$AH$1001,0),1)&gt;=100000,INDEX($AO$1005:$BQ$1005,1,MATCH(COLUMNS($AO$1006:BG1006),$AO$1006:$BQ$1006,0))&gt;=100000), " ",IF(INDEX($AO$2:$BQ$1001,MATCH(ROWS($AH$2:AH281),$AH$2:$AH$1001,0),MATCH(COLUMNS($AO$1006:BG1006),$AO$1006:$BQ$1006,0)), HYPERLINK("#",""), HYPERLINK(CONCATENATE("#Metadata!", ADDRESS(INDEX($AJ$2:$AJ$1001,MATCH(ROWS($AH$2:AH281),$AH$2:$AH$1001,0),0), INDEX($AO$1004:$BQ$1004,1,MATCH(COLUMNS($AO$1006:BG1006),$AO$1006:$BQ$1006,0)))),"Fix")))</f>
        <v>#N/A</v>
      </c>
      <c r="U281" s="5" t="e">
        <f ca="1">IF(OR(INDEX($AI$2:$AI$1001,MATCH(ROWS($AH$2:AH281),$AH$2:$AH$1001,0),1)&gt;=100000,INDEX($AO$1005:$BQ$1005,1,MATCH(COLUMNS($AO$1006:BH1006),$AO$1006:$BQ$1006,0))&gt;=100000), " ",IF(INDEX($AO$2:$BQ$1001,MATCH(ROWS($AH$2:AH281),$AH$2:$AH$1001,0),MATCH(COLUMNS($AO$1006:BH1006),$AO$1006:$BQ$1006,0)), HYPERLINK("#",""), HYPERLINK(CONCATENATE("#Metadata!", ADDRESS(INDEX($AJ$2:$AJ$1001,MATCH(ROWS($AH$2:AH281),$AH$2:$AH$1001,0),0), INDEX($AO$1004:$BQ$1004,1,MATCH(COLUMNS($AO$1006:BH1006),$AO$1006:$BQ$1006,0)))),"Fix")))</f>
        <v>#N/A</v>
      </c>
      <c r="V281" s="5" t="e">
        <f ca="1">IF(OR(INDEX($AI$2:$AI$1001,MATCH(ROWS($AH$2:AH281),$AH$2:$AH$1001,0),1)&gt;=100000,INDEX($AO$1005:$BQ$1005,1,MATCH(COLUMNS($AO$1006:BI1006),$AO$1006:$BQ$1006,0))&gt;=100000), " ",IF(INDEX($AO$2:$BQ$1001,MATCH(ROWS($AH$2:AH281),$AH$2:$AH$1001,0),MATCH(COLUMNS($AO$1006:BI1006),$AO$1006:$BQ$1006,0)), HYPERLINK("#",""), HYPERLINK(CONCATENATE("#Metadata!", ADDRESS(INDEX($AJ$2:$AJ$1001,MATCH(ROWS($AH$2:AH281),$AH$2:$AH$1001,0),0), INDEX($AO$1004:$BQ$1004,1,MATCH(COLUMNS($AO$1006:BI1006),$AO$1006:$BQ$1006,0)))),"Fix")))</f>
        <v>#N/A</v>
      </c>
      <c r="W281" s="5" t="e">
        <f ca="1">IF(OR(INDEX($AI$2:$AI$1001,MATCH(ROWS($AH$2:AH281),$AH$2:$AH$1001,0),1)&gt;=100000,INDEX($AO$1005:$BQ$1005,1,MATCH(COLUMNS($AO$1006:BJ1006),$AO$1006:$BQ$1006,0))&gt;=100000), " ",IF(INDEX($AO$2:$BQ$1001,MATCH(ROWS($AH$2:AH281),$AH$2:$AH$1001,0),MATCH(COLUMNS($AO$1006:BJ1006),$AO$1006:$BQ$1006,0)), HYPERLINK("#",""), HYPERLINK(CONCATENATE("#Metadata!", ADDRESS(INDEX($AJ$2:$AJ$1001,MATCH(ROWS($AH$2:AH281),$AH$2:$AH$1001,0),0), INDEX($AO$1004:$BQ$1004,1,MATCH(COLUMNS($AO$1006:BJ1006),$AO$1006:$BQ$1006,0)))),"Fix")))</f>
        <v>#N/A</v>
      </c>
      <c r="X281" s="5" t="e">
        <f ca="1">IF(OR(INDEX($AI$2:$AI$1001,MATCH(ROWS($AH$2:AH281),$AH$2:$AH$1001,0),1)&gt;=100000,INDEX($AO$1005:$BQ$1005,1,MATCH(COLUMNS($AO$1006:BK1006),$AO$1006:$BQ$1006,0))&gt;=100000), " ",IF(INDEX($AO$2:$BQ$1001,MATCH(ROWS($AH$2:AH281),$AH$2:$AH$1001,0),MATCH(COLUMNS($AO$1006:BK1006),$AO$1006:$BQ$1006,0)), HYPERLINK("#",""), HYPERLINK(CONCATENATE("#Metadata!", ADDRESS(INDEX($AJ$2:$AJ$1001,MATCH(ROWS($AH$2:AH281),$AH$2:$AH$1001,0),0), INDEX($AO$1004:$BQ$1004,1,MATCH(COLUMNS($AO$1006:BK1006),$AO$1006:$BQ$1006,0)))),"Fix")))</f>
        <v>#N/A</v>
      </c>
      <c r="Y281" s="5" t="e">
        <f ca="1">IF(OR(INDEX($AI$2:$AI$1001,MATCH(ROWS($AH$2:AH281),$AH$2:$AH$1001,0),1)&gt;=100000,INDEX($AO$1005:$BQ$1005,1,MATCH(COLUMNS($AO$1006:BL1006),$AO$1006:$BQ$1006,0))&gt;=100000), " ",IF(INDEX($AO$2:$BQ$1001,MATCH(ROWS($AH$2:AH281),$AH$2:$AH$1001,0),MATCH(COLUMNS($AO$1006:BL1006),$AO$1006:$BQ$1006,0)), HYPERLINK("#",""), HYPERLINK(CONCATENATE("#Metadata!", ADDRESS(INDEX($AJ$2:$AJ$1001,MATCH(ROWS($AH$2:AH281),$AH$2:$AH$1001,0),0), INDEX($AO$1004:$BQ$1004,1,MATCH(COLUMNS($AO$1006:BL1006),$AO$1006:$BQ$1006,0)))),"Fix")))</f>
        <v>#N/A</v>
      </c>
      <c r="Z281" s="5" t="e">
        <f ca="1">IF(OR(INDEX($AI$2:$AI$1001,MATCH(ROWS($AH$2:AH281),$AH$2:$AH$1001,0),1)&gt;=100000,INDEX($AO$1005:$BQ$1005,1,MATCH(COLUMNS($AO$1006:BM1006),$AO$1006:$BQ$1006,0))&gt;=100000), " ",IF(INDEX($AO$2:$BQ$1001,MATCH(ROWS($AH$2:AH281),$AH$2:$AH$1001,0),MATCH(COLUMNS($AO$1006:BM1006),$AO$1006:$BQ$1006,0)), HYPERLINK("#",""), HYPERLINK(CONCATENATE("#Metadata!", ADDRESS(INDEX($AJ$2:$AJ$1001,MATCH(ROWS($AH$2:AH281),$AH$2:$AH$1001,0),0), INDEX($AO$1004:$BQ$1004,1,MATCH(COLUMNS($AO$1006:BM1006),$AO$1006:$BQ$1006,0)))),"Fix")))</f>
        <v>#N/A</v>
      </c>
      <c r="AA281" s="5" t="e">
        <f ca="1">IF(OR(INDEX($AI$2:$AI$1001,MATCH(ROWS($AH$2:AH281),$AH$2:$AH$1001,0),1)&gt;=100000,INDEX($AO$1005:$BQ$1005,1,MATCH(COLUMNS($AO$1006:BN1006),$AO$1006:$BQ$1006,0))&gt;=100000), " ",IF(INDEX($AO$2:$BQ$1001,MATCH(ROWS($AH$2:AH281),$AH$2:$AH$1001,0),MATCH(COLUMNS($AO$1006:BN1006),$AO$1006:$BQ$1006,0)), HYPERLINK("#",""), HYPERLINK(CONCATENATE("#Metadata!", ADDRESS(INDEX($AJ$2:$AJ$1001,MATCH(ROWS($AH$2:AH281),$AH$2:$AH$1001,0),0), INDEX($AO$1004:$BQ$1004,1,MATCH(COLUMNS($AO$1006:BN1006),$AO$1006:$BQ$1006,0)))),"Fix")))</f>
        <v>#N/A</v>
      </c>
      <c r="AB281" s="5" t="e">
        <f ca="1">IF(OR(INDEX($AI$2:$AI$1001,MATCH(ROWS($AH$2:AH281),$AH$2:$AH$1001,0),1)&gt;=100000,INDEX($AO$1005:$BQ$1005,1,MATCH(COLUMNS($AO$1006:BO1006),$AO$1006:$BQ$1006,0))&gt;=100000), " ",IF(INDEX($AO$2:$BQ$1001,MATCH(ROWS($AH$2:AH281),$AH$2:$AH$1001,0),MATCH(COLUMNS($AO$1006:BO1006),$AO$1006:$BQ$1006,0)), HYPERLINK("#",""), HYPERLINK(CONCATENATE("#Metadata!", ADDRESS(INDEX($AJ$2:$AJ$1001,MATCH(ROWS($AH$2:AH281),$AH$2:$AH$1001,0),0), INDEX($AO$1004:$BQ$1004,1,MATCH(COLUMNS($AO$1006:BO1006),$AO$1006:$BQ$1006,0)))),"Fix")))</f>
        <v>#N/A</v>
      </c>
      <c r="AC281" s="5" t="e">
        <f ca="1">IF(OR(INDEX($AI$2:$AI$1001,MATCH(ROWS($AH$2:AH281),$AH$2:$AH$1001,0),1)&gt;=100000,INDEX($AO$1005:$BQ$1005,1,MATCH(COLUMNS($AO$1006:BP1006),$AO$1006:$BQ$1006,0))&gt;=100000), " ",IF(INDEX($AO$2:$BQ$1001,MATCH(ROWS($AH$2:AH281),$AH$2:$AH$1001,0),MATCH(COLUMNS($AO$1006:BP1006),$AO$1006:$BQ$1006,0)), HYPERLINK("#",""), HYPERLINK(CONCATENATE("#Metadata!", ADDRESS(INDEX($AJ$2:$AJ$1001,MATCH(ROWS($AH$2:AH281),$AH$2:$AH$1001,0),0), INDEX($AO$1004:$BQ$1004,1,MATCH(COLUMNS($AO$1006:BP1006),$AO$1006:$BQ$1006,0)))),"Fix")))</f>
        <v>#N/A</v>
      </c>
      <c r="AD281" s="5" t="e">
        <f ca="1">IF(OR(INDEX($AI$2:$AI$1001,MATCH(ROWS($AH$2:AH281),$AH$2:$AH$1001,0),1)&gt;=100000,INDEX($AO$1005:$BQ$1005,1,MATCH(COLUMNS($AO$1006:BQ1006),$AO$1006:$BQ$1006,0))&gt;=100000), " ",IF(INDEX($AO$2:$BQ$1001,MATCH(ROWS($AH$2:AH281),$AH$2:$AH$1001,0),MATCH(COLUMNS($AO$1006:BQ1006),$AO$1006:$BQ$1006,0)), HYPERLINK("#",""), HYPERLINK(CONCATENATE("#Metadata!", ADDRESS(INDEX($AJ$2:$AJ$1001,MATCH(ROWS($AH$2:AH281),$AH$2:$AH$1001,0),0), INDEX($AO$1004:$BQ$1004,1,MATCH(COLUMNS($AO$1006:BQ1006),$AO$1006:$BQ$1006,0)))),"Fix")))</f>
        <v>#REF!</v>
      </c>
      <c r="AH281">
        <f ca="1"/>
        <v>278</v>
      </c>
      <c r="AI281">
        <v>100281</v>
      </c>
      <c r="AJ281">
        <v>281</v>
      </c>
      <c r="AK281" t="b">
        <f t="shared" si="4"/>
        <v>1</v>
      </c>
      <c r="AL281" t="b">
        <f>COUNTBLANK(Metadata!B281:AD281)=COLUMNS(Metadata!B281:AD281)</f>
        <v>1</v>
      </c>
      <c r="AM281" t="str">
        <v/>
      </c>
      <c r="AO281" t="b">
        <f ca="1">AND(IF(Metadata!B281="",FALSE,TRUE),COUNTIF(Metadata!B:B, Metadata!B281) = 1,NOT(ISERROR(SUMPRODUCT(SEARCH(MID(Metadata!B281,ROW(INDIRECT("1:"&amp;LEN(Metadata!B281))), 1),"0123456789abcdefghijklmnopqrstuvwxyzABCDEFGHIJKLMNOPQRSTUVWXYZ.")))))</f>
        <v>0</v>
      </c>
      <c r="AP281" t="b">
        <f>IF(Metadata!C281="",FALSE,TRUE)</f>
        <v>0</v>
      </c>
      <c r="AQ281" t="b">
        <f>IF(Metadata!D281="",FALSE,TRUE)</f>
        <v>0</v>
      </c>
      <c r="AR281" t="b">
        <f ca="1">OR(AND(IF(Metadata!E281="",FALSE,TRUE),OR(EXACT(Metadata!E281,"not collected"),EXACT(Metadata!E281,"not provided"),EXACT(Metadata!E281,"restricted access"))),AND(IF(Metadata!E281="",FALSE,TRUE),AND(AND(IFERROR(INT(LEFT(Metadata!E281,4))&gt;1900,FALSE),IFERROR(INT(LEFT(Metadata!E281,4))&lt;=YEAR(NOW()),FALSE)), OR(MID(Metadata!E281,5,1)="", AND(AND(MID(Metadata!E281,5,1)="-",IFERROR(INT(MID(Metadata!E281,6,1))&gt;=0,FALSE),IFERROR(INT(MID(Metadata!E281,6,1))&lt;=1,FALSE),NOT(MID(Metadata!E281,7,1)=""),IFERROR(INT(MID(Metadata!E281,6,2))&gt;=1,FALSE),IFERROR(INT(MID(Metadata!E281,6,2))&lt;=12,FALSE)), OR(MID(Metadata!E281,8,1)="", AND(AND(MID(Metadata!E281,8,1)="-",IFERROR(INT(MID(Metadata!E281,9,1))&gt;=0,FALSE),IFERROR(INT(MID(Metadata!E281,9,1))&lt;=3,FALSE),NOT(MID(Metadata!E281,10,1)=""),IFERROR(INT(MID(Metadata!E281,9,2))&gt;=1,FALSE),IFERROR(INT(MID(Metadata!E281,9,2))&lt;=31,FALSE)), OR(MID(Metadata!E281,11,1)="", AND(AND(MID(Metadata!E281,11,1)=" ",IFERROR(INT(MID(Metadata!E281,12,1))&gt;=0,FALSE),IFERROR(INT(MID(Metadata!E281,12,1))&lt;=2,FALSE),NOT(MID(Metadata!E281,13,1)=""),IFERROR(INT(MID(Metadata!E281,12,2))&gt;=0,FALSE),IFERROR(INT(MID(Metadata!E281,12,2))&lt;=23,FALSE)), OR(MID(Metadata!E281,14,1)="", AND(AND(MID(Metadata!E281,14,1)=":",IFERROR(INT(MID(Metadata!E281,15,1))&gt;=0,FALSE),IFERROR(INT(MID(Metadata!E281,15,1))&lt;=5,FALSE),NOT(MID(Metadata!E281,16,1)=""),IFERROR(INT(MID(Metadata!E281,15,2))&gt;=0,FALSE),IFERROR(INT(MID(Metadata!E281,15,2))&lt;=59,FALSE)), OR(MID(Metadata!E281,17,1)="", AND(AND(MID(Metadata!E281,17,1)=":",IFERROR(INT(MID(Metadata!E281,18,1))&gt;=0,FALSE),IFERROR(INT(MID(Metadata!E281,18,1))&lt;=5,FALSE),NOT(MID(Metadata!E281,19,1)=""),IFERROR(INT(MID(Metadata!E281,18,2))&gt;=0,FALSE),IFERROR(INT(MID(Metadata!E281,18,2))&lt;=59,FALSE)), LEN(Metadata!E281)&lt;=19)))))))))))))</f>
        <v>0</v>
      </c>
      <c r="AS281" t="b">
        <f>IF(Metadata!F281="",FALSE,TRUE)</f>
        <v>0</v>
      </c>
      <c r="AT281" t="b">
        <f>OR(AND(IF(Metadata!G281="",FALSE,TRUE),OR(EXACT(Metadata!G281,"not collected"),EXACT(Metadata!G281,"not provided"))),AND(IF(Metadata!G281="",FALSE,TRUE),OR(EXACT(Metadata!G281,"TRUE"),EXACT(Metadata!G281,"FALSE"))))</f>
        <v>0</v>
      </c>
      <c r="AU281" t="b">
        <f>OR(AND(IF(Metadata!H281="",FALSE,TRUE),OR(EXACT(Metadata!H281,"not collected"),EXACT(Metadata!H281,"not provided"),EXACT(Metadata!H281,"restricted access"))),AND(IF(Metadata!H281="",FALSE,ISNUMBER(VALUE(Metadata!H281))),Metadata!H281&gt;=-413))</f>
        <v>0</v>
      </c>
      <c r="AV281" t="b">
        <f>AND(IF(Metadata!I281="",FALSE,TRUE),EXACT(Metadata!I281,"meters"))</f>
        <v>0</v>
      </c>
      <c r="AW281" t="b">
        <f>AND(IF(Metadata!J281="",FALSE,TRUE),EXACT(Metadata!J281,"free-living"))</f>
        <v>0</v>
      </c>
      <c r="AX281" t="b">
        <f>AND(IF(Metadata!K281="",FALSE,TRUE),OR(EXACT(Metadata!K281,"saline"),EXACT(Metadata!K281,"non-saline")))</f>
        <v>0</v>
      </c>
      <c r="AY281" t="b">
        <f>AND(IF(Metadata!L281="",FALSE,TRUE),OR(EXACT(Metadata!L281,"sub-surface (non-saline)"),EXACT(Metadata!L281,"surface (non-saline)"),EXACT(Metadata!L281,"water (non-saline)"),EXACT(Metadata!L281,"soil (non-saline)"),EXACT(Metadata!L281,"aerosol (non-saline)"),EXACT(Metadata!L281,"sediment (non-saline)"),EXACT(Metadata!L281,"surface (saline)"),EXACT(Metadata!L281,"water (saline)"),EXACT(Metadata!L281,"hypersaline (saline)"),EXACT(Metadata!L281,"aerosol (saline)"),EXACT(Metadata!L281,"sediment (saline)")))</f>
        <v>0</v>
      </c>
      <c r="AZ281" t="b">
        <f>IF(Metadata!M281="",FALSE,TRUE)</f>
        <v>0</v>
      </c>
      <c r="BA281" t="b">
        <f>IF(Metadata!N281="",FALSE,TRUE)</f>
        <v>0</v>
      </c>
      <c r="BB281" t="b">
        <f>IF(Metadata!O281="",FALSE,TRUE)</f>
        <v>0</v>
      </c>
      <c r="BC281" t="b">
        <f>AND(IF(Metadata!P281="",FALSE,TRUE),OR(EXACT(Metadata!P281,"air"),EXACT(Metadata!P281,"microbial mat/biofilm"),EXACT(Metadata!P281,"misc environment"),EXACT(Metadata!P281,"sediment"),EXACT(Metadata!P281,"soil"),EXACT(Metadata!P281,"wastewater/sludge"),EXACT(Metadata!P281,"water")))</f>
        <v>0</v>
      </c>
      <c r="BD281" t="b">
        <f>IF(Metadata!Q281="",FALSE,TRUE)</f>
        <v>0</v>
      </c>
      <c r="BE281" t="b">
        <f>IF(Metadata!R281="",FALSE,TRUE)</f>
        <v>0</v>
      </c>
      <c r="BF281" t="b">
        <f>OR(AND(IF(Metadata!S281="",FALSE,TRUE),OR(EXACT(Metadata!S281,"not collected"),EXACT(Metadata!S281,"not provided"),EXACT(Metadata!S281,"restricted access"))),AND(IF(Metadata!S281="",FALSE,ISNUMBER(VALUE(Metadata!S281))),Metadata!S281&gt;=-90,Metadata!S281&lt;=90))</f>
        <v>0</v>
      </c>
      <c r="BG281" t="b">
        <f>AND(IF(Metadata!T281="",FALSE,TRUE),EXACT(Metadata!T281,"Decimal degrees"))</f>
        <v>0</v>
      </c>
      <c r="BH281" t="b">
        <f>OR(AND(IF(Metadata!U281="",FALSE,TRUE),OR(EXACT(Metadata!U281,"not applicable"),EXACT(Metadata!U281,"not collected"))),IF(Metadata!U281="",FALSE,TRUE))</f>
        <v>0</v>
      </c>
      <c r="BI281" t="b">
        <f>OR(AND(IF(Metadata!V281="",FALSE,TRUE),OR(EXACT(Metadata!V281,"not collected"),EXACT(Metadata!V281,"not provided"),EXACT(Metadata!V281,"restricted access"))),AND(IF(Metadata!V281="",FALSE,ISNUMBER(VALUE(Metadata!V281))),Metadata!V281&gt;=-180,Metadata!V281&lt;=180))</f>
        <v>0</v>
      </c>
      <c r="BJ281" t="b">
        <f>AND(IF(Metadata!W281="",FALSE,TRUE),EXACT(Metadata!W281,"Decimal degrees"))</f>
        <v>0</v>
      </c>
      <c r="BK281" t="b">
        <f>IF(Metadata!X281="",FALSE,TRUE)</f>
        <v>0</v>
      </c>
      <c r="BL281" t="b">
        <f>OR(AND(IF(Metadata!Y281="",FALSE,TRUE),OR(EXACT(Metadata!Y281,"not collected"),EXACT(Metadata!Y281,"not provided"),EXACT(Metadata!Y281,"restricted access"))),AND(IF(Metadata!Y281="",FALSE,TRUE),OR(EXACT(Metadata!Y281,"TRUE"),EXACT(Metadata!Y281,"FALSE"))))</f>
        <v>0</v>
      </c>
      <c r="BM281" t="b">
        <f>OR(AND(IF(Metadata!Z281="",FALSE,TRUE),EXACT(Metadata!Z281,"not applicable")),AND(IF(Metadata!Z281="",FALSE,TRUE),OR(EXACT(Metadata!Z281,"beer"),EXACT(Metadata!Z281,"cheese"),EXACT(Metadata!Z281,"fresh water"),EXACT(Metadata!Z281,"marine sediment"),EXACT(Metadata!Z281,"sea water"),EXACT(Metadata!Z281,"sediment"),EXACT(Metadata!Z281,"soil"),EXACT(Metadata!Z281,"waste water"))))</f>
        <v>0</v>
      </c>
      <c r="BN281" t="b">
        <f>AND(IF(Metadata!AA281="",FALSE,TRUE),EXACT(Metadata!AA281,"metagenome"))</f>
        <v>0</v>
      </c>
      <c r="BO281" t="b">
        <f>AND(IF(Metadata!AB281="",FALSE,TRUE),EXACT(Metadata!AB281,"256318"))</f>
        <v>0</v>
      </c>
      <c r="BP281" t="b">
        <f>IF(Metadata!AC281="",FALSE,TRUE)</f>
        <v>0</v>
      </c>
      <c r="BQ281" t="b">
        <f>IF(Metadata!AD281="",FALSE,TRUE)</f>
        <v>0</v>
      </c>
    </row>
    <row r="282" spans="1:69" x14ac:dyDescent="0.2">
      <c r="A282" s="4" t="e">
        <f ca="1">IF(B282=" "," ",HYPERLINK(CONCATENATE("#metadata!",ADDRESS(INDEX($AJ$2:$AJ$1001,MATCH(ROWS($AH$2:AH282),$AH$2:$AH$1001,0),0),2)),INDEX($AM$2:$AM$1001,MATCH(ROWS($AH$2:AH282),$AH$2:$AH$1001,0),0)))</f>
        <v>#N/A</v>
      </c>
      <c r="B282" s="5" t="e">
        <f ca="1">IF(OR(INDEX($AI$2:$AI$1001,MATCH(ROWS($AH$2:AH282),$AH$2:$AH$1001,0),1)&gt;=100000,INDEX($AO$1005:$BQ$1005,1,MATCH(COLUMNS($AO$1006:AO1006),$AO$1006:$BQ$1006,0))&gt;=100000), " ",IF(INDEX($AO$2:$BQ$1001,MATCH(ROWS($AH$2:AH282),$AH$2:$AH$1001,0),MATCH(COLUMNS($AO$1006:AO1006),$AO$1006:$BQ$1006,0)), HYPERLINK("#",""), HYPERLINK(CONCATENATE("#Metadata!", ADDRESS(INDEX($AJ$2:$AJ$1001,MATCH(ROWS($AH$2:AH282),$AH$2:$AH$1001,0),0), INDEX($AO$1004:$BQ$1004,1,MATCH(COLUMNS($AO$1006:AO1006),$AO$1006:$BQ$1006,0)))),"Fix")))</f>
        <v>#N/A</v>
      </c>
      <c r="C282" s="5" t="e">
        <f ca="1">IF(OR(INDEX($AI$2:$AI$1001,MATCH(ROWS($AH$2:AH282),$AH$2:$AH$1001,0),1)&gt;=100000,INDEX($AO$1005:$BQ$1005,1,MATCH(COLUMNS($AO$1006:AP1006),$AO$1006:$BQ$1006,0))&gt;=100000), " ",IF(INDEX($AO$2:$BQ$1001,MATCH(ROWS($AH$2:AH282),$AH$2:$AH$1001,0),MATCH(COLUMNS($AO$1006:AP1006),$AO$1006:$BQ$1006,0)), HYPERLINK("#",""), HYPERLINK(CONCATENATE("#Metadata!", ADDRESS(INDEX($AJ$2:$AJ$1001,MATCH(ROWS($AH$2:AH282),$AH$2:$AH$1001,0),0), INDEX($AO$1004:$BQ$1004,1,MATCH(COLUMNS($AO$1006:AP1006),$AO$1006:$BQ$1006,0)))),"Fix")))</f>
        <v>#N/A</v>
      </c>
      <c r="D282" s="5" t="e">
        <f ca="1">IF(OR(INDEX($AI$2:$AI$1001,MATCH(ROWS($AH$2:AH282),$AH$2:$AH$1001,0),1)&gt;=100000,INDEX($AO$1005:$BQ$1005,1,MATCH(COLUMNS($AO$1006:AQ1006),$AO$1006:$BQ$1006,0))&gt;=100000), " ",IF(INDEX($AO$2:$BQ$1001,MATCH(ROWS($AH$2:AH282),$AH$2:$AH$1001,0),MATCH(COLUMNS($AO$1006:AQ1006),$AO$1006:$BQ$1006,0)), HYPERLINK("#",""), HYPERLINK(CONCATENATE("#Metadata!", ADDRESS(INDEX($AJ$2:$AJ$1001,MATCH(ROWS($AH$2:AH282),$AH$2:$AH$1001,0),0), INDEX($AO$1004:$BQ$1004,1,MATCH(COLUMNS($AO$1006:AQ1006),$AO$1006:$BQ$1006,0)))),"Fix")))</f>
        <v>#N/A</v>
      </c>
      <c r="E282" s="5" t="e">
        <f ca="1">IF(OR(INDEX($AI$2:$AI$1001,MATCH(ROWS($AH$2:AH282),$AH$2:$AH$1001,0),1)&gt;=100000,INDEX($AO$1005:$BQ$1005,1,MATCH(COLUMNS($AO$1006:AR1006),$AO$1006:$BQ$1006,0))&gt;=100000), " ",IF(INDEX($AO$2:$BQ$1001,MATCH(ROWS($AH$2:AH282),$AH$2:$AH$1001,0),MATCH(COLUMNS($AO$1006:AR1006),$AO$1006:$BQ$1006,0)), HYPERLINK("#",""), HYPERLINK(CONCATENATE("#Metadata!", ADDRESS(INDEX($AJ$2:$AJ$1001,MATCH(ROWS($AH$2:AH282),$AH$2:$AH$1001,0),0), INDEX($AO$1004:$BQ$1004,1,MATCH(COLUMNS($AO$1006:AR1006),$AO$1006:$BQ$1006,0)))),"Fix")))</f>
        <v>#N/A</v>
      </c>
      <c r="F282" s="5" t="e">
        <f ca="1">IF(OR(INDEX($AI$2:$AI$1001,MATCH(ROWS($AH$2:AH282),$AH$2:$AH$1001,0),1)&gt;=100000,INDEX($AO$1005:$BQ$1005,1,MATCH(COLUMNS($AO$1006:AS1006),$AO$1006:$BQ$1006,0))&gt;=100000), " ",IF(INDEX($AO$2:$BQ$1001,MATCH(ROWS($AH$2:AH282),$AH$2:$AH$1001,0),MATCH(COLUMNS($AO$1006:AS1006),$AO$1006:$BQ$1006,0)), HYPERLINK("#",""), HYPERLINK(CONCATENATE("#Metadata!", ADDRESS(INDEX($AJ$2:$AJ$1001,MATCH(ROWS($AH$2:AH282),$AH$2:$AH$1001,0),0), INDEX($AO$1004:$BQ$1004,1,MATCH(COLUMNS($AO$1006:AS1006),$AO$1006:$BQ$1006,0)))),"Fix")))</f>
        <v>#N/A</v>
      </c>
      <c r="G282" s="5" t="e">
        <f ca="1">IF(OR(INDEX($AI$2:$AI$1001,MATCH(ROWS($AH$2:AH282),$AH$2:$AH$1001,0),1)&gt;=100000,INDEX($AO$1005:$BQ$1005,1,MATCH(COLUMNS($AO$1006:AT1006),$AO$1006:$BQ$1006,0))&gt;=100000), " ",IF(INDEX($AO$2:$BQ$1001,MATCH(ROWS($AH$2:AH282),$AH$2:$AH$1001,0),MATCH(COLUMNS($AO$1006:AT1006),$AO$1006:$BQ$1006,0)), HYPERLINK("#",""), HYPERLINK(CONCATENATE("#Metadata!", ADDRESS(INDEX($AJ$2:$AJ$1001,MATCH(ROWS($AH$2:AH282),$AH$2:$AH$1001,0),0), INDEX($AO$1004:$BQ$1004,1,MATCH(COLUMNS($AO$1006:AT1006),$AO$1006:$BQ$1006,0)))),"Fix")))</f>
        <v>#N/A</v>
      </c>
      <c r="H282" s="5" t="e">
        <f ca="1">IF(OR(INDEX($AI$2:$AI$1001,MATCH(ROWS($AH$2:AH282),$AH$2:$AH$1001,0),1)&gt;=100000,INDEX($AO$1005:$BQ$1005,1,MATCH(COLUMNS($AO$1006:AU1006),$AO$1006:$BQ$1006,0))&gt;=100000), " ",IF(INDEX($AO$2:$BQ$1001,MATCH(ROWS($AH$2:AH282),$AH$2:$AH$1001,0),MATCH(COLUMNS($AO$1006:AU1006),$AO$1006:$BQ$1006,0)), HYPERLINK("#",""), HYPERLINK(CONCATENATE("#Metadata!", ADDRESS(INDEX($AJ$2:$AJ$1001,MATCH(ROWS($AH$2:AH282),$AH$2:$AH$1001,0),0), INDEX($AO$1004:$BQ$1004,1,MATCH(COLUMNS($AO$1006:AU1006),$AO$1006:$BQ$1006,0)))),"Fix")))</f>
        <v>#N/A</v>
      </c>
      <c r="I282" s="5" t="e">
        <f ca="1">IF(OR(INDEX($AI$2:$AI$1001,MATCH(ROWS($AH$2:AH282),$AH$2:$AH$1001,0),1)&gt;=100000,INDEX($AO$1005:$BQ$1005,1,MATCH(COLUMNS($AO$1006:AV1006),$AO$1006:$BQ$1006,0))&gt;=100000), " ",IF(INDEX($AO$2:$BQ$1001,MATCH(ROWS($AH$2:AH282),$AH$2:$AH$1001,0),MATCH(COLUMNS($AO$1006:AV1006),$AO$1006:$BQ$1006,0)), HYPERLINK("#",""), HYPERLINK(CONCATENATE("#Metadata!", ADDRESS(INDEX($AJ$2:$AJ$1001,MATCH(ROWS($AH$2:AH282),$AH$2:$AH$1001,0),0), INDEX($AO$1004:$BQ$1004,1,MATCH(COLUMNS($AO$1006:AV1006),$AO$1006:$BQ$1006,0)))),"Fix")))</f>
        <v>#N/A</v>
      </c>
      <c r="J282" s="5" t="e">
        <f ca="1">IF(OR(INDEX($AI$2:$AI$1001,MATCH(ROWS($AH$2:AH282),$AH$2:$AH$1001,0),1)&gt;=100000,INDEX($AO$1005:$BQ$1005,1,MATCH(COLUMNS($AO$1006:AW1006),$AO$1006:$BQ$1006,0))&gt;=100000), " ",IF(INDEX($AO$2:$BQ$1001,MATCH(ROWS($AH$2:AH282),$AH$2:$AH$1001,0),MATCH(COLUMNS($AO$1006:AW1006),$AO$1006:$BQ$1006,0)), HYPERLINK("#",""), HYPERLINK(CONCATENATE("#Metadata!", ADDRESS(INDEX($AJ$2:$AJ$1001,MATCH(ROWS($AH$2:AH282),$AH$2:$AH$1001,0),0), INDEX($AO$1004:$BQ$1004,1,MATCH(COLUMNS($AO$1006:AW1006),$AO$1006:$BQ$1006,0)))),"Fix")))</f>
        <v>#N/A</v>
      </c>
      <c r="K282" s="5" t="e">
        <f ca="1">IF(OR(INDEX($AI$2:$AI$1001,MATCH(ROWS($AH$2:AH282),$AH$2:$AH$1001,0),1)&gt;=100000,INDEX($AO$1005:$BQ$1005,1,MATCH(COLUMNS($AO$1006:AX1006),$AO$1006:$BQ$1006,0))&gt;=100000), " ",IF(INDEX($AO$2:$BQ$1001,MATCH(ROWS($AH$2:AH282),$AH$2:$AH$1001,0),MATCH(COLUMNS($AO$1006:AX1006),$AO$1006:$BQ$1006,0)), HYPERLINK("#",""), HYPERLINK(CONCATENATE("#Metadata!", ADDRESS(INDEX($AJ$2:$AJ$1001,MATCH(ROWS($AH$2:AH282),$AH$2:$AH$1001,0),0), INDEX($AO$1004:$BQ$1004,1,MATCH(COLUMNS($AO$1006:AX1006),$AO$1006:$BQ$1006,0)))),"Fix")))</f>
        <v>#N/A</v>
      </c>
      <c r="L282" s="5" t="e">
        <f ca="1">IF(OR(INDEX($AI$2:$AI$1001,MATCH(ROWS($AH$2:AH282),$AH$2:$AH$1001,0),1)&gt;=100000,INDEX($AO$1005:$BQ$1005,1,MATCH(COLUMNS($AO$1006:AY1006),$AO$1006:$BQ$1006,0))&gt;=100000), " ",IF(INDEX($AO$2:$BQ$1001,MATCH(ROWS($AH$2:AH282),$AH$2:$AH$1001,0),MATCH(COLUMNS($AO$1006:AY1006),$AO$1006:$BQ$1006,0)), HYPERLINK("#",""), HYPERLINK(CONCATENATE("#Metadata!", ADDRESS(INDEX($AJ$2:$AJ$1001,MATCH(ROWS($AH$2:AH282),$AH$2:$AH$1001,0),0), INDEX($AO$1004:$BQ$1004,1,MATCH(COLUMNS($AO$1006:AY1006),$AO$1006:$BQ$1006,0)))),"Fix")))</f>
        <v>#N/A</v>
      </c>
      <c r="M282" s="5" t="e">
        <f ca="1">IF(OR(INDEX($AI$2:$AI$1001,MATCH(ROWS($AH$2:AH282),$AH$2:$AH$1001,0),1)&gt;=100000,INDEX($AO$1005:$BQ$1005,1,MATCH(COLUMNS($AO$1006:AZ1006),$AO$1006:$BQ$1006,0))&gt;=100000), " ",IF(INDEX($AO$2:$BQ$1001,MATCH(ROWS($AH$2:AH282),$AH$2:$AH$1001,0),MATCH(COLUMNS($AO$1006:AZ1006),$AO$1006:$BQ$1006,0)), HYPERLINK("#",""), HYPERLINK(CONCATENATE("#Metadata!", ADDRESS(INDEX($AJ$2:$AJ$1001,MATCH(ROWS($AH$2:AH282),$AH$2:$AH$1001,0),0), INDEX($AO$1004:$BQ$1004,1,MATCH(COLUMNS($AO$1006:AZ1006),$AO$1006:$BQ$1006,0)))),"Fix")))</f>
        <v>#N/A</v>
      </c>
      <c r="N282" s="5" t="e">
        <f ca="1">IF(OR(INDEX($AI$2:$AI$1001,MATCH(ROWS($AH$2:AH282),$AH$2:$AH$1001,0),1)&gt;=100000,INDEX($AO$1005:$BQ$1005,1,MATCH(COLUMNS($AO$1006:BA1006),$AO$1006:$BQ$1006,0))&gt;=100000), " ",IF(INDEX($AO$2:$BQ$1001,MATCH(ROWS($AH$2:AH282),$AH$2:$AH$1001,0),MATCH(COLUMNS($AO$1006:BA1006),$AO$1006:$BQ$1006,0)), HYPERLINK("#",""), HYPERLINK(CONCATENATE("#Metadata!", ADDRESS(INDEX($AJ$2:$AJ$1001,MATCH(ROWS($AH$2:AH282),$AH$2:$AH$1001,0),0), INDEX($AO$1004:$BQ$1004,1,MATCH(COLUMNS($AO$1006:BA1006),$AO$1006:$BQ$1006,0)))),"Fix")))</f>
        <v>#N/A</v>
      </c>
      <c r="O282" s="5" t="e">
        <f ca="1">IF(OR(INDEX($AI$2:$AI$1001,MATCH(ROWS($AH$2:AH282),$AH$2:$AH$1001,0),1)&gt;=100000,INDEX($AO$1005:$BQ$1005,1,MATCH(COLUMNS($AO$1006:BB1006),$AO$1006:$BQ$1006,0))&gt;=100000), " ",IF(INDEX($AO$2:$BQ$1001,MATCH(ROWS($AH$2:AH282),$AH$2:$AH$1001,0),MATCH(COLUMNS($AO$1006:BB1006),$AO$1006:$BQ$1006,0)), HYPERLINK("#",""), HYPERLINK(CONCATENATE("#Metadata!", ADDRESS(INDEX($AJ$2:$AJ$1001,MATCH(ROWS($AH$2:AH282),$AH$2:$AH$1001,0),0), INDEX($AO$1004:$BQ$1004,1,MATCH(COLUMNS($AO$1006:BB1006),$AO$1006:$BQ$1006,0)))),"Fix")))</f>
        <v>#N/A</v>
      </c>
      <c r="P282" s="5" t="e">
        <f ca="1">IF(OR(INDEX($AI$2:$AI$1001,MATCH(ROWS($AH$2:AH282),$AH$2:$AH$1001,0),1)&gt;=100000,INDEX($AO$1005:$BQ$1005,1,MATCH(COLUMNS($AO$1006:BC1006),$AO$1006:$BQ$1006,0))&gt;=100000), " ",IF(INDEX($AO$2:$BQ$1001,MATCH(ROWS($AH$2:AH282),$AH$2:$AH$1001,0),MATCH(COLUMNS($AO$1006:BC1006),$AO$1006:$BQ$1006,0)), HYPERLINK("#",""), HYPERLINK(CONCATENATE("#Metadata!", ADDRESS(INDEX($AJ$2:$AJ$1001,MATCH(ROWS($AH$2:AH282),$AH$2:$AH$1001,0),0), INDEX($AO$1004:$BQ$1004,1,MATCH(COLUMNS($AO$1006:BC1006),$AO$1006:$BQ$1006,0)))),"Fix")))</f>
        <v>#N/A</v>
      </c>
      <c r="Q282" s="5" t="e">
        <f ca="1">IF(OR(INDEX($AI$2:$AI$1001,MATCH(ROWS($AH$2:AH282),$AH$2:$AH$1001,0),1)&gt;=100000,INDEX($AO$1005:$BQ$1005,1,MATCH(COLUMNS($AO$1006:BD1006),$AO$1006:$BQ$1006,0))&gt;=100000), " ",IF(INDEX($AO$2:$BQ$1001,MATCH(ROWS($AH$2:AH282),$AH$2:$AH$1001,0),MATCH(COLUMNS($AO$1006:BD1006),$AO$1006:$BQ$1006,0)), HYPERLINK("#",""), HYPERLINK(CONCATENATE("#Metadata!", ADDRESS(INDEX($AJ$2:$AJ$1001,MATCH(ROWS($AH$2:AH282),$AH$2:$AH$1001,0),0), INDEX($AO$1004:$BQ$1004,1,MATCH(COLUMNS($AO$1006:BD1006),$AO$1006:$BQ$1006,0)))),"Fix")))</f>
        <v>#N/A</v>
      </c>
      <c r="R282" s="5" t="e">
        <f ca="1">IF(OR(INDEX($AI$2:$AI$1001,MATCH(ROWS($AH$2:AH282),$AH$2:$AH$1001,0),1)&gt;=100000,INDEX($AO$1005:$BQ$1005,1,MATCH(COLUMNS($AO$1006:BE1006),$AO$1006:$BQ$1006,0))&gt;=100000), " ",IF(INDEX($AO$2:$BQ$1001,MATCH(ROWS($AH$2:AH282),$AH$2:$AH$1001,0),MATCH(COLUMNS($AO$1006:BE1006),$AO$1006:$BQ$1006,0)), HYPERLINK("#",""), HYPERLINK(CONCATENATE("#Metadata!", ADDRESS(INDEX($AJ$2:$AJ$1001,MATCH(ROWS($AH$2:AH282),$AH$2:$AH$1001,0),0), INDEX($AO$1004:$BQ$1004,1,MATCH(COLUMNS($AO$1006:BE1006),$AO$1006:$BQ$1006,0)))),"Fix")))</f>
        <v>#N/A</v>
      </c>
      <c r="S282" s="5" t="e">
        <f ca="1">IF(OR(INDEX($AI$2:$AI$1001,MATCH(ROWS($AH$2:AH282),$AH$2:$AH$1001,0),1)&gt;=100000,INDEX($AO$1005:$BQ$1005,1,MATCH(COLUMNS($AO$1006:BF1006),$AO$1006:$BQ$1006,0))&gt;=100000), " ",IF(INDEX($AO$2:$BQ$1001,MATCH(ROWS($AH$2:AH282),$AH$2:$AH$1001,0),MATCH(COLUMNS($AO$1006:BF1006),$AO$1006:$BQ$1006,0)), HYPERLINK("#",""), HYPERLINK(CONCATENATE("#Metadata!", ADDRESS(INDEX($AJ$2:$AJ$1001,MATCH(ROWS($AH$2:AH282),$AH$2:$AH$1001,0),0), INDEX($AO$1004:$BQ$1004,1,MATCH(COLUMNS($AO$1006:BF1006),$AO$1006:$BQ$1006,0)))),"Fix")))</f>
        <v>#N/A</v>
      </c>
      <c r="T282" s="5" t="e">
        <f ca="1">IF(OR(INDEX($AI$2:$AI$1001,MATCH(ROWS($AH$2:AH282),$AH$2:$AH$1001,0),1)&gt;=100000,INDEX($AO$1005:$BQ$1005,1,MATCH(COLUMNS($AO$1006:BG1006),$AO$1006:$BQ$1006,0))&gt;=100000), " ",IF(INDEX($AO$2:$BQ$1001,MATCH(ROWS($AH$2:AH282),$AH$2:$AH$1001,0),MATCH(COLUMNS($AO$1006:BG1006),$AO$1006:$BQ$1006,0)), HYPERLINK("#",""), HYPERLINK(CONCATENATE("#Metadata!", ADDRESS(INDEX($AJ$2:$AJ$1001,MATCH(ROWS($AH$2:AH282),$AH$2:$AH$1001,0),0), INDEX($AO$1004:$BQ$1004,1,MATCH(COLUMNS($AO$1006:BG1006),$AO$1006:$BQ$1006,0)))),"Fix")))</f>
        <v>#N/A</v>
      </c>
      <c r="U282" s="5" t="e">
        <f ca="1">IF(OR(INDEX($AI$2:$AI$1001,MATCH(ROWS($AH$2:AH282),$AH$2:$AH$1001,0),1)&gt;=100000,INDEX($AO$1005:$BQ$1005,1,MATCH(COLUMNS($AO$1006:BH1006),$AO$1006:$BQ$1006,0))&gt;=100000), " ",IF(INDEX($AO$2:$BQ$1001,MATCH(ROWS($AH$2:AH282),$AH$2:$AH$1001,0),MATCH(COLUMNS($AO$1006:BH1006),$AO$1006:$BQ$1006,0)), HYPERLINK("#",""), HYPERLINK(CONCATENATE("#Metadata!", ADDRESS(INDEX($AJ$2:$AJ$1001,MATCH(ROWS($AH$2:AH282),$AH$2:$AH$1001,0),0), INDEX($AO$1004:$BQ$1004,1,MATCH(COLUMNS($AO$1006:BH1006),$AO$1006:$BQ$1006,0)))),"Fix")))</f>
        <v>#N/A</v>
      </c>
      <c r="V282" s="5" t="e">
        <f ca="1">IF(OR(INDEX($AI$2:$AI$1001,MATCH(ROWS($AH$2:AH282),$AH$2:$AH$1001,0),1)&gt;=100000,INDEX($AO$1005:$BQ$1005,1,MATCH(COLUMNS($AO$1006:BI1006),$AO$1006:$BQ$1006,0))&gt;=100000), " ",IF(INDEX($AO$2:$BQ$1001,MATCH(ROWS($AH$2:AH282),$AH$2:$AH$1001,0),MATCH(COLUMNS($AO$1006:BI1006),$AO$1006:$BQ$1006,0)), HYPERLINK("#",""), HYPERLINK(CONCATENATE("#Metadata!", ADDRESS(INDEX($AJ$2:$AJ$1001,MATCH(ROWS($AH$2:AH282),$AH$2:$AH$1001,0),0), INDEX($AO$1004:$BQ$1004,1,MATCH(COLUMNS($AO$1006:BI1006),$AO$1006:$BQ$1006,0)))),"Fix")))</f>
        <v>#N/A</v>
      </c>
      <c r="W282" s="5" t="e">
        <f ca="1">IF(OR(INDEX($AI$2:$AI$1001,MATCH(ROWS($AH$2:AH282),$AH$2:$AH$1001,0),1)&gt;=100000,INDEX($AO$1005:$BQ$1005,1,MATCH(COLUMNS($AO$1006:BJ1006),$AO$1006:$BQ$1006,0))&gt;=100000), " ",IF(INDEX($AO$2:$BQ$1001,MATCH(ROWS($AH$2:AH282),$AH$2:$AH$1001,0),MATCH(COLUMNS($AO$1006:BJ1006),$AO$1006:$BQ$1006,0)), HYPERLINK("#",""), HYPERLINK(CONCATENATE("#Metadata!", ADDRESS(INDEX($AJ$2:$AJ$1001,MATCH(ROWS($AH$2:AH282),$AH$2:$AH$1001,0),0), INDEX($AO$1004:$BQ$1004,1,MATCH(COLUMNS($AO$1006:BJ1006),$AO$1006:$BQ$1006,0)))),"Fix")))</f>
        <v>#N/A</v>
      </c>
      <c r="X282" s="5" t="e">
        <f ca="1">IF(OR(INDEX($AI$2:$AI$1001,MATCH(ROWS($AH$2:AH282),$AH$2:$AH$1001,0),1)&gt;=100000,INDEX($AO$1005:$BQ$1005,1,MATCH(COLUMNS($AO$1006:BK1006),$AO$1006:$BQ$1006,0))&gt;=100000), " ",IF(INDEX($AO$2:$BQ$1001,MATCH(ROWS($AH$2:AH282),$AH$2:$AH$1001,0),MATCH(COLUMNS($AO$1006:BK1006),$AO$1006:$BQ$1006,0)), HYPERLINK("#",""), HYPERLINK(CONCATENATE("#Metadata!", ADDRESS(INDEX($AJ$2:$AJ$1001,MATCH(ROWS($AH$2:AH282),$AH$2:$AH$1001,0),0), INDEX($AO$1004:$BQ$1004,1,MATCH(COLUMNS($AO$1006:BK1006),$AO$1006:$BQ$1006,0)))),"Fix")))</f>
        <v>#N/A</v>
      </c>
      <c r="Y282" s="5" t="e">
        <f ca="1">IF(OR(INDEX($AI$2:$AI$1001,MATCH(ROWS($AH$2:AH282),$AH$2:$AH$1001,0),1)&gt;=100000,INDEX($AO$1005:$BQ$1005,1,MATCH(COLUMNS($AO$1006:BL1006),$AO$1006:$BQ$1006,0))&gt;=100000), " ",IF(INDEX($AO$2:$BQ$1001,MATCH(ROWS($AH$2:AH282),$AH$2:$AH$1001,0),MATCH(COLUMNS($AO$1006:BL1006),$AO$1006:$BQ$1006,0)), HYPERLINK("#",""), HYPERLINK(CONCATENATE("#Metadata!", ADDRESS(INDEX($AJ$2:$AJ$1001,MATCH(ROWS($AH$2:AH282),$AH$2:$AH$1001,0),0), INDEX($AO$1004:$BQ$1004,1,MATCH(COLUMNS($AO$1006:BL1006),$AO$1006:$BQ$1006,0)))),"Fix")))</f>
        <v>#N/A</v>
      </c>
      <c r="Z282" s="5" t="e">
        <f ca="1">IF(OR(INDEX($AI$2:$AI$1001,MATCH(ROWS($AH$2:AH282),$AH$2:$AH$1001,0),1)&gt;=100000,INDEX($AO$1005:$BQ$1005,1,MATCH(COLUMNS($AO$1006:BM1006),$AO$1006:$BQ$1006,0))&gt;=100000), " ",IF(INDEX($AO$2:$BQ$1001,MATCH(ROWS($AH$2:AH282),$AH$2:$AH$1001,0),MATCH(COLUMNS($AO$1006:BM1006),$AO$1006:$BQ$1006,0)), HYPERLINK("#",""), HYPERLINK(CONCATENATE("#Metadata!", ADDRESS(INDEX($AJ$2:$AJ$1001,MATCH(ROWS($AH$2:AH282),$AH$2:$AH$1001,0),0), INDEX($AO$1004:$BQ$1004,1,MATCH(COLUMNS($AO$1006:BM1006),$AO$1006:$BQ$1006,0)))),"Fix")))</f>
        <v>#N/A</v>
      </c>
      <c r="AA282" s="5" t="e">
        <f ca="1">IF(OR(INDEX($AI$2:$AI$1001,MATCH(ROWS($AH$2:AH282),$AH$2:$AH$1001,0),1)&gt;=100000,INDEX($AO$1005:$BQ$1005,1,MATCH(COLUMNS($AO$1006:BN1006),$AO$1006:$BQ$1006,0))&gt;=100000), " ",IF(INDEX($AO$2:$BQ$1001,MATCH(ROWS($AH$2:AH282),$AH$2:$AH$1001,0),MATCH(COLUMNS($AO$1006:BN1006),$AO$1006:$BQ$1006,0)), HYPERLINK("#",""), HYPERLINK(CONCATENATE("#Metadata!", ADDRESS(INDEX($AJ$2:$AJ$1001,MATCH(ROWS($AH$2:AH282),$AH$2:$AH$1001,0),0), INDEX($AO$1004:$BQ$1004,1,MATCH(COLUMNS($AO$1006:BN1006),$AO$1006:$BQ$1006,0)))),"Fix")))</f>
        <v>#N/A</v>
      </c>
      <c r="AB282" s="5" t="e">
        <f ca="1">IF(OR(INDEX($AI$2:$AI$1001,MATCH(ROWS($AH$2:AH282),$AH$2:$AH$1001,0),1)&gt;=100000,INDEX($AO$1005:$BQ$1005,1,MATCH(COLUMNS($AO$1006:BO1006),$AO$1006:$BQ$1006,0))&gt;=100000), " ",IF(INDEX($AO$2:$BQ$1001,MATCH(ROWS($AH$2:AH282),$AH$2:$AH$1001,0),MATCH(COLUMNS($AO$1006:BO1006),$AO$1006:$BQ$1006,0)), HYPERLINK("#",""), HYPERLINK(CONCATENATE("#Metadata!", ADDRESS(INDEX($AJ$2:$AJ$1001,MATCH(ROWS($AH$2:AH282),$AH$2:$AH$1001,0),0), INDEX($AO$1004:$BQ$1004,1,MATCH(COLUMNS($AO$1006:BO1006),$AO$1006:$BQ$1006,0)))),"Fix")))</f>
        <v>#N/A</v>
      </c>
      <c r="AC282" s="5" t="e">
        <f ca="1">IF(OR(INDEX($AI$2:$AI$1001,MATCH(ROWS($AH$2:AH282),$AH$2:$AH$1001,0),1)&gt;=100000,INDEX($AO$1005:$BQ$1005,1,MATCH(COLUMNS($AO$1006:BP1006),$AO$1006:$BQ$1006,0))&gt;=100000), " ",IF(INDEX($AO$2:$BQ$1001,MATCH(ROWS($AH$2:AH282),$AH$2:$AH$1001,0),MATCH(COLUMNS($AO$1006:BP1006),$AO$1006:$BQ$1006,0)), HYPERLINK("#",""), HYPERLINK(CONCATENATE("#Metadata!", ADDRESS(INDEX($AJ$2:$AJ$1001,MATCH(ROWS($AH$2:AH282),$AH$2:$AH$1001,0),0), INDEX($AO$1004:$BQ$1004,1,MATCH(COLUMNS($AO$1006:BP1006),$AO$1006:$BQ$1006,0)))),"Fix")))</f>
        <v>#N/A</v>
      </c>
      <c r="AD282" s="5" t="e">
        <f ca="1">IF(OR(INDEX($AI$2:$AI$1001,MATCH(ROWS($AH$2:AH282),$AH$2:$AH$1001,0),1)&gt;=100000,INDEX($AO$1005:$BQ$1005,1,MATCH(COLUMNS($AO$1006:BQ1006),$AO$1006:$BQ$1006,0))&gt;=100000), " ",IF(INDEX($AO$2:$BQ$1001,MATCH(ROWS($AH$2:AH282),$AH$2:$AH$1001,0),MATCH(COLUMNS($AO$1006:BQ1006),$AO$1006:$BQ$1006,0)), HYPERLINK("#",""), HYPERLINK(CONCATENATE("#Metadata!", ADDRESS(INDEX($AJ$2:$AJ$1001,MATCH(ROWS($AH$2:AH282),$AH$2:$AH$1001,0),0), INDEX($AO$1004:$BQ$1004,1,MATCH(COLUMNS($AO$1006:BQ1006),$AO$1006:$BQ$1006,0)))),"Fix")))</f>
        <v>#REF!</v>
      </c>
      <c r="AH282">
        <f ca="1"/>
        <v>279</v>
      </c>
      <c r="AI282">
        <v>100282</v>
      </c>
      <c r="AJ282">
        <v>282</v>
      </c>
      <c r="AK282" t="b">
        <f t="shared" si="4"/>
        <v>1</v>
      </c>
      <c r="AL282" t="b">
        <f>COUNTBLANK(Metadata!B282:AD282)=COLUMNS(Metadata!B282:AD282)</f>
        <v>1</v>
      </c>
      <c r="AM282" t="str">
        <v/>
      </c>
      <c r="AO282" t="b">
        <f ca="1">AND(IF(Metadata!B282="",FALSE,TRUE),COUNTIF(Metadata!B:B, Metadata!B282) = 1,NOT(ISERROR(SUMPRODUCT(SEARCH(MID(Metadata!B282,ROW(INDIRECT("1:"&amp;LEN(Metadata!B282))), 1),"0123456789abcdefghijklmnopqrstuvwxyzABCDEFGHIJKLMNOPQRSTUVWXYZ.")))))</f>
        <v>0</v>
      </c>
      <c r="AP282" t="b">
        <f>IF(Metadata!C282="",FALSE,TRUE)</f>
        <v>0</v>
      </c>
      <c r="AQ282" t="b">
        <f>IF(Metadata!D282="",FALSE,TRUE)</f>
        <v>0</v>
      </c>
      <c r="AR282" t="b">
        <f ca="1">OR(AND(IF(Metadata!E282="",FALSE,TRUE),OR(EXACT(Metadata!E282,"not collected"),EXACT(Metadata!E282,"not provided"),EXACT(Metadata!E282,"restricted access"))),AND(IF(Metadata!E282="",FALSE,TRUE),AND(AND(IFERROR(INT(LEFT(Metadata!E282,4))&gt;1900,FALSE),IFERROR(INT(LEFT(Metadata!E282,4))&lt;=YEAR(NOW()),FALSE)), OR(MID(Metadata!E282,5,1)="", AND(AND(MID(Metadata!E282,5,1)="-",IFERROR(INT(MID(Metadata!E282,6,1))&gt;=0,FALSE),IFERROR(INT(MID(Metadata!E282,6,1))&lt;=1,FALSE),NOT(MID(Metadata!E282,7,1)=""),IFERROR(INT(MID(Metadata!E282,6,2))&gt;=1,FALSE),IFERROR(INT(MID(Metadata!E282,6,2))&lt;=12,FALSE)), OR(MID(Metadata!E282,8,1)="", AND(AND(MID(Metadata!E282,8,1)="-",IFERROR(INT(MID(Metadata!E282,9,1))&gt;=0,FALSE),IFERROR(INT(MID(Metadata!E282,9,1))&lt;=3,FALSE),NOT(MID(Metadata!E282,10,1)=""),IFERROR(INT(MID(Metadata!E282,9,2))&gt;=1,FALSE),IFERROR(INT(MID(Metadata!E282,9,2))&lt;=31,FALSE)), OR(MID(Metadata!E282,11,1)="", AND(AND(MID(Metadata!E282,11,1)=" ",IFERROR(INT(MID(Metadata!E282,12,1))&gt;=0,FALSE),IFERROR(INT(MID(Metadata!E282,12,1))&lt;=2,FALSE),NOT(MID(Metadata!E282,13,1)=""),IFERROR(INT(MID(Metadata!E282,12,2))&gt;=0,FALSE),IFERROR(INT(MID(Metadata!E282,12,2))&lt;=23,FALSE)), OR(MID(Metadata!E282,14,1)="", AND(AND(MID(Metadata!E282,14,1)=":",IFERROR(INT(MID(Metadata!E282,15,1))&gt;=0,FALSE),IFERROR(INT(MID(Metadata!E282,15,1))&lt;=5,FALSE),NOT(MID(Metadata!E282,16,1)=""),IFERROR(INT(MID(Metadata!E282,15,2))&gt;=0,FALSE),IFERROR(INT(MID(Metadata!E282,15,2))&lt;=59,FALSE)), OR(MID(Metadata!E282,17,1)="", AND(AND(MID(Metadata!E282,17,1)=":",IFERROR(INT(MID(Metadata!E282,18,1))&gt;=0,FALSE),IFERROR(INT(MID(Metadata!E282,18,1))&lt;=5,FALSE),NOT(MID(Metadata!E282,19,1)=""),IFERROR(INT(MID(Metadata!E282,18,2))&gt;=0,FALSE),IFERROR(INT(MID(Metadata!E282,18,2))&lt;=59,FALSE)), LEN(Metadata!E282)&lt;=19)))))))))))))</f>
        <v>0</v>
      </c>
      <c r="AS282" t="b">
        <f>IF(Metadata!F282="",FALSE,TRUE)</f>
        <v>0</v>
      </c>
      <c r="AT282" t="b">
        <f>OR(AND(IF(Metadata!G282="",FALSE,TRUE),OR(EXACT(Metadata!G282,"not collected"),EXACT(Metadata!G282,"not provided"))),AND(IF(Metadata!G282="",FALSE,TRUE),OR(EXACT(Metadata!G282,"TRUE"),EXACT(Metadata!G282,"FALSE"))))</f>
        <v>0</v>
      </c>
      <c r="AU282" t="b">
        <f>OR(AND(IF(Metadata!H282="",FALSE,TRUE),OR(EXACT(Metadata!H282,"not collected"),EXACT(Metadata!H282,"not provided"),EXACT(Metadata!H282,"restricted access"))),AND(IF(Metadata!H282="",FALSE,ISNUMBER(VALUE(Metadata!H282))),Metadata!H282&gt;=-413))</f>
        <v>0</v>
      </c>
      <c r="AV282" t="b">
        <f>AND(IF(Metadata!I282="",FALSE,TRUE),EXACT(Metadata!I282,"meters"))</f>
        <v>0</v>
      </c>
      <c r="AW282" t="b">
        <f>AND(IF(Metadata!J282="",FALSE,TRUE),EXACT(Metadata!J282,"free-living"))</f>
        <v>0</v>
      </c>
      <c r="AX282" t="b">
        <f>AND(IF(Metadata!K282="",FALSE,TRUE),OR(EXACT(Metadata!K282,"saline"),EXACT(Metadata!K282,"non-saline")))</f>
        <v>0</v>
      </c>
      <c r="AY282" t="b">
        <f>AND(IF(Metadata!L282="",FALSE,TRUE),OR(EXACT(Metadata!L282,"sub-surface (non-saline)"),EXACT(Metadata!L282,"surface (non-saline)"),EXACT(Metadata!L282,"water (non-saline)"),EXACT(Metadata!L282,"soil (non-saline)"),EXACT(Metadata!L282,"aerosol (non-saline)"),EXACT(Metadata!L282,"sediment (non-saline)"),EXACT(Metadata!L282,"surface (saline)"),EXACT(Metadata!L282,"water (saline)"),EXACT(Metadata!L282,"hypersaline (saline)"),EXACT(Metadata!L282,"aerosol (saline)"),EXACT(Metadata!L282,"sediment (saline)")))</f>
        <v>0</v>
      </c>
      <c r="AZ282" t="b">
        <f>IF(Metadata!M282="",FALSE,TRUE)</f>
        <v>0</v>
      </c>
      <c r="BA282" t="b">
        <f>IF(Metadata!N282="",FALSE,TRUE)</f>
        <v>0</v>
      </c>
      <c r="BB282" t="b">
        <f>IF(Metadata!O282="",FALSE,TRUE)</f>
        <v>0</v>
      </c>
      <c r="BC282" t="b">
        <f>AND(IF(Metadata!P282="",FALSE,TRUE),OR(EXACT(Metadata!P282,"air"),EXACT(Metadata!P282,"microbial mat/biofilm"),EXACT(Metadata!P282,"misc environment"),EXACT(Metadata!P282,"sediment"),EXACT(Metadata!P282,"soil"),EXACT(Metadata!P282,"wastewater/sludge"),EXACT(Metadata!P282,"water")))</f>
        <v>0</v>
      </c>
      <c r="BD282" t="b">
        <f>IF(Metadata!Q282="",FALSE,TRUE)</f>
        <v>0</v>
      </c>
      <c r="BE282" t="b">
        <f>IF(Metadata!R282="",FALSE,TRUE)</f>
        <v>0</v>
      </c>
      <c r="BF282" t="b">
        <f>OR(AND(IF(Metadata!S282="",FALSE,TRUE),OR(EXACT(Metadata!S282,"not collected"),EXACT(Metadata!S282,"not provided"),EXACT(Metadata!S282,"restricted access"))),AND(IF(Metadata!S282="",FALSE,ISNUMBER(VALUE(Metadata!S282))),Metadata!S282&gt;=-90,Metadata!S282&lt;=90))</f>
        <v>0</v>
      </c>
      <c r="BG282" t="b">
        <f>AND(IF(Metadata!T282="",FALSE,TRUE),EXACT(Metadata!T282,"Decimal degrees"))</f>
        <v>0</v>
      </c>
      <c r="BH282" t="b">
        <f>OR(AND(IF(Metadata!U282="",FALSE,TRUE),OR(EXACT(Metadata!U282,"not applicable"),EXACT(Metadata!U282,"not collected"))),IF(Metadata!U282="",FALSE,TRUE))</f>
        <v>0</v>
      </c>
      <c r="BI282" t="b">
        <f>OR(AND(IF(Metadata!V282="",FALSE,TRUE),OR(EXACT(Metadata!V282,"not collected"),EXACT(Metadata!V282,"not provided"),EXACT(Metadata!V282,"restricted access"))),AND(IF(Metadata!V282="",FALSE,ISNUMBER(VALUE(Metadata!V282))),Metadata!V282&gt;=-180,Metadata!V282&lt;=180))</f>
        <v>0</v>
      </c>
      <c r="BJ282" t="b">
        <f>AND(IF(Metadata!W282="",FALSE,TRUE),EXACT(Metadata!W282,"Decimal degrees"))</f>
        <v>0</v>
      </c>
      <c r="BK282" t="b">
        <f>IF(Metadata!X282="",FALSE,TRUE)</f>
        <v>0</v>
      </c>
      <c r="BL282" t="b">
        <f>OR(AND(IF(Metadata!Y282="",FALSE,TRUE),OR(EXACT(Metadata!Y282,"not collected"),EXACT(Metadata!Y282,"not provided"),EXACT(Metadata!Y282,"restricted access"))),AND(IF(Metadata!Y282="",FALSE,TRUE),OR(EXACT(Metadata!Y282,"TRUE"),EXACT(Metadata!Y282,"FALSE"))))</f>
        <v>0</v>
      </c>
      <c r="BM282" t="b">
        <f>OR(AND(IF(Metadata!Z282="",FALSE,TRUE),EXACT(Metadata!Z282,"not applicable")),AND(IF(Metadata!Z282="",FALSE,TRUE),OR(EXACT(Metadata!Z282,"beer"),EXACT(Metadata!Z282,"cheese"),EXACT(Metadata!Z282,"fresh water"),EXACT(Metadata!Z282,"marine sediment"),EXACT(Metadata!Z282,"sea water"),EXACT(Metadata!Z282,"sediment"),EXACT(Metadata!Z282,"soil"),EXACT(Metadata!Z282,"waste water"))))</f>
        <v>0</v>
      </c>
      <c r="BN282" t="b">
        <f>AND(IF(Metadata!AA282="",FALSE,TRUE),EXACT(Metadata!AA282,"metagenome"))</f>
        <v>0</v>
      </c>
      <c r="BO282" t="b">
        <f>AND(IF(Metadata!AB282="",FALSE,TRUE),EXACT(Metadata!AB282,"256318"))</f>
        <v>0</v>
      </c>
      <c r="BP282" t="b">
        <f>IF(Metadata!AC282="",FALSE,TRUE)</f>
        <v>0</v>
      </c>
      <c r="BQ282" t="b">
        <f>IF(Metadata!AD282="",FALSE,TRUE)</f>
        <v>0</v>
      </c>
    </row>
    <row r="283" spans="1:69" x14ac:dyDescent="0.2">
      <c r="A283" s="4" t="e">
        <f ca="1">IF(B283=" "," ",HYPERLINK(CONCATENATE("#metadata!",ADDRESS(INDEX($AJ$2:$AJ$1001,MATCH(ROWS($AH$2:AH283),$AH$2:$AH$1001,0),0),2)),INDEX($AM$2:$AM$1001,MATCH(ROWS($AH$2:AH283),$AH$2:$AH$1001,0),0)))</f>
        <v>#N/A</v>
      </c>
      <c r="B283" s="5" t="e">
        <f ca="1">IF(OR(INDEX($AI$2:$AI$1001,MATCH(ROWS($AH$2:AH283),$AH$2:$AH$1001,0),1)&gt;=100000,INDEX($AO$1005:$BQ$1005,1,MATCH(COLUMNS($AO$1006:AO1006),$AO$1006:$BQ$1006,0))&gt;=100000), " ",IF(INDEX($AO$2:$BQ$1001,MATCH(ROWS($AH$2:AH283),$AH$2:$AH$1001,0),MATCH(COLUMNS($AO$1006:AO1006),$AO$1006:$BQ$1006,0)), HYPERLINK("#",""), HYPERLINK(CONCATENATE("#Metadata!", ADDRESS(INDEX($AJ$2:$AJ$1001,MATCH(ROWS($AH$2:AH283),$AH$2:$AH$1001,0),0), INDEX($AO$1004:$BQ$1004,1,MATCH(COLUMNS($AO$1006:AO1006),$AO$1006:$BQ$1006,0)))),"Fix")))</f>
        <v>#N/A</v>
      </c>
      <c r="C283" s="5" t="e">
        <f ca="1">IF(OR(INDEX($AI$2:$AI$1001,MATCH(ROWS($AH$2:AH283),$AH$2:$AH$1001,0),1)&gt;=100000,INDEX($AO$1005:$BQ$1005,1,MATCH(COLUMNS($AO$1006:AP1006),$AO$1006:$BQ$1006,0))&gt;=100000), " ",IF(INDEX($AO$2:$BQ$1001,MATCH(ROWS($AH$2:AH283),$AH$2:$AH$1001,0),MATCH(COLUMNS($AO$1006:AP1006),$AO$1006:$BQ$1006,0)), HYPERLINK("#",""), HYPERLINK(CONCATENATE("#Metadata!", ADDRESS(INDEX($AJ$2:$AJ$1001,MATCH(ROWS($AH$2:AH283),$AH$2:$AH$1001,0),0), INDEX($AO$1004:$BQ$1004,1,MATCH(COLUMNS($AO$1006:AP1006),$AO$1006:$BQ$1006,0)))),"Fix")))</f>
        <v>#N/A</v>
      </c>
      <c r="D283" s="5" t="e">
        <f ca="1">IF(OR(INDEX($AI$2:$AI$1001,MATCH(ROWS($AH$2:AH283),$AH$2:$AH$1001,0),1)&gt;=100000,INDEX($AO$1005:$BQ$1005,1,MATCH(COLUMNS($AO$1006:AQ1006),$AO$1006:$BQ$1006,0))&gt;=100000), " ",IF(INDEX($AO$2:$BQ$1001,MATCH(ROWS($AH$2:AH283),$AH$2:$AH$1001,0),MATCH(COLUMNS($AO$1006:AQ1006),$AO$1006:$BQ$1006,0)), HYPERLINK("#",""), HYPERLINK(CONCATENATE("#Metadata!", ADDRESS(INDEX($AJ$2:$AJ$1001,MATCH(ROWS($AH$2:AH283),$AH$2:$AH$1001,0),0), INDEX($AO$1004:$BQ$1004,1,MATCH(COLUMNS($AO$1006:AQ1006),$AO$1006:$BQ$1006,0)))),"Fix")))</f>
        <v>#N/A</v>
      </c>
      <c r="E283" s="5" t="e">
        <f ca="1">IF(OR(INDEX($AI$2:$AI$1001,MATCH(ROWS($AH$2:AH283),$AH$2:$AH$1001,0),1)&gt;=100000,INDEX($AO$1005:$BQ$1005,1,MATCH(COLUMNS($AO$1006:AR1006),$AO$1006:$BQ$1006,0))&gt;=100000), " ",IF(INDEX($AO$2:$BQ$1001,MATCH(ROWS($AH$2:AH283),$AH$2:$AH$1001,0),MATCH(COLUMNS($AO$1006:AR1006),$AO$1006:$BQ$1006,0)), HYPERLINK("#",""), HYPERLINK(CONCATENATE("#Metadata!", ADDRESS(INDEX($AJ$2:$AJ$1001,MATCH(ROWS($AH$2:AH283),$AH$2:$AH$1001,0),0), INDEX($AO$1004:$BQ$1004,1,MATCH(COLUMNS($AO$1006:AR1006),$AO$1006:$BQ$1006,0)))),"Fix")))</f>
        <v>#N/A</v>
      </c>
      <c r="F283" s="5" t="e">
        <f ca="1">IF(OR(INDEX($AI$2:$AI$1001,MATCH(ROWS($AH$2:AH283),$AH$2:$AH$1001,0),1)&gt;=100000,INDEX($AO$1005:$BQ$1005,1,MATCH(COLUMNS($AO$1006:AS1006),$AO$1006:$BQ$1006,0))&gt;=100000), " ",IF(INDEX($AO$2:$BQ$1001,MATCH(ROWS($AH$2:AH283),$AH$2:$AH$1001,0),MATCH(COLUMNS($AO$1006:AS1006),$AO$1006:$BQ$1006,0)), HYPERLINK("#",""), HYPERLINK(CONCATENATE("#Metadata!", ADDRESS(INDEX($AJ$2:$AJ$1001,MATCH(ROWS($AH$2:AH283),$AH$2:$AH$1001,0),0), INDEX($AO$1004:$BQ$1004,1,MATCH(COLUMNS($AO$1006:AS1006),$AO$1006:$BQ$1006,0)))),"Fix")))</f>
        <v>#N/A</v>
      </c>
      <c r="G283" s="5" t="e">
        <f ca="1">IF(OR(INDEX($AI$2:$AI$1001,MATCH(ROWS($AH$2:AH283),$AH$2:$AH$1001,0),1)&gt;=100000,INDEX($AO$1005:$BQ$1005,1,MATCH(COLUMNS($AO$1006:AT1006),$AO$1006:$BQ$1006,0))&gt;=100000), " ",IF(INDEX($AO$2:$BQ$1001,MATCH(ROWS($AH$2:AH283),$AH$2:$AH$1001,0),MATCH(COLUMNS($AO$1006:AT1006),$AO$1006:$BQ$1006,0)), HYPERLINK("#",""), HYPERLINK(CONCATENATE("#Metadata!", ADDRESS(INDEX($AJ$2:$AJ$1001,MATCH(ROWS($AH$2:AH283),$AH$2:$AH$1001,0),0), INDEX($AO$1004:$BQ$1004,1,MATCH(COLUMNS($AO$1006:AT1006),$AO$1006:$BQ$1006,0)))),"Fix")))</f>
        <v>#N/A</v>
      </c>
      <c r="H283" s="5" t="e">
        <f ca="1">IF(OR(INDEX($AI$2:$AI$1001,MATCH(ROWS($AH$2:AH283),$AH$2:$AH$1001,0),1)&gt;=100000,INDEX($AO$1005:$BQ$1005,1,MATCH(COLUMNS($AO$1006:AU1006),$AO$1006:$BQ$1006,0))&gt;=100000), " ",IF(INDEX($AO$2:$BQ$1001,MATCH(ROWS($AH$2:AH283),$AH$2:$AH$1001,0),MATCH(COLUMNS($AO$1006:AU1006),$AO$1006:$BQ$1006,0)), HYPERLINK("#",""), HYPERLINK(CONCATENATE("#Metadata!", ADDRESS(INDEX($AJ$2:$AJ$1001,MATCH(ROWS($AH$2:AH283),$AH$2:$AH$1001,0),0), INDEX($AO$1004:$BQ$1004,1,MATCH(COLUMNS($AO$1006:AU1006),$AO$1006:$BQ$1006,0)))),"Fix")))</f>
        <v>#N/A</v>
      </c>
      <c r="I283" s="5" t="e">
        <f ca="1">IF(OR(INDEX($AI$2:$AI$1001,MATCH(ROWS($AH$2:AH283),$AH$2:$AH$1001,0),1)&gt;=100000,INDEX($AO$1005:$BQ$1005,1,MATCH(COLUMNS($AO$1006:AV1006),$AO$1006:$BQ$1006,0))&gt;=100000), " ",IF(INDEX($AO$2:$BQ$1001,MATCH(ROWS($AH$2:AH283),$AH$2:$AH$1001,0),MATCH(COLUMNS($AO$1006:AV1006),$AO$1006:$BQ$1006,0)), HYPERLINK("#",""), HYPERLINK(CONCATENATE("#Metadata!", ADDRESS(INDEX($AJ$2:$AJ$1001,MATCH(ROWS($AH$2:AH283),$AH$2:$AH$1001,0),0), INDEX($AO$1004:$BQ$1004,1,MATCH(COLUMNS($AO$1006:AV1006),$AO$1006:$BQ$1006,0)))),"Fix")))</f>
        <v>#N/A</v>
      </c>
      <c r="J283" s="5" t="e">
        <f ca="1">IF(OR(INDEX($AI$2:$AI$1001,MATCH(ROWS($AH$2:AH283),$AH$2:$AH$1001,0),1)&gt;=100000,INDEX($AO$1005:$BQ$1005,1,MATCH(COLUMNS($AO$1006:AW1006),$AO$1006:$BQ$1006,0))&gt;=100000), " ",IF(INDEX($AO$2:$BQ$1001,MATCH(ROWS($AH$2:AH283),$AH$2:$AH$1001,0),MATCH(COLUMNS($AO$1006:AW1006),$AO$1006:$BQ$1006,0)), HYPERLINK("#",""), HYPERLINK(CONCATENATE("#Metadata!", ADDRESS(INDEX($AJ$2:$AJ$1001,MATCH(ROWS($AH$2:AH283),$AH$2:$AH$1001,0),0), INDEX($AO$1004:$BQ$1004,1,MATCH(COLUMNS($AO$1006:AW1006),$AO$1006:$BQ$1006,0)))),"Fix")))</f>
        <v>#N/A</v>
      </c>
      <c r="K283" s="5" t="e">
        <f ca="1">IF(OR(INDEX($AI$2:$AI$1001,MATCH(ROWS($AH$2:AH283),$AH$2:$AH$1001,0),1)&gt;=100000,INDEX($AO$1005:$BQ$1005,1,MATCH(COLUMNS($AO$1006:AX1006),$AO$1006:$BQ$1006,0))&gt;=100000), " ",IF(INDEX($AO$2:$BQ$1001,MATCH(ROWS($AH$2:AH283),$AH$2:$AH$1001,0),MATCH(COLUMNS($AO$1006:AX1006),$AO$1006:$BQ$1006,0)), HYPERLINK("#",""), HYPERLINK(CONCATENATE("#Metadata!", ADDRESS(INDEX($AJ$2:$AJ$1001,MATCH(ROWS($AH$2:AH283),$AH$2:$AH$1001,0),0), INDEX($AO$1004:$BQ$1004,1,MATCH(COLUMNS($AO$1006:AX1006),$AO$1006:$BQ$1006,0)))),"Fix")))</f>
        <v>#N/A</v>
      </c>
      <c r="L283" s="5" t="e">
        <f ca="1">IF(OR(INDEX($AI$2:$AI$1001,MATCH(ROWS($AH$2:AH283),$AH$2:$AH$1001,0),1)&gt;=100000,INDEX($AO$1005:$BQ$1005,1,MATCH(COLUMNS($AO$1006:AY1006),$AO$1006:$BQ$1006,0))&gt;=100000), " ",IF(INDEX($AO$2:$BQ$1001,MATCH(ROWS($AH$2:AH283),$AH$2:$AH$1001,0),MATCH(COLUMNS($AO$1006:AY1006),$AO$1006:$BQ$1006,0)), HYPERLINK("#",""), HYPERLINK(CONCATENATE("#Metadata!", ADDRESS(INDEX($AJ$2:$AJ$1001,MATCH(ROWS($AH$2:AH283),$AH$2:$AH$1001,0),0), INDEX($AO$1004:$BQ$1004,1,MATCH(COLUMNS($AO$1006:AY1006),$AO$1006:$BQ$1006,0)))),"Fix")))</f>
        <v>#N/A</v>
      </c>
      <c r="M283" s="5" t="e">
        <f ca="1">IF(OR(INDEX($AI$2:$AI$1001,MATCH(ROWS($AH$2:AH283),$AH$2:$AH$1001,0),1)&gt;=100000,INDEX($AO$1005:$BQ$1005,1,MATCH(COLUMNS($AO$1006:AZ1006),$AO$1006:$BQ$1006,0))&gt;=100000), " ",IF(INDEX($AO$2:$BQ$1001,MATCH(ROWS($AH$2:AH283),$AH$2:$AH$1001,0),MATCH(COLUMNS($AO$1006:AZ1006),$AO$1006:$BQ$1006,0)), HYPERLINK("#",""), HYPERLINK(CONCATENATE("#Metadata!", ADDRESS(INDEX($AJ$2:$AJ$1001,MATCH(ROWS($AH$2:AH283),$AH$2:$AH$1001,0),0), INDEX($AO$1004:$BQ$1004,1,MATCH(COLUMNS($AO$1006:AZ1006),$AO$1006:$BQ$1006,0)))),"Fix")))</f>
        <v>#N/A</v>
      </c>
      <c r="N283" s="5" t="e">
        <f ca="1">IF(OR(INDEX($AI$2:$AI$1001,MATCH(ROWS($AH$2:AH283),$AH$2:$AH$1001,0),1)&gt;=100000,INDEX($AO$1005:$BQ$1005,1,MATCH(COLUMNS($AO$1006:BA1006),$AO$1006:$BQ$1006,0))&gt;=100000), " ",IF(INDEX($AO$2:$BQ$1001,MATCH(ROWS($AH$2:AH283),$AH$2:$AH$1001,0),MATCH(COLUMNS($AO$1006:BA1006),$AO$1006:$BQ$1006,0)), HYPERLINK("#",""), HYPERLINK(CONCATENATE("#Metadata!", ADDRESS(INDEX($AJ$2:$AJ$1001,MATCH(ROWS($AH$2:AH283),$AH$2:$AH$1001,0),0), INDEX($AO$1004:$BQ$1004,1,MATCH(COLUMNS($AO$1006:BA1006),$AO$1006:$BQ$1006,0)))),"Fix")))</f>
        <v>#N/A</v>
      </c>
      <c r="O283" s="5" t="e">
        <f ca="1">IF(OR(INDEX($AI$2:$AI$1001,MATCH(ROWS($AH$2:AH283),$AH$2:$AH$1001,0),1)&gt;=100000,INDEX($AO$1005:$BQ$1005,1,MATCH(COLUMNS($AO$1006:BB1006),$AO$1006:$BQ$1006,0))&gt;=100000), " ",IF(INDEX($AO$2:$BQ$1001,MATCH(ROWS($AH$2:AH283),$AH$2:$AH$1001,0),MATCH(COLUMNS($AO$1006:BB1006),$AO$1006:$BQ$1006,0)), HYPERLINK("#",""), HYPERLINK(CONCATENATE("#Metadata!", ADDRESS(INDEX($AJ$2:$AJ$1001,MATCH(ROWS($AH$2:AH283),$AH$2:$AH$1001,0),0), INDEX($AO$1004:$BQ$1004,1,MATCH(COLUMNS($AO$1006:BB1006),$AO$1006:$BQ$1006,0)))),"Fix")))</f>
        <v>#N/A</v>
      </c>
      <c r="P283" s="5" t="e">
        <f ca="1">IF(OR(INDEX($AI$2:$AI$1001,MATCH(ROWS($AH$2:AH283),$AH$2:$AH$1001,0),1)&gt;=100000,INDEX($AO$1005:$BQ$1005,1,MATCH(COLUMNS($AO$1006:BC1006),$AO$1006:$BQ$1006,0))&gt;=100000), " ",IF(INDEX($AO$2:$BQ$1001,MATCH(ROWS($AH$2:AH283),$AH$2:$AH$1001,0),MATCH(COLUMNS($AO$1006:BC1006),$AO$1006:$BQ$1006,0)), HYPERLINK("#",""), HYPERLINK(CONCATENATE("#Metadata!", ADDRESS(INDEX($AJ$2:$AJ$1001,MATCH(ROWS($AH$2:AH283),$AH$2:$AH$1001,0),0), INDEX($AO$1004:$BQ$1004,1,MATCH(COLUMNS($AO$1006:BC1006),$AO$1006:$BQ$1006,0)))),"Fix")))</f>
        <v>#N/A</v>
      </c>
      <c r="Q283" s="5" t="e">
        <f ca="1">IF(OR(INDEX($AI$2:$AI$1001,MATCH(ROWS($AH$2:AH283),$AH$2:$AH$1001,0),1)&gt;=100000,INDEX($AO$1005:$BQ$1005,1,MATCH(COLUMNS($AO$1006:BD1006),$AO$1006:$BQ$1006,0))&gt;=100000), " ",IF(INDEX($AO$2:$BQ$1001,MATCH(ROWS($AH$2:AH283),$AH$2:$AH$1001,0),MATCH(COLUMNS($AO$1006:BD1006),$AO$1006:$BQ$1006,0)), HYPERLINK("#",""), HYPERLINK(CONCATENATE("#Metadata!", ADDRESS(INDEX($AJ$2:$AJ$1001,MATCH(ROWS($AH$2:AH283),$AH$2:$AH$1001,0),0), INDEX($AO$1004:$BQ$1004,1,MATCH(COLUMNS($AO$1006:BD1006),$AO$1006:$BQ$1006,0)))),"Fix")))</f>
        <v>#N/A</v>
      </c>
      <c r="R283" s="5" t="e">
        <f ca="1">IF(OR(INDEX($AI$2:$AI$1001,MATCH(ROWS($AH$2:AH283),$AH$2:$AH$1001,0),1)&gt;=100000,INDEX($AO$1005:$BQ$1005,1,MATCH(COLUMNS($AO$1006:BE1006),$AO$1006:$BQ$1006,0))&gt;=100000), " ",IF(INDEX($AO$2:$BQ$1001,MATCH(ROWS($AH$2:AH283),$AH$2:$AH$1001,0),MATCH(COLUMNS($AO$1006:BE1006),$AO$1006:$BQ$1006,0)), HYPERLINK("#",""), HYPERLINK(CONCATENATE("#Metadata!", ADDRESS(INDEX($AJ$2:$AJ$1001,MATCH(ROWS($AH$2:AH283),$AH$2:$AH$1001,0),0), INDEX($AO$1004:$BQ$1004,1,MATCH(COLUMNS($AO$1006:BE1006),$AO$1006:$BQ$1006,0)))),"Fix")))</f>
        <v>#N/A</v>
      </c>
      <c r="S283" s="5" t="e">
        <f ca="1">IF(OR(INDEX($AI$2:$AI$1001,MATCH(ROWS($AH$2:AH283),$AH$2:$AH$1001,0),1)&gt;=100000,INDEX($AO$1005:$BQ$1005,1,MATCH(COLUMNS($AO$1006:BF1006),$AO$1006:$BQ$1006,0))&gt;=100000), " ",IF(INDEX($AO$2:$BQ$1001,MATCH(ROWS($AH$2:AH283),$AH$2:$AH$1001,0),MATCH(COLUMNS($AO$1006:BF1006),$AO$1006:$BQ$1006,0)), HYPERLINK("#",""), HYPERLINK(CONCATENATE("#Metadata!", ADDRESS(INDEX($AJ$2:$AJ$1001,MATCH(ROWS($AH$2:AH283),$AH$2:$AH$1001,0),0), INDEX($AO$1004:$BQ$1004,1,MATCH(COLUMNS($AO$1006:BF1006),$AO$1006:$BQ$1006,0)))),"Fix")))</f>
        <v>#N/A</v>
      </c>
      <c r="T283" s="5" t="e">
        <f ca="1">IF(OR(INDEX($AI$2:$AI$1001,MATCH(ROWS($AH$2:AH283),$AH$2:$AH$1001,0),1)&gt;=100000,INDEX($AO$1005:$BQ$1005,1,MATCH(COLUMNS($AO$1006:BG1006),$AO$1006:$BQ$1006,0))&gt;=100000), " ",IF(INDEX($AO$2:$BQ$1001,MATCH(ROWS($AH$2:AH283),$AH$2:$AH$1001,0),MATCH(COLUMNS($AO$1006:BG1006),$AO$1006:$BQ$1006,0)), HYPERLINK("#",""), HYPERLINK(CONCATENATE("#Metadata!", ADDRESS(INDEX($AJ$2:$AJ$1001,MATCH(ROWS($AH$2:AH283),$AH$2:$AH$1001,0),0), INDEX($AO$1004:$BQ$1004,1,MATCH(COLUMNS($AO$1006:BG1006),$AO$1006:$BQ$1006,0)))),"Fix")))</f>
        <v>#N/A</v>
      </c>
      <c r="U283" s="5" t="e">
        <f ca="1">IF(OR(INDEX($AI$2:$AI$1001,MATCH(ROWS($AH$2:AH283),$AH$2:$AH$1001,0),1)&gt;=100000,INDEX($AO$1005:$BQ$1005,1,MATCH(COLUMNS($AO$1006:BH1006),$AO$1006:$BQ$1006,0))&gt;=100000), " ",IF(INDEX($AO$2:$BQ$1001,MATCH(ROWS($AH$2:AH283),$AH$2:$AH$1001,0),MATCH(COLUMNS($AO$1006:BH1006),$AO$1006:$BQ$1006,0)), HYPERLINK("#",""), HYPERLINK(CONCATENATE("#Metadata!", ADDRESS(INDEX($AJ$2:$AJ$1001,MATCH(ROWS($AH$2:AH283),$AH$2:$AH$1001,0),0), INDEX($AO$1004:$BQ$1004,1,MATCH(COLUMNS($AO$1006:BH1006),$AO$1006:$BQ$1006,0)))),"Fix")))</f>
        <v>#N/A</v>
      </c>
      <c r="V283" s="5" t="e">
        <f ca="1">IF(OR(INDEX($AI$2:$AI$1001,MATCH(ROWS($AH$2:AH283),$AH$2:$AH$1001,0),1)&gt;=100000,INDEX($AO$1005:$BQ$1005,1,MATCH(COLUMNS($AO$1006:BI1006),$AO$1006:$BQ$1006,0))&gt;=100000), " ",IF(INDEX($AO$2:$BQ$1001,MATCH(ROWS($AH$2:AH283),$AH$2:$AH$1001,0),MATCH(COLUMNS($AO$1006:BI1006),$AO$1006:$BQ$1006,0)), HYPERLINK("#",""), HYPERLINK(CONCATENATE("#Metadata!", ADDRESS(INDEX($AJ$2:$AJ$1001,MATCH(ROWS($AH$2:AH283),$AH$2:$AH$1001,0),0), INDEX($AO$1004:$BQ$1004,1,MATCH(COLUMNS($AO$1006:BI1006),$AO$1006:$BQ$1006,0)))),"Fix")))</f>
        <v>#N/A</v>
      </c>
      <c r="W283" s="5" t="e">
        <f ca="1">IF(OR(INDEX($AI$2:$AI$1001,MATCH(ROWS($AH$2:AH283),$AH$2:$AH$1001,0),1)&gt;=100000,INDEX($AO$1005:$BQ$1005,1,MATCH(COLUMNS($AO$1006:BJ1006),$AO$1006:$BQ$1006,0))&gt;=100000), " ",IF(INDEX($AO$2:$BQ$1001,MATCH(ROWS($AH$2:AH283),$AH$2:$AH$1001,0),MATCH(COLUMNS($AO$1006:BJ1006),$AO$1006:$BQ$1006,0)), HYPERLINK("#",""), HYPERLINK(CONCATENATE("#Metadata!", ADDRESS(INDEX($AJ$2:$AJ$1001,MATCH(ROWS($AH$2:AH283),$AH$2:$AH$1001,0),0), INDEX($AO$1004:$BQ$1004,1,MATCH(COLUMNS($AO$1006:BJ1006),$AO$1006:$BQ$1006,0)))),"Fix")))</f>
        <v>#N/A</v>
      </c>
      <c r="X283" s="5" t="e">
        <f ca="1">IF(OR(INDEX($AI$2:$AI$1001,MATCH(ROWS($AH$2:AH283),$AH$2:$AH$1001,0),1)&gt;=100000,INDEX($AO$1005:$BQ$1005,1,MATCH(COLUMNS($AO$1006:BK1006),$AO$1006:$BQ$1006,0))&gt;=100000), " ",IF(INDEX($AO$2:$BQ$1001,MATCH(ROWS($AH$2:AH283),$AH$2:$AH$1001,0),MATCH(COLUMNS($AO$1006:BK1006),$AO$1006:$BQ$1006,0)), HYPERLINK("#",""), HYPERLINK(CONCATENATE("#Metadata!", ADDRESS(INDEX($AJ$2:$AJ$1001,MATCH(ROWS($AH$2:AH283),$AH$2:$AH$1001,0),0), INDEX($AO$1004:$BQ$1004,1,MATCH(COLUMNS($AO$1006:BK1006),$AO$1006:$BQ$1006,0)))),"Fix")))</f>
        <v>#N/A</v>
      </c>
      <c r="Y283" s="5" t="e">
        <f ca="1">IF(OR(INDEX($AI$2:$AI$1001,MATCH(ROWS($AH$2:AH283),$AH$2:$AH$1001,0),1)&gt;=100000,INDEX($AO$1005:$BQ$1005,1,MATCH(COLUMNS($AO$1006:BL1006),$AO$1006:$BQ$1006,0))&gt;=100000), " ",IF(INDEX($AO$2:$BQ$1001,MATCH(ROWS($AH$2:AH283),$AH$2:$AH$1001,0),MATCH(COLUMNS($AO$1006:BL1006),$AO$1006:$BQ$1006,0)), HYPERLINK("#",""), HYPERLINK(CONCATENATE("#Metadata!", ADDRESS(INDEX($AJ$2:$AJ$1001,MATCH(ROWS($AH$2:AH283),$AH$2:$AH$1001,0),0), INDEX($AO$1004:$BQ$1004,1,MATCH(COLUMNS($AO$1006:BL1006),$AO$1006:$BQ$1006,0)))),"Fix")))</f>
        <v>#N/A</v>
      </c>
      <c r="Z283" s="5" t="e">
        <f ca="1">IF(OR(INDEX($AI$2:$AI$1001,MATCH(ROWS($AH$2:AH283),$AH$2:$AH$1001,0),1)&gt;=100000,INDEX($AO$1005:$BQ$1005,1,MATCH(COLUMNS($AO$1006:BM1006),$AO$1006:$BQ$1006,0))&gt;=100000), " ",IF(INDEX($AO$2:$BQ$1001,MATCH(ROWS($AH$2:AH283),$AH$2:$AH$1001,0),MATCH(COLUMNS($AO$1006:BM1006),$AO$1006:$BQ$1006,0)), HYPERLINK("#",""), HYPERLINK(CONCATENATE("#Metadata!", ADDRESS(INDEX($AJ$2:$AJ$1001,MATCH(ROWS($AH$2:AH283),$AH$2:$AH$1001,0),0), INDEX($AO$1004:$BQ$1004,1,MATCH(COLUMNS($AO$1006:BM1006),$AO$1006:$BQ$1006,0)))),"Fix")))</f>
        <v>#N/A</v>
      </c>
      <c r="AA283" s="5" t="e">
        <f ca="1">IF(OR(INDEX($AI$2:$AI$1001,MATCH(ROWS($AH$2:AH283),$AH$2:$AH$1001,0),1)&gt;=100000,INDEX($AO$1005:$BQ$1005,1,MATCH(COLUMNS($AO$1006:BN1006),$AO$1006:$BQ$1006,0))&gt;=100000), " ",IF(INDEX($AO$2:$BQ$1001,MATCH(ROWS($AH$2:AH283),$AH$2:$AH$1001,0),MATCH(COLUMNS($AO$1006:BN1006),$AO$1006:$BQ$1006,0)), HYPERLINK("#",""), HYPERLINK(CONCATENATE("#Metadata!", ADDRESS(INDEX($AJ$2:$AJ$1001,MATCH(ROWS($AH$2:AH283),$AH$2:$AH$1001,0),0), INDEX($AO$1004:$BQ$1004,1,MATCH(COLUMNS($AO$1006:BN1006),$AO$1006:$BQ$1006,0)))),"Fix")))</f>
        <v>#N/A</v>
      </c>
      <c r="AB283" s="5" t="e">
        <f ca="1">IF(OR(INDEX($AI$2:$AI$1001,MATCH(ROWS($AH$2:AH283),$AH$2:$AH$1001,0),1)&gt;=100000,INDEX($AO$1005:$BQ$1005,1,MATCH(COLUMNS($AO$1006:BO1006),$AO$1006:$BQ$1006,0))&gt;=100000), " ",IF(INDEX($AO$2:$BQ$1001,MATCH(ROWS($AH$2:AH283),$AH$2:$AH$1001,0),MATCH(COLUMNS($AO$1006:BO1006),$AO$1006:$BQ$1006,0)), HYPERLINK("#",""), HYPERLINK(CONCATENATE("#Metadata!", ADDRESS(INDEX($AJ$2:$AJ$1001,MATCH(ROWS($AH$2:AH283),$AH$2:$AH$1001,0),0), INDEX($AO$1004:$BQ$1004,1,MATCH(COLUMNS($AO$1006:BO1006),$AO$1006:$BQ$1006,0)))),"Fix")))</f>
        <v>#N/A</v>
      </c>
      <c r="AC283" s="5" t="e">
        <f ca="1">IF(OR(INDEX($AI$2:$AI$1001,MATCH(ROWS($AH$2:AH283),$AH$2:$AH$1001,0),1)&gt;=100000,INDEX($AO$1005:$BQ$1005,1,MATCH(COLUMNS($AO$1006:BP1006),$AO$1006:$BQ$1006,0))&gt;=100000), " ",IF(INDEX($AO$2:$BQ$1001,MATCH(ROWS($AH$2:AH283),$AH$2:$AH$1001,0),MATCH(COLUMNS($AO$1006:BP1006),$AO$1006:$BQ$1006,0)), HYPERLINK("#",""), HYPERLINK(CONCATENATE("#Metadata!", ADDRESS(INDEX($AJ$2:$AJ$1001,MATCH(ROWS($AH$2:AH283),$AH$2:$AH$1001,0),0), INDEX($AO$1004:$BQ$1004,1,MATCH(COLUMNS($AO$1006:BP1006),$AO$1006:$BQ$1006,0)))),"Fix")))</f>
        <v>#N/A</v>
      </c>
      <c r="AD283" s="5" t="e">
        <f ca="1">IF(OR(INDEX($AI$2:$AI$1001,MATCH(ROWS($AH$2:AH283),$AH$2:$AH$1001,0),1)&gt;=100000,INDEX($AO$1005:$BQ$1005,1,MATCH(COLUMNS($AO$1006:BQ1006),$AO$1006:$BQ$1006,0))&gt;=100000), " ",IF(INDEX($AO$2:$BQ$1001,MATCH(ROWS($AH$2:AH283),$AH$2:$AH$1001,0),MATCH(COLUMNS($AO$1006:BQ1006),$AO$1006:$BQ$1006,0)), HYPERLINK("#",""), HYPERLINK(CONCATENATE("#Metadata!", ADDRESS(INDEX($AJ$2:$AJ$1001,MATCH(ROWS($AH$2:AH283),$AH$2:$AH$1001,0),0), INDEX($AO$1004:$BQ$1004,1,MATCH(COLUMNS($AO$1006:BQ1006),$AO$1006:$BQ$1006,0)))),"Fix")))</f>
        <v>#REF!</v>
      </c>
      <c r="AH283">
        <f ca="1"/>
        <v>280</v>
      </c>
      <c r="AI283">
        <v>100283</v>
      </c>
      <c r="AJ283">
        <v>283</v>
      </c>
      <c r="AK283" t="b">
        <f t="shared" si="4"/>
        <v>1</v>
      </c>
      <c r="AL283" t="b">
        <f>COUNTBLANK(Metadata!B283:AD283)=COLUMNS(Metadata!B283:AD283)</f>
        <v>1</v>
      </c>
      <c r="AM283" t="str">
        <v/>
      </c>
      <c r="AO283" t="b">
        <f ca="1">AND(IF(Metadata!B283="",FALSE,TRUE),COUNTIF(Metadata!B:B, Metadata!B283) = 1,NOT(ISERROR(SUMPRODUCT(SEARCH(MID(Metadata!B283,ROW(INDIRECT("1:"&amp;LEN(Metadata!B283))), 1),"0123456789abcdefghijklmnopqrstuvwxyzABCDEFGHIJKLMNOPQRSTUVWXYZ.")))))</f>
        <v>0</v>
      </c>
      <c r="AP283" t="b">
        <f>IF(Metadata!C283="",FALSE,TRUE)</f>
        <v>0</v>
      </c>
      <c r="AQ283" t="b">
        <f>IF(Metadata!D283="",FALSE,TRUE)</f>
        <v>0</v>
      </c>
      <c r="AR283" t="b">
        <f ca="1">OR(AND(IF(Metadata!E283="",FALSE,TRUE),OR(EXACT(Metadata!E283,"not collected"),EXACT(Metadata!E283,"not provided"),EXACT(Metadata!E283,"restricted access"))),AND(IF(Metadata!E283="",FALSE,TRUE),AND(AND(IFERROR(INT(LEFT(Metadata!E283,4))&gt;1900,FALSE),IFERROR(INT(LEFT(Metadata!E283,4))&lt;=YEAR(NOW()),FALSE)), OR(MID(Metadata!E283,5,1)="", AND(AND(MID(Metadata!E283,5,1)="-",IFERROR(INT(MID(Metadata!E283,6,1))&gt;=0,FALSE),IFERROR(INT(MID(Metadata!E283,6,1))&lt;=1,FALSE),NOT(MID(Metadata!E283,7,1)=""),IFERROR(INT(MID(Metadata!E283,6,2))&gt;=1,FALSE),IFERROR(INT(MID(Metadata!E283,6,2))&lt;=12,FALSE)), OR(MID(Metadata!E283,8,1)="", AND(AND(MID(Metadata!E283,8,1)="-",IFERROR(INT(MID(Metadata!E283,9,1))&gt;=0,FALSE),IFERROR(INT(MID(Metadata!E283,9,1))&lt;=3,FALSE),NOT(MID(Metadata!E283,10,1)=""),IFERROR(INT(MID(Metadata!E283,9,2))&gt;=1,FALSE),IFERROR(INT(MID(Metadata!E283,9,2))&lt;=31,FALSE)), OR(MID(Metadata!E283,11,1)="", AND(AND(MID(Metadata!E283,11,1)=" ",IFERROR(INT(MID(Metadata!E283,12,1))&gt;=0,FALSE),IFERROR(INT(MID(Metadata!E283,12,1))&lt;=2,FALSE),NOT(MID(Metadata!E283,13,1)=""),IFERROR(INT(MID(Metadata!E283,12,2))&gt;=0,FALSE),IFERROR(INT(MID(Metadata!E283,12,2))&lt;=23,FALSE)), OR(MID(Metadata!E283,14,1)="", AND(AND(MID(Metadata!E283,14,1)=":",IFERROR(INT(MID(Metadata!E283,15,1))&gt;=0,FALSE),IFERROR(INT(MID(Metadata!E283,15,1))&lt;=5,FALSE),NOT(MID(Metadata!E283,16,1)=""),IFERROR(INT(MID(Metadata!E283,15,2))&gt;=0,FALSE),IFERROR(INT(MID(Metadata!E283,15,2))&lt;=59,FALSE)), OR(MID(Metadata!E283,17,1)="", AND(AND(MID(Metadata!E283,17,1)=":",IFERROR(INT(MID(Metadata!E283,18,1))&gt;=0,FALSE),IFERROR(INT(MID(Metadata!E283,18,1))&lt;=5,FALSE),NOT(MID(Metadata!E283,19,1)=""),IFERROR(INT(MID(Metadata!E283,18,2))&gt;=0,FALSE),IFERROR(INT(MID(Metadata!E283,18,2))&lt;=59,FALSE)), LEN(Metadata!E283)&lt;=19)))))))))))))</f>
        <v>0</v>
      </c>
      <c r="AS283" t="b">
        <f>IF(Metadata!F283="",FALSE,TRUE)</f>
        <v>0</v>
      </c>
      <c r="AT283" t="b">
        <f>OR(AND(IF(Metadata!G283="",FALSE,TRUE),OR(EXACT(Metadata!G283,"not collected"),EXACT(Metadata!G283,"not provided"))),AND(IF(Metadata!G283="",FALSE,TRUE),OR(EXACT(Metadata!G283,"TRUE"),EXACT(Metadata!G283,"FALSE"))))</f>
        <v>0</v>
      </c>
      <c r="AU283" t="b">
        <f>OR(AND(IF(Metadata!H283="",FALSE,TRUE),OR(EXACT(Metadata!H283,"not collected"),EXACT(Metadata!H283,"not provided"),EXACT(Metadata!H283,"restricted access"))),AND(IF(Metadata!H283="",FALSE,ISNUMBER(VALUE(Metadata!H283))),Metadata!H283&gt;=-413))</f>
        <v>0</v>
      </c>
      <c r="AV283" t="b">
        <f>AND(IF(Metadata!I283="",FALSE,TRUE),EXACT(Metadata!I283,"meters"))</f>
        <v>0</v>
      </c>
      <c r="AW283" t="b">
        <f>AND(IF(Metadata!J283="",FALSE,TRUE),EXACT(Metadata!J283,"free-living"))</f>
        <v>0</v>
      </c>
      <c r="AX283" t="b">
        <f>AND(IF(Metadata!K283="",FALSE,TRUE),OR(EXACT(Metadata!K283,"saline"),EXACT(Metadata!K283,"non-saline")))</f>
        <v>0</v>
      </c>
      <c r="AY283" t="b">
        <f>AND(IF(Metadata!L283="",FALSE,TRUE),OR(EXACT(Metadata!L283,"sub-surface (non-saline)"),EXACT(Metadata!L283,"surface (non-saline)"),EXACT(Metadata!L283,"water (non-saline)"),EXACT(Metadata!L283,"soil (non-saline)"),EXACT(Metadata!L283,"aerosol (non-saline)"),EXACT(Metadata!L283,"sediment (non-saline)"),EXACT(Metadata!L283,"surface (saline)"),EXACT(Metadata!L283,"water (saline)"),EXACT(Metadata!L283,"hypersaline (saline)"),EXACT(Metadata!L283,"aerosol (saline)"),EXACT(Metadata!L283,"sediment (saline)")))</f>
        <v>0</v>
      </c>
      <c r="AZ283" t="b">
        <f>IF(Metadata!M283="",FALSE,TRUE)</f>
        <v>0</v>
      </c>
      <c r="BA283" t="b">
        <f>IF(Metadata!N283="",FALSE,TRUE)</f>
        <v>0</v>
      </c>
      <c r="BB283" t="b">
        <f>IF(Metadata!O283="",FALSE,TRUE)</f>
        <v>0</v>
      </c>
      <c r="BC283" t="b">
        <f>AND(IF(Metadata!P283="",FALSE,TRUE),OR(EXACT(Metadata!P283,"air"),EXACT(Metadata!P283,"microbial mat/biofilm"),EXACT(Metadata!P283,"misc environment"),EXACT(Metadata!P283,"sediment"),EXACT(Metadata!P283,"soil"),EXACT(Metadata!P283,"wastewater/sludge"),EXACT(Metadata!P283,"water")))</f>
        <v>0</v>
      </c>
      <c r="BD283" t="b">
        <f>IF(Metadata!Q283="",FALSE,TRUE)</f>
        <v>0</v>
      </c>
      <c r="BE283" t="b">
        <f>IF(Metadata!R283="",FALSE,TRUE)</f>
        <v>0</v>
      </c>
      <c r="BF283" t="b">
        <f>OR(AND(IF(Metadata!S283="",FALSE,TRUE),OR(EXACT(Metadata!S283,"not collected"),EXACT(Metadata!S283,"not provided"),EXACT(Metadata!S283,"restricted access"))),AND(IF(Metadata!S283="",FALSE,ISNUMBER(VALUE(Metadata!S283))),Metadata!S283&gt;=-90,Metadata!S283&lt;=90))</f>
        <v>0</v>
      </c>
      <c r="BG283" t="b">
        <f>AND(IF(Metadata!T283="",FALSE,TRUE),EXACT(Metadata!T283,"Decimal degrees"))</f>
        <v>0</v>
      </c>
      <c r="BH283" t="b">
        <f>OR(AND(IF(Metadata!U283="",FALSE,TRUE),OR(EXACT(Metadata!U283,"not applicable"),EXACT(Metadata!U283,"not collected"))),IF(Metadata!U283="",FALSE,TRUE))</f>
        <v>0</v>
      </c>
      <c r="BI283" t="b">
        <f>OR(AND(IF(Metadata!V283="",FALSE,TRUE),OR(EXACT(Metadata!V283,"not collected"),EXACT(Metadata!V283,"not provided"),EXACT(Metadata!V283,"restricted access"))),AND(IF(Metadata!V283="",FALSE,ISNUMBER(VALUE(Metadata!V283))),Metadata!V283&gt;=-180,Metadata!V283&lt;=180))</f>
        <v>0</v>
      </c>
      <c r="BJ283" t="b">
        <f>AND(IF(Metadata!W283="",FALSE,TRUE),EXACT(Metadata!W283,"Decimal degrees"))</f>
        <v>0</v>
      </c>
      <c r="BK283" t="b">
        <f>IF(Metadata!X283="",FALSE,TRUE)</f>
        <v>0</v>
      </c>
      <c r="BL283" t="b">
        <f>OR(AND(IF(Metadata!Y283="",FALSE,TRUE),OR(EXACT(Metadata!Y283,"not collected"),EXACT(Metadata!Y283,"not provided"),EXACT(Metadata!Y283,"restricted access"))),AND(IF(Metadata!Y283="",FALSE,TRUE),OR(EXACT(Metadata!Y283,"TRUE"),EXACT(Metadata!Y283,"FALSE"))))</f>
        <v>0</v>
      </c>
      <c r="BM283" t="b">
        <f>OR(AND(IF(Metadata!Z283="",FALSE,TRUE),EXACT(Metadata!Z283,"not applicable")),AND(IF(Metadata!Z283="",FALSE,TRUE),OR(EXACT(Metadata!Z283,"beer"),EXACT(Metadata!Z283,"cheese"),EXACT(Metadata!Z283,"fresh water"),EXACT(Metadata!Z283,"marine sediment"),EXACT(Metadata!Z283,"sea water"),EXACT(Metadata!Z283,"sediment"),EXACT(Metadata!Z283,"soil"),EXACT(Metadata!Z283,"waste water"))))</f>
        <v>0</v>
      </c>
      <c r="BN283" t="b">
        <f>AND(IF(Metadata!AA283="",FALSE,TRUE),EXACT(Metadata!AA283,"metagenome"))</f>
        <v>0</v>
      </c>
      <c r="BO283" t="b">
        <f>AND(IF(Metadata!AB283="",FALSE,TRUE),EXACT(Metadata!AB283,"256318"))</f>
        <v>0</v>
      </c>
      <c r="BP283" t="b">
        <f>IF(Metadata!AC283="",FALSE,TRUE)</f>
        <v>0</v>
      </c>
      <c r="BQ283" t="b">
        <f>IF(Metadata!AD283="",FALSE,TRUE)</f>
        <v>0</v>
      </c>
    </row>
    <row r="284" spans="1:69" x14ac:dyDescent="0.2">
      <c r="A284" s="4" t="e">
        <f ca="1">IF(B284=" "," ",HYPERLINK(CONCATENATE("#metadata!",ADDRESS(INDEX($AJ$2:$AJ$1001,MATCH(ROWS($AH$2:AH284),$AH$2:$AH$1001,0),0),2)),INDEX($AM$2:$AM$1001,MATCH(ROWS($AH$2:AH284),$AH$2:$AH$1001,0),0)))</f>
        <v>#N/A</v>
      </c>
      <c r="B284" s="5" t="e">
        <f ca="1">IF(OR(INDEX($AI$2:$AI$1001,MATCH(ROWS($AH$2:AH284),$AH$2:$AH$1001,0),1)&gt;=100000,INDEX($AO$1005:$BQ$1005,1,MATCH(COLUMNS($AO$1006:AO1006),$AO$1006:$BQ$1006,0))&gt;=100000), " ",IF(INDEX($AO$2:$BQ$1001,MATCH(ROWS($AH$2:AH284),$AH$2:$AH$1001,0),MATCH(COLUMNS($AO$1006:AO1006),$AO$1006:$BQ$1006,0)), HYPERLINK("#",""), HYPERLINK(CONCATENATE("#Metadata!", ADDRESS(INDEX($AJ$2:$AJ$1001,MATCH(ROWS($AH$2:AH284),$AH$2:$AH$1001,0),0), INDEX($AO$1004:$BQ$1004,1,MATCH(COLUMNS($AO$1006:AO1006),$AO$1006:$BQ$1006,0)))),"Fix")))</f>
        <v>#N/A</v>
      </c>
      <c r="C284" s="5" t="e">
        <f ca="1">IF(OR(INDEX($AI$2:$AI$1001,MATCH(ROWS($AH$2:AH284),$AH$2:$AH$1001,0),1)&gt;=100000,INDEX($AO$1005:$BQ$1005,1,MATCH(COLUMNS($AO$1006:AP1006),$AO$1006:$BQ$1006,0))&gt;=100000), " ",IF(INDEX($AO$2:$BQ$1001,MATCH(ROWS($AH$2:AH284),$AH$2:$AH$1001,0),MATCH(COLUMNS($AO$1006:AP1006),$AO$1006:$BQ$1006,0)), HYPERLINK("#",""), HYPERLINK(CONCATENATE("#Metadata!", ADDRESS(INDEX($AJ$2:$AJ$1001,MATCH(ROWS($AH$2:AH284),$AH$2:$AH$1001,0),0), INDEX($AO$1004:$BQ$1004,1,MATCH(COLUMNS($AO$1006:AP1006),$AO$1006:$BQ$1006,0)))),"Fix")))</f>
        <v>#N/A</v>
      </c>
      <c r="D284" s="5" t="e">
        <f ca="1">IF(OR(INDEX($AI$2:$AI$1001,MATCH(ROWS($AH$2:AH284),$AH$2:$AH$1001,0),1)&gt;=100000,INDEX($AO$1005:$BQ$1005,1,MATCH(COLUMNS($AO$1006:AQ1006),$AO$1006:$BQ$1006,0))&gt;=100000), " ",IF(INDEX($AO$2:$BQ$1001,MATCH(ROWS($AH$2:AH284),$AH$2:$AH$1001,0),MATCH(COLUMNS($AO$1006:AQ1006),$AO$1006:$BQ$1006,0)), HYPERLINK("#",""), HYPERLINK(CONCATENATE("#Metadata!", ADDRESS(INDEX($AJ$2:$AJ$1001,MATCH(ROWS($AH$2:AH284),$AH$2:$AH$1001,0),0), INDEX($AO$1004:$BQ$1004,1,MATCH(COLUMNS($AO$1006:AQ1006),$AO$1006:$BQ$1006,0)))),"Fix")))</f>
        <v>#N/A</v>
      </c>
      <c r="E284" s="5" t="e">
        <f ca="1">IF(OR(INDEX($AI$2:$AI$1001,MATCH(ROWS($AH$2:AH284),$AH$2:$AH$1001,0),1)&gt;=100000,INDEX($AO$1005:$BQ$1005,1,MATCH(COLUMNS($AO$1006:AR1006),$AO$1006:$BQ$1006,0))&gt;=100000), " ",IF(INDEX($AO$2:$BQ$1001,MATCH(ROWS($AH$2:AH284),$AH$2:$AH$1001,0),MATCH(COLUMNS($AO$1006:AR1006),$AO$1006:$BQ$1006,0)), HYPERLINK("#",""), HYPERLINK(CONCATENATE("#Metadata!", ADDRESS(INDEX($AJ$2:$AJ$1001,MATCH(ROWS($AH$2:AH284),$AH$2:$AH$1001,0),0), INDEX($AO$1004:$BQ$1004,1,MATCH(COLUMNS($AO$1006:AR1006),$AO$1006:$BQ$1006,0)))),"Fix")))</f>
        <v>#N/A</v>
      </c>
      <c r="F284" s="5" t="e">
        <f ca="1">IF(OR(INDEX($AI$2:$AI$1001,MATCH(ROWS($AH$2:AH284),$AH$2:$AH$1001,0),1)&gt;=100000,INDEX($AO$1005:$BQ$1005,1,MATCH(COLUMNS($AO$1006:AS1006),$AO$1006:$BQ$1006,0))&gt;=100000), " ",IF(INDEX($AO$2:$BQ$1001,MATCH(ROWS($AH$2:AH284),$AH$2:$AH$1001,0),MATCH(COLUMNS($AO$1006:AS1006),$AO$1006:$BQ$1006,0)), HYPERLINK("#",""), HYPERLINK(CONCATENATE("#Metadata!", ADDRESS(INDEX($AJ$2:$AJ$1001,MATCH(ROWS($AH$2:AH284),$AH$2:$AH$1001,0),0), INDEX($AO$1004:$BQ$1004,1,MATCH(COLUMNS($AO$1006:AS1006),$AO$1006:$BQ$1006,0)))),"Fix")))</f>
        <v>#N/A</v>
      </c>
      <c r="G284" s="5" t="e">
        <f ca="1">IF(OR(INDEX($AI$2:$AI$1001,MATCH(ROWS($AH$2:AH284),$AH$2:$AH$1001,0),1)&gt;=100000,INDEX($AO$1005:$BQ$1005,1,MATCH(COLUMNS($AO$1006:AT1006),$AO$1006:$BQ$1006,0))&gt;=100000), " ",IF(INDEX($AO$2:$BQ$1001,MATCH(ROWS($AH$2:AH284),$AH$2:$AH$1001,0),MATCH(COLUMNS($AO$1006:AT1006),$AO$1006:$BQ$1006,0)), HYPERLINK("#",""), HYPERLINK(CONCATENATE("#Metadata!", ADDRESS(INDEX($AJ$2:$AJ$1001,MATCH(ROWS($AH$2:AH284),$AH$2:$AH$1001,0),0), INDEX($AO$1004:$BQ$1004,1,MATCH(COLUMNS($AO$1006:AT1006),$AO$1006:$BQ$1006,0)))),"Fix")))</f>
        <v>#N/A</v>
      </c>
      <c r="H284" s="5" t="e">
        <f ca="1">IF(OR(INDEX($AI$2:$AI$1001,MATCH(ROWS($AH$2:AH284),$AH$2:$AH$1001,0),1)&gt;=100000,INDEX($AO$1005:$BQ$1005,1,MATCH(COLUMNS($AO$1006:AU1006),$AO$1006:$BQ$1006,0))&gt;=100000), " ",IF(INDEX($AO$2:$BQ$1001,MATCH(ROWS($AH$2:AH284),$AH$2:$AH$1001,0),MATCH(COLUMNS($AO$1006:AU1006),$AO$1006:$BQ$1006,0)), HYPERLINK("#",""), HYPERLINK(CONCATENATE("#Metadata!", ADDRESS(INDEX($AJ$2:$AJ$1001,MATCH(ROWS($AH$2:AH284),$AH$2:$AH$1001,0),0), INDEX($AO$1004:$BQ$1004,1,MATCH(COLUMNS($AO$1006:AU1006),$AO$1006:$BQ$1006,0)))),"Fix")))</f>
        <v>#N/A</v>
      </c>
      <c r="I284" s="5" t="e">
        <f ca="1">IF(OR(INDEX($AI$2:$AI$1001,MATCH(ROWS($AH$2:AH284),$AH$2:$AH$1001,0),1)&gt;=100000,INDEX($AO$1005:$BQ$1005,1,MATCH(COLUMNS($AO$1006:AV1006),$AO$1006:$BQ$1006,0))&gt;=100000), " ",IF(INDEX($AO$2:$BQ$1001,MATCH(ROWS($AH$2:AH284),$AH$2:$AH$1001,0),MATCH(COLUMNS($AO$1006:AV1006),$AO$1006:$BQ$1006,0)), HYPERLINK("#",""), HYPERLINK(CONCATENATE("#Metadata!", ADDRESS(INDEX($AJ$2:$AJ$1001,MATCH(ROWS($AH$2:AH284),$AH$2:$AH$1001,0),0), INDEX($AO$1004:$BQ$1004,1,MATCH(COLUMNS($AO$1006:AV1006),$AO$1006:$BQ$1006,0)))),"Fix")))</f>
        <v>#N/A</v>
      </c>
      <c r="J284" s="5" t="e">
        <f ca="1">IF(OR(INDEX($AI$2:$AI$1001,MATCH(ROWS($AH$2:AH284),$AH$2:$AH$1001,0),1)&gt;=100000,INDEX($AO$1005:$BQ$1005,1,MATCH(COLUMNS($AO$1006:AW1006),$AO$1006:$BQ$1006,0))&gt;=100000), " ",IF(INDEX($AO$2:$BQ$1001,MATCH(ROWS($AH$2:AH284),$AH$2:$AH$1001,0),MATCH(COLUMNS($AO$1006:AW1006),$AO$1006:$BQ$1006,0)), HYPERLINK("#",""), HYPERLINK(CONCATENATE("#Metadata!", ADDRESS(INDEX($AJ$2:$AJ$1001,MATCH(ROWS($AH$2:AH284),$AH$2:$AH$1001,0),0), INDEX($AO$1004:$BQ$1004,1,MATCH(COLUMNS($AO$1006:AW1006),$AO$1006:$BQ$1006,0)))),"Fix")))</f>
        <v>#N/A</v>
      </c>
      <c r="K284" s="5" t="e">
        <f ca="1">IF(OR(INDEX($AI$2:$AI$1001,MATCH(ROWS($AH$2:AH284),$AH$2:$AH$1001,0),1)&gt;=100000,INDEX($AO$1005:$BQ$1005,1,MATCH(COLUMNS($AO$1006:AX1006),$AO$1006:$BQ$1006,0))&gt;=100000), " ",IF(INDEX($AO$2:$BQ$1001,MATCH(ROWS($AH$2:AH284),$AH$2:$AH$1001,0),MATCH(COLUMNS($AO$1006:AX1006),$AO$1006:$BQ$1006,0)), HYPERLINK("#",""), HYPERLINK(CONCATENATE("#Metadata!", ADDRESS(INDEX($AJ$2:$AJ$1001,MATCH(ROWS($AH$2:AH284),$AH$2:$AH$1001,0),0), INDEX($AO$1004:$BQ$1004,1,MATCH(COLUMNS($AO$1006:AX1006),$AO$1006:$BQ$1006,0)))),"Fix")))</f>
        <v>#N/A</v>
      </c>
      <c r="L284" s="5" t="e">
        <f ca="1">IF(OR(INDEX($AI$2:$AI$1001,MATCH(ROWS($AH$2:AH284),$AH$2:$AH$1001,0),1)&gt;=100000,INDEX($AO$1005:$BQ$1005,1,MATCH(COLUMNS($AO$1006:AY1006),$AO$1006:$BQ$1006,0))&gt;=100000), " ",IF(INDEX($AO$2:$BQ$1001,MATCH(ROWS($AH$2:AH284),$AH$2:$AH$1001,0),MATCH(COLUMNS($AO$1006:AY1006),$AO$1006:$BQ$1006,0)), HYPERLINK("#",""), HYPERLINK(CONCATENATE("#Metadata!", ADDRESS(INDEX($AJ$2:$AJ$1001,MATCH(ROWS($AH$2:AH284),$AH$2:$AH$1001,0),0), INDEX($AO$1004:$BQ$1004,1,MATCH(COLUMNS($AO$1006:AY1006),$AO$1006:$BQ$1006,0)))),"Fix")))</f>
        <v>#N/A</v>
      </c>
      <c r="M284" s="5" t="e">
        <f ca="1">IF(OR(INDEX($AI$2:$AI$1001,MATCH(ROWS($AH$2:AH284),$AH$2:$AH$1001,0),1)&gt;=100000,INDEX($AO$1005:$BQ$1005,1,MATCH(COLUMNS($AO$1006:AZ1006),$AO$1006:$BQ$1006,0))&gt;=100000), " ",IF(INDEX($AO$2:$BQ$1001,MATCH(ROWS($AH$2:AH284),$AH$2:$AH$1001,0),MATCH(COLUMNS($AO$1006:AZ1006),$AO$1006:$BQ$1006,0)), HYPERLINK("#",""), HYPERLINK(CONCATENATE("#Metadata!", ADDRESS(INDEX($AJ$2:$AJ$1001,MATCH(ROWS($AH$2:AH284),$AH$2:$AH$1001,0),0), INDEX($AO$1004:$BQ$1004,1,MATCH(COLUMNS($AO$1006:AZ1006),$AO$1006:$BQ$1006,0)))),"Fix")))</f>
        <v>#N/A</v>
      </c>
      <c r="N284" s="5" t="e">
        <f ca="1">IF(OR(INDEX($AI$2:$AI$1001,MATCH(ROWS($AH$2:AH284),$AH$2:$AH$1001,0),1)&gt;=100000,INDEX($AO$1005:$BQ$1005,1,MATCH(COLUMNS($AO$1006:BA1006),$AO$1006:$BQ$1006,0))&gt;=100000), " ",IF(INDEX($AO$2:$BQ$1001,MATCH(ROWS($AH$2:AH284),$AH$2:$AH$1001,0),MATCH(COLUMNS($AO$1006:BA1006),$AO$1006:$BQ$1006,0)), HYPERLINK("#",""), HYPERLINK(CONCATENATE("#Metadata!", ADDRESS(INDEX($AJ$2:$AJ$1001,MATCH(ROWS($AH$2:AH284),$AH$2:$AH$1001,0),0), INDEX($AO$1004:$BQ$1004,1,MATCH(COLUMNS($AO$1006:BA1006),$AO$1006:$BQ$1006,0)))),"Fix")))</f>
        <v>#N/A</v>
      </c>
      <c r="O284" s="5" t="e">
        <f ca="1">IF(OR(INDEX($AI$2:$AI$1001,MATCH(ROWS($AH$2:AH284),$AH$2:$AH$1001,0),1)&gt;=100000,INDEX($AO$1005:$BQ$1005,1,MATCH(COLUMNS($AO$1006:BB1006),$AO$1006:$BQ$1006,0))&gt;=100000), " ",IF(INDEX($AO$2:$BQ$1001,MATCH(ROWS($AH$2:AH284),$AH$2:$AH$1001,0),MATCH(COLUMNS($AO$1006:BB1006),$AO$1006:$BQ$1006,0)), HYPERLINK("#",""), HYPERLINK(CONCATENATE("#Metadata!", ADDRESS(INDEX($AJ$2:$AJ$1001,MATCH(ROWS($AH$2:AH284),$AH$2:$AH$1001,0),0), INDEX($AO$1004:$BQ$1004,1,MATCH(COLUMNS($AO$1006:BB1006),$AO$1006:$BQ$1006,0)))),"Fix")))</f>
        <v>#N/A</v>
      </c>
      <c r="P284" s="5" t="e">
        <f ca="1">IF(OR(INDEX($AI$2:$AI$1001,MATCH(ROWS($AH$2:AH284),$AH$2:$AH$1001,0),1)&gt;=100000,INDEX($AO$1005:$BQ$1005,1,MATCH(COLUMNS($AO$1006:BC1006),$AO$1006:$BQ$1006,0))&gt;=100000), " ",IF(INDEX($AO$2:$BQ$1001,MATCH(ROWS($AH$2:AH284),$AH$2:$AH$1001,0),MATCH(COLUMNS($AO$1006:BC1006),$AO$1006:$BQ$1006,0)), HYPERLINK("#",""), HYPERLINK(CONCATENATE("#Metadata!", ADDRESS(INDEX($AJ$2:$AJ$1001,MATCH(ROWS($AH$2:AH284),$AH$2:$AH$1001,0),0), INDEX($AO$1004:$BQ$1004,1,MATCH(COLUMNS($AO$1006:BC1006),$AO$1006:$BQ$1006,0)))),"Fix")))</f>
        <v>#N/A</v>
      </c>
      <c r="Q284" s="5" t="e">
        <f ca="1">IF(OR(INDEX($AI$2:$AI$1001,MATCH(ROWS($AH$2:AH284),$AH$2:$AH$1001,0),1)&gt;=100000,INDEX($AO$1005:$BQ$1005,1,MATCH(COLUMNS($AO$1006:BD1006),$AO$1006:$BQ$1006,0))&gt;=100000), " ",IF(INDEX($AO$2:$BQ$1001,MATCH(ROWS($AH$2:AH284),$AH$2:$AH$1001,0),MATCH(COLUMNS($AO$1006:BD1006),$AO$1006:$BQ$1006,0)), HYPERLINK("#",""), HYPERLINK(CONCATENATE("#Metadata!", ADDRESS(INDEX($AJ$2:$AJ$1001,MATCH(ROWS($AH$2:AH284),$AH$2:$AH$1001,0),0), INDEX($AO$1004:$BQ$1004,1,MATCH(COLUMNS($AO$1006:BD1006),$AO$1006:$BQ$1006,0)))),"Fix")))</f>
        <v>#N/A</v>
      </c>
      <c r="R284" s="5" t="e">
        <f ca="1">IF(OR(INDEX($AI$2:$AI$1001,MATCH(ROWS($AH$2:AH284),$AH$2:$AH$1001,0),1)&gt;=100000,INDEX($AO$1005:$BQ$1005,1,MATCH(COLUMNS($AO$1006:BE1006),$AO$1006:$BQ$1006,0))&gt;=100000), " ",IF(INDEX($AO$2:$BQ$1001,MATCH(ROWS($AH$2:AH284),$AH$2:$AH$1001,0),MATCH(COLUMNS($AO$1006:BE1006),$AO$1006:$BQ$1006,0)), HYPERLINK("#",""), HYPERLINK(CONCATENATE("#Metadata!", ADDRESS(INDEX($AJ$2:$AJ$1001,MATCH(ROWS($AH$2:AH284),$AH$2:$AH$1001,0),0), INDEX($AO$1004:$BQ$1004,1,MATCH(COLUMNS($AO$1006:BE1006),$AO$1006:$BQ$1006,0)))),"Fix")))</f>
        <v>#N/A</v>
      </c>
      <c r="S284" s="5" t="e">
        <f ca="1">IF(OR(INDEX($AI$2:$AI$1001,MATCH(ROWS($AH$2:AH284),$AH$2:$AH$1001,0),1)&gt;=100000,INDEX($AO$1005:$BQ$1005,1,MATCH(COLUMNS($AO$1006:BF1006),$AO$1006:$BQ$1006,0))&gt;=100000), " ",IF(INDEX($AO$2:$BQ$1001,MATCH(ROWS($AH$2:AH284),$AH$2:$AH$1001,0),MATCH(COLUMNS($AO$1006:BF1006),$AO$1006:$BQ$1006,0)), HYPERLINK("#",""), HYPERLINK(CONCATENATE("#Metadata!", ADDRESS(INDEX($AJ$2:$AJ$1001,MATCH(ROWS($AH$2:AH284),$AH$2:$AH$1001,0),0), INDEX($AO$1004:$BQ$1004,1,MATCH(COLUMNS($AO$1006:BF1006),$AO$1006:$BQ$1006,0)))),"Fix")))</f>
        <v>#N/A</v>
      </c>
      <c r="T284" s="5" t="e">
        <f ca="1">IF(OR(INDEX($AI$2:$AI$1001,MATCH(ROWS($AH$2:AH284),$AH$2:$AH$1001,0),1)&gt;=100000,INDEX($AO$1005:$BQ$1005,1,MATCH(COLUMNS($AO$1006:BG1006),$AO$1006:$BQ$1006,0))&gt;=100000), " ",IF(INDEX($AO$2:$BQ$1001,MATCH(ROWS($AH$2:AH284),$AH$2:$AH$1001,0),MATCH(COLUMNS($AO$1006:BG1006),$AO$1006:$BQ$1006,0)), HYPERLINK("#",""), HYPERLINK(CONCATENATE("#Metadata!", ADDRESS(INDEX($AJ$2:$AJ$1001,MATCH(ROWS($AH$2:AH284),$AH$2:$AH$1001,0),0), INDEX($AO$1004:$BQ$1004,1,MATCH(COLUMNS($AO$1006:BG1006),$AO$1006:$BQ$1006,0)))),"Fix")))</f>
        <v>#N/A</v>
      </c>
      <c r="U284" s="5" t="e">
        <f ca="1">IF(OR(INDEX($AI$2:$AI$1001,MATCH(ROWS($AH$2:AH284),$AH$2:$AH$1001,0),1)&gt;=100000,INDEX($AO$1005:$BQ$1005,1,MATCH(COLUMNS($AO$1006:BH1006),$AO$1006:$BQ$1006,0))&gt;=100000), " ",IF(INDEX($AO$2:$BQ$1001,MATCH(ROWS($AH$2:AH284),$AH$2:$AH$1001,0),MATCH(COLUMNS($AO$1006:BH1006),$AO$1006:$BQ$1006,0)), HYPERLINK("#",""), HYPERLINK(CONCATENATE("#Metadata!", ADDRESS(INDEX($AJ$2:$AJ$1001,MATCH(ROWS($AH$2:AH284),$AH$2:$AH$1001,0),0), INDEX($AO$1004:$BQ$1004,1,MATCH(COLUMNS($AO$1006:BH1006),$AO$1006:$BQ$1006,0)))),"Fix")))</f>
        <v>#N/A</v>
      </c>
      <c r="V284" s="5" t="e">
        <f ca="1">IF(OR(INDEX($AI$2:$AI$1001,MATCH(ROWS($AH$2:AH284),$AH$2:$AH$1001,0),1)&gt;=100000,INDEX($AO$1005:$BQ$1005,1,MATCH(COLUMNS($AO$1006:BI1006),$AO$1006:$BQ$1006,0))&gt;=100000), " ",IF(INDEX($AO$2:$BQ$1001,MATCH(ROWS($AH$2:AH284),$AH$2:$AH$1001,0),MATCH(COLUMNS($AO$1006:BI1006),$AO$1006:$BQ$1006,0)), HYPERLINK("#",""), HYPERLINK(CONCATENATE("#Metadata!", ADDRESS(INDEX($AJ$2:$AJ$1001,MATCH(ROWS($AH$2:AH284),$AH$2:$AH$1001,0),0), INDEX($AO$1004:$BQ$1004,1,MATCH(COLUMNS($AO$1006:BI1006),$AO$1006:$BQ$1006,0)))),"Fix")))</f>
        <v>#N/A</v>
      </c>
      <c r="W284" s="5" t="e">
        <f ca="1">IF(OR(INDEX($AI$2:$AI$1001,MATCH(ROWS($AH$2:AH284),$AH$2:$AH$1001,0),1)&gt;=100000,INDEX($AO$1005:$BQ$1005,1,MATCH(COLUMNS($AO$1006:BJ1006),$AO$1006:$BQ$1006,0))&gt;=100000), " ",IF(INDEX($AO$2:$BQ$1001,MATCH(ROWS($AH$2:AH284),$AH$2:$AH$1001,0),MATCH(COLUMNS($AO$1006:BJ1006),$AO$1006:$BQ$1006,0)), HYPERLINK("#",""), HYPERLINK(CONCATENATE("#Metadata!", ADDRESS(INDEX($AJ$2:$AJ$1001,MATCH(ROWS($AH$2:AH284),$AH$2:$AH$1001,0),0), INDEX($AO$1004:$BQ$1004,1,MATCH(COLUMNS($AO$1006:BJ1006),$AO$1006:$BQ$1006,0)))),"Fix")))</f>
        <v>#N/A</v>
      </c>
      <c r="X284" s="5" t="e">
        <f ca="1">IF(OR(INDEX($AI$2:$AI$1001,MATCH(ROWS($AH$2:AH284),$AH$2:$AH$1001,0),1)&gt;=100000,INDEX($AO$1005:$BQ$1005,1,MATCH(COLUMNS($AO$1006:BK1006),$AO$1006:$BQ$1006,0))&gt;=100000), " ",IF(INDEX($AO$2:$BQ$1001,MATCH(ROWS($AH$2:AH284),$AH$2:$AH$1001,0),MATCH(COLUMNS($AO$1006:BK1006),$AO$1006:$BQ$1006,0)), HYPERLINK("#",""), HYPERLINK(CONCATENATE("#Metadata!", ADDRESS(INDEX($AJ$2:$AJ$1001,MATCH(ROWS($AH$2:AH284),$AH$2:$AH$1001,0),0), INDEX($AO$1004:$BQ$1004,1,MATCH(COLUMNS($AO$1006:BK1006),$AO$1006:$BQ$1006,0)))),"Fix")))</f>
        <v>#N/A</v>
      </c>
      <c r="Y284" s="5" t="e">
        <f ca="1">IF(OR(INDEX($AI$2:$AI$1001,MATCH(ROWS($AH$2:AH284),$AH$2:$AH$1001,0),1)&gt;=100000,INDEX($AO$1005:$BQ$1005,1,MATCH(COLUMNS($AO$1006:BL1006),$AO$1006:$BQ$1006,0))&gt;=100000), " ",IF(INDEX($AO$2:$BQ$1001,MATCH(ROWS($AH$2:AH284),$AH$2:$AH$1001,0),MATCH(COLUMNS($AO$1006:BL1006),$AO$1006:$BQ$1006,0)), HYPERLINK("#",""), HYPERLINK(CONCATENATE("#Metadata!", ADDRESS(INDEX($AJ$2:$AJ$1001,MATCH(ROWS($AH$2:AH284),$AH$2:$AH$1001,0),0), INDEX($AO$1004:$BQ$1004,1,MATCH(COLUMNS($AO$1006:BL1006),$AO$1006:$BQ$1006,0)))),"Fix")))</f>
        <v>#N/A</v>
      </c>
      <c r="Z284" s="5" t="e">
        <f ca="1">IF(OR(INDEX($AI$2:$AI$1001,MATCH(ROWS($AH$2:AH284),$AH$2:$AH$1001,0),1)&gt;=100000,INDEX($AO$1005:$BQ$1005,1,MATCH(COLUMNS($AO$1006:BM1006),$AO$1006:$BQ$1006,0))&gt;=100000), " ",IF(INDEX($AO$2:$BQ$1001,MATCH(ROWS($AH$2:AH284),$AH$2:$AH$1001,0),MATCH(COLUMNS($AO$1006:BM1006),$AO$1006:$BQ$1006,0)), HYPERLINK("#",""), HYPERLINK(CONCATENATE("#Metadata!", ADDRESS(INDEX($AJ$2:$AJ$1001,MATCH(ROWS($AH$2:AH284),$AH$2:$AH$1001,0),0), INDEX($AO$1004:$BQ$1004,1,MATCH(COLUMNS($AO$1006:BM1006),$AO$1006:$BQ$1006,0)))),"Fix")))</f>
        <v>#N/A</v>
      </c>
      <c r="AA284" s="5" t="e">
        <f ca="1">IF(OR(INDEX($AI$2:$AI$1001,MATCH(ROWS($AH$2:AH284),$AH$2:$AH$1001,0),1)&gt;=100000,INDEX($AO$1005:$BQ$1005,1,MATCH(COLUMNS($AO$1006:BN1006),$AO$1006:$BQ$1006,0))&gt;=100000), " ",IF(INDEX($AO$2:$BQ$1001,MATCH(ROWS($AH$2:AH284),$AH$2:$AH$1001,0),MATCH(COLUMNS($AO$1006:BN1006),$AO$1006:$BQ$1006,0)), HYPERLINK("#",""), HYPERLINK(CONCATENATE("#Metadata!", ADDRESS(INDEX($AJ$2:$AJ$1001,MATCH(ROWS($AH$2:AH284),$AH$2:$AH$1001,0),0), INDEX($AO$1004:$BQ$1004,1,MATCH(COLUMNS($AO$1006:BN1006),$AO$1006:$BQ$1006,0)))),"Fix")))</f>
        <v>#N/A</v>
      </c>
      <c r="AB284" s="5" t="e">
        <f ca="1">IF(OR(INDEX($AI$2:$AI$1001,MATCH(ROWS($AH$2:AH284),$AH$2:$AH$1001,0),1)&gt;=100000,INDEX($AO$1005:$BQ$1005,1,MATCH(COLUMNS($AO$1006:BO1006),$AO$1006:$BQ$1006,0))&gt;=100000), " ",IF(INDEX($AO$2:$BQ$1001,MATCH(ROWS($AH$2:AH284),$AH$2:$AH$1001,0),MATCH(COLUMNS($AO$1006:BO1006),$AO$1006:$BQ$1006,0)), HYPERLINK("#",""), HYPERLINK(CONCATENATE("#Metadata!", ADDRESS(INDEX($AJ$2:$AJ$1001,MATCH(ROWS($AH$2:AH284),$AH$2:$AH$1001,0),0), INDEX($AO$1004:$BQ$1004,1,MATCH(COLUMNS($AO$1006:BO1006),$AO$1006:$BQ$1006,0)))),"Fix")))</f>
        <v>#N/A</v>
      </c>
      <c r="AC284" s="5" t="e">
        <f ca="1">IF(OR(INDEX($AI$2:$AI$1001,MATCH(ROWS($AH$2:AH284),$AH$2:$AH$1001,0),1)&gt;=100000,INDEX($AO$1005:$BQ$1005,1,MATCH(COLUMNS($AO$1006:BP1006),$AO$1006:$BQ$1006,0))&gt;=100000), " ",IF(INDEX($AO$2:$BQ$1001,MATCH(ROWS($AH$2:AH284),$AH$2:$AH$1001,0),MATCH(COLUMNS($AO$1006:BP1006),$AO$1006:$BQ$1006,0)), HYPERLINK("#",""), HYPERLINK(CONCATENATE("#Metadata!", ADDRESS(INDEX($AJ$2:$AJ$1001,MATCH(ROWS($AH$2:AH284),$AH$2:$AH$1001,0),0), INDEX($AO$1004:$BQ$1004,1,MATCH(COLUMNS($AO$1006:BP1006),$AO$1006:$BQ$1006,0)))),"Fix")))</f>
        <v>#N/A</v>
      </c>
      <c r="AD284" s="5" t="e">
        <f ca="1">IF(OR(INDEX($AI$2:$AI$1001,MATCH(ROWS($AH$2:AH284),$AH$2:$AH$1001,0),1)&gt;=100000,INDEX($AO$1005:$BQ$1005,1,MATCH(COLUMNS($AO$1006:BQ1006),$AO$1006:$BQ$1006,0))&gt;=100000), " ",IF(INDEX($AO$2:$BQ$1001,MATCH(ROWS($AH$2:AH284),$AH$2:$AH$1001,0),MATCH(COLUMNS($AO$1006:BQ1006),$AO$1006:$BQ$1006,0)), HYPERLINK("#",""), HYPERLINK(CONCATENATE("#Metadata!", ADDRESS(INDEX($AJ$2:$AJ$1001,MATCH(ROWS($AH$2:AH284),$AH$2:$AH$1001,0),0), INDEX($AO$1004:$BQ$1004,1,MATCH(COLUMNS($AO$1006:BQ1006),$AO$1006:$BQ$1006,0)))),"Fix")))</f>
        <v>#REF!</v>
      </c>
      <c r="AH284">
        <f ca="1"/>
        <v>281</v>
      </c>
      <c r="AI284">
        <v>100284</v>
      </c>
      <c r="AJ284">
        <v>284</v>
      </c>
      <c r="AK284" t="b">
        <f t="shared" si="4"/>
        <v>1</v>
      </c>
      <c r="AL284" t="b">
        <f>COUNTBLANK(Metadata!B284:AD284)=COLUMNS(Metadata!B284:AD284)</f>
        <v>1</v>
      </c>
      <c r="AM284" t="str">
        <v/>
      </c>
      <c r="AO284" t="b">
        <f ca="1">AND(IF(Metadata!B284="",FALSE,TRUE),COUNTIF(Metadata!B:B, Metadata!B284) = 1,NOT(ISERROR(SUMPRODUCT(SEARCH(MID(Metadata!B284,ROW(INDIRECT("1:"&amp;LEN(Metadata!B284))), 1),"0123456789abcdefghijklmnopqrstuvwxyzABCDEFGHIJKLMNOPQRSTUVWXYZ.")))))</f>
        <v>0</v>
      </c>
      <c r="AP284" t="b">
        <f>IF(Metadata!C284="",FALSE,TRUE)</f>
        <v>0</v>
      </c>
      <c r="AQ284" t="b">
        <f>IF(Metadata!D284="",FALSE,TRUE)</f>
        <v>0</v>
      </c>
      <c r="AR284" t="b">
        <f ca="1">OR(AND(IF(Metadata!E284="",FALSE,TRUE),OR(EXACT(Metadata!E284,"not collected"),EXACT(Metadata!E284,"not provided"),EXACT(Metadata!E284,"restricted access"))),AND(IF(Metadata!E284="",FALSE,TRUE),AND(AND(IFERROR(INT(LEFT(Metadata!E284,4))&gt;1900,FALSE),IFERROR(INT(LEFT(Metadata!E284,4))&lt;=YEAR(NOW()),FALSE)), OR(MID(Metadata!E284,5,1)="", AND(AND(MID(Metadata!E284,5,1)="-",IFERROR(INT(MID(Metadata!E284,6,1))&gt;=0,FALSE),IFERROR(INT(MID(Metadata!E284,6,1))&lt;=1,FALSE),NOT(MID(Metadata!E284,7,1)=""),IFERROR(INT(MID(Metadata!E284,6,2))&gt;=1,FALSE),IFERROR(INT(MID(Metadata!E284,6,2))&lt;=12,FALSE)), OR(MID(Metadata!E284,8,1)="", AND(AND(MID(Metadata!E284,8,1)="-",IFERROR(INT(MID(Metadata!E284,9,1))&gt;=0,FALSE),IFERROR(INT(MID(Metadata!E284,9,1))&lt;=3,FALSE),NOT(MID(Metadata!E284,10,1)=""),IFERROR(INT(MID(Metadata!E284,9,2))&gt;=1,FALSE),IFERROR(INT(MID(Metadata!E284,9,2))&lt;=31,FALSE)), OR(MID(Metadata!E284,11,1)="", AND(AND(MID(Metadata!E284,11,1)=" ",IFERROR(INT(MID(Metadata!E284,12,1))&gt;=0,FALSE),IFERROR(INT(MID(Metadata!E284,12,1))&lt;=2,FALSE),NOT(MID(Metadata!E284,13,1)=""),IFERROR(INT(MID(Metadata!E284,12,2))&gt;=0,FALSE),IFERROR(INT(MID(Metadata!E284,12,2))&lt;=23,FALSE)), OR(MID(Metadata!E284,14,1)="", AND(AND(MID(Metadata!E284,14,1)=":",IFERROR(INT(MID(Metadata!E284,15,1))&gt;=0,FALSE),IFERROR(INT(MID(Metadata!E284,15,1))&lt;=5,FALSE),NOT(MID(Metadata!E284,16,1)=""),IFERROR(INT(MID(Metadata!E284,15,2))&gt;=0,FALSE),IFERROR(INT(MID(Metadata!E284,15,2))&lt;=59,FALSE)), OR(MID(Metadata!E284,17,1)="", AND(AND(MID(Metadata!E284,17,1)=":",IFERROR(INT(MID(Metadata!E284,18,1))&gt;=0,FALSE),IFERROR(INT(MID(Metadata!E284,18,1))&lt;=5,FALSE),NOT(MID(Metadata!E284,19,1)=""),IFERROR(INT(MID(Metadata!E284,18,2))&gt;=0,FALSE),IFERROR(INT(MID(Metadata!E284,18,2))&lt;=59,FALSE)), LEN(Metadata!E284)&lt;=19)))))))))))))</f>
        <v>0</v>
      </c>
      <c r="AS284" t="b">
        <f>IF(Metadata!F284="",FALSE,TRUE)</f>
        <v>0</v>
      </c>
      <c r="AT284" t="b">
        <f>OR(AND(IF(Metadata!G284="",FALSE,TRUE),OR(EXACT(Metadata!G284,"not collected"),EXACT(Metadata!G284,"not provided"))),AND(IF(Metadata!G284="",FALSE,TRUE),OR(EXACT(Metadata!G284,"TRUE"),EXACT(Metadata!G284,"FALSE"))))</f>
        <v>0</v>
      </c>
      <c r="AU284" t="b">
        <f>OR(AND(IF(Metadata!H284="",FALSE,TRUE),OR(EXACT(Metadata!H284,"not collected"),EXACT(Metadata!H284,"not provided"),EXACT(Metadata!H284,"restricted access"))),AND(IF(Metadata!H284="",FALSE,ISNUMBER(VALUE(Metadata!H284))),Metadata!H284&gt;=-413))</f>
        <v>0</v>
      </c>
      <c r="AV284" t="b">
        <f>AND(IF(Metadata!I284="",FALSE,TRUE),EXACT(Metadata!I284,"meters"))</f>
        <v>0</v>
      </c>
      <c r="AW284" t="b">
        <f>AND(IF(Metadata!J284="",FALSE,TRUE),EXACT(Metadata!J284,"free-living"))</f>
        <v>0</v>
      </c>
      <c r="AX284" t="b">
        <f>AND(IF(Metadata!K284="",FALSE,TRUE),OR(EXACT(Metadata!K284,"saline"),EXACT(Metadata!K284,"non-saline")))</f>
        <v>0</v>
      </c>
      <c r="AY284" t="b">
        <f>AND(IF(Metadata!L284="",FALSE,TRUE),OR(EXACT(Metadata!L284,"sub-surface (non-saline)"),EXACT(Metadata!L284,"surface (non-saline)"),EXACT(Metadata!L284,"water (non-saline)"),EXACT(Metadata!L284,"soil (non-saline)"),EXACT(Metadata!L284,"aerosol (non-saline)"),EXACT(Metadata!L284,"sediment (non-saline)"),EXACT(Metadata!L284,"surface (saline)"),EXACT(Metadata!L284,"water (saline)"),EXACT(Metadata!L284,"hypersaline (saline)"),EXACT(Metadata!L284,"aerosol (saline)"),EXACT(Metadata!L284,"sediment (saline)")))</f>
        <v>0</v>
      </c>
      <c r="AZ284" t="b">
        <f>IF(Metadata!M284="",FALSE,TRUE)</f>
        <v>0</v>
      </c>
      <c r="BA284" t="b">
        <f>IF(Metadata!N284="",FALSE,TRUE)</f>
        <v>0</v>
      </c>
      <c r="BB284" t="b">
        <f>IF(Metadata!O284="",FALSE,TRUE)</f>
        <v>0</v>
      </c>
      <c r="BC284" t="b">
        <f>AND(IF(Metadata!P284="",FALSE,TRUE),OR(EXACT(Metadata!P284,"air"),EXACT(Metadata!P284,"microbial mat/biofilm"),EXACT(Metadata!P284,"misc environment"),EXACT(Metadata!P284,"sediment"),EXACT(Metadata!P284,"soil"),EXACT(Metadata!P284,"wastewater/sludge"),EXACT(Metadata!P284,"water")))</f>
        <v>0</v>
      </c>
      <c r="BD284" t="b">
        <f>IF(Metadata!Q284="",FALSE,TRUE)</f>
        <v>0</v>
      </c>
      <c r="BE284" t="b">
        <f>IF(Metadata!R284="",FALSE,TRUE)</f>
        <v>0</v>
      </c>
      <c r="BF284" t="b">
        <f>OR(AND(IF(Metadata!S284="",FALSE,TRUE),OR(EXACT(Metadata!S284,"not collected"),EXACT(Metadata!S284,"not provided"),EXACT(Metadata!S284,"restricted access"))),AND(IF(Metadata!S284="",FALSE,ISNUMBER(VALUE(Metadata!S284))),Metadata!S284&gt;=-90,Metadata!S284&lt;=90))</f>
        <v>0</v>
      </c>
      <c r="BG284" t="b">
        <f>AND(IF(Metadata!T284="",FALSE,TRUE),EXACT(Metadata!T284,"Decimal degrees"))</f>
        <v>0</v>
      </c>
      <c r="BH284" t="b">
        <f>OR(AND(IF(Metadata!U284="",FALSE,TRUE),OR(EXACT(Metadata!U284,"not applicable"),EXACT(Metadata!U284,"not collected"))),IF(Metadata!U284="",FALSE,TRUE))</f>
        <v>0</v>
      </c>
      <c r="BI284" t="b">
        <f>OR(AND(IF(Metadata!V284="",FALSE,TRUE),OR(EXACT(Metadata!V284,"not collected"),EXACT(Metadata!V284,"not provided"),EXACT(Metadata!V284,"restricted access"))),AND(IF(Metadata!V284="",FALSE,ISNUMBER(VALUE(Metadata!V284))),Metadata!V284&gt;=-180,Metadata!V284&lt;=180))</f>
        <v>0</v>
      </c>
      <c r="BJ284" t="b">
        <f>AND(IF(Metadata!W284="",FALSE,TRUE),EXACT(Metadata!W284,"Decimal degrees"))</f>
        <v>0</v>
      </c>
      <c r="BK284" t="b">
        <f>IF(Metadata!X284="",FALSE,TRUE)</f>
        <v>0</v>
      </c>
      <c r="BL284" t="b">
        <f>OR(AND(IF(Metadata!Y284="",FALSE,TRUE),OR(EXACT(Metadata!Y284,"not collected"),EXACT(Metadata!Y284,"not provided"),EXACT(Metadata!Y284,"restricted access"))),AND(IF(Metadata!Y284="",FALSE,TRUE),OR(EXACT(Metadata!Y284,"TRUE"),EXACT(Metadata!Y284,"FALSE"))))</f>
        <v>0</v>
      </c>
      <c r="BM284" t="b">
        <f>OR(AND(IF(Metadata!Z284="",FALSE,TRUE),EXACT(Metadata!Z284,"not applicable")),AND(IF(Metadata!Z284="",FALSE,TRUE),OR(EXACT(Metadata!Z284,"beer"),EXACT(Metadata!Z284,"cheese"),EXACT(Metadata!Z284,"fresh water"),EXACT(Metadata!Z284,"marine sediment"),EXACT(Metadata!Z284,"sea water"),EXACT(Metadata!Z284,"sediment"),EXACT(Metadata!Z284,"soil"),EXACT(Metadata!Z284,"waste water"))))</f>
        <v>0</v>
      </c>
      <c r="BN284" t="b">
        <f>AND(IF(Metadata!AA284="",FALSE,TRUE),EXACT(Metadata!AA284,"metagenome"))</f>
        <v>0</v>
      </c>
      <c r="BO284" t="b">
        <f>AND(IF(Metadata!AB284="",FALSE,TRUE),EXACT(Metadata!AB284,"256318"))</f>
        <v>0</v>
      </c>
      <c r="BP284" t="b">
        <f>IF(Metadata!AC284="",FALSE,TRUE)</f>
        <v>0</v>
      </c>
      <c r="BQ284" t="b">
        <f>IF(Metadata!AD284="",FALSE,TRUE)</f>
        <v>0</v>
      </c>
    </row>
    <row r="285" spans="1:69" x14ac:dyDescent="0.2">
      <c r="A285" s="4" t="e">
        <f ca="1">IF(B285=" "," ",HYPERLINK(CONCATENATE("#metadata!",ADDRESS(INDEX($AJ$2:$AJ$1001,MATCH(ROWS($AH$2:AH285),$AH$2:$AH$1001,0),0),2)),INDEX($AM$2:$AM$1001,MATCH(ROWS($AH$2:AH285),$AH$2:$AH$1001,0),0)))</f>
        <v>#N/A</v>
      </c>
      <c r="B285" s="5" t="e">
        <f ca="1">IF(OR(INDEX($AI$2:$AI$1001,MATCH(ROWS($AH$2:AH285),$AH$2:$AH$1001,0),1)&gt;=100000,INDEX($AO$1005:$BQ$1005,1,MATCH(COLUMNS($AO$1006:AO1006),$AO$1006:$BQ$1006,0))&gt;=100000), " ",IF(INDEX($AO$2:$BQ$1001,MATCH(ROWS($AH$2:AH285),$AH$2:$AH$1001,0),MATCH(COLUMNS($AO$1006:AO1006),$AO$1006:$BQ$1006,0)), HYPERLINK("#",""), HYPERLINK(CONCATENATE("#Metadata!", ADDRESS(INDEX($AJ$2:$AJ$1001,MATCH(ROWS($AH$2:AH285),$AH$2:$AH$1001,0),0), INDEX($AO$1004:$BQ$1004,1,MATCH(COLUMNS($AO$1006:AO1006),$AO$1006:$BQ$1006,0)))),"Fix")))</f>
        <v>#N/A</v>
      </c>
      <c r="C285" s="5" t="e">
        <f ca="1">IF(OR(INDEX($AI$2:$AI$1001,MATCH(ROWS($AH$2:AH285),$AH$2:$AH$1001,0),1)&gt;=100000,INDEX($AO$1005:$BQ$1005,1,MATCH(COLUMNS($AO$1006:AP1006),$AO$1006:$BQ$1006,0))&gt;=100000), " ",IF(INDEX($AO$2:$BQ$1001,MATCH(ROWS($AH$2:AH285),$AH$2:$AH$1001,0),MATCH(COLUMNS($AO$1006:AP1006),$AO$1006:$BQ$1006,0)), HYPERLINK("#",""), HYPERLINK(CONCATENATE("#Metadata!", ADDRESS(INDEX($AJ$2:$AJ$1001,MATCH(ROWS($AH$2:AH285),$AH$2:$AH$1001,0),0), INDEX($AO$1004:$BQ$1004,1,MATCH(COLUMNS($AO$1006:AP1006),$AO$1006:$BQ$1006,0)))),"Fix")))</f>
        <v>#N/A</v>
      </c>
      <c r="D285" s="5" t="e">
        <f ca="1">IF(OR(INDEX($AI$2:$AI$1001,MATCH(ROWS($AH$2:AH285),$AH$2:$AH$1001,0),1)&gt;=100000,INDEX($AO$1005:$BQ$1005,1,MATCH(COLUMNS($AO$1006:AQ1006),$AO$1006:$BQ$1006,0))&gt;=100000), " ",IF(INDEX($AO$2:$BQ$1001,MATCH(ROWS($AH$2:AH285),$AH$2:$AH$1001,0),MATCH(COLUMNS($AO$1006:AQ1006),$AO$1006:$BQ$1006,0)), HYPERLINK("#",""), HYPERLINK(CONCATENATE("#Metadata!", ADDRESS(INDEX($AJ$2:$AJ$1001,MATCH(ROWS($AH$2:AH285),$AH$2:$AH$1001,0),0), INDEX($AO$1004:$BQ$1004,1,MATCH(COLUMNS($AO$1006:AQ1006),$AO$1006:$BQ$1006,0)))),"Fix")))</f>
        <v>#N/A</v>
      </c>
      <c r="E285" s="5" t="e">
        <f ca="1">IF(OR(INDEX($AI$2:$AI$1001,MATCH(ROWS($AH$2:AH285),$AH$2:$AH$1001,0),1)&gt;=100000,INDEX($AO$1005:$BQ$1005,1,MATCH(COLUMNS($AO$1006:AR1006),$AO$1006:$BQ$1006,0))&gt;=100000), " ",IF(INDEX($AO$2:$BQ$1001,MATCH(ROWS($AH$2:AH285),$AH$2:$AH$1001,0),MATCH(COLUMNS($AO$1006:AR1006),$AO$1006:$BQ$1006,0)), HYPERLINK("#",""), HYPERLINK(CONCATENATE("#Metadata!", ADDRESS(INDEX($AJ$2:$AJ$1001,MATCH(ROWS($AH$2:AH285),$AH$2:$AH$1001,0),0), INDEX($AO$1004:$BQ$1004,1,MATCH(COLUMNS($AO$1006:AR1006),$AO$1006:$BQ$1006,0)))),"Fix")))</f>
        <v>#N/A</v>
      </c>
      <c r="F285" s="5" t="e">
        <f ca="1">IF(OR(INDEX($AI$2:$AI$1001,MATCH(ROWS($AH$2:AH285),$AH$2:$AH$1001,0),1)&gt;=100000,INDEX($AO$1005:$BQ$1005,1,MATCH(COLUMNS($AO$1006:AS1006),$AO$1006:$BQ$1006,0))&gt;=100000), " ",IF(INDEX($AO$2:$BQ$1001,MATCH(ROWS($AH$2:AH285),$AH$2:$AH$1001,0),MATCH(COLUMNS($AO$1006:AS1006),$AO$1006:$BQ$1006,0)), HYPERLINK("#",""), HYPERLINK(CONCATENATE("#Metadata!", ADDRESS(INDEX($AJ$2:$AJ$1001,MATCH(ROWS($AH$2:AH285),$AH$2:$AH$1001,0),0), INDEX($AO$1004:$BQ$1004,1,MATCH(COLUMNS($AO$1006:AS1006),$AO$1006:$BQ$1006,0)))),"Fix")))</f>
        <v>#N/A</v>
      </c>
      <c r="G285" s="5" t="e">
        <f ca="1">IF(OR(INDEX($AI$2:$AI$1001,MATCH(ROWS($AH$2:AH285),$AH$2:$AH$1001,0),1)&gt;=100000,INDEX($AO$1005:$BQ$1005,1,MATCH(COLUMNS($AO$1006:AT1006),$AO$1006:$BQ$1006,0))&gt;=100000), " ",IF(INDEX($AO$2:$BQ$1001,MATCH(ROWS($AH$2:AH285),$AH$2:$AH$1001,0),MATCH(COLUMNS($AO$1006:AT1006),$AO$1006:$BQ$1006,0)), HYPERLINK("#",""), HYPERLINK(CONCATENATE("#Metadata!", ADDRESS(INDEX($AJ$2:$AJ$1001,MATCH(ROWS($AH$2:AH285),$AH$2:$AH$1001,0),0), INDEX($AO$1004:$BQ$1004,1,MATCH(COLUMNS($AO$1006:AT1006),$AO$1006:$BQ$1006,0)))),"Fix")))</f>
        <v>#N/A</v>
      </c>
      <c r="H285" s="5" t="e">
        <f ca="1">IF(OR(INDEX($AI$2:$AI$1001,MATCH(ROWS($AH$2:AH285),$AH$2:$AH$1001,0),1)&gt;=100000,INDEX($AO$1005:$BQ$1005,1,MATCH(COLUMNS($AO$1006:AU1006),$AO$1006:$BQ$1006,0))&gt;=100000), " ",IF(INDEX($AO$2:$BQ$1001,MATCH(ROWS($AH$2:AH285),$AH$2:$AH$1001,0),MATCH(COLUMNS($AO$1006:AU1006),$AO$1006:$BQ$1006,0)), HYPERLINK("#",""), HYPERLINK(CONCATENATE("#Metadata!", ADDRESS(INDEX($AJ$2:$AJ$1001,MATCH(ROWS($AH$2:AH285),$AH$2:$AH$1001,0),0), INDEX($AO$1004:$BQ$1004,1,MATCH(COLUMNS($AO$1006:AU1006),$AO$1006:$BQ$1006,0)))),"Fix")))</f>
        <v>#N/A</v>
      </c>
      <c r="I285" s="5" t="e">
        <f ca="1">IF(OR(INDEX($AI$2:$AI$1001,MATCH(ROWS($AH$2:AH285),$AH$2:$AH$1001,0),1)&gt;=100000,INDEX($AO$1005:$BQ$1005,1,MATCH(COLUMNS($AO$1006:AV1006),$AO$1006:$BQ$1006,0))&gt;=100000), " ",IF(INDEX($AO$2:$BQ$1001,MATCH(ROWS($AH$2:AH285),$AH$2:$AH$1001,0),MATCH(COLUMNS($AO$1006:AV1006),$AO$1006:$BQ$1006,0)), HYPERLINK("#",""), HYPERLINK(CONCATENATE("#Metadata!", ADDRESS(INDEX($AJ$2:$AJ$1001,MATCH(ROWS($AH$2:AH285),$AH$2:$AH$1001,0),0), INDEX($AO$1004:$BQ$1004,1,MATCH(COLUMNS($AO$1006:AV1006),$AO$1006:$BQ$1006,0)))),"Fix")))</f>
        <v>#N/A</v>
      </c>
      <c r="J285" s="5" t="e">
        <f ca="1">IF(OR(INDEX($AI$2:$AI$1001,MATCH(ROWS($AH$2:AH285),$AH$2:$AH$1001,0),1)&gt;=100000,INDEX($AO$1005:$BQ$1005,1,MATCH(COLUMNS($AO$1006:AW1006),$AO$1006:$BQ$1006,0))&gt;=100000), " ",IF(INDEX($AO$2:$BQ$1001,MATCH(ROWS($AH$2:AH285),$AH$2:$AH$1001,0),MATCH(COLUMNS($AO$1006:AW1006),$AO$1006:$BQ$1006,0)), HYPERLINK("#",""), HYPERLINK(CONCATENATE("#Metadata!", ADDRESS(INDEX($AJ$2:$AJ$1001,MATCH(ROWS($AH$2:AH285),$AH$2:$AH$1001,0),0), INDEX($AO$1004:$BQ$1004,1,MATCH(COLUMNS($AO$1006:AW1006),$AO$1006:$BQ$1006,0)))),"Fix")))</f>
        <v>#N/A</v>
      </c>
      <c r="K285" s="5" t="e">
        <f ca="1">IF(OR(INDEX($AI$2:$AI$1001,MATCH(ROWS($AH$2:AH285),$AH$2:$AH$1001,0),1)&gt;=100000,INDEX($AO$1005:$BQ$1005,1,MATCH(COLUMNS($AO$1006:AX1006),$AO$1006:$BQ$1006,0))&gt;=100000), " ",IF(INDEX($AO$2:$BQ$1001,MATCH(ROWS($AH$2:AH285),$AH$2:$AH$1001,0),MATCH(COLUMNS($AO$1006:AX1006),$AO$1006:$BQ$1006,0)), HYPERLINK("#",""), HYPERLINK(CONCATENATE("#Metadata!", ADDRESS(INDEX($AJ$2:$AJ$1001,MATCH(ROWS($AH$2:AH285),$AH$2:$AH$1001,0),0), INDEX($AO$1004:$BQ$1004,1,MATCH(COLUMNS($AO$1006:AX1006),$AO$1006:$BQ$1006,0)))),"Fix")))</f>
        <v>#N/A</v>
      </c>
      <c r="L285" s="5" t="e">
        <f ca="1">IF(OR(INDEX($AI$2:$AI$1001,MATCH(ROWS($AH$2:AH285),$AH$2:$AH$1001,0),1)&gt;=100000,INDEX($AO$1005:$BQ$1005,1,MATCH(COLUMNS($AO$1006:AY1006),$AO$1006:$BQ$1006,0))&gt;=100000), " ",IF(INDEX($AO$2:$BQ$1001,MATCH(ROWS($AH$2:AH285),$AH$2:$AH$1001,0),MATCH(COLUMNS($AO$1006:AY1006),$AO$1006:$BQ$1006,0)), HYPERLINK("#",""), HYPERLINK(CONCATENATE("#Metadata!", ADDRESS(INDEX($AJ$2:$AJ$1001,MATCH(ROWS($AH$2:AH285),$AH$2:$AH$1001,0),0), INDEX($AO$1004:$BQ$1004,1,MATCH(COLUMNS($AO$1006:AY1006),$AO$1006:$BQ$1006,0)))),"Fix")))</f>
        <v>#N/A</v>
      </c>
      <c r="M285" s="5" t="e">
        <f ca="1">IF(OR(INDEX($AI$2:$AI$1001,MATCH(ROWS($AH$2:AH285),$AH$2:$AH$1001,0),1)&gt;=100000,INDEX($AO$1005:$BQ$1005,1,MATCH(COLUMNS($AO$1006:AZ1006),$AO$1006:$BQ$1006,0))&gt;=100000), " ",IF(INDEX($AO$2:$BQ$1001,MATCH(ROWS($AH$2:AH285),$AH$2:$AH$1001,0),MATCH(COLUMNS($AO$1006:AZ1006),$AO$1006:$BQ$1006,0)), HYPERLINK("#",""), HYPERLINK(CONCATENATE("#Metadata!", ADDRESS(INDEX($AJ$2:$AJ$1001,MATCH(ROWS($AH$2:AH285),$AH$2:$AH$1001,0),0), INDEX($AO$1004:$BQ$1004,1,MATCH(COLUMNS($AO$1006:AZ1006),$AO$1006:$BQ$1006,0)))),"Fix")))</f>
        <v>#N/A</v>
      </c>
      <c r="N285" s="5" t="e">
        <f ca="1">IF(OR(INDEX($AI$2:$AI$1001,MATCH(ROWS($AH$2:AH285),$AH$2:$AH$1001,0),1)&gt;=100000,INDEX($AO$1005:$BQ$1005,1,MATCH(COLUMNS($AO$1006:BA1006),$AO$1006:$BQ$1006,0))&gt;=100000), " ",IF(INDEX($AO$2:$BQ$1001,MATCH(ROWS($AH$2:AH285),$AH$2:$AH$1001,0),MATCH(COLUMNS($AO$1006:BA1006),$AO$1006:$BQ$1006,0)), HYPERLINK("#",""), HYPERLINK(CONCATENATE("#Metadata!", ADDRESS(INDEX($AJ$2:$AJ$1001,MATCH(ROWS($AH$2:AH285),$AH$2:$AH$1001,0),0), INDEX($AO$1004:$BQ$1004,1,MATCH(COLUMNS($AO$1006:BA1006),$AO$1006:$BQ$1006,0)))),"Fix")))</f>
        <v>#N/A</v>
      </c>
      <c r="O285" s="5" t="e">
        <f ca="1">IF(OR(INDEX($AI$2:$AI$1001,MATCH(ROWS($AH$2:AH285),$AH$2:$AH$1001,0),1)&gt;=100000,INDEX($AO$1005:$BQ$1005,1,MATCH(COLUMNS($AO$1006:BB1006),$AO$1006:$BQ$1006,0))&gt;=100000), " ",IF(INDEX($AO$2:$BQ$1001,MATCH(ROWS($AH$2:AH285),$AH$2:$AH$1001,0),MATCH(COLUMNS($AO$1006:BB1006),$AO$1006:$BQ$1006,0)), HYPERLINK("#",""), HYPERLINK(CONCATENATE("#Metadata!", ADDRESS(INDEX($AJ$2:$AJ$1001,MATCH(ROWS($AH$2:AH285),$AH$2:$AH$1001,0),0), INDEX($AO$1004:$BQ$1004,1,MATCH(COLUMNS($AO$1006:BB1006),$AO$1006:$BQ$1006,0)))),"Fix")))</f>
        <v>#N/A</v>
      </c>
      <c r="P285" s="5" t="e">
        <f ca="1">IF(OR(INDEX($AI$2:$AI$1001,MATCH(ROWS($AH$2:AH285),$AH$2:$AH$1001,0),1)&gt;=100000,INDEX($AO$1005:$BQ$1005,1,MATCH(COLUMNS($AO$1006:BC1006),$AO$1006:$BQ$1006,0))&gt;=100000), " ",IF(INDEX($AO$2:$BQ$1001,MATCH(ROWS($AH$2:AH285),$AH$2:$AH$1001,0),MATCH(COLUMNS($AO$1006:BC1006),$AO$1006:$BQ$1006,0)), HYPERLINK("#",""), HYPERLINK(CONCATENATE("#Metadata!", ADDRESS(INDEX($AJ$2:$AJ$1001,MATCH(ROWS($AH$2:AH285),$AH$2:$AH$1001,0),0), INDEX($AO$1004:$BQ$1004,1,MATCH(COLUMNS($AO$1006:BC1006),$AO$1006:$BQ$1006,0)))),"Fix")))</f>
        <v>#N/A</v>
      </c>
      <c r="Q285" s="5" t="e">
        <f ca="1">IF(OR(INDEX($AI$2:$AI$1001,MATCH(ROWS($AH$2:AH285),$AH$2:$AH$1001,0),1)&gt;=100000,INDEX($AO$1005:$BQ$1005,1,MATCH(COLUMNS($AO$1006:BD1006),$AO$1006:$BQ$1006,0))&gt;=100000), " ",IF(INDEX($AO$2:$BQ$1001,MATCH(ROWS($AH$2:AH285),$AH$2:$AH$1001,0),MATCH(COLUMNS($AO$1006:BD1006),$AO$1006:$BQ$1006,0)), HYPERLINK("#",""), HYPERLINK(CONCATENATE("#Metadata!", ADDRESS(INDEX($AJ$2:$AJ$1001,MATCH(ROWS($AH$2:AH285),$AH$2:$AH$1001,0),0), INDEX($AO$1004:$BQ$1004,1,MATCH(COLUMNS($AO$1006:BD1006),$AO$1006:$BQ$1006,0)))),"Fix")))</f>
        <v>#N/A</v>
      </c>
      <c r="R285" s="5" t="e">
        <f ca="1">IF(OR(INDEX($AI$2:$AI$1001,MATCH(ROWS($AH$2:AH285),$AH$2:$AH$1001,0),1)&gt;=100000,INDEX($AO$1005:$BQ$1005,1,MATCH(COLUMNS($AO$1006:BE1006),$AO$1006:$BQ$1006,0))&gt;=100000), " ",IF(INDEX($AO$2:$BQ$1001,MATCH(ROWS($AH$2:AH285),$AH$2:$AH$1001,0),MATCH(COLUMNS($AO$1006:BE1006),$AO$1006:$BQ$1006,0)), HYPERLINK("#",""), HYPERLINK(CONCATENATE("#Metadata!", ADDRESS(INDEX($AJ$2:$AJ$1001,MATCH(ROWS($AH$2:AH285),$AH$2:$AH$1001,0),0), INDEX($AO$1004:$BQ$1004,1,MATCH(COLUMNS($AO$1006:BE1006),$AO$1006:$BQ$1006,0)))),"Fix")))</f>
        <v>#N/A</v>
      </c>
      <c r="S285" s="5" t="e">
        <f ca="1">IF(OR(INDEX($AI$2:$AI$1001,MATCH(ROWS($AH$2:AH285),$AH$2:$AH$1001,0),1)&gt;=100000,INDEX($AO$1005:$BQ$1005,1,MATCH(COLUMNS($AO$1006:BF1006),$AO$1006:$BQ$1006,0))&gt;=100000), " ",IF(INDEX($AO$2:$BQ$1001,MATCH(ROWS($AH$2:AH285),$AH$2:$AH$1001,0),MATCH(COLUMNS($AO$1006:BF1006),$AO$1006:$BQ$1006,0)), HYPERLINK("#",""), HYPERLINK(CONCATENATE("#Metadata!", ADDRESS(INDEX($AJ$2:$AJ$1001,MATCH(ROWS($AH$2:AH285),$AH$2:$AH$1001,0),0), INDEX($AO$1004:$BQ$1004,1,MATCH(COLUMNS($AO$1006:BF1006),$AO$1006:$BQ$1006,0)))),"Fix")))</f>
        <v>#N/A</v>
      </c>
      <c r="T285" s="5" t="e">
        <f ca="1">IF(OR(INDEX($AI$2:$AI$1001,MATCH(ROWS($AH$2:AH285),$AH$2:$AH$1001,0),1)&gt;=100000,INDEX($AO$1005:$BQ$1005,1,MATCH(COLUMNS($AO$1006:BG1006),$AO$1006:$BQ$1006,0))&gt;=100000), " ",IF(INDEX($AO$2:$BQ$1001,MATCH(ROWS($AH$2:AH285),$AH$2:$AH$1001,0),MATCH(COLUMNS($AO$1006:BG1006),$AO$1006:$BQ$1006,0)), HYPERLINK("#",""), HYPERLINK(CONCATENATE("#Metadata!", ADDRESS(INDEX($AJ$2:$AJ$1001,MATCH(ROWS($AH$2:AH285),$AH$2:$AH$1001,0),0), INDEX($AO$1004:$BQ$1004,1,MATCH(COLUMNS($AO$1006:BG1006),$AO$1006:$BQ$1006,0)))),"Fix")))</f>
        <v>#N/A</v>
      </c>
      <c r="U285" s="5" t="e">
        <f ca="1">IF(OR(INDEX($AI$2:$AI$1001,MATCH(ROWS($AH$2:AH285),$AH$2:$AH$1001,0),1)&gt;=100000,INDEX($AO$1005:$BQ$1005,1,MATCH(COLUMNS($AO$1006:BH1006),$AO$1006:$BQ$1006,0))&gt;=100000), " ",IF(INDEX($AO$2:$BQ$1001,MATCH(ROWS($AH$2:AH285),$AH$2:$AH$1001,0),MATCH(COLUMNS($AO$1006:BH1006),$AO$1006:$BQ$1006,0)), HYPERLINK("#",""), HYPERLINK(CONCATENATE("#Metadata!", ADDRESS(INDEX($AJ$2:$AJ$1001,MATCH(ROWS($AH$2:AH285),$AH$2:$AH$1001,0),0), INDEX($AO$1004:$BQ$1004,1,MATCH(COLUMNS($AO$1006:BH1006),$AO$1006:$BQ$1006,0)))),"Fix")))</f>
        <v>#N/A</v>
      </c>
      <c r="V285" s="5" t="e">
        <f ca="1">IF(OR(INDEX($AI$2:$AI$1001,MATCH(ROWS($AH$2:AH285),$AH$2:$AH$1001,0),1)&gt;=100000,INDEX($AO$1005:$BQ$1005,1,MATCH(COLUMNS($AO$1006:BI1006),$AO$1006:$BQ$1006,0))&gt;=100000), " ",IF(INDEX($AO$2:$BQ$1001,MATCH(ROWS($AH$2:AH285),$AH$2:$AH$1001,0),MATCH(COLUMNS($AO$1006:BI1006),$AO$1006:$BQ$1006,0)), HYPERLINK("#",""), HYPERLINK(CONCATENATE("#Metadata!", ADDRESS(INDEX($AJ$2:$AJ$1001,MATCH(ROWS($AH$2:AH285),$AH$2:$AH$1001,0),0), INDEX($AO$1004:$BQ$1004,1,MATCH(COLUMNS($AO$1006:BI1006),$AO$1006:$BQ$1006,0)))),"Fix")))</f>
        <v>#N/A</v>
      </c>
      <c r="W285" s="5" t="e">
        <f ca="1">IF(OR(INDEX($AI$2:$AI$1001,MATCH(ROWS($AH$2:AH285),$AH$2:$AH$1001,0),1)&gt;=100000,INDEX($AO$1005:$BQ$1005,1,MATCH(COLUMNS($AO$1006:BJ1006),$AO$1006:$BQ$1006,0))&gt;=100000), " ",IF(INDEX($AO$2:$BQ$1001,MATCH(ROWS($AH$2:AH285),$AH$2:$AH$1001,0),MATCH(COLUMNS($AO$1006:BJ1006),$AO$1006:$BQ$1006,0)), HYPERLINK("#",""), HYPERLINK(CONCATENATE("#Metadata!", ADDRESS(INDEX($AJ$2:$AJ$1001,MATCH(ROWS($AH$2:AH285),$AH$2:$AH$1001,0),0), INDEX($AO$1004:$BQ$1004,1,MATCH(COLUMNS($AO$1006:BJ1006),$AO$1006:$BQ$1006,0)))),"Fix")))</f>
        <v>#N/A</v>
      </c>
      <c r="X285" s="5" t="e">
        <f ca="1">IF(OR(INDEX($AI$2:$AI$1001,MATCH(ROWS($AH$2:AH285),$AH$2:$AH$1001,0),1)&gt;=100000,INDEX($AO$1005:$BQ$1005,1,MATCH(COLUMNS($AO$1006:BK1006),$AO$1006:$BQ$1006,0))&gt;=100000), " ",IF(INDEX($AO$2:$BQ$1001,MATCH(ROWS($AH$2:AH285),$AH$2:$AH$1001,0),MATCH(COLUMNS($AO$1006:BK1006),$AO$1006:$BQ$1006,0)), HYPERLINK("#",""), HYPERLINK(CONCATENATE("#Metadata!", ADDRESS(INDEX($AJ$2:$AJ$1001,MATCH(ROWS($AH$2:AH285),$AH$2:$AH$1001,0),0), INDEX($AO$1004:$BQ$1004,1,MATCH(COLUMNS($AO$1006:BK1006),$AO$1006:$BQ$1006,0)))),"Fix")))</f>
        <v>#N/A</v>
      </c>
      <c r="Y285" s="5" t="e">
        <f ca="1">IF(OR(INDEX($AI$2:$AI$1001,MATCH(ROWS($AH$2:AH285),$AH$2:$AH$1001,0),1)&gt;=100000,INDEX($AO$1005:$BQ$1005,1,MATCH(COLUMNS($AO$1006:BL1006),$AO$1006:$BQ$1006,0))&gt;=100000), " ",IF(INDEX($AO$2:$BQ$1001,MATCH(ROWS($AH$2:AH285),$AH$2:$AH$1001,0),MATCH(COLUMNS($AO$1006:BL1006),$AO$1006:$BQ$1006,0)), HYPERLINK("#",""), HYPERLINK(CONCATENATE("#Metadata!", ADDRESS(INDEX($AJ$2:$AJ$1001,MATCH(ROWS($AH$2:AH285),$AH$2:$AH$1001,0),0), INDEX($AO$1004:$BQ$1004,1,MATCH(COLUMNS($AO$1006:BL1006),$AO$1006:$BQ$1006,0)))),"Fix")))</f>
        <v>#N/A</v>
      </c>
      <c r="Z285" s="5" t="e">
        <f ca="1">IF(OR(INDEX($AI$2:$AI$1001,MATCH(ROWS($AH$2:AH285),$AH$2:$AH$1001,0),1)&gt;=100000,INDEX($AO$1005:$BQ$1005,1,MATCH(COLUMNS($AO$1006:BM1006),$AO$1006:$BQ$1006,0))&gt;=100000), " ",IF(INDEX($AO$2:$BQ$1001,MATCH(ROWS($AH$2:AH285),$AH$2:$AH$1001,0),MATCH(COLUMNS($AO$1006:BM1006),$AO$1006:$BQ$1006,0)), HYPERLINK("#",""), HYPERLINK(CONCATENATE("#Metadata!", ADDRESS(INDEX($AJ$2:$AJ$1001,MATCH(ROWS($AH$2:AH285),$AH$2:$AH$1001,0),0), INDEX($AO$1004:$BQ$1004,1,MATCH(COLUMNS($AO$1006:BM1006),$AO$1006:$BQ$1006,0)))),"Fix")))</f>
        <v>#N/A</v>
      </c>
      <c r="AA285" s="5" t="e">
        <f ca="1">IF(OR(INDEX($AI$2:$AI$1001,MATCH(ROWS($AH$2:AH285),$AH$2:$AH$1001,0),1)&gt;=100000,INDEX($AO$1005:$BQ$1005,1,MATCH(COLUMNS($AO$1006:BN1006),$AO$1006:$BQ$1006,0))&gt;=100000), " ",IF(INDEX($AO$2:$BQ$1001,MATCH(ROWS($AH$2:AH285),$AH$2:$AH$1001,0),MATCH(COLUMNS($AO$1006:BN1006),$AO$1006:$BQ$1006,0)), HYPERLINK("#",""), HYPERLINK(CONCATENATE("#Metadata!", ADDRESS(INDEX($AJ$2:$AJ$1001,MATCH(ROWS($AH$2:AH285),$AH$2:$AH$1001,0),0), INDEX($AO$1004:$BQ$1004,1,MATCH(COLUMNS($AO$1006:BN1006),$AO$1006:$BQ$1006,0)))),"Fix")))</f>
        <v>#N/A</v>
      </c>
      <c r="AB285" s="5" t="e">
        <f ca="1">IF(OR(INDEX($AI$2:$AI$1001,MATCH(ROWS($AH$2:AH285),$AH$2:$AH$1001,0),1)&gt;=100000,INDEX($AO$1005:$BQ$1005,1,MATCH(COLUMNS($AO$1006:BO1006),$AO$1006:$BQ$1006,0))&gt;=100000), " ",IF(INDEX($AO$2:$BQ$1001,MATCH(ROWS($AH$2:AH285),$AH$2:$AH$1001,0),MATCH(COLUMNS($AO$1006:BO1006),$AO$1006:$BQ$1006,0)), HYPERLINK("#",""), HYPERLINK(CONCATENATE("#Metadata!", ADDRESS(INDEX($AJ$2:$AJ$1001,MATCH(ROWS($AH$2:AH285),$AH$2:$AH$1001,0),0), INDEX($AO$1004:$BQ$1004,1,MATCH(COLUMNS($AO$1006:BO1006),$AO$1006:$BQ$1006,0)))),"Fix")))</f>
        <v>#N/A</v>
      </c>
      <c r="AC285" s="5" t="e">
        <f ca="1">IF(OR(INDEX($AI$2:$AI$1001,MATCH(ROWS($AH$2:AH285),$AH$2:$AH$1001,0),1)&gt;=100000,INDEX($AO$1005:$BQ$1005,1,MATCH(COLUMNS($AO$1006:BP1006),$AO$1006:$BQ$1006,0))&gt;=100000), " ",IF(INDEX($AO$2:$BQ$1001,MATCH(ROWS($AH$2:AH285),$AH$2:$AH$1001,0),MATCH(COLUMNS($AO$1006:BP1006),$AO$1006:$BQ$1006,0)), HYPERLINK("#",""), HYPERLINK(CONCATENATE("#Metadata!", ADDRESS(INDEX($AJ$2:$AJ$1001,MATCH(ROWS($AH$2:AH285),$AH$2:$AH$1001,0),0), INDEX($AO$1004:$BQ$1004,1,MATCH(COLUMNS($AO$1006:BP1006),$AO$1006:$BQ$1006,0)))),"Fix")))</f>
        <v>#N/A</v>
      </c>
      <c r="AD285" s="5" t="e">
        <f ca="1">IF(OR(INDEX($AI$2:$AI$1001,MATCH(ROWS($AH$2:AH285),$AH$2:$AH$1001,0),1)&gt;=100000,INDEX($AO$1005:$BQ$1005,1,MATCH(COLUMNS($AO$1006:BQ1006),$AO$1006:$BQ$1006,0))&gt;=100000), " ",IF(INDEX($AO$2:$BQ$1001,MATCH(ROWS($AH$2:AH285),$AH$2:$AH$1001,0),MATCH(COLUMNS($AO$1006:BQ1006),$AO$1006:$BQ$1006,0)), HYPERLINK("#",""), HYPERLINK(CONCATENATE("#Metadata!", ADDRESS(INDEX($AJ$2:$AJ$1001,MATCH(ROWS($AH$2:AH285),$AH$2:$AH$1001,0),0), INDEX($AO$1004:$BQ$1004,1,MATCH(COLUMNS($AO$1006:BQ1006),$AO$1006:$BQ$1006,0)))),"Fix")))</f>
        <v>#REF!</v>
      </c>
      <c r="AH285">
        <f ca="1"/>
        <v>282</v>
      </c>
      <c r="AI285">
        <v>100285</v>
      </c>
      <c r="AJ285">
        <v>285</v>
      </c>
      <c r="AK285" t="b">
        <f t="shared" si="4"/>
        <v>1</v>
      </c>
      <c r="AL285" t="b">
        <f>COUNTBLANK(Metadata!B285:AD285)=COLUMNS(Metadata!B285:AD285)</f>
        <v>1</v>
      </c>
      <c r="AM285" t="str">
        <v/>
      </c>
      <c r="AO285" t="b">
        <f ca="1">AND(IF(Metadata!B285="",FALSE,TRUE),COUNTIF(Metadata!B:B, Metadata!B285) = 1,NOT(ISERROR(SUMPRODUCT(SEARCH(MID(Metadata!B285,ROW(INDIRECT("1:"&amp;LEN(Metadata!B285))), 1),"0123456789abcdefghijklmnopqrstuvwxyzABCDEFGHIJKLMNOPQRSTUVWXYZ.")))))</f>
        <v>0</v>
      </c>
      <c r="AP285" t="b">
        <f>IF(Metadata!C285="",FALSE,TRUE)</f>
        <v>0</v>
      </c>
      <c r="AQ285" t="b">
        <f>IF(Metadata!D285="",FALSE,TRUE)</f>
        <v>0</v>
      </c>
      <c r="AR285" t="b">
        <f ca="1">OR(AND(IF(Metadata!E285="",FALSE,TRUE),OR(EXACT(Metadata!E285,"not collected"),EXACT(Metadata!E285,"not provided"),EXACT(Metadata!E285,"restricted access"))),AND(IF(Metadata!E285="",FALSE,TRUE),AND(AND(IFERROR(INT(LEFT(Metadata!E285,4))&gt;1900,FALSE),IFERROR(INT(LEFT(Metadata!E285,4))&lt;=YEAR(NOW()),FALSE)), OR(MID(Metadata!E285,5,1)="", AND(AND(MID(Metadata!E285,5,1)="-",IFERROR(INT(MID(Metadata!E285,6,1))&gt;=0,FALSE),IFERROR(INT(MID(Metadata!E285,6,1))&lt;=1,FALSE),NOT(MID(Metadata!E285,7,1)=""),IFERROR(INT(MID(Metadata!E285,6,2))&gt;=1,FALSE),IFERROR(INT(MID(Metadata!E285,6,2))&lt;=12,FALSE)), OR(MID(Metadata!E285,8,1)="", AND(AND(MID(Metadata!E285,8,1)="-",IFERROR(INT(MID(Metadata!E285,9,1))&gt;=0,FALSE),IFERROR(INT(MID(Metadata!E285,9,1))&lt;=3,FALSE),NOT(MID(Metadata!E285,10,1)=""),IFERROR(INT(MID(Metadata!E285,9,2))&gt;=1,FALSE),IFERROR(INT(MID(Metadata!E285,9,2))&lt;=31,FALSE)), OR(MID(Metadata!E285,11,1)="", AND(AND(MID(Metadata!E285,11,1)=" ",IFERROR(INT(MID(Metadata!E285,12,1))&gt;=0,FALSE),IFERROR(INT(MID(Metadata!E285,12,1))&lt;=2,FALSE),NOT(MID(Metadata!E285,13,1)=""),IFERROR(INT(MID(Metadata!E285,12,2))&gt;=0,FALSE),IFERROR(INT(MID(Metadata!E285,12,2))&lt;=23,FALSE)), OR(MID(Metadata!E285,14,1)="", AND(AND(MID(Metadata!E285,14,1)=":",IFERROR(INT(MID(Metadata!E285,15,1))&gt;=0,FALSE),IFERROR(INT(MID(Metadata!E285,15,1))&lt;=5,FALSE),NOT(MID(Metadata!E285,16,1)=""),IFERROR(INT(MID(Metadata!E285,15,2))&gt;=0,FALSE),IFERROR(INT(MID(Metadata!E285,15,2))&lt;=59,FALSE)), OR(MID(Metadata!E285,17,1)="", AND(AND(MID(Metadata!E285,17,1)=":",IFERROR(INT(MID(Metadata!E285,18,1))&gt;=0,FALSE),IFERROR(INT(MID(Metadata!E285,18,1))&lt;=5,FALSE),NOT(MID(Metadata!E285,19,1)=""),IFERROR(INT(MID(Metadata!E285,18,2))&gt;=0,FALSE),IFERROR(INT(MID(Metadata!E285,18,2))&lt;=59,FALSE)), LEN(Metadata!E285)&lt;=19)))))))))))))</f>
        <v>0</v>
      </c>
      <c r="AS285" t="b">
        <f>IF(Metadata!F285="",FALSE,TRUE)</f>
        <v>0</v>
      </c>
      <c r="AT285" t="b">
        <f>OR(AND(IF(Metadata!G285="",FALSE,TRUE),OR(EXACT(Metadata!G285,"not collected"),EXACT(Metadata!G285,"not provided"))),AND(IF(Metadata!G285="",FALSE,TRUE),OR(EXACT(Metadata!G285,"TRUE"),EXACT(Metadata!G285,"FALSE"))))</f>
        <v>0</v>
      </c>
      <c r="AU285" t="b">
        <f>OR(AND(IF(Metadata!H285="",FALSE,TRUE),OR(EXACT(Metadata!H285,"not collected"),EXACT(Metadata!H285,"not provided"),EXACT(Metadata!H285,"restricted access"))),AND(IF(Metadata!H285="",FALSE,ISNUMBER(VALUE(Metadata!H285))),Metadata!H285&gt;=-413))</f>
        <v>0</v>
      </c>
      <c r="AV285" t="b">
        <f>AND(IF(Metadata!I285="",FALSE,TRUE),EXACT(Metadata!I285,"meters"))</f>
        <v>0</v>
      </c>
      <c r="AW285" t="b">
        <f>AND(IF(Metadata!J285="",FALSE,TRUE),EXACT(Metadata!J285,"free-living"))</f>
        <v>0</v>
      </c>
      <c r="AX285" t="b">
        <f>AND(IF(Metadata!K285="",FALSE,TRUE),OR(EXACT(Metadata!K285,"saline"),EXACT(Metadata!K285,"non-saline")))</f>
        <v>0</v>
      </c>
      <c r="AY285" t="b">
        <f>AND(IF(Metadata!L285="",FALSE,TRUE),OR(EXACT(Metadata!L285,"sub-surface (non-saline)"),EXACT(Metadata!L285,"surface (non-saline)"),EXACT(Metadata!L285,"water (non-saline)"),EXACT(Metadata!L285,"soil (non-saline)"),EXACT(Metadata!L285,"aerosol (non-saline)"),EXACT(Metadata!L285,"sediment (non-saline)"),EXACT(Metadata!L285,"surface (saline)"),EXACT(Metadata!L285,"water (saline)"),EXACT(Metadata!L285,"hypersaline (saline)"),EXACT(Metadata!L285,"aerosol (saline)"),EXACT(Metadata!L285,"sediment (saline)")))</f>
        <v>0</v>
      </c>
      <c r="AZ285" t="b">
        <f>IF(Metadata!M285="",FALSE,TRUE)</f>
        <v>0</v>
      </c>
      <c r="BA285" t="b">
        <f>IF(Metadata!N285="",FALSE,TRUE)</f>
        <v>0</v>
      </c>
      <c r="BB285" t="b">
        <f>IF(Metadata!O285="",FALSE,TRUE)</f>
        <v>0</v>
      </c>
      <c r="BC285" t="b">
        <f>AND(IF(Metadata!P285="",FALSE,TRUE),OR(EXACT(Metadata!P285,"air"),EXACT(Metadata!P285,"microbial mat/biofilm"),EXACT(Metadata!P285,"misc environment"),EXACT(Metadata!P285,"sediment"),EXACT(Metadata!P285,"soil"),EXACT(Metadata!P285,"wastewater/sludge"),EXACT(Metadata!P285,"water")))</f>
        <v>0</v>
      </c>
      <c r="BD285" t="b">
        <f>IF(Metadata!Q285="",FALSE,TRUE)</f>
        <v>0</v>
      </c>
      <c r="BE285" t="b">
        <f>IF(Metadata!R285="",FALSE,TRUE)</f>
        <v>0</v>
      </c>
      <c r="BF285" t="b">
        <f>OR(AND(IF(Metadata!S285="",FALSE,TRUE),OR(EXACT(Metadata!S285,"not collected"),EXACT(Metadata!S285,"not provided"),EXACT(Metadata!S285,"restricted access"))),AND(IF(Metadata!S285="",FALSE,ISNUMBER(VALUE(Metadata!S285))),Metadata!S285&gt;=-90,Metadata!S285&lt;=90))</f>
        <v>0</v>
      </c>
      <c r="BG285" t="b">
        <f>AND(IF(Metadata!T285="",FALSE,TRUE),EXACT(Metadata!T285,"Decimal degrees"))</f>
        <v>0</v>
      </c>
      <c r="BH285" t="b">
        <f>OR(AND(IF(Metadata!U285="",FALSE,TRUE),OR(EXACT(Metadata!U285,"not applicable"),EXACT(Metadata!U285,"not collected"))),IF(Metadata!U285="",FALSE,TRUE))</f>
        <v>0</v>
      </c>
      <c r="BI285" t="b">
        <f>OR(AND(IF(Metadata!V285="",FALSE,TRUE),OR(EXACT(Metadata!V285,"not collected"),EXACT(Metadata!V285,"not provided"),EXACT(Metadata!V285,"restricted access"))),AND(IF(Metadata!V285="",FALSE,ISNUMBER(VALUE(Metadata!V285))),Metadata!V285&gt;=-180,Metadata!V285&lt;=180))</f>
        <v>0</v>
      </c>
      <c r="BJ285" t="b">
        <f>AND(IF(Metadata!W285="",FALSE,TRUE),EXACT(Metadata!W285,"Decimal degrees"))</f>
        <v>0</v>
      </c>
      <c r="BK285" t="b">
        <f>IF(Metadata!X285="",FALSE,TRUE)</f>
        <v>0</v>
      </c>
      <c r="BL285" t="b">
        <f>OR(AND(IF(Metadata!Y285="",FALSE,TRUE),OR(EXACT(Metadata!Y285,"not collected"),EXACT(Metadata!Y285,"not provided"),EXACT(Metadata!Y285,"restricted access"))),AND(IF(Metadata!Y285="",FALSE,TRUE),OR(EXACT(Metadata!Y285,"TRUE"),EXACT(Metadata!Y285,"FALSE"))))</f>
        <v>0</v>
      </c>
      <c r="BM285" t="b">
        <f>OR(AND(IF(Metadata!Z285="",FALSE,TRUE),EXACT(Metadata!Z285,"not applicable")),AND(IF(Metadata!Z285="",FALSE,TRUE),OR(EXACT(Metadata!Z285,"beer"),EXACT(Metadata!Z285,"cheese"),EXACT(Metadata!Z285,"fresh water"),EXACT(Metadata!Z285,"marine sediment"),EXACT(Metadata!Z285,"sea water"),EXACT(Metadata!Z285,"sediment"),EXACT(Metadata!Z285,"soil"),EXACT(Metadata!Z285,"waste water"))))</f>
        <v>0</v>
      </c>
      <c r="BN285" t="b">
        <f>AND(IF(Metadata!AA285="",FALSE,TRUE),EXACT(Metadata!AA285,"metagenome"))</f>
        <v>0</v>
      </c>
      <c r="BO285" t="b">
        <f>AND(IF(Metadata!AB285="",FALSE,TRUE),EXACT(Metadata!AB285,"256318"))</f>
        <v>0</v>
      </c>
      <c r="BP285" t="b">
        <f>IF(Metadata!AC285="",FALSE,TRUE)</f>
        <v>0</v>
      </c>
      <c r="BQ285" t="b">
        <f>IF(Metadata!AD285="",FALSE,TRUE)</f>
        <v>0</v>
      </c>
    </row>
    <row r="286" spans="1:69" x14ac:dyDescent="0.2">
      <c r="A286" s="4" t="e">
        <f ca="1">IF(B286=" "," ",HYPERLINK(CONCATENATE("#metadata!",ADDRESS(INDEX($AJ$2:$AJ$1001,MATCH(ROWS($AH$2:AH286),$AH$2:$AH$1001,0),0),2)),INDEX($AM$2:$AM$1001,MATCH(ROWS($AH$2:AH286),$AH$2:$AH$1001,0),0)))</f>
        <v>#N/A</v>
      </c>
      <c r="B286" s="5" t="e">
        <f ca="1">IF(OR(INDEX($AI$2:$AI$1001,MATCH(ROWS($AH$2:AH286),$AH$2:$AH$1001,0),1)&gt;=100000,INDEX($AO$1005:$BQ$1005,1,MATCH(COLUMNS($AO$1006:AO1006),$AO$1006:$BQ$1006,0))&gt;=100000), " ",IF(INDEX($AO$2:$BQ$1001,MATCH(ROWS($AH$2:AH286),$AH$2:$AH$1001,0),MATCH(COLUMNS($AO$1006:AO1006),$AO$1006:$BQ$1006,0)), HYPERLINK("#",""), HYPERLINK(CONCATENATE("#Metadata!", ADDRESS(INDEX($AJ$2:$AJ$1001,MATCH(ROWS($AH$2:AH286),$AH$2:$AH$1001,0),0), INDEX($AO$1004:$BQ$1004,1,MATCH(COLUMNS($AO$1006:AO1006),$AO$1006:$BQ$1006,0)))),"Fix")))</f>
        <v>#N/A</v>
      </c>
      <c r="C286" s="5" t="e">
        <f ca="1">IF(OR(INDEX($AI$2:$AI$1001,MATCH(ROWS($AH$2:AH286),$AH$2:$AH$1001,0),1)&gt;=100000,INDEX($AO$1005:$BQ$1005,1,MATCH(COLUMNS($AO$1006:AP1006),$AO$1006:$BQ$1006,0))&gt;=100000), " ",IF(INDEX($AO$2:$BQ$1001,MATCH(ROWS($AH$2:AH286),$AH$2:$AH$1001,0),MATCH(COLUMNS($AO$1006:AP1006),$AO$1006:$BQ$1006,0)), HYPERLINK("#",""), HYPERLINK(CONCATENATE("#Metadata!", ADDRESS(INDEX($AJ$2:$AJ$1001,MATCH(ROWS($AH$2:AH286),$AH$2:$AH$1001,0),0), INDEX($AO$1004:$BQ$1004,1,MATCH(COLUMNS($AO$1006:AP1006),$AO$1006:$BQ$1006,0)))),"Fix")))</f>
        <v>#N/A</v>
      </c>
      <c r="D286" s="5" t="e">
        <f ca="1">IF(OR(INDEX($AI$2:$AI$1001,MATCH(ROWS($AH$2:AH286),$AH$2:$AH$1001,0),1)&gt;=100000,INDEX($AO$1005:$BQ$1005,1,MATCH(COLUMNS($AO$1006:AQ1006),$AO$1006:$BQ$1006,0))&gt;=100000), " ",IF(INDEX($AO$2:$BQ$1001,MATCH(ROWS($AH$2:AH286),$AH$2:$AH$1001,0),MATCH(COLUMNS($AO$1006:AQ1006),$AO$1006:$BQ$1006,0)), HYPERLINK("#",""), HYPERLINK(CONCATENATE("#Metadata!", ADDRESS(INDEX($AJ$2:$AJ$1001,MATCH(ROWS($AH$2:AH286),$AH$2:$AH$1001,0),0), INDEX($AO$1004:$BQ$1004,1,MATCH(COLUMNS($AO$1006:AQ1006),$AO$1006:$BQ$1006,0)))),"Fix")))</f>
        <v>#N/A</v>
      </c>
      <c r="E286" s="5" t="e">
        <f ca="1">IF(OR(INDEX($AI$2:$AI$1001,MATCH(ROWS($AH$2:AH286),$AH$2:$AH$1001,0),1)&gt;=100000,INDEX($AO$1005:$BQ$1005,1,MATCH(COLUMNS($AO$1006:AR1006),$AO$1006:$BQ$1006,0))&gt;=100000), " ",IF(INDEX($AO$2:$BQ$1001,MATCH(ROWS($AH$2:AH286),$AH$2:$AH$1001,0),MATCH(COLUMNS($AO$1006:AR1006),$AO$1006:$BQ$1006,0)), HYPERLINK("#",""), HYPERLINK(CONCATENATE("#Metadata!", ADDRESS(INDEX($AJ$2:$AJ$1001,MATCH(ROWS($AH$2:AH286),$AH$2:$AH$1001,0),0), INDEX($AO$1004:$BQ$1004,1,MATCH(COLUMNS($AO$1006:AR1006),$AO$1006:$BQ$1006,0)))),"Fix")))</f>
        <v>#N/A</v>
      </c>
      <c r="F286" s="5" t="e">
        <f ca="1">IF(OR(INDEX($AI$2:$AI$1001,MATCH(ROWS($AH$2:AH286),$AH$2:$AH$1001,0),1)&gt;=100000,INDEX($AO$1005:$BQ$1005,1,MATCH(COLUMNS($AO$1006:AS1006),$AO$1006:$BQ$1006,0))&gt;=100000), " ",IF(INDEX($AO$2:$BQ$1001,MATCH(ROWS($AH$2:AH286),$AH$2:$AH$1001,0),MATCH(COLUMNS($AO$1006:AS1006),$AO$1006:$BQ$1006,0)), HYPERLINK("#",""), HYPERLINK(CONCATENATE("#Metadata!", ADDRESS(INDEX($AJ$2:$AJ$1001,MATCH(ROWS($AH$2:AH286),$AH$2:$AH$1001,0),0), INDEX($AO$1004:$BQ$1004,1,MATCH(COLUMNS($AO$1006:AS1006),$AO$1006:$BQ$1006,0)))),"Fix")))</f>
        <v>#N/A</v>
      </c>
      <c r="G286" s="5" t="e">
        <f ca="1">IF(OR(INDEX($AI$2:$AI$1001,MATCH(ROWS($AH$2:AH286),$AH$2:$AH$1001,0),1)&gt;=100000,INDEX($AO$1005:$BQ$1005,1,MATCH(COLUMNS($AO$1006:AT1006),$AO$1006:$BQ$1006,0))&gt;=100000), " ",IF(INDEX($AO$2:$BQ$1001,MATCH(ROWS($AH$2:AH286),$AH$2:$AH$1001,0),MATCH(COLUMNS($AO$1006:AT1006),$AO$1006:$BQ$1006,0)), HYPERLINK("#",""), HYPERLINK(CONCATENATE("#Metadata!", ADDRESS(INDEX($AJ$2:$AJ$1001,MATCH(ROWS($AH$2:AH286),$AH$2:$AH$1001,0),0), INDEX($AO$1004:$BQ$1004,1,MATCH(COLUMNS($AO$1006:AT1006),$AO$1006:$BQ$1006,0)))),"Fix")))</f>
        <v>#N/A</v>
      </c>
      <c r="H286" s="5" t="e">
        <f ca="1">IF(OR(INDEX($AI$2:$AI$1001,MATCH(ROWS($AH$2:AH286),$AH$2:$AH$1001,0),1)&gt;=100000,INDEX($AO$1005:$BQ$1005,1,MATCH(COLUMNS($AO$1006:AU1006),$AO$1006:$BQ$1006,0))&gt;=100000), " ",IF(INDEX($AO$2:$BQ$1001,MATCH(ROWS($AH$2:AH286),$AH$2:$AH$1001,0),MATCH(COLUMNS($AO$1006:AU1006),$AO$1006:$BQ$1006,0)), HYPERLINK("#",""), HYPERLINK(CONCATENATE("#Metadata!", ADDRESS(INDEX($AJ$2:$AJ$1001,MATCH(ROWS($AH$2:AH286),$AH$2:$AH$1001,0),0), INDEX($AO$1004:$BQ$1004,1,MATCH(COLUMNS($AO$1006:AU1006),$AO$1006:$BQ$1006,0)))),"Fix")))</f>
        <v>#N/A</v>
      </c>
      <c r="I286" s="5" t="e">
        <f ca="1">IF(OR(INDEX($AI$2:$AI$1001,MATCH(ROWS($AH$2:AH286),$AH$2:$AH$1001,0),1)&gt;=100000,INDEX($AO$1005:$BQ$1005,1,MATCH(COLUMNS($AO$1006:AV1006),$AO$1006:$BQ$1006,0))&gt;=100000), " ",IF(INDEX($AO$2:$BQ$1001,MATCH(ROWS($AH$2:AH286),$AH$2:$AH$1001,0),MATCH(COLUMNS($AO$1006:AV1006),$AO$1006:$BQ$1006,0)), HYPERLINK("#",""), HYPERLINK(CONCATENATE("#Metadata!", ADDRESS(INDEX($AJ$2:$AJ$1001,MATCH(ROWS($AH$2:AH286),$AH$2:$AH$1001,0),0), INDEX($AO$1004:$BQ$1004,1,MATCH(COLUMNS($AO$1006:AV1006),$AO$1006:$BQ$1006,0)))),"Fix")))</f>
        <v>#N/A</v>
      </c>
      <c r="J286" s="5" t="e">
        <f ca="1">IF(OR(INDEX($AI$2:$AI$1001,MATCH(ROWS($AH$2:AH286),$AH$2:$AH$1001,0),1)&gt;=100000,INDEX($AO$1005:$BQ$1005,1,MATCH(COLUMNS($AO$1006:AW1006),$AO$1006:$BQ$1006,0))&gt;=100000), " ",IF(INDEX($AO$2:$BQ$1001,MATCH(ROWS($AH$2:AH286),$AH$2:$AH$1001,0),MATCH(COLUMNS($AO$1006:AW1006),$AO$1006:$BQ$1006,0)), HYPERLINK("#",""), HYPERLINK(CONCATENATE("#Metadata!", ADDRESS(INDEX($AJ$2:$AJ$1001,MATCH(ROWS($AH$2:AH286),$AH$2:$AH$1001,0),0), INDEX($AO$1004:$BQ$1004,1,MATCH(COLUMNS($AO$1006:AW1006),$AO$1006:$BQ$1006,0)))),"Fix")))</f>
        <v>#N/A</v>
      </c>
      <c r="K286" s="5" t="e">
        <f ca="1">IF(OR(INDEX($AI$2:$AI$1001,MATCH(ROWS($AH$2:AH286),$AH$2:$AH$1001,0),1)&gt;=100000,INDEX($AO$1005:$BQ$1005,1,MATCH(COLUMNS($AO$1006:AX1006),$AO$1006:$BQ$1006,0))&gt;=100000), " ",IF(INDEX($AO$2:$BQ$1001,MATCH(ROWS($AH$2:AH286),$AH$2:$AH$1001,0),MATCH(COLUMNS($AO$1006:AX1006),$AO$1006:$BQ$1006,0)), HYPERLINK("#",""), HYPERLINK(CONCATENATE("#Metadata!", ADDRESS(INDEX($AJ$2:$AJ$1001,MATCH(ROWS($AH$2:AH286),$AH$2:$AH$1001,0),0), INDEX($AO$1004:$BQ$1004,1,MATCH(COLUMNS($AO$1006:AX1006),$AO$1006:$BQ$1006,0)))),"Fix")))</f>
        <v>#N/A</v>
      </c>
      <c r="L286" s="5" t="e">
        <f ca="1">IF(OR(INDEX($AI$2:$AI$1001,MATCH(ROWS($AH$2:AH286),$AH$2:$AH$1001,0),1)&gt;=100000,INDEX($AO$1005:$BQ$1005,1,MATCH(COLUMNS($AO$1006:AY1006),$AO$1006:$BQ$1006,0))&gt;=100000), " ",IF(INDEX($AO$2:$BQ$1001,MATCH(ROWS($AH$2:AH286),$AH$2:$AH$1001,0),MATCH(COLUMNS($AO$1006:AY1006),$AO$1006:$BQ$1006,0)), HYPERLINK("#",""), HYPERLINK(CONCATENATE("#Metadata!", ADDRESS(INDEX($AJ$2:$AJ$1001,MATCH(ROWS($AH$2:AH286),$AH$2:$AH$1001,0),0), INDEX($AO$1004:$BQ$1004,1,MATCH(COLUMNS($AO$1006:AY1006),$AO$1006:$BQ$1006,0)))),"Fix")))</f>
        <v>#N/A</v>
      </c>
      <c r="M286" s="5" t="e">
        <f ca="1">IF(OR(INDEX($AI$2:$AI$1001,MATCH(ROWS($AH$2:AH286),$AH$2:$AH$1001,0),1)&gt;=100000,INDEX($AO$1005:$BQ$1005,1,MATCH(COLUMNS($AO$1006:AZ1006),$AO$1006:$BQ$1006,0))&gt;=100000), " ",IF(INDEX($AO$2:$BQ$1001,MATCH(ROWS($AH$2:AH286),$AH$2:$AH$1001,0),MATCH(COLUMNS($AO$1006:AZ1006),$AO$1006:$BQ$1006,0)), HYPERLINK("#",""), HYPERLINK(CONCATENATE("#Metadata!", ADDRESS(INDEX($AJ$2:$AJ$1001,MATCH(ROWS($AH$2:AH286),$AH$2:$AH$1001,0),0), INDEX($AO$1004:$BQ$1004,1,MATCH(COLUMNS($AO$1006:AZ1006),$AO$1006:$BQ$1006,0)))),"Fix")))</f>
        <v>#N/A</v>
      </c>
      <c r="N286" s="5" t="e">
        <f ca="1">IF(OR(INDEX($AI$2:$AI$1001,MATCH(ROWS($AH$2:AH286),$AH$2:$AH$1001,0),1)&gt;=100000,INDEX($AO$1005:$BQ$1005,1,MATCH(COLUMNS($AO$1006:BA1006),$AO$1006:$BQ$1006,0))&gt;=100000), " ",IF(INDEX($AO$2:$BQ$1001,MATCH(ROWS($AH$2:AH286),$AH$2:$AH$1001,0),MATCH(COLUMNS($AO$1006:BA1006),$AO$1006:$BQ$1006,0)), HYPERLINK("#",""), HYPERLINK(CONCATENATE("#Metadata!", ADDRESS(INDEX($AJ$2:$AJ$1001,MATCH(ROWS($AH$2:AH286),$AH$2:$AH$1001,0),0), INDEX($AO$1004:$BQ$1004,1,MATCH(COLUMNS($AO$1006:BA1006),$AO$1006:$BQ$1006,0)))),"Fix")))</f>
        <v>#N/A</v>
      </c>
      <c r="O286" s="5" t="e">
        <f ca="1">IF(OR(INDEX($AI$2:$AI$1001,MATCH(ROWS($AH$2:AH286),$AH$2:$AH$1001,0),1)&gt;=100000,INDEX($AO$1005:$BQ$1005,1,MATCH(COLUMNS($AO$1006:BB1006),$AO$1006:$BQ$1006,0))&gt;=100000), " ",IF(INDEX($AO$2:$BQ$1001,MATCH(ROWS($AH$2:AH286),$AH$2:$AH$1001,0),MATCH(COLUMNS($AO$1006:BB1006),$AO$1006:$BQ$1006,0)), HYPERLINK("#",""), HYPERLINK(CONCATENATE("#Metadata!", ADDRESS(INDEX($AJ$2:$AJ$1001,MATCH(ROWS($AH$2:AH286),$AH$2:$AH$1001,0),0), INDEX($AO$1004:$BQ$1004,1,MATCH(COLUMNS($AO$1006:BB1006),$AO$1006:$BQ$1006,0)))),"Fix")))</f>
        <v>#N/A</v>
      </c>
      <c r="P286" s="5" t="e">
        <f ca="1">IF(OR(INDEX($AI$2:$AI$1001,MATCH(ROWS($AH$2:AH286),$AH$2:$AH$1001,0),1)&gt;=100000,INDEX($AO$1005:$BQ$1005,1,MATCH(COLUMNS($AO$1006:BC1006),$AO$1006:$BQ$1006,0))&gt;=100000), " ",IF(INDEX($AO$2:$BQ$1001,MATCH(ROWS($AH$2:AH286),$AH$2:$AH$1001,0),MATCH(COLUMNS($AO$1006:BC1006),$AO$1006:$BQ$1006,0)), HYPERLINK("#",""), HYPERLINK(CONCATENATE("#Metadata!", ADDRESS(INDEX($AJ$2:$AJ$1001,MATCH(ROWS($AH$2:AH286),$AH$2:$AH$1001,0),0), INDEX($AO$1004:$BQ$1004,1,MATCH(COLUMNS($AO$1006:BC1006),$AO$1006:$BQ$1006,0)))),"Fix")))</f>
        <v>#N/A</v>
      </c>
      <c r="Q286" s="5" t="e">
        <f ca="1">IF(OR(INDEX($AI$2:$AI$1001,MATCH(ROWS($AH$2:AH286),$AH$2:$AH$1001,0),1)&gt;=100000,INDEX($AO$1005:$BQ$1005,1,MATCH(COLUMNS($AO$1006:BD1006),$AO$1006:$BQ$1006,0))&gt;=100000), " ",IF(INDEX($AO$2:$BQ$1001,MATCH(ROWS($AH$2:AH286),$AH$2:$AH$1001,0),MATCH(COLUMNS($AO$1006:BD1006),$AO$1006:$BQ$1006,0)), HYPERLINK("#",""), HYPERLINK(CONCATENATE("#Metadata!", ADDRESS(INDEX($AJ$2:$AJ$1001,MATCH(ROWS($AH$2:AH286),$AH$2:$AH$1001,0),0), INDEX($AO$1004:$BQ$1004,1,MATCH(COLUMNS($AO$1006:BD1006),$AO$1006:$BQ$1006,0)))),"Fix")))</f>
        <v>#N/A</v>
      </c>
      <c r="R286" s="5" t="e">
        <f ca="1">IF(OR(INDEX($AI$2:$AI$1001,MATCH(ROWS($AH$2:AH286),$AH$2:$AH$1001,0),1)&gt;=100000,INDEX($AO$1005:$BQ$1005,1,MATCH(COLUMNS($AO$1006:BE1006),$AO$1006:$BQ$1006,0))&gt;=100000), " ",IF(INDEX($AO$2:$BQ$1001,MATCH(ROWS($AH$2:AH286),$AH$2:$AH$1001,0),MATCH(COLUMNS($AO$1006:BE1006),$AO$1006:$BQ$1006,0)), HYPERLINK("#",""), HYPERLINK(CONCATENATE("#Metadata!", ADDRESS(INDEX($AJ$2:$AJ$1001,MATCH(ROWS($AH$2:AH286),$AH$2:$AH$1001,0),0), INDEX($AO$1004:$BQ$1004,1,MATCH(COLUMNS($AO$1006:BE1006),$AO$1006:$BQ$1006,0)))),"Fix")))</f>
        <v>#N/A</v>
      </c>
      <c r="S286" s="5" t="e">
        <f ca="1">IF(OR(INDEX($AI$2:$AI$1001,MATCH(ROWS($AH$2:AH286),$AH$2:$AH$1001,0),1)&gt;=100000,INDEX($AO$1005:$BQ$1005,1,MATCH(COLUMNS($AO$1006:BF1006),$AO$1006:$BQ$1006,0))&gt;=100000), " ",IF(INDEX($AO$2:$BQ$1001,MATCH(ROWS($AH$2:AH286),$AH$2:$AH$1001,0),MATCH(COLUMNS($AO$1006:BF1006),$AO$1006:$BQ$1006,0)), HYPERLINK("#",""), HYPERLINK(CONCATENATE("#Metadata!", ADDRESS(INDEX($AJ$2:$AJ$1001,MATCH(ROWS($AH$2:AH286),$AH$2:$AH$1001,0),0), INDEX($AO$1004:$BQ$1004,1,MATCH(COLUMNS($AO$1006:BF1006),$AO$1006:$BQ$1006,0)))),"Fix")))</f>
        <v>#N/A</v>
      </c>
      <c r="T286" s="5" t="e">
        <f ca="1">IF(OR(INDEX($AI$2:$AI$1001,MATCH(ROWS($AH$2:AH286),$AH$2:$AH$1001,0),1)&gt;=100000,INDEX($AO$1005:$BQ$1005,1,MATCH(COLUMNS($AO$1006:BG1006),$AO$1006:$BQ$1006,0))&gt;=100000), " ",IF(INDEX($AO$2:$BQ$1001,MATCH(ROWS($AH$2:AH286),$AH$2:$AH$1001,0),MATCH(COLUMNS($AO$1006:BG1006),$AO$1006:$BQ$1006,0)), HYPERLINK("#",""), HYPERLINK(CONCATENATE("#Metadata!", ADDRESS(INDEX($AJ$2:$AJ$1001,MATCH(ROWS($AH$2:AH286),$AH$2:$AH$1001,0),0), INDEX($AO$1004:$BQ$1004,1,MATCH(COLUMNS($AO$1006:BG1006),$AO$1006:$BQ$1006,0)))),"Fix")))</f>
        <v>#N/A</v>
      </c>
      <c r="U286" s="5" t="e">
        <f ca="1">IF(OR(INDEX($AI$2:$AI$1001,MATCH(ROWS($AH$2:AH286),$AH$2:$AH$1001,0),1)&gt;=100000,INDEX($AO$1005:$BQ$1005,1,MATCH(COLUMNS($AO$1006:BH1006),$AO$1006:$BQ$1006,0))&gt;=100000), " ",IF(INDEX($AO$2:$BQ$1001,MATCH(ROWS($AH$2:AH286),$AH$2:$AH$1001,0),MATCH(COLUMNS($AO$1006:BH1006),$AO$1006:$BQ$1006,0)), HYPERLINK("#",""), HYPERLINK(CONCATENATE("#Metadata!", ADDRESS(INDEX($AJ$2:$AJ$1001,MATCH(ROWS($AH$2:AH286),$AH$2:$AH$1001,0),0), INDEX($AO$1004:$BQ$1004,1,MATCH(COLUMNS($AO$1006:BH1006),$AO$1006:$BQ$1006,0)))),"Fix")))</f>
        <v>#N/A</v>
      </c>
      <c r="V286" s="5" t="e">
        <f ca="1">IF(OR(INDEX($AI$2:$AI$1001,MATCH(ROWS($AH$2:AH286),$AH$2:$AH$1001,0),1)&gt;=100000,INDEX($AO$1005:$BQ$1005,1,MATCH(COLUMNS($AO$1006:BI1006),$AO$1006:$BQ$1006,0))&gt;=100000), " ",IF(INDEX($AO$2:$BQ$1001,MATCH(ROWS($AH$2:AH286),$AH$2:$AH$1001,0),MATCH(COLUMNS($AO$1006:BI1006),$AO$1006:$BQ$1006,0)), HYPERLINK("#",""), HYPERLINK(CONCATENATE("#Metadata!", ADDRESS(INDEX($AJ$2:$AJ$1001,MATCH(ROWS($AH$2:AH286),$AH$2:$AH$1001,0),0), INDEX($AO$1004:$BQ$1004,1,MATCH(COLUMNS($AO$1006:BI1006),$AO$1006:$BQ$1006,0)))),"Fix")))</f>
        <v>#N/A</v>
      </c>
      <c r="W286" s="5" t="e">
        <f ca="1">IF(OR(INDEX($AI$2:$AI$1001,MATCH(ROWS($AH$2:AH286),$AH$2:$AH$1001,0),1)&gt;=100000,INDEX($AO$1005:$BQ$1005,1,MATCH(COLUMNS($AO$1006:BJ1006),$AO$1006:$BQ$1006,0))&gt;=100000), " ",IF(INDEX($AO$2:$BQ$1001,MATCH(ROWS($AH$2:AH286),$AH$2:$AH$1001,0),MATCH(COLUMNS($AO$1006:BJ1006),$AO$1006:$BQ$1006,0)), HYPERLINK("#",""), HYPERLINK(CONCATENATE("#Metadata!", ADDRESS(INDEX($AJ$2:$AJ$1001,MATCH(ROWS($AH$2:AH286),$AH$2:$AH$1001,0),0), INDEX($AO$1004:$BQ$1004,1,MATCH(COLUMNS($AO$1006:BJ1006),$AO$1006:$BQ$1006,0)))),"Fix")))</f>
        <v>#N/A</v>
      </c>
      <c r="X286" s="5" t="e">
        <f ca="1">IF(OR(INDEX($AI$2:$AI$1001,MATCH(ROWS($AH$2:AH286),$AH$2:$AH$1001,0),1)&gt;=100000,INDEX($AO$1005:$BQ$1005,1,MATCH(COLUMNS($AO$1006:BK1006),$AO$1006:$BQ$1006,0))&gt;=100000), " ",IF(INDEX($AO$2:$BQ$1001,MATCH(ROWS($AH$2:AH286),$AH$2:$AH$1001,0),MATCH(COLUMNS($AO$1006:BK1006),$AO$1006:$BQ$1006,0)), HYPERLINK("#",""), HYPERLINK(CONCATENATE("#Metadata!", ADDRESS(INDEX($AJ$2:$AJ$1001,MATCH(ROWS($AH$2:AH286),$AH$2:$AH$1001,0),0), INDEX($AO$1004:$BQ$1004,1,MATCH(COLUMNS($AO$1006:BK1006),$AO$1006:$BQ$1006,0)))),"Fix")))</f>
        <v>#N/A</v>
      </c>
      <c r="Y286" s="5" t="e">
        <f ca="1">IF(OR(INDEX($AI$2:$AI$1001,MATCH(ROWS($AH$2:AH286),$AH$2:$AH$1001,0),1)&gt;=100000,INDEX($AO$1005:$BQ$1005,1,MATCH(COLUMNS($AO$1006:BL1006),$AO$1006:$BQ$1006,0))&gt;=100000), " ",IF(INDEX($AO$2:$BQ$1001,MATCH(ROWS($AH$2:AH286),$AH$2:$AH$1001,0),MATCH(COLUMNS($AO$1006:BL1006),$AO$1006:$BQ$1006,0)), HYPERLINK("#",""), HYPERLINK(CONCATENATE("#Metadata!", ADDRESS(INDEX($AJ$2:$AJ$1001,MATCH(ROWS($AH$2:AH286),$AH$2:$AH$1001,0),0), INDEX($AO$1004:$BQ$1004,1,MATCH(COLUMNS($AO$1006:BL1006),$AO$1006:$BQ$1006,0)))),"Fix")))</f>
        <v>#N/A</v>
      </c>
      <c r="Z286" s="5" t="e">
        <f ca="1">IF(OR(INDEX($AI$2:$AI$1001,MATCH(ROWS($AH$2:AH286),$AH$2:$AH$1001,0),1)&gt;=100000,INDEX($AO$1005:$BQ$1005,1,MATCH(COLUMNS($AO$1006:BM1006),$AO$1006:$BQ$1006,0))&gt;=100000), " ",IF(INDEX($AO$2:$BQ$1001,MATCH(ROWS($AH$2:AH286),$AH$2:$AH$1001,0),MATCH(COLUMNS($AO$1006:BM1006),$AO$1006:$BQ$1006,0)), HYPERLINK("#",""), HYPERLINK(CONCATENATE("#Metadata!", ADDRESS(INDEX($AJ$2:$AJ$1001,MATCH(ROWS($AH$2:AH286),$AH$2:$AH$1001,0),0), INDEX($AO$1004:$BQ$1004,1,MATCH(COLUMNS($AO$1006:BM1006),$AO$1006:$BQ$1006,0)))),"Fix")))</f>
        <v>#N/A</v>
      </c>
      <c r="AA286" s="5" t="e">
        <f ca="1">IF(OR(INDEX($AI$2:$AI$1001,MATCH(ROWS($AH$2:AH286),$AH$2:$AH$1001,0),1)&gt;=100000,INDEX($AO$1005:$BQ$1005,1,MATCH(COLUMNS($AO$1006:BN1006),$AO$1006:$BQ$1006,0))&gt;=100000), " ",IF(INDEX($AO$2:$BQ$1001,MATCH(ROWS($AH$2:AH286),$AH$2:$AH$1001,0),MATCH(COLUMNS($AO$1006:BN1006),$AO$1006:$BQ$1006,0)), HYPERLINK("#",""), HYPERLINK(CONCATENATE("#Metadata!", ADDRESS(INDEX($AJ$2:$AJ$1001,MATCH(ROWS($AH$2:AH286),$AH$2:$AH$1001,0),0), INDEX($AO$1004:$BQ$1004,1,MATCH(COLUMNS($AO$1006:BN1006),$AO$1006:$BQ$1006,0)))),"Fix")))</f>
        <v>#N/A</v>
      </c>
      <c r="AB286" s="5" t="e">
        <f ca="1">IF(OR(INDEX($AI$2:$AI$1001,MATCH(ROWS($AH$2:AH286),$AH$2:$AH$1001,0),1)&gt;=100000,INDEX($AO$1005:$BQ$1005,1,MATCH(COLUMNS($AO$1006:BO1006),$AO$1006:$BQ$1006,0))&gt;=100000), " ",IF(INDEX($AO$2:$BQ$1001,MATCH(ROWS($AH$2:AH286),$AH$2:$AH$1001,0),MATCH(COLUMNS($AO$1006:BO1006),$AO$1006:$BQ$1006,0)), HYPERLINK("#",""), HYPERLINK(CONCATENATE("#Metadata!", ADDRESS(INDEX($AJ$2:$AJ$1001,MATCH(ROWS($AH$2:AH286),$AH$2:$AH$1001,0),0), INDEX($AO$1004:$BQ$1004,1,MATCH(COLUMNS($AO$1006:BO1006),$AO$1006:$BQ$1006,0)))),"Fix")))</f>
        <v>#N/A</v>
      </c>
      <c r="AC286" s="5" t="e">
        <f ca="1">IF(OR(INDEX($AI$2:$AI$1001,MATCH(ROWS($AH$2:AH286),$AH$2:$AH$1001,0),1)&gt;=100000,INDEX($AO$1005:$BQ$1005,1,MATCH(COLUMNS($AO$1006:BP1006),$AO$1006:$BQ$1006,0))&gt;=100000), " ",IF(INDEX($AO$2:$BQ$1001,MATCH(ROWS($AH$2:AH286),$AH$2:$AH$1001,0),MATCH(COLUMNS($AO$1006:BP1006),$AO$1006:$BQ$1006,0)), HYPERLINK("#",""), HYPERLINK(CONCATENATE("#Metadata!", ADDRESS(INDEX($AJ$2:$AJ$1001,MATCH(ROWS($AH$2:AH286),$AH$2:$AH$1001,0),0), INDEX($AO$1004:$BQ$1004,1,MATCH(COLUMNS($AO$1006:BP1006),$AO$1006:$BQ$1006,0)))),"Fix")))</f>
        <v>#N/A</v>
      </c>
      <c r="AD286" s="5" t="e">
        <f ca="1">IF(OR(INDEX($AI$2:$AI$1001,MATCH(ROWS($AH$2:AH286),$AH$2:$AH$1001,0),1)&gt;=100000,INDEX($AO$1005:$BQ$1005,1,MATCH(COLUMNS($AO$1006:BQ1006),$AO$1006:$BQ$1006,0))&gt;=100000), " ",IF(INDEX($AO$2:$BQ$1001,MATCH(ROWS($AH$2:AH286),$AH$2:$AH$1001,0),MATCH(COLUMNS($AO$1006:BQ1006),$AO$1006:$BQ$1006,0)), HYPERLINK("#",""), HYPERLINK(CONCATENATE("#Metadata!", ADDRESS(INDEX($AJ$2:$AJ$1001,MATCH(ROWS($AH$2:AH286),$AH$2:$AH$1001,0),0), INDEX($AO$1004:$BQ$1004,1,MATCH(COLUMNS($AO$1006:BQ1006),$AO$1006:$BQ$1006,0)))),"Fix")))</f>
        <v>#REF!</v>
      </c>
      <c r="AH286">
        <f ca="1"/>
        <v>283</v>
      </c>
      <c r="AI286">
        <v>100286</v>
      </c>
      <c r="AJ286">
        <v>286</v>
      </c>
      <c r="AK286" t="b">
        <f t="shared" si="4"/>
        <v>1</v>
      </c>
      <c r="AL286" t="b">
        <f>COUNTBLANK(Metadata!B286:AD286)=COLUMNS(Metadata!B286:AD286)</f>
        <v>1</v>
      </c>
      <c r="AM286" t="str">
        <v/>
      </c>
      <c r="AO286" t="b">
        <f ca="1">AND(IF(Metadata!B286="",FALSE,TRUE),COUNTIF(Metadata!B:B, Metadata!B286) = 1,NOT(ISERROR(SUMPRODUCT(SEARCH(MID(Metadata!B286,ROW(INDIRECT("1:"&amp;LEN(Metadata!B286))), 1),"0123456789abcdefghijklmnopqrstuvwxyzABCDEFGHIJKLMNOPQRSTUVWXYZ.")))))</f>
        <v>0</v>
      </c>
      <c r="AP286" t="b">
        <f>IF(Metadata!C286="",FALSE,TRUE)</f>
        <v>0</v>
      </c>
      <c r="AQ286" t="b">
        <f>IF(Metadata!D286="",FALSE,TRUE)</f>
        <v>0</v>
      </c>
      <c r="AR286" t="b">
        <f ca="1">OR(AND(IF(Metadata!E286="",FALSE,TRUE),OR(EXACT(Metadata!E286,"not collected"),EXACT(Metadata!E286,"not provided"),EXACT(Metadata!E286,"restricted access"))),AND(IF(Metadata!E286="",FALSE,TRUE),AND(AND(IFERROR(INT(LEFT(Metadata!E286,4))&gt;1900,FALSE),IFERROR(INT(LEFT(Metadata!E286,4))&lt;=YEAR(NOW()),FALSE)), OR(MID(Metadata!E286,5,1)="", AND(AND(MID(Metadata!E286,5,1)="-",IFERROR(INT(MID(Metadata!E286,6,1))&gt;=0,FALSE),IFERROR(INT(MID(Metadata!E286,6,1))&lt;=1,FALSE),NOT(MID(Metadata!E286,7,1)=""),IFERROR(INT(MID(Metadata!E286,6,2))&gt;=1,FALSE),IFERROR(INT(MID(Metadata!E286,6,2))&lt;=12,FALSE)), OR(MID(Metadata!E286,8,1)="", AND(AND(MID(Metadata!E286,8,1)="-",IFERROR(INT(MID(Metadata!E286,9,1))&gt;=0,FALSE),IFERROR(INT(MID(Metadata!E286,9,1))&lt;=3,FALSE),NOT(MID(Metadata!E286,10,1)=""),IFERROR(INT(MID(Metadata!E286,9,2))&gt;=1,FALSE),IFERROR(INT(MID(Metadata!E286,9,2))&lt;=31,FALSE)), OR(MID(Metadata!E286,11,1)="", AND(AND(MID(Metadata!E286,11,1)=" ",IFERROR(INT(MID(Metadata!E286,12,1))&gt;=0,FALSE),IFERROR(INT(MID(Metadata!E286,12,1))&lt;=2,FALSE),NOT(MID(Metadata!E286,13,1)=""),IFERROR(INT(MID(Metadata!E286,12,2))&gt;=0,FALSE),IFERROR(INT(MID(Metadata!E286,12,2))&lt;=23,FALSE)), OR(MID(Metadata!E286,14,1)="", AND(AND(MID(Metadata!E286,14,1)=":",IFERROR(INT(MID(Metadata!E286,15,1))&gt;=0,FALSE),IFERROR(INT(MID(Metadata!E286,15,1))&lt;=5,FALSE),NOT(MID(Metadata!E286,16,1)=""),IFERROR(INT(MID(Metadata!E286,15,2))&gt;=0,FALSE),IFERROR(INT(MID(Metadata!E286,15,2))&lt;=59,FALSE)), OR(MID(Metadata!E286,17,1)="", AND(AND(MID(Metadata!E286,17,1)=":",IFERROR(INT(MID(Metadata!E286,18,1))&gt;=0,FALSE),IFERROR(INT(MID(Metadata!E286,18,1))&lt;=5,FALSE),NOT(MID(Metadata!E286,19,1)=""),IFERROR(INT(MID(Metadata!E286,18,2))&gt;=0,FALSE),IFERROR(INT(MID(Metadata!E286,18,2))&lt;=59,FALSE)), LEN(Metadata!E286)&lt;=19)))))))))))))</f>
        <v>0</v>
      </c>
      <c r="AS286" t="b">
        <f>IF(Metadata!F286="",FALSE,TRUE)</f>
        <v>0</v>
      </c>
      <c r="AT286" t="b">
        <f>OR(AND(IF(Metadata!G286="",FALSE,TRUE),OR(EXACT(Metadata!G286,"not collected"),EXACT(Metadata!G286,"not provided"))),AND(IF(Metadata!G286="",FALSE,TRUE),OR(EXACT(Metadata!G286,"TRUE"),EXACT(Metadata!G286,"FALSE"))))</f>
        <v>0</v>
      </c>
      <c r="AU286" t="b">
        <f>OR(AND(IF(Metadata!H286="",FALSE,TRUE),OR(EXACT(Metadata!H286,"not collected"),EXACT(Metadata!H286,"not provided"),EXACT(Metadata!H286,"restricted access"))),AND(IF(Metadata!H286="",FALSE,ISNUMBER(VALUE(Metadata!H286))),Metadata!H286&gt;=-413))</f>
        <v>0</v>
      </c>
      <c r="AV286" t="b">
        <f>AND(IF(Metadata!I286="",FALSE,TRUE),EXACT(Metadata!I286,"meters"))</f>
        <v>0</v>
      </c>
      <c r="AW286" t="b">
        <f>AND(IF(Metadata!J286="",FALSE,TRUE),EXACT(Metadata!J286,"free-living"))</f>
        <v>0</v>
      </c>
      <c r="AX286" t="b">
        <f>AND(IF(Metadata!K286="",FALSE,TRUE),OR(EXACT(Metadata!K286,"saline"),EXACT(Metadata!K286,"non-saline")))</f>
        <v>0</v>
      </c>
      <c r="AY286" t="b">
        <f>AND(IF(Metadata!L286="",FALSE,TRUE),OR(EXACT(Metadata!L286,"sub-surface (non-saline)"),EXACT(Metadata!L286,"surface (non-saline)"),EXACT(Metadata!L286,"water (non-saline)"),EXACT(Metadata!L286,"soil (non-saline)"),EXACT(Metadata!L286,"aerosol (non-saline)"),EXACT(Metadata!L286,"sediment (non-saline)"),EXACT(Metadata!L286,"surface (saline)"),EXACT(Metadata!L286,"water (saline)"),EXACT(Metadata!L286,"hypersaline (saline)"),EXACT(Metadata!L286,"aerosol (saline)"),EXACT(Metadata!L286,"sediment (saline)")))</f>
        <v>0</v>
      </c>
      <c r="AZ286" t="b">
        <f>IF(Metadata!M286="",FALSE,TRUE)</f>
        <v>0</v>
      </c>
      <c r="BA286" t="b">
        <f>IF(Metadata!N286="",FALSE,TRUE)</f>
        <v>0</v>
      </c>
      <c r="BB286" t="b">
        <f>IF(Metadata!O286="",FALSE,TRUE)</f>
        <v>0</v>
      </c>
      <c r="BC286" t="b">
        <f>AND(IF(Metadata!P286="",FALSE,TRUE),OR(EXACT(Metadata!P286,"air"),EXACT(Metadata!P286,"microbial mat/biofilm"),EXACT(Metadata!P286,"misc environment"),EXACT(Metadata!P286,"sediment"),EXACT(Metadata!P286,"soil"),EXACT(Metadata!P286,"wastewater/sludge"),EXACT(Metadata!P286,"water")))</f>
        <v>0</v>
      </c>
      <c r="BD286" t="b">
        <f>IF(Metadata!Q286="",FALSE,TRUE)</f>
        <v>0</v>
      </c>
      <c r="BE286" t="b">
        <f>IF(Metadata!R286="",FALSE,TRUE)</f>
        <v>0</v>
      </c>
      <c r="BF286" t="b">
        <f>OR(AND(IF(Metadata!S286="",FALSE,TRUE),OR(EXACT(Metadata!S286,"not collected"),EXACT(Metadata!S286,"not provided"),EXACT(Metadata!S286,"restricted access"))),AND(IF(Metadata!S286="",FALSE,ISNUMBER(VALUE(Metadata!S286))),Metadata!S286&gt;=-90,Metadata!S286&lt;=90))</f>
        <v>0</v>
      </c>
      <c r="BG286" t="b">
        <f>AND(IF(Metadata!T286="",FALSE,TRUE),EXACT(Metadata!T286,"Decimal degrees"))</f>
        <v>0</v>
      </c>
      <c r="BH286" t="b">
        <f>OR(AND(IF(Metadata!U286="",FALSE,TRUE),OR(EXACT(Metadata!U286,"not applicable"),EXACT(Metadata!U286,"not collected"))),IF(Metadata!U286="",FALSE,TRUE))</f>
        <v>0</v>
      </c>
      <c r="BI286" t="b">
        <f>OR(AND(IF(Metadata!V286="",FALSE,TRUE),OR(EXACT(Metadata!V286,"not collected"),EXACT(Metadata!V286,"not provided"),EXACT(Metadata!V286,"restricted access"))),AND(IF(Metadata!V286="",FALSE,ISNUMBER(VALUE(Metadata!V286))),Metadata!V286&gt;=-180,Metadata!V286&lt;=180))</f>
        <v>0</v>
      </c>
      <c r="BJ286" t="b">
        <f>AND(IF(Metadata!W286="",FALSE,TRUE),EXACT(Metadata!W286,"Decimal degrees"))</f>
        <v>0</v>
      </c>
      <c r="BK286" t="b">
        <f>IF(Metadata!X286="",FALSE,TRUE)</f>
        <v>0</v>
      </c>
      <c r="BL286" t="b">
        <f>OR(AND(IF(Metadata!Y286="",FALSE,TRUE),OR(EXACT(Metadata!Y286,"not collected"),EXACT(Metadata!Y286,"not provided"),EXACT(Metadata!Y286,"restricted access"))),AND(IF(Metadata!Y286="",FALSE,TRUE),OR(EXACT(Metadata!Y286,"TRUE"),EXACT(Metadata!Y286,"FALSE"))))</f>
        <v>0</v>
      </c>
      <c r="BM286" t="b">
        <f>OR(AND(IF(Metadata!Z286="",FALSE,TRUE),EXACT(Metadata!Z286,"not applicable")),AND(IF(Metadata!Z286="",FALSE,TRUE),OR(EXACT(Metadata!Z286,"beer"),EXACT(Metadata!Z286,"cheese"),EXACT(Metadata!Z286,"fresh water"),EXACT(Metadata!Z286,"marine sediment"),EXACT(Metadata!Z286,"sea water"),EXACT(Metadata!Z286,"sediment"),EXACT(Metadata!Z286,"soil"),EXACT(Metadata!Z286,"waste water"))))</f>
        <v>0</v>
      </c>
      <c r="BN286" t="b">
        <f>AND(IF(Metadata!AA286="",FALSE,TRUE),EXACT(Metadata!AA286,"metagenome"))</f>
        <v>0</v>
      </c>
      <c r="BO286" t="b">
        <f>AND(IF(Metadata!AB286="",FALSE,TRUE),EXACT(Metadata!AB286,"256318"))</f>
        <v>0</v>
      </c>
      <c r="BP286" t="b">
        <f>IF(Metadata!AC286="",FALSE,TRUE)</f>
        <v>0</v>
      </c>
      <c r="BQ286" t="b">
        <f>IF(Metadata!AD286="",FALSE,TRUE)</f>
        <v>0</v>
      </c>
    </row>
    <row r="287" spans="1:69" x14ac:dyDescent="0.2">
      <c r="A287" s="4" t="e">
        <f ca="1">IF(B287=" "," ",HYPERLINK(CONCATENATE("#metadata!",ADDRESS(INDEX($AJ$2:$AJ$1001,MATCH(ROWS($AH$2:AH287),$AH$2:$AH$1001,0),0),2)),INDEX($AM$2:$AM$1001,MATCH(ROWS($AH$2:AH287),$AH$2:$AH$1001,0),0)))</f>
        <v>#N/A</v>
      </c>
      <c r="B287" s="5" t="e">
        <f ca="1">IF(OR(INDEX($AI$2:$AI$1001,MATCH(ROWS($AH$2:AH287),$AH$2:$AH$1001,0),1)&gt;=100000,INDEX($AO$1005:$BQ$1005,1,MATCH(COLUMNS($AO$1006:AO1006),$AO$1006:$BQ$1006,0))&gt;=100000), " ",IF(INDEX($AO$2:$BQ$1001,MATCH(ROWS($AH$2:AH287),$AH$2:$AH$1001,0),MATCH(COLUMNS($AO$1006:AO1006),$AO$1006:$BQ$1006,0)), HYPERLINK("#",""), HYPERLINK(CONCATENATE("#Metadata!", ADDRESS(INDEX($AJ$2:$AJ$1001,MATCH(ROWS($AH$2:AH287),$AH$2:$AH$1001,0),0), INDEX($AO$1004:$BQ$1004,1,MATCH(COLUMNS($AO$1006:AO1006),$AO$1006:$BQ$1006,0)))),"Fix")))</f>
        <v>#N/A</v>
      </c>
      <c r="C287" s="5" t="e">
        <f ca="1">IF(OR(INDEX($AI$2:$AI$1001,MATCH(ROWS($AH$2:AH287),$AH$2:$AH$1001,0),1)&gt;=100000,INDEX($AO$1005:$BQ$1005,1,MATCH(COLUMNS($AO$1006:AP1006),$AO$1006:$BQ$1006,0))&gt;=100000), " ",IF(INDEX($AO$2:$BQ$1001,MATCH(ROWS($AH$2:AH287),$AH$2:$AH$1001,0),MATCH(COLUMNS($AO$1006:AP1006),$AO$1006:$BQ$1006,0)), HYPERLINK("#",""), HYPERLINK(CONCATENATE("#Metadata!", ADDRESS(INDEX($AJ$2:$AJ$1001,MATCH(ROWS($AH$2:AH287),$AH$2:$AH$1001,0),0), INDEX($AO$1004:$BQ$1004,1,MATCH(COLUMNS($AO$1006:AP1006),$AO$1006:$BQ$1006,0)))),"Fix")))</f>
        <v>#N/A</v>
      </c>
      <c r="D287" s="5" t="e">
        <f ca="1">IF(OR(INDEX($AI$2:$AI$1001,MATCH(ROWS($AH$2:AH287),$AH$2:$AH$1001,0),1)&gt;=100000,INDEX($AO$1005:$BQ$1005,1,MATCH(COLUMNS($AO$1006:AQ1006),$AO$1006:$BQ$1006,0))&gt;=100000), " ",IF(INDEX($AO$2:$BQ$1001,MATCH(ROWS($AH$2:AH287),$AH$2:$AH$1001,0),MATCH(COLUMNS($AO$1006:AQ1006),$AO$1006:$BQ$1006,0)), HYPERLINK("#",""), HYPERLINK(CONCATENATE("#Metadata!", ADDRESS(INDEX($AJ$2:$AJ$1001,MATCH(ROWS($AH$2:AH287),$AH$2:$AH$1001,0),0), INDEX($AO$1004:$BQ$1004,1,MATCH(COLUMNS($AO$1006:AQ1006),$AO$1006:$BQ$1006,0)))),"Fix")))</f>
        <v>#N/A</v>
      </c>
      <c r="E287" s="5" t="e">
        <f ca="1">IF(OR(INDEX($AI$2:$AI$1001,MATCH(ROWS($AH$2:AH287),$AH$2:$AH$1001,0),1)&gt;=100000,INDEX($AO$1005:$BQ$1005,1,MATCH(COLUMNS($AO$1006:AR1006),$AO$1006:$BQ$1006,0))&gt;=100000), " ",IF(INDEX($AO$2:$BQ$1001,MATCH(ROWS($AH$2:AH287),$AH$2:$AH$1001,0),MATCH(COLUMNS($AO$1006:AR1006),$AO$1006:$BQ$1006,0)), HYPERLINK("#",""), HYPERLINK(CONCATENATE("#Metadata!", ADDRESS(INDEX($AJ$2:$AJ$1001,MATCH(ROWS($AH$2:AH287),$AH$2:$AH$1001,0),0), INDEX($AO$1004:$BQ$1004,1,MATCH(COLUMNS($AO$1006:AR1006),$AO$1006:$BQ$1006,0)))),"Fix")))</f>
        <v>#N/A</v>
      </c>
      <c r="F287" s="5" t="e">
        <f ca="1">IF(OR(INDEX($AI$2:$AI$1001,MATCH(ROWS($AH$2:AH287),$AH$2:$AH$1001,0),1)&gt;=100000,INDEX($AO$1005:$BQ$1005,1,MATCH(COLUMNS($AO$1006:AS1006),$AO$1006:$BQ$1006,0))&gt;=100000), " ",IF(INDEX($AO$2:$BQ$1001,MATCH(ROWS($AH$2:AH287),$AH$2:$AH$1001,0),MATCH(COLUMNS($AO$1006:AS1006),$AO$1006:$BQ$1006,0)), HYPERLINK("#",""), HYPERLINK(CONCATENATE("#Metadata!", ADDRESS(INDEX($AJ$2:$AJ$1001,MATCH(ROWS($AH$2:AH287),$AH$2:$AH$1001,0),0), INDEX($AO$1004:$BQ$1004,1,MATCH(COLUMNS($AO$1006:AS1006),$AO$1006:$BQ$1006,0)))),"Fix")))</f>
        <v>#N/A</v>
      </c>
      <c r="G287" s="5" t="e">
        <f ca="1">IF(OR(INDEX($AI$2:$AI$1001,MATCH(ROWS($AH$2:AH287),$AH$2:$AH$1001,0),1)&gt;=100000,INDEX($AO$1005:$BQ$1005,1,MATCH(COLUMNS($AO$1006:AT1006),$AO$1006:$BQ$1006,0))&gt;=100000), " ",IF(INDEX($AO$2:$BQ$1001,MATCH(ROWS($AH$2:AH287),$AH$2:$AH$1001,0),MATCH(COLUMNS($AO$1006:AT1006),$AO$1006:$BQ$1006,0)), HYPERLINK("#",""), HYPERLINK(CONCATENATE("#Metadata!", ADDRESS(INDEX($AJ$2:$AJ$1001,MATCH(ROWS($AH$2:AH287),$AH$2:$AH$1001,0),0), INDEX($AO$1004:$BQ$1004,1,MATCH(COLUMNS($AO$1006:AT1006),$AO$1006:$BQ$1006,0)))),"Fix")))</f>
        <v>#N/A</v>
      </c>
      <c r="H287" s="5" t="e">
        <f ca="1">IF(OR(INDEX($AI$2:$AI$1001,MATCH(ROWS($AH$2:AH287),$AH$2:$AH$1001,0),1)&gt;=100000,INDEX($AO$1005:$BQ$1005,1,MATCH(COLUMNS($AO$1006:AU1006),$AO$1006:$BQ$1006,0))&gt;=100000), " ",IF(INDEX($AO$2:$BQ$1001,MATCH(ROWS($AH$2:AH287),$AH$2:$AH$1001,0),MATCH(COLUMNS($AO$1006:AU1006),$AO$1006:$BQ$1006,0)), HYPERLINK("#",""), HYPERLINK(CONCATENATE("#Metadata!", ADDRESS(INDEX($AJ$2:$AJ$1001,MATCH(ROWS($AH$2:AH287),$AH$2:$AH$1001,0),0), INDEX($AO$1004:$BQ$1004,1,MATCH(COLUMNS($AO$1006:AU1006),$AO$1006:$BQ$1006,0)))),"Fix")))</f>
        <v>#N/A</v>
      </c>
      <c r="I287" s="5" t="e">
        <f ca="1">IF(OR(INDEX($AI$2:$AI$1001,MATCH(ROWS($AH$2:AH287),$AH$2:$AH$1001,0),1)&gt;=100000,INDEX($AO$1005:$BQ$1005,1,MATCH(COLUMNS($AO$1006:AV1006),$AO$1006:$BQ$1006,0))&gt;=100000), " ",IF(INDEX($AO$2:$BQ$1001,MATCH(ROWS($AH$2:AH287),$AH$2:$AH$1001,0),MATCH(COLUMNS($AO$1006:AV1006),$AO$1006:$BQ$1006,0)), HYPERLINK("#",""), HYPERLINK(CONCATENATE("#Metadata!", ADDRESS(INDEX($AJ$2:$AJ$1001,MATCH(ROWS($AH$2:AH287),$AH$2:$AH$1001,0),0), INDEX($AO$1004:$BQ$1004,1,MATCH(COLUMNS($AO$1006:AV1006),$AO$1006:$BQ$1006,0)))),"Fix")))</f>
        <v>#N/A</v>
      </c>
      <c r="J287" s="5" t="e">
        <f ca="1">IF(OR(INDEX($AI$2:$AI$1001,MATCH(ROWS($AH$2:AH287),$AH$2:$AH$1001,0),1)&gt;=100000,INDEX($AO$1005:$BQ$1005,1,MATCH(COLUMNS($AO$1006:AW1006),$AO$1006:$BQ$1006,0))&gt;=100000), " ",IF(INDEX($AO$2:$BQ$1001,MATCH(ROWS($AH$2:AH287),$AH$2:$AH$1001,0),MATCH(COLUMNS($AO$1006:AW1006),$AO$1006:$BQ$1006,0)), HYPERLINK("#",""), HYPERLINK(CONCATENATE("#Metadata!", ADDRESS(INDEX($AJ$2:$AJ$1001,MATCH(ROWS($AH$2:AH287),$AH$2:$AH$1001,0),0), INDEX($AO$1004:$BQ$1004,1,MATCH(COLUMNS($AO$1006:AW1006),$AO$1006:$BQ$1006,0)))),"Fix")))</f>
        <v>#N/A</v>
      </c>
      <c r="K287" s="5" t="e">
        <f ca="1">IF(OR(INDEX($AI$2:$AI$1001,MATCH(ROWS($AH$2:AH287),$AH$2:$AH$1001,0),1)&gt;=100000,INDEX($AO$1005:$BQ$1005,1,MATCH(COLUMNS($AO$1006:AX1006),$AO$1006:$BQ$1006,0))&gt;=100000), " ",IF(INDEX($AO$2:$BQ$1001,MATCH(ROWS($AH$2:AH287),$AH$2:$AH$1001,0),MATCH(COLUMNS($AO$1006:AX1006),$AO$1006:$BQ$1006,0)), HYPERLINK("#",""), HYPERLINK(CONCATENATE("#Metadata!", ADDRESS(INDEX($AJ$2:$AJ$1001,MATCH(ROWS($AH$2:AH287),$AH$2:$AH$1001,0),0), INDEX($AO$1004:$BQ$1004,1,MATCH(COLUMNS($AO$1006:AX1006),$AO$1006:$BQ$1006,0)))),"Fix")))</f>
        <v>#N/A</v>
      </c>
      <c r="L287" s="5" t="e">
        <f ca="1">IF(OR(INDEX($AI$2:$AI$1001,MATCH(ROWS($AH$2:AH287),$AH$2:$AH$1001,0),1)&gt;=100000,INDEX($AO$1005:$BQ$1005,1,MATCH(COLUMNS($AO$1006:AY1006),$AO$1006:$BQ$1006,0))&gt;=100000), " ",IF(INDEX($AO$2:$BQ$1001,MATCH(ROWS($AH$2:AH287),$AH$2:$AH$1001,0),MATCH(COLUMNS($AO$1006:AY1006),$AO$1006:$BQ$1006,0)), HYPERLINK("#",""), HYPERLINK(CONCATENATE("#Metadata!", ADDRESS(INDEX($AJ$2:$AJ$1001,MATCH(ROWS($AH$2:AH287),$AH$2:$AH$1001,0),0), INDEX($AO$1004:$BQ$1004,1,MATCH(COLUMNS($AO$1006:AY1006),$AO$1006:$BQ$1006,0)))),"Fix")))</f>
        <v>#N/A</v>
      </c>
      <c r="M287" s="5" t="e">
        <f ca="1">IF(OR(INDEX($AI$2:$AI$1001,MATCH(ROWS($AH$2:AH287),$AH$2:$AH$1001,0),1)&gt;=100000,INDEX($AO$1005:$BQ$1005,1,MATCH(COLUMNS($AO$1006:AZ1006),$AO$1006:$BQ$1006,0))&gt;=100000), " ",IF(INDEX($AO$2:$BQ$1001,MATCH(ROWS($AH$2:AH287),$AH$2:$AH$1001,0),MATCH(COLUMNS($AO$1006:AZ1006),$AO$1006:$BQ$1006,0)), HYPERLINK("#",""), HYPERLINK(CONCATENATE("#Metadata!", ADDRESS(INDEX($AJ$2:$AJ$1001,MATCH(ROWS($AH$2:AH287),$AH$2:$AH$1001,0),0), INDEX($AO$1004:$BQ$1004,1,MATCH(COLUMNS($AO$1006:AZ1006),$AO$1006:$BQ$1006,0)))),"Fix")))</f>
        <v>#N/A</v>
      </c>
      <c r="N287" s="5" t="e">
        <f ca="1">IF(OR(INDEX($AI$2:$AI$1001,MATCH(ROWS($AH$2:AH287),$AH$2:$AH$1001,0),1)&gt;=100000,INDEX($AO$1005:$BQ$1005,1,MATCH(COLUMNS($AO$1006:BA1006),$AO$1006:$BQ$1006,0))&gt;=100000), " ",IF(INDEX($AO$2:$BQ$1001,MATCH(ROWS($AH$2:AH287),$AH$2:$AH$1001,0),MATCH(COLUMNS($AO$1006:BA1006),$AO$1006:$BQ$1006,0)), HYPERLINK("#",""), HYPERLINK(CONCATENATE("#Metadata!", ADDRESS(INDEX($AJ$2:$AJ$1001,MATCH(ROWS($AH$2:AH287),$AH$2:$AH$1001,0),0), INDEX($AO$1004:$BQ$1004,1,MATCH(COLUMNS($AO$1006:BA1006),$AO$1006:$BQ$1006,0)))),"Fix")))</f>
        <v>#N/A</v>
      </c>
      <c r="O287" s="5" t="e">
        <f ca="1">IF(OR(INDEX($AI$2:$AI$1001,MATCH(ROWS($AH$2:AH287),$AH$2:$AH$1001,0),1)&gt;=100000,INDEX($AO$1005:$BQ$1005,1,MATCH(COLUMNS($AO$1006:BB1006),$AO$1006:$BQ$1006,0))&gt;=100000), " ",IF(INDEX($AO$2:$BQ$1001,MATCH(ROWS($AH$2:AH287),$AH$2:$AH$1001,0),MATCH(COLUMNS($AO$1006:BB1006),$AO$1006:$BQ$1006,0)), HYPERLINK("#",""), HYPERLINK(CONCATENATE("#Metadata!", ADDRESS(INDEX($AJ$2:$AJ$1001,MATCH(ROWS($AH$2:AH287),$AH$2:$AH$1001,0),0), INDEX($AO$1004:$BQ$1004,1,MATCH(COLUMNS($AO$1006:BB1006),$AO$1006:$BQ$1006,0)))),"Fix")))</f>
        <v>#N/A</v>
      </c>
      <c r="P287" s="5" t="e">
        <f ca="1">IF(OR(INDEX($AI$2:$AI$1001,MATCH(ROWS($AH$2:AH287),$AH$2:$AH$1001,0),1)&gt;=100000,INDEX($AO$1005:$BQ$1005,1,MATCH(COLUMNS($AO$1006:BC1006),$AO$1006:$BQ$1006,0))&gt;=100000), " ",IF(INDEX($AO$2:$BQ$1001,MATCH(ROWS($AH$2:AH287),$AH$2:$AH$1001,0),MATCH(COLUMNS($AO$1006:BC1006),$AO$1006:$BQ$1006,0)), HYPERLINK("#",""), HYPERLINK(CONCATENATE("#Metadata!", ADDRESS(INDEX($AJ$2:$AJ$1001,MATCH(ROWS($AH$2:AH287),$AH$2:$AH$1001,0),0), INDEX($AO$1004:$BQ$1004,1,MATCH(COLUMNS($AO$1006:BC1006),$AO$1006:$BQ$1006,0)))),"Fix")))</f>
        <v>#N/A</v>
      </c>
      <c r="Q287" s="5" t="e">
        <f ca="1">IF(OR(INDEX($AI$2:$AI$1001,MATCH(ROWS($AH$2:AH287),$AH$2:$AH$1001,0),1)&gt;=100000,INDEX($AO$1005:$BQ$1005,1,MATCH(COLUMNS($AO$1006:BD1006),$AO$1006:$BQ$1006,0))&gt;=100000), " ",IF(INDEX($AO$2:$BQ$1001,MATCH(ROWS($AH$2:AH287),$AH$2:$AH$1001,0),MATCH(COLUMNS($AO$1006:BD1006),$AO$1006:$BQ$1006,0)), HYPERLINK("#",""), HYPERLINK(CONCATENATE("#Metadata!", ADDRESS(INDEX($AJ$2:$AJ$1001,MATCH(ROWS($AH$2:AH287),$AH$2:$AH$1001,0),0), INDEX($AO$1004:$BQ$1004,1,MATCH(COLUMNS($AO$1006:BD1006),$AO$1006:$BQ$1006,0)))),"Fix")))</f>
        <v>#N/A</v>
      </c>
      <c r="R287" s="5" t="e">
        <f ca="1">IF(OR(INDEX($AI$2:$AI$1001,MATCH(ROWS($AH$2:AH287),$AH$2:$AH$1001,0),1)&gt;=100000,INDEX($AO$1005:$BQ$1005,1,MATCH(COLUMNS($AO$1006:BE1006),$AO$1006:$BQ$1006,0))&gt;=100000), " ",IF(INDEX($AO$2:$BQ$1001,MATCH(ROWS($AH$2:AH287),$AH$2:$AH$1001,0),MATCH(COLUMNS($AO$1006:BE1006),$AO$1006:$BQ$1006,0)), HYPERLINK("#",""), HYPERLINK(CONCATENATE("#Metadata!", ADDRESS(INDEX($AJ$2:$AJ$1001,MATCH(ROWS($AH$2:AH287),$AH$2:$AH$1001,0),0), INDEX($AO$1004:$BQ$1004,1,MATCH(COLUMNS($AO$1006:BE1006),$AO$1006:$BQ$1006,0)))),"Fix")))</f>
        <v>#N/A</v>
      </c>
      <c r="S287" s="5" t="e">
        <f ca="1">IF(OR(INDEX($AI$2:$AI$1001,MATCH(ROWS($AH$2:AH287),$AH$2:$AH$1001,0),1)&gt;=100000,INDEX($AO$1005:$BQ$1005,1,MATCH(COLUMNS($AO$1006:BF1006),$AO$1006:$BQ$1006,0))&gt;=100000), " ",IF(INDEX($AO$2:$BQ$1001,MATCH(ROWS($AH$2:AH287),$AH$2:$AH$1001,0),MATCH(COLUMNS($AO$1006:BF1006),$AO$1006:$BQ$1006,0)), HYPERLINK("#",""), HYPERLINK(CONCATENATE("#Metadata!", ADDRESS(INDEX($AJ$2:$AJ$1001,MATCH(ROWS($AH$2:AH287),$AH$2:$AH$1001,0),0), INDEX($AO$1004:$BQ$1004,1,MATCH(COLUMNS($AO$1006:BF1006),$AO$1006:$BQ$1006,0)))),"Fix")))</f>
        <v>#N/A</v>
      </c>
      <c r="T287" s="5" t="e">
        <f ca="1">IF(OR(INDEX($AI$2:$AI$1001,MATCH(ROWS($AH$2:AH287),$AH$2:$AH$1001,0),1)&gt;=100000,INDEX($AO$1005:$BQ$1005,1,MATCH(COLUMNS($AO$1006:BG1006),$AO$1006:$BQ$1006,0))&gt;=100000), " ",IF(INDEX($AO$2:$BQ$1001,MATCH(ROWS($AH$2:AH287),$AH$2:$AH$1001,0),MATCH(COLUMNS($AO$1006:BG1006),$AO$1006:$BQ$1006,0)), HYPERLINK("#",""), HYPERLINK(CONCATENATE("#Metadata!", ADDRESS(INDEX($AJ$2:$AJ$1001,MATCH(ROWS($AH$2:AH287),$AH$2:$AH$1001,0),0), INDEX($AO$1004:$BQ$1004,1,MATCH(COLUMNS($AO$1006:BG1006),$AO$1006:$BQ$1006,0)))),"Fix")))</f>
        <v>#N/A</v>
      </c>
      <c r="U287" s="5" t="e">
        <f ca="1">IF(OR(INDEX($AI$2:$AI$1001,MATCH(ROWS($AH$2:AH287),$AH$2:$AH$1001,0),1)&gt;=100000,INDEX($AO$1005:$BQ$1005,1,MATCH(COLUMNS($AO$1006:BH1006),$AO$1006:$BQ$1006,0))&gt;=100000), " ",IF(INDEX($AO$2:$BQ$1001,MATCH(ROWS($AH$2:AH287),$AH$2:$AH$1001,0),MATCH(COLUMNS($AO$1006:BH1006),$AO$1006:$BQ$1006,0)), HYPERLINK("#",""), HYPERLINK(CONCATENATE("#Metadata!", ADDRESS(INDEX($AJ$2:$AJ$1001,MATCH(ROWS($AH$2:AH287),$AH$2:$AH$1001,0),0), INDEX($AO$1004:$BQ$1004,1,MATCH(COLUMNS($AO$1006:BH1006),$AO$1006:$BQ$1006,0)))),"Fix")))</f>
        <v>#N/A</v>
      </c>
      <c r="V287" s="5" t="e">
        <f ca="1">IF(OR(INDEX($AI$2:$AI$1001,MATCH(ROWS($AH$2:AH287),$AH$2:$AH$1001,0),1)&gt;=100000,INDEX($AO$1005:$BQ$1005,1,MATCH(COLUMNS($AO$1006:BI1006),$AO$1006:$BQ$1006,0))&gt;=100000), " ",IF(INDEX($AO$2:$BQ$1001,MATCH(ROWS($AH$2:AH287),$AH$2:$AH$1001,0),MATCH(COLUMNS($AO$1006:BI1006),$AO$1006:$BQ$1006,0)), HYPERLINK("#",""), HYPERLINK(CONCATENATE("#Metadata!", ADDRESS(INDEX($AJ$2:$AJ$1001,MATCH(ROWS($AH$2:AH287),$AH$2:$AH$1001,0),0), INDEX($AO$1004:$BQ$1004,1,MATCH(COLUMNS($AO$1006:BI1006),$AO$1006:$BQ$1006,0)))),"Fix")))</f>
        <v>#N/A</v>
      </c>
      <c r="W287" s="5" t="e">
        <f ca="1">IF(OR(INDEX($AI$2:$AI$1001,MATCH(ROWS($AH$2:AH287),$AH$2:$AH$1001,0),1)&gt;=100000,INDEX($AO$1005:$BQ$1005,1,MATCH(COLUMNS($AO$1006:BJ1006),$AO$1006:$BQ$1006,0))&gt;=100000), " ",IF(INDEX($AO$2:$BQ$1001,MATCH(ROWS($AH$2:AH287),$AH$2:$AH$1001,0),MATCH(COLUMNS($AO$1006:BJ1006),$AO$1006:$BQ$1006,0)), HYPERLINK("#",""), HYPERLINK(CONCATENATE("#Metadata!", ADDRESS(INDEX($AJ$2:$AJ$1001,MATCH(ROWS($AH$2:AH287),$AH$2:$AH$1001,0),0), INDEX($AO$1004:$BQ$1004,1,MATCH(COLUMNS($AO$1006:BJ1006),$AO$1006:$BQ$1006,0)))),"Fix")))</f>
        <v>#N/A</v>
      </c>
      <c r="X287" s="5" t="e">
        <f ca="1">IF(OR(INDEX($AI$2:$AI$1001,MATCH(ROWS($AH$2:AH287),$AH$2:$AH$1001,0),1)&gt;=100000,INDEX($AO$1005:$BQ$1005,1,MATCH(COLUMNS($AO$1006:BK1006),$AO$1006:$BQ$1006,0))&gt;=100000), " ",IF(INDEX($AO$2:$BQ$1001,MATCH(ROWS($AH$2:AH287),$AH$2:$AH$1001,0),MATCH(COLUMNS($AO$1006:BK1006),$AO$1006:$BQ$1006,0)), HYPERLINK("#",""), HYPERLINK(CONCATENATE("#Metadata!", ADDRESS(INDEX($AJ$2:$AJ$1001,MATCH(ROWS($AH$2:AH287),$AH$2:$AH$1001,0),0), INDEX($AO$1004:$BQ$1004,1,MATCH(COLUMNS($AO$1006:BK1006),$AO$1006:$BQ$1006,0)))),"Fix")))</f>
        <v>#N/A</v>
      </c>
      <c r="Y287" s="5" t="e">
        <f ca="1">IF(OR(INDEX($AI$2:$AI$1001,MATCH(ROWS($AH$2:AH287),$AH$2:$AH$1001,0),1)&gt;=100000,INDEX($AO$1005:$BQ$1005,1,MATCH(COLUMNS($AO$1006:BL1006),$AO$1006:$BQ$1006,0))&gt;=100000), " ",IF(INDEX($AO$2:$BQ$1001,MATCH(ROWS($AH$2:AH287),$AH$2:$AH$1001,0),MATCH(COLUMNS($AO$1006:BL1006),$AO$1006:$BQ$1006,0)), HYPERLINK("#",""), HYPERLINK(CONCATENATE("#Metadata!", ADDRESS(INDEX($AJ$2:$AJ$1001,MATCH(ROWS($AH$2:AH287),$AH$2:$AH$1001,0),0), INDEX($AO$1004:$BQ$1004,1,MATCH(COLUMNS($AO$1006:BL1006),$AO$1006:$BQ$1006,0)))),"Fix")))</f>
        <v>#N/A</v>
      </c>
      <c r="Z287" s="5" t="e">
        <f ca="1">IF(OR(INDEX($AI$2:$AI$1001,MATCH(ROWS($AH$2:AH287),$AH$2:$AH$1001,0),1)&gt;=100000,INDEX($AO$1005:$BQ$1005,1,MATCH(COLUMNS($AO$1006:BM1006),$AO$1006:$BQ$1006,0))&gt;=100000), " ",IF(INDEX($AO$2:$BQ$1001,MATCH(ROWS($AH$2:AH287),$AH$2:$AH$1001,0),MATCH(COLUMNS($AO$1006:BM1006),$AO$1006:$BQ$1006,0)), HYPERLINK("#",""), HYPERLINK(CONCATENATE("#Metadata!", ADDRESS(INDEX($AJ$2:$AJ$1001,MATCH(ROWS($AH$2:AH287),$AH$2:$AH$1001,0),0), INDEX($AO$1004:$BQ$1004,1,MATCH(COLUMNS($AO$1006:BM1006),$AO$1006:$BQ$1006,0)))),"Fix")))</f>
        <v>#N/A</v>
      </c>
      <c r="AA287" s="5" t="e">
        <f ca="1">IF(OR(INDEX($AI$2:$AI$1001,MATCH(ROWS($AH$2:AH287),$AH$2:$AH$1001,0),1)&gt;=100000,INDEX($AO$1005:$BQ$1005,1,MATCH(COLUMNS($AO$1006:BN1006),$AO$1006:$BQ$1006,0))&gt;=100000), " ",IF(INDEX($AO$2:$BQ$1001,MATCH(ROWS($AH$2:AH287),$AH$2:$AH$1001,0),MATCH(COLUMNS($AO$1006:BN1006),$AO$1006:$BQ$1006,0)), HYPERLINK("#",""), HYPERLINK(CONCATENATE("#Metadata!", ADDRESS(INDEX($AJ$2:$AJ$1001,MATCH(ROWS($AH$2:AH287),$AH$2:$AH$1001,0),0), INDEX($AO$1004:$BQ$1004,1,MATCH(COLUMNS($AO$1006:BN1006),$AO$1006:$BQ$1006,0)))),"Fix")))</f>
        <v>#N/A</v>
      </c>
      <c r="AB287" s="5" t="e">
        <f ca="1">IF(OR(INDEX($AI$2:$AI$1001,MATCH(ROWS($AH$2:AH287),$AH$2:$AH$1001,0),1)&gt;=100000,INDEX($AO$1005:$BQ$1005,1,MATCH(COLUMNS($AO$1006:BO1006),$AO$1006:$BQ$1006,0))&gt;=100000), " ",IF(INDEX($AO$2:$BQ$1001,MATCH(ROWS($AH$2:AH287),$AH$2:$AH$1001,0),MATCH(COLUMNS($AO$1006:BO1006),$AO$1006:$BQ$1006,0)), HYPERLINK("#",""), HYPERLINK(CONCATENATE("#Metadata!", ADDRESS(INDEX($AJ$2:$AJ$1001,MATCH(ROWS($AH$2:AH287),$AH$2:$AH$1001,0),0), INDEX($AO$1004:$BQ$1004,1,MATCH(COLUMNS($AO$1006:BO1006),$AO$1006:$BQ$1006,0)))),"Fix")))</f>
        <v>#N/A</v>
      </c>
      <c r="AC287" s="5" t="e">
        <f ca="1">IF(OR(INDEX($AI$2:$AI$1001,MATCH(ROWS($AH$2:AH287),$AH$2:$AH$1001,0),1)&gt;=100000,INDEX($AO$1005:$BQ$1005,1,MATCH(COLUMNS($AO$1006:BP1006),$AO$1006:$BQ$1006,0))&gt;=100000), " ",IF(INDEX($AO$2:$BQ$1001,MATCH(ROWS($AH$2:AH287),$AH$2:$AH$1001,0),MATCH(COLUMNS($AO$1006:BP1006),$AO$1006:$BQ$1006,0)), HYPERLINK("#",""), HYPERLINK(CONCATENATE("#Metadata!", ADDRESS(INDEX($AJ$2:$AJ$1001,MATCH(ROWS($AH$2:AH287),$AH$2:$AH$1001,0),0), INDEX($AO$1004:$BQ$1004,1,MATCH(COLUMNS($AO$1006:BP1006),$AO$1006:$BQ$1006,0)))),"Fix")))</f>
        <v>#N/A</v>
      </c>
      <c r="AD287" s="5" t="e">
        <f ca="1">IF(OR(INDEX($AI$2:$AI$1001,MATCH(ROWS($AH$2:AH287),$AH$2:$AH$1001,0),1)&gt;=100000,INDEX($AO$1005:$BQ$1005,1,MATCH(COLUMNS($AO$1006:BQ1006),$AO$1006:$BQ$1006,0))&gt;=100000), " ",IF(INDEX($AO$2:$BQ$1001,MATCH(ROWS($AH$2:AH287),$AH$2:$AH$1001,0),MATCH(COLUMNS($AO$1006:BQ1006),$AO$1006:$BQ$1006,0)), HYPERLINK("#",""), HYPERLINK(CONCATENATE("#Metadata!", ADDRESS(INDEX($AJ$2:$AJ$1001,MATCH(ROWS($AH$2:AH287),$AH$2:$AH$1001,0),0), INDEX($AO$1004:$BQ$1004,1,MATCH(COLUMNS($AO$1006:BQ1006),$AO$1006:$BQ$1006,0)))),"Fix")))</f>
        <v>#REF!</v>
      </c>
      <c r="AH287">
        <f ca="1"/>
        <v>284</v>
      </c>
      <c r="AI287">
        <v>100287</v>
      </c>
      <c r="AJ287">
        <v>287</v>
      </c>
      <c r="AK287" t="b">
        <f t="shared" si="4"/>
        <v>1</v>
      </c>
      <c r="AL287" t="b">
        <f>COUNTBLANK(Metadata!B287:AD287)=COLUMNS(Metadata!B287:AD287)</f>
        <v>1</v>
      </c>
      <c r="AM287" t="str">
        <v/>
      </c>
      <c r="AO287" t="b">
        <f ca="1">AND(IF(Metadata!B287="",FALSE,TRUE),COUNTIF(Metadata!B:B, Metadata!B287) = 1,NOT(ISERROR(SUMPRODUCT(SEARCH(MID(Metadata!B287,ROW(INDIRECT("1:"&amp;LEN(Metadata!B287))), 1),"0123456789abcdefghijklmnopqrstuvwxyzABCDEFGHIJKLMNOPQRSTUVWXYZ.")))))</f>
        <v>0</v>
      </c>
      <c r="AP287" t="b">
        <f>IF(Metadata!C287="",FALSE,TRUE)</f>
        <v>0</v>
      </c>
      <c r="AQ287" t="b">
        <f>IF(Metadata!D287="",FALSE,TRUE)</f>
        <v>0</v>
      </c>
      <c r="AR287" t="b">
        <f ca="1">OR(AND(IF(Metadata!E287="",FALSE,TRUE),OR(EXACT(Metadata!E287,"not collected"),EXACT(Metadata!E287,"not provided"),EXACT(Metadata!E287,"restricted access"))),AND(IF(Metadata!E287="",FALSE,TRUE),AND(AND(IFERROR(INT(LEFT(Metadata!E287,4))&gt;1900,FALSE),IFERROR(INT(LEFT(Metadata!E287,4))&lt;=YEAR(NOW()),FALSE)), OR(MID(Metadata!E287,5,1)="", AND(AND(MID(Metadata!E287,5,1)="-",IFERROR(INT(MID(Metadata!E287,6,1))&gt;=0,FALSE),IFERROR(INT(MID(Metadata!E287,6,1))&lt;=1,FALSE),NOT(MID(Metadata!E287,7,1)=""),IFERROR(INT(MID(Metadata!E287,6,2))&gt;=1,FALSE),IFERROR(INT(MID(Metadata!E287,6,2))&lt;=12,FALSE)), OR(MID(Metadata!E287,8,1)="", AND(AND(MID(Metadata!E287,8,1)="-",IFERROR(INT(MID(Metadata!E287,9,1))&gt;=0,FALSE),IFERROR(INT(MID(Metadata!E287,9,1))&lt;=3,FALSE),NOT(MID(Metadata!E287,10,1)=""),IFERROR(INT(MID(Metadata!E287,9,2))&gt;=1,FALSE),IFERROR(INT(MID(Metadata!E287,9,2))&lt;=31,FALSE)), OR(MID(Metadata!E287,11,1)="", AND(AND(MID(Metadata!E287,11,1)=" ",IFERROR(INT(MID(Metadata!E287,12,1))&gt;=0,FALSE),IFERROR(INT(MID(Metadata!E287,12,1))&lt;=2,FALSE),NOT(MID(Metadata!E287,13,1)=""),IFERROR(INT(MID(Metadata!E287,12,2))&gt;=0,FALSE),IFERROR(INT(MID(Metadata!E287,12,2))&lt;=23,FALSE)), OR(MID(Metadata!E287,14,1)="", AND(AND(MID(Metadata!E287,14,1)=":",IFERROR(INT(MID(Metadata!E287,15,1))&gt;=0,FALSE),IFERROR(INT(MID(Metadata!E287,15,1))&lt;=5,FALSE),NOT(MID(Metadata!E287,16,1)=""),IFERROR(INT(MID(Metadata!E287,15,2))&gt;=0,FALSE),IFERROR(INT(MID(Metadata!E287,15,2))&lt;=59,FALSE)), OR(MID(Metadata!E287,17,1)="", AND(AND(MID(Metadata!E287,17,1)=":",IFERROR(INT(MID(Metadata!E287,18,1))&gt;=0,FALSE),IFERROR(INT(MID(Metadata!E287,18,1))&lt;=5,FALSE),NOT(MID(Metadata!E287,19,1)=""),IFERROR(INT(MID(Metadata!E287,18,2))&gt;=0,FALSE),IFERROR(INT(MID(Metadata!E287,18,2))&lt;=59,FALSE)), LEN(Metadata!E287)&lt;=19)))))))))))))</f>
        <v>0</v>
      </c>
      <c r="AS287" t="b">
        <f>IF(Metadata!F287="",FALSE,TRUE)</f>
        <v>0</v>
      </c>
      <c r="AT287" t="b">
        <f>OR(AND(IF(Metadata!G287="",FALSE,TRUE),OR(EXACT(Metadata!G287,"not collected"),EXACT(Metadata!G287,"not provided"))),AND(IF(Metadata!G287="",FALSE,TRUE),OR(EXACT(Metadata!G287,"TRUE"),EXACT(Metadata!G287,"FALSE"))))</f>
        <v>0</v>
      </c>
      <c r="AU287" t="b">
        <f>OR(AND(IF(Metadata!H287="",FALSE,TRUE),OR(EXACT(Metadata!H287,"not collected"),EXACT(Metadata!H287,"not provided"),EXACT(Metadata!H287,"restricted access"))),AND(IF(Metadata!H287="",FALSE,ISNUMBER(VALUE(Metadata!H287))),Metadata!H287&gt;=-413))</f>
        <v>0</v>
      </c>
      <c r="AV287" t="b">
        <f>AND(IF(Metadata!I287="",FALSE,TRUE),EXACT(Metadata!I287,"meters"))</f>
        <v>0</v>
      </c>
      <c r="AW287" t="b">
        <f>AND(IF(Metadata!J287="",FALSE,TRUE),EXACT(Metadata!J287,"free-living"))</f>
        <v>0</v>
      </c>
      <c r="AX287" t="b">
        <f>AND(IF(Metadata!K287="",FALSE,TRUE),OR(EXACT(Metadata!K287,"saline"),EXACT(Metadata!K287,"non-saline")))</f>
        <v>0</v>
      </c>
      <c r="AY287" t="b">
        <f>AND(IF(Metadata!L287="",FALSE,TRUE),OR(EXACT(Metadata!L287,"sub-surface (non-saline)"),EXACT(Metadata!L287,"surface (non-saline)"),EXACT(Metadata!L287,"water (non-saline)"),EXACT(Metadata!L287,"soil (non-saline)"),EXACT(Metadata!L287,"aerosol (non-saline)"),EXACT(Metadata!L287,"sediment (non-saline)"),EXACT(Metadata!L287,"surface (saline)"),EXACT(Metadata!L287,"water (saline)"),EXACT(Metadata!L287,"hypersaline (saline)"),EXACT(Metadata!L287,"aerosol (saline)"),EXACT(Metadata!L287,"sediment (saline)")))</f>
        <v>0</v>
      </c>
      <c r="AZ287" t="b">
        <f>IF(Metadata!M287="",FALSE,TRUE)</f>
        <v>0</v>
      </c>
      <c r="BA287" t="b">
        <f>IF(Metadata!N287="",FALSE,TRUE)</f>
        <v>0</v>
      </c>
      <c r="BB287" t="b">
        <f>IF(Metadata!O287="",FALSE,TRUE)</f>
        <v>0</v>
      </c>
      <c r="BC287" t="b">
        <f>AND(IF(Metadata!P287="",FALSE,TRUE),OR(EXACT(Metadata!P287,"air"),EXACT(Metadata!P287,"microbial mat/biofilm"),EXACT(Metadata!P287,"misc environment"),EXACT(Metadata!P287,"sediment"),EXACT(Metadata!P287,"soil"),EXACT(Metadata!P287,"wastewater/sludge"),EXACT(Metadata!P287,"water")))</f>
        <v>0</v>
      </c>
      <c r="BD287" t="b">
        <f>IF(Metadata!Q287="",FALSE,TRUE)</f>
        <v>0</v>
      </c>
      <c r="BE287" t="b">
        <f>IF(Metadata!R287="",FALSE,TRUE)</f>
        <v>0</v>
      </c>
      <c r="BF287" t="b">
        <f>OR(AND(IF(Metadata!S287="",FALSE,TRUE),OR(EXACT(Metadata!S287,"not collected"),EXACT(Metadata!S287,"not provided"),EXACT(Metadata!S287,"restricted access"))),AND(IF(Metadata!S287="",FALSE,ISNUMBER(VALUE(Metadata!S287))),Metadata!S287&gt;=-90,Metadata!S287&lt;=90))</f>
        <v>0</v>
      </c>
      <c r="BG287" t="b">
        <f>AND(IF(Metadata!T287="",FALSE,TRUE),EXACT(Metadata!T287,"Decimal degrees"))</f>
        <v>0</v>
      </c>
      <c r="BH287" t="b">
        <f>OR(AND(IF(Metadata!U287="",FALSE,TRUE),OR(EXACT(Metadata!U287,"not applicable"),EXACT(Metadata!U287,"not collected"))),IF(Metadata!U287="",FALSE,TRUE))</f>
        <v>0</v>
      </c>
      <c r="BI287" t="b">
        <f>OR(AND(IF(Metadata!V287="",FALSE,TRUE),OR(EXACT(Metadata!V287,"not collected"),EXACT(Metadata!V287,"not provided"),EXACT(Metadata!V287,"restricted access"))),AND(IF(Metadata!V287="",FALSE,ISNUMBER(VALUE(Metadata!V287))),Metadata!V287&gt;=-180,Metadata!V287&lt;=180))</f>
        <v>0</v>
      </c>
      <c r="BJ287" t="b">
        <f>AND(IF(Metadata!W287="",FALSE,TRUE),EXACT(Metadata!W287,"Decimal degrees"))</f>
        <v>0</v>
      </c>
      <c r="BK287" t="b">
        <f>IF(Metadata!X287="",FALSE,TRUE)</f>
        <v>0</v>
      </c>
      <c r="BL287" t="b">
        <f>OR(AND(IF(Metadata!Y287="",FALSE,TRUE),OR(EXACT(Metadata!Y287,"not collected"),EXACT(Metadata!Y287,"not provided"),EXACT(Metadata!Y287,"restricted access"))),AND(IF(Metadata!Y287="",FALSE,TRUE),OR(EXACT(Metadata!Y287,"TRUE"),EXACT(Metadata!Y287,"FALSE"))))</f>
        <v>0</v>
      </c>
      <c r="BM287" t="b">
        <f>OR(AND(IF(Metadata!Z287="",FALSE,TRUE),EXACT(Metadata!Z287,"not applicable")),AND(IF(Metadata!Z287="",FALSE,TRUE),OR(EXACT(Metadata!Z287,"beer"),EXACT(Metadata!Z287,"cheese"),EXACT(Metadata!Z287,"fresh water"),EXACT(Metadata!Z287,"marine sediment"),EXACT(Metadata!Z287,"sea water"),EXACT(Metadata!Z287,"sediment"),EXACT(Metadata!Z287,"soil"),EXACT(Metadata!Z287,"waste water"))))</f>
        <v>0</v>
      </c>
      <c r="BN287" t="b">
        <f>AND(IF(Metadata!AA287="",FALSE,TRUE),EXACT(Metadata!AA287,"metagenome"))</f>
        <v>0</v>
      </c>
      <c r="BO287" t="b">
        <f>AND(IF(Metadata!AB287="",FALSE,TRUE),EXACT(Metadata!AB287,"256318"))</f>
        <v>0</v>
      </c>
      <c r="BP287" t="b">
        <f>IF(Metadata!AC287="",FALSE,TRUE)</f>
        <v>0</v>
      </c>
      <c r="BQ287" t="b">
        <f>IF(Metadata!AD287="",FALSE,TRUE)</f>
        <v>0</v>
      </c>
    </row>
    <row r="288" spans="1:69" x14ac:dyDescent="0.2">
      <c r="A288" s="4" t="e">
        <f ca="1">IF(B288=" "," ",HYPERLINK(CONCATENATE("#metadata!",ADDRESS(INDEX($AJ$2:$AJ$1001,MATCH(ROWS($AH$2:AH288),$AH$2:$AH$1001,0),0),2)),INDEX($AM$2:$AM$1001,MATCH(ROWS($AH$2:AH288),$AH$2:$AH$1001,0),0)))</f>
        <v>#N/A</v>
      </c>
      <c r="B288" s="5" t="e">
        <f ca="1">IF(OR(INDEX($AI$2:$AI$1001,MATCH(ROWS($AH$2:AH288),$AH$2:$AH$1001,0),1)&gt;=100000,INDEX($AO$1005:$BQ$1005,1,MATCH(COLUMNS($AO$1006:AO1006),$AO$1006:$BQ$1006,0))&gt;=100000), " ",IF(INDEX($AO$2:$BQ$1001,MATCH(ROWS($AH$2:AH288),$AH$2:$AH$1001,0),MATCH(COLUMNS($AO$1006:AO1006),$AO$1006:$BQ$1006,0)), HYPERLINK("#",""), HYPERLINK(CONCATENATE("#Metadata!", ADDRESS(INDEX($AJ$2:$AJ$1001,MATCH(ROWS($AH$2:AH288),$AH$2:$AH$1001,0),0), INDEX($AO$1004:$BQ$1004,1,MATCH(COLUMNS($AO$1006:AO1006),$AO$1006:$BQ$1006,0)))),"Fix")))</f>
        <v>#N/A</v>
      </c>
      <c r="C288" s="5" t="e">
        <f ca="1">IF(OR(INDEX($AI$2:$AI$1001,MATCH(ROWS($AH$2:AH288),$AH$2:$AH$1001,0),1)&gt;=100000,INDEX($AO$1005:$BQ$1005,1,MATCH(COLUMNS($AO$1006:AP1006),$AO$1006:$BQ$1006,0))&gt;=100000), " ",IF(INDEX($AO$2:$BQ$1001,MATCH(ROWS($AH$2:AH288),$AH$2:$AH$1001,0),MATCH(COLUMNS($AO$1006:AP1006),$AO$1006:$BQ$1006,0)), HYPERLINK("#",""), HYPERLINK(CONCATENATE("#Metadata!", ADDRESS(INDEX($AJ$2:$AJ$1001,MATCH(ROWS($AH$2:AH288),$AH$2:$AH$1001,0),0), INDEX($AO$1004:$BQ$1004,1,MATCH(COLUMNS($AO$1006:AP1006),$AO$1006:$BQ$1006,0)))),"Fix")))</f>
        <v>#N/A</v>
      </c>
      <c r="D288" s="5" t="e">
        <f ca="1">IF(OR(INDEX($AI$2:$AI$1001,MATCH(ROWS($AH$2:AH288),$AH$2:$AH$1001,0),1)&gt;=100000,INDEX($AO$1005:$BQ$1005,1,MATCH(COLUMNS($AO$1006:AQ1006),$AO$1006:$BQ$1006,0))&gt;=100000), " ",IF(INDEX($AO$2:$BQ$1001,MATCH(ROWS($AH$2:AH288),$AH$2:$AH$1001,0),MATCH(COLUMNS($AO$1006:AQ1006),$AO$1006:$BQ$1006,0)), HYPERLINK("#",""), HYPERLINK(CONCATENATE("#Metadata!", ADDRESS(INDEX($AJ$2:$AJ$1001,MATCH(ROWS($AH$2:AH288),$AH$2:$AH$1001,0),0), INDEX($AO$1004:$BQ$1004,1,MATCH(COLUMNS($AO$1006:AQ1006),$AO$1006:$BQ$1006,0)))),"Fix")))</f>
        <v>#N/A</v>
      </c>
      <c r="E288" s="5" t="e">
        <f ca="1">IF(OR(INDEX($AI$2:$AI$1001,MATCH(ROWS($AH$2:AH288),$AH$2:$AH$1001,0),1)&gt;=100000,INDEX($AO$1005:$BQ$1005,1,MATCH(COLUMNS($AO$1006:AR1006),$AO$1006:$BQ$1006,0))&gt;=100000), " ",IF(INDEX($AO$2:$BQ$1001,MATCH(ROWS($AH$2:AH288),$AH$2:$AH$1001,0),MATCH(COLUMNS($AO$1006:AR1006),$AO$1006:$BQ$1006,0)), HYPERLINK("#",""), HYPERLINK(CONCATENATE("#Metadata!", ADDRESS(INDEX($AJ$2:$AJ$1001,MATCH(ROWS($AH$2:AH288),$AH$2:$AH$1001,0),0), INDEX($AO$1004:$BQ$1004,1,MATCH(COLUMNS($AO$1006:AR1006),$AO$1006:$BQ$1006,0)))),"Fix")))</f>
        <v>#N/A</v>
      </c>
      <c r="F288" s="5" t="e">
        <f ca="1">IF(OR(INDEX($AI$2:$AI$1001,MATCH(ROWS($AH$2:AH288),$AH$2:$AH$1001,0),1)&gt;=100000,INDEX($AO$1005:$BQ$1005,1,MATCH(COLUMNS($AO$1006:AS1006),$AO$1006:$BQ$1006,0))&gt;=100000), " ",IF(INDEX($AO$2:$BQ$1001,MATCH(ROWS($AH$2:AH288),$AH$2:$AH$1001,0),MATCH(COLUMNS($AO$1006:AS1006),$AO$1006:$BQ$1006,0)), HYPERLINK("#",""), HYPERLINK(CONCATENATE("#Metadata!", ADDRESS(INDEX($AJ$2:$AJ$1001,MATCH(ROWS($AH$2:AH288),$AH$2:$AH$1001,0),0), INDEX($AO$1004:$BQ$1004,1,MATCH(COLUMNS($AO$1006:AS1006),$AO$1006:$BQ$1006,0)))),"Fix")))</f>
        <v>#N/A</v>
      </c>
      <c r="G288" s="5" t="e">
        <f ca="1">IF(OR(INDEX($AI$2:$AI$1001,MATCH(ROWS($AH$2:AH288),$AH$2:$AH$1001,0),1)&gt;=100000,INDEX($AO$1005:$BQ$1005,1,MATCH(COLUMNS($AO$1006:AT1006),$AO$1006:$BQ$1006,0))&gt;=100000), " ",IF(INDEX($AO$2:$BQ$1001,MATCH(ROWS($AH$2:AH288),$AH$2:$AH$1001,0),MATCH(COLUMNS($AO$1006:AT1006),$AO$1006:$BQ$1006,0)), HYPERLINK("#",""), HYPERLINK(CONCATENATE("#Metadata!", ADDRESS(INDEX($AJ$2:$AJ$1001,MATCH(ROWS($AH$2:AH288),$AH$2:$AH$1001,0),0), INDEX($AO$1004:$BQ$1004,1,MATCH(COLUMNS($AO$1006:AT1006),$AO$1006:$BQ$1006,0)))),"Fix")))</f>
        <v>#N/A</v>
      </c>
      <c r="H288" s="5" t="e">
        <f ca="1">IF(OR(INDEX($AI$2:$AI$1001,MATCH(ROWS($AH$2:AH288),$AH$2:$AH$1001,0),1)&gt;=100000,INDEX($AO$1005:$BQ$1005,1,MATCH(COLUMNS($AO$1006:AU1006),$AO$1006:$BQ$1006,0))&gt;=100000), " ",IF(INDEX($AO$2:$BQ$1001,MATCH(ROWS($AH$2:AH288),$AH$2:$AH$1001,0),MATCH(COLUMNS($AO$1006:AU1006),$AO$1006:$BQ$1006,0)), HYPERLINK("#",""), HYPERLINK(CONCATENATE("#Metadata!", ADDRESS(INDEX($AJ$2:$AJ$1001,MATCH(ROWS($AH$2:AH288),$AH$2:$AH$1001,0),0), INDEX($AO$1004:$BQ$1004,1,MATCH(COLUMNS($AO$1006:AU1006),$AO$1006:$BQ$1006,0)))),"Fix")))</f>
        <v>#N/A</v>
      </c>
      <c r="I288" s="5" t="e">
        <f ca="1">IF(OR(INDEX($AI$2:$AI$1001,MATCH(ROWS($AH$2:AH288),$AH$2:$AH$1001,0),1)&gt;=100000,INDEX($AO$1005:$BQ$1005,1,MATCH(COLUMNS($AO$1006:AV1006),$AO$1006:$BQ$1006,0))&gt;=100000), " ",IF(INDEX($AO$2:$BQ$1001,MATCH(ROWS($AH$2:AH288),$AH$2:$AH$1001,0),MATCH(COLUMNS($AO$1006:AV1006),$AO$1006:$BQ$1006,0)), HYPERLINK("#",""), HYPERLINK(CONCATENATE("#Metadata!", ADDRESS(INDEX($AJ$2:$AJ$1001,MATCH(ROWS($AH$2:AH288),$AH$2:$AH$1001,0),0), INDEX($AO$1004:$BQ$1004,1,MATCH(COLUMNS($AO$1006:AV1006),$AO$1006:$BQ$1006,0)))),"Fix")))</f>
        <v>#N/A</v>
      </c>
      <c r="J288" s="5" t="e">
        <f ca="1">IF(OR(INDEX($AI$2:$AI$1001,MATCH(ROWS($AH$2:AH288),$AH$2:$AH$1001,0),1)&gt;=100000,INDEX($AO$1005:$BQ$1005,1,MATCH(COLUMNS($AO$1006:AW1006),$AO$1006:$BQ$1006,0))&gt;=100000), " ",IF(INDEX($AO$2:$BQ$1001,MATCH(ROWS($AH$2:AH288),$AH$2:$AH$1001,0),MATCH(COLUMNS($AO$1006:AW1006),$AO$1006:$BQ$1006,0)), HYPERLINK("#",""), HYPERLINK(CONCATENATE("#Metadata!", ADDRESS(INDEX($AJ$2:$AJ$1001,MATCH(ROWS($AH$2:AH288),$AH$2:$AH$1001,0),0), INDEX($AO$1004:$BQ$1004,1,MATCH(COLUMNS($AO$1006:AW1006),$AO$1006:$BQ$1006,0)))),"Fix")))</f>
        <v>#N/A</v>
      </c>
      <c r="K288" s="5" t="e">
        <f ca="1">IF(OR(INDEX($AI$2:$AI$1001,MATCH(ROWS($AH$2:AH288),$AH$2:$AH$1001,0),1)&gt;=100000,INDEX($AO$1005:$BQ$1005,1,MATCH(COLUMNS($AO$1006:AX1006),$AO$1006:$BQ$1006,0))&gt;=100000), " ",IF(INDEX($AO$2:$BQ$1001,MATCH(ROWS($AH$2:AH288),$AH$2:$AH$1001,0),MATCH(COLUMNS($AO$1006:AX1006),$AO$1006:$BQ$1006,0)), HYPERLINK("#",""), HYPERLINK(CONCATENATE("#Metadata!", ADDRESS(INDEX($AJ$2:$AJ$1001,MATCH(ROWS($AH$2:AH288),$AH$2:$AH$1001,0),0), INDEX($AO$1004:$BQ$1004,1,MATCH(COLUMNS($AO$1006:AX1006),$AO$1006:$BQ$1006,0)))),"Fix")))</f>
        <v>#N/A</v>
      </c>
      <c r="L288" s="5" t="e">
        <f ca="1">IF(OR(INDEX($AI$2:$AI$1001,MATCH(ROWS($AH$2:AH288),$AH$2:$AH$1001,0),1)&gt;=100000,INDEX($AO$1005:$BQ$1005,1,MATCH(COLUMNS($AO$1006:AY1006),$AO$1006:$BQ$1006,0))&gt;=100000), " ",IF(INDEX($AO$2:$BQ$1001,MATCH(ROWS($AH$2:AH288),$AH$2:$AH$1001,0),MATCH(COLUMNS($AO$1006:AY1006),$AO$1006:$BQ$1006,0)), HYPERLINK("#",""), HYPERLINK(CONCATENATE("#Metadata!", ADDRESS(INDEX($AJ$2:$AJ$1001,MATCH(ROWS($AH$2:AH288),$AH$2:$AH$1001,0),0), INDEX($AO$1004:$BQ$1004,1,MATCH(COLUMNS($AO$1006:AY1006),$AO$1006:$BQ$1006,0)))),"Fix")))</f>
        <v>#N/A</v>
      </c>
      <c r="M288" s="5" t="e">
        <f ca="1">IF(OR(INDEX($AI$2:$AI$1001,MATCH(ROWS($AH$2:AH288),$AH$2:$AH$1001,0),1)&gt;=100000,INDEX($AO$1005:$BQ$1005,1,MATCH(COLUMNS($AO$1006:AZ1006),$AO$1006:$BQ$1006,0))&gt;=100000), " ",IF(INDEX($AO$2:$BQ$1001,MATCH(ROWS($AH$2:AH288),$AH$2:$AH$1001,0),MATCH(COLUMNS($AO$1006:AZ1006),$AO$1006:$BQ$1006,0)), HYPERLINK("#",""), HYPERLINK(CONCATENATE("#Metadata!", ADDRESS(INDEX($AJ$2:$AJ$1001,MATCH(ROWS($AH$2:AH288),$AH$2:$AH$1001,0),0), INDEX($AO$1004:$BQ$1004,1,MATCH(COLUMNS($AO$1006:AZ1006),$AO$1006:$BQ$1006,0)))),"Fix")))</f>
        <v>#N/A</v>
      </c>
      <c r="N288" s="5" t="e">
        <f ca="1">IF(OR(INDEX($AI$2:$AI$1001,MATCH(ROWS($AH$2:AH288),$AH$2:$AH$1001,0),1)&gt;=100000,INDEX($AO$1005:$BQ$1005,1,MATCH(COLUMNS($AO$1006:BA1006),$AO$1006:$BQ$1006,0))&gt;=100000), " ",IF(INDEX($AO$2:$BQ$1001,MATCH(ROWS($AH$2:AH288),$AH$2:$AH$1001,0),MATCH(COLUMNS($AO$1006:BA1006),$AO$1006:$BQ$1006,0)), HYPERLINK("#",""), HYPERLINK(CONCATENATE("#Metadata!", ADDRESS(INDEX($AJ$2:$AJ$1001,MATCH(ROWS($AH$2:AH288),$AH$2:$AH$1001,0),0), INDEX($AO$1004:$BQ$1004,1,MATCH(COLUMNS($AO$1006:BA1006),$AO$1006:$BQ$1006,0)))),"Fix")))</f>
        <v>#N/A</v>
      </c>
      <c r="O288" s="5" t="e">
        <f ca="1">IF(OR(INDEX($AI$2:$AI$1001,MATCH(ROWS($AH$2:AH288),$AH$2:$AH$1001,0),1)&gt;=100000,INDEX($AO$1005:$BQ$1005,1,MATCH(COLUMNS($AO$1006:BB1006),$AO$1006:$BQ$1006,0))&gt;=100000), " ",IF(INDEX($AO$2:$BQ$1001,MATCH(ROWS($AH$2:AH288),$AH$2:$AH$1001,0),MATCH(COLUMNS($AO$1006:BB1006),$AO$1006:$BQ$1006,0)), HYPERLINK("#",""), HYPERLINK(CONCATENATE("#Metadata!", ADDRESS(INDEX($AJ$2:$AJ$1001,MATCH(ROWS($AH$2:AH288),$AH$2:$AH$1001,0),0), INDEX($AO$1004:$BQ$1004,1,MATCH(COLUMNS($AO$1006:BB1006),$AO$1006:$BQ$1006,0)))),"Fix")))</f>
        <v>#N/A</v>
      </c>
      <c r="P288" s="5" t="e">
        <f ca="1">IF(OR(INDEX($AI$2:$AI$1001,MATCH(ROWS($AH$2:AH288),$AH$2:$AH$1001,0),1)&gt;=100000,INDEX($AO$1005:$BQ$1005,1,MATCH(COLUMNS($AO$1006:BC1006),$AO$1006:$BQ$1006,0))&gt;=100000), " ",IF(INDEX($AO$2:$BQ$1001,MATCH(ROWS($AH$2:AH288),$AH$2:$AH$1001,0),MATCH(COLUMNS($AO$1006:BC1006),$AO$1006:$BQ$1006,0)), HYPERLINK("#",""), HYPERLINK(CONCATENATE("#Metadata!", ADDRESS(INDEX($AJ$2:$AJ$1001,MATCH(ROWS($AH$2:AH288),$AH$2:$AH$1001,0),0), INDEX($AO$1004:$BQ$1004,1,MATCH(COLUMNS($AO$1006:BC1006),$AO$1006:$BQ$1006,0)))),"Fix")))</f>
        <v>#N/A</v>
      </c>
      <c r="Q288" s="5" t="e">
        <f ca="1">IF(OR(INDEX($AI$2:$AI$1001,MATCH(ROWS($AH$2:AH288),$AH$2:$AH$1001,0),1)&gt;=100000,INDEX($AO$1005:$BQ$1005,1,MATCH(COLUMNS($AO$1006:BD1006),$AO$1006:$BQ$1006,0))&gt;=100000), " ",IF(INDEX($AO$2:$BQ$1001,MATCH(ROWS($AH$2:AH288),$AH$2:$AH$1001,0),MATCH(COLUMNS($AO$1006:BD1006),$AO$1006:$BQ$1006,0)), HYPERLINK("#",""), HYPERLINK(CONCATENATE("#Metadata!", ADDRESS(INDEX($AJ$2:$AJ$1001,MATCH(ROWS($AH$2:AH288),$AH$2:$AH$1001,0),0), INDEX($AO$1004:$BQ$1004,1,MATCH(COLUMNS($AO$1006:BD1006),$AO$1006:$BQ$1006,0)))),"Fix")))</f>
        <v>#N/A</v>
      </c>
      <c r="R288" s="5" t="e">
        <f ca="1">IF(OR(INDEX($AI$2:$AI$1001,MATCH(ROWS($AH$2:AH288),$AH$2:$AH$1001,0),1)&gt;=100000,INDEX($AO$1005:$BQ$1005,1,MATCH(COLUMNS($AO$1006:BE1006),$AO$1006:$BQ$1006,0))&gt;=100000), " ",IF(INDEX($AO$2:$BQ$1001,MATCH(ROWS($AH$2:AH288),$AH$2:$AH$1001,0),MATCH(COLUMNS($AO$1006:BE1006),$AO$1006:$BQ$1006,0)), HYPERLINK("#",""), HYPERLINK(CONCATENATE("#Metadata!", ADDRESS(INDEX($AJ$2:$AJ$1001,MATCH(ROWS($AH$2:AH288),$AH$2:$AH$1001,0),0), INDEX($AO$1004:$BQ$1004,1,MATCH(COLUMNS($AO$1006:BE1006),$AO$1006:$BQ$1006,0)))),"Fix")))</f>
        <v>#N/A</v>
      </c>
      <c r="S288" s="5" t="e">
        <f ca="1">IF(OR(INDEX($AI$2:$AI$1001,MATCH(ROWS($AH$2:AH288),$AH$2:$AH$1001,0),1)&gt;=100000,INDEX($AO$1005:$BQ$1005,1,MATCH(COLUMNS($AO$1006:BF1006),$AO$1006:$BQ$1006,0))&gt;=100000), " ",IF(INDEX($AO$2:$BQ$1001,MATCH(ROWS($AH$2:AH288),$AH$2:$AH$1001,0),MATCH(COLUMNS($AO$1006:BF1006),$AO$1006:$BQ$1006,0)), HYPERLINK("#",""), HYPERLINK(CONCATENATE("#Metadata!", ADDRESS(INDEX($AJ$2:$AJ$1001,MATCH(ROWS($AH$2:AH288),$AH$2:$AH$1001,0),0), INDEX($AO$1004:$BQ$1004,1,MATCH(COLUMNS($AO$1006:BF1006),$AO$1006:$BQ$1006,0)))),"Fix")))</f>
        <v>#N/A</v>
      </c>
      <c r="T288" s="5" t="e">
        <f ca="1">IF(OR(INDEX($AI$2:$AI$1001,MATCH(ROWS($AH$2:AH288),$AH$2:$AH$1001,0),1)&gt;=100000,INDEX($AO$1005:$BQ$1005,1,MATCH(COLUMNS($AO$1006:BG1006),$AO$1006:$BQ$1006,0))&gt;=100000), " ",IF(INDEX($AO$2:$BQ$1001,MATCH(ROWS($AH$2:AH288),$AH$2:$AH$1001,0),MATCH(COLUMNS($AO$1006:BG1006),$AO$1006:$BQ$1006,0)), HYPERLINK("#",""), HYPERLINK(CONCATENATE("#Metadata!", ADDRESS(INDEX($AJ$2:$AJ$1001,MATCH(ROWS($AH$2:AH288),$AH$2:$AH$1001,0),0), INDEX($AO$1004:$BQ$1004,1,MATCH(COLUMNS($AO$1006:BG1006),$AO$1006:$BQ$1006,0)))),"Fix")))</f>
        <v>#N/A</v>
      </c>
      <c r="U288" s="5" t="e">
        <f ca="1">IF(OR(INDEX($AI$2:$AI$1001,MATCH(ROWS($AH$2:AH288),$AH$2:$AH$1001,0),1)&gt;=100000,INDEX($AO$1005:$BQ$1005,1,MATCH(COLUMNS($AO$1006:BH1006),$AO$1006:$BQ$1006,0))&gt;=100000), " ",IF(INDEX($AO$2:$BQ$1001,MATCH(ROWS($AH$2:AH288),$AH$2:$AH$1001,0),MATCH(COLUMNS($AO$1006:BH1006),$AO$1006:$BQ$1006,0)), HYPERLINK("#",""), HYPERLINK(CONCATENATE("#Metadata!", ADDRESS(INDEX($AJ$2:$AJ$1001,MATCH(ROWS($AH$2:AH288),$AH$2:$AH$1001,0),0), INDEX($AO$1004:$BQ$1004,1,MATCH(COLUMNS($AO$1006:BH1006),$AO$1006:$BQ$1006,0)))),"Fix")))</f>
        <v>#N/A</v>
      </c>
      <c r="V288" s="5" t="e">
        <f ca="1">IF(OR(INDEX($AI$2:$AI$1001,MATCH(ROWS($AH$2:AH288),$AH$2:$AH$1001,0),1)&gt;=100000,INDEX($AO$1005:$BQ$1005,1,MATCH(COLUMNS($AO$1006:BI1006),$AO$1006:$BQ$1006,0))&gt;=100000), " ",IF(INDEX($AO$2:$BQ$1001,MATCH(ROWS($AH$2:AH288),$AH$2:$AH$1001,0),MATCH(COLUMNS($AO$1006:BI1006),$AO$1006:$BQ$1006,0)), HYPERLINK("#",""), HYPERLINK(CONCATENATE("#Metadata!", ADDRESS(INDEX($AJ$2:$AJ$1001,MATCH(ROWS($AH$2:AH288),$AH$2:$AH$1001,0),0), INDEX($AO$1004:$BQ$1004,1,MATCH(COLUMNS($AO$1006:BI1006),$AO$1006:$BQ$1006,0)))),"Fix")))</f>
        <v>#N/A</v>
      </c>
      <c r="W288" s="5" t="e">
        <f ca="1">IF(OR(INDEX($AI$2:$AI$1001,MATCH(ROWS($AH$2:AH288),$AH$2:$AH$1001,0),1)&gt;=100000,INDEX($AO$1005:$BQ$1005,1,MATCH(COLUMNS($AO$1006:BJ1006),$AO$1006:$BQ$1006,0))&gt;=100000), " ",IF(INDEX($AO$2:$BQ$1001,MATCH(ROWS($AH$2:AH288),$AH$2:$AH$1001,0),MATCH(COLUMNS($AO$1006:BJ1006),$AO$1006:$BQ$1006,0)), HYPERLINK("#",""), HYPERLINK(CONCATENATE("#Metadata!", ADDRESS(INDEX($AJ$2:$AJ$1001,MATCH(ROWS($AH$2:AH288),$AH$2:$AH$1001,0),0), INDEX($AO$1004:$BQ$1004,1,MATCH(COLUMNS($AO$1006:BJ1006),$AO$1006:$BQ$1006,0)))),"Fix")))</f>
        <v>#N/A</v>
      </c>
      <c r="X288" s="5" t="e">
        <f ca="1">IF(OR(INDEX($AI$2:$AI$1001,MATCH(ROWS($AH$2:AH288),$AH$2:$AH$1001,0),1)&gt;=100000,INDEX($AO$1005:$BQ$1005,1,MATCH(COLUMNS($AO$1006:BK1006),$AO$1006:$BQ$1006,0))&gt;=100000), " ",IF(INDEX($AO$2:$BQ$1001,MATCH(ROWS($AH$2:AH288),$AH$2:$AH$1001,0),MATCH(COLUMNS($AO$1006:BK1006),$AO$1006:$BQ$1006,0)), HYPERLINK("#",""), HYPERLINK(CONCATENATE("#Metadata!", ADDRESS(INDEX($AJ$2:$AJ$1001,MATCH(ROWS($AH$2:AH288),$AH$2:$AH$1001,0),0), INDEX($AO$1004:$BQ$1004,1,MATCH(COLUMNS($AO$1006:BK1006),$AO$1006:$BQ$1006,0)))),"Fix")))</f>
        <v>#N/A</v>
      </c>
      <c r="Y288" s="5" t="e">
        <f ca="1">IF(OR(INDEX($AI$2:$AI$1001,MATCH(ROWS($AH$2:AH288),$AH$2:$AH$1001,0),1)&gt;=100000,INDEX($AO$1005:$BQ$1005,1,MATCH(COLUMNS($AO$1006:BL1006),$AO$1006:$BQ$1006,0))&gt;=100000), " ",IF(INDEX($AO$2:$BQ$1001,MATCH(ROWS($AH$2:AH288),$AH$2:$AH$1001,0),MATCH(COLUMNS($AO$1006:BL1006),$AO$1006:$BQ$1006,0)), HYPERLINK("#",""), HYPERLINK(CONCATENATE("#Metadata!", ADDRESS(INDEX($AJ$2:$AJ$1001,MATCH(ROWS($AH$2:AH288),$AH$2:$AH$1001,0),0), INDEX($AO$1004:$BQ$1004,1,MATCH(COLUMNS($AO$1006:BL1006),$AO$1006:$BQ$1006,0)))),"Fix")))</f>
        <v>#N/A</v>
      </c>
      <c r="Z288" s="5" t="e">
        <f ca="1">IF(OR(INDEX($AI$2:$AI$1001,MATCH(ROWS($AH$2:AH288),$AH$2:$AH$1001,0),1)&gt;=100000,INDEX($AO$1005:$BQ$1005,1,MATCH(COLUMNS($AO$1006:BM1006),$AO$1006:$BQ$1006,0))&gt;=100000), " ",IF(INDEX($AO$2:$BQ$1001,MATCH(ROWS($AH$2:AH288),$AH$2:$AH$1001,0),MATCH(COLUMNS($AO$1006:BM1006),$AO$1006:$BQ$1006,0)), HYPERLINK("#",""), HYPERLINK(CONCATENATE("#Metadata!", ADDRESS(INDEX($AJ$2:$AJ$1001,MATCH(ROWS($AH$2:AH288),$AH$2:$AH$1001,0),0), INDEX($AO$1004:$BQ$1004,1,MATCH(COLUMNS($AO$1006:BM1006),$AO$1006:$BQ$1006,0)))),"Fix")))</f>
        <v>#N/A</v>
      </c>
      <c r="AA288" s="5" t="e">
        <f ca="1">IF(OR(INDEX($AI$2:$AI$1001,MATCH(ROWS($AH$2:AH288),$AH$2:$AH$1001,0),1)&gt;=100000,INDEX($AO$1005:$BQ$1005,1,MATCH(COLUMNS($AO$1006:BN1006),$AO$1006:$BQ$1006,0))&gt;=100000), " ",IF(INDEX($AO$2:$BQ$1001,MATCH(ROWS($AH$2:AH288),$AH$2:$AH$1001,0),MATCH(COLUMNS($AO$1006:BN1006),$AO$1006:$BQ$1006,0)), HYPERLINK("#",""), HYPERLINK(CONCATENATE("#Metadata!", ADDRESS(INDEX($AJ$2:$AJ$1001,MATCH(ROWS($AH$2:AH288),$AH$2:$AH$1001,0),0), INDEX($AO$1004:$BQ$1004,1,MATCH(COLUMNS($AO$1006:BN1006),$AO$1006:$BQ$1006,0)))),"Fix")))</f>
        <v>#N/A</v>
      </c>
      <c r="AB288" s="5" t="e">
        <f ca="1">IF(OR(INDEX($AI$2:$AI$1001,MATCH(ROWS($AH$2:AH288),$AH$2:$AH$1001,0),1)&gt;=100000,INDEX($AO$1005:$BQ$1005,1,MATCH(COLUMNS($AO$1006:BO1006),$AO$1006:$BQ$1006,0))&gt;=100000), " ",IF(INDEX($AO$2:$BQ$1001,MATCH(ROWS($AH$2:AH288),$AH$2:$AH$1001,0),MATCH(COLUMNS($AO$1006:BO1006),$AO$1006:$BQ$1006,0)), HYPERLINK("#",""), HYPERLINK(CONCATENATE("#Metadata!", ADDRESS(INDEX($AJ$2:$AJ$1001,MATCH(ROWS($AH$2:AH288),$AH$2:$AH$1001,0),0), INDEX($AO$1004:$BQ$1004,1,MATCH(COLUMNS($AO$1006:BO1006),$AO$1006:$BQ$1006,0)))),"Fix")))</f>
        <v>#N/A</v>
      </c>
      <c r="AC288" s="5" t="e">
        <f ca="1">IF(OR(INDEX($AI$2:$AI$1001,MATCH(ROWS($AH$2:AH288),$AH$2:$AH$1001,0),1)&gt;=100000,INDEX($AO$1005:$BQ$1005,1,MATCH(COLUMNS($AO$1006:BP1006),$AO$1006:$BQ$1006,0))&gt;=100000), " ",IF(INDEX($AO$2:$BQ$1001,MATCH(ROWS($AH$2:AH288),$AH$2:$AH$1001,0),MATCH(COLUMNS($AO$1006:BP1006),$AO$1006:$BQ$1006,0)), HYPERLINK("#",""), HYPERLINK(CONCATENATE("#Metadata!", ADDRESS(INDEX($AJ$2:$AJ$1001,MATCH(ROWS($AH$2:AH288),$AH$2:$AH$1001,0),0), INDEX($AO$1004:$BQ$1004,1,MATCH(COLUMNS($AO$1006:BP1006),$AO$1006:$BQ$1006,0)))),"Fix")))</f>
        <v>#N/A</v>
      </c>
      <c r="AD288" s="5" t="e">
        <f ca="1">IF(OR(INDEX($AI$2:$AI$1001,MATCH(ROWS($AH$2:AH288),$AH$2:$AH$1001,0),1)&gt;=100000,INDEX($AO$1005:$BQ$1005,1,MATCH(COLUMNS($AO$1006:BQ1006),$AO$1006:$BQ$1006,0))&gt;=100000), " ",IF(INDEX($AO$2:$BQ$1001,MATCH(ROWS($AH$2:AH288),$AH$2:$AH$1001,0),MATCH(COLUMNS($AO$1006:BQ1006),$AO$1006:$BQ$1006,0)), HYPERLINK("#",""), HYPERLINK(CONCATENATE("#Metadata!", ADDRESS(INDEX($AJ$2:$AJ$1001,MATCH(ROWS($AH$2:AH288),$AH$2:$AH$1001,0),0), INDEX($AO$1004:$BQ$1004,1,MATCH(COLUMNS($AO$1006:BQ1006),$AO$1006:$BQ$1006,0)))),"Fix")))</f>
        <v>#REF!</v>
      </c>
      <c r="AH288">
        <f ca="1"/>
        <v>285</v>
      </c>
      <c r="AI288">
        <v>100288</v>
      </c>
      <c r="AJ288">
        <v>288</v>
      </c>
      <c r="AK288" t="b">
        <f t="shared" si="4"/>
        <v>1</v>
      </c>
      <c r="AL288" t="b">
        <f>COUNTBLANK(Metadata!B288:AD288)=COLUMNS(Metadata!B288:AD288)</f>
        <v>1</v>
      </c>
      <c r="AM288" t="str">
        <v/>
      </c>
      <c r="AO288" t="b">
        <f ca="1">AND(IF(Metadata!B288="",FALSE,TRUE),COUNTIF(Metadata!B:B, Metadata!B288) = 1,NOT(ISERROR(SUMPRODUCT(SEARCH(MID(Metadata!B288,ROW(INDIRECT("1:"&amp;LEN(Metadata!B288))), 1),"0123456789abcdefghijklmnopqrstuvwxyzABCDEFGHIJKLMNOPQRSTUVWXYZ.")))))</f>
        <v>0</v>
      </c>
      <c r="AP288" t="b">
        <f>IF(Metadata!C288="",FALSE,TRUE)</f>
        <v>0</v>
      </c>
      <c r="AQ288" t="b">
        <f>IF(Metadata!D288="",FALSE,TRUE)</f>
        <v>0</v>
      </c>
      <c r="AR288" t="b">
        <f ca="1">OR(AND(IF(Metadata!E288="",FALSE,TRUE),OR(EXACT(Metadata!E288,"not collected"),EXACT(Metadata!E288,"not provided"),EXACT(Metadata!E288,"restricted access"))),AND(IF(Metadata!E288="",FALSE,TRUE),AND(AND(IFERROR(INT(LEFT(Metadata!E288,4))&gt;1900,FALSE),IFERROR(INT(LEFT(Metadata!E288,4))&lt;=YEAR(NOW()),FALSE)), OR(MID(Metadata!E288,5,1)="", AND(AND(MID(Metadata!E288,5,1)="-",IFERROR(INT(MID(Metadata!E288,6,1))&gt;=0,FALSE),IFERROR(INT(MID(Metadata!E288,6,1))&lt;=1,FALSE),NOT(MID(Metadata!E288,7,1)=""),IFERROR(INT(MID(Metadata!E288,6,2))&gt;=1,FALSE),IFERROR(INT(MID(Metadata!E288,6,2))&lt;=12,FALSE)), OR(MID(Metadata!E288,8,1)="", AND(AND(MID(Metadata!E288,8,1)="-",IFERROR(INT(MID(Metadata!E288,9,1))&gt;=0,FALSE),IFERROR(INT(MID(Metadata!E288,9,1))&lt;=3,FALSE),NOT(MID(Metadata!E288,10,1)=""),IFERROR(INT(MID(Metadata!E288,9,2))&gt;=1,FALSE),IFERROR(INT(MID(Metadata!E288,9,2))&lt;=31,FALSE)), OR(MID(Metadata!E288,11,1)="", AND(AND(MID(Metadata!E288,11,1)=" ",IFERROR(INT(MID(Metadata!E288,12,1))&gt;=0,FALSE),IFERROR(INT(MID(Metadata!E288,12,1))&lt;=2,FALSE),NOT(MID(Metadata!E288,13,1)=""),IFERROR(INT(MID(Metadata!E288,12,2))&gt;=0,FALSE),IFERROR(INT(MID(Metadata!E288,12,2))&lt;=23,FALSE)), OR(MID(Metadata!E288,14,1)="", AND(AND(MID(Metadata!E288,14,1)=":",IFERROR(INT(MID(Metadata!E288,15,1))&gt;=0,FALSE),IFERROR(INT(MID(Metadata!E288,15,1))&lt;=5,FALSE),NOT(MID(Metadata!E288,16,1)=""),IFERROR(INT(MID(Metadata!E288,15,2))&gt;=0,FALSE),IFERROR(INT(MID(Metadata!E288,15,2))&lt;=59,FALSE)), OR(MID(Metadata!E288,17,1)="", AND(AND(MID(Metadata!E288,17,1)=":",IFERROR(INT(MID(Metadata!E288,18,1))&gt;=0,FALSE),IFERROR(INT(MID(Metadata!E288,18,1))&lt;=5,FALSE),NOT(MID(Metadata!E288,19,1)=""),IFERROR(INT(MID(Metadata!E288,18,2))&gt;=0,FALSE),IFERROR(INT(MID(Metadata!E288,18,2))&lt;=59,FALSE)), LEN(Metadata!E288)&lt;=19)))))))))))))</f>
        <v>0</v>
      </c>
      <c r="AS288" t="b">
        <f>IF(Metadata!F288="",FALSE,TRUE)</f>
        <v>0</v>
      </c>
      <c r="AT288" t="b">
        <f>OR(AND(IF(Metadata!G288="",FALSE,TRUE),OR(EXACT(Metadata!G288,"not collected"),EXACT(Metadata!G288,"not provided"))),AND(IF(Metadata!G288="",FALSE,TRUE),OR(EXACT(Metadata!G288,"TRUE"),EXACT(Metadata!G288,"FALSE"))))</f>
        <v>0</v>
      </c>
      <c r="AU288" t="b">
        <f>OR(AND(IF(Metadata!H288="",FALSE,TRUE),OR(EXACT(Metadata!H288,"not collected"),EXACT(Metadata!H288,"not provided"),EXACT(Metadata!H288,"restricted access"))),AND(IF(Metadata!H288="",FALSE,ISNUMBER(VALUE(Metadata!H288))),Metadata!H288&gt;=-413))</f>
        <v>0</v>
      </c>
      <c r="AV288" t="b">
        <f>AND(IF(Metadata!I288="",FALSE,TRUE),EXACT(Metadata!I288,"meters"))</f>
        <v>0</v>
      </c>
      <c r="AW288" t="b">
        <f>AND(IF(Metadata!J288="",FALSE,TRUE),EXACT(Metadata!J288,"free-living"))</f>
        <v>0</v>
      </c>
      <c r="AX288" t="b">
        <f>AND(IF(Metadata!K288="",FALSE,TRUE),OR(EXACT(Metadata!K288,"saline"),EXACT(Metadata!K288,"non-saline")))</f>
        <v>0</v>
      </c>
      <c r="AY288" t="b">
        <f>AND(IF(Metadata!L288="",FALSE,TRUE),OR(EXACT(Metadata!L288,"sub-surface (non-saline)"),EXACT(Metadata!L288,"surface (non-saline)"),EXACT(Metadata!L288,"water (non-saline)"),EXACT(Metadata!L288,"soil (non-saline)"),EXACT(Metadata!L288,"aerosol (non-saline)"),EXACT(Metadata!L288,"sediment (non-saline)"),EXACT(Metadata!L288,"surface (saline)"),EXACT(Metadata!L288,"water (saline)"),EXACT(Metadata!L288,"hypersaline (saline)"),EXACT(Metadata!L288,"aerosol (saline)"),EXACT(Metadata!L288,"sediment (saline)")))</f>
        <v>0</v>
      </c>
      <c r="AZ288" t="b">
        <f>IF(Metadata!M288="",FALSE,TRUE)</f>
        <v>0</v>
      </c>
      <c r="BA288" t="b">
        <f>IF(Metadata!N288="",FALSE,TRUE)</f>
        <v>0</v>
      </c>
      <c r="BB288" t="b">
        <f>IF(Metadata!O288="",FALSE,TRUE)</f>
        <v>0</v>
      </c>
      <c r="BC288" t="b">
        <f>AND(IF(Metadata!P288="",FALSE,TRUE),OR(EXACT(Metadata!P288,"air"),EXACT(Metadata!P288,"microbial mat/biofilm"),EXACT(Metadata!P288,"misc environment"),EXACT(Metadata!P288,"sediment"),EXACT(Metadata!P288,"soil"),EXACT(Metadata!P288,"wastewater/sludge"),EXACT(Metadata!P288,"water")))</f>
        <v>0</v>
      </c>
      <c r="BD288" t="b">
        <f>IF(Metadata!Q288="",FALSE,TRUE)</f>
        <v>0</v>
      </c>
      <c r="BE288" t="b">
        <f>IF(Metadata!R288="",FALSE,TRUE)</f>
        <v>0</v>
      </c>
      <c r="BF288" t="b">
        <f>OR(AND(IF(Metadata!S288="",FALSE,TRUE),OR(EXACT(Metadata!S288,"not collected"),EXACT(Metadata!S288,"not provided"),EXACT(Metadata!S288,"restricted access"))),AND(IF(Metadata!S288="",FALSE,ISNUMBER(VALUE(Metadata!S288))),Metadata!S288&gt;=-90,Metadata!S288&lt;=90))</f>
        <v>0</v>
      </c>
      <c r="BG288" t="b">
        <f>AND(IF(Metadata!T288="",FALSE,TRUE),EXACT(Metadata!T288,"Decimal degrees"))</f>
        <v>0</v>
      </c>
      <c r="BH288" t="b">
        <f>OR(AND(IF(Metadata!U288="",FALSE,TRUE),OR(EXACT(Metadata!U288,"not applicable"),EXACT(Metadata!U288,"not collected"))),IF(Metadata!U288="",FALSE,TRUE))</f>
        <v>0</v>
      </c>
      <c r="BI288" t="b">
        <f>OR(AND(IF(Metadata!V288="",FALSE,TRUE),OR(EXACT(Metadata!V288,"not collected"),EXACT(Metadata!V288,"not provided"),EXACT(Metadata!V288,"restricted access"))),AND(IF(Metadata!V288="",FALSE,ISNUMBER(VALUE(Metadata!V288))),Metadata!V288&gt;=-180,Metadata!V288&lt;=180))</f>
        <v>0</v>
      </c>
      <c r="BJ288" t="b">
        <f>AND(IF(Metadata!W288="",FALSE,TRUE),EXACT(Metadata!W288,"Decimal degrees"))</f>
        <v>0</v>
      </c>
      <c r="BK288" t="b">
        <f>IF(Metadata!X288="",FALSE,TRUE)</f>
        <v>0</v>
      </c>
      <c r="BL288" t="b">
        <f>OR(AND(IF(Metadata!Y288="",FALSE,TRUE),OR(EXACT(Metadata!Y288,"not collected"),EXACT(Metadata!Y288,"not provided"),EXACT(Metadata!Y288,"restricted access"))),AND(IF(Metadata!Y288="",FALSE,TRUE),OR(EXACT(Metadata!Y288,"TRUE"),EXACT(Metadata!Y288,"FALSE"))))</f>
        <v>0</v>
      </c>
      <c r="BM288" t="b">
        <f>OR(AND(IF(Metadata!Z288="",FALSE,TRUE),EXACT(Metadata!Z288,"not applicable")),AND(IF(Metadata!Z288="",FALSE,TRUE),OR(EXACT(Metadata!Z288,"beer"),EXACT(Metadata!Z288,"cheese"),EXACT(Metadata!Z288,"fresh water"),EXACT(Metadata!Z288,"marine sediment"),EXACT(Metadata!Z288,"sea water"),EXACT(Metadata!Z288,"sediment"),EXACT(Metadata!Z288,"soil"),EXACT(Metadata!Z288,"waste water"))))</f>
        <v>0</v>
      </c>
      <c r="BN288" t="b">
        <f>AND(IF(Metadata!AA288="",FALSE,TRUE),EXACT(Metadata!AA288,"metagenome"))</f>
        <v>0</v>
      </c>
      <c r="BO288" t="b">
        <f>AND(IF(Metadata!AB288="",FALSE,TRUE),EXACT(Metadata!AB288,"256318"))</f>
        <v>0</v>
      </c>
      <c r="BP288" t="b">
        <f>IF(Metadata!AC288="",FALSE,TRUE)</f>
        <v>0</v>
      </c>
      <c r="BQ288" t="b">
        <f>IF(Metadata!AD288="",FALSE,TRUE)</f>
        <v>0</v>
      </c>
    </row>
    <row r="289" spans="1:69" x14ac:dyDescent="0.2">
      <c r="A289" s="4" t="e">
        <f ca="1">IF(B289=" "," ",HYPERLINK(CONCATENATE("#metadata!",ADDRESS(INDEX($AJ$2:$AJ$1001,MATCH(ROWS($AH$2:AH289),$AH$2:$AH$1001,0),0),2)),INDEX($AM$2:$AM$1001,MATCH(ROWS($AH$2:AH289),$AH$2:$AH$1001,0),0)))</f>
        <v>#N/A</v>
      </c>
      <c r="B289" s="5" t="e">
        <f ca="1">IF(OR(INDEX($AI$2:$AI$1001,MATCH(ROWS($AH$2:AH289),$AH$2:$AH$1001,0),1)&gt;=100000,INDEX($AO$1005:$BQ$1005,1,MATCH(COLUMNS($AO$1006:AO1006),$AO$1006:$BQ$1006,0))&gt;=100000), " ",IF(INDEX($AO$2:$BQ$1001,MATCH(ROWS($AH$2:AH289),$AH$2:$AH$1001,0),MATCH(COLUMNS($AO$1006:AO1006),$AO$1006:$BQ$1006,0)), HYPERLINK("#",""), HYPERLINK(CONCATENATE("#Metadata!", ADDRESS(INDEX($AJ$2:$AJ$1001,MATCH(ROWS($AH$2:AH289),$AH$2:$AH$1001,0),0), INDEX($AO$1004:$BQ$1004,1,MATCH(COLUMNS($AO$1006:AO1006),$AO$1006:$BQ$1006,0)))),"Fix")))</f>
        <v>#N/A</v>
      </c>
      <c r="C289" s="5" t="e">
        <f ca="1">IF(OR(INDEX($AI$2:$AI$1001,MATCH(ROWS($AH$2:AH289),$AH$2:$AH$1001,0),1)&gt;=100000,INDEX($AO$1005:$BQ$1005,1,MATCH(COLUMNS($AO$1006:AP1006),$AO$1006:$BQ$1006,0))&gt;=100000), " ",IF(INDEX($AO$2:$BQ$1001,MATCH(ROWS($AH$2:AH289),$AH$2:$AH$1001,0),MATCH(COLUMNS($AO$1006:AP1006),$AO$1006:$BQ$1006,0)), HYPERLINK("#",""), HYPERLINK(CONCATENATE("#Metadata!", ADDRESS(INDEX($AJ$2:$AJ$1001,MATCH(ROWS($AH$2:AH289),$AH$2:$AH$1001,0),0), INDEX($AO$1004:$BQ$1004,1,MATCH(COLUMNS($AO$1006:AP1006),$AO$1006:$BQ$1006,0)))),"Fix")))</f>
        <v>#N/A</v>
      </c>
      <c r="D289" s="5" t="e">
        <f ca="1">IF(OR(INDEX($AI$2:$AI$1001,MATCH(ROWS($AH$2:AH289),$AH$2:$AH$1001,0),1)&gt;=100000,INDEX($AO$1005:$BQ$1005,1,MATCH(COLUMNS($AO$1006:AQ1006),$AO$1006:$BQ$1006,0))&gt;=100000), " ",IF(INDEX($AO$2:$BQ$1001,MATCH(ROWS($AH$2:AH289),$AH$2:$AH$1001,0),MATCH(COLUMNS($AO$1006:AQ1006),$AO$1006:$BQ$1006,0)), HYPERLINK("#",""), HYPERLINK(CONCATENATE("#Metadata!", ADDRESS(INDEX($AJ$2:$AJ$1001,MATCH(ROWS($AH$2:AH289),$AH$2:$AH$1001,0),0), INDEX($AO$1004:$BQ$1004,1,MATCH(COLUMNS($AO$1006:AQ1006),$AO$1006:$BQ$1006,0)))),"Fix")))</f>
        <v>#N/A</v>
      </c>
      <c r="E289" s="5" t="e">
        <f ca="1">IF(OR(INDEX($AI$2:$AI$1001,MATCH(ROWS($AH$2:AH289),$AH$2:$AH$1001,0),1)&gt;=100000,INDEX($AO$1005:$BQ$1005,1,MATCH(COLUMNS($AO$1006:AR1006),$AO$1006:$BQ$1006,0))&gt;=100000), " ",IF(INDEX($AO$2:$BQ$1001,MATCH(ROWS($AH$2:AH289),$AH$2:$AH$1001,0),MATCH(COLUMNS($AO$1006:AR1006),$AO$1006:$BQ$1006,0)), HYPERLINK("#",""), HYPERLINK(CONCATENATE("#Metadata!", ADDRESS(INDEX($AJ$2:$AJ$1001,MATCH(ROWS($AH$2:AH289),$AH$2:$AH$1001,0),0), INDEX($AO$1004:$BQ$1004,1,MATCH(COLUMNS($AO$1006:AR1006),$AO$1006:$BQ$1006,0)))),"Fix")))</f>
        <v>#N/A</v>
      </c>
      <c r="F289" s="5" t="e">
        <f ca="1">IF(OR(INDEX($AI$2:$AI$1001,MATCH(ROWS($AH$2:AH289),$AH$2:$AH$1001,0),1)&gt;=100000,INDEX($AO$1005:$BQ$1005,1,MATCH(COLUMNS($AO$1006:AS1006),$AO$1006:$BQ$1006,0))&gt;=100000), " ",IF(INDEX($AO$2:$BQ$1001,MATCH(ROWS($AH$2:AH289),$AH$2:$AH$1001,0),MATCH(COLUMNS($AO$1006:AS1006),$AO$1006:$BQ$1006,0)), HYPERLINK("#",""), HYPERLINK(CONCATENATE("#Metadata!", ADDRESS(INDEX($AJ$2:$AJ$1001,MATCH(ROWS($AH$2:AH289),$AH$2:$AH$1001,0),0), INDEX($AO$1004:$BQ$1004,1,MATCH(COLUMNS($AO$1006:AS1006),$AO$1006:$BQ$1006,0)))),"Fix")))</f>
        <v>#N/A</v>
      </c>
      <c r="G289" s="5" t="e">
        <f ca="1">IF(OR(INDEX($AI$2:$AI$1001,MATCH(ROWS($AH$2:AH289),$AH$2:$AH$1001,0),1)&gt;=100000,INDEX($AO$1005:$BQ$1005,1,MATCH(COLUMNS($AO$1006:AT1006),$AO$1006:$BQ$1006,0))&gt;=100000), " ",IF(INDEX($AO$2:$BQ$1001,MATCH(ROWS($AH$2:AH289),$AH$2:$AH$1001,0),MATCH(COLUMNS($AO$1006:AT1006),$AO$1006:$BQ$1006,0)), HYPERLINK("#",""), HYPERLINK(CONCATENATE("#Metadata!", ADDRESS(INDEX($AJ$2:$AJ$1001,MATCH(ROWS($AH$2:AH289),$AH$2:$AH$1001,0),0), INDEX($AO$1004:$BQ$1004,1,MATCH(COLUMNS($AO$1006:AT1006),$AO$1006:$BQ$1006,0)))),"Fix")))</f>
        <v>#N/A</v>
      </c>
      <c r="H289" s="5" t="e">
        <f ca="1">IF(OR(INDEX($AI$2:$AI$1001,MATCH(ROWS($AH$2:AH289),$AH$2:$AH$1001,0),1)&gt;=100000,INDEX($AO$1005:$BQ$1005,1,MATCH(COLUMNS($AO$1006:AU1006),$AO$1006:$BQ$1006,0))&gt;=100000), " ",IF(INDEX($AO$2:$BQ$1001,MATCH(ROWS($AH$2:AH289),$AH$2:$AH$1001,0),MATCH(COLUMNS($AO$1006:AU1006),$AO$1006:$BQ$1006,0)), HYPERLINK("#",""), HYPERLINK(CONCATENATE("#Metadata!", ADDRESS(INDEX($AJ$2:$AJ$1001,MATCH(ROWS($AH$2:AH289),$AH$2:$AH$1001,0),0), INDEX($AO$1004:$BQ$1004,1,MATCH(COLUMNS($AO$1006:AU1006),$AO$1006:$BQ$1006,0)))),"Fix")))</f>
        <v>#N/A</v>
      </c>
      <c r="I289" s="5" t="e">
        <f ca="1">IF(OR(INDEX($AI$2:$AI$1001,MATCH(ROWS($AH$2:AH289),$AH$2:$AH$1001,0),1)&gt;=100000,INDEX($AO$1005:$BQ$1005,1,MATCH(COLUMNS($AO$1006:AV1006),$AO$1006:$BQ$1006,0))&gt;=100000), " ",IF(INDEX($AO$2:$BQ$1001,MATCH(ROWS($AH$2:AH289),$AH$2:$AH$1001,0),MATCH(COLUMNS($AO$1006:AV1006),$AO$1006:$BQ$1006,0)), HYPERLINK("#",""), HYPERLINK(CONCATENATE("#Metadata!", ADDRESS(INDEX($AJ$2:$AJ$1001,MATCH(ROWS($AH$2:AH289),$AH$2:$AH$1001,0),0), INDEX($AO$1004:$BQ$1004,1,MATCH(COLUMNS($AO$1006:AV1006),$AO$1006:$BQ$1006,0)))),"Fix")))</f>
        <v>#N/A</v>
      </c>
      <c r="J289" s="5" t="e">
        <f ca="1">IF(OR(INDEX($AI$2:$AI$1001,MATCH(ROWS($AH$2:AH289),$AH$2:$AH$1001,0),1)&gt;=100000,INDEX($AO$1005:$BQ$1005,1,MATCH(COLUMNS($AO$1006:AW1006),$AO$1006:$BQ$1006,0))&gt;=100000), " ",IF(INDEX($AO$2:$BQ$1001,MATCH(ROWS($AH$2:AH289),$AH$2:$AH$1001,0),MATCH(COLUMNS($AO$1006:AW1006),$AO$1006:$BQ$1006,0)), HYPERLINK("#",""), HYPERLINK(CONCATENATE("#Metadata!", ADDRESS(INDEX($AJ$2:$AJ$1001,MATCH(ROWS($AH$2:AH289),$AH$2:$AH$1001,0),0), INDEX($AO$1004:$BQ$1004,1,MATCH(COLUMNS($AO$1006:AW1006),$AO$1006:$BQ$1006,0)))),"Fix")))</f>
        <v>#N/A</v>
      </c>
      <c r="K289" s="5" t="e">
        <f ca="1">IF(OR(INDEX($AI$2:$AI$1001,MATCH(ROWS($AH$2:AH289),$AH$2:$AH$1001,0),1)&gt;=100000,INDEX($AO$1005:$BQ$1005,1,MATCH(COLUMNS($AO$1006:AX1006),$AO$1006:$BQ$1006,0))&gt;=100000), " ",IF(INDEX($AO$2:$BQ$1001,MATCH(ROWS($AH$2:AH289),$AH$2:$AH$1001,0),MATCH(COLUMNS($AO$1006:AX1006),$AO$1006:$BQ$1006,0)), HYPERLINK("#",""), HYPERLINK(CONCATENATE("#Metadata!", ADDRESS(INDEX($AJ$2:$AJ$1001,MATCH(ROWS($AH$2:AH289),$AH$2:$AH$1001,0),0), INDEX($AO$1004:$BQ$1004,1,MATCH(COLUMNS($AO$1006:AX1006),$AO$1006:$BQ$1006,0)))),"Fix")))</f>
        <v>#N/A</v>
      </c>
      <c r="L289" s="5" t="e">
        <f ca="1">IF(OR(INDEX($AI$2:$AI$1001,MATCH(ROWS($AH$2:AH289),$AH$2:$AH$1001,0),1)&gt;=100000,INDEX($AO$1005:$BQ$1005,1,MATCH(COLUMNS($AO$1006:AY1006),$AO$1006:$BQ$1006,0))&gt;=100000), " ",IF(INDEX($AO$2:$BQ$1001,MATCH(ROWS($AH$2:AH289),$AH$2:$AH$1001,0),MATCH(COLUMNS($AO$1006:AY1006),$AO$1006:$BQ$1006,0)), HYPERLINK("#",""), HYPERLINK(CONCATENATE("#Metadata!", ADDRESS(INDEX($AJ$2:$AJ$1001,MATCH(ROWS($AH$2:AH289),$AH$2:$AH$1001,0),0), INDEX($AO$1004:$BQ$1004,1,MATCH(COLUMNS($AO$1006:AY1006),$AO$1006:$BQ$1006,0)))),"Fix")))</f>
        <v>#N/A</v>
      </c>
      <c r="M289" s="5" t="e">
        <f ca="1">IF(OR(INDEX($AI$2:$AI$1001,MATCH(ROWS($AH$2:AH289),$AH$2:$AH$1001,0),1)&gt;=100000,INDEX($AO$1005:$BQ$1005,1,MATCH(COLUMNS($AO$1006:AZ1006),$AO$1006:$BQ$1006,0))&gt;=100000), " ",IF(INDEX($AO$2:$BQ$1001,MATCH(ROWS($AH$2:AH289),$AH$2:$AH$1001,0),MATCH(COLUMNS($AO$1006:AZ1006),$AO$1006:$BQ$1006,0)), HYPERLINK("#",""), HYPERLINK(CONCATENATE("#Metadata!", ADDRESS(INDEX($AJ$2:$AJ$1001,MATCH(ROWS($AH$2:AH289),$AH$2:$AH$1001,0),0), INDEX($AO$1004:$BQ$1004,1,MATCH(COLUMNS($AO$1006:AZ1006),$AO$1006:$BQ$1006,0)))),"Fix")))</f>
        <v>#N/A</v>
      </c>
      <c r="N289" s="5" t="e">
        <f ca="1">IF(OR(INDEX($AI$2:$AI$1001,MATCH(ROWS($AH$2:AH289),$AH$2:$AH$1001,0),1)&gt;=100000,INDEX($AO$1005:$BQ$1005,1,MATCH(COLUMNS($AO$1006:BA1006),$AO$1006:$BQ$1006,0))&gt;=100000), " ",IF(INDEX($AO$2:$BQ$1001,MATCH(ROWS($AH$2:AH289),$AH$2:$AH$1001,0),MATCH(COLUMNS($AO$1006:BA1006),$AO$1006:$BQ$1006,0)), HYPERLINK("#",""), HYPERLINK(CONCATENATE("#Metadata!", ADDRESS(INDEX($AJ$2:$AJ$1001,MATCH(ROWS($AH$2:AH289),$AH$2:$AH$1001,0),0), INDEX($AO$1004:$BQ$1004,1,MATCH(COLUMNS($AO$1006:BA1006),$AO$1006:$BQ$1006,0)))),"Fix")))</f>
        <v>#N/A</v>
      </c>
      <c r="O289" s="5" t="e">
        <f ca="1">IF(OR(INDEX($AI$2:$AI$1001,MATCH(ROWS($AH$2:AH289),$AH$2:$AH$1001,0),1)&gt;=100000,INDEX($AO$1005:$BQ$1005,1,MATCH(COLUMNS($AO$1006:BB1006),$AO$1006:$BQ$1006,0))&gt;=100000), " ",IF(INDEX($AO$2:$BQ$1001,MATCH(ROWS($AH$2:AH289),$AH$2:$AH$1001,0),MATCH(COLUMNS($AO$1006:BB1006),$AO$1006:$BQ$1006,0)), HYPERLINK("#",""), HYPERLINK(CONCATENATE("#Metadata!", ADDRESS(INDEX($AJ$2:$AJ$1001,MATCH(ROWS($AH$2:AH289),$AH$2:$AH$1001,0),0), INDEX($AO$1004:$BQ$1004,1,MATCH(COLUMNS($AO$1006:BB1006),$AO$1006:$BQ$1006,0)))),"Fix")))</f>
        <v>#N/A</v>
      </c>
      <c r="P289" s="5" t="e">
        <f ca="1">IF(OR(INDEX($AI$2:$AI$1001,MATCH(ROWS($AH$2:AH289),$AH$2:$AH$1001,0),1)&gt;=100000,INDEX($AO$1005:$BQ$1005,1,MATCH(COLUMNS($AO$1006:BC1006),$AO$1006:$BQ$1006,0))&gt;=100000), " ",IF(INDEX($AO$2:$BQ$1001,MATCH(ROWS($AH$2:AH289),$AH$2:$AH$1001,0),MATCH(COLUMNS($AO$1006:BC1006),$AO$1006:$BQ$1006,0)), HYPERLINK("#",""), HYPERLINK(CONCATENATE("#Metadata!", ADDRESS(INDEX($AJ$2:$AJ$1001,MATCH(ROWS($AH$2:AH289),$AH$2:$AH$1001,0),0), INDEX($AO$1004:$BQ$1004,1,MATCH(COLUMNS($AO$1006:BC1006),$AO$1006:$BQ$1006,0)))),"Fix")))</f>
        <v>#N/A</v>
      </c>
      <c r="Q289" s="5" t="e">
        <f ca="1">IF(OR(INDEX($AI$2:$AI$1001,MATCH(ROWS($AH$2:AH289),$AH$2:$AH$1001,0),1)&gt;=100000,INDEX($AO$1005:$BQ$1005,1,MATCH(COLUMNS($AO$1006:BD1006),$AO$1006:$BQ$1006,0))&gt;=100000), " ",IF(INDEX($AO$2:$BQ$1001,MATCH(ROWS($AH$2:AH289),$AH$2:$AH$1001,0),MATCH(COLUMNS($AO$1006:BD1006),$AO$1006:$BQ$1006,0)), HYPERLINK("#",""), HYPERLINK(CONCATENATE("#Metadata!", ADDRESS(INDEX($AJ$2:$AJ$1001,MATCH(ROWS($AH$2:AH289),$AH$2:$AH$1001,0),0), INDEX($AO$1004:$BQ$1004,1,MATCH(COLUMNS($AO$1006:BD1006),$AO$1006:$BQ$1006,0)))),"Fix")))</f>
        <v>#N/A</v>
      </c>
      <c r="R289" s="5" t="e">
        <f ca="1">IF(OR(INDEX($AI$2:$AI$1001,MATCH(ROWS($AH$2:AH289),$AH$2:$AH$1001,0),1)&gt;=100000,INDEX($AO$1005:$BQ$1005,1,MATCH(COLUMNS($AO$1006:BE1006),$AO$1006:$BQ$1006,0))&gt;=100000), " ",IF(INDEX($AO$2:$BQ$1001,MATCH(ROWS($AH$2:AH289),$AH$2:$AH$1001,0),MATCH(COLUMNS($AO$1006:BE1006),$AO$1006:$BQ$1006,0)), HYPERLINK("#",""), HYPERLINK(CONCATENATE("#Metadata!", ADDRESS(INDEX($AJ$2:$AJ$1001,MATCH(ROWS($AH$2:AH289),$AH$2:$AH$1001,0),0), INDEX($AO$1004:$BQ$1004,1,MATCH(COLUMNS($AO$1006:BE1006),$AO$1006:$BQ$1006,0)))),"Fix")))</f>
        <v>#N/A</v>
      </c>
      <c r="S289" s="5" t="e">
        <f ca="1">IF(OR(INDEX($AI$2:$AI$1001,MATCH(ROWS($AH$2:AH289),$AH$2:$AH$1001,0),1)&gt;=100000,INDEX($AO$1005:$BQ$1005,1,MATCH(COLUMNS($AO$1006:BF1006),$AO$1006:$BQ$1006,0))&gt;=100000), " ",IF(INDEX($AO$2:$BQ$1001,MATCH(ROWS($AH$2:AH289),$AH$2:$AH$1001,0),MATCH(COLUMNS($AO$1006:BF1006),$AO$1006:$BQ$1006,0)), HYPERLINK("#",""), HYPERLINK(CONCATENATE("#Metadata!", ADDRESS(INDEX($AJ$2:$AJ$1001,MATCH(ROWS($AH$2:AH289),$AH$2:$AH$1001,0),0), INDEX($AO$1004:$BQ$1004,1,MATCH(COLUMNS($AO$1006:BF1006),$AO$1006:$BQ$1006,0)))),"Fix")))</f>
        <v>#N/A</v>
      </c>
      <c r="T289" s="5" t="e">
        <f ca="1">IF(OR(INDEX($AI$2:$AI$1001,MATCH(ROWS($AH$2:AH289),$AH$2:$AH$1001,0),1)&gt;=100000,INDEX($AO$1005:$BQ$1005,1,MATCH(COLUMNS($AO$1006:BG1006),$AO$1006:$BQ$1006,0))&gt;=100000), " ",IF(INDEX($AO$2:$BQ$1001,MATCH(ROWS($AH$2:AH289),$AH$2:$AH$1001,0),MATCH(COLUMNS($AO$1006:BG1006),$AO$1006:$BQ$1006,0)), HYPERLINK("#",""), HYPERLINK(CONCATENATE("#Metadata!", ADDRESS(INDEX($AJ$2:$AJ$1001,MATCH(ROWS($AH$2:AH289),$AH$2:$AH$1001,0),0), INDEX($AO$1004:$BQ$1004,1,MATCH(COLUMNS($AO$1006:BG1006),$AO$1006:$BQ$1006,0)))),"Fix")))</f>
        <v>#N/A</v>
      </c>
      <c r="U289" s="5" t="e">
        <f ca="1">IF(OR(INDEX($AI$2:$AI$1001,MATCH(ROWS($AH$2:AH289),$AH$2:$AH$1001,0),1)&gt;=100000,INDEX($AO$1005:$BQ$1005,1,MATCH(COLUMNS($AO$1006:BH1006),$AO$1006:$BQ$1006,0))&gt;=100000), " ",IF(INDEX($AO$2:$BQ$1001,MATCH(ROWS($AH$2:AH289),$AH$2:$AH$1001,0),MATCH(COLUMNS($AO$1006:BH1006),$AO$1006:$BQ$1006,0)), HYPERLINK("#",""), HYPERLINK(CONCATENATE("#Metadata!", ADDRESS(INDEX($AJ$2:$AJ$1001,MATCH(ROWS($AH$2:AH289),$AH$2:$AH$1001,0),0), INDEX($AO$1004:$BQ$1004,1,MATCH(COLUMNS($AO$1006:BH1006),$AO$1006:$BQ$1006,0)))),"Fix")))</f>
        <v>#N/A</v>
      </c>
      <c r="V289" s="5" t="e">
        <f ca="1">IF(OR(INDEX($AI$2:$AI$1001,MATCH(ROWS($AH$2:AH289),$AH$2:$AH$1001,0),1)&gt;=100000,INDEX($AO$1005:$BQ$1005,1,MATCH(COLUMNS($AO$1006:BI1006),$AO$1006:$BQ$1006,0))&gt;=100000), " ",IF(INDEX($AO$2:$BQ$1001,MATCH(ROWS($AH$2:AH289),$AH$2:$AH$1001,0),MATCH(COLUMNS($AO$1006:BI1006),$AO$1006:$BQ$1006,0)), HYPERLINK("#",""), HYPERLINK(CONCATENATE("#Metadata!", ADDRESS(INDEX($AJ$2:$AJ$1001,MATCH(ROWS($AH$2:AH289),$AH$2:$AH$1001,0),0), INDEX($AO$1004:$BQ$1004,1,MATCH(COLUMNS($AO$1006:BI1006),$AO$1006:$BQ$1006,0)))),"Fix")))</f>
        <v>#N/A</v>
      </c>
      <c r="W289" s="5" t="e">
        <f ca="1">IF(OR(INDEX($AI$2:$AI$1001,MATCH(ROWS($AH$2:AH289),$AH$2:$AH$1001,0),1)&gt;=100000,INDEX($AO$1005:$BQ$1005,1,MATCH(COLUMNS($AO$1006:BJ1006),$AO$1006:$BQ$1006,0))&gt;=100000), " ",IF(INDEX($AO$2:$BQ$1001,MATCH(ROWS($AH$2:AH289),$AH$2:$AH$1001,0),MATCH(COLUMNS($AO$1006:BJ1006),$AO$1006:$BQ$1006,0)), HYPERLINK("#",""), HYPERLINK(CONCATENATE("#Metadata!", ADDRESS(INDEX($AJ$2:$AJ$1001,MATCH(ROWS($AH$2:AH289),$AH$2:$AH$1001,0),0), INDEX($AO$1004:$BQ$1004,1,MATCH(COLUMNS($AO$1006:BJ1006),$AO$1006:$BQ$1006,0)))),"Fix")))</f>
        <v>#N/A</v>
      </c>
      <c r="X289" s="5" t="e">
        <f ca="1">IF(OR(INDEX($AI$2:$AI$1001,MATCH(ROWS($AH$2:AH289),$AH$2:$AH$1001,0),1)&gt;=100000,INDEX($AO$1005:$BQ$1005,1,MATCH(COLUMNS($AO$1006:BK1006),$AO$1006:$BQ$1006,0))&gt;=100000), " ",IF(INDEX($AO$2:$BQ$1001,MATCH(ROWS($AH$2:AH289),$AH$2:$AH$1001,0),MATCH(COLUMNS($AO$1006:BK1006),$AO$1006:$BQ$1006,0)), HYPERLINK("#",""), HYPERLINK(CONCATENATE("#Metadata!", ADDRESS(INDEX($AJ$2:$AJ$1001,MATCH(ROWS($AH$2:AH289),$AH$2:$AH$1001,0),0), INDEX($AO$1004:$BQ$1004,1,MATCH(COLUMNS($AO$1006:BK1006),$AO$1006:$BQ$1006,0)))),"Fix")))</f>
        <v>#N/A</v>
      </c>
      <c r="Y289" s="5" t="e">
        <f ca="1">IF(OR(INDEX($AI$2:$AI$1001,MATCH(ROWS($AH$2:AH289),$AH$2:$AH$1001,0),1)&gt;=100000,INDEX($AO$1005:$BQ$1005,1,MATCH(COLUMNS($AO$1006:BL1006),$AO$1006:$BQ$1006,0))&gt;=100000), " ",IF(INDEX($AO$2:$BQ$1001,MATCH(ROWS($AH$2:AH289),$AH$2:$AH$1001,0),MATCH(COLUMNS($AO$1006:BL1006),$AO$1006:$BQ$1006,0)), HYPERLINK("#",""), HYPERLINK(CONCATENATE("#Metadata!", ADDRESS(INDEX($AJ$2:$AJ$1001,MATCH(ROWS($AH$2:AH289),$AH$2:$AH$1001,0),0), INDEX($AO$1004:$BQ$1004,1,MATCH(COLUMNS($AO$1006:BL1006),$AO$1006:$BQ$1006,0)))),"Fix")))</f>
        <v>#N/A</v>
      </c>
      <c r="Z289" s="5" t="e">
        <f ca="1">IF(OR(INDEX($AI$2:$AI$1001,MATCH(ROWS($AH$2:AH289),$AH$2:$AH$1001,0),1)&gt;=100000,INDEX($AO$1005:$BQ$1005,1,MATCH(COLUMNS($AO$1006:BM1006),$AO$1006:$BQ$1006,0))&gt;=100000), " ",IF(INDEX($AO$2:$BQ$1001,MATCH(ROWS($AH$2:AH289),$AH$2:$AH$1001,0),MATCH(COLUMNS($AO$1006:BM1006),$AO$1006:$BQ$1006,0)), HYPERLINK("#",""), HYPERLINK(CONCATENATE("#Metadata!", ADDRESS(INDEX($AJ$2:$AJ$1001,MATCH(ROWS($AH$2:AH289),$AH$2:$AH$1001,0),0), INDEX($AO$1004:$BQ$1004,1,MATCH(COLUMNS($AO$1006:BM1006),$AO$1006:$BQ$1006,0)))),"Fix")))</f>
        <v>#N/A</v>
      </c>
      <c r="AA289" s="5" t="e">
        <f ca="1">IF(OR(INDEX($AI$2:$AI$1001,MATCH(ROWS($AH$2:AH289),$AH$2:$AH$1001,0),1)&gt;=100000,INDEX($AO$1005:$BQ$1005,1,MATCH(COLUMNS($AO$1006:BN1006),$AO$1006:$BQ$1006,0))&gt;=100000), " ",IF(INDEX($AO$2:$BQ$1001,MATCH(ROWS($AH$2:AH289),$AH$2:$AH$1001,0),MATCH(COLUMNS($AO$1006:BN1006),$AO$1006:$BQ$1006,0)), HYPERLINK("#",""), HYPERLINK(CONCATENATE("#Metadata!", ADDRESS(INDEX($AJ$2:$AJ$1001,MATCH(ROWS($AH$2:AH289),$AH$2:$AH$1001,0),0), INDEX($AO$1004:$BQ$1004,1,MATCH(COLUMNS($AO$1006:BN1006),$AO$1006:$BQ$1006,0)))),"Fix")))</f>
        <v>#N/A</v>
      </c>
      <c r="AB289" s="5" t="e">
        <f ca="1">IF(OR(INDEX($AI$2:$AI$1001,MATCH(ROWS($AH$2:AH289),$AH$2:$AH$1001,0),1)&gt;=100000,INDEX($AO$1005:$BQ$1005,1,MATCH(COLUMNS($AO$1006:BO1006),$AO$1006:$BQ$1006,0))&gt;=100000), " ",IF(INDEX($AO$2:$BQ$1001,MATCH(ROWS($AH$2:AH289),$AH$2:$AH$1001,0),MATCH(COLUMNS($AO$1006:BO1006),$AO$1006:$BQ$1006,0)), HYPERLINK("#",""), HYPERLINK(CONCATENATE("#Metadata!", ADDRESS(INDEX($AJ$2:$AJ$1001,MATCH(ROWS($AH$2:AH289),$AH$2:$AH$1001,0),0), INDEX($AO$1004:$BQ$1004,1,MATCH(COLUMNS($AO$1006:BO1006),$AO$1006:$BQ$1006,0)))),"Fix")))</f>
        <v>#N/A</v>
      </c>
      <c r="AC289" s="5" t="e">
        <f ca="1">IF(OR(INDEX($AI$2:$AI$1001,MATCH(ROWS($AH$2:AH289),$AH$2:$AH$1001,0),1)&gt;=100000,INDEX($AO$1005:$BQ$1005,1,MATCH(COLUMNS($AO$1006:BP1006),$AO$1006:$BQ$1006,0))&gt;=100000), " ",IF(INDEX($AO$2:$BQ$1001,MATCH(ROWS($AH$2:AH289),$AH$2:$AH$1001,0),MATCH(COLUMNS($AO$1006:BP1006),$AO$1006:$BQ$1006,0)), HYPERLINK("#",""), HYPERLINK(CONCATENATE("#Metadata!", ADDRESS(INDEX($AJ$2:$AJ$1001,MATCH(ROWS($AH$2:AH289),$AH$2:$AH$1001,0),0), INDEX($AO$1004:$BQ$1004,1,MATCH(COLUMNS($AO$1006:BP1006),$AO$1006:$BQ$1006,0)))),"Fix")))</f>
        <v>#N/A</v>
      </c>
      <c r="AD289" s="5" t="e">
        <f ca="1">IF(OR(INDEX($AI$2:$AI$1001,MATCH(ROWS($AH$2:AH289),$AH$2:$AH$1001,0),1)&gt;=100000,INDEX($AO$1005:$BQ$1005,1,MATCH(COLUMNS($AO$1006:BQ1006),$AO$1006:$BQ$1006,0))&gt;=100000), " ",IF(INDEX($AO$2:$BQ$1001,MATCH(ROWS($AH$2:AH289),$AH$2:$AH$1001,0),MATCH(COLUMNS($AO$1006:BQ1006),$AO$1006:$BQ$1006,0)), HYPERLINK("#",""), HYPERLINK(CONCATENATE("#Metadata!", ADDRESS(INDEX($AJ$2:$AJ$1001,MATCH(ROWS($AH$2:AH289),$AH$2:$AH$1001,0),0), INDEX($AO$1004:$BQ$1004,1,MATCH(COLUMNS($AO$1006:BQ1006),$AO$1006:$BQ$1006,0)))),"Fix")))</f>
        <v>#REF!</v>
      </c>
      <c r="AH289">
        <f ca="1"/>
        <v>286</v>
      </c>
      <c r="AI289">
        <v>100289</v>
      </c>
      <c r="AJ289">
        <v>289</v>
      </c>
      <c r="AK289" t="b">
        <f t="shared" si="4"/>
        <v>1</v>
      </c>
      <c r="AL289" t="b">
        <f>COUNTBLANK(Metadata!B289:AD289)=COLUMNS(Metadata!B289:AD289)</f>
        <v>1</v>
      </c>
      <c r="AM289" t="str">
        <v/>
      </c>
      <c r="AO289" t="b">
        <f ca="1">AND(IF(Metadata!B289="",FALSE,TRUE),COUNTIF(Metadata!B:B, Metadata!B289) = 1,NOT(ISERROR(SUMPRODUCT(SEARCH(MID(Metadata!B289,ROW(INDIRECT("1:"&amp;LEN(Metadata!B289))), 1),"0123456789abcdefghijklmnopqrstuvwxyzABCDEFGHIJKLMNOPQRSTUVWXYZ.")))))</f>
        <v>0</v>
      </c>
      <c r="AP289" t="b">
        <f>IF(Metadata!C289="",FALSE,TRUE)</f>
        <v>0</v>
      </c>
      <c r="AQ289" t="b">
        <f>IF(Metadata!D289="",FALSE,TRUE)</f>
        <v>0</v>
      </c>
      <c r="AR289" t="b">
        <f ca="1">OR(AND(IF(Metadata!E289="",FALSE,TRUE),OR(EXACT(Metadata!E289,"not collected"),EXACT(Metadata!E289,"not provided"),EXACT(Metadata!E289,"restricted access"))),AND(IF(Metadata!E289="",FALSE,TRUE),AND(AND(IFERROR(INT(LEFT(Metadata!E289,4))&gt;1900,FALSE),IFERROR(INT(LEFT(Metadata!E289,4))&lt;=YEAR(NOW()),FALSE)), OR(MID(Metadata!E289,5,1)="", AND(AND(MID(Metadata!E289,5,1)="-",IFERROR(INT(MID(Metadata!E289,6,1))&gt;=0,FALSE),IFERROR(INT(MID(Metadata!E289,6,1))&lt;=1,FALSE),NOT(MID(Metadata!E289,7,1)=""),IFERROR(INT(MID(Metadata!E289,6,2))&gt;=1,FALSE),IFERROR(INT(MID(Metadata!E289,6,2))&lt;=12,FALSE)), OR(MID(Metadata!E289,8,1)="", AND(AND(MID(Metadata!E289,8,1)="-",IFERROR(INT(MID(Metadata!E289,9,1))&gt;=0,FALSE),IFERROR(INT(MID(Metadata!E289,9,1))&lt;=3,FALSE),NOT(MID(Metadata!E289,10,1)=""),IFERROR(INT(MID(Metadata!E289,9,2))&gt;=1,FALSE),IFERROR(INT(MID(Metadata!E289,9,2))&lt;=31,FALSE)), OR(MID(Metadata!E289,11,1)="", AND(AND(MID(Metadata!E289,11,1)=" ",IFERROR(INT(MID(Metadata!E289,12,1))&gt;=0,FALSE),IFERROR(INT(MID(Metadata!E289,12,1))&lt;=2,FALSE),NOT(MID(Metadata!E289,13,1)=""),IFERROR(INT(MID(Metadata!E289,12,2))&gt;=0,FALSE),IFERROR(INT(MID(Metadata!E289,12,2))&lt;=23,FALSE)), OR(MID(Metadata!E289,14,1)="", AND(AND(MID(Metadata!E289,14,1)=":",IFERROR(INT(MID(Metadata!E289,15,1))&gt;=0,FALSE),IFERROR(INT(MID(Metadata!E289,15,1))&lt;=5,FALSE),NOT(MID(Metadata!E289,16,1)=""),IFERROR(INT(MID(Metadata!E289,15,2))&gt;=0,FALSE),IFERROR(INT(MID(Metadata!E289,15,2))&lt;=59,FALSE)), OR(MID(Metadata!E289,17,1)="", AND(AND(MID(Metadata!E289,17,1)=":",IFERROR(INT(MID(Metadata!E289,18,1))&gt;=0,FALSE),IFERROR(INT(MID(Metadata!E289,18,1))&lt;=5,FALSE),NOT(MID(Metadata!E289,19,1)=""),IFERROR(INT(MID(Metadata!E289,18,2))&gt;=0,FALSE),IFERROR(INT(MID(Metadata!E289,18,2))&lt;=59,FALSE)), LEN(Metadata!E289)&lt;=19)))))))))))))</f>
        <v>0</v>
      </c>
      <c r="AS289" t="b">
        <f>IF(Metadata!F289="",FALSE,TRUE)</f>
        <v>0</v>
      </c>
      <c r="AT289" t="b">
        <f>OR(AND(IF(Metadata!G289="",FALSE,TRUE),OR(EXACT(Metadata!G289,"not collected"),EXACT(Metadata!G289,"not provided"))),AND(IF(Metadata!G289="",FALSE,TRUE),OR(EXACT(Metadata!G289,"TRUE"),EXACT(Metadata!G289,"FALSE"))))</f>
        <v>0</v>
      </c>
      <c r="AU289" t="b">
        <f>OR(AND(IF(Metadata!H289="",FALSE,TRUE),OR(EXACT(Metadata!H289,"not collected"),EXACT(Metadata!H289,"not provided"),EXACT(Metadata!H289,"restricted access"))),AND(IF(Metadata!H289="",FALSE,ISNUMBER(VALUE(Metadata!H289))),Metadata!H289&gt;=-413))</f>
        <v>0</v>
      </c>
      <c r="AV289" t="b">
        <f>AND(IF(Metadata!I289="",FALSE,TRUE),EXACT(Metadata!I289,"meters"))</f>
        <v>0</v>
      </c>
      <c r="AW289" t="b">
        <f>AND(IF(Metadata!J289="",FALSE,TRUE),EXACT(Metadata!J289,"free-living"))</f>
        <v>0</v>
      </c>
      <c r="AX289" t="b">
        <f>AND(IF(Metadata!K289="",FALSE,TRUE),OR(EXACT(Metadata!K289,"saline"),EXACT(Metadata!K289,"non-saline")))</f>
        <v>0</v>
      </c>
      <c r="AY289" t="b">
        <f>AND(IF(Metadata!L289="",FALSE,TRUE),OR(EXACT(Metadata!L289,"sub-surface (non-saline)"),EXACT(Metadata!L289,"surface (non-saline)"),EXACT(Metadata!L289,"water (non-saline)"),EXACT(Metadata!L289,"soil (non-saline)"),EXACT(Metadata!L289,"aerosol (non-saline)"),EXACT(Metadata!L289,"sediment (non-saline)"),EXACT(Metadata!L289,"surface (saline)"),EXACT(Metadata!L289,"water (saline)"),EXACT(Metadata!L289,"hypersaline (saline)"),EXACT(Metadata!L289,"aerosol (saline)"),EXACT(Metadata!L289,"sediment (saline)")))</f>
        <v>0</v>
      </c>
      <c r="AZ289" t="b">
        <f>IF(Metadata!M289="",FALSE,TRUE)</f>
        <v>0</v>
      </c>
      <c r="BA289" t="b">
        <f>IF(Metadata!N289="",FALSE,TRUE)</f>
        <v>0</v>
      </c>
      <c r="BB289" t="b">
        <f>IF(Metadata!O289="",FALSE,TRUE)</f>
        <v>0</v>
      </c>
      <c r="BC289" t="b">
        <f>AND(IF(Metadata!P289="",FALSE,TRUE),OR(EXACT(Metadata!P289,"air"),EXACT(Metadata!P289,"microbial mat/biofilm"),EXACT(Metadata!P289,"misc environment"),EXACT(Metadata!P289,"sediment"),EXACT(Metadata!P289,"soil"),EXACT(Metadata!P289,"wastewater/sludge"),EXACT(Metadata!P289,"water")))</f>
        <v>0</v>
      </c>
      <c r="BD289" t="b">
        <f>IF(Metadata!Q289="",FALSE,TRUE)</f>
        <v>0</v>
      </c>
      <c r="BE289" t="b">
        <f>IF(Metadata!R289="",FALSE,TRUE)</f>
        <v>0</v>
      </c>
      <c r="BF289" t="b">
        <f>OR(AND(IF(Metadata!S289="",FALSE,TRUE),OR(EXACT(Metadata!S289,"not collected"),EXACT(Metadata!S289,"not provided"),EXACT(Metadata!S289,"restricted access"))),AND(IF(Metadata!S289="",FALSE,ISNUMBER(VALUE(Metadata!S289))),Metadata!S289&gt;=-90,Metadata!S289&lt;=90))</f>
        <v>0</v>
      </c>
      <c r="BG289" t="b">
        <f>AND(IF(Metadata!T289="",FALSE,TRUE),EXACT(Metadata!T289,"Decimal degrees"))</f>
        <v>0</v>
      </c>
      <c r="BH289" t="b">
        <f>OR(AND(IF(Metadata!U289="",FALSE,TRUE),OR(EXACT(Metadata!U289,"not applicable"),EXACT(Metadata!U289,"not collected"))),IF(Metadata!U289="",FALSE,TRUE))</f>
        <v>0</v>
      </c>
      <c r="BI289" t="b">
        <f>OR(AND(IF(Metadata!V289="",FALSE,TRUE),OR(EXACT(Metadata!V289,"not collected"),EXACT(Metadata!V289,"not provided"),EXACT(Metadata!V289,"restricted access"))),AND(IF(Metadata!V289="",FALSE,ISNUMBER(VALUE(Metadata!V289))),Metadata!V289&gt;=-180,Metadata!V289&lt;=180))</f>
        <v>0</v>
      </c>
      <c r="BJ289" t="b">
        <f>AND(IF(Metadata!W289="",FALSE,TRUE),EXACT(Metadata!W289,"Decimal degrees"))</f>
        <v>0</v>
      </c>
      <c r="BK289" t="b">
        <f>IF(Metadata!X289="",FALSE,TRUE)</f>
        <v>0</v>
      </c>
      <c r="BL289" t="b">
        <f>OR(AND(IF(Metadata!Y289="",FALSE,TRUE),OR(EXACT(Metadata!Y289,"not collected"),EXACT(Metadata!Y289,"not provided"),EXACT(Metadata!Y289,"restricted access"))),AND(IF(Metadata!Y289="",FALSE,TRUE),OR(EXACT(Metadata!Y289,"TRUE"),EXACT(Metadata!Y289,"FALSE"))))</f>
        <v>0</v>
      </c>
      <c r="BM289" t="b">
        <f>OR(AND(IF(Metadata!Z289="",FALSE,TRUE),EXACT(Metadata!Z289,"not applicable")),AND(IF(Metadata!Z289="",FALSE,TRUE),OR(EXACT(Metadata!Z289,"beer"),EXACT(Metadata!Z289,"cheese"),EXACT(Metadata!Z289,"fresh water"),EXACT(Metadata!Z289,"marine sediment"),EXACT(Metadata!Z289,"sea water"),EXACT(Metadata!Z289,"sediment"),EXACT(Metadata!Z289,"soil"),EXACT(Metadata!Z289,"waste water"))))</f>
        <v>0</v>
      </c>
      <c r="BN289" t="b">
        <f>AND(IF(Metadata!AA289="",FALSE,TRUE),EXACT(Metadata!AA289,"metagenome"))</f>
        <v>0</v>
      </c>
      <c r="BO289" t="b">
        <f>AND(IF(Metadata!AB289="",FALSE,TRUE),EXACT(Metadata!AB289,"256318"))</f>
        <v>0</v>
      </c>
      <c r="BP289" t="b">
        <f>IF(Metadata!AC289="",FALSE,TRUE)</f>
        <v>0</v>
      </c>
      <c r="BQ289" t="b">
        <f>IF(Metadata!AD289="",FALSE,TRUE)</f>
        <v>0</v>
      </c>
    </row>
    <row r="290" spans="1:69" x14ac:dyDescent="0.2">
      <c r="A290" s="4" t="e">
        <f ca="1">IF(B290=" "," ",HYPERLINK(CONCATENATE("#metadata!",ADDRESS(INDEX($AJ$2:$AJ$1001,MATCH(ROWS($AH$2:AH290),$AH$2:$AH$1001,0),0),2)),INDEX($AM$2:$AM$1001,MATCH(ROWS($AH$2:AH290),$AH$2:$AH$1001,0),0)))</f>
        <v>#N/A</v>
      </c>
      <c r="B290" s="5" t="e">
        <f ca="1">IF(OR(INDEX($AI$2:$AI$1001,MATCH(ROWS($AH$2:AH290),$AH$2:$AH$1001,0),1)&gt;=100000,INDEX($AO$1005:$BQ$1005,1,MATCH(COLUMNS($AO$1006:AO1006),$AO$1006:$BQ$1006,0))&gt;=100000), " ",IF(INDEX($AO$2:$BQ$1001,MATCH(ROWS($AH$2:AH290),$AH$2:$AH$1001,0),MATCH(COLUMNS($AO$1006:AO1006),$AO$1006:$BQ$1006,0)), HYPERLINK("#",""), HYPERLINK(CONCATENATE("#Metadata!", ADDRESS(INDEX($AJ$2:$AJ$1001,MATCH(ROWS($AH$2:AH290),$AH$2:$AH$1001,0),0), INDEX($AO$1004:$BQ$1004,1,MATCH(COLUMNS($AO$1006:AO1006),$AO$1006:$BQ$1006,0)))),"Fix")))</f>
        <v>#N/A</v>
      </c>
      <c r="C290" s="5" t="e">
        <f ca="1">IF(OR(INDEX($AI$2:$AI$1001,MATCH(ROWS($AH$2:AH290),$AH$2:$AH$1001,0),1)&gt;=100000,INDEX($AO$1005:$BQ$1005,1,MATCH(COLUMNS($AO$1006:AP1006),$AO$1006:$BQ$1006,0))&gt;=100000), " ",IF(INDEX($AO$2:$BQ$1001,MATCH(ROWS($AH$2:AH290),$AH$2:$AH$1001,0),MATCH(COLUMNS($AO$1006:AP1006),$AO$1006:$BQ$1006,0)), HYPERLINK("#",""), HYPERLINK(CONCATENATE("#Metadata!", ADDRESS(INDEX($AJ$2:$AJ$1001,MATCH(ROWS($AH$2:AH290),$AH$2:$AH$1001,0),0), INDEX($AO$1004:$BQ$1004,1,MATCH(COLUMNS($AO$1006:AP1006),$AO$1006:$BQ$1006,0)))),"Fix")))</f>
        <v>#N/A</v>
      </c>
      <c r="D290" s="5" t="e">
        <f ca="1">IF(OR(INDEX($AI$2:$AI$1001,MATCH(ROWS($AH$2:AH290),$AH$2:$AH$1001,0),1)&gt;=100000,INDEX($AO$1005:$BQ$1005,1,MATCH(COLUMNS($AO$1006:AQ1006),$AO$1006:$BQ$1006,0))&gt;=100000), " ",IF(INDEX($AO$2:$BQ$1001,MATCH(ROWS($AH$2:AH290),$AH$2:$AH$1001,0),MATCH(COLUMNS($AO$1006:AQ1006),$AO$1006:$BQ$1006,0)), HYPERLINK("#",""), HYPERLINK(CONCATENATE("#Metadata!", ADDRESS(INDEX($AJ$2:$AJ$1001,MATCH(ROWS($AH$2:AH290),$AH$2:$AH$1001,0),0), INDEX($AO$1004:$BQ$1004,1,MATCH(COLUMNS($AO$1006:AQ1006),$AO$1006:$BQ$1006,0)))),"Fix")))</f>
        <v>#N/A</v>
      </c>
      <c r="E290" s="5" t="e">
        <f ca="1">IF(OR(INDEX($AI$2:$AI$1001,MATCH(ROWS($AH$2:AH290),$AH$2:$AH$1001,0),1)&gt;=100000,INDEX($AO$1005:$BQ$1005,1,MATCH(COLUMNS($AO$1006:AR1006),$AO$1006:$BQ$1006,0))&gt;=100000), " ",IF(INDEX($AO$2:$BQ$1001,MATCH(ROWS($AH$2:AH290),$AH$2:$AH$1001,0),MATCH(COLUMNS($AO$1006:AR1006),$AO$1006:$BQ$1006,0)), HYPERLINK("#",""), HYPERLINK(CONCATENATE("#Metadata!", ADDRESS(INDEX($AJ$2:$AJ$1001,MATCH(ROWS($AH$2:AH290),$AH$2:$AH$1001,0),0), INDEX($AO$1004:$BQ$1004,1,MATCH(COLUMNS($AO$1006:AR1006),$AO$1006:$BQ$1006,0)))),"Fix")))</f>
        <v>#N/A</v>
      </c>
      <c r="F290" s="5" t="e">
        <f ca="1">IF(OR(INDEX($AI$2:$AI$1001,MATCH(ROWS($AH$2:AH290),$AH$2:$AH$1001,0),1)&gt;=100000,INDEX($AO$1005:$BQ$1005,1,MATCH(COLUMNS($AO$1006:AS1006),$AO$1006:$BQ$1006,0))&gt;=100000), " ",IF(INDEX($AO$2:$BQ$1001,MATCH(ROWS($AH$2:AH290),$AH$2:$AH$1001,0),MATCH(COLUMNS($AO$1006:AS1006),$AO$1006:$BQ$1006,0)), HYPERLINK("#",""), HYPERLINK(CONCATENATE("#Metadata!", ADDRESS(INDEX($AJ$2:$AJ$1001,MATCH(ROWS($AH$2:AH290),$AH$2:$AH$1001,0),0), INDEX($AO$1004:$BQ$1004,1,MATCH(COLUMNS($AO$1006:AS1006),$AO$1006:$BQ$1006,0)))),"Fix")))</f>
        <v>#N/A</v>
      </c>
      <c r="G290" s="5" t="e">
        <f ca="1">IF(OR(INDEX($AI$2:$AI$1001,MATCH(ROWS($AH$2:AH290),$AH$2:$AH$1001,0),1)&gt;=100000,INDEX($AO$1005:$BQ$1005,1,MATCH(COLUMNS($AO$1006:AT1006),$AO$1006:$BQ$1006,0))&gt;=100000), " ",IF(INDEX($AO$2:$BQ$1001,MATCH(ROWS($AH$2:AH290),$AH$2:$AH$1001,0),MATCH(COLUMNS($AO$1006:AT1006),$AO$1006:$BQ$1006,0)), HYPERLINK("#",""), HYPERLINK(CONCATENATE("#Metadata!", ADDRESS(INDEX($AJ$2:$AJ$1001,MATCH(ROWS($AH$2:AH290),$AH$2:$AH$1001,0),0), INDEX($AO$1004:$BQ$1004,1,MATCH(COLUMNS($AO$1006:AT1006),$AO$1006:$BQ$1006,0)))),"Fix")))</f>
        <v>#N/A</v>
      </c>
      <c r="H290" s="5" t="e">
        <f ca="1">IF(OR(INDEX($AI$2:$AI$1001,MATCH(ROWS($AH$2:AH290),$AH$2:$AH$1001,0),1)&gt;=100000,INDEX($AO$1005:$BQ$1005,1,MATCH(COLUMNS($AO$1006:AU1006),$AO$1006:$BQ$1006,0))&gt;=100000), " ",IF(INDEX($AO$2:$BQ$1001,MATCH(ROWS($AH$2:AH290),$AH$2:$AH$1001,0),MATCH(COLUMNS($AO$1006:AU1006),$AO$1006:$BQ$1006,0)), HYPERLINK("#",""), HYPERLINK(CONCATENATE("#Metadata!", ADDRESS(INDEX($AJ$2:$AJ$1001,MATCH(ROWS($AH$2:AH290),$AH$2:$AH$1001,0),0), INDEX($AO$1004:$BQ$1004,1,MATCH(COLUMNS($AO$1006:AU1006),$AO$1006:$BQ$1006,0)))),"Fix")))</f>
        <v>#N/A</v>
      </c>
      <c r="I290" s="5" t="e">
        <f ca="1">IF(OR(INDEX($AI$2:$AI$1001,MATCH(ROWS($AH$2:AH290),$AH$2:$AH$1001,0),1)&gt;=100000,INDEX($AO$1005:$BQ$1005,1,MATCH(COLUMNS($AO$1006:AV1006),$AO$1006:$BQ$1006,0))&gt;=100000), " ",IF(INDEX($AO$2:$BQ$1001,MATCH(ROWS($AH$2:AH290),$AH$2:$AH$1001,0),MATCH(COLUMNS($AO$1006:AV1006),$AO$1006:$BQ$1006,0)), HYPERLINK("#",""), HYPERLINK(CONCATENATE("#Metadata!", ADDRESS(INDEX($AJ$2:$AJ$1001,MATCH(ROWS($AH$2:AH290),$AH$2:$AH$1001,0),0), INDEX($AO$1004:$BQ$1004,1,MATCH(COLUMNS($AO$1006:AV1006),$AO$1006:$BQ$1006,0)))),"Fix")))</f>
        <v>#N/A</v>
      </c>
      <c r="J290" s="5" t="e">
        <f ca="1">IF(OR(INDEX($AI$2:$AI$1001,MATCH(ROWS($AH$2:AH290),$AH$2:$AH$1001,0),1)&gt;=100000,INDEX($AO$1005:$BQ$1005,1,MATCH(COLUMNS($AO$1006:AW1006),$AO$1006:$BQ$1006,0))&gt;=100000), " ",IF(INDEX($AO$2:$BQ$1001,MATCH(ROWS($AH$2:AH290),$AH$2:$AH$1001,0),MATCH(COLUMNS($AO$1006:AW1006),$AO$1006:$BQ$1006,0)), HYPERLINK("#",""), HYPERLINK(CONCATENATE("#Metadata!", ADDRESS(INDEX($AJ$2:$AJ$1001,MATCH(ROWS($AH$2:AH290),$AH$2:$AH$1001,0),0), INDEX($AO$1004:$BQ$1004,1,MATCH(COLUMNS($AO$1006:AW1006),$AO$1006:$BQ$1006,0)))),"Fix")))</f>
        <v>#N/A</v>
      </c>
      <c r="K290" s="5" t="e">
        <f ca="1">IF(OR(INDEX($AI$2:$AI$1001,MATCH(ROWS($AH$2:AH290),$AH$2:$AH$1001,0),1)&gt;=100000,INDEX($AO$1005:$BQ$1005,1,MATCH(COLUMNS($AO$1006:AX1006),$AO$1006:$BQ$1006,0))&gt;=100000), " ",IF(INDEX($AO$2:$BQ$1001,MATCH(ROWS($AH$2:AH290),$AH$2:$AH$1001,0),MATCH(COLUMNS($AO$1006:AX1006),$AO$1006:$BQ$1006,0)), HYPERLINK("#",""), HYPERLINK(CONCATENATE("#Metadata!", ADDRESS(INDEX($AJ$2:$AJ$1001,MATCH(ROWS($AH$2:AH290),$AH$2:$AH$1001,0),0), INDEX($AO$1004:$BQ$1004,1,MATCH(COLUMNS($AO$1006:AX1006),$AO$1006:$BQ$1006,0)))),"Fix")))</f>
        <v>#N/A</v>
      </c>
      <c r="L290" s="5" t="e">
        <f ca="1">IF(OR(INDEX($AI$2:$AI$1001,MATCH(ROWS($AH$2:AH290),$AH$2:$AH$1001,0),1)&gt;=100000,INDEX($AO$1005:$BQ$1005,1,MATCH(COLUMNS($AO$1006:AY1006),$AO$1006:$BQ$1006,0))&gt;=100000), " ",IF(INDEX($AO$2:$BQ$1001,MATCH(ROWS($AH$2:AH290),$AH$2:$AH$1001,0),MATCH(COLUMNS($AO$1006:AY1006),$AO$1006:$BQ$1006,0)), HYPERLINK("#",""), HYPERLINK(CONCATENATE("#Metadata!", ADDRESS(INDEX($AJ$2:$AJ$1001,MATCH(ROWS($AH$2:AH290),$AH$2:$AH$1001,0),0), INDEX($AO$1004:$BQ$1004,1,MATCH(COLUMNS($AO$1006:AY1006),$AO$1006:$BQ$1006,0)))),"Fix")))</f>
        <v>#N/A</v>
      </c>
      <c r="M290" s="5" t="e">
        <f ca="1">IF(OR(INDEX($AI$2:$AI$1001,MATCH(ROWS($AH$2:AH290),$AH$2:$AH$1001,0),1)&gt;=100000,INDEX($AO$1005:$BQ$1005,1,MATCH(COLUMNS($AO$1006:AZ1006),$AO$1006:$BQ$1006,0))&gt;=100000), " ",IF(INDEX($AO$2:$BQ$1001,MATCH(ROWS($AH$2:AH290),$AH$2:$AH$1001,0),MATCH(COLUMNS($AO$1006:AZ1006),$AO$1006:$BQ$1006,0)), HYPERLINK("#",""), HYPERLINK(CONCATENATE("#Metadata!", ADDRESS(INDEX($AJ$2:$AJ$1001,MATCH(ROWS($AH$2:AH290),$AH$2:$AH$1001,0),0), INDEX($AO$1004:$BQ$1004,1,MATCH(COLUMNS($AO$1006:AZ1006),$AO$1006:$BQ$1006,0)))),"Fix")))</f>
        <v>#N/A</v>
      </c>
      <c r="N290" s="5" t="e">
        <f ca="1">IF(OR(INDEX($AI$2:$AI$1001,MATCH(ROWS($AH$2:AH290),$AH$2:$AH$1001,0),1)&gt;=100000,INDEX($AO$1005:$BQ$1005,1,MATCH(COLUMNS($AO$1006:BA1006),$AO$1006:$BQ$1006,0))&gt;=100000), " ",IF(INDEX($AO$2:$BQ$1001,MATCH(ROWS($AH$2:AH290),$AH$2:$AH$1001,0),MATCH(COLUMNS($AO$1006:BA1006),$AO$1006:$BQ$1006,0)), HYPERLINK("#",""), HYPERLINK(CONCATENATE("#Metadata!", ADDRESS(INDEX($AJ$2:$AJ$1001,MATCH(ROWS($AH$2:AH290),$AH$2:$AH$1001,0),0), INDEX($AO$1004:$BQ$1004,1,MATCH(COLUMNS($AO$1006:BA1006),$AO$1006:$BQ$1006,0)))),"Fix")))</f>
        <v>#N/A</v>
      </c>
      <c r="O290" s="5" t="e">
        <f ca="1">IF(OR(INDEX($AI$2:$AI$1001,MATCH(ROWS($AH$2:AH290),$AH$2:$AH$1001,0),1)&gt;=100000,INDEX($AO$1005:$BQ$1005,1,MATCH(COLUMNS($AO$1006:BB1006),$AO$1006:$BQ$1006,0))&gt;=100000), " ",IF(INDEX($AO$2:$BQ$1001,MATCH(ROWS($AH$2:AH290),$AH$2:$AH$1001,0),MATCH(COLUMNS($AO$1006:BB1006),$AO$1006:$BQ$1006,0)), HYPERLINK("#",""), HYPERLINK(CONCATENATE("#Metadata!", ADDRESS(INDEX($AJ$2:$AJ$1001,MATCH(ROWS($AH$2:AH290),$AH$2:$AH$1001,0),0), INDEX($AO$1004:$BQ$1004,1,MATCH(COLUMNS($AO$1006:BB1006),$AO$1006:$BQ$1006,0)))),"Fix")))</f>
        <v>#N/A</v>
      </c>
      <c r="P290" s="5" t="e">
        <f ca="1">IF(OR(INDEX($AI$2:$AI$1001,MATCH(ROWS($AH$2:AH290),$AH$2:$AH$1001,0),1)&gt;=100000,INDEX($AO$1005:$BQ$1005,1,MATCH(COLUMNS($AO$1006:BC1006),$AO$1006:$BQ$1006,0))&gt;=100000), " ",IF(INDEX($AO$2:$BQ$1001,MATCH(ROWS($AH$2:AH290),$AH$2:$AH$1001,0),MATCH(COLUMNS($AO$1006:BC1006),$AO$1006:$BQ$1006,0)), HYPERLINK("#",""), HYPERLINK(CONCATENATE("#Metadata!", ADDRESS(INDEX($AJ$2:$AJ$1001,MATCH(ROWS($AH$2:AH290),$AH$2:$AH$1001,0),0), INDEX($AO$1004:$BQ$1004,1,MATCH(COLUMNS($AO$1006:BC1006),$AO$1006:$BQ$1006,0)))),"Fix")))</f>
        <v>#N/A</v>
      </c>
      <c r="Q290" s="5" t="e">
        <f ca="1">IF(OR(INDEX($AI$2:$AI$1001,MATCH(ROWS($AH$2:AH290),$AH$2:$AH$1001,0),1)&gt;=100000,INDEX($AO$1005:$BQ$1005,1,MATCH(COLUMNS($AO$1006:BD1006),$AO$1006:$BQ$1006,0))&gt;=100000), " ",IF(INDEX($AO$2:$BQ$1001,MATCH(ROWS($AH$2:AH290),$AH$2:$AH$1001,0),MATCH(COLUMNS($AO$1006:BD1006),$AO$1006:$BQ$1006,0)), HYPERLINK("#",""), HYPERLINK(CONCATENATE("#Metadata!", ADDRESS(INDEX($AJ$2:$AJ$1001,MATCH(ROWS($AH$2:AH290),$AH$2:$AH$1001,0),0), INDEX($AO$1004:$BQ$1004,1,MATCH(COLUMNS($AO$1006:BD1006),$AO$1006:$BQ$1006,0)))),"Fix")))</f>
        <v>#N/A</v>
      </c>
      <c r="R290" s="5" t="e">
        <f ca="1">IF(OR(INDEX($AI$2:$AI$1001,MATCH(ROWS($AH$2:AH290),$AH$2:$AH$1001,0),1)&gt;=100000,INDEX($AO$1005:$BQ$1005,1,MATCH(COLUMNS($AO$1006:BE1006),$AO$1006:$BQ$1006,0))&gt;=100000), " ",IF(INDEX($AO$2:$BQ$1001,MATCH(ROWS($AH$2:AH290),$AH$2:$AH$1001,0),MATCH(COLUMNS($AO$1006:BE1006),$AO$1006:$BQ$1006,0)), HYPERLINK("#",""), HYPERLINK(CONCATENATE("#Metadata!", ADDRESS(INDEX($AJ$2:$AJ$1001,MATCH(ROWS($AH$2:AH290),$AH$2:$AH$1001,0),0), INDEX($AO$1004:$BQ$1004,1,MATCH(COLUMNS($AO$1006:BE1006),$AO$1006:$BQ$1006,0)))),"Fix")))</f>
        <v>#N/A</v>
      </c>
      <c r="S290" s="5" t="e">
        <f ca="1">IF(OR(INDEX($AI$2:$AI$1001,MATCH(ROWS($AH$2:AH290),$AH$2:$AH$1001,0),1)&gt;=100000,INDEX($AO$1005:$BQ$1005,1,MATCH(COLUMNS($AO$1006:BF1006),$AO$1006:$BQ$1006,0))&gt;=100000), " ",IF(INDEX($AO$2:$BQ$1001,MATCH(ROWS($AH$2:AH290),$AH$2:$AH$1001,0),MATCH(COLUMNS($AO$1006:BF1006),$AO$1006:$BQ$1006,0)), HYPERLINK("#",""), HYPERLINK(CONCATENATE("#Metadata!", ADDRESS(INDEX($AJ$2:$AJ$1001,MATCH(ROWS($AH$2:AH290),$AH$2:$AH$1001,0),0), INDEX($AO$1004:$BQ$1004,1,MATCH(COLUMNS($AO$1006:BF1006),$AO$1006:$BQ$1006,0)))),"Fix")))</f>
        <v>#N/A</v>
      </c>
      <c r="T290" s="5" t="e">
        <f ca="1">IF(OR(INDEX($AI$2:$AI$1001,MATCH(ROWS($AH$2:AH290),$AH$2:$AH$1001,0),1)&gt;=100000,INDEX($AO$1005:$BQ$1005,1,MATCH(COLUMNS($AO$1006:BG1006),$AO$1006:$BQ$1006,0))&gt;=100000), " ",IF(INDEX($AO$2:$BQ$1001,MATCH(ROWS($AH$2:AH290),$AH$2:$AH$1001,0),MATCH(COLUMNS($AO$1006:BG1006),$AO$1006:$BQ$1006,0)), HYPERLINK("#",""), HYPERLINK(CONCATENATE("#Metadata!", ADDRESS(INDEX($AJ$2:$AJ$1001,MATCH(ROWS($AH$2:AH290),$AH$2:$AH$1001,0),0), INDEX($AO$1004:$BQ$1004,1,MATCH(COLUMNS($AO$1006:BG1006),$AO$1006:$BQ$1006,0)))),"Fix")))</f>
        <v>#N/A</v>
      </c>
      <c r="U290" s="5" t="e">
        <f ca="1">IF(OR(INDEX($AI$2:$AI$1001,MATCH(ROWS($AH$2:AH290),$AH$2:$AH$1001,0),1)&gt;=100000,INDEX($AO$1005:$BQ$1005,1,MATCH(COLUMNS($AO$1006:BH1006),$AO$1006:$BQ$1006,0))&gt;=100000), " ",IF(INDEX($AO$2:$BQ$1001,MATCH(ROWS($AH$2:AH290),$AH$2:$AH$1001,0),MATCH(COLUMNS($AO$1006:BH1006),$AO$1006:$BQ$1006,0)), HYPERLINK("#",""), HYPERLINK(CONCATENATE("#Metadata!", ADDRESS(INDEX($AJ$2:$AJ$1001,MATCH(ROWS($AH$2:AH290),$AH$2:$AH$1001,0),0), INDEX($AO$1004:$BQ$1004,1,MATCH(COLUMNS($AO$1006:BH1006),$AO$1006:$BQ$1006,0)))),"Fix")))</f>
        <v>#N/A</v>
      </c>
      <c r="V290" s="5" t="e">
        <f ca="1">IF(OR(INDEX($AI$2:$AI$1001,MATCH(ROWS($AH$2:AH290),$AH$2:$AH$1001,0),1)&gt;=100000,INDEX($AO$1005:$BQ$1005,1,MATCH(COLUMNS($AO$1006:BI1006),$AO$1006:$BQ$1006,0))&gt;=100000), " ",IF(INDEX($AO$2:$BQ$1001,MATCH(ROWS($AH$2:AH290),$AH$2:$AH$1001,0),MATCH(COLUMNS($AO$1006:BI1006),$AO$1006:$BQ$1006,0)), HYPERLINK("#",""), HYPERLINK(CONCATENATE("#Metadata!", ADDRESS(INDEX($AJ$2:$AJ$1001,MATCH(ROWS($AH$2:AH290),$AH$2:$AH$1001,0),0), INDEX($AO$1004:$BQ$1004,1,MATCH(COLUMNS($AO$1006:BI1006),$AO$1006:$BQ$1006,0)))),"Fix")))</f>
        <v>#N/A</v>
      </c>
      <c r="W290" s="5" t="e">
        <f ca="1">IF(OR(INDEX($AI$2:$AI$1001,MATCH(ROWS($AH$2:AH290),$AH$2:$AH$1001,0),1)&gt;=100000,INDEX($AO$1005:$BQ$1005,1,MATCH(COLUMNS($AO$1006:BJ1006),$AO$1006:$BQ$1006,0))&gt;=100000), " ",IF(INDEX($AO$2:$BQ$1001,MATCH(ROWS($AH$2:AH290),$AH$2:$AH$1001,0),MATCH(COLUMNS($AO$1006:BJ1006),$AO$1006:$BQ$1006,0)), HYPERLINK("#",""), HYPERLINK(CONCATENATE("#Metadata!", ADDRESS(INDEX($AJ$2:$AJ$1001,MATCH(ROWS($AH$2:AH290),$AH$2:$AH$1001,0),0), INDEX($AO$1004:$BQ$1004,1,MATCH(COLUMNS($AO$1006:BJ1006),$AO$1006:$BQ$1006,0)))),"Fix")))</f>
        <v>#N/A</v>
      </c>
      <c r="X290" s="5" t="e">
        <f ca="1">IF(OR(INDEX($AI$2:$AI$1001,MATCH(ROWS($AH$2:AH290),$AH$2:$AH$1001,0),1)&gt;=100000,INDEX($AO$1005:$BQ$1005,1,MATCH(COLUMNS($AO$1006:BK1006),$AO$1006:$BQ$1006,0))&gt;=100000), " ",IF(INDEX($AO$2:$BQ$1001,MATCH(ROWS($AH$2:AH290),$AH$2:$AH$1001,0),MATCH(COLUMNS($AO$1006:BK1006),$AO$1006:$BQ$1006,0)), HYPERLINK("#",""), HYPERLINK(CONCATENATE("#Metadata!", ADDRESS(INDEX($AJ$2:$AJ$1001,MATCH(ROWS($AH$2:AH290),$AH$2:$AH$1001,0),0), INDEX($AO$1004:$BQ$1004,1,MATCH(COLUMNS($AO$1006:BK1006),$AO$1006:$BQ$1006,0)))),"Fix")))</f>
        <v>#N/A</v>
      </c>
      <c r="Y290" s="5" t="e">
        <f ca="1">IF(OR(INDEX($AI$2:$AI$1001,MATCH(ROWS($AH$2:AH290),$AH$2:$AH$1001,0),1)&gt;=100000,INDEX($AO$1005:$BQ$1005,1,MATCH(COLUMNS($AO$1006:BL1006),$AO$1006:$BQ$1006,0))&gt;=100000), " ",IF(INDEX($AO$2:$BQ$1001,MATCH(ROWS($AH$2:AH290),$AH$2:$AH$1001,0),MATCH(COLUMNS($AO$1006:BL1006),$AO$1006:$BQ$1006,0)), HYPERLINK("#",""), HYPERLINK(CONCATENATE("#Metadata!", ADDRESS(INDEX($AJ$2:$AJ$1001,MATCH(ROWS($AH$2:AH290),$AH$2:$AH$1001,0),0), INDEX($AO$1004:$BQ$1004,1,MATCH(COLUMNS($AO$1006:BL1006),$AO$1006:$BQ$1006,0)))),"Fix")))</f>
        <v>#N/A</v>
      </c>
      <c r="Z290" s="5" t="e">
        <f ca="1">IF(OR(INDEX($AI$2:$AI$1001,MATCH(ROWS($AH$2:AH290),$AH$2:$AH$1001,0),1)&gt;=100000,INDEX($AO$1005:$BQ$1005,1,MATCH(COLUMNS($AO$1006:BM1006),$AO$1006:$BQ$1006,0))&gt;=100000), " ",IF(INDEX($AO$2:$BQ$1001,MATCH(ROWS($AH$2:AH290),$AH$2:$AH$1001,0),MATCH(COLUMNS($AO$1006:BM1006),$AO$1006:$BQ$1006,0)), HYPERLINK("#",""), HYPERLINK(CONCATENATE("#Metadata!", ADDRESS(INDEX($AJ$2:$AJ$1001,MATCH(ROWS($AH$2:AH290),$AH$2:$AH$1001,0),0), INDEX($AO$1004:$BQ$1004,1,MATCH(COLUMNS($AO$1006:BM1006),$AO$1006:$BQ$1006,0)))),"Fix")))</f>
        <v>#N/A</v>
      </c>
      <c r="AA290" s="5" t="e">
        <f ca="1">IF(OR(INDEX($AI$2:$AI$1001,MATCH(ROWS($AH$2:AH290),$AH$2:$AH$1001,0),1)&gt;=100000,INDEX($AO$1005:$BQ$1005,1,MATCH(COLUMNS($AO$1006:BN1006),$AO$1006:$BQ$1006,0))&gt;=100000), " ",IF(INDEX($AO$2:$BQ$1001,MATCH(ROWS($AH$2:AH290),$AH$2:$AH$1001,0),MATCH(COLUMNS($AO$1006:BN1006),$AO$1006:$BQ$1006,0)), HYPERLINK("#",""), HYPERLINK(CONCATENATE("#Metadata!", ADDRESS(INDEX($AJ$2:$AJ$1001,MATCH(ROWS($AH$2:AH290),$AH$2:$AH$1001,0),0), INDEX($AO$1004:$BQ$1004,1,MATCH(COLUMNS($AO$1006:BN1006),$AO$1006:$BQ$1006,0)))),"Fix")))</f>
        <v>#N/A</v>
      </c>
      <c r="AB290" s="5" t="e">
        <f ca="1">IF(OR(INDEX($AI$2:$AI$1001,MATCH(ROWS($AH$2:AH290),$AH$2:$AH$1001,0),1)&gt;=100000,INDEX($AO$1005:$BQ$1005,1,MATCH(COLUMNS($AO$1006:BO1006),$AO$1006:$BQ$1006,0))&gt;=100000), " ",IF(INDEX($AO$2:$BQ$1001,MATCH(ROWS($AH$2:AH290),$AH$2:$AH$1001,0),MATCH(COLUMNS($AO$1006:BO1006),$AO$1006:$BQ$1006,0)), HYPERLINK("#",""), HYPERLINK(CONCATENATE("#Metadata!", ADDRESS(INDEX($AJ$2:$AJ$1001,MATCH(ROWS($AH$2:AH290),$AH$2:$AH$1001,0),0), INDEX($AO$1004:$BQ$1004,1,MATCH(COLUMNS($AO$1006:BO1006),$AO$1006:$BQ$1006,0)))),"Fix")))</f>
        <v>#N/A</v>
      </c>
      <c r="AC290" s="5" t="e">
        <f ca="1">IF(OR(INDEX($AI$2:$AI$1001,MATCH(ROWS($AH$2:AH290),$AH$2:$AH$1001,0),1)&gt;=100000,INDEX($AO$1005:$BQ$1005,1,MATCH(COLUMNS($AO$1006:BP1006),$AO$1006:$BQ$1006,0))&gt;=100000), " ",IF(INDEX($AO$2:$BQ$1001,MATCH(ROWS($AH$2:AH290),$AH$2:$AH$1001,0),MATCH(COLUMNS($AO$1006:BP1006),$AO$1006:$BQ$1006,0)), HYPERLINK("#",""), HYPERLINK(CONCATENATE("#Metadata!", ADDRESS(INDEX($AJ$2:$AJ$1001,MATCH(ROWS($AH$2:AH290),$AH$2:$AH$1001,0),0), INDEX($AO$1004:$BQ$1004,1,MATCH(COLUMNS($AO$1006:BP1006),$AO$1006:$BQ$1006,0)))),"Fix")))</f>
        <v>#N/A</v>
      </c>
      <c r="AD290" s="5" t="e">
        <f ca="1">IF(OR(INDEX($AI$2:$AI$1001,MATCH(ROWS($AH$2:AH290),$AH$2:$AH$1001,0),1)&gt;=100000,INDEX($AO$1005:$BQ$1005,1,MATCH(COLUMNS($AO$1006:BQ1006),$AO$1006:$BQ$1006,0))&gt;=100000), " ",IF(INDEX($AO$2:$BQ$1001,MATCH(ROWS($AH$2:AH290),$AH$2:$AH$1001,0),MATCH(COLUMNS($AO$1006:BQ1006),$AO$1006:$BQ$1006,0)), HYPERLINK("#",""), HYPERLINK(CONCATENATE("#Metadata!", ADDRESS(INDEX($AJ$2:$AJ$1001,MATCH(ROWS($AH$2:AH290),$AH$2:$AH$1001,0),0), INDEX($AO$1004:$BQ$1004,1,MATCH(COLUMNS($AO$1006:BQ1006),$AO$1006:$BQ$1006,0)))),"Fix")))</f>
        <v>#REF!</v>
      </c>
      <c r="AH290">
        <f ca="1"/>
        <v>287</v>
      </c>
      <c r="AI290">
        <v>100290</v>
      </c>
      <c r="AJ290">
        <v>290</v>
      </c>
      <c r="AK290" t="b">
        <f t="shared" si="4"/>
        <v>1</v>
      </c>
      <c r="AL290" t="b">
        <f>COUNTBLANK(Metadata!B290:AD290)=COLUMNS(Metadata!B290:AD290)</f>
        <v>1</v>
      </c>
      <c r="AM290" t="str">
        <v/>
      </c>
      <c r="AO290" t="b">
        <f ca="1">AND(IF(Metadata!B290="",FALSE,TRUE),COUNTIF(Metadata!B:B, Metadata!B290) = 1,NOT(ISERROR(SUMPRODUCT(SEARCH(MID(Metadata!B290,ROW(INDIRECT("1:"&amp;LEN(Metadata!B290))), 1),"0123456789abcdefghijklmnopqrstuvwxyzABCDEFGHIJKLMNOPQRSTUVWXYZ.")))))</f>
        <v>0</v>
      </c>
      <c r="AP290" t="b">
        <f>IF(Metadata!C290="",FALSE,TRUE)</f>
        <v>0</v>
      </c>
      <c r="AQ290" t="b">
        <f>IF(Metadata!D290="",FALSE,TRUE)</f>
        <v>0</v>
      </c>
      <c r="AR290" t="b">
        <f ca="1">OR(AND(IF(Metadata!E290="",FALSE,TRUE),OR(EXACT(Metadata!E290,"not collected"),EXACT(Metadata!E290,"not provided"),EXACT(Metadata!E290,"restricted access"))),AND(IF(Metadata!E290="",FALSE,TRUE),AND(AND(IFERROR(INT(LEFT(Metadata!E290,4))&gt;1900,FALSE),IFERROR(INT(LEFT(Metadata!E290,4))&lt;=YEAR(NOW()),FALSE)), OR(MID(Metadata!E290,5,1)="", AND(AND(MID(Metadata!E290,5,1)="-",IFERROR(INT(MID(Metadata!E290,6,1))&gt;=0,FALSE),IFERROR(INT(MID(Metadata!E290,6,1))&lt;=1,FALSE),NOT(MID(Metadata!E290,7,1)=""),IFERROR(INT(MID(Metadata!E290,6,2))&gt;=1,FALSE),IFERROR(INT(MID(Metadata!E290,6,2))&lt;=12,FALSE)), OR(MID(Metadata!E290,8,1)="", AND(AND(MID(Metadata!E290,8,1)="-",IFERROR(INT(MID(Metadata!E290,9,1))&gt;=0,FALSE),IFERROR(INT(MID(Metadata!E290,9,1))&lt;=3,FALSE),NOT(MID(Metadata!E290,10,1)=""),IFERROR(INT(MID(Metadata!E290,9,2))&gt;=1,FALSE),IFERROR(INT(MID(Metadata!E290,9,2))&lt;=31,FALSE)), OR(MID(Metadata!E290,11,1)="", AND(AND(MID(Metadata!E290,11,1)=" ",IFERROR(INT(MID(Metadata!E290,12,1))&gt;=0,FALSE),IFERROR(INT(MID(Metadata!E290,12,1))&lt;=2,FALSE),NOT(MID(Metadata!E290,13,1)=""),IFERROR(INT(MID(Metadata!E290,12,2))&gt;=0,FALSE),IFERROR(INT(MID(Metadata!E290,12,2))&lt;=23,FALSE)), OR(MID(Metadata!E290,14,1)="", AND(AND(MID(Metadata!E290,14,1)=":",IFERROR(INT(MID(Metadata!E290,15,1))&gt;=0,FALSE),IFERROR(INT(MID(Metadata!E290,15,1))&lt;=5,FALSE),NOT(MID(Metadata!E290,16,1)=""),IFERROR(INT(MID(Metadata!E290,15,2))&gt;=0,FALSE),IFERROR(INT(MID(Metadata!E290,15,2))&lt;=59,FALSE)), OR(MID(Metadata!E290,17,1)="", AND(AND(MID(Metadata!E290,17,1)=":",IFERROR(INT(MID(Metadata!E290,18,1))&gt;=0,FALSE),IFERROR(INT(MID(Metadata!E290,18,1))&lt;=5,FALSE),NOT(MID(Metadata!E290,19,1)=""),IFERROR(INT(MID(Metadata!E290,18,2))&gt;=0,FALSE),IFERROR(INT(MID(Metadata!E290,18,2))&lt;=59,FALSE)), LEN(Metadata!E290)&lt;=19)))))))))))))</f>
        <v>0</v>
      </c>
      <c r="AS290" t="b">
        <f>IF(Metadata!F290="",FALSE,TRUE)</f>
        <v>0</v>
      </c>
      <c r="AT290" t="b">
        <f>OR(AND(IF(Metadata!G290="",FALSE,TRUE),OR(EXACT(Metadata!G290,"not collected"),EXACT(Metadata!G290,"not provided"))),AND(IF(Metadata!G290="",FALSE,TRUE),OR(EXACT(Metadata!G290,"TRUE"),EXACT(Metadata!G290,"FALSE"))))</f>
        <v>0</v>
      </c>
      <c r="AU290" t="b">
        <f>OR(AND(IF(Metadata!H290="",FALSE,TRUE),OR(EXACT(Metadata!H290,"not collected"),EXACT(Metadata!H290,"not provided"),EXACT(Metadata!H290,"restricted access"))),AND(IF(Metadata!H290="",FALSE,ISNUMBER(VALUE(Metadata!H290))),Metadata!H290&gt;=-413))</f>
        <v>0</v>
      </c>
      <c r="AV290" t="b">
        <f>AND(IF(Metadata!I290="",FALSE,TRUE),EXACT(Metadata!I290,"meters"))</f>
        <v>0</v>
      </c>
      <c r="AW290" t="b">
        <f>AND(IF(Metadata!J290="",FALSE,TRUE),EXACT(Metadata!J290,"free-living"))</f>
        <v>0</v>
      </c>
      <c r="AX290" t="b">
        <f>AND(IF(Metadata!K290="",FALSE,TRUE),OR(EXACT(Metadata!K290,"saline"),EXACT(Metadata!K290,"non-saline")))</f>
        <v>0</v>
      </c>
      <c r="AY290" t="b">
        <f>AND(IF(Metadata!L290="",FALSE,TRUE),OR(EXACT(Metadata!L290,"sub-surface (non-saline)"),EXACT(Metadata!L290,"surface (non-saline)"),EXACT(Metadata!L290,"water (non-saline)"),EXACT(Metadata!L290,"soil (non-saline)"),EXACT(Metadata!L290,"aerosol (non-saline)"),EXACT(Metadata!L290,"sediment (non-saline)"),EXACT(Metadata!L290,"surface (saline)"),EXACT(Metadata!L290,"water (saline)"),EXACT(Metadata!L290,"hypersaline (saline)"),EXACT(Metadata!L290,"aerosol (saline)"),EXACT(Metadata!L290,"sediment (saline)")))</f>
        <v>0</v>
      </c>
      <c r="AZ290" t="b">
        <f>IF(Metadata!M290="",FALSE,TRUE)</f>
        <v>0</v>
      </c>
      <c r="BA290" t="b">
        <f>IF(Metadata!N290="",FALSE,TRUE)</f>
        <v>0</v>
      </c>
      <c r="BB290" t="b">
        <f>IF(Metadata!O290="",FALSE,TRUE)</f>
        <v>0</v>
      </c>
      <c r="BC290" t="b">
        <f>AND(IF(Metadata!P290="",FALSE,TRUE),OR(EXACT(Metadata!P290,"air"),EXACT(Metadata!P290,"microbial mat/biofilm"),EXACT(Metadata!P290,"misc environment"),EXACT(Metadata!P290,"sediment"),EXACT(Metadata!P290,"soil"),EXACT(Metadata!P290,"wastewater/sludge"),EXACT(Metadata!P290,"water")))</f>
        <v>0</v>
      </c>
      <c r="BD290" t="b">
        <f>IF(Metadata!Q290="",FALSE,TRUE)</f>
        <v>0</v>
      </c>
      <c r="BE290" t="b">
        <f>IF(Metadata!R290="",FALSE,TRUE)</f>
        <v>0</v>
      </c>
      <c r="BF290" t="b">
        <f>OR(AND(IF(Metadata!S290="",FALSE,TRUE),OR(EXACT(Metadata!S290,"not collected"),EXACT(Metadata!S290,"not provided"),EXACT(Metadata!S290,"restricted access"))),AND(IF(Metadata!S290="",FALSE,ISNUMBER(VALUE(Metadata!S290))),Metadata!S290&gt;=-90,Metadata!S290&lt;=90))</f>
        <v>0</v>
      </c>
      <c r="BG290" t="b">
        <f>AND(IF(Metadata!T290="",FALSE,TRUE),EXACT(Metadata!T290,"Decimal degrees"))</f>
        <v>0</v>
      </c>
      <c r="BH290" t="b">
        <f>OR(AND(IF(Metadata!U290="",FALSE,TRUE),OR(EXACT(Metadata!U290,"not applicable"),EXACT(Metadata!U290,"not collected"))),IF(Metadata!U290="",FALSE,TRUE))</f>
        <v>0</v>
      </c>
      <c r="BI290" t="b">
        <f>OR(AND(IF(Metadata!V290="",FALSE,TRUE),OR(EXACT(Metadata!V290,"not collected"),EXACT(Metadata!V290,"not provided"),EXACT(Metadata!V290,"restricted access"))),AND(IF(Metadata!V290="",FALSE,ISNUMBER(VALUE(Metadata!V290))),Metadata!V290&gt;=-180,Metadata!V290&lt;=180))</f>
        <v>0</v>
      </c>
      <c r="BJ290" t="b">
        <f>AND(IF(Metadata!W290="",FALSE,TRUE),EXACT(Metadata!W290,"Decimal degrees"))</f>
        <v>0</v>
      </c>
      <c r="BK290" t="b">
        <f>IF(Metadata!X290="",FALSE,TRUE)</f>
        <v>0</v>
      </c>
      <c r="BL290" t="b">
        <f>OR(AND(IF(Metadata!Y290="",FALSE,TRUE),OR(EXACT(Metadata!Y290,"not collected"),EXACT(Metadata!Y290,"not provided"),EXACT(Metadata!Y290,"restricted access"))),AND(IF(Metadata!Y290="",FALSE,TRUE),OR(EXACT(Metadata!Y290,"TRUE"),EXACT(Metadata!Y290,"FALSE"))))</f>
        <v>0</v>
      </c>
      <c r="BM290" t="b">
        <f>OR(AND(IF(Metadata!Z290="",FALSE,TRUE),EXACT(Metadata!Z290,"not applicable")),AND(IF(Metadata!Z290="",FALSE,TRUE),OR(EXACT(Metadata!Z290,"beer"),EXACT(Metadata!Z290,"cheese"),EXACT(Metadata!Z290,"fresh water"),EXACT(Metadata!Z290,"marine sediment"),EXACT(Metadata!Z290,"sea water"),EXACT(Metadata!Z290,"sediment"),EXACT(Metadata!Z290,"soil"),EXACT(Metadata!Z290,"waste water"))))</f>
        <v>0</v>
      </c>
      <c r="BN290" t="b">
        <f>AND(IF(Metadata!AA290="",FALSE,TRUE),EXACT(Metadata!AA290,"metagenome"))</f>
        <v>0</v>
      </c>
      <c r="BO290" t="b">
        <f>AND(IF(Metadata!AB290="",FALSE,TRUE),EXACT(Metadata!AB290,"256318"))</f>
        <v>0</v>
      </c>
      <c r="BP290" t="b">
        <f>IF(Metadata!AC290="",FALSE,TRUE)</f>
        <v>0</v>
      </c>
      <c r="BQ290" t="b">
        <f>IF(Metadata!AD290="",FALSE,TRUE)</f>
        <v>0</v>
      </c>
    </row>
    <row r="291" spans="1:69" x14ac:dyDescent="0.2">
      <c r="A291" s="4" t="e">
        <f ca="1">IF(B291=" "," ",HYPERLINK(CONCATENATE("#metadata!",ADDRESS(INDEX($AJ$2:$AJ$1001,MATCH(ROWS($AH$2:AH291),$AH$2:$AH$1001,0),0),2)),INDEX($AM$2:$AM$1001,MATCH(ROWS($AH$2:AH291),$AH$2:$AH$1001,0),0)))</f>
        <v>#N/A</v>
      </c>
      <c r="B291" s="5" t="e">
        <f ca="1">IF(OR(INDEX($AI$2:$AI$1001,MATCH(ROWS($AH$2:AH291),$AH$2:$AH$1001,0),1)&gt;=100000,INDEX($AO$1005:$BQ$1005,1,MATCH(COLUMNS($AO$1006:AO1006),$AO$1006:$BQ$1006,0))&gt;=100000), " ",IF(INDEX($AO$2:$BQ$1001,MATCH(ROWS($AH$2:AH291),$AH$2:$AH$1001,0),MATCH(COLUMNS($AO$1006:AO1006),$AO$1006:$BQ$1006,0)), HYPERLINK("#",""), HYPERLINK(CONCATENATE("#Metadata!", ADDRESS(INDEX($AJ$2:$AJ$1001,MATCH(ROWS($AH$2:AH291),$AH$2:$AH$1001,0),0), INDEX($AO$1004:$BQ$1004,1,MATCH(COLUMNS($AO$1006:AO1006),$AO$1006:$BQ$1006,0)))),"Fix")))</f>
        <v>#N/A</v>
      </c>
      <c r="C291" s="5" t="e">
        <f ca="1">IF(OR(INDEX($AI$2:$AI$1001,MATCH(ROWS($AH$2:AH291),$AH$2:$AH$1001,0),1)&gt;=100000,INDEX($AO$1005:$BQ$1005,1,MATCH(COLUMNS($AO$1006:AP1006),$AO$1006:$BQ$1006,0))&gt;=100000), " ",IF(INDEX($AO$2:$BQ$1001,MATCH(ROWS($AH$2:AH291),$AH$2:$AH$1001,0),MATCH(COLUMNS($AO$1006:AP1006),$AO$1006:$BQ$1006,0)), HYPERLINK("#",""), HYPERLINK(CONCATENATE("#Metadata!", ADDRESS(INDEX($AJ$2:$AJ$1001,MATCH(ROWS($AH$2:AH291),$AH$2:$AH$1001,0),0), INDEX($AO$1004:$BQ$1004,1,MATCH(COLUMNS($AO$1006:AP1006),$AO$1006:$BQ$1006,0)))),"Fix")))</f>
        <v>#N/A</v>
      </c>
      <c r="D291" s="5" t="e">
        <f ca="1">IF(OR(INDEX($AI$2:$AI$1001,MATCH(ROWS($AH$2:AH291),$AH$2:$AH$1001,0),1)&gt;=100000,INDEX($AO$1005:$BQ$1005,1,MATCH(COLUMNS($AO$1006:AQ1006),$AO$1006:$BQ$1006,0))&gt;=100000), " ",IF(INDEX($AO$2:$BQ$1001,MATCH(ROWS($AH$2:AH291),$AH$2:$AH$1001,0),MATCH(COLUMNS($AO$1006:AQ1006),$AO$1006:$BQ$1006,0)), HYPERLINK("#",""), HYPERLINK(CONCATENATE("#Metadata!", ADDRESS(INDEX($AJ$2:$AJ$1001,MATCH(ROWS($AH$2:AH291),$AH$2:$AH$1001,0),0), INDEX($AO$1004:$BQ$1004,1,MATCH(COLUMNS($AO$1006:AQ1006),$AO$1006:$BQ$1006,0)))),"Fix")))</f>
        <v>#N/A</v>
      </c>
      <c r="E291" s="5" t="e">
        <f ca="1">IF(OR(INDEX($AI$2:$AI$1001,MATCH(ROWS($AH$2:AH291),$AH$2:$AH$1001,0),1)&gt;=100000,INDEX($AO$1005:$BQ$1005,1,MATCH(COLUMNS($AO$1006:AR1006),$AO$1006:$BQ$1006,0))&gt;=100000), " ",IF(INDEX($AO$2:$BQ$1001,MATCH(ROWS($AH$2:AH291),$AH$2:$AH$1001,0),MATCH(COLUMNS($AO$1006:AR1006),$AO$1006:$BQ$1006,0)), HYPERLINK("#",""), HYPERLINK(CONCATENATE("#Metadata!", ADDRESS(INDEX($AJ$2:$AJ$1001,MATCH(ROWS($AH$2:AH291),$AH$2:$AH$1001,0),0), INDEX($AO$1004:$BQ$1004,1,MATCH(COLUMNS($AO$1006:AR1006),$AO$1006:$BQ$1006,0)))),"Fix")))</f>
        <v>#N/A</v>
      </c>
      <c r="F291" s="5" t="e">
        <f ca="1">IF(OR(INDEX($AI$2:$AI$1001,MATCH(ROWS($AH$2:AH291),$AH$2:$AH$1001,0),1)&gt;=100000,INDEX($AO$1005:$BQ$1005,1,MATCH(COLUMNS($AO$1006:AS1006),$AO$1006:$BQ$1006,0))&gt;=100000), " ",IF(INDEX($AO$2:$BQ$1001,MATCH(ROWS($AH$2:AH291),$AH$2:$AH$1001,0),MATCH(COLUMNS($AO$1006:AS1006),$AO$1006:$BQ$1006,0)), HYPERLINK("#",""), HYPERLINK(CONCATENATE("#Metadata!", ADDRESS(INDEX($AJ$2:$AJ$1001,MATCH(ROWS($AH$2:AH291),$AH$2:$AH$1001,0),0), INDEX($AO$1004:$BQ$1004,1,MATCH(COLUMNS($AO$1006:AS1006),$AO$1006:$BQ$1006,0)))),"Fix")))</f>
        <v>#N/A</v>
      </c>
      <c r="G291" s="5" t="e">
        <f ca="1">IF(OR(INDEX($AI$2:$AI$1001,MATCH(ROWS($AH$2:AH291),$AH$2:$AH$1001,0),1)&gt;=100000,INDEX($AO$1005:$BQ$1005,1,MATCH(COLUMNS($AO$1006:AT1006),$AO$1006:$BQ$1006,0))&gt;=100000), " ",IF(INDEX($AO$2:$BQ$1001,MATCH(ROWS($AH$2:AH291),$AH$2:$AH$1001,0),MATCH(COLUMNS($AO$1006:AT1006),$AO$1006:$BQ$1006,0)), HYPERLINK("#",""), HYPERLINK(CONCATENATE("#Metadata!", ADDRESS(INDEX($AJ$2:$AJ$1001,MATCH(ROWS($AH$2:AH291),$AH$2:$AH$1001,0),0), INDEX($AO$1004:$BQ$1004,1,MATCH(COLUMNS($AO$1006:AT1006),$AO$1006:$BQ$1006,0)))),"Fix")))</f>
        <v>#N/A</v>
      </c>
      <c r="H291" s="5" t="e">
        <f ca="1">IF(OR(INDEX($AI$2:$AI$1001,MATCH(ROWS($AH$2:AH291),$AH$2:$AH$1001,0),1)&gt;=100000,INDEX($AO$1005:$BQ$1005,1,MATCH(COLUMNS($AO$1006:AU1006),$AO$1006:$BQ$1006,0))&gt;=100000), " ",IF(INDEX($AO$2:$BQ$1001,MATCH(ROWS($AH$2:AH291),$AH$2:$AH$1001,0),MATCH(COLUMNS($AO$1006:AU1006),$AO$1006:$BQ$1006,0)), HYPERLINK("#",""), HYPERLINK(CONCATENATE("#Metadata!", ADDRESS(INDEX($AJ$2:$AJ$1001,MATCH(ROWS($AH$2:AH291),$AH$2:$AH$1001,0),0), INDEX($AO$1004:$BQ$1004,1,MATCH(COLUMNS($AO$1006:AU1006),$AO$1006:$BQ$1006,0)))),"Fix")))</f>
        <v>#N/A</v>
      </c>
      <c r="I291" s="5" t="e">
        <f ca="1">IF(OR(INDEX($AI$2:$AI$1001,MATCH(ROWS($AH$2:AH291),$AH$2:$AH$1001,0),1)&gt;=100000,INDEX($AO$1005:$BQ$1005,1,MATCH(COLUMNS($AO$1006:AV1006),$AO$1006:$BQ$1006,0))&gt;=100000), " ",IF(INDEX($AO$2:$BQ$1001,MATCH(ROWS($AH$2:AH291),$AH$2:$AH$1001,0),MATCH(COLUMNS($AO$1006:AV1006),$AO$1006:$BQ$1006,0)), HYPERLINK("#",""), HYPERLINK(CONCATENATE("#Metadata!", ADDRESS(INDEX($AJ$2:$AJ$1001,MATCH(ROWS($AH$2:AH291),$AH$2:$AH$1001,0),0), INDEX($AO$1004:$BQ$1004,1,MATCH(COLUMNS($AO$1006:AV1006),$AO$1006:$BQ$1006,0)))),"Fix")))</f>
        <v>#N/A</v>
      </c>
      <c r="J291" s="5" t="e">
        <f ca="1">IF(OR(INDEX($AI$2:$AI$1001,MATCH(ROWS($AH$2:AH291),$AH$2:$AH$1001,0),1)&gt;=100000,INDEX($AO$1005:$BQ$1005,1,MATCH(COLUMNS($AO$1006:AW1006),$AO$1006:$BQ$1006,0))&gt;=100000), " ",IF(INDEX($AO$2:$BQ$1001,MATCH(ROWS($AH$2:AH291),$AH$2:$AH$1001,0),MATCH(COLUMNS($AO$1006:AW1006),$AO$1006:$BQ$1006,0)), HYPERLINK("#",""), HYPERLINK(CONCATENATE("#Metadata!", ADDRESS(INDEX($AJ$2:$AJ$1001,MATCH(ROWS($AH$2:AH291),$AH$2:$AH$1001,0),0), INDEX($AO$1004:$BQ$1004,1,MATCH(COLUMNS($AO$1006:AW1006),$AO$1006:$BQ$1006,0)))),"Fix")))</f>
        <v>#N/A</v>
      </c>
      <c r="K291" s="5" t="e">
        <f ca="1">IF(OR(INDEX($AI$2:$AI$1001,MATCH(ROWS($AH$2:AH291),$AH$2:$AH$1001,0),1)&gt;=100000,INDEX($AO$1005:$BQ$1005,1,MATCH(COLUMNS($AO$1006:AX1006),$AO$1006:$BQ$1006,0))&gt;=100000), " ",IF(INDEX($AO$2:$BQ$1001,MATCH(ROWS($AH$2:AH291),$AH$2:$AH$1001,0),MATCH(COLUMNS($AO$1006:AX1006),$AO$1006:$BQ$1006,0)), HYPERLINK("#",""), HYPERLINK(CONCATENATE("#Metadata!", ADDRESS(INDEX($AJ$2:$AJ$1001,MATCH(ROWS($AH$2:AH291),$AH$2:$AH$1001,0),0), INDEX($AO$1004:$BQ$1004,1,MATCH(COLUMNS($AO$1006:AX1006),$AO$1006:$BQ$1006,0)))),"Fix")))</f>
        <v>#N/A</v>
      </c>
      <c r="L291" s="5" t="e">
        <f ca="1">IF(OR(INDEX($AI$2:$AI$1001,MATCH(ROWS($AH$2:AH291),$AH$2:$AH$1001,0),1)&gt;=100000,INDEX($AO$1005:$BQ$1005,1,MATCH(COLUMNS($AO$1006:AY1006),$AO$1006:$BQ$1006,0))&gt;=100000), " ",IF(INDEX($AO$2:$BQ$1001,MATCH(ROWS($AH$2:AH291),$AH$2:$AH$1001,0),MATCH(COLUMNS($AO$1006:AY1006),$AO$1006:$BQ$1006,0)), HYPERLINK("#",""), HYPERLINK(CONCATENATE("#Metadata!", ADDRESS(INDEX($AJ$2:$AJ$1001,MATCH(ROWS($AH$2:AH291),$AH$2:$AH$1001,0),0), INDEX($AO$1004:$BQ$1004,1,MATCH(COLUMNS($AO$1006:AY1006),$AO$1006:$BQ$1006,0)))),"Fix")))</f>
        <v>#N/A</v>
      </c>
      <c r="M291" s="5" t="e">
        <f ca="1">IF(OR(INDEX($AI$2:$AI$1001,MATCH(ROWS($AH$2:AH291),$AH$2:$AH$1001,0),1)&gt;=100000,INDEX($AO$1005:$BQ$1005,1,MATCH(COLUMNS($AO$1006:AZ1006),$AO$1006:$BQ$1006,0))&gt;=100000), " ",IF(INDEX($AO$2:$BQ$1001,MATCH(ROWS($AH$2:AH291),$AH$2:$AH$1001,0),MATCH(COLUMNS($AO$1006:AZ1006),$AO$1006:$BQ$1006,0)), HYPERLINK("#",""), HYPERLINK(CONCATENATE("#Metadata!", ADDRESS(INDEX($AJ$2:$AJ$1001,MATCH(ROWS($AH$2:AH291),$AH$2:$AH$1001,0),0), INDEX($AO$1004:$BQ$1004,1,MATCH(COLUMNS($AO$1006:AZ1006),$AO$1006:$BQ$1006,0)))),"Fix")))</f>
        <v>#N/A</v>
      </c>
      <c r="N291" s="5" t="e">
        <f ca="1">IF(OR(INDEX($AI$2:$AI$1001,MATCH(ROWS($AH$2:AH291),$AH$2:$AH$1001,0),1)&gt;=100000,INDEX($AO$1005:$BQ$1005,1,MATCH(COLUMNS($AO$1006:BA1006),$AO$1006:$BQ$1006,0))&gt;=100000), " ",IF(INDEX($AO$2:$BQ$1001,MATCH(ROWS($AH$2:AH291),$AH$2:$AH$1001,0),MATCH(COLUMNS($AO$1006:BA1006),$AO$1006:$BQ$1006,0)), HYPERLINK("#",""), HYPERLINK(CONCATENATE("#Metadata!", ADDRESS(INDEX($AJ$2:$AJ$1001,MATCH(ROWS($AH$2:AH291),$AH$2:$AH$1001,0),0), INDEX($AO$1004:$BQ$1004,1,MATCH(COLUMNS($AO$1006:BA1006),$AO$1006:$BQ$1006,0)))),"Fix")))</f>
        <v>#N/A</v>
      </c>
      <c r="O291" s="5" t="e">
        <f ca="1">IF(OR(INDEX($AI$2:$AI$1001,MATCH(ROWS($AH$2:AH291),$AH$2:$AH$1001,0),1)&gt;=100000,INDEX($AO$1005:$BQ$1005,1,MATCH(COLUMNS($AO$1006:BB1006),$AO$1006:$BQ$1006,0))&gt;=100000), " ",IF(INDEX($AO$2:$BQ$1001,MATCH(ROWS($AH$2:AH291),$AH$2:$AH$1001,0),MATCH(COLUMNS($AO$1006:BB1006),$AO$1006:$BQ$1006,0)), HYPERLINK("#",""), HYPERLINK(CONCATENATE("#Metadata!", ADDRESS(INDEX($AJ$2:$AJ$1001,MATCH(ROWS($AH$2:AH291),$AH$2:$AH$1001,0),0), INDEX($AO$1004:$BQ$1004,1,MATCH(COLUMNS($AO$1006:BB1006),$AO$1006:$BQ$1006,0)))),"Fix")))</f>
        <v>#N/A</v>
      </c>
      <c r="P291" s="5" t="e">
        <f ca="1">IF(OR(INDEX($AI$2:$AI$1001,MATCH(ROWS($AH$2:AH291),$AH$2:$AH$1001,0),1)&gt;=100000,INDEX($AO$1005:$BQ$1005,1,MATCH(COLUMNS($AO$1006:BC1006),$AO$1006:$BQ$1006,0))&gt;=100000), " ",IF(INDEX($AO$2:$BQ$1001,MATCH(ROWS($AH$2:AH291),$AH$2:$AH$1001,0),MATCH(COLUMNS($AO$1006:BC1006),$AO$1006:$BQ$1006,0)), HYPERLINK("#",""), HYPERLINK(CONCATENATE("#Metadata!", ADDRESS(INDEX($AJ$2:$AJ$1001,MATCH(ROWS($AH$2:AH291),$AH$2:$AH$1001,0),0), INDEX($AO$1004:$BQ$1004,1,MATCH(COLUMNS($AO$1006:BC1006),$AO$1006:$BQ$1006,0)))),"Fix")))</f>
        <v>#N/A</v>
      </c>
      <c r="Q291" s="5" t="e">
        <f ca="1">IF(OR(INDEX($AI$2:$AI$1001,MATCH(ROWS($AH$2:AH291),$AH$2:$AH$1001,0),1)&gt;=100000,INDEX($AO$1005:$BQ$1005,1,MATCH(COLUMNS($AO$1006:BD1006),$AO$1006:$BQ$1006,0))&gt;=100000), " ",IF(INDEX($AO$2:$BQ$1001,MATCH(ROWS($AH$2:AH291),$AH$2:$AH$1001,0),MATCH(COLUMNS($AO$1006:BD1006),$AO$1006:$BQ$1006,0)), HYPERLINK("#",""), HYPERLINK(CONCATENATE("#Metadata!", ADDRESS(INDEX($AJ$2:$AJ$1001,MATCH(ROWS($AH$2:AH291),$AH$2:$AH$1001,0),0), INDEX($AO$1004:$BQ$1004,1,MATCH(COLUMNS($AO$1006:BD1006),$AO$1006:$BQ$1006,0)))),"Fix")))</f>
        <v>#N/A</v>
      </c>
      <c r="R291" s="5" t="e">
        <f ca="1">IF(OR(INDEX($AI$2:$AI$1001,MATCH(ROWS($AH$2:AH291),$AH$2:$AH$1001,0),1)&gt;=100000,INDEX($AO$1005:$BQ$1005,1,MATCH(COLUMNS($AO$1006:BE1006),$AO$1006:$BQ$1006,0))&gt;=100000), " ",IF(INDEX($AO$2:$BQ$1001,MATCH(ROWS($AH$2:AH291),$AH$2:$AH$1001,0),MATCH(COLUMNS($AO$1006:BE1006),$AO$1006:$BQ$1006,0)), HYPERLINK("#",""), HYPERLINK(CONCATENATE("#Metadata!", ADDRESS(INDEX($AJ$2:$AJ$1001,MATCH(ROWS($AH$2:AH291),$AH$2:$AH$1001,0),0), INDEX($AO$1004:$BQ$1004,1,MATCH(COLUMNS($AO$1006:BE1006),$AO$1006:$BQ$1006,0)))),"Fix")))</f>
        <v>#N/A</v>
      </c>
      <c r="S291" s="5" t="e">
        <f ca="1">IF(OR(INDEX($AI$2:$AI$1001,MATCH(ROWS($AH$2:AH291),$AH$2:$AH$1001,0),1)&gt;=100000,INDEX($AO$1005:$BQ$1005,1,MATCH(COLUMNS($AO$1006:BF1006),$AO$1006:$BQ$1006,0))&gt;=100000), " ",IF(INDEX($AO$2:$BQ$1001,MATCH(ROWS($AH$2:AH291),$AH$2:$AH$1001,0),MATCH(COLUMNS($AO$1006:BF1006),$AO$1006:$BQ$1006,0)), HYPERLINK("#",""), HYPERLINK(CONCATENATE("#Metadata!", ADDRESS(INDEX($AJ$2:$AJ$1001,MATCH(ROWS($AH$2:AH291),$AH$2:$AH$1001,0),0), INDEX($AO$1004:$BQ$1004,1,MATCH(COLUMNS($AO$1006:BF1006),$AO$1006:$BQ$1006,0)))),"Fix")))</f>
        <v>#N/A</v>
      </c>
      <c r="T291" s="5" t="e">
        <f ca="1">IF(OR(INDEX($AI$2:$AI$1001,MATCH(ROWS($AH$2:AH291),$AH$2:$AH$1001,0),1)&gt;=100000,INDEX($AO$1005:$BQ$1005,1,MATCH(COLUMNS($AO$1006:BG1006),$AO$1006:$BQ$1006,0))&gt;=100000), " ",IF(INDEX($AO$2:$BQ$1001,MATCH(ROWS($AH$2:AH291),$AH$2:$AH$1001,0),MATCH(COLUMNS($AO$1006:BG1006),$AO$1006:$BQ$1006,0)), HYPERLINK("#",""), HYPERLINK(CONCATENATE("#Metadata!", ADDRESS(INDEX($AJ$2:$AJ$1001,MATCH(ROWS($AH$2:AH291),$AH$2:$AH$1001,0),0), INDEX($AO$1004:$BQ$1004,1,MATCH(COLUMNS($AO$1006:BG1006),$AO$1006:$BQ$1006,0)))),"Fix")))</f>
        <v>#N/A</v>
      </c>
      <c r="U291" s="5" t="e">
        <f ca="1">IF(OR(INDEX($AI$2:$AI$1001,MATCH(ROWS($AH$2:AH291),$AH$2:$AH$1001,0),1)&gt;=100000,INDEX($AO$1005:$BQ$1005,1,MATCH(COLUMNS($AO$1006:BH1006),$AO$1006:$BQ$1006,0))&gt;=100000), " ",IF(INDEX($AO$2:$BQ$1001,MATCH(ROWS($AH$2:AH291),$AH$2:$AH$1001,0),MATCH(COLUMNS($AO$1006:BH1006),$AO$1006:$BQ$1006,0)), HYPERLINK("#",""), HYPERLINK(CONCATENATE("#Metadata!", ADDRESS(INDEX($AJ$2:$AJ$1001,MATCH(ROWS($AH$2:AH291),$AH$2:$AH$1001,0),0), INDEX($AO$1004:$BQ$1004,1,MATCH(COLUMNS($AO$1006:BH1006),$AO$1006:$BQ$1006,0)))),"Fix")))</f>
        <v>#N/A</v>
      </c>
      <c r="V291" s="5" t="e">
        <f ca="1">IF(OR(INDEX($AI$2:$AI$1001,MATCH(ROWS($AH$2:AH291),$AH$2:$AH$1001,0),1)&gt;=100000,INDEX($AO$1005:$BQ$1005,1,MATCH(COLUMNS($AO$1006:BI1006),$AO$1006:$BQ$1006,0))&gt;=100000), " ",IF(INDEX($AO$2:$BQ$1001,MATCH(ROWS($AH$2:AH291),$AH$2:$AH$1001,0),MATCH(COLUMNS($AO$1006:BI1006),$AO$1006:$BQ$1006,0)), HYPERLINK("#",""), HYPERLINK(CONCATENATE("#Metadata!", ADDRESS(INDEX($AJ$2:$AJ$1001,MATCH(ROWS($AH$2:AH291),$AH$2:$AH$1001,0),0), INDEX($AO$1004:$BQ$1004,1,MATCH(COLUMNS($AO$1006:BI1006),$AO$1006:$BQ$1006,0)))),"Fix")))</f>
        <v>#N/A</v>
      </c>
      <c r="W291" s="5" t="e">
        <f ca="1">IF(OR(INDEX($AI$2:$AI$1001,MATCH(ROWS($AH$2:AH291),$AH$2:$AH$1001,0),1)&gt;=100000,INDEX($AO$1005:$BQ$1005,1,MATCH(COLUMNS($AO$1006:BJ1006),$AO$1006:$BQ$1006,0))&gt;=100000), " ",IF(INDEX($AO$2:$BQ$1001,MATCH(ROWS($AH$2:AH291),$AH$2:$AH$1001,0),MATCH(COLUMNS($AO$1006:BJ1006),$AO$1006:$BQ$1006,0)), HYPERLINK("#",""), HYPERLINK(CONCATENATE("#Metadata!", ADDRESS(INDEX($AJ$2:$AJ$1001,MATCH(ROWS($AH$2:AH291),$AH$2:$AH$1001,0),0), INDEX($AO$1004:$BQ$1004,1,MATCH(COLUMNS($AO$1006:BJ1006),$AO$1006:$BQ$1006,0)))),"Fix")))</f>
        <v>#N/A</v>
      </c>
      <c r="X291" s="5" t="e">
        <f ca="1">IF(OR(INDEX($AI$2:$AI$1001,MATCH(ROWS($AH$2:AH291),$AH$2:$AH$1001,0),1)&gt;=100000,INDEX($AO$1005:$BQ$1005,1,MATCH(COLUMNS($AO$1006:BK1006),$AO$1006:$BQ$1006,0))&gt;=100000), " ",IF(INDEX($AO$2:$BQ$1001,MATCH(ROWS($AH$2:AH291),$AH$2:$AH$1001,0),MATCH(COLUMNS($AO$1006:BK1006),$AO$1006:$BQ$1006,0)), HYPERLINK("#",""), HYPERLINK(CONCATENATE("#Metadata!", ADDRESS(INDEX($AJ$2:$AJ$1001,MATCH(ROWS($AH$2:AH291),$AH$2:$AH$1001,0),0), INDEX($AO$1004:$BQ$1004,1,MATCH(COLUMNS($AO$1006:BK1006),$AO$1006:$BQ$1006,0)))),"Fix")))</f>
        <v>#N/A</v>
      </c>
      <c r="Y291" s="5" t="e">
        <f ca="1">IF(OR(INDEX($AI$2:$AI$1001,MATCH(ROWS($AH$2:AH291),$AH$2:$AH$1001,0),1)&gt;=100000,INDEX($AO$1005:$BQ$1005,1,MATCH(COLUMNS($AO$1006:BL1006),$AO$1006:$BQ$1006,0))&gt;=100000), " ",IF(INDEX($AO$2:$BQ$1001,MATCH(ROWS($AH$2:AH291),$AH$2:$AH$1001,0),MATCH(COLUMNS($AO$1006:BL1006),$AO$1006:$BQ$1006,0)), HYPERLINK("#",""), HYPERLINK(CONCATENATE("#Metadata!", ADDRESS(INDEX($AJ$2:$AJ$1001,MATCH(ROWS($AH$2:AH291),$AH$2:$AH$1001,0),0), INDEX($AO$1004:$BQ$1004,1,MATCH(COLUMNS($AO$1006:BL1006),$AO$1006:$BQ$1006,0)))),"Fix")))</f>
        <v>#N/A</v>
      </c>
      <c r="Z291" s="5" t="e">
        <f ca="1">IF(OR(INDEX($AI$2:$AI$1001,MATCH(ROWS($AH$2:AH291),$AH$2:$AH$1001,0),1)&gt;=100000,INDEX($AO$1005:$BQ$1005,1,MATCH(COLUMNS($AO$1006:BM1006),$AO$1006:$BQ$1006,0))&gt;=100000), " ",IF(INDEX($AO$2:$BQ$1001,MATCH(ROWS($AH$2:AH291),$AH$2:$AH$1001,0),MATCH(COLUMNS($AO$1006:BM1006),$AO$1006:$BQ$1006,0)), HYPERLINK("#",""), HYPERLINK(CONCATENATE("#Metadata!", ADDRESS(INDEX($AJ$2:$AJ$1001,MATCH(ROWS($AH$2:AH291),$AH$2:$AH$1001,0),0), INDEX($AO$1004:$BQ$1004,1,MATCH(COLUMNS($AO$1006:BM1006),$AO$1006:$BQ$1006,0)))),"Fix")))</f>
        <v>#N/A</v>
      </c>
      <c r="AA291" s="5" t="e">
        <f ca="1">IF(OR(INDEX($AI$2:$AI$1001,MATCH(ROWS($AH$2:AH291),$AH$2:$AH$1001,0),1)&gt;=100000,INDEX($AO$1005:$BQ$1005,1,MATCH(COLUMNS($AO$1006:BN1006),$AO$1006:$BQ$1006,0))&gt;=100000), " ",IF(INDEX($AO$2:$BQ$1001,MATCH(ROWS($AH$2:AH291),$AH$2:$AH$1001,0),MATCH(COLUMNS($AO$1006:BN1006),$AO$1006:$BQ$1006,0)), HYPERLINK("#",""), HYPERLINK(CONCATENATE("#Metadata!", ADDRESS(INDEX($AJ$2:$AJ$1001,MATCH(ROWS($AH$2:AH291),$AH$2:$AH$1001,0),0), INDEX($AO$1004:$BQ$1004,1,MATCH(COLUMNS($AO$1006:BN1006),$AO$1006:$BQ$1006,0)))),"Fix")))</f>
        <v>#N/A</v>
      </c>
      <c r="AB291" s="5" t="e">
        <f ca="1">IF(OR(INDEX($AI$2:$AI$1001,MATCH(ROWS($AH$2:AH291),$AH$2:$AH$1001,0),1)&gt;=100000,INDEX($AO$1005:$BQ$1005,1,MATCH(COLUMNS($AO$1006:BO1006),$AO$1006:$BQ$1006,0))&gt;=100000), " ",IF(INDEX($AO$2:$BQ$1001,MATCH(ROWS($AH$2:AH291),$AH$2:$AH$1001,0),MATCH(COLUMNS($AO$1006:BO1006),$AO$1006:$BQ$1006,0)), HYPERLINK("#",""), HYPERLINK(CONCATENATE("#Metadata!", ADDRESS(INDEX($AJ$2:$AJ$1001,MATCH(ROWS($AH$2:AH291),$AH$2:$AH$1001,0),0), INDEX($AO$1004:$BQ$1004,1,MATCH(COLUMNS($AO$1006:BO1006),$AO$1006:$BQ$1006,0)))),"Fix")))</f>
        <v>#N/A</v>
      </c>
      <c r="AC291" s="5" t="e">
        <f ca="1">IF(OR(INDEX($AI$2:$AI$1001,MATCH(ROWS($AH$2:AH291),$AH$2:$AH$1001,0),1)&gt;=100000,INDEX($AO$1005:$BQ$1005,1,MATCH(COLUMNS($AO$1006:BP1006),$AO$1006:$BQ$1006,0))&gt;=100000), " ",IF(INDEX($AO$2:$BQ$1001,MATCH(ROWS($AH$2:AH291),$AH$2:$AH$1001,0),MATCH(COLUMNS($AO$1006:BP1006),$AO$1006:$BQ$1006,0)), HYPERLINK("#",""), HYPERLINK(CONCATENATE("#Metadata!", ADDRESS(INDEX($AJ$2:$AJ$1001,MATCH(ROWS($AH$2:AH291),$AH$2:$AH$1001,0),0), INDEX($AO$1004:$BQ$1004,1,MATCH(COLUMNS($AO$1006:BP1006),$AO$1006:$BQ$1006,0)))),"Fix")))</f>
        <v>#N/A</v>
      </c>
      <c r="AD291" s="5" t="e">
        <f ca="1">IF(OR(INDEX($AI$2:$AI$1001,MATCH(ROWS($AH$2:AH291),$AH$2:$AH$1001,0),1)&gt;=100000,INDEX($AO$1005:$BQ$1005,1,MATCH(COLUMNS($AO$1006:BQ1006),$AO$1006:$BQ$1006,0))&gt;=100000), " ",IF(INDEX($AO$2:$BQ$1001,MATCH(ROWS($AH$2:AH291),$AH$2:$AH$1001,0),MATCH(COLUMNS($AO$1006:BQ1006),$AO$1006:$BQ$1006,0)), HYPERLINK("#",""), HYPERLINK(CONCATENATE("#Metadata!", ADDRESS(INDEX($AJ$2:$AJ$1001,MATCH(ROWS($AH$2:AH291),$AH$2:$AH$1001,0),0), INDEX($AO$1004:$BQ$1004,1,MATCH(COLUMNS($AO$1006:BQ1006),$AO$1006:$BQ$1006,0)))),"Fix")))</f>
        <v>#REF!</v>
      </c>
      <c r="AH291">
        <f ca="1"/>
        <v>288</v>
      </c>
      <c r="AI291">
        <v>100291</v>
      </c>
      <c r="AJ291">
        <v>291</v>
      </c>
      <c r="AK291" t="b">
        <f t="shared" si="4"/>
        <v>1</v>
      </c>
      <c r="AL291" t="b">
        <f>COUNTBLANK(Metadata!B291:AD291)=COLUMNS(Metadata!B291:AD291)</f>
        <v>1</v>
      </c>
      <c r="AM291" t="str">
        <v/>
      </c>
      <c r="AO291" t="b">
        <f ca="1">AND(IF(Metadata!B291="",FALSE,TRUE),COUNTIF(Metadata!B:B, Metadata!B291) = 1,NOT(ISERROR(SUMPRODUCT(SEARCH(MID(Metadata!B291,ROW(INDIRECT("1:"&amp;LEN(Metadata!B291))), 1),"0123456789abcdefghijklmnopqrstuvwxyzABCDEFGHIJKLMNOPQRSTUVWXYZ.")))))</f>
        <v>0</v>
      </c>
      <c r="AP291" t="b">
        <f>IF(Metadata!C291="",FALSE,TRUE)</f>
        <v>0</v>
      </c>
      <c r="AQ291" t="b">
        <f>IF(Metadata!D291="",FALSE,TRUE)</f>
        <v>0</v>
      </c>
      <c r="AR291" t="b">
        <f ca="1">OR(AND(IF(Metadata!E291="",FALSE,TRUE),OR(EXACT(Metadata!E291,"not collected"),EXACT(Metadata!E291,"not provided"),EXACT(Metadata!E291,"restricted access"))),AND(IF(Metadata!E291="",FALSE,TRUE),AND(AND(IFERROR(INT(LEFT(Metadata!E291,4))&gt;1900,FALSE),IFERROR(INT(LEFT(Metadata!E291,4))&lt;=YEAR(NOW()),FALSE)), OR(MID(Metadata!E291,5,1)="", AND(AND(MID(Metadata!E291,5,1)="-",IFERROR(INT(MID(Metadata!E291,6,1))&gt;=0,FALSE),IFERROR(INT(MID(Metadata!E291,6,1))&lt;=1,FALSE),NOT(MID(Metadata!E291,7,1)=""),IFERROR(INT(MID(Metadata!E291,6,2))&gt;=1,FALSE),IFERROR(INT(MID(Metadata!E291,6,2))&lt;=12,FALSE)), OR(MID(Metadata!E291,8,1)="", AND(AND(MID(Metadata!E291,8,1)="-",IFERROR(INT(MID(Metadata!E291,9,1))&gt;=0,FALSE),IFERROR(INT(MID(Metadata!E291,9,1))&lt;=3,FALSE),NOT(MID(Metadata!E291,10,1)=""),IFERROR(INT(MID(Metadata!E291,9,2))&gt;=1,FALSE),IFERROR(INT(MID(Metadata!E291,9,2))&lt;=31,FALSE)), OR(MID(Metadata!E291,11,1)="", AND(AND(MID(Metadata!E291,11,1)=" ",IFERROR(INT(MID(Metadata!E291,12,1))&gt;=0,FALSE),IFERROR(INT(MID(Metadata!E291,12,1))&lt;=2,FALSE),NOT(MID(Metadata!E291,13,1)=""),IFERROR(INT(MID(Metadata!E291,12,2))&gt;=0,FALSE),IFERROR(INT(MID(Metadata!E291,12,2))&lt;=23,FALSE)), OR(MID(Metadata!E291,14,1)="", AND(AND(MID(Metadata!E291,14,1)=":",IFERROR(INT(MID(Metadata!E291,15,1))&gt;=0,FALSE),IFERROR(INT(MID(Metadata!E291,15,1))&lt;=5,FALSE),NOT(MID(Metadata!E291,16,1)=""),IFERROR(INT(MID(Metadata!E291,15,2))&gt;=0,FALSE),IFERROR(INT(MID(Metadata!E291,15,2))&lt;=59,FALSE)), OR(MID(Metadata!E291,17,1)="", AND(AND(MID(Metadata!E291,17,1)=":",IFERROR(INT(MID(Metadata!E291,18,1))&gt;=0,FALSE),IFERROR(INT(MID(Metadata!E291,18,1))&lt;=5,FALSE),NOT(MID(Metadata!E291,19,1)=""),IFERROR(INT(MID(Metadata!E291,18,2))&gt;=0,FALSE),IFERROR(INT(MID(Metadata!E291,18,2))&lt;=59,FALSE)), LEN(Metadata!E291)&lt;=19)))))))))))))</f>
        <v>0</v>
      </c>
      <c r="AS291" t="b">
        <f>IF(Metadata!F291="",FALSE,TRUE)</f>
        <v>0</v>
      </c>
      <c r="AT291" t="b">
        <f>OR(AND(IF(Metadata!G291="",FALSE,TRUE),OR(EXACT(Metadata!G291,"not collected"),EXACT(Metadata!G291,"not provided"))),AND(IF(Metadata!G291="",FALSE,TRUE),OR(EXACT(Metadata!G291,"TRUE"),EXACT(Metadata!G291,"FALSE"))))</f>
        <v>0</v>
      </c>
      <c r="AU291" t="b">
        <f>OR(AND(IF(Metadata!H291="",FALSE,TRUE),OR(EXACT(Metadata!H291,"not collected"),EXACT(Metadata!H291,"not provided"),EXACT(Metadata!H291,"restricted access"))),AND(IF(Metadata!H291="",FALSE,ISNUMBER(VALUE(Metadata!H291))),Metadata!H291&gt;=-413))</f>
        <v>0</v>
      </c>
      <c r="AV291" t="b">
        <f>AND(IF(Metadata!I291="",FALSE,TRUE),EXACT(Metadata!I291,"meters"))</f>
        <v>0</v>
      </c>
      <c r="AW291" t="b">
        <f>AND(IF(Metadata!J291="",FALSE,TRUE),EXACT(Metadata!J291,"free-living"))</f>
        <v>0</v>
      </c>
      <c r="AX291" t="b">
        <f>AND(IF(Metadata!K291="",FALSE,TRUE),OR(EXACT(Metadata!K291,"saline"),EXACT(Metadata!K291,"non-saline")))</f>
        <v>0</v>
      </c>
      <c r="AY291" t="b">
        <f>AND(IF(Metadata!L291="",FALSE,TRUE),OR(EXACT(Metadata!L291,"sub-surface (non-saline)"),EXACT(Metadata!L291,"surface (non-saline)"),EXACT(Metadata!L291,"water (non-saline)"),EXACT(Metadata!L291,"soil (non-saline)"),EXACT(Metadata!L291,"aerosol (non-saline)"),EXACT(Metadata!L291,"sediment (non-saline)"),EXACT(Metadata!L291,"surface (saline)"),EXACT(Metadata!L291,"water (saline)"),EXACT(Metadata!L291,"hypersaline (saline)"),EXACT(Metadata!L291,"aerosol (saline)"),EXACT(Metadata!L291,"sediment (saline)")))</f>
        <v>0</v>
      </c>
      <c r="AZ291" t="b">
        <f>IF(Metadata!M291="",FALSE,TRUE)</f>
        <v>0</v>
      </c>
      <c r="BA291" t="b">
        <f>IF(Metadata!N291="",FALSE,TRUE)</f>
        <v>0</v>
      </c>
      <c r="BB291" t="b">
        <f>IF(Metadata!O291="",FALSE,TRUE)</f>
        <v>0</v>
      </c>
      <c r="BC291" t="b">
        <f>AND(IF(Metadata!P291="",FALSE,TRUE),OR(EXACT(Metadata!P291,"air"),EXACT(Metadata!P291,"microbial mat/biofilm"),EXACT(Metadata!P291,"misc environment"),EXACT(Metadata!P291,"sediment"),EXACT(Metadata!P291,"soil"),EXACT(Metadata!P291,"wastewater/sludge"),EXACT(Metadata!P291,"water")))</f>
        <v>0</v>
      </c>
      <c r="BD291" t="b">
        <f>IF(Metadata!Q291="",FALSE,TRUE)</f>
        <v>0</v>
      </c>
      <c r="BE291" t="b">
        <f>IF(Metadata!R291="",FALSE,TRUE)</f>
        <v>0</v>
      </c>
      <c r="BF291" t="b">
        <f>OR(AND(IF(Metadata!S291="",FALSE,TRUE),OR(EXACT(Metadata!S291,"not collected"),EXACT(Metadata!S291,"not provided"),EXACT(Metadata!S291,"restricted access"))),AND(IF(Metadata!S291="",FALSE,ISNUMBER(VALUE(Metadata!S291))),Metadata!S291&gt;=-90,Metadata!S291&lt;=90))</f>
        <v>0</v>
      </c>
      <c r="BG291" t="b">
        <f>AND(IF(Metadata!T291="",FALSE,TRUE),EXACT(Metadata!T291,"Decimal degrees"))</f>
        <v>0</v>
      </c>
      <c r="BH291" t="b">
        <f>OR(AND(IF(Metadata!U291="",FALSE,TRUE),OR(EXACT(Metadata!U291,"not applicable"),EXACT(Metadata!U291,"not collected"))),IF(Metadata!U291="",FALSE,TRUE))</f>
        <v>0</v>
      </c>
      <c r="BI291" t="b">
        <f>OR(AND(IF(Metadata!V291="",FALSE,TRUE),OR(EXACT(Metadata!V291,"not collected"),EXACT(Metadata!V291,"not provided"),EXACT(Metadata!V291,"restricted access"))),AND(IF(Metadata!V291="",FALSE,ISNUMBER(VALUE(Metadata!V291))),Metadata!V291&gt;=-180,Metadata!V291&lt;=180))</f>
        <v>0</v>
      </c>
      <c r="BJ291" t="b">
        <f>AND(IF(Metadata!W291="",FALSE,TRUE),EXACT(Metadata!W291,"Decimal degrees"))</f>
        <v>0</v>
      </c>
      <c r="BK291" t="b">
        <f>IF(Metadata!X291="",FALSE,TRUE)</f>
        <v>0</v>
      </c>
      <c r="BL291" t="b">
        <f>OR(AND(IF(Metadata!Y291="",FALSE,TRUE),OR(EXACT(Metadata!Y291,"not collected"),EXACT(Metadata!Y291,"not provided"),EXACT(Metadata!Y291,"restricted access"))),AND(IF(Metadata!Y291="",FALSE,TRUE),OR(EXACT(Metadata!Y291,"TRUE"),EXACT(Metadata!Y291,"FALSE"))))</f>
        <v>0</v>
      </c>
      <c r="BM291" t="b">
        <f>OR(AND(IF(Metadata!Z291="",FALSE,TRUE),EXACT(Metadata!Z291,"not applicable")),AND(IF(Metadata!Z291="",FALSE,TRUE),OR(EXACT(Metadata!Z291,"beer"),EXACT(Metadata!Z291,"cheese"),EXACT(Metadata!Z291,"fresh water"),EXACT(Metadata!Z291,"marine sediment"),EXACT(Metadata!Z291,"sea water"),EXACT(Metadata!Z291,"sediment"),EXACT(Metadata!Z291,"soil"),EXACT(Metadata!Z291,"waste water"))))</f>
        <v>0</v>
      </c>
      <c r="BN291" t="b">
        <f>AND(IF(Metadata!AA291="",FALSE,TRUE),EXACT(Metadata!AA291,"metagenome"))</f>
        <v>0</v>
      </c>
      <c r="BO291" t="b">
        <f>AND(IF(Metadata!AB291="",FALSE,TRUE),EXACT(Metadata!AB291,"256318"))</f>
        <v>0</v>
      </c>
      <c r="BP291" t="b">
        <f>IF(Metadata!AC291="",FALSE,TRUE)</f>
        <v>0</v>
      </c>
      <c r="BQ291" t="b">
        <f>IF(Metadata!AD291="",FALSE,TRUE)</f>
        <v>0</v>
      </c>
    </row>
    <row r="292" spans="1:69" x14ac:dyDescent="0.2">
      <c r="A292" s="4" t="e">
        <f ca="1">IF(B292=" "," ",HYPERLINK(CONCATENATE("#metadata!",ADDRESS(INDEX($AJ$2:$AJ$1001,MATCH(ROWS($AH$2:AH292),$AH$2:$AH$1001,0),0),2)),INDEX($AM$2:$AM$1001,MATCH(ROWS($AH$2:AH292),$AH$2:$AH$1001,0),0)))</f>
        <v>#N/A</v>
      </c>
      <c r="B292" s="5" t="e">
        <f ca="1">IF(OR(INDEX($AI$2:$AI$1001,MATCH(ROWS($AH$2:AH292),$AH$2:$AH$1001,0),1)&gt;=100000,INDEX($AO$1005:$BQ$1005,1,MATCH(COLUMNS($AO$1006:AO1006),$AO$1006:$BQ$1006,0))&gt;=100000), " ",IF(INDEX($AO$2:$BQ$1001,MATCH(ROWS($AH$2:AH292),$AH$2:$AH$1001,0),MATCH(COLUMNS($AO$1006:AO1006),$AO$1006:$BQ$1006,0)), HYPERLINK("#",""), HYPERLINK(CONCATENATE("#Metadata!", ADDRESS(INDEX($AJ$2:$AJ$1001,MATCH(ROWS($AH$2:AH292),$AH$2:$AH$1001,0),0), INDEX($AO$1004:$BQ$1004,1,MATCH(COLUMNS($AO$1006:AO1006),$AO$1006:$BQ$1006,0)))),"Fix")))</f>
        <v>#N/A</v>
      </c>
      <c r="C292" s="5" t="e">
        <f ca="1">IF(OR(INDEX($AI$2:$AI$1001,MATCH(ROWS($AH$2:AH292),$AH$2:$AH$1001,0),1)&gt;=100000,INDEX($AO$1005:$BQ$1005,1,MATCH(COLUMNS($AO$1006:AP1006),$AO$1006:$BQ$1006,0))&gt;=100000), " ",IF(INDEX($AO$2:$BQ$1001,MATCH(ROWS($AH$2:AH292),$AH$2:$AH$1001,0),MATCH(COLUMNS($AO$1006:AP1006),$AO$1006:$BQ$1006,0)), HYPERLINK("#",""), HYPERLINK(CONCATENATE("#Metadata!", ADDRESS(INDEX($AJ$2:$AJ$1001,MATCH(ROWS($AH$2:AH292),$AH$2:$AH$1001,0),0), INDEX($AO$1004:$BQ$1004,1,MATCH(COLUMNS($AO$1006:AP1006),$AO$1006:$BQ$1006,0)))),"Fix")))</f>
        <v>#N/A</v>
      </c>
      <c r="D292" s="5" t="e">
        <f ca="1">IF(OR(INDEX($AI$2:$AI$1001,MATCH(ROWS($AH$2:AH292),$AH$2:$AH$1001,0),1)&gt;=100000,INDEX($AO$1005:$BQ$1005,1,MATCH(COLUMNS($AO$1006:AQ1006),$AO$1006:$BQ$1006,0))&gt;=100000), " ",IF(INDEX($AO$2:$BQ$1001,MATCH(ROWS($AH$2:AH292),$AH$2:$AH$1001,0),MATCH(COLUMNS($AO$1006:AQ1006),$AO$1006:$BQ$1006,0)), HYPERLINK("#",""), HYPERLINK(CONCATENATE("#Metadata!", ADDRESS(INDEX($AJ$2:$AJ$1001,MATCH(ROWS($AH$2:AH292),$AH$2:$AH$1001,0),0), INDEX($AO$1004:$BQ$1004,1,MATCH(COLUMNS($AO$1006:AQ1006),$AO$1006:$BQ$1006,0)))),"Fix")))</f>
        <v>#N/A</v>
      </c>
      <c r="E292" s="5" t="e">
        <f ca="1">IF(OR(INDEX($AI$2:$AI$1001,MATCH(ROWS($AH$2:AH292),$AH$2:$AH$1001,0),1)&gt;=100000,INDEX($AO$1005:$BQ$1005,1,MATCH(COLUMNS($AO$1006:AR1006),$AO$1006:$BQ$1006,0))&gt;=100000), " ",IF(INDEX($AO$2:$BQ$1001,MATCH(ROWS($AH$2:AH292),$AH$2:$AH$1001,0),MATCH(COLUMNS($AO$1006:AR1006),$AO$1006:$BQ$1006,0)), HYPERLINK("#",""), HYPERLINK(CONCATENATE("#Metadata!", ADDRESS(INDEX($AJ$2:$AJ$1001,MATCH(ROWS($AH$2:AH292),$AH$2:$AH$1001,0),0), INDEX($AO$1004:$BQ$1004,1,MATCH(COLUMNS($AO$1006:AR1006),$AO$1006:$BQ$1006,0)))),"Fix")))</f>
        <v>#N/A</v>
      </c>
      <c r="F292" s="5" t="e">
        <f ca="1">IF(OR(INDEX($AI$2:$AI$1001,MATCH(ROWS($AH$2:AH292),$AH$2:$AH$1001,0),1)&gt;=100000,INDEX($AO$1005:$BQ$1005,1,MATCH(COLUMNS($AO$1006:AS1006),$AO$1006:$BQ$1006,0))&gt;=100000), " ",IF(INDEX($AO$2:$BQ$1001,MATCH(ROWS($AH$2:AH292),$AH$2:$AH$1001,0),MATCH(COLUMNS($AO$1006:AS1006),$AO$1006:$BQ$1006,0)), HYPERLINK("#",""), HYPERLINK(CONCATENATE("#Metadata!", ADDRESS(INDEX($AJ$2:$AJ$1001,MATCH(ROWS($AH$2:AH292),$AH$2:$AH$1001,0),0), INDEX($AO$1004:$BQ$1004,1,MATCH(COLUMNS($AO$1006:AS1006),$AO$1006:$BQ$1006,0)))),"Fix")))</f>
        <v>#N/A</v>
      </c>
      <c r="G292" s="5" t="e">
        <f ca="1">IF(OR(INDEX($AI$2:$AI$1001,MATCH(ROWS($AH$2:AH292),$AH$2:$AH$1001,0),1)&gt;=100000,INDEX($AO$1005:$BQ$1005,1,MATCH(COLUMNS($AO$1006:AT1006),$AO$1006:$BQ$1006,0))&gt;=100000), " ",IF(INDEX($AO$2:$BQ$1001,MATCH(ROWS($AH$2:AH292),$AH$2:$AH$1001,0),MATCH(COLUMNS($AO$1006:AT1006),$AO$1006:$BQ$1006,0)), HYPERLINK("#",""), HYPERLINK(CONCATENATE("#Metadata!", ADDRESS(INDEX($AJ$2:$AJ$1001,MATCH(ROWS($AH$2:AH292),$AH$2:$AH$1001,0),0), INDEX($AO$1004:$BQ$1004,1,MATCH(COLUMNS($AO$1006:AT1006),$AO$1006:$BQ$1006,0)))),"Fix")))</f>
        <v>#N/A</v>
      </c>
      <c r="H292" s="5" t="e">
        <f ca="1">IF(OR(INDEX($AI$2:$AI$1001,MATCH(ROWS($AH$2:AH292),$AH$2:$AH$1001,0),1)&gt;=100000,INDEX($AO$1005:$BQ$1005,1,MATCH(COLUMNS($AO$1006:AU1006),$AO$1006:$BQ$1006,0))&gt;=100000), " ",IF(INDEX($AO$2:$BQ$1001,MATCH(ROWS($AH$2:AH292),$AH$2:$AH$1001,0),MATCH(COLUMNS($AO$1006:AU1006),$AO$1006:$BQ$1006,0)), HYPERLINK("#",""), HYPERLINK(CONCATENATE("#Metadata!", ADDRESS(INDEX($AJ$2:$AJ$1001,MATCH(ROWS($AH$2:AH292),$AH$2:$AH$1001,0),0), INDEX($AO$1004:$BQ$1004,1,MATCH(COLUMNS($AO$1006:AU1006),$AO$1006:$BQ$1006,0)))),"Fix")))</f>
        <v>#N/A</v>
      </c>
      <c r="I292" s="5" t="e">
        <f ca="1">IF(OR(INDEX($AI$2:$AI$1001,MATCH(ROWS($AH$2:AH292),$AH$2:$AH$1001,0),1)&gt;=100000,INDEX($AO$1005:$BQ$1005,1,MATCH(COLUMNS($AO$1006:AV1006),$AO$1006:$BQ$1006,0))&gt;=100000), " ",IF(INDEX($AO$2:$BQ$1001,MATCH(ROWS($AH$2:AH292),$AH$2:$AH$1001,0),MATCH(COLUMNS($AO$1006:AV1006),$AO$1006:$BQ$1006,0)), HYPERLINK("#",""), HYPERLINK(CONCATENATE("#Metadata!", ADDRESS(INDEX($AJ$2:$AJ$1001,MATCH(ROWS($AH$2:AH292),$AH$2:$AH$1001,0),0), INDEX($AO$1004:$BQ$1004,1,MATCH(COLUMNS($AO$1006:AV1006),$AO$1006:$BQ$1006,0)))),"Fix")))</f>
        <v>#N/A</v>
      </c>
      <c r="J292" s="5" t="e">
        <f ca="1">IF(OR(INDEX($AI$2:$AI$1001,MATCH(ROWS($AH$2:AH292),$AH$2:$AH$1001,0),1)&gt;=100000,INDEX($AO$1005:$BQ$1005,1,MATCH(COLUMNS($AO$1006:AW1006),$AO$1006:$BQ$1006,0))&gt;=100000), " ",IF(INDEX($AO$2:$BQ$1001,MATCH(ROWS($AH$2:AH292),$AH$2:$AH$1001,0),MATCH(COLUMNS($AO$1006:AW1006),$AO$1006:$BQ$1006,0)), HYPERLINK("#",""), HYPERLINK(CONCATENATE("#Metadata!", ADDRESS(INDEX($AJ$2:$AJ$1001,MATCH(ROWS($AH$2:AH292),$AH$2:$AH$1001,0),0), INDEX($AO$1004:$BQ$1004,1,MATCH(COLUMNS($AO$1006:AW1006),$AO$1006:$BQ$1006,0)))),"Fix")))</f>
        <v>#N/A</v>
      </c>
      <c r="K292" s="5" t="e">
        <f ca="1">IF(OR(INDEX($AI$2:$AI$1001,MATCH(ROWS($AH$2:AH292),$AH$2:$AH$1001,0),1)&gt;=100000,INDEX($AO$1005:$BQ$1005,1,MATCH(COLUMNS($AO$1006:AX1006),$AO$1006:$BQ$1006,0))&gt;=100000), " ",IF(INDEX($AO$2:$BQ$1001,MATCH(ROWS($AH$2:AH292),$AH$2:$AH$1001,0),MATCH(COLUMNS($AO$1006:AX1006),$AO$1006:$BQ$1006,0)), HYPERLINK("#",""), HYPERLINK(CONCATENATE("#Metadata!", ADDRESS(INDEX($AJ$2:$AJ$1001,MATCH(ROWS($AH$2:AH292),$AH$2:$AH$1001,0),0), INDEX($AO$1004:$BQ$1004,1,MATCH(COLUMNS($AO$1006:AX1006),$AO$1006:$BQ$1006,0)))),"Fix")))</f>
        <v>#N/A</v>
      </c>
      <c r="L292" s="5" t="e">
        <f ca="1">IF(OR(INDEX($AI$2:$AI$1001,MATCH(ROWS($AH$2:AH292),$AH$2:$AH$1001,0),1)&gt;=100000,INDEX($AO$1005:$BQ$1005,1,MATCH(COLUMNS($AO$1006:AY1006),$AO$1006:$BQ$1006,0))&gt;=100000), " ",IF(INDEX($AO$2:$BQ$1001,MATCH(ROWS($AH$2:AH292),$AH$2:$AH$1001,0),MATCH(COLUMNS($AO$1006:AY1006),$AO$1006:$BQ$1006,0)), HYPERLINK("#",""), HYPERLINK(CONCATENATE("#Metadata!", ADDRESS(INDEX($AJ$2:$AJ$1001,MATCH(ROWS($AH$2:AH292),$AH$2:$AH$1001,0),0), INDEX($AO$1004:$BQ$1004,1,MATCH(COLUMNS($AO$1006:AY1006),$AO$1006:$BQ$1006,0)))),"Fix")))</f>
        <v>#N/A</v>
      </c>
      <c r="M292" s="5" t="e">
        <f ca="1">IF(OR(INDEX($AI$2:$AI$1001,MATCH(ROWS($AH$2:AH292),$AH$2:$AH$1001,0),1)&gt;=100000,INDEX($AO$1005:$BQ$1005,1,MATCH(COLUMNS($AO$1006:AZ1006),$AO$1006:$BQ$1006,0))&gt;=100000), " ",IF(INDEX($AO$2:$BQ$1001,MATCH(ROWS($AH$2:AH292),$AH$2:$AH$1001,0),MATCH(COLUMNS($AO$1006:AZ1006),$AO$1006:$BQ$1006,0)), HYPERLINK("#",""), HYPERLINK(CONCATENATE("#Metadata!", ADDRESS(INDEX($AJ$2:$AJ$1001,MATCH(ROWS($AH$2:AH292),$AH$2:$AH$1001,0),0), INDEX($AO$1004:$BQ$1004,1,MATCH(COLUMNS($AO$1006:AZ1006),$AO$1006:$BQ$1006,0)))),"Fix")))</f>
        <v>#N/A</v>
      </c>
      <c r="N292" s="5" t="e">
        <f ca="1">IF(OR(INDEX($AI$2:$AI$1001,MATCH(ROWS($AH$2:AH292),$AH$2:$AH$1001,0),1)&gt;=100000,INDEX($AO$1005:$BQ$1005,1,MATCH(COLUMNS($AO$1006:BA1006),$AO$1006:$BQ$1006,0))&gt;=100000), " ",IF(INDEX($AO$2:$BQ$1001,MATCH(ROWS($AH$2:AH292),$AH$2:$AH$1001,0),MATCH(COLUMNS($AO$1006:BA1006),$AO$1006:$BQ$1006,0)), HYPERLINK("#",""), HYPERLINK(CONCATENATE("#Metadata!", ADDRESS(INDEX($AJ$2:$AJ$1001,MATCH(ROWS($AH$2:AH292),$AH$2:$AH$1001,0),0), INDEX($AO$1004:$BQ$1004,1,MATCH(COLUMNS($AO$1006:BA1006),$AO$1006:$BQ$1006,0)))),"Fix")))</f>
        <v>#N/A</v>
      </c>
      <c r="O292" s="5" t="e">
        <f ca="1">IF(OR(INDEX($AI$2:$AI$1001,MATCH(ROWS($AH$2:AH292),$AH$2:$AH$1001,0),1)&gt;=100000,INDEX($AO$1005:$BQ$1005,1,MATCH(COLUMNS($AO$1006:BB1006),$AO$1006:$BQ$1006,0))&gt;=100000), " ",IF(INDEX($AO$2:$BQ$1001,MATCH(ROWS($AH$2:AH292),$AH$2:$AH$1001,0),MATCH(COLUMNS($AO$1006:BB1006),$AO$1006:$BQ$1006,0)), HYPERLINK("#",""), HYPERLINK(CONCATENATE("#Metadata!", ADDRESS(INDEX($AJ$2:$AJ$1001,MATCH(ROWS($AH$2:AH292),$AH$2:$AH$1001,0),0), INDEX($AO$1004:$BQ$1004,1,MATCH(COLUMNS($AO$1006:BB1006),$AO$1006:$BQ$1006,0)))),"Fix")))</f>
        <v>#N/A</v>
      </c>
      <c r="P292" s="5" t="e">
        <f ca="1">IF(OR(INDEX($AI$2:$AI$1001,MATCH(ROWS($AH$2:AH292),$AH$2:$AH$1001,0),1)&gt;=100000,INDEX($AO$1005:$BQ$1005,1,MATCH(COLUMNS($AO$1006:BC1006),$AO$1006:$BQ$1006,0))&gt;=100000), " ",IF(INDEX($AO$2:$BQ$1001,MATCH(ROWS($AH$2:AH292),$AH$2:$AH$1001,0),MATCH(COLUMNS($AO$1006:BC1006),$AO$1006:$BQ$1006,0)), HYPERLINK("#",""), HYPERLINK(CONCATENATE("#Metadata!", ADDRESS(INDEX($AJ$2:$AJ$1001,MATCH(ROWS($AH$2:AH292),$AH$2:$AH$1001,0),0), INDEX($AO$1004:$BQ$1004,1,MATCH(COLUMNS($AO$1006:BC1006),$AO$1006:$BQ$1006,0)))),"Fix")))</f>
        <v>#N/A</v>
      </c>
      <c r="Q292" s="5" t="e">
        <f ca="1">IF(OR(INDEX($AI$2:$AI$1001,MATCH(ROWS($AH$2:AH292),$AH$2:$AH$1001,0),1)&gt;=100000,INDEX($AO$1005:$BQ$1005,1,MATCH(COLUMNS($AO$1006:BD1006),$AO$1006:$BQ$1006,0))&gt;=100000), " ",IF(INDEX($AO$2:$BQ$1001,MATCH(ROWS($AH$2:AH292),$AH$2:$AH$1001,0),MATCH(COLUMNS($AO$1006:BD1006),$AO$1006:$BQ$1006,0)), HYPERLINK("#",""), HYPERLINK(CONCATENATE("#Metadata!", ADDRESS(INDEX($AJ$2:$AJ$1001,MATCH(ROWS($AH$2:AH292),$AH$2:$AH$1001,0),0), INDEX($AO$1004:$BQ$1004,1,MATCH(COLUMNS($AO$1006:BD1006),$AO$1006:$BQ$1006,0)))),"Fix")))</f>
        <v>#N/A</v>
      </c>
      <c r="R292" s="5" t="e">
        <f ca="1">IF(OR(INDEX($AI$2:$AI$1001,MATCH(ROWS($AH$2:AH292),$AH$2:$AH$1001,0),1)&gt;=100000,INDEX($AO$1005:$BQ$1005,1,MATCH(COLUMNS($AO$1006:BE1006),$AO$1006:$BQ$1006,0))&gt;=100000), " ",IF(INDEX($AO$2:$BQ$1001,MATCH(ROWS($AH$2:AH292),$AH$2:$AH$1001,0),MATCH(COLUMNS($AO$1006:BE1006),$AO$1006:$BQ$1006,0)), HYPERLINK("#",""), HYPERLINK(CONCATENATE("#Metadata!", ADDRESS(INDEX($AJ$2:$AJ$1001,MATCH(ROWS($AH$2:AH292),$AH$2:$AH$1001,0),0), INDEX($AO$1004:$BQ$1004,1,MATCH(COLUMNS($AO$1006:BE1006),$AO$1006:$BQ$1006,0)))),"Fix")))</f>
        <v>#N/A</v>
      </c>
      <c r="S292" s="5" t="e">
        <f ca="1">IF(OR(INDEX($AI$2:$AI$1001,MATCH(ROWS($AH$2:AH292),$AH$2:$AH$1001,0),1)&gt;=100000,INDEX($AO$1005:$BQ$1005,1,MATCH(COLUMNS($AO$1006:BF1006),$AO$1006:$BQ$1006,0))&gt;=100000), " ",IF(INDEX($AO$2:$BQ$1001,MATCH(ROWS($AH$2:AH292),$AH$2:$AH$1001,0),MATCH(COLUMNS($AO$1006:BF1006),$AO$1006:$BQ$1006,0)), HYPERLINK("#",""), HYPERLINK(CONCATENATE("#Metadata!", ADDRESS(INDEX($AJ$2:$AJ$1001,MATCH(ROWS($AH$2:AH292),$AH$2:$AH$1001,0),0), INDEX($AO$1004:$BQ$1004,1,MATCH(COLUMNS($AO$1006:BF1006),$AO$1006:$BQ$1006,0)))),"Fix")))</f>
        <v>#N/A</v>
      </c>
      <c r="T292" s="5" t="e">
        <f ca="1">IF(OR(INDEX($AI$2:$AI$1001,MATCH(ROWS($AH$2:AH292),$AH$2:$AH$1001,0),1)&gt;=100000,INDEX($AO$1005:$BQ$1005,1,MATCH(COLUMNS($AO$1006:BG1006),$AO$1006:$BQ$1006,0))&gt;=100000), " ",IF(INDEX($AO$2:$BQ$1001,MATCH(ROWS($AH$2:AH292),$AH$2:$AH$1001,0),MATCH(COLUMNS($AO$1006:BG1006),$AO$1006:$BQ$1006,0)), HYPERLINK("#",""), HYPERLINK(CONCATENATE("#Metadata!", ADDRESS(INDEX($AJ$2:$AJ$1001,MATCH(ROWS($AH$2:AH292),$AH$2:$AH$1001,0),0), INDEX($AO$1004:$BQ$1004,1,MATCH(COLUMNS($AO$1006:BG1006),$AO$1006:$BQ$1006,0)))),"Fix")))</f>
        <v>#N/A</v>
      </c>
      <c r="U292" s="5" t="e">
        <f ca="1">IF(OR(INDEX($AI$2:$AI$1001,MATCH(ROWS($AH$2:AH292),$AH$2:$AH$1001,0),1)&gt;=100000,INDEX($AO$1005:$BQ$1005,1,MATCH(COLUMNS($AO$1006:BH1006),$AO$1006:$BQ$1006,0))&gt;=100000), " ",IF(INDEX($AO$2:$BQ$1001,MATCH(ROWS($AH$2:AH292),$AH$2:$AH$1001,0),MATCH(COLUMNS($AO$1006:BH1006),$AO$1006:$BQ$1006,0)), HYPERLINK("#",""), HYPERLINK(CONCATENATE("#Metadata!", ADDRESS(INDEX($AJ$2:$AJ$1001,MATCH(ROWS($AH$2:AH292),$AH$2:$AH$1001,0),0), INDEX($AO$1004:$BQ$1004,1,MATCH(COLUMNS($AO$1006:BH1006),$AO$1006:$BQ$1006,0)))),"Fix")))</f>
        <v>#N/A</v>
      </c>
      <c r="V292" s="5" t="e">
        <f ca="1">IF(OR(INDEX($AI$2:$AI$1001,MATCH(ROWS($AH$2:AH292),$AH$2:$AH$1001,0),1)&gt;=100000,INDEX($AO$1005:$BQ$1005,1,MATCH(COLUMNS($AO$1006:BI1006),$AO$1006:$BQ$1006,0))&gt;=100000), " ",IF(INDEX($AO$2:$BQ$1001,MATCH(ROWS($AH$2:AH292),$AH$2:$AH$1001,0),MATCH(COLUMNS($AO$1006:BI1006),$AO$1006:$BQ$1006,0)), HYPERLINK("#",""), HYPERLINK(CONCATENATE("#Metadata!", ADDRESS(INDEX($AJ$2:$AJ$1001,MATCH(ROWS($AH$2:AH292),$AH$2:$AH$1001,0),0), INDEX($AO$1004:$BQ$1004,1,MATCH(COLUMNS($AO$1006:BI1006),$AO$1006:$BQ$1006,0)))),"Fix")))</f>
        <v>#N/A</v>
      </c>
      <c r="W292" s="5" t="e">
        <f ca="1">IF(OR(INDEX($AI$2:$AI$1001,MATCH(ROWS($AH$2:AH292),$AH$2:$AH$1001,0),1)&gt;=100000,INDEX($AO$1005:$BQ$1005,1,MATCH(COLUMNS($AO$1006:BJ1006),$AO$1006:$BQ$1006,0))&gt;=100000), " ",IF(INDEX($AO$2:$BQ$1001,MATCH(ROWS($AH$2:AH292),$AH$2:$AH$1001,0),MATCH(COLUMNS($AO$1006:BJ1006),$AO$1006:$BQ$1006,0)), HYPERLINK("#",""), HYPERLINK(CONCATENATE("#Metadata!", ADDRESS(INDEX($AJ$2:$AJ$1001,MATCH(ROWS($AH$2:AH292),$AH$2:$AH$1001,0),0), INDEX($AO$1004:$BQ$1004,1,MATCH(COLUMNS($AO$1006:BJ1006),$AO$1006:$BQ$1006,0)))),"Fix")))</f>
        <v>#N/A</v>
      </c>
      <c r="X292" s="5" t="e">
        <f ca="1">IF(OR(INDEX($AI$2:$AI$1001,MATCH(ROWS($AH$2:AH292),$AH$2:$AH$1001,0),1)&gt;=100000,INDEX($AO$1005:$BQ$1005,1,MATCH(COLUMNS($AO$1006:BK1006),$AO$1006:$BQ$1006,0))&gt;=100000), " ",IF(INDEX($AO$2:$BQ$1001,MATCH(ROWS($AH$2:AH292),$AH$2:$AH$1001,0),MATCH(COLUMNS($AO$1006:BK1006),$AO$1006:$BQ$1006,0)), HYPERLINK("#",""), HYPERLINK(CONCATENATE("#Metadata!", ADDRESS(INDEX($AJ$2:$AJ$1001,MATCH(ROWS($AH$2:AH292),$AH$2:$AH$1001,0),0), INDEX($AO$1004:$BQ$1004,1,MATCH(COLUMNS($AO$1006:BK1006),$AO$1006:$BQ$1006,0)))),"Fix")))</f>
        <v>#N/A</v>
      </c>
      <c r="Y292" s="5" t="e">
        <f ca="1">IF(OR(INDEX($AI$2:$AI$1001,MATCH(ROWS($AH$2:AH292),$AH$2:$AH$1001,0),1)&gt;=100000,INDEX($AO$1005:$BQ$1005,1,MATCH(COLUMNS($AO$1006:BL1006),$AO$1006:$BQ$1006,0))&gt;=100000), " ",IF(INDEX($AO$2:$BQ$1001,MATCH(ROWS($AH$2:AH292),$AH$2:$AH$1001,0),MATCH(COLUMNS($AO$1006:BL1006),$AO$1006:$BQ$1006,0)), HYPERLINK("#",""), HYPERLINK(CONCATENATE("#Metadata!", ADDRESS(INDEX($AJ$2:$AJ$1001,MATCH(ROWS($AH$2:AH292),$AH$2:$AH$1001,0),0), INDEX($AO$1004:$BQ$1004,1,MATCH(COLUMNS($AO$1006:BL1006),$AO$1006:$BQ$1006,0)))),"Fix")))</f>
        <v>#N/A</v>
      </c>
      <c r="Z292" s="5" t="e">
        <f ca="1">IF(OR(INDEX($AI$2:$AI$1001,MATCH(ROWS($AH$2:AH292),$AH$2:$AH$1001,0),1)&gt;=100000,INDEX($AO$1005:$BQ$1005,1,MATCH(COLUMNS($AO$1006:BM1006),$AO$1006:$BQ$1006,0))&gt;=100000), " ",IF(INDEX($AO$2:$BQ$1001,MATCH(ROWS($AH$2:AH292),$AH$2:$AH$1001,0),MATCH(COLUMNS($AO$1006:BM1006),$AO$1006:$BQ$1006,0)), HYPERLINK("#",""), HYPERLINK(CONCATENATE("#Metadata!", ADDRESS(INDEX($AJ$2:$AJ$1001,MATCH(ROWS($AH$2:AH292),$AH$2:$AH$1001,0),0), INDEX($AO$1004:$BQ$1004,1,MATCH(COLUMNS($AO$1006:BM1006),$AO$1006:$BQ$1006,0)))),"Fix")))</f>
        <v>#N/A</v>
      </c>
      <c r="AA292" s="5" t="e">
        <f ca="1">IF(OR(INDEX($AI$2:$AI$1001,MATCH(ROWS($AH$2:AH292),$AH$2:$AH$1001,0),1)&gt;=100000,INDEX($AO$1005:$BQ$1005,1,MATCH(COLUMNS($AO$1006:BN1006),$AO$1006:$BQ$1006,0))&gt;=100000), " ",IF(INDEX($AO$2:$BQ$1001,MATCH(ROWS($AH$2:AH292),$AH$2:$AH$1001,0),MATCH(COLUMNS($AO$1006:BN1006),$AO$1006:$BQ$1006,0)), HYPERLINK("#",""), HYPERLINK(CONCATENATE("#Metadata!", ADDRESS(INDEX($AJ$2:$AJ$1001,MATCH(ROWS($AH$2:AH292),$AH$2:$AH$1001,0),0), INDEX($AO$1004:$BQ$1004,1,MATCH(COLUMNS($AO$1006:BN1006),$AO$1006:$BQ$1006,0)))),"Fix")))</f>
        <v>#N/A</v>
      </c>
      <c r="AB292" s="5" t="e">
        <f ca="1">IF(OR(INDEX($AI$2:$AI$1001,MATCH(ROWS($AH$2:AH292),$AH$2:$AH$1001,0),1)&gt;=100000,INDEX($AO$1005:$BQ$1005,1,MATCH(COLUMNS($AO$1006:BO1006),$AO$1006:$BQ$1006,0))&gt;=100000), " ",IF(INDEX($AO$2:$BQ$1001,MATCH(ROWS($AH$2:AH292),$AH$2:$AH$1001,0),MATCH(COLUMNS($AO$1006:BO1006),$AO$1006:$BQ$1006,0)), HYPERLINK("#",""), HYPERLINK(CONCATENATE("#Metadata!", ADDRESS(INDEX($AJ$2:$AJ$1001,MATCH(ROWS($AH$2:AH292),$AH$2:$AH$1001,0),0), INDEX($AO$1004:$BQ$1004,1,MATCH(COLUMNS($AO$1006:BO1006),$AO$1006:$BQ$1006,0)))),"Fix")))</f>
        <v>#N/A</v>
      </c>
      <c r="AC292" s="5" t="e">
        <f ca="1">IF(OR(INDEX($AI$2:$AI$1001,MATCH(ROWS($AH$2:AH292),$AH$2:$AH$1001,0),1)&gt;=100000,INDEX($AO$1005:$BQ$1005,1,MATCH(COLUMNS($AO$1006:BP1006),$AO$1006:$BQ$1006,0))&gt;=100000), " ",IF(INDEX($AO$2:$BQ$1001,MATCH(ROWS($AH$2:AH292),$AH$2:$AH$1001,0),MATCH(COLUMNS($AO$1006:BP1006),$AO$1006:$BQ$1006,0)), HYPERLINK("#",""), HYPERLINK(CONCATENATE("#Metadata!", ADDRESS(INDEX($AJ$2:$AJ$1001,MATCH(ROWS($AH$2:AH292),$AH$2:$AH$1001,0),0), INDEX($AO$1004:$BQ$1004,1,MATCH(COLUMNS($AO$1006:BP1006),$AO$1006:$BQ$1006,0)))),"Fix")))</f>
        <v>#N/A</v>
      </c>
      <c r="AD292" s="5" t="e">
        <f ca="1">IF(OR(INDEX($AI$2:$AI$1001,MATCH(ROWS($AH$2:AH292),$AH$2:$AH$1001,0),1)&gt;=100000,INDEX($AO$1005:$BQ$1005,1,MATCH(COLUMNS($AO$1006:BQ1006),$AO$1006:$BQ$1006,0))&gt;=100000), " ",IF(INDEX($AO$2:$BQ$1001,MATCH(ROWS($AH$2:AH292),$AH$2:$AH$1001,0),MATCH(COLUMNS($AO$1006:BQ1006),$AO$1006:$BQ$1006,0)), HYPERLINK("#",""), HYPERLINK(CONCATENATE("#Metadata!", ADDRESS(INDEX($AJ$2:$AJ$1001,MATCH(ROWS($AH$2:AH292),$AH$2:$AH$1001,0),0), INDEX($AO$1004:$BQ$1004,1,MATCH(COLUMNS($AO$1006:BQ1006),$AO$1006:$BQ$1006,0)))),"Fix")))</f>
        <v>#REF!</v>
      </c>
      <c r="AH292">
        <f ca="1"/>
        <v>289</v>
      </c>
      <c r="AI292">
        <v>100292</v>
      </c>
      <c r="AJ292">
        <v>292</v>
      </c>
      <c r="AK292" t="b">
        <f t="shared" si="4"/>
        <v>1</v>
      </c>
      <c r="AL292" t="b">
        <f>COUNTBLANK(Metadata!B292:AD292)=COLUMNS(Metadata!B292:AD292)</f>
        <v>1</v>
      </c>
      <c r="AM292" t="str">
        <v/>
      </c>
      <c r="AO292" t="b">
        <f ca="1">AND(IF(Metadata!B292="",FALSE,TRUE),COUNTIF(Metadata!B:B, Metadata!B292) = 1,NOT(ISERROR(SUMPRODUCT(SEARCH(MID(Metadata!B292,ROW(INDIRECT("1:"&amp;LEN(Metadata!B292))), 1),"0123456789abcdefghijklmnopqrstuvwxyzABCDEFGHIJKLMNOPQRSTUVWXYZ.")))))</f>
        <v>0</v>
      </c>
      <c r="AP292" t="b">
        <f>IF(Metadata!C292="",FALSE,TRUE)</f>
        <v>0</v>
      </c>
      <c r="AQ292" t="b">
        <f>IF(Metadata!D292="",FALSE,TRUE)</f>
        <v>0</v>
      </c>
      <c r="AR292" t="b">
        <f ca="1">OR(AND(IF(Metadata!E292="",FALSE,TRUE),OR(EXACT(Metadata!E292,"not collected"),EXACT(Metadata!E292,"not provided"),EXACT(Metadata!E292,"restricted access"))),AND(IF(Metadata!E292="",FALSE,TRUE),AND(AND(IFERROR(INT(LEFT(Metadata!E292,4))&gt;1900,FALSE),IFERROR(INT(LEFT(Metadata!E292,4))&lt;=YEAR(NOW()),FALSE)), OR(MID(Metadata!E292,5,1)="", AND(AND(MID(Metadata!E292,5,1)="-",IFERROR(INT(MID(Metadata!E292,6,1))&gt;=0,FALSE),IFERROR(INT(MID(Metadata!E292,6,1))&lt;=1,FALSE),NOT(MID(Metadata!E292,7,1)=""),IFERROR(INT(MID(Metadata!E292,6,2))&gt;=1,FALSE),IFERROR(INT(MID(Metadata!E292,6,2))&lt;=12,FALSE)), OR(MID(Metadata!E292,8,1)="", AND(AND(MID(Metadata!E292,8,1)="-",IFERROR(INT(MID(Metadata!E292,9,1))&gt;=0,FALSE),IFERROR(INT(MID(Metadata!E292,9,1))&lt;=3,FALSE),NOT(MID(Metadata!E292,10,1)=""),IFERROR(INT(MID(Metadata!E292,9,2))&gt;=1,FALSE),IFERROR(INT(MID(Metadata!E292,9,2))&lt;=31,FALSE)), OR(MID(Metadata!E292,11,1)="", AND(AND(MID(Metadata!E292,11,1)=" ",IFERROR(INT(MID(Metadata!E292,12,1))&gt;=0,FALSE),IFERROR(INT(MID(Metadata!E292,12,1))&lt;=2,FALSE),NOT(MID(Metadata!E292,13,1)=""),IFERROR(INT(MID(Metadata!E292,12,2))&gt;=0,FALSE),IFERROR(INT(MID(Metadata!E292,12,2))&lt;=23,FALSE)), OR(MID(Metadata!E292,14,1)="", AND(AND(MID(Metadata!E292,14,1)=":",IFERROR(INT(MID(Metadata!E292,15,1))&gt;=0,FALSE),IFERROR(INT(MID(Metadata!E292,15,1))&lt;=5,FALSE),NOT(MID(Metadata!E292,16,1)=""),IFERROR(INT(MID(Metadata!E292,15,2))&gt;=0,FALSE),IFERROR(INT(MID(Metadata!E292,15,2))&lt;=59,FALSE)), OR(MID(Metadata!E292,17,1)="", AND(AND(MID(Metadata!E292,17,1)=":",IFERROR(INT(MID(Metadata!E292,18,1))&gt;=0,FALSE),IFERROR(INT(MID(Metadata!E292,18,1))&lt;=5,FALSE),NOT(MID(Metadata!E292,19,1)=""),IFERROR(INT(MID(Metadata!E292,18,2))&gt;=0,FALSE),IFERROR(INT(MID(Metadata!E292,18,2))&lt;=59,FALSE)), LEN(Metadata!E292)&lt;=19)))))))))))))</f>
        <v>0</v>
      </c>
      <c r="AS292" t="b">
        <f>IF(Metadata!F292="",FALSE,TRUE)</f>
        <v>0</v>
      </c>
      <c r="AT292" t="b">
        <f>OR(AND(IF(Metadata!G292="",FALSE,TRUE),OR(EXACT(Metadata!G292,"not collected"),EXACT(Metadata!G292,"not provided"))),AND(IF(Metadata!G292="",FALSE,TRUE),OR(EXACT(Metadata!G292,"TRUE"),EXACT(Metadata!G292,"FALSE"))))</f>
        <v>0</v>
      </c>
      <c r="AU292" t="b">
        <f>OR(AND(IF(Metadata!H292="",FALSE,TRUE),OR(EXACT(Metadata!H292,"not collected"),EXACT(Metadata!H292,"not provided"),EXACT(Metadata!H292,"restricted access"))),AND(IF(Metadata!H292="",FALSE,ISNUMBER(VALUE(Metadata!H292))),Metadata!H292&gt;=-413))</f>
        <v>0</v>
      </c>
      <c r="AV292" t="b">
        <f>AND(IF(Metadata!I292="",FALSE,TRUE),EXACT(Metadata!I292,"meters"))</f>
        <v>0</v>
      </c>
      <c r="AW292" t="b">
        <f>AND(IF(Metadata!J292="",FALSE,TRUE),EXACT(Metadata!J292,"free-living"))</f>
        <v>0</v>
      </c>
      <c r="AX292" t="b">
        <f>AND(IF(Metadata!K292="",FALSE,TRUE),OR(EXACT(Metadata!K292,"saline"),EXACT(Metadata!K292,"non-saline")))</f>
        <v>0</v>
      </c>
      <c r="AY292" t="b">
        <f>AND(IF(Metadata!L292="",FALSE,TRUE),OR(EXACT(Metadata!L292,"sub-surface (non-saline)"),EXACT(Metadata!L292,"surface (non-saline)"),EXACT(Metadata!L292,"water (non-saline)"),EXACT(Metadata!L292,"soil (non-saline)"),EXACT(Metadata!L292,"aerosol (non-saline)"),EXACT(Metadata!L292,"sediment (non-saline)"),EXACT(Metadata!L292,"surface (saline)"),EXACT(Metadata!L292,"water (saline)"),EXACT(Metadata!L292,"hypersaline (saline)"),EXACT(Metadata!L292,"aerosol (saline)"),EXACT(Metadata!L292,"sediment (saline)")))</f>
        <v>0</v>
      </c>
      <c r="AZ292" t="b">
        <f>IF(Metadata!M292="",FALSE,TRUE)</f>
        <v>0</v>
      </c>
      <c r="BA292" t="b">
        <f>IF(Metadata!N292="",FALSE,TRUE)</f>
        <v>0</v>
      </c>
      <c r="BB292" t="b">
        <f>IF(Metadata!O292="",FALSE,TRUE)</f>
        <v>0</v>
      </c>
      <c r="BC292" t="b">
        <f>AND(IF(Metadata!P292="",FALSE,TRUE),OR(EXACT(Metadata!P292,"air"),EXACT(Metadata!P292,"microbial mat/biofilm"),EXACT(Metadata!P292,"misc environment"),EXACT(Metadata!P292,"sediment"),EXACT(Metadata!P292,"soil"),EXACT(Metadata!P292,"wastewater/sludge"),EXACT(Metadata!P292,"water")))</f>
        <v>0</v>
      </c>
      <c r="BD292" t="b">
        <f>IF(Metadata!Q292="",FALSE,TRUE)</f>
        <v>0</v>
      </c>
      <c r="BE292" t="b">
        <f>IF(Metadata!R292="",FALSE,TRUE)</f>
        <v>0</v>
      </c>
      <c r="BF292" t="b">
        <f>OR(AND(IF(Metadata!S292="",FALSE,TRUE),OR(EXACT(Metadata!S292,"not collected"),EXACT(Metadata!S292,"not provided"),EXACT(Metadata!S292,"restricted access"))),AND(IF(Metadata!S292="",FALSE,ISNUMBER(VALUE(Metadata!S292))),Metadata!S292&gt;=-90,Metadata!S292&lt;=90))</f>
        <v>0</v>
      </c>
      <c r="BG292" t="b">
        <f>AND(IF(Metadata!T292="",FALSE,TRUE),EXACT(Metadata!T292,"Decimal degrees"))</f>
        <v>0</v>
      </c>
      <c r="BH292" t="b">
        <f>OR(AND(IF(Metadata!U292="",FALSE,TRUE),OR(EXACT(Metadata!U292,"not applicable"),EXACT(Metadata!U292,"not collected"))),IF(Metadata!U292="",FALSE,TRUE))</f>
        <v>0</v>
      </c>
      <c r="BI292" t="b">
        <f>OR(AND(IF(Metadata!V292="",FALSE,TRUE),OR(EXACT(Metadata!V292,"not collected"),EXACT(Metadata!V292,"not provided"),EXACT(Metadata!V292,"restricted access"))),AND(IF(Metadata!V292="",FALSE,ISNUMBER(VALUE(Metadata!V292))),Metadata!V292&gt;=-180,Metadata!V292&lt;=180))</f>
        <v>0</v>
      </c>
      <c r="BJ292" t="b">
        <f>AND(IF(Metadata!W292="",FALSE,TRUE),EXACT(Metadata!W292,"Decimal degrees"))</f>
        <v>0</v>
      </c>
      <c r="BK292" t="b">
        <f>IF(Metadata!X292="",FALSE,TRUE)</f>
        <v>0</v>
      </c>
      <c r="BL292" t="b">
        <f>OR(AND(IF(Metadata!Y292="",FALSE,TRUE),OR(EXACT(Metadata!Y292,"not collected"),EXACT(Metadata!Y292,"not provided"),EXACT(Metadata!Y292,"restricted access"))),AND(IF(Metadata!Y292="",FALSE,TRUE),OR(EXACT(Metadata!Y292,"TRUE"),EXACT(Metadata!Y292,"FALSE"))))</f>
        <v>0</v>
      </c>
      <c r="BM292" t="b">
        <f>OR(AND(IF(Metadata!Z292="",FALSE,TRUE),EXACT(Metadata!Z292,"not applicable")),AND(IF(Metadata!Z292="",FALSE,TRUE),OR(EXACT(Metadata!Z292,"beer"),EXACT(Metadata!Z292,"cheese"),EXACT(Metadata!Z292,"fresh water"),EXACT(Metadata!Z292,"marine sediment"),EXACT(Metadata!Z292,"sea water"),EXACT(Metadata!Z292,"sediment"),EXACT(Metadata!Z292,"soil"),EXACT(Metadata!Z292,"waste water"))))</f>
        <v>0</v>
      </c>
      <c r="BN292" t="b">
        <f>AND(IF(Metadata!AA292="",FALSE,TRUE),EXACT(Metadata!AA292,"metagenome"))</f>
        <v>0</v>
      </c>
      <c r="BO292" t="b">
        <f>AND(IF(Metadata!AB292="",FALSE,TRUE),EXACT(Metadata!AB292,"256318"))</f>
        <v>0</v>
      </c>
      <c r="BP292" t="b">
        <f>IF(Metadata!AC292="",FALSE,TRUE)</f>
        <v>0</v>
      </c>
      <c r="BQ292" t="b">
        <f>IF(Metadata!AD292="",FALSE,TRUE)</f>
        <v>0</v>
      </c>
    </row>
    <row r="293" spans="1:69" x14ac:dyDescent="0.2">
      <c r="A293" s="4" t="e">
        <f ca="1">IF(B293=" "," ",HYPERLINK(CONCATENATE("#metadata!",ADDRESS(INDEX($AJ$2:$AJ$1001,MATCH(ROWS($AH$2:AH293),$AH$2:$AH$1001,0),0),2)),INDEX($AM$2:$AM$1001,MATCH(ROWS($AH$2:AH293),$AH$2:$AH$1001,0),0)))</f>
        <v>#N/A</v>
      </c>
      <c r="B293" s="5" t="e">
        <f ca="1">IF(OR(INDEX($AI$2:$AI$1001,MATCH(ROWS($AH$2:AH293),$AH$2:$AH$1001,0),1)&gt;=100000,INDEX($AO$1005:$BQ$1005,1,MATCH(COLUMNS($AO$1006:AO1006),$AO$1006:$BQ$1006,0))&gt;=100000), " ",IF(INDEX($AO$2:$BQ$1001,MATCH(ROWS($AH$2:AH293),$AH$2:$AH$1001,0),MATCH(COLUMNS($AO$1006:AO1006),$AO$1006:$BQ$1006,0)), HYPERLINK("#",""), HYPERLINK(CONCATENATE("#Metadata!", ADDRESS(INDEX($AJ$2:$AJ$1001,MATCH(ROWS($AH$2:AH293),$AH$2:$AH$1001,0),0), INDEX($AO$1004:$BQ$1004,1,MATCH(COLUMNS($AO$1006:AO1006),$AO$1006:$BQ$1006,0)))),"Fix")))</f>
        <v>#N/A</v>
      </c>
      <c r="C293" s="5" t="e">
        <f ca="1">IF(OR(INDEX($AI$2:$AI$1001,MATCH(ROWS($AH$2:AH293),$AH$2:$AH$1001,0),1)&gt;=100000,INDEX($AO$1005:$BQ$1005,1,MATCH(COLUMNS($AO$1006:AP1006),$AO$1006:$BQ$1006,0))&gt;=100000), " ",IF(INDEX($AO$2:$BQ$1001,MATCH(ROWS($AH$2:AH293),$AH$2:$AH$1001,0),MATCH(COLUMNS($AO$1006:AP1006),$AO$1006:$BQ$1006,0)), HYPERLINK("#",""), HYPERLINK(CONCATENATE("#Metadata!", ADDRESS(INDEX($AJ$2:$AJ$1001,MATCH(ROWS($AH$2:AH293),$AH$2:$AH$1001,0),0), INDEX($AO$1004:$BQ$1004,1,MATCH(COLUMNS($AO$1006:AP1006),$AO$1006:$BQ$1006,0)))),"Fix")))</f>
        <v>#N/A</v>
      </c>
      <c r="D293" s="5" t="e">
        <f ca="1">IF(OR(INDEX($AI$2:$AI$1001,MATCH(ROWS($AH$2:AH293),$AH$2:$AH$1001,0),1)&gt;=100000,INDEX($AO$1005:$BQ$1005,1,MATCH(COLUMNS($AO$1006:AQ1006),$AO$1006:$BQ$1006,0))&gt;=100000), " ",IF(INDEX($AO$2:$BQ$1001,MATCH(ROWS($AH$2:AH293),$AH$2:$AH$1001,0),MATCH(COLUMNS($AO$1006:AQ1006),$AO$1006:$BQ$1006,0)), HYPERLINK("#",""), HYPERLINK(CONCATENATE("#Metadata!", ADDRESS(INDEX($AJ$2:$AJ$1001,MATCH(ROWS($AH$2:AH293),$AH$2:$AH$1001,0),0), INDEX($AO$1004:$BQ$1004,1,MATCH(COLUMNS($AO$1006:AQ1006),$AO$1006:$BQ$1006,0)))),"Fix")))</f>
        <v>#N/A</v>
      </c>
      <c r="E293" s="5" t="e">
        <f ca="1">IF(OR(INDEX($AI$2:$AI$1001,MATCH(ROWS($AH$2:AH293),$AH$2:$AH$1001,0),1)&gt;=100000,INDEX($AO$1005:$BQ$1005,1,MATCH(COLUMNS($AO$1006:AR1006),$AO$1006:$BQ$1006,0))&gt;=100000), " ",IF(INDEX($AO$2:$BQ$1001,MATCH(ROWS($AH$2:AH293),$AH$2:$AH$1001,0),MATCH(COLUMNS($AO$1006:AR1006),$AO$1006:$BQ$1006,0)), HYPERLINK("#",""), HYPERLINK(CONCATENATE("#Metadata!", ADDRESS(INDEX($AJ$2:$AJ$1001,MATCH(ROWS($AH$2:AH293),$AH$2:$AH$1001,0),0), INDEX($AO$1004:$BQ$1004,1,MATCH(COLUMNS($AO$1006:AR1006),$AO$1006:$BQ$1006,0)))),"Fix")))</f>
        <v>#N/A</v>
      </c>
      <c r="F293" s="5" t="e">
        <f ca="1">IF(OR(INDEX($AI$2:$AI$1001,MATCH(ROWS($AH$2:AH293),$AH$2:$AH$1001,0),1)&gt;=100000,INDEX($AO$1005:$BQ$1005,1,MATCH(COLUMNS($AO$1006:AS1006),$AO$1006:$BQ$1006,0))&gt;=100000), " ",IF(INDEX($AO$2:$BQ$1001,MATCH(ROWS($AH$2:AH293),$AH$2:$AH$1001,0),MATCH(COLUMNS($AO$1006:AS1006),$AO$1006:$BQ$1006,0)), HYPERLINK("#",""), HYPERLINK(CONCATENATE("#Metadata!", ADDRESS(INDEX($AJ$2:$AJ$1001,MATCH(ROWS($AH$2:AH293),$AH$2:$AH$1001,0),0), INDEX($AO$1004:$BQ$1004,1,MATCH(COLUMNS($AO$1006:AS1006),$AO$1006:$BQ$1006,0)))),"Fix")))</f>
        <v>#N/A</v>
      </c>
      <c r="G293" s="5" t="e">
        <f ca="1">IF(OR(INDEX($AI$2:$AI$1001,MATCH(ROWS($AH$2:AH293),$AH$2:$AH$1001,0),1)&gt;=100000,INDEX($AO$1005:$BQ$1005,1,MATCH(COLUMNS($AO$1006:AT1006),$AO$1006:$BQ$1006,0))&gt;=100000), " ",IF(INDEX($AO$2:$BQ$1001,MATCH(ROWS($AH$2:AH293),$AH$2:$AH$1001,0),MATCH(COLUMNS($AO$1006:AT1006),$AO$1006:$BQ$1006,0)), HYPERLINK("#",""), HYPERLINK(CONCATENATE("#Metadata!", ADDRESS(INDEX($AJ$2:$AJ$1001,MATCH(ROWS($AH$2:AH293),$AH$2:$AH$1001,0),0), INDEX($AO$1004:$BQ$1004,1,MATCH(COLUMNS($AO$1006:AT1006),$AO$1006:$BQ$1006,0)))),"Fix")))</f>
        <v>#N/A</v>
      </c>
      <c r="H293" s="5" t="e">
        <f ca="1">IF(OR(INDEX($AI$2:$AI$1001,MATCH(ROWS($AH$2:AH293),$AH$2:$AH$1001,0),1)&gt;=100000,INDEX($AO$1005:$BQ$1005,1,MATCH(COLUMNS($AO$1006:AU1006),$AO$1006:$BQ$1006,0))&gt;=100000), " ",IF(INDEX($AO$2:$BQ$1001,MATCH(ROWS($AH$2:AH293),$AH$2:$AH$1001,0),MATCH(COLUMNS($AO$1006:AU1006),$AO$1006:$BQ$1006,0)), HYPERLINK("#",""), HYPERLINK(CONCATENATE("#Metadata!", ADDRESS(INDEX($AJ$2:$AJ$1001,MATCH(ROWS($AH$2:AH293),$AH$2:$AH$1001,0),0), INDEX($AO$1004:$BQ$1004,1,MATCH(COLUMNS($AO$1006:AU1006),$AO$1006:$BQ$1006,0)))),"Fix")))</f>
        <v>#N/A</v>
      </c>
      <c r="I293" s="5" t="e">
        <f ca="1">IF(OR(INDEX($AI$2:$AI$1001,MATCH(ROWS($AH$2:AH293),$AH$2:$AH$1001,0),1)&gt;=100000,INDEX($AO$1005:$BQ$1005,1,MATCH(COLUMNS($AO$1006:AV1006),$AO$1006:$BQ$1006,0))&gt;=100000), " ",IF(INDEX($AO$2:$BQ$1001,MATCH(ROWS($AH$2:AH293),$AH$2:$AH$1001,0),MATCH(COLUMNS($AO$1006:AV1006),$AO$1006:$BQ$1006,0)), HYPERLINK("#",""), HYPERLINK(CONCATENATE("#Metadata!", ADDRESS(INDEX($AJ$2:$AJ$1001,MATCH(ROWS($AH$2:AH293),$AH$2:$AH$1001,0),0), INDEX($AO$1004:$BQ$1004,1,MATCH(COLUMNS($AO$1006:AV1006),$AO$1006:$BQ$1006,0)))),"Fix")))</f>
        <v>#N/A</v>
      </c>
      <c r="J293" s="5" t="e">
        <f ca="1">IF(OR(INDEX($AI$2:$AI$1001,MATCH(ROWS($AH$2:AH293),$AH$2:$AH$1001,0),1)&gt;=100000,INDEX($AO$1005:$BQ$1005,1,MATCH(COLUMNS($AO$1006:AW1006),$AO$1006:$BQ$1006,0))&gt;=100000), " ",IF(INDEX($AO$2:$BQ$1001,MATCH(ROWS($AH$2:AH293),$AH$2:$AH$1001,0),MATCH(COLUMNS($AO$1006:AW1006),$AO$1006:$BQ$1006,0)), HYPERLINK("#",""), HYPERLINK(CONCATENATE("#Metadata!", ADDRESS(INDEX($AJ$2:$AJ$1001,MATCH(ROWS($AH$2:AH293),$AH$2:$AH$1001,0),0), INDEX($AO$1004:$BQ$1004,1,MATCH(COLUMNS($AO$1006:AW1006),$AO$1006:$BQ$1006,0)))),"Fix")))</f>
        <v>#N/A</v>
      </c>
      <c r="K293" s="5" t="e">
        <f ca="1">IF(OR(INDEX($AI$2:$AI$1001,MATCH(ROWS($AH$2:AH293),$AH$2:$AH$1001,0),1)&gt;=100000,INDEX($AO$1005:$BQ$1005,1,MATCH(COLUMNS($AO$1006:AX1006),$AO$1006:$BQ$1006,0))&gt;=100000), " ",IF(INDEX($AO$2:$BQ$1001,MATCH(ROWS($AH$2:AH293),$AH$2:$AH$1001,0),MATCH(COLUMNS($AO$1006:AX1006),$AO$1006:$BQ$1006,0)), HYPERLINK("#",""), HYPERLINK(CONCATENATE("#Metadata!", ADDRESS(INDEX($AJ$2:$AJ$1001,MATCH(ROWS($AH$2:AH293),$AH$2:$AH$1001,0),0), INDEX($AO$1004:$BQ$1004,1,MATCH(COLUMNS($AO$1006:AX1006),$AO$1006:$BQ$1006,0)))),"Fix")))</f>
        <v>#N/A</v>
      </c>
      <c r="L293" s="5" t="e">
        <f ca="1">IF(OR(INDEX($AI$2:$AI$1001,MATCH(ROWS($AH$2:AH293),$AH$2:$AH$1001,0),1)&gt;=100000,INDEX($AO$1005:$BQ$1005,1,MATCH(COLUMNS($AO$1006:AY1006),$AO$1006:$BQ$1006,0))&gt;=100000), " ",IF(INDEX($AO$2:$BQ$1001,MATCH(ROWS($AH$2:AH293),$AH$2:$AH$1001,0),MATCH(COLUMNS($AO$1006:AY1006),$AO$1006:$BQ$1006,0)), HYPERLINK("#",""), HYPERLINK(CONCATENATE("#Metadata!", ADDRESS(INDEX($AJ$2:$AJ$1001,MATCH(ROWS($AH$2:AH293),$AH$2:$AH$1001,0),0), INDEX($AO$1004:$BQ$1004,1,MATCH(COLUMNS($AO$1006:AY1006),$AO$1006:$BQ$1006,0)))),"Fix")))</f>
        <v>#N/A</v>
      </c>
      <c r="M293" s="5" t="e">
        <f ca="1">IF(OR(INDEX($AI$2:$AI$1001,MATCH(ROWS($AH$2:AH293),$AH$2:$AH$1001,0),1)&gt;=100000,INDEX($AO$1005:$BQ$1005,1,MATCH(COLUMNS($AO$1006:AZ1006),$AO$1006:$BQ$1006,0))&gt;=100000), " ",IF(INDEX($AO$2:$BQ$1001,MATCH(ROWS($AH$2:AH293),$AH$2:$AH$1001,0),MATCH(COLUMNS($AO$1006:AZ1006),$AO$1006:$BQ$1006,0)), HYPERLINK("#",""), HYPERLINK(CONCATENATE("#Metadata!", ADDRESS(INDEX($AJ$2:$AJ$1001,MATCH(ROWS($AH$2:AH293),$AH$2:$AH$1001,0),0), INDEX($AO$1004:$BQ$1004,1,MATCH(COLUMNS($AO$1006:AZ1006),$AO$1006:$BQ$1006,0)))),"Fix")))</f>
        <v>#N/A</v>
      </c>
      <c r="N293" s="5" t="e">
        <f ca="1">IF(OR(INDEX($AI$2:$AI$1001,MATCH(ROWS($AH$2:AH293),$AH$2:$AH$1001,0),1)&gt;=100000,INDEX($AO$1005:$BQ$1005,1,MATCH(COLUMNS($AO$1006:BA1006),$AO$1006:$BQ$1006,0))&gt;=100000), " ",IF(INDEX($AO$2:$BQ$1001,MATCH(ROWS($AH$2:AH293),$AH$2:$AH$1001,0),MATCH(COLUMNS($AO$1006:BA1006),$AO$1006:$BQ$1006,0)), HYPERLINK("#",""), HYPERLINK(CONCATENATE("#Metadata!", ADDRESS(INDEX($AJ$2:$AJ$1001,MATCH(ROWS($AH$2:AH293),$AH$2:$AH$1001,0),0), INDEX($AO$1004:$BQ$1004,1,MATCH(COLUMNS($AO$1006:BA1006),$AO$1006:$BQ$1006,0)))),"Fix")))</f>
        <v>#N/A</v>
      </c>
      <c r="O293" s="5" t="e">
        <f ca="1">IF(OR(INDEX($AI$2:$AI$1001,MATCH(ROWS($AH$2:AH293),$AH$2:$AH$1001,0),1)&gt;=100000,INDEX($AO$1005:$BQ$1005,1,MATCH(COLUMNS($AO$1006:BB1006),$AO$1006:$BQ$1006,0))&gt;=100000), " ",IF(INDEX($AO$2:$BQ$1001,MATCH(ROWS($AH$2:AH293),$AH$2:$AH$1001,0),MATCH(COLUMNS($AO$1006:BB1006),$AO$1006:$BQ$1006,0)), HYPERLINK("#",""), HYPERLINK(CONCATENATE("#Metadata!", ADDRESS(INDEX($AJ$2:$AJ$1001,MATCH(ROWS($AH$2:AH293),$AH$2:$AH$1001,0),0), INDEX($AO$1004:$BQ$1004,1,MATCH(COLUMNS($AO$1006:BB1006),$AO$1006:$BQ$1006,0)))),"Fix")))</f>
        <v>#N/A</v>
      </c>
      <c r="P293" s="5" t="e">
        <f ca="1">IF(OR(INDEX($AI$2:$AI$1001,MATCH(ROWS($AH$2:AH293),$AH$2:$AH$1001,0),1)&gt;=100000,INDEX($AO$1005:$BQ$1005,1,MATCH(COLUMNS($AO$1006:BC1006),$AO$1006:$BQ$1006,0))&gt;=100000), " ",IF(INDEX($AO$2:$BQ$1001,MATCH(ROWS($AH$2:AH293),$AH$2:$AH$1001,0),MATCH(COLUMNS($AO$1006:BC1006),$AO$1006:$BQ$1006,0)), HYPERLINK("#",""), HYPERLINK(CONCATENATE("#Metadata!", ADDRESS(INDEX($AJ$2:$AJ$1001,MATCH(ROWS($AH$2:AH293),$AH$2:$AH$1001,0),0), INDEX($AO$1004:$BQ$1004,1,MATCH(COLUMNS($AO$1006:BC1006),$AO$1006:$BQ$1006,0)))),"Fix")))</f>
        <v>#N/A</v>
      </c>
      <c r="Q293" s="5" t="e">
        <f ca="1">IF(OR(INDEX($AI$2:$AI$1001,MATCH(ROWS($AH$2:AH293),$AH$2:$AH$1001,0),1)&gt;=100000,INDEX($AO$1005:$BQ$1005,1,MATCH(COLUMNS($AO$1006:BD1006),$AO$1006:$BQ$1006,0))&gt;=100000), " ",IF(INDEX($AO$2:$BQ$1001,MATCH(ROWS($AH$2:AH293),$AH$2:$AH$1001,0),MATCH(COLUMNS($AO$1006:BD1006),$AO$1006:$BQ$1006,0)), HYPERLINK("#",""), HYPERLINK(CONCATENATE("#Metadata!", ADDRESS(INDEX($AJ$2:$AJ$1001,MATCH(ROWS($AH$2:AH293),$AH$2:$AH$1001,0),0), INDEX($AO$1004:$BQ$1004,1,MATCH(COLUMNS($AO$1006:BD1006),$AO$1006:$BQ$1006,0)))),"Fix")))</f>
        <v>#N/A</v>
      </c>
      <c r="R293" s="5" t="e">
        <f ca="1">IF(OR(INDEX($AI$2:$AI$1001,MATCH(ROWS($AH$2:AH293),$AH$2:$AH$1001,0),1)&gt;=100000,INDEX($AO$1005:$BQ$1005,1,MATCH(COLUMNS($AO$1006:BE1006),$AO$1006:$BQ$1006,0))&gt;=100000), " ",IF(INDEX($AO$2:$BQ$1001,MATCH(ROWS($AH$2:AH293),$AH$2:$AH$1001,0),MATCH(COLUMNS($AO$1006:BE1006),$AO$1006:$BQ$1006,0)), HYPERLINK("#",""), HYPERLINK(CONCATENATE("#Metadata!", ADDRESS(INDEX($AJ$2:$AJ$1001,MATCH(ROWS($AH$2:AH293),$AH$2:$AH$1001,0),0), INDEX($AO$1004:$BQ$1004,1,MATCH(COLUMNS($AO$1006:BE1006),$AO$1006:$BQ$1006,0)))),"Fix")))</f>
        <v>#N/A</v>
      </c>
      <c r="S293" s="5" t="e">
        <f ca="1">IF(OR(INDEX($AI$2:$AI$1001,MATCH(ROWS($AH$2:AH293),$AH$2:$AH$1001,0),1)&gt;=100000,INDEX($AO$1005:$BQ$1005,1,MATCH(COLUMNS($AO$1006:BF1006),$AO$1006:$BQ$1006,0))&gt;=100000), " ",IF(INDEX($AO$2:$BQ$1001,MATCH(ROWS($AH$2:AH293),$AH$2:$AH$1001,0),MATCH(COLUMNS($AO$1006:BF1006),$AO$1006:$BQ$1006,0)), HYPERLINK("#",""), HYPERLINK(CONCATENATE("#Metadata!", ADDRESS(INDEX($AJ$2:$AJ$1001,MATCH(ROWS($AH$2:AH293),$AH$2:$AH$1001,0),0), INDEX($AO$1004:$BQ$1004,1,MATCH(COLUMNS($AO$1006:BF1006),$AO$1006:$BQ$1006,0)))),"Fix")))</f>
        <v>#N/A</v>
      </c>
      <c r="T293" s="5" t="e">
        <f ca="1">IF(OR(INDEX($AI$2:$AI$1001,MATCH(ROWS($AH$2:AH293),$AH$2:$AH$1001,0),1)&gt;=100000,INDEX($AO$1005:$BQ$1005,1,MATCH(COLUMNS($AO$1006:BG1006),$AO$1006:$BQ$1006,0))&gt;=100000), " ",IF(INDEX($AO$2:$BQ$1001,MATCH(ROWS($AH$2:AH293),$AH$2:$AH$1001,0),MATCH(COLUMNS($AO$1006:BG1006),$AO$1006:$BQ$1006,0)), HYPERLINK("#",""), HYPERLINK(CONCATENATE("#Metadata!", ADDRESS(INDEX($AJ$2:$AJ$1001,MATCH(ROWS($AH$2:AH293),$AH$2:$AH$1001,0),0), INDEX($AO$1004:$BQ$1004,1,MATCH(COLUMNS($AO$1006:BG1006),$AO$1006:$BQ$1006,0)))),"Fix")))</f>
        <v>#N/A</v>
      </c>
      <c r="U293" s="5" t="e">
        <f ca="1">IF(OR(INDEX($AI$2:$AI$1001,MATCH(ROWS($AH$2:AH293),$AH$2:$AH$1001,0),1)&gt;=100000,INDEX($AO$1005:$BQ$1005,1,MATCH(COLUMNS($AO$1006:BH1006),$AO$1006:$BQ$1006,0))&gt;=100000), " ",IF(INDEX($AO$2:$BQ$1001,MATCH(ROWS($AH$2:AH293),$AH$2:$AH$1001,0),MATCH(COLUMNS($AO$1006:BH1006),$AO$1006:$BQ$1006,0)), HYPERLINK("#",""), HYPERLINK(CONCATENATE("#Metadata!", ADDRESS(INDEX($AJ$2:$AJ$1001,MATCH(ROWS($AH$2:AH293),$AH$2:$AH$1001,0),0), INDEX($AO$1004:$BQ$1004,1,MATCH(COLUMNS($AO$1006:BH1006),$AO$1006:$BQ$1006,0)))),"Fix")))</f>
        <v>#N/A</v>
      </c>
      <c r="V293" s="5" t="e">
        <f ca="1">IF(OR(INDEX($AI$2:$AI$1001,MATCH(ROWS($AH$2:AH293),$AH$2:$AH$1001,0),1)&gt;=100000,INDEX($AO$1005:$BQ$1005,1,MATCH(COLUMNS($AO$1006:BI1006),$AO$1006:$BQ$1006,0))&gt;=100000), " ",IF(INDEX($AO$2:$BQ$1001,MATCH(ROWS($AH$2:AH293),$AH$2:$AH$1001,0),MATCH(COLUMNS($AO$1006:BI1006),$AO$1006:$BQ$1006,0)), HYPERLINK("#",""), HYPERLINK(CONCATENATE("#Metadata!", ADDRESS(INDEX($AJ$2:$AJ$1001,MATCH(ROWS($AH$2:AH293),$AH$2:$AH$1001,0),0), INDEX($AO$1004:$BQ$1004,1,MATCH(COLUMNS($AO$1006:BI1006),$AO$1006:$BQ$1006,0)))),"Fix")))</f>
        <v>#N/A</v>
      </c>
      <c r="W293" s="5" t="e">
        <f ca="1">IF(OR(INDEX($AI$2:$AI$1001,MATCH(ROWS($AH$2:AH293),$AH$2:$AH$1001,0),1)&gt;=100000,INDEX($AO$1005:$BQ$1005,1,MATCH(COLUMNS($AO$1006:BJ1006),$AO$1006:$BQ$1006,0))&gt;=100000), " ",IF(INDEX($AO$2:$BQ$1001,MATCH(ROWS($AH$2:AH293),$AH$2:$AH$1001,0),MATCH(COLUMNS($AO$1006:BJ1006),$AO$1006:$BQ$1006,0)), HYPERLINK("#",""), HYPERLINK(CONCATENATE("#Metadata!", ADDRESS(INDEX($AJ$2:$AJ$1001,MATCH(ROWS($AH$2:AH293),$AH$2:$AH$1001,0),0), INDEX($AO$1004:$BQ$1004,1,MATCH(COLUMNS($AO$1006:BJ1006),$AO$1006:$BQ$1006,0)))),"Fix")))</f>
        <v>#N/A</v>
      </c>
      <c r="X293" s="5" t="e">
        <f ca="1">IF(OR(INDEX($AI$2:$AI$1001,MATCH(ROWS($AH$2:AH293),$AH$2:$AH$1001,0),1)&gt;=100000,INDEX($AO$1005:$BQ$1005,1,MATCH(COLUMNS($AO$1006:BK1006),$AO$1006:$BQ$1006,0))&gt;=100000), " ",IF(INDEX($AO$2:$BQ$1001,MATCH(ROWS($AH$2:AH293),$AH$2:$AH$1001,0),MATCH(COLUMNS($AO$1006:BK1006),$AO$1006:$BQ$1006,0)), HYPERLINK("#",""), HYPERLINK(CONCATENATE("#Metadata!", ADDRESS(INDEX($AJ$2:$AJ$1001,MATCH(ROWS($AH$2:AH293),$AH$2:$AH$1001,0),0), INDEX($AO$1004:$BQ$1004,1,MATCH(COLUMNS($AO$1006:BK1006),$AO$1006:$BQ$1006,0)))),"Fix")))</f>
        <v>#N/A</v>
      </c>
      <c r="Y293" s="5" t="e">
        <f ca="1">IF(OR(INDEX($AI$2:$AI$1001,MATCH(ROWS($AH$2:AH293),$AH$2:$AH$1001,0),1)&gt;=100000,INDEX($AO$1005:$BQ$1005,1,MATCH(COLUMNS($AO$1006:BL1006),$AO$1006:$BQ$1006,0))&gt;=100000), " ",IF(INDEX($AO$2:$BQ$1001,MATCH(ROWS($AH$2:AH293),$AH$2:$AH$1001,0),MATCH(COLUMNS($AO$1006:BL1006),$AO$1006:$BQ$1006,0)), HYPERLINK("#",""), HYPERLINK(CONCATENATE("#Metadata!", ADDRESS(INDEX($AJ$2:$AJ$1001,MATCH(ROWS($AH$2:AH293),$AH$2:$AH$1001,0),0), INDEX($AO$1004:$BQ$1004,1,MATCH(COLUMNS($AO$1006:BL1006),$AO$1006:$BQ$1006,0)))),"Fix")))</f>
        <v>#N/A</v>
      </c>
      <c r="Z293" s="5" t="e">
        <f ca="1">IF(OR(INDEX($AI$2:$AI$1001,MATCH(ROWS($AH$2:AH293),$AH$2:$AH$1001,0),1)&gt;=100000,INDEX($AO$1005:$BQ$1005,1,MATCH(COLUMNS($AO$1006:BM1006),$AO$1006:$BQ$1006,0))&gt;=100000), " ",IF(INDEX($AO$2:$BQ$1001,MATCH(ROWS($AH$2:AH293),$AH$2:$AH$1001,0),MATCH(COLUMNS($AO$1006:BM1006),$AO$1006:$BQ$1006,0)), HYPERLINK("#",""), HYPERLINK(CONCATENATE("#Metadata!", ADDRESS(INDEX($AJ$2:$AJ$1001,MATCH(ROWS($AH$2:AH293),$AH$2:$AH$1001,0),0), INDEX($AO$1004:$BQ$1004,1,MATCH(COLUMNS($AO$1006:BM1006),$AO$1006:$BQ$1006,0)))),"Fix")))</f>
        <v>#N/A</v>
      </c>
      <c r="AA293" s="5" t="e">
        <f ca="1">IF(OR(INDEX($AI$2:$AI$1001,MATCH(ROWS($AH$2:AH293),$AH$2:$AH$1001,0),1)&gt;=100000,INDEX($AO$1005:$BQ$1005,1,MATCH(COLUMNS($AO$1006:BN1006),$AO$1006:$BQ$1006,0))&gt;=100000), " ",IF(INDEX($AO$2:$BQ$1001,MATCH(ROWS($AH$2:AH293),$AH$2:$AH$1001,0),MATCH(COLUMNS($AO$1006:BN1006),$AO$1006:$BQ$1006,0)), HYPERLINK("#",""), HYPERLINK(CONCATENATE("#Metadata!", ADDRESS(INDEX($AJ$2:$AJ$1001,MATCH(ROWS($AH$2:AH293),$AH$2:$AH$1001,0),0), INDEX($AO$1004:$BQ$1004,1,MATCH(COLUMNS($AO$1006:BN1006),$AO$1006:$BQ$1006,0)))),"Fix")))</f>
        <v>#N/A</v>
      </c>
      <c r="AB293" s="5" t="e">
        <f ca="1">IF(OR(INDEX($AI$2:$AI$1001,MATCH(ROWS($AH$2:AH293),$AH$2:$AH$1001,0),1)&gt;=100000,INDEX($AO$1005:$BQ$1005,1,MATCH(COLUMNS($AO$1006:BO1006),$AO$1006:$BQ$1006,0))&gt;=100000), " ",IF(INDEX($AO$2:$BQ$1001,MATCH(ROWS($AH$2:AH293),$AH$2:$AH$1001,0),MATCH(COLUMNS($AO$1006:BO1006),$AO$1006:$BQ$1006,0)), HYPERLINK("#",""), HYPERLINK(CONCATENATE("#Metadata!", ADDRESS(INDEX($AJ$2:$AJ$1001,MATCH(ROWS($AH$2:AH293),$AH$2:$AH$1001,0),0), INDEX($AO$1004:$BQ$1004,1,MATCH(COLUMNS($AO$1006:BO1006),$AO$1006:$BQ$1006,0)))),"Fix")))</f>
        <v>#N/A</v>
      </c>
      <c r="AC293" s="5" t="e">
        <f ca="1">IF(OR(INDEX($AI$2:$AI$1001,MATCH(ROWS($AH$2:AH293),$AH$2:$AH$1001,0),1)&gt;=100000,INDEX($AO$1005:$BQ$1005,1,MATCH(COLUMNS($AO$1006:BP1006),$AO$1006:$BQ$1006,0))&gt;=100000), " ",IF(INDEX($AO$2:$BQ$1001,MATCH(ROWS($AH$2:AH293),$AH$2:$AH$1001,0),MATCH(COLUMNS($AO$1006:BP1006),$AO$1006:$BQ$1006,0)), HYPERLINK("#",""), HYPERLINK(CONCATENATE("#Metadata!", ADDRESS(INDEX($AJ$2:$AJ$1001,MATCH(ROWS($AH$2:AH293),$AH$2:$AH$1001,0),0), INDEX($AO$1004:$BQ$1004,1,MATCH(COLUMNS($AO$1006:BP1006),$AO$1006:$BQ$1006,0)))),"Fix")))</f>
        <v>#N/A</v>
      </c>
      <c r="AD293" s="5" t="e">
        <f ca="1">IF(OR(INDEX($AI$2:$AI$1001,MATCH(ROWS($AH$2:AH293),$AH$2:$AH$1001,0),1)&gt;=100000,INDEX($AO$1005:$BQ$1005,1,MATCH(COLUMNS($AO$1006:BQ1006),$AO$1006:$BQ$1006,0))&gt;=100000), " ",IF(INDEX($AO$2:$BQ$1001,MATCH(ROWS($AH$2:AH293),$AH$2:$AH$1001,0),MATCH(COLUMNS($AO$1006:BQ1006),$AO$1006:$BQ$1006,0)), HYPERLINK("#",""), HYPERLINK(CONCATENATE("#Metadata!", ADDRESS(INDEX($AJ$2:$AJ$1001,MATCH(ROWS($AH$2:AH293),$AH$2:$AH$1001,0),0), INDEX($AO$1004:$BQ$1004,1,MATCH(COLUMNS($AO$1006:BQ1006),$AO$1006:$BQ$1006,0)))),"Fix")))</f>
        <v>#REF!</v>
      </c>
      <c r="AH293">
        <f ca="1"/>
        <v>290</v>
      </c>
      <c r="AI293">
        <v>100293</v>
      </c>
      <c r="AJ293">
        <v>293</v>
      </c>
      <c r="AK293" t="b">
        <f t="shared" si="4"/>
        <v>1</v>
      </c>
      <c r="AL293" t="b">
        <f>COUNTBLANK(Metadata!B293:AD293)=COLUMNS(Metadata!B293:AD293)</f>
        <v>1</v>
      </c>
      <c r="AM293" t="str">
        <v/>
      </c>
      <c r="AO293" t="b">
        <f ca="1">AND(IF(Metadata!B293="",FALSE,TRUE),COUNTIF(Metadata!B:B, Metadata!B293) = 1,NOT(ISERROR(SUMPRODUCT(SEARCH(MID(Metadata!B293,ROW(INDIRECT("1:"&amp;LEN(Metadata!B293))), 1),"0123456789abcdefghijklmnopqrstuvwxyzABCDEFGHIJKLMNOPQRSTUVWXYZ.")))))</f>
        <v>0</v>
      </c>
      <c r="AP293" t="b">
        <f>IF(Metadata!C293="",FALSE,TRUE)</f>
        <v>0</v>
      </c>
      <c r="AQ293" t="b">
        <f>IF(Metadata!D293="",FALSE,TRUE)</f>
        <v>0</v>
      </c>
      <c r="AR293" t="b">
        <f ca="1">OR(AND(IF(Metadata!E293="",FALSE,TRUE),OR(EXACT(Metadata!E293,"not collected"),EXACT(Metadata!E293,"not provided"),EXACT(Metadata!E293,"restricted access"))),AND(IF(Metadata!E293="",FALSE,TRUE),AND(AND(IFERROR(INT(LEFT(Metadata!E293,4))&gt;1900,FALSE),IFERROR(INT(LEFT(Metadata!E293,4))&lt;=YEAR(NOW()),FALSE)), OR(MID(Metadata!E293,5,1)="", AND(AND(MID(Metadata!E293,5,1)="-",IFERROR(INT(MID(Metadata!E293,6,1))&gt;=0,FALSE),IFERROR(INT(MID(Metadata!E293,6,1))&lt;=1,FALSE),NOT(MID(Metadata!E293,7,1)=""),IFERROR(INT(MID(Metadata!E293,6,2))&gt;=1,FALSE),IFERROR(INT(MID(Metadata!E293,6,2))&lt;=12,FALSE)), OR(MID(Metadata!E293,8,1)="", AND(AND(MID(Metadata!E293,8,1)="-",IFERROR(INT(MID(Metadata!E293,9,1))&gt;=0,FALSE),IFERROR(INT(MID(Metadata!E293,9,1))&lt;=3,FALSE),NOT(MID(Metadata!E293,10,1)=""),IFERROR(INT(MID(Metadata!E293,9,2))&gt;=1,FALSE),IFERROR(INT(MID(Metadata!E293,9,2))&lt;=31,FALSE)), OR(MID(Metadata!E293,11,1)="", AND(AND(MID(Metadata!E293,11,1)=" ",IFERROR(INT(MID(Metadata!E293,12,1))&gt;=0,FALSE),IFERROR(INT(MID(Metadata!E293,12,1))&lt;=2,FALSE),NOT(MID(Metadata!E293,13,1)=""),IFERROR(INT(MID(Metadata!E293,12,2))&gt;=0,FALSE),IFERROR(INT(MID(Metadata!E293,12,2))&lt;=23,FALSE)), OR(MID(Metadata!E293,14,1)="", AND(AND(MID(Metadata!E293,14,1)=":",IFERROR(INT(MID(Metadata!E293,15,1))&gt;=0,FALSE),IFERROR(INT(MID(Metadata!E293,15,1))&lt;=5,FALSE),NOT(MID(Metadata!E293,16,1)=""),IFERROR(INT(MID(Metadata!E293,15,2))&gt;=0,FALSE),IFERROR(INT(MID(Metadata!E293,15,2))&lt;=59,FALSE)), OR(MID(Metadata!E293,17,1)="", AND(AND(MID(Metadata!E293,17,1)=":",IFERROR(INT(MID(Metadata!E293,18,1))&gt;=0,FALSE),IFERROR(INT(MID(Metadata!E293,18,1))&lt;=5,FALSE),NOT(MID(Metadata!E293,19,1)=""),IFERROR(INT(MID(Metadata!E293,18,2))&gt;=0,FALSE),IFERROR(INT(MID(Metadata!E293,18,2))&lt;=59,FALSE)), LEN(Metadata!E293)&lt;=19)))))))))))))</f>
        <v>0</v>
      </c>
      <c r="AS293" t="b">
        <f>IF(Metadata!F293="",FALSE,TRUE)</f>
        <v>0</v>
      </c>
      <c r="AT293" t="b">
        <f>OR(AND(IF(Metadata!G293="",FALSE,TRUE),OR(EXACT(Metadata!G293,"not collected"),EXACT(Metadata!G293,"not provided"))),AND(IF(Metadata!G293="",FALSE,TRUE),OR(EXACT(Metadata!G293,"TRUE"),EXACT(Metadata!G293,"FALSE"))))</f>
        <v>0</v>
      </c>
      <c r="AU293" t="b">
        <f>OR(AND(IF(Metadata!H293="",FALSE,TRUE),OR(EXACT(Metadata!H293,"not collected"),EXACT(Metadata!H293,"not provided"),EXACT(Metadata!H293,"restricted access"))),AND(IF(Metadata!H293="",FALSE,ISNUMBER(VALUE(Metadata!H293))),Metadata!H293&gt;=-413))</f>
        <v>0</v>
      </c>
      <c r="AV293" t="b">
        <f>AND(IF(Metadata!I293="",FALSE,TRUE),EXACT(Metadata!I293,"meters"))</f>
        <v>0</v>
      </c>
      <c r="AW293" t="b">
        <f>AND(IF(Metadata!J293="",FALSE,TRUE),EXACT(Metadata!J293,"free-living"))</f>
        <v>0</v>
      </c>
      <c r="AX293" t="b">
        <f>AND(IF(Metadata!K293="",FALSE,TRUE),OR(EXACT(Metadata!K293,"saline"),EXACT(Metadata!K293,"non-saline")))</f>
        <v>0</v>
      </c>
      <c r="AY293" t="b">
        <f>AND(IF(Metadata!L293="",FALSE,TRUE),OR(EXACT(Metadata!L293,"sub-surface (non-saline)"),EXACT(Metadata!L293,"surface (non-saline)"),EXACT(Metadata!L293,"water (non-saline)"),EXACT(Metadata!L293,"soil (non-saline)"),EXACT(Metadata!L293,"aerosol (non-saline)"),EXACT(Metadata!L293,"sediment (non-saline)"),EXACT(Metadata!L293,"surface (saline)"),EXACT(Metadata!L293,"water (saline)"),EXACT(Metadata!L293,"hypersaline (saline)"),EXACT(Metadata!L293,"aerosol (saline)"),EXACT(Metadata!L293,"sediment (saline)")))</f>
        <v>0</v>
      </c>
      <c r="AZ293" t="b">
        <f>IF(Metadata!M293="",FALSE,TRUE)</f>
        <v>0</v>
      </c>
      <c r="BA293" t="b">
        <f>IF(Metadata!N293="",FALSE,TRUE)</f>
        <v>0</v>
      </c>
      <c r="BB293" t="b">
        <f>IF(Metadata!O293="",FALSE,TRUE)</f>
        <v>0</v>
      </c>
      <c r="BC293" t="b">
        <f>AND(IF(Metadata!P293="",FALSE,TRUE),OR(EXACT(Metadata!P293,"air"),EXACT(Metadata!P293,"microbial mat/biofilm"),EXACT(Metadata!P293,"misc environment"),EXACT(Metadata!P293,"sediment"),EXACT(Metadata!P293,"soil"),EXACT(Metadata!P293,"wastewater/sludge"),EXACT(Metadata!P293,"water")))</f>
        <v>0</v>
      </c>
      <c r="BD293" t="b">
        <f>IF(Metadata!Q293="",FALSE,TRUE)</f>
        <v>0</v>
      </c>
      <c r="BE293" t="b">
        <f>IF(Metadata!R293="",FALSE,TRUE)</f>
        <v>0</v>
      </c>
      <c r="BF293" t="b">
        <f>OR(AND(IF(Metadata!S293="",FALSE,TRUE),OR(EXACT(Metadata!S293,"not collected"),EXACT(Metadata!S293,"not provided"),EXACT(Metadata!S293,"restricted access"))),AND(IF(Metadata!S293="",FALSE,ISNUMBER(VALUE(Metadata!S293))),Metadata!S293&gt;=-90,Metadata!S293&lt;=90))</f>
        <v>0</v>
      </c>
      <c r="BG293" t="b">
        <f>AND(IF(Metadata!T293="",FALSE,TRUE),EXACT(Metadata!T293,"Decimal degrees"))</f>
        <v>0</v>
      </c>
      <c r="BH293" t="b">
        <f>OR(AND(IF(Metadata!U293="",FALSE,TRUE),OR(EXACT(Metadata!U293,"not applicable"),EXACT(Metadata!U293,"not collected"))),IF(Metadata!U293="",FALSE,TRUE))</f>
        <v>0</v>
      </c>
      <c r="BI293" t="b">
        <f>OR(AND(IF(Metadata!V293="",FALSE,TRUE),OR(EXACT(Metadata!V293,"not collected"),EXACT(Metadata!V293,"not provided"),EXACT(Metadata!V293,"restricted access"))),AND(IF(Metadata!V293="",FALSE,ISNUMBER(VALUE(Metadata!V293))),Metadata!V293&gt;=-180,Metadata!V293&lt;=180))</f>
        <v>0</v>
      </c>
      <c r="BJ293" t="b">
        <f>AND(IF(Metadata!W293="",FALSE,TRUE),EXACT(Metadata!W293,"Decimal degrees"))</f>
        <v>0</v>
      </c>
      <c r="BK293" t="b">
        <f>IF(Metadata!X293="",FALSE,TRUE)</f>
        <v>0</v>
      </c>
      <c r="BL293" t="b">
        <f>OR(AND(IF(Metadata!Y293="",FALSE,TRUE),OR(EXACT(Metadata!Y293,"not collected"),EXACT(Metadata!Y293,"not provided"),EXACT(Metadata!Y293,"restricted access"))),AND(IF(Metadata!Y293="",FALSE,TRUE),OR(EXACT(Metadata!Y293,"TRUE"),EXACT(Metadata!Y293,"FALSE"))))</f>
        <v>0</v>
      </c>
      <c r="BM293" t="b">
        <f>OR(AND(IF(Metadata!Z293="",FALSE,TRUE),EXACT(Metadata!Z293,"not applicable")),AND(IF(Metadata!Z293="",FALSE,TRUE),OR(EXACT(Metadata!Z293,"beer"),EXACT(Metadata!Z293,"cheese"),EXACT(Metadata!Z293,"fresh water"),EXACT(Metadata!Z293,"marine sediment"),EXACT(Metadata!Z293,"sea water"),EXACT(Metadata!Z293,"sediment"),EXACT(Metadata!Z293,"soil"),EXACT(Metadata!Z293,"waste water"))))</f>
        <v>0</v>
      </c>
      <c r="BN293" t="b">
        <f>AND(IF(Metadata!AA293="",FALSE,TRUE),EXACT(Metadata!AA293,"metagenome"))</f>
        <v>0</v>
      </c>
      <c r="BO293" t="b">
        <f>AND(IF(Metadata!AB293="",FALSE,TRUE),EXACT(Metadata!AB293,"256318"))</f>
        <v>0</v>
      </c>
      <c r="BP293" t="b">
        <f>IF(Metadata!AC293="",FALSE,TRUE)</f>
        <v>0</v>
      </c>
      <c r="BQ293" t="b">
        <f>IF(Metadata!AD293="",FALSE,TRUE)</f>
        <v>0</v>
      </c>
    </row>
    <row r="294" spans="1:69" x14ac:dyDescent="0.2">
      <c r="A294" s="4" t="e">
        <f ca="1">IF(B294=" "," ",HYPERLINK(CONCATENATE("#metadata!",ADDRESS(INDEX($AJ$2:$AJ$1001,MATCH(ROWS($AH$2:AH294),$AH$2:$AH$1001,0),0),2)),INDEX($AM$2:$AM$1001,MATCH(ROWS($AH$2:AH294),$AH$2:$AH$1001,0),0)))</f>
        <v>#N/A</v>
      </c>
      <c r="B294" s="5" t="e">
        <f ca="1">IF(OR(INDEX($AI$2:$AI$1001,MATCH(ROWS($AH$2:AH294),$AH$2:$AH$1001,0),1)&gt;=100000,INDEX($AO$1005:$BQ$1005,1,MATCH(COLUMNS($AO$1006:AO1006),$AO$1006:$BQ$1006,0))&gt;=100000), " ",IF(INDEX($AO$2:$BQ$1001,MATCH(ROWS($AH$2:AH294),$AH$2:$AH$1001,0),MATCH(COLUMNS($AO$1006:AO1006),$AO$1006:$BQ$1006,0)), HYPERLINK("#",""), HYPERLINK(CONCATENATE("#Metadata!", ADDRESS(INDEX($AJ$2:$AJ$1001,MATCH(ROWS($AH$2:AH294),$AH$2:$AH$1001,0),0), INDEX($AO$1004:$BQ$1004,1,MATCH(COLUMNS($AO$1006:AO1006),$AO$1006:$BQ$1006,0)))),"Fix")))</f>
        <v>#N/A</v>
      </c>
      <c r="C294" s="5" t="e">
        <f ca="1">IF(OR(INDEX($AI$2:$AI$1001,MATCH(ROWS($AH$2:AH294),$AH$2:$AH$1001,0),1)&gt;=100000,INDEX($AO$1005:$BQ$1005,1,MATCH(COLUMNS($AO$1006:AP1006),$AO$1006:$BQ$1006,0))&gt;=100000), " ",IF(INDEX($AO$2:$BQ$1001,MATCH(ROWS($AH$2:AH294),$AH$2:$AH$1001,0),MATCH(COLUMNS($AO$1006:AP1006),$AO$1006:$BQ$1006,0)), HYPERLINK("#",""), HYPERLINK(CONCATENATE("#Metadata!", ADDRESS(INDEX($AJ$2:$AJ$1001,MATCH(ROWS($AH$2:AH294),$AH$2:$AH$1001,0),0), INDEX($AO$1004:$BQ$1004,1,MATCH(COLUMNS($AO$1006:AP1006),$AO$1006:$BQ$1006,0)))),"Fix")))</f>
        <v>#N/A</v>
      </c>
      <c r="D294" s="5" t="e">
        <f ca="1">IF(OR(INDEX($AI$2:$AI$1001,MATCH(ROWS($AH$2:AH294),$AH$2:$AH$1001,0),1)&gt;=100000,INDEX($AO$1005:$BQ$1005,1,MATCH(COLUMNS($AO$1006:AQ1006),$AO$1006:$BQ$1006,0))&gt;=100000), " ",IF(INDEX($AO$2:$BQ$1001,MATCH(ROWS($AH$2:AH294),$AH$2:$AH$1001,0),MATCH(COLUMNS($AO$1006:AQ1006),$AO$1006:$BQ$1006,0)), HYPERLINK("#",""), HYPERLINK(CONCATENATE("#Metadata!", ADDRESS(INDEX($AJ$2:$AJ$1001,MATCH(ROWS($AH$2:AH294),$AH$2:$AH$1001,0),0), INDEX($AO$1004:$BQ$1004,1,MATCH(COLUMNS($AO$1006:AQ1006),$AO$1006:$BQ$1006,0)))),"Fix")))</f>
        <v>#N/A</v>
      </c>
      <c r="E294" s="5" t="e">
        <f ca="1">IF(OR(INDEX($AI$2:$AI$1001,MATCH(ROWS($AH$2:AH294),$AH$2:$AH$1001,0),1)&gt;=100000,INDEX($AO$1005:$BQ$1005,1,MATCH(COLUMNS($AO$1006:AR1006),$AO$1006:$BQ$1006,0))&gt;=100000), " ",IF(INDEX($AO$2:$BQ$1001,MATCH(ROWS($AH$2:AH294),$AH$2:$AH$1001,0),MATCH(COLUMNS($AO$1006:AR1006),$AO$1006:$BQ$1006,0)), HYPERLINK("#",""), HYPERLINK(CONCATENATE("#Metadata!", ADDRESS(INDEX($AJ$2:$AJ$1001,MATCH(ROWS($AH$2:AH294),$AH$2:$AH$1001,0),0), INDEX($AO$1004:$BQ$1004,1,MATCH(COLUMNS($AO$1006:AR1006),$AO$1006:$BQ$1006,0)))),"Fix")))</f>
        <v>#N/A</v>
      </c>
      <c r="F294" s="5" t="e">
        <f ca="1">IF(OR(INDEX($AI$2:$AI$1001,MATCH(ROWS($AH$2:AH294),$AH$2:$AH$1001,0),1)&gt;=100000,INDEX($AO$1005:$BQ$1005,1,MATCH(COLUMNS($AO$1006:AS1006),$AO$1006:$BQ$1006,0))&gt;=100000), " ",IF(INDEX($AO$2:$BQ$1001,MATCH(ROWS($AH$2:AH294),$AH$2:$AH$1001,0),MATCH(COLUMNS($AO$1006:AS1006),$AO$1006:$BQ$1006,0)), HYPERLINK("#",""), HYPERLINK(CONCATENATE("#Metadata!", ADDRESS(INDEX($AJ$2:$AJ$1001,MATCH(ROWS($AH$2:AH294),$AH$2:$AH$1001,0),0), INDEX($AO$1004:$BQ$1004,1,MATCH(COLUMNS($AO$1006:AS1006),$AO$1006:$BQ$1006,0)))),"Fix")))</f>
        <v>#N/A</v>
      </c>
      <c r="G294" s="5" t="e">
        <f ca="1">IF(OR(INDEX($AI$2:$AI$1001,MATCH(ROWS($AH$2:AH294),$AH$2:$AH$1001,0),1)&gt;=100000,INDEX($AO$1005:$BQ$1005,1,MATCH(COLUMNS($AO$1006:AT1006),$AO$1006:$BQ$1006,0))&gt;=100000), " ",IF(INDEX($AO$2:$BQ$1001,MATCH(ROWS($AH$2:AH294),$AH$2:$AH$1001,0),MATCH(COLUMNS($AO$1006:AT1006),$AO$1006:$BQ$1006,0)), HYPERLINK("#",""), HYPERLINK(CONCATENATE("#Metadata!", ADDRESS(INDEX($AJ$2:$AJ$1001,MATCH(ROWS($AH$2:AH294),$AH$2:$AH$1001,0),0), INDEX($AO$1004:$BQ$1004,1,MATCH(COLUMNS($AO$1006:AT1006),$AO$1006:$BQ$1006,0)))),"Fix")))</f>
        <v>#N/A</v>
      </c>
      <c r="H294" s="5" t="e">
        <f ca="1">IF(OR(INDEX($AI$2:$AI$1001,MATCH(ROWS($AH$2:AH294),$AH$2:$AH$1001,0),1)&gt;=100000,INDEX($AO$1005:$BQ$1005,1,MATCH(COLUMNS($AO$1006:AU1006),$AO$1006:$BQ$1006,0))&gt;=100000), " ",IF(INDEX($AO$2:$BQ$1001,MATCH(ROWS($AH$2:AH294),$AH$2:$AH$1001,0),MATCH(COLUMNS($AO$1006:AU1006),$AO$1006:$BQ$1006,0)), HYPERLINK("#",""), HYPERLINK(CONCATENATE("#Metadata!", ADDRESS(INDEX($AJ$2:$AJ$1001,MATCH(ROWS($AH$2:AH294),$AH$2:$AH$1001,0),0), INDEX($AO$1004:$BQ$1004,1,MATCH(COLUMNS($AO$1006:AU1006),$AO$1006:$BQ$1006,0)))),"Fix")))</f>
        <v>#N/A</v>
      </c>
      <c r="I294" s="5" t="e">
        <f ca="1">IF(OR(INDEX($AI$2:$AI$1001,MATCH(ROWS($AH$2:AH294),$AH$2:$AH$1001,0),1)&gt;=100000,INDEX($AO$1005:$BQ$1005,1,MATCH(COLUMNS($AO$1006:AV1006),$AO$1006:$BQ$1006,0))&gt;=100000), " ",IF(INDEX($AO$2:$BQ$1001,MATCH(ROWS($AH$2:AH294),$AH$2:$AH$1001,0),MATCH(COLUMNS($AO$1006:AV1006),$AO$1006:$BQ$1006,0)), HYPERLINK("#",""), HYPERLINK(CONCATENATE("#Metadata!", ADDRESS(INDEX($AJ$2:$AJ$1001,MATCH(ROWS($AH$2:AH294),$AH$2:$AH$1001,0),0), INDEX($AO$1004:$BQ$1004,1,MATCH(COLUMNS($AO$1006:AV1006),$AO$1006:$BQ$1006,0)))),"Fix")))</f>
        <v>#N/A</v>
      </c>
      <c r="J294" s="5" t="e">
        <f ca="1">IF(OR(INDEX($AI$2:$AI$1001,MATCH(ROWS($AH$2:AH294),$AH$2:$AH$1001,0),1)&gt;=100000,INDEX($AO$1005:$BQ$1005,1,MATCH(COLUMNS($AO$1006:AW1006),$AO$1006:$BQ$1006,0))&gt;=100000), " ",IF(INDEX($AO$2:$BQ$1001,MATCH(ROWS($AH$2:AH294),$AH$2:$AH$1001,0),MATCH(COLUMNS($AO$1006:AW1006),$AO$1006:$BQ$1006,0)), HYPERLINK("#",""), HYPERLINK(CONCATENATE("#Metadata!", ADDRESS(INDEX($AJ$2:$AJ$1001,MATCH(ROWS($AH$2:AH294),$AH$2:$AH$1001,0),0), INDEX($AO$1004:$BQ$1004,1,MATCH(COLUMNS($AO$1006:AW1006),$AO$1006:$BQ$1006,0)))),"Fix")))</f>
        <v>#N/A</v>
      </c>
      <c r="K294" s="5" t="e">
        <f ca="1">IF(OR(INDEX($AI$2:$AI$1001,MATCH(ROWS($AH$2:AH294),$AH$2:$AH$1001,0),1)&gt;=100000,INDEX($AO$1005:$BQ$1005,1,MATCH(COLUMNS($AO$1006:AX1006),$AO$1006:$BQ$1006,0))&gt;=100000), " ",IF(INDEX($AO$2:$BQ$1001,MATCH(ROWS($AH$2:AH294),$AH$2:$AH$1001,0),MATCH(COLUMNS($AO$1006:AX1006),$AO$1006:$BQ$1006,0)), HYPERLINK("#",""), HYPERLINK(CONCATENATE("#Metadata!", ADDRESS(INDEX($AJ$2:$AJ$1001,MATCH(ROWS($AH$2:AH294),$AH$2:$AH$1001,0),0), INDEX($AO$1004:$BQ$1004,1,MATCH(COLUMNS($AO$1006:AX1006),$AO$1006:$BQ$1006,0)))),"Fix")))</f>
        <v>#N/A</v>
      </c>
      <c r="L294" s="5" t="e">
        <f ca="1">IF(OR(INDEX($AI$2:$AI$1001,MATCH(ROWS($AH$2:AH294),$AH$2:$AH$1001,0),1)&gt;=100000,INDEX($AO$1005:$BQ$1005,1,MATCH(COLUMNS($AO$1006:AY1006),$AO$1006:$BQ$1006,0))&gt;=100000), " ",IF(INDEX($AO$2:$BQ$1001,MATCH(ROWS($AH$2:AH294),$AH$2:$AH$1001,0),MATCH(COLUMNS($AO$1006:AY1006),$AO$1006:$BQ$1006,0)), HYPERLINK("#",""), HYPERLINK(CONCATENATE("#Metadata!", ADDRESS(INDEX($AJ$2:$AJ$1001,MATCH(ROWS($AH$2:AH294),$AH$2:$AH$1001,0),0), INDEX($AO$1004:$BQ$1004,1,MATCH(COLUMNS($AO$1006:AY1006),$AO$1006:$BQ$1006,0)))),"Fix")))</f>
        <v>#N/A</v>
      </c>
      <c r="M294" s="5" t="e">
        <f ca="1">IF(OR(INDEX($AI$2:$AI$1001,MATCH(ROWS($AH$2:AH294),$AH$2:$AH$1001,0),1)&gt;=100000,INDEX($AO$1005:$BQ$1005,1,MATCH(COLUMNS($AO$1006:AZ1006),$AO$1006:$BQ$1006,0))&gt;=100000), " ",IF(INDEX($AO$2:$BQ$1001,MATCH(ROWS($AH$2:AH294),$AH$2:$AH$1001,0),MATCH(COLUMNS($AO$1006:AZ1006),$AO$1006:$BQ$1006,0)), HYPERLINK("#",""), HYPERLINK(CONCATENATE("#Metadata!", ADDRESS(INDEX($AJ$2:$AJ$1001,MATCH(ROWS($AH$2:AH294),$AH$2:$AH$1001,0),0), INDEX($AO$1004:$BQ$1004,1,MATCH(COLUMNS($AO$1006:AZ1006),$AO$1006:$BQ$1006,0)))),"Fix")))</f>
        <v>#N/A</v>
      </c>
      <c r="N294" s="5" t="e">
        <f ca="1">IF(OR(INDEX($AI$2:$AI$1001,MATCH(ROWS($AH$2:AH294),$AH$2:$AH$1001,0),1)&gt;=100000,INDEX($AO$1005:$BQ$1005,1,MATCH(COLUMNS($AO$1006:BA1006),$AO$1006:$BQ$1006,0))&gt;=100000), " ",IF(INDEX($AO$2:$BQ$1001,MATCH(ROWS($AH$2:AH294),$AH$2:$AH$1001,0),MATCH(COLUMNS($AO$1006:BA1006),$AO$1006:$BQ$1006,0)), HYPERLINK("#",""), HYPERLINK(CONCATENATE("#Metadata!", ADDRESS(INDEX($AJ$2:$AJ$1001,MATCH(ROWS($AH$2:AH294),$AH$2:$AH$1001,0),0), INDEX($AO$1004:$BQ$1004,1,MATCH(COLUMNS($AO$1006:BA1006),$AO$1006:$BQ$1006,0)))),"Fix")))</f>
        <v>#N/A</v>
      </c>
      <c r="O294" s="5" t="e">
        <f ca="1">IF(OR(INDEX($AI$2:$AI$1001,MATCH(ROWS($AH$2:AH294),$AH$2:$AH$1001,0),1)&gt;=100000,INDEX($AO$1005:$BQ$1005,1,MATCH(COLUMNS($AO$1006:BB1006),$AO$1006:$BQ$1006,0))&gt;=100000), " ",IF(INDEX($AO$2:$BQ$1001,MATCH(ROWS($AH$2:AH294),$AH$2:$AH$1001,0),MATCH(COLUMNS($AO$1006:BB1006),$AO$1006:$BQ$1006,0)), HYPERLINK("#",""), HYPERLINK(CONCATENATE("#Metadata!", ADDRESS(INDEX($AJ$2:$AJ$1001,MATCH(ROWS($AH$2:AH294),$AH$2:$AH$1001,0),0), INDEX($AO$1004:$BQ$1004,1,MATCH(COLUMNS($AO$1006:BB1006),$AO$1006:$BQ$1006,0)))),"Fix")))</f>
        <v>#N/A</v>
      </c>
      <c r="P294" s="5" t="e">
        <f ca="1">IF(OR(INDEX($AI$2:$AI$1001,MATCH(ROWS($AH$2:AH294),$AH$2:$AH$1001,0),1)&gt;=100000,INDEX($AO$1005:$BQ$1005,1,MATCH(COLUMNS($AO$1006:BC1006),$AO$1006:$BQ$1006,0))&gt;=100000), " ",IF(INDEX($AO$2:$BQ$1001,MATCH(ROWS($AH$2:AH294),$AH$2:$AH$1001,0),MATCH(COLUMNS($AO$1006:BC1006),$AO$1006:$BQ$1006,0)), HYPERLINK("#",""), HYPERLINK(CONCATENATE("#Metadata!", ADDRESS(INDEX($AJ$2:$AJ$1001,MATCH(ROWS($AH$2:AH294),$AH$2:$AH$1001,0),0), INDEX($AO$1004:$BQ$1004,1,MATCH(COLUMNS($AO$1006:BC1006),$AO$1006:$BQ$1006,0)))),"Fix")))</f>
        <v>#N/A</v>
      </c>
      <c r="Q294" s="5" t="e">
        <f ca="1">IF(OR(INDEX($AI$2:$AI$1001,MATCH(ROWS($AH$2:AH294),$AH$2:$AH$1001,0),1)&gt;=100000,INDEX($AO$1005:$BQ$1005,1,MATCH(COLUMNS($AO$1006:BD1006),$AO$1006:$BQ$1006,0))&gt;=100000), " ",IF(INDEX($AO$2:$BQ$1001,MATCH(ROWS($AH$2:AH294),$AH$2:$AH$1001,0),MATCH(COLUMNS($AO$1006:BD1006),$AO$1006:$BQ$1006,0)), HYPERLINK("#",""), HYPERLINK(CONCATENATE("#Metadata!", ADDRESS(INDEX($AJ$2:$AJ$1001,MATCH(ROWS($AH$2:AH294),$AH$2:$AH$1001,0),0), INDEX($AO$1004:$BQ$1004,1,MATCH(COLUMNS($AO$1006:BD1006),$AO$1006:$BQ$1006,0)))),"Fix")))</f>
        <v>#N/A</v>
      </c>
      <c r="R294" s="5" t="e">
        <f ca="1">IF(OR(INDEX($AI$2:$AI$1001,MATCH(ROWS($AH$2:AH294),$AH$2:$AH$1001,0),1)&gt;=100000,INDEX($AO$1005:$BQ$1005,1,MATCH(COLUMNS($AO$1006:BE1006),$AO$1006:$BQ$1006,0))&gt;=100000), " ",IF(INDEX($AO$2:$BQ$1001,MATCH(ROWS($AH$2:AH294),$AH$2:$AH$1001,0),MATCH(COLUMNS($AO$1006:BE1006),$AO$1006:$BQ$1006,0)), HYPERLINK("#",""), HYPERLINK(CONCATENATE("#Metadata!", ADDRESS(INDEX($AJ$2:$AJ$1001,MATCH(ROWS($AH$2:AH294),$AH$2:$AH$1001,0),0), INDEX($AO$1004:$BQ$1004,1,MATCH(COLUMNS($AO$1006:BE1006),$AO$1006:$BQ$1006,0)))),"Fix")))</f>
        <v>#N/A</v>
      </c>
      <c r="S294" s="5" t="e">
        <f ca="1">IF(OR(INDEX($AI$2:$AI$1001,MATCH(ROWS($AH$2:AH294),$AH$2:$AH$1001,0),1)&gt;=100000,INDEX($AO$1005:$BQ$1005,1,MATCH(COLUMNS($AO$1006:BF1006),$AO$1006:$BQ$1006,0))&gt;=100000), " ",IF(INDEX($AO$2:$BQ$1001,MATCH(ROWS($AH$2:AH294),$AH$2:$AH$1001,0),MATCH(COLUMNS($AO$1006:BF1006),$AO$1006:$BQ$1006,0)), HYPERLINK("#",""), HYPERLINK(CONCATENATE("#Metadata!", ADDRESS(INDEX($AJ$2:$AJ$1001,MATCH(ROWS($AH$2:AH294),$AH$2:$AH$1001,0),0), INDEX($AO$1004:$BQ$1004,1,MATCH(COLUMNS($AO$1006:BF1006),$AO$1006:$BQ$1006,0)))),"Fix")))</f>
        <v>#N/A</v>
      </c>
      <c r="T294" s="5" t="e">
        <f ca="1">IF(OR(INDEX($AI$2:$AI$1001,MATCH(ROWS($AH$2:AH294),$AH$2:$AH$1001,0),1)&gt;=100000,INDEX($AO$1005:$BQ$1005,1,MATCH(COLUMNS($AO$1006:BG1006),$AO$1006:$BQ$1006,0))&gt;=100000), " ",IF(INDEX($AO$2:$BQ$1001,MATCH(ROWS($AH$2:AH294),$AH$2:$AH$1001,0),MATCH(COLUMNS($AO$1006:BG1006),$AO$1006:$BQ$1006,0)), HYPERLINK("#",""), HYPERLINK(CONCATENATE("#Metadata!", ADDRESS(INDEX($AJ$2:$AJ$1001,MATCH(ROWS($AH$2:AH294),$AH$2:$AH$1001,0),0), INDEX($AO$1004:$BQ$1004,1,MATCH(COLUMNS($AO$1006:BG1006),$AO$1006:$BQ$1006,0)))),"Fix")))</f>
        <v>#N/A</v>
      </c>
      <c r="U294" s="5" t="e">
        <f ca="1">IF(OR(INDEX($AI$2:$AI$1001,MATCH(ROWS($AH$2:AH294),$AH$2:$AH$1001,0),1)&gt;=100000,INDEX($AO$1005:$BQ$1005,1,MATCH(COLUMNS($AO$1006:BH1006),$AO$1006:$BQ$1006,0))&gt;=100000), " ",IF(INDEX($AO$2:$BQ$1001,MATCH(ROWS($AH$2:AH294),$AH$2:$AH$1001,0),MATCH(COLUMNS($AO$1006:BH1006),$AO$1006:$BQ$1006,0)), HYPERLINK("#",""), HYPERLINK(CONCATENATE("#Metadata!", ADDRESS(INDEX($AJ$2:$AJ$1001,MATCH(ROWS($AH$2:AH294),$AH$2:$AH$1001,0),0), INDEX($AO$1004:$BQ$1004,1,MATCH(COLUMNS($AO$1006:BH1006),$AO$1006:$BQ$1006,0)))),"Fix")))</f>
        <v>#N/A</v>
      </c>
      <c r="V294" s="5" t="e">
        <f ca="1">IF(OR(INDEX($AI$2:$AI$1001,MATCH(ROWS($AH$2:AH294),$AH$2:$AH$1001,0),1)&gt;=100000,INDEX($AO$1005:$BQ$1005,1,MATCH(COLUMNS($AO$1006:BI1006),$AO$1006:$BQ$1006,0))&gt;=100000), " ",IF(INDEX($AO$2:$BQ$1001,MATCH(ROWS($AH$2:AH294),$AH$2:$AH$1001,0),MATCH(COLUMNS($AO$1006:BI1006),$AO$1006:$BQ$1006,0)), HYPERLINK("#",""), HYPERLINK(CONCATENATE("#Metadata!", ADDRESS(INDEX($AJ$2:$AJ$1001,MATCH(ROWS($AH$2:AH294),$AH$2:$AH$1001,0),0), INDEX($AO$1004:$BQ$1004,1,MATCH(COLUMNS($AO$1006:BI1006),$AO$1006:$BQ$1006,0)))),"Fix")))</f>
        <v>#N/A</v>
      </c>
      <c r="W294" s="5" t="e">
        <f ca="1">IF(OR(INDEX($AI$2:$AI$1001,MATCH(ROWS($AH$2:AH294),$AH$2:$AH$1001,0),1)&gt;=100000,INDEX($AO$1005:$BQ$1005,1,MATCH(COLUMNS($AO$1006:BJ1006),$AO$1006:$BQ$1006,0))&gt;=100000), " ",IF(INDEX($AO$2:$BQ$1001,MATCH(ROWS($AH$2:AH294),$AH$2:$AH$1001,0),MATCH(COLUMNS($AO$1006:BJ1006),$AO$1006:$BQ$1006,0)), HYPERLINK("#",""), HYPERLINK(CONCATENATE("#Metadata!", ADDRESS(INDEX($AJ$2:$AJ$1001,MATCH(ROWS($AH$2:AH294),$AH$2:$AH$1001,0),0), INDEX($AO$1004:$BQ$1004,1,MATCH(COLUMNS($AO$1006:BJ1006),$AO$1006:$BQ$1006,0)))),"Fix")))</f>
        <v>#N/A</v>
      </c>
      <c r="X294" s="5" t="e">
        <f ca="1">IF(OR(INDEX($AI$2:$AI$1001,MATCH(ROWS($AH$2:AH294),$AH$2:$AH$1001,0),1)&gt;=100000,INDEX($AO$1005:$BQ$1005,1,MATCH(COLUMNS($AO$1006:BK1006),$AO$1006:$BQ$1006,0))&gt;=100000), " ",IF(INDEX($AO$2:$BQ$1001,MATCH(ROWS($AH$2:AH294),$AH$2:$AH$1001,0),MATCH(COLUMNS($AO$1006:BK1006),$AO$1006:$BQ$1006,0)), HYPERLINK("#",""), HYPERLINK(CONCATENATE("#Metadata!", ADDRESS(INDEX($AJ$2:$AJ$1001,MATCH(ROWS($AH$2:AH294),$AH$2:$AH$1001,0),0), INDEX($AO$1004:$BQ$1004,1,MATCH(COLUMNS($AO$1006:BK1006),$AO$1006:$BQ$1006,0)))),"Fix")))</f>
        <v>#N/A</v>
      </c>
      <c r="Y294" s="5" t="e">
        <f ca="1">IF(OR(INDEX($AI$2:$AI$1001,MATCH(ROWS($AH$2:AH294),$AH$2:$AH$1001,0),1)&gt;=100000,INDEX($AO$1005:$BQ$1005,1,MATCH(COLUMNS($AO$1006:BL1006),$AO$1006:$BQ$1006,0))&gt;=100000), " ",IF(INDEX($AO$2:$BQ$1001,MATCH(ROWS($AH$2:AH294),$AH$2:$AH$1001,0),MATCH(COLUMNS($AO$1006:BL1006),$AO$1006:$BQ$1006,0)), HYPERLINK("#",""), HYPERLINK(CONCATENATE("#Metadata!", ADDRESS(INDEX($AJ$2:$AJ$1001,MATCH(ROWS($AH$2:AH294),$AH$2:$AH$1001,0),0), INDEX($AO$1004:$BQ$1004,1,MATCH(COLUMNS($AO$1006:BL1006),$AO$1006:$BQ$1006,0)))),"Fix")))</f>
        <v>#N/A</v>
      </c>
      <c r="Z294" s="5" t="e">
        <f ca="1">IF(OR(INDEX($AI$2:$AI$1001,MATCH(ROWS($AH$2:AH294),$AH$2:$AH$1001,0),1)&gt;=100000,INDEX($AO$1005:$BQ$1005,1,MATCH(COLUMNS($AO$1006:BM1006),$AO$1006:$BQ$1006,0))&gt;=100000), " ",IF(INDEX($AO$2:$BQ$1001,MATCH(ROWS($AH$2:AH294),$AH$2:$AH$1001,0),MATCH(COLUMNS($AO$1006:BM1006),$AO$1006:$BQ$1006,0)), HYPERLINK("#",""), HYPERLINK(CONCATENATE("#Metadata!", ADDRESS(INDEX($AJ$2:$AJ$1001,MATCH(ROWS($AH$2:AH294),$AH$2:$AH$1001,0),0), INDEX($AO$1004:$BQ$1004,1,MATCH(COLUMNS($AO$1006:BM1006),$AO$1006:$BQ$1006,0)))),"Fix")))</f>
        <v>#N/A</v>
      </c>
      <c r="AA294" s="5" t="e">
        <f ca="1">IF(OR(INDEX($AI$2:$AI$1001,MATCH(ROWS($AH$2:AH294),$AH$2:$AH$1001,0),1)&gt;=100000,INDEX($AO$1005:$BQ$1005,1,MATCH(COLUMNS($AO$1006:BN1006),$AO$1006:$BQ$1006,0))&gt;=100000), " ",IF(INDEX($AO$2:$BQ$1001,MATCH(ROWS($AH$2:AH294),$AH$2:$AH$1001,0),MATCH(COLUMNS($AO$1006:BN1006),$AO$1006:$BQ$1006,0)), HYPERLINK("#",""), HYPERLINK(CONCATENATE("#Metadata!", ADDRESS(INDEX($AJ$2:$AJ$1001,MATCH(ROWS($AH$2:AH294),$AH$2:$AH$1001,0),0), INDEX($AO$1004:$BQ$1004,1,MATCH(COLUMNS($AO$1006:BN1006),$AO$1006:$BQ$1006,0)))),"Fix")))</f>
        <v>#N/A</v>
      </c>
      <c r="AB294" s="5" t="e">
        <f ca="1">IF(OR(INDEX($AI$2:$AI$1001,MATCH(ROWS($AH$2:AH294),$AH$2:$AH$1001,0),1)&gt;=100000,INDEX($AO$1005:$BQ$1005,1,MATCH(COLUMNS($AO$1006:BO1006),$AO$1006:$BQ$1006,0))&gt;=100000), " ",IF(INDEX($AO$2:$BQ$1001,MATCH(ROWS($AH$2:AH294),$AH$2:$AH$1001,0),MATCH(COLUMNS($AO$1006:BO1006),$AO$1006:$BQ$1006,0)), HYPERLINK("#",""), HYPERLINK(CONCATENATE("#Metadata!", ADDRESS(INDEX($AJ$2:$AJ$1001,MATCH(ROWS($AH$2:AH294),$AH$2:$AH$1001,0),0), INDEX($AO$1004:$BQ$1004,1,MATCH(COLUMNS($AO$1006:BO1006),$AO$1006:$BQ$1006,0)))),"Fix")))</f>
        <v>#N/A</v>
      </c>
      <c r="AC294" s="5" t="e">
        <f ca="1">IF(OR(INDEX($AI$2:$AI$1001,MATCH(ROWS($AH$2:AH294),$AH$2:$AH$1001,0),1)&gt;=100000,INDEX($AO$1005:$BQ$1005,1,MATCH(COLUMNS($AO$1006:BP1006),$AO$1006:$BQ$1006,0))&gt;=100000), " ",IF(INDEX($AO$2:$BQ$1001,MATCH(ROWS($AH$2:AH294),$AH$2:$AH$1001,0),MATCH(COLUMNS($AO$1006:BP1006),$AO$1006:$BQ$1006,0)), HYPERLINK("#",""), HYPERLINK(CONCATENATE("#Metadata!", ADDRESS(INDEX($AJ$2:$AJ$1001,MATCH(ROWS($AH$2:AH294),$AH$2:$AH$1001,0),0), INDEX($AO$1004:$BQ$1004,1,MATCH(COLUMNS($AO$1006:BP1006),$AO$1006:$BQ$1006,0)))),"Fix")))</f>
        <v>#N/A</v>
      </c>
      <c r="AD294" s="5" t="e">
        <f ca="1">IF(OR(INDEX($AI$2:$AI$1001,MATCH(ROWS($AH$2:AH294),$AH$2:$AH$1001,0),1)&gt;=100000,INDEX($AO$1005:$BQ$1005,1,MATCH(COLUMNS($AO$1006:BQ1006),$AO$1006:$BQ$1006,0))&gt;=100000), " ",IF(INDEX($AO$2:$BQ$1001,MATCH(ROWS($AH$2:AH294),$AH$2:$AH$1001,0),MATCH(COLUMNS($AO$1006:BQ1006),$AO$1006:$BQ$1006,0)), HYPERLINK("#",""), HYPERLINK(CONCATENATE("#Metadata!", ADDRESS(INDEX($AJ$2:$AJ$1001,MATCH(ROWS($AH$2:AH294),$AH$2:$AH$1001,0),0), INDEX($AO$1004:$BQ$1004,1,MATCH(COLUMNS($AO$1006:BQ1006),$AO$1006:$BQ$1006,0)))),"Fix")))</f>
        <v>#REF!</v>
      </c>
      <c r="AH294">
        <f ca="1"/>
        <v>291</v>
      </c>
      <c r="AI294">
        <v>100294</v>
      </c>
      <c r="AJ294">
        <v>294</v>
      </c>
      <c r="AK294" t="b">
        <f t="shared" si="4"/>
        <v>1</v>
      </c>
      <c r="AL294" t="b">
        <f>COUNTBLANK(Metadata!B294:AD294)=COLUMNS(Metadata!B294:AD294)</f>
        <v>1</v>
      </c>
      <c r="AM294" t="str">
        <v/>
      </c>
      <c r="AO294" t="b">
        <f ca="1">AND(IF(Metadata!B294="",FALSE,TRUE),COUNTIF(Metadata!B:B, Metadata!B294) = 1,NOT(ISERROR(SUMPRODUCT(SEARCH(MID(Metadata!B294,ROW(INDIRECT("1:"&amp;LEN(Metadata!B294))), 1),"0123456789abcdefghijklmnopqrstuvwxyzABCDEFGHIJKLMNOPQRSTUVWXYZ.")))))</f>
        <v>0</v>
      </c>
      <c r="AP294" t="b">
        <f>IF(Metadata!C294="",FALSE,TRUE)</f>
        <v>0</v>
      </c>
      <c r="AQ294" t="b">
        <f>IF(Metadata!D294="",FALSE,TRUE)</f>
        <v>0</v>
      </c>
      <c r="AR294" t="b">
        <f ca="1">OR(AND(IF(Metadata!E294="",FALSE,TRUE),OR(EXACT(Metadata!E294,"not collected"),EXACT(Metadata!E294,"not provided"),EXACT(Metadata!E294,"restricted access"))),AND(IF(Metadata!E294="",FALSE,TRUE),AND(AND(IFERROR(INT(LEFT(Metadata!E294,4))&gt;1900,FALSE),IFERROR(INT(LEFT(Metadata!E294,4))&lt;=YEAR(NOW()),FALSE)), OR(MID(Metadata!E294,5,1)="", AND(AND(MID(Metadata!E294,5,1)="-",IFERROR(INT(MID(Metadata!E294,6,1))&gt;=0,FALSE),IFERROR(INT(MID(Metadata!E294,6,1))&lt;=1,FALSE),NOT(MID(Metadata!E294,7,1)=""),IFERROR(INT(MID(Metadata!E294,6,2))&gt;=1,FALSE),IFERROR(INT(MID(Metadata!E294,6,2))&lt;=12,FALSE)), OR(MID(Metadata!E294,8,1)="", AND(AND(MID(Metadata!E294,8,1)="-",IFERROR(INT(MID(Metadata!E294,9,1))&gt;=0,FALSE),IFERROR(INT(MID(Metadata!E294,9,1))&lt;=3,FALSE),NOT(MID(Metadata!E294,10,1)=""),IFERROR(INT(MID(Metadata!E294,9,2))&gt;=1,FALSE),IFERROR(INT(MID(Metadata!E294,9,2))&lt;=31,FALSE)), OR(MID(Metadata!E294,11,1)="", AND(AND(MID(Metadata!E294,11,1)=" ",IFERROR(INT(MID(Metadata!E294,12,1))&gt;=0,FALSE),IFERROR(INT(MID(Metadata!E294,12,1))&lt;=2,FALSE),NOT(MID(Metadata!E294,13,1)=""),IFERROR(INT(MID(Metadata!E294,12,2))&gt;=0,FALSE),IFERROR(INT(MID(Metadata!E294,12,2))&lt;=23,FALSE)), OR(MID(Metadata!E294,14,1)="", AND(AND(MID(Metadata!E294,14,1)=":",IFERROR(INT(MID(Metadata!E294,15,1))&gt;=0,FALSE),IFERROR(INT(MID(Metadata!E294,15,1))&lt;=5,FALSE),NOT(MID(Metadata!E294,16,1)=""),IFERROR(INT(MID(Metadata!E294,15,2))&gt;=0,FALSE),IFERROR(INT(MID(Metadata!E294,15,2))&lt;=59,FALSE)), OR(MID(Metadata!E294,17,1)="", AND(AND(MID(Metadata!E294,17,1)=":",IFERROR(INT(MID(Metadata!E294,18,1))&gt;=0,FALSE),IFERROR(INT(MID(Metadata!E294,18,1))&lt;=5,FALSE),NOT(MID(Metadata!E294,19,1)=""),IFERROR(INT(MID(Metadata!E294,18,2))&gt;=0,FALSE),IFERROR(INT(MID(Metadata!E294,18,2))&lt;=59,FALSE)), LEN(Metadata!E294)&lt;=19)))))))))))))</f>
        <v>0</v>
      </c>
      <c r="AS294" t="b">
        <f>IF(Metadata!F294="",FALSE,TRUE)</f>
        <v>0</v>
      </c>
      <c r="AT294" t="b">
        <f>OR(AND(IF(Metadata!G294="",FALSE,TRUE),OR(EXACT(Metadata!G294,"not collected"),EXACT(Metadata!G294,"not provided"))),AND(IF(Metadata!G294="",FALSE,TRUE),OR(EXACT(Metadata!G294,"TRUE"),EXACT(Metadata!G294,"FALSE"))))</f>
        <v>0</v>
      </c>
      <c r="AU294" t="b">
        <f>OR(AND(IF(Metadata!H294="",FALSE,TRUE),OR(EXACT(Metadata!H294,"not collected"),EXACT(Metadata!H294,"not provided"),EXACT(Metadata!H294,"restricted access"))),AND(IF(Metadata!H294="",FALSE,ISNUMBER(VALUE(Metadata!H294))),Metadata!H294&gt;=-413))</f>
        <v>0</v>
      </c>
      <c r="AV294" t="b">
        <f>AND(IF(Metadata!I294="",FALSE,TRUE),EXACT(Metadata!I294,"meters"))</f>
        <v>0</v>
      </c>
      <c r="AW294" t="b">
        <f>AND(IF(Metadata!J294="",FALSE,TRUE),EXACT(Metadata!J294,"free-living"))</f>
        <v>0</v>
      </c>
      <c r="AX294" t="b">
        <f>AND(IF(Metadata!K294="",FALSE,TRUE),OR(EXACT(Metadata!K294,"saline"),EXACT(Metadata!K294,"non-saline")))</f>
        <v>0</v>
      </c>
      <c r="AY294" t="b">
        <f>AND(IF(Metadata!L294="",FALSE,TRUE),OR(EXACT(Metadata!L294,"sub-surface (non-saline)"),EXACT(Metadata!L294,"surface (non-saline)"),EXACT(Metadata!L294,"water (non-saline)"),EXACT(Metadata!L294,"soil (non-saline)"),EXACT(Metadata!L294,"aerosol (non-saline)"),EXACT(Metadata!L294,"sediment (non-saline)"),EXACT(Metadata!L294,"surface (saline)"),EXACT(Metadata!L294,"water (saline)"),EXACT(Metadata!L294,"hypersaline (saline)"),EXACT(Metadata!L294,"aerosol (saline)"),EXACT(Metadata!L294,"sediment (saline)")))</f>
        <v>0</v>
      </c>
      <c r="AZ294" t="b">
        <f>IF(Metadata!M294="",FALSE,TRUE)</f>
        <v>0</v>
      </c>
      <c r="BA294" t="b">
        <f>IF(Metadata!N294="",FALSE,TRUE)</f>
        <v>0</v>
      </c>
      <c r="BB294" t="b">
        <f>IF(Metadata!O294="",FALSE,TRUE)</f>
        <v>0</v>
      </c>
      <c r="BC294" t="b">
        <f>AND(IF(Metadata!P294="",FALSE,TRUE),OR(EXACT(Metadata!P294,"air"),EXACT(Metadata!P294,"microbial mat/biofilm"),EXACT(Metadata!P294,"misc environment"),EXACT(Metadata!P294,"sediment"),EXACT(Metadata!P294,"soil"),EXACT(Metadata!P294,"wastewater/sludge"),EXACT(Metadata!P294,"water")))</f>
        <v>0</v>
      </c>
      <c r="BD294" t="b">
        <f>IF(Metadata!Q294="",FALSE,TRUE)</f>
        <v>0</v>
      </c>
      <c r="BE294" t="b">
        <f>IF(Metadata!R294="",FALSE,TRUE)</f>
        <v>0</v>
      </c>
      <c r="BF294" t="b">
        <f>OR(AND(IF(Metadata!S294="",FALSE,TRUE),OR(EXACT(Metadata!S294,"not collected"),EXACT(Metadata!S294,"not provided"),EXACT(Metadata!S294,"restricted access"))),AND(IF(Metadata!S294="",FALSE,ISNUMBER(VALUE(Metadata!S294))),Metadata!S294&gt;=-90,Metadata!S294&lt;=90))</f>
        <v>0</v>
      </c>
      <c r="BG294" t="b">
        <f>AND(IF(Metadata!T294="",FALSE,TRUE),EXACT(Metadata!T294,"Decimal degrees"))</f>
        <v>0</v>
      </c>
      <c r="BH294" t="b">
        <f>OR(AND(IF(Metadata!U294="",FALSE,TRUE),OR(EXACT(Metadata!U294,"not applicable"),EXACT(Metadata!U294,"not collected"))),IF(Metadata!U294="",FALSE,TRUE))</f>
        <v>0</v>
      </c>
      <c r="BI294" t="b">
        <f>OR(AND(IF(Metadata!V294="",FALSE,TRUE),OR(EXACT(Metadata!V294,"not collected"),EXACT(Metadata!V294,"not provided"),EXACT(Metadata!V294,"restricted access"))),AND(IF(Metadata!V294="",FALSE,ISNUMBER(VALUE(Metadata!V294))),Metadata!V294&gt;=-180,Metadata!V294&lt;=180))</f>
        <v>0</v>
      </c>
      <c r="BJ294" t="b">
        <f>AND(IF(Metadata!W294="",FALSE,TRUE),EXACT(Metadata!W294,"Decimal degrees"))</f>
        <v>0</v>
      </c>
      <c r="BK294" t="b">
        <f>IF(Metadata!X294="",FALSE,TRUE)</f>
        <v>0</v>
      </c>
      <c r="BL294" t="b">
        <f>OR(AND(IF(Metadata!Y294="",FALSE,TRUE),OR(EXACT(Metadata!Y294,"not collected"),EXACT(Metadata!Y294,"not provided"),EXACT(Metadata!Y294,"restricted access"))),AND(IF(Metadata!Y294="",FALSE,TRUE),OR(EXACT(Metadata!Y294,"TRUE"),EXACT(Metadata!Y294,"FALSE"))))</f>
        <v>0</v>
      </c>
      <c r="BM294" t="b">
        <f>OR(AND(IF(Metadata!Z294="",FALSE,TRUE),EXACT(Metadata!Z294,"not applicable")),AND(IF(Metadata!Z294="",FALSE,TRUE),OR(EXACT(Metadata!Z294,"beer"),EXACT(Metadata!Z294,"cheese"),EXACT(Metadata!Z294,"fresh water"),EXACT(Metadata!Z294,"marine sediment"),EXACT(Metadata!Z294,"sea water"),EXACT(Metadata!Z294,"sediment"),EXACT(Metadata!Z294,"soil"),EXACT(Metadata!Z294,"waste water"))))</f>
        <v>0</v>
      </c>
      <c r="BN294" t="b">
        <f>AND(IF(Metadata!AA294="",FALSE,TRUE),EXACT(Metadata!AA294,"metagenome"))</f>
        <v>0</v>
      </c>
      <c r="BO294" t="b">
        <f>AND(IF(Metadata!AB294="",FALSE,TRUE),EXACT(Metadata!AB294,"256318"))</f>
        <v>0</v>
      </c>
      <c r="BP294" t="b">
        <f>IF(Metadata!AC294="",FALSE,TRUE)</f>
        <v>0</v>
      </c>
      <c r="BQ294" t="b">
        <f>IF(Metadata!AD294="",FALSE,TRUE)</f>
        <v>0</v>
      </c>
    </row>
    <row r="295" spans="1:69" x14ac:dyDescent="0.2">
      <c r="A295" s="4" t="e">
        <f ca="1">IF(B295=" "," ",HYPERLINK(CONCATENATE("#metadata!",ADDRESS(INDEX($AJ$2:$AJ$1001,MATCH(ROWS($AH$2:AH295),$AH$2:$AH$1001,0),0),2)),INDEX($AM$2:$AM$1001,MATCH(ROWS($AH$2:AH295),$AH$2:$AH$1001,0),0)))</f>
        <v>#N/A</v>
      </c>
      <c r="B295" s="5" t="e">
        <f ca="1">IF(OR(INDEX($AI$2:$AI$1001,MATCH(ROWS($AH$2:AH295),$AH$2:$AH$1001,0),1)&gt;=100000,INDEX($AO$1005:$BQ$1005,1,MATCH(COLUMNS($AO$1006:AO1006),$AO$1006:$BQ$1006,0))&gt;=100000), " ",IF(INDEX($AO$2:$BQ$1001,MATCH(ROWS($AH$2:AH295),$AH$2:$AH$1001,0),MATCH(COLUMNS($AO$1006:AO1006),$AO$1006:$BQ$1006,0)), HYPERLINK("#",""), HYPERLINK(CONCATENATE("#Metadata!", ADDRESS(INDEX($AJ$2:$AJ$1001,MATCH(ROWS($AH$2:AH295),$AH$2:$AH$1001,0),0), INDEX($AO$1004:$BQ$1004,1,MATCH(COLUMNS($AO$1006:AO1006),$AO$1006:$BQ$1006,0)))),"Fix")))</f>
        <v>#N/A</v>
      </c>
      <c r="C295" s="5" t="e">
        <f ca="1">IF(OR(INDEX($AI$2:$AI$1001,MATCH(ROWS($AH$2:AH295),$AH$2:$AH$1001,0),1)&gt;=100000,INDEX($AO$1005:$BQ$1005,1,MATCH(COLUMNS($AO$1006:AP1006),$AO$1006:$BQ$1006,0))&gt;=100000), " ",IF(INDEX($AO$2:$BQ$1001,MATCH(ROWS($AH$2:AH295),$AH$2:$AH$1001,0),MATCH(COLUMNS($AO$1006:AP1006),$AO$1006:$BQ$1006,0)), HYPERLINK("#",""), HYPERLINK(CONCATENATE("#Metadata!", ADDRESS(INDEX($AJ$2:$AJ$1001,MATCH(ROWS($AH$2:AH295),$AH$2:$AH$1001,0),0), INDEX($AO$1004:$BQ$1004,1,MATCH(COLUMNS($AO$1006:AP1006),$AO$1006:$BQ$1006,0)))),"Fix")))</f>
        <v>#N/A</v>
      </c>
      <c r="D295" s="5" t="e">
        <f ca="1">IF(OR(INDEX($AI$2:$AI$1001,MATCH(ROWS($AH$2:AH295),$AH$2:$AH$1001,0),1)&gt;=100000,INDEX($AO$1005:$BQ$1005,1,MATCH(COLUMNS($AO$1006:AQ1006),$AO$1006:$BQ$1006,0))&gt;=100000), " ",IF(INDEX($AO$2:$BQ$1001,MATCH(ROWS($AH$2:AH295),$AH$2:$AH$1001,0),MATCH(COLUMNS($AO$1006:AQ1006),$AO$1006:$BQ$1006,0)), HYPERLINK("#",""), HYPERLINK(CONCATENATE("#Metadata!", ADDRESS(INDEX($AJ$2:$AJ$1001,MATCH(ROWS($AH$2:AH295),$AH$2:$AH$1001,0),0), INDEX($AO$1004:$BQ$1004,1,MATCH(COLUMNS($AO$1006:AQ1006),$AO$1006:$BQ$1006,0)))),"Fix")))</f>
        <v>#N/A</v>
      </c>
      <c r="E295" s="5" t="e">
        <f ca="1">IF(OR(INDEX($AI$2:$AI$1001,MATCH(ROWS($AH$2:AH295),$AH$2:$AH$1001,0),1)&gt;=100000,INDEX($AO$1005:$BQ$1005,1,MATCH(COLUMNS($AO$1006:AR1006),$AO$1006:$BQ$1006,0))&gt;=100000), " ",IF(INDEX($AO$2:$BQ$1001,MATCH(ROWS($AH$2:AH295),$AH$2:$AH$1001,0),MATCH(COLUMNS($AO$1006:AR1006),$AO$1006:$BQ$1006,0)), HYPERLINK("#",""), HYPERLINK(CONCATENATE("#Metadata!", ADDRESS(INDEX($AJ$2:$AJ$1001,MATCH(ROWS($AH$2:AH295),$AH$2:$AH$1001,0),0), INDEX($AO$1004:$BQ$1004,1,MATCH(COLUMNS($AO$1006:AR1006),$AO$1006:$BQ$1006,0)))),"Fix")))</f>
        <v>#N/A</v>
      </c>
      <c r="F295" s="5" t="e">
        <f ca="1">IF(OR(INDEX($AI$2:$AI$1001,MATCH(ROWS($AH$2:AH295),$AH$2:$AH$1001,0),1)&gt;=100000,INDEX($AO$1005:$BQ$1005,1,MATCH(COLUMNS($AO$1006:AS1006),$AO$1006:$BQ$1006,0))&gt;=100000), " ",IF(INDEX($AO$2:$BQ$1001,MATCH(ROWS($AH$2:AH295),$AH$2:$AH$1001,0),MATCH(COLUMNS($AO$1006:AS1006),$AO$1006:$BQ$1006,0)), HYPERLINK("#",""), HYPERLINK(CONCATENATE("#Metadata!", ADDRESS(INDEX($AJ$2:$AJ$1001,MATCH(ROWS($AH$2:AH295),$AH$2:$AH$1001,0),0), INDEX($AO$1004:$BQ$1004,1,MATCH(COLUMNS($AO$1006:AS1006),$AO$1006:$BQ$1006,0)))),"Fix")))</f>
        <v>#N/A</v>
      </c>
      <c r="G295" s="5" t="e">
        <f ca="1">IF(OR(INDEX($AI$2:$AI$1001,MATCH(ROWS($AH$2:AH295),$AH$2:$AH$1001,0),1)&gt;=100000,INDEX($AO$1005:$BQ$1005,1,MATCH(COLUMNS($AO$1006:AT1006),$AO$1006:$BQ$1006,0))&gt;=100000), " ",IF(INDEX($AO$2:$BQ$1001,MATCH(ROWS($AH$2:AH295),$AH$2:$AH$1001,0),MATCH(COLUMNS($AO$1006:AT1006),$AO$1006:$BQ$1006,0)), HYPERLINK("#",""), HYPERLINK(CONCATENATE("#Metadata!", ADDRESS(INDEX($AJ$2:$AJ$1001,MATCH(ROWS($AH$2:AH295),$AH$2:$AH$1001,0),0), INDEX($AO$1004:$BQ$1004,1,MATCH(COLUMNS($AO$1006:AT1006),$AO$1006:$BQ$1006,0)))),"Fix")))</f>
        <v>#N/A</v>
      </c>
      <c r="H295" s="5" t="e">
        <f ca="1">IF(OR(INDEX($AI$2:$AI$1001,MATCH(ROWS($AH$2:AH295),$AH$2:$AH$1001,0),1)&gt;=100000,INDEX($AO$1005:$BQ$1005,1,MATCH(COLUMNS($AO$1006:AU1006),$AO$1006:$BQ$1006,0))&gt;=100000), " ",IF(INDEX($AO$2:$BQ$1001,MATCH(ROWS($AH$2:AH295),$AH$2:$AH$1001,0),MATCH(COLUMNS($AO$1006:AU1006),$AO$1006:$BQ$1006,0)), HYPERLINK("#",""), HYPERLINK(CONCATENATE("#Metadata!", ADDRESS(INDEX($AJ$2:$AJ$1001,MATCH(ROWS($AH$2:AH295),$AH$2:$AH$1001,0),0), INDEX($AO$1004:$BQ$1004,1,MATCH(COLUMNS($AO$1006:AU1006),$AO$1006:$BQ$1006,0)))),"Fix")))</f>
        <v>#N/A</v>
      </c>
      <c r="I295" s="5" t="e">
        <f ca="1">IF(OR(INDEX($AI$2:$AI$1001,MATCH(ROWS($AH$2:AH295),$AH$2:$AH$1001,0),1)&gt;=100000,INDEX($AO$1005:$BQ$1005,1,MATCH(COLUMNS($AO$1006:AV1006),$AO$1006:$BQ$1006,0))&gt;=100000), " ",IF(INDEX($AO$2:$BQ$1001,MATCH(ROWS($AH$2:AH295),$AH$2:$AH$1001,0),MATCH(COLUMNS($AO$1006:AV1006),$AO$1006:$BQ$1006,0)), HYPERLINK("#",""), HYPERLINK(CONCATENATE("#Metadata!", ADDRESS(INDEX($AJ$2:$AJ$1001,MATCH(ROWS($AH$2:AH295),$AH$2:$AH$1001,0),0), INDEX($AO$1004:$BQ$1004,1,MATCH(COLUMNS($AO$1006:AV1006),$AO$1006:$BQ$1006,0)))),"Fix")))</f>
        <v>#N/A</v>
      </c>
      <c r="J295" s="5" t="e">
        <f ca="1">IF(OR(INDEX($AI$2:$AI$1001,MATCH(ROWS($AH$2:AH295),$AH$2:$AH$1001,0),1)&gt;=100000,INDEX($AO$1005:$BQ$1005,1,MATCH(COLUMNS($AO$1006:AW1006),$AO$1006:$BQ$1006,0))&gt;=100000), " ",IF(INDEX($AO$2:$BQ$1001,MATCH(ROWS($AH$2:AH295),$AH$2:$AH$1001,0),MATCH(COLUMNS($AO$1006:AW1006),$AO$1006:$BQ$1006,0)), HYPERLINK("#",""), HYPERLINK(CONCATENATE("#Metadata!", ADDRESS(INDEX($AJ$2:$AJ$1001,MATCH(ROWS($AH$2:AH295),$AH$2:$AH$1001,0),0), INDEX($AO$1004:$BQ$1004,1,MATCH(COLUMNS($AO$1006:AW1006),$AO$1006:$BQ$1006,0)))),"Fix")))</f>
        <v>#N/A</v>
      </c>
      <c r="K295" s="5" t="e">
        <f ca="1">IF(OR(INDEX($AI$2:$AI$1001,MATCH(ROWS($AH$2:AH295),$AH$2:$AH$1001,0),1)&gt;=100000,INDEX($AO$1005:$BQ$1005,1,MATCH(COLUMNS($AO$1006:AX1006),$AO$1006:$BQ$1006,0))&gt;=100000), " ",IF(INDEX($AO$2:$BQ$1001,MATCH(ROWS($AH$2:AH295),$AH$2:$AH$1001,0),MATCH(COLUMNS($AO$1006:AX1006),$AO$1006:$BQ$1006,0)), HYPERLINK("#",""), HYPERLINK(CONCATENATE("#Metadata!", ADDRESS(INDEX($AJ$2:$AJ$1001,MATCH(ROWS($AH$2:AH295),$AH$2:$AH$1001,0),0), INDEX($AO$1004:$BQ$1004,1,MATCH(COLUMNS($AO$1006:AX1006),$AO$1006:$BQ$1006,0)))),"Fix")))</f>
        <v>#N/A</v>
      </c>
      <c r="L295" s="5" t="e">
        <f ca="1">IF(OR(INDEX($AI$2:$AI$1001,MATCH(ROWS($AH$2:AH295),$AH$2:$AH$1001,0),1)&gt;=100000,INDEX($AO$1005:$BQ$1005,1,MATCH(COLUMNS($AO$1006:AY1006),$AO$1006:$BQ$1006,0))&gt;=100000), " ",IF(INDEX($AO$2:$BQ$1001,MATCH(ROWS($AH$2:AH295),$AH$2:$AH$1001,0),MATCH(COLUMNS($AO$1006:AY1006),$AO$1006:$BQ$1006,0)), HYPERLINK("#",""), HYPERLINK(CONCATENATE("#Metadata!", ADDRESS(INDEX($AJ$2:$AJ$1001,MATCH(ROWS($AH$2:AH295),$AH$2:$AH$1001,0),0), INDEX($AO$1004:$BQ$1004,1,MATCH(COLUMNS($AO$1006:AY1006),$AO$1006:$BQ$1006,0)))),"Fix")))</f>
        <v>#N/A</v>
      </c>
      <c r="M295" s="5" t="e">
        <f ca="1">IF(OR(INDEX($AI$2:$AI$1001,MATCH(ROWS($AH$2:AH295),$AH$2:$AH$1001,0),1)&gt;=100000,INDEX($AO$1005:$BQ$1005,1,MATCH(COLUMNS($AO$1006:AZ1006),$AO$1006:$BQ$1006,0))&gt;=100000), " ",IF(INDEX($AO$2:$BQ$1001,MATCH(ROWS($AH$2:AH295),$AH$2:$AH$1001,0),MATCH(COLUMNS($AO$1006:AZ1006),$AO$1006:$BQ$1006,0)), HYPERLINK("#",""), HYPERLINK(CONCATENATE("#Metadata!", ADDRESS(INDEX($AJ$2:$AJ$1001,MATCH(ROWS($AH$2:AH295),$AH$2:$AH$1001,0),0), INDEX($AO$1004:$BQ$1004,1,MATCH(COLUMNS($AO$1006:AZ1006),$AO$1006:$BQ$1006,0)))),"Fix")))</f>
        <v>#N/A</v>
      </c>
      <c r="N295" s="5" t="e">
        <f ca="1">IF(OR(INDEX($AI$2:$AI$1001,MATCH(ROWS($AH$2:AH295),$AH$2:$AH$1001,0),1)&gt;=100000,INDEX($AO$1005:$BQ$1005,1,MATCH(COLUMNS($AO$1006:BA1006),$AO$1006:$BQ$1006,0))&gt;=100000), " ",IF(INDEX($AO$2:$BQ$1001,MATCH(ROWS($AH$2:AH295),$AH$2:$AH$1001,0),MATCH(COLUMNS($AO$1006:BA1006),$AO$1006:$BQ$1006,0)), HYPERLINK("#",""), HYPERLINK(CONCATENATE("#Metadata!", ADDRESS(INDEX($AJ$2:$AJ$1001,MATCH(ROWS($AH$2:AH295),$AH$2:$AH$1001,0),0), INDEX($AO$1004:$BQ$1004,1,MATCH(COLUMNS($AO$1006:BA1006),$AO$1006:$BQ$1006,0)))),"Fix")))</f>
        <v>#N/A</v>
      </c>
      <c r="O295" s="5" t="e">
        <f ca="1">IF(OR(INDEX($AI$2:$AI$1001,MATCH(ROWS($AH$2:AH295),$AH$2:$AH$1001,0),1)&gt;=100000,INDEX($AO$1005:$BQ$1005,1,MATCH(COLUMNS($AO$1006:BB1006),$AO$1006:$BQ$1006,0))&gt;=100000), " ",IF(INDEX($AO$2:$BQ$1001,MATCH(ROWS($AH$2:AH295),$AH$2:$AH$1001,0),MATCH(COLUMNS($AO$1006:BB1006),$AO$1006:$BQ$1006,0)), HYPERLINK("#",""), HYPERLINK(CONCATENATE("#Metadata!", ADDRESS(INDEX($AJ$2:$AJ$1001,MATCH(ROWS($AH$2:AH295),$AH$2:$AH$1001,0),0), INDEX($AO$1004:$BQ$1004,1,MATCH(COLUMNS($AO$1006:BB1006),$AO$1006:$BQ$1006,0)))),"Fix")))</f>
        <v>#N/A</v>
      </c>
      <c r="P295" s="5" t="e">
        <f ca="1">IF(OR(INDEX($AI$2:$AI$1001,MATCH(ROWS($AH$2:AH295),$AH$2:$AH$1001,0),1)&gt;=100000,INDEX($AO$1005:$BQ$1005,1,MATCH(COLUMNS($AO$1006:BC1006),$AO$1006:$BQ$1006,0))&gt;=100000), " ",IF(INDEX($AO$2:$BQ$1001,MATCH(ROWS($AH$2:AH295),$AH$2:$AH$1001,0),MATCH(COLUMNS($AO$1006:BC1006),$AO$1006:$BQ$1006,0)), HYPERLINK("#",""), HYPERLINK(CONCATENATE("#Metadata!", ADDRESS(INDEX($AJ$2:$AJ$1001,MATCH(ROWS($AH$2:AH295),$AH$2:$AH$1001,0),0), INDEX($AO$1004:$BQ$1004,1,MATCH(COLUMNS($AO$1006:BC1006),$AO$1006:$BQ$1006,0)))),"Fix")))</f>
        <v>#N/A</v>
      </c>
      <c r="Q295" s="5" t="e">
        <f ca="1">IF(OR(INDEX($AI$2:$AI$1001,MATCH(ROWS($AH$2:AH295),$AH$2:$AH$1001,0),1)&gt;=100000,INDEX($AO$1005:$BQ$1005,1,MATCH(COLUMNS($AO$1006:BD1006),$AO$1006:$BQ$1006,0))&gt;=100000), " ",IF(INDEX($AO$2:$BQ$1001,MATCH(ROWS($AH$2:AH295),$AH$2:$AH$1001,0),MATCH(COLUMNS($AO$1006:BD1006),$AO$1006:$BQ$1006,0)), HYPERLINK("#",""), HYPERLINK(CONCATENATE("#Metadata!", ADDRESS(INDEX($AJ$2:$AJ$1001,MATCH(ROWS($AH$2:AH295),$AH$2:$AH$1001,0),0), INDEX($AO$1004:$BQ$1004,1,MATCH(COLUMNS($AO$1006:BD1006),$AO$1006:$BQ$1006,0)))),"Fix")))</f>
        <v>#N/A</v>
      </c>
      <c r="R295" s="5" t="e">
        <f ca="1">IF(OR(INDEX($AI$2:$AI$1001,MATCH(ROWS($AH$2:AH295),$AH$2:$AH$1001,0),1)&gt;=100000,INDEX($AO$1005:$BQ$1005,1,MATCH(COLUMNS($AO$1006:BE1006),$AO$1006:$BQ$1006,0))&gt;=100000), " ",IF(INDEX($AO$2:$BQ$1001,MATCH(ROWS($AH$2:AH295),$AH$2:$AH$1001,0),MATCH(COLUMNS($AO$1006:BE1006),$AO$1006:$BQ$1006,0)), HYPERLINK("#",""), HYPERLINK(CONCATENATE("#Metadata!", ADDRESS(INDEX($AJ$2:$AJ$1001,MATCH(ROWS($AH$2:AH295),$AH$2:$AH$1001,0),0), INDEX($AO$1004:$BQ$1004,1,MATCH(COLUMNS($AO$1006:BE1006),$AO$1006:$BQ$1006,0)))),"Fix")))</f>
        <v>#N/A</v>
      </c>
      <c r="S295" s="5" t="e">
        <f ca="1">IF(OR(INDEX($AI$2:$AI$1001,MATCH(ROWS($AH$2:AH295),$AH$2:$AH$1001,0),1)&gt;=100000,INDEX($AO$1005:$BQ$1005,1,MATCH(COLUMNS($AO$1006:BF1006),$AO$1006:$BQ$1006,0))&gt;=100000), " ",IF(INDEX($AO$2:$BQ$1001,MATCH(ROWS($AH$2:AH295),$AH$2:$AH$1001,0),MATCH(COLUMNS($AO$1006:BF1006),$AO$1006:$BQ$1006,0)), HYPERLINK("#",""), HYPERLINK(CONCATENATE("#Metadata!", ADDRESS(INDEX($AJ$2:$AJ$1001,MATCH(ROWS($AH$2:AH295),$AH$2:$AH$1001,0),0), INDEX($AO$1004:$BQ$1004,1,MATCH(COLUMNS($AO$1006:BF1006),$AO$1006:$BQ$1006,0)))),"Fix")))</f>
        <v>#N/A</v>
      </c>
      <c r="T295" s="5" t="e">
        <f ca="1">IF(OR(INDEX($AI$2:$AI$1001,MATCH(ROWS($AH$2:AH295),$AH$2:$AH$1001,0),1)&gt;=100000,INDEX($AO$1005:$BQ$1005,1,MATCH(COLUMNS($AO$1006:BG1006),$AO$1006:$BQ$1006,0))&gt;=100000), " ",IF(INDEX($AO$2:$BQ$1001,MATCH(ROWS($AH$2:AH295),$AH$2:$AH$1001,0),MATCH(COLUMNS($AO$1006:BG1006),$AO$1006:$BQ$1006,0)), HYPERLINK("#",""), HYPERLINK(CONCATENATE("#Metadata!", ADDRESS(INDEX($AJ$2:$AJ$1001,MATCH(ROWS($AH$2:AH295),$AH$2:$AH$1001,0),0), INDEX($AO$1004:$BQ$1004,1,MATCH(COLUMNS($AO$1006:BG1006),$AO$1006:$BQ$1006,0)))),"Fix")))</f>
        <v>#N/A</v>
      </c>
      <c r="U295" s="5" t="e">
        <f ca="1">IF(OR(INDEX($AI$2:$AI$1001,MATCH(ROWS($AH$2:AH295),$AH$2:$AH$1001,0),1)&gt;=100000,INDEX($AO$1005:$BQ$1005,1,MATCH(COLUMNS($AO$1006:BH1006),$AO$1006:$BQ$1006,0))&gt;=100000), " ",IF(INDEX($AO$2:$BQ$1001,MATCH(ROWS($AH$2:AH295),$AH$2:$AH$1001,0),MATCH(COLUMNS($AO$1006:BH1006),$AO$1006:$BQ$1006,0)), HYPERLINK("#",""), HYPERLINK(CONCATENATE("#Metadata!", ADDRESS(INDEX($AJ$2:$AJ$1001,MATCH(ROWS($AH$2:AH295),$AH$2:$AH$1001,0),0), INDEX($AO$1004:$BQ$1004,1,MATCH(COLUMNS($AO$1006:BH1006),$AO$1006:$BQ$1006,0)))),"Fix")))</f>
        <v>#N/A</v>
      </c>
      <c r="V295" s="5" t="e">
        <f ca="1">IF(OR(INDEX($AI$2:$AI$1001,MATCH(ROWS($AH$2:AH295),$AH$2:$AH$1001,0),1)&gt;=100000,INDEX($AO$1005:$BQ$1005,1,MATCH(COLUMNS($AO$1006:BI1006),$AO$1006:$BQ$1006,0))&gt;=100000), " ",IF(INDEX($AO$2:$BQ$1001,MATCH(ROWS($AH$2:AH295),$AH$2:$AH$1001,0),MATCH(COLUMNS($AO$1006:BI1006),$AO$1006:$BQ$1006,0)), HYPERLINK("#",""), HYPERLINK(CONCATENATE("#Metadata!", ADDRESS(INDEX($AJ$2:$AJ$1001,MATCH(ROWS($AH$2:AH295),$AH$2:$AH$1001,0),0), INDEX($AO$1004:$BQ$1004,1,MATCH(COLUMNS($AO$1006:BI1006),$AO$1006:$BQ$1006,0)))),"Fix")))</f>
        <v>#N/A</v>
      </c>
      <c r="W295" s="5" t="e">
        <f ca="1">IF(OR(INDEX($AI$2:$AI$1001,MATCH(ROWS($AH$2:AH295),$AH$2:$AH$1001,0),1)&gt;=100000,INDEX($AO$1005:$BQ$1005,1,MATCH(COLUMNS($AO$1006:BJ1006),$AO$1006:$BQ$1006,0))&gt;=100000), " ",IF(INDEX($AO$2:$BQ$1001,MATCH(ROWS($AH$2:AH295),$AH$2:$AH$1001,0),MATCH(COLUMNS($AO$1006:BJ1006),$AO$1006:$BQ$1006,0)), HYPERLINK("#",""), HYPERLINK(CONCATENATE("#Metadata!", ADDRESS(INDEX($AJ$2:$AJ$1001,MATCH(ROWS($AH$2:AH295),$AH$2:$AH$1001,0),0), INDEX($AO$1004:$BQ$1004,1,MATCH(COLUMNS($AO$1006:BJ1006),$AO$1006:$BQ$1006,0)))),"Fix")))</f>
        <v>#N/A</v>
      </c>
      <c r="X295" s="5" t="e">
        <f ca="1">IF(OR(INDEX($AI$2:$AI$1001,MATCH(ROWS($AH$2:AH295),$AH$2:$AH$1001,0),1)&gt;=100000,INDEX($AO$1005:$BQ$1005,1,MATCH(COLUMNS($AO$1006:BK1006),$AO$1006:$BQ$1006,0))&gt;=100000), " ",IF(INDEX($AO$2:$BQ$1001,MATCH(ROWS($AH$2:AH295),$AH$2:$AH$1001,0),MATCH(COLUMNS($AO$1006:BK1006),$AO$1006:$BQ$1006,0)), HYPERLINK("#",""), HYPERLINK(CONCATENATE("#Metadata!", ADDRESS(INDEX($AJ$2:$AJ$1001,MATCH(ROWS($AH$2:AH295),$AH$2:$AH$1001,0),0), INDEX($AO$1004:$BQ$1004,1,MATCH(COLUMNS($AO$1006:BK1006),$AO$1006:$BQ$1006,0)))),"Fix")))</f>
        <v>#N/A</v>
      </c>
      <c r="Y295" s="5" t="e">
        <f ca="1">IF(OR(INDEX($AI$2:$AI$1001,MATCH(ROWS($AH$2:AH295),$AH$2:$AH$1001,0),1)&gt;=100000,INDEX($AO$1005:$BQ$1005,1,MATCH(COLUMNS($AO$1006:BL1006),$AO$1006:$BQ$1006,0))&gt;=100000), " ",IF(INDEX($AO$2:$BQ$1001,MATCH(ROWS($AH$2:AH295),$AH$2:$AH$1001,0),MATCH(COLUMNS($AO$1006:BL1006),$AO$1006:$BQ$1006,0)), HYPERLINK("#",""), HYPERLINK(CONCATENATE("#Metadata!", ADDRESS(INDEX($AJ$2:$AJ$1001,MATCH(ROWS($AH$2:AH295),$AH$2:$AH$1001,0),0), INDEX($AO$1004:$BQ$1004,1,MATCH(COLUMNS($AO$1006:BL1006),$AO$1006:$BQ$1006,0)))),"Fix")))</f>
        <v>#N/A</v>
      </c>
      <c r="Z295" s="5" t="e">
        <f ca="1">IF(OR(INDEX($AI$2:$AI$1001,MATCH(ROWS($AH$2:AH295),$AH$2:$AH$1001,0),1)&gt;=100000,INDEX($AO$1005:$BQ$1005,1,MATCH(COLUMNS($AO$1006:BM1006),$AO$1006:$BQ$1006,0))&gt;=100000), " ",IF(INDEX($AO$2:$BQ$1001,MATCH(ROWS($AH$2:AH295),$AH$2:$AH$1001,0),MATCH(COLUMNS($AO$1006:BM1006),$AO$1006:$BQ$1006,0)), HYPERLINK("#",""), HYPERLINK(CONCATENATE("#Metadata!", ADDRESS(INDEX($AJ$2:$AJ$1001,MATCH(ROWS($AH$2:AH295),$AH$2:$AH$1001,0),0), INDEX($AO$1004:$BQ$1004,1,MATCH(COLUMNS($AO$1006:BM1006),$AO$1006:$BQ$1006,0)))),"Fix")))</f>
        <v>#N/A</v>
      </c>
      <c r="AA295" s="5" t="e">
        <f ca="1">IF(OR(INDEX($AI$2:$AI$1001,MATCH(ROWS($AH$2:AH295),$AH$2:$AH$1001,0),1)&gt;=100000,INDEX($AO$1005:$BQ$1005,1,MATCH(COLUMNS($AO$1006:BN1006),$AO$1006:$BQ$1006,0))&gt;=100000), " ",IF(INDEX($AO$2:$BQ$1001,MATCH(ROWS($AH$2:AH295),$AH$2:$AH$1001,0),MATCH(COLUMNS($AO$1006:BN1006),$AO$1006:$BQ$1006,0)), HYPERLINK("#",""), HYPERLINK(CONCATENATE("#Metadata!", ADDRESS(INDEX($AJ$2:$AJ$1001,MATCH(ROWS($AH$2:AH295),$AH$2:$AH$1001,0),0), INDEX($AO$1004:$BQ$1004,1,MATCH(COLUMNS($AO$1006:BN1006),$AO$1006:$BQ$1006,0)))),"Fix")))</f>
        <v>#N/A</v>
      </c>
      <c r="AB295" s="5" t="e">
        <f ca="1">IF(OR(INDEX($AI$2:$AI$1001,MATCH(ROWS($AH$2:AH295),$AH$2:$AH$1001,0),1)&gt;=100000,INDEX($AO$1005:$BQ$1005,1,MATCH(COLUMNS($AO$1006:BO1006),$AO$1006:$BQ$1006,0))&gt;=100000), " ",IF(INDEX($AO$2:$BQ$1001,MATCH(ROWS($AH$2:AH295),$AH$2:$AH$1001,0),MATCH(COLUMNS($AO$1006:BO1006),$AO$1006:$BQ$1006,0)), HYPERLINK("#",""), HYPERLINK(CONCATENATE("#Metadata!", ADDRESS(INDEX($AJ$2:$AJ$1001,MATCH(ROWS($AH$2:AH295),$AH$2:$AH$1001,0),0), INDEX($AO$1004:$BQ$1004,1,MATCH(COLUMNS($AO$1006:BO1006),$AO$1006:$BQ$1006,0)))),"Fix")))</f>
        <v>#N/A</v>
      </c>
      <c r="AC295" s="5" t="e">
        <f ca="1">IF(OR(INDEX($AI$2:$AI$1001,MATCH(ROWS($AH$2:AH295),$AH$2:$AH$1001,0),1)&gt;=100000,INDEX($AO$1005:$BQ$1005,1,MATCH(COLUMNS($AO$1006:BP1006),$AO$1006:$BQ$1006,0))&gt;=100000), " ",IF(INDEX($AO$2:$BQ$1001,MATCH(ROWS($AH$2:AH295),$AH$2:$AH$1001,0),MATCH(COLUMNS($AO$1006:BP1006),$AO$1006:$BQ$1006,0)), HYPERLINK("#",""), HYPERLINK(CONCATENATE("#Metadata!", ADDRESS(INDEX($AJ$2:$AJ$1001,MATCH(ROWS($AH$2:AH295),$AH$2:$AH$1001,0),0), INDEX($AO$1004:$BQ$1004,1,MATCH(COLUMNS($AO$1006:BP1006),$AO$1006:$BQ$1006,0)))),"Fix")))</f>
        <v>#N/A</v>
      </c>
      <c r="AD295" s="5" t="e">
        <f ca="1">IF(OR(INDEX($AI$2:$AI$1001,MATCH(ROWS($AH$2:AH295),$AH$2:$AH$1001,0),1)&gt;=100000,INDEX($AO$1005:$BQ$1005,1,MATCH(COLUMNS($AO$1006:BQ1006),$AO$1006:$BQ$1006,0))&gt;=100000), " ",IF(INDEX($AO$2:$BQ$1001,MATCH(ROWS($AH$2:AH295),$AH$2:$AH$1001,0),MATCH(COLUMNS($AO$1006:BQ1006),$AO$1006:$BQ$1006,0)), HYPERLINK("#",""), HYPERLINK(CONCATENATE("#Metadata!", ADDRESS(INDEX($AJ$2:$AJ$1001,MATCH(ROWS($AH$2:AH295),$AH$2:$AH$1001,0),0), INDEX($AO$1004:$BQ$1004,1,MATCH(COLUMNS($AO$1006:BQ1006),$AO$1006:$BQ$1006,0)))),"Fix")))</f>
        <v>#REF!</v>
      </c>
      <c r="AH295">
        <f ca="1"/>
        <v>292</v>
      </c>
      <c r="AI295">
        <v>100295</v>
      </c>
      <c r="AJ295">
        <v>295</v>
      </c>
      <c r="AK295" t="b">
        <f t="shared" si="4"/>
        <v>1</v>
      </c>
      <c r="AL295" t="b">
        <f>COUNTBLANK(Metadata!B295:AD295)=COLUMNS(Metadata!B295:AD295)</f>
        <v>1</v>
      </c>
      <c r="AM295" t="str">
        <v/>
      </c>
      <c r="AO295" t="b">
        <f ca="1">AND(IF(Metadata!B295="",FALSE,TRUE),COUNTIF(Metadata!B:B, Metadata!B295) = 1,NOT(ISERROR(SUMPRODUCT(SEARCH(MID(Metadata!B295,ROW(INDIRECT("1:"&amp;LEN(Metadata!B295))), 1),"0123456789abcdefghijklmnopqrstuvwxyzABCDEFGHIJKLMNOPQRSTUVWXYZ.")))))</f>
        <v>0</v>
      </c>
      <c r="AP295" t="b">
        <f>IF(Metadata!C295="",FALSE,TRUE)</f>
        <v>0</v>
      </c>
      <c r="AQ295" t="b">
        <f>IF(Metadata!D295="",FALSE,TRUE)</f>
        <v>0</v>
      </c>
      <c r="AR295" t="b">
        <f ca="1">OR(AND(IF(Metadata!E295="",FALSE,TRUE),OR(EXACT(Metadata!E295,"not collected"),EXACT(Metadata!E295,"not provided"),EXACT(Metadata!E295,"restricted access"))),AND(IF(Metadata!E295="",FALSE,TRUE),AND(AND(IFERROR(INT(LEFT(Metadata!E295,4))&gt;1900,FALSE),IFERROR(INT(LEFT(Metadata!E295,4))&lt;=YEAR(NOW()),FALSE)), OR(MID(Metadata!E295,5,1)="", AND(AND(MID(Metadata!E295,5,1)="-",IFERROR(INT(MID(Metadata!E295,6,1))&gt;=0,FALSE),IFERROR(INT(MID(Metadata!E295,6,1))&lt;=1,FALSE),NOT(MID(Metadata!E295,7,1)=""),IFERROR(INT(MID(Metadata!E295,6,2))&gt;=1,FALSE),IFERROR(INT(MID(Metadata!E295,6,2))&lt;=12,FALSE)), OR(MID(Metadata!E295,8,1)="", AND(AND(MID(Metadata!E295,8,1)="-",IFERROR(INT(MID(Metadata!E295,9,1))&gt;=0,FALSE),IFERROR(INT(MID(Metadata!E295,9,1))&lt;=3,FALSE),NOT(MID(Metadata!E295,10,1)=""),IFERROR(INT(MID(Metadata!E295,9,2))&gt;=1,FALSE),IFERROR(INT(MID(Metadata!E295,9,2))&lt;=31,FALSE)), OR(MID(Metadata!E295,11,1)="", AND(AND(MID(Metadata!E295,11,1)=" ",IFERROR(INT(MID(Metadata!E295,12,1))&gt;=0,FALSE),IFERROR(INT(MID(Metadata!E295,12,1))&lt;=2,FALSE),NOT(MID(Metadata!E295,13,1)=""),IFERROR(INT(MID(Metadata!E295,12,2))&gt;=0,FALSE),IFERROR(INT(MID(Metadata!E295,12,2))&lt;=23,FALSE)), OR(MID(Metadata!E295,14,1)="", AND(AND(MID(Metadata!E295,14,1)=":",IFERROR(INT(MID(Metadata!E295,15,1))&gt;=0,FALSE),IFERROR(INT(MID(Metadata!E295,15,1))&lt;=5,FALSE),NOT(MID(Metadata!E295,16,1)=""),IFERROR(INT(MID(Metadata!E295,15,2))&gt;=0,FALSE),IFERROR(INT(MID(Metadata!E295,15,2))&lt;=59,FALSE)), OR(MID(Metadata!E295,17,1)="", AND(AND(MID(Metadata!E295,17,1)=":",IFERROR(INT(MID(Metadata!E295,18,1))&gt;=0,FALSE),IFERROR(INT(MID(Metadata!E295,18,1))&lt;=5,FALSE),NOT(MID(Metadata!E295,19,1)=""),IFERROR(INT(MID(Metadata!E295,18,2))&gt;=0,FALSE),IFERROR(INT(MID(Metadata!E295,18,2))&lt;=59,FALSE)), LEN(Metadata!E295)&lt;=19)))))))))))))</f>
        <v>0</v>
      </c>
      <c r="AS295" t="b">
        <f>IF(Metadata!F295="",FALSE,TRUE)</f>
        <v>0</v>
      </c>
      <c r="AT295" t="b">
        <f>OR(AND(IF(Metadata!G295="",FALSE,TRUE),OR(EXACT(Metadata!G295,"not collected"),EXACT(Metadata!G295,"not provided"))),AND(IF(Metadata!G295="",FALSE,TRUE),OR(EXACT(Metadata!G295,"TRUE"),EXACT(Metadata!G295,"FALSE"))))</f>
        <v>0</v>
      </c>
      <c r="AU295" t="b">
        <f>OR(AND(IF(Metadata!H295="",FALSE,TRUE),OR(EXACT(Metadata!H295,"not collected"),EXACT(Metadata!H295,"not provided"),EXACT(Metadata!H295,"restricted access"))),AND(IF(Metadata!H295="",FALSE,ISNUMBER(VALUE(Metadata!H295))),Metadata!H295&gt;=-413))</f>
        <v>0</v>
      </c>
      <c r="AV295" t="b">
        <f>AND(IF(Metadata!I295="",FALSE,TRUE),EXACT(Metadata!I295,"meters"))</f>
        <v>0</v>
      </c>
      <c r="AW295" t="b">
        <f>AND(IF(Metadata!J295="",FALSE,TRUE),EXACT(Metadata!J295,"free-living"))</f>
        <v>0</v>
      </c>
      <c r="AX295" t="b">
        <f>AND(IF(Metadata!K295="",FALSE,TRUE),OR(EXACT(Metadata!K295,"saline"),EXACT(Metadata!K295,"non-saline")))</f>
        <v>0</v>
      </c>
      <c r="AY295" t="b">
        <f>AND(IF(Metadata!L295="",FALSE,TRUE),OR(EXACT(Metadata!L295,"sub-surface (non-saline)"),EXACT(Metadata!L295,"surface (non-saline)"),EXACT(Metadata!L295,"water (non-saline)"),EXACT(Metadata!L295,"soil (non-saline)"),EXACT(Metadata!L295,"aerosol (non-saline)"),EXACT(Metadata!L295,"sediment (non-saline)"),EXACT(Metadata!L295,"surface (saline)"),EXACT(Metadata!L295,"water (saline)"),EXACT(Metadata!L295,"hypersaline (saline)"),EXACT(Metadata!L295,"aerosol (saline)"),EXACT(Metadata!L295,"sediment (saline)")))</f>
        <v>0</v>
      </c>
      <c r="AZ295" t="b">
        <f>IF(Metadata!M295="",FALSE,TRUE)</f>
        <v>0</v>
      </c>
      <c r="BA295" t="b">
        <f>IF(Metadata!N295="",FALSE,TRUE)</f>
        <v>0</v>
      </c>
      <c r="BB295" t="b">
        <f>IF(Metadata!O295="",FALSE,TRUE)</f>
        <v>0</v>
      </c>
      <c r="BC295" t="b">
        <f>AND(IF(Metadata!P295="",FALSE,TRUE),OR(EXACT(Metadata!P295,"air"),EXACT(Metadata!P295,"microbial mat/biofilm"),EXACT(Metadata!P295,"misc environment"),EXACT(Metadata!P295,"sediment"),EXACT(Metadata!P295,"soil"),EXACT(Metadata!P295,"wastewater/sludge"),EXACT(Metadata!P295,"water")))</f>
        <v>0</v>
      </c>
      <c r="BD295" t="b">
        <f>IF(Metadata!Q295="",FALSE,TRUE)</f>
        <v>0</v>
      </c>
      <c r="BE295" t="b">
        <f>IF(Metadata!R295="",FALSE,TRUE)</f>
        <v>0</v>
      </c>
      <c r="BF295" t="b">
        <f>OR(AND(IF(Metadata!S295="",FALSE,TRUE),OR(EXACT(Metadata!S295,"not collected"),EXACT(Metadata!S295,"not provided"),EXACT(Metadata!S295,"restricted access"))),AND(IF(Metadata!S295="",FALSE,ISNUMBER(VALUE(Metadata!S295))),Metadata!S295&gt;=-90,Metadata!S295&lt;=90))</f>
        <v>0</v>
      </c>
      <c r="BG295" t="b">
        <f>AND(IF(Metadata!T295="",FALSE,TRUE),EXACT(Metadata!T295,"Decimal degrees"))</f>
        <v>0</v>
      </c>
      <c r="BH295" t="b">
        <f>OR(AND(IF(Metadata!U295="",FALSE,TRUE),OR(EXACT(Metadata!U295,"not applicable"),EXACT(Metadata!U295,"not collected"))),IF(Metadata!U295="",FALSE,TRUE))</f>
        <v>0</v>
      </c>
      <c r="BI295" t="b">
        <f>OR(AND(IF(Metadata!V295="",FALSE,TRUE),OR(EXACT(Metadata!V295,"not collected"),EXACT(Metadata!V295,"not provided"),EXACT(Metadata!V295,"restricted access"))),AND(IF(Metadata!V295="",FALSE,ISNUMBER(VALUE(Metadata!V295))),Metadata!V295&gt;=-180,Metadata!V295&lt;=180))</f>
        <v>0</v>
      </c>
      <c r="BJ295" t="b">
        <f>AND(IF(Metadata!W295="",FALSE,TRUE),EXACT(Metadata!W295,"Decimal degrees"))</f>
        <v>0</v>
      </c>
      <c r="BK295" t="b">
        <f>IF(Metadata!X295="",FALSE,TRUE)</f>
        <v>0</v>
      </c>
      <c r="BL295" t="b">
        <f>OR(AND(IF(Metadata!Y295="",FALSE,TRUE),OR(EXACT(Metadata!Y295,"not collected"),EXACT(Metadata!Y295,"not provided"),EXACT(Metadata!Y295,"restricted access"))),AND(IF(Metadata!Y295="",FALSE,TRUE),OR(EXACT(Metadata!Y295,"TRUE"),EXACT(Metadata!Y295,"FALSE"))))</f>
        <v>0</v>
      </c>
      <c r="BM295" t="b">
        <f>OR(AND(IF(Metadata!Z295="",FALSE,TRUE),EXACT(Metadata!Z295,"not applicable")),AND(IF(Metadata!Z295="",FALSE,TRUE),OR(EXACT(Metadata!Z295,"beer"),EXACT(Metadata!Z295,"cheese"),EXACT(Metadata!Z295,"fresh water"),EXACT(Metadata!Z295,"marine sediment"),EXACT(Metadata!Z295,"sea water"),EXACT(Metadata!Z295,"sediment"),EXACT(Metadata!Z295,"soil"),EXACT(Metadata!Z295,"waste water"))))</f>
        <v>0</v>
      </c>
      <c r="BN295" t="b">
        <f>AND(IF(Metadata!AA295="",FALSE,TRUE),EXACT(Metadata!AA295,"metagenome"))</f>
        <v>0</v>
      </c>
      <c r="BO295" t="b">
        <f>AND(IF(Metadata!AB295="",FALSE,TRUE),EXACT(Metadata!AB295,"256318"))</f>
        <v>0</v>
      </c>
      <c r="BP295" t="b">
        <f>IF(Metadata!AC295="",FALSE,TRUE)</f>
        <v>0</v>
      </c>
      <c r="BQ295" t="b">
        <f>IF(Metadata!AD295="",FALSE,TRUE)</f>
        <v>0</v>
      </c>
    </row>
    <row r="296" spans="1:69" x14ac:dyDescent="0.2">
      <c r="A296" s="4" t="e">
        <f ca="1">IF(B296=" "," ",HYPERLINK(CONCATENATE("#metadata!",ADDRESS(INDEX($AJ$2:$AJ$1001,MATCH(ROWS($AH$2:AH296),$AH$2:$AH$1001,0),0),2)),INDEX($AM$2:$AM$1001,MATCH(ROWS($AH$2:AH296),$AH$2:$AH$1001,0),0)))</f>
        <v>#N/A</v>
      </c>
      <c r="B296" s="5" t="e">
        <f ca="1">IF(OR(INDEX($AI$2:$AI$1001,MATCH(ROWS($AH$2:AH296),$AH$2:$AH$1001,0),1)&gt;=100000,INDEX($AO$1005:$BQ$1005,1,MATCH(COLUMNS($AO$1006:AO1006),$AO$1006:$BQ$1006,0))&gt;=100000), " ",IF(INDEX($AO$2:$BQ$1001,MATCH(ROWS($AH$2:AH296),$AH$2:$AH$1001,0),MATCH(COLUMNS($AO$1006:AO1006),$AO$1006:$BQ$1006,0)), HYPERLINK("#",""), HYPERLINK(CONCATENATE("#Metadata!", ADDRESS(INDEX($AJ$2:$AJ$1001,MATCH(ROWS($AH$2:AH296),$AH$2:$AH$1001,0),0), INDEX($AO$1004:$BQ$1004,1,MATCH(COLUMNS($AO$1006:AO1006),$AO$1006:$BQ$1006,0)))),"Fix")))</f>
        <v>#N/A</v>
      </c>
      <c r="C296" s="5" t="e">
        <f ca="1">IF(OR(INDEX($AI$2:$AI$1001,MATCH(ROWS($AH$2:AH296),$AH$2:$AH$1001,0),1)&gt;=100000,INDEX($AO$1005:$BQ$1005,1,MATCH(COLUMNS($AO$1006:AP1006),$AO$1006:$BQ$1006,0))&gt;=100000), " ",IF(INDEX($AO$2:$BQ$1001,MATCH(ROWS($AH$2:AH296),$AH$2:$AH$1001,0),MATCH(COLUMNS($AO$1006:AP1006),$AO$1006:$BQ$1006,0)), HYPERLINK("#",""), HYPERLINK(CONCATENATE("#Metadata!", ADDRESS(INDEX($AJ$2:$AJ$1001,MATCH(ROWS($AH$2:AH296),$AH$2:$AH$1001,0),0), INDEX($AO$1004:$BQ$1004,1,MATCH(COLUMNS($AO$1006:AP1006),$AO$1006:$BQ$1006,0)))),"Fix")))</f>
        <v>#N/A</v>
      </c>
      <c r="D296" s="5" t="e">
        <f ca="1">IF(OR(INDEX($AI$2:$AI$1001,MATCH(ROWS($AH$2:AH296),$AH$2:$AH$1001,0),1)&gt;=100000,INDEX($AO$1005:$BQ$1005,1,MATCH(COLUMNS($AO$1006:AQ1006),$AO$1006:$BQ$1006,0))&gt;=100000), " ",IF(INDEX($AO$2:$BQ$1001,MATCH(ROWS($AH$2:AH296),$AH$2:$AH$1001,0),MATCH(COLUMNS($AO$1006:AQ1006),$AO$1006:$BQ$1006,0)), HYPERLINK("#",""), HYPERLINK(CONCATENATE("#Metadata!", ADDRESS(INDEX($AJ$2:$AJ$1001,MATCH(ROWS($AH$2:AH296),$AH$2:$AH$1001,0),0), INDEX($AO$1004:$BQ$1004,1,MATCH(COLUMNS($AO$1006:AQ1006),$AO$1006:$BQ$1006,0)))),"Fix")))</f>
        <v>#N/A</v>
      </c>
      <c r="E296" s="5" t="e">
        <f ca="1">IF(OR(INDEX($AI$2:$AI$1001,MATCH(ROWS($AH$2:AH296),$AH$2:$AH$1001,0),1)&gt;=100000,INDEX($AO$1005:$BQ$1005,1,MATCH(COLUMNS($AO$1006:AR1006),$AO$1006:$BQ$1006,0))&gt;=100000), " ",IF(INDEX($AO$2:$BQ$1001,MATCH(ROWS($AH$2:AH296),$AH$2:$AH$1001,0),MATCH(COLUMNS($AO$1006:AR1006),$AO$1006:$BQ$1006,0)), HYPERLINK("#",""), HYPERLINK(CONCATENATE("#Metadata!", ADDRESS(INDEX($AJ$2:$AJ$1001,MATCH(ROWS($AH$2:AH296),$AH$2:$AH$1001,0),0), INDEX($AO$1004:$BQ$1004,1,MATCH(COLUMNS($AO$1006:AR1006),$AO$1006:$BQ$1006,0)))),"Fix")))</f>
        <v>#N/A</v>
      </c>
      <c r="F296" s="5" t="e">
        <f ca="1">IF(OR(INDEX($AI$2:$AI$1001,MATCH(ROWS($AH$2:AH296),$AH$2:$AH$1001,0),1)&gt;=100000,INDEX($AO$1005:$BQ$1005,1,MATCH(COLUMNS($AO$1006:AS1006),$AO$1006:$BQ$1006,0))&gt;=100000), " ",IF(INDEX($AO$2:$BQ$1001,MATCH(ROWS($AH$2:AH296),$AH$2:$AH$1001,0),MATCH(COLUMNS($AO$1006:AS1006),$AO$1006:$BQ$1006,0)), HYPERLINK("#",""), HYPERLINK(CONCATENATE("#Metadata!", ADDRESS(INDEX($AJ$2:$AJ$1001,MATCH(ROWS($AH$2:AH296),$AH$2:$AH$1001,0),0), INDEX($AO$1004:$BQ$1004,1,MATCH(COLUMNS($AO$1006:AS1006),$AO$1006:$BQ$1006,0)))),"Fix")))</f>
        <v>#N/A</v>
      </c>
      <c r="G296" s="5" t="e">
        <f ca="1">IF(OR(INDEX($AI$2:$AI$1001,MATCH(ROWS($AH$2:AH296),$AH$2:$AH$1001,0),1)&gt;=100000,INDEX($AO$1005:$BQ$1005,1,MATCH(COLUMNS($AO$1006:AT1006),$AO$1006:$BQ$1006,0))&gt;=100000), " ",IF(INDEX($AO$2:$BQ$1001,MATCH(ROWS($AH$2:AH296),$AH$2:$AH$1001,0),MATCH(COLUMNS($AO$1006:AT1006),$AO$1006:$BQ$1006,0)), HYPERLINK("#",""), HYPERLINK(CONCATENATE("#Metadata!", ADDRESS(INDEX($AJ$2:$AJ$1001,MATCH(ROWS($AH$2:AH296),$AH$2:$AH$1001,0),0), INDEX($AO$1004:$BQ$1004,1,MATCH(COLUMNS($AO$1006:AT1006),$AO$1006:$BQ$1006,0)))),"Fix")))</f>
        <v>#N/A</v>
      </c>
      <c r="H296" s="5" t="e">
        <f ca="1">IF(OR(INDEX($AI$2:$AI$1001,MATCH(ROWS($AH$2:AH296),$AH$2:$AH$1001,0),1)&gt;=100000,INDEX($AO$1005:$BQ$1005,1,MATCH(COLUMNS($AO$1006:AU1006),$AO$1006:$BQ$1006,0))&gt;=100000), " ",IF(INDEX($AO$2:$BQ$1001,MATCH(ROWS($AH$2:AH296),$AH$2:$AH$1001,0),MATCH(COLUMNS($AO$1006:AU1006),$AO$1006:$BQ$1006,0)), HYPERLINK("#",""), HYPERLINK(CONCATENATE("#Metadata!", ADDRESS(INDEX($AJ$2:$AJ$1001,MATCH(ROWS($AH$2:AH296),$AH$2:$AH$1001,0),0), INDEX($AO$1004:$BQ$1004,1,MATCH(COLUMNS($AO$1006:AU1006),$AO$1006:$BQ$1006,0)))),"Fix")))</f>
        <v>#N/A</v>
      </c>
      <c r="I296" s="5" t="e">
        <f ca="1">IF(OR(INDEX($AI$2:$AI$1001,MATCH(ROWS($AH$2:AH296),$AH$2:$AH$1001,0),1)&gt;=100000,INDEX($AO$1005:$BQ$1005,1,MATCH(COLUMNS($AO$1006:AV1006),$AO$1006:$BQ$1006,0))&gt;=100000), " ",IF(INDEX($AO$2:$BQ$1001,MATCH(ROWS($AH$2:AH296),$AH$2:$AH$1001,0),MATCH(COLUMNS($AO$1006:AV1006),$AO$1006:$BQ$1006,0)), HYPERLINK("#",""), HYPERLINK(CONCATENATE("#Metadata!", ADDRESS(INDEX($AJ$2:$AJ$1001,MATCH(ROWS($AH$2:AH296),$AH$2:$AH$1001,0),0), INDEX($AO$1004:$BQ$1004,1,MATCH(COLUMNS($AO$1006:AV1006),$AO$1006:$BQ$1006,0)))),"Fix")))</f>
        <v>#N/A</v>
      </c>
      <c r="J296" s="5" t="e">
        <f ca="1">IF(OR(INDEX($AI$2:$AI$1001,MATCH(ROWS($AH$2:AH296),$AH$2:$AH$1001,0),1)&gt;=100000,INDEX($AO$1005:$BQ$1005,1,MATCH(COLUMNS($AO$1006:AW1006),$AO$1006:$BQ$1006,0))&gt;=100000), " ",IF(INDEX($AO$2:$BQ$1001,MATCH(ROWS($AH$2:AH296),$AH$2:$AH$1001,0),MATCH(COLUMNS($AO$1006:AW1006),$AO$1006:$BQ$1006,0)), HYPERLINK("#",""), HYPERLINK(CONCATENATE("#Metadata!", ADDRESS(INDEX($AJ$2:$AJ$1001,MATCH(ROWS($AH$2:AH296),$AH$2:$AH$1001,0),0), INDEX($AO$1004:$BQ$1004,1,MATCH(COLUMNS($AO$1006:AW1006),$AO$1006:$BQ$1006,0)))),"Fix")))</f>
        <v>#N/A</v>
      </c>
      <c r="K296" s="5" t="e">
        <f ca="1">IF(OR(INDEX($AI$2:$AI$1001,MATCH(ROWS($AH$2:AH296),$AH$2:$AH$1001,0),1)&gt;=100000,INDEX($AO$1005:$BQ$1005,1,MATCH(COLUMNS($AO$1006:AX1006),$AO$1006:$BQ$1006,0))&gt;=100000), " ",IF(INDEX($AO$2:$BQ$1001,MATCH(ROWS($AH$2:AH296),$AH$2:$AH$1001,0),MATCH(COLUMNS($AO$1006:AX1006),$AO$1006:$BQ$1006,0)), HYPERLINK("#",""), HYPERLINK(CONCATENATE("#Metadata!", ADDRESS(INDEX($AJ$2:$AJ$1001,MATCH(ROWS($AH$2:AH296),$AH$2:$AH$1001,0),0), INDEX($AO$1004:$BQ$1004,1,MATCH(COLUMNS($AO$1006:AX1006),$AO$1006:$BQ$1006,0)))),"Fix")))</f>
        <v>#N/A</v>
      </c>
      <c r="L296" s="5" t="e">
        <f ca="1">IF(OR(INDEX($AI$2:$AI$1001,MATCH(ROWS($AH$2:AH296),$AH$2:$AH$1001,0),1)&gt;=100000,INDEX($AO$1005:$BQ$1005,1,MATCH(COLUMNS($AO$1006:AY1006),$AO$1006:$BQ$1006,0))&gt;=100000), " ",IF(INDEX($AO$2:$BQ$1001,MATCH(ROWS($AH$2:AH296),$AH$2:$AH$1001,0),MATCH(COLUMNS($AO$1006:AY1006),$AO$1006:$BQ$1006,0)), HYPERLINK("#",""), HYPERLINK(CONCATENATE("#Metadata!", ADDRESS(INDEX($AJ$2:$AJ$1001,MATCH(ROWS($AH$2:AH296),$AH$2:$AH$1001,0),0), INDEX($AO$1004:$BQ$1004,1,MATCH(COLUMNS($AO$1006:AY1006),$AO$1006:$BQ$1006,0)))),"Fix")))</f>
        <v>#N/A</v>
      </c>
      <c r="M296" s="5" t="e">
        <f ca="1">IF(OR(INDEX($AI$2:$AI$1001,MATCH(ROWS($AH$2:AH296),$AH$2:$AH$1001,0),1)&gt;=100000,INDEX($AO$1005:$BQ$1005,1,MATCH(COLUMNS($AO$1006:AZ1006),$AO$1006:$BQ$1006,0))&gt;=100000), " ",IF(INDEX($AO$2:$BQ$1001,MATCH(ROWS($AH$2:AH296),$AH$2:$AH$1001,0),MATCH(COLUMNS($AO$1006:AZ1006),$AO$1006:$BQ$1006,0)), HYPERLINK("#",""), HYPERLINK(CONCATENATE("#Metadata!", ADDRESS(INDEX($AJ$2:$AJ$1001,MATCH(ROWS($AH$2:AH296),$AH$2:$AH$1001,0),0), INDEX($AO$1004:$BQ$1004,1,MATCH(COLUMNS($AO$1006:AZ1006),$AO$1006:$BQ$1006,0)))),"Fix")))</f>
        <v>#N/A</v>
      </c>
      <c r="N296" s="5" t="e">
        <f ca="1">IF(OR(INDEX($AI$2:$AI$1001,MATCH(ROWS($AH$2:AH296),$AH$2:$AH$1001,0),1)&gt;=100000,INDEX($AO$1005:$BQ$1005,1,MATCH(COLUMNS($AO$1006:BA1006),$AO$1006:$BQ$1006,0))&gt;=100000), " ",IF(INDEX($AO$2:$BQ$1001,MATCH(ROWS($AH$2:AH296),$AH$2:$AH$1001,0),MATCH(COLUMNS($AO$1006:BA1006),$AO$1006:$BQ$1006,0)), HYPERLINK("#",""), HYPERLINK(CONCATENATE("#Metadata!", ADDRESS(INDEX($AJ$2:$AJ$1001,MATCH(ROWS($AH$2:AH296),$AH$2:$AH$1001,0),0), INDEX($AO$1004:$BQ$1004,1,MATCH(COLUMNS($AO$1006:BA1006),$AO$1006:$BQ$1006,0)))),"Fix")))</f>
        <v>#N/A</v>
      </c>
      <c r="O296" s="5" t="e">
        <f ca="1">IF(OR(INDEX($AI$2:$AI$1001,MATCH(ROWS($AH$2:AH296),$AH$2:$AH$1001,0),1)&gt;=100000,INDEX($AO$1005:$BQ$1005,1,MATCH(COLUMNS($AO$1006:BB1006),$AO$1006:$BQ$1006,0))&gt;=100000), " ",IF(INDEX($AO$2:$BQ$1001,MATCH(ROWS($AH$2:AH296),$AH$2:$AH$1001,0),MATCH(COLUMNS($AO$1006:BB1006),$AO$1006:$BQ$1006,0)), HYPERLINK("#",""), HYPERLINK(CONCATENATE("#Metadata!", ADDRESS(INDEX($AJ$2:$AJ$1001,MATCH(ROWS($AH$2:AH296),$AH$2:$AH$1001,0),0), INDEX($AO$1004:$BQ$1004,1,MATCH(COLUMNS($AO$1006:BB1006),$AO$1006:$BQ$1006,0)))),"Fix")))</f>
        <v>#N/A</v>
      </c>
      <c r="P296" s="5" t="e">
        <f ca="1">IF(OR(INDEX($AI$2:$AI$1001,MATCH(ROWS($AH$2:AH296),$AH$2:$AH$1001,0),1)&gt;=100000,INDEX($AO$1005:$BQ$1005,1,MATCH(COLUMNS($AO$1006:BC1006),$AO$1006:$BQ$1006,0))&gt;=100000), " ",IF(INDEX($AO$2:$BQ$1001,MATCH(ROWS($AH$2:AH296),$AH$2:$AH$1001,0),MATCH(COLUMNS($AO$1006:BC1006),$AO$1006:$BQ$1006,0)), HYPERLINK("#",""), HYPERLINK(CONCATENATE("#Metadata!", ADDRESS(INDEX($AJ$2:$AJ$1001,MATCH(ROWS($AH$2:AH296),$AH$2:$AH$1001,0),0), INDEX($AO$1004:$BQ$1004,1,MATCH(COLUMNS($AO$1006:BC1006),$AO$1006:$BQ$1006,0)))),"Fix")))</f>
        <v>#N/A</v>
      </c>
      <c r="Q296" s="5" t="e">
        <f ca="1">IF(OR(INDEX($AI$2:$AI$1001,MATCH(ROWS($AH$2:AH296),$AH$2:$AH$1001,0),1)&gt;=100000,INDEX($AO$1005:$BQ$1005,1,MATCH(COLUMNS($AO$1006:BD1006),$AO$1006:$BQ$1006,0))&gt;=100000), " ",IF(INDEX($AO$2:$BQ$1001,MATCH(ROWS($AH$2:AH296),$AH$2:$AH$1001,0),MATCH(COLUMNS($AO$1006:BD1006),$AO$1006:$BQ$1006,0)), HYPERLINK("#",""), HYPERLINK(CONCATENATE("#Metadata!", ADDRESS(INDEX($AJ$2:$AJ$1001,MATCH(ROWS($AH$2:AH296),$AH$2:$AH$1001,0),0), INDEX($AO$1004:$BQ$1004,1,MATCH(COLUMNS($AO$1006:BD1006),$AO$1006:$BQ$1006,0)))),"Fix")))</f>
        <v>#N/A</v>
      </c>
      <c r="R296" s="5" t="e">
        <f ca="1">IF(OR(INDEX($AI$2:$AI$1001,MATCH(ROWS($AH$2:AH296),$AH$2:$AH$1001,0),1)&gt;=100000,INDEX($AO$1005:$BQ$1005,1,MATCH(COLUMNS($AO$1006:BE1006),$AO$1006:$BQ$1006,0))&gt;=100000), " ",IF(INDEX($AO$2:$BQ$1001,MATCH(ROWS($AH$2:AH296),$AH$2:$AH$1001,0),MATCH(COLUMNS($AO$1006:BE1006),$AO$1006:$BQ$1006,0)), HYPERLINK("#",""), HYPERLINK(CONCATENATE("#Metadata!", ADDRESS(INDEX($AJ$2:$AJ$1001,MATCH(ROWS($AH$2:AH296),$AH$2:$AH$1001,0),0), INDEX($AO$1004:$BQ$1004,1,MATCH(COLUMNS($AO$1006:BE1006),$AO$1006:$BQ$1006,0)))),"Fix")))</f>
        <v>#N/A</v>
      </c>
      <c r="S296" s="5" t="e">
        <f ca="1">IF(OR(INDEX($AI$2:$AI$1001,MATCH(ROWS($AH$2:AH296),$AH$2:$AH$1001,0),1)&gt;=100000,INDEX($AO$1005:$BQ$1005,1,MATCH(COLUMNS($AO$1006:BF1006),$AO$1006:$BQ$1006,0))&gt;=100000), " ",IF(INDEX($AO$2:$BQ$1001,MATCH(ROWS($AH$2:AH296),$AH$2:$AH$1001,0),MATCH(COLUMNS($AO$1006:BF1006),$AO$1006:$BQ$1006,0)), HYPERLINK("#",""), HYPERLINK(CONCATENATE("#Metadata!", ADDRESS(INDEX($AJ$2:$AJ$1001,MATCH(ROWS($AH$2:AH296),$AH$2:$AH$1001,0),0), INDEX($AO$1004:$BQ$1004,1,MATCH(COLUMNS($AO$1006:BF1006),$AO$1006:$BQ$1006,0)))),"Fix")))</f>
        <v>#N/A</v>
      </c>
      <c r="T296" s="5" t="e">
        <f ca="1">IF(OR(INDEX($AI$2:$AI$1001,MATCH(ROWS($AH$2:AH296),$AH$2:$AH$1001,0),1)&gt;=100000,INDEX($AO$1005:$BQ$1005,1,MATCH(COLUMNS($AO$1006:BG1006),$AO$1006:$BQ$1006,0))&gt;=100000), " ",IF(INDEX($AO$2:$BQ$1001,MATCH(ROWS($AH$2:AH296),$AH$2:$AH$1001,0),MATCH(COLUMNS($AO$1006:BG1006),$AO$1006:$BQ$1006,0)), HYPERLINK("#",""), HYPERLINK(CONCATENATE("#Metadata!", ADDRESS(INDEX($AJ$2:$AJ$1001,MATCH(ROWS($AH$2:AH296),$AH$2:$AH$1001,0),0), INDEX($AO$1004:$BQ$1004,1,MATCH(COLUMNS($AO$1006:BG1006),$AO$1006:$BQ$1006,0)))),"Fix")))</f>
        <v>#N/A</v>
      </c>
      <c r="U296" s="5" t="e">
        <f ca="1">IF(OR(INDEX($AI$2:$AI$1001,MATCH(ROWS($AH$2:AH296),$AH$2:$AH$1001,0),1)&gt;=100000,INDEX($AO$1005:$BQ$1005,1,MATCH(COLUMNS($AO$1006:BH1006),$AO$1006:$BQ$1006,0))&gt;=100000), " ",IF(INDEX($AO$2:$BQ$1001,MATCH(ROWS($AH$2:AH296),$AH$2:$AH$1001,0),MATCH(COLUMNS($AO$1006:BH1006),$AO$1006:$BQ$1006,0)), HYPERLINK("#",""), HYPERLINK(CONCATENATE("#Metadata!", ADDRESS(INDEX($AJ$2:$AJ$1001,MATCH(ROWS($AH$2:AH296),$AH$2:$AH$1001,0),0), INDEX($AO$1004:$BQ$1004,1,MATCH(COLUMNS($AO$1006:BH1006),$AO$1006:$BQ$1006,0)))),"Fix")))</f>
        <v>#N/A</v>
      </c>
      <c r="V296" s="5" t="e">
        <f ca="1">IF(OR(INDEX($AI$2:$AI$1001,MATCH(ROWS($AH$2:AH296),$AH$2:$AH$1001,0),1)&gt;=100000,INDEX($AO$1005:$BQ$1005,1,MATCH(COLUMNS($AO$1006:BI1006),$AO$1006:$BQ$1006,0))&gt;=100000), " ",IF(INDEX($AO$2:$BQ$1001,MATCH(ROWS($AH$2:AH296),$AH$2:$AH$1001,0),MATCH(COLUMNS($AO$1006:BI1006),$AO$1006:$BQ$1006,0)), HYPERLINK("#",""), HYPERLINK(CONCATENATE("#Metadata!", ADDRESS(INDEX($AJ$2:$AJ$1001,MATCH(ROWS($AH$2:AH296),$AH$2:$AH$1001,0),0), INDEX($AO$1004:$BQ$1004,1,MATCH(COLUMNS($AO$1006:BI1006),$AO$1006:$BQ$1006,0)))),"Fix")))</f>
        <v>#N/A</v>
      </c>
      <c r="W296" s="5" t="e">
        <f ca="1">IF(OR(INDEX($AI$2:$AI$1001,MATCH(ROWS($AH$2:AH296),$AH$2:$AH$1001,0),1)&gt;=100000,INDEX($AO$1005:$BQ$1005,1,MATCH(COLUMNS($AO$1006:BJ1006),$AO$1006:$BQ$1006,0))&gt;=100000), " ",IF(INDEX($AO$2:$BQ$1001,MATCH(ROWS($AH$2:AH296),$AH$2:$AH$1001,0),MATCH(COLUMNS($AO$1006:BJ1006),$AO$1006:$BQ$1006,0)), HYPERLINK("#",""), HYPERLINK(CONCATENATE("#Metadata!", ADDRESS(INDEX($AJ$2:$AJ$1001,MATCH(ROWS($AH$2:AH296),$AH$2:$AH$1001,0),0), INDEX($AO$1004:$BQ$1004,1,MATCH(COLUMNS($AO$1006:BJ1006),$AO$1006:$BQ$1006,0)))),"Fix")))</f>
        <v>#N/A</v>
      </c>
      <c r="X296" s="5" t="e">
        <f ca="1">IF(OR(INDEX($AI$2:$AI$1001,MATCH(ROWS($AH$2:AH296),$AH$2:$AH$1001,0),1)&gt;=100000,INDEX($AO$1005:$BQ$1005,1,MATCH(COLUMNS($AO$1006:BK1006),$AO$1006:$BQ$1006,0))&gt;=100000), " ",IF(INDEX($AO$2:$BQ$1001,MATCH(ROWS($AH$2:AH296),$AH$2:$AH$1001,0),MATCH(COLUMNS($AO$1006:BK1006),$AO$1006:$BQ$1006,0)), HYPERLINK("#",""), HYPERLINK(CONCATENATE("#Metadata!", ADDRESS(INDEX($AJ$2:$AJ$1001,MATCH(ROWS($AH$2:AH296),$AH$2:$AH$1001,0),0), INDEX($AO$1004:$BQ$1004,1,MATCH(COLUMNS($AO$1006:BK1006),$AO$1006:$BQ$1006,0)))),"Fix")))</f>
        <v>#N/A</v>
      </c>
      <c r="Y296" s="5" t="e">
        <f ca="1">IF(OR(INDEX($AI$2:$AI$1001,MATCH(ROWS($AH$2:AH296),$AH$2:$AH$1001,0),1)&gt;=100000,INDEX($AO$1005:$BQ$1005,1,MATCH(COLUMNS($AO$1006:BL1006),$AO$1006:$BQ$1006,0))&gt;=100000), " ",IF(INDEX($AO$2:$BQ$1001,MATCH(ROWS($AH$2:AH296),$AH$2:$AH$1001,0),MATCH(COLUMNS($AO$1006:BL1006),$AO$1006:$BQ$1006,0)), HYPERLINK("#",""), HYPERLINK(CONCATENATE("#Metadata!", ADDRESS(INDEX($AJ$2:$AJ$1001,MATCH(ROWS($AH$2:AH296),$AH$2:$AH$1001,0),0), INDEX($AO$1004:$BQ$1004,1,MATCH(COLUMNS($AO$1006:BL1006),$AO$1006:$BQ$1006,0)))),"Fix")))</f>
        <v>#N/A</v>
      </c>
      <c r="Z296" s="5" t="e">
        <f ca="1">IF(OR(INDEX($AI$2:$AI$1001,MATCH(ROWS($AH$2:AH296),$AH$2:$AH$1001,0),1)&gt;=100000,INDEX($AO$1005:$BQ$1005,1,MATCH(COLUMNS($AO$1006:BM1006),$AO$1006:$BQ$1006,0))&gt;=100000), " ",IF(INDEX($AO$2:$BQ$1001,MATCH(ROWS($AH$2:AH296),$AH$2:$AH$1001,0),MATCH(COLUMNS($AO$1006:BM1006),$AO$1006:$BQ$1006,0)), HYPERLINK("#",""), HYPERLINK(CONCATENATE("#Metadata!", ADDRESS(INDEX($AJ$2:$AJ$1001,MATCH(ROWS($AH$2:AH296),$AH$2:$AH$1001,0),0), INDEX($AO$1004:$BQ$1004,1,MATCH(COLUMNS($AO$1006:BM1006),$AO$1006:$BQ$1006,0)))),"Fix")))</f>
        <v>#N/A</v>
      </c>
      <c r="AA296" s="5" t="e">
        <f ca="1">IF(OR(INDEX($AI$2:$AI$1001,MATCH(ROWS($AH$2:AH296),$AH$2:$AH$1001,0),1)&gt;=100000,INDEX($AO$1005:$BQ$1005,1,MATCH(COLUMNS($AO$1006:BN1006),$AO$1006:$BQ$1006,0))&gt;=100000), " ",IF(INDEX($AO$2:$BQ$1001,MATCH(ROWS($AH$2:AH296),$AH$2:$AH$1001,0),MATCH(COLUMNS($AO$1006:BN1006),$AO$1006:$BQ$1006,0)), HYPERLINK("#",""), HYPERLINK(CONCATENATE("#Metadata!", ADDRESS(INDEX($AJ$2:$AJ$1001,MATCH(ROWS($AH$2:AH296),$AH$2:$AH$1001,0),0), INDEX($AO$1004:$BQ$1004,1,MATCH(COLUMNS($AO$1006:BN1006),$AO$1006:$BQ$1006,0)))),"Fix")))</f>
        <v>#N/A</v>
      </c>
      <c r="AB296" s="5" t="e">
        <f ca="1">IF(OR(INDEX($AI$2:$AI$1001,MATCH(ROWS($AH$2:AH296),$AH$2:$AH$1001,0),1)&gt;=100000,INDEX($AO$1005:$BQ$1005,1,MATCH(COLUMNS($AO$1006:BO1006),$AO$1006:$BQ$1006,0))&gt;=100000), " ",IF(INDEX($AO$2:$BQ$1001,MATCH(ROWS($AH$2:AH296),$AH$2:$AH$1001,0),MATCH(COLUMNS($AO$1006:BO1006),$AO$1006:$BQ$1006,0)), HYPERLINK("#",""), HYPERLINK(CONCATENATE("#Metadata!", ADDRESS(INDEX($AJ$2:$AJ$1001,MATCH(ROWS($AH$2:AH296),$AH$2:$AH$1001,0),0), INDEX($AO$1004:$BQ$1004,1,MATCH(COLUMNS($AO$1006:BO1006),$AO$1006:$BQ$1006,0)))),"Fix")))</f>
        <v>#N/A</v>
      </c>
      <c r="AC296" s="5" t="e">
        <f ca="1">IF(OR(INDEX($AI$2:$AI$1001,MATCH(ROWS($AH$2:AH296),$AH$2:$AH$1001,0),1)&gt;=100000,INDEX($AO$1005:$BQ$1005,1,MATCH(COLUMNS($AO$1006:BP1006),$AO$1006:$BQ$1006,0))&gt;=100000), " ",IF(INDEX($AO$2:$BQ$1001,MATCH(ROWS($AH$2:AH296),$AH$2:$AH$1001,0),MATCH(COLUMNS($AO$1006:BP1006),$AO$1006:$BQ$1006,0)), HYPERLINK("#",""), HYPERLINK(CONCATENATE("#Metadata!", ADDRESS(INDEX($AJ$2:$AJ$1001,MATCH(ROWS($AH$2:AH296),$AH$2:$AH$1001,0),0), INDEX($AO$1004:$BQ$1004,1,MATCH(COLUMNS($AO$1006:BP1006),$AO$1006:$BQ$1006,0)))),"Fix")))</f>
        <v>#N/A</v>
      </c>
      <c r="AD296" s="5" t="e">
        <f ca="1">IF(OR(INDEX($AI$2:$AI$1001,MATCH(ROWS($AH$2:AH296),$AH$2:$AH$1001,0),1)&gt;=100000,INDEX($AO$1005:$BQ$1005,1,MATCH(COLUMNS($AO$1006:BQ1006),$AO$1006:$BQ$1006,0))&gt;=100000), " ",IF(INDEX($AO$2:$BQ$1001,MATCH(ROWS($AH$2:AH296),$AH$2:$AH$1001,0),MATCH(COLUMNS($AO$1006:BQ1006),$AO$1006:$BQ$1006,0)), HYPERLINK("#",""), HYPERLINK(CONCATENATE("#Metadata!", ADDRESS(INDEX($AJ$2:$AJ$1001,MATCH(ROWS($AH$2:AH296),$AH$2:$AH$1001,0),0), INDEX($AO$1004:$BQ$1004,1,MATCH(COLUMNS($AO$1006:BQ1006),$AO$1006:$BQ$1006,0)))),"Fix")))</f>
        <v>#REF!</v>
      </c>
      <c r="AH296">
        <f ca="1"/>
        <v>293</v>
      </c>
      <c r="AI296">
        <v>100296</v>
      </c>
      <c r="AJ296">
        <v>296</v>
      </c>
      <c r="AK296" t="b">
        <f t="shared" si="4"/>
        <v>1</v>
      </c>
      <c r="AL296" t="b">
        <f>COUNTBLANK(Metadata!B296:AD296)=COLUMNS(Metadata!B296:AD296)</f>
        <v>1</v>
      </c>
      <c r="AM296" t="str">
        <v/>
      </c>
      <c r="AO296" t="b">
        <f ca="1">AND(IF(Metadata!B296="",FALSE,TRUE),COUNTIF(Metadata!B:B, Metadata!B296) = 1,NOT(ISERROR(SUMPRODUCT(SEARCH(MID(Metadata!B296,ROW(INDIRECT("1:"&amp;LEN(Metadata!B296))), 1),"0123456789abcdefghijklmnopqrstuvwxyzABCDEFGHIJKLMNOPQRSTUVWXYZ.")))))</f>
        <v>0</v>
      </c>
      <c r="AP296" t="b">
        <f>IF(Metadata!C296="",FALSE,TRUE)</f>
        <v>0</v>
      </c>
      <c r="AQ296" t="b">
        <f>IF(Metadata!D296="",FALSE,TRUE)</f>
        <v>0</v>
      </c>
      <c r="AR296" t="b">
        <f ca="1">OR(AND(IF(Metadata!E296="",FALSE,TRUE),OR(EXACT(Metadata!E296,"not collected"),EXACT(Metadata!E296,"not provided"),EXACT(Metadata!E296,"restricted access"))),AND(IF(Metadata!E296="",FALSE,TRUE),AND(AND(IFERROR(INT(LEFT(Metadata!E296,4))&gt;1900,FALSE),IFERROR(INT(LEFT(Metadata!E296,4))&lt;=YEAR(NOW()),FALSE)), OR(MID(Metadata!E296,5,1)="", AND(AND(MID(Metadata!E296,5,1)="-",IFERROR(INT(MID(Metadata!E296,6,1))&gt;=0,FALSE),IFERROR(INT(MID(Metadata!E296,6,1))&lt;=1,FALSE),NOT(MID(Metadata!E296,7,1)=""),IFERROR(INT(MID(Metadata!E296,6,2))&gt;=1,FALSE),IFERROR(INT(MID(Metadata!E296,6,2))&lt;=12,FALSE)), OR(MID(Metadata!E296,8,1)="", AND(AND(MID(Metadata!E296,8,1)="-",IFERROR(INT(MID(Metadata!E296,9,1))&gt;=0,FALSE),IFERROR(INT(MID(Metadata!E296,9,1))&lt;=3,FALSE),NOT(MID(Metadata!E296,10,1)=""),IFERROR(INT(MID(Metadata!E296,9,2))&gt;=1,FALSE),IFERROR(INT(MID(Metadata!E296,9,2))&lt;=31,FALSE)), OR(MID(Metadata!E296,11,1)="", AND(AND(MID(Metadata!E296,11,1)=" ",IFERROR(INT(MID(Metadata!E296,12,1))&gt;=0,FALSE),IFERROR(INT(MID(Metadata!E296,12,1))&lt;=2,FALSE),NOT(MID(Metadata!E296,13,1)=""),IFERROR(INT(MID(Metadata!E296,12,2))&gt;=0,FALSE),IFERROR(INT(MID(Metadata!E296,12,2))&lt;=23,FALSE)), OR(MID(Metadata!E296,14,1)="", AND(AND(MID(Metadata!E296,14,1)=":",IFERROR(INT(MID(Metadata!E296,15,1))&gt;=0,FALSE),IFERROR(INT(MID(Metadata!E296,15,1))&lt;=5,FALSE),NOT(MID(Metadata!E296,16,1)=""),IFERROR(INT(MID(Metadata!E296,15,2))&gt;=0,FALSE),IFERROR(INT(MID(Metadata!E296,15,2))&lt;=59,FALSE)), OR(MID(Metadata!E296,17,1)="", AND(AND(MID(Metadata!E296,17,1)=":",IFERROR(INT(MID(Metadata!E296,18,1))&gt;=0,FALSE),IFERROR(INT(MID(Metadata!E296,18,1))&lt;=5,FALSE),NOT(MID(Metadata!E296,19,1)=""),IFERROR(INT(MID(Metadata!E296,18,2))&gt;=0,FALSE),IFERROR(INT(MID(Metadata!E296,18,2))&lt;=59,FALSE)), LEN(Metadata!E296)&lt;=19)))))))))))))</f>
        <v>0</v>
      </c>
      <c r="AS296" t="b">
        <f>IF(Metadata!F296="",FALSE,TRUE)</f>
        <v>0</v>
      </c>
      <c r="AT296" t="b">
        <f>OR(AND(IF(Metadata!G296="",FALSE,TRUE),OR(EXACT(Metadata!G296,"not collected"),EXACT(Metadata!G296,"not provided"))),AND(IF(Metadata!G296="",FALSE,TRUE),OR(EXACT(Metadata!G296,"TRUE"),EXACT(Metadata!G296,"FALSE"))))</f>
        <v>0</v>
      </c>
      <c r="AU296" t="b">
        <f>OR(AND(IF(Metadata!H296="",FALSE,TRUE),OR(EXACT(Metadata!H296,"not collected"),EXACT(Metadata!H296,"not provided"),EXACT(Metadata!H296,"restricted access"))),AND(IF(Metadata!H296="",FALSE,ISNUMBER(VALUE(Metadata!H296))),Metadata!H296&gt;=-413))</f>
        <v>0</v>
      </c>
      <c r="AV296" t="b">
        <f>AND(IF(Metadata!I296="",FALSE,TRUE),EXACT(Metadata!I296,"meters"))</f>
        <v>0</v>
      </c>
      <c r="AW296" t="b">
        <f>AND(IF(Metadata!J296="",FALSE,TRUE),EXACT(Metadata!J296,"free-living"))</f>
        <v>0</v>
      </c>
      <c r="AX296" t="b">
        <f>AND(IF(Metadata!K296="",FALSE,TRUE),OR(EXACT(Metadata!K296,"saline"),EXACT(Metadata!K296,"non-saline")))</f>
        <v>0</v>
      </c>
      <c r="AY296" t="b">
        <f>AND(IF(Metadata!L296="",FALSE,TRUE),OR(EXACT(Metadata!L296,"sub-surface (non-saline)"),EXACT(Metadata!L296,"surface (non-saline)"),EXACT(Metadata!L296,"water (non-saline)"),EXACT(Metadata!L296,"soil (non-saline)"),EXACT(Metadata!L296,"aerosol (non-saline)"),EXACT(Metadata!L296,"sediment (non-saline)"),EXACT(Metadata!L296,"surface (saline)"),EXACT(Metadata!L296,"water (saline)"),EXACT(Metadata!L296,"hypersaline (saline)"),EXACT(Metadata!L296,"aerosol (saline)"),EXACT(Metadata!L296,"sediment (saline)")))</f>
        <v>0</v>
      </c>
      <c r="AZ296" t="b">
        <f>IF(Metadata!M296="",FALSE,TRUE)</f>
        <v>0</v>
      </c>
      <c r="BA296" t="b">
        <f>IF(Metadata!N296="",FALSE,TRUE)</f>
        <v>0</v>
      </c>
      <c r="BB296" t="b">
        <f>IF(Metadata!O296="",FALSE,TRUE)</f>
        <v>0</v>
      </c>
      <c r="BC296" t="b">
        <f>AND(IF(Metadata!P296="",FALSE,TRUE),OR(EXACT(Metadata!P296,"air"),EXACT(Metadata!P296,"microbial mat/biofilm"),EXACT(Metadata!P296,"misc environment"),EXACT(Metadata!P296,"sediment"),EXACT(Metadata!P296,"soil"),EXACT(Metadata!P296,"wastewater/sludge"),EXACT(Metadata!P296,"water")))</f>
        <v>0</v>
      </c>
      <c r="BD296" t="b">
        <f>IF(Metadata!Q296="",FALSE,TRUE)</f>
        <v>0</v>
      </c>
      <c r="BE296" t="b">
        <f>IF(Metadata!R296="",FALSE,TRUE)</f>
        <v>0</v>
      </c>
      <c r="BF296" t="b">
        <f>OR(AND(IF(Metadata!S296="",FALSE,TRUE),OR(EXACT(Metadata!S296,"not collected"),EXACT(Metadata!S296,"not provided"),EXACT(Metadata!S296,"restricted access"))),AND(IF(Metadata!S296="",FALSE,ISNUMBER(VALUE(Metadata!S296))),Metadata!S296&gt;=-90,Metadata!S296&lt;=90))</f>
        <v>0</v>
      </c>
      <c r="BG296" t="b">
        <f>AND(IF(Metadata!T296="",FALSE,TRUE),EXACT(Metadata!T296,"Decimal degrees"))</f>
        <v>0</v>
      </c>
      <c r="BH296" t="b">
        <f>OR(AND(IF(Metadata!U296="",FALSE,TRUE),OR(EXACT(Metadata!U296,"not applicable"),EXACT(Metadata!U296,"not collected"))),IF(Metadata!U296="",FALSE,TRUE))</f>
        <v>0</v>
      </c>
      <c r="BI296" t="b">
        <f>OR(AND(IF(Metadata!V296="",FALSE,TRUE),OR(EXACT(Metadata!V296,"not collected"),EXACT(Metadata!V296,"not provided"),EXACT(Metadata!V296,"restricted access"))),AND(IF(Metadata!V296="",FALSE,ISNUMBER(VALUE(Metadata!V296))),Metadata!V296&gt;=-180,Metadata!V296&lt;=180))</f>
        <v>0</v>
      </c>
      <c r="BJ296" t="b">
        <f>AND(IF(Metadata!W296="",FALSE,TRUE),EXACT(Metadata!W296,"Decimal degrees"))</f>
        <v>0</v>
      </c>
      <c r="BK296" t="b">
        <f>IF(Metadata!X296="",FALSE,TRUE)</f>
        <v>0</v>
      </c>
      <c r="BL296" t="b">
        <f>OR(AND(IF(Metadata!Y296="",FALSE,TRUE),OR(EXACT(Metadata!Y296,"not collected"),EXACT(Metadata!Y296,"not provided"),EXACT(Metadata!Y296,"restricted access"))),AND(IF(Metadata!Y296="",FALSE,TRUE),OR(EXACT(Metadata!Y296,"TRUE"),EXACT(Metadata!Y296,"FALSE"))))</f>
        <v>0</v>
      </c>
      <c r="BM296" t="b">
        <f>OR(AND(IF(Metadata!Z296="",FALSE,TRUE),EXACT(Metadata!Z296,"not applicable")),AND(IF(Metadata!Z296="",FALSE,TRUE),OR(EXACT(Metadata!Z296,"beer"),EXACT(Metadata!Z296,"cheese"),EXACT(Metadata!Z296,"fresh water"),EXACT(Metadata!Z296,"marine sediment"),EXACT(Metadata!Z296,"sea water"),EXACT(Metadata!Z296,"sediment"),EXACT(Metadata!Z296,"soil"),EXACT(Metadata!Z296,"waste water"))))</f>
        <v>0</v>
      </c>
      <c r="BN296" t="b">
        <f>AND(IF(Metadata!AA296="",FALSE,TRUE),EXACT(Metadata!AA296,"metagenome"))</f>
        <v>0</v>
      </c>
      <c r="BO296" t="b">
        <f>AND(IF(Metadata!AB296="",FALSE,TRUE),EXACT(Metadata!AB296,"256318"))</f>
        <v>0</v>
      </c>
      <c r="BP296" t="b">
        <f>IF(Metadata!AC296="",FALSE,TRUE)</f>
        <v>0</v>
      </c>
      <c r="BQ296" t="b">
        <f>IF(Metadata!AD296="",FALSE,TRUE)</f>
        <v>0</v>
      </c>
    </row>
    <row r="297" spans="1:69" x14ac:dyDescent="0.2">
      <c r="A297" s="4" t="e">
        <f ca="1">IF(B297=" "," ",HYPERLINK(CONCATENATE("#metadata!",ADDRESS(INDEX($AJ$2:$AJ$1001,MATCH(ROWS($AH$2:AH297),$AH$2:$AH$1001,0),0),2)),INDEX($AM$2:$AM$1001,MATCH(ROWS($AH$2:AH297),$AH$2:$AH$1001,0),0)))</f>
        <v>#N/A</v>
      </c>
      <c r="B297" s="5" t="e">
        <f ca="1">IF(OR(INDEX($AI$2:$AI$1001,MATCH(ROWS($AH$2:AH297),$AH$2:$AH$1001,0),1)&gt;=100000,INDEX($AO$1005:$BQ$1005,1,MATCH(COLUMNS($AO$1006:AO1006),$AO$1006:$BQ$1006,0))&gt;=100000), " ",IF(INDEX($AO$2:$BQ$1001,MATCH(ROWS($AH$2:AH297),$AH$2:$AH$1001,0),MATCH(COLUMNS($AO$1006:AO1006),$AO$1006:$BQ$1006,0)), HYPERLINK("#",""), HYPERLINK(CONCATENATE("#Metadata!", ADDRESS(INDEX($AJ$2:$AJ$1001,MATCH(ROWS($AH$2:AH297),$AH$2:$AH$1001,0),0), INDEX($AO$1004:$BQ$1004,1,MATCH(COLUMNS($AO$1006:AO1006),$AO$1006:$BQ$1006,0)))),"Fix")))</f>
        <v>#N/A</v>
      </c>
      <c r="C297" s="5" t="e">
        <f ca="1">IF(OR(INDEX($AI$2:$AI$1001,MATCH(ROWS($AH$2:AH297),$AH$2:$AH$1001,0),1)&gt;=100000,INDEX($AO$1005:$BQ$1005,1,MATCH(COLUMNS($AO$1006:AP1006),$AO$1006:$BQ$1006,0))&gt;=100000), " ",IF(INDEX($AO$2:$BQ$1001,MATCH(ROWS($AH$2:AH297),$AH$2:$AH$1001,0),MATCH(COLUMNS($AO$1006:AP1006),$AO$1006:$BQ$1006,0)), HYPERLINK("#",""), HYPERLINK(CONCATENATE("#Metadata!", ADDRESS(INDEX($AJ$2:$AJ$1001,MATCH(ROWS($AH$2:AH297),$AH$2:$AH$1001,0),0), INDEX($AO$1004:$BQ$1004,1,MATCH(COLUMNS($AO$1006:AP1006),$AO$1006:$BQ$1006,0)))),"Fix")))</f>
        <v>#N/A</v>
      </c>
      <c r="D297" s="5" t="e">
        <f ca="1">IF(OR(INDEX($AI$2:$AI$1001,MATCH(ROWS($AH$2:AH297),$AH$2:$AH$1001,0),1)&gt;=100000,INDEX($AO$1005:$BQ$1005,1,MATCH(COLUMNS($AO$1006:AQ1006),$AO$1006:$BQ$1006,0))&gt;=100000), " ",IF(INDEX($AO$2:$BQ$1001,MATCH(ROWS($AH$2:AH297),$AH$2:$AH$1001,0),MATCH(COLUMNS($AO$1006:AQ1006),$AO$1006:$BQ$1006,0)), HYPERLINK("#",""), HYPERLINK(CONCATENATE("#Metadata!", ADDRESS(INDEX($AJ$2:$AJ$1001,MATCH(ROWS($AH$2:AH297),$AH$2:$AH$1001,0),0), INDEX($AO$1004:$BQ$1004,1,MATCH(COLUMNS($AO$1006:AQ1006),$AO$1006:$BQ$1006,0)))),"Fix")))</f>
        <v>#N/A</v>
      </c>
      <c r="E297" s="5" t="e">
        <f ca="1">IF(OR(INDEX($AI$2:$AI$1001,MATCH(ROWS($AH$2:AH297),$AH$2:$AH$1001,0),1)&gt;=100000,INDEX($AO$1005:$BQ$1005,1,MATCH(COLUMNS($AO$1006:AR1006),$AO$1006:$BQ$1006,0))&gt;=100000), " ",IF(INDEX($AO$2:$BQ$1001,MATCH(ROWS($AH$2:AH297),$AH$2:$AH$1001,0),MATCH(COLUMNS($AO$1006:AR1006),$AO$1006:$BQ$1006,0)), HYPERLINK("#",""), HYPERLINK(CONCATENATE("#Metadata!", ADDRESS(INDEX($AJ$2:$AJ$1001,MATCH(ROWS($AH$2:AH297),$AH$2:$AH$1001,0),0), INDEX($AO$1004:$BQ$1004,1,MATCH(COLUMNS($AO$1006:AR1006),$AO$1006:$BQ$1006,0)))),"Fix")))</f>
        <v>#N/A</v>
      </c>
      <c r="F297" s="5" t="e">
        <f ca="1">IF(OR(INDEX($AI$2:$AI$1001,MATCH(ROWS($AH$2:AH297),$AH$2:$AH$1001,0),1)&gt;=100000,INDEX($AO$1005:$BQ$1005,1,MATCH(COLUMNS($AO$1006:AS1006),$AO$1006:$BQ$1006,0))&gt;=100000), " ",IF(INDEX($AO$2:$BQ$1001,MATCH(ROWS($AH$2:AH297),$AH$2:$AH$1001,0),MATCH(COLUMNS($AO$1006:AS1006),$AO$1006:$BQ$1006,0)), HYPERLINK("#",""), HYPERLINK(CONCATENATE("#Metadata!", ADDRESS(INDEX($AJ$2:$AJ$1001,MATCH(ROWS($AH$2:AH297),$AH$2:$AH$1001,0),0), INDEX($AO$1004:$BQ$1004,1,MATCH(COLUMNS($AO$1006:AS1006),$AO$1006:$BQ$1006,0)))),"Fix")))</f>
        <v>#N/A</v>
      </c>
      <c r="G297" s="5" t="e">
        <f ca="1">IF(OR(INDEX($AI$2:$AI$1001,MATCH(ROWS($AH$2:AH297),$AH$2:$AH$1001,0),1)&gt;=100000,INDEX($AO$1005:$BQ$1005,1,MATCH(COLUMNS($AO$1006:AT1006),$AO$1006:$BQ$1006,0))&gt;=100000), " ",IF(INDEX($AO$2:$BQ$1001,MATCH(ROWS($AH$2:AH297),$AH$2:$AH$1001,0),MATCH(COLUMNS($AO$1006:AT1006),$AO$1006:$BQ$1006,0)), HYPERLINK("#",""), HYPERLINK(CONCATENATE("#Metadata!", ADDRESS(INDEX($AJ$2:$AJ$1001,MATCH(ROWS($AH$2:AH297),$AH$2:$AH$1001,0),0), INDEX($AO$1004:$BQ$1004,1,MATCH(COLUMNS($AO$1006:AT1006),$AO$1006:$BQ$1006,0)))),"Fix")))</f>
        <v>#N/A</v>
      </c>
      <c r="H297" s="5" t="e">
        <f ca="1">IF(OR(INDEX($AI$2:$AI$1001,MATCH(ROWS($AH$2:AH297),$AH$2:$AH$1001,0),1)&gt;=100000,INDEX($AO$1005:$BQ$1005,1,MATCH(COLUMNS($AO$1006:AU1006),$AO$1006:$BQ$1006,0))&gt;=100000), " ",IF(INDEX($AO$2:$BQ$1001,MATCH(ROWS($AH$2:AH297),$AH$2:$AH$1001,0),MATCH(COLUMNS($AO$1006:AU1006),$AO$1006:$BQ$1006,0)), HYPERLINK("#",""), HYPERLINK(CONCATENATE("#Metadata!", ADDRESS(INDEX($AJ$2:$AJ$1001,MATCH(ROWS($AH$2:AH297),$AH$2:$AH$1001,0),0), INDEX($AO$1004:$BQ$1004,1,MATCH(COLUMNS($AO$1006:AU1006),$AO$1006:$BQ$1006,0)))),"Fix")))</f>
        <v>#N/A</v>
      </c>
      <c r="I297" s="5" t="e">
        <f ca="1">IF(OR(INDEX($AI$2:$AI$1001,MATCH(ROWS($AH$2:AH297),$AH$2:$AH$1001,0),1)&gt;=100000,INDEX($AO$1005:$BQ$1005,1,MATCH(COLUMNS($AO$1006:AV1006),$AO$1006:$BQ$1006,0))&gt;=100000), " ",IF(INDEX($AO$2:$BQ$1001,MATCH(ROWS($AH$2:AH297),$AH$2:$AH$1001,0),MATCH(COLUMNS($AO$1006:AV1006),$AO$1006:$BQ$1006,0)), HYPERLINK("#",""), HYPERLINK(CONCATENATE("#Metadata!", ADDRESS(INDEX($AJ$2:$AJ$1001,MATCH(ROWS($AH$2:AH297),$AH$2:$AH$1001,0),0), INDEX($AO$1004:$BQ$1004,1,MATCH(COLUMNS($AO$1006:AV1006),$AO$1006:$BQ$1006,0)))),"Fix")))</f>
        <v>#N/A</v>
      </c>
      <c r="J297" s="5" t="e">
        <f ca="1">IF(OR(INDEX($AI$2:$AI$1001,MATCH(ROWS($AH$2:AH297),$AH$2:$AH$1001,0),1)&gt;=100000,INDEX($AO$1005:$BQ$1005,1,MATCH(COLUMNS($AO$1006:AW1006),$AO$1006:$BQ$1006,0))&gt;=100000), " ",IF(INDEX($AO$2:$BQ$1001,MATCH(ROWS($AH$2:AH297),$AH$2:$AH$1001,0),MATCH(COLUMNS($AO$1006:AW1006),$AO$1006:$BQ$1006,0)), HYPERLINK("#",""), HYPERLINK(CONCATENATE("#Metadata!", ADDRESS(INDEX($AJ$2:$AJ$1001,MATCH(ROWS($AH$2:AH297),$AH$2:$AH$1001,0),0), INDEX($AO$1004:$BQ$1004,1,MATCH(COLUMNS($AO$1006:AW1006),$AO$1006:$BQ$1006,0)))),"Fix")))</f>
        <v>#N/A</v>
      </c>
      <c r="K297" s="5" t="e">
        <f ca="1">IF(OR(INDEX($AI$2:$AI$1001,MATCH(ROWS($AH$2:AH297),$AH$2:$AH$1001,0),1)&gt;=100000,INDEX($AO$1005:$BQ$1005,1,MATCH(COLUMNS($AO$1006:AX1006),$AO$1006:$BQ$1006,0))&gt;=100000), " ",IF(INDEX($AO$2:$BQ$1001,MATCH(ROWS($AH$2:AH297),$AH$2:$AH$1001,0),MATCH(COLUMNS($AO$1006:AX1006),$AO$1006:$BQ$1006,0)), HYPERLINK("#",""), HYPERLINK(CONCATENATE("#Metadata!", ADDRESS(INDEX($AJ$2:$AJ$1001,MATCH(ROWS($AH$2:AH297),$AH$2:$AH$1001,0),0), INDEX($AO$1004:$BQ$1004,1,MATCH(COLUMNS($AO$1006:AX1006),$AO$1006:$BQ$1006,0)))),"Fix")))</f>
        <v>#N/A</v>
      </c>
      <c r="L297" s="5" t="e">
        <f ca="1">IF(OR(INDEX($AI$2:$AI$1001,MATCH(ROWS($AH$2:AH297),$AH$2:$AH$1001,0),1)&gt;=100000,INDEX($AO$1005:$BQ$1005,1,MATCH(COLUMNS($AO$1006:AY1006),$AO$1006:$BQ$1006,0))&gt;=100000), " ",IF(INDEX($AO$2:$BQ$1001,MATCH(ROWS($AH$2:AH297),$AH$2:$AH$1001,0),MATCH(COLUMNS($AO$1006:AY1006),$AO$1006:$BQ$1006,0)), HYPERLINK("#",""), HYPERLINK(CONCATENATE("#Metadata!", ADDRESS(INDEX($AJ$2:$AJ$1001,MATCH(ROWS($AH$2:AH297),$AH$2:$AH$1001,0),0), INDEX($AO$1004:$BQ$1004,1,MATCH(COLUMNS($AO$1006:AY1006),$AO$1006:$BQ$1006,0)))),"Fix")))</f>
        <v>#N/A</v>
      </c>
      <c r="M297" s="5" t="e">
        <f ca="1">IF(OR(INDEX($AI$2:$AI$1001,MATCH(ROWS($AH$2:AH297),$AH$2:$AH$1001,0),1)&gt;=100000,INDEX($AO$1005:$BQ$1005,1,MATCH(COLUMNS($AO$1006:AZ1006),$AO$1006:$BQ$1006,0))&gt;=100000), " ",IF(INDEX($AO$2:$BQ$1001,MATCH(ROWS($AH$2:AH297),$AH$2:$AH$1001,0),MATCH(COLUMNS($AO$1006:AZ1006),$AO$1006:$BQ$1006,0)), HYPERLINK("#",""), HYPERLINK(CONCATENATE("#Metadata!", ADDRESS(INDEX($AJ$2:$AJ$1001,MATCH(ROWS($AH$2:AH297),$AH$2:$AH$1001,0),0), INDEX($AO$1004:$BQ$1004,1,MATCH(COLUMNS($AO$1006:AZ1006),$AO$1006:$BQ$1006,0)))),"Fix")))</f>
        <v>#N/A</v>
      </c>
      <c r="N297" s="5" t="e">
        <f ca="1">IF(OR(INDEX($AI$2:$AI$1001,MATCH(ROWS($AH$2:AH297),$AH$2:$AH$1001,0),1)&gt;=100000,INDEX($AO$1005:$BQ$1005,1,MATCH(COLUMNS($AO$1006:BA1006),$AO$1006:$BQ$1006,0))&gt;=100000), " ",IF(INDEX($AO$2:$BQ$1001,MATCH(ROWS($AH$2:AH297),$AH$2:$AH$1001,0),MATCH(COLUMNS($AO$1006:BA1006),$AO$1006:$BQ$1006,0)), HYPERLINK("#",""), HYPERLINK(CONCATENATE("#Metadata!", ADDRESS(INDEX($AJ$2:$AJ$1001,MATCH(ROWS($AH$2:AH297),$AH$2:$AH$1001,0),0), INDEX($AO$1004:$BQ$1004,1,MATCH(COLUMNS($AO$1006:BA1006),$AO$1006:$BQ$1006,0)))),"Fix")))</f>
        <v>#N/A</v>
      </c>
      <c r="O297" s="5" t="e">
        <f ca="1">IF(OR(INDEX($AI$2:$AI$1001,MATCH(ROWS($AH$2:AH297),$AH$2:$AH$1001,0),1)&gt;=100000,INDEX($AO$1005:$BQ$1005,1,MATCH(COLUMNS($AO$1006:BB1006),$AO$1006:$BQ$1006,0))&gt;=100000), " ",IF(INDEX($AO$2:$BQ$1001,MATCH(ROWS($AH$2:AH297),$AH$2:$AH$1001,0),MATCH(COLUMNS($AO$1006:BB1006),$AO$1006:$BQ$1006,0)), HYPERLINK("#",""), HYPERLINK(CONCATENATE("#Metadata!", ADDRESS(INDEX($AJ$2:$AJ$1001,MATCH(ROWS($AH$2:AH297),$AH$2:$AH$1001,0),0), INDEX($AO$1004:$BQ$1004,1,MATCH(COLUMNS($AO$1006:BB1006),$AO$1006:$BQ$1006,0)))),"Fix")))</f>
        <v>#N/A</v>
      </c>
      <c r="P297" s="5" t="e">
        <f ca="1">IF(OR(INDEX($AI$2:$AI$1001,MATCH(ROWS($AH$2:AH297),$AH$2:$AH$1001,0),1)&gt;=100000,INDEX($AO$1005:$BQ$1005,1,MATCH(COLUMNS($AO$1006:BC1006),$AO$1006:$BQ$1006,0))&gt;=100000), " ",IF(INDEX($AO$2:$BQ$1001,MATCH(ROWS($AH$2:AH297),$AH$2:$AH$1001,0),MATCH(COLUMNS($AO$1006:BC1006),$AO$1006:$BQ$1006,0)), HYPERLINK("#",""), HYPERLINK(CONCATENATE("#Metadata!", ADDRESS(INDEX($AJ$2:$AJ$1001,MATCH(ROWS($AH$2:AH297),$AH$2:$AH$1001,0),0), INDEX($AO$1004:$BQ$1004,1,MATCH(COLUMNS($AO$1006:BC1006),$AO$1006:$BQ$1006,0)))),"Fix")))</f>
        <v>#N/A</v>
      </c>
      <c r="Q297" s="5" t="e">
        <f ca="1">IF(OR(INDEX($AI$2:$AI$1001,MATCH(ROWS($AH$2:AH297),$AH$2:$AH$1001,0),1)&gt;=100000,INDEX($AO$1005:$BQ$1005,1,MATCH(COLUMNS($AO$1006:BD1006),$AO$1006:$BQ$1006,0))&gt;=100000), " ",IF(INDEX($AO$2:$BQ$1001,MATCH(ROWS($AH$2:AH297),$AH$2:$AH$1001,0),MATCH(COLUMNS($AO$1006:BD1006),$AO$1006:$BQ$1006,0)), HYPERLINK("#",""), HYPERLINK(CONCATENATE("#Metadata!", ADDRESS(INDEX($AJ$2:$AJ$1001,MATCH(ROWS($AH$2:AH297),$AH$2:$AH$1001,0),0), INDEX($AO$1004:$BQ$1004,1,MATCH(COLUMNS($AO$1006:BD1006),$AO$1006:$BQ$1006,0)))),"Fix")))</f>
        <v>#N/A</v>
      </c>
      <c r="R297" s="5" t="e">
        <f ca="1">IF(OR(INDEX($AI$2:$AI$1001,MATCH(ROWS($AH$2:AH297),$AH$2:$AH$1001,0),1)&gt;=100000,INDEX($AO$1005:$BQ$1005,1,MATCH(COLUMNS($AO$1006:BE1006),$AO$1006:$BQ$1006,0))&gt;=100000), " ",IF(INDEX($AO$2:$BQ$1001,MATCH(ROWS($AH$2:AH297),$AH$2:$AH$1001,0),MATCH(COLUMNS($AO$1006:BE1006),$AO$1006:$BQ$1006,0)), HYPERLINK("#",""), HYPERLINK(CONCATENATE("#Metadata!", ADDRESS(INDEX($AJ$2:$AJ$1001,MATCH(ROWS($AH$2:AH297),$AH$2:$AH$1001,0),0), INDEX($AO$1004:$BQ$1004,1,MATCH(COLUMNS($AO$1006:BE1006),$AO$1006:$BQ$1006,0)))),"Fix")))</f>
        <v>#N/A</v>
      </c>
      <c r="S297" s="5" t="e">
        <f ca="1">IF(OR(INDEX($AI$2:$AI$1001,MATCH(ROWS($AH$2:AH297),$AH$2:$AH$1001,0),1)&gt;=100000,INDEX($AO$1005:$BQ$1005,1,MATCH(COLUMNS($AO$1006:BF1006),$AO$1006:$BQ$1006,0))&gt;=100000), " ",IF(INDEX($AO$2:$BQ$1001,MATCH(ROWS($AH$2:AH297),$AH$2:$AH$1001,0),MATCH(COLUMNS($AO$1006:BF1006),$AO$1006:$BQ$1006,0)), HYPERLINK("#",""), HYPERLINK(CONCATENATE("#Metadata!", ADDRESS(INDEX($AJ$2:$AJ$1001,MATCH(ROWS($AH$2:AH297),$AH$2:$AH$1001,0),0), INDEX($AO$1004:$BQ$1004,1,MATCH(COLUMNS($AO$1006:BF1006),$AO$1006:$BQ$1006,0)))),"Fix")))</f>
        <v>#N/A</v>
      </c>
      <c r="T297" s="5" t="e">
        <f ca="1">IF(OR(INDEX($AI$2:$AI$1001,MATCH(ROWS($AH$2:AH297),$AH$2:$AH$1001,0),1)&gt;=100000,INDEX($AO$1005:$BQ$1005,1,MATCH(COLUMNS($AO$1006:BG1006),$AO$1006:$BQ$1006,0))&gt;=100000), " ",IF(INDEX($AO$2:$BQ$1001,MATCH(ROWS($AH$2:AH297),$AH$2:$AH$1001,0),MATCH(COLUMNS($AO$1006:BG1006),$AO$1006:$BQ$1006,0)), HYPERLINK("#",""), HYPERLINK(CONCATENATE("#Metadata!", ADDRESS(INDEX($AJ$2:$AJ$1001,MATCH(ROWS($AH$2:AH297),$AH$2:$AH$1001,0),0), INDEX($AO$1004:$BQ$1004,1,MATCH(COLUMNS($AO$1006:BG1006),$AO$1006:$BQ$1006,0)))),"Fix")))</f>
        <v>#N/A</v>
      </c>
      <c r="U297" s="5" t="e">
        <f ca="1">IF(OR(INDEX($AI$2:$AI$1001,MATCH(ROWS($AH$2:AH297),$AH$2:$AH$1001,0),1)&gt;=100000,INDEX($AO$1005:$BQ$1005,1,MATCH(COLUMNS($AO$1006:BH1006),$AO$1006:$BQ$1006,0))&gt;=100000), " ",IF(INDEX($AO$2:$BQ$1001,MATCH(ROWS($AH$2:AH297),$AH$2:$AH$1001,0),MATCH(COLUMNS($AO$1006:BH1006),$AO$1006:$BQ$1006,0)), HYPERLINK("#",""), HYPERLINK(CONCATENATE("#Metadata!", ADDRESS(INDEX($AJ$2:$AJ$1001,MATCH(ROWS($AH$2:AH297),$AH$2:$AH$1001,0),0), INDEX($AO$1004:$BQ$1004,1,MATCH(COLUMNS($AO$1006:BH1006),$AO$1006:$BQ$1006,0)))),"Fix")))</f>
        <v>#N/A</v>
      </c>
      <c r="V297" s="5" t="e">
        <f ca="1">IF(OR(INDEX($AI$2:$AI$1001,MATCH(ROWS($AH$2:AH297),$AH$2:$AH$1001,0),1)&gt;=100000,INDEX($AO$1005:$BQ$1005,1,MATCH(COLUMNS($AO$1006:BI1006),$AO$1006:$BQ$1006,0))&gt;=100000), " ",IF(INDEX($AO$2:$BQ$1001,MATCH(ROWS($AH$2:AH297),$AH$2:$AH$1001,0),MATCH(COLUMNS($AO$1006:BI1006),$AO$1006:$BQ$1006,0)), HYPERLINK("#",""), HYPERLINK(CONCATENATE("#Metadata!", ADDRESS(INDEX($AJ$2:$AJ$1001,MATCH(ROWS($AH$2:AH297),$AH$2:$AH$1001,0),0), INDEX($AO$1004:$BQ$1004,1,MATCH(COLUMNS($AO$1006:BI1006),$AO$1006:$BQ$1006,0)))),"Fix")))</f>
        <v>#N/A</v>
      </c>
      <c r="W297" s="5" t="e">
        <f ca="1">IF(OR(INDEX($AI$2:$AI$1001,MATCH(ROWS($AH$2:AH297),$AH$2:$AH$1001,0),1)&gt;=100000,INDEX($AO$1005:$BQ$1005,1,MATCH(COLUMNS($AO$1006:BJ1006),$AO$1006:$BQ$1006,0))&gt;=100000), " ",IF(INDEX($AO$2:$BQ$1001,MATCH(ROWS($AH$2:AH297),$AH$2:$AH$1001,0),MATCH(COLUMNS($AO$1006:BJ1006),$AO$1006:$BQ$1006,0)), HYPERLINK("#",""), HYPERLINK(CONCATENATE("#Metadata!", ADDRESS(INDEX($AJ$2:$AJ$1001,MATCH(ROWS($AH$2:AH297),$AH$2:$AH$1001,0),0), INDEX($AO$1004:$BQ$1004,1,MATCH(COLUMNS($AO$1006:BJ1006),$AO$1006:$BQ$1006,0)))),"Fix")))</f>
        <v>#N/A</v>
      </c>
      <c r="X297" s="5" t="e">
        <f ca="1">IF(OR(INDEX($AI$2:$AI$1001,MATCH(ROWS($AH$2:AH297),$AH$2:$AH$1001,0),1)&gt;=100000,INDEX($AO$1005:$BQ$1005,1,MATCH(COLUMNS($AO$1006:BK1006),$AO$1006:$BQ$1006,0))&gt;=100000), " ",IF(INDEX($AO$2:$BQ$1001,MATCH(ROWS($AH$2:AH297),$AH$2:$AH$1001,0),MATCH(COLUMNS($AO$1006:BK1006),$AO$1006:$BQ$1006,0)), HYPERLINK("#",""), HYPERLINK(CONCATENATE("#Metadata!", ADDRESS(INDEX($AJ$2:$AJ$1001,MATCH(ROWS($AH$2:AH297),$AH$2:$AH$1001,0),0), INDEX($AO$1004:$BQ$1004,1,MATCH(COLUMNS($AO$1006:BK1006),$AO$1006:$BQ$1006,0)))),"Fix")))</f>
        <v>#N/A</v>
      </c>
      <c r="Y297" s="5" t="e">
        <f ca="1">IF(OR(INDEX($AI$2:$AI$1001,MATCH(ROWS($AH$2:AH297),$AH$2:$AH$1001,0),1)&gt;=100000,INDEX($AO$1005:$BQ$1005,1,MATCH(COLUMNS($AO$1006:BL1006),$AO$1006:$BQ$1006,0))&gt;=100000), " ",IF(INDEX($AO$2:$BQ$1001,MATCH(ROWS($AH$2:AH297),$AH$2:$AH$1001,0),MATCH(COLUMNS($AO$1006:BL1006),$AO$1006:$BQ$1006,0)), HYPERLINK("#",""), HYPERLINK(CONCATENATE("#Metadata!", ADDRESS(INDEX($AJ$2:$AJ$1001,MATCH(ROWS($AH$2:AH297),$AH$2:$AH$1001,0),0), INDEX($AO$1004:$BQ$1004,1,MATCH(COLUMNS($AO$1006:BL1006),$AO$1006:$BQ$1006,0)))),"Fix")))</f>
        <v>#N/A</v>
      </c>
      <c r="Z297" s="5" t="e">
        <f ca="1">IF(OR(INDEX($AI$2:$AI$1001,MATCH(ROWS($AH$2:AH297),$AH$2:$AH$1001,0),1)&gt;=100000,INDEX($AO$1005:$BQ$1005,1,MATCH(COLUMNS($AO$1006:BM1006),$AO$1006:$BQ$1006,0))&gt;=100000), " ",IF(INDEX($AO$2:$BQ$1001,MATCH(ROWS($AH$2:AH297),$AH$2:$AH$1001,0),MATCH(COLUMNS($AO$1006:BM1006),$AO$1006:$BQ$1006,0)), HYPERLINK("#",""), HYPERLINK(CONCATENATE("#Metadata!", ADDRESS(INDEX($AJ$2:$AJ$1001,MATCH(ROWS($AH$2:AH297),$AH$2:$AH$1001,0),0), INDEX($AO$1004:$BQ$1004,1,MATCH(COLUMNS($AO$1006:BM1006),$AO$1006:$BQ$1006,0)))),"Fix")))</f>
        <v>#N/A</v>
      </c>
      <c r="AA297" s="5" t="e">
        <f ca="1">IF(OR(INDEX($AI$2:$AI$1001,MATCH(ROWS($AH$2:AH297),$AH$2:$AH$1001,0),1)&gt;=100000,INDEX($AO$1005:$BQ$1005,1,MATCH(COLUMNS($AO$1006:BN1006),$AO$1006:$BQ$1006,0))&gt;=100000), " ",IF(INDEX($AO$2:$BQ$1001,MATCH(ROWS($AH$2:AH297),$AH$2:$AH$1001,0),MATCH(COLUMNS($AO$1006:BN1006),$AO$1006:$BQ$1006,0)), HYPERLINK("#",""), HYPERLINK(CONCATENATE("#Metadata!", ADDRESS(INDEX($AJ$2:$AJ$1001,MATCH(ROWS($AH$2:AH297),$AH$2:$AH$1001,0),0), INDEX($AO$1004:$BQ$1004,1,MATCH(COLUMNS($AO$1006:BN1006),$AO$1006:$BQ$1006,0)))),"Fix")))</f>
        <v>#N/A</v>
      </c>
      <c r="AB297" s="5" t="e">
        <f ca="1">IF(OR(INDEX($AI$2:$AI$1001,MATCH(ROWS($AH$2:AH297),$AH$2:$AH$1001,0),1)&gt;=100000,INDEX($AO$1005:$BQ$1005,1,MATCH(COLUMNS($AO$1006:BO1006),$AO$1006:$BQ$1006,0))&gt;=100000), " ",IF(INDEX($AO$2:$BQ$1001,MATCH(ROWS($AH$2:AH297),$AH$2:$AH$1001,0),MATCH(COLUMNS($AO$1006:BO1006),$AO$1006:$BQ$1006,0)), HYPERLINK("#",""), HYPERLINK(CONCATENATE("#Metadata!", ADDRESS(INDEX($AJ$2:$AJ$1001,MATCH(ROWS($AH$2:AH297),$AH$2:$AH$1001,0),0), INDEX($AO$1004:$BQ$1004,1,MATCH(COLUMNS($AO$1006:BO1006),$AO$1006:$BQ$1006,0)))),"Fix")))</f>
        <v>#N/A</v>
      </c>
      <c r="AC297" s="5" t="e">
        <f ca="1">IF(OR(INDEX($AI$2:$AI$1001,MATCH(ROWS($AH$2:AH297),$AH$2:$AH$1001,0),1)&gt;=100000,INDEX($AO$1005:$BQ$1005,1,MATCH(COLUMNS($AO$1006:BP1006),$AO$1006:$BQ$1006,0))&gt;=100000), " ",IF(INDEX($AO$2:$BQ$1001,MATCH(ROWS($AH$2:AH297),$AH$2:$AH$1001,0),MATCH(COLUMNS($AO$1006:BP1006),$AO$1006:$BQ$1006,0)), HYPERLINK("#",""), HYPERLINK(CONCATENATE("#Metadata!", ADDRESS(INDEX($AJ$2:$AJ$1001,MATCH(ROWS($AH$2:AH297),$AH$2:$AH$1001,0),0), INDEX($AO$1004:$BQ$1004,1,MATCH(COLUMNS($AO$1006:BP1006),$AO$1006:$BQ$1006,0)))),"Fix")))</f>
        <v>#N/A</v>
      </c>
      <c r="AD297" s="5" t="e">
        <f ca="1">IF(OR(INDEX($AI$2:$AI$1001,MATCH(ROWS($AH$2:AH297),$AH$2:$AH$1001,0),1)&gt;=100000,INDEX($AO$1005:$BQ$1005,1,MATCH(COLUMNS($AO$1006:BQ1006),$AO$1006:$BQ$1006,0))&gt;=100000), " ",IF(INDEX($AO$2:$BQ$1001,MATCH(ROWS($AH$2:AH297),$AH$2:$AH$1001,0),MATCH(COLUMNS($AO$1006:BQ1006),$AO$1006:$BQ$1006,0)), HYPERLINK("#",""), HYPERLINK(CONCATENATE("#Metadata!", ADDRESS(INDEX($AJ$2:$AJ$1001,MATCH(ROWS($AH$2:AH297),$AH$2:$AH$1001,0),0), INDEX($AO$1004:$BQ$1004,1,MATCH(COLUMNS($AO$1006:BQ1006),$AO$1006:$BQ$1006,0)))),"Fix")))</f>
        <v>#REF!</v>
      </c>
      <c r="AH297">
        <f ca="1"/>
        <v>294</v>
      </c>
      <c r="AI297">
        <v>100297</v>
      </c>
      <c r="AJ297">
        <v>297</v>
      </c>
      <c r="AK297" t="b">
        <f t="shared" si="4"/>
        <v>1</v>
      </c>
      <c r="AL297" t="b">
        <f>COUNTBLANK(Metadata!B297:AD297)=COLUMNS(Metadata!B297:AD297)</f>
        <v>1</v>
      </c>
      <c r="AM297" t="str">
        <v/>
      </c>
      <c r="AO297" t="b">
        <f ca="1">AND(IF(Metadata!B297="",FALSE,TRUE),COUNTIF(Metadata!B:B, Metadata!B297) = 1,NOT(ISERROR(SUMPRODUCT(SEARCH(MID(Metadata!B297,ROW(INDIRECT("1:"&amp;LEN(Metadata!B297))), 1),"0123456789abcdefghijklmnopqrstuvwxyzABCDEFGHIJKLMNOPQRSTUVWXYZ.")))))</f>
        <v>0</v>
      </c>
      <c r="AP297" t="b">
        <f>IF(Metadata!C297="",FALSE,TRUE)</f>
        <v>0</v>
      </c>
      <c r="AQ297" t="b">
        <f>IF(Metadata!D297="",FALSE,TRUE)</f>
        <v>0</v>
      </c>
      <c r="AR297" t="b">
        <f ca="1">OR(AND(IF(Metadata!E297="",FALSE,TRUE),OR(EXACT(Metadata!E297,"not collected"),EXACT(Metadata!E297,"not provided"),EXACT(Metadata!E297,"restricted access"))),AND(IF(Metadata!E297="",FALSE,TRUE),AND(AND(IFERROR(INT(LEFT(Metadata!E297,4))&gt;1900,FALSE),IFERROR(INT(LEFT(Metadata!E297,4))&lt;=YEAR(NOW()),FALSE)), OR(MID(Metadata!E297,5,1)="", AND(AND(MID(Metadata!E297,5,1)="-",IFERROR(INT(MID(Metadata!E297,6,1))&gt;=0,FALSE),IFERROR(INT(MID(Metadata!E297,6,1))&lt;=1,FALSE),NOT(MID(Metadata!E297,7,1)=""),IFERROR(INT(MID(Metadata!E297,6,2))&gt;=1,FALSE),IFERROR(INT(MID(Metadata!E297,6,2))&lt;=12,FALSE)), OR(MID(Metadata!E297,8,1)="", AND(AND(MID(Metadata!E297,8,1)="-",IFERROR(INT(MID(Metadata!E297,9,1))&gt;=0,FALSE),IFERROR(INT(MID(Metadata!E297,9,1))&lt;=3,FALSE),NOT(MID(Metadata!E297,10,1)=""),IFERROR(INT(MID(Metadata!E297,9,2))&gt;=1,FALSE),IFERROR(INT(MID(Metadata!E297,9,2))&lt;=31,FALSE)), OR(MID(Metadata!E297,11,1)="", AND(AND(MID(Metadata!E297,11,1)=" ",IFERROR(INT(MID(Metadata!E297,12,1))&gt;=0,FALSE),IFERROR(INT(MID(Metadata!E297,12,1))&lt;=2,FALSE),NOT(MID(Metadata!E297,13,1)=""),IFERROR(INT(MID(Metadata!E297,12,2))&gt;=0,FALSE),IFERROR(INT(MID(Metadata!E297,12,2))&lt;=23,FALSE)), OR(MID(Metadata!E297,14,1)="", AND(AND(MID(Metadata!E297,14,1)=":",IFERROR(INT(MID(Metadata!E297,15,1))&gt;=0,FALSE),IFERROR(INT(MID(Metadata!E297,15,1))&lt;=5,FALSE),NOT(MID(Metadata!E297,16,1)=""),IFERROR(INT(MID(Metadata!E297,15,2))&gt;=0,FALSE),IFERROR(INT(MID(Metadata!E297,15,2))&lt;=59,FALSE)), OR(MID(Metadata!E297,17,1)="", AND(AND(MID(Metadata!E297,17,1)=":",IFERROR(INT(MID(Metadata!E297,18,1))&gt;=0,FALSE),IFERROR(INT(MID(Metadata!E297,18,1))&lt;=5,FALSE),NOT(MID(Metadata!E297,19,1)=""),IFERROR(INT(MID(Metadata!E297,18,2))&gt;=0,FALSE),IFERROR(INT(MID(Metadata!E297,18,2))&lt;=59,FALSE)), LEN(Metadata!E297)&lt;=19)))))))))))))</f>
        <v>0</v>
      </c>
      <c r="AS297" t="b">
        <f>IF(Metadata!F297="",FALSE,TRUE)</f>
        <v>0</v>
      </c>
      <c r="AT297" t="b">
        <f>OR(AND(IF(Metadata!G297="",FALSE,TRUE),OR(EXACT(Metadata!G297,"not collected"),EXACT(Metadata!G297,"not provided"))),AND(IF(Metadata!G297="",FALSE,TRUE),OR(EXACT(Metadata!G297,"TRUE"),EXACT(Metadata!G297,"FALSE"))))</f>
        <v>0</v>
      </c>
      <c r="AU297" t="b">
        <f>OR(AND(IF(Metadata!H297="",FALSE,TRUE),OR(EXACT(Metadata!H297,"not collected"),EXACT(Metadata!H297,"not provided"),EXACT(Metadata!H297,"restricted access"))),AND(IF(Metadata!H297="",FALSE,ISNUMBER(VALUE(Metadata!H297))),Metadata!H297&gt;=-413))</f>
        <v>0</v>
      </c>
      <c r="AV297" t="b">
        <f>AND(IF(Metadata!I297="",FALSE,TRUE),EXACT(Metadata!I297,"meters"))</f>
        <v>0</v>
      </c>
      <c r="AW297" t="b">
        <f>AND(IF(Metadata!J297="",FALSE,TRUE),EXACT(Metadata!J297,"free-living"))</f>
        <v>0</v>
      </c>
      <c r="AX297" t="b">
        <f>AND(IF(Metadata!K297="",FALSE,TRUE),OR(EXACT(Metadata!K297,"saline"),EXACT(Metadata!K297,"non-saline")))</f>
        <v>0</v>
      </c>
      <c r="AY297" t="b">
        <f>AND(IF(Metadata!L297="",FALSE,TRUE),OR(EXACT(Metadata!L297,"sub-surface (non-saline)"),EXACT(Metadata!L297,"surface (non-saline)"),EXACT(Metadata!L297,"water (non-saline)"),EXACT(Metadata!L297,"soil (non-saline)"),EXACT(Metadata!L297,"aerosol (non-saline)"),EXACT(Metadata!L297,"sediment (non-saline)"),EXACT(Metadata!L297,"surface (saline)"),EXACT(Metadata!L297,"water (saline)"),EXACT(Metadata!L297,"hypersaline (saline)"),EXACT(Metadata!L297,"aerosol (saline)"),EXACT(Metadata!L297,"sediment (saline)")))</f>
        <v>0</v>
      </c>
      <c r="AZ297" t="b">
        <f>IF(Metadata!M297="",FALSE,TRUE)</f>
        <v>0</v>
      </c>
      <c r="BA297" t="b">
        <f>IF(Metadata!N297="",FALSE,TRUE)</f>
        <v>0</v>
      </c>
      <c r="BB297" t="b">
        <f>IF(Metadata!O297="",FALSE,TRUE)</f>
        <v>0</v>
      </c>
      <c r="BC297" t="b">
        <f>AND(IF(Metadata!P297="",FALSE,TRUE),OR(EXACT(Metadata!P297,"air"),EXACT(Metadata!P297,"microbial mat/biofilm"),EXACT(Metadata!P297,"misc environment"),EXACT(Metadata!P297,"sediment"),EXACT(Metadata!P297,"soil"),EXACT(Metadata!P297,"wastewater/sludge"),EXACT(Metadata!P297,"water")))</f>
        <v>0</v>
      </c>
      <c r="BD297" t="b">
        <f>IF(Metadata!Q297="",FALSE,TRUE)</f>
        <v>0</v>
      </c>
      <c r="BE297" t="b">
        <f>IF(Metadata!R297="",FALSE,TRUE)</f>
        <v>0</v>
      </c>
      <c r="BF297" t="b">
        <f>OR(AND(IF(Metadata!S297="",FALSE,TRUE),OR(EXACT(Metadata!S297,"not collected"),EXACT(Metadata!S297,"not provided"),EXACT(Metadata!S297,"restricted access"))),AND(IF(Metadata!S297="",FALSE,ISNUMBER(VALUE(Metadata!S297))),Metadata!S297&gt;=-90,Metadata!S297&lt;=90))</f>
        <v>0</v>
      </c>
      <c r="BG297" t="b">
        <f>AND(IF(Metadata!T297="",FALSE,TRUE),EXACT(Metadata!T297,"Decimal degrees"))</f>
        <v>0</v>
      </c>
      <c r="BH297" t="b">
        <f>OR(AND(IF(Metadata!U297="",FALSE,TRUE),OR(EXACT(Metadata!U297,"not applicable"),EXACT(Metadata!U297,"not collected"))),IF(Metadata!U297="",FALSE,TRUE))</f>
        <v>0</v>
      </c>
      <c r="BI297" t="b">
        <f>OR(AND(IF(Metadata!V297="",FALSE,TRUE),OR(EXACT(Metadata!V297,"not collected"),EXACT(Metadata!V297,"not provided"),EXACT(Metadata!V297,"restricted access"))),AND(IF(Metadata!V297="",FALSE,ISNUMBER(VALUE(Metadata!V297))),Metadata!V297&gt;=-180,Metadata!V297&lt;=180))</f>
        <v>0</v>
      </c>
      <c r="BJ297" t="b">
        <f>AND(IF(Metadata!W297="",FALSE,TRUE),EXACT(Metadata!W297,"Decimal degrees"))</f>
        <v>0</v>
      </c>
      <c r="BK297" t="b">
        <f>IF(Metadata!X297="",FALSE,TRUE)</f>
        <v>0</v>
      </c>
      <c r="BL297" t="b">
        <f>OR(AND(IF(Metadata!Y297="",FALSE,TRUE),OR(EXACT(Metadata!Y297,"not collected"),EXACT(Metadata!Y297,"not provided"),EXACT(Metadata!Y297,"restricted access"))),AND(IF(Metadata!Y297="",FALSE,TRUE),OR(EXACT(Metadata!Y297,"TRUE"),EXACT(Metadata!Y297,"FALSE"))))</f>
        <v>0</v>
      </c>
      <c r="BM297" t="b">
        <f>OR(AND(IF(Metadata!Z297="",FALSE,TRUE),EXACT(Metadata!Z297,"not applicable")),AND(IF(Metadata!Z297="",FALSE,TRUE),OR(EXACT(Metadata!Z297,"beer"),EXACT(Metadata!Z297,"cheese"),EXACT(Metadata!Z297,"fresh water"),EXACT(Metadata!Z297,"marine sediment"),EXACT(Metadata!Z297,"sea water"),EXACT(Metadata!Z297,"sediment"),EXACT(Metadata!Z297,"soil"),EXACT(Metadata!Z297,"waste water"))))</f>
        <v>0</v>
      </c>
      <c r="BN297" t="b">
        <f>AND(IF(Metadata!AA297="",FALSE,TRUE),EXACT(Metadata!AA297,"metagenome"))</f>
        <v>0</v>
      </c>
      <c r="BO297" t="b">
        <f>AND(IF(Metadata!AB297="",FALSE,TRUE),EXACT(Metadata!AB297,"256318"))</f>
        <v>0</v>
      </c>
      <c r="BP297" t="b">
        <f>IF(Metadata!AC297="",FALSE,TRUE)</f>
        <v>0</v>
      </c>
      <c r="BQ297" t="b">
        <f>IF(Metadata!AD297="",FALSE,TRUE)</f>
        <v>0</v>
      </c>
    </row>
    <row r="298" spans="1:69" x14ac:dyDescent="0.2">
      <c r="A298" s="4" t="e">
        <f ca="1">IF(B298=" "," ",HYPERLINK(CONCATENATE("#metadata!",ADDRESS(INDEX($AJ$2:$AJ$1001,MATCH(ROWS($AH$2:AH298),$AH$2:$AH$1001,0),0),2)),INDEX($AM$2:$AM$1001,MATCH(ROWS($AH$2:AH298),$AH$2:$AH$1001,0),0)))</f>
        <v>#N/A</v>
      </c>
      <c r="B298" s="5" t="e">
        <f ca="1">IF(OR(INDEX($AI$2:$AI$1001,MATCH(ROWS($AH$2:AH298),$AH$2:$AH$1001,0),1)&gt;=100000,INDEX($AO$1005:$BQ$1005,1,MATCH(COLUMNS($AO$1006:AO1006),$AO$1006:$BQ$1006,0))&gt;=100000), " ",IF(INDEX($AO$2:$BQ$1001,MATCH(ROWS($AH$2:AH298),$AH$2:$AH$1001,0),MATCH(COLUMNS($AO$1006:AO1006),$AO$1006:$BQ$1006,0)), HYPERLINK("#",""), HYPERLINK(CONCATENATE("#Metadata!", ADDRESS(INDEX($AJ$2:$AJ$1001,MATCH(ROWS($AH$2:AH298),$AH$2:$AH$1001,0),0), INDEX($AO$1004:$BQ$1004,1,MATCH(COLUMNS($AO$1006:AO1006),$AO$1006:$BQ$1006,0)))),"Fix")))</f>
        <v>#N/A</v>
      </c>
      <c r="C298" s="5" t="e">
        <f ca="1">IF(OR(INDEX($AI$2:$AI$1001,MATCH(ROWS($AH$2:AH298),$AH$2:$AH$1001,0),1)&gt;=100000,INDEX($AO$1005:$BQ$1005,1,MATCH(COLUMNS($AO$1006:AP1006),$AO$1006:$BQ$1006,0))&gt;=100000), " ",IF(INDEX($AO$2:$BQ$1001,MATCH(ROWS($AH$2:AH298),$AH$2:$AH$1001,0),MATCH(COLUMNS($AO$1006:AP1006),$AO$1006:$BQ$1006,0)), HYPERLINK("#",""), HYPERLINK(CONCATENATE("#Metadata!", ADDRESS(INDEX($AJ$2:$AJ$1001,MATCH(ROWS($AH$2:AH298),$AH$2:$AH$1001,0),0), INDEX($AO$1004:$BQ$1004,1,MATCH(COLUMNS($AO$1006:AP1006),$AO$1006:$BQ$1006,0)))),"Fix")))</f>
        <v>#N/A</v>
      </c>
      <c r="D298" s="5" t="e">
        <f ca="1">IF(OR(INDEX($AI$2:$AI$1001,MATCH(ROWS($AH$2:AH298),$AH$2:$AH$1001,0),1)&gt;=100000,INDEX($AO$1005:$BQ$1005,1,MATCH(COLUMNS($AO$1006:AQ1006),$AO$1006:$BQ$1006,0))&gt;=100000), " ",IF(INDEX($AO$2:$BQ$1001,MATCH(ROWS($AH$2:AH298),$AH$2:$AH$1001,0),MATCH(COLUMNS($AO$1006:AQ1006),$AO$1006:$BQ$1006,0)), HYPERLINK("#",""), HYPERLINK(CONCATENATE("#Metadata!", ADDRESS(INDEX($AJ$2:$AJ$1001,MATCH(ROWS($AH$2:AH298),$AH$2:$AH$1001,0),0), INDEX($AO$1004:$BQ$1004,1,MATCH(COLUMNS($AO$1006:AQ1006),$AO$1006:$BQ$1006,0)))),"Fix")))</f>
        <v>#N/A</v>
      </c>
      <c r="E298" s="5" t="e">
        <f ca="1">IF(OR(INDEX($AI$2:$AI$1001,MATCH(ROWS($AH$2:AH298),$AH$2:$AH$1001,0),1)&gt;=100000,INDEX($AO$1005:$BQ$1005,1,MATCH(COLUMNS($AO$1006:AR1006),$AO$1006:$BQ$1006,0))&gt;=100000), " ",IF(INDEX($AO$2:$BQ$1001,MATCH(ROWS($AH$2:AH298),$AH$2:$AH$1001,0),MATCH(COLUMNS($AO$1006:AR1006),$AO$1006:$BQ$1006,0)), HYPERLINK("#",""), HYPERLINK(CONCATENATE("#Metadata!", ADDRESS(INDEX($AJ$2:$AJ$1001,MATCH(ROWS($AH$2:AH298),$AH$2:$AH$1001,0),0), INDEX($AO$1004:$BQ$1004,1,MATCH(COLUMNS($AO$1006:AR1006),$AO$1006:$BQ$1006,0)))),"Fix")))</f>
        <v>#N/A</v>
      </c>
      <c r="F298" s="5" t="e">
        <f ca="1">IF(OR(INDEX($AI$2:$AI$1001,MATCH(ROWS($AH$2:AH298),$AH$2:$AH$1001,0),1)&gt;=100000,INDEX($AO$1005:$BQ$1005,1,MATCH(COLUMNS($AO$1006:AS1006),$AO$1006:$BQ$1006,0))&gt;=100000), " ",IF(INDEX($AO$2:$BQ$1001,MATCH(ROWS($AH$2:AH298),$AH$2:$AH$1001,0),MATCH(COLUMNS($AO$1006:AS1006),$AO$1006:$BQ$1006,0)), HYPERLINK("#",""), HYPERLINK(CONCATENATE("#Metadata!", ADDRESS(INDEX($AJ$2:$AJ$1001,MATCH(ROWS($AH$2:AH298),$AH$2:$AH$1001,0),0), INDEX($AO$1004:$BQ$1004,1,MATCH(COLUMNS($AO$1006:AS1006),$AO$1006:$BQ$1006,0)))),"Fix")))</f>
        <v>#N/A</v>
      </c>
      <c r="G298" s="5" t="e">
        <f ca="1">IF(OR(INDEX($AI$2:$AI$1001,MATCH(ROWS($AH$2:AH298),$AH$2:$AH$1001,0),1)&gt;=100000,INDEX($AO$1005:$BQ$1005,1,MATCH(COLUMNS($AO$1006:AT1006),$AO$1006:$BQ$1006,0))&gt;=100000), " ",IF(INDEX($AO$2:$BQ$1001,MATCH(ROWS($AH$2:AH298),$AH$2:$AH$1001,0),MATCH(COLUMNS($AO$1006:AT1006),$AO$1006:$BQ$1006,0)), HYPERLINK("#",""), HYPERLINK(CONCATENATE("#Metadata!", ADDRESS(INDEX($AJ$2:$AJ$1001,MATCH(ROWS($AH$2:AH298),$AH$2:$AH$1001,0),0), INDEX($AO$1004:$BQ$1004,1,MATCH(COLUMNS($AO$1006:AT1006),$AO$1006:$BQ$1006,0)))),"Fix")))</f>
        <v>#N/A</v>
      </c>
      <c r="H298" s="5" t="e">
        <f ca="1">IF(OR(INDEX($AI$2:$AI$1001,MATCH(ROWS($AH$2:AH298),$AH$2:$AH$1001,0),1)&gt;=100000,INDEX($AO$1005:$BQ$1005,1,MATCH(COLUMNS($AO$1006:AU1006),$AO$1006:$BQ$1006,0))&gt;=100000), " ",IF(INDEX($AO$2:$BQ$1001,MATCH(ROWS($AH$2:AH298),$AH$2:$AH$1001,0),MATCH(COLUMNS($AO$1006:AU1006),$AO$1006:$BQ$1006,0)), HYPERLINK("#",""), HYPERLINK(CONCATENATE("#Metadata!", ADDRESS(INDEX($AJ$2:$AJ$1001,MATCH(ROWS($AH$2:AH298),$AH$2:$AH$1001,0),0), INDEX($AO$1004:$BQ$1004,1,MATCH(COLUMNS($AO$1006:AU1006),$AO$1006:$BQ$1006,0)))),"Fix")))</f>
        <v>#N/A</v>
      </c>
      <c r="I298" s="5" t="e">
        <f ca="1">IF(OR(INDEX($AI$2:$AI$1001,MATCH(ROWS($AH$2:AH298),$AH$2:$AH$1001,0),1)&gt;=100000,INDEX($AO$1005:$BQ$1005,1,MATCH(COLUMNS($AO$1006:AV1006),$AO$1006:$BQ$1006,0))&gt;=100000), " ",IF(INDEX($AO$2:$BQ$1001,MATCH(ROWS($AH$2:AH298),$AH$2:$AH$1001,0),MATCH(COLUMNS($AO$1006:AV1006),$AO$1006:$BQ$1006,0)), HYPERLINK("#",""), HYPERLINK(CONCATENATE("#Metadata!", ADDRESS(INDEX($AJ$2:$AJ$1001,MATCH(ROWS($AH$2:AH298),$AH$2:$AH$1001,0),0), INDEX($AO$1004:$BQ$1004,1,MATCH(COLUMNS($AO$1006:AV1006),$AO$1006:$BQ$1006,0)))),"Fix")))</f>
        <v>#N/A</v>
      </c>
      <c r="J298" s="5" t="e">
        <f ca="1">IF(OR(INDEX($AI$2:$AI$1001,MATCH(ROWS($AH$2:AH298),$AH$2:$AH$1001,0),1)&gt;=100000,INDEX($AO$1005:$BQ$1005,1,MATCH(COLUMNS($AO$1006:AW1006),$AO$1006:$BQ$1006,0))&gt;=100000), " ",IF(INDEX($AO$2:$BQ$1001,MATCH(ROWS($AH$2:AH298),$AH$2:$AH$1001,0),MATCH(COLUMNS($AO$1006:AW1006),$AO$1006:$BQ$1006,0)), HYPERLINK("#",""), HYPERLINK(CONCATENATE("#Metadata!", ADDRESS(INDEX($AJ$2:$AJ$1001,MATCH(ROWS($AH$2:AH298),$AH$2:$AH$1001,0),0), INDEX($AO$1004:$BQ$1004,1,MATCH(COLUMNS($AO$1006:AW1006),$AO$1006:$BQ$1006,0)))),"Fix")))</f>
        <v>#N/A</v>
      </c>
      <c r="K298" s="5" t="e">
        <f ca="1">IF(OR(INDEX($AI$2:$AI$1001,MATCH(ROWS($AH$2:AH298),$AH$2:$AH$1001,0),1)&gt;=100000,INDEX($AO$1005:$BQ$1005,1,MATCH(COLUMNS($AO$1006:AX1006),$AO$1006:$BQ$1006,0))&gt;=100000), " ",IF(INDEX($AO$2:$BQ$1001,MATCH(ROWS($AH$2:AH298),$AH$2:$AH$1001,0),MATCH(COLUMNS($AO$1006:AX1006),$AO$1006:$BQ$1006,0)), HYPERLINK("#",""), HYPERLINK(CONCATENATE("#Metadata!", ADDRESS(INDEX($AJ$2:$AJ$1001,MATCH(ROWS($AH$2:AH298),$AH$2:$AH$1001,0),0), INDEX($AO$1004:$BQ$1004,1,MATCH(COLUMNS($AO$1006:AX1006),$AO$1006:$BQ$1006,0)))),"Fix")))</f>
        <v>#N/A</v>
      </c>
      <c r="L298" s="5" t="e">
        <f ca="1">IF(OR(INDEX($AI$2:$AI$1001,MATCH(ROWS($AH$2:AH298),$AH$2:$AH$1001,0),1)&gt;=100000,INDEX($AO$1005:$BQ$1005,1,MATCH(COLUMNS($AO$1006:AY1006),$AO$1006:$BQ$1006,0))&gt;=100000), " ",IF(INDEX($AO$2:$BQ$1001,MATCH(ROWS($AH$2:AH298),$AH$2:$AH$1001,0),MATCH(COLUMNS($AO$1006:AY1006),$AO$1006:$BQ$1006,0)), HYPERLINK("#",""), HYPERLINK(CONCATENATE("#Metadata!", ADDRESS(INDEX($AJ$2:$AJ$1001,MATCH(ROWS($AH$2:AH298),$AH$2:$AH$1001,0),0), INDEX($AO$1004:$BQ$1004,1,MATCH(COLUMNS($AO$1006:AY1006),$AO$1006:$BQ$1006,0)))),"Fix")))</f>
        <v>#N/A</v>
      </c>
      <c r="M298" s="5" t="e">
        <f ca="1">IF(OR(INDEX($AI$2:$AI$1001,MATCH(ROWS($AH$2:AH298),$AH$2:$AH$1001,0),1)&gt;=100000,INDEX($AO$1005:$BQ$1005,1,MATCH(COLUMNS($AO$1006:AZ1006),$AO$1006:$BQ$1006,0))&gt;=100000), " ",IF(INDEX($AO$2:$BQ$1001,MATCH(ROWS($AH$2:AH298),$AH$2:$AH$1001,0),MATCH(COLUMNS($AO$1006:AZ1006),$AO$1006:$BQ$1006,0)), HYPERLINK("#",""), HYPERLINK(CONCATENATE("#Metadata!", ADDRESS(INDEX($AJ$2:$AJ$1001,MATCH(ROWS($AH$2:AH298),$AH$2:$AH$1001,0),0), INDEX($AO$1004:$BQ$1004,1,MATCH(COLUMNS($AO$1006:AZ1006),$AO$1006:$BQ$1006,0)))),"Fix")))</f>
        <v>#N/A</v>
      </c>
      <c r="N298" s="5" t="e">
        <f ca="1">IF(OR(INDEX($AI$2:$AI$1001,MATCH(ROWS($AH$2:AH298),$AH$2:$AH$1001,0),1)&gt;=100000,INDEX($AO$1005:$BQ$1005,1,MATCH(COLUMNS($AO$1006:BA1006),$AO$1006:$BQ$1006,0))&gt;=100000), " ",IF(INDEX($AO$2:$BQ$1001,MATCH(ROWS($AH$2:AH298),$AH$2:$AH$1001,0),MATCH(COLUMNS($AO$1006:BA1006),$AO$1006:$BQ$1006,0)), HYPERLINK("#",""), HYPERLINK(CONCATENATE("#Metadata!", ADDRESS(INDEX($AJ$2:$AJ$1001,MATCH(ROWS($AH$2:AH298),$AH$2:$AH$1001,0),0), INDEX($AO$1004:$BQ$1004,1,MATCH(COLUMNS($AO$1006:BA1006),$AO$1006:$BQ$1006,0)))),"Fix")))</f>
        <v>#N/A</v>
      </c>
      <c r="O298" s="5" t="e">
        <f ca="1">IF(OR(INDEX($AI$2:$AI$1001,MATCH(ROWS($AH$2:AH298),$AH$2:$AH$1001,0),1)&gt;=100000,INDEX($AO$1005:$BQ$1005,1,MATCH(COLUMNS($AO$1006:BB1006),$AO$1006:$BQ$1006,0))&gt;=100000), " ",IF(INDEX($AO$2:$BQ$1001,MATCH(ROWS($AH$2:AH298),$AH$2:$AH$1001,0),MATCH(COLUMNS($AO$1006:BB1006),$AO$1006:$BQ$1006,0)), HYPERLINK("#",""), HYPERLINK(CONCATENATE("#Metadata!", ADDRESS(INDEX($AJ$2:$AJ$1001,MATCH(ROWS($AH$2:AH298),$AH$2:$AH$1001,0),0), INDEX($AO$1004:$BQ$1004,1,MATCH(COLUMNS($AO$1006:BB1006),$AO$1006:$BQ$1006,0)))),"Fix")))</f>
        <v>#N/A</v>
      </c>
      <c r="P298" s="5" t="e">
        <f ca="1">IF(OR(INDEX($AI$2:$AI$1001,MATCH(ROWS($AH$2:AH298),$AH$2:$AH$1001,0),1)&gt;=100000,INDEX($AO$1005:$BQ$1005,1,MATCH(COLUMNS($AO$1006:BC1006),$AO$1006:$BQ$1006,0))&gt;=100000), " ",IF(INDEX($AO$2:$BQ$1001,MATCH(ROWS($AH$2:AH298),$AH$2:$AH$1001,0),MATCH(COLUMNS($AO$1006:BC1006),$AO$1006:$BQ$1006,0)), HYPERLINK("#",""), HYPERLINK(CONCATENATE("#Metadata!", ADDRESS(INDEX($AJ$2:$AJ$1001,MATCH(ROWS($AH$2:AH298),$AH$2:$AH$1001,0),0), INDEX($AO$1004:$BQ$1004,1,MATCH(COLUMNS($AO$1006:BC1006),$AO$1006:$BQ$1006,0)))),"Fix")))</f>
        <v>#N/A</v>
      </c>
      <c r="Q298" s="5" t="e">
        <f ca="1">IF(OR(INDEX($AI$2:$AI$1001,MATCH(ROWS($AH$2:AH298),$AH$2:$AH$1001,0),1)&gt;=100000,INDEX($AO$1005:$BQ$1005,1,MATCH(COLUMNS($AO$1006:BD1006),$AO$1006:$BQ$1006,0))&gt;=100000), " ",IF(INDEX($AO$2:$BQ$1001,MATCH(ROWS($AH$2:AH298),$AH$2:$AH$1001,0),MATCH(COLUMNS($AO$1006:BD1006),$AO$1006:$BQ$1006,0)), HYPERLINK("#",""), HYPERLINK(CONCATENATE("#Metadata!", ADDRESS(INDEX($AJ$2:$AJ$1001,MATCH(ROWS($AH$2:AH298),$AH$2:$AH$1001,0),0), INDEX($AO$1004:$BQ$1004,1,MATCH(COLUMNS($AO$1006:BD1006),$AO$1006:$BQ$1006,0)))),"Fix")))</f>
        <v>#N/A</v>
      </c>
      <c r="R298" s="5" t="e">
        <f ca="1">IF(OR(INDEX($AI$2:$AI$1001,MATCH(ROWS($AH$2:AH298),$AH$2:$AH$1001,0),1)&gt;=100000,INDEX($AO$1005:$BQ$1005,1,MATCH(COLUMNS($AO$1006:BE1006),$AO$1006:$BQ$1006,0))&gt;=100000), " ",IF(INDEX($AO$2:$BQ$1001,MATCH(ROWS($AH$2:AH298),$AH$2:$AH$1001,0),MATCH(COLUMNS($AO$1006:BE1006),$AO$1006:$BQ$1006,0)), HYPERLINK("#",""), HYPERLINK(CONCATENATE("#Metadata!", ADDRESS(INDEX($AJ$2:$AJ$1001,MATCH(ROWS($AH$2:AH298),$AH$2:$AH$1001,0),0), INDEX($AO$1004:$BQ$1004,1,MATCH(COLUMNS($AO$1006:BE1006),$AO$1006:$BQ$1006,0)))),"Fix")))</f>
        <v>#N/A</v>
      </c>
      <c r="S298" s="5" t="e">
        <f ca="1">IF(OR(INDEX($AI$2:$AI$1001,MATCH(ROWS($AH$2:AH298),$AH$2:$AH$1001,0),1)&gt;=100000,INDEX($AO$1005:$BQ$1005,1,MATCH(COLUMNS($AO$1006:BF1006),$AO$1006:$BQ$1006,0))&gt;=100000), " ",IF(INDEX($AO$2:$BQ$1001,MATCH(ROWS($AH$2:AH298),$AH$2:$AH$1001,0),MATCH(COLUMNS($AO$1006:BF1006),$AO$1006:$BQ$1006,0)), HYPERLINK("#",""), HYPERLINK(CONCATENATE("#Metadata!", ADDRESS(INDEX($AJ$2:$AJ$1001,MATCH(ROWS($AH$2:AH298),$AH$2:$AH$1001,0),0), INDEX($AO$1004:$BQ$1004,1,MATCH(COLUMNS($AO$1006:BF1006),$AO$1006:$BQ$1006,0)))),"Fix")))</f>
        <v>#N/A</v>
      </c>
      <c r="T298" s="5" t="e">
        <f ca="1">IF(OR(INDEX($AI$2:$AI$1001,MATCH(ROWS($AH$2:AH298),$AH$2:$AH$1001,0),1)&gt;=100000,INDEX($AO$1005:$BQ$1005,1,MATCH(COLUMNS($AO$1006:BG1006),$AO$1006:$BQ$1006,0))&gt;=100000), " ",IF(INDEX($AO$2:$BQ$1001,MATCH(ROWS($AH$2:AH298),$AH$2:$AH$1001,0),MATCH(COLUMNS($AO$1006:BG1006),$AO$1006:$BQ$1006,0)), HYPERLINK("#",""), HYPERLINK(CONCATENATE("#Metadata!", ADDRESS(INDEX($AJ$2:$AJ$1001,MATCH(ROWS($AH$2:AH298),$AH$2:$AH$1001,0),0), INDEX($AO$1004:$BQ$1004,1,MATCH(COLUMNS($AO$1006:BG1006),$AO$1006:$BQ$1006,0)))),"Fix")))</f>
        <v>#N/A</v>
      </c>
      <c r="U298" s="5" t="e">
        <f ca="1">IF(OR(INDEX($AI$2:$AI$1001,MATCH(ROWS($AH$2:AH298),$AH$2:$AH$1001,0),1)&gt;=100000,INDEX($AO$1005:$BQ$1005,1,MATCH(COLUMNS($AO$1006:BH1006),$AO$1006:$BQ$1006,0))&gt;=100000), " ",IF(INDEX($AO$2:$BQ$1001,MATCH(ROWS($AH$2:AH298),$AH$2:$AH$1001,0),MATCH(COLUMNS($AO$1006:BH1006),$AO$1006:$BQ$1006,0)), HYPERLINK("#",""), HYPERLINK(CONCATENATE("#Metadata!", ADDRESS(INDEX($AJ$2:$AJ$1001,MATCH(ROWS($AH$2:AH298),$AH$2:$AH$1001,0),0), INDEX($AO$1004:$BQ$1004,1,MATCH(COLUMNS($AO$1006:BH1006),$AO$1006:$BQ$1006,0)))),"Fix")))</f>
        <v>#N/A</v>
      </c>
      <c r="V298" s="5" t="e">
        <f ca="1">IF(OR(INDEX($AI$2:$AI$1001,MATCH(ROWS($AH$2:AH298),$AH$2:$AH$1001,0),1)&gt;=100000,INDEX($AO$1005:$BQ$1005,1,MATCH(COLUMNS($AO$1006:BI1006),$AO$1006:$BQ$1006,0))&gt;=100000), " ",IF(INDEX($AO$2:$BQ$1001,MATCH(ROWS($AH$2:AH298),$AH$2:$AH$1001,0),MATCH(COLUMNS($AO$1006:BI1006),$AO$1006:$BQ$1006,0)), HYPERLINK("#",""), HYPERLINK(CONCATENATE("#Metadata!", ADDRESS(INDEX($AJ$2:$AJ$1001,MATCH(ROWS($AH$2:AH298),$AH$2:$AH$1001,0),0), INDEX($AO$1004:$BQ$1004,1,MATCH(COLUMNS($AO$1006:BI1006),$AO$1006:$BQ$1006,0)))),"Fix")))</f>
        <v>#N/A</v>
      </c>
      <c r="W298" s="5" t="e">
        <f ca="1">IF(OR(INDEX($AI$2:$AI$1001,MATCH(ROWS($AH$2:AH298),$AH$2:$AH$1001,0),1)&gt;=100000,INDEX($AO$1005:$BQ$1005,1,MATCH(COLUMNS($AO$1006:BJ1006),$AO$1006:$BQ$1006,0))&gt;=100000), " ",IF(INDEX($AO$2:$BQ$1001,MATCH(ROWS($AH$2:AH298),$AH$2:$AH$1001,0),MATCH(COLUMNS($AO$1006:BJ1006),$AO$1006:$BQ$1006,0)), HYPERLINK("#",""), HYPERLINK(CONCATENATE("#Metadata!", ADDRESS(INDEX($AJ$2:$AJ$1001,MATCH(ROWS($AH$2:AH298),$AH$2:$AH$1001,0),0), INDEX($AO$1004:$BQ$1004,1,MATCH(COLUMNS($AO$1006:BJ1006),$AO$1006:$BQ$1006,0)))),"Fix")))</f>
        <v>#N/A</v>
      </c>
      <c r="X298" s="5" t="e">
        <f ca="1">IF(OR(INDEX($AI$2:$AI$1001,MATCH(ROWS($AH$2:AH298),$AH$2:$AH$1001,0),1)&gt;=100000,INDEX($AO$1005:$BQ$1005,1,MATCH(COLUMNS($AO$1006:BK1006),$AO$1006:$BQ$1006,0))&gt;=100000), " ",IF(INDEX($AO$2:$BQ$1001,MATCH(ROWS($AH$2:AH298),$AH$2:$AH$1001,0),MATCH(COLUMNS($AO$1006:BK1006),$AO$1006:$BQ$1006,0)), HYPERLINK("#",""), HYPERLINK(CONCATENATE("#Metadata!", ADDRESS(INDEX($AJ$2:$AJ$1001,MATCH(ROWS($AH$2:AH298),$AH$2:$AH$1001,0),0), INDEX($AO$1004:$BQ$1004,1,MATCH(COLUMNS($AO$1006:BK1006),$AO$1006:$BQ$1006,0)))),"Fix")))</f>
        <v>#N/A</v>
      </c>
      <c r="Y298" s="5" t="e">
        <f ca="1">IF(OR(INDEX($AI$2:$AI$1001,MATCH(ROWS($AH$2:AH298),$AH$2:$AH$1001,0),1)&gt;=100000,INDEX($AO$1005:$BQ$1005,1,MATCH(COLUMNS($AO$1006:BL1006),$AO$1006:$BQ$1006,0))&gt;=100000), " ",IF(INDEX($AO$2:$BQ$1001,MATCH(ROWS($AH$2:AH298),$AH$2:$AH$1001,0),MATCH(COLUMNS($AO$1006:BL1006),$AO$1006:$BQ$1006,0)), HYPERLINK("#",""), HYPERLINK(CONCATENATE("#Metadata!", ADDRESS(INDEX($AJ$2:$AJ$1001,MATCH(ROWS($AH$2:AH298),$AH$2:$AH$1001,0),0), INDEX($AO$1004:$BQ$1004,1,MATCH(COLUMNS($AO$1006:BL1006),$AO$1006:$BQ$1006,0)))),"Fix")))</f>
        <v>#N/A</v>
      </c>
      <c r="Z298" s="5" t="e">
        <f ca="1">IF(OR(INDEX($AI$2:$AI$1001,MATCH(ROWS($AH$2:AH298),$AH$2:$AH$1001,0),1)&gt;=100000,INDEX($AO$1005:$BQ$1005,1,MATCH(COLUMNS($AO$1006:BM1006),$AO$1006:$BQ$1006,0))&gt;=100000), " ",IF(INDEX($AO$2:$BQ$1001,MATCH(ROWS($AH$2:AH298),$AH$2:$AH$1001,0),MATCH(COLUMNS($AO$1006:BM1006),$AO$1006:$BQ$1006,0)), HYPERLINK("#",""), HYPERLINK(CONCATENATE("#Metadata!", ADDRESS(INDEX($AJ$2:$AJ$1001,MATCH(ROWS($AH$2:AH298),$AH$2:$AH$1001,0),0), INDEX($AO$1004:$BQ$1004,1,MATCH(COLUMNS($AO$1006:BM1006),$AO$1006:$BQ$1006,0)))),"Fix")))</f>
        <v>#N/A</v>
      </c>
      <c r="AA298" s="5" t="e">
        <f ca="1">IF(OR(INDEX($AI$2:$AI$1001,MATCH(ROWS($AH$2:AH298),$AH$2:$AH$1001,0),1)&gt;=100000,INDEX($AO$1005:$BQ$1005,1,MATCH(COLUMNS($AO$1006:BN1006),$AO$1006:$BQ$1006,0))&gt;=100000), " ",IF(INDEX($AO$2:$BQ$1001,MATCH(ROWS($AH$2:AH298),$AH$2:$AH$1001,0),MATCH(COLUMNS($AO$1006:BN1006),$AO$1006:$BQ$1006,0)), HYPERLINK("#",""), HYPERLINK(CONCATENATE("#Metadata!", ADDRESS(INDEX($AJ$2:$AJ$1001,MATCH(ROWS($AH$2:AH298),$AH$2:$AH$1001,0),0), INDEX($AO$1004:$BQ$1004,1,MATCH(COLUMNS($AO$1006:BN1006),$AO$1006:$BQ$1006,0)))),"Fix")))</f>
        <v>#N/A</v>
      </c>
      <c r="AB298" s="5" t="e">
        <f ca="1">IF(OR(INDEX($AI$2:$AI$1001,MATCH(ROWS($AH$2:AH298),$AH$2:$AH$1001,0),1)&gt;=100000,INDEX($AO$1005:$BQ$1005,1,MATCH(COLUMNS($AO$1006:BO1006),$AO$1006:$BQ$1006,0))&gt;=100000), " ",IF(INDEX($AO$2:$BQ$1001,MATCH(ROWS($AH$2:AH298),$AH$2:$AH$1001,0),MATCH(COLUMNS($AO$1006:BO1006),$AO$1006:$BQ$1006,0)), HYPERLINK("#",""), HYPERLINK(CONCATENATE("#Metadata!", ADDRESS(INDEX($AJ$2:$AJ$1001,MATCH(ROWS($AH$2:AH298),$AH$2:$AH$1001,0),0), INDEX($AO$1004:$BQ$1004,1,MATCH(COLUMNS($AO$1006:BO1006),$AO$1006:$BQ$1006,0)))),"Fix")))</f>
        <v>#N/A</v>
      </c>
      <c r="AC298" s="5" t="e">
        <f ca="1">IF(OR(INDEX($AI$2:$AI$1001,MATCH(ROWS($AH$2:AH298),$AH$2:$AH$1001,0),1)&gt;=100000,INDEX($AO$1005:$BQ$1005,1,MATCH(COLUMNS($AO$1006:BP1006),$AO$1006:$BQ$1006,0))&gt;=100000), " ",IF(INDEX($AO$2:$BQ$1001,MATCH(ROWS($AH$2:AH298),$AH$2:$AH$1001,0),MATCH(COLUMNS($AO$1006:BP1006),$AO$1006:$BQ$1006,0)), HYPERLINK("#",""), HYPERLINK(CONCATENATE("#Metadata!", ADDRESS(INDEX($AJ$2:$AJ$1001,MATCH(ROWS($AH$2:AH298),$AH$2:$AH$1001,0),0), INDEX($AO$1004:$BQ$1004,1,MATCH(COLUMNS($AO$1006:BP1006),$AO$1006:$BQ$1006,0)))),"Fix")))</f>
        <v>#N/A</v>
      </c>
      <c r="AD298" s="5" t="e">
        <f ca="1">IF(OR(INDEX($AI$2:$AI$1001,MATCH(ROWS($AH$2:AH298),$AH$2:$AH$1001,0),1)&gt;=100000,INDEX($AO$1005:$BQ$1005,1,MATCH(COLUMNS($AO$1006:BQ1006),$AO$1006:$BQ$1006,0))&gt;=100000), " ",IF(INDEX($AO$2:$BQ$1001,MATCH(ROWS($AH$2:AH298),$AH$2:$AH$1001,0),MATCH(COLUMNS($AO$1006:BQ1006),$AO$1006:$BQ$1006,0)), HYPERLINK("#",""), HYPERLINK(CONCATENATE("#Metadata!", ADDRESS(INDEX($AJ$2:$AJ$1001,MATCH(ROWS($AH$2:AH298),$AH$2:$AH$1001,0),0), INDEX($AO$1004:$BQ$1004,1,MATCH(COLUMNS($AO$1006:BQ1006),$AO$1006:$BQ$1006,0)))),"Fix")))</f>
        <v>#REF!</v>
      </c>
      <c r="AH298">
        <f ca="1"/>
        <v>295</v>
      </c>
      <c r="AI298">
        <v>100298</v>
      </c>
      <c r="AJ298">
        <v>298</v>
      </c>
      <c r="AK298" t="b">
        <f t="shared" si="4"/>
        <v>1</v>
      </c>
      <c r="AL298" t="b">
        <f>COUNTBLANK(Metadata!B298:AD298)=COLUMNS(Metadata!B298:AD298)</f>
        <v>1</v>
      </c>
      <c r="AM298" t="str">
        <v/>
      </c>
      <c r="AO298" t="b">
        <f ca="1">AND(IF(Metadata!B298="",FALSE,TRUE),COUNTIF(Metadata!B:B, Metadata!B298) = 1,NOT(ISERROR(SUMPRODUCT(SEARCH(MID(Metadata!B298,ROW(INDIRECT("1:"&amp;LEN(Metadata!B298))), 1),"0123456789abcdefghijklmnopqrstuvwxyzABCDEFGHIJKLMNOPQRSTUVWXYZ.")))))</f>
        <v>0</v>
      </c>
      <c r="AP298" t="b">
        <f>IF(Metadata!C298="",FALSE,TRUE)</f>
        <v>0</v>
      </c>
      <c r="AQ298" t="b">
        <f>IF(Metadata!D298="",FALSE,TRUE)</f>
        <v>0</v>
      </c>
      <c r="AR298" t="b">
        <f ca="1">OR(AND(IF(Metadata!E298="",FALSE,TRUE),OR(EXACT(Metadata!E298,"not collected"),EXACT(Metadata!E298,"not provided"),EXACT(Metadata!E298,"restricted access"))),AND(IF(Metadata!E298="",FALSE,TRUE),AND(AND(IFERROR(INT(LEFT(Metadata!E298,4))&gt;1900,FALSE),IFERROR(INT(LEFT(Metadata!E298,4))&lt;=YEAR(NOW()),FALSE)), OR(MID(Metadata!E298,5,1)="", AND(AND(MID(Metadata!E298,5,1)="-",IFERROR(INT(MID(Metadata!E298,6,1))&gt;=0,FALSE),IFERROR(INT(MID(Metadata!E298,6,1))&lt;=1,FALSE),NOT(MID(Metadata!E298,7,1)=""),IFERROR(INT(MID(Metadata!E298,6,2))&gt;=1,FALSE),IFERROR(INT(MID(Metadata!E298,6,2))&lt;=12,FALSE)), OR(MID(Metadata!E298,8,1)="", AND(AND(MID(Metadata!E298,8,1)="-",IFERROR(INT(MID(Metadata!E298,9,1))&gt;=0,FALSE),IFERROR(INT(MID(Metadata!E298,9,1))&lt;=3,FALSE),NOT(MID(Metadata!E298,10,1)=""),IFERROR(INT(MID(Metadata!E298,9,2))&gt;=1,FALSE),IFERROR(INT(MID(Metadata!E298,9,2))&lt;=31,FALSE)), OR(MID(Metadata!E298,11,1)="", AND(AND(MID(Metadata!E298,11,1)=" ",IFERROR(INT(MID(Metadata!E298,12,1))&gt;=0,FALSE),IFERROR(INT(MID(Metadata!E298,12,1))&lt;=2,FALSE),NOT(MID(Metadata!E298,13,1)=""),IFERROR(INT(MID(Metadata!E298,12,2))&gt;=0,FALSE),IFERROR(INT(MID(Metadata!E298,12,2))&lt;=23,FALSE)), OR(MID(Metadata!E298,14,1)="", AND(AND(MID(Metadata!E298,14,1)=":",IFERROR(INT(MID(Metadata!E298,15,1))&gt;=0,FALSE),IFERROR(INT(MID(Metadata!E298,15,1))&lt;=5,FALSE),NOT(MID(Metadata!E298,16,1)=""),IFERROR(INT(MID(Metadata!E298,15,2))&gt;=0,FALSE),IFERROR(INT(MID(Metadata!E298,15,2))&lt;=59,FALSE)), OR(MID(Metadata!E298,17,1)="", AND(AND(MID(Metadata!E298,17,1)=":",IFERROR(INT(MID(Metadata!E298,18,1))&gt;=0,FALSE),IFERROR(INT(MID(Metadata!E298,18,1))&lt;=5,FALSE),NOT(MID(Metadata!E298,19,1)=""),IFERROR(INT(MID(Metadata!E298,18,2))&gt;=0,FALSE),IFERROR(INT(MID(Metadata!E298,18,2))&lt;=59,FALSE)), LEN(Metadata!E298)&lt;=19)))))))))))))</f>
        <v>0</v>
      </c>
      <c r="AS298" t="b">
        <f>IF(Metadata!F298="",FALSE,TRUE)</f>
        <v>0</v>
      </c>
      <c r="AT298" t="b">
        <f>OR(AND(IF(Metadata!G298="",FALSE,TRUE),OR(EXACT(Metadata!G298,"not collected"),EXACT(Metadata!G298,"not provided"))),AND(IF(Metadata!G298="",FALSE,TRUE),OR(EXACT(Metadata!G298,"TRUE"),EXACT(Metadata!G298,"FALSE"))))</f>
        <v>0</v>
      </c>
      <c r="AU298" t="b">
        <f>OR(AND(IF(Metadata!H298="",FALSE,TRUE),OR(EXACT(Metadata!H298,"not collected"),EXACT(Metadata!H298,"not provided"),EXACT(Metadata!H298,"restricted access"))),AND(IF(Metadata!H298="",FALSE,ISNUMBER(VALUE(Metadata!H298))),Metadata!H298&gt;=-413))</f>
        <v>0</v>
      </c>
      <c r="AV298" t="b">
        <f>AND(IF(Metadata!I298="",FALSE,TRUE),EXACT(Metadata!I298,"meters"))</f>
        <v>0</v>
      </c>
      <c r="AW298" t="b">
        <f>AND(IF(Metadata!J298="",FALSE,TRUE),EXACT(Metadata!J298,"free-living"))</f>
        <v>0</v>
      </c>
      <c r="AX298" t="b">
        <f>AND(IF(Metadata!K298="",FALSE,TRUE),OR(EXACT(Metadata!K298,"saline"),EXACT(Metadata!K298,"non-saline")))</f>
        <v>0</v>
      </c>
      <c r="AY298" t="b">
        <f>AND(IF(Metadata!L298="",FALSE,TRUE),OR(EXACT(Metadata!L298,"sub-surface (non-saline)"),EXACT(Metadata!L298,"surface (non-saline)"),EXACT(Metadata!L298,"water (non-saline)"),EXACT(Metadata!L298,"soil (non-saline)"),EXACT(Metadata!L298,"aerosol (non-saline)"),EXACT(Metadata!L298,"sediment (non-saline)"),EXACT(Metadata!L298,"surface (saline)"),EXACT(Metadata!L298,"water (saline)"),EXACT(Metadata!L298,"hypersaline (saline)"),EXACT(Metadata!L298,"aerosol (saline)"),EXACT(Metadata!L298,"sediment (saline)")))</f>
        <v>0</v>
      </c>
      <c r="AZ298" t="b">
        <f>IF(Metadata!M298="",FALSE,TRUE)</f>
        <v>0</v>
      </c>
      <c r="BA298" t="b">
        <f>IF(Metadata!N298="",FALSE,TRUE)</f>
        <v>0</v>
      </c>
      <c r="BB298" t="b">
        <f>IF(Metadata!O298="",FALSE,TRUE)</f>
        <v>0</v>
      </c>
      <c r="BC298" t="b">
        <f>AND(IF(Metadata!P298="",FALSE,TRUE),OR(EXACT(Metadata!P298,"air"),EXACT(Metadata!P298,"microbial mat/biofilm"),EXACT(Metadata!P298,"misc environment"),EXACT(Metadata!P298,"sediment"),EXACT(Metadata!P298,"soil"),EXACT(Metadata!P298,"wastewater/sludge"),EXACT(Metadata!P298,"water")))</f>
        <v>0</v>
      </c>
      <c r="BD298" t="b">
        <f>IF(Metadata!Q298="",FALSE,TRUE)</f>
        <v>0</v>
      </c>
      <c r="BE298" t="b">
        <f>IF(Metadata!R298="",FALSE,TRUE)</f>
        <v>0</v>
      </c>
      <c r="BF298" t="b">
        <f>OR(AND(IF(Metadata!S298="",FALSE,TRUE),OR(EXACT(Metadata!S298,"not collected"),EXACT(Metadata!S298,"not provided"),EXACT(Metadata!S298,"restricted access"))),AND(IF(Metadata!S298="",FALSE,ISNUMBER(VALUE(Metadata!S298))),Metadata!S298&gt;=-90,Metadata!S298&lt;=90))</f>
        <v>0</v>
      </c>
      <c r="BG298" t="b">
        <f>AND(IF(Metadata!T298="",FALSE,TRUE),EXACT(Metadata!T298,"Decimal degrees"))</f>
        <v>0</v>
      </c>
      <c r="BH298" t="b">
        <f>OR(AND(IF(Metadata!U298="",FALSE,TRUE),OR(EXACT(Metadata!U298,"not applicable"),EXACT(Metadata!U298,"not collected"))),IF(Metadata!U298="",FALSE,TRUE))</f>
        <v>0</v>
      </c>
      <c r="BI298" t="b">
        <f>OR(AND(IF(Metadata!V298="",FALSE,TRUE),OR(EXACT(Metadata!V298,"not collected"),EXACT(Metadata!V298,"not provided"),EXACT(Metadata!V298,"restricted access"))),AND(IF(Metadata!V298="",FALSE,ISNUMBER(VALUE(Metadata!V298))),Metadata!V298&gt;=-180,Metadata!V298&lt;=180))</f>
        <v>0</v>
      </c>
      <c r="BJ298" t="b">
        <f>AND(IF(Metadata!W298="",FALSE,TRUE),EXACT(Metadata!W298,"Decimal degrees"))</f>
        <v>0</v>
      </c>
      <c r="BK298" t="b">
        <f>IF(Metadata!X298="",FALSE,TRUE)</f>
        <v>0</v>
      </c>
      <c r="BL298" t="b">
        <f>OR(AND(IF(Metadata!Y298="",FALSE,TRUE),OR(EXACT(Metadata!Y298,"not collected"),EXACT(Metadata!Y298,"not provided"),EXACT(Metadata!Y298,"restricted access"))),AND(IF(Metadata!Y298="",FALSE,TRUE),OR(EXACT(Metadata!Y298,"TRUE"),EXACT(Metadata!Y298,"FALSE"))))</f>
        <v>0</v>
      </c>
      <c r="BM298" t="b">
        <f>OR(AND(IF(Metadata!Z298="",FALSE,TRUE),EXACT(Metadata!Z298,"not applicable")),AND(IF(Metadata!Z298="",FALSE,TRUE),OR(EXACT(Metadata!Z298,"beer"),EXACT(Metadata!Z298,"cheese"),EXACT(Metadata!Z298,"fresh water"),EXACT(Metadata!Z298,"marine sediment"),EXACT(Metadata!Z298,"sea water"),EXACT(Metadata!Z298,"sediment"),EXACT(Metadata!Z298,"soil"),EXACT(Metadata!Z298,"waste water"))))</f>
        <v>0</v>
      </c>
      <c r="BN298" t="b">
        <f>AND(IF(Metadata!AA298="",FALSE,TRUE),EXACT(Metadata!AA298,"metagenome"))</f>
        <v>0</v>
      </c>
      <c r="BO298" t="b">
        <f>AND(IF(Metadata!AB298="",FALSE,TRUE),EXACT(Metadata!AB298,"256318"))</f>
        <v>0</v>
      </c>
      <c r="BP298" t="b">
        <f>IF(Metadata!AC298="",FALSE,TRUE)</f>
        <v>0</v>
      </c>
      <c r="BQ298" t="b">
        <f>IF(Metadata!AD298="",FALSE,TRUE)</f>
        <v>0</v>
      </c>
    </row>
    <row r="299" spans="1:69" x14ac:dyDescent="0.2">
      <c r="A299" s="4" t="e">
        <f ca="1">IF(B299=" "," ",HYPERLINK(CONCATENATE("#metadata!",ADDRESS(INDEX($AJ$2:$AJ$1001,MATCH(ROWS($AH$2:AH299),$AH$2:$AH$1001,0),0),2)),INDEX($AM$2:$AM$1001,MATCH(ROWS($AH$2:AH299),$AH$2:$AH$1001,0),0)))</f>
        <v>#N/A</v>
      </c>
      <c r="B299" s="5" t="e">
        <f ca="1">IF(OR(INDEX($AI$2:$AI$1001,MATCH(ROWS($AH$2:AH299),$AH$2:$AH$1001,0),1)&gt;=100000,INDEX($AO$1005:$BQ$1005,1,MATCH(COLUMNS($AO$1006:AO1006),$AO$1006:$BQ$1006,0))&gt;=100000), " ",IF(INDEX($AO$2:$BQ$1001,MATCH(ROWS($AH$2:AH299),$AH$2:$AH$1001,0),MATCH(COLUMNS($AO$1006:AO1006),$AO$1006:$BQ$1006,0)), HYPERLINK("#",""), HYPERLINK(CONCATENATE("#Metadata!", ADDRESS(INDEX($AJ$2:$AJ$1001,MATCH(ROWS($AH$2:AH299),$AH$2:$AH$1001,0),0), INDEX($AO$1004:$BQ$1004,1,MATCH(COLUMNS($AO$1006:AO1006),$AO$1006:$BQ$1006,0)))),"Fix")))</f>
        <v>#N/A</v>
      </c>
      <c r="C299" s="5" t="e">
        <f ca="1">IF(OR(INDEX($AI$2:$AI$1001,MATCH(ROWS($AH$2:AH299),$AH$2:$AH$1001,0),1)&gt;=100000,INDEX($AO$1005:$BQ$1005,1,MATCH(COLUMNS($AO$1006:AP1006),$AO$1006:$BQ$1006,0))&gt;=100000), " ",IF(INDEX($AO$2:$BQ$1001,MATCH(ROWS($AH$2:AH299),$AH$2:$AH$1001,0),MATCH(COLUMNS($AO$1006:AP1006),$AO$1006:$BQ$1006,0)), HYPERLINK("#",""), HYPERLINK(CONCATENATE("#Metadata!", ADDRESS(INDEX($AJ$2:$AJ$1001,MATCH(ROWS($AH$2:AH299),$AH$2:$AH$1001,0),0), INDEX($AO$1004:$BQ$1004,1,MATCH(COLUMNS($AO$1006:AP1006),$AO$1006:$BQ$1006,0)))),"Fix")))</f>
        <v>#N/A</v>
      </c>
      <c r="D299" s="5" t="e">
        <f ca="1">IF(OR(INDEX($AI$2:$AI$1001,MATCH(ROWS($AH$2:AH299),$AH$2:$AH$1001,0),1)&gt;=100000,INDEX($AO$1005:$BQ$1005,1,MATCH(COLUMNS($AO$1006:AQ1006),$AO$1006:$BQ$1006,0))&gt;=100000), " ",IF(INDEX($AO$2:$BQ$1001,MATCH(ROWS($AH$2:AH299),$AH$2:$AH$1001,0),MATCH(COLUMNS($AO$1006:AQ1006),$AO$1006:$BQ$1006,0)), HYPERLINK("#",""), HYPERLINK(CONCATENATE("#Metadata!", ADDRESS(INDEX($AJ$2:$AJ$1001,MATCH(ROWS($AH$2:AH299),$AH$2:$AH$1001,0),0), INDEX($AO$1004:$BQ$1004,1,MATCH(COLUMNS($AO$1006:AQ1006),$AO$1006:$BQ$1006,0)))),"Fix")))</f>
        <v>#N/A</v>
      </c>
      <c r="E299" s="5" t="e">
        <f ca="1">IF(OR(INDEX($AI$2:$AI$1001,MATCH(ROWS($AH$2:AH299),$AH$2:$AH$1001,0),1)&gt;=100000,INDEX($AO$1005:$BQ$1005,1,MATCH(COLUMNS($AO$1006:AR1006),$AO$1006:$BQ$1006,0))&gt;=100000), " ",IF(INDEX($AO$2:$BQ$1001,MATCH(ROWS($AH$2:AH299),$AH$2:$AH$1001,0),MATCH(COLUMNS($AO$1006:AR1006),$AO$1006:$BQ$1006,0)), HYPERLINK("#",""), HYPERLINK(CONCATENATE("#Metadata!", ADDRESS(INDEX($AJ$2:$AJ$1001,MATCH(ROWS($AH$2:AH299),$AH$2:$AH$1001,0),0), INDEX($AO$1004:$BQ$1004,1,MATCH(COLUMNS($AO$1006:AR1006),$AO$1006:$BQ$1006,0)))),"Fix")))</f>
        <v>#N/A</v>
      </c>
      <c r="F299" s="5" t="e">
        <f ca="1">IF(OR(INDEX($AI$2:$AI$1001,MATCH(ROWS($AH$2:AH299),$AH$2:$AH$1001,0),1)&gt;=100000,INDEX($AO$1005:$BQ$1005,1,MATCH(COLUMNS($AO$1006:AS1006),$AO$1006:$BQ$1006,0))&gt;=100000), " ",IF(INDEX($AO$2:$BQ$1001,MATCH(ROWS($AH$2:AH299),$AH$2:$AH$1001,0),MATCH(COLUMNS($AO$1006:AS1006),$AO$1006:$BQ$1006,0)), HYPERLINK("#",""), HYPERLINK(CONCATENATE("#Metadata!", ADDRESS(INDEX($AJ$2:$AJ$1001,MATCH(ROWS($AH$2:AH299),$AH$2:$AH$1001,0),0), INDEX($AO$1004:$BQ$1004,1,MATCH(COLUMNS($AO$1006:AS1006),$AO$1006:$BQ$1006,0)))),"Fix")))</f>
        <v>#N/A</v>
      </c>
      <c r="G299" s="5" t="e">
        <f ca="1">IF(OR(INDEX($AI$2:$AI$1001,MATCH(ROWS($AH$2:AH299),$AH$2:$AH$1001,0),1)&gt;=100000,INDEX($AO$1005:$BQ$1005,1,MATCH(COLUMNS($AO$1006:AT1006),$AO$1006:$BQ$1006,0))&gt;=100000), " ",IF(INDEX($AO$2:$BQ$1001,MATCH(ROWS($AH$2:AH299),$AH$2:$AH$1001,0),MATCH(COLUMNS($AO$1006:AT1006),$AO$1006:$BQ$1006,0)), HYPERLINK("#",""), HYPERLINK(CONCATENATE("#Metadata!", ADDRESS(INDEX($AJ$2:$AJ$1001,MATCH(ROWS($AH$2:AH299),$AH$2:$AH$1001,0),0), INDEX($AO$1004:$BQ$1004,1,MATCH(COLUMNS($AO$1006:AT1006),$AO$1006:$BQ$1006,0)))),"Fix")))</f>
        <v>#N/A</v>
      </c>
      <c r="H299" s="5" t="e">
        <f ca="1">IF(OR(INDEX($AI$2:$AI$1001,MATCH(ROWS($AH$2:AH299),$AH$2:$AH$1001,0),1)&gt;=100000,INDEX($AO$1005:$BQ$1005,1,MATCH(COLUMNS($AO$1006:AU1006),$AO$1006:$BQ$1006,0))&gt;=100000), " ",IF(INDEX($AO$2:$BQ$1001,MATCH(ROWS($AH$2:AH299),$AH$2:$AH$1001,0),MATCH(COLUMNS($AO$1006:AU1006),$AO$1006:$BQ$1006,0)), HYPERLINK("#",""), HYPERLINK(CONCATENATE("#Metadata!", ADDRESS(INDEX($AJ$2:$AJ$1001,MATCH(ROWS($AH$2:AH299),$AH$2:$AH$1001,0),0), INDEX($AO$1004:$BQ$1004,1,MATCH(COLUMNS($AO$1006:AU1006),$AO$1006:$BQ$1006,0)))),"Fix")))</f>
        <v>#N/A</v>
      </c>
      <c r="I299" s="5" t="e">
        <f ca="1">IF(OR(INDEX($AI$2:$AI$1001,MATCH(ROWS($AH$2:AH299),$AH$2:$AH$1001,0),1)&gt;=100000,INDEX($AO$1005:$BQ$1005,1,MATCH(COLUMNS($AO$1006:AV1006),$AO$1006:$BQ$1006,0))&gt;=100000), " ",IF(INDEX($AO$2:$BQ$1001,MATCH(ROWS($AH$2:AH299),$AH$2:$AH$1001,0),MATCH(COLUMNS($AO$1006:AV1006),$AO$1006:$BQ$1006,0)), HYPERLINK("#",""), HYPERLINK(CONCATENATE("#Metadata!", ADDRESS(INDEX($AJ$2:$AJ$1001,MATCH(ROWS($AH$2:AH299),$AH$2:$AH$1001,0),0), INDEX($AO$1004:$BQ$1004,1,MATCH(COLUMNS($AO$1006:AV1006),$AO$1006:$BQ$1006,0)))),"Fix")))</f>
        <v>#N/A</v>
      </c>
      <c r="J299" s="5" t="e">
        <f ca="1">IF(OR(INDEX($AI$2:$AI$1001,MATCH(ROWS($AH$2:AH299),$AH$2:$AH$1001,0),1)&gt;=100000,INDEX($AO$1005:$BQ$1005,1,MATCH(COLUMNS($AO$1006:AW1006),$AO$1006:$BQ$1006,0))&gt;=100000), " ",IF(INDEX($AO$2:$BQ$1001,MATCH(ROWS($AH$2:AH299),$AH$2:$AH$1001,0),MATCH(COLUMNS($AO$1006:AW1006),$AO$1006:$BQ$1006,0)), HYPERLINK("#",""), HYPERLINK(CONCATENATE("#Metadata!", ADDRESS(INDEX($AJ$2:$AJ$1001,MATCH(ROWS($AH$2:AH299),$AH$2:$AH$1001,0),0), INDEX($AO$1004:$BQ$1004,1,MATCH(COLUMNS($AO$1006:AW1006),$AO$1006:$BQ$1006,0)))),"Fix")))</f>
        <v>#N/A</v>
      </c>
      <c r="K299" s="5" t="e">
        <f ca="1">IF(OR(INDEX($AI$2:$AI$1001,MATCH(ROWS($AH$2:AH299),$AH$2:$AH$1001,0),1)&gt;=100000,INDEX($AO$1005:$BQ$1005,1,MATCH(COLUMNS($AO$1006:AX1006),$AO$1006:$BQ$1006,0))&gt;=100000), " ",IF(INDEX($AO$2:$BQ$1001,MATCH(ROWS($AH$2:AH299),$AH$2:$AH$1001,0),MATCH(COLUMNS($AO$1006:AX1006),$AO$1006:$BQ$1006,0)), HYPERLINK("#",""), HYPERLINK(CONCATENATE("#Metadata!", ADDRESS(INDEX($AJ$2:$AJ$1001,MATCH(ROWS($AH$2:AH299),$AH$2:$AH$1001,0),0), INDEX($AO$1004:$BQ$1004,1,MATCH(COLUMNS($AO$1006:AX1006),$AO$1006:$BQ$1006,0)))),"Fix")))</f>
        <v>#N/A</v>
      </c>
      <c r="L299" s="5" t="e">
        <f ca="1">IF(OR(INDEX($AI$2:$AI$1001,MATCH(ROWS($AH$2:AH299),$AH$2:$AH$1001,0),1)&gt;=100000,INDEX($AO$1005:$BQ$1005,1,MATCH(COLUMNS($AO$1006:AY1006),$AO$1006:$BQ$1006,0))&gt;=100000), " ",IF(INDEX($AO$2:$BQ$1001,MATCH(ROWS($AH$2:AH299),$AH$2:$AH$1001,0),MATCH(COLUMNS($AO$1006:AY1006),$AO$1006:$BQ$1006,0)), HYPERLINK("#",""), HYPERLINK(CONCATENATE("#Metadata!", ADDRESS(INDEX($AJ$2:$AJ$1001,MATCH(ROWS($AH$2:AH299),$AH$2:$AH$1001,0),0), INDEX($AO$1004:$BQ$1004,1,MATCH(COLUMNS($AO$1006:AY1006),$AO$1006:$BQ$1006,0)))),"Fix")))</f>
        <v>#N/A</v>
      </c>
      <c r="M299" s="5" t="e">
        <f ca="1">IF(OR(INDEX($AI$2:$AI$1001,MATCH(ROWS($AH$2:AH299),$AH$2:$AH$1001,0),1)&gt;=100000,INDEX($AO$1005:$BQ$1005,1,MATCH(COLUMNS($AO$1006:AZ1006),$AO$1006:$BQ$1006,0))&gt;=100000), " ",IF(INDEX($AO$2:$BQ$1001,MATCH(ROWS($AH$2:AH299),$AH$2:$AH$1001,0),MATCH(COLUMNS($AO$1006:AZ1006),$AO$1006:$BQ$1006,0)), HYPERLINK("#",""), HYPERLINK(CONCATENATE("#Metadata!", ADDRESS(INDEX($AJ$2:$AJ$1001,MATCH(ROWS($AH$2:AH299),$AH$2:$AH$1001,0),0), INDEX($AO$1004:$BQ$1004,1,MATCH(COLUMNS($AO$1006:AZ1006),$AO$1006:$BQ$1006,0)))),"Fix")))</f>
        <v>#N/A</v>
      </c>
      <c r="N299" s="5" t="e">
        <f ca="1">IF(OR(INDEX($AI$2:$AI$1001,MATCH(ROWS($AH$2:AH299),$AH$2:$AH$1001,0),1)&gt;=100000,INDEX($AO$1005:$BQ$1005,1,MATCH(COLUMNS($AO$1006:BA1006),$AO$1006:$BQ$1006,0))&gt;=100000), " ",IF(INDEX($AO$2:$BQ$1001,MATCH(ROWS($AH$2:AH299),$AH$2:$AH$1001,0),MATCH(COLUMNS($AO$1006:BA1006),$AO$1006:$BQ$1006,0)), HYPERLINK("#",""), HYPERLINK(CONCATENATE("#Metadata!", ADDRESS(INDEX($AJ$2:$AJ$1001,MATCH(ROWS($AH$2:AH299),$AH$2:$AH$1001,0),0), INDEX($AO$1004:$BQ$1004,1,MATCH(COLUMNS($AO$1006:BA1006),$AO$1006:$BQ$1006,0)))),"Fix")))</f>
        <v>#N/A</v>
      </c>
      <c r="O299" s="5" t="e">
        <f ca="1">IF(OR(INDEX($AI$2:$AI$1001,MATCH(ROWS($AH$2:AH299),$AH$2:$AH$1001,0),1)&gt;=100000,INDEX($AO$1005:$BQ$1005,1,MATCH(COLUMNS($AO$1006:BB1006),$AO$1006:$BQ$1006,0))&gt;=100000), " ",IF(INDEX($AO$2:$BQ$1001,MATCH(ROWS($AH$2:AH299),$AH$2:$AH$1001,0),MATCH(COLUMNS($AO$1006:BB1006),$AO$1006:$BQ$1006,0)), HYPERLINK("#",""), HYPERLINK(CONCATENATE("#Metadata!", ADDRESS(INDEX($AJ$2:$AJ$1001,MATCH(ROWS($AH$2:AH299),$AH$2:$AH$1001,0),0), INDEX($AO$1004:$BQ$1004,1,MATCH(COLUMNS($AO$1006:BB1006),$AO$1006:$BQ$1006,0)))),"Fix")))</f>
        <v>#N/A</v>
      </c>
      <c r="P299" s="5" t="e">
        <f ca="1">IF(OR(INDEX($AI$2:$AI$1001,MATCH(ROWS($AH$2:AH299),$AH$2:$AH$1001,0),1)&gt;=100000,INDEX($AO$1005:$BQ$1005,1,MATCH(COLUMNS($AO$1006:BC1006),$AO$1006:$BQ$1006,0))&gt;=100000), " ",IF(INDEX($AO$2:$BQ$1001,MATCH(ROWS($AH$2:AH299),$AH$2:$AH$1001,0),MATCH(COLUMNS($AO$1006:BC1006),$AO$1006:$BQ$1006,0)), HYPERLINK("#",""), HYPERLINK(CONCATENATE("#Metadata!", ADDRESS(INDEX($AJ$2:$AJ$1001,MATCH(ROWS($AH$2:AH299),$AH$2:$AH$1001,0),0), INDEX($AO$1004:$BQ$1004,1,MATCH(COLUMNS($AO$1006:BC1006),$AO$1006:$BQ$1006,0)))),"Fix")))</f>
        <v>#N/A</v>
      </c>
      <c r="Q299" s="5" t="e">
        <f ca="1">IF(OR(INDEX($AI$2:$AI$1001,MATCH(ROWS($AH$2:AH299),$AH$2:$AH$1001,0),1)&gt;=100000,INDEX($AO$1005:$BQ$1005,1,MATCH(COLUMNS($AO$1006:BD1006),$AO$1006:$BQ$1006,0))&gt;=100000), " ",IF(INDEX($AO$2:$BQ$1001,MATCH(ROWS($AH$2:AH299),$AH$2:$AH$1001,0),MATCH(COLUMNS($AO$1006:BD1006),$AO$1006:$BQ$1006,0)), HYPERLINK("#",""), HYPERLINK(CONCATENATE("#Metadata!", ADDRESS(INDEX($AJ$2:$AJ$1001,MATCH(ROWS($AH$2:AH299),$AH$2:$AH$1001,0),0), INDEX($AO$1004:$BQ$1004,1,MATCH(COLUMNS($AO$1006:BD1006),$AO$1006:$BQ$1006,0)))),"Fix")))</f>
        <v>#N/A</v>
      </c>
      <c r="R299" s="5" t="e">
        <f ca="1">IF(OR(INDEX($AI$2:$AI$1001,MATCH(ROWS($AH$2:AH299),$AH$2:$AH$1001,0),1)&gt;=100000,INDEX($AO$1005:$BQ$1005,1,MATCH(COLUMNS($AO$1006:BE1006),$AO$1006:$BQ$1006,0))&gt;=100000), " ",IF(INDEX($AO$2:$BQ$1001,MATCH(ROWS($AH$2:AH299),$AH$2:$AH$1001,0),MATCH(COLUMNS($AO$1006:BE1006),$AO$1006:$BQ$1006,0)), HYPERLINK("#",""), HYPERLINK(CONCATENATE("#Metadata!", ADDRESS(INDEX($AJ$2:$AJ$1001,MATCH(ROWS($AH$2:AH299),$AH$2:$AH$1001,0),0), INDEX($AO$1004:$BQ$1004,1,MATCH(COLUMNS($AO$1006:BE1006),$AO$1006:$BQ$1006,0)))),"Fix")))</f>
        <v>#N/A</v>
      </c>
      <c r="S299" s="5" t="e">
        <f ca="1">IF(OR(INDEX($AI$2:$AI$1001,MATCH(ROWS($AH$2:AH299),$AH$2:$AH$1001,0),1)&gt;=100000,INDEX($AO$1005:$BQ$1005,1,MATCH(COLUMNS($AO$1006:BF1006),$AO$1006:$BQ$1006,0))&gt;=100000), " ",IF(INDEX($AO$2:$BQ$1001,MATCH(ROWS($AH$2:AH299),$AH$2:$AH$1001,0),MATCH(COLUMNS($AO$1006:BF1006),$AO$1006:$BQ$1006,0)), HYPERLINK("#",""), HYPERLINK(CONCATENATE("#Metadata!", ADDRESS(INDEX($AJ$2:$AJ$1001,MATCH(ROWS($AH$2:AH299),$AH$2:$AH$1001,0),0), INDEX($AO$1004:$BQ$1004,1,MATCH(COLUMNS($AO$1006:BF1006),$AO$1006:$BQ$1006,0)))),"Fix")))</f>
        <v>#N/A</v>
      </c>
      <c r="T299" s="5" t="e">
        <f ca="1">IF(OR(INDEX($AI$2:$AI$1001,MATCH(ROWS($AH$2:AH299),$AH$2:$AH$1001,0),1)&gt;=100000,INDEX($AO$1005:$BQ$1005,1,MATCH(COLUMNS($AO$1006:BG1006),$AO$1006:$BQ$1006,0))&gt;=100000), " ",IF(INDEX($AO$2:$BQ$1001,MATCH(ROWS($AH$2:AH299),$AH$2:$AH$1001,0),MATCH(COLUMNS($AO$1006:BG1006),$AO$1006:$BQ$1006,0)), HYPERLINK("#",""), HYPERLINK(CONCATENATE("#Metadata!", ADDRESS(INDEX($AJ$2:$AJ$1001,MATCH(ROWS($AH$2:AH299),$AH$2:$AH$1001,0),0), INDEX($AO$1004:$BQ$1004,1,MATCH(COLUMNS($AO$1006:BG1006),$AO$1006:$BQ$1006,0)))),"Fix")))</f>
        <v>#N/A</v>
      </c>
      <c r="U299" s="5" t="e">
        <f ca="1">IF(OR(INDEX($AI$2:$AI$1001,MATCH(ROWS($AH$2:AH299),$AH$2:$AH$1001,0),1)&gt;=100000,INDEX($AO$1005:$BQ$1005,1,MATCH(COLUMNS($AO$1006:BH1006),$AO$1006:$BQ$1006,0))&gt;=100000), " ",IF(INDEX($AO$2:$BQ$1001,MATCH(ROWS($AH$2:AH299),$AH$2:$AH$1001,0),MATCH(COLUMNS($AO$1006:BH1006),$AO$1006:$BQ$1006,0)), HYPERLINK("#",""), HYPERLINK(CONCATENATE("#Metadata!", ADDRESS(INDEX($AJ$2:$AJ$1001,MATCH(ROWS($AH$2:AH299),$AH$2:$AH$1001,0),0), INDEX($AO$1004:$BQ$1004,1,MATCH(COLUMNS($AO$1006:BH1006),$AO$1006:$BQ$1006,0)))),"Fix")))</f>
        <v>#N/A</v>
      </c>
      <c r="V299" s="5" t="e">
        <f ca="1">IF(OR(INDEX($AI$2:$AI$1001,MATCH(ROWS($AH$2:AH299),$AH$2:$AH$1001,0),1)&gt;=100000,INDEX($AO$1005:$BQ$1005,1,MATCH(COLUMNS($AO$1006:BI1006),$AO$1006:$BQ$1006,0))&gt;=100000), " ",IF(INDEX($AO$2:$BQ$1001,MATCH(ROWS($AH$2:AH299),$AH$2:$AH$1001,0),MATCH(COLUMNS($AO$1006:BI1006),$AO$1006:$BQ$1006,0)), HYPERLINK("#",""), HYPERLINK(CONCATENATE("#Metadata!", ADDRESS(INDEX($AJ$2:$AJ$1001,MATCH(ROWS($AH$2:AH299),$AH$2:$AH$1001,0),0), INDEX($AO$1004:$BQ$1004,1,MATCH(COLUMNS($AO$1006:BI1006),$AO$1006:$BQ$1006,0)))),"Fix")))</f>
        <v>#N/A</v>
      </c>
      <c r="W299" s="5" t="e">
        <f ca="1">IF(OR(INDEX($AI$2:$AI$1001,MATCH(ROWS($AH$2:AH299),$AH$2:$AH$1001,0),1)&gt;=100000,INDEX($AO$1005:$BQ$1005,1,MATCH(COLUMNS($AO$1006:BJ1006),$AO$1006:$BQ$1006,0))&gt;=100000), " ",IF(INDEX($AO$2:$BQ$1001,MATCH(ROWS($AH$2:AH299),$AH$2:$AH$1001,0),MATCH(COLUMNS($AO$1006:BJ1006),$AO$1006:$BQ$1006,0)), HYPERLINK("#",""), HYPERLINK(CONCATENATE("#Metadata!", ADDRESS(INDEX($AJ$2:$AJ$1001,MATCH(ROWS($AH$2:AH299),$AH$2:$AH$1001,0),0), INDEX($AO$1004:$BQ$1004,1,MATCH(COLUMNS($AO$1006:BJ1006),$AO$1006:$BQ$1006,0)))),"Fix")))</f>
        <v>#N/A</v>
      </c>
      <c r="X299" s="5" t="e">
        <f ca="1">IF(OR(INDEX($AI$2:$AI$1001,MATCH(ROWS($AH$2:AH299),$AH$2:$AH$1001,0),1)&gt;=100000,INDEX($AO$1005:$BQ$1005,1,MATCH(COLUMNS($AO$1006:BK1006),$AO$1006:$BQ$1006,0))&gt;=100000), " ",IF(INDEX($AO$2:$BQ$1001,MATCH(ROWS($AH$2:AH299),$AH$2:$AH$1001,0),MATCH(COLUMNS($AO$1006:BK1006),$AO$1006:$BQ$1006,0)), HYPERLINK("#",""), HYPERLINK(CONCATENATE("#Metadata!", ADDRESS(INDEX($AJ$2:$AJ$1001,MATCH(ROWS($AH$2:AH299),$AH$2:$AH$1001,0),0), INDEX($AO$1004:$BQ$1004,1,MATCH(COLUMNS($AO$1006:BK1006),$AO$1006:$BQ$1006,0)))),"Fix")))</f>
        <v>#N/A</v>
      </c>
      <c r="Y299" s="5" t="e">
        <f ca="1">IF(OR(INDEX($AI$2:$AI$1001,MATCH(ROWS($AH$2:AH299),$AH$2:$AH$1001,0),1)&gt;=100000,INDEX($AO$1005:$BQ$1005,1,MATCH(COLUMNS($AO$1006:BL1006),$AO$1006:$BQ$1006,0))&gt;=100000), " ",IF(INDEX($AO$2:$BQ$1001,MATCH(ROWS($AH$2:AH299),$AH$2:$AH$1001,0),MATCH(COLUMNS($AO$1006:BL1006),$AO$1006:$BQ$1006,0)), HYPERLINK("#",""), HYPERLINK(CONCATENATE("#Metadata!", ADDRESS(INDEX($AJ$2:$AJ$1001,MATCH(ROWS($AH$2:AH299),$AH$2:$AH$1001,0),0), INDEX($AO$1004:$BQ$1004,1,MATCH(COLUMNS($AO$1006:BL1006),$AO$1006:$BQ$1006,0)))),"Fix")))</f>
        <v>#N/A</v>
      </c>
      <c r="Z299" s="5" t="e">
        <f ca="1">IF(OR(INDEX($AI$2:$AI$1001,MATCH(ROWS($AH$2:AH299),$AH$2:$AH$1001,0),1)&gt;=100000,INDEX($AO$1005:$BQ$1005,1,MATCH(COLUMNS($AO$1006:BM1006),$AO$1006:$BQ$1006,0))&gt;=100000), " ",IF(INDEX($AO$2:$BQ$1001,MATCH(ROWS($AH$2:AH299),$AH$2:$AH$1001,0),MATCH(COLUMNS($AO$1006:BM1006),$AO$1006:$BQ$1006,0)), HYPERLINK("#",""), HYPERLINK(CONCATENATE("#Metadata!", ADDRESS(INDEX($AJ$2:$AJ$1001,MATCH(ROWS($AH$2:AH299),$AH$2:$AH$1001,0),0), INDEX($AO$1004:$BQ$1004,1,MATCH(COLUMNS($AO$1006:BM1006),$AO$1006:$BQ$1006,0)))),"Fix")))</f>
        <v>#N/A</v>
      </c>
      <c r="AA299" s="5" t="e">
        <f ca="1">IF(OR(INDEX($AI$2:$AI$1001,MATCH(ROWS($AH$2:AH299),$AH$2:$AH$1001,0),1)&gt;=100000,INDEX($AO$1005:$BQ$1005,1,MATCH(COLUMNS($AO$1006:BN1006),$AO$1006:$BQ$1006,0))&gt;=100000), " ",IF(INDEX($AO$2:$BQ$1001,MATCH(ROWS($AH$2:AH299),$AH$2:$AH$1001,0),MATCH(COLUMNS($AO$1006:BN1006),$AO$1006:$BQ$1006,0)), HYPERLINK("#",""), HYPERLINK(CONCATENATE("#Metadata!", ADDRESS(INDEX($AJ$2:$AJ$1001,MATCH(ROWS($AH$2:AH299),$AH$2:$AH$1001,0),0), INDEX($AO$1004:$BQ$1004,1,MATCH(COLUMNS($AO$1006:BN1006),$AO$1006:$BQ$1006,0)))),"Fix")))</f>
        <v>#N/A</v>
      </c>
      <c r="AB299" s="5" t="e">
        <f ca="1">IF(OR(INDEX($AI$2:$AI$1001,MATCH(ROWS($AH$2:AH299),$AH$2:$AH$1001,0),1)&gt;=100000,INDEX($AO$1005:$BQ$1005,1,MATCH(COLUMNS($AO$1006:BO1006),$AO$1006:$BQ$1006,0))&gt;=100000), " ",IF(INDEX($AO$2:$BQ$1001,MATCH(ROWS($AH$2:AH299),$AH$2:$AH$1001,0),MATCH(COLUMNS($AO$1006:BO1006),$AO$1006:$BQ$1006,0)), HYPERLINK("#",""), HYPERLINK(CONCATENATE("#Metadata!", ADDRESS(INDEX($AJ$2:$AJ$1001,MATCH(ROWS($AH$2:AH299),$AH$2:$AH$1001,0),0), INDEX($AO$1004:$BQ$1004,1,MATCH(COLUMNS($AO$1006:BO1006),$AO$1006:$BQ$1006,0)))),"Fix")))</f>
        <v>#N/A</v>
      </c>
      <c r="AC299" s="5" t="e">
        <f ca="1">IF(OR(INDEX($AI$2:$AI$1001,MATCH(ROWS($AH$2:AH299),$AH$2:$AH$1001,0),1)&gt;=100000,INDEX($AO$1005:$BQ$1005,1,MATCH(COLUMNS($AO$1006:BP1006),$AO$1006:$BQ$1006,0))&gt;=100000), " ",IF(INDEX($AO$2:$BQ$1001,MATCH(ROWS($AH$2:AH299),$AH$2:$AH$1001,0),MATCH(COLUMNS($AO$1006:BP1006),$AO$1006:$BQ$1006,0)), HYPERLINK("#",""), HYPERLINK(CONCATENATE("#Metadata!", ADDRESS(INDEX($AJ$2:$AJ$1001,MATCH(ROWS($AH$2:AH299),$AH$2:$AH$1001,0),0), INDEX($AO$1004:$BQ$1004,1,MATCH(COLUMNS($AO$1006:BP1006),$AO$1006:$BQ$1006,0)))),"Fix")))</f>
        <v>#N/A</v>
      </c>
      <c r="AD299" s="5" t="e">
        <f ca="1">IF(OR(INDEX($AI$2:$AI$1001,MATCH(ROWS($AH$2:AH299),$AH$2:$AH$1001,0),1)&gt;=100000,INDEX($AO$1005:$BQ$1005,1,MATCH(COLUMNS($AO$1006:BQ1006),$AO$1006:$BQ$1006,0))&gt;=100000), " ",IF(INDEX($AO$2:$BQ$1001,MATCH(ROWS($AH$2:AH299),$AH$2:$AH$1001,0),MATCH(COLUMNS($AO$1006:BQ1006),$AO$1006:$BQ$1006,0)), HYPERLINK("#",""), HYPERLINK(CONCATENATE("#Metadata!", ADDRESS(INDEX($AJ$2:$AJ$1001,MATCH(ROWS($AH$2:AH299),$AH$2:$AH$1001,0),0), INDEX($AO$1004:$BQ$1004,1,MATCH(COLUMNS($AO$1006:BQ1006),$AO$1006:$BQ$1006,0)))),"Fix")))</f>
        <v>#REF!</v>
      </c>
      <c r="AH299">
        <f ca="1"/>
        <v>296</v>
      </c>
      <c r="AI299">
        <v>100299</v>
      </c>
      <c r="AJ299">
        <v>299</v>
      </c>
      <c r="AK299" t="b">
        <f t="shared" si="4"/>
        <v>1</v>
      </c>
      <c r="AL299" t="b">
        <f>COUNTBLANK(Metadata!B299:AD299)=COLUMNS(Metadata!B299:AD299)</f>
        <v>1</v>
      </c>
      <c r="AM299" t="str">
        <v/>
      </c>
      <c r="AO299" t="b">
        <f ca="1">AND(IF(Metadata!B299="",FALSE,TRUE),COUNTIF(Metadata!B:B, Metadata!B299) = 1,NOT(ISERROR(SUMPRODUCT(SEARCH(MID(Metadata!B299,ROW(INDIRECT("1:"&amp;LEN(Metadata!B299))), 1),"0123456789abcdefghijklmnopqrstuvwxyzABCDEFGHIJKLMNOPQRSTUVWXYZ.")))))</f>
        <v>0</v>
      </c>
      <c r="AP299" t="b">
        <f>IF(Metadata!C299="",FALSE,TRUE)</f>
        <v>0</v>
      </c>
      <c r="AQ299" t="b">
        <f>IF(Metadata!D299="",FALSE,TRUE)</f>
        <v>0</v>
      </c>
      <c r="AR299" t="b">
        <f ca="1">OR(AND(IF(Metadata!E299="",FALSE,TRUE),OR(EXACT(Metadata!E299,"not collected"),EXACT(Metadata!E299,"not provided"),EXACT(Metadata!E299,"restricted access"))),AND(IF(Metadata!E299="",FALSE,TRUE),AND(AND(IFERROR(INT(LEFT(Metadata!E299,4))&gt;1900,FALSE),IFERROR(INT(LEFT(Metadata!E299,4))&lt;=YEAR(NOW()),FALSE)), OR(MID(Metadata!E299,5,1)="", AND(AND(MID(Metadata!E299,5,1)="-",IFERROR(INT(MID(Metadata!E299,6,1))&gt;=0,FALSE),IFERROR(INT(MID(Metadata!E299,6,1))&lt;=1,FALSE),NOT(MID(Metadata!E299,7,1)=""),IFERROR(INT(MID(Metadata!E299,6,2))&gt;=1,FALSE),IFERROR(INT(MID(Metadata!E299,6,2))&lt;=12,FALSE)), OR(MID(Metadata!E299,8,1)="", AND(AND(MID(Metadata!E299,8,1)="-",IFERROR(INT(MID(Metadata!E299,9,1))&gt;=0,FALSE),IFERROR(INT(MID(Metadata!E299,9,1))&lt;=3,FALSE),NOT(MID(Metadata!E299,10,1)=""),IFERROR(INT(MID(Metadata!E299,9,2))&gt;=1,FALSE),IFERROR(INT(MID(Metadata!E299,9,2))&lt;=31,FALSE)), OR(MID(Metadata!E299,11,1)="", AND(AND(MID(Metadata!E299,11,1)=" ",IFERROR(INT(MID(Metadata!E299,12,1))&gt;=0,FALSE),IFERROR(INT(MID(Metadata!E299,12,1))&lt;=2,FALSE),NOT(MID(Metadata!E299,13,1)=""),IFERROR(INT(MID(Metadata!E299,12,2))&gt;=0,FALSE),IFERROR(INT(MID(Metadata!E299,12,2))&lt;=23,FALSE)), OR(MID(Metadata!E299,14,1)="", AND(AND(MID(Metadata!E299,14,1)=":",IFERROR(INT(MID(Metadata!E299,15,1))&gt;=0,FALSE),IFERROR(INT(MID(Metadata!E299,15,1))&lt;=5,FALSE),NOT(MID(Metadata!E299,16,1)=""),IFERROR(INT(MID(Metadata!E299,15,2))&gt;=0,FALSE),IFERROR(INT(MID(Metadata!E299,15,2))&lt;=59,FALSE)), OR(MID(Metadata!E299,17,1)="", AND(AND(MID(Metadata!E299,17,1)=":",IFERROR(INT(MID(Metadata!E299,18,1))&gt;=0,FALSE),IFERROR(INT(MID(Metadata!E299,18,1))&lt;=5,FALSE),NOT(MID(Metadata!E299,19,1)=""),IFERROR(INT(MID(Metadata!E299,18,2))&gt;=0,FALSE),IFERROR(INT(MID(Metadata!E299,18,2))&lt;=59,FALSE)), LEN(Metadata!E299)&lt;=19)))))))))))))</f>
        <v>0</v>
      </c>
      <c r="AS299" t="b">
        <f>IF(Metadata!F299="",FALSE,TRUE)</f>
        <v>0</v>
      </c>
      <c r="AT299" t="b">
        <f>OR(AND(IF(Metadata!G299="",FALSE,TRUE),OR(EXACT(Metadata!G299,"not collected"),EXACT(Metadata!G299,"not provided"))),AND(IF(Metadata!G299="",FALSE,TRUE),OR(EXACT(Metadata!G299,"TRUE"),EXACT(Metadata!G299,"FALSE"))))</f>
        <v>0</v>
      </c>
      <c r="AU299" t="b">
        <f>OR(AND(IF(Metadata!H299="",FALSE,TRUE),OR(EXACT(Metadata!H299,"not collected"),EXACT(Metadata!H299,"not provided"),EXACT(Metadata!H299,"restricted access"))),AND(IF(Metadata!H299="",FALSE,ISNUMBER(VALUE(Metadata!H299))),Metadata!H299&gt;=-413))</f>
        <v>0</v>
      </c>
      <c r="AV299" t="b">
        <f>AND(IF(Metadata!I299="",FALSE,TRUE),EXACT(Metadata!I299,"meters"))</f>
        <v>0</v>
      </c>
      <c r="AW299" t="b">
        <f>AND(IF(Metadata!J299="",FALSE,TRUE),EXACT(Metadata!J299,"free-living"))</f>
        <v>0</v>
      </c>
      <c r="AX299" t="b">
        <f>AND(IF(Metadata!K299="",FALSE,TRUE),OR(EXACT(Metadata!K299,"saline"),EXACT(Metadata!K299,"non-saline")))</f>
        <v>0</v>
      </c>
      <c r="AY299" t="b">
        <f>AND(IF(Metadata!L299="",FALSE,TRUE),OR(EXACT(Metadata!L299,"sub-surface (non-saline)"),EXACT(Metadata!L299,"surface (non-saline)"),EXACT(Metadata!L299,"water (non-saline)"),EXACT(Metadata!L299,"soil (non-saline)"),EXACT(Metadata!L299,"aerosol (non-saline)"),EXACT(Metadata!L299,"sediment (non-saline)"),EXACT(Metadata!L299,"surface (saline)"),EXACT(Metadata!L299,"water (saline)"),EXACT(Metadata!L299,"hypersaline (saline)"),EXACT(Metadata!L299,"aerosol (saline)"),EXACT(Metadata!L299,"sediment (saline)")))</f>
        <v>0</v>
      </c>
      <c r="AZ299" t="b">
        <f>IF(Metadata!M299="",FALSE,TRUE)</f>
        <v>0</v>
      </c>
      <c r="BA299" t="b">
        <f>IF(Metadata!N299="",FALSE,TRUE)</f>
        <v>0</v>
      </c>
      <c r="BB299" t="b">
        <f>IF(Metadata!O299="",FALSE,TRUE)</f>
        <v>0</v>
      </c>
      <c r="BC299" t="b">
        <f>AND(IF(Metadata!P299="",FALSE,TRUE),OR(EXACT(Metadata!P299,"air"),EXACT(Metadata!P299,"microbial mat/biofilm"),EXACT(Metadata!P299,"misc environment"),EXACT(Metadata!P299,"sediment"),EXACT(Metadata!P299,"soil"),EXACT(Metadata!P299,"wastewater/sludge"),EXACT(Metadata!P299,"water")))</f>
        <v>0</v>
      </c>
      <c r="BD299" t="b">
        <f>IF(Metadata!Q299="",FALSE,TRUE)</f>
        <v>0</v>
      </c>
      <c r="BE299" t="b">
        <f>IF(Metadata!R299="",FALSE,TRUE)</f>
        <v>0</v>
      </c>
      <c r="BF299" t="b">
        <f>OR(AND(IF(Metadata!S299="",FALSE,TRUE),OR(EXACT(Metadata!S299,"not collected"),EXACT(Metadata!S299,"not provided"),EXACT(Metadata!S299,"restricted access"))),AND(IF(Metadata!S299="",FALSE,ISNUMBER(VALUE(Metadata!S299))),Metadata!S299&gt;=-90,Metadata!S299&lt;=90))</f>
        <v>0</v>
      </c>
      <c r="BG299" t="b">
        <f>AND(IF(Metadata!T299="",FALSE,TRUE),EXACT(Metadata!T299,"Decimal degrees"))</f>
        <v>0</v>
      </c>
      <c r="BH299" t="b">
        <f>OR(AND(IF(Metadata!U299="",FALSE,TRUE),OR(EXACT(Metadata!U299,"not applicable"),EXACT(Metadata!U299,"not collected"))),IF(Metadata!U299="",FALSE,TRUE))</f>
        <v>0</v>
      </c>
      <c r="BI299" t="b">
        <f>OR(AND(IF(Metadata!V299="",FALSE,TRUE),OR(EXACT(Metadata!V299,"not collected"),EXACT(Metadata!V299,"not provided"),EXACT(Metadata!V299,"restricted access"))),AND(IF(Metadata!V299="",FALSE,ISNUMBER(VALUE(Metadata!V299))),Metadata!V299&gt;=-180,Metadata!V299&lt;=180))</f>
        <v>0</v>
      </c>
      <c r="BJ299" t="b">
        <f>AND(IF(Metadata!W299="",FALSE,TRUE),EXACT(Metadata!W299,"Decimal degrees"))</f>
        <v>0</v>
      </c>
      <c r="BK299" t="b">
        <f>IF(Metadata!X299="",FALSE,TRUE)</f>
        <v>0</v>
      </c>
      <c r="BL299" t="b">
        <f>OR(AND(IF(Metadata!Y299="",FALSE,TRUE),OR(EXACT(Metadata!Y299,"not collected"),EXACT(Metadata!Y299,"not provided"),EXACT(Metadata!Y299,"restricted access"))),AND(IF(Metadata!Y299="",FALSE,TRUE),OR(EXACT(Metadata!Y299,"TRUE"),EXACT(Metadata!Y299,"FALSE"))))</f>
        <v>0</v>
      </c>
      <c r="BM299" t="b">
        <f>OR(AND(IF(Metadata!Z299="",FALSE,TRUE),EXACT(Metadata!Z299,"not applicable")),AND(IF(Metadata!Z299="",FALSE,TRUE),OR(EXACT(Metadata!Z299,"beer"),EXACT(Metadata!Z299,"cheese"),EXACT(Metadata!Z299,"fresh water"),EXACT(Metadata!Z299,"marine sediment"),EXACT(Metadata!Z299,"sea water"),EXACT(Metadata!Z299,"sediment"),EXACT(Metadata!Z299,"soil"),EXACT(Metadata!Z299,"waste water"))))</f>
        <v>0</v>
      </c>
      <c r="BN299" t="b">
        <f>AND(IF(Metadata!AA299="",FALSE,TRUE),EXACT(Metadata!AA299,"metagenome"))</f>
        <v>0</v>
      </c>
      <c r="BO299" t="b">
        <f>AND(IF(Metadata!AB299="",FALSE,TRUE),EXACT(Metadata!AB299,"256318"))</f>
        <v>0</v>
      </c>
      <c r="BP299" t="b">
        <f>IF(Metadata!AC299="",FALSE,TRUE)</f>
        <v>0</v>
      </c>
      <c r="BQ299" t="b">
        <f>IF(Metadata!AD299="",FALSE,TRUE)</f>
        <v>0</v>
      </c>
    </row>
    <row r="300" spans="1:69" x14ac:dyDescent="0.2">
      <c r="A300" s="4" t="e">
        <f ca="1">IF(B300=" "," ",HYPERLINK(CONCATENATE("#metadata!",ADDRESS(INDEX($AJ$2:$AJ$1001,MATCH(ROWS($AH$2:AH300),$AH$2:$AH$1001,0),0),2)),INDEX($AM$2:$AM$1001,MATCH(ROWS($AH$2:AH300),$AH$2:$AH$1001,0),0)))</f>
        <v>#N/A</v>
      </c>
      <c r="B300" s="5" t="e">
        <f ca="1">IF(OR(INDEX($AI$2:$AI$1001,MATCH(ROWS($AH$2:AH300),$AH$2:$AH$1001,0),1)&gt;=100000,INDEX($AO$1005:$BQ$1005,1,MATCH(COLUMNS($AO$1006:AO1006),$AO$1006:$BQ$1006,0))&gt;=100000), " ",IF(INDEX($AO$2:$BQ$1001,MATCH(ROWS($AH$2:AH300),$AH$2:$AH$1001,0),MATCH(COLUMNS($AO$1006:AO1006),$AO$1006:$BQ$1006,0)), HYPERLINK("#",""), HYPERLINK(CONCATENATE("#Metadata!", ADDRESS(INDEX($AJ$2:$AJ$1001,MATCH(ROWS($AH$2:AH300),$AH$2:$AH$1001,0),0), INDEX($AO$1004:$BQ$1004,1,MATCH(COLUMNS($AO$1006:AO1006),$AO$1006:$BQ$1006,0)))),"Fix")))</f>
        <v>#N/A</v>
      </c>
      <c r="C300" s="5" t="e">
        <f ca="1">IF(OR(INDEX($AI$2:$AI$1001,MATCH(ROWS($AH$2:AH300),$AH$2:$AH$1001,0),1)&gt;=100000,INDEX($AO$1005:$BQ$1005,1,MATCH(COLUMNS($AO$1006:AP1006),$AO$1006:$BQ$1006,0))&gt;=100000), " ",IF(INDEX($AO$2:$BQ$1001,MATCH(ROWS($AH$2:AH300),$AH$2:$AH$1001,0),MATCH(COLUMNS($AO$1006:AP1006),$AO$1006:$BQ$1006,0)), HYPERLINK("#",""), HYPERLINK(CONCATENATE("#Metadata!", ADDRESS(INDEX($AJ$2:$AJ$1001,MATCH(ROWS($AH$2:AH300),$AH$2:$AH$1001,0),0), INDEX($AO$1004:$BQ$1004,1,MATCH(COLUMNS($AO$1006:AP1006),$AO$1006:$BQ$1006,0)))),"Fix")))</f>
        <v>#N/A</v>
      </c>
      <c r="D300" s="5" t="e">
        <f ca="1">IF(OR(INDEX($AI$2:$AI$1001,MATCH(ROWS($AH$2:AH300),$AH$2:$AH$1001,0),1)&gt;=100000,INDEX($AO$1005:$BQ$1005,1,MATCH(COLUMNS($AO$1006:AQ1006),$AO$1006:$BQ$1006,0))&gt;=100000), " ",IF(INDEX($AO$2:$BQ$1001,MATCH(ROWS($AH$2:AH300),$AH$2:$AH$1001,0),MATCH(COLUMNS($AO$1006:AQ1006),$AO$1006:$BQ$1006,0)), HYPERLINK("#",""), HYPERLINK(CONCATENATE("#Metadata!", ADDRESS(INDEX($AJ$2:$AJ$1001,MATCH(ROWS($AH$2:AH300),$AH$2:$AH$1001,0),0), INDEX($AO$1004:$BQ$1004,1,MATCH(COLUMNS($AO$1006:AQ1006),$AO$1006:$BQ$1006,0)))),"Fix")))</f>
        <v>#N/A</v>
      </c>
      <c r="E300" s="5" t="e">
        <f ca="1">IF(OR(INDEX($AI$2:$AI$1001,MATCH(ROWS($AH$2:AH300),$AH$2:$AH$1001,0),1)&gt;=100000,INDEX($AO$1005:$BQ$1005,1,MATCH(COLUMNS($AO$1006:AR1006),$AO$1006:$BQ$1006,0))&gt;=100000), " ",IF(INDEX($AO$2:$BQ$1001,MATCH(ROWS($AH$2:AH300),$AH$2:$AH$1001,0),MATCH(COLUMNS($AO$1006:AR1006),$AO$1006:$BQ$1006,0)), HYPERLINK("#",""), HYPERLINK(CONCATENATE("#Metadata!", ADDRESS(INDEX($AJ$2:$AJ$1001,MATCH(ROWS($AH$2:AH300),$AH$2:$AH$1001,0),0), INDEX($AO$1004:$BQ$1004,1,MATCH(COLUMNS($AO$1006:AR1006),$AO$1006:$BQ$1006,0)))),"Fix")))</f>
        <v>#N/A</v>
      </c>
      <c r="F300" s="5" t="e">
        <f ca="1">IF(OR(INDEX($AI$2:$AI$1001,MATCH(ROWS($AH$2:AH300),$AH$2:$AH$1001,0),1)&gt;=100000,INDEX($AO$1005:$BQ$1005,1,MATCH(COLUMNS($AO$1006:AS1006),$AO$1006:$BQ$1006,0))&gt;=100000), " ",IF(INDEX($AO$2:$BQ$1001,MATCH(ROWS($AH$2:AH300),$AH$2:$AH$1001,0),MATCH(COLUMNS($AO$1006:AS1006),$AO$1006:$BQ$1006,0)), HYPERLINK("#",""), HYPERLINK(CONCATENATE("#Metadata!", ADDRESS(INDEX($AJ$2:$AJ$1001,MATCH(ROWS($AH$2:AH300),$AH$2:$AH$1001,0),0), INDEX($AO$1004:$BQ$1004,1,MATCH(COLUMNS($AO$1006:AS1006),$AO$1006:$BQ$1006,0)))),"Fix")))</f>
        <v>#N/A</v>
      </c>
      <c r="G300" s="5" t="e">
        <f ca="1">IF(OR(INDEX($AI$2:$AI$1001,MATCH(ROWS($AH$2:AH300),$AH$2:$AH$1001,0),1)&gt;=100000,INDEX($AO$1005:$BQ$1005,1,MATCH(COLUMNS($AO$1006:AT1006),$AO$1006:$BQ$1006,0))&gt;=100000), " ",IF(INDEX($AO$2:$BQ$1001,MATCH(ROWS($AH$2:AH300),$AH$2:$AH$1001,0),MATCH(COLUMNS($AO$1006:AT1006),$AO$1006:$BQ$1006,0)), HYPERLINK("#",""), HYPERLINK(CONCATENATE("#Metadata!", ADDRESS(INDEX($AJ$2:$AJ$1001,MATCH(ROWS($AH$2:AH300),$AH$2:$AH$1001,0),0), INDEX($AO$1004:$BQ$1004,1,MATCH(COLUMNS($AO$1006:AT1006),$AO$1006:$BQ$1006,0)))),"Fix")))</f>
        <v>#N/A</v>
      </c>
      <c r="H300" s="5" t="e">
        <f ca="1">IF(OR(INDEX($AI$2:$AI$1001,MATCH(ROWS($AH$2:AH300),$AH$2:$AH$1001,0),1)&gt;=100000,INDEX($AO$1005:$BQ$1005,1,MATCH(COLUMNS($AO$1006:AU1006),$AO$1006:$BQ$1006,0))&gt;=100000), " ",IF(INDEX($AO$2:$BQ$1001,MATCH(ROWS($AH$2:AH300),$AH$2:$AH$1001,0),MATCH(COLUMNS($AO$1006:AU1006),$AO$1006:$BQ$1006,0)), HYPERLINK("#",""), HYPERLINK(CONCATENATE("#Metadata!", ADDRESS(INDEX($AJ$2:$AJ$1001,MATCH(ROWS($AH$2:AH300),$AH$2:$AH$1001,0),0), INDEX($AO$1004:$BQ$1004,1,MATCH(COLUMNS($AO$1006:AU1006),$AO$1006:$BQ$1006,0)))),"Fix")))</f>
        <v>#N/A</v>
      </c>
      <c r="I300" s="5" t="e">
        <f ca="1">IF(OR(INDEX($AI$2:$AI$1001,MATCH(ROWS($AH$2:AH300),$AH$2:$AH$1001,0),1)&gt;=100000,INDEX($AO$1005:$BQ$1005,1,MATCH(COLUMNS($AO$1006:AV1006),$AO$1006:$BQ$1006,0))&gt;=100000), " ",IF(INDEX($AO$2:$BQ$1001,MATCH(ROWS($AH$2:AH300),$AH$2:$AH$1001,0),MATCH(COLUMNS($AO$1006:AV1006),$AO$1006:$BQ$1006,0)), HYPERLINK("#",""), HYPERLINK(CONCATENATE("#Metadata!", ADDRESS(INDEX($AJ$2:$AJ$1001,MATCH(ROWS($AH$2:AH300),$AH$2:$AH$1001,0),0), INDEX($AO$1004:$BQ$1004,1,MATCH(COLUMNS($AO$1006:AV1006),$AO$1006:$BQ$1006,0)))),"Fix")))</f>
        <v>#N/A</v>
      </c>
      <c r="J300" s="5" t="e">
        <f ca="1">IF(OR(INDEX($AI$2:$AI$1001,MATCH(ROWS($AH$2:AH300),$AH$2:$AH$1001,0),1)&gt;=100000,INDEX($AO$1005:$BQ$1005,1,MATCH(COLUMNS($AO$1006:AW1006),$AO$1006:$BQ$1006,0))&gt;=100000), " ",IF(INDEX($AO$2:$BQ$1001,MATCH(ROWS($AH$2:AH300),$AH$2:$AH$1001,0),MATCH(COLUMNS($AO$1006:AW1006),$AO$1006:$BQ$1006,0)), HYPERLINK("#",""), HYPERLINK(CONCATENATE("#Metadata!", ADDRESS(INDEX($AJ$2:$AJ$1001,MATCH(ROWS($AH$2:AH300),$AH$2:$AH$1001,0),0), INDEX($AO$1004:$BQ$1004,1,MATCH(COLUMNS($AO$1006:AW1006),$AO$1006:$BQ$1006,0)))),"Fix")))</f>
        <v>#N/A</v>
      </c>
      <c r="K300" s="5" t="e">
        <f ca="1">IF(OR(INDEX($AI$2:$AI$1001,MATCH(ROWS($AH$2:AH300),$AH$2:$AH$1001,0),1)&gt;=100000,INDEX($AO$1005:$BQ$1005,1,MATCH(COLUMNS($AO$1006:AX1006),$AO$1006:$BQ$1006,0))&gt;=100000), " ",IF(INDEX($AO$2:$BQ$1001,MATCH(ROWS($AH$2:AH300),$AH$2:$AH$1001,0),MATCH(COLUMNS($AO$1006:AX1006),$AO$1006:$BQ$1006,0)), HYPERLINK("#",""), HYPERLINK(CONCATENATE("#Metadata!", ADDRESS(INDEX($AJ$2:$AJ$1001,MATCH(ROWS($AH$2:AH300),$AH$2:$AH$1001,0),0), INDEX($AO$1004:$BQ$1004,1,MATCH(COLUMNS($AO$1006:AX1006),$AO$1006:$BQ$1006,0)))),"Fix")))</f>
        <v>#N/A</v>
      </c>
      <c r="L300" s="5" t="e">
        <f ca="1">IF(OR(INDEX($AI$2:$AI$1001,MATCH(ROWS($AH$2:AH300),$AH$2:$AH$1001,0),1)&gt;=100000,INDEX($AO$1005:$BQ$1005,1,MATCH(COLUMNS($AO$1006:AY1006),$AO$1006:$BQ$1006,0))&gt;=100000), " ",IF(INDEX($AO$2:$BQ$1001,MATCH(ROWS($AH$2:AH300),$AH$2:$AH$1001,0),MATCH(COLUMNS($AO$1006:AY1006),$AO$1006:$BQ$1006,0)), HYPERLINK("#",""), HYPERLINK(CONCATENATE("#Metadata!", ADDRESS(INDEX($AJ$2:$AJ$1001,MATCH(ROWS($AH$2:AH300),$AH$2:$AH$1001,0),0), INDEX($AO$1004:$BQ$1004,1,MATCH(COLUMNS($AO$1006:AY1006),$AO$1006:$BQ$1006,0)))),"Fix")))</f>
        <v>#N/A</v>
      </c>
      <c r="M300" s="5" t="e">
        <f ca="1">IF(OR(INDEX($AI$2:$AI$1001,MATCH(ROWS($AH$2:AH300),$AH$2:$AH$1001,0),1)&gt;=100000,INDEX($AO$1005:$BQ$1005,1,MATCH(COLUMNS($AO$1006:AZ1006),$AO$1006:$BQ$1006,0))&gt;=100000), " ",IF(INDEX($AO$2:$BQ$1001,MATCH(ROWS($AH$2:AH300),$AH$2:$AH$1001,0),MATCH(COLUMNS($AO$1006:AZ1006),$AO$1006:$BQ$1006,0)), HYPERLINK("#",""), HYPERLINK(CONCATENATE("#Metadata!", ADDRESS(INDEX($AJ$2:$AJ$1001,MATCH(ROWS($AH$2:AH300),$AH$2:$AH$1001,0),0), INDEX($AO$1004:$BQ$1004,1,MATCH(COLUMNS($AO$1006:AZ1006),$AO$1006:$BQ$1006,0)))),"Fix")))</f>
        <v>#N/A</v>
      </c>
      <c r="N300" s="5" t="e">
        <f ca="1">IF(OR(INDEX($AI$2:$AI$1001,MATCH(ROWS($AH$2:AH300),$AH$2:$AH$1001,0),1)&gt;=100000,INDEX($AO$1005:$BQ$1005,1,MATCH(COLUMNS($AO$1006:BA1006),$AO$1006:$BQ$1006,0))&gt;=100000), " ",IF(INDEX($AO$2:$BQ$1001,MATCH(ROWS($AH$2:AH300),$AH$2:$AH$1001,0),MATCH(COLUMNS($AO$1006:BA1006),$AO$1006:$BQ$1006,0)), HYPERLINK("#",""), HYPERLINK(CONCATENATE("#Metadata!", ADDRESS(INDEX($AJ$2:$AJ$1001,MATCH(ROWS($AH$2:AH300),$AH$2:$AH$1001,0),0), INDEX($AO$1004:$BQ$1004,1,MATCH(COLUMNS($AO$1006:BA1006),$AO$1006:$BQ$1006,0)))),"Fix")))</f>
        <v>#N/A</v>
      </c>
      <c r="O300" s="5" t="e">
        <f ca="1">IF(OR(INDEX($AI$2:$AI$1001,MATCH(ROWS($AH$2:AH300),$AH$2:$AH$1001,0),1)&gt;=100000,INDEX($AO$1005:$BQ$1005,1,MATCH(COLUMNS($AO$1006:BB1006),$AO$1006:$BQ$1006,0))&gt;=100000), " ",IF(INDEX($AO$2:$BQ$1001,MATCH(ROWS($AH$2:AH300),$AH$2:$AH$1001,0),MATCH(COLUMNS($AO$1006:BB1006),$AO$1006:$BQ$1006,0)), HYPERLINK("#",""), HYPERLINK(CONCATENATE("#Metadata!", ADDRESS(INDEX($AJ$2:$AJ$1001,MATCH(ROWS($AH$2:AH300),$AH$2:$AH$1001,0),0), INDEX($AO$1004:$BQ$1004,1,MATCH(COLUMNS($AO$1006:BB1006),$AO$1006:$BQ$1006,0)))),"Fix")))</f>
        <v>#N/A</v>
      </c>
      <c r="P300" s="5" t="e">
        <f ca="1">IF(OR(INDEX($AI$2:$AI$1001,MATCH(ROWS($AH$2:AH300),$AH$2:$AH$1001,0),1)&gt;=100000,INDEX($AO$1005:$BQ$1005,1,MATCH(COLUMNS($AO$1006:BC1006),$AO$1006:$BQ$1006,0))&gt;=100000), " ",IF(INDEX($AO$2:$BQ$1001,MATCH(ROWS($AH$2:AH300),$AH$2:$AH$1001,0),MATCH(COLUMNS($AO$1006:BC1006),$AO$1006:$BQ$1006,0)), HYPERLINK("#",""), HYPERLINK(CONCATENATE("#Metadata!", ADDRESS(INDEX($AJ$2:$AJ$1001,MATCH(ROWS($AH$2:AH300),$AH$2:$AH$1001,0),0), INDEX($AO$1004:$BQ$1004,1,MATCH(COLUMNS($AO$1006:BC1006),$AO$1006:$BQ$1006,0)))),"Fix")))</f>
        <v>#N/A</v>
      </c>
      <c r="Q300" s="5" t="e">
        <f ca="1">IF(OR(INDEX($AI$2:$AI$1001,MATCH(ROWS($AH$2:AH300),$AH$2:$AH$1001,0),1)&gt;=100000,INDEX($AO$1005:$BQ$1005,1,MATCH(COLUMNS($AO$1006:BD1006),$AO$1006:$BQ$1006,0))&gt;=100000), " ",IF(INDEX($AO$2:$BQ$1001,MATCH(ROWS($AH$2:AH300),$AH$2:$AH$1001,0),MATCH(COLUMNS($AO$1006:BD1006),$AO$1006:$BQ$1006,0)), HYPERLINK("#",""), HYPERLINK(CONCATENATE("#Metadata!", ADDRESS(INDEX($AJ$2:$AJ$1001,MATCH(ROWS($AH$2:AH300),$AH$2:$AH$1001,0),0), INDEX($AO$1004:$BQ$1004,1,MATCH(COLUMNS($AO$1006:BD1006),$AO$1006:$BQ$1006,0)))),"Fix")))</f>
        <v>#N/A</v>
      </c>
      <c r="R300" s="5" t="e">
        <f ca="1">IF(OR(INDEX($AI$2:$AI$1001,MATCH(ROWS($AH$2:AH300),$AH$2:$AH$1001,0),1)&gt;=100000,INDEX($AO$1005:$BQ$1005,1,MATCH(COLUMNS($AO$1006:BE1006),$AO$1006:$BQ$1006,0))&gt;=100000), " ",IF(INDEX($AO$2:$BQ$1001,MATCH(ROWS($AH$2:AH300),$AH$2:$AH$1001,0),MATCH(COLUMNS($AO$1006:BE1006),$AO$1006:$BQ$1006,0)), HYPERLINK("#",""), HYPERLINK(CONCATENATE("#Metadata!", ADDRESS(INDEX($AJ$2:$AJ$1001,MATCH(ROWS($AH$2:AH300),$AH$2:$AH$1001,0),0), INDEX($AO$1004:$BQ$1004,1,MATCH(COLUMNS($AO$1006:BE1006),$AO$1006:$BQ$1006,0)))),"Fix")))</f>
        <v>#N/A</v>
      </c>
      <c r="S300" s="5" t="e">
        <f ca="1">IF(OR(INDEX($AI$2:$AI$1001,MATCH(ROWS($AH$2:AH300),$AH$2:$AH$1001,0),1)&gt;=100000,INDEX($AO$1005:$BQ$1005,1,MATCH(COLUMNS($AO$1006:BF1006),$AO$1006:$BQ$1006,0))&gt;=100000), " ",IF(INDEX($AO$2:$BQ$1001,MATCH(ROWS($AH$2:AH300),$AH$2:$AH$1001,0),MATCH(COLUMNS($AO$1006:BF1006),$AO$1006:$BQ$1006,0)), HYPERLINK("#",""), HYPERLINK(CONCATENATE("#Metadata!", ADDRESS(INDEX($AJ$2:$AJ$1001,MATCH(ROWS($AH$2:AH300),$AH$2:$AH$1001,0),0), INDEX($AO$1004:$BQ$1004,1,MATCH(COLUMNS($AO$1006:BF1006),$AO$1006:$BQ$1006,0)))),"Fix")))</f>
        <v>#N/A</v>
      </c>
      <c r="T300" s="5" t="e">
        <f ca="1">IF(OR(INDEX($AI$2:$AI$1001,MATCH(ROWS($AH$2:AH300),$AH$2:$AH$1001,0),1)&gt;=100000,INDEX($AO$1005:$BQ$1005,1,MATCH(COLUMNS($AO$1006:BG1006),$AO$1006:$BQ$1006,0))&gt;=100000), " ",IF(INDEX($AO$2:$BQ$1001,MATCH(ROWS($AH$2:AH300),$AH$2:$AH$1001,0),MATCH(COLUMNS($AO$1006:BG1006),$AO$1006:$BQ$1006,0)), HYPERLINK("#",""), HYPERLINK(CONCATENATE("#Metadata!", ADDRESS(INDEX($AJ$2:$AJ$1001,MATCH(ROWS($AH$2:AH300),$AH$2:$AH$1001,0),0), INDEX($AO$1004:$BQ$1004,1,MATCH(COLUMNS($AO$1006:BG1006),$AO$1006:$BQ$1006,0)))),"Fix")))</f>
        <v>#N/A</v>
      </c>
      <c r="U300" s="5" t="e">
        <f ca="1">IF(OR(INDEX($AI$2:$AI$1001,MATCH(ROWS($AH$2:AH300),$AH$2:$AH$1001,0),1)&gt;=100000,INDEX($AO$1005:$BQ$1005,1,MATCH(COLUMNS($AO$1006:BH1006),$AO$1006:$BQ$1006,0))&gt;=100000), " ",IF(INDEX($AO$2:$BQ$1001,MATCH(ROWS($AH$2:AH300),$AH$2:$AH$1001,0),MATCH(COLUMNS($AO$1006:BH1006),$AO$1006:$BQ$1006,0)), HYPERLINK("#",""), HYPERLINK(CONCATENATE("#Metadata!", ADDRESS(INDEX($AJ$2:$AJ$1001,MATCH(ROWS($AH$2:AH300),$AH$2:$AH$1001,0),0), INDEX($AO$1004:$BQ$1004,1,MATCH(COLUMNS($AO$1006:BH1006),$AO$1006:$BQ$1006,0)))),"Fix")))</f>
        <v>#N/A</v>
      </c>
      <c r="V300" s="5" t="e">
        <f ca="1">IF(OR(INDEX($AI$2:$AI$1001,MATCH(ROWS($AH$2:AH300),$AH$2:$AH$1001,0),1)&gt;=100000,INDEX($AO$1005:$BQ$1005,1,MATCH(COLUMNS($AO$1006:BI1006),$AO$1006:$BQ$1006,0))&gt;=100000), " ",IF(INDEX($AO$2:$BQ$1001,MATCH(ROWS($AH$2:AH300),$AH$2:$AH$1001,0),MATCH(COLUMNS($AO$1006:BI1006),$AO$1006:$BQ$1006,0)), HYPERLINK("#",""), HYPERLINK(CONCATENATE("#Metadata!", ADDRESS(INDEX($AJ$2:$AJ$1001,MATCH(ROWS($AH$2:AH300),$AH$2:$AH$1001,0),0), INDEX($AO$1004:$BQ$1004,1,MATCH(COLUMNS($AO$1006:BI1006),$AO$1006:$BQ$1006,0)))),"Fix")))</f>
        <v>#N/A</v>
      </c>
      <c r="W300" s="5" t="e">
        <f ca="1">IF(OR(INDEX($AI$2:$AI$1001,MATCH(ROWS($AH$2:AH300),$AH$2:$AH$1001,0),1)&gt;=100000,INDEX($AO$1005:$BQ$1005,1,MATCH(COLUMNS($AO$1006:BJ1006),$AO$1006:$BQ$1006,0))&gt;=100000), " ",IF(INDEX($AO$2:$BQ$1001,MATCH(ROWS($AH$2:AH300),$AH$2:$AH$1001,0),MATCH(COLUMNS($AO$1006:BJ1006),$AO$1006:$BQ$1006,0)), HYPERLINK("#",""), HYPERLINK(CONCATENATE("#Metadata!", ADDRESS(INDEX($AJ$2:$AJ$1001,MATCH(ROWS($AH$2:AH300),$AH$2:$AH$1001,0),0), INDEX($AO$1004:$BQ$1004,1,MATCH(COLUMNS($AO$1006:BJ1006),$AO$1006:$BQ$1006,0)))),"Fix")))</f>
        <v>#N/A</v>
      </c>
      <c r="X300" s="5" t="e">
        <f ca="1">IF(OR(INDEX($AI$2:$AI$1001,MATCH(ROWS($AH$2:AH300),$AH$2:$AH$1001,0),1)&gt;=100000,INDEX($AO$1005:$BQ$1005,1,MATCH(COLUMNS($AO$1006:BK1006),$AO$1006:$BQ$1006,0))&gt;=100000), " ",IF(INDEX($AO$2:$BQ$1001,MATCH(ROWS($AH$2:AH300),$AH$2:$AH$1001,0),MATCH(COLUMNS($AO$1006:BK1006),$AO$1006:$BQ$1006,0)), HYPERLINK("#",""), HYPERLINK(CONCATENATE("#Metadata!", ADDRESS(INDEX($AJ$2:$AJ$1001,MATCH(ROWS($AH$2:AH300),$AH$2:$AH$1001,0),0), INDEX($AO$1004:$BQ$1004,1,MATCH(COLUMNS($AO$1006:BK1006),$AO$1006:$BQ$1006,0)))),"Fix")))</f>
        <v>#N/A</v>
      </c>
      <c r="Y300" s="5" t="e">
        <f ca="1">IF(OR(INDEX($AI$2:$AI$1001,MATCH(ROWS($AH$2:AH300),$AH$2:$AH$1001,0),1)&gt;=100000,INDEX($AO$1005:$BQ$1005,1,MATCH(COLUMNS($AO$1006:BL1006),$AO$1006:$BQ$1006,0))&gt;=100000), " ",IF(INDEX($AO$2:$BQ$1001,MATCH(ROWS($AH$2:AH300),$AH$2:$AH$1001,0),MATCH(COLUMNS($AO$1006:BL1006),$AO$1006:$BQ$1006,0)), HYPERLINK("#",""), HYPERLINK(CONCATENATE("#Metadata!", ADDRESS(INDEX($AJ$2:$AJ$1001,MATCH(ROWS($AH$2:AH300),$AH$2:$AH$1001,0),0), INDEX($AO$1004:$BQ$1004,1,MATCH(COLUMNS($AO$1006:BL1006),$AO$1006:$BQ$1006,0)))),"Fix")))</f>
        <v>#N/A</v>
      </c>
      <c r="Z300" s="5" t="e">
        <f ca="1">IF(OR(INDEX($AI$2:$AI$1001,MATCH(ROWS($AH$2:AH300),$AH$2:$AH$1001,0),1)&gt;=100000,INDEX($AO$1005:$BQ$1005,1,MATCH(COLUMNS($AO$1006:BM1006),$AO$1006:$BQ$1006,0))&gt;=100000), " ",IF(INDEX($AO$2:$BQ$1001,MATCH(ROWS($AH$2:AH300),$AH$2:$AH$1001,0),MATCH(COLUMNS($AO$1006:BM1006),$AO$1006:$BQ$1006,0)), HYPERLINK("#",""), HYPERLINK(CONCATENATE("#Metadata!", ADDRESS(INDEX($AJ$2:$AJ$1001,MATCH(ROWS($AH$2:AH300),$AH$2:$AH$1001,0),0), INDEX($AO$1004:$BQ$1004,1,MATCH(COLUMNS($AO$1006:BM1006),$AO$1006:$BQ$1006,0)))),"Fix")))</f>
        <v>#N/A</v>
      </c>
      <c r="AA300" s="5" t="e">
        <f ca="1">IF(OR(INDEX($AI$2:$AI$1001,MATCH(ROWS($AH$2:AH300),$AH$2:$AH$1001,0),1)&gt;=100000,INDEX($AO$1005:$BQ$1005,1,MATCH(COLUMNS($AO$1006:BN1006),$AO$1006:$BQ$1006,0))&gt;=100000), " ",IF(INDEX($AO$2:$BQ$1001,MATCH(ROWS($AH$2:AH300),$AH$2:$AH$1001,0),MATCH(COLUMNS($AO$1006:BN1006),$AO$1006:$BQ$1006,0)), HYPERLINK("#",""), HYPERLINK(CONCATENATE("#Metadata!", ADDRESS(INDEX($AJ$2:$AJ$1001,MATCH(ROWS($AH$2:AH300),$AH$2:$AH$1001,0),0), INDEX($AO$1004:$BQ$1004,1,MATCH(COLUMNS($AO$1006:BN1006),$AO$1006:$BQ$1006,0)))),"Fix")))</f>
        <v>#N/A</v>
      </c>
      <c r="AB300" s="5" t="e">
        <f ca="1">IF(OR(INDEX($AI$2:$AI$1001,MATCH(ROWS($AH$2:AH300),$AH$2:$AH$1001,0),1)&gt;=100000,INDEX($AO$1005:$BQ$1005,1,MATCH(COLUMNS($AO$1006:BO1006),$AO$1006:$BQ$1006,0))&gt;=100000), " ",IF(INDEX($AO$2:$BQ$1001,MATCH(ROWS($AH$2:AH300),$AH$2:$AH$1001,0),MATCH(COLUMNS($AO$1006:BO1006),$AO$1006:$BQ$1006,0)), HYPERLINK("#",""), HYPERLINK(CONCATENATE("#Metadata!", ADDRESS(INDEX($AJ$2:$AJ$1001,MATCH(ROWS($AH$2:AH300),$AH$2:$AH$1001,0),0), INDEX($AO$1004:$BQ$1004,1,MATCH(COLUMNS($AO$1006:BO1006),$AO$1006:$BQ$1006,0)))),"Fix")))</f>
        <v>#N/A</v>
      </c>
      <c r="AC300" s="5" t="e">
        <f ca="1">IF(OR(INDEX($AI$2:$AI$1001,MATCH(ROWS($AH$2:AH300),$AH$2:$AH$1001,0),1)&gt;=100000,INDEX($AO$1005:$BQ$1005,1,MATCH(COLUMNS($AO$1006:BP1006),$AO$1006:$BQ$1006,0))&gt;=100000), " ",IF(INDEX($AO$2:$BQ$1001,MATCH(ROWS($AH$2:AH300),$AH$2:$AH$1001,0),MATCH(COLUMNS($AO$1006:BP1006),$AO$1006:$BQ$1006,0)), HYPERLINK("#",""), HYPERLINK(CONCATENATE("#Metadata!", ADDRESS(INDEX($AJ$2:$AJ$1001,MATCH(ROWS($AH$2:AH300),$AH$2:$AH$1001,0),0), INDEX($AO$1004:$BQ$1004,1,MATCH(COLUMNS($AO$1006:BP1006),$AO$1006:$BQ$1006,0)))),"Fix")))</f>
        <v>#N/A</v>
      </c>
      <c r="AD300" s="5" t="e">
        <f ca="1">IF(OR(INDEX($AI$2:$AI$1001,MATCH(ROWS($AH$2:AH300),$AH$2:$AH$1001,0),1)&gt;=100000,INDEX($AO$1005:$BQ$1005,1,MATCH(COLUMNS($AO$1006:BQ1006),$AO$1006:$BQ$1006,0))&gt;=100000), " ",IF(INDEX($AO$2:$BQ$1001,MATCH(ROWS($AH$2:AH300),$AH$2:$AH$1001,0),MATCH(COLUMNS($AO$1006:BQ1006),$AO$1006:$BQ$1006,0)), HYPERLINK("#",""), HYPERLINK(CONCATENATE("#Metadata!", ADDRESS(INDEX($AJ$2:$AJ$1001,MATCH(ROWS($AH$2:AH300),$AH$2:$AH$1001,0),0), INDEX($AO$1004:$BQ$1004,1,MATCH(COLUMNS($AO$1006:BQ1006),$AO$1006:$BQ$1006,0)))),"Fix")))</f>
        <v>#REF!</v>
      </c>
      <c r="AH300">
        <f ca="1"/>
        <v>297</v>
      </c>
      <c r="AI300">
        <v>100300</v>
      </c>
      <c r="AJ300">
        <v>300</v>
      </c>
      <c r="AK300" t="b">
        <f t="shared" si="4"/>
        <v>1</v>
      </c>
      <c r="AL300" t="b">
        <f>COUNTBLANK(Metadata!B300:AD300)=COLUMNS(Metadata!B300:AD300)</f>
        <v>1</v>
      </c>
      <c r="AM300" t="str">
        <v/>
      </c>
      <c r="AO300" t="b">
        <f ca="1">AND(IF(Metadata!B300="",FALSE,TRUE),COUNTIF(Metadata!B:B, Metadata!B300) = 1,NOT(ISERROR(SUMPRODUCT(SEARCH(MID(Metadata!B300,ROW(INDIRECT("1:"&amp;LEN(Metadata!B300))), 1),"0123456789abcdefghijklmnopqrstuvwxyzABCDEFGHIJKLMNOPQRSTUVWXYZ.")))))</f>
        <v>0</v>
      </c>
      <c r="AP300" t="b">
        <f>IF(Metadata!C300="",FALSE,TRUE)</f>
        <v>0</v>
      </c>
      <c r="AQ300" t="b">
        <f>IF(Metadata!D300="",FALSE,TRUE)</f>
        <v>0</v>
      </c>
      <c r="AR300" t="b">
        <f ca="1">OR(AND(IF(Metadata!E300="",FALSE,TRUE),OR(EXACT(Metadata!E300,"not collected"),EXACT(Metadata!E300,"not provided"),EXACT(Metadata!E300,"restricted access"))),AND(IF(Metadata!E300="",FALSE,TRUE),AND(AND(IFERROR(INT(LEFT(Metadata!E300,4))&gt;1900,FALSE),IFERROR(INT(LEFT(Metadata!E300,4))&lt;=YEAR(NOW()),FALSE)), OR(MID(Metadata!E300,5,1)="", AND(AND(MID(Metadata!E300,5,1)="-",IFERROR(INT(MID(Metadata!E300,6,1))&gt;=0,FALSE),IFERROR(INT(MID(Metadata!E300,6,1))&lt;=1,FALSE),NOT(MID(Metadata!E300,7,1)=""),IFERROR(INT(MID(Metadata!E300,6,2))&gt;=1,FALSE),IFERROR(INT(MID(Metadata!E300,6,2))&lt;=12,FALSE)), OR(MID(Metadata!E300,8,1)="", AND(AND(MID(Metadata!E300,8,1)="-",IFERROR(INT(MID(Metadata!E300,9,1))&gt;=0,FALSE),IFERROR(INT(MID(Metadata!E300,9,1))&lt;=3,FALSE),NOT(MID(Metadata!E300,10,1)=""),IFERROR(INT(MID(Metadata!E300,9,2))&gt;=1,FALSE),IFERROR(INT(MID(Metadata!E300,9,2))&lt;=31,FALSE)), OR(MID(Metadata!E300,11,1)="", AND(AND(MID(Metadata!E300,11,1)=" ",IFERROR(INT(MID(Metadata!E300,12,1))&gt;=0,FALSE),IFERROR(INT(MID(Metadata!E300,12,1))&lt;=2,FALSE),NOT(MID(Metadata!E300,13,1)=""),IFERROR(INT(MID(Metadata!E300,12,2))&gt;=0,FALSE),IFERROR(INT(MID(Metadata!E300,12,2))&lt;=23,FALSE)), OR(MID(Metadata!E300,14,1)="", AND(AND(MID(Metadata!E300,14,1)=":",IFERROR(INT(MID(Metadata!E300,15,1))&gt;=0,FALSE),IFERROR(INT(MID(Metadata!E300,15,1))&lt;=5,FALSE),NOT(MID(Metadata!E300,16,1)=""),IFERROR(INT(MID(Metadata!E300,15,2))&gt;=0,FALSE),IFERROR(INT(MID(Metadata!E300,15,2))&lt;=59,FALSE)), OR(MID(Metadata!E300,17,1)="", AND(AND(MID(Metadata!E300,17,1)=":",IFERROR(INT(MID(Metadata!E300,18,1))&gt;=0,FALSE),IFERROR(INT(MID(Metadata!E300,18,1))&lt;=5,FALSE),NOT(MID(Metadata!E300,19,1)=""),IFERROR(INT(MID(Metadata!E300,18,2))&gt;=0,FALSE),IFERROR(INT(MID(Metadata!E300,18,2))&lt;=59,FALSE)), LEN(Metadata!E300)&lt;=19)))))))))))))</f>
        <v>0</v>
      </c>
      <c r="AS300" t="b">
        <f>IF(Metadata!F300="",FALSE,TRUE)</f>
        <v>0</v>
      </c>
      <c r="AT300" t="b">
        <f>OR(AND(IF(Metadata!G300="",FALSE,TRUE),OR(EXACT(Metadata!G300,"not collected"),EXACT(Metadata!G300,"not provided"))),AND(IF(Metadata!G300="",FALSE,TRUE),OR(EXACT(Metadata!G300,"TRUE"),EXACT(Metadata!G300,"FALSE"))))</f>
        <v>0</v>
      </c>
      <c r="AU300" t="b">
        <f>OR(AND(IF(Metadata!H300="",FALSE,TRUE),OR(EXACT(Metadata!H300,"not collected"),EXACT(Metadata!H300,"not provided"),EXACT(Metadata!H300,"restricted access"))),AND(IF(Metadata!H300="",FALSE,ISNUMBER(VALUE(Metadata!H300))),Metadata!H300&gt;=-413))</f>
        <v>0</v>
      </c>
      <c r="AV300" t="b">
        <f>AND(IF(Metadata!I300="",FALSE,TRUE),EXACT(Metadata!I300,"meters"))</f>
        <v>0</v>
      </c>
      <c r="AW300" t="b">
        <f>AND(IF(Metadata!J300="",FALSE,TRUE),EXACT(Metadata!J300,"free-living"))</f>
        <v>0</v>
      </c>
      <c r="AX300" t="b">
        <f>AND(IF(Metadata!K300="",FALSE,TRUE),OR(EXACT(Metadata!K300,"saline"),EXACT(Metadata!K300,"non-saline")))</f>
        <v>0</v>
      </c>
      <c r="AY300" t="b">
        <f>AND(IF(Metadata!L300="",FALSE,TRUE),OR(EXACT(Metadata!L300,"sub-surface (non-saline)"),EXACT(Metadata!L300,"surface (non-saline)"),EXACT(Metadata!L300,"water (non-saline)"),EXACT(Metadata!L300,"soil (non-saline)"),EXACT(Metadata!L300,"aerosol (non-saline)"),EXACT(Metadata!L300,"sediment (non-saline)"),EXACT(Metadata!L300,"surface (saline)"),EXACT(Metadata!L300,"water (saline)"),EXACT(Metadata!L300,"hypersaline (saline)"),EXACT(Metadata!L300,"aerosol (saline)"),EXACT(Metadata!L300,"sediment (saline)")))</f>
        <v>0</v>
      </c>
      <c r="AZ300" t="b">
        <f>IF(Metadata!M300="",FALSE,TRUE)</f>
        <v>0</v>
      </c>
      <c r="BA300" t="b">
        <f>IF(Metadata!N300="",FALSE,TRUE)</f>
        <v>0</v>
      </c>
      <c r="BB300" t="b">
        <f>IF(Metadata!O300="",FALSE,TRUE)</f>
        <v>0</v>
      </c>
      <c r="BC300" t="b">
        <f>AND(IF(Metadata!P300="",FALSE,TRUE),OR(EXACT(Metadata!P300,"air"),EXACT(Metadata!P300,"microbial mat/biofilm"),EXACT(Metadata!P300,"misc environment"),EXACT(Metadata!P300,"sediment"),EXACT(Metadata!P300,"soil"),EXACT(Metadata!P300,"wastewater/sludge"),EXACT(Metadata!P300,"water")))</f>
        <v>0</v>
      </c>
      <c r="BD300" t="b">
        <f>IF(Metadata!Q300="",FALSE,TRUE)</f>
        <v>0</v>
      </c>
      <c r="BE300" t="b">
        <f>IF(Metadata!R300="",FALSE,TRUE)</f>
        <v>0</v>
      </c>
      <c r="BF300" t="b">
        <f>OR(AND(IF(Metadata!S300="",FALSE,TRUE),OR(EXACT(Metadata!S300,"not collected"),EXACT(Metadata!S300,"not provided"),EXACT(Metadata!S300,"restricted access"))),AND(IF(Metadata!S300="",FALSE,ISNUMBER(VALUE(Metadata!S300))),Metadata!S300&gt;=-90,Metadata!S300&lt;=90))</f>
        <v>0</v>
      </c>
      <c r="BG300" t="b">
        <f>AND(IF(Metadata!T300="",FALSE,TRUE),EXACT(Metadata!T300,"Decimal degrees"))</f>
        <v>0</v>
      </c>
      <c r="BH300" t="b">
        <f>OR(AND(IF(Metadata!U300="",FALSE,TRUE),OR(EXACT(Metadata!U300,"not applicable"),EXACT(Metadata!U300,"not collected"))),IF(Metadata!U300="",FALSE,TRUE))</f>
        <v>0</v>
      </c>
      <c r="BI300" t="b">
        <f>OR(AND(IF(Metadata!V300="",FALSE,TRUE),OR(EXACT(Metadata!V300,"not collected"),EXACT(Metadata!V300,"not provided"),EXACT(Metadata!V300,"restricted access"))),AND(IF(Metadata!V300="",FALSE,ISNUMBER(VALUE(Metadata!V300))),Metadata!V300&gt;=-180,Metadata!V300&lt;=180))</f>
        <v>0</v>
      </c>
      <c r="BJ300" t="b">
        <f>AND(IF(Metadata!W300="",FALSE,TRUE),EXACT(Metadata!W300,"Decimal degrees"))</f>
        <v>0</v>
      </c>
      <c r="BK300" t="b">
        <f>IF(Metadata!X300="",FALSE,TRUE)</f>
        <v>0</v>
      </c>
      <c r="BL300" t="b">
        <f>OR(AND(IF(Metadata!Y300="",FALSE,TRUE),OR(EXACT(Metadata!Y300,"not collected"),EXACT(Metadata!Y300,"not provided"),EXACT(Metadata!Y300,"restricted access"))),AND(IF(Metadata!Y300="",FALSE,TRUE),OR(EXACT(Metadata!Y300,"TRUE"),EXACT(Metadata!Y300,"FALSE"))))</f>
        <v>0</v>
      </c>
      <c r="BM300" t="b">
        <f>OR(AND(IF(Metadata!Z300="",FALSE,TRUE),EXACT(Metadata!Z300,"not applicable")),AND(IF(Metadata!Z300="",FALSE,TRUE),OR(EXACT(Metadata!Z300,"beer"),EXACT(Metadata!Z300,"cheese"),EXACT(Metadata!Z300,"fresh water"),EXACT(Metadata!Z300,"marine sediment"),EXACT(Metadata!Z300,"sea water"),EXACT(Metadata!Z300,"sediment"),EXACT(Metadata!Z300,"soil"),EXACT(Metadata!Z300,"waste water"))))</f>
        <v>0</v>
      </c>
      <c r="BN300" t="b">
        <f>AND(IF(Metadata!AA300="",FALSE,TRUE),EXACT(Metadata!AA300,"metagenome"))</f>
        <v>0</v>
      </c>
      <c r="BO300" t="b">
        <f>AND(IF(Metadata!AB300="",FALSE,TRUE),EXACT(Metadata!AB300,"256318"))</f>
        <v>0</v>
      </c>
      <c r="BP300" t="b">
        <f>IF(Metadata!AC300="",FALSE,TRUE)</f>
        <v>0</v>
      </c>
      <c r="BQ300" t="b">
        <f>IF(Metadata!AD300="",FALSE,TRUE)</f>
        <v>0</v>
      </c>
    </row>
    <row r="301" spans="1:69" x14ac:dyDescent="0.2">
      <c r="A301" s="4" t="e">
        <f ca="1">IF(B301=" "," ",HYPERLINK(CONCATENATE("#metadata!",ADDRESS(INDEX($AJ$2:$AJ$1001,MATCH(ROWS($AH$2:AH301),$AH$2:$AH$1001,0),0),2)),INDEX($AM$2:$AM$1001,MATCH(ROWS($AH$2:AH301),$AH$2:$AH$1001,0),0)))</f>
        <v>#N/A</v>
      </c>
      <c r="B301" s="5" t="e">
        <f ca="1">IF(OR(INDEX($AI$2:$AI$1001,MATCH(ROWS($AH$2:AH301),$AH$2:$AH$1001,0),1)&gt;=100000,INDEX($AO$1005:$BQ$1005,1,MATCH(COLUMNS($AO$1006:AO1006),$AO$1006:$BQ$1006,0))&gt;=100000), " ",IF(INDEX($AO$2:$BQ$1001,MATCH(ROWS($AH$2:AH301),$AH$2:$AH$1001,0),MATCH(COLUMNS($AO$1006:AO1006),$AO$1006:$BQ$1006,0)), HYPERLINK("#",""), HYPERLINK(CONCATENATE("#Metadata!", ADDRESS(INDEX($AJ$2:$AJ$1001,MATCH(ROWS($AH$2:AH301),$AH$2:$AH$1001,0),0), INDEX($AO$1004:$BQ$1004,1,MATCH(COLUMNS($AO$1006:AO1006),$AO$1006:$BQ$1006,0)))),"Fix")))</f>
        <v>#N/A</v>
      </c>
      <c r="C301" s="5" t="e">
        <f ca="1">IF(OR(INDEX($AI$2:$AI$1001,MATCH(ROWS($AH$2:AH301),$AH$2:$AH$1001,0),1)&gt;=100000,INDEX($AO$1005:$BQ$1005,1,MATCH(COLUMNS($AO$1006:AP1006),$AO$1006:$BQ$1006,0))&gt;=100000), " ",IF(INDEX($AO$2:$BQ$1001,MATCH(ROWS($AH$2:AH301),$AH$2:$AH$1001,0),MATCH(COLUMNS($AO$1006:AP1006),$AO$1006:$BQ$1006,0)), HYPERLINK("#",""), HYPERLINK(CONCATENATE("#Metadata!", ADDRESS(INDEX($AJ$2:$AJ$1001,MATCH(ROWS($AH$2:AH301),$AH$2:$AH$1001,0),0), INDEX($AO$1004:$BQ$1004,1,MATCH(COLUMNS($AO$1006:AP1006),$AO$1006:$BQ$1006,0)))),"Fix")))</f>
        <v>#N/A</v>
      </c>
      <c r="D301" s="5" t="e">
        <f ca="1">IF(OR(INDEX($AI$2:$AI$1001,MATCH(ROWS($AH$2:AH301),$AH$2:$AH$1001,0),1)&gt;=100000,INDEX($AO$1005:$BQ$1005,1,MATCH(COLUMNS($AO$1006:AQ1006),$AO$1006:$BQ$1006,0))&gt;=100000), " ",IF(INDEX($AO$2:$BQ$1001,MATCH(ROWS($AH$2:AH301),$AH$2:$AH$1001,0),MATCH(COLUMNS($AO$1006:AQ1006),$AO$1006:$BQ$1006,0)), HYPERLINK("#",""), HYPERLINK(CONCATENATE("#Metadata!", ADDRESS(INDEX($AJ$2:$AJ$1001,MATCH(ROWS($AH$2:AH301),$AH$2:$AH$1001,0),0), INDEX($AO$1004:$BQ$1004,1,MATCH(COLUMNS($AO$1006:AQ1006),$AO$1006:$BQ$1006,0)))),"Fix")))</f>
        <v>#N/A</v>
      </c>
      <c r="E301" s="5" t="e">
        <f ca="1">IF(OR(INDEX($AI$2:$AI$1001,MATCH(ROWS($AH$2:AH301),$AH$2:$AH$1001,0),1)&gt;=100000,INDEX($AO$1005:$BQ$1005,1,MATCH(COLUMNS($AO$1006:AR1006),$AO$1006:$BQ$1006,0))&gt;=100000), " ",IF(INDEX($AO$2:$BQ$1001,MATCH(ROWS($AH$2:AH301),$AH$2:$AH$1001,0),MATCH(COLUMNS($AO$1006:AR1006),$AO$1006:$BQ$1006,0)), HYPERLINK("#",""), HYPERLINK(CONCATENATE("#Metadata!", ADDRESS(INDEX($AJ$2:$AJ$1001,MATCH(ROWS($AH$2:AH301),$AH$2:$AH$1001,0),0), INDEX($AO$1004:$BQ$1004,1,MATCH(COLUMNS($AO$1006:AR1006),$AO$1006:$BQ$1006,0)))),"Fix")))</f>
        <v>#N/A</v>
      </c>
      <c r="F301" s="5" t="e">
        <f ca="1">IF(OR(INDEX($AI$2:$AI$1001,MATCH(ROWS($AH$2:AH301),$AH$2:$AH$1001,0),1)&gt;=100000,INDEX($AO$1005:$BQ$1005,1,MATCH(COLUMNS($AO$1006:AS1006),$AO$1006:$BQ$1006,0))&gt;=100000), " ",IF(INDEX($AO$2:$BQ$1001,MATCH(ROWS($AH$2:AH301),$AH$2:$AH$1001,0),MATCH(COLUMNS($AO$1006:AS1006),$AO$1006:$BQ$1006,0)), HYPERLINK("#",""), HYPERLINK(CONCATENATE("#Metadata!", ADDRESS(INDEX($AJ$2:$AJ$1001,MATCH(ROWS($AH$2:AH301),$AH$2:$AH$1001,0),0), INDEX($AO$1004:$BQ$1004,1,MATCH(COLUMNS($AO$1006:AS1006),$AO$1006:$BQ$1006,0)))),"Fix")))</f>
        <v>#N/A</v>
      </c>
      <c r="G301" s="5" t="e">
        <f ca="1">IF(OR(INDEX($AI$2:$AI$1001,MATCH(ROWS($AH$2:AH301),$AH$2:$AH$1001,0),1)&gt;=100000,INDEX($AO$1005:$BQ$1005,1,MATCH(COLUMNS($AO$1006:AT1006),$AO$1006:$BQ$1006,0))&gt;=100000), " ",IF(INDEX($AO$2:$BQ$1001,MATCH(ROWS($AH$2:AH301),$AH$2:$AH$1001,0),MATCH(COLUMNS($AO$1006:AT1006),$AO$1006:$BQ$1006,0)), HYPERLINK("#",""), HYPERLINK(CONCATENATE("#Metadata!", ADDRESS(INDEX($AJ$2:$AJ$1001,MATCH(ROWS($AH$2:AH301),$AH$2:$AH$1001,0),0), INDEX($AO$1004:$BQ$1004,1,MATCH(COLUMNS($AO$1006:AT1006),$AO$1006:$BQ$1006,0)))),"Fix")))</f>
        <v>#N/A</v>
      </c>
      <c r="H301" s="5" t="e">
        <f ca="1">IF(OR(INDEX($AI$2:$AI$1001,MATCH(ROWS($AH$2:AH301),$AH$2:$AH$1001,0),1)&gt;=100000,INDEX($AO$1005:$BQ$1005,1,MATCH(COLUMNS($AO$1006:AU1006),$AO$1006:$BQ$1006,0))&gt;=100000), " ",IF(INDEX($AO$2:$BQ$1001,MATCH(ROWS($AH$2:AH301),$AH$2:$AH$1001,0),MATCH(COLUMNS($AO$1006:AU1006),$AO$1006:$BQ$1006,0)), HYPERLINK("#",""), HYPERLINK(CONCATENATE("#Metadata!", ADDRESS(INDEX($AJ$2:$AJ$1001,MATCH(ROWS($AH$2:AH301),$AH$2:$AH$1001,0),0), INDEX($AO$1004:$BQ$1004,1,MATCH(COLUMNS($AO$1006:AU1006),$AO$1006:$BQ$1006,0)))),"Fix")))</f>
        <v>#N/A</v>
      </c>
      <c r="I301" s="5" t="e">
        <f ca="1">IF(OR(INDEX($AI$2:$AI$1001,MATCH(ROWS($AH$2:AH301),$AH$2:$AH$1001,0),1)&gt;=100000,INDEX($AO$1005:$BQ$1005,1,MATCH(COLUMNS($AO$1006:AV1006),$AO$1006:$BQ$1006,0))&gt;=100000), " ",IF(INDEX($AO$2:$BQ$1001,MATCH(ROWS($AH$2:AH301),$AH$2:$AH$1001,0),MATCH(COLUMNS($AO$1006:AV1006),$AO$1006:$BQ$1006,0)), HYPERLINK("#",""), HYPERLINK(CONCATENATE("#Metadata!", ADDRESS(INDEX($AJ$2:$AJ$1001,MATCH(ROWS($AH$2:AH301),$AH$2:$AH$1001,0),0), INDEX($AO$1004:$BQ$1004,1,MATCH(COLUMNS($AO$1006:AV1006),$AO$1006:$BQ$1006,0)))),"Fix")))</f>
        <v>#N/A</v>
      </c>
      <c r="J301" s="5" t="e">
        <f ca="1">IF(OR(INDEX($AI$2:$AI$1001,MATCH(ROWS($AH$2:AH301),$AH$2:$AH$1001,0),1)&gt;=100000,INDEX($AO$1005:$BQ$1005,1,MATCH(COLUMNS($AO$1006:AW1006),$AO$1006:$BQ$1006,0))&gt;=100000), " ",IF(INDEX($AO$2:$BQ$1001,MATCH(ROWS($AH$2:AH301),$AH$2:$AH$1001,0),MATCH(COLUMNS($AO$1006:AW1006),$AO$1006:$BQ$1006,0)), HYPERLINK("#",""), HYPERLINK(CONCATENATE("#Metadata!", ADDRESS(INDEX($AJ$2:$AJ$1001,MATCH(ROWS($AH$2:AH301),$AH$2:$AH$1001,0),0), INDEX($AO$1004:$BQ$1004,1,MATCH(COLUMNS($AO$1006:AW1006),$AO$1006:$BQ$1006,0)))),"Fix")))</f>
        <v>#N/A</v>
      </c>
      <c r="K301" s="5" t="e">
        <f ca="1">IF(OR(INDEX($AI$2:$AI$1001,MATCH(ROWS($AH$2:AH301),$AH$2:$AH$1001,0),1)&gt;=100000,INDEX($AO$1005:$BQ$1005,1,MATCH(COLUMNS($AO$1006:AX1006),$AO$1006:$BQ$1006,0))&gt;=100000), " ",IF(INDEX($AO$2:$BQ$1001,MATCH(ROWS($AH$2:AH301),$AH$2:$AH$1001,0),MATCH(COLUMNS($AO$1006:AX1006),$AO$1006:$BQ$1006,0)), HYPERLINK("#",""), HYPERLINK(CONCATENATE("#Metadata!", ADDRESS(INDEX($AJ$2:$AJ$1001,MATCH(ROWS($AH$2:AH301),$AH$2:$AH$1001,0),0), INDEX($AO$1004:$BQ$1004,1,MATCH(COLUMNS($AO$1006:AX1006),$AO$1006:$BQ$1006,0)))),"Fix")))</f>
        <v>#N/A</v>
      </c>
      <c r="L301" s="5" t="e">
        <f ca="1">IF(OR(INDEX($AI$2:$AI$1001,MATCH(ROWS($AH$2:AH301),$AH$2:$AH$1001,0),1)&gt;=100000,INDEX($AO$1005:$BQ$1005,1,MATCH(COLUMNS($AO$1006:AY1006),$AO$1006:$BQ$1006,0))&gt;=100000), " ",IF(INDEX($AO$2:$BQ$1001,MATCH(ROWS($AH$2:AH301),$AH$2:$AH$1001,0),MATCH(COLUMNS($AO$1006:AY1006),$AO$1006:$BQ$1006,0)), HYPERLINK("#",""), HYPERLINK(CONCATENATE("#Metadata!", ADDRESS(INDEX($AJ$2:$AJ$1001,MATCH(ROWS($AH$2:AH301),$AH$2:$AH$1001,0),0), INDEX($AO$1004:$BQ$1004,1,MATCH(COLUMNS($AO$1006:AY1006),$AO$1006:$BQ$1006,0)))),"Fix")))</f>
        <v>#N/A</v>
      </c>
      <c r="M301" s="5" t="e">
        <f ca="1">IF(OR(INDEX($AI$2:$AI$1001,MATCH(ROWS($AH$2:AH301),$AH$2:$AH$1001,0),1)&gt;=100000,INDEX($AO$1005:$BQ$1005,1,MATCH(COLUMNS($AO$1006:AZ1006),$AO$1006:$BQ$1006,0))&gt;=100000), " ",IF(INDEX($AO$2:$BQ$1001,MATCH(ROWS($AH$2:AH301),$AH$2:$AH$1001,0),MATCH(COLUMNS($AO$1006:AZ1006),$AO$1006:$BQ$1006,0)), HYPERLINK("#",""), HYPERLINK(CONCATENATE("#Metadata!", ADDRESS(INDEX($AJ$2:$AJ$1001,MATCH(ROWS($AH$2:AH301),$AH$2:$AH$1001,0),0), INDEX($AO$1004:$BQ$1004,1,MATCH(COLUMNS($AO$1006:AZ1006),$AO$1006:$BQ$1006,0)))),"Fix")))</f>
        <v>#N/A</v>
      </c>
      <c r="N301" s="5" t="e">
        <f ca="1">IF(OR(INDEX($AI$2:$AI$1001,MATCH(ROWS($AH$2:AH301),$AH$2:$AH$1001,0),1)&gt;=100000,INDEX($AO$1005:$BQ$1005,1,MATCH(COLUMNS($AO$1006:BA1006),$AO$1006:$BQ$1006,0))&gt;=100000), " ",IF(INDEX($AO$2:$BQ$1001,MATCH(ROWS($AH$2:AH301),$AH$2:$AH$1001,0),MATCH(COLUMNS($AO$1006:BA1006),$AO$1006:$BQ$1006,0)), HYPERLINK("#",""), HYPERLINK(CONCATENATE("#Metadata!", ADDRESS(INDEX($AJ$2:$AJ$1001,MATCH(ROWS($AH$2:AH301),$AH$2:$AH$1001,0),0), INDEX($AO$1004:$BQ$1004,1,MATCH(COLUMNS($AO$1006:BA1006),$AO$1006:$BQ$1006,0)))),"Fix")))</f>
        <v>#N/A</v>
      </c>
      <c r="O301" s="5" t="e">
        <f ca="1">IF(OR(INDEX($AI$2:$AI$1001,MATCH(ROWS($AH$2:AH301),$AH$2:$AH$1001,0),1)&gt;=100000,INDEX($AO$1005:$BQ$1005,1,MATCH(COLUMNS($AO$1006:BB1006),$AO$1006:$BQ$1006,0))&gt;=100000), " ",IF(INDEX($AO$2:$BQ$1001,MATCH(ROWS($AH$2:AH301),$AH$2:$AH$1001,0),MATCH(COLUMNS($AO$1006:BB1006),$AO$1006:$BQ$1006,0)), HYPERLINK("#",""), HYPERLINK(CONCATENATE("#Metadata!", ADDRESS(INDEX($AJ$2:$AJ$1001,MATCH(ROWS($AH$2:AH301),$AH$2:$AH$1001,0),0), INDEX($AO$1004:$BQ$1004,1,MATCH(COLUMNS($AO$1006:BB1006),$AO$1006:$BQ$1006,0)))),"Fix")))</f>
        <v>#N/A</v>
      </c>
      <c r="P301" s="5" t="e">
        <f ca="1">IF(OR(INDEX($AI$2:$AI$1001,MATCH(ROWS($AH$2:AH301),$AH$2:$AH$1001,0),1)&gt;=100000,INDEX($AO$1005:$BQ$1005,1,MATCH(COLUMNS($AO$1006:BC1006),$AO$1006:$BQ$1006,0))&gt;=100000), " ",IF(INDEX($AO$2:$BQ$1001,MATCH(ROWS($AH$2:AH301),$AH$2:$AH$1001,0),MATCH(COLUMNS($AO$1006:BC1006),$AO$1006:$BQ$1006,0)), HYPERLINK("#",""), HYPERLINK(CONCATENATE("#Metadata!", ADDRESS(INDEX($AJ$2:$AJ$1001,MATCH(ROWS($AH$2:AH301),$AH$2:$AH$1001,0),0), INDEX($AO$1004:$BQ$1004,1,MATCH(COLUMNS($AO$1006:BC1006),$AO$1006:$BQ$1006,0)))),"Fix")))</f>
        <v>#N/A</v>
      </c>
      <c r="Q301" s="5" t="e">
        <f ca="1">IF(OR(INDEX($AI$2:$AI$1001,MATCH(ROWS($AH$2:AH301),$AH$2:$AH$1001,0),1)&gt;=100000,INDEX($AO$1005:$BQ$1005,1,MATCH(COLUMNS($AO$1006:BD1006),$AO$1006:$BQ$1006,0))&gt;=100000), " ",IF(INDEX($AO$2:$BQ$1001,MATCH(ROWS($AH$2:AH301),$AH$2:$AH$1001,0),MATCH(COLUMNS($AO$1006:BD1006),$AO$1006:$BQ$1006,0)), HYPERLINK("#",""), HYPERLINK(CONCATENATE("#Metadata!", ADDRESS(INDEX($AJ$2:$AJ$1001,MATCH(ROWS($AH$2:AH301),$AH$2:$AH$1001,0),0), INDEX($AO$1004:$BQ$1004,1,MATCH(COLUMNS($AO$1006:BD1006),$AO$1006:$BQ$1006,0)))),"Fix")))</f>
        <v>#N/A</v>
      </c>
      <c r="R301" s="5" t="e">
        <f ca="1">IF(OR(INDEX($AI$2:$AI$1001,MATCH(ROWS($AH$2:AH301),$AH$2:$AH$1001,0),1)&gt;=100000,INDEX($AO$1005:$BQ$1005,1,MATCH(COLUMNS($AO$1006:BE1006),$AO$1006:$BQ$1006,0))&gt;=100000), " ",IF(INDEX($AO$2:$BQ$1001,MATCH(ROWS($AH$2:AH301),$AH$2:$AH$1001,0),MATCH(COLUMNS($AO$1006:BE1006),$AO$1006:$BQ$1006,0)), HYPERLINK("#",""), HYPERLINK(CONCATENATE("#Metadata!", ADDRESS(INDEX($AJ$2:$AJ$1001,MATCH(ROWS($AH$2:AH301),$AH$2:$AH$1001,0),0), INDEX($AO$1004:$BQ$1004,1,MATCH(COLUMNS($AO$1006:BE1006),$AO$1006:$BQ$1006,0)))),"Fix")))</f>
        <v>#N/A</v>
      </c>
      <c r="S301" s="5" t="e">
        <f ca="1">IF(OR(INDEX($AI$2:$AI$1001,MATCH(ROWS($AH$2:AH301),$AH$2:$AH$1001,0),1)&gt;=100000,INDEX($AO$1005:$BQ$1005,1,MATCH(COLUMNS($AO$1006:BF1006),$AO$1006:$BQ$1006,0))&gt;=100000), " ",IF(INDEX($AO$2:$BQ$1001,MATCH(ROWS($AH$2:AH301),$AH$2:$AH$1001,0),MATCH(COLUMNS($AO$1006:BF1006),$AO$1006:$BQ$1006,0)), HYPERLINK("#",""), HYPERLINK(CONCATENATE("#Metadata!", ADDRESS(INDEX($AJ$2:$AJ$1001,MATCH(ROWS($AH$2:AH301),$AH$2:$AH$1001,0),0), INDEX($AO$1004:$BQ$1004,1,MATCH(COLUMNS($AO$1006:BF1006),$AO$1006:$BQ$1006,0)))),"Fix")))</f>
        <v>#N/A</v>
      </c>
      <c r="T301" s="5" t="e">
        <f ca="1">IF(OR(INDEX($AI$2:$AI$1001,MATCH(ROWS($AH$2:AH301),$AH$2:$AH$1001,0),1)&gt;=100000,INDEX($AO$1005:$BQ$1005,1,MATCH(COLUMNS($AO$1006:BG1006),$AO$1006:$BQ$1006,0))&gt;=100000), " ",IF(INDEX($AO$2:$BQ$1001,MATCH(ROWS($AH$2:AH301),$AH$2:$AH$1001,0),MATCH(COLUMNS($AO$1006:BG1006),$AO$1006:$BQ$1006,0)), HYPERLINK("#",""), HYPERLINK(CONCATENATE("#Metadata!", ADDRESS(INDEX($AJ$2:$AJ$1001,MATCH(ROWS($AH$2:AH301),$AH$2:$AH$1001,0),0), INDEX($AO$1004:$BQ$1004,1,MATCH(COLUMNS($AO$1006:BG1006),$AO$1006:$BQ$1006,0)))),"Fix")))</f>
        <v>#N/A</v>
      </c>
      <c r="U301" s="5" t="e">
        <f ca="1">IF(OR(INDEX($AI$2:$AI$1001,MATCH(ROWS($AH$2:AH301),$AH$2:$AH$1001,0),1)&gt;=100000,INDEX($AO$1005:$BQ$1005,1,MATCH(COLUMNS($AO$1006:BH1006),$AO$1006:$BQ$1006,0))&gt;=100000), " ",IF(INDEX($AO$2:$BQ$1001,MATCH(ROWS($AH$2:AH301),$AH$2:$AH$1001,0),MATCH(COLUMNS($AO$1006:BH1006),$AO$1006:$BQ$1006,0)), HYPERLINK("#",""), HYPERLINK(CONCATENATE("#Metadata!", ADDRESS(INDEX($AJ$2:$AJ$1001,MATCH(ROWS($AH$2:AH301),$AH$2:$AH$1001,0),0), INDEX($AO$1004:$BQ$1004,1,MATCH(COLUMNS($AO$1006:BH1006),$AO$1006:$BQ$1006,0)))),"Fix")))</f>
        <v>#N/A</v>
      </c>
      <c r="V301" s="5" t="e">
        <f ca="1">IF(OR(INDEX($AI$2:$AI$1001,MATCH(ROWS($AH$2:AH301),$AH$2:$AH$1001,0),1)&gt;=100000,INDEX($AO$1005:$BQ$1005,1,MATCH(COLUMNS($AO$1006:BI1006),$AO$1006:$BQ$1006,0))&gt;=100000), " ",IF(INDEX($AO$2:$BQ$1001,MATCH(ROWS($AH$2:AH301),$AH$2:$AH$1001,0),MATCH(COLUMNS($AO$1006:BI1006),$AO$1006:$BQ$1006,0)), HYPERLINK("#",""), HYPERLINK(CONCATENATE("#Metadata!", ADDRESS(INDEX($AJ$2:$AJ$1001,MATCH(ROWS($AH$2:AH301),$AH$2:$AH$1001,0),0), INDEX($AO$1004:$BQ$1004,1,MATCH(COLUMNS($AO$1006:BI1006),$AO$1006:$BQ$1006,0)))),"Fix")))</f>
        <v>#N/A</v>
      </c>
      <c r="W301" s="5" t="e">
        <f ca="1">IF(OR(INDEX($AI$2:$AI$1001,MATCH(ROWS($AH$2:AH301),$AH$2:$AH$1001,0),1)&gt;=100000,INDEX($AO$1005:$BQ$1005,1,MATCH(COLUMNS($AO$1006:BJ1006),$AO$1006:$BQ$1006,0))&gt;=100000), " ",IF(INDEX($AO$2:$BQ$1001,MATCH(ROWS($AH$2:AH301),$AH$2:$AH$1001,0),MATCH(COLUMNS($AO$1006:BJ1006),$AO$1006:$BQ$1006,0)), HYPERLINK("#",""), HYPERLINK(CONCATENATE("#Metadata!", ADDRESS(INDEX($AJ$2:$AJ$1001,MATCH(ROWS($AH$2:AH301),$AH$2:$AH$1001,0),0), INDEX($AO$1004:$BQ$1004,1,MATCH(COLUMNS($AO$1006:BJ1006),$AO$1006:$BQ$1006,0)))),"Fix")))</f>
        <v>#N/A</v>
      </c>
      <c r="X301" s="5" t="e">
        <f ca="1">IF(OR(INDEX($AI$2:$AI$1001,MATCH(ROWS($AH$2:AH301),$AH$2:$AH$1001,0),1)&gt;=100000,INDEX($AO$1005:$BQ$1005,1,MATCH(COLUMNS($AO$1006:BK1006),$AO$1006:$BQ$1006,0))&gt;=100000), " ",IF(INDEX($AO$2:$BQ$1001,MATCH(ROWS($AH$2:AH301),$AH$2:$AH$1001,0),MATCH(COLUMNS($AO$1006:BK1006),$AO$1006:$BQ$1006,0)), HYPERLINK("#",""), HYPERLINK(CONCATENATE("#Metadata!", ADDRESS(INDEX($AJ$2:$AJ$1001,MATCH(ROWS($AH$2:AH301),$AH$2:$AH$1001,0),0), INDEX($AO$1004:$BQ$1004,1,MATCH(COLUMNS($AO$1006:BK1006),$AO$1006:$BQ$1006,0)))),"Fix")))</f>
        <v>#N/A</v>
      </c>
      <c r="Y301" s="5" t="e">
        <f ca="1">IF(OR(INDEX($AI$2:$AI$1001,MATCH(ROWS($AH$2:AH301),$AH$2:$AH$1001,0),1)&gt;=100000,INDEX($AO$1005:$BQ$1005,1,MATCH(COLUMNS($AO$1006:BL1006),$AO$1006:$BQ$1006,0))&gt;=100000), " ",IF(INDEX($AO$2:$BQ$1001,MATCH(ROWS($AH$2:AH301),$AH$2:$AH$1001,0),MATCH(COLUMNS($AO$1006:BL1006),$AO$1006:$BQ$1006,0)), HYPERLINK("#",""), HYPERLINK(CONCATENATE("#Metadata!", ADDRESS(INDEX($AJ$2:$AJ$1001,MATCH(ROWS($AH$2:AH301),$AH$2:$AH$1001,0),0), INDEX($AO$1004:$BQ$1004,1,MATCH(COLUMNS($AO$1006:BL1006),$AO$1006:$BQ$1006,0)))),"Fix")))</f>
        <v>#N/A</v>
      </c>
      <c r="Z301" s="5" t="e">
        <f ca="1">IF(OR(INDEX($AI$2:$AI$1001,MATCH(ROWS($AH$2:AH301),$AH$2:$AH$1001,0),1)&gt;=100000,INDEX($AO$1005:$BQ$1005,1,MATCH(COLUMNS($AO$1006:BM1006),$AO$1006:$BQ$1006,0))&gt;=100000), " ",IF(INDEX($AO$2:$BQ$1001,MATCH(ROWS($AH$2:AH301),$AH$2:$AH$1001,0),MATCH(COLUMNS($AO$1006:BM1006),$AO$1006:$BQ$1006,0)), HYPERLINK("#",""), HYPERLINK(CONCATENATE("#Metadata!", ADDRESS(INDEX($AJ$2:$AJ$1001,MATCH(ROWS($AH$2:AH301),$AH$2:$AH$1001,0),0), INDEX($AO$1004:$BQ$1004,1,MATCH(COLUMNS($AO$1006:BM1006),$AO$1006:$BQ$1006,0)))),"Fix")))</f>
        <v>#N/A</v>
      </c>
      <c r="AA301" s="5" t="e">
        <f ca="1">IF(OR(INDEX($AI$2:$AI$1001,MATCH(ROWS($AH$2:AH301),$AH$2:$AH$1001,0),1)&gt;=100000,INDEX($AO$1005:$BQ$1005,1,MATCH(COLUMNS($AO$1006:BN1006),$AO$1006:$BQ$1006,0))&gt;=100000), " ",IF(INDEX($AO$2:$BQ$1001,MATCH(ROWS($AH$2:AH301),$AH$2:$AH$1001,0),MATCH(COLUMNS($AO$1006:BN1006),$AO$1006:$BQ$1006,0)), HYPERLINK("#",""), HYPERLINK(CONCATENATE("#Metadata!", ADDRESS(INDEX($AJ$2:$AJ$1001,MATCH(ROWS($AH$2:AH301),$AH$2:$AH$1001,0),0), INDEX($AO$1004:$BQ$1004,1,MATCH(COLUMNS($AO$1006:BN1006),$AO$1006:$BQ$1006,0)))),"Fix")))</f>
        <v>#N/A</v>
      </c>
      <c r="AB301" s="5" t="e">
        <f ca="1">IF(OR(INDEX($AI$2:$AI$1001,MATCH(ROWS($AH$2:AH301),$AH$2:$AH$1001,0),1)&gt;=100000,INDEX($AO$1005:$BQ$1005,1,MATCH(COLUMNS($AO$1006:BO1006),$AO$1006:$BQ$1006,0))&gt;=100000), " ",IF(INDEX($AO$2:$BQ$1001,MATCH(ROWS($AH$2:AH301),$AH$2:$AH$1001,0),MATCH(COLUMNS($AO$1006:BO1006),$AO$1006:$BQ$1006,0)), HYPERLINK("#",""), HYPERLINK(CONCATENATE("#Metadata!", ADDRESS(INDEX($AJ$2:$AJ$1001,MATCH(ROWS($AH$2:AH301),$AH$2:$AH$1001,0),0), INDEX($AO$1004:$BQ$1004,1,MATCH(COLUMNS($AO$1006:BO1006),$AO$1006:$BQ$1006,0)))),"Fix")))</f>
        <v>#N/A</v>
      </c>
      <c r="AC301" s="5" t="e">
        <f ca="1">IF(OR(INDEX($AI$2:$AI$1001,MATCH(ROWS($AH$2:AH301),$AH$2:$AH$1001,0),1)&gt;=100000,INDEX($AO$1005:$BQ$1005,1,MATCH(COLUMNS($AO$1006:BP1006),$AO$1006:$BQ$1006,0))&gt;=100000), " ",IF(INDEX($AO$2:$BQ$1001,MATCH(ROWS($AH$2:AH301),$AH$2:$AH$1001,0),MATCH(COLUMNS($AO$1006:BP1006),$AO$1006:$BQ$1006,0)), HYPERLINK("#",""), HYPERLINK(CONCATENATE("#Metadata!", ADDRESS(INDEX($AJ$2:$AJ$1001,MATCH(ROWS($AH$2:AH301),$AH$2:$AH$1001,0),0), INDEX($AO$1004:$BQ$1004,1,MATCH(COLUMNS($AO$1006:BP1006),$AO$1006:$BQ$1006,0)))),"Fix")))</f>
        <v>#N/A</v>
      </c>
      <c r="AD301" s="5" t="e">
        <f ca="1">IF(OR(INDEX($AI$2:$AI$1001,MATCH(ROWS($AH$2:AH301),$AH$2:$AH$1001,0),1)&gt;=100000,INDEX($AO$1005:$BQ$1005,1,MATCH(COLUMNS($AO$1006:BQ1006),$AO$1006:$BQ$1006,0))&gt;=100000), " ",IF(INDEX($AO$2:$BQ$1001,MATCH(ROWS($AH$2:AH301),$AH$2:$AH$1001,0),MATCH(COLUMNS($AO$1006:BQ1006),$AO$1006:$BQ$1006,0)), HYPERLINK("#",""), HYPERLINK(CONCATENATE("#Metadata!", ADDRESS(INDEX($AJ$2:$AJ$1001,MATCH(ROWS($AH$2:AH301),$AH$2:$AH$1001,0),0), INDEX($AO$1004:$BQ$1004,1,MATCH(COLUMNS($AO$1006:BQ1006),$AO$1006:$BQ$1006,0)))),"Fix")))</f>
        <v>#REF!</v>
      </c>
      <c r="AH301">
        <f ca="1"/>
        <v>298</v>
      </c>
      <c r="AI301">
        <v>100301</v>
      </c>
      <c r="AJ301">
        <v>301</v>
      </c>
      <c r="AK301" t="b">
        <f t="shared" si="4"/>
        <v>1</v>
      </c>
      <c r="AL301" t="b">
        <f>COUNTBLANK(Metadata!B301:AD301)=COLUMNS(Metadata!B301:AD301)</f>
        <v>1</v>
      </c>
      <c r="AM301" t="str">
        <v/>
      </c>
      <c r="AO301" t="b">
        <f ca="1">AND(IF(Metadata!B301="",FALSE,TRUE),COUNTIF(Metadata!B:B, Metadata!B301) = 1,NOT(ISERROR(SUMPRODUCT(SEARCH(MID(Metadata!B301,ROW(INDIRECT("1:"&amp;LEN(Metadata!B301))), 1),"0123456789abcdefghijklmnopqrstuvwxyzABCDEFGHIJKLMNOPQRSTUVWXYZ.")))))</f>
        <v>0</v>
      </c>
      <c r="AP301" t="b">
        <f>IF(Metadata!C301="",FALSE,TRUE)</f>
        <v>0</v>
      </c>
      <c r="AQ301" t="b">
        <f>IF(Metadata!D301="",FALSE,TRUE)</f>
        <v>0</v>
      </c>
      <c r="AR301" t="b">
        <f ca="1">OR(AND(IF(Metadata!E301="",FALSE,TRUE),OR(EXACT(Metadata!E301,"not collected"),EXACT(Metadata!E301,"not provided"),EXACT(Metadata!E301,"restricted access"))),AND(IF(Metadata!E301="",FALSE,TRUE),AND(AND(IFERROR(INT(LEFT(Metadata!E301,4))&gt;1900,FALSE),IFERROR(INT(LEFT(Metadata!E301,4))&lt;=YEAR(NOW()),FALSE)), OR(MID(Metadata!E301,5,1)="", AND(AND(MID(Metadata!E301,5,1)="-",IFERROR(INT(MID(Metadata!E301,6,1))&gt;=0,FALSE),IFERROR(INT(MID(Metadata!E301,6,1))&lt;=1,FALSE),NOT(MID(Metadata!E301,7,1)=""),IFERROR(INT(MID(Metadata!E301,6,2))&gt;=1,FALSE),IFERROR(INT(MID(Metadata!E301,6,2))&lt;=12,FALSE)), OR(MID(Metadata!E301,8,1)="", AND(AND(MID(Metadata!E301,8,1)="-",IFERROR(INT(MID(Metadata!E301,9,1))&gt;=0,FALSE),IFERROR(INT(MID(Metadata!E301,9,1))&lt;=3,FALSE),NOT(MID(Metadata!E301,10,1)=""),IFERROR(INT(MID(Metadata!E301,9,2))&gt;=1,FALSE),IFERROR(INT(MID(Metadata!E301,9,2))&lt;=31,FALSE)), OR(MID(Metadata!E301,11,1)="", AND(AND(MID(Metadata!E301,11,1)=" ",IFERROR(INT(MID(Metadata!E301,12,1))&gt;=0,FALSE),IFERROR(INT(MID(Metadata!E301,12,1))&lt;=2,FALSE),NOT(MID(Metadata!E301,13,1)=""),IFERROR(INT(MID(Metadata!E301,12,2))&gt;=0,FALSE),IFERROR(INT(MID(Metadata!E301,12,2))&lt;=23,FALSE)), OR(MID(Metadata!E301,14,1)="", AND(AND(MID(Metadata!E301,14,1)=":",IFERROR(INT(MID(Metadata!E301,15,1))&gt;=0,FALSE),IFERROR(INT(MID(Metadata!E301,15,1))&lt;=5,FALSE),NOT(MID(Metadata!E301,16,1)=""),IFERROR(INT(MID(Metadata!E301,15,2))&gt;=0,FALSE),IFERROR(INT(MID(Metadata!E301,15,2))&lt;=59,FALSE)), OR(MID(Metadata!E301,17,1)="", AND(AND(MID(Metadata!E301,17,1)=":",IFERROR(INT(MID(Metadata!E301,18,1))&gt;=0,FALSE),IFERROR(INT(MID(Metadata!E301,18,1))&lt;=5,FALSE),NOT(MID(Metadata!E301,19,1)=""),IFERROR(INT(MID(Metadata!E301,18,2))&gt;=0,FALSE),IFERROR(INT(MID(Metadata!E301,18,2))&lt;=59,FALSE)), LEN(Metadata!E301)&lt;=19)))))))))))))</f>
        <v>0</v>
      </c>
      <c r="AS301" t="b">
        <f>IF(Metadata!F301="",FALSE,TRUE)</f>
        <v>0</v>
      </c>
      <c r="AT301" t="b">
        <f>OR(AND(IF(Metadata!G301="",FALSE,TRUE),OR(EXACT(Metadata!G301,"not collected"),EXACT(Metadata!G301,"not provided"))),AND(IF(Metadata!G301="",FALSE,TRUE),OR(EXACT(Metadata!G301,"TRUE"),EXACT(Metadata!G301,"FALSE"))))</f>
        <v>0</v>
      </c>
      <c r="AU301" t="b">
        <f>OR(AND(IF(Metadata!H301="",FALSE,TRUE),OR(EXACT(Metadata!H301,"not collected"),EXACT(Metadata!H301,"not provided"),EXACT(Metadata!H301,"restricted access"))),AND(IF(Metadata!H301="",FALSE,ISNUMBER(VALUE(Metadata!H301))),Metadata!H301&gt;=-413))</f>
        <v>0</v>
      </c>
      <c r="AV301" t="b">
        <f>AND(IF(Metadata!I301="",FALSE,TRUE),EXACT(Metadata!I301,"meters"))</f>
        <v>0</v>
      </c>
      <c r="AW301" t="b">
        <f>AND(IF(Metadata!J301="",FALSE,TRUE),EXACT(Metadata!J301,"free-living"))</f>
        <v>0</v>
      </c>
      <c r="AX301" t="b">
        <f>AND(IF(Metadata!K301="",FALSE,TRUE),OR(EXACT(Metadata!K301,"saline"),EXACT(Metadata!K301,"non-saline")))</f>
        <v>0</v>
      </c>
      <c r="AY301" t="b">
        <f>AND(IF(Metadata!L301="",FALSE,TRUE),OR(EXACT(Metadata!L301,"sub-surface (non-saline)"),EXACT(Metadata!L301,"surface (non-saline)"),EXACT(Metadata!L301,"water (non-saline)"),EXACT(Metadata!L301,"soil (non-saline)"),EXACT(Metadata!L301,"aerosol (non-saline)"),EXACT(Metadata!L301,"sediment (non-saline)"),EXACT(Metadata!L301,"surface (saline)"),EXACT(Metadata!L301,"water (saline)"),EXACT(Metadata!L301,"hypersaline (saline)"),EXACT(Metadata!L301,"aerosol (saline)"),EXACT(Metadata!L301,"sediment (saline)")))</f>
        <v>0</v>
      </c>
      <c r="AZ301" t="b">
        <f>IF(Metadata!M301="",FALSE,TRUE)</f>
        <v>0</v>
      </c>
      <c r="BA301" t="b">
        <f>IF(Metadata!N301="",FALSE,TRUE)</f>
        <v>0</v>
      </c>
      <c r="BB301" t="b">
        <f>IF(Metadata!O301="",FALSE,TRUE)</f>
        <v>0</v>
      </c>
      <c r="BC301" t="b">
        <f>AND(IF(Metadata!P301="",FALSE,TRUE),OR(EXACT(Metadata!P301,"air"),EXACT(Metadata!P301,"microbial mat/biofilm"),EXACT(Metadata!P301,"misc environment"),EXACT(Metadata!P301,"sediment"),EXACT(Metadata!P301,"soil"),EXACT(Metadata!P301,"wastewater/sludge"),EXACT(Metadata!P301,"water")))</f>
        <v>0</v>
      </c>
      <c r="BD301" t="b">
        <f>IF(Metadata!Q301="",FALSE,TRUE)</f>
        <v>0</v>
      </c>
      <c r="BE301" t="b">
        <f>IF(Metadata!R301="",FALSE,TRUE)</f>
        <v>0</v>
      </c>
      <c r="BF301" t="b">
        <f>OR(AND(IF(Metadata!S301="",FALSE,TRUE),OR(EXACT(Metadata!S301,"not collected"),EXACT(Metadata!S301,"not provided"),EXACT(Metadata!S301,"restricted access"))),AND(IF(Metadata!S301="",FALSE,ISNUMBER(VALUE(Metadata!S301))),Metadata!S301&gt;=-90,Metadata!S301&lt;=90))</f>
        <v>0</v>
      </c>
      <c r="BG301" t="b">
        <f>AND(IF(Metadata!T301="",FALSE,TRUE),EXACT(Metadata!T301,"Decimal degrees"))</f>
        <v>0</v>
      </c>
      <c r="BH301" t="b">
        <f>OR(AND(IF(Metadata!U301="",FALSE,TRUE),OR(EXACT(Metadata!U301,"not applicable"),EXACT(Metadata!U301,"not collected"))),IF(Metadata!U301="",FALSE,TRUE))</f>
        <v>0</v>
      </c>
      <c r="BI301" t="b">
        <f>OR(AND(IF(Metadata!V301="",FALSE,TRUE),OR(EXACT(Metadata!V301,"not collected"),EXACT(Metadata!V301,"not provided"),EXACT(Metadata!V301,"restricted access"))),AND(IF(Metadata!V301="",FALSE,ISNUMBER(VALUE(Metadata!V301))),Metadata!V301&gt;=-180,Metadata!V301&lt;=180))</f>
        <v>0</v>
      </c>
      <c r="BJ301" t="b">
        <f>AND(IF(Metadata!W301="",FALSE,TRUE),EXACT(Metadata!W301,"Decimal degrees"))</f>
        <v>0</v>
      </c>
      <c r="BK301" t="b">
        <f>IF(Metadata!X301="",FALSE,TRUE)</f>
        <v>0</v>
      </c>
      <c r="BL301" t="b">
        <f>OR(AND(IF(Metadata!Y301="",FALSE,TRUE),OR(EXACT(Metadata!Y301,"not collected"),EXACT(Metadata!Y301,"not provided"),EXACT(Metadata!Y301,"restricted access"))),AND(IF(Metadata!Y301="",FALSE,TRUE),OR(EXACT(Metadata!Y301,"TRUE"),EXACT(Metadata!Y301,"FALSE"))))</f>
        <v>0</v>
      </c>
      <c r="BM301" t="b">
        <f>OR(AND(IF(Metadata!Z301="",FALSE,TRUE),EXACT(Metadata!Z301,"not applicable")),AND(IF(Metadata!Z301="",FALSE,TRUE),OR(EXACT(Metadata!Z301,"beer"),EXACT(Metadata!Z301,"cheese"),EXACT(Metadata!Z301,"fresh water"),EXACT(Metadata!Z301,"marine sediment"),EXACT(Metadata!Z301,"sea water"),EXACT(Metadata!Z301,"sediment"),EXACT(Metadata!Z301,"soil"),EXACT(Metadata!Z301,"waste water"))))</f>
        <v>0</v>
      </c>
      <c r="BN301" t="b">
        <f>AND(IF(Metadata!AA301="",FALSE,TRUE),EXACT(Metadata!AA301,"metagenome"))</f>
        <v>0</v>
      </c>
      <c r="BO301" t="b">
        <f>AND(IF(Metadata!AB301="",FALSE,TRUE),EXACT(Metadata!AB301,"256318"))</f>
        <v>0</v>
      </c>
      <c r="BP301" t="b">
        <f>IF(Metadata!AC301="",FALSE,TRUE)</f>
        <v>0</v>
      </c>
      <c r="BQ301" t="b">
        <f>IF(Metadata!AD301="",FALSE,TRUE)</f>
        <v>0</v>
      </c>
    </row>
    <row r="302" spans="1:69" x14ac:dyDescent="0.2">
      <c r="A302" s="4" t="e">
        <f ca="1">IF(B302=" "," ",HYPERLINK(CONCATENATE("#metadata!",ADDRESS(INDEX($AJ$2:$AJ$1001,MATCH(ROWS($AH$2:AH302),$AH$2:$AH$1001,0),0),2)),INDEX($AM$2:$AM$1001,MATCH(ROWS($AH$2:AH302),$AH$2:$AH$1001,0),0)))</f>
        <v>#N/A</v>
      </c>
      <c r="B302" s="5" t="e">
        <f ca="1">IF(OR(INDEX($AI$2:$AI$1001,MATCH(ROWS($AH$2:AH302),$AH$2:$AH$1001,0),1)&gt;=100000,INDEX($AO$1005:$BQ$1005,1,MATCH(COLUMNS($AO$1006:AO1006),$AO$1006:$BQ$1006,0))&gt;=100000), " ",IF(INDEX($AO$2:$BQ$1001,MATCH(ROWS($AH$2:AH302),$AH$2:$AH$1001,0),MATCH(COLUMNS($AO$1006:AO1006),$AO$1006:$BQ$1006,0)), HYPERLINK("#",""), HYPERLINK(CONCATENATE("#Metadata!", ADDRESS(INDEX($AJ$2:$AJ$1001,MATCH(ROWS($AH$2:AH302),$AH$2:$AH$1001,0),0), INDEX($AO$1004:$BQ$1004,1,MATCH(COLUMNS($AO$1006:AO1006),$AO$1006:$BQ$1006,0)))),"Fix")))</f>
        <v>#N/A</v>
      </c>
      <c r="C302" s="5" t="e">
        <f ca="1">IF(OR(INDEX($AI$2:$AI$1001,MATCH(ROWS($AH$2:AH302),$AH$2:$AH$1001,0),1)&gt;=100000,INDEX($AO$1005:$BQ$1005,1,MATCH(COLUMNS($AO$1006:AP1006),$AO$1006:$BQ$1006,0))&gt;=100000), " ",IF(INDEX($AO$2:$BQ$1001,MATCH(ROWS($AH$2:AH302),$AH$2:$AH$1001,0),MATCH(COLUMNS($AO$1006:AP1006),$AO$1006:$BQ$1006,0)), HYPERLINK("#",""), HYPERLINK(CONCATENATE("#Metadata!", ADDRESS(INDEX($AJ$2:$AJ$1001,MATCH(ROWS($AH$2:AH302),$AH$2:$AH$1001,0),0), INDEX($AO$1004:$BQ$1004,1,MATCH(COLUMNS($AO$1006:AP1006),$AO$1006:$BQ$1006,0)))),"Fix")))</f>
        <v>#N/A</v>
      </c>
      <c r="D302" s="5" t="e">
        <f ca="1">IF(OR(INDEX($AI$2:$AI$1001,MATCH(ROWS($AH$2:AH302),$AH$2:$AH$1001,0),1)&gt;=100000,INDEX($AO$1005:$BQ$1005,1,MATCH(COLUMNS($AO$1006:AQ1006),$AO$1006:$BQ$1006,0))&gt;=100000), " ",IF(INDEX($AO$2:$BQ$1001,MATCH(ROWS($AH$2:AH302),$AH$2:$AH$1001,0),MATCH(COLUMNS($AO$1006:AQ1006),$AO$1006:$BQ$1006,0)), HYPERLINK("#",""), HYPERLINK(CONCATENATE("#Metadata!", ADDRESS(INDEX($AJ$2:$AJ$1001,MATCH(ROWS($AH$2:AH302),$AH$2:$AH$1001,0),0), INDEX($AO$1004:$BQ$1004,1,MATCH(COLUMNS($AO$1006:AQ1006),$AO$1006:$BQ$1006,0)))),"Fix")))</f>
        <v>#N/A</v>
      </c>
      <c r="E302" s="5" t="e">
        <f ca="1">IF(OR(INDEX($AI$2:$AI$1001,MATCH(ROWS($AH$2:AH302),$AH$2:$AH$1001,0),1)&gt;=100000,INDEX($AO$1005:$BQ$1005,1,MATCH(COLUMNS($AO$1006:AR1006),$AO$1006:$BQ$1006,0))&gt;=100000), " ",IF(INDEX($AO$2:$BQ$1001,MATCH(ROWS($AH$2:AH302),$AH$2:$AH$1001,0),MATCH(COLUMNS($AO$1006:AR1006),$AO$1006:$BQ$1006,0)), HYPERLINK("#",""), HYPERLINK(CONCATENATE("#Metadata!", ADDRESS(INDEX($AJ$2:$AJ$1001,MATCH(ROWS($AH$2:AH302),$AH$2:$AH$1001,0),0), INDEX($AO$1004:$BQ$1004,1,MATCH(COLUMNS($AO$1006:AR1006),$AO$1006:$BQ$1006,0)))),"Fix")))</f>
        <v>#N/A</v>
      </c>
      <c r="F302" s="5" t="e">
        <f ca="1">IF(OR(INDEX($AI$2:$AI$1001,MATCH(ROWS($AH$2:AH302),$AH$2:$AH$1001,0),1)&gt;=100000,INDEX($AO$1005:$BQ$1005,1,MATCH(COLUMNS($AO$1006:AS1006),$AO$1006:$BQ$1006,0))&gt;=100000), " ",IF(INDEX($AO$2:$BQ$1001,MATCH(ROWS($AH$2:AH302),$AH$2:$AH$1001,0),MATCH(COLUMNS($AO$1006:AS1006),$AO$1006:$BQ$1006,0)), HYPERLINK("#",""), HYPERLINK(CONCATENATE("#Metadata!", ADDRESS(INDEX($AJ$2:$AJ$1001,MATCH(ROWS($AH$2:AH302),$AH$2:$AH$1001,0),0), INDEX($AO$1004:$BQ$1004,1,MATCH(COLUMNS($AO$1006:AS1006),$AO$1006:$BQ$1006,0)))),"Fix")))</f>
        <v>#N/A</v>
      </c>
      <c r="G302" s="5" t="e">
        <f ca="1">IF(OR(INDEX($AI$2:$AI$1001,MATCH(ROWS($AH$2:AH302),$AH$2:$AH$1001,0),1)&gt;=100000,INDEX($AO$1005:$BQ$1005,1,MATCH(COLUMNS($AO$1006:AT1006),$AO$1006:$BQ$1006,0))&gt;=100000), " ",IF(INDEX($AO$2:$BQ$1001,MATCH(ROWS($AH$2:AH302),$AH$2:$AH$1001,0),MATCH(COLUMNS($AO$1006:AT1006),$AO$1006:$BQ$1006,0)), HYPERLINK("#",""), HYPERLINK(CONCATENATE("#Metadata!", ADDRESS(INDEX($AJ$2:$AJ$1001,MATCH(ROWS($AH$2:AH302),$AH$2:$AH$1001,0),0), INDEX($AO$1004:$BQ$1004,1,MATCH(COLUMNS($AO$1006:AT1006),$AO$1006:$BQ$1006,0)))),"Fix")))</f>
        <v>#N/A</v>
      </c>
      <c r="H302" s="5" t="e">
        <f ca="1">IF(OR(INDEX($AI$2:$AI$1001,MATCH(ROWS($AH$2:AH302),$AH$2:$AH$1001,0),1)&gt;=100000,INDEX($AO$1005:$BQ$1005,1,MATCH(COLUMNS($AO$1006:AU1006),$AO$1006:$BQ$1006,0))&gt;=100000), " ",IF(INDEX($AO$2:$BQ$1001,MATCH(ROWS($AH$2:AH302),$AH$2:$AH$1001,0),MATCH(COLUMNS($AO$1006:AU1006),$AO$1006:$BQ$1006,0)), HYPERLINK("#",""), HYPERLINK(CONCATENATE("#Metadata!", ADDRESS(INDEX($AJ$2:$AJ$1001,MATCH(ROWS($AH$2:AH302),$AH$2:$AH$1001,0),0), INDEX($AO$1004:$BQ$1004,1,MATCH(COLUMNS($AO$1006:AU1006),$AO$1006:$BQ$1006,0)))),"Fix")))</f>
        <v>#N/A</v>
      </c>
      <c r="I302" s="5" t="e">
        <f ca="1">IF(OR(INDEX($AI$2:$AI$1001,MATCH(ROWS($AH$2:AH302),$AH$2:$AH$1001,0),1)&gt;=100000,INDEX($AO$1005:$BQ$1005,1,MATCH(COLUMNS($AO$1006:AV1006),$AO$1006:$BQ$1006,0))&gt;=100000), " ",IF(INDEX($AO$2:$BQ$1001,MATCH(ROWS($AH$2:AH302),$AH$2:$AH$1001,0),MATCH(COLUMNS($AO$1006:AV1006),$AO$1006:$BQ$1006,0)), HYPERLINK("#",""), HYPERLINK(CONCATENATE("#Metadata!", ADDRESS(INDEX($AJ$2:$AJ$1001,MATCH(ROWS($AH$2:AH302),$AH$2:$AH$1001,0),0), INDEX($AO$1004:$BQ$1004,1,MATCH(COLUMNS($AO$1006:AV1006),$AO$1006:$BQ$1006,0)))),"Fix")))</f>
        <v>#N/A</v>
      </c>
      <c r="J302" s="5" t="e">
        <f ca="1">IF(OR(INDEX($AI$2:$AI$1001,MATCH(ROWS($AH$2:AH302),$AH$2:$AH$1001,0),1)&gt;=100000,INDEX($AO$1005:$BQ$1005,1,MATCH(COLUMNS($AO$1006:AW1006),$AO$1006:$BQ$1006,0))&gt;=100000), " ",IF(INDEX($AO$2:$BQ$1001,MATCH(ROWS($AH$2:AH302),$AH$2:$AH$1001,0),MATCH(COLUMNS($AO$1006:AW1006),$AO$1006:$BQ$1006,0)), HYPERLINK("#",""), HYPERLINK(CONCATENATE("#Metadata!", ADDRESS(INDEX($AJ$2:$AJ$1001,MATCH(ROWS($AH$2:AH302),$AH$2:$AH$1001,0),0), INDEX($AO$1004:$BQ$1004,1,MATCH(COLUMNS($AO$1006:AW1006),$AO$1006:$BQ$1006,0)))),"Fix")))</f>
        <v>#N/A</v>
      </c>
      <c r="K302" s="5" t="e">
        <f ca="1">IF(OR(INDEX($AI$2:$AI$1001,MATCH(ROWS($AH$2:AH302),$AH$2:$AH$1001,0),1)&gt;=100000,INDEX($AO$1005:$BQ$1005,1,MATCH(COLUMNS($AO$1006:AX1006),$AO$1006:$BQ$1006,0))&gt;=100000), " ",IF(INDEX($AO$2:$BQ$1001,MATCH(ROWS($AH$2:AH302),$AH$2:$AH$1001,0),MATCH(COLUMNS($AO$1006:AX1006),$AO$1006:$BQ$1006,0)), HYPERLINK("#",""), HYPERLINK(CONCATENATE("#Metadata!", ADDRESS(INDEX($AJ$2:$AJ$1001,MATCH(ROWS($AH$2:AH302),$AH$2:$AH$1001,0),0), INDEX($AO$1004:$BQ$1004,1,MATCH(COLUMNS($AO$1006:AX1006),$AO$1006:$BQ$1006,0)))),"Fix")))</f>
        <v>#N/A</v>
      </c>
      <c r="L302" s="5" t="e">
        <f ca="1">IF(OR(INDEX($AI$2:$AI$1001,MATCH(ROWS($AH$2:AH302),$AH$2:$AH$1001,0),1)&gt;=100000,INDEX($AO$1005:$BQ$1005,1,MATCH(COLUMNS($AO$1006:AY1006),$AO$1006:$BQ$1006,0))&gt;=100000), " ",IF(INDEX($AO$2:$BQ$1001,MATCH(ROWS($AH$2:AH302),$AH$2:$AH$1001,0),MATCH(COLUMNS($AO$1006:AY1006),$AO$1006:$BQ$1006,0)), HYPERLINK("#",""), HYPERLINK(CONCATENATE("#Metadata!", ADDRESS(INDEX($AJ$2:$AJ$1001,MATCH(ROWS($AH$2:AH302),$AH$2:$AH$1001,0),0), INDEX($AO$1004:$BQ$1004,1,MATCH(COLUMNS($AO$1006:AY1006),$AO$1006:$BQ$1006,0)))),"Fix")))</f>
        <v>#N/A</v>
      </c>
      <c r="M302" s="5" t="e">
        <f ca="1">IF(OR(INDEX($AI$2:$AI$1001,MATCH(ROWS($AH$2:AH302),$AH$2:$AH$1001,0),1)&gt;=100000,INDEX($AO$1005:$BQ$1005,1,MATCH(COLUMNS($AO$1006:AZ1006),$AO$1006:$BQ$1006,0))&gt;=100000), " ",IF(INDEX($AO$2:$BQ$1001,MATCH(ROWS($AH$2:AH302),$AH$2:$AH$1001,0),MATCH(COLUMNS($AO$1006:AZ1006),$AO$1006:$BQ$1006,0)), HYPERLINK("#",""), HYPERLINK(CONCATENATE("#Metadata!", ADDRESS(INDEX($AJ$2:$AJ$1001,MATCH(ROWS($AH$2:AH302),$AH$2:$AH$1001,0),0), INDEX($AO$1004:$BQ$1004,1,MATCH(COLUMNS($AO$1006:AZ1006),$AO$1006:$BQ$1006,0)))),"Fix")))</f>
        <v>#N/A</v>
      </c>
      <c r="N302" s="5" t="e">
        <f ca="1">IF(OR(INDEX($AI$2:$AI$1001,MATCH(ROWS($AH$2:AH302),$AH$2:$AH$1001,0),1)&gt;=100000,INDEX($AO$1005:$BQ$1005,1,MATCH(COLUMNS($AO$1006:BA1006),$AO$1006:$BQ$1006,0))&gt;=100000), " ",IF(INDEX($AO$2:$BQ$1001,MATCH(ROWS($AH$2:AH302),$AH$2:$AH$1001,0),MATCH(COLUMNS($AO$1006:BA1006),$AO$1006:$BQ$1006,0)), HYPERLINK("#",""), HYPERLINK(CONCATENATE("#Metadata!", ADDRESS(INDEX($AJ$2:$AJ$1001,MATCH(ROWS($AH$2:AH302),$AH$2:$AH$1001,0),0), INDEX($AO$1004:$BQ$1004,1,MATCH(COLUMNS($AO$1006:BA1006),$AO$1006:$BQ$1006,0)))),"Fix")))</f>
        <v>#N/A</v>
      </c>
      <c r="O302" s="5" t="e">
        <f ca="1">IF(OR(INDEX($AI$2:$AI$1001,MATCH(ROWS($AH$2:AH302),$AH$2:$AH$1001,0),1)&gt;=100000,INDEX($AO$1005:$BQ$1005,1,MATCH(COLUMNS($AO$1006:BB1006),$AO$1006:$BQ$1006,0))&gt;=100000), " ",IF(INDEX($AO$2:$BQ$1001,MATCH(ROWS($AH$2:AH302),$AH$2:$AH$1001,0),MATCH(COLUMNS($AO$1006:BB1006),$AO$1006:$BQ$1006,0)), HYPERLINK("#",""), HYPERLINK(CONCATENATE("#Metadata!", ADDRESS(INDEX($AJ$2:$AJ$1001,MATCH(ROWS($AH$2:AH302),$AH$2:$AH$1001,0),0), INDEX($AO$1004:$BQ$1004,1,MATCH(COLUMNS($AO$1006:BB1006),$AO$1006:$BQ$1006,0)))),"Fix")))</f>
        <v>#N/A</v>
      </c>
      <c r="P302" s="5" t="e">
        <f ca="1">IF(OR(INDEX($AI$2:$AI$1001,MATCH(ROWS($AH$2:AH302),$AH$2:$AH$1001,0),1)&gt;=100000,INDEX($AO$1005:$BQ$1005,1,MATCH(COLUMNS($AO$1006:BC1006),$AO$1006:$BQ$1006,0))&gt;=100000), " ",IF(INDEX($AO$2:$BQ$1001,MATCH(ROWS($AH$2:AH302),$AH$2:$AH$1001,0),MATCH(COLUMNS($AO$1006:BC1006),$AO$1006:$BQ$1006,0)), HYPERLINK("#",""), HYPERLINK(CONCATENATE("#Metadata!", ADDRESS(INDEX($AJ$2:$AJ$1001,MATCH(ROWS($AH$2:AH302),$AH$2:$AH$1001,0),0), INDEX($AO$1004:$BQ$1004,1,MATCH(COLUMNS($AO$1006:BC1006),$AO$1006:$BQ$1006,0)))),"Fix")))</f>
        <v>#N/A</v>
      </c>
      <c r="Q302" s="5" t="e">
        <f ca="1">IF(OR(INDEX($AI$2:$AI$1001,MATCH(ROWS($AH$2:AH302),$AH$2:$AH$1001,0),1)&gt;=100000,INDEX($AO$1005:$BQ$1005,1,MATCH(COLUMNS($AO$1006:BD1006),$AO$1006:$BQ$1006,0))&gt;=100000), " ",IF(INDEX($AO$2:$BQ$1001,MATCH(ROWS($AH$2:AH302),$AH$2:$AH$1001,0),MATCH(COLUMNS($AO$1006:BD1006),$AO$1006:$BQ$1006,0)), HYPERLINK("#",""), HYPERLINK(CONCATENATE("#Metadata!", ADDRESS(INDEX($AJ$2:$AJ$1001,MATCH(ROWS($AH$2:AH302),$AH$2:$AH$1001,0),0), INDEX($AO$1004:$BQ$1004,1,MATCH(COLUMNS($AO$1006:BD1006),$AO$1006:$BQ$1006,0)))),"Fix")))</f>
        <v>#N/A</v>
      </c>
      <c r="R302" s="5" t="e">
        <f ca="1">IF(OR(INDEX($AI$2:$AI$1001,MATCH(ROWS($AH$2:AH302),$AH$2:$AH$1001,0),1)&gt;=100000,INDEX($AO$1005:$BQ$1005,1,MATCH(COLUMNS($AO$1006:BE1006),$AO$1006:$BQ$1006,0))&gt;=100000), " ",IF(INDEX($AO$2:$BQ$1001,MATCH(ROWS($AH$2:AH302),$AH$2:$AH$1001,0),MATCH(COLUMNS($AO$1006:BE1006),$AO$1006:$BQ$1006,0)), HYPERLINK("#",""), HYPERLINK(CONCATENATE("#Metadata!", ADDRESS(INDEX($AJ$2:$AJ$1001,MATCH(ROWS($AH$2:AH302),$AH$2:$AH$1001,0),0), INDEX($AO$1004:$BQ$1004,1,MATCH(COLUMNS($AO$1006:BE1006),$AO$1006:$BQ$1006,0)))),"Fix")))</f>
        <v>#N/A</v>
      </c>
      <c r="S302" s="5" t="e">
        <f ca="1">IF(OR(INDEX($AI$2:$AI$1001,MATCH(ROWS($AH$2:AH302),$AH$2:$AH$1001,0),1)&gt;=100000,INDEX($AO$1005:$BQ$1005,1,MATCH(COLUMNS($AO$1006:BF1006),$AO$1006:$BQ$1006,0))&gt;=100000), " ",IF(INDEX($AO$2:$BQ$1001,MATCH(ROWS($AH$2:AH302),$AH$2:$AH$1001,0),MATCH(COLUMNS($AO$1006:BF1006),$AO$1006:$BQ$1006,0)), HYPERLINK("#",""), HYPERLINK(CONCATENATE("#Metadata!", ADDRESS(INDEX($AJ$2:$AJ$1001,MATCH(ROWS($AH$2:AH302),$AH$2:$AH$1001,0),0), INDEX($AO$1004:$BQ$1004,1,MATCH(COLUMNS($AO$1006:BF1006),$AO$1006:$BQ$1006,0)))),"Fix")))</f>
        <v>#N/A</v>
      </c>
      <c r="T302" s="5" t="e">
        <f ca="1">IF(OR(INDEX($AI$2:$AI$1001,MATCH(ROWS($AH$2:AH302),$AH$2:$AH$1001,0),1)&gt;=100000,INDEX($AO$1005:$BQ$1005,1,MATCH(COLUMNS($AO$1006:BG1006),$AO$1006:$BQ$1006,0))&gt;=100000), " ",IF(INDEX($AO$2:$BQ$1001,MATCH(ROWS($AH$2:AH302),$AH$2:$AH$1001,0),MATCH(COLUMNS($AO$1006:BG1006),$AO$1006:$BQ$1006,0)), HYPERLINK("#",""), HYPERLINK(CONCATENATE("#Metadata!", ADDRESS(INDEX($AJ$2:$AJ$1001,MATCH(ROWS($AH$2:AH302),$AH$2:$AH$1001,0),0), INDEX($AO$1004:$BQ$1004,1,MATCH(COLUMNS($AO$1006:BG1006),$AO$1006:$BQ$1006,0)))),"Fix")))</f>
        <v>#N/A</v>
      </c>
      <c r="U302" s="5" t="e">
        <f ca="1">IF(OR(INDEX($AI$2:$AI$1001,MATCH(ROWS($AH$2:AH302),$AH$2:$AH$1001,0),1)&gt;=100000,INDEX($AO$1005:$BQ$1005,1,MATCH(COLUMNS($AO$1006:BH1006),$AO$1006:$BQ$1006,0))&gt;=100000), " ",IF(INDEX($AO$2:$BQ$1001,MATCH(ROWS($AH$2:AH302),$AH$2:$AH$1001,0),MATCH(COLUMNS($AO$1006:BH1006),$AO$1006:$BQ$1006,0)), HYPERLINK("#",""), HYPERLINK(CONCATENATE("#Metadata!", ADDRESS(INDEX($AJ$2:$AJ$1001,MATCH(ROWS($AH$2:AH302),$AH$2:$AH$1001,0),0), INDEX($AO$1004:$BQ$1004,1,MATCH(COLUMNS($AO$1006:BH1006),$AO$1006:$BQ$1006,0)))),"Fix")))</f>
        <v>#N/A</v>
      </c>
      <c r="V302" s="5" t="e">
        <f ca="1">IF(OR(INDEX($AI$2:$AI$1001,MATCH(ROWS($AH$2:AH302),$AH$2:$AH$1001,0),1)&gt;=100000,INDEX($AO$1005:$BQ$1005,1,MATCH(COLUMNS($AO$1006:BI1006),$AO$1006:$BQ$1006,0))&gt;=100000), " ",IF(INDEX($AO$2:$BQ$1001,MATCH(ROWS($AH$2:AH302),$AH$2:$AH$1001,0),MATCH(COLUMNS($AO$1006:BI1006),$AO$1006:$BQ$1006,0)), HYPERLINK("#",""), HYPERLINK(CONCATENATE("#Metadata!", ADDRESS(INDEX($AJ$2:$AJ$1001,MATCH(ROWS($AH$2:AH302),$AH$2:$AH$1001,0),0), INDEX($AO$1004:$BQ$1004,1,MATCH(COLUMNS($AO$1006:BI1006),$AO$1006:$BQ$1006,0)))),"Fix")))</f>
        <v>#N/A</v>
      </c>
      <c r="W302" s="5" t="e">
        <f ca="1">IF(OR(INDEX($AI$2:$AI$1001,MATCH(ROWS($AH$2:AH302),$AH$2:$AH$1001,0),1)&gt;=100000,INDEX($AO$1005:$BQ$1005,1,MATCH(COLUMNS($AO$1006:BJ1006),$AO$1006:$BQ$1006,0))&gt;=100000), " ",IF(INDEX($AO$2:$BQ$1001,MATCH(ROWS($AH$2:AH302),$AH$2:$AH$1001,0),MATCH(COLUMNS($AO$1006:BJ1006),$AO$1006:$BQ$1006,0)), HYPERLINK("#",""), HYPERLINK(CONCATENATE("#Metadata!", ADDRESS(INDEX($AJ$2:$AJ$1001,MATCH(ROWS($AH$2:AH302),$AH$2:$AH$1001,0),0), INDEX($AO$1004:$BQ$1004,1,MATCH(COLUMNS($AO$1006:BJ1006),$AO$1006:$BQ$1006,0)))),"Fix")))</f>
        <v>#N/A</v>
      </c>
      <c r="X302" s="5" t="e">
        <f ca="1">IF(OR(INDEX($AI$2:$AI$1001,MATCH(ROWS($AH$2:AH302),$AH$2:$AH$1001,0),1)&gt;=100000,INDEX($AO$1005:$BQ$1005,1,MATCH(COLUMNS($AO$1006:BK1006),$AO$1006:$BQ$1006,0))&gt;=100000), " ",IF(INDEX($AO$2:$BQ$1001,MATCH(ROWS($AH$2:AH302),$AH$2:$AH$1001,0),MATCH(COLUMNS($AO$1006:BK1006),$AO$1006:$BQ$1006,0)), HYPERLINK("#",""), HYPERLINK(CONCATENATE("#Metadata!", ADDRESS(INDEX($AJ$2:$AJ$1001,MATCH(ROWS($AH$2:AH302),$AH$2:$AH$1001,0),0), INDEX($AO$1004:$BQ$1004,1,MATCH(COLUMNS($AO$1006:BK1006),$AO$1006:$BQ$1006,0)))),"Fix")))</f>
        <v>#N/A</v>
      </c>
      <c r="Y302" s="5" t="e">
        <f ca="1">IF(OR(INDEX($AI$2:$AI$1001,MATCH(ROWS($AH$2:AH302),$AH$2:$AH$1001,0),1)&gt;=100000,INDEX($AO$1005:$BQ$1005,1,MATCH(COLUMNS($AO$1006:BL1006),$AO$1006:$BQ$1006,0))&gt;=100000), " ",IF(INDEX($AO$2:$BQ$1001,MATCH(ROWS($AH$2:AH302),$AH$2:$AH$1001,0),MATCH(COLUMNS($AO$1006:BL1006),$AO$1006:$BQ$1006,0)), HYPERLINK("#",""), HYPERLINK(CONCATENATE("#Metadata!", ADDRESS(INDEX($AJ$2:$AJ$1001,MATCH(ROWS($AH$2:AH302),$AH$2:$AH$1001,0),0), INDEX($AO$1004:$BQ$1004,1,MATCH(COLUMNS($AO$1006:BL1006),$AO$1006:$BQ$1006,0)))),"Fix")))</f>
        <v>#N/A</v>
      </c>
      <c r="Z302" s="5" t="e">
        <f ca="1">IF(OR(INDEX($AI$2:$AI$1001,MATCH(ROWS($AH$2:AH302),$AH$2:$AH$1001,0),1)&gt;=100000,INDEX($AO$1005:$BQ$1005,1,MATCH(COLUMNS($AO$1006:BM1006),$AO$1006:$BQ$1006,0))&gt;=100000), " ",IF(INDEX($AO$2:$BQ$1001,MATCH(ROWS($AH$2:AH302),$AH$2:$AH$1001,0),MATCH(COLUMNS($AO$1006:BM1006),$AO$1006:$BQ$1006,0)), HYPERLINK("#",""), HYPERLINK(CONCATENATE("#Metadata!", ADDRESS(INDEX($AJ$2:$AJ$1001,MATCH(ROWS($AH$2:AH302),$AH$2:$AH$1001,0),0), INDEX($AO$1004:$BQ$1004,1,MATCH(COLUMNS($AO$1006:BM1006),$AO$1006:$BQ$1006,0)))),"Fix")))</f>
        <v>#N/A</v>
      </c>
      <c r="AA302" s="5" t="e">
        <f ca="1">IF(OR(INDEX($AI$2:$AI$1001,MATCH(ROWS($AH$2:AH302),$AH$2:$AH$1001,0),1)&gt;=100000,INDEX($AO$1005:$BQ$1005,1,MATCH(COLUMNS($AO$1006:BN1006),$AO$1006:$BQ$1006,0))&gt;=100000), " ",IF(INDEX($AO$2:$BQ$1001,MATCH(ROWS($AH$2:AH302),$AH$2:$AH$1001,0),MATCH(COLUMNS($AO$1006:BN1006),$AO$1006:$BQ$1006,0)), HYPERLINK("#",""), HYPERLINK(CONCATENATE("#Metadata!", ADDRESS(INDEX($AJ$2:$AJ$1001,MATCH(ROWS($AH$2:AH302),$AH$2:$AH$1001,0),0), INDEX($AO$1004:$BQ$1004,1,MATCH(COLUMNS($AO$1006:BN1006),$AO$1006:$BQ$1006,0)))),"Fix")))</f>
        <v>#N/A</v>
      </c>
      <c r="AB302" s="5" t="e">
        <f ca="1">IF(OR(INDEX($AI$2:$AI$1001,MATCH(ROWS($AH$2:AH302),$AH$2:$AH$1001,0),1)&gt;=100000,INDEX($AO$1005:$BQ$1005,1,MATCH(COLUMNS($AO$1006:BO1006),$AO$1006:$BQ$1006,0))&gt;=100000), " ",IF(INDEX($AO$2:$BQ$1001,MATCH(ROWS($AH$2:AH302),$AH$2:$AH$1001,0),MATCH(COLUMNS($AO$1006:BO1006),$AO$1006:$BQ$1006,0)), HYPERLINK("#",""), HYPERLINK(CONCATENATE("#Metadata!", ADDRESS(INDEX($AJ$2:$AJ$1001,MATCH(ROWS($AH$2:AH302),$AH$2:$AH$1001,0),0), INDEX($AO$1004:$BQ$1004,1,MATCH(COLUMNS($AO$1006:BO1006),$AO$1006:$BQ$1006,0)))),"Fix")))</f>
        <v>#N/A</v>
      </c>
      <c r="AC302" s="5" t="e">
        <f ca="1">IF(OR(INDEX($AI$2:$AI$1001,MATCH(ROWS($AH$2:AH302),$AH$2:$AH$1001,0),1)&gt;=100000,INDEX($AO$1005:$BQ$1005,1,MATCH(COLUMNS($AO$1006:BP1006),$AO$1006:$BQ$1006,0))&gt;=100000), " ",IF(INDEX($AO$2:$BQ$1001,MATCH(ROWS($AH$2:AH302),$AH$2:$AH$1001,0),MATCH(COLUMNS($AO$1006:BP1006),$AO$1006:$BQ$1006,0)), HYPERLINK("#",""), HYPERLINK(CONCATENATE("#Metadata!", ADDRESS(INDEX($AJ$2:$AJ$1001,MATCH(ROWS($AH$2:AH302),$AH$2:$AH$1001,0),0), INDEX($AO$1004:$BQ$1004,1,MATCH(COLUMNS($AO$1006:BP1006),$AO$1006:$BQ$1006,0)))),"Fix")))</f>
        <v>#N/A</v>
      </c>
      <c r="AD302" s="5" t="e">
        <f ca="1">IF(OR(INDEX($AI$2:$AI$1001,MATCH(ROWS($AH$2:AH302),$AH$2:$AH$1001,0),1)&gt;=100000,INDEX($AO$1005:$BQ$1005,1,MATCH(COLUMNS($AO$1006:BQ1006),$AO$1006:$BQ$1006,0))&gt;=100000), " ",IF(INDEX($AO$2:$BQ$1001,MATCH(ROWS($AH$2:AH302),$AH$2:$AH$1001,0),MATCH(COLUMNS($AO$1006:BQ1006),$AO$1006:$BQ$1006,0)), HYPERLINK("#",""), HYPERLINK(CONCATENATE("#Metadata!", ADDRESS(INDEX($AJ$2:$AJ$1001,MATCH(ROWS($AH$2:AH302),$AH$2:$AH$1001,0),0), INDEX($AO$1004:$BQ$1004,1,MATCH(COLUMNS($AO$1006:BQ1006),$AO$1006:$BQ$1006,0)))),"Fix")))</f>
        <v>#REF!</v>
      </c>
      <c r="AH302">
        <f ca="1"/>
        <v>299</v>
      </c>
      <c r="AI302">
        <v>100302</v>
      </c>
      <c r="AJ302">
        <v>302</v>
      </c>
      <c r="AK302" t="b">
        <f t="shared" si="4"/>
        <v>1</v>
      </c>
      <c r="AL302" t="b">
        <f>COUNTBLANK(Metadata!B302:AD302)=COLUMNS(Metadata!B302:AD302)</f>
        <v>1</v>
      </c>
      <c r="AM302" t="str">
        <v/>
      </c>
      <c r="AO302" t="b">
        <f ca="1">AND(IF(Metadata!B302="",FALSE,TRUE),COUNTIF(Metadata!B:B, Metadata!B302) = 1,NOT(ISERROR(SUMPRODUCT(SEARCH(MID(Metadata!B302,ROW(INDIRECT("1:"&amp;LEN(Metadata!B302))), 1),"0123456789abcdefghijklmnopqrstuvwxyzABCDEFGHIJKLMNOPQRSTUVWXYZ.")))))</f>
        <v>0</v>
      </c>
      <c r="AP302" t="b">
        <f>IF(Metadata!C302="",FALSE,TRUE)</f>
        <v>0</v>
      </c>
      <c r="AQ302" t="b">
        <f>IF(Metadata!D302="",FALSE,TRUE)</f>
        <v>0</v>
      </c>
      <c r="AR302" t="b">
        <f ca="1">OR(AND(IF(Metadata!E302="",FALSE,TRUE),OR(EXACT(Metadata!E302,"not collected"),EXACT(Metadata!E302,"not provided"),EXACT(Metadata!E302,"restricted access"))),AND(IF(Metadata!E302="",FALSE,TRUE),AND(AND(IFERROR(INT(LEFT(Metadata!E302,4))&gt;1900,FALSE),IFERROR(INT(LEFT(Metadata!E302,4))&lt;=YEAR(NOW()),FALSE)), OR(MID(Metadata!E302,5,1)="", AND(AND(MID(Metadata!E302,5,1)="-",IFERROR(INT(MID(Metadata!E302,6,1))&gt;=0,FALSE),IFERROR(INT(MID(Metadata!E302,6,1))&lt;=1,FALSE),NOT(MID(Metadata!E302,7,1)=""),IFERROR(INT(MID(Metadata!E302,6,2))&gt;=1,FALSE),IFERROR(INT(MID(Metadata!E302,6,2))&lt;=12,FALSE)), OR(MID(Metadata!E302,8,1)="", AND(AND(MID(Metadata!E302,8,1)="-",IFERROR(INT(MID(Metadata!E302,9,1))&gt;=0,FALSE),IFERROR(INT(MID(Metadata!E302,9,1))&lt;=3,FALSE),NOT(MID(Metadata!E302,10,1)=""),IFERROR(INT(MID(Metadata!E302,9,2))&gt;=1,FALSE),IFERROR(INT(MID(Metadata!E302,9,2))&lt;=31,FALSE)), OR(MID(Metadata!E302,11,1)="", AND(AND(MID(Metadata!E302,11,1)=" ",IFERROR(INT(MID(Metadata!E302,12,1))&gt;=0,FALSE),IFERROR(INT(MID(Metadata!E302,12,1))&lt;=2,FALSE),NOT(MID(Metadata!E302,13,1)=""),IFERROR(INT(MID(Metadata!E302,12,2))&gt;=0,FALSE),IFERROR(INT(MID(Metadata!E302,12,2))&lt;=23,FALSE)), OR(MID(Metadata!E302,14,1)="", AND(AND(MID(Metadata!E302,14,1)=":",IFERROR(INT(MID(Metadata!E302,15,1))&gt;=0,FALSE),IFERROR(INT(MID(Metadata!E302,15,1))&lt;=5,FALSE),NOT(MID(Metadata!E302,16,1)=""),IFERROR(INT(MID(Metadata!E302,15,2))&gt;=0,FALSE),IFERROR(INT(MID(Metadata!E302,15,2))&lt;=59,FALSE)), OR(MID(Metadata!E302,17,1)="", AND(AND(MID(Metadata!E302,17,1)=":",IFERROR(INT(MID(Metadata!E302,18,1))&gt;=0,FALSE),IFERROR(INT(MID(Metadata!E302,18,1))&lt;=5,FALSE),NOT(MID(Metadata!E302,19,1)=""),IFERROR(INT(MID(Metadata!E302,18,2))&gt;=0,FALSE),IFERROR(INT(MID(Metadata!E302,18,2))&lt;=59,FALSE)), LEN(Metadata!E302)&lt;=19)))))))))))))</f>
        <v>0</v>
      </c>
      <c r="AS302" t="b">
        <f>IF(Metadata!F302="",FALSE,TRUE)</f>
        <v>0</v>
      </c>
      <c r="AT302" t="b">
        <f>OR(AND(IF(Metadata!G302="",FALSE,TRUE),OR(EXACT(Metadata!G302,"not collected"),EXACT(Metadata!G302,"not provided"))),AND(IF(Metadata!G302="",FALSE,TRUE),OR(EXACT(Metadata!G302,"TRUE"),EXACT(Metadata!G302,"FALSE"))))</f>
        <v>0</v>
      </c>
      <c r="AU302" t="b">
        <f>OR(AND(IF(Metadata!H302="",FALSE,TRUE),OR(EXACT(Metadata!H302,"not collected"),EXACT(Metadata!H302,"not provided"),EXACT(Metadata!H302,"restricted access"))),AND(IF(Metadata!H302="",FALSE,ISNUMBER(VALUE(Metadata!H302))),Metadata!H302&gt;=-413))</f>
        <v>0</v>
      </c>
      <c r="AV302" t="b">
        <f>AND(IF(Metadata!I302="",FALSE,TRUE),EXACT(Metadata!I302,"meters"))</f>
        <v>0</v>
      </c>
      <c r="AW302" t="b">
        <f>AND(IF(Metadata!J302="",FALSE,TRUE),EXACT(Metadata!J302,"free-living"))</f>
        <v>0</v>
      </c>
      <c r="AX302" t="b">
        <f>AND(IF(Metadata!K302="",FALSE,TRUE),OR(EXACT(Metadata!K302,"saline"),EXACT(Metadata!K302,"non-saline")))</f>
        <v>0</v>
      </c>
      <c r="AY302" t="b">
        <f>AND(IF(Metadata!L302="",FALSE,TRUE),OR(EXACT(Metadata!L302,"sub-surface (non-saline)"),EXACT(Metadata!L302,"surface (non-saline)"),EXACT(Metadata!L302,"water (non-saline)"),EXACT(Metadata!L302,"soil (non-saline)"),EXACT(Metadata!L302,"aerosol (non-saline)"),EXACT(Metadata!L302,"sediment (non-saline)"),EXACT(Metadata!L302,"surface (saline)"),EXACT(Metadata!L302,"water (saline)"),EXACT(Metadata!L302,"hypersaline (saline)"),EXACT(Metadata!L302,"aerosol (saline)"),EXACT(Metadata!L302,"sediment (saline)")))</f>
        <v>0</v>
      </c>
      <c r="AZ302" t="b">
        <f>IF(Metadata!M302="",FALSE,TRUE)</f>
        <v>0</v>
      </c>
      <c r="BA302" t="b">
        <f>IF(Metadata!N302="",FALSE,TRUE)</f>
        <v>0</v>
      </c>
      <c r="BB302" t="b">
        <f>IF(Metadata!O302="",FALSE,TRUE)</f>
        <v>0</v>
      </c>
      <c r="BC302" t="b">
        <f>AND(IF(Metadata!P302="",FALSE,TRUE),OR(EXACT(Metadata!P302,"air"),EXACT(Metadata!P302,"microbial mat/biofilm"),EXACT(Metadata!P302,"misc environment"),EXACT(Metadata!P302,"sediment"),EXACT(Metadata!P302,"soil"),EXACT(Metadata!P302,"wastewater/sludge"),EXACT(Metadata!P302,"water")))</f>
        <v>0</v>
      </c>
      <c r="BD302" t="b">
        <f>IF(Metadata!Q302="",FALSE,TRUE)</f>
        <v>0</v>
      </c>
      <c r="BE302" t="b">
        <f>IF(Metadata!R302="",FALSE,TRUE)</f>
        <v>0</v>
      </c>
      <c r="BF302" t="b">
        <f>OR(AND(IF(Metadata!S302="",FALSE,TRUE),OR(EXACT(Metadata!S302,"not collected"),EXACT(Metadata!S302,"not provided"),EXACT(Metadata!S302,"restricted access"))),AND(IF(Metadata!S302="",FALSE,ISNUMBER(VALUE(Metadata!S302))),Metadata!S302&gt;=-90,Metadata!S302&lt;=90))</f>
        <v>0</v>
      </c>
      <c r="BG302" t="b">
        <f>AND(IF(Metadata!T302="",FALSE,TRUE),EXACT(Metadata!T302,"Decimal degrees"))</f>
        <v>0</v>
      </c>
      <c r="BH302" t="b">
        <f>OR(AND(IF(Metadata!U302="",FALSE,TRUE),OR(EXACT(Metadata!U302,"not applicable"),EXACT(Metadata!U302,"not collected"))),IF(Metadata!U302="",FALSE,TRUE))</f>
        <v>0</v>
      </c>
      <c r="BI302" t="b">
        <f>OR(AND(IF(Metadata!V302="",FALSE,TRUE),OR(EXACT(Metadata!V302,"not collected"),EXACT(Metadata!V302,"not provided"),EXACT(Metadata!V302,"restricted access"))),AND(IF(Metadata!V302="",FALSE,ISNUMBER(VALUE(Metadata!V302))),Metadata!V302&gt;=-180,Metadata!V302&lt;=180))</f>
        <v>0</v>
      </c>
      <c r="BJ302" t="b">
        <f>AND(IF(Metadata!W302="",FALSE,TRUE),EXACT(Metadata!W302,"Decimal degrees"))</f>
        <v>0</v>
      </c>
      <c r="BK302" t="b">
        <f>IF(Metadata!X302="",FALSE,TRUE)</f>
        <v>0</v>
      </c>
      <c r="BL302" t="b">
        <f>OR(AND(IF(Metadata!Y302="",FALSE,TRUE),OR(EXACT(Metadata!Y302,"not collected"),EXACT(Metadata!Y302,"not provided"),EXACT(Metadata!Y302,"restricted access"))),AND(IF(Metadata!Y302="",FALSE,TRUE),OR(EXACT(Metadata!Y302,"TRUE"),EXACT(Metadata!Y302,"FALSE"))))</f>
        <v>0</v>
      </c>
      <c r="BM302" t="b">
        <f>OR(AND(IF(Metadata!Z302="",FALSE,TRUE),EXACT(Metadata!Z302,"not applicable")),AND(IF(Metadata!Z302="",FALSE,TRUE),OR(EXACT(Metadata!Z302,"beer"),EXACT(Metadata!Z302,"cheese"),EXACT(Metadata!Z302,"fresh water"),EXACT(Metadata!Z302,"marine sediment"),EXACT(Metadata!Z302,"sea water"),EXACT(Metadata!Z302,"sediment"),EXACT(Metadata!Z302,"soil"),EXACT(Metadata!Z302,"waste water"))))</f>
        <v>0</v>
      </c>
      <c r="BN302" t="b">
        <f>AND(IF(Metadata!AA302="",FALSE,TRUE),EXACT(Metadata!AA302,"metagenome"))</f>
        <v>0</v>
      </c>
      <c r="BO302" t="b">
        <f>AND(IF(Metadata!AB302="",FALSE,TRUE),EXACT(Metadata!AB302,"256318"))</f>
        <v>0</v>
      </c>
      <c r="BP302" t="b">
        <f>IF(Metadata!AC302="",FALSE,TRUE)</f>
        <v>0</v>
      </c>
      <c r="BQ302" t="b">
        <f>IF(Metadata!AD302="",FALSE,TRUE)</f>
        <v>0</v>
      </c>
    </row>
    <row r="303" spans="1:69" x14ac:dyDescent="0.2">
      <c r="A303" s="4" t="e">
        <f ca="1">IF(B303=" "," ",HYPERLINK(CONCATENATE("#metadata!",ADDRESS(INDEX($AJ$2:$AJ$1001,MATCH(ROWS($AH$2:AH303),$AH$2:$AH$1001,0),0),2)),INDEX($AM$2:$AM$1001,MATCH(ROWS($AH$2:AH303),$AH$2:$AH$1001,0),0)))</f>
        <v>#N/A</v>
      </c>
      <c r="B303" s="5" t="e">
        <f ca="1">IF(OR(INDEX($AI$2:$AI$1001,MATCH(ROWS($AH$2:AH303),$AH$2:$AH$1001,0),1)&gt;=100000,INDEX($AO$1005:$BQ$1005,1,MATCH(COLUMNS($AO$1006:AO1006),$AO$1006:$BQ$1006,0))&gt;=100000), " ",IF(INDEX($AO$2:$BQ$1001,MATCH(ROWS($AH$2:AH303),$AH$2:$AH$1001,0),MATCH(COLUMNS($AO$1006:AO1006),$AO$1006:$BQ$1006,0)), HYPERLINK("#",""), HYPERLINK(CONCATENATE("#Metadata!", ADDRESS(INDEX($AJ$2:$AJ$1001,MATCH(ROWS($AH$2:AH303),$AH$2:$AH$1001,0),0), INDEX($AO$1004:$BQ$1004,1,MATCH(COLUMNS($AO$1006:AO1006),$AO$1006:$BQ$1006,0)))),"Fix")))</f>
        <v>#N/A</v>
      </c>
      <c r="C303" s="5" t="e">
        <f ca="1">IF(OR(INDEX($AI$2:$AI$1001,MATCH(ROWS($AH$2:AH303),$AH$2:$AH$1001,0),1)&gt;=100000,INDEX($AO$1005:$BQ$1005,1,MATCH(COLUMNS($AO$1006:AP1006),$AO$1006:$BQ$1006,0))&gt;=100000), " ",IF(INDEX($AO$2:$BQ$1001,MATCH(ROWS($AH$2:AH303),$AH$2:$AH$1001,0),MATCH(COLUMNS($AO$1006:AP1006),$AO$1006:$BQ$1006,0)), HYPERLINK("#",""), HYPERLINK(CONCATENATE("#Metadata!", ADDRESS(INDEX($AJ$2:$AJ$1001,MATCH(ROWS($AH$2:AH303),$AH$2:$AH$1001,0),0), INDEX($AO$1004:$BQ$1004,1,MATCH(COLUMNS($AO$1006:AP1006),$AO$1006:$BQ$1006,0)))),"Fix")))</f>
        <v>#N/A</v>
      </c>
      <c r="D303" s="5" t="e">
        <f ca="1">IF(OR(INDEX($AI$2:$AI$1001,MATCH(ROWS($AH$2:AH303),$AH$2:$AH$1001,0),1)&gt;=100000,INDEX($AO$1005:$BQ$1005,1,MATCH(COLUMNS($AO$1006:AQ1006),$AO$1006:$BQ$1006,0))&gt;=100000), " ",IF(INDEX($AO$2:$BQ$1001,MATCH(ROWS($AH$2:AH303),$AH$2:$AH$1001,0),MATCH(COLUMNS($AO$1006:AQ1006),$AO$1006:$BQ$1006,0)), HYPERLINK("#",""), HYPERLINK(CONCATENATE("#Metadata!", ADDRESS(INDEX($AJ$2:$AJ$1001,MATCH(ROWS($AH$2:AH303),$AH$2:$AH$1001,0),0), INDEX($AO$1004:$BQ$1004,1,MATCH(COLUMNS($AO$1006:AQ1006),$AO$1006:$BQ$1006,0)))),"Fix")))</f>
        <v>#N/A</v>
      </c>
      <c r="E303" s="5" t="e">
        <f ca="1">IF(OR(INDEX($AI$2:$AI$1001,MATCH(ROWS($AH$2:AH303),$AH$2:$AH$1001,0),1)&gt;=100000,INDEX($AO$1005:$BQ$1005,1,MATCH(COLUMNS($AO$1006:AR1006),$AO$1006:$BQ$1006,0))&gt;=100000), " ",IF(INDEX($AO$2:$BQ$1001,MATCH(ROWS($AH$2:AH303),$AH$2:$AH$1001,0),MATCH(COLUMNS($AO$1006:AR1006),$AO$1006:$BQ$1006,0)), HYPERLINK("#",""), HYPERLINK(CONCATENATE("#Metadata!", ADDRESS(INDEX($AJ$2:$AJ$1001,MATCH(ROWS($AH$2:AH303),$AH$2:$AH$1001,0),0), INDEX($AO$1004:$BQ$1004,1,MATCH(COLUMNS($AO$1006:AR1006),$AO$1006:$BQ$1006,0)))),"Fix")))</f>
        <v>#N/A</v>
      </c>
      <c r="F303" s="5" t="e">
        <f ca="1">IF(OR(INDEX($AI$2:$AI$1001,MATCH(ROWS($AH$2:AH303),$AH$2:$AH$1001,0),1)&gt;=100000,INDEX($AO$1005:$BQ$1005,1,MATCH(COLUMNS($AO$1006:AS1006),$AO$1006:$BQ$1006,0))&gt;=100000), " ",IF(INDEX($AO$2:$BQ$1001,MATCH(ROWS($AH$2:AH303),$AH$2:$AH$1001,0),MATCH(COLUMNS($AO$1006:AS1006),$AO$1006:$BQ$1006,0)), HYPERLINK("#",""), HYPERLINK(CONCATENATE("#Metadata!", ADDRESS(INDEX($AJ$2:$AJ$1001,MATCH(ROWS($AH$2:AH303),$AH$2:$AH$1001,0),0), INDEX($AO$1004:$BQ$1004,1,MATCH(COLUMNS($AO$1006:AS1006),$AO$1006:$BQ$1006,0)))),"Fix")))</f>
        <v>#N/A</v>
      </c>
      <c r="G303" s="5" t="e">
        <f ca="1">IF(OR(INDEX($AI$2:$AI$1001,MATCH(ROWS($AH$2:AH303),$AH$2:$AH$1001,0),1)&gt;=100000,INDEX($AO$1005:$BQ$1005,1,MATCH(COLUMNS($AO$1006:AT1006),$AO$1006:$BQ$1006,0))&gt;=100000), " ",IF(INDEX($AO$2:$BQ$1001,MATCH(ROWS($AH$2:AH303),$AH$2:$AH$1001,0),MATCH(COLUMNS($AO$1006:AT1006),$AO$1006:$BQ$1006,0)), HYPERLINK("#",""), HYPERLINK(CONCATENATE("#Metadata!", ADDRESS(INDEX($AJ$2:$AJ$1001,MATCH(ROWS($AH$2:AH303),$AH$2:$AH$1001,0),0), INDEX($AO$1004:$BQ$1004,1,MATCH(COLUMNS($AO$1006:AT1006),$AO$1006:$BQ$1006,0)))),"Fix")))</f>
        <v>#N/A</v>
      </c>
      <c r="H303" s="5" t="e">
        <f ca="1">IF(OR(INDEX($AI$2:$AI$1001,MATCH(ROWS($AH$2:AH303),$AH$2:$AH$1001,0),1)&gt;=100000,INDEX($AO$1005:$BQ$1005,1,MATCH(COLUMNS($AO$1006:AU1006),$AO$1006:$BQ$1006,0))&gt;=100000), " ",IF(INDEX($AO$2:$BQ$1001,MATCH(ROWS($AH$2:AH303),$AH$2:$AH$1001,0),MATCH(COLUMNS($AO$1006:AU1006),$AO$1006:$BQ$1006,0)), HYPERLINK("#",""), HYPERLINK(CONCATENATE("#Metadata!", ADDRESS(INDEX($AJ$2:$AJ$1001,MATCH(ROWS($AH$2:AH303),$AH$2:$AH$1001,0),0), INDEX($AO$1004:$BQ$1004,1,MATCH(COLUMNS($AO$1006:AU1006),$AO$1006:$BQ$1006,0)))),"Fix")))</f>
        <v>#N/A</v>
      </c>
      <c r="I303" s="5" t="e">
        <f ca="1">IF(OR(INDEX($AI$2:$AI$1001,MATCH(ROWS($AH$2:AH303),$AH$2:$AH$1001,0),1)&gt;=100000,INDEX($AO$1005:$BQ$1005,1,MATCH(COLUMNS($AO$1006:AV1006),$AO$1006:$BQ$1006,0))&gt;=100000), " ",IF(INDEX($AO$2:$BQ$1001,MATCH(ROWS($AH$2:AH303),$AH$2:$AH$1001,0),MATCH(COLUMNS($AO$1006:AV1006),$AO$1006:$BQ$1006,0)), HYPERLINK("#",""), HYPERLINK(CONCATENATE("#Metadata!", ADDRESS(INDEX($AJ$2:$AJ$1001,MATCH(ROWS($AH$2:AH303),$AH$2:$AH$1001,0),0), INDEX($AO$1004:$BQ$1004,1,MATCH(COLUMNS($AO$1006:AV1006),$AO$1006:$BQ$1006,0)))),"Fix")))</f>
        <v>#N/A</v>
      </c>
      <c r="J303" s="5" t="e">
        <f ca="1">IF(OR(INDEX($AI$2:$AI$1001,MATCH(ROWS($AH$2:AH303),$AH$2:$AH$1001,0),1)&gt;=100000,INDEX($AO$1005:$BQ$1005,1,MATCH(COLUMNS($AO$1006:AW1006),$AO$1006:$BQ$1006,0))&gt;=100000), " ",IF(INDEX($AO$2:$BQ$1001,MATCH(ROWS($AH$2:AH303),$AH$2:$AH$1001,0),MATCH(COLUMNS($AO$1006:AW1006),$AO$1006:$BQ$1006,0)), HYPERLINK("#",""), HYPERLINK(CONCATENATE("#Metadata!", ADDRESS(INDEX($AJ$2:$AJ$1001,MATCH(ROWS($AH$2:AH303),$AH$2:$AH$1001,0),0), INDEX($AO$1004:$BQ$1004,1,MATCH(COLUMNS($AO$1006:AW1006),$AO$1006:$BQ$1006,0)))),"Fix")))</f>
        <v>#N/A</v>
      </c>
      <c r="K303" s="5" t="e">
        <f ca="1">IF(OR(INDEX($AI$2:$AI$1001,MATCH(ROWS($AH$2:AH303),$AH$2:$AH$1001,0),1)&gt;=100000,INDEX($AO$1005:$BQ$1005,1,MATCH(COLUMNS($AO$1006:AX1006),$AO$1006:$BQ$1006,0))&gt;=100000), " ",IF(INDEX($AO$2:$BQ$1001,MATCH(ROWS($AH$2:AH303),$AH$2:$AH$1001,0),MATCH(COLUMNS($AO$1006:AX1006),$AO$1006:$BQ$1006,0)), HYPERLINK("#",""), HYPERLINK(CONCATENATE("#Metadata!", ADDRESS(INDEX($AJ$2:$AJ$1001,MATCH(ROWS($AH$2:AH303),$AH$2:$AH$1001,0),0), INDEX($AO$1004:$BQ$1004,1,MATCH(COLUMNS($AO$1006:AX1006),$AO$1006:$BQ$1006,0)))),"Fix")))</f>
        <v>#N/A</v>
      </c>
      <c r="L303" s="5" t="e">
        <f ca="1">IF(OR(INDEX($AI$2:$AI$1001,MATCH(ROWS($AH$2:AH303),$AH$2:$AH$1001,0),1)&gt;=100000,INDEX($AO$1005:$BQ$1005,1,MATCH(COLUMNS($AO$1006:AY1006),$AO$1006:$BQ$1006,0))&gt;=100000), " ",IF(INDEX($AO$2:$BQ$1001,MATCH(ROWS($AH$2:AH303),$AH$2:$AH$1001,0),MATCH(COLUMNS($AO$1006:AY1006),$AO$1006:$BQ$1006,0)), HYPERLINK("#",""), HYPERLINK(CONCATENATE("#Metadata!", ADDRESS(INDEX($AJ$2:$AJ$1001,MATCH(ROWS($AH$2:AH303),$AH$2:$AH$1001,0),0), INDEX($AO$1004:$BQ$1004,1,MATCH(COLUMNS($AO$1006:AY1006),$AO$1006:$BQ$1006,0)))),"Fix")))</f>
        <v>#N/A</v>
      </c>
      <c r="M303" s="5" t="e">
        <f ca="1">IF(OR(INDEX($AI$2:$AI$1001,MATCH(ROWS($AH$2:AH303),$AH$2:$AH$1001,0),1)&gt;=100000,INDEX($AO$1005:$BQ$1005,1,MATCH(COLUMNS($AO$1006:AZ1006),$AO$1006:$BQ$1006,0))&gt;=100000), " ",IF(INDEX($AO$2:$BQ$1001,MATCH(ROWS($AH$2:AH303),$AH$2:$AH$1001,0),MATCH(COLUMNS($AO$1006:AZ1006),$AO$1006:$BQ$1006,0)), HYPERLINK("#",""), HYPERLINK(CONCATENATE("#Metadata!", ADDRESS(INDEX($AJ$2:$AJ$1001,MATCH(ROWS($AH$2:AH303),$AH$2:$AH$1001,0),0), INDEX($AO$1004:$BQ$1004,1,MATCH(COLUMNS($AO$1006:AZ1006),$AO$1006:$BQ$1006,0)))),"Fix")))</f>
        <v>#N/A</v>
      </c>
      <c r="N303" s="5" t="e">
        <f ca="1">IF(OR(INDEX($AI$2:$AI$1001,MATCH(ROWS($AH$2:AH303),$AH$2:$AH$1001,0),1)&gt;=100000,INDEX($AO$1005:$BQ$1005,1,MATCH(COLUMNS($AO$1006:BA1006),$AO$1006:$BQ$1006,0))&gt;=100000), " ",IF(INDEX($AO$2:$BQ$1001,MATCH(ROWS($AH$2:AH303),$AH$2:$AH$1001,0),MATCH(COLUMNS($AO$1006:BA1006),$AO$1006:$BQ$1006,0)), HYPERLINK("#",""), HYPERLINK(CONCATENATE("#Metadata!", ADDRESS(INDEX($AJ$2:$AJ$1001,MATCH(ROWS($AH$2:AH303),$AH$2:$AH$1001,0),0), INDEX($AO$1004:$BQ$1004,1,MATCH(COLUMNS($AO$1006:BA1006),$AO$1006:$BQ$1006,0)))),"Fix")))</f>
        <v>#N/A</v>
      </c>
      <c r="O303" s="5" t="e">
        <f ca="1">IF(OR(INDEX($AI$2:$AI$1001,MATCH(ROWS($AH$2:AH303),$AH$2:$AH$1001,0),1)&gt;=100000,INDEX($AO$1005:$BQ$1005,1,MATCH(COLUMNS($AO$1006:BB1006),$AO$1006:$BQ$1006,0))&gt;=100000), " ",IF(INDEX($AO$2:$BQ$1001,MATCH(ROWS($AH$2:AH303),$AH$2:$AH$1001,0),MATCH(COLUMNS($AO$1006:BB1006),$AO$1006:$BQ$1006,0)), HYPERLINK("#",""), HYPERLINK(CONCATENATE("#Metadata!", ADDRESS(INDEX($AJ$2:$AJ$1001,MATCH(ROWS($AH$2:AH303),$AH$2:$AH$1001,0),0), INDEX($AO$1004:$BQ$1004,1,MATCH(COLUMNS($AO$1006:BB1006),$AO$1006:$BQ$1006,0)))),"Fix")))</f>
        <v>#N/A</v>
      </c>
      <c r="P303" s="5" t="e">
        <f ca="1">IF(OR(INDEX($AI$2:$AI$1001,MATCH(ROWS($AH$2:AH303),$AH$2:$AH$1001,0),1)&gt;=100000,INDEX($AO$1005:$BQ$1005,1,MATCH(COLUMNS($AO$1006:BC1006),$AO$1006:$BQ$1006,0))&gt;=100000), " ",IF(INDEX($AO$2:$BQ$1001,MATCH(ROWS($AH$2:AH303),$AH$2:$AH$1001,0),MATCH(COLUMNS($AO$1006:BC1006),$AO$1006:$BQ$1006,0)), HYPERLINK("#",""), HYPERLINK(CONCATENATE("#Metadata!", ADDRESS(INDEX($AJ$2:$AJ$1001,MATCH(ROWS($AH$2:AH303),$AH$2:$AH$1001,0),0), INDEX($AO$1004:$BQ$1004,1,MATCH(COLUMNS($AO$1006:BC1006),$AO$1006:$BQ$1006,0)))),"Fix")))</f>
        <v>#N/A</v>
      </c>
      <c r="Q303" s="5" t="e">
        <f ca="1">IF(OR(INDEX($AI$2:$AI$1001,MATCH(ROWS($AH$2:AH303),$AH$2:$AH$1001,0),1)&gt;=100000,INDEX($AO$1005:$BQ$1005,1,MATCH(COLUMNS($AO$1006:BD1006),$AO$1006:$BQ$1006,0))&gt;=100000), " ",IF(INDEX($AO$2:$BQ$1001,MATCH(ROWS($AH$2:AH303),$AH$2:$AH$1001,0),MATCH(COLUMNS($AO$1006:BD1006),$AO$1006:$BQ$1006,0)), HYPERLINK("#",""), HYPERLINK(CONCATENATE("#Metadata!", ADDRESS(INDEX($AJ$2:$AJ$1001,MATCH(ROWS($AH$2:AH303),$AH$2:$AH$1001,0),0), INDEX($AO$1004:$BQ$1004,1,MATCH(COLUMNS($AO$1006:BD1006),$AO$1006:$BQ$1006,0)))),"Fix")))</f>
        <v>#N/A</v>
      </c>
      <c r="R303" s="5" t="e">
        <f ca="1">IF(OR(INDEX($AI$2:$AI$1001,MATCH(ROWS($AH$2:AH303),$AH$2:$AH$1001,0),1)&gt;=100000,INDEX($AO$1005:$BQ$1005,1,MATCH(COLUMNS($AO$1006:BE1006),$AO$1006:$BQ$1006,0))&gt;=100000), " ",IF(INDEX($AO$2:$BQ$1001,MATCH(ROWS($AH$2:AH303),$AH$2:$AH$1001,0),MATCH(COLUMNS($AO$1006:BE1006),$AO$1006:$BQ$1006,0)), HYPERLINK("#",""), HYPERLINK(CONCATENATE("#Metadata!", ADDRESS(INDEX($AJ$2:$AJ$1001,MATCH(ROWS($AH$2:AH303),$AH$2:$AH$1001,0),0), INDEX($AO$1004:$BQ$1004,1,MATCH(COLUMNS($AO$1006:BE1006),$AO$1006:$BQ$1006,0)))),"Fix")))</f>
        <v>#N/A</v>
      </c>
      <c r="S303" s="5" t="e">
        <f ca="1">IF(OR(INDEX($AI$2:$AI$1001,MATCH(ROWS($AH$2:AH303),$AH$2:$AH$1001,0),1)&gt;=100000,INDEX($AO$1005:$BQ$1005,1,MATCH(COLUMNS($AO$1006:BF1006),$AO$1006:$BQ$1006,0))&gt;=100000), " ",IF(INDEX($AO$2:$BQ$1001,MATCH(ROWS($AH$2:AH303),$AH$2:$AH$1001,0),MATCH(COLUMNS($AO$1006:BF1006),$AO$1006:$BQ$1006,0)), HYPERLINK("#",""), HYPERLINK(CONCATENATE("#Metadata!", ADDRESS(INDEX($AJ$2:$AJ$1001,MATCH(ROWS($AH$2:AH303),$AH$2:$AH$1001,0),0), INDEX($AO$1004:$BQ$1004,1,MATCH(COLUMNS($AO$1006:BF1006),$AO$1006:$BQ$1006,0)))),"Fix")))</f>
        <v>#N/A</v>
      </c>
      <c r="T303" s="5" t="e">
        <f ca="1">IF(OR(INDEX($AI$2:$AI$1001,MATCH(ROWS($AH$2:AH303),$AH$2:$AH$1001,0),1)&gt;=100000,INDEX($AO$1005:$BQ$1005,1,MATCH(COLUMNS($AO$1006:BG1006),$AO$1006:$BQ$1006,0))&gt;=100000), " ",IF(INDEX($AO$2:$BQ$1001,MATCH(ROWS($AH$2:AH303),$AH$2:$AH$1001,0),MATCH(COLUMNS($AO$1006:BG1006),$AO$1006:$BQ$1006,0)), HYPERLINK("#",""), HYPERLINK(CONCATENATE("#Metadata!", ADDRESS(INDEX($AJ$2:$AJ$1001,MATCH(ROWS($AH$2:AH303),$AH$2:$AH$1001,0),0), INDEX($AO$1004:$BQ$1004,1,MATCH(COLUMNS($AO$1006:BG1006),$AO$1006:$BQ$1006,0)))),"Fix")))</f>
        <v>#N/A</v>
      </c>
      <c r="U303" s="5" t="e">
        <f ca="1">IF(OR(INDEX($AI$2:$AI$1001,MATCH(ROWS($AH$2:AH303),$AH$2:$AH$1001,0),1)&gt;=100000,INDEX($AO$1005:$BQ$1005,1,MATCH(COLUMNS($AO$1006:BH1006),$AO$1006:$BQ$1006,0))&gt;=100000), " ",IF(INDEX($AO$2:$BQ$1001,MATCH(ROWS($AH$2:AH303),$AH$2:$AH$1001,0),MATCH(COLUMNS($AO$1006:BH1006),$AO$1006:$BQ$1006,0)), HYPERLINK("#",""), HYPERLINK(CONCATENATE("#Metadata!", ADDRESS(INDEX($AJ$2:$AJ$1001,MATCH(ROWS($AH$2:AH303),$AH$2:$AH$1001,0),0), INDEX($AO$1004:$BQ$1004,1,MATCH(COLUMNS($AO$1006:BH1006),$AO$1006:$BQ$1006,0)))),"Fix")))</f>
        <v>#N/A</v>
      </c>
      <c r="V303" s="5" t="e">
        <f ca="1">IF(OR(INDEX($AI$2:$AI$1001,MATCH(ROWS($AH$2:AH303),$AH$2:$AH$1001,0),1)&gt;=100000,INDEX($AO$1005:$BQ$1005,1,MATCH(COLUMNS($AO$1006:BI1006),$AO$1006:$BQ$1006,0))&gt;=100000), " ",IF(INDEX($AO$2:$BQ$1001,MATCH(ROWS($AH$2:AH303),$AH$2:$AH$1001,0),MATCH(COLUMNS($AO$1006:BI1006),$AO$1006:$BQ$1006,0)), HYPERLINK("#",""), HYPERLINK(CONCATENATE("#Metadata!", ADDRESS(INDEX($AJ$2:$AJ$1001,MATCH(ROWS($AH$2:AH303),$AH$2:$AH$1001,0),0), INDEX($AO$1004:$BQ$1004,1,MATCH(COLUMNS($AO$1006:BI1006),$AO$1006:$BQ$1006,0)))),"Fix")))</f>
        <v>#N/A</v>
      </c>
      <c r="W303" s="5" t="e">
        <f ca="1">IF(OR(INDEX($AI$2:$AI$1001,MATCH(ROWS($AH$2:AH303),$AH$2:$AH$1001,0),1)&gt;=100000,INDEX($AO$1005:$BQ$1005,1,MATCH(COLUMNS($AO$1006:BJ1006),$AO$1006:$BQ$1006,0))&gt;=100000), " ",IF(INDEX($AO$2:$BQ$1001,MATCH(ROWS($AH$2:AH303),$AH$2:$AH$1001,0),MATCH(COLUMNS($AO$1006:BJ1006),$AO$1006:$BQ$1006,0)), HYPERLINK("#",""), HYPERLINK(CONCATENATE("#Metadata!", ADDRESS(INDEX($AJ$2:$AJ$1001,MATCH(ROWS($AH$2:AH303),$AH$2:$AH$1001,0),0), INDEX($AO$1004:$BQ$1004,1,MATCH(COLUMNS($AO$1006:BJ1006),$AO$1006:$BQ$1006,0)))),"Fix")))</f>
        <v>#N/A</v>
      </c>
      <c r="X303" s="5" t="e">
        <f ca="1">IF(OR(INDEX($AI$2:$AI$1001,MATCH(ROWS($AH$2:AH303),$AH$2:$AH$1001,0),1)&gt;=100000,INDEX($AO$1005:$BQ$1005,1,MATCH(COLUMNS($AO$1006:BK1006),$AO$1006:$BQ$1006,0))&gt;=100000), " ",IF(INDEX($AO$2:$BQ$1001,MATCH(ROWS($AH$2:AH303),$AH$2:$AH$1001,0),MATCH(COLUMNS($AO$1006:BK1006),$AO$1006:$BQ$1006,0)), HYPERLINK("#",""), HYPERLINK(CONCATENATE("#Metadata!", ADDRESS(INDEX($AJ$2:$AJ$1001,MATCH(ROWS($AH$2:AH303),$AH$2:$AH$1001,0),0), INDEX($AO$1004:$BQ$1004,1,MATCH(COLUMNS($AO$1006:BK1006),$AO$1006:$BQ$1006,0)))),"Fix")))</f>
        <v>#N/A</v>
      </c>
      <c r="Y303" s="5" t="e">
        <f ca="1">IF(OR(INDEX($AI$2:$AI$1001,MATCH(ROWS($AH$2:AH303),$AH$2:$AH$1001,0),1)&gt;=100000,INDEX($AO$1005:$BQ$1005,1,MATCH(COLUMNS($AO$1006:BL1006),$AO$1006:$BQ$1006,0))&gt;=100000), " ",IF(INDEX($AO$2:$BQ$1001,MATCH(ROWS($AH$2:AH303),$AH$2:$AH$1001,0),MATCH(COLUMNS($AO$1006:BL1006),$AO$1006:$BQ$1006,0)), HYPERLINK("#",""), HYPERLINK(CONCATENATE("#Metadata!", ADDRESS(INDEX($AJ$2:$AJ$1001,MATCH(ROWS($AH$2:AH303),$AH$2:$AH$1001,0),0), INDEX($AO$1004:$BQ$1004,1,MATCH(COLUMNS($AO$1006:BL1006),$AO$1006:$BQ$1006,0)))),"Fix")))</f>
        <v>#N/A</v>
      </c>
      <c r="Z303" s="5" t="e">
        <f ca="1">IF(OR(INDEX($AI$2:$AI$1001,MATCH(ROWS($AH$2:AH303),$AH$2:$AH$1001,0),1)&gt;=100000,INDEX($AO$1005:$BQ$1005,1,MATCH(COLUMNS($AO$1006:BM1006),$AO$1006:$BQ$1006,0))&gt;=100000), " ",IF(INDEX($AO$2:$BQ$1001,MATCH(ROWS($AH$2:AH303),$AH$2:$AH$1001,0),MATCH(COLUMNS($AO$1006:BM1006),$AO$1006:$BQ$1006,0)), HYPERLINK("#",""), HYPERLINK(CONCATENATE("#Metadata!", ADDRESS(INDEX($AJ$2:$AJ$1001,MATCH(ROWS($AH$2:AH303),$AH$2:$AH$1001,0),0), INDEX($AO$1004:$BQ$1004,1,MATCH(COLUMNS($AO$1006:BM1006),$AO$1006:$BQ$1006,0)))),"Fix")))</f>
        <v>#N/A</v>
      </c>
      <c r="AA303" s="5" t="e">
        <f ca="1">IF(OR(INDEX($AI$2:$AI$1001,MATCH(ROWS($AH$2:AH303),$AH$2:$AH$1001,0),1)&gt;=100000,INDEX($AO$1005:$BQ$1005,1,MATCH(COLUMNS($AO$1006:BN1006),$AO$1006:$BQ$1006,0))&gt;=100000), " ",IF(INDEX($AO$2:$BQ$1001,MATCH(ROWS($AH$2:AH303),$AH$2:$AH$1001,0),MATCH(COLUMNS($AO$1006:BN1006),$AO$1006:$BQ$1006,0)), HYPERLINK("#",""), HYPERLINK(CONCATENATE("#Metadata!", ADDRESS(INDEX($AJ$2:$AJ$1001,MATCH(ROWS($AH$2:AH303),$AH$2:$AH$1001,0),0), INDEX($AO$1004:$BQ$1004,1,MATCH(COLUMNS($AO$1006:BN1006),$AO$1006:$BQ$1006,0)))),"Fix")))</f>
        <v>#N/A</v>
      </c>
      <c r="AB303" s="5" t="e">
        <f ca="1">IF(OR(INDEX($AI$2:$AI$1001,MATCH(ROWS($AH$2:AH303),$AH$2:$AH$1001,0),1)&gt;=100000,INDEX($AO$1005:$BQ$1005,1,MATCH(COLUMNS($AO$1006:BO1006),$AO$1006:$BQ$1006,0))&gt;=100000), " ",IF(INDEX($AO$2:$BQ$1001,MATCH(ROWS($AH$2:AH303),$AH$2:$AH$1001,0),MATCH(COLUMNS($AO$1006:BO1006),$AO$1006:$BQ$1006,0)), HYPERLINK("#",""), HYPERLINK(CONCATENATE("#Metadata!", ADDRESS(INDEX($AJ$2:$AJ$1001,MATCH(ROWS($AH$2:AH303),$AH$2:$AH$1001,0),0), INDEX($AO$1004:$BQ$1004,1,MATCH(COLUMNS($AO$1006:BO1006),$AO$1006:$BQ$1006,0)))),"Fix")))</f>
        <v>#N/A</v>
      </c>
      <c r="AC303" s="5" t="e">
        <f ca="1">IF(OR(INDEX($AI$2:$AI$1001,MATCH(ROWS($AH$2:AH303),$AH$2:$AH$1001,0),1)&gt;=100000,INDEX($AO$1005:$BQ$1005,1,MATCH(COLUMNS($AO$1006:BP1006),$AO$1006:$BQ$1006,0))&gt;=100000), " ",IF(INDEX($AO$2:$BQ$1001,MATCH(ROWS($AH$2:AH303),$AH$2:$AH$1001,0),MATCH(COLUMNS($AO$1006:BP1006),$AO$1006:$BQ$1006,0)), HYPERLINK("#",""), HYPERLINK(CONCATENATE("#Metadata!", ADDRESS(INDEX($AJ$2:$AJ$1001,MATCH(ROWS($AH$2:AH303),$AH$2:$AH$1001,0),0), INDEX($AO$1004:$BQ$1004,1,MATCH(COLUMNS($AO$1006:BP1006),$AO$1006:$BQ$1006,0)))),"Fix")))</f>
        <v>#N/A</v>
      </c>
      <c r="AD303" s="5" t="e">
        <f ca="1">IF(OR(INDEX($AI$2:$AI$1001,MATCH(ROWS($AH$2:AH303),$AH$2:$AH$1001,0),1)&gt;=100000,INDEX($AO$1005:$BQ$1005,1,MATCH(COLUMNS($AO$1006:BQ1006),$AO$1006:$BQ$1006,0))&gt;=100000), " ",IF(INDEX($AO$2:$BQ$1001,MATCH(ROWS($AH$2:AH303),$AH$2:$AH$1001,0),MATCH(COLUMNS($AO$1006:BQ1006),$AO$1006:$BQ$1006,0)), HYPERLINK("#",""), HYPERLINK(CONCATENATE("#Metadata!", ADDRESS(INDEX($AJ$2:$AJ$1001,MATCH(ROWS($AH$2:AH303),$AH$2:$AH$1001,0),0), INDEX($AO$1004:$BQ$1004,1,MATCH(COLUMNS($AO$1006:BQ1006),$AO$1006:$BQ$1006,0)))),"Fix")))</f>
        <v>#REF!</v>
      </c>
      <c r="AH303">
        <f ca="1"/>
        <v>300</v>
      </c>
      <c r="AI303">
        <v>100303</v>
      </c>
      <c r="AJ303">
        <v>303</v>
      </c>
      <c r="AK303" t="b">
        <f t="shared" si="4"/>
        <v>1</v>
      </c>
      <c r="AL303" t="b">
        <f>COUNTBLANK(Metadata!B303:AD303)=COLUMNS(Metadata!B303:AD303)</f>
        <v>1</v>
      </c>
      <c r="AM303" t="str">
        <v/>
      </c>
      <c r="AO303" t="b">
        <f ca="1">AND(IF(Metadata!B303="",FALSE,TRUE),COUNTIF(Metadata!B:B, Metadata!B303) = 1,NOT(ISERROR(SUMPRODUCT(SEARCH(MID(Metadata!B303,ROW(INDIRECT("1:"&amp;LEN(Metadata!B303))), 1),"0123456789abcdefghijklmnopqrstuvwxyzABCDEFGHIJKLMNOPQRSTUVWXYZ.")))))</f>
        <v>0</v>
      </c>
      <c r="AP303" t="b">
        <f>IF(Metadata!C303="",FALSE,TRUE)</f>
        <v>0</v>
      </c>
      <c r="AQ303" t="b">
        <f>IF(Metadata!D303="",FALSE,TRUE)</f>
        <v>0</v>
      </c>
      <c r="AR303" t="b">
        <f ca="1">OR(AND(IF(Metadata!E303="",FALSE,TRUE),OR(EXACT(Metadata!E303,"not collected"),EXACT(Metadata!E303,"not provided"),EXACT(Metadata!E303,"restricted access"))),AND(IF(Metadata!E303="",FALSE,TRUE),AND(AND(IFERROR(INT(LEFT(Metadata!E303,4))&gt;1900,FALSE),IFERROR(INT(LEFT(Metadata!E303,4))&lt;=YEAR(NOW()),FALSE)), OR(MID(Metadata!E303,5,1)="", AND(AND(MID(Metadata!E303,5,1)="-",IFERROR(INT(MID(Metadata!E303,6,1))&gt;=0,FALSE),IFERROR(INT(MID(Metadata!E303,6,1))&lt;=1,FALSE),NOT(MID(Metadata!E303,7,1)=""),IFERROR(INT(MID(Metadata!E303,6,2))&gt;=1,FALSE),IFERROR(INT(MID(Metadata!E303,6,2))&lt;=12,FALSE)), OR(MID(Metadata!E303,8,1)="", AND(AND(MID(Metadata!E303,8,1)="-",IFERROR(INT(MID(Metadata!E303,9,1))&gt;=0,FALSE),IFERROR(INT(MID(Metadata!E303,9,1))&lt;=3,FALSE),NOT(MID(Metadata!E303,10,1)=""),IFERROR(INT(MID(Metadata!E303,9,2))&gt;=1,FALSE),IFERROR(INT(MID(Metadata!E303,9,2))&lt;=31,FALSE)), OR(MID(Metadata!E303,11,1)="", AND(AND(MID(Metadata!E303,11,1)=" ",IFERROR(INT(MID(Metadata!E303,12,1))&gt;=0,FALSE),IFERROR(INT(MID(Metadata!E303,12,1))&lt;=2,FALSE),NOT(MID(Metadata!E303,13,1)=""),IFERROR(INT(MID(Metadata!E303,12,2))&gt;=0,FALSE),IFERROR(INT(MID(Metadata!E303,12,2))&lt;=23,FALSE)), OR(MID(Metadata!E303,14,1)="", AND(AND(MID(Metadata!E303,14,1)=":",IFERROR(INT(MID(Metadata!E303,15,1))&gt;=0,FALSE),IFERROR(INT(MID(Metadata!E303,15,1))&lt;=5,FALSE),NOT(MID(Metadata!E303,16,1)=""),IFERROR(INT(MID(Metadata!E303,15,2))&gt;=0,FALSE),IFERROR(INT(MID(Metadata!E303,15,2))&lt;=59,FALSE)), OR(MID(Metadata!E303,17,1)="", AND(AND(MID(Metadata!E303,17,1)=":",IFERROR(INT(MID(Metadata!E303,18,1))&gt;=0,FALSE),IFERROR(INT(MID(Metadata!E303,18,1))&lt;=5,FALSE),NOT(MID(Metadata!E303,19,1)=""),IFERROR(INT(MID(Metadata!E303,18,2))&gt;=0,FALSE),IFERROR(INT(MID(Metadata!E303,18,2))&lt;=59,FALSE)), LEN(Metadata!E303)&lt;=19)))))))))))))</f>
        <v>0</v>
      </c>
      <c r="AS303" t="b">
        <f>IF(Metadata!F303="",FALSE,TRUE)</f>
        <v>0</v>
      </c>
      <c r="AT303" t="b">
        <f>OR(AND(IF(Metadata!G303="",FALSE,TRUE),OR(EXACT(Metadata!G303,"not collected"),EXACT(Metadata!G303,"not provided"))),AND(IF(Metadata!G303="",FALSE,TRUE),OR(EXACT(Metadata!G303,"TRUE"),EXACT(Metadata!G303,"FALSE"))))</f>
        <v>0</v>
      </c>
      <c r="AU303" t="b">
        <f>OR(AND(IF(Metadata!H303="",FALSE,TRUE),OR(EXACT(Metadata!H303,"not collected"),EXACT(Metadata!H303,"not provided"),EXACT(Metadata!H303,"restricted access"))),AND(IF(Metadata!H303="",FALSE,ISNUMBER(VALUE(Metadata!H303))),Metadata!H303&gt;=-413))</f>
        <v>0</v>
      </c>
      <c r="AV303" t="b">
        <f>AND(IF(Metadata!I303="",FALSE,TRUE),EXACT(Metadata!I303,"meters"))</f>
        <v>0</v>
      </c>
      <c r="AW303" t="b">
        <f>AND(IF(Metadata!J303="",FALSE,TRUE),EXACT(Metadata!J303,"free-living"))</f>
        <v>0</v>
      </c>
      <c r="AX303" t="b">
        <f>AND(IF(Metadata!K303="",FALSE,TRUE),OR(EXACT(Metadata!K303,"saline"),EXACT(Metadata!K303,"non-saline")))</f>
        <v>0</v>
      </c>
      <c r="AY303" t="b">
        <f>AND(IF(Metadata!L303="",FALSE,TRUE),OR(EXACT(Metadata!L303,"sub-surface (non-saline)"),EXACT(Metadata!L303,"surface (non-saline)"),EXACT(Metadata!L303,"water (non-saline)"),EXACT(Metadata!L303,"soil (non-saline)"),EXACT(Metadata!L303,"aerosol (non-saline)"),EXACT(Metadata!L303,"sediment (non-saline)"),EXACT(Metadata!L303,"surface (saline)"),EXACT(Metadata!L303,"water (saline)"),EXACT(Metadata!L303,"hypersaline (saline)"),EXACT(Metadata!L303,"aerosol (saline)"),EXACT(Metadata!L303,"sediment (saline)")))</f>
        <v>0</v>
      </c>
      <c r="AZ303" t="b">
        <f>IF(Metadata!M303="",FALSE,TRUE)</f>
        <v>0</v>
      </c>
      <c r="BA303" t="b">
        <f>IF(Metadata!N303="",FALSE,TRUE)</f>
        <v>0</v>
      </c>
      <c r="BB303" t="b">
        <f>IF(Metadata!O303="",FALSE,TRUE)</f>
        <v>0</v>
      </c>
      <c r="BC303" t="b">
        <f>AND(IF(Metadata!P303="",FALSE,TRUE),OR(EXACT(Metadata!P303,"air"),EXACT(Metadata!P303,"microbial mat/biofilm"),EXACT(Metadata!P303,"misc environment"),EXACT(Metadata!P303,"sediment"),EXACT(Metadata!P303,"soil"),EXACT(Metadata!P303,"wastewater/sludge"),EXACT(Metadata!P303,"water")))</f>
        <v>0</v>
      </c>
      <c r="BD303" t="b">
        <f>IF(Metadata!Q303="",FALSE,TRUE)</f>
        <v>0</v>
      </c>
      <c r="BE303" t="b">
        <f>IF(Metadata!R303="",FALSE,TRUE)</f>
        <v>0</v>
      </c>
      <c r="BF303" t="b">
        <f>OR(AND(IF(Metadata!S303="",FALSE,TRUE),OR(EXACT(Metadata!S303,"not collected"),EXACT(Metadata!S303,"not provided"),EXACT(Metadata!S303,"restricted access"))),AND(IF(Metadata!S303="",FALSE,ISNUMBER(VALUE(Metadata!S303))),Metadata!S303&gt;=-90,Metadata!S303&lt;=90))</f>
        <v>0</v>
      </c>
      <c r="BG303" t="b">
        <f>AND(IF(Metadata!T303="",FALSE,TRUE),EXACT(Metadata!T303,"Decimal degrees"))</f>
        <v>0</v>
      </c>
      <c r="BH303" t="b">
        <f>OR(AND(IF(Metadata!U303="",FALSE,TRUE),OR(EXACT(Metadata!U303,"not applicable"),EXACT(Metadata!U303,"not collected"))),IF(Metadata!U303="",FALSE,TRUE))</f>
        <v>0</v>
      </c>
      <c r="BI303" t="b">
        <f>OR(AND(IF(Metadata!V303="",FALSE,TRUE),OR(EXACT(Metadata!V303,"not collected"),EXACT(Metadata!V303,"not provided"),EXACT(Metadata!V303,"restricted access"))),AND(IF(Metadata!V303="",FALSE,ISNUMBER(VALUE(Metadata!V303))),Metadata!V303&gt;=-180,Metadata!V303&lt;=180))</f>
        <v>0</v>
      </c>
      <c r="BJ303" t="b">
        <f>AND(IF(Metadata!W303="",FALSE,TRUE),EXACT(Metadata!W303,"Decimal degrees"))</f>
        <v>0</v>
      </c>
      <c r="BK303" t="b">
        <f>IF(Metadata!X303="",FALSE,TRUE)</f>
        <v>0</v>
      </c>
      <c r="BL303" t="b">
        <f>OR(AND(IF(Metadata!Y303="",FALSE,TRUE),OR(EXACT(Metadata!Y303,"not collected"),EXACT(Metadata!Y303,"not provided"),EXACT(Metadata!Y303,"restricted access"))),AND(IF(Metadata!Y303="",FALSE,TRUE),OR(EXACT(Metadata!Y303,"TRUE"),EXACT(Metadata!Y303,"FALSE"))))</f>
        <v>0</v>
      </c>
      <c r="BM303" t="b">
        <f>OR(AND(IF(Metadata!Z303="",FALSE,TRUE),EXACT(Metadata!Z303,"not applicable")),AND(IF(Metadata!Z303="",FALSE,TRUE),OR(EXACT(Metadata!Z303,"beer"),EXACT(Metadata!Z303,"cheese"),EXACT(Metadata!Z303,"fresh water"),EXACT(Metadata!Z303,"marine sediment"),EXACT(Metadata!Z303,"sea water"),EXACT(Metadata!Z303,"sediment"),EXACT(Metadata!Z303,"soil"),EXACT(Metadata!Z303,"waste water"))))</f>
        <v>0</v>
      </c>
      <c r="BN303" t="b">
        <f>AND(IF(Metadata!AA303="",FALSE,TRUE),EXACT(Metadata!AA303,"metagenome"))</f>
        <v>0</v>
      </c>
      <c r="BO303" t="b">
        <f>AND(IF(Metadata!AB303="",FALSE,TRUE),EXACT(Metadata!AB303,"256318"))</f>
        <v>0</v>
      </c>
      <c r="BP303" t="b">
        <f>IF(Metadata!AC303="",FALSE,TRUE)</f>
        <v>0</v>
      </c>
      <c r="BQ303" t="b">
        <f>IF(Metadata!AD303="",FALSE,TRUE)</f>
        <v>0</v>
      </c>
    </row>
    <row r="304" spans="1:69" x14ac:dyDescent="0.2">
      <c r="A304" s="4" t="e">
        <f ca="1">IF(B304=" "," ",HYPERLINK(CONCATENATE("#metadata!",ADDRESS(INDEX($AJ$2:$AJ$1001,MATCH(ROWS($AH$2:AH304),$AH$2:$AH$1001,0),0),2)),INDEX($AM$2:$AM$1001,MATCH(ROWS($AH$2:AH304),$AH$2:$AH$1001,0),0)))</f>
        <v>#N/A</v>
      </c>
      <c r="B304" s="5" t="e">
        <f ca="1">IF(OR(INDEX($AI$2:$AI$1001,MATCH(ROWS($AH$2:AH304),$AH$2:$AH$1001,0),1)&gt;=100000,INDEX($AO$1005:$BQ$1005,1,MATCH(COLUMNS($AO$1006:AO1006),$AO$1006:$BQ$1006,0))&gt;=100000), " ",IF(INDEX($AO$2:$BQ$1001,MATCH(ROWS($AH$2:AH304),$AH$2:$AH$1001,0),MATCH(COLUMNS($AO$1006:AO1006),$AO$1006:$BQ$1006,0)), HYPERLINK("#",""), HYPERLINK(CONCATENATE("#Metadata!", ADDRESS(INDEX($AJ$2:$AJ$1001,MATCH(ROWS($AH$2:AH304),$AH$2:$AH$1001,0),0), INDEX($AO$1004:$BQ$1004,1,MATCH(COLUMNS($AO$1006:AO1006),$AO$1006:$BQ$1006,0)))),"Fix")))</f>
        <v>#N/A</v>
      </c>
      <c r="C304" s="5" t="e">
        <f ca="1">IF(OR(INDEX($AI$2:$AI$1001,MATCH(ROWS($AH$2:AH304),$AH$2:$AH$1001,0),1)&gt;=100000,INDEX($AO$1005:$BQ$1005,1,MATCH(COLUMNS($AO$1006:AP1006),$AO$1006:$BQ$1006,0))&gt;=100000), " ",IF(INDEX($AO$2:$BQ$1001,MATCH(ROWS($AH$2:AH304),$AH$2:$AH$1001,0),MATCH(COLUMNS($AO$1006:AP1006),$AO$1006:$BQ$1006,0)), HYPERLINK("#",""), HYPERLINK(CONCATENATE("#Metadata!", ADDRESS(INDEX($AJ$2:$AJ$1001,MATCH(ROWS($AH$2:AH304),$AH$2:$AH$1001,0),0), INDEX($AO$1004:$BQ$1004,1,MATCH(COLUMNS($AO$1006:AP1006),$AO$1006:$BQ$1006,0)))),"Fix")))</f>
        <v>#N/A</v>
      </c>
      <c r="D304" s="5" t="e">
        <f ca="1">IF(OR(INDEX($AI$2:$AI$1001,MATCH(ROWS($AH$2:AH304),$AH$2:$AH$1001,0),1)&gt;=100000,INDEX($AO$1005:$BQ$1005,1,MATCH(COLUMNS($AO$1006:AQ1006),$AO$1006:$BQ$1006,0))&gt;=100000), " ",IF(INDEX($AO$2:$BQ$1001,MATCH(ROWS($AH$2:AH304),$AH$2:$AH$1001,0),MATCH(COLUMNS($AO$1006:AQ1006),$AO$1006:$BQ$1006,0)), HYPERLINK("#",""), HYPERLINK(CONCATENATE("#Metadata!", ADDRESS(INDEX($AJ$2:$AJ$1001,MATCH(ROWS($AH$2:AH304),$AH$2:$AH$1001,0),0), INDEX($AO$1004:$BQ$1004,1,MATCH(COLUMNS($AO$1006:AQ1006),$AO$1006:$BQ$1006,0)))),"Fix")))</f>
        <v>#N/A</v>
      </c>
      <c r="E304" s="5" t="e">
        <f ca="1">IF(OR(INDEX($AI$2:$AI$1001,MATCH(ROWS($AH$2:AH304),$AH$2:$AH$1001,0),1)&gt;=100000,INDEX($AO$1005:$BQ$1005,1,MATCH(COLUMNS($AO$1006:AR1006),$AO$1006:$BQ$1006,0))&gt;=100000), " ",IF(INDEX($AO$2:$BQ$1001,MATCH(ROWS($AH$2:AH304),$AH$2:$AH$1001,0),MATCH(COLUMNS($AO$1006:AR1006),$AO$1006:$BQ$1006,0)), HYPERLINK("#",""), HYPERLINK(CONCATENATE("#Metadata!", ADDRESS(INDEX($AJ$2:$AJ$1001,MATCH(ROWS($AH$2:AH304),$AH$2:$AH$1001,0),0), INDEX($AO$1004:$BQ$1004,1,MATCH(COLUMNS($AO$1006:AR1006),$AO$1006:$BQ$1006,0)))),"Fix")))</f>
        <v>#N/A</v>
      </c>
      <c r="F304" s="5" t="e">
        <f ca="1">IF(OR(INDEX($AI$2:$AI$1001,MATCH(ROWS($AH$2:AH304),$AH$2:$AH$1001,0),1)&gt;=100000,INDEX($AO$1005:$BQ$1005,1,MATCH(COLUMNS($AO$1006:AS1006),$AO$1006:$BQ$1006,0))&gt;=100000), " ",IF(INDEX($AO$2:$BQ$1001,MATCH(ROWS($AH$2:AH304),$AH$2:$AH$1001,0),MATCH(COLUMNS($AO$1006:AS1006),$AO$1006:$BQ$1006,0)), HYPERLINK("#",""), HYPERLINK(CONCATENATE("#Metadata!", ADDRESS(INDEX($AJ$2:$AJ$1001,MATCH(ROWS($AH$2:AH304),$AH$2:$AH$1001,0),0), INDEX($AO$1004:$BQ$1004,1,MATCH(COLUMNS($AO$1006:AS1006),$AO$1006:$BQ$1006,0)))),"Fix")))</f>
        <v>#N/A</v>
      </c>
      <c r="G304" s="5" t="e">
        <f ca="1">IF(OR(INDEX($AI$2:$AI$1001,MATCH(ROWS($AH$2:AH304),$AH$2:$AH$1001,0),1)&gt;=100000,INDEX($AO$1005:$BQ$1005,1,MATCH(COLUMNS($AO$1006:AT1006),$AO$1006:$BQ$1006,0))&gt;=100000), " ",IF(INDEX($AO$2:$BQ$1001,MATCH(ROWS($AH$2:AH304),$AH$2:$AH$1001,0),MATCH(COLUMNS($AO$1006:AT1006),$AO$1006:$BQ$1006,0)), HYPERLINK("#",""), HYPERLINK(CONCATENATE("#Metadata!", ADDRESS(INDEX($AJ$2:$AJ$1001,MATCH(ROWS($AH$2:AH304),$AH$2:$AH$1001,0),0), INDEX($AO$1004:$BQ$1004,1,MATCH(COLUMNS($AO$1006:AT1006),$AO$1006:$BQ$1006,0)))),"Fix")))</f>
        <v>#N/A</v>
      </c>
      <c r="H304" s="5" t="e">
        <f ca="1">IF(OR(INDEX($AI$2:$AI$1001,MATCH(ROWS($AH$2:AH304),$AH$2:$AH$1001,0),1)&gt;=100000,INDEX($AO$1005:$BQ$1005,1,MATCH(COLUMNS($AO$1006:AU1006),$AO$1006:$BQ$1006,0))&gt;=100000), " ",IF(INDEX($AO$2:$BQ$1001,MATCH(ROWS($AH$2:AH304),$AH$2:$AH$1001,0),MATCH(COLUMNS($AO$1006:AU1006),$AO$1006:$BQ$1006,0)), HYPERLINK("#",""), HYPERLINK(CONCATENATE("#Metadata!", ADDRESS(INDEX($AJ$2:$AJ$1001,MATCH(ROWS($AH$2:AH304),$AH$2:$AH$1001,0),0), INDEX($AO$1004:$BQ$1004,1,MATCH(COLUMNS($AO$1006:AU1006),$AO$1006:$BQ$1006,0)))),"Fix")))</f>
        <v>#N/A</v>
      </c>
      <c r="I304" s="5" t="e">
        <f ca="1">IF(OR(INDEX($AI$2:$AI$1001,MATCH(ROWS($AH$2:AH304),$AH$2:$AH$1001,0),1)&gt;=100000,INDEX($AO$1005:$BQ$1005,1,MATCH(COLUMNS($AO$1006:AV1006),$AO$1006:$BQ$1006,0))&gt;=100000), " ",IF(INDEX($AO$2:$BQ$1001,MATCH(ROWS($AH$2:AH304),$AH$2:$AH$1001,0),MATCH(COLUMNS($AO$1006:AV1006),$AO$1006:$BQ$1006,0)), HYPERLINK("#",""), HYPERLINK(CONCATENATE("#Metadata!", ADDRESS(INDEX($AJ$2:$AJ$1001,MATCH(ROWS($AH$2:AH304),$AH$2:$AH$1001,0),0), INDEX($AO$1004:$BQ$1004,1,MATCH(COLUMNS($AO$1006:AV1006),$AO$1006:$BQ$1006,0)))),"Fix")))</f>
        <v>#N/A</v>
      </c>
      <c r="J304" s="5" t="e">
        <f ca="1">IF(OR(INDEX($AI$2:$AI$1001,MATCH(ROWS($AH$2:AH304),$AH$2:$AH$1001,0),1)&gt;=100000,INDEX($AO$1005:$BQ$1005,1,MATCH(COLUMNS($AO$1006:AW1006),$AO$1006:$BQ$1006,0))&gt;=100000), " ",IF(INDEX($AO$2:$BQ$1001,MATCH(ROWS($AH$2:AH304),$AH$2:$AH$1001,0),MATCH(COLUMNS($AO$1006:AW1006),$AO$1006:$BQ$1006,0)), HYPERLINK("#",""), HYPERLINK(CONCATENATE("#Metadata!", ADDRESS(INDEX($AJ$2:$AJ$1001,MATCH(ROWS($AH$2:AH304),$AH$2:$AH$1001,0),0), INDEX($AO$1004:$BQ$1004,1,MATCH(COLUMNS($AO$1006:AW1006),$AO$1006:$BQ$1006,0)))),"Fix")))</f>
        <v>#N/A</v>
      </c>
      <c r="K304" s="5" t="e">
        <f ca="1">IF(OR(INDEX($AI$2:$AI$1001,MATCH(ROWS($AH$2:AH304),$AH$2:$AH$1001,0),1)&gt;=100000,INDEX($AO$1005:$BQ$1005,1,MATCH(COLUMNS($AO$1006:AX1006),$AO$1006:$BQ$1006,0))&gt;=100000), " ",IF(INDEX($AO$2:$BQ$1001,MATCH(ROWS($AH$2:AH304),$AH$2:$AH$1001,0),MATCH(COLUMNS($AO$1006:AX1006),$AO$1006:$BQ$1006,0)), HYPERLINK("#",""), HYPERLINK(CONCATENATE("#Metadata!", ADDRESS(INDEX($AJ$2:$AJ$1001,MATCH(ROWS($AH$2:AH304),$AH$2:$AH$1001,0),0), INDEX($AO$1004:$BQ$1004,1,MATCH(COLUMNS($AO$1006:AX1006),$AO$1006:$BQ$1006,0)))),"Fix")))</f>
        <v>#N/A</v>
      </c>
      <c r="L304" s="5" t="e">
        <f ca="1">IF(OR(INDEX($AI$2:$AI$1001,MATCH(ROWS($AH$2:AH304),$AH$2:$AH$1001,0),1)&gt;=100000,INDEX($AO$1005:$BQ$1005,1,MATCH(COLUMNS($AO$1006:AY1006),$AO$1006:$BQ$1006,0))&gt;=100000), " ",IF(INDEX($AO$2:$BQ$1001,MATCH(ROWS($AH$2:AH304),$AH$2:$AH$1001,0),MATCH(COLUMNS($AO$1006:AY1006),$AO$1006:$BQ$1006,0)), HYPERLINK("#",""), HYPERLINK(CONCATENATE("#Metadata!", ADDRESS(INDEX($AJ$2:$AJ$1001,MATCH(ROWS($AH$2:AH304),$AH$2:$AH$1001,0),0), INDEX($AO$1004:$BQ$1004,1,MATCH(COLUMNS($AO$1006:AY1006),$AO$1006:$BQ$1006,0)))),"Fix")))</f>
        <v>#N/A</v>
      </c>
      <c r="M304" s="5" t="e">
        <f ca="1">IF(OR(INDEX($AI$2:$AI$1001,MATCH(ROWS($AH$2:AH304),$AH$2:$AH$1001,0),1)&gt;=100000,INDEX($AO$1005:$BQ$1005,1,MATCH(COLUMNS($AO$1006:AZ1006),$AO$1006:$BQ$1006,0))&gt;=100000), " ",IF(INDEX($AO$2:$BQ$1001,MATCH(ROWS($AH$2:AH304),$AH$2:$AH$1001,0),MATCH(COLUMNS($AO$1006:AZ1006),$AO$1006:$BQ$1006,0)), HYPERLINK("#",""), HYPERLINK(CONCATENATE("#Metadata!", ADDRESS(INDEX($AJ$2:$AJ$1001,MATCH(ROWS($AH$2:AH304),$AH$2:$AH$1001,0),0), INDEX($AO$1004:$BQ$1004,1,MATCH(COLUMNS($AO$1006:AZ1006),$AO$1006:$BQ$1006,0)))),"Fix")))</f>
        <v>#N/A</v>
      </c>
      <c r="N304" s="5" t="e">
        <f ca="1">IF(OR(INDEX($AI$2:$AI$1001,MATCH(ROWS($AH$2:AH304),$AH$2:$AH$1001,0),1)&gt;=100000,INDEX($AO$1005:$BQ$1005,1,MATCH(COLUMNS($AO$1006:BA1006),$AO$1006:$BQ$1006,0))&gt;=100000), " ",IF(INDEX($AO$2:$BQ$1001,MATCH(ROWS($AH$2:AH304),$AH$2:$AH$1001,0),MATCH(COLUMNS($AO$1006:BA1006),$AO$1006:$BQ$1006,0)), HYPERLINK("#",""), HYPERLINK(CONCATENATE("#Metadata!", ADDRESS(INDEX($AJ$2:$AJ$1001,MATCH(ROWS($AH$2:AH304),$AH$2:$AH$1001,0),0), INDEX($AO$1004:$BQ$1004,1,MATCH(COLUMNS($AO$1006:BA1006),$AO$1006:$BQ$1006,0)))),"Fix")))</f>
        <v>#N/A</v>
      </c>
      <c r="O304" s="5" t="e">
        <f ca="1">IF(OR(INDEX($AI$2:$AI$1001,MATCH(ROWS($AH$2:AH304),$AH$2:$AH$1001,0),1)&gt;=100000,INDEX($AO$1005:$BQ$1005,1,MATCH(COLUMNS($AO$1006:BB1006),$AO$1006:$BQ$1006,0))&gt;=100000), " ",IF(INDEX($AO$2:$BQ$1001,MATCH(ROWS($AH$2:AH304),$AH$2:$AH$1001,0),MATCH(COLUMNS($AO$1006:BB1006),$AO$1006:$BQ$1006,0)), HYPERLINK("#",""), HYPERLINK(CONCATENATE("#Metadata!", ADDRESS(INDEX($AJ$2:$AJ$1001,MATCH(ROWS($AH$2:AH304),$AH$2:$AH$1001,0),0), INDEX($AO$1004:$BQ$1004,1,MATCH(COLUMNS($AO$1006:BB1006),$AO$1006:$BQ$1006,0)))),"Fix")))</f>
        <v>#N/A</v>
      </c>
      <c r="P304" s="5" t="e">
        <f ca="1">IF(OR(INDEX($AI$2:$AI$1001,MATCH(ROWS($AH$2:AH304),$AH$2:$AH$1001,0),1)&gt;=100000,INDEX($AO$1005:$BQ$1005,1,MATCH(COLUMNS($AO$1006:BC1006),$AO$1006:$BQ$1006,0))&gt;=100000), " ",IF(INDEX($AO$2:$BQ$1001,MATCH(ROWS($AH$2:AH304),$AH$2:$AH$1001,0),MATCH(COLUMNS($AO$1006:BC1006),$AO$1006:$BQ$1006,0)), HYPERLINK("#",""), HYPERLINK(CONCATENATE("#Metadata!", ADDRESS(INDEX($AJ$2:$AJ$1001,MATCH(ROWS($AH$2:AH304),$AH$2:$AH$1001,0),0), INDEX($AO$1004:$BQ$1004,1,MATCH(COLUMNS($AO$1006:BC1006),$AO$1006:$BQ$1006,0)))),"Fix")))</f>
        <v>#N/A</v>
      </c>
      <c r="Q304" s="5" t="e">
        <f ca="1">IF(OR(INDEX($AI$2:$AI$1001,MATCH(ROWS($AH$2:AH304),$AH$2:$AH$1001,0),1)&gt;=100000,INDEX($AO$1005:$BQ$1005,1,MATCH(COLUMNS($AO$1006:BD1006),$AO$1006:$BQ$1006,0))&gt;=100000), " ",IF(INDEX($AO$2:$BQ$1001,MATCH(ROWS($AH$2:AH304),$AH$2:$AH$1001,0),MATCH(COLUMNS($AO$1006:BD1006),$AO$1006:$BQ$1006,0)), HYPERLINK("#",""), HYPERLINK(CONCATENATE("#Metadata!", ADDRESS(INDEX($AJ$2:$AJ$1001,MATCH(ROWS($AH$2:AH304),$AH$2:$AH$1001,0),0), INDEX($AO$1004:$BQ$1004,1,MATCH(COLUMNS($AO$1006:BD1006),$AO$1006:$BQ$1006,0)))),"Fix")))</f>
        <v>#N/A</v>
      </c>
      <c r="R304" s="5" t="e">
        <f ca="1">IF(OR(INDEX($AI$2:$AI$1001,MATCH(ROWS($AH$2:AH304),$AH$2:$AH$1001,0),1)&gt;=100000,INDEX($AO$1005:$BQ$1005,1,MATCH(COLUMNS($AO$1006:BE1006),$AO$1006:$BQ$1006,0))&gt;=100000), " ",IF(INDEX($AO$2:$BQ$1001,MATCH(ROWS($AH$2:AH304),$AH$2:$AH$1001,0),MATCH(COLUMNS($AO$1006:BE1006),$AO$1006:$BQ$1006,0)), HYPERLINK("#",""), HYPERLINK(CONCATENATE("#Metadata!", ADDRESS(INDEX($AJ$2:$AJ$1001,MATCH(ROWS($AH$2:AH304),$AH$2:$AH$1001,0),0), INDEX($AO$1004:$BQ$1004,1,MATCH(COLUMNS($AO$1006:BE1006),$AO$1006:$BQ$1006,0)))),"Fix")))</f>
        <v>#N/A</v>
      </c>
      <c r="S304" s="5" t="e">
        <f ca="1">IF(OR(INDEX($AI$2:$AI$1001,MATCH(ROWS($AH$2:AH304),$AH$2:$AH$1001,0),1)&gt;=100000,INDEX($AO$1005:$BQ$1005,1,MATCH(COLUMNS($AO$1006:BF1006),$AO$1006:$BQ$1006,0))&gt;=100000), " ",IF(INDEX($AO$2:$BQ$1001,MATCH(ROWS($AH$2:AH304),$AH$2:$AH$1001,0),MATCH(COLUMNS($AO$1006:BF1006),$AO$1006:$BQ$1006,0)), HYPERLINK("#",""), HYPERLINK(CONCATENATE("#Metadata!", ADDRESS(INDEX($AJ$2:$AJ$1001,MATCH(ROWS($AH$2:AH304),$AH$2:$AH$1001,0),0), INDEX($AO$1004:$BQ$1004,1,MATCH(COLUMNS($AO$1006:BF1006),$AO$1006:$BQ$1006,0)))),"Fix")))</f>
        <v>#N/A</v>
      </c>
      <c r="T304" s="5" t="e">
        <f ca="1">IF(OR(INDEX($AI$2:$AI$1001,MATCH(ROWS($AH$2:AH304),$AH$2:$AH$1001,0),1)&gt;=100000,INDEX($AO$1005:$BQ$1005,1,MATCH(COLUMNS($AO$1006:BG1006),$AO$1006:$BQ$1006,0))&gt;=100000), " ",IF(INDEX($AO$2:$BQ$1001,MATCH(ROWS($AH$2:AH304),$AH$2:$AH$1001,0),MATCH(COLUMNS($AO$1006:BG1006),$AO$1006:$BQ$1006,0)), HYPERLINK("#",""), HYPERLINK(CONCATENATE("#Metadata!", ADDRESS(INDEX($AJ$2:$AJ$1001,MATCH(ROWS($AH$2:AH304),$AH$2:$AH$1001,0),0), INDEX($AO$1004:$BQ$1004,1,MATCH(COLUMNS($AO$1006:BG1006),$AO$1006:$BQ$1006,0)))),"Fix")))</f>
        <v>#N/A</v>
      </c>
      <c r="U304" s="5" t="e">
        <f ca="1">IF(OR(INDEX($AI$2:$AI$1001,MATCH(ROWS($AH$2:AH304),$AH$2:$AH$1001,0),1)&gt;=100000,INDEX($AO$1005:$BQ$1005,1,MATCH(COLUMNS($AO$1006:BH1006),$AO$1006:$BQ$1006,0))&gt;=100000), " ",IF(INDEX($AO$2:$BQ$1001,MATCH(ROWS($AH$2:AH304),$AH$2:$AH$1001,0),MATCH(COLUMNS($AO$1006:BH1006),$AO$1006:$BQ$1006,0)), HYPERLINK("#",""), HYPERLINK(CONCATENATE("#Metadata!", ADDRESS(INDEX($AJ$2:$AJ$1001,MATCH(ROWS($AH$2:AH304),$AH$2:$AH$1001,0),0), INDEX($AO$1004:$BQ$1004,1,MATCH(COLUMNS($AO$1006:BH1006),$AO$1006:$BQ$1006,0)))),"Fix")))</f>
        <v>#N/A</v>
      </c>
      <c r="V304" s="5" t="e">
        <f ca="1">IF(OR(INDEX($AI$2:$AI$1001,MATCH(ROWS($AH$2:AH304),$AH$2:$AH$1001,0),1)&gt;=100000,INDEX($AO$1005:$BQ$1005,1,MATCH(COLUMNS($AO$1006:BI1006),$AO$1006:$BQ$1006,0))&gt;=100000), " ",IF(INDEX($AO$2:$BQ$1001,MATCH(ROWS($AH$2:AH304),$AH$2:$AH$1001,0),MATCH(COLUMNS($AO$1006:BI1006),$AO$1006:$BQ$1006,0)), HYPERLINK("#",""), HYPERLINK(CONCATENATE("#Metadata!", ADDRESS(INDEX($AJ$2:$AJ$1001,MATCH(ROWS($AH$2:AH304),$AH$2:$AH$1001,0),0), INDEX($AO$1004:$BQ$1004,1,MATCH(COLUMNS($AO$1006:BI1006),$AO$1006:$BQ$1006,0)))),"Fix")))</f>
        <v>#N/A</v>
      </c>
      <c r="W304" s="5" t="e">
        <f ca="1">IF(OR(INDEX($AI$2:$AI$1001,MATCH(ROWS($AH$2:AH304),$AH$2:$AH$1001,0),1)&gt;=100000,INDEX($AO$1005:$BQ$1005,1,MATCH(COLUMNS($AO$1006:BJ1006),$AO$1006:$BQ$1006,0))&gt;=100000), " ",IF(INDEX($AO$2:$BQ$1001,MATCH(ROWS($AH$2:AH304),$AH$2:$AH$1001,0),MATCH(COLUMNS($AO$1006:BJ1006),$AO$1006:$BQ$1006,0)), HYPERLINK("#",""), HYPERLINK(CONCATENATE("#Metadata!", ADDRESS(INDEX($AJ$2:$AJ$1001,MATCH(ROWS($AH$2:AH304),$AH$2:$AH$1001,0),0), INDEX($AO$1004:$BQ$1004,1,MATCH(COLUMNS($AO$1006:BJ1006),$AO$1006:$BQ$1006,0)))),"Fix")))</f>
        <v>#N/A</v>
      </c>
      <c r="X304" s="5" t="e">
        <f ca="1">IF(OR(INDEX($AI$2:$AI$1001,MATCH(ROWS($AH$2:AH304),$AH$2:$AH$1001,0),1)&gt;=100000,INDEX($AO$1005:$BQ$1005,1,MATCH(COLUMNS($AO$1006:BK1006),$AO$1006:$BQ$1006,0))&gt;=100000), " ",IF(INDEX($AO$2:$BQ$1001,MATCH(ROWS($AH$2:AH304),$AH$2:$AH$1001,0),MATCH(COLUMNS($AO$1006:BK1006),$AO$1006:$BQ$1006,0)), HYPERLINK("#",""), HYPERLINK(CONCATENATE("#Metadata!", ADDRESS(INDEX($AJ$2:$AJ$1001,MATCH(ROWS($AH$2:AH304),$AH$2:$AH$1001,0),0), INDEX($AO$1004:$BQ$1004,1,MATCH(COLUMNS($AO$1006:BK1006),$AO$1006:$BQ$1006,0)))),"Fix")))</f>
        <v>#N/A</v>
      </c>
      <c r="Y304" s="5" t="e">
        <f ca="1">IF(OR(INDEX($AI$2:$AI$1001,MATCH(ROWS($AH$2:AH304),$AH$2:$AH$1001,0),1)&gt;=100000,INDEX($AO$1005:$BQ$1005,1,MATCH(COLUMNS($AO$1006:BL1006),$AO$1006:$BQ$1006,0))&gt;=100000), " ",IF(INDEX($AO$2:$BQ$1001,MATCH(ROWS($AH$2:AH304),$AH$2:$AH$1001,0),MATCH(COLUMNS($AO$1006:BL1006),$AO$1006:$BQ$1006,0)), HYPERLINK("#",""), HYPERLINK(CONCATENATE("#Metadata!", ADDRESS(INDEX($AJ$2:$AJ$1001,MATCH(ROWS($AH$2:AH304),$AH$2:$AH$1001,0),0), INDEX($AO$1004:$BQ$1004,1,MATCH(COLUMNS($AO$1006:BL1006),$AO$1006:$BQ$1006,0)))),"Fix")))</f>
        <v>#N/A</v>
      </c>
      <c r="Z304" s="5" t="e">
        <f ca="1">IF(OR(INDEX($AI$2:$AI$1001,MATCH(ROWS($AH$2:AH304),$AH$2:$AH$1001,0),1)&gt;=100000,INDEX($AO$1005:$BQ$1005,1,MATCH(COLUMNS($AO$1006:BM1006),$AO$1006:$BQ$1006,0))&gt;=100000), " ",IF(INDEX($AO$2:$BQ$1001,MATCH(ROWS($AH$2:AH304),$AH$2:$AH$1001,0),MATCH(COLUMNS($AO$1006:BM1006),$AO$1006:$BQ$1006,0)), HYPERLINK("#",""), HYPERLINK(CONCATENATE("#Metadata!", ADDRESS(INDEX($AJ$2:$AJ$1001,MATCH(ROWS($AH$2:AH304),$AH$2:$AH$1001,0),0), INDEX($AO$1004:$BQ$1004,1,MATCH(COLUMNS($AO$1006:BM1006),$AO$1006:$BQ$1006,0)))),"Fix")))</f>
        <v>#N/A</v>
      </c>
      <c r="AA304" s="5" t="e">
        <f ca="1">IF(OR(INDEX($AI$2:$AI$1001,MATCH(ROWS($AH$2:AH304),$AH$2:$AH$1001,0),1)&gt;=100000,INDEX($AO$1005:$BQ$1005,1,MATCH(COLUMNS($AO$1006:BN1006),$AO$1006:$BQ$1006,0))&gt;=100000), " ",IF(INDEX($AO$2:$BQ$1001,MATCH(ROWS($AH$2:AH304),$AH$2:$AH$1001,0),MATCH(COLUMNS($AO$1006:BN1006),$AO$1006:$BQ$1006,0)), HYPERLINK("#",""), HYPERLINK(CONCATENATE("#Metadata!", ADDRESS(INDEX($AJ$2:$AJ$1001,MATCH(ROWS($AH$2:AH304),$AH$2:$AH$1001,0),0), INDEX($AO$1004:$BQ$1004,1,MATCH(COLUMNS($AO$1006:BN1006),$AO$1006:$BQ$1006,0)))),"Fix")))</f>
        <v>#N/A</v>
      </c>
      <c r="AB304" s="5" t="e">
        <f ca="1">IF(OR(INDEX($AI$2:$AI$1001,MATCH(ROWS($AH$2:AH304),$AH$2:$AH$1001,0),1)&gt;=100000,INDEX($AO$1005:$BQ$1005,1,MATCH(COLUMNS($AO$1006:BO1006),$AO$1006:$BQ$1006,0))&gt;=100000), " ",IF(INDEX($AO$2:$BQ$1001,MATCH(ROWS($AH$2:AH304),$AH$2:$AH$1001,0),MATCH(COLUMNS($AO$1006:BO1006),$AO$1006:$BQ$1006,0)), HYPERLINK("#",""), HYPERLINK(CONCATENATE("#Metadata!", ADDRESS(INDEX($AJ$2:$AJ$1001,MATCH(ROWS($AH$2:AH304),$AH$2:$AH$1001,0),0), INDEX($AO$1004:$BQ$1004,1,MATCH(COLUMNS($AO$1006:BO1006),$AO$1006:$BQ$1006,0)))),"Fix")))</f>
        <v>#N/A</v>
      </c>
      <c r="AC304" s="5" t="e">
        <f ca="1">IF(OR(INDEX($AI$2:$AI$1001,MATCH(ROWS($AH$2:AH304),$AH$2:$AH$1001,0),1)&gt;=100000,INDEX($AO$1005:$BQ$1005,1,MATCH(COLUMNS($AO$1006:BP1006),$AO$1006:$BQ$1006,0))&gt;=100000), " ",IF(INDEX($AO$2:$BQ$1001,MATCH(ROWS($AH$2:AH304),$AH$2:$AH$1001,0),MATCH(COLUMNS($AO$1006:BP1006),$AO$1006:$BQ$1006,0)), HYPERLINK("#",""), HYPERLINK(CONCATENATE("#Metadata!", ADDRESS(INDEX($AJ$2:$AJ$1001,MATCH(ROWS($AH$2:AH304),$AH$2:$AH$1001,0),0), INDEX($AO$1004:$BQ$1004,1,MATCH(COLUMNS($AO$1006:BP1006),$AO$1006:$BQ$1006,0)))),"Fix")))</f>
        <v>#N/A</v>
      </c>
      <c r="AD304" s="5" t="e">
        <f ca="1">IF(OR(INDEX($AI$2:$AI$1001,MATCH(ROWS($AH$2:AH304),$AH$2:$AH$1001,0),1)&gt;=100000,INDEX($AO$1005:$BQ$1005,1,MATCH(COLUMNS($AO$1006:BQ1006),$AO$1006:$BQ$1006,0))&gt;=100000), " ",IF(INDEX($AO$2:$BQ$1001,MATCH(ROWS($AH$2:AH304),$AH$2:$AH$1001,0),MATCH(COLUMNS($AO$1006:BQ1006),$AO$1006:$BQ$1006,0)), HYPERLINK("#",""), HYPERLINK(CONCATENATE("#Metadata!", ADDRESS(INDEX($AJ$2:$AJ$1001,MATCH(ROWS($AH$2:AH304),$AH$2:$AH$1001,0),0), INDEX($AO$1004:$BQ$1004,1,MATCH(COLUMNS($AO$1006:BQ1006),$AO$1006:$BQ$1006,0)))),"Fix")))</f>
        <v>#REF!</v>
      </c>
      <c r="AH304">
        <f ca="1"/>
        <v>301</v>
      </c>
      <c r="AI304">
        <v>100304</v>
      </c>
      <c r="AJ304">
        <v>304</v>
      </c>
      <c r="AK304" t="b">
        <f t="shared" si="4"/>
        <v>1</v>
      </c>
      <c r="AL304" t="b">
        <f>COUNTBLANK(Metadata!B304:AD304)=COLUMNS(Metadata!B304:AD304)</f>
        <v>1</v>
      </c>
      <c r="AM304" t="str">
        <v/>
      </c>
      <c r="AO304" t="b">
        <f ca="1">AND(IF(Metadata!B304="",FALSE,TRUE),COUNTIF(Metadata!B:B, Metadata!B304) = 1,NOT(ISERROR(SUMPRODUCT(SEARCH(MID(Metadata!B304,ROW(INDIRECT("1:"&amp;LEN(Metadata!B304))), 1),"0123456789abcdefghijklmnopqrstuvwxyzABCDEFGHIJKLMNOPQRSTUVWXYZ.")))))</f>
        <v>0</v>
      </c>
      <c r="AP304" t="b">
        <f>IF(Metadata!C304="",FALSE,TRUE)</f>
        <v>0</v>
      </c>
      <c r="AQ304" t="b">
        <f>IF(Metadata!D304="",FALSE,TRUE)</f>
        <v>0</v>
      </c>
      <c r="AR304" t="b">
        <f ca="1">OR(AND(IF(Metadata!E304="",FALSE,TRUE),OR(EXACT(Metadata!E304,"not collected"),EXACT(Metadata!E304,"not provided"),EXACT(Metadata!E304,"restricted access"))),AND(IF(Metadata!E304="",FALSE,TRUE),AND(AND(IFERROR(INT(LEFT(Metadata!E304,4))&gt;1900,FALSE),IFERROR(INT(LEFT(Metadata!E304,4))&lt;=YEAR(NOW()),FALSE)), OR(MID(Metadata!E304,5,1)="", AND(AND(MID(Metadata!E304,5,1)="-",IFERROR(INT(MID(Metadata!E304,6,1))&gt;=0,FALSE),IFERROR(INT(MID(Metadata!E304,6,1))&lt;=1,FALSE),NOT(MID(Metadata!E304,7,1)=""),IFERROR(INT(MID(Metadata!E304,6,2))&gt;=1,FALSE),IFERROR(INT(MID(Metadata!E304,6,2))&lt;=12,FALSE)), OR(MID(Metadata!E304,8,1)="", AND(AND(MID(Metadata!E304,8,1)="-",IFERROR(INT(MID(Metadata!E304,9,1))&gt;=0,FALSE),IFERROR(INT(MID(Metadata!E304,9,1))&lt;=3,FALSE),NOT(MID(Metadata!E304,10,1)=""),IFERROR(INT(MID(Metadata!E304,9,2))&gt;=1,FALSE),IFERROR(INT(MID(Metadata!E304,9,2))&lt;=31,FALSE)), OR(MID(Metadata!E304,11,1)="", AND(AND(MID(Metadata!E304,11,1)=" ",IFERROR(INT(MID(Metadata!E304,12,1))&gt;=0,FALSE),IFERROR(INT(MID(Metadata!E304,12,1))&lt;=2,FALSE),NOT(MID(Metadata!E304,13,1)=""),IFERROR(INT(MID(Metadata!E304,12,2))&gt;=0,FALSE),IFERROR(INT(MID(Metadata!E304,12,2))&lt;=23,FALSE)), OR(MID(Metadata!E304,14,1)="", AND(AND(MID(Metadata!E304,14,1)=":",IFERROR(INT(MID(Metadata!E304,15,1))&gt;=0,FALSE),IFERROR(INT(MID(Metadata!E304,15,1))&lt;=5,FALSE),NOT(MID(Metadata!E304,16,1)=""),IFERROR(INT(MID(Metadata!E304,15,2))&gt;=0,FALSE),IFERROR(INT(MID(Metadata!E304,15,2))&lt;=59,FALSE)), OR(MID(Metadata!E304,17,1)="", AND(AND(MID(Metadata!E304,17,1)=":",IFERROR(INT(MID(Metadata!E304,18,1))&gt;=0,FALSE),IFERROR(INT(MID(Metadata!E304,18,1))&lt;=5,FALSE),NOT(MID(Metadata!E304,19,1)=""),IFERROR(INT(MID(Metadata!E304,18,2))&gt;=0,FALSE),IFERROR(INT(MID(Metadata!E304,18,2))&lt;=59,FALSE)), LEN(Metadata!E304)&lt;=19)))))))))))))</f>
        <v>0</v>
      </c>
      <c r="AS304" t="b">
        <f>IF(Metadata!F304="",FALSE,TRUE)</f>
        <v>0</v>
      </c>
      <c r="AT304" t="b">
        <f>OR(AND(IF(Metadata!G304="",FALSE,TRUE),OR(EXACT(Metadata!G304,"not collected"),EXACT(Metadata!G304,"not provided"))),AND(IF(Metadata!G304="",FALSE,TRUE),OR(EXACT(Metadata!G304,"TRUE"),EXACT(Metadata!G304,"FALSE"))))</f>
        <v>0</v>
      </c>
      <c r="AU304" t="b">
        <f>OR(AND(IF(Metadata!H304="",FALSE,TRUE),OR(EXACT(Metadata!H304,"not collected"),EXACT(Metadata!H304,"not provided"),EXACT(Metadata!H304,"restricted access"))),AND(IF(Metadata!H304="",FALSE,ISNUMBER(VALUE(Metadata!H304))),Metadata!H304&gt;=-413))</f>
        <v>0</v>
      </c>
      <c r="AV304" t="b">
        <f>AND(IF(Metadata!I304="",FALSE,TRUE),EXACT(Metadata!I304,"meters"))</f>
        <v>0</v>
      </c>
      <c r="AW304" t="b">
        <f>AND(IF(Metadata!J304="",FALSE,TRUE),EXACT(Metadata!J304,"free-living"))</f>
        <v>0</v>
      </c>
      <c r="AX304" t="b">
        <f>AND(IF(Metadata!K304="",FALSE,TRUE),OR(EXACT(Metadata!K304,"saline"),EXACT(Metadata!K304,"non-saline")))</f>
        <v>0</v>
      </c>
      <c r="AY304" t="b">
        <f>AND(IF(Metadata!L304="",FALSE,TRUE),OR(EXACT(Metadata!L304,"sub-surface (non-saline)"),EXACT(Metadata!L304,"surface (non-saline)"),EXACT(Metadata!L304,"water (non-saline)"),EXACT(Metadata!L304,"soil (non-saline)"),EXACT(Metadata!L304,"aerosol (non-saline)"),EXACT(Metadata!L304,"sediment (non-saline)"),EXACT(Metadata!L304,"surface (saline)"),EXACT(Metadata!L304,"water (saline)"),EXACT(Metadata!L304,"hypersaline (saline)"),EXACT(Metadata!L304,"aerosol (saline)"),EXACT(Metadata!L304,"sediment (saline)")))</f>
        <v>0</v>
      </c>
      <c r="AZ304" t="b">
        <f>IF(Metadata!M304="",FALSE,TRUE)</f>
        <v>0</v>
      </c>
      <c r="BA304" t="b">
        <f>IF(Metadata!N304="",FALSE,TRUE)</f>
        <v>0</v>
      </c>
      <c r="BB304" t="b">
        <f>IF(Metadata!O304="",FALSE,TRUE)</f>
        <v>0</v>
      </c>
      <c r="BC304" t="b">
        <f>AND(IF(Metadata!P304="",FALSE,TRUE),OR(EXACT(Metadata!P304,"air"),EXACT(Metadata!P304,"microbial mat/biofilm"),EXACT(Metadata!P304,"misc environment"),EXACT(Metadata!P304,"sediment"),EXACT(Metadata!P304,"soil"),EXACT(Metadata!P304,"wastewater/sludge"),EXACT(Metadata!P304,"water")))</f>
        <v>0</v>
      </c>
      <c r="BD304" t="b">
        <f>IF(Metadata!Q304="",FALSE,TRUE)</f>
        <v>0</v>
      </c>
      <c r="BE304" t="b">
        <f>IF(Metadata!R304="",FALSE,TRUE)</f>
        <v>0</v>
      </c>
      <c r="BF304" t="b">
        <f>OR(AND(IF(Metadata!S304="",FALSE,TRUE),OR(EXACT(Metadata!S304,"not collected"),EXACT(Metadata!S304,"not provided"),EXACT(Metadata!S304,"restricted access"))),AND(IF(Metadata!S304="",FALSE,ISNUMBER(VALUE(Metadata!S304))),Metadata!S304&gt;=-90,Metadata!S304&lt;=90))</f>
        <v>0</v>
      </c>
      <c r="BG304" t="b">
        <f>AND(IF(Metadata!T304="",FALSE,TRUE),EXACT(Metadata!T304,"Decimal degrees"))</f>
        <v>0</v>
      </c>
      <c r="BH304" t="b">
        <f>OR(AND(IF(Metadata!U304="",FALSE,TRUE),OR(EXACT(Metadata!U304,"not applicable"),EXACT(Metadata!U304,"not collected"))),IF(Metadata!U304="",FALSE,TRUE))</f>
        <v>0</v>
      </c>
      <c r="BI304" t="b">
        <f>OR(AND(IF(Metadata!V304="",FALSE,TRUE),OR(EXACT(Metadata!V304,"not collected"),EXACT(Metadata!V304,"not provided"),EXACT(Metadata!V304,"restricted access"))),AND(IF(Metadata!V304="",FALSE,ISNUMBER(VALUE(Metadata!V304))),Metadata!V304&gt;=-180,Metadata!V304&lt;=180))</f>
        <v>0</v>
      </c>
      <c r="BJ304" t="b">
        <f>AND(IF(Metadata!W304="",FALSE,TRUE),EXACT(Metadata!W304,"Decimal degrees"))</f>
        <v>0</v>
      </c>
      <c r="BK304" t="b">
        <f>IF(Metadata!X304="",FALSE,TRUE)</f>
        <v>0</v>
      </c>
      <c r="BL304" t="b">
        <f>OR(AND(IF(Metadata!Y304="",FALSE,TRUE),OR(EXACT(Metadata!Y304,"not collected"),EXACT(Metadata!Y304,"not provided"),EXACT(Metadata!Y304,"restricted access"))),AND(IF(Metadata!Y304="",FALSE,TRUE),OR(EXACT(Metadata!Y304,"TRUE"),EXACT(Metadata!Y304,"FALSE"))))</f>
        <v>0</v>
      </c>
      <c r="BM304" t="b">
        <f>OR(AND(IF(Metadata!Z304="",FALSE,TRUE),EXACT(Metadata!Z304,"not applicable")),AND(IF(Metadata!Z304="",FALSE,TRUE),OR(EXACT(Metadata!Z304,"beer"),EXACT(Metadata!Z304,"cheese"),EXACT(Metadata!Z304,"fresh water"),EXACT(Metadata!Z304,"marine sediment"),EXACT(Metadata!Z304,"sea water"),EXACT(Metadata!Z304,"sediment"),EXACT(Metadata!Z304,"soil"),EXACT(Metadata!Z304,"waste water"))))</f>
        <v>0</v>
      </c>
      <c r="BN304" t="b">
        <f>AND(IF(Metadata!AA304="",FALSE,TRUE),EXACT(Metadata!AA304,"metagenome"))</f>
        <v>0</v>
      </c>
      <c r="BO304" t="b">
        <f>AND(IF(Metadata!AB304="",FALSE,TRUE),EXACT(Metadata!AB304,"256318"))</f>
        <v>0</v>
      </c>
      <c r="BP304" t="b">
        <f>IF(Metadata!AC304="",FALSE,TRUE)</f>
        <v>0</v>
      </c>
      <c r="BQ304" t="b">
        <f>IF(Metadata!AD304="",FALSE,TRUE)</f>
        <v>0</v>
      </c>
    </row>
    <row r="305" spans="1:69" x14ac:dyDescent="0.2">
      <c r="A305" s="4" t="e">
        <f ca="1">IF(B305=" "," ",HYPERLINK(CONCATENATE("#metadata!",ADDRESS(INDEX($AJ$2:$AJ$1001,MATCH(ROWS($AH$2:AH305),$AH$2:$AH$1001,0),0),2)),INDEX($AM$2:$AM$1001,MATCH(ROWS($AH$2:AH305),$AH$2:$AH$1001,0),0)))</f>
        <v>#N/A</v>
      </c>
      <c r="B305" s="5" t="e">
        <f ca="1">IF(OR(INDEX($AI$2:$AI$1001,MATCH(ROWS($AH$2:AH305),$AH$2:$AH$1001,0),1)&gt;=100000,INDEX($AO$1005:$BQ$1005,1,MATCH(COLUMNS($AO$1006:AO1006),$AO$1006:$BQ$1006,0))&gt;=100000), " ",IF(INDEX($AO$2:$BQ$1001,MATCH(ROWS($AH$2:AH305),$AH$2:$AH$1001,0),MATCH(COLUMNS($AO$1006:AO1006),$AO$1006:$BQ$1006,0)), HYPERLINK("#",""), HYPERLINK(CONCATENATE("#Metadata!", ADDRESS(INDEX($AJ$2:$AJ$1001,MATCH(ROWS($AH$2:AH305),$AH$2:$AH$1001,0),0), INDEX($AO$1004:$BQ$1004,1,MATCH(COLUMNS($AO$1006:AO1006),$AO$1006:$BQ$1006,0)))),"Fix")))</f>
        <v>#N/A</v>
      </c>
      <c r="C305" s="5" t="e">
        <f ca="1">IF(OR(INDEX($AI$2:$AI$1001,MATCH(ROWS($AH$2:AH305),$AH$2:$AH$1001,0),1)&gt;=100000,INDEX($AO$1005:$BQ$1005,1,MATCH(COLUMNS($AO$1006:AP1006),$AO$1006:$BQ$1006,0))&gt;=100000), " ",IF(INDEX($AO$2:$BQ$1001,MATCH(ROWS($AH$2:AH305),$AH$2:$AH$1001,0),MATCH(COLUMNS($AO$1006:AP1006),$AO$1006:$BQ$1006,0)), HYPERLINK("#",""), HYPERLINK(CONCATENATE("#Metadata!", ADDRESS(INDEX($AJ$2:$AJ$1001,MATCH(ROWS($AH$2:AH305),$AH$2:$AH$1001,0),0), INDEX($AO$1004:$BQ$1004,1,MATCH(COLUMNS($AO$1006:AP1006),$AO$1006:$BQ$1006,0)))),"Fix")))</f>
        <v>#N/A</v>
      </c>
      <c r="D305" s="5" t="e">
        <f ca="1">IF(OR(INDEX($AI$2:$AI$1001,MATCH(ROWS($AH$2:AH305),$AH$2:$AH$1001,0),1)&gt;=100000,INDEX($AO$1005:$BQ$1005,1,MATCH(COLUMNS($AO$1006:AQ1006),$AO$1006:$BQ$1006,0))&gt;=100000), " ",IF(INDEX($AO$2:$BQ$1001,MATCH(ROWS($AH$2:AH305),$AH$2:$AH$1001,0),MATCH(COLUMNS($AO$1006:AQ1006),$AO$1006:$BQ$1006,0)), HYPERLINK("#",""), HYPERLINK(CONCATENATE("#Metadata!", ADDRESS(INDEX($AJ$2:$AJ$1001,MATCH(ROWS($AH$2:AH305),$AH$2:$AH$1001,0),0), INDEX($AO$1004:$BQ$1004,1,MATCH(COLUMNS($AO$1006:AQ1006),$AO$1006:$BQ$1006,0)))),"Fix")))</f>
        <v>#N/A</v>
      </c>
      <c r="E305" s="5" t="e">
        <f ca="1">IF(OR(INDEX($AI$2:$AI$1001,MATCH(ROWS($AH$2:AH305),$AH$2:$AH$1001,0),1)&gt;=100000,INDEX($AO$1005:$BQ$1005,1,MATCH(COLUMNS($AO$1006:AR1006),$AO$1006:$BQ$1006,0))&gt;=100000), " ",IF(INDEX($AO$2:$BQ$1001,MATCH(ROWS($AH$2:AH305),$AH$2:$AH$1001,0),MATCH(COLUMNS($AO$1006:AR1006),$AO$1006:$BQ$1006,0)), HYPERLINK("#",""), HYPERLINK(CONCATENATE("#Metadata!", ADDRESS(INDEX($AJ$2:$AJ$1001,MATCH(ROWS($AH$2:AH305),$AH$2:$AH$1001,0),0), INDEX($AO$1004:$BQ$1004,1,MATCH(COLUMNS($AO$1006:AR1006),$AO$1006:$BQ$1006,0)))),"Fix")))</f>
        <v>#N/A</v>
      </c>
      <c r="F305" s="5" t="e">
        <f ca="1">IF(OR(INDEX($AI$2:$AI$1001,MATCH(ROWS($AH$2:AH305),$AH$2:$AH$1001,0),1)&gt;=100000,INDEX($AO$1005:$BQ$1005,1,MATCH(COLUMNS($AO$1006:AS1006),$AO$1006:$BQ$1006,0))&gt;=100000), " ",IF(INDEX($AO$2:$BQ$1001,MATCH(ROWS($AH$2:AH305),$AH$2:$AH$1001,0),MATCH(COLUMNS($AO$1006:AS1006),$AO$1006:$BQ$1006,0)), HYPERLINK("#",""), HYPERLINK(CONCATENATE("#Metadata!", ADDRESS(INDEX($AJ$2:$AJ$1001,MATCH(ROWS($AH$2:AH305),$AH$2:$AH$1001,0),0), INDEX($AO$1004:$BQ$1004,1,MATCH(COLUMNS($AO$1006:AS1006),$AO$1006:$BQ$1006,0)))),"Fix")))</f>
        <v>#N/A</v>
      </c>
      <c r="G305" s="5" t="e">
        <f ca="1">IF(OR(INDEX($AI$2:$AI$1001,MATCH(ROWS($AH$2:AH305),$AH$2:$AH$1001,0),1)&gt;=100000,INDEX($AO$1005:$BQ$1005,1,MATCH(COLUMNS($AO$1006:AT1006),$AO$1006:$BQ$1006,0))&gt;=100000), " ",IF(INDEX($AO$2:$BQ$1001,MATCH(ROWS($AH$2:AH305),$AH$2:$AH$1001,0),MATCH(COLUMNS($AO$1006:AT1006),$AO$1006:$BQ$1006,0)), HYPERLINK("#",""), HYPERLINK(CONCATENATE("#Metadata!", ADDRESS(INDEX($AJ$2:$AJ$1001,MATCH(ROWS($AH$2:AH305),$AH$2:$AH$1001,0),0), INDEX($AO$1004:$BQ$1004,1,MATCH(COLUMNS($AO$1006:AT1006),$AO$1006:$BQ$1006,0)))),"Fix")))</f>
        <v>#N/A</v>
      </c>
      <c r="H305" s="5" t="e">
        <f ca="1">IF(OR(INDEX($AI$2:$AI$1001,MATCH(ROWS($AH$2:AH305),$AH$2:$AH$1001,0),1)&gt;=100000,INDEX($AO$1005:$BQ$1005,1,MATCH(COLUMNS($AO$1006:AU1006),$AO$1006:$BQ$1006,0))&gt;=100000), " ",IF(INDEX($AO$2:$BQ$1001,MATCH(ROWS($AH$2:AH305),$AH$2:$AH$1001,0),MATCH(COLUMNS($AO$1006:AU1006),$AO$1006:$BQ$1006,0)), HYPERLINK("#",""), HYPERLINK(CONCATENATE("#Metadata!", ADDRESS(INDEX($AJ$2:$AJ$1001,MATCH(ROWS($AH$2:AH305),$AH$2:$AH$1001,0),0), INDEX($AO$1004:$BQ$1004,1,MATCH(COLUMNS($AO$1006:AU1006),$AO$1006:$BQ$1006,0)))),"Fix")))</f>
        <v>#N/A</v>
      </c>
      <c r="I305" s="5" t="e">
        <f ca="1">IF(OR(INDEX($AI$2:$AI$1001,MATCH(ROWS($AH$2:AH305),$AH$2:$AH$1001,0),1)&gt;=100000,INDEX($AO$1005:$BQ$1005,1,MATCH(COLUMNS($AO$1006:AV1006),$AO$1006:$BQ$1006,0))&gt;=100000), " ",IF(INDEX($AO$2:$BQ$1001,MATCH(ROWS($AH$2:AH305),$AH$2:$AH$1001,0),MATCH(COLUMNS($AO$1006:AV1006),$AO$1006:$BQ$1006,0)), HYPERLINK("#",""), HYPERLINK(CONCATENATE("#Metadata!", ADDRESS(INDEX($AJ$2:$AJ$1001,MATCH(ROWS($AH$2:AH305),$AH$2:$AH$1001,0),0), INDEX($AO$1004:$BQ$1004,1,MATCH(COLUMNS($AO$1006:AV1006),$AO$1006:$BQ$1006,0)))),"Fix")))</f>
        <v>#N/A</v>
      </c>
      <c r="J305" s="5" t="e">
        <f ca="1">IF(OR(INDEX($AI$2:$AI$1001,MATCH(ROWS($AH$2:AH305),$AH$2:$AH$1001,0),1)&gt;=100000,INDEX($AO$1005:$BQ$1005,1,MATCH(COLUMNS($AO$1006:AW1006),$AO$1006:$BQ$1006,0))&gt;=100000), " ",IF(INDEX($AO$2:$BQ$1001,MATCH(ROWS($AH$2:AH305),$AH$2:$AH$1001,0),MATCH(COLUMNS($AO$1006:AW1006),$AO$1006:$BQ$1006,0)), HYPERLINK("#",""), HYPERLINK(CONCATENATE("#Metadata!", ADDRESS(INDEX($AJ$2:$AJ$1001,MATCH(ROWS($AH$2:AH305),$AH$2:$AH$1001,0),0), INDEX($AO$1004:$BQ$1004,1,MATCH(COLUMNS($AO$1006:AW1006),$AO$1006:$BQ$1006,0)))),"Fix")))</f>
        <v>#N/A</v>
      </c>
      <c r="K305" s="5" t="e">
        <f ca="1">IF(OR(INDEX($AI$2:$AI$1001,MATCH(ROWS($AH$2:AH305),$AH$2:$AH$1001,0),1)&gt;=100000,INDEX($AO$1005:$BQ$1005,1,MATCH(COLUMNS($AO$1006:AX1006),$AO$1006:$BQ$1006,0))&gt;=100000), " ",IF(INDEX($AO$2:$BQ$1001,MATCH(ROWS($AH$2:AH305),$AH$2:$AH$1001,0),MATCH(COLUMNS($AO$1006:AX1006),$AO$1006:$BQ$1006,0)), HYPERLINK("#",""), HYPERLINK(CONCATENATE("#Metadata!", ADDRESS(INDEX($AJ$2:$AJ$1001,MATCH(ROWS($AH$2:AH305),$AH$2:$AH$1001,0),0), INDEX($AO$1004:$BQ$1004,1,MATCH(COLUMNS($AO$1006:AX1006),$AO$1006:$BQ$1006,0)))),"Fix")))</f>
        <v>#N/A</v>
      </c>
      <c r="L305" s="5" t="e">
        <f ca="1">IF(OR(INDEX($AI$2:$AI$1001,MATCH(ROWS($AH$2:AH305),$AH$2:$AH$1001,0),1)&gt;=100000,INDEX($AO$1005:$BQ$1005,1,MATCH(COLUMNS($AO$1006:AY1006),$AO$1006:$BQ$1006,0))&gt;=100000), " ",IF(INDEX($AO$2:$BQ$1001,MATCH(ROWS($AH$2:AH305),$AH$2:$AH$1001,0),MATCH(COLUMNS($AO$1006:AY1006),$AO$1006:$BQ$1006,0)), HYPERLINK("#",""), HYPERLINK(CONCATENATE("#Metadata!", ADDRESS(INDEX($AJ$2:$AJ$1001,MATCH(ROWS($AH$2:AH305),$AH$2:$AH$1001,0),0), INDEX($AO$1004:$BQ$1004,1,MATCH(COLUMNS($AO$1006:AY1006),$AO$1006:$BQ$1006,0)))),"Fix")))</f>
        <v>#N/A</v>
      </c>
      <c r="M305" s="5" t="e">
        <f ca="1">IF(OR(INDEX($AI$2:$AI$1001,MATCH(ROWS($AH$2:AH305),$AH$2:$AH$1001,0),1)&gt;=100000,INDEX($AO$1005:$BQ$1005,1,MATCH(COLUMNS($AO$1006:AZ1006),$AO$1006:$BQ$1006,0))&gt;=100000), " ",IF(INDEX($AO$2:$BQ$1001,MATCH(ROWS($AH$2:AH305),$AH$2:$AH$1001,0),MATCH(COLUMNS($AO$1006:AZ1006),$AO$1006:$BQ$1006,0)), HYPERLINK("#",""), HYPERLINK(CONCATENATE("#Metadata!", ADDRESS(INDEX($AJ$2:$AJ$1001,MATCH(ROWS($AH$2:AH305),$AH$2:$AH$1001,0),0), INDEX($AO$1004:$BQ$1004,1,MATCH(COLUMNS($AO$1006:AZ1006),$AO$1006:$BQ$1006,0)))),"Fix")))</f>
        <v>#N/A</v>
      </c>
      <c r="N305" s="5" t="e">
        <f ca="1">IF(OR(INDEX($AI$2:$AI$1001,MATCH(ROWS($AH$2:AH305),$AH$2:$AH$1001,0),1)&gt;=100000,INDEX($AO$1005:$BQ$1005,1,MATCH(COLUMNS($AO$1006:BA1006),$AO$1006:$BQ$1006,0))&gt;=100000), " ",IF(INDEX($AO$2:$BQ$1001,MATCH(ROWS($AH$2:AH305),$AH$2:$AH$1001,0),MATCH(COLUMNS($AO$1006:BA1006),$AO$1006:$BQ$1006,0)), HYPERLINK("#",""), HYPERLINK(CONCATENATE("#Metadata!", ADDRESS(INDEX($AJ$2:$AJ$1001,MATCH(ROWS($AH$2:AH305),$AH$2:$AH$1001,0),0), INDEX($AO$1004:$BQ$1004,1,MATCH(COLUMNS($AO$1006:BA1006),$AO$1006:$BQ$1006,0)))),"Fix")))</f>
        <v>#N/A</v>
      </c>
      <c r="O305" s="5" t="e">
        <f ca="1">IF(OR(INDEX($AI$2:$AI$1001,MATCH(ROWS($AH$2:AH305),$AH$2:$AH$1001,0),1)&gt;=100000,INDEX($AO$1005:$BQ$1005,1,MATCH(COLUMNS($AO$1006:BB1006),$AO$1006:$BQ$1006,0))&gt;=100000), " ",IF(INDEX($AO$2:$BQ$1001,MATCH(ROWS($AH$2:AH305),$AH$2:$AH$1001,0),MATCH(COLUMNS($AO$1006:BB1006),$AO$1006:$BQ$1006,0)), HYPERLINK("#",""), HYPERLINK(CONCATENATE("#Metadata!", ADDRESS(INDEX($AJ$2:$AJ$1001,MATCH(ROWS($AH$2:AH305),$AH$2:$AH$1001,0),0), INDEX($AO$1004:$BQ$1004,1,MATCH(COLUMNS($AO$1006:BB1006),$AO$1006:$BQ$1006,0)))),"Fix")))</f>
        <v>#N/A</v>
      </c>
      <c r="P305" s="5" t="e">
        <f ca="1">IF(OR(INDEX($AI$2:$AI$1001,MATCH(ROWS($AH$2:AH305),$AH$2:$AH$1001,0),1)&gt;=100000,INDEX($AO$1005:$BQ$1005,1,MATCH(COLUMNS($AO$1006:BC1006),$AO$1006:$BQ$1006,0))&gt;=100000), " ",IF(INDEX($AO$2:$BQ$1001,MATCH(ROWS($AH$2:AH305),$AH$2:$AH$1001,0),MATCH(COLUMNS($AO$1006:BC1006),$AO$1006:$BQ$1006,0)), HYPERLINK("#",""), HYPERLINK(CONCATENATE("#Metadata!", ADDRESS(INDEX($AJ$2:$AJ$1001,MATCH(ROWS($AH$2:AH305),$AH$2:$AH$1001,0),0), INDEX($AO$1004:$BQ$1004,1,MATCH(COLUMNS($AO$1006:BC1006),$AO$1006:$BQ$1006,0)))),"Fix")))</f>
        <v>#N/A</v>
      </c>
      <c r="Q305" s="5" t="e">
        <f ca="1">IF(OR(INDEX($AI$2:$AI$1001,MATCH(ROWS($AH$2:AH305),$AH$2:$AH$1001,0),1)&gt;=100000,INDEX($AO$1005:$BQ$1005,1,MATCH(COLUMNS($AO$1006:BD1006),$AO$1006:$BQ$1006,0))&gt;=100000), " ",IF(INDEX($AO$2:$BQ$1001,MATCH(ROWS($AH$2:AH305),$AH$2:$AH$1001,0),MATCH(COLUMNS($AO$1006:BD1006),$AO$1006:$BQ$1006,0)), HYPERLINK("#",""), HYPERLINK(CONCATENATE("#Metadata!", ADDRESS(INDEX($AJ$2:$AJ$1001,MATCH(ROWS($AH$2:AH305),$AH$2:$AH$1001,0),0), INDEX($AO$1004:$BQ$1004,1,MATCH(COLUMNS($AO$1006:BD1006),$AO$1006:$BQ$1006,0)))),"Fix")))</f>
        <v>#N/A</v>
      </c>
      <c r="R305" s="5" t="e">
        <f ca="1">IF(OR(INDEX($AI$2:$AI$1001,MATCH(ROWS($AH$2:AH305),$AH$2:$AH$1001,0),1)&gt;=100000,INDEX($AO$1005:$BQ$1005,1,MATCH(COLUMNS($AO$1006:BE1006),$AO$1006:$BQ$1006,0))&gt;=100000), " ",IF(INDEX($AO$2:$BQ$1001,MATCH(ROWS($AH$2:AH305),$AH$2:$AH$1001,0),MATCH(COLUMNS($AO$1006:BE1006),$AO$1006:$BQ$1006,0)), HYPERLINK("#",""), HYPERLINK(CONCATENATE("#Metadata!", ADDRESS(INDEX($AJ$2:$AJ$1001,MATCH(ROWS($AH$2:AH305),$AH$2:$AH$1001,0),0), INDEX($AO$1004:$BQ$1004,1,MATCH(COLUMNS($AO$1006:BE1006),$AO$1006:$BQ$1006,0)))),"Fix")))</f>
        <v>#N/A</v>
      </c>
      <c r="S305" s="5" t="e">
        <f ca="1">IF(OR(INDEX($AI$2:$AI$1001,MATCH(ROWS($AH$2:AH305),$AH$2:$AH$1001,0),1)&gt;=100000,INDEX($AO$1005:$BQ$1005,1,MATCH(COLUMNS($AO$1006:BF1006),$AO$1006:$BQ$1006,0))&gt;=100000), " ",IF(INDEX($AO$2:$BQ$1001,MATCH(ROWS($AH$2:AH305),$AH$2:$AH$1001,0),MATCH(COLUMNS($AO$1006:BF1006),$AO$1006:$BQ$1006,0)), HYPERLINK("#",""), HYPERLINK(CONCATENATE("#Metadata!", ADDRESS(INDEX($AJ$2:$AJ$1001,MATCH(ROWS($AH$2:AH305),$AH$2:$AH$1001,0),0), INDEX($AO$1004:$BQ$1004,1,MATCH(COLUMNS($AO$1006:BF1006),$AO$1006:$BQ$1006,0)))),"Fix")))</f>
        <v>#N/A</v>
      </c>
      <c r="T305" s="5" t="e">
        <f ca="1">IF(OR(INDEX($AI$2:$AI$1001,MATCH(ROWS($AH$2:AH305),$AH$2:$AH$1001,0),1)&gt;=100000,INDEX($AO$1005:$BQ$1005,1,MATCH(COLUMNS($AO$1006:BG1006),$AO$1006:$BQ$1006,0))&gt;=100000), " ",IF(INDEX($AO$2:$BQ$1001,MATCH(ROWS($AH$2:AH305),$AH$2:$AH$1001,0),MATCH(COLUMNS($AO$1006:BG1006),$AO$1006:$BQ$1006,0)), HYPERLINK("#",""), HYPERLINK(CONCATENATE("#Metadata!", ADDRESS(INDEX($AJ$2:$AJ$1001,MATCH(ROWS($AH$2:AH305),$AH$2:$AH$1001,0),0), INDEX($AO$1004:$BQ$1004,1,MATCH(COLUMNS($AO$1006:BG1006),$AO$1006:$BQ$1006,0)))),"Fix")))</f>
        <v>#N/A</v>
      </c>
      <c r="U305" s="5" t="e">
        <f ca="1">IF(OR(INDEX($AI$2:$AI$1001,MATCH(ROWS($AH$2:AH305),$AH$2:$AH$1001,0),1)&gt;=100000,INDEX($AO$1005:$BQ$1005,1,MATCH(COLUMNS($AO$1006:BH1006),$AO$1006:$BQ$1006,0))&gt;=100000), " ",IF(INDEX($AO$2:$BQ$1001,MATCH(ROWS($AH$2:AH305),$AH$2:$AH$1001,0),MATCH(COLUMNS($AO$1006:BH1006),$AO$1006:$BQ$1006,0)), HYPERLINK("#",""), HYPERLINK(CONCATENATE("#Metadata!", ADDRESS(INDEX($AJ$2:$AJ$1001,MATCH(ROWS($AH$2:AH305),$AH$2:$AH$1001,0),0), INDEX($AO$1004:$BQ$1004,1,MATCH(COLUMNS($AO$1006:BH1006),$AO$1006:$BQ$1006,0)))),"Fix")))</f>
        <v>#N/A</v>
      </c>
      <c r="V305" s="5" t="e">
        <f ca="1">IF(OR(INDEX($AI$2:$AI$1001,MATCH(ROWS($AH$2:AH305),$AH$2:$AH$1001,0),1)&gt;=100000,INDEX($AO$1005:$BQ$1005,1,MATCH(COLUMNS($AO$1006:BI1006),$AO$1006:$BQ$1006,0))&gt;=100000), " ",IF(INDEX($AO$2:$BQ$1001,MATCH(ROWS($AH$2:AH305),$AH$2:$AH$1001,0),MATCH(COLUMNS($AO$1006:BI1006),$AO$1006:$BQ$1006,0)), HYPERLINK("#",""), HYPERLINK(CONCATENATE("#Metadata!", ADDRESS(INDEX($AJ$2:$AJ$1001,MATCH(ROWS($AH$2:AH305),$AH$2:$AH$1001,0),0), INDEX($AO$1004:$BQ$1004,1,MATCH(COLUMNS($AO$1006:BI1006),$AO$1006:$BQ$1006,0)))),"Fix")))</f>
        <v>#N/A</v>
      </c>
      <c r="W305" s="5" t="e">
        <f ca="1">IF(OR(INDEX($AI$2:$AI$1001,MATCH(ROWS($AH$2:AH305),$AH$2:$AH$1001,0),1)&gt;=100000,INDEX($AO$1005:$BQ$1005,1,MATCH(COLUMNS($AO$1006:BJ1006),$AO$1006:$BQ$1006,0))&gt;=100000), " ",IF(INDEX($AO$2:$BQ$1001,MATCH(ROWS($AH$2:AH305),$AH$2:$AH$1001,0),MATCH(COLUMNS($AO$1006:BJ1006),$AO$1006:$BQ$1006,0)), HYPERLINK("#",""), HYPERLINK(CONCATENATE("#Metadata!", ADDRESS(INDEX($AJ$2:$AJ$1001,MATCH(ROWS($AH$2:AH305),$AH$2:$AH$1001,0),0), INDEX($AO$1004:$BQ$1004,1,MATCH(COLUMNS($AO$1006:BJ1006),$AO$1006:$BQ$1006,0)))),"Fix")))</f>
        <v>#N/A</v>
      </c>
      <c r="X305" s="5" t="e">
        <f ca="1">IF(OR(INDEX($AI$2:$AI$1001,MATCH(ROWS($AH$2:AH305),$AH$2:$AH$1001,0),1)&gt;=100000,INDEX($AO$1005:$BQ$1005,1,MATCH(COLUMNS($AO$1006:BK1006),$AO$1006:$BQ$1006,0))&gt;=100000), " ",IF(INDEX($AO$2:$BQ$1001,MATCH(ROWS($AH$2:AH305),$AH$2:$AH$1001,0),MATCH(COLUMNS($AO$1006:BK1006),$AO$1006:$BQ$1006,0)), HYPERLINK("#",""), HYPERLINK(CONCATENATE("#Metadata!", ADDRESS(INDEX($AJ$2:$AJ$1001,MATCH(ROWS($AH$2:AH305),$AH$2:$AH$1001,0),0), INDEX($AO$1004:$BQ$1004,1,MATCH(COLUMNS($AO$1006:BK1006),$AO$1006:$BQ$1006,0)))),"Fix")))</f>
        <v>#N/A</v>
      </c>
      <c r="Y305" s="5" t="e">
        <f ca="1">IF(OR(INDEX($AI$2:$AI$1001,MATCH(ROWS($AH$2:AH305),$AH$2:$AH$1001,0),1)&gt;=100000,INDEX($AO$1005:$BQ$1005,1,MATCH(COLUMNS($AO$1006:BL1006),$AO$1006:$BQ$1006,0))&gt;=100000), " ",IF(INDEX($AO$2:$BQ$1001,MATCH(ROWS($AH$2:AH305),$AH$2:$AH$1001,0),MATCH(COLUMNS($AO$1006:BL1006),$AO$1006:$BQ$1006,0)), HYPERLINK("#",""), HYPERLINK(CONCATENATE("#Metadata!", ADDRESS(INDEX($AJ$2:$AJ$1001,MATCH(ROWS($AH$2:AH305),$AH$2:$AH$1001,0),0), INDEX($AO$1004:$BQ$1004,1,MATCH(COLUMNS($AO$1006:BL1006),$AO$1006:$BQ$1006,0)))),"Fix")))</f>
        <v>#N/A</v>
      </c>
      <c r="Z305" s="5" t="e">
        <f ca="1">IF(OR(INDEX($AI$2:$AI$1001,MATCH(ROWS($AH$2:AH305),$AH$2:$AH$1001,0),1)&gt;=100000,INDEX($AO$1005:$BQ$1005,1,MATCH(COLUMNS($AO$1006:BM1006),$AO$1006:$BQ$1006,0))&gt;=100000), " ",IF(INDEX($AO$2:$BQ$1001,MATCH(ROWS($AH$2:AH305),$AH$2:$AH$1001,0),MATCH(COLUMNS($AO$1006:BM1006),$AO$1006:$BQ$1006,0)), HYPERLINK("#",""), HYPERLINK(CONCATENATE("#Metadata!", ADDRESS(INDEX($AJ$2:$AJ$1001,MATCH(ROWS($AH$2:AH305),$AH$2:$AH$1001,0),0), INDEX($AO$1004:$BQ$1004,1,MATCH(COLUMNS($AO$1006:BM1006),$AO$1006:$BQ$1006,0)))),"Fix")))</f>
        <v>#N/A</v>
      </c>
      <c r="AA305" s="5" t="e">
        <f ca="1">IF(OR(INDEX($AI$2:$AI$1001,MATCH(ROWS($AH$2:AH305),$AH$2:$AH$1001,0),1)&gt;=100000,INDEX($AO$1005:$BQ$1005,1,MATCH(COLUMNS($AO$1006:BN1006),$AO$1006:$BQ$1006,0))&gt;=100000), " ",IF(INDEX($AO$2:$BQ$1001,MATCH(ROWS($AH$2:AH305),$AH$2:$AH$1001,0),MATCH(COLUMNS($AO$1006:BN1006),$AO$1006:$BQ$1006,0)), HYPERLINK("#",""), HYPERLINK(CONCATENATE("#Metadata!", ADDRESS(INDEX($AJ$2:$AJ$1001,MATCH(ROWS($AH$2:AH305),$AH$2:$AH$1001,0),0), INDEX($AO$1004:$BQ$1004,1,MATCH(COLUMNS($AO$1006:BN1006),$AO$1006:$BQ$1006,0)))),"Fix")))</f>
        <v>#N/A</v>
      </c>
      <c r="AB305" s="5" t="e">
        <f ca="1">IF(OR(INDEX($AI$2:$AI$1001,MATCH(ROWS($AH$2:AH305),$AH$2:$AH$1001,0),1)&gt;=100000,INDEX($AO$1005:$BQ$1005,1,MATCH(COLUMNS($AO$1006:BO1006),$AO$1006:$BQ$1006,0))&gt;=100000), " ",IF(INDEX($AO$2:$BQ$1001,MATCH(ROWS($AH$2:AH305),$AH$2:$AH$1001,0),MATCH(COLUMNS($AO$1006:BO1006),$AO$1006:$BQ$1006,0)), HYPERLINK("#",""), HYPERLINK(CONCATENATE("#Metadata!", ADDRESS(INDEX($AJ$2:$AJ$1001,MATCH(ROWS($AH$2:AH305),$AH$2:$AH$1001,0),0), INDEX($AO$1004:$BQ$1004,1,MATCH(COLUMNS($AO$1006:BO1006),$AO$1006:$BQ$1006,0)))),"Fix")))</f>
        <v>#N/A</v>
      </c>
      <c r="AC305" s="5" t="e">
        <f ca="1">IF(OR(INDEX($AI$2:$AI$1001,MATCH(ROWS($AH$2:AH305),$AH$2:$AH$1001,0),1)&gt;=100000,INDEX($AO$1005:$BQ$1005,1,MATCH(COLUMNS($AO$1006:BP1006),$AO$1006:$BQ$1006,0))&gt;=100000), " ",IF(INDEX($AO$2:$BQ$1001,MATCH(ROWS($AH$2:AH305),$AH$2:$AH$1001,0),MATCH(COLUMNS($AO$1006:BP1006),$AO$1006:$BQ$1006,0)), HYPERLINK("#",""), HYPERLINK(CONCATENATE("#Metadata!", ADDRESS(INDEX($AJ$2:$AJ$1001,MATCH(ROWS($AH$2:AH305),$AH$2:$AH$1001,0),0), INDEX($AO$1004:$BQ$1004,1,MATCH(COLUMNS($AO$1006:BP1006),$AO$1006:$BQ$1006,0)))),"Fix")))</f>
        <v>#N/A</v>
      </c>
      <c r="AD305" s="5" t="e">
        <f ca="1">IF(OR(INDEX($AI$2:$AI$1001,MATCH(ROWS($AH$2:AH305),$AH$2:$AH$1001,0),1)&gt;=100000,INDEX($AO$1005:$BQ$1005,1,MATCH(COLUMNS($AO$1006:BQ1006),$AO$1006:$BQ$1006,0))&gt;=100000), " ",IF(INDEX($AO$2:$BQ$1001,MATCH(ROWS($AH$2:AH305),$AH$2:$AH$1001,0),MATCH(COLUMNS($AO$1006:BQ1006),$AO$1006:$BQ$1006,0)), HYPERLINK("#",""), HYPERLINK(CONCATENATE("#Metadata!", ADDRESS(INDEX($AJ$2:$AJ$1001,MATCH(ROWS($AH$2:AH305),$AH$2:$AH$1001,0),0), INDEX($AO$1004:$BQ$1004,1,MATCH(COLUMNS($AO$1006:BQ1006),$AO$1006:$BQ$1006,0)))),"Fix")))</f>
        <v>#REF!</v>
      </c>
      <c r="AH305">
        <f ca="1"/>
        <v>302</v>
      </c>
      <c r="AI305">
        <v>100305</v>
      </c>
      <c r="AJ305">
        <v>305</v>
      </c>
      <c r="AK305" t="b">
        <f t="shared" si="4"/>
        <v>1</v>
      </c>
      <c r="AL305" t="b">
        <f>COUNTBLANK(Metadata!B305:AD305)=COLUMNS(Metadata!B305:AD305)</f>
        <v>1</v>
      </c>
      <c r="AM305" t="str">
        <v/>
      </c>
      <c r="AO305" t="b">
        <f ca="1">AND(IF(Metadata!B305="",FALSE,TRUE),COUNTIF(Metadata!B:B, Metadata!B305) = 1,NOT(ISERROR(SUMPRODUCT(SEARCH(MID(Metadata!B305,ROW(INDIRECT("1:"&amp;LEN(Metadata!B305))), 1),"0123456789abcdefghijklmnopqrstuvwxyzABCDEFGHIJKLMNOPQRSTUVWXYZ.")))))</f>
        <v>0</v>
      </c>
      <c r="AP305" t="b">
        <f>IF(Metadata!C305="",FALSE,TRUE)</f>
        <v>0</v>
      </c>
      <c r="AQ305" t="b">
        <f>IF(Metadata!D305="",FALSE,TRUE)</f>
        <v>0</v>
      </c>
      <c r="AR305" t="b">
        <f ca="1">OR(AND(IF(Metadata!E305="",FALSE,TRUE),OR(EXACT(Metadata!E305,"not collected"),EXACT(Metadata!E305,"not provided"),EXACT(Metadata!E305,"restricted access"))),AND(IF(Metadata!E305="",FALSE,TRUE),AND(AND(IFERROR(INT(LEFT(Metadata!E305,4))&gt;1900,FALSE),IFERROR(INT(LEFT(Metadata!E305,4))&lt;=YEAR(NOW()),FALSE)), OR(MID(Metadata!E305,5,1)="", AND(AND(MID(Metadata!E305,5,1)="-",IFERROR(INT(MID(Metadata!E305,6,1))&gt;=0,FALSE),IFERROR(INT(MID(Metadata!E305,6,1))&lt;=1,FALSE),NOT(MID(Metadata!E305,7,1)=""),IFERROR(INT(MID(Metadata!E305,6,2))&gt;=1,FALSE),IFERROR(INT(MID(Metadata!E305,6,2))&lt;=12,FALSE)), OR(MID(Metadata!E305,8,1)="", AND(AND(MID(Metadata!E305,8,1)="-",IFERROR(INT(MID(Metadata!E305,9,1))&gt;=0,FALSE),IFERROR(INT(MID(Metadata!E305,9,1))&lt;=3,FALSE),NOT(MID(Metadata!E305,10,1)=""),IFERROR(INT(MID(Metadata!E305,9,2))&gt;=1,FALSE),IFERROR(INT(MID(Metadata!E305,9,2))&lt;=31,FALSE)), OR(MID(Metadata!E305,11,1)="", AND(AND(MID(Metadata!E305,11,1)=" ",IFERROR(INT(MID(Metadata!E305,12,1))&gt;=0,FALSE),IFERROR(INT(MID(Metadata!E305,12,1))&lt;=2,FALSE),NOT(MID(Metadata!E305,13,1)=""),IFERROR(INT(MID(Metadata!E305,12,2))&gt;=0,FALSE),IFERROR(INT(MID(Metadata!E305,12,2))&lt;=23,FALSE)), OR(MID(Metadata!E305,14,1)="", AND(AND(MID(Metadata!E305,14,1)=":",IFERROR(INT(MID(Metadata!E305,15,1))&gt;=0,FALSE),IFERROR(INT(MID(Metadata!E305,15,1))&lt;=5,FALSE),NOT(MID(Metadata!E305,16,1)=""),IFERROR(INT(MID(Metadata!E305,15,2))&gt;=0,FALSE),IFERROR(INT(MID(Metadata!E305,15,2))&lt;=59,FALSE)), OR(MID(Metadata!E305,17,1)="", AND(AND(MID(Metadata!E305,17,1)=":",IFERROR(INT(MID(Metadata!E305,18,1))&gt;=0,FALSE),IFERROR(INT(MID(Metadata!E305,18,1))&lt;=5,FALSE),NOT(MID(Metadata!E305,19,1)=""),IFERROR(INT(MID(Metadata!E305,18,2))&gt;=0,FALSE),IFERROR(INT(MID(Metadata!E305,18,2))&lt;=59,FALSE)), LEN(Metadata!E305)&lt;=19)))))))))))))</f>
        <v>0</v>
      </c>
      <c r="AS305" t="b">
        <f>IF(Metadata!F305="",FALSE,TRUE)</f>
        <v>0</v>
      </c>
      <c r="AT305" t="b">
        <f>OR(AND(IF(Metadata!G305="",FALSE,TRUE),OR(EXACT(Metadata!G305,"not collected"),EXACT(Metadata!G305,"not provided"))),AND(IF(Metadata!G305="",FALSE,TRUE),OR(EXACT(Metadata!G305,"TRUE"),EXACT(Metadata!G305,"FALSE"))))</f>
        <v>0</v>
      </c>
      <c r="AU305" t="b">
        <f>OR(AND(IF(Metadata!H305="",FALSE,TRUE),OR(EXACT(Metadata!H305,"not collected"),EXACT(Metadata!H305,"not provided"),EXACT(Metadata!H305,"restricted access"))),AND(IF(Metadata!H305="",FALSE,ISNUMBER(VALUE(Metadata!H305))),Metadata!H305&gt;=-413))</f>
        <v>0</v>
      </c>
      <c r="AV305" t="b">
        <f>AND(IF(Metadata!I305="",FALSE,TRUE),EXACT(Metadata!I305,"meters"))</f>
        <v>0</v>
      </c>
      <c r="AW305" t="b">
        <f>AND(IF(Metadata!J305="",FALSE,TRUE),EXACT(Metadata!J305,"free-living"))</f>
        <v>0</v>
      </c>
      <c r="AX305" t="b">
        <f>AND(IF(Metadata!K305="",FALSE,TRUE),OR(EXACT(Metadata!K305,"saline"),EXACT(Metadata!K305,"non-saline")))</f>
        <v>0</v>
      </c>
      <c r="AY305" t="b">
        <f>AND(IF(Metadata!L305="",FALSE,TRUE),OR(EXACT(Metadata!L305,"sub-surface (non-saline)"),EXACT(Metadata!L305,"surface (non-saline)"),EXACT(Metadata!L305,"water (non-saline)"),EXACT(Metadata!L305,"soil (non-saline)"),EXACT(Metadata!L305,"aerosol (non-saline)"),EXACT(Metadata!L305,"sediment (non-saline)"),EXACT(Metadata!L305,"surface (saline)"),EXACT(Metadata!L305,"water (saline)"),EXACT(Metadata!L305,"hypersaline (saline)"),EXACT(Metadata!L305,"aerosol (saline)"),EXACT(Metadata!L305,"sediment (saline)")))</f>
        <v>0</v>
      </c>
      <c r="AZ305" t="b">
        <f>IF(Metadata!M305="",FALSE,TRUE)</f>
        <v>0</v>
      </c>
      <c r="BA305" t="b">
        <f>IF(Metadata!N305="",FALSE,TRUE)</f>
        <v>0</v>
      </c>
      <c r="BB305" t="b">
        <f>IF(Metadata!O305="",FALSE,TRUE)</f>
        <v>0</v>
      </c>
      <c r="BC305" t="b">
        <f>AND(IF(Metadata!P305="",FALSE,TRUE),OR(EXACT(Metadata!P305,"air"),EXACT(Metadata!P305,"microbial mat/biofilm"),EXACT(Metadata!P305,"misc environment"),EXACT(Metadata!P305,"sediment"),EXACT(Metadata!P305,"soil"),EXACT(Metadata!P305,"wastewater/sludge"),EXACT(Metadata!P305,"water")))</f>
        <v>0</v>
      </c>
      <c r="BD305" t="b">
        <f>IF(Metadata!Q305="",FALSE,TRUE)</f>
        <v>0</v>
      </c>
      <c r="BE305" t="b">
        <f>IF(Metadata!R305="",FALSE,TRUE)</f>
        <v>0</v>
      </c>
      <c r="BF305" t="b">
        <f>OR(AND(IF(Metadata!S305="",FALSE,TRUE),OR(EXACT(Metadata!S305,"not collected"),EXACT(Metadata!S305,"not provided"),EXACT(Metadata!S305,"restricted access"))),AND(IF(Metadata!S305="",FALSE,ISNUMBER(VALUE(Metadata!S305))),Metadata!S305&gt;=-90,Metadata!S305&lt;=90))</f>
        <v>0</v>
      </c>
      <c r="BG305" t="b">
        <f>AND(IF(Metadata!T305="",FALSE,TRUE),EXACT(Metadata!T305,"Decimal degrees"))</f>
        <v>0</v>
      </c>
      <c r="BH305" t="b">
        <f>OR(AND(IF(Metadata!U305="",FALSE,TRUE),OR(EXACT(Metadata!U305,"not applicable"),EXACT(Metadata!U305,"not collected"))),IF(Metadata!U305="",FALSE,TRUE))</f>
        <v>0</v>
      </c>
      <c r="BI305" t="b">
        <f>OR(AND(IF(Metadata!V305="",FALSE,TRUE),OR(EXACT(Metadata!V305,"not collected"),EXACT(Metadata!V305,"not provided"),EXACT(Metadata!V305,"restricted access"))),AND(IF(Metadata!V305="",FALSE,ISNUMBER(VALUE(Metadata!V305))),Metadata!V305&gt;=-180,Metadata!V305&lt;=180))</f>
        <v>0</v>
      </c>
      <c r="BJ305" t="b">
        <f>AND(IF(Metadata!W305="",FALSE,TRUE),EXACT(Metadata!W305,"Decimal degrees"))</f>
        <v>0</v>
      </c>
      <c r="BK305" t="b">
        <f>IF(Metadata!X305="",FALSE,TRUE)</f>
        <v>0</v>
      </c>
      <c r="BL305" t="b">
        <f>OR(AND(IF(Metadata!Y305="",FALSE,TRUE),OR(EXACT(Metadata!Y305,"not collected"),EXACT(Metadata!Y305,"not provided"),EXACT(Metadata!Y305,"restricted access"))),AND(IF(Metadata!Y305="",FALSE,TRUE),OR(EXACT(Metadata!Y305,"TRUE"),EXACT(Metadata!Y305,"FALSE"))))</f>
        <v>0</v>
      </c>
      <c r="BM305" t="b">
        <f>OR(AND(IF(Metadata!Z305="",FALSE,TRUE),EXACT(Metadata!Z305,"not applicable")),AND(IF(Metadata!Z305="",FALSE,TRUE),OR(EXACT(Metadata!Z305,"beer"),EXACT(Metadata!Z305,"cheese"),EXACT(Metadata!Z305,"fresh water"),EXACT(Metadata!Z305,"marine sediment"),EXACT(Metadata!Z305,"sea water"),EXACT(Metadata!Z305,"sediment"),EXACT(Metadata!Z305,"soil"),EXACT(Metadata!Z305,"waste water"))))</f>
        <v>0</v>
      </c>
      <c r="BN305" t="b">
        <f>AND(IF(Metadata!AA305="",FALSE,TRUE),EXACT(Metadata!AA305,"metagenome"))</f>
        <v>0</v>
      </c>
      <c r="BO305" t="b">
        <f>AND(IF(Metadata!AB305="",FALSE,TRUE),EXACT(Metadata!AB305,"256318"))</f>
        <v>0</v>
      </c>
      <c r="BP305" t="b">
        <f>IF(Metadata!AC305="",FALSE,TRUE)</f>
        <v>0</v>
      </c>
      <c r="BQ305" t="b">
        <f>IF(Metadata!AD305="",FALSE,TRUE)</f>
        <v>0</v>
      </c>
    </row>
    <row r="306" spans="1:69" x14ac:dyDescent="0.2">
      <c r="A306" s="4" t="e">
        <f ca="1">IF(B306=" "," ",HYPERLINK(CONCATENATE("#metadata!",ADDRESS(INDEX($AJ$2:$AJ$1001,MATCH(ROWS($AH$2:AH306),$AH$2:$AH$1001,0),0),2)),INDEX($AM$2:$AM$1001,MATCH(ROWS($AH$2:AH306),$AH$2:$AH$1001,0),0)))</f>
        <v>#N/A</v>
      </c>
      <c r="B306" s="5" t="e">
        <f ca="1">IF(OR(INDEX($AI$2:$AI$1001,MATCH(ROWS($AH$2:AH306),$AH$2:$AH$1001,0),1)&gt;=100000,INDEX($AO$1005:$BQ$1005,1,MATCH(COLUMNS($AO$1006:AO1006),$AO$1006:$BQ$1006,0))&gt;=100000), " ",IF(INDEX($AO$2:$BQ$1001,MATCH(ROWS($AH$2:AH306),$AH$2:$AH$1001,0),MATCH(COLUMNS($AO$1006:AO1006),$AO$1006:$BQ$1006,0)), HYPERLINK("#",""), HYPERLINK(CONCATENATE("#Metadata!", ADDRESS(INDEX($AJ$2:$AJ$1001,MATCH(ROWS($AH$2:AH306),$AH$2:$AH$1001,0),0), INDEX($AO$1004:$BQ$1004,1,MATCH(COLUMNS($AO$1006:AO1006),$AO$1006:$BQ$1006,0)))),"Fix")))</f>
        <v>#N/A</v>
      </c>
      <c r="C306" s="5" t="e">
        <f ca="1">IF(OR(INDEX($AI$2:$AI$1001,MATCH(ROWS($AH$2:AH306),$AH$2:$AH$1001,0),1)&gt;=100000,INDEX($AO$1005:$BQ$1005,1,MATCH(COLUMNS($AO$1006:AP1006),$AO$1006:$BQ$1006,0))&gt;=100000), " ",IF(INDEX($AO$2:$BQ$1001,MATCH(ROWS($AH$2:AH306),$AH$2:$AH$1001,0),MATCH(COLUMNS($AO$1006:AP1006),$AO$1006:$BQ$1006,0)), HYPERLINK("#",""), HYPERLINK(CONCATENATE("#Metadata!", ADDRESS(INDEX($AJ$2:$AJ$1001,MATCH(ROWS($AH$2:AH306),$AH$2:$AH$1001,0),0), INDEX($AO$1004:$BQ$1004,1,MATCH(COLUMNS($AO$1006:AP1006),$AO$1006:$BQ$1006,0)))),"Fix")))</f>
        <v>#N/A</v>
      </c>
      <c r="D306" s="5" t="e">
        <f ca="1">IF(OR(INDEX($AI$2:$AI$1001,MATCH(ROWS($AH$2:AH306),$AH$2:$AH$1001,0),1)&gt;=100000,INDEX($AO$1005:$BQ$1005,1,MATCH(COLUMNS($AO$1006:AQ1006),$AO$1006:$BQ$1006,0))&gt;=100000), " ",IF(INDEX($AO$2:$BQ$1001,MATCH(ROWS($AH$2:AH306),$AH$2:$AH$1001,0),MATCH(COLUMNS($AO$1006:AQ1006),$AO$1006:$BQ$1006,0)), HYPERLINK("#",""), HYPERLINK(CONCATENATE("#Metadata!", ADDRESS(INDEX($AJ$2:$AJ$1001,MATCH(ROWS($AH$2:AH306),$AH$2:$AH$1001,0),0), INDEX($AO$1004:$BQ$1004,1,MATCH(COLUMNS($AO$1006:AQ1006),$AO$1006:$BQ$1006,0)))),"Fix")))</f>
        <v>#N/A</v>
      </c>
      <c r="E306" s="5" t="e">
        <f ca="1">IF(OR(INDEX($AI$2:$AI$1001,MATCH(ROWS($AH$2:AH306),$AH$2:$AH$1001,0),1)&gt;=100000,INDEX($AO$1005:$BQ$1005,1,MATCH(COLUMNS($AO$1006:AR1006),$AO$1006:$BQ$1006,0))&gt;=100000), " ",IF(INDEX($AO$2:$BQ$1001,MATCH(ROWS($AH$2:AH306),$AH$2:$AH$1001,0),MATCH(COLUMNS($AO$1006:AR1006),$AO$1006:$BQ$1006,0)), HYPERLINK("#",""), HYPERLINK(CONCATENATE("#Metadata!", ADDRESS(INDEX($AJ$2:$AJ$1001,MATCH(ROWS($AH$2:AH306),$AH$2:$AH$1001,0),0), INDEX($AO$1004:$BQ$1004,1,MATCH(COLUMNS($AO$1006:AR1006),$AO$1006:$BQ$1006,0)))),"Fix")))</f>
        <v>#N/A</v>
      </c>
      <c r="F306" s="5" t="e">
        <f ca="1">IF(OR(INDEX($AI$2:$AI$1001,MATCH(ROWS($AH$2:AH306),$AH$2:$AH$1001,0),1)&gt;=100000,INDEX($AO$1005:$BQ$1005,1,MATCH(COLUMNS($AO$1006:AS1006),$AO$1006:$BQ$1006,0))&gt;=100000), " ",IF(INDEX($AO$2:$BQ$1001,MATCH(ROWS($AH$2:AH306),$AH$2:$AH$1001,0),MATCH(COLUMNS($AO$1006:AS1006),$AO$1006:$BQ$1006,0)), HYPERLINK("#",""), HYPERLINK(CONCATENATE("#Metadata!", ADDRESS(INDEX($AJ$2:$AJ$1001,MATCH(ROWS($AH$2:AH306),$AH$2:$AH$1001,0),0), INDEX($AO$1004:$BQ$1004,1,MATCH(COLUMNS($AO$1006:AS1006),$AO$1006:$BQ$1006,0)))),"Fix")))</f>
        <v>#N/A</v>
      </c>
      <c r="G306" s="5" t="e">
        <f ca="1">IF(OR(INDEX($AI$2:$AI$1001,MATCH(ROWS($AH$2:AH306),$AH$2:$AH$1001,0),1)&gt;=100000,INDEX($AO$1005:$BQ$1005,1,MATCH(COLUMNS($AO$1006:AT1006),$AO$1006:$BQ$1006,0))&gt;=100000), " ",IF(INDEX($AO$2:$BQ$1001,MATCH(ROWS($AH$2:AH306),$AH$2:$AH$1001,0),MATCH(COLUMNS($AO$1006:AT1006),$AO$1006:$BQ$1006,0)), HYPERLINK("#",""), HYPERLINK(CONCATENATE("#Metadata!", ADDRESS(INDEX($AJ$2:$AJ$1001,MATCH(ROWS($AH$2:AH306),$AH$2:$AH$1001,0),0), INDEX($AO$1004:$BQ$1004,1,MATCH(COLUMNS($AO$1006:AT1006),$AO$1006:$BQ$1006,0)))),"Fix")))</f>
        <v>#N/A</v>
      </c>
      <c r="H306" s="5" t="e">
        <f ca="1">IF(OR(INDEX($AI$2:$AI$1001,MATCH(ROWS($AH$2:AH306),$AH$2:$AH$1001,0),1)&gt;=100000,INDEX($AO$1005:$BQ$1005,1,MATCH(COLUMNS($AO$1006:AU1006),$AO$1006:$BQ$1006,0))&gt;=100000), " ",IF(INDEX($AO$2:$BQ$1001,MATCH(ROWS($AH$2:AH306),$AH$2:$AH$1001,0),MATCH(COLUMNS($AO$1006:AU1006),$AO$1006:$BQ$1006,0)), HYPERLINK("#",""), HYPERLINK(CONCATENATE("#Metadata!", ADDRESS(INDEX($AJ$2:$AJ$1001,MATCH(ROWS($AH$2:AH306),$AH$2:$AH$1001,0),0), INDEX($AO$1004:$BQ$1004,1,MATCH(COLUMNS($AO$1006:AU1006),$AO$1006:$BQ$1006,0)))),"Fix")))</f>
        <v>#N/A</v>
      </c>
      <c r="I306" s="5" t="e">
        <f ca="1">IF(OR(INDEX($AI$2:$AI$1001,MATCH(ROWS($AH$2:AH306),$AH$2:$AH$1001,0),1)&gt;=100000,INDEX($AO$1005:$BQ$1005,1,MATCH(COLUMNS($AO$1006:AV1006),$AO$1006:$BQ$1006,0))&gt;=100000), " ",IF(INDEX($AO$2:$BQ$1001,MATCH(ROWS($AH$2:AH306),$AH$2:$AH$1001,0),MATCH(COLUMNS($AO$1006:AV1006),$AO$1006:$BQ$1006,0)), HYPERLINK("#",""), HYPERLINK(CONCATENATE("#Metadata!", ADDRESS(INDEX($AJ$2:$AJ$1001,MATCH(ROWS($AH$2:AH306),$AH$2:$AH$1001,0),0), INDEX($AO$1004:$BQ$1004,1,MATCH(COLUMNS($AO$1006:AV1006),$AO$1006:$BQ$1006,0)))),"Fix")))</f>
        <v>#N/A</v>
      </c>
      <c r="J306" s="5" t="e">
        <f ca="1">IF(OR(INDEX($AI$2:$AI$1001,MATCH(ROWS($AH$2:AH306),$AH$2:$AH$1001,0),1)&gt;=100000,INDEX($AO$1005:$BQ$1005,1,MATCH(COLUMNS($AO$1006:AW1006),$AO$1006:$BQ$1006,0))&gt;=100000), " ",IF(INDEX($AO$2:$BQ$1001,MATCH(ROWS($AH$2:AH306),$AH$2:$AH$1001,0),MATCH(COLUMNS($AO$1006:AW1006),$AO$1006:$BQ$1006,0)), HYPERLINK("#",""), HYPERLINK(CONCATENATE("#Metadata!", ADDRESS(INDEX($AJ$2:$AJ$1001,MATCH(ROWS($AH$2:AH306),$AH$2:$AH$1001,0),0), INDEX($AO$1004:$BQ$1004,1,MATCH(COLUMNS($AO$1006:AW1006),$AO$1006:$BQ$1006,0)))),"Fix")))</f>
        <v>#N/A</v>
      </c>
      <c r="K306" s="5" t="e">
        <f ca="1">IF(OR(INDEX($AI$2:$AI$1001,MATCH(ROWS($AH$2:AH306),$AH$2:$AH$1001,0),1)&gt;=100000,INDEX($AO$1005:$BQ$1005,1,MATCH(COLUMNS($AO$1006:AX1006),$AO$1006:$BQ$1006,0))&gt;=100000), " ",IF(INDEX($AO$2:$BQ$1001,MATCH(ROWS($AH$2:AH306),$AH$2:$AH$1001,0),MATCH(COLUMNS($AO$1006:AX1006),$AO$1006:$BQ$1006,0)), HYPERLINK("#",""), HYPERLINK(CONCATENATE("#Metadata!", ADDRESS(INDEX($AJ$2:$AJ$1001,MATCH(ROWS($AH$2:AH306),$AH$2:$AH$1001,0),0), INDEX($AO$1004:$BQ$1004,1,MATCH(COLUMNS($AO$1006:AX1006),$AO$1006:$BQ$1006,0)))),"Fix")))</f>
        <v>#N/A</v>
      </c>
      <c r="L306" s="5" t="e">
        <f ca="1">IF(OR(INDEX($AI$2:$AI$1001,MATCH(ROWS($AH$2:AH306),$AH$2:$AH$1001,0),1)&gt;=100000,INDEX($AO$1005:$BQ$1005,1,MATCH(COLUMNS($AO$1006:AY1006),$AO$1006:$BQ$1006,0))&gt;=100000), " ",IF(INDEX($AO$2:$BQ$1001,MATCH(ROWS($AH$2:AH306),$AH$2:$AH$1001,0),MATCH(COLUMNS($AO$1006:AY1006),$AO$1006:$BQ$1006,0)), HYPERLINK("#",""), HYPERLINK(CONCATENATE("#Metadata!", ADDRESS(INDEX($AJ$2:$AJ$1001,MATCH(ROWS($AH$2:AH306),$AH$2:$AH$1001,0),0), INDEX($AO$1004:$BQ$1004,1,MATCH(COLUMNS($AO$1006:AY1006),$AO$1006:$BQ$1006,0)))),"Fix")))</f>
        <v>#N/A</v>
      </c>
      <c r="M306" s="5" t="e">
        <f ca="1">IF(OR(INDEX($AI$2:$AI$1001,MATCH(ROWS($AH$2:AH306),$AH$2:$AH$1001,0),1)&gt;=100000,INDEX($AO$1005:$BQ$1005,1,MATCH(COLUMNS($AO$1006:AZ1006),$AO$1006:$BQ$1006,0))&gt;=100000), " ",IF(INDEX($AO$2:$BQ$1001,MATCH(ROWS($AH$2:AH306),$AH$2:$AH$1001,0),MATCH(COLUMNS($AO$1006:AZ1006),$AO$1006:$BQ$1006,0)), HYPERLINK("#",""), HYPERLINK(CONCATENATE("#Metadata!", ADDRESS(INDEX($AJ$2:$AJ$1001,MATCH(ROWS($AH$2:AH306),$AH$2:$AH$1001,0),0), INDEX($AO$1004:$BQ$1004,1,MATCH(COLUMNS($AO$1006:AZ1006),$AO$1006:$BQ$1006,0)))),"Fix")))</f>
        <v>#N/A</v>
      </c>
      <c r="N306" s="5" t="e">
        <f ca="1">IF(OR(INDEX($AI$2:$AI$1001,MATCH(ROWS($AH$2:AH306),$AH$2:$AH$1001,0),1)&gt;=100000,INDEX($AO$1005:$BQ$1005,1,MATCH(COLUMNS($AO$1006:BA1006),$AO$1006:$BQ$1006,0))&gt;=100000), " ",IF(INDEX($AO$2:$BQ$1001,MATCH(ROWS($AH$2:AH306),$AH$2:$AH$1001,0),MATCH(COLUMNS($AO$1006:BA1006),$AO$1006:$BQ$1006,0)), HYPERLINK("#",""), HYPERLINK(CONCATENATE("#Metadata!", ADDRESS(INDEX($AJ$2:$AJ$1001,MATCH(ROWS($AH$2:AH306),$AH$2:$AH$1001,0),0), INDEX($AO$1004:$BQ$1004,1,MATCH(COLUMNS($AO$1006:BA1006),$AO$1006:$BQ$1006,0)))),"Fix")))</f>
        <v>#N/A</v>
      </c>
      <c r="O306" s="5" t="e">
        <f ca="1">IF(OR(INDEX($AI$2:$AI$1001,MATCH(ROWS($AH$2:AH306),$AH$2:$AH$1001,0),1)&gt;=100000,INDEX($AO$1005:$BQ$1005,1,MATCH(COLUMNS($AO$1006:BB1006),$AO$1006:$BQ$1006,0))&gt;=100000), " ",IF(INDEX($AO$2:$BQ$1001,MATCH(ROWS($AH$2:AH306),$AH$2:$AH$1001,0),MATCH(COLUMNS($AO$1006:BB1006),$AO$1006:$BQ$1006,0)), HYPERLINK("#",""), HYPERLINK(CONCATENATE("#Metadata!", ADDRESS(INDEX($AJ$2:$AJ$1001,MATCH(ROWS($AH$2:AH306),$AH$2:$AH$1001,0),0), INDEX($AO$1004:$BQ$1004,1,MATCH(COLUMNS($AO$1006:BB1006),$AO$1006:$BQ$1006,0)))),"Fix")))</f>
        <v>#N/A</v>
      </c>
      <c r="P306" s="5" t="e">
        <f ca="1">IF(OR(INDEX($AI$2:$AI$1001,MATCH(ROWS($AH$2:AH306),$AH$2:$AH$1001,0),1)&gt;=100000,INDEX($AO$1005:$BQ$1005,1,MATCH(COLUMNS($AO$1006:BC1006),$AO$1006:$BQ$1006,0))&gt;=100000), " ",IF(INDEX($AO$2:$BQ$1001,MATCH(ROWS($AH$2:AH306),$AH$2:$AH$1001,0),MATCH(COLUMNS($AO$1006:BC1006),$AO$1006:$BQ$1006,0)), HYPERLINK("#",""), HYPERLINK(CONCATENATE("#Metadata!", ADDRESS(INDEX($AJ$2:$AJ$1001,MATCH(ROWS($AH$2:AH306),$AH$2:$AH$1001,0),0), INDEX($AO$1004:$BQ$1004,1,MATCH(COLUMNS($AO$1006:BC1006),$AO$1006:$BQ$1006,0)))),"Fix")))</f>
        <v>#N/A</v>
      </c>
      <c r="Q306" s="5" t="e">
        <f ca="1">IF(OR(INDEX($AI$2:$AI$1001,MATCH(ROWS($AH$2:AH306),$AH$2:$AH$1001,0),1)&gt;=100000,INDEX($AO$1005:$BQ$1005,1,MATCH(COLUMNS($AO$1006:BD1006),$AO$1006:$BQ$1006,0))&gt;=100000), " ",IF(INDEX($AO$2:$BQ$1001,MATCH(ROWS($AH$2:AH306),$AH$2:$AH$1001,0),MATCH(COLUMNS($AO$1006:BD1006),$AO$1006:$BQ$1006,0)), HYPERLINK("#",""), HYPERLINK(CONCATENATE("#Metadata!", ADDRESS(INDEX($AJ$2:$AJ$1001,MATCH(ROWS($AH$2:AH306),$AH$2:$AH$1001,0),0), INDEX($AO$1004:$BQ$1004,1,MATCH(COLUMNS($AO$1006:BD1006),$AO$1006:$BQ$1006,0)))),"Fix")))</f>
        <v>#N/A</v>
      </c>
      <c r="R306" s="5" t="e">
        <f ca="1">IF(OR(INDEX($AI$2:$AI$1001,MATCH(ROWS($AH$2:AH306),$AH$2:$AH$1001,0),1)&gt;=100000,INDEX($AO$1005:$BQ$1005,1,MATCH(COLUMNS($AO$1006:BE1006),$AO$1006:$BQ$1006,0))&gt;=100000), " ",IF(INDEX($AO$2:$BQ$1001,MATCH(ROWS($AH$2:AH306),$AH$2:$AH$1001,0),MATCH(COLUMNS($AO$1006:BE1006),$AO$1006:$BQ$1006,0)), HYPERLINK("#",""), HYPERLINK(CONCATENATE("#Metadata!", ADDRESS(INDEX($AJ$2:$AJ$1001,MATCH(ROWS($AH$2:AH306),$AH$2:$AH$1001,0),0), INDEX($AO$1004:$BQ$1004,1,MATCH(COLUMNS($AO$1006:BE1006),$AO$1006:$BQ$1006,0)))),"Fix")))</f>
        <v>#N/A</v>
      </c>
      <c r="S306" s="5" t="e">
        <f ca="1">IF(OR(INDEX($AI$2:$AI$1001,MATCH(ROWS($AH$2:AH306),$AH$2:$AH$1001,0),1)&gt;=100000,INDEX($AO$1005:$BQ$1005,1,MATCH(COLUMNS($AO$1006:BF1006),$AO$1006:$BQ$1006,0))&gt;=100000), " ",IF(INDEX($AO$2:$BQ$1001,MATCH(ROWS($AH$2:AH306),$AH$2:$AH$1001,0),MATCH(COLUMNS($AO$1006:BF1006),$AO$1006:$BQ$1006,0)), HYPERLINK("#",""), HYPERLINK(CONCATENATE("#Metadata!", ADDRESS(INDEX($AJ$2:$AJ$1001,MATCH(ROWS($AH$2:AH306),$AH$2:$AH$1001,0),0), INDEX($AO$1004:$BQ$1004,1,MATCH(COLUMNS($AO$1006:BF1006),$AO$1006:$BQ$1006,0)))),"Fix")))</f>
        <v>#N/A</v>
      </c>
      <c r="T306" s="5" t="e">
        <f ca="1">IF(OR(INDEX($AI$2:$AI$1001,MATCH(ROWS($AH$2:AH306),$AH$2:$AH$1001,0),1)&gt;=100000,INDEX($AO$1005:$BQ$1005,1,MATCH(COLUMNS($AO$1006:BG1006),$AO$1006:$BQ$1006,0))&gt;=100000), " ",IF(INDEX($AO$2:$BQ$1001,MATCH(ROWS($AH$2:AH306),$AH$2:$AH$1001,0),MATCH(COLUMNS($AO$1006:BG1006),$AO$1006:$BQ$1006,0)), HYPERLINK("#",""), HYPERLINK(CONCATENATE("#Metadata!", ADDRESS(INDEX($AJ$2:$AJ$1001,MATCH(ROWS($AH$2:AH306),$AH$2:$AH$1001,0),0), INDEX($AO$1004:$BQ$1004,1,MATCH(COLUMNS($AO$1006:BG1006),$AO$1006:$BQ$1006,0)))),"Fix")))</f>
        <v>#N/A</v>
      </c>
      <c r="U306" s="5" t="e">
        <f ca="1">IF(OR(INDEX($AI$2:$AI$1001,MATCH(ROWS($AH$2:AH306),$AH$2:$AH$1001,0),1)&gt;=100000,INDEX($AO$1005:$BQ$1005,1,MATCH(COLUMNS($AO$1006:BH1006),$AO$1006:$BQ$1006,0))&gt;=100000), " ",IF(INDEX($AO$2:$BQ$1001,MATCH(ROWS($AH$2:AH306),$AH$2:$AH$1001,0),MATCH(COLUMNS($AO$1006:BH1006),$AO$1006:$BQ$1006,0)), HYPERLINK("#",""), HYPERLINK(CONCATENATE("#Metadata!", ADDRESS(INDEX($AJ$2:$AJ$1001,MATCH(ROWS($AH$2:AH306),$AH$2:$AH$1001,0),0), INDEX($AO$1004:$BQ$1004,1,MATCH(COLUMNS($AO$1006:BH1006),$AO$1006:$BQ$1006,0)))),"Fix")))</f>
        <v>#N/A</v>
      </c>
      <c r="V306" s="5" t="e">
        <f ca="1">IF(OR(INDEX($AI$2:$AI$1001,MATCH(ROWS($AH$2:AH306),$AH$2:$AH$1001,0),1)&gt;=100000,INDEX($AO$1005:$BQ$1005,1,MATCH(COLUMNS($AO$1006:BI1006),$AO$1006:$BQ$1006,0))&gt;=100000), " ",IF(INDEX($AO$2:$BQ$1001,MATCH(ROWS($AH$2:AH306),$AH$2:$AH$1001,0),MATCH(COLUMNS($AO$1006:BI1006),$AO$1006:$BQ$1006,0)), HYPERLINK("#",""), HYPERLINK(CONCATENATE("#Metadata!", ADDRESS(INDEX($AJ$2:$AJ$1001,MATCH(ROWS($AH$2:AH306),$AH$2:$AH$1001,0),0), INDEX($AO$1004:$BQ$1004,1,MATCH(COLUMNS($AO$1006:BI1006),$AO$1006:$BQ$1006,0)))),"Fix")))</f>
        <v>#N/A</v>
      </c>
      <c r="W306" s="5" t="e">
        <f ca="1">IF(OR(INDEX($AI$2:$AI$1001,MATCH(ROWS($AH$2:AH306),$AH$2:$AH$1001,0),1)&gt;=100000,INDEX($AO$1005:$BQ$1005,1,MATCH(COLUMNS($AO$1006:BJ1006),$AO$1006:$BQ$1006,0))&gt;=100000), " ",IF(INDEX($AO$2:$BQ$1001,MATCH(ROWS($AH$2:AH306),$AH$2:$AH$1001,0),MATCH(COLUMNS($AO$1006:BJ1006),$AO$1006:$BQ$1006,0)), HYPERLINK("#",""), HYPERLINK(CONCATENATE("#Metadata!", ADDRESS(INDEX($AJ$2:$AJ$1001,MATCH(ROWS($AH$2:AH306),$AH$2:$AH$1001,0),0), INDEX($AO$1004:$BQ$1004,1,MATCH(COLUMNS($AO$1006:BJ1006),$AO$1006:$BQ$1006,0)))),"Fix")))</f>
        <v>#N/A</v>
      </c>
      <c r="X306" s="5" t="e">
        <f ca="1">IF(OR(INDEX($AI$2:$AI$1001,MATCH(ROWS($AH$2:AH306),$AH$2:$AH$1001,0),1)&gt;=100000,INDEX($AO$1005:$BQ$1005,1,MATCH(COLUMNS($AO$1006:BK1006),$AO$1006:$BQ$1006,0))&gt;=100000), " ",IF(INDEX($AO$2:$BQ$1001,MATCH(ROWS($AH$2:AH306),$AH$2:$AH$1001,0),MATCH(COLUMNS($AO$1006:BK1006),$AO$1006:$BQ$1006,0)), HYPERLINK("#",""), HYPERLINK(CONCATENATE("#Metadata!", ADDRESS(INDEX($AJ$2:$AJ$1001,MATCH(ROWS($AH$2:AH306),$AH$2:$AH$1001,0),0), INDEX($AO$1004:$BQ$1004,1,MATCH(COLUMNS($AO$1006:BK1006),$AO$1006:$BQ$1006,0)))),"Fix")))</f>
        <v>#N/A</v>
      </c>
      <c r="Y306" s="5" t="e">
        <f ca="1">IF(OR(INDEX($AI$2:$AI$1001,MATCH(ROWS($AH$2:AH306),$AH$2:$AH$1001,0),1)&gt;=100000,INDEX($AO$1005:$BQ$1005,1,MATCH(COLUMNS($AO$1006:BL1006),$AO$1006:$BQ$1006,0))&gt;=100000), " ",IF(INDEX($AO$2:$BQ$1001,MATCH(ROWS($AH$2:AH306),$AH$2:$AH$1001,0),MATCH(COLUMNS($AO$1006:BL1006),$AO$1006:$BQ$1006,0)), HYPERLINK("#",""), HYPERLINK(CONCATENATE("#Metadata!", ADDRESS(INDEX($AJ$2:$AJ$1001,MATCH(ROWS($AH$2:AH306),$AH$2:$AH$1001,0),0), INDEX($AO$1004:$BQ$1004,1,MATCH(COLUMNS($AO$1006:BL1006),$AO$1006:$BQ$1006,0)))),"Fix")))</f>
        <v>#N/A</v>
      </c>
      <c r="Z306" s="5" t="e">
        <f ca="1">IF(OR(INDEX($AI$2:$AI$1001,MATCH(ROWS($AH$2:AH306),$AH$2:$AH$1001,0),1)&gt;=100000,INDEX($AO$1005:$BQ$1005,1,MATCH(COLUMNS($AO$1006:BM1006),$AO$1006:$BQ$1006,0))&gt;=100000), " ",IF(INDEX($AO$2:$BQ$1001,MATCH(ROWS($AH$2:AH306),$AH$2:$AH$1001,0),MATCH(COLUMNS($AO$1006:BM1006),$AO$1006:$BQ$1006,0)), HYPERLINK("#",""), HYPERLINK(CONCATENATE("#Metadata!", ADDRESS(INDEX($AJ$2:$AJ$1001,MATCH(ROWS($AH$2:AH306),$AH$2:$AH$1001,0),0), INDEX($AO$1004:$BQ$1004,1,MATCH(COLUMNS($AO$1006:BM1006),$AO$1006:$BQ$1006,0)))),"Fix")))</f>
        <v>#N/A</v>
      </c>
      <c r="AA306" s="5" t="e">
        <f ca="1">IF(OR(INDEX($AI$2:$AI$1001,MATCH(ROWS($AH$2:AH306),$AH$2:$AH$1001,0),1)&gt;=100000,INDEX($AO$1005:$BQ$1005,1,MATCH(COLUMNS($AO$1006:BN1006),$AO$1006:$BQ$1006,0))&gt;=100000), " ",IF(INDEX($AO$2:$BQ$1001,MATCH(ROWS($AH$2:AH306),$AH$2:$AH$1001,0),MATCH(COLUMNS($AO$1006:BN1006),$AO$1006:$BQ$1006,0)), HYPERLINK("#",""), HYPERLINK(CONCATENATE("#Metadata!", ADDRESS(INDEX($AJ$2:$AJ$1001,MATCH(ROWS($AH$2:AH306),$AH$2:$AH$1001,0),0), INDEX($AO$1004:$BQ$1004,1,MATCH(COLUMNS($AO$1006:BN1006),$AO$1006:$BQ$1006,0)))),"Fix")))</f>
        <v>#N/A</v>
      </c>
      <c r="AB306" s="5" t="e">
        <f ca="1">IF(OR(INDEX($AI$2:$AI$1001,MATCH(ROWS($AH$2:AH306),$AH$2:$AH$1001,0),1)&gt;=100000,INDEX($AO$1005:$BQ$1005,1,MATCH(COLUMNS($AO$1006:BO1006),$AO$1006:$BQ$1006,0))&gt;=100000), " ",IF(INDEX($AO$2:$BQ$1001,MATCH(ROWS($AH$2:AH306),$AH$2:$AH$1001,0),MATCH(COLUMNS($AO$1006:BO1006),$AO$1006:$BQ$1006,0)), HYPERLINK("#",""), HYPERLINK(CONCATENATE("#Metadata!", ADDRESS(INDEX($AJ$2:$AJ$1001,MATCH(ROWS($AH$2:AH306),$AH$2:$AH$1001,0),0), INDEX($AO$1004:$BQ$1004,1,MATCH(COLUMNS($AO$1006:BO1006),$AO$1006:$BQ$1006,0)))),"Fix")))</f>
        <v>#N/A</v>
      </c>
      <c r="AC306" s="5" t="e">
        <f ca="1">IF(OR(INDEX($AI$2:$AI$1001,MATCH(ROWS($AH$2:AH306),$AH$2:$AH$1001,0),1)&gt;=100000,INDEX($AO$1005:$BQ$1005,1,MATCH(COLUMNS($AO$1006:BP1006),$AO$1006:$BQ$1006,0))&gt;=100000), " ",IF(INDEX($AO$2:$BQ$1001,MATCH(ROWS($AH$2:AH306),$AH$2:$AH$1001,0),MATCH(COLUMNS($AO$1006:BP1006),$AO$1006:$BQ$1006,0)), HYPERLINK("#",""), HYPERLINK(CONCATENATE("#Metadata!", ADDRESS(INDEX($AJ$2:$AJ$1001,MATCH(ROWS($AH$2:AH306),$AH$2:$AH$1001,0),0), INDEX($AO$1004:$BQ$1004,1,MATCH(COLUMNS($AO$1006:BP1006),$AO$1006:$BQ$1006,0)))),"Fix")))</f>
        <v>#N/A</v>
      </c>
      <c r="AD306" s="5" t="e">
        <f ca="1">IF(OR(INDEX($AI$2:$AI$1001,MATCH(ROWS($AH$2:AH306),$AH$2:$AH$1001,0),1)&gt;=100000,INDEX($AO$1005:$BQ$1005,1,MATCH(COLUMNS($AO$1006:BQ1006),$AO$1006:$BQ$1006,0))&gt;=100000), " ",IF(INDEX($AO$2:$BQ$1001,MATCH(ROWS($AH$2:AH306),$AH$2:$AH$1001,0),MATCH(COLUMNS($AO$1006:BQ1006),$AO$1006:$BQ$1006,0)), HYPERLINK("#",""), HYPERLINK(CONCATENATE("#Metadata!", ADDRESS(INDEX($AJ$2:$AJ$1001,MATCH(ROWS($AH$2:AH306),$AH$2:$AH$1001,0),0), INDEX($AO$1004:$BQ$1004,1,MATCH(COLUMNS($AO$1006:BQ1006),$AO$1006:$BQ$1006,0)))),"Fix")))</f>
        <v>#REF!</v>
      </c>
      <c r="AH306">
        <f ca="1"/>
        <v>303</v>
      </c>
      <c r="AI306">
        <v>100306</v>
      </c>
      <c r="AJ306">
        <v>306</v>
      </c>
      <c r="AK306" t="b">
        <f t="shared" si="4"/>
        <v>1</v>
      </c>
      <c r="AL306" t="b">
        <f>COUNTBLANK(Metadata!B306:AD306)=COLUMNS(Metadata!B306:AD306)</f>
        <v>1</v>
      </c>
      <c r="AM306" t="str">
        <v/>
      </c>
      <c r="AO306" t="b">
        <f ca="1">AND(IF(Metadata!B306="",FALSE,TRUE),COUNTIF(Metadata!B:B, Metadata!B306) = 1,NOT(ISERROR(SUMPRODUCT(SEARCH(MID(Metadata!B306,ROW(INDIRECT("1:"&amp;LEN(Metadata!B306))), 1),"0123456789abcdefghijklmnopqrstuvwxyzABCDEFGHIJKLMNOPQRSTUVWXYZ.")))))</f>
        <v>0</v>
      </c>
      <c r="AP306" t="b">
        <f>IF(Metadata!C306="",FALSE,TRUE)</f>
        <v>0</v>
      </c>
      <c r="AQ306" t="b">
        <f>IF(Metadata!D306="",FALSE,TRUE)</f>
        <v>0</v>
      </c>
      <c r="AR306" t="b">
        <f ca="1">OR(AND(IF(Metadata!E306="",FALSE,TRUE),OR(EXACT(Metadata!E306,"not collected"),EXACT(Metadata!E306,"not provided"),EXACT(Metadata!E306,"restricted access"))),AND(IF(Metadata!E306="",FALSE,TRUE),AND(AND(IFERROR(INT(LEFT(Metadata!E306,4))&gt;1900,FALSE),IFERROR(INT(LEFT(Metadata!E306,4))&lt;=YEAR(NOW()),FALSE)), OR(MID(Metadata!E306,5,1)="", AND(AND(MID(Metadata!E306,5,1)="-",IFERROR(INT(MID(Metadata!E306,6,1))&gt;=0,FALSE),IFERROR(INT(MID(Metadata!E306,6,1))&lt;=1,FALSE),NOT(MID(Metadata!E306,7,1)=""),IFERROR(INT(MID(Metadata!E306,6,2))&gt;=1,FALSE),IFERROR(INT(MID(Metadata!E306,6,2))&lt;=12,FALSE)), OR(MID(Metadata!E306,8,1)="", AND(AND(MID(Metadata!E306,8,1)="-",IFERROR(INT(MID(Metadata!E306,9,1))&gt;=0,FALSE),IFERROR(INT(MID(Metadata!E306,9,1))&lt;=3,FALSE),NOT(MID(Metadata!E306,10,1)=""),IFERROR(INT(MID(Metadata!E306,9,2))&gt;=1,FALSE),IFERROR(INT(MID(Metadata!E306,9,2))&lt;=31,FALSE)), OR(MID(Metadata!E306,11,1)="", AND(AND(MID(Metadata!E306,11,1)=" ",IFERROR(INT(MID(Metadata!E306,12,1))&gt;=0,FALSE),IFERROR(INT(MID(Metadata!E306,12,1))&lt;=2,FALSE),NOT(MID(Metadata!E306,13,1)=""),IFERROR(INT(MID(Metadata!E306,12,2))&gt;=0,FALSE),IFERROR(INT(MID(Metadata!E306,12,2))&lt;=23,FALSE)), OR(MID(Metadata!E306,14,1)="", AND(AND(MID(Metadata!E306,14,1)=":",IFERROR(INT(MID(Metadata!E306,15,1))&gt;=0,FALSE),IFERROR(INT(MID(Metadata!E306,15,1))&lt;=5,FALSE),NOT(MID(Metadata!E306,16,1)=""),IFERROR(INT(MID(Metadata!E306,15,2))&gt;=0,FALSE),IFERROR(INT(MID(Metadata!E306,15,2))&lt;=59,FALSE)), OR(MID(Metadata!E306,17,1)="", AND(AND(MID(Metadata!E306,17,1)=":",IFERROR(INT(MID(Metadata!E306,18,1))&gt;=0,FALSE),IFERROR(INT(MID(Metadata!E306,18,1))&lt;=5,FALSE),NOT(MID(Metadata!E306,19,1)=""),IFERROR(INT(MID(Metadata!E306,18,2))&gt;=0,FALSE),IFERROR(INT(MID(Metadata!E306,18,2))&lt;=59,FALSE)), LEN(Metadata!E306)&lt;=19)))))))))))))</f>
        <v>0</v>
      </c>
      <c r="AS306" t="b">
        <f>IF(Metadata!F306="",FALSE,TRUE)</f>
        <v>0</v>
      </c>
      <c r="AT306" t="b">
        <f>OR(AND(IF(Metadata!G306="",FALSE,TRUE),OR(EXACT(Metadata!G306,"not collected"),EXACT(Metadata!G306,"not provided"))),AND(IF(Metadata!G306="",FALSE,TRUE),OR(EXACT(Metadata!G306,"TRUE"),EXACT(Metadata!G306,"FALSE"))))</f>
        <v>0</v>
      </c>
      <c r="AU306" t="b">
        <f>OR(AND(IF(Metadata!H306="",FALSE,TRUE),OR(EXACT(Metadata!H306,"not collected"),EXACT(Metadata!H306,"not provided"),EXACT(Metadata!H306,"restricted access"))),AND(IF(Metadata!H306="",FALSE,ISNUMBER(VALUE(Metadata!H306))),Metadata!H306&gt;=-413))</f>
        <v>0</v>
      </c>
      <c r="AV306" t="b">
        <f>AND(IF(Metadata!I306="",FALSE,TRUE),EXACT(Metadata!I306,"meters"))</f>
        <v>0</v>
      </c>
      <c r="AW306" t="b">
        <f>AND(IF(Metadata!J306="",FALSE,TRUE),EXACT(Metadata!J306,"free-living"))</f>
        <v>0</v>
      </c>
      <c r="AX306" t="b">
        <f>AND(IF(Metadata!K306="",FALSE,TRUE),OR(EXACT(Metadata!K306,"saline"),EXACT(Metadata!K306,"non-saline")))</f>
        <v>0</v>
      </c>
      <c r="AY306" t="b">
        <f>AND(IF(Metadata!L306="",FALSE,TRUE),OR(EXACT(Metadata!L306,"sub-surface (non-saline)"),EXACT(Metadata!L306,"surface (non-saline)"),EXACT(Metadata!L306,"water (non-saline)"),EXACT(Metadata!L306,"soil (non-saline)"),EXACT(Metadata!L306,"aerosol (non-saline)"),EXACT(Metadata!L306,"sediment (non-saline)"),EXACT(Metadata!L306,"surface (saline)"),EXACT(Metadata!L306,"water (saline)"),EXACT(Metadata!L306,"hypersaline (saline)"),EXACT(Metadata!L306,"aerosol (saline)"),EXACT(Metadata!L306,"sediment (saline)")))</f>
        <v>0</v>
      </c>
      <c r="AZ306" t="b">
        <f>IF(Metadata!M306="",FALSE,TRUE)</f>
        <v>0</v>
      </c>
      <c r="BA306" t="b">
        <f>IF(Metadata!N306="",FALSE,TRUE)</f>
        <v>0</v>
      </c>
      <c r="BB306" t="b">
        <f>IF(Metadata!O306="",FALSE,TRUE)</f>
        <v>0</v>
      </c>
      <c r="BC306" t="b">
        <f>AND(IF(Metadata!P306="",FALSE,TRUE),OR(EXACT(Metadata!P306,"air"),EXACT(Metadata!P306,"microbial mat/biofilm"),EXACT(Metadata!P306,"misc environment"),EXACT(Metadata!P306,"sediment"),EXACT(Metadata!P306,"soil"),EXACT(Metadata!P306,"wastewater/sludge"),EXACT(Metadata!P306,"water")))</f>
        <v>0</v>
      </c>
      <c r="BD306" t="b">
        <f>IF(Metadata!Q306="",FALSE,TRUE)</f>
        <v>0</v>
      </c>
      <c r="BE306" t="b">
        <f>IF(Metadata!R306="",FALSE,TRUE)</f>
        <v>0</v>
      </c>
      <c r="BF306" t="b">
        <f>OR(AND(IF(Metadata!S306="",FALSE,TRUE),OR(EXACT(Metadata!S306,"not collected"),EXACT(Metadata!S306,"not provided"),EXACT(Metadata!S306,"restricted access"))),AND(IF(Metadata!S306="",FALSE,ISNUMBER(VALUE(Metadata!S306))),Metadata!S306&gt;=-90,Metadata!S306&lt;=90))</f>
        <v>0</v>
      </c>
      <c r="BG306" t="b">
        <f>AND(IF(Metadata!T306="",FALSE,TRUE),EXACT(Metadata!T306,"Decimal degrees"))</f>
        <v>0</v>
      </c>
      <c r="BH306" t="b">
        <f>OR(AND(IF(Metadata!U306="",FALSE,TRUE),OR(EXACT(Metadata!U306,"not applicable"),EXACT(Metadata!U306,"not collected"))),IF(Metadata!U306="",FALSE,TRUE))</f>
        <v>0</v>
      </c>
      <c r="BI306" t="b">
        <f>OR(AND(IF(Metadata!V306="",FALSE,TRUE),OR(EXACT(Metadata!V306,"not collected"),EXACT(Metadata!V306,"not provided"),EXACT(Metadata!V306,"restricted access"))),AND(IF(Metadata!V306="",FALSE,ISNUMBER(VALUE(Metadata!V306))),Metadata!V306&gt;=-180,Metadata!V306&lt;=180))</f>
        <v>0</v>
      </c>
      <c r="BJ306" t="b">
        <f>AND(IF(Metadata!W306="",FALSE,TRUE),EXACT(Metadata!W306,"Decimal degrees"))</f>
        <v>0</v>
      </c>
      <c r="BK306" t="b">
        <f>IF(Metadata!X306="",FALSE,TRUE)</f>
        <v>0</v>
      </c>
      <c r="BL306" t="b">
        <f>OR(AND(IF(Metadata!Y306="",FALSE,TRUE),OR(EXACT(Metadata!Y306,"not collected"),EXACT(Metadata!Y306,"not provided"),EXACT(Metadata!Y306,"restricted access"))),AND(IF(Metadata!Y306="",FALSE,TRUE),OR(EXACT(Metadata!Y306,"TRUE"),EXACT(Metadata!Y306,"FALSE"))))</f>
        <v>0</v>
      </c>
      <c r="BM306" t="b">
        <f>OR(AND(IF(Metadata!Z306="",FALSE,TRUE),EXACT(Metadata!Z306,"not applicable")),AND(IF(Metadata!Z306="",FALSE,TRUE),OR(EXACT(Metadata!Z306,"beer"),EXACT(Metadata!Z306,"cheese"),EXACT(Metadata!Z306,"fresh water"),EXACT(Metadata!Z306,"marine sediment"),EXACT(Metadata!Z306,"sea water"),EXACT(Metadata!Z306,"sediment"),EXACT(Metadata!Z306,"soil"),EXACT(Metadata!Z306,"waste water"))))</f>
        <v>0</v>
      </c>
      <c r="BN306" t="b">
        <f>AND(IF(Metadata!AA306="",FALSE,TRUE),EXACT(Metadata!AA306,"metagenome"))</f>
        <v>0</v>
      </c>
      <c r="BO306" t="b">
        <f>AND(IF(Metadata!AB306="",FALSE,TRUE),EXACT(Metadata!AB306,"256318"))</f>
        <v>0</v>
      </c>
      <c r="BP306" t="b">
        <f>IF(Metadata!AC306="",FALSE,TRUE)</f>
        <v>0</v>
      </c>
      <c r="BQ306" t="b">
        <f>IF(Metadata!AD306="",FALSE,TRUE)</f>
        <v>0</v>
      </c>
    </row>
    <row r="307" spans="1:69" x14ac:dyDescent="0.2">
      <c r="A307" s="4" t="e">
        <f ca="1">IF(B307=" "," ",HYPERLINK(CONCATENATE("#metadata!",ADDRESS(INDEX($AJ$2:$AJ$1001,MATCH(ROWS($AH$2:AH307),$AH$2:$AH$1001,0),0),2)),INDEX($AM$2:$AM$1001,MATCH(ROWS($AH$2:AH307),$AH$2:$AH$1001,0),0)))</f>
        <v>#N/A</v>
      </c>
      <c r="B307" s="5" t="e">
        <f ca="1">IF(OR(INDEX($AI$2:$AI$1001,MATCH(ROWS($AH$2:AH307),$AH$2:$AH$1001,0),1)&gt;=100000,INDEX($AO$1005:$BQ$1005,1,MATCH(COLUMNS($AO$1006:AO1006),$AO$1006:$BQ$1006,0))&gt;=100000), " ",IF(INDEX($AO$2:$BQ$1001,MATCH(ROWS($AH$2:AH307),$AH$2:$AH$1001,0),MATCH(COLUMNS($AO$1006:AO1006),$AO$1006:$BQ$1006,0)), HYPERLINK("#",""), HYPERLINK(CONCATENATE("#Metadata!", ADDRESS(INDEX($AJ$2:$AJ$1001,MATCH(ROWS($AH$2:AH307),$AH$2:$AH$1001,0),0), INDEX($AO$1004:$BQ$1004,1,MATCH(COLUMNS($AO$1006:AO1006),$AO$1006:$BQ$1006,0)))),"Fix")))</f>
        <v>#N/A</v>
      </c>
      <c r="C307" s="5" t="e">
        <f ca="1">IF(OR(INDEX($AI$2:$AI$1001,MATCH(ROWS($AH$2:AH307),$AH$2:$AH$1001,0),1)&gt;=100000,INDEX($AO$1005:$BQ$1005,1,MATCH(COLUMNS($AO$1006:AP1006),$AO$1006:$BQ$1006,0))&gt;=100000), " ",IF(INDEX($AO$2:$BQ$1001,MATCH(ROWS($AH$2:AH307),$AH$2:$AH$1001,0),MATCH(COLUMNS($AO$1006:AP1006),$AO$1006:$BQ$1006,0)), HYPERLINK("#",""), HYPERLINK(CONCATENATE("#Metadata!", ADDRESS(INDEX($AJ$2:$AJ$1001,MATCH(ROWS($AH$2:AH307),$AH$2:$AH$1001,0),0), INDEX($AO$1004:$BQ$1004,1,MATCH(COLUMNS($AO$1006:AP1006),$AO$1006:$BQ$1006,0)))),"Fix")))</f>
        <v>#N/A</v>
      </c>
      <c r="D307" s="5" t="e">
        <f ca="1">IF(OR(INDEX($AI$2:$AI$1001,MATCH(ROWS($AH$2:AH307),$AH$2:$AH$1001,0),1)&gt;=100000,INDEX($AO$1005:$BQ$1005,1,MATCH(COLUMNS($AO$1006:AQ1006),$AO$1006:$BQ$1006,0))&gt;=100000), " ",IF(INDEX($AO$2:$BQ$1001,MATCH(ROWS($AH$2:AH307),$AH$2:$AH$1001,0),MATCH(COLUMNS($AO$1006:AQ1006),$AO$1006:$BQ$1006,0)), HYPERLINK("#",""), HYPERLINK(CONCATENATE("#Metadata!", ADDRESS(INDEX($AJ$2:$AJ$1001,MATCH(ROWS($AH$2:AH307),$AH$2:$AH$1001,0),0), INDEX($AO$1004:$BQ$1004,1,MATCH(COLUMNS($AO$1006:AQ1006),$AO$1006:$BQ$1006,0)))),"Fix")))</f>
        <v>#N/A</v>
      </c>
      <c r="E307" s="5" t="e">
        <f ca="1">IF(OR(INDEX($AI$2:$AI$1001,MATCH(ROWS($AH$2:AH307),$AH$2:$AH$1001,0),1)&gt;=100000,INDEX($AO$1005:$BQ$1005,1,MATCH(COLUMNS($AO$1006:AR1006),$AO$1006:$BQ$1006,0))&gt;=100000), " ",IF(INDEX($AO$2:$BQ$1001,MATCH(ROWS($AH$2:AH307),$AH$2:$AH$1001,0),MATCH(COLUMNS($AO$1006:AR1006),$AO$1006:$BQ$1006,0)), HYPERLINK("#",""), HYPERLINK(CONCATENATE("#Metadata!", ADDRESS(INDEX($AJ$2:$AJ$1001,MATCH(ROWS($AH$2:AH307),$AH$2:$AH$1001,0),0), INDEX($AO$1004:$BQ$1004,1,MATCH(COLUMNS($AO$1006:AR1006),$AO$1006:$BQ$1006,0)))),"Fix")))</f>
        <v>#N/A</v>
      </c>
      <c r="F307" s="5" t="e">
        <f ca="1">IF(OR(INDEX($AI$2:$AI$1001,MATCH(ROWS($AH$2:AH307),$AH$2:$AH$1001,0),1)&gt;=100000,INDEX($AO$1005:$BQ$1005,1,MATCH(COLUMNS($AO$1006:AS1006),$AO$1006:$BQ$1006,0))&gt;=100000), " ",IF(INDEX($AO$2:$BQ$1001,MATCH(ROWS($AH$2:AH307),$AH$2:$AH$1001,0),MATCH(COLUMNS($AO$1006:AS1006),$AO$1006:$BQ$1006,0)), HYPERLINK("#",""), HYPERLINK(CONCATENATE("#Metadata!", ADDRESS(INDEX($AJ$2:$AJ$1001,MATCH(ROWS($AH$2:AH307),$AH$2:$AH$1001,0),0), INDEX($AO$1004:$BQ$1004,1,MATCH(COLUMNS($AO$1006:AS1006),$AO$1006:$BQ$1006,0)))),"Fix")))</f>
        <v>#N/A</v>
      </c>
      <c r="G307" s="5" t="e">
        <f ca="1">IF(OR(INDEX($AI$2:$AI$1001,MATCH(ROWS($AH$2:AH307),$AH$2:$AH$1001,0),1)&gt;=100000,INDEX($AO$1005:$BQ$1005,1,MATCH(COLUMNS($AO$1006:AT1006),$AO$1006:$BQ$1006,0))&gt;=100000), " ",IF(INDEX($AO$2:$BQ$1001,MATCH(ROWS($AH$2:AH307),$AH$2:$AH$1001,0),MATCH(COLUMNS($AO$1006:AT1006),$AO$1006:$BQ$1006,0)), HYPERLINK("#",""), HYPERLINK(CONCATENATE("#Metadata!", ADDRESS(INDEX($AJ$2:$AJ$1001,MATCH(ROWS($AH$2:AH307),$AH$2:$AH$1001,0),0), INDEX($AO$1004:$BQ$1004,1,MATCH(COLUMNS($AO$1006:AT1006),$AO$1006:$BQ$1006,0)))),"Fix")))</f>
        <v>#N/A</v>
      </c>
      <c r="H307" s="5" t="e">
        <f ca="1">IF(OR(INDEX($AI$2:$AI$1001,MATCH(ROWS($AH$2:AH307),$AH$2:$AH$1001,0),1)&gt;=100000,INDEX($AO$1005:$BQ$1005,1,MATCH(COLUMNS($AO$1006:AU1006),$AO$1006:$BQ$1006,0))&gt;=100000), " ",IF(INDEX($AO$2:$BQ$1001,MATCH(ROWS($AH$2:AH307),$AH$2:$AH$1001,0),MATCH(COLUMNS($AO$1006:AU1006),$AO$1006:$BQ$1006,0)), HYPERLINK("#",""), HYPERLINK(CONCATENATE("#Metadata!", ADDRESS(INDEX($AJ$2:$AJ$1001,MATCH(ROWS($AH$2:AH307),$AH$2:$AH$1001,0),0), INDEX($AO$1004:$BQ$1004,1,MATCH(COLUMNS($AO$1006:AU1006),$AO$1006:$BQ$1006,0)))),"Fix")))</f>
        <v>#N/A</v>
      </c>
      <c r="I307" s="5" t="e">
        <f ca="1">IF(OR(INDEX($AI$2:$AI$1001,MATCH(ROWS($AH$2:AH307),$AH$2:$AH$1001,0),1)&gt;=100000,INDEX($AO$1005:$BQ$1005,1,MATCH(COLUMNS($AO$1006:AV1006),$AO$1006:$BQ$1006,0))&gt;=100000), " ",IF(INDEX($AO$2:$BQ$1001,MATCH(ROWS($AH$2:AH307),$AH$2:$AH$1001,0),MATCH(COLUMNS($AO$1006:AV1006),$AO$1006:$BQ$1006,0)), HYPERLINK("#",""), HYPERLINK(CONCATENATE("#Metadata!", ADDRESS(INDEX($AJ$2:$AJ$1001,MATCH(ROWS($AH$2:AH307),$AH$2:$AH$1001,0),0), INDEX($AO$1004:$BQ$1004,1,MATCH(COLUMNS($AO$1006:AV1006),$AO$1006:$BQ$1006,0)))),"Fix")))</f>
        <v>#N/A</v>
      </c>
      <c r="J307" s="5" t="e">
        <f ca="1">IF(OR(INDEX($AI$2:$AI$1001,MATCH(ROWS($AH$2:AH307),$AH$2:$AH$1001,0),1)&gt;=100000,INDEX($AO$1005:$BQ$1005,1,MATCH(COLUMNS($AO$1006:AW1006),$AO$1006:$BQ$1006,0))&gt;=100000), " ",IF(INDEX($AO$2:$BQ$1001,MATCH(ROWS($AH$2:AH307),$AH$2:$AH$1001,0),MATCH(COLUMNS($AO$1006:AW1006),$AO$1006:$BQ$1006,0)), HYPERLINK("#",""), HYPERLINK(CONCATENATE("#Metadata!", ADDRESS(INDEX($AJ$2:$AJ$1001,MATCH(ROWS($AH$2:AH307),$AH$2:$AH$1001,0),0), INDEX($AO$1004:$BQ$1004,1,MATCH(COLUMNS($AO$1006:AW1006),$AO$1006:$BQ$1006,0)))),"Fix")))</f>
        <v>#N/A</v>
      </c>
      <c r="K307" s="5" t="e">
        <f ca="1">IF(OR(INDEX($AI$2:$AI$1001,MATCH(ROWS($AH$2:AH307),$AH$2:$AH$1001,0),1)&gt;=100000,INDEX($AO$1005:$BQ$1005,1,MATCH(COLUMNS($AO$1006:AX1006),$AO$1006:$BQ$1006,0))&gt;=100000), " ",IF(INDEX($AO$2:$BQ$1001,MATCH(ROWS($AH$2:AH307),$AH$2:$AH$1001,0),MATCH(COLUMNS($AO$1006:AX1006),$AO$1006:$BQ$1006,0)), HYPERLINK("#",""), HYPERLINK(CONCATENATE("#Metadata!", ADDRESS(INDEX($AJ$2:$AJ$1001,MATCH(ROWS($AH$2:AH307),$AH$2:$AH$1001,0),0), INDEX($AO$1004:$BQ$1004,1,MATCH(COLUMNS($AO$1006:AX1006),$AO$1006:$BQ$1006,0)))),"Fix")))</f>
        <v>#N/A</v>
      </c>
      <c r="L307" s="5" t="e">
        <f ca="1">IF(OR(INDEX($AI$2:$AI$1001,MATCH(ROWS($AH$2:AH307),$AH$2:$AH$1001,0),1)&gt;=100000,INDEX($AO$1005:$BQ$1005,1,MATCH(COLUMNS($AO$1006:AY1006),$AO$1006:$BQ$1006,0))&gt;=100000), " ",IF(INDEX($AO$2:$BQ$1001,MATCH(ROWS($AH$2:AH307),$AH$2:$AH$1001,0),MATCH(COLUMNS($AO$1006:AY1006),$AO$1006:$BQ$1006,0)), HYPERLINK("#",""), HYPERLINK(CONCATENATE("#Metadata!", ADDRESS(INDEX($AJ$2:$AJ$1001,MATCH(ROWS($AH$2:AH307),$AH$2:$AH$1001,0),0), INDEX($AO$1004:$BQ$1004,1,MATCH(COLUMNS($AO$1006:AY1006),$AO$1006:$BQ$1006,0)))),"Fix")))</f>
        <v>#N/A</v>
      </c>
      <c r="M307" s="5" t="e">
        <f ca="1">IF(OR(INDEX($AI$2:$AI$1001,MATCH(ROWS($AH$2:AH307),$AH$2:$AH$1001,0),1)&gt;=100000,INDEX($AO$1005:$BQ$1005,1,MATCH(COLUMNS($AO$1006:AZ1006),$AO$1006:$BQ$1006,0))&gt;=100000), " ",IF(INDEX($AO$2:$BQ$1001,MATCH(ROWS($AH$2:AH307),$AH$2:$AH$1001,0),MATCH(COLUMNS($AO$1006:AZ1006),$AO$1006:$BQ$1006,0)), HYPERLINK("#",""), HYPERLINK(CONCATENATE("#Metadata!", ADDRESS(INDEX($AJ$2:$AJ$1001,MATCH(ROWS($AH$2:AH307),$AH$2:$AH$1001,0),0), INDEX($AO$1004:$BQ$1004,1,MATCH(COLUMNS($AO$1006:AZ1006),$AO$1006:$BQ$1006,0)))),"Fix")))</f>
        <v>#N/A</v>
      </c>
      <c r="N307" s="5" t="e">
        <f ca="1">IF(OR(INDEX($AI$2:$AI$1001,MATCH(ROWS($AH$2:AH307),$AH$2:$AH$1001,0),1)&gt;=100000,INDEX($AO$1005:$BQ$1005,1,MATCH(COLUMNS($AO$1006:BA1006),$AO$1006:$BQ$1006,0))&gt;=100000), " ",IF(INDEX($AO$2:$BQ$1001,MATCH(ROWS($AH$2:AH307),$AH$2:$AH$1001,0),MATCH(COLUMNS($AO$1006:BA1006),$AO$1006:$BQ$1006,0)), HYPERLINK("#",""), HYPERLINK(CONCATENATE("#Metadata!", ADDRESS(INDEX($AJ$2:$AJ$1001,MATCH(ROWS($AH$2:AH307),$AH$2:$AH$1001,0),0), INDEX($AO$1004:$BQ$1004,1,MATCH(COLUMNS($AO$1006:BA1006),$AO$1006:$BQ$1006,0)))),"Fix")))</f>
        <v>#N/A</v>
      </c>
      <c r="O307" s="5" t="e">
        <f ca="1">IF(OR(INDEX($AI$2:$AI$1001,MATCH(ROWS($AH$2:AH307),$AH$2:$AH$1001,0),1)&gt;=100000,INDEX($AO$1005:$BQ$1005,1,MATCH(COLUMNS($AO$1006:BB1006),$AO$1006:$BQ$1006,0))&gt;=100000), " ",IF(INDEX($AO$2:$BQ$1001,MATCH(ROWS($AH$2:AH307),$AH$2:$AH$1001,0),MATCH(COLUMNS($AO$1006:BB1006),$AO$1006:$BQ$1006,0)), HYPERLINK("#",""), HYPERLINK(CONCATENATE("#Metadata!", ADDRESS(INDEX($AJ$2:$AJ$1001,MATCH(ROWS($AH$2:AH307),$AH$2:$AH$1001,0),0), INDEX($AO$1004:$BQ$1004,1,MATCH(COLUMNS($AO$1006:BB1006),$AO$1006:$BQ$1006,0)))),"Fix")))</f>
        <v>#N/A</v>
      </c>
      <c r="P307" s="5" t="e">
        <f ca="1">IF(OR(INDEX($AI$2:$AI$1001,MATCH(ROWS($AH$2:AH307),$AH$2:$AH$1001,0),1)&gt;=100000,INDEX($AO$1005:$BQ$1005,1,MATCH(COLUMNS($AO$1006:BC1006),$AO$1006:$BQ$1006,0))&gt;=100000), " ",IF(INDEX($AO$2:$BQ$1001,MATCH(ROWS($AH$2:AH307),$AH$2:$AH$1001,0),MATCH(COLUMNS($AO$1006:BC1006),$AO$1006:$BQ$1006,0)), HYPERLINK("#",""), HYPERLINK(CONCATENATE("#Metadata!", ADDRESS(INDEX($AJ$2:$AJ$1001,MATCH(ROWS($AH$2:AH307),$AH$2:$AH$1001,0),0), INDEX($AO$1004:$BQ$1004,1,MATCH(COLUMNS($AO$1006:BC1006),$AO$1006:$BQ$1006,0)))),"Fix")))</f>
        <v>#N/A</v>
      </c>
      <c r="Q307" s="5" t="e">
        <f ca="1">IF(OR(INDEX($AI$2:$AI$1001,MATCH(ROWS($AH$2:AH307),$AH$2:$AH$1001,0),1)&gt;=100000,INDEX($AO$1005:$BQ$1005,1,MATCH(COLUMNS($AO$1006:BD1006),$AO$1006:$BQ$1006,0))&gt;=100000), " ",IF(INDEX($AO$2:$BQ$1001,MATCH(ROWS($AH$2:AH307),$AH$2:$AH$1001,0),MATCH(COLUMNS($AO$1006:BD1006),$AO$1006:$BQ$1006,0)), HYPERLINK("#",""), HYPERLINK(CONCATENATE("#Metadata!", ADDRESS(INDEX($AJ$2:$AJ$1001,MATCH(ROWS($AH$2:AH307),$AH$2:$AH$1001,0),0), INDEX($AO$1004:$BQ$1004,1,MATCH(COLUMNS($AO$1006:BD1006),$AO$1006:$BQ$1006,0)))),"Fix")))</f>
        <v>#N/A</v>
      </c>
      <c r="R307" s="5" t="e">
        <f ca="1">IF(OR(INDEX($AI$2:$AI$1001,MATCH(ROWS($AH$2:AH307),$AH$2:$AH$1001,0),1)&gt;=100000,INDEX($AO$1005:$BQ$1005,1,MATCH(COLUMNS($AO$1006:BE1006),$AO$1006:$BQ$1006,0))&gt;=100000), " ",IF(INDEX($AO$2:$BQ$1001,MATCH(ROWS($AH$2:AH307),$AH$2:$AH$1001,0),MATCH(COLUMNS($AO$1006:BE1006),$AO$1006:$BQ$1006,0)), HYPERLINK("#",""), HYPERLINK(CONCATENATE("#Metadata!", ADDRESS(INDEX($AJ$2:$AJ$1001,MATCH(ROWS($AH$2:AH307),$AH$2:$AH$1001,0),0), INDEX($AO$1004:$BQ$1004,1,MATCH(COLUMNS($AO$1006:BE1006),$AO$1006:$BQ$1006,0)))),"Fix")))</f>
        <v>#N/A</v>
      </c>
      <c r="S307" s="5" t="e">
        <f ca="1">IF(OR(INDEX($AI$2:$AI$1001,MATCH(ROWS($AH$2:AH307),$AH$2:$AH$1001,0),1)&gt;=100000,INDEX($AO$1005:$BQ$1005,1,MATCH(COLUMNS($AO$1006:BF1006),$AO$1006:$BQ$1006,0))&gt;=100000), " ",IF(INDEX($AO$2:$BQ$1001,MATCH(ROWS($AH$2:AH307),$AH$2:$AH$1001,0),MATCH(COLUMNS($AO$1006:BF1006),$AO$1006:$BQ$1006,0)), HYPERLINK("#",""), HYPERLINK(CONCATENATE("#Metadata!", ADDRESS(INDEX($AJ$2:$AJ$1001,MATCH(ROWS($AH$2:AH307),$AH$2:$AH$1001,0),0), INDEX($AO$1004:$BQ$1004,1,MATCH(COLUMNS($AO$1006:BF1006),$AO$1006:$BQ$1006,0)))),"Fix")))</f>
        <v>#N/A</v>
      </c>
      <c r="T307" s="5" t="e">
        <f ca="1">IF(OR(INDEX($AI$2:$AI$1001,MATCH(ROWS($AH$2:AH307),$AH$2:$AH$1001,0),1)&gt;=100000,INDEX($AO$1005:$BQ$1005,1,MATCH(COLUMNS($AO$1006:BG1006),$AO$1006:$BQ$1006,0))&gt;=100000), " ",IF(INDEX($AO$2:$BQ$1001,MATCH(ROWS($AH$2:AH307),$AH$2:$AH$1001,0),MATCH(COLUMNS($AO$1006:BG1006),$AO$1006:$BQ$1006,0)), HYPERLINK("#",""), HYPERLINK(CONCATENATE("#Metadata!", ADDRESS(INDEX($AJ$2:$AJ$1001,MATCH(ROWS($AH$2:AH307),$AH$2:$AH$1001,0),0), INDEX($AO$1004:$BQ$1004,1,MATCH(COLUMNS($AO$1006:BG1006),$AO$1006:$BQ$1006,0)))),"Fix")))</f>
        <v>#N/A</v>
      </c>
      <c r="U307" s="5" t="e">
        <f ca="1">IF(OR(INDEX($AI$2:$AI$1001,MATCH(ROWS($AH$2:AH307),$AH$2:$AH$1001,0),1)&gt;=100000,INDEX($AO$1005:$BQ$1005,1,MATCH(COLUMNS($AO$1006:BH1006),$AO$1006:$BQ$1006,0))&gt;=100000), " ",IF(INDEX($AO$2:$BQ$1001,MATCH(ROWS($AH$2:AH307),$AH$2:$AH$1001,0),MATCH(COLUMNS($AO$1006:BH1006),$AO$1006:$BQ$1006,0)), HYPERLINK("#",""), HYPERLINK(CONCATENATE("#Metadata!", ADDRESS(INDEX($AJ$2:$AJ$1001,MATCH(ROWS($AH$2:AH307),$AH$2:$AH$1001,0),0), INDEX($AO$1004:$BQ$1004,1,MATCH(COLUMNS($AO$1006:BH1006),$AO$1006:$BQ$1006,0)))),"Fix")))</f>
        <v>#N/A</v>
      </c>
      <c r="V307" s="5" t="e">
        <f ca="1">IF(OR(INDEX($AI$2:$AI$1001,MATCH(ROWS($AH$2:AH307),$AH$2:$AH$1001,0),1)&gt;=100000,INDEX($AO$1005:$BQ$1005,1,MATCH(COLUMNS($AO$1006:BI1006),$AO$1006:$BQ$1006,0))&gt;=100000), " ",IF(INDEX($AO$2:$BQ$1001,MATCH(ROWS($AH$2:AH307),$AH$2:$AH$1001,0),MATCH(COLUMNS($AO$1006:BI1006),$AO$1006:$BQ$1006,0)), HYPERLINK("#",""), HYPERLINK(CONCATENATE("#Metadata!", ADDRESS(INDEX($AJ$2:$AJ$1001,MATCH(ROWS($AH$2:AH307),$AH$2:$AH$1001,0),0), INDEX($AO$1004:$BQ$1004,1,MATCH(COLUMNS($AO$1006:BI1006),$AO$1006:$BQ$1006,0)))),"Fix")))</f>
        <v>#N/A</v>
      </c>
      <c r="W307" s="5" t="e">
        <f ca="1">IF(OR(INDEX($AI$2:$AI$1001,MATCH(ROWS($AH$2:AH307),$AH$2:$AH$1001,0),1)&gt;=100000,INDEX($AO$1005:$BQ$1005,1,MATCH(COLUMNS($AO$1006:BJ1006),$AO$1006:$BQ$1006,0))&gt;=100000), " ",IF(INDEX($AO$2:$BQ$1001,MATCH(ROWS($AH$2:AH307),$AH$2:$AH$1001,0),MATCH(COLUMNS($AO$1006:BJ1006),$AO$1006:$BQ$1006,0)), HYPERLINK("#",""), HYPERLINK(CONCATENATE("#Metadata!", ADDRESS(INDEX($AJ$2:$AJ$1001,MATCH(ROWS($AH$2:AH307),$AH$2:$AH$1001,0),0), INDEX($AO$1004:$BQ$1004,1,MATCH(COLUMNS($AO$1006:BJ1006),$AO$1006:$BQ$1006,0)))),"Fix")))</f>
        <v>#N/A</v>
      </c>
      <c r="X307" s="5" t="e">
        <f ca="1">IF(OR(INDEX($AI$2:$AI$1001,MATCH(ROWS($AH$2:AH307),$AH$2:$AH$1001,0),1)&gt;=100000,INDEX($AO$1005:$BQ$1005,1,MATCH(COLUMNS($AO$1006:BK1006),$AO$1006:$BQ$1006,0))&gt;=100000), " ",IF(INDEX($AO$2:$BQ$1001,MATCH(ROWS($AH$2:AH307),$AH$2:$AH$1001,0),MATCH(COLUMNS($AO$1006:BK1006),$AO$1006:$BQ$1006,0)), HYPERLINK("#",""), HYPERLINK(CONCATENATE("#Metadata!", ADDRESS(INDEX($AJ$2:$AJ$1001,MATCH(ROWS($AH$2:AH307),$AH$2:$AH$1001,0),0), INDEX($AO$1004:$BQ$1004,1,MATCH(COLUMNS($AO$1006:BK1006),$AO$1006:$BQ$1006,0)))),"Fix")))</f>
        <v>#N/A</v>
      </c>
      <c r="Y307" s="5" t="e">
        <f ca="1">IF(OR(INDEX($AI$2:$AI$1001,MATCH(ROWS($AH$2:AH307),$AH$2:$AH$1001,0),1)&gt;=100000,INDEX($AO$1005:$BQ$1005,1,MATCH(COLUMNS($AO$1006:BL1006),$AO$1006:$BQ$1006,0))&gt;=100000), " ",IF(INDEX($AO$2:$BQ$1001,MATCH(ROWS($AH$2:AH307),$AH$2:$AH$1001,0),MATCH(COLUMNS($AO$1006:BL1006),$AO$1006:$BQ$1006,0)), HYPERLINK("#",""), HYPERLINK(CONCATENATE("#Metadata!", ADDRESS(INDEX($AJ$2:$AJ$1001,MATCH(ROWS($AH$2:AH307),$AH$2:$AH$1001,0),0), INDEX($AO$1004:$BQ$1004,1,MATCH(COLUMNS($AO$1006:BL1006),$AO$1006:$BQ$1006,0)))),"Fix")))</f>
        <v>#N/A</v>
      </c>
      <c r="Z307" s="5" t="e">
        <f ca="1">IF(OR(INDEX($AI$2:$AI$1001,MATCH(ROWS($AH$2:AH307),$AH$2:$AH$1001,0),1)&gt;=100000,INDEX($AO$1005:$BQ$1005,1,MATCH(COLUMNS($AO$1006:BM1006),$AO$1006:$BQ$1006,0))&gt;=100000), " ",IF(INDEX($AO$2:$BQ$1001,MATCH(ROWS($AH$2:AH307),$AH$2:$AH$1001,0),MATCH(COLUMNS($AO$1006:BM1006),$AO$1006:$BQ$1006,0)), HYPERLINK("#",""), HYPERLINK(CONCATENATE("#Metadata!", ADDRESS(INDEX($AJ$2:$AJ$1001,MATCH(ROWS($AH$2:AH307),$AH$2:$AH$1001,0),0), INDEX($AO$1004:$BQ$1004,1,MATCH(COLUMNS($AO$1006:BM1006),$AO$1006:$BQ$1006,0)))),"Fix")))</f>
        <v>#N/A</v>
      </c>
      <c r="AA307" s="5" t="e">
        <f ca="1">IF(OR(INDEX($AI$2:$AI$1001,MATCH(ROWS($AH$2:AH307),$AH$2:$AH$1001,0),1)&gt;=100000,INDEX($AO$1005:$BQ$1005,1,MATCH(COLUMNS($AO$1006:BN1006),$AO$1006:$BQ$1006,0))&gt;=100000), " ",IF(INDEX($AO$2:$BQ$1001,MATCH(ROWS($AH$2:AH307),$AH$2:$AH$1001,0),MATCH(COLUMNS($AO$1006:BN1006),$AO$1006:$BQ$1006,0)), HYPERLINK("#",""), HYPERLINK(CONCATENATE("#Metadata!", ADDRESS(INDEX($AJ$2:$AJ$1001,MATCH(ROWS($AH$2:AH307),$AH$2:$AH$1001,0),0), INDEX($AO$1004:$BQ$1004,1,MATCH(COLUMNS($AO$1006:BN1006),$AO$1006:$BQ$1006,0)))),"Fix")))</f>
        <v>#N/A</v>
      </c>
      <c r="AB307" s="5" t="e">
        <f ca="1">IF(OR(INDEX($AI$2:$AI$1001,MATCH(ROWS($AH$2:AH307),$AH$2:$AH$1001,0),1)&gt;=100000,INDEX($AO$1005:$BQ$1005,1,MATCH(COLUMNS($AO$1006:BO1006),$AO$1006:$BQ$1006,0))&gt;=100000), " ",IF(INDEX($AO$2:$BQ$1001,MATCH(ROWS($AH$2:AH307),$AH$2:$AH$1001,0),MATCH(COLUMNS($AO$1006:BO1006),$AO$1006:$BQ$1006,0)), HYPERLINK("#",""), HYPERLINK(CONCATENATE("#Metadata!", ADDRESS(INDEX($AJ$2:$AJ$1001,MATCH(ROWS($AH$2:AH307),$AH$2:$AH$1001,0),0), INDEX($AO$1004:$BQ$1004,1,MATCH(COLUMNS($AO$1006:BO1006),$AO$1006:$BQ$1006,0)))),"Fix")))</f>
        <v>#N/A</v>
      </c>
      <c r="AC307" s="5" t="e">
        <f ca="1">IF(OR(INDEX($AI$2:$AI$1001,MATCH(ROWS($AH$2:AH307),$AH$2:$AH$1001,0),1)&gt;=100000,INDEX($AO$1005:$BQ$1005,1,MATCH(COLUMNS($AO$1006:BP1006),$AO$1006:$BQ$1006,0))&gt;=100000), " ",IF(INDEX($AO$2:$BQ$1001,MATCH(ROWS($AH$2:AH307),$AH$2:$AH$1001,0),MATCH(COLUMNS($AO$1006:BP1006),$AO$1006:$BQ$1006,0)), HYPERLINK("#",""), HYPERLINK(CONCATENATE("#Metadata!", ADDRESS(INDEX($AJ$2:$AJ$1001,MATCH(ROWS($AH$2:AH307),$AH$2:$AH$1001,0),0), INDEX($AO$1004:$BQ$1004,1,MATCH(COLUMNS($AO$1006:BP1006),$AO$1006:$BQ$1006,0)))),"Fix")))</f>
        <v>#N/A</v>
      </c>
      <c r="AD307" s="5" t="e">
        <f ca="1">IF(OR(INDEX($AI$2:$AI$1001,MATCH(ROWS($AH$2:AH307),$AH$2:$AH$1001,0),1)&gt;=100000,INDEX($AO$1005:$BQ$1005,1,MATCH(COLUMNS($AO$1006:BQ1006),$AO$1006:$BQ$1006,0))&gt;=100000), " ",IF(INDEX($AO$2:$BQ$1001,MATCH(ROWS($AH$2:AH307),$AH$2:$AH$1001,0),MATCH(COLUMNS($AO$1006:BQ1006),$AO$1006:$BQ$1006,0)), HYPERLINK("#",""), HYPERLINK(CONCATENATE("#Metadata!", ADDRESS(INDEX($AJ$2:$AJ$1001,MATCH(ROWS($AH$2:AH307),$AH$2:$AH$1001,0),0), INDEX($AO$1004:$BQ$1004,1,MATCH(COLUMNS($AO$1006:BQ1006),$AO$1006:$BQ$1006,0)))),"Fix")))</f>
        <v>#REF!</v>
      </c>
      <c r="AH307">
        <f ca="1"/>
        <v>304</v>
      </c>
      <c r="AI307">
        <v>100307</v>
      </c>
      <c r="AJ307">
        <v>307</v>
      </c>
      <c r="AK307" t="b">
        <f t="shared" si="4"/>
        <v>1</v>
      </c>
      <c r="AL307" t="b">
        <f>COUNTBLANK(Metadata!B307:AD307)=COLUMNS(Metadata!B307:AD307)</f>
        <v>1</v>
      </c>
      <c r="AM307" t="str">
        <v/>
      </c>
      <c r="AO307" t="b">
        <f ca="1">AND(IF(Metadata!B307="",FALSE,TRUE),COUNTIF(Metadata!B:B, Metadata!B307) = 1,NOT(ISERROR(SUMPRODUCT(SEARCH(MID(Metadata!B307,ROW(INDIRECT("1:"&amp;LEN(Metadata!B307))), 1),"0123456789abcdefghijklmnopqrstuvwxyzABCDEFGHIJKLMNOPQRSTUVWXYZ.")))))</f>
        <v>0</v>
      </c>
      <c r="AP307" t="b">
        <f>IF(Metadata!C307="",FALSE,TRUE)</f>
        <v>0</v>
      </c>
      <c r="AQ307" t="b">
        <f>IF(Metadata!D307="",FALSE,TRUE)</f>
        <v>0</v>
      </c>
      <c r="AR307" t="b">
        <f ca="1">OR(AND(IF(Metadata!E307="",FALSE,TRUE),OR(EXACT(Metadata!E307,"not collected"),EXACT(Metadata!E307,"not provided"),EXACT(Metadata!E307,"restricted access"))),AND(IF(Metadata!E307="",FALSE,TRUE),AND(AND(IFERROR(INT(LEFT(Metadata!E307,4))&gt;1900,FALSE),IFERROR(INT(LEFT(Metadata!E307,4))&lt;=YEAR(NOW()),FALSE)), OR(MID(Metadata!E307,5,1)="", AND(AND(MID(Metadata!E307,5,1)="-",IFERROR(INT(MID(Metadata!E307,6,1))&gt;=0,FALSE),IFERROR(INT(MID(Metadata!E307,6,1))&lt;=1,FALSE),NOT(MID(Metadata!E307,7,1)=""),IFERROR(INT(MID(Metadata!E307,6,2))&gt;=1,FALSE),IFERROR(INT(MID(Metadata!E307,6,2))&lt;=12,FALSE)), OR(MID(Metadata!E307,8,1)="", AND(AND(MID(Metadata!E307,8,1)="-",IFERROR(INT(MID(Metadata!E307,9,1))&gt;=0,FALSE),IFERROR(INT(MID(Metadata!E307,9,1))&lt;=3,FALSE),NOT(MID(Metadata!E307,10,1)=""),IFERROR(INT(MID(Metadata!E307,9,2))&gt;=1,FALSE),IFERROR(INT(MID(Metadata!E307,9,2))&lt;=31,FALSE)), OR(MID(Metadata!E307,11,1)="", AND(AND(MID(Metadata!E307,11,1)=" ",IFERROR(INT(MID(Metadata!E307,12,1))&gt;=0,FALSE),IFERROR(INT(MID(Metadata!E307,12,1))&lt;=2,FALSE),NOT(MID(Metadata!E307,13,1)=""),IFERROR(INT(MID(Metadata!E307,12,2))&gt;=0,FALSE),IFERROR(INT(MID(Metadata!E307,12,2))&lt;=23,FALSE)), OR(MID(Metadata!E307,14,1)="", AND(AND(MID(Metadata!E307,14,1)=":",IFERROR(INT(MID(Metadata!E307,15,1))&gt;=0,FALSE),IFERROR(INT(MID(Metadata!E307,15,1))&lt;=5,FALSE),NOT(MID(Metadata!E307,16,1)=""),IFERROR(INT(MID(Metadata!E307,15,2))&gt;=0,FALSE),IFERROR(INT(MID(Metadata!E307,15,2))&lt;=59,FALSE)), OR(MID(Metadata!E307,17,1)="", AND(AND(MID(Metadata!E307,17,1)=":",IFERROR(INT(MID(Metadata!E307,18,1))&gt;=0,FALSE),IFERROR(INT(MID(Metadata!E307,18,1))&lt;=5,FALSE),NOT(MID(Metadata!E307,19,1)=""),IFERROR(INT(MID(Metadata!E307,18,2))&gt;=0,FALSE),IFERROR(INT(MID(Metadata!E307,18,2))&lt;=59,FALSE)), LEN(Metadata!E307)&lt;=19)))))))))))))</f>
        <v>0</v>
      </c>
      <c r="AS307" t="b">
        <f>IF(Metadata!F307="",FALSE,TRUE)</f>
        <v>0</v>
      </c>
      <c r="AT307" t="b">
        <f>OR(AND(IF(Metadata!G307="",FALSE,TRUE),OR(EXACT(Metadata!G307,"not collected"),EXACT(Metadata!G307,"not provided"))),AND(IF(Metadata!G307="",FALSE,TRUE),OR(EXACT(Metadata!G307,"TRUE"),EXACT(Metadata!G307,"FALSE"))))</f>
        <v>0</v>
      </c>
      <c r="AU307" t="b">
        <f>OR(AND(IF(Metadata!H307="",FALSE,TRUE),OR(EXACT(Metadata!H307,"not collected"),EXACT(Metadata!H307,"not provided"),EXACT(Metadata!H307,"restricted access"))),AND(IF(Metadata!H307="",FALSE,ISNUMBER(VALUE(Metadata!H307))),Metadata!H307&gt;=-413))</f>
        <v>0</v>
      </c>
      <c r="AV307" t="b">
        <f>AND(IF(Metadata!I307="",FALSE,TRUE),EXACT(Metadata!I307,"meters"))</f>
        <v>0</v>
      </c>
      <c r="AW307" t="b">
        <f>AND(IF(Metadata!J307="",FALSE,TRUE),EXACT(Metadata!J307,"free-living"))</f>
        <v>0</v>
      </c>
      <c r="AX307" t="b">
        <f>AND(IF(Metadata!K307="",FALSE,TRUE),OR(EXACT(Metadata!K307,"saline"),EXACT(Metadata!K307,"non-saline")))</f>
        <v>0</v>
      </c>
      <c r="AY307" t="b">
        <f>AND(IF(Metadata!L307="",FALSE,TRUE),OR(EXACT(Metadata!L307,"sub-surface (non-saline)"),EXACT(Metadata!L307,"surface (non-saline)"),EXACT(Metadata!L307,"water (non-saline)"),EXACT(Metadata!L307,"soil (non-saline)"),EXACT(Metadata!L307,"aerosol (non-saline)"),EXACT(Metadata!L307,"sediment (non-saline)"),EXACT(Metadata!L307,"surface (saline)"),EXACT(Metadata!L307,"water (saline)"),EXACT(Metadata!L307,"hypersaline (saline)"),EXACT(Metadata!L307,"aerosol (saline)"),EXACT(Metadata!L307,"sediment (saline)")))</f>
        <v>0</v>
      </c>
      <c r="AZ307" t="b">
        <f>IF(Metadata!M307="",FALSE,TRUE)</f>
        <v>0</v>
      </c>
      <c r="BA307" t="b">
        <f>IF(Metadata!N307="",FALSE,TRUE)</f>
        <v>0</v>
      </c>
      <c r="BB307" t="b">
        <f>IF(Metadata!O307="",FALSE,TRUE)</f>
        <v>0</v>
      </c>
      <c r="BC307" t="b">
        <f>AND(IF(Metadata!P307="",FALSE,TRUE),OR(EXACT(Metadata!P307,"air"),EXACT(Metadata!P307,"microbial mat/biofilm"),EXACT(Metadata!P307,"misc environment"),EXACT(Metadata!P307,"sediment"),EXACT(Metadata!P307,"soil"),EXACT(Metadata!P307,"wastewater/sludge"),EXACT(Metadata!P307,"water")))</f>
        <v>0</v>
      </c>
      <c r="BD307" t="b">
        <f>IF(Metadata!Q307="",FALSE,TRUE)</f>
        <v>0</v>
      </c>
      <c r="BE307" t="b">
        <f>IF(Metadata!R307="",FALSE,TRUE)</f>
        <v>0</v>
      </c>
      <c r="BF307" t="b">
        <f>OR(AND(IF(Metadata!S307="",FALSE,TRUE),OR(EXACT(Metadata!S307,"not collected"),EXACT(Metadata!S307,"not provided"),EXACT(Metadata!S307,"restricted access"))),AND(IF(Metadata!S307="",FALSE,ISNUMBER(VALUE(Metadata!S307))),Metadata!S307&gt;=-90,Metadata!S307&lt;=90))</f>
        <v>0</v>
      </c>
      <c r="BG307" t="b">
        <f>AND(IF(Metadata!T307="",FALSE,TRUE),EXACT(Metadata!T307,"Decimal degrees"))</f>
        <v>0</v>
      </c>
      <c r="BH307" t="b">
        <f>OR(AND(IF(Metadata!U307="",FALSE,TRUE),OR(EXACT(Metadata!U307,"not applicable"),EXACT(Metadata!U307,"not collected"))),IF(Metadata!U307="",FALSE,TRUE))</f>
        <v>0</v>
      </c>
      <c r="BI307" t="b">
        <f>OR(AND(IF(Metadata!V307="",FALSE,TRUE),OR(EXACT(Metadata!V307,"not collected"),EXACT(Metadata!V307,"not provided"),EXACT(Metadata!V307,"restricted access"))),AND(IF(Metadata!V307="",FALSE,ISNUMBER(VALUE(Metadata!V307))),Metadata!V307&gt;=-180,Metadata!V307&lt;=180))</f>
        <v>0</v>
      </c>
      <c r="BJ307" t="b">
        <f>AND(IF(Metadata!W307="",FALSE,TRUE),EXACT(Metadata!W307,"Decimal degrees"))</f>
        <v>0</v>
      </c>
      <c r="BK307" t="b">
        <f>IF(Metadata!X307="",FALSE,TRUE)</f>
        <v>0</v>
      </c>
      <c r="BL307" t="b">
        <f>OR(AND(IF(Metadata!Y307="",FALSE,TRUE),OR(EXACT(Metadata!Y307,"not collected"),EXACT(Metadata!Y307,"not provided"),EXACT(Metadata!Y307,"restricted access"))),AND(IF(Metadata!Y307="",FALSE,TRUE),OR(EXACT(Metadata!Y307,"TRUE"),EXACT(Metadata!Y307,"FALSE"))))</f>
        <v>0</v>
      </c>
      <c r="BM307" t="b">
        <f>OR(AND(IF(Metadata!Z307="",FALSE,TRUE),EXACT(Metadata!Z307,"not applicable")),AND(IF(Metadata!Z307="",FALSE,TRUE),OR(EXACT(Metadata!Z307,"beer"),EXACT(Metadata!Z307,"cheese"),EXACT(Metadata!Z307,"fresh water"),EXACT(Metadata!Z307,"marine sediment"),EXACT(Metadata!Z307,"sea water"),EXACT(Metadata!Z307,"sediment"),EXACT(Metadata!Z307,"soil"),EXACT(Metadata!Z307,"waste water"))))</f>
        <v>0</v>
      </c>
      <c r="BN307" t="b">
        <f>AND(IF(Metadata!AA307="",FALSE,TRUE),EXACT(Metadata!AA307,"metagenome"))</f>
        <v>0</v>
      </c>
      <c r="BO307" t="b">
        <f>AND(IF(Metadata!AB307="",FALSE,TRUE),EXACT(Metadata!AB307,"256318"))</f>
        <v>0</v>
      </c>
      <c r="BP307" t="b">
        <f>IF(Metadata!AC307="",FALSE,TRUE)</f>
        <v>0</v>
      </c>
      <c r="BQ307" t="b">
        <f>IF(Metadata!AD307="",FALSE,TRUE)</f>
        <v>0</v>
      </c>
    </row>
    <row r="308" spans="1:69" x14ac:dyDescent="0.2">
      <c r="A308" s="4" t="e">
        <f ca="1">IF(B308=" "," ",HYPERLINK(CONCATENATE("#metadata!",ADDRESS(INDEX($AJ$2:$AJ$1001,MATCH(ROWS($AH$2:AH308),$AH$2:$AH$1001,0),0),2)),INDEX($AM$2:$AM$1001,MATCH(ROWS($AH$2:AH308),$AH$2:$AH$1001,0),0)))</f>
        <v>#N/A</v>
      </c>
      <c r="B308" s="5" t="e">
        <f ca="1">IF(OR(INDEX($AI$2:$AI$1001,MATCH(ROWS($AH$2:AH308),$AH$2:$AH$1001,0),1)&gt;=100000,INDEX($AO$1005:$BQ$1005,1,MATCH(COLUMNS($AO$1006:AO1006),$AO$1006:$BQ$1006,0))&gt;=100000), " ",IF(INDEX($AO$2:$BQ$1001,MATCH(ROWS($AH$2:AH308),$AH$2:$AH$1001,0),MATCH(COLUMNS($AO$1006:AO1006),$AO$1006:$BQ$1006,0)), HYPERLINK("#",""), HYPERLINK(CONCATENATE("#Metadata!", ADDRESS(INDEX($AJ$2:$AJ$1001,MATCH(ROWS($AH$2:AH308),$AH$2:$AH$1001,0),0), INDEX($AO$1004:$BQ$1004,1,MATCH(COLUMNS($AO$1006:AO1006),$AO$1006:$BQ$1006,0)))),"Fix")))</f>
        <v>#N/A</v>
      </c>
      <c r="C308" s="5" t="e">
        <f ca="1">IF(OR(INDEX($AI$2:$AI$1001,MATCH(ROWS($AH$2:AH308),$AH$2:$AH$1001,0),1)&gt;=100000,INDEX($AO$1005:$BQ$1005,1,MATCH(COLUMNS($AO$1006:AP1006),$AO$1006:$BQ$1006,0))&gt;=100000), " ",IF(INDEX($AO$2:$BQ$1001,MATCH(ROWS($AH$2:AH308),$AH$2:$AH$1001,0),MATCH(COLUMNS($AO$1006:AP1006),$AO$1006:$BQ$1006,0)), HYPERLINK("#",""), HYPERLINK(CONCATENATE("#Metadata!", ADDRESS(INDEX($AJ$2:$AJ$1001,MATCH(ROWS($AH$2:AH308),$AH$2:$AH$1001,0),0), INDEX($AO$1004:$BQ$1004,1,MATCH(COLUMNS($AO$1006:AP1006),$AO$1006:$BQ$1006,0)))),"Fix")))</f>
        <v>#N/A</v>
      </c>
      <c r="D308" s="5" t="e">
        <f ca="1">IF(OR(INDEX($AI$2:$AI$1001,MATCH(ROWS($AH$2:AH308),$AH$2:$AH$1001,0),1)&gt;=100000,INDEX($AO$1005:$BQ$1005,1,MATCH(COLUMNS($AO$1006:AQ1006),$AO$1006:$BQ$1006,0))&gt;=100000), " ",IF(INDEX($AO$2:$BQ$1001,MATCH(ROWS($AH$2:AH308),$AH$2:$AH$1001,0),MATCH(COLUMNS($AO$1006:AQ1006),$AO$1006:$BQ$1006,0)), HYPERLINK("#",""), HYPERLINK(CONCATENATE("#Metadata!", ADDRESS(INDEX($AJ$2:$AJ$1001,MATCH(ROWS($AH$2:AH308),$AH$2:$AH$1001,0),0), INDEX($AO$1004:$BQ$1004,1,MATCH(COLUMNS($AO$1006:AQ1006),$AO$1006:$BQ$1006,0)))),"Fix")))</f>
        <v>#N/A</v>
      </c>
      <c r="E308" s="5" t="e">
        <f ca="1">IF(OR(INDEX($AI$2:$AI$1001,MATCH(ROWS($AH$2:AH308),$AH$2:$AH$1001,0),1)&gt;=100000,INDEX($AO$1005:$BQ$1005,1,MATCH(COLUMNS($AO$1006:AR1006),$AO$1006:$BQ$1006,0))&gt;=100000), " ",IF(INDEX($AO$2:$BQ$1001,MATCH(ROWS($AH$2:AH308),$AH$2:$AH$1001,0),MATCH(COLUMNS($AO$1006:AR1006),$AO$1006:$BQ$1006,0)), HYPERLINK("#",""), HYPERLINK(CONCATENATE("#Metadata!", ADDRESS(INDEX($AJ$2:$AJ$1001,MATCH(ROWS($AH$2:AH308),$AH$2:$AH$1001,0),0), INDEX($AO$1004:$BQ$1004,1,MATCH(COLUMNS($AO$1006:AR1006),$AO$1006:$BQ$1006,0)))),"Fix")))</f>
        <v>#N/A</v>
      </c>
      <c r="F308" s="5" t="e">
        <f ca="1">IF(OR(INDEX($AI$2:$AI$1001,MATCH(ROWS($AH$2:AH308),$AH$2:$AH$1001,0),1)&gt;=100000,INDEX($AO$1005:$BQ$1005,1,MATCH(COLUMNS($AO$1006:AS1006),$AO$1006:$BQ$1006,0))&gt;=100000), " ",IF(INDEX($AO$2:$BQ$1001,MATCH(ROWS($AH$2:AH308),$AH$2:$AH$1001,0),MATCH(COLUMNS($AO$1006:AS1006),$AO$1006:$BQ$1006,0)), HYPERLINK("#",""), HYPERLINK(CONCATENATE("#Metadata!", ADDRESS(INDEX($AJ$2:$AJ$1001,MATCH(ROWS($AH$2:AH308),$AH$2:$AH$1001,0),0), INDEX($AO$1004:$BQ$1004,1,MATCH(COLUMNS($AO$1006:AS1006),$AO$1006:$BQ$1006,0)))),"Fix")))</f>
        <v>#N/A</v>
      </c>
      <c r="G308" s="5" t="e">
        <f ca="1">IF(OR(INDEX($AI$2:$AI$1001,MATCH(ROWS($AH$2:AH308),$AH$2:$AH$1001,0),1)&gt;=100000,INDEX($AO$1005:$BQ$1005,1,MATCH(COLUMNS($AO$1006:AT1006),$AO$1006:$BQ$1006,0))&gt;=100000), " ",IF(INDEX($AO$2:$BQ$1001,MATCH(ROWS($AH$2:AH308),$AH$2:$AH$1001,0),MATCH(COLUMNS($AO$1006:AT1006),$AO$1006:$BQ$1006,0)), HYPERLINK("#",""), HYPERLINK(CONCATENATE("#Metadata!", ADDRESS(INDEX($AJ$2:$AJ$1001,MATCH(ROWS($AH$2:AH308),$AH$2:$AH$1001,0),0), INDEX($AO$1004:$BQ$1004,1,MATCH(COLUMNS($AO$1006:AT1006),$AO$1006:$BQ$1006,0)))),"Fix")))</f>
        <v>#N/A</v>
      </c>
      <c r="H308" s="5" t="e">
        <f ca="1">IF(OR(INDEX($AI$2:$AI$1001,MATCH(ROWS($AH$2:AH308),$AH$2:$AH$1001,0),1)&gt;=100000,INDEX($AO$1005:$BQ$1005,1,MATCH(COLUMNS($AO$1006:AU1006),$AO$1006:$BQ$1006,0))&gt;=100000), " ",IF(INDEX($AO$2:$BQ$1001,MATCH(ROWS($AH$2:AH308),$AH$2:$AH$1001,0),MATCH(COLUMNS($AO$1006:AU1006),$AO$1006:$BQ$1006,0)), HYPERLINK("#",""), HYPERLINK(CONCATENATE("#Metadata!", ADDRESS(INDEX($AJ$2:$AJ$1001,MATCH(ROWS($AH$2:AH308),$AH$2:$AH$1001,0),0), INDEX($AO$1004:$BQ$1004,1,MATCH(COLUMNS($AO$1006:AU1006),$AO$1006:$BQ$1006,0)))),"Fix")))</f>
        <v>#N/A</v>
      </c>
      <c r="I308" s="5" t="e">
        <f ca="1">IF(OR(INDEX($AI$2:$AI$1001,MATCH(ROWS($AH$2:AH308),$AH$2:$AH$1001,0),1)&gt;=100000,INDEX($AO$1005:$BQ$1005,1,MATCH(COLUMNS($AO$1006:AV1006),$AO$1006:$BQ$1006,0))&gt;=100000), " ",IF(INDEX($AO$2:$BQ$1001,MATCH(ROWS($AH$2:AH308),$AH$2:$AH$1001,0),MATCH(COLUMNS($AO$1006:AV1006),$AO$1006:$BQ$1006,0)), HYPERLINK("#",""), HYPERLINK(CONCATENATE("#Metadata!", ADDRESS(INDEX($AJ$2:$AJ$1001,MATCH(ROWS($AH$2:AH308),$AH$2:$AH$1001,0),0), INDEX($AO$1004:$BQ$1004,1,MATCH(COLUMNS($AO$1006:AV1006),$AO$1006:$BQ$1006,0)))),"Fix")))</f>
        <v>#N/A</v>
      </c>
      <c r="J308" s="5" t="e">
        <f ca="1">IF(OR(INDEX($AI$2:$AI$1001,MATCH(ROWS($AH$2:AH308),$AH$2:$AH$1001,0),1)&gt;=100000,INDEX($AO$1005:$BQ$1005,1,MATCH(COLUMNS($AO$1006:AW1006),$AO$1006:$BQ$1006,0))&gt;=100000), " ",IF(INDEX($AO$2:$BQ$1001,MATCH(ROWS($AH$2:AH308),$AH$2:$AH$1001,0),MATCH(COLUMNS($AO$1006:AW1006),$AO$1006:$BQ$1006,0)), HYPERLINK("#",""), HYPERLINK(CONCATENATE("#Metadata!", ADDRESS(INDEX($AJ$2:$AJ$1001,MATCH(ROWS($AH$2:AH308),$AH$2:$AH$1001,0),0), INDEX($AO$1004:$BQ$1004,1,MATCH(COLUMNS($AO$1006:AW1006),$AO$1006:$BQ$1006,0)))),"Fix")))</f>
        <v>#N/A</v>
      </c>
      <c r="K308" s="5" t="e">
        <f ca="1">IF(OR(INDEX($AI$2:$AI$1001,MATCH(ROWS($AH$2:AH308),$AH$2:$AH$1001,0),1)&gt;=100000,INDEX($AO$1005:$BQ$1005,1,MATCH(COLUMNS($AO$1006:AX1006),$AO$1006:$BQ$1006,0))&gt;=100000), " ",IF(INDEX($AO$2:$BQ$1001,MATCH(ROWS($AH$2:AH308),$AH$2:$AH$1001,0),MATCH(COLUMNS($AO$1006:AX1006),$AO$1006:$BQ$1006,0)), HYPERLINK("#",""), HYPERLINK(CONCATENATE("#Metadata!", ADDRESS(INDEX($AJ$2:$AJ$1001,MATCH(ROWS($AH$2:AH308),$AH$2:$AH$1001,0),0), INDEX($AO$1004:$BQ$1004,1,MATCH(COLUMNS($AO$1006:AX1006),$AO$1006:$BQ$1006,0)))),"Fix")))</f>
        <v>#N/A</v>
      </c>
      <c r="L308" s="5" t="e">
        <f ca="1">IF(OR(INDEX($AI$2:$AI$1001,MATCH(ROWS($AH$2:AH308),$AH$2:$AH$1001,0),1)&gt;=100000,INDEX($AO$1005:$BQ$1005,1,MATCH(COLUMNS($AO$1006:AY1006),$AO$1006:$BQ$1006,0))&gt;=100000), " ",IF(INDEX($AO$2:$BQ$1001,MATCH(ROWS($AH$2:AH308),$AH$2:$AH$1001,0),MATCH(COLUMNS($AO$1006:AY1006),$AO$1006:$BQ$1006,0)), HYPERLINK("#",""), HYPERLINK(CONCATENATE("#Metadata!", ADDRESS(INDEX($AJ$2:$AJ$1001,MATCH(ROWS($AH$2:AH308),$AH$2:$AH$1001,0),0), INDEX($AO$1004:$BQ$1004,1,MATCH(COLUMNS($AO$1006:AY1006),$AO$1006:$BQ$1006,0)))),"Fix")))</f>
        <v>#N/A</v>
      </c>
      <c r="M308" s="5" t="e">
        <f ca="1">IF(OR(INDEX($AI$2:$AI$1001,MATCH(ROWS($AH$2:AH308),$AH$2:$AH$1001,0),1)&gt;=100000,INDEX($AO$1005:$BQ$1005,1,MATCH(COLUMNS($AO$1006:AZ1006),$AO$1006:$BQ$1006,0))&gt;=100000), " ",IF(INDEX($AO$2:$BQ$1001,MATCH(ROWS($AH$2:AH308),$AH$2:$AH$1001,0),MATCH(COLUMNS($AO$1006:AZ1006),$AO$1006:$BQ$1006,0)), HYPERLINK("#",""), HYPERLINK(CONCATENATE("#Metadata!", ADDRESS(INDEX($AJ$2:$AJ$1001,MATCH(ROWS($AH$2:AH308),$AH$2:$AH$1001,0),0), INDEX($AO$1004:$BQ$1004,1,MATCH(COLUMNS($AO$1006:AZ1006),$AO$1006:$BQ$1006,0)))),"Fix")))</f>
        <v>#N/A</v>
      </c>
      <c r="N308" s="5" t="e">
        <f ca="1">IF(OR(INDEX($AI$2:$AI$1001,MATCH(ROWS($AH$2:AH308),$AH$2:$AH$1001,0),1)&gt;=100000,INDEX($AO$1005:$BQ$1005,1,MATCH(COLUMNS($AO$1006:BA1006),$AO$1006:$BQ$1006,0))&gt;=100000), " ",IF(INDEX($AO$2:$BQ$1001,MATCH(ROWS($AH$2:AH308),$AH$2:$AH$1001,0),MATCH(COLUMNS($AO$1006:BA1006),$AO$1006:$BQ$1006,0)), HYPERLINK("#",""), HYPERLINK(CONCATENATE("#Metadata!", ADDRESS(INDEX($AJ$2:$AJ$1001,MATCH(ROWS($AH$2:AH308),$AH$2:$AH$1001,0),0), INDEX($AO$1004:$BQ$1004,1,MATCH(COLUMNS($AO$1006:BA1006),$AO$1006:$BQ$1006,0)))),"Fix")))</f>
        <v>#N/A</v>
      </c>
      <c r="O308" s="5" t="e">
        <f ca="1">IF(OR(INDEX($AI$2:$AI$1001,MATCH(ROWS($AH$2:AH308),$AH$2:$AH$1001,0),1)&gt;=100000,INDEX($AO$1005:$BQ$1005,1,MATCH(COLUMNS($AO$1006:BB1006),$AO$1006:$BQ$1006,0))&gt;=100000), " ",IF(INDEX($AO$2:$BQ$1001,MATCH(ROWS($AH$2:AH308),$AH$2:$AH$1001,0),MATCH(COLUMNS($AO$1006:BB1006),$AO$1006:$BQ$1006,0)), HYPERLINK("#",""), HYPERLINK(CONCATENATE("#Metadata!", ADDRESS(INDEX($AJ$2:$AJ$1001,MATCH(ROWS($AH$2:AH308),$AH$2:$AH$1001,0),0), INDEX($AO$1004:$BQ$1004,1,MATCH(COLUMNS($AO$1006:BB1006),$AO$1006:$BQ$1006,0)))),"Fix")))</f>
        <v>#N/A</v>
      </c>
      <c r="P308" s="5" t="e">
        <f ca="1">IF(OR(INDEX($AI$2:$AI$1001,MATCH(ROWS($AH$2:AH308),$AH$2:$AH$1001,0),1)&gt;=100000,INDEX($AO$1005:$BQ$1005,1,MATCH(COLUMNS($AO$1006:BC1006),$AO$1006:$BQ$1006,0))&gt;=100000), " ",IF(INDEX($AO$2:$BQ$1001,MATCH(ROWS($AH$2:AH308),$AH$2:$AH$1001,0),MATCH(COLUMNS($AO$1006:BC1006),$AO$1006:$BQ$1006,0)), HYPERLINK("#",""), HYPERLINK(CONCATENATE("#Metadata!", ADDRESS(INDEX($AJ$2:$AJ$1001,MATCH(ROWS($AH$2:AH308),$AH$2:$AH$1001,0),0), INDEX($AO$1004:$BQ$1004,1,MATCH(COLUMNS($AO$1006:BC1006),$AO$1006:$BQ$1006,0)))),"Fix")))</f>
        <v>#N/A</v>
      </c>
      <c r="Q308" s="5" t="e">
        <f ca="1">IF(OR(INDEX($AI$2:$AI$1001,MATCH(ROWS($AH$2:AH308),$AH$2:$AH$1001,0),1)&gt;=100000,INDEX($AO$1005:$BQ$1005,1,MATCH(COLUMNS($AO$1006:BD1006),$AO$1006:$BQ$1006,0))&gt;=100000), " ",IF(INDEX($AO$2:$BQ$1001,MATCH(ROWS($AH$2:AH308),$AH$2:$AH$1001,0),MATCH(COLUMNS($AO$1006:BD1006),$AO$1006:$BQ$1006,0)), HYPERLINK("#",""), HYPERLINK(CONCATENATE("#Metadata!", ADDRESS(INDEX($AJ$2:$AJ$1001,MATCH(ROWS($AH$2:AH308),$AH$2:$AH$1001,0),0), INDEX($AO$1004:$BQ$1004,1,MATCH(COLUMNS($AO$1006:BD1006),$AO$1006:$BQ$1006,0)))),"Fix")))</f>
        <v>#N/A</v>
      </c>
      <c r="R308" s="5" t="e">
        <f ca="1">IF(OR(INDEX($AI$2:$AI$1001,MATCH(ROWS($AH$2:AH308),$AH$2:$AH$1001,0),1)&gt;=100000,INDEX($AO$1005:$BQ$1005,1,MATCH(COLUMNS($AO$1006:BE1006),$AO$1006:$BQ$1006,0))&gt;=100000), " ",IF(INDEX($AO$2:$BQ$1001,MATCH(ROWS($AH$2:AH308),$AH$2:$AH$1001,0),MATCH(COLUMNS($AO$1006:BE1006),$AO$1006:$BQ$1006,0)), HYPERLINK("#",""), HYPERLINK(CONCATENATE("#Metadata!", ADDRESS(INDEX($AJ$2:$AJ$1001,MATCH(ROWS($AH$2:AH308),$AH$2:$AH$1001,0),0), INDEX($AO$1004:$BQ$1004,1,MATCH(COLUMNS($AO$1006:BE1006),$AO$1006:$BQ$1006,0)))),"Fix")))</f>
        <v>#N/A</v>
      </c>
      <c r="S308" s="5" t="e">
        <f ca="1">IF(OR(INDEX($AI$2:$AI$1001,MATCH(ROWS($AH$2:AH308),$AH$2:$AH$1001,0),1)&gt;=100000,INDEX($AO$1005:$BQ$1005,1,MATCH(COLUMNS($AO$1006:BF1006),$AO$1006:$BQ$1006,0))&gt;=100000), " ",IF(INDEX($AO$2:$BQ$1001,MATCH(ROWS($AH$2:AH308),$AH$2:$AH$1001,0),MATCH(COLUMNS($AO$1006:BF1006),$AO$1006:$BQ$1006,0)), HYPERLINK("#",""), HYPERLINK(CONCATENATE("#Metadata!", ADDRESS(INDEX($AJ$2:$AJ$1001,MATCH(ROWS($AH$2:AH308),$AH$2:$AH$1001,0),0), INDEX($AO$1004:$BQ$1004,1,MATCH(COLUMNS($AO$1006:BF1006),$AO$1006:$BQ$1006,0)))),"Fix")))</f>
        <v>#N/A</v>
      </c>
      <c r="T308" s="5" t="e">
        <f ca="1">IF(OR(INDEX($AI$2:$AI$1001,MATCH(ROWS($AH$2:AH308),$AH$2:$AH$1001,0),1)&gt;=100000,INDEX($AO$1005:$BQ$1005,1,MATCH(COLUMNS($AO$1006:BG1006),$AO$1006:$BQ$1006,0))&gt;=100000), " ",IF(INDEX($AO$2:$BQ$1001,MATCH(ROWS($AH$2:AH308),$AH$2:$AH$1001,0),MATCH(COLUMNS($AO$1006:BG1006),$AO$1006:$BQ$1006,0)), HYPERLINK("#",""), HYPERLINK(CONCATENATE("#Metadata!", ADDRESS(INDEX($AJ$2:$AJ$1001,MATCH(ROWS($AH$2:AH308),$AH$2:$AH$1001,0),0), INDEX($AO$1004:$BQ$1004,1,MATCH(COLUMNS($AO$1006:BG1006),$AO$1006:$BQ$1006,0)))),"Fix")))</f>
        <v>#N/A</v>
      </c>
      <c r="U308" s="5" t="e">
        <f ca="1">IF(OR(INDEX($AI$2:$AI$1001,MATCH(ROWS($AH$2:AH308),$AH$2:$AH$1001,0),1)&gt;=100000,INDEX($AO$1005:$BQ$1005,1,MATCH(COLUMNS($AO$1006:BH1006),$AO$1006:$BQ$1006,0))&gt;=100000), " ",IF(INDEX($AO$2:$BQ$1001,MATCH(ROWS($AH$2:AH308),$AH$2:$AH$1001,0),MATCH(COLUMNS($AO$1006:BH1006),$AO$1006:$BQ$1006,0)), HYPERLINK("#",""), HYPERLINK(CONCATENATE("#Metadata!", ADDRESS(INDEX($AJ$2:$AJ$1001,MATCH(ROWS($AH$2:AH308),$AH$2:$AH$1001,0),0), INDEX($AO$1004:$BQ$1004,1,MATCH(COLUMNS($AO$1006:BH1006),$AO$1006:$BQ$1006,0)))),"Fix")))</f>
        <v>#N/A</v>
      </c>
      <c r="V308" s="5" t="e">
        <f ca="1">IF(OR(INDEX($AI$2:$AI$1001,MATCH(ROWS($AH$2:AH308),$AH$2:$AH$1001,0),1)&gt;=100000,INDEX($AO$1005:$BQ$1005,1,MATCH(COLUMNS($AO$1006:BI1006),$AO$1006:$BQ$1006,0))&gt;=100000), " ",IF(INDEX($AO$2:$BQ$1001,MATCH(ROWS($AH$2:AH308),$AH$2:$AH$1001,0),MATCH(COLUMNS($AO$1006:BI1006),$AO$1006:$BQ$1006,0)), HYPERLINK("#",""), HYPERLINK(CONCATENATE("#Metadata!", ADDRESS(INDEX($AJ$2:$AJ$1001,MATCH(ROWS($AH$2:AH308),$AH$2:$AH$1001,0),0), INDEX($AO$1004:$BQ$1004,1,MATCH(COLUMNS($AO$1006:BI1006),$AO$1006:$BQ$1006,0)))),"Fix")))</f>
        <v>#N/A</v>
      </c>
      <c r="W308" s="5" t="e">
        <f ca="1">IF(OR(INDEX($AI$2:$AI$1001,MATCH(ROWS($AH$2:AH308),$AH$2:$AH$1001,0),1)&gt;=100000,INDEX($AO$1005:$BQ$1005,1,MATCH(COLUMNS($AO$1006:BJ1006),$AO$1006:$BQ$1006,0))&gt;=100000), " ",IF(INDEX($AO$2:$BQ$1001,MATCH(ROWS($AH$2:AH308),$AH$2:$AH$1001,0),MATCH(COLUMNS($AO$1006:BJ1006),$AO$1006:$BQ$1006,0)), HYPERLINK("#",""), HYPERLINK(CONCATENATE("#Metadata!", ADDRESS(INDEX($AJ$2:$AJ$1001,MATCH(ROWS($AH$2:AH308),$AH$2:$AH$1001,0),0), INDEX($AO$1004:$BQ$1004,1,MATCH(COLUMNS($AO$1006:BJ1006),$AO$1006:$BQ$1006,0)))),"Fix")))</f>
        <v>#N/A</v>
      </c>
      <c r="X308" s="5" t="e">
        <f ca="1">IF(OR(INDEX($AI$2:$AI$1001,MATCH(ROWS($AH$2:AH308),$AH$2:$AH$1001,0),1)&gt;=100000,INDEX($AO$1005:$BQ$1005,1,MATCH(COLUMNS($AO$1006:BK1006),$AO$1006:$BQ$1006,0))&gt;=100000), " ",IF(INDEX($AO$2:$BQ$1001,MATCH(ROWS($AH$2:AH308),$AH$2:$AH$1001,0),MATCH(COLUMNS($AO$1006:BK1006),$AO$1006:$BQ$1006,0)), HYPERLINK("#",""), HYPERLINK(CONCATENATE("#Metadata!", ADDRESS(INDEX($AJ$2:$AJ$1001,MATCH(ROWS($AH$2:AH308),$AH$2:$AH$1001,0),0), INDEX($AO$1004:$BQ$1004,1,MATCH(COLUMNS($AO$1006:BK1006),$AO$1006:$BQ$1006,0)))),"Fix")))</f>
        <v>#N/A</v>
      </c>
      <c r="Y308" s="5" t="e">
        <f ca="1">IF(OR(INDEX($AI$2:$AI$1001,MATCH(ROWS($AH$2:AH308),$AH$2:$AH$1001,0),1)&gt;=100000,INDEX($AO$1005:$BQ$1005,1,MATCH(COLUMNS($AO$1006:BL1006),$AO$1006:$BQ$1006,0))&gt;=100000), " ",IF(INDEX($AO$2:$BQ$1001,MATCH(ROWS($AH$2:AH308),$AH$2:$AH$1001,0),MATCH(COLUMNS($AO$1006:BL1006),$AO$1006:$BQ$1006,0)), HYPERLINK("#",""), HYPERLINK(CONCATENATE("#Metadata!", ADDRESS(INDEX($AJ$2:$AJ$1001,MATCH(ROWS($AH$2:AH308),$AH$2:$AH$1001,0),0), INDEX($AO$1004:$BQ$1004,1,MATCH(COLUMNS($AO$1006:BL1006),$AO$1006:$BQ$1006,0)))),"Fix")))</f>
        <v>#N/A</v>
      </c>
      <c r="Z308" s="5" t="e">
        <f ca="1">IF(OR(INDEX($AI$2:$AI$1001,MATCH(ROWS($AH$2:AH308),$AH$2:$AH$1001,0),1)&gt;=100000,INDEX($AO$1005:$BQ$1005,1,MATCH(COLUMNS($AO$1006:BM1006),$AO$1006:$BQ$1006,0))&gt;=100000), " ",IF(INDEX($AO$2:$BQ$1001,MATCH(ROWS($AH$2:AH308),$AH$2:$AH$1001,0),MATCH(COLUMNS($AO$1006:BM1006),$AO$1006:$BQ$1006,0)), HYPERLINK("#",""), HYPERLINK(CONCATENATE("#Metadata!", ADDRESS(INDEX($AJ$2:$AJ$1001,MATCH(ROWS($AH$2:AH308),$AH$2:$AH$1001,0),0), INDEX($AO$1004:$BQ$1004,1,MATCH(COLUMNS($AO$1006:BM1006),$AO$1006:$BQ$1006,0)))),"Fix")))</f>
        <v>#N/A</v>
      </c>
      <c r="AA308" s="5" t="e">
        <f ca="1">IF(OR(INDEX($AI$2:$AI$1001,MATCH(ROWS($AH$2:AH308),$AH$2:$AH$1001,0),1)&gt;=100000,INDEX($AO$1005:$BQ$1005,1,MATCH(COLUMNS($AO$1006:BN1006),$AO$1006:$BQ$1006,0))&gt;=100000), " ",IF(INDEX($AO$2:$BQ$1001,MATCH(ROWS($AH$2:AH308),$AH$2:$AH$1001,0),MATCH(COLUMNS($AO$1006:BN1006),$AO$1006:$BQ$1006,0)), HYPERLINK("#",""), HYPERLINK(CONCATENATE("#Metadata!", ADDRESS(INDEX($AJ$2:$AJ$1001,MATCH(ROWS($AH$2:AH308),$AH$2:$AH$1001,0),0), INDEX($AO$1004:$BQ$1004,1,MATCH(COLUMNS($AO$1006:BN1006),$AO$1006:$BQ$1006,0)))),"Fix")))</f>
        <v>#N/A</v>
      </c>
      <c r="AB308" s="5" t="e">
        <f ca="1">IF(OR(INDEX($AI$2:$AI$1001,MATCH(ROWS($AH$2:AH308),$AH$2:$AH$1001,0),1)&gt;=100000,INDEX($AO$1005:$BQ$1005,1,MATCH(COLUMNS($AO$1006:BO1006),$AO$1006:$BQ$1006,0))&gt;=100000), " ",IF(INDEX($AO$2:$BQ$1001,MATCH(ROWS($AH$2:AH308),$AH$2:$AH$1001,0),MATCH(COLUMNS($AO$1006:BO1006),$AO$1006:$BQ$1006,0)), HYPERLINK("#",""), HYPERLINK(CONCATENATE("#Metadata!", ADDRESS(INDEX($AJ$2:$AJ$1001,MATCH(ROWS($AH$2:AH308),$AH$2:$AH$1001,0),0), INDEX($AO$1004:$BQ$1004,1,MATCH(COLUMNS($AO$1006:BO1006),$AO$1006:$BQ$1006,0)))),"Fix")))</f>
        <v>#N/A</v>
      </c>
      <c r="AC308" s="5" t="e">
        <f ca="1">IF(OR(INDEX($AI$2:$AI$1001,MATCH(ROWS($AH$2:AH308),$AH$2:$AH$1001,0),1)&gt;=100000,INDEX($AO$1005:$BQ$1005,1,MATCH(COLUMNS($AO$1006:BP1006),$AO$1006:$BQ$1006,0))&gt;=100000), " ",IF(INDEX($AO$2:$BQ$1001,MATCH(ROWS($AH$2:AH308),$AH$2:$AH$1001,0),MATCH(COLUMNS($AO$1006:BP1006),$AO$1006:$BQ$1006,0)), HYPERLINK("#",""), HYPERLINK(CONCATENATE("#Metadata!", ADDRESS(INDEX($AJ$2:$AJ$1001,MATCH(ROWS($AH$2:AH308),$AH$2:$AH$1001,0),0), INDEX($AO$1004:$BQ$1004,1,MATCH(COLUMNS($AO$1006:BP1006),$AO$1006:$BQ$1006,0)))),"Fix")))</f>
        <v>#N/A</v>
      </c>
      <c r="AD308" s="5" t="e">
        <f ca="1">IF(OR(INDEX($AI$2:$AI$1001,MATCH(ROWS($AH$2:AH308),$AH$2:$AH$1001,0),1)&gt;=100000,INDEX($AO$1005:$BQ$1005,1,MATCH(COLUMNS($AO$1006:BQ1006),$AO$1006:$BQ$1006,0))&gt;=100000), " ",IF(INDEX($AO$2:$BQ$1001,MATCH(ROWS($AH$2:AH308),$AH$2:$AH$1001,0),MATCH(COLUMNS($AO$1006:BQ1006),$AO$1006:$BQ$1006,0)), HYPERLINK("#",""), HYPERLINK(CONCATENATE("#Metadata!", ADDRESS(INDEX($AJ$2:$AJ$1001,MATCH(ROWS($AH$2:AH308),$AH$2:$AH$1001,0),0), INDEX($AO$1004:$BQ$1004,1,MATCH(COLUMNS($AO$1006:BQ1006),$AO$1006:$BQ$1006,0)))),"Fix")))</f>
        <v>#REF!</v>
      </c>
      <c r="AH308">
        <f ca="1"/>
        <v>305</v>
      </c>
      <c r="AI308">
        <v>100308</v>
      </c>
      <c r="AJ308">
        <v>308</v>
      </c>
      <c r="AK308" t="b">
        <f t="shared" si="4"/>
        <v>1</v>
      </c>
      <c r="AL308" t="b">
        <f>COUNTBLANK(Metadata!B308:AD308)=COLUMNS(Metadata!B308:AD308)</f>
        <v>1</v>
      </c>
      <c r="AM308" t="str">
        <v/>
      </c>
      <c r="AO308" t="b">
        <f ca="1">AND(IF(Metadata!B308="",FALSE,TRUE),COUNTIF(Metadata!B:B, Metadata!B308) = 1,NOT(ISERROR(SUMPRODUCT(SEARCH(MID(Metadata!B308,ROW(INDIRECT("1:"&amp;LEN(Metadata!B308))), 1),"0123456789abcdefghijklmnopqrstuvwxyzABCDEFGHIJKLMNOPQRSTUVWXYZ.")))))</f>
        <v>0</v>
      </c>
      <c r="AP308" t="b">
        <f>IF(Metadata!C308="",FALSE,TRUE)</f>
        <v>0</v>
      </c>
      <c r="AQ308" t="b">
        <f>IF(Metadata!D308="",FALSE,TRUE)</f>
        <v>0</v>
      </c>
      <c r="AR308" t="b">
        <f ca="1">OR(AND(IF(Metadata!E308="",FALSE,TRUE),OR(EXACT(Metadata!E308,"not collected"),EXACT(Metadata!E308,"not provided"),EXACT(Metadata!E308,"restricted access"))),AND(IF(Metadata!E308="",FALSE,TRUE),AND(AND(IFERROR(INT(LEFT(Metadata!E308,4))&gt;1900,FALSE),IFERROR(INT(LEFT(Metadata!E308,4))&lt;=YEAR(NOW()),FALSE)), OR(MID(Metadata!E308,5,1)="", AND(AND(MID(Metadata!E308,5,1)="-",IFERROR(INT(MID(Metadata!E308,6,1))&gt;=0,FALSE),IFERROR(INT(MID(Metadata!E308,6,1))&lt;=1,FALSE),NOT(MID(Metadata!E308,7,1)=""),IFERROR(INT(MID(Metadata!E308,6,2))&gt;=1,FALSE),IFERROR(INT(MID(Metadata!E308,6,2))&lt;=12,FALSE)), OR(MID(Metadata!E308,8,1)="", AND(AND(MID(Metadata!E308,8,1)="-",IFERROR(INT(MID(Metadata!E308,9,1))&gt;=0,FALSE),IFERROR(INT(MID(Metadata!E308,9,1))&lt;=3,FALSE),NOT(MID(Metadata!E308,10,1)=""),IFERROR(INT(MID(Metadata!E308,9,2))&gt;=1,FALSE),IFERROR(INT(MID(Metadata!E308,9,2))&lt;=31,FALSE)), OR(MID(Metadata!E308,11,1)="", AND(AND(MID(Metadata!E308,11,1)=" ",IFERROR(INT(MID(Metadata!E308,12,1))&gt;=0,FALSE),IFERROR(INT(MID(Metadata!E308,12,1))&lt;=2,FALSE),NOT(MID(Metadata!E308,13,1)=""),IFERROR(INT(MID(Metadata!E308,12,2))&gt;=0,FALSE),IFERROR(INT(MID(Metadata!E308,12,2))&lt;=23,FALSE)), OR(MID(Metadata!E308,14,1)="", AND(AND(MID(Metadata!E308,14,1)=":",IFERROR(INT(MID(Metadata!E308,15,1))&gt;=0,FALSE),IFERROR(INT(MID(Metadata!E308,15,1))&lt;=5,FALSE),NOT(MID(Metadata!E308,16,1)=""),IFERROR(INT(MID(Metadata!E308,15,2))&gt;=0,FALSE),IFERROR(INT(MID(Metadata!E308,15,2))&lt;=59,FALSE)), OR(MID(Metadata!E308,17,1)="", AND(AND(MID(Metadata!E308,17,1)=":",IFERROR(INT(MID(Metadata!E308,18,1))&gt;=0,FALSE),IFERROR(INT(MID(Metadata!E308,18,1))&lt;=5,FALSE),NOT(MID(Metadata!E308,19,1)=""),IFERROR(INT(MID(Metadata!E308,18,2))&gt;=0,FALSE),IFERROR(INT(MID(Metadata!E308,18,2))&lt;=59,FALSE)), LEN(Metadata!E308)&lt;=19)))))))))))))</f>
        <v>0</v>
      </c>
      <c r="AS308" t="b">
        <f>IF(Metadata!F308="",FALSE,TRUE)</f>
        <v>0</v>
      </c>
      <c r="AT308" t="b">
        <f>OR(AND(IF(Metadata!G308="",FALSE,TRUE),OR(EXACT(Metadata!G308,"not collected"),EXACT(Metadata!G308,"not provided"))),AND(IF(Metadata!G308="",FALSE,TRUE),OR(EXACT(Metadata!G308,"TRUE"),EXACT(Metadata!G308,"FALSE"))))</f>
        <v>0</v>
      </c>
      <c r="AU308" t="b">
        <f>OR(AND(IF(Metadata!H308="",FALSE,TRUE),OR(EXACT(Metadata!H308,"not collected"),EXACT(Metadata!H308,"not provided"),EXACT(Metadata!H308,"restricted access"))),AND(IF(Metadata!H308="",FALSE,ISNUMBER(VALUE(Metadata!H308))),Metadata!H308&gt;=-413))</f>
        <v>0</v>
      </c>
      <c r="AV308" t="b">
        <f>AND(IF(Metadata!I308="",FALSE,TRUE),EXACT(Metadata!I308,"meters"))</f>
        <v>0</v>
      </c>
      <c r="AW308" t="b">
        <f>AND(IF(Metadata!J308="",FALSE,TRUE),EXACT(Metadata!J308,"free-living"))</f>
        <v>0</v>
      </c>
      <c r="AX308" t="b">
        <f>AND(IF(Metadata!K308="",FALSE,TRUE),OR(EXACT(Metadata!K308,"saline"),EXACT(Metadata!K308,"non-saline")))</f>
        <v>0</v>
      </c>
      <c r="AY308" t="b">
        <f>AND(IF(Metadata!L308="",FALSE,TRUE),OR(EXACT(Metadata!L308,"sub-surface (non-saline)"),EXACT(Metadata!L308,"surface (non-saline)"),EXACT(Metadata!L308,"water (non-saline)"),EXACT(Metadata!L308,"soil (non-saline)"),EXACT(Metadata!L308,"aerosol (non-saline)"),EXACT(Metadata!L308,"sediment (non-saline)"),EXACT(Metadata!L308,"surface (saline)"),EXACT(Metadata!L308,"water (saline)"),EXACT(Metadata!L308,"hypersaline (saline)"),EXACT(Metadata!L308,"aerosol (saline)"),EXACT(Metadata!L308,"sediment (saline)")))</f>
        <v>0</v>
      </c>
      <c r="AZ308" t="b">
        <f>IF(Metadata!M308="",FALSE,TRUE)</f>
        <v>0</v>
      </c>
      <c r="BA308" t="b">
        <f>IF(Metadata!N308="",FALSE,TRUE)</f>
        <v>0</v>
      </c>
      <c r="BB308" t="b">
        <f>IF(Metadata!O308="",FALSE,TRUE)</f>
        <v>0</v>
      </c>
      <c r="BC308" t="b">
        <f>AND(IF(Metadata!P308="",FALSE,TRUE),OR(EXACT(Metadata!P308,"air"),EXACT(Metadata!P308,"microbial mat/biofilm"),EXACT(Metadata!P308,"misc environment"),EXACT(Metadata!P308,"sediment"),EXACT(Metadata!P308,"soil"),EXACT(Metadata!P308,"wastewater/sludge"),EXACT(Metadata!P308,"water")))</f>
        <v>0</v>
      </c>
      <c r="BD308" t="b">
        <f>IF(Metadata!Q308="",FALSE,TRUE)</f>
        <v>0</v>
      </c>
      <c r="BE308" t="b">
        <f>IF(Metadata!R308="",FALSE,TRUE)</f>
        <v>0</v>
      </c>
      <c r="BF308" t="b">
        <f>OR(AND(IF(Metadata!S308="",FALSE,TRUE),OR(EXACT(Metadata!S308,"not collected"),EXACT(Metadata!S308,"not provided"),EXACT(Metadata!S308,"restricted access"))),AND(IF(Metadata!S308="",FALSE,ISNUMBER(VALUE(Metadata!S308))),Metadata!S308&gt;=-90,Metadata!S308&lt;=90))</f>
        <v>0</v>
      </c>
      <c r="BG308" t="b">
        <f>AND(IF(Metadata!T308="",FALSE,TRUE),EXACT(Metadata!T308,"Decimal degrees"))</f>
        <v>0</v>
      </c>
      <c r="BH308" t="b">
        <f>OR(AND(IF(Metadata!U308="",FALSE,TRUE),OR(EXACT(Metadata!U308,"not applicable"),EXACT(Metadata!U308,"not collected"))),IF(Metadata!U308="",FALSE,TRUE))</f>
        <v>0</v>
      </c>
      <c r="BI308" t="b">
        <f>OR(AND(IF(Metadata!V308="",FALSE,TRUE),OR(EXACT(Metadata!V308,"not collected"),EXACT(Metadata!V308,"not provided"),EXACT(Metadata!V308,"restricted access"))),AND(IF(Metadata!V308="",FALSE,ISNUMBER(VALUE(Metadata!V308))),Metadata!V308&gt;=-180,Metadata!V308&lt;=180))</f>
        <v>0</v>
      </c>
      <c r="BJ308" t="b">
        <f>AND(IF(Metadata!W308="",FALSE,TRUE),EXACT(Metadata!W308,"Decimal degrees"))</f>
        <v>0</v>
      </c>
      <c r="BK308" t="b">
        <f>IF(Metadata!X308="",FALSE,TRUE)</f>
        <v>0</v>
      </c>
      <c r="BL308" t="b">
        <f>OR(AND(IF(Metadata!Y308="",FALSE,TRUE),OR(EXACT(Metadata!Y308,"not collected"),EXACT(Metadata!Y308,"not provided"),EXACT(Metadata!Y308,"restricted access"))),AND(IF(Metadata!Y308="",FALSE,TRUE),OR(EXACT(Metadata!Y308,"TRUE"),EXACT(Metadata!Y308,"FALSE"))))</f>
        <v>0</v>
      </c>
      <c r="BM308" t="b">
        <f>OR(AND(IF(Metadata!Z308="",FALSE,TRUE),EXACT(Metadata!Z308,"not applicable")),AND(IF(Metadata!Z308="",FALSE,TRUE),OR(EXACT(Metadata!Z308,"beer"),EXACT(Metadata!Z308,"cheese"),EXACT(Metadata!Z308,"fresh water"),EXACT(Metadata!Z308,"marine sediment"),EXACT(Metadata!Z308,"sea water"),EXACT(Metadata!Z308,"sediment"),EXACT(Metadata!Z308,"soil"),EXACT(Metadata!Z308,"waste water"))))</f>
        <v>0</v>
      </c>
      <c r="BN308" t="b">
        <f>AND(IF(Metadata!AA308="",FALSE,TRUE),EXACT(Metadata!AA308,"metagenome"))</f>
        <v>0</v>
      </c>
      <c r="BO308" t="b">
        <f>AND(IF(Metadata!AB308="",FALSE,TRUE),EXACT(Metadata!AB308,"256318"))</f>
        <v>0</v>
      </c>
      <c r="BP308" t="b">
        <f>IF(Metadata!AC308="",FALSE,TRUE)</f>
        <v>0</v>
      </c>
      <c r="BQ308" t="b">
        <f>IF(Metadata!AD308="",FALSE,TRUE)</f>
        <v>0</v>
      </c>
    </row>
    <row r="309" spans="1:69" x14ac:dyDescent="0.2">
      <c r="A309" s="4" t="e">
        <f ca="1">IF(B309=" "," ",HYPERLINK(CONCATENATE("#metadata!",ADDRESS(INDEX($AJ$2:$AJ$1001,MATCH(ROWS($AH$2:AH309),$AH$2:$AH$1001,0),0),2)),INDEX($AM$2:$AM$1001,MATCH(ROWS($AH$2:AH309),$AH$2:$AH$1001,0),0)))</f>
        <v>#N/A</v>
      </c>
      <c r="B309" s="5" t="e">
        <f ca="1">IF(OR(INDEX($AI$2:$AI$1001,MATCH(ROWS($AH$2:AH309),$AH$2:$AH$1001,0),1)&gt;=100000,INDEX($AO$1005:$BQ$1005,1,MATCH(COLUMNS($AO$1006:AO1006),$AO$1006:$BQ$1006,0))&gt;=100000), " ",IF(INDEX($AO$2:$BQ$1001,MATCH(ROWS($AH$2:AH309),$AH$2:$AH$1001,0),MATCH(COLUMNS($AO$1006:AO1006),$AO$1006:$BQ$1006,0)), HYPERLINK("#",""), HYPERLINK(CONCATENATE("#Metadata!", ADDRESS(INDEX($AJ$2:$AJ$1001,MATCH(ROWS($AH$2:AH309),$AH$2:$AH$1001,0),0), INDEX($AO$1004:$BQ$1004,1,MATCH(COLUMNS($AO$1006:AO1006),$AO$1006:$BQ$1006,0)))),"Fix")))</f>
        <v>#N/A</v>
      </c>
      <c r="C309" s="5" t="e">
        <f ca="1">IF(OR(INDEX($AI$2:$AI$1001,MATCH(ROWS($AH$2:AH309),$AH$2:$AH$1001,0),1)&gt;=100000,INDEX($AO$1005:$BQ$1005,1,MATCH(COLUMNS($AO$1006:AP1006),$AO$1006:$BQ$1006,0))&gt;=100000), " ",IF(INDEX($AO$2:$BQ$1001,MATCH(ROWS($AH$2:AH309),$AH$2:$AH$1001,0),MATCH(COLUMNS($AO$1006:AP1006),$AO$1006:$BQ$1006,0)), HYPERLINK("#",""), HYPERLINK(CONCATENATE("#Metadata!", ADDRESS(INDEX($AJ$2:$AJ$1001,MATCH(ROWS($AH$2:AH309),$AH$2:$AH$1001,0),0), INDEX($AO$1004:$BQ$1004,1,MATCH(COLUMNS($AO$1006:AP1006),$AO$1006:$BQ$1006,0)))),"Fix")))</f>
        <v>#N/A</v>
      </c>
      <c r="D309" s="5" t="e">
        <f ca="1">IF(OR(INDEX($AI$2:$AI$1001,MATCH(ROWS($AH$2:AH309),$AH$2:$AH$1001,0),1)&gt;=100000,INDEX($AO$1005:$BQ$1005,1,MATCH(COLUMNS($AO$1006:AQ1006),$AO$1006:$BQ$1006,0))&gt;=100000), " ",IF(INDEX($AO$2:$BQ$1001,MATCH(ROWS($AH$2:AH309),$AH$2:$AH$1001,0),MATCH(COLUMNS($AO$1006:AQ1006),$AO$1006:$BQ$1006,0)), HYPERLINK("#",""), HYPERLINK(CONCATENATE("#Metadata!", ADDRESS(INDEX($AJ$2:$AJ$1001,MATCH(ROWS($AH$2:AH309),$AH$2:$AH$1001,0),0), INDEX($AO$1004:$BQ$1004,1,MATCH(COLUMNS($AO$1006:AQ1006),$AO$1006:$BQ$1006,0)))),"Fix")))</f>
        <v>#N/A</v>
      </c>
      <c r="E309" s="5" t="e">
        <f ca="1">IF(OR(INDEX($AI$2:$AI$1001,MATCH(ROWS($AH$2:AH309),$AH$2:$AH$1001,0),1)&gt;=100000,INDEX($AO$1005:$BQ$1005,1,MATCH(COLUMNS($AO$1006:AR1006),$AO$1006:$BQ$1006,0))&gt;=100000), " ",IF(INDEX($AO$2:$BQ$1001,MATCH(ROWS($AH$2:AH309),$AH$2:$AH$1001,0),MATCH(COLUMNS($AO$1006:AR1006),$AO$1006:$BQ$1006,0)), HYPERLINK("#",""), HYPERLINK(CONCATENATE("#Metadata!", ADDRESS(INDEX($AJ$2:$AJ$1001,MATCH(ROWS($AH$2:AH309),$AH$2:$AH$1001,0),0), INDEX($AO$1004:$BQ$1004,1,MATCH(COLUMNS($AO$1006:AR1006),$AO$1006:$BQ$1006,0)))),"Fix")))</f>
        <v>#N/A</v>
      </c>
      <c r="F309" s="5" t="e">
        <f ca="1">IF(OR(INDEX($AI$2:$AI$1001,MATCH(ROWS($AH$2:AH309),$AH$2:$AH$1001,0),1)&gt;=100000,INDEX($AO$1005:$BQ$1005,1,MATCH(COLUMNS($AO$1006:AS1006),$AO$1006:$BQ$1006,0))&gt;=100000), " ",IF(INDEX($AO$2:$BQ$1001,MATCH(ROWS($AH$2:AH309),$AH$2:$AH$1001,0),MATCH(COLUMNS($AO$1006:AS1006),$AO$1006:$BQ$1006,0)), HYPERLINK("#",""), HYPERLINK(CONCATENATE("#Metadata!", ADDRESS(INDEX($AJ$2:$AJ$1001,MATCH(ROWS($AH$2:AH309),$AH$2:$AH$1001,0),0), INDEX($AO$1004:$BQ$1004,1,MATCH(COLUMNS($AO$1006:AS1006),$AO$1006:$BQ$1006,0)))),"Fix")))</f>
        <v>#N/A</v>
      </c>
      <c r="G309" s="5" t="e">
        <f ca="1">IF(OR(INDEX($AI$2:$AI$1001,MATCH(ROWS($AH$2:AH309),$AH$2:$AH$1001,0),1)&gt;=100000,INDEX($AO$1005:$BQ$1005,1,MATCH(COLUMNS($AO$1006:AT1006),$AO$1006:$BQ$1006,0))&gt;=100000), " ",IF(INDEX($AO$2:$BQ$1001,MATCH(ROWS($AH$2:AH309),$AH$2:$AH$1001,0),MATCH(COLUMNS($AO$1006:AT1006),$AO$1006:$BQ$1006,0)), HYPERLINK("#",""), HYPERLINK(CONCATENATE("#Metadata!", ADDRESS(INDEX($AJ$2:$AJ$1001,MATCH(ROWS($AH$2:AH309),$AH$2:$AH$1001,0),0), INDEX($AO$1004:$BQ$1004,1,MATCH(COLUMNS($AO$1006:AT1006),$AO$1006:$BQ$1006,0)))),"Fix")))</f>
        <v>#N/A</v>
      </c>
      <c r="H309" s="5" t="e">
        <f ca="1">IF(OR(INDEX($AI$2:$AI$1001,MATCH(ROWS($AH$2:AH309),$AH$2:$AH$1001,0),1)&gt;=100000,INDEX($AO$1005:$BQ$1005,1,MATCH(COLUMNS($AO$1006:AU1006),$AO$1006:$BQ$1006,0))&gt;=100000), " ",IF(INDEX($AO$2:$BQ$1001,MATCH(ROWS($AH$2:AH309),$AH$2:$AH$1001,0),MATCH(COLUMNS($AO$1006:AU1006),$AO$1006:$BQ$1006,0)), HYPERLINK("#",""), HYPERLINK(CONCATENATE("#Metadata!", ADDRESS(INDEX($AJ$2:$AJ$1001,MATCH(ROWS($AH$2:AH309),$AH$2:$AH$1001,0),0), INDEX($AO$1004:$BQ$1004,1,MATCH(COLUMNS($AO$1006:AU1006),$AO$1006:$BQ$1006,0)))),"Fix")))</f>
        <v>#N/A</v>
      </c>
      <c r="I309" s="5" t="e">
        <f ca="1">IF(OR(INDEX($AI$2:$AI$1001,MATCH(ROWS($AH$2:AH309),$AH$2:$AH$1001,0),1)&gt;=100000,INDEX($AO$1005:$BQ$1005,1,MATCH(COLUMNS($AO$1006:AV1006),$AO$1006:$BQ$1006,0))&gt;=100000), " ",IF(INDEX($AO$2:$BQ$1001,MATCH(ROWS($AH$2:AH309),$AH$2:$AH$1001,0),MATCH(COLUMNS($AO$1006:AV1006),$AO$1006:$BQ$1006,0)), HYPERLINK("#",""), HYPERLINK(CONCATENATE("#Metadata!", ADDRESS(INDEX($AJ$2:$AJ$1001,MATCH(ROWS($AH$2:AH309),$AH$2:$AH$1001,0),0), INDEX($AO$1004:$BQ$1004,1,MATCH(COLUMNS($AO$1006:AV1006),$AO$1006:$BQ$1006,0)))),"Fix")))</f>
        <v>#N/A</v>
      </c>
      <c r="J309" s="5" t="e">
        <f ca="1">IF(OR(INDEX($AI$2:$AI$1001,MATCH(ROWS($AH$2:AH309),$AH$2:$AH$1001,0),1)&gt;=100000,INDEX($AO$1005:$BQ$1005,1,MATCH(COLUMNS($AO$1006:AW1006),$AO$1006:$BQ$1006,0))&gt;=100000), " ",IF(INDEX($AO$2:$BQ$1001,MATCH(ROWS($AH$2:AH309),$AH$2:$AH$1001,0),MATCH(COLUMNS($AO$1006:AW1006),$AO$1006:$BQ$1006,0)), HYPERLINK("#",""), HYPERLINK(CONCATENATE("#Metadata!", ADDRESS(INDEX($AJ$2:$AJ$1001,MATCH(ROWS($AH$2:AH309),$AH$2:$AH$1001,0),0), INDEX($AO$1004:$BQ$1004,1,MATCH(COLUMNS($AO$1006:AW1006),$AO$1006:$BQ$1006,0)))),"Fix")))</f>
        <v>#N/A</v>
      </c>
      <c r="K309" s="5" t="e">
        <f ca="1">IF(OR(INDEX($AI$2:$AI$1001,MATCH(ROWS($AH$2:AH309),$AH$2:$AH$1001,0),1)&gt;=100000,INDEX($AO$1005:$BQ$1005,1,MATCH(COLUMNS($AO$1006:AX1006),$AO$1006:$BQ$1006,0))&gt;=100000), " ",IF(INDEX($AO$2:$BQ$1001,MATCH(ROWS($AH$2:AH309),$AH$2:$AH$1001,0),MATCH(COLUMNS($AO$1006:AX1006),$AO$1006:$BQ$1006,0)), HYPERLINK("#",""), HYPERLINK(CONCATENATE("#Metadata!", ADDRESS(INDEX($AJ$2:$AJ$1001,MATCH(ROWS($AH$2:AH309),$AH$2:$AH$1001,0),0), INDEX($AO$1004:$BQ$1004,1,MATCH(COLUMNS($AO$1006:AX1006),$AO$1006:$BQ$1006,0)))),"Fix")))</f>
        <v>#N/A</v>
      </c>
      <c r="L309" s="5" t="e">
        <f ca="1">IF(OR(INDEX($AI$2:$AI$1001,MATCH(ROWS($AH$2:AH309),$AH$2:$AH$1001,0),1)&gt;=100000,INDEX($AO$1005:$BQ$1005,1,MATCH(COLUMNS($AO$1006:AY1006),$AO$1006:$BQ$1006,0))&gt;=100000), " ",IF(INDEX($AO$2:$BQ$1001,MATCH(ROWS($AH$2:AH309),$AH$2:$AH$1001,0),MATCH(COLUMNS($AO$1006:AY1006),$AO$1006:$BQ$1006,0)), HYPERLINK("#",""), HYPERLINK(CONCATENATE("#Metadata!", ADDRESS(INDEX($AJ$2:$AJ$1001,MATCH(ROWS($AH$2:AH309),$AH$2:$AH$1001,0),0), INDEX($AO$1004:$BQ$1004,1,MATCH(COLUMNS($AO$1006:AY1006),$AO$1006:$BQ$1006,0)))),"Fix")))</f>
        <v>#N/A</v>
      </c>
      <c r="M309" s="5" t="e">
        <f ca="1">IF(OR(INDEX($AI$2:$AI$1001,MATCH(ROWS($AH$2:AH309),$AH$2:$AH$1001,0),1)&gt;=100000,INDEX($AO$1005:$BQ$1005,1,MATCH(COLUMNS($AO$1006:AZ1006),$AO$1006:$BQ$1006,0))&gt;=100000), " ",IF(INDEX($AO$2:$BQ$1001,MATCH(ROWS($AH$2:AH309),$AH$2:$AH$1001,0),MATCH(COLUMNS($AO$1006:AZ1006),$AO$1006:$BQ$1006,0)), HYPERLINK("#",""), HYPERLINK(CONCATENATE("#Metadata!", ADDRESS(INDEX($AJ$2:$AJ$1001,MATCH(ROWS($AH$2:AH309),$AH$2:$AH$1001,0),0), INDEX($AO$1004:$BQ$1004,1,MATCH(COLUMNS($AO$1006:AZ1006),$AO$1006:$BQ$1006,0)))),"Fix")))</f>
        <v>#N/A</v>
      </c>
      <c r="N309" s="5" t="e">
        <f ca="1">IF(OR(INDEX($AI$2:$AI$1001,MATCH(ROWS($AH$2:AH309),$AH$2:$AH$1001,0),1)&gt;=100000,INDEX($AO$1005:$BQ$1005,1,MATCH(COLUMNS($AO$1006:BA1006),$AO$1006:$BQ$1006,0))&gt;=100000), " ",IF(INDEX($AO$2:$BQ$1001,MATCH(ROWS($AH$2:AH309),$AH$2:$AH$1001,0),MATCH(COLUMNS($AO$1006:BA1006),$AO$1006:$BQ$1006,0)), HYPERLINK("#",""), HYPERLINK(CONCATENATE("#Metadata!", ADDRESS(INDEX($AJ$2:$AJ$1001,MATCH(ROWS($AH$2:AH309),$AH$2:$AH$1001,0),0), INDEX($AO$1004:$BQ$1004,1,MATCH(COLUMNS($AO$1006:BA1006),$AO$1006:$BQ$1006,0)))),"Fix")))</f>
        <v>#N/A</v>
      </c>
      <c r="O309" s="5" t="e">
        <f ca="1">IF(OR(INDEX($AI$2:$AI$1001,MATCH(ROWS($AH$2:AH309),$AH$2:$AH$1001,0),1)&gt;=100000,INDEX($AO$1005:$BQ$1005,1,MATCH(COLUMNS($AO$1006:BB1006),$AO$1006:$BQ$1006,0))&gt;=100000), " ",IF(INDEX($AO$2:$BQ$1001,MATCH(ROWS($AH$2:AH309),$AH$2:$AH$1001,0),MATCH(COLUMNS($AO$1006:BB1006),$AO$1006:$BQ$1006,0)), HYPERLINK("#",""), HYPERLINK(CONCATENATE("#Metadata!", ADDRESS(INDEX($AJ$2:$AJ$1001,MATCH(ROWS($AH$2:AH309),$AH$2:$AH$1001,0),0), INDEX($AO$1004:$BQ$1004,1,MATCH(COLUMNS($AO$1006:BB1006),$AO$1006:$BQ$1006,0)))),"Fix")))</f>
        <v>#N/A</v>
      </c>
      <c r="P309" s="5" t="e">
        <f ca="1">IF(OR(INDEX($AI$2:$AI$1001,MATCH(ROWS($AH$2:AH309),$AH$2:$AH$1001,0),1)&gt;=100000,INDEX($AO$1005:$BQ$1005,1,MATCH(COLUMNS($AO$1006:BC1006),$AO$1006:$BQ$1006,0))&gt;=100000), " ",IF(INDEX($AO$2:$BQ$1001,MATCH(ROWS($AH$2:AH309),$AH$2:$AH$1001,0),MATCH(COLUMNS($AO$1006:BC1006),$AO$1006:$BQ$1006,0)), HYPERLINK("#",""), HYPERLINK(CONCATENATE("#Metadata!", ADDRESS(INDEX($AJ$2:$AJ$1001,MATCH(ROWS($AH$2:AH309),$AH$2:$AH$1001,0),0), INDEX($AO$1004:$BQ$1004,1,MATCH(COLUMNS($AO$1006:BC1006),$AO$1006:$BQ$1006,0)))),"Fix")))</f>
        <v>#N/A</v>
      </c>
      <c r="Q309" s="5" t="e">
        <f ca="1">IF(OR(INDEX($AI$2:$AI$1001,MATCH(ROWS($AH$2:AH309),$AH$2:$AH$1001,0),1)&gt;=100000,INDEX($AO$1005:$BQ$1005,1,MATCH(COLUMNS($AO$1006:BD1006),$AO$1006:$BQ$1006,0))&gt;=100000), " ",IF(INDEX($AO$2:$BQ$1001,MATCH(ROWS($AH$2:AH309),$AH$2:$AH$1001,0),MATCH(COLUMNS($AO$1006:BD1006),$AO$1006:$BQ$1006,0)), HYPERLINK("#",""), HYPERLINK(CONCATENATE("#Metadata!", ADDRESS(INDEX($AJ$2:$AJ$1001,MATCH(ROWS($AH$2:AH309),$AH$2:$AH$1001,0),0), INDEX($AO$1004:$BQ$1004,1,MATCH(COLUMNS($AO$1006:BD1006),$AO$1006:$BQ$1006,0)))),"Fix")))</f>
        <v>#N/A</v>
      </c>
      <c r="R309" s="5" t="e">
        <f ca="1">IF(OR(INDEX($AI$2:$AI$1001,MATCH(ROWS($AH$2:AH309),$AH$2:$AH$1001,0),1)&gt;=100000,INDEX($AO$1005:$BQ$1005,1,MATCH(COLUMNS($AO$1006:BE1006),$AO$1006:$BQ$1006,0))&gt;=100000), " ",IF(INDEX($AO$2:$BQ$1001,MATCH(ROWS($AH$2:AH309),$AH$2:$AH$1001,0),MATCH(COLUMNS($AO$1006:BE1006),$AO$1006:$BQ$1006,0)), HYPERLINK("#",""), HYPERLINK(CONCATENATE("#Metadata!", ADDRESS(INDEX($AJ$2:$AJ$1001,MATCH(ROWS($AH$2:AH309),$AH$2:$AH$1001,0),0), INDEX($AO$1004:$BQ$1004,1,MATCH(COLUMNS($AO$1006:BE1006),$AO$1006:$BQ$1006,0)))),"Fix")))</f>
        <v>#N/A</v>
      </c>
      <c r="S309" s="5" t="e">
        <f ca="1">IF(OR(INDEX($AI$2:$AI$1001,MATCH(ROWS($AH$2:AH309),$AH$2:$AH$1001,0),1)&gt;=100000,INDEX($AO$1005:$BQ$1005,1,MATCH(COLUMNS($AO$1006:BF1006),$AO$1006:$BQ$1006,0))&gt;=100000), " ",IF(INDEX($AO$2:$BQ$1001,MATCH(ROWS($AH$2:AH309),$AH$2:$AH$1001,0),MATCH(COLUMNS($AO$1006:BF1006),$AO$1006:$BQ$1006,0)), HYPERLINK("#",""), HYPERLINK(CONCATENATE("#Metadata!", ADDRESS(INDEX($AJ$2:$AJ$1001,MATCH(ROWS($AH$2:AH309),$AH$2:$AH$1001,0),0), INDEX($AO$1004:$BQ$1004,1,MATCH(COLUMNS($AO$1006:BF1006),$AO$1006:$BQ$1006,0)))),"Fix")))</f>
        <v>#N/A</v>
      </c>
      <c r="T309" s="5" t="e">
        <f ca="1">IF(OR(INDEX($AI$2:$AI$1001,MATCH(ROWS($AH$2:AH309),$AH$2:$AH$1001,0),1)&gt;=100000,INDEX($AO$1005:$BQ$1005,1,MATCH(COLUMNS($AO$1006:BG1006),$AO$1006:$BQ$1006,0))&gt;=100000), " ",IF(INDEX($AO$2:$BQ$1001,MATCH(ROWS($AH$2:AH309),$AH$2:$AH$1001,0),MATCH(COLUMNS($AO$1006:BG1006),$AO$1006:$BQ$1006,0)), HYPERLINK("#",""), HYPERLINK(CONCATENATE("#Metadata!", ADDRESS(INDEX($AJ$2:$AJ$1001,MATCH(ROWS($AH$2:AH309),$AH$2:$AH$1001,0),0), INDEX($AO$1004:$BQ$1004,1,MATCH(COLUMNS($AO$1006:BG1006),$AO$1006:$BQ$1006,0)))),"Fix")))</f>
        <v>#N/A</v>
      </c>
      <c r="U309" s="5" t="e">
        <f ca="1">IF(OR(INDEX($AI$2:$AI$1001,MATCH(ROWS($AH$2:AH309),$AH$2:$AH$1001,0),1)&gt;=100000,INDEX($AO$1005:$BQ$1005,1,MATCH(COLUMNS($AO$1006:BH1006),$AO$1006:$BQ$1006,0))&gt;=100000), " ",IF(INDEX($AO$2:$BQ$1001,MATCH(ROWS($AH$2:AH309),$AH$2:$AH$1001,0),MATCH(COLUMNS($AO$1006:BH1006),$AO$1006:$BQ$1006,0)), HYPERLINK("#",""), HYPERLINK(CONCATENATE("#Metadata!", ADDRESS(INDEX($AJ$2:$AJ$1001,MATCH(ROWS($AH$2:AH309),$AH$2:$AH$1001,0),0), INDEX($AO$1004:$BQ$1004,1,MATCH(COLUMNS($AO$1006:BH1006),$AO$1006:$BQ$1006,0)))),"Fix")))</f>
        <v>#N/A</v>
      </c>
      <c r="V309" s="5" t="e">
        <f ca="1">IF(OR(INDEX($AI$2:$AI$1001,MATCH(ROWS($AH$2:AH309),$AH$2:$AH$1001,0),1)&gt;=100000,INDEX($AO$1005:$BQ$1005,1,MATCH(COLUMNS($AO$1006:BI1006),$AO$1006:$BQ$1006,0))&gt;=100000), " ",IF(INDEX($AO$2:$BQ$1001,MATCH(ROWS($AH$2:AH309),$AH$2:$AH$1001,0),MATCH(COLUMNS($AO$1006:BI1006),$AO$1006:$BQ$1006,0)), HYPERLINK("#",""), HYPERLINK(CONCATENATE("#Metadata!", ADDRESS(INDEX($AJ$2:$AJ$1001,MATCH(ROWS($AH$2:AH309),$AH$2:$AH$1001,0),0), INDEX($AO$1004:$BQ$1004,1,MATCH(COLUMNS($AO$1006:BI1006),$AO$1006:$BQ$1006,0)))),"Fix")))</f>
        <v>#N/A</v>
      </c>
      <c r="W309" s="5" t="e">
        <f ca="1">IF(OR(INDEX($AI$2:$AI$1001,MATCH(ROWS($AH$2:AH309),$AH$2:$AH$1001,0),1)&gt;=100000,INDEX($AO$1005:$BQ$1005,1,MATCH(COLUMNS($AO$1006:BJ1006),$AO$1006:$BQ$1006,0))&gt;=100000), " ",IF(INDEX($AO$2:$BQ$1001,MATCH(ROWS($AH$2:AH309),$AH$2:$AH$1001,0),MATCH(COLUMNS($AO$1006:BJ1006),$AO$1006:$BQ$1006,0)), HYPERLINK("#",""), HYPERLINK(CONCATENATE("#Metadata!", ADDRESS(INDEX($AJ$2:$AJ$1001,MATCH(ROWS($AH$2:AH309),$AH$2:$AH$1001,0),0), INDEX($AO$1004:$BQ$1004,1,MATCH(COLUMNS($AO$1006:BJ1006),$AO$1006:$BQ$1006,0)))),"Fix")))</f>
        <v>#N/A</v>
      </c>
      <c r="X309" s="5" t="e">
        <f ca="1">IF(OR(INDEX($AI$2:$AI$1001,MATCH(ROWS($AH$2:AH309),$AH$2:$AH$1001,0),1)&gt;=100000,INDEX($AO$1005:$BQ$1005,1,MATCH(COLUMNS($AO$1006:BK1006),$AO$1006:$BQ$1006,0))&gt;=100000), " ",IF(INDEX($AO$2:$BQ$1001,MATCH(ROWS($AH$2:AH309),$AH$2:$AH$1001,0),MATCH(COLUMNS($AO$1006:BK1006),$AO$1006:$BQ$1006,0)), HYPERLINK("#",""), HYPERLINK(CONCATENATE("#Metadata!", ADDRESS(INDEX($AJ$2:$AJ$1001,MATCH(ROWS($AH$2:AH309),$AH$2:$AH$1001,0),0), INDEX($AO$1004:$BQ$1004,1,MATCH(COLUMNS($AO$1006:BK1006),$AO$1006:$BQ$1006,0)))),"Fix")))</f>
        <v>#N/A</v>
      </c>
      <c r="Y309" s="5" t="e">
        <f ca="1">IF(OR(INDEX($AI$2:$AI$1001,MATCH(ROWS($AH$2:AH309),$AH$2:$AH$1001,0),1)&gt;=100000,INDEX($AO$1005:$BQ$1005,1,MATCH(COLUMNS($AO$1006:BL1006),$AO$1006:$BQ$1006,0))&gt;=100000), " ",IF(INDEX($AO$2:$BQ$1001,MATCH(ROWS($AH$2:AH309),$AH$2:$AH$1001,0),MATCH(COLUMNS($AO$1006:BL1006),$AO$1006:$BQ$1006,0)), HYPERLINK("#",""), HYPERLINK(CONCATENATE("#Metadata!", ADDRESS(INDEX($AJ$2:$AJ$1001,MATCH(ROWS($AH$2:AH309),$AH$2:$AH$1001,0),0), INDEX($AO$1004:$BQ$1004,1,MATCH(COLUMNS($AO$1006:BL1006),$AO$1006:$BQ$1006,0)))),"Fix")))</f>
        <v>#N/A</v>
      </c>
      <c r="Z309" s="5" t="e">
        <f ca="1">IF(OR(INDEX($AI$2:$AI$1001,MATCH(ROWS($AH$2:AH309),$AH$2:$AH$1001,0),1)&gt;=100000,INDEX($AO$1005:$BQ$1005,1,MATCH(COLUMNS($AO$1006:BM1006),$AO$1006:$BQ$1006,0))&gt;=100000), " ",IF(INDEX($AO$2:$BQ$1001,MATCH(ROWS($AH$2:AH309),$AH$2:$AH$1001,0),MATCH(COLUMNS($AO$1006:BM1006),$AO$1006:$BQ$1006,0)), HYPERLINK("#",""), HYPERLINK(CONCATENATE("#Metadata!", ADDRESS(INDEX($AJ$2:$AJ$1001,MATCH(ROWS($AH$2:AH309),$AH$2:$AH$1001,0),0), INDEX($AO$1004:$BQ$1004,1,MATCH(COLUMNS($AO$1006:BM1006),$AO$1006:$BQ$1006,0)))),"Fix")))</f>
        <v>#N/A</v>
      </c>
      <c r="AA309" s="5" t="e">
        <f ca="1">IF(OR(INDEX($AI$2:$AI$1001,MATCH(ROWS($AH$2:AH309),$AH$2:$AH$1001,0),1)&gt;=100000,INDEX($AO$1005:$BQ$1005,1,MATCH(COLUMNS($AO$1006:BN1006),$AO$1006:$BQ$1006,0))&gt;=100000), " ",IF(INDEX($AO$2:$BQ$1001,MATCH(ROWS($AH$2:AH309),$AH$2:$AH$1001,0),MATCH(COLUMNS($AO$1006:BN1006),$AO$1006:$BQ$1006,0)), HYPERLINK("#",""), HYPERLINK(CONCATENATE("#Metadata!", ADDRESS(INDEX($AJ$2:$AJ$1001,MATCH(ROWS($AH$2:AH309),$AH$2:$AH$1001,0),0), INDEX($AO$1004:$BQ$1004,1,MATCH(COLUMNS($AO$1006:BN1006),$AO$1006:$BQ$1006,0)))),"Fix")))</f>
        <v>#N/A</v>
      </c>
      <c r="AB309" s="5" t="e">
        <f ca="1">IF(OR(INDEX($AI$2:$AI$1001,MATCH(ROWS($AH$2:AH309),$AH$2:$AH$1001,0),1)&gt;=100000,INDEX($AO$1005:$BQ$1005,1,MATCH(COLUMNS($AO$1006:BO1006),$AO$1006:$BQ$1006,0))&gt;=100000), " ",IF(INDEX($AO$2:$BQ$1001,MATCH(ROWS($AH$2:AH309),$AH$2:$AH$1001,0),MATCH(COLUMNS($AO$1006:BO1006),$AO$1006:$BQ$1006,0)), HYPERLINK("#",""), HYPERLINK(CONCATENATE("#Metadata!", ADDRESS(INDEX($AJ$2:$AJ$1001,MATCH(ROWS($AH$2:AH309),$AH$2:$AH$1001,0),0), INDEX($AO$1004:$BQ$1004,1,MATCH(COLUMNS($AO$1006:BO1006),$AO$1006:$BQ$1006,0)))),"Fix")))</f>
        <v>#N/A</v>
      </c>
      <c r="AC309" s="5" t="e">
        <f ca="1">IF(OR(INDEX($AI$2:$AI$1001,MATCH(ROWS($AH$2:AH309),$AH$2:$AH$1001,0),1)&gt;=100000,INDEX($AO$1005:$BQ$1005,1,MATCH(COLUMNS($AO$1006:BP1006),$AO$1006:$BQ$1006,0))&gt;=100000), " ",IF(INDEX($AO$2:$BQ$1001,MATCH(ROWS($AH$2:AH309),$AH$2:$AH$1001,0),MATCH(COLUMNS($AO$1006:BP1006),$AO$1006:$BQ$1006,0)), HYPERLINK("#",""), HYPERLINK(CONCATENATE("#Metadata!", ADDRESS(INDEX($AJ$2:$AJ$1001,MATCH(ROWS($AH$2:AH309),$AH$2:$AH$1001,0),0), INDEX($AO$1004:$BQ$1004,1,MATCH(COLUMNS($AO$1006:BP1006),$AO$1006:$BQ$1006,0)))),"Fix")))</f>
        <v>#N/A</v>
      </c>
      <c r="AD309" s="5" t="e">
        <f ca="1">IF(OR(INDEX($AI$2:$AI$1001,MATCH(ROWS($AH$2:AH309),$AH$2:$AH$1001,0),1)&gt;=100000,INDEX($AO$1005:$BQ$1005,1,MATCH(COLUMNS($AO$1006:BQ1006),$AO$1006:$BQ$1006,0))&gt;=100000), " ",IF(INDEX($AO$2:$BQ$1001,MATCH(ROWS($AH$2:AH309),$AH$2:$AH$1001,0),MATCH(COLUMNS($AO$1006:BQ1006),$AO$1006:$BQ$1006,0)), HYPERLINK("#",""), HYPERLINK(CONCATENATE("#Metadata!", ADDRESS(INDEX($AJ$2:$AJ$1001,MATCH(ROWS($AH$2:AH309),$AH$2:$AH$1001,0),0), INDEX($AO$1004:$BQ$1004,1,MATCH(COLUMNS($AO$1006:BQ1006),$AO$1006:$BQ$1006,0)))),"Fix")))</f>
        <v>#REF!</v>
      </c>
      <c r="AH309">
        <f ca="1"/>
        <v>306</v>
      </c>
      <c r="AI309">
        <v>100309</v>
      </c>
      <c r="AJ309">
        <v>309</v>
      </c>
      <c r="AK309" t="b">
        <f t="shared" si="4"/>
        <v>1</v>
      </c>
      <c r="AL309" t="b">
        <f>COUNTBLANK(Metadata!B309:AD309)=COLUMNS(Metadata!B309:AD309)</f>
        <v>1</v>
      </c>
      <c r="AM309" t="str">
        <v/>
      </c>
      <c r="AO309" t="b">
        <f ca="1">AND(IF(Metadata!B309="",FALSE,TRUE),COUNTIF(Metadata!B:B, Metadata!B309) = 1,NOT(ISERROR(SUMPRODUCT(SEARCH(MID(Metadata!B309,ROW(INDIRECT("1:"&amp;LEN(Metadata!B309))), 1),"0123456789abcdefghijklmnopqrstuvwxyzABCDEFGHIJKLMNOPQRSTUVWXYZ.")))))</f>
        <v>0</v>
      </c>
      <c r="AP309" t="b">
        <f>IF(Metadata!C309="",FALSE,TRUE)</f>
        <v>0</v>
      </c>
      <c r="AQ309" t="b">
        <f>IF(Metadata!D309="",FALSE,TRUE)</f>
        <v>0</v>
      </c>
      <c r="AR309" t="b">
        <f ca="1">OR(AND(IF(Metadata!E309="",FALSE,TRUE),OR(EXACT(Metadata!E309,"not collected"),EXACT(Metadata!E309,"not provided"),EXACT(Metadata!E309,"restricted access"))),AND(IF(Metadata!E309="",FALSE,TRUE),AND(AND(IFERROR(INT(LEFT(Metadata!E309,4))&gt;1900,FALSE),IFERROR(INT(LEFT(Metadata!E309,4))&lt;=YEAR(NOW()),FALSE)), OR(MID(Metadata!E309,5,1)="", AND(AND(MID(Metadata!E309,5,1)="-",IFERROR(INT(MID(Metadata!E309,6,1))&gt;=0,FALSE),IFERROR(INT(MID(Metadata!E309,6,1))&lt;=1,FALSE),NOT(MID(Metadata!E309,7,1)=""),IFERROR(INT(MID(Metadata!E309,6,2))&gt;=1,FALSE),IFERROR(INT(MID(Metadata!E309,6,2))&lt;=12,FALSE)), OR(MID(Metadata!E309,8,1)="", AND(AND(MID(Metadata!E309,8,1)="-",IFERROR(INT(MID(Metadata!E309,9,1))&gt;=0,FALSE),IFERROR(INT(MID(Metadata!E309,9,1))&lt;=3,FALSE),NOT(MID(Metadata!E309,10,1)=""),IFERROR(INT(MID(Metadata!E309,9,2))&gt;=1,FALSE),IFERROR(INT(MID(Metadata!E309,9,2))&lt;=31,FALSE)), OR(MID(Metadata!E309,11,1)="", AND(AND(MID(Metadata!E309,11,1)=" ",IFERROR(INT(MID(Metadata!E309,12,1))&gt;=0,FALSE),IFERROR(INT(MID(Metadata!E309,12,1))&lt;=2,FALSE),NOT(MID(Metadata!E309,13,1)=""),IFERROR(INT(MID(Metadata!E309,12,2))&gt;=0,FALSE),IFERROR(INT(MID(Metadata!E309,12,2))&lt;=23,FALSE)), OR(MID(Metadata!E309,14,1)="", AND(AND(MID(Metadata!E309,14,1)=":",IFERROR(INT(MID(Metadata!E309,15,1))&gt;=0,FALSE),IFERROR(INT(MID(Metadata!E309,15,1))&lt;=5,FALSE),NOT(MID(Metadata!E309,16,1)=""),IFERROR(INT(MID(Metadata!E309,15,2))&gt;=0,FALSE),IFERROR(INT(MID(Metadata!E309,15,2))&lt;=59,FALSE)), OR(MID(Metadata!E309,17,1)="", AND(AND(MID(Metadata!E309,17,1)=":",IFERROR(INT(MID(Metadata!E309,18,1))&gt;=0,FALSE),IFERROR(INT(MID(Metadata!E309,18,1))&lt;=5,FALSE),NOT(MID(Metadata!E309,19,1)=""),IFERROR(INT(MID(Metadata!E309,18,2))&gt;=0,FALSE),IFERROR(INT(MID(Metadata!E309,18,2))&lt;=59,FALSE)), LEN(Metadata!E309)&lt;=19)))))))))))))</f>
        <v>0</v>
      </c>
      <c r="AS309" t="b">
        <f>IF(Metadata!F309="",FALSE,TRUE)</f>
        <v>0</v>
      </c>
      <c r="AT309" t="b">
        <f>OR(AND(IF(Metadata!G309="",FALSE,TRUE),OR(EXACT(Metadata!G309,"not collected"),EXACT(Metadata!G309,"not provided"))),AND(IF(Metadata!G309="",FALSE,TRUE),OR(EXACT(Metadata!G309,"TRUE"),EXACT(Metadata!G309,"FALSE"))))</f>
        <v>0</v>
      </c>
      <c r="AU309" t="b">
        <f>OR(AND(IF(Metadata!H309="",FALSE,TRUE),OR(EXACT(Metadata!H309,"not collected"),EXACT(Metadata!H309,"not provided"),EXACT(Metadata!H309,"restricted access"))),AND(IF(Metadata!H309="",FALSE,ISNUMBER(VALUE(Metadata!H309))),Metadata!H309&gt;=-413))</f>
        <v>0</v>
      </c>
      <c r="AV309" t="b">
        <f>AND(IF(Metadata!I309="",FALSE,TRUE),EXACT(Metadata!I309,"meters"))</f>
        <v>0</v>
      </c>
      <c r="AW309" t="b">
        <f>AND(IF(Metadata!J309="",FALSE,TRUE),EXACT(Metadata!J309,"free-living"))</f>
        <v>0</v>
      </c>
      <c r="AX309" t="b">
        <f>AND(IF(Metadata!K309="",FALSE,TRUE),OR(EXACT(Metadata!K309,"saline"),EXACT(Metadata!K309,"non-saline")))</f>
        <v>0</v>
      </c>
      <c r="AY309" t="b">
        <f>AND(IF(Metadata!L309="",FALSE,TRUE),OR(EXACT(Metadata!L309,"sub-surface (non-saline)"),EXACT(Metadata!L309,"surface (non-saline)"),EXACT(Metadata!L309,"water (non-saline)"),EXACT(Metadata!L309,"soil (non-saline)"),EXACT(Metadata!L309,"aerosol (non-saline)"),EXACT(Metadata!L309,"sediment (non-saline)"),EXACT(Metadata!L309,"surface (saline)"),EXACT(Metadata!L309,"water (saline)"),EXACT(Metadata!L309,"hypersaline (saline)"),EXACT(Metadata!L309,"aerosol (saline)"),EXACT(Metadata!L309,"sediment (saline)")))</f>
        <v>0</v>
      </c>
      <c r="AZ309" t="b">
        <f>IF(Metadata!M309="",FALSE,TRUE)</f>
        <v>0</v>
      </c>
      <c r="BA309" t="b">
        <f>IF(Metadata!N309="",FALSE,TRUE)</f>
        <v>0</v>
      </c>
      <c r="BB309" t="b">
        <f>IF(Metadata!O309="",FALSE,TRUE)</f>
        <v>0</v>
      </c>
      <c r="BC309" t="b">
        <f>AND(IF(Metadata!P309="",FALSE,TRUE),OR(EXACT(Metadata!P309,"air"),EXACT(Metadata!P309,"microbial mat/biofilm"),EXACT(Metadata!P309,"misc environment"),EXACT(Metadata!P309,"sediment"),EXACT(Metadata!P309,"soil"),EXACT(Metadata!P309,"wastewater/sludge"),EXACT(Metadata!P309,"water")))</f>
        <v>0</v>
      </c>
      <c r="BD309" t="b">
        <f>IF(Metadata!Q309="",FALSE,TRUE)</f>
        <v>0</v>
      </c>
      <c r="BE309" t="b">
        <f>IF(Metadata!R309="",FALSE,TRUE)</f>
        <v>0</v>
      </c>
      <c r="BF309" t="b">
        <f>OR(AND(IF(Metadata!S309="",FALSE,TRUE),OR(EXACT(Metadata!S309,"not collected"),EXACT(Metadata!S309,"not provided"),EXACT(Metadata!S309,"restricted access"))),AND(IF(Metadata!S309="",FALSE,ISNUMBER(VALUE(Metadata!S309))),Metadata!S309&gt;=-90,Metadata!S309&lt;=90))</f>
        <v>0</v>
      </c>
      <c r="BG309" t="b">
        <f>AND(IF(Metadata!T309="",FALSE,TRUE),EXACT(Metadata!T309,"Decimal degrees"))</f>
        <v>0</v>
      </c>
      <c r="BH309" t="b">
        <f>OR(AND(IF(Metadata!U309="",FALSE,TRUE),OR(EXACT(Metadata!U309,"not applicable"),EXACT(Metadata!U309,"not collected"))),IF(Metadata!U309="",FALSE,TRUE))</f>
        <v>0</v>
      </c>
      <c r="BI309" t="b">
        <f>OR(AND(IF(Metadata!V309="",FALSE,TRUE),OR(EXACT(Metadata!V309,"not collected"),EXACT(Metadata!V309,"not provided"),EXACT(Metadata!V309,"restricted access"))),AND(IF(Metadata!V309="",FALSE,ISNUMBER(VALUE(Metadata!V309))),Metadata!V309&gt;=-180,Metadata!V309&lt;=180))</f>
        <v>0</v>
      </c>
      <c r="BJ309" t="b">
        <f>AND(IF(Metadata!W309="",FALSE,TRUE),EXACT(Metadata!W309,"Decimal degrees"))</f>
        <v>0</v>
      </c>
      <c r="BK309" t="b">
        <f>IF(Metadata!X309="",FALSE,TRUE)</f>
        <v>0</v>
      </c>
      <c r="BL309" t="b">
        <f>OR(AND(IF(Metadata!Y309="",FALSE,TRUE),OR(EXACT(Metadata!Y309,"not collected"),EXACT(Metadata!Y309,"not provided"),EXACT(Metadata!Y309,"restricted access"))),AND(IF(Metadata!Y309="",FALSE,TRUE),OR(EXACT(Metadata!Y309,"TRUE"),EXACT(Metadata!Y309,"FALSE"))))</f>
        <v>0</v>
      </c>
      <c r="BM309" t="b">
        <f>OR(AND(IF(Metadata!Z309="",FALSE,TRUE),EXACT(Metadata!Z309,"not applicable")),AND(IF(Metadata!Z309="",FALSE,TRUE),OR(EXACT(Metadata!Z309,"beer"),EXACT(Metadata!Z309,"cheese"),EXACT(Metadata!Z309,"fresh water"),EXACT(Metadata!Z309,"marine sediment"),EXACT(Metadata!Z309,"sea water"),EXACT(Metadata!Z309,"sediment"),EXACT(Metadata!Z309,"soil"),EXACT(Metadata!Z309,"waste water"))))</f>
        <v>0</v>
      </c>
      <c r="BN309" t="b">
        <f>AND(IF(Metadata!AA309="",FALSE,TRUE),EXACT(Metadata!AA309,"metagenome"))</f>
        <v>0</v>
      </c>
      <c r="BO309" t="b">
        <f>AND(IF(Metadata!AB309="",FALSE,TRUE),EXACT(Metadata!AB309,"256318"))</f>
        <v>0</v>
      </c>
      <c r="BP309" t="b">
        <f>IF(Metadata!AC309="",FALSE,TRUE)</f>
        <v>0</v>
      </c>
      <c r="BQ309" t="b">
        <f>IF(Metadata!AD309="",FALSE,TRUE)</f>
        <v>0</v>
      </c>
    </row>
    <row r="310" spans="1:69" x14ac:dyDescent="0.2">
      <c r="A310" s="4" t="e">
        <f ca="1">IF(B310=" "," ",HYPERLINK(CONCATENATE("#metadata!",ADDRESS(INDEX($AJ$2:$AJ$1001,MATCH(ROWS($AH$2:AH310),$AH$2:$AH$1001,0),0),2)),INDEX($AM$2:$AM$1001,MATCH(ROWS($AH$2:AH310),$AH$2:$AH$1001,0),0)))</f>
        <v>#N/A</v>
      </c>
      <c r="B310" s="5" t="e">
        <f ca="1">IF(OR(INDEX($AI$2:$AI$1001,MATCH(ROWS($AH$2:AH310),$AH$2:$AH$1001,0),1)&gt;=100000,INDEX($AO$1005:$BQ$1005,1,MATCH(COLUMNS($AO$1006:AO1006),$AO$1006:$BQ$1006,0))&gt;=100000), " ",IF(INDEX($AO$2:$BQ$1001,MATCH(ROWS($AH$2:AH310),$AH$2:$AH$1001,0),MATCH(COLUMNS($AO$1006:AO1006),$AO$1006:$BQ$1006,0)), HYPERLINK("#",""), HYPERLINK(CONCATENATE("#Metadata!", ADDRESS(INDEX($AJ$2:$AJ$1001,MATCH(ROWS($AH$2:AH310),$AH$2:$AH$1001,0),0), INDEX($AO$1004:$BQ$1004,1,MATCH(COLUMNS($AO$1006:AO1006),$AO$1006:$BQ$1006,0)))),"Fix")))</f>
        <v>#N/A</v>
      </c>
      <c r="C310" s="5" t="e">
        <f ca="1">IF(OR(INDEX($AI$2:$AI$1001,MATCH(ROWS($AH$2:AH310),$AH$2:$AH$1001,0),1)&gt;=100000,INDEX($AO$1005:$BQ$1005,1,MATCH(COLUMNS($AO$1006:AP1006),$AO$1006:$BQ$1006,0))&gt;=100000), " ",IF(INDEX($AO$2:$BQ$1001,MATCH(ROWS($AH$2:AH310),$AH$2:$AH$1001,0),MATCH(COLUMNS($AO$1006:AP1006),$AO$1006:$BQ$1006,0)), HYPERLINK("#",""), HYPERLINK(CONCATENATE("#Metadata!", ADDRESS(INDEX($AJ$2:$AJ$1001,MATCH(ROWS($AH$2:AH310),$AH$2:$AH$1001,0),0), INDEX($AO$1004:$BQ$1004,1,MATCH(COLUMNS($AO$1006:AP1006),$AO$1006:$BQ$1006,0)))),"Fix")))</f>
        <v>#N/A</v>
      </c>
      <c r="D310" s="5" t="e">
        <f ca="1">IF(OR(INDEX($AI$2:$AI$1001,MATCH(ROWS($AH$2:AH310),$AH$2:$AH$1001,0),1)&gt;=100000,INDEX($AO$1005:$BQ$1005,1,MATCH(COLUMNS($AO$1006:AQ1006),$AO$1006:$BQ$1006,0))&gt;=100000), " ",IF(INDEX($AO$2:$BQ$1001,MATCH(ROWS($AH$2:AH310),$AH$2:$AH$1001,0),MATCH(COLUMNS($AO$1006:AQ1006),$AO$1006:$BQ$1006,0)), HYPERLINK("#",""), HYPERLINK(CONCATENATE("#Metadata!", ADDRESS(INDEX($AJ$2:$AJ$1001,MATCH(ROWS($AH$2:AH310),$AH$2:$AH$1001,0),0), INDEX($AO$1004:$BQ$1004,1,MATCH(COLUMNS($AO$1006:AQ1006),$AO$1006:$BQ$1006,0)))),"Fix")))</f>
        <v>#N/A</v>
      </c>
      <c r="E310" s="5" t="e">
        <f ca="1">IF(OR(INDEX($AI$2:$AI$1001,MATCH(ROWS($AH$2:AH310),$AH$2:$AH$1001,0),1)&gt;=100000,INDEX($AO$1005:$BQ$1005,1,MATCH(COLUMNS($AO$1006:AR1006),$AO$1006:$BQ$1006,0))&gt;=100000), " ",IF(INDEX($AO$2:$BQ$1001,MATCH(ROWS($AH$2:AH310),$AH$2:$AH$1001,0),MATCH(COLUMNS($AO$1006:AR1006),$AO$1006:$BQ$1006,0)), HYPERLINK("#",""), HYPERLINK(CONCATENATE("#Metadata!", ADDRESS(INDEX($AJ$2:$AJ$1001,MATCH(ROWS($AH$2:AH310),$AH$2:$AH$1001,0),0), INDEX($AO$1004:$BQ$1004,1,MATCH(COLUMNS($AO$1006:AR1006),$AO$1006:$BQ$1006,0)))),"Fix")))</f>
        <v>#N/A</v>
      </c>
      <c r="F310" s="5" t="e">
        <f ca="1">IF(OR(INDEX($AI$2:$AI$1001,MATCH(ROWS($AH$2:AH310),$AH$2:$AH$1001,0),1)&gt;=100000,INDEX($AO$1005:$BQ$1005,1,MATCH(COLUMNS($AO$1006:AS1006),$AO$1006:$BQ$1006,0))&gt;=100000), " ",IF(INDEX($AO$2:$BQ$1001,MATCH(ROWS($AH$2:AH310),$AH$2:$AH$1001,0),MATCH(COLUMNS($AO$1006:AS1006),$AO$1006:$BQ$1006,0)), HYPERLINK("#",""), HYPERLINK(CONCATENATE("#Metadata!", ADDRESS(INDEX($AJ$2:$AJ$1001,MATCH(ROWS($AH$2:AH310),$AH$2:$AH$1001,0),0), INDEX($AO$1004:$BQ$1004,1,MATCH(COLUMNS($AO$1006:AS1006),$AO$1006:$BQ$1006,0)))),"Fix")))</f>
        <v>#N/A</v>
      </c>
      <c r="G310" s="5" t="e">
        <f ca="1">IF(OR(INDEX($AI$2:$AI$1001,MATCH(ROWS($AH$2:AH310),$AH$2:$AH$1001,0),1)&gt;=100000,INDEX($AO$1005:$BQ$1005,1,MATCH(COLUMNS($AO$1006:AT1006),$AO$1006:$BQ$1006,0))&gt;=100000), " ",IF(INDEX($AO$2:$BQ$1001,MATCH(ROWS($AH$2:AH310),$AH$2:$AH$1001,0),MATCH(COLUMNS($AO$1006:AT1006),$AO$1006:$BQ$1006,0)), HYPERLINK("#",""), HYPERLINK(CONCATENATE("#Metadata!", ADDRESS(INDEX($AJ$2:$AJ$1001,MATCH(ROWS($AH$2:AH310),$AH$2:$AH$1001,0),0), INDEX($AO$1004:$BQ$1004,1,MATCH(COLUMNS($AO$1006:AT1006),$AO$1006:$BQ$1006,0)))),"Fix")))</f>
        <v>#N/A</v>
      </c>
      <c r="H310" s="5" t="e">
        <f ca="1">IF(OR(INDEX($AI$2:$AI$1001,MATCH(ROWS($AH$2:AH310),$AH$2:$AH$1001,0),1)&gt;=100000,INDEX($AO$1005:$BQ$1005,1,MATCH(COLUMNS($AO$1006:AU1006),$AO$1006:$BQ$1006,0))&gt;=100000), " ",IF(INDEX($AO$2:$BQ$1001,MATCH(ROWS($AH$2:AH310),$AH$2:$AH$1001,0),MATCH(COLUMNS($AO$1006:AU1006),$AO$1006:$BQ$1006,0)), HYPERLINK("#",""), HYPERLINK(CONCATENATE("#Metadata!", ADDRESS(INDEX($AJ$2:$AJ$1001,MATCH(ROWS($AH$2:AH310),$AH$2:$AH$1001,0),0), INDEX($AO$1004:$BQ$1004,1,MATCH(COLUMNS($AO$1006:AU1006),$AO$1006:$BQ$1006,0)))),"Fix")))</f>
        <v>#N/A</v>
      </c>
      <c r="I310" s="5" t="e">
        <f ca="1">IF(OR(INDEX($AI$2:$AI$1001,MATCH(ROWS($AH$2:AH310),$AH$2:$AH$1001,0),1)&gt;=100000,INDEX($AO$1005:$BQ$1005,1,MATCH(COLUMNS($AO$1006:AV1006),$AO$1006:$BQ$1006,0))&gt;=100000), " ",IF(INDEX($AO$2:$BQ$1001,MATCH(ROWS($AH$2:AH310),$AH$2:$AH$1001,0),MATCH(COLUMNS($AO$1006:AV1006),$AO$1006:$BQ$1006,0)), HYPERLINK("#",""), HYPERLINK(CONCATENATE("#Metadata!", ADDRESS(INDEX($AJ$2:$AJ$1001,MATCH(ROWS($AH$2:AH310),$AH$2:$AH$1001,0),0), INDEX($AO$1004:$BQ$1004,1,MATCH(COLUMNS($AO$1006:AV1006),$AO$1006:$BQ$1006,0)))),"Fix")))</f>
        <v>#N/A</v>
      </c>
      <c r="J310" s="5" t="e">
        <f ca="1">IF(OR(INDEX($AI$2:$AI$1001,MATCH(ROWS($AH$2:AH310),$AH$2:$AH$1001,0),1)&gt;=100000,INDEX($AO$1005:$BQ$1005,1,MATCH(COLUMNS($AO$1006:AW1006),$AO$1006:$BQ$1006,0))&gt;=100000), " ",IF(INDEX($AO$2:$BQ$1001,MATCH(ROWS($AH$2:AH310),$AH$2:$AH$1001,0),MATCH(COLUMNS($AO$1006:AW1006),$AO$1006:$BQ$1006,0)), HYPERLINK("#",""), HYPERLINK(CONCATENATE("#Metadata!", ADDRESS(INDEX($AJ$2:$AJ$1001,MATCH(ROWS($AH$2:AH310),$AH$2:$AH$1001,0),0), INDEX($AO$1004:$BQ$1004,1,MATCH(COLUMNS($AO$1006:AW1006),$AO$1006:$BQ$1006,0)))),"Fix")))</f>
        <v>#N/A</v>
      </c>
      <c r="K310" s="5" t="e">
        <f ca="1">IF(OR(INDEX($AI$2:$AI$1001,MATCH(ROWS($AH$2:AH310),$AH$2:$AH$1001,0),1)&gt;=100000,INDEX($AO$1005:$BQ$1005,1,MATCH(COLUMNS($AO$1006:AX1006),$AO$1006:$BQ$1006,0))&gt;=100000), " ",IF(INDEX($AO$2:$BQ$1001,MATCH(ROWS($AH$2:AH310),$AH$2:$AH$1001,0),MATCH(COLUMNS($AO$1006:AX1006),$AO$1006:$BQ$1006,0)), HYPERLINK("#",""), HYPERLINK(CONCATENATE("#Metadata!", ADDRESS(INDEX($AJ$2:$AJ$1001,MATCH(ROWS($AH$2:AH310),$AH$2:$AH$1001,0),0), INDEX($AO$1004:$BQ$1004,1,MATCH(COLUMNS($AO$1006:AX1006),$AO$1006:$BQ$1006,0)))),"Fix")))</f>
        <v>#N/A</v>
      </c>
      <c r="L310" s="5" t="e">
        <f ca="1">IF(OR(INDEX($AI$2:$AI$1001,MATCH(ROWS($AH$2:AH310),$AH$2:$AH$1001,0),1)&gt;=100000,INDEX($AO$1005:$BQ$1005,1,MATCH(COLUMNS($AO$1006:AY1006),$AO$1006:$BQ$1006,0))&gt;=100000), " ",IF(INDEX($AO$2:$BQ$1001,MATCH(ROWS($AH$2:AH310),$AH$2:$AH$1001,0),MATCH(COLUMNS($AO$1006:AY1006),$AO$1006:$BQ$1006,0)), HYPERLINK("#",""), HYPERLINK(CONCATENATE("#Metadata!", ADDRESS(INDEX($AJ$2:$AJ$1001,MATCH(ROWS($AH$2:AH310),$AH$2:$AH$1001,0),0), INDEX($AO$1004:$BQ$1004,1,MATCH(COLUMNS($AO$1006:AY1006),$AO$1006:$BQ$1006,0)))),"Fix")))</f>
        <v>#N/A</v>
      </c>
      <c r="M310" s="5" t="e">
        <f ca="1">IF(OR(INDEX($AI$2:$AI$1001,MATCH(ROWS($AH$2:AH310),$AH$2:$AH$1001,0),1)&gt;=100000,INDEX($AO$1005:$BQ$1005,1,MATCH(COLUMNS($AO$1006:AZ1006),$AO$1006:$BQ$1006,0))&gt;=100000), " ",IF(INDEX($AO$2:$BQ$1001,MATCH(ROWS($AH$2:AH310),$AH$2:$AH$1001,0),MATCH(COLUMNS($AO$1006:AZ1006),$AO$1006:$BQ$1006,0)), HYPERLINK("#",""), HYPERLINK(CONCATENATE("#Metadata!", ADDRESS(INDEX($AJ$2:$AJ$1001,MATCH(ROWS($AH$2:AH310),$AH$2:$AH$1001,0),0), INDEX($AO$1004:$BQ$1004,1,MATCH(COLUMNS($AO$1006:AZ1006),$AO$1006:$BQ$1006,0)))),"Fix")))</f>
        <v>#N/A</v>
      </c>
      <c r="N310" s="5" t="e">
        <f ca="1">IF(OR(INDEX($AI$2:$AI$1001,MATCH(ROWS($AH$2:AH310),$AH$2:$AH$1001,0),1)&gt;=100000,INDEX($AO$1005:$BQ$1005,1,MATCH(COLUMNS($AO$1006:BA1006),$AO$1006:$BQ$1006,0))&gt;=100000), " ",IF(INDEX($AO$2:$BQ$1001,MATCH(ROWS($AH$2:AH310),$AH$2:$AH$1001,0),MATCH(COLUMNS($AO$1006:BA1006),$AO$1006:$BQ$1006,0)), HYPERLINK("#",""), HYPERLINK(CONCATENATE("#Metadata!", ADDRESS(INDEX($AJ$2:$AJ$1001,MATCH(ROWS($AH$2:AH310),$AH$2:$AH$1001,0),0), INDEX($AO$1004:$BQ$1004,1,MATCH(COLUMNS($AO$1006:BA1006),$AO$1006:$BQ$1006,0)))),"Fix")))</f>
        <v>#N/A</v>
      </c>
      <c r="O310" s="5" t="e">
        <f ca="1">IF(OR(INDEX($AI$2:$AI$1001,MATCH(ROWS($AH$2:AH310),$AH$2:$AH$1001,0),1)&gt;=100000,INDEX($AO$1005:$BQ$1005,1,MATCH(COLUMNS($AO$1006:BB1006),$AO$1006:$BQ$1006,0))&gt;=100000), " ",IF(INDEX($AO$2:$BQ$1001,MATCH(ROWS($AH$2:AH310),$AH$2:$AH$1001,0),MATCH(COLUMNS($AO$1006:BB1006),$AO$1006:$BQ$1006,0)), HYPERLINK("#",""), HYPERLINK(CONCATENATE("#Metadata!", ADDRESS(INDEX($AJ$2:$AJ$1001,MATCH(ROWS($AH$2:AH310),$AH$2:$AH$1001,0),0), INDEX($AO$1004:$BQ$1004,1,MATCH(COLUMNS($AO$1006:BB1006),$AO$1006:$BQ$1006,0)))),"Fix")))</f>
        <v>#N/A</v>
      </c>
      <c r="P310" s="5" t="e">
        <f ca="1">IF(OR(INDEX($AI$2:$AI$1001,MATCH(ROWS($AH$2:AH310),$AH$2:$AH$1001,0),1)&gt;=100000,INDEX($AO$1005:$BQ$1005,1,MATCH(COLUMNS($AO$1006:BC1006),$AO$1006:$BQ$1006,0))&gt;=100000), " ",IF(INDEX($AO$2:$BQ$1001,MATCH(ROWS($AH$2:AH310),$AH$2:$AH$1001,0),MATCH(COLUMNS($AO$1006:BC1006),$AO$1006:$BQ$1006,0)), HYPERLINK("#",""), HYPERLINK(CONCATENATE("#Metadata!", ADDRESS(INDEX($AJ$2:$AJ$1001,MATCH(ROWS($AH$2:AH310),$AH$2:$AH$1001,0),0), INDEX($AO$1004:$BQ$1004,1,MATCH(COLUMNS($AO$1006:BC1006),$AO$1006:$BQ$1006,0)))),"Fix")))</f>
        <v>#N/A</v>
      </c>
      <c r="Q310" s="5" t="e">
        <f ca="1">IF(OR(INDEX($AI$2:$AI$1001,MATCH(ROWS($AH$2:AH310),$AH$2:$AH$1001,0),1)&gt;=100000,INDEX($AO$1005:$BQ$1005,1,MATCH(COLUMNS($AO$1006:BD1006),$AO$1006:$BQ$1006,0))&gt;=100000), " ",IF(INDEX($AO$2:$BQ$1001,MATCH(ROWS($AH$2:AH310),$AH$2:$AH$1001,0),MATCH(COLUMNS($AO$1006:BD1006),$AO$1006:$BQ$1006,0)), HYPERLINK("#",""), HYPERLINK(CONCATENATE("#Metadata!", ADDRESS(INDEX($AJ$2:$AJ$1001,MATCH(ROWS($AH$2:AH310),$AH$2:$AH$1001,0),0), INDEX($AO$1004:$BQ$1004,1,MATCH(COLUMNS($AO$1006:BD1006),$AO$1006:$BQ$1006,0)))),"Fix")))</f>
        <v>#N/A</v>
      </c>
      <c r="R310" s="5" t="e">
        <f ca="1">IF(OR(INDEX($AI$2:$AI$1001,MATCH(ROWS($AH$2:AH310),$AH$2:$AH$1001,0),1)&gt;=100000,INDEX($AO$1005:$BQ$1005,1,MATCH(COLUMNS($AO$1006:BE1006),$AO$1006:$BQ$1006,0))&gt;=100000), " ",IF(INDEX($AO$2:$BQ$1001,MATCH(ROWS($AH$2:AH310),$AH$2:$AH$1001,0),MATCH(COLUMNS($AO$1006:BE1006),$AO$1006:$BQ$1006,0)), HYPERLINK("#",""), HYPERLINK(CONCATENATE("#Metadata!", ADDRESS(INDEX($AJ$2:$AJ$1001,MATCH(ROWS($AH$2:AH310),$AH$2:$AH$1001,0),0), INDEX($AO$1004:$BQ$1004,1,MATCH(COLUMNS($AO$1006:BE1006),$AO$1006:$BQ$1006,0)))),"Fix")))</f>
        <v>#N/A</v>
      </c>
      <c r="S310" s="5" t="e">
        <f ca="1">IF(OR(INDEX($AI$2:$AI$1001,MATCH(ROWS($AH$2:AH310),$AH$2:$AH$1001,0),1)&gt;=100000,INDEX($AO$1005:$BQ$1005,1,MATCH(COLUMNS($AO$1006:BF1006),$AO$1006:$BQ$1006,0))&gt;=100000), " ",IF(INDEX($AO$2:$BQ$1001,MATCH(ROWS($AH$2:AH310),$AH$2:$AH$1001,0),MATCH(COLUMNS($AO$1006:BF1006),$AO$1006:$BQ$1006,0)), HYPERLINK("#",""), HYPERLINK(CONCATENATE("#Metadata!", ADDRESS(INDEX($AJ$2:$AJ$1001,MATCH(ROWS($AH$2:AH310),$AH$2:$AH$1001,0),0), INDEX($AO$1004:$BQ$1004,1,MATCH(COLUMNS($AO$1006:BF1006),$AO$1006:$BQ$1006,0)))),"Fix")))</f>
        <v>#N/A</v>
      </c>
      <c r="T310" s="5" t="e">
        <f ca="1">IF(OR(INDEX($AI$2:$AI$1001,MATCH(ROWS($AH$2:AH310),$AH$2:$AH$1001,0),1)&gt;=100000,INDEX($AO$1005:$BQ$1005,1,MATCH(COLUMNS($AO$1006:BG1006),$AO$1006:$BQ$1006,0))&gt;=100000), " ",IF(INDEX($AO$2:$BQ$1001,MATCH(ROWS($AH$2:AH310),$AH$2:$AH$1001,0),MATCH(COLUMNS($AO$1006:BG1006),$AO$1006:$BQ$1006,0)), HYPERLINK("#",""), HYPERLINK(CONCATENATE("#Metadata!", ADDRESS(INDEX($AJ$2:$AJ$1001,MATCH(ROWS($AH$2:AH310),$AH$2:$AH$1001,0),0), INDEX($AO$1004:$BQ$1004,1,MATCH(COLUMNS($AO$1006:BG1006),$AO$1006:$BQ$1006,0)))),"Fix")))</f>
        <v>#N/A</v>
      </c>
      <c r="U310" s="5" t="e">
        <f ca="1">IF(OR(INDEX($AI$2:$AI$1001,MATCH(ROWS($AH$2:AH310),$AH$2:$AH$1001,0),1)&gt;=100000,INDEX($AO$1005:$BQ$1005,1,MATCH(COLUMNS($AO$1006:BH1006),$AO$1006:$BQ$1006,0))&gt;=100000), " ",IF(INDEX($AO$2:$BQ$1001,MATCH(ROWS($AH$2:AH310),$AH$2:$AH$1001,0),MATCH(COLUMNS($AO$1006:BH1006),$AO$1006:$BQ$1006,0)), HYPERLINK("#",""), HYPERLINK(CONCATENATE("#Metadata!", ADDRESS(INDEX($AJ$2:$AJ$1001,MATCH(ROWS($AH$2:AH310),$AH$2:$AH$1001,0),0), INDEX($AO$1004:$BQ$1004,1,MATCH(COLUMNS($AO$1006:BH1006),$AO$1006:$BQ$1006,0)))),"Fix")))</f>
        <v>#N/A</v>
      </c>
      <c r="V310" s="5" t="e">
        <f ca="1">IF(OR(INDEX($AI$2:$AI$1001,MATCH(ROWS($AH$2:AH310),$AH$2:$AH$1001,0),1)&gt;=100000,INDEX($AO$1005:$BQ$1005,1,MATCH(COLUMNS($AO$1006:BI1006),$AO$1006:$BQ$1006,0))&gt;=100000), " ",IF(INDEX($AO$2:$BQ$1001,MATCH(ROWS($AH$2:AH310),$AH$2:$AH$1001,0),MATCH(COLUMNS($AO$1006:BI1006),$AO$1006:$BQ$1006,0)), HYPERLINK("#",""), HYPERLINK(CONCATENATE("#Metadata!", ADDRESS(INDEX($AJ$2:$AJ$1001,MATCH(ROWS($AH$2:AH310),$AH$2:$AH$1001,0),0), INDEX($AO$1004:$BQ$1004,1,MATCH(COLUMNS($AO$1006:BI1006),$AO$1006:$BQ$1006,0)))),"Fix")))</f>
        <v>#N/A</v>
      </c>
      <c r="W310" s="5" t="e">
        <f ca="1">IF(OR(INDEX($AI$2:$AI$1001,MATCH(ROWS($AH$2:AH310),$AH$2:$AH$1001,0),1)&gt;=100000,INDEX($AO$1005:$BQ$1005,1,MATCH(COLUMNS($AO$1006:BJ1006),$AO$1006:$BQ$1006,0))&gt;=100000), " ",IF(INDEX($AO$2:$BQ$1001,MATCH(ROWS($AH$2:AH310),$AH$2:$AH$1001,0),MATCH(COLUMNS($AO$1006:BJ1006),$AO$1006:$BQ$1006,0)), HYPERLINK("#",""), HYPERLINK(CONCATENATE("#Metadata!", ADDRESS(INDEX($AJ$2:$AJ$1001,MATCH(ROWS($AH$2:AH310),$AH$2:$AH$1001,0),0), INDEX($AO$1004:$BQ$1004,1,MATCH(COLUMNS($AO$1006:BJ1006),$AO$1006:$BQ$1006,0)))),"Fix")))</f>
        <v>#N/A</v>
      </c>
      <c r="X310" s="5" t="e">
        <f ca="1">IF(OR(INDEX($AI$2:$AI$1001,MATCH(ROWS($AH$2:AH310),$AH$2:$AH$1001,0),1)&gt;=100000,INDEX($AO$1005:$BQ$1005,1,MATCH(COLUMNS($AO$1006:BK1006),$AO$1006:$BQ$1006,0))&gt;=100000), " ",IF(INDEX($AO$2:$BQ$1001,MATCH(ROWS($AH$2:AH310),$AH$2:$AH$1001,0),MATCH(COLUMNS($AO$1006:BK1006),$AO$1006:$BQ$1006,0)), HYPERLINK("#",""), HYPERLINK(CONCATENATE("#Metadata!", ADDRESS(INDEX($AJ$2:$AJ$1001,MATCH(ROWS($AH$2:AH310),$AH$2:$AH$1001,0),0), INDEX($AO$1004:$BQ$1004,1,MATCH(COLUMNS($AO$1006:BK1006),$AO$1006:$BQ$1006,0)))),"Fix")))</f>
        <v>#N/A</v>
      </c>
      <c r="Y310" s="5" t="e">
        <f ca="1">IF(OR(INDEX($AI$2:$AI$1001,MATCH(ROWS($AH$2:AH310),$AH$2:$AH$1001,0),1)&gt;=100000,INDEX($AO$1005:$BQ$1005,1,MATCH(COLUMNS($AO$1006:BL1006),$AO$1006:$BQ$1006,0))&gt;=100000), " ",IF(INDEX($AO$2:$BQ$1001,MATCH(ROWS($AH$2:AH310),$AH$2:$AH$1001,0),MATCH(COLUMNS($AO$1006:BL1006),$AO$1006:$BQ$1006,0)), HYPERLINK("#",""), HYPERLINK(CONCATENATE("#Metadata!", ADDRESS(INDEX($AJ$2:$AJ$1001,MATCH(ROWS($AH$2:AH310),$AH$2:$AH$1001,0),0), INDEX($AO$1004:$BQ$1004,1,MATCH(COLUMNS($AO$1006:BL1006),$AO$1006:$BQ$1006,0)))),"Fix")))</f>
        <v>#N/A</v>
      </c>
      <c r="Z310" s="5" t="e">
        <f ca="1">IF(OR(INDEX($AI$2:$AI$1001,MATCH(ROWS($AH$2:AH310),$AH$2:$AH$1001,0),1)&gt;=100000,INDEX($AO$1005:$BQ$1005,1,MATCH(COLUMNS($AO$1006:BM1006),$AO$1006:$BQ$1006,0))&gt;=100000), " ",IF(INDEX($AO$2:$BQ$1001,MATCH(ROWS($AH$2:AH310),$AH$2:$AH$1001,0),MATCH(COLUMNS($AO$1006:BM1006),$AO$1006:$BQ$1006,0)), HYPERLINK("#",""), HYPERLINK(CONCATENATE("#Metadata!", ADDRESS(INDEX($AJ$2:$AJ$1001,MATCH(ROWS($AH$2:AH310),$AH$2:$AH$1001,0),0), INDEX($AO$1004:$BQ$1004,1,MATCH(COLUMNS($AO$1006:BM1006),$AO$1006:$BQ$1006,0)))),"Fix")))</f>
        <v>#N/A</v>
      </c>
      <c r="AA310" s="5" t="e">
        <f ca="1">IF(OR(INDEX($AI$2:$AI$1001,MATCH(ROWS($AH$2:AH310),$AH$2:$AH$1001,0),1)&gt;=100000,INDEX($AO$1005:$BQ$1005,1,MATCH(COLUMNS($AO$1006:BN1006),$AO$1006:$BQ$1006,0))&gt;=100000), " ",IF(INDEX($AO$2:$BQ$1001,MATCH(ROWS($AH$2:AH310),$AH$2:$AH$1001,0),MATCH(COLUMNS($AO$1006:BN1006),$AO$1006:$BQ$1006,0)), HYPERLINK("#",""), HYPERLINK(CONCATENATE("#Metadata!", ADDRESS(INDEX($AJ$2:$AJ$1001,MATCH(ROWS($AH$2:AH310),$AH$2:$AH$1001,0),0), INDEX($AO$1004:$BQ$1004,1,MATCH(COLUMNS($AO$1006:BN1006),$AO$1006:$BQ$1006,0)))),"Fix")))</f>
        <v>#N/A</v>
      </c>
      <c r="AB310" s="5" t="e">
        <f ca="1">IF(OR(INDEX($AI$2:$AI$1001,MATCH(ROWS($AH$2:AH310),$AH$2:$AH$1001,0),1)&gt;=100000,INDEX($AO$1005:$BQ$1005,1,MATCH(COLUMNS($AO$1006:BO1006),$AO$1006:$BQ$1006,0))&gt;=100000), " ",IF(INDEX($AO$2:$BQ$1001,MATCH(ROWS($AH$2:AH310),$AH$2:$AH$1001,0),MATCH(COLUMNS($AO$1006:BO1006),$AO$1006:$BQ$1006,0)), HYPERLINK("#",""), HYPERLINK(CONCATENATE("#Metadata!", ADDRESS(INDEX($AJ$2:$AJ$1001,MATCH(ROWS($AH$2:AH310),$AH$2:$AH$1001,0),0), INDEX($AO$1004:$BQ$1004,1,MATCH(COLUMNS($AO$1006:BO1006),$AO$1006:$BQ$1006,0)))),"Fix")))</f>
        <v>#N/A</v>
      </c>
      <c r="AC310" s="5" t="e">
        <f ca="1">IF(OR(INDEX($AI$2:$AI$1001,MATCH(ROWS($AH$2:AH310),$AH$2:$AH$1001,0),1)&gt;=100000,INDEX($AO$1005:$BQ$1005,1,MATCH(COLUMNS($AO$1006:BP1006),$AO$1006:$BQ$1006,0))&gt;=100000), " ",IF(INDEX($AO$2:$BQ$1001,MATCH(ROWS($AH$2:AH310),$AH$2:$AH$1001,0),MATCH(COLUMNS($AO$1006:BP1006),$AO$1006:$BQ$1006,0)), HYPERLINK("#",""), HYPERLINK(CONCATENATE("#Metadata!", ADDRESS(INDEX($AJ$2:$AJ$1001,MATCH(ROWS($AH$2:AH310),$AH$2:$AH$1001,0),0), INDEX($AO$1004:$BQ$1004,1,MATCH(COLUMNS($AO$1006:BP1006),$AO$1006:$BQ$1006,0)))),"Fix")))</f>
        <v>#N/A</v>
      </c>
      <c r="AD310" s="5" t="e">
        <f ca="1">IF(OR(INDEX($AI$2:$AI$1001,MATCH(ROWS($AH$2:AH310),$AH$2:$AH$1001,0),1)&gt;=100000,INDEX($AO$1005:$BQ$1005,1,MATCH(COLUMNS($AO$1006:BQ1006),$AO$1006:$BQ$1006,0))&gt;=100000), " ",IF(INDEX($AO$2:$BQ$1001,MATCH(ROWS($AH$2:AH310),$AH$2:$AH$1001,0),MATCH(COLUMNS($AO$1006:BQ1006),$AO$1006:$BQ$1006,0)), HYPERLINK("#",""), HYPERLINK(CONCATENATE("#Metadata!", ADDRESS(INDEX($AJ$2:$AJ$1001,MATCH(ROWS($AH$2:AH310),$AH$2:$AH$1001,0),0), INDEX($AO$1004:$BQ$1004,1,MATCH(COLUMNS($AO$1006:BQ1006),$AO$1006:$BQ$1006,0)))),"Fix")))</f>
        <v>#REF!</v>
      </c>
      <c r="AH310">
        <f ca="1"/>
        <v>307</v>
      </c>
      <c r="AI310">
        <v>100310</v>
      </c>
      <c r="AJ310">
        <v>310</v>
      </c>
      <c r="AK310" t="b">
        <f t="shared" si="4"/>
        <v>1</v>
      </c>
      <c r="AL310" t="b">
        <f>COUNTBLANK(Metadata!B310:AD310)=COLUMNS(Metadata!B310:AD310)</f>
        <v>1</v>
      </c>
      <c r="AM310" t="str">
        <v/>
      </c>
      <c r="AO310" t="b">
        <f ca="1">AND(IF(Metadata!B310="",FALSE,TRUE),COUNTIF(Metadata!B:B, Metadata!B310) = 1,NOT(ISERROR(SUMPRODUCT(SEARCH(MID(Metadata!B310,ROW(INDIRECT("1:"&amp;LEN(Metadata!B310))), 1),"0123456789abcdefghijklmnopqrstuvwxyzABCDEFGHIJKLMNOPQRSTUVWXYZ.")))))</f>
        <v>0</v>
      </c>
      <c r="AP310" t="b">
        <f>IF(Metadata!C310="",FALSE,TRUE)</f>
        <v>0</v>
      </c>
      <c r="AQ310" t="b">
        <f>IF(Metadata!D310="",FALSE,TRUE)</f>
        <v>0</v>
      </c>
      <c r="AR310" t="b">
        <f ca="1">OR(AND(IF(Metadata!E310="",FALSE,TRUE),OR(EXACT(Metadata!E310,"not collected"),EXACT(Metadata!E310,"not provided"),EXACT(Metadata!E310,"restricted access"))),AND(IF(Metadata!E310="",FALSE,TRUE),AND(AND(IFERROR(INT(LEFT(Metadata!E310,4))&gt;1900,FALSE),IFERROR(INT(LEFT(Metadata!E310,4))&lt;=YEAR(NOW()),FALSE)), OR(MID(Metadata!E310,5,1)="", AND(AND(MID(Metadata!E310,5,1)="-",IFERROR(INT(MID(Metadata!E310,6,1))&gt;=0,FALSE),IFERROR(INT(MID(Metadata!E310,6,1))&lt;=1,FALSE),NOT(MID(Metadata!E310,7,1)=""),IFERROR(INT(MID(Metadata!E310,6,2))&gt;=1,FALSE),IFERROR(INT(MID(Metadata!E310,6,2))&lt;=12,FALSE)), OR(MID(Metadata!E310,8,1)="", AND(AND(MID(Metadata!E310,8,1)="-",IFERROR(INT(MID(Metadata!E310,9,1))&gt;=0,FALSE),IFERROR(INT(MID(Metadata!E310,9,1))&lt;=3,FALSE),NOT(MID(Metadata!E310,10,1)=""),IFERROR(INT(MID(Metadata!E310,9,2))&gt;=1,FALSE),IFERROR(INT(MID(Metadata!E310,9,2))&lt;=31,FALSE)), OR(MID(Metadata!E310,11,1)="", AND(AND(MID(Metadata!E310,11,1)=" ",IFERROR(INT(MID(Metadata!E310,12,1))&gt;=0,FALSE),IFERROR(INT(MID(Metadata!E310,12,1))&lt;=2,FALSE),NOT(MID(Metadata!E310,13,1)=""),IFERROR(INT(MID(Metadata!E310,12,2))&gt;=0,FALSE),IFERROR(INT(MID(Metadata!E310,12,2))&lt;=23,FALSE)), OR(MID(Metadata!E310,14,1)="", AND(AND(MID(Metadata!E310,14,1)=":",IFERROR(INT(MID(Metadata!E310,15,1))&gt;=0,FALSE),IFERROR(INT(MID(Metadata!E310,15,1))&lt;=5,FALSE),NOT(MID(Metadata!E310,16,1)=""),IFERROR(INT(MID(Metadata!E310,15,2))&gt;=0,FALSE),IFERROR(INT(MID(Metadata!E310,15,2))&lt;=59,FALSE)), OR(MID(Metadata!E310,17,1)="", AND(AND(MID(Metadata!E310,17,1)=":",IFERROR(INT(MID(Metadata!E310,18,1))&gt;=0,FALSE),IFERROR(INT(MID(Metadata!E310,18,1))&lt;=5,FALSE),NOT(MID(Metadata!E310,19,1)=""),IFERROR(INT(MID(Metadata!E310,18,2))&gt;=0,FALSE),IFERROR(INT(MID(Metadata!E310,18,2))&lt;=59,FALSE)), LEN(Metadata!E310)&lt;=19)))))))))))))</f>
        <v>0</v>
      </c>
      <c r="AS310" t="b">
        <f>IF(Metadata!F310="",FALSE,TRUE)</f>
        <v>0</v>
      </c>
      <c r="AT310" t="b">
        <f>OR(AND(IF(Metadata!G310="",FALSE,TRUE),OR(EXACT(Metadata!G310,"not collected"),EXACT(Metadata!G310,"not provided"))),AND(IF(Metadata!G310="",FALSE,TRUE),OR(EXACT(Metadata!G310,"TRUE"),EXACT(Metadata!G310,"FALSE"))))</f>
        <v>0</v>
      </c>
      <c r="AU310" t="b">
        <f>OR(AND(IF(Metadata!H310="",FALSE,TRUE),OR(EXACT(Metadata!H310,"not collected"),EXACT(Metadata!H310,"not provided"),EXACT(Metadata!H310,"restricted access"))),AND(IF(Metadata!H310="",FALSE,ISNUMBER(VALUE(Metadata!H310))),Metadata!H310&gt;=-413))</f>
        <v>0</v>
      </c>
      <c r="AV310" t="b">
        <f>AND(IF(Metadata!I310="",FALSE,TRUE),EXACT(Metadata!I310,"meters"))</f>
        <v>0</v>
      </c>
      <c r="AW310" t="b">
        <f>AND(IF(Metadata!J310="",FALSE,TRUE),EXACT(Metadata!J310,"free-living"))</f>
        <v>0</v>
      </c>
      <c r="AX310" t="b">
        <f>AND(IF(Metadata!K310="",FALSE,TRUE),OR(EXACT(Metadata!K310,"saline"),EXACT(Metadata!K310,"non-saline")))</f>
        <v>0</v>
      </c>
      <c r="AY310" t="b">
        <f>AND(IF(Metadata!L310="",FALSE,TRUE),OR(EXACT(Metadata!L310,"sub-surface (non-saline)"),EXACT(Metadata!L310,"surface (non-saline)"),EXACT(Metadata!L310,"water (non-saline)"),EXACT(Metadata!L310,"soil (non-saline)"),EXACT(Metadata!L310,"aerosol (non-saline)"),EXACT(Metadata!L310,"sediment (non-saline)"),EXACT(Metadata!L310,"surface (saline)"),EXACT(Metadata!L310,"water (saline)"),EXACT(Metadata!L310,"hypersaline (saline)"),EXACT(Metadata!L310,"aerosol (saline)"),EXACT(Metadata!L310,"sediment (saline)")))</f>
        <v>0</v>
      </c>
      <c r="AZ310" t="b">
        <f>IF(Metadata!M310="",FALSE,TRUE)</f>
        <v>0</v>
      </c>
      <c r="BA310" t="b">
        <f>IF(Metadata!N310="",FALSE,TRUE)</f>
        <v>0</v>
      </c>
      <c r="BB310" t="b">
        <f>IF(Metadata!O310="",FALSE,TRUE)</f>
        <v>0</v>
      </c>
      <c r="BC310" t="b">
        <f>AND(IF(Metadata!P310="",FALSE,TRUE),OR(EXACT(Metadata!P310,"air"),EXACT(Metadata!P310,"microbial mat/biofilm"),EXACT(Metadata!P310,"misc environment"),EXACT(Metadata!P310,"sediment"),EXACT(Metadata!P310,"soil"),EXACT(Metadata!P310,"wastewater/sludge"),EXACT(Metadata!P310,"water")))</f>
        <v>0</v>
      </c>
      <c r="BD310" t="b">
        <f>IF(Metadata!Q310="",FALSE,TRUE)</f>
        <v>0</v>
      </c>
      <c r="BE310" t="b">
        <f>IF(Metadata!R310="",FALSE,TRUE)</f>
        <v>0</v>
      </c>
      <c r="BF310" t="b">
        <f>OR(AND(IF(Metadata!S310="",FALSE,TRUE),OR(EXACT(Metadata!S310,"not collected"),EXACT(Metadata!S310,"not provided"),EXACT(Metadata!S310,"restricted access"))),AND(IF(Metadata!S310="",FALSE,ISNUMBER(VALUE(Metadata!S310))),Metadata!S310&gt;=-90,Metadata!S310&lt;=90))</f>
        <v>0</v>
      </c>
      <c r="BG310" t="b">
        <f>AND(IF(Metadata!T310="",FALSE,TRUE),EXACT(Metadata!T310,"Decimal degrees"))</f>
        <v>0</v>
      </c>
      <c r="BH310" t="b">
        <f>OR(AND(IF(Metadata!U310="",FALSE,TRUE),OR(EXACT(Metadata!U310,"not applicable"),EXACT(Metadata!U310,"not collected"))),IF(Metadata!U310="",FALSE,TRUE))</f>
        <v>0</v>
      </c>
      <c r="BI310" t="b">
        <f>OR(AND(IF(Metadata!V310="",FALSE,TRUE),OR(EXACT(Metadata!V310,"not collected"),EXACT(Metadata!V310,"not provided"),EXACT(Metadata!V310,"restricted access"))),AND(IF(Metadata!V310="",FALSE,ISNUMBER(VALUE(Metadata!V310))),Metadata!V310&gt;=-180,Metadata!V310&lt;=180))</f>
        <v>0</v>
      </c>
      <c r="BJ310" t="b">
        <f>AND(IF(Metadata!W310="",FALSE,TRUE),EXACT(Metadata!W310,"Decimal degrees"))</f>
        <v>0</v>
      </c>
      <c r="BK310" t="b">
        <f>IF(Metadata!X310="",FALSE,TRUE)</f>
        <v>0</v>
      </c>
      <c r="BL310" t="b">
        <f>OR(AND(IF(Metadata!Y310="",FALSE,TRUE),OR(EXACT(Metadata!Y310,"not collected"),EXACT(Metadata!Y310,"not provided"),EXACT(Metadata!Y310,"restricted access"))),AND(IF(Metadata!Y310="",FALSE,TRUE),OR(EXACT(Metadata!Y310,"TRUE"),EXACT(Metadata!Y310,"FALSE"))))</f>
        <v>0</v>
      </c>
      <c r="BM310" t="b">
        <f>OR(AND(IF(Metadata!Z310="",FALSE,TRUE),EXACT(Metadata!Z310,"not applicable")),AND(IF(Metadata!Z310="",FALSE,TRUE),OR(EXACT(Metadata!Z310,"beer"),EXACT(Metadata!Z310,"cheese"),EXACT(Metadata!Z310,"fresh water"),EXACT(Metadata!Z310,"marine sediment"),EXACT(Metadata!Z310,"sea water"),EXACT(Metadata!Z310,"sediment"),EXACT(Metadata!Z310,"soil"),EXACT(Metadata!Z310,"waste water"))))</f>
        <v>0</v>
      </c>
      <c r="BN310" t="b">
        <f>AND(IF(Metadata!AA310="",FALSE,TRUE),EXACT(Metadata!AA310,"metagenome"))</f>
        <v>0</v>
      </c>
      <c r="BO310" t="b">
        <f>AND(IF(Metadata!AB310="",FALSE,TRUE),EXACT(Metadata!AB310,"256318"))</f>
        <v>0</v>
      </c>
      <c r="BP310" t="b">
        <f>IF(Metadata!AC310="",FALSE,TRUE)</f>
        <v>0</v>
      </c>
      <c r="BQ310" t="b">
        <f>IF(Metadata!AD310="",FALSE,TRUE)</f>
        <v>0</v>
      </c>
    </row>
    <row r="311" spans="1:69" x14ac:dyDescent="0.2">
      <c r="A311" s="4" t="e">
        <f ca="1">IF(B311=" "," ",HYPERLINK(CONCATENATE("#metadata!",ADDRESS(INDEX($AJ$2:$AJ$1001,MATCH(ROWS($AH$2:AH311),$AH$2:$AH$1001,0),0),2)),INDEX($AM$2:$AM$1001,MATCH(ROWS($AH$2:AH311),$AH$2:$AH$1001,0),0)))</f>
        <v>#N/A</v>
      </c>
      <c r="B311" s="5" t="e">
        <f ca="1">IF(OR(INDEX($AI$2:$AI$1001,MATCH(ROWS($AH$2:AH311),$AH$2:$AH$1001,0),1)&gt;=100000,INDEX($AO$1005:$BQ$1005,1,MATCH(COLUMNS($AO$1006:AO1006),$AO$1006:$BQ$1006,0))&gt;=100000), " ",IF(INDEX($AO$2:$BQ$1001,MATCH(ROWS($AH$2:AH311),$AH$2:$AH$1001,0),MATCH(COLUMNS($AO$1006:AO1006),$AO$1006:$BQ$1006,0)), HYPERLINK("#",""), HYPERLINK(CONCATENATE("#Metadata!", ADDRESS(INDEX($AJ$2:$AJ$1001,MATCH(ROWS($AH$2:AH311),$AH$2:$AH$1001,0),0), INDEX($AO$1004:$BQ$1004,1,MATCH(COLUMNS($AO$1006:AO1006),$AO$1006:$BQ$1006,0)))),"Fix")))</f>
        <v>#N/A</v>
      </c>
      <c r="C311" s="5" t="e">
        <f ca="1">IF(OR(INDEX($AI$2:$AI$1001,MATCH(ROWS($AH$2:AH311),$AH$2:$AH$1001,0),1)&gt;=100000,INDEX($AO$1005:$BQ$1005,1,MATCH(COLUMNS($AO$1006:AP1006),$AO$1006:$BQ$1006,0))&gt;=100000), " ",IF(INDEX($AO$2:$BQ$1001,MATCH(ROWS($AH$2:AH311),$AH$2:$AH$1001,0),MATCH(COLUMNS($AO$1006:AP1006),$AO$1006:$BQ$1006,0)), HYPERLINK("#",""), HYPERLINK(CONCATENATE("#Metadata!", ADDRESS(INDEX($AJ$2:$AJ$1001,MATCH(ROWS($AH$2:AH311),$AH$2:$AH$1001,0),0), INDEX($AO$1004:$BQ$1004,1,MATCH(COLUMNS($AO$1006:AP1006),$AO$1006:$BQ$1006,0)))),"Fix")))</f>
        <v>#N/A</v>
      </c>
      <c r="D311" s="5" t="e">
        <f ca="1">IF(OR(INDEX($AI$2:$AI$1001,MATCH(ROWS($AH$2:AH311),$AH$2:$AH$1001,0),1)&gt;=100000,INDEX($AO$1005:$BQ$1005,1,MATCH(COLUMNS($AO$1006:AQ1006),$AO$1006:$BQ$1006,0))&gt;=100000), " ",IF(INDEX($AO$2:$BQ$1001,MATCH(ROWS($AH$2:AH311),$AH$2:$AH$1001,0),MATCH(COLUMNS($AO$1006:AQ1006),$AO$1006:$BQ$1006,0)), HYPERLINK("#",""), HYPERLINK(CONCATENATE("#Metadata!", ADDRESS(INDEX($AJ$2:$AJ$1001,MATCH(ROWS($AH$2:AH311),$AH$2:$AH$1001,0),0), INDEX($AO$1004:$BQ$1004,1,MATCH(COLUMNS($AO$1006:AQ1006),$AO$1006:$BQ$1006,0)))),"Fix")))</f>
        <v>#N/A</v>
      </c>
      <c r="E311" s="5" t="e">
        <f ca="1">IF(OR(INDEX($AI$2:$AI$1001,MATCH(ROWS($AH$2:AH311),$AH$2:$AH$1001,0),1)&gt;=100000,INDEX($AO$1005:$BQ$1005,1,MATCH(COLUMNS($AO$1006:AR1006),$AO$1006:$BQ$1006,0))&gt;=100000), " ",IF(INDEX($AO$2:$BQ$1001,MATCH(ROWS($AH$2:AH311),$AH$2:$AH$1001,0),MATCH(COLUMNS($AO$1006:AR1006),$AO$1006:$BQ$1006,0)), HYPERLINK("#",""), HYPERLINK(CONCATENATE("#Metadata!", ADDRESS(INDEX($AJ$2:$AJ$1001,MATCH(ROWS($AH$2:AH311),$AH$2:$AH$1001,0),0), INDEX($AO$1004:$BQ$1004,1,MATCH(COLUMNS($AO$1006:AR1006),$AO$1006:$BQ$1006,0)))),"Fix")))</f>
        <v>#N/A</v>
      </c>
      <c r="F311" s="5" t="e">
        <f ca="1">IF(OR(INDEX($AI$2:$AI$1001,MATCH(ROWS($AH$2:AH311),$AH$2:$AH$1001,0),1)&gt;=100000,INDEX($AO$1005:$BQ$1005,1,MATCH(COLUMNS($AO$1006:AS1006),$AO$1006:$BQ$1006,0))&gt;=100000), " ",IF(INDEX($AO$2:$BQ$1001,MATCH(ROWS($AH$2:AH311),$AH$2:$AH$1001,0),MATCH(COLUMNS($AO$1006:AS1006),$AO$1006:$BQ$1006,0)), HYPERLINK("#",""), HYPERLINK(CONCATENATE("#Metadata!", ADDRESS(INDEX($AJ$2:$AJ$1001,MATCH(ROWS($AH$2:AH311),$AH$2:$AH$1001,0),0), INDEX($AO$1004:$BQ$1004,1,MATCH(COLUMNS($AO$1006:AS1006),$AO$1006:$BQ$1006,0)))),"Fix")))</f>
        <v>#N/A</v>
      </c>
      <c r="G311" s="5" t="e">
        <f ca="1">IF(OR(INDEX($AI$2:$AI$1001,MATCH(ROWS($AH$2:AH311),$AH$2:$AH$1001,0),1)&gt;=100000,INDEX($AO$1005:$BQ$1005,1,MATCH(COLUMNS($AO$1006:AT1006),$AO$1006:$BQ$1006,0))&gt;=100000), " ",IF(INDEX($AO$2:$BQ$1001,MATCH(ROWS($AH$2:AH311),$AH$2:$AH$1001,0),MATCH(COLUMNS($AO$1006:AT1006),$AO$1006:$BQ$1006,0)), HYPERLINK("#",""), HYPERLINK(CONCATENATE("#Metadata!", ADDRESS(INDEX($AJ$2:$AJ$1001,MATCH(ROWS($AH$2:AH311),$AH$2:$AH$1001,0),0), INDEX($AO$1004:$BQ$1004,1,MATCH(COLUMNS($AO$1006:AT1006),$AO$1006:$BQ$1006,0)))),"Fix")))</f>
        <v>#N/A</v>
      </c>
      <c r="H311" s="5" t="e">
        <f ca="1">IF(OR(INDEX($AI$2:$AI$1001,MATCH(ROWS($AH$2:AH311),$AH$2:$AH$1001,0),1)&gt;=100000,INDEX($AO$1005:$BQ$1005,1,MATCH(COLUMNS($AO$1006:AU1006),$AO$1006:$BQ$1006,0))&gt;=100000), " ",IF(INDEX($AO$2:$BQ$1001,MATCH(ROWS($AH$2:AH311),$AH$2:$AH$1001,0),MATCH(COLUMNS($AO$1006:AU1006),$AO$1006:$BQ$1006,0)), HYPERLINK("#",""), HYPERLINK(CONCATENATE("#Metadata!", ADDRESS(INDEX($AJ$2:$AJ$1001,MATCH(ROWS($AH$2:AH311),$AH$2:$AH$1001,0),0), INDEX($AO$1004:$BQ$1004,1,MATCH(COLUMNS($AO$1006:AU1006),$AO$1006:$BQ$1006,0)))),"Fix")))</f>
        <v>#N/A</v>
      </c>
      <c r="I311" s="5" t="e">
        <f ca="1">IF(OR(INDEX($AI$2:$AI$1001,MATCH(ROWS($AH$2:AH311),$AH$2:$AH$1001,0),1)&gt;=100000,INDEX($AO$1005:$BQ$1005,1,MATCH(COLUMNS($AO$1006:AV1006),$AO$1006:$BQ$1006,0))&gt;=100000), " ",IF(INDEX($AO$2:$BQ$1001,MATCH(ROWS($AH$2:AH311),$AH$2:$AH$1001,0),MATCH(COLUMNS($AO$1006:AV1006),$AO$1006:$BQ$1006,0)), HYPERLINK("#",""), HYPERLINK(CONCATENATE("#Metadata!", ADDRESS(INDEX($AJ$2:$AJ$1001,MATCH(ROWS($AH$2:AH311),$AH$2:$AH$1001,0),0), INDEX($AO$1004:$BQ$1004,1,MATCH(COLUMNS($AO$1006:AV1006),$AO$1006:$BQ$1006,0)))),"Fix")))</f>
        <v>#N/A</v>
      </c>
      <c r="J311" s="5" t="e">
        <f ca="1">IF(OR(INDEX($AI$2:$AI$1001,MATCH(ROWS($AH$2:AH311),$AH$2:$AH$1001,0),1)&gt;=100000,INDEX($AO$1005:$BQ$1005,1,MATCH(COLUMNS($AO$1006:AW1006),$AO$1006:$BQ$1006,0))&gt;=100000), " ",IF(INDEX($AO$2:$BQ$1001,MATCH(ROWS($AH$2:AH311),$AH$2:$AH$1001,0),MATCH(COLUMNS($AO$1006:AW1006),$AO$1006:$BQ$1006,0)), HYPERLINK("#",""), HYPERLINK(CONCATENATE("#Metadata!", ADDRESS(INDEX($AJ$2:$AJ$1001,MATCH(ROWS($AH$2:AH311),$AH$2:$AH$1001,0),0), INDEX($AO$1004:$BQ$1004,1,MATCH(COLUMNS($AO$1006:AW1006),$AO$1006:$BQ$1006,0)))),"Fix")))</f>
        <v>#N/A</v>
      </c>
      <c r="K311" s="5" t="e">
        <f ca="1">IF(OR(INDEX($AI$2:$AI$1001,MATCH(ROWS($AH$2:AH311),$AH$2:$AH$1001,0),1)&gt;=100000,INDEX($AO$1005:$BQ$1005,1,MATCH(COLUMNS($AO$1006:AX1006),$AO$1006:$BQ$1006,0))&gt;=100000), " ",IF(INDEX($AO$2:$BQ$1001,MATCH(ROWS($AH$2:AH311),$AH$2:$AH$1001,0),MATCH(COLUMNS($AO$1006:AX1006),$AO$1006:$BQ$1006,0)), HYPERLINK("#",""), HYPERLINK(CONCATENATE("#Metadata!", ADDRESS(INDEX($AJ$2:$AJ$1001,MATCH(ROWS($AH$2:AH311),$AH$2:$AH$1001,0),0), INDEX($AO$1004:$BQ$1004,1,MATCH(COLUMNS($AO$1006:AX1006),$AO$1006:$BQ$1006,0)))),"Fix")))</f>
        <v>#N/A</v>
      </c>
      <c r="L311" s="5" t="e">
        <f ca="1">IF(OR(INDEX($AI$2:$AI$1001,MATCH(ROWS($AH$2:AH311),$AH$2:$AH$1001,0),1)&gt;=100000,INDEX($AO$1005:$BQ$1005,1,MATCH(COLUMNS($AO$1006:AY1006),$AO$1006:$BQ$1006,0))&gt;=100000), " ",IF(INDEX($AO$2:$BQ$1001,MATCH(ROWS($AH$2:AH311),$AH$2:$AH$1001,0),MATCH(COLUMNS($AO$1006:AY1006),$AO$1006:$BQ$1006,0)), HYPERLINK("#",""), HYPERLINK(CONCATENATE("#Metadata!", ADDRESS(INDEX($AJ$2:$AJ$1001,MATCH(ROWS($AH$2:AH311),$AH$2:$AH$1001,0),0), INDEX($AO$1004:$BQ$1004,1,MATCH(COLUMNS($AO$1006:AY1006),$AO$1006:$BQ$1006,0)))),"Fix")))</f>
        <v>#N/A</v>
      </c>
      <c r="M311" s="5" t="e">
        <f ca="1">IF(OR(INDEX($AI$2:$AI$1001,MATCH(ROWS($AH$2:AH311),$AH$2:$AH$1001,0),1)&gt;=100000,INDEX($AO$1005:$BQ$1005,1,MATCH(COLUMNS($AO$1006:AZ1006),$AO$1006:$BQ$1006,0))&gt;=100000), " ",IF(INDEX($AO$2:$BQ$1001,MATCH(ROWS($AH$2:AH311),$AH$2:$AH$1001,0),MATCH(COLUMNS($AO$1006:AZ1006),$AO$1006:$BQ$1006,0)), HYPERLINK("#",""), HYPERLINK(CONCATENATE("#Metadata!", ADDRESS(INDEX($AJ$2:$AJ$1001,MATCH(ROWS($AH$2:AH311),$AH$2:$AH$1001,0),0), INDEX($AO$1004:$BQ$1004,1,MATCH(COLUMNS($AO$1006:AZ1006),$AO$1006:$BQ$1006,0)))),"Fix")))</f>
        <v>#N/A</v>
      </c>
      <c r="N311" s="5" t="e">
        <f ca="1">IF(OR(INDEX($AI$2:$AI$1001,MATCH(ROWS($AH$2:AH311),$AH$2:$AH$1001,0),1)&gt;=100000,INDEX($AO$1005:$BQ$1005,1,MATCH(COLUMNS($AO$1006:BA1006),$AO$1006:$BQ$1006,0))&gt;=100000), " ",IF(INDEX($AO$2:$BQ$1001,MATCH(ROWS($AH$2:AH311),$AH$2:$AH$1001,0),MATCH(COLUMNS($AO$1006:BA1006),$AO$1006:$BQ$1006,0)), HYPERLINK("#",""), HYPERLINK(CONCATENATE("#Metadata!", ADDRESS(INDEX($AJ$2:$AJ$1001,MATCH(ROWS($AH$2:AH311),$AH$2:$AH$1001,0),0), INDEX($AO$1004:$BQ$1004,1,MATCH(COLUMNS($AO$1006:BA1006),$AO$1006:$BQ$1006,0)))),"Fix")))</f>
        <v>#N/A</v>
      </c>
      <c r="O311" s="5" t="e">
        <f ca="1">IF(OR(INDEX($AI$2:$AI$1001,MATCH(ROWS($AH$2:AH311),$AH$2:$AH$1001,0),1)&gt;=100000,INDEX($AO$1005:$BQ$1005,1,MATCH(COLUMNS($AO$1006:BB1006),$AO$1006:$BQ$1006,0))&gt;=100000), " ",IF(INDEX($AO$2:$BQ$1001,MATCH(ROWS($AH$2:AH311),$AH$2:$AH$1001,0),MATCH(COLUMNS($AO$1006:BB1006),$AO$1006:$BQ$1006,0)), HYPERLINK("#",""), HYPERLINK(CONCATENATE("#Metadata!", ADDRESS(INDEX($AJ$2:$AJ$1001,MATCH(ROWS($AH$2:AH311),$AH$2:$AH$1001,0),0), INDEX($AO$1004:$BQ$1004,1,MATCH(COLUMNS($AO$1006:BB1006),$AO$1006:$BQ$1006,0)))),"Fix")))</f>
        <v>#N/A</v>
      </c>
      <c r="P311" s="5" t="e">
        <f ca="1">IF(OR(INDEX($AI$2:$AI$1001,MATCH(ROWS($AH$2:AH311),$AH$2:$AH$1001,0),1)&gt;=100000,INDEX($AO$1005:$BQ$1005,1,MATCH(COLUMNS($AO$1006:BC1006),$AO$1006:$BQ$1006,0))&gt;=100000), " ",IF(INDEX($AO$2:$BQ$1001,MATCH(ROWS($AH$2:AH311),$AH$2:$AH$1001,0),MATCH(COLUMNS($AO$1006:BC1006),$AO$1006:$BQ$1006,0)), HYPERLINK("#",""), HYPERLINK(CONCATENATE("#Metadata!", ADDRESS(INDEX($AJ$2:$AJ$1001,MATCH(ROWS($AH$2:AH311),$AH$2:$AH$1001,0),0), INDEX($AO$1004:$BQ$1004,1,MATCH(COLUMNS($AO$1006:BC1006),$AO$1006:$BQ$1006,0)))),"Fix")))</f>
        <v>#N/A</v>
      </c>
      <c r="Q311" s="5" t="e">
        <f ca="1">IF(OR(INDEX($AI$2:$AI$1001,MATCH(ROWS($AH$2:AH311),$AH$2:$AH$1001,0),1)&gt;=100000,INDEX($AO$1005:$BQ$1005,1,MATCH(COLUMNS($AO$1006:BD1006),$AO$1006:$BQ$1006,0))&gt;=100000), " ",IF(INDEX($AO$2:$BQ$1001,MATCH(ROWS($AH$2:AH311),$AH$2:$AH$1001,0),MATCH(COLUMNS($AO$1006:BD1006),$AO$1006:$BQ$1006,0)), HYPERLINK("#",""), HYPERLINK(CONCATENATE("#Metadata!", ADDRESS(INDEX($AJ$2:$AJ$1001,MATCH(ROWS($AH$2:AH311),$AH$2:$AH$1001,0),0), INDEX($AO$1004:$BQ$1004,1,MATCH(COLUMNS($AO$1006:BD1006),$AO$1006:$BQ$1006,0)))),"Fix")))</f>
        <v>#N/A</v>
      </c>
      <c r="R311" s="5" t="e">
        <f ca="1">IF(OR(INDEX($AI$2:$AI$1001,MATCH(ROWS($AH$2:AH311),$AH$2:$AH$1001,0),1)&gt;=100000,INDEX($AO$1005:$BQ$1005,1,MATCH(COLUMNS($AO$1006:BE1006),$AO$1006:$BQ$1006,0))&gt;=100000), " ",IF(INDEX($AO$2:$BQ$1001,MATCH(ROWS($AH$2:AH311),$AH$2:$AH$1001,0),MATCH(COLUMNS($AO$1006:BE1006),$AO$1006:$BQ$1006,0)), HYPERLINK("#",""), HYPERLINK(CONCATENATE("#Metadata!", ADDRESS(INDEX($AJ$2:$AJ$1001,MATCH(ROWS($AH$2:AH311),$AH$2:$AH$1001,0),0), INDEX($AO$1004:$BQ$1004,1,MATCH(COLUMNS($AO$1006:BE1006),$AO$1006:$BQ$1006,0)))),"Fix")))</f>
        <v>#N/A</v>
      </c>
      <c r="S311" s="5" t="e">
        <f ca="1">IF(OR(INDEX($AI$2:$AI$1001,MATCH(ROWS($AH$2:AH311),$AH$2:$AH$1001,0),1)&gt;=100000,INDEX($AO$1005:$BQ$1005,1,MATCH(COLUMNS($AO$1006:BF1006),$AO$1006:$BQ$1006,0))&gt;=100000), " ",IF(INDEX($AO$2:$BQ$1001,MATCH(ROWS($AH$2:AH311),$AH$2:$AH$1001,0),MATCH(COLUMNS($AO$1006:BF1006),$AO$1006:$BQ$1006,0)), HYPERLINK("#",""), HYPERLINK(CONCATENATE("#Metadata!", ADDRESS(INDEX($AJ$2:$AJ$1001,MATCH(ROWS($AH$2:AH311),$AH$2:$AH$1001,0),0), INDEX($AO$1004:$BQ$1004,1,MATCH(COLUMNS($AO$1006:BF1006),$AO$1006:$BQ$1006,0)))),"Fix")))</f>
        <v>#N/A</v>
      </c>
      <c r="T311" s="5" t="e">
        <f ca="1">IF(OR(INDEX($AI$2:$AI$1001,MATCH(ROWS($AH$2:AH311),$AH$2:$AH$1001,0),1)&gt;=100000,INDEX($AO$1005:$BQ$1005,1,MATCH(COLUMNS($AO$1006:BG1006),$AO$1006:$BQ$1006,0))&gt;=100000), " ",IF(INDEX($AO$2:$BQ$1001,MATCH(ROWS($AH$2:AH311),$AH$2:$AH$1001,0),MATCH(COLUMNS($AO$1006:BG1006),$AO$1006:$BQ$1006,0)), HYPERLINK("#",""), HYPERLINK(CONCATENATE("#Metadata!", ADDRESS(INDEX($AJ$2:$AJ$1001,MATCH(ROWS($AH$2:AH311),$AH$2:$AH$1001,0),0), INDEX($AO$1004:$BQ$1004,1,MATCH(COLUMNS($AO$1006:BG1006),$AO$1006:$BQ$1006,0)))),"Fix")))</f>
        <v>#N/A</v>
      </c>
      <c r="U311" s="5" t="e">
        <f ca="1">IF(OR(INDEX($AI$2:$AI$1001,MATCH(ROWS($AH$2:AH311),$AH$2:$AH$1001,0),1)&gt;=100000,INDEX($AO$1005:$BQ$1005,1,MATCH(COLUMNS($AO$1006:BH1006),$AO$1006:$BQ$1006,0))&gt;=100000), " ",IF(INDEX($AO$2:$BQ$1001,MATCH(ROWS($AH$2:AH311),$AH$2:$AH$1001,0),MATCH(COLUMNS($AO$1006:BH1006),$AO$1006:$BQ$1006,0)), HYPERLINK("#",""), HYPERLINK(CONCATENATE("#Metadata!", ADDRESS(INDEX($AJ$2:$AJ$1001,MATCH(ROWS($AH$2:AH311),$AH$2:$AH$1001,0),0), INDEX($AO$1004:$BQ$1004,1,MATCH(COLUMNS($AO$1006:BH1006),$AO$1006:$BQ$1006,0)))),"Fix")))</f>
        <v>#N/A</v>
      </c>
      <c r="V311" s="5" t="e">
        <f ca="1">IF(OR(INDEX($AI$2:$AI$1001,MATCH(ROWS($AH$2:AH311),$AH$2:$AH$1001,0),1)&gt;=100000,INDEX($AO$1005:$BQ$1005,1,MATCH(COLUMNS($AO$1006:BI1006),$AO$1006:$BQ$1006,0))&gt;=100000), " ",IF(INDEX($AO$2:$BQ$1001,MATCH(ROWS($AH$2:AH311),$AH$2:$AH$1001,0),MATCH(COLUMNS($AO$1006:BI1006),$AO$1006:$BQ$1006,0)), HYPERLINK("#",""), HYPERLINK(CONCATENATE("#Metadata!", ADDRESS(INDEX($AJ$2:$AJ$1001,MATCH(ROWS($AH$2:AH311),$AH$2:$AH$1001,0),0), INDEX($AO$1004:$BQ$1004,1,MATCH(COLUMNS($AO$1006:BI1006),$AO$1006:$BQ$1006,0)))),"Fix")))</f>
        <v>#N/A</v>
      </c>
      <c r="W311" s="5" t="e">
        <f ca="1">IF(OR(INDEX($AI$2:$AI$1001,MATCH(ROWS($AH$2:AH311),$AH$2:$AH$1001,0),1)&gt;=100000,INDEX($AO$1005:$BQ$1005,1,MATCH(COLUMNS($AO$1006:BJ1006),$AO$1006:$BQ$1006,0))&gt;=100000), " ",IF(INDEX($AO$2:$BQ$1001,MATCH(ROWS($AH$2:AH311),$AH$2:$AH$1001,0),MATCH(COLUMNS($AO$1006:BJ1006),$AO$1006:$BQ$1006,0)), HYPERLINK("#",""), HYPERLINK(CONCATENATE("#Metadata!", ADDRESS(INDEX($AJ$2:$AJ$1001,MATCH(ROWS($AH$2:AH311),$AH$2:$AH$1001,0),0), INDEX($AO$1004:$BQ$1004,1,MATCH(COLUMNS($AO$1006:BJ1006),$AO$1006:$BQ$1006,0)))),"Fix")))</f>
        <v>#N/A</v>
      </c>
      <c r="X311" s="5" t="e">
        <f ca="1">IF(OR(INDEX($AI$2:$AI$1001,MATCH(ROWS($AH$2:AH311),$AH$2:$AH$1001,0),1)&gt;=100000,INDEX($AO$1005:$BQ$1005,1,MATCH(COLUMNS($AO$1006:BK1006),$AO$1006:$BQ$1006,0))&gt;=100000), " ",IF(INDEX($AO$2:$BQ$1001,MATCH(ROWS($AH$2:AH311),$AH$2:$AH$1001,0),MATCH(COLUMNS($AO$1006:BK1006),$AO$1006:$BQ$1006,0)), HYPERLINK("#",""), HYPERLINK(CONCATENATE("#Metadata!", ADDRESS(INDEX($AJ$2:$AJ$1001,MATCH(ROWS($AH$2:AH311),$AH$2:$AH$1001,0),0), INDEX($AO$1004:$BQ$1004,1,MATCH(COLUMNS($AO$1006:BK1006),$AO$1006:$BQ$1006,0)))),"Fix")))</f>
        <v>#N/A</v>
      </c>
      <c r="Y311" s="5" t="e">
        <f ca="1">IF(OR(INDEX($AI$2:$AI$1001,MATCH(ROWS($AH$2:AH311),$AH$2:$AH$1001,0),1)&gt;=100000,INDEX($AO$1005:$BQ$1005,1,MATCH(COLUMNS($AO$1006:BL1006),$AO$1006:$BQ$1006,0))&gt;=100000), " ",IF(INDEX($AO$2:$BQ$1001,MATCH(ROWS($AH$2:AH311),$AH$2:$AH$1001,0),MATCH(COLUMNS($AO$1006:BL1006),$AO$1006:$BQ$1006,0)), HYPERLINK("#",""), HYPERLINK(CONCATENATE("#Metadata!", ADDRESS(INDEX($AJ$2:$AJ$1001,MATCH(ROWS($AH$2:AH311),$AH$2:$AH$1001,0),0), INDEX($AO$1004:$BQ$1004,1,MATCH(COLUMNS($AO$1006:BL1006),$AO$1006:$BQ$1006,0)))),"Fix")))</f>
        <v>#N/A</v>
      </c>
      <c r="Z311" s="5" t="e">
        <f ca="1">IF(OR(INDEX($AI$2:$AI$1001,MATCH(ROWS($AH$2:AH311),$AH$2:$AH$1001,0),1)&gt;=100000,INDEX($AO$1005:$BQ$1005,1,MATCH(COLUMNS($AO$1006:BM1006),$AO$1006:$BQ$1006,0))&gt;=100000), " ",IF(INDEX($AO$2:$BQ$1001,MATCH(ROWS($AH$2:AH311),$AH$2:$AH$1001,0),MATCH(COLUMNS($AO$1006:BM1006),$AO$1006:$BQ$1006,0)), HYPERLINK("#",""), HYPERLINK(CONCATENATE("#Metadata!", ADDRESS(INDEX($AJ$2:$AJ$1001,MATCH(ROWS($AH$2:AH311),$AH$2:$AH$1001,0),0), INDEX($AO$1004:$BQ$1004,1,MATCH(COLUMNS($AO$1006:BM1006),$AO$1006:$BQ$1006,0)))),"Fix")))</f>
        <v>#N/A</v>
      </c>
      <c r="AA311" s="5" t="e">
        <f ca="1">IF(OR(INDEX($AI$2:$AI$1001,MATCH(ROWS($AH$2:AH311),$AH$2:$AH$1001,0),1)&gt;=100000,INDEX($AO$1005:$BQ$1005,1,MATCH(COLUMNS($AO$1006:BN1006),$AO$1006:$BQ$1006,0))&gt;=100000), " ",IF(INDEX($AO$2:$BQ$1001,MATCH(ROWS($AH$2:AH311),$AH$2:$AH$1001,0),MATCH(COLUMNS($AO$1006:BN1006),$AO$1006:$BQ$1006,0)), HYPERLINK("#",""), HYPERLINK(CONCATENATE("#Metadata!", ADDRESS(INDEX($AJ$2:$AJ$1001,MATCH(ROWS($AH$2:AH311),$AH$2:$AH$1001,0),0), INDEX($AO$1004:$BQ$1004,1,MATCH(COLUMNS($AO$1006:BN1006),$AO$1006:$BQ$1006,0)))),"Fix")))</f>
        <v>#N/A</v>
      </c>
      <c r="AB311" s="5" t="e">
        <f ca="1">IF(OR(INDEX($AI$2:$AI$1001,MATCH(ROWS($AH$2:AH311),$AH$2:$AH$1001,0),1)&gt;=100000,INDEX($AO$1005:$BQ$1005,1,MATCH(COLUMNS($AO$1006:BO1006),$AO$1006:$BQ$1006,0))&gt;=100000), " ",IF(INDEX($AO$2:$BQ$1001,MATCH(ROWS($AH$2:AH311),$AH$2:$AH$1001,0),MATCH(COLUMNS($AO$1006:BO1006),$AO$1006:$BQ$1006,0)), HYPERLINK("#",""), HYPERLINK(CONCATENATE("#Metadata!", ADDRESS(INDEX($AJ$2:$AJ$1001,MATCH(ROWS($AH$2:AH311),$AH$2:$AH$1001,0),0), INDEX($AO$1004:$BQ$1004,1,MATCH(COLUMNS($AO$1006:BO1006),$AO$1006:$BQ$1006,0)))),"Fix")))</f>
        <v>#N/A</v>
      </c>
      <c r="AC311" s="5" t="e">
        <f ca="1">IF(OR(INDEX($AI$2:$AI$1001,MATCH(ROWS($AH$2:AH311),$AH$2:$AH$1001,0),1)&gt;=100000,INDEX($AO$1005:$BQ$1005,1,MATCH(COLUMNS($AO$1006:BP1006),$AO$1006:$BQ$1006,0))&gt;=100000), " ",IF(INDEX($AO$2:$BQ$1001,MATCH(ROWS($AH$2:AH311),$AH$2:$AH$1001,0),MATCH(COLUMNS($AO$1006:BP1006),$AO$1006:$BQ$1006,0)), HYPERLINK("#",""), HYPERLINK(CONCATENATE("#Metadata!", ADDRESS(INDEX($AJ$2:$AJ$1001,MATCH(ROWS($AH$2:AH311),$AH$2:$AH$1001,0),0), INDEX($AO$1004:$BQ$1004,1,MATCH(COLUMNS($AO$1006:BP1006),$AO$1006:$BQ$1006,0)))),"Fix")))</f>
        <v>#N/A</v>
      </c>
      <c r="AD311" s="5" t="e">
        <f ca="1">IF(OR(INDEX($AI$2:$AI$1001,MATCH(ROWS($AH$2:AH311),$AH$2:$AH$1001,0),1)&gt;=100000,INDEX($AO$1005:$BQ$1005,1,MATCH(COLUMNS($AO$1006:BQ1006),$AO$1006:$BQ$1006,0))&gt;=100000), " ",IF(INDEX($AO$2:$BQ$1001,MATCH(ROWS($AH$2:AH311),$AH$2:$AH$1001,0),MATCH(COLUMNS($AO$1006:BQ1006),$AO$1006:$BQ$1006,0)), HYPERLINK("#",""), HYPERLINK(CONCATENATE("#Metadata!", ADDRESS(INDEX($AJ$2:$AJ$1001,MATCH(ROWS($AH$2:AH311),$AH$2:$AH$1001,0),0), INDEX($AO$1004:$BQ$1004,1,MATCH(COLUMNS($AO$1006:BQ1006),$AO$1006:$BQ$1006,0)))),"Fix")))</f>
        <v>#REF!</v>
      </c>
      <c r="AH311">
        <f ca="1"/>
        <v>308</v>
      </c>
      <c r="AI311">
        <v>100311</v>
      </c>
      <c r="AJ311">
        <v>311</v>
      </c>
      <c r="AK311" t="b">
        <f t="shared" si="4"/>
        <v>1</v>
      </c>
      <c r="AL311" t="b">
        <f>COUNTBLANK(Metadata!B311:AD311)=COLUMNS(Metadata!B311:AD311)</f>
        <v>1</v>
      </c>
      <c r="AM311" t="str">
        <v/>
      </c>
      <c r="AO311" t="b">
        <f ca="1">AND(IF(Metadata!B311="",FALSE,TRUE),COUNTIF(Metadata!B:B, Metadata!B311) = 1,NOT(ISERROR(SUMPRODUCT(SEARCH(MID(Metadata!B311,ROW(INDIRECT("1:"&amp;LEN(Metadata!B311))), 1),"0123456789abcdefghijklmnopqrstuvwxyzABCDEFGHIJKLMNOPQRSTUVWXYZ.")))))</f>
        <v>0</v>
      </c>
      <c r="AP311" t="b">
        <f>IF(Metadata!C311="",FALSE,TRUE)</f>
        <v>0</v>
      </c>
      <c r="AQ311" t="b">
        <f>IF(Metadata!D311="",FALSE,TRUE)</f>
        <v>0</v>
      </c>
      <c r="AR311" t="b">
        <f ca="1">OR(AND(IF(Metadata!E311="",FALSE,TRUE),OR(EXACT(Metadata!E311,"not collected"),EXACT(Metadata!E311,"not provided"),EXACT(Metadata!E311,"restricted access"))),AND(IF(Metadata!E311="",FALSE,TRUE),AND(AND(IFERROR(INT(LEFT(Metadata!E311,4))&gt;1900,FALSE),IFERROR(INT(LEFT(Metadata!E311,4))&lt;=YEAR(NOW()),FALSE)), OR(MID(Metadata!E311,5,1)="", AND(AND(MID(Metadata!E311,5,1)="-",IFERROR(INT(MID(Metadata!E311,6,1))&gt;=0,FALSE),IFERROR(INT(MID(Metadata!E311,6,1))&lt;=1,FALSE),NOT(MID(Metadata!E311,7,1)=""),IFERROR(INT(MID(Metadata!E311,6,2))&gt;=1,FALSE),IFERROR(INT(MID(Metadata!E311,6,2))&lt;=12,FALSE)), OR(MID(Metadata!E311,8,1)="", AND(AND(MID(Metadata!E311,8,1)="-",IFERROR(INT(MID(Metadata!E311,9,1))&gt;=0,FALSE),IFERROR(INT(MID(Metadata!E311,9,1))&lt;=3,FALSE),NOT(MID(Metadata!E311,10,1)=""),IFERROR(INT(MID(Metadata!E311,9,2))&gt;=1,FALSE),IFERROR(INT(MID(Metadata!E311,9,2))&lt;=31,FALSE)), OR(MID(Metadata!E311,11,1)="", AND(AND(MID(Metadata!E311,11,1)=" ",IFERROR(INT(MID(Metadata!E311,12,1))&gt;=0,FALSE),IFERROR(INT(MID(Metadata!E311,12,1))&lt;=2,FALSE),NOT(MID(Metadata!E311,13,1)=""),IFERROR(INT(MID(Metadata!E311,12,2))&gt;=0,FALSE),IFERROR(INT(MID(Metadata!E311,12,2))&lt;=23,FALSE)), OR(MID(Metadata!E311,14,1)="", AND(AND(MID(Metadata!E311,14,1)=":",IFERROR(INT(MID(Metadata!E311,15,1))&gt;=0,FALSE),IFERROR(INT(MID(Metadata!E311,15,1))&lt;=5,FALSE),NOT(MID(Metadata!E311,16,1)=""),IFERROR(INT(MID(Metadata!E311,15,2))&gt;=0,FALSE),IFERROR(INT(MID(Metadata!E311,15,2))&lt;=59,FALSE)), OR(MID(Metadata!E311,17,1)="", AND(AND(MID(Metadata!E311,17,1)=":",IFERROR(INT(MID(Metadata!E311,18,1))&gt;=0,FALSE),IFERROR(INT(MID(Metadata!E311,18,1))&lt;=5,FALSE),NOT(MID(Metadata!E311,19,1)=""),IFERROR(INT(MID(Metadata!E311,18,2))&gt;=0,FALSE),IFERROR(INT(MID(Metadata!E311,18,2))&lt;=59,FALSE)), LEN(Metadata!E311)&lt;=19)))))))))))))</f>
        <v>0</v>
      </c>
      <c r="AS311" t="b">
        <f>IF(Metadata!F311="",FALSE,TRUE)</f>
        <v>0</v>
      </c>
      <c r="AT311" t="b">
        <f>OR(AND(IF(Metadata!G311="",FALSE,TRUE),OR(EXACT(Metadata!G311,"not collected"),EXACT(Metadata!G311,"not provided"))),AND(IF(Metadata!G311="",FALSE,TRUE),OR(EXACT(Metadata!G311,"TRUE"),EXACT(Metadata!G311,"FALSE"))))</f>
        <v>0</v>
      </c>
      <c r="AU311" t="b">
        <f>OR(AND(IF(Metadata!H311="",FALSE,TRUE),OR(EXACT(Metadata!H311,"not collected"),EXACT(Metadata!H311,"not provided"),EXACT(Metadata!H311,"restricted access"))),AND(IF(Metadata!H311="",FALSE,ISNUMBER(VALUE(Metadata!H311))),Metadata!H311&gt;=-413))</f>
        <v>0</v>
      </c>
      <c r="AV311" t="b">
        <f>AND(IF(Metadata!I311="",FALSE,TRUE),EXACT(Metadata!I311,"meters"))</f>
        <v>0</v>
      </c>
      <c r="AW311" t="b">
        <f>AND(IF(Metadata!J311="",FALSE,TRUE),EXACT(Metadata!J311,"free-living"))</f>
        <v>0</v>
      </c>
      <c r="AX311" t="b">
        <f>AND(IF(Metadata!K311="",FALSE,TRUE),OR(EXACT(Metadata!K311,"saline"),EXACT(Metadata!K311,"non-saline")))</f>
        <v>0</v>
      </c>
      <c r="AY311" t="b">
        <f>AND(IF(Metadata!L311="",FALSE,TRUE),OR(EXACT(Metadata!L311,"sub-surface (non-saline)"),EXACT(Metadata!L311,"surface (non-saline)"),EXACT(Metadata!L311,"water (non-saline)"),EXACT(Metadata!L311,"soil (non-saline)"),EXACT(Metadata!L311,"aerosol (non-saline)"),EXACT(Metadata!L311,"sediment (non-saline)"),EXACT(Metadata!L311,"surface (saline)"),EXACT(Metadata!L311,"water (saline)"),EXACT(Metadata!L311,"hypersaline (saline)"),EXACT(Metadata!L311,"aerosol (saline)"),EXACT(Metadata!L311,"sediment (saline)")))</f>
        <v>0</v>
      </c>
      <c r="AZ311" t="b">
        <f>IF(Metadata!M311="",FALSE,TRUE)</f>
        <v>0</v>
      </c>
      <c r="BA311" t="b">
        <f>IF(Metadata!N311="",FALSE,TRUE)</f>
        <v>0</v>
      </c>
      <c r="BB311" t="b">
        <f>IF(Metadata!O311="",FALSE,TRUE)</f>
        <v>0</v>
      </c>
      <c r="BC311" t="b">
        <f>AND(IF(Metadata!P311="",FALSE,TRUE),OR(EXACT(Metadata!P311,"air"),EXACT(Metadata!P311,"microbial mat/biofilm"),EXACT(Metadata!P311,"misc environment"),EXACT(Metadata!P311,"sediment"),EXACT(Metadata!P311,"soil"),EXACT(Metadata!P311,"wastewater/sludge"),EXACT(Metadata!P311,"water")))</f>
        <v>0</v>
      </c>
      <c r="BD311" t="b">
        <f>IF(Metadata!Q311="",FALSE,TRUE)</f>
        <v>0</v>
      </c>
      <c r="BE311" t="b">
        <f>IF(Metadata!R311="",FALSE,TRUE)</f>
        <v>0</v>
      </c>
      <c r="BF311" t="b">
        <f>OR(AND(IF(Metadata!S311="",FALSE,TRUE),OR(EXACT(Metadata!S311,"not collected"),EXACT(Metadata!S311,"not provided"),EXACT(Metadata!S311,"restricted access"))),AND(IF(Metadata!S311="",FALSE,ISNUMBER(VALUE(Metadata!S311))),Metadata!S311&gt;=-90,Metadata!S311&lt;=90))</f>
        <v>0</v>
      </c>
      <c r="BG311" t="b">
        <f>AND(IF(Metadata!T311="",FALSE,TRUE),EXACT(Metadata!T311,"Decimal degrees"))</f>
        <v>0</v>
      </c>
      <c r="BH311" t="b">
        <f>OR(AND(IF(Metadata!U311="",FALSE,TRUE),OR(EXACT(Metadata!U311,"not applicable"),EXACT(Metadata!U311,"not collected"))),IF(Metadata!U311="",FALSE,TRUE))</f>
        <v>0</v>
      </c>
      <c r="BI311" t="b">
        <f>OR(AND(IF(Metadata!V311="",FALSE,TRUE),OR(EXACT(Metadata!V311,"not collected"),EXACT(Metadata!V311,"not provided"),EXACT(Metadata!V311,"restricted access"))),AND(IF(Metadata!V311="",FALSE,ISNUMBER(VALUE(Metadata!V311))),Metadata!V311&gt;=-180,Metadata!V311&lt;=180))</f>
        <v>0</v>
      </c>
      <c r="BJ311" t="b">
        <f>AND(IF(Metadata!W311="",FALSE,TRUE),EXACT(Metadata!W311,"Decimal degrees"))</f>
        <v>0</v>
      </c>
      <c r="BK311" t="b">
        <f>IF(Metadata!X311="",FALSE,TRUE)</f>
        <v>0</v>
      </c>
      <c r="BL311" t="b">
        <f>OR(AND(IF(Metadata!Y311="",FALSE,TRUE),OR(EXACT(Metadata!Y311,"not collected"),EXACT(Metadata!Y311,"not provided"),EXACT(Metadata!Y311,"restricted access"))),AND(IF(Metadata!Y311="",FALSE,TRUE),OR(EXACT(Metadata!Y311,"TRUE"),EXACT(Metadata!Y311,"FALSE"))))</f>
        <v>0</v>
      </c>
      <c r="BM311" t="b">
        <f>OR(AND(IF(Metadata!Z311="",FALSE,TRUE),EXACT(Metadata!Z311,"not applicable")),AND(IF(Metadata!Z311="",FALSE,TRUE),OR(EXACT(Metadata!Z311,"beer"),EXACT(Metadata!Z311,"cheese"),EXACT(Metadata!Z311,"fresh water"),EXACT(Metadata!Z311,"marine sediment"),EXACT(Metadata!Z311,"sea water"),EXACT(Metadata!Z311,"sediment"),EXACT(Metadata!Z311,"soil"),EXACT(Metadata!Z311,"waste water"))))</f>
        <v>0</v>
      </c>
      <c r="BN311" t="b">
        <f>AND(IF(Metadata!AA311="",FALSE,TRUE),EXACT(Metadata!AA311,"metagenome"))</f>
        <v>0</v>
      </c>
      <c r="BO311" t="b">
        <f>AND(IF(Metadata!AB311="",FALSE,TRUE),EXACT(Metadata!AB311,"256318"))</f>
        <v>0</v>
      </c>
      <c r="BP311" t="b">
        <f>IF(Metadata!AC311="",FALSE,TRUE)</f>
        <v>0</v>
      </c>
      <c r="BQ311" t="b">
        <f>IF(Metadata!AD311="",FALSE,TRUE)</f>
        <v>0</v>
      </c>
    </row>
    <row r="312" spans="1:69" x14ac:dyDescent="0.2">
      <c r="A312" s="4" t="e">
        <f ca="1">IF(B312=" "," ",HYPERLINK(CONCATENATE("#metadata!",ADDRESS(INDEX($AJ$2:$AJ$1001,MATCH(ROWS($AH$2:AH312),$AH$2:$AH$1001,0),0),2)),INDEX($AM$2:$AM$1001,MATCH(ROWS($AH$2:AH312),$AH$2:$AH$1001,0),0)))</f>
        <v>#N/A</v>
      </c>
      <c r="B312" s="5" t="e">
        <f ca="1">IF(OR(INDEX($AI$2:$AI$1001,MATCH(ROWS($AH$2:AH312),$AH$2:$AH$1001,0),1)&gt;=100000,INDEX($AO$1005:$BQ$1005,1,MATCH(COLUMNS($AO$1006:AO1006),$AO$1006:$BQ$1006,0))&gt;=100000), " ",IF(INDEX($AO$2:$BQ$1001,MATCH(ROWS($AH$2:AH312),$AH$2:$AH$1001,0),MATCH(COLUMNS($AO$1006:AO1006),$AO$1006:$BQ$1006,0)), HYPERLINK("#",""), HYPERLINK(CONCATENATE("#Metadata!", ADDRESS(INDEX($AJ$2:$AJ$1001,MATCH(ROWS($AH$2:AH312),$AH$2:$AH$1001,0),0), INDEX($AO$1004:$BQ$1004,1,MATCH(COLUMNS($AO$1006:AO1006),$AO$1006:$BQ$1006,0)))),"Fix")))</f>
        <v>#N/A</v>
      </c>
      <c r="C312" s="5" t="e">
        <f ca="1">IF(OR(INDEX($AI$2:$AI$1001,MATCH(ROWS($AH$2:AH312),$AH$2:$AH$1001,0),1)&gt;=100000,INDEX($AO$1005:$BQ$1005,1,MATCH(COLUMNS($AO$1006:AP1006),$AO$1006:$BQ$1006,0))&gt;=100000), " ",IF(INDEX($AO$2:$BQ$1001,MATCH(ROWS($AH$2:AH312),$AH$2:$AH$1001,0),MATCH(COLUMNS($AO$1006:AP1006),$AO$1006:$BQ$1006,0)), HYPERLINK("#",""), HYPERLINK(CONCATENATE("#Metadata!", ADDRESS(INDEX($AJ$2:$AJ$1001,MATCH(ROWS($AH$2:AH312),$AH$2:$AH$1001,0),0), INDEX($AO$1004:$BQ$1004,1,MATCH(COLUMNS($AO$1006:AP1006),$AO$1006:$BQ$1006,0)))),"Fix")))</f>
        <v>#N/A</v>
      </c>
      <c r="D312" s="5" t="e">
        <f ca="1">IF(OR(INDEX($AI$2:$AI$1001,MATCH(ROWS($AH$2:AH312),$AH$2:$AH$1001,0),1)&gt;=100000,INDEX($AO$1005:$BQ$1005,1,MATCH(COLUMNS($AO$1006:AQ1006),$AO$1006:$BQ$1006,0))&gt;=100000), " ",IF(INDEX($AO$2:$BQ$1001,MATCH(ROWS($AH$2:AH312),$AH$2:$AH$1001,0),MATCH(COLUMNS($AO$1006:AQ1006),$AO$1006:$BQ$1006,0)), HYPERLINK("#",""), HYPERLINK(CONCATENATE("#Metadata!", ADDRESS(INDEX($AJ$2:$AJ$1001,MATCH(ROWS($AH$2:AH312),$AH$2:$AH$1001,0),0), INDEX($AO$1004:$BQ$1004,1,MATCH(COLUMNS($AO$1006:AQ1006),$AO$1006:$BQ$1006,0)))),"Fix")))</f>
        <v>#N/A</v>
      </c>
      <c r="E312" s="5" t="e">
        <f ca="1">IF(OR(INDEX($AI$2:$AI$1001,MATCH(ROWS($AH$2:AH312),$AH$2:$AH$1001,0),1)&gt;=100000,INDEX($AO$1005:$BQ$1005,1,MATCH(COLUMNS($AO$1006:AR1006),$AO$1006:$BQ$1006,0))&gt;=100000), " ",IF(INDEX($AO$2:$BQ$1001,MATCH(ROWS($AH$2:AH312),$AH$2:$AH$1001,0),MATCH(COLUMNS($AO$1006:AR1006),$AO$1006:$BQ$1006,0)), HYPERLINK("#",""), HYPERLINK(CONCATENATE("#Metadata!", ADDRESS(INDEX($AJ$2:$AJ$1001,MATCH(ROWS($AH$2:AH312),$AH$2:$AH$1001,0),0), INDEX($AO$1004:$BQ$1004,1,MATCH(COLUMNS($AO$1006:AR1006),$AO$1006:$BQ$1006,0)))),"Fix")))</f>
        <v>#N/A</v>
      </c>
      <c r="F312" s="5" t="e">
        <f ca="1">IF(OR(INDEX($AI$2:$AI$1001,MATCH(ROWS($AH$2:AH312),$AH$2:$AH$1001,0),1)&gt;=100000,INDEX($AO$1005:$BQ$1005,1,MATCH(COLUMNS($AO$1006:AS1006),$AO$1006:$BQ$1006,0))&gt;=100000), " ",IF(INDEX($AO$2:$BQ$1001,MATCH(ROWS($AH$2:AH312),$AH$2:$AH$1001,0),MATCH(COLUMNS($AO$1006:AS1006),$AO$1006:$BQ$1006,0)), HYPERLINK("#",""), HYPERLINK(CONCATENATE("#Metadata!", ADDRESS(INDEX($AJ$2:$AJ$1001,MATCH(ROWS($AH$2:AH312),$AH$2:$AH$1001,0),0), INDEX($AO$1004:$BQ$1004,1,MATCH(COLUMNS($AO$1006:AS1006),$AO$1006:$BQ$1006,0)))),"Fix")))</f>
        <v>#N/A</v>
      </c>
      <c r="G312" s="5" t="e">
        <f ca="1">IF(OR(INDEX($AI$2:$AI$1001,MATCH(ROWS($AH$2:AH312),$AH$2:$AH$1001,0),1)&gt;=100000,INDEX($AO$1005:$BQ$1005,1,MATCH(COLUMNS($AO$1006:AT1006),$AO$1006:$BQ$1006,0))&gt;=100000), " ",IF(INDEX($AO$2:$BQ$1001,MATCH(ROWS($AH$2:AH312),$AH$2:$AH$1001,0),MATCH(COLUMNS($AO$1006:AT1006),$AO$1006:$BQ$1006,0)), HYPERLINK("#",""), HYPERLINK(CONCATENATE("#Metadata!", ADDRESS(INDEX($AJ$2:$AJ$1001,MATCH(ROWS($AH$2:AH312),$AH$2:$AH$1001,0),0), INDEX($AO$1004:$BQ$1004,1,MATCH(COLUMNS($AO$1006:AT1006),$AO$1006:$BQ$1006,0)))),"Fix")))</f>
        <v>#N/A</v>
      </c>
      <c r="H312" s="5" t="e">
        <f ca="1">IF(OR(INDEX($AI$2:$AI$1001,MATCH(ROWS($AH$2:AH312),$AH$2:$AH$1001,0),1)&gt;=100000,INDEX($AO$1005:$BQ$1005,1,MATCH(COLUMNS($AO$1006:AU1006),$AO$1006:$BQ$1006,0))&gt;=100000), " ",IF(INDEX($AO$2:$BQ$1001,MATCH(ROWS($AH$2:AH312),$AH$2:$AH$1001,0),MATCH(COLUMNS($AO$1006:AU1006),$AO$1006:$BQ$1006,0)), HYPERLINK("#",""), HYPERLINK(CONCATENATE("#Metadata!", ADDRESS(INDEX($AJ$2:$AJ$1001,MATCH(ROWS($AH$2:AH312),$AH$2:$AH$1001,0),0), INDEX($AO$1004:$BQ$1004,1,MATCH(COLUMNS($AO$1006:AU1006),$AO$1006:$BQ$1006,0)))),"Fix")))</f>
        <v>#N/A</v>
      </c>
      <c r="I312" s="5" t="e">
        <f ca="1">IF(OR(INDEX($AI$2:$AI$1001,MATCH(ROWS($AH$2:AH312),$AH$2:$AH$1001,0),1)&gt;=100000,INDEX($AO$1005:$BQ$1005,1,MATCH(COLUMNS($AO$1006:AV1006),$AO$1006:$BQ$1006,0))&gt;=100000), " ",IF(INDEX($AO$2:$BQ$1001,MATCH(ROWS($AH$2:AH312),$AH$2:$AH$1001,0),MATCH(COLUMNS($AO$1006:AV1006),$AO$1006:$BQ$1006,0)), HYPERLINK("#",""), HYPERLINK(CONCATENATE("#Metadata!", ADDRESS(INDEX($AJ$2:$AJ$1001,MATCH(ROWS($AH$2:AH312),$AH$2:$AH$1001,0),0), INDEX($AO$1004:$BQ$1004,1,MATCH(COLUMNS($AO$1006:AV1006),$AO$1006:$BQ$1006,0)))),"Fix")))</f>
        <v>#N/A</v>
      </c>
      <c r="J312" s="5" t="e">
        <f ca="1">IF(OR(INDEX($AI$2:$AI$1001,MATCH(ROWS($AH$2:AH312),$AH$2:$AH$1001,0),1)&gt;=100000,INDEX($AO$1005:$BQ$1005,1,MATCH(COLUMNS($AO$1006:AW1006),$AO$1006:$BQ$1006,0))&gt;=100000), " ",IF(INDEX($AO$2:$BQ$1001,MATCH(ROWS($AH$2:AH312),$AH$2:$AH$1001,0),MATCH(COLUMNS($AO$1006:AW1006),$AO$1006:$BQ$1006,0)), HYPERLINK("#",""), HYPERLINK(CONCATENATE("#Metadata!", ADDRESS(INDEX($AJ$2:$AJ$1001,MATCH(ROWS($AH$2:AH312),$AH$2:$AH$1001,0),0), INDEX($AO$1004:$BQ$1004,1,MATCH(COLUMNS($AO$1006:AW1006),$AO$1006:$BQ$1006,0)))),"Fix")))</f>
        <v>#N/A</v>
      </c>
      <c r="K312" s="5" t="e">
        <f ca="1">IF(OR(INDEX($AI$2:$AI$1001,MATCH(ROWS($AH$2:AH312),$AH$2:$AH$1001,0),1)&gt;=100000,INDEX($AO$1005:$BQ$1005,1,MATCH(COLUMNS($AO$1006:AX1006),$AO$1006:$BQ$1006,0))&gt;=100000), " ",IF(INDEX($AO$2:$BQ$1001,MATCH(ROWS($AH$2:AH312),$AH$2:$AH$1001,0),MATCH(COLUMNS($AO$1006:AX1006),$AO$1006:$BQ$1006,0)), HYPERLINK("#",""), HYPERLINK(CONCATENATE("#Metadata!", ADDRESS(INDEX($AJ$2:$AJ$1001,MATCH(ROWS($AH$2:AH312),$AH$2:$AH$1001,0),0), INDEX($AO$1004:$BQ$1004,1,MATCH(COLUMNS($AO$1006:AX1006),$AO$1006:$BQ$1006,0)))),"Fix")))</f>
        <v>#N/A</v>
      </c>
      <c r="L312" s="5" t="e">
        <f ca="1">IF(OR(INDEX($AI$2:$AI$1001,MATCH(ROWS($AH$2:AH312),$AH$2:$AH$1001,0),1)&gt;=100000,INDEX($AO$1005:$BQ$1005,1,MATCH(COLUMNS($AO$1006:AY1006),$AO$1006:$BQ$1006,0))&gt;=100000), " ",IF(INDEX($AO$2:$BQ$1001,MATCH(ROWS($AH$2:AH312),$AH$2:$AH$1001,0),MATCH(COLUMNS($AO$1006:AY1006),$AO$1006:$BQ$1006,0)), HYPERLINK("#",""), HYPERLINK(CONCATENATE("#Metadata!", ADDRESS(INDEX($AJ$2:$AJ$1001,MATCH(ROWS($AH$2:AH312),$AH$2:$AH$1001,0),0), INDEX($AO$1004:$BQ$1004,1,MATCH(COLUMNS($AO$1006:AY1006),$AO$1006:$BQ$1006,0)))),"Fix")))</f>
        <v>#N/A</v>
      </c>
      <c r="M312" s="5" t="e">
        <f ca="1">IF(OR(INDEX($AI$2:$AI$1001,MATCH(ROWS($AH$2:AH312),$AH$2:$AH$1001,0),1)&gt;=100000,INDEX($AO$1005:$BQ$1005,1,MATCH(COLUMNS($AO$1006:AZ1006),$AO$1006:$BQ$1006,0))&gt;=100000), " ",IF(INDEX($AO$2:$BQ$1001,MATCH(ROWS($AH$2:AH312),$AH$2:$AH$1001,0),MATCH(COLUMNS($AO$1006:AZ1006),$AO$1006:$BQ$1006,0)), HYPERLINK("#",""), HYPERLINK(CONCATENATE("#Metadata!", ADDRESS(INDEX($AJ$2:$AJ$1001,MATCH(ROWS($AH$2:AH312),$AH$2:$AH$1001,0),0), INDEX($AO$1004:$BQ$1004,1,MATCH(COLUMNS($AO$1006:AZ1006),$AO$1006:$BQ$1006,0)))),"Fix")))</f>
        <v>#N/A</v>
      </c>
      <c r="N312" s="5" t="e">
        <f ca="1">IF(OR(INDEX($AI$2:$AI$1001,MATCH(ROWS($AH$2:AH312),$AH$2:$AH$1001,0),1)&gt;=100000,INDEX($AO$1005:$BQ$1005,1,MATCH(COLUMNS($AO$1006:BA1006),$AO$1006:$BQ$1006,0))&gt;=100000), " ",IF(INDEX($AO$2:$BQ$1001,MATCH(ROWS($AH$2:AH312),$AH$2:$AH$1001,0),MATCH(COLUMNS($AO$1006:BA1006),$AO$1006:$BQ$1006,0)), HYPERLINK("#",""), HYPERLINK(CONCATENATE("#Metadata!", ADDRESS(INDEX($AJ$2:$AJ$1001,MATCH(ROWS($AH$2:AH312),$AH$2:$AH$1001,0),0), INDEX($AO$1004:$BQ$1004,1,MATCH(COLUMNS($AO$1006:BA1006),$AO$1006:$BQ$1006,0)))),"Fix")))</f>
        <v>#N/A</v>
      </c>
      <c r="O312" s="5" t="e">
        <f ca="1">IF(OR(INDEX($AI$2:$AI$1001,MATCH(ROWS($AH$2:AH312),$AH$2:$AH$1001,0),1)&gt;=100000,INDEX($AO$1005:$BQ$1005,1,MATCH(COLUMNS($AO$1006:BB1006),$AO$1006:$BQ$1006,0))&gt;=100000), " ",IF(INDEX($AO$2:$BQ$1001,MATCH(ROWS($AH$2:AH312),$AH$2:$AH$1001,0),MATCH(COLUMNS($AO$1006:BB1006),$AO$1006:$BQ$1006,0)), HYPERLINK("#",""), HYPERLINK(CONCATENATE("#Metadata!", ADDRESS(INDEX($AJ$2:$AJ$1001,MATCH(ROWS($AH$2:AH312),$AH$2:$AH$1001,0),0), INDEX($AO$1004:$BQ$1004,1,MATCH(COLUMNS($AO$1006:BB1006),$AO$1006:$BQ$1006,0)))),"Fix")))</f>
        <v>#N/A</v>
      </c>
      <c r="P312" s="5" t="e">
        <f ca="1">IF(OR(INDEX($AI$2:$AI$1001,MATCH(ROWS($AH$2:AH312),$AH$2:$AH$1001,0),1)&gt;=100000,INDEX($AO$1005:$BQ$1005,1,MATCH(COLUMNS($AO$1006:BC1006),$AO$1006:$BQ$1006,0))&gt;=100000), " ",IF(INDEX($AO$2:$BQ$1001,MATCH(ROWS($AH$2:AH312),$AH$2:$AH$1001,0),MATCH(COLUMNS($AO$1006:BC1006),$AO$1006:$BQ$1006,0)), HYPERLINK("#",""), HYPERLINK(CONCATENATE("#Metadata!", ADDRESS(INDEX($AJ$2:$AJ$1001,MATCH(ROWS($AH$2:AH312),$AH$2:$AH$1001,0),0), INDEX($AO$1004:$BQ$1004,1,MATCH(COLUMNS($AO$1006:BC1006),$AO$1006:$BQ$1006,0)))),"Fix")))</f>
        <v>#N/A</v>
      </c>
      <c r="Q312" s="5" t="e">
        <f ca="1">IF(OR(INDEX($AI$2:$AI$1001,MATCH(ROWS($AH$2:AH312),$AH$2:$AH$1001,0),1)&gt;=100000,INDEX($AO$1005:$BQ$1005,1,MATCH(COLUMNS($AO$1006:BD1006),$AO$1006:$BQ$1006,0))&gt;=100000), " ",IF(INDEX($AO$2:$BQ$1001,MATCH(ROWS($AH$2:AH312),$AH$2:$AH$1001,0),MATCH(COLUMNS($AO$1006:BD1006),$AO$1006:$BQ$1006,0)), HYPERLINK("#",""), HYPERLINK(CONCATENATE("#Metadata!", ADDRESS(INDEX($AJ$2:$AJ$1001,MATCH(ROWS($AH$2:AH312),$AH$2:$AH$1001,0),0), INDEX($AO$1004:$BQ$1004,1,MATCH(COLUMNS($AO$1006:BD1006),$AO$1006:$BQ$1006,0)))),"Fix")))</f>
        <v>#N/A</v>
      </c>
      <c r="R312" s="5" t="e">
        <f ca="1">IF(OR(INDEX($AI$2:$AI$1001,MATCH(ROWS($AH$2:AH312),$AH$2:$AH$1001,0),1)&gt;=100000,INDEX($AO$1005:$BQ$1005,1,MATCH(COLUMNS($AO$1006:BE1006),$AO$1006:$BQ$1006,0))&gt;=100000), " ",IF(INDEX($AO$2:$BQ$1001,MATCH(ROWS($AH$2:AH312),$AH$2:$AH$1001,0),MATCH(COLUMNS($AO$1006:BE1006),$AO$1006:$BQ$1006,0)), HYPERLINK("#",""), HYPERLINK(CONCATENATE("#Metadata!", ADDRESS(INDEX($AJ$2:$AJ$1001,MATCH(ROWS($AH$2:AH312),$AH$2:$AH$1001,0),0), INDEX($AO$1004:$BQ$1004,1,MATCH(COLUMNS($AO$1006:BE1006),$AO$1006:$BQ$1006,0)))),"Fix")))</f>
        <v>#N/A</v>
      </c>
      <c r="S312" s="5" t="e">
        <f ca="1">IF(OR(INDEX($AI$2:$AI$1001,MATCH(ROWS($AH$2:AH312),$AH$2:$AH$1001,0),1)&gt;=100000,INDEX($AO$1005:$BQ$1005,1,MATCH(COLUMNS($AO$1006:BF1006),$AO$1006:$BQ$1006,0))&gt;=100000), " ",IF(INDEX($AO$2:$BQ$1001,MATCH(ROWS($AH$2:AH312),$AH$2:$AH$1001,0),MATCH(COLUMNS($AO$1006:BF1006),$AO$1006:$BQ$1006,0)), HYPERLINK("#",""), HYPERLINK(CONCATENATE("#Metadata!", ADDRESS(INDEX($AJ$2:$AJ$1001,MATCH(ROWS($AH$2:AH312),$AH$2:$AH$1001,0),0), INDEX($AO$1004:$BQ$1004,1,MATCH(COLUMNS($AO$1006:BF1006),$AO$1006:$BQ$1006,0)))),"Fix")))</f>
        <v>#N/A</v>
      </c>
      <c r="T312" s="5" t="e">
        <f ca="1">IF(OR(INDEX($AI$2:$AI$1001,MATCH(ROWS($AH$2:AH312),$AH$2:$AH$1001,0),1)&gt;=100000,INDEX($AO$1005:$BQ$1005,1,MATCH(COLUMNS($AO$1006:BG1006),$AO$1006:$BQ$1006,0))&gt;=100000), " ",IF(INDEX($AO$2:$BQ$1001,MATCH(ROWS($AH$2:AH312),$AH$2:$AH$1001,0),MATCH(COLUMNS($AO$1006:BG1006),$AO$1006:$BQ$1006,0)), HYPERLINK("#",""), HYPERLINK(CONCATENATE("#Metadata!", ADDRESS(INDEX($AJ$2:$AJ$1001,MATCH(ROWS($AH$2:AH312),$AH$2:$AH$1001,0),0), INDEX($AO$1004:$BQ$1004,1,MATCH(COLUMNS($AO$1006:BG1006),$AO$1006:$BQ$1006,0)))),"Fix")))</f>
        <v>#N/A</v>
      </c>
      <c r="U312" s="5" t="e">
        <f ca="1">IF(OR(INDEX($AI$2:$AI$1001,MATCH(ROWS($AH$2:AH312),$AH$2:$AH$1001,0),1)&gt;=100000,INDEX($AO$1005:$BQ$1005,1,MATCH(COLUMNS($AO$1006:BH1006),$AO$1006:$BQ$1006,0))&gt;=100000), " ",IF(INDEX($AO$2:$BQ$1001,MATCH(ROWS($AH$2:AH312),$AH$2:$AH$1001,0),MATCH(COLUMNS($AO$1006:BH1006),$AO$1006:$BQ$1006,0)), HYPERLINK("#",""), HYPERLINK(CONCATENATE("#Metadata!", ADDRESS(INDEX($AJ$2:$AJ$1001,MATCH(ROWS($AH$2:AH312),$AH$2:$AH$1001,0),0), INDEX($AO$1004:$BQ$1004,1,MATCH(COLUMNS($AO$1006:BH1006),$AO$1006:$BQ$1006,0)))),"Fix")))</f>
        <v>#N/A</v>
      </c>
      <c r="V312" s="5" t="e">
        <f ca="1">IF(OR(INDEX($AI$2:$AI$1001,MATCH(ROWS($AH$2:AH312),$AH$2:$AH$1001,0),1)&gt;=100000,INDEX($AO$1005:$BQ$1005,1,MATCH(COLUMNS($AO$1006:BI1006),$AO$1006:$BQ$1006,0))&gt;=100000), " ",IF(INDEX($AO$2:$BQ$1001,MATCH(ROWS($AH$2:AH312),$AH$2:$AH$1001,0),MATCH(COLUMNS($AO$1006:BI1006),$AO$1006:$BQ$1006,0)), HYPERLINK("#",""), HYPERLINK(CONCATENATE("#Metadata!", ADDRESS(INDEX($AJ$2:$AJ$1001,MATCH(ROWS($AH$2:AH312),$AH$2:$AH$1001,0),0), INDEX($AO$1004:$BQ$1004,1,MATCH(COLUMNS($AO$1006:BI1006),$AO$1006:$BQ$1006,0)))),"Fix")))</f>
        <v>#N/A</v>
      </c>
      <c r="W312" s="5" t="e">
        <f ca="1">IF(OR(INDEX($AI$2:$AI$1001,MATCH(ROWS($AH$2:AH312),$AH$2:$AH$1001,0),1)&gt;=100000,INDEX($AO$1005:$BQ$1005,1,MATCH(COLUMNS($AO$1006:BJ1006),$AO$1006:$BQ$1006,0))&gt;=100000), " ",IF(INDEX($AO$2:$BQ$1001,MATCH(ROWS($AH$2:AH312),$AH$2:$AH$1001,0),MATCH(COLUMNS($AO$1006:BJ1006),$AO$1006:$BQ$1006,0)), HYPERLINK("#",""), HYPERLINK(CONCATENATE("#Metadata!", ADDRESS(INDEX($AJ$2:$AJ$1001,MATCH(ROWS($AH$2:AH312),$AH$2:$AH$1001,0),0), INDEX($AO$1004:$BQ$1004,1,MATCH(COLUMNS($AO$1006:BJ1006),$AO$1006:$BQ$1006,0)))),"Fix")))</f>
        <v>#N/A</v>
      </c>
      <c r="X312" s="5" t="e">
        <f ca="1">IF(OR(INDEX($AI$2:$AI$1001,MATCH(ROWS($AH$2:AH312),$AH$2:$AH$1001,0),1)&gt;=100000,INDEX($AO$1005:$BQ$1005,1,MATCH(COLUMNS($AO$1006:BK1006),$AO$1006:$BQ$1006,0))&gt;=100000), " ",IF(INDEX($AO$2:$BQ$1001,MATCH(ROWS($AH$2:AH312),$AH$2:$AH$1001,0),MATCH(COLUMNS($AO$1006:BK1006),$AO$1006:$BQ$1006,0)), HYPERLINK("#",""), HYPERLINK(CONCATENATE("#Metadata!", ADDRESS(INDEX($AJ$2:$AJ$1001,MATCH(ROWS($AH$2:AH312),$AH$2:$AH$1001,0),0), INDEX($AO$1004:$BQ$1004,1,MATCH(COLUMNS($AO$1006:BK1006),$AO$1006:$BQ$1006,0)))),"Fix")))</f>
        <v>#N/A</v>
      </c>
      <c r="Y312" s="5" t="e">
        <f ca="1">IF(OR(INDEX($AI$2:$AI$1001,MATCH(ROWS($AH$2:AH312),$AH$2:$AH$1001,0),1)&gt;=100000,INDEX($AO$1005:$BQ$1005,1,MATCH(COLUMNS($AO$1006:BL1006),$AO$1006:$BQ$1006,0))&gt;=100000), " ",IF(INDEX($AO$2:$BQ$1001,MATCH(ROWS($AH$2:AH312),$AH$2:$AH$1001,0),MATCH(COLUMNS($AO$1006:BL1006),$AO$1006:$BQ$1006,0)), HYPERLINK("#",""), HYPERLINK(CONCATENATE("#Metadata!", ADDRESS(INDEX($AJ$2:$AJ$1001,MATCH(ROWS($AH$2:AH312),$AH$2:$AH$1001,0),0), INDEX($AO$1004:$BQ$1004,1,MATCH(COLUMNS($AO$1006:BL1006),$AO$1006:$BQ$1006,0)))),"Fix")))</f>
        <v>#N/A</v>
      </c>
      <c r="Z312" s="5" t="e">
        <f ca="1">IF(OR(INDEX($AI$2:$AI$1001,MATCH(ROWS($AH$2:AH312),$AH$2:$AH$1001,0),1)&gt;=100000,INDEX($AO$1005:$BQ$1005,1,MATCH(COLUMNS($AO$1006:BM1006),$AO$1006:$BQ$1006,0))&gt;=100000), " ",IF(INDEX($AO$2:$BQ$1001,MATCH(ROWS($AH$2:AH312),$AH$2:$AH$1001,0),MATCH(COLUMNS($AO$1006:BM1006),$AO$1006:$BQ$1006,0)), HYPERLINK("#",""), HYPERLINK(CONCATENATE("#Metadata!", ADDRESS(INDEX($AJ$2:$AJ$1001,MATCH(ROWS($AH$2:AH312),$AH$2:$AH$1001,0),0), INDEX($AO$1004:$BQ$1004,1,MATCH(COLUMNS($AO$1006:BM1006),$AO$1006:$BQ$1006,0)))),"Fix")))</f>
        <v>#N/A</v>
      </c>
      <c r="AA312" s="5" t="e">
        <f ca="1">IF(OR(INDEX($AI$2:$AI$1001,MATCH(ROWS($AH$2:AH312),$AH$2:$AH$1001,0),1)&gt;=100000,INDEX($AO$1005:$BQ$1005,1,MATCH(COLUMNS($AO$1006:BN1006),$AO$1006:$BQ$1006,0))&gt;=100000), " ",IF(INDEX($AO$2:$BQ$1001,MATCH(ROWS($AH$2:AH312),$AH$2:$AH$1001,0),MATCH(COLUMNS($AO$1006:BN1006),$AO$1006:$BQ$1006,0)), HYPERLINK("#",""), HYPERLINK(CONCATENATE("#Metadata!", ADDRESS(INDEX($AJ$2:$AJ$1001,MATCH(ROWS($AH$2:AH312),$AH$2:$AH$1001,0),0), INDEX($AO$1004:$BQ$1004,1,MATCH(COLUMNS($AO$1006:BN1006),$AO$1006:$BQ$1006,0)))),"Fix")))</f>
        <v>#N/A</v>
      </c>
      <c r="AB312" s="5" t="e">
        <f ca="1">IF(OR(INDEX($AI$2:$AI$1001,MATCH(ROWS($AH$2:AH312),$AH$2:$AH$1001,0),1)&gt;=100000,INDEX($AO$1005:$BQ$1005,1,MATCH(COLUMNS($AO$1006:BO1006),$AO$1006:$BQ$1006,0))&gt;=100000), " ",IF(INDEX($AO$2:$BQ$1001,MATCH(ROWS($AH$2:AH312),$AH$2:$AH$1001,0),MATCH(COLUMNS($AO$1006:BO1006),$AO$1006:$BQ$1006,0)), HYPERLINK("#",""), HYPERLINK(CONCATENATE("#Metadata!", ADDRESS(INDEX($AJ$2:$AJ$1001,MATCH(ROWS($AH$2:AH312),$AH$2:$AH$1001,0),0), INDEX($AO$1004:$BQ$1004,1,MATCH(COLUMNS($AO$1006:BO1006),$AO$1006:$BQ$1006,0)))),"Fix")))</f>
        <v>#N/A</v>
      </c>
      <c r="AC312" s="5" t="e">
        <f ca="1">IF(OR(INDEX($AI$2:$AI$1001,MATCH(ROWS($AH$2:AH312),$AH$2:$AH$1001,0),1)&gt;=100000,INDEX($AO$1005:$BQ$1005,1,MATCH(COLUMNS($AO$1006:BP1006),$AO$1006:$BQ$1006,0))&gt;=100000), " ",IF(INDEX($AO$2:$BQ$1001,MATCH(ROWS($AH$2:AH312),$AH$2:$AH$1001,0),MATCH(COLUMNS($AO$1006:BP1006),$AO$1006:$BQ$1006,0)), HYPERLINK("#",""), HYPERLINK(CONCATENATE("#Metadata!", ADDRESS(INDEX($AJ$2:$AJ$1001,MATCH(ROWS($AH$2:AH312),$AH$2:$AH$1001,0),0), INDEX($AO$1004:$BQ$1004,1,MATCH(COLUMNS($AO$1006:BP1006),$AO$1006:$BQ$1006,0)))),"Fix")))</f>
        <v>#N/A</v>
      </c>
      <c r="AD312" s="5" t="e">
        <f ca="1">IF(OR(INDEX($AI$2:$AI$1001,MATCH(ROWS($AH$2:AH312),$AH$2:$AH$1001,0),1)&gt;=100000,INDEX($AO$1005:$BQ$1005,1,MATCH(COLUMNS($AO$1006:BQ1006),$AO$1006:$BQ$1006,0))&gt;=100000), " ",IF(INDEX($AO$2:$BQ$1001,MATCH(ROWS($AH$2:AH312),$AH$2:$AH$1001,0),MATCH(COLUMNS($AO$1006:BQ1006),$AO$1006:$BQ$1006,0)), HYPERLINK("#",""), HYPERLINK(CONCATENATE("#Metadata!", ADDRESS(INDEX($AJ$2:$AJ$1001,MATCH(ROWS($AH$2:AH312),$AH$2:$AH$1001,0),0), INDEX($AO$1004:$BQ$1004,1,MATCH(COLUMNS($AO$1006:BQ1006),$AO$1006:$BQ$1006,0)))),"Fix")))</f>
        <v>#REF!</v>
      </c>
      <c r="AH312">
        <f ca="1"/>
        <v>309</v>
      </c>
      <c r="AI312">
        <v>100312</v>
      </c>
      <c r="AJ312">
        <v>312</v>
      </c>
      <c r="AK312" t="b">
        <f t="shared" si="4"/>
        <v>1</v>
      </c>
      <c r="AL312" t="b">
        <f>COUNTBLANK(Metadata!B312:AD312)=COLUMNS(Metadata!B312:AD312)</f>
        <v>1</v>
      </c>
      <c r="AM312" t="str">
        <v/>
      </c>
      <c r="AO312" t="b">
        <f ca="1">AND(IF(Metadata!B312="",FALSE,TRUE),COUNTIF(Metadata!B:B, Metadata!B312) = 1,NOT(ISERROR(SUMPRODUCT(SEARCH(MID(Metadata!B312,ROW(INDIRECT("1:"&amp;LEN(Metadata!B312))), 1),"0123456789abcdefghijklmnopqrstuvwxyzABCDEFGHIJKLMNOPQRSTUVWXYZ.")))))</f>
        <v>0</v>
      </c>
      <c r="AP312" t="b">
        <f>IF(Metadata!C312="",FALSE,TRUE)</f>
        <v>0</v>
      </c>
      <c r="AQ312" t="b">
        <f>IF(Metadata!D312="",FALSE,TRUE)</f>
        <v>0</v>
      </c>
      <c r="AR312" t="b">
        <f ca="1">OR(AND(IF(Metadata!E312="",FALSE,TRUE),OR(EXACT(Metadata!E312,"not collected"),EXACT(Metadata!E312,"not provided"),EXACT(Metadata!E312,"restricted access"))),AND(IF(Metadata!E312="",FALSE,TRUE),AND(AND(IFERROR(INT(LEFT(Metadata!E312,4))&gt;1900,FALSE),IFERROR(INT(LEFT(Metadata!E312,4))&lt;=YEAR(NOW()),FALSE)), OR(MID(Metadata!E312,5,1)="", AND(AND(MID(Metadata!E312,5,1)="-",IFERROR(INT(MID(Metadata!E312,6,1))&gt;=0,FALSE),IFERROR(INT(MID(Metadata!E312,6,1))&lt;=1,FALSE),NOT(MID(Metadata!E312,7,1)=""),IFERROR(INT(MID(Metadata!E312,6,2))&gt;=1,FALSE),IFERROR(INT(MID(Metadata!E312,6,2))&lt;=12,FALSE)), OR(MID(Metadata!E312,8,1)="", AND(AND(MID(Metadata!E312,8,1)="-",IFERROR(INT(MID(Metadata!E312,9,1))&gt;=0,FALSE),IFERROR(INT(MID(Metadata!E312,9,1))&lt;=3,FALSE),NOT(MID(Metadata!E312,10,1)=""),IFERROR(INT(MID(Metadata!E312,9,2))&gt;=1,FALSE),IFERROR(INT(MID(Metadata!E312,9,2))&lt;=31,FALSE)), OR(MID(Metadata!E312,11,1)="", AND(AND(MID(Metadata!E312,11,1)=" ",IFERROR(INT(MID(Metadata!E312,12,1))&gt;=0,FALSE),IFERROR(INT(MID(Metadata!E312,12,1))&lt;=2,FALSE),NOT(MID(Metadata!E312,13,1)=""),IFERROR(INT(MID(Metadata!E312,12,2))&gt;=0,FALSE),IFERROR(INT(MID(Metadata!E312,12,2))&lt;=23,FALSE)), OR(MID(Metadata!E312,14,1)="", AND(AND(MID(Metadata!E312,14,1)=":",IFERROR(INT(MID(Metadata!E312,15,1))&gt;=0,FALSE),IFERROR(INT(MID(Metadata!E312,15,1))&lt;=5,FALSE),NOT(MID(Metadata!E312,16,1)=""),IFERROR(INT(MID(Metadata!E312,15,2))&gt;=0,FALSE),IFERROR(INT(MID(Metadata!E312,15,2))&lt;=59,FALSE)), OR(MID(Metadata!E312,17,1)="", AND(AND(MID(Metadata!E312,17,1)=":",IFERROR(INT(MID(Metadata!E312,18,1))&gt;=0,FALSE),IFERROR(INT(MID(Metadata!E312,18,1))&lt;=5,FALSE),NOT(MID(Metadata!E312,19,1)=""),IFERROR(INT(MID(Metadata!E312,18,2))&gt;=0,FALSE),IFERROR(INT(MID(Metadata!E312,18,2))&lt;=59,FALSE)), LEN(Metadata!E312)&lt;=19)))))))))))))</f>
        <v>0</v>
      </c>
      <c r="AS312" t="b">
        <f>IF(Metadata!F312="",FALSE,TRUE)</f>
        <v>0</v>
      </c>
      <c r="AT312" t="b">
        <f>OR(AND(IF(Metadata!G312="",FALSE,TRUE),OR(EXACT(Metadata!G312,"not collected"),EXACT(Metadata!G312,"not provided"))),AND(IF(Metadata!G312="",FALSE,TRUE),OR(EXACT(Metadata!G312,"TRUE"),EXACT(Metadata!G312,"FALSE"))))</f>
        <v>0</v>
      </c>
      <c r="AU312" t="b">
        <f>OR(AND(IF(Metadata!H312="",FALSE,TRUE),OR(EXACT(Metadata!H312,"not collected"),EXACT(Metadata!H312,"not provided"),EXACT(Metadata!H312,"restricted access"))),AND(IF(Metadata!H312="",FALSE,ISNUMBER(VALUE(Metadata!H312))),Metadata!H312&gt;=-413))</f>
        <v>0</v>
      </c>
      <c r="AV312" t="b">
        <f>AND(IF(Metadata!I312="",FALSE,TRUE),EXACT(Metadata!I312,"meters"))</f>
        <v>0</v>
      </c>
      <c r="AW312" t="b">
        <f>AND(IF(Metadata!J312="",FALSE,TRUE),EXACT(Metadata!J312,"free-living"))</f>
        <v>0</v>
      </c>
      <c r="AX312" t="b">
        <f>AND(IF(Metadata!K312="",FALSE,TRUE),OR(EXACT(Metadata!K312,"saline"),EXACT(Metadata!K312,"non-saline")))</f>
        <v>0</v>
      </c>
      <c r="AY312" t="b">
        <f>AND(IF(Metadata!L312="",FALSE,TRUE),OR(EXACT(Metadata!L312,"sub-surface (non-saline)"),EXACT(Metadata!L312,"surface (non-saline)"),EXACT(Metadata!L312,"water (non-saline)"),EXACT(Metadata!L312,"soil (non-saline)"),EXACT(Metadata!L312,"aerosol (non-saline)"),EXACT(Metadata!L312,"sediment (non-saline)"),EXACT(Metadata!L312,"surface (saline)"),EXACT(Metadata!L312,"water (saline)"),EXACT(Metadata!L312,"hypersaline (saline)"),EXACT(Metadata!L312,"aerosol (saline)"),EXACT(Metadata!L312,"sediment (saline)")))</f>
        <v>0</v>
      </c>
      <c r="AZ312" t="b">
        <f>IF(Metadata!M312="",FALSE,TRUE)</f>
        <v>0</v>
      </c>
      <c r="BA312" t="b">
        <f>IF(Metadata!N312="",FALSE,TRUE)</f>
        <v>0</v>
      </c>
      <c r="BB312" t="b">
        <f>IF(Metadata!O312="",FALSE,TRUE)</f>
        <v>0</v>
      </c>
      <c r="BC312" t="b">
        <f>AND(IF(Metadata!P312="",FALSE,TRUE),OR(EXACT(Metadata!P312,"air"),EXACT(Metadata!P312,"microbial mat/biofilm"),EXACT(Metadata!P312,"misc environment"),EXACT(Metadata!P312,"sediment"),EXACT(Metadata!P312,"soil"),EXACT(Metadata!P312,"wastewater/sludge"),EXACT(Metadata!P312,"water")))</f>
        <v>0</v>
      </c>
      <c r="BD312" t="b">
        <f>IF(Metadata!Q312="",FALSE,TRUE)</f>
        <v>0</v>
      </c>
      <c r="BE312" t="b">
        <f>IF(Metadata!R312="",FALSE,TRUE)</f>
        <v>0</v>
      </c>
      <c r="BF312" t="b">
        <f>OR(AND(IF(Metadata!S312="",FALSE,TRUE),OR(EXACT(Metadata!S312,"not collected"),EXACT(Metadata!S312,"not provided"),EXACT(Metadata!S312,"restricted access"))),AND(IF(Metadata!S312="",FALSE,ISNUMBER(VALUE(Metadata!S312))),Metadata!S312&gt;=-90,Metadata!S312&lt;=90))</f>
        <v>0</v>
      </c>
      <c r="BG312" t="b">
        <f>AND(IF(Metadata!T312="",FALSE,TRUE),EXACT(Metadata!T312,"Decimal degrees"))</f>
        <v>0</v>
      </c>
      <c r="BH312" t="b">
        <f>OR(AND(IF(Metadata!U312="",FALSE,TRUE),OR(EXACT(Metadata!U312,"not applicable"),EXACT(Metadata!U312,"not collected"))),IF(Metadata!U312="",FALSE,TRUE))</f>
        <v>0</v>
      </c>
      <c r="BI312" t="b">
        <f>OR(AND(IF(Metadata!V312="",FALSE,TRUE),OR(EXACT(Metadata!V312,"not collected"),EXACT(Metadata!V312,"not provided"),EXACT(Metadata!V312,"restricted access"))),AND(IF(Metadata!V312="",FALSE,ISNUMBER(VALUE(Metadata!V312))),Metadata!V312&gt;=-180,Metadata!V312&lt;=180))</f>
        <v>0</v>
      </c>
      <c r="BJ312" t="b">
        <f>AND(IF(Metadata!W312="",FALSE,TRUE),EXACT(Metadata!W312,"Decimal degrees"))</f>
        <v>0</v>
      </c>
      <c r="BK312" t="b">
        <f>IF(Metadata!X312="",FALSE,TRUE)</f>
        <v>0</v>
      </c>
      <c r="BL312" t="b">
        <f>OR(AND(IF(Metadata!Y312="",FALSE,TRUE),OR(EXACT(Metadata!Y312,"not collected"),EXACT(Metadata!Y312,"not provided"),EXACT(Metadata!Y312,"restricted access"))),AND(IF(Metadata!Y312="",FALSE,TRUE),OR(EXACT(Metadata!Y312,"TRUE"),EXACT(Metadata!Y312,"FALSE"))))</f>
        <v>0</v>
      </c>
      <c r="BM312" t="b">
        <f>OR(AND(IF(Metadata!Z312="",FALSE,TRUE),EXACT(Metadata!Z312,"not applicable")),AND(IF(Metadata!Z312="",FALSE,TRUE),OR(EXACT(Metadata!Z312,"beer"),EXACT(Metadata!Z312,"cheese"),EXACT(Metadata!Z312,"fresh water"),EXACT(Metadata!Z312,"marine sediment"),EXACT(Metadata!Z312,"sea water"),EXACT(Metadata!Z312,"sediment"),EXACT(Metadata!Z312,"soil"),EXACT(Metadata!Z312,"waste water"))))</f>
        <v>0</v>
      </c>
      <c r="BN312" t="b">
        <f>AND(IF(Metadata!AA312="",FALSE,TRUE),EXACT(Metadata!AA312,"metagenome"))</f>
        <v>0</v>
      </c>
      <c r="BO312" t="b">
        <f>AND(IF(Metadata!AB312="",FALSE,TRUE),EXACT(Metadata!AB312,"256318"))</f>
        <v>0</v>
      </c>
      <c r="BP312" t="b">
        <f>IF(Metadata!AC312="",FALSE,TRUE)</f>
        <v>0</v>
      </c>
      <c r="BQ312" t="b">
        <f>IF(Metadata!AD312="",FALSE,TRUE)</f>
        <v>0</v>
      </c>
    </row>
    <row r="313" spans="1:69" x14ac:dyDescent="0.2">
      <c r="A313" s="4" t="e">
        <f ca="1">IF(B313=" "," ",HYPERLINK(CONCATENATE("#metadata!",ADDRESS(INDEX($AJ$2:$AJ$1001,MATCH(ROWS($AH$2:AH313),$AH$2:$AH$1001,0),0),2)),INDEX($AM$2:$AM$1001,MATCH(ROWS($AH$2:AH313),$AH$2:$AH$1001,0),0)))</f>
        <v>#N/A</v>
      </c>
      <c r="B313" s="5" t="e">
        <f ca="1">IF(OR(INDEX($AI$2:$AI$1001,MATCH(ROWS($AH$2:AH313),$AH$2:$AH$1001,0),1)&gt;=100000,INDEX($AO$1005:$BQ$1005,1,MATCH(COLUMNS($AO$1006:AO1006),$AO$1006:$BQ$1006,0))&gt;=100000), " ",IF(INDEX($AO$2:$BQ$1001,MATCH(ROWS($AH$2:AH313),$AH$2:$AH$1001,0),MATCH(COLUMNS($AO$1006:AO1006),$AO$1006:$BQ$1006,0)), HYPERLINK("#",""), HYPERLINK(CONCATENATE("#Metadata!", ADDRESS(INDEX($AJ$2:$AJ$1001,MATCH(ROWS($AH$2:AH313),$AH$2:$AH$1001,0),0), INDEX($AO$1004:$BQ$1004,1,MATCH(COLUMNS($AO$1006:AO1006),$AO$1006:$BQ$1006,0)))),"Fix")))</f>
        <v>#N/A</v>
      </c>
      <c r="C313" s="5" t="e">
        <f ca="1">IF(OR(INDEX($AI$2:$AI$1001,MATCH(ROWS($AH$2:AH313),$AH$2:$AH$1001,0),1)&gt;=100000,INDEX($AO$1005:$BQ$1005,1,MATCH(COLUMNS($AO$1006:AP1006),$AO$1006:$BQ$1006,0))&gt;=100000), " ",IF(INDEX($AO$2:$BQ$1001,MATCH(ROWS($AH$2:AH313),$AH$2:$AH$1001,0),MATCH(COLUMNS($AO$1006:AP1006),$AO$1006:$BQ$1006,0)), HYPERLINK("#",""), HYPERLINK(CONCATENATE("#Metadata!", ADDRESS(INDEX($AJ$2:$AJ$1001,MATCH(ROWS($AH$2:AH313),$AH$2:$AH$1001,0),0), INDEX($AO$1004:$BQ$1004,1,MATCH(COLUMNS($AO$1006:AP1006),$AO$1006:$BQ$1006,0)))),"Fix")))</f>
        <v>#N/A</v>
      </c>
      <c r="D313" s="5" t="e">
        <f ca="1">IF(OR(INDEX($AI$2:$AI$1001,MATCH(ROWS($AH$2:AH313),$AH$2:$AH$1001,0),1)&gt;=100000,INDEX($AO$1005:$BQ$1005,1,MATCH(COLUMNS($AO$1006:AQ1006),$AO$1006:$BQ$1006,0))&gt;=100000), " ",IF(INDEX($AO$2:$BQ$1001,MATCH(ROWS($AH$2:AH313),$AH$2:$AH$1001,0),MATCH(COLUMNS($AO$1006:AQ1006),$AO$1006:$BQ$1006,0)), HYPERLINK("#",""), HYPERLINK(CONCATENATE("#Metadata!", ADDRESS(INDEX($AJ$2:$AJ$1001,MATCH(ROWS($AH$2:AH313),$AH$2:$AH$1001,0),0), INDEX($AO$1004:$BQ$1004,1,MATCH(COLUMNS($AO$1006:AQ1006),$AO$1006:$BQ$1006,0)))),"Fix")))</f>
        <v>#N/A</v>
      </c>
      <c r="E313" s="5" t="e">
        <f ca="1">IF(OR(INDEX($AI$2:$AI$1001,MATCH(ROWS($AH$2:AH313),$AH$2:$AH$1001,0),1)&gt;=100000,INDEX($AO$1005:$BQ$1005,1,MATCH(COLUMNS($AO$1006:AR1006),$AO$1006:$BQ$1006,0))&gt;=100000), " ",IF(INDEX($AO$2:$BQ$1001,MATCH(ROWS($AH$2:AH313),$AH$2:$AH$1001,0),MATCH(COLUMNS($AO$1006:AR1006),$AO$1006:$BQ$1006,0)), HYPERLINK("#",""), HYPERLINK(CONCATENATE("#Metadata!", ADDRESS(INDEX($AJ$2:$AJ$1001,MATCH(ROWS($AH$2:AH313),$AH$2:$AH$1001,0),0), INDEX($AO$1004:$BQ$1004,1,MATCH(COLUMNS($AO$1006:AR1006),$AO$1006:$BQ$1006,0)))),"Fix")))</f>
        <v>#N/A</v>
      </c>
      <c r="F313" s="5" t="e">
        <f ca="1">IF(OR(INDEX($AI$2:$AI$1001,MATCH(ROWS($AH$2:AH313),$AH$2:$AH$1001,0),1)&gt;=100000,INDEX($AO$1005:$BQ$1005,1,MATCH(COLUMNS($AO$1006:AS1006),$AO$1006:$BQ$1006,0))&gt;=100000), " ",IF(INDEX($AO$2:$BQ$1001,MATCH(ROWS($AH$2:AH313),$AH$2:$AH$1001,0),MATCH(COLUMNS($AO$1006:AS1006),$AO$1006:$BQ$1006,0)), HYPERLINK("#",""), HYPERLINK(CONCATENATE("#Metadata!", ADDRESS(INDEX($AJ$2:$AJ$1001,MATCH(ROWS($AH$2:AH313),$AH$2:$AH$1001,0),0), INDEX($AO$1004:$BQ$1004,1,MATCH(COLUMNS($AO$1006:AS1006),$AO$1006:$BQ$1006,0)))),"Fix")))</f>
        <v>#N/A</v>
      </c>
      <c r="G313" s="5" t="e">
        <f ca="1">IF(OR(INDEX($AI$2:$AI$1001,MATCH(ROWS($AH$2:AH313),$AH$2:$AH$1001,0),1)&gt;=100000,INDEX($AO$1005:$BQ$1005,1,MATCH(COLUMNS($AO$1006:AT1006),$AO$1006:$BQ$1006,0))&gt;=100000), " ",IF(INDEX($AO$2:$BQ$1001,MATCH(ROWS($AH$2:AH313),$AH$2:$AH$1001,0),MATCH(COLUMNS($AO$1006:AT1006),$AO$1006:$BQ$1006,0)), HYPERLINK("#",""), HYPERLINK(CONCATENATE("#Metadata!", ADDRESS(INDEX($AJ$2:$AJ$1001,MATCH(ROWS($AH$2:AH313),$AH$2:$AH$1001,0),0), INDEX($AO$1004:$BQ$1004,1,MATCH(COLUMNS($AO$1006:AT1006),$AO$1006:$BQ$1006,0)))),"Fix")))</f>
        <v>#N/A</v>
      </c>
      <c r="H313" s="5" t="e">
        <f ca="1">IF(OR(INDEX($AI$2:$AI$1001,MATCH(ROWS($AH$2:AH313),$AH$2:$AH$1001,0),1)&gt;=100000,INDEX($AO$1005:$BQ$1005,1,MATCH(COLUMNS($AO$1006:AU1006),$AO$1006:$BQ$1006,0))&gt;=100000), " ",IF(INDEX($AO$2:$BQ$1001,MATCH(ROWS($AH$2:AH313),$AH$2:$AH$1001,0),MATCH(COLUMNS($AO$1006:AU1006),$AO$1006:$BQ$1006,0)), HYPERLINK("#",""), HYPERLINK(CONCATENATE("#Metadata!", ADDRESS(INDEX($AJ$2:$AJ$1001,MATCH(ROWS($AH$2:AH313),$AH$2:$AH$1001,0),0), INDEX($AO$1004:$BQ$1004,1,MATCH(COLUMNS($AO$1006:AU1006),$AO$1006:$BQ$1006,0)))),"Fix")))</f>
        <v>#N/A</v>
      </c>
      <c r="I313" s="5" t="e">
        <f ca="1">IF(OR(INDEX($AI$2:$AI$1001,MATCH(ROWS($AH$2:AH313),$AH$2:$AH$1001,0),1)&gt;=100000,INDEX($AO$1005:$BQ$1005,1,MATCH(COLUMNS($AO$1006:AV1006),$AO$1006:$BQ$1006,0))&gt;=100000), " ",IF(INDEX($AO$2:$BQ$1001,MATCH(ROWS($AH$2:AH313),$AH$2:$AH$1001,0),MATCH(COLUMNS($AO$1006:AV1006),$AO$1006:$BQ$1006,0)), HYPERLINK("#",""), HYPERLINK(CONCATENATE("#Metadata!", ADDRESS(INDEX($AJ$2:$AJ$1001,MATCH(ROWS($AH$2:AH313),$AH$2:$AH$1001,0),0), INDEX($AO$1004:$BQ$1004,1,MATCH(COLUMNS($AO$1006:AV1006),$AO$1006:$BQ$1006,0)))),"Fix")))</f>
        <v>#N/A</v>
      </c>
      <c r="J313" s="5" t="e">
        <f ca="1">IF(OR(INDEX($AI$2:$AI$1001,MATCH(ROWS($AH$2:AH313),$AH$2:$AH$1001,0),1)&gt;=100000,INDEX($AO$1005:$BQ$1005,1,MATCH(COLUMNS($AO$1006:AW1006),$AO$1006:$BQ$1006,0))&gt;=100000), " ",IF(INDEX($AO$2:$BQ$1001,MATCH(ROWS($AH$2:AH313),$AH$2:$AH$1001,0),MATCH(COLUMNS($AO$1006:AW1006),$AO$1006:$BQ$1006,0)), HYPERLINK("#",""), HYPERLINK(CONCATENATE("#Metadata!", ADDRESS(INDEX($AJ$2:$AJ$1001,MATCH(ROWS($AH$2:AH313),$AH$2:$AH$1001,0),0), INDEX($AO$1004:$BQ$1004,1,MATCH(COLUMNS($AO$1006:AW1006),$AO$1006:$BQ$1006,0)))),"Fix")))</f>
        <v>#N/A</v>
      </c>
      <c r="K313" s="5" t="e">
        <f ca="1">IF(OR(INDEX($AI$2:$AI$1001,MATCH(ROWS($AH$2:AH313),$AH$2:$AH$1001,0),1)&gt;=100000,INDEX($AO$1005:$BQ$1005,1,MATCH(COLUMNS($AO$1006:AX1006),$AO$1006:$BQ$1006,0))&gt;=100000), " ",IF(INDEX($AO$2:$BQ$1001,MATCH(ROWS($AH$2:AH313),$AH$2:$AH$1001,0),MATCH(COLUMNS($AO$1006:AX1006),$AO$1006:$BQ$1006,0)), HYPERLINK("#",""), HYPERLINK(CONCATENATE("#Metadata!", ADDRESS(INDEX($AJ$2:$AJ$1001,MATCH(ROWS($AH$2:AH313),$AH$2:$AH$1001,0),0), INDEX($AO$1004:$BQ$1004,1,MATCH(COLUMNS($AO$1006:AX1006),$AO$1006:$BQ$1006,0)))),"Fix")))</f>
        <v>#N/A</v>
      </c>
      <c r="L313" s="5" t="e">
        <f ca="1">IF(OR(INDEX($AI$2:$AI$1001,MATCH(ROWS($AH$2:AH313),$AH$2:$AH$1001,0),1)&gt;=100000,INDEX($AO$1005:$BQ$1005,1,MATCH(COLUMNS($AO$1006:AY1006),$AO$1006:$BQ$1006,0))&gt;=100000), " ",IF(INDEX($AO$2:$BQ$1001,MATCH(ROWS($AH$2:AH313),$AH$2:$AH$1001,0),MATCH(COLUMNS($AO$1006:AY1006),$AO$1006:$BQ$1006,0)), HYPERLINK("#",""), HYPERLINK(CONCATENATE("#Metadata!", ADDRESS(INDEX($AJ$2:$AJ$1001,MATCH(ROWS($AH$2:AH313),$AH$2:$AH$1001,0),0), INDEX($AO$1004:$BQ$1004,1,MATCH(COLUMNS($AO$1006:AY1006),$AO$1006:$BQ$1006,0)))),"Fix")))</f>
        <v>#N/A</v>
      </c>
      <c r="M313" s="5" t="e">
        <f ca="1">IF(OR(INDEX($AI$2:$AI$1001,MATCH(ROWS($AH$2:AH313),$AH$2:$AH$1001,0),1)&gt;=100000,INDEX($AO$1005:$BQ$1005,1,MATCH(COLUMNS($AO$1006:AZ1006),$AO$1006:$BQ$1006,0))&gt;=100000), " ",IF(INDEX($AO$2:$BQ$1001,MATCH(ROWS($AH$2:AH313),$AH$2:$AH$1001,0),MATCH(COLUMNS($AO$1006:AZ1006),$AO$1006:$BQ$1006,0)), HYPERLINK("#",""), HYPERLINK(CONCATENATE("#Metadata!", ADDRESS(INDEX($AJ$2:$AJ$1001,MATCH(ROWS($AH$2:AH313),$AH$2:$AH$1001,0),0), INDEX($AO$1004:$BQ$1004,1,MATCH(COLUMNS($AO$1006:AZ1006),$AO$1006:$BQ$1006,0)))),"Fix")))</f>
        <v>#N/A</v>
      </c>
      <c r="N313" s="5" t="e">
        <f ca="1">IF(OR(INDEX($AI$2:$AI$1001,MATCH(ROWS($AH$2:AH313),$AH$2:$AH$1001,0),1)&gt;=100000,INDEX($AO$1005:$BQ$1005,1,MATCH(COLUMNS($AO$1006:BA1006),$AO$1006:$BQ$1006,0))&gt;=100000), " ",IF(INDEX($AO$2:$BQ$1001,MATCH(ROWS($AH$2:AH313),$AH$2:$AH$1001,0),MATCH(COLUMNS($AO$1006:BA1006),$AO$1006:$BQ$1006,0)), HYPERLINK("#",""), HYPERLINK(CONCATENATE("#Metadata!", ADDRESS(INDEX($AJ$2:$AJ$1001,MATCH(ROWS($AH$2:AH313),$AH$2:$AH$1001,0),0), INDEX($AO$1004:$BQ$1004,1,MATCH(COLUMNS($AO$1006:BA1006),$AO$1006:$BQ$1006,0)))),"Fix")))</f>
        <v>#N/A</v>
      </c>
      <c r="O313" s="5" t="e">
        <f ca="1">IF(OR(INDEX($AI$2:$AI$1001,MATCH(ROWS($AH$2:AH313),$AH$2:$AH$1001,0),1)&gt;=100000,INDEX($AO$1005:$BQ$1005,1,MATCH(COLUMNS($AO$1006:BB1006),$AO$1006:$BQ$1006,0))&gt;=100000), " ",IF(INDEX($AO$2:$BQ$1001,MATCH(ROWS($AH$2:AH313),$AH$2:$AH$1001,0),MATCH(COLUMNS($AO$1006:BB1006),$AO$1006:$BQ$1006,0)), HYPERLINK("#",""), HYPERLINK(CONCATENATE("#Metadata!", ADDRESS(INDEX($AJ$2:$AJ$1001,MATCH(ROWS($AH$2:AH313),$AH$2:$AH$1001,0),0), INDEX($AO$1004:$BQ$1004,1,MATCH(COLUMNS($AO$1006:BB1006),$AO$1006:$BQ$1006,0)))),"Fix")))</f>
        <v>#N/A</v>
      </c>
      <c r="P313" s="5" t="e">
        <f ca="1">IF(OR(INDEX($AI$2:$AI$1001,MATCH(ROWS($AH$2:AH313),$AH$2:$AH$1001,0),1)&gt;=100000,INDEX($AO$1005:$BQ$1005,1,MATCH(COLUMNS($AO$1006:BC1006),$AO$1006:$BQ$1006,0))&gt;=100000), " ",IF(INDEX($AO$2:$BQ$1001,MATCH(ROWS($AH$2:AH313),$AH$2:$AH$1001,0),MATCH(COLUMNS($AO$1006:BC1006),$AO$1006:$BQ$1006,0)), HYPERLINK("#",""), HYPERLINK(CONCATENATE("#Metadata!", ADDRESS(INDEX($AJ$2:$AJ$1001,MATCH(ROWS($AH$2:AH313),$AH$2:$AH$1001,0),0), INDEX($AO$1004:$BQ$1004,1,MATCH(COLUMNS($AO$1006:BC1006),$AO$1006:$BQ$1006,0)))),"Fix")))</f>
        <v>#N/A</v>
      </c>
      <c r="Q313" s="5" t="e">
        <f ca="1">IF(OR(INDEX($AI$2:$AI$1001,MATCH(ROWS($AH$2:AH313),$AH$2:$AH$1001,0),1)&gt;=100000,INDEX($AO$1005:$BQ$1005,1,MATCH(COLUMNS($AO$1006:BD1006),$AO$1006:$BQ$1006,0))&gt;=100000), " ",IF(INDEX($AO$2:$BQ$1001,MATCH(ROWS($AH$2:AH313),$AH$2:$AH$1001,0),MATCH(COLUMNS($AO$1006:BD1006),$AO$1006:$BQ$1006,0)), HYPERLINK("#",""), HYPERLINK(CONCATENATE("#Metadata!", ADDRESS(INDEX($AJ$2:$AJ$1001,MATCH(ROWS($AH$2:AH313),$AH$2:$AH$1001,0),0), INDEX($AO$1004:$BQ$1004,1,MATCH(COLUMNS($AO$1006:BD1006),$AO$1006:$BQ$1006,0)))),"Fix")))</f>
        <v>#N/A</v>
      </c>
      <c r="R313" s="5" t="e">
        <f ca="1">IF(OR(INDEX($AI$2:$AI$1001,MATCH(ROWS($AH$2:AH313),$AH$2:$AH$1001,0),1)&gt;=100000,INDEX($AO$1005:$BQ$1005,1,MATCH(COLUMNS($AO$1006:BE1006),$AO$1006:$BQ$1006,0))&gt;=100000), " ",IF(INDEX($AO$2:$BQ$1001,MATCH(ROWS($AH$2:AH313),$AH$2:$AH$1001,0),MATCH(COLUMNS($AO$1006:BE1006),$AO$1006:$BQ$1006,0)), HYPERLINK("#",""), HYPERLINK(CONCATENATE("#Metadata!", ADDRESS(INDEX($AJ$2:$AJ$1001,MATCH(ROWS($AH$2:AH313),$AH$2:$AH$1001,0),0), INDEX($AO$1004:$BQ$1004,1,MATCH(COLUMNS($AO$1006:BE1006),$AO$1006:$BQ$1006,0)))),"Fix")))</f>
        <v>#N/A</v>
      </c>
      <c r="S313" s="5" t="e">
        <f ca="1">IF(OR(INDEX($AI$2:$AI$1001,MATCH(ROWS($AH$2:AH313),$AH$2:$AH$1001,0),1)&gt;=100000,INDEX($AO$1005:$BQ$1005,1,MATCH(COLUMNS($AO$1006:BF1006),$AO$1006:$BQ$1006,0))&gt;=100000), " ",IF(INDEX($AO$2:$BQ$1001,MATCH(ROWS($AH$2:AH313),$AH$2:$AH$1001,0),MATCH(COLUMNS($AO$1006:BF1006),$AO$1006:$BQ$1006,0)), HYPERLINK("#",""), HYPERLINK(CONCATENATE("#Metadata!", ADDRESS(INDEX($AJ$2:$AJ$1001,MATCH(ROWS($AH$2:AH313),$AH$2:$AH$1001,0),0), INDEX($AO$1004:$BQ$1004,1,MATCH(COLUMNS($AO$1006:BF1006),$AO$1006:$BQ$1006,0)))),"Fix")))</f>
        <v>#N/A</v>
      </c>
      <c r="T313" s="5" t="e">
        <f ca="1">IF(OR(INDEX($AI$2:$AI$1001,MATCH(ROWS($AH$2:AH313),$AH$2:$AH$1001,0),1)&gt;=100000,INDEX($AO$1005:$BQ$1005,1,MATCH(COLUMNS($AO$1006:BG1006),$AO$1006:$BQ$1006,0))&gt;=100000), " ",IF(INDEX($AO$2:$BQ$1001,MATCH(ROWS($AH$2:AH313),$AH$2:$AH$1001,0),MATCH(COLUMNS($AO$1006:BG1006),$AO$1006:$BQ$1006,0)), HYPERLINK("#",""), HYPERLINK(CONCATENATE("#Metadata!", ADDRESS(INDEX($AJ$2:$AJ$1001,MATCH(ROWS($AH$2:AH313),$AH$2:$AH$1001,0),0), INDEX($AO$1004:$BQ$1004,1,MATCH(COLUMNS($AO$1006:BG1006),$AO$1006:$BQ$1006,0)))),"Fix")))</f>
        <v>#N/A</v>
      </c>
      <c r="U313" s="5" t="e">
        <f ca="1">IF(OR(INDEX($AI$2:$AI$1001,MATCH(ROWS($AH$2:AH313),$AH$2:$AH$1001,0),1)&gt;=100000,INDEX($AO$1005:$BQ$1005,1,MATCH(COLUMNS($AO$1006:BH1006),$AO$1006:$BQ$1006,0))&gt;=100000), " ",IF(INDEX($AO$2:$BQ$1001,MATCH(ROWS($AH$2:AH313),$AH$2:$AH$1001,0),MATCH(COLUMNS($AO$1006:BH1006),$AO$1006:$BQ$1006,0)), HYPERLINK("#",""), HYPERLINK(CONCATENATE("#Metadata!", ADDRESS(INDEX($AJ$2:$AJ$1001,MATCH(ROWS($AH$2:AH313),$AH$2:$AH$1001,0),0), INDEX($AO$1004:$BQ$1004,1,MATCH(COLUMNS($AO$1006:BH1006),$AO$1006:$BQ$1006,0)))),"Fix")))</f>
        <v>#N/A</v>
      </c>
      <c r="V313" s="5" t="e">
        <f ca="1">IF(OR(INDEX($AI$2:$AI$1001,MATCH(ROWS($AH$2:AH313),$AH$2:$AH$1001,0),1)&gt;=100000,INDEX($AO$1005:$BQ$1005,1,MATCH(COLUMNS($AO$1006:BI1006),$AO$1006:$BQ$1006,0))&gt;=100000), " ",IF(INDEX($AO$2:$BQ$1001,MATCH(ROWS($AH$2:AH313),$AH$2:$AH$1001,0),MATCH(COLUMNS($AO$1006:BI1006),$AO$1006:$BQ$1006,0)), HYPERLINK("#",""), HYPERLINK(CONCATENATE("#Metadata!", ADDRESS(INDEX($AJ$2:$AJ$1001,MATCH(ROWS($AH$2:AH313),$AH$2:$AH$1001,0),0), INDEX($AO$1004:$BQ$1004,1,MATCH(COLUMNS($AO$1006:BI1006),$AO$1006:$BQ$1006,0)))),"Fix")))</f>
        <v>#N/A</v>
      </c>
      <c r="W313" s="5" t="e">
        <f ca="1">IF(OR(INDEX($AI$2:$AI$1001,MATCH(ROWS($AH$2:AH313),$AH$2:$AH$1001,0),1)&gt;=100000,INDEX($AO$1005:$BQ$1005,1,MATCH(COLUMNS($AO$1006:BJ1006),$AO$1006:$BQ$1006,0))&gt;=100000), " ",IF(INDEX($AO$2:$BQ$1001,MATCH(ROWS($AH$2:AH313),$AH$2:$AH$1001,0),MATCH(COLUMNS($AO$1006:BJ1006),$AO$1006:$BQ$1006,0)), HYPERLINK("#",""), HYPERLINK(CONCATENATE("#Metadata!", ADDRESS(INDEX($AJ$2:$AJ$1001,MATCH(ROWS($AH$2:AH313),$AH$2:$AH$1001,0),0), INDEX($AO$1004:$BQ$1004,1,MATCH(COLUMNS($AO$1006:BJ1006),$AO$1006:$BQ$1006,0)))),"Fix")))</f>
        <v>#N/A</v>
      </c>
      <c r="X313" s="5" t="e">
        <f ca="1">IF(OR(INDEX($AI$2:$AI$1001,MATCH(ROWS($AH$2:AH313),$AH$2:$AH$1001,0),1)&gt;=100000,INDEX($AO$1005:$BQ$1005,1,MATCH(COLUMNS($AO$1006:BK1006),$AO$1006:$BQ$1006,0))&gt;=100000), " ",IF(INDEX($AO$2:$BQ$1001,MATCH(ROWS($AH$2:AH313),$AH$2:$AH$1001,0),MATCH(COLUMNS($AO$1006:BK1006),$AO$1006:$BQ$1006,0)), HYPERLINK("#",""), HYPERLINK(CONCATENATE("#Metadata!", ADDRESS(INDEX($AJ$2:$AJ$1001,MATCH(ROWS($AH$2:AH313),$AH$2:$AH$1001,0),0), INDEX($AO$1004:$BQ$1004,1,MATCH(COLUMNS($AO$1006:BK1006),$AO$1006:$BQ$1006,0)))),"Fix")))</f>
        <v>#N/A</v>
      </c>
      <c r="Y313" s="5" t="e">
        <f ca="1">IF(OR(INDEX($AI$2:$AI$1001,MATCH(ROWS($AH$2:AH313),$AH$2:$AH$1001,0),1)&gt;=100000,INDEX($AO$1005:$BQ$1005,1,MATCH(COLUMNS($AO$1006:BL1006),$AO$1006:$BQ$1006,0))&gt;=100000), " ",IF(INDEX($AO$2:$BQ$1001,MATCH(ROWS($AH$2:AH313),$AH$2:$AH$1001,0),MATCH(COLUMNS($AO$1006:BL1006),$AO$1006:$BQ$1006,0)), HYPERLINK("#",""), HYPERLINK(CONCATENATE("#Metadata!", ADDRESS(INDEX($AJ$2:$AJ$1001,MATCH(ROWS($AH$2:AH313),$AH$2:$AH$1001,0),0), INDEX($AO$1004:$BQ$1004,1,MATCH(COLUMNS($AO$1006:BL1006),$AO$1006:$BQ$1006,0)))),"Fix")))</f>
        <v>#N/A</v>
      </c>
      <c r="Z313" s="5" t="e">
        <f ca="1">IF(OR(INDEX($AI$2:$AI$1001,MATCH(ROWS($AH$2:AH313),$AH$2:$AH$1001,0),1)&gt;=100000,INDEX($AO$1005:$BQ$1005,1,MATCH(COLUMNS($AO$1006:BM1006),$AO$1006:$BQ$1006,0))&gt;=100000), " ",IF(INDEX($AO$2:$BQ$1001,MATCH(ROWS($AH$2:AH313),$AH$2:$AH$1001,0),MATCH(COLUMNS($AO$1006:BM1006),$AO$1006:$BQ$1006,0)), HYPERLINK("#",""), HYPERLINK(CONCATENATE("#Metadata!", ADDRESS(INDEX($AJ$2:$AJ$1001,MATCH(ROWS($AH$2:AH313),$AH$2:$AH$1001,0),0), INDEX($AO$1004:$BQ$1004,1,MATCH(COLUMNS($AO$1006:BM1006),$AO$1006:$BQ$1006,0)))),"Fix")))</f>
        <v>#N/A</v>
      </c>
      <c r="AA313" s="5" t="e">
        <f ca="1">IF(OR(INDEX($AI$2:$AI$1001,MATCH(ROWS($AH$2:AH313),$AH$2:$AH$1001,0),1)&gt;=100000,INDEX($AO$1005:$BQ$1005,1,MATCH(COLUMNS($AO$1006:BN1006),$AO$1006:$BQ$1006,0))&gt;=100000), " ",IF(INDEX($AO$2:$BQ$1001,MATCH(ROWS($AH$2:AH313),$AH$2:$AH$1001,0),MATCH(COLUMNS($AO$1006:BN1006),$AO$1006:$BQ$1006,0)), HYPERLINK("#",""), HYPERLINK(CONCATENATE("#Metadata!", ADDRESS(INDEX($AJ$2:$AJ$1001,MATCH(ROWS($AH$2:AH313),$AH$2:$AH$1001,0),0), INDEX($AO$1004:$BQ$1004,1,MATCH(COLUMNS($AO$1006:BN1006),$AO$1006:$BQ$1006,0)))),"Fix")))</f>
        <v>#N/A</v>
      </c>
      <c r="AB313" s="5" t="e">
        <f ca="1">IF(OR(INDEX($AI$2:$AI$1001,MATCH(ROWS($AH$2:AH313),$AH$2:$AH$1001,0),1)&gt;=100000,INDEX($AO$1005:$BQ$1005,1,MATCH(COLUMNS($AO$1006:BO1006),$AO$1006:$BQ$1006,0))&gt;=100000), " ",IF(INDEX($AO$2:$BQ$1001,MATCH(ROWS($AH$2:AH313),$AH$2:$AH$1001,0),MATCH(COLUMNS($AO$1006:BO1006),$AO$1006:$BQ$1006,0)), HYPERLINK("#",""), HYPERLINK(CONCATENATE("#Metadata!", ADDRESS(INDEX($AJ$2:$AJ$1001,MATCH(ROWS($AH$2:AH313),$AH$2:$AH$1001,0),0), INDEX($AO$1004:$BQ$1004,1,MATCH(COLUMNS($AO$1006:BO1006),$AO$1006:$BQ$1006,0)))),"Fix")))</f>
        <v>#N/A</v>
      </c>
      <c r="AC313" s="5" t="e">
        <f ca="1">IF(OR(INDEX($AI$2:$AI$1001,MATCH(ROWS($AH$2:AH313),$AH$2:$AH$1001,0),1)&gt;=100000,INDEX($AO$1005:$BQ$1005,1,MATCH(COLUMNS($AO$1006:BP1006),$AO$1006:$BQ$1006,0))&gt;=100000), " ",IF(INDEX($AO$2:$BQ$1001,MATCH(ROWS($AH$2:AH313),$AH$2:$AH$1001,0),MATCH(COLUMNS($AO$1006:BP1006),$AO$1006:$BQ$1006,0)), HYPERLINK("#",""), HYPERLINK(CONCATENATE("#Metadata!", ADDRESS(INDEX($AJ$2:$AJ$1001,MATCH(ROWS($AH$2:AH313),$AH$2:$AH$1001,0),0), INDEX($AO$1004:$BQ$1004,1,MATCH(COLUMNS($AO$1006:BP1006),$AO$1006:$BQ$1006,0)))),"Fix")))</f>
        <v>#N/A</v>
      </c>
      <c r="AD313" s="5" t="e">
        <f ca="1">IF(OR(INDEX($AI$2:$AI$1001,MATCH(ROWS($AH$2:AH313),$AH$2:$AH$1001,0),1)&gt;=100000,INDEX($AO$1005:$BQ$1005,1,MATCH(COLUMNS($AO$1006:BQ1006),$AO$1006:$BQ$1006,0))&gt;=100000), " ",IF(INDEX($AO$2:$BQ$1001,MATCH(ROWS($AH$2:AH313),$AH$2:$AH$1001,0),MATCH(COLUMNS($AO$1006:BQ1006),$AO$1006:$BQ$1006,0)), HYPERLINK("#",""), HYPERLINK(CONCATENATE("#Metadata!", ADDRESS(INDEX($AJ$2:$AJ$1001,MATCH(ROWS($AH$2:AH313),$AH$2:$AH$1001,0),0), INDEX($AO$1004:$BQ$1004,1,MATCH(COLUMNS($AO$1006:BQ1006),$AO$1006:$BQ$1006,0)))),"Fix")))</f>
        <v>#REF!</v>
      </c>
      <c r="AH313">
        <f ca="1"/>
        <v>310</v>
      </c>
      <c r="AI313">
        <v>100313</v>
      </c>
      <c r="AJ313">
        <v>313</v>
      </c>
      <c r="AK313" t="b">
        <f t="shared" si="4"/>
        <v>1</v>
      </c>
      <c r="AL313" t="b">
        <f>COUNTBLANK(Metadata!B313:AD313)=COLUMNS(Metadata!B313:AD313)</f>
        <v>1</v>
      </c>
      <c r="AM313" t="str">
        <v/>
      </c>
      <c r="AO313" t="b">
        <f ca="1">AND(IF(Metadata!B313="",FALSE,TRUE),COUNTIF(Metadata!B:B, Metadata!B313) = 1,NOT(ISERROR(SUMPRODUCT(SEARCH(MID(Metadata!B313,ROW(INDIRECT("1:"&amp;LEN(Metadata!B313))), 1),"0123456789abcdefghijklmnopqrstuvwxyzABCDEFGHIJKLMNOPQRSTUVWXYZ.")))))</f>
        <v>0</v>
      </c>
      <c r="AP313" t="b">
        <f>IF(Metadata!C313="",FALSE,TRUE)</f>
        <v>0</v>
      </c>
      <c r="AQ313" t="b">
        <f>IF(Metadata!D313="",FALSE,TRUE)</f>
        <v>0</v>
      </c>
      <c r="AR313" t="b">
        <f ca="1">OR(AND(IF(Metadata!E313="",FALSE,TRUE),OR(EXACT(Metadata!E313,"not collected"),EXACT(Metadata!E313,"not provided"),EXACT(Metadata!E313,"restricted access"))),AND(IF(Metadata!E313="",FALSE,TRUE),AND(AND(IFERROR(INT(LEFT(Metadata!E313,4))&gt;1900,FALSE),IFERROR(INT(LEFT(Metadata!E313,4))&lt;=YEAR(NOW()),FALSE)), OR(MID(Metadata!E313,5,1)="", AND(AND(MID(Metadata!E313,5,1)="-",IFERROR(INT(MID(Metadata!E313,6,1))&gt;=0,FALSE),IFERROR(INT(MID(Metadata!E313,6,1))&lt;=1,FALSE),NOT(MID(Metadata!E313,7,1)=""),IFERROR(INT(MID(Metadata!E313,6,2))&gt;=1,FALSE),IFERROR(INT(MID(Metadata!E313,6,2))&lt;=12,FALSE)), OR(MID(Metadata!E313,8,1)="", AND(AND(MID(Metadata!E313,8,1)="-",IFERROR(INT(MID(Metadata!E313,9,1))&gt;=0,FALSE),IFERROR(INT(MID(Metadata!E313,9,1))&lt;=3,FALSE),NOT(MID(Metadata!E313,10,1)=""),IFERROR(INT(MID(Metadata!E313,9,2))&gt;=1,FALSE),IFERROR(INT(MID(Metadata!E313,9,2))&lt;=31,FALSE)), OR(MID(Metadata!E313,11,1)="", AND(AND(MID(Metadata!E313,11,1)=" ",IFERROR(INT(MID(Metadata!E313,12,1))&gt;=0,FALSE),IFERROR(INT(MID(Metadata!E313,12,1))&lt;=2,FALSE),NOT(MID(Metadata!E313,13,1)=""),IFERROR(INT(MID(Metadata!E313,12,2))&gt;=0,FALSE),IFERROR(INT(MID(Metadata!E313,12,2))&lt;=23,FALSE)), OR(MID(Metadata!E313,14,1)="", AND(AND(MID(Metadata!E313,14,1)=":",IFERROR(INT(MID(Metadata!E313,15,1))&gt;=0,FALSE),IFERROR(INT(MID(Metadata!E313,15,1))&lt;=5,FALSE),NOT(MID(Metadata!E313,16,1)=""),IFERROR(INT(MID(Metadata!E313,15,2))&gt;=0,FALSE),IFERROR(INT(MID(Metadata!E313,15,2))&lt;=59,FALSE)), OR(MID(Metadata!E313,17,1)="", AND(AND(MID(Metadata!E313,17,1)=":",IFERROR(INT(MID(Metadata!E313,18,1))&gt;=0,FALSE),IFERROR(INT(MID(Metadata!E313,18,1))&lt;=5,FALSE),NOT(MID(Metadata!E313,19,1)=""),IFERROR(INT(MID(Metadata!E313,18,2))&gt;=0,FALSE),IFERROR(INT(MID(Metadata!E313,18,2))&lt;=59,FALSE)), LEN(Metadata!E313)&lt;=19)))))))))))))</f>
        <v>0</v>
      </c>
      <c r="AS313" t="b">
        <f>IF(Metadata!F313="",FALSE,TRUE)</f>
        <v>0</v>
      </c>
      <c r="AT313" t="b">
        <f>OR(AND(IF(Metadata!G313="",FALSE,TRUE),OR(EXACT(Metadata!G313,"not collected"),EXACT(Metadata!G313,"not provided"))),AND(IF(Metadata!G313="",FALSE,TRUE),OR(EXACT(Metadata!G313,"TRUE"),EXACT(Metadata!G313,"FALSE"))))</f>
        <v>0</v>
      </c>
      <c r="AU313" t="b">
        <f>OR(AND(IF(Metadata!H313="",FALSE,TRUE),OR(EXACT(Metadata!H313,"not collected"),EXACT(Metadata!H313,"not provided"),EXACT(Metadata!H313,"restricted access"))),AND(IF(Metadata!H313="",FALSE,ISNUMBER(VALUE(Metadata!H313))),Metadata!H313&gt;=-413))</f>
        <v>0</v>
      </c>
      <c r="AV313" t="b">
        <f>AND(IF(Metadata!I313="",FALSE,TRUE),EXACT(Metadata!I313,"meters"))</f>
        <v>0</v>
      </c>
      <c r="AW313" t="b">
        <f>AND(IF(Metadata!J313="",FALSE,TRUE),EXACT(Metadata!J313,"free-living"))</f>
        <v>0</v>
      </c>
      <c r="AX313" t="b">
        <f>AND(IF(Metadata!K313="",FALSE,TRUE),OR(EXACT(Metadata!K313,"saline"),EXACT(Metadata!K313,"non-saline")))</f>
        <v>0</v>
      </c>
      <c r="AY313" t="b">
        <f>AND(IF(Metadata!L313="",FALSE,TRUE),OR(EXACT(Metadata!L313,"sub-surface (non-saline)"),EXACT(Metadata!L313,"surface (non-saline)"),EXACT(Metadata!L313,"water (non-saline)"),EXACT(Metadata!L313,"soil (non-saline)"),EXACT(Metadata!L313,"aerosol (non-saline)"),EXACT(Metadata!L313,"sediment (non-saline)"),EXACT(Metadata!L313,"surface (saline)"),EXACT(Metadata!L313,"water (saline)"),EXACT(Metadata!L313,"hypersaline (saline)"),EXACT(Metadata!L313,"aerosol (saline)"),EXACT(Metadata!L313,"sediment (saline)")))</f>
        <v>0</v>
      </c>
      <c r="AZ313" t="b">
        <f>IF(Metadata!M313="",FALSE,TRUE)</f>
        <v>0</v>
      </c>
      <c r="BA313" t="b">
        <f>IF(Metadata!N313="",FALSE,TRUE)</f>
        <v>0</v>
      </c>
      <c r="BB313" t="b">
        <f>IF(Metadata!O313="",FALSE,TRUE)</f>
        <v>0</v>
      </c>
      <c r="BC313" t="b">
        <f>AND(IF(Metadata!P313="",FALSE,TRUE),OR(EXACT(Metadata!P313,"air"),EXACT(Metadata!P313,"microbial mat/biofilm"),EXACT(Metadata!P313,"misc environment"),EXACT(Metadata!P313,"sediment"),EXACT(Metadata!P313,"soil"),EXACT(Metadata!P313,"wastewater/sludge"),EXACT(Metadata!P313,"water")))</f>
        <v>0</v>
      </c>
      <c r="BD313" t="b">
        <f>IF(Metadata!Q313="",FALSE,TRUE)</f>
        <v>0</v>
      </c>
      <c r="BE313" t="b">
        <f>IF(Metadata!R313="",FALSE,TRUE)</f>
        <v>0</v>
      </c>
      <c r="BF313" t="b">
        <f>OR(AND(IF(Metadata!S313="",FALSE,TRUE),OR(EXACT(Metadata!S313,"not collected"),EXACT(Metadata!S313,"not provided"),EXACT(Metadata!S313,"restricted access"))),AND(IF(Metadata!S313="",FALSE,ISNUMBER(VALUE(Metadata!S313))),Metadata!S313&gt;=-90,Metadata!S313&lt;=90))</f>
        <v>0</v>
      </c>
      <c r="BG313" t="b">
        <f>AND(IF(Metadata!T313="",FALSE,TRUE),EXACT(Metadata!T313,"Decimal degrees"))</f>
        <v>0</v>
      </c>
      <c r="BH313" t="b">
        <f>OR(AND(IF(Metadata!U313="",FALSE,TRUE),OR(EXACT(Metadata!U313,"not applicable"),EXACT(Metadata!U313,"not collected"))),IF(Metadata!U313="",FALSE,TRUE))</f>
        <v>0</v>
      </c>
      <c r="BI313" t="b">
        <f>OR(AND(IF(Metadata!V313="",FALSE,TRUE),OR(EXACT(Metadata!V313,"not collected"),EXACT(Metadata!V313,"not provided"),EXACT(Metadata!V313,"restricted access"))),AND(IF(Metadata!V313="",FALSE,ISNUMBER(VALUE(Metadata!V313))),Metadata!V313&gt;=-180,Metadata!V313&lt;=180))</f>
        <v>0</v>
      </c>
      <c r="BJ313" t="b">
        <f>AND(IF(Metadata!W313="",FALSE,TRUE),EXACT(Metadata!W313,"Decimal degrees"))</f>
        <v>0</v>
      </c>
      <c r="BK313" t="b">
        <f>IF(Metadata!X313="",FALSE,TRUE)</f>
        <v>0</v>
      </c>
      <c r="BL313" t="b">
        <f>OR(AND(IF(Metadata!Y313="",FALSE,TRUE),OR(EXACT(Metadata!Y313,"not collected"),EXACT(Metadata!Y313,"not provided"),EXACT(Metadata!Y313,"restricted access"))),AND(IF(Metadata!Y313="",FALSE,TRUE),OR(EXACT(Metadata!Y313,"TRUE"),EXACT(Metadata!Y313,"FALSE"))))</f>
        <v>0</v>
      </c>
      <c r="BM313" t="b">
        <f>OR(AND(IF(Metadata!Z313="",FALSE,TRUE),EXACT(Metadata!Z313,"not applicable")),AND(IF(Metadata!Z313="",FALSE,TRUE),OR(EXACT(Metadata!Z313,"beer"),EXACT(Metadata!Z313,"cheese"),EXACT(Metadata!Z313,"fresh water"),EXACT(Metadata!Z313,"marine sediment"),EXACT(Metadata!Z313,"sea water"),EXACT(Metadata!Z313,"sediment"),EXACT(Metadata!Z313,"soil"),EXACT(Metadata!Z313,"waste water"))))</f>
        <v>0</v>
      </c>
      <c r="BN313" t="b">
        <f>AND(IF(Metadata!AA313="",FALSE,TRUE),EXACT(Metadata!AA313,"metagenome"))</f>
        <v>0</v>
      </c>
      <c r="BO313" t="b">
        <f>AND(IF(Metadata!AB313="",FALSE,TRUE),EXACT(Metadata!AB313,"256318"))</f>
        <v>0</v>
      </c>
      <c r="BP313" t="b">
        <f>IF(Metadata!AC313="",FALSE,TRUE)</f>
        <v>0</v>
      </c>
      <c r="BQ313" t="b">
        <f>IF(Metadata!AD313="",FALSE,TRUE)</f>
        <v>0</v>
      </c>
    </row>
    <row r="314" spans="1:69" x14ac:dyDescent="0.2">
      <c r="A314" s="4" t="e">
        <f ca="1">IF(B314=" "," ",HYPERLINK(CONCATENATE("#metadata!",ADDRESS(INDEX($AJ$2:$AJ$1001,MATCH(ROWS($AH$2:AH314),$AH$2:$AH$1001,0),0),2)),INDEX($AM$2:$AM$1001,MATCH(ROWS($AH$2:AH314),$AH$2:$AH$1001,0),0)))</f>
        <v>#N/A</v>
      </c>
      <c r="B314" s="5" t="e">
        <f ca="1">IF(OR(INDEX($AI$2:$AI$1001,MATCH(ROWS($AH$2:AH314),$AH$2:$AH$1001,0),1)&gt;=100000,INDEX($AO$1005:$BQ$1005,1,MATCH(COLUMNS($AO$1006:AO1006),$AO$1006:$BQ$1006,0))&gt;=100000), " ",IF(INDEX($AO$2:$BQ$1001,MATCH(ROWS($AH$2:AH314),$AH$2:$AH$1001,0),MATCH(COLUMNS($AO$1006:AO1006),$AO$1006:$BQ$1006,0)), HYPERLINK("#",""), HYPERLINK(CONCATENATE("#Metadata!", ADDRESS(INDEX($AJ$2:$AJ$1001,MATCH(ROWS($AH$2:AH314),$AH$2:$AH$1001,0),0), INDEX($AO$1004:$BQ$1004,1,MATCH(COLUMNS($AO$1006:AO1006),$AO$1006:$BQ$1006,0)))),"Fix")))</f>
        <v>#N/A</v>
      </c>
      <c r="C314" s="5" t="e">
        <f ca="1">IF(OR(INDEX($AI$2:$AI$1001,MATCH(ROWS($AH$2:AH314),$AH$2:$AH$1001,0),1)&gt;=100000,INDEX($AO$1005:$BQ$1005,1,MATCH(COLUMNS($AO$1006:AP1006),$AO$1006:$BQ$1006,0))&gt;=100000), " ",IF(INDEX($AO$2:$BQ$1001,MATCH(ROWS($AH$2:AH314),$AH$2:$AH$1001,0),MATCH(COLUMNS($AO$1006:AP1006),$AO$1006:$BQ$1006,0)), HYPERLINK("#",""), HYPERLINK(CONCATENATE("#Metadata!", ADDRESS(INDEX($AJ$2:$AJ$1001,MATCH(ROWS($AH$2:AH314),$AH$2:$AH$1001,0),0), INDEX($AO$1004:$BQ$1004,1,MATCH(COLUMNS($AO$1006:AP1006),$AO$1006:$BQ$1006,0)))),"Fix")))</f>
        <v>#N/A</v>
      </c>
      <c r="D314" s="5" t="e">
        <f ca="1">IF(OR(INDEX($AI$2:$AI$1001,MATCH(ROWS($AH$2:AH314),$AH$2:$AH$1001,0),1)&gt;=100000,INDEX($AO$1005:$BQ$1005,1,MATCH(COLUMNS($AO$1006:AQ1006),$AO$1006:$BQ$1006,0))&gt;=100000), " ",IF(INDEX($AO$2:$BQ$1001,MATCH(ROWS($AH$2:AH314),$AH$2:$AH$1001,0),MATCH(COLUMNS($AO$1006:AQ1006),$AO$1006:$BQ$1006,0)), HYPERLINK("#",""), HYPERLINK(CONCATENATE("#Metadata!", ADDRESS(INDEX($AJ$2:$AJ$1001,MATCH(ROWS($AH$2:AH314),$AH$2:$AH$1001,0),0), INDEX($AO$1004:$BQ$1004,1,MATCH(COLUMNS($AO$1006:AQ1006),$AO$1006:$BQ$1006,0)))),"Fix")))</f>
        <v>#N/A</v>
      </c>
      <c r="E314" s="5" t="e">
        <f ca="1">IF(OR(INDEX($AI$2:$AI$1001,MATCH(ROWS($AH$2:AH314),$AH$2:$AH$1001,0),1)&gt;=100000,INDEX($AO$1005:$BQ$1005,1,MATCH(COLUMNS($AO$1006:AR1006),$AO$1006:$BQ$1006,0))&gt;=100000), " ",IF(INDEX($AO$2:$BQ$1001,MATCH(ROWS($AH$2:AH314),$AH$2:$AH$1001,0),MATCH(COLUMNS($AO$1006:AR1006),$AO$1006:$BQ$1006,0)), HYPERLINK("#",""), HYPERLINK(CONCATENATE("#Metadata!", ADDRESS(INDEX($AJ$2:$AJ$1001,MATCH(ROWS($AH$2:AH314),$AH$2:$AH$1001,0),0), INDEX($AO$1004:$BQ$1004,1,MATCH(COLUMNS($AO$1006:AR1006),$AO$1006:$BQ$1006,0)))),"Fix")))</f>
        <v>#N/A</v>
      </c>
      <c r="F314" s="5" t="e">
        <f ca="1">IF(OR(INDEX($AI$2:$AI$1001,MATCH(ROWS($AH$2:AH314),$AH$2:$AH$1001,0),1)&gt;=100000,INDEX($AO$1005:$BQ$1005,1,MATCH(COLUMNS($AO$1006:AS1006),$AO$1006:$BQ$1006,0))&gt;=100000), " ",IF(INDEX($AO$2:$BQ$1001,MATCH(ROWS($AH$2:AH314),$AH$2:$AH$1001,0),MATCH(COLUMNS($AO$1006:AS1006),$AO$1006:$BQ$1006,0)), HYPERLINK("#",""), HYPERLINK(CONCATENATE("#Metadata!", ADDRESS(INDEX($AJ$2:$AJ$1001,MATCH(ROWS($AH$2:AH314),$AH$2:$AH$1001,0),0), INDEX($AO$1004:$BQ$1004,1,MATCH(COLUMNS($AO$1006:AS1006),$AO$1006:$BQ$1006,0)))),"Fix")))</f>
        <v>#N/A</v>
      </c>
      <c r="G314" s="5" t="e">
        <f ca="1">IF(OR(INDEX($AI$2:$AI$1001,MATCH(ROWS($AH$2:AH314),$AH$2:$AH$1001,0),1)&gt;=100000,INDEX($AO$1005:$BQ$1005,1,MATCH(COLUMNS($AO$1006:AT1006),$AO$1006:$BQ$1006,0))&gt;=100000), " ",IF(INDEX($AO$2:$BQ$1001,MATCH(ROWS($AH$2:AH314),$AH$2:$AH$1001,0),MATCH(COLUMNS($AO$1006:AT1006),$AO$1006:$BQ$1006,0)), HYPERLINK("#",""), HYPERLINK(CONCATENATE("#Metadata!", ADDRESS(INDEX($AJ$2:$AJ$1001,MATCH(ROWS($AH$2:AH314),$AH$2:$AH$1001,0),0), INDEX($AO$1004:$BQ$1004,1,MATCH(COLUMNS($AO$1006:AT1006),$AO$1006:$BQ$1006,0)))),"Fix")))</f>
        <v>#N/A</v>
      </c>
      <c r="H314" s="5" t="e">
        <f ca="1">IF(OR(INDEX($AI$2:$AI$1001,MATCH(ROWS($AH$2:AH314),$AH$2:$AH$1001,0),1)&gt;=100000,INDEX($AO$1005:$BQ$1005,1,MATCH(COLUMNS($AO$1006:AU1006),$AO$1006:$BQ$1006,0))&gt;=100000), " ",IF(INDEX($AO$2:$BQ$1001,MATCH(ROWS($AH$2:AH314),$AH$2:$AH$1001,0),MATCH(COLUMNS($AO$1006:AU1006),$AO$1006:$BQ$1006,0)), HYPERLINK("#",""), HYPERLINK(CONCATENATE("#Metadata!", ADDRESS(INDEX($AJ$2:$AJ$1001,MATCH(ROWS($AH$2:AH314),$AH$2:$AH$1001,0),0), INDEX($AO$1004:$BQ$1004,1,MATCH(COLUMNS($AO$1006:AU1006),$AO$1006:$BQ$1006,0)))),"Fix")))</f>
        <v>#N/A</v>
      </c>
      <c r="I314" s="5" t="e">
        <f ca="1">IF(OR(INDEX($AI$2:$AI$1001,MATCH(ROWS($AH$2:AH314),$AH$2:$AH$1001,0),1)&gt;=100000,INDEX($AO$1005:$BQ$1005,1,MATCH(COLUMNS($AO$1006:AV1006),$AO$1006:$BQ$1006,0))&gt;=100000), " ",IF(INDEX($AO$2:$BQ$1001,MATCH(ROWS($AH$2:AH314),$AH$2:$AH$1001,0),MATCH(COLUMNS($AO$1006:AV1006),$AO$1006:$BQ$1006,0)), HYPERLINK("#",""), HYPERLINK(CONCATENATE("#Metadata!", ADDRESS(INDEX($AJ$2:$AJ$1001,MATCH(ROWS($AH$2:AH314),$AH$2:$AH$1001,0),0), INDEX($AO$1004:$BQ$1004,1,MATCH(COLUMNS($AO$1006:AV1006),$AO$1006:$BQ$1006,0)))),"Fix")))</f>
        <v>#N/A</v>
      </c>
      <c r="J314" s="5" t="e">
        <f ca="1">IF(OR(INDEX($AI$2:$AI$1001,MATCH(ROWS($AH$2:AH314),$AH$2:$AH$1001,0),1)&gt;=100000,INDEX($AO$1005:$BQ$1005,1,MATCH(COLUMNS($AO$1006:AW1006),$AO$1006:$BQ$1006,0))&gt;=100000), " ",IF(INDEX($AO$2:$BQ$1001,MATCH(ROWS($AH$2:AH314),$AH$2:$AH$1001,0),MATCH(COLUMNS($AO$1006:AW1006),$AO$1006:$BQ$1006,0)), HYPERLINK("#",""), HYPERLINK(CONCATENATE("#Metadata!", ADDRESS(INDEX($AJ$2:$AJ$1001,MATCH(ROWS($AH$2:AH314),$AH$2:$AH$1001,0),0), INDEX($AO$1004:$BQ$1004,1,MATCH(COLUMNS($AO$1006:AW1006),$AO$1006:$BQ$1006,0)))),"Fix")))</f>
        <v>#N/A</v>
      </c>
      <c r="K314" s="5" t="e">
        <f ca="1">IF(OR(INDEX($AI$2:$AI$1001,MATCH(ROWS($AH$2:AH314),$AH$2:$AH$1001,0),1)&gt;=100000,INDEX($AO$1005:$BQ$1005,1,MATCH(COLUMNS($AO$1006:AX1006),$AO$1006:$BQ$1006,0))&gt;=100000), " ",IF(INDEX($AO$2:$BQ$1001,MATCH(ROWS($AH$2:AH314),$AH$2:$AH$1001,0),MATCH(COLUMNS($AO$1006:AX1006),$AO$1006:$BQ$1006,0)), HYPERLINK("#",""), HYPERLINK(CONCATENATE("#Metadata!", ADDRESS(INDEX($AJ$2:$AJ$1001,MATCH(ROWS($AH$2:AH314),$AH$2:$AH$1001,0),0), INDEX($AO$1004:$BQ$1004,1,MATCH(COLUMNS($AO$1006:AX1006),$AO$1006:$BQ$1006,0)))),"Fix")))</f>
        <v>#N/A</v>
      </c>
      <c r="L314" s="5" t="e">
        <f ca="1">IF(OR(INDEX($AI$2:$AI$1001,MATCH(ROWS($AH$2:AH314),$AH$2:$AH$1001,0),1)&gt;=100000,INDEX($AO$1005:$BQ$1005,1,MATCH(COLUMNS($AO$1006:AY1006),$AO$1006:$BQ$1006,0))&gt;=100000), " ",IF(INDEX($AO$2:$BQ$1001,MATCH(ROWS($AH$2:AH314),$AH$2:$AH$1001,0),MATCH(COLUMNS($AO$1006:AY1006),$AO$1006:$BQ$1006,0)), HYPERLINK("#",""), HYPERLINK(CONCATENATE("#Metadata!", ADDRESS(INDEX($AJ$2:$AJ$1001,MATCH(ROWS($AH$2:AH314),$AH$2:$AH$1001,0),0), INDEX($AO$1004:$BQ$1004,1,MATCH(COLUMNS($AO$1006:AY1006),$AO$1006:$BQ$1006,0)))),"Fix")))</f>
        <v>#N/A</v>
      </c>
      <c r="M314" s="5" t="e">
        <f ca="1">IF(OR(INDEX($AI$2:$AI$1001,MATCH(ROWS($AH$2:AH314),$AH$2:$AH$1001,0),1)&gt;=100000,INDEX($AO$1005:$BQ$1005,1,MATCH(COLUMNS($AO$1006:AZ1006),$AO$1006:$BQ$1006,0))&gt;=100000), " ",IF(INDEX($AO$2:$BQ$1001,MATCH(ROWS($AH$2:AH314),$AH$2:$AH$1001,0),MATCH(COLUMNS($AO$1006:AZ1006),$AO$1006:$BQ$1006,0)), HYPERLINK("#",""), HYPERLINK(CONCATENATE("#Metadata!", ADDRESS(INDEX($AJ$2:$AJ$1001,MATCH(ROWS($AH$2:AH314),$AH$2:$AH$1001,0),0), INDEX($AO$1004:$BQ$1004,1,MATCH(COLUMNS($AO$1006:AZ1006),$AO$1006:$BQ$1006,0)))),"Fix")))</f>
        <v>#N/A</v>
      </c>
      <c r="N314" s="5" t="e">
        <f ca="1">IF(OR(INDEX($AI$2:$AI$1001,MATCH(ROWS($AH$2:AH314),$AH$2:$AH$1001,0),1)&gt;=100000,INDEX($AO$1005:$BQ$1005,1,MATCH(COLUMNS($AO$1006:BA1006),$AO$1006:$BQ$1006,0))&gt;=100000), " ",IF(INDEX($AO$2:$BQ$1001,MATCH(ROWS($AH$2:AH314),$AH$2:$AH$1001,0),MATCH(COLUMNS($AO$1006:BA1006),$AO$1006:$BQ$1006,0)), HYPERLINK("#",""), HYPERLINK(CONCATENATE("#Metadata!", ADDRESS(INDEX($AJ$2:$AJ$1001,MATCH(ROWS($AH$2:AH314),$AH$2:$AH$1001,0),0), INDEX($AO$1004:$BQ$1004,1,MATCH(COLUMNS($AO$1006:BA1006),$AO$1006:$BQ$1006,0)))),"Fix")))</f>
        <v>#N/A</v>
      </c>
      <c r="O314" s="5" t="e">
        <f ca="1">IF(OR(INDEX($AI$2:$AI$1001,MATCH(ROWS($AH$2:AH314),$AH$2:$AH$1001,0),1)&gt;=100000,INDEX($AO$1005:$BQ$1005,1,MATCH(COLUMNS($AO$1006:BB1006),$AO$1006:$BQ$1006,0))&gt;=100000), " ",IF(INDEX($AO$2:$BQ$1001,MATCH(ROWS($AH$2:AH314),$AH$2:$AH$1001,0),MATCH(COLUMNS($AO$1006:BB1006),$AO$1006:$BQ$1006,0)), HYPERLINK("#",""), HYPERLINK(CONCATENATE("#Metadata!", ADDRESS(INDEX($AJ$2:$AJ$1001,MATCH(ROWS($AH$2:AH314),$AH$2:$AH$1001,0),0), INDEX($AO$1004:$BQ$1004,1,MATCH(COLUMNS($AO$1006:BB1006),$AO$1006:$BQ$1006,0)))),"Fix")))</f>
        <v>#N/A</v>
      </c>
      <c r="P314" s="5" t="e">
        <f ca="1">IF(OR(INDEX($AI$2:$AI$1001,MATCH(ROWS($AH$2:AH314),$AH$2:$AH$1001,0),1)&gt;=100000,INDEX($AO$1005:$BQ$1005,1,MATCH(COLUMNS($AO$1006:BC1006),$AO$1006:$BQ$1006,0))&gt;=100000), " ",IF(INDEX($AO$2:$BQ$1001,MATCH(ROWS($AH$2:AH314),$AH$2:$AH$1001,0),MATCH(COLUMNS($AO$1006:BC1006),$AO$1006:$BQ$1006,0)), HYPERLINK("#",""), HYPERLINK(CONCATENATE("#Metadata!", ADDRESS(INDEX($AJ$2:$AJ$1001,MATCH(ROWS($AH$2:AH314),$AH$2:$AH$1001,0),0), INDEX($AO$1004:$BQ$1004,1,MATCH(COLUMNS($AO$1006:BC1006),$AO$1006:$BQ$1006,0)))),"Fix")))</f>
        <v>#N/A</v>
      </c>
      <c r="Q314" s="5" t="e">
        <f ca="1">IF(OR(INDEX($AI$2:$AI$1001,MATCH(ROWS($AH$2:AH314),$AH$2:$AH$1001,0),1)&gt;=100000,INDEX($AO$1005:$BQ$1005,1,MATCH(COLUMNS($AO$1006:BD1006),$AO$1006:$BQ$1006,0))&gt;=100000), " ",IF(INDEX($AO$2:$BQ$1001,MATCH(ROWS($AH$2:AH314),$AH$2:$AH$1001,0),MATCH(COLUMNS($AO$1006:BD1006),$AO$1006:$BQ$1006,0)), HYPERLINK("#",""), HYPERLINK(CONCATENATE("#Metadata!", ADDRESS(INDEX($AJ$2:$AJ$1001,MATCH(ROWS($AH$2:AH314),$AH$2:$AH$1001,0),0), INDEX($AO$1004:$BQ$1004,1,MATCH(COLUMNS($AO$1006:BD1006),$AO$1006:$BQ$1006,0)))),"Fix")))</f>
        <v>#N/A</v>
      </c>
      <c r="R314" s="5" t="e">
        <f ca="1">IF(OR(INDEX($AI$2:$AI$1001,MATCH(ROWS($AH$2:AH314),$AH$2:$AH$1001,0),1)&gt;=100000,INDEX($AO$1005:$BQ$1005,1,MATCH(COLUMNS($AO$1006:BE1006),$AO$1006:$BQ$1006,0))&gt;=100000), " ",IF(INDEX($AO$2:$BQ$1001,MATCH(ROWS($AH$2:AH314),$AH$2:$AH$1001,0),MATCH(COLUMNS($AO$1006:BE1006),$AO$1006:$BQ$1006,0)), HYPERLINK("#",""), HYPERLINK(CONCATENATE("#Metadata!", ADDRESS(INDEX($AJ$2:$AJ$1001,MATCH(ROWS($AH$2:AH314),$AH$2:$AH$1001,0),0), INDEX($AO$1004:$BQ$1004,1,MATCH(COLUMNS($AO$1006:BE1006),$AO$1006:$BQ$1006,0)))),"Fix")))</f>
        <v>#N/A</v>
      </c>
      <c r="S314" s="5" t="e">
        <f ca="1">IF(OR(INDEX($AI$2:$AI$1001,MATCH(ROWS($AH$2:AH314),$AH$2:$AH$1001,0),1)&gt;=100000,INDEX($AO$1005:$BQ$1005,1,MATCH(COLUMNS($AO$1006:BF1006),$AO$1006:$BQ$1006,0))&gt;=100000), " ",IF(INDEX($AO$2:$BQ$1001,MATCH(ROWS($AH$2:AH314),$AH$2:$AH$1001,0),MATCH(COLUMNS($AO$1006:BF1006),$AO$1006:$BQ$1006,0)), HYPERLINK("#",""), HYPERLINK(CONCATENATE("#Metadata!", ADDRESS(INDEX($AJ$2:$AJ$1001,MATCH(ROWS($AH$2:AH314),$AH$2:$AH$1001,0),0), INDEX($AO$1004:$BQ$1004,1,MATCH(COLUMNS($AO$1006:BF1006),$AO$1006:$BQ$1006,0)))),"Fix")))</f>
        <v>#N/A</v>
      </c>
      <c r="T314" s="5" t="e">
        <f ca="1">IF(OR(INDEX($AI$2:$AI$1001,MATCH(ROWS($AH$2:AH314),$AH$2:$AH$1001,0),1)&gt;=100000,INDEX($AO$1005:$BQ$1005,1,MATCH(COLUMNS($AO$1006:BG1006),$AO$1006:$BQ$1006,0))&gt;=100000), " ",IF(INDEX($AO$2:$BQ$1001,MATCH(ROWS($AH$2:AH314),$AH$2:$AH$1001,0),MATCH(COLUMNS($AO$1006:BG1006),$AO$1006:$BQ$1006,0)), HYPERLINK("#",""), HYPERLINK(CONCATENATE("#Metadata!", ADDRESS(INDEX($AJ$2:$AJ$1001,MATCH(ROWS($AH$2:AH314),$AH$2:$AH$1001,0),0), INDEX($AO$1004:$BQ$1004,1,MATCH(COLUMNS($AO$1006:BG1006),$AO$1006:$BQ$1006,0)))),"Fix")))</f>
        <v>#N/A</v>
      </c>
      <c r="U314" s="5" t="e">
        <f ca="1">IF(OR(INDEX($AI$2:$AI$1001,MATCH(ROWS($AH$2:AH314),$AH$2:$AH$1001,0),1)&gt;=100000,INDEX($AO$1005:$BQ$1005,1,MATCH(COLUMNS($AO$1006:BH1006),$AO$1006:$BQ$1006,0))&gt;=100000), " ",IF(INDEX($AO$2:$BQ$1001,MATCH(ROWS($AH$2:AH314),$AH$2:$AH$1001,0),MATCH(COLUMNS($AO$1006:BH1006),$AO$1006:$BQ$1006,0)), HYPERLINK("#",""), HYPERLINK(CONCATENATE("#Metadata!", ADDRESS(INDEX($AJ$2:$AJ$1001,MATCH(ROWS($AH$2:AH314),$AH$2:$AH$1001,0),0), INDEX($AO$1004:$BQ$1004,1,MATCH(COLUMNS($AO$1006:BH1006),$AO$1006:$BQ$1006,0)))),"Fix")))</f>
        <v>#N/A</v>
      </c>
      <c r="V314" s="5" t="e">
        <f ca="1">IF(OR(INDEX($AI$2:$AI$1001,MATCH(ROWS($AH$2:AH314),$AH$2:$AH$1001,0),1)&gt;=100000,INDEX($AO$1005:$BQ$1005,1,MATCH(COLUMNS($AO$1006:BI1006),$AO$1006:$BQ$1006,0))&gt;=100000), " ",IF(INDEX($AO$2:$BQ$1001,MATCH(ROWS($AH$2:AH314),$AH$2:$AH$1001,0),MATCH(COLUMNS($AO$1006:BI1006),$AO$1006:$BQ$1006,0)), HYPERLINK("#",""), HYPERLINK(CONCATENATE("#Metadata!", ADDRESS(INDEX($AJ$2:$AJ$1001,MATCH(ROWS($AH$2:AH314),$AH$2:$AH$1001,0),0), INDEX($AO$1004:$BQ$1004,1,MATCH(COLUMNS($AO$1006:BI1006),$AO$1006:$BQ$1006,0)))),"Fix")))</f>
        <v>#N/A</v>
      </c>
      <c r="W314" s="5" t="e">
        <f ca="1">IF(OR(INDEX($AI$2:$AI$1001,MATCH(ROWS($AH$2:AH314),$AH$2:$AH$1001,0),1)&gt;=100000,INDEX($AO$1005:$BQ$1005,1,MATCH(COLUMNS($AO$1006:BJ1006),$AO$1006:$BQ$1006,0))&gt;=100000), " ",IF(INDEX($AO$2:$BQ$1001,MATCH(ROWS($AH$2:AH314),$AH$2:$AH$1001,0),MATCH(COLUMNS($AO$1006:BJ1006),$AO$1006:$BQ$1006,0)), HYPERLINK("#",""), HYPERLINK(CONCATENATE("#Metadata!", ADDRESS(INDEX($AJ$2:$AJ$1001,MATCH(ROWS($AH$2:AH314),$AH$2:$AH$1001,0),0), INDEX($AO$1004:$BQ$1004,1,MATCH(COLUMNS($AO$1006:BJ1006),$AO$1006:$BQ$1006,0)))),"Fix")))</f>
        <v>#N/A</v>
      </c>
      <c r="X314" s="5" t="e">
        <f ca="1">IF(OR(INDEX($AI$2:$AI$1001,MATCH(ROWS($AH$2:AH314),$AH$2:$AH$1001,0),1)&gt;=100000,INDEX($AO$1005:$BQ$1005,1,MATCH(COLUMNS($AO$1006:BK1006),$AO$1006:$BQ$1006,0))&gt;=100000), " ",IF(INDEX($AO$2:$BQ$1001,MATCH(ROWS($AH$2:AH314),$AH$2:$AH$1001,0),MATCH(COLUMNS($AO$1006:BK1006),$AO$1006:$BQ$1006,0)), HYPERLINK("#",""), HYPERLINK(CONCATENATE("#Metadata!", ADDRESS(INDEX($AJ$2:$AJ$1001,MATCH(ROWS($AH$2:AH314),$AH$2:$AH$1001,0),0), INDEX($AO$1004:$BQ$1004,1,MATCH(COLUMNS($AO$1006:BK1006),$AO$1006:$BQ$1006,0)))),"Fix")))</f>
        <v>#N/A</v>
      </c>
      <c r="Y314" s="5" t="e">
        <f ca="1">IF(OR(INDEX($AI$2:$AI$1001,MATCH(ROWS($AH$2:AH314),$AH$2:$AH$1001,0),1)&gt;=100000,INDEX($AO$1005:$BQ$1005,1,MATCH(COLUMNS($AO$1006:BL1006),$AO$1006:$BQ$1006,0))&gt;=100000), " ",IF(INDEX($AO$2:$BQ$1001,MATCH(ROWS($AH$2:AH314),$AH$2:$AH$1001,0),MATCH(COLUMNS($AO$1006:BL1006),$AO$1006:$BQ$1006,0)), HYPERLINK("#",""), HYPERLINK(CONCATENATE("#Metadata!", ADDRESS(INDEX($AJ$2:$AJ$1001,MATCH(ROWS($AH$2:AH314),$AH$2:$AH$1001,0),0), INDEX($AO$1004:$BQ$1004,1,MATCH(COLUMNS($AO$1006:BL1006),$AO$1006:$BQ$1006,0)))),"Fix")))</f>
        <v>#N/A</v>
      </c>
      <c r="Z314" s="5" t="e">
        <f ca="1">IF(OR(INDEX($AI$2:$AI$1001,MATCH(ROWS($AH$2:AH314),$AH$2:$AH$1001,0),1)&gt;=100000,INDEX($AO$1005:$BQ$1005,1,MATCH(COLUMNS($AO$1006:BM1006),$AO$1006:$BQ$1006,0))&gt;=100000), " ",IF(INDEX($AO$2:$BQ$1001,MATCH(ROWS($AH$2:AH314),$AH$2:$AH$1001,0),MATCH(COLUMNS($AO$1006:BM1006),$AO$1006:$BQ$1006,0)), HYPERLINK("#",""), HYPERLINK(CONCATENATE("#Metadata!", ADDRESS(INDEX($AJ$2:$AJ$1001,MATCH(ROWS($AH$2:AH314),$AH$2:$AH$1001,0),0), INDEX($AO$1004:$BQ$1004,1,MATCH(COLUMNS($AO$1006:BM1006),$AO$1006:$BQ$1006,0)))),"Fix")))</f>
        <v>#N/A</v>
      </c>
      <c r="AA314" s="5" t="e">
        <f ca="1">IF(OR(INDEX($AI$2:$AI$1001,MATCH(ROWS($AH$2:AH314),$AH$2:$AH$1001,0),1)&gt;=100000,INDEX($AO$1005:$BQ$1005,1,MATCH(COLUMNS($AO$1006:BN1006),$AO$1006:$BQ$1006,0))&gt;=100000), " ",IF(INDEX($AO$2:$BQ$1001,MATCH(ROWS($AH$2:AH314),$AH$2:$AH$1001,0),MATCH(COLUMNS($AO$1006:BN1006),$AO$1006:$BQ$1006,0)), HYPERLINK("#",""), HYPERLINK(CONCATENATE("#Metadata!", ADDRESS(INDEX($AJ$2:$AJ$1001,MATCH(ROWS($AH$2:AH314),$AH$2:$AH$1001,0),0), INDEX($AO$1004:$BQ$1004,1,MATCH(COLUMNS($AO$1006:BN1006),$AO$1006:$BQ$1006,0)))),"Fix")))</f>
        <v>#N/A</v>
      </c>
      <c r="AB314" s="5" t="e">
        <f ca="1">IF(OR(INDEX($AI$2:$AI$1001,MATCH(ROWS($AH$2:AH314),$AH$2:$AH$1001,0),1)&gt;=100000,INDEX($AO$1005:$BQ$1005,1,MATCH(COLUMNS($AO$1006:BO1006),$AO$1006:$BQ$1006,0))&gt;=100000), " ",IF(INDEX($AO$2:$BQ$1001,MATCH(ROWS($AH$2:AH314),$AH$2:$AH$1001,0),MATCH(COLUMNS($AO$1006:BO1006),$AO$1006:$BQ$1006,0)), HYPERLINK("#",""), HYPERLINK(CONCATENATE("#Metadata!", ADDRESS(INDEX($AJ$2:$AJ$1001,MATCH(ROWS($AH$2:AH314),$AH$2:$AH$1001,0),0), INDEX($AO$1004:$BQ$1004,1,MATCH(COLUMNS($AO$1006:BO1006),$AO$1006:$BQ$1006,0)))),"Fix")))</f>
        <v>#N/A</v>
      </c>
      <c r="AC314" s="5" t="e">
        <f ca="1">IF(OR(INDEX($AI$2:$AI$1001,MATCH(ROWS($AH$2:AH314),$AH$2:$AH$1001,0),1)&gt;=100000,INDEX($AO$1005:$BQ$1005,1,MATCH(COLUMNS($AO$1006:BP1006),$AO$1006:$BQ$1006,0))&gt;=100000), " ",IF(INDEX($AO$2:$BQ$1001,MATCH(ROWS($AH$2:AH314),$AH$2:$AH$1001,0),MATCH(COLUMNS($AO$1006:BP1006),$AO$1006:$BQ$1006,0)), HYPERLINK("#",""), HYPERLINK(CONCATENATE("#Metadata!", ADDRESS(INDEX($AJ$2:$AJ$1001,MATCH(ROWS($AH$2:AH314),$AH$2:$AH$1001,0),0), INDEX($AO$1004:$BQ$1004,1,MATCH(COLUMNS($AO$1006:BP1006),$AO$1006:$BQ$1006,0)))),"Fix")))</f>
        <v>#N/A</v>
      </c>
      <c r="AD314" s="5" t="e">
        <f ca="1">IF(OR(INDEX($AI$2:$AI$1001,MATCH(ROWS($AH$2:AH314),$AH$2:$AH$1001,0),1)&gt;=100000,INDEX($AO$1005:$BQ$1005,1,MATCH(COLUMNS($AO$1006:BQ1006),$AO$1006:$BQ$1006,0))&gt;=100000), " ",IF(INDEX($AO$2:$BQ$1001,MATCH(ROWS($AH$2:AH314),$AH$2:$AH$1001,0),MATCH(COLUMNS($AO$1006:BQ1006),$AO$1006:$BQ$1006,0)), HYPERLINK("#",""), HYPERLINK(CONCATENATE("#Metadata!", ADDRESS(INDEX($AJ$2:$AJ$1001,MATCH(ROWS($AH$2:AH314),$AH$2:$AH$1001,0),0), INDEX($AO$1004:$BQ$1004,1,MATCH(COLUMNS($AO$1006:BQ1006),$AO$1006:$BQ$1006,0)))),"Fix")))</f>
        <v>#REF!</v>
      </c>
      <c r="AH314">
        <f ca="1"/>
        <v>311</v>
      </c>
      <c r="AI314">
        <v>100314</v>
      </c>
      <c r="AJ314">
        <v>314</v>
      </c>
      <c r="AK314" t="b">
        <f t="shared" si="4"/>
        <v>1</v>
      </c>
      <c r="AL314" t="b">
        <f>COUNTBLANK(Metadata!B314:AD314)=COLUMNS(Metadata!B314:AD314)</f>
        <v>1</v>
      </c>
      <c r="AM314" t="str">
        <v/>
      </c>
      <c r="AO314" t="b">
        <f ca="1">AND(IF(Metadata!B314="",FALSE,TRUE),COUNTIF(Metadata!B:B, Metadata!B314) = 1,NOT(ISERROR(SUMPRODUCT(SEARCH(MID(Metadata!B314,ROW(INDIRECT("1:"&amp;LEN(Metadata!B314))), 1),"0123456789abcdefghijklmnopqrstuvwxyzABCDEFGHIJKLMNOPQRSTUVWXYZ.")))))</f>
        <v>0</v>
      </c>
      <c r="AP314" t="b">
        <f>IF(Metadata!C314="",FALSE,TRUE)</f>
        <v>0</v>
      </c>
      <c r="AQ314" t="b">
        <f>IF(Metadata!D314="",FALSE,TRUE)</f>
        <v>0</v>
      </c>
      <c r="AR314" t="b">
        <f ca="1">OR(AND(IF(Metadata!E314="",FALSE,TRUE),OR(EXACT(Metadata!E314,"not collected"),EXACT(Metadata!E314,"not provided"),EXACT(Metadata!E314,"restricted access"))),AND(IF(Metadata!E314="",FALSE,TRUE),AND(AND(IFERROR(INT(LEFT(Metadata!E314,4))&gt;1900,FALSE),IFERROR(INT(LEFT(Metadata!E314,4))&lt;=YEAR(NOW()),FALSE)), OR(MID(Metadata!E314,5,1)="", AND(AND(MID(Metadata!E314,5,1)="-",IFERROR(INT(MID(Metadata!E314,6,1))&gt;=0,FALSE),IFERROR(INT(MID(Metadata!E314,6,1))&lt;=1,FALSE),NOT(MID(Metadata!E314,7,1)=""),IFERROR(INT(MID(Metadata!E314,6,2))&gt;=1,FALSE),IFERROR(INT(MID(Metadata!E314,6,2))&lt;=12,FALSE)), OR(MID(Metadata!E314,8,1)="", AND(AND(MID(Metadata!E314,8,1)="-",IFERROR(INT(MID(Metadata!E314,9,1))&gt;=0,FALSE),IFERROR(INT(MID(Metadata!E314,9,1))&lt;=3,FALSE),NOT(MID(Metadata!E314,10,1)=""),IFERROR(INT(MID(Metadata!E314,9,2))&gt;=1,FALSE),IFERROR(INT(MID(Metadata!E314,9,2))&lt;=31,FALSE)), OR(MID(Metadata!E314,11,1)="", AND(AND(MID(Metadata!E314,11,1)=" ",IFERROR(INT(MID(Metadata!E314,12,1))&gt;=0,FALSE),IFERROR(INT(MID(Metadata!E314,12,1))&lt;=2,FALSE),NOT(MID(Metadata!E314,13,1)=""),IFERROR(INT(MID(Metadata!E314,12,2))&gt;=0,FALSE),IFERROR(INT(MID(Metadata!E314,12,2))&lt;=23,FALSE)), OR(MID(Metadata!E314,14,1)="", AND(AND(MID(Metadata!E314,14,1)=":",IFERROR(INT(MID(Metadata!E314,15,1))&gt;=0,FALSE),IFERROR(INT(MID(Metadata!E314,15,1))&lt;=5,FALSE),NOT(MID(Metadata!E314,16,1)=""),IFERROR(INT(MID(Metadata!E314,15,2))&gt;=0,FALSE),IFERROR(INT(MID(Metadata!E314,15,2))&lt;=59,FALSE)), OR(MID(Metadata!E314,17,1)="", AND(AND(MID(Metadata!E314,17,1)=":",IFERROR(INT(MID(Metadata!E314,18,1))&gt;=0,FALSE),IFERROR(INT(MID(Metadata!E314,18,1))&lt;=5,FALSE),NOT(MID(Metadata!E314,19,1)=""),IFERROR(INT(MID(Metadata!E314,18,2))&gt;=0,FALSE),IFERROR(INT(MID(Metadata!E314,18,2))&lt;=59,FALSE)), LEN(Metadata!E314)&lt;=19)))))))))))))</f>
        <v>0</v>
      </c>
      <c r="AS314" t="b">
        <f>IF(Metadata!F314="",FALSE,TRUE)</f>
        <v>0</v>
      </c>
      <c r="AT314" t="b">
        <f>OR(AND(IF(Metadata!G314="",FALSE,TRUE),OR(EXACT(Metadata!G314,"not collected"),EXACT(Metadata!G314,"not provided"))),AND(IF(Metadata!G314="",FALSE,TRUE),OR(EXACT(Metadata!G314,"TRUE"),EXACT(Metadata!G314,"FALSE"))))</f>
        <v>0</v>
      </c>
      <c r="AU314" t="b">
        <f>OR(AND(IF(Metadata!H314="",FALSE,TRUE),OR(EXACT(Metadata!H314,"not collected"),EXACT(Metadata!H314,"not provided"),EXACT(Metadata!H314,"restricted access"))),AND(IF(Metadata!H314="",FALSE,ISNUMBER(VALUE(Metadata!H314))),Metadata!H314&gt;=-413))</f>
        <v>0</v>
      </c>
      <c r="AV314" t="b">
        <f>AND(IF(Metadata!I314="",FALSE,TRUE),EXACT(Metadata!I314,"meters"))</f>
        <v>0</v>
      </c>
      <c r="AW314" t="b">
        <f>AND(IF(Metadata!J314="",FALSE,TRUE),EXACT(Metadata!J314,"free-living"))</f>
        <v>0</v>
      </c>
      <c r="AX314" t="b">
        <f>AND(IF(Metadata!K314="",FALSE,TRUE),OR(EXACT(Metadata!K314,"saline"),EXACT(Metadata!K314,"non-saline")))</f>
        <v>0</v>
      </c>
      <c r="AY314" t="b">
        <f>AND(IF(Metadata!L314="",FALSE,TRUE),OR(EXACT(Metadata!L314,"sub-surface (non-saline)"),EXACT(Metadata!L314,"surface (non-saline)"),EXACT(Metadata!L314,"water (non-saline)"),EXACT(Metadata!L314,"soil (non-saline)"),EXACT(Metadata!L314,"aerosol (non-saline)"),EXACT(Metadata!L314,"sediment (non-saline)"),EXACT(Metadata!L314,"surface (saline)"),EXACT(Metadata!L314,"water (saline)"),EXACT(Metadata!L314,"hypersaline (saline)"),EXACT(Metadata!L314,"aerosol (saline)"),EXACT(Metadata!L314,"sediment (saline)")))</f>
        <v>0</v>
      </c>
      <c r="AZ314" t="b">
        <f>IF(Metadata!M314="",FALSE,TRUE)</f>
        <v>0</v>
      </c>
      <c r="BA314" t="b">
        <f>IF(Metadata!N314="",FALSE,TRUE)</f>
        <v>0</v>
      </c>
      <c r="BB314" t="b">
        <f>IF(Metadata!O314="",FALSE,TRUE)</f>
        <v>0</v>
      </c>
      <c r="BC314" t="b">
        <f>AND(IF(Metadata!P314="",FALSE,TRUE),OR(EXACT(Metadata!P314,"air"),EXACT(Metadata!P314,"microbial mat/biofilm"),EXACT(Metadata!P314,"misc environment"),EXACT(Metadata!P314,"sediment"),EXACT(Metadata!P314,"soil"),EXACT(Metadata!P314,"wastewater/sludge"),EXACT(Metadata!P314,"water")))</f>
        <v>0</v>
      </c>
      <c r="BD314" t="b">
        <f>IF(Metadata!Q314="",FALSE,TRUE)</f>
        <v>0</v>
      </c>
      <c r="BE314" t="b">
        <f>IF(Metadata!R314="",FALSE,TRUE)</f>
        <v>0</v>
      </c>
      <c r="BF314" t="b">
        <f>OR(AND(IF(Metadata!S314="",FALSE,TRUE),OR(EXACT(Metadata!S314,"not collected"),EXACT(Metadata!S314,"not provided"),EXACT(Metadata!S314,"restricted access"))),AND(IF(Metadata!S314="",FALSE,ISNUMBER(VALUE(Metadata!S314))),Metadata!S314&gt;=-90,Metadata!S314&lt;=90))</f>
        <v>0</v>
      </c>
      <c r="BG314" t="b">
        <f>AND(IF(Metadata!T314="",FALSE,TRUE),EXACT(Metadata!T314,"Decimal degrees"))</f>
        <v>0</v>
      </c>
      <c r="BH314" t="b">
        <f>OR(AND(IF(Metadata!U314="",FALSE,TRUE),OR(EXACT(Metadata!U314,"not applicable"),EXACT(Metadata!U314,"not collected"))),IF(Metadata!U314="",FALSE,TRUE))</f>
        <v>0</v>
      </c>
      <c r="BI314" t="b">
        <f>OR(AND(IF(Metadata!V314="",FALSE,TRUE),OR(EXACT(Metadata!V314,"not collected"),EXACT(Metadata!V314,"not provided"),EXACT(Metadata!V314,"restricted access"))),AND(IF(Metadata!V314="",FALSE,ISNUMBER(VALUE(Metadata!V314))),Metadata!V314&gt;=-180,Metadata!V314&lt;=180))</f>
        <v>0</v>
      </c>
      <c r="BJ314" t="b">
        <f>AND(IF(Metadata!W314="",FALSE,TRUE),EXACT(Metadata!W314,"Decimal degrees"))</f>
        <v>0</v>
      </c>
      <c r="BK314" t="b">
        <f>IF(Metadata!X314="",FALSE,TRUE)</f>
        <v>0</v>
      </c>
      <c r="BL314" t="b">
        <f>OR(AND(IF(Metadata!Y314="",FALSE,TRUE),OR(EXACT(Metadata!Y314,"not collected"),EXACT(Metadata!Y314,"not provided"),EXACT(Metadata!Y314,"restricted access"))),AND(IF(Metadata!Y314="",FALSE,TRUE),OR(EXACT(Metadata!Y314,"TRUE"),EXACT(Metadata!Y314,"FALSE"))))</f>
        <v>0</v>
      </c>
      <c r="BM314" t="b">
        <f>OR(AND(IF(Metadata!Z314="",FALSE,TRUE),EXACT(Metadata!Z314,"not applicable")),AND(IF(Metadata!Z314="",FALSE,TRUE),OR(EXACT(Metadata!Z314,"beer"),EXACT(Metadata!Z314,"cheese"),EXACT(Metadata!Z314,"fresh water"),EXACT(Metadata!Z314,"marine sediment"),EXACT(Metadata!Z314,"sea water"),EXACT(Metadata!Z314,"sediment"),EXACT(Metadata!Z314,"soil"),EXACT(Metadata!Z314,"waste water"))))</f>
        <v>0</v>
      </c>
      <c r="BN314" t="b">
        <f>AND(IF(Metadata!AA314="",FALSE,TRUE),EXACT(Metadata!AA314,"metagenome"))</f>
        <v>0</v>
      </c>
      <c r="BO314" t="b">
        <f>AND(IF(Metadata!AB314="",FALSE,TRUE),EXACT(Metadata!AB314,"256318"))</f>
        <v>0</v>
      </c>
      <c r="BP314" t="b">
        <f>IF(Metadata!AC314="",FALSE,TRUE)</f>
        <v>0</v>
      </c>
      <c r="BQ314" t="b">
        <f>IF(Metadata!AD314="",FALSE,TRUE)</f>
        <v>0</v>
      </c>
    </row>
    <row r="315" spans="1:69" x14ac:dyDescent="0.2">
      <c r="A315" s="4" t="e">
        <f ca="1">IF(B315=" "," ",HYPERLINK(CONCATENATE("#metadata!",ADDRESS(INDEX($AJ$2:$AJ$1001,MATCH(ROWS($AH$2:AH315),$AH$2:$AH$1001,0),0),2)),INDEX($AM$2:$AM$1001,MATCH(ROWS($AH$2:AH315),$AH$2:$AH$1001,0),0)))</f>
        <v>#N/A</v>
      </c>
      <c r="B315" s="5" t="e">
        <f ca="1">IF(OR(INDEX($AI$2:$AI$1001,MATCH(ROWS($AH$2:AH315),$AH$2:$AH$1001,0),1)&gt;=100000,INDEX($AO$1005:$BQ$1005,1,MATCH(COLUMNS($AO$1006:AO1006),$AO$1006:$BQ$1006,0))&gt;=100000), " ",IF(INDEX($AO$2:$BQ$1001,MATCH(ROWS($AH$2:AH315),$AH$2:$AH$1001,0),MATCH(COLUMNS($AO$1006:AO1006),$AO$1006:$BQ$1006,0)), HYPERLINK("#",""), HYPERLINK(CONCATENATE("#Metadata!", ADDRESS(INDEX($AJ$2:$AJ$1001,MATCH(ROWS($AH$2:AH315),$AH$2:$AH$1001,0),0), INDEX($AO$1004:$BQ$1004,1,MATCH(COLUMNS($AO$1006:AO1006),$AO$1006:$BQ$1006,0)))),"Fix")))</f>
        <v>#N/A</v>
      </c>
      <c r="C315" s="5" t="e">
        <f ca="1">IF(OR(INDEX($AI$2:$AI$1001,MATCH(ROWS($AH$2:AH315),$AH$2:$AH$1001,0),1)&gt;=100000,INDEX($AO$1005:$BQ$1005,1,MATCH(COLUMNS($AO$1006:AP1006),$AO$1006:$BQ$1006,0))&gt;=100000), " ",IF(INDEX($AO$2:$BQ$1001,MATCH(ROWS($AH$2:AH315),$AH$2:$AH$1001,0),MATCH(COLUMNS($AO$1006:AP1006),$AO$1006:$BQ$1006,0)), HYPERLINK("#",""), HYPERLINK(CONCATENATE("#Metadata!", ADDRESS(INDEX($AJ$2:$AJ$1001,MATCH(ROWS($AH$2:AH315),$AH$2:$AH$1001,0),0), INDEX($AO$1004:$BQ$1004,1,MATCH(COLUMNS($AO$1006:AP1006),$AO$1006:$BQ$1006,0)))),"Fix")))</f>
        <v>#N/A</v>
      </c>
      <c r="D315" s="5" t="e">
        <f ca="1">IF(OR(INDEX($AI$2:$AI$1001,MATCH(ROWS($AH$2:AH315),$AH$2:$AH$1001,0),1)&gt;=100000,INDEX($AO$1005:$BQ$1005,1,MATCH(COLUMNS($AO$1006:AQ1006),$AO$1006:$BQ$1006,0))&gt;=100000), " ",IF(INDEX($AO$2:$BQ$1001,MATCH(ROWS($AH$2:AH315),$AH$2:$AH$1001,0),MATCH(COLUMNS($AO$1006:AQ1006),$AO$1006:$BQ$1006,0)), HYPERLINK("#",""), HYPERLINK(CONCATENATE("#Metadata!", ADDRESS(INDEX($AJ$2:$AJ$1001,MATCH(ROWS($AH$2:AH315),$AH$2:$AH$1001,0),0), INDEX($AO$1004:$BQ$1004,1,MATCH(COLUMNS($AO$1006:AQ1006),$AO$1006:$BQ$1006,0)))),"Fix")))</f>
        <v>#N/A</v>
      </c>
      <c r="E315" s="5" t="e">
        <f ca="1">IF(OR(INDEX($AI$2:$AI$1001,MATCH(ROWS($AH$2:AH315),$AH$2:$AH$1001,0),1)&gt;=100000,INDEX($AO$1005:$BQ$1005,1,MATCH(COLUMNS($AO$1006:AR1006),$AO$1006:$BQ$1006,0))&gt;=100000), " ",IF(INDEX($AO$2:$BQ$1001,MATCH(ROWS($AH$2:AH315),$AH$2:$AH$1001,0),MATCH(COLUMNS($AO$1006:AR1006),$AO$1006:$BQ$1006,0)), HYPERLINK("#",""), HYPERLINK(CONCATENATE("#Metadata!", ADDRESS(INDEX($AJ$2:$AJ$1001,MATCH(ROWS($AH$2:AH315),$AH$2:$AH$1001,0),0), INDEX($AO$1004:$BQ$1004,1,MATCH(COLUMNS($AO$1006:AR1006),$AO$1006:$BQ$1006,0)))),"Fix")))</f>
        <v>#N/A</v>
      </c>
      <c r="F315" s="5" t="e">
        <f ca="1">IF(OR(INDEX($AI$2:$AI$1001,MATCH(ROWS($AH$2:AH315),$AH$2:$AH$1001,0),1)&gt;=100000,INDEX($AO$1005:$BQ$1005,1,MATCH(COLUMNS($AO$1006:AS1006),$AO$1006:$BQ$1006,0))&gt;=100000), " ",IF(INDEX($AO$2:$BQ$1001,MATCH(ROWS($AH$2:AH315),$AH$2:$AH$1001,0),MATCH(COLUMNS($AO$1006:AS1006),$AO$1006:$BQ$1006,0)), HYPERLINK("#",""), HYPERLINK(CONCATENATE("#Metadata!", ADDRESS(INDEX($AJ$2:$AJ$1001,MATCH(ROWS($AH$2:AH315),$AH$2:$AH$1001,0),0), INDEX($AO$1004:$BQ$1004,1,MATCH(COLUMNS($AO$1006:AS1006),$AO$1006:$BQ$1006,0)))),"Fix")))</f>
        <v>#N/A</v>
      </c>
      <c r="G315" s="5" t="e">
        <f ca="1">IF(OR(INDEX($AI$2:$AI$1001,MATCH(ROWS($AH$2:AH315),$AH$2:$AH$1001,0),1)&gt;=100000,INDEX($AO$1005:$BQ$1005,1,MATCH(COLUMNS($AO$1006:AT1006),$AO$1006:$BQ$1006,0))&gt;=100000), " ",IF(INDEX($AO$2:$BQ$1001,MATCH(ROWS($AH$2:AH315),$AH$2:$AH$1001,0),MATCH(COLUMNS($AO$1006:AT1006),$AO$1006:$BQ$1006,0)), HYPERLINK("#",""), HYPERLINK(CONCATENATE("#Metadata!", ADDRESS(INDEX($AJ$2:$AJ$1001,MATCH(ROWS($AH$2:AH315),$AH$2:$AH$1001,0),0), INDEX($AO$1004:$BQ$1004,1,MATCH(COLUMNS($AO$1006:AT1006),$AO$1006:$BQ$1006,0)))),"Fix")))</f>
        <v>#N/A</v>
      </c>
      <c r="H315" s="5" t="e">
        <f ca="1">IF(OR(INDEX($AI$2:$AI$1001,MATCH(ROWS($AH$2:AH315),$AH$2:$AH$1001,0),1)&gt;=100000,INDEX($AO$1005:$BQ$1005,1,MATCH(COLUMNS($AO$1006:AU1006),$AO$1006:$BQ$1006,0))&gt;=100000), " ",IF(INDEX($AO$2:$BQ$1001,MATCH(ROWS($AH$2:AH315),$AH$2:$AH$1001,0),MATCH(COLUMNS($AO$1006:AU1006),$AO$1006:$BQ$1006,0)), HYPERLINK("#",""), HYPERLINK(CONCATENATE("#Metadata!", ADDRESS(INDEX($AJ$2:$AJ$1001,MATCH(ROWS($AH$2:AH315),$AH$2:$AH$1001,0),0), INDEX($AO$1004:$BQ$1004,1,MATCH(COLUMNS($AO$1006:AU1006),$AO$1006:$BQ$1006,0)))),"Fix")))</f>
        <v>#N/A</v>
      </c>
      <c r="I315" s="5" t="e">
        <f ca="1">IF(OR(INDEX($AI$2:$AI$1001,MATCH(ROWS($AH$2:AH315),$AH$2:$AH$1001,0),1)&gt;=100000,INDEX($AO$1005:$BQ$1005,1,MATCH(COLUMNS($AO$1006:AV1006),$AO$1006:$BQ$1006,0))&gt;=100000), " ",IF(INDEX($AO$2:$BQ$1001,MATCH(ROWS($AH$2:AH315),$AH$2:$AH$1001,0),MATCH(COLUMNS($AO$1006:AV1006),$AO$1006:$BQ$1006,0)), HYPERLINK("#",""), HYPERLINK(CONCATENATE("#Metadata!", ADDRESS(INDEX($AJ$2:$AJ$1001,MATCH(ROWS($AH$2:AH315),$AH$2:$AH$1001,0),0), INDEX($AO$1004:$BQ$1004,1,MATCH(COLUMNS($AO$1006:AV1006),$AO$1006:$BQ$1006,0)))),"Fix")))</f>
        <v>#N/A</v>
      </c>
      <c r="J315" s="5" t="e">
        <f ca="1">IF(OR(INDEX($AI$2:$AI$1001,MATCH(ROWS($AH$2:AH315),$AH$2:$AH$1001,0),1)&gt;=100000,INDEX($AO$1005:$BQ$1005,1,MATCH(COLUMNS($AO$1006:AW1006),$AO$1006:$BQ$1006,0))&gt;=100000), " ",IF(INDEX($AO$2:$BQ$1001,MATCH(ROWS($AH$2:AH315),$AH$2:$AH$1001,0),MATCH(COLUMNS($AO$1006:AW1006),$AO$1006:$BQ$1006,0)), HYPERLINK("#",""), HYPERLINK(CONCATENATE("#Metadata!", ADDRESS(INDEX($AJ$2:$AJ$1001,MATCH(ROWS($AH$2:AH315),$AH$2:$AH$1001,0),0), INDEX($AO$1004:$BQ$1004,1,MATCH(COLUMNS($AO$1006:AW1006),$AO$1006:$BQ$1006,0)))),"Fix")))</f>
        <v>#N/A</v>
      </c>
      <c r="K315" s="5" t="e">
        <f ca="1">IF(OR(INDEX($AI$2:$AI$1001,MATCH(ROWS($AH$2:AH315),$AH$2:$AH$1001,0),1)&gt;=100000,INDEX($AO$1005:$BQ$1005,1,MATCH(COLUMNS($AO$1006:AX1006),$AO$1006:$BQ$1006,0))&gt;=100000), " ",IF(INDEX($AO$2:$BQ$1001,MATCH(ROWS($AH$2:AH315),$AH$2:$AH$1001,0),MATCH(COLUMNS($AO$1006:AX1006),$AO$1006:$BQ$1006,0)), HYPERLINK("#",""), HYPERLINK(CONCATENATE("#Metadata!", ADDRESS(INDEX($AJ$2:$AJ$1001,MATCH(ROWS($AH$2:AH315),$AH$2:$AH$1001,0),0), INDEX($AO$1004:$BQ$1004,1,MATCH(COLUMNS($AO$1006:AX1006),$AO$1006:$BQ$1006,0)))),"Fix")))</f>
        <v>#N/A</v>
      </c>
      <c r="L315" s="5" t="e">
        <f ca="1">IF(OR(INDEX($AI$2:$AI$1001,MATCH(ROWS($AH$2:AH315),$AH$2:$AH$1001,0),1)&gt;=100000,INDEX($AO$1005:$BQ$1005,1,MATCH(COLUMNS($AO$1006:AY1006),$AO$1006:$BQ$1006,0))&gt;=100000), " ",IF(INDEX($AO$2:$BQ$1001,MATCH(ROWS($AH$2:AH315),$AH$2:$AH$1001,0),MATCH(COLUMNS($AO$1006:AY1006),$AO$1006:$BQ$1006,0)), HYPERLINK("#",""), HYPERLINK(CONCATENATE("#Metadata!", ADDRESS(INDEX($AJ$2:$AJ$1001,MATCH(ROWS($AH$2:AH315),$AH$2:$AH$1001,0),0), INDEX($AO$1004:$BQ$1004,1,MATCH(COLUMNS($AO$1006:AY1006),$AO$1006:$BQ$1006,0)))),"Fix")))</f>
        <v>#N/A</v>
      </c>
      <c r="M315" s="5" t="e">
        <f ca="1">IF(OR(INDEX($AI$2:$AI$1001,MATCH(ROWS($AH$2:AH315),$AH$2:$AH$1001,0),1)&gt;=100000,INDEX($AO$1005:$BQ$1005,1,MATCH(COLUMNS($AO$1006:AZ1006),$AO$1006:$BQ$1006,0))&gt;=100000), " ",IF(INDEX($AO$2:$BQ$1001,MATCH(ROWS($AH$2:AH315),$AH$2:$AH$1001,0),MATCH(COLUMNS($AO$1006:AZ1006),$AO$1006:$BQ$1006,0)), HYPERLINK("#",""), HYPERLINK(CONCATENATE("#Metadata!", ADDRESS(INDEX($AJ$2:$AJ$1001,MATCH(ROWS($AH$2:AH315),$AH$2:$AH$1001,0),0), INDEX($AO$1004:$BQ$1004,1,MATCH(COLUMNS($AO$1006:AZ1006),$AO$1006:$BQ$1006,0)))),"Fix")))</f>
        <v>#N/A</v>
      </c>
      <c r="N315" s="5" t="e">
        <f ca="1">IF(OR(INDEX($AI$2:$AI$1001,MATCH(ROWS($AH$2:AH315),$AH$2:$AH$1001,0),1)&gt;=100000,INDEX($AO$1005:$BQ$1005,1,MATCH(COLUMNS($AO$1006:BA1006),$AO$1006:$BQ$1006,0))&gt;=100000), " ",IF(INDEX($AO$2:$BQ$1001,MATCH(ROWS($AH$2:AH315),$AH$2:$AH$1001,0),MATCH(COLUMNS($AO$1006:BA1006),$AO$1006:$BQ$1006,0)), HYPERLINK("#",""), HYPERLINK(CONCATENATE("#Metadata!", ADDRESS(INDEX($AJ$2:$AJ$1001,MATCH(ROWS($AH$2:AH315),$AH$2:$AH$1001,0),0), INDEX($AO$1004:$BQ$1004,1,MATCH(COLUMNS($AO$1006:BA1006),$AO$1006:$BQ$1006,0)))),"Fix")))</f>
        <v>#N/A</v>
      </c>
      <c r="O315" s="5" t="e">
        <f ca="1">IF(OR(INDEX($AI$2:$AI$1001,MATCH(ROWS($AH$2:AH315),$AH$2:$AH$1001,0),1)&gt;=100000,INDEX($AO$1005:$BQ$1005,1,MATCH(COLUMNS($AO$1006:BB1006),$AO$1006:$BQ$1006,0))&gt;=100000), " ",IF(INDEX($AO$2:$BQ$1001,MATCH(ROWS($AH$2:AH315),$AH$2:$AH$1001,0),MATCH(COLUMNS($AO$1006:BB1006),$AO$1006:$BQ$1006,0)), HYPERLINK("#",""), HYPERLINK(CONCATENATE("#Metadata!", ADDRESS(INDEX($AJ$2:$AJ$1001,MATCH(ROWS($AH$2:AH315),$AH$2:$AH$1001,0),0), INDEX($AO$1004:$BQ$1004,1,MATCH(COLUMNS($AO$1006:BB1006),$AO$1006:$BQ$1006,0)))),"Fix")))</f>
        <v>#N/A</v>
      </c>
      <c r="P315" s="5" t="e">
        <f ca="1">IF(OR(INDEX($AI$2:$AI$1001,MATCH(ROWS($AH$2:AH315),$AH$2:$AH$1001,0),1)&gt;=100000,INDEX($AO$1005:$BQ$1005,1,MATCH(COLUMNS($AO$1006:BC1006),$AO$1006:$BQ$1006,0))&gt;=100000), " ",IF(INDEX($AO$2:$BQ$1001,MATCH(ROWS($AH$2:AH315),$AH$2:$AH$1001,0),MATCH(COLUMNS($AO$1006:BC1006),$AO$1006:$BQ$1006,0)), HYPERLINK("#",""), HYPERLINK(CONCATENATE("#Metadata!", ADDRESS(INDEX($AJ$2:$AJ$1001,MATCH(ROWS($AH$2:AH315),$AH$2:$AH$1001,0),0), INDEX($AO$1004:$BQ$1004,1,MATCH(COLUMNS($AO$1006:BC1006),$AO$1006:$BQ$1006,0)))),"Fix")))</f>
        <v>#N/A</v>
      </c>
      <c r="Q315" s="5" t="e">
        <f ca="1">IF(OR(INDEX($AI$2:$AI$1001,MATCH(ROWS($AH$2:AH315),$AH$2:$AH$1001,0),1)&gt;=100000,INDEX($AO$1005:$BQ$1005,1,MATCH(COLUMNS($AO$1006:BD1006),$AO$1006:$BQ$1006,0))&gt;=100000), " ",IF(INDEX($AO$2:$BQ$1001,MATCH(ROWS($AH$2:AH315),$AH$2:$AH$1001,0),MATCH(COLUMNS($AO$1006:BD1006),$AO$1006:$BQ$1006,0)), HYPERLINK("#",""), HYPERLINK(CONCATENATE("#Metadata!", ADDRESS(INDEX($AJ$2:$AJ$1001,MATCH(ROWS($AH$2:AH315),$AH$2:$AH$1001,0),0), INDEX($AO$1004:$BQ$1004,1,MATCH(COLUMNS($AO$1006:BD1006),$AO$1006:$BQ$1006,0)))),"Fix")))</f>
        <v>#N/A</v>
      </c>
      <c r="R315" s="5" t="e">
        <f ca="1">IF(OR(INDEX($AI$2:$AI$1001,MATCH(ROWS($AH$2:AH315),$AH$2:$AH$1001,0),1)&gt;=100000,INDEX($AO$1005:$BQ$1005,1,MATCH(COLUMNS($AO$1006:BE1006),$AO$1006:$BQ$1006,0))&gt;=100000), " ",IF(INDEX($AO$2:$BQ$1001,MATCH(ROWS($AH$2:AH315),$AH$2:$AH$1001,0),MATCH(COLUMNS($AO$1006:BE1006),$AO$1006:$BQ$1006,0)), HYPERLINK("#",""), HYPERLINK(CONCATENATE("#Metadata!", ADDRESS(INDEX($AJ$2:$AJ$1001,MATCH(ROWS($AH$2:AH315),$AH$2:$AH$1001,0),0), INDEX($AO$1004:$BQ$1004,1,MATCH(COLUMNS($AO$1006:BE1006),$AO$1006:$BQ$1006,0)))),"Fix")))</f>
        <v>#N/A</v>
      </c>
      <c r="S315" s="5" t="e">
        <f ca="1">IF(OR(INDEX($AI$2:$AI$1001,MATCH(ROWS($AH$2:AH315),$AH$2:$AH$1001,0),1)&gt;=100000,INDEX($AO$1005:$BQ$1005,1,MATCH(COLUMNS($AO$1006:BF1006),$AO$1006:$BQ$1006,0))&gt;=100000), " ",IF(INDEX($AO$2:$BQ$1001,MATCH(ROWS($AH$2:AH315),$AH$2:$AH$1001,0),MATCH(COLUMNS($AO$1006:BF1006),$AO$1006:$BQ$1006,0)), HYPERLINK("#",""), HYPERLINK(CONCATENATE("#Metadata!", ADDRESS(INDEX($AJ$2:$AJ$1001,MATCH(ROWS($AH$2:AH315),$AH$2:$AH$1001,0),0), INDEX($AO$1004:$BQ$1004,1,MATCH(COLUMNS($AO$1006:BF1006),$AO$1006:$BQ$1006,0)))),"Fix")))</f>
        <v>#N/A</v>
      </c>
      <c r="T315" s="5" t="e">
        <f ca="1">IF(OR(INDEX($AI$2:$AI$1001,MATCH(ROWS($AH$2:AH315),$AH$2:$AH$1001,0),1)&gt;=100000,INDEX($AO$1005:$BQ$1005,1,MATCH(COLUMNS($AO$1006:BG1006),$AO$1006:$BQ$1006,0))&gt;=100000), " ",IF(INDEX($AO$2:$BQ$1001,MATCH(ROWS($AH$2:AH315),$AH$2:$AH$1001,0),MATCH(COLUMNS($AO$1006:BG1006),$AO$1006:$BQ$1006,0)), HYPERLINK("#",""), HYPERLINK(CONCATENATE("#Metadata!", ADDRESS(INDEX($AJ$2:$AJ$1001,MATCH(ROWS($AH$2:AH315),$AH$2:$AH$1001,0),0), INDEX($AO$1004:$BQ$1004,1,MATCH(COLUMNS($AO$1006:BG1006),$AO$1006:$BQ$1006,0)))),"Fix")))</f>
        <v>#N/A</v>
      </c>
      <c r="U315" s="5" t="e">
        <f ca="1">IF(OR(INDEX($AI$2:$AI$1001,MATCH(ROWS($AH$2:AH315),$AH$2:$AH$1001,0),1)&gt;=100000,INDEX($AO$1005:$BQ$1005,1,MATCH(COLUMNS($AO$1006:BH1006),$AO$1006:$BQ$1006,0))&gt;=100000), " ",IF(INDEX($AO$2:$BQ$1001,MATCH(ROWS($AH$2:AH315),$AH$2:$AH$1001,0),MATCH(COLUMNS($AO$1006:BH1006),$AO$1006:$BQ$1006,0)), HYPERLINK("#",""), HYPERLINK(CONCATENATE("#Metadata!", ADDRESS(INDEX($AJ$2:$AJ$1001,MATCH(ROWS($AH$2:AH315),$AH$2:$AH$1001,0),0), INDEX($AO$1004:$BQ$1004,1,MATCH(COLUMNS($AO$1006:BH1006),$AO$1006:$BQ$1006,0)))),"Fix")))</f>
        <v>#N/A</v>
      </c>
      <c r="V315" s="5" t="e">
        <f ca="1">IF(OR(INDEX($AI$2:$AI$1001,MATCH(ROWS($AH$2:AH315),$AH$2:$AH$1001,0),1)&gt;=100000,INDEX($AO$1005:$BQ$1005,1,MATCH(COLUMNS($AO$1006:BI1006),$AO$1006:$BQ$1006,0))&gt;=100000), " ",IF(INDEX($AO$2:$BQ$1001,MATCH(ROWS($AH$2:AH315),$AH$2:$AH$1001,0),MATCH(COLUMNS($AO$1006:BI1006),$AO$1006:$BQ$1006,0)), HYPERLINK("#",""), HYPERLINK(CONCATENATE("#Metadata!", ADDRESS(INDEX($AJ$2:$AJ$1001,MATCH(ROWS($AH$2:AH315),$AH$2:$AH$1001,0),0), INDEX($AO$1004:$BQ$1004,1,MATCH(COLUMNS($AO$1006:BI1006),$AO$1006:$BQ$1006,0)))),"Fix")))</f>
        <v>#N/A</v>
      </c>
      <c r="W315" s="5" t="e">
        <f ca="1">IF(OR(INDEX($AI$2:$AI$1001,MATCH(ROWS($AH$2:AH315),$AH$2:$AH$1001,0),1)&gt;=100000,INDEX($AO$1005:$BQ$1005,1,MATCH(COLUMNS($AO$1006:BJ1006),$AO$1006:$BQ$1006,0))&gt;=100000), " ",IF(INDEX($AO$2:$BQ$1001,MATCH(ROWS($AH$2:AH315),$AH$2:$AH$1001,0),MATCH(COLUMNS($AO$1006:BJ1006),$AO$1006:$BQ$1006,0)), HYPERLINK("#",""), HYPERLINK(CONCATENATE("#Metadata!", ADDRESS(INDEX($AJ$2:$AJ$1001,MATCH(ROWS($AH$2:AH315),$AH$2:$AH$1001,0),0), INDEX($AO$1004:$BQ$1004,1,MATCH(COLUMNS($AO$1006:BJ1006),$AO$1006:$BQ$1006,0)))),"Fix")))</f>
        <v>#N/A</v>
      </c>
      <c r="X315" s="5" t="e">
        <f ca="1">IF(OR(INDEX($AI$2:$AI$1001,MATCH(ROWS($AH$2:AH315),$AH$2:$AH$1001,0),1)&gt;=100000,INDEX($AO$1005:$BQ$1005,1,MATCH(COLUMNS($AO$1006:BK1006),$AO$1006:$BQ$1006,0))&gt;=100000), " ",IF(INDEX($AO$2:$BQ$1001,MATCH(ROWS($AH$2:AH315),$AH$2:$AH$1001,0),MATCH(COLUMNS($AO$1006:BK1006),$AO$1006:$BQ$1006,0)), HYPERLINK("#",""), HYPERLINK(CONCATENATE("#Metadata!", ADDRESS(INDEX($AJ$2:$AJ$1001,MATCH(ROWS($AH$2:AH315),$AH$2:$AH$1001,0),0), INDEX($AO$1004:$BQ$1004,1,MATCH(COLUMNS($AO$1006:BK1006),$AO$1006:$BQ$1006,0)))),"Fix")))</f>
        <v>#N/A</v>
      </c>
      <c r="Y315" s="5" t="e">
        <f ca="1">IF(OR(INDEX($AI$2:$AI$1001,MATCH(ROWS($AH$2:AH315),$AH$2:$AH$1001,0),1)&gt;=100000,INDEX($AO$1005:$BQ$1005,1,MATCH(COLUMNS($AO$1006:BL1006),$AO$1006:$BQ$1006,0))&gt;=100000), " ",IF(INDEX($AO$2:$BQ$1001,MATCH(ROWS($AH$2:AH315),$AH$2:$AH$1001,0),MATCH(COLUMNS($AO$1006:BL1006),$AO$1006:$BQ$1006,0)), HYPERLINK("#",""), HYPERLINK(CONCATENATE("#Metadata!", ADDRESS(INDEX($AJ$2:$AJ$1001,MATCH(ROWS($AH$2:AH315),$AH$2:$AH$1001,0),0), INDEX($AO$1004:$BQ$1004,1,MATCH(COLUMNS($AO$1006:BL1006),$AO$1006:$BQ$1006,0)))),"Fix")))</f>
        <v>#N/A</v>
      </c>
      <c r="Z315" s="5" t="e">
        <f ca="1">IF(OR(INDEX($AI$2:$AI$1001,MATCH(ROWS($AH$2:AH315),$AH$2:$AH$1001,0),1)&gt;=100000,INDEX($AO$1005:$BQ$1005,1,MATCH(COLUMNS($AO$1006:BM1006),$AO$1006:$BQ$1006,0))&gt;=100000), " ",IF(INDEX($AO$2:$BQ$1001,MATCH(ROWS($AH$2:AH315),$AH$2:$AH$1001,0),MATCH(COLUMNS($AO$1006:BM1006),$AO$1006:$BQ$1006,0)), HYPERLINK("#",""), HYPERLINK(CONCATENATE("#Metadata!", ADDRESS(INDEX($AJ$2:$AJ$1001,MATCH(ROWS($AH$2:AH315),$AH$2:$AH$1001,0),0), INDEX($AO$1004:$BQ$1004,1,MATCH(COLUMNS($AO$1006:BM1006),$AO$1006:$BQ$1006,0)))),"Fix")))</f>
        <v>#N/A</v>
      </c>
      <c r="AA315" s="5" t="e">
        <f ca="1">IF(OR(INDEX($AI$2:$AI$1001,MATCH(ROWS($AH$2:AH315),$AH$2:$AH$1001,0),1)&gt;=100000,INDEX($AO$1005:$BQ$1005,1,MATCH(COLUMNS($AO$1006:BN1006),$AO$1006:$BQ$1006,0))&gt;=100000), " ",IF(INDEX($AO$2:$BQ$1001,MATCH(ROWS($AH$2:AH315),$AH$2:$AH$1001,0),MATCH(COLUMNS($AO$1006:BN1006),$AO$1006:$BQ$1006,0)), HYPERLINK("#",""), HYPERLINK(CONCATENATE("#Metadata!", ADDRESS(INDEX($AJ$2:$AJ$1001,MATCH(ROWS($AH$2:AH315),$AH$2:$AH$1001,0),0), INDEX($AO$1004:$BQ$1004,1,MATCH(COLUMNS($AO$1006:BN1006),$AO$1006:$BQ$1006,0)))),"Fix")))</f>
        <v>#N/A</v>
      </c>
      <c r="AB315" s="5" t="e">
        <f ca="1">IF(OR(INDEX($AI$2:$AI$1001,MATCH(ROWS($AH$2:AH315),$AH$2:$AH$1001,0),1)&gt;=100000,INDEX($AO$1005:$BQ$1005,1,MATCH(COLUMNS($AO$1006:BO1006),$AO$1006:$BQ$1006,0))&gt;=100000), " ",IF(INDEX($AO$2:$BQ$1001,MATCH(ROWS($AH$2:AH315),$AH$2:$AH$1001,0),MATCH(COLUMNS($AO$1006:BO1006),$AO$1006:$BQ$1006,0)), HYPERLINK("#",""), HYPERLINK(CONCATENATE("#Metadata!", ADDRESS(INDEX($AJ$2:$AJ$1001,MATCH(ROWS($AH$2:AH315),$AH$2:$AH$1001,0),0), INDEX($AO$1004:$BQ$1004,1,MATCH(COLUMNS($AO$1006:BO1006),$AO$1006:$BQ$1006,0)))),"Fix")))</f>
        <v>#N/A</v>
      </c>
      <c r="AC315" s="5" t="e">
        <f ca="1">IF(OR(INDEX($AI$2:$AI$1001,MATCH(ROWS($AH$2:AH315),$AH$2:$AH$1001,0),1)&gt;=100000,INDEX($AO$1005:$BQ$1005,1,MATCH(COLUMNS($AO$1006:BP1006),$AO$1006:$BQ$1006,0))&gt;=100000), " ",IF(INDEX($AO$2:$BQ$1001,MATCH(ROWS($AH$2:AH315),$AH$2:$AH$1001,0),MATCH(COLUMNS($AO$1006:BP1006),$AO$1006:$BQ$1006,0)), HYPERLINK("#",""), HYPERLINK(CONCATENATE("#Metadata!", ADDRESS(INDEX($AJ$2:$AJ$1001,MATCH(ROWS($AH$2:AH315),$AH$2:$AH$1001,0),0), INDEX($AO$1004:$BQ$1004,1,MATCH(COLUMNS($AO$1006:BP1006),$AO$1006:$BQ$1006,0)))),"Fix")))</f>
        <v>#N/A</v>
      </c>
      <c r="AD315" s="5" t="e">
        <f ca="1">IF(OR(INDEX($AI$2:$AI$1001,MATCH(ROWS($AH$2:AH315),$AH$2:$AH$1001,0),1)&gt;=100000,INDEX($AO$1005:$BQ$1005,1,MATCH(COLUMNS($AO$1006:BQ1006),$AO$1006:$BQ$1006,0))&gt;=100000), " ",IF(INDEX($AO$2:$BQ$1001,MATCH(ROWS($AH$2:AH315),$AH$2:$AH$1001,0),MATCH(COLUMNS($AO$1006:BQ1006),$AO$1006:$BQ$1006,0)), HYPERLINK("#",""), HYPERLINK(CONCATENATE("#Metadata!", ADDRESS(INDEX($AJ$2:$AJ$1001,MATCH(ROWS($AH$2:AH315),$AH$2:$AH$1001,0),0), INDEX($AO$1004:$BQ$1004,1,MATCH(COLUMNS($AO$1006:BQ1006),$AO$1006:$BQ$1006,0)))),"Fix")))</f>
        <v>#REF!</v>
      </c>
      <c r="AH315">
        <f ca="1"/>
        <v>312</v>
      </c>
      <c r="AI315">
        <v>100315</v>
      </c>
      <c r="AJ315">
        <v>315</v>
      </c>
      <c r="AK315" t="b">
        <f t="shared" si="4"/>
        <v>1</v>
      </c>
      <c r="AL315" t="b">
        <f>COUNTBLANK(Metadata!B315:AD315)=COLUMNS(Metadata!B315:AD315)</f>
        <v>1</v>
      </c>
      <c r="AM315" t="str">
        <v/>
      </c>
      <c r="AO315" t="b">
        <f ca="1">AND(IF(Metadata!B315="",FALSE,TRUE),COUNTIF(Metadata!B:B, Metadata!B315) = 1,NOT(ISERROR(SUMPRODUCT(SEARCH(MID(Metadata!B315,ROW(INDIRECT("1:"&amp;LEN(Metadata!B315))), 1),"0123456789abcdefghijklmnopqrstuvwxyzABCDEFGHIJKLMNOPQRSTUVWXYZ.")))))</f>
        <v>0</v>
      </c>
      <c r="AP315" t="b">
        <f>IF(Metadata!C315="",FALSE,TRUE)</f>
        <v>0</v>
      </c>
      <c r="AQ315" t="b">
        <f>IF(Metadata!D315="",FALSE,TRUE)</f>
        <v>0</v>
      </c>
      <c r="AR315" t="b">
        <f ca="1">OR(AND(IF(Metadata!E315="",FALSE,TRUE),OR(EXACT(Metadata!E315,"not collected"),EXACT(Metadata!E315,"not provided"),EXACT(Metadata!E315,"restricted access"))),AND(IF(Metadata!E315="",FALSE,TRUE),AND(AND(IFERROR(INT(LEFT(Metadata!E315,4))&gt;1900,FALSE),IFERROR(INT(LEFT(Metadata!E315,4))&lt;=YEAR(NOW()),FALSE)), OR(MID(Metadata!E315,5,1)="", AND(AND(MID(Metadata!E315,5,1)="-",IFERROR(INT(MID(Metadata!E315,6,1))&gt;=0,FALSE),IFERROR(INT(MID(Metadata!E315,6,1))&lt;=1,FALSE),NOT(MID(Metadata!E315,7,1)=""),IFERROR(INT(MID(Metadata!E315,6,2))&gt;=1,FALSE),IFERROR(INT(MID(Metadata!E315,6,2))&lt;=12,FALSE)), OR(MID(Metadata!E315,8,1)="", AND(AND(MID(Metadata!E315,8,1)="-",IFERROR(INT(MID(Metadata!E315,9,1))&gt;=0,FALSE),IFERROR(INT(MID(Metadata!E315,9,1))&lt;=3,FALSE),NOT(MID(Metadata!E315,10,1)=""),IFERROR(INT(MID(Metadata!E315,9,2))&gt;=1,FALSE),IFERROR(INT(MID(Metadata!E315,9,2))&lt;=31,FALSE)), OR(MID(Metadata!E315,11,1)="", AND(AND(MID(Metadata!E315,11,1)=" ",IFERROR(INT(MID(Metadata!E315,12,1))&gt;=0,FALSE),IFERROR(INT(MID(Metadata!E315,12,1))&lt;=2,FALSE),NOT(MID(Metadata!E315,13,1)=""),IFERROR(INT(MID(Metadata!E315,12,2))&gt;=0,FALSE),IFERROR(INT(MID(Metadata!E315,12,2))&lt;=23,FALSE)), OR(MID(Metadata!E315,14,1)="", AND(AND(MID(Metadata!E315,14,1)=":",IFERROR(INT(MID(Metadata!E315,15,1))&gt;=0,FALSE),IFERROR(INT(MID(Metadata!E315,15,1))&lt;=5,FALSE),NOT(MID(Metadata!E315,16,1)=""),IFERROR(INT(MID(Metadata!E315,15,2))&gt;=0,FALSE),IFERROR(INT(MID(Metadata!E315,15,2))&lt;=59,FALSE)), OR(MID(Metadata!E315,17,1)="", AND(AND(MID(Metadata!E315,17,1)=":",IFERROR(INT(MID(Metadata!E315,18,1))&gt;=0,FALSE),IFERROR(INT(MID(Metadata!E315,18,1))&lt;=5,FALSE),NOT(MID(Metadata!E315,19,1)=""),IFERROR(INT(MID(Metadata!E315,18,2))&gt;=0,FALSE),IFERROR(INT(MID(Metadata!E315,18,2))&lt;=59,FALSE)), LEN(Metadata!E315)&lt;=19)))))))))))))</f>
        <v>0</v>
      </c>
      <c r="AS315" t="b">
        <f>IF(Metadata!F315="",FALSE,TRUE)</f>
        <v>0</v>
      </c>
      <c r="AT315" t="b">
        <f>OR(AND(IF(Metadata!G315="",FALSE,TRUE),OR(EXACT(Metadata!G315,"not collected"),EXACT(Metadata!G315,"not provided"))),AND(IF(Metadata!G315="",FALSE,TRUE),OR(EXACT(Metadata!G315,"TRUE"),EXACT(Metadata!G315,"FALSE"))))</f>
        <v>0</v>
      </c>
      <c r="AU315" t="b">
        <f>OR(AND(IF(Metadata!H315="",FALSE,TRUE),OR(EXACT(Metadata!H315,"not collected"),EXACT(Metadata!H315,"not provided"),EXACT(Metadata!H315,"restricted access"))),AND(IF(Metadata!H315="",FALSE,ISNUMBER(VALUE(Metadata!H315))),Metadata!H315&gt;=-413))</f>
        <v>0</v>
      </c>
      <c r="AV315" t="b">
        <f>AND(IF(Metadata!I315="",FALSE,TRUE),EXACT(Metadata!I315,"meters"))</f>
        <v>0</v>
      </c>
      <c r="AW315" t="b">
        <f>AND(IF(Metadata!J315="",FALSE,TRUE),EXACT(Metadata!J315,"free-living"))</f>
        <v>0</v>
      </c>
      <c r="AX315" t="b">
        <f>AND(IF(Metadata!K315="",FALSE,TRUE),OR(EXACT(Metadata!K315,"saline"),EXACT(Metadata!K315,"non-saline")))</f>
        <v>0</v>
      </c>
      <c r="AY315" t="b">
        <f>AND(IF(Metadata!L315="",FALSE,TRUE),OR(EXACT(Metadata!L315,"sub-surface (non-saline)"),EXACT(Metadata!L315,"surface (non-saline)"),EXACT(Metadata!L315,"water (non-saline)"),EXACT(Metadata!L315,"soil (non-saline)"),EXACT(Metadata!L315,"aerosol (non-saline)"),EXACT(Metadata!L315,"sediment (non-saline)"),EXACT(Metadata!L315,"surface (saline)"),EXACT(Metadata!L315,"water (saline)"),EXACT(Metadata!L315,"hypersaline (saline)"),EXACT(Metadata!L315,"aerosol (saline)"),EXACT(Metadata!L315,"sediment (saline)")))</f>
        <v>0</v>
      </c>
      <c r="AZ315" t="b">
        <f>IF(Metadata!M315="",FALSE,TRUE)</f>
        <v>0</v>
      </c>
      <c r="BA315" t="b">
        <f>IF(Metadata!N315="",FALSE,TRUE)</f>
        <v>0</v>
      </c>
      <c r="BB315" t="b">
        <f>IF(Metadata!O315="",FALSE,TRUE)</f>
        <v>0</v>
      </c>
      <c r="BC315" t="b">
        <f>AND(IF(Metadata!P315="",FALSE,TRUE),OR(EXACT(Metadata!P315,"air"),EXACT(Metadata!P315,"microbial mat/biofilm"),EXACT(Metadata!P315,"misc environment"),EXACT(Metadata!P315,"sediment"),EXACT(Metadata!P315,"soil"),EXACT(Metadata!P315,"wastewater/sludge"),EXACT(Metadata!P315,"water")))</f>
        <v>0</v>
      </c>
      <c r="BD315" t="b">
        <f>IF(Metadata!Q315="",FALSE,TRUE)</f>
        <v>0</v>
      </c>
      <c r="BE315" t="b">
        <f>IF(Metadata!R315="",FALSE,TRUE)</f>
        <v>0</v>
      </c>
      <c r="BF315" t="b">
        <f>OR(AND(IF(Metadata!S315="",FALSE,TRUE),OR(EXACT(Metadata!S315,"not collected"),EXACT(Metadata!S315,"not provided"),EXACT(Metadata!S315,"restricted access"))),AND(IF(Metadata!S315="",FALSE,ISNUMBER(VALUE(Metadata!S315))),Metadata!S315&gt;=-90,Metadata!S315&lt;=90))</f>
        <v>0</v>
      </c>
      <c r="BG315" t="b">
        <f>AND(IF(Metadata!T315="",FALSE,TRUE),EXACT(Metadata!T315,"Decimal degrees"))</f>
        <v>0</v>
      </c>
      <c r="BH315" t="b">
        <f>OR(AND(IF(Metadata!U315="",FALSE,TRUE),OR(EXACT(Metadata!U315,"not applicable"),EXACT(Metadata!U315,"not collected"))),IF(Metadata!U315="",FALSE,TRUE))</f>
        <v>0</v>
      </c>
      <c r="BI315" t="b">
        <f>OR(AND(IF(Metadata!V315="",FALSE,TRUE),OR(EXACT(Metadata!V315,"not collected"),EXACT(Metadata!V315,"not provided"),EXACT(Metadata!V315,"restricted access"))),AND(IF(Metadata!V315="",FALSE,ISNUMBER(VALUE(Metadata!V315))),Metadata!V315&gt;=-180,Metadata!V315&lt;=180))</f>
        <v>0</v>
      </c>
      <c r="BJ315" t="b">
        <f>AND(IF(Metadata!W315="",FALSE,TRUE),EXACT(Metadata!W315,"Decimal degrees"))</f>
        <v>0</v>
      </c>
      <c r="BK315" t="b">
        <f>IF(Metadata!X315="",FALSE,TRUE)</f>
        <v>0</v>
      </c>
      <c r="BL315" t="b">
        <f>OR(AND(IF(Metadata!Y315="",FALSE,TRUE),OR(EXACT(Metadata!Y315,"not collected"),EXACT(Metadata!Y315,"not provided"),EXACT(Metadata!Y315,"restricted access"))),AND(IF(Metadata!Y315="",FALSE,TRUE),OR(EXACT(Metadata!Y315,"TRUE"),EXACT(Metadata!Y315,"FALSE"))))</f>
        <v>0</v>
      </c>
      <c r="BM315" t="b">
        <f>OR(AND(IF(Metadata!Z315="",FALSE,TRUE),EXACT(Metadata!Z315,"not applicable")),AND(IF(Metadata!Z315="",FALSE,TRUE),OR(EXACT(Metadata!Z315,"beer"),EXACT(Metadata!Z315,"cheese"),EXACT(Metadata!Z315,"fresh water"),EXACT(Metadata!Z315,"marine sediment"),EXACT(Metadata!Z315,"sea water"),EXACT(Metadata!Z315,"sediment"),EXACT(Metadata!Z315,"soil"),EXACT(Metadata!Z315,"waste water"))))</f>
        <v>0</v>
      </c>
      <c r="BN315" t="b">
        <f>AND(IF(Metadata!AA315="",FALSE,TRUE),EXACT(Metadata!AA315,"metagenome"))</f>
        <v>0</v>
      </c>
      <c r="BO315" t="b">
        <f>AND(IF(Metadata!AB315="",FALSE,TRUE),EXACT(Metadata!AB315,"256318"))</f>
        <v>0</v>
      </c>
      <c r="BP315" t="b">
        <f>IF(Metadata!AC315="",FALSE,TRUE)</f>
        <v>0</v>
      </c>
      <c r="BQ315" t="b">
        <f>IF(Metadata!AD315="",FALSE,TRUE)</f>
        <v>0</v>
      </c>
    </row>
    <row r="316" spans="1:69" x14ac:dyDescent="0.2">
      <c r="A316" s="4" t="e">
        <f ca="1">IF(B316=" "," ",HYPERLINK(CONCATENATE("#metadata!",ADDRESS(INDEX($AJ$2:$AJ$1001,MATCH(ROWS($AH$2:AH316),$AH$2:$AH$1001,0),0),2)),INDEX($AM$2:$AM$1001,MATCH(ROWS($AH$2:AH316),$AH$2:$AH$1001,0),0)))</f>
        <v>#N/A</v>
      </c>
      <c r="B316" s="5" t="e">
        <f ca="1">IF(OR(INDEX($AI$2:$AI$1001,MATCH(ROWS($AH$2:AH316),$AH$2:$AH$1001,0),1)&gt;=100000,INDEX($AO$1005:$BQ$1005,1,MATCH(COLUMNS($AO$1006:AO1006),$AO$1006:$BQ$1006,0))&gt;=100000), " ",IF(INDEX($AO$2:$BQ$1001,MATCH(ROWS($AH$2:AH316),$AH$2:$AH$1001,0),MATCH(COLUMNS($AO$1006:AO1006),$AO$1006:$BQ$1006,0)), HYPERLINK("#",""), HYPERLINK(CONCATENATE("#Metadata!", ADDRESS(INDEX($AJ$2:$AJ$1001,MATCH(ROWS($AH$2:AH316),$AH$2:$AH$1001,0),0), INDEX($AO$1004:$BQ$1004,1,MATCH(COLUMNS($AO$1006:AO1006),$AO$1006:$BQ$1006,0)))),"Fix")))</f>
        <v>#N/A</v>
      </c>
      <c r="C316" s="5" t="e">
        <f ca="1">IF(OR(INDEX($AI$2:$AI$1001,MATCH(ROWS($AH$2:AH316),$AH$2:$AH$1001,0),1)&gt;=100000,INDEX($AO$1005:$BQ$1005,1,MATCH(COLUMNS($AO$1006:AP1006),$AO$1006:$BQ$1006,0))&gt;=100000), " ",IF(INDEX($AO$2:$BQ$1001,MATCH(ROWS($AH$2:AH316),$AH$2:$AH$1001,0),MATCH(COLUMNS($AO$1006:AP1006),$AO$1006:$BQ$1006,0)), HYPERLINK("#",""), HYPERLINK(CONCATENATE("#Metadata!", ADDRESS(INDEX($AJ$2:$AJ$1001,MATCH(ROWS($AH$2:AH316),$AH$2:$AH$1001,0),0), INDEX($AO$1004:$BQ$1004,1,MATCH(COLUMNS($AO$1006:AP1006),$AO$1006:$BQ$1006,0)))),"Fix")))</f>
        <v>#N/A</v>
      </c>
      <c r="D316" s="5" t="e">
        <f ca="1">IF(OR(INDEX($AI$2:$AI$1001,MATCH(ROWS($AH$2:AH316),$AH$2:$AH$1001,0),1)&gt;=100000,INDEX($AO$1005:$BQ$1005,1,MATCH(COLUMNS($AO$1006:AQ1006),$AO$1006:$BQ$1006,0))&gt;=100000), " ",IF(INDEX($AO$2:$BQ$1001,MATCH(ROWS($AH$2:AH316),$AH$2:$AH$1001,0),MATCH(COLUMNS($AO$1006:AQ1006),$AO$1006:$BQ$1006,0)), HYPERLINK("#",""), HYPERLINK(CONCATENATE("#Metadata!", ADDRESS(INDEX($AJ$2:$AJ$1001,MATCH(ROWS($AH$2:AH316),$AH$2:$AH$1001,0),0), INDEX($AO$1004:$BQ$1004,1,MATCH(COLUMNS($AO$1006:AQ1006),$AO$1006:$BQ$1006,0)))),"Fix")))</f>
        <v>#N/A</v>
      </c>
      <c r="E316" s="5" t="e">
        <f ca="1">IF(OR(INDEX($AI$2:$AI$1001,MATCH(ROWS($AH$2:AH316),$AH$2:$AH$1001,0),1)&gt;=100000,INDEX($AO$1005:$BQ$1005,1,MATCH(COLUMNS($AO$1006:AR1006),$AO$1006:$BQ$1006,0))&gt;=100000), " ",IF(INDEX($AO$2:$BQ$1001,MATCH(ROWS($AH$2:AH316),$AH$2:$AH$1001,0),MATCH(COLUMNS($AO$1006:AR1006),$AO$1006:$BQ$1006,0)), HYPERLINK("#",""), HYPERLINK(CONCATENATE("#Metadata!", ADDRESS(INDEX($AJ$2:$AJ$1001,MATCH(ROWS($AH$2:AH316),$AH$2:$AH$1001,0),0), INDEX($AO$1004:$BQ$1004,1,MATCH(COLUMNS($AO$1006:AR1006),$AO$1006:$BQ$1006,0)))),"Fix")))</f>
        <v>#N/A</v>
      </c>
      <c r="F316" s="5" t="e">
        <f ca="1">IF(OR(INDEX($AI$2:$AI$1001,MATCH(ROWS($AH$2:AH316),$AH$2:$AH$1001,0),1)&gt;=100000,INDEX($AO$1005:$BQ$1005,1,MATCH(COLUMNS($AO$1006:AS1006),$AO$1006:$BQ$1006,0))&gt;=100000), " ",IF(INDEX($AO$2:$BQ$1001,MATCH(ROWS($AH$2:AH316),$AH$2:$AH$1001,0),MATCH(COLUMNS($AO$1006:AS1006),$AO$1006:$BQ$1006,0)), HYPERLINK("#",""), HYPERLINK(CONCATENATE("#Metadata!", ADDRESS(INDEX($AJ$2:$AJ$1001,MATCH(ROWS($AH$2:AH316),$AH$2:$AH$1001,0),0), INDEX($AO$1004:$BQ$1004,1,MATCH(COLUMNS($AO$1006:AS1006),$AO$1006:$BQ$1006,0)))),"Fix")))</f>
        <v>#N/A</v>
      </c>
      <c r="G316" s="5" t="e">
        <f ca="1">IF(OR(INDEX($AI$2:$AI$1001,MATCH(ROWS($AH$2:AH316),$AH$2:$AH$1001,0),1)&gt;=100000,INDEX($AO$1005:$BQ$1005,1,MATCH(COLUMNS($AO$1006:AT1006),$AO$1006:$BQ$1006,0))&gt;=100000), " ",IF(INDEX($AO$2:$BQ$1001,MATCH(ROWS($AH$2:AH316),$AH$2:$AH$1001,0),MATCH(COLUMNS($AO$1006:AT1006),$AO$1006:$BQ$1006,0)), HYPERLINK("#",""), HYPERLINK(CONCATENATE("#Metadata!", ADDRESS(INDEX($AJ$2:$AJ$1001,MATCH(ROWS($AH$2:AH316),$AH$2:$AH$1001,0),0), INDEX($AO$1004:$BQ$1004,1,MATCH(COLUMNS($AO$1006:AT1006),$AO$1006:$BQ$1006,0)))),"Fix")))</f>
        <v>#N/A</v>
      </c>
      <c r="H316" s="5" t="e">
        <f ca="1">IF(OR(INDEX($AI$2:$AI$1001,MATCH(ROWS($AH$2:AH316),$AH$2:$AH$1001,0),1)&gt;=100000,INDEX($AO$1005:$BQ$1005,1,MATCH(COLUMNS($AO$1006:AU1006),$AO$1006:$BQ$1006,0))&gt;=100000), " ",IF(INDEX($AO$2:$BQ$1001,MATCH(ROWS($AH$2:AH316),$AH$2:$AH$1001,0),MATCH(COLUMNS($AO$1006:AU1006),$AO$1006:$BQ$1006,0)), HYPERLINK("#",""), HYPERLINK(CONCATENATE("#Metadata!", ADDRESS(INDEX($AJ$2:$AJ$1001,MATCH(ROWS($AH$2:AH316),$AH$2:$AH$1001,0),0), INDEX($AO$1004:$BQ$1004,1,MATCH(COLUMNS($AO$1006:AU1006),$AO$1006:$BQ$1006,0)))),"Fix")))</f>
        <v>#N/A</v>
      </c>
      <c r="I316" s="5" t="e">
        <f ca="1">IF(OR(INDEX($AI$2:$AI$1001,MATCH(ROWS($AH$2:AH316),$AH$2:$AH$1001,0),1)&gt;=100000,INDEX($AO$1005:$BQ$1005,1,MATCH(COLUMNS($AO$1006:AV1006),$AO$1006:$BQ$1006,0))&gt;=100000), " ",IF(INDEX($AO$2:$BQ$1001,MATCH(ROWS($AH$2:AH316),$AH$2:$AH$1001,0),MATCH(COLUMNS($AO$1006:AV1006),$AO$1006:$BQ$1006,0)), HYPERLINK("#",""), HYPERLINK(CONCATENATE("#Metadata!", ADDRESS(INDEX($AJ$2:$AJ$1001,MATCH(ROWS($AH$2:AH316),$AH$2:$AH$1001,0),0), INDEX($AO$1004:$BQ$1004,1,MATCH(COLUMNS($AO$1006:AV1006),$AO$1006:$BQ$1006,0)))),"Fix")))</f>
        <v>#N/A</v>
      </c>
      <c r="J316" s="5" t="e">
        <f ca="1">IF(OR(INDEX($AI$2:$AI$1001,MATCH(ROWS($AH$2:AH316),$AH$2:$AH$1001,0),1)&gt;=100000,INDEX($AO$1005:$BQ$1005,1,MATCH(COLUMNS($AO$1006:AW1006),$AO$1006:$BQ$1006,0))&gt;=100000), " ",IF(INDEX($AO$2:$BQ$1001,MATCH(ROWS($AH$2:AH316),$AH$2:$AH$1001,0),MATCH(COLUMNS($AO$1006:AW1006),$AO$1006:$BQ$1006,0)), HYPERLINK("#",""), HYPERLINK(CONCATENATE("#Metadata!", ADDRESS(INDEX($AJ$2:$AJ$1001,MATCH(ROWS($AH$2:AH316),$AH$2:$AH$1001,0),0), INDEX($AO$1004:$BQ$1004,1,MATCH(COLUMNS($AO$1006:AW1006),$AO$1006:$BQ$1006,0)))),"Fix")))</f>
        <v>#N/A</v>
      </c>
      <c r="K316" s="5" t="e">
        <f ca="1">IF(OR(INDEX($AI$2:$AI$1001,MATCH(ROWS($AH$2:AH316),$AH$2:$AH$1001,0),1)&gt;=100000,INDEX($AO$1005:$BQ$1005,1,MATCH(COLUMNS($AO$1006:AX1006),$AO$1006:$BQ$1006,0))&gt;=100000), " ",IF(INDEX($AO$2:$BQ$1001,MATCH(ROWS($AH$2:AH316),$AH$2:$AH$1001,0),MATCH(COLUMNS($AO$1006:AX1006),$AO$1006:$BQ$1006,0)), HYPERLINK("#",""), HYPERLINK(CONCATENATE("#Metadata!", ADDRESS(INDEX($AJ$2:$AJ$1001,MATCH(ROWS($AH$2:AH316),$AH$2:$AH$1001,0),0), INDEX($AO$1004:$BQ$1004,1,MATCH(COLUMNS($AO$1006:AX1006),$AO$1006:$BQ$1006,0)))),"Fix")))</f>
        <v>#N/A</v>
      </c>
      <c r="L316" s="5" t="e">
        <f ca="1">IF(OR(INDEX($AI$2:$AI$1001,MATCH(ROWS($AH$2:AH316),$AH$2:$AH$1001,0),1)&gt;=100000,INDEX($AO$1005:$BQ$1005,1,MATCH(COLUMNS($AO$1006:AY1006),$AO$1006:$BQ$1006,0))&gt;=100000), " ",IF(INDEX($AO$2:$BQ$1001,MATCH(ROWS($AH$2:AH316),$AH$2:$AH$1001,0),MATCH(COLUMNS($AO$1006:AY1006),$AO$1006:$BQ$1006,0)), HYPERLINK("#",""), HYPERLINK(CONCATENATE("#Metadata!", ADDRESS(INDEX($AJ$2:$AJ$1001,MATCH(ROWS($AH$2:AH316),$AH$2:$AH$1001,0),0), INDEX($AO$1004:$BQ$1004,1,MATCH(COLUMNS($AO$1006:AY1006),$AO$1006:$BQ$1006,0)))),"Fix")))</f>
        <v>#N/A</v>
      </c>
      <c r="M316" s="5" t="e">
        <f ca="1">IF(OR(INDEX($AI$2:$AI$1001,MATCH(ROWS($AH$2:AH316),$AH$2:$AH$1001,0),1)&gt;=100000,INDEX($AO$1005:$BQ$1005,1,MATCH(COLUMNS($AO$1006:AZ1006),$AO$1006:$BQ$1006,0))&gt;=100000), " ",IF(INDEX($AO$2:$BQ$1001,MATCH(ROWS($AH$2:AH316),$AH$2:$AH$1001,0),MATCH(COLUMNS($AO$1006:AZ1006),$AO$1006:$BQ$1006,0)), HYPERLINK("#",""), HYPERLINK(CONCATENATE("#Metadata!", ADDRESS(INDEX($AJ$2:$AJ$1001,MATCH(ROWS($AH$2:AH316),$AH$2:$AH$1001,0),0), INDEX($AO$1004:$BQ$1004,1,MATCH(COLUMNS($AO$1006:AZ1006),$AO$1006:$BQ$1006,0)))),"Fix")))</f>
        <v>#N/A</v>
      </c>
      <c r="N316" s="5" t="e">
        <f ca="1">IF(OR(INDEX($AI$2:$AI$1001,MATCH(ROWS($AH$2:AH316),$AH$2:$AH$1001,0),1)&gt;=100000,INDEX($AO$1005:$BQ$1005,1,MATCH(COLUMNS($AO$1006:BA1006),$AO$1006:$BQ$1006,0))&gt;=100000), " ",IF(INDEX($AO$2:$BQ$1001,MATCH(ROWS($AH$2:AH316),$AH$2:$AH$1001,0),MATCH(COLUMNS($AO$1006:BA1006),$AO$1006:$BQ$1006,0)), HYPERLINK("#",""), HYPERLINK(CONCATENATE("#Metadata!", ADDRESS(INDEX($AJ$2:$AJ$1001,MATCH(ROWS($AH$2:AH316),$AH$2:$AH$1001,0),0), INDEX($AO$1004:$BQ$1004,1,MATCH(COLUMNS($AO$1006:BA1006),$AO$1006:$BQ$1006,0)))),"Fix")))</f>
        <v>#N/A</v>
      </c>
      <c r="O316" s="5" t="e">
        <f ca="1">IF(OR(INDEX($AI$2:$AI$1001,MATCH(ROWS($AH$2:AH316),$AH$2:$AH$1001,0),1)&gt;=100000,INDEX($AO$1005:$BQ$1005,1,MATCH(COLUMNS($AO$1006:BB1006),$AO$1006:$BQ$1006,0))&gt;=100000), " ",IF(INDEX($AO$2:$BQ$1001,MATCH(ROWS($AH$2:AH316),$AH$2:$AH$1001,0),MATCH(COLUMNS($AO$1006:BB1006),$AO$1006:$BQ$1006,0)), HYPERLINK("#",""), HYPERLINK(CONCATENATE("#Metadata!", ADDRESS(INDEX($AJ$2:$AJ$1001,MATCH(ROWS($AH$2:AH316),$AH$2:$AH$1001,0),0), INDEX($AO$1004:$BQ$1004,1,MATCH(COLUMNS($AO$1006:BB1006),$AO$1006:$BQ$1006,0)))),"Fix")))</f>
        <v>#N/A</v>
      </c>
      <c r="P316" s="5" t="e">
        <f ca="1">IF(OR(INDEX($AI$2:$AI$1001,MATCH(ROWS($AH$2:AH316),$AH$2:$AH$1001,0),1)&gt;=100000,INDEX($AO$1005:$BQ$1005,1,MATCH(COLUMNS($AO$1006:BC1006),$AO$1006:$BQ$1006,0))&gt;=100000), " ",IF(INDEX($AO$2:$BQ$1001,MATCH(ROWS($AH$2:AH316),$AH$2:$AH$1001,0),MATCH(COLUMNS($AO$1006:BC1006),$AO$1006:$BQ$1006,0)), HYPERLINK("#",""), HYPERLINK(CONCATENATE("#Metadata!", ADDRESS(INDEX($AJ$2:$AJ$1001,MATCH(ROWS($AH$2:AH316),$AH$2:$AH$1001,0),0), INDEX($AO$1004:$BQ$1004,1,MATCH(COLUMNS($AO$1006:BC1006),$AO$1006:$BQ$1006,0)))),"Fix")))</f>
        <v>#N/A</v>
      </c>
      <c r="Q316" s="5" t="e">
        <f ca="1">IF(OR(INDEX($AI$2:$AI$1001,MATCH(ROWS($AH$2:AH316),$AH$2:$AH$1001,0),1)&gt;=100000,INDEX($AO$1005:$BQ$1005,1,MATCH(COLUMNS($AO$1006:BD1006),$AO$1006:$BQ$1006,0))&gt;=100000), " ",IF(INDEX($AO$2:$BQ$1001,MATCH(ROWS($AH$2:AH316),$AH$2:$AH$1001,0),MATCH(COLUMNS($AO$1006:BD1006),$AO$1006:$BQ$1006,0)), HYPERLINK("#",""), HYPERLINK(CONCATENATE("#Metadata!", ADDRESS(INDEX($AJ$2:$AJ$1001,MATCH(ROWS($AH$2:AH316),$AH$2:$AH$1001,0),0), INDEX($AO$1004:$BQ$1004,1,MATCH(COLUMNS($AO$1006:BD1006),$AO$1006:$BQ$1006,0)))),"Fix")))</f>
        <v>#N/A</v>
      </c>
      <c r="R316" s="5" t="e">
        <f ca="1">IF(OR(INDEX($AI$2:$AI$1001,MATCH(ROWS($AH$2:AH316),$AH$2:$AH$1001,0),1)&gt;=100000,INDEX($AO$1005:$BQ$1005,1,MATCH(COLUMNS($AO$1006:BE1006),$AO$1006:$BQ$1006,0))&gt;=100000), " ",IF(INDEX($AO$2:$BQ$1001,MATCH(ROWS($AH$2:AH316),$AH$2:$AH$1001,0),MATCH(COLUMNS($AO$1006:BE1006),$AO$1006:$BQ$1006,0)), HYPERLINK("#",""), HYPERLINK(CONCATENATE("#Metadata!", ADDRESS(INDEX($AJ$2:$AJ$1001,MATCH(ROWS($AH$2:AH316),$AH$2:$AH$1001,0),0), INDEX($AO$1004:$BQ$1004,1,MATCH(COLUMNS($AO$1006:BE1006),$AO$1006:$BQ$1006,0)))),"Fix")))</f>
        <v>#N/A</v>
      </c>
      <c r="S316" s="5" t="e">
        <f ca="1">IF(OR(INDEX($AI$2:$AI$1001,MATCH(ROWS($AH$2:AH316),$AH$2:$AH$1001,0),1)&gt;=100000,INDEX($AO$1005:$BQ$1005,1,MATCH(COLUMNS($AO$1006:BF1006),$AO$1006:$BQ$1006,0))&gt;=100000), " ",IF(INDEX($AO$2:$BQ$1001,MATCH(ROWS($AH$2:AH316),$AH$2:$AH$1001,0),MATCH(COLUMNS($AO$1006:BF1006),$AO$1006:$BQ$1006,0)), HYPERLINK("#",""), HYPERLINK(CONCATENATE("#Metadata!", ADDRESS(INDEX($AJ$2:$AJ$1001,MATCH(ROWS($AH$2:AH316),$AH$2:$AH$1001,0),0), INDEX($AO$1004:$BQ$1004,1,MATCH(COLUMNS($AO$1006:BF1006),$AO$1006:$BQ$1006,0)))),"Fix")))</f>
        <v>#N/A</v>
      </c>
      <c r="T316" s="5" t="e">
        <f ca="1">IF(OR(INDEX($AI$2:$AI$1001,MATCH(ROWS($AH$2:AH316),$AH$2:$AH$1001,0),1)&gt;=100000,INDEX($AO$1005:$BQ$1005,1,MATCH(COLUMNS($AO$1006:BG1006),$AO$1006:$BQ$1006,0))&gt;=100000), " ",IF(INDEX($AO$2:$BQ$1001,MATCH(ROWS($AH$2:AH316),$AH$2:$AH$1001,0),MATCH(COLUMNS($AO$1006:BG1006),$AO$1006:$BQ$1006,0)), HYPERLINK("#",""), HYPERLINK(CONCATENATE("#Metadata!", ADDRESS(INDEX($AJ$2:$AJ$1001,MATCH(ROWS($AH$2:AH316),$AH$2:$AH$1001,0),0), INDEX($AO$1004:$BQ$1004,1,MATCH(COLUMNS($AO$1006:BG1006),$AO$1006:$BQ$1006,0)))),"Fix")))</f>
        <v>#N/A</v>
      </c>
      <c r="U316" s="5" t="e">
        <f ca="1">IF(OR(INDEX($AI$2:$AI$1001,MATCH(ROWS($AH$2:AH316),$AH$2:$AH$1001,0),1)&gt;=100000,INDEX($AO$1005:$BQ$1005,1,MATCH(COLUMNS($AO$1006:BH1006),$AO$1006:$BQ$1006,0))&gt;=100000), " ",IF(INDEX($AO$2:$BQ$1001,MATCH(ROWS($AH$2:AH316),$AH$2:$AH$1001,0),MATCH(COLUMNS($AO$1006:BH1006),$AO$1006:$BQ$1006,0)), HYPERLINK("#",""), HYPERLINK(CONCATENATE("#Metadata!", ADDRESS(INDEX($AJ$2:$AJ$1001,MATCH(ROWS($AH$2:AH316),$AH$2:$AH$1001,0),0), INDEX($AO$1004:$BQ$1004,1,MATCH(COLUMNS($AO$1006:BH1006),$AO$1006:$BQ$1006,0)))),"Fix")))</f>
        <v>#N/A</v>
      </c>
      <c r="V316" s="5" t="e">
        <f ca="1">IF(OR(INDEX($AI$2:$AI$1001,MATCH(ROWS($AH$2:AH316),$AH$2:$AH$1001,0),1)&gt;=100000,INDEX($AO$1005:$BQ$1005,1,MATCH(COLUMNS($AO$1006:BI1006),$AO$1006:$BQ$1006,0))&gt;=100000), " ",IF(INDEX($AO$2:$BQ$1001,MATCH(ROWS($AH$2:AH316),$AH$2:$AH$1001,0),MATCH(COLUMNS($AO$1006:BI1006),$AO$1006:$BQ$1006,0)), HYPERLINK("#",""), HYPERLINK(CONCATENATE("#Metadata!", ADDRESS(INDEX($AJ$2:$AJ$1001,MATCH(ROWS($AH$2:AH316),$AH$2:$AH$1001,0),0), INDEX($AO$1004:$BQ$1004,1,MATCH(COLUMNS($AO$1006:BI1006),$AO$1006:$BQ$1006,0)))),"Fix")))</f>
        <v>#N/A</v>
      </c>
      <c r="W316" s="5" t="e">
        <f ca="1">IF(OR(INDEX($AI$2:$AI$1001,MATCH(ROWS($AH$2:AH316),$AH$2:$AH$1001,0),1)&gt;=100000,INDEX($AO$1005:$BQ$1005,1,MATCH(COLUMNS($AO$1006:BJ1006),$AO$1006:$BQ$1006,0))&gt;=100000), " ",IF(INDEX($AO$2:$BQ$1001,MATCH(ROWS($AH$2:AH316),$AH$2:$AH$1001,0),MATCH(COLUMNS($AO$1006:BJ1006),$AO$1006:$BQ$1006,0)), HYPERLINK("#",""), HYPERLINK(CONCATENATE("#Metadata!", ADDRESS(INDEX($AJ$2:$AJ$1001,MATCH(ROWS($AH$2:AH316),$AH$2:$AH$1001,0),0), INDEX($AO$1004:$BQ$1004,1,MATCH(COLUMNS($AO$1006:BJ1006),$AO$1006:$BQ$1006,0)))),"Fix")))</f>
        <v>#N/A</v>
      </c>
      <c r="X316" s="5" t="e">
        <f ca="1">IF(OR(INDEX($AI$2:$AI$1001,MATCH(ROWS($AH$2:AH316),$AH$2:$AH$1001,0),1)&gt;=100000,INDEX($AO$1005:$BQ$1005,1,MATCH(COLUMNS($AO$1006:BK1006),$AO$1006:$BQ$1006,0))&gt;=100000), " ",IF(INDEX($AO$2:$BQ$1001,MATCH(ROWS($AH$2:AH316),$AH$2:$AH$1001,0),MATCH(COLUMNS($AO$1006:BK1006),$AO$1006:$BQ$1006,0)), HYPERLINK("#",""), HYPERLINK(CONCATENATE("#Metadata!", ADDRESS(INDEX($AJ$2:$AJ$1001,MATCH(ROWS($AH$2:AH316),$AH$2:$AH$1001,0),0), INDEX($AO$1004:$BQ$1004,1,MATCH(COLUMNS($AO$1006:BK1006),$AO$1006:$BQ$1006,0)))),"Fix")))</f>
        <v>#N/A</v>
      </c>
      <c r="Y316" s="5" t="e">
        <f ca="1">IF(OR(INDEX($AI$2:$AI$1001,MATCH(ROWS($AH$2:AH316),$AH$2:$AH$1001,0),1)&gt;=100000,INDEX($AO$1005:$BQ$1005,1,MATCH(COLUMNS($AO$1006:BL1006),$AO$1006:$BQ$1006,0))&gt;=100000), " ",IF(INDEX($AO$2:$BQ$1001,MATCH(ROWS($AH$2:AH316),$AH$2:$AH$1001,0),MATCH(COLUMNS($AO$1006:BL1006),$AO$1006:$BQ$1006,0)), HYPERLINK("#",""), HYPERLINK(CONCATENATE("#Metadata!", ADDRESS(INDEX($AJ$2:$AJ$1001,MATCH(ROWS($AH$2:AH316),$AH$2:$AH$1001,0),0), INDEX($AO$1004:$BQ$1004,1,MATCH(COLUMNS($AO$1006:BL1006),$AO$1006:$BQ$1006,0)))),"Fix")))</f>
        <v>#N/A</v>
      </c>
      <c r="Z316" s="5" t="e">
        <f ca="1">IF(OR(INDEX($AI$2:$AI$1001,MATCH(ROWS($AH$2:AH316),$AH$2:$AH$1001,0),1)&gt;=100000,INDEX($AO$1005:$BQ$1005,1,MATCH(COLUMNS($AO$1006:BM1006),$AO$1006:$BQ$1006,0))&gt;=100000), " ",IF(INDEX($AO$2:$BQ$1001,MATCH(ROWS($AH$2:AH316),$AH$2:$AH$1001,0),MATCH(COLUMNS($AO$1006:BM1006),$AO$1006:$BQ$1006,0)), HYPERLINK("#",""), HYPERLINK(CONCATENATE("#Metadata!", ADDRESS(INDEX($AJ$2:$AJ$1001,MATCH(ROWS($AH$2:AH316),$AH$2:$AH$1001,0),0), INDEX($AO$1004:$BQ$1004,1,MATCH(COLUMNS($AO$1006:BM1006),$AO$1006:$BQ$1006,0)))),"Fix")))</f>
        <v>#N/A</v>
      </c>
      <c r="AA316" s="5" t="e">
        <f ca="1">IF(OR(INDEX($AI$2:$AI$1001,MATCH(ROWS($AH$2:AH316),$AH$2:$AH$1001,0),1)&gt;=100000,INDEX($AO$1005:$BQ$1005,1,MATCH(COLUMNS($AO$1006:BN1006),$AO$1006:$BQ$1006,0))&gt;=100000), " ",IF(INDEX($AO$2:$BQ$1001,MATCH(ROWS($AH$2:AH316),$AH$2:$AH$1001,0),MATCH(COLUMNS($AO$1006:BN1006),$AO$1006:$BQ$1006,0)), HYPERLINK("#",""), HYPERLINK(CONCATENATE("#Metadata!", ADDRESS(INDEX($AJ$2:$AJ$1001,MATCH(ROWS($AH$2:AH316),$AH$2:$AH$1001,0),0), INDEX($AO$1004:$BQ$1004,1,MATCH(COLUMNS($AO$1006:BN1006),$AO$1006:$BQ$1006,0)))),"Fix")))</f>
        <v>#N/A</v>
      </c>
      <c r="AB316" s="5" t="e">
        <f ca="1">IF(OR(INDEX($AI$2:$AI$1001,MATCH(ROWS($AH$2:AH316),$AH$2:$AH$1001,0),1)&gt;=100000,INDEX($AO$1005:$BQ$1005,1,MATCH(COLUMNS($AO$1006:BO1006),$AO$1006:$BQ$1006,0))&gt;=100000), " ",IF(INDEX($AO$2:$BQ$1001,MATCH(ROWS($AH$2:AH316),$AH$2:$AH$1001,0),MATCH(COLUMNS($AO$1006:BO1006),$AO$1006:$BQ$1006,0)), HYPERLINK("#",""), HYPERLINK(CONCATENATE("#Metadata!", ADDRESS(INDEX($AJ$2:$AJ$1001,MATCH(ROWS($AH$2:AH316),$AH$2:$AH$1001,0),0), INDEX($AO$1004:$BQ$1004,1,MATCH(COLUMNS($AO$1006:BO1006),$AO$1006:$BQ$1006,0)))),"Fix")))</f>
        <v>#N/A</v>
      </c>
      <c r="AC316" s="5" t="e">
        <f ca="1">IF(OR(INDEX($AI$2:$AI$1001,MATCH(ROWS($AH$2:AH316),$AH$2:$AH$1001,0),1)&gt;=100000,INDEX($AO$1005:$BQ$1005,1,MATCH(COLUMNS($AO$1006:BP1006),$AO$1006:$BQ$1006,0))&gt;=100000), " ",IF(INDEX($AO$2:$BQ$1001,MATCH(ROWS($AH$2:AH316),$AH$2:$AH$1001,0),MATCH(COLUMNS($AO$1006:BP1006),$AO$1006:$BQ$1006,0)), HYPERLINK("#",""), HYPERLINK(CONCATENATE("#Metadata!", ADDRESS(INDEX($AJ$2:$AJ$1001,MATCH(ROWS($AH$2:AH316),$AH$2:$AH$1001,0),0), INDEX($AO$1004:$BQ$1004,1,MATCH(COLUMNS($AO$1006:BP1006),$AO$1006:$BQ$1006,0)))),"Fix")))</f>
        <v>#N/A</v>
      </c>
      <c r="AD316" s="5" t="e">
        <f ca="1">IF(OR(INDEX($AI$2:$AI$1001,MATCH(ROWS($AH$2:AH316),$AH$2:$AH$1001,0),1)&gt;=100000,INDEX($AO$1005:$BQ$1005,1,MATCH(COLUMNS($AO$1006:BQ1006),$AO$1006:$BQ$1006,0))&gt;=100000), " ",IF(INDEX($AO$2:$BQ$1001,MATCH(ROWS($AH$2:AH316),$AH$2:$AH$1001,0),MATCH(COLUMNS($AO$1006:BQ1006),$AO$1006:$BQ$1006,0)), HYPERLINK("#",""), HYPERLINK(CONCATENATE("#Metadata!", ADDRESS(INDEX($AJ$2:$AJ$1001,MATCH(ROWS($AH$2:AH316),$AH$2:$AH$1001,0),0), INDEX($AO$1004:$BQ$1004,1,MATCH(COLUMNS($AO$1006:BQ1006),$AO$1006:$BQ$1006,0)))),"Fix")))</f>
        <v>#REF!</v>
      </c>
      <c r="AH316">
        <f ca="1"/>
        <v>313</v>
      </c>
      <c r="AI316">
        <v>100316</v>
      </c>
      <c r="AJ316">
        <v>316</v>
      </c>
      <c r="AK316" t="b">
        <f t="shared" si="4"/>
        <v>1</v>
      </c>
      <c r="AL316" t="b">
        <f>COUNTBLANK(Metadata!B316:AD316)=COLUMNS(Metadata!B316:AD316)</f>
        <v>1</v>
      </c>
      <c r="AM316" t="str">
        <v/>
      </c>
      <c r="AO316" t="b">
        <f ca="1">AND(IF(Metadata!B316="",FALSE,TRUE),COUNTIF(Metadata!B:B, Metadata!B316) = 1,NOT(ISERROR(SUMPRODUCT(SEARCH(MID(Metadata!B316,ROW(INDIRECT("1:"&amp;LEN(Metadata!B316))), 1),"0123456789abcdefghijklmnopqrstuvwxyzABCDEFGHIJKLMNOPQRSTUVWXYZ.")))))</f>
        <v>0</v>
      </c>
      <c r="AP316" t="b">
        <f>IF(Metadata!C316="",FALSE,TRUE)</f>
        <v>0</v>
      </c>
      <c r="AQ316" t="b">
        <f>IF(Metadata!D316="",FALSE,TRUE)</f>
        <v>0</v>
      </c>
      <c r="AR316" t="b">
        <f ca="1">OR(AND(IF(Metadata!E316="",FALSE,TRUE),OR(EXACT(Metadata!E316,"not collected"),EXACT(Metadata!E316,"not provided"),EXACT(Metadata!E316,"restricted access"))),AND(IF(Metadata!E316="",FALSE,TRUE),AND(AND(IFERROR(INT(LEFT(Metadata!E316,4))&gt;1900,FALSE),IFERROR(INT(LEFT(Metadata!E316,4))&lt;=YEAR(NOW()),FALSE)), OR(MID(Metadata!E316,5,1)="", AND(AND(MID(Metadata!E316,5,1)="-",IFERROR(INT(MID(Metadata!E316,6,1))&gt;=0,FALSE),IFERROR(INT(MID(Metadata!E316,6,1))&lt;=1,FALSE),NOT(MID(Metadata!E316,7,1)=""),IFERROR(INT(MID(Metadata!E316,6,2))&gt;=1,FALSE),IFERROR(INT(MID(Metadata!E316,6,2))&lt;=12,FALSE)), OR(MID(Metadata!E316,8,1)="", AND(AND(MID(Metadata!E316,8,1)="-",IFERROR(INT(MID(Metadata!E316,9,1))&gt;=0,FALSE),IFERROR(INT(MID(Metadata!E316,9,1))&lt;=3,FALSE),NOT(MID(Metadata!E316,10,1)=""),IFERROR(INT(MID(Metadata!E316,9,2))&gt;=1,FALSE),IFERROR(INT(MID(Metadata!E316,9,2))&lt;=31,FALSE)), OR(MID(Metadata!E316,11,1)="", AND(AND(MID(Metadata!E316,11,1)=" ",IFERROR(INT(MID(Metadata!E316,12,1))&gt;=0,FALSE),IFERROR(INT(MID(Metadata!E316,12,1))&lt;=2,FALSE),NOT(MID(Metadata!E316,13,1)=""),IFERROR(INT(MID(Metadata!E316,12,2))&gt;=0,FALSE),IFERROR(INT(MID(Metadata!E316,12,2))&lt;=23,FALSE)), OR(MID(Metadata!E316,14,1)="", AND(AND(MID(Metadata!E316,14,1)=":",IFERROR(INT(MID(Metadata!E316,15,1))&gt;=0,FALSE),IFERROR(INT(MID(Metadata!E316,15,1))&lt;=5,FALSE),NOT(MID(Metadata!E316,16,1)=""),IFERROR(INT(MID(Metadata!E316,15,2))&gt;=0,FALSE),IFERROR(INT(MID(Metadata!E316,15,2))&lt;=59,FALSE)), OR(MID(Metadata!E316,17,1)="", AND(AND(MID(Metadata!E316,17,1)=":",IFERROR(INT(MID(Metadata!E316,18,1))&gt;=0,FALSE),IFERROR(INT(MID(Metadata!E316,18,1))&lt;=5,FALSE),NOT(MID(Metadata!E316,19,1)=""),IFERROR(INT(MID(Metadata!E316,18,2))&gt;=0,FALSE),IFERROR(INT(MID(Metadata!E316,18,2))&lt;=59,FALSE)), LEN(Metadata!E316)&lt;=19)))))))))))))</f>
        <v>0</v>
      </c>
      <c r="AS316" t="b">
        <f>IF(Metadata!F316="",FALSE,TRUE)</f>
        <v>0</v>
      </c>
      <c r="AT316" t="b">
        <f>OR(AND(IF(Metadata!G316="",FALSE,TRUE),OR(EXACT(Metadata!G316,"not collected"),EXACT(Metadata!G316,"not provided"))),AND(IF(Metadata!G316="",FALSE,TRUE),OR(EXACT(Metadata!G316,"TRUE"),EXACT(Metadata!G316,"FALSE"))))</f>
        <v>0</v>
      </c>
      <c r="AU316" t="b">
        <f>OR(AND(IF(Metadata!H316="",FALSE,TRUE),OR(EXACT(Metadata!H316,"not collected"),EXACT(Metadata!H316,"not provided"),EXACT(Metadata!H316,"restricted access"))),AND(IF(Metadata!H316="",FALSE,ISNUMBER(VALUE(Metadata!H316))),Metadata!H316&gt;=-413))</f>
        <v>0</v>
      </c>
      <c r="AV316" t="b">
        <f>AND(IF(Metadata!I316="",FALSE,TRUE),EXACT(Metadata!I316,"meters"))</f>
        <v>0</v>
      </c>
      <c r="AW316" t="b">
        <f>AND(IF(Metadata!J316="",FALSE,TRUE),EXACT(Metadata!J316,"free-living"))</f>
        <v>0</v>
      </c>
      <c r="AX316" t="b">
        <f>AND(IF(Metadata!K316="",FALSE,TRUE),OR(EXACT(Metadata!K316,"saline"),EXACT(Metadata!K316,"non-saline")))</f>
        <v>0</v>
      </c>
      <c r="AY316" t="b">
        <f>AND(IF(Metadata!L316="",FALSE,TRUE),OR(EXACT(Metadata!L316,"sub-surface (non-saline)"),EXACT(Metadata!L316,"surface (non-saline)"),EXACT(Metadata!L316,"water (non-saline)"),EXACT(Metadata!L316,"soil (non-saline)"),EXACT(Metadata!L316,"aerosol (non-saline)"),EXACT(Metadata!L316,"sediment (non-saline)"),EXACT(Metadata!L316,"surface (saline)"),EXACT(Metadata!L316,"water (saline)"),EXACT(Metadata!L316,"hypersaline (saline)"),EXACT(Metadata!L316,"aerosol (saline)"),EXACT(Metadata!L316,"sediment (saline)")))</f>
        <v>0</v>
      </c>
      <c r="AZ316" t="b">
        <f>IF(Metadata!M316="",FALSE,TRUE)</f>
        <v>0</v>
      </c>
      <c r="BA316" t="b">
        <f>IF(Metadata!N316="",FALSE,TRUE)</f>
        <v>0</v>
      </c>
      <c r="BB316" t="b">
        <f>IF(Metadata!O316="",FALSE,TRUE)</f>
        <v>0</v>
      </c>
      <c r="BC316" t="b">
        <f>AND(IF(Metadata!P316="",FALSE,TRUE),OR(EXACT(Metadata!P316,"air"),EXACT(Metadata!P316,"microbial mat/biofilm"),EXACT(Metadata!P316,"misc environment"),EXACT(Metadata!P316,"sediment"),EXACT(Metadata!P316,"soil"),EXACT(Metadata!P316,"wastewater/sludge"),EXACT(Metadata!P316,"water")))</f>
        <v>0</v>
      </c>
      <c r="BD316" t="b">
        <f>IF(Metadata!Q316="",FALSE,TRUE)</f>
        <v>0</v>
      </c>
      <c r="BE316" t="b">
        <f>IF(Metadata!R316="",FALSE,TRUE)</f>
        <v>0</v>
      </c>
      <c r="BF316" t="b">
        <f>OR(AND(IF(Metadata!S316="",FALSE,TRUE),OR(EXACT(Metadata!S316,"not collected"),EXACT(Metadata!S316,"not provided"),EXACT(Metadata!S316,"restricted access"))),AND(IF(Metadata!S316="",FALSE,ISNUMBER(VALUE(Metadata!S316))),Metadata!S316&gt;=-90,Metadata!S316&lt;=90))</f>
        <v>0</v>
      </c>
      <c r="BG316" t="b">
        <f>AND(IF(Metadata!T316="",FALSE,TRUE),EXACT(Metadata!T316,"Decimal degrees"))</f>
        <v>0</v>
      </c>
      <c r="BH316" t="b">
        <f>OR(AND(IF(Metadata!U316="",FALSE,TRUE),OR(EXACT(Metadata!U316,"not applicable"),EXACT(Metadata!U316,"not collected"))),IF(Metadata!U316="",FALSE,TRUE))</f>
        <v>0</v>
      </c>
      <c r="BI316" t="b">
        <f>OR(AND(IF(Metadata!V316="",FALSE,TRUE),OR(EXACT(Metadata!V316,"not collected"),EXACT(Metadata!V316,"not provided"),EXACT(Metadata!V316,"restricted access"))),AND(IF(Metadata!V316="",FALSE,ISNUMBER(VALUE(Metadata!V316))),Metadata!V316&gt;=-180,Metadata!V316&lt;=180))</f>
        <v>0</v>
      </c>
      <c r="BJ316" t="b">
        <f>AND(IF(Metadata!W316="",FALSE,TRUE),EXACT(Metadata!W316,"Decimal degrees"))</f>
        <v>0</v>
      </c>
      <c r="BK316" t="b">
        <f>IF(Metadata!X316="",FALSE,TRUE)</f>
        <v>0</v>
      </c>
      <c r="BL316" t="b">
        <f>OR(AND(IF(Metadata!Y316="",FALSE,TRUE),OR(EXACT(Metadata!Y316,"not collected"),EXACT(Metadata!Y316,"not provided"),EXACT(Metadata!Y316,"restricted access"))),AND(IF(Metadata!Y316="",FALSE,TRUE),OR(EXACT(Metadata!Y316,"TRUE"),EXACT(Metadata!Y316,"FALSE"))))</f>
        <v>0</v>
      </c>
      <c r="BM316" t="b">
        <f>OR(AND(IF(Metadata!Z316="",FALSE,TRUE),EXACT(Metadata!Z316,"not applicable")),AND(IF(Metadata!Z316="",FALSE,TRUE),OR(EXACT(Metadata!Z316,"beer"),EXACT(Metadata!Z316,"cheese"),EXACT(Metadata!Z316,"fresh water"),EXACT(Metadata!Z316,"marine sediment"),EXACT(Metadata!Z316,"sea water"),EXACT(Metadata!Z316,"sediment"),EXACT(Metadata!Z316,"soil"),EXACT(Metadata!Z316,"waste water"))))</f>
        <v>0</v>
      </c>
      <c r="BN316" t="b">
        <f>AND(IF(Metadata!AA316="",FALSE,TRUE),EXACT(Metadata!AA316,"metagenome"))</f>
        <v>0</v>
      </c>
      <c r="BO316" t="b">
        <f>AND(IF(Metadata!AB316="",FALSE,TRUE),EXACT(Metadata!AB316,"256318"))</f>
        <v>0</v>
      </c>
      <c r="BP316" t="b">
        <f>IF(Metadata!AC316="",FALSE,TRUE)</f>
        <v>0</v>
      </c>
      <c r="BQ316" t="b">
        <f>IF(Metadata!AD316="",FALSE,TRUE)</f>
        <v>0</v>
      </c>
    </row>
    <row r="317" spans="1:69" x14ac:dyDescent="0.2">
      <c r="A317" s="4" t="e">
        <f ca="1">IF(B317=" "," ",HYPERLINK(CONCATENATE("#metadata!",ADDRESS(INDEX($AJ$2:$AJ$1001,MATCH(ROWS($AH$2:AH317),$AH$2:$AH$1001,0),0),2)),INDEX($AM$2:$AM$1001,MATCH(ROWS($AH$2:AH317),$AH$2:$AH$1001,0),0)))</f>
        <v>#N/A</v>
      </c>
      <c r="B317" s="5" t="e">
        <f ca="1">IF(OR(INDEX($AI$2:$AI$1001,MATCH(ROWS($AH$2:AH317),$AH$2:$AH$1001,0),1)&gt;=100000,INDEX($AO$1005:$BQ$1005,1,MATCH(COLUMNS($AO$1006:AO1006),$AO$1006:$BQ$1006,0))&gt;=100000), " ",IF(INDEX($AO$2:$BQ$1001,MATCH(ROWS($AH$2:AH317),$AH$2:$AH$1001,0),MATCH(COLUMNS($AO$1006:AO1006),$AO$1006:$BQ$1006,0)), HYPERLINK("#",""), HYPERLINK(CONCATENATE("#Metadata!", ADDRESS(INDEX($AJ$2:$AJ$1001,MATCH(ROWS($AH$2:AH317),$AH$2:$AH$1001,0),0), INDEX($AO$1004:$BQ$1004,1,MATCH(COLUMNS($AO$1006:AO1006),$AO$1006:$BQ$1006,0)))),"Fix")))</f>
        <v>#N/A</v>
      </c>
      <c r="C317" s="5" t="e">
        <f ca="1">IF(OR(INDEX($AI$2:$AI$1001,MATCH(ROWS($AH$2:AH317),$AH$2:$AH$1001,0),1)&gt;=100000,INDEX($AO$1005:$BQ$1005,1,MATCH(COLUMNS($AO$1006:AP1006),$AO$1006:$BQ$1006,0))&gt;=100000), " ",IF(INDEX($AO$2:$BQ$1001,MATCH(ROWS($AH$2:AH317),$AH$2:$AH$1001,0),MATCH(COLUMNS($AO$1006:AP1006),$AO$1006:$BQ$1006,0)), HYPERLINK("#",""), HYPERLINK(CONCATENATE("#Metadata!", ADDRESS(INDEX($AJ$2:$AJ$1001,MATCH(ROWS($AH$2:AH317),$AH$2:$AH$1001,0),0), INDEX($AO$1004:$BQ$1004,1,MATCH(COLUMNS($AO$1006:AP1006),$AO$1006:$BQ$1006,0)))),"Fix")))</f>
        <v>#N/A</v>
      </c>
      <c r="D317" s="5" t="e">
        <f ca="1">IF(OR(INDEX($AI$2:$AI$1001,MATCH(ROWS($AH$2:AH317),$AH$2:$AH$1001,0),1)&gt;=100000,INDEX($AO$1005:$BQ$1005,1,MATCH(COLUMNS($AO$1006:AQ1006),$AO$1006:$BQ$1006,0))&gt;=100000), " ",IF(INDEX($AO$2:$BQ$1001,MATCH(ROWS($AH$2:AH317),$AH$2:$AH$1001,0),MATCH(COLUMNS($AO$1006:AQ1006),$AO$1006:$BQ$1006,0)), HYPERLINK("#",""), HYPERLINK(CONCATENATE("#Metadata!", ADDRESS(INDEX($AJ$2:$AJ$1001,MATCH(ROWS($AH$2:AH317),$AH$2:$AH$1001,0),0), INDEX($AO$1004:$BQ$1004,1,MATCH(COLUMNS($AO$1006:AQ1006),$AO$1006:$BQ$1006,0)))),"Fix")))</f>
        <v>#N/A</v>
      </c>
      <c r="E317" s="5" t="e">
        <f ca="1">IF(OR(INDEX($AI$2:$AI$1001,MATCH(ROWS($AH$2:AH317),$AH$2:$AH$1001,0),1)&gt;=100000,INDEX($AO$1005:$BQ$1005,1,MATCH(COLUMNS($AO$1006:AR1006),$AO$1006:$BQ$1006,0))&gt;=100000), " ",IF(INDEX($AO$2:$BQ$1001,MATCH(ROWS($AH$2:AH317),$AH$2:$AH$1001,0),MATCH(COLUMNS($AO$1006:AR1006),$AO$1006:$BQ$1006,0)), HYPERLINK("#",""), HYPERLINK(CONCATENATE("#Metadata!", ADDRESS(INDEX($AJ$2:$AJ$1001,MATCH(ROWS($AH$2:AH317),$AH$2:$AH$1001,0),0), INDEX($AO$1004:$BQ$1004,1,MATCH(COLUMNS($AO$1006:AR1006),$AO$1006:$BQ$1006,0)))),"Fix")))</f>
        <v>#N/A</v>
      </c>
      <c r="F317" s="5" t="e">
        <f ca="1">IF(OR(INDEX($AI$2:$AI$1001,MATCH(ROWS($AH$2:AH317),$AH$2:$AH$1001,0),1)&gt;=100000,INDEX($AO$1005:$BQ$1005,1,MATCH(COLUMNS($AO$1006:AS1006),$AO$1006:$BQ$1006,0))&gt;=100000), " ",IF(INDEX($AO$2:$BQ$1001,MATCH(ROWS($AH$2:AH317),$AH$2:$AH$1001,0),MATCH(COLUMNS($AO$1006:AS1006),$AO$1006:$BQ$1006,0)), HYPERLINK("#",""), HYPERLINK(CONCATENATE("#Metadata!", ADDRESS(INDEX($AJ$2:$AJ$1001,MATCH(ROWS($AH$2:AH317),$AH$2:$AH$1001,0),0), INDEX($AO$1004:$BQ$1004,1,MATCH(COLUMNS($AO$1006:AS1006),$AO$1006:$BQ$1006,0)))),"Fix")))</f>
        <v>#N/A</v>
      </c>
      <c r="G317" s="5" t="e">
        <f ca="1">IF(OR(INDEX($AI$2:$AI$1001,MATCH(ROWS($AH$2:AH317),$AH$2:$AH$1001,0),1)&gt;=100000,INDEX($AO$1005:$BQ$1005,1,MATCH(COLUMNS($AO$1006:AT1006),$AO$1006:$BQ$1006,0))&gt;=100000), " ",IF(INDEX($AO$2:$BQ$1001,MATCH(ROWS($AH$2:AH317),$AH$2:$AH$1001,0),MATCH(COLUMNS($AO$1006:AT1006),$AO$1006:$BQ$1006,0)), HYPERLINK("#",""), HYPERLINK(CONCATENATE("#Metadata!", ADDRESS(INDEX($AJ$2:$AJ$1001,MATCH(ROWS($AH$2:AH317),$AH$2:$AH$1001,0),0), INDEX($AO$1004:$BQ$1004,1,MATCH(COLUMNS($AO$1006:AT1006),$AO$1006:$BQ$1006,0)))),"Fix")))</f>
        <v>#N/A</v>
      </c>
      <c r="H317" s="5" t="e">
        <f ca="1">IF(OR(INDEX($AI$2:$AI$1001,MATCH(ROWS($AH$2:AH317),$AH$2:$AH$1001,0),1)&gt;=100000,INDEX($AO$1005:$BQ$1005,1,MATCH(COLUMNS($AO$1006:AU1006),$AO$1006:$BQ$1006,0))&gt;=100000), " ",IF(INDEX($AO$2:$BQ$1001,MATCH(ROWS($AH$2:AH317),$AH$2:$AH$1001,0),MATCH(COLUMNS($AO$1006:AU1006),$AO$1006:$BQ$1006,0)), HYPERLINK("#",""), HYPERLINK(CONCATENATE("#Metadata!", ADDRESS(INDEX($AJ$2:$AJ$1001,MATCH(ROWS($AH$2:AH317),$AH$2:$AH$1001,0),0), INDEX($AO$1004:$BQ$1004,1,MATCH(COLUMNS($AO$1006:AU1006),$AO$1006:$BQ$1006,0)))),"Fix")))</f>
        <v>#N/A</v>
      </c>
      <c r="I317" s="5" t="e">
        <f ca="1">IF(OR(INDEX($AI$2:$AI$1001,MATCH(ROWS($AH$2:AH317),$AH$2:$AH$1001,0),1)&gt;=100000,INDEX($AO$1005:$BQ$1005,1,MATCH(COLUMNS($AO$1006:AV1006),$AO$1006:$BQ$1006,0))&gt;=100000), " ",IF(INDEX($AO$2:$BQ$1001,MATCH(ROWS($AH$2:AH317),$AH$2:$AH$1001,0),MATCH(COLUMNS($AO$1006:AV1006),$AO$1006:$BQ$1006,0)), HYPERLINK("#",""), HYPERLINK(CONCATENATE("#Metadata!", ADDRESS(INDEX($AJ$2:$AJ$1001,MATCH(ROWS($AH$2:AH317),$AH$2:$AH$1001,0),0), INDEX($AO$1004:$BQ$1004,1,MATCH(COLUMNS($AO$1006:AV1006),$AO$1006:$BQ$1006,0)))),"Fix")))</f>
        <v>#N/A</v>
      </c>
      <c r="J317" s="5" t="e">
        <f ca="1">IF(OR(INDEX($AI$2:$AI$1001,MATCH(ROWS($AH$2:AH317),$AH$2:$AH$1001,0),1)&gt;=100000,INDEX($AO$1005:$BQ$1005,1,MATCH(COLUMNS($AO$1006:AW1006),$AO$1006:$BQ$1006,0))&gt;=100000), " ",IF(INDEX($AO$2:$BQ$1001,MATCH(ROWS($AH$2:AH317),$AH$2:$AH$1001,0),MATCH(COLUMNS($AO$1006:AW1006),$AO$1006:$BQ$1006,0)), HYPERLINK("#",""), HYPERLINK(CONCATENATE("#Metadata!", ADDRESS(INDEX($AJ$2:$AJ$1001,MATCH(ROWS($AH$2:AH317),$AH$2:$AH$1001,0),0), INDEX($AO$1004:$BQ$1004,1,MATCH(COLUMNS($AO$1006:AW1006),$AO$1006:$BQ$1006,0)))),"Fix")))</f>
        <v>#N/A</v>
      </c>
      <c r="K317" s="5" t="e">
        <f ca="1">IF(OR(INDEX($AI$2:$AI$1001,MATCH(ROWS($AH$2:AH317),$AH$2:$AH$1001,0),1)&gt;=100000,INDEX($AO$1005:$BQ$1005,1,MATCH(COLUMNS($AO$1006:AX1006),$AO$1006:$BQ$1006,0))&gt;=100000), " ",IF(INDEX($AO$2:$BQ$1001,MATCH(ROWS($AH$2:AH317),$AH$2:$AH$1001,0),MATCH(COLUMNS($AO$1006:AX1006),$AO$1006:$BQ$1006,0)), HYPERLINK("#",""), HYPERLINK(CONCATENATE("#Metadata!", ADDRESS(INDEX($AJ$2:$AJ$1001,MATCH(ROWS($AH$2:AH317),$AH$2:$AH$1001,0),0), INDEX($AO$1004:$BQ$1004,1,MATCH(COLUMNS($AO$1006:AX1006),$AO$1006:$BQ$1006,0)))),"Fix")))</f>
        <v>#N/A</v>
      </c>
      <c r="L317" s="5" t="e">
        <f ca="1">IF(OR(INDEX($AI$2:$AI$1001,MATCH(ROWS($AH$2:AH317),$AH$2:$AH$1001,0),1)&gt;=100000,INDEX($AO$1005:$BQ$1005,1,MATCH(COLUMNS($AO$1006:AY1006),$AO$1006:$BQ$1006,0))&gt;=100000), " ",IF(INDEX($AO$2:$BQ$1001,MATCH(ROWS($AH$2:AH317),$AH$2:$AH$1001,0),MATCH(COLUMNS($AO$1006:AY1006),$AO$1006:$BQ$1006,0)), HYPERLINK("#",""), HYPERLINK(CONCATENATE("#Metadata!", ADDRESS(INDEX($AJ$2:$AJ$1001,MATCH(ROWS($AH$2:AH317),$AH$2:$AH$1001,0),0), INDEX($AO$1004:$BQ$1004,1,MATCH(COLUMNS($AO$1006:AY1006),$AO$1006:$BQ$1006,0)))),"Fix")))</f>
        <v>#N/A</v>
      </c>
      <c r="M317" s="5" t="e">
        <f ca="1">IF(OR(INDEX($AI$2:$AI$1001,MATCH(ROWS($AH$2:AH317),$AH$2:$AH$1001,0),1)&gt;=100000,INDEX($AO$1005:$BQ$1005,1,MATCH(COLUMNS($AO$1006:AZ1006),$AO$1006:$BQ$1006,0))&gt;=100000), " ",IF(INDEX($AO$2:$BQ$1001,MATCH(ROWS($AH$2:AH317),$AH$2:$AH$1001,0),MATCH(COLUMNS($AO$1006:AZ1006),$AO$1006:$BQ$1006,0)), HYPERLINK("#",""), HYPERLINK(CONCATENATE("#Metadata!", ADDRESS(INDEX($AJ$2:$AJ$1001,MATCH(ROWS($AH$2:AH317),$AH$2:$AH$1001,0),0), INDEX($AO$1004:$BQ$1004,1,MATCH(COLUMNS($AO$1006:AZ1006),$AO$1006:$BQ$1006,0)))),"Fix")))</f>
        <v>#N/A</v>
      </c>
      <c r="N317" s="5" t="e">
        <f ca="1">IF(OR(INDEX($AI$2:$AI$1001,MATCH(ROWS($AH$2:AH317),$AH$2:$AH$1001,0),1)&gt;=100000,INDEX($AO$1005:$BQ$1005,1,MATCH(COLUMNS($AO$1006:BA1006),$AO$1006:$BQ$1006,0))&gt;=100000), " ",IF(INDEX($AO$2:$BQ$1001,MATCH(ROWS($AH$2:AH317),$AH$2:$AH$1001,0),MATCH(COLUMNS($AO$1006:BA1006),$AO$1006:$BQ$1006,0)), HYPERLINK("#",""), HYPERLINK(CONCATENATE("#Metadata!", ADDRESS(INDEX($AJ$2:$AJ$1001,MATCH(ROWS($AH$2:AH317),$AH$2:$AH$1001,0),0), INDEX($AO$1004:$BQ$1004,1,MATCH(COLUMNS($AO$1006:BA1006),$AO$1006:$BQ$1006,0)))),"Fix")))</f>
        <v>#N/A</v>
      </c>
      <c r="O317" s="5" t="e">
        <f ca="1">IF(OR(INDEX($AI$2:$AI$1001,MATCH(ROWS($AH$2:AH317),$AH$2:$AH$1001,0),1)&gt;=100000,INDEX($AO$1005:$BQ$1005,1,MATCH(COLUMNS($AO$1006:BB1006),$AO$1006:$BQ$1006,0))&gt;=100000), " ",IF(INDEX($AO$2:$BQ$1001,MATCH(ROWS($AH$2:AH317),$AH$2:$AH$1001,0),MATCH(COLUMNS($AO$1006:BB1006),$AO$1006:$BQ$1006,0)), HYPERLINK("#",""), HYPERLINK(CONCATENATE("#Metadata!", ADDRESS(INDEX($AJ$2:$AJ$1001,MATCH(ROWS($AH$2:AH317),$AH$2:$AH$1001,0),0), INDEX($AO$1004:$BQ$1004,1,MATCH(COLUMNS($AO$1006:BB1006),$AO$1006:$BQ$1006,0)))),"Fix")))</f>
        <v>#N/A</v>
      </c>
      <c r="P317" s="5" t="e">
        <f ca="1">IF(OR(INDEX($AI$2:$AI$1001,MATCH(ROWS($AH$2:AH317),$AH$2:$AH$1001,0),1)&gt;=100000,INDEX($AO$1005:$BQ$1005,1,MATCH(COLUMNS($AO$1006:BC1006),$AO$1006:$BQ$1006,0))&gt;=100000), " ",IF(INDEX($AO$2:$BQ$1001,MATCH(ROWS($AH$2:AH317),$AH$2:$AH$1001,0),MATCH(COLUMNS($AO$1006:BC1006),$AO$1006:$BQ$1006,0)), HYPERLINK("#",""), HYPERLINK(CONCATENATE("#Metadata!", ADDRESS(INDEX($AJ$2:$AJ$1001,MATCH(ROWS($AH$2:AH317),$AH$2:$AH$1001,0),0), INDEX($AO$1004:$BQ$1004,1,MATCH(COLUMNS($AO$1006:BC1006),$AO$1006:$BQ$1006,0)))),"Fix")))</f>
        <v>#N/A</v>
      </c>
      <c r="Q317" s="5" t="e">
        <f ca="1">IF(OR(INDEX($AI$2:$AI$1001,MATCH(ROWS($AH$2:AH317),$AH$2:$AH$1001,0),1)&gt;=100000,INDEX($AO$1005:$BQ$1005,1,MATCH(COLUMNS($AO$1006:BD1006),$AO$1006:$BQ$1006,0))&gt;=100000), " ",IF(INDEX($AO$2:$BQ$1001,MATCH(ROWS($AH$2:AH317),$AH$2:$AH$1001,0),MATCH(COLUMNS($AO$1006:BD1006),$AO$1006:$BQ$1006,0)), HYPERLINK("#",""), HYPERLINK(CONCATENATE("#Metadata!", ADDRESS(INDEX($AJ$2:$AJ$1001,MATCH(ROWS($AH$2:AH317),$AH$2:$AH$1001,0),0), INDEX($AO$1004:$BQ$1004,1,MATCH(COLUMNS($AO$1006:BD1006),$AO$1006:$BQ$1006,0)))),"Fix")))</f>
        <v>#N/A</v>
      </c>
      <c r="R317" s="5" t="e">
        <f ca="1">IF(OR(INDEX($AI$2:$AI$1001,MATCH(ROWS($AH$2:AH317),$AH$2:$AH$1001,0),1)&gt;=100000,INDEX($AO$1005:$BQ$1005,1,MATCH(COLUMNS($AO$1006:BE1006),$AO$1006:$BQ$1006,0))&gt;=100000), " ",IF(INDEX($AO$2:$BQ$1001,MATCH(ROWS($AH$2:AH317),$AH$2:$AH$1001,0),MATCH(COLUMNS($AO$1006:BE1006),$AO$1006:$BQ$1006,0)), HYPERLINK("#",""), HYPERLINK(CONCATENATE("#Metadata!", ADDRESS(INDEX($AJ$2:$AJ$1001,MATCH(ROWS($AH$2:AH317),$AH$2:$AH$1001,0),0), INDEX($AO$1004:$BQ$1004,1,MATCH(COLUMNS($AO$1006:BE1006),$AO$1006:$BQ$1006,0)))),"Fix")))</f>
        <v>#N/A</v>
      </c>
      <c r="S317" s="5" t="e">
        <f ca="1">IF(OR(INDEX($AI$2:$AI$1001,MATCH(ROWS($AH$2:AH317),$AH$2:$AH$1001,0),1)&gt;=100000,INDEX($AO$1005:$BQ$1005,1,MATCH(COLUMNS($AO$1006:BF1006),$AO$1006:$BQ$1006,0))&gt;=100000), " ",IF(INDEX($AO$2:$BQ$1001,MATCH(ROWS($AH$2:AH317),$AH$2:$AH$1001,0),MATCH(COLUMNS($AO$1006:BF1006),$AO$1006:$BQ$1006,0)), HYPERLINK("#",""), HYPERLINK(CONCATENATE("#Metadata!", ADDRESS(INDEX($AJ$2:$AJ$1001,MATCH(ROWS($AH$2:AH317),$AH$2:$AH$1001,0),0), INDEX($AO$1004:$BQ$1004,1,MATCH(COLUMNS($AO$1006:BF1006),$AO$1006:$BQ$1006,0)))),"Fix")))</f>
        <v>#N/A</v>
      </c>
      <c r="T317" s="5" t="e">
        <f ca="1">IF(OR(INDEX($AI$2:$AI$1001,MATCH(ROWS($AH$2:AH317),$AH$2:$AH$1001,0),1)&gt;=100000,INDEX($AO$1005:$BQ$1005,1,MATCH(COLUMNS($AO$1006:BG1006),$AO$1006:$BQ$1006,0))&gt;=100000), " ",IF(INDEX($AO$2:$BQ$1001,MATCH(ROWS($AH$2:AH317),$AH$2:$AH$1001,0),MATCH(COLUMNS($AO$1006:BG1006),$AO$1006:$BQ$1006,0)), HYPERLINK("#",""), HYPERLINK(CONCATENATE("#Metadata!", ADDRESS(INDEX($AJ$2:$AJ$1001,MATCH(ROWS($AH$2:AH317),$AH$2:$AH$1001,0),0), INDEX($AO$1004:$BQ$1004,1,MATCH(COLUMNS($AO$1006:BG1006),$AO$1006:$BQ$1006,0)))),"Fix")))</f>
        <v>#N/A</v>
      </c>
      <c r="U317" s="5" t="e">
        <f ca="1">IF(OR(INDEX($AI$2:$AI$1001,MATCH(ROWS($AH$2:AH317),$AH$2:$AH$1001,0),1)&gt;=100000,INDEX($AO$1005:$BQ$1005,1,MATCH(COLUMNS($AO$1006:BH1006),$AO$1006:$BQ$1006,0))&gt;=100000), " ",IF(INDEX($AO$2:$BQ$1001,MATCH(ROWS($AH$2:AH317),$AH$2:$AH$1001,0),MATCH(COLUMNS($AO$1006:BH1006),$AO$1006:$BQ$1006,0)), HYPERLINK("#",""), HYPERLINK(CONCATENATE("#Metadata!", ADDRESS(INDEX($AJ$2:$AJ$1001,MATCH(ROWS($AH$2:AH317),$AH$2:$AH$1001,0),0), INDEX($AO$1004:$BQ$1004,1,MATCH(COLUMNS($AO$1006:BH1006),$AO$1006:$BQ$1006,0)))),"Fix")))</f>
        <v>#N/A</v>
      </c>
      <c r="V317" s="5" t="e">
        <f ca="1">IF(OR(INDEX($AI$2:$AI$1001,MATCH(ROWS($AH$2:AH317),$AH$2:$AH$1001,0),1)&gt;=100000,INDEX($AO$1005:$BQ$1005,1,MATCH(COLUMNS($AO$1006:BI1006),$AO$1006:$BQ$1006,0))&gt;=100000), " ",IF(INDEX($AO$2:$BQ$1001,MATCH(ROWS($AH$2:AH317),$AH$2:$AH$1001,0),MATCH(COLUMNS($AO$1006:BI1006),$AO$1006:$BQ$1006,0)), HYPERLINK("#",""), HYPERLINK(CONCATENATE("#Metadata!", ADDRESS(INDEX($AJ$2:$AJ$1001,MATCH(ROWS($AH$2:AH317),$AH$2:$AH$1001,0),0), INDEX($AO$1004:$BQ$1004,1,MATCH(COLUMNS($AO$1006:BI1006),$AO$1006:$BQ$1006,0)))),"Fix")))</f>
        <v>#N/A</v>
      </c>
      <c r="W317" s="5" t="e">
        <f ca="1">IF(OR(INDEX($AI$2:$AI$1001,MATCH(ROWS($AH$2:AH317),$AH$2:$AH$1001,0),1)&gt;=100000,INDEX($AO$1005:$BQ$1005,1,MATCH(COLUMNS($AO$1006:BJ1006),$AO$1006:$BQ$1006,0))&gt;=100000), " ",IF(INDEX($AO$2:$BQ$1001,MATCH(ROWS($AH$2:AH317),$AH$2:$AH$1001,0),MATCH(COLUMNS($AO$1006:BJ1006),$AO$1006:$BQ$1006,0)), HYPERLINK("#",""), HYPERLINK(CONCATENATE("#Metadata!", ADDRESS(INDEX($AJ$2:$AJ$1001,MATCH(ROWS($AH$2:AH317),$AH$2:$AH$1001,0),0), INDEX($AO$1004:$BQ$1004,1,MATCH(COLUMNS($AO$1006:BJ1006),$AO$1006:$BQ$1006,0)))),"Fix")))</f>
        <v>#N/A</v>
      </c>
      <c r="X317" s="5" t="e">
        <f ca="1">IF(OR(INDEX($AI$2:$AI$1001,MATCH(ROWS($AH$2:AH317),$AH$2:$AH$1001,0),1)&gt;=100000,INDEX($AO$1005:$BQ$1005,1,MATCH(COLUMNS($AO$1006:BK1006),$AO$1006:$BQ$1006,0))&gt;=100000), " ",IF(INDEX($AO$2:$BQ$1001,MATCH(ROWS($AH$2:AH317),$AH$2:$AH$1001,0),MATCH(COLUMNS($AO$1006:BK1006),$AO$1006:$BQ$1006,0)), HYPERLINK("#",""), HYPERLINK(CONCATENATE("#Metadata!", ADDRESS(INDEX($AJ$2:$AJ$1001,MATCH(ROWS($AH$2:AH317),$AH$2:$AH$1001,0),0), INDEX($AO$1004:$BQ$1004,1,MATCH(COLUMNS($AO$1006:BK1006),$AO$1006:$BQ$1006,0)))),"Fix")))</f>
        <v>#N/A</v>
      </c>
      <c r="Y317" s="5" t="e">
        <f ca="1">IF(OR(INDEX($AI$2:$AI$1001,MATCH(ROWS($AH$2:AH317),$AH$2:$AH$1001,0),1)&gt;=100000,INDEX($AO$1005:$BQ$1005,1,MATCH(COLUMNS($AO$1006:BL1006),$AO$1006:$BQ$1006,0))&gt;=100000), " ",IF(INDEX($AO$2:$BQ$1001,MATCH(ROWS($AH$2:AH317),$AH$2:$AH$1001,0),MATCH(COLUMNS($AO$1006:BL1006),$AO$1006:$BQ$1006,0)), HYPERLINK("#",""), HYPERLINK(CONCATENATE("#Metadata!", ADDRESS(INDEX($AJ$2:$AJ$1001,MATCH(ROWS($AH$2:AH317),$AH$2:$AH$1001,0),0), INDEX($AO$1004:$BQ$1004,1,MATCH(COLUMNS($AO$1006:BL1006),$AO$1006:$BQ$1006,0)))),"Fix")))</f>
        <v>#N/A</v>
      </c>
      <c r="Z317" s="5" t="e">
        <f ca="1">IF(OR(INDEX($AI$2:$AI$1001,MATCH(ROWS($AH$2:AH317),$AH$2:$AH$1001,0),1)&gt;=100000,INDEX($AO$1005:$BQ$1005,1,MATCH(COLUMNS($AO$1006:BM1006),$AO$1006:$BQ$1006,0))&gt;=100000), " ",IF(INDEX($AO$2:$BQ$1001,MATCH(ROWS($AH$2:AH317),$AH$2:$AH$1001,0),MATCH(COLUMNS($AO$1006:BM1006),$AO$1006:$BQ$1006,0)), HYPERLINK("#",""), HYPERLINK(CONCATENATE("#Metadata!", ADDRESS(INDEX($AJ$2:$AJ$1001,MATCH(ROWS($AH$2:AH317),$AH$2:$AH$1001,0),0), INDEX($AO$1004:$BQ$1004,1,MATCH(COLUMNS($AO$1006:BM1006),$AO$1006:$BQ$1006,0)))),"Fix")))</f>
        <v>#N/A</v>
      </c>
      <c r="AA317" s="5" t="e">
        <f ca="1">IF(OR(INDEX($AI$2:$AI$1001,MATCH(ROWS($AH$2:AH317),$AH$2:$AH$1001,0),1)&gt;=100000,INDEX($AO$1005:$BQ$1005,1,MATCH(COLUMNS($AO$1006:BN1006),$AO$1006:$BQ$1006,0))&gt;=100000), " ",IF(INDEX($AO$2:$BQ$1001,MATCH(ROWS($AH$2:AH317),$AH$2:$AH$1001,0),MATCH(COLUMNS($AO$1006:BN1006),$AO$1006:$BQ$1006,0)), HYPERLINK("#",""), HYPERLINK(CONCATENATE("#Metadata!", ADDRESS(INDEX($AJ$2:$AJ$1001,MATCH(ROWS($AH$2:AH317),$AH$2:$AH$1001,0),0), INDEX($AO$1004:$BQ$1004,1,MATCH(COLUMNS($AO$1006:BN1006),$AO$1006:$BQ$1006,0)))),"Fix")))</f>
        <v>#N/A</v>
      </c>
      <c r="AB317" s="5" t="e">
        <f ca="1">IF(OR(INDEX($AI$2:$AI$1001,MATCH(ROWS($AH$2:AH317),$AH$2:$AH$1001,0),1)&gt;=100000,INDEX($AO$1005:$BQ$1005,1,MATCH(COLUMNS($AO$1006:BO1006),$AO$1006:$BQ$1006,0))&gt;=100000), " ",IF(INDEX($AO$2:$BQ$1001,MATCH(ROWS($AH$2:AH317),$AH$2:$AH$1001,0),MATCH(COLUMNS($AO$1006:BO1006),$AO$1006:$BQ$1006,0)), HYPERLINK("#",""), HYPERLINK(CONCATENATE("#Metadata!", ADDRESS(INDEX($AJ$2:$AJ$1001,MATCH(ROWS($AH$2:AH317),$AH$2:$AH$1001,0),0), INDEX($AO$1004:$BQ$1004,1,MATCH(COLUMNS($AO$1006:BO1006),$AO$1006:$BQ$1006,0)))),"Fix")))</f>
        <v>#N/A</v>
      </c>
      <c r="AC317" s="5" t="e">
        <f ca="1">IF(OR(INDEX($AI$2:$AI$1001,MATCH(ROWS($AH$2:AH317),$AH$2:$AH$1001,0),1)&gt;=100000,INDEX($AO$1005:$BQ$1005,1,MATCH(COLUMNS($AO$1006:BP1006),$AO$1006:$BQ$1006,0))&gt;=100000), " ",IF(INDEX($AO$2:$BQ$1001,MATCH(ROWS($AH$2:AH317),$AH$2:$AH$1001,0),MATCH(COLUMNS($AO$1006:BP1006),$AO$1006:$BQ$1006,0)), HYPERLINK("#",""), HYPERLINK(CONCATENATE("#Metadata!", ADDRESS(INDEX($AJ$2:$AJ$1001,MATCH(ROWS($AH$2:AH317),$AH$2:$AH$1001,0),0), INDEX($AO$1004:$BQ$1004,1,MATCH(COLUMNS($AO$1006:BP1006),$AO$1006:$BQ$1006,0)))),"Fix")))</f>
        <v>#N/A</v>
      </c>
      <c r="AD317" s="5" t="e">
        <f ca="1">IF(OR(INDEX($AI$2:$AI$1001,MATCH(ROWS($AH$2:AH317),$AH$2:$AH$1001,0),1)&gt;=100000,INDEX($AO$1005:$BQ$1005,1,MATCH(COLUMNS($AO$1006:BQ1006),$AO$1006:$BQ$1006,0))&gt;=100000), " ",IF(INDEX($AO$2:$BQ$1001,MATCH(ROWS($AH$2:AH317),$AH$2:$AH$1001,0),MATCH(COLUMNS($AO$1006:BQ1006),$AO$1006:$BQ$1006,0)), HYPERLINK("#",""), HYPERLINK(CONCATENATE("#Metadata!", ADDRESS(INDEX($AJ$2:$AJ$1001,MATCH(ROWS($AH$2:AH317),$AH$2:$AH$1001,0),0), INDEX($AO$1004:$BQ$1004,1,MATCH(COLUMNS($AO$1006:BQ1006),$AO$1006:$BQ$1006,0)))),"Fix")))</f>
        <v>#REF!</v>
      </c>
      <c r="AH317">
        <f ca="1"/>
        <v>314</v>
      </c>
      <c r="AI317">
        <v>100317</v>
      </c>
      <c r="AJ317">
        <v>317</v>
      </c>
      <c r="AK317" t="b">
        <f t="shared" si="4"/>
        <v>1</v>
      </c>
      <c r="AL317" t="b">
        <f>COUNTBLANK(Metadata!B317:AD317)=COLUMNS(Metadata!B317:AD317)</f>
        <v>1</v>
      </c>
      <c r="AM317" t="str">
        <v/>
      </c>
      <c r="AO317" t="b">
        <f ca="1">AND(IF(Metadata!B317="",FALSE,TRUE),COUNTIF(Metadata!B:B, Metadata!B317) = 1,NOT(ISERROR(SUMPRODUCT(SEARCH(MID(Metadata!B317,ROW(INDIRECT("1:"&amp;LEN(Metadata!B317))), 1),"0123456789abcdefghijklmnopqrstuvwxyzABCDEFGHIJKLMNOPQRSTUVWXYZ.")))))</f>
        <v>0</v>
      </c>
      <c r="AP317" t="b">
        <f>IF(Metadata!C317="",FALSE,TRUE)</f>
        <v>0</v>
      </c>
      <c r="AQ317" t="b">
        <f>IF(Metadata!D317="",FALSE,TRUE)</f>
        <v>0</v>
      </c>
      <c r="AR317" t="b">
        <f ca="1">OR(AND(IF(Metadata!E317="",FALSE,TRUE),OR(EXACT(Metadata!E317,"not collected"),EXACT(Metadata!E317,"not provided"),EXACT(Metadata!E317,"restricted access"))),AND(IF(Metadata!E317="",FALSE,TRUE),AND(AND(IFERROR(INT(LEFT(Metadata!E317,4))&gt;1900,FALSE),IFERROR(INT(LEFT(Metadata!E317,4))&lt;=YEAR(NOW()),FALSE)), OR(MID(Metadata!E317,5,1)="", AND(AND(MID(Metadata!E317,5,1)="-",IFERROR(INT(MID(Metadata!E317,6,1))&gt;=0,FALSE),IFERROR(INT(MID(Metadata!E317,6,1))&lt;=1,FALSE),NOT(MID(Metadata!E317,7,1)=""),IFERROR(INT(MID(Metadata!E317,6,2))&gt;=1,FALSE),IFERROR(INT(MID(Metadata!E317,6,2))&lt;=12,FALSE)), OR(MID(Metadata!E317,8,1)="", AND(AND(MID(Metadata!E317,8,1)="-",IFERROR(INT(MID(Metadata!E317,9,1))&gt;=0,FALSE),IFERROR(INT(MID(Metadata!E317,9,1))&lt;=3,FALSE),NOT(MID(Metadata!E317,10,1)=""),IFERROR(INT(MID(Metadata!E317,9,2))&gt;=1,FALSE),IFERROR(INT(MID(Metadata!E317,9,2))&lt;=31,FALSE)), OR(MID(Metadata!E317,11,1)="", AND(AND(MID(Metadata!E317,11,1)=" ",IFERROR(INT(MID(Metadata!E317,12,1))&gt;=0,FALSE),IFERROR(INT(MID(Metadata!E317,12,1))&lt;=2,FALSE),NOT(MID(Metadata!E317,13,1)=""),IFERROR(INT(MID(Metadata!E317,12,2))&gt;=0,FALSE),IFERROR(INT(MID(Metadata!E317,12,2))&lt;=23,FALSE)), OR(MID(Metadata!E317,14,1)="", AND(AND(MID(Metadata!E317,14,1)=":",IFERROR(INT(MID(Metadata!E317,15,1))&gt;=0,FALSE),IFERROR(INT(MID(Metadata!E317,15,1))&lt;=5,FALSE),NOT(MID(Metadata!E317,16,1)=""),IFERROR(INT(MID(Metadata!E317,15,2))&gt;=0,FALSE),IFERROR(INT(MID(Metadata!E317,15,2))&lt;=59,FALSE)), OR(MID(Metadata!E317,17,1)="", AND(AND(MID(Metadata!E317,17,1)=":",IFERROR(INT(MID(Metadata!E317,18,1))&gt;=0,FALSE),IFERROR(INT(MID(Metadata!E317,18,1))&lt;=5,FALSE),NOT(MID(Metadata!E317,19,1)=""),IFERROR(INT(MID(Metadata!E317,18,2))&gt;=0,FALSE),IFERROR(INT(MID(Metadata!E317,18,2))&lt;=59,FALSE)), LEN(Metadata!E317)&lt;=19)))))))))))))</f>
        <v>0</v>
      </c>
      <c r="AS317" t="b">
        <f>IF(Metadata!F317="",FALSE,TRUE)</f>
        <v>0</v>
      </c>
      <c r="AT317" t="b">
        <f>OR(AND(IF(Metadata!G317="",FALSE,TRUE),OR(EXACT(Metadata!G317,"not collected"),EXACT(Metadata!G317,"not provided"))),AND(IF(Metadata!G317="",FALSE,TRUE),OR(EXACT(Metadata!G317,"TRUE"),EXACT(Metadata!G317,"FALSE"))))</f>
        <v>0</v>
      </c>
      <c r="AU317" t="b">
        <f>OR(AND(IF(Metadata!H317="",FALSE,TRUE),OR(EXACT(Metadata!H317,"not collected"),EXACT(Metadata!H317,"not provided"),EXACT(Metadata!H317,"restricted access"))),AND(IF(Metadata!H317="",FALSE,ISNUMBER(VALUE(Metadata!H317))),Metadata!H317&gt;=-413))</f>
        <v>0</v>
      </c>
      <c r="AV317" t="b">
        <f>AND(IF(Metadata!I317="",FALSE,TRUE),EXACT(Metadata!I317,"meters"))</f>
        <v>0</v>
      </c>
      <c r="AW317" t="b">
        <f>AND(IF(Metadata!J317="",FALSE,TRUE),EXACT(Metadata!J317,"free-living"))</f>
        <v>0</v>
      </c>
      <c r="AX317" t="b">
        <f>AND(IF(Metadata!K317="",FALSE,TRUE),OR(EXACT(Metadata!K317,"saline"),EXACT(Metadata!K317,"non-saline")))</f>
        <v>0</v>
      </c>
      <c r="AY317" t="b">
        <f>AND(IF(Metadata!L317="",FALSE,TRUE),OR(EXACT(Metadata!L317,"sub-surface (non-saline)"),EXACT(Metadata!L317,"surface (non-saline)"),EXACT(Metadata!L317,"water (non-saline)"),EXACT(Metadata!L317,"soil (non-saline)"),EXACT(Metadata!L317,"aerosol (non-saline)"),EXACT(Metadata!L317,"sediment (non-saline)"),EXACT(Metadata!L317,"surface (saline)"),EXACT(Metadata!L317,"water (saline)"),EXACT(Metadata!L317,"hypersaline (saline)"),EXACT(Metadata!L317,"aerosol (saline)"),EXACT(Metadata!L317,"sediment (saline)")))</f>
        <v>0</v>
      </c>
      <c r="AZ317" t="b">
        <f>IF(Metadata!M317="",FALSE,TRUE)</f>
        <v>0</v>
      </c>
      <c r="BA317" t="b">
        <f>IF(Metadata!N317="",FALSE,TRUE)</f>
        <v>0</v>
      </c>
      <c r="BB317" t="b">
        <f>IF(Metadata!O317="",FALSE,TRUE)</f>
        <v>0</v>
      </c>
      <c r="BC317" t="b">
        <f>AND(IF(Metadata!P317="",FALSE,TRUE),OR(EXACT(Metadata!P317,"air"),EXACT(Metadata!P317,"microbial mat/biofilm"),EXACT(Metadata!P317,"misc environment"),EXACT(Metadata!P317,"sediment"),EXACT(Metadata!P317,"soil"),EXACT(Metadata!P317,"wastewater/sludge"),EXACT(Metadata!P317,"water")))</f>
        <v>0</v>
      </c>
      <c r="BD317" t="b">
        <f>IF(Metadata!Q317="",FALSE,TRUE)</f>
        <v>0</v>
      </c>
      <c r="BE317" t="b">
        <f>IF(Metadata!R317="",FALSE,TRUE)</f>
        <v>0</v>
      </c>
      <c r="BF317" t="b">
        <f>OR(AND(IF(Metadata!S317="",FALSE,TRUE),OR(EXACT(Metadata!S317,"not collected"),EXACT(Metadata!S317,"not provided"),EXACT(Metadata!S317,"restricted access"))),AND(IF(Metadata!S317="",FALSE,ISNUMBER(VALUE(Metadata!S317))),Metadata!S317&gt;=-90,Metadata!S317&lt;=90))</f>
        <v>0</v>
      </c>
      <c r="BG317" t="b">
        <f>AND(IF(Metadata!T317="",FALSE,TRUE),EXACT(Metadata!T317,"Decimal degrees"))</f>
        <v>0</v>
      </c>
      <c r="BH317" t="b">
        <f>OR(AND(IF(Metadata!U317="",FALSE,TRUE),OR(EXACT(Metadata!U317,"not applicable"),EXACT(Metadata!U317,"not collected"))),IF(Metadata!U317="",FALSE,TRUE))</f>
        <v>0</v>
      </c>
      <c r="BI317" t="b">
        <f>OR(AND(IF(Metadata!V317="",FALSE,TRUE),OR(EXACT(Metadata!V317,"not collected"),EXACT(Metadata!V317,"not provided"),EXACT(Metadata!V317,"restricted access"))),AND(IF(Metadata!V317="",FALSE,ISNUMBER(VALUE(Metadata!V317))),Metadata!V317&gt;=-180,Metadata!V317&lt;=180))</f>
        <v>0</v>
      </c>
      <c r="BJ317" t="b">
        <f>AND(IF(Metadata!W317="",FALSE,TRUE),EXACT(Metadata!W317,"Decimal degrees"))</f>
        <v>0</v>
      </c>
      <c r="BK317" t="b">
        <f>IF(Metadata!X317="",FALSE,TRUE)</f>
        <v>0</v>
      </c>
      <c r="BL317" t="b">
        <f>OR(AND(IF(Metadata!Y317="",FALSE,TRUE),OR(EXACT(Metadata!Y317,"not collected"),EXACT(Metadata!Y317,"not provided"),EXACT(Metadata!Y317,"restricted access"))),AND(IF(Metadata!Y317="",FALSE,TRUE),OR(EXACT(Metadata!Y317,"TRUE"),EXACT(Metadata!Y317,"FALSE"))))</f>
        <v>0</v>
      </c>
      <c r="BM317" t="b">
        <f>OR(AND(IF(Metadata!Z317="",FALSE,TRUE),EXACT(Metadata!Z317,"not applicable")),AND(IF(Metadata!Z317="",FALSE,TRUE),OR(EXACT(Metadata!Z317,"beer"),EXACT(Metadata!Z317,"cheese"),EXACT(Metadata!Z317,"fresh water"),EXACT(Metadata!Z317,"marine sediment"),EXACT(Metadata!Z317,"sea water"),EXACT(Metadata!Z317,"sediment"),EXACT(Metadata!Z317,"soil"),EXACT(Metadata!Z317,"waste water"))))</f>
        <v>0</v>
      </c>
      <c r="BN317" t="b">
        <f>AND(IF(Metadata!AA317="",FALSE,TRUE),EXACT(Metadata!AA317,"metagenome"))</f>
        <v>0</v>
      </c>
      <c r="BO317" t="b">
        <f>AND(IF(Metadata!AB317="",FALSE,TRUE),EXACT(Metadata!AB317,"256318"))</f>
        <v>0</v>
      </c>
      <c r="BP317" t="b">
        <f>IF(Metadata!AC317="",FALSE,TRUE)</f>
        <v>0</v>
      </c>
      <c r="BQ317" t="b">
        <f>IF(Metadata!AD317="",FALSE,TRUE)</f>
        <v>0</v>
      </c>
    </row>
    <row r="318" spans="1:69" x14ac:dyDescent="0.2">
      <c r="A318" s="4" t="e">
        <f ca="1">IF(B318=" "," ",HYPERLINK(CONCATENATE("#metadata!",ADDRESS(INDEX($AJ$2:$AJ$1001,MATCH(ROWS($AH$2:AH318),$AH$2:$AH$1001,0),0),2)),INDEX($AM$2:$AM$1001,MATCH(ROWS($AH$2:AH318),$AH$2:$AH$1001,0),0)))</f>
        <v>#N/A</v>
      </c>
      <c r="B318" s="5" t="e">
        <f ca="1">IF(OR(INDEX($AI$2:$AI$1001,MATCH(ROWS($AH$2:AH318),$AH$2:$AH$1001,0),1)&gt;=100000,INDEX($AO$1005:$BQ$1005,1,MATCH(COLUMNS($AO$1006:AO1006),$AO$1006:$BQ$1006,0))&gt;=100000), " ",IF(INDEX($AO$2:$BQ$1001,MATCH(ROWS($AH$2:AH318),$AH$2:$AH$1001,0),MATCH(COLUMNS($AO$1006:AO1006),$AO$1006:$BQ$1006,0)), HYPERLINK("#",""), HYPERLINK(CONCATENATE("#Metadata!", ADDRESS(INDEX($AJ$2:$AJ$1001,MATCH(ROWS($AH$2:AH318),$AH$2:$AH$1001,0),0), INDEX($AO$1004:$BQ$1004,1,MATCH(COLUMNS($AO$1006:AO1006),$AO$1006:$BQ$1006,0)))),"Fix")))</f>
        <v>#N/A</v>
      </c>
      <c r="C318" s="5" t="e">
        <f ca="1">IF(OR(INDEX($AI$2:$AI$1001,MATCH(ROWS($AH$2:AH318),$AH$2:$AH$1001,0),1)&gt;=100000,INDEX($AO$1005:$BQ$1005,1,MATCH(COLUMNS($AO$1006:AP1006),$AO$1006:$BQ$1006,0))&gt;=100000), " ",IF(INDEX($AO$2:$BQ$1001,MATCH(ROWS($AH$2:AH318),$AH$2:$AH$1001,0),MATCH(COLUMNS($AO$1006:AP1006),$AO$1006:$BQ$1006,0)), HYPERLINK("#",""), HYPERLINK(CONCATENATE("#Metadata!", ADDRESS(INDEX($AJ$2:$AJ$1001,MATCH(ROWS($AH$2:AH318),$AH$2:$AH$1001,0),0), INDEX($AO$1004:$BQ$1004,1,MATCH(COLUMNS($AO$1006:AP1006),$AO$1006:$BQ$1006,0)))),"Fix")))</f>
        <v>#N/A</v>
      </c>
      <c r="D318" s="5" t="e">
        <f ca="1">IF(OR(INDEX($AI$2:$AI$1001,MATCH(ROWS($AH$2:AH318),$AH$2:$AH$1001,0),1)&gt;=100000,INDEX($AO$1005:$BQ$1005,1,MATCH(COLUMNS($AO$1006:AQ1006),$AO$1006:$BQ$1006,0))&gt;=100000), " ",IF(INDEX($AO$2:$BQ$1001,MATCH(ROWS($AH$2:AH318),$AH$2:$AH$1001,0),MATCH(COLUMNS($AO$1006:AQ1006),$AO$1006:$BQ$1006,0)), HYPERLINK("#",""), HYPERLINK(CONCATENATE("#Metadata!", ADDRESS(INDEX($AJ$2:$AJ$1001,MATCH(ROWS($AH$2:AH318),$AH$2:$AH$1001,0),0), INDEX($AO$1004:$BQ$1004,1,MATCH(COLUMNS($AO$1006:AQ1006),$AO$1006:$BQ$1006,0)))),"Fix")))</f>
        <v>#N/A</v>
      </c>
      <c r="E318" s="5" t="e">
        <f ca="1">IF(OR(INDEX($AI$2:$AI$1001,MATCH(ROWS($AH$2:AH318),$AH$2:$AH$1001,0),1)&gt;=100000,INDEX($AO$1005:$BQ$1005,1,MATCH(COLUMNS($AO$1006:AR1006),$AO$1006:$BQ$1006,0))&gt;=100000), " ",IF(INDEX($AO$2:$BQ$1001,MATCH(ROWS($AH$2:AH318),$AH$2:$AH$1001,0),MATCH(COLUMNS($AO$1006:AR1006),$AO$1006:$BQ$1006,0)), HYPERLINK("#",""), HYPERLINK(CONCATENATE("#Metadata!", ADDRESS(INDEX($AJ$2:$AJ$1001,MATCH(ROWS($AH$2:AH318),$AH$2:$AH$1001,0),0), INDEX($AO$1004:$BQ$1004,1,MATCH(COLUMNS($AO$1006:AR1006),$AO$1006:$BQ$1006,0)))),"Fix")))</f>
        <v>#N/A</v>
      </c>
      <c r="F318" s="5" t="e">
        <f ca="1">IF(OR(INDEX($AI$2:$AI$1001,MATCH(ROWS($AH$2:AH318),$AH$2:$AH$1001,0),1)&gt;=100000,INDEX($AO$1005:$BQ$1005,1,MATCH(COLUMNS($AO$1006:AS1006),$AO$1006:$BQ$1006,0))&gt;=100000), " ",IF(INDEX($AO$2:$BQ$1001,MATCH(ROWS($AH$2:AH318),$AH$2:$AH$1001,0),MATCH(COLUMNS($AO$1006:AS1006),$AO$1006:$BQ$1006,0)), HYPERLINK("#",""), HYPERLINK(CONCATENATE("#Metadata!", ADDRESS(INDEX($AJ$2:$AJ$1001,MATCH(ROWS($AH$2:AH318),$AH$2:$AH$1001,0),0), INDEX($AO$1004:$BQ$1004,1,MATCH(COLUMNS($AO$1006:AS1006),$AO$1006:$BQ$1006,0)))),"Fix")))</f>
        <v>#N/A</v>
      </c>
      <c r="G318" s="5" t="e">
        <f ca="1">IF(OR(INDEX($AI$2:$AI$1001,MATCH(ROWS($AH$2:AH318),$AH$2:$AH$1001,0),1)&gt;=100000,INDEX($AO$1005:$BQ$1005,1,MATCH(COLUMNS($AO$1006:AT1006),$AO$1006:$BQ$1006,0))&gt;=100000), " ",IF(INDEX($AO$2:$BQ$1001,MATCH(ROWS($AH$2:AH318),$AH$2:$AH$1001,0),MATCH(COLUMNS($AO$1006:AT1006),$AO$1006:$BQ$1006,0)), HYPERLINK("#",""), HYPERLINK(CONCATENATE("#Metadata!", ADDRESS(INDEX($AJ$2:$AJ$1001,MATCH(ROWS($AH$2:AH318),$AH$2:$AH$1001,0),0), INDEX($AO$1004:$BQ$1004,1,MATCH(COLUMNS($AO$1006:AT1006),$AO$1006:$BQ$1006,0)))),"Fix")))</f>
        <v>#N/A</v>
      </c>
      <c r="H318" s="5" t="e">
        <f ca="1">IF(OR(INDEX($AI$2:$AI$1001,MATCH(ROWS($AH$2:AH318),$AH$2:$AH$1001,0),1)&gt;=100000,INDEX($AO$1005:$BQ$1005,1,MATCH(COLUMNS($AO$1006:AU1006),$AO$1006:$BQ$1006,0))&gt;=100000), " ",IF(INDEX($AO$2:$BQ$1001,MATCH(ROWS($AH$2:AH318),$AH$2:$AH$1001,0),MATCH(COLUMNS($AO$1006:AU1006),$AO$1006:$BQ$1006,0)), HYPERLINK("#",""), HYPERLINK(CONCATENATE("#Metadata!", ADDRESS(INDEX($AJ$2:$AJ$1001,MATCH(ROWS($AH$2:AH318),$AH$2:$AH$1001,0),0), INDEX($AO$1004:$BQ$1004,1,MATCH(COLUMNS($AO$1006:AU1006),$AO$1006:$BQ$1006,0)))),"Fix")))</f>
        <v>#N/A</v>
      </c>
      <c r="I318" s="5" t="e">
        <f ca="1">IF(OR(INDEX($AI$2:$AI$1001,MATCH(ROWS($AH$2:AH318),$AH$2:$AH$1001,0),1)&gt;=100000,INDEX($AO$1005:$BQ$1005,1,MATCH(COLUMNS($AO$1006:AV1006),$AO$1006:$BQ$1006,0))&gt;=100000), " ",IF(INDEX($AO$2:$BQ$1001,MATCH(ROWS($AH$2:AH318),$AH$2:$AH$1001,0),MATCH(COLUMNS($AO$1006:AV1006),$AO$1006:$BQ$1006,0)), HYPERLINK("#",""), HYPERLINK(CONCATENATE("#Metadata!", ADDRESS(INDEX($AJ$2:$AJ$1001,MATCH(ROWS($AH$2:AH318),$AH$2:$AH$1001,0),0), INDEX($AO$1004:$BQ$1004,1,MATCH(COLUMNS($AO$1006:AV1006),$AO$1006:$BQ$1006,0)))),"Fix")))</f>
        <v>#N/A</v>
      </c>
      <c r="J318" s="5" t="e">
        <f ca="1">IF(OR(INDEX($AI$2:$AI$1001,MATCH(ROWS($AH$2:AH318),$AH$2:$AH$1001,0),1)&gt;=100000,INDEX($AO$1005:$BQ$1005,1,MATCH(COLUMNS($AO$1006:AW1006),$AO$1006:$BQ$1006,0))&gt;=100000), " ",IF(INDEX($AO$2:$BQ$1001,MATCH(ROWS($AH$2:AH318),$AH$2:$AH$1001,0),MATCH(COLUMNS($AO$1006:AW1006),$AO$1006:$BQ$1006,0)), HYPERLINK("#",""), HYPERLINK(CONCATENATE("#Metadata!", ADDRESS(INDEX($AJ$2:$AJ$1001,MATCH(ROWS($AH$2:AH318),$AH$2:$AH$1001,0),0), INDEX($AO$1004:$BQ$1004,1,MATCH(COLUMNS($AO$1006:AW1006),$AO$1006:$BQ$1006,0)))),"Fix")))</f>
        <v>#N/A</v>
      </c>
      <c r="K318" s="5" t="e">
        <f ca="1">IF(OR(INDEX($AI$2:$AI$1001,MATCH(ROWS($AH$2:AH318),$AH$2:$AH$1001,0),1)&gt;=100000,INDEX($AO$1005:$BQ$1005,1,MATCH(COLUMNS($AO$1006:AX1006),$AO$1006:$BQ$1006,0))&gt;=100000), " ",IF(INDEX($AO$2:$BQ$1001,MATCH(ROWS($AH$2:AH318),$AH$2:$AH$1001,0),MATCH(COLUMNS($AO$1006:AX1006),$AO$1006:$BQ$1006,0)), HYPERLINK("#",""), HYPERLINK(CONCATENATE("#Metadata!", ADDRESS(INDEX($AJ$2:$AJ$1001,MATCH(ROWS($AH$2:AH318),$AH$2:$AH$1001,0),0), INDEX($AO$1004:$BQ$1004,1,MATCH(COLUMNS($AO$1006:AX1006),$AO$1006:$BQ$1006,0)))),"Fix")))</f>
        <v>#N/A</v>
      </c>
      <c r="L318" s="5" t="e">
        <f ca="1">IF(OR(INDEX($AI$2:$AI$1001,MATCH(ROWS($AH$2:AH318),$AH$2:$AH$1001,0),1)&gt;=100000,INDEX($AO$1005:$BQ$1005,1,MATCH(COLUMNS($AO$1006:AY1006),$AO$1006:$BQ$1006,0))&gt;=100000), " ",IF(INDEX($AO$2:$BQ$1001,MATCH(ROWS($AH$2:AH318),$AH$2:$AH$1001,0),MATCH(COLUMNS($AO$1006:AY1006),$AO$1006:$BQ$1006,0)), HYPERLINK("#",""), HYPERLINK(CONCATENATE("#Metadata!", ADDRESS(INDEX($AJ$2:$AJ$1001,MATCH(ROWS($AH$2:AH318),$AH$2:$AH$1001,0),0), INDEX($AO$1004:$BQ$1004,1,MATCH(COLUMNS($AO$1006:AY1006),$AO$1006:$BQ$1006,0)))),"Fix")))</f>
        <v>#N/A</v>
      </c>
      <c r="M318" s="5" t="e">
        <f ca="1">IF(OR(INDEX($AI$2:$AI$1001,MATCH(ROWS($AH$2:AH318),$AH$2:$AH$1001,0),1)&gt;=100000,INDEX($AO$1005:$BQ$1005,1,MATCH(COLUMNS($AO$1006:AZ1006),$AO$1006:$BQ$1006,0))&gt;=100000), " ",IF(INDEX($AO$2:$BQ$1001,MATCH(ROWS($AH$2:AH318),$AH$2:$AH$1001,0),MATCH(COLUMNS($AO$1006:AZ1006),$AO$1006:$BQ$1006,0)), HYPERLINK("#",""), HYPERLINK(CONCATENATE("#Metadata!", ADDRESS(INDEX($AJ$2:$AJ$1001,MATCH(ROWS($AH$2:AH318),$AH$2:$AH$1001,0),0), INDEX($AO$1004:$BQ$1004,1,MATCH(COLUMNS($AO$1006:AZ1006),$AO$1006:$BQ$1006,0)))),"Fix")))</f>
        <v>#N/A</v>
      </c>
      <c r="N318" s="5" t="e">
        <f ca="1">IF(OR(INDEX($AI$2:$AI$1001,MATCH(ROWS($AH$2:AH318),$AH$2:$AH$1001,0),1)&gt;=100000,INDEX($AO$1005:$BQ$1005,1,MATCH(COLUMNS($AO$1006:BA1006),$AO$1006:$BQ$1006,0))&gt;=100000), " ",IF(INDEX($AO$2:$BQ$1001,MATCH(ROWS($AH$2:AH318),$AH$2:$AH$1001,0),MATCH(COLUMNS($AO$1006:BA1006),$AO$1006:$BQ$1006,0)), HYPERLINK("#",""), HYPERLINK(CONCATENATE("#Metadata!", ADDRESS(INDEX($AJ$2:$AJ$1001,MATCH(ROWS($AH$2:AH318),$AH$2:$AH$1001,0),0), INDEX($AO$1004:$BQ$1004,1,MATCH(COLUMNS($AO$1006:BA1006),$AO$1006:$BQ$1006,0)))),"Fix")))</f>
        <v>#N/A</v>
      </c>
      <c r="O318" s="5" t="e">
        <f ca="1">IF(OR(INDEX($AI$2:$AI$1001,MATCH(ROWS($AH$2:AH318),$AH$2:$AH$1001,0),1)&gt;=100000,INDEX($AO$1005:$BQ$1005,1,MATCH(COLUMNS($AO$1006:BB1006),$AO$1006:$BQ$1006,0))&gt;=100000), " ",IF(INDEX($AO$2:$BQ$1001,MATCH(ROWS($AH$2:AH318),$AH$2:$AH$1001,0),MATCH(COLUMNS($AO$1006:BB1006),$AO$1006:$BQ$1006,0)), HYPERLINK("#",""), HYPERLINK(CONCATENATE("#Metadata!", ADDRESS(INDEX($AJ$2:$AJ$1001,MATCH(ROWS($AH$2:AH318),$AH$2:$AH$1001,0),0), INDEX($AO$1004:$BQ$1004,1,MATCH(COLUMNS($AO$1006:BB1006),$AO$1006:$BQ$1006,0)))),"Fix")))</f>
        <v>#N/A</v>
      </c>
      <c r="P318" s="5" t="e">
        <f ca="1">IF(OR(INDEX($AI$2:$AI$1001,MATCH(ROWS($AH$2:AH318),$AH$2:$AH$1001,0),1)&gt;=100000,INDEX($AO$1005:$BQ$1005,1,MATCH(COLUMNS($AO$1006:BC1006),$AO$1006:$BQ$1006,0))&gt;=100000), " ",IF(INDEX($AO$2:$BQ$1001,MATCH(ROWS($AH$2:AH318),$AH$2:$AH$1001,0),MATCH(COLUMNS($AO$1006:BC1006),$AO$1006:$BQ$1006,0)), HYPERLINK("#",""), HYPERLINK(CONCATENATE("#Metadata!", ADDRESS(INDEX($AJ$2:$AJ$1001,MATCH(ROWS($AH$2:AH318),$AH$2:$AH$1001,0),0), INDEX($AO$1004:$BQ$1004,1,MATCH(COLUMNS($AO$1006:BC1006),$AO$1006:$BQ$1006,0)))),"Fix")))</f>
        <v>#N/A</v>
      </c>
      <c r="Q318" s="5" t="e">
        <f ca="1">IF(OR(INDEX($AI$2:$AI$1001,MATCH(ROWS($AH$2:AH318),$AH$2:$AH$1001,0),1)&gt;=100000,INDEX($AO$1005:$BQ$1005,1,MATCH(COLUMNS($AO$1006:BD1006),$AO$1006:$BQ$1006,0))&gt;=100000), " ",IF(INDEX($AO$2:$BQ$1001,MATCH(ROWS($AH$2:AH318),$AH$2:$AH$1001,0),MATCH(COLUMNS($AO$1006:BD1006),$AO$1006:$BQ$1006,0)), HYPERLINK("#",""), HYPERLINK(CONCATENATE("#Metadata!", ADDRESS(INDEX($AJ$2:$AJ$1001,MATCH(ROWS($AH$2:AH318),$AH$2:$AH$1001,0),0), INDEX($AO$1004:$BQ$1004,1,MATCH(COLUMNS($AO$1006:BD1006),$AO$1006:$BQ$1006,0)))),"Fix")))</f>
        <v>#N/A</v>
      </c>
      <c r="R318" s="5" t="e">
        <f ca="1">IF(OR(INDEX($AI$2:$AI$1001,MATCH(ROWS($AH$2:AH318),$AH$2:$AH$1001,0),1)&gt;=100000,INDEX($AO$1005:$BQ$1005,1,MATCH(COLUMNS($AO$1006:BE1006),$AO$1006:$BQ$1006,0))&gt;=100000), " ",IF(INDEX($AO$2:$BQ$1001,MATCH(ROWS($AH$2:AH318),$AH$2:$AH$1001,0),MATCH(COLUMNS($AO$1006:BE1006),$AO$1006:$BQ$1006,0)), HYPERLINK("#",""), HYPERLINK(CONCATENATE("#Metadata!", ADDRESS(INDEX($AJ$2:$AJ$1001,MATCH(ROWS($AH$2:AH318),$AH$2:$AH$1001,0),0), INDEX($AO$1004:$BQ$1004,1,MATCH(COLUMNS($AO$1006:BE1006),$AO$1006:$BQ$1006,0)))),"Fix")))</f>
        <v>#N/A</v>
      </c>
      <c r="S318" s="5" t="e">
        <f ca="1">IF(OR(INDEX($AI$2:$AI$1001,MATCH(ROWS($AH$2:AH318),$AH$2:$AH$1001,0),1)&gt;=100000,INDEX($AO$1005:$BQ$1005,1,MATCH(COLUMNS($AO$1006:BF1006),$AO$1006:$BQ$1006,0))&gt;=100000), " ",IF(INDEX($AO$2:$BQ$1001,MATCH(ROWS($AH$2:AH318),$AH$2:$AH$1001,0),MATCH(COLUMNS($AO$1006:BF1006),$AO$1006:$BQ$1006,0)), HYPERLINK("#",""), HYPERLINK(CONCATENATE("#Metadata!", ADDRESS(INDEX($AJ$2:$AJ$1001,MATCH(ROWS($AH$2:AH318),$AH$2:$AH$1001,0),0), INDEX($AO$1004:$BQ$1004,1,MATCH(COLUMNS($AO$1006:BF1006),$AO$1006:$BQ$1006,0)))),"Fix")))</f>
        <v>#N/A</v>
      </c>
      <c r="T318" s="5" t="e">
        <f ca="1">IF(OR(INDEX($AI$2:$AI$1001,MATCH(ROWS($AH$2:AH318),$AH$2:$AH$1001,0),1)&gt;=100000,INDEX($AO$1005:$BQ$1005,1,MATCH(COLUMNS($AO$1006:BG1006),$AO$1006:$BQ$1006,0))&gt;=100000), " ",IF(INDEX($AO$2:$BQ$1001,MATCH(ROWS($AH$2:AH318),$AH$2:$AH$1001,0),MATCH(COLUMNS($AO$1006:BG1006),$AO$1006:$BQ$1006,0)), HYPERLINK("#",""), HYPERLINK(CONCATENATE("#Metadata!", ADDRESS(INDEX($AJ$2:$AJ$1001,MATCH(ROWS($AH$2:AH318),$AH$2:$AH$1001,0),0), INDEX($AO$1004:$BQ$1004,1,MATCH(COLUMNS($AO$1006:BG1006),$AO$1006:$BQ$1006,0)))),"Fix")))</f>
        <v>#N/A</v>
      </c>
      <c r="U318" s="5" t="e">
        <f ca="1">IF(OR(INDEX($AI$2:$AI$1001,MATCH(ROWS($AH$2:AH318),$AH$2:$AH$1001,0),1)&gt;=100000,INDEX($AO$1005:$BQ$1005,1,MATCH(COLUMNS($AO$1006:BH1006),$AO$1006:$BQ$1006,0))&gt;=100000), " ",IF(INDEX($AO$2:$BQ$1001,MATCH(ROWS($AH$2:AH318),$AH$2:$AH$1001,0),MATCH(COLUMNS($AO$1006:BH1006),$AO$1006:$BQ$1006,0)), HYPERLINK("#",""), HYPERLINK(CONCATENATE("#Metadata!", ADDRESS(INDEX($AJ$2:$AJ$1001,MATCH(ROWS($AH$2:AH318),$AH$2:$AH$1001,0),0), INDEX($AO$1004:$BQ$1004,1,MATCH(COLUMNS($AO$1006:BH1006),$AO$1006:$BQ$1006,0)))),"Fix")))</f>
        <v>#N/A</v>
      </c>
      <c r="V318" s="5" t="e">
        <f ca="1">IF(OR(INDEX($AI$2:$AI$1001,MATCH(ROWS($AH$2:AH318),$AH$2:$AH$1001,0),1)&gt;=100000,INDEX($AO$1005:$BQ$1005,1,MATCH(COLUMNS($AO$1006:BI1006),$AO$1006:$BQ$1006,0))&gt;=100000), " ",IF(INDEX($AO$2:$BQ$1001,MATCH(ROWS($AH$2:AH318),$AH$2:$AH$1001,0),MATCH(COLUMNS($AO$1006:BI1006),$AO$1006:$BQ$1006,0)), HYPERLINK("#",""), HYPERLINK(CONCATENATE("#Metadata!", ADDRESS(INDEX($AJ$2:$AJ$1001,MATCH(ROWS($AH$2:AH318),$AH$2:$AH$1001,0),0), INDEX($AO$1004:$BQ$1004,1,MATCH(COLUMNS($AO$1006:BI1006),$AO$1006:$BQ$1006,0)))),"Fix")))</f>
        <v>#N/A</v>
      </c>
      <c r="W318" s="5" t="e">
        <f ca="1">IF(OR(INDEX($AI$2:$AI$1001,MATCH(ROWS($AH$2:AH318),$AH$2:$AH$1001,0),1)&gt;=100000,INDEX($AO$1005:$BQ$1005,1,MATCH(COLUMNS($AO$1006:BJ1006),$AO$1006:$BQ$1006,0))&gt;=100000), " ",IF(INDEX($AO$2:$BQ$1001,MATCH(ROWS($AH$2:AH318),$AH$2:$AH$1001,0),MATCH(COLUMNS($AO$1006:BJ1006),$AO$1006:$BQ$1006,0)), HYPERLINK("#",""), HYPERLINK(CONCATENATE("#Metadata!", ADDRESS(INDEX($AJ$2:$AJ$1001,MATCH(ROWS($AH$2:AH318),$AH$2:$AH$1001,0),0), INDEX($AO$1004:$BQ$1004,1,MATCH(COLUMNS($AO$1006:BJ1006),$AO$1006:$BQ$1006,0)))),"Fix")))</f>
        <v>#N/A</v>
      </c>
      <c r="X318" s="5" t="e">
        <f ca="1">IF(OR(INDEX($AI$2:$AI$1001,MATCH(ROWS($AH$2:AH318),$AH$2:$AH$1001,0),1)&gt;=100000,INDEX($AO$1005:$BQ$1005,1,MATCH(COLUMNS($AO$1006:BK1006),$AO$1006:$BQ$1006,0))&gt;=100000), " ",IF(INDEX($AO$2:$BQ$1001,MATCH(ROWS($AH$2:AH318),$AH$2:$AH$1001,0),MATCH(COLUMNS($AO$1006:BK1006),$AO$1006:$BQ$1006,0)), HYPERLINK("#",""), HYPERLINK(CONCATENATE("#Metadata!", ADDRESS(INDEX($AJ$2:$AJ$1001,MATCH(ROWS($AH$2:AH318),$AH$2:$AH$1001,0),0), INDEX($AO$1004:$BQ$1004,1,MATCH(COLUMNS($AO$1006:BK1006),$AO$1006:$BQ$1006,0)))),"Fix")))</f>
        <v>#N/A</v>
      </c>
      <c r="Y318" s="5" t="e">
        <f ca="1">IF(OR(INDEX($AI$2:$AI$1001,MATCH(ROWS($AH$2:AH318),$AH$2:$AH$1001,0),1)&gt;=100000,INDEX($AO$1005:$BQ$1005,1,MATCH(COLUMNS($AO$1006:BL1006),$AO$1006:$BQ$1006,0))&gt;=100000), " ",IF(INDEX($AO$2:$BQ$1001,MATCH(ROWS($AH$2:AH318),$AH$2:$AH$1001,0),MATCH(COLUMNS($AO$1006:BL1006),$AO$1006:$BQ$1006,0)), HYPERLINK("#",""), HYPERLINK(CONCATENATE("#Metadata!", ADDRESS(INDEX($AJ$2:$AJ$1001,MATCH(ROWS($AH$2:AH318),$AH$2:$AH$1001,0),0), INDEX($AO$1004:$BQ$1004,1,MATCH(COLUMNS($AO$1006:BL1006),$AO$1006:$BQ$1006,0)))),"Fix")))</f>
        <v>#N/A</v>
      </c>
      <c r="Z318" s="5" t="e">
        <f ca="1">IF(OR(INDEX($AI$2:$AI$1001,MATCH(ROWS($AH$2:AH318),$AH$2:$AH$1001,0),1)&gt;=100000,INDEX($AO$1005:$BQ$1005,1,MATCH(COLUMNS($AO$1006:BM1006),$AO$1006:$BQ$1006,0))&gt;=100000), " ",IF(INDEX($AO$2:$BQ$1001,MATCH(ROWS($AH$2:AH318),$AH$2:$AH$1001,0),MATCH(COLUMNS($AO$1006:BM1006),$AO$1006:$BQ$1006,0)), HYPERLINK("#",""), HYPERLINK(CONCATENATE("#Metadata!", ADDRESS(INDEX($AJ$2:$AJ$1001,MATCH(ROWS($AH$2:AH318),$AH$2:$AH$1001,0),0), INDEX($AO$1004:$BQ$1004,1,MATCH(COLUMNS($AO$1006:BM1006),$AO$1006:$BQ$1006,0)))),"Fix")))</f>
        <v>#N/A</v>
      </c>
      <c r="AA318" s="5" t="e">
        <f ca="1">IF(OR(INDEX($AI$2:$AI$1001,MATCH(ROWS($AH$2:AH318),$AH$2:$AH$1001,0),1)&gt;=100000,INDEX($AO$1005:$BQ$1005,1,MATCH(COLUMNS($AO$1006:BN1006),$AO$1006:$BQ$1006,0))&gt;=100000), " ",IF(INDEX($AO$2:$BQ$1001,MATCH(ROWS($AH$2:AH318),$AH$2:$AH$1001,0),MATCH(COLUMNS($AO$1006:BN1006),$AO$1006:$BQ$1006,0)), HYPERLINK("#",""), HYPERLINK(CONCATENATE("#Metadata!", ADDRESS(INDEX($AJ$2:$AJ$1001,MATCH(ROWS($AH$2:AH318),$AH$2:$AH$1001,0),0), INDEX($AO$1004:$BQ$1004,1,MATCH(COLUMNS($AO$1006:BN1006),$AO$1006:$BQ$1006,0)))),"Fix")))</f>
        <v>#N/A</v>
      </c>
      <c r="AB318" s="5" t="e">
        <f ca="1">IF(OR(INDEX($AI$2:$AI$1001,MATCH(ROWS($AH$2:AH318),$AH$2:$AH$1001,0),1)&gt;=100000,INDEX($AO$1005:$BQ$1005,1,MATCH(COLUMNS($AO$1006:BO1006),$AO$1006:$BQ$1006,0))&gt;=100000), " ",IF(INDEX($AO$2:$BQ$1001,MATCH(ROWS($AH$2:AH318),$AH$2:$AH$1001,0),MATCH(COLUMNS($AO$1006:BO1006),$AO$1006:$BQ$1006,0)), HYPERLINK("#",""), HYPERLINK(CONCATENATE("#Metadata!", ADDRESS(INDEX($AJ$2:$AJ$1001,MATCH(ROWS($AH$2:AH318),$AH$2:$AH$1001,0),0), INDEX($AO$1004:$BQ$1004,1,MATCH(COLUMNS($AO$1006:BO1006),$AO$1006:$BQ$1006,0)))),"Fix")))</f>
        <v>#N/A</v>
      </c>
      <c r="AC318" s="5" t="e">
        <f ca="1">IF(OR(INDEX($AI$2:$AI$1001,MATCH(ROWS($AH$2:AH318),$AH$2:$AH$1001,0),1)&gt;=100000,INDEX($AO$1005:$BQ$1005,1,MATCH(COLUMNS($AO$1006:BP1006),$AO$1006:$BQ$1006,0))&gt;=100000), " ",IF(INDEX($AO$2:$BQ$1001,MATCH(ROWS($AH$2:AH318),$AH$2:$AH$1001,0),MATCH(COLUMNS($AO$1006:BP1006),$AO$1006:$BQ$1006,0)), HYPERLINK("#",""), HYPERLINK(CONCATENATE("#Metadata!", ADDRESS(INDEX($AJ$2:$AJ$1001,MATCH(ROWS($AH$2:AH318),$AH$2:$AH$1001,0),0), INDEX($AO$1004:$BQ$1004,1,MATCH(COLUMNS($AO$1006:BP1006),$AO$1006:$BQ$1006,0)))),"Fix")))</f>
        <v>#N/A</v>
      </c>
      <c r="AD318" s="5" t="e">
        <f ca="1">IF(OR(INDEX($AI$2:$AI$1001,MATCH(ROWS($AH$2:AH318),$AH$2:$AH$1001,0),1)&gt;=100000,INDEX($AO$1005:$BQ$1005,1,MATCH(COLUMNS($AO$1006:BQ1006),$AO$1006:$BQ$1006,0))&gt;=100000), " ",IF(INDEX($AO$2:$BQ$1001,MATCH(ROWS($AH$2:AH318),$AH$2:$AH$1001,0),MATCH(COLUMNS($AO$1006:BQ1006),$AO$1006:$BQ$1006,0)), HYPERLINK("#",""), HYPERLINK(CONCATENATE("#Metadata!", ADDRESS(INDEX($AJ$2:$AJ$1001,MATCH(ROWS($AH$2:AH318),$AH$2:$AH$1001,0),0), INDEX($AO$1004:$BQ$1004,1,MATCH(COLUMNS($AO$1006:BQ1006),$AO$1006:$BQ$1006,0)))),"Fix")))</f>
        <v>#REF!</v>
      </c>
      <c r="AH318">
        <f ca="1"/>
        <v>315</v>
      </c>
      <c r="AI318">
        <v>100318</v>
      </c>
      <c r="AJ318">
        <v>318</v>
      </c>
      <c r="AK318" t="b">
        <f t="shared" si="4"/>
        <v>1</v>
      </c>
      <c r="AL318" t="b">
        <f>COUNTBLANK(Metadata!B318:AD318)=COLUMNS(Metadata!B318:AD318)</f>
        <v>1</v>
      </c>
      <c r="AM318" t="str">
        <v/>
      </c>
      <c r="AO318" t="b">
        <f ca="1">AND(IF(Metadata!B318="",FALSE,TRUE),COUNTIF(Metadata!B:B, Metadata!B318) = 1,NOT(ISERROR(SUMPRODUCT(SEARCH(MID(Metadata!B318,ROW(INDIRECT("1:"&amp;LEN(Metadata!B318))), 1),"0123456789abcdefghijklmnopqrstuvwxyzABCDEFGHIJKLMNOPQRSTUVWXYZ.")))))</f>
        <v>0</v>
      </c>
      <c r="AP318" t="b">
        <f>IF(Metadata!C318="",FALSE,TRUE)</f>
        <v>0</v>
      </c>
      <c r="AQ318" t="b">
        <f>IF(Metadata!D318="",FALSE,TRUE)</f>
        <v>0</v>
      </c>
      <c r="AR318" t="b">
        <f ca="1">OR(AND(IF(Metadata!E318="",FALSE,TRUE),OR(EXACT(Metadata!E318,"not collected"),EXACT(Metadata!E318,"not provided"),EXACT(Metadata!E318,"restricted access"))),AND(IF(Metadata!E318="",FALSE,TRUE),AND(AND(IFERROR(INT(LEFT(Metadata!E318,4))&gt;1900,FALSE),IFERROR(INT(LEFT(Metadata!E318,4))&lt;=YEAR(NOW()),FALSE)), OR(MID(Metadata!E318,5,1)="", AND(AND(MID(Metadata!E318,5,1)="-",IFERROR(INT(MID(Metadata!E318,6,1))&gt;=0,FALSE),IFERROR(INT(MID(Metadata!E318,6,1))&lt;=1,FALSE),NOT(MID(Metadata!E318,7,1)=""),IFERROR(INT(MID(Metadata!E318,6,2))&gt;=1,FALSE),IFERROR(INT(MID(Metadata!E318,6,2))&lt;=12,FALSE)), OR(MID(Metadata!E318,8,1)="", AND(AND(MID(Metadata!E318,8,1)="-",IFERROR(INT(MID(Metadata!E318,9,1))&gt;=0,FALSE),IFERROR(INT(MID(Metadata!E318,9,1))&lt;=3,FALSE),NOT(MID(Metadata!E318,10,1)=""),IFERROR(INT(MID(Metadata!E318,9,2))&gt;=1,FALSE),IFERROR(INT(MID(Metadata!E318,9,2))&lt;=31,FALSE)), OR(MID(Metadata!E318,11,1)="", AND(AND(MID(Metadata!E318,11,1)=" ",IFERROR(INT(MID(Metadata!E318,12,1))&gt;=0,FALSE),IFERROR(INT(MID(Metadata!E318,12,1))&lt;=2,FALSE),NOT(MID(Metadata!E318,13,1)=""),IFERROR(INT(MID(Metadata!E318,12,2))&gt;=0,FALSE),IFERROR(INT(MID(Metadata!E318,12,2))&lt;=23,FALSE)), OR(MID(Metadata!E318,14,1)="", AND(AND(MID(Metadata!E318,14,1)=":",IFERROR(INT(MID(Metadata!E318,15,1))&gt;=0,FALSE),IFERROR(INT(MID(Metadata!E318,15,1))&lt;=5,FALSE),NOT(MID(Metadata!E318,16,1)=""),IFERROR(INT(MID(Metadata!E318,15,2))&gt;=0,FALSE),IFERROR(INT(MID(Metadata!E318,15,2))&lt;=59,FALSE)), OR(MID(Metadata!E318,17,1)="", AND(AND(MID(Metadata!E318,17,1)=":",IFERROR(INT(MID(Metadata!E318,18,1))&gt;=0,FALSE),IFERROR(INT(MID(Metadata!E318,18,1))&lt;=5,FALSE),NOT(MID(Metadata!E318,19,1)=""),IFERROR(INT(MID(Metadata!E318,18,2))&gt;=0,FALSE),IFERROR(INT(MID(Metadata!E318,18,2))&lt;=59,FALSE)), LEN(Metadata!E318)&lt;=19)))))))))))))</f>
        <v>0</v>
      </c>
      <c r="AS318" t="b">
        <f>IF(Metadata!F318="",FALSE,TRUE)</f>
        <v>0</v>
      </c>
      <c r="AT318" t="b">
        <f>OR(AND(IF(Metadata!G318="",FALSE,TRUE),OR(EXACT(Metadata!G318,"not collected"),EXACT(Metadata!G318,"not provided"))),AND(IF(Metadata!G318="",FALSE,TRUE),OR(EXACT(Metadata!G318,"TRUE"),EXACT(Metadata!G318,"FALSE"))))</f>
        <v>0</v>
      </c>
      <c r="AU318" t="b">
        <f>OR(AND(IF(Metadata!H318="",FALSE,TRUE),OR(EXACT(Metadata!H318,"not collected"),EXACT(Metadata!H318,"not provided"),EXACT(Metadata!H318,"restricted access"))),AND(IF(Metadata!H318="",FALSE,ISNUMBER(VALUE(Metadata!H318))),Metadata!H318&gt;=-413))</f>
        <v>0</v>
      </c>
      <c r="AV318" t="b">
        <f>AND(IF(Metadata!I318="",FALSE,TRUE),EXACT(Metadata!I318,"meters"))</f>
        <v>0</v>
      </c>
      <c r="AW318" t="b">
        <f>AND(IF(Metadata!J318="",FALSE,TRUE),EXACT(Metadata!J318,"free-living"))</f>
        <v>0</v>
      </c>
      <c r="AX318" t="b">
        <f>AND(IF(Metadata!K318="",FALSE,TRUE),OR(EXACT(Metadata!K318,"saline"),EXACT(Metadata!K318,"non-saline")))</f>
        <v>0</v>
      </c>
      <c r="AY318" t="b">
        <f>AND(IF(Metadata!L318="",FALSE,TRUE),OR(EXACT(Metadata!L318,"sub-surface (non-saline)"),EXACT(Metadata!L318,"surface (non-saline)"),EXACT(Metadata!L318,"water (non-saline)"),EXACT(Metadata!L318,"soil (non-saline)"),EXACT(Metadata!L318,"aerosol (non-saline)"),EXACT(Metadata!L318,"sediment (non-saline)"),EXACT(Metadata!L318,"surface (saline)"),EXACT(Metadata!L318,"water (saline)"),EXACT(Metadata!L318,"hypersaline (saline)"),EXACT(Metadata!L318,"aerosol (saline)"),EXACT(Metadata!L318,"sediment (saline)")))</f>
        <v>0</v>
      </c>
      <c r="AZ318" t="b">
        <f>IF(Metadata!M318="",FALSE,TRUE)</f>
        <v>0</v>
      </c>
      <c r="BA318" t="b">
        <f>IF(Metadata!N318="",FALSE,TRUE)</f>
        <v>0</v>
      </c>
      <c r="BB318" t="b">
        <f>IF(Metadata!O318="",FALSE,TRUE)</f>
        <v>0</v>
      </c>
      <c r="BC318" t="b">
        <f>AND(IF(Metadata!P318="",FALSE,TRUE),OR(EXACT(Metadata!P318,"air"),EXACT(Metadata!P318,"microbial mat/biofilm"),EXACT(Metadata!P318,"misc environment"),EXACT(Metadata!P318,"sediment"),EXACT(Metadata!P318,"soil"),EXACT(Metadata!P318,"wastewater/sludge"),EXACT(Metadata!P318,"water")))</f>
        <v>0</v>
      </c>
      <c r="BD318" t="b">
        <f>IF(Metadata!Q318="",FALSE,TRUE)</f>
        <v>0</v>
      </c>
      <c r="BE318" t="b">
        <f>IF(Metadata!R318="",FALSE,TRUE)</f>
        <v>0</v>
      </c>
      <c r="BF318" t="b">
        <f>OR(AND(IF(Metadata!S318="",FALSE,TRUE),OR(EXACT(Metadata!S318,"not collected"),EXACT(Metadata!S318,"not provided"),EXACT(Metadata!S318,"restricted access"))),AND(IF(Metadata!S318="",FALSE,ISNUMBER(VALUE(Metadata!S318))),Metadata!S318&gt;=-90,Metadata!S318&lt;=90))</f>
        <v>0</v>
      </c>
      <c r="BG318" t="b">
        <f>AND(IF(Metadata!T318="",FALSE,TRUE),EXACT(Metadata!T318,"Decimal degrees"))</f>
        <v>0</v>
      </c>
      <c r="BH318" t="b">
        <f>OR(AND(IF(Metadata!U318="",FALSE,TRUE),OR(EXACT(Metadata!U318,"not applicable"),EXACT(Metadata!U318,"not collected"))),IF(Metadata!U318="",FALSE,TRUE))</f>
        <v>0</v>
      </c>
      <c r="BI318" t="b">
        <f>OR(AND(IF(Metadata!V318="",FALSE,TRUE),OR(EXACT(Metadata!V318,"not collected"),EXACT(Metadata!V318,"not provided"),EXACT(Metadata!V318,"restricted access"))),AND(IF(Metadata!V318="",FALSE,ISNUMBER(VALUE(Metadata!V318))),Metadata!V318&gt;=-180,Metadata!V318&lt;=180))</f>
        <v>0</v>
      </c>
      <c r="BJ318" t="b">
        <f>AND(IF(Metadata!W318="",FALSE,TRUE),EXACT(Metadata!W318,"Decimal degrees"))</f>
        <v>0</v>
      </c>
      <c r="BK318" t="b">
        <f>IF(Metadata!X318="",FALSE,TRUE)</f>
        <v>0</v>
      </c>
      <c r="BL318" t="b">
        <f>OR(AND(IF(Metadata!Y318="",FALSE,TRUE),OR(EXACT(Metadata!Y318,"not collected"),EXACT(Metadata!Y318,"not provided"),EXACT(Metadata!Y318,"restricted access"))),AND(IF(Metadata!Y318="",FALSE,TRUE),OR(EXACT(Metadata!Y318,"TRUE"),EXACT(Metadata!Y318,"FALSE"))))</f>
        <v>0</v>
      </c>
      <c r="BM318" t="b">
        <f>OR(AND(IF(Metadata!Z318="",FALSE,TRUE),EXACT(Metadata!Z318,"not applicable")),AND(IF(Metadata!Z318="",FALSE,TRUE),OR(EXACT(Metadata!Z318,"beer"),EXACT(Metadata!Z318,"cheese"),EXACT(Metadata!Z318,"fresh water"),EXACT(Metadata!Z318,"marine sediment"),EXACT(Metadata!Z318,"sea water"),EXACT(Metadata!Z318,"sediment"),EXACT(Metadata!Z318,"soil"),EXACT(Metadata!Z318,"waste water"))))</f>
        <v>0</v>
      </c>
      <c r="BN318" t="b">
        <f>AND(IF(Metadata!AA318="",FALSE,TRUE),EXACT(Metadata!AA318,"metagenome"))</f>
        <v>0</v>
      </c>
      <c r="BO318" t="b">
        <f>AND(IF(Metadata!AB318="",FALSE,TRUE),EXACT(Metadata!AB318,"256318"))</f>
        <v>0</v>
      </c>
      <c r="BP318" t="b">
        <f>IF(Metadata!AC318="",FALSE,TRUE)</f>
        <v>0</v>
      </c>
      <c r="BQ318" t="b">
        <f>IF(Metadata!AD318="",FALSE,TRUE)</f>
        <v>0</v>
      </c>
    </row>
    <row r="319" spans="1:69" x14ac:dyDescent="0.2">
      <c r="A319" s="4" t="e">
        <f ca="1">IF(B319=" "," ",HYPERLINK(CONCATENATE("#metadata!",ADDRESS(INDEX($AJ$2:$AJ$1001,MATCH(ROWS($AH$2:AH319),$AH$2:$AH$1001,0),0),2)),INDEX($AM$2:$AM$1001,MATCH(ROWS($AH$2:AH319),$AH$2:$AH$1001,0),0)))</f>
        <v>#N/A</v>
      </c>
      <c r="B319" s="5" t="e">
        <f ca="1">IF(OR(INDEX($AI$2:$AI$1001,MATCH(ROWS($AH$2:AH319),$AH$2:$AH$1001,0),1)&gt;=100000,INDEX($AO$1005:$BQ$1005,1,MATCH(COLUMNS($AO$1006:AO1006),$AO$1006:$BQ$1006,0))&gt;=100000), " ",IF(INDEX($AO$2:$BQ$1001,MATCH(ROWS($AH$2:AH319),$AH$2:$AH$1001,0),MATCH(COLUMNS($AO$1006:AO1006),$AO$1006:$BQ$1006,0)), HYPERLINK("#",""), HYPERLINK(CONCATENATE("#Metadata!", ADDRESS(INDEX($AJ$2:$AJ$1001,MATCH(ROWS($AH$2:AH319),$AH$2:$AH$1001,0),0), INDEX($AO$1004:$BQ$1004,1,MATCH(COLUMNS($AO$1006:AO1006),$AO$1006:$BQ$1006,0)))),"Fix")))</f>
        <v>#N/A</v>
      </c>
      <c r="C319" s="5" t="e">
        <f ca="1">IF(OR(INDEX($AI$2:$AI$1001,MATCH(ROWS($AH$2:AH319),$AH$2:$AH$1001,0),1)&gt;=100000,INDEX($AO$1005:$BQ$1005,1,MATCH(COLUMNS($AO$1006:AP1006),$AO$1006:$BQ$1006,0))&gt;=100000), " ",IF(INDEX($AO$2:$BQ$1001,MATCH(ROWS($AH$2:AH319),$AH$2:$AH$1001,0),MATCH(COLUMNS($AO$1006:AP1006),$AO$1006:$BQ$1006,0)), HYPERLINK("#",""), HYPERLINK(CONCATENATE("#Metadata!", ADDRESS(INDEX($AJ$2:$AJ$1001,MATCH(ROWS($AH$2:AH319),$AH$2:$AH$1001,0),0), INDEX($AO$1004:$BQ$1004,1,MATCH(COLUMNS($AO$1006:AP1006),$AO$1006:$BQ$1006,0)))),"Fix")))</f>
        <v>#N/A</v>
      </c>
      <c r="D319" s="5" t="e">
        <f ca="1">IF(OR(INDEX($AI$2:$AI$1001,MATCH(ROWS($AH$2:AH319),$AH$2:$AH$1001,0),1)&gt;=100000,INDEX($AO$1005:$BQ$1005,1,MATCH(COLUMNS($AO$1006:AQ1006),$AO$1006:$BQ$1006,0))&gt;=100000), " ",IF(INDEX($AO$2:$BQ$1001,MATCH(ROWS($AH$2:AH319),$AH$2:$AH$1001,0),MATCH(COLUMNS($AO$1006:AQ1006),$AO$1006:$BQ$1006,0)), HYPERLINK("#",""), HYPERLINK(CONCATENATE("#Metadata!", ADDRESS(INDEX($AJ$2:$AJ$1001,MATCH(ROWS($AH$2:AH319),$AH$2:$AH$1001,0),0), INDEX($AO$1004:$BQ$1004,1,MATCH(COLUMNS($AO$1006:AQ1006),$AO$1006:$BQ$1006,0)))),"Fix")))</f>
        <v>#N/A</v>
      </c>
      <c r="E319" s="5" t="e">
        <f ca="1">IF(OR(INDEX($AI$2:$AI$1001,MATCH(ROWS($AH$2:AH319),$AH$2:$AH$1001,0),1)&gt;=100000,INDEX($AO$1005:$BQ$1005,1,MATCH(COLUMNS($AO$1006:AR1006),$AO$1006:$BQ$1006,0))&gt;=100000), " ",IF(INDEX($AO$2:$BQ$1001,MATCH(ROWS($AH$2:AH319),$AH$2:$AH$1001,0),MATCH(COLUMNS($AO$1006:AR1006),$AO$1006:$BQ$1006,0)), HYPERLINK("#",""), HYPERLINK(CONCATENATE("#Metadata!", ADDRESS(INDEX($AJ$2:$AJ$1001,MATCH(ROWS($AH$2:AH319),$AH$2:$AH$1001,0),0), INDEX($AO$1004:$BQ$1004,1,MATCH(COLUMNS($AO$1006:AR1006),$AO$1006:$BQ$1006,0)))),"Fix")))</f>
        <v>#N/A</v>
      </c>
      <c r="F319" s="5" t="e">
        <f ca="1">IF(OR(INDEX($AI$2:$AI$1001,MATCH(ROWS($AH$2:AH319),$AH$2:$AH$1001,0),1)&gt;=100000,INDEX($AO$1005:$BQ$1005,1,MATCH(COLUMNS($AO$1006:AS1006),$AO$1006:$BQ$1006,0))&gt;=100000), " ",IF(INDEX($AO$2:$BQ$1001,MATCH(ROWS($AH$2:AH319),$AH$2:$AH$1001,0),MATCH(COLUMNS($AO$1006:AS1006),$AO$1006:$BQ$1006,0)), HYPERLINK("#",""), HYPERLINK(CONCATENATE("#Metadata!", ADDRESS(INDEX($AJ$2:$AJ$1001,MATCH(ROWS($AH$2:AH319),$AH$2:$AH$1001,0),0), INDEX($AO$1004:$BQ$1004,1,MATCH(COLUMNS($AO$1006:AS1006),$AO$1006:$BQ$1006,0)))),"Fix")))</f>
        <v>#N/A</v>
      </c>
      <c r="G319" s="5" t="e">
        <f ca="1">IF(OR(INDEX($AI$2:$AI$1001,MATCH(ROWS($AH$2:AH319),$AH$2:$AH$1001,0),1)&gt;=100000,INDEX($AO$1005:$BQ$1005,1,MATCH(COLUMNS($AO$1006:AT1006),$AO$1006:$BQ$1006,0))&gt;=100000), " ",IF(INDEX($AO$2:$BQ$1001,MATCH(ROWS($AH$2:AH319),$AH$2:$AH$1001,0),MATCH(COLUMNS($AO$1006:AT1006),$AO$1006:$BQ$1006,0)), HYPERLINK("#",""), HYPERLINK(CONCATENATE("#Metadata!", ADDRESS(INDEX($AJ$2:$AJ$1001,MATCH(ROWS($AH$2:AH319),$AH$2:$AH$1001,0),0), INDEX($AO$1004:$BQ$1004,1,MATCH(COLUMNS($AO$1006:AT1006),$AO$1006:$BQ$1006,0)))),"Fix")))</f>
        <v>#N/A</v>
      </c>
      <c r="H319" s="5" t="e">
        <f ca="1">IF(OR(INDEX($AI$2:$AI$1001,MATCH(ROWS($AH$2:AH319),$AH$2:$AH$1001,0),1)&gt;=100000,INDEX($AO$1005:$BQ$1005,1,MATCH(COLUMNS($AO$1006:AU1006),$AO$1006:$BQ$1006,0))&gt;=100000), " ",IF(INDEX($AO$2:$BQ$1001,MATCH(ROWS($AH$2:AH319),$AH$2:$AH$1001,0),MATCH(COLUMNS($AO$1006:AU1006),$AO$1006:$BQ$1006,0)), HYPERLINK("#",""), HYPERLINK(CONCATENATE("#Metadata!", ADDRESS(INDEX($AJ$2:$AJ$1001,MATCH(ROWS($AH$2:AH319),$AH$2:$AH$1001,0),0), INDEX($AO$1004:$BQ$1004,1,MATCH(COLUMNS($AO$1006:AU1006),$AO$1006:$BQ$1006,0)))),"Fix")))</f>
        <v>#N/A</v>
      </c>
      <c r="I319" s="5" t="e">
        <f ca="1">IF(OR(INDEX($AI$2:$AI$1001,MATCH(ROWS($AH$2:AH319),$AH$2:$AH$1001,0),1)&gt;=100000,INDEX($AO$1005:$BQ$1005,1,MATCH(COLUMNS($AO$1006:AV1006),$AO$1006:$BQ$1006,0))&gt;=100000), " ",IF(INDEX($AO$2:$BQ$1001,MATCH(ROWS($AH$2:AH319),$AH$2:$AH$1001,0),MATCH(COLUMNS($AO$1006:AV1006),$AO$1006:$BQ$1006,0)), HYPERLINK("#",""), HYPERLINK(CONCATENATE("#Metadata!", ADDRESS(INDEX($AJ$2:$AJ$1001,MATCH(ROWS($AH$2:AH319),$AH$2:$AH$1001,0),0), INDEX($AO$1004:$BQ$1004,1,MATCH(COLUMNS($AO$1006:AV1006),$AO$1006:$BQ$1006,0)))),"Fix")))</f>
        <v>#N/A</v>
      </c>
      <c r="J319" s="5" t="e">
        <f ca="1">IF(OR(INDEX($AI$2:$AI$1001,MATCH(ROWS($AH$2:AH319),$AH$2:$AH$1001,0),1)&gt;=100000,INDEX($AO$1005:$BQ$1005,1,MATCH(COLUMNS($AO$1006:AW1006),$AO$1006:$BQ$1006,0))&gt;=100000), " ",IF(INDEX($AO$2:$BQ$1001,MATCH(ROWS($AH$2:AH319),$AH$2:$AH$1001,0),MATCH(COLUMNS($AO$1006:AW1006),$AO$1006:$BQ$1006,0)), HYPERLINK("#",""), HYPERLINK(CONCATENATE("#Metadata!", ADDRESS(INDEX($AJ$2:$AJ$1001,MATCH(ROWS($AH$2:AH319),$AH$2:$AH$1001,0),0), INDEX($AO$1004:$BQ$1004,1,MATCH(COLUMNS($AO$1006:AW1006),$AO$1006:$BQ$1006,0)))),"Fix")))</f>
        <v>#N/A</v>
      </c>
      <c r="K319" s="5" t="e">
        <f ca="1">IF(OR(INDEX($AI$2:$AI$1001,MATCH(ROWS($AH$2:AH319),$AH$2:$AH$1001,0),1)&gt;=100000,INDEX($AO$1005:$BQ$1005,1,MATCH(COLUMNS($AO$1006:AX1006),$AO$1006:$BQ$1006,0))&gt;=100000), " ",IF(INDEX($AO$2:$BQ$1001,MATCH(ROWS($AH$2:AH319),$AH$2:$AH$1001,0),MATCH(COLUMNS($AO$1006:AX1006),$AO$1006:$BQ$1006,0)), HYPERLINK("#",""), HYPERLINK(CONCATENATE("#Metadata!", ADDRESS(INDEX($AJ$2:$AJ$1001,MATCH(ROWS($AH$2:AH319),$AH$2:$AH$1001,0),0), INDEX($AO$1004:$BQ$1004,1,MATCH(COLUMNS($AO$1006:AX1006),$AO$1006:$BQ$1006,0)))),"Fix")))</f>
        <v>#N/A</v>
      </c>
      <c r="L319" s="5" t="e">
        <f ca="1">IF(OR(INDEX($AI$2:$AI$1001,MATCH(ROWS($AH$2:AH319),$AH$2:$AH$1001,0),1)&gt;=100000,INDEX($AO$1005:$BQ$1005,1,MATCH(COLUMNS($AO$1006:AY1006),$AO$1006:$BQ$1006,0))&gt;=100000), " ",IF(INDEX($AO$2:$BQ$1001,MATCH(ROWS($AH$2:AH319),$AH$2:$AH$1001,0),MATCH(COLUMNS($AO$1006:AY1006),$AO$1006:$BQ$1006,0)), HYPERLINK("#",""), HYPERLINK(CONCATENATE("#Metadata!", ADDRESS(INDEX($AJ$2:$AJ$1001,MATCH(ROWS($AH$2:AH319),$AH$2:$AH$1001,0),0), INDEX($AO$1004:$BQ$1004,1,MATCH(COLUMNS($AO$1006:AY1006),$AO$1006:$BQ$1006,0)))),"Fix")))</f>
        <v>#N/A</v>
      </c>
      <c r="M319" s="5" t="e">
        <f ca="1">IF(OR(INDEX($AI$2:$AI$1001,MATCH(ROWS($AH$2:AH319),$AH$2:$AH$1001,0),1)&gt;=100000,INDEX($AO$1005:$BQ$1005,1,MATCH(COLUMNS($AO$1006:AZ1006),$AO$1006:$BQ$1006,0))&gt;=100000), " ",IF(INDEX($AO$2:$BQ$1001,MATCH(ROWS($AH$2:AH319),$AH$2:$AH$1001,0),MATCH(COLUMNS($AO$1006:AZ1006),$AO$1006:$BQ$1006,0)), HYPERLINK("#",""), HYPERLINK(CONCATENATE("#Metadata!", ADDRESS(INDEX($AJ$2:$AJ$1001,MATCH(ROWS($AH$2:AH319),$AH$2:$AH$1001,0),0), INDEX($AO$1004:$BQ$1004,1,MATCH(COLUMNS($AO$1006:AZ1006),$AO$1006:$BQ$1006,0)))),"Fix")))</f>
        <v>#N/A</v>
      </c>
      <c r="N319" s="5" t="e">
        <f ca="1">IF(OR(INDEX($AI$2:$AI$1001,MATCH(ROWS($AH$2:AH319),$AH$2:$AH$1001,0),1)&gt;=100000,INDEX($AO$1005:$BQ$1005,1,MATCH(COLUMNS($AO$1006:BA1006),$AO$1006:$BQ$1006,0))&gt;=100000), " ",IF(INDEX($AO$2:$BQ$1001,MATCH(ROWS($AH$2:AH319),$AH$2:$AH$1001,0),MATCH(COLUMNS($AO$1006:BA1006),$AO$1006:$BQ$1006,0)), HYPERLINK("#",""), HYPERLINK(CONCATENATE("#Metadata!", ADDRESS(INDEX($AJ$2:$AJ$1001,MATCH(ROWS($AH$2:AH319),$AH$2:$AH$1001,0),0), INDEX($AO$1004:$BQ$1004,1,MATCH(COLUMNS($AO$1006:BA1006),$AO$1006:$BQ$1006,0)))),"Fix")))</f>
        <v>#N/A</v>
      </c>
      <c r="O319" s="5" t="e">
        <f ca="1">IF(OR(INDEX($AI$2:$AI$1001,MATCH(ROWS($AH$2:AH319),$AH$2:$AH$1001,0),1)&gt;=100000,INDEX($AO$1005:$BQ$1005,1,MATCH(COLUMNS($AO$1006:BB1006),$AO$1006:$BQ$1006,0))&gt;=100000), " ",IF(INDEX($AO$2:$BQ$1001,MATCH(ROWS($AH$2:AH319),$AH$2:$AH$1001,0),MATCH(COLUMNS($AO$1006:BB1006),$AO$1006:$BQ$1006,0)), HYPERLINK("#",""), HYPERLINK(CONCATENATE("#Metadata!", ADDRESS(INDEX($AJ$2:$AJ$1001,MATCH(ROWS($AH$2:AH319),$AH$2:$AH$1001,0),0), INDEX($AO$1004:$BQ$1004,1,MATCH(COLUMNS($AO$1006:BB1006),$AO$1006:$BQ$1006,0)))),"Fix")))</f>
        <v>#N/A</v>
      </c>
      <c r="P319" s="5" t="e">
        <f ca="1">IF(OR(INDEX($AI$2:$AI$1001,MATCH(ROWS($AH$2:AH319),$AH$2:$AH$1001,0),1)&gt;=100000,INDEX($AO$1005:$BQ$1005,1,MATCH(COLUMNS($AO$1006:BC1006),$AO$1006:$BQ$1006,0))&gt;=100000), " ",IF(INDEX($AO$2:$BQ$1001,MATCH(ROWS($AH$2:AH319),$AH$2:$AH$1001,0),MATCH(COLUMNS($AO$1006:BC1006),$AO$1006:$BQ$1006,0)), HYPERLINK("#",""), HYPERLINK(CONCATENATE("#Metadata!", ADDRESS(INDEX($AJ$2:$AJ$1001,MATCH(ROWS($AH$2:AH319),$AH$2:$AH$1001,0),0), INDEX($AO$1004:$BQ$1004,1,MATCH(COLUMNS($AO$1006:BC1006),$AO$1006:$BQ$1006,0)))),"Fix")))</f>
        <v>#N/A</v>
      </c>
      <c r="Q319" s="5" t="e">
        <f ca="1">IF(OR(INDEX($AI$2:$AI$1001,MATCH(ROWS($AH$2:AH319),$AH$2:$AH$1001,0),1)&gt;=100000,INDEX($AO$1005:$BQ$1005,1,MATCH(COLUMNS($AO$1006:BD1006),$AO$1006:$BQ$1006,0))&gt;=100000), " ",IF(INDEX($AO$2:$BQ$1001,MATCH(ROWS($AH$2:AH319),$AH$2:$AH$1001,0),MATCH(COLUMNS($AO$1006:BD1006),$AO$1006:$BQ$1006,0)), HYPERLINK("#",""), HYPERLINK(CONCATENATE("#Metadata!", ADDRESS(INDEX($AJ$2:$AJ$1001,MATCH(ROWS($AH$2:AH319),$AH$2:$AH$1001,0),0), INDEX($AO$1004:$BQ$1004,1,MATCH(COLUMNS($AO$1006:BD1006),$AO$1006:$BQ$1006,0)))),"Fix")))</f>
        <v>#N/A</v>
      </c>
      <c r="R319" s="5" t="e">
        <f ca="1">IF(OR(INDEX($AI$2:$AI$1001,MATCH(ROWS($AH$2:AH319),$AH$2:$AH$1001,0),1)&gt;=100000,INDEX($AO$1005:$BQ$1005,1,MATCH(COLUMNS($AO$1006:BE1006),$AO$1006:$BQ$1006,0))&gt;=100000), " ",IF(INDEX($AO$2:$BQ$1001,MATCH(ROWS($AH$2:AH319),$AH$2:$AH$1001,0),MATCH(COLUMNS($AO$1006:BE1006),$AO$1006:$BQ$1006,0)), HYPERLINK("#",""), HYPERLINK(CONCATENATE("#Metadata!", ADDRESS(INDEX($AJ$2:$AJ$1001,MATCH(ROWS($AH$2:AH319),$AH$2:$AH$1001,0),0), INDEX($AO$1004:$BQ$1004,1,MATCH(COLUMNS($AO$1006:BE1006),$AO$1006:$BQ$1006,0)))),"Fix")))</f>
        <v>#N/A</v>
      </c>
      <c r="S319" s="5" t="e">
        <f ca="1">IF(OR(INDEX($AI$2:$AI$1001,MATCH(ROWS($AH$2:AH319),$AH$2:$AH$1001,0),1)&gt;=100000,INDEX($AO$1005:$BQ$1005,1,MATCH(COLUMNS($AO$1006:BF1006),$AO$1006:$BQ$1006,0))&gt;=100000), " ",IF(INDEX($AO$2:$BQ$1001,MATCH(ROWS($AH$2:AH319),$AH$2:$AH$1001,0),MATCH(COLUMNS($AO$1006:BF1006),$AO$1006:$BQ$1006,0)), HYPERLINK("#",""), HYPERLINK(CONCATENATE("#Metadata!", ADDRESS(INDEX($AJ$2:$AJ$1001,MATCH(ROWS($AH$2:AH319),$AH$2:$AH$1001,0),0), INDEX($AO$1004:$BQ$1004,1,MATCH(COLUMNS($AO$1006:BF1006),$AO$1006:$BQ$1006,0)))),"Fix")))</f>
        <v>#N/A</v>
      </c>
      <c r="T319" s="5" t="e">
        <f ca="1">IF(OR(INDEX($AI$2:$AI$1001,MATCH(ROWS($AH$2:AH319),$AH$2:$AH$1001,0),1)&gt;=100000,INDEX($AO$1005:$BQ$1005,1,MATCH(COLUMNS($AO$1006:BG1006),$AO$1006:$BQ$1006,0))&gt;=100000), " ",IF(INDEX($AO$2:$BQ$1001,MATCH(ROWS($AH$2:AH319),$AH$2:$AH$1001,0),MATCH(COLUMNS($AO$1006:BG1006),$AO$1006:$BQ$1006,0)), HYPERLINK("#",""), HYPERLINK(CONCATENATE("#Metadata!", ADDRESS(INDEX($AJ$2:$AJ$1001,MATCH(ROWS($AH$2:AH319),$AH$2:$AH$1001,0),0), INDEX($AO$1004:$BQ$1004,1,MATCH(COLUMNS($AO$1006:BG1006),$AO$1006:$BQ$1006,0)))),"Fix")))</f>
        <v>#N/A</v>
      </c>
      <c r="U319" s="5" t="e">
        <f ca="1">IF(OR(INDEX($AI$2:$AI$1001,MATCH(ROWS($AH$2:AH319),$AH$2:$AH$1001,0),1)&gt;=100000,INDEX($AO$1005:$BQ$1005,1,MATCH(COLUMNS($AO$1006:BH1006),$AO$1006:$BQ$1006,0))&gt;=100000), " ",IF(INDEX($AO$2:$BQ$1001,MATCH(ROWS($AH$2:AH319),$AH$2:$AH$1001,0),MATCH(COLUMNS($AO$1006:BH1006),$AO$1006:$BQ$1006,0)), HYPERLINK("#",""), HYPERLINK(CONCATENATE("#Metadata!", ADDRESS(INDEX($AJ$2:$AJ$1001,MATCH(ROWS($AH$2:AH319),$AH$2:$AH$1001,0),0), INDEX($AO$1004:$BQ$1004,1,MATCH(COLUMNS($AO$1006:BH1006),$AO$1006:$BQ$1006,0)))),"Fix")))</f>
        <v>#N/A</v>
      </c>
      <c r="V319" s="5" t="e">
        <f ca="1">IF(OR(INDEX($AI$2:$AI$1001,MATCH(ROWS($AH$2:AH319),$AH$2:$AH$1001,0),1)&gt;=100000,INDEX($AO$1005:$BQ$1005,1,MATCH(COLUMNS($AO$1006:BI1006),$AO$1006:$BQ$1006,0))&gt;=100000), " ",IF(INDEX($AO$2:$BQ$1001,MATCH(ROWS($AH$2:AH319),$AH$2:$AH$1001,0),MATCH(COLUMNS($AO$1006:BI1006),$AO$1006:$BQ$1006,0)), HYPERLINK("#",""), HYPERLINK(CONCATENATE("#Metadata!", ADDRESS(INDEX($AJ$2:$AJ$1001,MATCH(ROWS($AH$2:AH319),$AH$2:$AH$1001,0),0), INDEX($AO$1004:$BQ$1004,1,MATCH(COLUMNS($AO$1006:BI1006),$AO$1006:$BQ$1006,0)))),"Fix")))</f>
        <v>#N/A</v>
      </c>
      <c r="W319" s="5" t="e">
        <f ca="1">IF(OR(INDEX($AI$2:$AI$1001,MATCH(ROWS($AH$2:AH319),$AH$2:$AH$1001,0),1)&gt;=100000,INDEX($AO$1005:$BQ$1005,1,MATCH(COLUMNS($AO$1006:BJ1006),$AO$1006:$BQ$1006,0))&gt;=100000), " ",IF(INDEX($AO$2:$BQ$1001,MATCH(ROWS($AH$2:AH319),$AH$2:$AH$1001,0),MATCH(COLUMNS($AO$1006:BJ1006),$AO$1006:$BQ$1006,0)), HYPERLINK("#",""), HYPERLINK(CONCATENATE("#Metadata!", ADDRESS(INDEX($AJ$2:$AJ$1001,MATCH(ROWS($AH$2:AH319),$AH$2:$AH$1001,0),0), INDEX($AO$1004:$BQ$1004,1,MATCH(COLUMNS($AO$1006:BJ1006),$AO$1006:$BQ$1006,0)))),"Fix")))</f>
        <v>#N/A</v>
      </c>
      <c r="X319" s="5" t="e">
        <f ca="1">IF(OR(INDEX($AI$2:$AI$1001,MATCH(ROWS($AH$2:AH319),$AH$2:$AH$1001,0),1)&gt;=100000,INDEX($AO$1005:$BQ$1005,1,MATCH(COLUMNS($AO$1006:BK1006),$AO$1006:$BQ$1006,0))&gt;=100000), " ",IF(INDEX($AO$2:$BQ$1001,MATCH(ROWS($AH$2:AH319),$AH$2:$AH$1001,0),MATCH(COLUMNS($AO$1006:BK1006),$AO$1006:$BQ$1006,0)), HYPERLINK("#",""), HYPERLINK(CONCATENATE("#Metadata!", ADDRESS(INDEX($AJ$2:$AJ$1001,MATCH(ROWS($AH$2:AH319),$AH$2:$AH$1001,0),0), INDEX($AO$1004:$BQ$1004,1,MATCH(COLUMNS($AO$1006:BK1006),$AO$1006:$BQ$1006,0)))),"Fix")))</f>
        <v>#N/A</v>
      </c>
      <c r="Y319" s="5" t="e">
        <f ca="1">IF(OR(INDEX($AI$2:$AI$1001,MATCH(ROWS($AH$2:AH319),$AH$2:$AH$1001,0),1)&gt;=100000,INDEX($AO$1005:$BQ$1005,1,MATCH(COLUMNS($AO$1006:BL1006),$AO$1006:$BQ$1006,0))&gt;=100000), " ",IF(INDEX($AO$2:$BQ$1001,MATCH(ROWS($AH$2:AH319),$AH$2:$AH$1001,0),MATCH(COLUMNS($AO$1006:BL1006),$AO$1006:$BQ$1006,0)), HYPERLINK("#",""), HYPERLINK(CONCATENATE("#Metadata!", ADDRESS(INDEX($AJ$2:$AJ$1001,MATCH(ROWS($AH$2:AH319),$AH$2:$AH$1001,0),0), INDEX($AO$1004:$BQ$1004,1,MATCH(COLUMNS($AO$1006:BL1006),$AO$1006:$BQ$1006,0)))),"Fix")))</f>
        <v>#N/A</v>
      </c>
      <c r="Z319" s="5" t="e">
        <f ca="1">IF(OR(INDEX($AI$2:$AI$1001,MATCH(ROWS($AH$2:AH319),$AH$2:$AH$1001,0),1)&gt;=100000,INDEX($AO$1005:$BQ$1005,1,MATCH(COLUMNS($AO$1006:BM1006),$AO$1006:$BQ$1006,0))&gt;=100000), " ",IF(INDEX($AO$2:$BQ$1001,MATCH(ROWS($AH$2:AH319),$AH$2:$AH$1001,0),MATCH(COLUMNS($AO$1006:BM1006),$AO$1006:$BQ$1006,0)), HYPERLINK("#",""), HYPERLINK(CONCATENATE("#Metadata!", ADDRESS(INDEX($AJ$2:$AJ$1001,MATCH(ROWS($AH$2:AH319),$AH$2:$AH$1001,0),0), INDEX($AO$1004:$BQ$1004,1,MATCH(COLUMNS($AO$1006:BM1006),$AO$1006:$BQ$1006,0)))),"Fix")))</f>
        <v>#N/A</v>
      </c>
      <c r="AA319" s="5" t="e">
        <f ca="1">IF(OR(INDEX($AI$2:$AI$1001,MATCH(ROWS($AH$2:AH319),$AH$2:$AH$1001,0),1)&gt;=100000,INDEX($AO$1005:$BQ$1005,1,MATCH(COLUMNS($AO$1006:BN1006),$AO$1006:$BQ$1006,0))&gt;=100000), " ",IF(INDEX($AO$2:$BQ$1001,MATCH(ROWS($AH$2:AH319),$AH$2:$AH$1001,0),MATCH(COLUMNS($AO$1006:BN1006),$AO$1006:$BQ$1006,0)), HYPERLINK("#",""), HYPERLINK(CONCATENATE("#Metadata!", ADDRESS(INDEX($AJ$2:$AJ$1001,MATCH(ROWS($AH$2:AH319),$AH$2:$AH$1001,0),0), INDEX($AO$1004:$BQ$1004,1,MATCH(COLUMNS($AO$1006:BN1006),$AO$1006:$BQ$1006,0)))),"Fix")))</f>
        <v>#N/A</v>
      </c>
      <c r="AB319" s="5" t="e">
        <f ca="1">IF(OR(INDEX($AI$2:$AI$1001,MATCH(ROWS($AH$2:AH319),$AH$2:$AH$1001,0),1)&gt;=100000,INDEX($AO$1005:$BQ$1005,1,MATCH(COLUMNS($AO$1006:BO1006),$AO$1006:$BQ$1006,0))&gt;=100000), " ",IF(INDEX($AO$2:$BQ$1001,MATCH(ROWS($AH$2:AH319),$AH$2:$AH$1001,0),MATCH(COLUMNS($AO$1006:BO1006),$AO$1006:$BQ$1006,0)), HYPERLINK("#",""), HYPERLINK(CONCATENATE("#Metadata!", ADDRESS(INDEX($AJ$2:$AJ$1001,MATCH(ROWS($AH$2:AH319),$AH$2:$AH$1001,0),0), INDEX($AO$1004:$BQ$1004,1,MATCH(COLUMNS($AO$1006:BO1006),$AO$1006:$BQ$1006,0)))),"Fix")))</f>
        <v>#N/A</v>
      </c>
      <c r="AC319" s="5" t="e">
        <f ca="1">IF(OR(INDEX($AI$2:$AI$1001,MATCH(ROWS($AH$2:AH319),$AH$2:$AH$1001,0),1)&gt;=100000,INDEX($AO$1005:$BQ$1005,1,MATCH(COLUMNS($AO$1006:BP1006),$AO$1006:$BQ$1006,0))&gt;=100000), " ",IF(INDEX($AO$2:$BQ$1001,MATCH(ROWS($AH$2:AH319),$AH$2:$AH$1001,0),MATCH(COLUMNS($AO$1006:BP1006),$AO$1006:$BQ$1006,0)), HYPERLINK("#",""), HYPERLINK(CONCATENATE("#Metadata!", ADDRESS(INDEX($AJ$2:$AJ$1001,MATCH(ROWS($AH$2:AH319),$AH$2:$AH$1001,0),0), INDEX($AO$1004:$BQ$1004,1,MATCH(COLUMNS($AO$1006:BP1006),$AO$1006:$BQ$1006,0)))),"Fix")))</f>
        <v>#N/A</v>
      </c>
      <c r="AD319" s="5" t="e">
        <f ca="1">IF(OR(INDEX($AI$2:$AI$1001,MATCH(ROWS($AH$2:AH319),$AH$2:$AH$1001,0),1)&gt;=100000,INDEX($AO$1005:$BQ$1005,1,MATCH(COLUMNS($AO$1006:BQ1006),$AO$1006:$BQ$1006,0))&gt;=100000), " ",IF(INDEX($AO$2:$BQ$1001,MATCH(ROWS($AH$2:AH319),$AH$2:$AH$1001,0),MATCH(COLUMNS($AO$1006:BQ1006),$AO$1006:$BQ$1006,0)), HYPERLINK("#",""), HYPERLINK(CONCATENATE("#Metadata!", ADDRESS(INDEX($AJ$2:$AJ$1001,MATCH(ROWS($AH$2:AH319),$AH$2:$AH$1001,0),0), INDEX($AO$1004:$BQ$1004,1,MATCH(COLUMNS($AO$1006:BQ1006),$AO$1006:$BQ$1006,0)))),"Fix")))</f>
        <v>#REF!</v>
      </c>
      <c r="AH319">
        <f ca="1"/>
        <v>316</v>
      </c>
      <c r="AI319">
        <v>100319</v>
      </c>
      <c r="AJ319">
        <v>319</v>
      </c>
      <c r="AK319" t="b">
        <f t="shared" si="4"/>
        <v>1</v>
      </c>
      <c r="AL319" t="b">
        <f>COUNTBLANK(Metadata!B319:AD319)=COLUMNS(Metadata!B319:AD319)</f>
        <v>1</v>
      </c>
      <c r="AM319" t="str">
        <v/>
      </c>
      <c r="AO319" t="b">
        <f ca="1">AND(IF(Metadata!B319="",FALSE,TRUE),COUNTIF(Metadata!B:B, Metadata!B319) = 1,NOT(ISERROR(SUMPRODUCT(SEARCH(MID(Metadata!B319,ROW(INDIRECT("1:"&amp;LEN(Metadata!B319))), 1),"0123456789abcdefghijklmnopqrstuvwxyzABCDEFGHIJKLMNOPQRSTUVWXYZ.")))))</f>
        <v>0</v>
      </c>
      <c r="AP319" t="b">
        <f>IF(Metadata!C319="",FALSE,TRUE)</f>
        <v>0</v>
      </c>
      <c r="AQ319" t="b">
        <f>IF(Metadata!D319="",FALSE,TRUE)</f>
        <v>0</v>
      </c>
      <c r="AR319" t="b">
        <f ca="1">OR(AND(IF(Metadata!E319="",FALSE,TRUE),OR(EXACT(Metadata!E319,"not collected"),EXACT(Metadata!E319,"not provided"),EXACT(Metadata!E319,"restricted access"))),AND(IF(Metadata!E319="",FALSE,TRUE),AND(AND(IFERROR(INT(LEFT(Metadata!E319,4))&gt;1900,FALSE),IFERROR(INT(LEFT(Metadata!E319,4))&lt;=YEAR(NOW()),FALSE)), OR(MID(Metadata!E319,5,1)="", AND(AND(MID(Metadata!E319,5,1)="-",IFERROR(INT(MID(Metadata!E319,6,1))&gt;=0,FALSE),IFERROR(INT(MID(Metadata!E319,6,1))&lt;=1,FALSE),NOT(MID(Metadata!E319,7,1)=""),IFERROR(INT(MID(Metadata!E319,6,2))&gt;=1,FALSE),IFERROR(INT(MID(Metadata!E319,6,2))&lt;=12,FALSE)), OR(MID(Metadata!E319,8,1)="", AND(AND(MID(Metadata!E319,8,1)="-",IFERROR(INT(MID(Metadata!E319,9,1))&gt;=0,FALSE),IFERROR(INT(MID(Metadata!E319,9,1))&lt;=3,FALSE),NOT(MID(Metadata!E319,10,1)=""),IFERROR(INT(MID(Metadata!E319,9,2))&gt;=1,FALSE),IFERROR(INT(MID(Metadata!E319,9,2))&lt;=31,FALSE)), OR(MID(Metadata!E319,11,1)="", AND(AND(MID(Metadata!E319,11,1)=" ",IFERROR(INT(MID(Metadata!E319,12,1))&gt;=0,FALSE),IFERROR(INT(MID(Metadata!E319,12,1))&lt;=2,FALSE),NOT(MID(Metadata!E319,13,1)=""),IFERROR(INT(MID(Metadata!E319,12,2))&gt;=0,FALSE),IFERROR(INT(MID(Metadata!E319,12,2))&lt;=23,FALSE)), OR(MID(Metadata!E319,14,1)="", AND(AND(MID(Metadata!E319,14,1)=":",IFERROR(INT(MID(Metadata!E319,15,1))&gt;=0,FALSE),IFERROR(INT(MID(Metadata!E319,15,1))&lt;=5,FALSE),NOT(MID(Metadata!E319,16,1)=""),IFERROR(INT(MID(Metadata!E319,15,2))&gt;=0,FALSE),IFERROR(INT(MID(Metadata!E319,15,2))&lt;=59,FALSE)), OR(MID(Metadata!E319,17,1)="", AND(AND(MID(Metadata!E319,17,1)=":",IFERROR(INT(MID(Metadata!E319,18,1))&gt;=0,FALSE),IFERROR(INT(MID(Metadata!E319,18,1))&lt;=5,FALSE),NOT(MID(Metadata!E319,19,1)=""),IFERROR(INT(MID(Metadata!E319,18,2))&gt;=0,FALSE),IFERROR(INT(MID(Metadata!E319,18,2))&lt;=59,FALSE)), LEN(Metadata!E319)&lt;=19)))))))))))))</f>
        <v>0</v>
      </c>
      <c r="AS319" t="b">
        <f>IF(Metadata!F319="",FALSE,TRUE)</f>
        <v>0</v>
      </c>
      <c r="AT319" t="b">
        <f>OR(AND(IF(Metadata!G319="",FALSE,TRUE),OR(EXACT(Metadata!G319,"not collected"),EXACT(Metadata!G319,"not provided"))),AND(IF(Metadata!G319="",FALSE,TRUE),OR(EXACT(Metadata!G319,"TRUE"),EXACT(Metadata!G319,"FALSE"))))</f>
        <v>0</v>
      </c>
      <c r="AU319" t="b">
        <f>OR(AND(IF(Metadata!H319="",FALSE,TRUE),OR(EXACT(Metadata!H319,"not collected"),EXACT(Metadata!H319,"not provided"),EXACT(Metadata!H319,"restricted access"))),AND(IF(Metadata!H319="",FALSE,ISNUMBER(VALUE(Metadata!H319))),Metadata!H319&gt;=-413))</f>
        <v>0</v>
      </c>
      <c r="AV319" t="b">
        <f>AND(IF(Metadata!I319="",FALSE,TRUE),EXACT(Metadata!I319,"meters"))</f>
        <v>0</v>
      </c>
      <c r="AW319" t="b">
        <f>AND(IF(Metadata!J319="",FALSE,TRUE),EXACT(Metadata!J319,"free-living"))</f>
        <v>0</v>
      </c>
      <c r="AX319" t="b">
        <f>AND(IF(Metadata!K319="",FALSE,TRUE),OR(EXACT(Metadata!K319,"saline"),EXACT(Metadata!K319,"non-saline")))</f>
        <v>0</v>
      </c>
      <c r="AY319" t="b">
        <f>AND(IF(Metadata!L319="",FALSE,TRUE),OR(EXACT(Metadata!L319,"sub-surface (non-saline)"),EXACT(Metadata!L319,"surface (non-saline)"),EXACT(Metadata!L319,"water (non-saline)"),EXACT(Metadata!L319,"soil (non-saline)"),EXACT(Metadata!L319,"aerosol (non-saline)"),EXACT(Metadata!L319,"sediment (non-saline)"),EXACT(Metadata!L319,"surface (saline)"),EXACT(Metadata!L319,"water (saline)"),EXACT(Metadata!L319,"hypersaline (saline)"),EXACT(Metadata!L319,"aerosol (saline)"),EXACT(Metadata!L319,"sediment (saline)")))</f>
        <v>0</v>
      </c>
      <c r="AZ319" t="b">
        <f>IF(Metadata!M319="",FALSE,TRUE)</f>
        <v>0</v>
      </c>
      <c r="BA319" t="b">
        <f>IF(Metadata!N319="",FALSE,TRUE)</f>
        <v>0</v>
      </c>
      <c r="BB319" t="b">
        <f>IF(Metadata!O319="",FALSE,TRUE)</f>
        <v>0</v>
      </c>
      <c r="BC319" t="b">
        <f>AND(IF(Metadata!P319="",FALSE,TRUE),OR(EXACT(Metadata!P319,"air"),EXACT(Metadata!P319,"microbial mat/biofilm"),EXACT(Metadata!P319,"misc environment"),EXACT(Metadata!P319,"sediment"),EXACT(Metadata!P319,"soil"),EXACT(Metadata!P319,"wastewater/sludge"),EXACT(Metadata!P319,"water")))</f>
        <v>0</v>
      </c>
      <c r="BD319" t="b">
        <f>IF(Metadata!Q319="",FALSE,TRUE)</f>
        <v>0</v>
      </c>
      <c r="BE319" t="b">
        <f>IF(Metadata!R319="",FALSE,TRUE)</f>
        <v>0</v>
      </c>
      <c r="BF319" t="b">
        <f>OR(AND(IF(Metadata!S319="",FALSE,TRUE),OR(EXACT(Metadata!S319,"not collected"),EXACT(Metadata!S319,"not provided"),EXACT(Metadata!S319,"restricted access"))),AND(IF(Metadata!S319="",FALSE,ISNUMBER(VALUE(Metadata!S319))),Metadata!S319&gt;=-90,Metadata!S319&lt;=90))</f>
        <v>0</v>
      </c>
      <c r="BG319" t="b">
        <f>AND(IF(Metadata!T319="",FALSE,TRUE),EXACT(Metadata!T319,"Decimal degrees"))</f>
        <v>0</v>
      </c>
      <c r="BH319" t="b">
        <f>OR(AND(IF(Metadata!U319="",FALSE,TRUE),OR(EXACT(Metadata!U319,"not applicable"),EXACT(Metadata!U319,"not collected"))),IF(Metadata!U319="",FALSE,TRUE))</f>
        <v>0</v>
      </c>
      <c r="BI319" t="b">
        <f>OR(AND(IF(Metadata!V319="",FALSE,TRUE),OR(EXACT(Metadata!V319,"not collected"),EXACT(Metadata!V319,"not provided"),EXACT(Metadata!V319,"restricted access"))),AND(IF(Metadata!V319="",FALSE,ISNUMBER(VALUE(Metadata!V319))),Metadata!V319&gt;=-180,Metadata!V319&lt;=180))</f>
        <v>0</v>
      </c>
      <c r="BJ319" t="b">
        <f>AND(IF(Metadata!W319="",FALSE,TRUE),EXACT(Metadata!W319,"Decimal degrees"))</f>
        <v>0</v>
      </c>
      <c r="BK319" t="b">
        <f>IF(Metadata!X319="",FALSE,TRUE)</f>
        <v>0</v>
      </c>
      <c r="BL319" t="b">
        <f>OR(AND(IF(Metadata!Y319="",FALSE,TRUE),OR(EXACT(Metadata!Y319,"not collected"),EXACT(Metadata!Y319,"not provided"),EXACT(Metadata!Y319,"restricted access"))),AND(IF(Metadata!Y319="",FALSE,TRUE),OR(EXACT(Metadata!Y319,"TRUE"),EXACT(Metadata!Y319,"FALSE"))))</f>
        <v>0</v>
      </c>
      <c r="BM319" t="b">
        <f>OR(AND(IF(Metadata!Z319="",FALSE,TRUE),EXACT(Metadata!Z319,"not applicable")),AND(IF(Metadata!Z319="",FALSE,TRUE),OR(EXACT(Metadata!Z319,"beer"),EXACT(Metadata!Z319,"cheese"),EXACT(Metadata!Z319,"fresh water"),EXACT(Metadata!Z319,"marine sediment"),EXACT(Metadata!Z319,"sea water"),EXACT(Metadata!Z319,"sediment"),EXACT(Metadata!Z319,"soil"),EXACT(Metadata!Z319,"waste water"))))</f>
        <v>0</v>
      </c>
      <c r="BN319" t="b">
        <f>AND(IF(Metadata!AA319="",FALSE,TRUE),EXACT(Metadata!AA319,"metagenome"))</f>
        <v>0</v>
      </c>
      <c r="BO319" t="b">
        <f>AND(IF(Metadata!AB319="",FALSE,TRUE),EXACT(Metadata!AB319,"256318"))</f>
        <v>0</v>
      </c>
      <c r="BP319" t="b">
        <f>IF(Metadata!AC319="",FALSE,TRUE)</f>
        <v>0</v>
      </c>
      <c r="BQ319" t="b">
        <f>IF(Metadata!AD319="",FALSE,TRUE)</f>
        <v>0</v>
      </c>
    </row>
    <row r="320" spans="1:69" x14ac:dyDescent="0.2">
      <c r="A320" s="4" t="e">
        <f ca="1">IF(B320=" "," ",HYPERLINK(CONCATENATE("#metadata!",ADDRESS(INDEX($AJ$2:$AJ$1001,MATCH(ROWS($AH$2:AH320),$AH$2:$AH$1001,0),0),2)),INDEX($AM$2:$AM$1001,MATCH(ROWS($AH$2:AH320),$AH$2:$AH$1001,0),0)))</f>
        <v>#N/A</v>
      </c>
      <c r="B320" s="5" t="e">
        <f ca="1">IF(OR(INDEX($AI$2:$AI$1001,MATCH(ROWS($AH$2:AH320),$AH$2:$AH$1001,0),1)&gt;=100000,INDEX($AO$1005:$BQ$1005,1,MATCH(COLUMNS($AO$1006:AO1006),$AO$1006:$BQ$1006,0))&gt;=100000), " ",IF(INDEX($AO$2:$BQ$1001,MATCH(ROWS($AH$2:AH320),$AH$2:$AH$1001,0),MATCH(COLUMNS($AO$1006:AO1006),$AO$1006:$BQ$1006,0)), HYPERLINK("#",""), HYPERLINK(CONCATENATE("#Metadata!", ADDRESS(INDEX($AJ$2:$AJ$1001,MATCH(ROWS($AH$2:AH320),$AH$2:$AH$1001,0),0), INDEX($AO$1004:$BQ$1004,1,MATCH(COLUMNS($AO$1006:AO1006),$AO$1006:$BQ$1006,0)))),"Fix")))</f>
        <v>#N/A</v>
      </c>
      <c r="C320" s="5" t="e">
        <f ca="1">IF(OR(INDEX($AI$2:$AI$1001,MATCH(ROWS($AH$2:AH320),$AH$2:$AH$1001,0),1)&gt;=100000,INDEX($AO$1005:$BQ$1005,1,MATCH(COLUMNS($AO$1006:AP1006),$AO$1006:$BQ$1006,0))&gt;=100000), " ",IF(INDEX($AO$2:$BQ$1001,MATCH(ROWS($AH$2:AH320),$AH$2:$AH$1001,0),MATCH(COLUMNS($AO$1006:AP1006),$AO$1006:$BQ$1006,0)), HYPERLINK("#",""), HYPERLINK(CONCATENATE("#Metadata!", ADDRESS(INDEX($AJ$2:$AJ$1001,MATCH(ROWS($AH$2:AH320),$AH$2:$AH$1001,0),0), INDEX($AO$1004:$BQ$1004,1,MATCH(COLUMNS($AO$1006:AP1006),$AO$1006:$BQ$1006,0)))),"Fix")))</f>
        <v>#N/A</v>
      </c>
      <c r="D320" s="5" t="e">
        <f ca="1">IF(OR(INDEX($AI$2:$AI$1001,MATCH(ROWS($AH$2:AH320),$AH$2:$AH$1001,0),1)&gt;=100000,INDEX($AO$1005:$BQ$1005,1,MATCH(COLUMNS($AO$1006:AQ1006),$AO$1006:$BQ$1006,0))&gt;=100000), " ",IF(INDEX($AO$2:$BQ$1001,MATCH(ROWS($AH$2:AH320),$AH$2:$AH$1001,0),MATCH(COLUMNS($AO$1006:AQ1006),$AO$1006:$BQ$1006,0)), HYPERLINK("#",""), HYPERLINK(CONCATENATE("#Metadata!", ADDRESS(INDEX($AJ$2:$AJ$1001,MATCH(ROWS($AH$2:AH320),$AH$2:$AH$1001,0),0), INDEX($AO$1004:$BQ$1004,1,MATCH(COLUMNS($AO$1006:AQ1006),$AO$1006:$BQ$1006,0)))),"Fix")))</f>
        <v>#N/A</v>
      </c>
      <c r="E320" s="5" t="e">
        <f ca="1">IF(OR(INDEX($AI$2:$AI$1001,MATCH(ROWS($AH$2:AH320),$AH$2:$AH$1001,0),1)&gt;=100000,INDEX($AO$1005:$BQ$1005,1,MATCH(COLUMNS($AO$1006:AR1006),$AO$1006:$BQ$1006,0))&gt;=100000), " ",IF(INDEX($AO$2:$BQ$1001,MATCH(ROWS($AH$2:AH320),$AH$2:$AH$1001,0),MATCH(COLUMNS($AO$1006:AR1006),$AO$1006:$BQ$1006,0)), HYPERLINK("#",""), HYPERLINK(CONCATENATE("#Metadata!", ADDRESS(INDEX($AJ$2:$AJ$1001,MATCH(ROWS($AH$2:AH320),$AH$2:$AH$1001,0),0), INDEX($AO$1004:$BQ$1004,1,MATCH(COLUMNS($AO$1006:AR1006),$AO$1006:$BQ$1006,0)))),"Fix")))</f>
        <v>#N/A</v>
      </c>
      <c r="F320" s="5" t="e">
        <f ca="1">IF(OR(INDEX($AI$2:$AI$1001,MATCH(ROWS($AH$2:AH320),$AH$2:$AH$1001,0),1)&gt;=100000,INDEX($AO$1005:$BQ$1005,1,MATCH(COLUMNS($AO$1006:AS1006),$AO$1006:$BQ$1006,0))&gt;=100000), " ",IF(INDEX($AO$2:$BQ$1001,MATCH(ROWS($AH$2:AH320),$AH$2:$AH$1001,0),MATCH(COLUMNS($AO$1006:AS1006),$AO$1006:$BQ$1006,0)), HYPERLINK("#",""), HYPERLINK(CONCATENATE("#Metadata!", ADDRESS(INDEX($AJ$2:$AJ$1001,MATCH(ROWS($AH$2:AH320),$AH$2:$AH$1001,0),0), INDEX($AO$1004:$BQ$1004,1,MATCH(COLUMNS($AO$1006:AS1006),$AO$1006:$BQ$1006,0)))),"Fix")))</f>
        <v>#N/A</v>
      </c>
      <c r="G320" s="5" t="e">
        <f ca="1">IF(OR(INDEX($AI$2:$AI$1001,MATCH(ROWS($AH$2:AH320),$AH$2:$AH$1001,0),1)&gt;=100000,INDEX($AO$1005:$BQ$1005,1,MATCH(COLUMNS($AO$1006:AT1006),$AO$1006:$BQ$1006,0))&gt;=100000), " ",IF(INDEX($AO$2:$BQ$1001,MATCH(ROWS($AH$2:AH320),$AH$2:$AH$1001,0),MATCH(COLUMNS($AO$1006:AT1006),$AO$1006:$BQ$1006,0)), HYPERLINK("#",""), HYPERLINK(CONCATENATE("#Metadata!", ADDRESS(INDEX($AJ$2:$AJ$1001,MATCH(ROWS($AH$2:AH320),$AH$2:$AH$1001,0),0), INDEX($AO$1004:$BQ$1004,1,MATCH(COLUMNS($AO$1006:AT1006),$AO$1006:$BQ$1006,0)))),"Fix")))</f>
        <v>#N/A</v>
      </c>
      <c r="H320" s="5" t="e">
        <f ca="1">IF(OR(INDEX($AI$2:$AI$1001,MATCH(ROWS($AH$2:AH320),$AH$2:$AH$1001,0),1)&gt;=100000,INDEX($AO$1005:$BQ$1005,1,MATCH(COLUMNS($AO$1006:AU1006),$AO$1006:$BQ$1006,0))&gt;=100000), " ",IF(INDEX($AO$2:$BQ$1001,MATCH(ROWS($AH$2:AH320),$AH$2:$AH$1001,0),MATCH(COLUMNS($AO$1006:AU1006),$AO$1006:$BQ$1006,0)), HYPERLINK("#",""), HYPERLINK(CONCATENATE("#Metadata!", ADDRESS(INDEX($AJ$2:$AJ$1001,MATCH(ROWS($AH$2:AH320),$AH$2:$AH$1001,0),0), INDEX($AO$1004:$BQ$1004,1,MATCH(COLUMNS($AO$1006:AU1006),$AO$1006:$BQ$1006,0)))),"Fix")))</f>
        <v>#N/A</v>
      </c>
      <c r="I320" s="5" t="e">
        <f ca="1">IF(OR(INDEX($AI$2:$AI$1001,MATCH(ROWS($AH$2:AH320),$AH$2:$AH$1001,0),1)&gt;=100000,INDEX($AO$1005:$BQ$1005,1,MATCH(COLUMNS($AO$1006:AV1006),$AO$1006:$BQ$1006,0))&gt;=100000), " ",IF(INDEX($AO$2:$BQ$1001,MATCH(ROWS($AH$2:AH320),$AH$2:$AH$1001,0),MATCH(COLUMNS($AO$1006:AV1006),$AO$1006:$BQ$1006,0)), HYPERLINK("#",""), HYPERLINK(CONCATENATE("#Metadata!", ADDRESS(INDEX($AJ$2:$AJ$1001,MATCH(ROWS($AH$2:AH320),$AH$2:$AH$1001,0),0), INDEX($AO$1004:$BQ$1004,1,MATCH(COLUMNS($AO$1006:AV1006),$AO$1006:$BQ$1006,0)))),"Fix")))</f>
        <v>#N/A</v>
      </c>
      <c r="J320" s="5" t="e">
        <f ca="1">IF(OR(INDEX($AI$2:$AI$1001,MATCH(ROWS($AH$2:AH320),$AH$2:$AH$1001,0),1)&gt;=100000,INDEX($AO$1005:$BQ$1005,1,MATCH(COLUMNS($AO$1006:AW1006),$AO$1006:$BQ$1006,0))&gt;=100000), " ",IF(INDEX($AO$2:$BQ$1001,MATCH(ROWS($AH$2:AH320),$AH$2:$AH$1001,0),MATCH(COLUMNS($AO$1006:AW1006),$AO$1006:$BQ$1006,0)), HYPERLINK("#",""), HYPERLINK(CONCATENATE("#Metadata!", ADDRESS(INDEX($AJ$2:$AJ$1001,MATCH(ROWS($AH$2:AH320),$AH$2:$AH$1001,0),0), INDEX($AO$1004:$BQ$1004,1,MATCH(COLUMNS($AO$1006:AW1006),$AO$1006:$BQ$1006,0)))),"Fix")))</f>
        <v>#N/A</v>
      </c>
      <c r="K320" s="5" t="e">
        <f ca="1">IF(OR(INDEX($AI$2:$AI$1001,MATCH(ROWS($AH$2:AH320),$AH$2:$AH$1001,0),1)&gt;=100000,INDEX($AO$1005:$BQ$1005,1,MATCH(COLUMNS($AO$1006:AX1006),$AO$1006:$BQ$1006,0))&gt;=100000), " ",IF(INDEX($AO$2:$BQ$1001,MATCH(ROWS($AH$2:AH320),$AH$2:$AH$1001,0),MATCH(COLUMNS($AO$1006:AX1006),$AO$1006:$BQ$1006,0)), HYPERLINK("#",""), HYPERLINK(CONCATENATE("#Metadata!", ADDRESS(INDEX($AJ$2:$AJ$1001,MATCH(ROWS($AH$2:AH320),$AH$2:$AH$1001,0),0), INDEX($AO$1004:$BQ$1004,1,MATCH(COLUMNS($AO$1006:AX1006),$AO$1006:$BQ$1006,0)))),"Fix")))</f>
        <v>#N/A</v>
      </c>
      <c r="L320" s="5" t="e">
        <f ca="1">IF(OR(INDEX($AI$2:$AI$1001,MATCH(ROWS($AH$2:AH320),$AH$2:$AH$1001,0),1)&gt;=100000,INDEX($AO$1005:$BQ$1005,1,MATCH(COLUMNS($AO$1006:AY1006),$AO$1006:$BQ$1006,0))&gt;=100000), " ",IF(INDEX($AO$2:$BQ$1001,MATCH(ROWS($AH$2:AH320),$AH$2:$AH$1001,0),MATCH(COLUMNS($AO$1006:AY1006),$AO$1006:$BQ$1006,0)), HYPERLINK("#",""), HYPERLINK(CONCATENATE("#Metadata!", ADDRESS(INDEX($AJ$2:$AJ$1001,MATCH(ROWS($AH$2:AH320),$AH$2:$AH$1001,0),0), INDEX($AO$1004:$BQ$1004,1,MATCH(COLUMNS($AO$1006:AY1006),$AO$1006:$BQ$1006,0)))),"Fix")))</f>
        <v>#N/A</v>
      </c>
      <c r="M320" s="5" t="e">
        <f ca="1">IF(OR(INDEX($AI$2:$AI$1001,MATCH(ROWS($AH$2:AH320),$AH$2:$AH$1001,0),1)&gt;=100000,INDEX($AO$1005:$BQ$1005,1,MATCH(COLUMNS($AO$1006:AZ1006),$AO$1006:$BQ$1006,0))&gt;=100000), " ",IF(INDEX($AO$2:$BQ$1001,MATCH(ROWS($AH$2:AH320),$AH$2:$AH$1001,0),MATCH(COLUMNS($AO$1006:AZ1006),$AO$1006:$BQ$1006,0)), HYPERLINK("#",""), HYPERLINK(CONCATENATE("#Metadata!", ADDRESS(INDEX($AJ$2:$AJ$1001,MATCH(ROWS($AH$2:AH320),$AH$2:$AH$1001,0),0), INDEX($AO$1004:$BQ$1004,1,MATCH(COLUMNS($AO$1006:AZ1006),$AO$1006:$BQ$1006,0)))),"Fix")))</f>
        <v>#N/A</v>
      </c>
      <c r="N320" s="5" t="e">
        <f ca="1">IF(OR(INDEX($AI$2:$AI$1001,MATCH(ROWS($AH$2:AH320),$AH$2:$AH$1001,0),1)&gt;=100000,INDEX($AO$1005:$BQ$1005,1,MATCH(COLUMNS($AO$1006:BA1006),$AO$1006:$BQ$1006,0))&gt;=100000), " ",IF(INDEX($AO$2:$BQ$1001,MATCH(ROWS($AH$2:AH320),$AH$2:$AH$1001,0),MATCH(COLUMNS($AO$1006:BA1006),$AO$1006:$BQ$1006,0)), HYPERLINK("#",""), HYPERLINK(CONCATENATE("#Metadata!", ADDRESS(INDEX($AJ$2:$AJ$1001,MATCH(ROWS($AH$2:AH320),$AH$2:$AH$1001,0),0), INDEX($AO$1004:$BQ$1004,1,MATCH(COLUMNS($AO$1006:BA1006),$AO$1006:$BQ$1006,0)))),"Fix")))</f>
        <v>#N/A</v>
      </c>
      <c r="O320" s="5" t="e">
        <f ca="1">IF(OR(INDEX($AI$2:$AI$1001,MATCH(ROWS($AH$2:AH320),$AH$2:$AH$1001,0),1)&gt;=100000,INDEX($AO$1005:$BQ$1005,1,MATCH(COLUMNS($AO$1006:BB1006),$AO$1006:$BQ$1006,0))&gt;=100000), " ",IF(INDEX($AO$2:$BQ$1001,MATCH(ROWS($AH$2:AH320),$AH$2:$AH$1001,0),MATCH(COLUMNS($AO$1006:BB1006),$AO$1006:$BQ$1006,0)), HYPERLINK("#",""), HYPERLINK(CONCATENATE("#Metadata!", ADDRESS(INDEX($AJ$2:$AJ$1001,MATCH(ROWS($AH$2:AH320),$AH$2:$AH$1001,0),0), INDEX($AO$1004:$BQ$1004,1,MATCH(COLUMNS($AO$1006:BB1006),$AO$1006:$BQ$1006,0)))),"Fix")))</f>
        <v>#N/A</v>
      </c>
      <c r="P320" s="5" t="e">
        <f ca="1">IF(OR(INDEX($AI$2:$AI$1001,MATCH(ROWS($AH$2:AH320),$AH$2:$AH$1001,0),1)&gt;=100000,INDEX($AO$1005:$BQ$1005,1,MATCH(COLUMNS($AO$1006:BC1006),$AO$1006:$BQ$1006,0))&gt;=100000), " ",IF(INDEX($AO$2:$BQ$1001,MATCH(ROWS($AH$2:AH320),$AH$2:$AH$1001,0),MATCH(COLUMNS($AO$1006:BC1006),$AO$1006:$BQ$1006,0)), HYPERLINK("#",""), HYPERLINK(CONCATENATE("#Metadata!", ADDRESS(INDEX($AJ$2:$AJ$1001,MATCH(ROWS($AH$2:AH320),$AH$2:$AH$1001,0),0), INDEX($AO$1004:$BQ$1004,1,MATCH(COLUMNS($AO$1006:BC1006),$AO$1006:$BQ$1006,0)))),"Fix")))</f>
        <v>#N/A</v>
      </c>
      <c r="Q320" s="5" t="e">
        <f ca="1">IF(OR(INDEX($AI$2:$AI$1001,MATCH(ROWS($AH$2:AH320),$AH$2:$AH$1001,0),1)&gt;=100000,INDEX($AO$1005:$BQ$1005,1,MATCH(COLUMNS($AO$1006:BD1006),$AO$1006:$BQ$1006,0))&gt;=100000), " ",IF(INDEX($AO$2:$BQ$1001,MATCH(ROWS($AH$2:AH320),$AH$2:$AH$1001,0),MATCH(COLUMNS($AO$1006:BD1006),$AO$1006:$BQ$1006,0)), HYPERLINK("#",""), HYPERLINK(CONCATENATE("#Metadata!", ADDRESS(INDEX($AJ$2:$AJ$1001,MATCH(ROWS($AH$2:AH320),$AH$2:$AH$1001,0),0), INDEX($AO$1004:$BQ$1004,1,MATCH(COLUMNS($AO$1006:BD1006),$AO$1006:$BQ$1006,0)))),"Fix")))</f>
        <v>#N/A</v>
      </c>
      <c r="R320" s="5" t="e">
        <f ca="1">IF(OR(INDEX($AI$2:$AI$1001,MATCH(ROWS($AH$2:AH320),$AH$2:$AH$1001,0),1)&gt;=100000,INDEX($AO$1005:$BQ$1005,1,MATCH(COLUMNS($AO$1006:BE1006),$AO$1006:$BQ$1006,0))&gt;=100000), " ",IF(INDEX($AO$2:$BQ$1001,MATCH(ROWS($AH$2:AH320),$AH$2:$AH$1001,0),MATCH(COLUMNS($AO$1006:BE1006),$AO$1006:$BQ$1006,0)), HYPERLINK("#",""), HYPERLINK(CONCATENATE("#Metadata!", ADDRESS(INDEX($AJ$2:$AJ$1001,MATCH(ROWS($AH$2:AH320),$AH$2:$AH$1001,0),0), INDEX($AO$1004:$BQ$1004,1,MATCH(COLUMNS($AO$1006:BE1006),$AO$1006:$BQ$1006,0)))),"Fix")))</f>
        <v>#N/A</v>
      </c>
      <c r="S320" s="5" t="e">
        <f ca="1">IF(OR(INDEX($AI$2:$AI$1001,MATCH(ROWS($AH$2:AH320),$AH$2:$AH$1001,0),1)&gt;=100000,INDEX($AO$1005:$BQ$1005,1,MATCH(COLUMNS($AO$1006:BF1006),$AO$1006:$BQ$1006,0))&gt;=100000), " ",IF(INDEX($AO$2:$BQ$1001,MATCH(ROWS($AH$2:AH320),$AH$2:$AH$1001,0),MATCH(COLUMNS($AO$1006:BF1006),$AO$1006:$BQ$1006,0)), HYPERLINK("#",""), HYPERLINK(CONCATENATE("#Metadata!", ADDRESS(INDEX($AJ$2:$AJ$1001,MATCH(ROWS($AH$2:AH320),$AH$2:$AH$1001,0),0), INDEX($AO$1004:$BQ$1004,1,MATCH(COLUMNS($AO$1006:BF1006),$AO$1006:$BQ$1006,0)))),"Fix")))</f>
        <v>#N/A</v>
      </c>
      <c r="T320" s="5" t="e">
        <f ca="1">IF(OR(INDEX($AI$2:$AI$1001,MATCH(ROWS($AH$2:AH320),$AH$2:$AH$1001,0),1)&gt;=100000,INDEX($AO$1005:$BQ$1005,1,MATCH(COLUMNS($AO$1006:BG1006),$AO$1006:$BQ$1006,0))&gt;=100000), " ",IF(INDEX($AO$2:$BQ$1001,MATCH(ROWS($AH$2:AH320),$AH$2:$AH$1001,0),MATCH(COLUMNS($AO$1006:BG1006),$AO$1006:$BQ$1006,0)), HYPERLINK("#",""), HYPERLINK(CONCATENATE("#Metadata!", ADDRESS(INDEX($AJ$2:$AJ$1001,MATCH(ROWS($AH$2:AH320),$AH$2:$AH$1001,0),0), INDEX($AO$1004:$BQ$1004,1,MATCH(COLUMNS($AO$1006:BG1006),$AO$1006:$BQ$1006,0)))),"Fix")))</f>
        <v>#N/A</v>
      </c>
      <c r="U320" s="5" t="e">
        <f ca="1">IF(OR(INDEX($AI$2:$AI$1001,MATCH(ROWS($AH$2:AH320),$AH$2:$AH$1001,0),1)&gt;=100000,INDEX($AO$1005:$BQ$1005,1,MATCH(COLUMNS($AO$1006:BH1006),$AO$1006:$BQ$1006,0))&gt;=100000), " ",IF(INDEX($AO$2:$BQ$1001,MATCH(ROWS($AH$2:AH320),$AH$2:$AH$1001,0),MATCH(COLUMNS($AO$1006:BH1006),$AO$1006:$BQ$1006,0)), HYPERLINK("#",""), HYPERLINK(CONCATENATE("#Metadata!", ADDRESS(INDEX($AJ$2:$AJ$1001,MATCH(ROWS($AH$2:AH320),$AH$2:$AH$1001,0),0), INDEX($AO$1004:$BQ$1004,1,MATCH(COLUMNS($AO$1006:BH1006),$AO$1006:$BQ$1006,0)))),"Fix")))</f>
        <v>#N/A</v>
      </c>
      <c r="V320" s="5" t="e">
        <f ca="1">IF(OR(INDEX($AI$2:$AI$1001,MATCH(ROWS($AH$2:AH320),$AH$2:$AH$1001,0),1)&gt;=100000,INDEX($AO$1005:$BQ$1005,1,MATCH(COLUMNS($AO$1006:BI1006),$AO$1006:$BQ$1006,0))&gt;=100000), " ",IF(INDEX($AO$2:$BQ$1001,MATCH(ROWS($AH$2:AH320),$AH$2:$AH$1001,0),MATCH(COLUMNS($AO$1006:BI1006),$AO$1006:$BQ$1006,0)), HYPERLINK("#",""), HYPERLINK(CONCATENATE("#Metadata!", ADDRESS(INDEX($AJ$2:$AJ$1001,MATCH(ROWS($AH$2:AH320),$AH$2:$AH$1001,0),0), INDEX($AO$1004:$BQ$1004,1,MATCH(COLUMNS($AO$1006:BI1006),$AO$1006:$BQ$1006,0)))),"Fix")))</f>
        <v>#N/A</v>
      </c>
      <c r="W320" s="5" t="e">
        <f ca="1">IF(OR(INDEX($AI$2:$AI$1001,MATCH(ROWS($AH$2:AH320),$AH$2:$AH$1001,0),1)&gt;=100000,INDEX($AO$1005:$BQ$1005,1,MATCH(COLUMNS($AO$1006:BJ1006),$AO$1006:$BQ$1006,0))&gt;=100000), " ",IF(INDEX($AO$2:$BQ$1001,MATCH(ROWS($AH$2:AH320),$AH$2:$AH$1001,0),MATCH(COLUMNS($AO$1006:BJ1006),$AO$1006:$BQ$1006,0)), HYPERLINK("#",""), HYPERLINK(CONCATENATE("#Metadata!", ADDRESS(INDEX($AJ$2:$AJ$1001,MATCH(ROWS($AH$2:AH320),$AH$2:$AH$1001,0),0), INDEX($AO$1004:$BQ$1004,1,MATCH(COLUMNS($AO$1006:BJ1006),$AO$1006:$BQ$1006,0)))),"Fix")))</f>
        <v>#N/A</v>
      </c>
      <c r="X320" s="5" t="e">
        <f ca="1">IF(OR(INDEX($AI$2:$AI$1001,MATCH(ROWS($AH$2:AH320),$AH$2:$AH$1001,0),1)&gt;=100000,INDEX($AO$1005:$BQ$1005,1,MATCH(COLUMNS($AO$1006:BK1006),$AO$1006:$BQ$1006,0))&gt;=100000), " ",IF(INDEX($AO$2:$BQ$1001,MATCH(ROWS($AH$2:AH320),$AH$2:$AH$1001,0),MATCH(COLUMNS($AO$1006:BK1006),$AO$1006:$BQ$1006,0)), HYPERLINK("#",""), HYPERLINK(CONCATENATE("#Metadata!", ADDRESS(INDEX($AJ$2:$AJ$1001,MATCH(ROWS($AH$2:AH320),$AH$2:$AH$1001,0),0), INDEX($AO$1004:$BQ$1004,1,MATCH(COLUMNS($AO$1006:BK1006),$AO$1006:$BQ$1006,0)))),"Fix")))</f>
        <v>#N/A</v>
      </c>
      <c r="Y320" s="5" t="e">
        <f ca="1">IF(OR(INDEX($AI$2:$AI$1001,MATCH(ROWS($AH$2:AH320),$AH$2:$AH$1001,0),1)&gt;=100000,INDEX($AO$1005:$BQ$1005,1,MATCH(COLUMNS($AO$1006:BL1006),$AO$1006:$BQ$1006,0))&gt;=100000), " ",IF(INDEX($AO$2:$BQ$1001,MATCH(ROWS($AH$2:AH320),$AH$2:$AH$1001,0),MATCH(COLUMNS($AO$1006:BL1006),$AO$1006:$BQ$1006,0)), HYPERLINK("#",""), HYPERLINK(CONCATENATE("#Metadata!", ADDRESS(INDEX($AJ$2:$AJ$1001,MATCH(ROWS($AH$2:AH320),$AH$2:$AH$1001,0),0), INDEX($AO$1004:$BQ$1004,1,MATCH(COLUMNS($AO$1006:BL1006),$AO$1006:$BQ$1006,0)))),"Fix")))</f>
        <v>#N/A</v>
      </c>
      <c r="Z320" s="5" t="e">
        <f ca="1">IF(OR(INDEX($AI$2:$AI$1001,MATCH(ROWS($AH$2:AH320),$AH$2:$AH$1001,0),1)&gt;=100000,INDEX($AO$1005:$BQ$1005,1,MATCH(COLUMNS($AO$1006:BM1006),$AO$1006:$BQ$1006,0))&gt;=100000), " ",IF(INDEX($AO$2:$BQ$1001,MATCH(ROWS($AH$2:AH320),$AH$2:$AH$1001,0),MATCH(COLUMNS($AO$1006:BM1006),$AO$1006:$BQ$1006,0)), HYPERLINK("#",""), HYPERLINK(CONCATENATE("#Metadata!", ADDRESS(INDEX($AJ$2:$AJ$1001,MATCH(ROWS($AH$2:AH320),$AH$2:$AH$1001,0),0), INDEX($AO$1004:$BQ$1004,1,MATCH(COLUMNS($AO$1006:BM1006),$AO$1006:$BQ$1006,0)))),"Fix")))</f>
        <v>#N/A</v>
      </c>
      <c r="AA320" s="5" t="e">
        <f ca="1">IF(OR(INDEX($AI$2:$AI$1001,MATCH(ROWS($AH$2:AH320),$AH$2:$AH$1001,0),1)&gt;=100000,INDEX($AO$1005:$BQ$1005,1,MATCH(COLUMNS($AO$1006:BN1006),$AO$1006:$BQ$1006,0))&gt;=100000), " ",IF(INDEX($AO$2:$BQ$1001,MATCH(ROWS($AH$2:AH320),$AH$2:$AH$1001,0),MATCH(COLUMNS($AO$1006:BN1006),$AO$1006:$BQ$1006,0)), HYPERLINK("#",""), HYPERLINK(CONCATENATE("#Metadata!", ADDRESS(INDEX($AJ$2:$AJ$1001,MATCH(ROWS($AH$2:AH320),$AH$2:$AH$1001,0),0), INDEX($AO$1004:$BQ$1004,1,MATCH(COLUMNS($AO$1006:BN1006),$AO$1006:$BQ$1006,0)))),"Fix")))</f>
        <v>#N/A</v>
      </c>
      <c r="AB320" s="5" t="e">
        <f ca="1">IF(OR(INDEX($AI$2:$AI$1001,MATCH(ROWS($AH$2:AH320),$AH$2:$AH$1001,0),1)&gt;=100000,INDEX($AO$1005:$BQ$1005,1,MATCH(COLUMNS($AO$1006:BO1006),$AO$1006:$BQ$1006,0))&gt;=100000), " ",IF(INDEX($AO$2:$BQ$1001,MATCH(ROWS($AH$2:AH320),$AH$2:$AH$1001,0),MATCH(COLUMNS($AO$1006:BO1006),$AO$1006:$BQ$1006,0)), HYPERLINK("#",""), HYPERLINK(CONCATENATE("#Metadata!", ADDRESS(INDEX($AJ$2:$AJ$1001,MATCH(ROWS($AH$2:AH320),$AH$2:$AH$1001,0),0), INDEX($AO$1004:$BQ$1004,1,MATCH(COLUMNS($AO$1006:BO1006),$AO$1006:$BQ$1006,0)))),"Fix")))</f>
        <v>#N/A</v>
      </c>
      <c r="AC320" s="5" t="e">
        <f ca="1">IF(OR(INDEX($AI$2:$AI$1001,MATCH(ROWS($AH$2:AH320),$AH$2:$AH$1001,0),1)&gt;=100000,INDEX($AO$1005:$BQ$1005,1,MATCH(COLUMNS($AO$1006:BP1006),$AO$1006:$BQ$1006,0))&gt;=100000), " ",IF(INDEX($AO$2:$BQ$1001,MATCH(ROWS($AH$2:AH320),$AH$2:$AH$1001,0),MATCH(COLUMNS($AO$1006:BP1006),$AO$1006:$BQ$1006,0)), HYPERLINK("#",""), HYPERLINK(CONCATENATE("#Metadata!", ADDRESS(INDEX($AJ$2:$AJ$1001,MATCH(ROWS($AH$2:AH320),$AH$2:$AH$1001,0),0), INDEX($AO$1004:$BQ$1004,1,MATCH(COLUMNS($AO$1006:BP1006),$AO$1006:$BQ$1006,0)))),"Fix")))</f>
        <v>#N/A</v>
      </c>
      <c r="AD320" s="5" t="e">
        <f ca="1">IF(OR(INDEX($AI$2:$AI$1001,MATCH(ROWS($AH$2:AH320),$AH$2:$AH$1001,0),1)&gt;=100000,INDEX($AO$1005:$BQ$1005,1,MATCH(COLUMNS($AO$1006:BQ1006),$AO$1006:$BQ$1006,0))&gt;=100000), " ",IF(INDEX($AO$2:$BQ$1001,MATCH(ROWS($AH$2:AH320),$AH$2:$AH$1001,0),MATCH(COLUMNS($AO$1006:BQ1006),$AO$1006:$BQ$1006,0)), HYPERLINK("#",""), HYPERLINK(CONCATENATE("#Metadata!", ADDRESS(INDEX($AJ$2:$AJ$1001,MATCH(ROWS($AH$2:AH320),$AH$2:$AH$1001,0),0), INDEX($AO$1004:$BQ$1004,1,MATCH(COLUMNS($AO$1006:BQ1006),$AO$1006:$BQ$1006,0)))),"Fix")))</f>
        <v>#REF!</v>
      </c>
      <c r="AH320">
        <f ca="1"/>
        <v>317</v>
      </c>
      <c r="AI320">
        <v>100320</v>
      </c>
      <c r="AJ320">
        <v>320</v>
      </c>
      <c r="AK320" t="b">
        <f t="shared" si="4"/>
        <v>1</v>
      </c>
      <c r="AL320" t="b">
        <f>COUNTBLANK(Metadata!B320:AD320)=COLUMNS(Metadata!B320:AD320)</f>
        <v>1</v>
      </c>
      <c r="AM320" t="str">
        <v/>
      </c>
      <c r="AO320" t="b">
        <f ca="1">AND(IF(Metadata!B320="",FALSE,TRUE),COUNTIF(Metadata!B:B, Metadata!B320) = 1,NOT(ISERROR(SUMPRODUCT(SEARCH(MID(Metadata!B320,ROW(INDIRECT("1:"&amp;LEN(Metadata!B320))), 1),"0123456789abcdefghijklmnopqrstuvwxyzABCDEFGHIJKLMNOPQRSTUVWXYZ.")))))</f>
        <v>0</v>
      </c>
      <c r="AP320" t="b">
        <f>IF(Metadata!C320="",FALSE,TRUE)</f>
        <v>0</v>
      </c>
      <c r="AQ320" t="b">
        <f>IF(Metadata!D320="",FALSE,TRUE)</f>
        <v>0</v>
      </c>
      <c r="AR320" t="b">
        <f ca="1">OR(AND(IF(Metadata!E320="",FALSE,TRUE),OR(EXACT(Metadata!E320,"not collected"),EXACT(Metadata!E320,"not provided"),EXACT(Metadata!E320,"restricted access"))),AND(IF(Metadata!E320="",FALSE,TRUE),AND(AND(IFERROR(INT(LEFT(Metadata!E320,4))&gt;1900,FALSE),IFERROR(INT(LEFT(Metadata!E320,4))&lt;=YEAR(NOW()),FALSE)), OR(MID(Metadata!E320,5,1)="", AND(AND(MID(Metadata!E320,5,1)="-",IFERROR(INT(MID(Metadata!E320,6,1))&gt;=0,FALSE),IFERROR(INT(MID(Metadata!E320,6,1))&lt;=1,FALSE),NOT(MID(Metadata!E320,7,1)=""),IFERROR(INT(MID(Metadata!E320,6,2))&gt;=1,FALSE),IFERROR(INT(MID(Metadata!E320,6,2))&lt;=12,FALSE)), OR(MID(Metadata!E320,8,1)="", AND(AND(MID(Metadata!E320,8,1)="-",IFERROR(INT(MID(Metadata!E320,9,1))&gt;=0,FALSE),IFERROR(INT(MID(Metadata!E320,9,1))&lt;=3,FALSE),NOT(MID(Metadata!E320,10,1)=""),IFERROR(INT(MID(Metadata!E320,9,2))&gt;=1,FALSE),IFERROR(INT(MID(Metadata!E320,9,2))&lt;=31,FALSE)), OR(MID(Metadata!E320,11,1)="", AND(AND(MID(Metadata!E320,11,1)=" ",IFERROR(INT(MID(Metadata!E320,12,1))&gt;=0,FALSE),IFERROR(INT(MID(Metadata!E320,12,1))&lt;=2,FALSE),NOT(MID(Metadata!E320,13,1)=""),IFERROR(INT(MID(Metadata!E320,12,2))&gt;=0,FALSE),IFERROR(INT(MID(Metadata!E320,12,2))&lt;=23,FALSE)), OR(MID(Metadata!E320,14,1)="", AND(AND(MID(Metadata!E320,14,1)=":",IFERROR(INT(MID(Metadata!E320,15,1))&gt;=0,FALSE),IFERROR(INT(MID(Metadata!E320,15,1))&lt;=5,FALSE),NOT(MID(Metadata!E320,16,1)=""),IFERROR(INT(MID(Metadata!E320,15,2))&gt;=0,FALSE),IFERROR(INT(MID(Metadata!E320,15,2))&lt;=59,FALSE)), OR(MID(Metadata!E320,17,1)="", AND(AND(MID(Metadata!E320,17,1)=":",IFERROR(INT(MID(Metadata!E320,18,1))&gt;=0,FALSE),IFERROR(INT(MID(Metadata!E320,18,1))&lt;=5,FALSE),NOT(MID(Metadata!E320,19,1)=""),IFERROR(INT(MID(Metadata!E320,18,2))&gt;=0,FALSE),IFERROR(INT(MID(Metadata!E320,18,2))&lt;=59,FALSE)), LEN(Metadata!E320)&lt;=19)))))))))))))</f>
        <v>0</v>
      </c>
      <c r="AS320" t="b">
        <f>IF(Metadata!F320="",FALSE,TRUE)</f>
        <v>0</v>
      </c>
      <c r="AT320" t="b">
        <f>OR(AND(IF(Metadata!G320="",FALSE,TRUE),OR(EXACT(Metadata!G320,"not collected"),EXACT(Metadata!G320,"not provided"))),AND(IF(Metadata!G320="",FALSE,TRUE),OR(EXACT(Metadata!G320,"TRUE"),EXACT(Metadata!G320,"FALSE"))))</f>
        <v>0</v>
      </c>
      <c r="AU320" t="b">
        <f>OR(AND(IF(Metadata!H320="",FALSE,TRUE),OR(EXACT(Metadata!H320,"not collected"),EXACT(Metadata!H320,"not provided"),EXACT(Metadata!H320,"restricted access"))),AND(IF(Metadata!H320="",FALSE,ISNUMBER(VALUE(Metadata!H320))),Metadata!H320&gt;=-413))</f>
        <v>0</v>
      </c>
      <c r="AV320" t="b">
        <f>AND(IF(Metadata!I320="",FALSE,TRUE),EXACT(Metadata!I320,"meters"))</f>
        <v>0</v>
      </c>
      <c r="AW320" t="b">
        <f>AND(IF(Metadata!J320="",FALSE,TRUE),EXACT(Metadata!J320,"free-living"))</f>
        <v>0</v>
      </c>
      <c r="AX320" t="b">
        <f>AND(IF(Metadata!K320="",FALSE,TRUE),OR(EXACT(Metadata!K320,"saline"),EXACT(Metadata!K320,"non-saline")))</f>
        <v>0</v>
      </c>
      <c r="AY320" t="b">
        <f>AND(IF(Metadata!L320="",FALSE,TRUE),OR(EXACT(Metadata!L320,"sub-surface (non-saline)"),EXACT(Metadata!L320,"surface (non-saline)"),EXACT(Metadata!L320,"water (non-saline)"),EXACT(Metadata!L320,"soil (non-saline)"),EXACT(Metadata!L320,"aerosol (non-saline)"),EXACT(Metadata!L320,"sediment (non-saline)"),EXACT(Metadata!L320,"surface (saline)"),EXACT(Metadata!L320,"water (saline)"),EXACT(Metadata!L320,"hypersaline (saline)"),EXACT(Metadata!L320,"aerosol (saline)"),EXACT(Metadata!L320,"sediment (saline)")))</f>
        <v>0</v>
      </c>
      <c r="AZ320" t="b">
        <f>IF(Metadata!M320="",FALSE,TRUE)</f>
        <v>0</v>
      </c>
      <c r="BA320" t="b">
        <f>IF(Metadata!N320="",FALSE,TRUE)</f>
        <v>0</v>
      </c>
      <c r="BB320" t="b">
        <f>IF(Metadata!O320="",FALSE,TRUE)</f>
        <v>0</v>
      </c>
      <c r="BC320" t="b">
        <f>AND(IF(Metadata!P320="",FALSE,TRUE),OR(EXACT(Metadata!P320,"air"),EXACT(Metadata!P320,"microbial mat/biofilm"),EXACT(Metadata!P320,"misc environment"),EXACT(Metadata!P320,"sediment"),EXACT(Metadata!P320,"soil"),EXACT(Metadata!P320,"wastewater/sludge"),EXACT(Metadata!P320,"water")))</f>
        <v>0</v>
      </c>
      <c r="BD320" t="b">
        <f>IF(Metadata!Q320="",FALSE,TRUE)</f>
        <v>0</v>
      </c>
      <c r="BE320" t="b">
        <f>IF(Metadata!R320="",FALSE,TRUE)</f>
        <v>0</v>
      </c>
      <c r="BF320" t="b">
        <f>OR(AND(IF(Metadata!S320="",FALSE,TRUE),OR(EXACT(Metadata!S320,"not collected"),EXACT(Metadata!S320,"not provided"),EXACT(Metadata!S320,"restricted access"))),AND(IF(Metadata!S320="",FALSE,ISNUMBER(VALUE(Metadata!S320))),Metadata!S320&gt;=-90,Metadata!S320&lt;=90))</f>
        <v>0</v>
      </c>
      <c r="BG320" t="b">
        <f>AND(IF(Metadata!T320="",FALSE,TRUE),EXACT(Metadata!T320,"Decimal degrees"))</f>
        <v>0</v>
      </c>
      <c r="BH320" t="b">
        <f>OR(AND(IF(Metadata!U320="",FALSE,TRUE),OR(EXACT(Metadata!U320,"not applicable"),EXACT(Metadata!U320,"not collected"))),IF(Metadata!U320="",FALSE,TRUE))</f>
        <v>0</v>
      </c>
      <c r="BI320" t="b">
        <f>OR(AND(IF(Metadata!V320="",FALSE,TRUE),OR(EXACT(Metadata!V320,"not collected"),EXACT(Metadata!V320,"not provided"),EXACT(Metadata!V320,"restricted access"))),AND(IF(Metadata!V320="",FALSE,ISNUMBER(VALUE(Metadata!V320))),Metadata!V320&gt;=-180,Metadata!V320&lt;=180))</f>
        <v>0</v>
      </c>
      <c r="BJ320" t="b">
        <f>AND(IF(Metadata!W320="",FALSE,TRUE),EXACT(Metadata!W320,"Decimal degrees"))</f>
        <v>0</v>
      </c>
      <c r="BK320" t="b">
        <f>IF(Metadata!X320="",FALSE,TRUE)</f>
        <v>0</v>
      </c>
      <c r="BL320" t="b">
        <f>OR(AND(IF(Metadata!Y320="",FALSE,TRUE),OR(EXACT(Metadata!Y320,"not collected"),EXACT(Metadata!Y320,"not provided"),EXACT(Metadata!Y320,"restricted access"))),AND(IF(Metadata!Y320="",FALSE,TRUE),OR(EXACT(Metadata!Y320,"TRUE"),EXACT(Metadata!Y320,"FALSE"))))</f>
        <v>0</v>
      </c>
      <c r="BM320" t="b">
        <f>OR(AND(IF(Metadata!Z320="",FALSE,TRUE),EXACT(Metadata!Z320,"not applicable")),AND(IF(Metadata!Z320="",FALSE,TRUE),OR(EXACT(Metadata!Z320,"beer"),EXACT(Metadata!Z320,"cheese"),EXACT(Metadata!Z320,"fresh water"),EXACT(Metadata!Z320,"marine sediment"),EXACT(Metadata!Z320,"sea water"),EXACT(Metadata!Z320,"sediment"),EXACT(Metadata!Z320,"soil"),EXACT(Metadata!Z320,"waste water"))))</f>
        <v>0</v>
      </c>
      <c r="BN320" t="b">
        <f>AND(IF(Metadata!AA320="",FALSE,TRUE),EXACT(Metadata!AA320,"metagenome"))</f>
        <v>0</v>
      </c>
      <c r="BO320" t="b">
        <f>AND(IF(Metadata!AB320="",FALSE,TRUE),EXACT(Metadata!AB320,"256318"))</f>
        <v>0</v>
      </c>
      <c r="BP320" t="b">
        <f>IF(Metadata!AC320="",FALSE,TRUE)</f>
        <v>0</v>
      </c>
      <c r="BQ320" t="b">
        <f>IF(Metadata!AD320="",FALSE,TRUE)</f>
        <v>0</v>
      </c>
    </row>
    <row r="321" spans="1:69" x14ac:dyDescent="0.2">
      <c r="A321" s="4" t="e">
        <f ca="1">IF(B321=" "," ",HYPERLINK(CONCATENATE("#metadata!",ADDRESS(INDEX($AJ$2:$AJ$1001,MATCH(ROWS($AH$2:AH321),$AH$2:$AH$1001,0),0),2)),INDEX($AM$2:$AM$1001,MATCH(ROWS($AH$2:AH321),$AH$2:$AH$1001,0),0)))</f>
        <v>#N/A</v>
      </c>
      <c r="B321" s="5" t="e">
        <f ca="1">IF(OR(INDEX($AI$2:$AI$1001,MATCH(ROWS($AH$2:AH321),$AH$2:$AH$1001,0),1)&gt;=100000,INDEX($AO$1005:$BQ$1005,1,MATCH(COLUMNS($AO$1006:AO1006),$AO$1006:$BQ$1006,0))&gt;=100000), " ",IF(INDEX($AO$2:$BQ$1001,MATCH(ROWS($AH$2:AH321),$AH$2:$AH$1001,0),MATCH(COLUMNS($AO$1006:AO1006),$AO$1006:$BQ$1006,0)), HYPERLINK("#",""), HYPERLINK(CONCATENATE("#Metadata!", ADDRESS(INDEX($AJ$2:$AJ$1001,MATCH(ROWS($AH$2:AH321),$AH$2:$AH$1001,0),0), INDEX($AO$1004:$BQ$1004,1,MATCH(COLUMNS($AO$1006:AO1006),$AO$1006:$BQ$1006,0)))),"Fix")))</f>
        <v>#N/A</v>
      </c>
      <c r="C321" s="5" t="e">
        <f ca="1">IF(OR(INDEX($AI$2:$AI$1001,MATCH(ROWS($AH$2:AH321),$AH$2:$AH$1001,0),1)&gt;=100000,INDEX($AO$1005:$BQ$1005,1,MATCH(COLUMNS($AO$1006:AP1006),$AO$1006:$BQ$1006,0))&gt;=100000), " ",IF(INDEX($AO$2:$BQ$1001,MATCH(ROWS($AH$2:AH321),$AH$2:$AH$1001,0),MATCH(COLUMNS($AO$1006:AP1006),$AO$1006:$BQ$1006,0)), HYPERLINK("#",""), HYPERLINK(CONCATENATE("#Metadata!", ADDRESS(INDEX($AJ$2:$AJ$1001,MATCH(ROWS($AH$2:AH321),$AH$2:$AH$1001,0),0), INDEX($AO$1004:$BQ$1004,1,MATCH(COLUMNS($AO$1006:AP1006),$AO$1006:$BQ$1006,0)))),"Fix")))</f>
        <v>#N/A</v>
      </c>
      <c r="D321" s="5" t="e">
        <f ca="1">IF(OR(INDEX($AI$2:$AI$1001,MATCH(ROWS($AH$2:AH321),$AH$2:$AH$1001,0),1)&gt;=100000,INDEX($AO$1005:$BQ$1005,1,MATCH(COLUMNS($AO$1006:AQ1006),$AO$1006:$BQ$1006,0))&gt;=100000), " ",IF(INDEX($AO$2:$BQ$1001,MATCH(ROWS($AH$2:AH321),$AH$2:$AH$1001,0),MATCH(COLUMNS($AO$1006:AQ1006),$AO$1006:$BQ$1006,0)), HYPERLINK("#",""), HYPERLINK(CONCATENATE("#Metadata!", ADDRESS(INDEX($AJ$2:$AJ$1001,MATCH(ROWS($AH$2:AH321),$AH$2:$AH$1001,0),0), INDEX($AO$1004:$BQ$1004,1,MATCH(COLUMNS($AO$1006:AQ1006),$AO$1006:$BQ$1006,0)))),"Fix")))</f>
        <v>#N/A</v>
      </c>
      <c r="E321" s="5" t="e">
        <f ca="1">IF(OR(INDEX($AI$2:$AI$1001,MATCH(ROWS($AH$2:AH321),$AH$2:$AH$1001,0),1)&gt;=100000,INDEX($AO$1005:$BQ$1005,1,MATCH(COLUMNS($AO$1006:AR1006),$AO$1006:$BQ$1006,0))&gt;=100000), " ",IF(INDEX($AO$2:$BQ$1001,MATCH(ROWS($AH$2:AH321),$AH$2:$AH$1001,0),MATCH(COLUMNS($AO$1006:AR1006),$AO$1006:$BQ$1006,0)), HYPERLINK("#",""), HYPERLINK(CONCATENATE("#Metadata!", ADDRESS(INDEX($AJ$2:$AJ$1001,MATCH(ROWS($AH$2:AH321),$AH$2:$AH$1001,0),0), INDEX($AO$1004:$BQ$1004,1,MATCH(COLUMNS($AO$1006:AR1006),$AO$1006:$BQ$1006,0)))),"Fix")))</f>
        <v>#N/A</v>
      </c>
      <c r="F321" s="5" t="e">
        <f ca="1">IF(OR(INDEX($AI$2:$AI$1001,MATCH(ROWS($AH$2:AH321),$AH$2:$AH$1001,0),1)&gt;=100000,INDEX($AO$1005:$BQ$1005,1,MATCH(COLUMNS($AO$1006:AS1006),$AO$1006:$BQ$1006,0))&gt;=100000), " ",IF(INDEX($AO$2:$BQ$1001,MATCH(ROWS($AH$2:AH321),$AH$2:$AH$1001,0),MATCH(COLUMNS($AO$1006:AS1006),$AO$1006:$BQ$1006,0)), HYPERLINK("#",""), HYPERLINK(CONCATENATE("#Metadata!", ADDRESS(INDEX($AJ$2:$AJ$1001,MATCH(ROWS($AH$2:AH321),$AH$2:$AH$1001,0),0), INDEX($AO$1004:$BQ$1004,1,MATCH(COLUMNS($AO$1006:AS1006),$AO$1006:$BQ$1006,0)))),"Fix")))</f>
        <v>#N/A</v>
      </c>
      <c r="G321" s="5" t="e">
        <f ca="1">IF(OR(INDEX($AI$2:$AI$1001,MATCH(ROWS($AH$2:AH321),$AH$2:$AH$1001,0),1)&gt;=100000,INDEX($AO$1005:$BQ$1005,1,MATCH(COLUMNS($AO$1006:AT1006),$AO$1006:$BQ$1006,0))&gt;=100000), " ",IF(INDEX($AO$2:$BQ$1001,MATCH(ROWS($AH$2:AH321),$AH$2:$AH$1001,0),MATCH(COLUMNS($AO$1006:AT1006),$AO$1006:$BQ$1006,0)), HYPERLINK("#",""), HYPERLINK(CONCATENATE("#Metadata!", ADDRESS(INDEX($AJ$2:$AJ$1001,MATCH(ROWS($AH$2:AH321),$AH$2:$AH$1001,0),0), INDEX($AO$1004:$BQ$1004,1,MATCH(COLUMNS($AO$1006:AT1006),$AO$1006:$BQ$1006,0)))),"Fix")))</f>
        <v>#N/A</v>
      </c>
      <c r="H321" s="5" t="e">
        <f ca="1">IF(OR(INDEX($AI$2:$AI$1001,MATCH(ROWS($AH$2:AH321),$AH$2:$AH$1001,0),1)&gt;=100000,INDEX($AO$1005:$BQ$1005,1,MATCH(COLUMNS($AO$1006:AU1006),$AO$1006:$BQ$1006,0))&gt;=100000), " ",IF(INDEX($AO$2:$BQ$1001,MATCH(ROWS($AH$2:AH321),$AH$2:$AH$1001,0),MATCH(COLUMNS($AO$1006:AU1006),$AO$1006:$BQ$1006,0)), HYPERLINK("#",""), HYPERLINK(CONCATENATE("#Metadata!", ADDRESS(INDEX($AJ$2:$AJ$1001,MATCH(ROWS($AH$2:AH321),$AH$2:$AH$1001,0),0), INDEX($AO$1004:$BQ$1004,1,MATCH(COLUMNS($AO$1006:AU1006),$AO$1006:$BQ$1006,0)))),"Fix")))</f>
        <v>#N/A</v>
      </c>
      <c r="I321" s="5" t="e">
        <f ca="1">IF(OR(INDEX($AI$2:$AI$1001,MATCH(ROWS($AH$2:AH321),$AH$2:$AH$1001,0),1)&gt;=100000,INDEX($AO$1005:$BQ$1005,1,MATCH(COLUMNS($AO$1006:AV1006),$AO$1006:$BQ$1006,0))&gt;=100000), " ",IF(INDEX($AO$2:$BQ$1001,MATCH(ROWS($AH$2:AH321),$AH$2:$AH$1001,0),MATCH(COLUMNS($AO$1006:AV1006),$AO$1006:$BQ$1006,0)), HYPERLINK("#",""), HYPERLINK(CONCATENATE("#Metadata!", ADDRESS(INDEX($AJ$2:$AJ$1001,MATCH(ROWS($AH$2:AH321),$AH$2:$AH$1001,0),0), INDEX($AO$1004:$BQ$1004,1,MATCH(COLUMNS($AO$1006:AV1006),$AO$1006:$BQ$1006,0)))),"Fix")))</f>
        <v>#N/A</v>
      </c>
      <c r="J321" s="5" t="e">
        <f ca="1">IF(OR(INDEX($AI$2:$AI$1001,MATCH(ROWS($AH$2:AH321),$AH$2:$AH$1001,0),1)&gt;=100000,INDEX($AO$1005:$BQ$1005,1,MATCH(COLUMNS($AO$1006:AW1006),$AO$1006:$BQ$1006,0))&gt;=100000), " ",IF(INDEX($AO$2:$BQ$1001,MATCH(ROWS($AH$2:AH321),$AH$2:$AH$1001,0),MATCH(COLUMNS($AO$1006:AW1006),$AO$1006:$BQ$1006,0)), HYPERLINK("#",""), HYPERLINK(CONCATENATE("#Metadata!", ADDRESS(INDEX($AJ$2:$AJ$1001,MATCH(ROWS($AH$2:AH321),$AH$2:$AH$1001,0),0), INDEX($AO$1004:$BQ$1004,1,MATCH(COLUMNS($AO$1006:AW1006),$AO$1006:$BQ$1006,0)))),"Fix")))</f>
        <v>#N/A</v>
      </c>
      <c r="K321" s="5" t="e">
        <f ca="1">IF(OR(INDEX($AI$2:$AI$1001,MATCH(ROWS($AH$2:AH321),$AH$2:$AH$1001,0),1)&gt;=100000,INDEX($AO$1005:$BQ$1005,1,MATCH(COLUMNS($AO$1006:AX1006),$AO$1006:$BQ$1006,0))&gt;=100000), " ",IF(INDEX($AO$2:$BQ$1001,MATCH(ROWS($AH$2:AH321),$AH$2:$AH$1001,0),MATCH(COLUMNS($AO$1006:AX1006),$AO$1006:$BQ$1006,0)), HYPERLINK("#",""), HYPERLINK(CONCATENATE("#Metadata!", ADDRESS(INDEX($AJ$2:$AJ$1001,MATCH(ROWS($AH$2:AH321),$AH$2:$AH$1001,0),0), INDEX($AO$1004:$BQ$1004,1,MATCH(COLUMNS($AO$1006:AX1006),$AO$1006:$BQ$1006,0)))),"Fix")))</f>
        <v>#N/A</v>
      </c>
      <c r="L321" s="5" t="e">
        <f ca="1">IF(OR(INDEX($AI$2:$AI$1001,MATCH(ROWS($AH$2:AH321),$AH$2:$AH$1001,0),1)&gt;=100000,INDEX($AO$1005:$BQ$1005,1,MATCH(COLUMNS($AO$1006:AY1006),$AO$1006:$BQ$1006,0))&gt;=100000), " ",IF(INDEX($AO$2:$BQ$1001,MATCH(ROWS($AH$2:AH321),$AH$2:$AH$1001,0),MATCH(COLUMNS($AO$1006:AY1006),$AO$1006:$BQ$1006,0)), HYPERLINK("#",""), HYPERLINK(CONCATENATE("#Metadata!", ADDRESS(INDEX($AJ$2:$AJ$1001,MATCH(ROWS($AH$2:AH321),$AH$2:$AH$1001,0),0), INDEX($AO$1004:$BQ$1004,1,MATCH(COLUMNS($AO$1006:AY1006),$AO$1006:$BQ$1006,0)))),"Fix")))</f>
        <v>#N/A</v>
      </c>
      <c r="M321" s="5" t="e">
        <f ca="1">IF(OR(INDEX($AI$2:$AI$1001,MATCH(ROWS($AH$2:AH321),$AH$2:$AH$1001,0),1)&gt;=100000,INDEX($AO$1005:$BQ$1005,1,MATCH(COLUMNS($AO$1006:AZ1006),$AO$1006:$BQ$1006,0))&gt;=100000), " ",IF(INDEX($AO$2:$BQ$1001,MATCH(ROWS($AH$2:AH321),$AH$2:$AH$1001,0),MATCH(COLUMNS($AO$1006:AZ1006),$AO$1006:$BQ$1006,0)), HYPERLINK("#",""), HYPERLINK(CONCATENATE("#Metadata!", ADDRESS(INDEX($AJ$2:$AJ$1001,MATCH(ROWS($AH$2:AH321),$AH$2:$AH$1001,0),0), INDEX($AO$1004:$BQ$1004,1,MATCH(COLUMNS($AO$1006:AZ1006),$AO$1006:$BQ$1006,0)))),"Fix")))</f>
        <v>#N/A</v>
      </c>
      <c r="N321" s="5" t="e">
        <f ca="1">IF(OR(INDEX($AI$2:$AI$1001,MATCH(ROWS($AH$2:AH321),$AH$2:$AH$1001,0),1)&gt;=100000,INDEX($AO$1005:$BQ$1005,1,MATCH(COLUMNS($AO$1006:BA1006),$AO$1006:$BQ$1006,0))&gt;=100000), " ",IF(INDEX($AO$2:$BQ$1001,MATCH(ROWS($AH$2:AH321),$AH$2:$AH$1001,0),MATCH(COLUMNS($AO$1006:BA1006),$AO$1006:$BQ$1006,0)), HYPERLINK("#",""), HYPERLINK(CONCATENATE("#Metadata!", ADDRESS(INDEX($AJ$2:$AJ$1001,MATCH(ROWS($AH$2:AH321),$AH$2:$AH$1001,0),0), INDEX($AO$1004:$BQ$1004,1,MATCH(COLUMNS($AO$1006:BA1006),$AO$1006:$BQ$1006,0)))),"Fix")))</f>
        <v>#N/A</v>
      </c>
      <c r="O321" s="5" t="e">
        <f ca="1">IF(OR(INDEX($AI$2:$AI$1001,MATCH(ROWS($AH$2:AH321),$AH$2:$AH$1001,0),1)&gt;=100000,INDEX($AO$1005:$BQ$1005,1,MATCH(COLUMNS($AO$1006:BB1006),$AO$1006:$BQ$1006,0))&gt;=100000), " ",IF(INDEX($AO$2:$BQ$1001,MATCH(ROWS($AH$2:AH321),$AH$2:$AH$1001,0),MATCH(COLUMNS($AO$1006:BB1006),$AO$1006:$BQ$1006,0)), HYPERLINK("#",""), HYPERLINK(CONCATENATE("#Metadata!", ADDRESS(INDEX($AJ$2:$AJ$1001,MATCH(ROWS($AH$2:AH321),$AH$2:$AH$1001,0),0), INDEX($AO$1004:$BQ$1004,1,MATCH(COLUMNS($AO$1006:BB1006),$AO$1006:$BQ$1006,0)))),"Fix")))</f>
        <v>#N/A</v>
      </c>
      <c r="P321" s="5" t="e">
        <f ca="1">IF(OR(INDEX($AI$2:$AI$1001,MATCH(ROWS($AH$2:AH321),$AH$2:$AH$1001,0),1)&gt;=100000,INDEX($AO$1005:$BQ$1005,1,MATCH(COLUMNS($AO$1006:BC1006),$AO$1006:$BQ$1006,0))&gt;=100000), " ",IF(INDEX($AO$2:$BQ$1001,MATCH(ROWS($AH$2:AH321),$AH$2:$AH$1001,0),MATCH(COLUMNS($AO$1006:BC1006),$AO$1006:$BQ$1006,0)), HYPERLINK("#",""), HYPERLINK(CONCATENATE("#Metadata!", ADDRESS(INDEX($AJ$2:$AJ$1001,MATCH(ROWS($AH$2:AH321),$AH$2:$AH$1001,0),0), INDEX($AO$1004:$BQ$1004,1,MATCH(COLUMNS($AO$1006:BC1006),$AO$1006:$BQ$1006,0)))),"Fix")))</f>
        <v>#N/A</v>
      </c>
      <c r="Q321" s="5" t="e">
        <f ca="1">IF(OR(INDEX($AI$2:$AI$1001,MATCH(ROWS($AH$2:AH321),$AH$2:$AH$1001,0),1)&gt;=100000,INDEX($AO$1005:$BQ$1005,1,MATCH(COLUMNS($AO$1006:BD1006),$AO$1006:$BQ$1006,0))&gt;=100000), " ",IF(INDEX($AO$2:$BQ$1001,MATCH(ROWS($AH$2:AH321),$AH$2:$AH$1001,0),MATCH(COLUMNS($AO$1006:BD1006),$AO$1006:$BQ$1006,0)), HYPERLINK("#",""), HYPERLINK(CONCATENATE("#Metadata!", ADDRESS(INDEX($AJ$2:$AJ$1001,MATCH(ROWS($AH$2:AH321),$AH$2:$AH$1001,0),0), INDEX($AO$1004:$BQ$1004,1,MATCH(COLUMNS($AO$1006:BD1006),$AO$1006:$BQ$1006,0)))),"Fix")))</f>
        <v>#N/A</v>
      </c>
      <c r="R321" s="5" t="e">
        <f ca="1">IF(OR(INDEX($AI$2:$AI$1001,MATCH(ROWS($AH$2:AH321),$AH$2:$AH$1001,0),1)&gt;=100000,INDEX($AO$1005:$BQ$1005,1,MATCH(COLUMNS($AO$1006:BE1006),$AO$1006:$BQ$1006,0))&gt;=100000), " ",IF(INDEX($AO$2:$BQ$1001,MATCH(ROWS($AH$2:AH321),$AH$2:$AH$1001,0),MATCH(COLUMNS($AO$1006:BE1006),$AO$1006:$BQ$1006,0)), HYPERLINK("#",""), HYPERLINK(CONCATENATE("#Metadata!", ADDRESS(INDEX($AJ$2:$AJ$1001,MATCH(ROWS($AH$2:AH321),$AH$2:$AH$1001,0),0), INDEX($AO$1004:$BQ$1004,1,MATCH(COLUMNS($AO$1006:BE1006),$AO$1006:$BQ$1006,0)))),"Fix")))</f>
        <v>#N/A</v>
      </c>
      <c r="S321" s="5" t="e">
        <f ca="1">IF(OR(INDEX($AI$2:$AI$1001,MATCH(ROWS($AH$2:AH321),$AH$2:$AH$1001,0),1)&gt;=100000,INDEX($AO$1005:$BQ$1005,1,MATCH(COLUMNS($AO$1006:BF1006),$AO$1006:$BQ$1006,0))&gt;=100000), " ",IF(INDEX($AO$2:$BQ$1001,MATCH(ROWS($AH$2:AH321),$AH$2:$AH$1001,0),MATCH(COLUMNS($AO$1006:BF1006),$AO$1006:$BQ$1006,0)), HYPERLINK("#",""), HYPERLINK(CONCATENATE("#Metadata!", ADDRESS(INDEX($AJ$2:$AJ$1001,MATCH(ROWS($AH$2:AH321),$AH$2:$AH$1001,0),0), INDEX($AO$1004:$BQ$1004,1,MATCH(COLUMNS($AO$1006:BF1006),$AO$1006:$BQ$1006,0)))),"Fix")))</f>
        <v>#N/A</v>
      </c>
      <c r="T321" s="5" t="e">
        <f ca="1">IF(OR(INDEX($AI$2:$AI$1001,MATCH(ROWS($AH$2:AH321),$AH$2:$AH$1001,0),1)&gt;=100000,INDEX($AO$1005:$BQ$1005,1,MATCH(COLUMNS($AO$1006:BG1006),$AO$1006:$BQ$1006,0))&gt;=100000), " ",IF(INDEX($AO$2:$BQ$1001,MATCH(ROWS($AH$2:AH321),$AH$2:$AH$1001,0),MATCH(COLUMNS($AO$1006:BG1006),$AO$1006:$BQ$1006,0)), HYPERLINK("#",""), HYPERLINK(CONCATENATE("#Metadata!", ADDRESS(INDEX($AJ$2:$AJ$1001,MATCH(ROWS($AH$2:AH321),$AH$2:$AH$1001,0),0), INDEX($AO$1004:$BQ$1004,1,MATCH(COLUMNS($AO$1006:BG1006),$AO$1006:$BQ$1006,0)))),"Fix")))</f>
        <v>#N/A</v>
      </c>
      <c r="U321" s="5" t="e">
        <f ca="1">IF(OR(INDEX($AI$2:$AI$1001,MATCH(ROWS($AH$2:AH321),$AH$2:$AH$1001,0),1)&gt;=100000,INDEX($AO$1005:$BQ$1005,1,MATCH(COLUMNS($AO$1006:BH1006),$AO$1006:$BQ$1006,0))&gt;=100000), " ",IF(INDEX($AO$2:$BQ$1001,MATCH(ROWS($AH$2:AH321),$AH$2:$AH$1001,0),MATCH(COLUMNS($AO$1006:BH1006),$AO$1006:$BQ$1006,0)), HYPERLINK("#",""), HYPERLINK(CONCATENATE("#Metadata!", ADDRESS(INDEX($AJ$2:$AJ$1001,MATCH(ROWS($AH$2:AH321),$AH$2:$AH$1001,0),0), INDEX($AO$1004:$BQ$1004,1,MATCH(COLUMNS($AO$1006:BH1006),$AO$1006:$BQ$1006,0)))),"Fix")))</f>
        <v>#N/A</v>
      </c>
      <c r="V321" s="5" t="e">
        <f ca="1">IF(OR(INDEX($AI$2:$AI$1001,MATCH(ROWS($AH$2:AH321),$AH$2:$AH$1001,0),1)&gt;=100000,INDEX($AO$1005:$BQ$1005,1,MATCH(COLUMNS($AO$1006:BI1006),$AO$1006:$BQ$1006,0))&gt;=100000), " ",IF(INDEX($AO$2:$BQ$1001,MATCH(ROWS($AH$2:AH321),$AH$2:$AH$1001,0),MATCH(COLUMNS($AO$1006:BI1006),$AO$1006:$BQ$1006,0)), HYPERLINK("#",""), HYPERLINK(CONCATENATE("#Metadata!", ADDRESS(INDEX($AJ$2:$AJ$1001,MATCH(ROWS($AH$2:AH321),$AH$2:$AH$1001,0),0), INDEX($AO$1004:$BQ$1004,1,MATCH(COLUMNS($AO$1006:BI1006),$AO$1006:$BQ$1006,0)))),"Fix")))</f>
        <v>#N/A</v>
      </c>
      <c r="W321" s="5" t="e">
        <f ca="1">IF(OR(INDEX($AI$2:$AI$1001,MATCH(ROWS($AH$2:AH321),$AH$2:$AH$1001,0),1)&gt;=100000,INDEX($AO$1005:$BQ$1005,1,MATCH(COLUMNS($AO$1006:BJ1006),$AO$1006:$BQ$1006,0))&gt;=100000), " ",IF(INDEX($AO$2:$BQ$1001,MATCH(ROWS($AH$2:AH321),$AH$2:$AH$1001,0),MATCH(COLUMNS($AO$1006:BJ1006),$AO$1006:$BQ$1006,0)), HYPERLINK("#",""), HYPERLINK(CONCATENATE("#Metadata!", ADDRESS(INDEX($AJ$2:$AJ$1001,MATCH(ROWS($AH$2:AH321),$AH$2:$AH$1001,0),0), INDEX($AO$1004:$BQ$1004,1,MATCH(COLUMNS($AO$1006:BJ1006),$AO$1006:$BQ$1006,0)))),"Fix")))</f>
        <v>#N/A</v>
      </c>
      <c r="X321" s="5" t="e">
        <f ca="1">IF(OR(INDEX($AI$2:$AI$1001,MATCH(ROWS($AH$2:AH321),$AH$2:$AH$1001,0),1)&gt;=100000,INDEX($AO$1005:$BQ$1005,1,MATCH(COLUMNS($AO$1006:BK1006),$AO$1006:$BQ$1006,0))&gt;=100000), " ",IF(INDEX($AO$2:$BQ$1001,MATCH(ROWS($AH$2:AH321),$AH$2:$AH$1001,0),MATCH(COLUMNS($AO$1006:BK1006),$AO$1006:$BQ$1006,0)), HYPERLINK("#",""), HYPERLINK(CONCATENATE("#Metadata!", ADDRESS(INDEX($AJ$2:$AJ$1001,MATCH(ROWS($AH$2:AH321),$AH$2:$AH$1001,0),0), INDEX($AO$1004:$BQ$1004,1,MATCH(COLUMNS($AO$1006:BK1006),$AO$1006:$BQ$1006,0)))),"Fix")))</f>
        <v>#N/A</v>
      </c>
      <c r="Y321" s="5" t="e">
        <f ca="1">IF(OR(INDEX($AI$2:$AI$1001,MATCH(ROWS($AH$2:AH321),$AH$2:$AH$1001,0),1)&gt;=100000,INDEX($AO$1005:$BQ$1005,1,MATCH(COLUMNS($AO$1006:BL1006),$AO$1006:$BQ$1006,0))&gt;=100000), " ",IF(INDEX($AO$2:$BQ$1001,MATCH(ROWS($AH$2:AH321),$AH$2:$AH$1001,0),MATCH(COLUMNS($AO$1006:BL1006),$AO$1006:$BQ$1006,0)), HYPERLINK("#",""), HYPERLINK(CONCATENATE("#Metadata!", ADDRESS(INDEX($AJ$2:$AJ$1001,MATCH(ROWS($AH$2:AH321),$AH$2:$AH$1001,0),0), INDEX($AO$1004:$BQ$1004,1,MATCH(COLUMNS($AO$1006:BL1006),$AO$1006:$BQ$1006,0)))),"Fix")))</f>
        <v>#N/A</v>
      </c>
      <c r="Z321" s="5" t="e">
        <f ca="1">IF(OR(INDEX($AI$2:$AI$1001,MATCH(ROWS($AH$2:AH321),$AH$2:$AH$1001,0),1)&gt;=100000,INDEX($AO$1005:$BQ$1005,1,MATCH(COLUMNS($AO$1006:BM1006),$AO$1006:$BQ$1006,0))&gt;=100000), " ",IF(INDEX($AO$2:$BQ$1001,MATCH(ROWS($AH$2:AH321),$AH$2:$AH$1001,0),MATCH(COLUMNS($AO$1006:BM1006),$AO$1006:$BQ$1006,0)), HYPERLINK("#",""), HYPERLINK(CONCATENATE("#Metadata!", ADDRESS(INDEX($AJ$2:$AJ$1001,MATCH(ROWS($AH$2:AH321),$AH$2:$AH$1001,0),0), INDEX($AO$1004:$BQ$1004,1,MATCH(COLUMNS($AO$1006:BM1006),$AO$1006:$BQ$1006,0)))),"Fix")))</f>
        <v>#N/A</v>
      </c>
      <c r="AA321" s="5" t="e">
        <f ca="1">IF(OR(INDEX($AI$2:$AI$1001,MATCH(ROWS($AH$2:AH321),$AH$2:$AH$1001,0),1)&gt;=100000,INDEX($AO$1005:$BQ$1005,1,MATCH(COLUMNS($AO$1006:BN1006),$AO$1006:$BQ$1006,0))&gt;=100000), " ",IF(INDEX($AO$2:$BQ$1001,MATCH(ROWS($AH$2:AH321),$AH$2:$AH$1001,0),MATCH(COLUMNS($AO$1006:BN1006),$AO$1006:$BQ$1006,0)), HYPERLINK("#",""), HYPERLINK(CONCATENATE("#Metadata!", ADDRESS(INDEX($AJ$2:$AJ$1001,MATCH(ROWS($AH$2:AH321),$AH$2:$AH$1001,0),0), INDEX($AO$1004:$BQ$1004,1,MATCH(COLUMNS($AO$1006:BN1006),$AO$1006:$BQ$1006,0)))),"Fix")))</f>
        <v>#N/A</v>
      </c>
      <c r="AB321" s="5" t="e">
        <f ca="1">IF(OR(INDEX($AI$2:$AI$1001,MATCH(ROWS($AH$2:AH321),$AH$2:$AH$1001,0),1)&gt;=100000,INDEX($AO$1005:$BQ$1005,1,MATCH(COLUMNS($AO$1006:BO1006),$AO$1006:$BQ$1006,0))&gt;=100000), " ",IF(INDEX($AO$2:$BQ$1001,MATCH(ROWS($AH$2:AH321),$AH$2:$AH$1001,0),MATCH(COLUMNS($AO$1006:BO1006),$AO$1006:$BQ$1006,0)), HYPERLINK("#",""), HYPERLINK(CONCATENATE("#Metadata!", ADDRESS(INDEX($AJ$2:$AJ$1001,MATCH(ROWS($AH$2:AH321),$AH$2:$AH$1001,0),0), INDEX($AO$1004:$BQ$1004,1,MATCH(COLUMNS($AO$1006:BO1006),$AO$1006:$BQ$1006,0)))),"Fix")))</f>
        <v>#N/A</v>
      </c>
      <c r="AC321" s="5" t="e">
        <f ca="1">IF(OR(INDEX($AI$2:$AI$1001,MATCH(ROWS($AH$2:AH321),$AH$2:$AH$1001,0),1)&gt;=100000,INDEX($AO$1005:$BQ$1005,1,MATCH(COLUMNS($AO$1006:BP1006),$AO$1006:$BQ$1006,0))&gt;=100000), " ",IF(INDEX($AO$2:$BQ$1001,MATCH(ROWS($AH$2:AH321),$AH$2:$AH$1001,0),MATCH(COLUMNS($AO$1006:BP1006),$AO$1006:$BQ$1006,0)), HYPERLINK("#",""), HYPERLINK(CONCATENATE("#Metadata!", ADDRESS(INDEX($AJ$2:$AJ$1001,MATCH(ROWS($AH$2:AH321),$AH$2:$AH$1001,0),0), INDEX($AO$1004:$BQ$1004,1,MATCH(COLUMNS($AO$1006:BP1006),$AO$1006:$BQ$1006,0)))),"Fix")))</f>
        <v>#N/A</v>
      </c>
      <c r="AD321" s="5" t="e">
        <f ca="1">IF(OR(INDEX($AI$2:$AI$1001,MATCH(ROWS($AH$2:AH321),$AH$2:$AH$1001,0),1)&gt;=100000,INDEX($AO$1005:$BQ$1005,1,MATCH(COLUMNS($AO$1006:BQ1006),$AO$1006:$BQ$1006,0))&gt;=100000), " ",IF(INDEX($AO$2:$BQ$1001,MATCH(ROWS($AH$2:AH321),$AH$2:$AH$1001,0),MATCH(COLUMNS($AO$1006:BQ1006),$AO$1006:$BQ$1006,0)), HYPERLINK("#",""), HYPERLINK(CONCATENATE("#Metadata!", ADDRESS(INDEX($AJ$2:$AJ$1001,MATCH(ROWS($AH$2:AH321),$AH$2:$AH$1001,0),0), INDEX($AO$1004:$BQ$1004,1,MATCH(COLUMNS($AO$1006:BQ1006),$AO$1006:$BQ$1006,0)))),"Fix")))</f>
        <v>#REF!</v>
      </c>
      <c r="AH321">
        <f ca="1"/>
        <v>318</v>
      </c>
      <c r="AI321">
        <v>100321</v>
      </c>
      <c r="AJ321">
        <v>321</v>
      </c>
      <c r="AK321" t="b">
        <f t="shared" si="4"/>
        <v>1</v>
      </c>
      <c r="AL321" t="b">
        <f>COUNTBLANK(Metadata!B321:AD321)=COLUMNS(Metadata!B321:AD321)</f>
        <v>1</v>
      </c>
      <c r="AM321" t="str">
        <v/>
      </c>
      <c r="AO321" t="b">
        <f ca="1">AND(IF(Metadata!B321="",FALSE,TRUE),COUNTIF(Metadata!B:B, Metadata!B321) = 1,NOT(ISERROR(SUMPRODUCT(SEARCH(MID(Metadata!B321,ROW(INDIRECT("1:"&amp;LEN(Metadata!B321))), 1),"0123456789abcdefghijklmnopqrstuvwxyzABCDEFGHIJKLMNOPQRSTUVWXYZ.")))))</f>
        <v>0</v>
      </c>
      <c r="AP321" t="b">
        <f>IF(Metadata!C321="",FALSE,TRUE)</f>
        <v>0</v>
      </c>
      <c r="AQ321" t="b">
        <f>IF(Metadata!D321="",FALSE,TRUE)</f>
        <v>0</v>
      </c>
      <c r="AR321" t="b">
        <f ca="1">OR(AND(IF(Metadata!E321="",FALSE,TRUE),OR(EXACT(Metadata!E321,"not collected"),EXACT(Metadata!E321,"not provided"),EXACT(Metadata!E321,"restricted access"))),AND(IF(Metadata!E321="",FALSE,TRUE),AND(AND(IFERROR(INT(LEFT(Metadata!E321,4))&gt;1900,FALSE),IFERROR(INT(LEFT(Metadata!E321,4))&lt;=YEAR(NOW()),FALSE)), OR(MID(Metadata!E321,5,1)="", AND(AND(MID(Metadata!E321,5,1)="-",IFERROR(INT(MID(Metadata!E321,6,1))&gt;=0,FALSE),IFERROR(INT(MID(Metadata!E321,6,1))&lt;=1,FALSE),NOT(MID(Metadata!E321,7,1)=""),IFERROR(INT(MID(Metadata!E321,6,2))&gt;=1,FALSE),IFERROR(INT(MID(Metadata!E321,6,2))&lt;=12,FALSE)), OR(MID(Metadata!E321,8,1)="", AND(AND(MID(Metadata!E321,8,1)="-",IFERROR(INT(MID(Metadata!E321,9,1))&gt;=0,FALSE),IFERROR(INT(MID(Metadata!E321,9,1))&lt;=3,FALSE),NOT(MID(Metadata!E321,10,1)=""),IFERROR(INT(MID(Metadata!E321,9,2))&gt;=1,FALSE),IFERROR(INT(MID(Metadata!E321,9,2))&lt;=31,FALSE)), OR(MID(Metadata!E321,11,1)="", AND(AND(MID(Metadata!E321,11,1)=" ",IFERROR(INT(MID(Metadata!E321,12,1))&gt;=0,FALSE),IFERROR(INT(MID(Metadata!E321,12,1))&lt;=2,FALSE),NOT(MID(Metadata!E321,13,1)=""),IFERROR(INT(MID(Metadata!E321,12,2))&gt;=0,FALSE),IFERROR(INT(MID(Metadata!E321,12,2))&lt;=23,FALSE)), OR(MID(Metadata!E321,14,1)="", AND(AND(MID(Metadata!E321,14,1)=":",IFERROR(INT(MID(Metadata!E321,15,1))&gt;=0,FALSE),IFERROR(INT(MID(Metadata!E321,15,1))&lt;=5,FALSE),NOT(MID(Metadata!E321,16,1)=""),IFERROR(INT(MID(Metadata!E321,15,2))&gt;=0,FALSE),IFERROR(INT(MID(Metadata!E321,15,2))&lt;=59,FALSE)), OR(MID(Metadata!E321,17,1)="", AND(AND(MID(Metadata!E321,17,1)=":",IFERROR(INT(MID(Metadata!E321,18,1))&gt;=0,FALSE),IFERROR(INT(MID(Metadata!E321,18,1))&lt;=5,FALSE),NOT(MID(Metadata!E321,19,1)=""),IFERROR(INT(MID(Metadata!E321,18,2))&gt;=0,FALSE),IFERROR(INT(MID(Metadata!E321,18,2))&lt;=59,FALSE)), LEN(Metadata!E321)&lt;=19)))))))))))))</f>
        <v>0</v>
      </c>
      <c r="AS321" t="b">
        <f>IF(Metadata!F321="",FALSE,TRUE)</f>
        <v>0</v>
      </c>
      <c r="AT321" t="b">
        <f>OR(AND(IF(Metadata!G321="",FALSE,TRUE),OR(EXACT(Metadata!G321,"not collected"),EXACT(Metadata!G321,"not provided"))),AND(IF(Metadata!G321="",FALSE,TRUE),OR(EXACT(Metadata!G321,"TRUE"),EXACT(Metadata!G321,"FALSE"))))</f>
        <v>0</v>
      </c>
      <c r="AU321" t="b">
        <f>OR(AND(IF(Metadata!H321="",FALSE,TRUE),OR(EXACT(Metadata!H321,"not collected"),EXACT(Metadata!H321,"not provided"),EXACT(Metadata!H321,"restricted access"))),AND(IF(Metadata!H321="",FALSE,ISNUMBER(VALUE(Metadata!H321))),Metadata!H321&gt;=-413))</f>
        <v>0</v>
      </c>
      <c r="AV321" t="b">
        <f>AND(IF(Metadata!I321="",FALSE,TRUE),EXACT(Metadata!I321,"meters"))</f>
        <v>0</v>
      </c>
      <c r="AW321" t="b">
        <f>AND(IF(Metadata!J321="",FALSE,TRUE),EXACT(Metadata!J321,"free-living"))</f>
        <v>0</v>
      </c>
      <c r="AX321" t="b">
        <f>AND(IF(Metadata!K321="",FALSE,TRUE),OR(EXACT(Metadata!K321,"saline"),EXACT(Metadata!K321,"non-saline")))</f>
        <v>0</v>
      </c>
      <c r="AY321" t="b">
        <f>AND(IF(Metadata!L321="",FALSE,TRUE),OR(EXACT(Metadata!L321,"sub-surface (non-saline)"),EXACT(Metadata!L321,"surface (non-saline)"),EXACT(Metadata!L321,"water (non-saline)"),EXACT(Metadata!L321,"soil (non-saline)"),EXACT(Metadata!L321,"aerosol (non-saline)"),EXACT(Metadata!L321,"sediment (non-saline)"),EXACT(Metadata!L321,"surface (saline)"),EXACT(Metadata!L321,"water (saline)"),EXACT(Metadata!L321,"hypersaline (saline)"),EXACT(Metadata!L321,"aerosol (saline)"),EXACT(Metadata!L321,"sediment (saline)")))</f>
        <v>0</v>
      </c>
      <c r="AZ321" t="b">
        <f>IF(Metadata!M321="",FALSE,TRUE)</f>
        <v>0</v>
      </c>
      <c r="BA321" t="b">
        <f>IF(Metadata!N321="",FALSE,TRUE)</f>
        <v>0</v>
      </c>
      <c r="BB321" t="b">
        <f>IF(Metadata!O321="",FALSE,TRUE)</f>
        <v>0</v>
      </c>
      <c r="BC321" t="b">
        <f>AND(IF(Metadata!P321="",FALSE,TRUE),OR(EXACT(Metadata!P321,"air"),EXACT(Metadata!P321,"microbial mat/biofilm"),EXACT(Metadata!P321,"misc environment"),EXACT(Metadata!P321,"sediment"),EXACT(Metadata!P321,"soil"),EXACT(Metadata!P321,"wastewater/sludge"),EXACT(Metadata!P321,"water")))</f>
        <v>0</v>
      </c>
      <c r="BD321" t="b">
        <f>IF(Metadata!Q321="",FALSE,TRUE)</f>
        <v>0</v>
      </c>
      <c r="BE321" t="b">
        <f>IF(Metadata!R321="",FALSE,TRUE)</f>
        <v>0</v>
      </c>
      <c r="BF321" t="b">
        <f>OR(AND(IF(Metadata!S321="",FALSE,TRUE),OR(EXACT(Metadata!S321,"not collected"),EXACT(Metadata!S321,"not provided"),EXACT(Metadata!S321,"restricted access"))),AND(IF(Metadata!S321="",FALSE,ISNUMBER(VALUE(Metadata!S321))),Metadata!S321&gt;=-90,Metadata!S321&lt;=90))</f>
        <v>0</v>
      </c>
      <c r="BG321" t="b">
        <f>AND(IF(Metadata!T321="",FALSE,TRUE),EXACT(Metadata!T321,"Decimal degrees"))</f>
        <v>0</v>
      </c>
      <c r="BH321" t="b">
        <f>OR(AND(IF(Metadata!U321="",FALSE,TRUE),OR(EXACT(Metadata!U321,"not applicable"),EXACT(Metadata!U321,"not collected"))),IF(Metadata!U321="",FALSE,TRUE))</f>
        <v>0</v>
      </c>
      <c r="BI321" t="b">
        <f>OR(AND(IF(Metadata!V321="",FALSE,TRUE),OR(EXACT(Metadata!V321,"not collected"),EXACT(Metadata!V321,"not provided"),EXACT(Metadata!V321,"restricted access"))),AND(IF(Metadata!V321="",FALSE,ISNUMBER(VALUE(Metadata!V321))),Metadata!V321&gt;=-180,Metadata!V321&lt;=180))</f>
        <v>0</v>
      </c>
      <c r="BJ321" t="b">
        <f>AND(IF(Metadata!W321="",FALSE,TRUE),EXACT(Metadata!W321,"Decimal degrees"))</f>
        <v>0</v>
      </c>
      <c r="BK321" t="b">
        <f>IF(Metadata!X321="",FALSE,TRUE)</f>
        <v>0</v>
      </c>
      <c r="BL321" t="b">
        <f>OR(AND(IF(Metadata!Y321="",FALSE,TRUE),OR(EXACT(Metadata!Y321,"not collected"),EXACT(Metadata!Y321,"not provided"),EXACT(Metadata!Y321,"restricted access"))),AND(IF(Metadata!Y321="",FALSE,TRUE),OR(EXACT(Metadata!Y321,"TRUE"),EXACT(Metadata!Y321,"FALSE"))))</f>
        <v>0</v>
      </c>
      <c r="BM321" t="b">
        <f>OR(AND(IF(Metadata!Z321="",FALSE,TRUE),EXACT(Metadata!Z321,"not applicable")),AND(IF(Metadata!Z321="",FALSE,TRUE),OR(EXACT(Metadata!Z321,"beer"),EXACT(Metadata!Z321,"cheese"),EXACT(Metadata!Z321,"fresh water"),EXACT(Metadata!Z321,"marine sediment"),EXACT(Metadata!Z321,"sea water"),EXACT(Metadata!Z321,"sediment"),EXACT(Metadata!Z321,"soil"),EXACT(Metadata!Z321,"waste water"))))</f>
        <v>0</v>
      </c>
      <c r="BN321" t="b">
        <f>AND(IF(Metadata!AA321="",FALSE,TRUE),EXACT(Metadata!AA321,"metagenome"))</f>
        <v>0</v>
      </c>
      <c r="BO321" t="b">
        <f>AND(IF(Metadata!AB321="",FALSE,TRUE),EXACT(Metadata!AB321,"256318"))</f>
        <v>0</v>
      </c>
      <c r="BP321" t="b">
        <f>IF(Metadata!AC321="",FALSE,TRUE)</f>
        <v>0</v>
      </c>
      <c r="BQ321" t="b">
        <f>IF(Metadata!AD321="",FALSE,TRUE)</f>
        <v>0</v>
      </c>
    </row>
    <row r="322" spans="1:69" x14ac:dyDescent="0.2">
      <c r="A322" s="4" t="e">
        <f ca="1">IF(B322=" "," ",HYPERLINK(CONCATENATE("#metadata!",ADDRESS(INDEX($AJ$2:$AJ$1001,MATCH(ROWS($AH$2:AH322),$AH$2:$AH$1001,0),0),2)),INDEX($AM$2:$AM$1001,MATCH(ROWS($AH$2:AH322),$AH$2:$AH$1001,0),0)))</f>
        <v>#N/A</v>
      </c>
      <c r="B322" s="5" t="e">
        <f ca="1">IF(OR(INDEX($AI$2:$AI$1001,MATCH(ROWS($AH$2:AH322),$AH$2:$AH$1001,0),1)&gt;=100000,INDEX($AO$1005:$BQ$1005,1,MATCH(COLUMNS($AO$1006:AO1006),$AO$1006:$BQ$1006,0))&gt;=100000), " ",IF(INDEX($AO$2:$BQ$1001,MATCH(ROWS($AH$2:AH322),$AH$2:$AH$1001,0),MATCH(COLUMNS($AO$1006:AO1006),$AO$1006:$BQ$1006,0)), HYPERLINK("#",""), HYPERLINK(CONCATENATE("#Metadata!", ADDRESS(INDEX($AJ$2:$AJ$1001,MATCH(ROWS($AH$2:AH322),$AH$2:$AH$1001,0),0), INDEX($AO$1004:$BQ$1004,1,MATCH(COLUMNS($AO$1006:AO1006),$AO$1006:$BQ$1006,0)))),"Fix")))</f>
        <v>#N/A</v>
      </c>
      <c r="C322" s="5" t="e">
        <f ca="1">IF(OR(INDEX($AI$2:$AI$1001,MATCH(ROWS($AH$2:AH322),$AH$2:$AH$1001,0),1)&gt;=100000,INDEX($AO$1005:$BQ$1005,1,MATCH(COLUMNS($AO$1006:AP1006),$AO$1006:$BQ$1006,0))&gt;=100000), " ",IF(INDEX($AO$2:$BQ$1001,MATCH(ROWS($AH$2:AH322),$AH$2:$AH$1001,0),MATCH(COLUMNS($AO$1006:AP1006),$AO$1006:$BQ$1006,0)), HYPERLINK("#",""), HYPERLINK(CONCATENATE("#Metadata!", ADDRESS(INDEX($AJ$2:$AJ$1001,MATCH(ROWS($AH$2:AH322),$AH$2:$AH$1001,0),0), INDEX($AO$1004:$BQ$1004,1,MATCH(COLUMNS($AO$1006:AP1006),$AO$1006:$BQ$1006,0)))),"Fix")))</f>
        <v>#N/A</v>
      </c>
      <c r="D322" s="5" t="e">
        <f ca="1">IF(OR(INDEX($AI$2:$AI$1001,MATCH(ROWS($AH$2:AH322),$AH$2:$AH$1001,0),1)&gt;=100000,INDEX($AO$1005:$BQ$1005,1,MATCH(COLUMNS($AO$1006:AQ1006),$AO$1006:$BQ$1006,0))&gt;=100000), " ",IF(INDEX($AO$2:$BQ$1001,MATCH(ROWS($AH$2:AH322),$AH$2:$AH$1001,0),MATCH(COLUMNS($AO$1006:AQ1006),$AO$1006:$BQ$1006,0)), HYPERLINK("#",""), HYPERLINK(CONCATENATE("#Metadata!", ADDRESS(INDEX($AJ$2:$AJ$1001,MATCH(ROWS($AH$2:AH322),$AH$2:$AH$1001,0),0), INDEX($AO$1004:$BQ$1004,1,MATCH(COLUMNS($AO$1006:AQ1006),$AO$1006:$BQ$1006,0)))),"Fix")))</f>
        <v>#N/A</v>
      </c>
      <c r="E322" s="5" t="e">
        <f ca="1">IF(OR(INDEX($AI$2:$AI$1001,MATCH(ROWS($AH$2:AH322),$AH$2:$AH$1001,0),1)&gt;=100000,INDEX($AO$1005:$BQ$1005,1,MATCH(COLUMNS($AO$1006:AR1006),$AO$1006:$BQ$1006,0))&gt;=100000), " ",IF(INDEX($AO$2:$BQ$1001,MATCH(ROWS($AH$2:AH322),$AH$2:$AH$1001,0),MATCH(COLUMNS($AO$1006:AR1006),$AO$1006:$BQ$1006,0)), HYPERLINK("#",""), HYPERLINK(CONCATENATE("#Metadata!", ADDRESS(INDEX($AJ$2:$AJ$1001,MATCH(ROWS($AH$2:AH322),$AH$2:$AH$1001,0),0), INDEX($AO$1004:$BQ$1004,1,MATCH(COLUMNS($AO$1006:AR1006),$AO$1006:$BQ$1006,0)))),"Fix")))</f>
        <v>#N/A</v>
      </c>
      <c r="F322" s="5" t="e">
        <f ca="1">IF(OR(INDEX($AI$2:$AI$1001,MATCH(ROWS($AH$2:AH322),$AH$2:$AH$1001,0),1)&gt;=100000,INDEX($AO$1005:$BQ$1005,1,MATCH(COLUMNS($AO$1006:AS1006),$AO$1006:$BQ$1006,0))&gt;=100000), " ",IF(INDEX($AO$2:$BQ$1001,MATCH(ROWS($AH$2:AH322),$AH$2:$AH$1001,0),MATCH(COLUMNS($AO$1006:AS1006),$AO$1006:$BQ$1006,0)), HYPERLINK("#",""), HYPERLINK(CONCATENATE("#Metadata!", ADDRESS(INDEX($AJ$2:$AJ$1001,MATCH(ROWS($AH$2:AH322),$AH$2:$AH$1001,0),0), INDEX($AO$1004:$BQ$1004,1,MATCH(COLUMNS($AO$1006:AS1006),$AO$1006:$BQ$1006,0)))),"Fix")))</f>
        <v>#N/A</v>
      </c>
      <c r="G322" s="5" t="e">
        <f ca="1">IF(OR(INDEX($AI$2:$AI$1001,MATCH(ROWS($AH$2:AH322),$AH$2:$AH$1001,0),1)&gt;=100000,INDEX($AO$1005:$BQ$1005,1,MATCH(COLUMNS($AO$1006:AT1006),$AO$1006:$BQ$1006,0))&gt;=100000), " ",IF(INDEX($AO$2:$BQ$1001,MATCH(ROWS($AH$2:AH322),$AH$2:$AH$1001,0),MATCH(COLUMNS($AO$1006:AT1006),$AO$1006:$BQ$1006,0)), HYPERLINK("#",""), HYPERLINK(CONCATENATE("#Metadata!", ADDRESS(INDEX($AJ$2:$AJ$1001,MATCH(ROWS($AH$2:AH322),$AH$2:$AH$1001,0),0), INDEX($AO$1004:$BQ$1004,1,MATCH(COLUMNS($AO$1006:AT1006),$AO$1006:$BQ$1006,0)))),"Fix")))</f>
        <v>#N/A</v>
      </c>
      <c r="H322" s="5" t="e">
        <f ca="1">IF(OR(INDEX($AI$2:$AI$1001,MATCH(ROWS($AH$2:AH322),$AH$2:$AH$1001,0),1)&gt;=100000,INDEX($AO$1005:$BQ$1005,1,MATCH(COLUMNS($AO$1006:AU1006),$AO$1006:$BQ$1006,0))&gt;=100000), " ",IF(INDEX($AO$2:$BQ$1001,MATCH(ROWS($AH$2:AH322),$AH$2:$AH$1001,0),MATCH(COLUMNS($AO$1006:AU1006),$AO$1006:$BQ$1006,0)), HYPERLINK("#",""), HYPERLINK(CONCATENATE("#Metadata!", ADDRESS(INDEX($AJ$2:$AJ$1001,MATCH(ROWS($AH$2:AH322),$AH$2:$AH$1001,0),0), INDEX($AO$1004:$BQ$1004,1,MATCH(COLUMNS($AO$1006:AU1006),$AO$1006:$BQ$1006,0)))),"Fix")))</f>
        <v>#N/A</v>
      </c>
      <c r="I322" s="5" t="e">
        <f ca="1">IF(OR(INDEX($AI$2:$AI$1001,MATCH(ROWS($AH$2:AH322),$AH$2:$AH$1001,0),1)&gt;=100000,INDEX($AO$1005:$BQ$1005,1,MATCH(COLUMNS($AO$1006:AV1006),$AO$1006:$BQ$1006,0))&gt;=100000), " ",IF(INDEX($AO$2:$BQ$1001,MATCH(ROWS($AH$2:AH322),$AH$2:$AH$1001,0),MATCH(COLUMNS($AO$1006:AV1006),$AO$1006:$BQ$1006,0)), HYPERLINK("#",""), HYPERLINK(CONCATENATE("#Metadata!", ADDRESS(INDEX($AJ$2:$AJ$1001,MATCH(ROWS($AH$2:AH322),$AH$2:$AH$1001,0),0), INDEX($AO$1004:$BQ$1004,1,MATCH(COLUMNS($AO$1006:AV1006),$AO$1006:$BQ$1006,0)))),"Fix")))</f>
        <v>#N/A</v>
      </c>
      <c r="J322" s="5" t="e">
        <f ca="1">IF(OR(INDEX($AI$2:$AI$1001,MATCH(ROWS($AH$2:AH322),$AH$2:$AH$1001,0),1)&gt;=100000,INDEX($AO$1005:$BQ$1005,1,MATCH(COLUMNS($AO$1006:AW1006),$AO$1006:$BQ$1006,0))&gt;=100000), " ",IF(INDEX($AO$2:$BQ$1001,MATCH(ROWS($AH$2:AH322),$AH$2:$AH$1001,0),MATCH(COLUMNS($AO$1006:AW1006),$AO$1006:$BQ$1006,0)), HYPERLINK("#",""), HYPERLINK(CONCATENATE("#Metadata!", ADDRESS(INDEX($AJ$2:$AJ$1001,MATCH(ROWS($AH$2:AH322),$AH$2:$AH$1001,0),0), INDEX($AO$1004:$BQ$1004,1,MATCH(COLUMNS($AO$1006:AW1006),$AO$1006:$BQ$1006,0)))),"Fix")))</f>
        <v>#N/A</v>
      </c>
      <c r="K322" s="5" t="e">
        <f ca="1">IF(OR(INDEX($AI$2:$AI$1001,MATCH(ROWS($AH$2:AH322),$AH$2:$AH$1001,0),1)&gt;=100000,INDEX($AO$1005:$BQ$1005,1,MATCH(COLUMNS($AO$1006:AX1006),$AO$1006:$BQ$1006,0))&gt;=100000), " ",IF(INDEX($AO$2:$BQ$1001,MATCH(ROWS($AH$2:AH322),$AH$2:$AH$1001,0),MATCH(COLUMNS($AO$1006:AX1006),$AO$1006:$BQ$1006,0)), HYPERLINK("#",""), HYPERLINK(CONCATENATE("#Metadata!", ADDRESS(INDEX($AJ$2:$AJ$1001,MATCH(ROWS($AH$2:AH322),$AH$2:$AH$1001,0),0), INDEX($AO$1004:$BQ$1004,1,MATCH(COLUMNS($AO$1006:AX1006),$AO$1006:$BQ$1006,0)))),"Fix")))</f>
        <v>#N/A</v>
      </c>
      <c r="L322" s="5" t="e">
        <f ca="1">IF(OR(INDEX($AI$2:$AI$1001,MATCH(ROWS($AH$2:AH322),$AH$2:$AH$1001,0),1)&gt;=100000,INDEX($AO$1005:$BQ$1005,1,MATCH(COLUMNS($AO$1006:AY1006),$AO$1006:$BQ$1006,0))&gt;=100000), " ",IF(INDEX($AO$2:$BQ$1001,MATCH(ROWS($AH$2:AH322),$AH$2:$AH$1001,0),MATCH(COLUMNS($AO$1006:AY1006),$AO$1006:$BQ$1006,0)), HYPERLINK("#",""), HYPERLINK(CONCATENATE("#Metadata!", ADDRESS(INDEX($AJ$2:$AJ$1001,MATCH(ROWS($AH$2:AH322),$AH$2:$AH$1001,0),0), INDEX($AO$1004:$BQ$1004,1,MATCH(COLUMNS($AO$1006:AY1006),$AO$1006:$BQ$1006,0)))),"Fix")))</f>
        <v>#N/A</v>
      </c>
      <c r="M322" s="5" t="e">
        <f ca="1">IF(OR(INDEX($AI$2:$AI$1001,MATCH(ROWS($AH$2:AH322),$AH$2:$AH$1001,0),1)&gt;=100000,INDEX($AO$1005:$BQ$1005,1,MATCH(COLUMNS($AO$1006:AZ1006),$AO$1006:$BQ$1006,0))&gt;=100000), " ",IF(INDEX($AO$2:$BQ$1001,MATCH(ROWS($AH$2:AH322),$AH$2:$AH$1001,0),MATCH(COLUMNS($AO$1006:AZ1006),$AO$1006:$BQ$1006,0)), HYPERLINK("#",""), HYPERLINK(CONCATENATE("#Metadata!", ADDRESS(INDEX($AJ$2:$AJ$1001,MATCH(ROWS($AH$2:AH322),$AH$2:$AH$1001,0),0), INDEX($AO$1004:$BQ$1004,1,MATCH(COLUMNS($AO$1006:AZ1006),$AO$1006:$BQ$1006,0)))),"Fix")))</f>
        <v>#N/A</v>
      </c>
      <c r="N322" s="5" t="e">
        <f ca="1">IF(OR(INDEX($AI$2:$AI$1001,MATCH(ROWS($AH$2:AH322),$AH$2:$AH$1001,0),1)&gt;=100000,INDEX($AO$1005:$BQ$1005,1,MATCH(COLUMNS($AO$1006:BA1006),$AO$1006:$BQ$1006,0))&gt;=100000), " ",IF(INDEX($AO$2:$BQ$1001,MATCH(ROWS($AH$2:AH322),$AH$2:$AH$1001,0),MATCH(COLUMNS($AO$1006:BA1006),$AO$1006:$BQ$1006,0)), HYPERLINK("#",""), HYPERLINK(CONCATENATE("#Metadata!", ADDRESS(INDEX($AJ$2:$AJ$1001,MATCH(ROWS($AH$2:AH322),$AH$2:$AH$1001,0),0), INDEX($AO$1004:$BQ$1004,1,MATCH(COLUMNS($AO$1006:BA1006),$AO$1006:$BQ$1006,0)))),"Fix")))</f>
        <v>#N/A</v>
      </c>
      <c r="O322" s="5" t="e">
        <f ca="1">IF(OR(INDEX($AI$2:$AI$1001,MATCH(ROWS($AH$2:AH322),$AH$2:$AH$1001,0),1)&gt;=100000,INDEX($AO$1005:$BQ$1005,1,MATCH(COLUMNS($AO$1006:BB1006),$AO$1006:$BQ$1006,0))&gt;=100000), " ",IF(INDEX($AO$2:$BQ$1001,MATCH(ROWS($AH$2:AH322),$AH$2:$AH$1001,0),MATCH(COLUMNS($AO$1006:BB1006),$AO$1006:$BQ$1006,0)), HYPERLINK("#",""), HYPERLINK(CONCATENATE("#Metadata!", ADDRESS(INDEX($AJ$2:$AJ$1001,MATCH(ROWS($AH$2:AH322),$AH$2:$AH$1001,0),0), INDEX($AO$1004:$BQ$1004,1,MATCH(COLUMNS($AO$1006:BB1006),$AO$1006:$BQ$1006,0)))),"Fix")))</f>
        <v>#N/A</v>
      </c>
      <c r="P322" s="5" t="e">
        <f ca="1">IF(OR(INDEX($AI$2:$AI$1001,MATCH(ROWS($AH$2:AH322),$AH$2:$AH$1001,0),1)&gt;=100000,INDEX($AO$1005:$BQ$1005,1,MATCH(COLUMNS($AO$1006:BC1006),$AO$1006:$BQ$1006,0))&gt;=100000), " ",IF(INDEX($AO$2:$BQ$1001,MATCH(ROWS($AH$2:AH322),$AH$2:$AH$1001,0),MATCH(COLUMNS($AO$1006:BC1006),$AO$1006:$BQ$1006,0)), HYPERLINK("#",""), HYPERLINK(CONCATENATE("#Metadata!", ADDRESS(INDEX($AJ$2:$AJ$1001,MATCH(ROWS($AH$2:AH322),$AH$2:$AH$1001,0),0), INDEX($AO$1004:$BQ$1004,1,MATCH(COLUMNS($AO$1006:BC1006),$AO$1006:$BQ$1006,0)))),"Fix")))</f>
        <v>#N/A</v>
      </c>
      <c r="Q322" s="5" t="e">
        <f ca="1">IF(OR(INDEX($AI$2:$AI$1001,MATCH(ROWS($AH$2:AH322),$AH$2:$AH$1001,0),1)&gt;=100000,INDEX($AO$1005:$BQ$1005,1,MATCH(COLUMNS($AO$1006:BD1006),$AO$1006:$BQ$1006,0))&gt;=100000), " ",IF(INDEX($AO$2:$BQ$1001,MATCH(ROWS($AH$2:AH322),$AH$2:$AH$1001,0),MATCH(COLUMNS($AO$1006:BD1006),$AO$1006:$BQ$1006,0)), HYPERLINK("#",""), HYPERLINK(CONCATENATE("#Metadata!", ADDRESS(INDEX($AJ$2:$AJ$1001,MATCH(ROWS($AH$2:AH322),$AH$2:$AH$1001,0),0), INDEX($AO$1004:$BQ$1004,1,MATCH(COLUMNS($AO$1006:BD1006),$AO$1006:$BQ$1006,0)))),"Fix")))</f>
        <v>#N/A</v>
      </c>
      <c r="R322" s="5" t="e">
        <f ca="1">IF(OR(INDEX($AI$2:$AI$1001,MATCH(ROWS($AH$2:AH322),$AH$2:$AH$1001,0),1)&gt;=100000,INDEX($AO$1005:$BQ$1005,1,MATCH(COLUMNS($AO$1006:BE1006),$AO$1006:$BQ$1006,0))&gt;=100000), " ",IF(INDEX($AO$2:$BQ$1001,MATCH(ROWS($AH$2:AH322),$AH$2:$AH$1001,0),MATCH(COLUMNS($AO$1006:BE1006),$AO$1006:$BQ$1006,0)), HYPERLINK("#",""), HYPERLINK(CONCATENATE("#Metadata!", ADDRESS(INDEX($AJ$2:$AJ$1001,MATCH(ROWS($AH$2:AH322),$AH$2:$AH$1001,0),0), INDEX($AO$1004:$BQ$1004,1,MATCH(COLUMNS($AO$1006:BE1006),$AO$1006:$BQ$1006,0)))),"Fix")))</f>
        <v>#N/A</v>
      </c>
      <c r="S322" s="5" t="e">
        <f ca="1">IF(OR(INDEX($AI$2:$AI$1001,MATCH(ROWS($AH$2:AH322),$AH$2:$AH$1001,0),1)&gt;=100000,INDEX($AO$1005:$BQ$1005,1,MATCH(COLUMNS($AO$1006:BF1006),$AO$1006:$BQ$1006,0))&gt;=100000), " ",IF(INDEX($AO$2:$BQ$1001,MATCH(ROWS($AH$2:AH322),$AH$2:$AH$1001,0),MATCH(COLUMNS($AO$1006:BF1006),$AO$1006:$BQ$1006,0)), HYPERLINK("#",""), HYPERLINK(CONCATENATE("#Metadata!", ADDRESS(INDEX($AJ$2:$AJ$1001,MATCH(ROWS($AH$2:AH322),$AH$2:$AH$1001,0),0), INDEX($AO$1004:$BQ$1004,1,MATCH(COLUMNS($AO$1006:BF1006),$AO$1006:$BQ$1006,0)))),"Fix")))</f>
        <v>#N/A</v>
      </c>
      <c r="T322" s="5" t="e">
        <f ca="1">IF(OR(INDEX($AI$2:$AI$1001,MATCH(ROWS($AH$2:AH322),$AH$2:$AH$1001,0),1)&gt;=100000,INDEX($AO$1005:$BQ$1005,1,MATCH(COLUMNS($AO$1006:BG1006),$AO$1006:$BQ$1006,0))&gt;=100000), " ",IF(INDEX($AO$2:$BQ$1001,MATCH(ROWS($AH$2:AH322),$AH$2:$AH$1001,0),MATCH(COLUMNS($AO$1006:BG1006),$AO$1006:$BQ$1006,0)), HYPERLINK("#",""), HYPERLINK(CONCATENATE("#Metadata!", ADDRESS(INDEX($AJ$2:$AJ$1001,MATCH(ROWS($AH$2:AH322),$AH$2:$AH$1001,0),0), INDEX($AO$1004:$BQ$1004,1,MATCH(COLUMNS($AO$1006:BG1006),$AO$1006:$BQ$1006,0)))),"Fix")))</f>
        <v>#N/A</v>
      </c>
      <c r="U322" s="5" t="e">
        <f ca="1">IF(OR(INDEX($AI$2:$AI$1001,MATCH(ROWS($AH$2:AH322),$AH$2:$AH$1001,0),1)&gt;=100000,INDEX($AO$1005:$BQ$1005,1,MATCH(COLUMNS($AO$1006:BH1006),$AO$1006:$BQ$1006,0))&gt;=100000), " ",IF(INDEX($AO$2:$BQ$1001,MATCH(ROWS($AH$2:AH322),$AH$2:$AH$1001,0),MATCH(COLUMNS($AO$1006:BH1006),$AO$1006:$BQ$1006,0)), HYPERLINK("#",""), HYPERLINK(CONCATENATE("#Metadata!", ADDRESS(INDEX($AJ$2:$AJ$1001,MATCH(ROWS($AH$2:AH322),$AH$2:$AH$1001,0),0), INDEX($AO$1004:$BQ$1004,1,MATCH(COLUMNS($AO$1006:BH1006),$AO$1006:$BQ$1006,0)))),"Fix")))</f>
        <v>#N/A</v>
      </c>
      <c r="V322" s="5" t="e">
        <f ca="1">IF(OR(INDEX($AI$2:$AI$1001,MATCH(ROWS($AH$2:AH322),$AH$2:$AH$1001,0),1)&gt;=100000,INDEX($AO$1005:$BQ$1005,1,MATCH(COLUMNS($AO$1006:BI1006),$AO$1006:$BQ$1006,0))&gt;=100000), " ",IF(INDEX($AO$2:$BQ$1001,MATCH(ROWS($AH$2:AH322),$AH$2:$AH$1001,0),MATCH(COLUMNS($AO$1006:BI1006),$AO$1006:$BQ$1006,0)), HYPERLINK("#",""), HYPERLINK(CONCATENATE("#Metadata!", ADDRESS(INDEX($AJ$2:$AJ$1001,MATCH(ROWS($AH$2:AH322),$AH$2:$AH$1001,0),0), INDEX($AO$1004:$BQ$1004,1,MATCH(COLUMNS($AO$1006:BI1006),$AO$1006:$BQ$1006,0)))),"Fix")))</f>
        <v>#N/A</v>
      </c>
      <c r="W322" s="5" t="e">
        <f ca="1">IF(OR(INDEX($AI$2:$AI$1001,MATCH(ROWS($AH$2:AH322),$AH$2:$AH$1001,0),1)&gt;=100000,INDEX($AO$1005:$BQ$1005,1,MATCH(COLUMNS($AO$1006:BJ1006),$AO$1006:$BQ$1006,0))&gt;=100000), " ",IF(INDEX($AO$2:$BQ$1001,MATCH(ROWS($AH$2:AH322),$AH$2:$AH$1001,0),MATCH(COLUMNS($AO$1006:BJ1006),$AO$1006:$BQ$1006,0)), HYPERLINK("#",""), HYPERLINK(CONCATENATE("#Metadata!", ADDRESS(INDEX($AJ$2:$AJ$1001,MATCH(ROWS($AH$2:AH322),$AH$2:$AH$1001,0),0), INDEX($AO$1004:$BQ$1004,1,MATCH(COLUMNS($AO$1006:BJ1006),$AO$1006:$BQ$1006,0)))),"Fix")))</f>
        <v>#N/A</v>
      </c>
      <c r="X322" s="5" t="e">
        <f ca="1">IF(OR(INDEX($AI$2:$AI$1001,MATCH(ROWS($AH$2:AH322),$AH$2:$AH$1001,0),1)&gt;=100000,INDEX($AO$1005:$BQ$1005,1,MATCH(COLUMNS($AO$1006:BK1006),$AO$1006:$BQ$1006,0))&gt;=100000), " ",IF(INDEX($AO$2:$BQ$1001,MATCH(ROWS($AH$2:AH322),$AH$2:$AH$1001,0),MATCH(COLUMNS($AO$1006:BK1006),$AO$1006:$BQ$1006,0)), HYPERLINK("#",""), HYPERLINK(CONCATENATE("#Metadata!", ADDRESS(INDEX($AJ$2:$AJ$1001,MATCH(ROWS($AH$2:AH322),$AH$2:$AH$1001,0),0), INDEX($AO$1004:$BQ$1004,1,MATCH(COLUMNS($AO$1006:BK1006),$AO$1006:$BQ$1006,0)))),"Fix")))</f>
        <v>#N/A</v>
      </c>
      <c r="Y322" s="5" t="e">
        <f ca="1">IF(OR(INDEX($AI$2:$AI$1001,MATCH(ROWS($AH$2:AH322),$AH$2:$AH$1001,0),1)&gt;=100000,INDEX($AO$1005:$BQ$1005,1,MATCH(COLUMNS($AO$1006:BL1006),$AO$1006:$BQ$1006,0))&gt;=100000), " ",IF(INDEX($AO$2:$BQ$1001,MATCH(ROWS($AH$2:AH322),$AH$2:$AH$1001,0),MATCH(COLUMNS($AO$1006:BL1006),$AO$1006:$BQ$1006,0)), HYPERLINK("#",""), HYPERLINK(CONCATENATE("#Metadata!", ADDRESS(INDEX($AJ$2:$AJ$1001,MATCH(ROWS($AH$2:AH322),$AH$2:$AH$1001,0),0), INDEX($AO$1004:$BQ$1004,1,MATCH(COLUMNS($AO$1006:BL1006),$AO$1006:$BQ$1006,0)))),"Fix")))</f>
        <v>#N/A</v>
      </c>
      <c r="Z322" s="5" t="e">
        <f ca="1">IF(OR(INDEX($AI$2:$AI$1001,MATCH(ROWS($AH$2:AH322),$AH$2:$AH$1001,0),1)&gt;=100000,INDEX($AO$1005:$BQ$1005,1,MATCH(COLUMNS($AO$1006:BM1006),$AO$1006:$BQ$1006,0))&gt;=100000), " ",IF(INDEX($AO$2:$BQ$1001,MATCH(ROWS($AH$2:AH322),$AH$2:$AH$1001,0),MATCH(COLUMNS($AO$1006:BM1006),$AO$1006:$BQ$1006,0)), HYPERLINK("#",""), HYPERLINK(CONCATENATE("#Metadata!", ADDRESS(INDEX($AJ$2:$AJ$1001,MATCH(ROWS($AH$2:AH322),$AH$2:$AH$1001,0),0), INDEX($AO$1004:$BQ$1004,1,MATCH(COLUMNS($AO$1006:BM1006),$AO$1006:$BQ$1006,0)))),"Fix")))</f>
        <v>#N/A</v>
      </c>
      <c r="AA322" s="5" t="e">
        <f ca="1">IF(OR(INDEX($AI$2:$AI$1001,MATCH(ROWS($AH$2:AH322),$AH$2:$AH$1001,0),1)&gt;=100000,INDEX($AO$1005:$BQ$1005,1,MATCH(COLUMNS($AO$1006:BN1006),$AO$1006:$BQ$1006,0))&gt;=100000), " ",IF(INDEX($AO$2:$BQ$1001,MATCH(ROWS($AH$2:AH322),$AH$2:$AH$1001,0),MATCH(COLUMNS($AO$1006:BN1006),$AO$1006:$BQ$1006,0)), HYPERLINK("#",""), HYPERLINK(CONCATENATE("#Metadata!", ADDRESS(INDEX($AJ$2:$AJ$1001,MATCH(ROWS($AH$2:AH322),$AH$2:$AH$1001,0),0), INDEX($AO$1004:$BQ$1004,1,MATCH(COLUMNS($AO$1006:BN1006),$AO$1006:$BQ$1006,0)))),"Fix")))</f>
        <v>#N/A</v>
      </c>
      <c r="AB322" s="5" t="e">
        <f ca="1">IF(OR(INDEX($AI$2:$AI$1001,MATCH(ROWS($AH$2:AH322),$AH$2:$AH$1001,0),1)&gt;=100000,INDEX($AO$1005:$BQ$1005,1,MATCH(COLUMNS($AO$1006:BO1006),$AO$1006:$BQ$1006,0))&gt;=100000), " ",IF(INDEX($AO$2:$BQ$1001,MATCH(ROWS($AH$2:AH322),$AH$2:$AH$1001,0),MATCH(COLUMNS($AO$1006:BO1006),$AO$1006:$BQ$1006,0)), HYPERLINK("#",""), HYPERLINK(CONCATENATE("#Metadata!", ADDRESS(INDEX($AJ$2:$AJ$1001,MATCH(ROWS($AH$2:AH322),$AH$2:$AH$1001,0),0), INDEX($AO$1004:$BQ$1004,1,MATCH(COLUMNS($AO$1006:BO1006),$AO$1006:$BQ$1006,0)))),"Fix")))</f>
        <v>#N/A</v>
      </c>
      <c r="AC322" s="5" t="e">
        <f ca="1">IF(OR(INDEX($AI$2:$AI$1001,MATCH(ROWS($AH$2:AH322),$AH$2:$AH$1001,0),1)&gt;=100000,INDEX($AO$1005:$BQ$1005,1,MATCH(COLUMNS($AO$1006:BP1006),$AO$1006:$BQ$1006,0))&gt;=100000), " ",IF(INDEX($AO$2:$BQ$1001,MATCH(ROWS($AH$2:AH322),$AH$2:$AH$1001,0),MATCH(COLUMNS($AO$1006:BP1006),$AO$1006:$BQ$1006,0)), HYPERLINK("#",""), HYPERLINK(CONCATENATE("#Metadata!", ADDRESS(INDEX($AJ$2:$AJ$1001,MATCH(ROWS($AH$2:AH322),$AH$2:$AH$1001,0),0), INDEX($AO$1004:$BQ$1004,1,MATCH(COLUMNS($AO$1006:BP1006),$AO$1006:$BQ$1006,0)))),"Fix")))</f>
        <v>#N/A</v>
      </c>
      <c r="AD322" s="5" t="e">
        <f ca="1">IF(OR(INDEX($AI$2:$AI$1001,MATCH(ROWS($AH$2:AH322),$AH$2:$AH$1001,0),1)&gt;=100000,INDEX($AO$1005:$BQ$1005,1,MATCH(COLUMNS($AO$1006:BQ1006),$AO$1006:$BQ$1006,0))&gt;=100000), " ",IF(INDEX($AO$2:$BQ$1001,MATCH(ROWS($AH$2:AH322),$AH$2:$AH$1001,0),MATCH(COLUMNS($AO$1006:BQ1006),$AO$1006:$BQ$1006,0)), HYPERLINK("#",""), HYPERLINK(CONCATENATE("#Metadata!", ADDRESS(INDEX($AJ$2:$AJ$1001,MATCH(ROWS($AH$2:AH322),$AH$2:$AH$1001,0),0), INDEX($AO$1004:$BQ$1004,1,MATCH(COLUMNS($AO$1006:BQ1006),$AO$1006:$BQ$1006,0)))),"Fix")))</f>
        <v>#REF!</v>
      </c>
      <c r="AH322">
        <f ca="1"/>
        <v>319</v>
      </c>
      <c r="AI322">
        <v>100322</v>
      </c>
      <c r="AJ322">
        <v>322</v>
      </c>
      <c r="AK322" t="b">
        <f t="shared" ref="AK322:AK385" si="5">IF(AL322,TRUE,AND(AO322:BQ322))</f>
        <v>1</v>
      </c>
      <c r="AL322" t="b">
        <f>COUNTBLANK(Metadata!B322:AD322)=COLUMNS(Metadata!B322:AD322)</f>
        <v>1</v>
      </c>
      <c r="AM322" t="str">
        <v/>
      </c>
      <c r="AO322" t="b">
        <f ca="1">AND(IF(Metadata!B322="",FALSE,TRUE),COUNTIF(Metadata!B:B, Metadata!B322) = 1,NOT(ISERROR(SUMPRODUCT(SEARCH(MID(Metadata!B322,ROW(INDIRECT("1:"&amp;LEN(Metadata!B322))), 1),"0123456789abcdefghijklmnopqrstuvwxyzABCDEFGHIJKLMNOPQRSTUVWXYZ.")))))</f>
        <v>0</v>
      </c>
      <c r="AP322" t="b">
        <f>IF(Metadata!C322="",FALSE,TRUE)</f>
        <v>0</v>
      </c>
      <c r="AQ322" t="b">
        <f>IF(Metadata!D322="",FALSE,TRUE)</f>
        <v>0</v>
      </c>
      <c r="AR322" t="b">
        <f ca="1">OR(AND(IF(Metadata!E322="",FALSE,TRUE),OR(EXACT(Metadata!E322,"not collected"),EXACT(Metadata!E322,"not provided"),EXACT(Metadata!E322,"restricted access"))),AND(IF(Metadata!E322="",FALSE,TRUE),AND(AND(IFERROR(INT(LEFT(Metadata!E322,4))&gt;1900,FALSE),IFERROR(INT(LEFT(Metadata!E322,4))&lt;=YEAR(NOW()),FALSE)), OR(MID(Metadata!E322,5,1)="", AND(AND(MID(Metadata!E322,5,1)="-",IFERROR(INT(MID(Metadata!E322,6,1))&gt;=0,FALSE),IFERROR(INT(MID(Metadata!E322,6,1))&lt;=1,FALSE),NOT(MID(Metadata!E322,7,1)=""),IFERROR(INT(MID(Metadata!E322,6,2))&gt;=1,FALSE),IFERROR(INT(MID(Metadata!E322,6,2))&lt;=12,FALSE)), OR(MID(Metadata!E322,8,1)="", AND(AND(MID(Metadata!E322,8,1)="-",IFERROR(INT(MID(Metadata!E322,9,1))&gt;=0,FALSE),IFERROR(INT(MID(Metadata!E322,9,1))&lt;=3,FALSE),NOT(MID(Metadata!E322,10,1)=""),IFERROR(INT(MID(Metadata!E322,9,2))&gt;=1,FALSE),IFERROR(INT(MID(Metadata!E322,9,2))&lt;=31,FALSE)), OR(MID(Metadata!E322,11,1)="", AND(AND(MID(Metadata!E322,11,1)=" ",IFERROR(INT(MID(Metadata!E322,12,1))&gt;=0,FALSE),IFERROR(INT(MID(Metadata!E322,12,1))&lt;=2,FALSE),NOT(MID(Metadata!E322,13,1)=""),IFERROR(INT(MID(Metadata!E322,12,2))&gt;=0,FALSE),IFERROR(INT(MID(Metadata!E322,12,2))&lt;=23,FALSE)), OR(MID(Metadata!E322,14,1)="", AND(AND(MID(Metadata!E322,14,1)=":",IFERROR(INT(MID(Metadata!E322,15,1))&gt;=0,FALSE),IFERROR(INT(MID(Metadata!E322,15,1))&lt;=5,FALSE),NOT(MID(Metadata!E322,16,1)=""),IFERROR(INT(MID(Metadata!E322,15,2))&gt;=0,FALSE),IFERROR(INT(MID(Metadata!E322,15,2))&lt;=59,FALSE)), OR(MID(Metadata!E322,17,1)="", AND(AND(MID(Metadata!E322,17,1)=":",IFERROR(INT(MID(Metadata!E322,18,1))&gt;=0,FALSE),IFERROR(INT(MID(Metadata!E322,18,1))&lt;=5,FALSE),NOT(MID(Metadata!E322,19,1)=""),IFERROR(INT(MID(Metadata!E322,18,2))&gt;=0,FALSE),IFERROR(INT(MID(Metadata!E322,18,2))&lt;=59,FALSE)), LEN(Metadata!E322)&lt;=19)))))))))))))</f>
        <v>0</v>
      </c>
      <c r="AS322" t="b">
        <f>IF(Metadata!F322="",FALSE,TRUE)</f>
        <v>0</v>
      </c>
      <c r="AT322" t="b">
        <f>OR(AND(IF(Metadata!G322="",FALSE,TRUE),OR(EXACT(Metadata!G322,"not collected"),EXACT(Metadata!G322,"not provided"))),AND(IF(Metadata!G322="",FALSE,TRUE),OR(EXACT(Metadata!G322,"TRUE"),EXACT(Metadata!G322,"FALSE"))))</f>
        <v>0</v>
      </c>
      <c r="AU322" t="b">
        <f>OR(AND(IF(Metadata!H322="",FALSE,TRUE),OR(EXACT(Metadata!H322,"not collected"),EXACT(Metadata!H322,"not provided"),EXACT(Metadata!H322,"restricted access"))),AND(IF(Metadata!H322="",FALSE,ISNUMBER(VALUE(Metadata!H322))),Metadata!H322&gt;=-413))</f>
        <v>0</v>
      </c>
      <c r="AV322" t="b">
        <f>AND(IF(Metadata!I322="",FALSE,TRUE),EXACT(Metadata!I322,"meters"))</f>
        <v>0</v>
      </c>
      <c r="AW322" t="b">
        <f>AND(IF(Metadata!J322="",FALSE,TRUE),EXACT(Metadata!J322,"free-living"))</f>
        <v>0</v>
      </c>
      <c r="AX322" t="b">
        <f>AND(IF(Metadata!K322="",FALSE,TRUE),OR(EXACT(Metadata!K322,"saline"),EXACT(Metadata!K322,"non-saline")))</f>
        <v>0</v>
      </c>
      <c r="AY322" t="b">
        <f>AND(IF(Metadata!L322="",FALSE,TRUE),OR(EXACT(Metadata!L322,"sub-surface (non-saline)"),EXACT(Metadata!L322,"surface (non-saline)"),EXACT(Metadata!L322,"water (non-saline)"),EXACT(Metadata!L322,"soil (non-saline)"),EXACT(Metadata!L322,"aerosol (non-saline)"),EXACT(Metadata!L322,"sediment (non-saline)"),EXACT(Metadata!L322,"surface (saline)"),EXACT(Metadata!L322,"water (saline)"),EXACT(Metadata!L322,"hypersaline (saline)"),EXACT(Metadata!L322,"aerosol (saline)"),EXACT(Metadata!L322,"sediment (saline)")))</f>
        <v>0</v>
      </c>
      <c r="AZ322" t="b">
        <f>IF(Metadata!M322="",FALSE,TRUE)</f>
        <v>0</v>
      </c>
      <c r="BA322" t="b">
        <f>IF(Metadata!N322="",FALSE,TRUE)</f>
        <v>0</v>
      </c>
      <c r="BB322" t="b">
        <f>IF(Metadata!O322="",FALSE,TRUE)</f>
        <v>0</v>
      </c>
      <c r="BC322" t="b">
        <f>AND(IF(Metadata!P322="",FALSE,TRUE),OR(EXACT(Metadata!P322,"air"),EXACT(Metadata!P322,"microbial mat/biofilm"),EXACT(Metadata!P322,"misc environment"),EXACT(Metadata!P322,"sediment"),EXACT(Metadata!P322,"soil"),EXACT(Metadata!P322,"wastewater/sludge"),EXACT(Metadata!P322,"water")))</f>
        <v>0</v>
      </c>
      <c r="BD322" t="b">
        <f>IF(Metadata!Q322="",FALSE,TRUE)</f>
        <v>0</v>
      </c>
      <c r="BE322" t="b">
        <f>IF(Metadata!R322="",FALSE,TRUE)</f>
        <v>0</v>
      </c>
      <c r="BF322" t="b">
        <f>OR(AND(IF(Metadata!S322="",FALSE,TRUE),OR(EXACT(Metadata!S322,"not collected"),EXACT(Metadata!S322,"not provided"),EXACT(Metadata!S322,"restricted access"))),AND(IF(Metadata!S322="",FALSE,ISNUMBER(VALUE(Metadata!S322))),Metadata!S322&gt;=-90,Metadata!S322&lt;=90))</f>
        <v>0</v>
      </c>
      <c r="BG322" t="b">
        <f>AND(IF(Metadata!T322="",FALSE,TRUE),EXACT(Metadata!T322,"Decimal degrees"))</f>
        <v>0</v>
      </c>
      <c r="BH322" t="b">
        <f>OR(AND(IF(Metadata!U322="",FALSE,TRUE),OR(EXACT(Metadata!U322,"not applicable"),EXACT(Metadata!U322,"not collected"))),IF(Metadata!U322="",FALSE,TRUE))</f>
        <v>0</v>
      </c>
      <c r="BI322" t="b">
        <f>OR(AND(IF(Metadata!V322="",FALSE,TRUE),OR(EXACT(Metadata!V322,"not collected"),EXACT(Metadata!V322,"not provided"),EXACT(Metadata!V322,"restricted access"))),AND(IF(Metadata!V322="",FALSE,ISNUMBER(VALUE(Metadata!V322))),Metadata!V322&gt;=-180,Metadata!V322&lt;=180))</f>
        <v>0</v>
      </c>
      <c r="BJ322" t="b">
        <f>AND(IF(Metadata!W322="",FALSE,TRUE),EXACT(Metadata!W322,"Decimal degrees"))</f>
        <v>0</v>
      </c>
      <c r="BK322" t="b">
        <f>IF(Metadata!X322="",FALSE,TRUE)</f>
        <v>0</v>
      </c>
      <c r="BL322" t="b">
        <f>OR(AND(IF(Metadata!Y322="",FALSE,TRUE),OR(EXACT(Metadata!Y322,"not collected"),EXACT(Metadata!Y322,"not provided"),EXACT(Metadata!Y322,"restricted access"))),AND(IF(Metadata!Y322="",FALSE,TRUE),OR(EXACT(Metadata!Y322,"TRUE"),EXACT(Metadata!Y322,"FALSE"))))</f>
        <v>0</v>
      </c>
      <c r="BM322" t="b">
        <f>OR(AND(IF(Metadata!Z322="",FALSE,TRUE),EXACT(Metadata!Z322,"not applicable")),AND(IF(Metadata!Z322="",FALSE,TRUE),OR(EXACT(Metadata!Z322,"beer"),EXACT(Metadata!Z322,"cheese"),EXACT(Metadata!Z322,"fresh water"),EXACT(Metadata!Z322,"marine sediment"),EXACT(Metadata!Z322,"sea water"),EXACT(Metadata!Z322,"sediment"),EXACT(Metadata!Z322,"soil"),EXACT(Metadata!Z322,"waste water"))))</f>
        <v>0</v>
      </c>
      <c r="BN322" t="b">
        <f>AND(IF(Metadata!AA322="",FALSE,TRUE),EXACT(Metadata!AA322,"metagenome"))</f>
        <v>0</v>
      </c>
      <c r="BO322" t="b">
        <f>AND(IF(Metadata!AB322="",FALSE,TRUE),EXACT(Metadata!AB322,"256318"))</f>
        <v>0</v>
      </c>
      <c r="BP322" t="b">
        <f>IF(Metadata!AC322="",FALSE,TRUE)</f>
        <v>0</v>
      </c>
      <c r="BQ322" t="b">
        <f>IF(Metadata!AD322="",FALSE,TRUE)</f>
        <v>0</v>
      </c>
    </row>
    <row r="323" spans="1:69" x14ac:dyDescent="0.2">
      <c r="A323" s="4" t="e">
        <f ca="1">IF(B323=" "," ",HYPERLINK(CONCATENATE("#metadata!",ADDRESS(INDEX($AJ$2:$AJ$1001,MATCH(ROWS($AH$2:AH323),$AH$2:$AH$1001,0),0),2)),INDEX($AM$2:$AM$1001,MATCH(ROWS($AH$2:AH323),$AH$2:$AH$1001,0),0)))</f>
        <v>#N/A</v>
      </c>
      <c r="B323" s="5" t="e">
        <f ca="1">IF(OR(INDEX($AI$2:$AI$1001,MATCH(ROWS($AH$2:AH323),$AH$2:$AH$1001,0),1)&gt;=100000,INDEX($AO$1005:$BQ$1005,1,MATCH(COLUMNS($AO$1006:AO1006),$AO$1006:$BQ$1006,0))&gt;=100000), " ",IF(INDEX($AO$2:$BQ$1001,MATCH(ROWS($AH$2:AH323),$AH$2:$AH$1001,0),MATCH(COLUMNS($AO$1006:AO1006),$AO$1006:$BQ$1006,0)), HYPERLINK("#",""), HYPERLINK(CONCATENATE("#Metadata!", ADDRESS(INDEX($AJ$2:$AJ$1001,MATCH(ROWS($AH$2:AH323),$AH$2:$AH$1001,0),0), INDEX($AO$1004:$BQ$1004,1,MATCH(COLUMNS($AO$1006:AO1006),$AO$1006:$BQ$1006,0)))),"Fix")))</f>
        <v>#N/A</v>
      </c>
      <c r="C323" s="5" t="e">
        <f ca="1">IF(OR(INDEX($AI$2:$AI$1001,MATCH(ROWS($AH$2:AH323),$AH$2:$AH$1001,0),1)&gt;=100000,INDEX($AO$1005:$BQ$1005,1,MATCH(COLUMNS($AO$1006:AP1006),$AO$1006:$BQ$1006,0))&gt;=100000), " ",IF(INDEX($AO$2:$BQ$1001,MATCH(ROWS($AH$2:AH323),$AH$2:$AH$1001,0),MATCH(COLUMNS($AO$1006:AP1006),$AO$1006:$BQ$1006,0)), HYPERLINK("#",""), HYPERLINK(CONCATENATE("#Metadata!", ADDRESS(INDEX($AJ$2:$AJ$1001,MATCH(ROWS($AH$2:AH323),$AH$2:$AH$1001,0),0), INDEX($AO$1004:$BQ$1004,1,MATCH(COLUMNS($AO$1006:AP1006),$AO$1006:$BQ$1006,0)))),"Fix")))</f>
        <v>#N/A</v>
      </c>
      <c r="D323" s="5" t="e">
        <f ca="1">IF(OR(INDEX($AI$2:$AI$1001,MATCH(ROWS($AH$2:AH323),$AH$2:$AH$1001,0),1)&gt;=100000,INDEX($AO$1005:$BQ$1005,1,MATCH(COLUMNS($AO$1006:AQ1006),$AO$1006:$BQ$1006,0))&gt;=100000), " ",IF(INDEX($AO$2:$BQ$1001,MATCH(ROWS($AH$2:AH323),$AH$2:$AH$1001,0),MATCH(COLUMNS($AO$1006:AQ1006),$AO$1006:$BQ$1006,0)), HYPERLINK("#",""), HYPERLINK(CONCATENATE("#Metadata!", ADDRESS(INDEX($AJ$2:$AJ$1001,MATCH(ROWS($AH$2:AH323),$AH$2:$AH$1001,0),0), INDEX($AO$1004:$BQ$1004,1,MATCH(COLUMNS($AO$1006:AQ1006),$AO$1006:$BQ$1006,0)))),"Fix")))</f>
        <v>#N/A</v>
      </c>
      <c r="E323" s="5" t="e">
        <f ca="1">IF(OR(INDEX($AI$2:$AI$1001,MATCH(ROWS($AH$2:AH323),$AH$2:$AH$1001,0),1)&gt;=100000,INDEX($AO$1005:$BQ$1005,1,MATCH(COLUMNS($AO$1006:AR1006),$AO$1006:$BQ$1006,0))&gt;=100000), " ",IF(INDEX($AO$2:$BQ$1001,MATCH(ROWS($AH$2:AH323),$AH$2:$AH$1001,0),MATCH(COLUMNS($AO$1006:AR1006),$AO$1006:$BQ$1006,0)), HYPERLINK("#",""), HYPERLINK(CONCATENATE("#Metadata!", ADDRESS(INDEX($AJ$2:$AJ$1001,MATCH(ROWS($AH$2:AH323),$AH$2:$AH$1001,0),0), INDEX($AO$1004:$BQ$1004,1,MATCH(COLUMNS($AO$1006:AR1006),$AO$1006:$BQ$1006,0)))),"Fix")))</f>
        <v>#N/A</v>
      </c>
      <c r="F323" s="5" t="e">
        <f ca="1">IF(OR(INDEX($AI$2:$AI$1001,MATCH(ROWS($AH$2:AH323),$AH$2:$AH$1001,0),1)&gt;=100000,INDEX($AO$1005:$BQ$1005,1,MATCH(COLUMNS($AO$1006:AS1006),$AO$1006:$BQ$1006,0))&gt;=100000), " ",IF(INDEX($AO$2:$BQ$1001,MATCH(ROWS($AH$2:AH323),$AH$2:$AH$1001,0),MATCH(COLUMNS($AO$1006:AS1006),$AO$1006:$BQ$1006,0)), HYPERLINK("#",""), HYPERLINK(CONCATENATE("#Metadata!", ADDRESS(INDEX($AJ$2:$AJ$1001,MATCH(ROWS($AH$2:AH323),$AH$2:$AH$1001,0),0), INDEX($AO$1004:$BQ$1004,1,MATCH(COLUMNS($AO$1006:AS1006),$AO$1006:$BQ$1006,0)))),"Fix")))</f>
        <v>#N/A</v>
      </c>
      <c r="G323" s="5" t="e">
        <f ca="1">IF(OR(INDEX($AI$2:$AI$1001,MATCH(ROWS($AH$2:AH323),$AH$2:$AH$1001,0),1)&gt;=100000,INDEX($AO$1005:$BQ$1005,1,MATCH(COLUMNS($AO$1006:AT1006),$AO$1006:$BQ$1006,0))&gt;=100000), " ",IF(INDEX($AO$2:$BQ$1001,MATCH(ROWS($AH$2:AH323),$AH$2:$AH$1001,0),MATCH(COLUMNS($AO$1006:AT1006),$AO$1006:$BQ$1006,0)), HYPERLINK("#",""), HYPERLINK(CONCATENATE("#Metadata!", ADDRESS(INDEX($AJ$2:$AJ$1001,MATCH(ROWS($AH$2:AH323),$AH$2:$AH$1001,0),0), INDEX($AO$1004:$BQ$1004,1,MATCH(COLUMNS($AO$1006:AT1006),$AO$1006:$BQ$1006,0)))),"Fix")))</f>
        <v>#N/A</v>
      </c>
      <c r="H323" s="5" t="e">
        <f ca="1">IF(OR(INDEX($AI$2:$AI$1001,MATCH(ROWS($AH$2:AH323),$AH$2:$AH$1001,0),1)&gt;=100000,INDEX($AO$1005:$BQ$1005,1,MATCH(COLUMNS($AO$1006:AU1006),$AO$1006:$BQ$1006,0))&gt;=100000), " ",IF(INDEX($AO$2:$BQ$1001,MATCH(ROWS($AH$2:AH323),$AH$2:$AH$1001,0),MATCH(COLUMNS($AO$1006:AU1006),$AO$1006:$BQ$1006,0)), HYPERLINK("#",""), HYPERLINK(CONCATENATE("#Metadata!", ADDRESS(INDEX($AJ$2:$AJ$1001,MATCH(ROWS($AH$2:AH323),$AH$2:$AH$1001,0),0), INDEX($AO$1004:$BQ$1004,1,MATCH(COLUMNS($AO$1006:AU1006),$AO$1006:$BQ$1006,0)))),"Fix")))</f>
        <v>#N/A</v>
      </c>
      <c r="I323" s="5" t="e">
        <f ca="1">IF(OR(INDEX($AI$2:$AI$1001,MATCH(ROWS($AH$2:AH323),$AH$2:$AH$1001,0),1)&gt;=100000,INDEX($AO$1005:$BQ$1005,1,MATCH(COLUMNS($AO$1006:AV1006),$AO$1006:$BQ$1006,0))&gt;=100000), " ",IF(INDEX($AO$2:$BQ$1001,MATCH(ROWS($AH$2:AH323),$AH$2:$AH$1001,0),MATCH(COLUMNS($AO$1006:AV1006),$AO$1006:$BQ$1006,0)), HYPERLINK("#",""), HYPERLINK(CONCATENATE("#Metadata!", ADDRESS(INDEX($AJ$2:$AJ$1001,MATCH(ROWS($AH$2:AH323),$AH$2:$AH$1001,0),0), INDEX($AO$1004:$BQ$1004,1,MATCH(COLUMNS($AO$1006:AV1006),$AO$1006:$BQ$1006,0)))),"Fix")))</f>
        <v>#N/A</v>
      </c>
      <c r="J323" s="5" t="e">
        <f ca="1">IF(OR(INDEX($AI$2:$AI$1001,MATCH(ROWS($AH$2:AH323),$AH$2:$AH$1001,0),1)&gt;=100000,INDEX($AO$1005:$BQ$1005,1,MATCH(COLUMNS($AO$1006:AW1006),$AO$1006:$BQ$1006,0))&gt;=100000), " ",IF(INDEX($AO$2:$BQ$1001,MATCH(ROWS($AH$2:AH323),$AH$2:$AH$1001,0),MATCH(COLUMNS($AO$1006:AW1006),$AO$1006:$BQ$1006,0)), HYPERLINK("#",""), HYPERLINK(CONCATENATE("#Metadata!", ADDRESS(INDEX($AJ$2:$AJ$1001,MATCH(ROWS($AH$2:AH323),$AH$2:$AH$1001,0),0), INDEX($AO$1004:$BQ$1004,1,MATCH(COLUMNS($AO$1006:AW1006),$AO$1006:$BQ$1006,0)))),"Fix")))</f>
        <v>#N/A</v>
      </c>
      <c r="K323" s="5" t="e">
        <f ca="1">IF(OR(INDEX($AI$2:$AI$1001,MATCH(ROWS($AH$2:AH323),$AH$2:$AH$1001,0),1)&gt;=100000,INDEX($AO$1005:$BQ$1005,1,MATCH(COLUMNS($AO$1006:AX1006),$AO$1006:$BQ$1006,0))&gt;=100000), " ",IF(INDEX($AO$2:$BQ$1001,MATCH(ROWS($AH$2:AH323),$AH$2:$AH$1001,0),MATCH(COLUMNS($AO$1006:AX1006),$AO$1006:$BQ$1006,0)), HYPERLINK("#",""), HYPERLINK(CONCATENATE("#Metadata!", ADDRESS(INDEX($AJ$2:$AJ$1001,MATCH(ROWS($AH$2:AH323),$AH$2:$AH$1001,0),0), INDEX($AO$1004:$BQ$1004,1,MATCH(COLUMNS($AO$1006:AX1006),$AO$1006:$BQ$1006,0)))),"Fix")))</f>
        <v>#N/A</v>
      </c>
      <c r="L323" s="5" t="e">
        <f ca="1">IF(OR(INDEX($AI$2:$AI$1001,MATCH(ROWS($AH$2:AH323),$AH$2:$AH$1001,0),1)&gt;=100000,INDEX($AO$1005:$BQ$1005,1,MATCH(COLUMNS($AO$1006:AY1006),$AO$1006:$BQ$1006,0))&gt;=100000), " ",IF(INDEX($AO$2:$BQ$1001,MATCH(ROWS($AH$2:AH323),$AH$2:$AH$1001,0),MATCH(COLUMNS($AO$1006:AY1006),$AO$1006:$BQ$1006,0)), HYPERLINK("#",""), HYPERLINK(CONCATENATE("#Metadata!", ADDRESS(INDEX($AJ$2:$AJ$1001,MATCH(ROWS($AH$2:AH323),$AH$2:$AH$1001,0),0), INDEX($AO$1004:$BQ$1004,1,MATCH(COLUMNS($AO$1006:AY1006),$AO$1006:$BQ$1006,0)))),"Fix")))</f>
        <v>#N/A</v>
      </c>
      <c r="M323" s="5" t="e">
        <f ca="1">IF(OR(INDEX($AI$2:$AI$1001,MATCH(ROWS($AH$2:AH323),$AH$2:$AH$1001,0),1)&gt;=100000,INDEX($AO$1005:$BQ$1005,1,MATCH(COLUMNS($AO$1006:AZ1006),$AO$1006:$BQ$1006,0))&gt;=100000), " ",IF(INDEX($AO$2:$BQ$1001,MATCH(ROWS($AH$2:AH323),$AH$2:$AH$1001,0),MATCH(COLUMNS($AO$1006:AZ1006),$AO$1006:$BQ$1006,0)), HYPERLINK("#",""), HYPERLINK(CONCATENATE("#Metadata!", ADDRESS(INDEX($AJ$2:$AJ$1001,MATCH(ROWS($AH$2:AH323),$AH$2:$AH$1001,0),0), INDEX($AO$1004:$BQ$1004,1,MATCH(COLUMNS($AO$1006:AZ1006),$AO$1006:$BQ$1006,0)))),"Fix")))</f>
        <v>#N/A</v>
      </c>
      <c r="N323" s="5" t="e">
        <f ca="1">IF(OR(INDEX($AI$2:$AI$1001,MATCH(ROWS($AH$2:AH323),$AH$2:$AH$1001,0),1)&gt;=100000,INDEX($AO$1005:$BQ$1005,1,MATCH(COLUMNS($AO$1006:BA1006),$AO$1006:$BQ$1006,0))&gt;=100000), " ",IF(INDEX($AO$2:$BQ$1001,MATCH(ROWS($AH$2:AH323),$AH$2:$AH$1001,0),MATCH(COLUMNS($AO$1006:BA1006),$AO$1006:$BQ$1006,0)), HYPERLINK("#",""), HYPERLINK(CONCATENATE("#Metadata!", ADDRESS(INDEX($AJ$2:$AJ$1001,MATCH(ROWS($AH$2:AH323),$AH$2:$AH$1001,0),0), INDEX($AO$1004:$BQ$1004,1,MATCH(COLUMNS($AO$1006:BA1006),$AO$1006:$BQ$1006,0)))),"Fix")))</f>
        <v>#N/A</v>
      </c>
      <c r="O323" s="5" t="e">
        <f ca="1">IF(OR(INDEX($AI$2:$AI$1001,MATCH(ROWS($AH$2:AH323),$AH$2:$AH$1001,0),1)&gt;=100000,INDEX($AO$1005:$BQ$1005,1,MATCH(COLUMNS($AO$1006:BB1006),$AO$1006:$BQ$1006,0))&gt;=100000), " ",IF(INDEX($AO$2:$BQ$1001,MATCH(ROWS($AH$2:AH323),$AH$2:$AH$1001,0),MATCH(COLUMNS($AO$1006:BB1006),$AO$1006:$BQ$1006,0)), HYPERLINK("#",""), HYPERLINK(CONCATENATE("#Metadata!", ADDRESS(INDEX($AJ$2:$AJ$1001,MATCH(ROWS($AH$2:AH323),$AH$2:$AH$1001,0),0), INDEX($AO$1004:$BQ$1004,1,MATCH(COLUMNS($AO$1006:BB1006),$AO$1006:$BQ$1006,0)))),"Fix")))</f>
        <v>#N/A</v>
      </c>
      <c r="P323" s="5" t="e">
        <f ca="1">IF(OR(INDEX($AI$2:$AI$1001,MATCH(ROWS($AH$2:AH323),$AH$2:$AH$1001,0),1)&gt;=100000,INDEX($AO$1005:$BQ$1005,1,MATCH(COLUMNS($AO$1006:BC1006),$AO$1006:$BQ$1006,0))&gt;=100000), " ",IF(INDEX($AO$2:$BQ$1001,MATCH(ROWS($AH$2:AH323),$AH$2:$AH$1001,0),MATCH(COLUMNS($AO$1006:BC1006),$AO$1006:$BQ$1006,0)), HYPERLINK("#",""), HYPERLINK(CONCATENATE("#Metadata!", ADDRESS(INDEX($AJ$2:$AJ$1001,MATCH(ROWS($AH$2:AH323),$AH$2:$AH$1001,0),0), INDEX($AO$1004:$BQ$1004,1,MATCH(COLUMNS($AO$1006:BC1006),$AO$1006:$BQ$1006,0)))),"Fix")))</f>
        <v>#N/A</v>
      </c>
      <c r="Q323" s="5" t="e">
        <f ca="1">IF(OR(INDEX($AI$2:$AI$1001,MATCH(ROWS($AH$2:AH323),$AH$2:$AH$1001,0),1)&gt;=100000,INDEX($AO$1005:$BQ$1005,1,MATCH(COLUMNS($AO$1006:BD1006),$AO$1006:$BQ$1006,0))&gt;=100000), " ",IF(INDEX($AO$2:$BQ$1001,MATCH(ROWS($AH$2:AH323),$AH$2:$AH$1001,0),MATCH(COLUMNS($AO$1006:BD1006),$AO$1006:$BQ$1006,0)), HYPERLINK("#",""), HYPERLINK(CONCATENATE("#Metadata!", ADDRESS(INDEX($AJ$2:$AJ$1001,MATCH(ROWS($AH$2:AH323),$AH$2:$AH$1001,0),0), INDEX($AO$1004:$BQ$1004,1,MATCH(COLUMNS($AO$1006:BD1006),$AO$1006:$BQ$1006,0)))),"Fix")))</f>
        <v>#N/A</v>
      </c>
      <c r="R323" s="5" t="e">
        <f ca="1">IF(OR(INDEX($AI$2:$AI$1001,MATCH(ROWS($AH$2:AH323),$AH$2:$AH$1001,0),1)&gt;=100000,INDEX($AO$1005:$BQ$1005,1,MATCH(COLUMNS($AO$1006:BE1006),$AO$1006:$BQ$1006,0))&gt;=100000), " ",IF(INDEX($AO$2:$BQ$1001,MATCH(ROWS($AH$2:AH323),$AH$2:$AH$1001,0),MATCH(COLUMNS($AO$1006:BE1006),$AO$1006:$BQ$1006,0)), HYPERLINK("#",""), HYPERLINK(CONCATENATE("#Metadata!", ADDRESS(INDEX($AJ$2:$AJ$1001,MATCH(ROWS($AH$2:AH323),$AH$2:$AH$1001,0),0), INDEX($AO$1004:$BQ$1004,1,MATCH(COLUMNS($AO$1006:BE1006),$AO$1006:$BQ$1006,0)))),"Fix")))</f>
        <v>#N/A</v>
      </c>
      <c r="S323" s="5" t="e">
        <f ca="1">IF(OR(INDEX($AI$2:$AI$1001,MATCH(ROWS($AH$2:AH323),$AH$2:$AH$1001,0),1)&gt;=100000,INDEX($AO$1005:$BQ$1005,1,MATCH(COLUMNS($AO$1006:BF1006),$AO$1006:$BQ$1006,0))&gt;=100000), " ",IF(INDEX($AO$2:$BQ$1001,MATCH(ROWS($AH$2:AH323),$AH$2:$AH$1001,0),MATCH(COLUMNS($AO$1006:BF1006),$AO$1006:$BQ$1006,0)), HYPERLINK("#",""), HYPERLINK(CONCATENATE("#Metadata!", ADDRESS(INDEX($AJ$2:$AJ$1001,MATCH(ROWS($AH$2:AH323),$AH$2:$AH$1001,0),0), INDEX($AO$1004:$BQ$1004,1,MATCH(COLUMNS($AO$1006:BF1006),$AO$1006:$BQ$1006,0)))),"Fix")))</f>
        <v>#N/A</v>
      </c>
      <c r="T323" s="5" t="e">
        <f ca="1">IF(OR(INDEX($AI$2:$AI$1001,MATCH(ROWS($AH$2:AH323),$AH$2:$AH$1001,0),1)&gt;=100000,INDEX($AO$1005:$BQ$1005,1,MATCH(COLUMNS($AO$1006:BG1006),$AO$1006:$BQ$1006,0))&gt;=100000), " ",IF(INDEX($AO$2:$BQ$1001,MATCH(ROWS($AH$2:AH323),$AH$2:$AH$1001,0),MATCH(COLUMNS($AO$1006:BG1006),$AO$1006:$BQ$1006,0)), HYPERLINK("#",""), HYPERLINK(CONCATENATE("#Metadata!", ADDRESS(INDEX($AJ$2:$AJ$1001,MATCH(ROWS($AH$2:AH323),$AH$2:$AH$1001,0),0), INDEX($AO$1004:$BQ$1004,1,MATCH(COLUMNS($AO$1006:BG1006),$AO$1006:$BQ$1006,0)))),"Fix")))</f>
        <v>#N/A</v>
      </c>
      <c r="U323" s="5" t="e">
        <f ca="1">IF(OR(INDEX($AI$2:$AI$1001,MATCH(ROWS($AH$2:AH323),$AH$2:$AH$1001,0),1)&gt;=100000,INDEX($AO$1005:$BQ$1005,1,MATCH(COLUMNS($AO$1006:BH1006),$AO$1006:$BQ$1006,0))&gt;=100000), " ",IF(INDEX($AO$2:$BQ$1001,MATCH(ROWS($AH$2:AH323),$AH$2:$AH$1001,0),MATCH(COLUMNS($AO$1006:BH1006),$AO$1006:$BQ$1006,0)), HYPERLINK("#",""), HYPERLINK(CONCATENATE("#Metadata!", ADDRESS(INDEX($AJ$2:$AJ$1001,MATCH(ROWS($AH$2:AH323),$AH$2:$AH$1001,0),0), INDEX($AO$1004:$BQ$1004,1,MATCH(COLUMNS($AO$1006:BH1006),$AO$1006:$BQ$1006,0)))),"Fix")))</f>
        <v>#N/A</v>
      </c>
      <c r="V323" s="5" t="e">
        <f ca="1">IF(OR(INDEX($AI$2:$AI$1001,MATCH(ROWS($AH$2:AH323),$AH$2:$AH$1001,0),1)&gt;=100000,INDEX($AO$1005:$BQ$1005,1,MATCH(COLUMNS($AO$1006:BI1006),$AO$1006:$BQ$1006,0))&gt;=100000), " ",IF(INDEX($AO$2:$BQ$1001,MATCH(ROWS($AH$2:AH323),$AH$2:$AH$1001,0),MATCH(COLUMNS($AO$1006:BI1006),$AO$1006:$BQ$1006,0)), HYPERLINK("#",""), HYPERLINK(CONCATENATE("#Metadata!", ADDRESS(INDEX($AJ$2:$AJ$1001,MATCH(ROWS($AH$2:AH323),$AH$2:$AH$1001,0),0), INDEX($AO$1004:$BQ$1004,1,MATCH(COLUMNS($AO$1006:BI1006),$AO$1006:$BQ$1006,0)))),"Fix")))</f>
        <v>#N/A</v>
      </c>
      <c r="W323" s="5" t="e">
        <f ca="1">IF(OR(INDEX($AI$2:$AI$1001,MATCH(ROWS($AH$2:AH323),$AH$2:$AH$1001,0),1)&gt;=100000,INDEX($AO$1005:$BQ$1005,1,MATCH(COLUMNS($AO$1006:BJ1006),$AO$1006:$BQ$1006,0))&gt;=100000), " ",IF(INDEX($AO$2:$BQ$1001,MATCH(ROWS($AH$2:AH323),$AH$2:$AH$1001,0),MATCH(COLUMNS($AO$1006:BJ1006),$AO$1006:$BQ$1006,0)), HYPERLINK("#",""), HYPERLINK(CONCATENATE("#Metadata!", ADDRESS(INDEX($AJ$2:$AJ$1001,MATCH(ROWS($AH$2:AH323),$AH$2:$AH$1001,0),0), INDEX($AO$1004:$BQ$1004,1,MATCH(COLUMNS($AO$1006:BJ1006),$AO$1006:$BQ$1006,0)))),"Fix")))</f>
        <v>#N/A</v>
      </c>
      <c r="X323" s="5" t="e">
        <f ca="1">IF(OR(INDEX($AI$2:$AI$1001,MATCH(ROWS($AH$2:AH323),$AH$2:$AH$1001,0),1)&gt;=100000,INDEX($AO$1005:$BQ$1005,1,MATCH(COLUMNS($AO$1006:BK1006),$AO$1006:$BQ$1006,0))&gt;=100000), " ",IF(INDEX($AO$2:$BQ$1001,MATCH(ROWS($AH$2:AH323),$AH$2:$AH$1001,0),MATCH(COLUMNS($AO$1006:BK1006),$AO$1006:$BQ$1006,0)), HYPERLINK("#",""), HYPERLINK(CONCATENATE("#Metadata!", ADDRESS(INDEX($AJ$2:$AJ$1001,MATCH(ROWS($AH$2:AH323),$AH$2:$AH$1001,0),0), INDEX($AO$1004:$BQ$1004,1,MATCH(COLUMNS($AO$1006:BK1006),$AO$1006:$BQ$1006,0)))),"Fix")))</f>
        <v>#N/A</v>
      </c>
      <c r="Y323" s="5" t="e">
        <f ca="1">IF(OR(INDEX($AI$2:$AI$1001,MATCH(ROWS($AH$2:AH323),$AH$2:$AH$1001,0),1)&gt;=100000,INDEX($AO$1005:$BQ$1005,1,MATCH(COLUMNS($AO$1006:BL1006),$AO$1006:$BQ$1006,0))&gt;=100000), " ",IF(INDEX($AO$2:$BQ$1001,MATCH(ROWS($AH$2:AH323),$AH$2:$AH$1001,0),MATCH(COLUMNS($AO$1006:BL1006),$AO$1006:$BQ$1006,0)), HYPERLINK("#",""), HYPERLINK(CONCATENATE("#Metadata!", ADDRESS(INDEX($AJ$2:$AJ$1001,MATCH(ROWS($AH$2:AH323),$AH$2:$AH$1001,0),0), INDEX($AO$1004:$BQ$1004,1,MATCH(COLUMNS($AO$1006:BL1006),$AO$1006:$BQ$1006,0)))),"Fix")))</f>
        <v>#N/A</v>
      </c>
      <c r="Z323" s="5" t="e">
        <f ca="1">IF(OR(INDEX($AI$2:$AI$1001,MATCH(ROWS($AH$2:AH323),$AH$2:$AH$1001,0),1)&gt;=100000,INDEX($AO$1005:$BQ$1005,1,MATCH(COLUMNS($AO$1006:BM1006),$AO$1006:$BQ$1006,0))&gt;=100000), " ",IF(INDEX($AO$2:$BQ$1001,MATCH(ROWS($AH$2:AH323),$AH$2:$AH$1001,0),MATCH(COLUMNS($AO$1006:BM1006),$AO$1006:$BQ$1006,0)), HYPERLINK("#",""), HYPERLINK(CONCATENATE("#Metadata!", ADDRESS(INDEX($AJ$2:$AJ$1001,MATCH(ROWS($AH$2:AH323),$AH$2:$AH$1001,0),0), INDEX($AO$1004:$BQ$1004,1,MATCH(COLUMNS($AO$1006:BM1006),$AO$1006:$BQ$1006,0)))),"Fix")))</f>
        <v>#N/A</v>
      </c>
      <c r="AA323" s="5" t="e">
        <f ca="1">IF(OR(INDEX($AI$2:$AI$1001,MATCH(ROWS($AH$2:AH323),$AH$2:$AH$1001,0),1)&gt;=100000,INDEX($AO$1005:$BQ$1005,1,MATCH(COLUMNS($AO$1006:BN1006),$AO$1006:$BQ$1006,0))&gt;=100000), " ",IF(INDEX($AO$2:$BQ$1001,MATCH(ROWS($AH$2:AH323),$AH$2:$AH$1001,0),MATCH(COLUMNS($AO$1006:BN1006),$AO$1006:$BQ$1006,0)), HYPERLINK("#",""), HYPERLINK(CONCATENATE("#Metadata!", ADDRESS(INDEX($AJ$2:$AJ$1001,MATCH(ROWS($AH$2:AH323),$AH$2:$AH$1001,0),0), INDEX($AO$1004:$BQ$1004,1,MATCH(COLUMNS($AO$1006:BN1006),$AO$1006:$BQ$1006,0)))),"Fix")))</f>
        <v>#N/A</v>
      </c>
      <c r="AB323" s="5" t="e">
        <f ca="1">IF(OR(INDEX($AI$2:$AI$1001,MATCH(ROWS($AH$2:AH323),$AH$2:$AH$1001,0),1)&gt;=100000,INDEX($AO$1005:$BQ$1005,1,MATCH(COLUMNS($AO$1006:BO1006),$AO$1006:$BQ$1006,0))&gt;=100000), " ",IF(INDEX($AO$2:$BQ$1001,MATCH(ROWS($AH$2:AH323),$AH$2:$AH$1001,0),MATCH(COLUMNS($AO$1006:BO1006),$AO$1006:$BQ$1006,0)), HYPERLINK("#",""), HYPERLINK(CONCATENATE("#Metadata!", ADDRESS(INDEX($AJ$2:$AJ$1001,MATCH(ROWS($AH$2:AH323),$AH$2:$AH$1001,0),0), INDEX($AO$1004:$BQ$1004,1,MATCH(COLUMNS($AO$1006:BO1006),$AO$1006:$BQ$1006,0)))),"Fix")))</f>
        <v>#N/A</v>
      </c>
      <c r="AC323" s="5" t="e">
        <f ca="1">IF(OR(INDEX($AI$2:$AI$1001,MATCH(ROWS($AH$2:AH323),$AH$2:$AH$1001,0),1)&gt;=100000,INDEX($AO$1005:$BQ$1005,1,MATCH(COLUMNS($AO$1006:BP1006),$AO$1006:$BQ$1006,0))&gt;=100000), " ",IF(INDEX($AO$2:$BQ$1001,MATCH(ROWS($AH$2:AH323),$AH$2:$AH$1001,0),MATCH(COLUMNS($AO$1006:BP1006),$AO$1006:$BQ$1006,0)), HYPERLINK("#",""), HYPERLINK(CONCATENATE("#Metadata!", ADDRESS(INDEX($AJ$2:$AJ$1001,MATCH(ROWS($AH$2:AH323),$AH$2:$AH$1001,0),0), INDEX($AO$1004:$BQ$1004,1,MATCH(COLUMNS($AO$1006:BP1006),$AO$1006:$BQ$1006,0)))),"Fix")))</f>
        <v>#N/A</v>
      </c>
      <c r="AD323" s="5" t="e">
        <f ca="1">IF(OR(INDEX($AI$2:$AI$1001,MATCH(ROWS($AH$2:AH323),$AH$2:$AH$1001,0),1)&gt;=100000,INDEX($AO$1005:$BQ$1005,1,MATCH(COLUMNS($AO$1006:BQ1006),$AO$1006:$BQ$1006,0))&gt;=100000), " ",IF(INDEX($AO$2:$BQ$1001,MATCH(ROWS($AH$2:AH323),$AH$2:$AH$1001,0),MATCH(COLUMNS($AO$1006:BQ1006),$AO$1006:$BQ$1006,0)), HYPERLINK("#",""), HYPERLINK(CONCATENATE("#Metadata!", ADDRESS(INDEX($AJ$2:$AJ$1001,MATCH(ROWS($AH$2:AH323),$AH$2:$AH$1001,0),0), INDEX($AO$1004:$BQ$1004,1,MATCH(COLUMNS($AO$1006:BQ1006),$AO$1006:$BQ$1006,0)))),"Fix")))</f>
        <v>#REF!</v>
      </c>
      <c r="AH323">
        <f ca="1"/>
        <v>320</v>
      </c>
      <c r="AI323">
        <v>100323</v>
      </c>
      <c r="AJ323">
        <v>323</v>
      </c>
      <c r="AK323" t="b">
        <f t="shared" si="5"/>
        <v>1</v>
      </c>
      <c r="AL323" t="b">
        <f>COUNTBLANK(Metadata!B323:AD323)=COLUMNS(Metadata!B323:AD323)</f>
        <v>1</v>
      </c>
      <c r="AM323" t="str">
        <v/>
      </c>
      <c r="AO323" t="b">
        <f ca="1">AND(IF(Metadata!B323="",FALSE,TRUE),COUNTIF(Metadata!B:B, Metadata!B323) = 1,NOT(ISERROR(SUMPRODUCT(SEARCH(MID(Metadata!B323,ROW(INDIRECT("1:"&amp;LEN(Metadata!B323))), 1),"0123456789abcdefghijklmnopqrstuvwxyzABCDEFGHIJKLMNOPQRSTUVWXYZ.")))))</f>
        <v>0</v>
      </c>
      <c r="AP323" t="b">
        <f>IF(Metadata!C323="",FALSE,TRUE)</f>
        <v>0</v>
      </c>
      <c r="AQ323" t="b">
        <f>IF(Metadata!D323="",FALSE,TRUE)</f>
        <v>0</v>
      </c>
      <c r="AR323" t="b">
        <f ca="1">OR(AND(IF(Metadata!E323="",FALSE,TRUE),OR(EXACT(Metadata!E323,"not collected"),EXACT(Metadata!E323,"not provided"),EXACT(Metadata!E323,"restricted access"))),AND(IF(Metadata!E323="",FALSE,TRUE),AND(AND(IFERROR(INT(LEFT(Metadata!E323,4))&gt;1900,FALSE),IFERROR(INT(LEFT(Metadata!E323,4))&lt;=YEAR(NOW()),FALSE)), OR(MID(Metadata!E323,5,1)="", AND(AND(MID(Metadata!E323,5,1)="-",IFERROR(INT(MID(Metadata!E323,6,1))&gt;=0,FALSE),IFERROR(INT(MID(Metadata!E323,6,1))&lt;=1,FALSE),NOT(MID(Metadata!E323,7,1)=""),IFERROR(INT(MID(Metadata!E323,6,2))&gt;=1,FALSE),IFERROR(INT(MID(Metadata!E323,6,2))&lt;=12,FALSE)), OR(MID(Metadata!E323,8,1)="", AND(AND(MID(Metadata!E323,8,1)="-",IFERROR(INT(MID(Metadata!E323,9,1))&gt;=0,FALSE),IFERROR(INT(MID(Metadata!E323,9,1))&lt;=3,FALSE),NOT(MID(Metadata!E323,10,1)=""),IFERROR(INT(MID(Metadata!E323,9,2))&gt;=1,FALSE),IFERROR(INT(MID(Metadata!E323,9,2))&lt;=31,FALSE)), OR(MID(Metadata!E323,11,1)="", AND(AND(MID(Metadata!E323,11,1)=" ",IFERROR(INT(MID(Metadata!E323,12,1))&gt;=0,FALSE),IFERROR(INT(MID(Metadata!E323,12,1))&lt;=2,FALSE),NOT(MID(Metadata!E323,13,1)=""),IFERROR(INT(MID(Metadata!E323,12,2))&gt;=0,FALSE),IFERROR(INT(MID(Metadata!E323,12,2))&lt;=23,FALSE)), OR(MID(Metadata!E323,14,1)="", AND(AND(MID(Metadata!E323,14,1)=":",IFERROR(INT(MID(Metadata!E323,15,1))&gt;=0,FALSE),IFERROR(INT(MID(Metadata!E323,15,1))&lt;=5,FALSE),NOT(MID(Metadata!E323,16,1)=""),IFERROR(INT(MID(Metadata!E323,15,2))&gt;=0,FALSE),IFERROR(INT(MID(Metadata!E323,15,2))&lt;=59,FALSE)), OR(MID(Metadata!E323,17,1)="", AND(AND(MID(Metadata!E323,17,1)=":",IFERROR(INT(MID(Metadata!E323,18,1))&gt;=0,FALSE),IFERROR(INT(MID(Metadata!E323,18,1))&lt;=5,FALSE),NOT(MID(Metadata!E323,19,1)=""),IFERROR(INT(MID(Metadata!E323,18,2))&gt;=0,FALSE),IFERROR(INT(MID(Metadata!E323,18,2))&lt;=59,FALSE)), LEN(Metadata!E323)&lt;=19)))))))))))))</f>
        <v>0</v>
      </c>
      <c r="AS323" t="b">
        <f>IF(Metadata!F323="",FALSE,TRUE)</f>
        <v>0</v>
      </c>
      <c r="AT323" t="b">
        <f>OR(AND(IF(Metadata!G323="",FALSE,TRUE),OR(EXACT(Metadata!G323,"not collected"),EXACT(Metadata!G323,"not provided"))),AND(IF(Metadata!G323="",FALSE,TRUE),OR(EXACT(Metadata!G323,"TRUE"),EXACT(Metadata!G323,"FALSE"))))</f>
        <v>0</v>
      </c>
      <c r="AU323" t="b">
        <f>OR(AND(IF(Metadata!H323="",FALSE,TRUE),OR(EXACT(Metadata!H323,"not collected"),EXACT(Metadata!H323,"not provided"),EXACT(Metadata!H323,"restricted access"))),AND(IF(Metadata!H323="",FALSE,ISNUMBER(VALUE(Metadata!H323))),Metadata!H323&gt;=-413))</f>
        <v>0</v>
      </c>
      <c r="AV323" t="b">
        <f>AND(IF(Metadata!I323="",FALSE,TRUE),EXACT(Metadata!I323,"meters"))</f>
        <v>0</v>
      </c>
      <c r="AW323" t="b">
        <f>AND(IF(Metadata!J323="",FALSE,TRUE),EXACT(Metadata!J323,"free-living"))</f>
        <v>0</v>
      </c>
      <c r="AX323" t="b">
        <f>AND(IF(Metadata!K323="",FALSE,TRUE),OR(EXACT(Metadata!K323,"saline"),EXACT(Metadata!K323,"non-saline")))</f>
        <v>0</v>
      </c>
      <c r="AY323" t="b">
        <f>AND(IF(Metadata!L323="",FALSE,TRUE),OR(EXACT(Metadata!L323,"sub-surface (non-saline)"),EXACT(Metadata!L323,"surface (non-saline)"),EXACT(Metadata!L323,"water (non-saline)"),EXACT(Metadata!L323,"soil (non-saline)"),EXACT(Metadata!L323,"aerosol (non-saline)"),EXACT(Metadata!L323,"sediment (non-saline)"),EXACT(Metadata!L323,"surface (saline)"),EXACT(Metadata!L323,"water (saline)"),EXACT(Metadata!L323,"hypersaline (saline)"),EXACT(Metadata!L323,"aerosol (saline)"),EXACT(Metadata!L323,"sediment (saline)")))</f>
        <v>0</v>
      </c>
      <c r="AZ323" t="b">
        <f>IF(Metadata!M323="",FALSE,TRUE)</f>
        <v>0</v>
      </c>
      <c r="BA323" t="b">
        <f>IF(Metadata!N323="",FALSE,TRUE)</f>
        <v>0</v>
      </c>
      <c r="BB323" t="b">
        <f>IF(Metadata!O323="",FALSE,TRUE)</f>
        <v>0</v>
      </c>
      <c r="BC323" t="b">
        <f>AND(IF(Metadata!P323="",FALSE,TRUE),OR(EXACT(Metadata!P323,"air"),EXACT(Metadata!P323,"microbial mat/biofilm"),EXACT(Metadata!P323,"misc environment"),EXACT(Metadata!P323,"sediment"),EXACT(Metadata!P323,"soil"),EXACT(Metadata!P323,"wastewater/sludge"),EXACT(Metadata!P323,"water")))</f>
        <v>0</v>
      </c>
      <c r="BD323" t="b">
        <f>IF(Metadata!Q323="",FALSE,TRUE)</f>
        <v>0</v>
      </c>
      <c r="BE323" t="b">
        <f>IF(Metadata!R323="",FALSE,TRUE)</f>
        <v>0</v>
      </c>
      <c r="BF323" t="b">
        <f>OR(AND(IF(Metadata!S323="",FALSE,TRUE),OR(EXACT(Metadata!S323,"not collected"),EXACT(Metadata!S323,"not provided"),EXACT(Metadata!S323,"restricted access"))),AND(IF(Metadata!S323="",FALSE,ISNUMBER(VALUE(Metadata!S323))),Metadata!S323&gt;=-90,Metadata!S323&lt;=90))</f>
        <v>0</v>
      </c>
      <c r="BG323" t="b">
        <f>AND(IF(Metadata!T323="",FALSE,TRUE),EXACT(Metadata!T323,"Decimal degrees"))</f>
        <v>0</v>
      </c>
      <c r="BH323" t="b">
        <f>OR(AND(IF(Metadata!U323="",FALSE,TRUE),OR(EXACT(Metadata!U323,"not applicable"),EXACT(Metadata!U323,"not collected"))),IF(Metadata!U323="",FALSE,TRUE))</f>
        <v>0</v>
      </c>
      <c r="BI323" t="b">
        <f>OR(AND(IF(Metadata!V323="",FALSE,TRUE),OR(EXACT(Metadata!V323,"not collected"),EXACT(Metadata!V323,"not provided"),EXACT(Metadata!V323,"restricted access"))),AND(IF(Metadata!V323="",FALSE,ISNUMBER(VALUE(Metadata!V323))),Metadata!V323&gt;=-180,Metadata!V323&lt;=180))</f>
        <v>0</v>
      </c>
      <c r="BJ323" t="b">
        <f>AND(IF(Metadata!W323="",FALSE,TRUE),EXACT(Metadata!W323,"Decimal degrees"))</f>
        <v>0</v>
      </c>
      <c r="BK323" t="b">
        <f>IF(Metadata!X323="",FALSE,TRUE)</f>
        <v>0</v>
      </c>
      <c r="BL323" t="b">
        <f>OR(AND(IF(Metadata!Y323="",FALSE,TRUE),OR(EXACT(Metadata!Y323,"not collected"),EXACT(Metadata!Y323,"not provided"),EXACT(Metadata!Y323,"restricted access"))),AND(IF(Metadata!Y323="",FALSE,TRUE),OR(EXACT(Metadata!Y323,"TRUE"),EXACT(Metadata!Y323,"FALSE"))))</f>
        <v>0</v>
      </c>
      <c r="BM323" t="b">
        <f>OR(AND(IF(Metadata!Z323="",FALSE,TRUE),EXACT(Metadata!Z323,"not applicable")),AND(IF(Metadata!Z323="",FALSE,TRUE),OR(EXACT(Metadata!Z323,"beer"),EXACT(Metadata!Z323,"cheese"),EXACT(Metadata!Z323,"fresh water"),EXACT(Metadata!Z323,"marine sediment"),EXACT(Metadata!Z323,"sea water"),EXACT(Metadata!Z323,"sediment"),EXACT(Metadata!Z323,"soil"),EXACT(Metadata!Z323,"waste water"))))</f>
        <v>0</v>
      </c>
      <c r="BN323" t="b">
        <f>AND(IF(Metadata!AA323="",FALSE,TRUE),EXACT(Metadata!AA323,"metagenome"))</f>
        <v>0</v>
      </c>
      <c r="BO323" t="b">
        <f>AND(IF(Metadata!AB323="",FALSE,TRUE),EXACT(Metadata!AB323,"256318"))</f>
        <v>0</v>
      </c>
      <c r="BP323" t="b">
        <f>IF(Metadata!AC323="",FALSE,TRUE)</f>
        <v>0</v>
      </c>
      <c r="BQ323" t="b">
        <f>IF(Metadata!AD323="",FALSE,TRUE)</f>
        <v>0</v>
      </c>
    </row>
    <row r="324" spans="1:69" x14ac:dyDescent="0.2">
      <c r="A324" s="4" t="e">
        <f ca="1">IF(B324=" "," ",HYPERLINK(CONCATENATE("#metadata!",ADDRESS(INDEX($AJ$2:$AJ$1001,MATCH(ROWS($AH$2:AH324),$AH$2:$AH$1001,0),0),2)),INDEX($AM$2:$AM$1001,MATCH(ROWS($AH$2:AH324),$AH$2:$AH$1001,0),0)))</f>
        <v>#N/A</v>
      </c>
      <c r="B324" s="5" t="e">
        <f ca="1">IF(OR(INDEX($AI$2:$AI$1001,MATCH(ROWS($AH$2:AH324),$AH$2:$AH$1001,0),1)&gt;=100000,INDEX($AO$1005:$BQ$1005,1,MATCH(COLUMNS($AO$1006:AO1006),$AO$1006:$BQ$1006,0))&gt;=100000), " ",IF(INDEX($AO$2:$BQ$1001,MATCH(ROWS($AH$2:AH324),$AH$2:$AH$1001,0),MATCH(COLUMNS($AO$1006:AO1006),$AO$1006:$BQ$1006,0)), HYPERLINK("#",""), HYPERLINK(CONCATENATE("#Metadata!", ADDRESS(INDEX($AJ$2:$AJ$1001,MATCH(ROWS($AH$2:AH324),$AH$2:$AH$1001,0),0), INDEX($AO$1004:$BQ$1004,1,MATCH(COLUMNS($AO$1006:AO1006),$AO$1006:$BQ$1006,0)))),"Fix")))</f>
        <v>#N/A</v>
      </c>
      <c r="C324" s="5" t="e">
        <f ca="1">IF(OR(INDEX($AI$2:$AI$1001,MATCH(ROWS($AH$2:AH324),$AH$2:$AH$1001,0),1)&gt;=100000,INDEX($AO$1005:$BQ$1005,1,MATCH(COLUMNS($AO$1006:AP1006),$AO$1006:$BQ$1006,0))&gt;=100000), " ",IF(INDEX($AO$2:$BQ$1001,MATCH(ROWS($AH$2:AH324),$AH$2:$AH$1001,0),MATCH(COLUMNS($AO$1006:AP1006),$AO$1006:$BQ$1006,0)), HYPERLINK("#",""), HYPERLINK(CONCATENATE("#Metadata!", ADDRESS(INDEX($AJ$2:$AJ$1001,MATCH(ROWS($AH$2:AH324),$AH$2:$AH$1001,0),0), INDEX($AO$1004:$BQ$1004,1,MATCH(COLUMNS($AO$1006:AP1006),$AO$1006:$BQ$1006,0)))),"Fix")))</f>
        <v>#N/A</v>
      </c>
      <c r="D324" s="5" t="e">
        <f ca="1">IF(OR(INDEX($AI$2:$AI$1001,MATCH(ROWS($AH$2:AH324),$AH$2:$AH$1001,0),1)&gt;=100000,INDEX($AO$1005:$BQ$1005,1,MATCH(COLUMNS($AO$1006:AQ1006),$AO$1006:$BQ$1006,0))&gt;=100000), " ",IF(INDEX($AO$2:$BQ$1001,MATCH(ROWS($AH$2:AH324),$AH$2:$AH$1001,0),MATCH(COLUMNS($AO$1006:AQ1006),$AO$1006:$BQ$1006,0)), HYPERLINK("#",""), HYPERLINK(CONCATENATE("#Metadata!", ADDRESS(INDEX($AJ$2:$AJ$1001,MATCH(ROWS($AH$2:AH324),$AH$2:$AH$1001,0),0), INDEX($AO$1004:$BQ$1004,1,MATCH(COLUMNS($AO$1006:AQ1006),$AO$1006:$BQ$1006,0)))),"Fix")))</f>
        <v>#N/A</v>
      </c>
      <c r="E324" s="5" t="e">
        <f ca="1">IF(OR(INDEX($AI$2:$AI$1001,MATCH(ROWS($AH$2:AH324),$AH$2:$AH$1001,0),1)&gt;=100000,INDEX($AO$1005:$BQ$1005,1,MATCH(COLUMNS($AO$1006:AR1006),$AO$1006:$BQ$1006,0))&gt;=100000), " ",IF(INDEX($AO$2:$BQ$1001,MATCH(ROWS($AH$2:AH324),$AH$2:$AH$1001,0),MATCH(COLUMNS($AO$1006:AR1006),$AO$1006:$BQ$1006,0)), HYPERLINK("#",""), HYPERLINK(CONCATENATE("#Metadata!", ADDRESS(INDEX($AJ$2:$AJ$1001,MATCH(ROWS($AH$2:AH324),$AH$2:$AH$1001,0),0), INDEX($AO$1004:$BQ$1004,1,MATCH(COLUMNS($AO$1006:AR1006),$AO$1006:$BQ$1006,0)))),"Fix")))</f>
        <v>#N/A</v>
      </c>
      <c r="F324" s="5" t="e">
        <f ca="1">IF(OR(INDEX($AI$2:$AI$1001,MATCH(ROWS($AH$2:AH324),$AH$2:$AH$1001,0),1)&gt;=100000,INDEX($AO$1005:$BQ$1005,1,MATCH(COLUMNS($AO$1006:AS1006),$AO$1006:$BQ$1006,0))&gt;=100000), " ",IF(INDEX($AO$2:$BQ$1001,MATCH(ROWS($AH$2:AH324),$AH$2:$AH$1001,0),MATCH(COLUMNS($AO$1006:AS1006),$AO$1006:$BQ$1006,0)), HYPERLINK("#",""), HYPERLINK(CONCATENATE("#Metadata!", ADDRESS(INDEX($AJ$2:$AJ$1001,MATCH(ROWS($AH$2:AH324),$AH$2:$AH$1001,0),0), INDEX($AO$1004:$BQ$1004,1,MATCH(COLUMNS($AO$1006:AS1006),$AO$1006:$BQ$1006,0)))),"Fix")))</f>
        <v>#N/A</v>
      </c>
      <c r="G324" s="5" t="e">
        <f ca="1">IF(OR(INDEX($AI$2:$AI$1001,MATCH(ROWS($AH$2:AH324),$AH$2:$AH$1001,0),1)&gt;=100000,INDEX($AO$1005:$BQ$1005,1,MATCH(COLUMNS($AO$1006:AT1006),$AO$1006:$BQ$1006,0))&gt;=100000), " ",IF(INDEX($AO$2:$BQ$1001,MATCH(ROWS($AH$2:AH324),$AH$2:$AH$1001,0),MATCH(COLUMNS($AO$1006:AT1006),$AO$1006:$BQ$1006,0)), HYPERLINK("#",""), HYPERLINK(CONCATENATE("#Metadata!", ADDRESS(INDEX($AJ$2:$AJ$1001,MATCH(ROWS($AH$2:AH324),$AH$2:$AH$1001,0),0), INDEX($AO$1004:$BQ$1004,1,MATCH(COLUMNS($AO$1006:AT1006),$AO$1006:$BQ$1006,0)))),"Fix")))</f>
        <v>#N/A</v>
      </c>
      <c r="H324" s="5" t="e">
        <f ca="1">IF(OR(INDEX($AI$2:$AI$1001,MATCH(ROWS($AH$2:AH324),$AH$2:$AH$1001,0),1)&gt;=100000,INDEX($AO$1005:$BQ$1005,1,MATCH(COLUMNS($AO$1006:AU1006),$AO$1006:$BQ$1006,0))&gt;=100000), " ",IF(INDEX($AO$2:$BQ$1001,MATCH(ROWS($AH$2:AH324),$AH$2:$AH$1001,0),MATCH(COLUMNS($AO$1006:AU1006),$AO$1006:$BQ$1006,0)), HYPERLINK("#",""), HYPERLINK(CONCATENATE("#Metadata!", ADDRESS(INDEX($AJ$2:$AJ$1001,MATCH(ROWS($AH$2:AH324),$AH$2:$AH$1001,0),0), INDEX($AO$1004:$BQ$1004,1,MATCH(COLUMNS($AO$1006:AU1006),$AO$1006:$BQ$1006,0)))),"Fix")))</f>
        <v>#N/A</v>
      </c>
      <c r="I324" s="5" t="e">
        <f ca="1">IF(OR(INDEX($AI$2:$AI$1001,MATCH(ROWS($AH$2:AH324),$AH$2:$AH$1001,0),1)&gt;=100000,INDEX($AO$1005:$BQ$1005,1,MATCH(COLUMNS($AO$1006:AV1006),$AO$1006:$BQ$1006,0))&gt;=100000), " ",IF(INDEX($AO$2:$BQ$1001,MATCH(ROWS($AH$2:AH324),$AH$2:$AH$1001,0),MATCH(COLUMNS($AO$1006:AV1006),$AO$1006:$BQ$1006,0)), HYPERLINK("#",""), HYPERLINK(CONCATENATE("#Metadata!", ADDRESS(INDEX($AJ$2:$AJ$1001,MATCH(ROWS($AH$2:AH324),$AH$2:$AH$1001,0),0), INDEX($AO$1004:$BQ$1004,1,MATCH(COLUMNS($AO$1006:AV1006),$AO$1006:$BQ$1006,0)))),"Fix")))</f>
        <v>#N/A</v>
      </c>
      <c r="J324" s="5" t="e">
        <f ca="1">IF(OR(INDEX($AI$2:$AI$1001,MATCH(ROWS($AH$2:AH324),$AH$2:$AH$1001,0),1)&gt;=100000,INDEX($AO$1005:$BQ$1005,1,MATCH(COLUMNS($AO$1006:AW1006),$AO$1006:$BQ$1006,0))&gt;=100000), " ",IF(INDEX($AO$2:$BQ$1001,MATCH(ROWS($AH$2:AH324),$AH$2:$AH$1001,0),MATCH(COLUMNS($AO$1006:AW1006),$AO$1006:$BQ$1006,0)), HYPERLINK("#",""), HYPERLINK(CONCATENATE("#Metadata!", ADDRESS(INDEX($AJ$2:$AJ$1001,MATCH(ROWS($AH$2:AH324),$AH$2:$AH$1001,0),0), INDEX($AO$1004:$BQ$1004,1,MATCH(COLUMNS($AO$1006:AW1006),$AO$1006:$BQ$1006,0)))),"Fix")))</f>
        <v>#N/A</v>
      </c>
      <c r="K324" s="5" t="e">
        <f ca="1">IF(OR(INDEX($AI$2:$AI$1001,MATCH(ROWS($AH$2:AH324),$AH$2:$AH$1001,0),1)&gt;=100000,INDEX($AO$1005:$BQ$1005,1,MATCH(COLUMNS($AO$1006:AX1006),$AO$1006:$BQ$1006,0))&gt;=100000), " ",IF(INDEX($AO$2:$BQ$1001,MATCH(ROWS($AH$2:AH324),$AH$2:$AH$1001,0),MATCH(COLUMNS($AO$1006:AX1006),$AO$1006:$BQ$1006,0)), HYPERLINK("#",""), HYPERLINK(CONCATENATE("#Metadata!", ADDRESS(INDEX($AJ$2:$AJ$1001,MATCH(ROWS($AH$2:AH324),$AH$2:$AH$1001,0),0), INDEX($AO$1004:$BQ$1004,1,MATCH(COLUMNS($AO$1006:AX1006),$AO$1006:$BQ$1006,0)))),"Fix")))</f>
        <v>#N/A</v>
      </c>
      <c r="L324" s="5" t="e">
        <f ca="1">IF(OR(INDEX($AI$2:$AI$1001,MATCH(ROWS($AH$2:AH324),$AH$2:$AH$1001,0),1)&gt;=100000,INDEX($AO$1005:$BQ$1005,1,MATCH(COLUMNS($AO$1006:AY1006),$AO$1006:$BQ$1006,0))&gt;=100000), " ",IF(INDEX($AO$2:$BQ$1001,MATCH(ROWS($AH$2:AH324),$AH$2:$AH$1001,0),MATCH(COLUMNS($AO$1006:AY1006),$AO$1006:$BQ$1006,0)), HYPERLINK("#",""), HYPERLINK(CONCATENATE("#Metadata!", ADDRESS(INDEX($AJ$2:$AJ$1001,MATCH(ROWS($AH$2:AH324),$AH$2:$AH$1001,0),0), INDEX($AO$1004:$BQ$1004,1,MATCH(COLUMNS($AO$1006:AY1006),$AO$1006:$BQ$1006,0)))),"Fix")))</f>
        <v>#N/A</v>
      </c>
      <c r="M324" s="5" t="e">
        <f ca="1">IF(OR(INDEX($AI$2:$AI$1001,MATCH(ROWS($AH$2:AH324),$AH$2:$AH$1001,0),1)&gt;=100000,INDEX($AO$1005:$BQ$1005,1,MATCH(COLUMNS($AO$1006:AZ1006),$AO$1006:$BQ$1006,0))&gt;=100000), " ",IF(INDEX($AO$2:$BQ$1001,MATCH(ROWS($AH$2:AH324),$AH$2:$AH$1001,0),MATCH(COLUMNS($AO$1006:AZ1006),$AO$1006:$BQ$1006,0)), HYPERLINK("#",""), HYPERLINK(CONCATENATE("#Metadata!", ADDRESS(INDEX($AJ$2:$AJ$1001,MATCH(ROWS($AH$2:AH324),$AH$2:$AH$1001,0),0), INDEX($AO$1004:$BQ$1004,1,MATCH(COLUMNS($AO$1006:AZ1006),$AO$1006:$BQ$1006,0)))),"Fix")))</f>
        <v>#N/A</v>
      </c>
      <c r="N324" s="5" t="e">
        <f ca="1">IF(OR(INDEX($AI$2:$AI$1001,MATCH(ROWS($AH$2:AH324),$AH$2:$AH$1001,0),1)&gt;=100000,INDEX($AO$1005:$BQ$1005,1,MATCH(COLUMNS($AO$1006:BA1006),$AO$1006:$BQ$1006,0))&gt;=100000), " ",IF(INDEX($AO$2:$BQ$1001,MATCH(ROWS($AH$2:AH324),$AH$2:$AH$1001,0),MATCH(COLUMNS($AO$1006:BA1006),$AO$1006:$BQ$1006,0)), HYPERLINK("#",""), HYPERLINK(CONCATENATE("#Metadata!", ADDRESS(INDEX($AJ$2:$AJ$1001,MATCH(ROWS($AH$2:AH324),$AH$2:$AH$1001,0),0), INDEX($AO$1004:$BQ$1004,1,MATCH(COLUMNS($AO$1006:BA1006),$AO$1006:$BQ$1006,0)))),"Fix")))</f>
        <v>#N/A</v>
      </c>
      <c r="O324" s="5" t="e">
        <f ca="1">IF(OR(INDEX($AI$2:$AI$1001,MATCH(ROWS($AH$2:AH324),$AH$2:$AH$1001,0),1)&gt;=100000,INDEX($AO$1005:$BQ$1005,1,MATCH(COLUMNS($AO$1006:BB1006),$AO$1006:$BQ$1006,0))&gt;=100000), " ",IF(INDEX($AO$2:$BQ$1001,MATCH(ROWS($AH$2:AH324),$AH$2:$AH$1001,0),MATCH(COLUMNS($AO$1006:BB1006),$AO$1006:$BQ$1006,0)), HYPERLINK("#",""), HYPERLINK(CONCATENATE("#Metadata!", ADDRESS(INDEX($AJ$2:$AJ$1001,MATCH(ROWS($AH$2:AH324),$AH$2:$AH$1001,0),0), INDEX($AO$1004:$BQ$1004,1,MATCH(COLUMNS($AO$1006:BB1006),$AO$1006:$BQ$1006,0)))),"Fix")))</f>
        <v>#N/A</v>
      </c>
      <c r="P324" s="5" t="e">
        <f ca="1">IF(OR(INDEX($AI$2:$AI$1001,MATCH(ROWS($AH$2:AH324),$AH$2:$AH$1001,0),1)&gt;=100000,INDEX($AO$1005:$BQ$1005,1,MATCH(COLUMNS($AO$1006:BC1006),$AO$1006:$BQ$1006,0))&gt;=100000), " ",IF(INDEX($AO$2:$BQ$1001,MATCH(ROWS($AH$2:AH324),$AH$2:$AH$1001,0),MATCH(COLUMNS($AO$1006:BC1006),$AO$1006:$BQ$1006,0)), HYPERLINK("#",""), HYPERLINK(CONCATENATE("#Metadata!", ADDRESS(INDEX($AJ$2:$AJ$1001,MATCH(ROWS($AH$2:AH324),$AH$2:$AH$1001,0),0), INDEX($AO$1004:$BQ$1004,1,MATCH(COLUMNS($AO$1006:BC1006),$AO$1006:$BQ$1006,0)))),"Fix")))</f>
        <v>#N/A</v>
      </c>
      <c r="Q324" s="5" t="e">
        <f ca="1">IF(OR(INDEX($AI$2:$AI$1001,MATCH(ROWS($AH$2:AH324),$AH$2:$AH$1001,0),1)&gt;=100000,INDEX($AO$1005:$BQ$1005,1,MATCH(COLUMNS($AO$1006:BD1006),$AO$1006:$BQ$1006,0))&gt;=100000), " ",IF(INDEX($AO$2:$BQ$1001,MATCH(ROWS($AH$2:AH324),$AH$2:$AH$1001,0),MATCH(COLUMNS($AO$1006:BD1006),$AO$1006:$BQ$1006,0)), HYPERLINK("#",""), HYPERLINK(CONCATENATE("#Metadata!", ADDRESS(INDEX($AJ$2:$AJ$1001,MATCH(ROWS($AH$2:AH324),$AH$2:$AH$1001,0),0), INDEX($AO$1004:$BQ$1004,1,MATCH(COLUMNS($AO$1006:BD1006),$AO$1006:$BQ$1006,0)))),"Fix")))</f>
        <v>#N/A</v>
      </c>
      <c r="R324" s="5" t="e">
        <f ca="1">IF(OR(INDEX($AI$2:$AI$1001,MATCH(ROWS($AH$2:AH324),$AH$2:$AH$1001,0),1)&gt;=100000,INDEX($AO$1005:$BQ$1005,1,MATCH(COLUMNS($AO$1006:BE1006),$AO$1006:$BQ$1006,0))&gt;=100000), " ",IF(INDEX($AO$2:$BQ$1001,MATCH(ROWS($AH$2:AH324),$AH$2:$AH$1001,0),MATCH(COLUMNS($AO$1006:BE1006),$AO$1006:$BQ$1006,0)), HYPERLINK("#",""), HYPERLINK(CONCATENATE("#Metadata!", ADDRESS(INDEX($AJ$2:$AJ$1001,MATCH(ROWS($AH$2:AH324),$AH$2:$AH$1001,0),0), INDEX($AO$1004:$BQ$1004,1,MATCH(COLUMNS($AO$1006:BE1006),$AO$1006:$BQ$1006,0)))),"Fix")))</f>
        <v>#N/A</v>
      </c>
      <c r="S324" s="5" t="e">
        <f ca="1">IF(OR(INDEX($AI$2:$AI$1001,MATCH(ROWS($AH$2:AH324),$AH$2:$AH$1001,0),1)&gt;=100000,INDEX($AO$1005:$BQ$1005,1,MATCH(COLUMNS($AO$1006:BF1006),$AO$1006:$BQ$1006,0))&gt;=100000), " ",IF(INDEX($AO$2:$BQ$1001,MATCH(ROWS($AH$2:AH324),$AH$2:$AH$1001,0),MATCH(COLUMNS($AO$1006:BF1006),$AO$1006:$BQ$1006,0)), HYPERLINK("#",""), HYPERLINK(CONCATENATE("#Metadata!", ADDRESS(INDEX($AJ$2:$AJ$1001,MATCH(ROWS($AH$2:AH324),$AH$2:$AH$1001,0),0), INDEX($AO$1004:$BQ$1004,1,MATCH(COLUMNS($AO$1006:BF1006),$AO$1006:$BQ$1006,0)))),"Fix")))</f>
        <v>#N/A</v>
      </c>
      <c r="T324" s="5" t="e">
        <f ca="1">IF(OR(INDEX($AI$2:$AI$1001,MATCH(ROWS($AH$2:AH324),$AH$2:$AH$1001,0),1)&gt;=100000,INDEX($AO$1005:$BQ$1005,1,MATCH(COLUMNS($AO$1006:BG1006),$AO$1006:$BQ$1006,0))&gt;=100000), " ",IF(INDEX($AO$2:$BQ$1001,MATCH(ROWS($AH$2:AH324),$AH$2:$AH$1001,0),MATCH(COLUMNS($AO$1006:BG1006),$AO$1006:$BQ$1006,0)), HYPERLINK("#",""), HYPERLINK(CONCATENATE("#Metadata!", ADDRESS(INDEX($AJ$2:$AJ$1001,MATCH(ROWS($AH$2:AH324),$AH$2:$AH$1001,0),0), INDEX($AO$1004:$BQ$1004,1,MATCH(COLUMNS($AO$1006:BG1006),$AO$1006:$BQ$1006,0)))),"Fix")))</f>
        <v>#N/A</v>
      </c>
      <c r="U324" s="5" t="e">
        <f ca="1">IF(OR(INDEX($AI$2:$AI$1001,MATCH(ROWS($AH$2:AH324),$AH$2:$AH$1001,0),1)&gt;=100000,INDEX($AO$1005:$BQ$1005,1,MATCH(COLUMNS($AO$1006:BH1006),$AO$1006:$BQ$1006,0))&gt;=100000), " ",IF(INDEX($AO$2:$BQ$1001,MATCH(ROWS($AH$2:AH324),$AH$2:$AH$1001,0),MATCH(COLUMNS($AO$1006:BH1006),$AO$1006:$BQ$1006,0)), HYPERLINK("#",""), HYPERLINK(CONCATENATE("#Metadata!", ADDRESS(INDEX($AJ$2:$AJ$1001,MATCH(ROWS($AH$2:AH324),$AH$2:$AH$1001,0),0), INDEX($AO$1004:$BQ$1004,1,MATCH(COLUMNS($AO$1006:BH1006),$AO$1006:$BQ$1006,0)))),"Fix")))</f>
        <v>#N/A</v>
      </c>
      <c r="V324" s="5" t="e">
        <f ca="1">IF(OR(INDEX($AI$2:$AI$1001,MATCH(ROWS($AH$2:AH324),$AH$2:$AH$1001,0),1)&gt;=100000,INDEX($AO$1005:$BQ$1005,1,MATCH(COLUMNS($AO$1006:BI1006),$AO$1006:$BQ$1006,0))&gt;=100000), " ",IF(INDEX($AO$2:$BQ$1001,MATCH(ROWS($AH$2:AH324),$AH$2:$AH$1001,0),MATCH(COLUMNS($AO$1006:BI1006),$AO$1006:$BQ$1006,0)), HYPERLINK("#",""), HYPERLINK(CONCATENATE("#Metadata!", ADDRESS(INDEX($AJ$2:$AJ$1001,MATCH(ROWS($AH$2:AH324),$AH$2:$AH$1001,0),0), INDEX($AO$1004:$BQ$1004,1,MATCH(COLUMNS($AO$1006:BI1006),$AO$1006:$BQ$1006,0)))),"Fix")))</f>
        <v>#N/A</v>
      </c>
      <c r="W324" s="5" t="e">
        <f ca="1">IF(OR(INDEX($AI$2:$AI$1001,MATCH(ROWS($AH$2:AH324),$AH$2:$AH$1001,0),1)&gt;=100000,INDEX($AO$1005:$BQ$1005,1,MATCH(COLUMNS($AO$1006:BJ1006),$AO$1006:$BQ$1006,0))&gt;=100000), " ",IF(INDEX($AO$2:$BQ$1001,MATCH(ROWS($AH$2:AH324),$AH$2:$AH$1001,0),MATCH(COLUMNS($AO$1006:BJ1006),$AO$1006:$BQ$1006,0)), HYPERLINK("#",""), HYPERLINK(CONCATENATE("#Metadata!", ADDRESS(INDEX($AJ$2:$AJ$1001,MATCH(ROWS($AH$2:AH324),$AH$2:$AH$1001,0),0), INDEX($AO$1004:$BQ$1004,1,MATCH(COLUMNS($AO$1006:BJ1006),$AO$1006:$BQ$1006,0)))),"Fix")))</f>
        <v>#N/A</v>
      </c>
      <c r="X324" s="5" t="e">
        <f ca="1">IF(OR(INDEX($AI$2:$AI$1001,MATCH(ROWS($AH$2:AH324),$AH$2:$AH$1001,0),1)&gt;=100000,INDEX($AO$1005:$BQ$1005,1,MATCH(COLUMNS($AO$1006:BK1006),$AO$1006:$BQ$1006,0))&gt;=100000), " ",IF(INDEX($AO$2:$BQ$1001,MATCH(ROWS($AH$2:AH324),$AH$2:$AH$1001,0),MATCH(COLUMNS($AO$1006:BK1006),$AO$1006:$BQ$1006,0)), HYPERLINK("#",""), HYPERLINK(CONCATENATE("#Metadata!", ADDRESS(INDEX($AJ$2:$AJ$1001,MATCH(ROWS($AH$2:AH324),$AH$2:$AH$1001,0),0), INDEX($AO$1004:$BQ$1004,1,MATCH(COLUMNS($AO$1006:BK1006),$AO$1006:$BQ$1006,0)))),"Fix")))</f>
        <v>#N/A</v>
      </c>
      <c r="Y324" s="5" t="e">
        <f ca="1">IF(OR(INDEX($AI$2:$AI$1001,MATCH(ROWS($AH$2:AH324),$AH$2:$AH$1001,0),1)&gt;=100000,INDEX($AO$1005:$BQ$1005,1,MATCH(COLUMNS($AO$1006:BL1006),$AO$1006:$BQ$1006,0))&gt;=100000), " ",IF(INDEX($AO$2:$BQ$1001,MATCH(ROWS($AH$2:AH324),$AH$2:$AH$1001,0),MATCH(COLUMNS($AO$1006:BL1006),$AO$1006:$BQ$1006,0)), HYPERLINK("#",""), HYPERLINK(CONCATENATE("#Metadata!", ADDRESS(INDEX($AJ$2:$AJ$1001,MATCH(ROWS($AH$2:AH324),$AH$2:$AH$1001,0),0), INDEX($AO$1004:$BQ$1004,1,MATCH(COLUMNS($AO$1006:BL1006),$AO$1006:$BQ$1006,0)))),"Fix")))</f>
        <v>#N/A</v>
      </c>
      <c r="Z324" s="5" t="e">
        <f ca="1">IF(OR(INDEX($AI$2:$AI$1001,MATCH(ROWS($AH$2:AH324),$AH$2:$AH$1001,0),1)&gt;=100000,INDEX($AO$1005:$BQ$1005,1,MATCH(COLUMNS($AO$1006:BM1006),$AO$1006:$BQ$1006,0))&gt;=100000), " ",IF(INDEX($AO$2:$BQ$1001,MATCH(ROWS($AH$2:AH324),$AH$2:$AH$1001,0),MATCH(COLUMNS($AO$1006:BM1006),$AO$1006:$BQ$1006,0)), HYPERLINK("#",""), HYPERLINK(CONCATENATE("#Metadata!", ADDRESS(INDEX($AJ$2:$AJ$1001,MATCH(ROWS($AH$2:AH324),$AH$2:$AH$1001,0),0), INDEX($AO$1004:$BQ$1004,1,MATCH(COLUMNS($AO$1006:BM1006),$AO$1006:$BQ$1006,0)))),"Fix")))</f>
        <v>#N/A</v>
      </c>
      <c r="AA324" s="5" t="e">
        <f ca="1">IF(OR(INDEX($AI$2:$AI$1001,MATCH(ROWS($AH$2:AH324),$AH$2:$AH$1001,0),1)&gt;=100000,INDEX($AO$1005:$BQ$1005,1,MATCH(COLUMNS($AO$1006:BN1006),$AO$1006:$BQ$1006,0))&gt;=100000), " ",IF(INDEX($AO$2:$BQ$1001,MATCH(ROWS($AH$2:AH324),$AH$2:$AH$1001,0),MATCH(COLUMNS($AO$1006:BN1006),$AO$1006:$BQ$1006,0)), HYPERLINK("#",""), HYPERLINK(CONCATENATE("#Metadata!", ADDRESS(INDEX($AJ$2:$AJ$1001,MATCH(ROWS($AH$2:AH324),$AH$2:$AH$1001,0),0), INDEX($AO$1004:$BQ$1004,1,MATCH(COLUMNS($AO$1006:BN1006),$AO$1006:$BQ$1006,0)))),"Fix")))</f>
        <v>#N/A</v>
      </c>
      <c r="AB324" s="5" t="e">
        <f ca="1">IF(OR(INDEX($AI$2:$AI$1001,MATCH(ROWS($AH$2:AH324),$AH$2:$AH$1001,0),1)&gt;=100000,INDEX($AO$1005:$BQ$1005,1,MATCH(COLUMNS($AO$1006:BO1006),$AO$1006:$BQ$1006,0))&gt;=100000), " ",IF(INDEX($AO$2:$BQ$1001,MATCH(ROWS($AH$2:AH324),$AH$2:$AH$1001,0),MATCH(COLUMNS($AO$1006:BO1006),$AO$1006:$BQ$1006,0)), HYPERLINK("#",""), HYPERLINK(CONCATENATE("#Metadata!", ADDRESS(INDEX($AJ$2:$AJ$1001,MATCH(ROWS($AH$2:AH324),$AH$2:$AH$1001,0),0), INDEX($AO$1004:$BQ$1004,1,MATCH(COLUMNS($AO$1006:BO1006),$AO$1006:$BQ$1006,0)))),"Fix")))</f>
        <v>#N/A</v>
      </c>
      <c r="AC324" s="5" t="e">
        <f ca="1">IF(OR(INDEX($AI$2:$AI$1001,MATCH(ROWS($AH$2:AH324),$AH$2:$AH$1001,0),1)&gt;=100000,INDEX($AO$1005:$BQ$1005,1,MATCH(COLUMNS($AO$1006:BP1006),$AO$1006:$BQ$1006,0))&gt;=100000), " ",IF(INDEX($AO$2:$BQ$1001,MATCH(ROWS($AH$2:AH324),$AH$2:$AH$1001,0),MATCH(COLUMNS($AO$1006:BP1006),$AO$1006:$BQ$1006,0)), HYPERLINK("#",""), HYPERLINK(CONCATENATE("#Metadata!", ADDRESS(INDEX($AJ$2:$AJ$1001,MATCH(ROWS($AH$2:AH324),$AH$2:$AH$1001,0),0), INDEX($AO$1004:$BQ$1004,1,MATCH(COLUMNS($AO$1006:BP1006),$AO$1006:$BQ$1006,0)))),"Fix")))</f>
        <v>#N/A</v>
      </c>
      <c r="AD324" s="5" t="e">
        <f ca="1">IF(OR(INDEX($AI$2:$AI$1001,MATCH(ROWS($AH$2:AH324),$AH$2:$AH$1001,0),1)&gt;=100000,INDEX($AO$1005:$BQ$1005,1,MATCH(COLUMNS($AO$1006:BQ1006),$AO$1006:$BQ$1006,0))&gt;=100000), " ",IF(INDEX($AO$2:$BQ$1001,MATCH(ROWS($AH$2:AH324),$AH$2:$AH$1001,0),MATCH(COLUMNS($AO$1006:BQ1006),$AO$1006:$BQ$1006,0)), HYPERLINK("#",""), HYPERLINK(CONCATENATE("#Metadata!", ADDRESS(INDEX($AJ$2:$AJ$1001,MATCH(ROWS($AH$2:AH324),$AH$2:$AH$1001,0),0), INDEX($AO$1004:$BQ$1004,1,MATCH(COLUMNS($AO$1006:BQ1006),$AO$1006:$BQ$1006,0)))),"Fix")))</f>
        <v>#REF!</v>
      </c>
      <c r="AH324">
        <f ca="1"/>
        <v>321</v>
      </c>
      <c r="AI324">
        <v>100324</v>
      </c>
      <c r="AJ324">
        <v>324</v>
      </c>
      <c r="AK324" t="b">
        <f t="shared" si="5"/>
        <v>1</v>
      </c>
      <c r="AL324" t="b">
        <f>COUNTBLANK(Metadata!B324:AD324)=COLUMNS(Metadata!B324:AD324)</f>
        <v>1</v>
      </c>
      <c r="AM324" t="str">
        <v/>
      </c>
      <c r="AO324" t="b">
        <f ca="1">AND(IF(Metadata!B324="",FALSE,TRUE),COUNTIF(Metadata!B:B, Metadata!B324) = 1,NOT(ISERROR(SUMPRODUCT(SEARCH(MID(Metadata!B324,ROW(INDIRECT("1:"&amp;LEN(Metadata!B324))), 1),"0123456789abcdefghijklmnopqrstuvwxyzABCDEFGHIJKLMNOPQRSTUVWXYZ.")))))</f>
        <v>0</v>
      </c>
      <c r="AP324" t="b">
        <f>IF(Metadata!C324="",FALSE,TRUE)</f>
        <v>0</v>
      </c>
      <c r="AQ324" t="b">
        <f>IF(Metadata!D324="",FALSE,TRUE)</f>
        <v>0</v>
      </c>
      <c r="AR324" t="b">
        <f ca="1">OR(AND(IF(Metadata!E324="",FALSE,TRUE),OR(EXACT(Metadata!E324,"not collected"),EXACT(Metadata!E324,"not provided"),EXACT(Metadata!E324,"restricted access"))),AND(IF(Metadata!E324="",FALSE,TRUE),AND(AND(IFERROR(INT(LEFT(Metadata!E324,4))&gt;1900,FALSE),IFERROR(INT(LEFT(Metadata!E324,4))&lt;=YEAR(NOW()),FALSE)), OR(MID(Metadata!E324,5,1)="", AND(AND(MID(Metadata!E324,5,1)="-",IFERROR(INT(MID(Metadata!E324,6,1))&gt;=0,FALSE),IFERROR(INT(MID(Metadata!E324,6,1))&lt;=1,FALSE),NOT(MID(Metadata!E324,7,1)=""),IFERROR(INT(MID(Metadata!E324,6,2))&gt;=1,FALSE),IFERROR(INT(MID(Metadata!E324,6,2))&lt;=12,FALSE)), OR(MID(Metadata!E324,8,1)="", AND(AND(MID(Metadata!E324,8,1)="-",IFERROR(INT(MID(Metadata!E324,9,1))&gt;=0,FALSE),IFERROR(INT(MID(Metadata!E324,9,1))&lt;=3,FALSE),NOT(MID(Metadata!E324,10,1)=""),IFERROR(INT(MID(Metadata!E324,9,2))&gt;=1,FALSE),IFERROR(INT(MID(Metadata!E324,9,2))&lt;=31,FALSE)), OR(MID(Metadata!E324,11,1)="", AND(AND(MID(Metadata!E324,11,1)=" ",IFERROR(INT(MID(Metadata!E324,12,1))&gt;=0,FALSE),IFERROR(INT(MID(Metadata!E324,12,1))&lt;=2,FALSE),NOT(MID(Metadata!E324,13,1)=""),IFERROR(INT(MID(Metadata!E324,12,2))&gt;=0,FALSE),IFERROR(INT(MID(Metadata!E324,12,2))&lt;=23,FALSE)), OR(MID(Metadata!E324,14,1)="", AND(AND(MID(Metadata!E324,14,1)=":",IFERROR(INT(MID(Metadata!E324,15,1))&gt;=0,FALSE),IFERROR(INT(MID(Metadata!E324,15,1))&lt;=5,FALSE),NOT(MID(Metadata!E324,16,1)=""),IFERROR(INT(MID(Metadata!E324,15,2))&gt;=0,FALSE),IFERROR(INT(MID(Metadata!E324,15,2))&lt;=59,FALSE)), OR(MID(Metadata!E324,17,1)="", AND(AND(MID(Metadata!E324,17,1)=":",IFERROR(INT(MID(Metadata!E324,18,1))&gt;=0,FALSE),IFERROR(INT(MID(Metadata!E324,18,1))&lt;=5,FALSE),NOT(MID(Metadata!E324,19,1)=""),IFERROR(INT(MID(Metadata!E324,18,2))&gt;=0,FALSE),IFERROR(INT(MID(Metadata!E324,18,2))&lt;=59,FALSE)), LEN(Metadata!E324)&lt;=19)))))))))))))</f>
        <v>0</v>
      </c>
      <c r="AS324" t="b">
        <f>IF(Metadata!F324="",FALSE,TRUE)</f>
        <v>0</v>
      </c>
      <c r="AT324" t="b">
        <f>OR(AND(IF(Metadata!G324="",FALSE,TRUE),OR(EXACT(Metadata!G324,"not collected"),EXACT(Metadata!G324,"not provided"))),AND(IF(Metadata!G324="",FALSE,TRUE),OR(EXACT(Metadata!G324,"TRUE"),EXACT(Metadata!G324,"FALSE"))))</f>
        <v>0</v>
      </c>
      <c r="AU324" t="b">
        <f>OR(AND(IF(Metadata!H324="",FALSE,TRUE),OR(EXACT(Metadata!H324,"not collected"),EXACT(Metadata!H324,"not provided"),EXACT(Metadata!H324,"restricted access"))),AND(IF(Metadata!H324="",FALSE,ISNUMBER(VALUE(Metadata!H324))),Metadata!H324&gt;=-413))</f>
        <v>0</v>
      </c>
      <c r="AV324" t="b">
        <f>AND(IF(Metadata!I324="",FALSE,TRUE),EXACT(Metadata!I324,"meters"))</f>
        <v>0</v>
      </c>
      <c r="AW324" t="b">
        <f>AND(IF(Metadata!J324="",FALSE,TRUE),EXACT(Metadata!J324,"free-living"))</f>
        <v>0</v>
      </c>
      <c r="AX324" t="b">
        <f>AND(IF(Metadata!K324="",FALSE,TRUE),OR(EXACT(Metadata!K324,"saline"),EXACT(Metadata!K324,"non-saline")))</f>
        <v>0</v>
      </c>
      <c r="AY324" t="b">
        <f>AND(IF(Metadata!L324="",FALSE,TRUE),OR(EXACT(Metadata!L324,"sub-surface (non-saline)"),EXACT(Metadata!L324,"surface (non-saline)"),EXACT(Metadata!L324,"water (non-saline)"),EXACT(Metadata!L324,"soil (non-saline)"),EXACT(Metadata!L324,"aerosol (non-saline)"),EXACT(Metadata!L324,"sediment (non-saline)"),EXACT(Metadata!L324,"surface (saline)"),EXACT(Metadata!L324,"water (saline)"),EXACT(Metadata!L324,"hypersaline (saline)"),EXACT(Metadata!L324,"aerosol (saline)"),EXACT(Metadata!L324,"sediment (saline)")))</f>
        <v>0</v>
      </c>
      <c r="AZ324" t="b">
        <f>IF(Metadata!M324="",FALSE,TRUE)</f>
        <v>0</v>
      </c>
      <c r="BA324" t="b">
        <f>IF(Metadata!N324="",FALSE,TRUE)</f>
        <v>0</v>
      </c>
      <c r="BB324" t="b">
        <f>IF(Metadata!O324="",FALSE,TRUE)</f>
        <v>0</v>
      </c>
      <c r="BC324" t="b">
        <f>AND(IF(Metadata!P324="",FALSE,TRUE),OR(EXACT(Metadata!P324,"air"),EXACT(Metadata!P324,"microbial mat/biofilm"),EXACT(Metadata!P324,"misc environment"),EXACT(Metadata!P324,"sediment"),EXACT(Metadata!P324,"soil"),EXACT(Metadata!P324,"wastewater/sludge"),EXACT(Metadata!P324,"water")))</f>
        <v>0</v>
      </c>
      <c r="BD324" t="b">
        <f>IF(Metadata!Q324="",FALSE,TRUE)</f>
        <v>0</v>
      </c>
      <c r="BE324" t="b">
        <f>IF(Metadata!R324="",FALSE,TRUE)</f>
        <v>0</v>
      </c>
      <c r="BF324" t="b">
        <f>OR(AND(IF(Metadata!S324="",FALSE,TRUE),OR(EXACT(Metadata!S324,"not collected"),EXACT(Metadata!S324,"not provided"),EXACT(Metadata!S324,"restricted access"))),AND(IF(Metadata!S324="",FALSE,ISNUMBER(VALUE(Metadata!S324))),Metadata!S324&gt;=-90,Metadata!S324&lt;=90))</f>
        <v>0</v>
      </c>
      <c r="BG324" t="b">
        <f>AND(IF(Metadata!T324="",FALSE,TRUE),EXACT(Metadata!T324,"Decimal degrees"))</f>
        <v>0</v>
      </c>
      <c r="BH324" t="b">
        <f>OR(AND(IF(Metadata!U324="",FALSE,TRUE),OR(EXACT(Metadata!U324,"not applicable"),EXACT(Metadata!U324,"not collected"))),IF(Metadata!U324="",FALSE,TRUE))</f>
        <v>0</v>
      </c>
      <c r="BI324" t="b">
        <f>OR(AND(IF(Metadata!V324="",FALSE,TRUE),OR(EXACT(Metadata!V324,"not collected"),EXACT(Metadata!V324,"not provided"),EXACT(Metadata!V324,"restricted access"))),AND(IF(Metadata!V324="",FALSE,ISNUMBER(VALUE(Metadata!V324))),Metadata!V324&gt;=-180,Metadata!V324&lt;=180))</f>
        <v>0</v>
      </c>
      <c r="BJ324" t="b">
        <f>AND(IF(Metadata!W324="",FALSE,TRUE),EXACT(Metadata!W324,"Decimal degrees"))</f>
        <v>0</v>
      </c>
      <c r="BK324" t="b">
        <f>IF(Metadata!X324="",FALSE,TRUE)</f>
        <v>0</v>
      </c>
      <c r="BL324" t="b">
        <f>OR(AND(IF(Metadata!Y324="",FALSE,TRUE),OR(EXACT(Metadata!Y324,"not collected"),EXACT(Metadata!Y324,"not provided"),EXACT(Metadata!Y324,"restricted access"))),AND(IF(Metadata!Y324="",FALSE,TRUE),OR(EXACT(Metadata!Y324,"TRUE"),EXACT(Metadata!Y324,"FALSE"))))</f>
        <v>0</v>
      </c>
      <c r="BM324" t="b">
        <f>OR(AND(IF(Metadata!Z324="",FALSE,TRUE),EXACT(Metadata!Z324,"not applicable")),AND(IF(Metadata!Z324="",FALSE,TRUE),OR(EXACT(Metadata!Z324,"beer"),EXACT(Metadata!Z324,"cheese"),EXACT(Metadata!Z324,"fresh water"),EXACT(Metadata!Z324,"marine sediment"),EXACT(Metadata!Z324,"sea water"),EXACT(Metadata!Z324,"sediment"),EXACT(Metadata!Z324,"soil"),EXACT(Metadata!Z324,"waste water"))))</f>
        <v>0</v>
      </c>
      <c r="BN324" t="b">
        <f>AND(IF(Metadata!AA324="",FALSE,TRUE),EXACT(Metadata!AA324,"metagenome"))</f>
        <v>0</v>
      </c>
      <c r="BO324" t="b">
        <f>AND(IF(Metadata!AB324="",FALSE,TRUE),EXACT(Metadata!AB324,"256318"))</f>
        <v>0</v>
      </c>
      <c r="BP324" t="b">
        <f>IF(Metadata!AC324="",FALSE,TRUE)</f>
        <v>0</v>
      </c>
      <c r="BQ324" t="b">
        <f>IF(Metadata!AD324="",FALSE,TRUE)</f>
        <v>0</v>
      </c>
    </row>
    <row r="325" spans="1:69" x14ac:dyDescent="0.2">
      <c r="A325" s="4" t="e">
        <f ca="1">IF(B325=" "," ",HYPERLINK(CONCATENATE("#metadata!",ADDRESS(INDEX($AJ$2:$AJ$1001,MATCH(ROWS($AH$2:AH325),$AH$2:$AH$1001,0),0),2)),INDEX($AM$2:$AM$1001,MATCH(ROWS($AH$2:AH325),$AH$2:$AH$1001,0),0)))</f>
        <v>#N/A</v>
      </c>
      <c r="B325" s="5" t="e">
        <f ca="1">IF(OR(INDEX($AI$2:$AI$1001,MATCH(ROWS($AH$2:AH325),$AH$2:$AH$1001,0),1)&gt;=100000,INDEX($AO$1005:$BQ$1005,1,MATCH(COLUMNS($AO$1006:AO1006),$AO$1006:$BQ$1006,0))&gt;=100000), " ",IF(INDEX($AO$2:$BQ$1001,MATCH(ROWS($AH$2:AH325),$AH$2:$AH$1001,0),MATCH(COLUMNS($AO$1006:AO1006),$AO$1006:$BQ$1006,0)), HYPERLINK("#",""), HYPERLINK(CONCATENATE("#Metadata!", ADDRESS(INDEX($AJ$2:$AJ$1001,MATCH(ROWS($AH$2:AH325),$AH$2:$AH$1001,0),0), INDEX($AO$1004:$BQ$1004,1,MATCH(COLUMNS($AO$1006:AO1006),$AO$1006:$BQ$1006,0)))),"Fix")))</f>
        <v>#N/A</v>
      </c>
      <c r="C325" s="5" t="e">
        <f ca="1">IF(OR(INDEX($AI$2:$AI$1001,MATCH(ROWS($AH$2:AH325),$AH$2:$AH$1001,0),1)&gt;=100000,INDEX($AO$1005:$BQ$1005,1,MATCH(COLUMNS($AO$1006:AP1006),$AO$1006:$BQ$1006,0))&gt;=100000), " ",IF(INDEX($AO$2:$BQ$1001,MATCH(ROWS($AH$2:AH325),$AH$2:$AH$1001,0),MATCH(COLUMNS($AO$1006:AP1006),$AO$1006:$BQ$1006,0)), HYPERLINK("#",""), HYPERLINK(CONCATENATE("#Metadata!", ADDRESS(INDEX($AJ$2:$AJ$1001,MATCH(ROWS($AH$2:AH325),$AH$2:$AH$1001,0),0), INDEX($AO$1004:$BQ$1004,1,MATCH(COLUMNS($AO$1006:AP1006),$AO$1006:$BQ$1006,0)))),"Fix")))</f>
        <v>#N/A</v>
      </c>
      <c r="D325" s="5" t="e">
        <f ca="1">IF(OR(INDEX($AI$2:$AI$1001,MATCH(ROWS($AH$2:AH325),$AH$2:$AH$1001,0),1)&gt;=100000,INDEX($AO$1005:$BQ$1005,1,MATCH(COLUMNS($AO$1006:AQ1006),$AO$1006:$BQ$1006,0))&gt;=100000), " ",IF(INDEX($AO$2:$BQ$1001,MATCH(ROWS($AH$2:AH325),$AH$2:$AH$1001,0),MATCH(COLUMNS($AO$1006:AQ1006),$AO$1006:$BQ$1006,0)), HYPERLINK("#",""), HYPERLINK(CONCATENATE("#Metadata!", ADDRESS(INDEX($AJ$2:$AJ$1001,MATCH(ROWS($AH$2:AH325),$AH$2:$AH$1001,0),0), INDEX($AO$1004:$BQ$1004,1,MATCH(COLUMNS($AO$1006:AQ1006),$AO$1006:$BQ$1006,0)))),"Fix")))</f>
        <v>#N/A</v>
      </c>
      <c r="E325" s="5" t="e">
        <f ca="1">IF(OR(INDEX($AI$2:$AI$1001,MATCH(ROWS($AH$2:AH325),$AH$2:$AH$1001,0),1)&gt;=100000,INDEX($AO$1005:$BQ$1005,1,MATCH(COLUMNS($AO$1006:AR1006),$AO$1006:$BQ$1006,0))&gt;=100000), " ",IF(INDEX($AO$2:$BQ$1001,MATCH(ROWS($AH$2:AH325),$AH$2:$AH$1001,0),MATCH(COLUMNS($AO$1006:AR1006),$AO$1006:$BQ$1006,0)), HYPERLINK("#",""), HYPERLINK(CONCATENATE("#Metadata!", ADDRESS(INDEX($AJ$2:$AJ$1001,MATCH(ROWS($AH$2:AH325),$AH$2:$AH$1001,0),0), INDEX($AO$1004:$BQ$1004,1,MATCH(COLUMNS($AO$1006:AR1006),$AO$1006:$BQ$1006,0)))),"Fix")))</f>
        <v>#N/A</v>
      </c>
      <c r="F325" s="5" t="e">
        <f ca="1">IF(OR(INDEX($AI$2:$AI$1001,MATCH(ROWS($AH$2:AH325),$AH$2:$AH$1001,0),1)&gt;=100000,INDEX($AO$1005:$BQ$1005,1,MATCH(COLUMNS($AO$1006:AS1006),$AO$1006:$BQ$1006,0))&gt;=100000), " ",IF(INDEX($AO$2:$BQ$1001,MATCH(ROWS($AH$2:AH325),$AH$2:$AH$1001,0),MATCH(COLUMNS($AO$1006:AS1006),$AO$1006:$BQ$1006,0)), HYPERLINK("#",""), HYPERLINK(CONCATENATE("#Metadata!", ADDRESS(INDEX($AJ$2:$AJ$1001,MATCH(ROWS($AH$2:AH325),$AH$2:$AH$1001,0),0), INDEX($AO$1004:$BQ$1004,1,MATCH(COLUMNS($AO$1006:AS1006),$AO$1006:$BQ$1006,0)))),"Fix")))</f>
        <v>#N/A</v>
      </c>
      <c r="G325" s="5" t="e">
        <f ca="1">IF(OR(INDEX($AI$2:$AI$1001,MATCH(ROWS($AH$2:AH325),$AH$2:$AH$1001,0),1)&gt;=100000,INDEX($AO$1005:$BQ$1005,1,MATCH(COLUMNS($AO$1006:AT1006),$AO$1006:$BQ$1006,0))&gt;=100000), " ",IF(INDEX($AO$2:$BQ$1001,MATCH(ROWS($AH$2:AH325),$AH$2:$AH$1001,0),MATCH(COLUMNS($AO$1006:AT1006),$AO$1006:$BQ$1006,0)), HYPERLINK("#",""), HYPERLINK(CONCATENATE("#Metadata!", ADDRESS(INDEX($AJ$2:$AJ$1001,MATCH(ROWS($AH$2:AH325),$AH$2:$AH$1001,0),0), INDEX($AO$1004:$BQ$1004,1,MATCH(COLUMNS($AO$1006:AT1006),$AO$1006:$BQ$1006,0)))),"Fix")))</f>
        <v>#N/A</v>
      </c>
      <c r="H325" s="5" t="e">
        <f ca="1">IF(OR(INDEX($AI$2:$AI$1001,MATCH(ROWS($AH$2:AH325),$AH$2:$AH$1001,0),1)&gt;=100000,INDEX($AO$1005:$BQ$1005,1,MATCH(COLUMNS($AO$1006:AU1006),$AO$1006:$BQ$1006,0))&gt;=100000), " ",IF(INDEX($AO$2:$BQ$1001,MATCH(ROWS($AH$2:AH325),$AH$2:$AH$1001,0),MATCH(COLUMNS($AO$1006:AU1006),$AO$1006:$BQ$1006,0)), HYPERLINK("#",""), HYPERLINK(CONCATENATE("#Metadata!", ADDRESS(INDEX($AJ$2:$AJ$1001,MATCH(ROWS($AH$2:AH325),$AH$2:$AH$1001,0),0), INDEX($AO$1004:$BQ$1004,1,MATCH(COLUMNS($AO$1006:AU1006),$AO$1006:$BQ$1006,0)))),"Fix")))</f>
        <v>#N/A</v>
      </c>
      <c r="I325" s="5" t="e">
        <f ca="1">IF(OR(INDEX($AI$2:$AI$1001,MATCH(ROWS($AH$2:AH325),$AH$2:$AH$1001,0),1)&gt;=100000,INDEX($AO$1005:$BQ$1005,1,MATCH(COLUMNS($AO$1006:AV1006),$AO$1006:$BQ$1006,0))&gt;=100000), " ",IF(INDEX($AO$2:$BQ$1001,MATCH(ROWS($AH$2:AH325),$AH$2:$AH$1001,0),MATCH(COLUMNS($AO$1006:AV1006),$AO$1006:$BQ$1006,0)), HYPERLINK("#",""), HYPERLINK(CONCATENATE("#Metadata!", ADDRESS(INDEX($AJ$2:$AJ$1001,MATCH(ROWS($AH$2:AH325),$AH$2:$AH$1001,0),0), INDEX($AO$1004:$BQ$1004,1,MATCH(COLUMNS($AO$1006:AV1006),$AO$1006:$BQ$1006,0)))),"Fix")))</f>
        <v>#N/A</v>
      </c>
      <c r="J325" s="5" t="e">
        <f ca="1">IF(OR(INDEX($AI$2:$AI$1001,MATCH(ROWS($AH$2:AH325),$AH$2:$AH$1001,0),1)&gt;=100000,INDEX($AO$1005:$BQ$1005,1,MATCH(COLUMNS($AO$1006:AW1006),$AO$1006:$BQ$1006,0))&gt;=100000), " ",IF(INDEX($AO$2:$BQ$1001,MATCH(ROWS($AH$2:AH325),$AH$2:$AH$1001,0),MATCH(COLUMNS($AO$1006:AW1006),$AO$1006:$BQ$1006,0)), HYPERLINK("#",""), HYPERLINK(CONCATENATE("#Metadata!", ADDRESS(INDEX($AJ$2:$AJ$1001,MATCH(ROWS($AH$2:AH325),$AH$2:$AH$1001,0),0), INDEX($AO$1004:$BQ$1004,1,MATCH(COLUMNS($AO$1006:AW1006),$AO$1006:$BQ$1006,0)))),"Fix")))</f>
        <v>#N/A</v>
      </c>
      <c r="K325" s="5" t="e">
        <f ca="1">IF(OR(INDEX($AI$2:$AI$1001,MATCH(ROWS($AH$2:AH325),$AH$2:$AH$1001,0),1)&gt;=100000,INDEX($AO$1005:$BQ$1005,1,MATCH(COLUMNS($AO$1006:AX1006),$AO$1006:$BQ$1006,0))&gt;=100000), " ",IF(INDEX($AO$2:$BQ$1001,MATCH(ROWS($AH$2:AH325),$AH$2:$AH$1001,0),MATCH(COLUMNS($AO$1006:AX1006),$AO$1006:$BQ$1006,0)), HYPERLINK("#",""), HYPERLINK(CONCATENATE("#Metadata!", ADDRESS(INDEX($AJ$2:$AJ$1001,MATCH(ROWS($AH$2:AH325),$AH$2:$AH$1001,0),0), INDEX($AO$1004:$BQ$1004,1,MATCH(COLUMNS($AO$1006:AX1006),$AO$1006:$BQ$1006,0)))),"Fix")))</f>
        <v>#N/A</v>
      </c>
      <c r="L325" s="5" t="e">
        <f ca="1">IF(OR(INDEX($AI$2:$AI$1001,MATCH(ROWS($AH$2:AH325),$AH$2:$AH$1001,0),1)&gt;=100000,INDEX($AO$1005:$BQ$1005,1,MATCH(COLUMNS($AO$1006:AY1006),$AO$1006:$BQ$1006,0))&gt;=100000), " ",IF(INDEX($AO$2:$BQ$1001,MATCH(ROWS($AH$2:AH325),$AH$2:$AH$1001,0),MATCH(COLUMNS($AO$1006:AY1006),$AO$1006:$BQ$1006,0)), HYPERLINK("#",""), HYPERLINK(CONCATENATE("#Metadata!", ADDRESS(INDEX($AJ$2:$AJ$1001,MATCH(ROWS($AH$2:AH325),$AH$2:$AH$1001,0),0), INDEX($AO$1004:$BQ$1004,1,MATCH(COLUMNS($AO$1006:AY1006),$AO$1006:$BQ$1006,0)))),"Fix")))</f>
        <v>#N/A</v>
      </c>
      <c r="M325" s="5" t="e">
        <f ca="1">IF(OR(INDEX($AI$2:$AI$1001,MATCH(ROWS($AH$2:AH325),$AH$2:$AH$1001,0),1)&gt;=100000,INDEX($AO$1005:$BQ$1005,1,MATCH(COLUMNS($AO$1006:AZ1006),$AO$1006:$BQ$1006,0))&gt;=100000), " ",IF(INDEX($AO$2:$BQ$1001,MATCH(ROWS($AH$2:AH325),$AH$2:$AH$1001,0),MATCH(COLUMNS($AO$1006:AZ1006),$AO$1006:$BQ$1006,0)), HYPERLINK("#",""), HYPERLINK(CONCATENATE("#Metadata!", ADDRESS(INDEX($AJ$2:$AJ$1001,MATCH(ROWS($AH$2:AH325),$AH$2:$AH$1001,0),0), INDEX($AO$1004:$BQ$1004,1,MATCH(COLUMNS($AO$1006:AZ1006),$AO$1006:$BQ$1006,0)))),"Fix")))</f>
        <v>#N/A</v>
      </c>
      <c r="N325" s="5" t="e">
        <f ca="1">IF(OR(INDEX($AI$2:$AI$1001,MATCH(ROWS($AH$2:AH325),$AH$2:$AH$1001,0),1)&gt;=100000,INDEX($AO$1005:$BQ$1005,1,MATCH(COLUMNS($AO$1006:BA1006),$AO$1006:$BQ$1006,0))&gt;=100000), " ",IF(INDEX($AO$2:$BQ$1001,MATCH(ROWS($AH$2:AH325),$AH$2:$AH$1001,0),MATCH(COLUMNS($AO$1006:BA1006),$AO$1006:$BQ$1006,0)), HYPERLINK("#",""), HYPERLINK(CONCATENATE("#Metadata!", ADDRESS(INDEX($AJ$2:$AJ$1001,MATCH(ROWS($AH$2:AH325),$AH$2:$AH$1001,0),0), INDEX($AO$1004:$BQ$1004,1,MATCH(COLUMNS($AO$1006:BA1006),$AO$1006:$BQ$1006,0)))),"Fix")))</f>
        <v>#N/A</v>
      </c>
      <c r="O325" s="5" t="e">
        <f ca="1">IF(OR(INDEX($AI$2:$AI$1001,MATCH(ROWS($AH$2:AH325),$AH$2:$AH$1001,0),1)&gt;=100000,INDEX($AO$1005:$BQ$1005,1,MATCH(COLUMNS($AO$1006:BB1006),$AO$1006:$BQ$1006,0))&gt;=100000), " ",IF(INDEX($AO$2:$BQ$1001,MATCH(ROWS($AH$2:AH325),$AH$2:$AH$1001,0),MATCH(COLUMNS($AO$1006:BB1006),$AO$1006:$BQ$1006,0)), HYPERLINK("#",""), HYPERLINK(CONCATENATE("#Metadata!", ADDRESS(INDEX($AJ$2:$AJ$1001,MATCH(ROWS($AH$2:AH325),$AH$2:$AH$1001,0),0), INDEX($AO$1004:$BQ$1004,1,MATCH(COLUMNS($AO$1006:BB1006),$AO$1006:$BQ$1006,0)))),"Fix")))</f>
        <v>#N/A</v>
      </c>
      <c r="P325" s="5" t="e">
        <f ca="1">IF(OR(INDEX($AI$2:$AI$1001,MATCH(ROWS($AH$2:AH325),$AH$2:$AH$1001,0),1)&gt;=100000,INDEX($AO$1005:$BQ$1005,1,MATCH(COLUMNS($AO$1006:BC1006),$AO$1006:$BQ$1006,0))&gt;=100000), " ",IF(INDEX($AO$2:$BQ$1001,MATCH(ROWS($AH$2:AH325),$AH$2:$AH$1001,0),MATCH(COLUMNS($AO$1006:BC1006),$AO$1006:$BQ$1006,0)), HYPERLINK("#",""), HYPERLINK(CONCATENATE("#Metadata!", ADDRESS(INDEX($AJ$2:$AJ$1001,MATCH(ROWS($AH$2:AH325),$AH$2:$AH$1001,0),0), INDEX($AO$1004:$BQ$1004,1,MATCH(COLUMNS($AO$1006:BC1006),$AO$1006:$BQ$1006,0)))),"Fix")))</f>
        <v>#N/A</v>
      </c>
      <c r="Q325" s="5" t="e">
        <f ca="1">IF(OR(INDEX($AI$2:$AI$1001,MATCH(ROWS($AH$2:AH325),$AH$2:$AH$1001,0),1)&gt;=100000,INDEX($AO$1005:$BQ$1005,1,MATCH(COLUMNS($AO$1006:BD1006),$AO$1006:$BQ$1006,0))&gt;=100000), " ",IF(INDEX($AO$2:$BQ$1001,MATCH(ROWS($AH$2:AH325),$AH$2:$AH$1001,0),MATCH(COLUMNS($AO$1006:BD1006),$AO$1006:$BQ$1006,0)), HYPERLINK("#",""), HYPERLINK(CONCATENATE("#Metadata!", ADDRESS(INDEX($AJ$2:$AJ$1001,MATCH(ROWS($AH$2:AH325),$AH$2:$AH$1001,0),0), INDEX($AO$1004:$BQ$1004,1,MATCH(COLUMNS($AO$1006:BD1006),$AO$1006:$BQ$1006,0)))),"Fix")))</f>
        <v>#N/A</v>
      </c>
      <c r="R325" s="5" t="e">
        <f ca="1">IF(OR(INDEX($AI$2:$AI$1001,MATCH(ROWS($AH$2:AH325),$AH$2:$AH$1001,0),1)&gt;=100000,INDEX($AO$1005:$BQ$1005,1,MATCH(COLUMNS($AO$1006:BE1006),$AO$1006:$BQ$1006,0))&gt;=100000), " ",IF(INDEX($AO$2:$BQ$1001,MATCH(ROWS($AH$2:AH325),$AH$2:$AH$1001,0),MATCH(COLUMNS($AO$1006:BE1006),$AO$1006:$BQ$1006,0)), HYPERLINK("#",""), HYPERLINK(CONCATENATE("#Metadata!", ADDRESS(INDEX($AJ$2:$AJ$1001,MATCH(ROWS($AH$2:AH325),$AH$2:$AH$1001,0),0), INDEX($AO$1004:$BQ$1004,1,MATCH(COLUMNS($AO$1006:BE1006),$AO$1006:$BQ$1006,0)))),"Fix")))</f>
        <v>#N/A</v>
      </c>
      <c r="S325" s="5" t="e">
        <f ca="1">IF(OR(INDEX($AI$2:$AI$1001,MATCH(ROWS($AH$2:AH325),$AH$2:$AH$1001,0),1)&gt;=100000,INDEX($AO$1005:$BQ$1005,1,MATCH(COLUMNS($AO$1006:BF1006),$AO$1006:$BQ$1006,0))&gt;=100000), " ",IF(INDEX($AO$2:$BQ$1001,MATCH(ROWS($AH$2:AH325),$AH$2:$AH$1001,0),MATCH(COLUMNS($AO$1006:BF1006),$AO$1006:$BQ$1006,0)), HYPERLINK("#",""), HYPERLINK(CONCATENATE("#Metadata!", ADDRESS(INDEX($AJ$2:$AJ$1001,MATCH(ROWS($AH$2:AH325),$AH$2:$AH$1001,0),0), INDEX($AO$1004:$BQ$1004,1,MATCH(COLUMNS($AO$1006:BF1006),$AO$1006:$BQ$1006,0)))),"Fix")))</f>
        <v>#N/A</v>
      </c>
      <c r="T325" s="5" t="e">
        <f ca="1">IF(OR(INDEX($AI$2:$AI$1001,MATCH(ROWS($AH$2:AH325),$AH$2:$AH$1001,0),1)&gt;=100000,INDEX($AO$1005:$BQ$1005,1,MATCH(COLUMNS($AO$1006:BG1006),$AO$1006:$BQ$1006,0))&gt;=100000), " ",IF(INDEX($AO$2:$BQ$1001,MATCH(ROWS($AH$2:AH325),$AH$2:$AH$1001,0),MATCH(COLUMNS($AO$1006:BG1006),$AO$1006:$BQ$1006,0)), HYPERLINK("#",""), HYPERLINK(CONCATENATE("#Metadata!", ADDRESS(INDEX($AJ$2:$AJ$1001,MATCH(ROWS($AH$2:AH325),$AH$2:$AH$1001,0),0), INDEX($AO$1004:$BQ$1004,1,MATCH(COLUMNS($AO$1006:BG1006),$AO$1006:$BQ$1006,0)))),"Fix")))</f>
        <v>#N/A</v>
      </c>
      <c r="U325" s="5" t="e">
        <f ca="1">IF(OR(INDEX($AI$2:$AI$1001,MATCH(ROWS($AH$2:AH325),$AH$2:$AH$1001,0),1)&gt;=100000,INDEX($AO$1005:$BQ$1005,1,MATCH(COLUMNS($AO$1006:BH1006),$AO$1006:$BQ$1006,0))&gt;=100000), " ",IF(INDEX($AO$2:$BQ$1001,MATCH(ROWS($AH$2:AH325),$AH$2:$AH$1001,0),MATCH(COLUMNS($AO$1006:BH1006),$AO$1006:$BQ$1006,0)), HYPERLINK("#",""), HYPERLINK(CONCATENATE("#Metadata!", ADDRESS(INDEX($AJ$2:$AJ$1001,MATCH(ROWS($AH$2:AH325),$AH$2:$AH$1001,0),0), INDEX($AO$1004:$BQ$1004,1,MATCH(COLUMNS($AO$1006:BH1006),$AO$1006:$BQ$1006,0)))),"Fix")))</f>
        <v>#N/A</v>
      </c>
      <c r="V325" s="5" t="e">
        <f ca="1">IF(OR(INDEX($AI$2:$AI$1001,MATCH(ROWS($AH$2:AH325),$AH$2:$AH$1001,0),1)&gt;=100000,INDEX($AO$1005:$BQ$1005,1,MATCH(COLUMNS($AO$1006:BI1006),$AO$1006:$BQ$1006,0))&gt;=100000), " ",IF(INDEX($AO$2:$BQ$1001,MATCH(ROWS($AH$2:AH325),$AH$2:$AH$1001,0),MATCH(COLUMNS($AO$1006:BI1006),$AO$1006:$BQ$1006,0)), HYPERLINK("#",""), HYPERLINK(CONCATENATE("#Metadata!", ADDRESS(INDEX($AJ$2:$AJ$1001,MATCH(ROWS($AH$2:AH325),$AH$2:$AH$1001,0),0), INDEX($AO$1004:$BQ$1004,1,MATCH(COLUMNS($AO$1006:BI1006),$AO$1006:$BQ$1006,0)))),"Fix")))</f>
        <v>#N/A</v>
      </c>
      <c r="W325" s="5" t="e">
        <f ca="1">IF(OR(INDEX($AI$2:$AI$1001,MATCH(ROWS($AH$2:AH325),$AH$2:$AH$1001,0),1)&gt;=100000,INDEX($AO$1005:$BQ$1005,1,MATCH(COLUMNS($AO$1006:BJ1006),$AO$1006:$BQ$1006,0))&gt;=100000), " ",IF(INDEX($AO$2:$BQ$1001,MATCH(ROWS($AH$2:AH325),$AH$2:$AH$1001,0),MATCH(COLUMNS($AO$1006:BJ1006),$AO$1006:$BQ$1006,0)), HYPERLINK("#",""), HYPERLINK(CONCATENATE("#Metadata!", ADDRESS(INDEX($AJ$2:$AJ$1001,MATCH(ROWS($AH$2:AH325),$AH$2:$AH$1001,0),0), INDEX($AO$1004:$BQ$1004,1,MATCH(COLUMNS($AO$1006:BJ1006),$AO$1006:$BQ$1006,0)))),"Fix")))</f>
        <v>#N/A</v>
      </c>
      <c r="X325" s="5" t="e">
        <f ca="1">IF(OR(INDEX($AI$2:$AI$1001,MATCH(ROWS($AH$2:AH325),$AH$2:$AH$1001,0),1)&gt;=100000,INDEX($AO$1005:$BQ$1005,1,MATCH(COLUMNS($AO$1006:BK1006),$AO$1006:$BQ$1006,0))&gt;=100000), " ",IF(INDEX($AO$2:$BQ$1001,MATCH(ROWS($AH$2:AH325),$AH$2:$AH$1001,0),MATCH(COLUMNS($AO$1006:BK1006),$AO$1006:$BQ$1006,0)), HYPERLINK("#",""), HYPERLINK(CONCATENATE("#Metadata!", ADDRESS(INDEX($AJ$2:$AJ$1001,MATCH(ROWS($AH$2:AH325),$AH$2:$AH$1001,0),0), INDEX($AO$1004:$BQ$1004,1,MATCH(COLUMNS($AO$1006:BK1006),$AO$1006:$BQ$1006,0)))),"Fix")))</f>
        <v>#N/A</v>
      </c>
      <c r="Y325" s="5" t="e">
        <f ca="1">IF(OR(INDEX($AI$2:$AI$1001,MATCH(ROWS($AH$2:AH325),$AH$2:$AH$1001,0),1)&gt;=100000,INDEX($AO$1005:$BQ$1005,1,MATCH(COLUMNS($AO$1006:BL1006),$AO$1006:$BQ$1006,0))&gt;=100000), " ",IF(INDEX($AO$2:$BQ$1001,MATCH(ROWS($AH$2:AH325),$AH$2:$AH$1001,0),MATCH(COLUMNS($AO$1006:BL1006),$AO$1006:$BQ$1006,0)), HYPERLINK("#",""), HYPERLINK(CONCATENATE("#Metadata!", ADDRESS(INDEX($AJ$2:$AJ$1001,MATCH(ROWS($AH$2:AH325),$AH$2:$AH$1001,0),0), INDEX($AO$1004:$BQ$1004,1,MATCH(COLUMNS($AO$1006:BL1006),$AO$1006:$BQ$1006,0)))),"Fix")))</f>
        <v>#N/A</v>
      </c>
      <c r="Z325" s="5" t="e">
        <f ca="1">IF(OR(INDEX($AI$2:$AI$1001,MATCH(ROWS($AH$2:AH325),$AH$2:$AH$1001,0),1)&gt;=100000,INDEX($AO$1005:$BQ$1005,1,MATCH(COLUMNS($AO$1006:BM1006),$AO$1006:$BQ$1006,0))&gt;=100000), " ",IF(INDEX($AO$2:$BQ$1001,MATCH(ROWS($AH$2:AH325),$AH$2:$AH$1001,0),MATCH(COLUMNS($AO$1006:BM1006),$AO$1006:$BQ$1006,0)), HYPERLINK("#",""), HYPERLINK(CONCATENATE("#Metadata!", ADDRESS(INDEX($AJ$2:$AJ$1001,MATCH(ROWS($AH$2:AH325),$AH$2:$AH$1001,0),0), INDEX($AO$1004:$BQ$1004,1,MATCH(COLUMNS($AO$1006:BM1006),$AO$1006:$BQ$1006,0)))),"Fix")))</f>
        <v>#N/A</v>
      </c>
      <c r="AA325" s="5" t="e">
        <f ca="1">IF(OR(INDEX($AI$2:$AI$1001,MATCH(ROWS($AH$2:AH325),$AH$2:$AH$1001,0),1)&gt;=100000,INDEX($AO$1005:$BQ$1005,1,MATCH(COLUMNS($AO$1006:BN1006),$AO$1006:$BQ$1006,0))&gt;=100000), " ",IF(INDEX($AO$2:$BQ$1001,MATCH(ROWS($AH$2:AH325),$AH$2:$AH$1001,0),MATCH(COLUMNS($AO$1006:BN1006),$AO$1006:$BQ$1006,0)), HYPERLINK("#",""), HYPERLINK(CONCATENATE("#Metadata!", ADDRESS(INDEX($AJ$2:$AJ$1001,MATCH(ROWS($AH$2:AH325),$AH$2:$AH$1001,0),0), INDEX($AO$1004:$BQ$1004,1,MATCH(COLUMNS($AO$1006:BN1006),$AO$1006:$BQ$1006,0)))),"Fix")))</f>
        <v>#N/A</v>
      </c>
      <c r="AB325" s="5" t="e">
        <f ca="1">IF(OR(INDEX($AI$2:$AI$1001,MATCH(ROWS($AH$2:AH325),$AH$2:$AH$1001,0),1)&gt;=100000,INDEX($AO$1005:$BQ$1005,1,MATCH(COLUMNS($AO$1006:BO1006),$AO$1006:$BQ$1006,0))&gt;=100000), " ",IF(INDEX($AO$2:$BQ$1001,MATCH(ROWS($AH$2:AH325),$AH$2:$AH$1001,0),MATCH(COLUMNS($AO$1006:BO1006),$AO$1006:$BQ$1006,0)), HYPERLINK("#",""), HYPERLINK(CONCATENATE("#Metadata!", ADDRESS(INDEX($AJ$2:$AJ$1001,MATCH(ROWS($AH$2:AH325),$AH$2:$AH$1001,0),0), INDEX($AO$1004:$BQ$1004,1,MATCH(COLUMNS($AO$1006:BO1006),$AO$1006:$BQ$1006,0)))),"Fix")))</f>
        <v>#N/A</v>
      </c>
      <c r="AC325" s="5" t="e">
        <f ca="1">IF(OR(INDEX($AI$2:$AI$1001,MATCH(ROWS($AH$2:AH325),$AH$2:$AH$1001,0),1)&gt;=100000,INDEX($AO$1005:$BQ$1005,1,MATCH(COLUMNS($AO$1006:BP1006),$AO$1006:$BQ$1006,0))&gt;=100000), " ",IF(INDEX($AO$2:$BQ$1001,MATCH(ROWS($AH$2:AH325),$AH$2:$AH$1001,0),MATCH(COLUMNS($AO$1006:BP1006),$AO$1006:$BQ$1006,0)), HYPERLINK("#",""), HYPERLINK(CONCATENATE("#Metadata!", ADDRESS(INDEX($AJ$2:$AJ$1001,MATCH(ROWS($AH$2:AH325),$AH$2:$AH$1001,0),0), INDEX($AO$1004:$BQ$1004,1,MATCH(COLUMNS($AO$1006:BP1006),$AO$1006:$BQ$1006,0)))),"Fix")))</f>
        <v>#N/A</v>
      </c>
      <c r="AD325" s="5" t="e">
        <f ca="1">IF(OR(INDEX($AI$2:$AI$1001,MATCH(ROWS($AH$2:AH325),$AH$2:$AH$1001,0),1)&gt;=100000,INDEX($AO$1005:$BQ$1005,1,MATCH(COLUMNS($AO$1006:BQ1006),$AO$1006:$BQ$1006,0))&gt;=100000), " ",IF(INDEX($AO$2:$BQ$1001,MATCH(ROWS($AH$2:AH325),$AH$2:$AH$1001,0),MATCH(COLUMNS($AO$1006:BQ1006),$AO$1006:$BQ$1006,0)), HYPERLINK("#",""), HYPERLINK(CONCATENATE("#Metadata!", ADDRESS(INDEX($AJ$2:$AJ$1001,MATCH(ROWS($AH$2:AH325),$AH$2:$AH$1001,0),0), INDEX($AO$1004:$BQ$1004,1,MATCH(COLUMNS($AO$1006:BQ1006),$AO$1006:$BQ$1006,0)))),"Fix")))</f>
        <v>#REF!</v>
      </c>
      <c r="AH325">
        <f ca="1"/>
        <v>322</v>
      </c>
      <c r="AI325">
        <v>100325</v>
      </c>
      <c r="AJ325">
        <v>325</v>
      </c>
      <c r="AK325" t="b">
        <f t="shared" si="5"/>
        <v>1</v>
      </c>
      <c r="AL325" t="b">
        <f>COUNTBLANK(Metadata!B325:AD325)=COLUMNS(Metadata!B325:AD325)</f>
        <v>1</v>
      </c>
      <c r="AM325" t="str">
        <v/>
      </c>
      <c r="AO325" t="b">
        <f ca="1">AND(IF(Metadata!B325="",FALSE,TRUE),COUNTIF(Metadata!B:B, Metadata!B325) = 1,NOT(ISERROR(SUMPRODUCT(SEARCH(MID(Metadata!B325,ROW(INDIRECT("1:"&amp;LEN(Metadata!B325))), 1),"0123456789abcdefghijklmnopqrstuvwxyzABCDEFGHIJKLMNOPQRSTUVWXYZ.")))))</f>
        <v>0</v>
      </c>
      <c r="AP325" t="b">
        <f>IF(Metadata!C325="",FALSE,TRUE)</f>
        <v>0</v>
      </c>
      <c r="AQ325" t="b">
        <f>IF(Metadata!D325="",FALSE,TRUE)</f>
        <v>0</v>
      </c>
      <c r="AR325" t="b">
        <f ca="1">OR(AND(IF(Metadata!E325="",FALSE,TRUE),OR(EXACT(Metadata!E325,"not collected"),EXACT(Metadata!E325,"not provided"),EXACT(Metadata!E325,"restricted access"))),AND(IF(Metadata!E325="",FALSE,TRUE),AND(AND(IFERROR(INT(LEFT(Metadata!E325,4))&gt;1900,FALSE),IFERROR(INT(LEFT(Metadata!E325,4))&lt;=YEAR(NOW()),FALSE)), OR(MID(Metadata!E325,5,1)="", AND(AND(MID(Metadata!E325,5,1)="-",IFERROR(INT(MID(Metadata!E325,6,1))&gt;=0,FALSE),IFERROR(INT(MID(Metadata!E325,6,1))&lt;=1,FALSE),NOT(MID(Metadata!E325,7,1)=""),IFERROR(INT(MID(Metadata!E325,6,2))&gt;=1,FALSE),IFERROR(INT(MID(Metadata!E325,6,2))&lt;=12,FALSE)), OR(MID(Metadata!E325,8,1)="", AND(AND(MID(Metadata!E325,8,1)="-",IFERROR(INT(MID(Metadata!E325,9,1))&gt;=0,FALSE),IFERROR(INT(MID(Metadata!E325,9,1))&lt;=3,FALSE),NOT(MID(Metadata!E325,10,1)=""),IFERROR(INT(MID(Metadata!E325,9,2))&gt;=1,FALSE),IFERROR(INT(MID(Metadata!E325,9,2))&lt;=31,FALSE)), OR(MID(Metadata!E325,11,1)="", AND(AND(MID(Metadata!E325,11,1)=" ",IFERROR(INT(MID(Metadata!E325,12,1))&gt;=0,FALSE),IFERROR(INT(MID(Metadata!E325,12,1))&lt;=2,FALSE),NOT(MID(Metadata!E325,13,1)=""),IFERROR(INT(MID(Metadata!E325,12,2))&gt;=0,FALSE),IFERROR(INT(MID(Metadata!E325,12,2))&lt;=23,FALSE)), OR(MID(Metadata!E325,14,1)="", AND(AND(MID(Metadata!E325,14,1)=":",IFERROR(INT(MID(Metadata!E325,15,1))&gt;=0,FALSE),IFERROR(INT(MID(Metadata!E325,15,1))&lt;=5,FALSE),NOT(MID(Metadata!E325,16,1)=""),IFERROR(INT(MID(Metadata!E325,15,2))&gt;=0,FALSE),IFERROR(INT(MID(Metadata!E325,15,2))&lt;=59,FALSE)), OR(MID(Metadata!E325,17,1)="", AND(AND(MID(Metadata!E325,17,1)=":",IFERROR(INT(MID(Metadata!E325,18,1))&gt;=0,FALSE),IFERROR(INT(MID(Metadata!E325,18,1))&lt;=5,FALSE),NOT(MID(Metadata!E325,19,1)=""),IFERROR(INT(MID(Metadata!E325,18,2))&gt;=0,FALSE),IFERROR(INT(MID(Metadata!E325,18,2))&lt;=59,FALSE)), LEN(Metadata!E325)&lt;=19)))))))))))))</f>
        <v>0</v>
      </c>
      <c r="AS325" t="b">
        <f>IF(Metadata!F325="",FALSE,TRUE)</f>
        <v>0</v>
      </c>
      <c r="AT325" t="b">
        <f>OR(AND(IF(Metadata!G325="",FALSE,TRUE),OR(EXACT(Metadata!G325,"not collected"),EXACT(Metadata!G325,"not provided"))),AND(IF(Metadata!G325="",FALSE,TRUE),OR(EXACT(Metadata!G325,"TRUE"),EXACT(Metadata!G325,"FALSE"))))</f>
        <v>0</v>
      </c>
      <c r="AU325" t="b">
        <f>OR(AND(IF(Metadata!H325="",FALSE,TRUE),OR(EXACT(Metadata!H325,"not collected"),EXACT(Metadata!H325,"not provided"),EXACT(Metadata!H325,"restricted access"))),AND(IF(Metadata!H325="",FALSE,ISNUMBER(VALUE(Metadata!H325))),Metadata!H325&gt;=-413))</f>
        <v>0</v>
      </c>
      <c r="AV325" t="b">
        <f>AND(IF(Metadata!I325="",FALSE,TRUE),EXACT(Metadata!I325,"meters"))</f>
        <v>0</v>
      </c>
      <c r="AW325" t="b">
        <f>AND(IF(Metadata!J325="",FALSE,TRUE),EXACT(Metadata!J325,"free-living"))</f>
        <v>0</v>
      </c>
      <c r="AX325" t="b">
        <f>AND(IF(Metadata!K325="",FALSE,TRUE),OR(EXACT(Metadata!K325,"saline"),EXACT(Metadata!K325,"non-saline")))</f>
        <v>0</v>
      </c>
      <c r="AY325" t="b">
        <f>AND(IF(Metadata!L325="",FALSE,TRUE),OR(EXACT(Metadata!L325,"sub-surface (non-saline)"),EXACT(Metadata!L325,"surface (non-saline)"),EXACT(Metadata!L325,"water (non-saline)"),EXACT(Metadata!L325,"soil (non-saline)"),EXACT(Metadata!L325,"aerosol (non-saline)"),EXACT(Metadata!L325,"sediment (non-saline)"),EXACT(Metadata!L325,"surface (saline)"),EXACT(Metadata!L325,"water (saline)"),EXACT(Metadata!L325,"hypersaline (saline)"),EXACT(Metadata!L325,"aerosol (saline)"),EXACT(Metadata!L325,"sediment (saline)")))</f>
        <v>0</v>
      </c>
      <c r="AZ325" t="b">
        <f>IF(Metadata!M325="",FALSE,TRUE)</f>
        <v>0</v>
      </c>
      <c r="BA325" t="b">
        <f>IF(Metadata!N325="",FALSE,TRUE)</f>
        <v>0</v>
      </c>
      <c r="BB325" t="b">
        <f>IF(Metadata!O325="",FALSE,TRUE)</f>
        <v>0</v>
      </c>
      <c r="BC325" t="b">
        <f>AND(IF(Metadata!P325="",FALSE,TRUE),OR(EXACT(Metadata!P325,"air"),EXACT(Metadata!P325,"microbial mat/biofilm"),EXACT(Metadata!P325,"misc environment"),EXACT(Metadata!P325,"sediment"),EXACT(Metadata!P325,"soil"),EXACT(Metadata!P325,"wastewater/sludge"),EXACT(Metadata!P325,"water")))</f>
        <v>0</v>
      </c>
      <c r="BD325" t="b">
        <f>IF(Metadata!Q325="",FALSE,TRUE)</f>
        <v>0</v>
      </c>
      <c r="BE325" t="b">
        <f>IF(Metadata!R325="",FALSE,TRUE)</f>
        <v>0</v>
      </c>
      <c r="BF325" t="b">
        <f>OR(AND(IF(Metadata!S325="",FALSE,TRUE),OR(EXACT(Metadata!S325,"not collected"),EXACT(Metadata!S325,"not provided"),EXACT(Metadata!S325,"restricted access"))),AND(IF(Metadata!S325="",FALSE,ISNUMBER(VALUE(Metadata!S325))),Metadata!S325&gt;=-90,Metadata!S325&lt;=90))</f>
        <v>0</v>
      </c>
      <c r="BG325" t="b">
        <f>AND(IF(Metadata!T325="",FALSE,TRUE),EXACT(Metadata!T325,"Decimal degrees"))</f>
        <v>0</v>
      </c>
      <c r="BH325" t="b">
        <f>OR(AND(IF(Metadata!U325="",FALSE,TRUE),OR(EXACT(Metadata!U325,"not applicable"),EXACT(Metadata!U325,"not collected"))),IF(Metadata!U325="",FALSE,TRUE))</f>
        <v>0</v>
      </c>
      <c r="BI325" t="b">
        <f>OR(AND(IF(Metadata!V325="",FALSE,TRUE),OR(EXACT(Metadata!V325,"not collected"),EXACT(Metadata!V325,"not provided"),EXACT(Metadata!V325,"restricted access"))),AND(IF(Metadata!V325="",FALSE,ISNUMBER(VALUE(Metadata!V325))),Metadata!V325&gt;=-180,Metadata!V325&lt;=180))</f>
        <v>0</v>
      </c>
      <c r="BJ325" t="b">
        <f>AND(IF(Metadata!W325="",FALSE,TRUE),EXACT(Metadata!W325,"Decimal degrees"))</f>
        <v>0</v>
      </c>
      <c r="BK325" t="b">
        <f>IF(Metadata!X325="",FALSE,TRUE)</f>
        <v>0</v>
      </c>
      <c r="BL325" t="b">
        <f>OR(AND(IF(Metadata!Y325="",FALSE,TRUE),OR(EXACT(Metadata!Y325,"not collected"),EXACT(Metadata!Y325,"not provided"),EXACT(Metadata!Y325,"restricted access"))),AND(IF(Metadata!Y325="",FALSE,TRUE),OR(EXACT(Metadata!Y325,"TRUE"),EXACT(Metadata!Y325,"FALSE"))))</f>
        <v>0</v>
      </c>
      <c r="BM325" t="b">
        <f>OR(AND(IF(Metadata!Z325="",FALSE,TRUE),EXACT(Metadata!Z325,"not applicable")),AND(IF(Metadata!Z325="",FALSE,TRUE),OR(EXACT(Metadata!Z325,"beer"),EXACT(Metadata!Z325,"cheese"),EXACT(Metadata!Z325,"fresh water"),EXACT(Metadata!Z325,"marine sediment"),EXACT(Metadata!Z325,"sea water"),EXACT(Metadata!Z325,"sediment"),EXACT(Metadata!Z325,"soil"),EXACT(Metadata!Z325,"waste water"))))</f>
        <v>0</v>
      </c>
      <c r="BN325" t="b">
        <f>AND(IF(Metadata!AA325="",FALSE,TRUE),EXACT(Metadata!AA325,"metagenome"))</f>
        <v>0</v>
      </c>
      <c r="BO325" t="b">
        <f>AND(IF(Metadata!AB325="",FALSE,TRUE),EXACT(Metadata!AB325,"256318"))</f>
        <v>0</v>
      </c>
      <c r="BP325" t="b">
        <f>IF(Metadata!AC325="",FALSE,TRUE)</f>
        <v>0</v>
      </c>
      <c r="BQ325" t="b">
        <f>IF(Metadata!AD325="",FALSE,TRUE)</f>
        <v>0</v>
      </c>
    </row>
    <row r="326" spans="1:69" x14ac:dyDescent="0.2">
      <c r="A326" s="4" t="e">
        <f ca="1">IF(B326=" "," ",HYPERLINK(CONCATENATE("#metadata!",ADDRESS(INDEX($AJ$2:$AJ$1001,MATCH(ROWS($AH$2:AH326),$AH$2:$AH$1001,0),0),2)),INDEX($AM$2:$AM$1001,MATCH(ROWS($AH$2:AH326),$AH$2:$AH$1001,0),0)))</f>
        <v>#N/A</v>
      </c>
      <c r="B326" s="5" t="e">
        <f ca="1">IF(OR(INDEX($AI$2:$AI$1001,MATCH(ROWS($AH$2:AH326),$AH$2:$AH$1001,0),1)&gt;=100000,INDEX($AO$1005:$BQ$1005,1,MATCH(COLUMNS($AO$1006:AO1006),$AO$1006:$BQ$1006,0))&gt;=100000), " ",IF(INDEX($AO$2:$BQ$1001,MATCH(ROWS($AH$2:AH326),$AH$2:$AH$1001,0),MATCH(COLUMNS($AO$1006:AO1006),$AO$1006:$BQ$1006,0)), HYPERLINK("#",""), HYPERLINK(CONCATENATE("#Metadata!", ADDRESS(INDEX($AJ$2:$AJ$1001,MATCH(ROWS($AH$2:AH326),$AH$2:$AH$1001,0),0), INDEX($AO$1004:$BQ$1004,1,MATCH(COLUMNS($AO$1006:AO1006),$AO$1006:$BQ$1006,0)))),"Fix")))</f>
        <v>#N/A</v>
      </c>
      <c r="C326" s="5" t="e">
        <f ca="1">IF(OR(INDEX($AI$2:$AI$1001,MATCH(ROWS($AH$2:AH326),$AH$2:$AH$1001,0),1)&gt;=100000,INDEX($AO$1005:$BQ$1005,1,MATCH(COLUMNS($AO$1006:AP1006),$AO$1006:$BQ$1006,0))&gt;=100000), " ",IF(INDEX($AO$2:$BQ$1001,MATCH(ROWS($AH$2:AH326),$AH$2:$AH$1001,0),MATCH(COLUMNS($AO$1006:AP1006),$AO$1006:$BQ$1006,0)), HYPERLINK("#",""), HYPERLINK(CONCATENATE("#Metadata!", ADDRESS(INDEX($AJ$2:$AJ$1001,MATCH(ROWS($AH$2:AH326),$AH$2:$AH$1001,0),0), INDEX($AO$1004:$BQ$1004,1,MATCH(COLUMNS($AO$1006:AP1006),$AO$1006:$BQ$1006,0)))),"Fix")))</f>
        <v>#N/A</v>
      </c>
      <c r="D326" s="5" t="e">
        <f ca="1">IF(OR(INDEX($AI$2:$AI$1001,MATCH(ROWS($AH$2:AH326),$AH$2:$AH$1001,0),1)&gt;=100000,INDEX($AO$1005:$BQ$1005,1,MATCH(COLUMNS($AO$1006:AQ1006),$AO$1006:$BQ$1006,0))&gt;=100000), " ",IF(INDEX($AO$2:$BQ$1001,MATCH(ROWS($AH$2:AH326),$AH$2:$AH$1001,0),MATCH(COLUMNS($AO$1006:AQ1006),$AO$1006:$BQ$1006,0)), HYPERLINK("#",""), HYPERLINK(CONCATENATE("#Metadata!", ADDRESS(INDEX($AJ$2:$AJ$1001,MATCH(ROWS($AH$2:AH326),$AH$2:$AH$1001,0),0), INDEX($AO$1004:$BQ$1004,1,MATCH(COLUMNS($AO$1006:AQ1006),$AO$1006:$BQ$1006,0)))),"Fix")))</f>
        <v>#N/A</v>
      </c>
      <c r="E326" s="5" t="e">
        <f ca="1">IF(OR(INDEX($AI$2:$AI$1001,MATCH(ROWS($AH$2:AH326),$AH$2:$AH$1001,0),1)&gt;=100000,INDEX($AO$1005:$BQ$1005,1,MATCH(COLUMNS($AO$1006:AR1006),$AO$1006:$BQ$1006,0))&gt;=100000), " ",IF(INDEX($AO$2:$BQ$1001,MATCH(ROWS($AH$2:AH326),$AH$2:$AH$1001,0),MATCH(COLUMNS($AO$1006:AR1006),$AO$1006:$BQ$1006,0)), HYPERLINK("#",""), HYPERLINK(CONCATENATE("#Metadata!", ADDRESS(INDEX($AJ$2:$AJ$1001,MATCH(ROWS($AH$2:AH326),$AH$2:$AH$1001,0),0), INDEX($AO$1004:$BQ$1004,1,MATCH(COLUMNS($AO$1006:AR1006),$AO$1006:$BQ$1006,0)))),"Fix")))</f>
        <v>#N/A</v>
      </c>
      <c r="F326" s="5" t="e">
        <f ca="1">IF(OR(INDEX($AI$2:$AI$1001,MATCH(ROWS($AH$2:AH326),$AH$2:$AH$1001,0),1)&gt;=100000,INDEX($AO$1005:$BQ$1005,1,MATCH(COLUMNS($AO$1006:AS1006),$AO$1006:$BQ$1006,0))&gt;=100000), " ",IF(INDEX($AO$2:$BQ$1001,MATCH(ROWS($AH$2:AH326),$AH$2:$AH$1001,0),MATCH(COLUMNS($AO$1006:AS1006),$AO$1006:$BQ$1006,0)), HYPERLINK("#",""), HYPERLINK(CONCATENATE("#Metadata!", ADDRESS(INDEX($AJ$2:$AJ$1001,MATCH(ROWS($AH$2:AH326),$AH$2:$AH$1001,0),0), INDEX($AO$1004:$BQ$1004,1,MATCH(COLUMNS($AO$1006:AS1006),$AO$1006:$BQ$1006,0)))),"Fix")))</f>
        <v>#N/A</v>
      </c>
      <c r="G326" s="5" t="e">
        <f ca="1">IF(OR(INDEX($AI$2:$AI$1001,MATCH(ROWS($AH$2:AH326),$AH$2:$AH$1001,0),1)&gt;=100000,INDEX($AO$1005:$BQ$1005,1,MATCH(COLUMNS($AO$1006:AT1006),$AO$1006:$BQ$1006,0))&gt;=100000), " ",IF(INDEX($AO$2:$BQ$1001,MATCH(ROWS($AH$2:AH326),$AH$2:$AH$1001,0),MATCH(COLUMNS($AO$1006:AT1006),$AO$1006:$BQ$1006,0)), HYPERLINK("#",""), HYPERLINK(CONCATENATE("#Metadata!", ADDRESS(INDEX($AJ$2:$AJ$1001,MATCH(ROWS($AH$2:AH326),$AH$2:$AH$1001,0),0), INDEX($AO$1004:$BQ$1004,1,MATCH(COLUMNS($AO$1006:AT1006),$AO$1006:$BQ$1006,0)))),"Fix")))</f>
        <v>#N/A</v>
      </c>
      <c r="H326" s="5" t="e">
        <f ca="1">IF(OR(INDEX($AI$2:$AI$1001,MATCH(ROWS($AH$2:AH326),$AH$2:$AH$1001,0),1)&gt;=100000,INDEX($AO$1005:$BQ$1005,1,MATCH(COLUMNS($AO$1006:AU1006),$AO$1006:$BQ$1006,0))&gt;=100000), " ",IF(INDEX($AO$2:$BQ$1001,MATCH(ROWS($AH$2:AH326),$AH$2:$AH$1001,0),MATCH(COLUMNS($AO$1006:AU1006),$AO$1006:$BQ$1006,0)), HYPERLINK("#",""), HYPERLINK(CONCATENATE("#Metadata!", ADDRESS(INDEX($AJ$2:$AJ$1001,MATCH(ROWS($AH$2:AH326),$AH$2:$AH$1001,0),0), INDEX($AO$1004:$BQ$1004,1,MATCH(COLUMNS($AO$1006:AU1006),$AO$1006:$BQ$1006,0)))),"Fix")))</f>
        <v>#N/A</v>
      </c>
      <c r="I326" s="5" t="e">
        <f ca="1">IF(OR(INDEX($AI$2:$AI$1001,MATCH(ROWS($AH$2:AH326),$AH$2:$AH$1001,0),1)&gt;=100000,INDEX($AO$1005:$BQ$1005,1,MATCH(COLUMNS($AO$1006:AV1006),$AO$1006:$BQ$1006,0))&gt;=100000), " ",IF(INDEX($AO$2:$BQ$1001,MATCH(ROWS($AH$2:AH326),$AH$2:$AH$1001,0),MATCH(COLUMNS($AO$1006:AV1006),$AO$1006:$BQ$1006,0)), HYPERLINK("#",""), HYPERLINK(CONCATENATE("#Metadata!", ADDRESS(INDEX($AJ$2:$AJ$1001,MATCH(ROWS($AH$2:AH326),$AH$2:$AH$1001,0),0), INDEX($AO$1004:$BQ$1004,1,MATCH(COLUMNS($AO$1006:AV1006),$AO$1006:$BQ$1006,0)))),"Fix")))</f>
        <v>#N/A</v>
      </c>
      <c r="J326" s="5" t="e">
        <f ca="1">IF(OR(INDEX($AI$2:$AI$1001,MATCH(ROWS($AH$2:AH326),$AH$2:$AH$1001,0),1)&gt;=100000,INDEX($AO$1005:$BQ$1005,1,MATCH(COLUMNS($AO$1006:AW1006),$AO$1006:$BQ$1006,0))&gt;=100000), " ",IF(INDEX($AO$2:$BQ$1001,MATCH(ROWS($AH$2:AH326),$AH$2:$AH$1001,0),MATCH(COLUMNS($AO$1006:AW1006),$AO$1006:$BQ$1006,0)), HYPERLINK("#",""), HYPERLINK(CONCATENATE("#Metadata!", ADDRESS(INDEX($AJ$2:$AJ$1001,MATCH(ROWS($AH$2:AH326),$AH$2:$AH$1001,0),0), INDEX($AO$1004:$BQ$1004,1,MATCH(COLUMNS($AO$1006:AW1006),$AO$1006:$BQ$1006,0)))),"Fix")))</f>
        <v>#N/A</v>
      </c>
      <c r="K326" s="5" t="e">
        <f ca="1">IF(OR(INDEX($AI$2:$AI$1001,MATCH(ROWS($AH$2:AH326),$AH$2:$AH$1001,0),1)&gt;=100000,INDEX($AO$1005:$BQ$1005,1,MATCH(COLUMNS($AO$1006:AX1006),$AO$1006:$BQ$1006,0))&gt;=100000), " ",IF(INDEX($AO$2:$BQ$1001,MATCH(ROWS($AH$2:AH326),$AH$2:$AH$1001,0),MATCH(COLUMNS($AO$1006:AX1006),$AO$1006:$BQ$1006,0)), HYPERLINK("#",""), HYPERLINK(CONCATENATE("#Metadata!", ADDRESS(INDEX($AJ$2:$AJ$1001,MATCH(ROWS($AH$2:AH326),$AH$2:$AH$1001,0),0), INDEX($AO$1004:$BQ$1004,1,MATCH(COLUMNS($AO$1006:AX1006),$AO$1006:$BQ$1006,0)))),"Fix")))</f>
        <v>#N/A</v>
      </c>
      <c r="L326" s="5" t="e">
        <f ca="1">IF(OR(INDEX($AI$2:$AI$1001,MATCH(ROWS($AH$2:AH326),$AH$2:$AH$1001,0),1)&gt;=100000,INDEX($AO$1005:$BQ$1005,1,MATCH(COLUMNS($AO$1006:AY1006),$AO$1006:$BQ$1006,0))&gt;=100000), " ",IF(INDEX($AO$2:$BQ$1001,MATCH(ROWS($AH$2:AH326),$AH$2:$AH$1001,0),MATCH(COLUMNS($AO$1006:AY1006),$AO$1006:$BQ$1006,0)), HYPERLINK("#",""), HYPERLINK(CONCATENATE("#Metadata!", ADDRESS(INDEX($AJ$2:$AJ$1001,MATCH(ROWS($AH$2:AH326),$AH$2:$AH$1001,0),0), INDEX($AO$1004:$BQ$1004,1,MATCH(COLUMNS($AO$1006:AY1006),$AO$1006:$BQ$1006,0)))),"Fix")))</f>
        <v>#N/A</v>
      </c>
      <c r="M326" s="5" t="e">
        <f ca="1">IF(OR(INDEX($AI$2:$AI$1001,MATCH(ROWS($AH$2:AH326),$AH$2:$AH$1001,0),1)&gt;=100000,INDEX($AO$1005:$BQ$1005,1,MATCH(COLUMNS($AO$1006:AZ1006),$AO$1006:$BQ$1006,0))&gt;=100000), " ",IF(INDEX($AO$2:$BQ$1001,MATCH(ROWS($AH$2:AH326),$AH$2:$AH$1001,0),MATCH(COLUMNS($AO$1006:AZ1006),$AO$1006:$BQ$1006,0)), HYPERLINK("#",""), HYPERLINK(CONCATENATE("#Metadata!", ADDRESS(INDEX($AJ$2:$AJ$1001,MATCH(ROWS($AH$2:AH326),$AH$2:$AH$1001,0),0), INDEX($AO$1004:$BQ$1004,1,MATCH(COLUMNS($AO$1006:AZ1006),$AO$1006:$BQ$1006,0)))),"Fix")))</f>
        <v>#N/A</v>
      </c>
      <c r="N326" s="5" t="e">
        <f ca="1">IF(OR(INDEX($AI$2:$AI$1001,MATCH(ROWS($AH$2:AH326),$AH$2:$AH$1001,0),1)&gt;=100000,INDEX($AO$1005:$BQ$1005,1,MATCH(COLUMNS($AO$1006:BA1006),$AO$1006:$BQ$1006,0))&gt;=100000), " ",IF(INDEX($AO$2:$BQ$1001,MATCH(ROWS($AH$2:AH326),$AH$2:$AH$1001,0),MATCH(COLUMNS($AO$1006:BA1006),$AO$1006:$BQ$1006,0)), HYPERLINK("#",""), HYPERLINK(CONCATENATE("#Metadata!", ADDRESS(INDEX($AJ$2:$AJ$1001,MATCH(ROWS($AH$2:AH326),$AH$2:$AH$1001,0),0), INDEX($AO$1004:$BQ$1004,1,MATCH(COLUMNS($AO$1006:BA1006),$AO$1006:$BQ$1006,0)))),"Fix")))</f>
        <v>#N/A</v>
      </c>
      <c r="O326" s="5" t="e">
        <f ca="1">IF(OR(INDEX($AI$2:$AI$1001,MATCH(ROWS($AH$2:AH326),$AH$2:$AH$1001,0),1)&gt;=100000,INDEX($AO$1005:$BQ$1005,1,MATCH(COLUMNS($AO$1006:BB1006),$AO$1006:$BQ$1006,0))&gt;=100000), " ",IF(INDEX($AO$2:$BQ$1001,MATCH(ROWS($AH$2:AH326),$AH$2:$AH$1001,0),MATCH(COLUMNS($AO$1006:BB1006),$AO$1006:$BQ$1006,0)), HYPERLINK("#",""), HYPERLINK(CONCATENATE("#Metadata!", ADDRESS(INDEX($AJ$2:$AJ$1001,MATCH(ROWS($AH$2:AH326),$AH$2:$AH$1001,0),0), INDEX($AO$1004:$BQ$1004,1,MATCH(COLUMNS($AO$1006:BB1006),$AO$1006:$BQ$1006,0)))),"Fix")))</f>
        <v>#N/A</v>
      </c>
      <c r="P326" s="5" t="e">
        <f ca="1">IF(OR(INDEX($AI$2:$AI$1001,MATCH(ROWS($AH$2:AH326),$AH$2:$AH$1001,0),1)&gt;=100000,INDEX($AO$1005:$BQ$1005,1,MATCH(COLUMNS($AO$1006:BC1006),$AO$1006:$BQ$1006,0))&gt;=100000), " ",IF(INDEX($AO$2:$BQ$1001,MATCH(ROWS($AH$2:AH326),$AH$2:$AH$1001,0),MATCH(COLUMNS($AO$1006:BC1006),$AO$1006:$BQ$1006,0)), HYPERLINK("#",""), HYPERLINK(CONCATENATE("#Metadata!", ADDRESS(INDEX($AJ$2:$AJ$1001,MATCH(ROWS($AH$2:AH326),$AH$2:$AH$1001,0),0), INDEX($AO$1004:$BQ$1004,1,MATCH(COLUMNS($AO$1006:BC1006),$AO$1006:$BQ$1006,0)))),"Fix")))</f>
        <v>#N/A</v>
      </c>
      <c r="Q326" s="5" t="e">
        <f ca="1">IF(OR(INDEX($AI$2:$AI$1001,MATCH(ROWS($AH$2:AH326),$AH$2:$AH$1001,0),1)&gt;=100000,INDEX($AO$1005:$BQ$1005,1,MATCH(COLUMNS($AO$1006:BD1006),$AO$1006:$BQ$1006,0))&gt;=100000), " ",IF(INDEX($AO$2:$BQ$1001,MATCH(ROWS($AH$2:AH326),$AH$2:$AH$1001,0),MATCH(COLUMNS($AO$1006:BD1006),$AO$1006:$BQ$1006,0)), HYPERLINK("#",""), HYPERLINK(CONCATENATE("#Metadata!", ADDRESS(INDEX($AJ$2:$AJ$1001,MATCH(ROWS($AH$2:AH326),$AH$2:$AH$1001,0),0), INDEX($AO$1004:$BQ$1004,1,MATCH(COLUMNS($AO$1006:BD1006),$AO$1006:$BQ$1006,0)))),"Fix")))</f>
        <v>#N/A</v>
      </c>
      <c r="R326" s="5" t="e">
        <f ca="1">IF(OR(INDEX($AI$2:$AI$1001,MATCH(ROWS($AH$2:AH326),$AH$2:$AH$1001,0),1)&gt;=100000,INDEX($AO$1005:$BQ$1005,1,MATCH(COLUMNS($AO$1006:BE1006),$AO$1006:$BQ$1006,0))&gt;=100000), " ",IF(INDEX($AO$2:$BQ$1001,MATCH(ROWS($AH$2:AH326),$AH$2:$AH$1001,0),MATCH(COLUMNS($AO$1006:BE1006),$AO$1006:$BQ$1006,0)), HYPERLINK("#",""), HYPERLINK(CONCATENATE("#Metadata!", ADDRESS(INDEX($AJ$2:$AJ$1001,MATCH(ROWS($AH$2:AH326),$AH$2:$AH$1001,0),0), INDEX($AO$1004:$BQ$1004,1,MATCH(COLUMNS($AO$1006:BE1006),$AO$1006:$BQ$1006,0)))),"Fix")))</f>
        <v>#N/A</v>
      </c>
      <c r="S326" s="5" t="e">
        <f ca="1">IF(OR(INDEX($AI$2:$AI$1001,MATCH(ROWS($AH$2:AH326),$AH$2:$AH$1001,0),1)&gt;=100000,INDEX($AO$1005:$BQ$1005,1,MATCH(COLUMNS($AO$1006:BF1006),$AO$1006:$BQ$1006,0))&gt;=100000), " ",IF(INDEX($AO$2:$BQ$1001,MATCH(ROWS($AH$2:AH326),$AH$2:$AH$1001,0),MATCH(COLUMNS($AO$1006:BF1006),$AO$1006:$BQ$1006,0)), HYPERLINK("#",""), HYPERLINK(CONCATENATE("#Metadata!", ADDRESS(INDEX($AJ$2:$AJ$1001,MATCH(ROWS($AH$2:AH326),$AH$2:$AH$1001,0),0), INDEX($AO$1004:$BQ$1004,1,MATCH(COLUMNS($AO$1006:BF1006),$AO$1006:$BQ$1006,0)))),"Fix")))</f>
        <v>#N/A</v>
      </c>
      <c r="T326" s="5" t="e">
        <f ca="1">IF(OR(INDEX($AI$2:$AI$1001,MATCH(ROWS($AH$2:AH326),$AH$2:$AH$1001,0),1)&gt;=100000,INDEX($AO$1005:$BQ$1005,1,MATCH(COLUMNS($AO$1006:BG1006),$AO$1006:$BQ$1006,0))&gt;=100000), " ",IF(INDEX($AO$2:$BQ$1001,MATCH(ROWS($AH$2:AH326),$AH$2:$AH$1001,0),MATCH(COLUMNS($AO$1006:BG1006),$AO$1006:$BQ$1006,0)), HYPERLINK("#",""), HYPERLINK(CONCATENATE("#Metadata!", ADDRESS(INDEX($AJ$2:$AJ$1001,MATCH(ROWS($AH$2:AH326),$AH$2:$AH$1001,0),0), INDEX($AO$1004:$BQ$1004,1,MATCH(COLUMNS($AO$1006:BG1006),$AO$1006:$BQ$1006,0)))),"Fix")))</f>
        <v>#N/A</v>
      </c>
      <c r="U326" s="5" t="e">
        <f ca="1">IF(OR(INDEX($AI$2:$AI$1001,MATCH(ROWS($AH$2:AH326),$AH$2:$AH$1001,0),1)&gt;=100000,INDEX($AO$1005:$BQ$1005,1,MATCH(COLUMNS($AO$1006:BH1006),$AO$1006:$BQ$1006,0))&gt;=100000), " ",IF(INDEX($AO$2:$BQ$1001,MATCH(ROWS($AH$2:AH326),$AH$2:$AH$1001,0),MATCH(COLUMNS($AO$1006:BH1006),$AO$1006:$BQ$1006,0)), HYPERLINK("#",""), HYPERLINK(CONCATENATE("#Metadata!", ADDRESS(INDEX($AJ$2:$AJ$1001,MATCH(ROWS($AH$2:AH326),$AH$2:$AH$1001,0),0), INDEX($AO$1004:$BQ$1004,1,MATCH(COLUMNS($AO$1006:BH1006),$AO$1006:$BQ$1006,0)))),"Fix")))</f>
        <v>#N/A</v>
      </c>
      <c r="V326" s="5" t="e">
        <f ca="1">IF(OR(INDEX($AI$2:$AI$1001,MATCH(ROWS($AH$2:AH326),$AH$2:$AH$1001,0),1)&gt;=100000,INDEX($AO$1005:$BQ$1005,1,MATCH(COLUMNS($AO$1006:BI1006),$AO$1006:$BQ$1006,0))&gt;=100000), " ",IF(INDEX($AO$2:$BQ$1001,MATCH(ROWS($AH$2:AH326),$AH$2:$AH$1001,0),MATCH(COLUMNS($AO$1006:BI1006),$AO$1006:$BQ$1006,0)), HYPERLINK("#",""), HYPERLINK(CONCATENATE("#Metadata!", ADDRESS(INDEX($AJ$2:$AJ$1001,MATCH(ROWS($AH$2:AH326),$AH$2:$AH$1001,0),0), INDEX($AO$1004:$BQ$1004,1,MATCH(COLUMNS($AO$1006:BI1006),$AO$1006:$BQ$1006,0)))),"Fix")))</f>
        <v>#N/A</v>
      </c>
      <c r="W326" s="5" t="e">
        <f ca="1">IF(OR(INDEX($AI$2:$AI$1001,MATCH(ROWS($AH$2:AH326),$AH$2:$AH$1001,0),1)&gt;=100000,INDEX($AO$1005:$BQ$1005,1,MATCH(COLUMNS($AO$1006:BJ1006),$AO$1006:$BQ$1006,0))&gt;=100000), " ",IF(INDEX($AO$2:$BQ$1001,MATCH(ROWS($AH$2:AH326),$AH$2:$AH$1001,0),MATCH(COLUMNS($AO$1006:BJ1006),$AO$1006:$BQ$1006,0)), HYPERLINK("#",""), HYPERLINK(CONCATENATE("#Metadata!", ADDRESS(INDEX($AJ$2:$AJ$1001,MATCH(ROWS($AH$2:AH326),$AH$2:$AH$1001,0),0), INDEX($AO$1004:$BQ$1004,1,MATCH(COLUMNS($AO$1006:BJ1006),$AO$1006:$BQ$1006,0)))),"Fix")))</f>
        <v>#N/A</v>
      </c>
      <c r="X326" s="5" t="e">
        <f ca="1">IF(OR(INDEX($AI$2:$AI$1001,MATCH(ROWS($AH$2:AH326),$AH$2:$AH$1001,0),1)&gt;=100000,INDEX($AO$1005:$BQ$1005,1,MATCH(COLUMNS($AO$1006:BK1006),$AO$1006:$BQ$1006,0))&gt;=100000), " ",IF(INDEX($AO$2:$BQ$1001,MATCH(ROWS($AH$2:AH326),$AH$2:$AH$1001,0),MATCH(COLUMNS($AO$1006:BK1006),$AO$1006:$BQ$1006,0)), HYPERLINK("#",""), HYPERLINK(CONCATENATE("#Metadata!", ADDRESS(INDEX($AJ$2:$AJ$1001,MATCH(ROWS($AH$2:AH326),$AH$2:$AH$1001,0),0), INDEX($AO$1004:$BQ$1004,1,MATCH(COLUMNS($AO$1006:BK1006),$AO$1006:$BQ$1006,0)))),"Fix")))</f>
        <v>#N/A</v>
      </c>
      <c r="Y326" s="5" t="e">
        <f ca="1">IF(OR(INDEX($AI$2:$AI$1001,MATCH(ROWS($AH$2:AH326),$AH$2:$AH$1001,0),1)&gt;=100000,INDEX($AO$1005:$BQ$1005,1,MATCH(COLUMNS($AO$1006:BL1006),$AO$1006:$BQ$1006,0))&gt;=100000), " ",IF(INDEX($AO$2:$BQ$1001,MATCH(ROWS($AH$2:AH326),$AH$2:$AH$1001,0),MATCH(COLUMNS($AO$1006:BL1006),$AO$1006:$BQ$1006,0)), HYPERLINK("#",""), HYPERLINK(CONCATENATE("#Metadata!", ADDRESS(INDEX($AJ$2:$AJ$1001,MATCH(ROWS($AH$2:AH326),$AH$2:$AH$1001,0),0), INDEX($AO$1004:$BQ$1004,1,MATCH(COLUMNS($AO$1006:BL1006),$AO$1006:$BQ$1006,0)))),"Fix")))</f>
        <v>#N/A</v>
      </c>
      <c r="Z326" s="5" t="e">
        <f ca="1">IF(OR(INDEX($AI$2:$AI$1001,MATCH(ROWS($AH$2:AH326),$AH$2:$AH$1001,0),1)&gt;=100000,INDEX($AO$1005:$BQ$1005,1,MATCH(COLUMNS($AO$1006:BM1006),$AO$1006:$BQ$1006,0))&gt;=100000), " ",IF(INDEX($AO$2:$BQ$1001,MATCH(ROWS($AH$2:AH326),$AH$2:$AH$1001,0),MATCH(COLUMNS($AO$1006:BM1006),$AO$1006:$BQ$1006,0)), HYPERLINK("#",""), HYPERLINK(CONCATENATE("#Metadata!", ADDRESS(INDEX($AJ$2:$AJ$1001,MATCH(ROWS($AH$2:AH326),$AH$2:$AH$1001,0),0), INDEX($AO$1004:$BQ$1004,1,MATCH(COLUMNS($AO$1006:BM1006),$AO$1006:$BQ$1006,0)))),"Fix")))</f>
        <v>#N/A</v>
      </c>
      <c r="AA326" s="5" t="e">
        <f ca="1">IF(OR(INDEX($AI$2:$AI$1001,MATCH(ROWS($AH$2:AH326),$AH$2:$AH$1001,0),1)&gt;=100000,INDEX($AO$1005:$BQ$1005,1,MATCH(COLUMNS($AO$1006:BN1006),$AO$1006:$BQ$1006,0))&gt;=100000), " ",IF(INDEX($AO$2:$BQ$1001,MATCH(ROWS($AH$2:AH326),$AH$2:$AH$1001,0),MATCH(COLUMNS($AO$1006:BN1006),$AO$1006:$BQ$1006,0)), HYPERLINK("#",""), HYPERLINK(CONCATENATE("#Metadata!", ADDRESS(INDEX($AJ$2:$AJ$1001,MATCH(ROWS($AH$2:AH326),$AH$2:$AH$1001,0),0), INDEX($AO$1004:$BQ$1004,1,MATCH(COLUMNS($AO$1006:BN1006),$AO$1006:$BQ$1006,0)))),"Fix")))</f>
        <v>#N/A</v>
      </c>
      <c r="AB326" s="5" t="e">
        <f ca="1">IF(OR(INDEX($AI$2:$AI$1001,MATCH(ROWS($AH$2:AH326),$AH$2:$AH$1001,0),1)&gt;=100000,INDEX($AO$1005:$BQ$1005,1,MATCH(COLUMNS($AO$1006:BO1006),$AO$1006:$BQ$1006,0))&gt;=100000), " ",IF(INDEX($AO$2:$BQ$1001,MATCH(ROWS($AH$2:AH326),$AH$2:$AH$1001,0),MATCH(COLUMNS($AO$1006:BO1006),$AO$1006:$BQ$1006,0)), HYPERLINK("#",""), HYPERLINK(CONCATENATE("#Metadata!", ADDRESS(INDEX($AJ$2:$AJ$1001,MATCH(ROWS($AH$2:AH326),$AH$2:$AH$1001,0),0), INDEX($AO$1004:$BQ$1004,1,MATCH(COLUMNS($AO$1006:BO1006),$AO$1006:$BQ$1006,0)))),"Fix")))</f>
        <v>#N/A</v>
      </c>
      <c r="AC326" s="5" t="e">
        <f ca="1">IF(OR(INDEX($AI$2:$AI$1001,MATCH(ROWS($AH$2:AH326),$AH$2:$AH$1001,0),1)&gt;=100000,INDEX($AO$1005:$BQ$1005,1,MATCH(COLUMNS($AO$1006:BP1006),$AO$1006:$BQ$1006,0))&gt;=100000), " ",IF(INDEX($AO$2:$BQ$1001,MATCH(ROWS($AH$2:AH326),$AH$2:$AH$1001,0),MATCH(COLUMNS($AO$1006:BP1006),$AO$1006:$BQ$1006,0)), HYPERLINK("#",""), HYPERLINK(CONCATENATE("#Metadata!", ADDRESS(INDEX($AJ$2:$AJ$1001,MATCH(ROWS($AH$2:AH326),$AH$2:$AH$1001,0),0), INDEX($AO$1004:$BQ$1004,1,MATCH(COLUMNS($AO$1006:BP1006),$AO$1006:$BQ$1006,0)))),"Fix")))</f>
        <v>#N/A</v>
      </c>
      <c r="AD326" s="5" t="e">
        <f ca="1">IF(OR(INDEX($AI$2:$AI$1001,MATCH(ROWS($AH$2:AH326),$AH$2:$AH$1001,0),1)&gt;=100000,INDEX($AO$1005:$BQ$1005,1,MATCH(COLUMNS($AO$1006:BQ1006),$AO$1006:$BQ$1006,0))&gt;=100000), " ",IF(INDEX($AO$2:$BQ$1001,MATCH(ROWS($AH$2:AH326),$AH$2:$AH$1001,0),MATCH(COLUMNS($AO$1006:BQ1006),$AO$1006:$BQ$1006,0)), HYPERLINK("#",""), HYPERLINK(CONCATENATE("#Metadata!", ADDRESS(INDEX($AJ$2:$AJ$1001,MATCH(ROWS($AH$2:AH326),$AH$2:$AH$1001,0),0), INDEX($AO$1004:$BQ$1004,1,MATCH(COLUMNS($AO$1006:BQ1006),$AO$1006:$BQ$1006,0)))),"Fix")))</f>
        <v>#REF!</v>
      </c>
      <c r="AH326">
        <f ca="1"/>
        <v>323</v>
      </c>
      <c r="AI326">
        <v>100326</v>
      </c>
      <c r="AJ326">
        <v>326</v>
      </c>
      <c r="AK326" t="b">
        <f t="shared" si="5"/>
        <v>1</v>
      </c>
      <c r="AL326" t="b">
        <f>COUNTBLANK(Metadata!B326:AD326)=COLUMNS(Metadata!B326:AD326)</f>
        <v>1</v>
      </c>
      <c r="AM326" t="str">
        <v/>
      </c>
      <c r="AO326" t="b">
        <f ca="1">AND(IF(Metadata!B326="",FALSE,TRUE),COUNTIF(Metadata!B:B, Metadata!B326) = 1,NOT(ISERROR(SUMPRODUCT(SEARCH(MID(Metadata!B326,ROW(INDIRECT("1:"&amp;LEN(Metadata!B326))), 1),"0123456789abcdefghijklmnopqrstuvwxyzABCDEFGHIJKLMNOPQRSTUVWXYZ.")))))</f>
        <v>0</v>
      </c>
      <c r="AP326" t="b">
        <f>IF(Metadata!C326="",FALSE,TRUE)</f>
        <v>0</v>
      </c>
      <c r="AQ326" t="b">
        <f>IF(Metadata!D326="",FALSE,TRUE)</f>
        <v>0</v>
      </c>
      <c r="AR326" t="b">
        <f ca="1">OR(AND(IF(Metadata!E326="",FALSE,TRUE),OR(EXACT(Metadata!E326,"not collected"),EXACT(Metadata!E326,"not provided"),EXACT(Metadata!E326,"restricted access"))),AND(IF(Metadata!E326="",FALSE,TRUE),AND(AND(IFERROR(INT(LEFT(Metadata!E326,4))&gt;1900,FALSE),IFERROR(INT(LEFT(Metadata!E326,4))&lt;=YEAR(NOW()),FALSE)), OR(MID(Metadata!E326,5,1)="", AND(AND(MID(Metadata!E326,5,1)="-",IFERROR(INT(MID(Metadata!E326,6,1))&gt;=0,FALSE),IFERROR(INT(MID(Metadata!E326,6,1))&lt;=1,FALSE),NOT(MID(Metadata!E326,7,1)=""),IFERROR(INT(MID(Metadata!E326,6,2))&gt;=1,FALSE),IFERROR(INT(MID(Metadata!E326,6,2))&lt;=12,FALSE)), OR(MID(Metadata!E326,8,1)="", AND(AND(MID(Metadata!E326,8,1)="-",IFERROR(INT(MID(Metadata!E326,9,1))&gt;=0,FALSE),IFERROR(INT(MID(Metadata!E326,9,1))&lt;=3,FALSE),NOT(MID(Metadata!E326,10,1)=""),IFERROR(INT(MID(Metadata!E326,9,2))&gt;=1,FALSE),IFERROR(INT(MID(Metadata!E326,9,2))&lt;=31,FALSE)), OR(MID(Metadata!E326,11,1)="", AND(AND(MID(Metadata!E326,11,1)=" ",IFERROR(INT(MID(Metadata!E326,12,1))&gt;=0,FALSE),IFERROR(INT(MID(Metadata!E326,12,1))&lt;=2,FALSE),NOT(MID(Metadata!E326,13,1)=""),IFERROR(INT(MID(Metadata!E326,12,2))&gt;=0,FALSE),IFERROR(INT(MID(Metadata!E326,12,2))&lt;=23,FALSE)), OR(MID(Metadata!E326,14,1)="", AND(AND(MID(Metadata!E326,14,1)=":",IFERROR(INT(MID(Metadata!E326,15,1))&gt;=0,FALSE),IFERROR(INT(MID(Metadata!E326,15,1))&lt;=5,FALSE),NOT(MID(Metadata!E326,16,1)=""),IFERROR(INT(MID(Metadata!E326,15,2))&gt;=0,FALSE),IFERROR(INT(MID(Metadata!E326,15,2))&lt;=59,FALSE)), OR(MID(Metadata!E326,17,1)="", AND(AND(MID(Metadata!E326,17,1)=":",IFERROR(INT(MID(Metadata!E326,18,1))&gt;=0,FALSE),IFERROR(INT(MID(Metadata!E326,18,1))&lt;=5,FALSE),NOT(MID(Metadata!E326,19,1)=""),IFERROR(INT(MID(Metadata!E326,18,2))&gt;=0,FALSE),IFERROR(INT(MID(Metadata!E326,18,2))&lt;=59,FALSE)), LEN(Metadata!E326)&lt;=19)))))))))))))</f>
        <v>0</v>
      </c>
      <c r="AS326" t="b">
        <f>IF(Metadata!F326="",FALSE,TRUE)</f>
        <v>0</v>
      </c>
      <c r="AT326" t="b">
        <f>OR(AND(IF(Metadata!G326="",FALSE,TRUE),OR(EXACT(Metadata!G326,"not collected"),EXACT(Metadata!G326,"not provided"))),AND(IF(Metadata!G326="",FALSE,TRUE),OR(EXACT(Metadata!G326,"TRUE"),EXACT(Metadata!G326,"FALSE"))))</f>
        <v>0</v>
      </c>
      <c r="AU326" t="b">
        <f>OR(AND(IF(Metadata!H326="",FALSE,TRUE),OR(EXACT(Metadata!H326,"not collected"),EXACT(Metadata!H326,"not provided"),EXACT(Metadata!H326,"restricted access"))),AND(IF(Metadata!H326="",FALSE,ISNUMBER(VALUE(Metadata!H326))),Metadata!H326&gt;=-413))</f>
        <v>0</v>
      </c>
      <c r="AV326" t="b">
        <f>AND(IF(Metadata!I326="",FALSE,TRUE),EXACT(Metadata!I326,"meters"))</f>
        <v>0</v>
      </c>
      <c r="AW326" t="b">
        <f>AND(IF(Metadata!J326="",FALSE,TRUE),EXACT(Metadata!J326,"free-living"))</f>
        <v>0</v>
      </c>
      <c r="AX326" t="b">
        <f>AND(IF(Metadata!K326="",FALSE,TRUE),OR(EXACT(Metadata!K326,"saline"),EXACT(Metadata!K326,"non-saline")))</f>
        <v>0</v>
      </c>
      <c r="AY326" t="b">
        <f>AND(IF(Metadata!L326="",FALSE,TRUE),OR(EXACT(Metadata!L326,"sub-surface (non-saline)"),EXACT(Metadata!L326,"surface (non-saline)"),EXACT(Metadata!L326,"water (non-saline)"),EXACT(Metadata!L326,"soil (non-saline)"),EXACT(Metadata!L326,"aerosol (non-saline)"),EXACT(Metadata!L326,"sediment (non-saline)"),EXACT(Metadata!L326,"surface (saline)"),EXACT(Metadata!L326,"water (saline)"),EXACT(Metadata!L326,"hypersaline (saline)"),EXACT(Metadata!L326,"aerosol (saline)"),EXACT(Metadata!L326,"sediment (saline)")))</f>
        <v>0</v>
      </c>
      <c r="AZ326" t="b">
        <f>IF(Metadata!M326="",FALSE,TRUE)</f>
        <v>0</v>
      </c>
      <c r="BA326" t="b">
        <f>IF(Metadata!N326="",FALSE,TRUE)</f>
        <v>0</v>
      </c>
      <c r="BB326" t="b">
        <f>IF(Metadata!O326="",FALSE,TRUE)</f>
        <v>0</v>
      </c>
      <c r="BC326" t="b">
        <f>AND(IF(Metadata!P326="",FALSE,TRUE),OR(EXACT(Metadata!P326,"air"),EXACT(Metadata!P326,"microbial mat/biofilm"),EXACT(Metadata!P326,"misc environment"),EXACT(Metadata!P326,"sediment"),EXACT(Metadata!P326,"soil"),EXACT(Metadata!P326,"wastewater/sludge"),EXACT(Metadata!P326,"water")))</f>
        <v>0</v>
      </c>
      <c r="BD326" t="b">
        <f>IF(Metadata!Q326="",FALSE,TRUE)</f>
        <v>0</v>
      </c>
      <c r="BE326" t="b">
        <f>IF(Metadata!R326="",FALSE,TRUE)</f>
        <v>0</v>
      </c>
      <c r="BF326" t="b">
        <f>OR(AND(IF(Metadata!S326="",FALSE,TRUE),OR(EXACT(Metadata!S326,"not collected"),EXACT(Metadata!S326,"not provided"),EXACT(Metadata!S326,"restricted access"))),AND(IF(Metadata!S326="",FALSE,ISNUMBER(VALUE(Metadata!S326))),Metadata!S326&gt;=-90,Metadata!S326&lt;=90))</f>
        <v>0</v>
      </c>
      <c r="BG326" t="b">
        <f>AND(IF(Metadata!T326="",FALSE,TRUE),EXACT(Metadata!T326,"Decimal degrees"))</f>
        <v>0</v>
      </c>
      <c r="BH326" t="b">
        <f>OR(AND(IF(Metadata!U326="",FALSE,TRUE),OR(EXACT(Metadata!U326,"not applicable"),EXACT(Metadata!U326,"not collected"))),IF(Metadata!U326="",FALSE,TRUE))</f>
        <v>0</v>
      </c>
      <c r="BI326" t="b">
        <f>OR(AND(IF(Metadata!V326="",FALSE,TRUE),OR(EXACT(Metadata!V326,"not collected"),EXACT(Metadata!V326,"not provided"),EXACT(Metadata!V326,"restricted access"))),AND(IF(Metadata!V326="",FALSE,ISNUMBER(VALUE(Metadata!V326))),Metadata!V326&gt;=-180,Metadata!V326&lt;=180))</f>
        <v>0</v>
      </c>
      <c r="BJ326" t="b">
        <f>AND(IF(Metadata!W326="",FALSE,TRUE),EXACT(Metadata!W326,"Decimal degrees"))</f>
        <v>0</v>
      </c>
      <c r="BK326" t="b">
        <f>IF(Metadata!X326="",FALSE,TRUE)</f>
        <v>0</v>
      </c>
      <c r="BL326" t="b">
        <f>OR(AND(IF(Metadata!Y326="",FALSE,TRUE),OR(EXACT(Metadata!Y326,"not collected"),EXACT(Metadata!Y326,"not provided"),EXACT(Metadata!Y326,"restricted access"))),AND(IF(Metadata!Y326="",FALSE,TRUE),OR(EXACT(Metadata!Y326,"TRUE"),EXACT(Metadata!Y326,"FALSE"))))</f>
        <v>0</v>
      </c>
      <c r="BM326" t="b">
        <f>OR(AND(IF(Metadata!Z326="",FALSE,TRUE),EXACT(Metadata!Z326,"not applicable")),AND(IF(Metadata!Z326="",FALSE,TRUE),OR(EXACT(Metadata!Z326,"beer"),EXACT(Metadata!Z326,"cheese"),EXACT(Metadata!Z326,"fresh water"),EXACT(Metadata!Z326,"marine sediment"),EXACT(Metadata!Z326,"sea water"),EXACT(Metadata!Z326,"sediment"),EXACT(Metadata!Z326,"soil"),EXACT(Metadata!Z326,"waste water"))))</f>
        <v>0</v>
      </c>
      <c r="BN326" t="b">
        <f>AND(IF(Metadata!AA326="",FALSE,TRUE),EXACT(Metadata!AA326,"metagenome"))</f>
        <v>0</v>
      </c>
      <c r="BO326" t="b">
        <f>AND(IF(Metadata!AB326="",FALSE,TRUE),EXACT(Metadata!AB326,"256318"))</f>
        <v>0</v>
      </c>
      <c r="BP326" t="b">
        <f>IF(Metadata!AC326="",FALSE,TRUE)</f>
        <v>0</v>
      </c>
      <c r="BQ326" t="b">
        <f>IF(Metadata!AD326="",FALSE,TRUE)</f>
        <v>0</v>
      </c>
    </row>
    <row r="327" spans="1:69" x14ac:dyDescent="0.2">
      <c r="A327" s="4" t="e">
        <f ca="1">IF(B327=" "," ",HYPERLINK(CONCATENATE("#metadata!",ADDRESS(INDEX($AJ$2:$AJ$1001,MATCH(ROWS($AH$2:AH327),$AH$2:$AH$1001,0),0),2)),INDEX($AM$2:$AM$1001,MATCH(ROWS($AH$2:AH327),$AH$2:$AH$1001,0),0)))</f>
        <v>#N/A</v>
      </c>
      <c r="B327" s="5" t="e">
        <f ca="1">IF(OR(INDEX($AI$2:$AI$1001,MATCH(ROWS($AH$2:AH327),$AH$2:$AH$1001,0),1)&gt;=100000,INDEX($AO$1005:$BQ$1005,1,MATCH(COLUMNS($AO$1006:AO1006),$AO$1006:$BQ$1006,0))&gt;=100000), " ",IF(INDEX($AO$2:$BQ$1001,MATCH(ROWS($AH$2:AH327),$AH$2:$AH$1001,0),MATCH(COLUMNS($AO$1006:AO1006),$AO$1006:$BQ$1006,0)), HYPERLINK("#",""), HYPERLINK(CONCATENATE("#Metadata!", ADDRESS(INDEX($AJ$2:$AJ$1001,MATCH(ROWS($AH$2:AH327),$AH$2:$AH$1001,0),0), INDEX($AO$1004:$BQ$1004,1,MATCH(COLUMNS($AO$1006:AO1006),$AO$1006:$BQ$1006,0)))),"Fix")))</f>
        <v>#N/A</v>
      </c>
      <c r="C327" s="5" t="e">
        <f ca="1">IF(OR(INDEX($AI$2:$AI$1001,MATCH(ROWS($AH$2:AH327),$AH$2:$AH$1001,0),1)&gt;=100000,INDEX($AO$1005:$BQ$1005,1,MATCH(COLUMNS($AO$1006:AP1006),$AO$1006:$BQ$1006,0))&gt;=100000), " ",IF(INDEX($AO$2:$BQ$1001,MATCH(ROWS($AH$2:AH327),$AH$2:$AH$1001,0),MATCH(COLUMNS($AO$1006:AP1006),$AO$1006:$BQ$1006,0)), HYPERLINK("#",""), HYPERLINK(CONCATENATE("#Metadata!", ADDRESS(INDEX($AJ$2:$AJ$1001,MATCH(ROWS($AH$2:AH327),$AH$2:$AH$1001,0),0), INDEX($AO$1004:$BQ$1004,1,MATCH(COLUMNS($AO$1006:AP1006),$AO$1006:$BQ$1006,0)))),"Fix")))</f>
        <v>#N/A</v>
      </c>
      <c r="D327" s="5" t="e">
        <f ca="1">IF(OR(INDEX($AI$2:$AI$1001,MATCH(ROWS($AH$2:AH327),$AH$2:$AH$1001,0),1)&gt;=100000,INDEX($AO$1005:$BQ$1005,1,MATCH(COLUMNS($AO$1006:AQ1006),$AO$1006:$BQ$1006,0))&gt;=100000), " ",IF(INDEX($AO$2:$BQ$1001,MATCH(ROWS($AH$2:AH327),$AH$2:$AH$1001,0),MATCH(COLUMNS($AO$1006:AQ1006),$AO$1006:$BQ$1006,0)), HYPERLINK("#",""), HYPERLINK(CONCATENATE("#Metadata!", ADDRESS(INDEX($AJ$2:$AJ$1001,MATCH(ROWS($AH$2:AH327),$AH$2:$AH$1001,0),0), INDEX($AO$1004:$BQ$1004,1,MATCH(COLUMNS($AO$1006:AQ1006),$AO$1006:$BQ$1006,0)))),"Fix")))</f>
        <v>#N/A</v>
      </c>
      <c r="E327" s="5" t="e">
        <f ca="1">IF(OR(INDEX($AI$2:$AI$1001,MATCH(ROWS($AH$2:AH327),$AH$2:$AH$1001,0),1)&gt;=100000,INDEX($AO$1005:$BQ$1005,1,MATCH(COLUMNS($AO$1006:AR1006),$AO$1006:$BQ$1006,0))&gt;=100000), " ",IF(INDEX($AO$2:$BQ$1001,MATCH(ROWS($AH$2:AH327),$AH$2:$AH$1001,0),MATCH(COLUMNS($AO$1006:AR1006),$AO$1006:$BQ$1006,0)), HYPERLINK("#",""), HYPERLINK(CONCATENATE("#Metadata!", ADDRESS(INDEX($AJ$2:$AJ$1001,MATCH(ROWS($AH$2:AH327),$AH$2:$AH$1001,0),0), INDEX($AO$1004:$BQ$1004,1,MATCH(COLUMNS($AO$1006:AR1006),$AO$1006:$BQ$1006,0)))),"Fix")))</f>
        <v>#N/A</v>
      </c>
      <c r="F327" s="5" t="e">
        <f ca="1">IF(OR(INDEX($AI$2:$AI$1001,MATCH(ROWS($AH$2:AH327),$AH$2:$AH$1001,0),1)&gt;=100000,INDEX($AO$1005:$BQ$1005,1,MATCH(COLUMNS($AO$1006:AS1006),$AO$1006:$BQ$1006,0))&gt;=100000), " ",IF(INDEX($AO$2:$BQ$1001,MATCH(ROWS($AH$2:AH327),$AH$2:$AH$1001,0),MATCH(COLUMNS($AO$1006:AS1006),$AO$1006:$BQ$1006,0)), HYPERLINK("#",""), HYPERLINK(CONCATENATE("#Metadata!", ADDRESS(INDEX($AJ$2:$AJ$1001,MATCH(ROWS($AH$2:AH327),$AH$2:$AH$1001,0),0), INDEX($AO$1004:$BQ$1004,1,MATCH(COLUMNS($AO$1006:AS1006),$AO$1006:$BQ$1006,0)))),"Fix")))</f>
        <v>#N/A</v>
      </c>
      <c r="G327" s="5" t="e">
        <f ca="1">IF(OR(INDEX($AI$2:$AI$1001,MATCH(ROWS($AH$2:AH327),$AH$2:$AH$1001,0),1)&gt;=100000,INDEX($AO$1005:$BQ$1005,1,MATCH(COLUMNS($AO$1006:AT1006),$AO$1006:$BQ$1006,0))&gt;=100000), " ",IF(INDEX($AO$2:$BQ$1001,MATCH(ROWS($AH$2:AH327),$AH$2:$AH$1001,0),MATCH(COLUMNS($AO$1006:AT1006),$AO$1006:$BQ$1006,0)), HYPERLINK("#",""), HYPERLINK(CONCATENATE("#Metadata!", ADDRESS(INDEX($AJ$2:$AJ$1001,MATCH(ROWS($AH$2:AH327),$AH$2:$AH$1001,0),0), INDEX($AO$1004:$BQ$1004,1,MATCH(COLUMNS($AO$1006:AT1006),$AO$1006:$BQ$1006,0)))),"Fix")))</f>
        <v>#N/A</v>
      </c>
      <c r="H327" s="5" t="e">
        <f ca="1">IF(OR(INDEX($AI$2:$AI$1001,MATCH(ROWS($AH$2:AH327),$AH$2:$AH$1001,0),1)&gt;=100000,INDEX($AO$1005:$BQ$1005,1,MATCH(COLUMNS($AO$1006:AU1006),$AO$1006:$BQ$1006,0))&gt;=100000), " ",IF(INDEX($AO$2:$BQ$1001,MATCH(ROWS($AH$2:AH327),$AH$2:$AH$1001,0),MATCH(COLUMNS($AO$1006:AU1006),$AO$1006:$BQ$1006,0)), HYPERLINK("#",""), HYPERLINK(CONCATENATE("#Metadata!", ADDRESS(INDEX($AJ$2:$AJ$1001,MATCH(ROWS($AH$2:AH327),$AH$2:$AH$1001,0),0), INDEX($AO$1004:$BQ$1004,1,MATCH(COLUMNS($AO$1006:AU1006),$AO$1006:$BQ$1006,0)))),"Fix")))</f>
        <v>#N/A</v>
      </c>
      <c r="I327" s="5" t="e">
        <f ca="1">IF(OR(INDEX($AI$2:$AI$1001,MATCH(ROWS($AH$2:AH327),$AH$2:$AH$1001,0),1)&gt;=100000,INDEX($AO$1005:$BQ$1005,1,MATCH(COLUMNS($AO$1006:AV1006),$AO$1006:$BQ$1006,0))&gt;=100000), " ",IF(INDEX($AO$2:$BQ$1001,MATCH(ROWS($AH$2:AH327),$AH$2:$AH$1001,0),MATCH(COLUMNS($AO$1006:AV1006),$AO$1006:$BQ$1006,0)), HYPERLINK("#",""), HYPERLINK(CONCATENATE("#Metadata!", ADDRESS(INDEX($AJ$2:$AJ$1001,MATCH(ROWS($AH$2:AH327),$AH$2:$AH$1001,0),0), INDEX($AO$1004:$BQ$1004,1,MATCH(COLUMNS($AO$1006:AV1006),$AO$1006:$BQ$1006,0)))),"Fix")))</f>
        <v>#N/A</v>
      </c>
      <c r="J327" s="5" t="e">
        <f ca="1">IF(OR(INDEX($AI$2:$AI$1001,MATCH(ROWS($AH$2:AH327),$AH$2:$AH$1001,0),1)&gt;=100000,INDEX($AO$1005:$BQ$1005,1,MATCH(COLUMNS($AO$1006:AW1006),$AO$1006:$BQ$1006,0))&gt;=100000), " ",IF(INDEX($AO$2:$BQ$1001,MATCH(ROWS($AH$2:AH327),$AH$2:$AH$1001,0),MATCH(COLUMNS($AO$1006:AW1006),$AO$1006:$BQ$1006,0)), HYPERLINK("#",""), HYPERLINK(CONCATENATE("#Metadata!", ADDRESS(INDEX($AJ$2:$AJ$1001,MATCH(ROWS($AH$2:AH327),$AH$2:$AH$1001,0),0), INDEX($AO$1004:$BQ$1004,1,MATCH(COLUMNS($AO$1006:AW1006),$AO$1006:$BQ$1006,0)))),"Fix")))</f>
        <v>#N/A</v>
      </c>
      <c r="K327" s="5" t="e">
        <f ca="1">IF(OR(INDEX($AI$2:$AI$1001,MATCH(ROWS($AH$2:AH327),$AH$2:$AH$1001,0),1)&gt;=100000,INDEX($AO$1005:$BQ$1005,1,MATCH(COLUMNS($AO$1006:AX1006),$AO$1006:$BQ$1006,0))&gt;=100000), " ",IF(INDEX($AO$2:$BQ$1001,MATCH(ROWS($AH$2:AH327),$AH$2:$AH$1001,0),MATCH(COLUMNS($AO$1006:AX1006),$AO$1006:$BQ$1006,0)), HYPERLINK("#",""), HYPERLINK(CONCATENATE("#Metadata!", ADDRESS(INDEX($AJ$2:$AJ$1001,MATCH(ROWS($AH$2:AH327),$AH$2:$AH$1001,0),0), INDEX($AO$1004:$BQ$1004,1,MATCH(COLUMNS($AO$1006:AX1006),$AO$1006:$BQ$1006,0)))),"Fix")))</f>
        <v>#N/A</v>
      </c>
      <c r="L327" s="5" t="e">
        <f ca="1">IF(OR(INDEX($AI$2:$AI$1001,MATCH(ROWS($AH$2:AH327),$AH$2:$AH$1001,0),1)&gt;=100000,INDEX($AO$1005:$BQ$1005,1,MATCH(COLUMNS($AO$1006:AY1006),$AO$1006:$BQ$1006,0))&gt;=100000), " ",IF(INDEX($AO$2:$BQ$1001,MATCH(ROWS($AH$2:AH327),$AH$2:$AH$1001,0),MATCH(COLUMNS($AO$1006:AY1006),$AO$1006:$BQ$1006,0)), HYPERLINK("#",""), HYPERLINK(CONCATENATE("#Metadata!", ADDRESS(INDEX($AJ$2:$AJ$1001,MATCH(ROWS($AH$2:AH327),$AH$2:$AH$1001,0),0), INDEX($AO$1004:$BQ$1004,1,MATCH(COLUMNS($AO$1006:AY1006),$AO$1006:$BQ$1006,0)))),"Fix")))</f>
        <v>#N/A</v>
      </c>
      <c r="M327" s="5" t="e">
        <f ca="1">IF(OR(INDEX($AI$2:$AI$1001,MATCH(ROWS($AH$2:AH327),$AH$2:$AH$1001,0),1)&gt;=100000,INDEX($AO$1005:$BQ$1005,1,MATCH(COLUMNS($AO$1006:AZ1006),$AO$1006:$BQ$1006,0))&gt;=100000), " ",IF(INDEX($AO$2:$BQ$1001,MATCH(ROWS($AH$2:AH327),$AH$2:$AH$1001,0),MATCH(COLUMNS($AO$1006:AZ1006),$AO$1006:$BQ$1006,0)), HYPERLINK("#",""), HYPERLINK(CONCATENATE("#Metadata!", ADDRESS(INDEX($AJ$2:$AJ$1001,MATCH(ROWS($AH$2:AH327),$AH$2:$AH$1001,0),0), INDEX($AO$1004:$BQ$1004,1,MATCH(COLUMNS($AO$1006:AZ1006),$AO$1006:$BQ$1006,0)))),"Fix")))</f>
        <v>#N/A</v>
      </c>
      <c r="N327" s="5" t="e">
        <f ca="1">IF(OR(INDEX($AI$2:$AI$1001,MATCH(ROWS($AH$2:AH327),$AH$2:$AH$1001,0),1)&gt;=100000,INDEX($AO$1005:$BQ$1005,1,MATCH(COLUMNS($AO$1006:BA1006),$AO$1006:$BQ$1006,0))&gt;=100000), " ",IF(INDEX($AO$2:$BQ$1001,MATCH(ROWS($AH$2:AH327),$AH$2:$AH$1001,0),MATCH(COLUMNS($AO$1006:BA1006),$AO$1006:$BQ$1006,0)), HYPERLINK("#",""), HYPERLINK(CONCATENATE("#Metadata!", ADDRESS(INDEX($AJ$2:$AJ$1001,MATCH(ROWS($AH$2:AH327),$AH$2:$AH$1001,0),0), INDEX($AO$1004:$BQ$1004,1,MATCH(COLUMNS($AO$1006:BA1006),$AO$1006:$BQ$1006,0)))),"Fix")))</f>
        <v>#N/A</v>
      </c>
      <c r="O327" s="5" t="e">
        <f ca="1">IF(OR(INDEX($AI$2:$AI$1001,MATCH(ROWS($AH$2:AH327),$AH$2:$AH$1001,0),1)&gt;=100000,INDEX($AO$1005:$BQ$1005,1,MATCH(COLUMNS($AO$1006:BB1006),$AO$1006:$BQ$1006,0))&gt;=100000), " ",IF(INDEX($AO$2:$BQ$1001,MATCH(ROWS($AH$2:AH327),$AH$2:$AH$1001,0),MATCH(COLUMNS($AO$1006:BB1006),$AO$1006:$BQ$1006,0)), HYPERLINK("#",""), HYPERLINK(CONCATENATE("#Metadata!", ADDRESS(INDEX($AJ$2:$AJ$1001,MATCH(ROWS($AH$2:AH327),$AH$2:$AH$1001,0),0), INDEX($AO$1004:$BQ$1004,1,MATCH(COLUMNS($AO$1006:BB1006),$AO$1006:$BQ$1006,0)))),"Fix")))</f>
        <v>#N/A</v>
      </c>
      <c r="P327" s="5" t="e">
        <f ca="1">IF(OR(INDEX($AI$2:$AI$1001,MATCH(ROWS($AH$2:AH327),$AH$2:$AH$1001,0),1)&gt;=100000,INDEX($AO$1005:$BQ$1005,1,MATCH(COLUMNS($AO$1006:BC1006),$AO$1006:$BQ$1006,0))&gt;=100000), " ",IF(INDEX($AO$2:$BQ$1001,MATCH(ROWS($AH$2:AH327),$AH$2:$AH$1001,0),MATCH(COLUMNS($AO$1006:BC1006),$AO$1006:$BQ$1006,0)), HYPERLINK("#",""), HYPERLINK(CONCATENATE("#Metadata!", ADDRESS(INDEX($AJ$2:$AJ$1001,MATCH(ROWS($AH$2:AH327),$AH$2:$AH$1001,0),0), INDEX($AO$1004:$BQ$1004,1,MATCH(COLUMNS($AO$1006:BC1006),$AO$1006:$BQ$1006,0)))),"Fix")))</f>
        <v>#N/A</v>
      </c>
      <c r="Q327" s="5" t="e">
        <f ca="1">IF(OR(INDEX($AI$2:$AI$1001,MATCH(ROWS($AH$2:AH327),$AH$2:$AH$1001,0),1)&gt;=100000,INDEX($AO$1005:$BQ$1005,1,MATCH(COLUMNS($AO$1006:BD1006),$AO$1006:$BQ$1006,0))&gt;=100000), " ",IF(INDEX($AO$2:$BQ$1001,MATCH(ROWS($AH$2:AH327),$AH$2:$AH$1001,0),MATCH(COLUMNS($AO$1006:BD1006),$AO$1006:$BQ$1006,0)), HYPERLINK("#",""), HYPERLINK(CONCATENATE("#Metadata!", ADDRESS(INDEX($AJ$2:$AJ$1001,MATCH(ROWS($AH$2:AH327),$AH$2:$AH$1001,0),0), INDEX($AO$1004:$BQ$1004,1,MATCH(COLUMNS($AO$1006:BD1006),$AO$1006:$BQ$1006,0)))),"Fix")))</f>
        <v>#N/A</v>
      </c>
      <c r="R327" s="5" t="e">
        <f ca="1">IF(OR(INDEX($AI$2:$AI$1001,MATCH(ROWS($AH$2:AH327),$AH$2:$AH$1001,0),1)&gt;=100000,INDEX($AO$1005:$BQ$1005,1,MATCH(COLUMNS($AO$1006:BE1006),$AO$1006:$BQ$1006,0))&gt;=100000), " ",IF(INDEX($AO$2:$BQ$1001,MATCH(ROWS($AH$2:AH327),$AH$2:$AH$1001,0),MATCH(COLUMNS($AO$1006:BE1006),$AO$1006:$BQ$1006,0)), HYPERLINK("#",""), HYPERLINK(CONCATENATE("#Metadata!", ADDRESS(INDEX($AJ$2:$AJ$1001,MATCH(ROWS($AH$2:AH327),$AH$2:$AH$1001,0),0), INDEX($AO$1004:$BQ$1004,1,MATCH(COLUMNS($AO$1006:BE1006),$AO$1006:$BQ$1006,0)))),"Fix")))</f>
        <v>#N/A</v>
      </c>
      <c r="S327" s="5" t="e">
        <f ca="1">IF(OR(INDEX($AI$2:$AI$1001,MATCH(ROWS($AH$2:AH327),$AH$2:$AH$1001,0),1)&gt;=100000,INDEX($AO$1005:$BQ$1005,1,MATCH(COLUMNS($AO$1006:BF1006),$AO$1006:$BQ$1006,0))&gt;=100000), " ",IF(INDEX($AO$2:$BQ$1001,MATCH(ROWS($AH$2:AH327),$AH$2:$AH$1001,0),MATCH(COLUMNS($AO$1006:BF1006),$AO$1006:$BQ$1006,0)), HYPERLINK("#",""), HYPERLINK(CONCATENATE("#Metadata!", ADDRESS(INDEX($AJ$2:$AJ$1001,MATCH(ROWS($AH$2:AH327),$AH$2:$AH$1001,0),0), INDEX($AO$1004:$BQ$1004,1,MATCH(COLUMNS($AO$1006:BF1006),$AO$1006:$BQ$1006,0)))),"Fix")))</f>
        <v>#N/A</v>
      </c>
      <c r="T327" s="5" t="e">
        <f ca="1">IF(OR(INDEX($AI$2:$AI$1001,MATCH(ROWS($AH$2:AH327),$AH$2:$AH$1001,0),1)&gt;=100000,INDEX($AO$1005:$BQ$1005,1,MATCH(COLUMNS($AO$1006:BG1006),$AO$1006:$BQ$1006,0))&gt;=100000), " ",IF(INDEX($AO$2:$BQ$1001,MATCH(ROWS($AH$2:AH327),$AH$2:$AH$1001,0),MATCH(COLUMNS($AO$1006:BG1006),$AO$1006:$BQ$1006,0)), HYPERLINK("#",""), HYPERLINK(CONCATENATE("#Metadata!", ADDRESS(INDEX($AJ$2:$AJ$1001,MATCH(ROWS($AH$2:AH327),$AH$2:$AH$1001,0),0), INDEX($AO$1004:$BQ$1004,1,MATCH(COLUMNS($AO$1006:BG1006),$AO$1006:$BQ$1006,0)))),"Fix")))</f>
        <v>#N/A</v>
      </c>
      <c r="U327" s="5" t="e">
        <f ca="1">IF(OR(INDEX($AI$2:$AI$1001,MATCH(ROWS($AH$2:AH327),$AH$2:$AH$1001,0),1)&gt;=100000,INDEX($AO$1005:$BQ$1005,1,MATCH(COLUMNS($AO$1006:BH1006),$AO$1006:$BQ$1006,0))&gt;=100000), " ",IF(INDEX($AO$2:$BQ$1001,MATCH(ROWS($AH$2:AH327),$AH$2:$AH$1001,0),MATCH(COLUMNS($AO$1006:BH1006),$AO$1006:$BQ$1006,0)), HYPERLINK("#",""), HYPERLINK(CONCATENATE("#Metadata!", ADDRESS(INDEX($AJ$2:$AJ$1001,MATCH(ROWS($AH$2:AH327),$AH$2:$AH$1001,0),0), INDEX($AO$1004:$BQ$1004,1,MATCH(COLUMNS($AO$1006:BH1006),$AO$1006:$BQ$1006,0)))),"Fix")))</f>
        <v>#N/A</v>
      </c>
      <c r="V327" s="5" t="e">
        <f ca="1">IF(OR(INDEX($AI$2:$AI$1001,MATCH(ROWS($AH$2:AH327),$AH$2:$AH$1001,0),1)&gt;=100000,INDEX($AO$1005:$BQ$1005,1,MATCH(COLUMNS($AO$1006:BI1006),$AO$1006:$BQ$1006,0))&gt;=100000), " ",IF(INDEX($AO$2:$BQ$1001,MATCH(ROWS($AH$2:AH327),$AH$2:$AH$1001,0),MATCH(COLUMNS($AO$1006:BI1006),$AO$1006:$BQ$1006,0)), HYPERLINK("#",""), HYPERLINK(CONCATENATE("#Metadata!", ADDRESS(INDEX($AJ$2:$AJ$1001,MATCH(ROWS($AH$2:AH327),$AH$2:$AH$1001,0),0), INDEX($AO$1004:$BQ$1004,1,MATCH(COLUMNS($AO$1006:BI1006),$AO$1006:$BQ$1006,0)))),"Fix")))</f>
        <v>#N/A</v>
      </c>
      <c r="W327" s="5" t="e">
        <f ca="1">IF(OR(INDEX($AI$2:$AI$1001,MATCH(ROWS($AH$2:AH327),$AH$2:$AH$1001,0),1)&gt;=100000,INDEX($AO$1005:$BQ$1005,1,MATCH(COLUMNS($AO$1006:BJ1006),$AO$1006:$BQ$1006,0))&gt;=100000), " ",IF(INDEX($AO$2:$BQ$1001,MATCH(ROWS($AH$2:AH327),$AH$2:$AH$1001,0),MATCH(COLUMNS($AO$1006:BJ1006),$AO$1006:$BQ$1006,0)), HYPERLINK("#",""), HYPERLINK(CONCATENATE("#Metadata!", ADDRESS(INDEX($AJ$2:$AJ$1001,MATCH(ROWS($AH$2:AH327),$AH$2:$AH$1001,0),0), INDEX($AO$1004:$BQ$1004,1,MATCH(COLUMNS($AO$1006:BJ1006),$AO$1006:$BQ$1006,0)))),"Fix")))</f>
        <v>#N/A</v>
      </c>
      <c r="X327" s="5" t="e">
        <f ca="1">IF(OR(INDEX($AI$2:$AI$1001,MATCH(ROWS($AH$2:AH327),$AH$2:$AH$1001,0),1)&gt;=100000,INDEX($AO$1005:$BQ$1005,1,MATCH(COLUMNS($AO$1006:BK1006),$AO$1006:$BQ$1006,0))&gt;=100000), " ",IF(INDEX($AO$2:$BQ$1001,MATCH(ROWS($AH$2:AH327),$AH$2:$AH$1001,0),MATCH(COLUMNS($AO$1006:BK1006),$AO$1006:$BQ$1006,0)), HYPERLINK("#",""), HYPERLINK(CONCATENATE("#Metadata!", ADDRESS(INDEX($AJ$2:$AJ$1001,MATCH(ROWS($AH$2:AH327),$AH$2:$AH$1001,0),0), INDEX($AO$1004:$BQ$1004,1,MATCH(COLUMNS($AO$1006:BK1006),$AO$1006:$BQ$1006,0)))),"Fix")))</f>
        <v>#N/A</v>
      </c>
      <c r="Y327" s="5" t="e">
        <f ca="1">IF(OR(INDEX($AI$2:$AI$1001,MATCH(ROWS($AH$2:AH327),$AH$2:$AH$1001,0),1)&gt;=100000,INDEX($AO$1005:$BQ$1005,1,MATCH(COLUMNS($AO$1006:BL1006),$AO$1006:$BQ$1006,0))&gt;=100000), " ",IF(INDEX($AO$2:$BQ$1001,MATCH(ROWS($AH$2:AH327),$AH$2:$AH$1001,0),MATCH(COLUMNS($AO$1006:BL1006),$AO$1006:$BQ$1006,0)), HYPERLINK("#",""), HYPERLINK(CONCATENATE("#Metadata!", ADDRESS(INDEX($AJ$2:$AJ$1001,MATCH(ROWS($AH$2:AH327),$AH$2:$AH$1001,0),0), INDEX($AO$1004:$BQ$1004,1,MATCH(COLUMNS($AO$1006:BL1006),$AO$1006:$BQ$1006,0)))),"Fix")))</f>
        <v>#N/A</v>
      </c>
      <c r="Z327" s="5" t="e">
        <f ca="1">IF(OR(INDEX($AI$2:$AI$1001,MATCH(ROWS($AH$2:AH327),$AH$2:$AH$1001,0),1)&gt;=100000,INDEX($AO$1005:$BQ$1005,1,MATCH(COLUMNS($AO$1006:BM1006),$AO$1006:$BQ$1006,0))&gt;=100000), " ",IF(INDEX($AO$2:$BQ$1001,MATCH(ROWS($AH$2:AH327),$AH$2:$AH$1001,0),MATCH(COLUMNS($AO$1006:BM1006),$AO$1006:$BQ$1006,0)), HYPERLINK("#",""), HYPERLINK(CONCATENATE("#Metadata!", ADDRESS(INDEX($AJ$2:$AJ$1001,MATCH(ROWS($AH$2:AH327),$AH$2:$AH$1001,0),0), INDEX($AO$1004:$BQ$1004,1,MATCH(COLUMNS($AO$1006:BM1006),$AO$1006:$BQ$1006,0)))),"Fix")))</f>
        <v>#N/A</v>
      </c>
      <c r="AA327" s="5" t="e">
        <f ca="1">IF(OR(INDEX($AI$2:$AI$1001,MATCH(ROWS($AH$2:AH327),$AH$2:$AH$1001,0),1)&gt;=100000,INDEX($AO$1005:$BQ$1005,1,MATCH(COLUMNS($AO$1006:BN1006),$AO$1006:$BQ$1006,0))&gt;=100000), " ",IF(INDEX($AO$2:$BQ$1001,MATCH(ROWS($AH$2:AH327),$AH$2:$AH$1001,0),MATCH(COLUMNS($AO$1006:BN1006),$AO$1006:$BQ$1006,0)), HYPERLINK("#",""), HYPERLINK(CONCATENATE("#Metadata!", ADDRESS(INDEX($AJ$2:$AJ$1001,MATCH(ROWS($AH$2:AH327),$AH$2:$AH$1001,0),0), INDEX($AO$1004:$BQ$1004,1,MATCH(COLUMNS($AO$1006:BN1006),$AO$1006:$BQ$1006,0)))),"Fix")))</f>
        <v>#N/A</v>
      </c>
      <c r="AB327" s="5" t="e">
        <f ca="1">IF(OR(INDEX($AI$2:$AI$1001,MATCH(ROWS($AH$2:AH327),$AH$2:$AH$1001,0),1)&gt;=100000,INDEX($AO$1005:$BQ$1005,1,MATCH(COLUMNS($AO$1006:BO1006),$AO$1006:$BQ$1006,0))&gt;=100000), " ",IF(INDEX($AO$2:$BQ$1001,MATCH(ROWS($AH$2:AH327),$AH$2:$AH$1001,0),MATCH(COLUMNS($AO$1006:BO1006),$AO$1006:$BQ$1006,0)), HYPERLINK("#",""), HYPERLINK(CONCATENATE("#Metadata!", ADDRESS(INDEX($AJ$2:$AJ$1001,MATCH(ROWS($AH$2:AH327),$AH$2:$AH$1001,0),0), INDEX($AO$1004:$BQ$1004,1,MATCH(COLUMNS($AO$1006:BO1006),$AO$1006:$BQ$1006,0)))),"Fix")))</f>
        <v>#N/A</v>
      </c>
      <c r="AC327" s="5" t="e">
        <f ca="1">IF(OR(INDEX($AI$2:$AI$1001,MATCH(ROWS($AH$2:AH327),$AH$2:$AH$1001,0),1)&gt;=100000,INDEX($AO$1005:$BQ$1005,1,MATCH(COLUMNS($AO$1006:BP1006),$AO$1006:$BQ$1006,0))&gt;=100000), " ",IF(INDEX($AO$2:$BQ$1001,MATCH(ROWS($AH$2:AH327),$AH$2:$AH$1001,0),MATCH(COLUMNS($AO$1006:BP1006),$AO$1006:$BQ$1006,0)), HYPERLINK("#",""), HYPERLINK(CONCATENATE("#Metadata!", ADDRESS(INDEX($AJ$2:$AJ$1001,MATCH(ROWS($AH$2:AH327),$AH$2:$AH$1001,0),0), INDEX($AO$1004:$BQ$1004,1,MATCH(COLUMNS($AO$1006:BP1006),$AO$1006:$BQ$1006,0)))),"Fix")))</f>
        <v>#N/A</v>
      </c>
      <c r="AD327" s="5" t="e">
        <f ca="1">IF(OR(INDEX($AI$2:$AI$1001,MATCH(ROWS($AH$2:AH327),$AH$2:$AH$1001,0),1)&gt;=100000,INDEX($AO$1005:$BQ$1005,1,MATCH(COLUMNS($AO$1006:BQ1006),$AO$1006:$BQ$1006,0))&gt;=100000), " ",IF(INDEX($AO$2:$BQ$1001,MATCH(ROWS($AH$2:AH327),$AH$2:$AH$1001,0),MATCH(COLUMNS($AO$1006:BQ1006),$AO$1006:$BQ$1006,0)), HYPERLINK("#",""), HYPERLINK(CONCATENATE("#Metadata!", ADDRESS(INDEX($AJ$2:$AJ$1001,MATCH(ROWS($AH$2:AH327),$AH$2:$AH$1001,0),0), INDEX($AO$1004:$BQ$1004,1,MATCH(COLUMNS($AO$1006:BQ1006),$AO$1006:$BQ$1006,0)))),"Fix")))</f>
        <v>#REF!</v>
      </c>
      <c r="AH327">
        <f ca="1"/>
        <v>324</v>
      </c>
      <c r="AI327">
        <v>100327</v>
      </c>
      <c r="AJ327">
        <v>327</v>
      </c>
      <c r="AK327" t="b">
        <f t="shared" si="5"/>
        <v>1</v>
      </c>
      <c r="AL327" t="b">
        <f>COUNTBLANK(Metadata!B327:AD327)=COLUMNS(Metadata!B327:AD327)</f>
        <v>1</v>
      </c>
      <c r="AM327" t="str">
        <v/>
      </c>
      <c r="AO327" t="b">
        <f ca="1">AND(IF(Metadata!B327="",FALSE,TRUE),COUNTIF(Metadata!B:B, Metadata!B327) = 1,NOT(ISERROR(SUMPRODUCT(SEARCH(MID(Metadata!B327,ROW(INDIRECT("1:"&amp;LEN(Metadata!B327))), 1),"0123456789abcdefghijklmnopqrstuvwxyzABCDEFGHIJKLMNOPQRSTUVWXYZ.")))))</f>
        <v>0</v>
      </c>
      <c r="AP327" t="b">
        <f>IF(Metadata!C327="",FALSE,TRUE)</f>
        <v>0</v>
      </c>
      <c r="AQ327" t="b">
        <f>IF(Metadata!D327="",FALSE,TRUE)</f>
        <v>0</v>
      </c>
      <c r="AR327" t="b">
        <f ca="1">OR(AND(IF(Metadata!E327="",FALSE,TRUE),OR(EXACT(Metadata!E327,"not collected"),EXACT(Metadata!E327,"not provided"),EXACT(Metadata!E327,"restricted access"))),AND(IF(Metadata!E327="",FALSE,TRUE),AND(AND(IFERROR(INT(LEFT(Metadata!E327,4))&gt;1900,FALSE),IFERROR(INT(LEFT(Metadata!E327,4))&lt;=YEAR(NOW()),FALSE)), OR(MID(Metadata!E327,5,1)="", AND(AND(MID(Metadata!E327,5,1)="-",IFERROR(INT(MID(Metadata!E327,6,1))&gt;=0,FALSE),IFERROR(INT(MID(Metadata!E327,6,1))&lt;=1,FALSE),NOT(MID(Metadata!E327,7,1)=""),IFERROR(INT(MID(Metadata!E327,6,2))&gt;=1,FALSE),IFERROR(INT(MID(Metadata!E327,6,2))&lt;=12,FALSE)), OR(MID(Metadata!E327,8,1)="", AND(AND(MID(Metadata!E327,8,1)="-",IFERROR(INT(MID(Metadata!E327,9,1))&gt;=0,FALSE),IFERROR(INT(MID(Metadata!E327,9,1))&lt;=3,FALSE),NOT(MID(Metadata!E327,10,1)=""),IFERROR(INT(MID(Metadata!E327,9,2))&gt;=1,FALSE),IFERROR(INT(MID(Metadata!E327,9,2))&lt;=31,FALSE)), OR(MID(Metadata!E327,11,1)="", AND(AND(MID(Metadata!E327,11,1)=" ",IFERROR(INT(MID(Metadata!E327,12,1))&gt;=0,FALSE),IFERROR(INT(MID(Metadata!E327,12,1))&lt;=2,FALSE),NOT(MID(Metadata!E327,13,1)=""),IFERROR(INT(MID(Metadata!E327,12,2))&gt;=0,FALSE),IFERROR(INT(MID(Metadata!E327,12,2))&lt;=23,FALSE)), OR(MID(Metadata!E327,14,1)="", AND(AND(MID(Metadata!E327,14,1)=":",IFERROR(INT(MID(Metadata!E327,15,1))&gt;=0,FALSE),IFERROR(INT(MID(Metadata!E327,15,1))&lt;=5,FALSE),NOT(MID(Metadata!E327,16,1)=""),IFERROR(INT(MID(Metadata!E327,15,2))&gt;=0,FALSE),IFERROR(INT(MID(Metadata!E327,15,2))&lt;=59,FALSE)), OR(MID(Metadata!E327,17,1)="", AND(AND(MID(Metadata!E327,17,1)=":",IFERROR(INT(MID(Metadata!E327,18,1))&gt;=0,FALSE),IFERROR(INT(MID(Metadata!E327,18,1))&lt;=5,FALSE),NOT(MID(Metadata!E327,19,1)=""),IFERROR(INT(MID(Metadata!E327,18,2))&gt;=0,FALSE),IFERROR(INT(MID(Metadata!E327,18,2))&lt;=59,FALSE)), LEN(Metadata!E327)&lt;=19)))))))))))))</f>
        <v>0</v>
      </c>
      <c r="AS327" t="b">
        <f>IF(Metadata!F327="",FALSE,TRUE)</f>
        <v>0</v>
      </c>
      <c r="AT327" t="b">
        <f>OR(AND(IF(Metadata!G327="",FALSE,TRUE),OR(EXACT(Metadata!G327,"not collected"),EXACT(Metadata!G327,"not provided"))),AND(IF(Metadata!G327="",FALSE,TRUE),OR(EXACT(Metadata!G327,"TRUE"),EXACT(Metadata!G327,"FALSE"))))</f>
        <v>0</v>
      </c>
      <c r="AU327" t="b">
        <f>OR(AND(IF(Metadata!H327="",FALSE,TRUE),OR(EXACT(Metadata!H327,"not collected"),EXACT(Metadata!H327,"not provided"),EXACT(Metadata!H327,"restricted access"))),AND(IF(Metadata!H327="",FALSE,ISNUMBER(VALUE(Metadata!H327))),Metadata!H327&gt;=-413))</f>
        <v>0</v>
      </c>
      <c r="AV327" t="b">
        <f>AND(IF(Metadata!I327="",FALSE,TRUE),EXACT(Metadata!I327,"meters"))</f>
        <v>0</v>
      </c>
      <c r="AW327" t="b">
        <f>AND(IF(Metadata!J327="",FALSE,TRUE),EXACT(Metadata!J327,"free-living"))</f>
        <v>0</v>
      </c>
      <c r="AX327" t="b">
        <f>AND(IF(Metadata!K327="",FALSE,TRUE),OR(EXACT(Metadata!K327,"saline"),EXACT(Metadata!K327,"non-saline")))</f>
        <v>0</v>
      </c>
      <c r="AY327" t="b">
        <f>AND(IF(Metadata!L327="",FALSE,TRUE),OR(EXACT(Metadata!L327,"sub-surface (non-saline)"),EXACT(Metadata!L327,"surface (non-saline)"),EXACT(Metadata!L327,"water (non-saline)"),EXACT(Metadata!L327,"soil (non-saline)"),EXACT(Metadata!L327,"aerosol (non-saline)"),EXACT(Metadata!L327,"sediment (non-saline)"),EXACT(Metadata!L327,"surface (saline)"),EXACT(Metadata!L327,"water (saline)"),EXACT(Metadata!L327,"hypersaline (saline)"),EXACT(Metadata!L327,"aerosol (saline)"),EXACT(Metadata!L327,"sediment (saline)")))</f>
        <v>0</v>
      </c>
      <c r="AZ327" t="b">
        <f>IF(Metadata!M327="",FALSE,TRUE)</f>
        <v>0</v>
      </c>
      <c r="BA327" t="b">
        <f>IF(Metadata!N327="",FALSE,TRUE)</f>
        <v>0</v>
      </c>
      <c r="BB327" t="b">
        <f>IF(Metadata!O327="",FALSE,TRUE)</f>
        <v>0</v>
      </c>
      <c r="BC327" t="b">
        <f>AND(IF(Metadata!P327="",FALSE,TRUE),OR(EXACT(Metadata!P327,"air"),EXACT(Metadata!P327,"microbial mat/biofilm"),EXACT(Metadata!P327,"misc environment"),EXACT(Metadata!P327,"sediment"),EXACT(Metadata!P327,"soil"),EXACT(Metadata!P327,"wastewater/sludge"),EXACT(Metadata!P327,"water")))</f>
        <v>0</v>
      </c>
      <c r="BD327" t="b">
        <f>IF(Metadata!Q327="",FALSE,TRUE)</f>
        <v>0</v>
      </c>
      <c r="BE327" t="b">
        <f>IF(Metadata!R327="",FALSE,TRUE)</f>
        <v>0</v>
      </c>
      <c r="BF327" t="b">
        <f>OR(AND(IF(Metadata!S327="",FALSE,TRUE),OR(EXACT(Metadata!S327,"not collected"),EXACT(Metadata!S327,"not provided"),EXACT(Metadata!S327,"restricted access"))),AND(IF(Metadata!S327="",FALSE,ISNUMBER(VALUE(Metadata!S327))),Metadata!S327&gt;=-90,Metadata!S327&lt;=90))</f>
        <v>0</v>
      </c>
      <c r="BG327" t="b">
        <f>AND(IF(Metadata!T327="",FALSE,TRUE),EXACT(Metadata!T327,"Decimal degrees"))</f>
        <v>0</v>
      </c>
      <c r="BH327" t="b">
        <f>OR(AND(IF(Metadata!U327="",FALSE,TRUE),OR(EXACT(Metadata!U327,"not applicable"),EXACT(Metadata!U327,"not collected"))),IF(Metadata!U327="",FALSE,TRUE))</f>
        <v>0</v>
      </c>
      <c r="BI327" t="b">
        <f>OR(AND(IF(Metadata!V327="",FALSE,TRUE),OR(EXACT(Metadata!V327,"not collected"),EXACT(Metadata!V327,"not provided"),EXACT(Metadata!V327,"restricted access"))),AND(IF(Metadata!V327="",FALSE,ISNUMBER(VALUE(Metadata!V327))),Metadata!V327&gt;=-180,Metadata!V327&lt;=180))</f>
        <v>0</v>
      </c>
      <c r="BJ327" t="b">
        <f>AND(IF(Metadata!W327="",FALSE,TRUE),EXACT(Metadata!W327,"Decimal degrees"))</f>
        <v>0</v>
      </c>
      <c r="BK327" t="b">
        <f>IF(Metadata!X327="",FALSE,TRUE)</f>
        <v>0</v>
      </c>
      <c r="BL327" t="b">
        <f>OR(AND(IF(Metadata!Y327="",FALSE,TRUE),OR(EXACT(Metadata!Y327,"not collected"),EXACT(Metadata!Y327,"not provided"),EXACT(Metadata!Y327,"restricted access"))),AND(IF(Metadata!Y327="",FALSE,TRUE),OR(EXACT(Metadata!Y327,"TRUE"),EXACT(Metadata!Y327,"FALSE"))))</f>
        <v>0</v>
      </c>
      <c r="BM327" t="b">
        <f>OR(AND(IF(Metadata!Z327="",FALSE,TRUE),EXACT(Metadata!Z327,"not applicable")),AND(IF(Metadata!Z327="",FALSE,TRUE),OR(EXACT(Metadata!Z327,"beer"),EXACT(Metadata!Z327,"cheese"),EXACT(Metadata!Z327,"fresh water"),EXACT(Metadata!Z327,"marine sediment"),EXACT(Metadata!Z327,"sea water"),EXACT(Metadata!Z327,"sediment"),EXACT(Metadata!Z327,"soil"),EXACT(Metadata!Z327,"waste water"))))</f>
        <v>0</v>
      </c>
      <c r="BN327" t="b">
        <f>AND(IF(Metadata!AA327="",FALSE,TRUE),EXACT(Metadata!AA327,"metagenome"))</f>
        <v>0</v>
      </c>
      <c r="BO327" t="b">
        <f>AND(IF(Metadata!AB327="",FALSE,TRUE),EXACT(Metadata!AB327,"256318"))</f>
        <v>0</v>
      </c>
      <c r="BP327" t="b">
        <f>IF(Metadata!AC327="",FALSE,TRUE)</f>
        <v>0</v>
      </c>
      <c r="BQ327" t="b">
        <f>IF(Metadata!AD327="",FALSE,TRUE)</f>
        <v>0</v>
      </c>
    </row>
    <row r="328" spans="1:69" x14ac:dyDescent="0.2">
      <c r="A328" s="4" t="e">
        <f ca="1">IF(B328=" "," ",HYPERLINK(CONCATENATE("#metadata!",ADDRESS(INDEX($AJ$2:$AJ$1001,MATCH(ROWS($AH$2:AH328),$AH$2:$AH$1001,0),0),2)),INDEX($AM$2:$AM$1001,MATCH(ROWS($AH$2:AH328),$AH$2:$AH$1001,0),0)))</f>
        <v>#N/A</v>
      </c>
      <c r="B328" s="5" t="e">
        <f ca="1">IF(OR(INDEX($AI$2:$AI$1001,MATCH(ROWS($AH$2:AH328),$AH$2:$AH$1001,0),1)&gt;=100000,INDEX($AO$1005:$BQ$1005,1,MATCH(COLUMNS($AO$1006:AO1006),$AO$1006:$BQ$1006,0))&gt;=100000), " ",IF(INDEX($AO$2:$BQ$1001,MATCH(ROWS($AH$2:AH328),$AH$2:$AH$1001,0),MATCH(COLUMNS($AO$1006:AO1006),$AO$1006:$BQ$1006,0)), HYPERLINK("#",""), HYPERLINK(CONCATENATE("#Metadata!", ADDRESS(INDEX($AJ$2:$AJ$1001,MATCH(ROWS($AH$2:AH328),$AH$2:$AH$1001,0),0), INDEX($AO$1004:$BQ$1004,1,MATCH(COLUMNS($AO$1006:AO1006),$AO$1006:$BQ$1006,0)))),"Fix")))</f>
        <v>#N/A</v>
      </c>
      <c r="C328" s="5" t="e">
        <f ca="1">IF(OR(INDEX($AI$2:$AI$1001,MATCH(ROWS($AH$2:AH328),$AH$2:$AH$1001,0),1)&gt;=100000,INDEX($AO$1005:$BQ$1005,1,MATCH(COLUMNS($AO$1006:AP1006),$AO$1006:$BQ$1006,0))&gt;=100000), " ",IF(INDEX($AO$2:$BQ$1001,MATCH(ROWS($AH$2:AH328),$AH$2:$AH$1001,0),MATCH(COLUMNS($AO$1006:AP1006),$AO$1006:$BQ$1006,0)), HYPERLINK("#",""), HYPERLINK(CONCATENATE("#Metadata!", ADDRESS(INDEX($AJ$2:$AJ$1001,MATCH(ROWS($AH$2:AH328),$AH$2:$AH$1001,0),0), INDEX($AO$1004:$BQ$1004,1,MATCH(COLUMNS($AO$1006:AP1006),$AO$1006:$BQ$1006,0)))),"Fix")))</f>
        <v>#N/A</v>
      </c>
      <c r="D328" s="5" t="e">
        <f ca="1">IF(OR(INDEX($AI$2:$AI$1001,MATCH(ROWS($AH$2:AH328),$AH$2:$AH$1001,0),1)&gt;=100000,INDEX($AO$1005:$BQ$1005,1,MATCH(COLUMNS($AO$1006:AQ1006),$AO$1006:$BQ$1006,0))&gt;=100000), " ",IF(INDEX($AO$2:$BQ$1001,MATCH(ROWS($AH$2:AH328),$AH$2:$AH$1001,0),MATCH(COLUMNS($AO$1006:AQ1006),$AO$1006:$BQ$1006,0)), HYPERLINK("#",""), HYPERLINK(CONCATENATE("#Metadata!", ADDRESS(INDEX($AJ$2:$AJ$1001,MATCH(ROWS($AH$2:AH328),$AH$2:$AH$1001,0),0), INDEX($AO$1004:$BQ$1004,1,MATCH(COLUMNS($AO$1006:AQ1006),$AO$1006:$BQ$1006,0)))),"Fix")))</f>
        <v>#N/A</v>
      </c>
      <c r="E328" s="5" t="e">
        <f ca="1">IF(OR(INDEX($AI$2:$AI$1001,MATCH(ROWS($AH$2:AH328),$AH$2:$AH$1001,0),1)&gt;=100000,INDEX($AO$1005:$BQ$1005,1,MATCH(COLUMNS($AO$1006:AR1006),$AO$1006:$BQ$1006,0))&gt;=100000), " ",IF(INDEX($AO$2:$BQ$1001,MATCH(ROWS($AH$2:AH328),$AH$2:$AH$1001,0),MATCH(COLUMNS($AO$1006:AR1006),$AO$1006:$BQ$1006,0)), HYPERLINK("#",""), HYPERLINK(CONCATENATE("#Metadata!", ADDRESS(INDEX($AJ$2:$AJ$1001,MATCH(ROWS($AH$2:AH328),$AH$2:$AH$1001,0),0), INDEX($AO$1004:$BQ$1004,1,MATCH(COLUMNS($AO$1006:AR1006),$AO$1006:$BQ$1006,0)))),"Fix")))</f>
        <v>#N/A</v>
      </c>
      <c r="F328" s="5" t="e">
        <f ca="1">IF(OR(INDEX($AI$2:$AI$1001,MATCH(ROWS($AH$2:AH328),$AH$2:$AH$1001,0),1)&gt;=100000,INDEX($AO$1005:$BQ$1005,1,MATCH(COLUMNS($AO$1006:AS1006),$AO$1006:$BQ$1006,0))&gt;=100000), " ",IF(INDEX($AO$2:$BQ$1001,MATCH(ROWS($AH$2:AH328),$AH$2:$AH$1001,0),MATCH(COLUMNS($AO$1006:AS1006),$AO$1006:$BQ$1006,0)), HYPERLINK("#",""), HYPERLINK(CONCATENATE("#Metadata!", ADDRESS(INDEX($AJ$2:$AJ$1001,MATCH(ROWS($AH$2:AH328),$AH$2:$AH$1001,0),0), INDEX($AO$1004:$BQ$1004,1,MATCH(COLUMNS($AO$1006:AS1006),$AO$1006:$BQ$1006,0)))),"Fix")))</f>
        <v>#N/A</v>
      </c>
      <c r="G328" s="5" t="e">
        <f ca="1">IF(OR(INDEX($AI$2:$AI$1001,MATCH(ROWS($AH$2:AH328),$AH$2:$AH$1001,0),1)&gt;=100000,INDEX($AO$1005:$BQ$1005,1,MATCH(COLUMNS($AO$1006:AT1006),$AO$1006:$BQ$1006,0))&gt;=100000), " ",IF(INDEX($AO$2:$BQ$1001,MATCH(ROWS($AH$2:AH328),$AH$2:$AH$1001,0),MATCH(COLUMNS($AO$1006:AT1006),$AO$1006:$BQ$1006,0)), HYPERLINK("#",""), HYPERLINK(CONCATENATE("#Metadata!", ADDRESS(INDEX($AJ$2:$AJ$1001,MATCH(ROWS($AH$2:AH328),$AH$2:$AH$1001,0),0), INDEX($AO$1004:$BQ$1004,1,MATCH(COLUMNS($AO$1006:AT1006),$AO$1006:$BQ$1006,0)))),"Fix")))</f>
        <v>#N/A</v>
      </c>
      <c r="H328" s="5" t="e">
        <f ca="1">IF(OR(INDEX($AI$2:$AI$1001,MATCH(ROWS($AH$2:AH328),$AH$2:$AH$1001,0),1)&gt;=100000,INDEX($AO$1005:$BQ$1005,1,MATCH(COLUMNS($AO$1006:AU1006),$AO$1006:$BQ$1006,0))&gt;=100000), " ",IF(INDEX($AO$2:$BQ$1001,MATCH(ROWS($AH$2:AH328),$AH$2:$AH$1001,0),MATCH(COLUMNS($AO$1006:AU1006),$AO$1006:$BQ$1006,0)), HYPERLINK("#",""), HYPERLINK(CONCATENATE("#Metadata!", ADDRESS(INDEX($AJ$2:$AJ$1001,MATCH(ROWS($AH$2:AH328),$AH$2:$AH$1001,0),0), INDEX($AO$1004:$BQ$1004,1,MATCH(COLUMNS($AO$1006:AU1006),$AO$1006:$BQ$1006,0)))),"Fix")))</f>
        <v>#N/A</v>
      </c>
      <c r="I328" s="5" t="e">
        <f ca="1">IF(OR(INDEX($AI$2:$AI$1001,MATCH(ROWS($AH$2:AH328),$AH$2:$AH$1001,0),1)&gt;=100000,INDEX($AO$1005:$BQ$1005,1,MATCH(COLUMNS($AO$1006:AV1006),$AO$1006:$BQ$1006,0))&gt;=100000), " ",IF(INDEX($AO$2:$BQ$1001,MATCH(ROWS($AH$2:AH328),$AH$2:$AH$1001,0),MATCH(COLUMNS($AO$1006:AV1006),$AO$1006:$BQ$1006,0)), HYPERLINK("#",""), HYPERLINK(CONCATENATE("#Metadata!", ADDRESS(INDEX($AJ$2:$AJ$1001,MATCH(ROWS($AH$2:AH328),$AH$2:$AH$1001,0),0), INDEX($AO$1004:$BQ$1004,1,MATCH(COLUMNS($AO$1006:AV1006),$AO$1006:$BQ$1006,0)))),"Fix")))</f>
        <v>#N/A</v>
      </c>
      <c r="J328" s="5" t="e">
        <f ca="1">IF(OR(INDEX($AI$2:$AI$1001,MATCH(ROWS($AH$2:AH328),$AH$2:$AH$1001,0),1)&gt;=100000,INDEX($AO$1005:$BQ$1005,1,MATCH(COLUMNS($AO$1006:AW1006),$AO$1006:$BQ$1006,0))&gt;=100000), " ",IF(INDEX($AO$2:$BQ$1001,MATCH(ROWS($AH$2:AH328),$AH$2:$AH$1001,0),MATCH(COLUMNS($AO$1006:AW1006),$AO$1006:$BQ$1006,0)), HYPERLINK("#",""), HYPERLINK(CONCATENATE("#Metadata!", ADDRESS(INDEX($AJ$2:$AJ$1001,MATCH(ROWS($AH$2:AH328),$AH$2:$AH$1001,0),0), INDEX($AO$1004:$BQ$1004,1,MATCH(COLUMNS($AO$1006:AW1006),$AO$1006:$BQ$1006,0)))),"Fix")))</f>
        <v>#N/A</v>
      </c>
      <c r="K328" s="5" t="e">
        <f ca="1">IF(OR(INDEX($AI$2:$AI$1001,MATCH(ROWS($AH$2:AH328),$AH$2:$AH$1001,0),1)&gt;=100000,INDEX($AO$1005:$BQ$1005,1,MATCH(COLUMNS($AO$1006:AX1006),$AO$1006:$BQ$1006,0))&gt;=100000), " ",IF(INDEX($AO$2:$BQ$1001,MATCH(ROWS($AH$2:AH328),$AH$2:$AH$1001,0),MATCH(COLUMNS($AO$1006:AX1006),$AO$1006:$BQ$1006,0)), HYPERLINK("#",""), HYPERLINK(CONCATENATE("#Metadata!", ADDRESS(INDEX($AJ$2:$AJ$1001,MATCH(ROWS($AH$2:AH328),$AH$2:$AH$1001,0),0), INDEX($AO$1004:$BQ$1004,1,MATCH(COLUMNS($AO$1006:AX1006),$AO$1006:$BQ$1006,0)))),"Fix")))</f>
        <v>#N/A</v>
      </c>
      <c r="L328" s="5" t="e">
        <f ca="1">IF(OR(INDEX($AI$2:$AI$1001,MATCH(ROWS($AH$2:AH328),$AH$2:$AH$1001,0),1)&gt;=100000,INDEX($AO$1005:$BQ$1005,1,MATCH(COLUMNS($AO$1006:AY1006),$AO$1006:$BQ$1006,0))&gt;=100000), " ",IF(INDEX($AO$2:$BQ$1001,MATCH(ROWS($AH$2:AH328),$AH$2:$AH$1001,0),MATCH(COLUMNS($AO$1006:AY1006),$AO$1006:$BQ$1006,0)), HYPERLINK("#",""), HYPERLINK(CONCATENATE("#Metadata!", ADDRESS(INDEX($AJ$2:$AJ$1001,MATCH(ROWS($AH$2:AH328),$AH$2:$AH$1001,0),0), INDEX($AO$1004:$BQ$1004,1,MATCH(COLUMNS($AO$1006:AY1006),$AO$1006:$BQ$1006,0)))),"Fix")))</f>
        <v>#N/A</v>
      </c>
      <c r="M328" s="5" t="e">
        <f ca="1">IF(OR(INDEX($AI$2:$AI$1001,MATCH(ROWS($AH$2:AH328),$AH$2:$AH$1001,0),1)&gt;=100000,INDEX($AO$1005:$BQ$1005,1,MATCH(COLUMNS($AO$1006:AZ1006),$AO$1006:$BQ$1006,0))&gt;=100000), " ",IF(INDEX($AO$2:$BQ$1001,MATCH(ROWS($AH$2:AH328),$AH$2:$AH$1001,0),MATCH(COLUMNS($AO$1006:AZ1006),$AO$1006:$BQ$1006,0)), HYPERLINK("#",""), HYPERLINK(CONCATENATE("#Metadata!", ADDRESS(INDEX($AJ$2:$AJ$1001,MATCH(ROWS($AH$2:AH328),$AH$2:$AH$1001,0),0), INDEX($AO$1004:$BQ$1004,1,MATCH(COLUMNS($AO$1006:AZ1006),$AO$1006:$BQ$1006,0)))),"Fix")))</f>
        <v>#N/A</v>
      </c>
      <c r="N328" s="5" t="e">
        <f ca="1">IF(OR(INDEX($AI$2:$AI$1001,MATCH(ROWS($AH$2:AH328),$AH$2:$AH$1001,0),1)&gt;=100000,INDEX($AO$1005:$BQ$1005,1,MATCH(COLUMNS($AO$1006:BA1006),$AO$1006:$BQ$1006,0))&gt;=100000), " ",IF(INDEX($AO$2:$BQ$1001,MATCH(ROWS($AH$2:AH328),$AH$2:$AH$1001,0),MATCH(COLUMNS($AO$1006:BA1006),$AO$1006:$BQ$1006,0)), HYPERLINK("#",""), HYPERLINK(CONCATENATE("#Metadata!", ADDRESS(INDEX($AJ$2:$AJ$1001,MATCH(ROWS($AH$2:AH328),$AH$2:$AH$1001,0),0), INDEX($AO$1004:$BQ$1004,1,MATCH(COLUMNS($AO$1006:BA1006),$AO$1006:$BQ$1006,0)))),"Fix")))</f>
        <v>#N/A</v>
      </c>
      <c r="O328" s="5" t="e">
        <f ca="1">IF(OR(INDEX($AI$2:$AI$1001,MATCH(ROWS($AH$2:AH328),$AH$2:$AH$1001,0),1)&gt;=100000,INDEX($AO$1005:$BQ$1005,1,MATCH(COLUMNS($AO$1006:BB1006),$AO$1006:$BQ$1006,0))&gt;=100000), " ",IF(INDEX($AO$2:$BQ$1001,MATCH(ROWS($AH$2:AH328),$AH$2:$AH$1001,0),MATCH(COLUMNS($AO$1006:BB1006),$AO$1006:$BQ$1006,0)), HYPERLINK("#",""), HYPERLINK(CONCATENATE("#Metadata!", ADDRESS(INDEX($AJ$2:$AJ$1001,MATCH(ROWS($AH$2:AH328),$AH$2:$AH$1001,0),0), INDEX($AO$1004:$BQ$1004,1,MATCH(COLUMNS($AO$1006:BB1006),$AO$1006:$BQ$1006,0)))),"Fix")))</f>
        <v>#N/A</v>
      </c>
      <c r="P328" s="5" t="e">
        <f ca="1">IF(OR(INDEX($AI$2:$AI$1001,MATCH(ROWS($AH$2:AH328),$AH$2:$AH$1001,0),1)&gt;=100000,INDEX($AO$1005:$BQ$1005,1,MATCH(COLUMNS($AO$1006:BC1006),$AO$1006:$BQ$1006,0))&gt;=100000), " ",IF(INDEX($AO$2:$BQ$1001,MATCH(ROWS($AH$2:AH328),$AH$2:$AH$1001,0),MATCH(COLUMNS($AO$1006:BC1006),$AO$1006:$BQ$1006,0)), HYPERLINK("#",""), HYPERLINK(CONCATENATE("#Metadata!", ADDRESS(INDEX($AJ$2:$AJ$1001,MATCH(ROWS($AH$2:AH328),$AH$2:$AH$1001,0),0), INDEX($AO$1004:$BQ$1004,1,MATCH(COLUMNS($AO$1006:BC1006),$AO$1006:$BQ$1006,0)))),"Fix")))</f>
        <v>#N/A</v>
      </c>
      <c r="Q328" s="5" t="e">
        <f ca="1">IF(OR(INDEX($AI$2:$AI$1001,MATCH(ROWS($AH$2:AH328),$AH$2:$AH$1001,0),1)&gt;=100000,INDEX($AO$1005:$BQ$1005,1,MATCH(COLUMNS($AO$1006:BD1006),$AO$1006:$BQ$1006,0))&gt;=100000), " ",IF(INDEX($AO$2:$BQ$1001,MATCH(ROWS($AH$2:AH328),$AH$2:$AH$1001,0),MATCH(COLUMNS($AO$1006:BD1006),$AO$1006:$BQ$1006,0)), HYPERLINK("#",""), HYPERLINK(CONCATENATE("#Metadata!", ADDRESS(INDEX($AJ$2:$AJ$1001,MATCH(ROWS($AH$2:AH328),$AH$2:$AH$1001,0),0), INDEX($AO$1004:$BQ$1004,1,MATCH(COLUMNS($AO$1006:BD1006),$AO$1006:$BQ$1006,0)))),"Fix")))</f>
        <v>#N/A</v>
      </c>
      <c r="R328" s="5" t="e">
        <f ca="1">IF(OR(INDEX($AI$2:$AI$1001,MATCH(ROWS($AH$2:AH328),$AH$2:$AH$1001,0),1)&gt;=100000,INDEX($AO$1005:$BQ$1005,1,MATCH(COLUMNS($AO$1006:BE1006),$AO$1006:$BQ$1006,0))&gt;=100000), " ",IF(INDEX($AO$2:$BQ$1001,MATCH(ROWS($AH$2:AH328),$AH$2:$AH$1001,0),MATCH(COLUMNS($AO$1006:BE1006),$AO$1006:$BQ$1006,0)), HYPERLINK("#",""), HYPERLINK(CONCATENATE("#Metadata!", ADDRESS(INDEX($AJ$2:$AJ$1001,MATCH(ROWS($AH$2:AH328),$AH$2:$AH$1001,0),0), INDEX($AO$1004:$BQ$1004,1,MATCH(COLUMNS($AO$1006:BE1006),$AO$1006:$BQ$1006,0)))),"Fix")))</f>
        <v>#N/A</v>
      </c>
      <c r="S328" s="5" t="e">
        <f ca="1">IF(OR(INDEX($AI$2:$AI$1001,MATCH(ROWS($AH$2:AH328),$AH$2:$AH$1001,0),1)&gt;=100000,INDEX($AO$1005:$BQ$1005,1,MATCH(COLUMNS($AO$1006:BF1006),$AO$1006:$BQ$1006,0))&gt;=100000), " ",IF(INDEX($AO$2:$BQ$1001,MATCH(ROWS($AH$2:AH328),$AH$2:$AH$1001,0),MATCH(COLUMNS($AO$1006:BF1006),$AO$1006:$BQ$1006,0)), HYPERLINK("#",""), HYPERLINK(CONCATENATE("#Metadata!", ADDRESS(INDEX($AJ$2:$AJ$1001,MATCH(ROWS($AH$2:AH328),$AH$2:$AH$1001,0),0), INDEX($AO$1004:$BQ$1004,1,MATCH(COLUMNS($AO$1006:BF1006),$AO$1006:$BQ$1006,0)))),"Fix")))</f>
        <v>#N/A</v>
      </c>
      <c r="T328" s="5" t="e">
        <f ca="1">IF(OR(INDEX($AI$2:$AI$1001,MATCH(ROWS($AH$2:AH328),$AH$2:$AH$1001,0),1)&gt;=100000,INDEX($AO$1005:$BQ$1005,1,MATCH(COLUMNS($AO$1006:BG1006),$AO$1006:$BQ$1006,0))&gt;=100000), " ",IF(INDEX($AO$2:$BQ$1001,MATCH(ROWS($AH$2:AH328),$AH$2:$AH$1001,0),MATCH(COLUMNS($AO$1006:BG1006),$AO$1006:$BQ$1006,0)), HYPERLINK("#",""), HYPERLINK(CONCATENATE("#Metadata!", ADDRESS(INDEX($AJ$2:$AJ$1001,MATCH(ROWS($AH$2:AH328),$AH$2:$AH$1001,0),0), INDEX($AO$1004:$BQ$1004,1,MATCH(COLUMNS($AO$1006:BG1006),$AO$1006:$BQ$1006,0)))),"Fix")))</f>
        <v>#N/A</v>
      </c>
      <c r="U328" s="5" t="e">
        <f ca="1">IF(OR(INDEX($AI$2:$AI$1001,MATCH(ROWS($AH$2:AH328),$AH$2:$AH$1001,0),1)&gt;=100000,INDEX($AO$1005:$BQ$1005,1,MATCH(COLUMNS($AO$1006:BH1006),$AO$1006:$BQ$1006,0))&gt;=100000), " ",IF(INDEX($AO$2:$BQ$1001,MATCH(ROWS($AH$2:AH328),$AH$2:$AH$1001,0),MATCH(COLUMNS($AO$1006:BH1006),$AO$1006:$BQ$1006,0)), HYPERLINK("#",""), HYPERLINK(CONCATENATE("#Metadata!", ADDRESS(INDEX($AJ$2:$AJ$1001,MATCH(ROWS($AH$2:AH328),$AH$2:$AH$1001,0),0), INDEX($AO$1004:$BQ$1004,1,MATCH(COLUMNS($AO$1006:BH1006),$AO$1006:$BQ$1006,0)))),"Fix")))</f>
        <v>#N/A</v>
      </c>
      <c r="V328" s="5" t="e">
        <f ca="1">IF(OR(INDEX($AI$2:$AI$1001,MATCH(ROWS($AH$2:AH328),$AH$2:$AH$1001,0),1)&gt;=100000,INDEX($AO$1005:$BQ$1005,1,MATCH(COLUMNS($AO$1006:BI1006),$AO$1006:$BQ$1006,0))&gt;=100000), " ",IF(INDEX($AO$2:$BQ$1001,MATCH(ROWS($AH$2:AH328),$AH$2:$AH$1001,0),MATCH(COLUMNS($AO$1006:BI1006),$AO$1006:$BQ$1006,0)), HYPERLINK("#",""), HYPERLINK(CONCATENATE("#Metadata!", ADDRESS(INDEX($AJ$2:$AJ$1001,MATCH(ROWS($AH$2:AH328),$AH$2:$AH$1001,0),0), INDEX($AO$1004:$BQ$1004,1,MATCH(COLUMNS($AO$1006:BI1006),$AO$1006:$BQ$1006,0)))),"Fix")))</f>
        <v>#N/A</v>
      </c>
      <c r="W328" s="5" t="e">
        <f ca="1">IF(OR(INDEX($AI$2:$AI$1001,MATCH(ROWS($AH$2:AH328),$AH$2:$AH$1001,0),1)&gt;=100000,INDEX($AO$1005:$BQ$1005,1,MATCH(COLUMNS($AO$1006:BJ1006),$AO$1006:$BQ$1006,0))&gt;=100000), " ",IF(INDEX($AO$2:$BQ$1001,MATCH(ROWS($AH$2:AH328),$AH$2:$AH$1001,0),MATCH(COLUMNS($AO$1006:BJ1006),$AO$1006:$BQ$1006,0)), HYPERLINK("#",""), HYPERLINK(CONCATENATE("#Metadata!", ADDRESS(INDEX($AJ$2:$AJ$1001,MATCH(ROWS($AH$2:AH328),$AH$2:$AH$1001,0),0), INDEX($AO$1004:$BQ$1004,1,MATCH(COLUMNS($AO$1006:BJ1006),$AO$1006:$BQ$1006,0)))),"Fix")))</f>
        <v>#N/A</v>
      </c>
      <c r="X328" s="5" t="e">
        <f ca="1">IF(OR(INDEX($AI$2:$AI$1001,MATCH(ROWS($AH$2:AH328),$AH$2:$AH$1001,0),1)&gt;=100000,INDEX($AO$1005:$BQ$1005,1,MATCH(COLUMNS($AO$1006:BK1006),$AO$1006:$BQ$1006,0))&gt;=100000), " ",IF(INDEX($AO$2:$BQ$1001,MATCH(ROWS($AH$2:AH328),$AH$2:$AH$1001,0),MATCH(COLUMNS($AO$1006:BK1006),$AO$1006:$BQ$1006,0)), HYPERLINK("#",""), HYPERLINK(CONCATENATE("#Metadata!", ADDRESS(INDEX($AJ$2:$AJ$1001,MATCH(ROWS($AH$2:AH328),$AH$2:$AH$1001,0),0), INDEX($AO$1004:$BQ$1004,1,MATCH(COLUMNS($AO$1006:BK1006),$AO$1006:$BQ$1006,0)))),"Fix")))</f>
        <v>#N/A</v>
      </c>
      <c r="Y328" s="5" t="e">
        <f ca="1">IF(OR(INDEX($AI$2:$AI$1001,MATCH(ROWS($AH$2:AH328),$AH$2:$AH$1001,0),1)&gt;=100000,INDEX($AO$1005:$BQ$1005,1,MATCH(COLUMNS($AO$1006:BL1006),$AO$1006:$BQ$1006,0))&gt;=100000), " ",IF(INDEX($AO$2:$BQ$1001,MATCH(ROWS($AH$2:AH328),$AH$2:$AH$1001,0),MATCH(COLUMNS($AO$1006:BL1006),$AO$1006:$BQ$1006,0)), HYPERLINK("#",""), HYPERLINK(CONCATENATE("#Metadata!", ADDRESS(INDEX($AJ$2:$AJ$1001,MATCH(ROWS($AH$2:AH328),$AH$2:$AH$1001,0),0), INDEX($AO$1004:$BQ$1004,1,MATCH(COLUMNS($AO$1006:BL1006),$AO$1006:$BQ$1006,0)))),"Fix")))</f>
        <v>#N/A</v>
      </c>
      <c r="Z328" s="5" t="e">
        <f ca="1">IF(OR(INDEX($AI$2:$AI$1001,MATCH(ROWS($AH$2:AH328),$AH$2:$AH$1001,0),1)&gt;=100000,INDEX($AO$1005:$BQ$1005,1,MATCH(COLUMNS($AO$1006:BM1006),$AO$1006:$BQ$1006,0))&gt;=100000), " ",IF(INDEX($AO$2:$BQ$1001,MATCH(ROWS($AH$2:AH328),$AH$2:$AH$1001,0),MATCH(COLUMNS($AO$1006:BM1006),$AO$1006:$BQ$1006,0)), HYPERLINK("#",""), HYPERLINK(CONCATENATE("#Metadata!", ADDRESS(INDEX($AJ$2:$AJ$1001,MATCH(ROWS($AH$2:AH328),$AH$2:$AH$1001,0),0), INDEX($AO$1004:$BQ$1004,1,MATCH(COLUMNS($AO$1006:BM1006),$AO$1006:$BQ$1006,0)))),"Fix")))</f>
        <v>#N/A</v>
      </c>
      <c r="AA328" s="5" t="e">
        <f ca="1">IF(OR(INDEX($AI$2:$AI$1001,MATCH(ROWS($AH$2:AH328),$AH$2:$AH$1001,0),1)&gt;=100000,INDEX($AO$1005:$BQ$1005,1,MATCH(COLUMNS($AO$1006:BN1006),$AO$1006:$BQ$1006,0))&gt;=100000), " ",IF(INDEX($AO$2:$BQ$1001,MATCH(ROWS($AH$2:AH328),$AH$2:$AH$1001,0),MATCH(COLUMNS($AO$1006:BN1006),$AO$1006:$BQ$1006,0)), HYPERLINK("#",""), HYPERLINK(CONCATENATE("#Metadata!", ADDRESS(INDEX($AJ$2:$AJ$1001,MATCH(ROWS($AH$2:AH328),$AH$2:$AH$1001,0),0), INDEX($AO$1004:$BQ$1004,1,MATCH(COLUMNS($AO$1006:BN1006),$AO$1006:$BQ$1006,0)))),"Fix")))</f>
        <v>#N/A</v>
      </c>
      <c r="AB328" s="5" t="e">
        <f ca="1">IF(OR(INDEX($AI$2:$AI$1001,MATCH(ROWS($AH$2:AH328),$AH$2:$AH$1001,0),1)&gt;=100000,INDEX($AO$1005:$BQ$1005,1,MATCH(COLUMNS($AO$1006:BO1006),$AO$1006:$BQ$1006,0))&gt;=100000), " ",IF(INDEX($AO$2:$BQ$1001,MATCH(ROWS($AH$2:AH328),$AH$2:$AH$1001,0),MATCH(COLUMNS($AO$1006:BO1006),$AO$1006:$BQ$1006,0)), HYPERLINK("#",""), HYPERLINK(CONCATENATE("#Metadata!", ADDRESS(INDEX($AJ$2:$AJ$1001,MATCH(ROWS($AH$2:AH328),$AH$2:$AH$1001,0),0), INDEX($AO$1004:$BQ$1004,1,MATCH(COLUMNS($AO$1006:BO1006),$AO$1006:$BQ$1006,0)))),"Fix")))</f>
        <v>#N/A</v>
      </c>
      <c r="AC328" s="5" t="e">
        <f ca="1">IF(OR(INDEX($AI$2:$AI$1001,MATCH(ROWS($AH$2:AH328),$AH$2:$AH$1001,0),1)&gt;=100000,INDEX($AO$1005:$BQ$1005,1,MATCH(COLUMNS($AO$1006:BP1006),$AO$1006:$BQ$1006,0))&gt;=100000), " ",IF(INDEX($AO$2:$BQ$1001,MATCH(ROWS($AH$2:AH328),$AH$2:$AH$1001,0),MATCH(COLUMNS($AO$1006:BP1006),$AO$1006:$BQ$1006,0)), HYPERLINK("#",""), HYPERLINK(CONCATENATE("#Metadata!", ADDRESS(INDEX($AJ$2:$AJ$1001,MATCH(ROWS($AH$2:AH328),$AH$2:$AH$1001,0),0), INDEX($AO$1004:$BQ$1004,1,MATCH(COLUMNS($AO$1006:BP1006),$AO$1006:$BQ$1006,0)))),"Fix")))</f>
        <v>#N/A</v>
      </c>
      <c r="AD328" s="5" t="e">
        <f ca="1">IF(OR(INDEX($AI$2:$AI$1001,MATCH(ROWS($AH$2:AH328),$AH$2:$AH$1001,0),1)&gt;=100000,INDEX($AO$1005:$BQ$1005,1,MATCH(COLUMNS($AO$1006:BQ1006),$AO$1006:$BQ$1006,0))&gt;=100000), " ",IF(INDEX($AO$2:$BQ$1001,MATCH(ROWS($AH$2:AH328),$AH$2:$AH$1001,0),MATCH(COLUMNS($AO$1006:BQ1006),$AO$1006:$BQ$1006,0)), HYPERLINK("#",""), HYPERLINK(CONCATENATE("#Metadata!", ADDRESS(INDEX($AJ$2:$AJ$1001,MATCH(ROWS($AH$2:AH328),$AH$2:$AH$1001,0),0), INDEX($AO$1004:$BQ$1004,1,MATCH(COLUMNS($AO$1006:BQ1006),$AO$1006:$BQ$1006,0)))),"Fix")))</f>
        <v>#REF!</v>
      </c>
      <c r="AH328">
        <f ca="1"/>
        <v>325</v>
      </c>
      <c r="AI328">
        <v>100328</v>
      </c>
      <c r="AJ328">
        <v>328</v>
      </c>
      <c r="AK328" t="b">
        <f t="shared" si="5"/>
        <v>1</v>
      </c>
      <c r="AL328" t="b">
        <f>COUNTBLANK(Metadata!B328:AD328)=COLUMNS(Metadata!B328:AD328)</f>
        <v>1</v>
      </c>
      <c r="AM328" t="str">
        <v/>
      </c>
      <c r="AO328" t="b">
        <f ca="1">AND(IF(Metadata!B328="",FALSE,TRUE),COUNTIF(Metadata!B:B, Metadata!B328) = 1,NOT(ISERROR(SUMPRODUCT(SEARCH(MID(Metadata!B328,ROW(INDIRECT("1:"&amp;LEN(Metadata!B328))), 1),"0123456789abcdefghijklmnopqrstuvwxyzABCDEFGHIJKLMNOPQRSTUVWXYZ.")))))</f>
        <v>0</v>
      </c>
      <c r="AP328" t="b">
        <f>IF(Metadata!C328="",FALSE,TRUE)</f>
        <v>0</v>
      </c>
      <c r="AQ328" t="b">
        <f>IF(Metadata!D328="",FALSE,TRUE)</f>
        <v>0</v>
      </c>
      <c r="AR328" t="b">
        <f ca="1">OR(AND(IF(Metadata!E328="",FALSE,TRUE),OR(EXACT(Metadata!E328,"not collected"),EXACT(Metadata!E328,"not provided"),EXACT(Metadata!E328,"restricted access"))),AND(IF(Metadata!E328="",FALSE,TRUE),AND(AND(IFERROR(INT(LEFT(Metadata!E328,4))&gt;1900,FALSE),IFERROR(INT(LEFT(Metadata!E328,4))&lt;=YEAR(NOW()),FALSE)), OR(MID(Metadata!E328,5,1)="", AND(AND(MID(Metadata!E328,5,1)="-",IFERROR(INT(MID(Metadata!E328,6,1))&gt;=0,FALSE),IFERROR(INT(MID(Metadata!E328,6,1))&lt;=1,FALSE),NOT(MID(Metadata!E328,7,1)=""),IFERROR(INT(MID(Metadata!E328,6,2))&gt;=1,FALSE),IFERROR(INT(MID(Metadata!E328,6,2))&lt;=12,FALSE)), OR(MID(Metadata!E328,8,1)="", AND(AND(MID(Metadata!E328,8,1)="-",IFERROR(INT(MID(Metadata!E328,9,1))&gt;=0,FALSE),IFERROR(INT(MID(Metadata!E328,9,1))&lt;=3,FALSE),NOT(MID(Metadata!E328,10,1)=""),IFERROR(INT(MID(Metadata!E328,9,2))&gt;=1,FALSE),IFERROR(INT(MID(Metadata!E328,9,2))&lt;=31,FALSE)), OR(MID(Metadata!E328,11,1)="", AND(AND(MID(Metadata!E328,11,1)=" ",IFERROR(INT(MID(Metadata!E328,12,1))&gt;=0,FALSE),IFERROR(INT(MID(Metadata!E328,12,1))&lt;=2,FALSE),NOT(MID(Metadata!E328,13,1)=""),IFERROR(INT(MID(Metadata!E328,12,2))&gt;=0,FALSE),IFERROR(INT(MID(Metadata!E328,12,2))&lt;=23,FALSE)), OR(MID(Metadata!E328,14,1)="", AND(AND(MID(Metadata!E328,14,1)=":",IFERROR(INT(MID(Metadata!E328,15,1))&gt;=0,FALSE),IFERROR(INT(MID(Metadata!E328,15,1))&lt;=5,FALSE),NOT(MID(Metadata!E328,16,1)=""),IFERROR(INT(MID(Metadata!E328,15,2))&gt;=0,FALSE),IFERROR(INT(MID(Metadata!E328,15,2))&lt;=59,FALSE)), OR(MID(Metadata!E328,17,1)="", AND(AND(MID(Metadata!E328,17,1)=":",IFERROR(INT(MID(Metadata!E328,18,1))&gt;=0,FALSE),IFERROR(INT(MID(Metadata!E328,18,1))&lt;=5,FALSE),NOT(MID(Metadata!E328,19,1)=""),IFERROR(INT(MID(Metadata!E328,18,2))&gt;=0,FALSE),IFERROR(INT(MID(Metadata!E328,18,2))&lt;=59,FALSE)), LEN(Metadata!E328)&lt;=19)))))))))))))</f>
        <v>0</v>
      </c>
      <c r="AS328" t="b">
        <f>IF(Metadata!F328="",FALSE,TRUE)</f>
        <v>0</v>
      </c>
      <c r="AT328" t="b">
        <f>OR(AND(IF(Metadata!G328="",FALSE,TRUE),OR(EXACT(Metadata!G328,"not collected"),EXACT(Metadata!G328,"not provided"))),AND(IF(Metadata!G328="",FALSE,TRUE),OR(EXACT(Metadata!G328,"TRUE"),EXACT(Metadata!G328,"FALSE"))))</f>
        <v>0</v>
      </c>
      <c r="AU328" t="b">
        <f>OR(AND(IF(Metadata!H328="",FALSE,TRUE),OR(EXACT(Metadata!H328,"not collected"),EXACT(Metadata!H328,"not provided"),EXACT(Metadata!H328,"restricted access"))),AND(IF(Metadata!H328="",FALSE,ISNUMBER(VALUE(Metadata!H328))),Metadata!H328&gt;=-413))</f>
        <v>0</v>
      </c>
      <c r="AV328" t="b">
        <f>AND(IF(Metadata!I328="",FALSE,TRUE),EXACT(Metadata!I328,"meters"))</f>
        <v>0</v>
      </c>
      <c r="AW328" t="b">
        <f>AND(IF(Metadata!J328="",FALSE,TRUE),EXACT(Metadata!J328,"free-living"))</f>
        <v>0</v>
      </c>
      <c r="AX328" t="b">
        <f>AND(IF(Metadata!K328="",FALSE,TRUE),OR(EXACT(Metadata!K328,"saline"),EXACT(Metadata!K328,"non-saline")))</f>
        <v>0</v>
      </c>
      <c r="AY328" t="b">
        <f>AND(IF(Metadata!L328="",FALSE,TRUE),OR(EXACT(Metadata!L328,"sub-surface (non-saline)"),EXACT(Metadata!L328,"surface (non-saline)"),EXACT(Metadata!L328,"water (non-saline)"),EXACT(Metadata!L328,"soil (non-saline)"),EXACT(Metadata!L328,"aerosol (non-saline)"),EXACT(Metadata!L328,"sediment (non-saline)"),EXACT(Metadata!L328,"surface (saline)"),EXACT(Metadata!L328,"water (saline)"),EXACT(Metadata!L328,"hypersaline (saline)"),EXACT(Metadata!L328,"aerosol (saline)"),EXACT(Metadata!L328,"sediment (saline)")))</f>
        <v>0</v>
      </c>
      <c r="AZ328" t="b">
        <f>IF(Metadata!M328="",FALSE,TRUE)</f>
        <v>0</v>
      </c>
      <c r="BA328" t="b">
        <f>IF(Metadata!N328="",FALSE,TRUE)</f>
        <v>0</v>
      </c>
      <c r="BB328" t="b">
        <f>IF(Metadata!O328="",FALSE,TRUE)</f>
        <v>0</v>
      </c>
      <c r="BC328" t="b">
        <f>AND(IF(Metadata!P328="",FALSE,TRUE),OR(EXACT(Metadata!P328,"air"),EXACT(Metadata!P328,"microbial mat/biofilm"),EXACT(Metadata!P328,"misc environment"),EXACT(Metadata!P328,"sediment"),EXACT(Metadata!P328,"soil"),EXACT(Metadata!P328,"wastewater/sludge"),EXACT(Metadata!P328,"water")))</f>
        <v>0</v>
      </c>
      <c r="BD328" t="b">
        <f>IF(Metadata!Q328="",FALSE,TRUE)</f>
        <v>0</v>
      </c>
      <c r="BE328" t="b">
        <f>IF(Metadata!R328="",FALSE,TRUE)</f>
        <v>0</v>
      </c>
      <c r="BF328" t="b">
        <f>OR(AND(IF(Metadata!S328="",FALSE,TRUE),OR(EXACT(Metadata!S328,"not collected"),EXACT(Metadata!S328,"not provided"),EXACT(Metadata!S328,"restricted access"))),AND(IF(Metadata!S328="",FALSE,ISNUMBER(VALUE(Metadata!S328))),Metadata!S328&gt;=-90,Metadata!S328&lt;=90))</f>
        <v>0</v>
      </c>
      <c r="BG328" t="b">
        <f>AND(IF(Metadata!T328="",FALSE,TRUE),EXACT(Metadata!T328,"Decimal degrees"))</f>
        <v>0</v>
      </c>
      <c r="BH328" t="b">
        <f>OR(AND(IF(Metadata!U328="",FALSE,TRUE),OR(EXACT(Metadata!U328,"not applicable"),EXACT(Metadata!U328,"not collected"))),IF(Metadata!U328="",FALSE,TRUE))</f>
        <v>0</v>
      </c>
      <c r="BI328" t="b">
        <f>OR(AND(IF(Metadata!V328="",FALSE,TRUE),OR(EXACT(Metadata!V328,"not collected"),EXACT(Metadata!V328,"not provided"),EXACT(Metadata!V328,"restricted access"))),AND(IF(Metadata!V328="",FALSE,ISNUMBER(VALUE(Metadata!V328))),Metadata!V328&gt;=-180,Metadata!V328&lt;=180))</f>
        <v>0</v>
      </c>
      <c r="BJ328" t="b">
        <f>AND(IF(Metadata!W328="",FALSE,TRUE),EXACT(Metadata!W328,"Decimal degrees"))</f>
        <v>0</v>
      </c>
      <c r="BK328" t="b">
        <f>IF(Metadata!X328="",FALSE,TRUE)</f>
        <v>0</v>
      </c>
      <c r="BL328" t="b">
        <f>OR(AND(IF(Metadata!Y328="",FALSE,TRUE),OR(EXACT(Metadata!Y328,"not collected"),EXACT(Metadata!Y328,"not provided"),EXACT(Metadata!Y328,"restricted access"))),AND(IF(Metadata!Y328="",FALSE,TRUE),OR(EXACT(Metadata!Y328,"TRUE"),EXACT(Metadata!Y328,"FALSE"))))</f>
        <v>0</v>
      </c>
      <c r="BM328" t="b">
        <f>OR(AND(IF(Metadata!Z328="",FALSE,TRUE),EXACT(Metadata!Z328,"not applicable")),AND(IF(Metadata!Z328="",FALSE,TRUE),OR(EXACT(Metadata!Z328,"beer"),EXACT(Metadata!Z328,"cheese"),EXACT(Metadata!Z328,"fresh water"),EXACT(Metadata!Z328,"marine sediment"),EXACT(Metadata!Z328,"sea water"),EXACT(Metadata!Z328,"sediment"),EXACT(Metadata!Z328,"soil"),EXACT(Metadata!Z328,"waste water"))))</f>
        <v>0</v>
      </c>
      <c r="BN328" t="b">
        <f>AND(IF(Metadata!AA328="",FALSE,TRUE),EXACT(Metadata!AA328,"metagenome"))</f>
        <v>0</v>
      </c>
      <c r="BO328" t="b">
        <f>AND(IF(Metadata!AB328="",FALSE,TRUE),EXACT(Metadata!AB328,"256318"))</f>
        <v>0</v>
      </c>
      <c r="BP328" t="b">
        <f>IF(Metadata!AC328="",FALSE,TRUE)</f>
        <v>0</v>
      </c>
      <c r="BQ328" t="b">
        <f>IF(Metadata!AD328="",FALSE,TRUE)</f>
        <v>0</v>
      </c>
    </row>
    <row r="329" spans="1:69" x14ac:dyDescent="0.2">
      <c r="A329" s="4" t="e">
        <f ca="1">IF(B329=" "," ",HYPERLINK(CONCATENATE("#metadata!",ADDRESS(INDEX($AJ$2:$AJ$1001,MATCH(ROWS($AH$2:AH329),$AH$2:$AH$1001,0),0),2)),INDEX($AM$2:$AM$1001,MATCH(ROWS($AH$2:AH329),$AH$2:$AH$1001,0),0)))</f>
        <v>#N/A</v>
      </c>
      <c r="B329" s="5" t="e">
        <f ca="1">IF(OR(INDEX($AI$2:$AI$1001,MATCH(ROWS($AH$2:AH329),$AH$2:$AH$1001,0),1)&gt;=100000,INDEX($AO$1005:$BQ$1005,1,MATCH(COLUMNS($AO$1006:AO1006),$AO$1006:$BQ$1006,0))&gt;=100000), " ",IF(INDEX($AO$2:$BQ$1001,MATCH(ROWS($AH$2:AH329),$AH$2:$AH$1001,0),MATCH(COLUMNS($AO$1006:AO1006),$AO$1006:$BQ$1006,0)), HYPERLINK("#",""), HYPERLINK(CONCATENATE("#Metadata!", ADDRESS(INDEX($AJ$2:$AJ$1001,MATCH(ROWS($AH$2:AH329),$AH$2:$AH$1001,0),0), INDEX($AO$1004:$BQ$1004,1,MATCH(COLUMNS($AO$1006:AO1006),$AO$1006:$BQ$1006,0)))),"Fix")))</f>
        <v>#N/A</v>
      </c>
      <c r="C329" s="5" t="e">
        <f ca="1">IF(OR(INDEX($AI$2:$AI$1001,MATCH(ROWS($AH$2:AH329),$AH$2:$AH$1001,0),1)&gt;=100000,INDEX($AO$1005:$BQ$1005,1,MATCH(COLUMNS($AO$1006:AP1006),$AO$1006:$BQ$1006,0))&gt;=100000), " ",IF(INDEX($AO$2:$BQ$1001,MATCH(ROWS($AH$2:AH329),$AH$2:$AH$1001,0),MATCH(COLUMNS($AO$1006:AP1006),$AO$1006:$BQ$1006,0)), HYPERLINK("#",""), HYPERLINK(CONCATENATE("#Metadata!", ADDRESS(INDEX($AJ$2:$AJ$1001,MATCH(ROWS($AH$2:AH329),$AH$2:$AH$1001,0),0), INDEX($AO$1004:$BQ$1004,1,MATCH(COLUMNS($AO$1006:AP1006),$AO$1006:$BQ$1006,0)))),"Fix")))</f>
        <v>#N/A</v>
      </c>
      <c r="D329" s="5" t="e">
        <f ca="1">IF(OR(INDEX($AI$2:$AI$1001,MATCH(ROWS($AH$2:AH329),$AH$2:$AH$1001,0),1)&gt;=100000,INDEX($AO$1005:$BQ$1005,1,MATCH(COLUMNS($AO$1006:AQ1006),$AO$1006:$BQ$1006,0))&gt;=100000), " ",IF(INDEX($AO$2:$BQ$1001,MATCH(ROWS($AH$2:AH329),$AH$2:$AH$1001,0),MATCH(COLUMNS($AO$1006:AQ1006),$AO$1006:$BQ$1006,0)), HYPERLINK("#",""), HYPERLINK(CONCATENATE("#Metadata!", ADDRESS(INDEX($AJ$2:$AJ$1001,MATCH(ROWS($AH$2:AH329),$AH$2:$AH$1001,0),0), INDEX($AO$1004:$BQ$1004,1,MATCH(COLUMNS($AO$1006:AQ1006),$AO$1006:$BQ$1006,0)))),"Fix")))</f>
        <v>#N/A</v>
      </c>
      <c r="E329" s="5" t="e">
        <f ca="1">IF(OR(INDEX($AI$2:$AI$1001,MATCH(ROWS($AH$2:AH329),$AH$2:$AH$1001,0),1)&gt;=100000,INDEX($AO$1005:$BQ$1005,1,MATCH(COLUMNS($AO$1006:AR1006),$AO$1006:$BQ$1006,0))&gt;=100000), " ",IF(INDEX($AO$2:$BQ$1001,MATCH(ROWS($AH$2:AH329),$AH$2:$AH$1001,0),MATCH(COLUMNS($AO$1006:AR1006),$AO$1006:$BQ$1006,0)), HYPERLINK("#",""), HYPERLINK(CONCATENATE("#Metadata!", ADDRESS(INDEX($AJ$2:$AJ$1001,MATCH(ROWS($AH$2:AH329),$AH$2:$AH$1001,0),0), INDEX($AO$1004:$BQ$1004,1,MATCH(COLUMNS($AO$1006:AR1006),$AO$1006:$BQ$1006,0)))),"Fix")))</f>
        <v>#N/A</v>
      </c>
      <c r="F329" s="5" t="e">
        <f ca="1">IF(OR(INDEX($AI$2:$AI$1001,MATCH(ROWS($AH$2:AH329),$AH$2:$AH$1001,0),1)&gt;=100000,INDEX($AO$1005:$BQ$1005,1,MATCH(COLUMNS($AO$1006:AS1006),$AO$1006:$BQ$1006,0))&gt;=100000), " ",IF(INDEX($AO$2:$BQ$1001,MATCH(ROWS($AH$2:AH329),$AH$2:$AH$1001,0),MATCH(COLUMNS($AO$1006:AS1006),$AO$1006:$BQ$1006,0)), HYPERLINK("#",""), HYPERLINK(CONCATENATE("#Metadata!", ADDRESS(INDEX($AJ$2:$AJ$1001,MATCH(ROWS($AH$2:AH329),$AH$2:$AH$1001,0),0), INDEX($AO$1004:$BQ$1004,1,MATCH(COLUMNS($AO$1006:AS1006),$AO$1006:$BQ$1006,0)))),"Fix")))</f>
        <v>#N/A</v>
      </c>
      <c r="G329" s="5" t="e">
        <f ca="1">IF(OR(INDEX($AI$2:$AI$1001,MATCH(ROWS($AH$2:AH329),$AH$2:$AH$1001,0),1)&gt;=100000,INDEX($AO$1005:$BQ$1005,1,MATCH(COLUMNS($AO$1006:AT1006),$AO$1006:$BQ$1006,0))&gt;=100000), " ",IF(INDEX($AO$2:$BQ$1001,MATCH(ROWS($AH$2:AH329),$AH$2:$AH$1001,0),MATCH(COLUMNS($AO$1006:AT1006),$AO$1006:$BQ$1006,0)), HYPERLINK("#",""), HYPERLINK(CONCATENATE("#Metadata!", ADDRESS(INDEX($AJ$2:$AJ$1001,MATCH(ROWS($AH$2:AH329),$AH$2:$AH$1001,0),0), INDEX($AO$1004:$BQ$1004,1,MATCH(COLUMNS($AO$1006:AT1006),$AO$1006:$BQ$1006,0)))),"Fix")))</f>
        <v>#N/A</v>
      </c>
      <c r="H329" s="5" t="e">
        <f ca="1">IF(OR(INDEX($AI$2:$AI$1001,MATCH(ROWS($AH$2:AH329),$AH$2:$AH$1001,0),1)&gt;=100000,INDEX($AO$1005:$BQ$1005,1,MATCH(COLUMNS($AO$1006:AU1006),$AO$1006:$BQ$1006,0))&gt;=100000), " ",IF(INDEX($AO$2:$BQ$1001,MATCH(ROWS($AH$2:AH329),$AH$2:$AH$1001,0),MATCH(COLUMNS($AO$1006:AU1006),$AO$1006:$BQ$1006,0)), HYPERLINK("#",""), HYPERLINK(CONCATENATE("#Metadata!", ADDRESS(INDEX($AJ$2:$AJ$1001,MATCH(ROWS($AH$2:AH329),$AH$2:$AH$1001,0),0), INDEX($AO$1004:$BQ$1004,1,MATCH(COLUMNS($AO$1006:AU1006),$AO$1006:$BQ$1006,0)))),"Fix")))</f>
        <v>#N/A</v>
      </c>
      <c r="I329" s="5" t="e">
        <f ca="1">IF(OR(INDEX($AI$2:$AI$1001,MATCH(ROWS($AH$2:AH329),$AH$2:$AH$1001,0),1)&gt;=100000,INDEX($AO$1005:$BQ$1005,1,MATCH(COLUMNS($AO$1006:AV1006),$AO$1006:$BQ$1006,0))&gt;=100000), " ",IF(INDEX($AO$2:$BQ$1001,MATCH(ROWS($AH$2:AH329),$AH$2:$AH$1001,0),MATCH(COLUMNS($AO$1006:AV1006),$AO$1006:$BQ$1006,0)), HYPERLINK("#",""), HYPERLINK(CONCATENATE("#Metadata!", ADDRESS(INDEX($AJ$2:$AJ$1001,MATCH(ROWS($AH$2:AH329),$AH$2:$AH$1001,0),0), INDEX($AO$1004:$BQ$1004,1,MATCH(COLUMNS($AO$1006:AV1006),$AO$1006:$BQ$1006,0)))),"Fix")))</f>
        <v>#N/A</v>
      </c>
      <c r="J329" s="5" t="e">
        <f ca="1">IF(OR(INDEX($AI$2:$AI$1001,MATCH(ROWS($AH$2:AH329),$AH$2:$AH$1001,0),1)&gt;=100000,INDEX($AO$1005:$BQ$1005,1,MATCH(COLUMNS($AO$1006:AW1006),$AO$1006:$BQ$1006,0))&gt;=100000), " ",IF(INDEX($AO$2:$BQ$1001,MATCH(ROWS($AH$2:AH329),$AH$2:$AH$1001,0),MATCH(COLUMNS($AO$1006:AW1006),$AO$1006:$BQ$1006,0)), HYPERLINK("#",""), HYPERLINK(CONCATENATE("#Metadata!", ADDRESS(INDEX($AJ$2:$AJ$1001,MATCH(ROWS($AH$2:AH329),$AH$2:$AH$1001,0),0), INDEX($AO$1004:$BQ$1004,1,MATCH(COLUMNS($AO$1006:AW1006),$AO$1006:$BQ$1006,0)))),"Fix")))</f>
        <v>#N/A</v>
      </c>
      <c r="K329" s="5" t="e">
        <f ca="1">IF(OR(INDEX($AI$2:$AI$1001,MATCH(ROWS($AH$2:AH329),$AH$2:$AH$1001,0),1)&gt;=100000,INDEX($AO$1005:$BQ$1005,1,MATCH(COLUMNS($AO$1006:AX1006),$AO$1006:$BQ$1006,0))&gt;=100000), " ",IF(INDEX($AO$2:$BQ$1001,MATCH(ROWS($AH$2:AH329),$AH$2:$AH$1001,0),MATCH(COLUMNS($AO$1006:AX1006),$AO$1006:$BQ$1006,0)), HYPERLINK("#",""), HYPERLINK(CONCATENATE("#Metadata!", ADDRESS(INDEX($AJ$2:$AJ$1001,MATCH(ROWS($AH$2:AH329),$AH$2:$AH$1001,0),0), INDEX($AO$1004:$BQ$1004,1,MATCH(COLUMNS($AO$1006:AX1006),$AO$1006:$BQ$1006,0)))),"Fix")))</f>
        <v>#N/A</v>
      </c>
      <c r="L329" s="5" t="e">
        <f ca="1">IF(OR(INDEX($AI$2:$AI$1001,MATCH(ROWS($AH$2:AH329),$AH$2:$AH$1001,0),1)&gt;=100000,INDEX($AO$1005:$BQ$1005,1,MATCH(COLUMNS($AO$1006:AY1006),$AO$1006:$BQ$1006,0))&gt;=100000), " ",IF(INDEX($AO$2:$BQ$1001,MATCH(ROWS($AH$2:AH329),$AH$2:$AH$1001,0),MATCH(COLUMNS($AO$1006:AY1006),$AO$1006:$BQ$1006,0)), HYPERLINK("#",""), HYPERLINK(CONCATENATE("#Metadata!", ADDRESS(INDEX($AJ$2:$AJ$1001,MATCH(ROWS($AH$2:AH329),$AH$2:$AH$1001,0),0), INDEX($AO$1004:$BQ$1004,1,MATCH(COLUMNS($AO$1006:AY1006),$AO$1006:$BQ$1006,0)))),"Fix")))</f>
        <v>#N/A</v>
      </c>
      <c r="M329" s="5" t="e">
        <f ca="1">IF(OR(INDEX($AI$2:$AI$1001,MATCH(ROWS($AH$2:AH329),$AH$2:$AH$1001,0),1)&gt;=100000,INDEX($AO$1005:$BQ$1005,1,MATCH(COLUMNS($AO$1006:AZ1006),$AO$1006:$BQ$1006,0))&gt;=100000), " ",IF(INDEX($AO$2:$BQ$1001,MATCH(ROWS($AH$2:AH329),$AH$2:$AH$1001,0),MATCH(COLUMNS($AO$1006:AZ1006),$AO$1006:$BQ$1006,0)), HYPERLINK("#",""), HYPERLINK(CONCATENATE("#Metadata!", ADDRESS(INDEX($AJ$2:$AJ$1001,MATCH(ROWS($AH$2:AH329),$AH$2:$AH$1001,0),0), INDEX($AO$1004:$BQ$1004,1,MATCH(COLUMNS($AO$1006:AZ1006),$AO$1006:$BQ$1006,0)))),"Fix")))</f>
        <v>#N/A</v>
      </c>
      <c r="N329" s="5" t="e">
        <f ca="1">IF(OR(INDEX($AI$2:$AI$1001,MATCH(ROWS($AH$2:AH329),$AH$2:$AH$1001,0),1)&gt;=100000,INDEX($AO$1005:$BQ$1005,1,MATCH(COLUMNS($AO$1006:BA1006),$AO$1006:$BQ$1006,0))&gt;=100000), " ",IF(INDEX($AO$2:$BQ$1001,MATCH(ROWS($AH$2:AH329),$AH$2:$AH$1001,0),MATCH(COLUMNS($AO$1006:BA1006),$AO$1006:$BQ$1006,0)), HYPERLINK("#",""), HYPERLINK(CONCATENATE("#Metadata!", ADDRESS(INDEX($AJ$2:$AJ$1001,MATCH(ROWS($AH$2:AH329),$AH$2:$AH$1001,0),0), INDEX($AO$1004:$BQ$1004,1,MATCH(COLUMNS($AO$1006:BA1006),$AO$1006:$BQ$1006,0)))),"Fix")))</f>
        <v>#N/A</v>
      </c>
      <c r="O329" s="5" t="e">
        <f ca="1">IF(OR(INDEX($AI$2:$AI$1001,MATCH(ROWS($AH$2:AH329),$AH$2:$AH$1001,0),1)&gt;=100000,INDEX($AO$1005:$BQ$1005,1,MATCH(COLUMNS($AO$1006:BB1006),$AO$1006:$BQ$1006,0))&gt;=100000), " ",IF(INDEX($AO$2:$BQ$1001,MATCH(ROWS($AH$2:AH329),$AH$2:$AH$1001,0),MATCH(COLUMNS($AO$1006:BB1006),$AO$1006:$BQ$1006,0)), HYPERLINK("#",""), HYPERLINK(CONCATENATE("#Metadata!", ADDRESS(INDEX($AJ$2:$AJ$1001,MATCH(ROWS($AH$2:AH329),$AH$2:$AH$1001,0),0), INDEX($AO$1004:$BQ$1004,1,MATCH(COLUMNS($AO$1006:BB1006),$AO$1006:$BQ$1006,0)))),"Fix")))</f>
        <v>#N/A</v>
      </c>
      <c r="P329" s="5" t="e">
        <f ca="1">IF(OR(INDEX($AI$2:$AI$1001,MATCH(ROWS($AH$2:AH329),$AH$2:$AH$1001,0),1)&gt;=100000,INDEX($AO$1005:$BQ$1005,1,MATCH(COLUMNS($AO$1006:BC1006),$AO$1006:$BQ$1006,0))&gt;=100000), " ",IF(INDEX($AO$2:$BQ$1001,MATCH(ROWS($AH$2:AH329),$AH$2:$AH$1001,0),MATCH(COLUMNS($AO$1006:BC1006),$AO$1006:$BQ$1006,0)), HYPERLINK("#",""), HYPERLINK(CONCATENATE("#Metadata!", ADDRESS(INDEX($AJ$2:$AJ$1001,MATCH(ROWS($AH$2:AH329),$AH$2:$AH$1001,0),0), INDEX($AO$1004:$BQ$1004,1,MATCH(COLUMNS($AO$1006:BC1006),$AO$1006:$BQ$1006,0)))),"Fix")))</f>
        <v>#N/A</v>
      </c>
      <c r="Q329" s="5" t="e">
        <f ca="1">IF(OR(INDEX($AI$2:$AI$1001,MATCH(ROWS($AH$2:AH329),$AH$2:$AH$1001,0),1)&gt;=100000,INDEX($AO$1005:$BQ$1005,1,MATCH(COLUMNS($AO$1006:BD1006),$AO$1006:$BQ$1006,0))&gt;=100000), " ",IF(INDEX($AO$2:$BQ$1001,MATCH(ROWS($AH$2:AH329),$AH$2:$AH$1001,0),MATCH(COLUMNS($AO$1006:BD1006),$AO$1006:$BQ$1006,0)), HYPERLINK("#",""), HYPERLINK(CONCATENATE("#Metadata!", ADDRESS(INDEX($AJ$2:$AJ$1001,MATCH(ROWS($AH$2:AH329),$AH$2:$AH$1001,0),0), INDEX($AO$1004:$BQ$1004,1,MATCH(COLUMNS($AO$1006:BD1006),$AO$1006:$BQ$1006,0)))),"Fix")))</f>
        <v>#N/A</v>
      </c>
      <c r="R329" s="5" t="e">
        <f ca="1">IF(OR(INDEX($AI$2:$AI$1001,MATCH(ROWS($AH$2:AH329),$AH$2:$AH$1001,0),1)&gt;=100000,INDEX($AO$1005:$BQ$1005,1,MATCH(COLUMNS($AO$1006:BE1006),$AO$1006:$BQ$1006,0))&gt;=100000), " ",IF(INDEX($AO$2:$BQ$1001,MATCH(ROWS($AH$2:AH329),$AH$2:$AH$1001,0),MATCH(COLUMNS($AO$1006:BE1006),$AO$1006:$BQ$1006,0)), HYPERLINK("#",""), HYPERLINK(CONCATENATE("#Metadata!", ADDRESS(INDEX($AJ$2:$AJ$1001,MATCH(ROWS($AH$2:AH329),$AH$2:$AH$1001,0),0), INDEX($AO$1004:$BQ$1004,1,MATCH(COLUMNS($AO$1006:BE1006),$AO$1006:$BQ$1006,0)))),"Fix")))</f>
        <v>#N/A</v>
      </c>
      <c r="S329" s="5" t="e">
        <f ca="1">IF(OR(INDEX($AI$2:$AI$1001,MATCH(ROWS($AH$2:AH329),$AH$2:$AH$1001,0),1)&gt;=100000,INDEX($AO$1005:$BQ$1005,1,MATCH(COLUMNS($AO$1006:BF1006),$AO$1006:$BQ$1006,0))&gt;=100000), " ",IF(INDEX($AO$2:$BQ$1001,MATCH(ROWS($AH$2:AH329),$AH$2:$AH$1001,0),MATCH(COLUMNS($AO$1006:BF1006),$AO$1006:$BQ$1006,0)), HYPERLINK("#",""), HYPERLINK(CONCATENATE("#Metadata!", ADDRESS(INDEX($AJ$2:$AJ$1001,MATCH(ROWS($AH$2:AH329),$AH$2:$AH$1001,0),0), INDEX($AO$1004:$BQ$1004,1,MATCH(COLUMNS($AO$1006:BF1006),$AO$1006:$BQ$1006,0)))),"Fix")))</f>
        <v>#N/A</v>
      </c>
      <c r="T329" s="5" t="e">
        <f ca="1">IF(OR(INDEX($AI$2:$AI$1001,MATCH(ROWS($AH$2:AH329),$AH$2:$AH$1001,0),1)&gt;=100000,INDEX($AO$1005:$BQ$1005,1,MATCH(COLUMNS($AO$1006:BG1006),$AO$1006:$BQ$1006,0))&gt;=100000), " ",IF(INDEX($AO$2:$BQ$1001,MATCH(ROWS($AH$2:AH329),$AH$2:$AH$1001,0),MATCH(COLUMNS($AO$1006:BG1006),$AO$1006:$BQ$1006,0)), HYPERLINK("#",""), HYPERLINK(CONCATENATE("#Metadata!", ADDRESS(INDEX($AJ$2:$AJ$1001,MATCH(ROWS($AH$2:AH329),$AH$2:$AH$1001,0),0), INDEX($AO$1004:$BQ$1004,1,MATCH(COLUMNS($AO$1006:BG1006),$AO$1006:$BQ$1006,0)))),"Fix")))</f>
        <v>#N/A</v>
      </c>
      <c r="U329" s="5" t="e">
        <f ca="1">IF(OR(INDEX($AI$2:$AI$1001,MATCH(ROWS($AH$2:AH329),$AH$2:$AH$1001,0),1)&gt;=100000,INDEX($AO$1005:$BQ$1005,1,MATCH(COLUMNS($AO$1006:BH1006),$AO$1006:$BQ$1006,0))&gt;=100000), " ",IF(INDEX($AO$2:$BQ$1001,MATCH(ROWS($AH$2:AH329),$AH$2:$AH$1001,0),MATCH(COLUMNS($AO$1006:BH1006),$AO$1006:$BQ$1006,0)), HYPERLINK("#",""), HYPERLINK(CONCATENATE("#Metadata!", ADDRESS(INDEX($AJ$2:$AJ$1001,MATCH(ROWS($AH$2:AH329),$AH$2:$AH$1001,0),0), INDEX($AO$1004:$BQ$1004,1,MATCH(COLUMNS($AO$1006:BH1006),$AO$1006:$BQ$1006,0)))),"Fix")))</f>
        <v>#N/A</v>
      </c>
      <c r="V329" s="5" t="e">
        <f ca="1">IF(OR(INDEX($AI$2:$AI$1001,MATCH(ROWS($AH$2:AH329),$AH$2:$AH$1001,0),1)&gt;=100000,INDEX($AO$1005:$BQ$1005,1,MATCH(COLUMNS($AO$1006:BI1006),$AO$1006:$BQ$1006,0))&gt;=100000), " ",IF(INDEX($AO$2:$BQ$1001,MATCH(ROWS($AH$2:AH329),$AH$2:$AH$1001,0),MATCH(COLUMNS($AO$1006:BI1006),$AO$1006:$BQ$1006,0)), HYPERLINK("#",""), HYPERLINK(CONCATENATE("#Metadata!", ADDRESS(INDEX($AJ$2:$AJ$1001,MATCH(ROWS($AH$2:AH329),$AH$2:$AH$1001,0),0), INDEX($AO$1004:$BQ$1004,1,MATCH(COLUMNS($AO$1006:BI1006),$AO$1006:$BQ$1006,0)))),"Fix")))</f>
        <v>#N/A</v>
      </c>
      <c r="W329" s="5" t="e">
        <f ca="1">IF(OR(INDEX($AI$2:$AI$1001,MATCH(ROWS($AH$2:AH329),$AH$2:$AH$1001,0),1)&gt;=100000,INDEX($AO$1005:$BQ$1005,1,MATCH(COLUMNS($AO$1006:BJ1006),$AO$1006:$BQ$1006,0))&gt;=100000), " ",IF(INDEX($AO$2:$BQ$1001,MATCH(ROWS($AH$2:AH329),$AH$2:$AH$1001,0),MATCH(COLUMNS($AO$1006:BJ1006),$AO$1006:$BQ$1006,0)), HYPERLINK("#",""), HYPERLINK(CONCATENATE("#Metadata!", ADDRESS(INDEX($AJ$2:$AJ$1001,MATCH(ROWS($AH$2:AH329),$AH$2:$AH$1001,0),0), INDEX($AO$1004:$BQ$1004,1,MATCH(COLUMNS($AO$1006:BJ1006),$AO$1006:$BQ$1006,0)))),"Fix")))</f>
        <v>#N/A</v>
      </c>
      <c r="X329" s="5" t="e">
        <f ca="1">IF(OR(INDEX($AI$2:$AI$1001,MATCH(ROWS($AH$2:AH329),$AH$2:$AH$1001,0),1)&gt;=100000,INDEX($AO$1005:$BQ$1005,1,MATCH(COLUMNS($AO$1006:BK1006),$AO$1006:$BQ$1006,0))&gt;=100000), " ",IF(INDEX($AO$2:$BQ$1001,MATCH(ROWS($AH$2:AH329),$AH$2:$AH$1001,0),MATCH(COLUMNS($AO$1006:BK1006),$AO$1006:$BQ$1006,0)), HYPERLINK("#",""), HYPERLINK(CONCATENATE("#Metadata!", ADDRESS(INDEX($AJ$2:$AJ$1001,MATCH(ROWS($AH$2:AH329),$AH$2:$AH$1001,0),0), INDEX($AO$1004:$BQ$1004,1,MATCH(COLUMNS($AO$1006:BK1006),$AO$1006:$BQ$1006,0)))),"Fix")))</f>
        <v>#N/A</v>
      </c>
      <c r="Y329" s="5" t="e">
        <f ca="1">IF(OR(INDEX($AI$2:$AI$1001,MATCH(ROWS($AH$2:AH329),$AH$2:$AH$1001,0),1)&gt;=100000,INDEX($AO$1005:$BQ$1005,1,MATCH(COLUMNS($AO$1006:BL1006),$AO$1006:$BQ$1006,0))&gt;=100000), " ",IF(INDEX($AO$2:$BQ$1001,MATCH(ROWS($AH$2:AH329),$AH$2:$AH$1001,0),MATCH(COLUMNS($AO$1006:BL1006),$AO$1006:$BQ$1006,0)), HYPERLINK("#",""), HYPERLINK(CONCATENATE("#Metadata!", ADDRESS(INDEX($AJ$2:$AJ$1001,MATCH(ROWS($AH$2:AH329),$AH$2:$AH$1001,0),0), INDEX($AO$1004:$BQ$1004,1,MATCH(COLUMNS($AO$1006:BL1006),$AO$1006:$BQ$1006,0)))),"Fix")))</f>
        <v>#N/A</v>
      </c>
      <c r="Z329" s="5" t="e">
        <f ca="1">IF(OR(INDEX($AI$2:$AI$1001,MATCH(ROWS($AH$2:AH329),$AH$2:$AH$1001,0),1)&gt;=100000,INDEX($AO$1005:$BQ$1005,1,MATCH(COLUMNS($AO$1006:BM1006),$AO$1006:$BQ$1006,0))&gt;=100000), " ",IF(INDEX($AO$2:$BQ$1001,MATCH(ROWS($AH$2:AH329),$AH$2:$AH$1001,0),MATCH(COLUMNS($AO$1006:BM1006),$AO$1006:$BQ$1006,0)), HYPERLINK("#",""), HYPERLINK(CONCATENATE("#Metadata!", ADDRESS(INDEX($AJ$2:$AJ$1001,MATCH(ROWS($AH$2:AH329),$AH$2:$AH$1001,0),0), INDEX($AO$1004:$BQ$1004,1,MATCH(COLUMNS($AO$1006:BM1006),$AO$1006:$BQ$1006,0)))),"Fix")))</f>
        <v>#N/A</v>
      </c>
      <c r="AA329" s="5" t="e">
        <f ca="1">IF(OR(INDEX($AI$2:$AI$1001,MATCH(ROWS($AH$2:AH329),$AH$2:$AH$1001,0),1)&gt;=100000,INDEX($AO$1005:$BQ$1005,1,MATCH(COLUMNS($AO$1006:BN1006),$AO$1006:$BQ$1006,0))&gt;=100000), " ",IF(INDEX($AO$2:$BQ$1001,MATCH(ROWS($AH$2:AH329),$AH$2:$AH$1001,0),MATCH(COLUMNS($AO$1006:BN1006),$AO$1006:$BQ$1006,0)), HYPERLINK("#",""), HYPERLINK(CONCATENATE("#Metadata!", ADDRESS(INDEX($AJ$2:$AJ$1001,MATCH(ROWS($AH$2:AH329),$AH$2:$AH$1001,0),0), INDEX($AO$1004:$BQ$1004,1,MATCH(COLUMNS($AO$1006:BN1006),$AO$1006:$BQ$1006,0)))),"Fix")))</f>
        <v>#N/A</v>
      </c>
      <c r="AB329" s="5" t="e">
        <f ca="1">IF(OR(INDEX($AI$2:$AI$1001,MATCH(ROWS($AH$2:AH329),$AH$2:$AH$1001,0),1)&gt;=100000,INDEX($AO$1005:$BQ$1005,1,MATCH(COLUMNS($AO$1006:BO1006),$AO$1006:$BQ$1006,0))&gt;=100000), " ",IF(INDEX($AO$2:$BQ$1001,MATCH(ROWS($AH$2:AH329),$AH$2:$AH$1001,0),MATCH(COLUMNS($AO$1006:BO1006),$AO$1006:$BQ$1006,0)), HYPERLINK("#",""), HYPERLINK(CONCATENATE("#Metadata!", ADDRESS(INDEX($AJ$2:$AJ$1001,MATCH(ROWS($AH$2:AH329),$AH$2:$AH$1001,0),0), INDEX($AO$1004:$BQ$1004,1,MATCH(COLUMNS($AO$1006:BO1006),$AO$1006:$BQ$1006,0)))),"Fix")))</f>
        <v>#N/A</v>
      </c>
      <c r="AC329" s="5" t="e">
        <f ca="1">IF(OR(INDEX($AI$2:$AI$1001,MATCH(ROWS($AH$2:AH329),$AH$2:$AH$1001,0),1)&gt;=100000,INDEX($AO$1005:$BQ$1005,1,MATCH(COLUMNS($AO$1006:BP1006),$AO$1006:$BQ$1006,0))&gt;=100000), " ",IF(INDEX($AO$2:$BQ$1001,MATCH(ROWS($AH$2:AH329),$AH$2:$AH$1001,0),MATCH(COLUMNS($AO$1006:BP1006),$AO$1006:$BQ$1006,0)), HYPERLINK("#",""), HYPERLINK(CONCATENATE("#Metadata!", ADDRESS(INDEX($AJ$2:$AJ$1001,MATCH(ROWS($AH$2:AH329),$AH$2:$AH$1001,0),0), INDEX($AO$1004:$BQ$1004,1,MATCH(COLUMNS($AO$1006:BP1006),$AO$1006:$BQ$1006,0)))),"Fix")))</f>
        <v>#N/A</v>
      </c>
      <c r="AD329" s="5" t="e">
        <f ca="1">IF(OR(INDEX($AI$2:$AI$1001,MATCH(ROWS($AH$2:AH329),$AH$2:$AH$1001,0),1)&gt;=100000,INDEX($AO$1005:$BQ$1005,1,MATCH(COLUMNS($AO$1006:BQ1006),$AO$1006:$BQ$1006,0))&gt;=100000), " ",IF(INDEX($AO$2:$BQ$1001,MATCH(ROWS($AH$2:AH329),$AH$2:$AH$1001,0),MATCH(COLUMNS($AO$1006:BQ1006),$AO$1006:$BQ$1006,0)), HYPERLINK("#",""), HYPERLINK(CONCATENATE("#Metadata!", ADDRESS(INDEX($AJ$2:$AJ$1001,MATCH(ROWS($AH$2:AH329),$AH$2:$AH$1001,0),0), INDEX($AO$1004:$BQ$1004,1,MATCH(COLUMNS($AO$1006:BQ1006),$AO$1006:$BQ$1006,0)))),"Fix")))</f>
        <v>#REF!</v>
      </c>
      <c r="AH329">
        <f ca="1"/>
        <v>326</v>
      </c>
      <c r="AI329">
        <v>100329</v>
      </c>
      <c r="AJ329">
        <v>329</v>
      </c>
      <c r="AK329" t="b">
        <f t="shared" si="5"/>
        <v>1</v>
      </c>
      <c r="AL329" t="b">
        <f>COUNTBLANK(Metadata!B329:AD329)=COLUMNS(Metadata!B329:AD329)</f>
        <v>1</v>
      </c>
      <c r="AM329" t="str">
        <v/>
      </c>
      <c r="AO329" t="b">
        <f ca="1">AND(IF(Metadata!B329="",FALSE,TRUE),COUNTIF(Metadata!B:B, Metadata!B329) = 1,NOT(ISERROR(SUMPRODUCT(SEARCH(MID(Metadata!B329,ROW(INDIRECT("1:"&amp;LEN(Metadata!B329))), 1),"0123456789abcdefghijklmnopqrstuvwxyzABCDEFGHIJKLMNOPQRSTUVWXYZ.")))))</f>
        <v>0</v>
      </c>
      <c r="AP329" t="b">
        <f>IF(Metadata!C329="",FALSE,TRUE)</f>
        <v>0</v>
      </c>
      <c r="AQ329" t="b">
        <f>IF(Metadata!D329="",FALSE,TRUE)</f>
        <v>0</v>
      </c>
      <c r="AR329" t="b">
        <f ca="1">OR(AND(IF(Metadata!E329="",FALSE,TRUE),OR(EXACT(Metadata!E329,"not collected"),EXACT(Metadata!E329,"not provided"),EXACT(Metadata!E329,"restricted access"))),AND(IF(Metadata!E329="",FALSE,TRUE),AND(AND(IFERROR(INT(LEFT(Metadata!E329,4))&gt;1900,FALSE),IFERROR(INT(LEFT(Metadata!E329,4))&lt;=YEAR(NOW()),FALSE)), OR(MID(Metadata!E329,5,1)="", AND(AND(MID(Metadata!E329,5,1)="-",IFERROR(INT(MID(Metadata!E329,6,1))&gt;=0,FALSE),IFERROR(INT(MID(Metadata!E329,6,1))&lt;=1,FALSE),NOT(MID(Metadata!E329,7,1)=""),IFERROR(INT(MID(Metadata!E329,6,2))&gt;=1,FALSE),IFERROR(INT(MID(Metadata!E329,6,2))&lt;=12,FALSE)), OR(MID(Metadata!E329,8,1)="", AND(AND(MID(Metadata!E329,8,1)="-",IFERROR(INT(MID(Metadata!E329,9,1))&gt;=0,FALSE),IFERROR(INT(MID(Metadata!E329,9,1))&lt;=3,FALSE),NOT(MID(Metadata!E329,10,1)=""),IFERROR(INT(MID(Metadata!E329,9,2))&gt;=1,FALSE),IFERROR(INT(MID(Metadata!E329,9,2))&lt;=31,FALSE)), OR(MID(Metadata!E329,11,1)="", AND(AND(MID(Metadata!E329,11,1)=" ",IFERROR(INT(MID(Metadata!E329,12,1))&gt;=0,FALSE),IFERROR(INT(MID(Metadata!E329,12,1))&lt;=2,FALSE),NOT(MID(Metadata!E329,13,1)=""),IFERROR(INT(MID(Metadata!E329,12,2))&gt;=0,FALSE),IFERROR(INT(MID(Metadata!E329,12,2))&lt;=23,FALSE)), OR(MID(Metadata!E329,14,1)="", AND(AND(MID(Metadata!E329,14,1)=":",IFERROR(INT(MID(Metadata!E329,15,1))&gt;=0,FALSE),IFERROR(INT(MID(Metadata!E329,15,1))&lt;=5,FALSE),NOT(MID(Metadata!E329,16,1)=""),IFERROR(INT(MID(Metadata!E329,15,2))&gt;=0,FALSE),IFERROR(INT(MID(Metadata!E329,15,2))&lt;=59,FALSE)), OR(MID(Metadata!E329,17,1)="", AND(AND(MID(Metadata!E329,17,1)=":",IFERROR(INT(MID(Metadata!E329,18,1))&gt;=0,FALSE),IFERROR(INT(MID(Metadata!E329,18,1))&lt;=5,FALSE),NOT(MID(Metadata!E329,19,1)=""),IFERROR(INT(MID(Metadata!E329,18,2))&gt;=0,FALSE),IFERROR(INT(MID(Metadata!E329,18,2))&lt;=59,FALSE)), LEN(Metadata!E329)&lt;=19)))))))))))))</f>
        <v>0</v>
      </c>
      <c r="AS329" t="b">
        <f>IF(Metadata!F329="",FALSE,TRUE)</f>
        <v>0</v>
      </c>
      <c r="AT329" t="b">
        <f>OR(AND(IF(Metadata!G329="",FALSE,TRUE),OR(EXACT(Metadata!G329,"not collected"),EXACT(Metadata!G329,"not provided"))),AND(IF(Metadata!G329="",FALSE,TRUE),OR(EXACT(Metadata!G329,"TRUE"),EXACT(Metadata!G329,"FALSE"))))</f>
        <v>0</v>
      </c>
      <c r="AU329" t="b">
        <f>OR(AND(IF(Metadata!H329="",FALSE,TRUE),OR(EXACT(Metadata!H329,"not collected"),EXACT(Metadata!H329,"not provided"),EXACT(Metadata!H329,"restricted access"))),AND(IF(Metadata!H329="",FALSE,ISNUMBER(VALUE(Metadata!H329))),Metadata!H329&gt;=-413))</f>
        <v>0</v>
      </c>
      <c r="AV329" t="b">
        <f>AND(IF(Metadata!I329="",FALSE,TRUE),EXACT(Metadata!I329,"meters"))</f>
        <v>0</v>
      </c>
      <c r="AW329" t="b">
        <f>AND(IF(Metadata!J329="",FALSE,TRUE),EXACT(Metadata!J329,"free-living"))</f>
        <v>0</v>
      </c>
      <c r="AX329" t="b">
        <f>AND(IF(Metadata!K329="",FALSE,TRUE),OR(EXACT(Metadata!K329,"saline"),EXACT(Metadata!K329,"non-saline")))</f>
        <v>0</v>
      </c>
      <c r="AY329" t="b">
        <f>AND(IF(Metadata!L329="",FALSE,TRUE),OR(EXACT(Metadata!L329,"sub-surface (non-saline)"),EXACT(Metadata!L329,"surface (non-saline)"),EXACT(Metadata!L329,"water (non-saline)"),EXACT(Metadata!L329,"soil (non-saline)"),EXACT(Metadata!L329,"aerosol (non-saline)"),EXACT(Metadata!L329,"sediment (non-saline)"),EXACT(Metadata!L329,"surface (saline)"),EXACT(Metadata!L329,"water (saline)"),EXACT(Metadata!L329,"hypersaline (saline)"),EXACT(Metadata!L329,"aerosol (saline)"),EXACT(Metadata!L329,"sediment (saline)")))</f>
        <v>0</v>
      </c>
      <c r="AZ329" t="b">
        <f>IF(Metadata!M329="",FALSE,TRUE)</f>
        <v>0</v>
      </c>
      <c r="BA329" t="b">
        <f>IF(Metadata!N329="",FALSE,TRUE)</f>
        <v>0</v>
      </c>
      <c r="BB329" t="b">
        <f>IF(Metadata!O329="",FALSE,TRUE)</f>
        <v>0</v>
      </c>
      <c r="BC329" t="b">
        <f>AND(IF(Metadata!P329="",FALSE,TRUE),OR(EXACT(Metadata!P329,"air"),EXACT(Metadata!P329,"microbial mat/biofilm"),EXACT(Metadata!P329,"misc environment"),EXACT(Metadata!P329,"sediment"),EXACT(Metadata!P329,"soil"),EXACT(Metadata!P329,"wastewater/sludge"),EXACT(Metadata!P329,"water")))</f>
        <v>0</v>
      </c>
      <c r="BD329" t="b">
        <f>IF(Metadata!Q329="",FALSE,TRUE)</f>
        <v>0</v>
      </c>
      <c r="BE329" t="b">
        <f>IF(Metadata!R329="",FALSE,TRUE)</f>
        <v>0</v>
      </c>
      <c r="BF329" t="b">
        <f>OR(AND(IF(Metadata!S329="",FALSE,TRUE),OR(EXACT(Metadata!S329,"not collected"),EXACT(Metadata!S329,"not provided"),EXACT(Metadata!S329,"restricted access"))),AND(IF(Metadata!S329="",FALSE,ISNUMBER(VALUE(Metadata!S329))),Metadata!S329&gt;=-90,Metadata!S329&lt;=90))</f>
        <v>0</v>
      </c>
      <c r="BG329" t="b">
        <f>AND(IF(Metadata!T329="",FALSE,TRUE),EXACT(Metadata!T329,"Decimal degrees"))</f>
        <v>0</v>
      </c>
      <c r="BH329" t="b">
        <f>OR(AND(IF(Metadata!U329="",FALSE,TRUE),OR(EXACT(Metadata!U329,"not applicable"),EXACT(Metadata!U329,"not collected"))),IF(Metadata!U329="",FALSE,TRUE))</f>
        <v>0</v>
      </c>
      <c r="BI329" t="b">
        <f>OR(AND(IF(Metadata!V329="",FALSE,TRUE),OR(EXACT(Metadata!V329,"not collected"),EXACT(Metadata!V329,"not provided"),EXACT(Metadata!V329,"restricted access"))),AND(IF(Metadata!V329="",FALSE,ISNUMBER(VALUE(Metadata!V329))),Metadata!V329&gt;=-180,Metadata!V329&lt;=180))</f>
        <v>0</v>
      </c>
      <c r="BJ329" t="b">
        <f>AND(IF(Metadata!W329="",FALSE,TRUE),EXACT(Metadata!W329,"Decimal degrees"))</f>
        <v>0</v>
      </c>
      <c r="BK329" t="b">
        <f>IF(Metadata!X329="",FALSE,TRUE)</f>
        <v>0</v>
      </c>
      <c r="BL329" t="b">
        <f>OR(AND(IF(Metadata!Y329="",FALSE,TRUE),OR(EXACT(Metadata!Y329,"not collected"),EXACT(Metadata!Y329,"not provided"),EXACT(Metadata!Y329,"restricted access"))),AND(IF(Metadata!Y329="",FALSE,TRUE),OR(EXACT(Metadata!Y329,"TRUE"),EXACT(Metadata!Y329,"FALSE"))))</f>
        <v>0</v>
      </c>
      <c r="BM329" t="b">
        <f>OR(AND(IF(Metadata!Z329="",FALSE,TRUE),EXACT(Metadata!Z329,"not applicable")),AND(IF(Metadata!Z329="",FALSE,TRUE),OR(EXACT(Metadata!Z329,"beer"),EXACT(Metadata!Z329,"cheese"),EXACT(Metadata!Z329,"fresh water"),EXACT(Metadata!Z329,"marine sediment"),EXACT(Metadata!Z329,"sea water"),EXACT(Metadata!Z329,"sediment"),EXACT(Metadata!Z329,"soil"),EXACT(Metadata!Z329,"waste water"))))</f>
        <v>0</v>
      </c>
      <c r="BN329" t="b">
        <f>AND(IF(Metadata!AA329="",FALSE,TRUE),EXACT(Metadata!AA329,"metagenome"))</f>
        <v>0</v>
      </c>
      <c r="BO329" t="b">
        <f>AND(IF(Metadata!AB329="",FALSE,TRUE),EXACT(Metadata!AB329,"256318"))</f>
        <v>0</v>
      </c>
      <c r="BP329" t="b">
        <f>IF(Metadata!AC329="",FALSE,TRUE)</f>
        <v>0</v>
      </c>
      <c r="BQ329" t="b">
        <f>IF(Metadata!AD329="",FALSE,TRUE)</f>
        <v>0</v>
      </c>
    </row>
    <row r="330" spans="1:69" x14ac:dyDescent="0.2">
      <c r="A330" s="4" t="e">
        <f ca="1">IF(B330=" "," ",HYPERLINK(CONCATENATE("#metadata!",ADDRESS(INDEX($AJ$2:$AJ$1001,MATCH(ROWS($AH$2:AH330),$AH$2:$AH$1001,0),0),2)),INDEX($AM$2:$AM$1001,MATCH(ROWS($AH$2:AH330),$AH$2:$AH$1001,0),0)))</f>
        <v>#N/A</v>
      </c>
      <c r="B330" s="5" t="e">
        <f ca="1">IF(OR(INDEX($AI$2:$AI$1001,MATCH(ROWS($AH$2:AH330),$AH$2:$AH$1001,0),1)&gt;=100000,INDEX($AO$1005:$BQ$1005,1,MATCH(COLUMNS($AO$1006:AO1006),$AO$1006:$BQ$1006,0))&gt;=100000), " ",IF(INDEX($AO$2:$BQ$1001,MATCH(ROWS($AH$2:AH330),$AH$2:$AH$1001,0),MATCH(COLUMNS($AO$1006:AO1006),$AO$1006:$BQ$1006,0)), HYPERLINK("#",""), HYPERLINK(CONCATENATE("#Metadata!", ADDRESS(INDEX($AJ$2:$AJ$1001,MATCH(ROWS($AH$2:AH330),$AH$2:$AH$1001,0),0), INDEX($AO$1004:$BQ$1004,1,MATCH(COLUMNS($AO$1006:AO1006),$AO$1006:$BQ$1006,0)))),"Fix")))</f>
        <v>#N/A</v>
      </c>
      <c r="C330" s="5" t="e">
        <f ca="1">IF(OR(INDEX($AI$2:$AI$1001,MATCH(ROWS($AH$2:AH330),$AH$2:$AH$1001,0),1)&gt;=100000,INDEX($AO$1005:$BQ$1005,1,MATCH(COLUMNS($AO$1006:AP1006),$AO$1006:$BQ$1006,0))&gt;=100000), " ",IF(INDEX($AO$2:$BQ$1001,MATCH(ROWS($AH$2:AH330),$AH$2:$AH$1001,0),MATCH(COLUMNS($AO$1006:AP1006),$AO$1006:$BQ$1006,0)), HYPERLINK("#",""), HYPERLINK(CONCATENATE("#Metadata!", ADDRESS(INDEX($AJ$2:$AJ$1001,MATCH(ROWS($AH$2:AH330),$AH$2:$AH$1001,0),0), INDEX($AO$1004:$BQ$1004,1,MATCH(COLUMNS($AO$1006:AP1006),$AO$1006:$BQ$1006,0)))),"Fix")))</f>
        <v>#N/A</v>
      </c>
      <c r="D330" s="5" t="e">
        <f ca="1">IF(OR(INDEX($AI$2:$AI$1001,MATCH(ROWS($AH$2:AH330),$AH$2:$AH$1001,0),1)&gt;=100000,INDEX($AO$1005:$BQ$1005,1,MATCH(COLUMNS($AO$1006:AQ1006),$AO$1006:$BQ$1006,0))&gt;=100000), " ",IF(INDEX($AO$2:$BQ$1001,MATCH(ROWS($AH$2:AH330),$AH$2:$AH$1001,0),MATCH(COLUMNS($AO$1006:AQ1006),$AO$1006:$BQ$1006,0)), HYPERLINK("#",""), HYPERLINK(CONCATENATE("#Metadata!", ADDRESS(INDEX($AJ$2:$AJ$1001,MATCH(ROWS($AH$2:AH330),$AH$2:$AH$1001,0),0), INDEX($AO$1004:$BQ$1004,1,MATCH(COLUMNS($AO$1006:AQ1006),$AO$1006:$BQ$1006,0)))),"Fix")))</f>
        <v>#N/A</v>
      </c>
      <c r="E330" s="5" t="e">
        <f ca="1">IF(OR(INDEX($AI$2:$AI$1001,MATCH(ROWS($AH$2:AH330),$AH$2:$AH$1001,0),1)&gt;=100000,INDEX($AO$1005:$BQ$1005,1,MATCH(COLUMNS($AO$1006:AR1006),$AO$1006:$BQ$1006,0))&gt;=100000), " ",IF(INDEX($AO$2:$BQ$1001,MATCH(ROWS($AH$2:AH330),$AH$2:$AH$1001,0),MATCH(COLUMNS($AO$1006:AR1006),$AO$1006:$BQ$1006,0)), HYPERLINK("#",""), HYPERLINK(CONCATENATE("#Metadata!", ADDRESS(INDEX($AJ$2:$AJ$1001,MATCH(ROWS($AH$2:AH330),$AH$2:$AH$1001,0),0), INDEX($AO$1004:$BQ$1004,1,MATCH(COLUMNS($AO$1006:AR1006),$AO$1006:$BQ$1006,0)))),"Fix")))</f>
        <v>#N/A</v>
      </c>
      <c r="F330" s="5" t="e">
        <f ca="1">IF(OR(INDEX($AI$2:$AI$1001,MATCH(ROWS($AH$2:AH330),$AH$2:$AH$1001,0),1)&gt;=100000,INDEX($AO$1005:$BQ$1005,1,MATCH(COLUMNS($AO$1006:AS1006),$AO$1006:$BQ$1006,0))&gt;=100000), " ",IF(INDEX($AO$2:$BQ$1001,MATCH(ROWS($AH$2:AH330),$AH$2:$AH$1001,0),MATCH(COLUMNS($AO$1006:AS1006),$AO$1006:$BQ$1006,0)), HYPERLINK("#",""), HYPERLINK(CONCATENATE("#Metadata!", ADDRESS(INDEX($AJ$2:$AJ$1001,MATCH(ROWS($AH$2:AH330),$AH$2:$AH$1001,0),0), INDEX($AO$1004:$BQ$1004,1,MATCH(COLUMNS($AO$1006:AS1006),$AO$1006:$BQ$1006,0)))),"Fix")))</f>
        <v>#N/A</v>
      </c>
      <c r="G330" s="5" t="e">
        <f ca="1">IF(OR(INDEX($AI$2:$AI$1001,MATCH(ROWS($AH$2:AH330),$AH$2:$AH$1001,0),1)&gt;=100000,INDEX($AO$1005:$BQ$1005,1,MATCH(COLUMNS($AO$1006:AT1006),$AO$1006:$BQ$1006,0))&gt;=100000), " ",IF(INDEX($AO$2:$BQ$1001,MATCH(ROWS($AH$2:AH330),$AH$2:$AH$1001,0),MATCH(COLUMNS($AO$1006:AT1006),$AO$1006:$BQ$1006,0)), HYPERLINK("#",""), HYPERLINK(CONCATENATE("#Metadata!", ADDRESS(INDEX($AJ$2:$AJ$1001,MATCH(ROWS($AH$2:AH330),$AH$2:$AH$1001,0),0), INDEX($AO$1004:$BQ$1004,1,MATCH(COLUMNS($AO$1006:AT1006),$AO$1006:$BQ$1006,0)))),"Fix")))</f>
        <v>#N/A</v>
      </c>
      <c r="H330" s="5" t="e">
        <f ca="1">IF(OR(INDEX($AI$2:$AI$1001,MATCH(ROWS($AH$2:AH330),$AH$2:$AH$1001,0),1)&gt;=100000,INDEX($AO$1005:$BQ$1005,1,MATCH(COLUMNS($AO$1006:AU1006),$AO$1006:$BQ$1006,0))&gt;=100000), " ",IF(INDEX($AO$2:$BQ$1001,MATCH(ROWS($AH$2:AH330),$AH$2:$AH$1001,0),MATCH(COLUMNS($AO$1006:AU1006),$AO$1006:$BQ$1006,0)), HYPERLINK("#",""), HYPERLINK(CONCATENATE("#Metadata!", ADDRESS(INDEX($AJ$2:$AJ$1001,MATCH(ROWS($AH$2:AH330),$AH$2:$AH$1001,0),0), INDEX($AO$1004:$BQ$1004,1,MATCH(COLUMNS($AO$1006:AU1006),$AO$1006:$BQ$1006,0)))),"Fix")))</f>
        <v>#N/A</v>
      </c>
      <c r="I330" s="5" t="e">
        <f ca="1">IF(OR(INDEX($AI$2:$AI$1001,MATCH(ROWS($AH$2:AH330),$AH$2:$AH$1001,0),1)&gt;=100000,INDEX($AO$1005:$BQ$1005,1,MATCH(COLUMNS($AO$1006:AV1006),$AO$1006:$BQ$1006,0))&gt;=100000), " ",IF(INDEX($AO$2:$BQ$1001,MATCH(ROWS($AH$2:AH330),$AH$2:$AH$1001,0),MATCH(COLUMNS($AO$1006:AV1006),$AO$1006:$BQ$1006,0)), HYPERLINK("#",""), HYPERLINK(CONCATENATE("#Metadata!", ADDRESS(INDEX($AJ$2:$AJ$1001,MATCH(ROWS($AH$2:AH330),$AH$2:$AH$1001,0),0), INDEX($AO$1004:$BQ$1004,1,MATCH(COLUMNS($AO$1006:AV1006),$AO$1006:$BQ$1006,0)))),"Fix")))</f>
        <v>#N/A</v>
      </c>
      <c r="J330" s="5" t="e">
        <f ca="1">IF(OR(INDEX($AI$2:$AI$1001,MATCH(ROWS($AH$2:AH330),$AH$2:$AH$1001,0),1)&gt;=100000,INDEX($AO$1005:$BQ$1005,1,MATCH(COLUMNS($AO$1006:AW1006),$AO$1006:$BQ$1006,0))&gt;=100000), " ",IF(INDEX($AO$2:$BQ$1001,MATCH(ROWS($AH$2:AH330),$AH$2:$AH$1001,0),MATCH(COLUMNS($AO$1006:AW1006),$AO$1006:$BQ$1006,0)), HYPERLINK("#",""), HYPERLINK(CONCATENATE("#Metadata!", ADDRESS(INDEX($AJ$2:$AJ$1001,MATCH(ROWS($AH$2:AH330),$AH$2:$AH$1001,0),0), INDEX($AO$1004:$BQ$1004,1,MATCH(COLUMNS($AO$1006:AW1006),$AO$1006:$BQ$1006,0)))),"Fix")))</f>
        <v>#N/A</v>
      </c>
      <c r="K330" s="5" t="e">
        <f ca="1">IF(OR(INDEX($AI$2:$AI$1001,MATCH(ROWS($AH$2:AH330),$AH$2:$AH$1001,0),1)&gt;=100000,INDEX($AO$1005:$BQ$1005,1,MATCH(COLUMNS($AO$1006:AX1006),$AO$1006:$BQ$1006,0))&gt;=100000), " ",IF(INDEX($AO$2:$BQ$1001,MATCH(ROWS($AH$2:AH330),$AH$2:$AH$1001,0),MATCH(COLUMNS($AO$1006:AX1006),$AO$1006:$BQ$1006,0)), HYPERLINK("#",""), HYPERLINK(CONCATENATE("#Metadata!", ADDRESS(INDEX($AJ$2:$AJ$1001,MATCH(ROWS($AH$2:AH330),$AH$2:$AH$1001,0),0), INDEX($AO$1004:$BQ$1004,1,MATCH(COLUMNS($AO$1006:AX1006),$AO$1006:$BQ$1006,0)))),"Fix")))</f>
        <v>#N/A</v>
      </c>
      <c r="L330" s="5" t="e">
        <f ca="1">IF(OR(INDEX($AI$2:$AI$1001,MATCH(ROWS($AH$2:AH330),$AH$2:$AH$1001,0),1)&gt;=100000,INDEX($AO$1005:$BQ$1005,1,MATCH(COLUMNS($AO$1006:AY1006),$AO$1006:$BQ$1006,0))&gt;=100000), " ",IF(INDEX($AO$2:$BQ$1001,MATCH(ROWS($AH$2:AH330),$AH$2:$AH$1001,0),MATCH(COLUMNS($AO$1006:AY1006),$AO$1006:$BQ$1006,0)), HYPERLINK("#",""), HYPERLINK(CONCATENATE("#Metadata!", ADDRESS(INDEX($AJ$2:$AJ$1001,MATCH(ROWS($AH$2:AH330),$AH$2:$AH$1001,0),0), INDEX($AO$1004:$BQ$1004,1,MATCH(COLUMNS($AO$1006:AY1006),$AO$1006:$BQ$1006,0)))),"Fix")))</f>
        <v>#N/A</v>
      </c>
      <c r="M330" s="5" t="e">
        <f ca="1">IF(OR(INDEX($AI$2:$AI$1001,MATCH(ROWS($AH$2:AH330),$AH$2:$AH$1001,0),1)&gt;=100000,INDEX($AO$1005:$BQ$1005,1,MATCH(COLUMNS($AO$1006:AZ1006),$AO$1006:$BQ$1006,0))&gt;=100000), " ",IF(INDEX($AO$2:$BQ$1001,MATCH(ROWS($AH$2:AH330),$AH$2:$AH$1001,0),MATCH(COLUMNS($AO$1006:AZ1006),$AO$1006:$BQ$1006,0)), HYPERLINK("#",""), HYPERLINK(CONCATENATE("#Metadata!", ADDRESS(INDEX($AJ$2:$AJ$1001,MATCH(ROWS($AH$2:AH330),$AH$2:$AH$1001,0),0), INDEX($AO$1004:$BQ$1004,1,MATCH(COLUMNS($AO$1006:AZ1006),$AO$1006:$BQ$1006,0)))),"Fix")))</f>
        <v>#N/A</v>
      </c>
      <c r="N330" s="5" t="e">
        <f ca="1">IF(OR(INDEX($AI$2:$AI$1001,MATCH(ROWS($AH$2:AH330),$AH$2:$AH$1001,0),1)&gt;=100000,INDEX($AO$1005:$BQ$1005,1,MATCH(COLUMNS($AO$1006:BA1006),$AO$1006:$BQ$1006,0))&gt;=100000), " ",IF(INDEX($AO$2:$BQ$1001,MATCH(ROWS($AH$2:AH330),$AH$2:$AH$1001,0),MATCH(COLUMNS($AO$1006:BA1006),$AO$1006:$BQ$1006,0)), HYPERLINK("#",""), HYPERLINK(CONCATENATE("#Metadata!", ADDRESS(INDEX($AJ$2:$AJ$1001,MATCH(ROWS($AH$2:AH330),$AH$2:$AH$1001,0),0), INDEX($AO$1004:$BQ$1004,1,MATCH(COLUMNS($AO$1006:BA1006),$AO$1006:$BQ$1006,0)))),"Fix")))</f>
        <v>#N/A</v>
      </c>
      <c r="O330" s="5" t="e">
        <f ca="1">IF(OR(INDEX($AI$2:$AI$1001,MATCH(ROWS($AH$2:AH330),$AH$2:$AH$1001,0),1)&gt;=100000,INDEX($AO$1005:$BQ$1005,1,MATCH(COLUMNS($AO$1006:BB1006),$AO$1006:$BQ$1006,0))&gt;=100000), " ",IF(INDEX($AO$2:$BQ$1001,MATCH(ROWS($AH$2:AH330),$AH$2:$AH$1001,0),MATCH(COLUMNS($AO$1006:BB1006),$AO$1006:$BQ$1006,0)), HYPERLINK("#",""), HYPERLINK(CONCATENATE("#Metadata!", ADDRESS(INDEX($AJ$2:$AJ$1001,MATCH(ROWS($AH$2:AH330),$AH$2:$AH$1001,0),0), INDEX($AO$1004:$BQ$1004,1,MATCH(COLUMNS($AO$1006:BB1006),$AO$1006:$BQ$1006,0)))),"Fix")))</f>
        <v>#N/A</v>
      </c>
      <c r="P330" s="5" t="e">
        <f ca="1">IF(OR(INDEX($AI$2:$AI$1001,MATCH(ROWS($AH$2:AH330),$AH$2:$AH$1001,0),1)&gt;=100000,INDEX($AO$1005:$BQ$1005,1,MATCH(COLUMNS($AO$1006:BC1006),$AO$1006:$BQ$1006,0))&gt;=100000), " ",IF(INDEX($AO$2:$BQ$1001,MATCH(ROWS($AH$2:AH330),$AH$2:$AH$1001,0),MATCH(COLUMNS($AO$1006:BC1006),$AO$1006:$BQ$1006,0)), HYPERLINK("#",""), HYPERLINK(CONCATENATE("#Metadata!", ADDRESS(INDEX($AJ$2:$AJ$1001,MATCH(ROWS($AH$2:AH330),$AH$2:$AH$1001,0),0), INDEX($AO$1004:$BQ$1004,1,MATCH(COLUMNS($AO$1006:BC1006),$AO$1006:$BQ$1006,0)))),"Fix")))</f>
        <v>#N/A</v>
      </c>
      <c r="Q330" s="5" t="e">
        <f ca="1">IF(OR(INDEX($AI$2:$AI$1001,MATCH(ROWS($AH$2:AH330),$AH$2:$AH$1001,0),1)&gt;=100000,INDEX($AO$1005:$BQ$1005,1,MATCH(COLUMNS($AO$1006:BD1006),$AO$1006:$BQ$1006,0))&gt;=100000), " ",IF(INDEX($AO$2:$BQ$1001,MATCH(ROWS($AH$2:AH330),$AH$2:$AH$1001,0),MATCH(COLUMNS($AO$1006:BD1006),$AO$1006:$BQ$1006,0)), HYPERLINK("#",""), HYPERLINK(CONCATENATE("#Metadata!", ADDRESS(INDEX($AJ$2:$AJ$1001,MATCH(ROWS($AH$2:AH330),$AH$2:$AH$1001,0),0), INDEX($AO$1004:$BQ$1004,1,MATCH(COLUMNS($AO$1006:BD1006),$AO$1006:$BQ$1006,0)))),"Fix")))</f>
        <v>#N/A</v>
      </c>
      <c r="R330" s="5" t="e">
        <f ca="1">IF(OR(INDEX($AI$2:$AI$1001,MATCH(ROWS($AH$2:AH330),$AH$2:$AH$1001,0),1)&gt;=100000,INDEX($AO$1005:$BQ$1005,1,MATCH(COLUMNS($AO$1006:BE1006),$AO$1006:$BQ$1006,0))&gt;=100000), " ",IF(INDEX($AO$2:$BQ$1001,MATCH(ROWS($AH$2:AH330),$AH$2:$AH$1001,0),MATCH(COLUMNS($AO$1006:BE1006),$AO$1006:$BQ$1006,0)), HYPERLINK("#",""), HYPERLINK(CONCATENATE("#Metadata!", ADDRESS(INDEX($AJ$2:$AJ$1001,MATCH(ROWS($AH$2:AH330),$AH$2:$AH$1001,0),0), INDEX($AO$1004:$BQ$1004,1,MATCH(COLUMNS($AO$1006:BE1006),$AO$1006:$BQ$1006,0)))),"Fix")))</f>
        <v>#N/A</v>
      </c>
      <c r="S330" s="5" t="e">
        <f ca="1">IF(OR(INDEX($AI$2:$AI$1001,MATCH(ROWS($AH$2:AH330),$AH$2:$AH$1001,0),1)&gt;=100000,INDEX($AO$1005:$BQ$1005,1,MATCH(COLUMNS($AO$1006:BF1006),$AO$1006:$BQ$1006,0))&gt;=100000), " ",IF(INDEX($AO$2:$BQ$1001,MATCH(ROWS($AH$2:AH330),$AH$2:$AH$1001,0),MATCH(COLUMNS($AO$1006:BF1006),$AO$1006:$BQ$1006,0)), HYPERLINK("#",""), HYPERLINK(CONCATENATE("#Metadata!", ADDRESS(INDEX($AJ$2:$AJ$1001,MATCH(ROWS($AH$2:AH330),$AH$2:$AH$1001,0),0), INDEX($AO$1004:$BQ$1004,1,MATCH(COLUMNS($AO$1006:BF1006),$AO$1006:$BQ$1006,0)))),"Fix")))</f>
        <v>#N/A</v>
      </c>
      <c r="T330" s="5" t="e">
        <f ca="1">IF(OR(INDEX($AI$2:$AI$1001,MATCH(ROWS($AH$2:AH330),$AH$2:$AH$1001,0),1)&gt;=100000,INDEX($AO$1005:$BQ$1005,1,MATCH(COLUMNS($AO$1006:BG1006),$AO$1006:$BQ$1006,0))&gt;=100000), " ",IF(INDEX($AO$2:$BQ$1001,MATCH(ROWS($AH$2:AH330),$AH$2:$AH$1001,0),MATCH(COLUMNS($AO$1006:BG1006),$AO$1006:$BQ$1006,0)), HYPERLINK("#",""), HYPERLINK(CONCATENATE("#Metadata!", ADDRESS(INDEX($AJ$2:$AJ$1001,MATCH(ROWS($AH$2:AH330),$AH$2:$AH$1001,0),0), INDEX($AO$1004:$BQ$1004,1,MATCH(COLUMNS($AO$1006:BG1006),$AO$1006:$BQ$1006,0)))),"Fix")))</f>
        <v>#N/A</v>
      </c>
      <c r="U330" s="5" t="e">
        <f ca="1">IF(OR(INDEX($AI$2:$AI$1001,MATCH(ROWS($AH$2:AH330),$AH$2:$AH$1001,0),1)&gt;=100000,INDEX($AO$1005:$BQ$1005,1,MATCH(COLUMNS($AO$1006:BH1006),$AO$1006:$BQ$1006,0))&gt;=100000), " ",IF(INDEX($AO$2:$BQ$1001,MATCH(ROWS($AH$2:AH330),$AH$2:$AH$1001,0),MATCH(COLUMNS($AO$1006:BH1006),$AO$1006:$BQ$1006,0)), HYPERLINK("#",""), HYPERLINK(CONCATENATE("#Metadata!", ADDRESS(INDEX($AJ$2:$AJ$1001,MATCH(ROWS($AH$2:AH330),$AH$2:$AH$1001,0),0), INDEX($AO$1004:$BQ$1004,1,MATCH(COLUMNS($AO$1006:BH1006),$AO$1006:$BQ$1006,0)))),"Fix")))</f>
        <v>#N/A</v>
      </c>
      <c r="V330" s="5" t="e">
        <f ca="1">IF(OR(INDEX($AI$2:$AI$1001,MATCH(ROWS($AH$2:AH330),$AH$2:$AH$1001,0),1)&gt;=100000,INDEX($AO$1005:$BQ$1005,1,MATCH(COLUMNS($AO$1006:BI1006),$AO$1006:$BQ$1006,0))&gt;=100000), " ",IF(INDEX($AO$2:$BQ$1001,MATCH(ROWS($AH$2:AH330),$AH$2:$AH$1001,0),MATCH(COLUMNS($AO$1006:BI1006),$AO$1006:$BQ$1006,0)), HYPERLINK("#",""), HYPERLINK(CONCATENATE("#Metadata!", ADDRESS(INDEX($AJ$2:$AJ$1001,MATCH(ROWS($AH$2:AH330),$AH$2:$AH$1001,0),0), INDEX($AO$1004:$BQ$1004,1,MATCH(COLUMNS($AO$1006:BI1006),$AO$1006:$BQ$1006,0)))),"Fix")))</f>
        <v>#N/A</v>
      </c>
      <c r="W330" s="5" t="e">
        <f ca="1">IF(OR(INDEX($AI$2:$AI$1001,MATCH(ROWS($AH$2:AH330),$AH$2:$AH$1001,0),1)&gt;=100000,INDEX($AO$1005:$BQ$1005,1,MATCH(COLUMNS($AO$1006:BJ1006),$AO$1006:$BQ$1006,0))&gt;=100000), " ",IF(INDEX($AO$2:$BQ$1001,MATCH(ROWS($AH$2:AH330),$AH$2:$AH$1001,0),MATCH(COLUMNS($AO$1006:BJ1006),$AO$1006:$BQ$1006,0)), HYPERLINK("#",""), HYPERLINK(CONCATENATE("#Metadata!", ADDRESS(INDEX($AJ$2:$AJ$1001,MATCH(ROWS($AH$2:AH330),$AH$2:$AH$1001,0),0), INDEX($AO$1004:$BQ$1004,1,MATCH(COLUMNS($AO$1006:BJ1006),$AO$1006:$BQ$1006,0)))),"Fix")))</f>
        <v>#N/A</v>
      </c>
      <c r="X330" s="5" t="e">
        <f ca="1">IF(OR(INDEX($AI$2:$AI$1001,MATCH(ROWS($AH$2:AH330),$AH$2:$AH$1001,0),1)&gt;=100000,INDEX($AO$1005:$BQ$1005,1,MATCH(COLUMNS($AO$1006:BK1006),$AO$1006:$BQ$1006,0))&gt;=100000), " ",IF(INDEX($AO$2:$BQ$1001,MATCH(ROWS($AH$2:AH330),$AH$2:$AH$1001,0),MATCH(COLUMNS($AO$1006:BK1006),$AO$1006:$BQ$1006,0)), HYPERLINK("#",""), HYPERLINK(CONCATENATE("#Metadata!", ADDRESS(INDEX($AJ$2:$AJ$1001,MATCH(ROWS($AH$2:AH330),$AH$2:$AH$1001,0),0), INDEX($AO$1004:$BQ$1004,1,MATCH(COLUMNS($AO$1006:BK1006),$AO$1006:$BQ$1006,0)))),"Fix")))</f>
        <v>#N/A</v>
      </c>
      <c r="Y330" s="5" t="e">
        <f ca="1">IF(OR(INDEX($AI$2:$AI$1001,MATCH(ROWS($AH$2:AH330),$AH$2:$AH$1001,0),1)&gt;=100000,INDEX($AO$1005:$BQ$1005,1,MATCH(COLUMNS($AO$1006:BL1006),$AO$1006:$BQ$1006,0))&gt;=100000), " ",IF(INDEX($AO$2:$BQ$1001,MATCH(ROWS($AH$2:AH330),$AH$2:$AH$1001,0),MATCH(COLUMNS($AO$1006:BL1006),$AO$1006:$BQ$1006,0)), HYPERLINK("#",""), HYPERLINK(CONCATENATE("#Metadata!", ADDRESS(INDEX($AJ$2:$AJ$1001,MATCH(ROWS($AH$2:AH330),$AH$2:$AH$1001,0),0), INDEX($AO$1004:$BQ$1004,1,MATCH(COLUMNS($AO$1006:BL1006),$AO$1006:$BQ$1006,0)))),"Fix")))</f>
        <v>#N/A</v>
      </c>
      <c r="Z330" s="5" t="e">
        <f ca="1">IF(OR(INDEX($AI$2:$AI$1001,MATCH(ROWS($AH$2:AH330),$AH$2:$AH$1001,0),1)&gt;=100000,INDEX($AO$1005:$BQ$1005,1,MATCH(COLUMNS($AO$1006:BM1006),$AO$1006:$BQ$1006,0))&gt;=100000), " ",IF(INDEX($AO$2:$BQ$1001,MATCH(ROWS($AH$2:AH330),$AH$2:$AH$1001,0),MATCH(COLUMNS($AO$1006:BM1006),$AO$1006:$BQ$1006,0)), HYPERLINK("#",""), HYPERLINK(CONCATENATE("#Metadata!", ADDRESS(INDEX($AJ$2:$AJ$1001,MATCH(ROWS($AH$2:AH330),$AH$2:$AH$1001,0),0), INDEX($AO$1004:$BQ$1004,1,MATCH(COLUMNS($AO$1006:BM1006),$AO$1006:$BQ$1006,0)))),"Fix")))</f>
        <v>#N/A</v>
      </c>
      <c r="AA330" s="5" t="e">
        <f ca="1">IF(OR(INDEX($AI$2:$AI$1001,MATCH(ROWS($AH$2:AH330),$AH$2:$AH$1001,0),1)&gt;=100000,INDEX($AO$1005:$BQ$1005,1,MATCH(COLUMNS($AO$1006:BN1006),$AO$1006:$BQ$1006,0))&gt;=100000), " ",IF(INDEX($AO$2:$BQ$1001,MATCH(ROWS($AH$2:AH330),$AH$2:$AH$1001,0),MATCH(COLUMNS($AO$1006:BN1006),$AO$1006:$BQ$1006,0)), HYPERLINK("#",""), HYPERLINK(CONCATENATE("#Metadata!", ADDRESS(INDEX($AJ$2:$AJ$1001,MATCH(ROWS($AH$2:AH330),$AH$2:$AH$1001,0),0), INDEX($AO$1004:$BQ$1004,1,MATCH(COLUMNS($AO$1006:BN1006),$AO$1006:$BQ$1006,0)))),"Fix")))</f>
        <v>#N/A</v>
      </c>
      <c r="AB330" s="5" t="e">
        <f ca="1">IF(OR(INDEX($AI$2:$AI$1001,MATCH(ROWS($AH$2:AH330),$AH$2:$AH$1001,0),1)&gt;=100000,INDEX($AO$1005:$BQ$1005,1,MATCH(COLUMNS($AO$1006:BO1006),$AO$1006:$BQ$1006,0))&gt;=100000), " ",IF(INDEX($AO$2:$BQ$1001,MATCH(ROWS($AH$2:AH330),$AH$2:$AH$1001,0),MATCH(COLUMNS($AO$1006:BO1006),$AO$1006:$BQ$1006,0)), HYPERLINK("#",""), HYPERLINK(CONCATENATE("#Metadata!", ADDRESS(INDEX($AJ$2:$AJ$1001,MATCH(ROWS($AH$2:AH330),$AH$2:$AH$1001,0),0), INDEX($AO$1004:$BQ$1004,1,MATCH(COLUMNS($AO$1006:BO1006),$AO$1006:$BQ$1006,0)))),"Fix")))</f>
        <v>#N/A</v>
      </c>
      <c r="AC330" s="5" t="e">
        <f ca="1">IF(OR(INDEX($AI$2:$AI$1001,MATCH(ROWS($AH$2:AH330),$AH$2:$AH$1001,0),1)&gt;=100000,INDEX($AO$1005:$BQ$1005,1,MATCH(COLUMNS($AO$1006:BP1006),$AO$1006:$BQ$1006,0))&gt;=100000), " ",IF(INDEX($AO$2:$BQ$1001,MATCH(ROWS($AH$2:AH330),$AH$2:$AH$1001,0),MATCH(COLUMNS($AO$1006:BP1006),$AO$1006:$BQ$1006,0)), HYPERLINK("#",""), HYPERLINK(CONCATENATE("#Metadata!", ADDRESS(INDEX($AJ$2:$AJ$1001,MATCH(ROWS($AH$2:AH330),$AH$2:$AH$1001,0),0), INDEX($AO$1004:$BQ$1004,1,MATCH(COLUMNS($AO$1006:BP1006),$AO$1006:$BQ$1006,0)))),"Fix")))</f>
        <v>#N/A</v>
      </c>
      <c r="AD330" s="5" t="e">
        <f ca="1">IF(OR(INDEX($AI$2:$AI$1001,MATCH(ROWS($AH$2:AH330),$AH$2:$AH$1001,0),1)&gt;=100000,INDEX($AO$1005:$BQ$1005,1,MATCH(COLUMNS($AO$1006:BQ1006),$AO$1006:$BQ$1006,0))&gt;=100000), " ",IF(INDEX($AO$2:$BQ$1001,MATCH(ROWS($AH$2:AH330),$AH$2:$AH$1001,0),MATCH(COLUMNS($AO$1006:BQ1006),$AO$1006:$BQ$1006,0)), HYPERLINK("#",""), HYPERLINK(CONCATENATE("#Metadata!", ADDRESS(INDEX($AJ$2:$AJ$1001,MATCH(ROWS($AH$2:AH330),$AH$2:$AH$1001,0),0), INDEX($AO$1004:$BQ$1004,1,MATCH(COLUMNS($AO$1006:BQ1006),$AO$1006:$BQ$1006,0)))),"Fix")))</f>
        <v>#REF!</v>
      </c>
      <c r="AH330">
        <f ca="1"/>
        <v>327</v>
      </c>
      <c r="AI330">
        <v>100330</v>
      </c>
      <c r="AJ330">
        <v>330</v>
      </c>
      <c r="AK330" t="b">
        <f t="shared" si="5"/>
        <v>1</v>
      </c>
      <c r="AL330" t="b">
        <f>COUNTBLANK(Metadata!B330:AD330)=COLUMNS(Metadata!B330:AD330)</f>
        <v>1</v>
      </c>
      <c r="AM330" t="str">
        <v/>
      </c>
      <c r="AO330" t="b">
        <f ca="1">AND(IF(Metadata!B330="",FALSE,TRUE),COUNTIF(Metadata!B:B, Metadata!B330) = 1,NOT(ISERROR(SUMPRODUCT(SEARCH(MID(Metadata!B330,ROW(INDIRECT("1:"&amp;LEN(Metadata!B330))), 1),"0123456789abcdefghijklmnopqrstuvwxyzABCDEFGHIJKLMNOPQRSTUVWXYZ.")))))</f>
        <v>0</v>
      </c>
      <c r="AP330" t="b">
        <f>IF(Metadata!C330="",FALSE,TRUE)</f>
        <v>0</v>
      </c>
      <c r="AQ330" t="b">
        <f>IF(Metadata!D330="",FALSE,TRUE)</f>
        <v>0</v>
      </c>
      <c r="AR330" t="b">
        <f ca="1">OR(AND(IF(Metadata!E330="",FALSE,TRUE),OR(EXACT(Metadata!E330,"not collected"),EXACT(Metadata!E330,"not provided"),EXACT(Metadata!E330,"restricted access"))),AND(IF(Metadata!E330="",FALSE,TRUE),AND(AND(IFERROR(INT(LEFT(Metadata!E330,4))&gt;1900,FALSE),IFERROR(INT(LEFT(Metadata!E330,4))&lt;=YEAR(NOW()),FALSE)), OR(MID(Metadata!E330,5,1)="", AND(AND(MID(Metadata!E330,5,1)="-",IFERROR(INT(MID(Metadata!E330,6,1))&gt;=0,FALSE),IFERROR(INT(MID(Metadata!E330,6,1))&lt;=1,FALSE),NOT(MID(Metadata!E330,7,1)=""),IFERROR(INT(MID(Metadata!E330,6,2))&gt;=1,FALSE),IFERROR(INT(MID(Metadata!E330,6,2))&lt;=12,FALSE)), OR(MID(Metadata!E330,8,1)="", AND(AND(MID(Metadata!E330,8,1)="-",IFERROR(INT(MID(Metadata!E330,9,1))&gt;=0,FALSE),IFERROR(INT(MID(Metadata!E330,9,1))&lt;=3,FALSE),NOT(MID(Metadata!E330,10,1)=""),IFERROR(INT(MID(Metadata!E330,9,2))&gt;=1,FALSE),IFERROR(INT(MID(Metadata!E330,9,2))&lt;=31,FALSE)), OR(MID(Metadata!E330,11,1)="", AND(AND(MID(Metadata!E330,11,1)=" ",IFERROR(INT(MID(Metadata!E330,12,1))&gt;=0,FALSE),IFERROR(INT(MID(Metadata!E330,12,1))&lt;=2,FALSE),NOT(MID(Metadata!E330,13,1)=""),IFERROR(INT(MID(Metadata!E330,12,2))&gt;=0,FALSE),IFERROR(INT(MID(Metadata!E330,12,2))&lt;=23,FALSE)), OR(MID(Metadata!E330,14,1)="", AND(AND(MID(Metadata!E330,14,1)=":",IFERROR(INT(MID(Metadata!E330,15,1))&gt;=0,FALSE),IFERROR(INT(MID(Metadata!E330,15,1))&lt;=5,FALSE),NOT(MID(Metadata!E330,16,1)=""),IFERROR(INT(MID(Metadata!E330,15,2))&gt;=0,FALSE),IFERROR(INT(MID(Metadata!E330,15,2))&lt;=59,FALSE)), OR(MID(Metadata!E330,17,1)="", AND(AND(MID(Metadata!E330,17,1)=":",IFERROR(INT(MID(Metadata!E330,18,1))&gt;=0,FALSE),IFERROR(INT(MID(Metadata!E330,18,1))&lt;=5,FALSE),NOT(MID(Metadata!E330,19,1)=""),IFERROR(INT(MID(Metadata!E330,18,2))&gt;=0,FALSE),IFERROR(INT(MID(Metadata!E330,18,2))&lt;=59,FALSE)), LEN(Metadata!E330)&lt;=19)))))))))))))</f>
        <v>0</v>
      </c>
      <c r="AS330" t="b">
        <f>IF(Metadata!F330="",FALSE,TRUE)</f>
        <v>0</v>
      </c>
      <c r="AT330" t="b">
        <f>OR(AND(IF(Metadata!G330="",FALSE,TRUE),OR(EXACT(Metadata!G330,"not collected"),EXACT(Metadata!G330,"not provided"))),AND(IF(Metadata!G330="",FALSE,TRUE),OR(EXACT(Metadata!G330,"TRUE"),EXACT(Metadata!G330,"FALSE"))))</f>
        <v>0</v>
      </c>
      <c r="AU330" t="b">
        <f>OR(AND(IF(Metadata!H330="",FALSE,TRUE),OR(EXACT(Metadata!H330,"not collected"),EXACT(Metadata!H330,"not provided"),EXACT(Metadata!H330,"restricted access"))),AND(IF(Metadata!H330="",FALSE,ISNUMBER(VALUE(Metadata!H330))),Metadata!H330&gt;=-413))</f>
        <v>0</v>
      </c>
      <c r="AV330" t="b">
        <f>AND(IF(Metadata!I330="",FALSE,TRUE),EXACT(Metadata!I330,"meters"))</f>
        <v>0</v>
      </c>
      <c r="AW330" t="b">
        <f>AND(IF(Metadata!J330="",FALSE,TRUE),EXACT(Metadata!J330,"free-living"))</f>
        <v>0</v>
      </c>
      <c r="AX330" t="b">
        <f>AND(IF(Metadata!K330="",FALSE,TRUE),OR(EXACT(Metadata!K330,"saline"),EXACT(Metadata!K330,"non-saline")))</f>
        <v>0</v>
      </c>
      <c r="AY330" t="b">
        <f>AND(IF(Metadata!L330="",FALSE,TRUE),OR(EXACT(Metadata!L330,"sub-surface (non-saline)"),EXACT(Metadata!L330,"surface (non-saline)"),EXACT(Metadata!L330,"water (non-saline)"),EXACT(Metadata!L330,"soil (non-saline)"),EXACT(Metadata!L330,"aerosol (non-saline)"),EXACT(Metadata!L330,"sediment (non-saline)"),EXACT(Metadata!L330,"surface (saline)"),EXACT(Metadata!L330,"water (saline)"),EXACT(Metadata!L330,"hypersaline (saline)"),EXACT(Metadata!L330,"aerosol (saline)"),EXACT(Metadata!L330,"sediment (saline)")))</f>
        <v>0</v>
      </c>
      <c r="AZ330" t="b">
        <f>IF(Metadata!M330="",FALSE,TRUE)</f>
        <v>0</v>
      </c>
      <c r="BA330" t="b">
        <f>IF(Metadata!N330="",FALSE,TRUE)</f>
        <v>0</v>
      </c>
      <c r="BB330" t="b">
        <f>IF(Metadata!O330="",FALSE,TRUE)</f>
        <v>0</v>
      </c>
      <c r="BC330" t="b">
        <f>AND(IF(Metadata!P330="",FALSE,TRUE),OR(EXACT(Metadata!P330,"air"),EXACT(Metadata!P330,"microbial mat/biofilm"),EXACT(Metadata!P330,"misc environment"),EXACT(Metadata!P330,"sediment"),EXACT(Metadata!P330,"soil"),EXACT(Metadata!P330,"wastewater/sludge"),EXACT(Metadata!P330,"water")))</f>
        <v>0</v>
      </c>
      <c r="BD330" t="b">
        <f>IF(Metadata!Q330="",FALSE,TRUE)</f>
        <v>0</v>
      </c>
      <c r="BE330" t="b">
        <f>IF(Metadata!R330="",FALSE,TRUE)</f>
        <v>0</v>
      </c>
      <c r="BF330" t="b">
        <f>OR(AND(IF(Metadata!S330="",FALSE,TRUE),OR(EXACT(Metadata!S330,"not collected"),EXACT(Metadata!S330,"not provided"),EXACT(Metadata!S330,"restricted access"))),AND(IF(Metadata!S330="",FALSE,ISNUMBER(VALUE(Metadata!S330))),Metadata!S330&gt;=-90,Metadata!S330&lt;=90))</f>
        <v>0</v>
      </c>
      <c r="BG330" t="b">
        <f>AND(IF(Metadata!T330="",FALSE,TRUE),EXACT(Metadata!T330,"Decimal degrees"))</f>
        <v>0</v>
      </c>
      <c r="BH330" t="b">
        <f>OR(AND(IF(Metadata!U330="",FALSE,TRUE),OR(EXACT(Metadata!U330,"not applicable"),EXACT(Metadata!U330,"not collected"))),IF(Metadata!U330="",FALSE,TRUE))</f>
        <v>0</v>
      </c>
      <c r="BI330" t="b">
        <f>OR(AND(IF(Metadata!V330="",FALSE,TRUE),OR(EXACT(Metadata!V330,"not collected"),EXACT(Metadata!V330,"not provided"),EXACT(Metadata!V330,"restricted access"))),AND(IF(Metadata!V330="",FALSE,ISNUMBER(VALUE(Metadata!V330))),Metadata!V330&gt;=-180,Metadata!V330&lt;=180))</f>
        <v>0</v>
      </c>
      <c r="BJ330" t="b">
        <f>AND(IF(Metadata!W330="",FALSE,TRUE),EXACT(Metadata!W330,"Decimal degrees"))</f>
        <v>0</v>
      </c>
      <c r="BK330" t="b">
        <f>IF(Metadata!X330="",FALSE,TRUE)</f>
        <v>0</v>
      </c>
      <c r="BL330" t="b">
        <f>OR(AND(IF(Metadata!Y330="",FALSE,TRUE),OR(EXACT(Metadata!Y330,"not collected"),EXACT(Metadata!Y330,"not provided"),EXACT(Metadata!Y330,"restricted access"))),AND(IF(Metadata!Y330="",FALSE,TRUE),OR(EXACT(Metadata!Y330,"TRUE"),EXACT(Metadata!Y330,"FALSE"))))</f>
        <v>0</v>
      </c>
      <c r="BM330" t="b">
        <f>OR(AND(IF(Metadata!Z330="",FALSE,TRUE),EXACT(Metadata!Z330,"not applicable")),AND(IF(Metadata!Z330="",FALSE,TRUE),OR(EXACT(Metadata!Z330,"beer"),EXACT(Metadata!Z330,"cheese"),EXACT(Metadata!Z330,"fresh water"),EXACT(Metadata!Z330,"marine sediment"),EXACT(Metadata!Z330,"sea water"),EXACT(Metadata!Z330,"sediment"),EXACT(Metadata!Z330,"soil"),EXACT(Metadata!Z330,"waste water"))))</f>
        <v>0</v>
      </c>
      <c r="BN330" t="b">
        <f>AND(IF(Metadata!AA330="",FALSE,TRUE),EXACT(Metadata!AA330,"metagenome"))</f>
        <v>0</v>
      </c>
      <c r="BO330" t="b">
        <f>AND(IF(Metadata!AB330="",FALSE,TRUE),EXACT(Metadata!AB330,"256318"))</f>
        <v>0</v>
      </c>
      <c r="BP330" t="b">
        <f>IF(Metadata!AC330="",FALSE,TRUE)</f>
        <v>0</v>
      </c>
      <c r="BQ330" t="b">
        <f>IF(Metadata!AD330="",FALSE,TRUE)</f>
        <v>0</v>
      </c>
    </row>
    <row r="331" spans="1:69" x14ac:dyDescent="0.2">
      <c r="A331" s="4" t="e">
        <f ca="1">IF(B331=" "," ",HYPERLINK(CONCATENATE("#metadata!",ADDRESS(INDEX($AJ$2:$AJ$1001,MATCH(ROWS($AH$2:AH331),$AH$2:$AH$1001,0),0),2)),INDEX($AM$2:$AM$1001,MATCH(ROWS($AH$2:AH331),$AH$2:$AH$1001,0),0)))</f>
        <v>#N/A</v>
      </c>
      <c r="B331" s="5" t="e">
        <f ca="1">IF(OR(INDEX($AI$2:$AI$1001,MATCH(ROWS($AH$2:AH331),$AH$2:$AH$1001,0),1)&gt;=100000,INDEX($AO$1005:$BQ$1005,1,MATCH(COLUMNS($AO$1006:AO1006),$AO$1006:$BQ$1006,0))&gt;=100000), " ",IF(INDEX($AO$2:$BQ$1001,MATCH(ROWS($AH$2:AH331),$AH$2:$AH$1001,0),MATCH(COLUMNS($AO$1006:AO1006),$AO$1006:$BQ$1006,0)), HYPERLINK("#",""), HYPERLINK(CONCATENATE("#Metadata!", ADDRESS(INDEX($AJ$2:$AJ$1001,MATCH(ROWS($AH$2:AH331),$AH$2:$AH$1001,0),0), INDEX($AO$1004:$BQ$1004,1,MATCH(COLUMNS($AO$1006:AO1006),$AO$1006:$BQ$1006,0)))),"Fix")))</f>
        <v>#N/A</v>
      </c>
      <c r="C331" s="5" t="e">
        <f ca="1">IF(OR(INDEX($AI$2:$AI$1001,MATCH(ROWS($AH$2:AH331),$AH$2:$AH$1001,0),1)&gt;=100000,INDEX($AO$1005:$BQ$1005,1,MATCH(COLUMNS($AO$1006:AP1006),$AO$1006:$BQ$1006,0))&gt;=100000), " ",IF(INDEX($AO$2:$BQ$1001,MATCH(ROWS($AH$2:AH331),$AH$2:$AH$1001,0),MATCH(COLUMNS($AO$1006:AP1006),$AO$1006:$BQ$1006,0)), HYPERLINK("#",""), HYPERLINK(CONCATENATE("#Metadata!", ADDRESS(INDEX($AJ$2:$AJ$1001,MATCH(ROWS($AH$2:AH331),$AH$2:$AH$1001,0),0), INDEX($AO$1004:$BQ$1004,1,MATCH(COLUMNS($AO$1006:AP1006),$AO$1006:$BQ$1006,0)))),"Fix")))</f>
        <v>#N/A</v>
      </c>
      <c r="D331" s="5" t="e">
        <f ca="1">IF(OR(INDEX($AI$2:$AI$1001,MATCH(ROWS($AH$2:AH331),$AH$2:$AH$1001,0),1)&gt;=100000,INDEX($AO$1005:$BQ$1005,1,MATCH(COLUMNS($AO$1006:AQ1006),$AO$1006:$BQ$1006,0))&gt;=100000), " ",IF(INDEX($AO$2:$BQ$1001,MATCH(ROWS($AH$2:AH331),$AH$2:$AH$1001,0),MATCH(COLUMNS($AO$1006:AQ1006),$AO$1006:$BQ$1006,0)), HYPERLINK("#",""), HYPERLINK(CONCATENATE("#Metadata!", ADDRESS(INDEX($AJ$2:$AJ$1001,MATCH(ROWS($AH$2:AH331),$AH$2:$AH$1001,0),0), INDEX($AO$1004:$BQ$1004,1,MATCH(COLUMNS($AO$1006:AQ1006),$AO$1006:$BQ$1006,0)))),"Fix")))</f>
        <v>#N/A</v>
      </c>
      <c r="E331" s="5" t="e">
        <f ca="1">IF(OR(INDEX($AI$2:$AI$1001,MATCH(ROWS($AH$2:AH331),$AH$2:$AH$1001,0),1)&gt;=100000,INDEX($AO$1005:$BQ$1005,1,MATCH(COLUMNS($AO$1006:AR1006),$AO$1006:$BQ$1006,0))&gt;=100000), " ",IF(INDEX($AO$2:$BQ$1001,MATCH(ROWS($AH$2:AH331),$AH$2:$AH$1001,0),MATCH(COLUMNS($AO$1006:AR1006),$AO$1006:$BQ$1006,0)), HYPERLINK("#",""), HYPERLINK(CONCATENATE("#Metadata!", ADDRESS(INDEX($AJ$2:$AJ$1001,MATCH(ROWS($AH$2:AH331),$AH$2:$AH$1001,0),0), INDEX($AO$1004:$BQ$1004,1,MATCH(COLUMNS($AO$1006:AR1006),$AO$1006:$BQ$1006,0)))),"Fix")))</f>
        <v>#N/A</v>
      </c>
      <c r="F331" s="5" t="e">
        <f ca="1">IF(OR(INDEX($AI$2:$AI$1001,MATCH(ROWS($AH$2:AH331),$AH$2:$AH$1001,0),1)&gt;=100000,INDEX($AO$1005:$BQ$1005,1,MATCH(COLUMNS($AO$1006:AS1006),$AO$1006:$BQ$1006,0))&gt;=100000), " ",IF(INDEX($AO$2:$BQ$1001,MATCH(ROWS($AH$2:AH331),$AH$2:$AH$1001,0),MATCH(COLUMNS($AO$1006:AS1006),$AO$1006:$BQ$1006,0)), HYPERLINK("#",""), HYPERLINK(CONCATENATE("#Metadata!", ADDRESS(INDEX($AJ$2:$AJ$1001,MATCH(ROWS($AH$2:AH331),$AH$2:$AH$1001,0),0), INDEX($AO$1004:$BQ$1004,1,MATCH(COLUMNS($AO$1006:AS1006),$AO$1006:$BQ$1006,0)))),"Fix")))</f>
        <v>#N/A</v>
      </c>
      <c r="G331" s="5" t="e">
        <f ca="1">IF(OR(INDEX($AI$2:$AI$1001,MATCH(ROWS($AH$2:AH331),$AH$2:$AH$1001,0),1)&gt;=100000,INDEX($AO$1005:$BQ$1005,1,MATCH(COLUMNS($AO$1006:AT1006),$AO$1006:$BQ$1006,0))&gt;=100000), " ",IF(INDEX($AO$2:$BQ$1001,MATCH(ROWS($AH$2:AH331),$AH$2:$AH$1001,0),MATCH(COLUMNS($AO$1006:AT1006),$AO$1006:$BQ$1006,0)), HYPERLINK("#",""), HYPERLINK(CONCATENATE("#Metadata!", ADDRESS(INDEX($AJ$2:$AJ$1001,MATCH(ROWS($AH$2:AH331),$AH$2:$AH$1001,0),0), INDEX($AO$1004:$BQ$1004,1,MATCH(COLUMNS($AO$1006:AT1006),$AO$1006:$BQ$1006,0)))),"Fix")))</f>
        <v>#N/A</v>
      </c>
      <c r="H331" s="5" t="e">
        <f ca="1">IF(OR(INDEX($AI$2:$AI$1001,MATCH(ROWS($AH$2:AH331),$AH$2:$AH$1001,0),1)&gt;=100000,INDEX($AO$1005:$BQ$1005,1,MATCH(COLUMNS($AO$1006:AU1006),$AO$1006:$BQ$1006,0))&gt;=100000), " ",IF(INDEX($AO$2:$BQ$1001,MATCH(ROWS($AH$2:AH331),$AH$2:$AH$1001,0),MATCH(COLUMNS($AO$1006:AU1006),$AO$1006:$BQ$1006,0)), HYPERLINK("#",""), HYPERLINK(CONCATENATE("#Metadata!", ADDRESS(INDEX($AJ$2:$AJ$1001,MATCH(ROWS($AH$2:AH331),$AH$2:$AH$1001,0),0), INDEX($AO$1004:$BQ$1004,1,MATCH(COLUMNS($AO$1006:AU1006),$AO$1006:$BQ$1006,0)))),"Fix")))</f>
        <v>#N/A</v>
      </c>
      <c r="I331" s="5" t="e">
        <f ca="1">IF(OR(INDEX($AI$2:$AI$1001,MATCH(ROWS($AH$2:AH331),$AH$2:$AH$1001,0),1)&gt;=100000,INDEX($AO$1005:$BQ$1005,1,MATCH(COLUMNS($AO$1006:AV1006),$AO$1006:$BQ$1006,0))&gt;=100000), " ",IF(INDEX($AO$2:$BQ$1001,MATCH(ROWS($AH$2:AH331),$AH$2:$AH$1001,0),MATCH(COLUMNS($AO$1006:AV1006),$AO$1006:$BQ$1006,0)), HYPERLINK("#",""), HYPERLINK(CONCATENATE("#Metadata!", ADDRESS(INDEX($AJ$2:$AJ$1001,MATCH(ROWS($AH$2:AH331),$AH$2:$AH$1001,0),0), INDEX($AO$1004:$BQ$1004,1,MATCH(COLUMNS($AO$1006:AV1006),$AO$1006:$BQ$1006,0)))),"Fix")))</f>
        <v>#N/A</v>
      </c>
      <c r="J331" s="5" t="e">
        <f ca="1">IF(OR(INDEX($AI$2:$AI$1001,MATCH(ROWS($AH$2:AH331),$AH$2:$AH$1001,0),1)&gt;=100000,INDEX($AO$1005:$BQ$1005,1,MATCH(COLUMNS($AO$1006:AW1006),$AO$1006:$BQ$1006,0))&gt;=100000), " ",IF(INDEX($AO$2:$BQ$1001,MATCH(ROWS($AH$2:AH331),$AH$2:$AH$1001,0),MATCH(COLUMNS($AO$1006:AW1006),$AO$1006:$BQ$1006,0)), HYPERLINK("#",""), HYPERLINK(CONCATENATE("#Metadata!", ADDRESS(INDEX($AJ$2:$AJ$1001,MATCH(ROWS($AH$2:AH331),$AH$2:$AH$1001,0),0), INDEX($AO$1004:$BQ$1004,1,MATCH(COLUMNS($AO$1006:AW1006),$AO$1006:$BQ$1006,0)))),"Fix")))</f>
        <v>#N/A</v>
      </c>
      <c r="K331" s="5" t="e">
        <f ca="1">IF(OR(INDEX($AI$2:$AI$1001,MATCH(ROWS($AH$2:AH331),$AH$2:$AH$1001,0),1)&gt;=100000,INDEX($AO$1005:$BQ$1005,1,MATCH(COLUMNS($AO$1006:AX1006),$AO$1006:$BQ$1006,0))&gt;=100000), " ",IF(INDEX($AO$2:$BQ$1001,MATCH(ROWS($AH$2:AH331),$AH$2:$AH$1001,0),MATCH(COLUMNS($AO$1006:AX1006),$AO$1006:$BQ$1006,0)), HYPERLINK("#",""), HYPERLINK(CONCATENATE("#Metadata!", ADDRESS(INDEX($AJ$2:$AJ$1001,MATCH(ROWS($AH$2:AH331),$AH$2:$AH$1001,0),0), INDEX($AO$1004:$BQ$1004,1,MATCH(COLUMNS($AO$1006:AX1006),$AO$1006:$BQ$1006,0)))),"Fix")))</f>
        <v>#N/A</v>
      </c>
      <c r="L331" s="5" t="e">
        <f ca="1">IF(OR(INDEX($AI$2:$AI$1001,MATCH(ROWS($AH$2:AH331),$AH$2:$AH$1001,0),1)&gt;=100000,INDEX($AO$1005:$BQ$1005,1,MATCH(COLUMNS($AO$1006:AY1006),$AO$1006:$BQ$1006,0))&gt;=100000), " ",IF(INDEX($AO$2:$BQ$1001,MATCH(ROWS($AH$2:AH331),$AH$2:$AH$1001,0),MATCH(COLUMNS($AO$1006:AY1006),$AO$1006:$BQ$1006,0)), HYPERLINK("#",""), HYPERLINK(CONCATENATE("#Metadata!", ADDRESS(INDEX($AJ$2:$AJ$1001,MATCH(ROWS($AH$2:AH331),$AH$2:$AH$1001,0),0), INDEX($AO$1004:$BQ$1004,1,MATCH(COLUMNS($AO$1006:AY1006),$AO$1006:$BQ$1006,0)))),"Fix")))</f>
        <v>#N/A</v>
      </c>
      <c r="M331" s="5" t="e">
        <f ca="1">IF(OR(INDEX($AI$2:$AI$1001,MATCH(ROWS($AH$2:AH331),$AH$2:$AH$1001,0),1)&gt;=100000,INDEX($AO$1005:$BQ$1005,1,MATCH(COLUMNS($AO$1006:AZ1006),$AO$1006:$BQ$1006,0))&gt;=100000), " ",IF(INDEX($AO$2:$BQ$1001,MATCH(ROWS($AH$2:AH331),$AH$2:$AH$1001,0),MATCH(COLUMNS($AO$1006:AZ1006),$AO$1006:$BQ$1006,0)), HYPERLINK("#",""), HYPERLINK(CONCATENATE("#Metadata!", ADDRESS(INDEX($AJ$2:$AJ$1001,MATCH(ROWS($AH$2:AH331),$AH$2:$AH$1001,0),0), INDEX($AO$1004:$BQ$1004,1,MATCH(COLUMNS($AO$1006:AZ1006),$AO$1006:$BQ$1006,0)))),"Fix")))</f>
        <v>#N/A</v>
      </c>
      <c r="N331" s="5" t="e">
        <f ca="1">IF(OR(INDEX($AI$2:$AI$1001,MATCH(ROWS($AH$2:AH331),$AH$2:$AH$1001,0),1)&gt;=100000,INDEX($AO$1005:$BQ$1005,1,MATCH(COLUMNS($AO$1006:BA1006),$AO$1006:$BQ$1006,0))&gt;=100000), " ",IF(INDEX($AO$2:$BQ$1001,MATCH(ROWS($AH$2:AH331),$AH$2:$AH$1001,0),MATCH(COLUMNS($AO$1006:BA1006),$AO$1006:$BQ$1006,0)), HYPERLINK("#",""), HYPERLINK(CONCATENATE("#Metadata!", ADDRESS(INDEX($AJ$2:$AJ$1001,MATCH(ROWS($AH$2:AH331),$AH$2:$AH$1001,0),0), INDEX($AO$1004:$BQ$1004,1,MATCH(COLUMNS($AO$1006:BA1006),$AO$1006:$BQ$1006,0)))),"Fix")))</f>
        <v>#N/A</v>
      </c>
      <c r="O331" s="5" t="e">
        <f ca="1">IF(OR(INDEX($AI$2:$AI$1001,MATCH(ROWS($AH$2:AH331),$AH$2:$AH$1001,0),1)&gt;=100000,INDEX($AO$1005:$BQ$1005,1,MATCH(COLUMNS($AO$1006:BB1006),$AO$1006:$BQ$1006,0))&gt;=100000), " ",IF(INDEX($AO$2:$BQ$1001,MATCH(ROWS($AH$2:AH331),$AH$2:$AH$1001,0),MATCH(COLUMNS($AO$1006:BB1006),$AO$1006:$BQ$1006,0)), HYPERLINK("#",""), HYPERLINK(CONCATENATE("#Metadata!", ADDRESS(INDEX($AJ$2:$AJ$1001,MATCH(ROWS($AH$2:AH331),$AH$2:$AH$1001,0),0), INDEX($AO$1004:$BQ$1004,1,MATCH(COLUMNS($AO$1006:BB1006),$AO$1006:$BQ$1006,0)))),"Fix")))</f>
        <v>#N/A</v>
      </c>
      <c r="P331" s="5" t="e">
        <f ca="1">IF(OR(INDEX($AI$2:$AI$1001,MATCH(ROWS($AH$2:AH331),$AH$2:$AH$1001,0),1)&gt;=100000,INDEX($AO$1005:$BQ$1005,1,MATCH(COLUMNS($AO$1006:BC1006),$AO$1006:$BQ$1006,0))&gt;=100000), " ",IF(INDEX($AO$2:$BQ$1001,MATCH(ROWS($AH$2:AH331),$AH$2:$AH$1001,0),MATCH(COLUMNS($AO$1006:BC1006),$AO$1006:$BQ$1006,0)), HYPERLINK("#",""), HYPERLINK(CONCATENATE("#Metadata!", ADDRESS(INDEX($AJ$2:$AJ$1001,MATCH(ROWS($AH$2:AH331),$AH$2:$AH$1001,0),0), INDEX($AO$1004:$BQ$1004,1,MATCH(COLUMNS($AO$1006:BC1006),$AO$1006:$BQ$1006,0)))),"Fix")))</f>
        <v>#N/A</v>
      </c>
      <c r="Q331" s="5" t="e">
        <f ca="1">IF(OR(INDEX($AI$2:$AI$1001,MATCH(ROWS($AH$2:AH331),$AH$2:$AH$1001,0),1)&gt;=100000,INDEX($AO$1005:$BQ$1005,1,MATCH(COLUMNS($AO$1006:BD1006),$AO$1006:$BQ$1006,0))&gt;=100000), " ",IF(INDEX($AO$2:$BQ$1001,MATCH(ROWS($AH$2:AH331),$AH$2:$AH$1001,0),MATCH(COLUMNS($AO$1006:BD1006),$AO$1006:$BQ$1006,0)), HYPERLINK("#",""), HYPERLINK(CONCATENATE("#Metadata!", ADDRESS(INDEX($AJ$2:$AJ$1001,MATCH(ROWS($AH$2:AH331),$AH$2:$AH$1001,0),0), INDEX($AO$1004:$BQ$1004,1,MATCH(COLUMNS($AO$1006:BD1006),$AO$1006:$BQ$1006,0)))),"Fix")))</f>
        <v>#N/A</v>
      </c>
      <c r="R331" s="5" t="e">
        <f ca="1">IF(OR(INDEX($AI$2:$AI$1001,MATCH(ROWS($AH$2:AH331),$AH$2:$AH$1001,0),1)&gt;=100000,INDEX($AO$1005:$BQ$1005,1,MATCH(COLUMNS($AO$1006:BE1006),$AO$1006:$BQ$1006,0))&gt;=100000), " ",IF(INDEX($AO$2:$BQ$1001,MATCH(ROWS($AH$2:AH331),$AH$2:$AH$1001,0),MATCH(COLUMNS($AO$1006:BE1006),$AO$1006:$BQ$1006,0)), HYPERLINK("#",""), HYPERLINK(CONCATENATE("#Metadata!", ADDRESS(INDEX($AJ$2:$AJ$1001,MATCH(ROWS($AH$2:AH331),$AH$2:$AH$1001,0),0), INDEX($AO$1004:$BQ$1004,1,MATCH(COLUMNS($AO$1006:BE1006),$AO$1006:$BQ$1006,0)))),"Fix")))</f>
        <v>#N/A</v>
      </c>
      <c r="S331" s="5" t="e">
        <f ca="1">IF(OR(INDEX($AI$2:$AI$1001,MATCH(ROWS($AH$2:AH331),$AH$2:$AH$1001,0),1)&gt;=100000,INDEX($AO$1005:$BQ$1005,1,MATCH(COLUMNS($AO$1006:BF1006),$AO$1006:$BQ$1006,0))&gt;=100000), " ",IF(INDEX($AO$2:$BQ$1001,MATCH(ROWS($AH$2:AH331),$AH$2:$AH$1001,0),MATCH(COLUMNS($AO$1006:BF1006),$AO$1006:$BQ$1006,0)), HYPERLINK("#",""), HYPERLINK(CONCATENATE("#Metadata!", ADDRESS(INDEX($AJ$2:$AJ$1001,MATCH(ROWS($AH$2:AH331),$AH$2:$AH$1001,0),0), INDEX($AO$1004:$BQ$1004,1,MATCH(COLUMNS($AO$1006:BF1006),$AO$1006:$BQ$1006,0)))),"Fix")))</f>
        <v>#N/A</v>
      </c>
      <c r="T331" s="5" t="e">
        <f ca="1">IF(OR(INDEX($AI$2:$AI$1001,MATCH(ROWS($AH$2:AH331),$AH$2:$AH$1001,0),1)&gt;=100000,INDEX($AO$1005:$BQ$1005,1,MATCH(COLUMNS($AO$1006:BG1006),$AO$1006:$BQ$1006,0))&gt;=100000), " ",IF(INDEX($AO$2:$BQ$1001,MATCH(ROWS($AH$2:AH331),$AH$2:$AH$1001,0),MATCH(COLUMNS($AO$1006:BG1006),$AO$1006:$BQ$1006,0)), HYPERLINK("#",""), HYPERLINK(CONCATENATE("#Metadata!", ADDRESS(INDEX($AJ$2:$AJ$1001,MATCH(ROWS($AH$2:AH331),$AH$2:$AH$1001,0),0), INDEX($AO$1004:$BQ$1004,1,MATCH(COLUMNS($AO$1006:BG1006),$AO$1006:$BQ$1006,0)))),"Fix")))</f>
        <v>#N/A</v>
      </c>
      <c r="U331" s="5" t="e">
        <f ca="1">IF(OR(INDEX($AI$2:$AI$1001,MATCH(ROWS($AH$2:AH331),$AH$2:$AH$1001,0),1)&gt;=100000,INDEX($AO$1005:$BQ$1005,1,MATCH(COLUMNS($AO$1006:BH1006),$AO$1006:$BQ$1006,0))&gt;=100000), " ",IF(INDEX($AO$2:$BQ$1001,MATCH(ROWS($AH$2:AH331),$AH$2:$AH$1001,0),MATCH(COLUMNS($AO$1006:BH1006),$AO$1006:$BQ$1006,0)), HYPERLINK("#",""), HYPERLINK(CONCATENATE("#Metadata!", ADDRESS(INDEX($AJ$2:$AJ$1001,MATCH(ROWS($AH$2:AH331),$AH$2:$AH$1001,0),0), INDEX($AO$1004:$BQ$1004,1,MATCH(COLUMNS($AO$1006:BH1006),$AO$1006:$BQ$1006,0)))),"Fix")))</f>
        <v>#N/A</v>
      </c>
      <c r="V331" s="5" t="e">
        <f ca="1">IF(OR(INDEX($AI$2:$AI$1001,MATCH(ROWS($AH$2:AH331),$AH$2:$AH$1001,0),1)&gt;=100000,INDEX($AO$1005:$BQ$1005,1,MATCH(COLUMNS($AO$1006:BI1006),$AO$1006:$BQ$1006,0))&gt;=100000), " ",IF(INDEX($AO$2:$BQ$1001,MATCH(ROWS($AH$2:AH331),$AH$2:$AH$1001,0),MATCH(COLUMNS($AO$1006:BI1006),$AO$1006:$BQ$1006,0)), HYPERLINK("#",""), HYPERLINK(CONCATENATE("#Metadata!", ADDRESS(INDEX($AJ$2:$AJ$1001,MATCH(ROWS($AH$2:AH331),$AH$2:$AH$1001,0),0), INDEX($AO$1004:$BQ$1004,1,MATCH(COLUMNS($AO$1006:BI1006),$AO$1006:$BQ$1006,0)))),"Fix")))</f>
        <v>#N/A</v>
      </c>
      <c r="W331" s="5" t="e">
        <f ca="1">IF(OR(INDEX($AI$2:$AI$1001,MATCH(ROWS($AH$2:AH331),$AH$2:$AH$1001,0),1)&gt;=100000,INDEX($AO$1005:$BQ$1005,1,MATCH(COLUMNS($AO$1006:BJ1006),$AO$1006:$BQ$1006,0))&gt;=100000), " ",IF(INDEX($AO$2:$BQ$1001,MATCH(ROWS($AH$2:AH331),$AH$2:$AH$1001,0),MATCH(COLUMNS($AO$1006:BJ1006),$AO$1006:$BQ$1006,0)), HYPERLINK("#",""), HYPERLINK(CONCATENATE("#Metadata!", ADDRESS(INDEX($AJ$2:$AJ$1001,MATCH(ROWS($AH$2:AH331),$AH$2:$AH$1001,0),0), INDEX($AO$1004:$BQ$1004,1,MATCH(COLUMNS($AO$1006:BJ1006),$AO$1006:$BQ$1006,0)))),"Fix")))</f>
        <v>#N/A</v>
      </c>
      <c r="X331" s="5" t="e">
        <f ca="1">IF(OR(INDEX($AI$2:$AI$1001,MATCH(ROWS($AH$2:AH331),$AH$2:$AH$1001,0),1)&gt;=100000,INDEX($AO$1005:$BQ$1005,1,MATCH(COLUMNS($AO$1006:BK1006),$AO$1006:$BQ$1006,0))&gt;=100000), " ",IF(INDEX($AO$2:$BQ$1001,MATCH(ROWS($AH$2:AH331),$AH$2:$AH$1001,0),MATCH(COLUMNS($AO$1006:BK1006),$AO$1006:$BQ$1006,0)), HYPERLINK("#",""), HYPERLINK(CONCATENATE("#Metadata!", ADDRESS(INDEX($AJ$2:$AJ$1001,MATCH(ROWS($AH$2:AH331),$AH$2:$AH$1001,0),0), INDEX($AO$1004:$BQ$1004,1,MATCH(COLUMNS($AO$1006:BK1006),$AO$1006:$BQ$1006,0)))),"Fix")))</f>
        <v>#N/A</v>
      </c>
      <c r="Y331" s="5" t="e">
        <f ca="1">IF(OR(INDEX($AI$2:$AI$1001,MATCH(ROWS($AH$2:AH331),$AH$2:$AH$1001,0),1)&gt;=100000,INDEX($AO$1005:$BQ$1005,1,MATCH(COLUMNS($AO$1006:BL1006),$AO$1006:$BQ$1006,0))&gt;=100000), " ",IF(INDEX($AO$2:$BQ$1001,MATCH(ROWS($AH$2:AH331),$AH$2:$AH$1001,0),MATCH(COLUMNS($AO$1006:BL1006),$AO$1006:$BQ$1006,0)), HYPERLINK("#",""), HYPERLINK(CONCATENATE("#Metadata!", ADDRESS(INDEX($AJ$2:$AJ$1001,MATCH(ROWS($AH$2:AH331),$AH$2:$AH$1001,0),0), INDEX($AO$1004:$BQ$1004,1,MATCH(COLUMNS($AO$1006:BL1006),$AO$1006:$BQ$1006,0)))),"Fix")))</f>
        <v>#N/A</v>
      </c>
      <c r="Z331" s="5" t="e">
        <f ca="1">IF(OR(INDEX($AI$2:$AI$1001,MATCH(ROWS($AH$2:AH331),$AH$2:$AH$1001,0),1)&gt;=100000,INDEX($AO$1005:$BQ$1005,1,MATCH(COLUMNS($AO$1006:BM1006),$AO$1006:$BQ$1006,0))&gt;=100000), " ",IF(INDEX($AO$2:$BQ$1001,MATCH(ROWS($AH$2:AH331),$AH$2:$AH$1001,0),MATCH(COLUMNS($AO$1006:BM1006),$AO$1006:$BQ$1006,0)), HYPERLINK("#",""), HYPERLINK(CONCATENATE("#Metadata!", ADDRESS(INDEX($AJ$2:$AJ$1001,MATCH(ROWS($AH$2:AH331),$AH$2:$AH$1001,0),0), INDEX($AO$1004:$BQ$1004,1,MATCH(COLUMNS($AO$1006:BM1006),$AO$1006:$BQ$1006,0)))),"Fix")))</f>
        <v>#N/A</v>
      </c>
      <c r="AA331" s="5" t="e">
        <f ca="1">IF(OR(INDEX($AI$2:$AI$1001,MATCH(ROWS($AH$2:AH331),$AH$2:$AH$1001,0),1)&gt;=100000,INDEX($AO$1005:$BQ$1005,1,MATCH(COLUMNS($AO$1006:BN1006),$AO$1006:$BQ$1006,0))&gt;=100000), " ",IF(INDEX($AO$2:$BQ$1001,MATCH(ROWS($AH$2:AH331),$AH$2:$AH$1001,0),MATCH(COLUMNS($AO$1006:BN1006),$AO$1006:$BQ$1006,0)), HYPERLINK("#",""), HYPERLINK(CONCATENATE("#Metadata!", ADDRESS(INDEX($AJ$2:$AJ$1001,MATCH(ROWS($AH$2:AH331),$AH$2:$AH$1001,0),0), INDEX($AO$1004:$BQ$1004,1,MATCH(COLUMNS($AO$1006:BN1006),$AO$1006:$BQ$1006,0)))),"Fix")))</f>
        <v>#N/A</v>
      </c>
      <c r="AB331" s="5" t="e">
        <f ca="1">IF(OR(INDEX($AI$2:$AI$1001,MATCH(ROWS($AH$2:AH331),$AH$2:$AH$1001,0),1)&gt;=100000,INDEX($AO$1005:$BQ$1005,1,MATCH(COLUMNS($AO$1006:BO1006),$AO$1006:$BQ$1006,0))&gt;=100000), " ",IF(INDEX($AO$2:$BQ$1001,MATCH(ROWS($AH$2:AH331),$AH$2:$AH$1001,0),MATCH(COLUMNS($AO$1006:BO1006),$AO$1006:$BQ$1006,0)), HYPERLINK("#",""), HYPERLINK(CONCATENATE("#Metadata!", ADDRESS(INDEX($AJ$2:$AJ$1001,MATCH(ROWS($AH$2:AH331),$AH$2:$AH$1001,0),0), INDEX($AO$1004:$BQ$1004,1,MATCH(COLUMNS($AO$1006:BO1006),$AO$1006:$BQ$1006,0)))),"Fix")))</f>
        <v>#N/A</v>
      </c>
      <c r="AC331" s="5" t="e">
        <f ca="1">IF(OR(INDEX($AI$2:$AI$1001,MATCH(ROWS($AH$2:AH331),$AH$2:$AH$1001,0),1)&gt;=100000,INDEX($AO$1005:$BQ$1005,1,MATCH(COLUMNS($AO$1006:BP1006),$AO$1006:$BQ$1006,0))&gt;=100000), " ",IF(INDEX($AO$2:$BQ$1001,MATCH(ROWS($AH$2:AH331),$AH$2:$AH$1001,0),MATCH(COLUMNS($AO$1006:BP1006),$AO$1006:$BQ$1006,0)), HYPERLINK("#",""), HYPERLINK(CONCATENATE("#Metadata!", ADDRESS(INDEX($AJ$2:$AJ$1001,MATCH(ROWS($AH$2:AH331),$AH$2:$AH$1001,0),0), INDEX($AO$1004:$BQ$1004,1,MATCH(COLUMNS($AO$1006:BP1006),$AO$1006:$BQ$1006,0)))),"Fix")))</f>
        <v>#N/A</v>
      </c>
      <c r="AD331" s="5" t="e">
        <f ca="1">IF(OR(INDEX($AI$2:$AI$1001,MATCH(ROWS($AH$2:AH331),$AH$2:$AH$1001,0),1)&gt;=100000,INDEX($AO$1005:$BQ$1005,1,MATCH(COLUMNS($AO$1006:BQ1006),$AO$1006:$BQ$1006,0))&gt;=100000), " ",IF(INDEX($AO$2:$BQ$1001,MATCH(ROWS($AH$2:AH331),$AH$2:$AH$1001,0),MATCH(COLUMNS($AO$1006:BQ1006),$AO$1006:$BQ$1006,0)), HYPERLINK("#",""), HYPERLINK(CONCATENATE("#Metadata!", ADDRESS(INDEX($AJ$2:$AJ$1001,MATCH(ROWS($AH$2:AH331),$AH$2:$AH$1001,0),0), INDEX($AO$1004:$BQ$1004,1,MATCH(COLUMNS($AO$1006:BQ1006),$AO$1006:$BQ$1006,0)))),"Fix")))</f>
        <v>#REF!</v>
      </c>
      <c r="AH331">
        <f ca="1"/>
        <v>328</v>
      </c>
      <c r="AI331">
        <v>100331</v>
      </c>
      <c r="AJ331">
        <v>331</v>
      </c>
      <c r="AK331" t="b">
        <f t="shared" si="5"/>
        <v>1</v>
      </c>
      <c r="AL331" t="b">
        <f>COUNTBLANK(Metadata!B331:AD331)=COLUMNS(Metadata!B331:AD331)</f>
        <v>1</v>
      </c>
      <c r="AM331" t="str">
        <v/>
      </c>
      <c r="AO331" t="b">
        <f ca="1">AND(IF(Metadata!B331="",FALSE,TRUE),COUNTIF(Metadata!B:B, Metadata!B331) = 1,NOT(ISERROR(SUMPRODUCT(SEARCH(MID(Metadata!B331,ROW(INDIRECT("1:"&amp;LEN(Metadata!B331))), 1),"0123456789abcdefghijklmnopqrstuvwxyzABCDEFGHIJKLMNOPQRSTUVWXYZ.")))))</f>
        <v>0</v>
      </c>
      <c r="AP331" t="b">
        <f>IF(Metadata!C331="",FALSE,TRUE)</f>
        <v>0</v>
      </c>
      <c r="AQ331" t="b">
        <f>IF(Metadata!D331="",FALSE,TRUE)</f>
        <v>0</v>
      </c>
      <c r="AR331" t="b">
        <f ca="1">OR(AND(IF(Metadata!E331="",FALSE,TRUE),OR(EXACT(Metadata!E331,"not collected"),EXACT(Metadata!E331,"not provided"),EXACT(Metadata!E331,"restricted access"))),AND(IF(Metadata!E331="",FALSE,TRUE),AND(AND(IFERROR(INT(LEFT(Metadata!E331,4))&gt;1900,FALSE),IFERROR(INT(LEFT(Metadata!E331,4))&lt;=YEAR(NOW()),FALSE)), OR(MID(Metadata!E331,5,1)="", AND(AND(MID(Metadata!E331,5,1)="-",IFERROR(INT(MID(Metadata!E331,6,1))&gt;=0,FALSE),IFERROR(INT(MID(Metadata!E331,6,1))&lt;=1,FALSE),NOT(MID(Metadata!E331,7,1)=""),IFERROR(INT(MID(Metadata!E331,6,2))&gt;=1,FALSE),IFERROR(INT(MID(Metadata!E331,6,2))&lt;=12,FALSE)), OR(MID(Metadata!E331,8,1)="", AND(AND(MID(Metadata!E331,8,1)="-",IFERROR(INT(MID(Metadata!E331,9,1))&gt;=0,FALSE),IFERROR(INT(MID(Metadata!E331,9,1))&lt;=3,FALSE),NOT(MID(Metadata!E331,10,1)=""),IFERROR(INT(MID(Metadata!E331,9,2))&gt;=1,FALSE),IFERROR(INT(MID(Metadata!E331,9,2))&lt;=31,FALSE)), OR(MID(Metadata!E331,11,1)="", AND(AND(MID(Metadata!E331,11,1)=" ",IFERROR(INT(MID(Metadata!E331,12,1))&gt;=0,FALSE),IFERROR(INT(MID(Metadata!E331,12,1))&lt;=2,FALSE),NOT(MID(Metadata!E331,13,1)=""),IFERROR(INT(MID(Metadata!E331,12,2))&gt;=0,FALSE),IFERROR(INT(MID(Metadata!E331,12,2))&lt;=23,FALSE)), OR(MID(Metadata!E331,14,1)="", AND(AND(MID(Metadata!E331,14,1)=":",IFERROR(INT(MID(Metadata!E331,15,1))&gt;=0,FALSE),IFERROR(INT(MID(Metadata!E331,15,1))&lt;=5,FALSE),NOT(MID(Metadata!E331,16,1)=""),IFERROR(INT(MID(Metadata!E331,15,2))&gt;=0,FALSE),IFERROR(INT(MID(Metadata!E331,15,2))&lt;=59,FALSE)), OR(MID(Metadata!E331,17,1)="", AND(AND(MID(Metadata!E331,17,1)=":",IFERROR(INT(MID(Metadata!E331,18,1))&gt;=0,FALSE),IFERROR(INT(MID(Metadata!E331,18,1))&lt;=5,FALSE),NOT(MID(Metadata!E331,19,1)=""),IFERROR(INT(MID(Metadata!E331,18,2))&gt;=0,FALSE),IFERROR(INT(MID(Metadata!E331,18,2))&lt;=59,FALSE)), LEN(Metadata!E331)&lt;=19)))))))))))))</f>
        <v>0</v>
      </c>
      <c r="AS331" t="b">
        <f>IF(Metadata!F331="",FALSE,TRUE)</f>
        <v>0</v>
      </c>
      <c r="AT331" t="b">
        <f>OR(AND(IF(Metadata!G331="",FALSE,TRUE),OR(EXACT(Metadata!G331,"not collected"),EXACT(Metadata!G331,"not provided"))),AND(IF(Metadata!G331="",FALSE,TRUE),OR(EXACT(Metadata!G331,"TRUE"),EXACT(Metadata!G331,"FALSE"))))</f>
        <v>0</v>
      </c>
      <c r="AU331" t="b">
        <f>OR(AND(IF(Metadata!H331="",FALSE,TRUE),OR(EXACT(Metadata!H331,"not collected"),EXACT(Metadata!H331,"not provided"),EXACT(Metadata!H331,"restricted access"))),AND(IF(Metadata!H331="",FALSE,ISNUMBER(VALUE(Metadata!H331))),Metadata!H331&gt;=-413))</f>
        <v>0</v>
      </c>
      <c r="AV331" t="b">
        <f>AND(IF(Metadata!I331="",FALSE,TRUE),EXACT(Metadata!I331,"meters"))</f>
        <v>0</v>
      </c>
      <c r="AW331" t="b">
        <f>AND(IF(Metadata!J331="",FALSE,TRUE),EXACT(Metadata!J331,"free-living"))</f>
        <v>0</v>
      </c>
      <c r="AX331" t="b">
        <f>AND(IF(Metadata!K331="",FALSE,TRUE),OR(EXACT(Metadata!K331,"saline"),EXACT(Metadata!K331,"non-saline")))</f>
        <v>0</v>
      </c>
      <c r="AY331" t="b">
        <f>AND(IF(Metadata!L331="",FALSE,TRUE),OR(EXACT(Metadata!L331,"sub-surface (non-saline)"),EXACT(Metadata!L331,"surface (non-saline)"),EXACT(Metadata!L331,"water (non-saline)"),EXACT(Metadata!L331,"soil (non-saline)"),EXACT(Metadata!L331,"aerosol (non-saline)"),EXACT(Metadata!L331,"sediment (non-saline)"),EXACT(Metadata!L331,"surface (saline)"),EXACT(Metadata!L331,"water (saline)"),EXACT(Metadata!L331,"hypersaline (saline)"),EXACT(Metadata!L331,"aerosol (saline)"),EXACT(Metadata!L331,"sediment (saline)")))</f>
        <v>0</v>
      </c>
      <c r="AZ331" t="b">
        <f>IF(Metadata!M331="",FALSE,TRUE)</f>
        <v>0</v>
      </c>
      <c r="BA331" t="b">
        <f>IF(Metadata!N331="",FALSE,TRUE)</f>
        <v>0</v>
      </c>
      <c r="BB331" t="b">
        <f>IF(Metadata!O331="",FALSE,TRUE)</f>
        <v>0</v>
      </c>
      <c r="BC331" t="b">
        <f>AND(IF(Metadata!P331="",FALSE,TRUE),OR(EXACT(Metadata!P331,"air"),EXACT(Metadata!P331,"microbial mat/biofilm"),EXACT(Metadata!P331,"misc environment"),EXACT(Metadata!P331,"sediment"),EXACT(Metadata!P331,"soil"),EXACT(Metadata!P331,"wastewater/sludge"),EXACT(Metadata!P331,"water")))</f>
        <v>0</v>
      </c>
      <c r="BD331" t="b">
        <f>IF(Metadata!Q331="",FALSE,TRUE)</f>
        <v>0</v>
      </c>
      <c r="BE331" t="b">
        <f>IF(Metadata!R331="",FALSE,TRUE)</f>
        <v>0</v>
      </c>
      <c r="BF331" t="b">
        <f>OR(AND(IF(Metadata!S331="",FALSE,TRUE),OR(EXACT(Metadata!S331,"not collected"),EXACT(Metadata!S331,"not provided"),EXACT(Metadata!S331,"restricted access"))),AND(IF(Metadata!S331="",FALSE,ISNUMBER(VALUE(Metadata!S331))),Metadata!S331&gt;=-90,Metadata!S331&lt;=90))</f>
        <v>0</v>
      </c>
      <c r="BG331" t="b">
        <f>AND(IF(Metadata!T331="",FALSE,TRUE),EXACT(Metadata!T331,"Decimal degrees"))</f>
        <v>0</v>
      </c>
      <c r="BH331" t="b">
        <f>OR(AND(IF(Metadata!U331="",FALSE,TRUE),OR(EXACT(Metadata!U331,"not applicable"),EXACT(Metadata!U331,"not collected"))),IF(Metadata!U331="",FALSE,TRUE))</f>
        <v>0</v>
      </c>
      <c r="BI331" t="b">
        <f>OR(AND(IF(Metadata!V331="",FALSE,TRUE),OR(EXACT(Metadata!V331,"not collected"),EXACT(Metadata!V331,"not provided"),EXACT(Metadata!V331,"restricted access"))),AND(IF(Metadata!V331="",FALSE,ISNUMBER(VALUE(Metadata!V331))),Metadata!V331&gt;=-180,Metadata!V331&lt;=180))</f>
        <v>0</v>
      </c>
      <c r="BJ331" t="b">
        <f>AND(IF(Metadata!W331="",FALSE,TRUE),EXACT(Metadata!W331,"Decimal degrees"))</f>
        <v>0</v>
      </c>
      <c r="BK331" t="b">
        <f>IF(Metadata!X331="",FALSE,TRUE)</f>
        <v>0</v>
      </c>
      <c r="BL331" t="b">
        <f>OR(AND(IF(Metadata!Y331="",FALSE,TRUE),OR(EXACT(Metadata!Y331,"not collected"),EXACT(Metadata!Y331,"not provided"),EXACT(Metadata!Y331,"restricted access"))),AND(IF(Metadata!Y331="",FALSE,TRUE),OR(EXACT(Metadata!Y331,"TRUE"),EXACT(Metadata!Y331,"FALSE"))))</f>
        <v>0</v>
      </c>
      <c r="BM331" t="b">
        <f>OR(AND(IF(Metadata!Z331="",FALSE,TRUE),EXACT(Metadata!Z331,"not applicable")),AND(IF(Metadata!Z331="",FALSE,TRUE),OR(EXACT(Metadata!Z331,"beer"),EXACT(Metadata!Z331,"cheese"),EXACT(Metadata!Z331,"fresh water"),EXACT(Metadata!Z331,"marine sediment"),EXACT(Metadata!Z331,"sea water"),EXACT(Metadata!Z331,"sediment"),EXACT(Metadata!Z331,"soil"),EXACT(Metadata!Z331,"waste water"))))</f>
        <v>0</v>
      </c>
      <c r="BN331" t="b">
        <f>AND(IF(Metadata!AA331="",FALSE,TRUE),EXACT(Metadata!AA331,"metagenome"))</f>
        <v>0</v>
      </c>
      <c r="BO331" t="b">
        <f>AND(IF(Metadata!AB331="",FALSE,TRUE),EXACT(Metadata!AB331,"256318"))</f>
        <v>0</v>
      </c>
      <c r="BP331" t="b">
        <f>IF(Metadata!AC331="",FALSE,TRUE)</f>
        <v>0</v>
      </c>
      <c r="BQ331" t="b">
        <f>IF(Metadata!AD331="",FALSE,TRUE)</f>
        <v>0</v>
      </c>
    </row>
    <row r="332" spans="1:69" x14ac:dyDescent="0.2">
      <c r="A332" s="4" t="e">
        <f ca="1">IF(B332=" "," ",HYPERLINK(CONCATENATE("#metadata!",ADDRESS(INDEX($AJ$2:$AJ$1001,MATCH(ROWS($AH$2:AH332),$AH$2:$AH$1001,0),0),2)),INDEX($AM$2:$AM$1001,MATCH(ROWS($AH$2:AH332),$AH$2:$AH$1001,0),0)))</f>
        <v>#N/A</v>
      </c>
      <c r="B332" s="5" t="e">
        <f ca="1">IF(OR(INDEX($AI$2:$AI$1001,MATCH(ROWS($AH$2:AH332),$AH$2:$AH$1001,0),1)&gt;=100000,INDEX($AO$1005:$BQ$1005,1,MATCH(COLUMNS($AO$1006:AO1006),$AO$1006:$BQ$1006,0))&gt;=100000), " ",IF(INDEX($AO$2:$BQ$1001,MATCH(ROWS($AH$2:AH332),$AH$2:$AH$1001,0),MATCH(COLUMNS($AO$1006:AO1006),$AO$1006:$BQ$1006,0)), HYPERLINK("#",""), HYPERLINK(CONCATENATE("#Metadata!", ADDRESS(INDEX($AJ$2:$AJ$1001,MATCH(ROWS($AH$2:AH332),$AH$2:$AH$1001,0),0), INDEX($AO$1004:$BQ$1004,1,MATCH(COLUMNS($AO$1006:AO1006),$AO$1006:$BQ$1006,0)))),"Fix")))</f>
        <v>#N/A</v>
      </c>
      <c r="C332" s="5" t="e">
        <f ca="1">IF(OR(INDEX($AI$2:$AI$1001,MATCH(ROWS($AH$2:AH332),$AH$2:$AH$1001,0),1)&gt;=100000,INDEX($AO$1005:$BQ$1005,1,MATCH(COLUMNS($AO$1006:AP1006),$AO$1006:$BQ$1006,0))&gt;=100000), " ",IF(INDEX($AO$2:$BQ$1001,MATCH(ROWS($AH$2:AH332),$AH$2:$AH$1001,0),MATCH(COLUMNS($AO$1006:AP1006),$AO$1006:$BQ$1006,0)), HYPERLINK("#",""), HYPERLINK(CONCATENATE("#Metadata!", ADDRESS(INDEX($AJ$2:$AJ$1001,MATCH(ROWS($AH$2:AH332),$AH$2:$AH$1001,0),0), INDEX($AO$1004:$BQ$1004,1,MATCH(COLUMNS($AO$1006:AP1006),$AO$1006:$BQ$1006,0)))),"Fix")))</f>
        <v>#N/A</v>
      </c>
      <c r="D332" s="5" t="e">
        <f ca="1">IF(OR(INDEX($AI$2:$AI$1001,MATCH(ROWS($AH$2:AH332),$AH$2:$AH$1001,0),1)&gt;=100000,INDEX($AO$1005:$BQ$1005,1,MATCH(COLUMNS($AO$1006:AQ1006),$AO$1006:$BQ$1006,0))&gt;=100000), " ",IF(INDEX($AO$2:$BQ$1001,MATCH(ROWS($AH$2:AH332),$AH$2:$AH$1001,0),MATCH(COLUMNS($AO$1006:AQ1006),$AO$1006:$BQ$1006,0)), HYPERLINK("#",""), HYPERLINK(CONCATENATE("#Metadata!", ADDRESS(INDEX($AJ$2:$AJ$1001,MATCH(ROWS($AH$2:AH332),$AH$2:$AH$1001,0),0), INDEX($AO$1004:$BQ$1004,1,MATCH(COLUMNS($AO$1006:AQ1006),$AO$1006:$BQ$1006,0)))),"Fix")))</f>
        <v>#N/A</v>
      </c>
      <c r="E332" s="5" t="e">
        <f ca="1">IF(OR(INDEX($AI$2:$AI$1001,MATCH(ROWS($AH$2:AH332),$AH$2:$AH$1001,0),1)&gt;=100000,INDEX($AO$1005:$BQ$1005,1,MATCH(COLUMNS($AO$1006:AR1006),$AO$1006:$BQ$1006,0))&gt;=100000), " ",IF(INDEX($AO$2:$BQ$1001,MATCH(ROWS($AH$2:AH332),$AH$2:$AH$1001,0),MATCH(COLUMNS($AO$1006:AR1006),$AO$1006:$BQ$1006,0)), HYPERLINK("#",""), HYPERLINK(CONCATENATE("#Metadata!", ADDRESS(INDEX($AJ$2:$AJ$1001,MATCH(ROWS($AH$2:AH332),$AH$2:$AH$1001,0),0), INDEX($AO$1004:$BQ$1004,1,MATCH(COLUMNS($AO$1006:AR1006),$AO$1006:$BQ$1006,0)))),"Fix")))</f>
        <v>#N/A</v>
      </c>
      <c r="F332" s="5" t="e">
        <f ca="1">IF(OR(INDEX($AI$2:$AI$1001,MATCH(ROWS($AH$2:AH332),$AH$2:$AH$1001,0),1)&gt;=100000,INDEX($AO$1005:$BQ$1005,1,MATCH(COLUMNS($AO$1006:AS1006),$AO$1006:$BQ$1006,0))&gt;=100000), " ",IF(INDEX($AO$2:$BQ$1001,MATCH(ROWS($AH$2:AH332),$AH$2:$AH$1001,0),MATCH(COLUMNS($AO$1006:AS1006),$AO$1006:$BQ$1006,0)), HYPERLINK("#",""), HYPERLINK(CONCATENATE("#Metadata!", ADDRESS(INDEX($AJ$2:$AJ$1001,MATCH(ROWS($AH$2:AH332),$AH$2:$AH$1001,0),0), INDEX($AO$1004:$BQ$1004,1,MATCH(COLUMNS($AO$1006:AS1006),$AO$1006:$BQ$1006,0)))),"Fix")))</f>
        <v>#N/A</v>
      </c>
      <c r="G332" s="5" t="e">
        <f ca="1">IF(OR(INDEX($AI$2:$AI$1001,MATCH(ROWS($AH$2:AH332),$AH$2:$AH$1001,0),1)&gt;=100000,INDEX($AO$1005:$BQ$1005,1,MATCH(COLUMNS($AO$1006:AT1006),$AO$1006:$BQ$1006,0))&gt;=100000), " ",IF(INDEX($AO$2:$BQ$1001,MATCH(ROWS($AH$2:AH332),$AH$2:$AH$1001,0),MATCH(COLUMNS($AO$1006:AT1006),$AO$1006:$BQ$1006,0)), HYPERLINK("#",""), HYPERLINK(CONCATENATE("#Metadata!", ADDRESS(INDEX($AJ$2:$AJ$1001,MATCH(ROWS($AH$2:AH332),$AH$2:$AH$1001,0),0), INDEX($AO$1004:$BQ$1004,1,MATCH(COLUMNS($AO$1006:AT1006),$AO$1006:$BQ$1006,0)))),"Fix")))</f>
        <v>#N/A</v>
      </c>
      <c r="H332" s="5" t="e">
        <f ca="1">IF(OR(INDEX($AI$2:$AI$1001,MATCH(ROWS($AH$2:AH332),$AH$2:$AH$1001,0),1)&gt;=100000,INDEX($AO$1005:$BQ$1005,1,MATCH(COLUMNS($AO$1006:AU1006),$AO$1006:$BQ$1006,0))&gt;=100000), " ",IF(INDEX($AO$2:$BQ$1001,MATCH(ROWS($AH$2:AH332),$AH$2:$AH$1001,0),MATCH(COLUMNS($AO$1006:AU1006),$AO$1006:$BQ$1006,0)), HYPERLINK("#",""), HYPERLINK(CONCATENATE("#Metadata!", ADDRESS(INDEX($AJ$2:$AJ$1001,MATCH(ROWS($AH$2:AH332),$AH$2:$AH$1001,0),0), INDEX($AO$1004:$BQ$1004,1,MATCH(COLUMNS($AO$1006:AU1006),$AO$1006:$BQ$1006,0)))),"Fix")))</f>
        <v>#N/A</v>
      </c>
      <c r="I332" s="5" t="e">
        <f ca="1">IF(OR(INDEX($AI$2:$AI$1001,MATCH(ROWS($AH$2:AH332),$AH$2:$AH$1001,0),1)&gt;=100000,INDEX($AO$1005:$BQ$1005,1,MATCH(COLUMNS($AO$1006:AV1006),$AO$1006:$BQ$1006,0))&gt;=100000), " ",IF(INDEX($AO$2:$BQ$1001,MATCH(ROWS($AH$2:AH332),$AH$2:$AH$1001,0),MATCH(COLUMNS($AO$1006:AV1006),$AO$1006:$BQ$1006,0)), HYPERLINK("#",""), HYPERLINK(CONCATENATE("#Metadata!", ADDRESS(INDEX($AJ$2:$AJ$1001,MATCH(ROWS($AH$2:AH332),$AH$2:$AH$1001,0),0), INDEX($AO$1004:$BQ$1004,1,MATCH(COLUMNS($AO$1006:AV1006),$AO$1006:$BQ$1006,0)))),"Fix")))</f>
        <v>#N/A</v>
      </c>
      <c r="J332" s="5" t="e">
        <f ca="1">IF(OR(INDEX($AI$2:$AI$1001,MATCH(ROWS($AH$2:AH332),$AH$2:$AH$1001,0),1)&gt;=100000,INDEX($AO$1005:$BQ$1005,1,MATCH(COLUMNS($AO$1006:AW1006),$AO$1006:$BQ$1006,0))&gt;=100000), " ",IF(INDEX($AO$2:$BQ$1001,MATCH(ROWS($AH$2:AH332),$AH$2:$AH$1001,0),MATCH(COLUMNS($AO$1006:AW1006),$AO$1006:$BQ$1006,0)), HYPERLINK("#",""), HYPERLINK(CONCATENATE("#Metadata!", ADDRESS(INDEX($AJ$2:$AJ$1001,MATCH(ROWS($AH$2:AH332),$AH$2:$AH$1001,0),0), INDEX($AO$1004:$BQ$1004,1,MATCH(COLUMNS($AO$1006:AW1006),$AO$1006:$BQ$1006,0)))),"Fix")))</f>
        <v>#N/A</v>
      </c>
      <c r="K332" s="5" t="e">
        <f ca="1">IF(OR(INDEX($AI$2:$AI$1001,MATCH(ROWS($AH$2:AH332),$AH$2:$AH$1001,0),1)&gt;=100000,INDEX($AO$1005:$BQ$1005,1,MATCH(COLUMNS($AO$1006:AX1006),$AO$1006:$BQ$1006,0))&gt;=100000), " ",IF(INDEX($AO$2:$BQ$1001,MATCH(ROWS($AH$2:AH332),$AH$2:$AH$1001,0),MATCH(COLUMNS($AO$1006:AX1006),$AO$1006:$BQ$1006,0)), HYPERLINK("#",""), HYPERLINK(CONCATENATE("#Metadata!", ADDRESS(INDEX($AJ$2:$AJ$1001,MATCH(ROWS($AH$2:AH332),$AH$2:$AH$1001,0),0), INDEX($AO$1004:$BQ$1004,1,MATCH(COLUMNS($AO$1006:AX1006),$AO$1006:$BQ$1006,0)))),"Fix")))</f>
        <v>#N/A</v>
      </c>
      <c r="L332" s="5" t="e">
        <f ca="1">IF(OR(INDEX($AI$2:$AI$1001,MATCH(ROWS($AH$2:AH332),$AH$2:$AH$1001,0),1)&gt;=100000,INDEX($AO$1005:$BQ$1005,1,MATCH(COLUMNS($AO$1006:AY1006),$AO$1006:$BQ$1006,0))&gt;=100000), " ",IF(INDEX($AO$2:$BQ$1001,MATCH(ROWS($AH$2:AH332),$AH$2:$AH$1001,0),MATCH(COLUMNS($AO$1006:AY1006),$AO$1006:$BQ$1006,0)), HYPERLINK("#",""), HYPERLINK(CONCATENATE("#Metadata!", ADDRESS(INDEX($AJ$2:$AJ$1001,MATCH(ROWS($AH$2:AH332),$AH$2:$AH$1001,0),0), INDEX($AO$1004:$BQ$1004,1,MATCH(COLUMNS($AO$1006:AY1006),$AO$1006:$BQ$1006,0)))),"Fix")))</f>
        <v>#N/A</v>
      </c>
      <c r="M332" s="5" t="e">
        <f ca="1">IF(OR(INDEX($AI$2:$AI$1001,MATCH(ROWS($AH$2:AH332),$AH$2:$AH$1001,0),1)&gt;=100000,INDEX($AO$1005:$BQ$1005,1,MATCH(COLUMNS($AO$1006:AZ1006),$AO$1006:$BQ$1006,0))&gt;=100000), " ",IF(INDEX($AO$2:$BQ$1001,MATCH(ROWS($AH$2:AH332),$AH$2:$AH$1001,0),MATCH(COLUMNS($AO$1006:AZ1006),$AO$1006:$BQ$1006,0)), HYPERLINK("#",""), HYPERLINK(CONCATENATE("#Metadata!", ADDRESS(INDEX($AJ$2:$AJ$1001,MATCH(ROWS($AH$2:AH332),$AH$2:$AH$1001,0),0), INDEX($AO$1004:$BQ$1004,1,MATCH(COLUMNS($AO$1006:AZ1006),$AO$1006:$BQ$1006,0)))),"Fix")))</f>
        <v>#N/A</v>
      </c>
      <c r="N332" s="5" t="e">
        <f ca="1">IF(OR(INDEX($AI$2:$AI$1001,MATCH(ROWS($AH$2:AH332),$AH$2:$AH$1001,0),1)&gt;=100000,INDEX($AO$1005:$BQ$1005,1,MATCH(COLUMNS($AO$1006:BA1006),$AO$1006:$BQ$1006,0))&gt;=100000), " ",IF(INDEX($AO$2:$BQ$1001,MATCH(ROWS($AH$2:AH332),$AH$2:$AH$1001,0),MATCH(COLUMNS($AO$1006:BA1006),$AO$1006:$BQ$1006,0)), HYPERLINK("#",""), HYPERLINK(CONCATENATE("#Metadata!", ADDRESS(INDEX($AJ$2:$AJ$1001,MATCH(ROWS($AH$2:AH332),$AH$2:$AH$1001,0),0), INDEX($AO$1004:$BQ$1004,1,MATCH(COLUMNS($AO$1006:BA1006),$AO$1006:$BQ$1006,0)))),"Fix")))</f>
        <v>#N/A</v>
      </c>
      <c r="O332" s="5" t="e">
        <f ca="1">IF(OR(INDEX($AI$2:$AI$1001,MATCH(ROWS($AH$2:AH332),$AH$2:$AH$1001,0),1)&gt;=100000,INDEX($AO$1005:$BQ$1005,1,MATCH(COLUMNS($AO$1006:BB1006),$AO$1006:$BQ$1006,0))&gt;=100000), " ",IF(INDEX($AO$2:$BQ$1001,MATCH(ROWS($AH$2:AH332),$AH$2:$AH$1001,0),MATCH(COLUMNS($AO$1006:BB1006),$AO$1006:$BQ$1006,0)), HYPERLINK("#",""), HYPERLINK(CONCATENATE("#Metadata!", ADDRESS(INDEX($AJ$2:$AJ$1001,MATCH(ROWS($AH$2:AH332),$AH$2:$AH$1001,0),0), INDEX($AO$1004:$BQ$1004,1,MATCH(COLUMNS($AO$1006:BB1006),$AO$1006:$BQ$1006,0)))),"Fix")))</f>
        <v>#N/A</v>
      </c>
      <c r="P332" s="5" t="e">
        <f ca="1">IF(OR(INDEX($AI$2:$AI$1001,MATCH(ROWS($AH$2:AH332),$AH$2:$AH$1001,0),1)&gt;=100000,INDEX($AO$1005:$BQ$1005,1,MATCH(COLUMNS($AO$1006:BC1006),$AO$1006:$BQ$1006,0))&gt;=100000), " ",IF(INDEX($AO$2:$BQ$1001,MATCH(ROWS($AH$2:AH332),$AH$2:$AH$1001,0),MATCH(COLUMNS($AO$1006:BC1006),$AO$1006:$BQ$1006,0)), HYPERLINK("#",""), HYPERLINK(CONCATENATE("#Metadata!", ADDRESS(INDEX($AJ$2:$AJ$1001,MATCH(ROWS($AH$2:AH332),$AH$2:$AH$1001,0),0), INDEX($AO$1004:$BQ$1004,1,MATCH(COLUMNS($AO$1006:BC1006),$AO$1006:$BQ$1006,0)))),"Fix")))</f>
        <v>#N/A</v>
      </c>
      <c r="Q332" s="5" t="e">
        <f ca="1">IF(OR(INDEX($AI$2:$AI$1001,MATCH(ROWS($AH$2:AH332),$AH$2:$AH$1001,0),1)&gt;=100000,INDEX($AO$1005:$BQ$1005,1,MATCH(COLUMNS($AO$1006:BD1006),$AO$1006:$BQ$1006,0))&gt;=100000), " ",IF(INDEX($AO$2:$BQ$1001,MATCH(ROWS($AH$2:AH332),$AH$2:$AH$1001,0),MATCH(COLUMNS($AO$1006:BD1006),$AO$1006:$BQ$1006,0)), HYPERLINK("#",""), HYPERLINK(CONCATENATE("#Metadata!", ADDRESS(INDEX($AJ$2:$AJ$1001,MATCH(ROWS($AH$2:AH332),$AH$2:$AH$1001,0),0), INDEX($AO$1004:$BQ$1004,1,MATCH(COLUMNS($AO$1006:BD1006),$AO$1006:$BQ$1006,0)))),"Fix")))</f>
        <v>#N/A</v>
      </c>
      <c r="R332" s="5" t="e">
        <f ca="1">IF(OR(INDEX($AI$2:$AI$1001,MATCH(ROWS($AH$2:AH332),$AH$2:$AH$1001,0),1)&gt;=100000,INDEX($AO$1005:$BQ$1005,1,MATCH(COLUMNS($AO$1006:BE1006),$AO$1006:$BQ$1006,0))&gt;=100000), " ",IF(INDEX($AO$2:$BQ$1001,MATCH(ROWS($AH$2:AH332),$AH$2:$AH$1001,0),MATCH(COLUMNS($AO$1006:BE1006),$AO$1006:$BQ$1006,0)), HYPERLINK("#",""), HYPERLINK(CONCATENATE("#Metadata!", ADDRESS(INDEX($AJ$2:$AJ$1001,MATCH(ROWS($AH$2:AH332),$AH$2:$AH$1001,0),0), INDEX($AO$1004:$BQ$1004,1,MATCH(COLUMNS($AO$1006:BE1006),$AO$1006:$BQ$1006,0)))),"Fix")))</f>
        <v>#N/A</v>
      </c>
      <c r="S332" s="5" t="e">
        <f ca="1">IF(OR(INDEX($AI$2:$AI$1001,MATCH(ROWS($AH$2:AH332),$AH$2:$AH$1001,0),1)&gt;=100000,INDEX($AO$1005:$BQ$1005,1,MATCH(COLUMNS($AO$1006:BF1006),$AO$1006:$BQ$1006,0))&gt;=100000), " ",IF(INDEX($AO$2:$BQ$1001,MATCH(ROWS($AH$2:AH332),$AH$2:$AH$1001,0),MATCH(COLUMNS($AO$1006:BF1006),$AO$1006:$BQ$1006,0)), HYPERLINK("#",""), HYPERLINK(CONCATENATE("#Metadata!", ADDRESS(INDEX($AJ$2:$AJ$1001,MATCH(ROWS($AH$2:AH332),$AH$2:$AH$1001,0),0), INDEX($AO$1004:$BQ$1004,1,MATCH(COLUMNS($AO$1006:BF1006),$AO$1006:$BQ$1006,0)))),"Fix")))</f>
        <v>#N/A</v>
      </c>
      <c r="T332" s="5" t="e">
        <f ca="1">IF(OR(INDEX($AI$2:$AI$1001,MATCH(ROWS($AH$2:AH332),$AH$2:$AH$1001,0),1)&gt;=100000,INDEX($AO$1005:$BQ$1005,1,MATCH(COLUMNS($AO$1006:BG1006),$AO$1006:$BQ$1006,0))&gt;=100000), " ",IF(INDEX($AO$2:$BQ$1001,MATCH(ROWS($AH$2:AH332),$AH$2:$AH$1001,0),MATCH(COLUMNS($AO$1006:BG1006),$AO$1006:$BQ$1006,0)), HYPERLINK("#",""), HYPERLINK(CONCATENATE("#Metadata!", ADDRESS(INDEX($AJ$2:$AJ$1001,MATCH(ROWS($AH$2:AH332),$AH$2:$AH$1001,0),0), INDEX($AO$1004:$BQ$1004,1,MATCH(COLUMNS($AO$1006:BG1006),$AO$1006:$BQ$1006,0)))),"Fix")))</f>
        <v>#N/A</v>
      </c>
      <c r="U332" s="5" t="e">
        <f ca="1">IF(OR(INDEX($AI$2:$AI$1001,MATCH(ROWS($AH$2:AH332),$AH$2:$AH$1001,0),1)&gt;=100000,INDEX($AO$1005:$BQ$1005,1,MATCH(COLUMNS($AO$1006:BH1006),$AO$1006:$BQ$1006,0))&gt;=100000), " ",IF(INDEX($AO$2:$BQ$1001,MATCH(ROWS($AH$2:AH332),$AH$2:$AH$1001,0),MATCH(COLUMNS($AO$1006:BH1006),$AO$1006:$BQ$1006,0)), HYPERLINK("#",""), HYPERLINK(CONCATENATE("#Metadata!", ADDRESS(INDEX($AJ$2:$AJ$1001,MATCH(ROWS($AH$2:AH332),$AH$2:$AH$1001,0),0), INDEX($AO$1004:$BQ$1004,1,MATCH(COLUMNS($AO$1006:BH1006),$AO$1006:$BQ$1006,0)))),"Fix")))</f>
        <v>#N/A</v>
      </c>
      <c r="V332" s="5" t="e">
        <f ca="1">IF(OR(INDEX($AI$2:$AI$1001,MATCH(ROWS($AH$2:AH332),$AH$2:$AH$1001,0),1)&gt;=100000,INDEX($AO$1005:$BQ$1005,1,MATCH(COLUMNS($AO$1006:BI1006),$AO$1006:$BQ$1006,0))&gt;=100000), " ",IF(INDEX($AO$2:$BQ$1001,MATCH(ROWS($AH$2:AH332),$AH$2:$AH$1001,0),MATCH(COLUMNS($AO$1006:BI1006),$AO$1006:$BQ$1006,0)), HYPERLINK("#",""), HYPERLINK(CONCATENATE("#Metadata!", ADDRESS(INDEX($AJ$2:$AJ$1001,MATCH(ROWS($AH$2:AH332),$AH$2:$AH$1001,0),0), INDEX($AO$1004:$BQ$1004,1,MATCH(COLUMNS($AO$1006:BI1006),$AO$1006:$BQ$1006,0)))),"Fix")))</f>
        <v>#N/A</v>
      </c>
      <c r="W332" s="5" t="e">
        <f ca="1">IF(OR(INDEX($AI$2:$AI$1001,MATCH(ROWS($AH$2:AH332),$AH$2:$AH$1001,0),1)&gt;=100000,INDEX($AO$1005:$BQ$1005,1,MATCH(COLUMNS($AO$1006:BJ1006),$AO$1006:$BQ$1006,0))&gt;=100000), " ",IF(INDEX($AO$2:$BQ$1001,MATCH(ROWS($AH$2:AH332),$AH$2:$AH$1001,0),MATCH(COLUMNS($AO$1006:BJ1006),$AO$1006:$BQ$1006,0)), HYPERLINK("#",""), HYPERLINK(CONCATENATE("#Metadata!", ADDRESS(INDEX($AJ$2:$AJ$1001,MATCH(ROWS($AH$2:AH332),$AH$2:$AH$1001,0),0), INDEX($AO$1004:$BQ$1004,1,MATCH(COLUMNS($AO$1006:BJ1006),$AO$1006:$BQ$1006,0)))),"Fix")))</f>
        <v>#N/A</v>
      </c>
      <c r="X332" s="5" t="e">
        <f ca="1">IF(OR(INDEX($AI$2:$AI$1001,MATCH(ROWS($AH$2:AH332),$AH$2:$AH$1001,0),1)&gt;=100000,INDEX($AO$1005:$BQ$1005,1,MATCH(COLUMNS($AO$1006:BK1006),$AO$1006:$BQ$1006,0))&gt;=100000), " ",IF(INDEX($AO$2:$BQ$1001,MATCH(ROWS($AH$2:AH332),$AH$2:$AH$1001,0),MATCH(COLUMNS($AO$1006:BK1006),$AO$1006:$BQ$1006,0)), HYPERLINK("#",""), HYPERLINK(CONCATENATE("#Metadata!", ADDRESS(INDEX($AJ$2:$AJ$1001,MATCH(ROWS($AH$2:AH332),$AH$2:$AH$1001,0),0), INDEX($AO$1004:$BQ$1004,1,MATCH(COLUMNS($AO$1006:BK1006),$AO$1006:$BQ$1006,0)))),"Fix")))</f>
        <v>#N/A</v>
      </c>
      <c r="Y332" s="5" t="e">
        <f ca="1">IF(OR(INDEX($AI$2:$AI$1001,MATCH(ROWS($AH$2:AH332),$AH$2:$AH$1001,0),1)&gt;=100000,INDEX($AO$1005:$BQ$1005,1,MATCH(COLUMNS($AO$1006:BL1006),$AO$1006:$BQ$1006,0))&gt;=100000), " ",IF(INDEX($AO$2:$BQ$1001,MATCH(ROWS($AH$2:AH332),$AH$2:$AH$1001,0),MATCH(COLUMNS($AO$1006:BL1006),$AO$1006:$BQ$1006,0)), HYPERLINK("#",""), HYPERLINK(CONCATENATE("#Metadata!", ADDRESS(INDEX($AJ$2:$AJ$1001,MATCH(ROWS($AH$2:AH332),$AH$2:$AH$1001,0),0), INDEX($AO$1004:$BQ$1004,1,MATCH(COLUMNS($AO$1006:BL1006),$AO$1006:$BQ$1006,0)))),"Fix")))</f>
        <v>#N/A</v>
      </c>
      <c r="Z332" s="5" t="e">
        <f ca="1">IF(OR(INDEX($AI$2:$AI$1001,MATCH(ROWS($AH$2:AH332),$AH$2:$AH$1001,0),1)&gt;=100000,INDEX($AO$1005:$BQ$1005,1,MATCH(COLUMNS($AO$1006:BM1006),$AO$1006:$BQ$1006,0))&gt;=100000), " ",IF(INDEX($AO$2:$BQ$1001,MATCH(ROWS($AH$2:AH332),$AH$2:$AH$1001,0),MATCH(COLUMNS($AO$1006:BM1006),$AO$1006:$BQ$1006,0)), HYPERLINK("#",""), HYPERLINK(CONCATENATE("#Metadata!", ADDRESS(INDEX($AJ$2:$AJ$1001,MATCH(ROWS($AH$2:AH332),$AH$2:$AH$1001,0),0), INDEX($AO$1004:$BQ$1004,1,MATCH(COLUMNS($AO$1006:BM1006),$AO$1006:$BQ$1006,0)))),"Fix")))</f>
        <v>#N/A</v>
      </c>
      <c r="AA332" s="5" t="e">
        <f ca="1">IF(OR(INDEX($AI$2:$AI$1001,MATCH(ROWS($AH$2:AH332),$AH$2:$AH$1001,0),1)&gt;=100000,INDEX($AO$1005:$BQ$1005,1,MATCH(COLUMNS($AO$1006:BN1006),$AO$1006:$BQ$1006,0))&gt;=100000), " ",IF(INDEX($AO$2:$BQ$1001,MATCH(ROWS($AH$2:AH332),$AH$2:$AH$1001,0),MATCH(COLUMNS($AO$1006:BN1006),$AO$1006:$BQ$1006,0)), HYPERLINK("#",""), HYPERLINK(CONCATENATE("#Metadata!", ADDRESS(INDEX($AJ$2:$AJ$1001,MATCH(ROWS($AH$2:AH332),$AH$2:$AH$1001,0),0), INDEX($AO$1004:$BQ$1004,1,MATCH(COLUMNS($AO$1006:BN1006),$AO$1006:$BQ$1006,0)))),"Fix")))</f>
        <v>#N/A</v>
      </c>
      <c r="AB332" s="5" t="e">
        <f ca="1">IF(OR(INDEX($AI$2:$AI$1001,MATCH(ROWS($AH$2:AH332),$AH$2:$AH$1001,0),1)&gt;=100000,INDEX($AO$1005:$BQ$1005,1,MATCH(COLUMNS($AO$1006:BO1006),$AO$1006:$BQ$1006,0))&gt;=100000), " ",IF(INDEX($AO$2:$BQ$1001,MATCH(ROWS($AH$2:AH332),$AH$2:$AH$1001,0),MATCH(COLUMNS($AO$1006:BO1006),$AO$1006:$BQ$1006,0)), HYPERLINK("#",""), HYPERLINK(CONCATENATE("#Metadata!", ADDRESS(INDEX($AJ$2:$AJ$1001,MATCH(ROWS($AH$2:AH332),$AH$2:$AH$1001,0),0), INDEX($AO$1004:$BQ$1004,1,MATCH(COLUMNS($AO$1006:BO1006),$AO$1006:$BQ$1006,0)))),"Fix")))</f>
        <v>#N/A</v>
      </c>
      <c r="AC332" s="5" t="e">
        <f ca="1">IF(OR(INDEX($AI$2:$AI$1001,MATCH(ROWS($AH$2:AH332),$AH$2:$AH$1001,0),1)&gt;=100000,INDEX($AO$1005:$BQ$1005,1,MATCH(COLUMNS($AO$1006:BP1006),$AO$1006:$BQ$1006,0))&gt;=100000), " ",IF(INDEX($AO$2:$BQ$1001,MATCH(ROWS($AH$2:AH332),$AH$2:$AH$1001,0),MATCH(COLUMNS($AO$1006:BP1006),$AO$1006:$BQ$1006,0)), HYPERLINK("#",""), HYPERLINK(CONCATENATE("#Metadata!", ADDRESS(INDEX($AJ$2:$AJ$1001,MATCH(ROWS($AH$2:AH332),$AH$2:$AH$1001,0),0), INDEX($AO$1004:$BQ$1004,1,MATCH(COLUMNS($AO$1006:BP1006),$AO$1006:$BQ$1006,0)))),"Fix")))</f>
        <v>#N/A</v>
      </c>
      <c r="AD332" s="5" t="e">
        <f ca="1">IF(OR(INDEX($AI$2:$AI$1001,MATCH(ROWS($AH$2:AH332),$AH$2:$AH$1001,0),1)&gt;=100000,INDEX($AO$1005:$BQ$1005,1,MATCH(COLUMNS($AO$1006:BQ1006),$AO$1006:$BQ$1006,0))&gt;=100000), " ",IF(INDEX($AO$2:$BQ$1001,MATCH(ROWS($AH$2:AH332),$AH$2:$AH$1001,0),MATCH(COLUMNS($AO$1006:BQ1006),$AO$1006:$BQ$1006,0)), HYPERLINK("#",""), HYPERLINK(CONCATENATE("#Metadata!", ADDRESS(INDEX($AJ$2:$AJ$1001,MATCH(ROWS($AH$2:AH332),$AH$2:$AH$1001,0),0), INDEX($AO$1004:$BQ$1004,1,MATCH(COLUMNS($AO$1006:BQ1006),$AO$1006:$BQ$1006,0)))),"Fix")))</f>
        <v>#REF!</v>
      </c>
      <c r="AH332">
        <f ca="1"/>
        <v>329</v>
      </c>
      <c r="AI332">
        <v>100332</v>
      </c>
      <c r="AJ332">
        <v>332</v>
      </c>
      <c r="AK332" t="b">
        <f t="shared" si="5"/>
        <v>1</v>
      </c>
      <c r="AL332" t="b">
        <f>COUNTBLANK(Metadata!B332:AD332)=COLUMNS(Metadata!B332:AD332)</f>
        <v>1</v>
      </c>
      <c r="AM332" t="str">
        <v/>
      </c>
      <c r="AO332" t="b">
        <f ca="1">AND(IF(Metadata!B332="",FALSE,TRUE),COUNTIF(Metadata!B:B, Metadata!B332) = 1,NOT(ISERROR(SUMPRODUCT(SEARCH(MID(Metadata!B332,ROW(INDIRECT("1:"&amp;LEN(Metadata!B332))), 1),"0123456789abcdefghijklmnopqrstuvwxyzABCDEFGHIJKLMNOPQRSTUVWXYZ.")))))</f>
        <v>0</v>
      </c>
      <c r="AP332" t="b">
        <f>IF(Metadata!C332="",FALSE,TRUE)</f>
        <v>0</v>
      </c>
      <c r="AQ332" t="b">
        <f>IF(Metadata!D332="",FALSE,TRUE)</f>
        <v>0</v>
      </c>
      <c r="AR332" t="b">
        <f ca="1">OR(AND(IF(Metadata!E332="",FALSE,TRUE),OR(EXACT(Metadata!E332,"not collected"),EXACT(Metadata!E332,"not provided"),EXACT(Metadata!E332,"restricted access"))),AND(IF(Metadata!E332="",FALSE,TRUE),AND(AND(IFERROR(INT(LEFT(Metadata!E332,4))&gt;1900,FALSE),IFERROR(INT(LEFT(Metadata!E332,4))&lt;=YEAR(NOW()),FALSE)), OR(MID(Metadata!E332,5,1)="", AND(AND(MID(Metadata!E332,5,1)="-",IFERROR(INT(MID(Metadata!E332,6,1))&gt;=0,FALSE),IFERROR(INT(MID(Metadata!E332,6,1))&lt;=1,FALSE),NOT(MID(Metadata!E332,7,1)=""),IFERROR(INT(MID(Metadata!E332,6,2))&gt;=1,FALSE),IFERROR(INT(MID(Metadata!E332,6,2))&lt;=12,FALSE)), OR(MID(Metadata!E332,8,1)="", AND(AND(MID(Metadata!E332,8,1)="-",IFERROR(INT(MID(Metadata!E332,9,1))&gt;=0,FALSE),IFERROR(INT(MID(Metadata!E332,9,1))&lt;=3,FALSE),NOT(MID(Metadata!E332,10,1)=""),IFERROR(INT(MID(Metadata!E332,9,2))&gt;=1,FALSE),IFERROR(INT(MID(Metadata!E332,9,2))&lt;=31,FALSE)), OR(MID(Metadata!E332,11,1)="", AND(AND(MID(Metadata!E332,11,1)=" ",IFERROR(INT(MID(Metadata!E332,12,1))&gt;=0,FALSE),IFERROR(INT(MID(Metadata!E332,12,1))&lt;=2,FALSE),NOT(MID(Metadata!E332,13,1)=""),IFERROR(INT(MID(Metadata!E332,12,2))&gt;=0,FALSE),IFERROR(INT(MID(Metadata!E332,12,2))&lt;=23,FALSE)), OR(MID(Metadata!E332,14,1)="", AND(AND(MID(Metadata!E332,14,1)=":",IFERROR(INT(MID(Metadata!E332,15,1))&gt;=0,FALSE),IFERROR(INT(MID(Metadata!E332,15,1))&lt;=5,FALSE),NOT(MID(Metadata!E332,16,1)=""),IFERROR(INT(MID(Metadata!E332,15,2))&gt;=0,FALSE),IFERROR(INT(MID(Metadata!E332,15,2))&lt;=59,FALSE)), OR(MID(Metadata!E332,17,1)="", AND(AND(MID(Metadata!E332,17,1)=":",IFERROR(INT(MID(Metadata!E332,18,1))&gt;=0,FALSE),IFERROR(INT(MID(Metadata!E332,18,1))&lt;=5,FALSE),NOT(MID(Metadata!E332,19,1)=""),IFERROR(INT(MID(Metadata!E332,18,2))&gt;=0,FALSE),IFERROR(INT(MID(Metadata!E332,18,2))&lt;=59,FALSE)), LEN(Metadata!E332)&lt;=19)))))))))))))</f>
        <v>0</v>
      </c>
      <c r="AS332" t="b">
        <f>IF(Metadata!F332="",FALSE,TRUE)</f>
        <v>0</v>
      </c>
      <c r="AT332" t="b">
        <f>OR(AND(IF(Metadata!G332="",FALSE,TRUE),OR(EXACT(Metadata!G332,"not collected"),EXACT(Metadata!G332,"not provided"))),AND(IF(Metadata!G332="",FALSE,TRUE),OR(EXACT(Metadata!G332,"TRUE"),EXACT(Metadata!G332,"FALSE"))))</f>
        <v>0</v>
      </c>
      <c r="AU332" t="b">
        <f>OR(AND(IF(Metadata!H332="",FALSE,TRUE),OR(EXACT(Metadata!H332,"not collected"),EXACT(Metadata!H332,"not provided"),EXACT(Metadata!H332,"restricted access"))),AND(IF(Metadata!H332="",FALSE,ISNUMBER(VALUE(Metadata!H332))),Metadata!H332&gt;=-413))</f>
        <v>0</v>
      </c>
      <c r="AV332" t="b">
        <f>AND(IF(Metadata!I332="",FALSE,TRUE),EXACT(Metadata!I332,"meters"))</f>
        <v>0</v>
      </c>
      <c r="AW332" t="b">
        <f>AND(IF(Metadata!J332="",FALSE,TRUE),EXACT(Metadata!J332,"free-living"))</f>
        <v>0</v>
      </c>
      <c r="AX332" t="b">
        <f>AND(IF(Metadata!K332="",FALSE,TRUE),OR(EXACT(Metadata!K332,"saline"),EXACT(Metadata!K332,"non-saline")))</f>
        <v>0</v>
      </c>
      <c r="AY332" t="b">
        <f>AND(IF(Metadata!L332="",FALSE,TRUE),OR(EXACT(Metadata!L332,"sub-surface (non-saline)"),EXACT(Metadata!L332,"surface (non-saline)"),EXACT(Metadata!L332,"water (non-saline)"),EXACT(Metadata!L332,"soil (non-saline)"),EXACT(Metadata!L332,"aerosol (non-saline)"),EXACT(Metadata!L332,"sediment (non-saline)"),EXACT(Metadata!L332,"surface (saline)"),EXACT(Metadata!L332,"water (saline)"),EXACT(Metadata!L332,"hypersaline (saline)"),EXACT(Metadata!L332,"aerosol (saline)"),EXACT(Metadata!L332,"sediment (saline)")))</f>
        <v>0</v>
      </c>
      <c r="AZ332" t="b">
        <f>IF(Metadata!M332="",FALSE,TRUE)</f>
        <v>0</v>
      </c>
      <c r="BA332" t="b">
        <f>IF(Metadata!N332="",FALSE,TRUE)</f>
        <v>0</v>
      </c>
      <c r="BB332" t="b">
        <f>IF(Metadata!O332="",FALSE,TRUE)</f>
        <v>0</v>
      </c>
      <c r="BC332" t="b">
        <f>AND(IF(Metadata!P332="",FALSE,TRUE),OR(EXACT(Metadata!P332,"air"),EXACT(Metadata!P332,"microbial mat/biofilm"),EXACT(Metadata!P332,"misc environment"),EXACT(Metadata!P332,"sediment"),EXACT(Metadata!P332,"soil"),EXACT(Metadata!P332,"wastewater/sludge"),EXACT(Metadata!P332,"water")))</f>
        <v>0</v>
      </c>
      <c r="BD332" t="b">
        <f>IF(Metadata!Q332="",FALSE,TRUE)</f>
        <v>0</v>
      </c>
      <c r="BE332" t="b">
        <f>IF(Metadata!R332="",FALSE,TRUE)</f>
        <v>0</v>
      </c>
      <c r="BF332" t="b">
        <f>OR(AND(IF(Metadata!S332="",FALSE,TRUE),OR(EXACT(Metadata!S332,"not collected"),EXACT(Metadata!S332,"not provided"),EXACT(Metadata!S332,"restricted access"))),AND(IF(Metadata!S332="",FALSE,ISNUMBER(VALUE(Metadata!S332))),Metadata!S332&gt;=-90,Metadata!S332&lt;=90))</f>
        <v>0</v>
      </c>
      <c r="BG332" t="b">
        <f>AND(IF(Metadata!T332="",FALSE,TRUE),EXACT(Metadata!T332,"Decimal degrees"))</f>
        <v>0</v>
      </c>
      <c r="BH332" t="b">
        <f>OR(AND(IF(Metadata!U332="",FALSE,TRUE),OR(EXACT(Metadata!U332,"not applicable"),EXACT(Metadata!U332,"not collected"))),IF(Metadata!U332="",FALSE,TRUE))</f>
        <v>0</v>
      </c>
      <c r="BI332" t="b">
        <f>OR(AND(IF(Metadata!V332="",FALSE,TRUE),OR(EXACT(Metadata!V332,"not collected"),EXACT(Metadata!V332,"not provided"),EXACT(Metadata!V332,"restricted access"))),AND(IF(Metadata!V332="",FALSE,ISNUMBER(VALUE(Metadata!V332))),Metadata!V332&gt;=-180,Metadata!V332&lt;=180))</f>
        <v>0</v>
      </c>
      <c r="BJ332" t="b">
        <f>AND(IF(Metadata!W332="",FALSE,TRUE),EXACT(Metadata!W332,"Decimal degrees"))</f>
        <v>0</v>
      </c>
      <c r="BK332" t="b">
        <f>IF(Metadata!X332="",FALSE,TRUE)</f>
        <v>0</v>
      </c>
      <c r="BL332" t="b">
        <f>OR(AND(IF(Metadata!Y332="",FALSE,TRUE),OR(EXACT(Metadata!Y332,"not collected"),EXACT(Metadata!Y332,"not provided"),EXACT(Metadata!Y332,"restricted access"))),AND(IF(Metadata!Y332="",FALSE,TRUE),OR(EXACT(Metadata!Y332,"TRUE"),EXACT(Metadata!Y332,"FALSE"))))</f>
        <v>0</v>
      </c>
      <c r="BM332" t="b">
        <f>OR(AND(IF(Metadata!Z332="",FALSE,TRUE),EXACT(Metadata!Z332,"not applicable")),AND(IF(Metadata!Z332="",FALSE,TRUE),OR(EXACT(Metadata!Z332,"beer"),EXACT(Metadata!Z332,"cheese"),EXACT(Metadata!Z332,"fresh water"),EXACT(Metadata!Z332,"marine sediment"),EXACT(Metadata!Z332,"sea water"),EXACT(Metadata!Z332,"sediment"),EXACT(Metadata!Z332,"soil"),EXACT(Metadata!Z332,"waste water"))))</f>
        <v>0</v>
      </c>
      <c r="BN332" t="b">
        <f>AND(IF(Metadata!AA332="",FALSE,TRUE),EXACT(Metadata!AA332,"metagenome"))</f>
        <v>0</v>
      </c>
      <c r="BO332" t="b">
        <f>AND(IF(Metadata!AB332="",FALSE,TRUE),EXACT(Metadata!AB332,"256318"))</f>
        <v>0</v>
      </c>
      <c r="BP332" t="b">
        <f>IF(Metadata!AC332="",FALSE,TRUE)</f>
        <v>0</v>
      </c>
      <c r="BQ332" t="b">
        <f>IF(Metadata!AD332="",FALSE,TRUE)</f>
        <v>0</v>
      </c>
    </row>
    <row r="333" spans="1:69" x14ac:dyDescent="0.2">
      <c r="A333" s="4" t="e">
        <f ca="1">IF(B333=" "," ",HYPERLINK(CONCATENATE("#metadata!",ADDRESS(INDEX($AJ$2:$AJ$1001,MATCH(ROWS($AH$2:AH333),$AH$2:$AH$1001,0),0),2)),INDEX($AM$2:$AM$1001,MATCH(ROWS($AH$2:AH333),$AH$2:$AH$1001,0),0)))</f>
        <v>#N/A</v>
      </c>
      <c r="B333" s="5" t="e">
        <f ca="1">IF(OR(INDEX($AI$2:$AI$1001,MATCH(ROWS($AH$2:AH333),$AH$2:$AH$1001,0),1)&gt;=100000,INDEX($AO$1005:$BQ$1005,1,MATCH(COLUMNS($AO$1006:AO1006),$AO$1006:$BQ$1006,0))&gt;=100000), " ",IF(INDEX($AO$2:$BQ$1001,MATCH(ROWS($AH$2:AH333),$AH$2:$AH$1001,0),MATCH(COLUMNS($AO$1006:AO1006),$AO$1006:$BQ$1006,0)), HYPERLINK("#",""), HYPERLINK(CONCATENATE("#Metadata!", ADDRESS(INDEX($AJ$2:$AJ$1001,MATCH(ROWS($AH$2:AH333),$AH$2:$AH$1001,0),0), INDEX($AO$1004:$BQ$1004,1,MATCH(COLUMNS($AO$1006:AO1006),$AO$1006:$BQ$1006,0)))),"Fix")))</f>
        <v>#N/A</v>
      </c>
      <c r="C333" s="5" t="e">
        <f ca="1">IF(OR(INDEX($AI$2:$AI$1001,MATCH(ROWS($AH$2:AH333),$AH$2:$AH$1001,0),1)&gt;=100000,INDEX($AO$1005:$BQ$1005,1,MATCH(COLUMNS($AO$1006:AP1006),$AO$1006:$BQ$1006,0))&gt;=100000), " ",IF(INDEX($AO$2:$BQ$1001,MATCH(ROWS($AH$2:AH333),$AH$2:$AH$1001,0),MATCH(COLUMNS($AO$1006:AP1006),$AO$1006:$BQ$1006,0)), HYPERLINK("#",""), HYPERLINK(CONCATENATE("#Metadata!", ADDRESS(INDEX($AJ$2:$AJ$1001,MATCH(ROWS($AH$2:AH333),$AH$2:$AH$1001,0),0), INDEX($AO$1004:$BQ$1004,1,MATCH(COLUMNS($AO$1006:AP1006),$AO$1006:$BQ$1006,0)))),"Fix")))</f>
        <v>#N/A</v>
      </c>
      <c r="D333" s="5" t="e">
        <f ca="1">IF(OR(INDEX($AI$2:$AI$1001,MATCH(ROWS($AH$2:AH333),$AH$2:$AH$1001,0),1)&gt;=100000,INDEX($AO$1005:$BQ$1005,1,MATCH(COLUMNS($AO$1006:AQ1006),$AO$1006:$BQ$1006,0))&gt;=100000), " ",IF(INDEX($AO$2:$BQ$1001,MATCH(ROWS($AH$2:AH333),$AH$2:$AH$1001,0),MATCH(COLUMNS($AO$1006:AQ1006),$AO$1006:$BQ$1006,0)), HYPERLINK("#",""), HYPERLINK(CONCATENATE("#Metadata!", ADDRESS(INDEX($AJ$2:$AJ$1001,MATCH(ROWS($AH$2:AH333),$AH$2:$AH$1001,0),0), INDEX($AO$1004:$BQ$1004,1,MATCH(COLUMNS($AO$1006:AQ1006),$AO$1006:$BQ$1006,0)))),"Fix")))</f>
        <v>#N/A</v>
      </c>
      <c r="E333" s="5" t="e">
        <f ca="1">IF(OR(INDEX($AI$2:$AI$1001,MATCH(ROWS($AH$2:AH333),$AH$2:$AH$1001,0),1)&gt;=100000,INDEX($AO$1005:$BQ$1005,1,MATCH(COLUMNS($AO$1006:AR1006),$AO$1006:$BQ$1006,0))&gt;=100000), " ",IF(INDEX($AO$2:$BQ$1001,MATCH(ROWS($AH$2:AH333),$AH$2:$AH$1001,0),MATCH(COLUMNS($AO$1006:AR1006),$AO$1006:$BQ$1006,0)), HYPERLINK("#",""), HYPERLINK(CONCATENATE("#Metadata!", ADDRESS(INDEX($AJ$2:$AJ$1001,MATCH(ROWS($AH$2:AH333),$AH$2:$AH$1001,0),0), INDEX($AO$1004:$BQ$1004,1,MATCH(COLUMNS($AO$1006:AR1006),$AO$1006:$BQ$1006,0)))),"Fix")))</f>
        <v>#N/A</v>
      </c>
      <c r="F333" s="5" t="e">
        <f ca="1">IF(OR(INDEX($AI$2:$AI$1001,MATCH(ROWS($AH$2:AH333),$AH$2:$AH$1001,0),1)&gt;=100000,INDEX($AO$1005:$BQ$1005,1,MATCH(COLUMNS($AO$1006:AS1006),$AO$1006:$BQ$1006,0))&gt;=100000), " ",IF(INDEX($AO$2:$BQ$1001,MATCH(ROWS($AH$2:AH333),$AH$2:$AH$1001,0),MATCH(COLUMNS($AO$1006:AS1006),$AO$1006:$BQ$1006,0)), HYPERLINK("#",""), HYPERLINK(CONCATENATE("#Metadata!", ADDRESS(INDEX($AJ$2:$AJ$1001,MATCH(ROWS($AH$2:AH333),$AH$2:$AH$1001,0),0), INDEX($AO$1004:$BQ$1004,1,MATCH(COLUMNS($AO$1006:AS1006),$AO$1006:$BQ$1006,0)))),"Fix")))</f>
        <v>#N/A</v>
      </c>
      <c r="G333" s="5" t="e">
        <f ca="1">IF(OR(INDEX($AI$2:$AI$1001,MATCH(ROWS($AH$2:AH333),$AH$2:$AH$1001,0),1)&gt;=100000,INDEX($AO$1005:$BQ$1005,1,MATCH(COLUMNS($AO$1006:AT1006),$AO$1006:$BQ$1006,0))&gt;=100000), " ",IF(INDEX($AO$2:$BQ$1001,MATCH(ROWS($AH$2:AH333),$AH$2:$AH$1001,0),MATCH(COLUMNS($AO$1006:AT1006),$AO$1006:$BQ$1006,0)), HYPERLINK("#",""), HYPERLINK(CONCATENATE("#Metadata!", ADDRESS(INDEX($AJ$2:$AJ$1001,MATCH(ROWS($AH$2:AH333),$AH$2:$AH$1001,0),0), INDEX($AO$1004:$BQ$1004,1,MATCH(COLUMNS($AO$1006:AT1006),$AO$1006:$BQ$1006,0)))),"Fix")))</f>
        <v>#N/A</v>
      </c>
      <c r="H333" s="5" t="e">
        <f ca="1">IF(OR(INDEX($AI$2:$AI$1001,MATCH(ROWS($AH$2:AH333),$AH$2:$AH$1001,0),1)&gt;=100000,INDEX($AO$1005:$BQ$1005,1,MATCH(COLUMNS($AO$1006:AU1006),$AO$1006:$BQ$1006,0))&gt;=100000), " ",IF(INDEX($AO$2:$BQ$1001,MATCH(ROWS($AH$2:AH333),$AH$2:$AH$1001,0),MATCH(COLUMNS($AO$1006:AU1006),$AO$1006:$BQ$1006,0)), HYPERLINK("#",""), HYPERLINK(CONCATENATE("#Metadata!", ADDRESS(INDEX($AJ$2:$AJ$1001,MATCH(ROWS($AH$2:AH333),$AH$2:$AH$1001,0),0), INDEX($AO$1004:$BQ$1004,1,MATCH(COLUMNS($AO$1006:AU1006),$AO$1006:$BQ$1006,0)))),"Fix")))</f>
        <v>#N/A</v>
      </c>
      <c r="I333" s="5" t="e">
        <f ca="1">IF(OR(INDEX($AI$2:$AI$1001,MATCH(ROWS($AH$2:AH333),$AH$2:$AH$1001,0),1)&gt;=100000,INDEX($AO$1005:$BQ$1005,1,MATCH(COLUMNS($AO$1006:AV1006),$AO$1006:$BQ$1006,0))&gt;=100000), " ",IF(INDEX($AO$2:$BQ$1001,MATCH(ROWS($AH$2:AH333),$AH$2:$AH$1001,0),MATCH(COLUMNS($AO$1006:AV1006),$AO$1006:$BQ$1006,0)), HYPERLINK("#",""), HYPERLINK(CONCATENATE("#Metadata!", ADDRESS(INDEX($AJ$2:$AJ$1001,MATCH(ROWS($AH$2:AH333),$AH$2:$AH$1001,0),0), INDEX($AO$1004:$BQ$1004,1,MATCH(COLUMNS($AO$1006:AV1006),$AO$1006:$BQ$1006,0)))),"Fix")))</f>
        <v>#N/A</v>
      </c>
      <c r="J333" s="5" t="e">
        <f ca="1">IF(OR(INDEX($AI$2:$AI$1001,MATCH(ROWS($AH$2:AH333),$AH$2:$AH$1001,0),1)&gt;=100000,INDEX($AO$1005:$BQ$1005,1,MATCH(COLUMNS($AO$1006:AW1006),$AO$1006:$BQ$1006,0))&gt;=100000), " ",IF(INDEX($AO$2:$BQ$1001,MATCH(ROWS($AH$2:AH333),$AH$2:$AH$1001,0),MATCH(COLUMNS($AO$1006:AW1006),$AO$1006:$BQ$1006,0)), HYPERLINK("#",""), HYPERLINK(CONCATENATE("#Metadata!", ADDRESS(INDEX($AJ$2:$AJ$1001,MATCH(ROWS($AH$2:AH333),$AH$2:$AH$1001,0),0), INDEX($AO$1004:$BQ$1004,1,MATCH(COLUMNS($AO$1006:AW1006),$AO$1006:$BQ$1006,0)))),"Fix")))</f>
        <v>#N/A</v>
      </c>
      <c r="K333" s="5" t="e">
        <f ca="1">IF(OR(INDEX($AI$2:$AI$1001,MATCH(ROWS($AH$2:AH333),$AH$2:$AH$1001,0),1)&gt;=100000,INDEX($AO$1005:$BQ$1005,1,MATCH(COLUMNS($AO$1006:AX1006),$AO$1006:$BQ$1006,0))&gt;=100000), " ",IF(INDEX($AO$2:$BQ$1001,MATCH(ROWS($AH$2:AH333),$AH$2:$AH$1001,0),MATCH(COLUMNS($AO$1006:AX1006),$AO$1006:$BQ$1006,0)), HYPERLINK("#",""), HYPERLINK(CONCATENATE("#Metadata!", ADDRESS(INDEX($AJ$2:$AJ$1001,MATCH(ROWS($AH$2:AH333),$AH$2:$AH$1001,0),0), INDEX($AO$1004:$BQ$1004,1,MATCH(COLUMNS($AO$1006:AX1006),$AO$1006:$BQ$1006,0)))),"Fix")))</f>
        <v>#N/A</v>
      </c>
      <c r="L333" s="5" t="e">
        <f ca="1">IF(OR(INDEX($AI$2:$AI$1001,MATCH(ROWS($AH$2:AH333),$AH$2:$AH$1001,0),1)&gt;=100000,INDEX($AO$1005:$BQ$1005,1,MATCH(COLUMNS($AO$1006:AY1006),$AO$1006:$BQ$1006,0))&gt;=100000), " ",IF(INDEX($AO$2:$BQ$1001,MATCH(ROWS($AH$2:AH333),$AH$2:$AH$1001,0),MATCH(COLUMNS($AO$1006:AY1006),$AO$1006:$BQ$1006,0)), HYPERLINK("#",""), HYPERLINK(CONCATENATE("#Metadata!", ADDRESS(INDEX($AJ$2:$AJ$1001,MATCH(ROWS($AH$2:AH333),$AH$2:$AH$1001,0),0), INDEX($AO$1004:$BQ$1004,1,MATCH(COLUMNS($AO$1006:AY1006),$AO$1006:$BQ$1006,0)))),"Fix")))</f>
        <v>#N/A</v>
      </c>
      <c r="M333" s="5" t="e">
        <f ca="1">IF(OR(INDEX($AI$2:$AI$1001,MATCH(ROWS($AH$2:AH333),$AH$2:$AH$1001,0),1)&gt;=100000,INDEX($AO$1005:$BQ$1005,1,MATCH(COLUMNS($AO$1006:AZ1006),$AO$1006:$BQ$1006,0))&gt;=100000), " ",IF(INDEX($AO$2:$BQ$1001,MATCH(ROWS($AH$2:AH333),$AH$2:$AH$1001,0),MATCH(COLUMNS($AO$1006:AZ1006),$AO$1006:$BQ$1006,0)), HYPERLINK("#",""), HYPERLINK(CONCATENATE("#Metadata!", ADDRESS(INDEX($AJ$2:$AJ$1001,MATCH(ROWS($AH$2:AH333),$AH$2:$AH$1001,0),0), INDEX($AO$1004:$BQ$1004,1,MATCH(COLUMNS($AO$1006:AZ1006),$AO$1006:$BQ$1006,0)))),"Fix")))</f>
        <v>#N/A</v>
      </c>
      <c r="N333" s="5" t="e">
        <f ca="1">IF(OR(INDEX($AI$2:$AI$1001,MATCH(ROWS($AH$2:AH333),$AH$2:$AH$1001,0),1)&gt;=100000,INDEX($AO$1005:$BQ$1005,1,MATCH(COLUMNS($AO$1006:BA1006),$AO$1006:$BQ$1006,0))&gt;=100000), " ",IF(INDEX($AO$2:$BQ$1001,MATCH(ROWS($AH$2:AH333),$AH$2:$AH$1001,0),MATCH(COLUMNS($AO$1006:BA1006),$AO$1006:$BQ$1006,0)), HYPERLINK("#",""), HYPERLINK(CONCATENATE("#Metadata!", ADDRESS(INDEX($AJ$2:$AJ$1001,MATCH(ROWS($AH$2:AH333),$AH$2:$AH$1001,0),0), INDEX($AO$1004:$BQ$1004,1,MATCH(COLUMNS($AO$1006:BA1006),$AO$1006:$BQ$1006,0)))),"Fix")))</f>
        <v>#N/A</v>
      </c>
      <c r="O333" s="5" t="e">
        <f ca="1">IF(OR(INDEX($AI$2:$AI$1001,MATCH(ROWS($AH$2:AH333),$AH$2:$AH$1001,0),1)&gt;=100000,INDEX($AO$1005:$BQ$1005,1,MATCH(COLUMNS($AO$1006:BB1006),$AO$1006:$BQ$1006,0))&gt;=100000), " ",IF(INDEX($AO$2:$BQ$1001,MATCH(ROWS($AH$2:AH333),$AH$2:$AH$1001,0),MATCH(COLUMNS($AO$1006:BB1006),$AO$1006:$BQ$1006,0)), HYPERLINK("#",""), HYPERLINK(CONCATENATE("#Metadata!", ADDRESS(INDEX($AJ$2:$AJ$1001,MATCH(ROWS($AH$2:AH333),$AH$2:$AH$1001,0),0), INDEX($AO$1004:$BQ$1004,1,MATCH(COLUMNS($AO$1006:BB1006),$AO$1006:$BQ$1006,0)))),"Fix")))</f>
        <v>#N/A</v>
      </c>
      <c r="P333" s="5" t="e">
        <f ca="1">IF(OR(INDEX($AI$2:$AI$1001,MATCH(ROWS($AH$2:AH333),$AH$2:$AH$1001,0),1)&gt;=100000,INDEX($AO$1005:$BQ$1005,1,MATCH(COLUMNS($AO$1006:BC1006),$AO$1006:$BQ$1006,0))&gt;=100000), " ",IF(INDEX($AO$2:$BQ$1001,MATCH(ROWS($AH$2:AH333),$AH$2:$AH$1001,0),MATCH(COLUMNS($AO$1006:BC1006),$AO$1006:$BQ$1006,0)), HYPERLINK("#",""), HYPERLINK(CONCATENATE("#Metadata!", ADDRESS(INDEX($AJ$2:$AJ$1001,MATCH(ROWS($AH$2:AH333),$AH$2:$AH$1001,0),0), INDEX($AO$1004:$BQ$1004,1,MATCH(COLUMNS($AO$1006:BC1006),$AO$1006:$BQ$1006,0)))),"Fix")))</f>
        <v>#N/A</v>
      </c>
      <c r="Q333" s="5" t="e">
        <f ca="1">IF(OR(INDEX($AI$2:$AI$1001,MATCH(ROWS($AH$2:AH333),$AH$2:$AH$1001,0),1)&gt;=100000,INDEX($AO$1005:$BQ$1005,1,MATCH(COLUMNS($AO$1006:BD1006),$AO$1006:$BQ$1006,0))&gt;=100000), " ",IF(INDEX($AO$2:$BQ$1001,MATCH(ROWS($AH$2:AH333),$AH$2:$AH$1001,0),MATCH(COLUMNS($AO$1006:BD1006),$AO$1006:$BQ$1006,0)), HYPERLINK("#",""), HYPERLINK(CONCATENATE("#Metadata!", ADDRESS(INDEX($AJ$2:$AJ$1001,MATCH(ROWS($AH$2:AH333),$AH$2:$AH$1001,0),0), INDEX($AO$1004:$BQ$1004,1,MATCH(COLUMNS($AO$1006:BD1006),$AO$1006:$BQ$1006,0)))),"Fix")))</f>
        <v>#N/A</v>
      </c>
      <c r="R333" s="5" t="e">
        <f ca="1">IF(OR(INDEX($AI$2:$AI$1001,MATCH(ROWS($AH$2:AH333),$AH$2:$AH$1001,0),1)&gt;=100000,INDEX($AO$1005:$BQ$1005,1,MATCH(COLUMNS($AO$1006:BE1006),$AO$1006:$BQ$1006,0))&gt;=100000), " ",IF(INDEX($AO$2:$BQ$1001,MATCH(ROWS($AH$2:AH333),$AH$2:$AH$1001,0),MATCH(COLUMNS($AO$1006:BE1006),$AO$1006:$BQ$1006,0)), HYPERLINK("#",""), HYPERLINK(CONCATENATE("#Metadata!", ADDRESS(INDEX($AJ$2:$AJ$1001,MATCH(ROWS($AH$2:AH333),$AH$2:$AH$1001,0),0), INDEX($AO$1004:$BQ$1004,1,MATCH(COLUMNS($AO$1006:BE1006),$AO$1006:$BQ$1006,0)))),"Fix")))</f>
        <v>#N/A</v>
      </c>
      <c r="S333" s="5" t="e">
        <f ca="1">IF(OR(INDEX($AI$2:$AI$1001,MATCH(ROWS($AH$2:AH333),$AH$2:$AH$1001,0),1)&gt;=100000,INDEX($AO$1005:$BQ$1005,1,MATCH(COLUMNS($AO$1006:BF1006),$AO$1006:$BQ$1006,0))&gt;=100000), " ",IF(INDEX($AO$2:$BQ$1001,MATCH(ROWS($AH$2:AH333),$AH$2:$AH$1001,0),MATCH(COLUMNS($AO$1006:BF1006),$AO$1006:$BQ$1006,0)), HYPERLINK("#",""), HYPERLINK(CONCATENATE("#Metadata!", ADDRESS(INDEX($AJ$2:$AJ$1001,MATCH(ROWS($AH$2:AH333),$AH$2:$AH$1001,0),0), INDEX($AO$1004:$BQ$1004,1,MATCH(COLUMNS($AO$1006:BF1006),$AO$1006:$BQ$1006,0)))),"Fix")))</f>
        <v>#N/A</v>
      </c>
      <c r="T333" s="5" t="e">
        <f ca="1">IF(OR(INDEX($AI$2:$AI$1001,MATCH(ROWS($AH$2:AH333),$AH$2:$AH$1001,0),1)&gt;=100000,INDEX($AO$1005:$BQ$1005,1,MATCH(COLUMNS($AO$1006:BG1006),$AO$1006:$BQ$1006,0))&gt;=100000), " ",IF(INDEX($AO$2:$BQ$1001,MATCH(ROWS($AH$2:AH333),$AH$2:$AH$1001,0),MATCH(COLUMNS($AO$1006:BG1006),$AO$1006:$BQ$1006,0)), HYPERLINK("#",""), HYPERLINK(CONCATENATE("#Metadata!", ADDRESS(INDEX($AJ$2:$AJ$1001,MATCH(ROWS($AH$2:AH333),$AH$2:$AH$1001,0),0), INDEX($AO$1004:$BQ$1004,1,MATCH(COLUMNS($AO$1006:BG1006),$AO$1006:$BQ$1006,0)))),"Fix")))</f>
        <v>#N/A</v>
      </c>
      <c r="U333" s="5" t="e">
        <f ca="1">IF(OR(INDEX($AI$2:$AI$1001,MATCH(ROWS($AH$2:AH333),$AH$2:$AH$1001,0),1)&gt;=100000,INDEX($AO$1005:$BQ$1005,1,MATCH(COLUMNS($AO$1006:BH1006),$AO$1006:$BQ$1006,0))&gt;=100000), " ",IF(INDEX($AO$2:$BQ$1001,MATCH(ROWS($AH$2:AH333),$AH$2:$AH$1001,0),MATCH(COLUMNS($AO$1006:BH1006),$AO$1006:$BQ$1006,0)), HYPERLINK("#",""), HYPERLINK(CONCATENATE("#Metadata!", ADDRESS(INDEX($AJ$2:$AJ$1001,MATCH(ROWS($AH$2:AH333),$AH$2:$AH$1001,0),0), INDEX($AO$1004:$BQ$1004,1,MATCH(COLUMNS($AO$1006:BH1006),$AO$1006:$BQ$1006,0)))),"Fix")))</f>
        <v>#N/A</v>
      </c>
      <c r="V333" s="5" t="e">
        <f ca="1">IF(OR(INDEX($AI$2:$AI$1001,MATCH(ROWS($AH$2:AH333),$AH$2:$AH$1001,0),1)&gt;=100000,INDEX($AO$1005:$BQ$1005,1,MATCH(COLUMNS($AO$1006:BI1006),$AO$1006:$BQ$1006,0))&gt;=100000), " ",IF(INDEX($AO$2:$BQ$1001,MATCH(ROWS($AH$2:AH333),$AH$2:$AH$1001,0),MATCH(COLUMNS($AO$1006:BI1006),$AO$1006:$BQ$1006,0)), HYPERLINK("#",""), HYPERLINK(CONCATENATE("#Metadata!", ADDRESS(INDEX($AJ$2:$AJ$1001,MATCH(ROWS($AH$2:AH333),$AH$2:$AH$1001,0),0), INDEX($AO$1004:$BQ$1004,1,MATCH(COLUMNS($AO$1006:BI1006),$AO$1006:$BQ$1006,0)))),"Fix")))</f>
        <v>#N/A</v>
      </c>
      <c r="W333" s="5" t="e">
        <f ca="1">IF(OR(INDEX($AI$2:$AI$1001,MATCH(ROWS($AH$2:AH333),$AH$2:$AH$1001,0),1)&gt;=100000,INDEX($AO$1005:$BQ$1005,1,MATCH(COLUMNS($AO$1006:BJ1006),$AO$1006:$BQ$1006,0))&gt;=100000), " ",IF(INDEX($AO$2:$BQ$1001,MATCH(ROWS($AH$2:AH333),$AH$2:$AH$1001,0),MATCH(COLUMNS($AO$1006:BJ1006),$AO$1006:$BQ$1006,0)), HYPERLINK("#",""), HYPERLINK(CONCATENATE("#Metadata!", ADDRESS(INDEX($AJ$2:$AJ$1001,MATCH(ROWS($AH$2:AH333),$AH$2:$AH$1001,0),0), INDEX($AO$1004:$BQ$1004,1,MATCH(COLUMNS($AO$1006:BJ1006),$AO$1006:$BQ$1006,0)))),"Fix")))</f>
        <v>#N/A</v>
      </c>
      <c r="X333" s="5" t="e">
        <f ca="1">IF(OR(INDEX($AI$2:$AI$1001,MATCH(ROWS($AH$2:AH333),$AH$2:$AH$1001,0),1)&gt;=100000,INDEX($AO$1005:$BQ$1005,1,MATCH(COLUMNS($AO$1006:BK1006),$AO$1006:$BQ$1006,0))&gt;=100000), " ",IF(INDEX($AO$2:$BQ$1001,MATCH(ROWS($AH$2:AH333),$AH$2:$AH$1001,0),MATCH(COLUMNS($AO$1006:BK1006),$AO$1006:$BQ$1006,0)), HYPERLINK("#",""), HYPERLINK(CONCATENATE("#Metadata!", ADDRESS(INDEX($AJ$2:$AJ$1001,MATCH(ROWS($AH$2:AH333),$AH$2:$AH$1001,0),0), INDEX($AO$1004:$BQ$1004,1,MATCH(COLUMNS($AO$1006:BK1006),$AO$1006:$BQ$1006,0)))),"Fix")))</f>
        <v>#N/A</v>
      </c>
      <c r="Y333" s="5" t="e">
        <f ca="1">IF(OR(INDEX($AI$2:$AI$1001,MATCH(ROWS($AH$2:AH333),$AH$2:$AH$1001,0),1)&gt;=100000,INDEX($AO$1005:$BQ$1005,1,MATCH(COLUMNS($AO$1006:BL1006),$AO$1006:$BQ$1006,0))&gt;=100000), " ",IF(INDEX($AO$2:$BQ$1001,MATCH(ROWS($AH$2:AH333),$AH$2:$AH$1001,0),MATCH(COLUMNS($AO$1006:BL1006),$AO$1006:$BQ$1006,0)), HYPERLINK("#",""), HYPERLINK(CONCATENATE("#Metadata!", ADDRESS(INDEX($AJ$2:$AJ$1001,MATCH(ROWS($AH$2:AH333),$AH$2:$AH$1001,0),0), INDEX($AO$1004:$BQ$1004,1,MATCH(COLUMNS($AO$1006:BL1006),$AO$1006:$BQ$1006,0)))),"Fix")))</f>
        <v>#N/A</v>
      </c>
      <c r="Z333" s="5" t="e">
        <f ca="1">IF(OR(INDEX($AI$2:$AI$1001,MATCH(ROWS($AH$2:AH333),$AH$2:$AH$1001,0),1)&gt;=100000,INDEX($AO$1005:$BQ$1005,1,MATCH(COLUMNS($AO$1006:BM1006),$AO$1006:$BQ$1006,0))&gt;=100000), " ",IF(INDEX($AO$2:$BQ$1001,MATCH(ROWS($AH$2:AH333),$AH$2:$AH$1001,0),MATCH(COLUMNS($AO$1006:BM1006),$AO$1006:$BQ$1006,0)), HYPERLINK("#",""), HYPERLINK(CONCATENATE("#Metadata!", ADDRESS(INDEX($AJ$2:$AJ$1001,MATCH(ROWS($AH$2:AH333),$AH$2:$AH$1001,0),0), INDEX($AO$1004:$BQ$1004,1,MATCH(COLUMNS($AO$1006:BM1006),$AO$1006:$BQ$1006,0)))),"Fix")))</f>
        <v>#N/A</v>
      </c>
      <c r="AA333" s="5" t="e">
        <f ca="1">IF(OR(INDEX($AI$2:$AI$1001,MATCH(ROWS($AH$2:AH333),$AH$2:$AH$1001,0),1)&gt;=100000,INDEX($AO$1005:$BQ$1005,1,MATCH(COLUMNS($AO$1006:BN1006),$AO$1006:$BQ$1006,0))&gt;=100000), " ",IF(INDEX($AO$2:$BQ$1001,MATCH(ROWS($AH$2:AH333),$AH$2:$AH$1001,0),MATCH(COLUMNS($AO$1006:BN1006),$AO$1006:$BQ$1006,0)), HYPERLINK("#",""), HYPERLINK(CONCATENATE("#Metadata!", ADDRESS(INDEX($AJ$2:$AJ$1001,MATCH(ROWS($AH$2:AH333),$AH$2:$AH$1001,0),0), INDEX($AO$1004:$BQ$1004,1,MATCH(COLUMNS($AO$1006:BN1006),$AO$1006:$BQ$1006,0)))),"Fix")))</f>
        <v>#N/A</v>
      </c>
      <c r="AB333" s="5" t="e">
        <f ca="1">IF(OR(INDEX($AI$2:$AI$1001,MATCH(ROWS($AH$2:AH333),$AH$2:$AH$1001,0),1)&gt;=100000,INDEX($AO$1005:$BQ$1005,1,MATCH(COLUMNS($AO$1006:BO1006),$AO$1006:$BQ$1006,0))&gt;=100000), " ",IF(INDEX($AO$2:$BQ$1001,MATCH(ROWS($AH$2:AH333),$AH$2:$AH$1001,0),MATCH(COLUMNS($AO$1006:BO1006),$AO$1006:$BQ$1006,0)), HYPERLINK("#",""), HYPERLINK(CONCATENATE("#Metadata!", ADDRESS(INDEX($AJ$2:$AJ$1001,MATCH(ROWS($AH$2:AH333),$AH$2:$AH$1001,0),0), INDEX($AO$1004:$BQ$1004,1,MATCH(COLUMNS($AO$1006:BO1006),$AO$1006:$BQ$1006,0)))),"Fix")))</f>
        <v>#N/A</v>
      </c>
      <c r="AC333" s="5" t="e">
        <f ca="1">IF(OR(INDEX($AI$2:$AI$1001,MATCH(ROWS($AH$2:AH333),$AH$2:$AH$1001,0),1)&gt;=100000,INDEX($AO$1005:$BQ$1005,1,MATCH(COLUMNS($AO$1006:BP1006),$AO$1006:$BQ$1006,0))&gt;=100000), " ",IF(INDEX($AO$2:$BQ$1001,MATCH(ROWS($AH$2:AH333),$AH$2:$AH$1001,0),MATCH(COLUMNS($AO$1006:BP1006),$AO$1006:$BQ$1006,0)), HYPERLINK("#",""), HYPERLINK(CONCATENATE("#Metadata!", ADDRESS(INDEX($AJ$2:$AJ$1001,MATCH(ROWS($AH$2:AH333),$AH$2:$AH$1001,0),0), INDEX($AO$1004:$BQ$1004,1,MATCH(COLUMNS($AO$1006:BP1006),$AO$1006:$BQ$1006,0)))),"Fix")))</f>
        <v>#N/A</v>
      </c>
      <c r="AD333" s="5" t="e">
        <f ca="1">IF(OR(INDEX($AI$2:$AI$1001,MATCH(ROWS($AH$2:AH333),$AH$2:$AH$1001,0),1)&gt;=100000,INDEX($AO$1005:$BQ$1005,1,MATCH(COLUMNS($AO$1006:BQ1006),$AO$1006:$BQ$1006,0))&gt;=100000), " ",IF(INDEX($AO$2:$BQ$1001,MATCH(ROWS($AH$2:AH333),$AH$2:$AH$1001,0),MATCH(COLUMNS($AO$1006:BQ1006),$AO$1006:$BQ$1006,0)), HYPERLINK("#",""), HYPERLINK(CONCATENATE("#Metadata!", ADDRESS(INDEX($AJ$2:$AJ$1001,MATCH(ROWS($AH$2:AH333),$AH$2:$AH$1001,0),0), INDEX($AO$1004:$BQ$1004,1,MATCH(COLUMNS($AO$1006:BQ1006),$AO$1006:$BQ$1006,0)))),"Fix")))</f>
        <v>#REF!</v>
      </c>
      <c r="AH333">
        <f ca="1"/>
        <v>330</v>
      </c>
      <c r="AI333">
        <v>100333</v>
      </c>
      <c r="AJ333">
        <v>333</v>
      </c>
      <c r="AK333" t="b">
        <f t="shared" si="5"/>
        <v>1</v>
      </c>
      <c r="AL333" t="b">
        <f>COUNTBLANK(Metadata!B333:AD333)=COLUMNS(Metadata!B333:AD333)</f>
        <v>1</v>
      </c>
      <c r="AM333" t="str">
        <v/>
      </c>
      <c r="AO333" t="b">
        <f ca="1">AND(IF(Metadata!B333="",FALSE,TRUE),COUNTIF(Metadata!B:B, Metadata!B333) = 1,NOT(ISERROR(SUMPRODUCT(SEARCH(MID(Metadata!B333,ROW(INDIRECT("1:"&amp;LEN(Metadata!B333))), 1),"0123456789abcdefghijklmnopqrstuvwxyzABCDEFGHIJKLMNOPQRSTUVWXYZ.")))))</f>
        <v>0</v>
      </c>
      <c r="AP333" t="b">
        <f>IF(Metadata!C333="",FALSE,TRUE)</f>
        <v>0</v>
      </c>
      <c r="AQ333" t="b">
        <f>IF(Metadata!D333="",FALSE,TRUE)</f>
        <v>0</v>
      </c>
      <c r="AR333" t="b">
        <f ca="1">OR(AND(IF(Metadata!E333="",FALSE,TRUE),OR(EXACT(Metadata!E333,"not collected"),EXACT(Metadata!E333,"not provided"),EXACT(Metadata!E333,"restricted access"))),AND(IF(Metadata!E333="",FALSE,TRUE),AND(AND(IFERROR(INT(LEFT(Metadata!E333,4))&gt;1900,FALSE),IFERROR(INT(LEFT(Metadata!E333,4))&lt;=YEAR(NOW()),FALSE)), OR(MID(Metadata!E333,5,1)="", AND(AND(MID(Metadata!E333,5,1)="-",IFERROR(INT(MID(Metadata!E333,6,1))&gt;=0,FALSE),IFERROR(INT(MID(Metadata!E333,6,1))&lt;=1,FALSE),NOT(MID(Metadata!E333,7,1)=""),IFERROR(INT(MID(Metadata!E333,6,2))&gt;=1,FALSE),IFERROR(INT(MID(Metadata!E333,6,2))&lt;=12,FALSE)), OR(MID(Metadata!E333,8,1)="", AND(AND(MID(Metadata!E333,8,1)="-",IFERROR(INT(MID(Metadata!E333,9,1))&gt;=0,FALSE),IFERROR(INT(MID(Metadata!E333,9,1))&lt;=3,FALSE),NOT(MID(Metadata!E333,10,1)=""),IFERROR(INT(MID(Metadata!E333,9,2))&gt;=1,FALSE),IFERROR(INT(MID(Metadata!E333,9,2))&lt;=31,FALSE)), OR(MID(Metadata!E333,11,1)="", AND(AND(MID(Metadata!E333,11,1)=" ",IFERROR(INT(MID(Metadata!E333,12,1))&gt;=0,FALSE),IFERROR(INT(MID(Metadata!E333,12,1))&lt;=2,FALSE),NOT(MID(Metadata!E333,13,1)=""),IFERROR(INT(MID(Metadata!E333,12,2))&gt;=0,FALSE),IFERROR(INT(MID(Metadata!E333,12,2))&lt;=23,FALSE)), OR(MID(Metadata!E333,14,1)="", AND(AND(MID(Metadata!E333,14,1)=":",IFERROR(INT(MID(Metadata!E333,15,1))&gt;=0,FALSE),IFERROR(INT(MID(Metadata!E333,15,1))&lt;=5,FALSE),NOT(MID(Metadata!E333,16,1)=""),IFERROR(INT(MID(Metadata!E333,15,2))&gt;=0,FALSE),IFERROR(INT(MID(Metadata!E333,15,2))&lt;=59,FALSE)), OR(MID(Metadata!E333,17,1)="", AND(AND(MID(Metadata!E333,17,1)=":",IFERROR(INT(MID(Metadata!E333,18,1))&gt;=0,FALSE),IFERROR(INT(MID(Metadata!E333,18,1))&lt;=5,FALSE),NOT(MID(Metadata!E333,19,1)=""),IFERROR(INT(MID(Metadata!E333,18,2))&gt;=0,FALSE),IFERROR(INT(MID(Metadata!E333,18,2))&lt;=59,FALSE)), LEN(Metadata!E333)&lt;=19)))))))))))))</f>
        <v>0</v>
      </c>
      <c r="AS333" t="b">
        <f>IF(Metadata!F333="",FALSE,TRUE)</f>
        <v>0</v>
      </c>
      <c r="AT333" t="b">
        <f>OR(AND(IF(Metadata!G333="",FALSE,TRUE),OR(EXACT(Metadata!G333,"not collected"),EXACT(Metadata!G333,"not provided"))),AND(IF(Metadata!G333="",FALSE,TRUE),OR(EXACT(Metadata!G333,"TRUE"),EXACT(Metadata!G333,"FALSE"))))</f>
        <v>0</v>
      </c>
      <c r="AU333" t="b">
        <f>OR(AND(IF(Metadata!H333="",FALSE,TRUE),OR(EXACT(Metadata!H333,"not collected"),EXACT(Metadata!H333,"not provided"),EXACT(Metadata!H333,"restricted access"))),AND(IF(Metadata!H333="",FALSE,ISNUMBER(VALUE(Metadata!H333))),Metadata!H333&gt;=-413))</f>
        <v>0</v>
      </c>
      <c r="AV333" t="b">
        <f>AND(IF(Metadata!I333="",FALSE,TRUE),EXACT(Metadata!I333,"meters"))</f>
        <v>0</v>
      </c>
      <c r="AW333" t="b">
        <f>AND(IF(Metadata!J333="",FALSE,TRUE),EXACT(Metadata!J333,"free-living"))</f>
        <v>0</v>
      </c>
      <c r="AX333" t="b">
        <f>AND(IF(Metadata!K333="",FALSE,TRUE),OR(EXACT(Metadata!K333,"saline"),EXACT(Metadata!K333,"non-saline")))</f>
        <v>0</v>
      </c>
      <c r="AY333" t="b">
        <f>AND(IF(Metadata!L333="",FALSE,TRUE),OR(EXACT(Metadata!L333,"sub-surface (non-saline)"),EXACT(Metadata!L333,"surface (non-saline)"),EXACT(Metadata!L333,"water (non-saline)"),EXACT(Metadata!L333,"soil (non-saline)"),EXACT(Metadata!L333,"aerosol (non-saline)"),EXACT(Metadata!L333,"sediment (non-saline)"),EXACT(Metadata!L333,"surface (saline)"),EXACT(Metadata!L333,"water (saline)"),EXACT(Metadata!L333,"hypersaline (saline)"),EXACT(Metadata!L333,"aerosol (saline)"),EXACT(Metadata!L333,"sediment (saline)")))</f>
        <v>0</v>
      </c>
      <c r="AZ333" t="b">
        <f>IF(Metadata!M333="",FALSE,TRUE)</f>
        <v>0</v>
      </c>
      <c r="BA333" t="b">
        <f>IF(Metadata!N333="",FALSE,TRUE)</f>
        <v>0</v>
      </c>
      <c r="BB333" t="b">
        <f>IF(Metadata!O333="",FALSE,TRUE)</f>
        <v>0</v>
      </c>
      <c r="BC333" t="b">
        <f>AND(IF(Metadata!P333="",FALSE,TRUE),OR(EXACT(Metadata!P333,"air"),EXACT(Metadata!P333,"microbial mat/biofilm"),EXACT(Metadata!P333,"misc environment"),EXACT(Metadata!P333,"sediment"),EXACT(Metadata!P333,"soil"),EXACT(Metadata!P333,"wastewater/sludge"),EXACT(Metadata!P333,"water")))</f>
        <v>0</v>
      </c>
      <c r="BD333" t="b">
        <f>IF(Metadata!Q333="",FALSE,TRUE)</f>
        <v>0</v>
      </c>
      <c r="BE333" t="b">
        <f>IF(Metadata!R333="",FALSE,TRUE)</f>
        <v>0</v>
      </c>
      <c r="BF333" t="b">
        <f>OR(AND(IF(Metadata!S333="",FALSE,TRUE),OR(EXACT(Metadata!S333,"not collected"),EXACT(Metadata!S333,"not provided"),EXACT(Metadata!S333,"restricted access"))),AND(IF(Metadata!S333="",FALSE,ISNUMBER(VALUE(Metadata!S333))),Metadata!S333&gt;=-90,Metadata!S333&lt;=90))</f>
        <v>0</v>
      </c>
      <c r="BG333" t="b">
        <f>AND(IF(Metadata!T333="",FALSE,TRUE),EXACT(Metadata!T333,"Decimal degrees"))</f>
        <v>0</v>
      </c>
      <c r="BH333" t="b">
        <f>OR(AND(IF(Metadata!U333="",FALSE,TRUE),OR(EXACT(Metadata!U333,"not applicable"),EXACT(Metadata!U333,"not collected"))),IF(Metadata!U333="",FALSE,TRUE))</f>
        <v>0</v>
      </c>
      <c r="BI333" t="b">
        <f>OR(AND(IF(Metadata!V333="",FALSE,TRUE),OR(EXACT(Metadata!V333,"not collected"),EXACT(Metadata!V333,"not provided"),EXACT(Metadata!V333,"restricted access"))),AND(IF(Metadata!V333="",FALSE,ISNUMBER(VALUE(Metadata!V333))),Metadata!V333&gt;=-180,Metadata!V333&lt;=180))</f>
        <v>0</v>
      </c>
      <c r="BJ333" t="b">
        <f>AND(IF(Metadata!W333="",FALSE,TRUE),EXACT(Metadata!W333,"Decimal degrees"))</f>
        <v>0</v>
      </c>
      <c r="BK333" t="b">
        <f>IF(Metadata!X333="",FALSE,TRUE)</f>
        <v>0</v>
      </c>
      <c r="BL333" t="b">
        <f>OR(AND(IF(Metadata!Y333="",FALSE,TRUE),OR(EXACT(Metadata!Y333,"not collected"),EXACT(Metadata!Y333,"not provided"),EXACT(Metadata!Y333,"restricted access"))),AND(IF(Metadata!Y333="",FALSE,TRUE),OR(EXACT(Metadata!Y333,"TRUE"),EXACT(Metadata!Y333,"FALSE"))))</f>
        <v>0</v>
      </c>
      <c r="BM333" t="b">
        <f>OR(AND(IF(Metadata!Z333="",FALSE,TRUE),EXACT(Metadata!Z333,"not applicable")),AND(IF(Metadata!Z333="",FALSE,TRUE),OR(EXACT(Metadata!Z333,"beer"),EXACT(Metadata!Z333,"cheese"),EXACT(Metadata!Z333,"fresh water"),EXACT(Metadata!Z333,"marine sediment"),EXACT(Metadata!Z333,"sea water"),EXACT(Metadata!Z333,"sediment"),EXACT(Metadata!Z333,"soil"),EXACT(Metadata!Z333,"waste water"))))</f>
        <v>0</v>
      </c>
      <c r="BN333" t="b">
        <f>AND(IF(Metadata!AA333="",FALSE,TRUE),EXACT(Metadata!AA333,"metagenome"))</f>
        <v>0</v>
      </c>
      <c r="BO333" t="b">
        <f>AND(IF(Metadata!AB333="",FALSE,TRUE),EXACT(Metadata!AB333,"256318"))</f>
        <v>0</v>
      </c>
      <c r="BP333" t="b">
        <f>IF(Metadata!AC333="",FALSE,TRUE)</f>
        <v>0</v>
      </c>
      <c r="BQ333" t="b">
        <f>IF(Metadata!AD333="",FALSE,TRUE)</f>
        <v>0</v>
      </c>
    </row>
    <row r="334" spans="1:69" x14ac:dyDescent="0.2">
      <c r="A334" s="4" t="e">
        <f ca="1">IF(B334=" "," ",HYPERLINK(CONCATENATE("#metadata!",ADDRESS(INDEX($AJ$2:$AJ$1001,MATCH(ROWS($AH$2:AH334),$AH$2:$AH$1001,0),0),2)),INDEX($AM$2:$AM$1001,MATCH(ROWS($AH$2:AH334),$AH$2:$AH$1001,0),0)))</f>
        <v>#N/A</v>
      </c>
      <c r="B334" s="5" t="e">
        <f ca="1">IF(OR(INDEX($AI$2:$AI$1001,MATCH(ROWS($AH$2:AH334),$AH$2:$AH$1001,0),1)&gt;=100000,INDEX($AO$1005:$BQ$1005,1,MATCH(COLUMNS($AO$1006:AO1006),$AO$1006:$BQ$1006,0))&gt;=100000), " ",IF(INDEX($AO$2:$BQ$1001,MATCH(ROWS($AH$2:AH334),$AH$2:$AH$1001,0),MATCH(COLUMNS($AO$1006:AO1006),$AO$1006:$BQ$1006,0)), HYPERLINK("#",""), HYPERLINK(CONCATENATE("#Metadata!", ADDRESS(INDEX($AJ$2:$AJ$1001,MATCH(ROWS($AH$2:AH334),$AH$2:$AH$1001,0),0), INDEX($AO$1004:$BQ$1004,1,MATCH(COLUMNS($AO$1006:AO1006),$AO$1006:$BQ$1006,0)))),"Fix")))</f>
        <v>#N/A</v>
      </c>
      <c r="C334" s="5" t="e">
        <f ca="1">IF(OR(INDEX($AI$2:$AI$1001,MATCH(ROWS($AH$2:AH334),$AH$2:$AH$1001,0),1)&gt;=100000,INDEX($AO$1005:$BQ$1005,1,MATCH(COLUMNS($AO$1006:AP1006),$AO$1006:$BQ$1006,0))&gt;=100000), " ",IF(INDEX($AO$2:$BQ$1001,MATCH(ROWS($AH$2:AH334),$AH$2:$AH$1001,0),MATCH(COLUMNS($AO$1006:AP1006),$AO$1006:$BQ$1006,0)), HYPERLINK("#",""), HYPERLINK(CONCATENATE("#Metadata!", ADDRESS(INDEX($AJ$2:$AJ$1001,MATCH(ROWS($AH$2:AH334),$AH$2:$AH$1001,0),0), INDEX($AO$1004:$BQ$1004,1,MATCH(COLUMNS($AO$1006:AP1006),$AO$1006:$BQ$1006,0)))),"Fix")))</f>
        <v>#N/A</v>
      </c>
      <c r="D334" s="5" t="e">
        <f ca="1">IF(OR(INDEX($AI$2:$AI$1001,MATCH(ROWS($AH$2:AH334),$AH$2:$AH$1001,0),1)&gt;=100000,INDEX($AO$1005:$BQ$1005,1,MATCH(COLUMNS($AO$1006:AQ1006),$AO$1006:$BQ$1006,0))&gt;=100000), " ",IF(INDEX($AO$2:$BQ$1001,MATCH(ROWS($AH$2:AH334),$AH$2:$AH$1001,0),MATCH(COLUMNS($AO$1006:AQ1006),$AO$1006:$BQ$1006,0)), HYPERLINK("#",""), HYPERLINK(CONCATENATE("#Metadata!", ADDRESS(INDEX($AJ$2:$AJ$1001,MATCH(ROWS($AH$2:AH334),$AH$2:$AH$1001,0),0), INDEX($AO$1004:$BQ$1004,1,MATCH(COLUMNS($AO$1006:AQ1006),$AO$1006:$BQ$1006,0)))),"Fix")))</f>
        <v>#N/A</v>
      </c>
      <c r="E334" s="5" t="e">
        <f ca="1">IF(OR(INDEX($AI$2:$AI$1001,MATCH(ROWS($AH$2:AH334),$AH$2:$AH$1001,0),1)&gt;=100000,INDEX($AO$1005:$BQ$1005,1,MATCH(COLUMNS($AO$1006:AR1006),$AO$1006:$BQ$1006,0))&gt;=100000), " ",IF(INDEX($AO$2:$BQ$1001,MATCH(ROWS($AH$2:AH334),$AH$2:$AH$1001,0),MATCH(COLUMNS($AO$1006:AR1006),$AO$1006:$BQ$1006,0)), HYPERLINK("#",""), HYPERLINK(CONCATENATE("#Metadata!", ADDRESS(INDEX($AJ$2:$AJ$1001,MATCH(ROWS($AH$2:AH334),$AH$2:$AH$1001,0),0), INDEX($AO$1004:$BQ$1004,1,MATCH(COLUMNS($AO$1006:AR1006),$AO$1006:$BQ$1006,0)))),"Fix")))</f>
        <v>#N/A</v>
      </c>
      <c r="F334" s="5" t="e">
        <f ca="1">IF(OR(INDEX($AI$2:$AI$1001,MATCH(ROWS($AH$2:AH334),$AH$2:$AH$1001,0),1)&gt;=100000,INDEX($AO$1005:$BQ$1005,1,MATCH(COLUMNS($AO$1006:AS1006),$AO$1006:$BQ$1006,0))&gt;=100000), " ",IF(INDEX($AO$2:$BQ$1001,MATCH(ROWS($AH$2:AH334),$AH$2:$AH$1001,0),MATCH(COLUMNS($AO$1006:AS1006),$AO$1006:$BQ$1006,0)), HYPERLINK("#",""), HYPERLINK(CONCATENATE("#Metadata!", ADDRESS(INDEX($AJ$2:$AJ$1001,MATCH(ROWS($AH$2:AH334),$AH$2:$AH$1001,0),0), INDEX($AO$1004:$BQ$1004,1,MATCH(COLUMNS($AO$1006:AS1006),$AO$1006:$BQ$1006,0)))),"Fix")))</f>
        <v>#N/A</v>
      </c>
      <c r="G334" s="5" t="e">
        <f ca="1">IF(OR(INDEX($AI$2:$AI$1001,MATCH(ROWS($AH$2:AH334),$AH$2:$AH$1001,0),1)&gt;=100000,INDEX($AO$1005:$BQ$1005,1,MATCH(COLUMNS($AO$1006:AT1006),$AO$1006:$BQ$1006,0))&gt;=100000), " ",IF(INDEX($AO$2:$BQ$1001,MATCH(ROWS($AH$2:AH334),$AH$2:$AH$1001,0),MATCH(COLUMNS($AO$1006:AT1006),$AO$1006:$BQ$1006,0)), HYPERLINK("#",""), HYPERLINK(CONCATENATE("#Metadata!", ADDRESS(INDEX($AJ$2:$AJ$1001,MATCH(ROWS($AH$2:AH334),$AH$2:$AH$1001,0),0), INDEX($AO$1004:$BQ$1004,1,MATCH(COLUMNS($AO$1006:AT1006),$AO$1006:$BQ$1006,0)))),"Fix")))</f>
        <v>#N/A</v>
      </c>
      <c r="H334" s="5" t="e">
        <f ca="1">IF(OR(INDEX($AI$2:$AI$1001,MATCH(ROWS($AH$2:AH334),$AH$2:$AH$1001,0),1)&gt;=100000,INDEX($AO$1005:$BQ$1005,1,MATCH(COLUMNS($AO$1006:AU1006),$AO$1006:$BQ$1006,0))&gt;=100000), " ",IF(INDEX($AO$2:$BQ$1001,MATCH(ROWS($AH$2:AH334),$AH$2:$AH$1001,0),MATCH(COLUMNS($AO$1006:AU1006),$AO$1006:$BQ$1006,0)), HYPERLINK("#",""), HYPERLINK(CONCATENATE("#Metadata!", ADDRESS(INDEX($AJ$2:$AJ$1001,MATCH(ROWS($AH$2:AH334),$AH$2:$AH$1001,0),0), INDEX($AO$1004:$BQ$1004,1,MATCH(COLUMNS($AO$1006:AU1006),$AO$1006:$BQ$1006,0)))),"Fix")))</f>
        <v>#N/A</v>
      </c>
      <c r="I334" s="5" t="e">
        <f ca="1">IF(OR(INDEX($AI$2:$AI$1001,MATCH(ROWS($AH$2:AH334),$AH$2:$AH$1001,0),1)&gt;=100000,INDEX($AO$1005:$BQ$1005,1,MATCH(COLUMNS($AO$1006:AV1006),$AO$1006:$BQ$1006,0))&gt;=100000), " ",IF(INDEX($AO$2:$BQ$1001,MATCH(ROWS($AH$2:AH334),$AH$2:$AH$1001,0),MATCH(COLUMNS($AO$1006:AV1006),$AO$1006:$BQ$1006,0)), HYPERLINK("#",""), HYPERLINK(CONCATENATE("#Metadata!", ADDRESS(INDEX($AJ$2:$AJ$1001,MATCH(ROWS($AH$2:AH334),$AH$2:$AH$1001,0),0), INDEX($AO$1004:$BQ$1004,1,MATCH(COLUMNS($AO$1006:AV1006),$AO$1006:$BQ$1006,0)))),"Fix")))</f>
        <v>#N/A</v>
      </c>
      <c r="J334" s="5" t="e">
        <f ca="1">IF(OR(INDEX($AI$2:$AI$1001,MATCH(ROWS($AH$2:AH334),$AH$2:$AH$1001,0),1)&gt;=100000,INDEX($AO$1005:$BQ$1005,1,MATCH(COLUMNS($AO$1006:AW1006),$AO$1006:$BQ$1006,0))&gt;=100000), " ",IF(INDEX($AO$2:$BQ$1001,MATCH(ROWS($AH$2:AH334),$AH$2:$AH$1001,0),MATCH(COLUMNS($AO$1006:AW1006),$AO$1006:$BQ$1006,0)), HYPERLINK("#",""), HYPERLINK(CONCATENATE("#Metadata!", ADDRESS(INDEX($AJ$2:$AJ$1001,MATCH(ROWS($AH$2:AH334),$AH$2:$AH$1001,0),0), INDEX($AO$1004:$BQ$1004,1,MATCH(COLUMNS($AO$1006:AW1006),$AO$1006:$BQ$1006,0)))),"Fix")))</f>
        <v>#N/A</v>
      </c>
      <c r="K334" s="5" t="e">
        <f ca="1">IF(OR(INDEX($AI$2:$AI$1001,MATCH(ROWS($AH$2:AH334),$AH$2:$AH$1001,0),1)&gt;=100000,INDEX($AO$1005:$BQ$1005,1,MATCH(COLUMNS($AO$1006:AX1006),$AO$1006:$BQ$1006,0))&gt;=100000), " ",IF(INDEX($AO$2:$BQ$1001,MATCH(ROWS($AH$2:AH334),$AH$2:$AH$1001,0),MATCH(COLUMNS($AO$1006:AX1006),$AO$1006:$BQ$1006,0)), HYPERLINK("#",""), HYPERLINK(CONCATENATE("#Metadata!", ADDRESS(INDEX($AJ$2:$AJ$1001,MATCH(ROWS($AH$2:AH334),$AH$2:$AH$1001,0),0), INDEX($AO$1004:$BQ$1004,1,MATCH(COLUMNS($AO$1006:AX1006),$AO$1006:$BQ$1006,0)))),"Fix")))</f>
        <v>#N/A</v>
      </c>
      <c r="L334" s="5" t="e">
        <f ca="1">IF(OR(INDEX($AI$2:$AI$1001,MATCH(ROWS($AH$2:AH334),$AH$2:$AH$1001,0),1)&gt;=100000,INDEX($AO$1005:$BQ$1005,1,MATCH(COLUMNS($AO$1006:AY1006),$AO$1006:$BQ$1006,0))&gt;=100000), " ",IF(INDEX($AO$2:$BQ$1001,MATCH(ROWS($AH$2:AH334),$AH$2:$AH$1001,0),MATCH(COLUMNS($AO$1006:AY1006),$AO$1006:$BQ$1006,0)), HYPERLINK("#",""), HYPERLINK(CONCATENATE("#Metadata!", ADDRESS(INDEX($AJ$2:$AJ$1001,MATCH(ROWS($AH$2:AH334),$AH$2:$AH$1001,0),0), INDEX($AO$1004:$BQ$1004,1,MATCH(COLUMNS($AO$1006:AY1006),$AO$1006:$BQ$1006,0)))),"Fix")))</f>
        <v>#N/A</v>
      </c>
      <c r="M334" s="5" t="e">
        <f ca="1">IF(OR(INDEX($AI$2:$AI$1001,MATCH(ROWS($AH$2:AH334),$AH$2:$AH$1001,0),1)&gt;=100000,INDEX($AO$1005:$BQ$1005,1,MATCH(COLUMNS($AO$1006:AZ1006),$AO$1006:$BQ$1006,0))&gt;=100000), " ",IF(INDEX($AO$2:$BQ$1001,MATCH(ROWS($AH$2:AH334),$AH$2:$AH$1001,0),MATCH(COLUMNS($AO$1006:AZ1006),$AO$1006:$BQ$1006,0)), HYPERLINK("#",""), HYPERLINK(CONCATENATE("#Metadata!", ADDRESS(INDEX($AJ$2:$AJ$1001,MATCH(ROWS($AH$2:AH334),$AH$2:$AH$1001,0),0), INDEX($AO$1004:$BQ$1004,1,MATCH(COLUMNS($AO$1006:AZ1006),$AO$1006:$BQ$1006,0)))),"Fix")))</f>
        <v>#N/A</v>
      </c>
      <c r="N334" s="5" t="e">
        <f ca="1">IF(OR(INDEX($AI$2:$AI$1001,MATCH(ROWS($AH$2:AH334),$AH$2:$AH$1001,0),1)&gt;=100000,INDEX($AO$1005:$BQ$1005,1,MATCH(COLUMNS($AO$1006:BA1006),$AO$1006:$BQ$1006,0))&gt;=100000), " ",IF(INDEX($AO$2:$BQ$1001,MATCH(ROWS($AH$2:AH334),$AH$2:$AH$1001,0),MATCH(COLUMNS($AO$1006:BA1006),$AO$1006:$BQ$1006,0)), HYPERLINK("#",""), HYPERLINK(CONCATENATE("#Metadata!", ADDRESS(INDEX($AJ$2:$AJ$1001,MATCH(ROWS($AH$2:AH334),$AH$2:$AH$1001,0),0), INDEX($AO$1004:$BQ$1004,1,MATCH(COLUMNS($AO$1006:BA1006),$AO$1006:$BQ$1006,0)))),"Fix")))</f>
        <v>#N/A</v>
      </c>
      <c r="O334" s="5" t="e">
        <f ca="1">IF(OR(INDEX($AI$2:$AI$1001,MATCH(ROWS($AH$2:AH334),$AH$2:$AH$1001,0),1)&gt;=100000,INDEX($AO$1005:$BQ$1005,1,MATCH(COLUMNS($AO$1006:BB1006),$AO$1006:$BQ$1006,0))&gt;=100000), " ",IF(INDEX($AO$2:$BQ$1001,MATCH(ROWS($AH$2:AH334),$AH$2:$AH$1001,0),MATCH(COLUMNS($AO$1006:BB1006),$AO$1006:$BQ$1006,0)), HYPERLINK("#",""), HYPERLINK(CONCATENATE("#Metadata!", ADDRESS(INDEX($AJ$2:$AJ$1001,MATCH(ROWS($AH$2:AH334),$AH$2:$AH$1001,0),0), INDEX($AO$1004:$BQ$1004,1,MATCH(COLUMNS($AO$1006:BB1006),$AO$1006:$BQ$1006,0)))),"Fix")))</f>
        <v>#N/A</v>
      </c>
      <c r="P334" s="5" t="e">
        <f ca="1">IF(OR(INDEX($AI$2:$AI$1001,MATCH(ROWS($AH$2:AH334),$AH$2:$AH$1001,0),1)&gt;=100000,INDEX($AO$1005:$BQ$1005,1,MATCH(COLUMNS($AO$1006:BC1006),$AO$1006:$BQ$1006,0))&gt;=100000), " ",IF(INDEX($AO$2:$BQ$1001,MATCH(ROWS($AH$2:AH334),$AH$2:$AH$1001,0),MATCH(COLUMNS($AO$1006:BC1006),$AO$1006:$BQ$1006,0)), HYPERLINK("#",""), HYPERLINK(CONCATENATE("#Metadata!", ADDRESS(INDEX($AJ$2:$AJ$1001,MATCH(ROWS($AH$2:AH334),$AH$2:$AH$1001,0),0), INDEX($AO$1004:$BQ$1004,1,MATCH(COLUMNS($AO$1006:BC1006),$AO$1006:$BQ$1006,0)))),"Fix")))</f>
        <v>#N/A</v>
      </c>
      <c r="Q334" s="5" t="e">
        <f ca="1">IF(OR(INDEX($AI$2:$AI$1001,MATCH(ROWS($AH$2:AH334),$AH$2:$AH$1001,0),1)&gt;=100000,INDEX($AO$1005:$BQ$1005,1,MATCH(COLUMNS($AO$1006:BD1006),$AO$1006:$BQ$1006,0))&gt;=100000), " ",IF(INDEX($AO$2:$BQ$1001,MATCH(ROWS($AH$2:AH334),$AH$2:$AH$1001,0),MATCH(COLUMNS($AO$1006:BD1006),$AO$1006:$BQ$1006,0)), HYPERLINK("#",""), HYPERLINK(CONCATENATE("#Metadata!", ADDRESS(INDEX($AJ$2:$AJ$1001,MATCH(ROWS($AH$2:AH334),$AH$2:$AH$1001,0),0), INDEX($AO$1004:$BQ$1004,1,MATCH(COLUMNS($AO$1006:BD1006),$AO$1006:$BQ$1006,0)))),"Fix")))</f>
        <v>#N/A</v>
      </c>
      <c r="R334" s="5" t="e">
        <f ca="1">IF(OR(INDEX($AI$2:$AI$1001,MATCH(ROWS($AH$2:AH334),$AH$2:$AH$1001,0),1)&gt;=100000,INDEX($AO$1005:$BQ$1005,1,MATCH(COLUMNS($AO$1006:BE1006),$AO$1006:$BQ$1006,0))&gt;=100000), " ",IF(INDEX($AO$2:$BQ$1001,MATCH(ROWS($AH$2:AH334),$AH$2:$AH$1001,0),MATCH(COLUMNS($AO$1006:BE1006),$AO$1006:$BQ$1006,0)), HYPERLINK("#",""), HYPERLINK(CONCATENATE("#Metadata!", ADDRESS(INDEX($AJ$2:$AJ$1001,MATCH(ROWS($AH$2:AH334),$AH$2:$AH$1001,0),0), INDEX($AO$1004:$BQ$1004,1,MATCH(COLUMNS($AO$1006:BE1006),$AO$1006:$BQ$1006,0)))),"Fix")))</f>
        <v>#N/A</v>
      </c>
      <c r="S334" s="5" t="e">
        <f ca="1">IF(OR(INDEX($AI$2:$AI$1001,MATCH(ROWS($AH$2:AH334),$AH$2:$AH$1001,0),1)&gt;=100000,INDEX($AO$1005:$BQ$1005,1,MATCH(COLUMNS($AO$1006:BF1006),$AO$1006:$BQ$1006,0))&gt;=100000), " ",IF(INDEX($AO$2:$BQ$1001,MATCH(ROWS($AH$2:AH334),$AH$2:$AH$1001,0),MATCH(COLUMNS($AO$1006:BF1006),$AO$1006:$BQ$1006,0)), HYPERLINK("#",""), HYPERLINK(CONCATENATE("#Metadata!", ADDRESS(INDEX($AJ$2:$AJ$1001,MATCH(ROWS($AH$2:AH334),$AH$2:$AH$1001,0),0), INDEX($AO$1004:$BQ$1004,1,MATCH(COLUMNS($AO$1006:BF1006),$AO$1006:$BQ$1006,0)))),"Fix")))</f>
        <v>#N/A</v>
      </c>
      <c r="T334" s="5" t="e">
        <f ca="1">IF(OR(INDEX($AI$2:$AI$1001,MATCH(ROWS($AH$2:AH334),$AH$2:$AH$1001,0),1)&gt;=100000,INDEX($AO$1005:$BQ$1005,1,MATCH(COLUMNS($AO$1006:BG1006),$AO$1006:$BQ$1006,0))&gt;=100000), " ",IF(INDEX($AO$2:$BQ$1001,MATCH(ROWS($AH$2:AH334),$AH$2:$AH$1001,0),MATCH(COLUMNS($AO$1006:BG1006),$AO$1006:$BQ$1006,0)), HYPERLINK("#",""), HYPERLINK(CONCATENATE("#Metadata!", ADDRESS(INDEX($AJ$2:$AJ$1001,MATCH(ROWS($AH$2:AH334),$AH$2:$AH$1001,0),0), INDEX($AO$1004:$BQ$1004,1,MATCH(COLUMNS($AO$1006:BG1006),$AO$1006:$BQ$1006,0)))),"Fix")))</f>
        <v>#N/A</v>
      </c>
      <c r="U334" s="5" t="e">
        <f ca="1">IF(OR(INDEX($AI$2:$AI$1001,MATCH(ROWS($AH$2:AH334),$AH$2:$AH$1001,0),1)&gt;=100000,INDEX($AO$1005:$BQ$1005,1,MATCH(COLUMNS($AO$1006:BH1006),$AO$1006:$BQ$1006,0))&gt;=100000), " ",IF(INDEX($AO$2:$BQ$1001,MATCH(ROWS($AH$2:AH334),$AH$2:$AH$1001,0),MATCH(COLUMNS($AO$1006:BH1006),$AO$1006:$BQ$1006,0)), HYPERLINK("#",""), HYPERLINK(CONCATENATE("#Metadata!", ADDRESS(INDEX($AJ$2:$AJ$1001,MATCH(ROWS($AH$2:AH334),$AH$2:$AH$1001,0),0), INDEX($AO$1004:$BQ$1004,1,MATCH(COLUMNS($AO$1006:BH1006),$AO$1006:$BQ$1006,0)))),"Fix")))</f>
        <v>#N/A</v>
      </c>
      <c r="V334" s="5" t="e">
        <f ca="1">IF(OR(INDEX($AI$2:$AI$1001,MATCH(ROWS($AH$2:AH334),$AH$2:$AH$1001,0),1)&gt;=100000,INDEX($AO$1005:$BQ$1005,1,MATCH(COLUMNS($AO$1006:BI1006),$AO$1006:$BQ$1006,0))&gt;=100000), " ",IF(INDEX($AO$2:$BQ$1001,MATCH(ROWS($AH$2:AH334),$AH$2:$AH$1001,0),MATCH(COLUMNS($AO$1006:BI1006),$AO$1006:$BQ$1006,0)), HYPERLINK("#",""), HYPERLINK(CONCATENATE("#Metadata!", ADDRESS(INDEX($AJ$2:$AJ$1001,MATCH(ROWS($AH$2:AH334),$AH$2:$AH$1001,0),0), INDEX($AO$1004:$BQ$1004,1,MATCH(COLUMNS($AO$1006:BI1006),$AO$1006:$BQ$1006,0)))),"Fix")))</f>
        <v>#N/A</v>
      </c>
      <c r="W334" s="5" t="e">
        <f ca="1">IF(OR(INDEX($AI$2:$AI$1001,MATCH(ROWS($AH$2:AH334),$AH$2:$AH$1001,0),1)&gt;=100000,INDEX($AO$1005:$BQ$1005,1,MATCH(COLUMNS($AO$1006:BJ1006),$AO$1006:$BQ$1006,0))&gt;=100000), " ",IF(INDEX($AO$2:$BQ$1001,MATCH(ROWS($AH$2:AH334),$AH$2:$AH$1001,0),MATCH(COLUMNS($AO$1006:BJ1006),$AO$1006:$BQ$1006,0)), HYPERLINK("#",""), HYPERLINK(CONCATENATE("#Metadata!", ADDRESS(INDEX($AJ$2:$AJ$1001,MATCH(ROWS($AH$2:AH334),$AH$2:$AH$1001,0),0), INDEX($AO$1004:$BQ$1004,1,MATCH(COLUMNS($AO$1006:BJ1006),$AO$1006:$BQ$1006,0)))),"Fix")))</f>
        <v>#N/A</v>
      </c>
      <c r="X334" s="5" t="e">
        <f ca="1">IF(OR(INDEX($AI$2:$AI$1001,MATCH(ROWS($AH$2:AH334),$AH$2:$AH$1001,0),1)&gt;=100000,INDEX($AO$1005:$BQ$1005,1,MATCH(COLUMNS($AO$1006:BK1006),$AO$1006:$BQ$1006,0))&gt;=100000), " ",IF(INDEX($AO$2:$BQ$1001,MATCH(ROWS($AH$2:AH334),$AH$2:$AH$1001,0),MATCH(COLUMNS($AO$1006:BK1006),$AO$1006:$BQ$1006,0)), HYPERLINK("#",""), HYPERLINK(CONCATENATE("#Metadata!", ADDRESS(INDEX($AJ$2:$AJ$1001,MATCH(ROWS($AH$2:AH334),$AH$2:$AH$1001,0),0), INDEX($AO$1004:$BQ$1004,1,MATCH(COLUMNS($AO$1006:BK1006),$AO$1006:$BQ$1006,0)))),"Fix")))</f>
        <v>#N/A</v>
      </c>
      <c r="Y334" s="5" t="e">
        <f ca="1">IF(OR(INDEX($AI$2:$AI$1001,MATCH(ROWS($AH$2:AH334),$AH$2:$AH$1001,0),1)&gt;=100000,INDEX($AO$1005:$BQ$1005,1,MATCH(COLUMNS($AO$1006:BL1006),$AO$1006:$BQ$1006,0))&gt;=100000), " ",IF(INDEX($AO$2:$BQ$1001,MATCH(ROWS($AH$2:AH334),$AH$2:$AH$1001,0),MATCH(COLUMNS($AO$1006:BL1006),$AO$1006:$BQ$1006,0)), HYPERLINK("#",""), HYPERLINK(CONCATENATE("#Metadata!", ADDRESS(INDEX($AJ$2:$AJ$1001,MATCH(ROWS($AH$2:AH334),$AH$2:$AH$1001,0),0), INDEX($AO$1004:$BQ$1004,1,MATCH(COLUMNS($AO$1006:BL1006),$AO$1006:$BQ$1006,0)))),"Fix")))</f>
        <v>#N/A</v>
      </c>
      <c r="Z334" s="5" t="e">
        <f ca="1">IF(OR(INDEX($AI$2:$AI$1001,MATCH(ROWS($AH$2:AH334),$AH$2:$AH$1001,0),1)&gt;=100000,INDEX($AO$1005:$BQ$1005,1,MATCH(COLUMNS($AO$1006:BM1006),$AO$1006:$BQ$1006,0))&gt;=100000), " ",IF(INDEX($AO$2:$BQ$1001,MATCH(ROWS($AH$2:AH334),$AH$2:$AH$1001,0),MATCH(COLUMNS($AO$1006:BM1006),$AO$1006:$BQ$1006,0)), HYPERLINK("#",""), HYPERLINK(CONCATENATE("#Metadata!", ADDRESS(INDEX($AJ$2:$AJ$1001,MATCH(ROWS($AH$2:AH334),$AH$2:$AH$1001,0),0), INDEX($AO$1004:$BQ$1004,1,MATCH(COLUMNS($AO$1006:BM1006),$AO$1006:$BQ$1006,0)))),"Fix")))</f>
        <v>#N/A</v>
      </c>
      <c r="AA334" s="5" t="e">
        <f ca="1">IF(OR(INDEX($AI$2:$AI$1001,MATCH(ROWS($AH$2:AH334),$AH$2:$AH$1001,0),1)&gt;=100000,INDEX($AO$1005:$BQ$1005,1,MATCH(COLUMNS($AO$1006:BN1006),$AO$1006:$BQ$1006,0))&gt;=100000), " ",IF(INDEX($AO$2:$BQ$1001,MATCH(ROWS($AH$2:AH334),$AH$2:$AH$1001,0),MATCH(COLUMNS($AO$1006:BN1006),$AO$1006:$BQ$1006,0)), HYPERLINK("#",""), HYPERLINK(CONCATENATE("#Metadata!", ADDRESS(INDEX($AJ$2:$AJ$1001,MATCH(ROWS($AH$2:AH334),$AH$2:$AH$1001,0),0), INDEX($AO$1004:$BQ$1004,1,MATCH(COLUMNS($AO$1006:BN1006),$AO$1006:$BQ$1006,0)))),"Fix")))</f>
        <v>#N/A</v>
      </c>
      <c r="AB334" s="5" t="e">
        <f ca="1">IF(OR(INDEX($AI$2:$AI$1001,MATCH(ROWS($AH$2:AH334),$AH$2:$AH$1001,0),1)&gt;=100000,INDEX($AO$1005:$BQ$1005,1,MATCH(COLUMNS($AO$1006:BO1006),$AO$1006:$BQ$1006,0))&gt;=100000), " ",IF(INDEX($AO$2:$BQ$1001,MATCH(ROWS($AH$2:AH334),$AH$2:$AH$1001,0),MATCH(COLUMNS($AO$1006:BO1006),$AO$1006:$BQ$1006,0)), HYPERLINK("#",""), HYPERLINK(CONCATENATE("#Metadata!", ADDRESS(INDEX($AJ$2:$AJ$1001,MATCH(ROWS($AH$2:AH334),$AH$2:$AH$1001,0),0), INDEX($AO$1004:$BQ$1004,1,MATCH(COLUMNS($AO$1006:BO1006),$AO$1006:$BQ$1006,0)))),"Fix")))</f>
        <v>#N/A</v>
      </c>
      <c r="AC334" s="5" t="e">
        <f ca="1">IF(OR(INDEX($AI$2:$AI$1001,MATCH(ROWS($AH$2:AH334),$AH$2:$AH$1001,0),1)&gt;=100000,INDEX($AO$1005:$BQ$1005,1,MATCH(COLUMNS($AO$1006:BP1006),$AO$1006:$BQ$1006,0))&gt;=100000), " ",IF(INDEX($AO$2:$BQ$1001,MATCH(ROWS($AH$2:AH334),$AH$2:$AH$1001,0),MATCH(COLUMNS($AO$1006:BP1006),$AO$1006:$BQ$1006,0)), HYPERLINK("#",""), HYPERLINK(CONCATENATE("#Metadata!", ADDRESS(INDEX($AJ$2:$AJ$1001,MATCH(ROWS($AH$2:AH334),$AH$2:$AH$1001,0),0), INDEX($AO$1004:$BQ$1004,1,MATCH(COLUMNS($AO$1006:BP1006),$AO$1006:$BQ$1006,0)))),"Fix")))</f>
        <v>#N/A</v>
      </c>
      <c r="AD334" s="5" t="e">
        <f ca="1">IF(OR(INDEX($AI$2:$AI$1001,MATCH(ROWS($AH$2:AH334),$AH$2:$AH$1001,0),1)&gt;=100000,INDEX($AO$1005:$BQ$1005,1,MATCH(COLUMNS($AO$1006:BQ1006),$AO$1006:$BQ$1006,0))&gt;=100000), " ",IF(INDEX($AO$2:$BQ$1001,MATCH(ROWS($AH$2:AH334),$AH$2:$AH$1001,0),MATCH(COLUMNS($AO$1006:BQ1006),$AO$1006:$BQ$1006,0)), HYPERLINK("#",""), HYPERLINK(CONCATENATE("#Metadata!", ADDRESS(INDEX($AJ$2:$AJ$1001,MATCH(ROWS($AH$2:AH334),$AH$2:$AH$1001,0),0), INDEX($AO$1004:$BQ$1004,1,MATCH(COLUMNS($AO$1006:BQ1006),$AO$1006:$BQ$1006,0)))),"Fix")))</f>
        <v>#REF!</v>
      </c>
      <c r="AH334">
        <f ca="1"/>
        <v>331</v>
      </c>
      <c r="AI334">
        <v>100334</v>
      </c>
      <c r="AJ334">
        <v>334</v>
      </c>
      <c r="AK334" t="b">
        <f t="shared" si="5"/>
        <v>1</v>
      </c>
      <c r="AL334" t="b">
        <f>COUNTBLANK(Metadata!B334:AD334)=COLUMNS(Metadata!B334:AD334)</f>
        <v>1</v>
      </c>
      <c r="AM334" t="str">
        <v/>
      </c>
      <c r="AO334" t="b">
        <f ca="1">AND(IF(Metadata!B334="",FALSE,TRUE),COUNTIF(Metadata!B:B, Metadata!B334) = 1,NOT(ISERROR(SUMPRODUCT(SEARCH(MID(Metadata!B334,ROW(INDIRECT("1:"&amp;LEN(Metadata!B334))), 1),"0123456789abcdefghijklmnopqrstuvwxyzABCDEFGHIJKLMNOPQRSTUVWXYZ.")))))</f>
        <v>0</v>
      </c>
      <c r="AP334" t="b">
        <f>IF(Metadata!C334="",FALSE,TRUE)</f>
        <v>0</v>
      </c>
      <c r="AQ334" t="b">
        <f>IF(Metadata!D334="",FALSE,TRUE)</f>
        <v>0</v>
      </c>
      <c r="AR334" t="b">
        <f ca="1">OR(AND(IF(Metadata!E334="",FALSE,TRUE),OR(EXACT(Metadata!E334,"not collected"),EXACT(Metadata!E334,"not provided"),EXACT(Metadata!E334,"restricted access"))),AND(IF(Metadata!E334="",FALSE,TRUE),AND(AND(IFERROR(INT(LEFT(Metadata!E334,4))&gt;1900,FALSE),IFERROR(INT(LEFT(Metadata!E334,4))&lt;=YEAR(NOW()),FALSE)), OR(MID(Metadata!E334,5,1)="", AND(AND(MID(Metadata!E334,5,1)="-",IFERROR(INT(MID(Metadata!E334,6,1))&gt;=0,FALSE),IFERROR(INT(MID(Metadata!E334,6,1))&lt;=1,FALSE),NOT(MID(Metadata!E334,7,1)=""),IFERROR(INT(MID(Metadata!E334,6,2))&gt;=1,FALSE),IFERROR(INT(MID(Metadata!E334,6,2))&lt;=12,FALSE)), OR(MID(Metadata!E334,8,1)="", AND(AND(MID(Metadata!E334,8,1)="-",IFERROR(INT(MID(Metadata!E334,9,1))&gt;=0,FALSE),IFERROR(INT(MID(Metadata!E334,9,1))&lt;=3,FALSE),NOT(MID(Metadata!E334,10,1)=""),IFERROR(INT(MID(Metadata!E334,9,2))&gt;=1,FALSE),IFERROR(INT(MID(Metadata!E334,9,2))&lt;=31,FALSE)), OR(MID(Metadata!E334,11,1)="", AND(AND(MID(Metadata!E334,11,1)=" ",IFERROR(INT(MID(Metadata!E334,12,1))&gt;=0,FALSE),IFERROR(INT(MID(Metadata!E334,12,1))&lt;=2,FALSE),NOT(MID(Metadata!E334,13,1)=""),IFERROR(INT(MID(Metadata!E334,12,2))&gt;=0,FALSE),IFERROR(INT(MID(Metadata!E334,12,2))&lt;=23,FALSE)), OR(MID(Metadata!E334,14,1)="", AND(AND(MID(Metadata!E334,14,1)=":",IFERROR(INT(MID(Metadata!E334,15,1))&gt;=0,FALSE),IFERROR(INT(MID(Metadata!E334,15,1))&lt;=5,FALSE),NOT(MID(Metadata!E334,16,1)=""),IFERROR(INT(MID(Metadata!E334,15,2))&gt;=0,FALSE),IFERROR(INT(MID(Metadata!E334,15,2))&lt;=59,FALSE)), OR(MID(Metadata!E334,17,1)="", AND(AND(MID(Metadata!E334,17,1)=":",IFERROR(INT(MID(Metadata!E334,18,1))&gt;=0,FALSE),IFERROR(INT(MID(Metadata!E334,18,1))&lt;=5,FALSE),NOT(MID(Metadata!E334,19,1)=""),IFERROR(INT(MID(Metadata!E334,18,2))&gt;=0,FALSE),IFERROR(INT(MID(Metadata!E334,18,2))&lt;=59,FALSE)), LEN(Metadata!E334)&lt;=19)))))))))))))</f>
        <v>0</v>
      </c>
      <c r="AS334" t="b">
        <f>IF(Metadata!F334="",FALSE,TRUE)</f>
        <v>0</v>
      </c>
      <c r="AT334" t="b">
        <f>OR(AND(IF(Metadata!G334="",FALSE,TRUE),OR(EXACT(Metadata!G334,"not collected"),EXACT(Metadata!G334,"not provided"))),AND(IF(Metadata!G334="",FALSE,TRUE),OR(EXACT(Metadata!G334,"TRUE"),EXACT(Metadata!G334,"FALSE"))))</f>
        <v>0</v>
      </c>
      <c r="AU334" t="b">
        <f>OR(AND(IF(Metadata!H334="",FALSE,TRUE),OR(EXACT(Metadata!H334,"not collected"),EXACT(Metadata!H334,"not provided"),EXACT(Metadata!H334,"restricted access"))),AND(IF(Metadata!H334="",FALSE,ISNUMBER(VALUE(Metadata!H334))),Metadata!H334&gt;=-413))</f>
        <v>0</v>
      </c>
      <c r="AV334" t="b">
        <f>AND(IF(Metadata!I334="",FALSE,TRUE),EXACT(Metadata!I334,"meters"))</f>
        <v>0</v>
      </c>
      <c r="AW334" t="b">
        <f>AND(IF(Metadata!J334="",FALSE,TRUE),EXACT(Metadata!J334,"free-living"))</f>
        <v>0</v>
      </c>
      <c r="AX334" t="b">
        <f>AND(IF(Metadata!K334="",FALSE,TRUE),OR(EXACT(Metadata!K334,"saline"),EXACT(Metadata!K334,"non-saline")))</f>
        <v>0</v>
      </c>
      <c r="AY334" t="b">
        <f>AND(IF(Metadata!L334="",FALSE,TRUE),OR(EXACT(Metadata!L334,"sub-surface (non-saline)"),EXACT(Metadata!L334,"surface (non-saline)"),EXACT(Metadata!L334,"water (non-saline)"),EXACT(Metadata!L334,"soil (non-saline)"),EXACT(Metadata!L334,"aerosol (non-saline)"),EXACT(Metadata!L334,"sediment (non-saline)"),EXACT(Metadata!L334,"surface (saline)"),EXACT(Metadata!L334,"water (saline)"),EXACT(Metadata!L334,"hypersaline (saline)"),EXACT(Metadata!L334,"aerosol (saline)"),EXACT(Metadata!L334,"sediment (saline)")))</f>
        <v>0</v>
      </c>
      <c r="AZ334" t="b">
        <f>IF(Metadata!M334="",FALSE,TRUE)</f>
        <v>0</v>
      </c>
      <c r="BA334" t="b">
        <f>IF(Metadata!N334="",FALSE,TRUE)</f>
        <v>0</v>
      </c>
      <c r="BB334" t="b">
        <f>IF(Metadata!O334="",FALSE,TRUE)</f>
        <v>0</v>
      </c>
      <c r="BC334" t="b">
        <f>AND(IF(Metadata!P334="",FALSE,TRUE),OR(EXACT(Metadata!P334,"air"),EXACT(Metadata!P334,"microbial mat/biofilm"),EXACT(Metadata!P334,"misc environment"),EXACT(Metadata!P334,"sediment"),EXACT(Metadata!P334,"soil"),EXACT(Metadata!P334,"wastewater/sludge"),EXACT(Metadata!P334,"water")))</f>
        <v>0</v>
      </c>
      <c r="BD334" t="b">
        <f>IF(Metadata!Q334="",FALSE,TRUE)</f>
        <v>0</v>
      </c>
      <c r="BE334" t="b">
        <f>IF(Metadata!R334="",FALSE,TRUE)</f>
        <v>0</v>
      </c>
      <c r="BF334" t="b">
        <f>OR(AND(IF(Metadata!S334="",FALSE,TRUE),OR(EXACT(Metadata!S334,"not collected"),EXACT(Metadata!S334,"not provided"),EXACT(Metadata!S334,"restricted access"))),AND(IF(Metadata!S334="",FALSE,ISNUMBER(VALUE(Metadata!S334))),Metadata!S334&gt;=-90,Metadata!S334&lt;=90))</f>
        <v>0</v>
      </c>
      <c r="BG334" t="b">
        <f>AND(IF(Metadata!T334="",FALSE,TRUE),EXACT(Metadata!T334,"Decimal degrees"))</f>
        <v>0</v>
      </c>
      <c r="BH334" t="b">
        <f>OR(AND(IF(Metadata!U334="",FALSE,TRUE),OR(EXACT(Metadata!U334,"not applicable"),EXACT(Metadata!U334,"not collected"))),IF(Metadata!U334="",FALSE,TRUE))</f>
        <v>0</v>
      </c>
      <c r="BI334" t="b">
        <f>OR(AND(IF(Metadata!V334="",FALSE,TRUE),OR(EXACT(Metadata!V334,"not collected"),EXACT(Metadata!V334,"not provided"),EXACT(Metadata!V334,"restricted access"))),AND(IF(Metadata!V334="",FALSE,ISNUMBER(VALUE(Metadata!V334))),Metadata!V334&gt;=-180,Metadata!V334&lt;=180))</f>
        <v>0</v>
      </c>
      <c r="BJ334" t="b">
        <f>AND(IF(Metadata!W334="",FALSE,TRUE),EXACT(Metadata!W334,"Decimal degrees"))</f>
        <v>0</v>
      </c>
      <c r="BK334" t="b">
        <f>IF(Metadata!X334="",FALSE,TRUE)</f>
        <v>0</v>
      </c>
      <c r="BL334" t="b">
        <f>OR(AND(IF(Metadata!Y334="",FALSE,TRUE),OR(EXACT(Metadata!Y334,"not collected"),EXACT(Metadata!Y334,"not provided"),EXACT(Metadata!Y334,"restricted access"))),AND(IF(Metadata!Y334="",FALSE,TRUE),OR(EXACT(Metadata!Y334,"TRUE"),EXACT(Metadata!Y334,"FALSE"))))</f>
        <v>0</v>
      </c>
      <c r="BM334" t="b">
        <f>OR(AND(IF(Metadata!Z334="",FALSE,TRUE),EXACT(Metadata!Z334,"not applicable")),AND(IF(Metadata!Z334="",FALSE,TRUE),OR(EXACT(Metadata!Z334,"beer"),EXACT(Metadata!Z334,"cheese"),EXACT(Metadata!Z334,"fresh water"),EXACT(Metadata!Z334,"marine sediment"),EXACT(Metadata!Z334,"sea water"),EXACT(Metadata!Z334,"sediment"),EXACT(Metadata!Z334,"soil"),EXACT(Metadata!Z334,"waste water"))))</f>
        <v>0</v>
      </c>
      <c r="BN334" t="b">
        <f>AND(IF(Metadata!AA334="",FALSE,TRUE),EXACT(Metadata!AA334,"metagenome"))</f>
        <v>0</v>
      </c>
      <c r="BO334" t="b">
        <f>AND(IF(Metadata!AB334="",FALSE,TRUE),EXACT(Metadata!AB334,"256318"))</f>
        <v>0</v>
      </c>
      <c r="BP334" t="b">
        <f>IF(Metadata!AC334="",FALSE,TRUE)</f>
        <v>0</v>
      </c>
      <c r="BQ334" t="b">
        <f>IF(Metadata!AD334="",FALSE,TRUE)</f>
        <v>0</v>
      </c>
    </row>
    <row r="335" spans="1:69" x14ac:dyDescent="0.2">
      <c r="A335" s="4" t="e">
        <f ca="1">IF(B335=" "," ",HYPERLINK(CONCATENATE("#metadata!",ADDRESS(INDEX($AJ$2:$AJ$1001,MATCH(ROWS($AH$2:AH335),$AH$2:$AH$1001,0),0),2)),INDEX($AM$2:$AM$1001,MATCH(ROWS($AH$2:AH335),$AH$2:$AH$1001,0),0)))</f>
        <v>#N/A</v>
      </c>
      <c r="B335" s="5" t="e">
        <f ca="1">IF(OR(INDEX($AI$2:$AI$1001,MATCH(ROWS($AH$2:AH335),$AH$2:$AH$1001,0),1)&gt;=100000,INDEX($AO$1005:$BQ$1005,1,MATCH(COLUMNS($AO$1006:AO1006),$AO$1006:$BQ$1006,0))&gt;=100000), " ",IF(INDEX($AO$2:$BQ$1001,MATCH(ROWS($AH$2:AH335),$AH$2:$AH$1001,0),MATCH(COLUMNS($AO$1006:AO1006),$AO$1006:$BQ$1006,0)), HYPERLINK("#",""), HYPERLINK(CONCATENATE("#Metadata!", ADDRESS(INDEX($AJ$2:$AJ$1001,MATCH(ROWS($AH$2:AH335),$AH$2:$AH$1001,0),0), INDEX($AO$1004:$BQ$1004,1,MATCH(COLUMNS($AO$1006:AO1006),$AO$1006:$BQ$1006,0)))),"Fix")))</f>
        <v>#N/A</v>
      </c>
      <c r="C335" s="5" t="e">
        <f ca="1">IF(OR(INDEX($AI$2:$AI$1001,MATCH(ROWS($AH$2:AH335),$AH$2:$AH$1001,0),1)&gt;=100000,INDEX($AO$1005:$BQ$1005,1,MATCH(COLUMNS($AO$1006:AP1006),$AO$1006:$BQ$1006,0))&gt;=100000), " ",IF(INDEX($AO$2:$BQ$1001,MATCH(ROWS($AH$2:AH335),$AH$2:$AH$1001,0),MATCH(COLUMNS($AO$1006:AP1006),$AO$1006:$BQ$1006,0)), HYPERLINK("#",""), HYPERLINK(CONCATENATE("#Metadata!", ADDRESS(INDEX($AJ$2:$AJ$1001,MATCH(ROWS($AH$2:AH335),$AH$2:$AH$1001,0),0), INDEX($AO$1004:$BQ$1004,1,MATCH(COLUMNS($AO$1006:AP1006),$AO$1006:$BQ$1006,0)))),"Fix")))</f>
        <v>#N/A</v>
      </c>
      <c r="D335" s="5" t="e">
        <f ca="1">IF(OR(INDEX($AI$2:$AI$1001,MATCH(ROWS($AH$2:AH335),$AH$2:$AH$1001,0),1)&gt;=100000,INDEX($AO$1005:$BQ$1005,1,MATCH(COLUMNS($AO$1006:AQ1006),$AO$1006:$BQ$1006,0))&gt;=100000), " ",IF(INDEX($AO$2:$BQ$1001,MATCH(ROWS($AH$2:AH335),$AH$2:$AH$1001,0),MATCH(COLUMNS($AO$1006:AQ1006),$AO$1006:$BQ$1006,0)), HYPERLINK("#",""), HYPERLINK(CONCATENATE("#Metadata!", ADDRESS(INDEX($AJ$2:$AJ$1001,MATCH(ROWS($AH$2:AH335),$AH$2:$AH$1001,0),0), INDEX($AO$1004:$BQ$1004,1,MATCH(COLUMNS($AO$1006:AQ1006),$AO$1006:$BQ$1006,0)))),"Fix")))</f>
        <v>#N/A</v>
      </c>
      <c r="E335" s="5" t="e">
        <f ca="1">IF(OR(INDEX($AI$2:$AI$1001,MATCH(ROWS($AH$2:AH335),$AH$2:$AH$1001,0),1)&gt;=100000,INDEX($AO$1005:$BQ$1005,1,MATCH(COLUMNS($AO$1006:AR1006),$AO$1006:$BQ$1006,0))&gt;=100000), " ",IF(INDEX($AO$2:$BQ$1001,MATCH(ROWS($AH$2:AH335),$AH$2:$AH$1001,0),MATCH(COLUMNS($AO$1006:AR1006),$AO$1006:$BQ$1006,0)), HYPERLINK("#",""), HYPERLINK(CONCATENATE("#Metadata!", ADDRESS(INDEX($AJ$2:$AJ$1001,MATCH(ROWS($AH$2:AH335),$AH$2:$AH$1001,0),0), INDEX($AO$1004:$BQ$1004,1,MATCH(COLUMNS($AO$1006:AR1006),$AO$1006:$BQ$1006,0)))),"Fix")))</f>
        <v>#N/A</v>
      </c>
      <c r="F335" s="5" t="e">
        <f ca="1">IF(OR(INDEX($AI$2:$AI$1001,MATCH(ROWS($AH$2:AH335),$AH$2:$AH$1001,0),1)&gt;=100000,INDEX($AO$1005:$BQ$1005,1,MATCH(COLUMNS($AO$1006:AS1006),$AO$1006:$BQ$1006,0))&gt;=100000), " ",IF(INDEX($AO$2:$BQ$1001,MATCH(ROWS($AH$2:AH335),$AH$2:$AH$1001,0),MATCH(COLUMNS($AO$1006:AS1006),$AO$1006:$BQ$1006,0)), HYPERLINK("#",""), HYPERLINK(CONCATENATE("#Metadata!", ADDRESS(INDEX($AJ$2:$AJ$1001,MATCH(ROWS($AH$2:AH335),$AH$2:$AH$1001,0),0), INDEX($AO$1004:$BQ$1004,1,MATCH(COLUMNS($AO$1006:AS1006),$AO$1006:$BQ$1006,0)))),"Fix")))</f>
        <v>#N/A</v>
      </c>
      <c r="G335" s="5" t="e">
        <f ca="1">IF(OR(INDEX($AI$2:$AI$1001,MATCH(ROWS($AH$2:AH335),$AH$2:$AH$1001,0),1)&gt;=100000,INDEX($AO$1005:$BQ$1005,1,MATCH(COLUMNS($AO$1006:AT1006),$AO$1006:$BQ$1006,0))&gt;=100000), " ",IF(INDEX($AO$2:$BQ$1001,MATCH(ROWS($AH$2:AH335),$AH$2:$AH$1001,0),MATCH(COLUMNS($AO$1006:AT1006),$AO$1006:$BQ$1006,0)), HYPERLINK("#",""), HYPERLINK(CONCATENATE("#Metadata!", ADDRESS(INDEX($AJ$2:$AJ$1001,MATCH(ROWS($AH$2:AH335),$AH$2:$AH$1001,0),0), INDEX($AO$1004:$BQ$1004,1,MATCH(COLUMNS($AO$1006:AT1006),$AO$1006:$BQ$1006,0)))),"Fix")))</f>
        <v>#N/A</v>
      </c>
      <c r="H335" s="5" t="e">
        <f ca="1">IF(OR(INDEX($AI$2:$AI$1001,MATCH(ROWS($AH$2:AH335),$AH$2:$AH$1001,0),1)&gt;=100000,INDEX($AO$1005:$BQ$1005,1,MATCH(COLUMNS($AO$1006:AU1006),$AO$1006:$BQ$1006,0))&gt;=100000), " ",IF(INDEX($AO$2:$BQ$1001,MATCH(ROWS($AH$2:AH335),$AH$2:$AH$1001,0),MATCH(COLUMNS($AO$1006:AU1006),$AO$1006:$BQ$1006,0)), HYPERLINK("#",""), HYPERLINK(CONCATENATE("#Metadata!", ADDRESS(INDEX($AJ$2:$AJ$1001,MATCH(ROWS($AH$2:AH335),$AH$2:$AH$1001,0),0), INDEX($AO$1004:$BQ$1004,1,MATCH(COLUMNS($AO$1006:AU1006),$AO$1006:$BQ$1006,0)))),"Fix")))</f>
        <v>#N/A</v>
      </c>
      <c r="I335" s="5" t="e">
        <f ca="1">IF(OR(INDEX($AI$2:$AI$1001,MATCH(ROWS($AH$2:AH335),$AH$2:$AH$1001,0),1)&gt;=100000,INDEX($AO$1005:$BQ$1005,1,MATCH(COLUMNS($AO$1006:AV1006),$AO$1006:$BQ$1006,0))&gt;=100000), " ",IF(INDEX($AO$2:$BQ$1001,MATCH(ROWS($AH$2:AH335),$AH$2:$AH$1001,0),MATCH(COLUMNS($AO$1006:AV1006),$AO$1006:$BQ$1006,0)), HYPERLINK("#",""), HYPERLINK(CONCATENATE("#Metadata!", ADDRESS(INDEX($AJ$2:$AJ$1001,MATCH(ROWS($AH$2:AH335),$AH$2:$AH$1001,0),0), INDEX($AO$1004:$BQ$1004,1,MATCH(COLUMNS($AO$1006:AV1006),$AO$1006:$BQ$1006,0)))),"Fix")))</f>
        <v>#N/A</v>
      </c>
      <c r="J335" s="5" t="e">
        <f ca="1">IF(OR(INDEX($AI$2:$AI$1001,MATCH(ROWS($AH$2:AH335),$AH$2:$AH$1001,0),1)&gt;=100000,INDEX($AO$1005:$BQ$1005,1,MATCH(COLUMNS($AO$1006:AW1006),$AO$1006:$BQ$1006,0))&gt;=100000), " ",IF(INDEX($AO$2:$BQ$1001,MATCH(ROWS($AH$2:AH335),$AH$2:$AH$1001,0),MATCH(COLUMNS($AO$1006:AW1006),$AO$1006:$BQ$1006,0)), HYPERLINK("#",""), HYPERLINK(CONCATENATE("#Metadata!", ADDRESS(INDEX($AJ$2:$AJ$1001,MATCH(ROWS($AH$2:AH335),$AH$2:$AH$1001,0),0), INDEX($AO$1004:$BQ$1004,1,MATCH(COLUMNS($AO$1006:AW1006),$AO$1006:$BQ$1006,0)))),"Fix")))</f>
        <v>#N/A</v>
      </c>
      <c r="K335" s="5" t="e">
        <f ca="1">IF(OR(INDEX($AI$2:$AI$1001,MATCH(ROWS($AH$2:AH335),$AH$2:$AH$1001,0),1)&gt;=100000,INDEX($AO$1005:$BQ$1005,1,MATCH(COLUMNS($AO$1006:AX1006),$AO$1006:$BQ$1006,0))&gt;=100000), " ",IF(INDEX($AO$2:$BQ$1001,MATCH(ROWS($AH$2:AH335),$AH$2:$AH$1001,0),MATCH(COLUMNS($AO$1006:AX1006),$AO$1006:$BQ$1006,0)), HYPERLINK("#",""), HYPERLINK(CONCATENATE("#Metadata!", ADDRESS(INDEX($AJ$2:$AJ$1001,MATCH(ROWS($AH$2:AH335),$AH$2:$AH$1001,0),0), INDEX($AO$1004:$BQ$1004,1,MATCH(COLUMNS($AO$1006:AX1006),$AO$1006:$BQ$1006,0)))),"Fix")))</f>
        <v>#N/A</v>
      </c>
      <c r="L335" s="5" t="e">
        <f ca="1">IF(OR(INDEX($AI$2:$AI$1001,MATCH(ROWS($AH$2:AH335),$AH$2:$AH$1001,0),1)&gt;=100000,INDEX($AO$1005:$BQ$1005,1,MATCH(COLUMNS($AO$1006:AY1006),$AO$1006:$BQ$1006,0))&gt;=100000), " ",IF(INDEX($AO$2:$BQ$1001,MATCH(ROWS($AH$2:AH335),$AH$2:$AH$1001,0),MATCH(COLUMNS($AO$1006:AY1006),$AO$1006:$BQ$1006,0)), HYPERLINK("#",""), HYPERLINK(CONCATENATE("#Metadata!", ADDRESS(INDEX($AJ$2:$AJ$1001,MATCH(ROWS($AH$2:AH335),$AH$2:$AH$1001,0),0), INDEX($AO$1004:$BQ$1004,1,MATCH(COLUMNS($AO$1006:AY1006),$AO$1006:$BQ$1006,0)))),"Fix")))</f>
        <v>#N/A</v>
      </c>
      <c r="M335" s="5" t="e">
        <f ca="1">IF(OR(INDEX($AI$2:$AI$1001,MATCH(ROWS($AH$2:AH335),$AH$2:$AH$1001,0),1)&gt;=100000,INDEX($AO$1005:$BQ$1005,1,MATCH(COLUMNS($AO$1006:AZ1006),$AO$1006:$BQ$1006,0))&gt;=100000), " ",IF(INDEX($AO$2:$BQ$1001,MATCH(ROWS($AH$2:AH335),$AH$2:$AH$1001,0),MATCH(COLUMNS($AO$1006:AZ1006),$AO$1006:$BQ$1006,0)), HYPERLINK("#",""), HYPERLINK(CONCATENATE("#Metadata!", ADDRESS(INDEX($AJ$2:$AJ$1001,MATCH(ROWS($AH$2:AH335),$AH$2:$AH$1001,0),0), INDEX($AO$1004:$BQ$1004,1,MATCH(COLUMNS($AO$1006:AZ1006),$AO$1006:$BQ$1006,0)))),"Fix")))</f>
        <v>#N/A</v>
      </c>
      <c r="N335" s="5" t="e">
        <f ca="1">IF(OR(INDEX($AI$2:$AI$1001,MATCH(ROWS($AH$2:AH335),$AH$2:$AH$1001,0),1)&gt;=100000,INDEX($AO$1005:$BQ$1005,1,MATCH(COLUMNS($AO$1006:BA1006),$AO$1006:$BQ$1006,0))&gt;=100000), " ",IF(INDEX($AO$2:$BQ$1001,MATCH(ROWS($AH$2:AH335),$AH$2:$AH$1001,0),MATCH(COLUMNS($AO$1006:BA1006),$AO$1006:$BQ$1006,0)), HYPERLINK("#",""), HYPERLINK(CONCATENATE("#Metadata!", ADDRESS(INDEX($AJ$2:$AJ$1001,MATCH(ROWS($AH$2:AH335),$AH$2:$AH$1001,0),0), INDEX($AO$1004:$BQ$1004,1,MATCH(COLUMNS($AO$1006:BA1006),$AO$1006:$BQ$1006,0)))),"Fix")))</f>
        <v>#N/A</v>
      </c>
      <c r="O335" s="5" t="e">
        <f ca="1">IF(OR(INDEX($AI$2:$AI$1001,MATCH(ROWS($AH$2:AH335),$AH$2:$AH$1001,0),1)&gt;=100000,INDEX($AO$1005:$BQ$1005,1,MATCH(COLUMNS($AO$1006:BB1006),$AO$1006:$BQ$1006,0))&gt;=100000), " ",IF(INDEX($AO$2:$BQ$1001,MATCH(ROWS($AH$2:AH335),$AH$2:$AH$1001,0),MATCH(COLUMNS($AO$1006:BB1006),$AO$1006:$BQ$1006,0)), HYPERLINK("#",""), HYPERLINK(CONCATENATE("#Metadata!", ADDRESS(INDEX($AJ$2:$AJ$1001,MATCH(ROWS($AH$2:AH335),$AH$2:$AH$1001,0),0), INDEX($AO$1004:$BQ$1004,1,MATCH(COLUMNS($AO$1006:BB1006),$AO$1006:$BQ$1006,0)))),"Fix")))</f>
        <v>#N/A</v>
      </c>
      <c r="P335" s="5" t="e">
        <f ca="1">IF(OR(INDEX($AI$2:$AI$1001,MATCH(ROWS($AH$2:AH335),$AH$2:$AH$1001,0),1)&gt;=100000,INDEX($AO$1005:$BQ$1005,1,MATCH(COLUMNS($AO$1006:BC1006),$AO$1006:$BQ$1006,0))&gt;=100000), " ",IF(INDEX($AO$2:$BQ$1001,MATCH(ROWS($AH$2:AH335),$AH$2:$AH$1001,0),MATCH(COLUMNS($AO$1006:BC1006),$AO$1006:$BQ$1006,0)), HYPERLINK("#",""), HYPERLINK(CONCATENATE("#Metadata!", ADDRESS(INDEX($AJ$2:$AJ$1001,MATCH(ROWS($AH$2:AH335),$AH$2:$AH$1001,0),0), INDEX($AO$1004:$BQ$1004,1,MATCH(COLUMNS($AO$1006:BC1006),$AO$1006:$BQ$1006,0)))),"Fix")))</f>
        <v>#N/A</v>
      </c>
      <c r="Q335" s="5" t="e">
        <f ca="1">IF(OR(INDEX($AI$2:$AI$1001,MATCH(ROWS($AH$2:AH335),$AH$2:$AH$1001,0),1)&gt;=100000,INDEX($AO$1005:$BQ$1005,1,MATCH(COLUMNS($AO$1006:BD1006),$AO$1006:$BQ$1006,0))&gt;=100000), " ",IF(INDEX($AO$2:$BQ$1001,MATCH(ROWS($AH$2:AH335),$AH$2:$AH$1001,0),MATCH(COLUMNS($AO$1006:BD1006),$AO$1006:$BQ$1006,0)), HYPERLINK("#",""), HYPERLINK(CONCATENATE("#Metadata!", ADDRESS(INDEX($AJ$2:$AJ$1001,MATCH(ROWS($AH$2:AH335),$AH$2:$AH$1001,0),0), INDEX($AO$1004:$BQ$1004,1,MATCH(COLUMNS($AO$1006:BD1006),$AO$1006:$BQ$1006,0)))),"Fix")))</f>
        <v>#N/A</v>
      </c>
      <c r="R335" s="5" t="e">
        <f ca="1">IF(OR(INDEX($AI$2:$AI$1001,MATCH(ROWS($AH$2:AH335),$AH$2:$AH$1001,0),1)&gt;=100000,INDEX($AO$1005:$BQ$1005,1,MATCH(COLUMNS($AO$1006:BE1006),$AO$1006:$BQ$1006,0))&gt;=100000), " ",IF(INDEX($AO$2:$BQ$1001,MATCH(ROWS($AH$2:AH335),$AH$2:$AH$1001,0),MATCH(COLUMNS($AO$1006:BE1006),$AO$1006:$BQ$1006,0)), HYPERLINK("#",""), HYPERLINK(CONCATENATE("#Metadata!", ADDRESS(INDEX($AJ$2:$AJ$1001,MATCH(ROWS($AH$2:AH335),$AH$2:$AH$1001,0),0), INDEX($AO$1004:$BQ$1004,1,MATCH(COLUMNS($AO$1006:BE1006),$AO$1006:$BQ$1006,0)))),"Fix")))</f>
        <v>#N/A</v>
      </c>
      <c r="S335" s="5" t="e">
        <f ca="1">IF(OR(INDEX($AI$2:$AI$1001,MATCH(ROWS($AH$2:AH335),$AH$2:$AH$1001,0),1)&gt;=100000,INDEX($AO$1005:$BQ$1005,1,MATCH(COLUMNS($AO$1006:BF1006),$AO$1006:$BQ$1006,0))&gt;=100000), " ",IF(INDEX($AO$2:$BQ$1001,MATCH(ROWS($AH$2:AH335),$AH$2:$AH$1001,0),MATCH(COLUMNS($AO$1006:BF1006),$AO$1006:$BQ$1006,0)), HYPERLINK("#",""), HYPERLINK(CONCATENATE("#Metadata!", ADDRESS(INDEX($AJ$2:$AJ$1001,MATCH(ROWS($AH$2:AH335),$AH$2:$AH$1001,0),0), INDEX($AO$1004:$BQ$1004,1,MATCH(COLUMNS($AO$1006:BF1006),$AO$1006:$BQ$1006,0)))),"Fix")))</f>
        <v>#N/A</v>
      </c>
      <c r="T335" s="5" t="e">
        <f ca="1">IF(OR(INDEX($AI$2:$AI$1001,MATCH(ROWS($AH$2:AH335),$AH$2:$AH$1001,0),1)&gt;=100000,INDEX($AO$1005:$BQ$1005,1,MATCH(COLUMNS($AO$1006:BG1006),$AO$1006:$BQ$1006,0))&gt;=100000), " ",IF(INDEX($AO$2:$BQ$1001,MATCH(ROWS($AH$2:AH335),$AH$2:$AH$1001,0),MATCH(COLUMNS($AO$1006:BG1006),$AO$1006:$BQ$1006,0)), HYPERLINK("#",""), HYPERLINK(CONCATENATE("#Metadata!", ADDRESS(INDEX($AJ$2:$AJ$1001,MATCH(ROWS($AH$2:AH335),$AH$2:$AH$1001,0),0), INDEX($AO$1004:$BQ$1004,1,MATCH(COLUMNS($AO$1006:BG1006),$AO$1006:$BQ$1006,0)))),"Fix")))</f>
        <v>#N/A</v>
      </c>
      <c r="U335" s="5" t="e">
        <f ca="1">IF(OR(INDEX($AI$2:$AI$1001,MATCH(ROWS($AH$2:AH335),$AH$2:$AH$1001,0),1)&gt;=100000,INDEX($AO$1005:$BQ$1005,1,MATCH(COLUMNS($AO$1006:BH1006),$AO$1006:$BQ$1006,0))&gt;=100000), " ",IF(INDEX($AO$2:$BQ$1001,MATCH(ROWS($AH$2:AH335),$AH$2:$AH$1001,0),MATCH(COLUMNS($AO$1006:BH1006),$AO$1006:$BQ$1006,0)), HYPERLINK("#",""), HYPERLINK(CONCATENATE("#Metadata!", ADDRESS(INDEX($AJ$2:$AJ$1001,MATCH(ROWS($AH$2:AH335),$AH$2:$AH$1001,0),0), INDEX($AO$1004:$BQ$1004,1,MATCH(COLUMNS($AO$1006:BH1006),$AO$1006:$BQ$1006,0)))),"Fix")))</f>
        <v>#N/A</v>
      </c>
      <c r="V335" s="5" t="e">
        <f ca="1">IF(OR(INDEX($AI$2:$AI$1001,MATCH(ROWS($AH$2:AH335),$AH$2:$AH$1001,0),1)&gt;=100000,INDEX($AO$1005:$BQ$1005,1,MATCH(COLUMNS($AO$1006:BI1006),$AO$1006:$BQ$1006,0))&gt;=100000), " ",IF(INDEX($AO$2:$BQ$1001,MATCH(ROWS($AH$2:AH335),$AH$2:$AH$1001,0),MATCH(COLUMNS($AO$1006:BI1006),$AO$1006:$BQ$1006,0)), HYPERLINK("#",""), HYPERLINK(CONCATENATE("#Metadata!", ADDRESS(INDEX($AJ$2:$AJ$1001,MATCH(ROWS($AH$2:AH335),$AH$2:$AH$1001,0),0), INDEX($AO$1004:$BQ$1004,1,MATCH(COLUMNS($AO$1006:BI1006),$AO$1006:$BQ$1006,0)))),"Fix")))</f>
        <v>#N/A</v>
      </c>
      <c r="W335" s="5" t="e">
        <f ca="1">IF(OR(INDEX($AI$2:$AI$1001,MATCH(ROWS($AH$2:AH335),$AH$2:$AH$1001,0),1)&gt;=100000,INDEX($AO$1005:$BQ$1005,1,MATCH(COLUMNS($AO$1006:BJ1006),$AO$1006:$BQ$1006,0))&gt;=100000), " ",IF(INDEX($AO$2:$BQ$1001,MATCH(ROWS($AH$2:AH335),$AH$2:$AH$1001,0),MATCH(COLUMNS($AO$1006:BJ1006),$AO$1006:$BQ$1006,0)), HYPERLINK("#",""), HYPERLINK(CONCATENATE("#Metadata!", ADDRESS(INDEX($AJ$2:$AJ$1001,MATCH(ROWS($AH$2:AH335),$AH$2:$AH$1001,0),0), INDEX($AO$1004:$BQ$1004,1,MATCH(COLUMNS($AO$1006:BJ1006),$AO$1006:$BQ$1006,0)))),"Fix")))</f>
        <v>#N/A</v>
      </c>
      <c r="X335" s="5" t="e">
        <f ca="1">IF(OR(INDEX($AI$2:$AI$1001,MATCH(ROWS($AH$2:AH335),$AH$2:$AH$1001,0),1)&gt;=100000,INDEX($AO$1005:$BQ$1005,1,MATCH(COLUMNS($AO$1006:BK1006),$AO$1006:$BQ$1006,0))&gt;=100000), " ",IF(INDEX($AO$2:$BQ$1001,MATCH(ROWS($AH$2:AH335),$AH$2:$AH$1001,0),MATCH(COLUMNS($AO$1006:BK1006),$AO$1006:$BQ$1006,0)), HYPERLINK("#",""), HYPERLINK(CONCATENATE("#Metadata!", ADDRESS(INDEX($AJ$2:$AJ$1001,MATCH(ROWS($AH$2:AH335),$AH$2:$AH$1001,0),0), INDEX($AO$1004:$BQ$1004,1,MATCH(COLUMNS($AO$1006:BK1006),$AO$1006:$BQ$1006,0)))),"Fix")))</f>
        <v>#N/A</v>
      </c>
      <c r="Y335" s="5" t="e">
        <f ca="1">IF(OR(INDEX($AI$2:$AI$1001,MATCH(ROWS($AH$2:AH335),$AH$2:$AH$1001,0),1)&gt;=100000,INDEX($AO$1005:$BQ$1005,1,MATCH(COLUMNS($AO$1006:BL1006),$AO$1006:$BQ$1006,0))&gt;=100000), " ",IF(INDEX($AO$2:$BQ$1001,MATCH(ROWS($AH$2:AH335),$AH$2:$AH$1001,0),MATCH(COLUMNS($AO$1006:BL1006),$AO$1006:$BQ$1006,0)), HYPERLINK("#",""), HYPERLINK(CONCATENATE("#Metadata!", ADDRESS(INDEX($AJ$2:$AJ$1001,MATCH(ROWS($AH$2:AH335),$AH$2:$AH$1001,0),0), INDEX($AO$1004:$BQ$1004,1,MATCH(COLUMNS($AO$1006:BL1006),$AO$1006:$BQ$1006,0)))),"Fix")))</f>
        <v>#N/A</v>
      </c>
      <c r="Z335" s="5" t="e">
        <f ca="1">IF(OR(INDEX($AI$2:$AI$1001,MATCH(ROWS($AH$2:AH335),$AH$2:$AH$1001,0),1)&gt;=100000,INDEX($AO$1005:$BQ$1005,1,MATCH(COLUMNS($AO$1006:BM1006),$AO$1006:$BQ$1006,0))&gt;=100000), " ",IF(INDEX($AO$2:$BQ$1001,MATCH(ROWS($AH$2:AH335),$AH$2:$AH$1001,0),MATCH(COLUMNS($AO$1006:BM1006),$AO$1006:$BQ$1006,0)), HYPERLINK("#",""), HYPERLINK(CONCATENATE("#Metadata!", ADDRESS(INDEX($AJ$2:$AJ$1001,MATCH(ROWS($AH$2:AH335),$AH$2:$AH$1001,0),0), INDEX($AO$1004:$BQ$1004,1,MATCH(COLUMNS($AO$1006:BM1006),$AO$1006:$BQ$1006,0)))),"Fix")))</f>
        <v>#N/A</v>
      </c>
      <c r="AA335" s="5" t="e">
        <f ca="1">IF(OR(INDEX($AI$2:$AI$1001,MATCH(ROWS($AH$2:AH335),$AH$2:$AH$1001,0),1)&gt;=100000,INDEX($AO$1005:$BQ$1005,1,MATCH(COLUMNS($AO$1006:BN1006),$AO$1006:$BQ$1006,0))&gt;=100000), " ",IF(INDEX($AO$2:$BQ$1001,MATCH(ROWS($AH$2:AH335),$AH$2:$AH$1001,0),MATCH(COLUMNS($AO$1006:BN1006),$AO$1006:$BQ$1006,0)), HYPERLINK("#",""), HYPERLINK(CONCATENATE("#Metadata!", ADDRESS(INDEX($AJ$2:$AJ$1001,MATCH(ROWS($AH$2:AH335),$AH$2:$AH$1001,0),0), INDEX($AO$1004:$BQ$1004,1,MATCH(COLUMNS($AO$1006:BN1006),$AO$1006:$BQ$1006,0)))),"Fix")))</f>
        <v>#N/A</v>
      </c>
      <c r="AB335" s="5" t="e">
        <f ca="1">IF(OR(INDEX($AI$2:$AI$1001,MATCH(ROWS($AH$2:AH335),$AH$2:$AH$1001,0),1)&gt;=100000,INDEX($AO$1005:$BQ$1005,1,MATCH(COLUMNS($AO$1006:BO1006),$AO$1006:$BQ$1006,0))&gt;=100000), " ",IF(INDEX($AO$2:$BQ$1001,MATCH(ROWS($AH$2:AH335),$AH$2:$AH$1001,0),MATCH(COLUMNS($AO$1006:BO1006),$AO$1006:$BQ$1006,0)), HYPERLINK("#",""), HYPERLINK(CONCATENATE("#Metadata!", ADDRESS(INDEX($AJ$2:$AJ$1001,MATCH(ROWS($AH$2:AH335),$AH$2:$AH$1001,0),0), INDEX($AO$1004:$BQ$1004,1,MATCH(COLUMNS($AO$1006:BO1006),$AO$1006:$BQ$1006,0)))),"Fix")))</f>
        <v>#N/A</v>
      </c>
      <c r="AC335" s="5" t="e">
        <f ca="1">IF(OR(INDEX($AI$2:$AI$1001,MATCH(ROWS($AH$2:AH335),$AH$2:$AH$1001,0),1)&gt;=100000,INDEX($AO$1005:$BQ$1005,1,MATCH(COLUMNS($AO$1006:BP1006),$AO$1006:$BQ$1006,0))&gt;=100000), " ",IF(INDEX($AO$2:$BQ$1001,MATCH(ROWS($AH$2:AH335),$AH$2:$AH$1001,0),MATCH(COLUMNS($AO$1006:BP1006),$AO$1006:$BQ$1006,0)), HYPERLINK("#",""), HYPERLINK(CONCATENATE("#Metadata!", ADDRESS(INDEX($AJ$2:$AJ$1001,MATCH(ROWS($AH$2:AH335),$AH$2:$AH$1001,0),0), INDEX($AO$1004:$BQ$1004,1,MATCH(COLUMNS($AO$1006:BP1006),$AO$1006:$BQ$1006,0)))),"Fix")))</f>
        <v>#N/A</v>
      </c>
      <c r="AD335" s="5" t="e">
        <f ca="1">IF(OR(INDEX($AI$2:$AI$1001,MATCH(ROWS($AH$2:AH335),$AH$2:$AH$1001,0),1)&gt;=100000,INDEX($AO$1005:$BQ$1005,1,MATCH(COLUMNS($AO$1006:BQ1006),$AO$1006:$BQ$1006,0))&gt;=100000), " ",IF(INDEX($AO$2:$BQ$1001,MATCH(ROWS($AH$2:AH335),$AH$2:$AH$1001,0),MATCH(COLUMNS($AO$1006:BQ1006),$AO$1006:$BQ$1006,0)), HYPERLINK("#",""), HYPERLINK(CONCATENATE("#Metadata!", ADDRESS(INDEX($AJ$2:$AJ$1001,MATCH(ROWS($AH$2:AH335),$AH$2:$AH$1001,0),0), INDEX($AO$1004:$BQ$1004,1,MATCH(COLUMNS($AO$1006:BQ1006),$AO$1006:$BQ$1006,0)))),"Fix")))</f>
        <v>#REF!</v>
      </c>
      <c r="AH335">
        <f ca="1"/>
        <v>332</v>
      </c>
      <c r="AI335">
        <v>100335</v>
      </c>
      <c r="AJ335">
        <v>335</v>
      </c>
      <c r="AK335" t="b">
        <f t="shared" si="5"/>
        <v>1</v>
      </c>
      <c r="AL335" t="b">
        <f>COUNTBLANK(Metadata!B335:AD335)=COLUMNS(Metadata!B335:AD335)</f>
        <v>1</v>
      </c>
      <c r="AM335" t="str">
        <v/>
      </c>
      <c r="AO335" t="b">
        <f ca="1">AND(IF(Metadata!B335="",FALSE,TRUE),COUNTIF(Metadata!B:B, Metadata!B335) = 1,NOT(ISERROR(SUMPRODUCT(SEARCH(MID(Metadata!B335,ROW(INDIRECT("1:"&amp;LEN(Metadata!B335))), 1),"0123456789abcdefghijklmnopqrstuvwxyzABCDEFGHIJKLMNOPQRSTUVWXYZ.")))))</f>
        <v>0</v>
      </c>
      <c r="AP335" t="b">
        <f>IF(Metadata!C335="",FALSE,TRUE)</f>
        <v>0</v>
      </c>
      <c r="AQ335" t="b">
        <f>IF(Metadata!D335="",FALSE,TRUE)</f>
        <v>0</v>
      </c>
      <c r="AR335" t="b">
        <f ca="1">OR(AND(IF(Metadata!E335="",FALSE,TRUE),OR(EXACT(Metadata!E335,"not collected"),EXACT(Metadata!E335,"not provided"),EXACT(Metadata!E335,"restricted access"))),AND(IF(Metadata!E335="",FALSE,TRUE),AND(AND(IFERROR(INT(LEFT(Metadata!E335,4))&gt;1900,FALSE),IFERROR(INT(LEFT(Metadata!E335,4))&lt;=YEAR(NOW()),FALSE)), OR(MID(Metadata!E335,5,1)="", AND(AND(MID(Metadata!E335,5,1)="-",IFERROR(INT(MID(Metadata!E335,6,1))&gt;=0,FALSE),IFERROR(INT(MID(Metadata!E335,6,1))&lt;=1,FALSE),NOT(MID(Metadata!E335,7,1)=""),IFERROR(INT(MID(Metadata!E335,6,2))&gt;=1,FALSE),IFERROR(INT(MID(Metadata!E335,6,2))&lt;=12,FALSE)), OR(MID(Metadata!E335,8,1)="", AND(AND(MID(Metadata!E335,8,1)="-",IFERROR(INT(MID(Metadata!E335,9,1))&gt;=0,FALSE),IFERROR(INT(MID(Metadata!E335,9,1))&lt;=3,FALSE),NOT(MID(Metadata!E335,10,1)=""),IFERROR(INT(MID(Metadata!E335,9,2))&gt;=1,FALSE),IFERROR(INT(MID(Metadata!E335,9,2))&lt;=31,FALSE)), OR(MID(Metadata!E335,11,1)="", AND(AND(MID(Metadata!E335,11,1)=" ",IFERROR(INT(MID(Metadata!E335,12,1))&gt;=0,FALSE),IFERROR(INT(MID(Metadata!E335,12,1))&lt;=2,FALSE),NOT(MID(Metadata!E335,13,1)=""),IFERROR(INT(MID(Metadata!E335,12,2))&gt;=0,FALSE),IFERROR(INT(MID(Metadata!E335,12,2))&lt;=23,FALSE)), OR(MID(Metadata!E335,14,1)="", AND(AND(MID(Metadata!E335,14,1)=":",IFERROR(INT(MID(Metadata!E335,15,1))&gt;=0,FALSE),IFERROR(INT(MID(Metadata!E335,15,1))&lt;=5,FALSE),NOT(MID(Metadata!E335,16,1)=""),IFERROR(INT(MID(Metadata!E335,15,2))&gt;=0,FALSE),IFERROR(INT(MID(Metadata!E335,15,2))&lt;=59,FALSE)), OR(MID(Metadata!E335,17,1)="", AND(AND(MID(Metadata!E335,17,1)=":",IFERROR(INT(MID(Metadata!E335,18,1))&gt;=0,FALSE),IFERROR(INT(MID(Metadata!E335,18,1))&lt;=5,FALSE),NOT(MID(Metadata!E335,19,1)=""),IFERROR(INT(MID(Metadata!E335,18,2))&gt;=0,FALSE),IFERROR(INT(MID(Metadata!E335,18,2))&lt;=59,FALSE)), LEN(Metadata!E335)&lt;=19)))))))))))))</f>
        <v>0</v>
      </c>
      <c r="AS335" t="b">
        <f>IF(Metadata!F335="",FALSE,TRUE)</f>
        <v>0</v>
      </c>
      <c r="AT335" t="b">
        <f>OR(AND(IF(Metadata!G335="",FALSE,TRUE),OR(EXACT(Metadata!G335,"not collected"),EXACT(Metadata!G335,"not provided"))),AND(IF(Metadata!G335="",FALSE,TRUE),OR(EXACT(Metadata!G335,"TRUE"),EXACT(Metadata!G335,"FALSE"))))</f>
        <v>0</v>
      </c>
      <c r="AU335" t="b">
        <f>OR(AND(IF(Metadata!H335="",FALSE,TRUE),OR(EXACT(Metadata!H335,"not collected"),EXACT(Metadata!H335,"not provided"),EXACT(Metadata!H335,"restricted access"))),AND(IF(Metadata!H335="",FALSE,ISNUMBER(VALUE(Metadata!H335))),Metadata!H335&gt;=-413))</f>
        <v>0</v>
      </c>
      <c r="AV335" t="b">
        <f>AND(IF(Metadata!I335="",FALSE,TRUE),EXACT(Metadata!I335,"meters"))</f>
        <v>0</v>
      </c>
      <c r="AW335" t="b">
        <f>AND(IF(Metadata!J335="",FALSE,TRUE),EXACT(Metadata!J335,"free-living"))</f>
        <v>0</v>
      </c>
      <c r="AX335" t="b">
        <f>AND(IF(Metadata!K335="",FALSE,TRUE),OR(EXACT(Metadata!K335,"saline"),EXACT(Metadata!K335,"non-saline")))</f>
        <v>0</v>
      </c>
      <c r="AY335" t="b">
        <f>AND(IF(Metadata!L335="",FALSE,TRUE),OR(EXACT(Metadata!L335,"sub-surface (non-saline)"),EXACT(Metadata!L335,"surface (non-saline)"),EXACT(Metadata!L335,"water (non-saline)"),EXACT(Metadata!L335,"soil (non-saline)"),EXACT(Metadata!L335,"aerosol (non-saline)"),EXACT(Metadata!L335,"sediment (non-saline)"),EXACT(Metadata!L335,"surface (saline)"),EXACT(Metadata!L335,"water (saline)"),EXACT(Metadata!L335,"hypersaline (saline)"),EXACT(Metadata!L335,"aerosol (saline)"),EXACT(Metadata!L335,"sediment (saline)")))</f>
        <v>0</v>
      </c>
      <c r="AZ335" t="b">
        <f>IF(Metadata!M335="",FALSE,TRUE)</f>
        <v>0</v>
      </c>
      <c r="BA335" t="b">
        <f>IF(Metadata!N335="",FALSE,TRUE)</f>
        <v>0</v>
      </c>
      <c r="BB335" t="b">
        <f>IF(Metadata!O335="",FALSE,TRUE)</f>
        <v>0</v>
      </c>
      <c r="BC335" t="b">
        <f>AND(IF(Metadata!P335="",FALSE,TRUE),OR(EXACT(Metadata!P335,"air"),EXACT(Metadata!P335,"microbial mat/biofilm"),EXACT(Metadata!P335,"misc environment"),EXACT(Metadata!P335,"sediment"),EXACT(Metadata!P335,"soil"),EXACT(Metadata!P335,"wastewater/sludge"),EXACT(Metadata!P335,"water")))</f>
        <v>0</v>
      </c>
      <c r="BD335" t="b">
        <f>IF(Metadata!Q335="",FALSE,TRUE)</f>
        <v>0</v>
      </c>
      <c r="BE335" t="b">
        <f>IF(Metadata!R335="",FALSE,TRUE)</f>
        <v>0</v>
      </c>
      <c r="BF335" t="b">
        <f>OR(AND(IF(Metadata!S335="",FALSE,TRUE),OR(EXACT(Metadata!S335,"not collected"),EXACT(Metadata!S335,"not provided"),EXACT(Metadata!S335,"restricted access"))),AND(IF(Metadata!S335="",FALSE,ISNUMBER(VALUE(Metadata!S335))),Metadata!S335&gt;=-90,Metadata!S335&lt;=90))</f>
        <v>0</v>
      </c>
      <c r="BG335" t="b">
        <f>AND(IF(Metadata!T335="",FALSE,TRUE),EXACT(Metadata!T335,"Decimal degrees"))</f>
        <v>0</v>
      </c>
      <c r="BH335" t="b">
        <f>OR(AND(IF(Metadata!U335="",FALSE,TRUE),OR(EXACT(Metadata!U335,"not applicable"),EXACT(Metadata!U335,"not collected"))),IF(Metadata!U335="",FALSE,TRUE))</f>
        <v>0</v>
      </c>
      <c r="BI335" t="b">
        <f>OR(AND(IF(Metadata!V335="",FALSE,TRUE),OR(EXACT(Metadata!V335,"not collected"),EXACT(Metadata!V335,"not provided"),EXACT(Metadata!V335,"restricted access"))),AND(IF(Metadata!V335="",FALSE,ISNUMBER(VALUE(Metadata!V335))),Metadata!V335&gt;=-180,Metadata!V335&lt;=180))</f>
        <v>0</v>
      </c>
      <c r="BJ335" t="b">
        <f>AND(IF(Metadata!W335="",FALSE,TRUE),EXACT(Metadata!W335,"Decimal degrees"))</f>
        <v>0</v>
      </c>
      <c r="BK335" t="b">
        <f>IF(Metadata!X335="",FALSE,TRUE)</f>
        <v>0</v>
      </c>
      <c r="BL335" t="b">
        <f>OR(AND(IF(Metadata!Y335="",FALSE,TRUE),OR(EXACT(Metadata!Y335,"not collected"),EXACT(Metadata!Y335,"not provided"),EXACT(Metadata!Y335,"restricted access"))),AND(IF(Metadata!Y335="",FALSE,TRUE),OR(EXACT(Metadata!Y335,"TRUE"),EXACT(Metadata!Y335,"FALSE"))))</f>
        <v>0</v>
      </c>
      <c r="BM335" t="b">
        <f>OR(AND(IF(Metadata!Z335="",FALSE,TRUE),EXACT(Metadata!Z335,"not applicable")),AND(IF(Metadata!Z335="",FALSE,TRUE),OR(EXACT(Metadata!Z335,"beer"),EXACT(Metadata!Z335,"cheese"),EXACT(Metadata!Z335,"fresh water"),EXACT(Metadata!Z335,"marine sediment"),EXACT(Metadata!Z335,"sea water"),EXACT(Metadata!Z335,"sediment"),EXACT(Metadata!Z335,"soil"),EXACT(Metadata!Z335,"waste water"))))</f>
        <v>0</v>
      </c>
      <c r="BN335" t="b">
        <f>AND(IF(Metadata!AA335="",FALSE,TRUE),EXACT(Metadata!AA335,"metagenome"))</f>
        <v>0</v>
      </c>
      <c r="BO335" t="b">
        <f>AND(IF(Metadata!AB335="",FALSE,TRUE),EXACT(Metadata!AB335,"256318"))</f>
        <v>0</v>
      </c>
      <c r="BP335" t="b">
        <f>IF(Metadata!AC335="",FALSE,TRUE)</f>
        <v>0</v>
      </c>
      <c r="BQ335" t="b">
        <f>IF(Metadata!AD335="",FALSE,TRUE)</f>
        <v>0</v>
      </c>
    </row>
    <row r="336" spans="1:69" x14ac:dyDescent="0.2">
      <c r="A336" s="4" t="e">
        <f ca="1">IF(B336=" "," ",HYPERLINK(CONCATENATE("#metadata!",ADDRESS(INDEX($AJ$2:$AJ$1001,MATCH(ROWS($AH$2:AH336),$AH$2:$AH$1001,0),0),2)),INDEX($AM$2:$AM$1001,MATCH(ROWS($AH$2:AH336),$AH$2:$AH$1001,0),0)))</f>
        <v>#N/A</v>
      </c>
      <c r="B336" s="5" t="e">
        <f ca="1">IF(OR(INDEX($AI$2:$AI$1001,MATCH(ROWS($AH$2:AH336),$AH$2:$AH$1001,0),1)&gt;=100000,INDEX($AO$1005:$BQ$1005,1,MATCH(COLUMNS($AO$1006:AO1006),$AO$1006:$BQ$1006,0))&gt;=100000), " ",IF(INDEX($AO$2:$BQ$1001,MATCH(ROWS($AH$2:AH336),$AH$2:$AH$1001,0),MATCH(COLUMNS($AO$1006:AO1006),$AO$1006:$BQ$1006,0)), HYPERLINK("#",""), HYPERLINK(CONCATENATE("#Metadata!", ADDRESS(INDEX($AJ$2:$AJ$1001,MATCH(ROWS($AH$2:AH336),$AH$2:$AH$1001,0),0), INDEX($AO$1004:$BQ$1004,1,MATCH(COLUMNS($AO$1006:AO1006),$AO$1006:$BQ$1006,0)))),"Fix")))</f>
        <v>#N/A</v>
      </c>
      <c r="C336" s="5" t="e">
        <f ca="1">IF(OR(INDEX($AI$2:$AI$1001,MATCH(ROWS($AH$2:AH336),$AH$2:$AH$1001,0),1)&gt;=100000,INDEX($AO$1005:$BQ$1005,1,MATCH(COLUMNS($AO$1006:AP1006),$AO$1006:$BQ$1006,0))&gt;=100000), " ",IF(INDEX($AO$2:$BQ$1001,MATCH(ROWS($AH$2:AH336),$AH$2:$AH$1001,0),MATCH(COLUMNS($AO$1006:AP1006),$AO$1006:$BQ$1006,0)), HYPERLINK("#",""), HYPERLINK(CONCATENATE("#Metadata!", ADDRESS(INDEX($AJ$2:$AJ$1001,MATCH(ROWS($AH$2:AH336),$AH$2:$AH$1001,0),0), INDEX($AO$1004:$BQ$1004,1,MATCH(COLUMNS($AO$1006:AP1006),$AO$1006:$BQ$1006,0)))),"Fix")))</f>
        <v>#N/A</v>
      </c>
      <c r="D336" s="5" t="e">
        <f ca="1">IF(OR(INDEX($AI$2:$AI$1001,MATCH(ROWS($AH$2:AH336),$AH$2:$AH$1001,0),1)&gt;=100000,INDEX($AO$1005:$BQ$1005,1,MATCH(COLUMNS($AO$1006:AQ1006),$AO$1006:$BQ$1006,0))&gt;=100000), " ",IF(INDEX($AO$2:$BQ$1001,MATCH(ROWS($AH$2:AH336),$AH$2:$AH$1001,0),MATCH(COLUMNS($AO$1006:AQ1006),$AO$1006:$BQ$1006,0)), HYPERLINK("#",""), HYPERLINK(CONCATENATE("#Metadata!", ADDRESS(INDEX($AJ$2:$AJ$1001,MATCH(ROWS($AH$2:AH336),$AH$2:$AH$1001,0),0), INDEX($AO$1004:$BQ$1004,1,MATCH(COLUMNS($AO$1006:AQ1006),$AO$1006:$BQ$1006,0)))),"Fix")))</f>
        <v>#N/A</v>
      </c>
      <c r="E336" s="5" t="e">
        <f ca="1">IF(OR(INDEX($AI$2:$AI$1001,MATCH(ROWS($AH$2:AH336),$AH$2:$AH$1001,0),1)&gt;=100000,INDEX($AO$1005:$BQ$1005,1,MATCH(COLUMNS($AO$1006:AR1006),$AO$1006:$BQ$1006,0))&gt;=100000), " ",IF(INDEX($AO$2:$BQ$1001,MATCH(ROWS($AH$2:AH336),$AH$2:$AH$1001,0),MATCH(COLUMNS($AO$1006:AR1006),$AO$1006:$BQ$1006,0)), HYPERLINK("#",""), HYPERLINK(CONCATENATE("#Metadata!", ADDRESS(INDEX($AJ$2:$AJ$1001,MATCH(ROWS($AH$2:AH336),$AH$2:$AH$1001,0),0), INDEX($AO$1004:$BQ$1004,1,MATCH(COLUMNS($AO$1006:AR1006),$AO$1006:$BQ$1006,0)))),"Fix")))</f>
        <v>#N/A</v>
      </c>
      <c r="F336" s="5" t="e">
        <f ca="1">IF(OR(INDEX($AI$2:$AI$1001,MATCH(ROWS($AH$2:AH336),$AH$2:$AH$1001,0),1)&gt;=100000,INDEX($AO$1005:$BQ$1005,1,MATCH(COLUMNS($AO$1006:AS1006),$AO$1006:$BQ$1006,0))&gt;=100000), " ",IF(INDEX($AO$2:$BQ$1001,MATCH(ROWS($AH$2:AH336),$AH$2:$AH$1001,0),MATCH(COLUMNS($AO$1006:AS1006),$AO$1006:$BQ$1006,0)), HYPERLINK("#",""), HYPERLINK(CONCATENATE("#Metadata!", ADDRESS(INDEX($AJ$2:$AJ$1001,MATCH(ROWS($AH$2:AH336),$AH$2:$AH$1001,0),0), INDEX($AO$1004:$BQ$1004,1,MATCH(COLUMNS($AO$1006:AS1006),$AO$1006:$BQ$1006,0)))),"Fix")))</f>
        <v>#N/A</v>
      </c>
      <c r="G336" s="5" t="e">
        <f ca="1">IF(OR(INDEX($AI$2:$AI$1001,MATCH(ROWS($AH$2:AH336),$AH$2:$AH$1001,0),1)&gt;=100000,INDEX($AO$1005:$BQ$1005,1,MATCH(COLUMNS($AO$1006:AT1006),$AO$1006:$BQ$1006,0))&gt;=100000), " ",IF(INDEX($AO$2:$BQ$1001,MATCH(ROWS($AH$2:AH336),$AH$2:$AH$1001,0),MATCH(COLUMNS($AO$1006:AT1006),$AO$1006:$BQ$1006,0)), HYPERLINK("#",""), HYPERLINK(CONCATENATE("#Metadata!", ADDRESS(INDEX($AJ$2:$AJ$1001,MATCH(ROWS($AH$2:AH336),$AH$2:$AH$1001,0),0), INDEX($AO$1004:$BQ$1004,1,MATCH(COLUMNS($AO$1006:AT1006),$AO$1006:$BQ$1006,0)))),"Fix")))</f>
        <v>#N/A</v>
      </c>
      <c r="H336" s="5" t="e">
        <f ca="1">IF(OR(INDEX($AI$2:$AI$1001,MATCH(ROWS($AH$2:AH336),$AH$2:$AH$1001,0),1)&gt;=100000,INDEX($AO$1005:$BQ$1005,1,MATCH(COLUMNS($AO$1006:AU1006),$AO$1006:$BQ$1006,0))&gt;=100000), " ",IF(INDEX($AO$2:$BQ$1001,MATCH(ROWS($AH$2:AH336),$AH$2:$AH$1001,0),MATCH(COLUMNS($AO$1006:AU1006),$AO$1006:$BQ$1006,0)), HYPERLINK("#",""), HYPERLINK(CONCATENATE("#Metadata!", ADDRESS(INDEX($AJ$2:$AJ$1001,MATCH(ROWS($AH$2:AH336),$AH$2:$AH$1001,0),0), INDEX($AO$1004:$BQ$1004,1,MATCH(COLUMNS($AO$1006:AU1006),$AO$1006:$BQ$1006,0)))),"Fix")))</f>
        <v>#N/A</v>
      </c>
      <c r="I336" s="5" t="e">
        <f ca="1">IF(OR(INDEX($AI$2:$AI$1001,MATCH(ROWS($AH$2:AH336),$AH$2:$AH$1001,0),1)&gt;=100000,INDEX($AO$1005:$BQ$1005,1,MATCH(COLUMNS($AO$1006:AV1006),$AO$1006:$BQ$1006,0))&gt;=100000), " ",IF(INDEX($AO$2:$BQ$1001,MATCH(ROWS($AH$2:AH336),$AH$2:$AH$1001,0),MATCH(COLUMNS($AO$1006:AV1006),$AO$1006:$BQ$1006,0)), HYPERLINK("#",""), HYPERLINK(CONCATENATE("#Metadata!", ADDRESS(INDEX($AJ$2:$AJ$1001,MATCH(ROWS($AH$2:AH336),$AH$2:$AH$1001,0),0), INDEX($AO$1004:$BQ$1004,1,MATCH(COLUMNS($AO$1006:AV1006),$AO$1006:$BQ$1006,0)))),"Fix")))</f>
        <v>#N/A</v>
      </c>
      <c r="J336" s="5" t="e">
        <f ca="1">IF(OR(INDEX($AI$2:$AI$1001,MATCH(ROWS($AH$2:AH336),$AH$2:$AH$1001,0),1)&gt;=100000,INDEX($AO$1005:$BQ$1005,1,MATCH(COLUMNS($AO$1006:AW1006),$AO$1006:$BQ$1006,0))&gt;=100000), " ",IF(INDEX($AO$2:$BQ$1001,MATCH(ROWS($AH$2:AH336),$AH$2:$AH$1001,0),MATCH(COLUMNS($AO$1006:AW1006),$AO$1006:$BQ$1006,0)), HYPERLINK("#",""), HYPERLINK(CONCATENATE("#Metadata!", ADDRESS(INDEX($AJ$2:$AJ$1001,MATCH(ROWS($AH$2:AH336),$AH$2:$AH$1001,0),0), INDEX($AO$1004:$BQ$1004,1,MATCH(COLUMNS($AO$1006:AW1006),$AO$1006:$BQ$1006,0)))),"Fix")))</f>
        <v>#N/A</v>
      </c>
      <c r="K336" s="5" t="e">
        <f ca="1">IF(OR(INDEX($AI$2:$AI$1001,MATCH(ROWS($AH$2:AH336),$AH$2:$AH$1001,0),1)&gt;=100000,INDEX($AO$1005:$BQ$1005,1,MATCH(COLUMNS($AO$1006:AX1006),$AO$1006:$BQ$1006,0))&gt;=100000), " ",IF(INDEX($AO$2:$BQ$1001,MATCH(ROWS($AH$2:AH336),$AH$2:$AH$1001,0),MATCH(COLUMNS($AO$1006:AX1006),$AO$1006:$BQ$1006,0)), HYPERLINK("#",""), HYPERLINK(CONCATENATE("#Metadata!", ADDRESS(INDEX($AJ$2:$AJ$1001,MATCH(ROWS($AH$2:AH336),$AH$2:$AH$1001,0),0), INDEX($AO$1004:$BQ$1004,1,MATCH(COLUMNS($AO$1006:AX1006),$AO$1006:$BQ$1006,0)))),"Fix")))</f>
        <v>#N/A</v>
      </c>
      <c r="L336" s="5" t="e">
        <f ca="1">IF(OR(INDEX($AI$2:$AI$1001,MATCH(ROWS($AH$2:AH336),$AH$2:$AH$1001,0),1)&gt;=100000,INDEX($AO$1005:$BQ$1005,1,MATCH(COLUMNS($AO$1006:AY1006),$AO$1006:$BQ$1006,0))&gt;=100000), " ",IF(INDEX($AO$2:$BQ$1001,MATCH(ROWS($AH$2:AH336),$AH$2:$AH$1001,0),MATCH(COLUMNS($AO$1006:AY1006),$AO$1006:$BQ$1006,0)), HYPERLINK("#",""), HYPERLINK(CONCATENATE("#Metadata!", ADDRESS(INDEX($AJ$2:$AJ$1001,MATCH(ROWS($AH$2:AH336),$AH$2:$AH$1001,0),0), INDEX($AO$1004:$BQ$1004,1,MATCH(COLUMNS($AO$1006:AY1006),$AO$1006:$BQ$1006,0)))),"Fix")))</f>
        <v>#N/A</v>
      </c>
      <c r="M336" s="5" t="e">
        <f ca="1">IF(OR(INDEX($AI$2:$AI$1001,MATCH(ROWS($AH$2:AH336),$AH$2:$AH$1001,0),1)&gt;=100000,INDEX($AO$1005:$BQ$1005,1,MATCH(COLUMNS($AO$1006:AZ1006),$AO$1006:$BQ$1006,0))&gt;=100000), " ",IF(INDEX($AO$2:$BQ$1001,MATCH(ROWS($AH$2:AH336),$AH$2:$AH$1001,0),MATCH(COLUMNS($AO$1006:AZ1006),$AO$1006:$BQ$1006,0)), HYPERLINK("#",""), HYPERLINK(CONCATENATE("#Metadata!", ADDRESS(INDEX($AJ$2:$AJ$1001,MATCH(ROWS($AH$2:AH336),$AH$2:$AH$1001,0),0), INDEX($AO$1004:$BQ$1004,1,MATCH(COLUMNS($AO$1006:AZ1006),$AO$1006:$BQ$1006,0)))),"Fix")))</f>
        <v>#N/A</v>
      </c>
      <c r="N336" s="5" t="e">
        <f ca="1">IF(OR(INDEX($AI$2:$AI$1001,MATCH(ROWS($AH$2:AH336),$AH$2:$AH$1001,0),1)&gt;=100000,INDEX($AO$1005:$BQ$1005,1,MATCH(COLUMNS($AO$1006:BA1006),$AO$1006:$BQ$1006,0))&gt;=100000), " ",IF(INDEX($AO$2:$BQ$1001,MATCH(ROWS($AH$2:AH336),$AH$2:$AH$1001,0),MATCH(COLUMNS($AO$1006:BA1006),$AO$1006:$BQ$1006,0)), HYPERLINK("#",""), HYPERLINK(CONCATENATE("#Metadata!", ADDRESS(INDEX($AJ$2:$AJ$1001,MATCH(ROWS($AH$2:AH336),$AH$2:$AH$1001,0),0), INDEX($AO$1004:$BQ$1004,1,MATCH(COLUMNS($AO$1006:BA1006),$AO$1006:$BQ$1006,0)))),"Fix")))</f>
        <v>#N/A</v>
      </c>
      <c r="O336" s="5" t="e">
        <f ca="1">IF(OR(INDEX($AI$2:$AI$1001,MATCH(ROWS($AH$2:AH336),$AH$2:$AH$1001,0),1)&gt;=100000,INDEX($AO$1005:$BQ$1005,1,MATCH(COLUMNS($AO$1006:BB1006),$AO$1006:$BQ$1006,0))&gt;=100000), " ",IF(INDEX($AO$2:$BQ$1001,MATCH(ROWS($AH$2:AH336),$AH$2:$AH$1001,0),MATCH(COLUMNS($AO$1006:BB1006),$AO$1006:$BQ$1006,0)), HYPERLINK("#",""), HYPERLINK(CONCATENATE("#Metadata!", ADDRESS(INDEX($AJ$2:$AJ$1001,MATCH(ROWS($AH$2:AH336),$AH$2:$AH$1001,0),0), INDEX($AO$1004:$BQ$1004,1,MATCH(COLUMNS($AO$1006:BB1006),$AO$1006:$BQ$1006,0)))),"Fix")))</f>
        <v>#N/A</v>
      </c>
      <c r="P336" s="5" t="e">
        <f ca="1">IF(OR(INDEX($AI$2:$AI$1001,MATCH(ROWS($AH$2:AH336),$AH$2:$AH$1001,0),1)&gt;=100000,INDEX($AO$1005:$BQ$1005,1,MATCH(COLUMNS($AO$1006:BC1006),$AO$1006:$BQ$1006,0))&gt;=100000), " ",IF(INDEX($AO$2:$BQ$1001,MATCH(ROWS($AH$2:AH336),$AH$2:$AH$1001,0),MATCH(COLUMNS($AO$1006:BC1006),$AO$1006:$BQ$1006,0)), HYPERLINK("#",""), HYPERLINK(CONCATENATE("#Metadata!", ADDRESS(INDEX($AJ$2:$AJ$1001,MATCH(ROWS($AH$2:AH336),$AH$2:$AH$1001,0),0), INDEX($AO$1004:$BQ$1004,1,MATCH(COLUMNS($AO$1006:BC1006),$AO$1006:$BQ$1006,0)))),"Fix")))</f>
        <v>#N/A</v>
      </c>
      <c r="Q336" s="5" t="e">
        <f ca="1">IF(OR(INDEX($AI$2:$AI$1001,MATCH(ROWS($AH$2:AH336),$AH$2:$AH$1001,0),1)&gt;=100000,INDEX($AO$1005:$BQ$1005,1,MATCH(COLUMNS($AO$1006:BD1006),$AO$1006:$BQ$1006,0))&gt;=100000), " ",IF(INDEX($AO$2:$BQ$1001,MATCH(ROWS($AH$2:AH336),$AH$2:$AH$1001,0),MATCH(COLUMNS($AO$1006:BD1006),$AO$1006:$BQ$1006,0)), HYPERLINK("#",""), HYPERLINK(CONCATENATE("#Metadata!", ADDRESS(INDEX($AJ$2:$AJ$1001,MATCH(ROWS($AH$2:AH336),$AH$2:$AH$1001,0),0), INDEX($AO$1004:$BQ$1004,1,MATCH(COLUMNS($AO$1006:BD1006),$AO$1006:$BQ$1006,0)))),"Fix")))</f>
        <v>#N/A</v>
      </c>
      <c r="R336" s="5" t="e">
        <f ca="1">IF(OR(INDEX($AI$2:$AI$1001,MATCH(ROWS($AH$2:AH336),$AH$2:$AH$1001,0),1)&gt;=100000,INDEX($AO$1005:$BQ$1005,1,MATCH(COLUMNS($AO$1006:BE1006),$AO$1006:$BQ$1006,0))&gt;=100000), " ",IF(INDEX($AO$2:$BQ$1001,MATCH(ROWS($AH$2:AH336),$AH$2:$AH$1001,0),MATCH(COLUMNS($AO$1006:BE1006),$AO$1006:$BQ$1006,0)), HYPERLINK("#",""), HYPERLINK(CONCATENATE("#Metadata!", ADDRESS(INDEX($AJ$2:$AJ$1001,MATCH(ROWS($AH$2:AH336),$AH$2:$AH$1001,0),0), INDEX($AO$1004:$BQ$1004,1,MATCH(COLUMNS($AO$1006:BE1006),$AO$1006:$BQ$1006,0)))),"Fix")))</f>
        <v>#N/A</v>
      </c>
      <c r="S336" s="5" t="e">
        <f ca="1">IF(OR(INDEX($AI$2:$AI$1001,MATCH(ROWS($AH$2:AH336),$AH$2:$AH$1001,0),1)&gt;=100000,INDEX($AO$1005:$BQ$1005,1,MATCH(COLUMNS($AO$1006:BF1006),$AO$1006:$BQ$1006,0))&gt;=100000), " ",IF(INDEX($AO$2:$BQ$1001,MATCH(ROWS($AH$2:AH336),$AH$2:$AH$1001,0),MATCH(COLUMNS($AO$1006:BF1006),$AO$1006:$BQ$1006,0)), HYPERLINK("#",""), HYPERLINK(CONCATENATE("#Metadata!", ADDRESS(INDEX($AJ$2:$AJ$1001,MATCH(ROWS($AH$2:AH336),$AH$2:$AH$1001,0),0), INDEX($AO$1004:$BQ$1004,1,MATCH(COLUMNS($AO$1006:BF1006),$AO$1006:$BQ$1006,0)))),"Fix")))</f>
        <v>#N/A</v>
      </c>
      <c r="T336" s="5" t="e">
        <f ca="1">IF(OR(INDEX($AI$2:$AI$1001,MATCH(ROWS($AH$2:AH336),$AH$2:$AH$1001,0),1)&gt;=100000,INDEX($AO$1005:$BQ$1005,1,MATCH(COLUMNS($AO$1006:BG1006),$AO$1006:$BQ$1006,0))&gt;=100000), " ",IF(INDEX($AO$2:$BQ$1001,MATCH(ROWS($AH$2:AH336),$AH$2:$AH$1001,0),MATCH(COLUMNS($AO$1006:BG1006),$AO$1006:$BQ$1006,0)), HYPERLINK("#",""), HYPERLINK(CONCATENATE("#Metadata!", ADDRESS(INDEX($AJ$2:$AJ$1001,MATCH(ROWS($AH$2:AH336),$AH$2:$AH$1001,0),0), INDEX($AO$1004:$BQ$1004,1,MATCH(COLUMNS($AO$1006:BG1006),$AO$1006:$BQ$1006,0)))),"Fix")))</f>
        <v>#N/A</v>
      </c>
      <c r="U336" s="5" t="e">
        <f ca="1">IF(OR(INDEX($AI$2:$AI$1001,MATCH(ROWS($AH$2:AH336),$AH$2:$AH$1001,0),1)&gt;=100000,INDEX($AO$1005:$BQ$1005,1,MATCH(COLUMNS($AO$1006:BH1006),$AO$1006:$BQ$1006,0))&gt;=100000), " ",IF(INDEX($AO$2:$BQ$1001,MATCH(ROWS($AH$2:AH336),$AH$2:$AH$1001,0),MATCH(COLUMNS($AO$1006:BH1006),$AO$1006:$BQ$1006,0)), HYPERLINK("#",""), HYPERLINK(CONCATENATE("#Metadata!", ADDRESS(INDEX($AJ$2:$AJ$1001,MATCH(ROWS($AH$2:AH336),$AH$2:$AH$1001,0),0), INDEX($AO$1004:$BQ$1004,1,MATCH(COLUMNS($AO$1006:BH1006),$AO$1006:$BQ$1006,0)))),"Fix")))</f>
        <v>#N/A</v>
      </c>
      <c r="V336" s="5" t="e">
        <f ca="1">IF(OR(INDEX($AI$2:$AI$1001,MATCH(ROWS($AH$2:AH336),$AH$2:$AH$1001,0),1)&gt;=100000,INDEX($AO$1005:$BQ$1005,1,MATCH(COLUMNS($AO$1006:BI1006),$AO$1006:$BQ$1006,0))&gt;=100000), " ",IF(INDEX($AO$2:$BQ$1001,MATCH(ROWS($AH$2:AH336),$AH$2:$AH$1001,0),MATCH(COLUMNS($AO$1006:BI1006),$AO$1006:$BQ$1006,0)), HYPERLINK("#",""), HYPERLINK(CONCATENATE("#Metadata!", ADDRESS(INDEX($AJ$2:$AJ$1001,MATCH(ROWS($AH$2:AH336),$AH$2:$AH$1001,0),0), INDEX($AO$1004:$BQ$1004,1,MATCH(COLUMNS($AO$1006:BI1006),$AO$1006:$BQ$1006,0)))),"Fix")))</f>
        <v>#N/A</v>
      </c>
      <c r="W336" s="5" t="e">
        <f ca="1">IF(OR(INDEX($AI$2:$AI$1001,MATCH(ROWS($AH$2:AH336),$AH$2:$AH$1001,0),1)&gt;=100000,INDEX($AO$1005:$BQ$1005,1,MATCH(COLUMNS($AO$1006:BJ1006),$AO$1006:$BQ$1006,0))&gt;=100000), " ",IF(INDEX($AO$2:$BQ$1001,MATCH(ROWS($AH$2:AH336),$AH$2:$AH$1001,0),MATCH(COLUMNS($AO$1006:BJ1006),$AO$1006:$BQ$1006,0)), HYPERLINK("#",""), HYPERLINK(CONCATENATE("#Metadata!", ADDRESS(INDEX($AJ$2:$AJ$1001,MATCH(ROWS($AH$2:AH336),$AH$2:$AH$1001,0),0), INDEX($AO$1004:$BQ$1004,1,MATCH(COLUMNS($AO$1006:BJ1006),$AO$1006:$BQ$1006,0)))),"Fix")))</f>
        <v>#N/A</v>
      </c>
      <c r="X336" s="5" t="e">
        <f ca="1">IF(OR(INDEX($AI$2:$AI$1001,MATCH(ROWS($AH$2:AH336),$AH$2:$AH$1001,0),1)&gt;=100000,INDEX($AO$1005:$BQ$1005,1,MATCH(COLUMNS($AO$1006:BK1006),$AO$1006:$BQ$1006,0))&gt;=100000), " ",IF(INDEX($AO$2:$BQ$1001,MATCH(ROWS($AH$2:AH336),$AH$2:$AH$1001,0),MATCH(COLUMNS($AO$1006:BK1006),$AO$1006:$BQ$1006,0)), HYPERLINK("#",""), HYPERLINK(CONCATENATE("#Metadata!", ADDRESS(INDEX($AJ$2:$AJ$1001,MATCH(ROWS($AH$2:AH336),$AH$2:$AH$1001,0),0), INDEX($AO$1004:$BQ$1004,1,MATCH(COLUMNS($AO$1006:BK1006),$AO$1006:$BQ$1006,0)))),"Fix")))</f>
        <v>#N/A</v>
      </c>
      <c r="Y336" s="5" t="e">
        <f ca="1">IF(OR(INDEX($AI$2:$AI$1001,MATCH(ROWS($AH$2:AH336),$AH$2:$AH$1001,0),1)&gt;=100000,INDEX($AO$1005:$BQ$1005,1,MATCH(COLUMNS($AO$1006:BL1006),$AO$1006:$BQ$1006,0))&gt;=100000), " ",IF(INDEX($AO$2:$BQ$1001,MATCH(ROWS($AH$2:AH336),$AH$2:$AH$1001,0),MATCH(COLUMNS($AO$1006:BL1006),$AO$1006:$BQ$1006,0)), HYPERLINK("#",""), HYPERLINK(CONCATENATE("#Metadata!", ADDRESS(INDEX($AJ$2:$AJ$1001,MATCH(ROWS($AH$2:AH336),$AH$2:$AH$1001,0),0), INDEX($AO$1004:$BQ$1004,1,MATCH(COLUMNS($AO$1006:BL1006),$AO$1006:$BQ$1006,0)))),"Fix")))</f>
        <v>#N/A</v>
      </c>
      <c r="Z336" s="5" t="e">
        <f ca="1">IF(OR(INDEX($AI$2:$AI$1001,MATCH(ROWS($AH$2:AH336),$AH$2:$AH$1001,0),1)&gt;=100000,INDEX($AO$1005:$BQ$1005,1,MATCH(COLUMNS($AO$1006:BM1006),$AO$1006:$BQ$1006,0))&gt;=100000), " ",IF(INDEX($AO$2:$BQ$1001,MATCH(ROWS($AH$2:AH336),$AH$2:$AH$1001,0),MATCH(COLUMNS($AO$1006:BM1006),$AO$1006:$BQ$1006,0)), HYPERLINK("#",""), HYPERLINK(CONCATENATE("#Metadata!", ADDRESS(INDEX($AJ$2:$AJ$1001,MATCH(ROWS($AH$2:AH336),$AH$2:$AH$1001,0),0), INDEX($AO$1004:$BQ$1004,1,MATCH(COLUMNS($AO$1006:BM1006),$AO$1006:$BQ$1006,0)))),"Fix")))</f>
        <v>#N/A</v>
      </c>
      <c r="AA336" s="5" t="e">
        <f ca="1">IF(OR(INDEX($AI$2:$AI$1001,MATCH(ROWS($AH$2:AH336),$AH$2:$AH$1001,0),1)&gt;=100000,INDEX($AO$1005:$BQ$1005,1,MATCH(COLUMNS($AO$1006:BN1006),$AO$1006:$BQ$1006,0))&gt;=100000), " ",IF(INDEX($AO$2:$BQ$1001,MATCH(ROWS($AH$2:AH336),$AH$2:$AH$1001,0),MATCH(COLUMNS($AO$1006:BN1006),$AO$1006:$BQ$1006,0)), HYPERLINK("#",""), HYPERLINK(CONCATENATE("#Metadata!", ADDRESS(INDEX($AJ$2:$AJ$1001,MATCH(ROWS($AH$2:AH336),$AH$2:$AH$1001,0),0), INDEX($AO$1004:$BQ$1004,1,MATCH(COLUMNS($AO$1006:BN1006),$AO$1006:$BQ$1006,0)))),"Fix")))</f>
        <v>#N/A</v>
      </c>
      <c r="AB336" s="5" t="e">
        <f ca="1">IF(OR(INDEX($AI$2:$AI$1001,MATCH(ROWS($AH$2:AH336),$AH$2:$AH$1001,0),1)&gt;=100000,INDEX($AO$1005:$BQ$1005,1,MATCH(COLUMNS($AO$1006:BO1006),$AO$1006:$BQ$1006,0))&gt;=100000), " ",IF(INDEX($AO$2:$BQ$1001,MATCH(ROWS($AH$2:AH336),$AH$2:$AH$1001,0),MATCH(COLUMNS($AO$1006:BO1006),$AO$1006:$BQ$1006,0)), HYPERLINK("#",""), HYPERLINK(CONCATENATE("#Metadata!", ADDRESS(INDEX($AJ$2:$AJ$1001,MATCH(ROWS($AH$2:AH336),$AH$2:$AH$1001,0),0), INDEX($AO$1004:$BQ$1004,1,MATCH(COLUMNS($AO$1006:BO1006),$AO$1006:$BQ$1006,0)))),"Fix")))</f>
        <v>#N/A</v>
      </c>
      <c r="AC336" s="5" t="e">
        <f ca="1">IF(OR(INDEX($AI$2:$AI$1001,MATCH(ROWS($AH$2:AH336),$AH$2:$AH$1001,0),1)&gt;=100000,INDEX($AO$1005:$BQ$1005,1,MATCH(COLUMNS($AO$1006:BP1006),$AO$1006:$BQ$1006,0))&gt;=100000), " ",IF(INDEX($AO$2:$BQ$1001,MATCH(ROWS($AH$2:AH336),$AH$2:$AH$1001,0),MATCH(COLUMNS($AO$1006:BP1006),$AO$1006:$BQ$1006,0)), HYPERLINK("#",""), HYPERLINK(CONCATENATE("#Metadata!", ADDRESS(INDEX($AJ$2:$AJ$1001,MATCH(ROWS($AH$2:AH336),$AH$2:$AH$1001,0),0), INDEX($AO$1004:$BQ$1004,1,MATCH(COLUMNS($AO$1006:BP1006),$AO$1006:$BQ$1006,0)))),"Fix")))</f>
        <v>#N/A</v>
      </c>
      <c r="AD336" s="5" t="e">
        <f ca="1">IF(OR(INDEX($AI$2:$AI$1001,MATCH(ROWS($AH$2:AH336),$AH$2:$AH$1001,0),1)&gt;=100000,INDEX($AO$1005:$BQ$1005,1,MATCH(COLUMNS($AO$1006:BQ1006),$AO$1006:$BQ$1006,0))&gt;=100000), " ",IF(INDEX($AO$2:$BQ$1001,MATCH(ROWS($AH$2:AH336),$AH$2:$AH$1001,0),MATCH(COLUMNS($AO$1006:BQ1006),$AO$1006:$BQ$1006,0)), HYPERLINK("#",""), HYPERLINK(CONCATENATE("#Metadata!", ADDRESS(INDEX($AJ$2:$AJ$1001,MATCH(ROWS($AH$2:AH336),$AH$2:$AH$1001,0),0), INDEX($AO$1004:$BQ$1004,1,MATCH(COLUMNS($AO$1006:BQ1006),$AO$1006:$BQ$1006,0)))),"Fix")))</f>
        <v>#REF!</v>
      </c>
      <c r="AH336">
        <f ca="1"/>
        <v>333</v>
      </c>
      <c r="AI336">
        <v>100336</v>
      </c>
      <c r="AJ336">
        <v>336</v>
      </c>
      <c r="AK336" t="b">
        <f t="shared" si="5"/>
        <v>1</v>
      </c>
      <c r="AL336" t="b">
        <f>COUNTBLANK(Metadata!B336:AD336)=COLUMNS(Metadata!B336:AD336)</f>
        <v>1</v>
      </c>
      <c r="AM336" t="str">
        <v/>
      </c>
      <c r="AO336" t="b">
        <f ca="1">AND(IF(Metadata!B336="",FALSE,TRUE),COUNTIF(Metadata!B:B, Metadata!B336) = 1,NOT(ISERROR(SUMPRODUCT(SEARCH(MID(Metadata!B336,ROW(INDIRECT("1:"&amp;LEN(Metadata!B336))), 1),"0123456789abcdefghijklmnopqrstuvwxyzABCDEFGHIJKLMNOPQRSTUVWXYZ.")))))</f>
        <v>0</v>
      </c>
      <c r="AP336" t="b">
        <f>IF(Metadata!C336="",FALSE,TRUE)</f>
        <v>0</v>
      </c>
      <c r="AQ336" t="b">
        <f>IF(Metadata!D336="",FALSE,TRUE)</f>
        <v>0</v>
      </c>
      <c r="AR336" t="b">
        <f ca="1">OR(AND(IF(Metadata!E336="",FALSE,TRUE),OR(EXACT(Metadata!E336,"not collected"),EXACT(Metadata!E336,"not provided"),EXACT(Metadata!E336,"restricted access"))),AND(IF(Metadata!E336="",FALSE,TRUE),AND(AND(IFERROR(INT(LEFT(Metadata!E336,4))&gt;1900,FALSE),IFERROR(INT(LEFT(Metadata!E336,4))&lt;=YEAR(NOW()),FALSE)), OR(MID(Metadata!E336,5,1)="", AND(AND(MID(Metadata!E336,5,1)="-",IFERROR(INT(MID(Metadata!E336,6,1))&gt;=0,FALSE),IFERROR(INT(MID(Metadata!E336,6,1))&lt;=1,FALSE),NOT(MID(Metadata!E336,7,1)=""),IFERROR(INT(MID(Metadata!E336,6,2))&gt;=1,FALSE),IFERROR(INT(MID(Metadata!E336,6,2))&lt;=12,FALSE)), OR(MID(Metadata!E336,8,1)="", AND(AND(MID(Metadata!E336,8,1)="-",IFERROR(INT(MID(Metadata!E336,9,1))&gt;=0,FALSE),IFERROR(INT(MID(Metadata!E336,9,1))&lt;=3,FALSE),NOT(MID(Metadata!E336,10,1)=""),IFERROR(INT(MID(Metadata!E336,9,2))&gt;=1,FALSE),IFERROR(INT(MID(Metadata!E336,9,2))&lt;=31,FALSE)), OR(MID(Metadata!E336,11,1)="", AND(AND(MID(Metadata!E336,11,1)=" ",IFERROR(INT(MID(Metadata!E336,12,1))&gt;=0,FALSE),IFERROR(INT(MID(Metadata!E336,12,1))&lt;=2,FALSE),NOT(MID(Metadata!E336,13,1)=""),IFERROR(INT(MID(Metadata!E336,12,2))&gt;=0,FALSE),IFERROR(INT(MID(Metadata!E336,12,2))&lt;=23,FALSE)), OR(MID(Metadata!E336,14,1)="", AND(AND(MID(Metadata!E336,14,1)=":",IFERROR(INT(MID(Metadata!E336,15,1))&gt;=0,FALSE),IFERROR(INT(MID(Metadata!E336,15,1))&lt;=5,FALSE),NOT(MID(Metadata!E336,16,1)=""),IFERROR(INT(MID(Metadata!E336,15,2))&gt;=0,FALSE),IFERROR(INT(MID(Metadata!E336,15,2))&lt;=59,FALSE)), OR(MID(Metadata!E336,17,1)="", AND(AND(MID(Metadata!E336,17,1)=":",IFERROR(INT(MID(Metadata!E336,18,1))&gt;=0,FALSE),IFERROR(INT(MID(Metadata!E336,18,1))&lt;=5,FALSE),NOT(MID(Metadata!E336,19,1)=""),IFERROR(INT(MID(Metadata!E336,18,2))&gt;=0,FALSE),IFERROR(INT(MID(Metadata!E336,18,2))&lt;=59,FALSE)), LEN(Metadata!E336)&lt;=19)))))))))))))</f>
        <v>0</v>
      </c>
      <c r="AS336" t="b">
        <f>IF(Metadata!F336="",FALSE,TRUE)</f>
        <v>0</v>
      </c>
      <c r="AT336" t="b">
        <f>OR(AND(IF(Metadata!G336="",FALSE,TRUE),OR(EXACT(Metadata!G336,"not collected"),EXACT(Metadata!G336,"not provided"))),AND(IF(Metadata!G336="",FALSE,TRUE),OR(EXACT(Metadata!G336,"TRUE"),EXACT(Metadata!G336,"FALSE"))))</f>
        <v>0</v>
      </c>
      <c r="AU336" t="b">
        <f>OR(AND(IF(Metadata!H336="",FALSE,TRUE),OR(EXACT(Metadata!H336,"not collected"),EXACT(Metadata!H336,"not provided"),EXACT(Metadata!H336,"restricted access"))),AND(IF(Metadata!H336="",FALSE,ISNUMBER(VALUE(Metadata!H336))),Metadata!H336&gt;=-413))</f>
        <v>0</v>
      </c>
      <c r="AV336" t="b">
        <f>AND(IF(Metadata!I336="",FALSE,TRUE),EXACT(Metadata!I336,"meters"))</f>
        <v>0</v>
      </c>
      <c r="AW336" t="b">
        <f>AND(IF(Metadata!J336="",FALSE,TRUE),EXACT(Metadata!J336,"free-living"))</f>
        <v>0</v>
      </c>
      <c r="AX336" t="b">
        <f>AND(IF(Metadata!K336="",FALSE,TRUE),OR(EXACT(Metadata!K336,"saline"),EXACT(Metadata!K336,"non-saline")))</f>
        <v>0</v>
      </c>
      <c r="AY336" t="b">
        <f>AND(IF(Metadata!L336="",FALSE,TRUE),OR(EXACT(Metadata!L336,"sub-surface (non-saline)"),EXACT(Metadata!L336,"surface (non-saline)"),EXACT(Metadata!L336,"water (non-saline)"),EXACT(Metadata!L336,"soil (non-saline)"),EXACT(Metadata!L336,"aerosol (non-saline)"),EXACT(Metadata!L336,"sediment (non-saline)"),EXACT(Metadata!L336,"surface (saline)"),EXACT(Metadata!L336,"water (saline)"),EXACT(Metadata!L336,"hypersaline (saline)"),EXACT(Metadata!L336,"aerosol (saline)"),EXACT(Metadata!L336,"sediment (saline)")))</f>
        <v>0</v>
      </c>
      <c r="AZ336" t="b">
        <f>IF(Metadata!M336="",FALSE,TRUE)</f>
        <v>0</v>
      </c>
      <c r="BA336" t="b">
        <f>IF(Metadata!N336="",FALSE,TRUE)</f>
        <v>0</v>
      </c>
      <c r="BB336" t="b">
        <f>IF(Metadata!O336="",FALSE,TRUE)</f>
        <v>0</v>
      </c>
      <c r="BC336" t="b">
        <f>AND(IF(Metadata!P336="",FALSE,TRUE),OR(EXACT(Metadata!P336,"air"),EXACT(Metadata!P336,"microbial mat/biofilm"),EXACT(Metadata!P336,"misc environment"),EXACT(Metadata!P336,"sediment"),EXACT(Metadata!P336,"soil"),EXACT(Metadata!P336,"wastewater/sludge"),EXACT(Metadata!P336,"water")))</f>
        <v>0</v>
      </c>
      <c r="BD336" t="b">
        <f>IF(Metadata!Q336="",FALSE,TRUE)</f>
        <v>0</v>
      </c>
      <c r="BE336" t="b">
        <f>IF(Metadata!R336="",FALSE,TRUE)</f>
        <v>0</v>
      </c>
      <c r="BF336" t="b">
        <f>OR(AND(IF(Metadata!S336="",FALSE,TRUE),OR(EXACT(Metadata!S336,"not collected"),EXACT(Metadata!S336,"not provided"),EXACT(Metadata!S336,"restricted access"))),AND(IF(Metadata!S336="",FALSE,ISNUMBER(VALUE(Metadata!S336))),Metadata!S336&gt;=-90,Metadata!S336&lt;=90))</f>
        <v>0</v>
      </c>
      <c r="BG336" t="b">
        <f>AND(IF(Metadata!T336="",FALSE,TRUE),EXACT(Metadata!T336,"Decimal degrees"))</f>
        <v>0</v>
      </c>
      <c r="BH336" t="b">
        <f>OR(AND(IF(Metadata!U336="",FALSE,TRUE),OR(EXACT(Metadata!U336,"not applicable"),EXACT(Metadata!U336,"not collected"))),IF(Metadata!U336="",FALSE,TRUE))</f>
        <v>0</v>
      </c>
      <c r="BI336" t="b">
        <f>OR(AND(IF(Metadata!V336="",FALSE,TRUE),OR(EXACT(Metadata!V336,"not collected"),EXACT(Metadata!V336,"not provided"),EXACT(Metadata!V336,"restricted access"))),AND(IF(Metadata!V336="",FALSE,ISNUMBER(VALUE(Metadata!V336))),Metadata!V336&gt;=-180,Metadata!V336&lt;=180))</f>
        <v>0</v>
      </c>
      <c r="BJ336" t="b">
        <f>AND(IF(Metadata!W336="",FALSE,TRUE),EXACT(Metadata!W336,"Decimal degrees"))</f>
        <v>0</v>
      </c>
      <c r="BK336" t="b">
        <f>IF(Metadata!X336="",FALSE,TRUE)</f>
        <v>0</v>
      </c>
      <c r="BL336" t="b">
        <f>OR(AND(IF(Metadata!Y336="",FALSE,TRUE),OR(EXACT(Metadata!Y336,"not collected"),EXACT(Metadata!Y336,"not provided"),EXACT(Metadata!Y336,"restricted access"))),AND(IF(Metadata!Y336="",FALSE,TRUE),OR(EXACT(Metadata!Y336,"TRUE"),EXACT(Metadata!Y336,"FALSE"))))</f>
        <v>0</v>
      </c>
      <c r="BM336" t="b">
        <f>OR(AND(IF(Metadata!Z336="",FALSE,TRUE),EXACT(Metadata!Z336,"not applicable")),AND(IF(Metadata!Z336="",FALSE,TRUE),OR(EXACT(Metadata!Z336,"beer"),EXACT(Metadata!Z336,"cheese"),EXACT(Metadata!Z336,"fresh water"),EXACT(Metadata!Z336,"marine sediment"),EXACT(Metadata!Z336,"sea water"),EXACT(Metadata!Z336,"sediment"),EXACT(Metadata!Z336,"soil"),EXACT(Metadata!Z336,"waste water"))))</f>
        <v>0</v>
      </c>
      <c r="BN336" t="b">
        <f>AND(IF(Metadata!AA336="",FALSE,TRUE),EXACT(Metadata!AA336,"metagenome"))</f>
        <v>0</v>
      </c>
      <c r="BO336" t="b">
        <f>AND(IF(Metadata!AB336="",FALSE,TRUE),EXACT(Metadata!AB336,"256318"))</f>
        <v>0</v>
      </c>
      <c r="BP336" t="b">
        <f>IF(Metadata!AC336="",FALSE,TRUE)</f>
        <v>0</v>
      </c>
      <c r="BQ336" t="b">
        <f>IF(Metadata!AD336="",FALSE,TRUE)</f>
        <v>0</v>
      </c>
    </row>
    <row r="337" spans="1:69" x14ac:dyDescent="0.2">
      <c r="A337" s="4" t="e">
        <f ca="1">IF(B337=" "," ",HYPERLINK(CONCATENATE("#metadata!",ADDRESS(INDEX($AJ$2:$AJ$1001,MATCH(ROWS($AH$2:AH337),$AH$2:$AH$1001,0),0),2)),INDEX($AM$2:$AM$1001,MATCH(ROWS($AH$2:AH337),$AH$2:$AH$1001,0),0)))</f>
        <v>#N/A</v>
      </c>
      <c r="B337" s="5" t="e">
        <f ca="1">IF(OR(INDEX($AI$2:$AI$1001,MATCH(ROWS($AH$2:AH337),$AH$2:$AH$1001,0),1)&gt;=100000,INDEX($AO$1005:$BQ$1005,1,MATCH(COLUMNS($AO$1006:AO1006),$AO$1006:$BQ$1006,0))&gt;=100000), " ",IF(INDEX($AO$2:$BQ$1001,MATCH(ROWS($AH$2:AH337),$AH$2:$AH$1001,0),MATCH(COLUMNS($AO$1006:AO1006),$AO$1006:$BQ$1006,0)), HYPERLINK("#",""), HYPERLINK(CONCATENATE("#Metadata!", ADDRESS(INDEX($AJ$2:$AJ$1001,MATCH(ROWS($AH$2:AH337),$AH$2:$AH$1001,0),0), INDEX($AO$1004:$BQ$1004,1,MATCH(COLUMNS($AO$1006:AO1006),$AO$1006:$BQ$1006,0)))),"Fix")))</f>
        <v>#N/A</v>
      </c>
      <c r="C337" s="5" t="e">
        <f ca="1">IF(OR(INDEX($AI$2:$AI$1001,MATCH(ROWS($AH$2:AH337),$AH$2:$AH$1001,0),1)&gt;=100000,INDEX($AO$1005:$BQ$1005,1,MATCH(COLUMNS($AO$1006:AP1006),$AO$1006:$BQ$1006,0))&gt;=100000), " ",IF(INDEX($AO$2:$BQ$1001,MATCH(ROWS($AH$2:AH337),$AH$2:$AH$1001,0),MATCH(COLUMNS($AO$1006:AP1006),$AO$1006:$BQ$1006,0)), HYPERLINK("#",""), HYPERLINK(CONCATENATE("#Metadata!", ADDRESS(INDEX($AJ$2:$AJ$1001,MATCH(ROWS($AH$2:AH337),$AH$2:$AH$1001,0),0), INDEX($AO$1004:$BQ$1004,1,MATCH(COLUMNS($AO$1006:AP1006),$AO$1006:$BQ$1006,0)))),"Fix")))</f>
        <v>#N/A</v>
      </c>
      <c r="D337" s="5" t="e">
        <f ca="1">IF(OR(INDEX($AI$2:$AI$1001,MATCH(ROWS($AH$2:AH337),$AH$2:$AH$1001,0),1)&gt;=100000,INDEX($AO$1005:$BQ$1005,1,MATCH(COLUMNS($AO$1006:AQ1006),$AO$1006:$BQ$1006,0))&gt;=100000), " ",IF(INDEX($AO$2:$BQ$1001,MATCH(ROWS($AH$2:AH337),$AH$2:$AH$1001,0),MATCH(COLUMNS($AO$1006:AQ1006),$AO$1006:$BQ$1006,0)), HYPERLINK("#",""), HYPERLINK(CONCATENATE("#Metadata!", ADDRESS(INDEX($AJ$2:$AJ$1001,MATCH(ROWS($AH$2:AH337),$AH$2:$AH$1001,0),0), INDEX($AO$1004:$BQ$1004,1,MATCH(COLUMNS($AO$1006:AQ1006),$AO$1006:$BQ$1006,0)))),"Fix")))</f>
        <v>#N/A</v>
      </c>
      <c r="E337" s="5" t="e">
        <f ca="1">IF(OR(INDEX($AI$2:$AI$1001,MATCH(ROWS($AH$2:AH337),$AH$2:$AH$1001,0),1)&gt;=100000,INDEX($AO$1005:$BQ$1005,1,MATCH(COLUMNS($AO$1006:AR1006),$AO$1006:$BQ$1006,0))&gt;=100000), " ",IF(INDEX($AO$2:$BQ$1001,MATCH(ROWS($AH$2:AH337),$AH$2:$AH$1001,0),MATCH(COLUMNS($AO$1006:AR1006),$AO$1006:$BQ$1006,0)), HYPERLINK("#",""), HYPERLINK(CONCATENATE("#Metadata!", ADDRESS(INDEX($AJ$2:$AJ$1001,MATCH(ROWS($AH$2:AH337),$AH$2:$AH$1001,0),0), INDEX($AO$1004:$BQ$1004,1,MATCH(COLUMNS($AO$1006:AR1006),$AO$1006:$BQ$1006,0)))),"Fix")))</f>
        <v>#N/A</v>
      </c>
      <c r="F337" s="5" t="e">
        <f ca="1">IF(OR(INDEX($AI$2:$AI$1001,MATCH(ROWS($AH$2:AH337),$AH$2:$AH$1001,0),1)&gt;=100000,INDEX($AO$1005:$BQ$1005,1,MATCH(COLUMNS($AO$1006:AS1006),$AO$1006:$BQ$1006,0))&gt;=100000), " ",IF(INDEX($AO$2:$BQ$1001,MATCH(ROWS($AH$2:AH337),$AH$2:$AH$1001,0),MATCH(COLUMNS($AO$1006:AS1006),$AO$1006:$BQ$1006,0)), HYPERLINK("#",""), HYPERLINK(CONCATENATE("#Metadata!", ADDRESS(INDEX($AJ$2:$AJ$1001,MATCH(ROWS($AH$2:AH337),$AH$2:$AH$1001,0),0), INDEX($AO$1004:$BQ$1004,1,MATCH(COLUMNS($AO$1006:AS1006),$AO$1006:$BQ$1006,0)))),"Fix")))</f>
        <v>#N/A</v>
      </c>
      <c r="G337" s="5" t="e">
        <f ca="1">IF(OR(INDEX($AI$2:$AI$1001,MATCH(ROWS($AH$2:AH337),$AH$2:$AH$1001,0),1)&gt;=100000,INDEX($AO$1005:$BQ$1005,1,MATCH(COLUMNS($AO$1006:AT1006),$AO$1006:$BQ$1006,0))&gt;=100000), " ",IF(INDEX($AO$2:$BQ$1001,MATCH(ROWS($AH$2:AH337),$AH$2:$AH$1001,0),MATCH(COLUMNS($AO$1006:AT1006),$AO$1006:$BQ$1006,0)), HYPERLINK("#",""), HYPERLINK(CONCATENATE("#Metadata!", ADDRESS(INDEX($AJ$2:$AJ$1001,MATCH(ROWS($AH$2:AH337),$AH$2:$AH$1001,0),0), INDEX($AO$1004:$BQ$1004,1,MATCH(COLUMNS($AO$1006:AT1006),$AO$1006:$BQ$1006,0)))),"Fix")))</f>
        <v>#N/A</v>
      </c>
      <c r="H337" s="5" t="e">
        <f ca="1">IF(OR(INDEX($AI$2:$AI$1001,MATCH(ROWS($AH$2:AH337),$AH$2:$AH$1001,0),1)&gt;=100000,INDEX($AO$1005:$BQ$1005,1,MATCH(COLUMNS($AO$1006:AU1006),$AO$1006:$BQ$1006,0))&gt;=100000), " ",IF(INDEX($AO$2:$BQ$1001,MATCH(ROWS($AH$2:AH337),$AH$2:$AH$1001,0),MATCH(COLUMNS($AO$1006:AU1006),$AO$1006:$BQ$1006,0)), HYPERLINK("#",""), HYPERLINK(CONCATENATE("#Metadata!", ADDRESS(INDEX($AJ$2:$AJ$1001,MATCH(ROWS($AH$2:AH337),$AH$2:$AH$1001,0),0), INDEX($AO$1004:$BQ$1004,1,MATCH(COLUMNS($AO$1006:AU1006),$AO$1006:$BQ$1006,0)))),"Fix")))</f>
        <v>#N/A</v>
      </c>
      <c r="I337" s="5" t="e">
        <f ca="1">IF(OR(INDEX($AI$2:$AI$1001,MATCH(ROWS($AH$2:AH337),$AH$2:$AH$1001,0),1)&gt;=100000,INDEX($AO$1005:$BQ$1005,1,MATCH(COLUMNS($AO$1006:AV1006),$AO$1006:$BQ$1006,0))&gt;=100000), " ",IF(INDEX($AO$2:$BQ$1001,MATCH(ROWS($AH$2:AH337),$AH$2:$AH$1001,0),MATCH(COLUMNS($AO$1006:AV1006),$AO$1006:$BQ$1006,0)), HYPERLINK("#",""), HYPERLINK(CONCATENATE("#Metadata!", ADDRESS(INDEX($AJ$2:$AJ$1001,MATCH(ROWS($AH$2:AH337),$AH$2:$AH$1001,0),0), INDEX($AO$1004:$BQ$1004,1,MATCH(COLUMNS($AO$1006:AV1006),$AO$1006:$BQ$1006,0)))),"Fix")))</f>
        <v>#N/A</v>
      </c>
      <c r="J337" s="5" t="e">
        <f ca="1">IF(OR(INDEX($AI$2:$AI$1001,MATCH(ROWS($AH$2:AH337),$AH$2:$AH$1001,0),1)&gt;=100000,INDEX($AO$1005:$BQ$1005,1,MATCH(COLUMNS($AO$1006:AW1006),$AO$1006:$BQ$1006,0))&gt;=100000), " ",IF(INDEX($AO$2:$BQ$1001,MATCH(ROWS($AH$2:AH337),$AH$2:$AH$1001,0),MATCH(COLUMNS($AO$1006:AW1006),$AO$1006:$BQ$1006,0)), HYPERLINK("#",""), HYPERLINK(CONCATENATE("#Metadata!", ADDRESS(INDEX($AJ$2:$AJ$1001,MATCH(ROWS($AH$2:AH337),$AH$2:$AH$1001,0),0), INDEX($AO$1004:$BQ$1004,1,MATCH(COLUMNS($AO$1006:AW1006),$AO$1006:$BQ$1006,0)))),"Fix")))</f>
        <v>#N/A</v>
      </c>
      <c r="K337" s="5" t="e">
        <f ca="1">IF(OR(INDEX($AI$2:$AI$1001,MATCH(ROWS($AH$2:AH337),$AH$2:$AH$1001,0),1)&gt;=100000,INDEX($AO$1005:$BQ$1005,1,MATCH(COLUMNS($AO$1006:AX1006),$AO$1006:$BQ$1006,0))&gt;=100000), " ",IF(INDEX($AO$2:$BQ$1001,MATCH(ROWS($AH$2:AH337),$AH$2:$AH$1001,0),MATCH(COLUMNS($AO$1006:AX1006),$AO$1006:$BQ$1006,0)), HYPERLINK("#",""), HYPERLINK(CONCATENATE("#Metadata!", ADDRESS(INDEX($AJ$2:$AJ$1001,MATCH(ROWS($AH$2:AH337),$AH$2:$AH$1001,0),0), INDEX($AO$1004:$BQ$1004,1,MATCH(COLUMNS($AO$1006:AX1006),$AO$1006:$BQ$1006,0)))),"Fix")))</f>
        <v>#N/A</v>
      </c>
      <c r="L337" s="5" t="e">
        <f ca="1">IF(OR(INDEX($AI$2:$AI$1001,MATCH(ROWS($AH$2:AH337),$AH$2:$AH$1001,0),1)&gt;=100000,INDEX($AO$1005:$BQ$1005,1,MATCH(COLUMNS($AO$1006:AY1006),$AO$1006:$BQ$1006,0))&gt;=100000), " ",IF(INDEX($AO$2:$BQ$1001,MATCH(ROWS($AH$2:AH337),$AH$2:$AH$1001,0),MATCH(COLUMNS($AO$1006:AY1006),$AO$1006:$BQ$1006,0)), HYPERLINK("#",""), HYPERLINK(CONCATENATE("#Metadata!", ADDRESS(INDEX($AJ$2:$AJ$1001,MATCH(ROWS($AH$2:AH337),$AH$2:$AH$1001,0),0), INDEX($AO$1004:$BQ$1004,1,MATCH(COLUMNS($AO$1006:AY1006),$AO$1006:$BQ$1006,0)))),"Fix")))</f>
        <v>#N/A</v>
      </c>
      <c r="M337" s="5" t="e">
        <f ca="1">IF(OR(INDEX($AI$2:$AI$1001,MATCH(ROWS($AH$2:AH337),$AH$2:$AH$1001,0),1)&gt;=100000,INDEX($AO$1005:$BQ$1005,1,MATCH(COLUMNS($AO$1006:AZ1006),$AO$1006:$BQ$1006,0))&gt;=100000), " ",IF(INDEX($AO$2:$BQ$1001,MATCH(ROWS($AH$2:AH337),$AH$2:$AH$1001,0),MATCH(COLUMNS($AO$1006:AZ1006),$AO$1006:$BQ$1006,0)), HYPERLINK("#",""), HYPERLINK(CONCATENATE("#Metadata!", ADDRESS(INDEX($AJ$2:$AJ$1001,MATCH(ROWS($AH$2:AH337),$AH$2:$AH$1001,0),0), INDEX($AO$1004:$BQ$1004,1,MATCH(COLUMNS($AO$1006:AZ1006),$AO$1006:$BQ$1006,0)))),"Fix")))</f>
        <v>#N/A</v>
      </c>
      <c r="N337" s="5" t="e">
        <f ca="1">IF(OR(INDEX($AI$2:$AI$1001,MATCH(ROWS($AH$2:AH337),$AH$2:$AH$1001,0),1)&gt;=100000,INDEX($AO$1005:$BQ$1005,1,MATCH(COLUMNS($AO$1006:BA1006),$AO$1006:$BQ$1006,0))&gt;=100000), " ",IF(INDEX($AO$2:$BQ$1001,MATCH(ROWS($AH$2:AH337),$AH$2:$AH$1001,0),MATCH(COLUMNS($AO$1006:BA1006),$AO$1006:$BQ$1006,0)), HYPERLINK("#",""), HYPERLINK(CONCATENATE("#Metadata!", ADDRESS(INDEX($AJ$2:$AJ$1001,MATCH(ROWS($AH$2:AH337),$AH$2:$AH$1001,0),0), INDEX($AO$1004:$BQ$1004,1,MATCH(COLUMNS($AO$1006:BA1006),$AO$1006:$BQ$1006,0)))),"Fix")))</f>
        <v>#N/A</v>
      </c>
      <c r="O337" s="5" t="e">
        <f ca="1">IF(OR(INDEX($AI$2:$AI$1001,MATCH(ROWS($AH$2:AH337),$AH$2:$AH$1001,0),1)&gt;=100000,INDEX($AO$1005:$BQ$1005,1,MATCH(COLUMNS($AO$1006:BB1006),$AO$1006:$BQ$1006,0))&gt;=100000), " ",IF(INDEX($AO$2:$BQ$1001,MATCH(ROWS($AH$2:AH337),$AH$2:$AH$1001,0),MATCH(COLUMNS($AO$1006:BB1006),$AO$1006:$BQ$1006,0)), HYPERLINK("#",""), HYPERLINK(CONCATENATE("#Metadata!", ADDRESS(INDEX($AJ$2:$AJ$1001,MATCH(ROWS($AH$2:AH337),$AH$2:$AH$1001,0),0), INDEX($AO$1004:$BQ$1004,1,MATCH(COLUMNS($AO$1006:BB1006),$AO$1006:$BQ$1006,0)))),"Fix")))</f>
        <v>#N/A</v>
      </c>
      <c r="P337" s="5" t="e">
        <f ca="1">IF(OR(INDEX($AI$2:$AI$1001,MATCH(ROWS($AH$2:AH337),$AH$2:$AH$1001,0),1)&gt;=100000,INDEX($AO$1005:$BQ$1005,1,MATCH(COLUMNS($AO$1006:BC1006),$AO$1006:$BQ$1006,0))&gt;=100000), " ",IF(INDEX($AO$2:$BQ$1001,MATCH(ROWS($AH$2:AH337),$AH$2:$AH$1001,0),MATCH(COLUMNS($AO$1006:BC1006),$AO$1006:$BQ$1006,0)), HYPERLINK("#",""), HYPERLINK(CONCATENATE("#Metadata!", ADDRESS(INDEX($AJ$2:$AJ$1001,MATCH(ROWS($AH$2:AH337),$AH$2:$AH$1001,0),0), INDEX($AO$1004:$BQ$1004,1,MATCH(COLUMNS($AO$1006:BC1006),$AO$1006:$BQ$1006,0)))),"Fix")))</f>
        <v>#N/A</v>
      </c>
      <c r="Q337" s="5" t="e">
        <f ca="1">IF(OR(INDEX($AI$2:$AI$1001,MATCH(ROWS($AH$2:AH337),$AH$2:$AH$1001,0),1)&gt;=100000,INDEX($AO$1005:$BQ$1005,1,MATCH(COLUMNS($AO$1006:BD1006),$AO$1006:$BQ$1006,0))&gt;=100000), " ",IF(INDEX($AO$2:$BQ$1001,MATCH(ROWS($AH$2:AH337),$AH$2:$AH$1001,0),MATCH(COLUMNS($AO$1006:BD1006),$AO$1006:$BQ$1006,0)), HYPERLINK("#",""), HYPERLINK(CONCATENATE("#Metadata!", ADDRESS(INDEX($AJ$2:$AJ$1001,MATCH(ROWS($AH$2:AH337),$AH$2:$AH$1001,0),0), INDEX($AO$1004:$BQ$1004,1,MATCH(COLUMNS($AO$1006:BD1006),$AO$1006:$BQ$1006,0)))),"Fix")))</f>
        <v>#N/A</v>
      </c>
      <c r="R337" s="5" t="e">
        <f ca="1">IF(OR(INDEX($AI$2:$AI$1001,MATCH(ROWS($AH$2:AH337),$AH$2:$AH$1001,0),1)&gt;=100000,INDEX($AO$1005:$BQ$1005,1,MATCH(COLUMNS($AO$1006:BE1006),$AO$1006:$BQ$1006,0))&gt;=100000), " ",IF(INDEX($AO$2:$BQ$1001,MATCH(ROWS($AH$2:AH337),$AH$2:$AH$1001,0),MATCH(COLUMNS($AO$1006:BE1006),$AO$1006:$BQ$1006,0)), HYPERLINK("#",""), HYPERLINK(CONCATENATE("#Metadata!", ADDRESS(INDEX($AJ$2:$AJ$1001,MATCH(ROWS($AH$2:AH337),$AH$2:$AH$1001,0),0), INDEX($AO$1004:$BQ$1004,1,MATCH(COLUMNS($AO$1006:BE1006),$AO$1006:$BQ$1006,0)))),"Fix")))</f>
        <v>#N/A</v>
      </c>
      <c r="S337" s="5" t="e">
        <f ca="1">IF(OR(INDEX($AI$2:$AI$1001,MATCH(ROWS($AH$2:AH337),$AH$2:$AH$1001,0),1)&gt;=100000,INDEX($AO$1005:$BQ$1005,1,MATCH(COLUMNS($AO$1006:BF1006),$AO$1006:$BQ$1006,0))&gt;=100000), " ",IF(INDEX($AO$2:$BQ$1001,MATCH(ROWS($AH$2:AH337),$AH$2:$AH$1001,0),MATCH(COLUMNS($AO$1006:BF1006),$AO$1006:$BQ$1006,0)), HYPERLINK("#",""), HYPERLINK(CONCATENATE("#Metadata!", ADDRESS(INDEX($AJ$2:$AJ$1001,MATCH(ROWS($AH$2:AH337),$AH$2:$AH$1001,0),0), INDEX($AO$1004:$BQ$1004,1,MATCH(COLUMNS($AO$1006:BF1006),$AO$1006:$BQ$1006,0)))),"Fix")))</f>
        <v>#N/A</v>
      </c>
      <c r="T337" s="5" t="e">
        <f ca="1">IF(OR(INDEX($AI$2:$AI$1001,MATCH(ROWS($AH$2:AH337),$AH$2:$AH$1001,0),1)&gt;=100000,INDEX($AO$1005:$BQ$1005,1,MATCH(COLUMNS($AO$1006:BG1006),$AO$1006:$BQ$1006,0))&gt;=100000), " ",IF(INDEX($AO$2:$BQ$1001,MATCH(ROWS($AH$2:AH337),$AH$2:$AH$1001,0),MATCH(COLUMNS($AO$1006:BG1006),$AO$1006:$BQ$1006,0)), HYPERLINK("#",""), HYPERLINK(CONCATENATE("#Metadata!", ADDRESS(INDEX($AJ$2:$AJ$1001,MATCH(ROWS($AH$2:AH337),$AH$2:$AH$1001,0),0), INDEX($AO$1004:$BQ$1004,1,MATCH(COLUMNS($AO$1006:BG1006),$AO$1006:$BQ$1006,0)))),"Fix")))</f>
        <v>#N/A</v>
      </c>
      <c r="U337" s="5" t="e">
        <f ca="1">IF(OR(INDEX($AI$2:$AI$1001,MATCH(ROWS($AH$2:AH337),$AH$2:$AH$1001,0),1)&gt;=100000,INDEX($AO$1005:$BQ$1005,1,MATCH(COLUMNS($AO$1006:BH1006),$AO$1006:$BQ$1006,0))&gt;=100000), " ",IF(INDEX($AO$2:$BQ$1001,MATCH(ROWS($AH$2:AH337),$AH$2:$AH$1001,0),MATCH(COLUMNS($AO$1006:BH1006),$AO$1006:$BQ$1006,0)), HYPERLINK("#",""), HYPERLINK(CONCATENATE("#Metadata!", ADDRESS(INDEX($AJ$2:$AJ$1001,MATCH(ROWS($AH$2:AH337),$AH$2:$AH$1001,0),0), INDEX($AO$1004:$BQ$1004,1,MATCH(COLUMNS($AO$1006:BH1006),$AO$1006:$BQ$1006,0)))),"Fix")))</f>
        <v>#N/A</v>
      </c>
      <c r="V337" s="5" t="e">
        <f ca="1">IF(OR(INDEX($AI$2:$AI$1001,MATCH(ROWS($AH$2:AH337),$AH$2:$AH$1001,0),1)&gt;=100000,INDEX($AO$1005:$BQ$1005,1,MATCH(COLUMNS($AO$1006:BI1006),$AO$1006:$BQ$1006,0))&gt;=100000), " ",IF(INDEX($AO$2:$BQ$1001,MATCH(ROWS($AH$2:AH337),$AH$2:$AH$1001,0),MATCH(COLUMNS($AO$1006:BI1006),$AO$1006:$BQ$1006,0)), HYPERLINK("#",""), HYPERLINK(CONCATENATE("#Metadata!", ADDRESS(INDEX($AJ$2:$AJ$1001,MATCH(ROWS($AH$2:AH337),$AH$2:$AH$1001,0),0), INDEX($AO$1004:$BQ$1004,1,MATCH(COLUMNS($AO$1006:BI1006),$AO$1006:$BQ$1006,0)))),"Fix")))</f>
        <v>#N/A</v>
      </c>
      <c r="W337" s="5" t="e">
        <f ca="1">IF(OR(INDEX($AI$2:$AI$1001,MATCH(ROWS($AH$2:AH337),$AH$2:$AH$1001,0),1)&gt;=100000,INDEX($AO$1005:$BQ$1005,1,MATCH(COLUMNS($AO$1006:BJ1006),$AO$1006:$BQ$1006,0))&gt;=100000), " ",IF(INDEX($AO$2:$BQ$1001,MATCH(ROWS($AH$2:AH337),$AH$2:$AH$1001,0),MATCH(COLUMNS($AO$1006:BJ1006),$AO$1006:$BQ$1006,0)), HYPERLINK("#",""), HYPERLINK(CONCATENATE("#Metadata!", ADDRESS(INDEX($AJ$2:$AJ$1001,MATCH(ROWS($AH$2:AH337),$AH$2:$AH$1001,0),0), INDEX($AO$1004:$BQ$1004,1,MATCH(COLUMNS($AO$1006:BJ1006),$AO$1006:$BQ$1006,0)))),"Fix")))</f>
        <v>#N/A</v>
      </c>
      <c r="X337" s="5" t="e">
        <f ca="1">IF(OR(INDEX($AI$2:$AI$1001,MATCH(ROWS($AH$2:AH337),$AH$2:$AH$1001,0),1)&gt;=100000,INDEX($AO$1005:$BQ$1005,1,MATCH(COLUMNS($AO$1006:BK1006),$AO$1006:$BQ$1006,0))&gt;=100000), " ",IF(INDEX($AO$2:$BQ$1001,MATCH(ROWS($AH$2:AH337),$AH$2:$AH$1001,0),MATCH(COLUMNS($AO$1006:BK1006),$AO$1006:$BQ$1006,0)), HYPERLINK("#",""), HYPERLINK(CONCATENATE("#Metadata!", ADDRESS(INDEX($AJ$2:$AJ$1001,MATCH(ROWS($AH$2:AH337),$AH$2:$AH$1001,0),0), INDEX($AO$1004:$BQ$1004,1,MATCH(COLUMNS($AO$1006:BK1006),$AO$1006:$BQ$1006,0)))),"Fix")))</f>
        <v>#N/A</v>
      </c>
      <c r="Y337" s="5" t="e">
        <f ca="1">IF(OR(INDEX($AI$2:$AI$1001,MATCH(ROWS($AH$2:AH337),$AH$2:$AH$1001,0),1)&gt;=100000,INDEX($AO$1005:$BQ$1005,1,MATCH(COLUMNS($AO$1006:BL1006),$AO$1006:$BQ$1006,0))&gt;=100000), " ",IF(INDEX($AO$2:$BQ$1001,MATCH(ROWS($AH$2:AH337),$AH$2:$AH$1001,0),MATCH(COLUMNS($AO$1006:BL1006),$AO$1006:$BQ$1006,0)), HYPERLINK("#",""), HYPERLINK(CONCATENATE("#Metadata!", ADDRESS(INDEX($AJ$2:$AJ$1001,MATCH(ROWS($AH$2:AH337),$AH$2:$AH$1001,0),0), INDEX($AO$1004:$BQ$1004,1,MATCH(COLUMNS($AO$1006:BL1006),$AO$1006:$BQ$1006,0)))),"Fix")))</f>
        <v>#N/A</v>
      </c>
      <c r="Z337" s="5" t="e">
        <f ca="1">IF(OR(INDEX($AI$2:$AI$1001,MATCH(ROWS($AH$2:AH337),$AH$2:$AH$1001,0),1)&gt;=100000,INDEX($AO$1005:$BQ$1005,1,MATCH(COLUMNS($AO$1006:BM1006),$AO$1006:$BQ$1006,0))&gt;=100000), " ",IF(INDEX($AO$2:$BQ$1001,MATCH(ROWS($AH$2:AH337),$AH$2:$AH$1001,0),MATCH(COLUMNS($AO$1006:BM1006),$AO$1006:$BQ$1006,0)), HYPERLINK("#",""), HYPERLINK(CONCATENATE("#Metadata!", ADDRESS(INDEX($AJ$2:$AJ$1001,MATCH(ROWS($AH$2:AH337),$AH$2:$AH$1001,0),0), INDEX($AO$1004:$BQ$1004,1,MATCH(COLUMNS($AO$1006:BM1006),$AO$1006:$BQ$1006,0)))),"Fix")))</f>
        <v>#N/A</v>
      </c>
      <c r="AA337" s="5" t="e">
        <f ca="1">IF(OR(INDEX($AI$2:$AI$1001,MATCH(ROWS($AH$2:AH337),$AH$2:$AH$1001,0),1)&gt;=100000,INDEX($AO$1005:$BQ$1005,1,MATCH(COLUMNS($AO$1006:BN1006),$AO$1006:$BQ$1006,0))&gt;=100000), " ",IF(INDEX($AO$2:$BQ$1001,MATCH(ROWS($AH$2:AH337),$AH$2:$AH$1001,0),MATCH(COLUMNS($AO$1006:BN1006),$AO$1006:$BQ$1006,0)), HYPERLINK("#",""), HYPERLINK(CONCATENATE("#Metadata!", ADDRESS(INDEX($AJ$2:$AJ$1001,MATCH(ROWS($AH$2:AH337),$AH$2:$AH$1001,0),0), INDEX($AO$1004:$BQ$1004,1,MATCH(COLUMNS($AO$1006:BN1006),$AO$1006:$BQ$1006,0)))),"Fix")))</f>
        <v>#N/A</v>
      </c>
      <c r="AB337" s="5" t="e">
        <f ca="1">IF(OR(INDEX($AI$2:$AI$1001,MATCH(ROWS($AH$2:AH337),$AH$2:$AH$1001,0),1)&gt;=100000,INDEX($AO$1005:$BQ$1005,1,MATCH(COLUMNS($AO$1006:BO1006),$AO$1006:$BQ$1006,0))&gt;=100000), " ",IF(INDEX($AO$2:$BQ$1001,MATCH(ROWS($AH$2:AH337),$AH$2:$AH$1001,0),MATCH(COLUMNS($AO$1006:BO1006),$AO$1006:$BQ$1006,0)), HYPERLINK("#",""), HYPERLINK(CONCATENATE("#Metadata!", ADDRESS(INDEX($AJ$2:$AJ$1001,MATCH(ROWS($AH$2:AH337),$AH$2:$AH$1001,0),0), INDEX($AO$1004:$BQ$1004,1,MATCH(COLUMNS($AO$1006:BO1006),$AO$1006:$BQ$1006,0)))),"Fix")))</f>
        <v>#N/A</v>
      </c>
      <c r="AC337" s="5" t="e">
        <f ca="1">IF(OR(INDEX($AI$2:$AI$1001,MATCH(ROWS($AH$2:AH337),$AH$2:$AH$1001,0),1)&gt;=100000,INDEX($AO$1005:$BQ$1005,1,MATCH(COLUMNS($AO$1006:BP1006),$AO$1006:$BQ$1006,0))&gt;=100000), " ",IF(INDEX($AO$2:$BQ$1001,MATCH(ROWS($AH$2:AH337),$AH$2:$AH$1001,0),MATCH(COLUMNS($AO$1006:BP1006),$AO$1006:$BQ$1006,0)), HYPERLINK("#",""), HYPERLINK(CONCATENATE("#Metadata!", ADDRESS(INDEX($AJ$2:$AJ$1001,MATCH(ROWS($AH$2:AH337),$AH$2:$AH$1001,0),0), INDEX($AO$1004:$BQ$1004,1,MATCH(COLUMNS($AO$1006:BP1006),$AO$1006:$BQ$1006,0)))),"Fix")))</f>
        <v>#N/A</v>
      </c>
      <c r="AD337" s="5" t="e">
        <f ca="1">IF(OR(INDEX($AI$2:$AI$1001,MATCH(ROWS($AH$2:AH337),$AH$2:$AH$1001,0),1)&gt;=100000,INDEX($AO$1005:$BQ$1005,1,MATCH(COLUMNS($AO$1006:BQ1006),$AO$1006:$BQ$1006,0))&gt;=100000), " ",IF(INDEX($AO$2:$BQ$1001,MATCH(ROWS($AH$2:AH337),$AH$2:$AH$1001,0),MATCH(COLUMNS($AO$1006:BQ1006),$AO$1006:$BQ$1006,0)), HYPERLINK("#",""), HYPERLINK(CONCATENATE("#Metadata!", ADDRESS(INDEX($AJ$2:$AJ$1001,MATCH(ROWS($AH$2:AH337),$AH$2:$AH$1001,0),0), INDEX($AO$1004:$BQ$1004,1,MATCH(COLUMNS($AO$1006:BQ1006),$AO$1006:$BQ$1006,0)))),"Fix")))</f>
        <v>#REF!</v>
      </c>
      <c r="AH337">
        <f ca="1"/>
        <v>334</v>
      </c>
      <c r="AI337">
        <v>100337</v>
      </c>
      <c r="AJ337">
        <v>337</v>
      </c>
      <c r="AK337" t="b">
        <f t="shared" si="5"/>
        <v>1</v>
      </c>
      <c r="AL337" t="b">
        <f>COUNTBLANK(Metadata!B337:AD337)=COLUMNS(Metadata!B337:AD337)</f>
        <v>1</v>
      </c>
      <c r="AM337" t="str">
        <v/>
      </c>
      <c r="AO337" t="b">
        <f ca="1">AND(IF(Metadata!B337="",FALSE,TRUE),COUNTIF(Metadata!B:B, Metadata!B337) = 1,NOT(ISERROR(SUMPRODUCT(SEARCH(MID(Metadata!B337,ROW(INDIRECT("1:"&amp;LEN(Metadata!B337))), 1),"0123456789abcdefghijklmnopqrstuvwxyzABCDEFGHIJKLMNOPQRSTUVWXYZ.")))))</f>
        <v>0</v>
      </c>
      <c r="AP337" t="b">
        <f>IF(Metadata!C337="",FALSE,TRUE)</f>
        <v>0</v>
      </c>
      <c r="AQ337" t="b">
        <f>IF(Metadata!D337="",FALSE,TRUE)</f>
        <v>0</v>
      </c>
      <c r="AR337" t="b">
        <f ca="1">OR(AND(IF(Metadata!E337="",FALSE,TRUE),OR(EXACT(Metadata!E337,"not collected"),EXACT(Metadata!E337,"not provided"),EXACT(Metadata!E337,"restricted access"))),AND(IF(Metadata!E337="",FALSE,TRUE),AND(AND(IFERROR(INT(LEFT(Metadata!E337,4))&gt;1900,FALSE),IFERROR(INT(LEFT(Metadata!E337,4))&lt;=YEAR(NOW()),FALSE)), OR(MID(Metadata!E337,5,1)="", AND(AND(MID(Metadata!E337,5,1)="-",IFERROR(INT(MID(Metadata!E337,6,1))&gt;=0,FALSE),IFERROR(INT(MID(Metadata!E337,6,1))&lt;=1,FALSE),NOT(MID(Metadata!E337,7,1)=""),IFERROR(INT(MID(Metadata!E337,6,2))&gt;=1,FALSE),IFERROR(INT(MID(Metadata!E337,6,2))&lt;=12,FALSE)), OR(MID(Metadata!E337,8,1)="", AND(AND(MID(Metadata!E337,8,1)="-",IFERROR(INT(MID(Metadata!E337,9,1))&gt;=0,FALSE),IFERROR(INT(MID(Metadata!E337,9,1))&lt;=3,FALSE),NOT(MID(Metadata!E337,10,1)=""),IFERROR(INT(MID(Metadata!E337,9,2))&gt;=1,FALSE),IFERROR(INT(MID(Metadata!E337,9,2))&lt;=31,FALSE)), OR(MID(Metadata!E337,11,1)="", AND(AND(MID(Metadata!E337,11,1)=" ",IFERROR(INT(MID(Metadata!E337,12,1))&gt;=0,FALSE),IFERROR(INT(MID(Metadata!E337,12,1))&lt;=2,FALSE),NOT(MID(Metadata!E337,13,1)=""),IFERROR(INT(MID(Metadata!E337,12,2))&gt;=0,FALSE),IFERROR(INT(MID(Metadata!E337,12,2))&lt;=23,FALSE)), OR(MID(Metadata!E337,14,1)="", AND(AND(MID(Metadata!E337,14,1)=":",IFERROR(INT(MID(Metadata!E337,15,1))&gt;=0,FALSE),IFERROR(INT(MID(Metadata!E337,15,1))&lt;=5,FALSE),NOT(MID(Metadata!E337,16,1)=""),IFERROR(INT(MID(Metadata!E337,15,2))&gt;=0,FALSE),IFERROR(INT(MID(Metadata!E337,15,2))&lt;=59,FALSE)), OR(MID(Metadata!E337,17,1)="", AND(AND(MID(Metadata!E337,17,1)=":",IFERROR(INT(MID(Metadata!E337,18,1))&gt;=0,FALSE),IFERROR(INT(MID(Metadata!E337,18,1))&lt;=5,FALSE),NOT(MID(Metadata!E337,19,1)=""),IFERROR(INT(MID(Metadata!E337,18,2))&gt;=0,FALSE),IFERROR(INT(MID(Metadata!E337,18,2))&lt;=59,FALSE)), LEN(Metadata!E337)&lt;=19)))))))))))))</f>
        <v>0</v>
      </c>
      <c r="AS337" t="b">
        <f>IF(Metadata!F337="",FALSE,TRUE)</f>
        <v>0</v>
      </c>
      <c r="AT337" t="b">
        <f>OR(AND(IF(Metadata!G337="",FALSE,TRUE),OR(EXACT(Metadata!G337,"not collected"),EXACT(Metadata!G337,"not provided"))),AND(IF(Metadata!G337="",FALSE,TRUE),OR(EXACT(Metadata!G337,"TRUE"),EXACT(Metadata!G337,"FALSE"))))</f>
        <v>0</v>
      </c>
      <c r="AU337" t="b">
        <f>OR(AND(IF(Metadata!H337="",FALSE,TRUE),OR(EXACT(Metadata!H337,"not collected"),EXACT(Metadata!H337,"not provided"),EXACT(Metadata!H337,"restricted access"))),AND(IF(Metadata!H337="",FALSE,ISNUMBER(VALUE(Metadata!H337))),Metadata!H337&gt;=-413))</f>
        <v>0</v>
      </c>
      <c r="AV337" t="b">
        <f>AND(IF(Metadata!I337="",FALSE,TRUE),EXACT(Metadata!I337,"meters"))</f>
        <v>0</v>
      </c>
      <c r="AW337" t="b">
        <f>AND(IF(Metadata!J337="",FALSE,TRUE),EXACT(Metadata!J337,"free-living"))</f>
        <v>0</v>
      </c>
      <c r="AX337" t="b">
        <f>AND(IF(Metadata!K337="",FALSE,TRUE),OR(EXACT(Metadata!K337,"saline"),EXACT(Metadata!K337,"non-saline")))</f>
        <v>0</v>
      </c>
      <c r="AY337" t="b">
        <f>AND(IF(Metadata!L337="",FALSE,TRUE),OR(EXACT(Metadata!L337,"sub-surface (non-saline)"),EXACT(Metadata!L337,"surface (non-saline)"),EXACT(Metadata!L337,"water (non-saline)"),EXACT(Metadata!L337,"soil (non-saline)"),EXACT(Metadata!L337,"aerosol (non-saline)"),EXACT(Metadata!L337,"sediment (non-saline)"),EXACT(Metadata!L337,"surface (saline)"),EXACT(Metadata!L337,"water (saline)"),EXACT(Metadata!L337,"hypersaline (saline)"),EXACT(Metadata!L337,"aerosol (saline)"),EXACT(Metadata!L337,"sediment (saline)")))</f>
        <v>0</v>
      </c>
      <c r="AZ337" t="b">
        <f>IF(Metadata!M337="",FALSE,TRUE)</f>
        <v>0</v>
      </c>
      <c r="BA337" t="b">
        <f>IF(Metadata!N337="",FALSE,TRUE)</f>
        <v>0</v>
      </c>
      <c r="BB337" t="b">
        <f>IF(Metadata!O337="",FALSE,TRUE)</f>
        <v>0</v>
      </c>
      <c r="BC337" t="b">
        <f>AND(IF(Metadata!P337="",FALSE,TRUE),OR(EXACT(Metadata!P337,"air"),EXACT(Metadata!P337,"microbial mat/biofilm"),EXACT(Metadata!P337,"misc environment"),EXACT(Metadata!P337,"sediment"),EXACT(Metadata!P337,"soil"),EXACT(Metadata!P337,"wastewater/sludge"),EXACT(Metadata!P337,"water")))</f>
        <v>0</v>
      </c>
      <c r="BD337" t="b">
        <f>IF(Metadata!Q337="",FALSE,TRUE)</f>
        <v>0</v>
      </c>
      <c r="BE337" t="b">
        <f>IF(Metadata!R337="",FALSE,TRUE)</f>
        <v>0</v>
      </c>
      <c r="BF337" t="b">
        <f>OR(AND(IF(Metadata!S337="",FALSE,TRUE),OR(EXACT(Metadata!S337,"not collected"),EXACT(Metadata!S337,"not provided"),EXACT(Metadata!S337,"restricted access"))),AND(IF(Metadata!S337="",FALSE,ISNUMBER(VALUE(Metadata!S337))),Metadata!S337&gt;=-90,Metadata!S337&lt;=90))</f>
        <v>0</v>
      </c>
      <c r="BG337" t="b">
        <f>AND(IF(Metadata!T337="",FALSE,TRUE),EXACT(Metadata!T337,"Decimal degrees"))</f>
        <v>0</v>
      </c>
      <c r="BH337" t="b">
        <f>OR(AND(IF(Metadata!U337="",FALSE,TRUE),OR(EXACT(Metadata!U337,"not applicable"),EXACT(Metadata!U337,"not collected"))),IF(Metadata!U337="",FALSE,TRUE))</f>
        <v>0</v>
      </c>
      <c r="BI337" t="b">
        <f>OR(AND(IF(Metadata!V337="",FALSE,TRUE),OR(EXACT(Metadata!V337,"not collected"),EXACT(Metadata!V337,"not provided"),EXACT(Metadata!V337,"restricted access"))),AND(IF(Metadata!V337="",FALSE,ISNUMBER(VALUE(Metadata!V337))),Metadata!V337&gt;=-180,Metadata!V337&lt;=180))</f>
        <v>0</v>
      </c>
      <c r="BJ337" t="b">
        <f>AND(IF(Metadata!W337="",FALSE,TRUE),EXACT(Metadata!W337,"Decimal degrees"))</f>
        <v>0</v>
      </c>
      <c r="BK337" t="b">
        <f>IF(Metadata!X337="",FALSE,TRUE)</f>
        <v>0</v>
      </c>
      <c r="BL337" t="b">
        <f>OR(AND(IF(Metadata!Y337="",FALSE,TRUE),OR(EXACT(Metadata!Y337,"not collected"),EXACT(Metadata!Y337,"not provided"),EXACT(Metadata!Y337,"restricted access"))),AND(IF(Metadata!Y337="",FALSE,TRUE),OR(EXACT(Metadata!Y337,"TRUE"),EXACT(Metadata!Y337,"FALSE"))))</f>
        <v>0</v>
      </c>
      <c r="BM337" t="b">
        <f>OR(AND(IF(Metadata!Z337="",FALSE,TRUE),EXACT(Metadata!Z337,"not applicable")),AND(IF(Metadata!Z337="",FALSE,TRUE),OR(EXACT(Metadata!Z337,"beer"),EXACT(Metadata!Z337,"cheese"),EXACT(Metadata!Z337,"fresh water"),EXACT(Metadata!Z337,"marine sediment"),EXACT(Metadata!Z337,"sea water"),EXACT(Metadata!Z337,"sediment"),EXACT(Metadata!Z337,"soil"),EXACT(Metadata!Z337,"waste water"))))</f>
        <v>0</v>
      </c>
      <c r="BN337" t="b">
        <f>AND(IF(Metadata!AA337="",FALSE,TRUE),EXACT(Metadata!AA337,"metagenome"))</f>
        <v>0</v>
      </c>
      <c r="BO337" t="b">
        <f>AND(IF(Metadata!AB337="",FALSE,TRUE),EXACT(Metadata!AB337,"256318"))</f>
        <v>0</v>
      </c>
      <c r="BP337" t="b">
        <f>IF(Metadata!AC337="",FALSE,TRUE)</f>
        <v>0</v>
      </c>
      <c r="BQ337" t="b">
        <f>IF(Metadata!AD337="",FALSE,TRUE)</f>
        <v>0</v>
      </c>
    </row>
    <row r="338" spans="1:69" x14ac:dyDescent="0.2">
      <c r="A338" s="4" t="e">
        <f ca="1">IF(B338=" "," ",HYPERLINK(CONCATENATE("#metadata!",ADDRESS(INDEX($AJ$2:$AJ$1001,MATCH(ROWS($AH$2:AH338),$AH$2:$AH$1001,0),0),2)),INDEX($AM$2:$AM$1001,MATCH(ROWS($AH$2:AH338),$AH$2:$AH$1001,0),0)))</f>
        <v>#N/A</v>
      </c>
      <c r="B338" s="5" t="e">
        <f ca="1">IF(OR(INDEX($AI$2:$AI$1001,MATCH(ROWS($AH$2:AH338),$AH$2:$AH$1001,0),1)&gt;=100000,INDEX($AO$1005:$BQ$1005,1,MATCH(COLUMNS($AO$1006:AO1006),$AO$1006:$BQ$1006,0))&gt;=100000), " ",IF(INDEX($AO$2:$BQ$1001,MATCH(ROWS($AH$2:AH338),$AH$2:$AH$1001,0),MATCH(COLUMNS($AO$1006:AO1006),$AO$1006:$BQ$1006,0)), HYPERLINK("#",""), HYPERLINK(CONCATENATE("#Metadata!", ADDRESS(INDEX($AJ$2:$AJ$1001,MATCH(ROWS($AH$2:AH338),$AH$2:$AH$1001,0),0), INDEX($AO$1004:$BQ$1004,1,MATCH(COLUMNS($AO$1006:AO1006),$AO$1006:$BQ$1006,0)))),"Fix")))</f>
        <v>#N/A</v>
      </c>
      <c r="C338" s="5" t="e">
        <f ca="1">IF(OR(INDEX($AI$2:$AI$1001,MATCH(ROWS($AH$2:AH338),$AH$2:$AH$1001,0),1)&gt;=100000,INDEX($AO$1005:$BQ$1005,1,MATCH(COLUMNS($AO$1006:AP1006),$AO$1006:$BQ$1006,0))&gt;=100000), " ",IF(INDEX($AO$2:$BQ$1001,MATCH(ROWS($AH$2:AH338),$AH$2:$AH$1001,0),MATCH(COLUMNS($AO$1006:AP1006),$AO$1006:$BQ$1006,0)), HYPERLINK("#",""), HYPERLINK(CONCATENATE("#Metadata!", ADDRESS(INDEX($AJ$2:$AJ$1001,MATCH(ROWS($AH$2:AH338),$AH$2:$AH$1001,0),0), INDEX($AO$1004:$BQ$1004,1,MATCH(COLUMNS($AO$1006:AP1006),$AO$1006:$BQ$1006,0)))),"Fix")))</f>
        <v>#N/A</v>
      </c>
      <c r="D338" s="5" t="e">
        <f ca="1">IF(OR(INDEX($AI$2:$AI$1001,MATCH(ROWS($AH$2:AH338),$AH$2:$AH$1001,0),1)&gt;=100000,INDEX($AO$1005:$BQ$1005,1,MATCH(COLUMNS($AO$1006:AQ1006),$AO$1006:$BQ$1006,0))&gt;=100000), " ",IF(INDEX($AO$2:$BQ$1001,MATCH(ROWS($AH$2:AH338),$AH$2:$AH$1001,0),MATCH(COLUMNS($AO$1006:AQ1006),$AO$1006:$BQ$1006,0)), HYPERLINK("#",""), HYPERLINK(CONCATENATE("#Metadata!", ADDRESS(INDEX($AJ$2:$AJ$1001,MATCH(ROWS($AH$2:AH338),$AH$2:$AH$1001,0),0), INDEX($AO$1004:$BQ$1004,1,MATCH(COLUMNS($AO$1006:AQ1006),$AO$1006:$BQ$1006,0)))),"Fix")))</f>
        <v>#N/A</v>
      </c>
      <c r="E338" s="5" t="e">
        <f ca="1">IF(OR(INDEX($AI$2:$AI$1001,MATCH(ROWS($AH$2:AH338),$AH$2:$AH$1001,0),1)&gt;=100000,INDEX($AO$1005:$BQ$1005,1,MATCH(COLUMNS($AO$1006:AR1006),$AO$1006:$BQ$1006,0))&gt;=100000), " ",IF(INDEX($AO$2:$BQ$1001,MATCH(ROWS($AH$2:AH338),$AH$2:$AH$1001,0),MATCH(COLUMNS($AO$1006:AR1006),$AO$1006:$BQ$1006,0)), HYPERLINK("#",""), HYPERLINK(CONCATENATE("#Metadata!", ADDRESS(INDEX($AJ$2:$AJ$1001,MATCH(ROWS($AH$2:AH338),$AH$2:$AH$1001,0),0), INDEX($AO$1004:$BQ$1004,1,MATCH(COLUMNS($AO$1006:AR1006),$AO$1006:$BQ$1006,0)))),"Fix")))</f>
        <v>#N/A</v>
      </c>
      <c r="F338" s="5" t="e">
        <f ca="1">IF(OR(INDEX($AI$2:$AI$1001,MATCH(ROWS($AH$2:AH338),$AH$2:$AH$1001,0),1)&gt;=100000,INDEX($AO$1005:$BQ$1005,1,MATCH(COLUMNS($AO$1006:AS1006),$AO$1006:$BQ$1006,0))&gt;=100000), " ",IF(INDEX($AO$2:$BQ$1001,MATCH(ROWS($AH$2:AH338),$AH$2:$AH$1001,0),MATCH(COLUMNS($AO$1006:AS1006),$AO$1006:$BQ$1006,0)), HYPERLINK("#",""), HYPERLINK(CONCATENATE("#Metadata!", ADDRESS(INDEX($AJ$2:$AJ$1001,MATCH(ROWS($AH$2:AH338),$AH$2:$AH$1001,0),0), INDEX($AO$1004:$BQ$1004,1,MATCH(COLUMNS($AO$1006:AS1006),$AO$1006:$BQ$1006,0)))),"Fix")))</f>
        <v>#N/A</v>
      </c>
      <c r="G338" s="5" t="e">
        <f ca="1">IF(OR(INDEX($AI$2:$AI$1001,MATCH(ROWS($AH$2:AH338),$AH$2:$AH$1001,0),1)&gt;=100000,INDEX($AO$1005:$BQ$1005,1,MATCH(COLUMNS($AO$1006:AT1006),$AO$1006:$BQ$1006,0))&gt;=100000), " ",IF(INDEX($AO$2:$BQ$1001,MATCH(ROWS($AH$2:AH338),$AH$2:$AH$1001,0),MATCH(COLUMNS($AO$1006:AT1006),$AO$1006:$BQ$1006,0)), HYPERLINK("#",""), HYPERLINK(CONCATENATE("#Metadata!", ADDRESS(INDEX($AJ$2:$AJ$1001,MATCH(ROWS($AH$2:AH338),$AH$2:$AH$1001,0),0), INDEX($AO$1004:$BQ$1004,1,MATCH(COLUMNS($AO$1006:AT1006),$AO$1006:$BQ$1006,0)))),"Fix")))</f>
        <v>#N/A</v>
      </c>
      <c r="H338" s="5" t="e">
        <f ca="1">IF(OR(INDEX($AI$2:$AI$1001,MATCH(ROWS($AH$2:AH338),$AH$2:$AH$1001,0),1)&gt;=100000,INDEX($AO$1005:$BQ$1005,1,MATCH(COLUMNS($AO$1006:AU1006),$AO$1006:$BQ$1006,0))&gt;=100000), " ",IF(INDEX($AO$2:$BQ$1001,MATCH(ROWS($AH$2:AH338),$AH$2:$AH$1001,0),MATCH(COLUMNS($AO$1006:AU1006),$AO$1006:$BQ$1006,0)), HYPERLINK("#",""), HYPERLINK(CONCATENATE("#Metadata!", ADDRESS(INDEX($AJ$2:$AJ$1001,MATCH(ROWS($AH$2:AH338),$AH$2:$AH$1001,0),0), INDEX($AO$1004:$BQ$1004,1,MATCH(COLUMNS($AO$1006:AU1006),$AO$1006:$BQ$1006,0)))),"Fix")))</f>
        <v>#N/A</v>
      </c>
      <c r="I338" s="5" t="e">
        <f ca="1">IF(OR(INDEX($AI$2:$AI$1001,MATCH(ROWS($AH$2:AH338),$AH$2:$AH$1001,0),1)&gt;=100000,INDEX($AO$1005:$BQ$1005,1,MATCH(COLUMNS($AO$1006:AV1006),$AO$1006:$BQ$1006,0))&gt;=100000), " ",IF(INDEX($AO$2:$BQ$1001,MATCH(ROWS($AH$2:AH338),$AH$2:$AH$1001,0),MATCH(COLUMNS($AO$1006:AV1006),$AO$1006:$BQ$1006,0)), HYPERLINK("#",""), HYPERLINK(CONCATENATE("#Metadata!", ADDRESS(INDEX($AJ$2:$AJ$1001,MATCH(ROWS($AH$2:AH338),$AH$2:$AH$1001,0),0), INDEX($AO$1004:$BQ$1004,1,MATCH(COLUMNS($AO$1006:AV1006),$AO$1006:$BQ$1006,0)))),"Fix")))</f>
        <v>#N/A</v>
      </c>
      <c r="J338" s="5" t="e">
        <f ca="1">IF(OR(INDEX($AI$2:$AI$1001,MATCH(ROWS($AH$2:AH338),$AH$2:$AH$1001,0),1)&gt;=100000,INDEX($AO$1005:$BQ$1005,1,MATCH(COLUMNS($AO$1006:AW1006),$AO$1006:$BQ$1006,0))&gt;=100000), " ",IF(INDEX($AO$2:$BQ$1001,MATCH(ROWS($AH$2:AH338),$AH$2:$AH$1001,0),MATCH(COLUMNS($AO$1006:AW1006),$AO$1006:$BQ$1006,0)), HYPERLINK("#",""), HYPERLINK(CONCATENATE("#Metadata!", ADDRESS(INDEX($AJ$2:$AJ$1001,MATCH(ROWS($AH$2:AH338),$AH$2:$AH$1001,0),0), INDEX($AO$1004:$BQ$1004,1,MATCH(COLUMNS($AO$1006:AW1006),$AO$1006:$BQ$1006,0)))),"Fix")))</f>
        <v>#N/A</v>
      </c>
      <c r="K338" s="5" t="e">
        <f ca="1">IF(OR(INDEX($AI$2:$AI$1001,MATCH(ROWS($AH$2:AH338),$AH$2:$AH$1001,0),1)&gt;=100000,INDEX($AO$1005:$BQ$1005,1,MATCH(COLUMNS($AO$1006:AX1006),$AO$1006:$BQ$1006,0))&gt;=100000), " ",IF(INDEX($AO$2:$BQ$1001,MATCH(ROWS($AH$2:AH338),$AH$2:$AH$1001,0),MATCH(COLUMNS($AO$1006:AX1006),$AO$1006:$BQ$1006,0)), HYPERLINK("#",""), HYPERLINK(CONCATENATE("#Metadata!", ADDRESS(INDEX($AJ$2:$AJ$1001,MATCH(ROWS($AH$2:AH338),$AH$2:$AH$1001,0),0), INDEX($AO$1004:$BQ$1004,1,MATCH(COLUMNS($AO$1006:AX1006),$AO$1006:$BQ$1006,0)))),"Fix")))</f>
        <v>#N/A</v>
      </c>
      <c r="L338" s="5" t="e">
        <f ca="1">IF(OR(INDEX($AI$2:$AI$1001,MATCH(ROWS($AH$2:AH338),$AH$2:$AH$1001,0),1)&gt;=100000,INDEX($AO$1005:$BQ$1005,1,MATCH(COLUMNS($AO$1006:AY1006),$AO$1006:$BQ$1006,0))&gt;=100000), " ",IF(INDEX($AO$2:$BQ$1001,MATCH(ROWS($AH$2:AH338),$AH$2:$AH$1001,0),MATCH(COLUMNS($AO$1006:AY1006),$AO$1006:$BQ$1006,0)), HYPERLINK("#",""), HYPERLINK(CONCATENATE("#Metadata!", ADDRESS(INDEX($AJ$2:$AJ$1001,MATCH(ROWS($AH$2:AH338),$AH$2:$AH$1001,0),0), INDEX($AO$1004:$BQ$1004,1,MATCH(COLUMNS($AO$1006:AY1006),$AO$1006:$BQ$1006,0)))),"Fix")))</f>
        <v>#N/A</v>
      </c>
      <c r="M338" s="5" t="e">
        <f ca="1">IF(OR(INDEX($AI$2:$AI$1001,MATCH(ROWS($AH$2:AH338),$AH$2:$AH$1001,0),1)&gt;=100000,INDEX($AO$1005:$BQ$1005,1,MATCH(COLUMNS($AO$1006:AZ1006),$AO$1006:$BQ$1006,0))&gt;=100000), " ",IF(INDEX($AO$2:$BQ$1001,MATCH(ROWS($AH$2:AH338),$AH$2:$AH$1001,0),MATCH(COLUMNS($AO$1006:AZ1006),$AO$1006:$BQ$1006,0)), HYPERLINK("#",""), HYPERLINK(CONCATENATE("#Metadata!", ADDRESS(INDEX($AJ$2:$AJ$1001,MATCH(ROWS($AH$2:AH338),$AH$2:$AH$1001,0),0), INDEX($AO$1004:$BQ$1004,1,MATCH(COLUMNS($AO$1006:AZ1006),$AO$1006:$BQ$1006,0)))),"Fix")))</f>
        <v>#N/A</v>
      </c>
      <c r="N338" s="5" t="e">
        <f ca="1">IF(OR(INDEX($AI$2:$AI$1001,MATCH(ROWS($AH$2:AH338),$AH$2:$AH$1001,0),1)&gt;=100000,INDEX($AO$1005:$BQ$1005,1,MATCH(COLUMNS($AO$1006:BA1006),$AO$1006:$BQ$1006,0))&gt;=100000), " ",IF(INDEX($AO$2:$BQ$1001,MATCH(ROWS($AH$2:AH338),$AH$2:$AH$1001,0),MATCH(COLUMNS($AO$1006:BA1006),$AO$1006:$BQ$1006,0)), HYPERLINK("#",""), HYPERLINK(CONCATENATE("#Metadata!", ADDRESS(INDEX($AJ$2:$AJ$1001,MATCH(ROWS($AH$2:AH338),$AH$2:$AH$1001,0),0), INDEX($AO$1004:$BQ$1004,1,MATCH(COLUMNS($AO$1006:BA1006),$AO$1006:$BQ$1006,0)))),"Fix")))</f>
        <v>#N/A</v>
      </c>
      <c r="O338" s="5" t="e">
        <f ca="1">IF(OR(INDEX($AI$2:$AI$1001,MATCH(ROWS($AH$2:AH338),$AH$2:$AH$1001,0),1)&gt;=100000,INDEX($AO$1005:$BQ$1005,1,MATCH(COLUMNS($AO$1006:BB1006),$AO$1006:$BQ$1006,0))&gt;=100000), " ",IF(INDEX($AO$2:$BQ$1001,MATCH(ROWS($AH$2:AH338),$AH$2:$AH$1001,0),MATCH(COLUMNS($AO$1006:BB1006),$AO$1006:$BQ$1006,0)), HYPERLINK("#",""), HYPERLINK(CONCATENATE("#Metadata!", ADDRESS(INDEX($AJ$2:$AJ$1001,MATCH(ROWS($AH$2:AH338),$AH$2:$AH$1001,0),0), INDEX($AO$1004:$BQ$1004,1,MATCH(COLUMNS($AO$1006:BB1006),$AO$1006:$BQ$1006,0)))),"Fix")))</f>
        <v>#N/A</v>
      </c>
      <c r="P338" s="5" t="e">
        <f ca="1">IF(OR(INDEX($AI$2:$AI$1001,MATCH(ROWS($AH$2:AH338),$AH$2:$AH$1001,0),1)&gt;=100000,INDEX($AO$1005:$BQ$1005,1,MATCH(COLUMNS($AO$1006:BC1006),$AO$1006:$BQ$1006,0))&gt;=100000), " ",IF(INDEX($AO$2:$BQ$1001,MATCH(ROWS($AH$2:AH338),$AH$2:$AH$1001,0),MATCH(COLUMNS($AO$1006:BC1006),$AO$1006:$BQ$1006,0)), HYPERLINK("#",""), HYPERLINK(CONCATENATE("#Metadata!", ADDRESS(INDEX($AJ$2:$AJ$1001,MATCH(ROWS($AH$2:AH338),$AH$2:$AH$1001,0),0), INDEX($AO$1004:$BQ$1004,1,MATCH(COLUMNS($AO$1006:BC1006),$AO$1006:$BQ$1006,0)))),"Fix")))</f>
        <v>#N/A</v>
      </c>
      <c r="Q338" s="5" t="e">
        <f ca="1">IF(OR(INDEX($AI$2:$AI$1001,MATCH(ROWS($AH$2:AH338),$AH$2:$AH$1001,0),1)&gt;=100000,INDEX($AO$1005:$BQ$1005,1,MATCH(COLUMNS($AO$1006:BD1006),$AO$1006:$BQ$1006,0))&gt;=100000), " ",IF(INDEX($AO$2:$BQ$1001,MATCH(ROWS($AH$2:AH338),$AH$2:$AH$1001,0),MATCH(COLUMNS($AO$1006:BD1006),$AO$1006:$BQ$1006,0)), HYPERLINK("#",""), HYPERLINK(CONCATENATE("#Metadata!", ADDRESS(INDEX($AJ$2:$AJ$1001,MATCH(ROWS($AH$2:AH338),$AH$2:$AH$1001,0),0), INDEX($AO$1004:$BQ$1004,1,MATCH(COLUMNS($AO$1006:BD1006),$AO$1006:$BQ$1006,0)))),"Fix")))</f>
        <v>#N/A</v>
      </c>
      <c r="R338" s="5" t="e">
        <f ca="1">IF(OR(INDEX($AI$2:$AI$1001,MATCH(ROWS($AH$2:AH338),$AH$2:$AH$1001,0),1)&gt;=100000,INDEX($AO$1005:$BQ$1005,1,MATCH(COLUMNS($AO$1006:BE1006),$AO$1006:$BQ$1006,0))&gt;=100000), " ",IF(INDEX($AO$2:$BQ$1001,MATCH(ROWS($AH$2:AH338),$AH$2:$AH$1001,0),MATCH(COLUMNS($AO$1006:BE1006),$AO$1006:$BQ$1006,0)), HYPERLINK("#",""), HYPERLINK(CONCATENATE("#Metadata!", ADDRESS(INDEX($AJ$2:$AJ$1001,MATCH(ROWS($AH$2:AH338),$AH$2:$AH$1001,0),0), INDEX($AO$1004:$BQ$1004,1,MATCH(COLUMNS($AO$1006:BE1006),$AO$1006:$BQ$1006,0)))),"Fix")))</f>
        <v>#N/A</v>
      </c>
      <c r="S338" s="5" t="e">
        <f ca="1">IF(OR(INDEX($AI$2:$AI$1001,MATCH(ROWS($AH$2:AH338),$AH$2:$AH$1001,0),1)&gt;=100000,INDEX($AO$1005:$BQ$1005,1,MATCH(COLUMNS($AO$1006:BF1006),$AO$1006:$BQ$1006,0))&gt;=100000), " ",IF(INDEX($AO$2:$BQ$1001,MATCH(ROWS($AH$2:AH338),$AH$2:$AH$1001,0),MATCH(COLUMNS($AO$1006:BF1006),$AO$1006:$BQ$1006,0)), HYPERLINK("#",""), HYPERLINK(CONCATENATE("#Metadata!", ADDRESS(INDEX($AJ$2:$AJ$1001,MATCH(ROWS($AH$2:AH338),$AH$2:$AH$1001,0),0), INDEX($AO$1004:$BQ$1004,1,MATCH(COLUMNS($AO$1006:BF1006),$AO$1006:$BQ$1006,0)))),"Fix")))</f>
        <v>#N/A</v>
      </c>
      <c r="T338" s="5" t="e">
        <f ca="1">IF(OR(INDEX($AI$2:$AI$1001,MATCH(ROWS($AH$2:AH338),$AH$2:$AH$1001,0),1)&gt;=100000,INDEX($AO$1005:$BQ$1005,1,MATCH(COLUMNS($AO$1006:BG1006),$AO$1006:$BQ$1006,0))&gt;=100000), " ",IF(INDEX($AO$2:$BQ$1001,MATCH(ROWS($AH$2:AH338),$AH$2:$AH$1001,0),MATCH(COLUMNS($AO$1006:BG1006),$AO$1006:$BQ$1006,0)), HYPERLINK("#",""), HYPERLINK(CONCATENATE("#Metadata!", ADDRESS(INDEX($AJ$2:$AJ$1001,MATCH(ROWS($AH$2:AH338),$AH$2:$AH$1001,0),0), INDEX($AO$1004:$BQ$1004,1,MATCH(COLUMNS($AO$1006:BG1006),$AO$1006:$BQ$1006,0)))),"Fix")))</f>
        <v>#N/A</v>
      </c>
      <c r="U338" s="5" t="e">
        <f ca="1">IF(OR(INDEX($AI$2:$AI$1001,MATCH(ROWS($AH$2:AH338),$AH$2:$AH$1001,0),1)&gt;=100000,INDEX($AO$1005:$BQ$1005,1,MATCH(COLUMNS($AO$1006:BH1006),$AO$1006:$BQ$1006,0))&gt;=100000), " ",IF(INDEX($AO$2:$BQ$1001,MATCH(ROWS($AH$2:AH338),$AH$2:$AH$1001,0),MATCH(COLUMNS($AO$1006:BH1006),$AO$1006:$BQ$1006,0)), HYPERLINK("#",""), HYPERLINK(CONCATENATE("#Metadata!", ADDRESS(INDEX($AJ$2:$AJ$1001,MATCH(ROWS($AH$2:AH338),$AH$2:$AH$1001,0),0), INDEX($AO$1004:$BQ$1004,1,MATCH(COLUMNS($AO$1006:BH1006),$AO$1006:$BQ$1006,0)))),"Fix")))</f>
        <v>#N/A</v>
      </c>
      <c r="V338" s="5" t="e">
        <f ca="1">IF(OR(INDEX($AI$2:$AI$1001,MATCH(ROWS($AH$2:AH338),$AH$2:$AH$1001,0),1)&gt;=100000,INDEX($AO$1005:$BQ$1005,1,MATCH(COLUMNS($AO$1006:BI1006),$AO$1006:$BQ$1006,0))&gt;=100000), " ",IF(INDEX($AO$2:$BQ$1001,MATCH(ROWS($AH$2:AH338),$AH$2:$AH$1001,0),MATCH(COLUMNS($AO$1006:BI1006),$AO$1006:$BQ$1006,0)), HYPERLINK("#",""), HYPERLINK(CONCATENATE("#Metadata!", ADDRESS(INDEX($AJ$2:$AJ$1001,MATCH(ROWS($AH$2:AH338),$AH$2:$AH$1001,0),0), INDEX($AO$1004:$BQ$1004,1,MATCH(COLUMNS($AO$1006:BI1006),$AO$1006:$BQ$1006,0)))),"Fix")))</f>
        <v>#N/A</v>
      </c>
      <c r="W338" s="5" t="e">
        <f ca="1">IF(OR(INDEX($AI$2:$AI$1001,MATCH(ROWS($AH$2:AH338),$AH$2:$AH$1001,0),1)&gt;=100000,INDEX($AO$1005:$BQ$1005,1,MATCH(COLUMNS($AO$1006:BJ1006),$AO$1006:$BQ$1006,0))&gt;=100000), " ",IF(INDEX($AO$2:$BQ$1001,MATCH(ROWS($AH$2:AH338),$AH$2:$AH$1001,0),MATCH(COLUMNS($AO$1006:BJ1006),$AO$1006:$BQ$1006,0)), HYPERLINK("#",""), HYPERLINK(CONCATENATE("#Metadata!", ADDRESS(INDEX($AJ$2:$AJ$1001,MATCH(ROWS($AH$2:AH338),$AH$2:$AH$1001,0),0), INDEX($AO$1004:$BQ$1004,1,MATCH(COLUMNS($AO$1006:BJ1006),$AO$1006:$BQ$1006,0)))),"Fix")))</f>
        <v>#N/A</v>
      </c>
      <c r="X338" s="5" t="e">
        <f ca="1">IF(OR(INDEX($AI$2:$AI$1001,MATCH(ROWS($AH$2:AH338),$AH$2:$AH$1001,0),1)&gt;=100000,INDEX($AO$1005:$BQ$1005,1,MATCH(COLUMNS($AO$1006:BK1006),$AO$1006:$BQ$1006,0))&gt;=100000), " ",IF(INDEX($AO$2:$BQ$1001,MATCH(ROWS($AH$2:AH338),$AH$2:$AH$1001,0),MATCH(COLUMNS($AO$1006:BK1006),$AO$1006:$BQ$1006,0)), HYPERLINK("#",""), HYPERLINK(CONCATENATE("#Metadata!", ADDRESS(INDEX($AJ$2:$AJ$1001,MATCH(ROWS($AH$2:AH338),$AH$2:$AH$1001,0),0), INDEX($AO$1004:$BQ$1004,1,MATCH(COLUMNS($AO$1006:BK1006),$AO$1006:$BQ$1006,0)))),"Fix")))</f>
        <v>#N/A</v>
      </c>
      <c r="Y338" s="5" t="e">
        <f ca="1">IF(OR(INDEX($AI$2:$AI$1001,MATCH(ROWS($AH$2:AH338),$AH$2:$AH$1001,0),1)&gt;=100000,INDEX($AO$1005:$BQ$1005,1,MATCH(COLUMNS($AO$1006:BL1006),$AO$1006:$BQ$1006,0))&gt;=100000), " ",IF(INDEX($AO$2:$BQ$1001,MATCH(ROWS($AH$2:AH338),$AH$2:$AH$1001,0),MATCH(COLUMNS($AO$1006:BL1006),$AO$1006:$BQ$1006,0)), HYPERLINK("#",""), HYPERLINK(CONCATENATE("#Metadata!", ADDRESS(INDEX($AJ$2:$AJ$1001,MATCH(ROWS($AH$2:AH338),$AH$2:$AH$1001,0),0), INDEX($AO$1004:$BQ$1004,1,MATCH(COLUMNS($AO$1006:BL1006),$AO$1006:$BQ$1006,0)))),"Fix")))</f>
        <v>#N/A</v>
      </c>
      <c r="Z338" s="5" t="e">
        <f ca="1">IF(OR(INDEX($AI$2:$AI$1001,MATCH(ROWS($AH$2:AH338),$AH$2:$AH$1001,0),1)&gt;=100000,INDEX($AO$1005:$BQ$1005,1,MATCH(COLUMNS($AO$1006:BM1006),$AO$1006:$BQ$1006,0))&gt;=100000), " ",IF(INDEX($AO$2:$BQ$1001,MATCH(ROWS($AH$2:AH338),$AH$2:$AH$1001,0),MATCH(COLUMNS($AO$1006:BM1006),$AO$1006:$BQ$1006,0)), HYPERLINK("#",""), HYPERLINK(CONCATENATE("#Metadata!", ADDRESS(INDEX($AJ$2:$AJ$1001,MATCH(ROWS($AH$2:AH338),$AH$2:$AH$1001,0),0), INDEX($AO$1004:$BQ$1004,1,MATCH(COLUMNS($AO$1006:BM1006),$AO$1006:$BQ$1006,0)))),"Fix")))</f>
        <v>#N/A</v>
      </c>
      <c r="AA338" s="5" t="e">
        <f ca="1">IF(OR(INDEX($AI$2:$AI$1001,MATCH(ROWS($AH$2:AH338),$AH$2:$AH$1001,0),1)&gt;=100000,INDEX($AO$1005:$BQ$1005,1,MATCH(COLUMNS($AO$1006:BN1006),$AO$1006:$BQ$1006,0))&gt;=100000), " ",IF(INDEX($AO$2:$BQ$1001,MATCH(ROWS($AH$2:AH338),$AH$2:$AH$1001,0),MATCH(COLUMNS($AO$1006:BN1006),$AO$1006:$BQ$1006,0)), HYPERLINK("#",""), HYPERLINK(CONCATENATE("#Metadata!", ADDRESS(INDEX($AJ$2:$AJ$1001,MATCH(ROWS($AH$2:AH338),$AH$2:$AH$1001,0),0), INDEX($AO$1004:$BQ$1004,1,MATCH(COLUMNS($AO$1006:BN1006),$AO$1006:$BQ$1006,0)))),"Fix")))</f>
        <v>#N/A</v>
      </c>
      <c r="AB338" s="5" t="e">
        <f ca="1">IF(OR(INDEX($AI$2:$AI$1001,MATCH(ROWS($AH$2:AH338),$AH$2:$AH$1001,0),1)&gt;=100000,INDEX($AO$1005:$BQ$1005,1,MATCH(COLUMNS($AO$1006:BO1006),$AO$1006:$BQ$1006,0))&gt;=100000), " ",IF(INDEX($AO$2:$BQ$1001,MATCH(ROWS($AH$2:AH338),$AH$2:$AH$1001,0),MATCH(COLUMNS($AO$1006:BO1006),$AO$1006:$BQ$1006,0)), HYPERLINK("#",""), HYPERLINK(CONCATENATE("#Metadata!", ADDRESS(INDEX($AJ$2:$AJ$1001,MATCH(ROWS($AH$2:AH338),$AH$2:$AH$1001,0),0), INDEX($AO$1004:$BQ$1004,1,MATCH(COLUMNS($AO$1006:BO1006),$AO$1006:$BQ$1006,0)))),"Fix")))</f>
        <v>#N/A</v>
      </c>
      <c r="AC338" s="5" t="e">
        <f ca="1">IF(OR(INDEX($AI$2:$AI$1001,MATCH(ROWS($AH$2:AH338),$AH$2:$AH$1001,0),1)&gt;=100000,INDEX($AO$1005:$BQ$1005,1,MATCH(COLUMNS($AO$1006:BP1006),$AO$1006:$BQ$1006,0))&gt;=100000), " ",IF(INDEX($AO$2:$BQ$1001,MATCH(ROWS($AH$2:AH338),$AH$2:$AH$1001,0),MATCH(COLUMNS($AO$1006:BP1006),$AO$1006:$BQ$1006,0)), HYPERLINK("#",""), HYPERLINK(CONCATENATE("#Metadata!", ADDRESS(INDEX($AJ$2:$AJ$1001,MATCH(ROWS($AH$2:AH338),$AH$2:$AH$1001,0),0), INDEX($AO$1004:$BQ$1004,1,MATCH(COLUMNS($AO$1006:BP1006),$AO$1006:$BQ$1006,0)))),"Fix")))</f>
        <v>#N/A</v>
      </c>
      <c r="AD338" s="5" t="e">
        <f ca="1">IF(OR(INDEX($AI$2:$AI$1001,MATCH(ROWS($AH$2:AH338),$AH$2:$AH$1001,0),1)&gt;=100000,INDEX($AO$1005:$BQ$1005,1,MATCH(COLUMNS($AO$1006:BQ1006),$AO$1006:$BQ$1006,0))&gt;=100000), " ",IF(INDEX($AO$2:$BQ$1001,MATCH(ROWS($AH$2:AH338),$AH$2:$AH$1001,0),MATCH(COLUMNS($AO$1006:BQ1006),$AO$1006:$BQ$1006,0)), HYPERLINK("#",""), HYPERLINK(CONCATENATE("#Metadata!", ADDRESS(INDEX($AJ$2:$AJ$1001,MATCH(ROWS($AH$2:AH338),$AH$2:$AH$1001,0),0), INDEX($AO$1004:$BQ$1004,1,MATCH(COLUMNS($AO$1006:BQ1006),$AO$1006:$BQ$1006,0)))),"Fix")))</f>
        <v>#REF!</v>
      </c>
      <c r="AH338">
        <f ca="1"/>
        <v>335</v>
      </c>
      <c r="AI338">
        <v>100338</v>
      </c>
      <c r="AJ338">
        <v>338</v>
      </c>
      <c r="AK338" t="b">
        <f t="shared" si="5"/>
        <v>1</v>
      </c>
      <c r="AL338" t="b">
        <f>COUNTBLANK(Metadata!B338:AD338)=COLUMNS(Metadata!B338:AD338)</f>
        <v>1</v>
      </c>
      <c r="AM338" t="str">
        <v/>
      </c>
      <c r="AO338" t="b">
        <f ca="1">AND(IF(Metadata!B338="",FALSE,TRUE),COUNTIF(Metadata!B:B, Metadata!B338) = 1,NOT(ISERROR(SUMPRODUCT(SEARCH(MID(Metadata!B338,ROW(INDIRECT("1:"&amp;LEN(Metadata!B338))), 1),"0123456789abcdefghijklmnopqrstuvwxyzABCDEFGHIJKLMNOPQRSTUVWXYZ.")))))</f>
        <v>0</v>
      </c>
      <c r="AP338" t="b">
        <f>IF(Metadata!C338="",FALSE,TRUE)</f>
        <v>0</v>
      </c>
      <c r="AQ338" t="b">
        <f>IF(Metadata!D338="",FALSE,TRUE)</f>
        <v>0</v>
      </c>
      <c r="AR338" t="b">
        <f ca="1">OR(AND(IF(Metadata!E338="",FALSE,TRUE),OR(EXACT(Metadata!E338,"not collected"),EXACT(Metadata!E338,"not provided"),EXACT(Metadata!E338,"restricted access"))),AND(IF(Metadata!E338="",FALSE,TRUE),AND(AND(IFERROR(INT(LEFT(Metadata!E338,4))&gt;1900,FALSE),IFERROR(INT(LEFT(Metadata!E338,4))&lt;=YEAR(NOW()),FALSE)), OR(MID(Metadata!E338,5,1)="", AND(AND(MID(Metadata!E338,5,1)="-",IFERROR(INT(MID(Metadata!E338,6,1))&gt;=0,FALSE),IFERROR(INT(MID(Metadata!E338,6,1))&lt;=1,FALSE),NOT(MID(Metadata!E338,7,1)=""),IFERROR(INT(MID(Metadata!E338,6,2))&gt;=1,FALSE),IFERROR(INT(MID(Metadata!E338,6,2))&lt;=12,FALSE)), OR(MID(Metadata!E338,8,1)="", AND(AND(MID(Metadata!E338,8,1)="-",IFERROR(INT(MID(Metadata!E338,9,1))&gt;=0,FALSE),IFERROR(INT(MID(Metadata!E338,9,1))&lt;=3,FALSE),NOT(MID(Metadata!E338,10,1)=""),IFERROR(INT(MID(Metadata!E338,9,2))&gt;=1,FALSE),IFERROR(INT(MID(Metadata!E338,9,2))&lt;=31,FALSE)), OR(MID(Metadata!E338,11,1)="", AND(AND(MID(Metadata!E338,11,1)=" ",IFERROR(INT(MID(Metadata!E338,12,1))&gt;=0,FALSE),IFERROR(INT(MID(Metadata!E338,12,1))&lt;=2,FALSE),NOT(MID(Metadata!E338,13,1)=""),IFERROR(INT(MID(Metadata!E338,12,2))&gt;=0,FALSE),IFERROR(INT(MID(Metadata!E338,12,2))&lt;=23,FALSE)), OR(MID(Metadata!E338,14,1)="", AND(AND(MID(Metadata!E338,14,1)=":",IFERROR(INT(MID(Metadata!E338,15,1))&gt;=0,FALSE),IFERROR(INT(MID(Metadata!E338,15,1))&lt;=5,FALSE),NOT(MID(Metadata!E338,16,1)=""),IFERROR(INT(MID(Metadata!E338,15,2))&gt;=0,FALSE),IFERROR(INT(MID(Metadata!E338,15,2))&lt;=59,FALSE)), OR(MID(Metadata!E338,17,1)="", AND(AND(MID(Metadata!E338,17,1)=":",IFERROR(INT(MID(Metadata!E338,18,1))&gt;=0,FALSE),IFERROR(INT(MID(Metadata!E338,18,1))&lt;=5,FALSE),NOT(MID(Metadata!E338,19,1)=""),IFERROR(INT(MID(Metadata!E338,18,2))&gt;=0,FALSE),IFERROR(INT(MID(Metadata!E338,18,2))&lt;=59,FALSE)), LEN(Metadata!E338)&lt;=19)))))))))))))</f>
        <v>0</v>
      </c>
      <c r="AS338" t="b">
        <f>IF(Metadata!F338="",FALSE,TRUE)</f>
        <v>0</v>
      </c>
      <c r="AT338" t="b">
        <f>OR(AND(IF(Metadata!G338="",FALSE,TRUE),OR(EXACT(Metadata!G338,"not collected"),EXACT(Metadata!G338,"not provided"))),AND(IF(Metadata!G338="",FALSE,TRUE),OR(EXACT(Metadata!G338,"TRUE"),EXACT(Metadata!G338,"FALSE"))))</f>
        <v>0</v>
      </c>
      <c r="AU338" t="b">
        <f>OR(AND(IF(Metadata!H338="",FALSE,TRUE),OR(EXACT(Metadata!H338,"not collected"),EXACT(Metadata!H338,"not provided"),EXACT(Metadata!H338,"restricted access"))),AND(IF(Metadata!H338="",FALSE,ISNUMBER(VALUE(Metadata!H338))),Metadata!H338&gt;=-413))</f>
        <v>0</v>
      </c>
      <c r="AV338" t="b">
        <f>AND(IF(Metadata!I338="",FALSE,TRUE),EXACT(Metadata!I338,"meters"))</f>
        <v>0</v>
      </c>
      <c r="AW338" t="b">
        <f>AND(IF(Metadata!J338="",FALSE,TRUE),EXACT(Metadata!J338,"free-living"))</f>
        <v>0</v>
      </c>
      <c r="AX338" t="b">
        <f>AND(IF(Metadata!K338="",FALSE,TRUE),OR(EXACT(Metadata!K338,"saline"),EXACT(Metadata!K338,"non-saline")))</f>
        <v>0</v>
      </c>
      <c r="AY338" t="b">
        <f>AND(IF(Metadata!L338="",FALSE,TRUE),OR(EXACT(Metadata!L338,"sub-surface (non-saline)"),EXACT(Metadata!L338,"surface (non-saline)"),EXACT(Metadata!L338,"water (non-saline)"),EXACT(Metadata!L338,"soil (non-saline)"),EXACT(Metadata!L338,"aerosol (non-saline)"),EXACT(Metadata!L338,"sediment (non-saline)"),EXACT(Metadata!L338,"surface (saline)"),EXACT(Metadata!L338,"water (saline)"),EXACT(Metadata!L338,"hypersaline (saline)"),EXACT(Metadata!L338,"aerosol (saline)"),EXACT(Metadata!L338,"sediment (saline)")))</f>
        <v>0</v>
      </c>
      <c r="AZ338" t="b">
        <f>IF(Metadata!M338="",FALSE,TRUE)</f>
        <v>0</v>
      </c>
      <c r="BA338" t="b">
        <f>IF(Metadata!N338="",FALSE,TRUE)</f>
        <v>0</v>
      </c>
      <c r="BB338" t="b">
        <f>IF(Metadata!O338="",FALSE,TRUE)</f>
        <v>0</v>
      </c>
      <c r="BC338" t="b">
        <f>AND(IF(Metadata!P338="",FALSE,TRUE),OR(EXACT(Metadata!P338,"air"),EXACT(Metadata!P338,"microbial mat/biofilm"),EXACT(Metadata!P338,"misc environment"),EXACT(Metadata!P338,"sediment"),EXACT(Metadata!P338,"soil"),EXACT(Metadata!P338,"wastewater/sludge"),EXACT(Metadata!P338,"water")))</f>
        <v>0</v>
      </c>
      <c r="BD338" t="b">
        <f>IF(Metadata!Q338="",FALSE,TRUE)</f>
        <v>0</v>
      </c>
      <c r="BE338" t="b">
        <f>IF(Metadata!R338="",FALSE,TRUE)</f>
        <v>0</v>
      </c>
      <c r="BF338" t="b">
        <f>OR(AND(IF(Metadata!S338="",FALSE,TRUE),OR(EXACT(Metadata!S338,"not collected"),EXACT(Metadata!S338,"not provided"),EXACT(Metadata!S338,"restricted access"))),AND(IF(Metadata!S338="",FALSE,ISNUMBER(VALUE(Metadata!S338))),Metadata!S338&gt;=-90,Metadata!S338&lt;=90))</f>
        <v>0</v>
      </c>
      <c r="BG338" t="b">
        <f>AND(IF(Metadata!T338="",FALSE,TRUE),EXACT(Metadata!T338,"Decimal degrees"))</f>
        <v>0</v>
      </c>
      <c r="BH338" t="b">
        <f>OR(AND(IF(Metadata!U338="",FALSE,TRUE),OR(EXACT(Metadata!U338,"not applicable"),EXACT(Metadata!U338,"not collected"))),IF(Metadata!U338="",FALSE,TRUE))</f>
        <v>0</v>
      </c>
      <c r="BI338" t="b">
        <f>OR(AND(IF(Metadata!V338="",FALSE,TRUE),OR(EXACT(Metadata!V338,"not collected"),EXACT(Metadata!V338,"not provided"),EXACT(Metadata!V338,"restricted access"))),AND(IF(Metadata!V338="",FALSE,ISNUMBER(VALUE(Metadata!V338))),Metadata!V338&gt;=-180,Metadata!V338&lt;=180))</f>
        <v>0</v>
      </c>
      <c r="BJ338" t="b">
        <f>AND(IF(Metadata!W338="",FALSE,TRUE),EXACT(Metadata!W338,"Decimal degrees"))</f>
        <v>0</v>
      </c>
      <c r="BK338" t="b">
        <f>IF(Metadata!X338="",FALSE,TRUE)</f>
        <v>0</v>
      </c>
      <c r="BL338" t="b">
        <f>OR(AND(IF(Metadata!Y338="",FALSE,TRUE),OR(EXACT(Metadata!Y338,"not collected"),EXACT(Metadata!Y338,"not provided"),EXACT(Metadata!Y338,"restricted access"))),AND(IF(Metadata!Y338="",FALSE,TRUE),OR(EXACT(Metadata!Y338,"TRUE"),EXACT(Metadata!Y338,"FALSE"))))</f>
        <v>0</v>
      </c>
      <c r="BM338" t="b">
        <f>OR(AND(IF(Metadata!Z338="",FALSE,TRUE),EXACT(Metadata!Z338,"not applicable")),AND(IF(Metadata!Z338="",FALSE,TRUE),OR(EXACT(Metadata!Z338,"beer"),EXACT(Metadata!Z338,"cheese"),EXACT(Metadata!Z338,"fresh water"),EXACT(Metadata!Z338,"marine sediment"),EXACT(Metadata!Z338,"sea water"),EXACT(Metadata!Z338,"sediment"),EXACT(Metadata!Z338,"soil"),EXACT(Metadata!Z338,"waste water"))))</f>
        <v>0</v>
      </c>
      <c r="BN338" t="b">
        <f>AND(IF(Metadata!AA338="",FALSE,TRUE),EXACT(Metadata!AA338,"metagenome"))</f>
        <v>0</v>
      </c>
      <c r="BO338" t="b">
        <f>AND(IF(Metadata!AB338="",FALSE,TRUE),EXACT(Metadata!AB338,"256318"))</f>
        <v>0</v>
      </c>
      <c r="BP338" t="b">
        <f>IF(Metadata!AC338="",FALSE,TRUE)</f>
        <v>0</v>
      </c>
      <c r="BQ338" t="b">
        <f>IF(Metadata!AD338="",FALSE,TRUE)</f>
        <v>0</v>
      </c>
    </row>
    <row r="339" spans="1:69" x14ac:dyDescent="0.2">
      <c r="A339" s="4" t="e">
        <f ca="1">IF(B339=" "," ",HYPERLINK(CONCATENATE("#metadata!",ADDRESS(INDEX($AJ$2:$AJ$1001,MATCH(ROWS($AH$2:AH339),$AH$2:$AH$1001,0),0),2)),INDEX($AM$2:$AM$1001,MATCH(ROWS($AH$2:AH339),$AH$2:$AH$1001,0),0)))</f>
        <v>#N/A</v>
      </c>
      <c r="B339" s="5" t="e">
        <f ca="1">IF(OR(INDEX($AI$2:$AI$1001,MATCH(ROWS($AH$2:AH339),$AH$2:$AH$1001,0),1)&gt;=100000,INDEX($AO$1005:$BQ$1005,1,MATCH(COLUMNS($AO$1006:AO1006),$AO$1006:$BQ$1006,0))&gt;=100000), " ",IF(INDEX($AO$2:$BQ$1001,MATCH(ROWS($AH$2:AH339),$AH$2:$AH$1001,0),MATCH(COLUMNS($AO$1006:AO1006),$AO$1006:$BQ$1006,0)), HYPERLINK("#",""), HYPERLINK(CONCATENATE("#Metadata!", ADDRESS(INDEX($AJ$2:$AJ$1001,MATCH(ROWS($AH$2:AH339),$AH$2:$AH$1001,0),0), INDEX($AO$1004:$BQ$1004,1,MATCH(COLUMNS($AO$1006:AO1006),$AO$1006:$BQ$1006,0)))),"Fix")))</f>
        <v>#N/A</v>
      </c>
      <c r="C339" s="5" t="e">
        <f ca="1">IF(OR(INDEX($AI$2:$AI$1001,MATCH(ROWS($AH$2:AH339),$AH$2:$AH$1001,0),1)&gt;=100000,INDEX($AO$1005:$BQ$1005,1,MATCH(COLUMNS($AO$1006:AP1006),$AO$1006:$BQ$1006,0))&gt;=100000), " ",IF(INDEX($AO$2:$BQ$1001,MATCH(ROWS($AH$2:AH339),$AH$2:$AH$1001,0),MATCH(COLUMNS($AO$1006:AP1006),$AO$1006:$BQ$1006,0)), HYPERLINK("#",""), HYPERLINK(CONCATENATE("#Metadata!", ADDRESS(INDEX($AJ$2:$AJ$1001,MATCH(ROWS($AH$2:AH339),$AH$2:$AH$1001,0),0), INDEX($AO$1004:$BQ$1004,1,MATCH(COLUMNS($AO$1006:AP1006),$AO$1006:$BQ$1006,0)))),"Fix")))</f>
        <v>#N/A</v>
      </c>
      <c r="D339" s="5" t="e">
        <f ca="1">IF(OR(INDEX($AI$2:$AI$1001,MATCH(ROWS($AH$2:AH339),$AH$2:$AH$1001,0),1)&gt;=100000,INDEX($AO$1005:$BQ$1005,1,MATCH(COLUMNS($AO$1006:AQ1006),$AO$1006:$BQ$1006,0))&gt;=100000), " ",IF(INDEX($AO$2:$BQ$1001,MATCH(ROWS($AH$2:AH339),$AH$2:$AH$1001,0),MATCH(COLUMNS($AO$1006:AQ1006),$AO$1006:$BQ$1006,0)), HYPERLINK("#",""), HYPERLINK(CONCATENATE("#Metadata!", ADDRESS(INDEX($AJ$2:$AJ$1001,MATCH(ROWS($AH$2:AH339),$AH$2:$AH$1001,0),0), INDEX($AO$1004:$BQ$1004,1,MATCH(COLUMNS($AO$1006:AQ1006),$AO$1006:$BQ$1006,0)))),"Fix")))</f>
        <v>#N/A</v>
      </c>
      <c r="E339" s="5" t="e">
        <f ca="1">IF(OR(INDEX($AI$2:$AI$1001,MATCH(ROWS($AH$2:AH339),$AH$2:$AH$1001,0),1)&gt;=100000,INDEX($AO$1005:$BQ$1005,1,MATCH(COLUMNS($AO$1006:AR1006),$AO$1006:$BQ$1006,0))&gt;=100000), " ",IF(INDEX($AO$2:$BQ$1001,MATCH(ROWS($AH$2:AH339),$AH$2:$AH$1001,0),MATCH(COLUMNS($AO$1006:AR1006),$AO$1006:$BQ$1006,0)), HYPERLINK("#",""), HYPERLINK(CONCATENATE("#Metadata!", ADDRESS(INDEX($AJ$2:$AJ$1001,MATCH(ROWS($AH$2:AH339),$AH$2:$AH$1001,0),0), INDEX($AO$1004:$BQ$1004,1,MATCH(COLUMNS($AO$1006:AR1006),$AO$1006:$BQ$1006,0)))),"Fix")))</f>
        <v>#N/A</v>
      </c>
      <c r="F339" s="5" t="e">
        <f ca="1">IF(OR(INDEX($AI$2:$AI$1001,MATCH(ROWS($AH$2:AH339),$AH$2:$AH$1001,0),1)&gt;=100000,INDEX($AO$1005:$BQ$1005,1,MATCH(COLUMNS($AO$1006:AS1006),$AO$1006:$BQ$1006,0))&gt;=100000), " ",IF(INDEX($AO$2:$BQ$1001,MATCH(ROWS($AH$2:AH339),$AH$2:$AH$1001,0),MATCH(COLUMNS($AO$1006:AS1006),$AO$1006:$BQ$1006,0)), HYPERLINK("#",""), HYPERLINK(CONCATENATE("#Metadata!", ADDRESS(INDEX($AJ$2:$AJ$1001,MATCH(ROWS($AH$2:AH339),$AH$2:$AH$1001,0),0), INDEX($AO$1004:$BQ$1004,1,MATCH(COLUMNS($AO$1006:AS1006),$AO$1006:$BQ$1006,0)))),"Fix")))</f>
        <v>#N/A</v>
      </c>
      <c r="G339" s="5" t="e">
        <f ca="1">IF(OR(INDEX($AI$2:$AI$1001,MATCH(ROWS($AH$2:AH339),$AH$2:$AH$1001,0),1)&gt;=100000,INDEX($AO$1005:$BQ$1005,1,MATCH(COLUMNS($AO$1006:AT1006),$AO$1006:$BQ$1006,0))&gt;=100000), " ",IF(INDEX($AO$2:$BQ$1001,MATCH(ROWS($AH$2:AH339),$AH$2:$AH$1001,0),MATCH(COLUMNS($AO$1006:AT1006),$AO$1006:$BQ$1006,0)), HYPERLINK("#",""), HYPERLINK(CONCATENATE("#Metadata!", ADDRESS(INDEX($AJ$2:$AJ$1001,MATCH(ROWS($AH$2:AH339),$AH$2:$AH$1001,0),0), INDEX($AO$1004:$BQ$1004,1,MATCH(COLUMNS($AO$1006:AT1006),$AO$1006:$BQ$1006,0)))),"Fix")))</f>
        <v>#N/A</v>
      </c>
      <c r="H339" s="5" t="e">
        <f ca="1">IF(OR(INDEX($AI$2:$AI$1001,MATCH(ROWS($AH$2:AH339),$AH$2:$AH$1001,0),1)&gt;=100000,INDEX($AO$1005:$BQ$1005,1,MATCH(COLUMNS($AO$1006:AU1006),$AO$1006:$BQ$1006,0))&gt;=100000), " ",IF(INDEX($AO$2:$BQ$1001,MATCH(ROWS($AH$2:AH339),$AH$2:$AH$1001,0),MATCH(COLUMNS($AO$1006:AU1006),$AO$1006:$BQ$1006,0)), HYPERLINK("#",""), HYPERLINK(CONCATENATE("#Metadata!", ADDRESS(INDEX($AJ$2:$AJ$1001,MATCH(ROWS($AH$2:AH339),$AH$2:$AH$1001,0),0), INDEX($AO$1004:$BQ$1004,1,MATCH(COLUMNS($AO$1006:AU1006),$AO$1006:$BQ$1006,0)))),"Fix")))</f>
        <v>#N/A</v>
      </c>
      <c r="I339" s="5" t="e">
        <f ca="1">IF(OR(INDEX($AI$2:$AI$1001,MATCH(ROWS($AH$2:AH339),$AH$2:$AH$1001,0),1)&gt;=100000,INDEX($AO$1005:$BQ$1005,1,MATCH(COLUMNS($AO$1006:AV1006),$AO$1006:$BQ$1006,0))&gt;=100000), " ",IF(INDEX($AO$2:$BQ$1001,MATCH(ROWS($AH$2:AH339),$AH$2:$AH$1001,0),MATCH(COLUMNS($AO$1006:AV1006),$AO$1006:$BQ$1006,0)), HYPERLINK("#",""), HYPERLINK(CONCATENATE("#Metadata!", ADDRESS(INDEX($AJ$2:$AJ$1001,MATCH(ROWS($AH$2:AH339),$AH$2:$AH$1001,0),0), INDEX($AO$1004:$BQ$1004,1,MATCH(COLUMNS($AO$1006:AV1006),$AO$1006:$BQ$1006,0)))),"Fix")))</f>
        <v>#N/A</v>
      </c>
      <c r="J339" s="5" t="e">
        <f ca="1">IF(OR(INDEX($AI$2:$AI$1001,MATCH(ROWS($AH$2:AH339),$AH$2:$AH$1001,0),1)&gt;=100000,INDEX($AO$1005:$BQ$1005,1,MATCH(COLUMNS($AO$1006:AW1006),$AO$1006:$BQ$1006,0))&gt;=100000), " ",IF(INDEX($AO$2:$BQ$1001,MATCH(ROWS($AH$2:AH339),$AH$2:$AH$1001,0),MATCH(COLUMNS($AO$1006:AW1006),$AO$1006:$BQ$1006,0)), HYPERLINK("#",""), HYPERLINK(CONCATENATE("#Metadata!", ADDRESS(INDEX($AJ$2:$AJ$1001,MATCH(ROWS($AH$2:AH339),$AH$2:$AH$1001,0),0), INDEX($AO$1004:$BQ$1004,1,MATCH(COLUMNS($AO$1006:AW1006),$AO$1006:$BQ$1006,0)))),"Fix")))</f>
        <v>#N/A</v>
      </c>
      <c r="K339" s="5" t="e">
        <f ca="1">IF(OR(INDEX($AI$2:$AI$1001,MATCH(ROWS($AH$2:AH339),$AH$2:$AH$1001,0),1)&gt;=100000,INDEX($AO$1005:$BQ$1005,1,MATCH(COLUMNS($AO$1006:AX1006),$AO$1006:$BQ$1006,0))&gt;=100000), " ",IF(INDEX($AO$2:$BQ$1001,MATCH(ROWS($AH$2:AH339),$AH$2:$AH$1001,0),MATCH(COLUMNS($AO$1006:AX1006),$AO$1006:$BQ$1006,0)), HYPERLINK("#",""), HYPERLINK(CONCATENATE("#Metadata!", ADDRESS(INDEX($AJ$2:$AJ$1001,MATCH(ROWS($AH$2:AH339),$AH$2:$AH$1001,0),0), INDEX($AO$1004:$BQ$1004,1,MATCH(COLUMNS($AO$1006:AX1006),$AO$1006:$BQ$1006,0)))),"Fix")))</f>
        <v>#N/A</v>
      </c>
      <c r="L339" s="5" t="e">
        <f ca="1">IF(OR(INDEX($AI$2:$AI$1001,MATCH(ROWS($AH$2:AH339),$AH$2:$AH$1001,0),1)&gt;=100000,INDEX($AO$1005:$BQ$1005,1,MATCH(COLUMNS($AO$1006:AY1006),$AO$1006:$BQ$1006,0))&gt;=100000), " ",IF(INDEX($AO$2:$BQ$1001,MATCH(ROWS($AH$2:AH339),$AH$2:$AH$1001,0),MATCH(COLUMNS($AO$1006:AY1006),$AO$1006:$BQ$1006,0)), HYPERLINK("#",""), HYPERLINK(CONCATENATE("#Metadata!", ADDRESS(INDEX($AJ$2:$AJ$1001,MATCH(ROWS($AH$2:AH339),$AH$2:$AH$1001,0),0), INDEX($AO$1004:$BQ$1004,1,MATCH(COLUMNS($AO$1006:AY1006),$AO$1006:$BQ$1006,0)))),"Fix")))</f>
        <v>#N/A</v>
      </c>
      <c r="M339" s="5" t="e">
        <f ca="1">IF(OR(INDEX($AI$2:$AI$1001,MATCH(ROWS($AH$2:AH339),$AH$2:$AH$1001,0),1)&gt;=100000,INDEX($AO$1005:$BQ$1005,1,MATCH(COLUMNS($AO$1006:AZ1006),$AO$1006:$BQ$1006,0))&gt;=100000), " ",IF(INDEX($AO$2:$BQ$1001,MATCH(ROWS($AH$2:AH339),$AH$2:$AH$1001,0),MATCH(COLUMNS($AO$1006:AZ1006),$AO$1006:$BQ$1006,0)), HYPERLINK("#",""), HYPERLINK(CONCATENATE("#Metadata!", ADDRESS(INDEX($AJ$2:$AJ$1001,MATCH(ROWS($AH$2:AH339),$AH$2:$AH$1001,0),0), INDEX($AO$1004:$BQ$1004,1,MATCH(COLUMNS($AO$1006:AZ1006),$AO$1006:$BQ$1006,0)))),"Fix")))</f>
        <v>#N/A</v>
      </c>
      <c r="N339" s="5" t="e">
        <f ca="1">IF(OR(INDEX($AI$2:$AI$1001,MATCH(ROWS($AH$2:AH339),$AH$2:$AH$1001,0),1)&gt;=100000,INDEX($AO$1005:$BQ$1005,1,MATCH(COLUMNS($AO$1006:BA1006),$AO$1006:$BQ$1006,0))&gt;=100000), " ",IF(INDEX($AO$2:$BQ$1001,MATCH(ROWS($AH$2:AH339),$AH$2:$AH$1001,0),MATCH(COLUMNS($AO$1006:BA1006),$AO$1006:$BQ$1006,0)), HYPERLINK("#",""), HYPERLINK(CONCATENATE("#Metadata!", ADDRESS(INDEX($AJ$2:$AJ$1001,MATCH(ROWS($AH$2:AH339),$AH$2:$AH$1001,0),0), INDEX($AO$1004:$BQ$1004,1,MATCH(COLUMNS($AO$1006:BA1006),$AO$1006:$BQ$1006,0)))),"Fix")))</f>
        <v>#N/A</v>
      </c>
      <c r="O339" s="5" t="e">
        <f ca="1">IF(OR(INDEX($AI$2:$AI$1001,MATCH(ROWS($AH$2:AH339),$AH$2:$AH$1001,0),1)&gt;=100000,INDEX($AO$1005:$BQ$1005,1,MATCH(COLUMNS($AO$1006:BB1006),$AO$1006:$BQ$1006,0))&gt;=100000), " ",IF(INDEX($AO$2:$BQ$1001,MATCH(ROWS($AH$2:AH339),$AH$2:$AH$1001,0),MATCH(COLUMNS($AO$1006:BB1006),$AO$1006:$BQ$1006,0)), HYPERLINK("#",""), HYPERLINK(CONCATENATE("#Metadata!", ADDRESS(INDEX($AJ$2:$AJ$1001,MATCH(ROWS($AH$2:AH339),$AH$2:$AH$1001,0),0), INDEX($AO$1004:$BQ$1004,1,MATCH(COLUMNS($AO$1006:BB1006),$AO$1006:$BQ$1006,0)))),"Fix")))</f>
        <v>#N/A</v>
      </c>
      <c r="P339" s="5" t="e">
        <f ca="1">IF(OR(INDEX($AI$2:$AI$1001,MATCH(ROWS($AH$2:AH339),$AH$2:$AH$1001,0),1)&gt;=100000,INDEX($AO$1005:$BQ$1005,1,MATCH(COLUMNS($AO$1006:BC1006),$AO$1006:$BQ$1006,0))&gt;=100000), " ",IF(INDEX($AO$2:$BQ$1001,MATCH(ROWS($AH$2:AH339),$AH$2:$AH$1001,0),MATCH(COLUMNS($AO$1006:BC1006),$AO$1006:$BQ$1006,0)), HYPERLINK("#",""), HYPERLINK(CONCATENATE("#Metadata!", ADDRESS(INDEX($AJ$2:$AJ$1001,MATCH(ROWS($AH$2:AH339),$AH$2:$AH$1001,0),0), INDEX($AO$1004:$BQ$1004,1,MATCH(COLUMNS($AO$1006:BC1006),$AO$1006:$BQ$1006,0)))),"Fix")))</f>
        <v>#N/A</v>
      </c>
      <c r="Q339" s="5" t="e">
        <f ca="1">IF(OR(INDEX($AI$2:$AI$1001,MATCH(ROWS($AH$2:AH339),$AH$2:$AH$1001,0),1)&gt;=100000,INDEX($AO$1005:$BQ$1005,1,MATCH(COLUMNS($AO$1006:BD1006),$AO$1006:$BQ$1006,0))&gt;=100000), " ",IF(INDEX($AO$2:$BQ$1001,MATCH(ROWS($AH$2:AH339),$AH$2:$AH$1001,0),MATCH(COLUMNS($AO$1006:BD1006),$AO$1006:$BQ$1006,0)), HYPERLINK("#",""), HYPERLINK(CONCATENATE("#Metadata!", ADDRESS(INDEX($AJ$2:$AJ$1001,MATCH(ROWS($AH$2:AH339),$AH$2:$AH$1001,0),0), INDEX($AO$1004:$BQ$1004,1,MATCH(COLUMNS($AO$1006:BD1006),$AO$1006:$BQ$1006,0)))),"Fix")))</f>
        <v>#N/A</v>
      </c>
      <c r="R339" s="5" t="e">
        <f ca="1">IF(OR(INDEX($AI$2:$AI$1001,MATCH(ROWS($AH$2:AH339),$AH$2:$AH$1001,0),1)&gt;=100000,INDEX($AO$1005:$BQ$1005,1,MATCH(COLUMNS($AO$1006:BE1006),$AO$1006:$BQ$1006,0))&gt;=100000), " ",IF(INDEX($AO$2:$BQ$1001,MATCH(ROWS($AH$2:AH339),$AH$2:$AH$1001,0),MATCH(COLUMNS($AO$1006:BE1006),$AO$1006:$BQ$1006,0)), HYPERLINK("#",""), HYPERLINK(CONCATENATE("#Metadata!", ADDRESS(INDEX($AJ$2:$AJ$1001,MATCH(ROWS($AH$2:AH339),$AH$2:$AH$1001,0),0), INDEX($AO$1004:$BQ$1004,1,MATCH(COLUMNS($AO$1006:BE1006),$AO$1006:$BQ$1006,0)))),"Fix")))</f>
        <v>#N/A</v>
      </c>
      <c r="S339" s="5" t="e">
        <f ca="1">IF(OR(INDEX($AI$2:$AI$1001,MATCH(ROWS($AH$2:AH339),$AH$2:$AH$1001,0),1)&gt;=100000,INDEX($AO$1005:$BQ$1005,1,MATCH(COLUMNS($AO$1006:BF1006),$AO$1006:$BQ$1006,0))&gt;=100000), " ",IF(INDEX($AO$2:$BQ$1001,MATCH(ROWS($AH$2:AH339),$AH$2:$AH$1001,0),MATCH(COLUMNS($AO$1006:BF1006),$AO$1006:$BQ$1006,0)), HYPERLINK("#",""), HYPERLINK(CONCATENATE("#Metadata!", ADDRESS(INDEX($AJ$2:$AJ$1001,MATCH(ROWS($AH$2:AH339),$AH$2:$AH$1001,0),0), INDEX($AO$1004:$BQ$1004,1,MATCH(COLUMNS($AO$1006:BF1006),$AO$1006:$BQ$1006,0)))),"Fix")))</f>
        <v>#N/A</v>
      </c>
      <c r="T339" s="5" t="e">
        <f ca="1">IF(OR(INDEX($AI$2:$AI$1001,MATCH(ROWS($AH$2:AH339),$AH$2:$AH$1001,0),1)&gt;=100000,INDEX($AO$1005:$BQ$1005,1,MATCH(COLUMNS($AO$1006:BG1006),$AO$1006:$BQ$1006,0))&gt;=100000), " ",IF(INDEX($AO$2:$BQ$1001,MATCH(ROWS($AH$2:AH339),$AH$2:$AH$1001,0),MATCH(COLUMNS($AO$1006:BG1006),$AO$1006:$BQ$1006,0)), HYPERLINK("#",""), HYPERLINK(CONCATENATE("#Metadata!", ADDRESS(INDEX($AJ$2:$AJ$1001,MATCH(ROWS($AH$2:AH339),$AH$2:$AH$1001,0),0), INDEX($AO$1004:$BQ$1004,1,MATCH(COLUMNS($AO$1006:BG1006),$AO$1006:$BQ$1006,0)))),"Fix")))</f>
        <v>#N/A</v>
      </c>
      <c r="U339" s="5" t="e">
        <f ca="1">IF(OR(INDEX($AI$2:$AI$1001,MATCH(ROWS($AH$2:AH339),$AH$2:$AH$1001,0),1)&gt;=100000,INDEX($AO$1005:$BQ$1005,1,MATCH(COLUMNS($AO$1006:BH1006),$AO$1006:$BQ$1006,0))&gt;=100000), " ",IF(INDEX($AO$2:$BQ$1001,MATCH(ROWS($AH$2:AH339),$AH$2:$AH$1001,0),MATCH(COLUMNS($AO$1006:BH1006),$AO$1006:$BQ$1006,0)), HYPERLINK("#",""), HYPERLINK(CONCATENATE("#Metadata!", ADDRESS(INDEX($AJ$2:$AJ$1001,MATCH(ROWS($AH$2:AH339),$AH$2:$AH$1001,0),0), INDEX($AO$1004:$BQ$1004,1,MATCH(COLUMNS($AO$1006:BH1006),$AO$1006:$BQ$1006,0)))),"Fix")))</f>
        <v>#N/A</v>
      </c>
      <c r="V339" s="5" t="e">
        <f ca="1">IF(OR(INDEX($AI$2:$AI$1001,MATCH(ROWS($AH$2:AH339),$AH$2:$AH$1001,0),1)&gt;=100000,INDEX($AO$1005:$BQ$1005,1,MATCH(COLUMNS($AO$1006:BI1006),$AO$1006:$BQ$1006,0))&gt;=100000), " ",IF(INDEX($AO$2:$BQ$1001,MATCH(ROWS($AH$2:AH339),$AH$2:$AH$1001,0),MATCH(COLUMNS($AO$1006:BI1006),$AO$1006:$BQ$1006,0)), HYPERLINK("#",""), HYPERLINK(CONCATENATE("#Metadata!", ADDRESS(INDEX($AJ$2:$AJ$1001,MATCH(ROWS($AH$2:AH339),$AH$2:$AH$1001,0),0), INDEX($AO$1004:$BQ$1004,1,MATCH(COLUMNS($AO$1006:BI1006),$AO$1006:$BQ$1006,0)))),"Fix")))</f>
        <v>#N/A</v>
      </c>
      <c r="W339" s="5" t="e">
        <f ca="1">IF(OR(INDEX($AI$2:$AI$1001,MATCH(ROWS($AH$2:AH339),$AH$2:$AH$1001,0),1)&gt;=100000,INDEX($AO$1005:$BQ$1005,1,MATCH(COLUMNS($AO$1006:BJ1006),$AO$1006:$BQ$1006,0))&gt;=100000), " ",IF(INDEX($AO$2:$BQ$1001,MATCH(ROWS($AH$2:AH339),$AH$2:$AH$1001,0),MATCH(COLUMNS($AO$1006:BJ1006),$AO$1006:$BQ$1006,0)), HYPERLINK("#",""), HYPERLINK(CONCATENATE("#Metadata!", ADDRESS(INDEX($AJ$2:$AJ$1001,MATCH(ROWS($AH$2:AH339),$AH$2:$AH$1001,0),0), INDEX($AO$1004:$BQ$1004,1,MATCH(COLUMNS($AO$1006:BJ1006),$AO$1006:$BQ$1006,0)))),"Fix")))</f>
        <v>#N/A</v>
      </c>
      <c r="X339" s="5" t="e">
        <f ca="1">IF(OR(INDEX($AI$2:$AI$1001,MATCH(ROWS($AH$2:AH339),$AH$2:$AH$1001,0),1)&gt;=100000,INDEX($AO$1005:$BQ$1005,1,MATCH(COLUMNS($AO$1006:BK1006),$AO$1006:$BQ$1006,0))&gt;=100000), " ",IF(INDEX($AO$2:$BQ$1001,MATCH(ROWS($AH$2:AH339),$AH$2:$AH$1001,0),MATCH(COLUMNS($AO$1006:BK1006),$AO$1006:$BQ$1006,0)), HYPERLINK("#",""), HYPERLINK(CONCATENATE("#Metadata!", ADDRESS(INDEX($AJ$2:$AJ$1001,MATCH(ROWS($AH$2:AH339),$AH$2:$AH$1001,0),0), INDEX($AO$1004:$BQ$1004,1,MATCH(COLUMNS($AO$1006:BK1006),$AO$1006:$BQ$1006,0)))),"Fix")))</f>
        <v>#N/A</v>
      </c>
      <c r="Y339" s="5" t="e">
        <f ca="1">IF(OR(INDEX($AI$2:$AI$1001,MATCH(ROWS($AH$2:AH339),$AH$2:$AH$1001,0),1)&gt;=100000,INDEX($AO$1005:$BQ$1005,1,MATCH(COLUMNS($AO$1006:BL1006),$AO$1006:$BQ$1006,0))&gt;=100000), " ",IF(INDEX($AO$2:$BQ$1001,MATCH(ROWS($AH$2:AH339),$AH$2:$AH$1001,0),MATCH(COLUMNS($AO$1006:BL1006),$AO$1006:$BQ$1006,0)), HYPERLINK("#",""), HYPERLINK(CONCATENATE("#Metadata!", ADDRESS(INDEX($AJ$2:$AJ$1001,MATCH(ROWS($AH$2:AH339),$AH$2:$AH$1001,0),0), INDEX($AO$1004:$BQ$1004,1,MATCH(COLUMNS($AO$1006:BL1006),$AO$1006:$BQ$1006,0)))),"Fix")))</f>
        <v>#N/A</v>
      </c>
      <c r="Z339" s="5" t="e">
        <f ca="1">IF(OR(INDEX($AI$2:$AI$1001,MATCH(ROWS($AH$2:AH339),$AH$2:$AH$1001,0),1)&gt;=100000,INDEX($AO$1005:$BQ$1005,1,MATCH(COLUMNS($AO$1006:BM1006),$AO$1006:$BQ$1006,0))&gt;=100000), " ",IF(INDEX($AO$2:$BQ$1001,MATCH(ROWS($AH$2:AH339),$AH$2:$AH$1001,0),MATCH(COLUMNS($AO$1006:BM1006),$AO$1006:$BQ$1006,0)), HYPERLINK("#",""), HYPERLINK(CONCATENATE("#Metadata!", ADDRESS(INDEX($AJ$2:$AJ$1001,MATCH(ROWS($AH$2:AH339),$AH$2:$AH$1001,0),0), INDEX($AO$1004:$BQ$1004,1,MATCH(COLUMNS($AO$1006:BM1006),$AO$1006:$BQ$1006,0)))),"Fix")))</f>
        <v>#N/A</v>
      </c>
      <c r="AA339" s="5" t="e">
        <f ca="1">IF(OR(INDEX($AI$2:$AI$1001,MATCH(ROWS($AH$2:AH339),$AH$2:$AH$1001,0),1)&gt;=100000,INDEX($AO$1005:$BQ$1005,1,MATCH(COLUMNS($AO$1006:BN1006),$AO$1006:$BQ$1006,0))&gt;=100000), " ",IF(INDEX($AO$2:$BQ$1001,MATCH(ROWS($AH$2:AH339),$AH$2:$AH$1001,0),MATCH(COLUMNS($AO$1006:BN1006),$AO$1006:$BQ$1006,0)), HYPERLINK("#",""), HYPERLINK(CONCATENATE("#Metadata!", ADDRESS(INDEX($AJ$2:$AJ$1001,MATCH(ROWS($AH$2:AH339),$AH$2:$AH$1001,0),0), INDEX($AO$1004:$BQ$1004,1,MATCH(COLUMNS($AO$1006:BN1006),$AO$1006:$BQ$1006,0)))),"Fix")))</f>
        <v>#N/A</v>
      </c>
      <c r="AB339" s="5" t="e">
        <f ca="1">IF(OR(INDEX($AI$2:$AI$1001,MATCH(ROWS($AH$2:AH339),$AH$2:$AH$1001,0),1)&gt;=100000,INDEX($AO$1005:$BQ$1005,1,MATCH(COLUMNS($AO$1006:BO1006),$AO$1006:$BQ$1006,0))&gt;=100000), " ",IF(INDEX($AO$2:$BQ$1001,MATCH(ROWS($AH$2:AH339),$AH$2:$AH$1001,0),MATCH(COLUMNS($AO$1006:BO1006),$AO$1006:$BQ$1006,0)), HYPERLINK("#",""), HYPERLINK(CONCATENATE("#Metadata!", ADDRESS(INDEX($AJ$2:$AJ$1001,MATCH(ROWS($AH$2:AH339),$AH$2:$AH$1001,0),0), INDEX($AO$1004:$BQ$1004,1,MATCH(COLUMNS($AO$1006:BO1006),$AO$1006:$BQ$1006,0)))),"Fix")))</f>
        <v>#N/A</v>
      </c>
      <c r="AC339" s="5" t="e">
        <f ca="1">IF(OR(INDEX($AI$2:$AI$1001,MATCH(ROWS($AH$2:AH339),$AH$2:$AH$1001,0),1)&gt;=100000,INDEX($AO$1005:$BQ$1005,1,MATCH(COLUMNS($AO$1006:BP1006),$AO$1006:$BQ$1006,0))&gt;=100000), " ",IF(INDEX($AO$2:$BQ$1001,MATCH(ROWS($AH$2:AH339),$AH$2:$AH$1001,0),MATCH(COLUMNS($AO$1006:BP1006),$AO$1006:$BQ$1006,0)), HYPERLINK("#",""), HYPERLINK(CONCATENATE("#Metadata!", ADDRESS(INDEX($AJ$2:$AJ$1001,MATCH(ROWS($AH$2:AH339),$AH$2:$AH$1001,0),0), INDEX($AO$1004:$BQ$1004,1,MATCH(COLUMNS($AO$1006:BP1006),$AO$1006:$BQ$1006,0)))),"Fix")))</f>
        <v>#N/A</v>
      </c>
      <c r="AD339" s="5" t="e">
        <f ca="1">IF(OR(INDEX($AI$2:$AI$1001,MATCH(ROWS($AH$2:AH339),$AH$2:$AH$1001,0),1)&gt;=100000,INDEX($AO$1005:$BQ$1005,1,MATCH(COLUMNS($AO$1006:BQ1006),$AO$1006:$BQ$1006,0))&gt;=100000), " ",IF(INDEX($AO$2:$BQ$1001,MATCH(ROWS($AH$2:AH339),$AH$2:$AH$1001,0),MATCH(COLUMNS($AO$1006:BQ1006),$AO$1006:$BQ$1006,0)), HYPERLINK("#",""), HYPERLINK(CONCATENATE("#Metadata!", ADDRESS(INDEX($AJ$2:$AJ$1001,MATCH(ROWS($AH$2:AH339),$AH$2:$AH$1001,0),0), INDEX($AO$1004:$BQ$1004,1,MATCH(COLUMNS($AO$1006:BQ1006),$AO$1006:$BQ$1006,0)))),"Fix")))</f>
        <v>#REF!</v>
      </c>
      <c r="AH339">
        <f ca="1"/>
        <v>336</v>
      </c>
      <c r="AI339">
        <v>100339</v>
      </c>
      <c r="AJ339">
        <v>339</v>
      </c>
      <c r="AK339" t="b">
        <f t="shared" si="5"/>
        <v>1</v>
      </c>
      <c r="AL339" t="b">
        <f>COUNTBLANK(Metadata!B339:AD339)=COLUMNS(Metadata!B339:AD339)</f>
        <v>1</v>
      </c>
      <c r="AM339" t="str">
        <v/>
      </c>
      <c r="AO339" t="b">
        <f ca="1">AND(IF(Metadata!B339="",FALSE,TRUE),COUNTIF(Metadata!B:B, Metadata!B339) = 1,NOT(ISERROR(SUMPRODUCT(SEARCH(MID(Metadata!B339,ROW(INDIRECT("1:"&amp;LEN(Metadata!B339))), 1),"0123456789abcdefghijklmnopqrstuvwxyzABCDEFGHIJKLMNOPQRSTUVWXYZ.")))))</f>
        <v>0</v>
      </c>
      <c r="AP339" t="b">
        <f>IF(Metadata!C339="",FALSE,TRUE)</f>
        <v>0</v>
      </c>
      <c r="AQ339" t="b">
        <f>IF(Metadata!D339="",FALSE,TRUE)</f>
        <v>0</v>
      </c>
      <c r="AR339" t="b">
        <f ca="1">OR(AND(IF(Metadata!E339="",FALSE,TRUE),OR(EXACT(Metadata!E339,"not collected"),EXACT(Metadata!E339,"not provided"),EXACT(Metadata!E339,"restricted access"))),AND(IF(Metadata!E339="",FALSE,TRUE),AND(AND(IFERROR(INT(LEFT(Metadata!E339,4))&gt;1900,FALSE),IFERROR(INT(LEFT(Metadata!E339,4))&lt;=YEAR(NOW()),FALSE)), OR(MID(Metadata!E339,5,1)="", AND(AND(MID(Metadata!E339,5,1)="-",IFERROR(INT(MID(Metadata!E339,6,1))&gt;=0,FALSE),IFERROR(INT(MID(Metadata!E339,6,1))&lt;=1,FALSE),NOT(MID(Metadata!E339,7,1)=""),IFERROR(INT(MID(Metadata!E339,6,2))&gt;=1,FALSE),IFERROR(INT(MID(Metadata!E339,6,2))&lt;=12,FALSE)), OR(MID(Metadata!E339,8,1)="", AND(AND(MID(Metadata!E339,8,1)="-",IFERROR(INT(MID(Metadata!E339,9,1))&gt;=0,FALSE),IFERROR(INT(MID(Metadata!E339,9,1))&lt;=3,FALSE),NOT(MID(Metadata!E339,10,1)=""),IFERROR(INT(MID(Metadata!E339,9,2))&gt;=1,FALSE),IFERROR(INT(MID(Metadata!E339,9,2))&lt;=31,FALSE)), OR(MID(Metadata!E339,11,1)="", AND(AND(MID(Metadata!E339,11,1)=" ",IFERROR(INT(MID(Metadata!E339,12,1))&gt;=0,FALSE),IFERROR(INT(MID(Metadata!E339,12,1))&lt;=2,FALSE),NOT(MID(Metadata!E339,13,1)=""),IFERROR(INT(MID(Metadata!E339,12,2))&gt;=0,FALSE),IFERROR(INT(MID(Metadata!E339,12,2))&lt;=23,FALSE)), OR(MID(Metadata!E339,14,1)="", AND(AND(MID(Metadata!E339,14,1)=":",IFERROR(INT(MID(Metadata!E339,15,1))&gt;=0,FALSE),IFERROR(INT(MID(Metadata!E339,15,1))&lt;=5,FALSE),NOT(MID(Metadata!E339,16,1)=""),IFERROR(INT(MID(Metadata!E339,15,2))&gt;=0,FALSE),IFERROR(INT(MID(Metadata!E339,15,2))&lt;=59,FALSE)), OR(MID(Metadata!E339,17,1)="", AND(AND(MID(Metadata!E339,17,1)=":",IFERROR(INT(MID(Metadata!E339,18,1))&gt;=0,FALSE),IFERROR(INT(MID(Metadata!E339,18,1))&lt;=5,FALSE),NOT(MID(Metadata!E339,19,1)=""),IFERROR(INT(MID(Metadata!E339,18,2))&gt;=0,FALSE),IFERROR(INT(MID(Metadata!E339,18,2))&lt;=59,FALSE)), LEN(Metadata!E339)&lt;=19)))))))))))))</f>
        <v>0</v>
      </c>
      <c r="AS339" t="b">
        <f>IF(Metadata!F339="",FALSE,TRUE)</f>
        <v>0</v>
      </c>
      <c r="AT339" t="b">
        <f>OR(AND(IF(Metadata!G339="",FALSE,TRUE),OR(EXACT(Metadata!G339,"not collected"),EXACT(Metadata!G339,"not provided"))),AND(IF(Metadata!G339="",FALSE,TRUE),OR(EXACT(Metadata!G339,"TRUE"),EXACT(Metadata!G339,"FALSE"))))</f>
        <v>0</v>
      </c>
      <c r="AU339" t="b">
        <f>OR(AND(IF(Metadata!H339="",FALSE,TRUE),OR(EXACT(Metadata!H339,"not collected"),EXACT(Metadata!H339,"not provided"),EXACT(Metadata!H339,"restricted access"))),AND(IF(Metadata!H339="",FALSE,ISNUMBER(VALUE(Metadata!H339))),Metadata!H339&gt;=-413))</f>
        <v>0</v>
      </c>
      <c r="AV339" t="b">
        <f>AND(IF(Metadata!I339="",FALSE,TRUE),EXACT(Metadata!I339,"meters"))</f>
        <v>0</v>
      </c>
      <c r="AW339" t="b">
        <f>AND(IF(Metadata!J339="",FALSE,TRUE),EXACT(Metadata!J339,"free-living"))</f>
        <v>0</v>
      </c>
      <c r="AX339" t="b">
        <f>AND(IF(Metadata!K339="",FALSE,TRUE),OR(EXACT(Metadata!K339,"saline"),EXACT(Metadata!K339,"non-saline")))</f>
        <v>0</v>
      </c>
      <c r="AY339" t="b">
        <f>AND(IF(Metadata!L339="",FALSE,TRUE),OR(EXACT(Metadata!L339,"sub-surface (non-saline)"),EXACT(Metadata!L339,"surface (non-saline)"),EXACT(Metadata!L339,"water (non-saline)"),EXACT(Metadata!L339,"soil (non-saline)"),EXACT(Metadata!L339,"aerosol (non-saline)"),EXACT(Metadata!L339,"sediment (non-saline)"),EXACT(Metadata!L339,"surface (saline)"),EXACT(Metadata!L339,"water (saline)"),EXACT(Metadata!L339,"hypersaline (saline)"),EXACT(Metadata!L339,"aerosol (saline)"),EXACT(Metadata!L339,"sediment (saline)")))</f>
        <v>0</v>
      </c>
      <c r="AZ339" t="b">
        <f>IF(Metadata!M339="",FALSE,TRUE)</f>
        <v>0</v>
      </c>
      <c r="BA339" t="b">
        <f>IF(Metadata!N339="",FALSE,TRUE)</f>
        <v>0</v>
      </c>
      <c r="BB339" t="b">
        <f>IF(Metadata!O339="",FALSE,TRUE)</f>
        <v>0</v>
      </c>
      <c r="BC339" t="b">
        <f>AND(IF(Metadata!P339="",FALSE,TRUE),OR(EXACT(Metadata!P339,"air"),EXACT(Metadata!P339,"microbial mat/biofilm"),EXACT(Metadata!P339,"misc environment"),EXACT(Metadata!P339,"sediment"),EXACT(Metadata!P339,"soil"),EXACT(Metadata!P339,"wastewater/sludge"),EXACT(Metadata!P339,"water")))</f>
        <v>0</v>
      </c>
      <c r="BD339" t="b">
        <f>IF(Metadata!Q339="",FALSE,TRUE)</f>
        <v>0</v>
      </c>
      <c r="BE339" t="b">
        <f>IF(Metadata!R339="",FALSE,TRUE)</f>
        <v>0</v>
      </c>
      <c r="BF339" t="b">
        <f>OR(AND(IF(Metadata!S339="",FALSE,TRUE),OR(EXACT(Metadata!S339,"not collected"),EXACT(Metadata!S339,"not provided"),EXACT(Metadata!S339,"restricted access"))),AND(IF(Metadata!S339="",FALSE,ISNUMBER(VALUE(Metadata!S339))),Metadata!S339&gt;=-90,Metadata!S339&lt;=90))</f>
        <v>0</v>
      </c>
      <c r="BG339" t="b">
        <f>AND(IF(Metadata!T339="",FALSE,TRUE),EXACT(Metadata!T339,"Decimal degrees"))</f>
        <v>0</v>
      </c>
      <c r="BH339" t="b">
        <f>OR(AND(IF(Metadata!U339="",FALSE,TRUE),OR(EXACT(Metadata!U339,"not applicable"),EXACT(Metadata!U339,"not collected"))),IF(Metadata!U339="",FALSE,TRUE))</f>
        <v>0</v>
      </c>
      <c r="BI339" t="b">
        <f>OR(AND(IF(Metadata!V339="",FALSE,TRUE),OR(EXACT(Metadata!V339,"not collected"),EXACT(Metadata!V339,"not provided"),EXACT(Metadata!V339,"restricted access"))),AND(IF(Metadata!V339="",FALSE,ISNUMBER(VALUE(Metadata!V339))),Metadata!V339&gt;=-180,Metadata!V339&lt;=180))</f>
        <v>0</v>
      </c>
      <c r="BJ339" t="b">
        <f>AND(IF(Metadata!W339="",FALSE,TRUE),EXACT(Metadata!W339,"Decimal degrees"))</f>
        <v>0</v>
      </c>
      <c r="BK339" t="b">
        <f>IF(Metadata!X339="",FALSE,TRUE)</f>
        <v>0</v>
      </c>
      <c r="BL339" t="b">
        <f>OR(AND(IF(Metadata!Y339="",FALSE,TRUE),OR(EXACT(Metadata!Y339,"not collected"),EXACT(Metadata!Y339,"not provided"),EXACT(Metadata!Y339,"restricted access"))),AND(IF(Metadata!Y339="",FALSE,TRUE),OR(EXACT(Metadata!Y339,"TRUE"),EXACT(Metadata!Y339,"FALSE"))))</f>
        <v>0</v>
      </c>
      <c r="BM339" t="b">
        <f>OR(AND(IF(Metadata!Z339="",FALSE,TRUE),EXACT(Metadata!Z339,"not applicable")),AND(IF(Metadata!Z339="",FALSE,TRUE),OR(EXACT(Metadata!Z339,"beer"),EXACT(Metadata!Z339,"cheese"),EXACT(Metadata!Z339,"fresh water"),EXACT(Metadata!Z339,"marine sediment"),EXACT(Metadata!Z339,"sea water"),EXACT(Metadata!Z339,"sediment"),EXACT(Metadata!Z339,"soil"),EXACT(Metadata!Z339,"waste water"))))</f>
        <v>0</v>
      </c>
      <c r="BN339" t="b">
        <f>AND(IF(Metadata!AA339="",FALSE,TRUE),EXACT(Metadata!AA339,"metagenome"))</f>
        <v>0</v>
      </c>
      <c r="BO339" t="b">
        <f>AND(IF(Metadata!AB339="",FALSE,TRUE),EXACT(Metadata!AB339,"256318"))</f>
        <v>0</v>
      </c>
      <c r="BP339" t="b">
        <f>IF(Metadata!AC339="",FALSE,TRUE)</f>
        <v>0</v>
      </c>
      <c r="BQ339" t="b">
        <f>IF(Metadata!AD339="",FALSE,TRUE)</f>
        <v>0</v>
      </c>
    </row>
    <row r="340" spans="1:69" x14ac:dyDescent="0.2">
      <c r="A340" s="4" t="e">
        <f ca="1">IF(B340=" "," ",HYPERLINK(CONCATENATE("#metadata!",ADDRESS(INDEX($AJ$2:$AJ$1001,MATCH(ROWS($AH$2:AH340),$AH$2:$AH$1001,0),0),2)),INDEX($AM$2:$AM$1001,MATCH(ROWS($AH$2:AH340),$AH$2:$AH$1001,0),0)))</f>
        <v>#N/A</v>
      </c>
      <c r="B340" s="5" t="e">
        <f ca="1">IF(OR(INDEX($AI$2:$AI$1001,MATCH(ROWS($AH$2:AH340),$AH$2:$AH$1001,0),1)&gt;=100000,INDEX($AO$1005:$BQ$1005,1,MATCH(COLUMNS($AO$1006:AO1006),$AO$1006:$BQ$1006,0))&gt;=100000), " ",IF(INDEX($AO$2:$BQ$1001,MATCH(ROWS($AH$2:AH340),$AH$2:$AH$1001,0),MATCH(COLUMNS($AO$1006:AO1006),$AO$1006:$BQ$1006,0)), HYPERLINK("#",""), HYPERLINK(CONCATENATE("#Metadata!", ADDRESS(INDEX($AJ$2:$AJ$1001,MATCH(ROWS($AH$2:AH340),$AH$2:$AH$1001,0),0), INDEX($AO$1004:$BQ$1004,1,MATCH(COLUMNS($AO$1006:AO1006),$AO$1006:$BQ$1006,0)))),"Fix")))</f>
        <v>#N/A</v>
      </c>
      <c r="C340" s="5" t="e">
        <f ca="1">IF(OR(INDEX($AI$2:$AI$1001,MATCH(ROWS($AH$2:AH340),$AH$2:$AH$1001,0),1)&gt;=100000,INDEX($AO$1005:$BQ$1005,1,MATCH(COLUMNS($AO$1006:AP1006),$AO$1006:$BQ$1006,0))&gt;=100000), " ",IF(INDEX($AO$2:$BQ$1001,MATCH(ROWS($AH$2:AH340),$AH$2:$AH$1001,0),MATCH(COLUMNS($AO$1006:AP1006),$AO$1006:$BQ$1006,0)), HYPERLINK("#",""), HYPERLINK(CONCATENATE("#Metadata!", ADDRESS(INDEX($AJ$2:$AJ$1001,MATCH(ROWS($AH$2:AH340),$AH$2:$AH$1001,0),0), INDEX($AO$1004:$BQ$1004,1,MATCH(COLUMNS($AO$1006:AP1006),$AO$1006:$BQ$1006,0)))),"Fix")))</f>
        <v>#N/A</v>
      </c>
      <c r="D340" s="5" t="e">
        <f ca="1">IF(OR(INDEX($AI$2:$AI$1001,MATCH(ROWS($AH$2:AH340),$AH$2:$AH$1001,0),1)&gt;=100000,INDEX($AO$1005:$BQ$1005,1,MATCH(COLUMNS($AO$1006:AQ1006),$AO$1006:$BQ$1006,0))&gt;=100000), " ",IF(INDEX($AO$2:$BQ$1001,MATCH(ROWS($AH$2:AH340),$AH$2:$AH$1001,0),MATCH(COLUMNS($AO$1006:AQ1006),$AO$1006:$BQ$1006,0)), HYPERLINK("#",""), HYPERLINK(CONCATENATE("#Metadata!", ADDRESS(INDEX($AJ$2:$AJ$1001,MATCH(ROWS($AH$2:AH340),$AH$2:$AH$1001,0),0), INDEX($AO$1004:$BQ$1004,1,MATCH(COLUMNS($AO$1006:AQ1006),$AO$1006:$BQ$1006,0)))),"Fix")))</f>
        <v>#N/A</v>
      </c>
      <c r="E340" s="5" t="e">
        <f ca="1">IF(OR(INDEX($AI$2:$AI$1001,MATCH(ROWS($AH$2:AH340),$AH$2:$AH$1001,0),1)&gt;=100000,INDEX($AO$1005:$BQ$1005,1,MATCH(COLUMNS($AO$1006:AR1006),$AO$1006:$BQ$1006,0))&gt;=100000), " ",IF(INDEX($AO$2:$BQ$1001,MATCH(ROWS($AH$2:AH340),$AH$2:$AH$1001,0),MATCH(COLUMNS($AO$1006:AR1006),$AO$1006:$BQ$1006,0)), HYPERLINK("#",""), HYPERLINK(CONCATENATE("#Metadata!", ADDRESS(INDEX($AJ$2:$AJ$1001,MATCH(ROWS($AH$2:AH340),$AH$2:$AH$1001,0),0), INDEX($AO$1004:$BQ$1004,1,MATCH(COLUMNS($AO$1006:AR1006),$AO$1006:$BQ$1006,0)))),"Fix")))</f>
        <v>#N/A</v>
      </c>
      <c r="F340" s="5" t="e">
        <f ca="1">IF(OR(INDEX($AI$2:$AI$1001,MATCH(ROWS($AH$2:AH340),$AH$2:$AH$1001,0),1)&gt;=100000,INDEX($AO$1005:$BQ$1005,1,MATCH(COLUMNS($AO$1006:AS1006),$AO$1006:$BQ$1006,0))&gt;=100000), " ",IF(INDEX($AO$2:$BQ$1001,MATCH(ROWS($AH$2:AH340),$AH$2:$AH$1001,0),MATCH(COLUMNS($AO$1006:AS1006),$AO$1006:$BQ$1006,0)), HYPERLINK("#",""), HYPERLINK(CONCATENATE("#Metadata!", ADDRESS(INDEX($AJ$2:$AJ$1001,MATCH(ROWS($AH$2:AH340),$AH$2:$AH$1001,0),0), INDEX($AO$1004:$BQ$1004,1,MATCH(COLUMNS($AO$1006:AS1006),$AO$1006:$BQ$1006,0)))),"Fix")))</f>
        <v>#N/A</v>
      </c>
      <c r="G340" s="5" t="e">
        <f ca="1">IF(OR(INDEX($AI$2:$AI$1001,MATCH(ROWS($AH$2:AH340),$AH$2:$AH$1001,0),1)&gt;=100000,INDEX($AO$1005:$BQ$1005,1,MATCH(COLUMNS($AO$1006:AT1006),$AO$1006:$BQ$1006,0))&gt;=100000), " ",IF(INDEX($AO$2:$BQ$1001,MATCH(ROWS($AH$2:AH340),$AH$2:$AH$1001,0),MATCH(COLUMNS($AO$1006:AT1006),$AO$1006:$BQ$1006,0)), HYPERLINK("#",""), HYPERLINK(CONCATENATE("#Metadata!", ADDRESS(INDEX($AJ$2:$AJ$1001,MATCH(ROWS($AH$2:AH340),$AH$2:$AH$1001,0),0), INDEX($AO$1004:$BQ$1004,1,MATCH(COLUMNS($AO$1006:AT1006),$AO$1006:$BQ$1006,0)))),"Fix")))</f>
        <v>#N/A</v>
      </c>
      <c r="H340" s="5" t="e">
        <f ca="1">IF(OR(INDEX($AI$2:$AI$1001,MATCH(ROWS($AH$2:AH340),$AH$2:$AH$1001,0),1)&gt;=100000,INDEX($AO$1005:$BQ$1005,1,MATCH(COLUMNS($AO$1006:AU1006),$AO$1006:$BQ$1006,0))&gt;=100000), " ",IF(INDEX($AO$2:$BQ$1001,MATCH(ROWS($AH$2:AH340),$AH$2:$AH$1001,0),MATCH(COLUMNS($AO$1006:AU1006),$AO$1006:$BQ$1006,0)), HYPERLINK("#",""), HYPERLINK(CONCATENATE("#Metadata!", ADDRESS(INDEX($AJ$2:$AJ$1001,MATCH(ROWS($AH$2:AH340),$AH$2:$AH$1001,0),0), INDEX($AO$1004:$BQ$1004,1,MATCH(COLUMNS($AO$1006:AU1006),$AO$1006:$BQ$1006,0)))),"Fix")))</f>
        <v>#N/A</v>
      </c>
      <c r="I340" s="5" t="e">
        <f ca="1">IF(OR(INDEX($AI$2:$AI$1001,MATCH(ROWS($AH$2:AH340),$AH$2:$AH$1001,0),1)&gt;=100000,INDEX($AO$1005:$BQ$1005,1,MATCH(COLUMNS($AO$1006:AV1006),$AO$1006:$BQ$1006,0))&gt;=100000), " ",IF(INDEX($AO$2:$BQ$1001,MATCH(ROWS($AH$2:AH340),$AH$2:$AH$1001,0),MATCH(COLUMNS($AO$1006:AV1006),$AO$1006:$BQ$1006,0)), HYPERLINK("#",""), HYPERLINK(CONCATENATE("#Metadata!", ADDRESS(INDEX($AJ$2:$AJ$1001,MATCH(ROWS($AH$2:AH340),$AH$2:$AH$1001,0),0), INDEX($AO$1004:$BQ$1004,1,MATCH(COLUMNS($AO$1006:AV1006),$AO$1006:$BQ$1006,0)))),"Fix")))</f>
        <v>#N/A</v>
      </c>
      <c r="J340" s="5" t="e">
        <f ca="1">IF(OR(INDEX($AI$2:$AI$1001,MATCH(ROWS($AH$2:AH340),$AH$2:$AH$1001,0),1)&gt;=100000,INDEX($AO$1005:$BQ$1005,1,MATCH(COLUMNS($AO$1006:AW1006),$AO$1006:$BQ$1006,0))&gt;=100000), " ",IF(INDEX($AO$2:$BQ$1001,MATCH(ROWS($AH$2:AH340),$AH$2:$AH$1001,0),MATCH(COLUMNS($AO$1006:AW1006),$AO$1006:$BQ$1006,0)), HYPERLINK("#",""), HYPERLINK(CONCATENATE("#Metadata!", ADDRESS(INDEX($AJ$2:$AJ$1001,MATCH(ROWS($AH$2:AH340),$AH$2:$AH$1001,0),0), INDEX($AO$1004:$BQ$1004,1,MATCH(COLUMNS($AO$1006:AW1006),$AO$1006:$BQ$1006,0)))),"Fix")))</f>
        <v>#N/A</v>
      </c>
      <c r="K340" s="5" t="e">
        <f ca="1">IF(OR(INDEX($AI$2:$AI$1001,MATCH(ROWS($AH$2:AH340),$AH$2:$AH$1001,0),1)&gt;=100000,INDEX($AO$1005:$BQ$1005,1,MATCH(COLUMNS($AO$1006:AX1006),$AO$1006:$BQ$1006,0))&gt;=100000), " ",IF(INDEX($AO$2:$BQ$1001,MATCH(ROWS($AH$2:AH340),$AH$2:$AH$1001,0),MATCH(COLUMNS($AO$1006:AX1006),$AO$1006:$BQ$1006,0)), HYPERLINK("#",""), HYPERLINK(CONCATENATE("#Metadata!", ADDRESS(INDEX($AJ$2:$AJ$1001,MATCH(ROWS($AH$2:AH340),$AH$2:$AH$1001,0),0), INDEX($AO$1004:$BQ$1004,1,MATCH(COLUMNS($AO$1006:AX1006),$AO$1006:$BQ$1006,0)))),"Fix")))</f>
        <v>#N/A</v>
      </c>
      <c r="L340" s="5" t="e">
        <f ca="1">IF(OR(INDEX($AI$2:$AI$1001,MATCH(ROWS($AH$2:AH340),$AH$2:$AH$1001,0),1)&gt;=100000,INDEX($AO$1005:$BQ$1005,1,MATCH(COLUMNS($AO$1006:AY1006),$AO$1006:$BQ$1006,0))&gt;=100000), " ",IF(INDEX($AO$2:$BQ$1001,MATCH(ROWS($AH$2:AH340),$AH$2:$AH$1001,0),MATCH(COLUMNS($AO$1006:AY1006),$AO$1006:$BQ$1006,0)), HYPERLINK("#",""), HYPERLINK(CONCATENATE("#Metadata!", ADDRESS(INDEX($AJ$2:$AJ$1001,MATCH(ROWS($AH$2:AH340),$AH$2:$AH$1001,0),0), INDEX($AO$1004:$BQ$1004,1,MATCH(COLUMNS($AO$1006:AY1006),$AO$1006:$BQ$1006,0)))),"Fix")))</f>
        <v>#N/A</v>
      </c>
      <c r="M340" s="5" t="e">
        <f ca="1">IF(OR(INDEX($AI$2:$AI$1001,MATCH(ROWS($AH$2:AH340),$AH$2:$AH$1001,0),1)&gt;=100000,INDEX($AO$1005:$BQ$1005,1,MATCH(COLUMNS($AO$1006:AZ1006),$AO$1006:$BQ$1006,0))&gt;=100000), " ",IF(INDEX($AO$2:$BQ$1001,MATCH(ROWS($AH$2:AH340),$AH$2:$AH$1001,0),MATCH(COLUMNS($AO$1006:AZ1006),$AO$1006:$BQ$1006,0)), HYPERLINK("#",""), HYPERLINK(CONCATENATE("#Metadata!", ADDRESS(INDEX($AJ$2:$AJ$1001,MATCH(ROWS($AH$2:AH340),$AH$2:$AH$1001,0),0), INDEX($AO$1004:$BQ$1004,1,MATCH(COLUMNS($AO$1006:AZ1006),$AO$1006:$BQ$1006,0)))),"Fix")))</f>
        <v>#N/A</v>
      </c>
      <c r="N340" s="5" t="e">
        <f ca="1">IF(OR(INDEX($AI$2:$AI$1001,MATCH(ROWS($AH$2:AH340),$AH$2:$AH$1001,0),1)&gt;=100000,INDEX($AO$1005:$BQ$1005,1,MATCH(COLUMNS($AO$1006:BA1006),$AO$1006:$BQ$1006,0))&gt;=100000), " ",IF(INDEX($AO$2:$BQ$1001,MATCH(ROWS($AH$2:AH340),$AH$2:$AH$1001,0),MATCH(COLUMNS($AO$1006:BA1006),$AO$1006:$BQ$1006,0)), HYPERLINK("#",""), HYPERLINK(CONCATENATE("#Metadata!", ADDRESS(INDEX($AJ$2:$AJ$1001,MATCH(ROWS($AH$2:AH340),$AH$2:$AH$1001,0),0), INDEX($AO$1004:$BQ$1004,1,MATCH(COLUMNS($AO$1006:BA1006),$AO$1006:$BQ$1006,0)))),"Fix")))</f>
        <v>#N/A</v>
      </c>
      <c r="O340" s="5" t="e">
        <f ca="1">IF(OR(INDEX($AI$2:$AI$1001,MATCH(ROWS($AH$2:AH340),$AH$2:$AH$1001,0),1)&gt;=100000,INDEX($AO$1005:$BQ$1005,1,MATCH(COLUMNS($AO$1006:BB1006),$AO$1006:$BQ$1006,0))&gt;=100000), " ",IF(INDEX($AO$2:$BQ$1001,MATCH(ROWS($AH$2:AH340),$AH$2:$AH$1001,0),MATCH(COLUMNS($AO$1006:BB1006),$AO$1006:$BQ$1006,0)), HYPERLINK("#",""), HYPERLINK(CONCATENATE("#Metadata!", ADDRESS(INDEX($AJ$2:$AJ$1001,MATCH(ROWS($AH$2:AH340),$AH$2:$AH$1001,0),0), INDEX($AO$1004:$BQ$1004,1,MATCH(COLUMNS($AO$1006:BB1006),$AO$1006:$BQ$1006,0)))),"Fix")))</f>
        <v>#N/A</v>
      </c>
      <c r="P340" s="5" t="e">
        <f ca="1">IF(OR(INDEX($AI$2:$AI$1001,MATCH(ROWS($AH$2:AH340),$AH$2:$AH$1001,0),1)&gt;=100000,INDEX($AO$1005:$BQ$1005,1,MATCH(COLUMNS($AO$1006:BC1006),$AO$1006:$BQ$1006,0))&gt;=100000), " ",IF(INDEX($AO$2:$BQ$1001,MATCH(ROWS($AH$2:AH340),$AH$2:$AH$1001,0),MATCH(COLUMNS($AO$1006:BC1006),$AO$1006:$BQ$1006,0)), HYPERLINK("#",""), HYPERLINK(CONCATENATE("#Metadata!", ADDRESS(INDEX($AJ$2:$AJ$1001,MATCH(ROWS($AH$2:AH340),$AH$2:$AH$1001,0),0), INDEX($AO$1004:$BQ$1004,1,MATCH(COLUMNS($AO$1006:BC1006),$AO$1006:$BQ$1006,0)))),"Fix")))</f>
        <v>#N/A</v>
      </c>
      <c r="Q340" s="5" t="e">
        <f ca="1">IF(OR(INDEX($AI$2:$AI$1001,MATCH(ROWS($AH$2:AH340),$AH$2:$AH$1001,0),1)&gt;=100000,INDEX($AO$1005:$BQ$1005,1,MATCH(COLUMNS($AO$1006:BD1006),$AO$1006:$BQ$1006,0))&gt;=100000), " ",IF(INDEX($AO$2:$BQ$1001,MATCH(ROWS($AH$2:AH340),$AH$2:$AH$1001,0),MATCH(COLUMNS($AO$1006:BD1006),$AO$1006:$BQ$1006,0)), HYPERLINK("#",""), HYPERLINK(CONCATENATE("#Metadata!", ADDRESS(INDEX($AJ$2:$AJ$1001,MATCH(ROWS($AH$2:AH340),$AH$2:$AH$1001,0),0), INDEX($AO$1004:$BQ$1004,1,MATCH(COLUMNS($AO$1006:BD1006),$AO$1006:$BQ$1006,0)))),"Fix")))</f>
        <v>#N/A</v>
      </c>
      <c r="R340" s="5" t="e">
        <f ca="1">IF(OR(INDEX($AI$2:$AI$1001,MATCH(ROWS($AH$2:AH340),$AH$2:$AH$1001,0),1)&gt;=100000,INDEX($AO$1005:$BQ$1005,1,MATCH(COLUMNS($AO$1006:BE1006),$AO$1006:$BQ$1006,0))&gt;=100000), " ",IF(INDEX($AO$2:$BQ$1001,MATCH(ROWS($AH$2:AH340),$AH$2:$AH$1001,0),MATCH(COLUMNS($AO$1006:BE1006),$AO$1006:$BQ$1006,0)), HYPERLINK("#",""), HYPERLINK(CONCATENATE("#Metadata!", ADDRESS(INDEX($AJ$2:$AJ$1001,MATCH(ROWS($AH$2:AH340),$AH$2:$AH$1001,0),0), INDEX($AO$1004:$BQ$1004,1,MATCH(COLUMNS($AO$1006:BE1006),$AO$1006:$BQ$1006,0)))),"Fix")))</f>
        <v>#N/A</v>
      </c>
      <c r="S340" s="5" t="e">
        <f ca="1">IF(OR(INDEX($AI$2:$AI$1001,MATCH(ROWS($AH$2:AH340),$AH$2:$AH$1001,0),1)&gt;=100000,INDEX($AO$1005:$BQ$1005,1,MATCH(COLUMNS($AO$1006:BF1006),$AO$1006:$BQ$1006,0))&gt;=100000), " ",IF(INDEX($AO$2:$BQ$1001,MATCH(ROWS($AH$2:AH340),$AH$2:$AH$1001,0),MATCH(COLUMNS($AO$1006:BF1006),$AO$1006:$BQ$1006,0)), HYPERLINK("#",""), HYPERLINK(CONCATENATE("#Metadata!", ADDRESS(INDEX($AJ$2:$AJ$1001,MATCH(ROWS($AH$2:AH340),$AH$2:$AH$1001,0),0), INDEX($AO$1004:$BQ$1004,1,MATCH(COLUMNS($AO$1006:BF1006),$AO$1006:$BQ$1006,0)))),"Fix")))</f>
        <v>#N/A</v>
      </c>
      <c r="T340" s="5" t="e">
        <f ca="1">IF(OR(INDEX($AI$2:$AI$1001,MATCH(ROWS($AH$2:AH340),$AH$2:$AH$1001,0),1)&gt;=100000,INDEX($AO$1005:$BQ$1005,1,MATCH(COLUMNS($AO$1006:BG1006),$AO$1006:$BQ$1006,0))&gt;=100000), " ",IF(INDEX($AO$2:$BQ$1001,MATCH(ROWS($AH$2:AH340),$AH$2:$AH$1001,0),MATCH(COLUMNS($AO$1006:BG1006),$AO$1006:$BQ$1006,0)), HYPERLINK("#",""), HYPERLINK(CONCATENATE("#Metadata!", ADDRESS(INDEX($AJ$2:$AJ$1001,MATCH(ROWS($AH$2:AH340),$AH$2:$AH$1001,0),0), INDEX($AO$1004:$BQ$1004,1,MATCH(COLUMNS($AO$1006:BG1006),$AO$1006:$BQ$1006,0)))),"Fix")))</f>
        <v>#N/A</v>
      </c>
      <c r="U340" s="5" t="e">
        <f ca="1">IF(OR(INDEX($AI$2:$AI$1001,MATCH(ROWS($AH$2:AH340),$AH$2:$AH$1001,0),1)&gt;=100000,INDEX($AO$1005:$BQ$1005,1,MATCH(COLUMNS($AO$1006:BH1006),$AO$1006:$BQ$1006,0))&gt;=100000), " ",IF(INDEX($AO$2:$BQ$1001,MATCH(ROWS($AH$2:AH340),$AH$2:$AH$1001,0),MATCH(COLUMNS($AO$1006:BH1006),$AO$1006:$BQ$1006,0)), HYPERLINK("#",""), HYPERLINK(CONCATENATE("#Metadata!", ADDRESS(INDEX($AJ$2:$AJ$1001,MATCH(ROWS($AH$2:AH340),$AH$2:$AH$1001,0),0), INDEX($AO$1004:$BQ$1004,1,MATCH(COLUMNS($AO$1006:BH1006),$AO$1006:$BQ$1006,0)))),"Fix")))</f>
        <v>#N/A</v>
      </c>
      <c r="V340" s="5" t="e">
        <f ca="1">IF(OR(INDEX($AI$2:$AI$1001,MATCH(ROWS($AH$2:AH340),$AH$2:$AH$1001,0),1)&gt;=100000,INDEX($AO$1005:$BQ$1005,1,MATCH(COLUMNS($AO$1006:BI1006),$AO$1006:$BQ$1006,0))&gt;=100000), " ",IF(INDEX($AO$2:$BQ$1001,MATCH(ROWS($AH$2:AH340),$AH$2:$AH$1001,0),MATCH(COLUMNS($AO$1006:BI1006),$AO$1006:$BQ$1006,0)), HYPERLINK("#",""), HYPERLINK(CONCATENATE("#Metadata!", ADDRESS(INDEX($AJ$2:$AJ$1001,MATCH(ROWS($AH$2:AH340),$AH$2:$AH$1001,0),0), INDEX($AO$1004:$BQ$1004,1,MATCH(COLUMNS($AO$1006:BI1006),$AO$1006:$BQ$1006,0)))),"Fix")))</f>
        <v>#N/A</v>
      </c>
      <c r="W340" s="5" t="e">
        <f ca="1">IF(OR(INDEX($AI$2:$AI$1001,MATCH(ROWS($AH$2:AH340),$AH$2:$AH$1001,0),1)&gt;=100000,INDEX($AO$1005:$BQ$1005,1,MATCH(COLUMNS($AO$1006:BJ1006),$AO$1006:$BQ$1006,0))&gt;=100000), " ",IF(INDEX($AO$2:$BQ$1001,MATCH(ROWS($AH$2:AH340),$AH$2:$AH$1001,0),MATCH(COLUMNS($AO$1006:BJ1006),$AO$1006:$BQ$1006,0)), HYPERLINK("#",""), HYPERLINK(CONCATENATE("#Metadata!", ADDRESS(INDEX($AJ$2:$AJ$1001,MATCH(ROWS($AH$2:AH340),$AH$2:$AH$1001,0),0), INDEX($AO$1004:$BQ$1004,1,MATCH(COLUMNS($AO$1006:BJ1006),$AO$1006:$BQ$1006,0)))),"Fix")))</f>
        <v>#N/A</v>
      </c>
      <c r="X340" s="5" t="e">
        <f ca="1">IF(OR(INDEX($AI$2:$AI$1001,MATCH(ROWS($AH$2:AH340),$AH$2:$AH$1001,0),1)&gt;=100000,INDEX($AO$1005:$BQ$1005,1,MATCH(COLUMNS($AO$1006:BK1006),$AO$1006:$BQ$1006,0))&gt;=100000), " ",IF(INDEX($AO$2:$BQ$1001,MATCH(ROWS($AH$2:AH340),$AH$2:$AH$1001,0),MATCH(COLUMNS($AO$1006:BK1006),$AO$1006:$BQ$1006,0)), HYPERLINK("#",""), HYPERLINK(CONCATENATE("#Metadata!", ADDRESS(INDEX($AJ$2:$AJ$1001,MATCH(ROWS($AH$2:AH340),$AH$2:$AH$1001,0),0), INDEX($AO$1004:$BQ$1004,1,MATCH(COLUMNS($AO$1006:BK1006),$AO$1006:$BQ$1006,0)))),"Fix")))</f>
        <v>#N/A</v>
      </c>
      <c r="Y340" s="5" t="e">
        <f ca="1">IF(OR(INDEX($AI$2:$AI$1001,MATCH(ROWS($AH$2:AH340),$AH$2:$AH$1001,0),1)&gt;=100000,INDEX($AO$1005:$BQ$1005,1,MATCH(COLUMNS($AO$1006:BL1006),$AO$1006:$BQ$1006,0))&gt;=100000), " ",IF(INDEX($AO$2:$BQ$1001,MATCH(ROWS($AH$2:AH340),$AH$2:$AH$1001,0),MATCH(COLUMNS($AO$1006:BL1006),$AO$1006:$BQ$1006,0)), HYPERLINK("#",""), HYPERLINK(CONCATENATE("#Metadata!", ADDRESS(INDEX($AJ$2:$AJ$1001,MATCH(ROWS($AH$2:AH340),$AH$2:$AH$1001,0),0), INDEX($AO$1004:$BQ$1004,1,MATCH(COLUMNS($AO$1006:BL1006),$AO$1006:$BQ$1006,0)))),"Fix")))</f>
        <v>#N/A</v>
      </c>
      <c r="Z340" s="5" t="e">
        <f ca="1">IF(OR(INDEX($AI$2:$AI$1001,MATCH(ROWS($AH$2:AH340),$AH$2:$AH$1001,0),1)&gt;=100000,INDEX($AO$1005:$BQ$1005,1,MATCH(COLUMNS($AO$1006:BM1006),$AO$1006:$BQ$1006,0))&gt;=100000), " ",IF(INDEX($AO$2:$BQ$1001,MATCH(ROWS($AH$2:AH340),$AH$2:$AH$1001,0),MATCH(COLUMNS($AO$1006:BM1006),$AO$1006:$BQ$1006,0)), HYPERLINK("#",""), HYPERLINK(CONCATENATE("#Metadata!", ADDRESS(INDEX($AJ$2:$AJ$1001,MATCH(ROWS($AH$2:AH340),$AH$2:$AH$1001,0),0), INDEX($AO$1004:$BQ$1004,1,MATCH(COLUMNS($AO$1006:BM1006),$AO$1006:$BQ$1006,0)))),"Fix")))</f>
        <v>#N/A</v>
      </c>
      <c r="AA340" s="5" t="e">
        <f ca="1">IF(OR(INDEX($AI$2:$AI$1001,MATCH(ROWS($AH$2:AH340),$AH$2:$AH$1001,0),1)&gt;=100000,INDEX($AO$1005:$BQ$1005,1,MATCH(COLUMNS($AO$1006:BN1006),$AO$1006:$BQ$1006,0))&gt;=100000), " ",IF(INDEX($AO$2:$BQ$1001,MATCH(ROWS($AH$2:AH340),$AH$2:$AH$1001,0),MATCH(COLUMNS($AO$1006:BN1006),$AO$1006:$BQ$1006,0)), HYPERLINK("#",""), HYPERLINK(CONCATENATE("#Metadata!", ADDRESS(INDEX($AJ$2:$AJ$1001,MATCH(ROWS($AH$2:AH340),$AH$2:$AH$1001,0),0), INDEX($AO$1004:$BQ$1004,1,MATCH(COLUMNS($AO$1006:BN1006),$AO$1006:$BQ$1006,0)))),"Fix")))</f>
        <v>#N/A</v>
      </c>
      <c r="AB340" s="5" t="e">
        <f ca="1">IF(OR(INDEX($AI$2:$AI$1001,MATCH(ROWS($AH$2:AH340),$AH$2:$AH$1001,0),1)&gt;=100000,INDEX($AO$1005:$BQ$1005,1,MATCH(COLUMNS($AO$1006:BO1006),$AO$1006:$BQ$1006,0))&gt;=100000), " ",IF(INDEX($AO$2:$BQ$1001,MATCH(ROWS($AH$2:AH340),$AH$2:$AH$1001,0),MATCH(COLUMNS($AO$1006:BO1006),$AO$1006:$BQ$1006,0)), HYPERLINK("#",""), HYPERLINK(CONCATENATE("#Metadata!", ADDRESS(INDEX($AJ$2:$AJ$1001,MATCH(ROWS($AH$2:AH340),$AH$2:$AH$1001,0),0), INDEX($AO$1004:$BQ$1004,1,MATCH(COLUMNS($AO$1006:BO1006),$AO$1006:$BQ$1006,0)))),"Fix")))</f>
        <v>#N/A</v>
      </c>
      <c r="AC340" s="5" t="e">
        <f ca="1">IF(OR(INDEX($AI$2:$AI$1001,MATCH(ROWS($AH$2:AH340),$AH$2:$AH$1001,0),1)&gt;=100000,INDEX($AO$1005:$BQ$1005,1,MATCH(COLUMNS($AO$1006:BP1006),$AO$1006:$BQ$1006,0))&gt;=100000), " ",IF(INDEX($AO$2:$BQ$1001,MATCH(ROWS($AH$2:AH340),$AH$2:$AH$1001,0),MATCH(COLUMNS($AO$1006:BP1006),$AO$1006:$BQ$1006,0)), HYPERLINK("#",""), HYPERLINK(CONCATENATE("#Metadata!", ADDRESS(INDEX($AJ$2:$AJ$1001,MATCH(ROWS($AH$2:AH340),$AH$2:$AH$1001,0),0), INDEX($AO$1004:$BQ$1004,1,MATCH(COLUMNS($AO$1006:BP1006),$AO$1006:$BQ$1006,0)))),"Fix")))</f>
        <v>#N/A</v>
      </c>
      <c r="AD340" s="5" t="e">
        <f ca="1">IF(OR(INDEX($AI$2:$AI$1001,MATCH(ROWS($AH$2:AH340),$AH$2:$AH$1001,0),1)&gt;=100000,INDEX($AO$1005:$BQ$1005,1,MATCH(COLUMNS($AO$1006:BQ1006),$AO$1006:$BQ$1006,0))&gt;=100000), " ",IF(INDEX($AO$2:$BQ$1001,MATCH(ROWS($AH$2:AH340),$AH$2:$AH$1001,0),MATCH(COLUMNS($AO$1006:BQ1006),$AO$1006:$BQ$1006,0)), HYPERLINK("#",""), HYPERLINK(CONCATENATE("#Metadata!", ADDRESS(INDEX($AJ$2:$AJ$1001,MATCH(ROWS($AH$2:AH340),$AH$2:$AH$1001,0),0), INDEX($AO$1004:$BQ$1004,1,MATCH(COLUMNS($AO$1006:BQ1006),$AO$1006:$BQ$1006,0)))),"Fix")))</f>
        <v>#REF!</v>
      </c>
      <c r="AH340">
        <f ca="1"/>
        <v>337</v>
      </c>
      <c r="AI340">
        <v>100340</v>
      </c>
      <c r="AJ340">
        <v>340</v>
      </c>
      <c r="AK340" t="b">
        <f t="shared" si="5"/>
        <v>1</v>
      </c>
      <c r="AL340" t="b">
        <f>COUNTBLANK(Metadata!B340:AD340)=COLUMNS(Metadata!B340:AD340)</f>
        <v>1</v>
      </c>
      <c r="AM340" t="str">
        <v/>
      </c>
      <c r="AO340" t="b">
        <f ca="1">AND(IF(Metadata!B340="",FALSE,TRUE),COUNTIF(Metadata!B:B, Metadata!B340) = 1,NOT(ISERROR(SUMPRODUCT(SEARCH(MID(Metadata!B340,ROW(INDIRECT("1:"&amp;LEN(Metadata!B340))), 1),"0123456789abcdefghijklmnopqrstuvwxyzABCDEFGHIJKLMNOPQRSTUVWXYZ.")))))</f>
        <v>0</v>
      </c>
      <c r="AP340" t="b">
        <f>IF(Metadata!C340="",FALSE,TRUE)</f>
        <v>0</v>
      </c>
      <c r="AQ340" t="b">
        <f>IF(Metadata!D340="",FALSE,TRUE)</f>
        <v>0</v>
      </c>
      <c r="AR340" t="b">
        <f ca="1">OR(AND(IF(Metadata!E340="",FALSE,TRUE),OR(EXACT(Metadata!E340,"not collected"),EXACT(Metadata!E340,"not provided"),EXACT(Metadata!E340,"restricted access"))),AND(IF(Metadata!E340="",FALSE,TRUE),AND(AND(IFERROR(INT(LEFT(Metadata!E340,4))&gt;1900,FALSE),IFERROR(INT(LEFT(Metadata!E340,4))&lt;=YEAR(NOW()),FALSE)), OR(MID(Metadata!E340,5,1)="", AND(AND(MID(Metadata!E340,5,1)="-",IFERROR(INT(MID(Metadata!E340,6,1))&gt;=0,FALSE),IFERROR(INT(MID(Metadata!E340,6,1))&lt;=1,FALSE),NOT(MID(Metadata!E340,7,1)=""),IFERROR(INT(MID(Metadata!E340,6,2))&gt;=1,FALSE),IFERROR(INT(MID(Metadata!E340,6,2))&lt;=12,FALSE)), OR(MID(Metadata!E340,8,1)="", AND(AND(MID(Metadata!E340,8,1)="-",IFERROR(INT(MID(Metadata!E340,9,1))&gt;=0,FALSE),IFERROR(INT(MID(Metadata!E340,9,1))&lt;=3,FALSE),NOT(MID(Metadata!E340,10,1)=""),IFERROR(INT(MID(Metadata!E340,9,2))&gt;=1,FALSE),IFERROR(INT(MID(Metadata!E340,9,2))&lt;=31,FALSE)), OR(MID(Metadata!E340,11,1)="", AND(AND(MID(Metadata!E340,11,1)=" ",IFERROR(INT(MID(Metadata!E340,12,1))&gt;=0,FALSE),IFERROR(INT(MID(Metadata!E340,12,1))&lt;=2,FALSE),NOT(MID(Metadata!E340,13,1)=""),IFERROR(INT(MID(Metadata!E340,12,2))&gt;=0,FALSE),IFERROR(INT(MID(Metadata!E340,12,2))&lt;=23,FALSE)), OR(MID(Metadata!E340,14,1)="", AND(AND(MID(Metadata!E340,14,1)=":",IFERROR(INT(MID(Metadata!E340,15,1))&gt;=0,FALSE),IFERROR(INT(MID(Metadata!E340,15,1))&lt;=5,FALSE),NOT(MID(Metadata!E340,16,1)=""),IFERROR(INT(MID(Metadata!E340,15,2))&gt;=0,FALSE),IFERROR(INT(MID(Metadata!E340,15,2))&lt;=59,FALSE)), OR(MID(Metadata!E340,17,1)="", AND(AND(MID(Metadata!E340,17,1)=":",IFERROR(INT(MID(Metadata!E340,18,1))&gt;=0,FALSE),IFERROR(INT(MID(Metadata!E340,18,1))&lt;=5,FALSE),NOT(MID(Metadata!E340,19,1)=""),IFERROR(INT(MID(Metadata!E340,18,2))&gt;=0,FALSE),IFERROR(INT(MID(Metadata!E340,18,2))&lt;=59,FALSE)), LEN(Metadata!E340)&lt;=19)))))))))))))</f>
        <v>0</v>
      </c>
      <c r="AS340" t="b">
        <f>IF(Metadata!F340="",FALSE,TRUE)</f>
        <v>0</v>
      </c>
      <c r="AT340" t="b">
        <f>OR(AND(IF(Metadata!G340="",FALSE,TRUE),OR(EXACT(Metadata!G340,"not collected"),EXACT(Metadata!G340,"not provided"))),AND(IF(Metadata!G340="",FALSE,TRUE),OR(EXACT(Metadata!G340,"TRUE"),EXACT(Metadata!G340,"FALSE"))))</f>
        <v>0</v>
      </c>
      <c r="AU340" t="b">
        <f>OR(AND(IF(Metadata!H340="",FALSE,TRUE),OR(EXACT(Metadata!H340,"not collected"),EXACT(Metadata!H340,"not provided"),EXACT(Metadata!H340,"restricted access"))),AND(IF(Metadata!H340="",FALSE,ISNUMBER(VALUE(Metadata!H340))),Metadata!H340&gt;=-413))</f>
        <v>0</v>
      </c>
      <c r="AV340" t="b">
        <f>AND(IF(Metadata!I340="",FALSE,TRUE),EXACT(Metadata!I340,"meters"))</f>
        <v>0</v>
      </c>
      <c r="AW340" t="b">
        <f>AND(IF(Metadata!J340="",FALSE,TRUE),EXACT(Metadata!J340,"free-living"))</f>
        <v>0</v>
      </c>
      <c r="AX340" t="b">
        <f>AND(IF(Metadata!K340="",FALSE,TRUE),OR(EXACT(Metadata!K340,"saline"),EXACT(Metadata!K340,"non-saline")))</f>
        <v>0</v>
      </c>
      <c r="AY340" t="b">
        <f>AND(IF(Metadata!L340="",FALSE,TRUE),OR(EXACT(Metadata!L340,"sub-surface (non-saline)"),EXACT(Metadata!L340,"surface (non-saline)"),EXACT(Metadata!L340,"water (non-saline)"),EXACT(Metadata!L340,"soil (non-saline)"),EXACT(Metadata!L340,"aerosol (non-saline)"),EXACT(Metadata!L340,"sediment (non-saline)"),EXACT(Metadata!L340,"surface (saline)"),EXACT(Metadata!L340,"water (saline)"),EXACT(Metadata!L340,"hypersaline (saline)"),EXACT(Metadata!L340,"aerosol (saline)"),EXACT(Metadata!L340,"sediment (saline)")))</f>
        <v>0</v>
      </c>
      <c r="AZ340" t="b">
        <f>IF(Metadata!M340="",FALSE,TRUE)</f>
        <v>0</v>
      </c>
      <c r="BA340" t="b">
        <f>IF(Metadata!N340="",FALSE,TRUE)</f>
        <v>0</v>
      </c>
      <c r="BB340" t="b">
        <f>IF(Metadata!O340="",FALSE,TRUE)</f>
        <v>0</v>
      </c>
      <c r="BC340" t="b">
        <f>AND(IF(Metadata!P340="",FALSE,TRUE),OR(EXACT(Metadata!P340,"air"),EXACT(Metadata!P340,"microbial mat/biofilm"),EXACT(Metadata!P340,"misc environment"),EXACT(Metadata!P340,"sediment"),EXACT(Metadata!P340,"soil"),EXACT(Metadata!P340,"wastewater/sludge"),EXACT(Metadata!P340,"water")))</f>
        <v>0</v>
      </c>
      <c r="BD340" t="b">
        <f>IF(Metadata!Q340="",FALSE,TRUE)</f>
        <v>0</v>
      </c>
      <c r="BE340" t="b">
        <f>IF(Metadata!R340="",FALSE,TRUE)</f>
        <v>0</v>
      </c>
      <c r="BF340" t="b">
        <f>OR(AND(IF(Metadata!S340="",FALSE,TRUE),OR(EXACT(Metadata!S340,"not collected"),EXACT(Metadata!S340,"not provided"),EXACT(Metadata!S340,"restricted access"))),AND(IF(Metadata!S340="",FALSE,ISNUMBER(VALUE(Metadata!S340))),Metadata!S340&gt;=-90,Metadata!S340&lt;=90))</f>
        <v>0</v>
      </c>
      <c r="BG340" t="b">
        <f>AND(IF(Metadata!T340="",FALSE,TRUE),EXACT(Metadata!T340,"Decimal degrees"))</f>
        <v>0</v>
      </c>
      <c r="BH340" t="b">
        <f>OR(AND(IF(Metadata!U340="",FALSE,TRUE),OR(EXACT(Metadata!U340,"not applicable"),EXACT(Metadata!U340,"not collected"))),IF(Metadata!U340="",FALSE,TRUE))</f>
        <v>0</v>
      </c>
      <c r="BI340" t="b">
        <f>OR(AND(IF(Metadata!V340="",FALSE,TRUE),OR(EXACT(Metadata!V340,"not collected"),EXACT(Metadata!V340,"not provided"),EXACT(Metadata!V340,"restricted access"))),AND(IF(Metadata!V340="",FALSE,ISNUMBER(VALUE(Metadata!V340))),Metadata!V340&gt;=-180,Metadata!V340&lt;=180))</f>
        <v>0</v>
      </c>
      <c r="BJ340" t="b">
        <f>AND(IF(Metadata!W340="",FALSE,TRUE),EXACT(Metadata!W340,"Decimal degrees"))</f>
        <v>0</v>
      </c>
      <c r="BK340" t="b">
        <f>IF(Metadata!X340="",FALSE,TRUE)</f>
        <v>0</v>
      </c>
      <c r="BL340" t="b">
        <f>OR(AND(IF(Metadata!Y340="",FALSE,TRUE),OR(EXACT(Metadata!Y340,"not collected"),EXACT(Metadata!Y340,"not provided"),EXACT(Metadata!Y340,"restricted access"))),AND(IF(Metadata!Y340="",FALSE,TRUE),OR(EXACT(Metadata!Y340,"TRUE"),EXACT(Metadata!Y340,"FALSE"))))</f>
        <v>0</v>
      </c>
      <c r="BM340" t="b">
        <f>OR(AND(IF(Metadata!Z340="",FALSE,TRUE),EXACT(Metadata!Z340,"not applicable")),AND(IF(Metadata!Z340="",FALSE,TRUE),OR(EXACT(Metadata!Z340,"beer"),EXACT(Metadata!Z340,"cheese"),EXACT(Metadata!Z340,"fresh water"),EXACT(Metadata!Z340,"marine sediment"),EXACT(Metadata!Z340,"sea water"),EXACT(Metadata!Z340,"sediment"),EXACT(Metadata!Z340,"soil"),EXACT(Metadata!Z340,"waste water"))))</f>
        <v>0</v>
      </c>
      <c r="BN340" t="b">
        <f>AND(IF(Metadata!AA340="",FALSE,TRUE),EXACT(Metadata!AA340,"metagenome"))</f>
        <v>0</v>
      </c>
      <c r="BO340" t="b">
        <f>AND(IF(Metadata!AB340="",FALSE,TRUE),EXACT(Metadata!AB340,"256318"))</f>
        <v>0</v>
      </c>
      <c r="BP340" t="b">
        <f>IF(Metadata!AC340="",FALSE,TRUE)</f>
        <v>0</v>
      </c>
      <c r="BQ340" t="b">
        <f>IF(Metadata!AD340="",FALSE,TRUE)</f>
        <v>0</v>
      </c>
    </row>
    <row r="341" spans="1:69" x14ac:dyDescent="0.2">
      <c r="A341" s="4" t="e">
        <f ca="1">IF(B341=" "," ",HYPERLINK(CONCATENATE("#metadata!",ADDRESS(INDEX($AJ$2:$AJ$1001,MATCH(ROWS($AH$2:AH341),$AH$2:$AH$1001,0),0),2)),INDEX($AM$2:$AM$1001,MATCH(ROWS($AH$2:AH341),$AH$2:$AH$1001,0),0)))</f>
        <v>#N/A</v>
      </c>
      <c r="B341" s="5" t="e">
        <f ca="1">IF(OR(INDEX($AI$2:$AI$1001,MATCH(ROWS($AH$2:AH341),$AH$2:$AH$1001,0),1)&gt;=100000,INDEX($AO$1005:$BQ$1005,1,MATCH(COLUMNS($AO$1006:AO1006),$AO$1006:$BQ$1006,0))&gt;=100000), " ",IF(INDEX($AO$2:$BQ$1001,MATCH(ROWS($AH$2:AH341),$AH$2:$AH$1001,0),MATCH(COLUMNS($AO$1006:AO1006),$AO$1006:$BQ$1006,0)), HYPERLINK("#",""), HYPERLINK(CONCATENATE("#Metadata!", ADDRESS(INDEX($AJ$2:$AJ$1001,MATCH(ROWS($AH$2:AH341),$AH$2:$AH$1001,0),0), INDEX($AO$1004:$BQ$1004,1,MATCH(COLUMNS($AO$1006:AO1006),$AO$1006:$BQ$1006,0)))),"Fix")))</f>
        <v>#N/A</v>
      </c>
      <c r="C341" s="5" t="e">
        <f ca="1">IF(OR(INDEX($AI$2:$AI$1001,MATCH(ROWS($AH$2:AH341),$AH$2:$AH$1001,0),1)&gt;=100000,INDEX($AO$1005:$BQ$1005,1,MATCH(COLUMNS($AO$1006:AP1006),$AO$1006:$BQ$1006,0))&gt;=100000), " ",IF(INDEX($AO$2:$BQ$1001,MATCH(ROWS($AH$2:AH341),$AH$2:$AH$1001,0),MATCH(COLUMNS($AO$1006:AP1006),$AO$1006:$BQ$1006,0)), HYPERLINK("#",""), HYPERLINK(CONCATENATE("#Metadata!", ADDRESS(INDEX($AJ$2:$AJ$1001,MATCH(ROWS($AH$2:AH341),$AH$2:$AH$1001,0),0), INDEX($AO$1004:$BQ$1004,1,MATCH(COLUMNS($AO$1006:AP1006),$AO$1006:$BQ$1006,0)))),"Fix")))</f>
        <v>#N/A</v>
      </c>
      <c r="D341" s="5" t="e">
        <f ca="1">IF(OR(INDEX($AI$2:$AI$1001,MATCH(ROWS($AH$2:AH341),$AH$2:$AH$1001,0),1)&gt;=100000,INDEX($AO$1005:$BQ$1005,1,MATCH(COLUMNS($AO$1006:AQ1006),$AO$1006:$BQ$1006,0))&gt;=100000), " ",IF(INDEX($AO$2:$BQ$1001,MATCH(ROWS($AH$2:AH341),$AH$2:$AH$1001,0),MATCH(COLUMNS($AO$1006:AQ1006),$AO$1006:$BQ$1006,0)), HYPERLINK("#",""), HYPERLINK(CONCATENATE("#Metadata!", ADDRESS(INDEX($AJ$2:$AJ$1001,MATCH(ROWS($AH$2:AH341),$AH$2:$AH$1001,0),0), INDEX($AO$1004:$BQ$1004,1,MATCH(COLUMNS($AO$1006:AQ1006),$AO$1006:$BQ$1006,0)))),"Fix")))</f>
        <v>#N/A</v>
      </c>
      <c r="E341" s="5" t="e">
        <f ca="1">IF(OR(INDEX($AI$2:$AI$1001,MATCH(ROWS($AH$2:AH341),$AH$2:$AH$1001,0),1)&gt;=100000,INDEX($AO$1005:$BQ$1005,1,MATCH(COLUMNS($AO$1006:AR1006),$AO$1006:$BQ$1006,0))&gt;=100000), " ",IF(INDEX($AO$2:$BQ$1001,MATCH(ROWS($AH$2:AH341),$AH$2:$AH$1001,0),MATCH(COLUMNS($AO$1006:AR1006),$AO$1006:$BQ$1006,0)), HYPERLINK("#",""), HYPERLINK(CONCATENATE("#Metadata!", ADDRESS(INDEX($AJ$2:$AJ$1001,MATCH(ROWS($AH$2:AH341),$AH$2:$AH$1001,0),0), INDEX($AO$1004:$BQ$1004,1,MATCH(COLUMNS($AO$1006:AR1006),$AO$1006:$BQ$1006,0)))),"Fix")))</f>
        <v>#N/A</v>
      </c>
      <c r="F341" s="5" t="e">
        <f ca="1">IF(OR(INDEX($AI$2:$AI$1001,MATCH(ROWS($AH$2:AH341),$AH$2:$AH$1001,0),1)&gt;=100000,INDEX($AO$1005:$BQ$1005,1,MATCH(COLUMNS($AO$1006:AS1006),$AO$1006:$BQ$1006,0))&gt;=100000), " ",IF(INDEX($AO$2:$BQ$1001,MATCH(ROWS($AH$2:AH341),$AH$2:$AH$1001,0),MATCH(COLUMNS($AO$1006:AS1006),$AO$1006:$BQ$1006,0)), HYPERLINK("#",""), HYPERLINK(CONCATENATE("#Metadata!", ADDRESS(INDEX($AJ$2:$AJ$1001,MATCH(ROWS($AH$2:AH341),$AH$2:$AH$1001,0),0), INDEX($AO$1004:$BQ$1004,1,MATCH(COLUMNS($AO$1006:AS1006),$AO$1006:$BQ$1006,0)))),"Fix")))</f>
        <v>#N/A</v>
      </c>
      <c r="G341" s="5" t="e">
        <f ca="1">IF(OR(INDEX($AI$2:$AI$1001,MATCH(ROWS($AH$2:AH341),$AH$2:$AH$1001,0),1)&gt;=100000,INDEX($AO$1005:$BQ$1005,1,MATCH(COLUMNS($AO$1006:AT1006),$AO$1006:$BQ$1006,0))&gt;=100000), " ",IF(INDEX($AO$2:$BQ$1001,MATCH(ROWS($AH$2:AH341),$AH$2:$AH$1001,0),MATCH(COLUMNS($AO$1006:AT1006),$AO$1006:$BQ$1006,0)), HYPERLINK("#",""), HYPERLINK(CONCATENATE("#Metadata!", ADDRESS(INDEX($AJ$2:$AJ$1001,MATCH(ROWS($AH$2:AH341),$AH$2:$AH$1001,0),0), INDEX($AO$1004:$BQ$1004,1,MATCH(COLUMNS($AO$1006:AT1006),$AO$1006:$BQ$1006,0)))),"Fix")))</f>
        <v>#N/A</v>
      </c>
      <c r="H341" s="5" t="e">
        <f ca="1">IF(OR(INDEX($AI$2:$AI$1001,MATCH(ROWS($AH$2:AH341),$AH$2:$AH$1001,0),1)&gt;=100000,INDEX($AO$1005:$BQ$1005,1,MATCH(COLUMNS($AO$1006:AU1006),$AO$1006:$BQ$1006,0))&gt;=100000), " ",IF(INDEX($AO$2:$BQ$1001,MATCH(ROWS($AH$2:AH341),$AH$2:$AH$1001,0),MATCH(COLUMNS($AO$1006:AU1006),$AO$1006:$BQ$1006,0)), HYPERLINK("#",""), HYPERLINK(CONCATENATE("#Metadata!", ADDRESS(INDEX($AJ$2:$AJ$1001,MATCH(ROWS($AH$2:AH341),$AH$2:$AH$1001,0),0), INDEX($AO$1004:$BQ$1004,1,MATCH(COLUMNS($AO$1006:AU1006),$AO$1006:$BQ$1006,0)))),"Fix")))</f>
        <v>#N/A</v>
      </c>
      <c r="I341" s="5" t="e">
        <f ca="1">IF(OR(INDEX($AI$2:$AI$1001,MATCH(ROWS($AH$2:AH341),$AH$2:$AH$1001,0),1)&gt;=100000,INDEX($AO$1005:$BQ$1005,1,MATCH(COLUMNS($AO$1006:AV1006),$AO$1006:$BQ$1006,0))&gt;=100000), " ",IF(INDEX($AO$2:$BQ$1001,MATCH(ROWS($AH$2:AH341),$AH$2:$AH$1001,0),MATCH(COLUMNS($AO$1006:AV1006),$AO$1006:$BQ$1006,0)), HYPERLINK("#",""), HYPERLINK(CONCATENATE("#Metadata!", ADDRESS(INDEX($AJ$2:$AJ$1001,MATCH(ROWS($AH$2:AH341),$AH$2:$AH$1001,0),0), INDEX($AO$1004:$BQ$1004,1,MATCH(COLUMNS($AO$1006:AV1006),$AO$1006:$BQ$1006,0)))),"Fix")))</f>
        <v>#N/A</v>
      </c>
      <c r="J341" s="5" t="e">
        <f ca="1">IF(OR(INDEX($AI$2:$AI$1001,MATCH(ROWS($AH$2:AH341),$AH$2:$AH$1001,0),1)&gt;=100000,INDEX($AO$1005:$BQ$1005,1,MATCH(COLUMNS($AO$1006:AW1006),$AO$1006:$BQ$1006,0))&gt;=100000), " ",IF(INDEX($AO$2:$BQ$1001,MATCH(ROWS($AH$2:AH341),$AH$2:$AH$1001,0),MATCH(COLUMNS($AO$1006:AW1006),$AO$1006:$BQ$1006,0)), HYPERLINK("#",""), HYPERLINK(CONCATENATE("#Metadata!", ADDRESS(INDEX($AJ$2:$AJ$1001,MATCH(ROWS($AH$2:AH341),$AH$2:$AH$1001,0),0), INDEX($AO$1004:$BQ$1004,1,MATCH(COLUMNS($AO$1006:AW1006),$AO$1006:$BQ$1006,0)))),"Fix")))</f>
        <v>#N/A</v>
      </c>
      <c r="K341" s="5" t="e">
        <f ca="1">IF(OR(INDEX($AI$2:$AI$1001,MATCH(ROWS($AH$2:AH341),$AH$2:$AH$1001,0),1)&gt;=100000,INDEX($AO$1005:$BQ$1005,1,MATCH(COLUMNS($AO$1006:AX1006),$AO$1006:$BQ$1006,0))&gt;=100000), " ",IF(INDEX($AO$2:$BQ$1001,MATCH(ROWS($AH$2:AH341),$AH$2:$AH$1001,0),MATCH(COLUMNS($AO$1006:AX1006),$AO$1006:$BQ$1006,0)), HYPERLINK("#",""), HYPERLINK(CONCATENATE("#Metadata!", ADDRESS(INDEX($AJ$2:$AJ$1001,MATCH(ROWS($AH$2:AH341),$AH$2:$AH$1001,0),0), INDEX($AO$1004:$BQ$1004,1,MATCH(COLUMNS($AO$1006:AX1006),$AO$1006:$BQ$1006,0)))),"Fix")))</f>
        <v>#N/A</v>
      </c>
      <c r="L341" s="5" t="e">
        <f ca="1">IF(OR(INDEX($AI$2:$AI$1001,MATCH(ROWS($AH$2:AH341),$AH$2:$AH$1001,0),1)&gt;=100000,INDEX($AO$1005:$BQ$1005,1,MATCH(COLUMNS($AO$1006:AY1006),$AO$1006:$BQ$1006,0))&gt;=100000), " ",IF(INDEX($AO$2:$BQ$1001,MATCH(ROWS($AH$2:AH341),$AH$2:$AH$1001,0),MATCH(COLUMNS($AO$1006:AY1006),$AO$1006:$BQ$1006,0)), HYPERLINK("#",""), HYPERLINK(CONCATENATE("#Metadata!", ADDRESS(INDEX($AJ$2:$AJ$1001,MATCH(ROWS($AH$2:AH341),$AH$2:$AH$1001,0),0), INDEX($AO$1004:$BQ$1004,1,MATCH(COLUMNS($AO$1006:AY1006),$AO$1006:$BQ$1006,0)))),"Fix")))</f>
        <v>#N/A</v>
      </c>
      <c r="M341" s="5" t="e">
        <f ca="1">IF(OR(INDEX($AI$2:$AI$1001,MATCH(ROWS($AH$2:AH341),$AH$2:$AH$1001,0),1)&gt;=100000,INDEX($AO$1005:$BQ$1005,1,MATCH(COLUMNS($AO$1006:AZ1006),$AO$1006:$BQ$1006,0))&gt;=100000), " ",IF(INDEX($AO$2:$BQ$1001,MATCH(ROWS($AH$2:AH341),$AH$2:$AH$1001,0),MATCH(COLUMNS($AO$1006:AZ1006),$AO$1006:$BQ$1006,0)), HYPERLINK("#",""), HYPERLINK(CONCATENATE("#Metadata!", ADDRESS(INDEX($AJ$2:$AJ$1001,MATCH(ROWS($AH$2:AH341),$AH$2:$AH$1001,0),0), INDEX($AO$1004:$BQ$1004,1,MATCH(COLUMNS($AO$1006:AZ1006),$AO$1006:$BQ$1006,0)))),"Fix")))</f>
        <v>#N/A</v>
      </c>
      <c r="N341" s="5" t="e">
        <f ca="1">IF(OR(INDEX($AI$2:$AI$1001,MATCH(ROWS($AH$2:AH341),$AH$2:$AH$1001,0),1)&gt;=100000,INDEX($AO$1005:$BQ$1005,1,MATCH(COLUMNS($AO$1006:BA1006),$AO$1006:$BQ$1006,0))&gt;=100000), " ",IF(INDEX($AO$2:$BQ$1001,MATCH(ROWS($AH$2:AH341),$AH$2:$AH$1001,0),MATCH(COLUMNS($AO$1006:BA1006),$AO$1006:$BQ$1006,0)), HYPERLINK("#",""), HYPERLINK(CONCATENATE("#Metadata!", ADDRESS(INDEX($AJ$2:$AJ$1001,MATCH(ROWS($AH$2:AH341),$AH$2:$AH$1001,0),0), INDEX($AO$1004:$BQ$1004,1,MATCH(COLUMNS($AO$1006:BA1006),$AO$1006:$BQ$1006,0)))),"Fix")))</f>
        <v>#N/A</v>
      </c>
      <c r="O341" s="5" t="e">
        <f ca="1">IF(OR(INDEX($AI$2:$AI$1001,MATCH(ROWS($AH$2:AH341),$AH$2:$AH$1001,0),1)&gt;=100000,INDEX($AO$1005:$BQ$1005,1,MATCH(COLUMNS($AO$1006:BB1006),$AO$1006:$BQ$1006,0))&gt;=100000), " ",IF(INDEX($AO$2:$BQ$1001,MATCH(ROWS($AH$2:AH341),$AH$2:$AH$1001,0),MATCH(COLUMNS($AO$1006:BB1006),$AO$1006:$BQ$1006,0)), HYPERLINK("#",""), HYPERLINK(CONCATENATE("#Metadata!", ADDRESS(INDEX($AJ$2:$AJ$1001,MATCH(ROWS($AH$2:AH341),$AH$2:$AH$1001,0),0), INDEX($AO$1004:$BQ$1004,1,MATCH(COLUMNS($AO$1006:BB1006),$AO$1006:$BQ$1006,0)))),"Fix")))</f>
        <v>#N/A</v>
      </c>
      <c r="P341" s="5" t="e">
        <f ca="1">IF(OR(INDEX($AI$2:$AI$1001,MATCH(ROWS($AH$2:AH341),$AH$2:$AH$1001,0),1)&gt;=100000,INDEX($AO$1005:$BQ$1005,1,MATCH(COLUMNS($AO$1006:BC1006),$AO$1006:$BQ$1006,0))&gt;=100000), " ",IF(INDEX($AO$2:$BQ$1001,MATCH(ROWS($AH$2:AH341),$AH$2:$AH$1001,0),MATCH(COLUMNS($AO$1006:BC1006),$AO$1006:$BQ$1006,0)), HYPERLINK("#",""), HYPERLINK(CONCATENATE("#Metadata!", ADDRESS(INDEX($AJ$2:$AJ$1001,MATCH(ROWS($AH$2:AH341),$AH$2:$AH$1001,0),0), INDEX($AO$1004:$BQ$1004,1,MATCH(COLUMNS($AO$1006:BC1006),$AO$1006:$BQ$1006,0)))),"Fix")))</f>
        <v>#N/A</v>
      </c>
      <c r="Q341" s="5" t="e">
        <f ca="1">IF(OR(INDEX($AI$2:$AI$1001,MATCH(ROWS($AH$2:AH341),$AH$2:$AH$1001,0),1)&gt;=100000,INDEX($AO$1005:$BQ$1005,1,MATCH(COLUMNS($AO$1006:BD1006),$AO$1006:$BQ$1006,0))&gt;=100000), " ",IF(INDEX($AO$2:$BQ$1001,MATCH(ROWS($AH$2:AH341),$AH$2:$AH$1001,0),MATCH(COLUMNS($AO$1006:BD1006),$AO$1006:$BQ$1006,0)), HYPERLINK("#",""), HYPERLINK(CONCATENATE("#Metadata!", ADDRESS(INDEX($AJ$2:$AJ$1001,MATCH(ROWS($AH$2:AH341),$AH$2:$AH$1001,0),0), INDEX($AO$1004:$BQ$1004,1,MATCH(COLUMNS($AO$1006:BD1006),$AO$1006:$BQ$1006,0)))),"Fix")))</f>
        <v>#N/A</v>
      </c>
      <c r="R341" s="5" t="e">
        <f ca="1">IF(OR(INDEX($AI$2:$AI$1001,MATCH(ROWS($AH$2:AH341),$AH$2:$AH$1001,0),1)&gt;=100000,INDEX($AO$1005:$BQ$1005,1,MATCH(COLUMNS($AO$1006:BE1006),$AO$1006:$BQ$1006,0))&gt;=100000), " ",IF(INDEX($AO$2:$BQ$1001,MATCH(ROWS($AH$2:AH341),$AH$2:$AH$1001,0),MATCH(COLUMNS($AO$1006:BE1006),$AO$1006:$BQ$1006,0)), HYPERLINK("#",""), HYPERLINK(CONCATENATE("#Metadata!", ADDRESS(INDEX($AJ$2:$AJ$1001,MATCH(ROWS($AH$2:AH341),$AH$2:$AH$1001,0),0), INDEX($AO$1004:$BQ$1004,1,MATCH(COLUMNS($AO$1006:BE1006),$AO$1006:$BQ$1006,0)))),"Fix")))</f>
        <v>#N/A</v>
      </c>
      <c r="S341" s="5" t="e">
        <f ca="1">IF(OR(INDEX($AI$2:$AI$1001,MATCH(ROWS($AH$2:AH341),$AH$2:$AH$1001,0),1)&gt;=100000,INDEX($AO$1005:$BQ$1005,1,MATCH(COLUMNS($AO$1006:BF1006),$AO$1006:$BQ$1006,0))&gt;=100000), " ",IF(INDEX($AO$2:$BQ$1001,MATCH(ROWS($AH$2:AH341),$AH$2:$AH$1001,0),MATCH(COLUMNS($AO$1006:BF1006),$AO$1006:$BQ$1006,0)), HYPERLINK("#",""), HYPERLINK(CONCATENATE("#Metadata!", ADDRESS(INDEX($AJ$2:$AJ$1001,MATCH(ROWS($AH$2:AH341),$AH$2:$AH$1001,0),0), INDEX($AO$1004:$BQ$1004,1,MATCH(COLUMNS($AO$1006:BF1006),$AO$1006:$BQ$1006,0)))),"Fix")))</f>
        <v>#N/A</v>
      </c>
      <c r="T341" s="5" t="e">
        <f ca="1">IF(OR(INDEX($AI$2:$AI$1001,MATCH(ROWS($AH$2:AH341),$AH$2:$AH$1001,0),1)&gt;=100000,INDEX($AO$1005:$BQ$1005,1,MATCH(COLUMNS($AO$1006:BG1006),$AO$1006:$BQ$1006,0))&gt;=100000), " ",IF(INDEX($AO$2:$BQ$1001,MATCH(ROWS($AH$2:AH341),$AH$2:$AH$1001,0),MATCH(COLUMNS($AO$1006:BG1006),$AO$1006:$BQ$1006,0)), HYPERLINK("#",""), HYPERLINK(CONCATENATE("#Metadata!", ADDRESS(INDEX($AJ$2:$AJ$1001,MATCH(ROWS($AH$2:AH341),$AH$2:$AH$1001,0),0), INDEX($AO$1004:$BQ$1004,1,MATCH(COLUMNS($AO$1006:BG1006),$AO$1006:$BQ$1006,0)))),"Fix")))</f>
        <v>#N/A</v>
      </c>
      <c r="U341" s="5" t="e">
        <f ca="1">IF(OR(INDEX($AI$2:$AI$1001,MATCH(ROWS($AH$2:AH341),$AH$2:$AH$1001,0),1)&gt;=100000,INDEX($AO$1005:$BQ$1005,1,MATCH(COLUMNS($AO$1006:BH1006),$AO$1006:$BQ$1006,0))&gt;=100000), " ",IF(INDEX($AO$2:$BQ$1001,MATCH(ROWS($AH$2:AH341),$AH$2:$AH$1001,0),MATCH(COLUMNS($AO$1006:BH1006),$AO$1006:$BQ$1006,0)), HYPERLINK("#",""), HYPERLINK(CONCATENATE("#Metadata!", ADDRESS(INDEX($AJ$2:$AJ$1001,MATCH(ROWS($AH$2:AH341),$AH$2:$AH$1001,0),0), INDEX($AO$1004:$BQ$1004,1,MATCH(COLUMNS($AO$1006:BH1006),$AO$1006:$BQ$1006,0)))),"Fix")))</f>
        <v>#N/A</v>
      </c>
      <c r="V341" s="5" t="e">
        <f ca="1">IF(OR(INDEX($AI$2:$AI$1001,MATCH(ROWS($AH$2:AH341),$AH$2:$AH$1001,0),1)&gt;=100000,INDEX($AO$1005:$BQ$1005,1,MATCH(COLUMNS($AO$1006:BI1006),$AO$1006:$BQ$1006,0))&gt;=100000), " ",IF(INDEX($AO$2:$BQ$1001,MATCH(ROWS($AH$2:AH341),$AH$2:$AH$1001,0),MATCH(COLUMNS($AO$1006:BI1006),$AO$1006:$BQ$1006,0)), HYPERLINK("#",""), HYPERLINK(CONCATENATE("#Metadata!", ADDRESS(INDEX($AJ$2:$AJ$1001,MATCH(ROWS($AH$2:AH341),$AH$2:$AH$1001,0),0), INDEX($AO$1004:$BQ$1004,1,MATCH(COLUMNS($AO$1006:BI1006),$AO$1006:$BQ$1006,0)))),"Fix")))</f>
        <v>#N/A</v>
      </c>
      <c r="W341" s="5" t="e">
        <f ca="1">IF(OR(INDEX($AI$2:$AI$1001,MATCH(ROWS($AH$2:AH341),$AH$2:$AH$1001,0),1)&gt;=100000,INDEX($AO$1005:$BQ$1005,1,MATCH(COLUMNS($AO$1006:BJ1006),$AO$1006:$BQ$1006,0))&gt;=100000), " ",IF(INDEX($AO$2:$BQ$1001,MATCH(ROWS($AH$2:AH341),$AH$2:$AH$1001,0),MATCH(COLUMNS($AO$1006:BJ1006),$AO$1006:$BQ$1006,0)), HYPERLINK("#",""), HYPERLINK(CONCATENATE("#Metadata!", ADDRESS(INDEX($AJ$2:$AJ$1001,MATCH(ROWS($AH$2:AH341),$AH$2:$AH$1001,0),0), INDEX($AO$1004:$BQ$1004,1,MATCH(COLUMNS($AO$1006:BJ1006),$AO$1006:$BQ$1006,0)))),"Fix")))</f>
        <v>#N/A</v>
      </c>
      <c r="X341" s="5" t="e">
        <f ca="1">IF(OR(INDEX($AI$2:$AI$1001,MATCH(ROWS($AH$2:AH341),$AH$2:$AH$1001,0),1)&gt;=100000,INDEX($AO$1005:$BQ$1005,1,MATCH(COLUMNS($AO$1006:BK1006),$AO$1006:$BQ$1006,0))&gt;=100000), " ",IF(INDEX($AO$2:$BQ$1001,MATCH(ROWS($AH$2:AH341),$AH$2:$AH$1001,0),MATCH(COLUMNS($AO$1006:BK1006),$AO$1006:$BQ$1006,0)), HYPERLINK("#",""), HYPERLINK(CONCATENATE("#Metadata!", ADDRESS(INDEX($AJ$2:$AJ$1001,MATCH(ROWS($AH$2:AH341),$AH$2:$AH$1001,0),0), INDEX($AO$1004:$BQ$1004,1,MATCH(COLUMNS($AO$1006:BK1006),$AO$1006:$BQ$1006,0)))),"Fix")))</f>
        <v>#N/A</v>
      </c>
      <c r="Y341" s="5" t="e">
        <f ca="1">IF(OR(INDEX($AI$2:$AI$1001,MATCH(ROWS($AH$2:AH341),$AH$2:$AH$1001,0),1)&gt;=100000,INDEX($AO$1005:$BQ$1005,1,MATCH(COLUMNS($AO$1006:BL1006),$AO$1006:$BQ$1006,0))&gt;=100000), " ",IF(INDEX($AO$2:$BQ$1001,MATCH(ROWS($AH$2:AH341),$AH$2:$AH$1001,0),MATCH(COLUMNS($AO$1006:BL1006),$AO$1006:$BQ$1006,0)), HYPERLINK("#",""), HYPERLINK(CONCATENATE("#Metadata!", ADDRESS(INDEX($AJ$2:$AJ$1001,MATCH(ROWS($AH$2:AH341),$AH$2:$AH$1001,0),0), INDEX($AO$1004:$BQ$1004,1,MATCH(COLUMNS($AO$1006:BL1006),$AO$1006:$BQ$1006,0)))),"Fix")))</f>
        <v>#N/A</v>
      </c>
      <c r="Z341" s="5" t="e">
        <f ca="1">IF(OR(INDEX($AI$2:$AI$1001,MATCH(ROWS($AH$2:AH341),$AH$2:$AH$1001,0),1)&gt;=100000,INDEX($AO$1005:$BQ$1005,1,MATCH(COLUMNS($AO$1006:BM1006),$AO$1006:$BQ$1006,0))&gt;=100000), " ",IF(INDEX($AO$2:$BQ$1001,MATCH(ROWS($AH$2:AH341),$AH$2:$AH$1001,0),MATCH(COLUMNS($AO$1006:BM1006),$AO$1006:$BQ$1006,0)), HYPERLINK("#",""), HYPERLINK(CONCATENATE("#Metadata!", ADDRESS(INDEX($AJ$2:$AJ$1001,MATCH(ROWS($AH$2:AH341),$AH$2:$AH$1001,0),0), INDEX($AO$1004:$BQ$1004,1,MATCH(COLUMNS($AO$1006:BM1006),$AO$1006:$BQ$1006,0)))),"Fix")))</f>
        <v>#N/A</v>
      </c>
      <c r="AA341" s="5" t="e">
        <f ca="1">IF(OR(INDEX($AI$2:$AI$1001,MATCH(ROWS($AH$2:AH341),$AH$2:$AH$1001,0),1)&gt;=100000,INDEX($AO$1005:$BQ$1005,1,MATCH(COLUMNS($AO$1006:BN1006),$AO$1006:$BQ$1006,0))&gt;=100000), " ",IF(INDEX($AO$2:$BQ$1001,MATCH(ROWS($AH$2:AH341),$AH$2:$AH$1001,0),MATCH(COLUMNS($AO$1006:BN1006),$AO$1006:$BQ$1006,0)), HYPERLINK("#",""), HYPERLINK(CONCATENATE("#Metadata!", ADDRESS(INDEX($AJ$2:$AJ$1001,MATCH(ROWS($AH$2:AH341),$AH$2:$AH$1001,0),0), INDEX($AO$1004:$BQ$1004,1,MATCH(COLUMNS($AO$1006:BN1006),$AO$1006:$BQ$1006,0)))),"Fix")))</f>
        <v>#N/A</v>
      </c>
      <c r="AB341" s="5" t="e">
        <f ca="1">IF(OR(INDEX($AI$2:$AI$1001,MATCH(ROWS($AH$2:AH341),$AH$2:$AH$1001,0),1)&gt;=100000,INDEX($AO$1005:$BQ$1005,1,MATCH(COLUMNS($AO$1006:BO1006),$AO$1006:$BQ$1006,0))&gt;=100000), " ",IF(INDEX($AO$2:$BQ$1001,MATCH(ROWS($AH$2:AH341),$AH$2:$AH$1001,0),MATCH(COLUMNS($AO$1006:BO1006),$AO$1006:$BQ$1006,0)), HYPERLINK("#",""), HYPERLINK(CONCATENATE("#Metadata!", ADDRESS(INDEX($AJ$2:$AJ$1001,MATCH(ROWS($AH$2:AH341),$AH$2:$AH$1001,0),0), INDEX($AO$1004:$BQ$1004,1,MATCH(COLUMNS($AO$1006:BO1006),$AO$1006:$BQ$1006,0)))),"Fix")))</f>
        <v>#N/A</v>
      </c>
      <c r="AC341" s="5" t="e">
        <f ca="1">IF(OR(INDEX($AI$2:$AI$1001,MATCH(ROWS($AH$2:AH341),$AH$2:$AH$1001,0),1)&gt;=100000,INDEX($AO$1005:$BQ$1005,1,MATCH(COLUMNS($AO$1006:BP1006),$AO$1006:$BQ$1006,0))&gt;=100000), " ",IF(INDEX($AO$2:$BQ$1001,MATCH(ROWS($AH$2:AH341),$AH$2:$AH$1001,0),MATCH(COLUMNS($AO$1006:BP1006),$AO$1006:$BQ$1006,0)), HYPERLINK("#",""), HYPERLINK(CONCATENATE("#Metadata!", ADDRESS(INDEX($AJ$2:$AJ$1001,MATCH(ROWS($AH$2:AH341),$AH$2:$AH$1001,0),0), INDEX($AO$1004:$BQ$1004,1,MATCH(COLUMNS($AO$1006:BP1006),$AO$1006:$BQ$1006,0)))),"Fix")))</f>
        <v>#N/A</v>
      </c>
      <c r="AD341" s="5" t="e">
        <f ca="1">IF(OR(INDEX($AI$2:$AI$1001,MATCH(ROWS($AH$2:AH341),$AH$2:$AH$1001,0),1)&gt;=100000,INDEX($AO$1005:$BQ$1005,1,MATCH(COLUMNS($AO$1006:BQ1006),$AO$1006:$BQ$1006,0))&gt;=100000), " ",IF(INDEX($AO$2:$BQ$1001,MATCH(ROWS($AH$2:AH341),$AH$2:$AH$1001,0),MATCH(COLUMNS($AO$1006:BQ1006),$AO$1006:$BQ$1006,0)), HYPERLINK("#",""), HYPERLINK(CONCATENATE("#Metadata!", ADDRESS(INDEX($AJ$2:$AJ$1001,MATCH(ROWS($AH$2:AH341),$AH$2:$AH$1001,0),0), INDEX($AO$1004:$BQ$1004,1,MATCH(COLUMNS($AO$1006:BQ1006),$AO$1006:$BQ$1006,0)))),"Fix")))</f>
        <v>#REF!</v>
      </c>
      <c r="AH341">
        <f ca="1"/>
        <v>338</v>
      </c>
      <c r="AI341">
        <v>100341</v>
      </c>
      <c r="AJ341">
        <v>341</v>
      </c>
      <c r="AK341" t="b">
        <f t="shared" si="5"/>
        <v>1</v>
      </c>
      <c r="AL341" t="b">
        <f>COUNTBLANK(Metadata!B341:AD341)=COLUMNS(Metadata!B341:AD341)</f>
        <v>1</v>
      </c>
      <c r="AM341" t="str">
        <v/>
      </c>
      <c r="AO341" t="b">
        <f ca="1">AND(IF(Metadata!B341="",FALSE,TRUE),COUNTIF(Metadata!B:B, Metadata!B341) = 1,NOT(ISERROR(SUMPRODUCT(SEARCH(MID(Metadata!B341,ROW(INDIRECT("1:"&amp;LEN(Metadata!B341))), 1),"0123456789abcdefghijklmnopqrstuvwxyzABCDEFGHIJKLMNOPQRSTUVWXYZ.")))))</f>
        <v>0</v>
      </c>
      <c r="AP341" t="b">
        <f>IF(Metadata!C341="",FALSE,TRUE)</f>
        <v>0</v>
      </c>
      <c r="AQ341" t="b">
        <f>IF(Metadata!D341="",FALSE,TRUE)</f>
        <v>0</v>
      </c>
      <c r="AR341" t="b">
        <f ca="1">OR(AND(IF(Metadata!E341="",FALSE,TRUE),OR(EXACT(Metadata!E341,"not collected"),EXACT(Metadata!E341,"not provided"),EXACT(Metadata!E341,"restricted access"))),AND(IF(Metadata!E341="",FALSE,TRUE),AND(AND(IFERROR(INT(LEFT(Metadata!E341,4))&gt;1900,FALSE),IFERROR(INT(LEFT(Metadata!E341,4))&lt;=YEAR(NOW()),FALSE)), OR(MID(Metadata!E341,5,1)="", AND(AND(MID(Metadata!E341,5,1)="-",IFERROR(INT(MID(Metadata!E341,6,1))&gt;=0,FALSE),IFERROR(INT(MID(Metadata!E341,6,1))&lt;=1,FALSE),NOT(MID(Metadata!E341,7,1)=""),IFERROR(INT(MID(Metadata!E341,6,2))&gt;=1,FALSE),IFERROR(INT(MID(Metadata!E341,6,2))&lt;=12,FALSE)), OR(MID(Metadata!E341,8,1)="", AND(AND(MID(Metadata!E341,8,1)="-",IFERROR(INT(MID(Metadata!E341,9,1))&gt;=0,FALSE),IFERROR(INT(MID(Metadata!E341,9,1))&lt;=3,FALSE),NOT(MID(Metadata!E341,10,1)=""),IFERROR(INT(MID(Metadata!E341,9,2))&gt;=1,FALSE),IFERROR(INT(MID(Metadata!E341,9,2))&lt;=31,FALSE)), OR(MID(Metadata!E341,11,1)="", AND(AND(MID(Metadata!E341,11,1)=" ",IFERROR(INT(MID(Metadata!E341,12,1))&gt;=0,FALSE),IFERROR(INT(MID(Metadata!E341,12,1))&lt;=2,FALSE),NOT(MID(Metadata!E341,13,1)=""),IFERROR(INT(MID(Metadata!E341,12,2))&gt;=0,FALSE),IFERROR(INT(MID(Metadata!E341,12,2))&lt;=23,FALSE)), OR(MID(Metadata!E341,14,1)="", AND(AND(MID(Metadata!E341,14,1)=":",IFERROR(INT(MID(Metadata!E341,15,1))&gt;=0,FALSE),IFERROR(INT(MID(Metadata!E341,15,1))&lt;=5,FALSE),NOT(MID(Metadata!E341,16,1)=""),IFERROR(INT(MID(Metadata!E341,15,2))&gt;=0,FALSE),IFERROR(INT(MID(Metadata!E341,15,2))&lt;=59,FALSE)), OR(MID(Metadata!E341,17,1)="", AND(AND(MID(Metadata!E341,17,1)=":",IFERROR(INT(MID(Metadata!E341,18,1))&gt;=0,FALSE),IFERROR(INT(MID(Metadata!E341,18,1))&lt;=5,FALSE),NOT(MID(Metadata!E341,19,1)=""),IFERROR(INT(MID(Metadata!E341,18,2))&gt;=0,FALSE),IFERROR(INT(MID(Metadata!E341,18,2))&lt;=59,FALSE)), LEN(Metadata!E341)&lt;=19)))))))))))))</f>
        <v>0</v>
      </c>
      <c r="AS341" t="b">
        <f>IF(Metadata!F341="",FALSE,TRUE)</f>
        <v>0</v>
      </c>
      <c r="AT341" t="b">
        <f>OR(AND(IF(Metadata!G341="",FALSE,TRUE),OR(EXACT(Metadata!G341,"not collected"),EXACT(Metadata!G341,"not provided"))),AND(IF(Metadata!G341="",FALSE,TRUE),OR(EXACT(Metadata!G341,"TRUE"),EXACT(Metadata!G341,"FALSE"))))</f>
        <v>0</v>
      </c>
      <c r="AU341" t="b">
        <f>OR(AND(IF(Metadata!H341="",FALSE,TRUE),OR(EXACT(Metadata!H341,"not collected"),EXACT(Metadata!H341,"not provided"),EXACT(Metadata!H341,"restricted access"))),AND(IF(Metadata!H341="",FALSE,ISNUMBER(VALUE(Metadata!H341))),Metadata!H341&gt;=-413))</f>
        <v>0</v>
      </c>
      <c r="AV341" t="b">
        <f>AND(IF(Metadata!I341="",FALSE,TRUE),EXACT(Metadata!I341,"meters"))</f>
        <v>0</v>
      </c>
      <c r="AW341" t="b">
        <f>AND(IF(Metadata!J341="",FALSE,TRUE),EXACT(Metadata!J341,"free-living"))</f>
        <v>0</v>
      </c>
      <c r="AX341" t="b">
        <f>AND(IF(Metadata!K341="",FALSE,TRUE),OR(EXACT(Metadata!K341,"saline"),EXACT(Metadata!K341,"non-saline")))</f>
        <v>0</v>
      </c>
      <c r="AY341" t="b">
        <f>AND(IF(Metadata!L341="",FALSE,TRUE),OR(EXACT(Metadata!L341,"sub-surface (non-saline)"),EXACT(Metadata!L341,"surface (non-saline)"),EXACT(Metadata!L341,"water (non-saline)"),EXACT(Metadata!L341,"soil (non-saline)"),EXACT(Metadata!L341,"aerosol (non-saline)"),EXACT(Metadata!L341,"sediment (non-saline)"),EXACT(Metadata!L341,"surface (saline)"),EXACT(Metadata!L341,"water (saline)"),EXACT(Metadata!L341,"hypersaline (saline)"),EXACT(Metadata!L341,"aerosol (saline)"),EXACT(Metadata!L341,"sediment (saline)")))</f>
        <v>0</v>
      </c>
      <c r="AZ341" t="b">
        <f>IF(Metadata!M341="",FALSE,TRUE)</f>
        <v>0</v>
      </c>
      <c r="BA341" t="b">
        <f>IF(Metadata!N341="",FALSE,TRUE)</f>
        <v>0</v>
      </c>
      <c r="BB341" t="b">
        <f>IF(Metadata!O341="",FALSE,TRUE)</f>
        <v>0</v>
      </c>
      <c r="BC341" t="b">
        <f>AND(IF(Metadata!P341="",FALSE,TRUE),OR(EXACT(Metadata!P341,"air"),EXACT(Metadata!P341,"microbial mat/biofilm"),EXACT(Metadata!P341,"misc environment"),EXACT(Metadata!P341,"sediment"),EXACT(Metadata!P341,"soil"),EXACT(Metadata!P341,"wastewater/sludge"),EXACT(Metadata!P341,"water")))</f>
        <v>0</v>
      </c>
      <c r="BD341" t="b">
        <f>IF(Metadata!Q341="",FALSE,TRUE)</f>
        <v>0</v>
      </c>
      <c r="BE341" t="b">
        <f>IF(Metadata!R341="",FALSE,TRUE)</f>
        <v>0</v>
      </c>
      <c r="BF341" t="b">
        <f>OR(AND(IF(Metadata!S341="",FALSE,TRUE),OR(EXACT(Metadata!S341,"not collected"),EXACT(Metadata!S341,"not provided"),EXACT(Metadata!S341,"restricted access"))),AND(IF(Metadata!S341="",FALSE,ISNUMBER(VALUE(Metadata!S341))),Metadata!S341&gt;=-90,Metadata!S341&lt;=90))</f>
        <v>0</v>
      </c>
      <c r="BG341" t="b">
        <f>AND(IF(Metadata!T341="",FALSE,TRUE),EXACT(Metadata!T341,"Decimal degrees"))</f>
        <v>0</v>
      </c>
      <c r="BH341" t="b">
        <f>OR(AND(IF(Metadata!U341="",FALSE,TRUE),OR(EXACT(Metadata!U341,"not applicable"),EXACT(Metadata!U341,"not collected"))),IF(Metadata!U341="",FALSE,TRUE))</f>
        <v>0</v>
      </c>
      <c r="BI341" t="b">
        <f>OR(AND(IF(Metadata!V341="",FALSE,TRUE),OR(EXACT(Metadata!V341,"not collected"),EXACT(Metadata!V341,"not provided"),EXACT(Metadata!V341,"restricted access"))),AND(IF(Metadata!V341="",FALSE,ISNUMBER(VALUE(Metadata!V341))),Metadata!V341&gt;=-180,Metadata!V341&lt;=180))</f>
        <v>0</v>
      </c>
      <c r="BJ341" t="b">
        <f>AND(IF(Metadata!W341="",FALSE,TRUE),EXACT(Metadata!W341,"Decimal degrees"))</f>
        <v>0</v>
      </c>
      <c r="BK341" t="b">
        <f>IF(Metadata!X341="",FALSE,TRUE)</f>
        <v>0</v>
      </c>
      <c r="BL341" t="b">
        <f>OR(AND(IF(Metadata!Y341="",FALSE,TRUE),OR(EXACT(Metadata!Y341,"not collected"),EXACT(Metadata!Y341,"not provided"),EXACT(Metadata!Y341,"restricted access"))),AND(IF(Metadata!Y341="",FALSE,TRUE),OR(EXACT(Metadata!Y341,"TRUE"),EXACT(Metadata!Y341,"FALSE"))))</f>
        <v>0</v>
      </c>
      <c r="BM341" t="b">
        <f>OR(AND(IF(Metadata!Z341="",FALSE,TRUE),EXACT(Metadata!Z341,"not applicable")),AND(IF(Metadata!Z341="",FALSE,TRUE),OR(EXACT(Metadata!Z341,"beer"),EXACT(Metadata!Z341,"cheese"),EXACT(Metadata!Z341,"fresh water"),EXACT(Metadata!Z341,"marine sediment"),EXACT(Metadata!Z341,"sea water"),EXACT(Metadata!Z341,"sediment"),EXACT(Metadata!Z341,"soil"),EXACT(Metadata!Z341,"waste water"))))</f>
        <v>0</v>
      </c>
      <c r="BN341" t="b">
        <f>AND(IF(Metadata!AA341="",FALSE,TRUE),EXACT(Metadata!AA341,"metagenome"))</f>
        <v>0</v>
      </c>
      <c r="BO341" t="b">
        <f>AND(IF(Metadata!AB341="",FALSE,TRUE),EXACT(Metadata!AB341,"256318"))</f>
        <v>0</v>
      </c>
      <c r="BP341" t="b">
        <f>IF(Metadata!AC341="",FALSE,TRUE)</f>
        <v>0</v>
      </c>
      <c r="BQ341" t="b">
        <f>IF(Metadata!AD341="",FALSE,TRUE)</f>
        <v>0</v>
      </c>
    </row>
    <row r="342" spans="1:69" x14ac:dyDescent="0.2">
      <c r="A342" s="4" t="e">
        <f ca="1">IF(B342=" "," ",HYPERLINK(CONCATENATE("#metadata!",ADDRESS(INDEX($AJ$2:$AJ$1001,MATCH(ROWS($AH$2:AH342),$AH$2:$AH$1001,0),0),2)),INDEX($AM$2:$AM$1001,MATCH(ROWS($AH$2:AH342),$AH$2:$AH$1001,0),0)))</f>
        <v>#N/A</v>
      </c>
      <c r="B342" s="5" t="e">
        <f ca="1">IF(OR(INDEX($AI$2:$AI$1001,MATCH(ROWS($AH$2:AH342),$AH$2:$AH$1001,0),1)&gt;=100000,INDEX($AO$1005:$BQ$1005,1,MATCH(COLUMNS($AO$1006:AO1006),$AO$1006:$BQ$1006,0))&gt;=100000), " ",IF(INDEX($AO$2:$BQ$1001,MATCH(ROWS($AH$2:AH342),$AH$2:$AH$1001,0),MATCH(COLUMNS($AO$1006:AO1006),$AO$1006:$BQ$1006,0)), HYPERLINK("#",""), HYPERLINK(CONCATENATE("#Metadata!", ADDRESS(INDEX($AJ$2:$AJ$1001,MATCH(ROWS($AH$2:AH342),$AH$2:$AH$1001,0),0), INDEX($AO$1004:$BQ$1004,1,MATCH(COLUMNS($AO$1006:AO1006),$AO$1006:$BQ$1006,0)))),"Fix")))</f>
        <v>#N/A</v>
      </c>
      <c r="C342" s="5" t="e">
        <f ca="1">IF(OR(INDEX($AI$2:$AI$1001,MATCH(ROWS($AH$2:AH342),$AH$2:$AH$1001,0),1)&gt;=100000,INDEX($AO$1005:$BQ$1005,1,MATCH(COLUMNS($AO$1006:AP1006),$AO$1006:$BQ$1006,0))&gt;=100000), " ",IF(INDEX($AO$2:$BQ$1001,MATCH(ROWS($AH$2:AH342),$AH$2:$AH$1001,0),MATCH(COLUMNS($AO$1006:AP1006),$AO$1006:$BQ$1006,0)), HYPERLINK("#",""), HYPERLINK(CONCATENATE("#Metadata!", ADDRESS(INDEX($AJ$2:$AJ$1001,MATCH(ROWS($AH$2:AH342),$AH$2:$AH$1001,0),0), INDEX($AO$1004:$BQ$1004,1,MATCH(COLUMNS($AO$1006:AP1006),$AO$1006:$BQ$1006,0)))),"Fix")))</f>
        <v>#N/A</v>
      </c>
      <c r="D342" s="5" t="e">
        <f ca="1">IF(OR(INDEX($AI$2:$AI$1001,MATCH(ROWS($AH$2:AH342),$AH$2:$AH$1001,0),1)&gt;=100000,INDEX($AO$1005:$BQ$1005,1,MATCH(COLUMNS($AO$1006:AQ1006),$AO$1006:$BQ$1006,0))&gt;=100000), " ",IF(INDEX($AO$2:$BQ$1001,MATCH(ROWS($AH$2:AH342),$AH$2:$AH$1001,0),MATCH(COLUMNS($AO$1006:AQ1006),$AO$1006:$BQ$1006,0)), HYPERLINK("#",""), HYPERLINK(CONCATENATE("#Metadata!", ADDRESS(INDEX($AJ$2:$AJ$1001,MATCH(ROWS($AH$2:AH342),$AH$2:$AH$1001,0),0), INDEX($AO$1004:$BQ$1004,1,MATCH(COLUMNS($AO$1006:AQ1006),$AO$1006:$BQ$1006,0)))),"Fix")))</f>
        <v>#N/A</v>
      </c>
      <c r="E342" s="5" t="e">
        <f ca="1">IF(OR(INDEX($AI$2:$AI$1001,MATCH(ROWS($AH$2:AH342),$AH$2:$AH$1001,0),1)&gt;=100000,INDEX($AO$1005:$BQ$1005,1,MATCH(COLUMNS($AO$1006:AR1006),$AO$1006:$BQ$1006,0))&gt;=100000), " ",IF(INDEX($AO$2:$BQ$1001,MATCH(ROWS($AH$2:AH342),$AH$2:$AH$1001,0),MATCH(COLUMNS($AO$1006:AR1006),$AO$1006:$BQ$1006,0)), HYPERLINK("#",""), HYPERLINK(CONCATENATE("#Metadata!", ADDRESS(INDEX($AJ$2:$AJ$1001,MATCH(ROWS($AH$2:AH342),$AH$2:$AH$1001,0),0), INDEX($AO$1004:$BQ$1004,1,MATCH(COLUMNS($AO$1006:AR1006),$AO$1006:$BQ$1006,0)))),"Fix")))</f>
        <v>#N/A</v>
      </c>
      <c r="F342" s="5" t="e">
        <f ca="1">IF(OR(INDEX($AI$2:$AI$1001,MATCH(ROWS($AH$2:AH342),$AH$2:$AH$1001,0),1)&gt;=100000,INDEX($AO$1005:$BQ$1005,1,MATCH(COLUMNS($AO$1006:AS1006),$AO$1006:$BQ$1006,0))&gt;=100000), " ",IF(INDEX($AO$2:$BQ$1001,MATCH(ROWS($AH$2:AH342),$AH$2:$AH$1001,0),MATCH(COLUMNS($AO$1006:AS1006),$AO$1006:$BQ$1006,0)), HYPERLINK("#",""), HYPERLINK(CONCATENATE("#Metadata!", ADDRESS(INDEX($AJ$2:$AJ$1001,MATCH(ROWS($AH$2:AH342),$AH$2:$AH$1001,0),0), INDEX($AO$1004:$BQ$1004,1,MATCH(COLUMNS($AO$1006:AS1006),$AO$1006:$BQ$1006,0)))),"Fix")))</f>
        <v>#N/A</v>
      </c>
      <c r="G342" s="5" t="e">
        <f ca="1">IF(OR(INDEX($AI$2:$AI$1001,MATCH(ROWS($AH$2:AH342),$AH$2:$AH$1001,0),1)&gt;=100000,INDEX($AO$1005:$BQ$1005,1,MATCH(COLUMNS($AO$1006:AT1006),$AO$1006:$BQ$1006,0))&gt;=100000), " ",IF(INDEX($AO$2:$BQ$1001,MATCH(ROWS($AH$2:AH342),$AH$2:$AH$1001,0),MATCH(COLUMNS($AO$1006:AT1006),$AO$1006:$BQ$1006,0)), HYPERLINK("#",""), HYPERLINK(CONCATENATE("#Metadata!", ADDRESS(INDEX($AJ$2:$AJ$1001,MATCH(ROWS($AH$2:AH342),$AH$2:$AH$1001,0),0), INDEX($AO$1004:$BQ$1004,1,MATCH(COLUMNS($AO$1006:AT1006),$AO$1006:$BQ$1006,0)))),"Fix")))</f>
        <v>#N/A</v>
      </c>
      <c r="H342" s="5" t="e">
        <f ca="1">IF(OR(INDEX($AI$2:$AI$1001,MATCH(ROWS($AH$2:AH342),$AH$2:$AH$1001,0),1)&gt;=100000,INDEX($AO$1005:$BQ$1005,1,MATCH(COLUMNS($AO$1006:AU1006),$AO$1006:$BQ$1006,0))&gt;=100000), " ",IF(INDEX($AO$2:$BQ$1001,MATCH(ROWS($AH$2:AH342),$AH$2:$AH$1001,0),MATCH(COLUMNS($AO$1006:AU1006),$AO$1006:$BQ$1006,0)), HYPERLINK("#",""), HYPERLINK(CONCATENATE("#Metadata!", ADDRESS(INDEX($AJ$2:$AJ$1001,MATCH(ROWS($AH$2:AH342),$AH$2:$AH$1001,0),0), INDEX($AO$1004:$BQ$1004,1,MATCH(COLUMNS($AO$1006:AU1006),$AO$1006:$BQ$1006,0)))),"Fix")))</f>
        <v>#N/A</v>
      </c>
      <c r="I342" s="5" t="e">
        <f ca="1">IF(OR(INDEX($AI$2:$AI$1001,MATCH(ROWS($AH$2:AH342),$AH$2:$AH$1001,0),1)&gt;=100000,INDEX($AO$1005:$BQ$1005,1,MATCH(COLUMNS($AO$1006:AV1006),$AO$1006:$BQ$1006,0))&gt;=100000), " ",IF(INDEX($AO$2:$BQ$1001,MATCH(ROWS($AH$2:AH342),$AH$2:$AH$1001,0),MATCH(COLUMNS($AO$1006:AV1006),$AO$1006:$BQ$1006,0)), HYPERLINK("#",""), HYPERLINK(CONCATENATE("#Metadata!", ADDRESS(INDEX($AJ$2:$AJ$1001,MATCH(ROWS($AH$2:AH342),$AH$2:$AH$1001,0),0), INDEX($AO$1004:$BQ$1004,1,MATCH(COLUMNS($AO$1006:AV1006),$AO$1006:$BQ$1006,0)))),"Fix")))</f>
        <v>#N/A</v>
      </c>
      <c r="J342" s="5" t="e">
        <f ca="1">IF(OR(INDEX($AI$2:$AI$1001,MATCH(ROWS($AH$2:AH342),$AH$2:$AH$1001,0),1)&gt;=100000,INDEX($AO$1005:$BQ$1005,1,MATCH(COLUMNS($AO$1006:AW1006),$AO$1006:$BQ$1006,0))&gt;=100000), " ",IF(INDEX($AO$2:$BQ$1001,MATCH(ROWS($AH$2:AH342),$AH$2:$AH$1001,0),MATCH(COLUMNS($AO$1006:AW1006),$AO$1006:$BQ$1006,0)), HYPERLINK("#",""), HYPERLINK(CONCATENATE("#Metadata!", ADDRESS(INDEX($AJ$2:$AJ$1001,MATCH(ROWS($AH$2:AH342),$AH$2:$AH$1001,0),0), INDEX($AO$1004:$BQ$1004,1,MATCH(COLUMNS($AO$1006:AW1006),$AO$1006:$BQ$1006,0)))),"Fix")))</f>
        <v>#N/A</v>
      </c>
      <c r="K342" s="5" t="e">
        <f ca="1">IF(OR(INDEX($AI$2:$AI$1001,MATCH(ROWS($AH$2:AH342),$AH$2:$AH$1001,0),1)&gt;=100000,INDEX($AO$1005:$BQ$1005,1,MATCH(COLUMNS($AO$1006:AX1006),$AO$1006:$BQ$1006,0))&gt;=100000), " ",IF(INDEX($AO$2:$BQ$1001,MATCH(ROWS($AH$2:AH342),$AH$2:$AH$1001,0),MATCH(COLUMNS($AO$1006:AX1006),$AO$1006:$BQ$1006,0)), HYPERLINK("#",""), HYPERLINK(CONCATENATE("#Metadata!", ADDRESS(INDEX($AJ$2:$AJ$1001,MATCH(ROWS($AH$2:AH342),$AH$2:$AH$1001,0),0), INDEX($AO$1004:$BQ$1004,1,MATCH(COLUMNS($AO$1006:AX1006),$AO$1006:$BQ$1006,0)))),"Fix")))</f>
        <v>#N/A</v>
      </c>
      <c r="L342" s="5" t="e">
        <f ca="1">IF(OR(INDEX($AI$2:$AI$1001,MATCH(ROWS($AH$2:AH342),$AH$2:$AH$1001,0),1)&gt;=100000,INDEX($AO$1005:$BQ$1005,1,MATCH(COLUMNS($AO$1006:AY1006),$AO$1006:$BQ$1006,0))&gt;=100000), " ",IF(INDEX($AO$2:$BQ$1001,MATCH(ROWS($AH$2:AH342),$AH$2:$AH$1001,0),MATCH(COLUMNS($AO$1006:AY1006),$AO$1006:$BQ$1006,0)), HYPERLINK("#",""), HYPERLINK(CONCATENATE("#Metadata!", ADDRESS(INDEX($AJ$2:$AJ$1001,MATCH(ROWS($AH$2:AH342),$AH$2:$AH$1001,0),0), INDEX($AO$1004:$BQ$1004,1,MATCH(COLUMNS($AO$1006:AY1006),$AO$1006:$BQ$1006,0)))),"Fix")))</f>
        <v>#N/A</v>
      </c>
      <c r="M342" s="5" t="e">
        <f ca="1">IF(OR(INDEX($AI$2:$AI$1001,MATCH(ROWS($AH$2:AH342),$AH$2:$AH$1001,0),1)&gt;=100000,INDEX($AO$1005:$BQ$1005,1,MATCH(COLUMNS($AO$1006:AZ1006),$AO$1006:$BQ$1006,0))&gt;=100000), " ",IF(INDEX($AO$2:$BQ$1001,MATCH(ROWS($AH$2:AH342),$AH$2:$AH$1001,0),MATCH(COLUMNS($AO$1006:AZ1006),$AO$1006:$BQ$1006,0)), HYPERLINK("#",""), HYPERLINK(CONCATENATE("#Metadata!", ADDRESS(INDEX($AJ$2:$AJ$1001,MATCH(ROWS($AH$2:AH342),$AH$2:$AH$1001,0),0), INDEX($AO$1004:$BQ$1004,1,MATCH(COLUMNS($AO$1006:AZ1006),$AO$1006:$BQ$1006,0)))),"Fix")))</f>
        <v>#N/A</v>
      </c>
      <c r="N342" s="5" t="e">
        <f ca="1">IF(OR(INDEX($AI$2:$AI$1001,MATCH(ROWS($AH$2:AH342),$AH$2:$AH$1001,0),1)&gt;=100000,INDEX($AO$1005:$BQ$1005,1,MATCH(COLUMNS($AO$1006:BA1006),$AO$1006:$BQ$1006,0))&gt;=100000), " ",IF(INDEX($AO$2:$BQ$1001,MATCH(ROWS($AH$2:AH342),$AH$2:$AH$1001,0),MATCH(COLUMNS($AO$1006:BA1006),$AO$1006:$BQ$1006,0)), HYPERLINK("#",""), HYPERLINK(CONCATENATE("#Metadata!", ADDRESS(INDEX($AJ$2:$AJ$1001,MATCH(ROWS($AH$2:AH342),$AH$2:$AH$1001,0),0), INDEX($AO$1004:$BQ$1004,1,MATCH(COLUMNS($AO$1006:BA1006),$AO$1006:$BQ$1006,0)))),"Fix")))</f>
        <v>#N/A</v>
      </c>
      <c r="O342" s="5" t="e">
        <f ca="1">IF(OR(INDEX($AI$2:$AI$1001,MATCH(ROWS($AH$2:AH342),$AH$2:$AH$1001,0),1)&gt;=100000,INDEX($AO$1005:$BQ$1005,1,MATCH(COLUMNS($AO$1006:BB1006),$AO$1006:$BQ$1006,0))&gt;=100000), " ",IF(INDEX($AO$2:$BQ$1001,MATCH(ROWS($AH$2:AH342),$AH$2:$AH$1001,0),MATCH(COLUMNS($AO$1006:BB1006),$AO$1006:$BQ$1006,0)), HYPERLINK("#",""), HYPERLINK(CONCATENATE("#Metadata!", ADDRESS(INDEX($AJ$2:$AJ$1001,MATCH(ROWS($AH$2:AH342),$AH$2:$AH$1001,0),0), INDEX($AO$1004:$BQ$1004,1,MATCH(COLUMNS($AO$1006:BB1006),$AO$1006:$BQ$1006,0)))),"Fix")))</f>
        <v>#N/A</v>
      </c>
      <c r="P342" s="5" t="e">
        <f ca="1">IF(OR(INDEX($AI$2:$AI$1001,MATCH(ROWS($AH$2:AH342),$AH$2:$AH$1001,0),1)&gt;=100000,INDEX($AO$1005:$BQ$1005,1,MATCH(COLUMNS($AO$1006:BC1006),$AO$1006:$BQ$1006,0))&gt;=100000), " ",IF(INDEX($AO$2:$BQ$1001,MATCH(ROWS($AH$2:AH342),$AH$2:$AH$1001,0),MATCH(COLUMNS($AO$1006:BC1006),$AO$1006:$BQ$1006,0)), HYPERLINK("#",""), HYPERLINK(CONCATENATE("#Metadata!", ADDRESS(INDEX($AJ$2:$AJ$1001,MATCH(ROWS($AH$2:AH342),$AH$2:$AH$1001,0),0), INDEX($AO$1004:$BQ$1004,1,MATCH(COLUMNS($AO$1006:BC1006),$AO$1006:$BQ$1006,0)))),"Fix")))</f>
        <v>#N/A</v>
      </c>
      <c r="Q342" s="5" t="e">
        <f ca="1">IF(OR(INDEX($AI$2:$AI$1001,MATCH(ROWS($AH$2:AH342),$AH$2:$AH$1001,0),1)&gt;=100000,INDEX($AO$1005:$BQ$1005,1,MATCH(COLUMNS($AO$1006:BD1006),$AO$1006:$BQ$1006,0))&gt;=100000), " ",IF(INDEX($AO$2:$BQ$1001,MATCH(ROWS($AH$2:AH342),$AH$2:$AH$1001,0),MATCH(COLUMNS($AO$1006:BD1006),$AO$1006:$BQ$1006,0)), HYPERLINK("#",""), HYPERLINK(CONCATENATE("#Metadata!", ADDRESS(INDEX($AJ$2:$AJ$1001,MATCH(ROWS($AH$2:AH342),$AH$2:$AH$1001,0),0), INDEX($AO$1004:$BQ$1004,1,MATCH(COLUMNS($AO$1006:BD1006),$AO$1006:$BQ$1006,0)))),"Fix")))</f>
        <v>#N/A</v>
      </c>
      <c r="R342" s="5" t="e">
        <f ca="1">IF(OR(INDEX($AI$2:$AI$1001,MATCH(ROWS($AH$2:AH342),$AH$2:$AH$1001,0),1)&gt;=100000,INDEX($AO$1005:$BQ$1005,1,MATCH(COLUMNS($AO$1006:BE1006),$AO$1006:$BQ$1006,0))&gt;=100000), " ",IF(INDEX($AO$2:$BQ$1001,MATCH(ROWS($AH$2:AH342),$AH$2:$AH$1001,0),MATCH(COLUMNS($AO$1006:BE1006),$AO$1006:$BQ$1006,0)), HYPERLINK("#",""), HYPERLINK(CONCATENATE("#Metadata!", ADDRESS(INDEX($AJ$2:$AJ$1001,MATCH(ROWS($AH$2:AH342),$AH$2:$AH$1001,0),0), INDEX($AO$1004:$BQ$1004,1,MATCH(COLUMNS($AO$1006:BE1006),$AO$1006:$BQ$1006,0)))),"Fix")))</f>
        <v>#N/A</v>
      </c>
      <c r="S342" s="5" t="e">
        <f ca="1">IF(OR(INDEX($AI$2:$AI$1001,MATCH(ROWS($AH$2:AH342),$AH$2:$AH$1001,0),1)&gt;=100000,INDEX($AO$1005:$BQ$1005,1,MATCH(COLUMNS($AO$1006:BF1006),$AO$1006:$BQ$1006,0))&gt;=100000), " ",IF(INDEX($AO$2:$BQ$1001,MATCH(ROWS($AH$2:AH342),$AH$2:$AH$1001,0),MATCH(COLUMNS($AO$1006:BF1006),$AO$1006:$BQ$1006,0)), HYPERLINK("#",""), HYPERLINK(CONCATENATE("#Metadata!", ADDRESS(INDEX($AJ$2:$AJ$1001,MATCH(ROWS($AH$2:AH342),$AH$2:$AH$1001,0),0), INDEX($AO$1004:$BQ$1004,1,MATCH(COLUMNS($AO$1006:BF1006),$AO$1006:$BQ$1006,0)))),"Fix")))</f>
        <v>#N/A</v>
      </c>
      <c r="T342" s="5" t="e">
        <f ca="1">IF(OR(INDEX($AI$2:$AI$1001,MATCH(ROWS($AH$2:AH342),$AH$2:$AH$1001,0),1)&gt;=100000,INDEX($AO$1005:$BQ$1005,1,MATCH(COLUMNS($AO$1006:BG1006),$AO$1006:$BQ$1006,0))&gt;=100000), " ",IF(INDEX($AO$2:$BQ$1001,MATCH(ROWS($AH$2:AH342),$AH$2:$AH$1001,0),MATCH(COLUMNS($AO$1006:BG1006),$AO$1006:$BQ$1006,0)), HYPERLINK("#",""), HYPERLINK(CONCATENATE("#Metadata!", ADDRESS(INDEX($AJ$2:$AJ$1001,MATCH(ROWS($AH$2:AH342),$AH$2:$AH$1001,0),0), INDEX($AO$1004:$BQ$1004,1,MATCH(COLUMNS($AO$1006:BG1006),$AO$1006:$BQ$1006,0)))),"Fix")))</f>
        <v>#N/A</v>
      </c>
      <c r="U342" s="5" t="e">
        <f ca="1">IF(OR(INDEX($AI$2:$AI$1001,MATCH(ROWS($AH$2:AH342),$AH$2:$AH$1001,0),1)&gt;=100000,INDEX($AO$1005:$BQ$1005,1,MATCH(COLUMNS($AO$1006:BH1006),$AO$1006:$BQ$1006,0))&gt;=100000), " ",IF(INDEX($AO$2:$BQ$1001,MATCH(ROWS($AH$2:AH342),$AH$2:$AH$1001,0),MATCH(COLUMNS($AO$1006:BH1006),$AO$1006:$BQ$1006,0)), HYPERLINK("#",""), HYPERLINK(CONCATENATE("#Metadata!", ADDRESS(INDEX($AJ$2:$AJ$1001,MATCH(ROWS($AH$2:AH342),$AH$2:$AH$1001,0),0), INDEX($AO$1004:$BQ$1004,1,MATCH(COLUMNS($AO$1006:BH1006),$AO$1006:$BQ$1006,0)))),"Fix")))</f>
        <v>#N/A</v>
      </c>
      <c r="V342" s="5" t="e">
        <f ca="1">IF(OR(INDEX($AI$2:$AI$1001,MATCH(ROWS($AH$2:AH342),$AH$2:$AH$1001,0),1)&gt;=100000,INDEX($AO$1005:$BQ$1005,1,MATCH(COLUMNS($AO$1006:BI1006),$AO$1006:$BQ$1006,0))&gt;=100000), " ",IF(INDEX($AO$2:$BQ$1001,MATCH(ROWS($AH$2:AH342),$AH$2:$AH$1001,0),MATCH(COLUMNS($AO$1006:BI1006),$AO$1006:$BQ$1006,0)), HYPERLINK("#",""), HYPERLINK(CONCATENATE("#Metadata!", ADDRESS(INDEX($AJ$2:$AJ$1001,MATCH(ROWS($AH$2:AH342),$AH$2:$AH$1001,0),0), INDEX($AO$1004:$BQ$1004,1,MATCH(COLUMNS($AO$1006:BI1006),$AO$1006:$BQ$1006,0)))),"Fix")))</f>
        <v>#N/A</v>
      </c>
      <c r="W342" s="5" t="e">
        <f ca="1">IF(OR(INDEX($AI$2:$AI$1001,MATCH(ROWS($AH$2:AH342),$AH$2:$AH$1001,0),1)&gt;=100000,INDEX($AO$1005:$BQ$1005,1,MATCH(COLUMNS($AO$1006:BJ1006),$AO$1006:$BQ$1006,0))&gt;=100000), " ",IF(INDEX($AO$2:$BQ$1001,MATCH(ROWS($AH$2:AH342),$AH$2:$AH$1001,0),MATCH(COLUMNS($AO$1006:BJ1006),$AO$1006:$BQ$1006,0)), HYPERLINK("#",""), HYPERLINK(CONCATENATE("#Metadata!", ADDRESS(INDEX($AJ$2:$AJ$1001,MATCH(ROWS($AH$2:AH342),$AH$2:$AH$1001,0),0), INDEX($AO$1004:$BQ$1004,1,MATCH(COLUMNS($AO$1006:BJ1006),$AO$1006:$BQ$1006,0)))),"Fix")))</f>
        <v>#N/A</v>
      </c>
      <c r="X342" s="5" t="e">
        <f ca="1">IF(OR(INDEX($AI$2:$AI$1001,MATCH(ROWS($AH$2:AH342),$AH$2:$AH$1001,0),1)&gt;=100000,INDEX($AO$1005:$BQ$1005,1,MATCH(COLUMNS($AO$1006:BK1006),$AO$1006:$BQ$1006,0))&gt;=100000), " ",IF(INDEX($AO$2:$BQ$1001,MATCH(ROWS($AH$2:AH342),$AH$2:$AH$1001,0),MATCH(COLUMNS($AO$1006:BK1006),$AO$1006:$BQ$1006,0)), HYPERLINK("#",""), HYPERLINK(CONCATENATE("#Metadata!", ADDRESS(INDEX($AJ$2:$AJ$1001,MATCH(ROWS($AH$2:AH342),$AH$2:$AH$1001,0),0), INDEX($AO$1004:$BQ$1004,1,MATCH(COLUMNS($AO$1006:BK1006),$AO$1006:$BQ$1006,0)))),"Fix")))</f>
        <v>#N/A</v>
      </c>
      <c r="Y342" s="5" t="e">
        <f ca="1">IF(OR(INDEX($AI$2:$AI$1001,MATCH(ROWS($AH$2:AH342),$AH$2:$AH$1001,0),1)&gt;=100000,INDEX($AO$1005:$BQ$1005,1,MATCH(COLUMNS($AO$1006:BL1006),$AO$1006:$BQ$1006,0))&gt;=100000), " ",IF(INDEX($AO$2:$BQ$1001,MATCH(ROWS($AH$2:AH342),$AH$2:$AH$1001,0),MATCH(COLUMNS($AO$1006:BL1006),$AO$1006:$BQ$1006,0)), HYPERLINK("#",""), HYPERLINK(CONCATENATE("#Metadata!", ADDRESS(INDEX($AJ$2:$AJ$1001,MATCH(ROWS($AH$2:AH342),$AH$2:$AH$1001,0),0), INDEX($AO$1004:$BQ$1004,1,MATCH(COLUMNS($AO$1006:BL1006),$AO$1006:$BQ$1006,0)))),"Fix")))</f>
        <v>#N/A</v>
      </c>
      <c r="Z342" s="5" t="e">
        <f ca="1">IF(OR(INDEX($AI$2:$AI$1001,MATCH(ROWS($AH$2:AH342),$AH$2:$AH$1001,0),1)&gt;=100000,INDEX($AO$1005:$BQ$1005,1,MATCH(COLUMNS($AO$1006:BM1006),$AO$1006:$BQ$1006,0))&gt;=100000), " ",IF(INDEX($AO$2:$BQ$1001,MATCH(ROWS($AH$2:AH342),$AH$2:$AH$1001,0),MATCH(COLUMNS($AO$1006:BM1006),$AO$1006:$BQ$1006,0)), HYPERLINK("#",""), HYPERLINK(CONCATENATE("#Metadata!", ADDRESS(INDEX($AJ$2:$AJ$1001,MATCH(ROWS($AH$2:AH342),$AH$2:$AH$1001,0),0), INDEX($AO$1004:$BQ$1004,1,MATCH(COLUMNS($AO$1006:BM1006),$AO$1006:$BQ$1006,0)))),"Fix")))</f>
        <v>#N/A</v>
      </c>
      <c r="AA342" s="5" t="e">
        <f ca="1">IF(OR(INDEX($AI$2:$AI$1001,MATCH(ROWS($AH$2:AH342),$AH$2:$AH$1001,0),1)&gt;=100000,INDEX($AO$1005:$BQ$1005,1,MATCH(COLUMNS($AO$1006:BN1006),$AO$1006:$BQ$1006,0))&gt;=100000), " ",IF(INDEX($AO$2:$BQ$1001,MATCH(ROWS($AH$2:AH342),$AH$2:$AH$1001,0),MATCH(COLUMNS($AO$1006:BN1006),$AO$1006:$BQ$1006,0)), HYPERLINK("#",""), HYPERLINK(CONCATENATE("#Metadata!", ADDRESS(INDEX($AJ$2:$AJ$1001,MATCH(ROWS($AH$2:AH342),$AH$2:$AH$1001,0),0), INDEX($AO$1004:$BQ$1004,1,MATCH(COLUMNS($AO$1006:BN1006),$AO$1006:$BQ$1006,0)))),"Fix")))</f>
        <v>#N/A</v>
      </c>
      <c r="AB342" s="5" t="e">
        <f ca="1">IF(OR(INDEX($AI$2:$AI$1001,MATCH(ROWS($AH$2:AH342),$AH$2:$AH$1001,0),1)&gt;=100000,INDEX($AO$1005:$BQ$1005,1,MATCH(COLUMNS($AO$1006:BO1006),$AO$1006:$BQ$1006,0))&gt;=100000), " ",IF(INDEX($AO$2:$BQ$1001,MATCH(ROWS($AH$2:AH342),$AH$2:$AH$1001,0),MATCH(COLUMNS($AO$1006:BO1006),$AO$1006:$BQ$1006,0)), HYPERLINK("#",""), HYPERLINK(CONCATENATE("#Metadata!", ADDRESS(INDEX($AJ$2:$AJ$1001,MATCH(ROWS($AH$2:AH342),$AH$2:$AH$1001,0),0), INDEX($AO$1004:$BQ$1004,1,MATCH(COLUMNS($AO$1006:BO1006),$AO$1006:$BQ$1006,0)))),"Fix")))</f>
        <v>#N/A</v>
      </c>
      <c r="AC342" s="5" t="e">
        <f ca="1">IF(OR(INDEX($AI$2:$AI$1001,MATCH(ROWS($AH$2:AH342),$AH$2:$AH$1001,0),1)&gt;=100000,INDEX($AO$1005:$BQ$1005,1,MATCH(COLUMNS($AO$1006:BP1006),$AO$1006:$BQ$1006,0))&gt;=100000), " ",IF(INDEX($AO$2:$BQ$1001,MATCH(ROWS($AH$2:AH342),$AH$2:$AH$1001,0),MATCH(COLUMNS($AO$1006:BP1006),$AO$1006:$BQ$1006,0)), HYPERLINK("#",""), HYPERLINK(CONCATENATE("#Metadata!", ADDRESS(INDEX($AJ$2:$AJ$1001,MATCH(ROWS($AH$2:AH342),$AH$2:$AH$1001,0),0), INDEX($AO$1004:$BQ$1004,1,MATCH(COLUMNS($AO$1006:BP1006),$AO$1006:$BQ$1006,0)))),"Fix")))</f>
        <v>#N/A</v>
      </c>
      <c r="AD342" s="5" t="e">
        <f ca="1">IF(OR(INDEX($AI$2:$AI$1001,MATCH(ROWS($AH$2:AH342),$AH$2:$AH$1001,0),1)&gt;=100000,INDEX($AO$1005:$BQ$1005,1,MATCH(COLUMNS($AO$1006:BQ1006),$AO$1006:$BQ$1006,0))&gt;=100000), " ",IF(INDEX($AO$2:$BQ$1001,MATCH(ROWS($AH$2:AH342),$AH$2:$AH$1001,0),MATCH(COLUMNS($AO$1006:BQ1006),$AO$1006:$BQ$1006,0)), HYPERLINK("#",""), HYPERLINK(CONCATENATE("#Metadata!", ADDRESS(INDEX($AJ$2:$AJ$1001,MATCH(ROWS($AH$2:AH342),$AH$2:$AH$1001,0),0), INDEX($AO$1004:$BQ$1004,1,MATCH(COLUMNS($AO$1006:BQ1006),$AO$1006:$BQ$1006,0)))),"Fix")))</f>
        <v>#REF!</v>
      </c>
      <c r="AH342">
        <f ca="1"/>
        <v>339</v>
      </c>
      <c r="AI342">
        <v>100342</v>
      </c>
      <c r="AJ342">
        <v>342</v>
      </c>
      <c r="AK342" t="b">
        <f t="shared" si="5"/>
        <v>1</v>
      </c>
      <c r="AL342" t="b">
        <f>COUNTBLANK(Metadata!B342:AD342)=COLUMNS(Metadata!B342:AD342)</f>
        <v>1</v>
      </c>
      <c r="AM342" t="str">
        <v/>
      </c>
      <c r="AO342" t="b">
        <f ca="1">AND(IF(Metadata!B342="",FALSE,TRUE),COUNTIF(Metadata!B:B, Metadata!B342) = 1,NOT(ISERROR(SUMPRODUCT(SEARCH(MID(Metadata!B342,ROW(INDIRECT("1:"&amp;LEN(Metadata!B342))), 1),"0123456789abcdefghijklmnopqrstuvwxyzABCDEFGHIJKLMNOPQRSTUVWXYZ.")))))</f>
        <v>0</v>
      </c>
      <c r="AP342" t="b">
        <f>IF(Metadata!C342="",FALSE,TRUE)</f>
        <v>0</v>
      </c>
      <c r="AQ342" t="b">
        <f>IF(Metadata!D342="",FALSE,TRUE)</f>
        <v>0</v>
      </c>
      <c r="AR342" t="b">
        <f ca="1">OR(AND(IF(Metadata!E342="",FALSE,TRUE),OR(EXACT(Metadata!E342,"not collected"),EXACT(Metadata!E342,"not provided"),EXACT(Metadata!E342,"restricted access"))),AND(IF(Metadata!E342="",FALSE,TRUE),AND(AND(IFERROR(INT(LEFT(Metadata!E342,4))&gt;1900,FALSE),IFERROR(INT(LEFT(Metadata!E342,4))&lt;=YEAR(NOW()),FALSE)), OR(MID(Metadata!E342,5,1)="", AND(AND(MID(Metadata!E342,5,1)="-",IFERROR(INT(MID(Metadata!E342,6,1))&gt;=0,FALSE),IFERROR(INT(MID(Metadata!E342,6,1))&lt;=1,FALSE),NOT(MID(Metadata!E342,7,1)=""),IFERROR(INT(MID(Metadata!E342,6,2))&gt;=1,FALSE),IFERROR(INT(MID(Metadata!E342,6,2))&lt;=12,FALSE)), OR(MID(Metadata!E342,8,1)="", AND(AND(MID(Metadata!E342,8,1)="-",IFERROR(INT(MID(Metadata!E342,9,1))&gt;=0,FALSE),IFERROR(INT(MID(Metadata!E342,9,1))&lt;=3,FALSE),NOT(MID(Metadata!E342,10,1)=""),IFERROR(INT(MID(Metadata!E342,9,2))&gt;=1,FALSE),IFERROR(INT(MID(Metadata!E342,9,2))&lt;=31,FALSE)), OR(MID(Metadata!E342,11,1)="", AND(AND(MID(Metadata!E342,11,1)=" ",IFERROR(INT(MID(Metadata!E342,12,1))&gt;=0,FALSE),IFERROR(INT(MID(Metadata!E342,12,1))&lt;=2,FALSE),NOT(MID(Metadata!E342,13,1)=""),IFERROR(INT(MID(Metadata!E342,12,2))&gt;=0,FALSE),IFERROR(INT(MID(Metadata!E342,12,2))&lt;=23,FALSE)), OR(MID(Metadata!E342,14,1)="", AND(AND(MID(Metadata!E342,14,1)=":",IFERROR(INT(MID(Metadata!E342,15,1))&gt;=0,FALSE),IFERROR(INT(MID(Metadata!E342,15,1))&lt;=5,FALSE),NOT(MID(Metadata!E342,16,1)=""),IFERROR(INT(MID(Metadata!E342,15,2))&gt;=0,FALSE),IFERROR(INT(MID(Metadata!E342,15,2))&lt;=59,FALSE)), OR(MID(Metadata!E342,17,1)="", AND(AND(MID(Metadata!E342,17,1)=":",IFERROR(INT(MID(Metadata!E342,18,1))&gt;=0,FALSE),IFERROR(INT(MID(Metadata!E342,18,1))&lt;=5,FALSE),NOT(MID(Metadata!E342,19,1)=""),IFERROR(INT(MID(Metadata!E342,18,2))&gt;=0,FALSE),IFERROR(INT(MID(Metadata!E342,18,2))&lt;=59,FALSE)), LEN(Metadata!E342)&lt;=19)))))))))))))</f>
        <v>0</v>
      </c>
      <c r="AS342" t="b">
        <f>IF(Metadata!F342="",FALSE,TRUE)</f>
        <v>0</v>
      </c>
      <c r="AT342" t="b">
        <f>OR(AND(IF(Metadata!G342="",FALSE,TRUE),OR(EXACT(Metadata!G342,"not collected"),EXACT(Metadata!G342,"not provided"))),AND(IF(Metadata!G342="",FALSE,TRUE),OR(EXACT(Metadata!G342,"TRUE"),EXACT(Metadata!G342,"FALSE"))))</f>
        <v>0</v>
      </c>
      <c r="AU342" t="b">
        <f>OR(AND(IF(Metadata!H342="",FALSE,TRUE),OR(EXACT(Metadata!H342,"not collected"),EXACT(Metadata!H342,"not provided"),EXACT(Metadata!H342,"restricted access"))),AND(IF(Metadata!H342="",FALSE,ISNUMBER(VALUE(Metadata!H342))),Metadata!H342&gt;=-413))</f>
        <v>0</v>
      </c>
      <c r="AV342" t="b">
        <f>AND(IF(Metadata!I342="",FALSE,TRUE),EXACT(Metadata!I342,"meters"))</f>
        <v>0</v>
      </c>
      <c r="AW342" t="b">
        <f>AND(IF(Metadata!J342="",FALSE,TRUE),EXACT(Metadata!J342,"free-living"))</f>
        <v>0</v>
      </c>
      <c r="AX342" t="b">
        <f>AND(IF(Metadata!K342="",FALSE,TRUE),OR(EXACT(Metadata!K342,"saline"),EXACT(Metadata!K342,"non-saline")))</f>
        <v>0</v>
      </c>
      <c r="AY342" t="b">
        <f>AND(IF(Metadata!L342="",FALSE,TRUE),OR(EXACT(Metadata!L342,"sub-surface (non-saline)"),EXACT(Metadata!L342,"surface (non-saline)"),EXACT(Metadata!L342,"water (non-saline)"),EXACT(Metadata!L342,"soil (non-saline)"),EXACT(Metadata!L342,"aerosol (non-saline)"),EXACT(Metadata!L342,"sediment (non-saline)"),EXACT(Metadata!L342,"surface (saline)"),EXACT(Metadata!L342,"water (saline)"),EXACT(Metadata!L342,"hypersaline (saline)"),EXACT(Metadata!L342,"aerosol (saline)"),EXACT(Metadata!L342,"sediment (saline)")))</f>
        <v>0</v>
      </c>
      <c r="AZ342" t="b">
        <f>IF(Metadata!M342="",FALSE,TRUE)</f>
        <v>0</v>
      </c>
      <c r="BA342" t="b">
        <f>IF(Metadata!N342="",FALSE,TRUE)</f>
        <v>0</v>
      </c>
      <c r="BB342" t="b">
        <f>IF(Metadata!O342="",FALSE,TRUE)</f>
        <v>0</v>
      </c>
      <c r="BC342" t="b">
        <f>AND(IF(Metadata!P342="",FALSE,TRUE),OR(EXACT(Metadata!P342,"air"),EXACT(Metadata!P342,"microbial mat/biofilm"),EXACT(Metadata!P342,"misc environment"),EXACT(Metadata!P342,"sediment"),EXACT(Metadata!P342,"soil"),EXACT(Metadata!P342,"wastewater/sludge"),EXACT(Metadata!P342,"water")))</f>
        <v>0</v>
      </c>
      <c r="BD342" t="b">
        <f>IF(Metadata!Q342="",FALSE,TRUE)</f>
        <v>0</v>
      </c>
      <c r="BE342" t="b">
        <f>IF(Metadata!R342="",FALSE,TRUE)</f>
        <v>0</v>
      </c>
      <c r="BF342" t="b">
        <f>OR(AND(IF(Metadata!S342="",FALSE,TRUE),OR(EXACT(Metadata!S342,"not collected"),EXACT(Metadata!S342,"not provided"),EXACT(Metadata!S342,"restricted access"))),AND(IF(Metadata!S342="",FALSE,ISNUMBER(VALUE(Metadata!S342))),Metadata!S342&gt;=-90,Metadata!S342&lt;=90))</f>
        <v>0</v>
      </c>
      <c r="BG342" t="b">
        <f>AND(IF(Metadata!T342="",FALSE,TRUE),EXACT(Metadata!T342,"Decimal degrees"))</f>
        <v>0</v>
      </c>
      <c r="BH342" t="b">
        <f>OR(AND(IF(Metadata!U342="",FALSE,TRUE),OR(EXACT(Metadata!U342,"not applicable"),EXACT(Metadata!U342,"not collected"))),IF(Metadata!U342="",FALSE,TRUE))</f>
        <v>0</v>
      </c>
      <c r="BI342" t="b">
        <f>OR(AND(IF(Metadata!V342="",FALSE,TRUE),OR(EXACT(Metadata!V342,"not collected"),EXACT(Metadata!V342,"not provided"),EXACT(Metadata!V342,"restricted access"))),AND(IF(Metadata!V342="",FALSE,ISNUMBER(VALUE(Metadata!V342))),Metadata!V342&gt;=-180,Metadata!V342&lt;=180))</f>
        <v>0</v>
      </c>
      <c r="BJ342" t="b">
        <f>AND(IF(Metadata!W342="",FALSE,TRUE),EXACT(Metadata!W342,"Decimal degrees"))</f>
        <v>0</v>
      </c>
      <c r="BK342" t="b">
        <f>IF(Metadata!X342="",FALSE,TRUE)</f>
        <v>0</v>
      </c>
      <c r="BL342" t="b">
        <f>OR(AND(IF(Metadata!Y342="",FALSE,TRUE),OR(EXACT(Metadata!Y342,"not collected"),EXACT(Metadata!Y342,"not provided"),EXACT(Metadata!Y342,"restricted access"))),AND(IF(Metadata!Y342="",FALSE,TRUE),OR(EXACT(Metadata!Y342,"TRUE"),EXACT(Metadata!Y342,"FALSE"))))</f>
        <v>0</v>
      </c>
      <c r="BM342" t="b">
        <f>OR(AND(IF(Metadata!Z342="",FALSE,TRUE),EXACT(Metadata!Z342,"not applicable")),AND(IF(Metadata!Z342="",FALSE,TRUE),OR(EXACT(Metadata!Z342,"beer"),EXACT(Metadata!Z342,"cheese"),EXACT(Metadata!Z342,"fresh water"),EXACT(Metadata!Z342,"marine sediment"),EXACT(Metadata!Z342,"sea water"),EXACT(Metadata!Z342,"sediment"),EXACT(Metadata!Z342,"soil"),EXACT(Metadata!Z342,"waste water"))))</f>
        <v>0</v>
      </c>
      <c r="BN342" t="b">
        <f>AND(IF(Metadata!AA342="",FALSE,TRUE),EXACT(Metadata!AA342,"metagenome"))</f>
        <v>0</v>
      </c>
      <c r="BO342" t="b">
        <f>AND(IF(Metadata!AB342="",FALSE,TRUE),EXACT(Metadata!AB342,"256318"))</f>
        <v>0</v>
      </c>
      <c r="BP342" t="b">
        <f>IF(Metadata!AC342="",FALSE,TRUE)</f>
        <v>0</v>
      </c>
      <c r="BQ342" t="b">
        <f>IF(Metadata!AD342="",FALSE,TRUE)</f>
        <v>0</v>
      </c>
    </row>
    <row r="343" spans="1:69" x14ac:dyDescent="0.2">
      <c r="A343" s="4" t="e">
        <f ca="1">IF(B343=" "," ",HYPERLINK(CONCATENATE("#metadata!",ADDRESS(INDEX($AJ$2:$AJ$1001,MATCH(ROWS($AH$2:AH343),$AH$2:$AH$1001,0),0),2)),INDEX($AM$2:$AM$1001,MATCH(ROWS($AH$2:AH343),$AH$2:$AH$1001,0),0)))</f>
        <v>#N/A</v>
      </c>
      <c r="B343" s="5" t="e">
        <f ca="1">IF(OR(INDEX($AI$2:$AI$1001,MATCH(ROWS($AH$2:AH343),$AH$2:$AH$1001,0),1)&gt;=100000,INDEX($AO$1005:$BQ$1005,1,MATCH(COLUMNS($AO$1006:AO1006),$AO$1006:$BQ$1006,0))&gt;=100000), " ",IF(INDEX($AO$2:$BQ$1001,MATCH(ROWS($AH$2:AH343),$AH$2:$AH$1001,0),MATCH(COLUMNS($AO$1006:AO1006),$AO$1006:$BQ$1006,0)), HYPERLINK("#",""), HYPERLINK(CONCATENATE("#Metadata!", ADDRESS(INDEX($AJ$2:$AJ$1001,MATCH(ROWS($AH$2:AH343),$AH$2:$AH$1001,0),0), INDEX($AO$1004:$BQ$1004,1,MATCH(COLUMNS($AO$1006:AO1006),$AO$1006:$BQ$1006,0)))),"Fix")))</f>
        <v>#N/A</v>
      </c>
      <c r="C343" s="5" t="e">
        <f ca="1">IF(OR(INDEX($AI$2:$AI$1001,MATCH(ROWS($AH$2:AH343),$AH$2:$AH$1001,0),1)&gt;=100000,INDEX($AO$1005:$BQ$1005,1,MATCH(COLUMNS($AO$1006:AP1006),$AO$1006:$BQ$1006,0))&gt;=100000), " ",IF(INDEX($AO$2:$BQ$1001,MATCH(ROWS($AH$2:AH343),$AH$2:$AH$1001,0),MATCH(COLUMNS($AO$1006:AP1006),$AO$1006:$BQ$1006,0)), HYPERLINK("#",""), HYPERLINK(CONCATENATE("#Metadata!", ADDRESS(INDEX($AJ$2:$AJ$1001,MATCH(ROWS($AH$2:AH343),$AH$2:$AH$1001,0),0), INDEX($AO$1004:$BQ$1004,1,MATCH(COLUMNS($AO$1006:AP1006),$AO$1006:$BQ$1006,0)))),"Fix")))</f>
        <v>#N/A</v>
      </c>
      <c r="D343" s="5" t="e">
        <f ca="1">IF(OR(INDEX($AI$2:$AI$1001,MATCH(ROWS($AH$2:AH343),$AH$2:$AH$1001,0),1)&gt;=100000,INDEX($AO$1005:$BQ$1005,1,MATCH(COLUMNS($AO$1006:AQ1006),$AO$1006:$BQ$1006,0))&gt;=100000), " ",IF(INDEX($AO$2:$BQ$1001,MATCH(ROWS($AH$2:AH343),$AH$2:$AH$1001,0),MATCH(COLUMNS($AO$1006:AQ1006),$AO$1006:$BQ$1006,0)), HYPERLINK("#",""), HYPERLINK(CONCATENATE("#Metadata!", ADDRESS(INDEX($AJ$2:$AJ$1001,MATCH(ROWS($AH$2:AH343),$AH$2:$AH$1001,0),0), INDEX($AO$1004:$BQ$1004,1,MATCH(COLUMNS($AO$1006:AQ1006),$AO$1006:$BQ$1006,0)))),"Fix")))</f>
        <v>#N/A</v>
      </c>
      <c r="E343" s="5" t="e">
        <f ca="1">IF(OR(INDEX($AI$2:$AI$1001,MATCH(ROWS($AH$2:AH343),$AH$2:$AH$1001,0),1)&gt;=100000,INDEX($AO$1005:$BQ$1005,1,MATCH(COLUMNS($AO$1006:AR1006),$AO$1006:$BQ$1006,0))&gt;=100000), " ",IF(INDEX($AO$2:$BQ$1001,MATCH(ROWS($AH$2:AH343),$AH$2:$AH$1001,0),MATCH(COLUMNS($AO$1006:AR1006),$AO$1006:$BQ$1006,0)), HYPERLINK("#",""), HYPERLINK(CONCATENATE("#Metadata!", ADDRESS(INDEX($AJ$2:$AJ$1001,MATCH(ROWS($AH$2:AH343),$AH$2:$AH$1001,0),0), INDEX($AO$1004:$BQ$1004,1,MATCH(COLUMNS($AO$1006:AR1006),$AO$1006:$BQ$1006,0)))),"Fix")))</f>
        <v>#N/A</v>
      </c>
      <c r="F343" s="5" t="e">
        <f ca="1">IF(OR(INDEX($AI$2:$AI$1001,MATCH(ROWS($AH$2:AH343),$AH$2:$AH$1001,0),1)&gt;=100000,INDEX($AO$1005:$BQ$1005,1,MATCH(COLUMNS($AO$1006:AS1006),$AO$1006:$BQ$1006,0))&gt;=100000), " ",IF(INDEX($AO$2:$BQ$1001,MATCH(ROWS($AH$2:AH343),$AH$2:$AH$1001,0),MATCH(COLUMNS($AO$1006:AS1006),$AO$1006:$BQ$1006,0)), HYPERLINK("#",""), HYPERLINK(CONCATENATE("#Metadata!", ADDRESS(INDEX($AJ$2:$AJ$1001,MATCH(ROWS($AH$2:AH343),$AH$2:$AH$1001,0),0), INDEX($AO$1004:$BQ$1004,1,MATCH(COLUMNS($AO$1006:AS1006),$AO$1006:$BQ$1006,0)))),"Fix")))</f>
        <v>#N/A</v>
      </c>
      <c r="G343" s="5" t="e">
        <f ca="1">IF(OR(INDEX($AI$2:$AI$1001,MATCH(ROWS($AH$2:AH343),$AH$2:$AH$1001,0),1)&gt;=100000,INDEX($AO$1005:$BQ$1005,1,MATCH(COLUMNS($AO$1006:AT1006),$AO$1006:$BQ$1006,0))&gt;=100000), " ",IF(INDEX($AO$2:$BQ$1001,MATCH(ROWS($AH$2:AH343),$AH$2:$AH$1001,0),MATCH(COLUMNS($AO$1006:AT1006),$AO$1006:$BQ$1006,0)), HYPERLINK("#",""), HYPERLINK(CONCATENATE("#Metadata!", ADDRESS(INDEX($AJ$2:$AJ$1001,MATCH(ROWS($AH$2:AH343),$AH$2:$AH$1001,0),0), INDEX($AO$1004:$BQ$1004,1,MATCH(COLUMNS($AO$1006:AT1006),$AO$1006:$BQ$1006,0)))),"Fix")))</f>
        <v>#N/A</v>
      </c>
      <c r="H343" s="5" t="e">
        <f ca="1">IF(OR(INDEX($AI$2:$AI$1001,MATCH(ROWS($AH$2:AH343),$AH$2:$AH$1001,0),1)&gt;=100000,INDEX($AO$1005:$BQ$1005,1,MATCH(COLUMNS($AO$1006:AU1006),$AO$1006:$BQ$1006,0))&gt;=100000), " ",IF(INDEX($AO$2:$BQ$1001,MATCH(ROWS($AH$2:AH343),$AH$2:$AH$1001,0),MATCH(COLUMNS($AO$1006:AU1006),$AO$1006:$BQ$1006,0)), HYPERLINK("#",""), HYPERLINK(CONCATENATE("#Metadata!", ADDRESS(INDEX($AJ$2:$AJ$1001,MATCH(ROWS($AH$2:AH343),$AH$2:$AH$1001,0),0), INDEX($AO$1004:$BQ$1004,1,MATCH(COLUMNS($AO$1006:AU1006),$AO$1006:$BQ$1006,0)))),"Fix")))</f>
        <v>#N/A</v>
      </c>
      <c r="I343" s="5" t="e">
        <f ca="1">IF(OR(INDEX($AI$2:$AI$1001,MATCH(ROWS($AH$2:AH343),$AH$2:$AH$1001,0),1)&gt;=100000,INDEX($AO$1005:$BQ$1005,1,MATCH(COLUMNS($AO$1006:AV1006),$AO$1006:$BQ$1006,0))&gt;=100000), " ",IF(INDEX($AO$2:$BQ$1001,MATCH(ROWS($AH$2:AH343),$AH$2:$AH$1001,0),MATCH(COLUMNS($AO$1006:AV1006),$AO$1006:$BQ$1006,0)), HYPERLINK("#",""), HYPERLINK(CONCATENATE("#Metadata!", ADDRESS(INDEX($AJ$2:$AJ$1001,MATCH(ROWS($AH$2:AH343),$AH$2:$AH$1001,0),0), INDEX($AO$1004:$BQ$1004,1,MATCH(COLUMNS($AO$1006:AV1006),$AO$1006:$BQ$1006,0)))),"Fix")))</f>
        <v>#N/A</v>
      </c>
      <c r="J343" s="5" t="e">
        <f ca="1">IF(OR(INDEX($AI$2:$AI$1001,MATCH(ROWS($AH$2:AH343),$AH$2:$AH$1001,0),1)&gt;=100000,INDEX($AO$1005:$BQ$1005,1,MATCH(COLUMNS($AO$1006:AW1006),$AO$1006:$BQ$1006,0))&gt;=100000), " ",IF(INDEX($AO$2:$BQ$1001,MATCH(ROWS($AH$2:AH343),$AH$2:$AH$1001,0),MATCH(COLUMNS($AO$1006:AW1006),$AO$1006:$BQ$1006,0)), HYPERLINK("#",""), HYPERLINK(CONCATENATE("#Metadata!", ADDRESS(INDEX($AJ$2:$AJ$1001,MATCH(ROWS($AH$2:AH343),$AH$2:$AH$1001,0),0), INDEX($AO$1004:$BQ$1004,1,MATCH(COLUMNS($AO$1006:AW1006),$AO$1006:$BQ$1006,0)))),"Fix")))</f>
        <v>#N/A</v>
      </c>
      <c r="K343" s="5" t="e">
        <f ca="1">IF(OR(INDEX($AI$2:$AI$1001,MATCH(ROWS($AH$2:AH343),$AH$2:$AH$1001,0),1)&gt;=100000,INDEX($AO$1005:$BQ$1005,1,MATCH(COLUMNS($AO$1006:AX1006),$AO$1006:$BQ$1006,0))&gt;=100000), " ",IF(INDEX($AO$2:$BQ$1001,MATCH(ROWS($AH$2:AH343),$AH$2:$AH$1001,0),MATCH(COLUMNS($AO$1006:AX1006),$AO$1006:$BQ$1006,0)), HYPERLINK("#",""), HYPERLINK(CONCATENATE("#Metadata!", ADDRESS(INDEX($AJ$2:$AJ$1001,MATCH(ROWS($AH$2:AH343),$AH$2:$AH$1001,0),0), INDEX($AO$1004:$BQ$1004,1,MATCH(COLUMNS($AO$1006:AX1006),$AO$1006:$BQ$1006,0)))),"Fix")))</f>
        <v>#N/A</v>
      </c>
      <c r="L343" s="5" t="e">
        <f ca="1">IF(OR(INDEX($AI$2:$AI$1001,MATCH(ROWS($AH$2:AH343),$AH$2:$AH$1001,0),1)&gt;=100000,INDEX($AO$1005:$BQ$1005,1,MATCH(COLUMNS($AO$1006:AY1006),$AO$1006:$BQ$1006,0))&gt;=100000), " ",IF(INDEX($AO$2:$BQ$1001,MATCH(ROWS($AH$2:AH343),$AH$2:$AH$1001,0),MATCH(COLUMNS($AO$1006:AY1006),$AO$1006:$BQ$1006,0)), HYPERLINK("#",""), HYPERLINK(CONCATENATE("#Metadata!", ADDRESS(INDEX($AJ$2:$AJ$1001,MATCH(ROWS($AH$2:AH343),$AH$2:$AH$1001,0),0), INDEX($AO$1004:$BQ$1004,1,MATCH(COLUMNS($AO$1006:AY1006),$AO$1006:$BQ$1006,0)))),"Fix")))</f>
        <v>#N/A</v>
      </c>
      <c r="M343" s="5" t="e">
        <f ca="1">IF(OR(INDEX($AI$2:$AI$1001,MATCH(ROWS($AH$2:AH343),$AH$2:$AH$1001,0),1)&gt;=100000,INDEX($AO$1005:$BQ$1005,1,MATCH(COLUMNS($AO$1006:AZ1006),$AO$1006:$BQ$1006,0))&gt;=100000), " ",IF(INDEX($AO$2:$BQ$1001,MATCH(ROWS($AH$2:AH343),$AH$2:$AH$1001,0),MATCH(COLUMNS($AO$1006:AZ1006),$AO$1006:$BQ$1006,0)), HYPERLINK("#",""), HYPERLINK(CONCATENATE("#Metadata!", ADDRESS(INDEX($AJ$2:$AJ$1001,MATCH(ROWS($AH$2:AH343),$AH$2:$AH$1001,0),0), INDEX($AO$1004:$BQ$1004,1,MATCH(COLUMNS($AO$1006:AZ1006),$AO$1006:$BQ$1006,0)))),"Fix")))</f>
        <v>#N/A</v>
      </c>
      <c r="N343" s="5" t="e">
        <f ca="1">IF(OR(INDEX($AI$2:$AI$1001,MATCH(ROWS($AH$2:AH343),$AH$2:$AH$1001,0),1)&gt;=100000,INDEX($AO$1005:$BQ$1005,1,MATCH(COLUMNS($AO$1006:BA1006),$AO$1006:$BQ$1006,0))&gt;=100000), " ",IF(INDEX($AO$2:$BQ$1001,MATCH(ROWS($AH$2:AH343),$AH$2:$AH$1001,0),MATCH(COLUMNS($AO$1006:BA1006),$AO$1006:$BQ$1006,0)), HYPERLINK("#",""), HYPERLINK(CONCATENATE("#Metadata!", ADDRESS(INDEX($AJ$2:$AJ$1001,MATCH(ROWS($AH$2:AH343),$AH$2:$AH$1001,0),0), INDEX($AO$1004:$BQ$1004,1,MATCH(COLUMNS($AO$1006:BA1006),$AO$1006:$BQ$1006,0)))),"Fix")))</f>
        <v>#N/A</v>
      </c>
      <c r="O343" s="5" t="e">
        <f ca="1">IF(OR(INDEX($AI$2:$AI$1001,MATCH(ROWS($AH$2:AH343),$AH$2:$AH$1001,0),1)&gt;=100000,INDEX($AO$1005:$BQ$1005,1,MATCH(COLUMNS($AO$1006:BB1006),$AO$1006:$BQ$1006,0))&gt;=100000), " ",IF(INDEX($AO$2:$BQ$1001,MATCH(ROWS($AH$2:AH343),$AH$2:$AH$1001,0),MATCH(COLUMNS($AO$1006:BB1006),$AO$1006:$BQ$1006,0)), HYPERLINK("#",""), HYPERLINK(CONCATENATE("#Metadata!", ADDRESS(INDEX($AJ$2:$AJ$1001,MATCH(ROWS($AH$2:AH343),$AH$2:$AH$1001,0),0), INDEX($AO$1004:$BQ$1004,1,MATCH(COLUMNS($AO$1006:BB1006),$AO$1006:$BQ$1006,0)))),"Fix")))</f>
        <v>#N/A</v>
      </c>
      <c r="P343" s="5" t="e">
        <f ca="1">IF(OR(INDEX($AI$2:$AI$1001,MATCH(ROWS($AH$2:AH343),$AH$2:$AH$1001,0),1)&gt;=100000,INDEX($AO$1005:$BQ$1005,1,MATCH(COLUMNS($AO$1006:BC1006),$AO$1006:$BQ$1006,0))&gt;=100000), " ",IF(INDEX($AO$2:$BQ$1001,MATCH(ROWS($AH$2:AH343),$AH$2:$AH$1001,0),MATCH(COLUMNS($AO$1006:BC1006),$AO$1006:$BQ$1006,0)), HYPERLINK("#",""), HYPERLINK(CONCATENATE("#Metadata!", ADDRESS(INDEX($AJ$2:$AJ$1001,MATCH(ROWS($AH$2:AH343),$AH$2:$AH$1001,0),0), INDEX($AO$1004:$BQ$1004,1,MATCH(COLUMNS($AO$1006:BC1006),$AO$1006:$BQ$1006,0)))),"Fix")))</f>
        <v>#N/A</v>
      </c>
      <c r="Q343" s="5" t="e">
        <f ca="1">IF(OR(INDEX($AI$2:$AI$1001,MATCH(ROWS($AH$2:AH343),$AH$2:$AH$1001,0),1)&gt;=100000,INDEX($AO$1005:$BQ$1005,1,MATCH(COLUMNS($AO$1006:BD1006),$AO$1006:$BQ$1006,0))&gt;=100000), " ",IF(INDEX($AO$2:$BQ$1001,MATCH(ROWS($AH$2:AH343),$AH$2:$AH$1001,0),MATCH(COLUMNS($AO$1006:BD1006),$AO$1006:$BQ$1006,0)), HYPERLINK("#",""), HYPERLINK(CONCATENATE("#Metadata!", ADDRESS(INDEX($AJ$2:$AJ$1001,MATCH(ROWS($AH$2:AH343),$AH$2:$AH$1001,0),0), INDEX($AO$1004:$BQ$1004,1,MATCH(COLUMNS($AO$1006:BD1006),$AO$1006:$BQ$1006,0)))),"Fix")))</f>
        <v>#N/A</v>
      </c>
      <c r="R343" s="5" t="e">
        <f ca="1">IF(OR(INDEX($AI$2:$AI$1001,MATCH(ROWS($AH$2:AH343),$AH$2:$AH$1001,0),1)&gt;=100000,INDEX($AO$1005:$BQ$1005,1,MATCH(COLUMNS($AO$1006:BE1006),$AO$1006:$BQ$1006,0))&gt;=100000), " ",IF(INDEX($AO$2:$BQ$1001,MATCH(ROWS($AH$2:AH343),$AH$2:$AH$1001,0),MATCH(COLUMNS($AO$1006:BE1006),$AO$1006:$BQ$1006,0)), HYPERLINK("#",""), HYPERLINK(CONCATENATE("#Metadata!", ADDRESS(INDEX($AJ$2:$AJ$1001,MATCH(ROWS($AH$2:AH343),$AH$2:$AH$1001,0),0), INDEX($AO$1004:$BQ$1004,1,MATCH(COLUMNS($AO$1006:BE1006),$AO$1006:$BQ$1006,0)))),"Fix")))</f>
        <v>#N/A</v>
      </c>
      <c r="S343" s="5" t="e">
        <f ca="1">IF(OR(INDEX($AI$2:$AI$1001,MATCH(ROWS($AH$2:AH343),$AH$2:$AH$1001,0),1)&gt;=100000,INDEX($AO$1005:$BQ$1005,1,MATCH(COLUMNS($AO$1006:BF1006),$AO$1006:$BQ$1006,0))&gt;=100000), " ",IF(INDEX($AO$2:$BQ$1001,MATCH(ROWS($AH$2:AH343),$AH$2:$AH$1001,0),MATCH(COLUMNS($AO$1006:BF1006),$AO$1006:$BQ$1006,0)), HYPERLINK("#",""), HYPERLINK(CONCATENATE("#Metadata!", ADDRESS(INDEX($AJ$2:$AJ$1001,MATCH(ROWS($AH$2:AH343),$AH$2:$AH$1001,0),0), INDEX($AO$1004:$BQ$1004,1,MATCH(COLUMNS($AO$1006:BF1006),$AO$1006:$BQ$1006,0)))),"Fix")))</f>
        <v>#N/A</v>
      </c>
      <c r="T343" s="5" t="e">
        <f ca="1">IF(OR(INDEX($AI$2:$AI$1001,MATCH(ROWS($AH$2:AH343),$AH$2:$AH$1001,0),1)&gt;=100000,INDEX($AO$1005:$BQ$1005,1,MATCH(COLUMNS($AO$1006:BG1006),$AO$1006:$BQ$1006,0))&gt;=100000), " ",IF(INDEX($AO$2:$BQ$1001,MATCH(ROWS($AH$2:AH343),$AH$2:$AH$1001,0),MATCH(COLUMNS($AO$1006:BG1006),$AO$1006:$BQ$1006,0)), HYPERLINK("#",""), HYPERLINK(CONCATENATE("#Metadata!", ADDRESS(INDEX($AJ$2:$AJ$1001,MATCH(ROWS($AH$2:AH343),$AH$2:$AH$1001,0),0), INDEX($AO$1004:$BQ$1004,1,MATCH(COLUMNS($AO$1006:BG1006),$AO$1006:$BQ$1006,0)))),"Fix")))</f>
        <v>#N/A</v>
      </c>
      <c r="U343" s="5" t="e">
        <f ca="1">IF(OR(INDEX($AI$2:$AI$1001,MATCH(ROWS($AH$2:AH343),$AH$2:$AH$1001,0),1)&gt;=100000,INDEX($AO$1005:$BQ$1005,1,MATCH(COLUMNS($AO$1006:BH1006),$AO$1006:$BQ$1006,0))&gt;=100000), " ",IF(INDEX($AO$2:$BQ$1001,MATCH(ROWS($AH$2:AH343),$AH$2:$AH$1001,0),MATCH(COLUMNS($AO$1006:BH1006),$AO$1006:$BQ$1006,0)), HYPERLINK("#",""), HYPERLINK(CONCATENATE("#Metadata!", ADDRESS(INDEX($AJ$2:$AJ$1001,MATCH(ROWS($AH$2:AH343),$AH$2:$AH$1001,0),0), INDEX($AO$1004:$BQ$1004,1,MATCH(COLUMNS($AO$1006:BH1006),$AO$1006:$BQ$1006,0)))),"Fix")))</f>
        <v>#N/A</v>
      </c>
      <c r="V343" s="5" t="e">
        <f ca="1">IF(OR(INDEX($AI$2:$AI$1001,MATCH(ROWS($AH$2:AH343),$AH$2:$AH$1001,0),1)&gt;=100000,INDEX($AO$1005:$BQ$1005,1,MATCH(COLUMNS($AO$1006:BI1006),$AO$1006:$BQ$1006,0))&gt;=100000), " ",IF(INDEX($AO$2:$BQ$1001,MATCH(ROWS($AH$2:AH343),$AH$2:$AH$1001,0),MATCH(COLUMNS($AO$1006:BI1006),$AO$1006:$BQ$1006,0)), HYPERLINK("#",""), HYPERLINK(CONCATENATE("#Metadata!", ADDRESS(INDEX($AJ$2:$AJ$1001,MATCH(ROWS($AH$2:AH343),$AH$2:$AH$1001,0),0), INDEX($AO$1004:$BQ$1004,1,MATCH(COLUMNS($AO$1006:BI1006),$AO$1006:$BQ$1006,0)))),"Fix")))</f>
        <v>#N/A</v>
      </c>
      <c r="W343" s="5" t="e">
        <f ca="1">IF(OR(INDEX($AI$2:$AI$1001,MATCH(ROWS($AH$2:AH343),$AH$2:$AH$1001,0),1)&gt;=100000,INDEX($AO$1005:$BQ$1005,1,MATCH(COLUMNS($AO$1006:BJ1006),$AO$1006:$BQ$1006,0))&gt;=100000), " ",IF(INDEX($AO$2:$BQ$1001,MATCH(ROWS($AH$2:AH343),$AH$2:$AH$1001,0),MATCH(COLUMNS($AO$1006:BJ1006),$AO$1006:$BQ$1006,0)), HYPERLINK("#",""), HYPERLINK(CONCATENATE("#Metadata!", ADDRESS(INDEX($AJ$2:$AJ$1001,MATCH(ROWS($AH$2:AH343),$AH$2:$AH$1001,0),0), INDEX($AO$1004:$BQ$1004,1,MATCH(COLUMNS($AO$1006:BJ1006),$AO$1006:$BQ$1006,0)))),"Fix")))</f>
        <v>#N/A</v>
      </c>
      <c r="X343" s="5" t="e">
        <f ca="1">IF(OR(INDEX($AI$2:$AI$1001,MATCH(ROWS($AH$2:AH343),$AH$2:$AH$1001,0),1)&gt;=100000,INDEX($AO$1005:$BQ$1005,1,MATCH(COLUMNS($AO$1006:BK1006),$AO$1006:$BQ$1006,0))&gt;=100000), " ",IF(INDEX($AO$2:$BQ$1001,MATCH(ROWS($AH$2:AH343),$AH$2:$AH$1001,0),MATCH(COLUMNS($AO$1006:BK1006),$AO$1006:$BQ$1006,0)), HYPERLINK("#",""), HYPERLINK(CONCATENATE("#Metadata!", ADDRESS(INDEX($AJ$2:$AJ$1001,MATCH(ROWS($AH$2:AH343),$AH$2:$AH$1001,0),0), INDEX($AO$1004:$BQ$1004,1,MATCH(COLUMNS($AO$1006:BK1006),$AO$1006:$BQ$1006,0)))),"Fix")))</f>
        <v>#N/A</v>
      </c>
      <c r="Y343" s="5" t="e">
        <f ca="1">IF(OR(INDEX($AI$2:$AI$1001,MATCH(ROWS($AH$2:AH343),$AH$2:$AH$1001,0),1)&gt;=100000,INDEX($AO$1005:$BQ$1005,1,MATCH(COLUMNS($AO$1006:BL1006),$AO$1006:$BQ$1006,0))&gt;=100000), " ",IF(INDEX($AO$2:$BQ$1001,MATCH(ROWS($AH$2:AH343),$AH$2:$AH$1001,0),MATCH(COLUMNS($AO$1006:BL1006),$AO$1006:$BQ$1006,0)), HYPERLINK("#",""), HYPERLINK(CONCATENATE("#Metadata!", ADDRESS(INDEX($AJ$2:$AJ$1001,MATCH(ROWS($AH$2:AH343),$AH$2:$AH$1001,0),0), INDEX($AO$1004:$BQ$1004,1,MATCH(COLUMNS($AO$1006:BL1006),$AO$1006:$BQ$1006,0)))),"Fix")))</f>
        <v>#N/A</v>
      </c>
      <c r="Z343" s="5" t="e">
        <f ca="1">IF(OR(INDEX($AI$2:$AI$1001,MATCH(ROWS($AH$2:AH343),$AH$2:$AH$1001,0),1)&gt;=100000,INDEX($AO$1005:$BQ$1005,1,MATCH(COLUMNS($AO$1006:BM1006),$AO$1006:$BQ$1006,0))&gt;=100000), " ",IF(INDEX($AO$2:$BQ$1001,MATCH(ROWS($AH$2:AH343),$AH$2:$AH$1001,0),MATCH(COLUMNS($AO$1006:BM1006),$AO$1006:$BQ$1006,0)), HYPERLINK("#",""), HYPERLINK(CONCATENATE("#Metadata!", ADDRESS(INDEX($AJ$2:$AJ$1001,MATCH(ROWS($AH$2:AH343),$AH$2:$AH$1001,0),0), INDEX($AO$1004:$BQ$1004,1,MATCH(COLUMNS($AO$1006:BM1006),$AO$1006:$BQ$1006,0)))),"Fix")))</f>
        <v>#N/A</v>
      </c>
      <c r="AA343" s="5" t="e">
        <f ca="1">IF(OR(INDEX($AI$2:$AI$1001,MATCH(ROWS($AH$2:AH343),$AH$2:$AH$1001,0),1)&gt;=100000,INDEX($AO$1005:$BQ$1005,1,MATCH(COLUMNS($AO$1006:BN1006),$AO$1006:$BQ$1006,0))&gt;=100000), " ",IF(INDEX($AO$2:$BQ$1001,MATCH(ROWS($AH$2:AH343),$AH$2:$AH$1001,0),MATCH(COLUMNS($AO$1006:BN1006),$AO$1006:$BQ$1006,0)), HYPERLINK("#",""), HYPERLINK(CONCATENATE("#Metadata!", ADDRESS(INDEX($AJ$2:$AJ$1001,MATCH(ROWS($AH$2:AH343),$AH$2:$AH$1001,0),0), INDEX($AO$1004:$BQ$1004,1,MATCH(COLUMNS($AO$1006:BN1006),$AO$1006:$BQ$1006,0)))),"Fix")))</f>
        <v>#N/A</v>
      </c>
      <c r="AB343" s="5" t="e">
        <f ca="1">IF(OR(INDEX($AI$2:$AI$1001,MATCH(ROWS($AH$2:AH343),$AH$2:$AH$1001,0),1)&gt;=100000,INDEX($AO$1005:$BQ$1005,1,MATCH(COLUMNS($AO$1006:BO1006),$AO$1006:$BQ$1006,0))&gt;=100000), " ",IF(INDEX($AO$2:$BQ$1001,MATCH(ROWS($AH$2:AH343),$AH$2:$AH$1001,0),MATCH(COLUMNS($AO$1006:BO1006),$AO$1006:$BQ$1006,0)), HYPERLINK("#",""), HYPERLINK(CONCATENATE("#Metadata!", ADDRESS(INDEX($AJ$2:$AJ$1001,MATCH(ROWS($AH$2:AH343),$AH$2:$AH$1001,0),0), INDEX($AO$1004:$BQ$1004,1,MATCH(COLUMNS($AO$1006:BO1006),$AO$1006:$BQ$1006,0)))),"Fix")))</f>
        <v>#N/A</v>
      </c>
      <c r="AC343" s="5" t="e">
        <f ca="1">IF(OR(INDEX($AI$2:$AI$1001,MATCH(ROWS($AH$2:AH343),$AH$2:$AH$1001,0),1)&gt;=100000,INDEX($AO$1005:$BQ$1005,1,MATCH(COLUMNS($AO$1006:BP1006),$AO$1006:$BQ$1006,0))&gt;=100000), " ",IF(INDEX($AO$2:$BQ$1001,MATCH(ROWS($AH$2:AH343),$AH$2:$AH$1001,0),MATCH(COLUMNS($AO$1006:BP1006),$AO$1006:$BQ$1006,0)), HYPERLINK("#",""), HYPERLINK(CONCATENATE("#Metadata!", ADDRESS(INDEX($AJ$2:$AJ$1001,MATCH(ROWS($AH$2:AH343),$AH$2:$AH$1001,0),0), INDEX($AO$1004:$BQ$1004,1,MATCH(COLUMNS($AO$1006:BP1006),$AO$1006:$BQ$1006,0)))),"Fix")))</f>
        <v>#N/A</v>
      </c>
      <c r="AD343" s="5" t="e">
        <f ca="1">IF(OR(INDEX($AI$2:$AI$1001,MATCH(ROWS($AH$2:AH343),$AH$2:$AH$1001,0),1)&gt;=100000,INDEX($AO$1005:$BQ$1005,1,MATCH(COLUMNS($AO$1006:BQ1006),$AO$1006:$BQ$1006,0))&gt;=100000), " ",IF(INDEX($AO$2:$BQ$1001,MATCH(ROWS($AH$2:AH343),$AH$2:$AH$1001,0),MATCH(COLUMNS($AO$1006:BQ1006),$AO$1006:$BQ$1006,0)), HYPERLINK("#",""), HYPERLINK(CONCATENATE("#Metadata!", ADDRESS(INDEX($AJ$2:$AJ$1001,MATCH(ROWS($AH$2:AH343),$AH$2:$AH$1001,0),0), INDEX($AO$1004:$BQ$1004,1,MATCH(COLUMNS($AO$1006:BQ1006),$AO$1006:$BQ$1006,0)))),"Fix")))</f>
        <v>#REF!</v>
      </c>
      <c r="AH343">
        <f ca="1"/>
        <v>340</v>
      </c>
      <c r="AI343">
        <v>100343</v>
      </c>
      <c r="AJ343">
        <v>343</v>
      </c>
      <c r="AK343" t="b">
        <f t="shared" si="5"/>
        <v>1</v>
      </c>
      <c r="AL343" t="b">
        <f>COUNTBLANK(Metadata!B343:AD343)=COLUMNS(Metadata!B343:AD343)</f>
        <v>1</v>
      </c>
      <c r="AM343" t="str">
        <v/>
      </c>
      <c r="AO343" t="b">
        <f ca="1">AND(IF(Metadata!B343="",FALSE,TRUE),COUNTIF(Metadata!B:B, Metadata!B343) = 1,NOT(ISERROR(SUMPRODUCT(SEARCH(MID(Metadata!B343,ROW(INDIRECT("1:"&amp;LEN(Metadata!B343))), 1),"0123456789abcdefghijklmnopqrstuvwxyzABCDEFGHIJKLMNOPQRSTUVWXYZ.")))))</f>
        <v>0</v>
      </c>
      <c r="AP343" t="b">
        <f>IF(Metadata!C343="",FALSE,TRUE)</f>
        <v>0</v>
      </c>
      <c r="AQ343" t="b">
        <f>IF(Metadata!D343="",FALSE,TRUE)</f>
        <v>0</v>
      </c>
      <c r="AR343" t="b">
        <f ca="1">OR(AND(IF(Metadata!E343="",FALSE,TRUE),OR(EXACT(Metadata!E343,"not collected"),EXACT(Metadata!E343,"not provided"),EXACT(Metadata!E343,"restricted access"))),AND(IF(Metadata!E343="",FALSE,TRUE),AND(AND(IFERROR(INT(LEFT(Metadata!E343,4))&gt;1900,FALSE),IFERROR(INT(LEFT(Metadata!E343,4))&lt;=YEAR(NOW()),FALSE)), OR(MID(Metadata!E343,5,1)="", AND(AND(MID(Metadata!E343,5,1)="-",IFERROR(INT(MID(Metadata!E343,6,1))&gt;=0,FALSE),IFERROR(INT(MID(Metadata!E343,6,1))&lt;=1,FALSE),NOT(MID(Metadata!E343,7,1)=""),IFERROR(INT(MID(Metadata!E343,6,2))&gt;=1,FALSE),IFERROR(INT(MID(Metadata!E343,6,2))&lt;=12,FALSE)), OR(MID(Metadata!E343,8,1)="", AND(AND(MID(Metadata!E343,8,1)="-",IFERROR(INT(MID(Metadata!E343,9,1))&gt;=0,FALSE),IFERROR(INT(MID(Metadata!E343,9,1))&lt;=3,FALSE),NOT(MID(Metadata!E343,10,1)=""),IFERROR(INT(MID(Metadata!E343,9,2))&gt;=1,FALSE),IFERROR(INT(MID(Metadata!E343,9,2))&lt;=31,FALSE)), OR(MID(Metadata!E343,11,1)="", AND(AND(MID(Metadata!E343,11,1)=" ",IFERROR(INT(MID(Metadata!E343,12,1))&gt;=0,FALSE),IFERROR(INT(MID(Metadata!E343,12,1))&lt;=2,FALSE),NOT(MID(Metadata!E343,13,1)=""),IFERROR(INT(MID(Metadata!E343,12,2))&gt;=0,FALSE),IFERROR(INT(MID(Metadata!E343,12,2))&lt;=23,FALSE)), OR(MID(Metadata!E343,14,1)="", AND(AND(MID(Metadata!E343,14,1)=":",IFERROR(INT(MID(Metadata!E343,15,1))&gt;=0,FALSE),IFERROR(INT(MID(Metadata!E343,15,1))&lt;=5,FALSE),NOT(MID(Metadata!E343,16,1)=""),IFERROR(INT(MID(Metadata!E343,15,2))&gt;=0,FALSE),IFERROR(INT(MID(Metadata!E343,15,2))&lt;=59,FALSE)), OR(MID(Metadata!E343,17,1)="", AND(AND(MID(Metadata!E343,17,1)=":",IFERROR(INT(MID(Metadata!E343,18,1))&gt;=0,FALSE),IFERROR(INT(MID(Metadata!E343,18,1))&lt;=5,FALSE),NOT(MID(Metadata!E343,19,1)=""),IFERROR(INT(MID(Metadata!E343,18,2))&gt;=0,FALSE),IFERROR(INT(MID(Metadata!E343,18,2))&lt;=59,FALSE)), LEN(Metadata!E343)&lt;=19)))))))))))))</f>
        <v>0</v>
      </c>
      <c r="AS343" t="b">
        <f>IF(Metadata!F343="",FALSE,TRUE)</f>
        <v>0</v>
      </c>
      <c r="AT343" t="b">
        <f>OR(AND(IF(Metadata!G343="",FALSE,TRUE),OR(EXACT(Metadata!G343,"not collected"),EXACT(Metadata!G343,"not provided"))),AND(IF(Metadata!G343="",FALSE,TRUE),OR(EXACT(Metadata!G343,"TRUE"),EXACT(Metadata!G343,"FALSE"))))</f>
        <v>0</v>
      </c>
      <c r="AU343" t="b">
        <f>OR(AND(IF(Metadata!H343="",FALSE,TRUE),OR(EXACT(Metadata!H343,"not collected"),EXACT(Metadata!H343,"not provided"),EXACT(Metadata!H343,"restricted access"))),AND(IF(Metadata!H343="",FALSE,ISNUMBER(VALUE(Metadata!H343))),Metadata!H343&gt;=-413))</f>
        <v>0</v>
      </c>
      <c r="AV343" t="b">
        <f>AND(IF(Metadata!I343="",FALSE,TRUE),EXACT(Metadata!I343,"meters"))</f>
        <v>0</v>
      </c>
      <c r="AW343" t="b">
        <f>AND(IF(Metadata!J343="",FALSE,TRUE),EXACT(Metadata!J343,"free-living"))</f>
        <v>0</v>
      </c>
      <c r="AX343" t="b">
        <f>AND(IF(Metadata!K343="",FALSE,TRUE),OR(EXACT(Metadata!K343,"saline"),EXACT(Metadata!K343,"non-saline")))</f>
        <v>0</v>
      </c>
      <c r="AY343" t="b">
        <f>AND(IF(Metadata!L343="",FALSE,TRUE),OR(EXACT(Metadata!L343,"sub-surface (non-saline)"),EXACT(Metadata!L343,"surface (non-saline)"),EXACT(Metadata!L343,"water (non-saline)"),EXACT(Metadata!L343,"soil (non-saline)"),EXACT(Metadata!L343,"aerosol (non-saline)"),EXACT(Metadata!L343,"sediment (non-saline)"),EXACT(Metadata!L343,"surface (saline)"),EXACT(Metadata!L343,"water (saline)"),EXACT(Metadata!L343,"hypersaline (saline)"),EXACT(Metadata!L343,"aerosol (saline)"),EXACT(Metadata!L343,"sediment (saline)")))</f>
        <v>0</v>
      </c>
      <c r="AZ343" t="b">
        <f>IF(Metadata!M343="",FALSE,TRUE)</f>
        <v>0</v>
      </c>
      <c r="BA343" t="b">
        <f>IF(Metadata!N343="",FALSE,TRUE)</f>
        <v>0</v>
      </c>
      <c r="BB343" t="b">
        <f>IF(Metadata!O343="",FALSE,TRUE)</f>
        <v>0</v>
      </c>
      <c r="BC343" t="b">
        <f>AND(IF(Metadata!P343="",FALSE,TRUE),OR(EXACT(Metadata!P343,"air"),EXACT(Metadata!P343,"microbial mat/biofilm"),EXACT(Metadata!P343,"misc environment"),EXACT(Metadata!P343,"sediment"),EXACT(Metadata!P343,"soil"),EXACT(Metadata!P343,"wastewater/sludge"),EXACT(Metadata!P343,"water")))</f>
        <v>0</v>
      </c>
      <c r="BD343" t="b">
        <f>IF(Metadata!Q343="",FALSE,TRUE)</f>
        <v>0</v>
      </c>
      <c r="BE343" t="b">
        <f>IF(Metadata!R343="",FALSE,TRUE)</f>
        <v>0</v>
      </c>
      <c r="BF343" t="b">
        <f>OR(AND(IF(Metadata!S343="",FALSE,TRUE),OR(EXACT(Metadata!S343,"not collected"),EXACT(Metadata!S343,"not provided"),EXACT(Metadata!S343,"restricted access"))),AND(IF(Metadata!S343="",FALSE,ISNUMBER(VALUE(Metadata!S343))),Metadata!S343&gt;=-90,Metadata!S343&lt;=90))</f>
        <v>0</v>
      </c>
      <c r="BG343" t="b">
        <f>AND(IF(Metadata!T343="",FALSE,TRUE),EXACT(Metadata!T343,"Decimal degrees"))</f>
        <v>0</v>
      </c>
      <c r="BH343" t="b">
        <f>OR(AND(IF(Metadata!U343="",FALSE,TRUE),OR(EXACT(Metadata!U343,"not applicable"),EXACT(Metadata!U343,"not collected"))),IF(Metadata!U343="",FALSE,TRUE))</f>
        <v>0</v>
      </c>
      <c r="BI343" t="b">
        <f>OR(AND(IF(Metadata!V343="",FALSE,TRUE),OR(EXACT(Metadata!V343,"not collected"),EXACT(Metadata!V343,"not provided"),EXACT(Metadata!V343,"restricted access"))),AND(IF(Metadata!V343="",FALSE,ISNUMBER(VALUE(Metadata!V343))),Metadata!V343&gt;=-180,Metadata!V343&lt;=180))</f>
        <v>0</v>
      </c>
      <c r="BJ343" t="b">
        <f>AND(IF(Metadata!W343="",FALSE,TRUE),EXACT(Metadata!W343,"Decimal degrees"))</f>
        <v>0</v>
      </c>
      <c r="BK343" t="b">
        <f>IF(Metadata!X343="",FALSE,TRUE)</f>
        <v>0</v>
      </c>
      <c r="BL343" t="b">
        <f>OR(AND(IF(Metadata!Y343="",FALSE,TRUE),OR(EXACT(Metadata!Y343,"not collected"),EXACT(Metadata!Y343,"not provided"),EXACT(Metadata!Y343,"restricted access"))),AND(IF(Metadata!Y343="",FALSE,TRUE),OR(EXACT(Metadata!Y343,"TRUE"),EXACT(Metadata!Y343,"FALSE"))))</f>
        <v>0</v>
      </c>
      <c r="BM343" t="b">
        <f>OR(AND(IF(Metadata!Z343="",FALSE,TRUE),EXACT(Metadata!Z343,"not applicable")),AND(IF(Metadata!Z343="",FALSE,TRUE),OR(EXACT(Metadata!Z343,"beer"),EXACT(Metadata!Z343,"cheese"),EXACT(Metadata!Z343,"fresh water"),EXACT(Metadata!Z343,"marine sediment"),EXACT(Metadata!Z343,"sea water"),EXACT(Metadata!Z343,"sediment"),EXACT(Metadata!Z343,"soil"),EXACT(Metadata!Z343,"waste water"))))</f>
        <v>0</v>
      </c>
      <c r="BN343" t="b">
        <f>AND(IF(Metadata!AA343="",FALSE,TRUE),EXACT(Metadata!AA343,"metagenome"))</f>
        <v>0</v>
      </c>
      <c r="BO343" t="b">
        <f>AND(IF(Metadata!AB343="",FALSE,TRUE),EXACT(Metadata!AB343,"256318"))</f>
        <v>0</v>
      </c>
      <c r="BP343" t="b">
        <f>IF(Metadata!AC343="",FALSE,TRUE)</f>
        <v>0</v>
      </c>
      <c r="BQ343" t="b">
        <f>IF(Metadata!AD343="",FALSE,TRUE)</f>
        <v>0</v>
      </c>
    </row>
    <row r="344" spans="1:69" x14ac:dyDescent="0.2">
      <c r="A344" s="4" t="e">
        <f ca="1">IF(B344=" "," ",HYPERLINK(CONCATENATE("#metadata!",ADDRESS(INDEX($AJ$2:$AJ$1001,MATCH(ROWS($AH$2:AH344),$AH$2:$AH$1001,0),0),2)),INDEX($AM$2:$AM$1001,MATCH(ROWS($AH$2:AH344),$AH$2:$AH$1001,0),0)))</f>
        <v>#N/A</v>
      </c>
      <c r="B344" s="5" t="e">
        <f ca="1">IF(OR(INDEX($AI$2:$AI$1001,MATCH(ROWS($AH$2:AH344),$AH$2:$AH$1001,0),1)&gt;=100000,INDEX($AO$1005:$BQ$1005,1,MATCH(COLUMNS($AO$1006:AO1006),$AO$1006:$BQ$1006,0))&gt;=100000), " ",IF(INDEX($AO$2:$BQ$1001,MATCH(ROWS($AH$2:AH344),$AH$2:$AH$1001,0),MATCH(COLUMNS($AO$1006:AO1006),$AO$1006:$BQ$1006,0)), HYPERLINK("#",""), HYPERLINK(CONCATENATE("#Metadata!", ADDRESS(INDEX($AJ$2:$AJ$1001,MATCH(ROWS($AH$2:AH344),$AH$2:$AH$1001,0),0), INDEX($AO$1004:$BQ$1004,1,MATCH(COLUMNS($AO$1006:AO1006),$AO$1006:$BQ$1006,0)))),"Fix")))</f>
        <v>#N/A</v>
      </c>
      <c r="C344" s="5" t="e">
        <f ca="1">IF(OR(INDEX($AI$2:$AI$1001,MATCH(ROWS($AH$2:AH344),$AH$2:$AH$1001,0),1)&gt;=100000,INDEX($AO$1005:$BQ$1005,1,MATCH(COLUMNS($AO$1006:AP1006),$AO$1006:$BQ$1006,0))&gt;=100000), " ",IF(INDEX($AO$2:$BQ$1001,MATCH(ROWS($AH$2:AH344),$AH$2:$AH$1001,0),MATCH(COLUMNS($AO$1006:AP1006),$AO$1006:$BQ$1006,0)), HYPERLINK("#",""), HYPERLINK(CONCATENATE("#Metadata!", ADDRESS(INDEX($AJ$2:$AJ$1001,MATCH(ROWS($AH$2:AH344),$AH$2:$AH$1001,0),0), INDEX($AO$1004:$BQ$1004,1,MATCH(COLUMNS($AO$1006:AP1006),$AO$1006:$BQ$1006,0)))),"Fix")))</f>
        <v>#N/A</v>
      </c>
      <c r="D344" s="5" t="e">
        <f ca="1">IF(OR(INDEX($AI$2:$AI$1001,MATCH(ROWS($AH$2:AH344),$AH$2:$AH$1001,0),1)&gt;=100000,INDEX($AO$1005:$BQ$1005,1,MATCH(COLUMNS($AO$1006:AQ1006),$AO$1006:$BQ$1006,0))&gt;=100000), " ",IF(INDEX($AO$2:$BQ$1001,MATCH(ROWS($AH$2:AH344),$AH$2:$AH$1001,0),MATCH(COLUMNS($AO$1006:AQ1006),$AO$1006:$BQ$1006,0)), HYPERLINK("#",""), HYPERLINK(CONCATENATE("#Metadata!", ADDRESS(INDEX($AJ$2:$AJ$1001,MATCH(ROWS($AH$2:AH344),$AH$2:$AH$1001,0),0), INDEX($AO$1004:$BQ$1004,1,MATCH(COLUMNS($AO$1006:AQ1006),$AO$1006:$BQ$1006,0)))),"Fix")))</f>
        <v>#N/A</v>
      </c>
      <c r="E344" s="5" t="e">
        <f ca="1">IF(OR(INDEX($AI$2:$AI$1001,MATCH(ROWS($AH$2:AH344),$AH$2:$AH$1001,0),1)&gt;=100000,INDEX($AO$1005:$BQ$1005,1,MATCH(COLUMNS($AO$1006:AR1006),$AO$1006:$BQ$1006,0))&gt;=100000), " ",IF(INDEX($AO$2:$BQ$1001,MATCH(ROWS($AH$2:AH344),$AH$2:$AH$1001,0),MATCH(COLUMNS($AO$1006:AR1006),$AO$1006:$BQ$1006,0)), HYPERLINK("#",""), HYPERLINK(CONCATENATE("#Metadata!", ADDRESS(INDEX($AJ$2:$AJ$1001,MATCH(ROWS($AH$2:AH344),$AH$2:$AH$1001,0),0), INDEX($AO$1004:$BQ$1004,1,MATCH(COLUMNS($AO$1006:AR1006),$AO$1006:$BQ$1006,0)))),"Fix")))</f>
        <v>#N/A</v>
      </c>
      <c r="F344" s="5" t="e">
        <f ca="1">IF(OR(INDEX($AI$2:$AI$1001,MATCH(ROWS($AH$2:AH344),$AH$2:$AH$1001,0),1)&gt;=100000,INDEX($AO$1005:$BQ$1005,1,MATCH(COLUMNS($AO$1006:AS1006),$AO$1006:$BQ$1006,0))&gt;=100000), " ",IF(INDEX($AO$2:$BQ$1001,MATCH(ROWS($AH$2:AH344),$AH$2:$AH$1001,0),MATCH(COLUMNS($AO$1006:AS1006),$AO$1006:$BQ$1006,0)), HYPERLINK("#",""), HYPERLINK(CONCATENATE("#Metadata!", ADDRESS(INDEX($AJ$2:$AJ$1001,MATCH(ROWS($AH$2:AH344),$AH$2:$AH$1001,0),0), INDEX($AO$1004:$BQ$1004,1,MATCH(COLUMNS($AO$1006:AS1006),$AO$1006:$BQ$1006,0)))),"Fix")))</f>
        <v>#N/A</v>
      </c>
      <c r="G344" s="5" t="e">
        <f ca="1">IF(OR(INDEX($AI$2:$AI$1001,MATCH(ROWS($AH$2:AH344),$AH$2:$AH$1001,0),1)&gt;=100000,INDEX($AO$1005:$BQ$1005,1,MATCH(COLUMNS($AO$1006:AT1006),$AO$1006:$BQ$1006,0))&gt;=100000), " ",IF(INDEX($AO$2:$BQ$1001,MATCH(ROWS($AH$2:AH344),$AH$2:$AH$1001,0),MATCH(COLUMNS($AO$1006:AT1006),$AO$1006:$BQ$1006,0)), HYPERLINK("#",""), HYPERLINK(CONCATENATE("#Metadata!", ADDRESS(INDEX($AJ$2:$AJ$1001,MATCH(ROWS($AH$2:AH344),$AH$2:$AH$1001,0),0), INDEX($AO$1004:$BQ$1004,1,MATCH(COLUMNS($AO$1006:AT1006),$AO$1006:$BQ$1006,0)))),"Fix")))</f>
        <v>#N/A</v>
      </c>
      <c r="H344" s="5" t="e">
        <f ca="1">IF(OR(INDEX($AI$2:$AI$1001,MATCH(ROWS($AH$2:AH344),$AH$2:$AH$1001,0),1)&gt;=100000,INDEX($AO$1005:$BQ$1005,1,MATCH(COLUMNS($AO$1006:AU1006),$AO$1006:$BQ$1006,0))&gt;=100000), " ",IF(INDEX($AO$2:$BQ$1001,MATCH(ROWS($AH$2:AH344),$AH$2:$AH$1001,0),MATCH(COLUMNS($AO$1006:AU1006),$AO$1006:$BQ$1006,0)), HYPERLINK("#",""), HYPERLINK(CONCATENATE("#Metadata!", ADDRESS(INDEX($AJ$2:$AJ$1001,MATCH(ROWS($AH$2:AH344),$AH$2:$AH$1001,0),0), INDEX($AO$1004:$BQ$1004,1,MATCH(COLUMNS($AO$1006:AU1006),$AO$1006:$BQ$1006,0)))),"Fix")))</f>
        <v>#N/A</v>
      </c>
      <c r="I344" s="5" t="e">
        <f ca="1">IF(OR(INDEX($AI$2:$AI$1001,MATCH(ROWS($AH$2:AH344),$AH$2:$AH$1001,0),1)&gt;=100000,INDEX($AO$1005:$BQ$1005,1,MATCH(COLUMNS($AO$1006:AV1006),$AO$1006:$BQ$1006,0))&gt;=100000), " ",IF(INDEX($AO$2:$BQ$1001,MATCH(ROWS($AH$2:AH344),$AH$2:$AH$1001,0),MATCH(COLUMNS($AO$1006:AV1006),$AO$1006:$BQ$1006,0)), HYPERLINK("#",""), HYPERLINK(CONCATENATE("#Metadata!", ADDRESS(INDEX($AJ$2:$AJ$1001,MATCH(ROWS($AH$2:AH344),$AH$2:$AH$1001,0),0), INDEX($AO$1004:$BQ$1004,1,MATCH(COLUMNS($AO$1006:AV1006),$AO$1006:$BQ$1006,0)))),"Fix")))</f>
        <v>#N/A</v>
      </c>
      <c r="J344" s="5" t="e">
        <f ca="1">IF(OR(INDEX($AI$2:$AI$1001,MATCH(ROWS($AH$2:AH344),$AH$2:$AH$1001,0),1)&gt;=100000,INDEX($AO$1005:$BQ$1005,1,MATCH(COLUMNS($AO$1006:AW1006),$AO$1006:$BQ$1006,0))&gt;=100000), " ",IF(INDEX($AO$2:$BQ$1001,MATCH(ROWS($AH$2:AH344),$AH$2:$AH$1001,0),MATCH(COLUMNS($AO$1006:AW1006),$AO$1006:$BQ$1006,0)), HYPERLINK("#",""), HYPERLINK(CONCATENATE("#Metadata!", ADDRESS(INDEX($AJ$2:$AJ$1001,MATCH(ROWS($AH$2:AH344),$AH$2:$AH$1001,0),0), INDEX($AO$1004:$BQ$1004,1,MATCH(COLUMNS($AO$1006:AW1006),$AO$1006:$BQ$1006,0)))),"Fix")))</f>
        <v>#N/A</v>
      </c>
      <c r="K344" s="5" t="e">
        <f ca="1">IF(OR(INDEX($AI$2:$AI$1001,MATCH(ROWS($AH$2:AH344),$AH$2:$AH$1001,0),1)&gt;=100000,INDEX($AO$1005:$BQ$1005,1,MATCH(COLUMNS($AO$1006:AX1006),$AO$1006:$BQ$1006,0))&gt;=100000), " ",IF(INDEX($AO$2:$BQ$1001,MATCH(ROWS($AH$2:AH344),$AH$2:$AH$1001,0),MATCH(COLUMNS($AO$1006:AX1006),$AO$1006:$BQ$1006,0)), HYPERLINK("#",""), HYPERLINK(CONCATENATE("#Metadata!", ADDRESS(INDEX($AJ$2:$AJ$1001,MATCH(ROWS($AH$2:AH344),$AH$2:$AH$1001,0),0), INDEX($AO$1004:$BQ$1004,1,MATCH(COLUMNS($AO$1006:AX1006),$AO$1006:$BQ$1006,0)))),"Fix")))</f>
        <v>#N/A</v>
      </c>
      <c r="L344" s="5" t="e">
        <f ca="1">IF(OR(INDEX($AI$2:$AI$1001,MATCH(ROWS($AH$2:AH344),$AH$2:$AH$1001,0),1)&gt;=100000,INDEX($AO$1005:$BQ$1005,1,MATCH(COLUMNS($AO$1006:AY1006),$AO$1006:$BQ$1006,0))&gt;=100000), " ",IF(INDEX($AO$2:$BQ$1001,MATCH(ROWS($AH$2:AH344),$AH$2:$AH$1001,0),MATCH(COLUMNS($AO$1006:AY1006),$AO$1006:$BQ$1006,0)), HYPERLINK("#",""), HYPERLINK(CONCATENATE("#Metadata!", ADDRESS(INDEX($AJ$2:$AJ$1001,MATCH(ROWS($AH$2:AH344),$AH$2:$AH$1001,0),0), INDEX($AO$1004:$BQ$1004,1,MATCH(COLUMNS($AO$1006:AY1006),$AO$1006:$BQ$1006,0)))),"Fix")))</f>
        <v>#N/A</v>
      </c>
      <c r="M344" s="5" t="e">
        <f ca="1">IF(OR(INDEX($AI$2:$AI$1001,MATCH(ROWS($AH$2:AH344),$AH$2:$AH$1001,0),1)&gt;=100000,INDEX($AO$1005:$BQ$1005,1,MATCH(COLUMNS($AO$1006:AZ1006),$AO$1006:$BQ$1006,0))&gt;=100000), " ",IF(INDEX($AO$2:$BQ$1001,MATCH(ROWS($AH$2:AH344),$AH$2:$AH$1001,0),MATCH(COLUMNS($AO$1006:AZ1006),$AO$1006:$BQ$1006,0)), HYPERLINK("#",""), HYPERLINK(CONCATENATE("#Metadata!", ADDRESS(INDEX($AJ$2:$AJ$1001,MATCH(ROWS($AH$2:AH344),$AH$2:$AH$1001,0),0), INDEX($AO$1004:$BQ$1004,1,MATCH(COLUMNS($AO$1006:AZ1006),$AO$1006:$BQ$1006,0)))),"Fix")))</f>
        <v>#N/A</v>
      </c>
      <c r="N344" s="5" t="e">
        <f ca="1">IF(OR(INDEX($AI$2:$AI$1001,MATCH(ROWS($AH$2:AH344),$AH$2:$AH$1001,0),1)&gt;=100000,INDEX($AO$1005:$BQ$1005,1,MATCH(COLUMNS($AO$1006:BA1006),$AO$1006:$BQ$1006,0))&gt;=100000), " ",IF(INDEX($AO$2:$BQ$1001,MATCH(ROWS($AH$2:AH344),$AH$2:$AH$1001,0),MATCH(COLUMNS($AO$1006:BA1006),$AO$1006:$BQ$1006,0)), HYPERLINK("#",""), HYPERLINK(CONCATENATE("#Metadata!", ADDRESS(INDEX($AJ$2:$AJ$1001,MATCH(ROWS($AH$2:AH344),$AH$2:$AH$1001,0),0), INDEX($AO$1004:$BQ$1004,1,MATCH(COLUMNS($AO$1006:BA1006),$AO$1006:$BQ$1006,0)))),"Fix")))</f>
        <v>#N/A</v>
      </c>
      <c r="O344" s="5" t="e">
        <f ca="1">IF(OR(INDEX($AI$2:$AI$1001,MATCH(ROWS($AH$2:AH344),$AH$2:$AH$1001,0),1)&gt;=100000,INDEX($AO$1005:$BQ$1005,1,MATCH(COLUMNS($AO$1006:BB1006),$AO$1006:$BQ$1006,0))&gt;=100000), " ",IF(INDEX($AO$2:$BQ$1001,MATCH(ROWS($AH$2:AH344),$AH$2:$AH$1001,0),MATCH(COLUMNS($AO$1006:BB1006),$AO$1006:$BQ$1006,0)), HYPERLINK("#",""), HYPERLINK(CONCATENATE("#Metadata!", ADDRESS(INDEX($AJ$2:$AJ$1001,MATCH(ROWS($AH$2:AH344),$AH$2:$AH$1001,0),0), INDEX($AO$1004:$BQ$1004,1,MATCH(COLUMNS($AO$1006:BB1006),$AO$1006:$BQ$1006,0)))),"Fix")))</f>
        <v>#N/A</v>
      </c>
      <c r="P344" s="5" t="e">
        <f ca="1">IF(OR(INDEX($AI$2:$AI$1001,MATCH(ROWS($AH$2:AH344),$AH$2:$AH$1001,0),1)&gt;=100000,INDEX($AO$1005:$BQ$1005,1,MATCH(COLUMNS($AO$1006:BC1006),$AO$1006:$BQ$1006,0))&gt;=100000), " ",IF(INDEX($AO$2:$BQ$1001,MATCH(ROWS($AH$2:AH344),$AH$2:$AH$1001,0),MATCH(COLUMNS($AO$1006:BC1006),$AO$1006:$BQ$1006,0)), HYPERLINK("#",""), HYPERLINK(CONCATENATE("#Metadata!", ADDRESS(INDEX($AJ$2:$AJ$1001,MATCH(ROWS($AH$2:AH344),$AH$2:$AH$1001,0),0), INDEX($AO$1004:$BQ$1004,1,MATCH(COLUMNS($AO$1006:BC1006),$AO$1006:$BQ$1006,0)))),"Fix")))</f>
        <v>#N/A</v>
      </c>
      <c r="Q344" s="5" t="e">
        <f ca="1">IF(OR(INDEX($AI$2:$AI$1001,MATCH(ROWS($AH$2:AH344),$AH$2:$AH$1001,0),1)&gt;=100000,INDEX($AO$1005:$BQ$1005,1,MATCH(COLUMNS($AO$1006:BD1006),$AO$1006:$BQ$1006,0))&gt;=100000), " ",IF(INDEX($AO$2:$BQ$1001,MATCH(ROWS($AH$2:AH344),$AH$2:$AH$1001,0),MATCH(COLUMNS($AO$1006:BD1006),$AO$1006:$BQ$1006,0)), HYPERLINK("#",""), HYPERLINK(CONCATENATE("#Metadata!", ADDRESS(INDEX($AJ$2:$AJ$1001,MATCH(ROWS($AH$2:AH344),$AH$2:$AH$1001,0),0), INDEX($AO$1004:$BQ$1004,1,MATCH(COLUMNS($AO$1006:BD1006),$AO$1006:$BQ$1006,0)))),"Fix")))</f>
        <v>#N/A</v>
      </c>
      <c r="R344" s="5" t="e">
        <f ca="1">IF(OR(INDEX($AI$2:$AI$1001,MATCH(ROWS($AH$2:AH344),$AH$2:$AH$1001,0),1)&gt;=100000,INDEX($AO$1005:$BQ$1005,1,MATCH(COLUMNS($AO$1006:BE1006),$AO$1006:$BQ$1006,0))&gt;=100000), " ",IF(INDEX($AO$2:$BQ$1001,MATCH(ROWS($AH$2:AH344),$AH$2:$AH$1001,0),MATCH(COLUMNS($AO$1006:BE1006),$AO$1006:$BQ$1006,0)), HYPERLINK("#",""), HYPERLINK(CONCATENATE("#Metadata!", ADDRESS(INDEX($AJ$2:$AJ$1001,MATCH(ROWS($AH$2:AH344),$AH$2:$AH$1001,0),0), INDEX($AO$1004:$BQ$1004,1,MATCH(COLUMNS($AO$1006:BE1006),$AO$1006:$BQ$1006,0)))),"Fix")))</f>
        <v>#N/A</v>
      </c>
      <c r="S344" s="5" t="e">
        <f ca="1">IF(OR(INDEX($AI$2:$AI$1001,MATCH(ROWS($AH$2:AH344),$AH$2:$AH$1001,0),1)&gt;=100000,INDEX($AO$1005:$BQ$1005,1,MATCH(COLUMNS($AO$1006:BF1006),$AO$1006:$BQ$1006,0))&gt;=100000), " ",IF(INDEX($AO$2:$BQ$1001,MATCH(ROWS($AH$2:AH344),$AH$2:$AH$1001,0),MATCH(COLUMNS($AO$1006:BF1006),$AO$1006:$BQ$1006,0)), HYPERLINK("#",""), HYPERLINK(CONCATENATE("#Metadata!", ADDRESS(INDEX($AJ$2:$AJ$1001,MATCH(ROWS($AH$2:AH344),$AH$2:$AH$1001,0),0), INDEX($AO$1004:$BQ$1004,1,MATCH(COLUMNS($AO$1006:BF1006),$AO$1006:$BQ$1006,0)))),"Fix")))</f>
        <v>#N/A</v>
      </c>
      <c r="T344" s="5" t="e">
        <f ca="1">IF(OR(INDEX($AI$2:$AI$1001,MATCH(ROWS($AH$2:AH344),$AH$2:$AH$1001,0),1)&gt;=100000,INDEX($AO$1005:$BQ$1005,1,MATCH(COLUMNS($AO$1006:BG1006),$AO$1006:$BQ$1006,0))&gt;=100000), " ",IF(INDEX($AO$2:$BQ$1001,MATCH(ROWS($AH$2:AH344),$AH$2:$AH$1001,0),MATCH(COLUMNS($AO$1006:BG1006),$AO$1006:$BQ$1006,0)), HYPERLINK("#",""), HYPERLINK(CONCATENATE("#Metadata!", ADDRESS(INDEX($AJ$2:$AJ$1001,MATCH(ROWS($AH$2:AH344),$AH$2:$AH$1001,0),0), INDEX($AO$1004:$BQ$1004,1,MATCH(COLUMNS($AO$1006:BG1006),$AO$1006:$BQ$1006,0)))),"Fix")))</f>
        <v>#N/A</v>
      </c>
      <c r="U344" s="5" t="e">
        <f ca="1">IF(OR(INDEX($AI$2:$AI$1001,MATCH(ROWS($AH$2:AH344),$AH$2:$AH$1001,0),1)&gt;=100000,INDEX($AO$1005:$BQ$1005,1,MATCH(COLUMNS($AO$1006:BH1006),$AO$1006:$BQ$1006,0))&gt;=100000), " ",IF(INDEX($AO$2:$BQ$1001,MATCH(ROWS($AH$2:AH344),$AH$2:$AH$1001,0),MATCH(COLUMNS($AO$1006:BH1006),$AO$1006:$BQ$1006,0)), HYPERLINK("#",""), HYPERLINK(CONCATENATE("#Metadata!", ADDRESS(INDEX($AJ$2:$AJ$1001,MATCH(ROWS($AH$2:AH344),$AH$2:$AH$1001,0),0), INDEX($AO$1004:$BQ$1004,1,MATCH(COLUMNS($AO$1006:BH1006),$AO$1006:$BQ$1006,0)))),"Fix")))</f>
        <v>#N/A</v>
      </c>
      <c r="V344" s="5" t="e">
        <f ca="1">IF(OR(INDEX($AI$2:$AI$1001,MATCH(ROWS($AH$2:AH344),$AH$2:$AH$1001,0),1)&gt;=100000,INDEX($AO$1005:$BQ$1005,1,MATCH(COLUMNS($AO$1006:BI1006),$AO$1006:$BQ$1006,0))&gt;=100000), " ",IF(INDEX($AO$2:$BQ$1001,MATCH(ROWS($AH$2:AH344),$AH$2:$AH$1001,0),MATCH(COLUMNS($AO$1006:BI1006),$AO$1006:$BQ$1006,0)), HYPERLINK("#",""), HYPERLINK(CONCATENATE("#Metadata!", ADDRESS(INDEX($AJ$2:$AJ$1001,MATCH(ROWS($AH$2:AH344),$AH$2:$AH$1001,0),0), INDEX($AO$1004:$BQ$1004,1,MATCH(COLUMNS($AO$1006:BI1006),$AO$1006:$BQ$1006,0)))),"Fix")))</f>
        <v>#N/A</v>
      </c>
      <c r="W344" s="5" t="e">
        <f ca="1">IF(OR(INDEX($AI$2:$AI$1001,MATCH(ROWS($AH$2:AH344),$AH$2:$AH$1001,0),1)&gt;=100000,INDEX($AO$1005:$BQ$1005,1,MATCH(COLUMNS($AO$1006:BJ1006),$AO$1006:$BQ$1006,0))&gt;=100000), " ",IF(INDEX($AO$2:$BQ$1001,MATCH(ROWS($AH$2:AH344),$AH$2:$AH$1001,0),MATCH(COLUMNS($AO$1006:BJ1006),$AO$1006:$BQ$1006,0)), HYPERLINK("#",""), HYPERLINK(CONCATENATE("#Metadata!", ADDRESS(INDEX($AJ$2:$AJ$1001,MATCH(ROWS($AH$2:AH344),$AH$2:$AH$1001,0),0), INDEX($AO$1004:$BQ$1004,1,MATCH(COLUMNS($AO$1006:BJ1006),$AO$1006:$BQ$1006,0)))),"Fix")))</f>
        <v>#N/A</v>
      </c>
      <c r="X344" s="5" t="e">
        <f ca="1">IF(OR(INDEX($AI$2:$AI$1001,MATCH(ROWS($AH$2:AH344),$AH$2:$AH$1001,0),1)&gt;=100000,INDEX($AO$1005:$BQ$1005,1,MATCH(COLUMNS($AO$1006:BK1006),$AO$1006:$BQ$1006,0))&gt;=100000), " ",IF(INDEX($AO$2:$BQ$1001,MATCH(ROWS($AH$2:AH344),$AH$2:$AH$1001,0),MATCH(COLUMNS($AO$1006:BK1006),$AO$1006:$BQ$1006,0)), HYPERLINK("#",""), HYPERLINK(CONCATENATE("#Metadata!", ADDRESS(INDEX($AJ$2:$AJ$1001,MATCH(ROWS($AH$2:AH344),$AH$2:$AH$1001,0),0), INDEX($AO$1004:$BQ$1004,1,MATCH(COLUMNS($AO$1006:BK1006),$AO$1006:$BQ$1006,0)))),"Fix")))</f>
        <v>#N/A</v>
      </c>
      <c r="Y344" s="5" t="e">
        <f ca="1">IF(OR(INDEX($AI$2:$AI$1001,MATCH(ROWS($AH$2:AH344),$AH$2:$AH$1001,0),1)&gt;=100000,INDEX($AO$1005:$BQ$1005,1,MATCH(COLUMNS($AO$1006:BL1006),$AO$1006:$BQ$1006,0))&gt;=100000), " ",IF(INDEX($AO$2:$BQ$1001,MATCH(ROWS($AH$2:AH344),$AH$2:$AH$1001,0),MATCH(COLUMNS($AO$1006:BL1006),$AO$1006:$BQ$1006,0)), HYPERLINK("#",""), HYPERLINK(CONCATENATE("#Metadata!", ADDRESS(INDEX($AJ$2:$AJ$1001,MATCH(ROWS($AH$2:AH344),$AH$2:$AH$1001,0),0), INDEX($AO$1004:$BQ$1004,1,MATCH(COLUMNS($AO$1006:BL1006),$AO$1006:$BQ$1006,0)))),"Fix")))</f>
        <v>#N/A</v>
      </c>
      <c r="Z344" s="5" t="e">
        <f ca="1">IF(OR(INDEX($AI$2:$AI$1001,MATCH(ROWS($AH$2:AH344),$AH$2:$AH$1001,0),1)&gt;=100000,INDEX($AO$1005:$BQ$1005,1,MATCH(COLUMNS($AO$1006:BM1006),$AO$1006:$BQ$1006,0))&gt;=100000), " ",IF(INDEX($AO$2:$BQ$1001,MATCH(ROWS($AH$2:AH344),$AH$2:$AH$1001,0),MATCH(COLUMNS($AO$1006:BM1006),$AO$1006:$BQ$1006,0)), HYPERLINK("#",""), HYPERLINK(CONCATENATE("#Metadata!", ADDRESS(INDEX($AJ$2:$AJ$1001,MATCH(ROWS($AH$2:AH344),$AH$2:$AH$1001,0),0), INDEX($AO$1004:$BQ$1004,1,MATCH(COLUMNS($AO$1006:BM1006),$AO$1006:$BQ$1006,0)))),"Fix")))</f>
        <v>#N/A</v>
      </c>
      <c r="AA344" s="5" t="e">
        <f ca="1">IF(OR(INDEX($AI$2:$AI$1001,MATCH(ROWS($AH$2:AH344),$AH$2:$AH$1001,0),1)&gt;=100000,INDEX($AO$1005:$BQ$1005,1,MATCH(COLUMNS($AO$1006:BN1006),$AO$1006:$BQ$1006,0))&gt;=100000), " ",IF(INDEX($AO$2:$BQ$1001,MATCH(ROWS($AH$2:AH344),$AH$2:$AH$1001,0),MATCH(COLUMNS($AO$1006:BN1006),$AO$1006:$BQ$1006,0)), HYPERLINK("#",""), HYPERLINK(CONCATENATE("#Metadata!", ADDRESS(INDEX($AJ$2:$AJ$1001,MATCH(ROWS($AH$2:AH344),$AH$2:$AH$1001,0),0), INDEX($AO$1004:$BQ$1004,1,MATCH(COLUMNS($AO$1006:BN1006),$AO$1006:$BQ$1006,0)))),"Fix")))</f>
        <v>#N/A</v>
      </c>
      <c r="AB344" s="5" t="e">
        <f ca="1">IF(OR(INDEX($AI$2:$AI$1001,MATCH(ROWS($AH$2:AH344),$AH$2:$AH$1001,0),1)&gt;=100000,INDEX($AO$1005:$BQ$1005,1,MATCH(COLUMNS($AO$1006:BO1006),$AO$1006:$BQ$1006,0))&gt;=100000), " ",IF(INDEX($AO$2:$BQ$1001,MATCH(ROWS($AH$2:AH344),$AH$2:$AH$1001,0),MATCH(COLUMNS($AO$1006:BO1006),$AO$1006:$BQ$1006,0)), HYPERLINK("#",""), HYPERLINK(CONCATENATE("#Metadata!", ADDRESS(INDEX($AJ$2:$AJ$1001,MATCH(ROWS($AH$2:AH344),$AH$2:$AH$1001,0),0), INDEX($AO$1004:$BQ$1004,1,MATCH(COLUMNS($AO$1006:BO1006),$AO$1006:$BQ$1006,0)))),"Fix")))</f>
        <v>#N/A</v>
      </c>
      <c r="AC344" s="5" t="e">
        <f ca="1">IF(OR(INDEX($AI$2:$AI$1001,MATCH(ROWS($AH$2:AH344),$AH$2:$AH$1001,0),1)&gt;=100000,INDEX($AO$1005:$BQ$1005,1,MATCH(COLUMNS($AO$1006:BP1006),$AO$1006:$BQ$1006,0))&gt;=100000), " ",IF(INDEX($AO$2:$BQ$1001,MATCH(ROWS($AH$2:AH344),$AH$2:$AH$1001,0),MATCH(COLUMNS($AO$1006:BP1006),$AO$1006:$BQ$1006,0)), HYPERLINK("#",""), HYPERLINK(CONCATENATE("#Metadata!", ADDRESS(INDEX($AJ$2:$AJ$1001,MATCH(ROWS($AH$2:AH344),$AH$2:$AH$1001,0),0), INDEX($AO$1004:$BQ$1004,1,MATCH(COLUMNS($AO$1006:BP1006),$AO$1006:$BQ$1006,0)))),"Fix")))</f>
        <v>#N/A</v>
      </c>
      <c r="AD344" s="5" t="e">
        <f ca="1">IF(OR(INDEX($AI$2:$AI$1001,MATCH(ROWS($AH$2:AH344),$AH$2:$AH$1001,0),1)&gt;=100000,INDEX($AO$1005:$BQ$1005,1,MATCH(COLUMNS($AO$1006:BQ1006),$AO$1006:$BQ$1006,0))&gt;=100000), " ",IF(INDEX($AO$2:$BQ$1001,MATCH(ROWS($AH$2:AH344),$AH$2:$AH$1001,0),MATCH(COLUMNS($AO$1006:BQ1006),$AO$1006:$BQ$1006,0)), HYPERLINK("#",""), HYPERLINK(CONCATENATE("#Metadata!", ADDRESS(INDEX($AJ$2:$AJ$1001,MATCH(ROWS($AH$2:AH344),$AH$2:$AH$1001,0),0), INDEX($AO$1004:$BQ$1004,1,MATCH(COLUMNS($AO$1006:BQ1006),$AO$1006:$BQ$1006,0)))),"Fix")))</f>
        <v>#REF!</v>
      </c>
      <c r="AH344">
        <f ca="1"/>
        <v>341</v>
      </c>
      <c r="AI344">
        <v>100344</v>
      </c>
      <c r="AJ344">
        <v>344</v>
      </c>
      <c r="AK344" t="b">
        <f t="shared" si="5"/>
        <v>1</v>
      </c>
      <c r="AL344" t="b">
        <f>COUNTBLANK(Metadata!B344:AD344)=COLUMNS(Metadata!B344:AD344)</f>
        <v>1</v>
      </c>
      <c r="AM344" t="str">
        <v/>
      </c>
      <c r="AO344" t="b">
        <f ca="1">AND(IF(Metadata!B344="",FALSE,TRUE),COUNTIF(Metadata!B:B, Metadata!B344) = 1,NOT(ISERROR(SUMPRODUCT(SEARCH(MID(Metadata!B344,ROW(INDIRECT("1:"&amp;LEN(Metadata!B344))), 1),"0123456789abcdefghijklmnopqrstuvwxyzABCDEFGHIJKLMNOPQRSTUVWXYZ.")))))</f>
        <v>0</v>
      </c>
      <c r="AP344" t="b">
        <f>IF(Metadata!C344="",FALSE,TRUE)</f>
        <v>0</v>
      </c>
      <c r="AQ344" t="b">
        <f>IF(Metadata!D344="",FALSE,TRUE)</f>
        <v>0</v>
      </c>
      <c r="AR344" t="b">
        <f ca="1">OR(AND(IF(Metadata!E344="",FALSE,TRUE),OR(EXACT(Metadata!E344,"not collected"),EXACT(Metadata!E344,"not provided"),EXACT(Metadata!E344,"restricted access"))),AND(IF(Metadata!E344="",FALSE,TRUE),AND(AND(IFERROR(INT(LEFT(Metadata!E344,4))&gt;1900,FALSE),IFERROR(INT(LEFT(Metadata!E344,4))&lt;=YEAR(NOW()),FALSE)), OR(MID(Metadata!E344,5,1)="", AND(AND(MID(Metadata!E344,5,1)="-",IFERROR(INT(MID(Metadata!E344,6,1))&gt;=0,FALSE),IFERROR(INT(MID(Metadata!E344,6,1))&lt;=1,FALSE),NOT(MID(Metadata!E344,7,1)=""),IFERROR(INT(MID(Metadata!E344,6,2))&gt;=1,FALSE),IFERROR(INT(MID(Metadata!E344,6,2))&lt;=12,FALSE)), OR(MID(Metadata!E344,8,1)="", AND(AND(MID(Metadata!E344,8,1)="-",IFERROR(INT(MID(Metadata!E344,9,1))&gt;=0,FALSE),IFERROR(INT(MID(Metadata!E344,9,1))&lt;=3,FALSE),NOT(MID(Metadata!E344,10,1)=""),IFERROR(INT(MID(Metadata!E344,9,2))&gt;=1,FALSE),IFERROR(INT(MID(Metadata!E344,9,2))&lt;=31,FALSE)), OR(MID(Metadata!E344,11,1)="", AND(AND(MID(Metadata!E344,11,1)=" ",IFERROR(INT(MID(Metadata!E344,12,1))&gt;=0,FALSE),IFERROR(INT(MID(Metadata!E344,12,1))&lt;=2,FALSE),NOT(MID(Metadata!E344,13,1)=""),IFERROR(INT(MID(Metadata!E344,12,2))&gt;=0,FALSE),IFERROR(INT(MID(Metadata!E344,12,2))&lt;=23,FALSE)), OR(MID(Metadata!E344,14,1)="", AND(AND(MID(Metadata!E344,14,1)=":",IFERROR(INT(MID(Metadata!E344,15,1))&gt;=0,FALSE),IFERROR(INT(MID(Metadata!E344,15,1))&lt;=5,FALSE),NOT(MID(Metadata!E344,16,1)=""),IFERROR(INT(MID(Metadata!E344,15,2))&gt;=0,FALSE),IFERROR(INT(MID(Metadata!E344,15,2))&lt;=59,FALSE)), OR(MID(Metadata!E344,17,1)="", AND(AND(MID(Metadata!E344,17,1)=":",IFERROR(INT(MID(Metadata!E344,18,1))&gt;=0,FALSE),IFERROR(INT(MID(Metadata!E344,18,1))&lt;=5,FALSE),NOT(MID(Metadata!E344,19,1)=""),IFERROR(INT(MID(Metadata!E344,18,2))&gt;=0,FALSE),IFERROR(INT(MID(Metadata!E344,18,2))&lt;=59,FALSE)), LEN(Metadata!E344)&lt;=19)))))))))))))</f>
        <v>0</v>
      </c>
      <c r="AS344" t="b">
        <f>IF(Metadata!F344="",FALSE,TRUE)</f>
        <v>0</v>
      </c>
      <c r="AT344" t="b">
        <f>OR(AND(IF(Metadata!G344="",FALSE,TRUE),OR(EXACT(Metadata!G344,"not collected"),EXACT(Metadata!G344,"not provided"))),AND(IF(Metadata!G344="",FALSE,TRUE),OR(EXACT(Metadata!G344,"TRUE"),EXACT(Metadata!G344,"FALSE"))))</f>
        <v>0</v>
      </c>
      <c r="AU344" t="b">
        <f>OR(AND(IF(Metadata!H344="",FALSE,TRUE),OR(EXACT(Metadata!H344,"not collected"),EXACT(Metadata!H344,"not provided"),EXACT(Metadata!H344,"restricted access"))),AND(IF(Metadata!H344="",FALSE,ISNUMBER(VALUE(Metadata!H344))),Metadata!H344&gt;=-413))</f>
        <v>0</v>
      </c>
      <c r="AV344" t="b">
        <f>AND(IF(Metadata!I344="",FALSE,TRUE),EXACT(Metadata!I344,"meters"))</f>
        <v>0</v>
      </c>
      <c r="AW344" t="b">
        <f>AND(IF(Metadata!J344="",FALSE,TRUE),EXACT(Metadata!J344,"free-living"))</f>
        <v>0</v>
      </c>
      <c r="AX344" t="b">
        <f>AND(IF(Metadata!K344="",FALSE,TRUE),OR(EXACT(Metadata!K344,"saline"),EXACT(Metadata!K344,"non-saline")))</f>
        <v>0</v>
      </c>
      <c r="AY344" t="b">
        <f>AND(IF(Metadata!L344="",FALSE,TRUE),OR(EXACT(Metadata!L344,"sub-surface (non-saline)"),EXACT(Metadata!L344,"surface (non-saline)"),EXACT(Metadata!L344,"water (non-saline)"),EXACT(Metadata!L344,"soil (non-saline)"),EXACT(Metadata!L344,"aerosol (non-saline)"),EXACT(Metadata!L344,"sediment (non-saline)"),EXACT(Metadata!L344,"surface (saline)"),EXACT(Metadata!L344,"water (saline)"),EXACT(Metadata!L344,"hypersaline (saline)"),EXACT(Metadata!L344,"aerosol (saline)"),EXACT(Metadata!L344,"sediment (saline)")))</f>
        <v>0</v>
      </c>
      <c r="AZ344" t="b">
        <f>IF(Metadata!M344="",FALSE,TRUE)</f>
        <v>0</v>
      </c>
      <c r="BA344" t="b">
        <f>IF(Metadata!N344="",FALSE,TRUE)</f>
        <v>0</v>
      </c>
      <c r="BB344" t="b">
        <f>IF(Metadata!O344="",FALSE,TRUE)</f>
        <v>0</v>
      </c>
      <c r="BC344" t="b">
        <f>AND(IF(Metadata!P344="",FALSE,TRUE),OR(EXACT(Metadata!P344,"air"),EXACT(Metadata!P344,"microbial mat/biofilm"),EXACT(Metadata!P344,"misc environment"),EXACT(Metadata!P344,"sediment"),EXACT(Metadata!P344,"soil"),EXACT(Metadata!P344,"wastewater/sludge"),EXACT(Metadata!P344,"water")))</f>
        <v>0</v>
      </c>
      <c r="BD344" t="b">
        <f>IF(Metadata!Q344="",FALSE,TRUE)</f>
        <v>0</v>
      </c>
      <c r="BE344" t="b">
        <f>IF(Metadata!R344="",FALSE,TRUE)</f>
        <v>0</v>
      </c>
      <c r="BF344" t="b">
        <f>OR(AND(IF(Metadata!S344="",FALSE,TRUE),OR(EXACT(Metadata!S344,"not collected"),EXACT(Metadata!S344,"not provided"),EXACT(Metadata!S344,"restricted access"))),AND(IF(Metadata!S344="",FALSE,ISNUMBER(VALUE(Metadata!S344))),Metadata!S344&gt;=-90,Metadata!S344&lt;=90))</f>
        <v>0</v>
      </c>
      <c r="BG344" t="b">
        <f>AND(IF(Metadata!T344="",FALSE,TRUE),EXACT(Metadata!T344,"Decimal degrees"))</f>
        <v>0</v>
      </c>
      <c r="BH344" t="b">
        <f>OR(AND(IF(Metadata!U344="",FALSE,TRUE),OR(EXACT(Metadata!U344,"not applicable"),EXACT(Metadata!U344,"not collected"))),IF(Metadata!U344="",FALSE,TRUE))</f>
        <v>0</v>
      </c>
      <c r="BI344" t="b">
        <f>OR(AND(IF(Metadata!V344="",FALSE,TRUE),OR(EXACT(Metadata!V344,"not collected"),EXACT(Metadata!V344,"not provided"),EXACT(Metadata!V344,"restricted access"))),AND(IF(Metadata!V344="",FALSE,ISNUMBER(VALUE(Metadata!V344))),Metadata!V344&gt;=-180,Metadata!V344&lt;=180))</f>
        <v>0</v>
      </c>
      <c r="BJ344" t="b">
        <f>AND(IF(Metadata!W344="",FALSE,TRUE),EXACT(Metadata!W344,"Decimal degrees"))</f>
        <v>0</v>
      </c>
      <c r="BK344" t="b">
        <f>IF(Metadata!X344="",FALSE,TRUE)</f>
        <v>0</v>
      </c>
      <c r="BL344" t="b">
        <f>OR(AND(IF(Metadata!Y344="",FALSE,TRUE),OR(EXACT(Metadata!Y344,"not collected"),EXACT(Metadata!Y344,"not provided"),EXACT(Metadata!Y344,"restricted access"))),AND(IF(Metadata!Y344="",FALSE,TRUE),OR(EXACT(Metadata!Y344,"TRUE"),EXACT(Metadata!Y344,"FALSE"))))</f>
        <v>0</v>
      </c>
      <c r="BM344" t="b">
        <f>OR(AND(IF(Metadata!Z344="",FALSE,TRUE),EXACT(Metadata!Z344,"not applicable")),AND(IF(Metadata!Z344="",FALSE,TRUE),OR(EXACT(Metadata!Z344,"beer"),EXACT(Metadata!Z344,"cheese"),EXACT(Metadata!Z344,"fresh water"),EXACT(Metadata!Z344,"marine sediment"),EXACT(Metadata!Z344,"sea water"),EXACT(Metadata!Z344,"sediment"),EXACT(Metadata!Z344,"soil"),EXACT(Metadata!Z344,"waste water"))))</f>
        <v>0</v>
      </c>
      <c r="BN344" t="b">
        <f>AND(IF(Metadata!AA344="",FALSE,TRUE),EXACT(Metadata!AA344,"metagenome"))</f>
        <v>0</v>
      </c>
      <c r="BO344" t="b">
        <f>AND(IF(Metadata!AB344="",FALSE,TRUE),EXACT(Metadata!AB344,"256318"))</f>
        <v>0</v>
      </c>
      <c r="BP344" t="b">
        <f>IF(Metadata!AC344="",FALSE,TRUE)</f>
        <v>0</v>
      </c>
      <c r="BQ344" t="b">
        <f>IF(Metadata!AD344="",FALSE,TRUE)</f>
        <v>0</v>
      </c>
    </row>
    <row r="345" spans="1:69" x14ac:dyDescent="0.2">
      <c r="A345" s="4" t="e">
        <f ca="1">IF(B345=" "," ",HYPERLINK(CONCATENATE("#metadata!",ADDRESS(INDEX($AJ$2:$AJ$1001,MATCH(ROWS($AH$2:AH345),$AH$2:$AH$1001,0),0),2)),INDEX($AM$2:$AM$1001,MATCH(ROWS($AH$2:AH345),$AH$2:$AH$1001,0),0)))</f>
        <v>#N/A</v>
      </c>
      <c r="B345" s="5" t="e">
        <f ca="1">IF(OR(INDEX($AI$2:$AI$1001,MATCH(ROWS($AH$2:AH345),$AH$2:$AH$1001,0),1)&gt;=100000,INDEX($AO$1005:$BQ$1005,1,MATCH(COLUMNS($AO$1006:AO1006),$AO$1006:$BQ$1006,0))&gt;=100000), " ",IF(INDEX($AO$2:$BQ$1001,MATCH(ROWS($AH$2:AH345),$AH$2:$AH$1001,0),MATCH(COLUMNS($AO$1006:AO1006),$AO$1006:$BQ$1006,0)), HYPERLINK("#",""), HYPERLINK(CONCATENATE("#Metadata!", ADDRESS(INDEX($AJ$2:$AJ$1001,MATCH(ROWS($AH$2:AH345),$AH$2:$AH$1001,0),0), INDEX($AO$1004:$BQ$1004,1,MATCH(COLUMNS($AO$1006:AO1006),$AO$1006:$BQ$1006,0)))),"Fix")))</f>
        <v>#N/A</v>
      </c>
      <c r="C345" s="5" t="e">
        <f ca="1">IF(OR(INDEX($AI$2:$AI$1001,MATCH(ROWS($AH$2:AH345),$AH$2:$AH$1001,0),1)&gt;=100000,INDEX($AO$1005:$BQ$1005,1,MATCH(COLUMNS($AO$1006:AP1006),$AO$1006:$BQ$1006,0))&gt;=100000), " ",IF(INDEX($AO$2:$BQ$1001,MATCH(ROWS($AH$2:AH345),$AH$2:$AH$1001,0),MATCH(COLUMNS($AO$1006:AP1006),$AO$1006:$BQ$1006,0)), HYPERLINK("#",""), HYPERLINK(CONCATENATE("#Metadata!", ADDRESS(INDEX($AJ$2:$AJ$1001,MATCH(ROWS($AH$2:AH345),$AH$2:$AH$1001,0),0), INDEX($AO$1004:$BQ$1004,1,MATCH(COLUMNS($AO$1006:AP1006),$AO$1006:$BQ$1006,0)))),"Fix")))</f>
        <v>#N/A</v>
      </c>
      <c r="D345" s="5" t="e">
        <f ca="1">IF(OR(INDEX($AI$2:$AI$1001,MATCH(ROWS($AH$2:AH345),$AH$2:$AH$1001,0),1)&gt;=100000,INDEX($AO$1005:$BQ$1005,1,MATCH(COLUMNS($AO$1006:AQ1006),$AO$1006:$BQ$1006,0))&gt;=100000), " ",IF(INDEX($AO$2:$BQ$1001,MATCH(ROWS($AH$2:AH345),$AH$2:$AH$1001,0),MATCH(COLUMNS($AO$1006:AQ1006),$AO$1006:$BQ$1006,0)), HYPERLINK("#",""), HYPERLINK(CONCATENATE("#Metadata!", ADDRESS(INDEX($AJ$2:$AJ$1001,MATCH(ROWS($AH$2:AH345),$AH$2:$AH$1001,0),0), INDEX($AO$1004:$BQ$1004,1,MATCH(COLUMNS($AO$1006:AQ1006),$AO$1006:$BQ$1006,0)))),"Fix")))</f>
        <v>#N/A</v>
      </c>
      <c r="E345" s="5" t="e">
        <f ca="1">IF(OR(INDEX($AI$2:$AI$1001,MATCH(ROWS($AH$2:AH345),$AH$2:$AH$1001,0),1)&gt;=100000,INDEX($AO$1005:$BQ$1005,1,MATCH(COLUMNS($AO$1006:AR1006),$AO$1006:$BQ$1006,0))&gt;=100000), " ",IF(INDEX($AO$2:$BQ$1001,MATCH(ROWS($AH$2:AH345),$AH$2:$AH$1001,0),MATCH(COLUMNS($AO$1006:AR1006),$AO$1006:$BQ$1006,0)), HYPERLINK("#",""), HYPERLINK(CONCATENATE("#Metadata!", ADDRESS(INDEX($AJ$2:$AJ$1001,MATCH(ROWS($AH$2:AH345),$AH$2:$AH$1001,0),0), INDEX($AO$1004:$BQ$1004,1,MATCH(COLUMNS($AO$1006:AR1006),$AO$1006:$BQ$1006,0)))),"Fix")))</f>
        <v>#N/A</v>
      </c>
      <c r="F345" s="5" t="e">
        <f ca="1">IF(OR(INDEX($AI$2:$AI$1001,MATCH(ROWS($AH$2:AH345),$AH$2:$AH$1001,0),1)&gt;=100000,INDEX($AO$1005:$BQ$1005,1,MATCH(COLUMNS($AO$1006:AS1006),$AO$1006:$BQ$1006,0))&gt;=100000), " ",IF(INDEX($AO$2:$BQ$1001,MATCH(ROWS($AH$2:AH345),$AH$2:$AH$1001,0),MATCH(COLUMNS($AO$1006:AS1006),$AO$1006:$BQ$1006,0)), HYPERLINK("#",""), HYPERLINK(CONCATENATE("#Metadata!", ADDRESS(INDEX($AJ$2:$AJ$1001,MATCH(ROWS($AH$2:AH345),$AH$2:$AH$1001,0),0), INDEX($AO$1004:$BQ$1004,1,MATCH(COLUMNS($AO$1006:AS1006),$AO$1006:$BQ$1006,0)))),"Fix")))</f>
        <v>#N/A</v>
      </c>
      <c r="G345" s="5" t="e">
        <f ca="1">IF(OR(INDEX($AI$2:$AI$1001,MATCH(ROWS($AH$2:AH345),$AH$2:$AH$1001,0),1)&gt;=100000,INDEX($AO$1005:$BQ$1005,1,MATCH(COLUMNS($AO$1006:AT1006),$AO$1006:$BQ$1006,0))&gt;=100000), " ",IF(INDEX($AO$2:$BQ$1001,MATCH(ROWS($AH$2:AH345),$AH$2:$AH$1001,0),MATCH(COLUMNS($AO$1006:AT1006),$AO$1006:$BQ$1006,0)), HYPERLINK("#",""), HYPERLINK(CONCATENATE("#Metadata!", ADDRESS(INDEX($AJ$2:$AJ$1001,MATCH(ROWS($AH$2:AH345),$AH$2:$AH$1001,0),0), INDEX($AO$1004:$BQ$1004,1,MATCH(COLUMNS($AO$1006:AT1006),$AO$1006:$BQ$1006,0)))),"Fix")))</f>
        <v>#N/A</v>
      </c>
      <c r="H345" s="5" t="e">
        <f ca="1">IF(OR(INDEX($AI$2:$AI$1001,MATCH(ROWS($AH$2:AH345),$AH$2:$AH$1001,0),1)&gt;=100000,INDEX($AO$1005:$BQ$1005,1,MATCH(COLUMNS($AO$1006:AU1006),$AO$1006:$BQ$1006,0))&gt;=100000), " ",IF(INDEX($AO$2:$BQ$1001,MATCH(ROWS($AH$2:AH345),$AH$2:$AH$1001,0),MATCH(COLUMNS($AO$1006:AU1006),$AO$1006:$BQ$1006,0)), HYPERLINK("#",""), HYPERLINK(CONCATENATE("#Metadata!", ADDRESS(INDEX($AJ$2:$AJ$1001,MATCH(ROWS($AH$2:AH345),$AH$2:$AH$1001,0),0), INDEX($AO$1004:$BQ$1004,1,MATCH(COLUMNS($AO$1006:AU1006),$AO$1006:$BQ$1006,0)))),"Fix")))</f>
        <v>#N/A</v>
      </c>
      <c r="I345" s="5" t="e">
        <f ca="1">IF(OR(INDEX($AI$2:$AI$1001,MATCH(ROWS($AH$2:AH345),$AH$2:$AH$1001,0),1)&gt;=100000,INDEX($AO$1005:$BQ$1005,1,MATCH(COLUMNS($AO$1006:AV1006),$AO$1006:$BQ$1006,0))&gt;=100000), " ",IF(INDEX($AO$2:$BQ$1001,MATCH(ROWS($AH$2:AH345),$AH$2:$AH$1001,0),MATCH(COLUMNS($AO$1006:AV1006),$AO$1006:$BQ$1006,0)), HYPERLINK("#",""), HYPERLINK(CONCATENATE("#Metadata!", ADDRESS(INDEX($AJ$2:$AJ$1001,MATCH(ROWS($AH$2:AH345),$AH$2:$AH$1001,0),0), INDEX($AO$1004:$BQ$1004,1,MATCH(COLUMNS($AO$1006:AV1006),$AO$1006:$BQ$1006,0)))),"Fix")))</f>
        <v>#N/A</v>
      </c>
      <c r="J345" s="5" t="e">
        <f ca="1">IF(OR(INDEX($AI$2:$AI$1001,MATCH(ROWS($AH$2:AH345),$AH$2:$AH$1001,0),1)&gt;=100000,INDEX($AO$1005:$BQ$1005,1,MATCH(COLUMNS($AO$1006:AW1006),$AO$1006:$BQ$1006,0))&gt;=100000), " ",IF(INDEX($AO$2:$BQ$1001,MATCH(ROWS($AH$2:AH345),$AH$2:$AH$1001,0),MATCH(COLUMNS($AO$1006:AW1006),$AO$1006:$BQ$1006,0)), HYPERLINK("#",""), HYPERLINK(CONCATENATE("#Metadata!", ADDRESS(INDEX($AJ$2:$AJ$1001,MATCH(ROWS($AH$2:AH345),$AH$2:$AH$1001,0),0), INDEX($AO$1004:$BQ$1004,1,MATCH(COLUMNS($AO$1006:AW1006),$AO$1006:$BQ$1006,0)))),"Fix")))</f>
        <v>#N/A</v>
      </c>
      <c r="K345" s="5" t="e">
        <f ca="1">IF(OR(INDEX($AI$2:$AI$1001,MATCH(ROWS($AH$2:AH345),$AH$2:$AH$1001,0),1)&gt;=100000,INDEX($AO$1005:$BQ$1005,1,MATCH(COLUMNS($AO$1006:AX1006),$AO$1006:$BQ$1006,0))&gt;=100000), " ",IF(INDEX($AO$2:$BQ$1001,MATCH(ROWS($AH$2:AH345),$AH$2:$AH$1001,0),MATCH(COLUMNS($AO$1006:AX1006),$AO$1006:$BQ$1006,0)), HYPERLINK("#",""), HYPERLINK(CONCATENATE("#Metadata!", ADDRESS(INDEX($AJ$2:$AJ$1001,MATCH(ROWS($AH$2:AH345),$AH$2:$AH$1001,0),0), INDEX($AO$1004:$BQ$1004,1,MATCH(COLUMNS($AO$1006:AX1006),$AO$1006:$BQ$1006,0)))),"Fix")))</f>
        <v>#N/A</v>
      </c>
      <c r="L345" s="5" t="e">
        <f ca="1">IF(OR(INDEX($AI$2:$AI$1001,MATCH(ROWS($AH$2:AH345),$AH$2:$AH$1001,0),1)&gt;=100000,INDEX($AO$1005:$BQ$1005,1,MATCH(COLUMNS($AO$1006:AY1006),$AO$1006:$BQ$1006,0))&gt;=100000), " ",IF(INDEX($AO$2:$BQ$1001,MATCH(ROWS($AH$2:AH345),$AH$2:$AH$1001,0),MATCH(COLUMNS($AO$1006:AY1006),$AO$1006:$BQ$1006,0)), HYPERLINK("#",""), HYPERLINK(CONCATENATE("#Metadata!", ADDRESS(INDEX($AJ$2:$AJ$1001,MATCH(ROWS($AH$2:AH345),$AH$2:$AH$1001,0),0), INDEX($AO$1004:$BQ$1004,1,MATCH(COLUMNS($AO$1006:AY1006),$AO$1006:$BQ$1006,0)))),"Fix")))</f>
        <v>#N/A</v>
      </c>
      <c r="M345" s="5" t="e">
        <f ca="1">IF(OR(INDEX($AI$2:$AI$1001,MATCH(ROWS($AH$2:AH345),$AH$2:$AH$1001,0),1)&gt;=100000,INDEX($AO$1005:$BQ$1005,1,MATCH(COLUMNS($AO$1006:AZ1006),$AO$1006:$BQ$1006,0))&gt;=100000), " ",IF(INDEX($AO$2:$BQ$1001,MATCH(ROWS($AH$2:AH345),$AH$2:$AH$1001,0),MATCH(COLUMNS($AO$1006:AZ1006),$AO$1006:$BQ$1006,0)), HYPERLINK("#",""), HYPERLINK(CONCATENATE("#Metadata!", ADDRESS(INDEX($AJ$2:$AJ$1001,MATCH(ROWS($AH$2:AH345),$AH$2:$AH$1001,0),0), INDEX($AO$1004:$BQ$1004,1,MATCH(COLUMNS($AO$1006:AZ1006),$AO$1006:$BQ$1006,0)))),"Fix")))</f>
        <v>#N/A</v>
      </c>
      <c r="N345" s="5" t="e">
        <f ca="1">IF(OR(INDEX($AI$2:$AI$1001,MATCH(ROWS($AH$2:AH345),$AH$2:$AH$1001,0),1)&gt;=100000,INDEX($AO$1005:$BQ$1005,1,MATCH(COLUMNS($AO$1006:BA1006),$AO$1006:$BQ$1006,0))&gt;=100000), " ",IF(INDEX($AO$2:$BQ$1001,MATCH(ROWS($AH$2:AH345),$AH$2:$AH$1001,0),MATCH(COLUMNS($AO$1006:BA1006),$AO$1006:$BQ$1006,0)), HYPERLINK("#",""), HYPERLINK(CONCATENATE("#Metadata!", ADDRESS(INDEX($AJ$2:$AJ$1001,MATCH(ROWS($AH$2:AH345),$AH$2:$AH$1001,0),0), INDEX($AO$1004:$BQ$1004,1,MATCH(COLUMNS($AO$1006:BA1006),$AO$1006:$BQ$1006,0)))),"Fix")))</f>
        <v>#N/A</v>
      </c>
      <c r="O345" s="5" t="e">
        <f ca="1">IF(OR(INDEX($AI$2:$AI$1001,MATCH(ROWS($AH$2:AH345),$AH$2:$AH$1001,0),1)&gt;=100000,INDEX($AO$1005:$BQ$1005,1,MATCH(COLUMNS($AO$1006:BB1006),$AO$1006:$BQ$1006,0))&gt;=100000), " ",IF(INDEX($AO$2:$BQ$1001,MATCH(ROWS($AH$2:AH345),$AH$2:$AH$1001,0),MATCH(COLUMNS($AO$1006:BB1006),$AO$1006:$BQ$1006,0)), HYPERLINK("#",""), HYPERLINK(CONCATENATE("#Metadata!", ADDRESS(INDEX($AJ$2:$AJ$1001,MATCH(ROWS($AH$2:AH345),$AH$2:$AH$1001,0),0), INDEX($AO$1004:$BQ$1004,1,MATCH(COLUMNS($AO$1006:BB1006),$AO$1006:$BQ$1006,0)))),"Fix")))</f>
        <v>#N/A</v>
      </c>
      <c r="P345" s="5" t="e">
        <f ca="1">IF(OR(INDEX($AI$2:$AI$1001,MATCH(ROWS($AH$2:AH345),$AH$2:$AH$1001,0),1)&gt;=100000,INDEX($AO$1005:$BQ$1005,1,MATCH(COLUMNS($AO$1006:BC1006),$AO$1006:$BQ$1006,0))&gt;=100000), " ",IF(INDEX($AO$2:$BQ$1001,MATCH(ROWS($AH$2:AH345),$AH$2:$AH$1001,0),MATCH(COLUMNS($AO$1006:BC1006),$AO$1006:$BQ$1006,0)), HYPERLINK("#",""), HYPERLINK(CONCATENATE("#Metadata!", ADDRESS(INDEX($AJ$2:$AJ$1001,MATCH(ROWS($AH$2:AH345),$AH$2:$AH$1001,0),0), INDEX($AO$1004:$BQ$1004,1,MATCH(COLUMNS($AO$1006:BC1006),$AO$1006:$BQ$1006,0)))),"Fix")))</f>
        <v>#N/A</v>
      </c>
      <c r="Q345" s="5" t="e">
        <f ca="1">IF(OR(INDEX($AI$2:$AI$1001,MATCH(ROWS($AH$2:AH345),$AH$2:$AH$1001,0),1)&gt;=100000,INDEX($AO$1005:$BQ$1005,1,MATCH(COLUMNS($AO$1006:BD1006),$AO$1006:$BQ$1006,0))&gt;=100000), " ",IF(INDEX($AO$2:$BQ$1001,MATCH(ROWS($AH$2:AH345),$AH$2:$AH$1001,0),MATCH(COLUMNS($AO$1006:BD1006),$AO$1006:$BQ$1006,0)), HYPERLINK("#",""), HYPERLINK(CONCATENATE("#Metadata!", ADDRESS(INDEX($AJ$2:$AJ$1001,MATCH(ROWS($AH$2:AH345),$AH$2:$AH$1001,0),0), INDEX($AO$1004:$BQ$1004,1,MATCH(COLUMNS($AO$1006:BD1006),$AO$1006:$BQ$1006,0)))),"Fix")))</f>
        <v>#N/A</v>
      </c>
      <c r="R345" s="5" t="e">
        <f ca="1">IF(OR(INDEX($AI$2:$AI$1001,MATCH(ROWS($AH$2:AH345),$AH$2:$AH$1001,0),1)&gt;=100000,INDEX($AO$1005:$BQ$1005,1,MATCH(COLUMNS($AO$1006:BE1006),$AO$1006:$BQ$1006,0))&gt;=100000), " ",IF(INDEX($AO$2:$BQ$1001,MATCH(ROWS($AH$2:AH345),$AH$2:$AH$1001,0),MATCH(COLUMNS($AO$1006:BE1006),$AO$1006:$BQ$1006,0)), HYPERLINK("#",""), HYPERLINK(CONCATENATE("#Metadata!", ADDRESS(INDEX($AJ$2:$AJ$1001,MATCH(ROWS($AH$2:AH345),$AH$2:$AH$1001,0),0), INDEX($AO$1004:$BQ$1004,1,MATCH(COLUMNS($AO$1006:BE1006),$AO$1006:$BQ$1006,0)))),"Fix")))</f>
        <v>#N/A</v>
      </c>
      <c r="S345" s="5" t="e">
        <f ca="1">IF(OR(INDEX($AI$2:$AI$1001,MATCH(ROWS($AH$2:AH345),$AH$2:$AH$1001,0),1)&gt;=100000,INDEX($AO$1005:$BQ$1005,1,MATCH(COLUMNS($AO$1006:BF1006),$AO$1006:$BQ$1006,0))&gt;=100000), " ",IF(INDEX($AO$2:$BQ$1001,MATCH(ROWS($AH$2:AH345),$AH$2:$AH$1001,0),MATCH(COLUMNS($AO$1006:BF1006),$AO$1006:$BQ$1006,0)), HYPERLINK("#",""), HYPERLINK(CONCATENATE("#Metadata!", ADDRESS(INDEX($AJ$2:$AJ$1001,MATCH(ROWS($AH$2:AH345),$AH$2:$AH$1001,0),0), INDEX($AO$1004:$BQ$1004,1,MATCH(COLUMNS($AO$1006:BF1006),$AO$1006:$BQ$1006,0)))),"Fix")))</f>
        <v>#N/A</v>
      </c>
      <c r="T345" s="5" t="e">
        <f ca="1">IF(OR(INDEX($AI$2:$AI$1001,MATCH(ROWS($AH$2:AH345),$AH$2:$AH$1001,0),1)&gt;=100000,INDEX($AO$1005:$BQ$1005,1,MATCH(COLUMNS($AO$1006:BG1006),$AO$1006:$BQ$1006,0))&gt;=100000), " ",IF(INDEX($AO$2:$BQ$1001,MATCH(ROWS($AH$2:AH345),$AH$2:$AH$1001,0),MATCH(COLUMNS($AO$1006:BG1006),$AO$1006:$BQ$1006,0)), HYPERLINK("#",""), HYPERLINK(CONCATENATE("#Metadata!", ADDRESS(INDEX($AJ$2:$AJ$1001,MATCH(ROWS($AH$2:AH345),$AH$2:$AH$1001,0),0), INDEX($AO$1004:$BQ$1004,1,MATCH(COLUMNS($AO$1006:BG1006),$AO$1006:$BQ$1006,0)))),"Fix")))</f>
        <v>#N/A</v>
      </c>
      <c r="U345" s="5" t="e">
        <f ca="1">IF(OR(INDEX($AI$2:$AI$1001,MATCH(ROWS($AH$2:AH345),$AH$2:$AH$1001,0),1)&gt;=100000,INDEX($AO$1005:$BQ$1005,1,MATCH(COLUMNS($AO$1006:BH1006),$AO$1006:$BQ$1006,0))&gt;=100000), " ",IF(INDEX($AO$2:$BQ$1001,MATCH(ROWS($AH$2:AH345),$AH$2:$AH$1001,0),MATCH(COLUMNS($AO$1006:BH1006),$AO$1006:$BQ$1006,0)), HYPERLINK("#",""), HYPERLINK(CONCATENATE("#Metadata!", ADDRESS(INDEX($AJ$2:$AJ$1001,MATCH(ROWS($AH$2:AH345),$AH$2:$AH$1001,0),0), INDEX($AO$1004:$BQ$1004,1,MATCH(COLUMNS($AO$1006:BH1006),$AO$1006:$BQ$1006,0)))),"Fix")))</f>
        <v>#N/A</v>
      </c>
      <c r="V345" s="5" t="e">
        <f ca="1">IF(OR(INDEX($AI$2:$AI$1001,MATCH(ROWS($AH$2:AH345),$AH$2:$AH$1001,0),1)&gt;=100000,INDEX($AO$1005:$BQ$1005,1,MATCH(COLUMNS($AO$1006:BI1006),$AO$1006:$BQ$1006,0))&gt;=100000), " ",IF(INDEX($AO$2:$BQ$1001,MATCH(ROWS($AH$2:AH345),$AH$2:$AH$1001,0),MATCH(COLUMNS($AO$1006:BI1006),$AO$1006:$BQ$1006,0)), HYPERLINK("#",""), HYPERLINK(CONCATENATE("#Metadata!", ADDRESS(INDEX($AJ$2:$AJ$1001,MATCH(ROWS($AH$2:AH345),$AH$2:$AH$1001,0),0), INDEX($AO$1004:$BQ$1004,1,MATCH(COLUMNS($AO$1006:BI1006),$AO$1006:$BQ$1006,0)))),"Fix")))</f>
        <v>#N/A</v>
      </c>
      <c r="W345" s="5" t="e">
        <f ca="1">IF(OR(INDEX($AI$2:$AI$1001,MATCH(ROWS($AH$2:AH345),$AH$2:$AH$1001,0),1)&gt;=100000,INDEX($AO$1005:$BQ$1005,1,MATCH(COLUMNS($AO$1006:BJ1006),$AO$1006:$BQ$1006,0))&gt;=100000), " ",IF(INDEX($AO$2:$BQ$1001,MATCH(ROWS($AH$2:AH345),$AH$2:$AH$1001,0),MATCH(COLUMNS($AO$1006:BJ1006),$AO$1006:$BQ$1006,0)), HYPERLINK("#",""), HYPERLINK(CONCATENATE("#Metadata!", ADDRESS(INDEX($AJ$2:$AJ$1001,MATCH(ROWS($AH$2:AH345),$AH$2:$AH$1001,0),0), INDEX($AO$1004:$BQ$1004,1,MATCH(COLUMNS($AO$1006:BJ1006),$AO$1006:$BQ$1006,0)))),"Fix")))</f>
        <v>#N/A</v>
      </c>
      <c r="X345" s="5" t="e">
        <f ca="1">IF(OR(INDEX($AI$2:$AI$1001,MATCH(ROWS($AH$2:AH345),$AH$2:$AH$1001,0),1)&gt;=100000,INDEX($AO$1005:$BQ$1005,1,MATCH(COLUMNS($AO$1006:BK1006),$AO$1006:$BQ$1006,0))&gt;=100000), " ",IF(INDEX($AO$2:$BQ$1001,MATCH(ROWS($AH$2:AH345),$AH$2:$AH$1001,0),MATCH(COLUMNS($AO$1006:BK1006),$AO$1006:$BQ$1006,0)), HYPERLINK("#",""), HYPERLINK(CONCATENATE("#Metadata!", ADDRESS(INDEX($AJ$2:$AJ$1001,MATCH(ROWS($AH$2:AH345),$AH$2:$AH$1001,0),0), INDEX($AO$1004:$BQ$1004,1,MATCH(COLUMNS($AO$1006:BK1006),$AO$1006:$BQ$1006,0)))),"Fix")))</f>
        <v>#N/A</v>
      </c>
      <c r="Y345" s="5" t="e">
        <f ca="1">IF(OR(INDEX($AI$2:$AI$1001,MATCH(ROWS($AH$2:AH345),$AH$2:$AH$1001,0),1)&gt;=100000,INDEX($AO$1005:$BQ$1005,1,MATCH(COLUMNS($AO$1006:BL1006),$AO$1006:$BQ$1006,0))&gt;=100000), " ",IF(INDEX($AO$2:$BQ$1001,MATCH(ROWS($AH$2:AH345),$AH$2:$AH$1001,0),MATCH(COLUMNS($AO$1006:BL1006),$AO$1006:$BQ$1006,0)), HYPERLINK("#",""), HYPERLINK(CONCATENATE("#Metadata!", ADDRESS(INDEX($AJ$2:$AJ$1001,MATCH(ROWS($AH$2:AH345),$AH$2:$AH$1001,0),0), INDEX($AO$1004:$BQ$1004,1,MATCH(COLUMNS($AO$1006:BL1006),$AO$1006:$BQ$1006,0)))),"Fix")))</f>
        <v>#N/A</v>
      </c>
      <c r="Z345" s="5" t="e">
        <f ca="1">IF(OR(INDEX($AI$2:$AI$1001,MATCH(ROWS($AH$2:AH345),$AH$2:$AH$1001,0),1)&gt;=100000,INDEX($AO$1005:$BQ$1005,1,MATCH(COLUMNS($AO$1006:BM1006),$AO$1006:$BQ$1006,0))&gt;=100000), " ",IF(INDEX($AO$2:$BQ$1001,MATCH(ROWS($AH$2:AH345),$AH$2:$AH$1001,0),MATCH(COLUMNS($AO$1006:BM1006),$AO$1006:$BQ$1006,0)), HYPERLINK("#",""), HYPERLINK(CONCATENATE("#Metadata!", ADDRESS(INDEX($AJ$2:$AJ$1001,MATCH(ROWS($AH$2:AH345),$AH$2:$AH$1001,0),0), INDEX($AO$1004:$BQ$1004,1,MATCH(COLUMNS($AO$1006:BM1006),$AO$1006:$BQ$1006,0)))),"Fix")))</f>
        <v>#N/A</v>
      </c>
      <c r="AA345" s="5" t="e">
        <f ca="1">IF(OR(INDEX($AI$2:$AI$1001,MATCH(ROWS($AH$2:AH345),$AH$2:$AH$1001,0),1)&gt;=100000,INDEX($AO$1005:$BQ$1005,1,MATCH(COLUMNS($AO$1006:BN1006),$AO$1006:$BQ$1006,0))&gt;=100000), " ",IF(INDEX($AO$2:$BQ$1001,MATCH(ROWS($AH$2:AH345),$AH$2:$AH$1001,0),MATCH(COLUMNS($AO$1006:BN1006),$AO$1006:$BQ$1006,0)), HYPERLINK("#",""), HYPERLINK(CONCATENATE("#Metadata!", ADDRESS(INDEX($AJ$2:$AJ$1001,MATCH(ROWS($AH$2:AH345),$AH$2:$AH$1001,0),0), INDEX($AO$1004:$BQ$1004,1,MATCH(COLUMNS($AO$1006:BN1006),$AO$1006:$BQ$1006,0)))),"Fix")))</f>
        <v>#N/A</v>
      </c>
      <c r="AB345" s="5" t="e">
        <f ca="1">IF(OR(INDEX($AI$2:$AI$1001,MATCH(ROWS($AH$2:AH345),$AH$2:$AH$1001,0),1)&gt;=100000,INDEX($AO$1005:$BQ$1005,1,MATCH(COLUMNS($AO$1006:BO1006),$AO$1006:$BQ$1006,0))&gt;=100000), " ",IF(INDEX($AO$2:$BQ$1001,MATCH(ROWS($AH$2:AH345),$AH$2:$AH$1001,0),MATCH(COLUMNS($AO$1006:BO1006),$AO$1006:$BQ$1006,0)), HYPERLINK("#",""), HYPERLINK(CONCATENATE("#Metadata!", ADDRESS(INDEX($AJ$2:$AJ$1001,MATCH(ROWS($AH$2:AH345),$AH$2:$AH$1001,0),0), INDEX($AO$1004:$BQ$1004,1,MATCH(COLUMNS($AO$1006:BO1006),$AO$1006:$BQ$1006,0)))),"Fix")))</f>
        <v>#N/A</v>
      </c>
      <c r="AC345" s="5" t="e">
        <f ca="1">IF(OR(INDEX($AI$2:$AI$1001,MATCH(ROWS($AH$2:AH345),$AH$2:$AH$1001,0),1)&gt;=100000,INDEX($AO$1005:$BQ$1005,1,MATCH(COLUMNS($AO$1006:BP1006),$AO$1006:$BQ$1006,0))&gt;=100000), " ",IF(INDEX($AO$2:$BQ$1001,MATCH(ROWS($AH$2:AH345),$AH$2:$AH$1001,0),MATCH(COLUMNS($AO$1006:BP1006),$AO$1006:$BQ$1006,0)), HYPERLINK("#",""), HYPERLINK(CONCATENATE("#Metadata!", ADDRESS(INDEX($AJ$2:$AJ$1001,MATCH(ROWS($AH$2:AH345),$AH$2:$AH$1001,0),0), INDEX($AO$1004:$BQ$1004,1,MATCH(COLUMNS($AO$1006:BP1006),$AO$1006:$BQ$1006,0)))),"Fix")))</f>
        <v>#N/A</v>
      </c>
      <c r="AD345" s="5" t="e">
        <f ca="1">IF(OR(INDEX($AI$2:$AI$1001,MATCH(ROWS($AH$2:AH345),$AH$2:$AH$1001,0),1)&gt;=100000,INDEX($AO$1005:$BQ$1005,1,MATCH(COLUMNS($AO$1006:BQ1006),$AO$1006:$BQ$1006,0))&gt;=100000), " ",IF(INDEX($AO$2:$BQ$1001,MATCH(ROWS($AH$2:AH345),$AH$2:$AH$1001,0),MATCH(COLUMNS($AO$1006:BQ1006),$AO$1006:$BQ$1006,0)), HYPERLINK("#",""), HYPERLINK(CONCATENATE("#Metadata!", ADDRESS(INDEX($AJ$2:$AJ$1001,MATCH(ROWS($AH$2:AH345),$AH$2:$AH$1001,0),0), INDEX($AO$1004:$BQ$1004,1,MATCH(COLUMNS($AO$1006:BQ1006),$AO$1006:$BQ$1006,0)))),"Fix")))</f>
        <v>#REF!</v>
      </c>
      <c r="AH345">
        <f ca="1"/>
        <v>342</v>
      </c>
      <c r="AI345">
        <v>100345</v>
      </c>
      <c r="AJ345">
        <v>345</v>
      </c>
      <c r="AK345" t="b">
        <f t="shared" si="5"/>
        <v>1</v>
      </c>
      <c r="AL345" t="b">
        <f>COUNTBLANK(Metadata!B345:AD345)=COLUMNS(Metadata!B345:AD345)</f>
        <v>1</v>
      </c>
      <c r="AM345" t="str">
        <v/>
      </c>
      <c r="AO345" t="b">
        <f ca="1">AND(IF(Metadata!B345="",FALSE,TRUE),COUNTIF(Metadata!B:B, Metadata!B345) = 1,NOT(ISERROR(SUMPRODUCT(SEARCH(MID(Metadata!B345,ROW(INDIRECT("1:"&amp;LEN(Metadata!B345))), 1),"0123456789abcdefghijklmnopqrstuvwxyzABCDEFGHIJKLMNOPQRSTUVWXYZ.")))))</f>
        <v>0</v>
      </c>
      <c r="AP345" t="b">
        <f>IF(Metadata!C345="",FALSE,TRUE)</f>
        <v>0</v>
      </c>
      <c r="AQ345" t="b">
        <f>IF(Metadata!D345="",FALSE,TRUE)</f>
        <v>0</v>
      </c>
      <c r="AR345" t="b">
        <f ca="1">OR(AND(IF(Metadata!E345="",FALSE,TRUE),OR(EXACT(Metadata!E345,"not collected"),EXACT(Metadata!E345,"not provided"),EXACT(Metadata!E345,"restricted access"))),AND(IF(Metadata!E345="",FALSE,TRUE),AND(AND(IFERROR(INT(LEFT(Metadata!E345,4))&gt;1900,FALSE),IFERROR(INT(LEFT(Metadata!E345,4))&lt;=YEAR(NOW()),FALSE)), OR(MID(Metadata!E345,5,1)="", AND(AND(MID(Metadata!E345,5,1)="-",IFERROR(INT(MID(Metadata!E345,6,1))&gt;=0,FALSE),IFERROR(INT(MID(Metadata!E345,6,1))&lt;=1,FALSE),NOT(MID(Metadata!E345,7,1)=""),IFERROR(INT(MID(Metadata!E345,6,2))&gt;=1,FALSE),IFERROR(INT(MID(Metadata!E345,6,2))&lt;=12,FALSE)), OR(MID(Metadata!E345,8,1)="", AND(AND(MID(Metadata!E345,8,1)="-",IFERROR(INT(MID(Metadata!E345,9,1))&gt;=0,FALSE),IFERROR(INT(MID(Metadata!E345,9,1))&lt;=3,FALSE),NOT(MID(Metadata!E345,10,1)=""),IFERROR(INT(MID(Metadata!E345,9,2))&gt;=1,FALSE),IFERROR(INT(MID(Metadata!E345,9,2))&lt;=31,FALSE)), OR(MID(Metadata!E345,11,1)="", AND(AND(MID(Metadata!E345,11,1)=" ",IFERROR(INT(MID(Metadata!E345,12,1))&gt;=0,FALSE),IFERROR(INT(MID(Metadata!E345,12,1))&lt;=2,FALSE),NOT(MID(Metadata!E345,13,1)=""),IFERROR(INT(MID(Metadata!E345,12,2))&gt;=0,FALSE),IFERROR(INT(MID(Metadata!E345,12,2))&lt;=23,FALSE)), OR(MID(Metadata!E345,14,1)="", AND(AND(MID(Metadata!E345,14,1)=":",IFERROR(INT(MID(Metadata!E345,15,1))&gt;=0,FALSE),IFERROR(INT(MID(Metadata!E345,15,1))&lt;=5,FALSE),NOT(MID(Metadata!E345,16,1)=""),IFERROR(INT(MID(Metadata!E345,15,2))&gt;=0,FALSE),IFERROR(INT(MID(Metadata!E345,15,2))&lt;=59,FALSE)), OR(MID(Metadata!E345,17,1)="", AND(AND(MID(Metadata!E345,17,1)=":",IFERROR(INT(MID(Metadata!E345,18,1))&gt;=0,FALSE),IFERROR(INT(MID(Metadata!E345,18,1))&lt;=5,FALSE),NOT(MID(Metadata!E345,19,1)=""),IFERROR(INT(MID(Metadata!E345,18,2))&gt;=0,FALSE),IFERROR(INT(MID(Metadata!E345,18,2))&lt;=59,FALSE)), LEN(Metadata!E345)&lt;=19)))))))))))))</f>
        <v>0</v>
      </c>
      <c r="AS345" t="b">
        <f>IF(Metadata!F345="",FALSE,TRUE)</f>
        <v>0</v>
      </c>
      <c r="AT345" t="b">
        <f>OR(AND(IF(Metadata!G345="",FALSE,TRUE),OR(EXACT(Metadata!G345,"not collected"),EXACT(Metadata!G345,"not provided"))),AND(IF(Metadata!G345="",FALSE,TRUE),OR(EXACT(Metadata!G345,"TRUE"),EXACT(Metadata!G345,"FALSE"))))</f>
        <v>0</v>
      </c>
      <c r="AU345" t="b">
        <f>OR(AND(IF(Metadata!H345="",FALSE,TRUE),OR(EXACT(Metadata!H345,"not collected"),EXACT(Metadata!H345,"not provided"),EXACT(Metadata!H345,"restricted access"))),AND(IF(Metadata!H345="",FALSE,ISNUMBER(VALUE(Metadata!H345))),Metadata!H345&gt;=-413))</f>
        <v>0</v>
      </c>
      <c r="AV345" t="b">
        <f>AND(IF(Metadata!I345="",FALSE,TRUE),EXACT(Metadata!I345,"meters"))</f>
        <v>0</v>
      </c>
      <c r="AW345" t="b">
        <f>AND(IF(Metadata!J345="",FALSE,TRUE),EXACT(Metadata!J345,"free-living"))</f>
        <v>0</v>
      </c>
      <c r="AX345" t="b">
        <f>AND(IF(Metadata!K345="",FALSE,TRUE),OR(EXACT(Metadata!K345,"saline"),EXACT(Metadata!K345,"non-saline")))</f>
        <v>0</v>
      </c>
      <c r="AY345" t="b">
        <f>AND(IF(Metadata!L345="",FALSE,TRUE),OR(EXACT(Metadata!L345,"sub-surface (non-saline)"),EXACT(Metadata!L345,"surface (non-saline)"),EXACT(Metadata!L345,"water (non-saline)"),EXACT(Metadata!L345,"soil (non-saline)"),EXACT(Metadata!L345,"aerosol (non-saline)"),EXACT(Metadata!L345,"sediment (non-saline)"),EXACT(Metadata!L345,"surface (saline)"),EXACT(Metadata!L345,"water (saline)"),EXACT(Metadata!L345,"hypersaline (saline)"),EXACT(Metadata!L345,"aerosol (saline)"),EXACT(Metadata!L345,"sediment (saline)")))</f>
        <v>0</v>
      </c>
      <c r="AZ345" t="b">
        <f>IF(Metadata!M345="",FALSE,TRUE)</f>
        <v>0</v>
      </c>
      <c r="BA345" t="b">
        <f>IF(Metadata!N345="",FALSE,TRUE)</f>
        <v>0</v>
      </c>
      <c r="BB345" t="b">
        <f>IF(Metadata!O345="",FALSE,TRUE)</f>
        <v>0</v>
      </c>
      <c r="BC345" t="b">
        <f>AND(IF(Metadata!P345="",FALSE,TRUE),OR(EXACT(Metadata!P345,"air"),EXACT(Metadata!P345,"microbial mat/biofilm"),EXACT(Metadata!P345,"misc environment"),EXACT(Metadata!P345,"sediment"),EXACT(Metadata!P345,"soil"),EXACT(Metadata!P345,"wastewater/sludge"),EXACT(Metadata!P345,"water")))</f>
        <v>0</v>
      </c>
      <c r="BD345" t="b">
        <f>IF(Metadata!Q345="",FALSE,TRUE)</f>
        <v>0</v>
      </c>
      <c r="BE345" t="b">
        <f>IF(Metadata!R345="",FALSE,TRUE)</f>
        <v>0</v>
      </c>
      <c r="BF345" t="b">
        <f>OR(AND(IF(Metadata!S345="",FALSE,TRUE),OR(EXACT(Metadata!S345,"not collected"),EXACT(Metadata!S345,"not provided"),EXACT(Metadata!S345,"restricted access"))),AND(IF(Metadata!S345="",FALSE,ISNUMBER(VALUE(Metadata!S345))),Metadata!S345&gt;=-90,Metadata!S345&lt;=90))</f>
        <v>0</v>
      </c>
      <c r="BG345" t="b">
        <f>AND(IF(Metadata!T345="",FALSE,TRUE),EXACT(Metadata!T345,"Decimal degrees"))</f>
        <v>0</v>
      </c>
      <c r="BH345" t="b">
        <f>OR(AND(IF(Metadata!U345="",FALSE,TRUE),OR(EXACT(Metadata!U345,"not applicable"),EXACT(Metadata!U345,"not collected"))),IF(Metadata!U345="",FALSE,TRUE))</f>
        <v>0</v>
      </c>
      <c r="BI345" t="b">
        <f>OR(AND(IF(Metadata!V345="",FALSE,TRUE),OR(EXACT(Metadata!V345,"not collected"),EXACT(Metadata!V345,"not provided"),EXACT(Metadata!V345,"restricted access"))),AND(IF(Metadata!V345="",FALSE,ISNUMBER(VALUE(Metadata!V345))),Metadata!V345&gt;=-180,Metadata!V345&lt;=180))</f>
        <v>0</v>
      </c>
      <c r="BJ345" t="b">
        <f>AND(IF(Metadata!W345="",FALSE,TRUE),EXACT(Metadata!W345,"Decimal degrees"))</f>
        <v>0</v>
      </c>
      <c r="BK345" t="b">
        <f>IF(Metadata!X345="",FALSE,TRUE)</f>
        <v>0</v>
      </c>
      <c r="BL345" t="b">
        <f>OR(AND(IF(Metadata!Y345="",FALSE,TRUE),OR(EXACT(Metadata!Y345,"not collected"),EXACT(Metadata!Y345,"not provided"),EXACT(Metadata!Y345,"restricted access"))),AND(IF(Metadata!Y345="",FALSE,TRUE),OR(EXACT(Metadata!Y345,"TRUE"),EXACT(Metadata!Y345,"FALSE"))))</f>
        <v>0</v>
      </c>
      <c r="BM345" t="b">
        <f>OR(AND(IF(Metadata!Z345="",FALSE,TRUE),EXACT(Metadata!Z345,"not applicable")),AND(IF(Metadata!Z345="",FALSE,TRUE),OR(EXACT(Metadata!Z345,"beer"),EXACT(Metadata!Z345,"cheese"),EXACT(Metadata!Z345,"fresh water"),EXACT(Metadata!Z345,"marine sediment"),EXACT(Metadata!Z345,"sea water"),EXACT(Metadata!Z345,"sediment"),EXACT(Metadata!Z345,"soil"),EXACT(Metadata!Z345,"waste water"))))</f>
        <v>0</v>
      </c>
      <c r="BN345" t="b">
        <f>AND(IF(Metadata!AA345="",FALSE,TRUE),EXACT(Metadata!AA345,"metagenome"))</f>
        <v>0</v>
      </c>
      <c r="BO345" t="b">
        <f>AND(IF(Metadata!AB345="",FALSE,TRUE),EXACT(Metadata!AB345,"256318"))</f>
        <v>0</v>
      </c>
      <c r="BP345" t="b">
        <f>IF(Metadata!AC345="",FALSE,TRUE)</f>
        <v>0</v>
      </c>
      <c r="BQ345" t="b">
        <f>IF(Metadata!AD345="",FALSE,TRUE)</f>
        <v>0</v>
      </c>
    </row>
    <row r="346" spans="1:69" x14ac:dyDescent="0.2">
      <c r="A346" s="4" t="e">
        <f ca="1">IF(B346=" "," ",HYPERLINK(CONCATENATE("#metadata!",ADDRESS(INDEX($AJ$2:$AJ$1001,MATCH(ROWS($AH$2:AH346),$AH$2:$AH$1001,0),0),2)),INDEX($AM$2:$AM$1001,MATCH(ROWS($AH$2:AH346),$AH$2:$AH$1001,0),0)))</f>
        <v>#N/A</v>
      </c>
      <c r="B346" s="5" t="e">
        <f ca="1">IF(OR(INDEX($AI$2:$AI$1001,MATCH(ROWS($AH$2:AH346),$AH$2:$AH$1001,0),1)&gt;=100000,INDEX($AO$1005:$BQ$1005,1,MATCH(COLUMNS($AO$1006:AO1006),$AO$1006:$BQ$1006,0))&gt;=100000), " ",IF(INDEX($AO$2:$BQ$1001,MATCH(ROWS($AH$2:AH346),$AH$2:$AH$1001,0),MATCH(COLUMNS($AO$1006:AO1006),$AO$1006:$BQ$1006,0)), HYPERLINK("#",""), HYPERLINK(CONCATENATE("#Metadata!", ADDRESS(INDEX($AJ$2:$AJ$1001,MATCH(ROWS($AH$2:AH346),$AH$2:$AH$1001,0),0), INDEX($AO$1004:$BQ$1004,1,MATCH(COLUMNS($AO$1006:AO1006),$AO$1006:$BQ$1006,0)))),"Fix")))</f>
        <v>#N/A</v>
      </c>
      <c r="C346" s="5" t="e">
        <f ca="1">IF(OR(INDEX($AI$2:$AI$1001,MATCH(ROWS($AH$2:AH346),$AH$2:$AH$1001,0),1)&gt;=100000,INDEX($AO$1005:$BQ$1005,1,MATCH(COLUMNS($AO$1006:AP1006),$AO$1006:$BQ$1006,0))&gt;=100000), " ",IF(INDEX($AO$2:$BQ$1001,MATCH(ROWS($AH$2:AH346),$AH$2:$AH$1001,0),MATCH(COLUMNS($AO$1006:AP1006),$AO$1006:$BQ$1006,0)), HYPERLINK("#",""), HYPERLINK(CONCATENATE("#Metadata!", ADDRESS(INDEX($AJ$2:$AJ$1001,MATCH(ROWS($AH$2:AH346),$AH$2:$AH$1001,0),0), INDEX($AO$1004:$BQ$1004,1,MATCH(COLUMNS($AO$1006:AP1006),$AO$1006:$BQ$1006,0)))),"Fix")))</f>
        <v>#N/A</v>
      </c>
      <c r="D346" s="5" t="e">
        <f ca="1">IF(OR(INDEX($AI$2:$AI$1001,MATCH(ROWS($AH$2:AH346),$AH$2:$AH$1001,0),1)&gt;=100000,INDEX($AO$1005:$BQ$1005,1,MATCH(COLUMNS($AO$1006:AQ1006),$AO$1006:$BQ$1006,0))&gt;=100000), " ",IF(INDEX($AO$2:$BQ$1001,MATCH(ROWS($AH$2:AH346),$AH$2:$AH$1001,0),MATCH(COLUMNS($AO$1006:AQ1006),$AO$1006:$BQ$1006,0)), HYPERLINK("#",""), HYPERLINK(CONCATENATE("#Metadata!", ADDRESS(INDEX($AJ$2:$AJ$1001,MATCH(ROWS($AH$2:AH346),$AH$2:$AH$1001,0),0), INDEX($AO$1004:$BQ$1004,1,MATCH(COLUMNS($AO$1006:AQ1006),$AO$1006:$BQ$1006,0)))),"Fix")))</f>
        <v>#N/A</v>
      </c>
      <c r="E346" s="5" t="e">
        <f ca="1">IF(OR(INDEX($AI$2:$AI$1001,MATCH(ROWS($AH$2:AH346),$AH$2:$AH$1001,0),1)&gt;=100000,INDEX($AO$1005:$BQ$1005,1,MATCH(COLUMNS($AO$1006:AR1006),$AO$1006:$BQ$1006,0))&gt;=100000), " ",IF(INDEX($AO$2:$BQ$1001,MATCH(ROWS($AH$2:AH346),$AH$2:$AH$1001,0),MATCH(COLUMNS($AO$1006:AR1006),$AO$1006:$BQ$1006,0)), HYPERLINK("#",""), HYPERLINK(CONCATENATE("#Metadata!", ADDRESS(INDEX($AJ$2:$AJ$1001,MATCH(ROWS($AH$2:AH346),$AH$2:$AH$1001,0),0), INDEX($AO$1004:$BQ$1004,1,MATCH(COLUMNS($AO$1006:AR1006),$AO$1006:$BQ$1006,0)))),"Fix")))</f>
        <v>#N/A</v>
      </c>
      <c r="F346" s="5" t="e">
        <f ca="1">IF(OR(INDEX($AI$2:$AI$1001,MATCH(ROWS($AH$2:AH346),$AH$2:$AH$1001,0),1)&gt;=100000,INDEX($AO$1005:$BQ$1005,1,MATCH(COLUMNS($AO$1006:AS1006),$AO$1006:$BQ$1006,0))&gt;=100000), " ",IF(INDEX($AO$2:$BQ$1001,MATCH(ROWS($AH$2:AH346),$AH$2:$AH$1001,0),MATCH(COLUMNS($AO$1006:AS1006),$AO$1006:$BQ$1006,0)), HYPERLINK("#",""), HYPERLINK(CONCATENATE("#Metadata!", ADDRESS(INDEX($AJ$2:$AJ$1001,MATCH(ROWS($AH$2:AH346),$AH$2:$AH$1001,0),0), INDEX($AO$1004:$BQ$1004,1,MATCH(COLUMNS($AO$1006:AS1006),$AO$1006:$BQ$1006,0)))),"Fix")))</f>
        <v>#N/A</v>
      </c>
      <c r="G346" s="5" t="e">
        <f ca="1">IF(OR(INDEX($AI$2:$AI$1001,MATCH(ROWS($AH$2:AH346),$AH$2:$AH$1001,0),1)&gt;=100000,INDEX($AO$1005:$BQ$1005,1,MATCH(COLUMNS($AO$1006:AT1006),$AO$1006:$BQ$1006,0))&gt;=100000), " ",IF(INDEX($AO$2:$BQ$1001,MATCH(ROWS($AH$2:AH346),$AH$2:$AH$1001,0),MATCH(COLUMNS($AO$1006:AT1006),$AO$1006:$BQ$1006,0)), HYPERLINK("#",""), HYPERLINK(CONCATENATE("#Metadata!", ADDRESS(INDEX($AJ$2:$AJ$1001,MATCH(ROWS($AH$2:AH346),$AH$2:$AH$1001,0),0), INDEX($AO$1004:$BQ$1004,1,MATCH(COLUMNS($AO$1006:AT1006),$AO$1006:$BQ$1006,0)))),"Fix")))</f>
        <v>#N/A</v>
      </c>
      <c r="H346" s="5" t="e">
        <f ca="1">IF(OR(INDEX($AI$2:$AI$1001,MATCH(ROWS($AH$2:AH346),$AH$2:$AH$1001,0),1)&gt;=100000,INDEX($AO$1005:$BQ$1005,1,MATCH(COLUMNS($AO$1006:AU1006),$AO$1006:$BQ$1006,0))&gt;=100000), " ",IF(INDEX($AO$2:$BQ$1001,MATCH(ROWS($AH$2:AH346),$AH$2:$AH$1001,0),MATCH(COLUMNS($AO$1006:AU1006),$AO$1006:$BQ$1006,0)), HYPERLINK("#",""), HYPERLINK(CONCATENATE("#Metadata!", ADDRESS(INDEX($AJ$2:$AJ$1001,MATCH(ROWS($AH$2:AH346),$AH$2:$AH$1001,0),0), INDEX($AO$1004:$BQ$1004,1,MATCH(COLUMNS($AO$1006:AU1006),$AO$1006:$BQ$1006,0)))),"Fix")))</f>
        <v>#N/A</v>
      </c>
      <c r="I346" s="5" t="e">
        <f ca="1">IF(OR(INDEX($AI$2:$AI$1001,MATCH(ROWS($AH$2:AH346),$AH$2:$AH$1001,0),1)&gt;=100000,INDEX($AO$1005:$BQ$1005,1,MATCH(COLUMNS($AO$1006:AV1006),$AO$1006:$BQ$1006,0))&gt;=100000), " ",IF(INDEX($AO$2:$BQ$1001,MATCH(ROWS($AH$2:AH346),$AH$2:$AH$1001,0),MATCH(COLUMNS($AO$1006:AV1006),$AO$1006:$BQ$1006,0)), HYPERLINK("#",""), HYPERLINK(CONCATENATE("#Metadata!", ADDRESS(INDEX($AJ$2:$AJ$1001,MATCH(ROWS($AH$2:AH346),$AH$2:$AH$1001,0),0), INDEX($AO$1004:$BQ$1004,1,MATCH(COLUMNS($AO$1006:AV1006),$AO$1006:$BQ$1006,0)))),"Fix")))</f>
        <v>#N/A</v>
      </c>
      <c r="J346" s="5" t="e">
        <f ca="1">IF(OR(INDEX($AI$2:$AI$1001,MATCH(ROWS($AH$2:AH346),$AH$2:$AH$1001,0),1)&gt;=100000,INDEX($AO$1005:$BQ$1005,1,MATCH(COLUMNS($AO$1006:AW1006),$AO$1006:$BQ$1006,0))&gt;=100000), " ",IF(INDEX($AO$2:$BQ$1001,MATCH(ROWS($AH$2:AH346),$AH$2:$AH$1001,0),MATCH(COLUMNS($AO$1006:AW1006),$AO$1006:$BQ$1006,0)), HYPERLINK("#",""), HYPERLINK(CONCATENATE("#Metadata!", ADDRESS(INDEX($AJ$2:$AJ$1001,MATCH(ROWS($AH$2:AH346),$AH$2:$AH$1001,0),0), INDEX($AO$1004:$BQ$1004,1,MATCH(COLUMNS($AO$1006:AW1006),$AO$1006:$BQ$1006,0)))),"Fix")))</f>
        <v>#N/A</v>
      </c>
      <c r="K346" s="5" t="e">
        <f ca="1">IF(OR(INDEX($AI$2:$AI$1001,MATCH(ROWS($AH$2:AH346),$AH$2:$AH$1001,0),1)&gt;=100000,INDEX($AO$1005:$BQ$1005,1,MATCH(COLUMNS($AO$1006:AX1006),$AO$1006:$BQ$1006,0))&gt;=100000), " ",IF(INDEX($AO$2:$BQ$1001,MATCH(ROWS($AH$2:AH346),$AH$2:$AH$1001,0),MATCH(COLUMNS($AO$1006:AX1006),$AO$1006:$BQ$1006,0)), HYPERLINK("#",""), HYPERLINK(CONCATENATE("#Metadata!", ADDRESS(INDEX($AJ$2:$AJ$1001,MATCH(ROWS($AH$2:AH346),$AH$2:$AH$1001,0),0), INDEX($AO$1004:$BQ$1004,1,MATCH(COLUMNS($AO$1006:AX1006),$AO$1006:$BQ$1006,0)))),"Fix")))</f>
        <v>#N/A</v>
      </c>
      <c r="L346" s="5" t="e">
        <f ca="1">IF(OR(INDEX($AI$2:$AI$1001,MATCH(ROWS($AH$2:AH346),$AH$2:$AH$1001,0),1)&gt;=100000,INDEX($AO$1005:$BQ$1005,1,MATCH(COLUMNS($AO$1006:AY1006),$AO$1006:$BQ$1006,0))&gt;=100000), " ",IF(INDEX($AO$2:$BQ$1001,MATCH(ROWS($AH$2:AH346),$AH$2:$AH$1001,0),MATCH(COLUMNS($AO$1006:AY1006),$AO$1006:$BQ$1006,0)), HYPERLINK("#",""), HYPERLINK(CONCATENATE("#Metadata!", ADDRESS(INDEX($AJ$2:$AJ$1001,MATCH(ROWS($AH$2:AH346),$AH$2:$AH$1001,0),0), INDEX($AO$1004:$BQ$1004,1,MATCH(COLUMNS($AO$1006:AY1006),$AO$1006:$BQ$1006,0)))),"Fix")))</f>
        <v>#N/A</v>
      </c>
      <c r="M346" s="5" t="e">
        <f ca="1">IF(OR(INDEX($AI$2:$AI$1001,MATCH(ROWS($AH$2:AH346),$AH$2:$AH$1001,0),1)&gt;=100000,INDEX($AO$1005:$BQ$1005,1,MATCH(COLUMNS($AO$1006:AZ1006),$AO$1006:$BQ$1006,0))&gt;=100000), " ",IF(INDEX($AO$2:$BQ$1001,MATCH(ROWS($AH$2:AH346),$AH$2:$AH$1001,0),MATCH(COLUMNS($AO$1006:AZ1006),$AO$1006:$BQ$1006,0)), HYPERLINK("#",""), HYPERLINK(CONCATENATE("#Metadata!", ADDRESS(INDEX($AJ$2:$AJ$1001,MATCH(ROWS($AH$2:AH346),$AH$2:$AH$1001,0),0), INDEX($AO$1004:$BQ$1004,1,MATCH(COLUMNS($AO$1006:AZ1006),$AO$1006:$BQ$1006,0)))),"Fix")))</f>
        <v>#N/A</v>
      </c>
      <c r="N346" s="5" t="e">
        <f ca="1">IF(OR(INDEX($AI$2:$AI$1001,MATCH(ROWS($AH$2:AH346),$AH$2:$AH$1001,0),1)&gt;=100000,INDEX($AO$1005:$BQ$1005,1,MATCH(COLUMNS($AO$1006:BA1006),$AO$1006:$BQ$1006,0))&gt;=100000), " ",IF(INDEX($AO$2:$BQ$1001,MATCH(ROWS($AH$2:AH346),$AH$2:$AH$1001,0),MATCH(COLUMNS($AO$1006:BA1006),$AO$1006:$BQ$1006,0)), HYPERLINK("#",""), HYPERLINK(CONCATENATE("#Metadata!", ADDRESS(INDEX($AJ$2:$AJ$1001,MATCH(ROWS($AH$2:AH346),$AH$2:$AH$1001,0),0), INDEX($AO$1004:$BQ$1004,1,MATCH(COLUMNS($AO$1006:BA1006),$AO$1006:$BQ$1006,0)))),"Fix")))</f>
        <v>#N/A</v>
      </c>
      <c r="O346" s="5" t="e">
        <f ca="1">IF(OR(INDEX($AI$2:$AI$1001,MATCH(ROWS($AH$2:AH346),$AH$2:$AH$1001,0),1)&gt;=100000,INDEX($AO$1005:$BQ$1005,1,MATCH(COLUMNS($AO$1006:BB1006),$AO$1006:$BQ$1006,0))&gt;=100000), " ",IF(INDEX($AO$2:$BQ$1001,MATCH(ROWS($AH$2:AH346),$AH$2:$AH$1001,0),MATCH(COLUMNS($AO$1006:BB1006),$AO$1006:$BQ$1006,0)), HYPERLINK("#",""), HYPERLINK(CONCATENATE("#Metadata!", ADDRESS(INDEX($AJ$2:$AJ$1001,MATCH(ROWS($AH$2:AH346),$AH$2:$AH$1001,0),0), INDEX($AO$1004:$BQ$1004,1,MATCH(COLUMNS($AO$1006:BB1006),$AO$1006:$BQ$1006,0)))),"Fix")))</f>
        <v>#N/A</v>
      </c>
      <c r="P346" s="5" t="e">
        <f ca="1">IF(OR(INDEX($AI$2:$AI$1001,MATCH(ROWS($AH$2:AH346),$AH$2:$AH$1001,0),1)&gt;=100000,INDEX($AO$1005:$BQ$1005,1,MATCH(COLUMNS($AO$1006:BC1006),$AO$1006:$BQ$1006,0))&gt;=100000), " ",IF(INDEX($AO$2:$BQ$1001,MATCH(ROWS($AH$2:AH346),$AH$2:$AH$1001,0),MATCH(COLUMNS($AO$1006:BC1006),$AO$1006:$BQ$1006,0)), HYPERLINK("#",""), HYPERLINK(CONCATENATE("#Metadata!", ADDRESS(INDEX($AJ$2:$AJ$1001,MATCH(ROWS($AH$2:AH346),$AH$2:$AH$1001,0),0), INDEX($AO$1004:$BQ$1004,1,MATCH(COLUMNS($AO$1006:BC1006),$AO$1006:$BQ$1006,0)))),"Fix")))</f>
        <v>#N/A</v>
      </c>
      <c r="Q346" s="5" t="e">
        <f ca="1">IF(OR(INDEX($AI$2:$AI$1001,MATCH(ROWS($AH$2:AH346),$AH$2:$AH$1001,0),1)&gt;=100000,INDEX($AO$1005:$BQ$1005,1,MATCH(COLUMNS($AO$1006:BD1006),$AO$1006:$BQ$1006,0))&gt;=100000), " ",IF(INDEX($AO$2:$BQ$1001,MATCH(ROWS($AH$2:AH346),$AH$2:$AH$1001,0),MATCH(COLUMNS($AO$1006:BD1006),$AO$1006:$BQ$1006,0)), HYPERLINK("#",""), HYPERLINK(CONCATENATE("#Metadata!", ADDRESS(INDEX($AJ$2:$AJ$1001,MATCH(ROWS($AH$2:AH346),$AH$2:$AH$1001,0),0), INDEX($AO$1004:$BQ$1004,1,MATCH(COLUMNS($AO$1006:BD1006),$AO$1006:$BQ$1006,0)))),"Fix")))</f>
        <v>#N/A</v>
      </c>
      <c r="R346" s="5" t="e">
        <f ca="1">IF(OR(INDEX($AI$2:$AI$1001,MATCH(ROWS($AH$2:AH346),$AH$2:$AH$1001,0),1)&gt;=100000,INDEX($AO$1005:$BQ$1005,1,MATCH(COLUMNS($AO$1006:BE1006),$AO$1006:$BQ$1006,0))&gt;=100000), " ",IF(INDEX($AO$2:$BQ$1001,MATCH(ROWS($AH$2:AH346),$AH$2:$AH$1001,0),MATCH(COLUMNS($AO$1006:BE1006),$AO$1006:$BQ$1006,0)), HYPERLINK("#",""), HYPERLINK(CONCATENATE("#Metadata!", ADDRESS(INDEX($AJ$2:$AJ$1001,MATCH(ROWS($AH$2:AH346),$AH$2:$AH$1001,0),0), INDEX($AO$1004:$BQ$1004,1,MATCH(COLUMNS($AO$1006:BE1006),$AO$1006:$BQ$1006,0)))),"Fix")))</f>
        <v>#N/A</v>
      </c>
      <c r="S346" s="5" t="e">
        <f ca="1">IF(OR(INDEX($AI$2:$AI$1001,MATCH(ROWS($AH$2:AH346),$AH$2:$AH$1001,0),1)&gt;=100000,INDEX($AO$1005:$BQ$1005,1,MATCH(COLUMNS($AO$1006:BF1006),$AO$1006:$BQ$1006,0))&gt;=100000), " ",IF(INDEX($AO$2:$BQ$1001,MATCH(ROWS($AH$2:AH346),$AH$2:$AH$1001,0),MATCH(COLUMNS($AO$1006:BF1006),$AO$1006:$BQ$1006,0)), HYPERLINK("#",""), HYPERLINK(CONCATENATE("#Metadata!", ADDRESS(INDEX($AJ$2:$AJ$1001,MATCH(ROWS($AH$2:AH346),$AH$2:$AH$1001,0),0), INDEX($AO$1004:$BQ$1004,1,MATCH(COLUMNS($AO$1006:BF1006),$AO$1006:$BQ$1006,0)))),"Fix")))</f>
        <v>#N/A</v>
      </c>
      <c r="T346" s="5" t="e">
        <f ca="1">IF(OR(INDEX($AI$2:$AI$1001,MATCH(ROWS($AH$2:AH346),$AH$2:$AH$1001,0),1)&gt;=100000,INDEX($AO$1005:$BQ$1005,1,MATCH(COLUMNS($AO$1006:BG1006),$AO$1006:$BQ$1006,0))&gt;=100000), " ",IF(INDEX($AO$2:$BQ$1001,MATCH(ROWS($AH$2:AH346),$AH$2:$AH$1001,0),MATCH(COLUMNS($AO$1006:BG1006),$AO$1006:$BQ$1006,0)), HYPERLINK("#",""), HYPERLINK(CONCATENATE("#Metadata!", ADDRESS(INDEX($AJ$2:$AJ$1001,MATCH(ROWS($AH$2:AH346),$AH$2:$AH$1001,0),0), INDEX($AO$1004:$BQ$1004,1,MATCH(COLUMNS($AO$1006:BG1006),$AO$1006:$BQ$1006,0)))),"Fix")))</f>
        <v>#N/A</v>
      </c>
      <c r="U346" s="5" t="e">
        <f ca="1">IF(OR(INDEX($AI$2:$AI$1001,MATCH(ROWS($AH$2:AH346),$AH$2:$AH$1001,0),1)&gt;=100000,INDEX($AO$1005:$BQ$1005,1,MATCH(COLUMNS($AO$1006:BH1006),$AO$1006:$BQ$1006,0))&gt;=100000), " ",IF(INDEX($AO$2:$BQ$1001,MATCH(ROWS($AH$2:AH346),$AH$2:$AH$1001,0),MATCH(COLUMNS($AO$1006:BH1006),$AO$1006:$BQ$1006,0)), HYPERLINK("#",""), HYPERLINK(CONCATENATE("#Metadata!", ADDRESS(INDEX($AJ$2:$AJ$1001,MATCH(ROWS($AH$2:AH346),$AH$2:$AH$1001,0),0), INDEX($AO$1004:$BQ$1004,1,MATCH(COLUMNS($AO$1006:BH1006),$AO$1006:$BQ$1006,0)))),"Fix")))</f>
        <v>#N/A</v>
      </c>
      <c r="V346" s="5" t="e">
        <f ca="1">IF(OR(INDEX($AI$2:$AI$1001,MATCH(ROWS($AH$2:AH346),$AH$2:$AH$1001,0),1)&gt;=100000,INDEX($AO$1005:$BQ$1005,1,MATCH(COLUMNS($AO$1006:BI1006),$AO$1006:$BQ$1006,0))&gt;=100000), " ",IF(INDEX($AO$2:$BQ$1001,MATCH(ROWS($AH$2:AH346),$AH$2:$AH$1001,0),MATCH(COLUMNS($AO$1006:BI1006),$AO$1006:$BQ$1006,0)), HYPERLINK("#",""), HYPERLINK(CONCATENATE("#Metadata!", ADDRESS(INDEX($AJ$2:$AJ$1001,MATCH(ROWS($AH$2:AH346),$AH$2:$AH$1001,0),0), INDEX($AO$1004:$BQ$1004,1,MATCH(COLUMNS($AO$1006:BI1006),$AO$1006:$BQ$1006,0)))),"Fix")))</f>
        <v>#N/A</v>
      </c>
      <c r="W346" s="5" t="e">
        <f ca="1">IF(OR(INDEX($AI$2:$AI$1001,MATCH(ROWS($AH$2:AH346),$AH$2:$AH$1001,0),1)&gt;=100000,INDEX($AO$1005:$BQ$1005,1,MATCH(COLUMNS($AO$1006:BJ1006),$AO$1006:$BQ$1006,0))&gt;=100000), " ",IF(INDEX($AO$2:$BQ$1001,MATCH(ROWS($AH$2:AH346),$AH$2:$AH$1001,0),MATCH(COLUMNS($AO$1006:BJ1006),$AO$1006:$BQ$1006,0)), HYPERLINK("#",""), HYPERLINK(CONCATENATE("#Metadata!", ADDRESS(INDEX($AJ$2:$AJ$1001,MATCH(ROWS($AH$2:AH346),$AH$2:$AH$1001,0),0), INDEX($AO$1004:$BQ$1004,1,MATCH(COLUMNS($AO$1006:BJ1006),$AO$1006:$BQ$1006,0)))),"Fix")))</f>
        <v>#N/A</v>
      </c>
      <c r="X346" s="5" t="e">
        <f ca="1">IF(OR(INDEX($AI$2:$AI$1001,MATCH(ROWS($AH$2:AH346),$AH$2:$AH$1001,0),1)&gt;=100000,INDEX($AO$1005:$BQ$1005,1,MATCH(COLUMNS($AO$1006:BK1006),$AO$1006:$BQ$1006,0))&gt;=100000), " ",IF(INDEX($AO$2:$BQ$1001,MATCH(ROWS($AH$2:AH346),$AH$2:$AH$1001,0),MATCH(COLUMNS($AO$1006:BK1006),$AO$1006:$BQ$1006,0)), HYPERLINK("#",""), HYPERLINK(CONCATENATE("#Metadata!", ADDRESS(INDEX($AJ$2:$AJ$1001,MATCH(ROWS($AH$2:AH346),$AH$2:$AH$1001,0),0), INDEX($AO$1004:$BQ$1004,1,MATCH(COLUMNS($AO$1006:BK1006),$AO$1006:$BQ$1006,0)))),"Fix")))</f>
        <v>#N/A</v>
      </c>
      <c r="Y346" s="5" t="e">
        <f ca="1">IF(OR(INDEX($AI$2:$AI$1001,MATCH(ROWS($AH$2:AH346),$AH$2:$AH$1001,0),1)&gt;=100000,INDEX($AO$1005:$BQ$1005,1,MATCH(COLUMNS($AO$1006:BL1006),$AO$1006:$BQ$1006,0))&gt;=100000), " ",IF(INDEX($AO$2:$BQ$1001,MATCH(ROWS($AH$2:AH346),$AH$2:$AH$1001,0),MATCH(COLUMNS($AO$1006:BL1006),$AO$1006:$BQ$1006,0)), HYPERLINK("#",""), HYPERLINK(CONCATENATE("#Metadata!", ADDRESS(INDEX($AJ$2:$AJ$1001,MATCH(ROWS($AH$2:AH346),$AH$2:$AH$1001,0),0), INDEX($AO$1004:$BQ$1004,1,MATCH(COLUMNS($AO$1006:BL1006),$AO$1006:$BQ$1006,0)))),"Fix")))</f>
        <v>#N/A</v>
      </c>
      <c r="Z346" s="5" t="e">
        <f ca="1">IF(OR(INDEX($AI$2:$AI$1001,MATCH(ROWS($AH$2:AH346),$AH$2:$AH$1001,0),1)&gt;=100000,INDEX($AO$1005:$BQ$1005,1,MATCH(COLUMNS($AO$1006:BM1006),$AO$1006:$BQ$1006,0))&gt;=100000), " ",IF(INDEX($AO$2:$BQ$1001,MATCH(ROWS($AH$2:AH346),$AH$2:$AH$1001,0),MATCH(COLUMNS($AO$1006:BM1006),$AO$1006:$BQ$1006,0)), HYPERLINK("#",""), HYPERLINK(CONCATENATE("#Metadata!", ADDRESS(INDEX($AJ$2:$AJ$1001,MATCH(ROWS($AH$2:AH346),$AH$2:$AH$1001,0),0), INDEX($AO$1004:$BQ$1004,1,MATCH(COLUMNS($AO$1006:BM1006),$AO$1006:$BQ$1006,0)))),"Fix")))</f>
        <v>#N/A</v>
      </c>
      <c r="AA346" s="5" t="e">
        <f ca="1">IF(OR(INDEX($AI$2:$AI$1001,MATCH(ROWS($AH$2:AH346),$AH$2:$AH$1001,0),1)&gt;=100000,INDEX($AO$1005:$BQ$1005,1,MATCH(COLUMNS($AO$1006:BN1006),$AO$1006:$BQ$1006,0))&gt;=100000), " ",IF(INDEX($AO$2:$BQ$1001,MATCH(ROWS($AH$2:AH346),$AH$2:$AH$1001,0),MATCH(COLUMNS($AO$1006:BN1006),$AO$1006:$BQ$1006,0)), HYPERLINK("#",""), HYPERLINK(CONCATENATE("#Metadata!", ADDRESS(INDEX($AJ$2:$AJ$1001,MATCH(ROWS($AH$2:AH346),$AH$2:$AH$1001,0),0), INDEX($AO$1004:$BQ$1004,1,MATCH(COLUMNS($AO$1006:BN1006),$AO$1006:$BQ$1006,0)))),"Fix")))</f>
        <v>#N/A</v>
      </c>
      <c r="AB346" s="5" t="e">
        <f ca="1">IF(OR(INDEX($AI$2:$AI$1001,MATCH(ROWS($AH$2:AH346),$AH$2:$AH$1001,0),1)&gt;=100000,INDEX($AO$1005:$BQ$1005,1,MATCH(COLUMNS($AO$1006:BO1006),$AO$1006:$BQ$1006,0))&gt;=100000), " ",IF(INDEX($AO$2:$BQ$1001,MATCH(ROWS($AH$2:AH346),$AH$2:$AH$1001,0),MATCH(COLUMNS($AO$1006:BO1006),$AO$1006:$BQ$1006,0)), HYPERLINK("#",""), HYPERLINK(CONCATENATE("#Metadata!", ADDRESS(INDEX($AJ$2:$AJ$1001,MATCH(ROWS($AH$2:AH346),$AH$2:$AH$1001,0),0), INDEX($AO$1004:$BQ$1004,1,MATCH(COLUMNS($AO$1006:BO1006),$AO$1006:$BQ$1006,0)))),"Fix")))</f>
        <v>#N/A</v>
      </c>
      <c r="AC346" s="5" t="e">
        <f ca="1">IF(OR(INDEX($AI$2:$AI$1001,MATCH(ROWS($AH$2:AH346),$AH$2:$AH$1001,0),1)&gt;=100000,INDEX($AO$1005:$BQ$1005,1,MATCH(COLUMNS($AO$1006:BP1006),$AO$1006:$BQ$1006,0))&gt;=100000), " ",IF(INDEX($AO$2:$BQ$1001,MATCH(ROWS($AH$2:AH346),$AH$2:$AH$1001,0),MATCH(COLUMNS($AO$1006:BP1006),$AO$1006:$BQ$1006,0)), HYPERLINK("#",""), HYPERLINK(CONCATENATE("#Metadata!", ADDRESS(INDEX($AJ$2:$AJ$1001,MATCH(ROWS($AH$2:AH346),$AH$2:$AH$1001,0),0), INDEX($AO$1004:$BQ$1004,1,MATCH(COLUMNS($AO$1006:BP1006),$AO$1006:$BQ$1006,0)))),"Fix")))</f>
        <v>#N/A</v>
      </c>
      <c r="AD346" s="5" t="e">
        <f ca="1">IF(OR(INDEX($AI$2:$AI$1001,MATCH(ROWS($AH$2:AH346),$AH$2:$AH$1001,0),1)&gt;=100000,INDEX($AO$1005:$BQ$1005,1,MATCH(COLUMNS($AO$1006:BQ1006),$AO$1006:$BQ$1006,0))&gt;=100000), " ",IF(INDEX($AO$2:$BQ$1001,MATCH(ROWS($AH$2:AH346),$AH$2:$AH$1001,0),MATCH(COLUMNS($AO$1006:BQ1006),$AO$1006:$BQ$1006,0)), HYPERLINK("#",""), HYPERLINK(CONCATENATE("#Metadata!", ADDRESS(INDEX($AJ$2:$AJ$1001,MATCH(ROWS($AH$2:AH346),$AH$2:$AH$1001,0),0), INDEX($AO$1004:$BQ$1004,1,MATCH(COLUMNS($AO$1006:BQ1006),$AO$1006:$BQ$1006,0)))),"Fix")))</f>
        <v>#REF!</v>
      </c>
      <c r="AH346">
        <f ca="1"/>
        <v>343</v>
      </c>
      <c r="AI346">
        <v>100346</v>
      </c>
      <c r="AJ346">
        <v>346</v>
      </c>
      <c r="AK346" t="b">
        <f t="shared" si="5"/>
        <v>1</v>
      </c>
      <c r="AL346" t="b">
        <f>COUNTBLANK(Metadata!B346:AD346)=COLUMNS(Metadata!B346:AD346)</f>
        <v>1</v>
      </c>
      <c r="AM346" t="str">
        <v/>
      </c>
      <c r="AO346" t="b">
        <f ca="1">AND(IF(Metadata!B346="",FALSE,TRUE),COUNTIF(Metadata!B:B, Metadata!B346) = 1,NOT(ISERROR(SUMPRODUCT(SEARCH(MID(Metadata!B346,ROW(INDIRECT("1:"&amp;LEN(Metadata!B346))), 1),"0123456789abcdefghijklmnopqrstuvwxyzABCDEFGHIJKLMNOPQRSTUVWXYZ.")))))</f>
        <v>0</v>
      </c>
      <c r="AP346" t="b">
        <f>IF(Metadata!C346="",FALSE,TRUE)</f>
        <v>0</v>
      </c>
      <c r="AQ346" t="b">
        <f>IF(Metadata!D346="",FALSE,TRUE)</f>
        <v>0</v>
      </c>
      <c r="AR346" t="b">
        <f ca="1">OR(AND(IF(Metadata!E346="",FALSE,TRUE),OR(EXACT(Metadata!E346,"not collected"),EXACT(Metadata!E346,"not provided"),EXACT(Metadata!E346,"restricted access"))),AND(IF(Metadata!E346="",FALSE,TRUE),AND(AND(IFERROR(INT(LEFT(Metadata!E346,4))&gt;1900,FALSE),IFERROR(INT(LEFT(Metadata!E346,4))&lt;=YEAR(NOW()),FALSE)), OR(MID(Metadata!E346,5,1)="", AND(AND(MID(Metadata!E346,5,1)="-",IFERROR(INT(MID(Metadata!E346,6,1))&gt;=0,FALSE),IFERROR(INT(MID(Metadata!E346,6,1))&lt;=1,FALSE),NOT(MID(Metadata!E346,7,1)=""),IFERROR(INT(MID(Metadata!E346,6,2))&gt;=1,FALSE),IFERROR(INT(MID(Metadata!E346,6,2))&lt;=12,FALSE)), OR(MID(Metadata!E346,8,1)="", AND(AND(MID(Metadata!E346,8,1)="-",IFERROR(INT(MID(Metadata!E346,9,1))&gt;=0,FALSE),IFERROR(INT(MID(Metadata!E346,9,1))&lt;=3,FALSE),NOT(MID(Metadata!E346,10,1)=""),IFERROR(INT(MID(Metadata!E346,9,2))&gt;=1,FALSE),IFERROR(INT(MID(Metadata!E346,9,2))&lt;=31,FALSE)), OR(MID(Metadata!E346,11,1)="", AND(AND(MID(Metadata!E346,11,1)=" ",IFERROR(INT(MID(Metadata!E346,12,1))&gt;=0,FALSE),IFERROR(INT(MID(Metadata!E346,12,1))&lt;=2,FALSE),NOT(MID(Metadata!E346,13,1)=""),IFERROR(INT(MID(Metadata!E346,12,2))&gt;=0,FALSE),IFERROR(INT(MID(Metadata!E346,12,2))&lt;=23,FALSE)), OR(MID(Metadata!E346,14,1)="", AND(AND(MID(Metadata!E346,14,1)=":",IFERROR(INT(MID(Metadata!E346,15,1))&gt;=0,FALSE),IFERROR(INT(MID(Metadata!E346,15,1))&lt;=5,FALSE),NOT(MID(Metadata!E346,16,1)=""),IFERROR(INT(MID(Metadata!E346,15,2))&gt;=0,FALSE),IFERROR(INT(MID(Metadata!E346,15,2))&lt;=59,FALSE)), OR(MID(Metadata!E346,17,1)="", AND(AND(MID(Metadata!E346,17,1)=":",IFERROR(INT(MID(Metadata!E346,18,1))&gt;=0,FALSE),IFERROR(INT(MID(Metadata!E346,18,1))&lt;=5,FALSE),NOT(MID(Metadata!E346,19,1)=""),IFERROR(INT(MID(Metadata!E346,18,2))&gt;=0,FALSE),IFERROR(INT(MID(Metadata!E346,18,2))&lt;=59,FALSE)), LEN(Metadata!E346)&lt;=19)))))))))))))</f>
        <v>0</v>
      </c>
      <c r="AS346" t="b">
        <f>IF(Metadata!F346="",FALSE,TRUE)</f>
        <v>0</v>
      </c>
      <c r="AT346" t="b">
        <f>OR(AND(IF(Metadata!G346="",FALSE,TRUE),OR(EXACT(Metadata!G346,"not collected"),EXACT(Metadata!G346,"not provided"))),AND(IF(Metadata!G346="",FALSE,TRUE),OR(EXACT(Metadata!G346,"TRUE"),EXACT(Metadata!G346,"FALSE"))))</f>
        <v>0</v>
      </c>
      <c r="AU346" t="b">
        <f>OR(AND(IF(Metadata!H346="",FALSE,TRUE),OR(EXACT(Metadata!H346,"not collected"),EXACT(Metadata!H346,"not provided"),EXACT(Metadata!H346,"restricted access"))),AND(IF(Metadata!H346="",FALSE,ISNUMBER(VALUE(Metadata!H346))),Metadata!H346&gt;=-413))</f>
        <v>0</v>
      </c>
      <c r="AV346" t="b">
        <f>AND(IF(Metadata!I346="",FALSE,TRUE),EXACT(Metadata!I346,"meters"))</f>
        <v>0</v>
      </c>
      <c r="AW346" t="b">
        <f>AND(IF(Metadata!J346="",FALSE,TRUE),EXACT(Metadata!J346,"free-living"))</f>
        <v>0</v>
      </c>
      <c r="AX346" t="b">
        <f>AND(IF(Metadata!K346="",FALSE,TRUE),OR(EXACT(Metadata!K346,"saline"),EXACT(Metadata!K346,"non-saline")))</f>
        <v>0</v>
      </c>
      <c r="AY346" t="b">
        <f>AND(IF(Metadata!L346="",FALSE,TRUE),OR(EXACT(Metadata!L346,"sub-surface (non-saline)"),EXACT(Metadata!L346,"surface (non-saline)"),EXACT(Metadata!L346,"water (non-saline)"),EXACT(Metadata!L346,"soil (non-saline)"),EXACT(Metadata!L346,"aerosol (non-saline)"),EXACT(Metadata!L346,"sediment (non-saline)"),EXACT(Metadata!L346,"surface (saline)"),EXACT(Metadata!L346,"water (saline)"),EXACT(Metadata!L346,"hypersaline (saline)"),EXACT(Metadata!L346,"aerosol (saline)"),EXACT(Metadata!L346,"sediment (saline)")))</f>
        <v>0</v>
      </c>
      <c r="AZ346" t="b">
        <f>IF(Metadata!M346="",FALSE,TRUE)</f>
        <v>0</v>
      </c>
      <c r="BA346" t="b">
        <f>IF(Metadata!N346="",FALSE,TRUE)</f>
        <v>0</v>
      </c>
      <c r="BB346" t="b">
        <f>IF(Metadata!O346="",FALSE,TRUE)</f>
        <v>0</v>
      </c>
      <c r="BC346" t="b">
        <f>AND(IF(Metadata!P346="",FALSE,TRUE),OR(EXACT(Metadata!P346,"air"),EXACT(Metadata!P346,"microbial mat/biofilm"),EXACT(Metadata!P346,"misc environment"),EXACT(Metadata!P346,"sediment"),EXACT(Metadata!P346,"soil"),EXACT(Metadata!P346,"wastewater/sludge"),EXACT(Metadata!P346,"water")))</f>
        <v>0</v>
      </c>
      <c r="BD346" t="b">
        <f>IF(Metadata!Q346="",FALSE,TRUE)</f>
        <v>0</v>
      </c>
      <c r="BE346" t="b">
        <f>IF(Metadata!R346="",FALSE,TRUE)</f>
        <v>0</v>
      </c>
      <c r="BF346" t="b">
        <f>OR(AND(IF(Metadata!S346="",FALSE,TRUE),OR(EXACT(Metadata!S346,"not collected"),EXACT(Metadata!S346,"not provided"),EXACT(Metadata!S346,"restricted access"))),AND(IF(Metadata!S346="",FALSE,ISNUMBER(VALUE(Metadata!S346))),Metadata!S346&gt;=-90,Metadata!S346&lt;=90))</f>
        <v>0</v>
      </c>
      <c r="BG346" t="b">
        <f>AND(IF(Metadata!T346="",FALSE,TRUE),EXACT(Metadata!T346,"Decimal degrees"))</f>
        <v>0</v>
      </c>
      <c r="BH346" t="b">
        <f>OR(AND(IF(Metadata!U346="",FALSE,TRUE),OR(EXACT(Metadata!U346,"not applicable"),EXACT(Metadata!U346,"not collected"))),IF(Metadata!U346="",FALSE,TRUE))</f>
        <v>0</v>
      </c>
      <c r="BI346" t="b">
        <f>OR(AND(IF(Metadata!V346="",FALSE,TRUE),OR(EXACT(Metadata!V346,"not collected"),EXACT(Metadata!V346,"not provided"),EXACT(Metadata!V346,"restricted access"))),AND(IF(Metadata!V346="",FALSE,ISNUMBER(VALUE(Metadata!V346))),Metadata!V346&gt;=-180,Metadata!V346&lt;=180))</f>
        <v>0</v>
      </c>
      <c r="BJ346" t="b">
        <f>AND(IF(Metadata!W346="",FALSE,TRUE),EXACT(Metadata!W346,"Decimal degrees"))</f>
        <v>0</v>
      </c>
      <c r="BK346" t="b">
        <f>IF(Metadata!X346="",FALSE,TRUE)</f>
        <v>0</v>
      </c>
      <c r="BL346" t="b">
        <f>OR(AND(IF(Metadata!Y346="",FALSE,TRUE),OR(EXACT(Metadata!Y346,"not collected"),EXACT(Metadata!Y346,"not provided"),EXACT(Metadata!Y346,"restricted access"))),AND(IF(Metadata!Y346="",FALSE,TRUE),OR(EXACT(Metadata!Y346,"TRUE"),EXACT(Metadata!Y346,"FALSE"))))</f>
        <v>0</v>
      </c>
      <c r="BM346" t="b">
        <f>OR(AND(IF(Metadata!Z346="",FALSE,TRUE),EXACT(Metadata!Z346,"not applicable")),AND(IF(Metadata!Z346="",FALSE,TRUE),OR(EXACT(Metadata!Z346,"beer"),EXACT(Metadata!Z346,"cheese"),EXACT(Metadata!Z346,"fresh water"),EXACT(Metadata!Z346,"marine sediment"),EXACT(Metadata!Z346,"sea water"),EXACT(Metadata!Z346,"sediment"),EXACT(Metadata!Z346,"soil"),EXACT(Metadata!Z346,"waste water"))))</f>
        <v>0</v>
      </c>
      <c r="BN346" t="b">
        <f>AND(IF(Metadata!AA346="",FALSE,TRUE),EXACT(Metadata!AA346,"metagenome"))</f>
        <v>0</v>
      </c>
      <c r="BO346" t="b">
        <f>AND(IF(Metadata!AB346="",FALSE,TRUE),EXACT(Metadata!AB346,"256318"))</f>
        <v>0</v>
      </c>
      <c r="BP346" t="b">
        <f>IF(Metadata!AC346="",FALSE,TRUE)</f>
        <v>0</v>
      </c>
      <c r="BQ346" t="b">
        <f>IF(Metadata!AD346="",FALSE,TRUE)</f>
        <v>0</v>
      </c>
    </row>
    <row r="347" spans="1:69" x14ac:dyDescent="0.2">
      <c r="A347" s="4" t="e">
        <f ca="1">IF(B347=" "," ",HYPERLINK(CONCATENATE("#metadata!",ADDRESS(INDEX($AJ$2:$AJ$1001,MATCH(ROWS($AH$2:AH347),$AH$2:$AH$1001,0),0),2)),INDEX($AM$2:$AM$1001,MATCH(ROWS($AH$2:AH347),$AH$2:$AH$1001,0),0)))</f>
        <v>#N/A</v>
      </c>
      <c r="B347" s="5" t="e">
        <f ca="1">IF(OR(INDEX($AI$2:$AI$1001,MATCH(ROWS($AH$2:AH347),$AH$2:$AH$1001,0),1)&gt;=100000,INDEX($AO$1005:$BQ$1005,1,MATCH(COLUMNS($AO$1006:AO1006),$AO$1006:$BQ$1006,0))&gt;=100000), " ",IF(INDEX($AO$2:$BQ$1001,MATCH(ROWS($AH$2:AH347),$AH$2:$AH$1001,0),MATCH(COLUMNS($AO$1006:AO1006),$AO$1006:$BQ$1006,0)), HYPERLINK("#",""), HYPERLINK(CONCATENATE("#Metadata!", ADDRESS(INDEX($AJ$2:$AJ$1001,MATCH(ROWS($AH$2:AH347),$AH$2:$AH$1001,0),0), INDEX($AO$1004:$BQ$1004,1,MATCH(COLUMNS($AO$1006:AO1006),$AO$1006:$BQ$1006,0)))),"Fix")))</f>
        <v>#N/A</v>
      </c>
      <c r="C347" s="5" t="e">
        <f ca="1">IF(OR(INDEX($AI$2:$AI$1001,MATCH(ROWS($AH$2:AH347),$AH$2:$AH$1001,0),1)&gt;=100000,INDEX($AO$1005:$BQ$1005,1,MATCH(COLUMNS($AO$1006:AP1006),$AO$1006:$BQ$1006,0))&gt;=100000), " ",IF(INDEX($AO$2:$BQ$1001,MATCH(ROWS($AH$2:AH347),$AH$2:$AH$1001,0),MATCH(COLUMNS($AO$1006:AP1006),$AO$1006:$BQ$1006,0)), HYPERLINK("#",""), HYPERLINK(CONCATENATE("#Metadata!", ADDRESS(INDEX($AJ$2:$AJ$1001,MATCH(ROWS($AH$2:AH347),$AH$2:$AH$1001,0),0), INDEX($AO$1004:$BQ$1004,1,MATCH(COLUMNS($AO$1006:AP1006),$AO$1006:$BQ$1006,0)))),"Fix")))</f>
        <v>#N/A</v>
      </c>
      <c r="D347" s="5" t="e">
        <f ca="1">IF(OR(INDEX($AI$2:$AI$1001,MATCH(ROWS($AH$2:AH347),$AH$2:$AH$1001,0),1)&gt;=100000,INDEX($AO$1005:$BQ$1005,1,MATCH(COLUMNS($AO$1006:AQ1006),$AO$1006:$BQ$1006,0))&gt;=100000), " ",IF(INDEX($AO$2:$BQ$1001,MATCH(ROWS($AH$2:AH347),$AH$2:$AH$1001,0),MATCH(COLUMNS($AO$1006:AQ1006),$AO$1006:$BQ$1006,0)), HYPERLINK("#",""), HYPERLINK(CONCATENATE("#Metadata!", ADDRESS(INDEX($AJ$2:$AJ$1001,MATCH(ROWS($AH$2:AH347),$AH$2:$AH$1001,0),0), INDEX($AO$1004:$BQ$1004,1,MATCH(COLUMNS($AO$1006:AQ1006),$AO$1006:$BQ$1006,0)))),"Fix")))</f>
        <v>#N/A</v>
      </c>
      <c r="E347" s="5" t="e">
        <f ca="1">IF(OR(INDEX($AI$2:$AI$1001,MATCH(ROWS($AH$2:AH347),$AH$2:$AH$1001,0),1)&gt;=100000,INDEX($AO$1005:$BQ$1005,1,MATCH(COLUMNS($AO$1006:AR1006),$AO$1006:$BQ$1006,0))&gt;=100000), " ",IF(INDEX($AO$2:$BQ$1001,MATCH(ROWS($AH$2:AH347),$AH$2:$AH$1001,0),MATCH(COLUMNS($AO$1006:AR1006),$AO$1006:$BQ$1006,0)), HYPERLINK("#",""), HYPERLINK(CONCATENATE("#Metadata!", ADDRESS(INDEX($AJ$2:$AJ$1001,MATCH(ROWS($AH$2:AH347),$AH$2:$AH$1001,0),0), INDEX($AO$1004:$BQ$1004,1,MATCH(COLUMNS($AO$1006:AR1006),$AO$1006:$BQ$1006,0)))),"Fix")))</f>
        <v>#N/A</v>
      </c>
      <c r="F347" s="5" t="e">
        <f ca="1">IF(OR(INDEX($AI$2:$AI$1001,MATCH(ROWS($AH$2:AH347),$AH$2:$AH$1001,0),1)&gt;=100000,INDEX($AO$1005:$BQ$1005,1,MATCH(COLUMNS($AO$1006:AS1006),$AO$1006:$BQ$1006,0))&gt;=100000), " ",IF(INDEX($AO$2:$BQ$1001,MATCH(ROWS($AH$2:AH347),$AH$2:$AH$1001,0),MATCH(COLUMNS($AO$1006:AS1006),$AO$1006:$BQ$1006,0)), HYPERLINK("#",""), HYPERLINK(CONCATENATE("#Metadata!", ADDRESS(INDEX($AJ$2:$AJ$1001,MATCH(ROWS($AH$2:AH347),$AH$2:$AH$1001,0),0), INDEX($AO$1004:$BQ$1004,1,MATCH(COLUMNS($AO$1006:AS1006),$AO$1006:$BQ$1006,0)))),"Fix")))</f>
        <v>#N/A</v>
      </c>
      <c r="G347" s="5" t="e">
        <f ca="1">IF(OR(INDEX($AI$2:$AI$1001,MATCH(ROWS($AH$2:AH347),$AH$2:$AH$1001,0),1)&gt;=100000,INDEX($AO$1005:$BQ$1005,1,MATCH(COLUMNS($AO$1006:AT1006),$AO$1006:$BQ$1006,0))&gt;=100000), " ",IF(INDEX($AO$2:$BQ$1001,MATCH(ROWS($AH$2:AH347),$AH$2:$AH$1001,0),MATCH(COLUMNS($AO$1006:AT1006),$AO$1006:$BQ$1006,0)), HYPERLINK("#",""), HYPERLINK(CONCATENATE("#Metadata!", ADDRESS(INDEX($AJ$2:$AJ$1001,MATCH(ROWS($AH$2:AH347),$AH$2:$AH$1001,0),0), INDEX($AO$1004:$BQ$1004,1,MATCH(COLUMNS($AO$1006:AT1006),$AO$1006:$BQ$1006,0)))),"Fix")))</f>
        <v>#N/A</v>
      </c>
      <c r="H347" s="5" t="e">
        <f ca="1">IF(OR(INDEX($AI$2:$AI$1001,MATCH(ROWS($AH$2:AH347),$AH$2:$AH$1001,0),1)&gt;=100000,INDEX($AO$1005:$BQ$1005,1,MATCH(COLUMNS($AO$1006:AU1006),$AO$1006:$BQ$1006,0))&gt;=100000), " ",IF(INDEX($AO$2:$BQ$1001,MATCH(ROWS($AH$2:AH347),$AH$2:$AH$1001,0),MATCH(COLUMNS($AO$1006:AU1006),$AO$1006:$BQ$1006,0)), HYPERLINK("#",""), HYPERLINK(CONCATENATE("#Metadata!", ADDRESS(INDEX($AJ$2:$AJ$1001,MATCH(ROWS($AH$2:AH347),$AH$2:$AH$1001,0),0), INDEX($AO$1004:$BQ$1004,1,MATCH(COLUMNS($AO$1006:AU1006),$AO$1006:$BQ$1006,0)))),"Fix")))</f>
        <v>#N/A</v>
      </c>
      <c r="I347" s="5" t="e">
        <f ca="1">IF(OR(INDEX($AI$2:$AI$1001,MATCH(ROWS($AH$2:AH347),$AH$2:$AH$1001,0),1)&gt;=100000,INDEX($AO$1005:$BQ$1005,1,MATCH(COLUMNS($AO$1006:AV1006),$AO$1006:$BQ$1006,0))&gt;=100000), " ",IF(INDEX($AO$2:$BQ$1001,MATCH(ROWS($AH$2:AH347),$AH$2:$AH$1001,0),MATCH(COLUMNS($AO$1006:AV1006),$AO$1006:$BQ$1006,0)), HYPERLINK("#",""), HYPERLINK(CONCATENATE("#Metadata!", ADDRESS(INDEX($AJ$2:$AJ$1001,MATCH(ROWS($AH$2:AH347),$AH$2:$AH$1001,0),0), INDEX($AO$1004:$BQ$1004,1,MATCH(COLUMNS($AO$1006:AV1006),$AO$1006:$BQ$1006,0)))),"Fix")))</f>
        <v>#N/A</v>
      </c>
      <c r="J347" s="5" t="e">
        <f ca="1">IF(OR(INDEX($AI$2:$AI$1001,MATCH(ROWS($AH$2:AH347),$AH$2:$AH$1001,0),1)&gt;=100000,INDEX($AO$1005:$BQ$1005,1,MATCH(COLUMNS($AO$1006:AW1006),$AO$1006:$BQ$1006,0))&gt;=100000), " ",IF(INDEX($AO$2:$BQ$1001,MATCH(ROWS($AH$2:AH347),$AH$2:$AH$1001,0),MATCH(COLUMNS($AO$1006:AW1006),$AO$1006:$BQ$1006,0)), HYPERLINK("#",""), HYPERLINK(CONCATENATE("#Metadata!", ADDRESS(INDEX($AJ$2:$AJ$1001,MATCH(ROWS($AH$2:AH347),$AH$2:$AH$1001,0),0), INDEX($AO$1004:$BQ$1004,1,MATCH(COLUMNS($AO$1006:AW1006),$AO$1006:$BQ$1006,0)))),"Fix")))</f>
        <v>#N/A</v>
      </c>
      <c r="K347" s="5" t="e">
        <f ca="1">IF(OR(INDEX($AI$2:$AI$1001,MATCH(ROWS($AH$2:AH347),$AH$2:$AH$1001,0),1)&gt;=100000,INDEX($AO$1005:$BQ$1005,1,MATCH(COLUMNS($AO$1006:AX1006),$AO$1006:$BQ$1006,0))&gt;=100000), " ",IF(INDEX($AO$2:$BQ$1001,MATCH(ROWS($AH$2:AH347),$AH$2:$AH$1001,0),MATCH(COLUMNS($AO$1006:AX1006),$AO$1006:$BQ$1006,0)), HYPERLINK("#",""), HYPERLINK(CONCATENATE("#Metadata!", ADDRESS(INDEX($AJ$2:$AJ$1001,MATCH(ROWS($AH$2:AH347),$AH$2:$AH$1001,0),0), INDEX($AO$1004:$BQ$1004,1,MATCH(COLUMNS($AO$1006:AX1006),$AO$1006:$BQ$1006,0)))),"Fix")))</f>
        <v>#N/A</v>
      </c>
      <c r="L347" s="5" t="e">
        <f ca="1">IF(OR(INDEX($AI$2:$AI$1001,MATCH(ROWS($AH$2:AH347),$AH$2:$AH$1001,0),1)&gt;=100000,INDEX($AO$1005:$BQ$1005,1,MATCH(COLUMNS($AO$1006:AY1006),$AO$1006:$BQ$1006,0))&gt;=100000), " ",IF(INDEX($AO$2:$BQ$1001,MATCH(ROWS($AH$2:AH347),$AH$2:$AH$1001,0),MATCH(COLUMNS($AO$1006:AY1006),$AO$1006:$BQ$1006,0)), HYPERLINK("#",""), HYPERLINK(CONCATENATE("#Metadata!", ADDRESS(INDEX($AJ$2:$AJ$1001,MATCH(ROWS($AH$2:AH347),$AH$2:$AH$1001,0),0), INDEX($AO$1004:$BQ$1004,1,MATCH(COLUMNS($AO$1006:AY1006),$AO$1006:$BQ$1006,0)))),"Fix")))</f>
        <v>#N/A</v>
      </c>
      <c r="M347" s="5" t="e">
        <f ca="1">IF(OR(INDEX($AI$2:$AI$1001,MATCH(ROWS($AH$2:AH347),$AH$2:$AH$1001,0),1)&gt;=100000,INDEX($AO$1005:$BQ$1005,1,MATCH(COLUMNS($AO$1006:AZ1006),$AO$1006:$BQ$1006,0))&gt;=100000), " ",IF(INDEX($AO$2:$BQ$1001,MATCH(ROWS($AH$2:AH347),$AH$2:$AH$1001,0),MATCH(COLUMNS($AO$1006:AZ1006),$AO$1006:$BQ$1006,0)), HYPERLINK("#",""), HYPERLINK(CONCATENATE("#Metadata!", ADDRESS(INDEX($AJ$2:$AJ$1001,MATCH(ROWS($AH$2:AH347),$AH$2:$AH$1001,0),0), INDEX($AO$1004:$BQ$1004,1,MATCH(COLUMNS($AO$1006:AZ1006),$AO$1006:$BQ$1006,0)))),"Fix")))</f>
        <v>#N/A</v>
      </c>
      <c r="N347" s="5" t="e">
        <f ca="1">IF(OR(INDEX($AI$2:$AI$1001,MATCH(ROWS($AH$2:AH347),$AH$2:$AH$1001,0),1)&gt;=100000,INDEX($AO$1005:$BQ$1005,1,MATCH(COLUMNS($AO$1006:BA1006),$AO$1006:$BQ$1006,0))&gt;=100000), " ",IF(INDEX($AO$2:$BQ$1001,MATCH(ROWS($AH$2:AH347),$AH$2:$AH$1001,0),MATCH(COLUMNS($AO$1006:BA1006),$AO$1006:$BQ$1006,0)), HYPERLINK("#",""), HYPERLINK(CONCATENATE("#Metadata!", ADDRESS(INDEX($AJ$2:$AJ$1001,MATCH(ROWS($AH$2:AH347),$AH$2:$AH$1001,0),0), INDEX($AO$1004:$BQ$1004,1,MATCH(COLUMNS($AO$1006:BA1006),$AO$1006:$BQ$1006,0)))),"Fix")))</f>
        <v>#N/A</v>
      </c>
      <c r="O347" s="5" t="e">
        <f ca="1">IF(OR(INDEX($AI$2:$AI$1001,MATCH(ROWS($AH$2:AH347),$AH$2:$AH$1001,0),1)&gt;=100000,INDEX($AO$1005:$BQ$1005,1,MATCH(COLUMNS($AO$1006:BB1006),$AO$1006:$BQ$1006,0))&gt;=100000), " ",IF(INDEX($AO$2:$BQ$1001,MATCH(ROWS($AH$2:AH347),$AH$2:$AH$1001,0),MATCH(COLUMNS($AO$1006:BB1006),$AO$1006:$BQ$1006,0)), HYPERLINK("#",""), HYPERLINK(CONCATENATE("#Metadata!", ADDRESS(INDEX($AJ$2:$AJ$1001,MATCH(ROWS($AH$2:AH347),$AH$2:$AH$1001,0),0), INDEX($AO$1004:$BQ$1004,1,MATCH(COLUMNS($AO$1006:BB1006),$AO$1006:$BQ$1006,0)))),"Fix")))</f>
        <v>#N/A</v>
      </c>
      <c r="P347" s="5" t="e">
        <f ca="1">IF(OR(INDEX($AI$2:$AI$1001,MATCH(ROWS($AH$2:AH347),$AH$2:$AH$1001,0),1)&gt;=100000,INDEX($AO$1005:$BQ$1005,1,MATCH(COLUMNS($AO$1006:BC1006),$AO$1006:$BQ$1006,0))&gt;=100000), " ",IF(INDEX($AO$2:$BQ$1001,MATCH(ROWS($AH$2:AH347),$AH$2:$AH$1001,0),MATCH(COLUMNS($AO$1006:BC1006),$AO$1006:$BQ$1006,0)), HYPERLINK("#",""), HYPERLINK(CONCATENATE("#Metadata!", ADDRESS(INDEX($AJ$2:$AJ$1001,MATCH(ROWS($AH$2:AH347),$AH$2:$AH$1001,0),0), INDEX($AO$1004:$BQ$1004,1,MATCH(COLUMNS($AO$1006:BC1006),$AO$1006:$BQ$1006,0)))),"Fix")))</f>
        <v>#N/A</v>
      </c>
      <c r="Q347" s="5" t="e">
        <f ca="1">IF(OR(INDEX($AI$2:$AI$1001,MATCH(ROWS($AH$2:AH347),$AH$2:$AH$1001,0),1)&gt;=100000,INDEX($AO$1005:$BQ$1005,1,MATCH(COLUMNS($AO$1006:BD1006),$AO$1006:$BQ$1006,0))&gt;=100000), " ",IF(INDEX($AO$2:$BQ$1001,MATCH(ROWS($AH$2:AH347),$AH$2:$AH$1001,0),MATCH(COLUMNS($AO$1006:BD1006),$AO$1006:$BQ$1006,0)), HYPERLINK("#",""), HYPERLINK(CONCATENATE("#Metadata!", ADDRESS(INDEX($AJ$2:$AJ$1001,MATCH(ROWS($AH$2:AH347),$AH$2:$AH$1001,0),0), INDEX($AO$1004:$BQ$1004,1,MATCH(COLUMNS($AO$1006:BD1006),$AO$1006:$BQ$1006,0)))),"Fix")))</f>
        <v>#N/A</v>
      </c>
      <c r="R347" s="5" t="e">
        <f ca="1">IF(OR(INDEX($AI$2:$AI$1001,MATCH(ROWS($AH$2:AH347),$AH$2:$AH$1001,0),1)&gt;=100000,INDEX($AO$1005:$BQ$1005,1,MATCH(COLUMNS($AO$1006:BE1006),$AO$1006:$BQ$1006,0))&gt;=100000), " ",IF(INDEX($AO$2:$BQ$1001,MATCH(ROWS($AH$2:AH347),$AH$2:$AH$1001,0),MATCH(COLUMNS($AO$1006:BE1006),$AO$1006:$BQ$1006,0)), HYPERLINK("#",""), HYPERLINK(CONCATENATE("#Metadata!", ADDRESS(INDEX($AJ$2:$AJ$1001,MATCH(ROWS($AH$2:AH347),$AH$2:$AH$1001,0),0), INDEX($AO$1004:$BQ$1004,1,MATCH(COLUMNS($AO$1006:BE1006),$AO$1006:$BQ$1006,0)))),"Fix")))</f>
        <v>#N/A</v>
      </c>
      <c r="S347" s="5" t="e">
        <f ca="1">IF(OR(INDEX($AI$2:$AI$1001,MATCH(ROWS($AH$2:AH347),$AH$2:$AH$1001,0),1)&gt;=100000,INDEX($AO$1005:$BQ$1005,1,MATCH(COLUMNS($AO$1006:BF1006),$AO$1006:$BQ$1006,0))&gt;=100000), " ",IF(INDEX($AO$2:$BQ$1001,MATCH(ROWS($AH$2:AH347),$AH$2:$AH$1001,0),MATCH(COLUMNS($AO$1006:BF1006),$AO$1006:$BQ$1006,0)), HYPERLINK("#",""), HYPERLINK(CONCATENATE("#Metadata!", ADDRESS(INDEX($AJ$2:$AJ$1001,MATCH(ROWS($AH$2:AH347),$AH$2:$AH$1001,0),0), INDEX($AO$1004:$BQ$1004,1,MATCH(COLUMNS($AO$1006:BF1006),$AO$1006:$BQ$1006,0)))),"Fix")))</f>
        <v>#N/A</v>
      </c>
      <c r="T347" s="5" t="e">
        <f ca="1">IF(OR(INDEX($AI$2:$AI$1001,MATCH(ROWS($AH$2:AH347),$AH$2:$AH$1001,0),1)&gt;=100000,INDEX($AO$1005:$BQ$1005,1,MATCH(COLUMNS($AO$1006:BG1006),$AO$1006:$BQ$1006,0))&gt;=100000), " ",IF(INDEX($AO$2:$BQ$1001,MATCH(ROWS($AH$2:AH347),$AH$2:$AH$1001,0),MATCH(COLUMNS($AO$1006:BG1006),$AO$1006:$BQ$1006,0)), HYPERLINK("#",""), HYPERLINK(CONCATENATE("#Metadata!", ADDRESS(INDEX($AJ$2:$AJ$1001,MATCH(ROWS($AH$2:AH347),$AH$2:$AH$1001,0),0), INDEX($AO$1004:$BQ$1004,1,MATCH(COLUMNS($AO$1006:BG1006),$AO$1006:$BQ$1006,0)))),"Fix")))</f>
        <v>#N/A</v>
      </c>
      <c r="U347" s="5" t="e">
        <f ca="1">IF(OR(INDEX($AI$2:$AI$1001,MATCH(ROWS($AH$2:AH347),$AH$2:$AH$1001,0),1)&gt;=100000,INDEX($AO$1005:$BQ$1005,1,MATCH(COLUMNS($AO$1006:BH1006),$AO$1006:$BQ$1006,0))&gt;=100000), " ",IF(INDEX($AO$2:$BQ$1001,MATCH(ROWS($AH$2:AH347),$AH$2:$AH$1001,0),MATCH(COLUMNS($AO$1006:BH1006),$AO$1006:$BQ$1006,0)), HYPERLINK("#",""), HYPERLINK(CONCATENATE("#Metadata!", ADDRESS(INDEX($AJ$2:$AJ$1001,MATCH(ROWS($AH$2:AH347),$AH$2:$AH$1001,0),0), INDEX($AO$1004:$BQ$1004,1,MATCH(COLUMNS($AO$1006:BH1006),$AO$1006:$BQ$1006,0)))),"Fix")))</f>
        <v>#N/A</v>
      </c>
      <c r="V347" s="5" t="e">
        <f ca="1">IF(OR(INDEX($AI$2:$AI$1001,MATCH(ROWS($AH$2:AH347),$AH$2:$AH$1001,0),1)&gt;=100000,INDEX($AO$1005:$BQ$1005,1,MATCH(COLUMNS($AO$1006:BI1006),$AO$1006:$BQ$1006,0))&gt;=100000), " ",IF(INDEX($AO$2:$BQ$1001,MATCH(ROWS($AH$2:AH347),$AH$2:$AH$1001,0),MATCH(COLUMNS($AO$1006:BI1006),$AO$1006:$BQ$1006,0)), HYPERLINK("#",""), HYPERLINK(CONCATENATE("#Metadata!", ADDRESS(INDEX($AJ$2:$AJ$1001,MATCH(ROWS($AH$2:AH347),$AH$2:$AH$1001,0),0), INDEX($AO$1004:$BQ$1004,1,MATCH(COLUMNS($AO$1006:BI1006),$AO$1006:$BQ$1006,0)))),"Fix")))</f>
        <v>#N/A</v>
      </c>
      <c r="W347" s="5" t="e">
        <f ca="1">IF(OR(INDEX($AI$2:$AI$1001,MATCH(ROWS($AH$2:AH347),$AH$2:$AH$1001,0),1)&gt;=100000,INDEX($AO$1005:$BQ$1005,1,MATCH(COLUMNS($AO$1006:BJ1006),$AO$1006:$BQ$1006,0))&gt;=100000), " ",IF(INDEX($AO$2:$BQ$1001,MATCH(ROWS($AH$2:AH347),$AH$2:$AH$1001,0),MATCH(COLUMNS($AO$1006:BJ1006),$AO$1006:$BQ$1006,0)), HYPERLINK("#",""), HYPERLINK(CONCATENATE("#Metadata!", ADDRESS(INDEX($AJ$2:$AJ$1001,MATCH(ROWS($AH$2:AH347),$AH$2:$AH$1001,0),0), INDEX($AO$1004:$BQ$1004,1,MATCH(COLUMNS($AO$1006:BJ1006),$AO$1006:$BQ$1006,0)))),"Fix")))</f>
        <v>#N/A</v>
      </c>
      <c r="X347" s="5" t="e">
        <f ca="1">IF(OR(INDEX($AI$2:$AI$1001,MATCH(ROWS($AH$2:AH347),$AH$2:$AH$1001,0),1)&gt;=100000,INDEX($AO$1005:$BQ$1005,1,MATCH(COLUMNS($AO$1006:BK1006),$AO$1006:$BQ$1006,0))&gt;=100000), " ",IF(INDEX($AO$2:$BQ$1001,MATCH(ROWS($AH$2:AH347),$AH$2:$AH$1001,0),MATCH(COLUMNS($AO$1006:BK1006),$AO$1006:$BQ$1006,0)), HYPERLINK("#",""), HYPERLINK(CONCATENATE("#Metadata!", ADDRESS(INDEX($AJ$2:$AJ$1001,MATCH(ROWS($AH$2:AH347),$AH$2:$AH$1001,0),0), INDEX($AO$1004:$BQ$1004,1,MATCH(COLUMNS($AO$1006:BK1006),$AO$1006:$BQ$1006,0)))),"Fix")))</f>
        <v>#N/A</v>
      </c>
      <c r="Y347" s="5" t="e">
        <f ca="1">IF(OR(INDEX($AI$2:$AI$1001,MATCH(ROWS($AH$2:AH347),$AH$2:$AH$1001,0),1)&gt;=100000,INDEX($AO$1005:$BQ$1005,1,MATCH(COLUMNS($AO$1006:BL1006),$AO$1006:$BQ$1006,0))&gt;=100000), " ",IF(INDEX($AO$2:$BQ$1001,MATCH(ROWS($AH$2:AH347),$AH$2:$AH$1001,0),MATCH(COLUMNS($AO$1006:BL1006),$AO$1006:$BQ$1006,0)), HYPERLINK("#",""), HYPERLINK(CONCATENATE("#Metadata!", ADDRESS(INDEX($AJ$2:$AJ$1001,MATCH(ROWS($AH$2:AH347),$AH$2:$AH$1001,0),0), INDEX($AO$1004:$BQ$1004,1,MATCH(COLUMNS($AO$1006:BL1006),$AO$1006:$BQ$1006,0)))),"Fix")))</f>
        <v>#N/A</v>
      </c>
      <c r="Z347" s="5" t="e">
        <f ca="1">IF(OR(INDEX($AI$2:$AI$1001,MATCH(ROWS($AH$2:AH347),$AH$2:$AH$1001,0),1)&gt;=100000,INDEX($AO$1005:$BQ$1005,1,MATCH(COLUMNS($AO$1006:BM1006),$AO$1006:$BQ$1006,0))&gt;=100000), " ",IF(INDEX($AO$2:$BQ$1001,MATCH(ROWS($AH$2:AH347),$AH$2:$AH$1001,0),MATCH(COLUMNS($AO$1006:BM1006),$AO$1006:$BQ$1006,0)), HYPERLINK("#",""), HYPERLINK(CONCATENATE("#Metadata!", ADDRESS(INDEX($AJ$2:$AJ$1001,MATCH(ROWS($AH$2:AH347),$AH$2:$AH$1001,0),0), INDEX($AO$1004:$BQ$1004,1,MATCH(COLUMNS($AO$1006:BM1006),$AO$1006:$BQ$1006,0)))),"Fix")))</f>
        <v>#N/A</v>
      </c>
      <c r="AA347" s="5" t="e">
        <f ca="1">IF(OR(INDEX($AI$2:$AI$1001,MATCH(ROWS($AH$2:AH347),$AH$2:$AH$1001,0),1)&gt;=100000,INDEX($AO$1005:$BQ$1005,1,MATCH(COLUMNS($AO$1006:BN1006),$AO$1006:$BQ$1006,0))&gt;=100000), " ",IF(INDEX($AO$2:$BQ$1001,MATCH(ROWS($AH$2:AH347),$AH$2:$AH$1001,0),MATCH(COLUMNS($AO$1006:BN1006),$AO$1006:$BQ$1006,0)), HYPERLINK("#",""), HYPERLINK(CONCATENATE("#Metadata!", ADDRESS(INDEX($AJ$2:$AJ$1001,MATCH(ROWS($AH$2:AH347),$AH$2:$AH$1001,0),0), INDEX($AO$1004:$BQ$1004,1,MATCH(COLUMNS($AO$1006:BN1006),$AO$1006:$BQ$1006,0)))),"Fix")))</f>
        <v>#N/A</v>
      </c>
      <c r="AB347" s="5" t="e">
        <f ca="1">IF(OR(INDEX($AI$2:$AI$1001,MATCH(ROWS($AH$2:AH347),$AH$2:$AH$1001,0),1)&gt;=100000,INDEX($AO$1005:$BQ$1005,1,MATCH(COLUMNS($AO$1006:BO1006),$AO$1006:$BQ$1006,0))&gt;=100000), " ",IF(INDEX($AO$2:$BQ$1001,MATCH(ROWS($AH$2:AH347),$AH$2:$AH$1001,0),MATCH(COLUMNS($AO$1006:BO1006),$AO$1006:$BQ$1006,0)), HYPERLINK("#",""), HYPERLINK(CONCATENATE("#Metadata!", ADDRESS(INDEX($AJ$2:$AJ$1001,MATCH(ROWS($AH$2:AH347),$AH$2:$AH$1001,0),0), INDEX($AO$1004:$BQ$1004,1,MATCH(COLUMNS($AO$1006:BO1006),$AO$1006:$BQ$1006,0)))),"Fix")))</f>
        <v>#N/A</v>
      </c>
      <c r="AC347" s="5" t="e">
        <f ca="1">IF(OR(INDEX($AI$2:$AI$1001,MATCH(ROWS($AH$2:AH347),$AH$2:$AH$1001,0),1)&gt;=100000,INDEX($AO$1005:$BQ$1005,1,MATCH(COLUMNS($AO$1006:BP1006),$AO$1006:$BQ$1006,0))&gt;=100000), " ",IF(INDEX($AO$2:$BQ$1001,MATCH(ROWS($AH$2:AH347),$AH$2:$AH$1001,0),MATCH(COLUMNS($AO$1006:BP1006),$AO$1006:$BQ$1006,0)), HYPERLINK("#",""), HYPERLINK(CONCATENATE("#Metadata!", ADDRESS(INDEX($AJ$2:$AJ$1001,MATCH(ROWS($AH$2:AH347),$AH$2:$AH$1001,0),0), INDEX($AO$1004:$BQ$1004,1,MATCH(COLUMNS($AO$1006:BP1006),$AO$1006:$BQ$1006,0)))),"Fix")))</f>
        <v>#N/A</v>
      </c>
      <c r="AD347" s="5" t="e">
        <f ca="1">IF(OR(INDEX($AI$2:$AI$1001,MATCH(ROWS($AH$2:AH347),$AH$2:$AH$1001,0),1)&gt;=100000,INDEX($AO$1005:$BQ$1005,1,MATCH(COLUMNS($AO$1006:BQ1006),$AO$1006:$BQ$1006,0))&gt;=100000), " ",IF(INDEX($AO$2:$BQ$1001,MATCH(ROWS($AH$2:AH347),$AH$2:$AH$1001,0),MATCH(COLUMNS($AO$1006:BQ1006),$AO$1006:$BQ$1006,0)), HYPERLINK("#",""), HYPERLINK(CONCATENATE("#Metadata!", ADDRESS(INDEX($AJ$2:$AJ$1001,MATCH(ROWS($AH$2:AH347),$AH$2:$AH$1001,0),0), INDEX($AO$1004:$BQ$1004,1,MATCH(COLUMNS($AO$1006:BQ1006),$AO$1006:$BQ$1006,0)))),"Fix")))</f>
        <v>#REF!</v>
      </c>
      <c r="AH347">
        <f ca="1"/>
        <v>344</v>
      </c>
      <c r="AI347">
        <v>100347</v>
      </c>
      <c r="AJ347">
        <v>347</v>
      </c>
      <c r="AK347" t="b">
        <f t="shared" si="5"/>
        <v>1</v>
      </c>
      <c r="AL347" t="b">
        <f>COUNTBLANK(Metadata!B347:AD347)=COLUMNS(Metadata!B347:AD347)</f>
        <v>1</v>
      </c>
      <c r="AM347" t="str">
        <v/>
      </c>
      <c r="AO347" t="b">
        <f ca="1">AND(IF(Metadata!B347="",FALSE,TRUE),COUNTIF(Metadata!B:B, Metadata!B347) = 1,NOT(ISERROR(SUMPRODUCT(SEARCH(MID(Metadata!B347,ROW(INDIRECT("1:"&amp;LEN(Metadata!B347))), 1),"0123456789abcdefghijklmnopqrstuvwxyzABCDEFGHIJKLMNOPQRSTUVWXYZ.")))))</f>
        <v>0</v>
      </c>
      <c r="AP347" t="b">
        <f>IF(Metadata!C347="",FALSE,TRUE)</f>
        <v>0</v>
      </c>
      <c r="AQ347" t="b">
        <f>IF(Metadata!D347="",FALSE,TRUE)</f>
        <v>0</v>
      </c>
      <c r="AR347" t="b">
        <f ca="1">OR(AND(IF(Metadata!E347="",FALSE,TRUE),OR(EXACT(Metadata!E347,"not collected"),EXACT(Metadata!E347,"not provided"),EXACT(Metadata!E347,"restricted access"))),AND(IF(Metadata!E347="",FALSE,TRUE),AND(AND(IFERROR(INT(LEFT(Metadata!E347,4))&gt;1900,FALSE),IFERROR(INT(LEFT(Metadata!E347,4))&lt;=YEAR(NOW()),FALSE)), OR(MID(Metadata!E347,5,1)="", AND(AND(MID(Metadata!E347,5,1)="-",IFERROR(INT(MID(Metadata!E347,6,1))&gt;=0,FALSE),IFERROR(INT(MID(Metadata!E347,6,1))&lt;=1,FALSE),NOT(MID(Metadata!E347,7,1)=""),IFERROR(INT(MID(Metadata!E347,6,2))&gt;=1,FALSE),IFERROR(INT(MID(Metadata!E347,6,2))&lt;=12,FALSE)), OR(MID(Metadata!E347,8,1)="", AND(AND(MID(Metadata!E347,8,1)="-",IFERROR(INT(MID(Metadata!E347,9,1))&gt;=0,FALSE),IFERROR(INT(MID(Metadata!E347,9,1))&lt;=3,FALSE),NOT(MID(Metadata!E347,10,1)=""),IFERROR(INT(MID(Metadata!E347,9,2))&gt;=1,FALSE),IFERROR(INT(MID(Metadata!E347,9,2))&lt;=31,FALSE)), OR(MID(Metadata!E347,11,1)="", AND(AND(MID(Metadata!E347,11,1)=" ",IFERROR(INT(MID(Metadata!E347,12,1))&gt;=0,FALSE),IFERROR(INT(MID(Metadata!E347,12,1))&lt;=2,FALSE),NOT(MID(Metadata!E347,13,1)=""),IFERROR(INT(MID(Metadata!E347,12,2))&gt;=0,FALSE),IFERROR(INT(MID(Metadata!E347,12,2))&lt;=23,FALSE)), OR(MID(Metadata!E347,14,1)="", AND(AND(MID(Metadata!E347,14,1)=":",IFERROR(INT(MID(Metadata!E347,15,1))&gt;=0,FALSE),IFERROR(INT(MID(Metadata!E347,15,1))&lt;=5,FALSE),NOT(MID(Metadata!E347,16,1)=""),IFERROR(INT(MID(Metadata!E347,15,2))&gt;=0,FALSE),IFERROR(INT(MID(Metadata!E347,15,2))&lt;=59,FALSE)), OR(MID(Metadata!E347,17,1)="", AND(AND(MID(Metadata!E347,17,1)=":",IFERROR(INT(MID(Metadata!E347,18,1))&gt;=0,FALSE),IFERROR(INT(MID(Metadata!E347,18,1))&lt;=5,FALSE),NOT(MID(Metadata!E347,19,1)=""),IFERROR(INT(MID(Metadata!E347,18,2))&gt;=0,FALSE),IFERROR(INT(MID(Metadata!E347,18,2))&lt;=59,FALSE)), LEN(Metadata!E347)&lt;=19)))))))))))))</f>
        <v>0</v>
      </c>
      <c r="AS347" t="b">
        <f>IF(Metadata!F347="",FALSE,TRUE)</f>
        <v>0</v>
      </c>
      <c r="AT347" t="b">
        <f>OR(AND(IF(Metadata!G347="",FALSE,TRUE),OR(EXACT(Metadata!G347,"not collected"),EXACT(Metadata!G347,"not provided"))),AND(IF(Metadata!G347="",FALSE,TRUE),OR(EXACT(Metadata!G347,"TRUE"),EXACT(Metadata!G347,"FALSE"))))</f>
        <v>0</v>
      </c>
      <c r="AU347" t="b">
        <f>OR(AND(IF(Metadata!H347="",FALSE,TRUE),OR(EXACT(Metadata!H347,"not collected"),EXACT(Metadata!H347,"not provided"),EXACT(Metadata!H347,"restricted access"))),AND(IF(Metadata!H347="",FALSE,ISNUMBER(VALUE(Metadata!H347))),Metadata!H347&gt;=-413))</f>
        <v>0</v>
      </c>
      <c r="AV347" t="b">
        <f>AND(IF(Metadata!I347="",FALSE,TRUE),EXACT(Metadata!I347,"meters"))</f>
        <v>0</v>
      </c>
      <c r="AW347" t="b">
        <f>AND(IF(Metadata!J347="",FALSE,TRUE),EXACT(Metadata!J347,"free-living"))</f>
        <v>0</v>
      </c>
      <c r="AX347" t="b">
        <f>AND(IF(Metadata!K347="",FALSE,TRUE),OR(EXACT(Metadata!K347,"saline"),EXACT(Metadata!K347,"non-saline")))</f>
        <v>0</v>
      </c>
      <c r="AY347" t="b">
        <f>AND(IF(Metadata!L347="",FALSE,TRUE),OR(EXACT(Metadata!L347,"sub-surface (non-saline)"),EXACT(Metadata!L347,"surface (non-saline)"),EXACT(Metadata!L347,"water (non-saline)"),EXACT(Metadata!L347,"soil (non-saline)"),EXACT(Metadata!L347,"aerosol (non-saline)"),EXACT(Metadata!L347,"sediment (non-saline)"),EXACT(Metadata!L347,"surface (saline)"),EXACT(Metadata!L347,"water (saline)"),EXACT(Metadata!L347,"hypersaline (saline)"),EXACT(Metadata!L347,"aerosol (saline)"),EXACT(Metadata!L347,"sediment (saline)")))</f>
        <v>0</v>
      </c>
      <c r="AZ347" t="b">
        <f>IF(Metadata!M347="",FALSE,TRUE)</f>
        <v>0</v>
      </c>
      <c r="BA347" t="b">
        <f>IF(Metadata!N347="",FALSE,TRUE)</f>
        <v>0</v>
      </c>
      <c r="BB347" t="b">
        <f>IF(Metadata!O347="",FALSE,TRUE)</f>
        <v>0</v>
      </c>
      <c r="BC347" t="b">
        <f>AND(IF(Metadata!P347="",FALSE,TRUE),OR(EXACT(Metadata!P347,"air"),EXACT(Metadata!P347,"microbial mat/biofilm"),EXACT(Metadata!P347,"misc environment"),EXACT(Metadata!P347,"sediment"),EXACT(Metadata!P347,"soil"),EXACT(Metadata!P347,"wastewater/sludge"),EXACT(Metadata!P347,"water")))</f>
        <v>0</v>
      </c>
      <c r="BD347" t="b">
        <f>IF(Metadata!Q347="",FALSE,TRUE)</f>
        <v>0</v>
      </c>
      <c r="BE347" t="b">
        <f>IF(Metadata!R347="",FALSE,TRUE)</f>
        <v>0</v>
      </c>
      <c r="BF347" t="b">
        <f>OR(AND(IF(Metadata!S347="",FALSE,TRUE),OR(EXACT(Metadata!S347,"not collected"),EXACT(Metadata!S347,"not provided"),EXACT(Metadata!S347,"restricted access"))),AND(IF(Metadata!S347="",FALSE,ISNUMBER(VALUE(Metadata!S347))),Metadata!S347&gt;=-90,Metadata!S347&lt;=90))</f>
        <v>0</v>
      </c>
      <c r="BG347" t="b">
        <f>AND(IF(Metadata!T347="",FALSE,TRUE),EXACT(Metadata!T347,"Decimal degrees"))</f>
        <v>0</v>
      </c>
      <c r="BH347" t="b">
        <f>OR(AND(IF(Metadata!U347="",FALSE,TRUE),OR(EXACT(Metadata!U347,"not applicable"),EXACT(Metadata!U347,"not collected"))),IF(Metadata!U347="",FALSE,TRUE))</f>
        <v>0</v>
      </c>
      <c r="BI347" t="b">
        <f>OR(AND(IF(Metadata!V347="",FALSE,TRUE),OR(EXACT(Metadata!V347,"not collected"),EXACT(Metadata!V347,"not provided"),EXACT(Metadata!V347,"restricted access"))),AND(IF(Metadata!V347="",FALSE,ISNUMBER(VALUE(Metadata!V347))),Metadata!V347&gt;=-180,Metadata!V347&lt;=180))</f>
        <v>0</v>
      </c>
      <c r="BJ347" t="b">
        <f>AND(IF(Metadata!W347="",FALSE,TRUE),EXACT(Metadata!W347,"Decimal degrees"))</f>
        <v>0</v>
      </c>
      <c r="BK347" t="b">
        <f>IF(Metadata!X347="",FALSE,TRUE)</f>
        <v>0</v>
      </c>
      <c r="BL347" t="b">
        <f>OR(AND(IF(Metadata!Y347="",FALSE,TRUE),OR(EXACT(Metadata!Y347,"not collected"),EXACT(Metadata!Y347,"not provided"),EXACT(Metadata!Y347,"restricted access"))),AND(IF(Metadata!Y347="",FALSE,TRUE),OR(EXACT(Metadata!Y347,"TRUE"),EXACT(Metadata!Y347,"FALSE"))))</f>
        <v>0</v>
      </c>
      <c r="BM347" t="b">
        <f>OR(AND(IF(Metadata!Z347="",FALSE,TRUE),EXACT(Metadata!Z347,"not applicable")),AND(IF(Metadata!Z347="",FALSE,TRUE),OR(EXACT(Metadata!Z347,"beer"),EXACT(Metadata!Z347,"cheese"),EXACT(Metadata!Z347,"fresh water"),EXACT(Metadata!Z347,"marine sediment"),EXACT(Metadata!Z347,"sea water"),EXACT(Metadata!Z347,"sediment"),EXACT(Metadata!Z347,"soil"),EXACT(Metadata!Z347,"waste water"))))</f>
        <v>0</v>
      </c>
      <c r="BN347" t="b">
        <f>AND(IF(Metadata!AA347="",FALSE,TRUE),EXACT(Metadata!AA347,"metagenome"))</f>
        <v>0</v>
      </c>
      <c r="BO347" t="b">
        <f>AND(IF(Metadata!AB347="",FALSE,TRUE),EXACT(Metadata!AB347,"256318"))</f>
        <v>0</v>
      </c>
      <c r="BP347" t="b">
        <f>IF(Metadata!AC347="",FALSE,TRUE)</f>
        <v>0</v>
      </c>
      <c r="BQ347" t="b">
        <f>IF(Metadata!AD347="",FALSE,TRUE)</f>
        <v>0</v>
      </c>
    </row>
    <row r="348" spans="1:69" x14ac:dyDescent="0.2">
      <c r="A348" s="4" t="e">
        <f ca="1">IF(B348=" "," ",HYPERLINK(CONCATENATE("#metadata!",ADDRESS(INDEX($AJ$2:$AJ$1001,MATCH(ROWS($AH$2:AH348),$AH$2:$AH$1001,0),0),2)),INDEX($AM$2:$AM$1001,MATCH(ROWS($AH$2:AH348),$AH$2:$AH$1001,0),0)))</f>
        <v>#N/A</v>
      </c>
      <c r="B348" s="5" t="e">
        <f ca="1">IF(OR(INDEX($AI$2:$AI$1001,MATCH(ROWS($AH$2:AH348),$AH$2:$AH$1001,0),1)&gt;=100000,INDEX($AO$1005:$BQ$1005,1,MATCH(COLUMNS($AO$1006:AO1006),$AO$1006:$BQ$1006,0))&gt;=100000), " ",IF(INDEX($AO$2:$BQ$1001,MATCH(ROWS($AH$2:AH348),$AH$2:$AH$1001,0),MATCH(COLUMNS($AO$1006:AO1006),$AO$1006:$BQ$1006,0)), HYPERLINK("#",""), HYPERLINK(CONCATENATE("#Metadata!", ADDRESS(INDEX($AJ$2:$AJ$1001,MATCH(ROWS($AH$2:AH348),$AH$2:$AH$1001,0),0), INDEX($AO$1004:$BQ$1004,1,MATCH(COLUMNS($AO$1006:AO1006),$AO$1006:$BQ$1006,0)))),"Fix")))</f>
        <v>#N/A</v>
      </c>
      <c r="C348" s="5" t="e">
        <f ca="1">IF(OR(INDEX($AI$2:$AI$1001,MATCH(ROWS($AH$2:AH348),$AH$2:$AH$1001,0),1)&gt;=100000,INDEX($AO$1005:$BQ$1005,1,MATCH(COLUMNS($AO$1006:AP1006),$AO$1006:$BQ$1006,0))&gt;=100000), " ",IF(INDEX($AO$2:$BQ$1001,MATCH(ROWS($AH$2:AH348),$AH$2:$AH$1001,0),MATCH(COLUMNS($AO$1006:AP1006),$AO$1006:$BQ$1006,0)), HYPERLINK("#",""), HYPERLINK(CONCATENATE("#Metadata!", ADDRESS(INDEX($AJ$2:$AJ$1001,MATCH(ROWS($AH$2:AH348),$AH$2:$AH$1001,0),0), INDEX($AO$1004:$BQ$1004,1,MATCH(COLUMNS($AO$1006:AP1006),$AO$1006:$BQ$1006,0)))),"Fix")))</f>
        <v>#N/A</v>
      </c>
      <c r="D348" s="5" t="e">
        <f ca="1">IF(OR(INDEX($AI$2:$AI$1001,MATCH(ROWS($AH$2:AH348),$AH$2:$AH$1001,0),1)&gt;=100000,INDEX($AO$1005:$BQ$1005,1,MATCH(COLUMNS($AO$1006:AQ1006),$AO$1006:$BQ$1006,0))&gt;=100000), " ",IF(INDEX($AO$2:$BQ$1001,MATCH(ROWS($AH$2:AH348),$AH$2:$AH$1001,0),MATCH(COLUMNS($AO$1006:AQ1006),$AO$1006:$BQ$1006,0)), HYPERLINK("#",""), HYPERLINK(CONCATENATE("#Metadata!", ADDRESS(INDEX($AJ$2:$AJ$1001,MATCH(ROWS($AH$2:AH348),$AH$2:$AH$1001,0),0), INDEX($AO$1004:$BQ$1004,1,MATCH(COLUMNS($AO$1006:AQ1006),$AO$1006:$BQ$1006,0)))),"Fix")))</f>
        <v>#N/A</v>
      </c>
      <c r="E348" s="5" t="e">
        <f ca="1">IF(OR(INDEX($AI$2:$AI$1001,MATCH(ROWS($AH$2:AH348),$AH$2:$AH$1001,0),1)&gt;=100000,INDEX($AO$1005:$BQ$1005,1,MATCH(COLUMNS($AO$1006:AR1006),$AO$1006:$BQ$1006,0))&gt;=100000), " ",IF(INDEX($AO$2:$BQ$1001,MATCH(ROWS($AH$2:AH348),$AH$2:$AH$1001,0),MATCH(COLUMNS($AO$1006:AR1006),$AO$1006:$BQ$1006,0)), HYPERLINK("#",""), HYPERLINK(CONCATENATE("#Metadata!", ADDRESS(INDEX($AJ$2:$AJ$1001,MATCH(ROWS($AH$2:AH348),$AH$2:$AH$1001,0),0), INDEX($AO$1004:$BQ$1004,1,MATCH(COLUMNS($AO$1006:AR1006),$AO$1006:$BQ$1006,0)))),"Fix")))</f>
        <v>#N/A</v>
      </c>
      <c r="F348" s="5" t="e">
        <f ca="1">IF(OR(INDEX($AI$2:$AI$1001,MATCH(ROWS($AH$2:AH348),$AH$2:$AH$1001,0),1)&gt;=100000,INDEX($AO$1005:$BQ$1005,1,MATCH(COLUMNS($AO$1006:AS1006),$AO$1006:$BQ$1006,0))&gt;=100000), " ",IF(INDEX($AO$2:$BQ$1001,MATCH(ROWS($AH$2:AH348),$AH$2:$AH$1001,0),MATCH(COLUMNS($AO$1006:AS1006),$AO$1006:$BQ$1006,0)), HYPERLINK("#",""), HYPERLINK(CONCATENATE("#Metadata!", ADDRESS(INDEX($AJ$2:$AJ$1001,MATCH(ROWS($AH$2:AH348),$AH$2:$AH$1001,0),0), INDEX($AO$1004:$BQ$1004,1,MATCH(COLUMNS($AO$1006:AS1006),$AO$1006:$BQ$1006,0)))),"Fix")))</f>
        <v>#N/A</v>
      </c>
      <c r="G348" s="5" t="e">
        <f ca="1">IF(OR(INDEX($AI$2:$AI$1001,MATCH(ROWS($AH$2:AH348),$AH$2:$AH$1001,0),1)&gt;=100000,INDEX($AO$1005:$BQ$1005,1,MATCH(COLUMNS($AO$1006:AT1006),$AO$1006:$BQ$1006,0))&gt;=100000), " ",IF(INDEX($AO$2:$BQ$1001,MATCH(ROWS($AH$2:AH348),$AH$2:$AH$1001,0),MATCH(COLUMNS($AO$1006:AT1006),$AO$1006:$BQ$1006,0)), HYPERLINK("#",""), HYPERLINK(CONCATENATE("#Metadata!", ADDRESS(INDEX($AJ$2:$AJ$1001,MATCH(ROWS($AH$2:AH348),$AH$2:$AH$1001,0),0), INDEX($AO$1004:$BQ$1004,1,MATCH(COLUMNS($AO$1006:AT1006),$AO$1006:$BQ$1006,0)))),"Fix")))</f>
        <v>#N/A</v>
      </c>
      <c r="H348" s="5" t="e">
        <f ca="1">IF(OR(INDEX($AI$2:$AI$1001,MATCH(ROWS($AH$2:AH348),$AH$2:$AH$1001,0),1)&gt;=100000,INDEX($AO$1005:$BQ$1005,1,MATCH(COLUMNS($AO$1006:AU1006),$AO$1006:$BQ$1006,0))&gt;=100000), " ",IF(INDEX($AO$2:$BQ$1001,MATCH(ROWS($AH$2:AH348),$AH$2:$AH$1001,0),MATCH(COLUMNS($AO$1006:AU1006),$AO$1006:$BQ$1006,0)), HYPERLINK("#",""), HYPERLINK(CONCATENATE("#Metadata!", ADDRESS(INDEX($AJ$2:$AJ$1001,MATCH(ROWS($AH$2:AH348),$AH$2:$AH$1001,0),0), INDEX($AO$1004:$BQ$1004,1,MATCH(COLUMNS($AO$1006:AU1006),$AO$1006:$BQ$1006,0)))),"Fix")))</f>
        <v>#N/A</v>
      </c>
      <c r="I348" s="5" t="e">
        <f ca="1">IF(OR(INDEX($AI$2:$AI$1001,MATCH(ROWS($AH$2:AH348),$AH$2:$AH$1001,0),1)&gt;=100000,INDEX($AO$1005:$BQ$1005,1,MATCH(COLUMNS($AO$1006:AV1006),$AO$1006:$BQ$1006,0))&gt;=100000), " ",IF(INDEX($AO$2:$BQ$1001,MATCH(ROWS($AH$2:AH348),$AH$2:$AH$1001,0),MATCH(COLUMNS($AO$1006:AV1006),$AO$1006:$BQ$1006,0)), HYPERLINK("#",""), HYPERLINK(CONCATENATE("#Metadata!", ADDRESS(INDEX($AJ$2:$AJ$1001,MATCH(ROWS($AH$2:AH348),$AH$2:$AH$1001,0),0), INDEX($AO$1004:$BQ$1004,1,MATCH(COLUMNS($AO$1006:AV1006),$AO$1006:$BQ$1006,0)))),"Fix")))</f>
        <v>#N/A</v>
      </c>
      <c r="J348" s="5" t="e">
        <f ca="1">IF(OR(INDEX($AI$2:$AI$1001,MATCH(ROWS($AH$2:AH348),$AH$2:$AH$1001,0),1)&gt;=100000,INDEX($AO$1005:$BQ$1005,1,MATCH(COLUMNS($AO$1006:AW1006),$AO$1006:$BQ$1006,0))&gt;=100000), " ",IF(INDEX($AO$2:$BQ$1001,MATCH(ROWS($AH$2:AH348),$AH$2:$AH$1001,0),MATCH(COLUMNS($AO$1006:AW1006),$AO$1006:$BQ$1006,0)), HYPERLINK("#",""), HYPERLINK(CONCATENATE("#Metadata!", ADDRESS(INDEX($AJ$2:$AJ$1001,MATCH(ROWS($AH$2:AH348),$AH$2:$AH$1001,0),0), INDEX($AO$1004:$BQ$1004,1,MATCH(COLUMNS($AO$1006:AW1006),$AO$1006:$BQ$1006,0)))),"Fix")))</f>
        <v>#N/A</v>
      </c>
      <c r="K348" s="5" t="e">
        <f ca="1">IF(OR(INDEX($AI$2:$AI$1001,MATCH(ROWS($AH$2:AH348),$AH$2:$AH$1001,0),1)&gt;=100000,INDEX($AO$1005:$BQ$1005,1,MATCH(COLUMNS($AO$1006:AX1006),$AO$1006:$BQ$1006,0))&gt;=100000), " ",IF(INDEX($AO$2:$BQ$1001,MATCH(ROWS($AH$2:AH348),$AH$2:$AH$1001,0),MATCH(COLUMNS($AO$1006:AX1006),$AO$1006:$BQ$1006,0)), HYPERLINK("#",""), HYPERLINK(CONCATENATE("#Metadata!", ADDRESS(INDEX($AJ$2:$AJ$1001,MATCH(ROWS($AH$2:AH348),$AH$2:$AH$1001,0),0), INDEX($AO$1004:$BQ$1004,1,MATCH(COLUMNS($AO$1006:AX1006),$AO$1006:$BQ$1006,0)))),"Fix")))</f>
        <v>#N/A</v>
      </c>
      <c r="L348" s="5" t="e">
        <f ca="1">IF(OR(INDEX($AI$2:$AI$1001,MATCH(ROWS($AH$2:AH348),$AH$2:$AH$1001,0),1)&gt;=100000,INDEX($AO$1005:$BQ$1005,1,MATCH(COLUMNS($AO$1006:AY1006),$AO$1006:$BQ$1006,0))&gt;=100000), " ",IF(INDEX($AO$2:$BQ$1001,MATCH(ROWS($AH$2:AH348),$AH$2:$AH$1001,0),MATCH(COLUMNS($AO$1006:AY1006),$AO$1006:$BQ$1006,0)), HYPERLINK("#",""), HYPERLINK(CONCATENATE("#Metadata!", ADDRESS(INDEX($AJ$2:$AJ$1001,MATCH(ROWS($AH$2:AH348),$AH$2:$AH$1001,0),0), INDEX($AO$1004:$BQ$1004,1,MATCH(COLUMNS($AO$1006:AY1006),$AO$1006:$BQ$1006,0)))),"Fix")))</f>
        <v>#N/A</v>
      </c>
      <c r="M348" s="5" t="e">
        <f ca="1">IF(OR(INDEX($AI$2:$AI$1001,MATCH(ROWS($AH$2:AH348),$AH$2:$AH$1001,0),1)&gt;=100000,INDEX($AO$1005:$BQ$1005,1,MATCH(COLUMNS($AO$1006:AZ1006),$AO$1006:$BQ$1006,0))&gt;=100000), " ",IF(INDEX($AO$2:$BQ$1001,MATCH(ROWS($AH$2:AH348),$AH$2:$AH$1001,0),MATCH(COLUMNS($AO$1006:AZ1006),$AO$1006:$BQ$1006,0)), HYPERLINK("#",""), HYPERLINK(CONCATENATE("#Metadata!", ADDRESS(INDEX($AJ$2:$AJ$1001,MATCH(ROWS($AH$2:AH348),$AH$2:$AH$1001,0),0), INDEX($AO$1004:$BQ$1004,1,MATCH(COLUMNS($AO$1006:AZ1006),$AO$1006:$BQ$1006,0)))),"Fix")))</f>
        <v>#N/A</v>
      </c>
      <c r="N348" s="5" t="e">
        <f ca="1">IF(OR(INDEX($AI$2:$AI$1001,MATCH(ROWS($AH$2:AH348),$AH$2:$AH$1001,0),1)&gt;=100000,INDEX($AO$1005:$BQ$1005,1,MATCH(COLUMNS($AO$1006:BA1006),$AO$1006:$BQ$1006,0))&gt;=100000), " ",IF(INDEX($AO$2:$BQ$1001,MATCH(ROWS($AH$2:AH348),$AH$2:$AH$1001,0),MATCH(COLUMNS($AO$1006:BA1006),$AO$1006:$BQ$1006,0)), HYPERLINK("#",""), HYPERLINK(CONCATENATE("#Metadata!", ADDRESS(INDEX($AJ$2:$AJ$1001,MATCH(ROWS($AH$2:AH348),$AH$2:$AH$1001,0),0), INDEX($AO$1004:$BQ$1004,1,MATCH(COLUMNS($AO$1006:BA1006),$AO$1006:$BQ$1006,0)))),"Fix")))</f>
        <v>#N/A</v>
      </c>
      <c r="O348" s="5" t="e">
        <f ca="1">IF(OR(INDEX($AI$2:$AI$1001,MATCH(ROWS($AH$2:AH348),$AH$2:$AH$1001,0),1)&gt;=100000,INDEX($AO$1005:$BQ$1005,1,MATCH(COLUMNS($AO$1006:BB1006),$AO$1006:$BQ$1006,0))&gt;=100000), " ",IF(INDEX($AO$2:$BQ$1001,MATCH(ROWS($AH$2:AH348),$AH$2:$AH$1001,0),MATCH(COLUMNS($AO$1006:BB1006),$AO$1006:$BQ$1006,0)), HYPERLINK("#",""), HYPERLINK(CONCATENATE("#Metadata!", ADDRESS(INDEX($AJ$2:$AJ$1001,MATCH(ROWS($AH$2:AH348),$AH$2:$AH$1001,0),0), INDEX($AO$1004:$BQ$1004,1,MATCH(COLUMNS($AO$1006:BB1006),$AO$1006:$BQ$1006,0)))),"Fix")))</f>
        <v>#N/A</v>
      </c>
      <c r="P348" s="5" t="e">
        <f ca="1">IF(OR(INDEX($AI$2:$AI$1001,MATCH(ROWS($AH$2:AH348),$AH$2:$AH$1001,0),1)&gt;=100000,INDEX($AO$1005:$BQ$1005,1,MATCH(COLUMNS($AO$1006:BC1006),$AO$1006:$BQ$1006,0))&gt;=100000), " ",IF(INDEX($AO$2:$BQ$1001,MATCH(ROWS($AH$2:AH348),$AH$2:$AH$1001,0),MATCH(COLUMNS($AO$1006:BC1006),$AO$1006:$BQ$1006,0)), HYPERLINK("#",""), HYPERLINK(CONCATENATE("#Metadata!", ADDRESS(INDEX($AJ$2:$AJ$1001,MATCH(ROWS($AH$2:AH348),$AH$2:$AH$1001,0),0), INDEX($AO$1004:$BQ$1004,1,MATCH(COLUMNS($AO$1006:BC1006),$AO$1006:$BQ$1006,0)))),"Fix")))</f>
        <v>#N/A</v>
      </c>
      <c r="Q348" s="5" t="e">
        <f ca="1">IF(OR(INDEX($AI$2:$AI$1001,MATCH(ROWS($AH$2:AH348),$AH$2:$AH$1001,0),1)&gt;=100000,INDEX($AO$1005:$BQ$1005,1,MATCH(COLUMNS($AO$1006:BD1006),$AO$1006:$BQ$1006,0))&gt;=100000), " ",IF(INDEX($AO$2:$BQ$1001,MATCH(ROWS($AH$2:AH348),$AH$2:$AH$1001,0),MATCH(COLUMNS($AO$1006:BD1006),$AO$1006:$BQ$1006,0)), HYPERLINK("#",""), HYPERLINK(CONCATENATE("#Metadata!", ADDRESS(INDEX($AJ$2:$AJ$1001,MATCH(ROWS($AH$2:AH348),$AH$2:$AH$1001,0),0), INDEX($AO$1004:$BQ$1004,1,MATCH(COLUMNS($AO$1006:BD1006),$AO$1006:$BQ$1006,0)))),"Fix")))</f>
        <v>#N/A</v>
      </c>
      <c r="R348" s="5" t="e">
        <f ca="1">IF(OR(INDEX($AI$2:$AI$1001,MATCH(ROWS($AH$2:AH348),$AH$2:$AH$1001,0),1)&gt;=100000,INDEX($AO$1005:$BQ$1005,1,MATCH(COLUMNS($AO$1006:BE1006),$AO$1006:$BQ$1006,0))&gt;=100000), " ",IF(INDEX($AO$2:$BQ$1001,MATCH(ROWS($AH$2:AH348),$AH$2:$AH$1001,0),MATCH(COLUMNS($AO$1006:BE1006),$AO$1006:$BQ$1006,0)), HYPERLINK("#",""), HYPERLINK(CONCATENATE("#Metadata!", ADDRESS(INDEX($AJ$2:$AJ$1001,MATCH(ROWS($AH$2:AH348),$AH$2:$AH$1001,0),0), INDEX($AO$1004:$BQ$1004,1,MATCH(COLUMNS($AO$1006:BE1006),$AO$1006:$BQ$1006,0)))),"Fix")))</f>
        <v>#N/A</v>
      </c>
      <c r="S348" s="5" t="e">
        <f ca="1">IF(OR(INDEX($AI$2:$AI$1001,MATCH(ROWS($AH$2:AH348),$AH$2:$AH$1001,0),1)&gt;=100000,INDEX($AO$1005:$BQ$1005,1,MATCH(COLUMNS($AO$1006:BF1006),$AO$1006:$BQ$1006,0))&gt;=100000), " ",IF(INDEX($AO$2:$BQ$1001,MATCH(ROWS($AH$2:AH348),$AH$2:$AH$1001,0),MATCH(COLUMNS($AO$1006:BF1006),$AO$1006:$BQ$1006,0)), HYPERLINK("#",""), HYPERLINK(CONCATENATE("#Metadata!", ADDRESS(INDEX($AJ$2:$AJ$1001,MATCH(ROWS($AH$2:AH348),$AH$2:$AH$1001,0),0), INDEX($AO$1004:$BQ$1004,1,MATCH(COLUMNS($AO$1006:BF1006),$AO$1006:$BQ$1006,0)))),"Fix")))</f>
        <v>#N/A</v>
      </c>
      <c r="T348" s="5" t="e">
        <f ca="1">IF(OR(INDEX($AI$2:$AI$1001,MATCH(ROWS($AH$2:AH348),$AH$2:$AH$1001,0),1)&gt;=100000,INDEX($AO$1005:$BQ$1005,1,MATCH(COLUMNS($AO$1006:BG1006),$AO$1006:$BQ$1006,0))&gt;=100000), " ",IF(INDEX($AO$2:$BQ$1001,MATCH(ROWS($AH$2:AH348),$AH$2:$AH$1001,0),MATCH(COLUMNS($AO$1006:BG1006),$AO$1006:$BQ$1006,0)), HYPERLINK("#",""), HYPERLINK(CONCATENATE("#Metadata!", ADDRESS(INDEX($AJ$2:$AJ$1001,MATCH(ROWS($AH$2:AH348),$AH$2:$AH$1001,0),0), INDEX($AO$1004:$BQ$1004,1,MATCH(COLUMNS($AO$1006:BG1006),$AO$1006:$BQ$1006,0)))),"Fix")))</f>
        <v>#N/A</v>
      </c>
      <c r="U348" s="5" t="e">
        <f ca="1">IF(OR(INDEX($AI$2:$AI$1001,MATCH(ROWS($AH$2:AH348),$AH$2:$AH$1001,0),1)&gt;=100000,INDEX($AO$1005:$BQ$1005,1,MATCH(COLUMNS($AO$1006:BH1006),$AO$1006:$BQ$1006,0))&gt;=100000), " ",IF(INDEX($AO$2:$BQ$1001,MATCH(ROWS($AH$2:AH348),$AH$2:$AH$1001,0),MATCH(COLUMNS($AO$1006:BH1006),$AO$1006:$BQ$1006,0)), HYPERLINK("#",""), HYPERLINK(CONCATENATE("#Metadata!", ADDRESS(INDEX($AJ$2:$AJ$1001,MATCH(ROWS($AH$2:AH348),$AH$2:$AH$1001,0),0), INDEX($AO$1004:$BQ$1004,1,MATCH(COLUMNS($AO$1006:BH1006),$AO$1006:$BQ$1006,0)))),"Fix")))</f>
        <v>#N/A</v>
      </c>
      <c r="V348" s="5" t="e">
        <f ca="1">IF(OR(INDEX($AI$2:$AI$1001,MATCH(ROWS($AH$2:AH348),$AH$2:$AH$1001,0),1)&gt;=100000,INDEX($AO$1005:$BQ$1005,1,MATCH(COLUMNS($AO$1006:BI1006),$AO$1006:$BQ$1006,0))&gt;=100000), " ",IF(INDEX($AO$2:$BQ$1001,MATCH(ROWS($AH$2:AH348),$AH$2:$AH$1001,0),MATCH(COLUMNS($AO$1006:BI1006),$AO$1006:$BQ$1006,0)), HYPERLINK("#",""), HYPERLINK(CONCATENATE("#Metadata!", ADDRESS(INDEX($AJ$2:$AJ$1001,MATCH(ROWS($AH$2:AH348),$AH$2:$AH$1001,0),0), INDEX($AO$1004:$BQ$1004,1,MATCH(COLUMNS($AO$1006:BI1006),$AO$1006:$BQ$1006,0)))),"Fix")))</f>
        <v>#N/A</v>
      </c>
      <c r="W348" s="5" t="e">
        <f ca="1">IF(OR(INDEX($AI$2:$AI$1001,MATCH(ROWS($AH$2:AH348),$AH$2:$AH$1001,0),1)&gt;=100000,INDEX($AO$1005:$BQ$1005,1,MATCH(COLUMNS($AO$1006:BJ1006),$AO$1006:$BQ$1006,0))&gt;=100000), " ",IF(INDEX($AO$2:$BQ$1001,MATCH(ROWS($AH$2:AH348),$AH$2:$AH$1001,0),MATCH(COLUMNS($AO$1006:BJ1006),$AO$1006:$BQ$1006,0)), HYPERLINK("#",""), HYPERLINK(CONCATENATE("#Metadata!", ADDRESS(INDEX($AJ$2:$AJ$1001,MATCH(ROWS($AH$2:AH348),$AH$2:$AH$1001,0),0), INDEX($AO$1004:$BQ$1004,1,MATCH(COLUMNS($AO$1006:BJ1006),$AO$1006:$BQ$1006,0)))),"Fix")))</f>
        <v>#N/A</v>
      </c>
      <c r="X348" s="5" t="e">
        <f ca="1">IF(OR(INDEX($AI$2:$AI$1001,MATCH(ROWS($AH$2:AH348),$AH$2:$AH$1001,0),1)&gt;=100000,INDEX($AO$1005:$BQ$1005,1,MATCH(COLUMNS($AO$1006:BK1006),$AO$1006:$BQ$1006,0))&gt;=100000), " ",IF(INDEX($AO$2:$BQ$1001,MATCH(ROWS($AH$2:AH348),$AH$2:$AH$1001,0),MATCH(COLUMNS($AO$1006:BK1006),$AO$1006:$BQ$1006,0)), HYPERLINK("#",""), HYPERLINK(CONCATENATE("#Metadata!", ADDRESS(INDEX($AJ$2:$AJ$1001,MATCH(ROWS($AH$2:AH348),$AH$2:$AH$1001,0),0), INDEX($AO$1004:$BQ$1004,1,MATCH(COLUMNS($AO$1006:BK1006),$AO$1006:$BQ$1006,0)))),"Fix")))</f>
        <v>#N/A</v>
      </c>
      <c r="Y348" s="5" t="e">
        <f ca="1">IF(OR(INDEX($AI$2:$AI$1001,MATCH(ROWS($AH$2:AH348),$AH$2:$AH$1001,0),1)&gt;=100000,INDEX($AO$1005:$BQ$1005,1,MATCH(COLUMNS($AO$1006:BL1006),$AO$1006:$BQ$1006,0))&gt;=100000), " ",IF(INDEX($AO$2:$BQ$1001,MATCH(ROWS($AH$2:AH348),$AH$2:$AH$1001,0),MATCH(COLUMNS($AO$1006:BL1006),$AO$1006:$BQ$1006,0)), HYPERLINK("#",""), HYPERLINK(CONCATENATE("#Metadata!", ADDRESS(INDEX($AJ$2:$AJ$1001,MATCH(ROWS($AH$2:AH348),$AH$2:$AH$1001,0),0), INDEX($AO$1004:$BQ$1004,1,MATCH(COLUMNS($AO$1006:BL1006),$AO$1006:$BQ$1006,0)))),"Fix")))</f>
        <v>#N/A</v>
      </c>
      <c r="Z348" s="5" t="e">
        <f ca="1">IF(OR(INDEX($AI$2:$AI$1001,MATCH(ROWS($AH$2:AH348),$AH$2:$AH$1001,0),1)&gt;=100000,INDEX($AO$1005:$BQ$1005,1,MATCH(COLUMNS($AO$1006:BM1006),$AO$1006:$BQ$1006,0))&gt;=100000), " ",IF(INDEX($AO$2:$BQ$1001,MATCH(ROWS($AH$2:AH348),$AH$2:$AH$1001,0),MATCH(COLUMNS($AO$1006:BM1006),$AO$1006:$BQ$1006,0)), HYPERLINK("#",""), HYPERLINK(CONCATENATE("#Metadata!", ADDRESS(INDEX($AJ$2:$AJ$1001,MATCH(ROWS($AH$2:AH348),$AH$2:$AH$1001,0),0), INDEX($AO$1004:$BQ$1004,1,MATCH(COLUMNS($AO$1006:BM1006),$AO$1006:$BQ$1006,0)))),"Fix")))</f>
        <v>#N/A</v>
      </c>
      <c r="AA348" s="5" t="e">
        <f ca="1">IF(OR(INDEX($AI$2:$AI$1001,MATCH(ROWS($AH$2:AH348),$AH$2:$AH$1001,0),1)&gt;=100000,INDEX($AO$1005:$BQ$1005,1,MATCH(COLUMNS($AO$1006:BN1006),$AO$1006:$BQ$1006,0))&gt;=100000), " ",IF(INDEX($AO$2:$BQ$1001,MATCH(ROWS($AH$2:AH348),$AH$2:$AH$1001,0),MATCH(COLUMNS($AO$1006:BN1006),$AO$1006:$BQ$1006,0)), HYPERLINK("#",""), HYPERLINK(CONCATENATE("#Metadata!", ADDRESS(INDEX($AJ$2:$AJ$1001,MATCH(ROWS($AH$2:AH348),$AH$2:$AH$1001,0),0), INDEX($AO$1004:$BQ$1004,1,MATCH(COLUMNS($AO$1006:BN1006),$AO$1006:$BQ$1006,0)))),"Fix")))</f>
        <v>#N/A</v>
      </c>
      <c r="AB348" s="5" t="e">
        <f ca="1">IF(OR(INDEX($AI$2:$AI$1001,MATCH(ROWS($AH$2:AH348),$AH$2:$AH$1001,0),1)&gt;=100000,INDEX($AO$1005:$BQ$1005,1,MATCH(COLUMNS($AO$1006:BO1006),$AO$1006:$BQ$1006,0))&gt;=100000), " ",IF(INDEX($AO$2:$BQ$1001,MATCH(ROWS($AH$2:AH348),$AH$2:$AH$1001,0),MATCH(COLUMNS($AO$1006:BO1006),$AO$1006:$BQ$1006,0)), HYPERLINK("#",""), HYPERLINK(CONCATENATE("#Metadata!", ADDRESS(INDEX($AJ$2:$AJ$1001,MATCH(ROWS($AH$2:AH348),$AH$2:$AH$1001,0),0), INDEX($AO$1004:$BQ$1004,1,MATCH(COLUMNS($AO$1006:BO1006),$AO$1006:$BQ$1006,0)))),"Fix")))</f>
        <v>#N/A</v>
      </c>
      <c r="AC348" s="5" t="e">
        <f ca="1">IF(OR(INDEX($AI$2:$AI$1001,MATCH(ROWS($AH$2:AH348),$AH$2:$AH$1001,0),1)&gt;=100000,INDEX($AO$1005:$BQ$1005,1,MATCH(COLUMNS($AO$1006:BP1006),$AO$1006:$BQ$1006,0))&gt;=100000), " ",IF(INDEX($AO$2:$BQ$1001,MATCH(ROWS($AH$2:AH348),$AH$2:$AH$1001,0),MATCH(COLUMNS($AO$1006:BP1006),$AO$1006:$BQ$1006,0)), HYPERLINK("#",""), HYPERLINK(CONCATENATE("#Metadata!", ADDRESS(INDEX($AJ$2:$AJ$1001,MATCH(ROWS($AH$2:AH348),$AH$2:$AH$1001,0),0), INDEX($AO$1004:$BQ$1004,1,MATCH(COLUMNS($AO$1006:BP1006),$AO$1006:$BQ$1006,0)))),"Fix")))</f>
        <v>#N/A</v>
      </c>
      <c r="AD348" s="5" t="e">
        <f ca="1">IF(OR(INDEX($AI$2:$AI$1001,MATCH(ROWS($AH$2:AH348),$AH$2:$AH$1001,0),1)&gt;=100000,INDEX($AO$1005:$BQ$1005,1,MATCH(COLUMNS($AO$1006:BQ1006),$AO$1006:$BQ$1006,0))&gt;=100000), " ",IF(INDEX($AO$2:$BQ$1001,MATCH(ROWS($AH$2:AH348),$AH$2:$AH$1001,0),MATCH(COLUMNS($AO$1006:BQ1006),$AO$1006:$BQ$1006,0)), HYPERLINK("#",""), HYPERLINK(CONCATENATE("#Metadata!", ADDRESS(INDEX($AJ$2:$AJ$1001,MATCH(ROWS($AH$2:AH348),$AH$2:$AH$1001,0),0), INDEX($AO$1004:$BQ$1004,1,MATCH(COLUMNS($AO$1006:BQ1006),$AO$1006:$BQ$1006,0)))),"Fix")))</f>
        <v>#REF!</v>
      </c>
      <c r="AH348">
        <f ca="1"/>
        <v>345</v>
      </c>
      <c r="AI348">
        <v>100348</v>
      </c>
      <c r="AJ348">
        <v>348</v>
      </c>
      <c r="AK348" t="b">
        <f t="shared" si="5"/>
        <v>1</v>
      </c>
      <c r="AL348" t="b">
        <f>COUNTBLANK(Metadata!B348:AD348)=COLUMNS(Metadata!B348:AD348)</f>
        <v>1</v>
      </c>
      <c r="AM348" t="str">
        <v/>
      </c>
      <c r="AO348" t="b">
        <f ca="1">AND(IF(Metadata!B348="",FALSE,TRUE),COUNTIF(Metadata!B:B, Metadata!B348) = 1,NOT(ISERROR(SUMPRODUCT(SEARCH(MID(Metadata!B348,ROW(INDIRECT("1:"&amp;LEN(Metadata!B348))), 1),"0123456789abcdefghijklmnopqrstuvwxyzABCDEFGHIJKLMNOPQRSTUVWXYZ.")))))</f>
        <v>0</v>
      </c>
      <c r="AP348" t="b">
        <f>IF(Metadata!C348="",FALSE,TRUE)</f>
        <v>0</v>
      </c>
      <c r="AQ348" t="b">
        <f>IF(Metadata!D348="",FALSE,TRUE)</f>
        <v>0</v>
      </c>
      <c r="AR348" t="b">
        <f ca="1">OR(AND(IF(Metadata!E348="",FALSE,TRUE),OR(EXACT(Metadata!E348,"not collected"),EXACT(Metadata!E348,"not provided"),EXACT(Metadata!E348,"restricted access"))),AND(IF(Metadata!E348="",FALSE,TRUE),AND(AND(IFERROR(INT(LEFT(Metadata!E348,4))&gt;1900,FALSE),IFERROR(INT(LEFT(Metadata!E348,4))&lt;=YEAR(NOW()),FALSE)), OR(MID(Metadata!E348,5,1)="", AND(AND(MID(Metadata!E348,5,1)="-",IFERROR(INT(MID(Metadata!E348,6,1))&gt;=0,FALSE),IFERROR(INT(MID(Metadata!E348,6,1))&lt;=1,FALSE),NOT(MID(Metadata!E348,7,1)=""),IFERROR(INT(MID(Metadata!E348,6,2))&gt;=1,FALSE),IFERROR(INT(MID(Metadata!E348,6,2))&lt;=12,FALSE)), OR(MID(Metadata!E348,8,1)="", AND(AND(MID(Metadata!E348,8,1)="-",IFERROR(INT(MID(Metadata!E348,9,1))&gt;=0,FALSE),IFERROR(INT(MID(Metadata!E348,9,1))&lt;=3,FALSE),NOT(MID(Metadata!E348,10,1)=""),IFERROR(INT(MID(Metadata!E348,9,2))&gt;=1,FALSE),IFERROR(INT(MID(Metadata!E348,9,2))&lt;=31,FALSE)), OR(MID(Metadata!E348,11,1)="", AND(AND(MID(Metadata!E348,11,1)=" ",IFERROR(INT(MID(Metadata!E348,12,1))&gt;=0,FALSE),IFERROR(INT(MID(Metadata!E348,12,1))&lt;=2,FALSE),NOT(MID(Metadata!E348,13,1)=""),IFERROR(INT(MID(Metadata!E348,12,2))&gt;=0,FALSE),IFERROR(INT(MID(Metadata!E348,12,2))&lt;=23,FALSE)), OR(MID(Metadata!E348,14,1)="", AND(AND(MID(Metadata!E348,14,1)=":",IFERROR(INT(MID(Metadata!E348,15,1))&gt;=0,FALSE),IFERROR(INT(MID(Metadata!E348,15,1))&lt;=5,FALSE),NOT(MID(Metadata!E348,16,1)=""),IFERROR(INT(MID(Metadata!E348,15,2))&gt;=0,FALSE),IFERROR(INT(MID(Metadata!E348,15,2))&lt;=59,FALSE)), OR(MID(Metadata!E348,17,1)="", AND(AND(MID(Metadata!E348,17,1)=":",IFERROR(INT(MID(Metadata!E348,18,1))&gt;=0,FALSE),IFERROR(INT(MID(Metadata!E348,18,1))&lt;=5,FALSE),NOT(MID(Metadata!E348,19,1)=""),IFERROR(INT(MID(Metadata!E348,18,2))&gt;=0,FALSE),IFERROR(INT(MID(Metadata!E348,18,2))&lt;=59,FALSE)), LEN(Metadata!E348)&lt;=19)))))))))))))</f>
        <v>0</v>
      </c>
      <c r="AS348" t="b">
        <f>IF(Metadata!F348="",FALSE,TRUE)</f>
        <v>0</v>
      </c>
      <c r="AT348" t="b">
        <f>OR(AND(IF(Metadata!G348="",FALSE,TRUE),OR(EXACT(Metadata!G348,"not collected"),EXACT(Metadata!G348,"not provided"))),AND(IF(Metadata!G348="",FALSE,TRUE),OR(EXACT(Metadata!G348,"TRUE"),EXACT(Metadata!G348,"FALSE"))))</f>
        <v>0</v>
      </c>
      <c r="AU348" t="b">
        <f>OR(AND(IF(Metadata!H348="",FALSE,TRUE),OR(EXACT(Metadata!H348,"not collected"),EXACT(Metadata!H348,"not provided"),EXACT(Metadata!H348,"restricted access"))),AND(IF(Metadata!H348="",FALSE,ISNUMBER(VALUE(Metadata!H348))),Metadata!H348&gt;=-413))</f>
        <v>0</v>
      </c>
      <c r="AV348" t="b">
        <f>AND(IF(Metadata!I348="",FALSE,TRUE),EXACT(Metadata!I348,"meters"))</f>
        <v>0</v>
      </c>
      <c r="AW348" t="b">
        <f>AND(IF(Metadata!J348="",FALSE,TRUE),EXACT(Metadata!J348,"free-living"))</f>
        <v>0</v>
      </c>
      <c r="AX348" t="b">
        <f>AND(IF(Metadata!K348="",FALSE,TRUE),OR(EXACT(Metadata!K348,"saline"),EXACT(Metadata!K348,"non-saline")))</f>
        <v>0</v>
      </c>
      <c r="AY348" t="b">
        <f>AND(IF(Metadata!L348="",FALSE,TRUE),OR(EXACT(Metadata!L348,"sub-surface (non-saline)"),EXACT(Metadata!L348,"surface (non-saline)"),EXACT(Metadata!L348,"water (non-saline)"),EXACT(Metadata!L348,"soil (non-saline)"),EXACT(Metadata!L348,"aerosol (non-saline)"),EXACT(Metadata!L348,"sediment (non-saline)"),EXACT(Metadata!L348,"surface (saline)"),EXACT(Metadata!L348,"water (saline)"),EXACT(Metadata!L348,"hypersaline (saline)"),EXACT(Metadata!L348,"aerosol (saline)"),EXACT(Metadata!L348,"sediment (saline)")))</f>
        <v>0</v>
      </c>
      <c r="AZ348" t="b">
        <f>IF(Metadata!M348="",FALSE,TRUE)</f>
        <v>0</v>
      </c>
      <c r="BA348" t="b">
        <f>IF(Metadata!N348="",FALSE,TRUE)</f>
        <v>0</v>
      </c>
      <c r="BB348" t="b">
        <f>IF(Metadata!O348="",FALSE,TRUE)</f>
        <v>0</v>
      </c>
      <c r="BC348" t="b">
        <f>AND(IF(Metadata!P348="",FALSE,TRUE),OR(EXACT(Metadata!P348,"air"),EXACT(Metadata!P348,"microbial mat/biofilm"),EXACT(Metadata!P348,"misc environment"),EXACT(Metadata!P348,"sediment"),EXACT(Metadata!P348,"soil"),EXACT(Metadata!P348,"wastewater/sludge"),EXACT(Metadata!P348,"water")))</f>
        <v>0</v>
      </c>
      <c r="BD348" t="b">
        <f>IF(Metadata!Q348="",FALSE,TRUE)</f>
        <v>0</v>
      </c>
      <c r="BE348" t="b">
        <f>IF(Metadata!R348="",FALSE,TRUE)</f>
        <v>0</v>
      </c>
      <c r="BF348" t="b">
        <f>OR(AND(IF(Metadata!S348="",FALSE,TRUE),OR(EXACT(Metadata!S348,"not collected"),EXACT(Metadata!S348,"not provided"),EXACT(Metadata!S348,"restricted access"))),AND(IF(Metadata!S348="",FALSE,ISNUMBER(VALUE(Metadata!S348))),Metadata!S348&gt;=-90,Metadata!S348&lt;=90))</f>
        <v>0</v>
      </c>
      <c r="BG348" t="b">
        <f>AND(IF(Metadata!T348="",FALSE,TRUE),EXACT(Metadata!T348,"Decimal degrees"))</f>
        <v>0</v>
      </c>
      <c r="BH348" t="b">
        <f>OR(AND(IF(Metadata!U348="",FALSE,TRUE),OR(EXACT(Metadata!U348,"not applicable"),EXACT(Metadata!U348,"not collected"))),IF(Metadata!U348="",FALSE,TRUE))</f>
        <v>0</v>
      </c>
      <c r="BI348" t="b">
        <f>OR(AND(IF(Metadata!V348="",FALSE,TRUE),OR(EXACT(Metadata!V348,"not collected"),EXACT(Metadata!V348,"not provided"),EXACT(Metadata!V348,"restricted access"))),AND(IF(Metadata!V348="",FALSE,ISNUMBER(VALUE(Metadata!V348))),Metadata!V348&gt;=-180,Metadata!V348&lt;=180))</f>
        <v>0</v>
      </c>
      <c r="BJ348" t="b">
        <f>AND(IF(Metadata!W348="",FALSE,TRUE),EXACT(Metadata!W348,"Decimal degrees"))</f>
        <v>0</v>
      </c>
      <c r="BK348" t="b">
        <f>IF(Metadata!X348="",FALSE,TRUE)</f>
        <v>0</v>
      </c>
      <c r="BL348" t="b">
        <f>OR(AND(IF(Metadata!Y348="",FALSE,TRUE),OR(EXACT(Metadata!Y348,"not collected"),EXACT(Metadata!Y348,"not provided"),EXACT(Metadata!Y348,"restricted access"))),AND(IF(Metadata!Y348="",FALSE,TRUE),OR(EXACT(Metadata!Y348,"TRUE"),EXACT(Metadata!Y348,"FALSE"))))</f>
        <v>0</v>
      </c>
      <c r="BM348" t="b">
        <f>OR(AND(IF(Metadata!Z348="",FALSE,TRUE),EXACT(Metadata!Z348,"not applicable")),AND(IF(Metadata!Z348="",FALSE,TRUE),OR(EXACT(Metadata!Z348,"beer"),EXACT(Metadata!Z348,"cheese"),EXACT(Metadata!Z348,"fresh water"),EXACT(Metadata!Z348,"marine sediment"),EXACT(Metadata!Z348,"sea water"),EXACT(Metadata!Z348,"sediment"),EXACT(Metadata!Z348,"soil"),EXACT(Metadata!Z348,"waste water"))))</f>
        <v>0</v>
      </c>
      <c r="BN348" t="b">
        <f>AND(IF(Metadata!AA348="",FALSE,TRUE),EXACT(Metadata!AA348,"metagenome"))</f>
        <v>0</v>
      </c>
      <c r="BO348" t="b">
        <f>AND(IF(Metadata!AB348="",FALSE,TRUE),EXACT(Metadata!AB348,"256318"))</f>
        <v>0</v>
      </c>
      <c r="BP348" t="b">
        <f>IF(Metadata!AC348="",FALSE,TRUE)</f>
        <v>0</v>
      </c>
      <c r="BQ348" t="b">
        <f>IF(Metadata!AD348="",FALSE,TRUE)</f>
        <v>0</v>
      </c>
    </row>
    <row r="349" spans="1:69" x14ac:dyDescent="0.2">
      <c r="A349" s="4" t="e">
        <f ca="1">IF(B349=" "," ",HYPERLINK(CONCATENATE("#metadata!",ADDRESS(INDEX($AJ$2:$AJ$1001,MATCH(ROWS($AH$2:AH349),$AH$2:$AH$1001,0),0),2)),INDEX($AM$2:$AM$1001,MATCH(ROWS($AH$2:AH349),$AH$2:$AH$1001,0),0)))</f>
        <v>#N/A</v>
      </c>
      <c r="B349" s="5" t="e">
        <f ca="1">IF(OR(INDEX($AI$2:$AI$1001,MATCH(ROWS($AH$2:AH349),$AH$2:$AH$1001,0),1)&gt;=100000,INDEX($AO$1005:$BQ$1005,1,MATCH(COLUMNS($AO$1006:AO1006),$AO$1006:$BQ$1006,0))&gt;=100000), " ",IF(INDEX($AO$2:$BQ$1001,MATCH(ROWS($AH$2:AH349),$AH$2:$AH$1001,0),MATCH(COLUMNS($AO$1006:AO1006),$AO$1006:$BQ$1006,0)), HYPERLINK("#",""), HYPERLINK(CONCATENATE("#Metadata!", ADDRESS(INDEX($AJ$2:$AJ$1001,MATCH(ROWS($AH$2:AH349),$AH$2:$AH$1001,0),0), INDEX($AO$1004:$BQ$1004,1,MATCH(COLUMNS($AO$1006:AO1006),$AO$1006:$BQ$1006,0)))),"Fix")))</f>
        <v>#N/A</v>
      </c>
      <c r="C349" s="5" t="e">
        <f ca="1">IF(OR(INDEX($AI$2:$AI$1001,MATCH(ROWS($AH$2:AH349),$AH$2:$AH$1001,0),1)&gt;=100000,INDEX($AO$1005:$BQ$1005,1,MATCH(COLUMNS($AO$1006:AP1006),$AO$1006:$BQ$1006,0))&gt;=100000), " ",IF(INDEX($AO$2:$BQ$1001,MATCH(ROWS($AH$2:AH349),$AH$2:$AH$1001,0),MATCH(COLUMNS($AO$1006:AP1006),$AO$1006:$BQ$1006,0)), HYPERLINK("#",""), HYPERLINK(CONCATENATE("#Metadata!", ADDRESS(INDEX($AJ$2:$AJ$1001,MATCH(ROWS($AH$2:AH349),$AH$2:$AH$1001,0),0), INDEX($AO$1004:$BQ$1004,1,MATCH(COLUMNS($AO$1006:AP1006),$AO$1006:$BQ$1006,0)))),"Fix")))</f>
        <v>#N/A</v>
      </c>
      <c r="D349" s="5" t="e">
        <f ca="1">IF(OR(INDEX($AI$2:$AI$1001,MATCH(ROWS($AH$2:AH349),$AH$2:$AH$1001,0),1)&gt;=100000,INDEX($AO$1005:$BQ$1005,1,MATCH(COLUMNS($AO$1006:AQ1006),$AO$1006:$BQ$1006,0))&gt;=100000), " ",IF(INDEX($AO$2:$BQ$1001,MATCH(ROWS($AH$2:AH349),$AH$2:$AH$1001,0),MATCH(COLUMNS($AO$1006:AQ1006),$AO$1006:$BQ$1006,0)), HYPERLINK("#",""), HYPERLINK(CONCATENATE("#Metadata!", ADDRESS(INDEX($AJ$2:$AJ$1001,MATCH(ROWS($AH$2:AH349),$AH$2:$AH$1001,0),0), INDEX($AO$1004:$BQ$1004,1,MATCH(COLUMNS($AO$1006:AQ1006),$AO$1006:$BQ$1006,0)))),"Fix")))</f>
        <v>#N/A</v>
      </c>
      <c r="E349" s="5" t="e">
        <f ca="1">IF(OR(INDEX($AI$2:$AI$1001,MATCH(ROWS($AH$2:AH349),$AH$2:$AH$1001,0),1)&gt;=100000,INDEX($AO$1005:$BQ$1005,1,MATCH(COLUMNS($AO$1006:AR1006),$AO$1006:$BQ$1006,0))&gt;=100000), " ",IF(INDEX($AO$2:$BQ$1001,MATCH(ROWS($AH$2:AH349),$AH$2:$AH$1001,0),MATCH(COLUMNS($AO$1006:AR1006),$AO$1006:$BQ$1006,0)), HYPERLINK("#",""), HYPERLINK(CONCATENATE("#Metadata!", ADDRESS(INDEX($AJ$2:$AJ$1001,MATCH(ROWS($AH$2:AH349),$AH$2:$AH$1001,0),0), INDEX($AO$1004:$BQ$1004,1,MATCH(COLUMNS($AO$1006:AR1006),$AO$1006:$BQ$1006,0)))),"Fix")))</f>
        <v>#N/A</v>
      </c>
      <c r="F349" s="5" t="e">
        <f ca="1">IF(OR(INDEX($AI$2:$AI$1001,MATCH(ROWS($AH$2:AH349),$AH$2:$AH$1001,0),1)&gt;=100000,INDEX($AO$1005:$BQ$1005,1,MATCH(COLUMNS($AO$1006:AS1006),$AO$1006:$BQ$1006,0))&gt;=100000), " ",IF(INDEX($AO$2:$BQ$1001,MATCH(ROWS($AH$2:AH349),$AH$2:$AH$1001,0),MATCH(COLUMNS($AO$1006:AS1006),$AO$1006:$BQ$1006,0)), HYPERLINK("#",""), HYPERLINK(CONCATENATE("#Metadata!", ADDRESS(INDEX($AJ$2:$AJ$1001,MATCH(ROWS($AH$2:AH349),$AH$2:$AH$1001,0),0), INDEX($AO$1004:$BQ$1004,1,MATCH(COLUMNS($AO$1006:AS1006),$AO$1006:$BQ$1006,0)))),"Fix")))</f>
        <v>#N/A</v>
      </c>
      <c r="G349" s="5" t="e">
        <f ca="1">IF(OR(INDEX($AI$2:$AI$1001,MATCH(ROWS($AH$2:AH349),$AH$2:$AH$1001,0),1)&gt;=100000,INDEX($AO$1005:$BQ$1005,1,MATCH(COLUMNS($AO$1006:AT1006),$AO$1006:$BQ$1006,0))&gt;=100000), " ",IF(INDEX($AO$2:$BQ$1001,MATCH(ROWS($AH$2:AH349),$AH$2:$AH$1001,0),MATCH(COLUMNS($AO$1006:AT1006),$AO$1006:$BQ$1006,0)), HYPERLINK("#",""), HYPERLINK(CONCATENATE("#Metadata!", ADDRESS(INDEX($AJ$2:$AJ$1001,MATCH(ROWS($AH$2:AH349),$AH$2:$AH$1001,0),0), INDEX($AO$1004:$BQ$1004,1,MATCH(COLUMNS($AO$1006:AT1006),$AO$1006:$BQ$1006,0)))),"Fix")))</f>
        <v>#N/A</v>
      </c>
      <c r="H349" s="5" t="e">
        <f ca="1">IF(OR(INDEX($AI$2:$AI$1001,MATCH(ROWS($AH$2:AH349),$AH$2:$AH$1001,0),1)&gt;=100000,INDEX($AO$1005:$BQ$1005,1,MATCH(COLUMNS($AO$1006:AU1006),$AO$1006:$BQ$1006,0))&gt;=100000), " ",IF(INDEX($AO$2:$BQ$1001,MATCH(ROWS($AH$2:AH349),$AH$2:$AH$1001,0),MATCH(COLUMNS($AO$1006:AU1006),$AO$1006:$BQ$1006,0)), HYPERLINK("#",""), HYPERLINK(CONCATENATE("#Metadata!", ADDRESS(INDEX($AJ$2:$AJ$1001,MATCH(ROWS($AH$2:AH349),$AH$2:$AH$1001,0),0), INDEX($AO$1004:$BQ$1004,1,MATCH(COLUMNS($AO$1006:AU1006),$AO$1006:$BQ$1006,0)))),"Fix")))</f>
        <v>#N/A</v>
      </c>
      <c r="I349" s="5" t="e">
        <f ca="1">IF(OR(INDEX($AI$2:$AI$1001,MATCH(ROWS($AH$2:AH349),$AH$2:$AH$1001,0),1)&gt;=100000,INDEX($AO$1005:$BQ$1005,1,MATCH(COLUMNS($AO$1006:AV1006),$AO$1006:$BQ$1006,0))&gt;=100000), " ",IF(INDEX($AO$2:$BQ$1001,MATCH(ROWS($AH$2:AH349),$AH$2:$AH$1001,0),MATCH(COLUMNS($AO$1006:AV1006),$AO$1006:$BQ$1006,0)), HYPERLINK("#",""), HYPERLINK(CONCATENATE("#Metadata!", ADDRESS(INDEX($AJ$2:$AJ$1001,MATCH(ROWS($AH$2:AH349),$AH$2:$AH$1001,0),0), INDEX($AO$1004:$BQ$1004,1,MATCH(COLUMNS($AO$1006:AV1006),$AO$1006:$BQ$1006,0)))),"Fix")))</f>
        <v>#N/A</v>
      </c>
      <c r="J349" s="5" t="e">
        <f ca="1">IF(OR(INDEX($AI$2:$AI$1001,MATCH(ROWS($AH$2:AH349),$AH$2:$AH$1001,0),1)&gt;=100000,INDEX($AO$1005:$BQ$1005,1,MATCH(COLUMNS($AO$1006:AW1006),$AO$1006:$BQ$1006,0))&gt;=100000), " ",IF(INDEX($AO$2:$BQ$1001,MATCH(ROWS($AH$2:AH349),$AH$2:$AH$1001,0),MATCH(COLUMNS($AO$1006:AW1006),$AO$1006:$BQ$1006,0)), HYPERLINK("#",""), HYPERLINK(CONCATENATE("#Metadata!", ADDRESS(INDEX($AJ$2:$AJ$1001,MATCH(ROWS($AH$2:AH349),$AH$2:$AH$1001,0),0), INDEX($AO$1004:$BQ$1004,1,MATCH(COLUMNS($AO$1006:AW1006),$AO$1006:$BQ$1006,0)))),"Fix")))</f>
        <v>#N/A</v>
      </c>
      <c r="K349" s="5" t="e">
        <f ca="1">IF(OR(INDEX($AI$2:$AI$1001,MATCH(ROWS($AH$2:AH349),$AH$2:$AH$1001,0),1)&gt;=100000,INDEX($AO$1005:$BQ$1005,1,MATCH(COLUMNS($AO$1006:AX1006),$AO$1006:$BQ$1006,0))&gt;=100000), " ",IF(INDEX($AO$2:$BQ$1001,MATCH(ROWS($AH$2:AH349),$AH$2:$AH$1001,0),MATCH(COLUMNS($AO$1006:AX1006),$AO$1006:$BQ$1006,0)), HYPERLINK("#",""), HYPERLINK(CONCATENATE("#Metadata!", ADDRESS(INDEX($AJ$2:$AJ$1001,MATCH(ROWS($AH$2:AH349),$AH$2:$AH$1001,0),0), INDEX($AO$1004:$BQ$1004,1,MATCH(COLUMNS($AO$1006:AX1006),$AO$1006:$BQ$1006,0)))),"Fix")))</f>
        <v>#N/A</v>
      </c>
      <c r="L349" s="5" t="e">
        <f ca="1">IF(OR(INDEX($AI$2:$AI$1001,MATCH(ROWS($AH$2:AH349),$AH$2:$AH$1001,0),1)&gt;=100000,INDEX($AO$1005:$BQ$1005,1,MATCH(COLUMNS($AO$1006:AY1006),$AO$1006:$BQ$1006,0))&gt;=100000), " ",IF(INDEX($AO$2:$BQ$1001,MATCH(ROWS($AH$2:AH349),$AH$2:$AH$1001,0),MATCH(COLUMNS($AO$1006:AY1006),$AO$1006:$BQ$1006,0)), HYPERLINK("#",""), HYPERLINK(CONCATENATE("#Metadata!", ADDRESS(INDEX($AJ$2:$AJ$1001,MATCH(ROWS($AH$2:AH349),$AH$2:$AH$1001,0),0), INDEX($AO$1004:$BQ$1004,1,MATCH(COLUMNS($AO$1006:AY1006),$AO$1006:$BQ$1006,0)))),"Fix")))</f>
        <v>#N/A</v>
      </c>
      <c r="M349" s="5" t="e">
        <f ca="1">IF(OR(INDEX($AI$2:$AI$1001,MATCH(ROWS($AH$2:AH349),$AH$2:$AH$1001,0),1)&gt;=100000,INDEX($AO$1005:$BQ$1005,1,MATCH(COLUMNS($AO$1006:AZ1006),$AO$1006:$BQ$1006,0))&gt;=100000), " ",IF(INDEX($AO$2:$BQ$1001,MATCH(ROWS($AH$2:AH349),$AH$2:$AH$1001,0),MATCH(COLUMNS($AO$1006:AZ1006),$AO$1006:$BQ$1006,0)), HYPERLINK("#",""), HYPERLINK(CONCATENATE("#Metadata!", ADDRESS(INDEX($AJ$2:$AJ$1001,MATCH(ROWS($AH$2:AH349),$AH$2:$AH$1001,0),0), INDEX($AO$1004:$BQ$1004,1,MATCH(COLUMNS($AO$1006:AZ1006),$AO$1006:$BQ$1006,0)))),"Fix")))</f>
        <v>#N/A</v>
      </c>
      <c r="N349" s="5" t="e">
        <f ca="1">IF(OR(INDEX($AI$2:$AI$1001,MATCH(ROWS($AH$2:AH349),$AH$2:$AH$1001,0),1)&gt;=100000,INDEX($AO$1005:$BQ$1005,1,MATCH(COLUMNS($AO$1006:BA1006),$AO$1006:$BQ$1006,0))&gt;=100000), " ",IF(INDEX($AO$2:$BQ$1001,MATCH(ROWS($AH$2:AH349),$AH$2:$AH$1001,0),MATCH(COLUMNS($AO$1006:BA1006),$AO$1006:$BQ$1006,0)), HYPERLINK("#",""), HYPERLINK(CONCATENATE("#Metadata!", ADDRESS(INDEX($AJ$2:$AJ$1001,MATCH(ROWS($AH$2:AH349),$AH$2:$AH$1001,0),0), INDEX($AO$1004:$BQ$1004,1,MATCH(COLUMNS($AO$1006:BA1006),$AO$1006:$BQ$1006,0)))),"Fix")))</f>
        <v>#N/A</v>
      </c>
      <c r="O349" s="5" t="e">
        <f ca="1">IF(OR(INDEX($AI$2:$AI$1001,MATCH(ROWS($AH$2:AH349),$AH$2:$AH$1001,0),1)&gt;=100000,INDEX($AO$1005:$BQ$1005,1,MATCH(COLUMNS($AO$1006:BB1006),$AO$1006:$BQ$1006,0))&gt;=100000), " ",IF(INDEX($AO$2:$BQ$1001,MATCH(ROWS($AH$2:AH349),$AH$2:$AH$1001,0),MATCH(COLUMNS($AO$1006:BB1006),$AO$1006:$BQ$1006,0)), HYPERLINK("#",""), HYPERLINK(CONCATENATE("#Metadata!", ADDRESS(INDEX($AJ$2:$AJ$1001,MATCH(ROWS($AH$2:AH349),$AH$2:$AH$1001,0),0), INDEX($AO$1004:$BQ$1004,1,MATCH(COLUMNS($AO$1006:BB1006),$AO$1006:$BQ$1006,0)))),"Fix")))</f>
        <v>#N/A</v>
      </c>
      <c r="P349" s="5" t="e">
        <f ca="1">IF(OR(INDEX($AI$2:$AI$1001,MATCH(ROWS($AH$2:AH349),$AH$2:$AH$1001,0),1)&gt;=100000,INDEX($AO$1005:$BQ$1005,1,MATCH(COLUMNS($AO$1006:BC1006),$AO$1006:$BQ$1006,0))&gt;=100000), " ",IF(INDEX($AO$2:$BQ$1001,MATCH(ROWS($AH$2:AH349),$AH$2:$AH$1001,0),MATCH(COLUMNS($AO$1006:BC1006),$AO$1006:$BQ$1006,0)), HYPERLINK("#",""), HYPERLINK(CONCATENATE("#Metadata!", ADDRESS(INDEX($AJ$2:$AJ$1001,MATCH(ROWS($AH$2:AH349),$AH$2:$AH$1001,0),0), INDEX($AO$1004:$BQ$1004,1,MATCH(COLUMNS($AO$1006:BC1006),$AO$1006:$BQ$1006,0)))),"Fix")))</f>
        <v>#N/A</v>
      </c>
      <c r="Q349" s="5" t="e">
        <f ca="1">IF(OR(INDEX($AI$2:$AI$1001,MATCH(ROWS($AH$2:AH349),$AH$2:$AH$1001,0),1)&gt;=100000,INDEX($AO$1005:$BQ$1005,1,MATCH(COLUMNS($AO$1006:BD1006),$AO$1006:$BQ$1006,0))&gt;=100000), " ",IF(INDEX($AO$2:$BQ$1001,MATCH(ROWS($AH$2:AH349),$AH$2:$AH$1001,0),MATCH(COLUMNS($AO$1006:BD1006),$AO$1006:$BQ$1006,0)), HYPERLINK("#",""), HYPERLINK(CONCATENATE("#Metadata!", ADDRESS(INDEX($AJ$2:$AJ$1001,MATCH(ROWS($AH$2:AH349),$AH$2:$AH$1001,0),0), INDEX($AO$1004:$BQ$1004,1,MATCH(COLUMNS($AO$1006:BD1006),$AO$1006:$BQ$1006,0)))),"Fix")))</f>
        <v>#N/A</v>
      </c>
      <c r="R349" s="5" t="e">
        <f ca="1">IF(OR(INDEX($AI$2:$AI$1001,MATCH(ROWS($AH$2:AH349),$AH$2:$AH$1001,0),1)&gt;=100000,INDEX($AO$1005:$BQ$1005,1,MATCH(COLUMNS($AO$1006:BE1006),$AO$1006:$BQ$1006,0))&gt;=100000), " ",IF(INDEX($AO$2:$BQ$1001,MATCH(ROWS($AH$2:AH349),$AH$2:$AH$1001,0),MATCH(COLUMNS($AO$1006:BE1006),$AO$1006:$BQ$1006,0)), HYPERLINK("#",""), HYPERLINK(CONCATENATE("#Metadata!", ADDRESS(INDEX($AJ$2:$AJ$1001,MATCH(ROWS($AH$2:AH349),$AH$2:$AH$1001,0),0), INDEX($AO$1004:$BQ$1004,1,MATCH(COLUMNS($AO$1006:BE1006),$AO$1006:$BQ$1006,0)))),"Fix")))</f>
        <v>#N/A</v>
      </c>
      <c r="S349" s="5" t="e">
        <f ca="1">IF(OR(INDEX($AI$2:$AI$1001,MATCH(ROWS($AH$2:AH349),$AH$2:$AH$1001,0),1)&gt;=100000,INDEX($AO$1005:$BQ$1005,1,MATCH(COLUMNS($AO$1006:BF1006),$AO$1006:$BQ$1006,0))&gt;=100000), " ",IF(INDEX($AO$2:$BQ$1001,MATCH(ROWS($AH$2:AH349),$AH$2:$AH$1001,0),MATCH(COLUMNS($AO$1006:BF1006),$AO$1006:$BQ$1006,0)), HYPERLINK("#",""), HYPERLINK(CONCATENATE("#Metadata!", ADDRESS(INDEX($AJ$2:$AJ$1001,MATCH(ROWS($AH$2:AH349),$AH$2:$AH$1001,0),0), INDEX($AO$1004:$BQ$1004,1,MATCH(COLUMNS($AO$1006:BF1006),$AO$1006:$BQ$1006,0)))),"Fix")))</f>
        <v>#N/A</v>
      </c>
      <c r="T349" s="5" t="e">
        <f ca="1">IF(OR(INDEX($AI$2:$AI$1001,MATCH(ROWS($AH$2:AH349),$AH$2:$AH$1001,0),1)&gt;=100000,INDEX($AO$1005:$BQ$1005,1,MATCH(COLUMNS($AO$1006:BG1006),$AO$1006:$BQ$1006,0))&gt;=100000), " ",IF(INDEX($AO$2:$BQ$1001,MATCH(ROWS($AH$2:AH349),$AH$2:$AH$1001,0),MATCH(COLUMNS($AO$1006:BG1006),$AO$1006:$BQ$1006,0)), HYPERLINK("#",""), HYPERLINK(CONCATENATE("#Metadata!", ADDRESS(INDEX($AJ$2:$AJ$1001,MATCH(ROWS($AH$2:AH349),$AH$2:$AH$1001,0),0), INDEX($AO$1004:$BQ$1004,1,MATCH(COLUMNS($AO$1006:BG1006),$AO$1006:$BQ$1006,0)))),"Fix")))</f>
        <v>#N/A</v>
      </c>
      <c r="U349" s="5" t="e">
        <f ca="1">IF(OR(INDEX($AI$2:$AI$1001,MATCH(ROWS($AH$2:AH349),$AH$2:$AH$1001,0),1)&gt;=100000,INDEX($AO$1005:$BQ$1005,1,MATCH(COLUMNS($AO$1006:BH1006),$AO$1006:$BQ$1006,0))&gt;=100000), " ",IF(INDEX($AO$2:$BQ$1001,MATCH(ROWS($AH$2:AH349),$AH$2:$AH$1001,0),MATCH(COLUMNS($AO$1006:BH1006),$AO$1006:$BQ$1006,0)), HYPERLINK("#",""), HYPERLINK(CONCATENATE("#Metadata!", ADDRESS(INDEX($AJ$2:$AJ$1001,MATCH(ROWS($AH$2:AH349),$AH$2:$AH$1001,0),0), INDEX($AO$1004:$BQ$1004,1,MATCH(COLUMNS($AO$1006:BH1006),$AO$1006:$BQ$1006,0)))),"Fix")))</f>
        <v>#N/A</v>
      </c>
      <c r="V349" s="5" t="e">
        <f ca="1">IF(OR(INDEX($AI$2:$AI$1001,MATCH(ROWS($AH$2:AH349),$AH$2:$AH$1001,0),1)&gt;=100000,INDEX($AO$1005:$BQ$1005,1,MATCH(COLUMNS($AO$1006:BI1006),$AO$1006:$BQ$1006,0))&gt;=100000), " ",IF(INDEX($AO$2:$BQ$1001,MATCH(ROWS($AH$2:AH349),$AH$2:$AH$1001,0),MATCH(COLUMNS($AO$1006:BI1006),$AO$1006:$BQ$1006,0)), HYPERLINK("#",""), HYPERLINK(CONCATENATE("#Metadata!", ADDRESS(INDEX($AJ$2:$AJ$1001,MATCH(ROWS($AH$2:AH349),$AH$2:$AH$1001,0),0), INDEX($AO$1004:$BQ$1004,1,MATCH(COLUMNS($AO$1006:BI1006),$AO$1006:$BQ$1006,0)))),"Fix")))</f>
        <v>#N/A</v>
      </c>
      <c r="W349" s="5" t="e">
        <f ca="1">IF(OR(INDEX($AI$2:$AI$1001,MATCH(ROWS($AH$2:AH349),$AH$2:$AH$1001,0),1)&gt;=100000,INDEX($AO$1005:$BQ$1005,1,MATCH(COLUMNS($AO$1006:BJ1006),$AO$1006:$BQ$1006,0))&gt;=100000), " ",IF(INDEX($AO$2:$BQ$1001,MATCH(ROWS($AH$2:AH349),$AH$2:$AH$1001,0),MATCH(COLUMNS($AO$1006:BJ1006),$AO$1006:$BQ$1006,0)), HYPERLINK("#",""), HYPERLINK(CONCATENATE("#Metadata!", ADDRESS(INDEX($AJ$2:$AJ$1001,MATCH(ROWS($AH$2:AH349),$AH$2:$AH$1001,0),0), INDEX($AO$1004:$BQ$1004,1,MATCH(COLUMNS($AO$1006:BJ1006),$AO$1006:$BQ$1006,0)))),"Fix")))</f>
        <v>#N/A</v>
      </c>
      <c r="X349" s="5" t="e">
        <f ca="1">IF(OR(INDEX($AI$2:$AI$1001,MATCH(ROWS($AH$2:AH349),$AH$2:$AH$1001,0),1)&gt;=100000,INDEX($AO$1005:$BQ$1005,1,MATCH(COLUMNS($AO$1006:BK1006),$AO$1006:$BQ$1006,0))&gt;=100000), " ",IF(INDEX($AO$2:$BQ$1001,MATCH(ROWS($AH$2:AH349),$AH$2:$AH$1001,0),MATCH(COLUMNS($AO$1006:BK1006),$AO$1006:$BQ$1006,0)), HYPERLINK("#",""), HYPERLINK(CONCATENATE("#Metadata!", ADDRESS(INDEX($AJ$2:$AJ$1001,MATCH(ROWS($AH$2:AH349),$AH$2:$AH$1001,0),0), INDEX($AO$1004:$BQ$1004,1,MATCH(COLUMNS($AO$1006:BK1006),$AO$1006:$BQ$1006,0)))),"Fix")))</f>
        <v>#N/A</v>
      </c>
      <c r="Y349" s="5" t="e">
        <f ca="1">IF(OR(INDEX($AI$2:$AI$1001,MATCH(ROWS($AH$2:AH349),$AH$2:$AH$1001,0),1)&gt;=100000,INDEX($AO$1005:$BQ$1005,1,MATCH(COLUMNS($AO$1006:BL1006),$AO$1006:$BQ$1006,0))&gt;=100000), " ",IF(INDEX($AO$2:$BQ$1001,MATCH(ROWS($AH$2:AH349),$AH$2:$AH$1001,0),MATCH(COLUMNS($AO$1006:BL1006),$AO$1006:$BQ$1006,0)), HYPERLINK("#",""), HYPERLINK(CONCATENATE("#Metadata!", ADDRESS(INDEX($AJ$2:$AJ$1001,MATCH(ROWS($AH$2:AH349),$AH$2:$AH$1001,0),0), INDEX($AO$1004:$BQ$1004,1,MATCH(COLUMNS($AO$1006:BL1006),$AO$1006:$BQ$1006,0)))),"Fix")))</f>
        <v>#N/A</v>
      </c>
      <c r="Z349" s="5" t="e">
        <f ca="1">IF(OR(INDEX($AI$2:$AI$1001,MATCH(ROWS($AH$2:AH349),$AH$2:$AH$1001,0),1)&gt;=100000,INDEX($AO$1005:$BQ$1005,1,MATCH(COLUMNS($AO$1006:BM1006),$AO$1006:$BQ$1006,0))&gt;=100000), " ",IF(INDEX($AO$2:$BQ$1001,MATCH(ROWS($AH$2:AH349),$AH$2:$AH$1001,0),MATCH(COLUMNS($AO$1006:BM1006),$AO$1006:$BQ$1006,0)), HYPERLINK("#",""), HYPERLINK(CONCATENATE("#Metadata!", ADDRESS(INDEX($AJ$2:$AJ$1001,MATCH(ROWS($AH$2:AH349),$AH$2:$AH$1001,0),0), INDEX($AO$1004:$BQ$1004,1,MATCH(COLUMNS($AO$1006:BM1006),$AO$1006:$BQ$1006,0)))),"Fix")))</f>
        <v>#N/A</v>
      </c>
      <c r="AA349" s="5" t="e">
        <f ca="1">IF(OR(INDEX($AI$2:$AI$1001,MATCH(ROWS($AH$2:AH349),$AH$2:$AH$1001,0),1)&gt;=100000,INDEX($AO$1005:$BQ$1005,1,MATCH(COLUMNS($AO$1006:BN1006),$AO$1006:$BQ$1006,0))&gt;=100000), " ",IF(INDEX($AO$2:$BQ$1001,MATCH(ROWS($AH$2:AH349),$AH$2:$AH$1001,0),MATCH(COLUMNS($AO$1006:BN1006),$AO$1006:$BQ$1006,0)), HYPERLINK("#",""), HYPERLINK(CONCATENATE("#Metadata!", ADDRESS(INDEX($AJ$2:$AJ$1001,MATCH(ROWS($AH$2:AH349),$AH$2:$AH$1001,0),0), INDEX($AO$1004:$BQ$1004,1,MATCH(COLUMNS($AO$1006:BN1006),$AO$1006:$BQ$1006,0)))),"Fix")))</f>
        <v>#N/A</v>
      </c>
      <c r="AB349" s="5" t="e">
        <f ca="1">IF(OR(INDEX($AI$2:$AI$1001,MATCH(ROWS($AH$2:AH349),$AH$2:$AH$1001,0),1)&gt;=100000,INDEX($AO$1005:$BQ$1005,1,MATCH(COLUMNS($AO$1006:BO1006),$AO$1006:$BQ$1006,0))&gt;=100000), " ",IF(INDEX($AO$2:$BQ$1001,MATCH(ROWS($AH$2:AH349),$AH$2:$AH$1001,0),MATCH(COLUMNS($AO$1006:BO1006),$AO$1006:$BQ$1006,0)), HYPERLINK("#",""), HYPERLINK(CONCATENATE("#Metadata!", ADDRESS(INDEX($AJ$2:$AJ$1001,MATCH(ROWS($AH$2:AH349),$AH$2:$AH$1001,0),0), INDEX($AO$1004:$BQ$1004,1,MATCH(COLUMNS($AO$1006:BO1006),$AO$1006:$BQ$1006,0)))),"Fix")))</f>
        <v>#N/A</v>
      </c>
      <c r="AC349" s="5" t="e">
        <f ca="1">IF(OR(INDEX($AI$2:$AI$1001,MATCH(ROWS($AH$2:AH349),$AH$2:$AH$1001,0),1)&gt;=100000,INDEX($AO$1005:$BQ$1005,1,MATCH(COLUMNS($AO$1006:BP1006),$AO$1006:$BQ$1006,0))&gt;=100000), " ",IF(INDEX($AO$2:$BQ$1001,MATCH(ROWS($AH$2:AH349),$AH$2:$AH$1001,0),MATCH(COLUMNS($AO$1006:BP1006),$AO$1006:$BQ$1006,0)), HYPERLINK("#",""), HYPERLINK(CONCATENATE("#Metadata!", ADDRESS(INDEX($AJ$2:$AJ$1001,MATCH(ROWS($AH$2:AH349),$AH$2:$AH$1001,0),0), INDEX($AO$1004:$BQ$1004,1,MATCH(COLUMNS($AO$1006:BP1006),$AO$1006:$BQ$1006,0)))),"Fix")))</f>
        <v>#N/A</v>
      </c>
      <c r="AD349" s="5" t="e">
        <f ca="1">IF(OR(INDEX($AI$2:$AI$1001,MATCH(ROWS($AH$2:AH349),$AH$2:$AH$1001,0),1)&gt;=100000,INDEX($AO$1005:$BQ$1005,1,MATCH(COLUMNS($AO$1006:BQ1006),$AO$1006:$BQ$1006,0))&gt;=100000), " ",IF(INDEX($AO$2:$BQ$1001,MATCH(ROWS($AH$2:AH349),$AH$2:$AH$1001,0),MATCH(COLUMNS($AO$1006:BQ1006),$AO$1006:$BQ$1006,0)), HYPERLINK("#",""), HYPERLINK(CONCATENATE("#Metadata!", ADDRESS(INDEX($AJ$2:$AJ$1001,MATCH(ROWS($AH$2:AH349),$AH$2:$AH$1001,0),0), INDEX($AO$1004:$BQ$1004,1,MATCH(COLUMNS($AO$1006:BQ1006),$AO$1006:$BQ$1006,0)))),"Fix")))</f>
        <v>#REF!</v>
      </c>
      <c r="AH349">
        <f ca="1"/>
        <v>346</v>
      </c>
      <c r="AI349">
        <v>100349</v>
      </c>
      <c r="AJ349">
        <v>349</v>
      </c>
      <c r="AK349" t="b">
        <f t="shared" si="5"/>
        <v>1</v>
      </c>
      <c r="AL349" t="b">
        <f>COUNTBLANK(Metadata!B349:AD349)=COLUMNS(Metadata!B349:AD349)</f>
        <v>1</v>
      </c>
      <c r="AM349" t="str">
        <v/>
      </c>
      <c r="AO349" t="b">
        <f ca="1">AND(IF(Metadata!B349="",FALSE,TRUE),COUNTIF(Metadata!B:B, Metadata!B349) = 1,NOT(ISERROR(SUMPRODUCT(SEARCH(MID(Metadata!B349,ROW(INDIRECT("1:"&amp;LEN(Metadata!B349))), 1),"0123456789abcdefghijklmnopqrstuvwxyzABCDEFGHIJKLMNOPQRSTUVWXYZ.")))))</f>
        <v>0</v>
      </c>
      <c r="AP349" t="b">
        <f>IF(Metadata!C349="",FALSE,TRUE)</f>
        <v>0</v>
      </c>
      <c r="AQ349" t="b">
        <f>IF(Metadata!D349="",FALSE,TRUE)</f>
        <v>0</v>
      </c>
      <c r="AR349" t="b">
        <f ca="1">OR(AND(IF(Metadata!E349="",FALSE,TRUE),OR(EXACT(Metadata!E349,"not collected"),EXACT(Metadata!E349,"not provided"),EXACT(Metadata!E349,"restricted access"))),AND(IF(Metadata!E349="",FALSE,TRUE),AND(AND(IFERROR(INT(LEFT(Metadata!E349,4))&gt;1900,FALSE),IFERROR(INT(LEFT(Metadata!E349,4))&lt;=YEAR(NOW()),FALSE)), OR(MID(Metadata!E349,5,1)="", AND(AND(MID(Metadata!E349,5,1)="-",IFERROR(INT(MID(Metadata!E349,6,1))&gt;=0,FALSE),IFERROR(INT(MID(Metadata!E349,6,1))&lt;=1,FALSE),NOT(MID(Metadata!E349,7,1)=""),IFERROR(INT(MID(Metadata!E349,6,2))&gt;=1,FALSE),IFERROR(INT(MID(Metadata!E349,6,2))&lt;=12,FALSE)), OR(MID(Metadata!E349,8,1)="", AND(AND(MID(Metadata!E349,8,1)="-",IFERROR(INT(MID(Metadata!E349,9,1))&gt;=0,FALSE),IFERROR(INT(MID(Metadata!E349,9,1))&lt;=3,FALSE),NOT(MID(Metadata!E349,10,1)=""),IFERROR(INT(MID(Metadata!E349,9,2))&gt;=1,FALSE),IFERROR(INT(MID(Metadata!E349,9,2))&lt;=31,FALSE)), OR(MID(Metadata!E349,11,1)="", AND(AND(MID(Metadata!E349,11,1)=" ",IFERROR(INT(MID(Metadata!E349,12,1))&gt;=0,FALSE),IFERROR(INT(MID(Metadata!E349,12,1))&lt;=2,FALSE),NOT(MID(Metadata!E349,13,1)=""),IFERROR(INT(MID(Metadata!E349,12,2))&gt;=0,FALSE),IFERROR(INT(MID(Metadata!E349,12,2))&lt;=23,FALSE)), OR(MID(Metadata!E349,14,1)="", AND(AND(MID(Metadata!E349,14,1)=":",IFERROR(INT(MID(Metadata!E349,15,1))&gt;=0,FALSE),IFERROR(INT(MID(Metadata!E349,15,1))&lt;=5,FALSE),NOT(MID(Metadata!E349,16,1)=""),IFERROR(INT(MID(Metadata!E349,15,2))&gt;=0,FALSE),IFERROR(INT(MID(Metadata!E349,15,2))&lt;=59,FALSE)), OR(MID(Metadata!E349,17,1)="", AND(AND(MID(Metadata!E349,17,1)=":",IFERROR(INT(MID(Metadata!E349,18,1))&gt;=0,FALSE),IFERROR(INT(MID(Metadata!E349,18,1))&lt;=5,FALSE),NOT(MID(Metadata!E349,19,1)=""),IFERROR(INT(MID(Metadata!E349,18,2))&gt;=0,FALSE),IFERROR(INT(MID(Metadata!E349,18,2))&lt;=59,FALSE)), LEN(Metadata!E349)&lt;=19)))))))))))))</f>
        <v>0</v>
      </c>
      <c r="AS349" t="b">
        <f>IF(Metadata!F349="",FALSE,TRUE)</f>
        <v>0</v>
      </c>
      <c r="AT349" t="b">
        <f>OR(AND(IF(Metadata!G349="",FALSE,TRUE),OR(EXACT(Metadata!G349,"not collected"),EXACT(Metadata!G349,"not provided"))),AND(IF(Metadata!G349="",FALSE,TRUE),OR(EXACT(Metadata!G349,"TRUE"),EXACT(Metadata!G349,"FALSE"))))</f>
        <v>0</v>
      </c>
      <c r="AU349" t="b">
        <f>OR(AND(IF(Metadata!H349="",FALSE,TRUE),OR(EXACT(Metadata!H349,"not collected"),EXACT(Metadata!H349,"not provided"),EXACT(Metadata!H349,"restricted access"))),AND(IF(Metadata!H349="",FALSE,ISNUMBER(VALUE(Metadata!H349))),Metadata!H349&gt;=-413))</f>
        <v>0</v>
      </c>
      <c r="AV349" t="b">
        <f>AND(IF(Metadata!I349="",FALSE,TRUE),EXACT(Metadata!I349,"meters"))</f>
        <v>0</v>
      </c>
      <c r="AW349" t="b">
        <f>AND(IF(Metadata!J349="",FALSE,TRUE),EXACT(Metadata!J349,"free-living"))</f>
        <v>0</v>
      </c>
      <c r="AX349" t="b">
        <f>AND(IF(Metadata!K349="",FALSE,TRUE),OR(EXACT(Metadata!K349,"saline"),EXACT(Metadata!K349,"non-saline")))</f>
        <v>0</v>
      </c>
      <c r="AY349" t="b">
        <f>AND(IF(Metadata!L349="",FALSE,TRUE),OR(EXACT(Metadata!L349,"sub-surface (non-saline)"),EXACT(Metadata!L349,"surface (non-saline)"),EXACT(Metadata!L349,"water (non-saline)"),EXACT(Metadata!L349,"soil (non-saline)"),EXACT(Metadata!L349,"aerosol (non-saline)"),EXACT(Metadata!L349,"sediment (non-saline)"),EXACT(Metadata!L349,"surface (saline)"),EXACT(Metadata!L349,"water (saline)"),EXACT(Metadata!L349,"hypersaline (saline)"),EXACT(Metadata!L349,"aerosol (saline)"),EXACT(Metadata!L349,"sediment (saline)")))</f>
        <v>0</v>
      </c>
      <c r="AZ349" t="b">
        <f>IF(Metadata!M349="",FALSE,TRUE)</f>
        <v>0</v>
      </c>
      <c r="BA349" t="b">
        <f>IF(Metadata!N349="",FALSE,TRUE)</f>
        <v>0</v>
      </c>
      <c r="BB349" t="b">
        <f>IF(Metadata!O349="",FALSE,TRUE)</f>
        <v>0</v>
      </c>
      <c r="BC349" t="b">
        <f>AND(IF(Metadata!P349="",FALSE,TRUE),OR(EXACT(Metadata!P349,"air"),EXACT(Metadata!P349,"microbial mat/biofilm"),EXACT(Metadata!P349,"misc environment"),EXACT(Metadata!P349,"sediment"),EXACT(Metadata!P349,"soil"),EXACT(Metadata!P349,"wastewater/sludge"),EXACT(Metadata!P349,"water")))</f>
        <v>0</v>
      </c>
      <c r="BD349" t="b">
        <f>IF(Metadata!Q349="",FALSE,TRUE)</f>
        <v>0</v>
      </c>
      <c r="BE349" t="b">
        <f>IF(Metadata!R349="",FALSE,TRUE)</f>
        <v>0</v>
      </c>
      <c r="BF349" t="b">
        <f>OR(AND(IF(Metadata!S349="",FALSE,TRUE),OR(EXACT(Metadata!S349,"not collected"),EXACT(Metadata!S349,"not provided"),EXACT(Metadata!S349,"restricted access"))),AND(IF(Metadata!S349="",FALSE,ISNUMBER(VALUE(Metadata!S349))),Metadata!S349&gt;=-90,Metadata!S349&lt;=90))</f>
        <v>0</v>
      </c>
      <c r="BG349" t="b">
        <f>AND(IF(Metadata!T349="",FALSE,TRUE),EXACT(Metadata!T349,"Decimal degrees"))</f>
        <v>0</v>
      </c>
      <c r="BH349" t="b">
        <f>OR(AND(IF(Metadata!U349="",FALSE,TRUE),OR(EXACT(Metadata!U349,"not applicable"),EXACT(Metadata!U349,"not collected"))),IF(Metadata!U349="",FALSE,TRUE))</f>
        <v>0</v>
      </c>
      <c r="BI349" t="b">
        <f>OR(AND(IF(Metadata!V349="",FALSE,TRUE),OR(EXACT(Metadata!V349,"not collected"),EXACT(Metadata!V349,"not provided"),EXACT(Metadata!V349,"restricted access"))),AND(IF(Metadata!V349="",FALSE,ISNUMBER(VALUE(Metadata!V349))),Metadata!V349&gt;=-180,Metadata!V349&lt;=180))</f>
        <v>0</v>
      </c>
      <c r="BJ349" t="b">
        <f>AND(IF(Metadata!W349="",FALSE,TRUE),EXACT(Metadata!W349,"Decimal degrees"))</f>
        <v>0</v>
      </c>
      <c r="BK349" t="b">
        <f>IF(Metadata!X349="",FALSE,TRUE)</f>
        <v>0</v>
      </c>
      <c r="BL349" t="b">
        <f>OR(AND(IF(Metadata!Y349="",FALSE,TRUE),OR(EXACT(Metadata!Y349,"not collected"),EXACT(Metadata!Y349,"not provided"),EXACT(Metadata!Y349,"restricted access"))),AND(IF(Metadata!Y349="",FALSE,TRUE),OR(EXACT(Metadata!Y349,"TRUE"),EXACT(Metadata!Y349,"FALSE"))))</f>
        <v>0</v>
      </c>
      <c r="BM349" t="b">
        <f>OR(AND(IF(Metadata!Z349="",FALSE,TRUE),EXACT(Metadata!Z349,"not applicable")),AND(IF(Metadata!Z349="",FALSE,TRUE),OR(EXACT(Metadata!Z349,"beer"),EXACT(Metadata!Z349,"cheese"),EXACT(Metadata!Z349,"fresh water"),EXACT(Metadata!Z349,"marine sediment"),EXACT(Metadata!Z349,"sea water"),EXACT(Metadata!Z349,"sediment"),EXACT(Metadata!Z349,"soil"),EXACT(Metadata!Z349,"waste water"))))</f>
        <v>0</v>
      </c>
      <c r="BN349" t="b">
        <f>AND(IF(Metadata!AA349="",FALSE,TRUE),EXACT(Metadata!AA349,"metagenome"))</f>
        <v>0</v>
      </c>
      <c r="BO349" t="b">
        <f>AND(IF(Metadata!AB349="",FALSE,TRUE),EXACT(Metadata!AB349,"256318"))</f>
        <v>0</v>
      </c>
      <c r="BP349" t="b">
        <f>IF(Metadata!AC349="",FALSE,TRUE)</f>
        <v>0</v>
      </c>
      <c r="BQ349" t="b">
        <f>IF(Metadata!AD349="",FALSE,TRUE)</f>
        <v>0</v>
      </c>
    </row>
    <row r="350" spans="1:69" x14ac:dyDescent="0.2">
      <c r="A350" s="4" t="e">
        <f ca="1">IF(B350=" "," ",HYPERLINK(CONCATENATE("#metadata!",ADDRESS(INDEX($AJ$2:$AJ$1001,MATCH(ROWS($AH$2:AH350),$AH$2:$AH$1001,0),0),2)),INDEX($AM$2:$AM$1001,MATCH(ROWS($AH$2:AH350),$AH$2:$AH$1001,0),0)))</f>
        <v>#N/A</v>
      </c>
      <c r="B350" s="5" t="e">
        <f ca="1">IF(OR(INDEX($AI$2:$AI$1001,MATCH(ROWS($AH$2:AH350),$AH$2:$AH$1001,0),1)&gt;=100000,INDEX($AO$1005:$BQ$1005,1,MATCH(COLUMNS($AO$1006:AO1006),$AO$1006:$BQ$1006,0))&gt;=100000), " ",IF(INDEX($AO$2:$BQ$1001,MATCH(ROWS($AH$2:AH350),$AH$2:$AH$1001,0),MATCH(COLUMNS($AO$1006:AO1006),$AO$1006:$BQ$1006,0)), HYPERLINK("#",""), HYPERLINK(CONCATENATE("#Metadata!", ADDRESS(INDEX($AJ$2:$AJ$1001,MATCH(ROWS($AH$2:AH350),$AH$2:$AH$1001,0),0), INDEX($AO$1004:$BQ$1004,1,MATCH(COLUMNS($AO$1006:AO1006),$AO$1006:$BQ$1006,0)))),"Fix")))</f>
        <v>#N/A</v>
      </c>
      <c r="C350" s="5" t="e">
        <f ca="1">IF(OR(INDEX($AI$2:$AI$1001,MATCH(ROWS($AH$2:AH350),$AH$2:$AH$1001,0),1)&gt;=100000,INDEX($AO$1005:$BQ$1005,1,MATCH(COLUMNS($AO$1006:AP1006),$AO$1006:$BQ$1006,0))&gt;=100000), " ",IF(INDEX($AO$2:$BQ$1001,MATCH(ROWS($AH$2:AH350),$AH$2:$AH$1001,0),MATCH(COLUMNS($AO$1006:AP1006),$AO$1006:$BQ$1006,0)), HYPERLINK("#",""), HYPERLINK(CONCATENATE("#Metadata!", ADDRESS(INDEX($AJ$2:$AJ$1001,MATCH(ROWS($AH$2:AH350),$AH$2:$AH$1001,0),0), INDEX($AO$1004:$BQ$1004,1,MATCH(COLUMNS($AO$1006:AP1006),$AO$1006:$BQ$1006,0)))),"Fix")))</f>
        <v>#N/A</v>
      </c>
      <c r="D350" s="5" t="e">
        <f ca="1">IF(OR(INDEX($AI$2:$AI$1001,MATCH(ROWS($AH$2:AH350),$AH$2:$AH$1001,0),1)&gt;=100000,INDEX($AO$1005:$BQ$1005,1,MATCH(COLUMNS($AO$1006:AQ1006),$AO$1006:$BQ$1006,0))&gt;=100000), " ",IF(INDEX($AO$2:$BQ$1001,MATCH(ROWS($AH$2:AH350),$AH$2:$AH$1001,0),MATCH(COLUMNS($AO$1006:AQ1006),$AO$1006:$BQ$1006,0)), HYPERLINK("#",""), HYPERLINK(CONCATENATE("#Metadata!", ADDRESS(INDEX($AJ$2:$AJ$1001,MATCH(ROWS($AH$2:AH350),$AH$2:$AH$1001,0),0), INDEX($AO$1004:$BQ$1004,1,MATCH(COLUMNS($AO$1006:AQ1006),$AO$1006:$BQ$1006,0)))),"Fix")))</f>
        <v>#N/A</v>
      </c>
      <c r="E350" s="5" t="e">
        <f ca="1">IF(OR(INDEX($AI$2:$AI$1001,MATCH(ROWS($AH$2:AH350),$AH$2:$AH$1001,0),1)&gt;=100000,INDEX($AO$1005:$BQ$1005,1,MATCH(COLUMNS($AO$1006:AR1006),$AO$1006:$BQ$1006,0))&gt;=100000), " ",IF(INDEX($AO$2:$BQ$1001,MATCH(ROWS($AH$2:AH350),$AH$2:$AH$1001,0),MATCH(COLUMNS($AO$1006:AR1006),$AO$1006:$BQ$1006,0)), HYPERLINK("#",""), HYPERLINK(CONCATENATE("#Metadata!", ADDRESS(INDEX($AJ$2:$AJ$1001,MATCH(ROWS($AH$2:AH350),$AH$2:$AH$1001,0),0), INDEX($AO$1004:$BQ$1004,1,MATCH(COLUMNS($AO$1006:AR1006),$AO$1006:$BQ$1006,0)))),"Fix")))</f>
        <v>#N/A</v>
      </c>
      <c r="F350" s="5" t="e">
        <f ca="1">IF(OR(INDEX($AI$2:$AI$1001,MATCH(ROWS($AH$2:AH350),$AH$2:$AH$1001,0),1)&gt;=100000,INDEX($AO$1005:$BQ$1005,1,MATCH(COLUMNS($AO$1006:AS1006),$AO$1006:$BQ$1006,0))&gt;=100000), " ",IF(INDEX($AO$2:$BQ$1001,MATCH(ROWS($AH$2:AH350),$AH$2:$AH$1001,0),MATCH(COLUMNS($AO$1006:AS1006),$AO$1006:$BQ$1006,0)), HYPERLINK("#",""), HYPERLINK(CONCATENATE("#Metadata!", ADDRESS(INDEX($AJ$2:$AJ$1001,MATCH(ROWS($AH$2:AH350),$AH$2:$AH$1001,0),0), INDEX($AO$1004:$BQ$1004,1,MATCH(COLUMNS($AO$1006:AS1006),$AO$1006:$BQ$1006,0)))),"Fix")))</f>
        <v>#N/A</v>
      </c>
      <c r="G350" s="5" t="e">
        <f ca="1">IF(OR(INDEX($AI$2:$AI$1001,MATCH(ROWS($AH$2:AH350),$AH$2:$AH$1001,0),1)&gt;=100000,INDEX($AO$1005:$BQ$1005,1,MATCH(COLUMNS($AO$1006:AT1006),$AO$1006:$BQ$1006,0))&gt;=100000), " ",IF(INDEX($AO$2:$BQ$1001,MATCH(ROWS($AH$2:AH350),$AH$2:$AH$1001,0),MATCH(COLUMNS($AO$1006:AT1006),$AO$1006:$BQ$1006,0)), HYPERLINK("#",""), HYPERLINK(CONCATENATE("#Metadata!", ADDRESS(INDEX($AJ$2:$AJ$1001,MATCH(ROWS($AH$2:AH350),$AH$2:$AH$1001,0),0), INDEX($AO$1004:$BQ$1004,1,MATCH(COLUMNS($AO$1006:AT1006),$AO$1006:$BQ$1006,0)))),"Fix")))</f>
        <v>#N/A</v>
      </c>
      <c r="H350" s="5" t="e">
        <f ca="1">IF(OR(INDEX($AI$2:$AI$1001,MATCH(ROWS($AH$2:AH350),$AH$2:$AH$1001,0),1)&gt;=100000,INDEX($AO$1005:$BQ$1005,1,MATCH(COLUMNS($AO$1006:AU1006),$AO$1006:$BQ$1006,0))&gt;=100000), " ",IF(INDEX($AO$2:$BQ$1001,MATCH(ROWS($AH$2:AH350),$AH$2:$AH$1001,0),MATCH(COLUMNS($AO$1006:AU1006),$AO$1006:$BQ$1006,0)), HYPERLINK("#",""), HYPERLINK(CONCATENATE("#Metadata!", ADDRESS(INDEX($AJ$2:$AJ$1001,MATCH(ROWS($AH$2:AH350),$AH$2:$AH$1001,0),0), INDEX($AO$1004:$BQ$1004,1,MATCH(COLUMNS($AO$1006:AU1006),$AO$1006:$BQ$1006,0)))),"Fix")))</f>
        <v>#N/A</v>
      </c>
      <c r="I350" s="5" t="e">
        <f ca="1">IF(OR(INDEX($AI$2:$AI$1001,MATCH(ROWS($AH$2:AH350),$AH$2:$AH$1001,0),1)&gt;=100000,INDEX($AO$1005:$BQ$1005,1,MATCH(COLUMNS($AO$1006:AV1006),$AO$1006:$BQ$1006,0))&gt;=100000), " ",IF(INDEX($AO$2:$BQ$1001,MATCH(ROWS($AH$2:AH350),$AH$2:$AH$1001,0),MATCH(COLUMNS($AO$1006:AV1006),$AO$1006:$BQ$1006,0)), HYPERLINK("#",""), HYPERLINK(CONCATENATE("#Metadata!", ADDRESS(INDEX($AJ$2:$AJ$1001,MATCH(ROWS($AH$2:AH350),$AH$2:$AH$1001,0),0), INDEX($AO$1004:$BQ$1004,1,MATCH(COLUMNS($AO$1006:AV1006),$AO$1006:$BQ$1006,0)))),"Fix")))</f>
        <v>#N/A</v>
      </c>
      <c r="J350" s="5" t="e">
        <f ca="1">IF(OR(INDEX($AI$2:$AI$1001,MATCH(ROWS($AH$2:AH350),$AH$2:$AH$1001,0),1)&gt;=100000,INDEX($AO$1005:$BQ$1005,1,MATCH(COLUMNS($AO$1006:AW1006),$AO$1006:$BQ$1006,0))&gt;=100000), " ",IF(INDEX($AO$2:$BQ$1001,MATCH(ROWS($AH$2:AH350),$AH$2:$AH$1001,0),MATCH(COLUMNS($AO$1006:AW1006),$AO$1006:$BQ$1006,0)), HYPERLINK("#",""), HYPERLINK(CONCATENATE("#Metadata!", ADDRESS(INDEX($AJ$2:$AJ$1001,MATCH(ROWS($AH$2:AH350),$AH$2:$AH$1001,0),0), INDEX($AO$1004:$BQ$1004,1,MATCH(COLUMNS($AO$1006:AW1006),$AO$1006:$BQ$1006,0)))),"Fix")))</f>
        <v>#N/A</v>
      </c>
      <c r="K350" s="5" t="e">
        <f ca="1">IF(OR(INDEX($AI$2:$AI$1001,MATCH(ROWS($AH$2:AH350),$AH$2:$AH$1001,0),1)&gt;=100000,INDEX($AO$1005:$BQ$1005,1,MATCH(COLUMNS($AO$1006:AX1006),$AO$1006:$BQ$1006,0))&gt;=100000), " ",IF(INDEX($AO$2:$BQ$1001,MATCH(ROWS($AH$2:AH350),$AH$2:$AH$1001,0),MATCH(COLUMNS($AO$1006:AX1006),$AO$1006:$BQ$1006,0)), HYPERLINK("#",""), HYPERLINK(CONCATENATE("#Metadata!", ADDRESS(INDEX($AJ$2:$AJ$1001,MATCH(ROWS($AH$2:AH350),$AH$2:$AH$1001,0),0), INDEX($AO$1004:$BQ$1004,1,MATCH(COLUMNS($AO$1006:AX1006),$AO$1006:$BQ$1006,0)))),"Fix")))</f>
        <v>#N/A</v>
      </c>
      <c r="L350" s="5" t="e">
        <f ca="1">IF(OR(INDEX($AI$2:$AI$1001,MATCH(ROWS($AH$2:AH350),$AH$2:$AH$1001,0),1)&gt;=100000,INDEX($AO$1005:$BQ$1005,1,MATCH(COLUMNS($AO$1006:AY1006),$AO$1006:$BQ$1006,0))&gt;=100000), " ",IF(INDEX($AO$2:$BQ$1001,MATCH(ROWS($AH$2:AH350),$AH$2:$AH$1001,0),MATCH(COLUMNS($AO$1006:AY1006),$AO$1006:$BQ$1006,0)), HYPERLINK("#",""), HYPERLINK(CONCATENATE("#Metadata!", ADDRESS(INDEX($AJ$2:$AJ$1001,MATCH(ROWS($AH$2:AH350),$AH$2:$AH$1001,0),0), INDEX($AO$1004:$BQ$1004,1,MATCH(COLUMNS($AO$1006:AY1006),$AO$1006:$BQ$1006,0)))),"Fix")))</f>
        <v>#N/A</v>
      </c>
      <c r="M350" s="5" t="e">
        <f ca="1">IF(OR(INDEX($AI$2:$AI$1001,MATCH(ROWS($AH$2:AH350),$AH$2:$AH$1001,0),1)&gt;=100000,INDEX($AO$1005:$BQ$1005,1,MATCH(COLUMNS($AO$1006:AZ1006),$AO$1006:$BQ$1006,0))&gt;=100000), " ",IF(INDEX($AO$2:$BQ$1001,MATCH(ROWS($AH$2:AH350),$AH$2:$AH$1001,0),MATCH(COLUMNS($AO$1006:AZ1006),$AO$1006:$BQ$1006,0)), HYPERLINK("#",""), HYPERLINK(CONCATENATE("#Metadata!", ADDRESS(INDEX($AJ$2:$AJ$1001,MATCH(ROWS($AH$2:AH350),$AH$2:$AH$1001,0),0), INDEX($AO$1004:$BQ$1004,1,MATCH(COLUMNS($AO$1006:AZ1006),$AO$1006:$BQ$1006,0)))),"Fix")))</f>
        <v>#N/A</v>
      </c>
      <c r="N350" s="5" t="e">
        <f ca="1">IF(OR(INDEX($AI$2:$AI$1001,MATCH(ROWS($AH$2:AH350),$AH$2:$AH$1001,0),1)&gt;=100000,INDEX($AO$1005:$BQ$1005,1,MATCH(COLUMNS($AO$1006:BA1006),$AO$1006:$BQ$1006,0))&gt;=100000), " ",IF(INDEX($AO$2:$BQ$1001,MATCH(ROWS($AH$2:AH350),$AH$2:$AH$1001,0),MATCH(COLUMNS($AO$1006:BA1006),$AO$1006:$BQ$1006,0)), HYPERLINK("#",""), HYPERLINK(CONCATENATE("#Metadata!", ADDRESS(INDEX($AJ$2:$AJ$1001,MATCH(ROWS($AH$2:AH350),$AH$2:$AH$1001,0),0), INDEX($AO$1004:$BQ$1004,1,MATCH(COLUMNS($AO$1006:BA1006),$AO$1006:$BQ$1006,0)))),"Fix")))</f>
        <v>#N/A</v>
      </c>
      <c r="O350" s="5" t="e">
        <f ca="1">IF(OR(INDEX($AI$2:$AI$1001,MATCH(ROWS($AH$2:AH350),$AH$2:$AH$1001,0),1)&gt;=100000,INDEX($AO$1005:$BQ$1005,1,MATCH(COLUMNS($AO$1006:BB1006),$AO$1006:$BQ$1006,0))&gt;=100000), " ",IF(INDEX($AO$2:$BQ$1001,MATCH(ROWS($AH$2:AH350),$AH$2:$AH$1001,0),MATCH(COLUMNS($AO$1006:BB1006),$AO$1006:$BQ$1006,0)), HYPERLINK("#",""), HYPERLINK(CONCATENATE("#Metadata!", ADDRESS(INDEX($AJ$2:$AJ$1001,MATCH(ROWS($AH$2:AH350),$AH$2:$AH$1001,0),0), INDEX($AO$1004:$BQ$1004,1,MATCH(COLUMNS($AO$1006:BB1006),$AO$1006:$BQ$1006,0)))),"Fix")))</f>
        <v>#N/A</v>
      </c>
      <c r="P350" s="5" t="e">
        <f ca="1">IF(OR(INDEX($AI$2:$AI$1001,MATCH(ROWS($AH$2:AH350),$AH$2:$AH$1001,0),1)&gt;=100000,INDEX($AO$1005:$BQ$1005,1,MATCH(COLUMNS($AO$1006:BC1006),$AO$1006:$BQ$1006,0))&gt;=100000), " ",IF(INDEX($AO$2:$BQ$1001,MATCH(ROWS($AH$2:AH350),$AH$2:$AH$1001,0),MATCH(COLUMNS($AO$1006:BC1006),$AO$1006:$BQ$1006,0)), HYPERLINK("#",""), HYPERLINK(CONCATENATE("#Metadata!", ADDRESS(INDEX($AJ$2:$AJ$1001,MATCH(ROWS($AH$2:AH350),$AH$2:$AH$1001,0),0), INDEX($AO$1004:$BQ$1004,1,MATCH(COLUMNS($AO$1006:BC1006),$AO$1006:$BQ$1006,0)))),"Fix")))</f>
        <v>#N/A</v>
      </c>
      <c r="Q350" s="5" t="e">
        <f ca="1">IF(OR(INDEX($AI$2:$AI$1001,MATCH(ROWS($AH$2:AH350),$AH$2:$AH$1001,0),1)&gt;=100000,INDEX($AO$1005:$BQ$1005,1,MATCH(COLUMNS($AO$1006:BD1006),$AO$1006:$BQ$1006,0))&gt;=100000), " ",IF(INDEX($AO$2:$BQ$1001,MATCH(ROWS($AH$2:AH350),$AH$2:$AH$1001,0),MATCH(COLUMNS($AO$1006:BD1006),$AO$1006:$BQ$1006,0)), HYPERLINK("#",""), HYPERLINK(CONCATENATE("#Metadata!", ADDRESS(INDEX($AJ$2:$AJ$1001,MATCH(ROWS($AH$2:AH350),$AH$2:$AH$1001,0),0), INDEX($AO$1004:$BQ$1004,1,MATCH(COLUMNS($AO$1006:BD1006),$AO$1006:$BQ$1006,0)))),"Fix")))</f>
        <v>#N/A</v>
      </c>
      <c r="R350" s="5" t="e">
        <f ca="1">IF(OR(INDEX($AI$2:$AI$1001,MATCH(ROWS($AH$2:AH350),$AH$2:$AH$1001,0),1)&gt;=100000,INDEX($AO$1005:$BQ$1005,1,MATCH(COLUMNS($AO$1006:BE1006),$AO$1006:$BQ$1006,0))&gt;=100000), " ",IF(INDEX($AO$2:$BQ$1001,MATCH(ROWS($AH$2:AH350),$AH$2:$AH$1001,0),MATCH(COLUMNS($AO$1006:BE1006),$AO$1006:$BQ$1006,0)), HYPERLINK("#",""), HYPERLINK(CONCATENATE("#Metadata!", ADDRESS(INDEX($AJ$2:$AJ$1001,MATCH(ROWS($AH$2:AH350),$AH$2:$AH$1001,0),0), INDEX($AO$1004:$BQ$1004,1,MATCH(COLUMNS($AO$1006:BE1006),$AO$1006:$BQ$1006,0)))),"Fix")))</f>
        <v>#N/A</v>
      </c>
      <c r="S350" s="5" t="e">
        <f ca="1">IF(OR(INDEX($AI$2:$AI$1001,MATCH(ROWS($AH$2:AH350),$AH$2:$AH$1001,0),1)&gt;=100000,INDEX($AO$1005:$BQ$1005,1,MATCH(COLUMNS($AO$1006:BF1006),$AO$1006:$BQ$1006,0))&gt;=100000), " ",IF(INDEX($AO$2:$BQ$1001,MATCH(ROWS($AH$2:AH350),$AH$2:$AH$1001,0),MATCH(COLUMNS($AO$1006:BF1006),$AO$1006:$BQ$1006,0)), HYPERLINK("#",""), HYPERLINK(CONCATENATE("#Metadata!", ADDRESS(INDEX($AJ$2:$AJ$1001,MATCH(ROWS($AH$2:AH350),$AH$2:$AH$1001,0),0), INDEX($AO$1004:$BQ$1004,1,MATCH(COLUMNS($AO$1006:BF1006),$AO$1006:$BQ$1006,0)))),"Fix")))</f>
        <v>#N/A</v>
      </c>
      <c r="T350" s="5" t="e">
        <f ca="1">IF(OR(INDEX($AI$2:$AI$1001,MATCH(ROWS($AH$2:AH350),$AH$2:$AH$1001,0),1)&gt;=100000,INDEX($AO$1005:$BQ$1005,1,MATCH(COLUMNS($AO$1006:BG1006),$AO$1006:$BQ$1006,0))&gt;=100000), " ",IF(INDEX($AO$2:$BQ$1001,MATCH(ROWS($AH$2:AH350),$AH$2:$AH$1001,0),MATCH(COLUMNS($AO$1006:BG1006),$AO$1006:$BQ$1006,0)), HYPERLINK("#",""), HYPERLINK(CONCATENATE("#Metadata!", ADDRESS(INDEX($AJ$2:$AJ$1001,MATCH(ROWS($AH$2:AH350),$AH$2:$AH$1001,0),0), INDEX($AO$1004:$BQ$1004,1,MATCH(COLUMNS($AO$1006:BG1006),$AO$1006:$BQ$1006,0)))),"Fix")))</f>
        <v>#N/A</v>
      </c>
      <c r="U350" s="5" t="e">
        <f ca="1">IF(OR(INDEX($AI$2:$AI$1001,MATCH(ROWS($AH$2:AH350),$AH$2:$AH$1001,0),1)&gt;=100000,INDEX($AO$1005:$BQ$1005,1,MATCH(COLUMNS($AO$1006:BH1006),$AO$1006:$BQ$1006,0))&gt;=100000), " ",IF(INDEX($AO$2:$BQ$1001,MATCH(ROWS($AH$2:AH350),$AH$2:$AH$1001,0),MATCH(COLUMNS($AO$1006:BH1006),$AO$1006:$BQ$1006,0)), HYPERLINK("#",""), HYPERLINK(CONCATENATE("#Metadata!", ADDRESS(INDEX($AJ$2:$AJ$1001,MATCH(ROWS($AH$2:AH350),$AH$2:$AH$1001,0),0), INDEX($AO$1004:$BQ$1004,1,MATCH(COLUMNS($AO$1006:BH1006),$AO$1006:$BQ$1006,0)))),"Fix")))</f>
        <v>#N/A</v>
      </c>
      <c r="V350" s="5" t="e">
        <f ca="1">IF(OR(INDEX($AI$2:$AI$1001,MATCH(ROWS($AH$2:AH350),$AH$2:$AH$1001,0),1)&gt;=100000,INDEX($AO$1005:$BQ$1005,1,MATCH(COLUMNS($AO$1006:BI1006),$AO$1006:$BQ$1006,0))&gt;=100000), " ",IF(INDEX($AO$2:$BQ$1001,MATCH(ROWS($AH$2:AH350),$AH$2:$AH$1001,0),MATCH(COLUMNS($AO$1006:BI1006),$AO$1006:$BQ$1006,0)), HYPERLINK("#",""), HYPERLINK(CONCATENATE("#Metadata!", ADDRESS(INDEX($AJ$2:$AJ$1001,MATCH(ROWS($AH$2:AH350),$AH$2:$AH$1001,0),0), INDEX($AO$1004:$BQ$1004,1,MATCH(COLUMNS($AO$1006:BI1006),$AO$1006:$BQ$1006,0)))),"Fix")))</f>
        <v>#N/A</v>
      </c>
      <c r="W350" s="5" t="e">
        <f ca="1">IF(OR(INDEX($AI$2:$AI$1001,MATCH(ROWS($AH$2:AH350),$AH$2:$AH$1001,0),1)&gt;=100000,INDEX($AO$1005:$BQ$1005,1,MATCH(COLUMNS($AO$1006:BJ1006),$AO$1006:$BQ$1006,0))&gt;=100000), " ",IF(INDEX($AO$2:$BQ$1001,MATCH(ROWS($AH$2:AH350),$AH$2:$AH$1001,0),MATCH(COLUMNS($AO$1006:BJ1006),$AO$1006:$BQ$1006,0)), HYPERLINK("#",""), HYPERLINK(CONCATENATE("#Metadata!", ADDRESS(INDEX($AJ$2:$AJ$1001,MATCH(ROWS($AH$2:AH350),$AH$2:$AH$1001,0),0), INDEX($AO$1004:$BQ$1004,1,MATCH(COLUMNS($AO$1006:BJ1006),$AO$1006:$BQ$1006,0)))),"Fix")))</f>
        <v>#N/A</v>
      </c>
      <c r="X350" s="5" t="e">
        <f ca="1">IF(OR(INDEX($AI$2:$AI$1001,MATCH(ROWS($AH$2:AH350),$AH$2:$AH$1001,0),1)&gt;=100000,INDEX($AO$1005:$BQ$1005,1,MATCH(COLUMNS($AO$1006:BK1006),$AO$1006:$BQ$1006,0))&gt;=100000), " ",IF(INDEX($AO$2:$BQ$1001,MATCH(ROWS($AH$2:AH350),$AH$2:$AH$1001,0),MATCH(COLUMNS($AO$1006:BK1006),$AO$1006:$BQ$1006,0)), HYPERLINK("#",""), HYPERLINK(CONCATENATE("#Metadata!", ADDRESS(INDEX($AJ$2:$AJ$1001,MATCH(ROWS($AH$2:AH350),$AH$2:$AH$1001,0),0), INDEX($AO$1004:$BQ$1004,1,MATCH(COLUMNS($AO$1006:BK1006),$AO$1006:$BQ$1006,0)))),"Fix")))</f>
        <v>#N/A</v>
      </c>
      <c r="Y350" s="5" t="e">
        <f ca="1">IF(OR(INDEX($AI$2:$AI$1001,MATCH(ROWS($AH$2:AH350),$AH$2:$AH$1001,0),1)&gt;=100000,INDEX($AO$1005:$BQ$1005,1,MATCH(COLUMNS($AO$1006:BL1006),$AO$1006:$BQ$1006,0))&gt;=100000), " ",IF(INDEX($AO$2:$BQ$1001,MATCH(ROWS($AH$2:AH350),$AH$2:$AH$1001,0),MATCH(COLUMNS($AO$1006:BL1006),$AO$1006:$BQ$1006,0)), HYPERLINK("#",""), HYPERLINK(CONCATENATE("#Metadata!", ADDRESS(INDEX($AJ$2:$AJ$1001,MATCH(ROWS($AH$2:AH350),$AH$2:$AH$1001,0),0), INDEX($AO$1004:$BQ$1004,1,MATCH(COLUMNS($AO$1006:BL1006),$AO$1006:$BQ$1006,0)))),"Fix")))</f>
        <v>#N/A</v>
      </c>
      <c r="Z350" s="5" t="e">
        <f ca="1">IF(OR(INDEX($AI$2:$AI$1001,MATCH(ROWS($AH$2:AH350),$AH$2:$AH$1001,0),1)&gt;=100000,INDEX($AO$1005:$BQ$1005,1,MATCH(COLUMNS($AO$1006:BM1006),$AO$1006:$BQ$1006,0))&gt;=100000), " ",IF(INDEX($AO$2:$BQ$1001,MATCH(ROWS($AH$2:AH350),$AH$2:$AH$1001,0),MATCH(COLUMNS($AO$1006:BM1006),$AO$1006:$BQ$1006,0)), HYPERLINK("#",""), HYPERLINK(CONCATENATE("#Metadata!", ADDRESS(INDEX($AJ$2:$AJ$1001,MATCH(ROWS($AH$2:AH350),$AH$2:$AH$1001,0),0), INDEX($AO$1004:$BQ$1004,1,MATCH(COLUMNS($AO$1006:BM1006),$AO$1006:$BQ$1006,0)))),"Fix")))</f>
        <v>#N/A</v>
      </c>
      <c r="AA350" s="5" t="e">
        <f ca="1">IF(OR(INDEX($AI$2:$AI$1001,MATCH(ROWS($AH$2:AH350),$AH$2:$AH$1001,0),1)&gt;=100000,INDEX($AO$1005:$BQ$1005,1,MATCH(COLUMNS($AO$1006:BN1006),$AO$1006:$BQ$1006,0))&gt;=100000), " ",IF(INDEX($AO$2:$BQ$1001,MATCH(ROWS($AH$2:AH350),$AH$2:$AH$1001,0),MATCH(COLUMNS($AO$1006:BN1006),$AO$1006:$BQ$1006,0)), HYPERLINK("#",""), HYPERLINK(CONCATENATE("#Metadata!", ADDRESS(INDEX($AJ$2:$AJ$1001,MATCH(ROWS($AH$2:AH350),$AH$2:$AH$1001,0),0), INDEX($AO$1004:$BQ$1004,1,MATCH(COLUMNS($AO$1006:BN1006),$AO$1006:$BQ$1006,0)))),"Fix")))</f>
        <v>#N/A</v>
      </c>
      <c r="AB350" s="5" t="e">
        <f ca="1">IF(OR(INDEX($AI$2:$AI$1001,MATCH(ROWS($AH$2:AH350),$AH$2:$AH$1001,0),1)&gt;=100000,INDEX($AO$1005:$BQ$1005,1,MATCH(COLUMNS($AO$1006:BO1006),$AO$1006:$BQ$1006,0))&gt;=100000), " ",IF(INDEX($AO$2:$BQ$1001,MATCH(ROWS($AH$2:AH350),$AH$2:$AH$1001,0),MATCH(COLUMNS($AO$1006:BO1006),$AO$1006:$BQ$1006,0)), HYPERLINK("#",""), HYPERLINK(CONCATENATE("#Metadata!", ADDRESS(INDEX($AJ$2:$AJ$1001,MATCH(ROWS($AH$2:AH350),$AH$2:$AH$1001,0),0), INDEX($AO$1004:$BQ$1004,1,MATCH(COLUMNS($AO$1006:BO1006),$AO$1006:$BQ$1006,0)))),"Fix")))</f>
        <v>#N/A</v>
      </c>
      <c r="AC350" s="5" t="e">
        <f ca="1">IF(OR(INDEX($AI$2:$AI$1001,MATCH(ROWS($AH$2:AH350),$AH$2:$AH$1001,0),1)&gt;=100000,INDEX($AO$1005:$BQ$1005,1,MATCH(COLUMNS($AO$1006:BP1006),$AO$1006:$BQ$1006,0))&gt;=100000), " ",IF(INDEX($AO$2:$BQ$1001,MATCH(ROWS($AH$2:AH350),$AH$2:$AH$1001,0),MATCH(COLUMNS($AO$1006:BP1006),$AO$1006:$BQ$1006,0)), HYPERLINK("#",""), HYPERLINK(CONCATENATE("#Metadata!", ADDRESS(INDEX($AJ$2:$AJ$1001,MATCH(ROWS($AH$2:AH350),$AH$2:$AH$1001,0),0), INDEX($AO$1004:$BQ$1004,1,MATCH(COLUMNS($AO$1006:BP1006),$AO$1006:$BQ$1006,0)))),"Fix")))</f>
        <v>#N/A</v>
      </c>
      <c r="AD350" s="5" t="e">
        <f ca="1">IF(OR(INDEX($AI$2:$AI$1001,MATCH(ROWS($AH$2:AH350),$AH$2:$AH$1001,0),1)&gt;=100000,INDEX($AO$1005:$BQ$1005,1,MATCH(COLUMNS($AO$1006:BQ1006),$AO$1006:$BQ$1006,0))&gt;=100000), " ",IF(INDEX($AO$2:$BQ$1001,MATCH(ROWS($AH$2:AH350),$AH$2:$AH$1001,0),MATCH(COLUMNS($AO$1006:BQ1006),$AO$1006:$BQ$1006,0)), HYPERLINK("#",""), HYPERLINK(CONCATENATE("#Metadata!", ADDRESS(INDEX($AJ$2:$AJ$1001,MATCH(ROWS($AH$2:AH350),$AH$2:$AH$1001,0),0), INDEX($AO$1004:$BQ$1004,1,MATCH(COLUMNS($AO$1006:BQ1006),$AO$1006:$BQ$1006,0)))),"Fix")))</f>
        <v>#REF!</v>
      </c>
      <c r="AH350">
        <f ca="1"/>
        <v>347</v>
      </c>
      <c r="AI350">
        <v>100350</v>
      </c>
      <c r="AJ350">
        <v>350</v>
      </c>
      <c r="AK350" t="b">
        <f t="shared" si="5"/>
        <v>1</v>
      </c>
      <c r="AL350" t="b">
        <f>COUNTBLANK(Metadata!B350:AD350)=COLUMNS(Metadata!B350:AD350)</f>
        <v>1</v>
      </c>
      <c r="AM350" t="str">
        <v/>
      </c>
      <c r="AO350" t="b">
        <f ca="1">AND(IF(Metadata!B350="",FALSE,TRUE),COUNTIF(Metadata!B:B, Metadata!B350) = 1,NOT(ISERROR(SUMPRODUCT(SEARCH(MID(Metadata!B350,ROW(INDIRECT("1:"&amp;LEN(Metadata!B350))), 1),"0123456789abcdefghijklmnopqrstuvwxyzABCDEFGHIJKLMNOPQRSTUVWXYZ.")))))</f>
        <v>0</v>
      </c>
      <c r="AP350" t="b">
        <f>IF(Metadata!C350="",FALSE,TRUE)</f>
        <v>0</v>
      </c>
      <c r="AQ350" t="b">
        <f>IF(Metadata!D350="",FALSE,TRUE)</f>
        <v>0</v>
      </c>
      <c r="AR350" t="b">
        <f ca="1">OR(AND(IF(Metadata!E350="",FALSE,TRUE),OR(EXACT(Metadata!E350,"not collected"),EXACT(Metadata!E350,"not provided"),EXACT(Metadata!E350,"restricted access"))),AND(IF(Metadata!E350="",FALSE,TRUE),AND(AND(IFERROR(INT(LEFT(Metadata!E350,4))&gt;1900,FALSE),IFERROR(INT(LEFT(Metadata!E350,4))&lt;=YEAR(NOW()),FALSE)), OR(MID(Metadata!E350,5,1)="", AND(AND(MID(Metadata!E350,5,1)="-",IFERROR(INT(MID(Metadata!E350,6,1))&gt;=0,FALSE),IFERROR(INT(MID(Metadata!E350,6,1))&lt;=1,FALSE),NOT(MID(Metadata!E350,7,1)=""),IFERROR(INT(MID(Metadata!E350,6,2))&gt;=1,FALSE),IFERROR(INT(MID(Metadata!E350,6,2))&lt;=12,FALSE)), OR(MID(Metadata!E350,8,1)="", AND(AND(MID(Metadata!E350,8,1)="-",IFERROR(INT(MID(Metadata!E350,9,1))&gt;=0,FALSE),IFERROR(INT(MID(Metadata!E350,9,1))&lt;=3,FALSE),NOT(MID(Metadata!E350,10,1)=""),IFERROR(INT(MID(Metadata!E350,9,2))&gt;=1,FALSE),IFERROR(INT(MID(Metadata!E350,9,2))&lt;=31,FALSE)), OR(MID(Metadata!E350,11,1)="", AND(AND(MID(Metadata!E350,11,1)=" ",IFERROR(INT(MID(Metadata!E350,12,1))&gt;=0,FALSE),IFERROR(INT(MID(Metadata!E350,12,1))&lt;=2,FALSE),NOT(MID(Metadata!E350,13,1)=""),IFERROR(INT(MID(Metadata!E350,12,2))&gt;=0,FALSE),IFERROR(INT(MID(Metadata!E350,12,2))&lt;=23,FALSE)), OR(MID(Metadata!E350,14,1)="", AND(AND(MID(Metadata!E350,14,1)=":",IFERROR(INT(MID(Metadata!E350,15,1))&gt;=0,FALSE),IFERROR(INT(MID(Metadata!E350,15,1))&lt;=5,FALSE),NOT(MID(Metadata!E350,16,1)=""),IFERROR(INT(MID(Metadata!E350,15,2))&gt;=0,FALSE),IFERROR(INT(MID(Metadata!E350,15,2))&lt;=59,FALSE)), OR(MID(Metadata!E350,17,1)="", AND(AND(MID(Metadata!E350,17,1)=":",IFERROR(INT(MID(Metadata!E350,18,1))&gt;=0,FALSE),IFERROR(INT(MID(Metadata!E350,18,1))&lt;=5,FALSE),NOT(MID(Metadata!E350,19,1)=""),IFERROR(INT(MID(Metadata!E350,18,2))&gt;=0,FALSE),IFERROR(INT(MID(Metadata!E350,18,2))&lt;=59,FALSE)), LEN(Metadata!E350)&lt;=19)))))))))))))</f>
        <v>0</v>
      </c>
      <c r="AS350" t="b">
        <f>IF(Metadata!F350="",FALSE,TRUE)</f>
        <v>0</v>
      </c>
      <c r="AT350" t="b">
        <f>OR(AND(IF(Metadata!G350="",FALSE,TRUE),OR(EXACT(Metadata!G350,"not collected"),EXACT(Metadata!G350,"not provided"))),AND(IF(Metadata!G350="",FALSE,TRUE),OR(EXACT(Metadata!G350,"TRUE"),EXACT(Metadata!G350,"FALSE"))))</f>
        <v>0</v>
      </c>
      <c r="AU350" t="b">
        <f>OR(AND(IF(Metadata!H350="",FALSE,TRUE),OR(EXACT(Metadata!H350,"not collected"),EXACT(Metadata!H350,"not provided"),EXACT(Metadata!H350,"restricted access"))),AND(IF(Metadata!H350="",FALSE,ISNUMBER(VALUE(Metadata!H350))),Metadata!H350&gt;=-413))</f>
        <v>0</v>
      </c>
      <c r="AV350" t="b">
        <f>AND(IF(Metadata!I350="",FALSE,TRUE),EXACT(Metadata!I350,"meters"))</f>
        <v>0</v>
      </c>
      <c r="AW350" t="b">
        <f>AND(IF(Metadata!J350="",FALSE,TRUE),EXACT(Metadata!J350,"free-living"))</f>
        <v>0</v>
      </c>
      <c r="AX350" t="b">
        <f>AND(IF(Metadata!K350="",FALSE,TRUE),OR(EXACT(Metadata!K350,"saline"),EXACT(Metadata!K350,"non-saline")))</f>
        <v>0</v>
      </c>
      <c r="AY350" t="b">
        <f>AND(IF(Metadata!L350="",FALSE,TRUE),OR(EXACT(Metadata!L350,"sub-surface (non-saline)"),EXACT(Metadata!L350,"surface (non-saline)"),EXACT(Metadata!L350,"water (non-saline)"),EXACT(Metadata!L350,"soil (non-saline)"),EXACT(Metadata!L350,"aerosol (non-saline)"),EXACT(Metadata!L350,"sediment (non-saline)"),EXACT(Metadata!L350,"surface (saline)"),EXACT(Metadata!L350,"water (saline)"),EXACT(Metadata!L350,"hypersaline (saline)"),EXACT(Metadata!L350,"aerosol (saline)"),EXACT(Metadata!L350,"sediment (saline)")))</f>
        <v>0</v>
      </c>
      <c r="AZ350" t="b">
        <f>IF(Metadata!M350="",FALSE,TRUE)</f>
        <v>0</v>
      </c>
      <c r="BA350" t="b">
        <f>IF(Metadata!N350="",FALSE,TRUE)</f>
        <v>0</v>
      </c>
      <c r="BB350" t="b">
        <f>IF(Metadata!O350="",FALSE,TRUE)</f>
        <v>0</v>
      </c>
      <c r="BC350" t="b">
        <f>AND(IF(Metadata!P350="",FALSE,TRUE),OR(EXACT(Metadata!P350,"air"),EXACT(Metadata!P350,"microbial mat/biofilm"),EXACT(Metadata!P350,"misc environment"),EXACT(Metadata!P350,"sediment"),EXACT(Metadata!P350,"soil"),EXACT(Metadata!P350,"wastewater/sludge"),EXACT(Metadata!P350,"water")))</f>
        <v>0</v>
      </c>
      <c r="BD350" t="b">
        <f>IF(Metadata!Q350="",FALSE,TRUE)</f>
        <v>0</v>
      </c>
      <c r="BE350" t="b">
        <f>IF(Metadata!R350="",FALSE,TRUE)</f>
        <v>0</v>
      </c>
      <c r="BF350" t="b">
        <f>OR(AND(IF(Metadata!S350="",FALSE,TRUE),OR(EXACT(Metadata!S350,"not collected"),EXACT(Metadata!S350,"not provided"),EXACT(Metadata!S350,"restricted access"))),AND(IF(Metadata!S350="",FALSE,ISNUMBER(VALUE(Metadata!S350))),Metadata!S350&gt;=-90,Metadata!S350&lt;=90))</f>
        <v>0</v>
      </c>
      <c r="BG350" t="b">
        <f>AND(IF(Metadata!T350="",FALSE,TRUE),EXACT(Metadata!T350,"Decimal degrees"))</f>
        <v>0</v>
      </c>
      <c r="BH350" t="b">
        <f>OR(AND(IF(Metadata!U350="",FALSE,TRUE),OR(EXACT(Metadata!U350,"not applicable"),EXACT(Metadata!U350,"not collected"))),IF(Metadata!U350="",FALSE,TRUE))</f>
        <v>0</v>
      </c>
      <c r="BI350" t="b">
        <f>OR(AND(IF(Metadata!V350="",FALSE,TRUE),OR(EXACT(Metadata!V350,"not collected"),EXACT(Metadata!V350,"not provided"),EXACT(Metadata!V350,"restricted access"))),AND(IF(Metadata!V350="",FALSE,ISNUMBER(VALUE(Metadata!V350))),Metadata!V350&gt;=-180,Metadata!V350&lt;=180))</f>
        <v>0</v>
      </c>
      <c r="BJ350" t="b">
        <f>AND(IF(Metadata!W350="",FALSE,TRUE),EXACT(Metadata!W350,"Decimal degrees"))</f>
        <v>0</v>
      </c>
      <c r="BK350" t="b">
        <f>IF(Metadata!X350="",FALSE,TRUE)</f>
        <v>0</v>
      </c>
      <c r="BL350" t="b">
        <f>OR(AND(IF(Metadata!Y350="",FALSE,TRUE),OR(EXACT(Metadata!Y350,"not collected"),EXACT(Metadata!Y350,"not provided"),EXACT(Metadata!Y350,"restricted access"))),AND(IF(Metadata!Y350="",FALSE,TRUE),OR(EXACT(Metadata!Y350,"TRUE"),EXACT(Metadata!Y350,"FALSE"))))</f>
        <v>0</v>
      </c>
      <c r="BM350" t="b">
        <f>OR(AND(IF(Metadata!Z350="",FALSE,TRUE),EXACT(Metadata!Z350,"not applicable")),AND(IF(Metadata!Z350="",FALSE,TRUE),OR(EXACT(Metadata!Z350,"beer"),EXACT(Metadata!Z350,"cheese"),EXACT(Metadata!Z350,"fresh water"),EXACT(Metadata!Z350,"marine sediment"),EXACT(Metadata!Z350,"sea water"),EXACT(Metadata!Z350,"sediment"),EXACT(Metadata!Z350,"soil"),EXACT(Metadata!Z350,"waste water"))))</f>
        <v>0</v>
      </c>
      <c r="BN350" t="b">
        <f>AND(IF(Metadata!AA350="",FALSE,TRUE),EXACT(Metadata!AA350,"metagenome"))</f>
        <v>0</v>
      </c>
      <c r="BO350" t="b">
        <f>AND(IF(Metadata!AB350="",FALSE,TRUE),EXACT(Metadata!AB350,"256318"))</f>
        <v>0</v>
      </c>
      <c r="BP350" t="b">
        <f>IF(Metadata!AC350="",FALSE,TRUE)</f>
        <v>0</v>
      </c>
      <c r="BQ350" t="b">
        <f>IF(Metadata!AD350="",FALSE,TRUE)</f>
        <v>0</v>
      </c>
    </row>
    <row r="351" spans="1:69" x14ac:dyDescent="0.2">
      <c r="A351" s="4" t="e">
        <f ca="1">IF(B351=" "," ",HYPERLINK(CONCATENATE("#metadata!",ADDRESS(INDEX($AJ$2:$AJ$1001,MATCH(ROWS($AH$2:AH351),$AH$2:$AH$1001,0),0),2)),INDEX($AM$2:$AM$1001,MATCH(ROWS($AH$2:AH351),$AH$2:$AH$1001,0),0)))</f>
        <v>#N/A</v>
      </c>
      <c r="B351" s="5" t="e">
        <f ca="1">IF(OR(INDEX($AI$2:$AI$1001,MATCH(ROWS($AH$2:AH351),$AH$2:$AH$1001,0),1)&gt;=100000,INDEX($AO$1005:$BQ$1005,1,MATCH(COLUMNS($AO$1006:AO1006),$AO$1006:$BQ$1006,0))&gt;=100000), " ",IF(INDEX($AO$2:$BQ$1001,MATCH(ROWS($AH$2:AH351),$AH$2:$AH$1001,0),MATCH(COLUMNS($AO$1006:AO1006),$AO$1006:$BQ$1006,0)), HYPERLINK("#",""), HYPERLINK(CONCATENATE("#Metadata!", ADDRESS(INDEX($AJ$2:$AJ$1001,MATCH(ROWS($AH$2:AH351),$AH$2:$AH$1001,0),0), INDEX($AO$1004:$BQ$1004,1,MATCH(COLUMNS($AO$1006:AO1006),$AO$1006:$BQ$1006,0)))),"Fix")))</f>
        <v>#N/A</v>
      </c>
      <c r="C351" s="5" t="e">
        <f ca="1">IF(OR(INDEX($AI$2:$AI$1001,MATCH(ROWS($AH$2:AH351),$AH$2:$AH$1001,0),1)&gt;=100000,INDEX($AO$1005:$BQ$1005,1,MATCH(COLUMNS($AO$1006:AP1006),$AO$1006:$BQ$1006,0))&gt;=100000), " ",IF(INDEX($AO$2:$BQ$1001,MATCH(ROWS($AH$2:AH351),$AH$2:$AH$1001,0),MATCH(COLUMNS($AO$1006:AP1006),$AO$1006:$BQ$1006,0)), HYPERLINK("#",""), HYPERLINK(CONCATENATE("#Metadata!", ADDRESS(INDEX($AJ$2:$AJ$1001,MATCH(ROWS($AH$2:AH351),$AH$2:$AH$1001,0),0), INDEX($AO$1004:$BQ$1004,1,MATCH(COLUMNS($AO$1006:AP1006),$AO$1006:$BQ$1006,0)))),"Fix")))</f>
        <v>#N/A</v>
      </c>
      <c r="D351" s="5" t="e">
        <f ca="1">IF(OR(INDEX($AI$2:$AI$1001,MATCH(ROWS($AH$2:AH351),$AH$2:$AH$1001,0),1)&gt;=100000,INDEX($AO$1005:$BQ$1005,1,MATCH(COLUMNS($AO$1006:AQ1006),$AO$1006:$BQ$1006,0))&gt;=100000), " ",IF(INDEX($AO$2:$BQ$1001,MATCH(ROWS($AH$2:AH351),$AH$2:$AH$1001,0),MATCH(COLUMNS($AO$1006:AQ1006),$AO$1006:$BQ$1006,0)), HYPERLINK("#",""), HYPERLINK(CONCATENATE("#Metadata!", ADDRESS(INDEX($AJ$2:$AJ$1001,MATCH(ROWS($AH$2:AH351),$AH$2:$AH$1001,0),0), INDEX($AO$1004:$BQ$1004,1,MATCH(COLUMNS($AO$1006:AQ1006),$AO$1006:$BQ$1006,0)))),"Fix")))</f>
        <v>#N/A</v>
      </c>
      <c r="E351" s="5" t="e">
        <f ca="1">IF(OR(INDEX($AI$2:$AI$1001,MATCH(ROWS($AH$2:AH351),$AH$2:$AH$1001,0),1)&gt;=100000,INDEX($AO$1005:$BQ$1005,1,MATCH(COLUMNS($AO$1006:AR1006),$AO$1006:$BQ$1006,0))&gt;=100000), " ",IF(INDEX($AO$2:$BQ$1001,MATCH(ROWS($AH$2:AH351),$AH$2:$AH$1001,0),MATCH(COLUMNS($AO$1006:AR1006),$AO$1006:$BQ$1006,0)), HYPERLINK("#",""), HYPERLINK(CONCATENATE("#Metadata!", ADDRESS(INDEX($AJ$2:$AJ$1001,MATCH(ROWS($AH$2:AH351),$AH$2:$AH$1001,0),0), INDEX($AO$1004:$BQ$1004,1,MATCH(COLUMNS($AO$1006:AR1006),$AO$1006:$BQ$1006,0)))),"Fix")))</f>
        <v>#N/A</v>
      </c>
      <c r="F351" s="5" t="e">
        <f ca="1">IF(OR(INDEX($AI$2:$AI$1001,MATCH(ROWS($AH$2:AH351),$AH$2:$AH$1001,0),1)&gt;=100000,INDEX($AO$1005:$BQ$1005,1,MATCH(COLUMNS($AO$1006:AS1006),$AO$1006:$BQ$1006,0))&gt;=100000), " ",IF(INDEX($AO$2:$BQ$1001,MATCH(ROWS($AH$2:AH351),$AH$2:$AH$1001,0),MATCH(COLUMNS($AO$1006:AS1006),$AO$1006:$BQ$1006,0)), HYPERLINK("#",""), HYPERLINK(CONCATENATE("#Metadata!", ADDRESS(INDEX($AJ$2:$AJ$1001,MATCH(ROWS($AH$2:AH351),$AH$2:$AH$1001,0),0), INDEX($AO$1004:$BQ$1004,1,MATCH(COLUMNS($AO$1006:AS1006),$AO$1006:$BQ$1006,0)))),"Fix")))</f>
        <v>#N/A</v>
      </c>
      <c r="G351" s="5" t="e">
        <f ca="1">IF(OR(INDEX($AI$2:$AI$1001,MATCH(ROWS($AH$2:AH351),$AH$2:$AH$1001,0),1)&gt;=100000,INDEX($AO$1005:$BQ$1005,1,MATCH(COLUMNS($AO$1006:AT1006),$AO$1006:$BQ$1006,0))&gt;=100000), " ",IF(INDEX($AO$2:$BQ$1001,MATCH(ROWS($AH$2:AH351),$AH$2:$AH$1001,0),MATCH(COLUMNS($AO$1006:AT1006),$AO$1006:$BQ$1006,0)), HYPERLINK("#",""), HYPERLINK(CONCATENATE("#Metadata!", ADDRESS(INDEX($AJ$2:$AJ$1001,MATCH(ROWS($AH$2:AH351),$AH$2:$AH$1001,0),0), INDEX($AO$1004:$BQ$1004,1,MATCH(COLUMNS($AO$1006:AT1006),$AO$1006:$BQ$1006,0)))),"Fix")))</f>
        <v>#N/A</v>
      </c>
      <c r="H351" s="5" t="e">
        <f ca="1">IF(OR(INDEX($AI$2:$AI$1001,MATCH(ROWS($AH$2:AH351),$AH$2:$AH$1001,0),1)&gt;=100000,INDEX($AO$1005:$BQ$1005,1,MATCH(COLUMNS($AO$1006:AU1006),$AO$1006:$BQ$1006,0))&gt;=100000), " ",IF(INDEX($AO$2:$BQ$1001,MATCH(ROWS($AH$2:AH351),$AH$2:$AH$1001,0),MATCH(COLUMNS($AO$1006:AU1006),$AO$1006:$BQ$1006,0)), HYPERLINK("#",""), HYPERLINK(CONCATENATE("#Metadata!", ADDRESS(INDEX($AJ$2:$AJ$1001,MATCH(ROWS($AH$2:AH351),$AH$2:$AH$1001,0),0), INDEX($AO$1004:$BQ$1004,1,MATCH(COLUMNS($AO$1006:AU1006),$AO$1006:$BQ$1006,0)))),"Fix")))</f>
        <v>#N/A</v>
      </c>
      <c r="I351" s="5" t="e">
        <f ca="1">IF(OR(INDEX($AI$2:$AI$1001,MATCH(ROWS($AH$2:AH351),$AH$2:$AH$1001,0),1)&gt;=100000,INDEX($AO$1005:$BQ$1005,1,MATCH(COLUMNS($AO$1006:AV1006),$AO$1006:$BQ$1006,0))&gt;=100000), " ",IF(INDEX($AO$2:$BQ$1001,MATCH(ROWS($AH$2:AH351),$AH$2:$AH$1001,0),MATCH(COLUMNS($AO$1006:AV1006),$AO$1006:$BQ$1006,0)), HYPERLINK("#",""), HYPERLINK(CONCATENATE("#Metadata!", ADDRESS(INDEX($AJ$2:$AJ$1001,MATCH(ROWS($AH$2:AH351),$AH$2:$AH$1001,0),0), INDEX($AO$1004:$BQ$1004,1,MATCH(COLUMNS($AO$1006:AV1006),$AO$1006:$BQ$1006,0)))),"Fix")))</f>
        <v>#N/A</v>
      </c>
      <c r="J351" s="5" t="e">
        <f ca="1">IF(OR(INDEX($AI$2:$AI$1001,MATCH(ROWS($AH$2:AH351),$AH$2:$AH$1001,0),1)&gt;=100000,INDEX($AO$1005:$BQ$1005,1,MATCH(COLUMNS($AO$1006:AW1006),$AO$1006:$BQ$1006,0))&gt;=100000), " ",IF(INDEX($AO$2:$BQ$1001,MATCH(ROWS($AH$2:AH351),$AH$2:$AH$1001,0),MATCH(COLUMNS($AO$1006:AW1006),$AO$1006:$BQ$1006,0)), HYPERLINK("#",""), HYPERLINK(CONCATENATE("#Metadata!", ADDRESS(INDEX($AJ$2:$AJ$1001,MATCH(ROWS($AH$2:AH351),$AH$2:$AH$1001,0),0), INDEX($AO$1004:$BQ$1004,1,MATCH(COLUMNS($AO$1006:AW1006),$AO$1006:$BQ$1006,0)))),"Fix")))</f>
        <v>#N/A</v>
      </c>
      <c r="K351" s="5" t="e">
        <f ca="1">IF(OR(INDEX($AI$2:$AI$1001,MATCH(ROWS($AH$2:AH351),$AH$2:$AH$1001,0),1)&gt;=100000,INDEX($AO$1005:$BQ$1005,1,MATCH(COLUMNS($AO$1006:AX1006),$AO$1006:$BQ$1006,0))&gt;=100000), " ",IF(INDEX($AO$2:$BQ$1001,MATCH(ROWS($AH$2:AH351),$AH$2:$AH$1001,0),MATCH(COLUMNS($AO$1006:AX1006),$AO$1006:$BQ$1006,0)), HYPERLINK("#",""), HYPERLINK(CONCATENATE("#Metadata!", ADDRESS(INDEX($AJ$2:$AJ$1001,MATCH(ROWS($AH$2:AH351),$AH$2:$AH$1001,0),0), INDEX($AO$1004:$BQ$1004,1,MATCH(COLUMNS($AO$1006:AX1006),$AO$1006:$BQ$1006,0)))),"Fix")))</f>
        <v>#N/A</v>
      </c>
      <c r="L351" s="5" t="e">
        <f ca="1">IF(OR(INDEX($AI$2:$AI$1001,MATCH(ROWS($AH$2:AH351),$AH$2:$AH$1001,0),1)&gt;=100000,INDEX($AO$1005:$BQ$1005,1,MATCH(COLUMNS($AO$1006:AY1006),$AO$1006:$BQ$1006,0))&gt;=100000), " ",IF(INDEX($AO$2:$BQ$1001,MATCH(ROWS($AH$2:AH351),$AH$2:$AH$1001,0),MATCH(COLUMNS($AO$1006:AY1006),$AO$1006:$BQ$1006,0)), HYPERLINK("#",""), HYPERLINK(CONCATENATE("#Metadata!", ADDRESS(INDEX($AJ$2:$AJ$1001,MATCH(ROWS($AH$2:AH351),$AH$2:$AH$1001,0),0), INDEX($AO$1004:$BQ$1004,1,MATCH(COLUMNS($AO$1006:AY1006),$AO$1006:$BQ$1006,0)))),"Fix")))</f>
        <v>#N/A</v>
      </c>
      <c r="M351" s="5" t="e">
        <f ca="1">IF(OR(INDEX($AI$2:$AI$1001,MATCH(ROWS($AH$2:AH351),$AH$2:$AH$1001,0),1)&gt;=100000,INDEX($AO$1005:$BQ$1005,1,MATCH(COLUMNS($AO$1006:AZ1006),$AO$1006:$BQ$1006,0))&gt;=100000), " ",IF(INDEX($AO$2:$BQ$1001,MATCH(ROWS($AH$2:AH351),$AH$2:$AH$1001,0),MATCH(COLUMNS($AO$1006:AZ1006),$AO$1006:$BQ$1006,0)), HYPERLINK("#",""), HYPERLINK(CONCATENATE("#Metadata!", ADDRESS(INDEX($AJ$2:$AJ$1001,MATCH(ROWS($AH$2:AH351),$AH$2:$AH$1001,0),0), INDEX($AO$1004:$BQ$1004,1,MATCH(COLUMNS($AO$1006:AZ1006),$AO$1006:$BQ$1006,0)))),"Fix")))</f>
        <v>#N/A</v>
      </c>
      <c r="N351" s="5" t="e">
        <f ca="1">IF(OR(INDEX($AI$2:$AI$1001,MATCH(ROWS($AH$2:AH351),$AH$2:$AH$1001,0),1)&gt;=100000,INDEX($AO$1005:$BQ$1005,1,MATCH(COLUMNS($AO$1006:BA1006),$AO$1006:$BQ$1006,0))&gt;=100000), " ",IF(INDEX($AO$2:$BQ$1001,MATCH(ROWS($AH$2:AH351),$AH$2:$AH$1001,0),MATCH(COLUMNS($AO$1006:BA1006),$AO$1006:$BQ$1006,0)), HYPERLINK("#",""), HYPERLINK(CONCATENATE("#Metadata!", ADDRESS(INDEX($AJ$2:$AJ$1001,MATCH(ROWS($AH$2:AH351),$AH$2:$AH$1001,0),0), INDEX($AO$1004:$BQ$1004,1,MATCH(COLUMNS($AO$1006:BA1006),$AO$1006:$BQ$1006,0)))),"Fix")))</f>
        <v>#N/A</v>
      </c>
      <c r="O351" s="5" t="e">
        <f ca="1">IF(OR(INDEX($AI$2:$AI$1001,MATCH(ROWS($AH$2:AH351),$AH$2:$AH$1001,0),1)&gt;=100000,INDEX($AO$1005:$BQ$1005,1,MATCH(COLUMNS($AO$1006:BB1006),$AO$1006:$BQ$1006,0))&gt;=100000), " ",IF(INDEX($AO$2:$BQ$1001,MATCH(ROWS($AH$2:AH351),$AH$2:$AH$1001,0),MATCH(COLUMNS($AO$1006:BB1006),$AO$1006:$BQ$1006,0)), HYPERLINK("#",""), HYPERLINK(CONCATENATE("#Metadata!", ADDRESS(INDEX($AJ$2:$AJ$1001,MATCH(ROWS($AH$2:AH351),$AH$2:$AH$1001,0),0), INDEX($AO$1004:$BQ$1004,1,MATCH(COLUMNS($AO$1006:BB1006),$AO$1006:$BQ$1006,0)))),"Fix")))</f>
        <v>#N/A</v>
      </c>
      <c r="P351" s="5" t="e">
        <f ca="1">IF(OR(INDEX($AI$2:$AI$1001,MATCH(ROWS($AH$2:AH351),$AH$2:$AH$1001,0),1)&gt;=100000,INDEX($AO$1005:$BQ$1005,1,MATCH(COLUMNS($AO$1006:BC1006),$AO$1006:$BQ$1006,0))&gt;=100000), " ",IF(INDEX($AO$2:$BQ$1001,MATCH(ROWS($AH$2:AH351),$AH$2:$AH$1001,0),MATCH(COLUMNS($AO$1006:BC1006),$AO$1006:$BQ$1006,0)), HYPERLINK("#",""), HYPERLINK(CONCATENATE("#Metadata!", ADDRESS(INDEX($AJ$2:$AJ$1001,MATCH(ROWS($AH$2:AH351),$AH$2:$AH$1001,0),0), INDEX($AO$1004:$BQ$1004,1,MATCH(COLUMNS($AO$1006:BC1006),$AO$1006:$BQ$1006,0)))),"Fix")))</f>
        <v>#N/A</v>
      </c>
      <c r="Q351" s="5" t="e">
        <f ca="1">IF(OR(INDEX($AI$2:$AI$1001,MATCH(ROWS($AH$2:AH351),$AH$2:$AH$1001,0),1)&gt;=100000,INDEX($AO$1005:$BQ$1005,1,MATCH(COLUMNS($AO$1006:BD1006),$AO$1006:$BQ$1006,0))&gt;=100000), " ",IF(INDEX($AO$2:$BQ$1001,MATCH(ROWS($AH$2:AH351),$AH$2:$AH$1001,0),MATCH(COLUMNS($AO$1006:BD1006),$AO$1006:$BQ$1006,0)), HYPERLINK("#",""), HYPERLINK(CONCATENATE("#Metadata!", ADDRESS(INDEX($AJ$2:$AJ$1001,MATCH(ROWS($AH$2:AH351),$AH$2:$AH$1001,0),0), INDEX($AO$1004:$BQ$1004,1,MATCH(COLUMNS($AO$1006:BD1006),$AO$1006:$BQ$1006,0)))),"Fix")))</f>
        <v>#N/A</v>
      </c>
      <c r="R351" s="5" t="e">
        <f ca="1">IF(OR(INDEX($AI$2:$AI$1001,MATCH(ROWS($AH$2:AH351),$AH$2:$AH$1001,0),1)&gt;=100000,INDEX($AO$1005:$BQ$1005,1,MATCH(COLUMNS($AO$1006:BE1006),$AO$1006:$BQ$1006,0))&gt;=100000), " ",IF(INDEX($AO$2:$BQ$1001,MATCH(ROWS($AH$2:AH351),$AH$2:$AH$1001,0),MATCH(COLUMNS($AO$1006:BE1006),$AO$1006:$BQ$1006,0)), HYPERLINK("#",""), HYPERLINK(CONCATENATE("#Metadata!", ADDRESS(INDEX($AJ$2:$AJ$1001,MATCH(ROWS($AH$2:AH351),$AH$2:$AH$1001,0),0), INDEX($AO$1004:$BQ$1004,1,MATCH(COLUMNS($AO$1006:BE1006),$AO$1006:$BQ$1006,0)))),"Fix")))</f>
        <v>#N/A</v>
      </c>
      <c r="S351" s="5" t="e">
        <f ca="1">IF(OR(INDEX($AI$2:$AI$1001,MATCH(ROWS($AH$2:AH351),$AH$2:$AH$1001,0),1)&gt;=100000,INDEX($AO$1005:$BQ$1005,1,MATCH(COLUMNS($AO$1006:BF1006),$AO$1006:$BQ$1006,0))&gt;=100000), " ",IF(INDEX($AO$2:$BQ$1001,MATCH(ROWS($AH$2:AH351),$AH$2:$AH$1001,0),MATCH(COLUMNS($AO$1006:BF1006),$AO$1006:$BQ$1006,0)), HYPERLINK("#",""), HYPERLINK(CONCATENATE("#Metadata!", ADDRESS(INDEX($AJ$2:$AJ$1001,MATCH(ROWS($AH$2:AH351),$AH$2:$AH$1001,0),0), INDEX($AO$1004:$BQ$1004,1,MATCH(COLUMNS($AO$1006:BF1006),$AO$1006:$BQ$1006,0)))),"Fix")))</f>
        <v>#N/A</v>
      </c>
      <c r="T351" s="5" t="e">
        <f ca="1">IF(OR(INDEX($AI$2:$AI$1001,MATCH(ROWS($AH$2:AH351),$AH$2:$AH$1001,0),1)&gt;=100000,INDEX($AO$1005:$BQ$1005,1,MATCH(COLUMNS($AO$1006:BG1006),$AO$1006:$BQ$1006,0))&gt;=100000), " ",IF(INDEX($AO$2:$BQ$1001,MATCH(ROWS($AH$2:AH351),$AH$2:$AH$1001,0),MATCH(COLUMNS($AO$1006:BG1006),$AO$1006:$BQ$1006,0)), HYPERLINK("#",""), HYPERLINK(CONCATENATE("#Metadata!", ADDRESS(INDEX($AJ$2:$AJ$1001,MATCH(ROWS($AH$2:AH351),$AH$2:$AH$1001,0),0), INDEX($AO$1004:$BQ$1004,1,MATCH(COLUMNS($AO$1006:BG1006),$AO$1006:$BQ$1006,0)))),"Fix")))</f>
        <v>#N/A</v>
      </c>
      <c r="U351" s="5" t="e">
        <f ca="1">IF(OR(INDEX($AI$2:$AI$1001,MATCH(ROWS($AH$2:AH351),$AH$2:$AH$1001,0),1)&gt;=100000,INDEX($AO$1005:$BQ$1005,1,MATCH(COLUMNS($AO$1006:BH1006),$AO$1006:$BQ$1006,0))&gt;=100000), " ",IF(INDEX($AO$2:$BQ$1001,MATCH(ROWS($AH$2:AH351),$AH$2:$AH$1001,0),MATCH(COLUMNS($AO$1006:BH1006),$AO$1006:$BQ$1006,0)), HYPERLINK("#",""), HYPERLINK(CONCATENATE("#Metadata!", ADDRESS(INDEX($AJ$2:$AJ$1001,MATCH(ROWS($AH$2:AH351),$AH$2:$AH$1001,0),0), INDEX($AO$1004:$BQ$1004,1,MATCH(COLUMNS($AO$1006:BH1006),$AO$1006:$BQ$1006,0)))),"Fix")))</f>
        <v>#N/A</v>
      </c>
      <c r="V351" s="5" t="e">
        <f ca="1">IF(OR(INDEX($AI$2:$AI$1001,MATCH(ROWS($AH$2:AH351),$AH$2:$AH$1001,0),1)&gt;=100000,INDEX($AO$1005:$BQ$1005,1,MATCH(COLUMNS($AO$1006:BI1006),$AO$1006:$BQ$1006,0))&gt;=100000), " ",IF(INDEX($AO$2:$BQ$1001,MATCH(ROWS($AH$2:AH351),$AH$2:$AH$1001,0),MATCH(COLUMNS($AO$1006:BI1006),$AO$1006:$BQ$1006,0)), HYPERLINK("#",""), HYPERLINK(CONCATENATE("#Metadata!", ADDRESS(INDEX($AJ$2:$AJ$1001,MATCH(ROWS($AH$2:AH351),$AH$2:$AH$1001,0),0), INDEX($AO$1004:$BQ$1004,1,MATCH(COLUMNS($AO$1006:BI1006),$AO$1006:$BQ$1006,0)))),"Fix")))</f>
        <v>#N/A</v>
      </c>
      <c r="W351" s="5" t="e">
        <f ca="1">IF(OR(INDEX($AI$2:$AI$1001,MATCH(ROWS($AH$2:AH351),$AH$2:$AH$1001,0),1)&gt;=100000,INDEX($AO$1005:$BQ$1005,1,MATCH(COLUMNS($AO$1006:BJ1006),$AO$1006:$BQ$1006,0))&gt;=100000), " ",IF(INDEX($AO$2:$BQ$1001,MATCH(ROWS($AH$2:AH351),$AH$2:$AH$1001,0),MATCH(COLUMNS($AO$1006:BJ1006),$AO$1006:$BQ$1006,0)), HYPERLINK("#",""), HYPERLINK(CONCATENATE("#Metadata!", ADDRESS(INDEX($AJ$2:$AJ$1001,MATCH(ROWS($AH$2:AH351),$AH$2:$AH$1001,0),0), INDEX($AO$1004:$BQ$1004,1,MATCH(COLUMNS($AO$1006:BJ1006),$AO$1006:$BQ$1006,0)))),"Fix")))</f>
        <v>#N/A</v>
      </c>
      <c r="X351" s="5" t="e">
        <f ca="1">IF(OR(INDEX($AI$2:$AI$1001,MATCH(ROWS($AH$2:AH351),$AH$2:$AH$1001,0),1)&gt;=100000,INDEX($AO$1005:$BQ$1005,1,MATCH(COLUMNS($AO$1006:BK1006),$AO$1006:$BQ$1006,0))&gt;=100000), " ",IF(INDEX($AO$2:$BQ$1001,MATCH(ROWS($AH$2:AH351),$AH$2:$AH$1001,0),MATCH(COLUMNS($AO$1006:BK1006),$AO$1006:$BQ$1006,0)), HYPERLINK("#",""), HYPERLINK(CONCATENATE("#Metadata!", ADDRESS(INDEX($AJ$2:$AJ$1001,MATCH(ROWS($AH$2:AH351),$AH$2:$AH$1001,0),0), INDEX($AO$1004:$BQ$1004,1,MATCH(COLUMNS($AO$1006:BK1006),$AO$1006:$BQ$1006,0)))),"Fix")))</f>
        <v>#N/A</v>
      </c>
      <c r="Y351" s="5" t="e">
        <f ca="1">IF(OR(INDEX($AI$2:$AI$1001,MATCH(ROWS($AH$2:AH351),$AH$2:$AH$1001,0),1)&gt;=100000,INDEX($AO$1005:$BQ$1005,1,MATCH(COLUMNS($AO$1006:BL1006),$AO$1006:$BQ$1006,0))&gt;=100000), " ",IF(INDEX($AO$2:$BQ$1001,MATCH(ROWS($AH$2:AH351),$AH$2:$AH$1001,0),MATCH(COLUMNS($AO$1006:BL1006),$AO$1006:$BQ$1006,0)), HYPERLINK("#",""), HYPERLINK(CONCATENATE("#Metadata!", ADDRESS(INDEX($AJ$2:$AJ$1001,MATCH(ROWS($AH$2:AH351),$AH$2:$AH$1001,0),0), INDEX($AO$1004:$BQ$1004,1,MATCH(COLUMNS($AO$1006:BL1006),$AO$1006:$BQ$1006,0)))),"Fix")))</f>
        <v>#N/A</v>
      </c>
      <c r="Z351" s="5" t="e">
        <f ca="1">IF(OR(INDEX($AI$2:$AI$1001,MATCH(ROWS($AH$2:AH351),$AH$2:$AH$1001,0),1)&gt;=100000,INDEX($AO$1005:$BQ$1005,1,MATCH(COLUMNS($AO$1006:BM1006),$AO$1006:$BQ$1006,0))&gt;=100000), " ",IF(INDEX($AO$2:$BQ$1001,MATCH(ROWS($AH$2:AH351),$AH$2:$AH$1001,0),MATCH(COLUMNS($AO$1006:BM1006),$AO$1006:$BQ$1006,0)), HYPERLINK("#",""), HYPERLINK(CONCATENATE("#Metadata!", ADDRESS(INDEX($AJ$2:$AJ$1001,MATCH(ROWS($AH$2:AH351),$AH$2:$AH$1001,0),0), INDEX($AO$1004:$BQ$1004,1,MATCH(COLUMNS($AO$1006:BM1006),$AO$1006:$BQ$1006,0)))),"Fix")))</f>
        <v>#N/A</v>
      </c>
      <c r="AA351" s="5" t="e">
        <f ca="1">IF(OR(INDEX($AI$2:$AI$1001,MATCH(ROWS($AH$2:AH351),$AH$2:$AH$1001,0),1)&gt;=100000,INDEX($AO$1005:$BQ$1005,1,MATCH(COLUMNS($AO$1006:BN1006),$AO$1006:$BQ$1006,0))&gt;=100000), " ",IF(INDEX($AO$2:$BQ$1001,MATCH(ROWS($AH$2:AH351),$AH$2:$AH$1001,0),MATCH(COLUMNS($AO$1006:BN1006),$AO$1006:$BQ$1006,0)), HYPERLINK("#",""), HYPERLINK(CONCATENATE("#Metadata!", ADDRESS(INDEX($AJ$2:$AJ$1001,MATCH(ROWS($AH$2:AH351),$AH$2:$AH$1001,0),0), INDEX($AO$1004:$BQ$1004,1,MATCH(COLUMNS($AO$1006:BN1006),$AO$1006:$BQ$1006,0)))),"Fix")))</f>
        <v>#N/A</v>
      </c>
      <c r="AB351" s="5" t="e">
        <f ca="1">IF(OR(INDEX($AI$2:$AI$1001,MATCH(ROWS($AH$2:AH351),$AH$2:$AH$1001,0),1)&gt;=100000,INDEX($AO$1005:$BQ$1005,1,MATCH(COLUMNS($AO$1006:BO1006),$AO$1006:$BQ$1006,0))&gt;=100000), " ",IF(INDEX($AO$2:$BQ$1001,MATCH(ROWS($AH$2:AH351),$AH$2:$AH$1001,0),MATCH(COLUMNS($AO$1006:BO1006),$AO$1006:$BQ$1006,0)), HYPERLINK("#",""), HYPERLINK(CONCATENATE("#Metadata!", ADDRESS(INDEX($AJ$2:$AJ$1001,MATCH(ROWS($AH$2:AH351),$AH$2:$AH$1001,0),0), INDEX($AO$1004:$BQ$1004,1,MATCH(COLUMNS($AO$1006:BO1006),$AO$1006:$BQ$1006,0)))),"Fix")))</f>
        <v>#N/A</v>
      </c>
      <c r="AC351" s="5" t="e">
        <f ca="1">IF(OR(INDEX($AI$2:$AI$1001,MATCH(ROWS($AH$2:AH351),$AH$2:$AH$1001,0),1)&gt;=100000,INDEX($AO$1005:$BQ$1005,1,MATCH(COLUMNS($AO$1006:BP1006),$AO$1006:$BQ$1006,0))&gt;=100000), " ",IF(INDEX($AO$2:$BQ$1001,MATCH(ROWS($AH$2:AH351),$AH$2:$AH$1001,0),MATCH(COLUMNS($AO$1006:BP1006),$AO$1006:$BQ$1006,0)), HYPERLINK("#",""), HYPERLINK(CONCATENATE("#Metadata!", ADDRESS(INDEX($AJ$2:$AJ$1001,MATCH(ROWS($AH$2:AH351),$AH$2:$AH$1001,0),0), INDEX($AO$1004:$BQ$1004,1,MATCH(COLUMNS($AO$1006:BP1006),$AO$1006:$BQ$1006,0)))),"Fix")))</f>
        <v>#N/A</v>
      </c>
      <c r="AD351" s="5" t="e">
        <f ca="1">IF(OR(INDEX($AI$2:$AI$1001,MATCH(ROWS($AH$2:AH351),$AH$2:$AH$1001,0),1)&gt;=100000,INDEX($AO$1005:$BQ$1005,1,MATCH(COLUMNS($AO$1006:BQ1006),$AO$1006:$BQ$1006,0))&gt;=100000), " ",IF(INDEX($AO$2:$BQ$1001,MATCH(ROWS($AH$2:AH351),$AH$2:$AH$1001,0),MATCH(COLUMNS($AO$1006:BQ1006),$AO$1006:$BQ$1006,0)), HYPERLINK("#",""), HYPERLINK(CONCATENATE("#Metadata!", ADDRESS(INDEX($AJ$2:$AJ$1001,MATCH(ROWS($AH$2:AH351),$AH$2:$AH$1001,0),0), INDEX($AO$1004:$BQ$1004,1,MATCH(COLUMNS($AO$1006:BQ1006),$AO$1006:$BQ$1006,0)))),"Fix")))</f>
        <v>#REF!</v>
      </c>
      <c r="AH351">
        <f ca="1"/>
        <v>348</v>
      </c>
      <c r="AI351">
        <v>100351</v>
      </c>
      <c r="AJ351">
        <v>351</v>
      </c>
      <c r="AK351" t="b">
        <f t="shared" si="5"/>
        <v>1</v>
      </c>
      <c r="AL351" t="b">
        <f>COUNTBLANK(Metadata!B351:AD351)=COLUMNS(Metadata!B351:AD351)</f>
        <v>1</v>
      </c>
      <c r="AM351" t="str">
        <v/>
      </c>
      <c r="AO351" t="b">
        <f ca="1">AND(IF(Metadata!B351="",FALSE,TRUE),COUNTIF(Metadata!B:B, Metadata!B351) = 1,NOT(ISERROR(SUMPRODUCT(SEARCH(MID(Metadata!B351,ROW(INDIRECT("1:"&amp;LEN(Metadata!B351))), 1),"0123456789abcdefghijklmnopqrstuvwxyzABCDEFGHIJKLMNOPQRSTUVWXYZ.")))))</f>
        <v>0</v>
      </c>
      <c r="AP351" t="b">
        <f>IF(Metadata!C351="",FALSE,TRUE)</f>
        <v>0</v>
      </c>
      <c r="AQ351" t="b">
        <f>IF(Metadata!D351="",FALSE,TRUE)</f>
        <v>0</v>
      </c>
      <c r="AR351" t="b">
        <f ca="1">OR(AND(IF(Metadata!E351="",FALSE,TRUE),OR(EXACT(Metadata!E351,"not collected"),EXACT(Metadata!E351,"not provided"),EXACT(Metadata!E351,"restricted access"))),AND(IF(Metadata!E351="",FALSE,TRUE),AND(AND(IFERROR(INT(LEFT(Metadata!E351,4))&gt;1900,FALSE),IFERROR(INT(LEFT(Metadata!E351,4))&lt;=YEAR(NOW()),FALSE)), OR(MID(Metadata!E351,5,1)="", AND(AND(MID(Metadata!E351,5,1)="-",IFERROR(INT(MID(Metadata!E351,6,1))&gt;=0,FALSE),IFERROR(INT(MID(Metadata!E351,6,1))&lt;=1,FALSE),NOT(MID(Metadata!E351,7,1)=""),IFERROR(INT(MID(Metadata!E351,6,2))&gt;=1,FALSE),IFERROR(INT(MID(Metadata!E351,6,2))&lt;=12,FALSE)), OR(MID(Metadata!E351,8,1)="", AND(AND(MID(Metadata!E351,8,1)="-",IFERROR(INT(MID(Metadata!E351,9,1))&gt;=0,FALSE),IFERROR(INT(MID(Metadata!E351,9,1))&lt;=3,FALSE),NOT(MID(Metadata!E351,10,1)=""),IFERROR(INT(MID(Metadata!E351,9,2))&gt;=1,FALSE),IFERROR(INT(MID(Metadata!E351,9,2))&lt;=31,FALSE)), OR(MID(Metadata!E351,11,1)="", AND(AND(MID(Metadata!E351,11,1)=" ",IFERROR(INT(MID(Metadata!E351,12,1))&gt;=0,FALSE),IFERROR(INT(MID(Metadata!E351,12,1))&lt;=2,FALSE),NOT(MID(Metadata!E351,13,1)=""),IFERROR(INT(MID(Metadata!E351,12,2))&gt;=0,FALSE),IFERROR(INT(MID(Metadata!E351,12,2))&lt;=23,FALSE)), OR(MID(Metadata!E351,14,1)="", AND(AND(MID(Metadata!E351,14,1)=":",IFERROR(INT(MID(Metadata!E351,15,1))&gt;=0,FALSE),IFERROR(INT(MID(Metadata!E351,15,1))&lt;=5,FALSE),NOT(MID(Metadata!E351,16,1)=""),IFERROR(INT(MID(Metadata!E351,15,2))&gt;=0,FALSE),IFERROR(INT(MID(Metadata!E351,15,2))&lt;=59,FALSE)), OR(MID(Metadata!E351,17,1)="", AND(AND(MID(Metadata!E351,17,1)=":",IFERROR(INT(MID(Metadata!E351,18,1))&gt;=0,FALSE),IFERROR(INT(MID(Metadata!E351,18,1))&lt;=5,FALSE),NOT(MID(Metadata!E351,19,1)=""),IFERROR(INT(MID(Metadata!E351,18,2))&gt;=0,FALSE),IFERROR(INT(MID(Metadata!E351,18,2))&lt;=59,FALSE)), LEN(Metadata!E351)&lt;=19)))))))))))))</f>
        <v>0</v>
      </c>
      <c r="AS351" t="b">
        <f>IF(Metadata!F351="",FALSE,TRUE)</f>
        <v>0</v>
      </c>
      <c r="AT351" t="b">
        <f>OR(AND(IF(Metadata!G351="",FALSE,TRUE),OR(EXACT(Metadata!G351,"not collected"),EXACT(Metadata!G351,"not provided"))),AND(IF(Metadata!G351="",FALSE,TRUE),OR(EXACT(Metadata!G351,"TRUE"),EXACT(Metadata!G351,"FALSE"))))</f>
        <v>0</v>
      </c>
      <c r="AU351" t="b">
        <f>OR(AND(IF(Metadata!H351="",FALSE,TRUE),OR(EXACT(Metadata!H351,"not collected"),EXACT(Metadata!H351,"not provided"),EXACT(Metadata!H351,"restricted access"))),AND(IF(Metadata!H351="",FALSE,ISNUMBER(VALUE(Metadata!H351))),Metadata!H351&gt;=-413))</f>
        <v>0</v>
      </c>
      <c r="AV351" t="b">
        <f>AND(IF(Metadata!I351="",FALSE,TRUE),EXACT(Metadata!I351,"meters"))</f>
        <v>0</v>
      </c>
      <c r="AW351" t="b">
        <f>AND(IF(Metadata!J351="",FALSE,TRUE),EXACT(Metadata!J351,"free-living"))</f>
        <v>0</v>
      </c>
      <c r="AX351" t="b">
        <f>AND(IF(Metadata!K351="",FALSE,TRUE),OR(EXACT(Metadata!K351,"saline"),EXACT(Metadata!K351,"non-saline")))</f>
        <v>0</v>
      </c>
      <c r="AY351" t="b">
        <f>AND(IF(Metadata!L351="",FALSE,TRUE),OR(EXACT(Metadata!L351,"sub-surface (non-saline)"),EXACT(Metadata!L351,"surface (non-saline)"),EXACT(Metadata!L351,"water (non-saline)"),EXACT(Metadata!L351,"soil (non-saline)"),EXACT(Metadata!L351,"aerosol (non-saline)"),EXACT(Metadata!L351,"sediment (non-saline)"),EXACT(Metadata!L351,"surface (saline)"),EXACT(Metadata!L351,"water (saline)"),EXACT(Metadata!L351,"hypersaline (saline)"),EXACT(Metadata!L351,"aerosol (saline)"),EXACT(Metadata!L351,"sediment (saline)")))</f>
        <v>0</v>
      </c>
      <c r="AZ351" t="b">
        <f>IF(Metadata!M351="",FALSE,TRUE)</f>
        <v>0</v>
      </c>
      <c r="BA351" t="b">
        <f>IF(Metadata!N351="",FALSE,TRUE)</f>
        <v>0</v>
      </c>
      <c r="BB351" t="b">
        <f>IF(Metadata!O351="",FALSE,TRUE)</f>
        <v>0</v>
      </c>
      <c r="BC351" t="b">
        <f>AND(IF(Metadata!P351="",FALSE,TRUE),OR(EXACT(Metadata!P351,"air"),EXACT(Metadata!P351,"microbial mat/biofilm"),EXACT(Metadata!P351,"misc environment"),EXACT(Metadata!P351,"sediment"),EXACT(Metadata!P351,"soil"),EXACT(Metadata!P351,"wastewater/sludge"),EXACT(Metadata!P351,"water")))</f>
        <v>0</v>
      </c>
      <c r="BD351" t="b">
        <f>IF(Metadata!Q351="",FALSE,TRUE)</f>
        <v>0</v>
      </c>
      <c r="BE351" t="b">
        <f>IF(Metadata!R351="",FALSE,TRUE)</f>
        <v>0</v>
      </c>
      <c r="BF351" t="b">
        <f>OR(AND(IF(Metadata!S351="",FALSE,TRUE),OR(EXACT(Metadata!S351,"not collected"),EXACT(Metadata!S351,"not provided"),EXACT(Metadata!S351,"restricted access"))),AND(IF(Metadata!S351="",FALSE,ISNUMBER(VALUE(Metadata!S351))),Metadata!S351&gt;=-90,Metadata!S351&lt;=90))</f>
        <v>0</v>
      </c>
      <c r="BG351" t="b">
        <f>AND(IF(Metadata!T351="",FALSE,TRUE),EXACT(Metadata!T351,"Decimal degrees"))</f>
        <v>0</v>
      </c>
      <c r="BH351" t="b">
        <f>OR(AND(IF(Metadata!U351="",FALSE,TRUE),OR(EXACT(Metadata!U351,"not applicable"),EXACT(Metadata!U351,"not collected"))),IF(Metadata!U351="",FALSE,TRUE))</f>
        <v>0</v>
      </c>
      <c r="BI351" t="b">
        <f>OR(AND(IF(Metadata!V351="",FALSE,TRUE),OR(EXACT(Metadata!V351,"not collected"),EXACT(Metadata!V351,"not provided"),EXACT(Metadata!V351,"restricted access"))),AND(IF(Metadata!V351="",FALSE,ISNUMBER(VALUE(Metadata!V351))),Metadata!V351&gt;=-180,Metadata!V351&lt;=180))</f>
        <v>0</v>
      </c>
      <c r="BJ351" t="b">
        <f>AND(IF(Metadata!W351="",FALSE,TRUE),EXACT(Metadata!W351,"Decimal degrees"))</f>
        <v>0</v>
      </c>
      <c r="BK351" t="b">
        <f>IF(Metadata!X351="",FALSE,TRUE)</f>
        <v>0</v>
      </c>
      <c r="BL351" t="b">
        <f>OR(AND(IF(Metadata!Y351="",FALSE,TRUE),OR(EXACT(Metadata!Y351,"not collected"),EXACT(Metadata!Y351,"not provided"),EXACT(Metadata!Y351,"restricted access"))),AND(IF(Metadata!Y351="",FALSE,TRUE),OR(EXACT(Metadata!Y351,"TRUE"),EXACT(Metadata!Y351,"FALSE"))))</f>
        <v>0</v>
      </c>
      <c r="BM351" t="b">
        <f>OR(AND(IF(Metadata!Z351="",FALSE,TRUE),EXACT(Metadata!Z351,"not applicable")),AND(IF(Metadata!Z351="",FALSE,TRUE),OR(EXACT(Metadata!Z351,"beer"),EXACT(Metadata!Z351,"cheese"),EXACT(Metadata!Z351,"fresh water"),EXACT(Metadata!Z351,"marine sediment"),EXACT(Metadata!Z351,"sea water"),EXACT(Metadata!Z351,"sediment"),EXACT(Metadata!Z351,"soil"),EXACT(Metadata!Z351,"waste water"))))</f>
        <v>0</v>
      </c>
      <c r="BN351" t="b">
        <f>AND(IF(Metadata!AA351="",FALSE,TRUE),EXACT(Metadata!AA351,"metagenome"))</f>
        <v>0</v>
      </c>
      <c r="BO351" t="b">
        <f>AND(IF(Metadata!AB351="",FALSE,TRUE),EXACT(Metadata!AB351,"256318"))</f>
        <v>0</v>
      </c>
      <c r="BP351" t="b">
        <f>IF(Metadata!AC351="",FALSE,TRUE)</f>
        <v>0</v>
      </c>
      <c r="BQ351" t="b">
        <f>IF(Metadata!AD351="",FALSE,TRUE)</f>
        <v>0</v>
      </c>
    </row>
    <row r="352" spans="1:69" x14ac:dyDescent="0.2">
      <c r="A352" s="4" t="e">
        <f ca="1">IF(B352=" "," ",HYPERLINK(CONCATENATE("#metadata!",ADDRESS(INDEX($AJ$2:$AJ$1001,MATCH(ROWS($AH$2:AH352),$AH$2:$AH$1001,0),0),2)),INDEX($AM$2:$AM$1001,MATCH(ROWS($AH$2:AH352),$AH$2:$AH$1001,0),0)))</f>
        <v>#N/A</v>
      </c>
      <c r="B352" s="5" t="e">
        <f ca="1">IF(OR(INDEX($AI$2:$AI$1001,MATCH(ROWS($AH$2:AH352),$AH$2:$AH$1001,0),1)&gt;=100000,INDEX($AO$1005:$BQ$1005,1,MATCH(COLUMNS($AO$1006:AO1006),$AO$1006:$BQ$1006,0))&gt;=100000), " ",IF(INDEX($AO$2:$BQ$1001,MATCH(ROWS($AH$2:AH352),$AH$2:$AH$1001,0),MATCH(COLUMNS($AO$1006:AO1006),$AO$1006:$BQ$1006,0)), HYPERLINK("#",""), HYPERLINK(CONCATENATE("#Metadata!", ADDRESS(INDEX($AJ$2:$AJ$1001,MATCH(ROWS($AH$2:AH352),$AH$2:$AH$1001,0),0), INDEX($AO$1004:$BQ$1004,1,MATCH(COLUMNS($AO$1006:AO1006),$AO$1006:$BQ$1006,0)))),"Fix")))</f>
        <v>#N/A</v>
      </c>
      <c r="C352" s="5" t="e">
        <f ca="1">IF(OR(INDEX($AI$2:$AI$1001,MATCH(ROWS($AH$2:AH352),$AH$2:$AH$1001,0),1)&gt;=100000,INDEX($AO$1005:$BQ$1005,1,MATCH(COLUMNS($AO$1006:AP1006),$AO$1006:$BQ$1006,0))&gt;=100000), " ",IF(INDEX($AO$2:$BQ$1001,MATCH(ROWS($AH$2:AH352),$AH$2:$AH$1001,0),MATCH(COLUMNS($AO$1006:AP1006),$AO$1006:$BQ$1006,0)), HYPERLINK("#",""), HYPERLINK(CONCATENATE("#Metadata!", ADDRESS(INDEX($AJ$2:$AJ$1001,MATCH(ROWS($AH$2:AH352),$AH$2:$AH$1001,0),0), INDEX($AO$1004:$BQ$1004,1,MATCH(COLUMNS($AO$1006:AP1006),$AO$1006:$BQ$1006,0)))),"Fix")))</f>
        <v>#N/A</v>
      </c>
      <c r="D352" s="5" t="e">
        <f ca="1">IF(OR(INDEX($AI$2:$AI$1001,MATCH(ROWS($AH$2:AH352),$AH$2:$AH$1001,0),1)&gt;=100000,INDEX($AO$1005:$BQ$1005,1,MATCH(COLUMNS($AO$1006:AQ1006),$AO$1006:$BQ$1006,0))&gt;=100000), " ",IF(INDEX($AO$2:$BQ$1001,MATCH(ROWS($AH$2:AH352),$AH$2:$AH$1001,0),MATCH(COLUMNS($AO$1006:AQ1006),$AO$1006:$BQ$1006,0)), HYPERLINK("#",""), HYPERLINK(CONCATENATE("#Metadata!", ADDRESS(INDEX($AJ$2:$AJ$1001,MATCH(ROWS($AH$2:AH352),$AH$2:$AH$1001,0),0), INDEX($AO$1004:$BQ$1004,1,MATCH(COLUMNS($AO$1006:AQ1006),$AO$1006:$BQ$1006,0)))),"Fix")))</f>
        <v>#N/A</v>
      </c>
      <c r="E352" s="5" t="e">
        <f ca="1">IF(OR(INDEX($AI$2:$AI$1001,MATCH(ROWS($AH$2:AH352),$AH$2:$AH$1001,0),1)&gt;=100000,INDEX($AO$1005:$BQ$1005,1,MATCH(COLUMNS($AO$1006:AR1006),$AO$1006:$BQ$1006,0))&gt;=100000), " ",IF(INDEX($AO$2:$BQ$1001,MATCH(ROWS($AH$2:AH352),$AH$2:$AH$1001,0),MATCH(COLUMNS($AO$1006:AR1006),$AO$1006:$BQ$1006,0)), HYPERLINK("#",""), HYPERLINK(CONCATENATE("#Metadata!", ADDRESS(INDEX($AJ$2:$AJ$1001,MATCH(ROWS($AH$2:AH352),$AH$2:$AH$1001,0),0), INDEX($AO$1004:$BQ$1004,1,MATCH(COLUMNS($AO$1006:AR1006),$AO$1006:$BQ$1006,0)))),"Fix")))</f>
        <v>#N/A</v>
      </c>
      <c r="F352" s="5" t="e">
        <f ca="1">IF(OR(INDEX($AI$2:$AI$1001,MATCH(ROWS($AH$2:AH352),$AH$2:$AH$1001,0),1)&gt;=100000,INDEX($AO$1005:$BQ$1005,1,MATCH(COLUMNS($AO$1006:AS1006),$AO$1006:$BQ$1006,0))&gt;=100000), " ",IF(INDEX($AO$2:$BQ$1001,MATCH(ROWS($AH$2:AH352),$AH$2:$AH$1001,0),MATCH(COLUMNS($AO$1006:AS1006),$AO$1006:$BQ$1006,0)), HYPERLINK("#",""), HYPERLINK(CONCATENATE("#Metadata!", ADDRESS(INDEX($AJ$2:$AJ$1001,MATCH(ROWS($AH$2:AH352),$AH$2:$AH$1001,0),0), INDEX($AO$1004:$BQ$1004,1,MATCH(COLUMNS($AO$1006:AS1006),$AO$1006:$BQ$1006,0)))),"Fix")))</f>
        <v>#N/A</v>
      </c>
      <c r="G352" s="5" t="e">
        <f ca="1">IF(OR(INDEX($AI$2:$AI$1001,MATCH(ROWS($AH$2:AH352),$AH$2:$AH$1001,0),1)&gt;=100000,INDEX($AO$1005:$BQ$1005,1,MATCH(COLUMNS($AO$1006:AT1006),$AO$1006:$BQ$1006,0))&gt;=100000), " ",IF(INDEX($AO$2:$BQ$1001,MATCH(ROWS($AH$2:AH352),$AH$2:$AH$1001,0),MATCH(COLUMNS($AO$1006:AT1006),$AO$1006:$BQ$1006,0)), HYPERLINK("#",""), HYPERLINK(CONCATENATE("#Metadata!", ADDRESS(INDEX($AJ$2:$AJ$1001,MATCH(ROWS($AH$2:AH352),$AH$2:$AH$1001,0),0), INDEX($AO$1004:$BQ$1004,1,MATCH(COLUMNS($AO$1006:AT1006),$AO$1006:$BQ$1006,0)))),"Fix")))</f>
        <v>#N/A</v>
      </c>
      <c r="H352" s="5" t="e">
        <f ca="1">IF(OR(INDEX($AI$2:$AI$1001,MATCH(ROWS($AH$2:AH352),$AH$2:$AH$1001,0),1)&gt;=100000,INDEX($AO$1005:$BQ$1005,1,MATCH(COLUMNS($AO$1006:AU1006),$AO$1006:$BQ$1006,0))&gt;=100000), " ",IF(INDEX($AO$2:$BQ$1001,MATCH(ROWS($AH$2:AH352),$AH$2:$AH$1001,0),MATCH(COLUMNS($AO$1006:AU1006),$AO$1006:$BQ$1006,0)), HYPERLINK("#",""), HYPERLINK(CONCATENATE("#Metadata!", ADDRESS(INDEX($AJ$2:$AJ$1001,MATCH(ROWS($AH$2:AH352),$AH$2:$AH$1001,0),0), INDEX($AO$1004:$BQ$1004,1,MATCH(COLUMNS($AO$1006:AU1006),$AO$1006:$BQ$1006,0)))),"Fix")))</f>
        <v>#N/A</v>
      </c>
      <c r="I352" s="5" t="e">
        <f ca="1">IF(OR(INDEX($AI$2:$AI$1001,MATCH(ROWS($AH$2:AH352),$AH$2:$AH$1001,0),1)&gt;=100000,INDEX($AO$1005:$BQ$1005,1,MATCH(COLUMNS($AO$1006:AV1006),$AO$1006:$BQ$1006,0))&gt;=100000), " ",IF(INDEX($AO$2:$BQ$1001,MATCH(ROWS($AH$2:AH352),$AH$2:$AH$1001,0),MATCH(COLUMNS($AO$1006:AV1006),$AO$1006:$BQ$1006,0)), HYPERLINK("#",""), HYPERLINK(CONCATENATE("#Metadata!", ADDRESS(INDEX($AJ$2:$AJ$1001,MATCH(ROWS($AH$2:AH352),$AH$2:$AH$1001,0),0), INDEX($AO$1004:$BQ$1004,1,MATCH(COLUMNS($AO$1006:AV1006),$AO$1006:$BQ$1006,0)))),"Fix")))</f>
        <v>#N/A</v>
      </c>
      <c r="J352" s="5" t="e">
        <f ca="1">IF(OR(INDEX($AI$2:$AI$1001,MATCH(ROWS($AH$2:AH352),$AH$2:$AH$1001,0),1)&gt;=100000,INDEX($AO$1005:$BQ$1005,1,MATCH(COLUMNS($AO$1006:AW1006),$AO$1006:$BQ$1006,0))&gt;=100000), " ",IF(INDEX($AO$2:$BQ$1001,MATCH(ROWS($AH$2:AH352),$AH$2:$AH$1001,0),MATCH(COLUMNS($AO$1006:AW1006),$AO$1006:$BQ$1006,0)), HYPERLINK("#",""), HYPERLINK(CONCATENATE("#Metadata!", ADDRESS(INDEX($AJ$2:$AJ$1001,MATCH(ROWS($AH$2:AH352),$AH$2:$AH$1001,0),0), INDEX($AO$1004:$BQ$1004,1,MATCH(COLUMNS($AO$1006:AW1006),$AO$1006:$BQ$1006,0)))),"Fix")))</f>
        <v>#N/A</v>
      </c>
      <c r="K352" s="5" t="e">
        <f ca="1">IF(OR(INDEX($AI$2:$AI$1001,MATCH(ROWS($AH$2:AH352),$AH$2:$AH$1001,0),1)&gt;=100000,INDEX($AO$1005:$BQ$1005,1,MATCH(COLUMNS($AO$1006:AX1006),$AO$1006:$BQ$1006,0))&gt;=100000), " ",IF(INDEX($AO$2:$BQ$1001,MATCH(ROWS($AH$2:AH352),$AH$2:$AH$1001,0),MATCH(COLUMNS($AO$1006:AX1006),$AO$1006:$BQ$1006,0)), HYPERLINK("#",""), HYPERLINK(CONCATENATE("#Metadata!", ADDRESS(INDEX($AJ$2:$AJ$1001,MATCH(ROWS($AH$2:AH352),$AH$2:$AH$1001,0),0), INDEX($AO$1004:$BQ$1004,1,MATCH(COLUMNS($AO$1006:AX1006),$AO$1006:$BQ$1006,0)))),"Fix")))</f>
        <v>#N/A</v>
      </c>
      <c r="L352" s="5" t="e">
        <f ca="1">IF(OR(INDEX($AI$2:$AI$1001,MATCH(ROWS($AH$2:AH352),$AH$2:$AH$1001,0),1)&gt;=100000,INDEX($AO$1005:$BQ$1005,1,MATCH(COLUMNS($AO$1006:AY1006),$AO$1006:$BQ$1006,0))&gt;=100000), " ",IF(INDEX($AO$2:$BQ$1001,MATCH(ROWS($AH$2:AH352),$AH$2:$AH$1001,0),MATCH(COLUMNS($AO$1006:AY1006),$AO$1006:$BQ$1006,0)), HYPERLINK("#",""), HYPERLINK(CONCATENATE("#Metadata!", ADDRESS(INDEX($AJ$2:$AJ$1001,MATCH(ROWS($AH$2:AH352),$AH$2:$AH$1001,0),0), INDEX($AO$1004:$BQ$1004,1,MATCH(COLUMNS($AO$1006:AY1006),$AO$1006:$BQ$1006,0)))),"Fix")))</f>
        <v>#N/A</v>
      </c>
      <c r="M352" s="5" t="e">
        <f ca="1">IF(OR(INDEX($AI$2:$AI$1001,MATCH(ROWS($AH$2:AH352),$AH$2:$AH$1001,0),1)&gt;=100000,INDEX($AO$1005:$BQ$1005,1,MATCH(COLUMNS($AO$1006:AZ1006),$AO$1006:$BQ$1006,0))&gt;=100000), " ",IF(INDEX($AO$2:$BQ$1001,MATCH(ROWS($AH$2:AH352),$AH$2:$AH$1001,0),MATCH(COLUMNS($AO$1006:AZ1006),$AO$1006:$BQ$1006,0)), HYPERLINK("#",""), HYPERLINK(CONCATENATE("#Metadata!", ADDRESS(INDEX($AJ$2:$AJ$1001,MATCH(ROWS($AH$2:AH352),$AH$2:$AH$1001,0),0), INDEX($AO$1004:$BQ$1004,1,MATCH(COLUMNS($AO$1006:AZ1006),$AO$1006:$BQ$1006,0)))),"Fix")))</f>
        <v>#N/A</v>
      </c>
      <c r="N352" s="5" t="e">
        <f ca="1">IF(OR(INDEX($AI$2:$AI$1001,MATCH(ROWS($AH$2:AH352),$AH$2:$AH$1001,0),1)&gt;=100000,INDEX($AO$1005:$BQ$1005,1,MATCH(COLUMNS($AO$1006:BA1006),$AO$1006:$BQ$1006,0))&gt;=100000), " ",IF(INDEX($AO$2:$BQ$1001,MATCH(ROWS($AH$2:AH352),$AH$2:$AH$1001,0),MATCH(COLUMNS($AO$1006:BA1006),$AO$1006:$BQ$1006,0)), HYPERLINK("#",""), HYPERLINK(CONCATENATE("#Metadata!", ADDRESS(INDEX($AJ$2:$AJ$1001,MATCH(ROWS($AH$2:AH352),$AH$2:$AH$1001,0),0), INDEX($AO$1004:$BQ$1004,1,MATCH(COLUMNS($AO$1006:BA1006),$AO$1006:$BQ$1006,0)))),"Fix")))</f>
        <v>#N/A</v>
      </c>
      <c r="O352" s="5" t="e">
        <f ca="1">IF(OR(INDEX($AI$2:$AI$1001,MATCH(ROWS($AH$2:AH352),$AH$2:$AH$1001,0),1)&gt;=100000,INDEX($AO$1005:$BQ$1005,1,MATCH(COLUMNS($AO$1006:BB1006),$AO$1006:$BQ$1006,0))&gt;=100000), " ",IF(INDEX($AO$2:$BQ$1001,MATCH(ROWS($AH$2:AH352),$AH$2:$AH$1001,0),MATCH(COLUMNS($AO$1006:BB1006),$AO$1006:$BQ$1006,0)), HYPERLINK("#",""), HYPERLINK(CONCATENATE("#Metadata!", ADDRESS(INDEX($AJ$2:$AJ$1001,MATCH(ROWS($AH$2:AH352),$AH$2:$AH$1001,0),0), INDEX($AO$1004:$BQ$1004,1,MATCH(COLUMNS($AO$1006:BB1006),$AO$1006:$BQ$1006,0)))),"Fix")))</f>
        <v>#N/A</v>
      </c>
      <c r="P352" s="5" t="e">
        <f ca="1">IF(OR(INDEX($AI$2:$AI$1001,MATCH(ROWS($AH$2:AH352),$AH$2:$AH$1001,0),1)&gt;=100000,INDEX($AO$1005:$BQ$1005,1,MATCH(COLUMNS($AO$1006:BC1006),$AO$1006:$BQ$1006,0))&gt;=100000), " ",IF(INDEX($AO$2:$BQ$1001,MATCH(ROWS($AH$2:AH352),$AH$2:$AH$1001,0),MATCH(COLUMNS($AO$1006:BC1006),$AO$1006:$BQ$1006,0)), HYPERLINK("#",""), HYPERLINK(CONCATENATE("#Metadata!", ADDRESS(INDEX($AJ$2:$AJ$1001,MATCH(ROWS($AH$2:AH352),$AH$2:$AH$1001,0),0), INDEX($AO$1004:$BQ$1004,1,MATCH(COLUMNS($AO$1006:BC1006),$AO$1006:$BQ$1006,0)))),"Fix")))</f>
        <v>#N/A</v>
      </c>
      <c r="Q352" s="5" t="e">
        <f ca="1">IF(OR(INDEX($AI$2:$AI$1001,MATCH(ROWS($AH$2:AH352),$AH$2:$AH$1001,0),1)&gt;=100000,INDEX($AO$1005:$BQ$1005,1,MATCH(COLUMNS($AO$1006:BD1006),$AO$1006:$BQ$1006,0))&gt;=100000), " ",IF(INDEX($AO$2:$BQ$1001,MATCH(ROWS($AH$2:AH352),$AH$2:$AH$1001,0),MATCH(COLUMNS($AO$1006:BD1006),$AO$1006:$BQ$1006,0)), HYPERLINK("#",""), HYPERLINK(CONCATENATE("#Metadata!", ADDRESS(INDEX($AJ$2:$AJ$1001,MATCH(ROWS($AH$2:AH352),$AH$2:$AH$1001,0),0), INDEX($AO$1004:$BQ$1004,1,MATCH(COLUMNS($AO$1006:BD1006),$AO$1006:$BQ$1006,0)))),"Fix")))</f>
        <v>#N/A</v>
      </c>
      <c r="R352" s="5" t="e">
        <f ca="1">IF(OR(INDEX($AI$2:$AI$1001,MATCH(ROWS($AH$2:AH352),$AH$2:$AH$1001,0),1)&gt;=100000,INDEX($AO$1005:$BQ$1005,1,MATCH(COLUMNS($AO$1006:BE1006),$AO$1006:$BQ$1006,0))&gt;=100000), " ",IF(INDEX($AO$2:$BQ$1001,MATCH(ROWS($AH$2:AH352),$AH$2:$AH$1001,0),MATCH(COLUMNS($AO$1006:BE1006),$AO$1006:$BQ$1006,0)), HYPERLINK("#",""), HYPERLINK(CONCATENATE("#Metadata!", ADDRESS(INDEX($AJ$2:$AJ$1001,MATCH(ROWS($AH$2:AH352),$AH$2:$AH$1001,0),0), INDEX($AO$1004:$BQ$1004,1,MATCH(COLUMNS($AO$1006:BE1006),$AO$1006:$BQ$1006,0)))),"Fix")))</f>
        <v>#N/A</v>
      </c>
      <c r="S352" s="5" t="e">
        <f ca="1">IF(OR(INDEX($AI$2:$AI$1001,MATCH(ROWS($AH$2:AH352),$AH$2:$AH$1001,0),1)&gt;=100000,INDEX($AO$1005:$BQ$1005,1,MATCH(COLUMNS($AO$1006:BF1006),$AO$1006:$BQ$1006,0))&gt;=100000), " ",IF(INDEX($AO$2:$BQ$1001,MATCH(ROWS($AH$2:AH352),$AH$2:$AH$1001,0),MATCH(COLUMNS($AO$1006:BF1006),$AO$1006:$BQ$1006,0)), HYPERLINK("#",""), HYPERLINK(CONCATENATE("#Metadata!", ADDRESS(INDEX($AJ$2:$AJ$1001,MATCH(ROWS($AH$2:AH352),$AH$2:$AH$1001,0),0), INDEX($AO$1004:$BQ$1004,1,MATCH(COLUMNS($AO$1006:BF1006),$AO$1006:$BQ$1006,0)))),"Fix")))</f>
        <v>#N/A</v>
      </c>
      <c r="T352" s="5" t="e">
        <f ca="1">IF(OR(INDEX($AI$2:$AI$1001,MATCH(ROWS($AH$2:AH352),$AH$2:$AH$1001,0),1)&gt;=100000,INDEX($AO$1005:$BQ$1005,1,MATCH(COLUMNS($AO$1006:BG1006),$AO$1006:$BQ$1006,0))&gt;=100000), " ",IF(INDEX($AO$2:$BQ$1001,MATCH(ROWS($AH$2:AH352),$AH$2:$AH$1001,0),MATCH(COLUMNS($AO$1006:BG1006),$AO$1006:$BQ$1006,0)), HYPERLINK("#",""), HYPERLINK(CONCATENATE("#Metadata!", ADDRESS(INDEX($AJ$2:$AJ$1001,MATCH(ROWS($AH$2:AH352),$AH$2:$AH$1001,0),0), INDEX($AO$1004:$BQ$1004,1,MATCH(COLUMNS($AO$1006:BG1006),$AO$1006:$BQ$1006,0)))),"Fix")))</f>
        <v>#N/A</v>
      </c>
      <c r="U352" s="5" t="e">
        <f ca="1">IF(OR(INDEX($AI$2:$AI$1001,MATCH(ROWS($AH$2:AH352),$AH$2:$AH$1001,0),1)&gt;=100000,INDEX($AO$1005:$BQ$1005,1,MATCH(COLUMNS($AO$1006:BH1006),$AO$1006:$BQ$1006,0))&gt;=100000), " ",IF(INDEX($AO$2:$BQ$1001,MATCH(ROWS($AH$2:AH352),$AH$2:$AH$1001,0),MATCH(COLUMNS($AO$1006:BH1006),$AO$1006:$BQ$1006,0)), HYPERLINK("#",""), HYPERLINK(CONCATENATE("#Metadata!", ADDRESS(INDEX($AJ$2:$AJ$1001,MATCH(ROWS($AH$2:AH352),$AH$2:$AH$1001,0),0), INDEX($AO$1004:$BQ$1004,1,MATCH(COLUMNS($AO$1006:BH1006),$AO$1006:$BQ$1006,0)))),"Fix")))</f>
        <v>#N/A</v>
      </c>
      <c r="V352" s="5" t="e">
        <f ca="1">IF(OR(INDEX($AI$2:$AI$1001,MATCH(ROWS($AH$2:AH352),$AH$2:$AH$1001,0),1)&gt;=100000,INDEX($AO$1005:$BQ$1005,1,MATCH(COLUMNS($AO$1006:BI1006),$AO$1006:$BQ$1006,0))&gt;=100000), " ",IF(INDEX($AO$2:$BQ$1001,MATCH(ROWS($AH$2:AH352),$AH$2:$AH$1001,0),MATCH(COLUMNS($AO$1006:BI1006),$AO$1006:$BQ$1006,0)), HYPERLINK("#",""), HYPERLINK(CONCATENATE("#Metadata!", ADDRESS(INDEX($AJ$2:$AJ$1001,MATCH(ROWS($AH$2:AH352),$AH$2:$AH$1001,0),0), INDEX($AO$1004:$BQ$1004,1,MATCH(COLUMNS($AO$1006:BI1006),$AO$1006:$BQ$1006,0)))),"Fix")))</f>
        <v>#N/A</v>
      </c>
      <c r="W352" s="5" t="e">
        <f ca="1">IF(OR(INDEX($AI$2:$AI$1001,MATCH(ROWS($AH$2:AH352),$AH$2:$AH$1001,0),1)&gt;=100000,INDEX($AO$1005:$BQ$1005,1,MATCH(COLUMNS($AO$1006:BJ1006),$AO$1006:$BQ$1006,0))&gt;=100000), " ",IF(INDEX($AO$2:$BQ$1001,MATCH(ROWS($AH$2:AH352),$AH$2:$AH$1001,0),MATCH(COLUMNS($AO$1006:BJ1006),$AO$1006:$BQ$1006,0)), HYPERLINK("#",""), HYPERLINK(CONCATENATE("#Metadata!", ADDRESS(INDEX($AJ$2:$AJ$1001,MATCH(ROWS($AH$2:AH352),$AH$2:$AH$1001,0),0), INDEX($AO$1004:$BQ$1004,1,MATCH(COLUMNS($AO$1006:BJ1006),$AO$1006:$BQ$1006,0)))),"Fix")))</f>
        <v>#N/A</v>
      </c>
      <c r="X352" s="5" t="e">
        <f ca="1">IF(OR(INDEX($AI$2:$AI$1001,MATCH(ROWS($AH$2:AH352),$AH$2:$AH$1001,0),1)&gt;=100000,INDEX($AO$1005:$BQ$1005,1,MATCH(COLUMNS($AO$1006:BK1006),$AO$1006:$BQ$1006,0))&gt;=100000), " ",IF(INDEX($AO$2:$BQ$1001,MATCH(ROWS($AH$2:AH352),$AH$2:$AH$1001,0),MATCH(COLUMNS($AO$1006:BK1006),$AO$1006:$BQ$1006,0)), HYPERLINK("#",""), HYPERLINK(CONCATENATE("#Metadata!", ADDRESS(INDEX($AJ$2:$AJ$1001,MATCH(ROWS($AH$2:AH352),$AH$2:$AH$1001,0),0), INDEX($AO$1004:$BQ$1004,1,MATCH(COLUMNS($AO$1006:BK1006),$AO$1006:$BQ$1006,0)))),"Fix")))</f>
        <v>#N/A</v>
      </c>
      <c r="Y352" s="5" t="e">
        <f ca="1">IF(OR(INDEX($AI$2:$AI$1001,MATCH(ROWS($AH$2:AH352),$AH$2:$AH$1001,0),1)&gt;=100000,INDEX($AO$1005:$BQ$1005,1,MATCH(COLUMNS($AO$1006:BL1006),$AO$1006:$BQ$1006,0))&gt;=100000), " ",IF(INDEX($AO$2:$BQ$1001,MATCH(ROWS($AH$2:AH352),$AH$2:$AH$1001,0),MATCH(COLUMNS($AO$1006:BL1006),$AO$1006:$BQ$1006,0)), HYPERLINK("#",""), HYPERLINK(CONCATENATE("#Metadata!", ADDRESS(INDEX($AJ$2:$AJ$1001,MATCH(ROWS($AH$2:AH352),$AH$2:$AH$1001,0),0), INDEX($AO$1004:$BQ$1004,1,MATCH(COLUMNS($AO$1006:BL1006),$AO$1006:$BQ$1006,0)))),"Fix")))</f>
        <v>#N/A</v>
      </c>
      <c r="Z352" s="5" t="e">
        <f ca="1">IF(OR(INDEX($AI$2:$AI$1001,MATCH(ROWS($AH$2:AH352),$AH$2:$AH$1001,0),1)&gt;=100000,INDEX($AO$1005:$BQ$1005,1,MATCH(COLUMNS($AO$1006:BM1006),$AO$1006:$BQ$1006,0))&gt;=100000), " ",IF(INDEX($AO$2:$BQ$1001,MATCH(ROWS($AH$2:AH352),$AH$2:$AH$1001,0),MATCH(COLUMNS($AO$1006:BM1006),$AO$1006:$BQ$1006,0)), HYPERLINK("#",""), HYPERLINK(CONCATENATE("#Metadata!", ADDRESS(INDEX($AJ$2:$AJ$1001,MATCH(ROWS($AH$2:AH352),$AH$2:$AH$1001,0),0), INDEX($AO$1004:$BQ$1004,1,MATCH(COLUMNS($AO$1006:BM1006),$AO$1006:$BQ$1006,0)))),"Fix")))</f>
        <v>#N/A</v>
      </c>
      <c r="AA352" s="5" t="e">
        <f ca="1">IF(OR(INDEX($AI$2:$AI$1001,MATCH(ROWS($AH$2:AH352),$AH$2:$AH$1001,0),1)&gt;=100000,INDEX($AO$1005:$BQ$1005,1,MATCH(COLUMNS($AO$1006:BN1006),$AO$1006:$BQ$1006,0))&gt;=100000), " ",IF(INDEX($AO$2:$BQ$1001,MATCH(ROWS($AH$2:AH352),$AH$2:$AH$1001,0),MATCH(COLUMNS($AO$1006:BN1006),$AO$1006:$BQ$1006,0)), HYPERLINK("#",""), HYPERLINK(CONCATENATE("#Metadata!", ADDRESS(INDEX($AJ$2:$AJ$1001,MATCH(ROWS($AH$2:AH352),$AH$2:$AH$1001,0),0), INDEX($AO$1004:$BQ$1004,1,MATCH(COLUMNS($AO$1006:BN1006),$AO$1006:$BQ$1006,0)))),"Fix")))</f>
        <v>#N/A</v>
      </c>
      <c r="AB352" s="5" t="e">
        <f ca="1">IF(OR(INDEX($AI$2:$AI$1001,MATCH(ROWS($AH$2:AH352),$AH$2:$AH$1001,0),1)&gt;=100000,INDEX($AO$1005:$BQ$1005,1,MATCH(COLUMNS($AO$1006:BO1006),$AO$1006:$BQ$1006,0))&gt;=100000), " ",IF(INDEX($AO$2:$BQ$1001,MATCH(ROWS($AH$2:AH352),$AH$2:$AH$1001,0),MATCH(COLUMNS($AO$1006:BO1006),$AO$1006:$BQ$1006,0)), HYPERLINK("#",""), HYPERLINK(CONCATENATE("#Metadata!", ADDRESS(INDEX($AJ$2:$AJ$1001,MATCH(ROWS($AH$2:AH352),$AH$2:$AH$1001,0),0), INDEX($AO$1004:$BQ$1004,1,MATCH(COLUMNS($AO$1006:BO1006),$AO$1006:$BQ$1006,0)))),"Fix")))</f>
        <v>#N/A</v>
      </c>
      <c r="AC352" s="5" t="e">
        <f ca="1">IF(OR(INDEX($AI$2:$AI$1001,MATCH(ROWS($AH$2:AH352),$AH$2:$AH$1001,0),1)&gt;=100000,INDEX($AO$1005:$BQ$1005,1,MATCH(COLUMNS($AO$1006:BP1006),$AO$1006:$BQ$1006,0))&gt;=100000), " ",IF(INDEX($AO$2:$BQ$1001,MATCH(ROWS($AH$2:AH352),$AH$2:$AH$1001,0),MATCH(COLUMNS($AO$1006:BP1006),$AO$1006:$BQ$1006,0)), HYPERLINK("#",""), HYPERLINK(CONCATENATE("#Metadata!", ADDRESS(INDEX($AJ$2:$AJ$1001,MATCH(ROWS($AH$2:AH352),$AH$2:$AH$1001,0),0), INDEX($AO$1004:$BQ$1004,1,MATCH(COLUMNS($AO$1006:BP1006),$AO$1006:$BQ$1006,0)))),"Fix")))</f>
        <v>#N/A</v>
      </c>
      <c r="AD352" s="5" t="e">
        <f ca="1">IF(OR(INDEX($AI$2:$AI$1001,MATCH(ROWS($AH$2:AH352),$AH$2:$AH$1001,0),1)&gt;=100000,INDEX($AO$1005:$BQ$1005,1,MATCH(COLUMNS($AO$1006:BQ1006),$AO$1006:$BQ$1006,0))&gt;=100000), " ",IF(INDEX($AO$2:$BQ$1001,MATCH(ROWS($AH$2:AH352),$AH$2:$AH$1001,0),MATCH(COLUMNS($AO$1006:BQ1006),$AO$1006:$BQ$1006,0)), HYPERLINK("#",""), HYPERLINK(CONCATENATE("#Metadata!", ADDRESS(INDEX($AJ$2:$AJ$1001,MATCH(ROWS($AH$2:AH352),$AH$2:$AH$1001,0),0), INDEX($AO$1004:$BQ$1004,1,MATCH(COLUMNS($AO$1006:BQ1006),$AO$1006:$BQ$1006,0)))),"Fix")))</f>
        <v>#REF!</v>
      </c>
      <c r="AH352">
        <f ca="1"/>
        <v>349</v>
      </c>
      <c r="AI352">
        <v>100352</v>
      </c>
      <c r="AJ352">
        <v>352</v>
      </c>
      <c r="AK352" t="b">
        <f t="shared" si="5"/>
        <v>1</v>
      </c>
      <c r="AL352" t="b">
        <f>COUNTBLANK(Metadata!B352:AD352)=COLUMNS(Metadata!B352:AD352)</f>
        <v>1</v>
      </c>
      <c r="AM352" t="str">
        <v/>
      </c>
      <c r="AO352" t="b">
        <f ca="1">AND(IF(Metadata!B352="",FALSE,TRUE),COUNTIF(Metadata!B:B, Metadata!B352) = 1,NOT(ISERROR(SUMPRODUCT(SEARCH(MID(Metadata!B352,ROW(INDIRECT("1:"&amp;LEN(Metadata!B352))), 1),"0123456789abcdefghijklmnopqrstuvwxyzABCDEFGHIJKLMNOPQRSTUVWXYZ.")))))</f>
        <v>0</v>
      </c>
      <c r="AP352" t="b">
        <f>IF(Metadata!C352="",FALSE,TRUE)</f>
        <v>0</v>
      </c>
      <c r="AQ352" t="b">
        <f>IF(Metadata!D352="",FALSE,TRUE)</f>
        <v>0</v>
      </c>
      <c r="AR352" t="b">
        <f ca="1">OR(AND(IF(Metadata!E352="",FALSE,TRUE),OR(EXACT(Metadata!E352,"not collected"),EXACT(Metadata!E352,"not provided"),EXACT(Metadata!E352,"restricted access"))),AND(IF(Metadata!E352="",FALSE,TRUE),AND(AND(IFERROR(INT(LEFT(Metadata!E352,4))&gt;1900,FALSE),IFERROR(INT(LEFT(Metadata!E352,4))&lt;=YEAR(NOW()),FALSE)), OR(MID(Metadata!E352,5,1)="", AND(AND(MID(Metadata!E352,5,1)="-",IFERROR(INT(MID(Metadata!E352,6,1))&gt;=0,FALSE),IFERROR(INT(MID(Metadata!E352,6,1))&lt;=1,FALSE),NOT(MID(Metadata!E352,7,1)=""),IFERROR(INT(MID(Metadata!E352,6,2))&gt;=1,FALSE),IFERROR(INT(MID(Metadata!E352,6,2))&lt;=12,FALSE)), OR(MID(Metadata!E352,8,1)="", AND(AND(MID(Metadata!E352,8,1)="-",IFERROR(INT(MID(Metadata!E352,9,1))&gt;=0,FALSE),IFERROR(INT(MID(Metadata!E352,9,1))&lt;=3,FALSE),NOT(MID(Metadata!E352,10,1)=""),IFERROR(INT(MID(Metadata!E352,9,2))&gt;=1,FALSE),IFERROR(INT(MID(Metadata!E352,9,2))&lt;=31,FALSE)), OR(MID(Metadata!E352,11,1)="", AND(AND(MID(Metadata!E352,11,1)=" ",IFERROR(INT(MID(Metadata!E352,12,1))&gt;=0,FALSE),IFERROR(INT(MID(Metadata!E352,12,1))&lt;=2,FALSE),NOT(MID(Metadata!E352,13,1)=""),IFERROR(INT(MID(Metadata!E352,12,2))&gt;=0,FALSE),IFERROR(INT(MID(Metadata!E352,12,2))&lt;=23,FALSE)), OR(MID(Metadata!E352,14,1)="", AND(AND(MID(Metadata!E352,14,1)=":",IFERROR(INT(MID(Metadata!E352,15,1))&gt;=0,FALSE),IFERROR(INT(MID(Metadata!E352,15,1))&lt;=5,FALSE),NOT(MID(Metadata!E352,16,1)=""),IFERROR(INT(MID(Metadata!E352,15,2))&gt;=0,FALSE),IFERROR(INT(MID(Metadata!E352,15,2))&lt;=59,FALSE)), OR(MID(Metadata!E352,17,1)="", AND(AND(MID(Metadata!E352,17,1)=":",IFERROR(INT(MID(Metadata!E352,18,1))&gt;=0,FALSE),IFERROR(INT(MID(Metadata!E352,18,1))&lt;=5,FALSE),NOT(MID(Metadata!E352,19,1)=""),IFERROR(INT(MID(Metadata!E352,18,2))&gt;=0,FALSE),IFERROR(INT(MID(Metadata!E352,18,2))&lt;=59,FALSE)), LEN(Metadata!E352)&lt;=19)))))))))))))</f>
        <v>0</v>
      </c>
      <c r="AS352" t="b">
        <f>IF(Metadata!F352="",FALSE,TRUE)</f>
        <v>0</v>
      </c>
      <c r="AT352" t="b">
        <f>OR(AND(IF(Metadata!G352="",FALSE,TRUE),OR(EXACT(Metadata!G352,"not collected"),EXACT(Metadata!G352,"not provided"))),AND(IF(Metadata!G352="",FALSE,TRUE),OR(EXACT(Metadata!G352,"TRUE"),EXACT(Metadata!G352,"FALSE"))))</f>
        <v>0</v>
      </c>
      <c r="AU352" t="b">
        <f>OR(AND(IF(Metadata!H352="",FALSE,TRUE),OR(EXACT(Metadata!H352,"not collected"),EXACT(Metadata!H352,"not provided"),EXACT(Metadata!H352,"restricted access"))),AND(IF(Metadata!H352="",FALSE,ISNUMBER(VALUE(Metadata!H352))),Metadata!H352&gt;=-413))</f>
        <v>0</v>
      </c>
      <c r="AV352" t="b">
        <f>AND(IF(Metadata!I352="",FALSE,TRUE),EXACT(Metadata!I352,"meters"))</f>
        <v>0</v>
      </c>
      <c r="AW352" t="b">
        <f>AND(IF(Metadata!J352="",FALSE,TRUE),EXACT(Metadata!J352,"free-living"))</f>
        <v>0</v>
      </c>
      <c r="AX352" t="b">
        <f>AND(IF(Metadata!K352="",FALSE,TRUE),OR(EXACT(Metadata!K352,"saline"),EXACT(Metadata!K352,"non-saline")))</f>
        <v>0</v>
      </c>
      <c r="AY352" t="b">
        <f>AND(IF(Metadata!L352="",FALSE,TRUE),OR(EXACT(Metadata!L352,"sub-surface (non-saline)"),EXACT(Metadata!L352,"surface (non-saline)"),EXACT(Metadata!L352,"water (non-saline)"),EXACT(Metadata!L352,"soil (non-saline)"),EXACT(Metadata!L352,"aerosol (non-saline)"),EXACT(Metadata!L352,"sediment (non-saline)"),EXACT(Metadata!L352,"surface (saline)"),EXACT(Metadata!L352,"water (saline)"),EXACT(Metadata!L352,"hypersaline (saline)"),EXACT(Metadata!L352,"aerosol (saline)"),EXACT(Metadata!L352,"sediment (saline)")))</f>
        <v>0</v>
      </c>
      <c r="AZ352" t="b">
        <f>IF(Metadata!M352="",FALSE,TRUE)</f>
        <v>0</v>
      </c>
      <c r="BA352" t="b">
        <f>IF(Metadata!N352="",FALSE,TRUE)</f>
        <v>0</v>
      </c>
      <c r="BB352" t="b">
        <f>IF(Metadata!O352="",FALSE,TRUE)</f>
        <v>0</v>
      </c>
      <c r="BC352" t="b">
        <f>AND(IF(Metadata!P352="",FALSE,TRUE),OR(EXACT(Metadata!P352,"air"),EXACT(Metadata!P352,"microbial mat/biofilm"),EXACT(Metadata!P352,"misc environment"),EXACT(Metadata!P352,"sediment"),EXACT(Metadata!P352,"soil"),EXACT(Metadata!P352,"wastewater/sludge"),EXACT(Metadata!P352,"water")))</f>
        <v>0</v>
      </c>
      <c r="BD352" t="b">
        <f>IF(Metadata!Q352="",FALSE,TRUE)</f>
        <v>0</v>
      </c>
      <c r="BE352" t="b">
        <f>IF(Metadata!R352="",FALSE,TRUE)</f>
        <v>0</v>
      </c>
      <c r="BF352" t="b">
        <f>OR(AND(IF(Metadata!S352="",FALSE,TRUE),OR(EXACT(Metadata!S352,"not collected"),EXACT(Metadata!S352,"not provided"),EXACT(Metadata!S352,"restricted access"))),AND(IF(Metadata!S352="",FALSE,ISNUMBER(VALUE(Metadata!S352))),Metadata!S352&gt;=-90,Metadata!S352&lt;=90))</f>
        <v>0</v>
      </c>
      <c r="BG352" t="b">
        <f>AND(IF(Metadata!T352="",FALSE,TRUE),EXACT(Metadata!T352,"Decimal degrees"))</f>
        <v>0</v>
      </c>
      <c r="BH352" t="b">
        <f>OR(AND(IF(Metadata!U352="",FALSE,TRUE),OR(EXACT(Metadata!U352,"not applicable"),EXACT(Metadata!U352,"not collected"))),IF(Metadata!U352="",FALSE,TRUE))</f>
        <v>0</v>
      </c>
      <c r="BI352" t="b">
        <f>OR(AND(IF(Metadata!V352="",FALSE,TRUE),OR(EXACT(Metadata!V352,"not collected"),EXACT(Metadata!V352,"not provided"),EXACT(Metadata!V352,"restricted access"))),AND(IF(Metadata!V352="",FALSE,ISNUMBER(VALUE(Metadata!V352))),Metadata!V352&gt;=-180,Metadata!V352&lt;=180))</f>
        <v>0</v>
      </c>
      <c r="BJ352" t="b">
        <f>AND(IF(Metadata!W352="",FALSE,TRUE),EXACT(Metadata!W352,"Decimal degrees"))</f>
        <v>0</v>
      </c>
      <c r="BK352" t="b">
        <f>IF(Metadata!X352="",FALSE,TRUE)</f>
        <v>0</v>
      </c>
      <c r="BL352" t="b">
        <f>OR(AND(IF(Metadata!Y352="",FALSE,TRUE),OR(EXACT(Metadata!Y352,"not collected"),EXACT(Metadata!Y352,"not provided"),EXACT(Metadata!Y352,"restricted access"))),AND(IF(Metadata!Y352="",FALSE,TRUE),OR(EXACT(Metadata!Y352,"TRUE"),EXACT(Metadata!Y352,"FALSE"))))</f>
        <v>0</v>
      </c>
      <c r="BM352" t="b">
        <f>OR(AND(IF(Metadata!Z352="",FALSE,TRUE),EXACT(Metadata!Z352,"not applicable")),AND(IF(Metadata!Z352="",FALSE,TRUE),OR(EXACT(Metadata!Z352,"beer"),EXACT(Metadata!Z352,"cheese"),EXACT(Metadata!Z352,"fresh water"),EXACT(Metadata!Z352,"marine sediment"),EXACT(Metadata!Z352,"sea water"),EXACT(Metadata!Z352,"sediment"),EXACT(Metadata!Z352,"soil"),EXACT(Metadata!Z352,"waste water"))))</f>
        <v>0</v>
      </c>
      <c r="BN352" t="b">
        <f>AND(IF(Metadata!AA352="",FALSE,TRUE),EXACT(Metadata!AA352,"metagenome"))</f>
        <v>0</v>
      </c>
      <c r="BO352" t="b">
        <f>AND(IF(Metadata!AB352="",FALSE,TRUE),EXACT(Metadata!AB352,"256318"))</f>
        <v>0</v>
      </c>
      <c r="BP352" t="b">
        <f>IF(Metadata!AC352="",FALSE,TRUE)</f>
        <v>0</v>
      </c>
      <c r="BQ352" t="b">
        <f>IF(Metadata!AD352="",FALSE,TRUE)</f>
        <v>0</v>
      </c>
    </row>
    <row r="353" spans="1:69" x14ac:dyDescent="0.2">
      <c r="A353" s="4" t="e">
        <f ca="1">IF(B353=" "," ",HYPERLINK(CONCATENATE("#metadata!",ADDRESS(INDEX($AJ$2:$AJ$1001,MATCH(ROWS($AH$2:AH353),$AH$2:$AH$1001,0),0),2)),INDEX($AM$2:$AM$1001,MATCH(ROWS($AH$2:AH353),$AH$2:$AH$1001,0),0)))</f>
        <v>#N/A</v>
      </c>
      <c r="B353" s="5" t="e">
        <f ca="1">IF(OR(INDEX($AI$2:$AI$1001,MATCH(ROWS($AH$2:AH353),$AH$2:$AH$1001,0),1)&gt;=100000,INDEX($AO$1005:$BQ$1005,1,MATCH(COLUMNS($AO$1006:AO1006),$AO$1006:$BQ$1006,0))&gt;=100000), " ",IF(INDEX($AO$2:$BQ$1001,MATCH(ROWS($AH$2:AH353),$AH$2:$AH$1001,0),MATCH(COLUMNS($AO$1006:AO1006),$AO$1006:$BQ$1006,0)), HYPERLINK("#",""), HYPERLINK(CONCATENATE("#Metadata!", ADDRESS(INDEX($AJ$2:$AJ$1001,MATCH(ROWS($AH$2:AH353),$AH$2:$AH$1001,0),0), INDEX($AO$1004:$BQ$1004,1,MATCH(COLUMNS($AO$1006:AO1006),$AO$1006:$BQ$1006,0)))),"Fix")))</f>
        <v>#N/A</v>
      </c>
      <c r="C353" s="5" t="e">
        <f ca="1">IF(OR(INDEX($AI$2:$AI$1001,MATCH(ROWS($AH$2:AH353),$AH$2:$AH$1001,0),1)&gt;=100000,INDEX($AO$1005:$BQ$1005,1,MATCH(COLUMNS($AO$1006:AP1006),$AO$1006:$BQ$1006,0))&gt;=100000), " ",IF(INDEX($AO$2:$BQ$1001,MATCH(ROWS($AH$2:AH353),$AH$2:$AH$1001,0),MATCH(COLUMNS($AO$1006:AP1006),$AO$1006:$BQ$1006,0)), HYPERLINK("#",""), HYPERLINK(CONCATENATE("#Metadata!", ADDRESS(INDEX($AJ$2:$AJ$1001,MATCH(ROWS($AH$2:AH353),$AH$2:$AH$1001,0),0), INDEX($AO$1004:$BQ$1004,1,MATCH(COLUMNS($AO$1006:AP1006),$AO$1006:$BQ$1006,0)))),"Fix")))</f>
        <v>#N/A</v>
      </c>
      <c r="D353" s="5" t="e">
        <f ca="1">IF(OR(INDEX($AI$2:$AI$1001,MATCH(ROWS($AH$2:AH353),$AH$2:$AH$1001,0),1)&gt;=100000,INDEX($AO$1005:$BQ$1005,1,MATCH(COLUMNS($AO$1006:AQ1006),$AO$1006:$BQ$1006,0))&gt;=100000), " ",IF(INDEX($AO$2:$BQ$1001,MATCH(ROWS($AH$2:AH353),$AH$2:$AH$1001,0),MATCH(COLUMNS($AO$1006:AQ1006),$AO$1006:$BQ$1006,0)), HYPERLINK("#",""), HYPERLINK(CONCATENATE("#Metadata!", ADDRESS(INDEX($AJ$2:$AJ$1001,MATCH(ROWS($AH$2:AH353),$AH$2:$AH$1001,0),0), INDEX($AO$1004:$BQ$1004,1,MATCH(COLUMNS($AO$1006:AQ1006),$AO$1006:$BQ$1006,0)))),"Fix")))</f>
        <v>#N/A</v>
      </c>
      <c r="E353" s="5" t="e">
        <f ca="1">IF(OR(INDEX($AI$2:$AI$1001,MATCH(ROWS($AH$2:AH353),$AH$2:$AH$1001,0),1)&gt;=100000,INDEX($AO$1005:$BQ$1005,1,MATCH(COLUMNS($AO$1006:AR1006),$AO$1006:$BQ$1006,0))&gt;=100000), " ",IF(INDEX($AO$2:$BQ$1001,MATCH(ROWS($AH$2:AH353),$AH$2:$AH$1001,0),MATCH(COLUMNS($AO$1006:AR1006),$AO$1006:$BQ$1006,0)), HYPERLINK("#",""), HYPERLINK(CONCATENATE("#Metadata!", ADDRESS(INDEX($AJ$2:$AJ$1001,MATCH(ROWS($AH$2:AH353),$AH$2:$AH$1001,0),0), INDEX($AO$1004:$BQ$1004,1,MATCH(COLUMNS($AO$1006:AR1006),$AO$1006:$BQ$1006,0)))),"Fix")))</f>
        <v>#N/A</v>
      </c>
      <c r="F353" s="5" t="e">
        <f ca="1">IF(OR(INDEX($AI$2:$AI$1001,MATCH(ROWS($AH$2:AH353),$AH$2:$AH$1001,0),1)&gt;=100000,INDEX($AO$1005:$BQ$1005,1,MATCH(COLUMNS($AO$1006:AS1006),$AO$1006:$BQ$1006,0))&gt;=100000), " ",IF(INDEX($AO$2:$BQ$1001,MATCH(ROWS($AH$2:AH353),$AH$2:$AH$1001,0),MATCH(COLUMNS($AO$1006:AS1006),$AO$1006:$BQ$1006,0)), HYPERLINK("#",""), HYPERLINK(CONCATENATE("#Metadata!", ADDRESS(INDEX($AJ$2:$AJ$1001,MATCH(ROWS($AH$2:AH353),$AH$2:$AH$1001,0),0), INDEX($AO$1004:$BQ$1004,1,MATCH(COLUMNS($AO$1006:AS1006),$AO$1006:$BQ$1006,0)))),"Fix")))</f>
        <v>#N/A</v>
      </c>
      <c r="G353" s="5" t="e">
        <f ca="1">IF(OR(INDEX($AI$2:$AI$1001,MATCH(ROWS($AH$2:AH353),$AH$2:$AH$1001,0),1)&gt;=100000,INDEX($AO$1005:$BQ$1005,1,MATCH(COLUMNS($AO$1006:AT1006),$AO$1006:$BQ$1006,0))&gt;=100000), " ",IF(INDEX($AO$2:$BQ$1001,MATCH(ROWS($AH$2:AH353),$AH$2:$AH$1001,0),MATCH(COLUMNS($AO$1006:AT1006),$AO$1006:$BQ$1006,0)), HYPERLINK("#",""), HYPERLINK(CONCATENATE("#Metadata!", ADDRESS(INDEX($AJ$2:$AJ$1001,MATCH(ROWS($AH$2:AH353),$AH$2:$AH$1001,0),0), INDEX($AO$1004:$BQ$1004,1,MATCH(COLUMNS($AO$1006:AT1006),$AO$1006:$BQ$1006,0)))),"Fix")))</f>
        <v>#N/A</v>
      </c>
      <c r="H353" s="5" t="e">
        <f ca="1">IF(OR(INDEX($AI$2:$AI$1001,MATCH(ROWS($AH$2:AH353),$AH$2:$AH$1001,0),1)&gt;=100000,INDEX($AO$1005:$BQ$1005,1,MATCH(COLUMNS($AO$1006:AU1006),$AO$1006:$BQ$1006,0))&gt;=100000), " ",IF(INDEX($AO$2:$BQ$1001,MATCH(ROWS($AH$2:AH353),$AH$2:$AH$1001,0),MATCH(COLUMNS($AO$1006:AU1006),$AO$1006:$BQ$1006,0)), HYPERLINK("#",""), HYPERLINK(CONCATENATE("#Metadata!", ADDRESS(INDEX($AJ$2:$AJ$1001,MATCH(ROWS($AH$2:AH353),$AH$2:$AH$1001,0),0), INDEX($AO$1004:$BQ$1004,1,MATCH(COLUMNS($AO$1006:AU1006),$AO$1006:$BQ$1006,0)))),"Fix")))</f>
        <v>#N/A</v>
      </c>
      <c r="I353" s="5" t="e">
        <f ca="1">IF(OR(INDEX($AI$2:$AI$1001,MATCH(ROWS($AH$2:AH353),$AH$2:$AH$1001,0),1)&gt;=100000,INDEX($AO$1005:$BQ$1005,1,MATCH(COLUMNS($AO$1006:AV1006),$AO$1006:$BQ$1006,0))&gt;=100000), " ",IF(INDEX($AO$2:$BQ$1001,MATCH(ROWS($AH$2:AH353),$AH$2:$AH$1001,0),MATCH(COLUMNS($AO$1006:AV1006),$AO$1006:$BQ$1006,0)), HYPERLINK("#",""), HYPERLINK(CONCATENATE("#Metadata!", ADDRESS(INDEX($AJ$2:$AJ$1001,MATCH(ROWS($AH$2:AH353),$AH$2:$AH$1001,0),0), INDEX($AO$1004:$BQ$1004,1,MATCH(COLUMNS($AO$1006:AV1006),$AO$1006:$BQ$1006,0)))),"Fix")))</f>
        <v>#N/A</v>
      </c>
      <c r="J353" s="5" t="e">
        <f ca="1">IF(OR(INDEX($AI$2:$AI$1001,MATCH(ROWS($AH$2:AH353),$AH$2:$AH$1001,0),1)&gt;=100000,INDEX($AO$1005:$BQ$1005,1,MATCH(COLUMNS($AO$1006:AW1006),$AO$1006:$BQ$1006,0))&gt;=100000), " ",IF(INDEX($AO$2:$BQ$1001,MATCH(ROWS($AH$2:AH353),$AH$2:$AH$1001,0),MATCH(COLUMNS($AO$1006:AW1006),$AO$1006:$BQ$1006,0)), HYPERLINK("#",""), HYPERLINK(CONCATENATE("#Metadata!", ADDRESS(INDEX($AJ$2:$AJ$1001,MATCH(ROWS($AH$2:AH353),$AH$2:$AH$1001,0),0), INDEX($AO$1004:$BQ$1004,1,MATCH(COLUMNS($AO$1006:AW1006),$AO$1006:$BQ$1006,0)))),"Fix")))</f>
        <v>#N/A</v>
      </c>
      <c r="K353" s="5" t="e">
        <f ca="1">IF(OR(INDEX($AI$2:$AI$1001,MATCH(ROWS($AH$2:AH353),$AH$2:$AH$1001,0),1)&gt;=100000,INDEX($AO$1005:$BQ$1005,1,MATCH(COLUMNS($AO$1006:AX1006),$AO$1006:$BQ$1006,0))&gt;=100000), " ",IF(INDEX($AO$2:$BQ$1001,MATCH(ROWS($AH$2:AH353),$AH$2:$AH$1001,0),MATCH(COLUMNS($AO$1006:AX1006),$AO$1006:$BQ$1006,0)), HYPERLINK("#",""), HYPERLINK(CONCATENATE("#Metadata!", ADDRESS(INDEX($AJ$2:$AJ$1001,MATCH(ROWS($AH$2:AH353),$AH$2:$AH$1001,0),0), INDEX($AO$1004:$BQ$1004,1,MATCH(COLUMNS($AO$1006:AX1006),$AO$1006:$BQ$1006,0)))),"Fix")))</f>
        <v>#N/A</v>
      </c>
      <c r="L353" s="5" t="e">
        <f ca="1">IF(OR(INDEX($AI$2:$AI$1001,MATCH(ROWS($AH$2:AH353),$AH$2:$AH$1001,0),1)&gt;=100000,INDEX($AO$1005:$BQ$1005,1,MATCH(COLUMNS($AO$1006:AY1006),$AO$1006:$BQ$1006,0))&gt;=100000), " ",IF(INDEX($AO$2:$BQ$1001,MATCH(ROWS($AH$2:AH353),$AH$2:$AH$1001,0),MATCH(COLUMNS($AO$1006:AY1006),$AO$1006:$BQ$1006,0)), HYPERLINK("#",""), HYPERLINK(CONCATENATE("#Metadata!", ADDRESS(INDEX($AJ$2:$AJ$1001,MATCH(ROWS($AH$2:AH353),$AH$2:$AH$1001,0),0), INDEX($AO$1004:$BQ$1004,1,MATCH(COLUMNS($AO$1006:AY1006),$AO$1006:$BQ$1006,0)))),"Fix")))</f>
        <v>#N/A</v>
      </c>
      <c r="M353" s="5" t="e">
        <f ca="1">IF(OR(INDEX($AI$2:$AI$1001,MATCH(ROWS($AH$2:AH353),$AH$2:$AH$1001,0),1)&gt;=100000,INDEX($AO$1005:$BQ$1005,1,MATCH(COLUMNS($AO$1006:AZ1006),$AO$1006:$BQ$1006,0))&gt;=100000), " ",IF(INDEX($AO$2:$BQ$1001,MATCH(ROWS($AH$2:AH353),$AH$2:$AH$1001,0),MATCH(COLUMNS($AO$1006:AZ1006),$AO$1006:$BQ$1006,0)), HYPERLINK("#",""), HYPERLINK(CONCATENATE("#Metadata!", ADDRESS(INDEX($AJ$2:$AJ$1001,MATCH(ROWS($AH$2:AH353),$AH$2:$AH$1001,0),0), INDEX($AO$1004:$BQ$1004,1,MATCH(COLUMNS($AO$1006:AZ1006),$AO$1006:$BQ$1006,0)))),"Fix")))</f>
        <v>#N/A</v>
      </c>
      <c r="N353" s="5" t="e">
        <f ca="1">IF(OR(INDEX($AI$2:$AI$1001,MATCH(ROWS($AH$2:AH353),$AH$2:$AH$1001,0),1)&gt;=100000,INDEX($AO$1005:$BQ$1005,1,MATCH(COLUMNS($AO$1006:BA1006),$AO$1006:$BQ$1006,0))&gt;=100000), " ",IF(INDEX($AO$2:$BQ$1001,MATCH(ROWS($AH$2:AH353),$AH$2:$AH$1001,0),MATCH(COLUMNS($AO$1006:BA1006),$AO$1006:$BQ$1006,0)), HYPERLINK("#",""), HYPERLINK(CONCATENATE("#Metadata!", ADDRESS(INDEX($AJ$2:$AJ$1001,MATCH(ROWS($AH$2:AH353),$AH$2:$AH$1001,0),0), INDEX($AO$1004:$BQ$1004,1,MATCH(COLUMNS($AO$1006:BA1006),$AO$1006:$BQ$1006,0)))),"Fix")))</f>
        <v>#N/A</v>
      </c>
      <c r="O353" s="5" t="e">
        <f ca="1">IF(OR(INDEX($AI$2:$AI$1001,MATCH(ROWS($AH$2:AH353),$AH$2:$AH$1001,0),1)&gt;=100000,INDEX($AO$1005:$BQ$1005,1,MATCH(COLUMNS($AO$1006:BB1006),$AO$1006:$BQ$1006,0))&gt;=100000), " ",IF(INDEX($AO$2:$BQ$1001,MATCH(ROWS($AH$2:AH353),$AH$2:$AH$1001,0),MATCH(COLUMNS($AO$1006:BB1006),$AO$1006:$BQ$1006,0)), HYPERLINK("#",""), HYPERLINK(CONCATENATE("#Metadata!", ADDRESS(INDEX($AJ$2:$AJ$1001,MATCH(ROWS($AH$2:AH353),$AH$2:$AH$1001,0),0), INDEX($AO$1004:$BQ$1004,1,MATCH(COLUMNS($AO$1006:BB1006),$AO$1006:$BQ$1006,0)))),"Fix")))</f>
        <v>#N/A</v>
      </c>
      <c r="P353" s="5" t="e">
        <f ca="1">IF(OR(INDEX($AI$2:$AI$1001,MATCH(ROWS($AH$2:AH353),$AH$2:$AH$1001,0),1)&gt;=100000,INDEX($AO$1005:$BQ$1005,1,MATCH(COLUMNS($AO$1006:BC1006),$AO$1006:$BQ$1006,0))&gt;=100000), " ",IF(INDEX($AO$2:$BQ$1001,MATCH(ROWS($AH$2:AH353),$AH$2:$AH$1001,0),MATCH(COLUMNS($AO$1006:BC1006),$AO$1006:$BQ$1006,0)), HYPERLINK("#",""), HYPERLINK(CONCATENATE("#Metadata!", ADDRESS(INDEX($AJ$2:$AJ$1001,MATCH(ROWS($AH$2:AH353),$AH$2:$AH$1001,0),0), INDEX($AO$1004:$BQ$1004,1,MATCH(COLUMNS($AO$1006:BC1006),$AO$1006:$BQ$1006,0)))),"Fix")))</f>
        <v>#N/A</v>
      </c>
      <c r="Q353" s="5" t="e">
        <f ca="1">IF(OR(INDEX($AI$2:$AI$1001,MATCH(ROWS($AH$2:AH353),$AH$2:$AH$1001,0),1)&gt;=100000,INDEX($AO$1005:$BQ$1005,1,MATCH(COLUMNS($AO$1006:BD1006),$AO$1006:$BQ$1006,0))&gt;=100000), " ",IF(INDEX($AO$2:$BQ$1001,MATCH(ROWS($AH$2:AH353),$AH$2:$AH$1001,0),MATCH(COLUMNS($AO$1006:BD1006),$AO$1006:$BQ$1006,0)), HYPERLINK("#",""), HYPERLINK(CONCATENATE("#Metadata!", ADDRESS(INDEX($AJ$2:$AJ$1001,MATCH(ROWS($AH$2:AH353),$AH$2:$AH$1001,0),0), INDEX($AO$1004:$BQ$1004,1,MATCH(COLUMNS($AO$1006:BD1006),$AO$1006:$BQ$1006,0)))),"Fix")))</f>
        <v>#N/A</v>
      </c>
      <c r="R353" s="5" t="e">
        <f ca="1">IF(OR(INDEX($AI$2:$AI$1001,MATCH(ROWS($AH$2:AH353),$AH$2:$AH$1001,0),1)&gt;=100000,INDEX($AO$1005:$BQ$1005,1,MATCH(COLUMNS($AO$1006:BE1006),$AO$1006:$BQ$1006,0))&gt;=100000), " ",IF(INDEX($AO$2:$BQ$1001,MATCH(ROWS($AH$2:AH353),$AH$2:$AH$1001,0),MATCH(COLUMNS($AO$1006:BE1006),$AO$1006:$BQ$1006,0)), HYPERLINK("#",""), HYPERLINK(CONCATENATE("#Metadata!", ADDRESS(INDEX($AJ$2:$AJ$1001,MATCH(ROWS($AH$2:AH353),$AH$2:$AH$1001,0),0), INDEX($AO$1004:$BQ$1004,1,MATCH(COLUMNS($AO$1006:BE1006),$AO$1006:$BQ$1006,0)))),"Fix")))</f>
        <v>#N/A</v>
      </c>
      <c r="S353" s="5" t="e">
        <f ca="1">IF(OR(INDEX($AI$2:$AI$1001,MATCH(ROWS($AH$2:AH353),$AH$2:$AH$1001,0),1)&gt;=100000,INDEX($AO$1005:$BQ$1005,1,MATCH(COLUMNS($AO$1006:BF1006),$AO$1006:$BQ$1006,0))&gt;=100000), " ",IF(INDEX($AO$2:$BQ$1001,MATCH(ROWS($AH$2:AH353),$AH$2:$AH$1001,0),MATCH(COLUMNS($AO$1006:BF1006),$AO$1006:$BQ$1006,0)), HYPERLINK("#",""), HYPERLINK(CONCATENATE("#Metadata!", ADDRESS(INDEX($AJ$2:$AJ$1001,MATCH(ROWS($AH$2:AH353),$AH$2:$AH$1001,0),0), INDEX($AO$1004:$BQ$1004,1,MATCH(COLUMNS($AO$1006:BF1006),$AO$1006:$BQ$1006,0)))),"Fix")))</f>
        <v>#N/A</v>
      </c>
      <c r="T353" s="5" t="e">
        <f ca="1">IF(OR(INDEX($AI$2:$AI$1001,MATCH(ROWS($AH$2:AH353),$AH$2:$AH$1001,0),1)&gt;=100000,INDEX($AO$1005:$BQ$1005,1,MATCH(COLUMNS($AO$1006:BG1006),$AO$1006:$BQ$1006,0))&gt;=100000), " ",IF(INDEX($AO$2:$BQ$1001,MATCH(ROWS($AH$2:AH353),$AH$2:$AH$1001,0),MATCH(COLUMNS($AO$1006:BG1006),$AO$1006:$BQ$1006,0)), HYPERLINK("#",""), HYPERLINK(CONCATENATE("#Metadata!", ADDRESS(INDEX($AJ$2:$AJ$1001,MATCH(ROWS($AH$2:AH353),$AH$2:$AH$1001,0),0), INDEX($AO$1004:$BQ$1004,1,MATCH(COLUMNS($AO$1006:BG1006),$AO$1006:$BQ$1006,0)))),"Fix")))</f>
        <v>#N/A</v>
      </c>
      <c r="U353" s="5" t="e">
        <f ca="1">IF(OR(INDEX($AI$2:$AI$1001,MATCH(ROWS($AH$2:AH353),$AH$2:$AH$1001,0),1)&gt;=100000,INDEX($AO$1005:$BQ$1005,1,MATCH(COLUMNS($AO$1006:BH1006),$AO$1006:$BQ$1006,0))&gt;=100000), " ",IF(INDEX($AO$2:$BQ$1001,MATCH(ROWS($AH$2:AH353),$AH$2:$AH$1001,0),MATCH(COLUMNS($AO$1006:BH1006),$AO$1006:$BQ$1006,0)), HYPERLINK("#",""), HYPERLINK(CONCATENATE("#Metadata!", ADDRESS(INDEX($AJ$2:$AJ$1001,MATCH(ROWS($AH$2:AH353),$AH$2:$AH$1001,0),0), INDEX($AO$1004:$BQ$1004,1,MATCH(COLUMNS($AO$1006:BH1006),$AO$1006:$BQ$1006,0)))),"Fix")))</f>
        <v>#N/A</v>
      </c>
      <c r="V353" s="5" t="e">
        <f ca="1">IF(OR(INDEX($AI$2:$AI$1001,MATCH(ROWS($AH$2:AH353),$AH$2:$AH$1001,0),1)&gt;=100000,INDEX($AO$1005:$BQ$1005,1,MATCH(COLUMNS($AO$1006:BI1006),$AO$1006:$BQ$1006,0))&gt;=100000), " ",IF(INDEX($AO$2:$BQ$1001,MATCH(ROWS($AH$2:AH353),$AH$2:$AH$1001,0),MATCH(COLUMNS($AO$1006:BI1006),$AO$1006:$BQ$1006,0)), HYPERLINK("#",""), HYPERLINK(CONCATENATE("#Metadata!", ADDRESS(INDEX($AJ$2:$AJ$1001,MATCH(ROWS($AH$2:AH353),$AH$2:$AH$1001,0),0), INDEX($AO$1004:$BQ$1004,1,MATCH(COLUMNS($AO$1006:BI1006),$AO$1006:$BQ$1006,0)))),"Fix")))</f>
        <v>#N/A</v>
      </c>
      <c r="W353" s="5" t="e">
        <f ca="1">IF(OR(INDEX($AI$2:$AI$1001,MATCH(ROWS($AH$2:AH353),$AH$2:$AH$1001,0),1)&gt;=100000,INDEX($AO$1005:$BQ$1005,1,MATCH(COLUMNS($AO$1006:BJ1006),$AO$1006:$BQ$1006,0))&gt;=100000), " ",IF(INDEX($AO$2:$BQ$1001,MATCH(ROWS($AH$2:AH353),$AH$2:$AH$1001,0),MATCH(COLUMNS($AO$1006:BJ1006),$AO$1006:$BQ$1006,0)), HYPERLINK("#",""), HYPERLINK(CONCATENATE("#Metadata!", ADDRESS(INDEX($AJ$2:$AJ$1001,MATCH(ROWS($AH$2:AH353),$AH$2:$AH$1001,0),0), INDEX($AO$1004:$BQ$1004,1,MATCH(COLUMNS($AO$1006:BJ1006),$AO$1006:$BQ$1006,0)))),"Fix")))</f>
        <v>#N/A</v>
      </c>
      <c r="X353" s="5" t="e">
        <f ca="1">IF(OR(INDEX($AI$2:$AI$1001,MATCH(ROWS($AH$2:AH353),$AH$2:$AH$1001,0),1)&gt;=100000,INDEX($AO$1005:$BQ$1005,1,MATCH(COLUMNS($AO$1006:BK1006),$AO$1006:$BQ$1006,0))&gt;=100000), " ",IF(INDEX($AO$2:$BQ$1001,MATCH(ROWS($AH$2:AH353),$AH$2:$AH$1001,0),MATCH(COLUMNS($AO$1006:BK1006),$AO$1006:$BQ$1006,0)), HYPERLINK("#",""), HYPERLINK(CONCATENATE("#Metadata!", ADDRESS(INDEX($AJ$2:$AJ$1001,MATCH(ROWS($AH$2:AH353),$AH$2:$AH$1001,0),0), INDEX($AO$1004:$BQ$1004,1,MATCH(COLUMNS($AO$1006:BK1006),$AO$1006:$BQ$1006,0)))),"Fix")))</f>
        <v>#N/A</v>
      </c>
      <c r="Y353" s="5" t="e">
        <f ca="1">IF(OR(INDEX($AI$2:$AI$1001,MATCH(ROWS($AH$2:AH353),$AH$2:$AH$1001,0),1)&gt;=100000,INDEX($AO$1005:$BQ$1005,1,MATCH(COLUMNS($AO$1006:BL1006),$AO$1006:$BQ$1006,0))&gt;=100000), " ",IF(INDEX($AO$2:$BQ$1001,MATCH(ROWS($AH$2:AH353),$AH$2:$AH$1001,0),MATCH(COLUMNS($AO$1006:BL1006),$AO$1006:$BQ$1006,0)), HYPERLINK("#",""), HYPERLINK(CONCATENATE("#Metadata!", ADDRESS(INDEX($AJ$2:$AJ$1001,MATCH(ROWS($AH$2:AH353),$AH$2:$AH$1001,0),0), INDEX($AO$1004:$BQ$1004,1,MATCH(COLUMNS($AO$1006:BL1006),$AO$1006:$BQ$1006,0)))),"Fix")))</f>
        <v>#N/A</v>
      </c>
      <c r="Z353" s="5" t="e">
        <f ca="1">IF(OR(INDEX($AI$2:$AI$1001,MATCH(ROWS($AH$2:AH353),$AH$2:$AH$1001,0),1)&gt;=100000,INDEX($AO$1005:$BQ$1005,1,MATCH(COLUMNS($AO$1006:BM1006),$AO$1006:$BQ$1006,0))&gt;=100000), " ",IF(INDEX($AO$2:$BQ$1001,MATCH(ROWS($AH$2:AH353),$AH$2:$AH$1001,0),MATCH(COLUMNS($AO$1006:BM1006),$AO$1006:$BQ$1006,0)), HYPERLINK("#",""), HYPERLINK(CONCATENATE("#Metadata!", ADDRESS(INDEX($AJ$2:$AJ$1001,MATCH(ROWS($AH$2:AH353),$AH$2:$AH$1001,0),0), INDEX($AO$1004:$BQ$1004,1,MATCH(COLUMNS($AO$1006:BM1006),$AO$1006:$BQ$1006,0)))),"Fix")))</f>
        <v>#N/A</v>
      </c>
      <c r="AA353" s="5" t="e">
        <f ca="1">IF(OR(INDEX($AI$2:$AI$1001,MATCH(ROWS($AH$2:AH353),$AH$2:$AH$1001,0),1)&gt;=100000,INDEX($AO$1005:$BQ$1005,1,MATCH(COLUMNS($AO$1006:BN1006),$AO$1006:$BQ$1006,0))&gt;=100000), " ",IF(INDEX($AO$2:$BQ$1001,MATCH(ROWS($AH$2:AH353),$AH$2:$AH$1001,0),MATCH(COLUMNS($AO$1006:BN1006),$AO$1006:$BQ$1006,0)), HYPERLINK("#",""), HYPERLINK(CONCATENATE("#Metadata!", ADDRESS(INDEX($AJ$2:$AJ$1001,MATCH(ROWS($AH$2:AH353),$AH$2:$AH$1001,0),0), INDEX($AO$1004:$BQ$1004,1,MATCH(COLUMNS($AO$1006:BN1006),$AO$1006:$BQ$1006,0)))),"Fix")))</f>
        <v>#N/A</v>
      </c>
      <c r="AB353" s="5" t="e">
        <f ca="1">IF(OR(INDEX($AI$2:$AI$1001,MATCH(ROWS($AH$2:AH353),$AH$2:$AH$1001,0),1)&gt;=100000,INDEX($AO$1005:$BQ$1005,1,MATCH(COLUMNS($AO$1006:BO1006),$AO$1006:$BQ$1006,0))&gt;=100000), " ",IF(INDEX($AO$2:$BQ$1001,MATCH(ROWS($AH$2:AH353),$AH$2:$AH$1001,0),MATCH(COLUMNS($AO$1006:BO1006),$AO$1006:$BQ$1006,0)), HYPERLINK("#",""), HYPERLINK(CONCATENATE("#Metadata!", ADDRESS(INDEX($AJ$2:$AJ$1001,MATCH(ROWS($AH$2:AH353),$AH$2:$AH$1001,0),0), INDEX($AO$1004:$BQ$1004,1,MATCH(COLUMNS($AO$1006:BO1006),$AO$1006:$BQ$1006,0)))),"Fix")))</f>
        <v>#N/A</v>
      </c>
      <c r="AC353" s="5" t="e">
        <f ca="1">IF(OR(INDEX($AI$2:$AI$1001,MATCH(ROWS($AH$2:AH353),$AH$2:$AH$1001,0),1)&gt;=100000,INDEX($AO$1005:$BQ$1005,1,MATCH(COLUMNS($AO$1006:BP1006),$AO$1006:$BQ$1006,0))&gt;=100000), " ",IF(INDEX($AO$2:$BQ$1001,MATCH(ROWS($AH$2:AH353),$AH$2:$AH$1001,0),MATCH(COLUMNS($AO$1006:BP1006),$AO$1006:$BQ$1006,0)), HYPERLINK("#",""), HYPERLINK(CONCATENATE("#Metadata!", ADDRESS(INDEX($AJ$2:$AJ$1001,MATCH(ROWS($AH$2:AH353),$AH$2:$AH$1001,0),0), INDEX($AO$1004:$BQ$1004,1,MATCH(COLUMNS($AO$1006:BP1006),$AO$1006:$BQ$1006,0)))),"Fix")))</f>
        <v>#N/A</v>
      </c>
      <c r="AD353" s="5" t="e">
        <f ca="1">IF(OR(INDEX($AI$2:$AI$1001,MATCH(ROWS($AH$2:AH353),$AH$2:$AH$1001,0),1)&gt;=100000,INDEX($AO$1005:$BQ$1005,1,MATCH(COLUMNS($AO$1006:BQ1006),$AO$1006:$BQ$1006,0))&gt;=100000), " ",IF(INDEX($AO$2:$BQ$1001,MATCH(ROWS($AH$2:AH353),$AH$2:$AH$1001,0),MATCH(COLUMNS($AO$1006:BQ1006),$AO$1006:$BQ$1006,0)), HYPERLINK("#",""), HYPERLINK(CONCATENATE("#Metadata!", ADDRESS(INDEX($AJ$2:$AJ$1001,MATCH(ROWS($AH$2:AH353),$AH$2:$AH$1001,0),0), INDEX($AO$1004:$BQ$1004,1,MATCH(COLUMNS($AO$1006:BQ1006),$AO$1006:$BQ$1006,0)))),"Fix")))</f>
        <v>#REF!</v>
      </c>
      <c r="AH353">
        <f ca="1"/>
        <v>350</v>
      </c>
      <c r="AI353">
        <v>100353</v>
      </c>
      <c r="AJ353">
        <v>353</v>
      </c>
      <c r="AK353" t="b">
        <f t="shared" si="5"/>
        <v>1</v>
      </c>
      <c r="AL353" t="b">
        <f>COUNTBLANK(Metadata!B353:AD353)=COLUMNS(Metadata!B353:AD353)</f>
        <v>1</v>
      </c>
      <c r="AM353" t="str">
        <v/>
      </c>
      <c r="AO353" t="b">
        <f ca="1">AND(IF(Metadata!B353="",FALSE,TRUE),COUNTIF(Metadata!B:B, Metadata!B353) = 1,NOT(ISERROR(SUMPRODUCT(SEARCH(MID(Metadata!B353,ROW(INDIRECT("1:"&amp;LEN(Metadata!B353))), 1),"0123456789abcdefghijklmnopqrstuvwxyzABCDEFGHIJKLMNOPQRSTUVWXYZ.")))))</f>
        <v>0</v>
      </c>
      <c r="AP353" t="b">
        <f>IF(Metadata!C353="",FALSE,TRUE)</f>
        <v>0</v>
      </c>
      <c r="AQ353" t="b">
        <f>IF(Metadata!D353="",FALSE,TRUE)</f>
        <v>0</v>
      </c>
      <c r="AR353" t="b">
        <f ca="1">OR(AND(IF(Metadata!E353="",FALSE,TRUE),OR(EXACT(Metadata!E353,"not collected"),EXACT(Metadata!E353,"not provided"),EXACT(Metadata!E353,"restricted access"))),AND(IF(Metadata!E353="",FALSE,TRUE),AND(AND(IFERROR(INT(LEFT(Metadata!E353,4))&gt;1900,FALSE),IFERROR(INT(LEFT(Metadata!E353,4))&lt;=YEAR(NOW()),FALSE)), OR(MID(Metadata!E353,5,1)="", AND(AND(MID(Metadata!E353,5,1)="-",IFERROR(INT(MID(Metadata!E353,6,1))&gt;=0,FALSE),IFERROR(INT(MID(Metadata!E353,6,1))&lt;=1,FALSE),NOT(MID(Metadata!E353,7,1)=""),IFERROR(INT(MID(Metadata!E353,6,2))&gt;=1,FALSE),IFERROR(INT(MID(Metadata!E353,6,2))&lt;=12,FALSE)), OR(MID(Metadata!E353,8,1)="", AND(AND(MID(Metadata!E353,8,1)="-",IFERROR(INT(MID(Metadata!E353,9,1))&gt;=0,FALSE),IFERROR(INT(MID(Metadata!E353,9,1))&lt;=3,FALSE),NOT(MID(Metadata!E353,10,1)=""),IFERROR(INT(MID(Metadata!E353,9,2))&gt;=1,FALSE),IFERROR(INT(MID(Metadata!E353,9,2))&lt;=31,FALSE)), OR(MID(Metadata!E353,11,1)="", AND(AND(MID(Metadata!E353,11,1)=" ",IFERROR(INT(MID(Metadata!E353,12,1))&gt;=0,FALSE),IFERROR(INT(MID(Metadata!E353,12,1))&lt;=2,FALSE),NOT(MID(Metadata!E353,13,1)=""),IFERROR(INT(MID(Metadata!E353,12,2))&gt;=0,FALSE),IFERROR(INT(MID(Metadata!E353,12,2))&lt;=23,FALSE)), OR(MID(Metadata!E353,14,1)="", AND(AND(MID(Metadata!E353,14,1)=":",IFERROR(INT(MID(Metadata!E353,15,1))&gt;=0,FALSE),IFERROR(INT(MID(Metadata!E353,15,1))&lt;=5,FALSE),NOT(MID(Metadata!E353,16,1)=""),IFERROR(INT(MID(Metadata!E353,15,2))&gt;=0,FALSE),IFERROR(INT(MID(Metadata!E353,15,2))&lt;=59,FALSE)), OR(MID(Metadata!E353,17,1)="", AND(AND(MID(Metadata!E353,17,1)=":",IFERROR(INT(MID(Metadata!E353,18,1))&gt;=0,FALSE),IFERROR(INT(MID(Metadata!E353,18,1))&lt;=5,FALSE),NOT(MID(Metadata!E353,19,1)=""),IFERROR(INT(MID(Metadata!E353,18,2))&gt;=0,FALSE),IFERROR(INT(MID(Metadata!E353,18,2))&lt;=59,FALSE)), LEN(Metadata!E353)&lt;=19)))))))))))))</f>
        <v>0</v>
      </c>
      <c r="AS353" t="b">
        <f>IF(Metadata!F353="",FALSE,TRUE)</f>
        <v>0</v>
      </c>
      <c r="AT353" t="b">
        <f>OR(AND(IF(Metadata!G353="",FALSE,TRUE),OR(EXACT(Metadata!G353,"not collected"),EXACT(Metadata!G353,"not provided"))),AND(IF(Metadata!G353="",FALSE,TRUE),OR(EXACT(Metadata!G353,"TRUE"),EXACT(Metadata!G353,"FALSE"))))</f>
        <v>0</v>
      </c>
      <c r="AU353" t="b">
        <f>OR(AND(IF(Metadata!H353="",FALSE,TRUE),OR(EXACT(Metadata!H353,"not collected"),EXACT(Metadata!H353,"not provided"),EXACT(Metadata!H353,"restricted access"))),AND(IF(Metadata!H353="",FALSE,ISNUMBER(VALUE(Metadata!H353))),Metadata!H353&gt;=-413))</f>
        <v>0</v>
      </c>
      <c r="AV353" t="b">
        <f>AND(IF(Metadata!I353="",FALSE,TRUE),EXACT(Metadata!I353,"meters"))</f>
        <v>0</v>
      </c>
      <c r="AW353" t="b">
        <f>AND(IF(Metadata!J353="",FALSE,TRUE),EXACT(Metadata!J353,"free-living"))</f>
        <v>0</v>
      </c>
      <c r="AX353" t="b">
        <f>AND(IF(Metadata!K353="",FALSE,TRUE),OR(EXACT(Metadata!K353,"saline"),EXACT(Metadata!K353,"non-saline")))</f>
        <v>0</v>
      </c>
      <c r="AY353" t="b">
        <f>AND(IF(Metadata!L353="",FALSE,TRUE),OR(EXACT(Metadata!L353,"sub-surface (non-saline)"),EXACT(Metadata!L353,"surface (non-saline)"),EXACT(Metadata!L353,"water (non-saline)"),EXACT(Metadata!L353,"soil (non-saline)"),EXACT(Metadata!L353,"aerosol (non-saline)"),EXACT(Metadata!L353,"sediment (non-saline)"),EXACT(Metadata!L353,"surface (saline)"),EXACT(Metadata!L353,"water (saline)"),EXACT(Metadata!L353,"hypersaline (saline)"),EXACT(Metadata!L353,"aerosol (saline)"),EXACT(Metadata!L353,"sediment (saline)")))</f>
        <v>0</v>
      </c>
      <c r="AZ353" t="b">
        <f>IF(Metadata!M353="",FALSE,TRUE)</f>
        <v>0</v>
      </c>
      <c r="BA353" t="b">
        <f>IF(Metadata!N353="",FALSE,TRUE)</f>
        <v>0</v>
      </c>
      <c r="BB353" t="b">
        <f>IF(Metadata!O353="",FALSE,TRUE)</f>
        <v>0</v>
      </c>
      <c r="BC353" t="b">
        <f>AND(IF(Metadata!P353="",FALSE,TRUE),OR(EXACT(Metadata!P353,"air"),EXACT(Metadata!P353,"microbial mat/biofilm"),EXACT(Metadata!P353,"misc environment"),EXACT(Metadata!P353,"sediment"),EXACT(Metadata!P353,"soil"),EXACT(Metadata!P353,"wastewater/sludge"),EXACT(Metadata!P353,"water")))</f>
        <v>0</v>
      </c>
      <c r="BD353" t="b">
        <f>IF(Metadata!Q353="",FALSE,TRUE)</f>
        <v>0</v>
      </c>
      <c r="BE353" t="b">
        <f>IF(Metadata!R353="",FALSE,TRUE)</f>
        <v>0</v>
      </c>
      <c r="BF353" t="b">
        <f>OR(AND(IF(Metadata!S353="",FALSE,TRUE),OR(EXACT(Metadata!S353,"not collected"),EXACT(Metadata!S353,"not provided"),EXACT(Metadata!S353,"restricted access"))),AND(IF(Metadata!S353="",FALSE,ISNUMBER(VALUE(Metadata!S353))),Metadata!S353&gt;=-90,Metadata!S353&lt;=90))</f>
        <v>0</v>
      </c>
      <c r="BG353" t="b">
        <f>AND(IF(Metadata!T353="",FALSE,TRUE),EXACT(Metadata!T353,"Decimal degrees"))</f>
        <v>0</v>
      </c>
      <c r="BH353" t="b">
        <f>OR(AND(IF(Metadata!U353="",FALSE,TRUE),OR(EXACT(Metadata!U353,"not applicable"),EXACT(Metadata!U353,"not collected"))),IF(Metadata!U353="",FALSE,TRUE))</f>
        <v>0</v>
      </c>
      <c r="BI353" t="b">
        <f>OR(AND(IF(Metadata!V353="",FALSE,TRUE),OR(EXACT(Metadata!V353,"not collected"),EXACT(Metadata!V353,"not provided"),EXACT(Metadata!V353,"restricted access"))),AND(IF(Metadata!V353="",FALSE,ISNUMBER(VALUE(Metadata!V353))),Metadata!V353&gt;=-180,Metadata!V353&lt;=180))</f>
        <v>0</v>
      </c>
      <c r="BJ353" t="b">
        <f>AND(IF(Metadata!W353="",FALSE,TRUE),EXACT(Metadata!W353,"Decimal degrees"))</f>
        <v>0</v>
      </c>
      <c r="BK353" t="b">
        <f>IF(Metadata!X353="",FALSE,TRUE)</f>
        <v>0</v>
      </c>
      <c r="BL353" t="b">
        <f>OR(AND(IF(Metadata!Y353="",FALSE,TRUE),OR(EXACT(Metadata!Y353,"not collected"),EXACT(Metadata!Y353,"not provided"),EXACT(Metadata!Y353,"restricted access"))),AND(IF(Metadata!Y353="",FALSE,TRUE),OR(EXACT(Metadata!Y353,"TRUE"),EXACT(Metadata!Y353,"FALSE"))))</f>
        <v>0</v>
      </c>
      <c r="BM353" t="b">
        <f>OR(AND(IF(Metadata!Z353="",FALSE,TRUE),EXACT(Metadata!Z353,"not applicable")),AND(IF(Metadata!Z353="",FALSE,TRUE),OR(EXACT(Metadata!Z353,"beer"),EXACT(Metadata!Z353,"cheese"),EXACT(Metadata!Z353,"fresh water"),EXACT(Metadata!Z353,"marine sediment"),EXACT(Metadata!Z353,"sea water"),EXACT(Metadata!Z353,"sediment"),EXACT(Metadata!Z353,"soil"),EXACT(Metadata!Z353,"waste water"))))</f>
        <v>0</v>
      </c>
      <c r="BN353" t="b">
        <f>AND(IF(Metadata!AA353="",FALSE,TRUE),EXACT(Metadata!AA353,"metagenome"))</f>
        <v>0</v>
      </c>
      <c r="BO353" t="b">
        <f>AND(IF(Metadata!AB353="",FALSE,TRUE),EXACT(Metadata!AB353,"256318"))</f>
        <v>0</v>
      </c>
      <c r="BP353" t="b">
        <f>IF(Metadata!AC353="",FALSE,TRUE)</f>
        <v>0</v>
      </c>
      <c r="BQ353" t="b">
        <f>IF(Metadata!AD353="",FALSE,TRUE)</f>
        <v>0</v>
      </c>
    </row>
    <row r="354" spans="1:69" x14ac:dyDescent="0.2">
      <c r="A354" s="4" t="e">
        <f ca="1">IF(B354=" "," ",HYPERLINK(CONCATENATE("#metadata!",ADDRESS(INDEX($AJ$2:$AJ$1001,MATCH(ROWS($AH$2:AH354),$AH$2:$AH$1001,0),0),2)),INDEX($AM$2:$AM$1001,MATCH(ROWS($AH$2:AH354),$AH$2:$AH$1001,0),0)))</f>
        <v>#N/A</v>
      </c>
      <c r="B354" s="5" t="e">
        <f ca="1">IF(OR(INDEX($AI$2:$AI$1001,MATCH(ROWS($AH$2:AH354),$AH$2:$AH$1001,0),1)&gt;=100000,INDEX($AO$1005:$BQ$1005,1,MATCH(COLUMNS($AO$1006:AO1006),$AO$1006:$BQ$1006,0))&gt;=100000), " ",IF(INDEX($AO$2:$BQ$1001,MATCH(ROWS($AH$2:AH354),$AH$2:$AH$1001,0),MATCH(COLUMNS($AO$1006:AO1006),$AO$1006:$BQ$1006,0)), HYPERLINK("#",""), HYPERLINK(CONCATENATE("#Metadata!", ADDRESS(INDEX($AJ$2:$AJ$1001,MATCH(ROWS($AH$2:AH354),$AH$2:$AH$1001,0),0), INDEX($AO$1004:$BQ$1004,1,MATCH(COLUMNS($AO$1006:AO1006),$AO$1006:$BQ$1006,0)))),"Fix")))</f>
        <v>#N/A</v>
      </c>
      <c r="C354" s="5" t="e">
        <f ca="1">IF(OR(INDEX($AI$2:$AI$1001,MATCH(ROWS($AH$2:AH354),$AH$2:$AH$1001,0),1)&gt;=100000,INDEX($AO$1005:$BQ$1005,1,MATCH(COLUMNS($AO$1006:AP1006),$AO$1006:$BQ$1006,0))&gt;=100000), " ",IF(INDEX($AO$2:$BQ$1001,MATCH(ROWS($AH$2:AH354),$AH$2:$AH$1001,0),MATCH(COLUMNS($AO$1006:AP1006),$AO$1006:$BQ$1006,0)), HYPERLINK("#",""), HYPERLINK(CONCATENATE("#Metadata!", ADDRESS(INDEX($AJ$2:$AJ$1001,MATCH(ROWS($AH$2:AH354),$AH$2:$AH$1001,0),0), INDEX($AO$1004:$BQ$1004,1,MATCH(COLUMNS($AO$1006:AP1006),$AO$1006:$BQ$1006,0)))),"Fix")))</f>
        <v>#N/A</v>
      </c>
      <c r="D354" s="5" t="e">
        <f ca="1">IF(OR(INDEX($AI$2:$AI$1001,MATCH(ROWS($AH$2:AH354),$AH$2:$AH$1001,0),1)&gt;=100000,INDEX($AO$1005:$BQ$1005,1,MATCH(COLUMNS($AO$1006:AQ1006),$AO$1006:$BQ$1006,0))&gt;=100000), " ",IF(INDEX($AO$2:$BQ$1001,MATCH(ROWS($AH$2:AH354),$AH$2:$AH$1001,0),MATCH(COLUMNS($AO$1006:AQ1006),$AO$1006:$BQ$1006,0)), HYPERLINK("#",""), HYPERLINK(CONCATENATE("#Metadata!", ADDRESS(INDEX($AJ$2:$AJ$1001,MATCH(ROWS($AH$2:AH354),$AH$2:$AH$1001,0),0), INDEX($AO$1004:$BQ$1004,1,MATCH(COLUMNS($AO$1006:AQ1006),$AO$1006:$BQ$1006,0)))),"Fix")))</f>
        <v>#N/A</v>
      </c>
      <c r="E354" s="5" t="e">
        <f ca="1">IF(OR(INDEX($AI$2:$AI$1001,MATCH(ROWS($AH$2:AH354),$AH$2:$AH$1001,0),1)&gt;=100000,INDEX($AO$1005:$BQ$1005,1,MATCH(COLUMNS($AO$1006:AR1006),$AO$1006:$BQ$1006,0))&gt;=100000), " ",IF(INDEX($AO$2:$BQ$1001,MATCH(ROWS($AH$2:AH354),$AH$2:$AH$1001,0),MATCH(COLUMNS($AO$1006:AR1006),$AO$1006:$BQ$1006,0)), HYPERLINK("#",""), HYPERLINK(CONCATENATE("#Metadata!", ADDRESS(INDEX($AJ$2:$AJ$1001,MATCH(ROWS($AH$2:AH354),$AH$2:$AH$1001,0),0), INDEX($AO$1004:$BQ$1004,1,MATCH(COLUMNS($AO$1006:AR1006),$AO$1006:$BQ$1006,0)))),"Fix")))</f>
        <v>#N/A</v>
      </c>
      <c r="F354" s="5" t="e">
        <f ca="1">IF(OR(INDEX($AI$2:$AI$1001,MATCH(ROWS($AH$2:AH354),$AH$2:$AH$1001,0),1)&gt;=100000,INDEX($AO$1005:$BQ$1005,1,MATCH(COLUMNS($AO$1006:AS1006),$AO$1006:$BQ$1006,0))&gt;=100000), " ",IF(INDEX($AO$2:$BQ$1001,MATCH(ROWS($AH$2:AH354),$AH$2:$AH$1001,0),MATCH(COLUMNS($AO$1006:AS1006),$AO$1006:$BQ$1006,0)), HYPERLINK("#",""), HYPERLINK(CONCATENATE("#Metadata!", ADDRESS(INDEX($AJ$2:$AJ$1001,MATCH(ROWS($AH$2:AH354),$AH$2:$AH$1001,0),0), INDEX($AO$1004:$BQ$1004,1,MATCH(COLUMNS($AO$1006:AS1006),$AO$1006:$BQ$1006,0)))),"Fix")))</f>
        <v>#N/A</v>
      </c>
      <c r="G354" s="5" t="e">
        <f ca="1">IF(OR(INDEX($AI$2:$AI$1001,MATCH(ROWS($AH$2:AH354),$AH$2:$AH$1001,0),1)&gt;=100000,INDEX($AO$1005:$BQ$1005,1,MATCH(COLUMNS($AO$1006:AT1006),$AO$1006:$BQ$1006,0))&gt;=100000), " ",IF(INDEX($AO$2:$BQ$1001,MATCH(ROWS($AH$2:AH354),$AH$2:$AH$1001,0),MATCH(COLUMNS($AO$1006:AT1006),$AO$1006:$BQ$1006,0)), HYPERLINK("#",""), HYPERLINK(CONCATENATE("#Metadata!", ADDRESS(INDEX($AJ$2:$AJ$1001,MATCH(ROWS($AH$2:AH354),$AH$2:$AH$1001,0),0), INDEX($AO$1004:$BQ$1004,1,MATCH(COLUMNS($AO$1006:AT1006),$AO$1006:$BQ$1006,0)))),"Fix")))</f>
        <v>#N/A</v>
      </c>
      <c r="H354" s="5" t="e">
        <f ca="1">IF(OR(INDEX($AI$2:$AI$1001,MATCH(ROWS($AH$2:AH354),$AH$2:$AH$1001,0),1)&gt;=100000,INDEX($AO$1005:$BQ$1005,1,MATCH(COLUMNS($AO$1006:AU1006),$AO$1006:$BQ$1006,0))&gt;=100000), " ",IF(INDEX($AO$2:$BQ$1001,MATCH(ROWS($AH$2:AH354),$AH$2:$AH$1001,0),MATCH(COLUMNS($AO$1006:AU1006),$AO$1006:$BQ$1006,0)), HYPERLINK("#",""), HYPERLINK(CONCATENATE("#Metadata!", ADDRESS(INDEX($AJ$2:$AJ$1001,MATCH(ROWS($AH$2:AH354),$AH$2:$AH$1001,0),0), INDEX($AO$1004:$BQ$1004,1,MATCH(COLUMNS($AO$1006:AU1006),$AO$1006:$BQ$1006,0)))),"Fix")))</f>
        <v>#N/A</v>
      </c>
      <c r="I354" s="5" t="e">
        <f ca="1">IF(OR(INDEX($AI$2:$AI$1001,MATCH(ROWS($AH$2:AH354),$AH$2:$AH$1001,0),1)&gt;=100000,INDEX($AO$1005:$BQ$1005,1,MATCH(COLUMNS($AO$1006:AV1006),$AO$1006:$BQ$1006,0))&gt;=100000), " ",IF(INDEX($AO$2:$BQ$1001,MATCH(ROWS($AH$2:AH354),$AH$2:$AH$1001,0),MATCH(COLUMNS($AO$1006:AV1006),$AO$1006:$BQ$1006,0)), HYPERLINK("#",""), HYPERLINK(CONCATENATE("#Metadata!", ADDRESS(INDEX($AJ$2:$AJ$1001,MATCH(ROWS($AH$2:AH354),$AH$2:$AH$1001,0),0), INDEX($AO$1004:$BQ$1004,1,MATCH(COLUMNS($AO$1006:AV1006),$AO$1006:$BQ$1006,0)))),"Fix")))</f>
        <v>#N/A</v>
      </c>
      <c r="J354" s="5" t="e">
        <f ca="1">IF(OR(INDEX($AI$2:$AI$1001,MATCH(ROWS($AH$2:AH354),$AH$2:$AH$1001,0),1)&gt;=100000,INDEX($AO$1005:$BQ$1005,1,MATCH(COLUMNS($AO$1006:AW1006),$AO$1006:$BQ$1006,0))&gt;=100000), " ",IF(INDEX($AO$2:$BQ$1001,MATCH(ROWS($AH$2:AH354),$AH$2:$AH$1001,0),MATCH(COLUMNS($AO$1006:AW1006),$AO$1006:$BQ$1006,0)), HYPERLINK("#",""), HYPERLINK(CONCATENATE("#Metadata!", ADDRESS(INDEX($AJ$2:$AJ$1001,MATCH(ROWS($AH$2:AH354),$AH$2:$AH$1001,0),0), INDEX($AO$1004:$BQ$1004,1,MATCH(COLUMNS($AO$1006:AW1006),$AO$1006:$BQ$1006,0)))),"Fix")))</f>
        <v>#N/A</v>
      </c>
      <c r="K354" s="5" t="e">
        <f ca="1">IF(OR(INDEX($AI$2:$AI$1001,MATCH(ROWS($AH$2:AH354),$AH$2:$AH$1001,0),1)&gt;=100000,INDEX($AO$1005:$BQ$1005,1,MATCH(COLUMNS($AO$1006:AX1006),$AO$1006:$BQ$1006,0))&gt;=100000), " ",IF(INDEX($AO$2:$BQ$1001,MATCH(ROWS($AH$2:AH354),$AH$2:$AH$1001,0),MATCH(COLUMNS($AO$1006:AX1006),$AO$1006:$BQ$1006,0)), HYPERLINK("#",""), HYPERLINK(CONCATENATE("#Metadata!", ADDRESS(INDEX($AJ$2:$AJ$1001,MATCH(ROWS($AH$2:AH354),$AH$2:$AH$1001,0),0), INDEX($AO$1004:$BQ$1004,1,MATCH(COLUMNS($AO$1006:AX1006),$AO$1006:$BQ$1006,0)))),"Fix")))</f>
        <v>#N/A</v>
      </c>
      <c r="L354" s="5" t="e">
        <f ca="1">IF(OR(INDEX($AI$2:$AI$1001,MATCH(ROWS($AH$2:AH354),$AH$2:$AH$1001,0),1)&gt;=100000,INDEX($AO$1005:$BQ$1005,1,MATCH(COLUMNS($AO$1006:AY1006),$AO$1006:$BQ$1006,0))&gt;=100000), " ",IF(INDEX($AO$2:$BQ$1001,MATCH(ROWS($AH$2:AH354),$AH$2:$AH$1001,0),MATCH(COLUMNS($AO$1006:AY1006),$AO$1006:$BQ$1006,0)), HYPERLINK("#",""), HYPERLINK(CONCATENATE("#Metadata!", ADDRESS(INDEX($AJ$2:$AJ$1001,MATCH(ROWS($AH$2:AH354),$AH$2:$AH$1001,0),0), INDEX($AO$1004:$BQ$1004,1,MATCH(COLUMNS($AO$1006:AY1006),$AO$1006:$BQ$1006,0)))),"Fix")))</f>
        <v>#N/A</v>
      </c>
      <c r="M354" s="5" t="e">
        <f ca="1">IF(OR(INDEX($AI$2:$AI$1001,MATCH(ROWS($AH$2:AH354),$AH$2:$AH$1001,0),1)&gt;=100000,INDEX($AO$1005:$BQ$1005,1,MATCH(COLUMNS($AO$1006:AZ1006),$AO$1006:$BQ$1006,0))&gt;=100000), " ",IF(INDEX($AO$2:$BQ$1001,MATCH(ROWS($AH$2:AH354),$AH$2:$AH$1001,0),MATCH(COLUMNS($AO$1006:AZ1006),$AO$1006:$BQ$1006,0)), HYPERLINK("#",""), HYPERLINK(CONCATENATE("#Metadata!", ADDRESS(INDEX($AJ$2:$AJ$1001,MATCH(ROWS($AH$2:AH354),$AH$2:$AH$1001,0),0), INDEX($AO$1004:$BQ$1004,1,MATCH(COLUMNS($AO$1006:AZ1006),$AO$1006:$BQ$1006,0)))),"Fix")))</f>
        <v>#N/A</v>
      </c>
      <c r="N354" s="5" t="e">
        <f ca="1">IF(OR(INDEX($AI$2:$AI$1001,MATCH(ROWS($AH$2:AH354),$AH$2:$AH$1001,0),1)&gt;=100000,INDEX($AO$1005:$BQ$1005,1,MATCH(COLUMNS($AO$1006:BA1006),$AO$1006:$BQ$1006,0))&gt;=100000), " ",IF(INDEX($AO$2:$BQ$1001,MATCH(ROWS($AH$2:AH354),$AH$2:$AH$1001,0),MATCH(COLUMNS($AO$1006:BA1006),$AO$1006:$BQ$1006,0)), HYPERLINK("#",""), HYPERLINK(CONCATENATE("#Metadata!", ADDRESS(INDEX($AJ$2:$AJ$1001,MATCH(ROWS($AH$2:AH354),$AH$2:$AH$1001,0),0), INDEX($AO$1004:$BQ$1004,1,MATCH(COLUMNS($AO$1006:BA1006),$AO$1006:$BQ$1006,0)))),"Fix")))</f>
        <v>#N/A</v>
      </c>
      <c r="O354" s="5" t="e">
        <f ca="1">IF(OR(INDEX($AI$2:$AI$1001,MATCH(ROWS($AH$2:AH354),$AH$2:$AH$1001,0),1)&gt;=100000,INDEX($AO$1005:$BQ$1005,1,MATCH(COLUMNS($AO$1006:BB1006),$AO$1006:$BQ$1006,0))&gt;=100000), " ",IF(INDEX($AO$2:$BQ$1001,MATCH(ROWS($AH$2:AH354),$AH$2:$AH$1001,0),MATCH(COLUMNS($AO$1006:BB1006),$AO$1006:$BQ$1006,0)), HYPERLINK("#",""), HYPERLINK(CONCATENATE("#Metadata!", ADDRESS(INDEX($AJ$2:$AJ$1001,MATCH(ROWS($AH$2:AH354),$AH$2:$AH$1001,0),0), INDEX($AO$1004:$BQ$1004,1,MATCH(COLUMNS($AO$1006:BB1006),$AO$1006:$BQ$1006,0)))),"Fix")))</f>
        <v>#N/A</v>
      </c>
      <c r="P354" s="5" t="e">
        <f ca="1">IF(OR(INDEX($AI$2:$AI$1001,MATCH(ROWS($AH$2:AH354),$AH$2:$AH$1001,0),1)&gt;=100000,INDEX($AO$1005:$BQ$1005,1,MATCH(COLUMNS($AO$1006:BC1006),$AO$1006:$BQ$1006,0))&gt;=100000), " ",IF(INDEX($AO$2:$BQ$1001,MATCH(ROWS($AH$2:AH354),$AH$2:$AH$1001,0),MATCH(COLUMNS($AO$1006:BC1006),$AO$1006:$BQ$1006,0)), HYPERLINK("#",""), HYPERLINK(CONCATENATE("#Metadata!", ADDRESS(INDEX($AJ$2:$AJ$1001,MATCH(ROWS($AH$2:AH354),$AH$2:$AH$1001,0),0), INDEX($AO$1004:$BQ$1004,1,MATCH(COLUMNS($AO$1006:BC1006),$AO$1006:$BQ$1006,0)))),"Fix")))</f>
        <v>#N/A</v>
      </c>
      <c r="Q354" s="5" t="e">
        <f ca="1">IF(OR(INDEX($AI$2:$AI$1001,MATCH(ROWS($AH$2:AH354),$AH$2:$AH$1001,0),1)&gt;=100000,INDEX($AO$1005:$BQ$1005,1,MATCH(COLUMNS($AO$1006:BD1006),$AO$1006:$BQ$1006,0))&gt;=100000), " ",IF(INDEX($AO$2:$BQ$1001,MATCH(ROWS($AH$2:AH354),$AH$2:$AH$1001,0),MATCH(COLUMNS($AO$1006:BD1006),$AO$1006:$BQ$1006,0)), HYPERLINK("#",""), HYPERLINK(CONCATENATE("#Metadata!", ADDRESS(INDEX($AJ$2:$AJ$1001,MATCH(ROWS($AH$2:AH354),$AH$2:$AH$1001,0),0), INDEX($AO$1004:$BQ$1004,1,MATCH(COLUMNS($AO$1006:BD1006),$AO$1006:$BQ$1006,0)))),"Fix")))</f>
        <v>#N/A</v>
      </c>
      <c r="R354" s="5" t="e">
        <f ca="1">IF(OR(INDEX($AI$2:$AI$1001,MATCH(ROWS($AH$2:AH354),$AH$2:$AH$1001,0),1)&gt;=100000,INDEX($AO$1005:$BQ$1005,1,MATCH(COLUMNS($AO$1006:BE1006),$AO$1006:$BQ$1006,0))&gt;=100000), " ",IF(INDEX($AO$2:$BQ$1001,MATCH(ROWS($AH$2:AH354),$AH$2:$AH$1001,0),MATCH(COLUMNS($AO$1006:BE1006),$AO$1006:$BQ$1006,0)), HYPERLINK("#",""), HYPERLINK(CONCATENATE("#Metadata!", ADDRESS(INDEX($AJ$2:$AJ$1001,MATCH(ROWS($AH$2:AH354),$AH$2:$AH$1001,0),0), INDEX($AO$1004:$BQ$1004,1,MATCH(COLUMNS($AO$1006:BE1006),$AO$1006:$BQ$1006,0)))),"Fix")))</f>
        <v>#N/A</v>
      </c>
      <c r="S354" s="5" t="e">
        <f ca="1">IF(OR(INDEX($AI$2:$AI$1001,MATCH(ROWS($AH$2:AH354),$AH$2:$AH$1001,0),1)&gt;=100000,INDEX($AO$1005:$BQ$1005,1,MATCH(COLUMNS($AO$1006:BF1006),$AO$1006:$BQ$1006,0))&gt;=100000), " ",IF(INDEX($AO$2:$BQ$1001,MATCH(ROWS($AH$2:AH354),$AH$2:$AH$1001,0),MATCH(COLUMNS($AO$1006:BF1006),$AO$1006:$BQ$1006,0)), HYPERLINK("#",""), HYPERLINK(CONCATENATE("#Metadata!", ADDRESS(INDEX($AJ$2:$AJ$1001,MATCH(ROWS($AH$2:AH354),$AH$2:$AH$1001,0),0), INDEX($AO$1004:$BQ$1004,1,MATCH(COLUMNS($AO$1006:BF1006),$AO$1006:$BQ$1006,0)))),"Fix")))</f>
        <v>#N/A</v>
      </c>
      <c r="T354" s="5" t="e">
        <f ca="1">IF(OR(INDEX($AI$2:$AI$1001,MATCH(ROWS($AH$2:AH354),$AH$2:$AH$1001,0),1)&gt;=100000,INDEX($AO$1005:$BQ$1005,1,MATCH(COLUMNS($AO$1006:BG1006),$AO$1006:$BQ$1006,0))&gt;=100000), " ",IF(INDEX($AO$2:$BQ$1001,MATCH(ROWS($AH$2:AH354),$AH$2:$AH$1001,0),MATCH(COLUMNS($AO$1006:BG1006),$AO$1006:$BQ$1006,0)), HYPERLINK("#",""), HYPERLINK(CONCATENATE("#Metadata!", ADDRESS(INDEX($AJ$2:$AJ$1001,MATCH(ROWS($AH$2:AH354),$AH$2:$AH$1001,0),0), INDEX($AO$1004:$BQ$1004,1,MATCH(COLUMNS($AO$1006:BG1006),$AO$1006:$BQ$1006,0)))),"Fix")))</f>
        <v>#N/A</v>
      </c>
      <c r="U354" s="5" t="e">
        <f ca="1">IF(OR(INDEX($AI$2:$AI$1001,MATCH(ROWS($AH$2:AH354),$AH$2:$AH$1001,0),1)&gt;=100000,INDEX($AO$1005:$BQ$1005,1,MATCH(COLUMNS($AO$1006:BH1006),$AO$1006:$BQ$1006,0))&gt;=100000), " ",IF(INDEX($AO$2:$BQ$1001,MATCH(ROWS($AH$2:AH354),$AH$2:$AH$1001,0),MATCH(COLUMNS($AO$1006:BH1006),$AO$1006:$BQ$1006,0)), HYPERLINK("#",""), HYPERLINK(CONCATENATE("#Metadata!", ADDRESS(INDEX($AJ$2:$AJ$1001,MATCH(ROWS($AH$2:AH354),$AH$2:$AH$1001,0),0), INDEX($AO$1004:$BQ$1004,1,MATCH(COLUMNS($AO$1006:BH1006),$AO$1006:$BQ$1006,0)))),"Fix")))</f>
        <v>#N/A</v>
      </c>
      <c r="V354" s="5" t="e">
        <f ca="1">IF(OR(INDEX($AI$2:$AI$1001,MATCH(ROWS($AH$2:AH354),$AH$2:$AH$1001,0),1)&gt;=100000,INDEX($AO$1005:$BQ$1005,1,MATCH(COLUMNS($AO$1006:BI1006),$AO$1006:$BQ$1006,0))&gt;=100000), " ",IF(INDEX($AO$2:$BQ$1001,MATCH(ROWS($AH$2:AH354),$AH$2:$AH$1001,0),MATCH(COLUMNS($AO$1006:BI1006),$AO$1006:$BQ$1006,0)), HYPERLINK("#",""), HYPERLINK(CONCATENATE("#Metadata!", ADDRESS(INDEX($AJ$2:$AJ$1001,MATCH(ROWS($AH$2:AH354),$AH$2:$AH$1001,0),0), INDEX($AO$1004:$BQ$1004,1,MATCH(COLUMNS($AO$1006:BI1006),$AO$1006:$BQ$1006,0)))),"Fix")))</f>
        <v>#N/A</v>
      </c>
      <c r="W354" s="5" t="e">
        <f ca="1">IF(OR(INDEX($AI$2:$AI$1001,MATCH(ROWS($AH$2:AH354),$AH$2:$AH$1001,0),1)&gt;=100000,INDEX($AO$1005:$BQ$1005,1,MATCH(COLUMNS($AO$1006:BJ1006),$AO$1006:$BQ$1006,0))&gt;=100000), " ",IF(INDEX($AO$2:$BQ$1001,MATCH(ROWS($AH$2:AH354),$AH$2:$AH$1001,0),MATCH(COLUMNS($AO$1006:BJ1006),$AO$1006:$BQ$1006,0)), HYPERLINK("#",""), HYPERLINK(CONCATENATE("#Metadata!", ADDRESS(INDEX($AJ$2:$AJ$1001,MATCH(ROWS($AH$2:AH354),$AH$2:$AH$1001,0),0), INDEX($AO$1004:$BQ$1004,1,MATCH(COLUMNS($AO$1006:BJ1006),$AO$1006:$BQ$1006,0)))),"Fix")))</f>
        <v>#N/A</v>
      </c>
      <c r="X354" s="5" t="e">
        <f ca="1">IF(OR(INDEX($AI$2:$AI$1001,MATCH(ROWS($AH$2:AH354),$AH$2:$AH$1001,0),1)&gt;=100000,INDEX($AO$1005:$BQ$1005,1,MATCH(COLUMNS($AO$1006:BK1006),$AO$1006:$BQ$1006,0))&gt;=100000), " ",IF(INDEX($AO$2:$BQ$1001,MATCH(ROWS($AH$2:AH354),$AH$2:$AH$1001,0),MATCH(COLUMNS($AO$1006:BK1006),$AO$1006:$BQ$1006,0)), HYPERLINK("#",""), HYPERLINK(CONCATENATE("#Metadata!", ADDRESS(INDEX($AJ$2:$AJ$1001,MATCH(ROWS($AH$2:AH354),$AH$2:$AH$1001,0),0), INDEX($AO$1004:$BQ$1004,1,MATCH(COLUMNS($AO$1006:BK1006),$AO$1006:$BQ$1006,0)))),"Fix")))</f>
        <v>#N/A</v>
      </c>
      <c r="Y354" s="5" t="e">
        <f ca="1">IF(OR(INDEX($AI$2:$AI$1001,MATCH(ROWS($AH$2:AH354),$AH$2:$AH$1001,0),1)&gt;=100000,INDEX($AO$1005:$BQ$1005,1,MATCH(COLUMNS($AO$1006:BL1006),$AO$1006:$BQ$1006,0))&gt;=100000), " ",IF(INDEX($AO$2:$BQ$1001,MATCH(ROWS($AH$2:AH354),$AH$2:$AH$1001,0),MATCH(COLUMNS($AO$1006:BL1006),$AO$1006:$BQ$1006,0)), HYPERLINK("#",""), HYPERLINK(CONCATENATE("#Metadata!", ADDRESS(INDEX($AJ$2:$AJ$1001,MATCH(ROWS($AH$2:AH354),$AH$2:$AH$1001,0),0), INDEX($AO$1004:$BQ$1004,1,MATCH(COLUMNS($AO$1006:BL1006),$AO$1006:$BQ$1006,0)))),"Fix")))</f>
        <v>#N/A</v>
      </c>
      <c r="Z354" s="5" t="e">
        <f ca="1">IF(OR(INDEX($AI$2:$AI$1001,MATCH(ROWS($AH$2:AH354),$AH$2:$AH$1001,0),1)&gt;=100000,INDEX($AO$1005:$BQ$1005,1,MATCH(COLUMNS($AO$1006:BM1006),$AO$1006:$BQ$1006,0))&gt;=100000), " ",IF(INDEX($AO$2:$BQ$1001,MATCH(ROWS($AH$2:AH354),$AH$2:$AH$1001,0),MATCH(COLUMNS($AO$1006:BM1006),$AO$1006:$BQ$1006,0)), HYPERLINK("#",""), HYPERLINK(CONCATENATE("#Metadata!", ADDRESS(INDEX($AJ$2:$AJ$1001,MATCH(ROWS($AH$2:AH354),$AH$2:$AH$1001,0),0), INDEX($AO$1004:$BQ$1004,1,MATCH(COLUMNS($AO$1006:BM1006),$AO$1006:$BQ$1006,0)))),"Fix")))</f>
        <v>#N/A</v>
      </c>
      <c r="AA354" s="5" t="e">
        <f ca="1">IF(OR(INDEX($AI$2:$AI$1001,MATCH(ROWS($AH$2:AH354),$AH$2:$AH$1001,0),1)&gt;=100000,INDEX($AO$1005:$BQ$1005,1,MATCH(COLUMNS($AO$1006:BN1006),$AO$1006:$BQ$1006,0))&gt;=100000), " ",IF(INDEX($AO$2:$BQ$1001,MATCH(ROWS($AH$2:AH354),$AH$2:$AH$1001,0),MATCH(COLUMNS($AO$1006:BN1006),$AO$1006:$BQ$1006,0)), HYPERLINK("#",""), HYPERLINK(CONCATENATE("#Metadata!", ADDRESS(INDEX($AJ$2:$AJ$1001,MATCH(ROWS($AH$2:AH354),$AH$2:$AH$1001,0),0), INDEX($AO$1004:$BQ$1004,1,MATCH(COLUMNS($AO$1006:BN1006),$AO$1006:$BQ$1006,0)))),"Fix")))</f>
        <v>#N/A</v>
      </c>
      <c r="AB354" s="5" t="e">
        <f ca="1">IF(OR(INDEX($AI$2:$AI$1001,MATCH(ROWS($AH$2:AH354),$AH$2:$AH$1001,0),1)&gt;=100000,INDEX($AO$1005:$BQ$1005,1,MATCH(COLUMNS($AO$1006:BO1006),$AO$1006:$BQ$1006,0))&gt;=100000), " ",IF(INDEX($AO$2:$BQ$1001,MATCH(ROWS($AH$2:AH354),$AH$2:$AH$1001,0),MATCH(COLUMNS($AO$1006:BO1006),$AO$1006:$BQ$1006,0)), HYPERLINK("#",""), HYPERLINK(CONCATENATE("#Metadata!", ADDRESS(INDEX($AJ$2:$AJ$1001,MATCH(ROWS($AH$2:AH354),$AH$2:$AH$1001,0),0), INDEX($AO$1004:$BQ$1004,1,MATCH(COLUMNS($AO$1006:BO1006),$AO$1006:$BQ$1006,0)))),"Fix")))</f>
        <v>#N/A</v>
      </c>
      <c r="AC354" s="5" t="e">
        <f ca="1">IF(OR(INDEX($AI$2:$AI$1001,MATCH(ROWS($AH$2:AH354),$AH$2:$AH$1001,0),1)&gt;=100000,INDEX($AO$1005:$BQ$1005,1,MATCH(COLUMNS($AO$1006:BP1006),$AO$1006:$BQ$1006,0))&gt;=100000), " ",IF(INDEX($AO$2:$BQ$1001,MATCH(ROWS($AH$2:AH354),$AH$2:$AH$1001,0),MATCH(COLUMNS($AO$1006:BP1006),$AO$1006:$BQ$1006,0)), HYPERLINK("#",""), HYPERLINK(CONCATENATE("#Metadata!", ADDRESS(INDEX($AJ$2:$AJ$1001,MATCH(ROWS($AH$2:AH354),$AH$2:$AH$1001,0),0), INDEX($AO$1004:$BQ$1004,1,MATCH(COLUMNS($AO$1006:BP1006),$AO$1006:$BQ$1006,0)))),"Fix")))</f>
        <v>#N/A</v>
      </c>
      <c r="AD354" s="5" t="e">
        <f ca="1">IF(OR(INDEX($AI$2:$AI$1001,MATCH(ROWS($AH$2:AH354),$AH$2:$AH$1001,0),1)&gt;=100000,INDEX($AO$1005:$BQ$1005,1,MATCH(COLUMNS($AO$1006:BQ1006),$AO$1006:$BQ$1006,0))&gt;=100000), " ",IF(INDEX($AO$2:$BQ$1001,MATCH(ROWS($AH$2:AH354),$AH$2:$AH$1001,0),MATCH(COLUMNS($AO$1006:BQ1006),$AO$1006:$BQ$1006,0)), HYPERLINK("#",""), HYPERLINK(CONCATENATE("#Metadata!", ADDRESS(INDEX($AJ$2:$AJ$1001,MATCH(ROWS($AH$2:AH354),$AH$2:$AH$1001,0),0), INDEX($AO$1004:$BQ$1004,1,MATCH(COLUMNS($AO$1006:BQ1006),$AO$1006:$BQ$1006,0)))),"Fix")))</f>
        <v>#REF!</v>
      </c>
      <c r="AH354">
        <f ca="1"/>
        <v>351</v>
      </c>
      <c r="AI354">
        <v>100354</v>
      </c>
      <c r="AJ354">
        <v>354</v>
      </c>
      <c r="AK354" t="b">
        <f t="shared" si="5"/>
        <v>1</v>
      </c>
      <c r="AL354" t="b">
        <f>COUNTBLANK(Metadata!B354:AD354)=COLUMNS(Metadata!B354:AD354)</f>
        <v>1</v>
      </c>
      <c r="AM354" t="str">
        <v/>
      </c>
      <c r="AO354" t="b">
        <f ca="1">AND(IF(Metadata!B354="",FALSE,TRUE),COUNTIF(Metadata!B:B, Metadata!B354) = 1,NOT(ISERROR(SUMPRODUCT(SEARCH(MID(Metadata!B354,ROW(INDIRECT("1:"&amp;LEN(Metadata!B354))), 1),"0123456789abcdefghijklmnopqrstuvwxyzABCDEFGHIJKLMNOPQRSTUVWXYZ.")))))</f>
        <v>0</v>
      </c>
      <c r="AP354" t="b">
        <f>IF(Metadata!C354="",FALSE,TRUE)</f>
        <v>0</v>
      </c>
      <c r="AQ354" t="b">
        <f>IF(Metadata!D354="",FALSE,TRUE)</f>
        <v>0</v>
      </c>
      <c r="AR354" t="b">
        <f ca="1">OR(AND(IF(Metadata!E354="",FALSE,TRUE),OR(EXACT(Metadata!E354,"not collected"),EXACT(Metadata!E354,"not provided"),EXACT(Metadata!E354,"restricted access"))),AND(IF(Metadata!E354="",FALSE,TRUE),AND(AND(IFERROR(INT(LEFT(Metadata!E354,4))&gt;1900,FALSE),IFERROR(INT(LEFT(Metadata!E354,4))&lt;=YEAR(NOW()),FALSE)), OR(MID(Metadata!E354,5,1)="", AND(AND(MID(Metadata!E354,5,1)="-",IFERROR(INT(MID(Metadata!E354,6,1))&gt;=0,FALSE),IFERROR(INT(MID(Metadata!E354,6,1))&lt;=1,FALSE),NOT(MID(Metadata!E354,7,1)=""),IFERROR(INT(MID(Metadata!E354,6,2))&gt;=1,FALSE),IFERROR(INT(MID(Metadata!E354,6,2))&lt;=12,FALSE)), OR(MID(Metadata!E354,8,1)="", AND(AND(MID(Metadata!E354,8,1)="-",IFERROR(INT(MID(Metadata!E354,9,1))&gt;=0,FALSE),IFERROR(INT(MID(Metadata!E354,9,1))&lt;=3,FALSE),NOT(MID(Metadata!E354,10,1)=""),IFERROR(INT(MID(Metadata!E354,9,2))&gt;=1,FALSE),IFERROR(INT(MID(Metadata!E354,9,2))&lt;=31,FALSE)), OR(MID(Metadata!E354,11,1)="", AND(AND(MID(Metadata!E354,11,1)=" ",IFERROR(INT(MID(Metadata!E354,12,1))&gt;=0,FALSE),IFERROR(INT(MID(Metadata!E354,12,1))&lt;=2,FALSE),NOT(MID(Metadata!E354,13,1)=""),IFERROR(INT(MID(Metadata!E354,12,2))&gt;=0,FALSE),IFERROR(INT(MID(Metadata!E354,12,2))&lt;=23,FALSE)), OR(MID(Metadata!E354,14,1)="", AND(AND(MID(Metadata!E354,14,1)=":",IFERROR(INT(MID(Metadata!E354,15,1))&gt;=0,FALSE),IFERROR(INT(MID(Metadata!E354,15,1))&lt;=5,FALSE),NOT(MID(Metadata!E354,16,1)=""),IFERROR(INT(MID(Metadata!E354,15,2))&gt;=0,FALSE),IFERROR(INT(MID(Metadata!E354,15,2))&lt;=59,FALSE)), OR(MID(Metadata!E354,17,1)="", AND(AND(MID(Metadata!E354,17,1)=":",IFERROR(INT(MID(Metadata!E354,18,1))&gt;=0,FALSE),IFERROR(INT(MID(Metadata!E354,18,1))&lt;=5,FALSE),NOT(MID(Metadata!E354,19,1)=""),IFERROR(INT(MID(Metadata!E354,18,2))&gt;=0,FALSE),IFERROR(INT(MID(Metadata!E354,18,2))&lt;=59,FALSE)), LEN(Metadata!E354)&lt;=19)))))))))))))</f>
        <v>0</v>
      </c>
      <c r="AS354" t="b">
        <f>IF(Metadata!F354="",FALSE,TRUE)</f>
        <v>0</v>
      </c>
      <c r="AT354" t="b">
        <f>OR(AND(IF(Metadata!G354="",FALSE,TRUE),OR(EXACT(Metadata!G354,"not collected"),EXACT(Metadata!G354,"not provided"))),AND(IF(Metadata!G354="",FALSE,TRUE),OR(EXACT(Metadata!G354,"TRUE"),EXACT(Metadata!G354,"FALSE"))))</f>
        <v>0</v>
      </c>
      <c r="AU354" t="b">
        <f>OR(AND(IF(Metadata!H354="",FALSE,TRUE),OR(EXACT(Metadata!H354,"not collected"),EXACT(Metadata!H354,"not provided"),EXACT(Metadata!H354,"restricted access"))),AND(IF(Metadata!H354="",FALSE,ISNUMBER(VALUE(Metadata!H354))),Metadata!H354&gt;=-413))</f>
        <v>0</v>
      </c>
      <c r="AV354" t="b">
        <f>AND(IF(Metadata!I354="",FALSE,TRUE),EXACT(Metadata!I354,"meters"))</f>
        <v>0</v>
      </c>
      <c r="AW354" t="b">
        <f>AND(IF(Metadata!J354="",FALSE,TRUE),EXACT(Metadata!J354,"free-living"))</f>
        <v>0</v>
      </c>
      <c r="AX354" t="b">
        <f>AND(IF(Metadata!K354="",FALSE,TRUE),OR(EXACT(Metadata!K354,"saline"),EXACT(Metadata!K354,"non-saline")))</f>
        <v>0</v>
      </c>
      <c r="AY354" t="b">
        <f>AND(IF(Metadata!L354="",FALSE,TRUE),OR(EXACT(Metadata!L354,"sub-surface (non-saline)"),EXACT(Metadata!L354,"surface (non-saline)"),EXACT(Metadata!L354,"water (non-saline)"),EXACT(Metadata!L354,"soil (non-saline)"),EXACT(Metadata!L354,"aerosol (non-saline)"),EXACT(Metadata!L354,"sediment (non-saline)"),EXACT(Metadata!L354,"surface (saline)"),EXACT(Metadata!L354,"water (saline)"),EXACT(Metadata!L354,"hypersaline (saline)"),EXACT(Metadata!L354,"aerosol (saline)"),EXACT(Metadata!L354,"sediment (saline)")))</f>
        <v>0</v>
      </c>
      <c r="AZ354" t="b">
        <f>IF(Metadata!M354="",FALSE,TRUE)</f>
        <v>0</v>
      </c>
      <c r="BA354" t="b">
        <f>IF(Metadata!N354="",FALSE,TRUE)</f>
        <v>0</v>
      </c>
      <c r="BB354" t="b">
        <f>IF(Metadata!O354="",FALSE,TRUE)</f>
        <v>0</v>
      </c>
      <c r="BC354" t="b">
        <f>AND(IF(Metadata!P354="",FALSE,TRUE),OR(EXACT(Metadata!P354,"air"),EXACT(Metadata!P354,"microbial mat/biofilm"),EXACT(Metadata!P354,"misc environment"),EXACT(Metadata!P354,"sediment"),EXACT(Metadata!P354,"soil"),EXACT(Metadata!P354,"wastewater/sludge"),EXACT(Metadata!P354,"water")))</f>
        <v>0</v>
      </c>
      <c r="BD354" t="b">
        <f>IF(Metadata!Q354="",FALSE,TRUE)</f>
        <v>0</v>
      </c>
      <c r="BE354" t="b">
        <f>IF(Metadata!R354="",FALSE,TRUE)</f>
        <v>0</v>
      </c>
      <c r="BF354" t="b">
        <f>OR(AND(IF(Metadata!S354="",FALSE,TRUE),OR(EXACT(Metadata!S354,"not collected"),EXACT(Metadata!S354,"not provided"),EXACT(Metadata!S354,"restricted access"))),AND(IF(Metadata!S354="",FALSE,ISNUMBER(VALUE(Metadata!S354))),Metadata!S354&gt;=-90,Metadata!S354&lt;=90))</f>
        <v>0</v>
      </c>
      <c r="BG354" t="b">
        <f>AND(IF(Metadata!T354="",FALSE,TRUE),EXACT(Metadata!T354,"Decimal degrees"))</f>
        <v>0</v>
      </c>
      <c r="BH354" t="b">
        <f>OR(AND(IF(Metadata!U354="",FALSE,TRUE),OR(EXACT(Metadata!U354,"not applicable"),EXACT(Metadata!U354,"not collected"))),IF(Metadata!U354="",FALSE,TRUE))</f>
        <v>0</v>
      </c>
      <c r="BI354" t="b">
        <f>OR(AND(IF(Metadata!V354="",FALSE,TRUE),OR(EXACT(Metadata!V354,"not collected"),EXACT(Metadata!V354,"not provided"),EXACT(Metadata!V354,"restricted access"))),AND(IF(Metadata!V354="",FALSE,ISNUMBER(VALUE(Metadata!V354))),Metadata!V354&gt;=-180,Metadata!V354&lt;=180))</f>
        <v>0</v>
      </c>
      <c r="BJ354" t="b">
        <f>AND(IF(Metadata!W354="",FALSE,TRUE),EXACT(Metadata!W354,"Decimal degrees"))</f>
        <v>0</v>
      </c>
      <c r="BK354" t="b">
        <f>IF(Metadata!X354="",FALSE,TRUE)</f>
        <v>0</v>
      </c>
      <c r="BL354" t="b">
        <f>OR(AND(IF(Metadata!Y354="",FALSE,TRUE),OR(EXACT(Metadata!Y354,"not collected"),EXACT(Metadata!Y354,"not provided"),EXACT(Metadata!Y354,"restricted access"))),AND(IF(Metadata!Y354="",FALSE,TRUE),OR(EXACT(Metadata!Y354,"TRUE"),EXACT(Metadata!Y354,"FALSE"))))</f>
        <v>0</v>
      </c>
      <c r="BM354" t="b">
        <f>OR(AND(IF(Metadata!Z354="",FALSE,TRUE),EXACT(Metadata!Z354,"not applicable")),AND(IF(Metadata!Z354="",FALSE,TRUE),OR(EXACT(Metadata!Z354,"beer"),EXACT(Metadata!Z354,"cheese"),EXACT(Metadata!Z354,"fresh water"),EXACT(Metadata!Z354,"marine sediment"),EXACT(Metadata!Z354,"sea water"),EXACT(Metadata!Z354,"sediment"),EXACT(Metadata!Z354,"soil"),EXACT(Metadata!Z354,"waste water"))))</f>
        <v>0</v>
      </c>
      <c r="BN354" t="b">
        <f>AND(IF(Metadata!AA354="",FALSE,TRUE),EXACT(Metadata!AA354,"metagenome"))</f>
        <v>0</v>
      </c>
      <c r="BO354" t="b">
        <f>AND(IF(Metadata!AB354="",FALSE,TRUE),EXACT(Metadata!AB354,"256318"))</f>
        <v>0</v>
      </c>
      <c r="BP354" t="b">
        <f>IF(Metadata!AC354="",FALSE,TRUE)</f>
        <v>0</v>
      </c>
      <c r="BQ354" t="b">
        <f>IF(Metadata!AD354="",FALSE,TRUE)</f>
        <v>0</v>
      </c>
    </row>
    <row r="355" spans="1:69" x14ac:dyDescent="0.2">
      <c r="A355" s="4" t="e">
        <f ca="1">IF(B355=" "," ",HYPERLINK(CONCATENATE("#metadata!",ADDRESS(INDEX($AJ$2:$AJ$1001,MATCH(ROWS($AH$2:AH355),$AH$2:$AH$1001,0),0),2)),INDEX($AM$2:$AM$1001,MATCH(ROWS($AH$2:AH355),$AH$2:$AH$1001,0),0)))</f>
        <v>#N/A</v>
      </c>
      <c r="B355" s="5" t="e">
        <f ca="1">IF(OR(INDEX($AI$2:$AI$1001,MATCH(ROWS($AH$2:AH355),$AH$2:$AH$1001,0),1)&gt;=100000,INDEX($AO$1005:$BQ$1005,1,MATCH(COLUMNS($AO$1006:AO1006),$AO$1006:$BQ$1006,0))&gt;=100000), " ",IF(INDEX($AO$2:$BQ$1001,MATCH(ROWS($AH$2:AH355),$AH$2:$AH$1001,0),MATCH(COLUMNS($AO$1006:AO1006),$AO$1006:$BQ$1006,0)), HYPERLINK("#",""), HYPERLINK(CONCATENATE("#Metadata!", ADDRESS(INDEX($AJ$2:$AJ$1001,MATCH(ROWS($AH$2:AH355),$AH$2:$AH$1001,0),0), INDEX($AO$1004:$BQ$1004,1,MATCH(COLUMNS($AO$1006:AO1006),$AO$1006:$BQ$1006,0)))),"Fix")))</f>
        <v>#N/A</v>
      </c>
      <c r="C355" s="5" t="e">
        <f ca="1">IF(OR(INDEX($AI$2:$AI$1001,MATCH(ROWS($AH$2:AH355),$AH$2:$AH$1001,0),1)&gt;=100000,INDEX($AO$1005:$BQ$1005,1,MATCH(COLUMNS($AO$1006:AP1006),$AO$1006:$BQ$1006,0))&gt;=100000), " ",IF(INDEX($AO$2:$BQ$1001,MATCH(ROWS($AH$2:AH355),$AH$2:$AH$1001,0),MATCH(COLUMNS($AO$1006:AP1006),$AO$1006:$BQ$1006,0)), HYPERLINK("#",""), HYPERLINK(CONCATENATE("#Metadata!", ADDRESS(INDEX($AJ$2:$AJ$1001,MATCH(ROWS($AH$2:AH355),$AH$2:$AH$1001,0),0), INDEX($AO$1004:$BQ$1004,1,MATCH(COLUMNS($AO$1006:AP1006),$AO$1006:$BQ$1006,0)))),"Fix")))</f>
        <v>#N/A</v>
      </c>
      <c r="D355" s="5" t="e">
        <f ca="1">IF(OR(INDEX($AI$2:$AI$1001,MATCH(ROWS($AH$2:AH355),$AH$2:$AH$1001,0),1)&gt;=100000,INDEX($AO$1005:$BQ$1005,1,MATCH(COLUMNS($AO$1006:AQ1006),$AO$1006:$BQ$1006,0))&gt;=100000), " ",IF(INDEX($AO$2:$BQ$1001,MATCH(ROWS($AH$2:AH355),$AH$2:$AH$1001,0),MATCH(COLUMNS($AO$1006:AQ1006),$AO$1006:$BQ$1006,0)), HYPERLINK("#",""), HYPERLINK(CONCATENATE("#Metadata!", ADDRESS(INDEX($AJ$2:$AJ$1001,MATCH(ROWS($AH$2:AH355),$AH$2:$AH$1001,0),0), INDEX($AO$1004:$BQ$1004,1,MATCH(COLUMNS($AO$1006:AQ1006),$AO$1006:$BQ$1006,0)))),"Fix")))</f>
        <v>#N/A</v>
      </c>
      <c r="E355" s="5" t="e">
        <f ca="1">IF(OR(INDEX($AI$2:$AI$1001,MATCH(ROWS($AH$2:AH355),$AH$2:$AH$1001,0),1)&gt;=100000,INDEX($AO$1005:$BQ$1005,1,MATCH(COLUMNS($AO$1006:AR1006),$AO$1006:$BQ$1006,0))&gt;=100000), " ",IF(INDEX($AO$2:$BQ$1001,MATCH(ROWS($AH$2:AH355),$AH$2:$AH$1001,0),MATCH(COLUMNS($AO$1006:AR1006),$AO$1006:$BQ$1006,0)), HYPERLINK("#",""), HYPERLINK(CONCATENATE("#Metadata!", ADDRESS(INDEX($AJ$2:$AJ$1001,MATCH(ROWS($AH$2:AH355),$AH$2:$AH$1001,0),0), INDEX($AO$1004:$BQ$1004,1,MATCH(COLUMNS($AO$1006:AR1006),$AO$1006:$BQ$1006,0)))),"Fix")))</f>
        <v>#N/A</v>
      </c>
      <c r="F355" s="5" t="e">
        <f ca="1">IF(OR(INDEX($AI$2:$AI$1001,MATCH(ROWS($AH$2:AH355),$AH$2:$AH$1001,0),1)&gt;=100000,INDEX($AO$1005:$BQ$1005,1,MATCH(COLUMNS($AO$1006:AS1006),$AO$1006:$BQ$1006,0))&gt;=100000), " ",IF(INDEX($AO$2:$BQ$1001,MATCH(ROWS($AH$2:AH355),$AH$2:$AH$1001,0),MATCH(COLUMNS($AO$1006:AS1006),$AO$1006:$BQ$1006,0)), HYPERLINK("#",""), HYPERLINK(CONCATENATE("#Metadata!", ADDRESS(INDEX($AJ$2:$AJ$1001,MATCH(ROWS($AH$2:AH355),$AH$2:$AH$1001,0),0), INDEX($AO$1004:$BQ$1004,1,MATCH(COLUMNS($AO$1006:AS1006),$AO$1006:$BQ$1006,0)))),"Fix")))</f>
        <v>#N/A</v>
      </c>
      <c r="G355" s="5" t="e">
        <f ca="1">IF(OR(INDEX($AI$2:$AI$1001,MATCH(ROWS($AH$2:AH355),$AH$2:$AH$1001,0),1)&gt;=100000,INDEX($AO$1005:$BQ$1005,1,MATCH(COLUMNS($AO$1006:AT1006),$AO$1006:$BQ$1006,0))&gt;=100000), " ",IF(INDEX($AO$2:$BQ$1001,MATCH(ROWS($AH$2:AH355),$AH$2:$AH$1001,0),MATCH(COLUMNS($AO$1006:AT1006),$AO$1006:$BQ$1006,0)), HYPERLINK("#",""), HYPERLINK(CONCATENATE("#Metadata!", ADDRESS(INDEX($AJ$2:$AJ$1001,MATCH(ROWS($AH$2:AH355),$AH$2:$AH$1001,0),0), INDEX($AO$1004:$BQ$1004,1,MATCH(COLUMNS($AO$1006:AT1006),$AO$1006:$BQ$1006,0)))),"Fix")))</f>
        <v>#N/A</v>
      </c>
      <c r="H355" s="5" t="e">
        <f ca="1">IF(OR(INDEX($AI$2:$AI$1001,MATCH(ROWS($AH$2:AH355),$AH$2:$AH$1001,0),1)&gt;=100000,INDEX($AO$1005:$BQ$1005,1,MATCH(COLUMNS($AO$1006:AU1006),$AO$1006:$BQ$1006,0))&gt;=100000), " ",IF(INDEX($AO$2:$BQ$1001,MATCH(ROWS($AH$2:AH355),$AH$2:$AH$1001,0),MATCH(COLUMNS($AO$1006:AU1006),$AO$1006:$BQ$1006,0)), HYPERLINK("#",""), HYPERLINK(CONCATENATE("#Metadata!", ADDRESS(INDEX($AJ$2:$AJ$1001,MATCH(ROWS($AH$2:AH355),$AH$2:$AH$1001,0),0), INDEX($AO$1004:$BQ$1004,1,MATCH(COLUMNS($AO$1006:AU1006),$AO$1006:$BQ$1006,0)))),"Fix")))</f>
        <v>#N/A</v>
      </c>
      <c r="I355" s="5" t="e">
        <f ca="1">IF(OR(INDEX($AI$2:$AI$1001,MATCH(ROWS($AH$2:AH355),$AH$2:$AH$1001,0),1)&gt;=100000,INDEX($AO$1005:$BQ$1005,1,MATCH(COLUMNS($AO$1006:AV1006),$AO$1006:$BQ$1006,0))&gt;=100000), " ",IF(INDEX($AO$2:$BQ$1001,MATCH(ROWS($AH$2:AH355),$AH$2:$AH$1001,0),MATCH(COLUMNS($AO$1006:AV1006),$AO$1006:$BQ$1006,0)), HYPERLINK("#",""), HYPERLINK(CONCATENATE("#Metadata!", ADDRESS(INDEX($AJ$2:$AJ$1001,MATCH(ROWS($AH$2:AH355),$AH$2:$AH$1001,0),0), INDEX($AO$1004:$BQ$1004,1,MATCH(COLUMNS($AO$1006:AV1006),$AO$1006:$BQ$1006,0)))),"Fix")))</f>
        <v>#N/A</v>
      </c>
      <c r="J355" s="5" t="e">
        <f ca="1">IF(OR(INDEX($AI$2:$AI$1001,MATCH(ROWS($AH$2:AH355),$AH$2:$AH$1001,0),1)&gt;=100000,INDEX($AO$1005:$BQ$1005,1,MATCH(COLUMNS($AO$1006:AW1006),$AO$1006:$BQ$1006,0))&gt;=100000), " ",IF(INDEX($AO$2:$BQ$1001,MATCH(ROWS($AH$2:AH355),$AH$2:$AH$1001,0),MATCH(COLUMNS($AO$1006:AW1006),$AO$1006:$BQ$1006,0)), HYPERLINK("#",""), HYPERLINK(CONCATENATE("#Metadata!", ADDRESS(INDEX($AJ$2:$AJ$1001,MATCH(ROWS($AH$2:AH355),$AH$2:$AH$1001,0),0), INDEX($AO$1004:$BQ$1004,1,MATCH(COLUMNS($AO$1006:AW1006),$AO$1006:$BQ$1006,0)))),"Fix")))</f>
        <v>#N/A</v>
      </c>
      <c r="K355" s="5" t="e">
        <f ca="1">IF(OR(INDEX($AI$2:$AI$1001,MATCH(ROWS($AH$2:AH355),$AH$2:$AH$1001,0),1)&gt;=100000,INDEX($AO$1005:$BQ$1005,1,MATCH(COLUMNS($AO$1006:AX1006),$AO$1006:$BQ$1006,0))&gt;=100000), " ",IF(INDEX($AO$2:$BQ$1001,MATCH(ROWS($AH$2:AH355),$AH$2:$AH$1001,0),MATCH(COLUMNS($AO$1006:AX1006),$AO$1006:$BQ$1006,0)), HYPERLINK("#",""), HYPERLINK(CONCATENATE("#Metadata!", ADDRESS(INDEX($AJ$2:$AJ$1001,MATCH(ROWS($AH$2:AH355),$AH$2:$AH$1001,0),0), INDEX($AO$1004:$BQ$1004,1,MATCH(COLUMNS($AO$1006:AX1006),$AO$1006:$BQ$1006,0)))),"Fix")))</f>
        <v>#N/A</v>
      </c>
      <c r="L355" s="5" t="e">
        <f ca="1">IF(OR(INDEX($AI$2:$AI$1001,MATCH(ROWS($AH$2:AH355),$AH$2:$AH$1001,0),1)&gt;=100000,INDEX($AO$1005:$BQ$1005,1,MATCH(COLUMNS($AO$1006:AY1006),$AO$1006:$BQ$1006,0))&gt;=100000), " ",IF(INDEX($AO$2:$BQ$1001,MATCH(ROWS($AH$2:AH355),$AH$2:$AH$1001,0),MATCH(COLUMNS($AO$1006:AY1006),$AO$1006:$BQ$1006,0)), HYPERLINK("#",""), HYPERLINK(CONCATENATE("#Metadata!", ADDRESS(INDEX($AJ$2:$AJ$1001,MATCH(ROWS($AH$2:AH355),$AH$2:$AH$1001,0),0), INDEX($AO$1004:$BQ$1004,1,MATCH(COLUMNS($AO$1006:AY1006),$AO$1006:$BQ$1006,0)))),"Fix")))</f>
        <v>#N/A</v>
      </c>
      <c r="M355" s="5" t="e">
        <f ca="1">IF(OR(INDEX($AI$2:$AI$1001,MATCH(ROWS($AH$2:AH355),$AH$2:$AH$1001,0),1)&gt;=100000,INDEX($AO$1005:$BQ$1005,1,MATCH(COLUMNS($AO$1006:AZ1006),$AO$1006:$BQ$1006,0))&gt;=100000), " ",IF(INDEX($AO$2:$BQ$1001,MATCH(ROWS($AH$2:AH355),$AH$2:$AH$1001,0),MATCH(COLUMNS($AO$1006:AZ1006),$AO$1006:$BQ$1006,0)), HYPERLINK("#",""), HYPERLINK(CONCATENATE("#Metadata!", ADDRESS(INDEX($AJ$2:$AJ$1001,MATCH(ROWS($AH$2:AH355),$AH$2:$AH$1001,0),0), INDEX($AO$1004:$BQ$1004,1,MATCH(COLUMNS($AO$1006:AZ1006),$AO$1006:$BQ$1006,0)))),"Fix")))</f>
        <v>#N/A</v>
      </c>
      <c r="N355" s="5" t="e">
        <f ca="1">IF(OR(INDEX($AI$2:$AI$1001,MATCH(ROWS($AH$2:AH355),$AH$2:$AH$1001,0),1)&gt;=100000,INDEX($AO$1005:$BQ$1005,1,MATCH(COLUMNS($AO$1006:BA1006),$AO$1006:$BQ$1006,0))&gt;=100000), " ",IF(INDEX($AO$2:$BQ$1001,MATCH(ROWS($AH$2:AH355),$AH$2:$AH$1001,0),MATCH(COLUMNS($AO$1006:BA1006),$AO$1006:$BQ$1006,0)), HYPERLINK("#",""), HYPERLINK(CONCATENATE("#Metadata!", ADDRESS(INDEX($AJ$2:$AJ$1001,MATCH(ROWS($AH$2:AH355),$AH$2:$AH$1001,0),0), INDEX($AO$1004:$BQ$1004,1,MATCH(COLUMNS($AO$1006:BA1006),$AO$1006:$BQ$1006,0)))),"Fix")))</f>
        <v>#N/A</v>
      </c>
      <c r="O355" s="5" t="e">
        <f ca="1">IF(OR(INDEX($AI$2:$AI$1001,MATCH(ROWS($AH$2:AH355),$AH$2:$AH$1001,0),1)&gt;=100000,INDEX($AO$1005:$BQ$1005,1,MATCH(COLUMNS($AO$1006:BB1006),$AO$1006:$BQ$1006,0))&gt;=100000), " ",IF(INDEX($AO$2:$BQ$1001,MATCH(ROWS($AH$2:AH355),$AH$2:$AH$1001,0),MATCH(COLUMNS($AO$1006:BB1006),$AO$1006:$BQ$1006,0)), HYPERLINK("#",""), HYPERLINK(CONCATENATE("#Metadata!", ADDRESS(INDEX($AJ$2:$AJ$1001,MATCH(ROWS($AH$2:AH355),$AH$2:$AH$1001,0),0), INDEX($AO$1004:$BQ$1004,1,MATCH(COLUMNS($AO$1006:BB1006),$AO$1006:$BQ$1006,0)))),"Fix")))</f>
        <v>#N/A</v>
      </c>
      <c r="P355" s="5" t="e">
        <f ca="1">IF(OR(INDEX($AI$2:$AI$1001,MATCH(ROWS($AH$2:AH355),$AH$2:$AH$1001,0),1)&gt;=100000,INDEX($AO$1005:$BQ$1005,1,MATCH(COLUMNS($AO$1006:BC1006),$AO$1006:$BQ$1006,0))&gt;=100000), " ",IF(INDEX($AO$2:$BQ$1001,MATCH(ROWS($AH$2:AH355),$AH$2:$AH$1001,0),MATCH(COLUMNS($AO$1006:BC1006),$AO$1006:$BQ$1006,0)), HYPERLINK("#",""), HYPERLINK(CONCATENATE("#Metadata!", ADDRESS(INDEX($AJ$2:$AJ$1001,MATCH(ROWS($AH$2:AH355),$AH$2:$AH$1001,0),0), INDEX($AO$1004:$BQ$1004,1,MATCH(COLUMNS($AO$1006:BC1006),$AO$1006:$BQ$1006,0)))),"Fix")))</f>
        <v>#N/A</v>
      </c>
      <c r="Q355" s="5" t="e">
        <f ca="1">IF(OR(INDEX($AI$2:$AI$1001,MATCH(ROWS($AH$2:AH355),$AH$2:$AH$1001,0),1)&gt;=100000,INDEX($AO$1005:$BQ$1005,1,MATCH(COLUMNS($AO$1006:BD1006),$AO$1006:$BQ$1006,0))&gt;=100000), " ",IF(INDEX($AO$2:$BQ$1001,MATCH(ROWS($AH$2:AH355),$AH$2:$AH$1001,0),MATCH(COLUMNS($AO$1006:BD1006),$AO$1006:$BQ$1006,0)), HYPERLINK("#",""), HYPERLINK(CONCATENATE("#Metadata!", ADDRESS(INDEX($AJ$2:$AJ$1001,MATCH(ROWS($AH$2:AH355),$AH$2:$AH$1001,0),0), INDEX($AO$1004:$BQ$1004,1,MATCH(COLUMNS($AO$1006:BD1006),$AO$1006:$BQ$1006,0)))),"Fix")))</f>
        <v>#N/A</v>
      </c>
      <c r="R355" s="5" t="e">
        <f ca="1">IF(OR(INDEX($AI$2:$AI$1001,MATCH(ROWS($AH$2:AH355),$AH$2:$AH$1001,0),1)&gt;=100000,INDEX($AO$1005:$BQ$1005,1,MATCH(COLUMNS($AO$1006:BE1006),$AO$1006:$BQ$1006,0))&gt;=100000), " ",IF(INDEX($AO$2:$BQ$1001,MATCH(ROWS($AH$2:AH355),$AH$2:$AH$1001,0),MATCH(COLUMNS($AO$1006:BE1006),$AO$1006:$BQ$1006,0)), HYPERLINK("#",""), HYPERLINK(CONCATENATE("#Metadata!", ADDRESS(INDEX($AJ$2:$AJ$1001,MATCH(ROWS($AH$2:AH355),$AH$2:$AH$1001,0),0), INDEX($AO$1004:$BQ$1004,1,MATCH(COLUMNS($AO$1006:BE1006),$AO$1006:$BQ$1006,0)))),"Fix")))</f>
        <v>#N/A</v>
      </c>
      <c r="S355" s="5" t="e">
        <f ca="1">IF(OR(INDEX($AI$2:$AI$1001,MATCH(ROWS($AH$2:AH355),$AH$2:$AH$1001,0),1)&gt;=100000,INDEX($AO$1005:$BQ$1005,1,MATCH(COLUMNS($AO$1006:BF1006),$AO$1006:$BQ$1006,0))&gt;=100000), " ",IF(INDEX($AO$2:$BQ$1001,MATCH(ROWS($AH$2:AH355),$AH$2:$AH$1001,0),MATCH(COLUMNS($AO$1006:BF1006),$AO$1006:$BQ$1006,0)), HYPERLINK("#",""), HYPERLINK(CONCATENATE("#Metadata!", ADDRESS(INDEX($AJ$2:$AJ$1001,MATCH(ROWS($AH$2:AH355),$AH$2:$AH$1001,0),0), INDEX($AO$1004:$BQ$1004,1,MATCH(COLUMNS($AO$1006:BF1006),$AO$1006:$BQ$1006,0)))),"Fix")))</f>
        <v>#N/A</v>
      </c>
      <c r="T355" s="5" t="e">
        <f ca="1">IF(OR(INDEX($AI$2:$AI$1001,MATCH(ROWS($AH$2:AH355),$AH$2:$AH$1001,0),1)&gt;=100000,INDEX($AO$1005:$BQ$1005,1,MATCH(COLUMNS($AO$1006:BG1006),$AO$1006:$BQ$1006,0))&gt;=100000), " ",IF(INDEX($AO$2:$BQ$1001,MATCH(ROWS($AH$2:AH355),$AH$2:$AH$1001,0),MATCH(COLUMNS($AO$1006:BG1006),$AO$1006:$BQ$1006,0)), HYPERLINK("#",""), HYPERLINK(CONCATENATE("#Metadata!", ADDRESS(INDEX($AJ$2:$AJ$1001,MATCH(ROWS($AH$2:AH355),$AH$2:$AH$1001,0),0), INDEX($AO$1004:$BQ$1004,1,MATCH(COLUMNS($AO$1006:BG1006),$AO$1006:$BQ$1006,0)))),"Fix")))</f>
        <v>#N/A</v>
      </c>
      <c r="U355" s="5" t="e">
        <f ca="1">IF(OR(INDEX($AI$2:$AI$1001,MATCH(ROWS($AH$2:AH355),$AH$2:$AH$1001,0),1)&gt;=100000,INDEX($AO$1005:$BQ$1005,1,MATCH(COLUMNS($AO$1006:BH1006),$AO$1006:$BQ$1006,0))&gt;=100000), " ",IF(INDEX($AO$2:$BQ$1001,MATCH(ROWS($AH$2:AH355),$AH$2:$AH$1001,0),MATCH(COLUMNS($AO$1006:BH1006),$AO$1006:$BQ$1006,0)), HYPERLINK("#",""), HYPERLINK(CONCATENATE("#Metadata!", ADDRESS(INDEX($AJ$2:$AJ$1001,MATCH(ROWS($AH$2:AH355),$AH$2:$AH$1001,0),0), INDEX($AO$1004:$BQ$1004,1,MATCH(COLUMNS($AO$1006:BH1006),$AO$1006:$BQ$1006,0)))),"Fix")))</f>
        <v>#N/A</v>
      </c>
      <c r="V355" s="5" t="e">
        <f ca="1">IF(OR(INDEX($AI$2:$AI$1001,MATCH(ROWS($AH$2:AH355),$AH$2:$AH$1001,0),1)&gt;=100000,INDEX($AO$1005:$BQ$1005,1,MATCH(COLUMNS($AO$1006:BI1006),$AO$1006:$BQ$1006,0))&gt;=100000), " ",IF(INDEX($AO$2:$BQ$1001,MATCH(ROWS($AH$2:AH355),$AH$2:$AH$1001,0),MATCH(COLUMNS($AO$1006:BI1006),$AO$1006:$BQ$1006,0)), HYPERLINK("#",""), HYPERLINK(CONCATENATE("#Metadata!", ADDRESS(INDEX($AJ$2:$AJ$1001,MATCH(ROWS($AH$2:AH355),$AH$2:$AH$1001,0),0), INDEX($AO$1004:$BQ$1004,1,MATCH(COLUMNS($AO$1006:BI1006),$AO$1006:$BQ$1006,0)))),"Fix")))</f>
        <v>#N/A</v>
      </c>
      <c r="W355" s="5" t="e">
        <f ca="1">IF(OR(INDEX($AI$2:$AI$1001,MATCH(ROWS($AH$2:AH355),$AH$2:$AH$1001,0),1)&gt;=100000,INDEX($AO$1005:$BQ$1005,1,MATCH(COLUMNS($AO$1006:BJ1006),$AO$1006:$BQ$1006,0))&gt;=100000), " ",IF(INDEX($AO$2:$BQ$1001,MATCH(ROWS($AH$2:AH355),$AH$2:$AH$1001,0),MATCH(COLUMNS($AO$1006:BJ1006),$AO$1006:$BQ$1006,0)), HYPERLINK("#",""), HYPERLINK(CONCATENATE("#Metadata!", ADDRESS(INDEX($AJ$2:$AJ$1001,MATCH(ROWS($AH$2:AH355),$AH$2:$AH$1001,0),0), INDEX($AO$1004:$BQ$1004,1,MATCH(COLUMNS($AO$1006:BJ1006),$AO$1006:$BQ$1006,0)))),"Fix")))</f>
        <v>#N/A</v>
      </c>
      <c r="X355" s="5" t="e">
        <f ca="1">IF(OR(INDEX($AI$2:$AI$1001,MATCH(ROWS($AH$2:AH355),$AH$2:$AH$1001,0),1)&gt;=100000,INDEX($AO$1005:$BQ$1005,1,MATCH(COLUMNS($AO$1006:BK1006),$AO$1006:$BQ$1006,0))&gt;=100000), " ",IF(INDEX($AO$2:$BQ$1001,MATCH(ROWS($AH$2:AH355),$AH$2:$AH$1001,0),MATCH(COLUMNS($AO$1006:BK1006),$AO$1006:$BQ$1006,0)), HYPERLINK("#",""), HYPERLINK(CONCATENATE("#Metadata!", ADDRESS(INDEX($AJ$2:$AJ$1001,MATCH(ROWS($AH$2:AH355),$AH$2:$AH$1001,0),0), INDEX($AO$1004:$BQ$1004,1,MATCH(COLUMNS($AO$1006:BK1006),$AO$1006:$BQ$1006,0)))),"Fix")))</f>
        <v>#N/A</v>
      </c>
      <c r="Y355" s="5" t="e">
        <f ca="1">IF(OR(INDEX($AI$2:$AI$1001,MATCH(ROWS($AH$2:AH355),$AH$2:$AH$1001,0),1)&gt;=100000,INDEX($AO$1005:$BQ$1005,1,MATCH(COLUMNS($AO$1006:BL1006),$AO$1006:$BQ$1006,0))&gt;=100000), " ",IF(INDEX($AO$2:$BQ$1001,MATCH(ROWS($AH$2:AH355),$AH$2:$AH$1001,0),MATCH(COLUMNS($AO$1006:BL1006),$AO$1006:$BQ$1006,0)), HYPERLINK("#",""), HYPERLINK(CONCATENATE("#Metadata!", ADDRESS(INDEX($AJ$2:$AJ$1001,MATCH(ROWS($AH$2:AH355),$AH$2:$AH$1001,0),0), INDEX($AO$1004:$BQ$1004,1,MATCH(COLUMNS($AO$1006:BL1006),$AO$1006:$BQ$1006,0)))),"Fix")))</f>
        <v>#N/A</v>
      </c>
      <c r="Z355" s="5" t="e">
        <f ca="1">IF(OR(INDEX($AI$2:$AI$1001,MATCH(ROWS($AH$2:AH355),$AH$2:$AH$1001,0),1)&gt;=100000,INDEX($AO$1005:$BQ$1005,1,MATCH(COLUMNS($AO$1006:BM1006),$AO$1006:$BQ$1006,0))&gt;=100000), " ",IF(INDEX($AO$2:$BQ$1001,MATCH(ROWS($AH$2:AH355),$AH$2:$AH$1001,0),MATCH(COLUMNS($AO$1006:BM1006),$AO$1006:$BQ$1006,0)), HYPERLINK("#",""), HYPERLINK(CONCATENATE("#Metadata!", ADDRESS(INDEX($AJ$2:$AJ$1001,MATCH(ROWS($AH$2:AH355),$AH$2:$AH$1001,0),0), INDEX($AO$1004:$BQ$1004,1,MATCH(COLUMNS($AO$1006:BM1006),$AO$1006:$BQ$1006,0)))),"Fix")))</f>
        <v>#N/A</v>
      </c>
      <c r="AA355" s="5" t="e">
        <f ca="1">IF(OR(INDEX($AI$2:$AI$1001,MATCH(ROWS($AH$2:AH355),$AH$2:$AH$1001,0),1)&gt;=100000,INDEX($AO$1005:$BQ$1005,1,MATCH(COLUMNS($AO$1006:BN1006),$AO$1006:$BQ$1006,0))&gt;=100000), " ",IF(INDEX($AO$2:$BQ$1001,MATCH(ROWS($AH$2:AH355),$AH$2:$AH$1001,0),MATCH(COLUMNS($AO$1006:BN1006),$AO$1006:$BQ$1006,0)), HYPERLINK("#",""), HYPERLINK(CONCATENATE("#Metadata!", ADDRESS(INDEX($AJ$2:$AJ$1001,MATCH(ROWS($AH$2:AH355),$AH$2:$AH$1001,0),0), INDEX($AO$1004:$BQ$1004,1,MATCH(COLUMNS($AO$1006:BN1006),$AO$1006:$BQ$1006,0)))),"Fix")))</f>
        <v>#N/A</v>
      </c>
      <c r="AB355" s="5" t="e">
        <f ca="1">IF(OR(INDEX($AI$2:$AI$1001,MATCH(ROWS($AH$2:AH355),$AH$2:$AH$1001,0),1)&gt;=100000,INDEX($AO$1005:$BQ$1005,1,MATCH(COLUMNS($AO$1006:BO1006),$AO$1006:$BQ$1006,0))&gt;=100000), " ",IF(INDEX($AO$2:$BQ$1001,MATCH(ROWS($AH$2:AH355),$AH$2:$AH$1001,0),MATCH(COLUMNS($AO$1006:BO1006),$AO$1006:$BQ$1006,0)), HYPERLINK("#",""), HYPERLINK(CONCATENATE("#Metadata!", ADDRESS(INDEX($AJ$2:$AJ$1001,MATCH(ROWS($AH$2:AH355),$AH$2:$AH$1001,0),0), INDEX($AO$1004:$BQ$1004,1,MATCH(COLUMNS($AO$1006:BO1006),$AO$1006:$BQ$1006,0)))),"Fix")))</f>
        <v>#N/A</v>
      </c>
      <c r="AC355" s="5" t="e">
        <f ca="1">IF(OR(INDEX($AI$2:$AI$1001,MATCH(ROWS($AH$2:AH355),$AH$2:$AH$1001,0),1)&gt;=100000,INDEX($AO$1005:$BQ$1005,1,MATCH(COLUMNS($AO$1006:BP1006),$AO$1006:$BQ$1006,0))&gt;=100000), " ",IF(INDEX($AO$2:$BQ$1001,MATCH(ROWS($AH$2:AH355),$AH$2:$AH$1001,0),MATCH(COLUMNS($AO$1006:BP1006),$AO$1006:$BQ$1006,0)), HYPERLINK("#",""), HYPERLINK(CONCATENATE("#Metadata!", ADDRESS(INDEX($AJ$2:$AJ$1001,MATCH(ROWS($AH$2:AH355),$AH$2:$AH$1001,0),0), INDEX($AO$1004:$BQ$1004,1,MATCH(COLUMNS($AO$1006:BP1006),$AO$1006:$BQ$1006,0)))),"Fix")))</f>
        <v>#N/A</v>
      </c>
      <c r="AD355" s="5" t="e">
        <f ca="1">IF(OR(INDEX($AI$2:$AI$1001,MATCH(ROWS($AH$2:AH355),$AH$2:$AH$1001,0),1)&gt;=100000,INDEX($AO$1005:$BQ$1005,1,MATCH(COLUMNS($AO$1006:BQ1006),$AO$1006:$BQ$1006,0))&gt;=100000), " ",IF(INDEX($AO$2:$BQ$1001,MATCH(ROWS($AH$2:AH355),$AH$2:$AH$1001,0),MATCH(COLUMNS($AO$1006:BQ1006),$AO$1006:$BQ$1006,0)), HYPERLINK("#",""), HYPERLINK(CONCATENATE("#Metadata!", ADDRESS(INDEX($AJ$2:$AJ$1001,MATCH(ROWS($AH$2:AH355),$AH$2:$AH$1001,0),0), INDEX($AO$1004:$BQ$1004,1,MATCH(COLUMNS($AO$1006:BQ1006),$AO$1006:$BQ$1006,0)))),"Fix")))</f>
        <v>#REF!</v>
      </c>
      <c r="AH355">
        <f ca="1"/>
        <v>352</v>
      </c>
      <c r="AI355">
        <v>100355</v>
      </c>
      <c r="AJ355">
        <v>355</v>
      </c>
      <c r="AK355" t="b">
        <f t="shared" si="5"/>
        <v>1</v>
      </c>
      <c r="AL355" t="b">
        <f>COUNTBLANK(Metadata!B355:AD355)=COLUMNS(Metadata!B355:AD355)</f>
        <v>1</v>
      </c>
      <c r="AM355" t="str">
        <v/>
      </c>
      <c r="AO355" t="b">
        <f ca="1">AND(IF(Metadata!B355="",FALSE,TRUE),COUNTIF(Metadata!B:B, Metadata!B355) = 1,NOT(ISERROR(SUMPRODUCT(SEARCH(MID(Metadata!B355,ROW(INDIRECT("1:"&amp;LEN(Metadata!B355))), 1),"0123456789abcdefghijklmnopqrstuvwxyzABCDEFGHIJKLMNOPQRSTUVWXYZ.")))))</f>
        <v>0</v>
      </c>
      <c r="AP355" t="b">
        <f>IF(Metadata!C355="",FALSE,TRUE)</f>
        <v>0</v>
      </c>
      <c r="AQ355" t="b">
        <f>IF(Metadata!D355="",FALSE,TRUE)</f>
        <v>0</v>
      </c>
      <c r="AR355" t="b">
        <f ca="1">OR(AND(IF(Metadata!E355="",FALSE,TRUE),OR(EXACT(Metadata!E355,"not collected"),EXACT(Metadata!E355,"not provided"),EXACT(Metadata!E355,"restricted access"))),AND(IF(Metadata!E355="",FALSE,TRUE),AND(AND(IFERROR(INT(LEFT(Metadata!E355,4))&gt;1900,FALSE),IFERROR(INT(LEFT(Metadata!E355,4))&lt;=YEAR(NOW()),FALSE)), OR(MID(Metadata!E355,5,1)="", AND(AND(MID(Metadata!E355,5,1)="-",IFERROR(INT(MID(Metadata!E355,6,1))&gt;=0,FALSE),IFERROR(INT(MID(Metadata!E355,6,1))&lt;=1,FALSE),NOT(MID(Metadata!E355,7,1)=""),IFERROR(INT(MID(Metadata!E355,6,2))&gt;=1,FALSE),IFERROR(INT(MID(Metadata!E355,6,2))&lt;=12,FALSE)), OR(MID(Metadata!E355,8,1)="", AND(AND(MID(Metadata!E355,8,1)="-",IFERROR(INT(MID(Metadata!E355,9,1))&gt;=0,FALSE),IFERROR(INT(MID(Metadata!E355,9,1))&lt;=3,FALSE),NOT(MID(Metadata!E355,10,1)=""),IFERROR(INT(MID(Metadata!E355,9,2))&gt;=1,FALSE),IFERROR(INT(MID(Metadata!E355,9,2))&lt;=31,FALSE)), OR(MID(Metadata!E355,11,1)="", AND(AND(MID(Metadata!E355,11,1)=" ",IFERROR(INT(MID(Metadata!E355,12,1))&gt;=0,FALSE),IFERROR(INT(MID(Metadata!E355,12,1))&lt;=2,FALSE),NOT(MID(Metadata!E355,13,1)=""),IFERROR(INT(MID(Metadata!E355,12,2))&gt;=0,FALSE),IFERROR(INT(MID(Metadata!E355,12,2))&lt;=23,FALSE)), OR(MID(Metadata!E355,14,1)="", AND(AND(MID(Metadata!E355,14,1)=":",IFERROR(INT(MID(Metadata!E355,15,1))&gt;=0,FALSE),IFERROR(INT(MID(Metadata!E355,15,1))&lt;=5,FALSE),NOT(MID(Metadata!E355,16,1)=""),IFERROR(INT(MID(Metadata!E355,15,2))&gt;=0,FALSE),IFERROR(INT(MID(Metadata!E355,15,2))&lt;=59,FALSE)), OR(MID(Metadata!E355,17,1)="", AND(AND(MID(Metadata!E355,17,1)=":",IFERROR(INT(MID(Metadata!E355,18,1))&gt;=0,FALSE),IFERROR(INT(MID(Metadata!E355,18,1))&lt;=5,FALSE),NOT(MID(Metadata!E355,19,1)=""),IFERROR(INT(MID(Metadata!E355,18,2))&gt;=0,FALSE),IFERROR(INT(MID(Metadata!E355,18,2))&lt;=59,FALSE)), LEN(Metadata!E355)&lt;=19)))))))))))))</f>
        <v>0</v>
      </c>
      <c r="AS355" t="b">
        <f>IF(Metadata!F355="",FALSE,TRUE)</f>
        <v>0</v>
      </c>
      <c r="AT355" t="b">
        <f>OR(AND(IF(Metadata!G355="",FALSE,TRUE),OR(EXACT(Metadata!G355,"not collected"),EXACT(Metadata!G355,"not provided"))),AND(IF(Metadata!G355="",FALSE,TRUE),OR(EXACT(Metadata!G355,"TRUE"),EXACT(Metadata!G355,"FALSE"))))</f>
        <v>0</v>
      </c>
      <c r="AU355" t="b">
        <f>OR(AND(IF(Metadata!H355="",FALSE,TRUE),OR(EXACT(Metadata!H355,"not collected"),EXACT(Metadata!H355,"not provided"),EXACT(Metadata!H355,"restricted access"))),AND(IF(Metadata!H355="",FALSE,ISNUMBER(VALUE(Metadata!H355))),Metadata!H355&gt;=-413))</f>
        <v>0</v>
      </c>
      <c r="AV355" t="b">
        <f>AND(IF(Metadata!I355="",FALSE,TRUE),EXACT(Metadata!I355,"meters"))</f>
        <v>0</v>
      </c>
      <c r="AW355" t="b">
        <f>AND(IF(Metadata!J355="",FALSE,TRUE),EXACT(Metadata!J355,"free-living"))</f>
        <v>0</v>
      </c>
      <c r="AX355" t="b">
        <f>AND(IF(Metadata!K355="",FALSE,TRUE),OR(EXACT(Metadata!K355,"saline"),EXACT(Metadata!K355,"non-saline")))</f>
        <v>0</v>
      </c>
      <c r="AY355" t="b">
        <f>AND(IF(Metadata!L355="",FALSE,TRUE),OR(EXACT(Metadata!L355,"sub-surface (non-saline)"),EXACT(Metadata!L355,"surface (non-saline)"),EXACT(Metadata!L355,"water (non-saline)"),EXACT(Metadata!L355,"soil (non-saline)"),EXACT(Metadata!L355,"aerosol (non-saline)"),EXACT(Metadata!L355,"sediment (non-saline)"),EXACT(Metadata!L355,"surface (saline)"),EXACT(Metadata!L355,"water (saline)"),EXACT(Metadata!L355,"hypersaline (saline)"),EXACT(Metadata!L355,"aerosol (saline)"),EXACT(Metadata!L355,"sediment (saline)")))</f>
        <v>0</v>
      </c>
      <c r="AZ355" t="b">
        <f>IF(Metadata!M355="",FALSE,TRUE)</f>
        <v>0</v>
      </c>
      <c r="BA355" t="b">
        <f>IF(Metadata!N355="",FALSE,TRUE)</f>
        <v>0</v>
      </c>
      <c r="BB355" t="b">
        <f>IF(Metadata!O355="",FALSE,TRUE)</f>
        <v>0</v>
      </c>
      <c r="BC355" t="b">
        <f>AND(IF(Metadata!P355="",FALSE,TRUE),OR(EXACT(Metadata!P355,"air"),EXACT(Metadata!P355,"microbial mat/biofilm"),EXACT(Metadata!P355,"misc environment"),EXACT(Metadata!P355,"sediment"),EXACT(Metadata!P355,"soil"),EXACT(Metadata!P355,"wastewater/sludge"),EXACT(Metadata!P355,"water")))</f>
        <v>0</v>
      </c>
      <c r="BD355" t="b">
        <f>IF(Metadata!Q355="",FALSE,TRUE)</f>
        <v>0</v>
      </c>
      <c r="BE355" t="b">
        <f>IF(Metadata!R355="",FALSE,TRUE)</f>
        <v>0</v>
      </c>
      <c r="BF355" t="b">
        <f>OR(AND(IF(Metadata!S355="",FALSE,TRUE),OR(EXACT(Metadata!S355,"not collected"),EXACT(Metadata!S355,"not provided"),EXACT(Metadata!S355,"restricted access"))),AND(IF(Metadata!S355="",FALSE,ISNUMBER(VALUE(Metadata!S355))),Metadata!S355&gt;=-90,Metadata!S355&lt;=90))</f>
        <v>0</v>
      </c>
      <c r="BG355" t="b">
        <f>AND(IF(Metadata!T355="",FALSE,TRUE),EXACT(Metadata!T355,"Decimal degrees"))</f>
        <v>0</v>
      </c>
      <c r="BH355" t="b">
        <f>OR(AND(IF(Metadata!U355="",FALSE,TRUE),OR(EXACT(Metadata!U355,"not applicable"),EXACT(Metadata!U355,"not collected"))),IF(Metadata!U355="",FALSE,TRUE))</f>
        <v>0</v>
      </c>
      <c r="BI355" t="b">
        <f>OR(AND(IF(Metadata!V355="",FALSE,TRUE),OR(EXACT(Metadata!V355,"not collected"),EXACT(Metadata!V355,"not provided"),EXACT(Metadata!V355,"restricted access"))),AND(IF(Metadata!V355="",FALSE,ISNUMBER(VALUE(Metadata!V355))),Metadata!V355&gt;=-180,Metadata!V355&lt;=180))</f>
        <v>0</v>
      </c>
      <c r="BJ355" t="b">
        <f>AND(IF(Metadata!W355="",FALSE,TRUE),EXACT(Metadata!W355,"Decimal degrees"))</f>
        <v>0</v>
      </c>
      <c r="BK355" t="b">
        <f>IF(Metadata!X355="",FALSE,TRUE)</f>
        <v>0</v>
      </c>
      <c r="BL355" t="b">
        <f>OR(AND(IF(Metadata!Y355="",FALSE,TRUE),OR(EXACT(Metadata!Y355,"not collected"),EXACT(Metadata!Y355,"not provided"),EXACT(Metadata!Y355,"restricted access"))),AND(IF(Metadata!Y355="",FALSE,TRUE),OR(EXACT(Metadata!Y355,"TRUE"),EXACT(Metadata!Y355,"FALSE"))))</f>
        <v>0</v>
      </c>
      <c r="BM355" t="b">
        <f>OR(AND(IF(Metadata!Z355="",FALSE,TRUE),EXACT(Metadata!Z355,"not applicable")),AND(IF(Metadata!Z355="",FALSE,TRUE),OR(EXACT(Metadata!Z355,"beer"),EXACT(Metadata!Z355,"cheese"),EXACT(Metadata!Z355,"fresh water"),EXACT(Metadata!Z355,"marine sediment"),EXACT(Metadata!Z355,"sea water"),EXACT(Metadata!Z355,"sediment"),EXACT(Metadata!Z355,"soil"),EXACT(Metadata!Z355,"waste water"))))</f>
        <v>0</v>
      </c>
      <c r="BN355" t="b">
        <f>AND(IF(Metadata!AA355="",FALSE,TRUE),EXACT(Metadata!AA355,"metagenome"))</f>
        <v>0</v>
      </c>
      <c r="BO355" t="b">
        <f>AND(IF(Metadata!AB355="",FALSE,TRUE),EXACT(Metadata!AB355,"256318"))</f>
        <v>0</v>
      </c>
      <c r="BP355" t="b">
        <f>IF(Metadata!AC355="",FALSE,TRUE)</f>
        <v>0</v>
      </c>
      <c r="BQ355" t="b">
        <f>IF(Metadata!AD355="",FALSE,TRUE)</f>
        <v>0</v>
      </c>
    </row>
    <row r="356" spans="1:69" x14ac:dyDescent="0.2">
      <c r="A356" s="4" t="e">
        <f ca="1">IF(B356=" "," ",HYPERLINK(CONCATENATE("#metadata!",ADDRESS(INDEX($AJ$2:$AJ$1001,MATCH(ROWS($AH$2:AH356),$AH$2:$AH$1001,0),0),2)),INDEX($AM$2:$AM$1001,MATCH(ROWS($AH$2:AH356),$AH$2:$AH$1001,0),0)))</f>
        <v>#N/A</v>
      </c>
      <c r="B356" s="5" t="e">
        <f ca="1">IF(OR(INDEX($AI$2:$AI$1001,MATCH(ROWS($AH$2:AH356),$AH$2:$AH$1001,0),1)&gt;=100000,INDEX($AO$1005:$BQ$1005,1,MATCH(COLUMNS($AO$1006:AO1006),$AO$1006:$BQ$1006,0))&gt;=100000), " ",IF(INDEX($AO$2:$BQ$1001,MATCH(ROWS($AH$2:AH356),$AH$2:$AH$1001,0),MATCH(COLUMNS($AO$1006:AO1006),$AO$1006:$BQ$1006,0)), HYPERLINK("#",""), HYPERLINK(CONCATENATE("#Metadata!", ADDRESS(INDEX($AJ$2:$AJ$1001,MATCH(ROWS($AH$2:AH356),$AH$2:$AH$1001,0),0), INDEX($AO$1004:$BQ$1004,1,MATCH(COLUMNS($AO$1006:AO1006),$AO$1006:$BQ$1006,0)))),"Fix")))</f>
        <v>#N/A</v>
      </c>
      <c r="C356" s="5" t="e">
        <f ca="1">IF(OR(INDEX($AI$2:$AI$1001,MATCH(ROWS($AH$2:AH356),$AH$2:$AH$1001,0),1)&gt;=100000,INDEX($AO$1005:$BQ$1005,1,MATCH(COLUMNS($AO$1006:AP1006),$AO$1006:$BQ$1006,0))&gt;=100000), " ",IF(INDEX($AO$2:$BQ$1001,MATCH(ROWS($AH$2:AH356),$AH$2:$AH$1001,0),MATCH(COLUMNS($AO$1006:AP1006),$AO$1006:$BQ$1006,0)), HYPERLINK("#",""), HYPERLINK(CONCATENATE("#Metadata!", ADDRESS(INDEX($AJ$2:$AJ$1001,MATCH(ROWS($AH$2:AH356),$AH$2:$AH$1001,0),0), INDEX($AO$1004:$BQ$1004,1,MATCH(COLUMNS($AO$1006:AP1006),$AO$1006:$BQ$1006,0)))),"Fix")))</f>
        <v>#N/A</v>
      </c>
      <c r="D356" s="5" t="e">
        <f ca="1">IF(OR(INDEX($AI$2:$AI$1001,MATCH(ROWS($AH$2:AH356),$AH$2:$AH$1001,0),1)&gt;=100000,INDEX($AO$1005:$BQ$1005,1,MATCH(COLUMNS($AO$1006:AQ1006),$AO$1006:$BQ$1006,0))&gt;=100000), " ",IF(INDEX($AO$2:$BQ$1001,MATCH(ROWS($AH$2:AH356),$AH$2:$AH$1001,0),MATCH(COLUMNS($AO$1006:AQ1006),$AO$1006:$BQ$1006,0)), HYPERLINK("#",""), HYPERLINK(CONCATENATE("#Metadata!", ADDRESS(INDEX($AJ$2:$AJ$1001,MATCH(ROWS($AH$2:AH356),$AH$2:$AH$1001,0),0), INDEX($AO$1004:$BQ$1004,1,MATCH(COLUMNS($AO$1006:AQ1006),$AO$1006:$BQ$1006,0)))),"Fix")))</f>
        <v>#N/A</v>
      </c>
      <c r="E356" s="5" t="e">
        <f ca="1">IF(OR(INDEX($AI$2:$AI$1001,MATCH(ROWS($AH$2:AH356),$AH$2:$AH$1001,0),1)&gt;=100000,INDEX($AO$1005:$BQ$1005,1,MATCH(COLUMNS($AO$1006:AR1006),$AO$1006:$BQ$1006,0))&gt;=100000), " ",IF(INDEX($AO$2:$BQ$1001,MATCH(ROWS($AH$2:AH356),$AH$2:$AH$1001,0),MATCH(COLUMNS($AO$1006:AR1006),$AO$1006:$BQ$1006,0)), HYPERLINK("#",""), HYPERLINK(CONCATENATE("#Metadata!", ADDRESS(INDEX($AJ$2:$AJ$1001,MATCH(ROWS($AH$2:AH356),$AH$2:$AH$1001,0),0), INDEX($AO$1004:$BQ$1004,1,MATCH(COLUMNS($AO$1006:AR1006),$AO$1006:$BQ$1006,0)))),"Fix")))</f>
        <v>#N/A</v>
      </c>
      <c r="F356" s="5" t="e">
        <f ca="1">IF(OR(INDEX($AI$2:$AI$1001,MATCH(ROWS($AH$2:AH356),$AH$2:$AH$1001,0),1)&gt;=100000,INDEX($AO$1005:$BQ$1005,1,MATCH(COLUMNS($AO$1006:AS1006),$AO$1006:$BQ$1006,0))&gt;=100000), " ",IF(INDEX($AO$2:$BQ$1001,MATCH(ROWS($AH$2:AH356),$AH$2:$AH$1001,0),MATCH(COLUMNS($AO$1006:AS1006),$AO$1006:$BQ$1006,0)), HYPERLINK("#",""), HYPERLINK(CONCATENATE("#Metadata!", ADDRESS(INDEX($AJ$2:$AJ$1001,MATCH(ROWS($AH$2:AH356),$AH$2:$AH$1001,0),0), INDEX($AO$1004:$BQ$1004,1,MATCH(COLUMNS($AO$1006:AS1006),$AO$1006:$BQ$1006,0)))),"Fix")))</f>
        <v>#N/A</v>
      </c>
      <c r="G356" s="5" t="e">
        <f ca="1">IF(OR(INDEX($AI$2:$AI$1001,MATCH(ROWS($AH$2:AH356),$AH$2:$AH$1001,0),1)&gt;=100000,INDEX($AO$1005:$BQ$1005,1,MATCH(COLUMNS($AO$1006:AT1006),$AO$1006:$BQ$1006,0))&gt;=100000), " ",IF(INDEX($AO$2:$BQ$1001,MATCH(ROWS($AH$2:AH356),$AH$2:$AH$1001,0),MATCH(COLUMNS($AO$1006:AT1006),$AO$1006:$BQ$1006,0)), HYPERLINK("#",""), HYPERLINK(CONCATENATE("#Metadata!", ADDRESS(INDEX($AJ$2:$AJ$1001,MATCH(ROWS($AH$2:AH356),$AH$2:$AH$1001,0),0), INDEX($AO$1004:$BQ$1004,1,MATCH(COLUMNS($AO$1006:AT1006),$AO$1006:$BQ$1006,0)))),"Fix")))</f>
        <v>#N/A</v>
      </c>
      <c r="H356" s="5" t="e">
        <f ca="1">IF(OR(INDEX($AI$2:$AI$1001,MATCH(ROWS($AH$2:AH356),$AH$2:$AH$1001,0),1)&gt;=100000,INDEX($AO$1005:$BQ$1005,1,MATCH(COLUMNS($AO$1006:AU1006),$AO$1006:$BQ$1006,0))&gt;=100000), " ",IF(INDEX($AO$2:$BQ$1001,MATCH(ROWS($AH$2:AH356),$AH$2:$AH$1001,0),MATCH(COLUMNS($AO$1006:AU1006),$AO$1006:$BQ$1006,0)), HYPERLINK("#",""), HYPERLINK(CONCATENATE("#Metadata!", ADDRESS(INDEX($AJ$2:$AJ$1001,MATCH(ROWS($AH$2:AH356),$AH$2:$AH$1001,0),0), INDEX($AO$1004:$BQ$1004,1,MATCH(COLUMNS($AO$1006:AU1006),$AO$1006:$BQ$1006,0)))),"Fix")))</f>
        <v>#N/A</v>
      </c>
      <c r="I356" s="5" t="e">
        <f ca="1">IF(OR(INDEX($AI$2:$AI$1001,MATCH(ROWS($AH$2:AH356),$AH$2:$AH$1001,0),1)&gt;=100000,INDEX($AO$1005:$BQ$1005,1,MATCH(COLUMNS($AO$1006:AV1006),$AO$1006:$BQ$1006,0))&gt;=100000), " ",IF(INDEX($AO$2:$BQ$1001,MATCH(ROWS($AH$2:AH356),$AH$2:$AH$1001,0),MATCH(COLUMNS($AO$1006:AV1006),$AO$1006:$BQ$1006,0)), HYPERLINK("#",""), HYPERLINK(CONCATENATE("#Metadata!", ADDRESS(INDEX($AJ$2:$AJ$1001,MATCH(ROWS($AH$2:AH356),$AH$2:$AH$1001,0),0), INDEX($AO$1004:$BQ$1004,1,MATCH(COLUMNS($AO$1006:AV1006),$AO$1006:$BQ$1006,0)))),"Fix")))</f>
        <v>#N/A</v>
      </c>
      <c r="J356" s="5" t="e">
        <f ca="1">IF(OR(INDEX($AI$2:$AI$1001,MATCH(ROWS($AH$2:AH356),$AH$2:$AH$1001,0),1)&gt;=100000,INDEX($AO$1005:$BQ$1005,1,MATCH(COLUMNS($AO$1006:AW1006),$AO$1006:$BQ$1006,0))&gt;=100000), " ",IF(INDEX($AO$2:$BQ$1001,MATCH(ROWS($AH$2:AH356),$AH$2:$AH$1001,0),MATCH(COLUMNS($AO$1006:AW1006),$AO$1006:$BQ$1006,0)), HYPERLINK("#",""), HYPERLINK(CONCATENATE("#Metadata!", ADDRESS(INDEX($AJ$2:$AJ$1001,MATCH(ROWS($AH$2:AH356),$AH$2:$AH$1001,0),0), INDEX($AO$1004:$BQ$1004,1,MATCH(COLUMNS($AO$1006:AW1006),$AO$1006:$BQ$1006,0)))),"Fix")))</f>
        <v>#N/A</v>
      </c>
      <c r="K356" s="5" t="e">
        <f ca="1">IF(OR(INDEX($AI$2:$AI$1001,MATCH(ROWS($AH$2:AH356),$AH$2:$AH$1001,0),1)&gt;=100000,INDEX($AO$1005:$BQ$1005,1,MATCH(COLUMNS($AO$1006:AX1006),$AO$1006:$BQ$1006,0))&gt;=100000), " ",IF(INDEX($AO$2:$BQ$1001,MATCH(ROWS($AH$2:AH356),$AH$2:$AH$1001,0),MATCH(COLUMNS($AO$1006:AX1006),$AO$1006:$BQ$1006,0)), HYPERLINK("#",""), HYPERLINK(CONCATENATE("#Metadata!", ADDRESS(INDEX($AJ$2:$AJ$1001,MATCH(ROWS($AH$2:AH356),$AH$2:$AH$1001,0),0), INDEX($AO$1004:$BQ$1004,1,MATCH(COLUMNS($AO$1006:AX1006),$AO$1006:$BQ$1006,0)))),"Fix")))</f>
        <v>#N/A</v>
      </c>
      <c r="L356" s="5" t="e">
        <f ca="1">IF(OR(INDEX($AI$2:$AI$1001,MATCH(ROWS($AH$2:AH356),$AH$2:$AH$1001,0),1)&gt;=100000,INDEX($AO$1005:$BQ$1005,1,MATCH(COLUMNS($AO$1006:AY1006),$AO$1006:$BQ$1006,0))&gt;=100000), " ",IF(INDEX($AO$2:$BQ$1001,MATCH(ROWS($AH$2:AH356),$AH$2:$AH$1001,0),MATCH(COLUMNS($AO$1006:AY1006),$AO$1006:$BQ$1006,0)), HYPERLINK("#",""), HYPERLINK(CONCATENATE("#Metadata!", ADDRESS(INDEX($AJ$2:$AJ$1001,MATCH(ROWS($AH$2:AH356),$AH$2:$AH$1001,0),0), INDEX($AO$1004:$BQ$1004,1,MATCH(COLUMNS($AO$1006:AY1006),$AO$1006:$BQ$1006,0)))),"Fix")))</f>
        <v>#N/A</v>
      </c>
      <c r="M356" s="5" t="e">
        <f ca="1">IF(OR(INDEX($AI$2:$AI$1001,MATCH(ROWS($AH$2:AH356),$AH$2:$AH$1001,0),1)&gt;=100000,INDEX($AO$1005:$BQ$1005,1,MATCH(COLUMNS($AO$1006:AZ1006),$AO$1006:$BQ$1006,0))&gt;=100000), " ",IF(INDEX($AO$2:$BQ$1001,MATCH(ROWS($AH$2:AH356),$AH$2:$AH$1001,0),MATCH(COLUMNS($AO$1006:AZ1006),$AO$1006:$BQ$1006,0)), HYPERLINK("#",""), HYPERLINK(CONCATENATE("#Metadata!", ADDRESS(INDEX($AJ$2:$AJ$1001,MATCH(ROWS($AH$2:AH356),$AH$2:$AH$1001,0),0), INDEX($AO$1004:$BQ$1004,1,MATCH(COLUMNS($AO$1006:AZ1006),$AO$1006:$BQ$1006,0)))),"Fix")))</f>
        <v>#N/A</v>
      </c>
      <c r="N356" s="5" t="e">
        <f ca="1">IF(OR(INDEX($AI$2:$AI$1001,MATCH(ROWS($AH$2:AH356),$AH$2:$AH$1001,0),1)&gt;=100000,INDEX($AO$1005:$BQ$1005,1,MATCH(COLUMNS($AO$1006:BA1006),$AO$1006:$BQ$1006,0))&gt;=100000), " ",IF(INDEX($AO$2:$BQ$1001,MATCH(ROWS($AH$2:AH356),$AH$2:$AH$1001,0),MATCH(COLUMNS($AO$1006:BA1006),$AO$1006:$BQ$1006,0)), HYPERLINK("#",""), HYPERLINK(CONCATENATE("#Metadata!", ADDRESS(INDEX($AJ$2:$AJ$1001,MATCH(ROWS($AH$2:AH356),$AH$2:$AH$1001,0),0), INDEX($AO$1004:$BQ$1004,1,MATCH(COLUMNS($AO$1006:BA1006),$AO$1006:$BQ$1006,0)))),"Fix")))</f>
        <v>#N/A</v>
      </c>
      <c r="O356" s="5" t="e">
        <f ca="1">IF(OR(INDEX($AI$2:$AI$1001,MATCH(ROWS($AH$2:AH356),$AH$2:$AH$1001,0),1)&gt;=100000,INDEX($AO$1005:$BQ$1005,1,MATCH(COLUMNS($AO$1006:BB1006),$AO$1006:$BQ$1006,0))&gt;=100000), " ",IF(INDEX($AO$2:$BQ$1001,MATCH(ROWS($AH$2:AH356),$AH$2:$AH$1001,0),MATCH(COLUMNS($AO$1006:BB1006),$AO$1006:$BQ$1006,0)), HYPERLINK("#",""), HYPERLINK(CONCATENATE("#Metadata!", ADDRESS(INDEX($AJ$2:$AJ$1001,MATCH(ROWS($AH$2:AH356),$AH$2:$AH$1001,0),0), INDEX($AO$1004:$BQ$1004,1,MATCH(COLUMNS($AO$1006:BB1006),$AO$1006:$BQ$1006,0)))),"Fix")))</f>
        <v>#N/A</v>
      </c>
      <c r="P356" s="5" t="e">
        <f ca="1">IF(OR(INDEX($AI$2:$AI$1001,MATCH(ROWS($AH$2:AH356),$AH$2:$AH$1001,0),1)&gt;=100000,INDEX($AO$1005:$BQ$1005,1,MATCH(COLUMNS($AO$1006:BC1006),$AO$1006:$BQ$1006,0))&gt;=100000), " ",IF(INDEX($AO$2:$BQ$1001,MATCH(ROWS($AH$2:AH356),$AH$2:$AH$1001,0),MATCH(COLUMNS($AO$1006:BC1006),$AO$1006:$BQ$1006,0)), HYPERLINK("#",""), HYPERLINK(CONCATENATE("#Metadata!", ADDRESS(INDEX($AJ$2:$AJ$1001,MATCH(ROWS($AH$2:AH356),$AH$2:$AH$1001,0),0), INDEX($AO$1004:$BQ$1004,1,MATCH(COLUMNS($AO$1006:BC1006),$AO$1006:$BQ$1006,0)))),"Fix")))</f>
        <v>#N/A</v>
      </c>
      <c r="Q356" s="5" t="e">
        <f ca="1">IF(OR(INDEX($AI$2:$AI$1001,MATCH(ROWS($AH$2:AH356),$AH$2:$AH$1001,0),1)&gt;=100000,INDEX($AO$1005:$BQ$1005,1,MATCH(COLUMNS($AO$1006:BD1006),$AO$1006:$BQ$1006,0))&gt;=100000), " ",IF(INDEX($AO$2:$BQ$1001,MATCH(ROWS($AH$2:AH356),$AH$2:$AH$1001,0),MATCH(COLUMNS($AO$1006:BD1006),$AO$1006:$BQ$1006,0)), HYPERLINK("#",""), HYPERLINK(CONCATENATE("#Metadata!", ADDRESS(INDEX($AJ$2:$AJ$1001,MATCH(ROWS($AH$2:AH356),$AH$2:$AH$1001,0),0), INDEX($AO$1004:$BQ$1004,1,MATCH(COLUMNS($AO$1006:BD1006),$AO$1006:$BQ$1006,0)))),"Fix")))</f>
        <v>#N/A</v>
      </c>
      <c r="R356" s="5" t="e">
        <f ca="1">IF(OR(INDEX($AI$2:$AI$1001,MATCH(ROWS($AH$2:AH356),$AH$2:$AH$1001,0),1)&gt;=100000,INDEX($AO$1005:$BQ$1005,1,MATCH(COLUMNS($AO$1006:BE1006),$AO$1006:$BQ$1006,0))&gt;=100000), " ",IF(INDEX($AO$2:$BQ$1001,MATCH(ROWS($AH$2:AH356),$AH$2:$AH$1001,0),MATCH(COLUMNS($AO$1006:BE1006),$AO$1006:$BQ$1006,0)), HYPERLINK("#",""), HYPERLINK(CONCATENATE("#Metadata!", ADDRESS(INDEX($AJ$2:$AJ$1001,MATCH(ROWS($AH$2:AH356),$AH$2:$AH$1001,0),0), INDEX($AO$1004:$BQ$1004,1,MATCH(COLUMNS($AO$1006:BE1006),$AO$1006:$BQ$1006,0)))),"Fix")))</f>
        <v>#N/A</v>
      </c>
      <c r="S356" s="5" t="e">
        <f ca="1">IF(OR(INDEX($AI$2:$AI$1001,MATCH(ROWS($AH$2:AH356),$AH$2:$AH$1001,0),1)&gt;=100000,INDEX($AO$1005:$BQ$1005,1,MATCH(COLUMNS($AO$1006:BF1006),$AO$1006:$BQ$1006,0))&gt;=100000), " ",IF(INDEX($AO$2:$BQ$1001,MATCH(ROWS($AH$2:AH356),$AH$2:$AH$1001,0),MATCH(COLUMNS($AO$1006:BF1006),$AO$1006:$BQ$1006,0)), HYPERLINK("#",""), HYPERLINK(CONCATENATE("#Metadata!", ADDRESS(INDEX($AJ$2:$AJ$1001,MATCH(ROWS($AH$2:AH356),$AH$2:$AH$1001,0),0), INDEX($AO$1004:$BQ$1004,1,MATCH(COLUMNS($AO$1006:BF1006),$AO$1006:$BQ$1006,0)))),"Fix")))</f>
        <v>#N/A</v>
      </c>
      <c r="T356" s="5" t="e">
        <f ca="1">IF(OR(INDEX($AI$2:$AI$1001,MATCH(ROWS($AH$2:AH356),$AH$2:$AH$1001,0),1)&gt;=100000,INDEX($AO$1005:$BQ$1005,1,MATCH(COLUMNS($AO$1006:BG1006),$AO$1006:$BQ$1006,0))&gt;=100000), " ",IF(INDEX($AO$2:$BQ$1001,MATCH(ROWS($AH$2:AH356),$AH$2:$AH$1001,0),MATCH(COLUMNS($AO$1006:BG1006),$AO$1006:$BQ$1006,0)), HYPERLINK("#",""), HYPERLINK(CONCATENATE("#Metadata!", ADDRESS(INDEX($AJ$2:$AJ$1001,MATCH(ROWS($AH$2:AH356),$AH$2:$AH$1001,0),0), INDEX($AO$1004:$BQ$1004,1,MATCH(COLUMNS($AO$1006:BG1006),$AO$1006:$BQ$1006,0)))),"Fix")))</f>
        <v>#N/A</v>
      </c>
      <c r="U356" s="5" t="e">
        <f ca="1">IF(OR(INDEX($AI$2:$AI$1001,MATCH(ROWS($AH$2:AH356),$AH$2:$AH$1001,0),1)&gt;=100000,INDEX($AO$1005:$BQ$1005,1,MATCH(COLUMNS($AO$1006:BH1006),$AO$1006:$BQ$1006,0))&gt;=100000), " ",IF(INDEX($AO$2:$BQ$1001,MATCH(ROWS($AH$2:AH356),$AH$2:$AH$1001,0),MATCH(COLUMNS($AO$1006:BH1006),$AO$1006:$BQ$1006,0)), HYPERLINK("#",""), HYPERLINK(CONCATENATE("#Metadata!", ADDRESS(INDEX($AJ$2:$AJ$1001,MATCH(ROWS($AH$2:AH356),$AH$2:$AH$1001,0),0), INDEX($AO$1004:$BQ$1004,1,MATCH(COLUMNS($AO$1006:BH1006),$AO$1006:$BQ$1006,0)))),"Fix")))</f>
        <v>#N/A</v>
      </c>
      <c r="V356" s="5" t="e">
        <f ca="1">IF(OR(INDEX($AI$2:$AI$1001,MATCH(ROWS($AH$2:AH356),$AH$2:$AH$1001,0),1)&gt;=100000,INDEX($AO$1005:$BQ$1005,1,MATCH(COLUMNS($AO$1006:BI1006),$AO$1006:$BQ$1006,0))&gt;=100000), " ",IF(INDEX($AO$2:$BQ$1001,MATCH(ROWS($AH$2:AH356),$AH$2:$AH$1001,0),MATCH(COLUMNS($AO$1006:BI1006),$AO$1006:$BQ$1006,0)), HYPERLINK("#",""), HYPERLINK(CONCATENATE("#Metadata!", ADDRESS(INDEX($AJ$2:$AJ$1001,MATCH(ROWS($AH$2:AH356),$AH$2:$AH$1001,0),0), INDEX($AO$1004:$BQ$1004,1,MATCH(COLUMNS($AO$1006:BI1006),$AO$1006:$BQ$1006,0)))),"Fix")))</f>
        <v>#N/A</v>
      </c>
      <c r="W356" s="5" t="e">
        <f ca="1">IF(OR(INDEX($AI$2:$AI$1001,MATCH(ROWS($AH$2:AH356),$AH$2:$AH$1001,0),1)&gt;=100000,INDEX($AO$1005:$BQ$1005,1,MATCH(COLUMNS($AO$1006:BJ1006),$AO$1006:$BQ$1006,0))&gt;=100000), " ",IF(INDEX($AO$2:$BQ$1001,MATCH(ROWS($AH$2:AH356),$AH$2:$AH$1001,0),MATCH(COLUMNS($AO$1006:BJ1006),$AO$1006:$BQ$1006,0)), HYPERLINK("#",""), HYPERLINK(CONCATENATE("#Metadata!", ADDRESS(INDEX($AJ$2:$AJ$1001,MATCH(ROWS($AH$2:AH356),$AH$2:$AH$1001,0),0), INDEX($AO$1004:$BQ$1004,1,MATCH(COLUMNS($AO$1006:BJ1006),$AO$1006:$BQ$1006,0)))),"Fix")))</f>
        <v>#N/A</v>
      </c>
      <c r="X356" s="5" t="e">
        <f ca="1">IF(OR(INDEX($AI$2:$AI$1001,MATCH(ROWS($AH$2:AH356),$AH$2:$AH$1001,0),1)&gt;=100000,INDEX($AO$1005:$BQ$1005,1,MATCH(COLUMNS($AO$1006:BK1006),$AO$1006:$BQ$1006,0))&gt;=100000), " ",IF(INDEX($AO$2:$BQ$1001,MATCH(ROWS($AH$2:AH356),$AH$2:$AH$1001,0),MATCH(COLUMNS($AO$1006:BK1006),$AO$1006:$BQ$1006,0)), HYPERLINK("#",""), HYPERLINK(CONCATENATE("#Metadata!", ADDRESS(INDEX($AJ$2:$AJ$1001,MATCH(ROWS($AH$2:AH356),$AH$2:$AH$1001,0),0), INDEX($AO$1004:$BQ$1004,1,MATCH(COLUMNS($AO$1006:BK1006),$AO$1006:$BQ$1006,0)))),"Fix")))</f>
        <v>#N/A</v>
      </c>
      <c r="Y356" s="5" t="e">
        <f ca="1">IF(OR(INDEX($AI$2:$AI$1001,MATCH(ROWS($AH$2:AH356),$AH$2:$AH$1001,0),1)&gt;=100000,INDEX($AO$1005:$BQ$1005,1,MATCH(COLUMNS($AO$1006:BL1006),$AO$1006:$BQ$1006,0))&gt;=100000), " ",IF(INDEX($AO$2:$BQ$1001,MATCH(ROWS($AH$2:AH356),$AH$2:$AH$1001,0),MATCH(COLUMNS($AO$1006:BL1006),$AO$1006:$BQ$1006,0)), HYPERLINK("#",""), HYPERLINK(CONCATENATE("#Metadata!", ADDRESS(INDEX($AJ$2:$AJ$1001,MATCH(ROWS($AH$2:AH356),$AH$2:$AH$1001,0),0), INDEX($AO$1004:$BQ$1004,1,MATCH(COLUMNS($AO$1006:BL1006),$AO$1006:$BQ$1006,0)))),"Fix")))</f>
        <v>#N/A</v>
      </c>
      <c r="Z356" s="5" t="e">
        <f ca="1">IF(OR(INDEX($AI$2:$AI$1001,MATCH(ROWS($AH$2:AH356),$AH$2:$AH$1001,0),1)&gt;=100000,INDEX($AO$1005:$BQ$1005,1,MATCH(COLUMNS($AO$1006:BM1006),$AO$1006:$BQ$1006,0))&gt;=100000), " ",IF(INDEX($AO$2:$BQ$1001,MATCH(ROWS($AH$2:AH356),$AH$2:$AH$1001,0),MATCH(COLUMNS($AO$1006:BM1006),$AO$1006:$BQ$1006,0)), HYPERLINK("#",""), HYPERLINK(CONCATENATE("#Metadata!", ADDRESS(INDEX($AJ$2:$AJ$1001,MATCH(ROWS($AH$2:AH356),$AH$2:$AH$1001,0),0), INDEX($AO$1004:$BQ$1004,1,MATCH(COLUMNS($AO$1006:BM1006),$AO$1006:$BQ$1006,0)))),"Fix")))</f>
        <v>#N/A</v>
      </c>
      <c r="AA356" s="5" t="e">
        <f ca="1">IF(OR(INDEX($AI$2:$AI$1001,MATCH(ROWS($AH$2:AH356),$AH$2:$AH$1001,0),1)&gt;=100000,INDEX($AO$1005:$BQ$1005,1,MATCH(COLUMNS($AO$1006:BN1006),$AO$1006:$BQ$1006,0))&gt;=100000), " ",IF(INDEX($AO$2:$BQ$1001,MATCH(ROWS($AH$2:AH356),$AH$2:$AH$1001,0),MATCH(COLUMNS($AO$1006:BN1006),$AO$1006:$BQ$1006,0)), HYPERLINK("#",""), HYPERLINK(CONCATENATE("#Metadata!", ADDRESS(INDEX($AJ$2:$AJ$1001,MATCH(ROWS($AH$2:AH356),$AH$2:$AH$1001,0),0), INDEX($AO$1004:$BQ$1004,1,MATCH(COLUMNS($AO$1006:BN1006),$AO$1006:$BQ$1006,0)))),"Fix")))</f>
        <v>#N/A</v>
      </c>
      <c r="AB356" s="5" t="e">
        <f ca="1">IF(OR(INDEX($AI$2:$AI$1001,MATCH(ROWS($AH$2:AH356),$AH$2:$AH$1001,0),1)&gt;=100000,INDEX($AO$1005:$BQ$1005,1,MATCH(COLUMNS($AO$1006:BO1006),$AO$1006:$BQ$1006,0))&gt;=100000), " ",IF(INDEX($AO$2:$BQ$1001,MATCH(ROWS($AH$2:AH356),$AH$2:$AH$1001,0),MATCH(COLUMNS($AO$1006:BO1006),$AO$1006:$BQ$1006,0)), HYPERLINK("#",""), HYPERLINK(CONCATENATE("#Metadata!", ADDRESS(INDEX($AJ$2:$AJ$1001,MATCH(ROWS($AH$2:AH356),$AH$2:$AH$1001,0),0), INDEX($AO$1004:$BQ$1004,1,MATCH(COLUMNS($AO$1006:BO1006),$AO$1006:$BQ$1006,0)))),"Fix")))</f>
        <v>#N/A</v>
      </c>
      <c r="AC356" s="5" t="e">
        <f ca="1">IF(OR(INDEX($AI$2:$AI$1001,MATCH(ROWS($AH$2:AH356),$AH$2:$AH$1001,0),1)&gt;=100000,INDEX($AO$1005:$BQ$1005,1,MATCH(COLUMNS($AO$1006:BP1006),$AO$1006:$BQ$1006,0))&gt;=100000), " ",IF(INDEX($AO$2:$BQ$1001,MATCH(ROWS($AH$2:AH356),$AH$2:$AH$1001,0),MATCH(COLUMNS($AO$1006:BP1006),$AO$1006:$BQ$1006,0)), HYPERLINK("#",""), HYPERLINK(CONCATENATE("#Metadata!", ADDRESS(INDEX($AJ$2:$AJ$1001,MATCH(ROWS($AH$2:AH356),$AH$2:$AH$1001,0),0), INDEX($AO$1004:$BQ$1004,1,MATCH(COLUMNS($AO$1006:BP1006),$AO$1006:$BQ$1006,0)))),"Fix")))</f>
        <v>#N/A</v>
      </c>
      <c r="AD356" s="5" t="e">
        <f ca="1">IF(OR(INDEX($AI$2:$AI$1001,MATCH(ROWS($AH$2:AH356),$AH$2:$AH$1001,0),1)&gt;=100000,INDEX($AO$1005:$BQ$1005,1,MATCH(COLUMNS($AO$1006:BQ1006),$AO$1006:$BQ$1006,0))&gt;=100000), " ",IF(INDEX($AO$2:$BQ$1001,MATCH(ROWS($AH$2:AH356),$AH$2:$AH$1001,0),MATCH(COLUMNS($AO$1006:BQ1006),$AO$1006:$BQ$1006,0)), HYPERLINK("#",""), HYPERLINK(CONCATENATE("#Metadata!", ADDRESS(INDEX($AJ$2:$AJ$1001,MATCH(ROWS($AH$2:AH356),$AH$2:$AH$1001,0),0), INDEX($AO$1004:$BQ$1004,1,MATCH(COLUMNS($AO$1006:BQ1006),$AO$1006:$BQ$1006,0)))),"Fix")))</f>
        <v>#REF!</v>
      </c>
      <c r="AH356">
        <f ca="1"/>
        <v>353</v>
      </c>
      <c r="AI356">
        <v>100356</v>
      </c>
      <c r="AJ356">
        <v>356</v>
      </c>
      <c r="AK356" t="b">
        <f t="shared" si="5"/>
        <v>1</v>
      </c>
      <c r="AL356" t="b">
        <f>COUNTBLANK(Metadata!B356:AD356)=COLUMNS(Metadata!B356:AD356)</f>
        <v>1</v>
      </c>
      <c r="AM356" t="str">
        <v/>
      </c>
      <c r="AO356" t="b">
        <f ca="1">AND(IF(Metadata!B356="",FALSE,TRUE),COUNTIF(Metadata!B:B, Metadata!B356) = 1,NOT(ISERROR(SUMPRODUCT(SEARCH(MID(Metadata!B356,ROW(INDIRECT("1:"&amp;LEN(Metadata!B356))), 1),"0123456789abcdefghijklmnopqrstuvwxyzABCDEFGHIJKLMNOPQRSTUVWXYZ.")))))</f>
        <v>0</v>
      </c>
      <c r="AP356" t="b">
        <f>IF(Metadata!C356="",FALSE,TRUE)</f>
        <v>0</v>
      </c>
      <c r="AQ356" t="b">
        <f>IF(Metadata!D356="",FALSE,TRUE)</f>
        <v>0</v>
      </c>
      <c r="AR356" t="b">
        <f ca="1">OR(AND(IF(Metadata!E356="",FALSE,TRUE),OR(EXACT(Metadata!E356,"not collected"),EXACT(Metadata!E356,"not provided"),EXACT(Metadata!E356,"restricted access"))),AND(IF(Metadata!E356="",FALSE,TRUE),AND(AND(IFERROR(INT(LEFT(Metadata!E356,4))&gt;1900,FALSE),IFERROR(INT(LEFT(Metadata!E356,4))&lt;=YEAR(NOW()),FALSE)), OR(MID(Metadata!E356,5,1)="", AND(AND(MID(Metadata!E356,5,1)="-",IFERROR(INT(MID(Metadata!E356,6,1))&gt;=0,FALSE),IFERROR(INT(MID(Metadata!E356,6,1))&lt;=1,FALSE),NOT(MID(Metadata!E356,7,1)=""),IFERROR(INT(MID(Metadata!E356,6,2))&gt;=1,FALSE),IFERROR(INT(MID(Metadata!E356,6,2))&lt;=12,FALSE)), OR(MID(Metadata!E356,8,1)="", AND(AND(MID(Metadata!E356,8,1)="-",IFERROR(INT(MID(Metadata!E356,9,1))&gt;=0,FALSE),IFERROR(INT(MID(Metadata!E356,9,1))&lt;=3,FALSE),NOT(MID(Metadata!E356,10,1)=""),IFERROR(INT(MID(Metadata!E356,9,2))&gt;=1,FALSE),IFERROR(INT(MID(Metadata!E356,9,2))&lt;=31,FALSE)), OR(MID(Metadata!E356,11,1)="", AND(AND(MID(Metadata!E356,11,1)=" ",IFERROR(INT(MID(Metadata!E356,12,1))&gt;=0,FALSE),IFERROR(INT(MID(Metadata!E356,12,1))&lt;=2,FALSE),NOT(MID(Metadata!E356,13,1)=""),IFERROR(INT(MID(Metadata!E356,12,2))&gt;=0,FALSE),IFERROR(INT(MID(Metadata!E356,12,2))&lt;=23,FALSE)), OR(MID(Metadata!E356,14,1)="", AND(AND(MID(Metadata!E356,14,1)=":",IFERROR(INT(MID(Metadata!E356,15,1))&gt;=0,FALSE),IFERROR(INT(MID(Metadata!E356,15,1))&lt;=5,FALSE),NOT(MID(Metadata!E356,16,1)=""),IFERROR(INT(MID(Metadata!E356,15,2))&gt;=0,FALSE),IFERROR(INT(MID(Metadata!E356,15,2))&lt;=59,FALSE)), OR(MID(Metadata!E356,17,1)="", AND(AND(MID(Metadata!E356,17,1)=":",IFERROR(INT(MID(Metadata!E356,18,1))&gt;=0,FALSE),IFERROR(INT(MID(Metadata!E356,18,1))&lt;=5,FALSE),NOT(MID(Metadata!E356,19,1)=""),IFERROR(INT(MID(Metadata!E356,18,2))&gt;=0,FALSE),IFERROR(INT(MID(Metadata!E356,18,2))&lt;=59,FALSE)), LEN(Metadata!E356)&lt;=19)))))))))))))</f>
        <v>0</v>
      </c>
      <c r="AS356" t="b">
        <f>IF(Metadata!F356="",FALSE,TRUE)</f>
        <v>0</v>
      </c>
      <c r="AT356" t="b">
        <f>OR(AND(IF(Metadata!G356="",FALSE,TRUE),OR(EXACT(Metadata!G356,"not collected"),EXACT(Metadata!G356,"not provided"))),AND(IF(Metadata!G356="",FALSE,TRUE),OR(EXACT(Metadata!G356,"TRUE"),EXACT(Metadata!G356,"FALSE"))))</f>
        <v>0</v>
      </c>
      <c r="AU356" t="b">
        <f>OR(AND(IF(Metadata!H356="",FALSE,TRUE),OR(EXACT(Metadata!H356,"not collected"),EXACT(Metadata!H356,"not provided"),EXACT(Metadata!H356,"restricted access"))),AND(IF(Metadata!H356="",FALSE,ISNUMBER(VALUE(Metadata!H356))),Metadata!H356&gt;=-413))</f>
        <v>0</v>
      </c>
      <c r="AV356" t="b">
        <f>AND(IF(Metadata!I356="",FALSE,TRUE),EXACT(Metadata!I356,"meters"))</f>
        <v>0</v>
      </c>
      <c r="AW356" t="b">
        <f>AND(IF(Metadata!J356="",FALSE,TRUE),EXACT(Metadata!J356,"free-living"))</f>
        <v>0</v>
      </c>
      <c r="AX356" t="b">
        <f>AND(IF(Metadata!K356="",FALSE,TRUE),OR(EXACT(Metadata!K356,"saline"),EXACT(Metadata!K356,"non-saline")))</f>
        <v>0</v>
      </c>
      <c r="AY356" t="b">
        <f>AND(IF(Metadata!L356="",FALSE,TRUE),OR(EXACT(Metadata!L356,"sub-surface (non-saline)"),EXACT(Metadata!L356,"surface (non-saline)"),EXACT(Metadata!L356,"water (non-saline)"),EXACT(Metadata!L356,"soil (non-saline)"),EXACT(Metadata!L356,"aerosol (non-saline)"),EXACT(Metadata!L356,"sediment (non-saline)"),EXACT(Metadata!L356,"surface (saline)"),EXACT(Metadata!L356,"water (saline)"),EXACT(Metadata!L356,"hypersaline (saline)"),EXACT(Metadata!L356,"aerosol (saline)"),EXACT(Metadata!L356,"sediment (saline)")))</f>
        <v>0</v>
      </c>
      <c r="AZ356" t="b">
        <f>IF(Metadata!M356="",FALSE,TRUE)</f>
        <v>0</v>
      </c>
      <c r="BA356" t="b">
        <f>IF(Metadata!N356="",FALSE,TRUE)</f>
        <v>0</v>
      </c>
      <c r="BB356" t="b">
        <f>IF(Metadata!O356="",FALSE,TRUE)</f>
        <v>0</v>
      </c>
      <c r="BC356" t="b">
        <f>AND(IF(Metadata!P356="",FALSE,TRUE),OR(EXACT(Metadata!P356,"air"),EXACT(Metadata!P356,"microbial mat/biofilm"),EXACT(Metadata!P356,"misc environment"),EXACT(Metadata!P356,"sediment"),EXACT(Metadata!P356,"soil"),EXACT(Metadata!P356,"wastewater/sludge"),EXACT(Metadata!P356,"water")))</f>
        <v>0</v>
      </c>
      <c r="BD356" t="b">
        <f>IF(Metadata!Q356="",FALSE,TRUE)</f>
        <v>0</v>
      </c>
      <c r="BE356" t="b">
        <f>IF(Metadata!R356="",FALSE,TRUE)</f>
        <v>0</v>
      </c>
      <c r="BF356" t="b">
        <f>OR(AND(IF(Metadata!S356="",FALSE,TRUE),OR(EXACT(Metadata!S356,"not collected"),EXACT(Metadata!S356,"not provided"),EXACT(Metadata!S356,"restricted access"))),AND(IF(Metadata!S356="",FALSE,ISNUMBER(VALUE(Metadata!S356))),Metadata!S356&gt;=-90,Metadata!S356&lt;=90))</f>
        <v>0</v>
      </c>
      <c r="BG356" t="b">
        <f>AND(IF(Metadata!T356="",FALSE,TRUE),EXACT(Metadata!T356,"Decimal degrees"))</f>
        <v>0</v>
      </c>
      <c r="BH356" t="b">
        <f>OR(AND(IF(Metadata!U356="",FALSE,TRUE),OR(EXACT(Metadata!U356,"not applicable"),EXACT(Metadata!U356,"not collected"))),IF(Metadata!U356="",FALSE,TRUE))</f>
        <v>0</v>
      </c>
      <c r="BI356" t="b">
        <f>OR(AND(IF(Metadata!V356="",FALSE,TRUE),OR(EXACT(Metadata!V356,"not collected"),EXACT(Metadata!V356,"not provided"),EXACT(Metadata!V356,"restricted access"))),AND(IF(Metadata!V356="",FALSE,ISNUMBER(VALUE(Metadata!V356))),Metadata!V356&gt;=-180,Metadata!V356&lt;=180))</f>
        <v>0</v>
      </c>
      <c r="BJ356" t="b">
        <f>AND(IF(Metadata!W356="",FALSE,TRUE),EXACT(Metadata!W356,"Decimal degrees"))</f>
        <v>0</v>
      </c>
      <c r="BK356" t="b">
        <f>IF(Metadata!X356="",FALSE,TRUE)</f>
        <v>0</v>
      </c>
      <c r="BL356" t="b">
        <f>OR(AND(IF(Metadata!Y356="",FALSE,TRUE),OR(EXACT(Metadata!Y356,"not collected"),EXACT(Metadata!Y356,"not provided"),EXACT(Metadata!Y356,"restricted access"))),AND(IF(Metadata!Y356="",FALSE,TRUE),OR(EXACT(Metadata!Y356,"TRUE"),EXACT(Metadata!Y356,"FALSE"))))</f>
        <v>0</v>
      </c>
      <c r="BM356" t="b">
        <f>OR(AND(IF(Metadata!Z356="",FALSE,TRUE),EXACT(Metadata!Z356,"not applicable")),AND(IF(Metadata!Z356="",FALSE,TRUE),OR(EXACT(Metadata!Z356,"beer"),EXACT(Metadata!Z356,"cheese"),EXACT(Metadata!Z356,"fresh water"),EXACT(Metadata!Z356,"marine sediment"),EXACT(Metadata!Z356,"sea water"),EXACT(Metadata!Z356,"sediment"),EXACT(Metadata!Z356,"soil"),EXACT(Metadata!Z356,"waste water"))))</f>
        <v>0</v>
      </c>
      <c r="BN356" t="b">
        <f>AND(IF(Metadata!AA356="",FALSE,TRUE),EXACT(Metadata!AA356,"metagenome"))</f>
        <v>0</v>
      </c>
      <c r="BO356" t="b">
        <f>AND(IF(Metadata!AB356="",FALSE,TRUE),EXACT(Metadata!AB356,"256318"))</f>
        <v>0</v>
      </c>
      <c r="BP356" t="b">
        <f>IF(Metadata!AC356="",FALSE,TRUE)</f>
        <v>0</v>
      </c>
      <c r="BQ356" t="b">
        <f>IF(Metadata!AD356="",FALSE,TRUE)</f>
        <v>0</v>
      </c>
    </row>
    <row r="357" spans="1:69" x14ac:dyDescent="0.2">
      <c r="A357" s="4" t="e">
        <f ca="1">IF(B357=" "," ",HYPERLINK(CONCATENATE("#metadata!",ADDRESS(INDEX($AJ$2:$AJ$1001,MATCH(ROWS($AH$2:AH357),$AH$2:$AH$1001,0),0),2)),INDEX($AM$2:$AM$1001,MATCH(ROWS($AH$2:AH357),$AH$2:$AH$1001,0),0)))</f>
        <v>#N/A</v>
      </c>
      <c r="B357" s="5" t="e">
        <f ca="1">IF(OR(INDEX($AI$2:$AI$1001,MATCH(ROWS($AH$2:AH357),$AH$2:$AH$1001,0),1)&gt;=100000,INDEX($AO$1005:$BQ$1005,1,MATCH(COLUMNS($AO$1006:AO1006),$AO$1006:$BQ$1006,0))&gt;=100000), " ",IF(INDEX($AO$2:$BQ$1001,MATCH(ROWS($AH$2:AH357),$AH$2:$AH$1001,0),MATCH(COLUMNS($AO$1006:AO1006),$AO$1006:$BQ$1006,0)), HYPERLINK("#",""), HYPERLINK(CONCATENATE("#Metadata!", ADDRESS(INDEX($AJ$2:$AJ$1001,MATCH(ROWS($AH$2:AH357),$AH$2:$AH$1001,0),0), INDEX($AO$1004:$BQ$1004,1,MATCH(COLUMNS($AO$1006:AO1006),$AO$1006:$BQ$1006,0)))),"Fix")))</f>
        <v>#N/A</v>
      </c>
      <c r="C357" s="5" t="e">
        <f ca="1">IF(OR(INDEX($AI$2:$AI$1001,MATCH(ROWS($AH$2:AH357),$AH$2:$AH$1001,0),1)&gt;=100000,INDEX($AO$1005:$BQ$1005,1,MATCH(COLUMNS($AO$1006:AP1006),$AO$1006:$BQ$1006,0))&gt;=100000), " ",IF(INDEX($AO$2:$BQ$1001,MATCH(ROWS($AH$2:AH357),$AH$2:$AH$1001,0),MATCH(COLUMNS($AO$1006:AP1006),$AO$1006:$BQ$1006,0)), HYPERLINK("#",""), HYPERLINK(CONCATENATE("#Metadata!", ADDRESS(INDEX($AJ$2:$AJ$1001,MATCH(ROWS($AH$2:AH357),$AH$2:$AH$1001,0),0), INDEX($AO$1004:$BQ$1004,1,MATCH(COLUMNS($AO$1006:AP1006),$AO$1006:$BQ$1006,0)))),"Fix")))</f>
        <v>#N/A</v>
      </c>
      <c r="D357" s="5" t="e">
        <f ca="1">IF(OR(INDEX($AI$2:$AI$1001,MATCH(ROWS($AH$2:AH357),$AH$2:$AH$1001,0),1)&gt;=100000,INDEX($AO$1005:$BQ$1005,1,MATCH(COLUMNS($AO$1006:AQ1006),$AO$1006:$BQ$1006,0))&gt;=100000), " ",IF(INDEX($AO$2:$BQ$1001,MATCH(ROWS($AH$2:AH357),$AH$2:$AH$1001,0),MATCH(COLUMNS($AO$1006:AQ1006),$AO$1006:$BQ$1006,0)), HYPERLINK("#",""), HYPERLINK(CONCATENATE("#Metadata!", ADDRESS(INDEX($AJ$2:$AJ$1001,MATCH(ROWS($AH$2:AH357),$AH$2:$AH$1001,0),0), INDEX($AO$1004:$BQ$1004,1,MATCH(COLUMNS($AO$1006:AQ1006),$AO$1006:$BQ$1006,0)))),"Fix")))</f>
        <v>#N/A</v>
      </c>
      <c r="E357" s="5" t="e">
        <f ca="1">IF(OR(INDEX($AI$2:$AI$1001,MATCH(ROWS($AH$2:AH357),$AH$2:$AH$1001,0),1)&gt;=100000,INDEX($AO$1005:$BQ$1005,1,MATCH(COLUMNS($AO$1006:AR1006),$AO$1006:$BQ$1006,0))&gt;=100000), " ",IF(INDEX($AO$2:$BQ$1001,MATCH(ROWS($AH$2:AH357),$AH$2:$AH$1001,0),MATCH(COLUMNS($AO$1006:AR1006),$AO$1006:$BQ$1006,0)), HYPERLINK("#",""), HYPERLINK(CONCATENATE("#Metadata!", ADDRESS(INDEX($AJ$2:$AJ$1001,MATCH(ROWS($AH$2:AH357),$AH$2:$AH$1001,0),0), INDEX($AO$1004:$BQ$1004,1,MATCH(COLUMNS($AO$1006:AR1006),$AO$1006:$BQ$1006,0)))),"Fix")))</f>
        <v>#N/A</v>
      </c>
      <c r="F357" s="5" t="e">
        <f ca="1">IF(OR(INDEX($AI$2:$AI$1001,MATCH(ROWS($AH$2:AH357),$AH$2:$AH$1001,0),1)&gt;=100000,INDEX($AO$1005:$BQ$1005,1,MATCH(COLUMNS($AO$1006:AS1006),$AO$1006:$BQ$1006,0))&gt;=100000), " ",IF(INDEX($AO$2:$BQ$1001,MATCH(ROWS($AH$2:AH357),$AH$2:$AH$1001,0),MATCH(COLUMNS($AO$1006:AS1006),$AO$1006:$BQ$1006,0)), HYPERLINK("#",""), HYPERLINK(CONCATENATE("#Metadata!", ADDRESS(INDEX($AJ$2:$AJ$1001,MATCH(ROWS($AH$2:AH357),$AH$2:$AH$1001,0),0), INDEX($AO$1004:$BQ$1004,1,MATCH(COLUMNS($AO$1006:AS1006),$AO$1006:$BQ$1006,0)))),"Fix")))</f>
        <v>#N/A</v>
      </c>
      <c r="G357" s="5" t="e">
        <f ca="1">IF(OR(INDEX($AI$2:$AI$1001,MATCH(ROWS($AH$2:AH357),$AH$2:$AH$1001,0),1)&gt;=100000,INDEX($AO$1005:$BQ$1005,1,MATCH(COLUMNS($AO$1006:AT1006),$AO$1006:$BQ$1006,0))&gt;=100000), " ",IF(INDEX($AO$2:$BQ$1001,MATCH(ROWS($AH$2:AH357),$AH$2:$AH$1001,0),MATCH(COLUMNS($AO$1006:AT1006),$AO$1006:$BQ$1006,0)), HYPERLINK("#",""), HYPERLINK(CONCATENATE("#Metadata!", ADDRESS(INDEX($AJ$2:$AJ$1001,MATCH(ROWS($AH$2:AH357),$AH$2:$AH$1001,0),0), INDEX($AO$1004:$BQ$1004,1,MATCH(COLUMNS($AO$1006:AT1006),$AO$1006:$BQ$1006,0)))),"Fix")))</f>
        <v>#N/A</v>
      </c>
      <c r="H357" s="5" t="e">
        <f ca="1">IF(OR(INDEX($AI$2:$AI$1001,MATCH(ROWS($AH$2:AH357),$AH$2:$AH$1001,0),1)&gt;=100000,INDEX($AO$1005:$BQ$1005,1,MATCH(COLUMNS($AO$1006:AU1006),$AO$1006:$BQ$1006,0))&gt;=100000), " ",IF(INDEX($AO$2:$BQ$1001,MATCH(ROWS($AH$2:AH357),$AH$2:$AH$1001,0),MATCH(COLUMNS($AO$1006:AU1006),$AO$1006:$BQ$1006,0)), HYPERLINK("#",""), HYPERLINK(CONCATENATE("#Metadata!", ADDRESS(INDEX($AJ$2:$AJ$1001,MATCH(ROWS($AH$2:AH357),$AH$2:$AH$1001,0),0), INDEX($AO$1004:$BQ$1004,1,MATCH(COLUMNS($AO$1006:AU1006),$AO$1006:$BQ$1006,0)))),"Fix")))</f>
        <v>#N/A</v>
      </c>
      <c r="I357" s="5" t="e">
        <f ca="1">IF(OR(INDEX($AI$2:$AI$1001,MATCH(ROWS($AH$2:AH357),$AH$2:$AH$1001,0),1)&gt;=100000,INDEX($AO$1005:$BQ$1005,1,MATCH(COLUMNS($AO$1006:AV1006),$AO$1006:$BQ$1006,0))&gt;=100000), " ",IF(INDEX($AO$2:$BQ$1001,MATCH(ROWS($AH$2:AH357),$AH$2:$AH$1001,0),MATCH(COLUMNS($AO$1006:AV1006),$AO$1006:$BQ$1006,0)), HYPERLINK("#",""), HYPERLINK(CONCATENATE("#Metadata!", ADDRESS(INDEX($AJ$2:$AJ$1001,MATCH(ROWS($AH$2:AH357),$AH$2:$AH$1001,0),0), INDEX($AO$1004:$BQ$1004,1,MATCH(COLUMNS($AO$1006:AV1006),$AO$1006:$BQ$1006,0)))),"Fix")))</f>
        <v>#N/A</v>
      </c>
      <c r="J357" s="5" t="e">
        <f ca="1">IF(OR(INDEX($AI$2:$AI$1001,MATCH(ROWS($AH$2:AH357),$AH$2:$AH$1001,0),1)&gt;=100000,INDEX($AO$1005:$BQ$1005,1,MATCH(COLUMNS($AO$1006:AW1006),$AO$1006:$BQ$1006,0))&gt;=100000), " ",IF(INDEX($AO$2:$BQ$1001,MATCH(ROWS($AH$2:AH357),$AH$2:$AH$1001,0),MATCH(COLUMNS($AO$1006:AW1006),$AO$1006:$BQ$1006,0)), HYPERLINK("#",""), HYPERLINK(CONCATENATE("#Metadata!", ADDRESS(INDEX($AJ$2:$AJ$1001,MATCH(ROWS($AH$2:AH357),$AH$2:$AH$1001,0),0), INDEX($AO$1004:$BQ$1004,1,MATCH(COLUMNS($AO$1006:AW1006),$AO$1006:$BQ$1006,0)))),"Fix")))</f>
        <v>#N/A</v>
      </c>
      <c r="K357" s="5" t="e">
        <f ca="1">IF(OR(INDEX($AI$2:$AI$1001,MATCH(ROWS($AH$2:AH357),$AH$2:$AH$1001,0),1)&gt;=100000,INDEX($AO$1005:$BQ$1005,1,MATCH(COLUMNS($AO$1006:AX1006),$AO$1006:$BQ$1006,0))&gt;=100000), " ",IF(INDEX($AO$2:$BQ$1001,MATCH(ROWS($AH$2:AH357),$AH$2:$AH$1001,0),MATCH(COLUMNS($AO$1006:AX1006),$AO$1006:$BQ$1006,0)), HYPERLINK("#",""), HYPERLINK(CONCATENATE("#Metadata!", ADDRESS(INDEX($AJ$2:$AJ$1001,MATCH(ROWS($AH$2:AH357),$AH$2:$AH$1001,0),0), INDEX($AO$1004:$BQ$1004,1,MATCH(COLUMNS($AO$1006:AX1006),$AO$1006:$BQ$1006,0)))),"Fix")))</f>
        <v>#N/A</v>
      </c>
      <c r="L357" s="5" t="e">
        <f ca="1">IF(OR(INDEX($AI$2:$AI$1001,MATCH(ROWS($AH$2:AH357),$AH$2:$AH$1001,0),1)&gt;=100000,INDEX($AO$1005:$BQ$1005,1,MATCH(COLUMNS($AO$1006:AY1006),$AO$1006:$BQ$1006,0))&gt;=100000), " ",IF(INDEX($AO$2:$BQ$1001,MATCH(ROWS($AH$2:AH357),$AH$2:$AH$1001,0),MATCH(COLUMNS($AO$1006:AY1006),$AO$1006:$BQ$1006,0)), HYPERLINK("#",""), HYPERLINK(CONCATENATE("#Metadata!", ADDRESS(INDEX($AJ$2:$AJ$1001,MATCH(ROWS($AH$2:AH357),$AH$2:$AH$1001,0),0), INDEX($AO$1004:$BQ$1004,1,MATCH(COLUMNS($AO$1006:AY1006),$AO$1006:$BQ$1006,0)))),"Fix")))</f>
        <v>#N/A</v>
      </c>
      <c r="M357" s="5" t="e">
        <f ca="1">IF(OR(INDEX($AI$2:$AI$1001,MATCH(ROWS($AH$2:AH357),$AH$2:$AH$1001,0),1)&gt;=100000,INDEX($AO$1005:$BQ$1005,1,MATCH(COLUMNS($AO$1006:AZ1006),$AO$1006:$BQ$1006,0))&gt;=100000), " ",IF(INDEX($AO$2:$BQ$1001,MATCH(ROWS($AH$2:AH357),$AH$2:$AH$1001,0),MATCH(COLUMNS($AO$1006:AZ1006),$AO$1006:$BQ$1006,0)), HYPERLINK("#",""), HYPERLINK(CONCATENATE("#Metadata!", ADDRESS(INDEX($AJ$2:$AJ$1001,MATCH(ROWS($AH$2:AH357),$AH$2:$AH$1001,0),0), INDEX($AO$1004:$BQ$1004,1,MATCH(COLUMNS($AO$1006:AZ1006),$AO$1006:$BQ$1006,0)))),"Fix")))</f>
        <v>#N/A</v>
      </c>
      <c r="N357" s="5" t="e">
        <f ca="1">IF(OR(INDEX($AI$2:$AI$1001,MATCH(ROWS($AH$2:AH357),$AH$2:$AH$1001,0),1)&gt;=100000,INDEX($AO$1005:$BQ$1005,1,MATCH(COLUMNS($AO$1006:BA1006),$AO$1006:$BQ$1006,0))&gt;=100000), " ",IF(INDEX($AO$2:$BQ$1001,MATCH(ROWS($AH$2:AH357),$AH$2:$AH$1001,0),MATCH(COLUMNS($AO$1006:BA1006),$AO$1006:$BQ$1006,0)), HYPERLINK("#",""), HYPERLINK(CONCATENATE("#Metadata!", ADDRESS(INDEX($AJ$2:$AJ$1001,MATCH(ROWS($AH$2:AH357),$AH$2:$AH$1001,0),0), INDEX($AO$1004:$BQ$1004,1,MATCH(COLUMNS($AO$1006:BA1006),$AO$1006:$BQ$1006,0)))),"Fix")))</f>
        <v>#N/A</v>
      </c>
      <c r="O357" s="5" t="e">
        <f ca="1">IF(OR(INDEX($AI$2:$AI$1001,MATCH(ROWS($AH$2:AH357),$AH$2:$AH$1001,0),1)&gt;=100000,INDEX($AO$1005:$BQ$1005,1,MATCH(COLUMNS($AO$1006:BB1006),$AO$1006:$BQ$1006,0))&gt;=100000), " ",IF(INDEX($AO$2:$BQ$1001,MATCH(ROWS($AH$2:AH357),$AH$2:$AH$1001,0),MATCH(COLUMNS($AO$1006:BB1006),$AO$1006:$BQ$1006,0)), HYPERLINK("#",""), HYPERLINK(CONCATENATE("#Metadata!", ADDRESS(INDEX($AJ$2:$AJ$1001,MATCH(ROWS($AH$2:AH357),$AH$2:$AH$1001,0),0), INDEX($AO$1004:$BQ$1004,1,MATCH(COLUMNS($AO$1006:BB1006),$AO$1006:$BQ$1006,0)))),"Fix")))</f>
        <v>#N/A</v>
      </c>
      <c r="P357" s="5" t="e">
        <f ca="1">IF(OR(INDEX($AI$2:$AI$1001,MATCH(ROWS($AH$2:AH357),$AH$2:$AH$1001,0),1)&gt;=100000,INDEX($AO$1005:$BQ$1005,1,MATCH(COLUMNS($AO$1006:BC1006),$AO$1006:$BQ$1006,0))&gt;=100000), " ",IF(INDEX($AO$2:$BQ$1001,MATCH(ROWS($AH$2:AH357),$AH$2:$AH$1001,0),MATCH(COLUMNS($AO$1006:BC1006),$AO$1006:$BQ$1006,0)), HYPERLINK("#",""), HYPERLINK(CONCATENATE("#Metadata!", ADDRESS(INDEX($AJ$2:$AJ$1001,MATCH(ROWS($AH$2:AH357),$AH$2:$AH$1001,0),0), INDEX($AO$1004:$BQ$1004,1,MATCH(COLUMNS($AO$1006:BC1006),$AO$1006:$BQ$1006,0)))),"Fix")))</f>
        <v>#N/A</v>
      </c>
      <c r="Q357" s="5" t="e">
        <f ca="1">IF(OR(INDEX($AI$2:$AI$1001,MATCH(ROWS($AH$2:AH357),$AH$2:$AH$1001,0),1)&gt;=100000,INDEX($AO$1005:$BQ$1005,1,MATCH(COLUMNS($AO$1006:BD1006),$AO$1006:$BQ$1006,0))&gt;=100000), " ",IF(INDEX($AO$2:$BQ$1001,MATCH(ROWS($AH$2:AH357),$AH$2:$AH$1001,0),MATCH(COLUMNS($AO$1006:BD1006),$AO$1006:$BQ$1006,0)), HYPERLINK("#",""), HYPERLINK(CONCATENATE("#Metadata!", ADDRESS(INDEX($AJ$2:$AJ$1001,MATCH(ROWS($AH$2:AH357),$AH$2:$AH$1001,0),0), INDEX($AO$1004:$BQ$1004,1,MATCH(COLUMNS($AO$1006:BD1006),$AO$1006:$BQ$1006,0)))),"Fix")))</f>
        <v>#N/A</v>
      </c>
      <c r="R357" s="5" t="e">
        <f ca="1">IF(OR(INDEX($AI$2:$AI$1001,MATCH(ROWS($AH$2:AH357),$AH$2:$AH$1001,0),1)&gt;=100000,INDEX($AO$1005:$BQ$1005,1,MATCH(COLUMNS($AO$1006:BE1006),$AO$1006:$BQ$1006,0))&gt;=100000), " ",IF(INDEX($AO$2:$BQ$1001,MATCH(ROWS($AH$2:AH357),$AH$2:$AH$1001,0),MATCH(COLUMNS($AO$1006:BE1006),$AO$1006:$BQ$1006,0)), HYPERLINK("#",""), HYPERLINK(CONCATENATE("#Metadata!", ADDRESS(INDEX($AJ$2:$AJ$1001,MATCH(ROWS($AH$2:AH357),$AH$2:$AH$1001,0),0), INDEX($AO$1004:$BQ$1004,1,MATCH(COLUMNS($AO$1006:BE1006),$AO$1006:$BQ$1006,0)))),"Fix")))</f>
        <v>#N/A</v>
      </c>
      <c r="S357" s="5" t="e">
        <f ca="1">IF(OR(INDEX($AI$2:$AI$1001,MATCH(ROWS($AH$2:AH357),$AH$2:$AH$1001,0),1)&gt;=100000,INDEX($AO$1005:$BQ$1005,1,MATCH(COLUMNS($AO$1006:BF1006),$AO$1006:$BQ$1006,0))&gt;=100000), " ",IF(INDEX($AO$2:$BQ$1001,MATCH(ROWS($AH$2:AH357),$AH$2:$AH$1001,0),MATCH(COLUMNS($AO$1006:BF1006),$AO$1006:$BQ$1006,0)), HYPERLINK("#",""), HYPERLINK(CONCATENATE("#Metadata!", ADDRESS(INDEX($AJ$2:$AJ$1001,MATCH(ROWS($AH$2:AH357),$AH$2:$AH$1001,0),0), INDEX($AO$1004:$BQ$1004,1,MATCH(COLUMNS($AO$1006:BF1006),$AO$1006:$BQ$1006,0)))),"Fix")))</f>
        <v>#N/A</v>
      </c>
      <c r="T357" s="5" t="e">
        <f ca="1">IF(OR(INDEX($AI$2:$AI$1001,MATCH(ROWS($AH$2:AH357),$AH$2:$AH$1001,0),1)&gt;=100000,INDEX($AO$1005:$BQ$1005,1,MATCH(COLUMNS($AO$1006:BG1006),$AO$1006:$BQ$1006,0))&gt;=100000), " ",IF(INDEX($AO$2:$BQ$1001,MATCH(ROWS($AH$2:AH357),$AH$2:$AH$1001,0),MATCH(COLUMNS($AO$1006:BG1006),$AO$1006:$BQ$1006,0)), HYPERLINK("#",""), HYPERLINK(CONCATENATE("#Metadata!", ADDRESS(INDEX($AJ$2:$AJ$1001,MATCH(ROWS($AH$2:AH357),$AH$2:$AH$1001,0),0), INDEX($AO$1004:$BQ$1004,1,MATCH(COLUMNS($AO$1006:BG1006),$AO$1006:$BQ$1006,0)))),"Fix")))</f>
        <v>#N/A</v>
      </c>
      <c r="U357" s="5" t="e">
        <f ca="1">IF(OR(INDEX($AI$2:$AI$1001,MATCH(ROWS($AH$2:AH357),$AH$2:$AH$1001,0),1)&gt;=100000,INDEX($AO$1005:$BQ$1005,1,MATCH(COLUMNS($AO$1006:BH1006),$AO$1006:$BQ$1006,0))&gt;=100000), " ",IF(INDEX($AO$2:$BQ$1001,MATCH(ROWS($AH$2:AH357),$AH$2:$AH$1001,0),MATCH(COLUMNS($AO$1006:BH1006),$AO$1006:$BQ$1006,0)), HYPERLINK("#",""), HYPERLINK(CONCATENATE("#Metadata!", ADDRESS(INDEX($AJ$2:$AJ$1001,MATCH(ROWS($AH$2:AH357),$AH$2:$AH$1001,0),0), INDEX($AO$1004:$BQ$1004,1,MATCH(COLUMNS($AO$1006:BH1006),$AO$1006:$BQ$1006,0)))),"Fix")))</f>
        <v>#N/A</v>
      </c>
      <c r="V357" s="5" t="e">
        <f ca="1">IF(OR(INDEX($AI$2:$AI$1001,MATCH(ROWS($AH$2:AH357),$AH$2:$AH$1001,0),1)&gt;=100000,INDEX($AO$1005:$BQ$1005,1,MATCH(COLUMNS($AO$1006:BI1006),$AO$1006:$BQ$1006,0))&gt;=100000), " ",IF(INDEX($AO$2:$BQ$1001,MATCH(ROWS($AH$2:AH357),$AH$2:$AH$1001,0),MATCH(COLUMNS($AO$1006:BI1006),$AO$1006:$BQ$1006,0)), HYPERLINK("#",""), HYPERLINK(CONCATENATE("#Metadata!", ADDRESS(INDEX($AJ$2:$AJ$1001,MATCH(ROWS($AH$2:AH357),$AH$2:$AH$1001,0),0), INDEX($AO$1004:$BQ$1004,1,MATCH(COLUMNS($AO$1006:BI1006),$AO$1006:$BQ$1006,0)))),"Fix")))</f>
        <v>#N/A</v>
      </c>
      <c r="W357" s="5" t="e">
        <f ca="1">IF(OR(INDEX($AI$2:$AI$1001,MATCH(ROWS($AH$2:AH357),$AH$2:$AH$1001,0),1)&gt;=100000,INDEX($AO$1005:$BQ$1005,1,MATCH(COLUMNS($AO$1006:BJ1006),$AO$1006:$BQ$1006,0))&gt;=100000), " ",IF(INDEX($AO$2:$BQ$1001,MATCH(ROWS($AH$2:AH357),$AH$2:$AH$1001,0),MATCH(COLUMNS($AO$1006:BJ1006),$AO$1006:$BQ$1006,0)), HYPERLINK("#",""), HYPERLINK(CONCATENATE("#Metadata!", ADDRESS(INDEX($AJ$2:$AJ$1001,MATCH(ROWS($AH$2:AH357),$AH$2:$AH$1001,0),0), INDEX($AO$1004:$BQ$1004,1,MATCH(COLUMNS($AO$1006:BJ1006),$AO$1006:$BQ$1006,0)))),"Fix")))</f>
        <v>#N/A</v>
      </c>
      <c r="X357" s="5" t="e">
        <f ca="1">IF(OR(INDEX($AI$2:$AI$1001,MATCH(ROWS($AH$2:AH357),$AH$2:$AH$1001,0),1)&gt;=100000,INDEX($AO$1005:$BQ$1005,1,MATCH(COLUMNS($AO$1006:BK1006),$AO$1006:$BQ$1006,0))&gt;=100000), " ",IF(INDEX($AO$2:$BQ$1001,MATCH(ROWS($AH$2:AH357),$AH$2:$AH$1001,0),MATCH(COLUMNS($AO$1006:BK1006),$AO$1006:$BQ$1006,0)), HYPERLINK("#",""), HYPERLINK(CONCATENATE("#Metadata!", ADDRESS(INDEX($AJ$2:$AJ$1001,MATCH(ROWS($AH$2:AH357),$AH$2:$AH$1001,0),0), INDEX($AO$1004:$BQ$1004,1,MATCH(COLUMNS($AO$1006:BK1006),$AO$1006:$BQ$1006,0)))),"Fix")))</f>
        <v>#N/A</v>
      </c>
      <c r="Y357" s="5" t="e">
        <f ca="1">IF(OR(INDEX($AI$2:$AI$1001,MATCH(ROWS($AH$2:AH357),$AH$2:$AH$1001,0),1)&gt;=100000,INDEX($AO$1005:$BQ$1005,1,MATCH(COLUMNS($AO$1006:BL1006),$AO$1006:$BQ$1006,0))&gt;=100000), " ",IF(INDEX($AO$2:$BQ$1001,MATCH(ROWS($AH$2:AH357),$AH$2:$AH$1001,0),MATCH(COLUMNS($AO$1006:BL1006),$AO$1006:$BQ$1006,0)), HYPERLINK("#",""), HYPERLINK(CONCATENATE("#Metadata!", ADDRESS(INDEX($AJ$2:$AJ$1001,MATCH(ROWS($AH$2:AH357),$AH$2:$AH$1001,0),0), INDEX($AO$1004:$BQ$1004,1,MATCH(COLUMNS($AO$1006:BL1006),$AO$1006:$BQ$1006,0)))),"Fix")))</f>
        <v>#N/A</v>
      </c>
      <c r="Z357" s="5" t="e">
        <f ca="1">IF(OR(INDEX($AI$2:$AI$1001,MATCH(ROWS($AH$2:AH357),$AH$2:$AH$1001,0),1)&gt;=100000,INDEX($AO$1005:$BQ$1005,1,MATCH(COLUMNS($AO$1006:BM1006),$AO$1006:$BQ$1006,0))&gt;=100000), " ",IF(INDEX($AO$2:$BQ$1001,MATCH(ROWS($AH$2:AH357),$AH$2:$AH$1001,0),MATCH(COLUMNS($AO$1006:BM1006),$AO$1006:$BQ$1006,0)), HYPERLINK("#",""), HYPERLINK(CONCATENATE("#Metadata!", ADDRESS(INDEX($AJ$2:$AJ$1001,MATCH(ROWS($AH$2:AH357),$AH$2:$AH$1001,0),0), INDEX($AO$1004:$BQ$1004,1,MATCH(COLUMNS($AO$1006:BM1006),$AO$1006:$BQ$1006,0)))),"Fix")))</f>
        <v>#N/A</v>
      </c>
      <c r="AA357" s="5" t="e">
        <f ca="1">IF(OR(INDEX($AI$2:$AI$1001,MATCH(ROWS($AH$2:AH357),$AH$2:$AH$1001,0),1)&gt;=100000,INDEX($AO$1005:$BQ$1005,1,MATCH(COLUMNS($AO$1006:BN1006),$AO$1006:$BQ$1006,0))&gt;=100000), " ",IF(INDEX($AO$2:$BQ$1001,MATCH(ROWS($AH$2:AH357),$AH$2:$AH$1001,0),MATCH(COLUMNS($AO$1006:BN1006),$AO$1006:$BQ$1006,0)), HYPERLINK("#",""), HYPERLINK(CONCATENATE("#Metadata!", ADDRESS(INDEX($AJ$2:$AJ$1001,MATCH(ROWS($AH$2:AH357),$AH$2:$AH$1001,0),0), INDEX($AO$1004:$BQ$1004,1,MATCH(COLUMNS($AO$1006:BN1006),$AO$1006:$BQ$1006,0)))),"Fix")))</f>
        <v>#N/A</v>
      </c>
      <c r="AB357" s="5" t="e">
        <f ca="1">IF(OR(INDEX($AI$2:$AI$1001,MATCH(ROWS($AH$2:AH357),$AH$2:$AH$1001,0),1)&gt;=100000,INDEX($AO$1005:$BQ$1005,1,MATCH(COLUMNS($AO$1006:BO1006),$AO$1006:$BQ$1006,0))&gt;=100000), " ",IF(INDEX($AO$2:$BQ$1001,MATCH(ROWS($AH$2:AH357),$AH$2:$AH$1001,0),MATCH(COLUMNS($AO$1006:BO1006),$AO$1006:$BQ$1006,0)), HYPERLINK("#",""), HYPERLINK(CONCATENATE("#Metadata!", ADDRESS(INDEX($AJ$2:$AJ$1001,MATCH(ROWS($AH$2:AH357),$AH$2:$AH$1001,0),0), INDEX($AO$1004:$BQ$1004,1,MATCH(COLUMNS($AO$1006:BO1006),$AO$1006:$BQ$1006,0)))),"Fix")))</f>
        <v>#N/A</v>
      </c>
      <c r="AC357" s="5" t="e">
        <f ca="1">IF(OR(INDEX($AI$2:$AI$1001,MATCH(ROWS($AH$2:AH357),$AH$2:$AH$1001,0),1)&gt;=100000,INDEX($AO$1005:$BQ$1005,1,MATCH(COLUMNS($AO$1006:BP1006),$AO$1006:$BQ$1006,0))&gt;=100000), " ",IF(INDEX($AO$2:$BQ$1001,MATCH(ROWS($AH$2:AH357),$AH$2:$AH$1001,0),MATCH(COLUMNS($AO$1006:BP1006),$AO$1006:$BQ$1006,0)), HYPERLINK("#",""), HYPERLINK(CONCATENATE("#Metadata!", ADDRESS(INDEX($AJ$2:$AJ$1001,MATCH(ROWS($AH$2:AH357),$AH$2:$AH$1001,0),0), INDEX($AO$1004:$BQ$1004,1,MATCH(COLUMNS($AO$1006:BP1006),$AO$1006:$BQ$1006,0)))),"Fix")))</f>
        <v>#N/A</v>
      </c>
      <c r="AD357" s="5" t="e">
        <f ca="1">IF(OR(INDEX($AI$2:$AI$1001,MATCH(ROWS($AH$2:AH357),$AH$2:$AH$1001,0),1)&gt;=100000,INDEX($AO$1005:$BQ$1005,1,MATCH(COLUMNS($AO$1006:BQ1006),$AO$1006:$BQ$1006,0))&gt;=100000), " ",IF(INDEX($AO$2:$BQ$1001,MATCH(ROWS($AH$2:AH357),$AH$2:$AH$1001,0),MATCH(COLUMNS($AO$1006:BQ1006),$AO$1006:$BQ$1006,0)), HYPERLINK("#",""), HYPERLINK(CONCATENATE("#Metadata!", ADDRESS(INDEX($AJ$2:$AJ$1001,MATCH(ROWS($AH$2:AH357),$AH$2:$AH$1001,0),0), INDEX($AO$1004:$BQ$1004,1,MATCH(COLUMNS($AO$1006:BQ1006),$AO$1006:$BQ$1006,0)))),"Fix")))</f>
        <v>#REF!</v>
      </c>
      <c r="AH357">
        <f ca="1"/>
        <v>354</v>
      </c>
      <c r="AI357">
        <v>100357</v>
      </c>
      <c r="AJ357">
        <v>357</v>
      </c>
      <c r="AK357" t="b">
        <f t="shared" si="5"/>
        <v>1</v>
      </c>
      <c r="AL357" t="b">
        <f>COUNTBLANK(Metadata!B357:AD357)=COLUMNS(Metadata!B357:AD357)</f>
        <v>1</v>
      </c>
      <c r="AM357" t="str">
        <v/>
      </c>
      <c r="AO357" t="b">
        <f ca="1">AND(IF(Metadata!B357="",FALSE,TRUE),COUNTIF(Metadata!B:B, Metadata!B357) = 1,NOT(ISERROR(SUMPRODUCT(SEARCH(MID(Metadata!B357,ROW(INDIRECT("1:"&amp;LEN(Metadata!B357))), 1),"0123456789abcdefghijklmnopqrstuvwxyzABCDEFGHIJKLMNOPQRSTUVWXYZ.")))))</f>
        <v>0</v>
      </c>
      <c r="AP357" t="b">
        <f>IF(Metadata!C357="",FALSE,TRUE)</f>
        <v>0</v>
      </c>
      <c r="AQ357" t="b">
        <f>IF(Metadata!D357="",FALSE,TRUE)</f>
        <v>0</v>
      </c>
      <c r="AR357" t="b">
        <f ca="1">OR(AND(IF(Metadata!E357="",FALSE,TRUE),OR(EXACT(Metadata!E357,"not collected"),EXACT(Metadata!E357,"not provided"),EXACT(Metadata!E357,"restricted access"))),AND(IF(Metadata!E357="",FALSE,TRUE),AND(AND(IFERROR(INT(LEFT(Metadata!E357,4))&gt;1900,FALSE),IFERROR(INT(LEFT(Metadata!E357,4))&lt;=YEAR(NOW()),FALSE)), OR(MID(Metadata!E357,5,1)="", AND(AND(MID(Metadata!E357,5,1)="-",IFERROR(INT(MID(Metadata!E357,6,1))&gt;=0,FALSE),IFERROR(INT(MID(Metadata!E357,6,1))&lt;=1,FALSE),NOT(MID(Metadata!E357,7,1)=""),IFERROR(INT(MID(Metadata!E357,6,2))&gt;=1,FALSE),IFERROR(INT(MID(Metadata!E357,6,2))&lt;=12,FALSE)), OR(MID(Metadata!E357,8,1)="", AND(AND(MID(Metadata!E357,8,1)="-",IFERROR(INT(MID(Metadata!E357,9,1))&gt;=0,FALSE),IFERROR(INT(MID(Metadata!E357,9,1))&lt;=3,FALSE),NOT(MID(Metadata!E357,10,1)=""),IFERROR(INT(MID(Metadata!E357,9,2))&gt;=1,FALSE),IFERROR(INT(MID(Metadata!E357,9,2))&lt;=31,FALSE)), OR(MID(Metadata!E357,11,1)="", AND(AND(MID(Metadata!E357,11,1)=" ",IFERROR(INT(MID(Metadata!E357,12,1))&gt;=0,FALSE),IFERROR(INT(MID(Metadata!E357,12,1))&lt;=2,FALSE),NOT(MID(Metadata!E357,13,1)=""),IFERROR(INT(MID(Metadata!E357,12,2))&gt;=0,FALSE),IFERROR(INT(MID(Metadata!E357,12,2))&lt;=23,FALSE)), OR(MID(Metadata!E357,14,1)="", AND(AND(MID(Metadata!E357,14,1)=":",IFERROR(INT(MID(Metadata!E357,15,1))&gt;=0,FALSE),IFERROR(INT(MID(Metadata!E357,15,1))&lt;=5,FALSE),NOT(MID(Metadata!E357,16,1)=""),IFERROR(INT(MID(Metadata!E357,15,2))&gt;=0,FALSE),IFERROR(INT(MID(Metadata!E357,15,2))&lt;=59,FALSE)), OR(MID(Metadata!E357,17,1)="", AND(AND(MID(Metadata!E357,17,1)=":",IFERROR(INT(MID(Metadata!E357,18,1))&gt;=0,FALSE),IFERROR(INT(MID(Metadata!E357,18,1))&lt;=5,FALSE),NOT(MID(Metadata!E357,19,1)=""),IFERROR(INT(MID(Metadata!E357,18,2))&gt;=0,FALSE),IFERROR(INT(MID(Metadata!E357,18,2))&lt;=59,FALSE)), LEN(Metadata!E357)&lt;=19)))))))))))))</f>
        <v>0</v>
      </c>
      <c r="AS357" t="b">
        <f>IF(Metadata!F357="",FALSE,TRUE)</f>
        <v>0</v>
      </c>
      <c r="AT357" t="b">
        <f>OR(AND(IF(Metadata!G357="",FALSE,TRUE),OR(EXACT(Metadata!G357,"not collected"),EXACT(Metadata!G357,"not provided"))),AND(IF(Metadata!G357="",FALSE,TRUE),OR(EXACT(Metadata!G357,"TRUE"),EXACT(Metadata!G357,"FALSE"))))</f>
        <v>0</v>
      </c>
      <c r="AU357" t="b">
        <f>OR(AND(IF(Metadata!H357="",FALSE,TRUE),OR(EXACT(Metadata!H357,"not collected"),EXACT(Metadata!H357,"not provided"),EXACT(Metadata!H357,"restricted access"))),AND(IF(Metadata!H357="",FALSE,ISNUMBER(VALUE(Metadata!H357))),Metadata!H357&gt;=-413))</f>
        <v>0</v>
      </c>
      <c r="AV357" t="b">
        <f>AND(IF(Metadata!I357="",FALSE,TRUE),EXACT(Metadata!I357,"meters"))</f>
        <v>0</v>
      </c>
      <c r="AW357" t="b">
        <f>AND(IF(Metadata!J357="",FALSE,TRUE),EXACT(Metadata!J357,"free-living"))</f>
        <v>0</v>
      </c>
      <c r="AX357" t="b">
        <f>AND(IF(Metadata!K357="",FALSE,TRUE),OR(EXACT(Metadata!K357,"saline"),EXACT(Metadata!K357,"non-saline")))</f>
        <v>0</v>
      </c>
      <c r="AY357" t="b">
        <f>AND(IF(Metadata!L357="",FALSE,TRUE),OR(EXACT(Metadata!L357,"sub-surface (non-saline)"),EXACT(Metadata!L357,"surface (non-saline)"),EXACT(Metadata!L357,"water (non-saline)"),EXACT(Metadata!L357,"soil (non-saline)"),EXACT(Metadata!L357,"aerosol (non-saline)"),EXACT(Metadata!L357,"sediment (non-saline)"),EXACT(Metadata!L357,"surface (saline)"),EXACT(Metadata!L357,"water (saline)"),EXACT(Metadata!L357,"hypersaline (saline)"),EXACT(Metadata!L357,"aerosol (saline)"),EXACT(Metadata!L357,"sediment (saline)")))</f>
        <v>0</v>
      </c>
      <c r="AZ357" t="b">
        <f>IF(Metadata!M357="",FALSE,TRUE)</f>
        <v>0</v>
      </c>
      <c r="BA357" t="b">
        <f>IF(Metadata!N357="",FALSE,TRUE)</f>
        <v>0</v>
      </c>
      <c r="BB357" t="b">
        <f>IF(Metadata!O357="",FALSE,TRUE)</f>
        <v>0</v>
      </c>
      <c r="BC357" t="b">
        <f>AND(IF(Metadata!P357="",FALSE,TRUE),OR(EXACT(Metadata!P357,"air"),EXACT(Metadata!P357,"microbial mat/biofilm"),EXACT(Metadata!P357,"misc environment"),EXACT(Metadata!P357,"sediment"),EXACT(Metadata!P357,"soil"),EXACT(Metadata!P357,"wastewater/sludge"),EXACT(Metadata!P357,"water")))</f>
        <v>0</v>
      </c>
      <c r="BD357" t="b">
        <f>IF(Metadata!Q357="",FALSE,TRUE)</f>
        <v>0</v>
      </c>
      <c r="BE357" t="b">
        <f>IF(Metadata!R357="",FALSE,TRUE)</f>
        <v>0</v>
      </c>
      <c r="BF357" t="b">
        <f>OR(AND(IF(Metadata!S357="",FALSE,TRUE),OR(EXACT(Metadata!S357,"not collected"),EXACT(Metadata!S357,"not provided"),EXACT(Metadata!S357,"restricted access"))),AND(IF(Metadata!S357="",FALSE,ISNUMBER(VALUE(Metadata!S357))),Metadata!S357&gt;=-90,Metadata!S357&lt;=90))</f>
        <v>0</v>
      </c>
      <c r="BG357" t="b">
        <f>AND(IF(Metadata!T357="",FALSE,TRUE),EXACT(Metadata!T357,"Decimal degrees"))</f>
        <v>0</v>
      </c>
      <c r="BH357" t="b">
        <f>OR(AND(IF(Metadata!U357="",FALSE,TRUE),OR(EXACT(Metadata!U357,"not applicable"),EXACT(Metadata!U357,"not collected"))),IF(Metadata!U357="",FALSE,TRUE))</f>
        <v>0</v>
      </c>
      <c r="BI357" t="b">
        <f>OR(AND(IF(Metadata!V357="",FALSE,TRUE),OR(EXACT(Metadata!V357,"not collected"),EXACT(Metadata!V357,"not provided"),EXACT(Metadata!V357,"restricted access"))),AND(IF(Metadata!V357="",FALSE,ISNUMBER(VALUE(Metadata!V357))),Metadata!V357&gt;=-180,Metadata!V357&lt;=180))</f>
        <v>0</v>
      </c>
      <c r="BJ357" t="b">
        <f>AND(IF(Metadata!W357="",FALSE,TRUE),EXACT(Metadata!W357,"Decimal degrees"))</f>
        <v>0</v>
      </c>
      <c r="BK357" t="b">
        <f>IF(Metadata!X357="",FALSE,TRUE)</f>
        <v>0</v>
      </c>
      <c r="BL357" t="b">
        <f>OR(AND(IF(Metadata!Y357="",FALSE,TRUE),OR(EXACT(Metadata!Y357,"not collected"),EXACT(Metadata!Y357,"not provided"),EXACT(Metadata!Y357,"restricted access"))),AND(IF(Metadata!Y357="",FALSE,TRUE),OR(EXACT(Metadata!Y357,"TRUE"),EXACT(Metadata!Y357,"FALSE"))))</f>
        <v>0</v>
      </c>
      <c r="BM357" t="b">
        <f>OR(AND(IF(Metadata!Z357="",FALSE,TRUE),EXACT(Metadata!Z357,"not applicable")),AND(IF(Metadata!Z357="",FALSE,TRUE),OR(EXACT(Metadata!Z357,"beer"),EXACT(Metadata!Z357,"cheese"),EXACT(Metadata!Z357,"fresh water"),EXACT(Metadata!Z357,"marine sediment"),EXACT(Metadata!Z357,"sea water"),EXACT(Metadata!Z357,"sediment"),EXACT(Metadata!Z357,"soil"),EXACT(Metadata!Z357,"waste water"))))</f>
        <v>0</v>
      </c>
      <c r="BN357" t="b">
        <f>AND(IF(Metadata!AA357="",FALSE,TRUE),EXACT(Metadata!AA357,"metagenome"))</f>
        <v>0</v>
      </c>
      <c r="BO357" t="b">
        <f>AND(IF(Metadata!AB357="",FALSE,TRUE),EXACT(Metadata!AB357,"256318"))</f>
        <v>0</v>
      </c>
      <c r="BP357" t="b">
        <f>IF(Metadata!AC357="",FALSE,TRUE)</f>
        <v>0</v>
      </c>
      <c r="BQ357" t="b">
        <f>IF(Metadata!AD357="",FALSE,TRUE)</f>
        <v>0</v>
      </c>
    </row>
    <row r="358" spans="1:69" x14ac:dyDescent="0.2">
      <c r="A358" s="4" t="e">
        <f ca="1">IF(B358=" "," ",HYPERLINK(CONCATENATE("#metadata!",ADDRESS(INDEX($AJ$2:$AJ$1001,MATCH(ROWS($AH$2:AH358),$AH$2:$AH$1001,0),0),2)),INDEX($AM$2:$AM$1001,MATCH(ROWS($AH$2:AH358),$AH$2:$AH$1001,0),0)))</f>
        <v>#N/A</v>
      </c>
      <c r="B358" s="5" t="e">
        <f ca="1">IF(OR(INDEX($AI$2:$AI$1001,MATCH(ROWS($AH$2:AH358),$AH$2:$AH$1001,0),1)&gt;=100000,INDEX($AO$1005:$BQ$1005,1,MATCH(COLUMNS($AO$1006:AO1006),$AO$1006:$BQ$1006,0))&gt;=100000), " ",IF(INDEX($AO$2:$BQ$1001,MATCH(ROWS($AH$2:AH358),$AH$2:$AH$1001,0),MATCH(COLUMNS($AO$1006:AO1006),$AO$1006:$BQ$1006,0)), HYPERLINK("#",""), HYPERLINK(CONCATENATE("#Metadata!", ADDRESS(INDEX($AJ$2:$AJ$1001,MATCH(ROWS($AH$2:AH358),$AH$2:$AH$1001,0),0), INDEX($AO$1004:$BQ$1004,1,MATCH(COLUMNS($AO$1006:AO1006),$AO$1006:$BQ$1006,0)))),"Fix")))</f>
        <v>#N/A</v>
      </c>
      <c r="C358" s="5" t="e">
        <f ca="1">IF(OR(INDEX($AI$2:$AI$1001,MATCH(ROWS($AH$2:AH358),$AH$2:$AH$1001,0),1)&gt;=100000,INDEX($AO$1005:$BQ$1005,1,MATCH(COLUMNS($AO$1006:AP1006),$AO$1006:$BQ$1006,0))&gt;=100000), " ",IF(INDEX($AO$2:$BQ$1001,MATCH(ROWS($AH$2:AH358),$AH$2:$AH$1001,0),MATCH(COLUMNS($AO$1006:AP1006),$AO$1006:$BQ$1006,0)), HYPERLINK("#",""), HYPERLINK(CONCATENATE("#Metadata!", ADDRESS(INDEX($AJ$2:$AJ$1001,MATCH(ROWS($AH$2:AH358),$AH$2:$AH$1001,0),0), INDEX($AO$1004:$BQ$1004,1,MATCH(COLUMNS($AO$1006:AP1006),$AO$1006:$BQ$1006,0)))),"Fix")))</f>
        <v>#N/A</v>
      </c>
      <c r="D358" s="5" t="e">
        <f ca="1">IF(OR(INDEX($AI$2:$AI$1001,MATCH(ROWS($AH$2:AH358),$AH$2:$AH$1001,0),1)&gt;=100000,INDEX($AO$1005:$BQ$1005,1,MATCH(COLUMNS($AO$1006:AQ1006),$AO$1006:$BQ$1006,0))&gt;=100000), " ",IF(INDEX($AO$2:$BQ$1001,MATCH(ROWS($AH$2:AH358),$AH$2:$AH$1001,0),MATCH(COLUMNS($AO$1006:AQ1006),$AO$1006:$BQ$1006,0)), HYPERLINK("#",""), HYPERLINK(CONCATENATE("#Metadata!", ADDRESS(INDEX($AJ$2:$AJ$1001,MATCH(ROWS($AH$2:AH358),$AH$2:$AH$1001,0),0), INDEX($AO$1004:$BQ$1004,1,MATCH(COLUMNS($AO$1006:AQ1006),$AO$1006:$BQ$1006,0)))),"Fix")))</f>
        <v>#N/A</v>
      </c>
      <c r="E358" s="5" t="e">
        <f ca="1">IF(OR(INDEX($AI$2:$AI$1001,MATCH(ROWS($AH$2:AH358),$AH$2:$AH$1001,0),1)&gt;=100000,INDEX($AO$1005:$BQ$1005,1,MATCH(COLUMNS($AO$1006:AR1006),$AO$1006:$BQ$1006,0))&gt;=100000), " ",IF(INDEX($AO$2:$BQ$1001,MATCH(ROWS($AH$2:AH358),$AH$2:$AH$1001,0),MATCH(COLUMNS($AO$1006:AR1006),$AO$1006:$BQ$1006,0)), HYPERLINK("#",""), HYPERLINK(CONCATENATE("#Metadata!", ADDRESS(INDEX($AJ$2:$AJ$1001,MATCH(ROWS($AH$2:AH358),$AH$2:$AH$1001,0),0), INDEX($AO$1004:$BQ$1004,1,MATCH(COLUMNS($AO$1006:AR1006),$AO$1006:$BQ$1006,0)))),"Fix")))</f>
        <v>#N/A</v>
      </c>
      <c r="F358" s="5" t="e">
        <f ca="1">IF(OR(INDEX($AI$2:$AI$1001,MATCH(ROWS($AH$2:AH358),$AH$2:$AH$1001,0),1)&gt;=100000,INDEX($AO$1005:$BQ$1005,1,MATCH(COLUMNS($AO$1006:AS1006),$AO$1006:$BQ$1006,0))&gt;=100000), " ",IF(INDEX($AO$2:$BQ$1001,MATCH(ROWS($AH$2:AH358),$AH$2:$AH$1001,0),MATCH(COLUMNS($AO$1006:AS1006),$AO$1006:$BQ$1006,0)), HYPERLINK("#",""), HYPERLINK(CONCATENATE("#Metadata!", ADDRESS(INDEX($AJ$2:$AJ$1001,MATCH(ROWS($AH$2:AH358),$AH$2:$AH$1001,0),0), INDEX($AO$1004:$BQ$1004,1,MATCH(COLUMNS($AO$1006:AS1006),$AO$1006:$BQ$1006,0)))),"Fix")))</f>
        <v>#N/A</v>
      </c>
      <c r="G358" s="5" t="e">
        <f ca="1">IF(OR(INDEX($AI$2:$AI$1001,MATCH(ROWS($AH$2:AH358),$AH$2:$AH$1001,0),1)&gt;=100000,INDEX($AO$1005:$BQ$1005,1,MATCH(COLUMNS($AO$1006:AT1006),$AO$1006:$BQ$1006,0))&gt;=100000), " ",IF(INDEX($AO$2:$BQ$1001,MATCH(ROWS($AH$2:AH358),$AH$2:$AH$1001,0),MATCH(COLUMNS($AO$1006:AT1006),$AO$1006:$BQ$1006,0)), HYPERLINK("#",""), HYPERLINK(CONCATENATE("#Metadata!", ADDRESS(INDEX($AJ$2:$AJ$1001,MATCH(ROWS($AH$2:AH358),$AH$2:$AH$1001,0),0), INDEX($AO$1004:$BQ$1004,1,MATCH(COLUMNS($AO$1006:AT1006),$AO$1006:$BQ$1006,0)))),"Fix")))</f>
        <v>#N/A</v>
      </c>
      <c r="H358" s="5" t="e">
        <f ca="1">IF(OR(INDEX($AI$2:$AI$1001,MATCH(ROWS($AH$2:AH358),$AH$2:$AH$1001,0),1)&gt;=100000,INDEX($AO$1005:$BQ$1005,1,MATCH(COLUMNS($AO$1006:AU1006),$AO$1006:$BQ$1006,0))&gt;=100000), " ",IF(INDEX($AO$2:$BQ$1001,MATCH(ROWS($AH$2:AH358),$AH$2:$AH$1001,0),MATCH(COLUMNS($AO$1006:AU1006),$AO$1006:$BQ$1006,0)), HYPERLINK("#",""), HYPERLINK(CONCATENATE("#Metadata!", ADDRESS(INDEX($AJ$2:$AJ$1001,MATCH(ROWS($AH$2:AH358),$AH$2:$AH$1001,0),0), INDEX($AO$1004:$BQ$1004,1,MATCH(COLUMNS($AO$1006:AU1006),$AO$1006:$BQ$1006,0)))),"Fix")))</f>
        <v>#N/A</v>
      </c>
      <c r="I358" s="5" t="e">
        <f ca="1">IF(OR(INDEX($AI$2:$AI$1001,MATCH(ROWS($AH$2:AH358),$AH$2:$AH$1001,0),1)&gt;=100000,INDEX($AO$1005:$BQ$1005,1,MATCH(COLUMNS($AO$1006:AV1006),$AO$1006:$BQ$1006,0))&gt;=100000), " ",IF(INDEX($AO$2:$BQ$1001,MATCH(ROWS($AH$2:AH358),$AH$2:$AH$1001,0),MATCH(COLUMNS($AO$1006:AV1006),$AO$1006:$BQ$1006,0)), HYPERLINK("#",""), HYPERLINK(CONCATENATE("#Metadata!", ADDRESS(INDEX($AJ$2:$AJ$1001,MATCH(ROWS($AH$2:AH358),$AH$2:$AH$1001,0),0), INDEX($AO$1004:$BQ$1004,1,MATCH(COLUMNS($AO$1006:AV1006),$AO$1006:$BQ$1006,0)))),"Fix")))</f>
        <v>#N/A</v>
      </c>
      <c r="J358" s="5" t="e">
        <f ca="1">IF(OR(INDEX($AI$2:$AI$1001,MATCH(ROWS($AH$2:AH358),$AH$2:$AH$1001,0),1)&gt;=100000,INDEX($AO$1005:$BQ$1005,1,MATCH(COLUMNS($AO$1006:AW1006),$AO$1006:$BQ$1006,0))&gt;=100000), " ",IF(INDEX($AO$2:$BQ$1001,MATCH(ROWS($AH$2:AH358),$AH$2:$AH$1001,0),MATCH(COLUMNS($AO$1006:AW1006),$AO$1006:$BQ$1006,0)), HYPERLINK("#",""), HYPERLINK(CONCATENATE("#Metadata!", ADDRESS(INDEX($AJ$2:$AJ$1001,MATCH(ROWS($AH$2:AH358),$AH$2:$AH$1001,0),0), INDEX($AO$1004:$BQ$1004,1,MATCH(COLUMNS($AO$1006:AW1006),$AO$1006:$BQ$1006,0)))),"Fix")))</f>
        <v>#N/A</v>
      </c>
      <c r="K358" s="5" t="e">
        <f ca="1">IF(OR(INDEX($AI$2:$AI$1001,MATCH(ROWS($AH$2:AH358),$AH$2:$AH$1001,0),1)&gt;=100000,INDEX($AO$1005:$BQ$1005,1,MATCH(COLUMNS($AO$1006:AX1006),$AO$1006:$BQ$1006,0))&gt;=100000), " ",IF(INDEX($AO$2:$BQ$1001,MATCH(ROWS($AH$2:AH358),$AH$2:$AH$1001,0),MATCH(COLUMNS($AO$1006:AX1006),$AO$1006:$BQ$1006,0)), HYPERLINK("#",""), HYPERLINK(CONCATENATE("#Metadata!", ADDRESS(INDEX($AJ$2:$AJ$1001,MATCH(ROWS($AH$2:AH358),$AH$2:$AH$1001,0),0), INDEX($AO$1004:$BQ$1004,1,MATCH(COLUMNS($AO$1006:AX1006),$AO$1006:$BQ$1006,0)))),"Fix")))</f>
        <v>#N/A</v>
      </c>
      <c r="L358" s="5" t="e">
        <f ca="1">IF(OR(INDEX($AI$2:$AI$1001,MATCH(ROWS($AH$2:AH358),$AH$2:$AH$1001,0),1)&gt;=100000,INDEX($AO$1005:$BQ$1005,1,MATCH(COLUMNS($AO$1006:AY1006),$AO$1006:$BQ$1006,0))&gt;=100000), " ",IF(INDEX($AO$2:$BQ$1001,MATCH(ROWS($AH$2:AH358),$AH$2:$AH$1001,0),MATCH(COLUMNS($AO$1006:AY1006),$AO$1006:$BQ$1006,0)), HYPERLINK("#",""), HYPERLINK(CONCATENATE("#Metadata!", ADDRESS(INDEX($AJ$2:$AJ$1001,MATCH(ROWS($AH$2:AH358),$AH$2:$AH$1001,0),0), INDEX($AO$1004:$BQ$1004,1,MATCH(COLUMNS($AO$1006:AY1006),$AO$1006:$BQ$1006,0)))),"Fix")))</f>
        <v>#N/A</v>
      </c>
      <c r="M358" s="5" t="e">
        <f ca="1">IF(OR(INDEX($AI$2:$AI$1001,MATCH(ROWS($AH$2:AH358),$AH$2:$AH$1001,0),1)&gt;=100000,INDEX($AO$1005:$BQ$1005,1,MATCH(COLUMNS($AO$1006:AZ1006),$AO$1006:$BQ$1006,0))&gt;=100000), " ",IF(INDEX($AO$2:$BQ$1001,MATCH(ROWS($AH$2:AH358),$AH$2:$AH$1001,0),MATCH(COLUMNS($AO$1006:AZ1006),$AO$1006:$BQ$1006,0)), HYPERLINK("#",""), HYPERLINK(CONCATENATE("#Metadata!", ADDRESS(INDEX($AJ$2:$AJ$1001,MATCH(ROWS($AH$2:AH358),$AH$2:$AH$1001,0),0), INDEX($AO$1004:$BQ$1004,1,MATCH(COLUMNS($AO$1006:AZ1006),$AO$1006:$BQ$1006,0)))),"Fix")))</f>
        <v>#N/A</v>
      </c>
      <c r="N358" s="5" t="e">
        <f ca="1">IF(OR(INDEX($AI$2:$AI$1001,MATCH(ROWS($AH$2:AH358),$AH$2:$AH$1001,0),1)&gt;=100000,INDEX($AO$1005:$BQ$1005,1,MATCH(COLUMNS($AO$1006:BA1006),$AO$1006:$BQ$1006,0))&gt;=100000), " ",IF(INDEX($AO$2:$BQ$1001,MATCH(ROWS($AH$2:AH358),$AH$2:$AH$1001,0),MATCH(COLUMNS($AO$1006:BA1006),$AO$1006:$BQ$1006,0)), HYPERLINK("#",""), HYPERLINK(CONCATENATE("#Metadata!", ADDRESS(INDEX($AJ$2:$AJ$1001,MATCH(ROWS($AH$2:AH358),$AH$2:$AH$1001,0),0), INDEX($AO$1004:$BQ$1004,1,MATCH(COLUMNS($AO$1006:BA1006),$AO$1006:$BQ$1006,0)))),"Fix")))</f>
        <v>#N/A</v>
      </c>
      <c r="O358" s="5" t="e">
        <f ca="1">IF(OR(INDEX($AI$2:$AI$1001,MATCH(ROWS($AH$2:AH358),$AH$2:$AH$1001,0),1)&gt;=100000,INDEX($AO$1005:$BQ$1005,1,MATCH(COLUMNS($AO$1006:BB1006),$AO$1006:$BQ$1006,0))&gt;=100000), " ",IF(INDEX($AO$2:$BQ$1001,MATCH(ROWS($AH$2:AH358),$AH$2:$AH$1001,0),MATCH(COLUMNS($AO$1006:BB1006),$AO$1006:$BQ$1006,0)), HYPERLINK("#",""), HYPERLINK(CONCATENATE("#Metadata!", ADDRESS(INDEX($AJ$2:$AJ$1001,MATCH(ROWS($AH$2:AH358),$AH$2:$AH$1001,0),0), INDEX($AO$1004:$BQ$1004,1,MATCH(COLUMNS($AO$1006:BB1006),$AO$1006:$BQ$1006,0)))),"Fix")))</f>
        <v>#N/A</v>
      </c>
      <c r="P358" s="5" t="e">
        <f ca="1">IF(OR(INDEX($AI$2:$AI$1001,MATCH(ROWS($AH$2:AH358),$AH$2:$AH$1001,0),1)&gt;=100000,INDEX($AO$1005:$BQ$1005,1,MATCH(COLUMNS($AO$1006:BC1006),$AO$1006:$BQ$1006,0))&gt;=100000), " ",IF(INDEX($AO$2:$BQ$1001,MATCH(ROWS($AH$2:AH358),$AH$2:$AH$1001,0),MATCH(COLUMNS($AO$1006:BC1006),$AO$1006:$BQ$1006,0)), HYPERLINK("#",""), HYPERLINK(CONCATENATE("#Metadata!", ADDRESS(INDEX($AJ$2:$AJ$1001,MATCH(ROWS($AH$2:AH358),$AH$2:$AH$1001,0),0), INDEX($AO$1004:$BQ$1004,1,MATCH(COLUMNS($AO$1006:BC1006),$AO$1006:$BQ$1006,0)))),"Fix")))</f>
        <v>#N/A</v>
      </c>
      <c r="Q358" s="5" t="e">
        <f ca="1">IF(OR(INDEX($AI$2:$AI$1001,MATCH(ROWS($AH$2:AH358),$AH$2:$AH$1001,0),1)&gt;=100000,INDEX($AO$1005:$BQ$1005,1,MATCH(COLUMNS($AO$1006:BD1006),$AO$1006:$BQ$1006,0))&gt;=100000), " ",IF(INDEX($AO$2:$BQ$1001,MATCH(ROWS($AH$2:AH358),$AH$2:$AH$1001,0),MATCH(COLUMNS($AO$1006:BD1006),$AO$1006:$BQ$1006,0)), HYPERLINK("#",""), HYPERLINK(CONCATENATE("#Metadata!", ADDRESS(INDEX($AJ$2:$AJ$1001,MATCH(ROWS($AH$2:AH358),$AH$2:$AH$1001,0),0), INDEX($AO$1004:$BQ$1004,1,MATCH(COLUMNS($AO$1006:BD1006),$AO$1006:$BQ$1006,0)))),"Fix")))</f>
        <v>#N/A</v>
      </c>
      <c r="R358" s="5" t="e">
        <f ca="1">IF(OR(INDEX($AI$2:$AI$1001,MATCH(ROWS($AH$2:AH358),$AH$2:$AH$1001,0),1)&gt;=100000,INDEX($AO$1005:$BQ$1005,1,MATCH(COLUMNS($AO$1006:BE1006),$AO$1006:$BQ$1006,0))&gt;=100000), " ",IF(INDEX($AO$2:$BQ$1001,MATCH(ROWS($AH$2:AH358),$AH$2:$AH$1001,0),MATCH(COLUMNS($AO$1006:BE1006),$AO$1006:$BQ$1006,0)), HYPERLINK("#",""), HYPERLINK(CONCATENATE("#Metadata!", ADDRESS(INDEX($AJ$2:$AJ$1001,MATCH(ROWS($AH$2:AH358),$AH$2:$AH$1001,0),0), INDEX($AO$1004:$BQ$1004,1,MATCH(COLUMNS($AO$1006:BE1006),$AO$1006:$BQ$1006,0)))),"Fix")))</f>
        <v>#N/A</v>
      </c>
      <c r="S358" s="5" t="e">
        <f ca="1">IF(OR(INDEX($AI$2:$AI$1001,MATCH(ROWS($AH$2:AH358),$AH$2:$AH$1001,0),1)&gt;=100000,INDEX($AO$1005:$BQ$1005,1,MATCH(COLUMNS($AO$1006:BF1006),$AO$1006:$BQ$1006,0))&gt;=100000), " ",IF(INDEX($AO$2:$BQ$1001,MATCH(ROWS($AH$2:AH358),$AH$2:$AH$1001,0),MATCH(COLUMNS($AO$1006:BF1006),$AO$1006:$BQ$1006,0)), HYPERLINK("#",""), HYPERLINK(CONCATENATE("#Metadata!", ADDRESS(INDEX($AJ$2:$AJ$1001,MATCH(ROWS($AH$2:AH358),$AH$2:$AH$1001,0),0), INDEX($AO$1004:$BQ$1004,1,MATCH(COLUMNS($AO$1006:BF1006),$AO$1006:$BQ$1006,0)))),"Fix")))</f>
        <v>#N/A</v>
      </c>
      <c r="T358" s="5" t="e">
        <f ca="1">IF(OR(INDEX($AI$2:$AI$1001,MATCH(ROWS($AH$2:AH358),$AH$2:$AH$1001,0),1)&gt;=100000,INDEX($AO$1005:$BQ$1005,1,MATCH(COLUMNS($AO$1006:BG1006),$AO$1006:$BQ$1006,0))&gt;=100000), " ",IF(INDEX($AO$2:$BQ$1001,MATCH(ROWS($AH$2:AH358),$AH$2:$AH$1001,0),MATCH(COLUMNS($AO$1006:BG1006),$AO$1006:$BQ$1006,0)), HYPERLINK("#",""), HYPERLINK(CONCATENATE("#Metadata!", ADDRESS(INDEX($AJ$2:$AJ$1001,MATCH(ROWS($AH$2:AH358),$AH$2:$AH$1001,0),0), INDEX($AO$1004:$BQ$1004,1,MATCH(COLUMNS($AO$1006:BG1006),$AO$1006:$BQ$1006,0)))),"Fix")))</f>
        <v>#N/A</v>
      </c>
      <c r="U358" s="5" t="e">
        <f ca="1">IF(OR(INDEX($AI$2:$AI$1001,MATCH(ROWS($AH$2:AH358),$AH$2:$AH$1001,0),1)&gt;=100000,INDEX($AO$1005:$BQ$1005,1,MATCH(COLUMNS($AO$1006:BH1006),$AO$1006:$BQ$1006,0))&gt;=100000), " ",IF(INDEX($AO$2:$BQ$1001,MATCH(ROWS($AH$2:AH358),$AH$2:$AH$1001,0),MATCH(COLUMNS($AO$1006:BH1006),$AO$1006:$BQ$1006,0)), HYPERLINK("#",""), HYPERLINK(CONCATENATE("#Metadata!", ADDRESS(INDEX($AJ$2:$AJ$1001,MATCH(ROWS($AH$2:AH358),$AH$2:$AH$1001,0),0), INDEX($AO$1004:$BQ$1004,1,MATCH(COLUMNS($AO$1006:BH1006),$AO$1006:$BQ$1006,0)))),"Fix")))</f>
        <v>#N/A</v>
      </c>
      <c r="V358" s="5" t="e">
        <f ca="1">IF(OR(INDEX($AI$2:$AI$1001,MATCH(ROWS($AH$2:AH358),$AH$2:$AH$1001,0),1)&gt;=100000,INDEX($AO$1005:$BQ$1005,1,MATCH(COLUMNS($AO$1006:BI1006),$AO$1006:$BQ$1006,0))&gt;=100000), " ",IF(INDEX($AO$2:$BQ$1001,MATCH(ROWS($AH$2:AH358),$AH$2:$AH$1001,0),MATCH(COLUMNS($AO$1006:BI1006),$AO$1006:$BQ$1006,0)), HYPERLINK("#",""), HYPERLINK(CONCATENATE("#Metadata!", ADDRESS(INDEX($AJ$2:$AJ$1001,MATCH(ROWS($AH$2:AH358),$AH$2:$AH$1001,0),0), INDEX($AO$1004:$BQ$1004,1,MATCH(COLUMNS($AO$1006:BI1006),$AO$1006:$BQ$1006,0)))),"Fix")))</f>
        <v>#N/A</v>
      </c>
      <c r="W358" s="5" t="e">
        <f ca="1">IF(OR(INDEX($AI$2:$AI$1001,MATCH(ROWS($AH$2:AH358),$AH$2:$AH$1001,0),1)&gt;=100000,INDEX($AO$1005:$BQ$1005,1,MATCH(COLUMNS($AO$1006:BJ1006),$AO$1006:$BQ$1006,0))&gt;=100000), " ",IF(INDEX($AO$2:$BQ$1001,MATCH(ROWS($AH$2:AH358),$AH$2:$AH$1001,0),MATCH(COLUMNS($AO$1006:BJ1006),$AO$1006:$BQ$1006,0)), HYPERLINK("#",""), HYPERLINK(CONCATENATE("#Metadata!", ADDRESS(INDEX($AJ$2:$AJ$1001,MATCH(ROWS($AH$2:AH358),$AH$2:$AH$1001,0),0), INDEX($AO$1004:$BQ$1004,1,MATCH(COLUMNS($AO$1006:BJ1006),$AO$1006:$BQ$1006,0)))),"Fix")))</f>
        <v>#N/A</v>
      </c>
      <c r="X358" s="5" t="e">
        <f ca="1">IF(OR(INDEX($AI$2:$AI$1001,MATCH(ROWS($AH$2:AH358),$AH$2:$AH$1001,0),1)&gt;=100000,INDEX($AO$1005:$BQ$1005,1,MATCH(COLUMNS($AO$1006:BK1006),$AO$1006:$BQ$1006,0))&gt;=100000), " ",IF(INDEX($AO$2:$BQ$1001,MATCH(ROWS($AH$2:AH358),$AH$2:$AH$1001,0),MATCH(COLUMNS($AO$1006:BK1006),$AO$1006:$BQ$1006,0)), HYPERLINK("#",""), HYPERLINK(CONCATENATE("#Metadata!", ADDRESS(INDEX($AJ$2:$AJ$1001,MATCH(ROWS($AH$2:AH358),$AH$2:$AH$1001,0),0), INDEX($AO$1004:$BQ$1004,1,MATCH(COLUMNS($AO$1006:BK1006),$AO$1006:$BQ$1006,0)))),"Fix")))</f>
        <v>#N/A</v>
      </c>
      <c r="Y358" s="5" t="e">
        <f ca="1">IF(OR(INDEX($AI$2:$AI$1001,MATCH(ROWS($AH$2:AH358),$AH$2:$AH$1001,0),1)&gt;=100000,INDEX($AO$1005:$BQ$1005,1,MATCH(COLUMNS($AO$1006:BL1006),$AO$1006:$BQ$1006,0))&gt;=100000), " ",IF(INDEX($AO$2:$BQ$1001,MATCH(ROWS($AH$2:AH358),$AH$2:$AH$1001,0),MATCH(COLUMNS($AO$1006:BL1006),$AO$1006:$BQ$1006,0)), HYPERLINK("#",""), HYPERLINK(CONCATENATE("#Metadata!", ADDRESS(INDEX($AJ$2:$AJ$1001,MATCH(ROWS($AH$2:AH358),$AH$2:$AH$1001,0),0), INDEX($AO$1004:$BQ$1004,1,MATCH(COLUMNS($AO$1006:BL1006),$AO$1006:$BQ$1006,0)))),"Fix")))</f>
        <v>#N/A</v>
      </c>
      <c r="Z358" s="5" t="e">
        <f ca="1">IF(OR(INDEX($AI$2:$AI$1001,MATCH(ROWS($AH$2:AH358),$AH$2:$AH$1001,0),1)&gt;=100000,INDEX($AO$1005:$BQ$1005,1,MATCH(COLUMNS($AO$1006:BM1006),$AO$1006:$BQ$1006,0))&gt;=100000), " ",IF(INDEX($AO$2:$BQ$1001,MATCH(ROWS($AH$2:AH358),$AH$2:$AH$1001,0),MATCH(COLUMNS($AO$1006:BM1006),$AO$1006:$BQ$1006,0)), HYPERLINK("#",""), HYPERLINK(CONCATENATE("#Metadata!", ADDRESS(INDEX($AJ$2:$AJ$1001,MATCH(ROWS($AH$2:AH358),$AH$2:$AH$1001,0),0), INDEX($AO$1004:$BQ$1004,1,MATCH(COLUMNS($AO$1006:BM1006),$AO$1006:$BQ$1006,0)))),"Fix")))</f>
        <v>#N/A</v>
      </c>
      <c r="AA358" s="5" t="e">
        <f ca="1">IF(OR(INDEX($AI$2:$AI$1001,MATCH(ROWS($AH$2:AH358),$AH$2:$AH$1001,0),1)&gt;=100000,INDEX($AO$1005:$BQ$1005,1,MATCH(COLUMNS($AO$1006:BN1006),$AO$1006:$BQ$1006,0))&gt;=100000), " ",IF(INDEX($AO$2:$BQ$1001,MATCH(ROWS($AH$2:AH358),$AH$2:$AH$1001,0),MATCH(COLUMNS($AO$1006:BN1006),$AO$1006:$BQ$1006,0)), HYPERLINK("#",""), HYPERLINK(CONCATENATE("#Metadata!", ADDRESS(INDEX($AJ$2:$AJ$1001,MATCH(ROWS($AH$2:AH358),$AH$2:$AH$1001,0),0), INDEX($AO$1004:$BQ$1004,1,MATCH(COLUMNS($AO$1006:BN1006),$AO$1006:$BQ$1006,0)))),"Fix")))</f>
        <v>#N/A</v>
      </c>
      <c r="AB358" s="5" t="e">
        <f ca="1">IF(OR(INDEX($AI$2:$AI$1001,MATCH(ROWS($AH$2:AH358),$AH$2:$AH$1001,0),1)&gt;=100000,INDEX($AO$1005:$BQ$1005,1,MATCH(COLUMNS($AO$1006:BO1006),$AO$1006:$BQ$1006,0))&gt;=100000), " ",IF(INDEX($AO$2:$BQ$1001,MATCH(ROWS($AH$2:AH358),$AH$2:$AH$1001,0),MATCH(COLUMNS($AO$1006:BO1006),$AO$1006:$BQ$1006,0)), HYPERLINK("#",""), HYPERLINK(CONCATENATE("#Metadata!", ADDRESS(INDEX($AJ$2:$AJ$1001,MATCH(ROWS($AH$2:AH358),$AH$2:$AH$1001,0),0), INDEX($AO$1004:$BQ$1004,1,MATCH(COLUMNS($AO$1006:BO1006),$AO$1006:$BQ$1006,0)))),"Fix")))</f>
        <v>#N/A</v>
      </c>
      <c r="AC358" s="5" t="e">
        <f ca="1">IF(OR(INDEX($AI$2:$AI$1001,MATCH(ROWS($AH$2:AH358),$AH$2:$AH$1001,0),1)&gt;=100000,INDEX($AO$1005:$BQ$1005,1,MATCH(COLUMNS($AO$1006:BP1006),$AO$1006:$BQ$1006,0))&gt;=100000), " ",IF(INDEX($AO$2:$BQ$1001,MATCH(ROWS($AH$2:AH358),$AH$2:$AH$1001,0),MATCH(COLUMNS($AO$1006:BP1006),$AO$1006:$BQ$1006,0)), HYPERLINK("#",""), HYPERLINK(CONCATENATE("#Metadata!", ADDRESS(INDEX($AJ$2:$AJ$1001,MATCH(ROWS($AH$2:AH358),$AH$2:$AH$1001,0),0), INDEX($AO$1004:$BQ$1004,1,MATCH(COLUMNS($AO$1006:BP1006),$AO$1006:$BQ$1006,0)))),"Fix")))</f>
        <v>#N/A</v>
      </c>
      <c r="AD358" s="5" t="e">
        <f ca="1">IF(OR(INDEX($AI$2:$AI$1001,MATCH(ROWS($AH$2:AH358),$AH$2:$AH$1001,0),1)&gt;=100000,INDEX($AO$1005:$BQ$1005,1,MATCH(COLUMNS($AO$1006:BQ1006),$AO$1006:$BQ$1006,0))&gt;=100000), " ",IF(INDEX($AO$2:$BQ$1001,MATCH(ROWS($AH$2:AH358),$AH$2:$AH$1001,0),MATCH(COLUMNS($AO$1006:BQ1006),$AO$1006:$BQ$1006,0)), HYPERLINK("#",""), HYPERLINK(CONCATENATE("#Metadata!", ADDRESS(INDEX($AJ$2:$AJ$1001,MATCH(ROWS($AH$2:AH358),$AH$2:$AH$1001,0),0), INDEX($AO$1004:$BQ$1004,1,MATCH(COLUMNS($AO$1006:BQ1006),$AO$1006:$BQ$1006,0)))),"Fix")))</f>
        <v>#REF!</v>
      </c>
      <c r="AH358">
        <f ca="1"/>
        <v>355</v>
      </c>
      <c r="AI358">
        <v>100358</v>
      </c>
      <c r="AJ358">
        <v>358</v>
      </c>
      <c r="AK358" t="b">
        <f t="shared" si="5"/>
        <v>1</v>
      </c>
      <c r="AL358" t="b">
        <f>COUNTBLANK(Metadata!B358:AD358)=COLUMNS(Metadata!B358:AD358)</f>
        <v>1</v>
      </c>
      <c r="AM358" t="str">
        <v/>
      </c>
      <c r="AO358" t="b">
        <f ca="1">AND(IF(Metadata!B358="",FALSE,TRUE),COUNTIF(Metadata!B:B, Metadata!B358) = 1,NOT(ISERROR(SUMPRODUCT(SEARCH(MID(Metadata!B358,ROW(INDIRECT("1:"&amp;LEN(Metadata!B358))), 1),"0123456789abcdefghijklmnopqrstuvwxyzABCDEFGHIJKLMNOPQRSTUVWXYZ.")))))</f>
        <v>0</v>
      </c>
      <c r="AP358" t="b">
        <f>IF(Metadata!C358="",FALSE,TRUE)</f>
        <v>0</v>
      </c>
      <c r="AQ358" t="b">
        <f>IF(Metadata!D358="",FALSE,TRUE)</f>
        <v>0</v>
      </c>
      <c r="AR358" t="b">
        <f ca="1">OR(AND(IF(Metadata!E358="",FALSE,TRUE),OR(EXACT(Metadata!E358,"not collected"),EXACT(Metadata!E358,"not provided"),EXACT(Metadata!E358,"restricted access"))),AND(IF(Metadata!E358="",FALSE,TRUE),AND(AND(IFERROR(INT(LEFT(Metadata!E358,4))&gt;1900,FALSE),IFERROR(INT(LEFT(Metadata!E358,4))&lt;=YEAR(NOW()),FALSE)), OR(MID(Metadata!E358,5,1)="", AND(AND(MID(Metadata!E358,5,1)="-",IFERROR(INT(MID(Metadata!E358,6,1))&gt;=0,FALSE),IFERROR(INT(MID(Metadata!E358,6,1))&lt;=1,FALSE),NOT(MID(Metadata!E358,7,1)=""),IFERROR(INT(MID(Metadata!E358,6,2))&gt;=1,FALSE),IFERROR(INT(MID(Metadata!E358,6,2))&lt;=12,FALSE)), OR(MID(Metadata!E358,8,1)="", AND(AND(MID(Metadata!E358,8,1)="-",IFERROR(INT(MID(Metadata!E358,9,1))&gt;=0,FALSE),IFERROR(INT(MID(Metadata!E358,9,1))&lt;=3,FALSE),NOT(MID(Metadata!E358,10,1)=""),IFERROR(INT(MID(Metadata!E358,9,2))&gt;=1,FALSE),IFERROR(INT(MID(Metadata!E358,9,2))&lt;=31,FALSE)), OR(MID(Metadata!E358,11,1)="", AND(AND(MID(Metadata!E358,11,1)=" ",IFERROR(INT(MID(Metadata!E358,12,1))&gt;=0,FALSE),IFERROR(INT(MID(Metadata!E358,12,1))&lt;=2,FALSE),NOT(MID(Metadata!E358,13,1)=""),IFERROR(INT(MID(Metadata!E358,12,2))&gt;=0,FALSE),IFERROR(INT(MID(Metadata!E358,12,2))&lt;=23,FALSE)), OR(MID(Metadata!E358,14,1)="", AND(AND(MID(Metadata!E358,14,1)=":",IFERROR(INT(MID(Metadata!E358,15,1))&gt;=0,FALSE),IFERROR(INT(MID(Metadata!E358,15,1))&lt;=5,FALSE),NOT(MID(Metadata!E358,16,1)=""),IFERROR(INT(MID(Metadata!E358,15,2))&gt;=0,FALSE),IFERROR(INT(MID(Metadata!E358,15,2))&lt;=59,FALSE)), OR(MID(Metadata!E358,17,1)="", AND(AND(MID(Metadata!E358,17,1)=":",IFERROR(INT(MID(Metadata!E358,18,1))&gt;=0,FALSE),IFERROR(INT(MID(Metadata!E358,18,1))&lt;=5,FALSE),NOT(MID(Metadata!E358,19,1)=""),IFERROR(INT(MID(Metadata!E358,18,2))&gt;=0,FALSE),IFERROR(INT(MID(Metadata!E358,18,2))&lt;=59,FALSE)), LEN(Metadata!E358)&lt;=19)))))))))))))</f>
        <v>0</v>
      </c>
      <c r="AS358" t="b">
        <f>IF(Metadata!F358="",FALSE,TRUE)</f>
        <v>0</v>
      </c>
      <c r="AT358" t="b">
        <f>OR(AND(IF(Metadata!G358="",FALSE,TRUE),OR(EXACT(Metadata!G358,"not collected"),EXACT(Metadata!G358,"not provided"))),AND(IF(Metadata!G358="",FALSE,TRUE),OR(EXACT(Metadata!G358,"TRUE"),EXACT(Metadata!G358,"FALSE"))))</f>
        <v>0</v>
      </c>
      <c r="AU358" t="b">
        <f>OR(AND(IF(Metadata!H358="",FALSE,TRUE),OR(EXACT(Metadata!H358,"not collected"),EXACT(Metadata!H358,"not provided"),EXACT(Metadata!H358,"restricted access"))),AND(IF(Metadata!H358="",FALSE,ISNUMBER(VALUE(Metadata!H358))),Metadata!H358&gt;=-413))</f>
        <v>0</v>
      </c>
      <c r="AV358" t="b">
        <f>AND(IF(Metadata!I358="",FALSE,TRUE),EXACT(Metadata!I358,"meters"))</f>
        <v>0</v>
      </c>
      <c r="AW358" t="b">
        <f>AND(IF(Metadata!J358="",FALSE,TRUE),EXACT(Metadata!J358,"free-living"))</f>
        <v>0</v>
      </c>
      <c r="AX358" t="b">
        <f>AND(IF(Metadata!K358="",FALSE,TRUE),OR(EXACT(Metadata!K358,"saline"),EXACT(Metadata!K358,"non-saline")))</f>
        <v>0</v>
      </c>
      <c r="AY358" t="b">
        <f>AND(IF(Metadata!L358="",FALSE,TRUE),OR(EXACT(Metadata!L358,"sub-surface (non-saline)"),EXACT(Metadata!L358,"surface (non-saline)"),EXACT(Metadata!L358,"water (non-saline)"),EXACT(Metadata!L358,"soil (non-saline)"),EXACT(Metadata!L358,"aerosol (non-saline)"),EXACT(Metadata!L358,"sediment (non-saline)"),EXACT(Metadata!L358,"surface (saline)"),EXACT(Metadata!L358,"water (saline)"),EXACT(Metadata!L358,"hypersaline (saline)"),EXACT(Metadata!L358,"aerosol (saline)"),EXACT(Metadata!L358,"sediment (saline)")))</f>
        <v>0</v>
      </c>
      <c r="AZ358" t="b">
        <f>IF(Metadata!M358="",FALSE,TRUE)</f>
        <v>0</v>
      </c>
      <c r="BA358" t="b">
        <f>IF(Metadata!N358="",FALSE,TRUE)</f>
        <v>0</v>
      </c>
      <c r="BB358" t="b">
        <f>IF(Metadata!O358="",FALSE,TRUE)</f>
        <v>0</v>
      </c>
      <c r="BC358" t="b">
        <f>AND(IF(Metadata!P358="",FALSE,TRUE),OR(EXACT(Metadata!P358,"air"),EXACT(Metadata!P358,"microbial mat/biofilm"),EXACT(Metadata!P358,"misc environment"),EXACT(Metadata!P358,"sediment"),EXACT(Metadata!P358,"soil"),EXACT(Metadata!P358,"wastewater/sludge"),EXACT(Metadata!P358,"water")))</f>
        <v>0</v>
      </c>
      <c r="BD358" t="b">
        <f>IF(Metadata!Q358="",FALSE,TRUE)</f>
        <v>0</v>
      </c>
      <c r="BE358" t="b">
        <f>IF(Metadata!R358="",FALSE,TRUE)</f>
        <v>0</v>
      </c>
      <c r="BF358" t="b">
        <f>OR(AND(IF(Metadata!S358="",FALSE,TRUE),OR(EXACT(Metadata!S358,"not collected"),EXACT(Metadata!S358,"not provided"),EXACT(Metadata!S358,"restricted access"))),AND(IF(Metadata!S358="",FALSE,ISNUMBER(VALUE(Metadata!S358))),Metadata!S358&gt;=-90,Metadata!S358&lt;=90))</f>
        <v>0</v>
      </c>
      <c r="BG358" t="b">
        <f>AND(IF(Metadata!T358="",FALSE,TRUE),EXACT(Metadata!T358,"Decimal degrees"))</f>
        <v>0</v>
      </c>
      <c r="BH358" t="b">
        <f>OR(AND(IF(Metadata!U358="",FALSE,TRUE),OR(EXACT(Metadata!U358,"not applicable"),EXACT(Metadata!U358,"not collected"))),IF(Metadata!U358="",FALSE,TRUE))</f>
        <v>0</v>
      </c>
      <c r="BI358" t="b">
        <f>OR(AND(IF(Metadata!V358="",FALSE,TRUE),OR(EXACT(Metadata!V358,"not collected"),EXACT(Metadata!V358,"not provided"),EXACT(Metadata!V358,"restricted access"))),AND(IF(Metadata!V358="",FALSE,ISNUMBER(VALUE(Metadata!V358))),Metadata!V358&gt;=-180,Metadata!V358&lt;=180))</f>
        <v>0</v>
      </c>
      <c r="BJ358" t="b">
        <f>AND(IF(Metadata!W358="",FALSE,TRUE),EXACT(Metadata!W358,"Decimal degrees"))</f>
        <v>0</v>
      </c>
      <c r="BK358" t="b">
        <f>IF(Metadata!X358="",FALSE,TRUE)</f>
        <v>0</v>
      </c>
      <c r="BL358" t="b">
        <f>OR(AND(IF(Metadata!Y358="",FALSE,TRUE),OR(EXACT(Metadata!Y358,"not collected"),EXACT(Metadata!Y358,"not provided"),EXACT(Metadata!Y358,"restricted access"))),AND(IF(Metadata!Y358="",FALSE,TRUE),OR(EXACT(Metadata!Y358,"TRUE"),EXACT(Metadata!Y358,"FALSE"))))</f>
        <v>0</v>
      </c>
      <c r="BM358" t="b">
        <f>OR(AND(IF(Metadata!Z358="",FALSE,TRUE),EXACT(Metadata!Z358,"not applicable")),AND(IF(Metadata!Z358="",FALSE,TRUE),OR(EXACT(Metadata!Z358,"beer"),EXACT(Metadata!Z358,"cheese"),EXACT(Metadata!Z358,"fresh water"),EXACT(Metadata!Z358,"marine sediment"),EXACT(Metadata!Z358,"sea water"),EXACT(Metadata!Z358,"sediment"),EXACT(Metadata!Z358,"soil"),EXACT(Metadata!Z358,"waste water"))))</f>
        <v>0</v>
      </c>
      <c r="BN358" t="b">
        <f>AND(IF(Metadata!AA358="",FALSE,TRUE),EXACT(Metadata!AA358,"metagenome"))</f>
        <v>0</v>
      </c>
      <c r="BO358" t="b">
        <f>AND(IF(Metadata!AB358="",FALSE,TRUE),EXACT(Metadata!AB358,"256318"))</f>
        <v>0</v>
      </c>
      <c r="BP358" t="b">
        <f>IF(Metadata!AC358="",FALSE,TRUE)</f>
        <v>0</v>
      </c>
      <c r="BQ358" t="b">
        <f>IF(Metadata!AD358="",FALSE,TRUE)</f>
        <v>0</v>
      </c>
    </row>
    <row r="359" spans="1:69" x14ac:dyDescent="0.2">
      <c r="A359" s="4" t="e">
        <f ca="1">IF(B359=" "," ",HYPERLINK(CONCATENATE("#metadata!",ADDRESS(INDEX($AJ$2:$AJ$1001,MATCH(ROWS($AH$2:AH359),$AH$2:$AH$1001,0),0),2)),INDEX($AM$2:$AM$1001,MATCH(ROWS($AH$2:AH359),$AH$2:$AH$1001,0),0)))</f>
        <v>#N/A</v>
      </c>
      <c r="B359" s="5" t="e">
        <f ca="1">IF(OR(INDEX($AI$2:$AI$1001,MATCH(ROWS($AH$2:AH359),$AH$2:$AH$1001,0),1)&gt;=100000,INDEX($AO$1005:$BQ$1005,1,MATCH(COLUMNS($AO$1006:AO1006),$AO$1006:$BQ$1006,0))&gt;=100000), " ",IF(INDEX($AO$2:$BQ$1001,MATCH(ROWS($AH$2:AH359),$AH$2:$AH$1001,0),MATCH(COLUMNS($AO$1006:AO1006),$AO$1006:$BQ$1006,0)), HYPERLINK("#",""), HYPERLINK(CONCATENATE("#Metadata!", ADDRESS(INDEX($AJ$2:$AJ$1001,MATCH(ROWS($AH$2:AH359),$AH$2:$AH$1001,0),0), INDEX($AO$1004:$BQ$1004,1,MATCH(COLUMNS($AO$1006:AO1006),$AO$1006:$BQ$1006,0)))),"Fix")))</f>
        <v>#N/A</v>
      </c>
      <c r="C359" s="5" t="e">
        <f ca="1">IF(OR(INDEX($AI$2:$AI$1001,MATCH(ROWS($AH$2:AH359),$AH$2:$AH$1001,0),1)&gt;=100000,INDEX($AO$1005:$BQ$1005,1,MATCH(COLUMNS($AO$1006:AP1006),$AO$1006:$BQ$1006,0))&gt;=100000), " ",IF(INDEX($AO$2:$BQ$1001,MATCH(ROWS($AH$2:AH359),$AH$2:$AH$1001,0),MATCH(COLUMNS($AO$1006:AP1006),$AO$1006:$BQ$1006,0)), HYPERLINK("#",""), HYPERLINK(CONCATENATE("#Metadata!", ADDRESS(INDEX($AJ$2:$AJ$1001,MATCH(ROWS($AH$2:AH359),$AH$2:$AH$1001,0),0), INDEX($AO$1004:$BQ$1004,1,MATCH(COLUMNS($AO$1006:AP1006),$AO$1006:$BQ$1006,0)))),"Fix")))</f>
        <v>#N/A</v>
      </c>
      <c r="D359" s="5" t="e">
        <f ca="1">IF(OR(INDEX($AI$2:$AI$1001,MATCH(ROWS($AH$2:AH359),$AH$2:$AH$1001,0),1)&gt;=100000,INDEX($AO$1005:$BQ$1005,1,MATCH(COLUMNS($AO$1006:AQ1006),$AO$1006:$BQ$1006,0))&gt;=100000), " ",IF(INDEX($AO$2:$BQ$1001,MATCH(ROWS($AH$2:AH359),$AH$2:$AH$1001,0),MATCH(COLUMNS($AO$1006:AQ1006),$AO$1006:$BQ$1006,0)), HYPERLINK("#",""), HYPERLINK(CONCATENATE("#Metadata!", ADDRESS(INDEX($AJ$2:$AJ$1001,MATCH(ROWS($AH$2:AH359),$AH$2:$AH$1001,0),0), INDEX($AO$1004:$BQ$1004,1,MATCH(COLUMNS($AO$1006:AQ1006),$AO$1006:$BQ$1006,0)))),"Fix")))</f>
        <v>#N/A</v>
      </c>
      <c r="E359" s="5" t="e">
        <f ca="1">IF(OR(INDEX($AI$2:$AI$1001,MATCH(ROWS($AH$2:AH359),$AH$2:$AH$1001,0),1)&gt;=100000,INDEX($AO$1005:$BQ$1005,1,MATCH(COLUMNS($AO$1006:AR1006),$AO$1006:$BQ$1006,0))&gt;=100000), " ",IF(INDEX($AO$2:$BQ$1001,MATCH(ROWS($AH$2:AH359),$AH$2:$AH$1001,0),MATCH(COLUMNS($AO$1006:AR1006),$AO$1006:$BQ$1006,0)), HYPERLINK("#",""), HYPERLINK(CONCATENATE("#Metadata!", ADDRESS(INDEX($AJ$2:$AJ$1001,MATCH(ROWS($AH$2:AH359),$AH$2:$AH$1001,0),0), INDEX($AO$1004:$BQ$1004,1,MATCH(COLUMNS($AO$1006:AR1006),$AO$1006:$BQ$1006,0)))),"Fix")))</f>
        <v>#N/A</v>
      </c>
      <c r="F359" s="5" t="e">
        <f ca="1">IF(OR(INDEX($AI$2:$AI$1001,MATCH(ROWS($AH$2:AH359),$AH$2:$AH$1001,0),1)&gt;=100000,INDEX($AO$1005:$BQ$1005,1,MATCH(COLUMNS($AO$1006:AS1006),$AO$1006:$BQ$1006,0))&gt;=100000), " ",IF(INDEX($AO$2:$BQ$1001,MATCH(ROWS($AH$2:AH359),$AH$2:$AH$1001,0),MATCH(COLUMNS($AO$1006:AS1006),$AO$1006:$BQ$1006,0)), HYPERLINK("#",""), HYPERLINK(CONCATENATE("#Metadata!", ADDRESS(INDEX($AJ$2:$AJ$1001,MATCH(ROWS($AH$2:AH359),$AH$2:$AH$1001,0),0), INDEX($AO$1004:$BQ$1004,1,MATCH(COLUMNS($AO$1006:AS1006),$AO$1006:$BQ$1006,0)))),"Fix")))</f>
        <v>#N/A</v>
      </c>
      <c r="G359" s="5" t="e">
        <f ca="1">IF(OR(INDEX($AI$2:$AI$1001,MATCH(ROWS($AH$2:AH359),$AH$2:$AH$1001,0),1)&gt;=100000,INDEX($AO$1005:$BQ$1005,1,MATCH(COLUMNS($AO$1006:AT1006),$AO$1006:$BQ$1006,0))&gt;=100000), " ",IF(INDEX($AO$2:$BQ$1001,MATCH(ROWS($AH$2:AH359),$AH$2:$AH$1001,0),MATCH(COLUMNS($AO$1006:AT1006),$AO$1006:$BQ$1006,0)), HYPERLINK("#",""), HYPERLINK(CONCATENATE("#Metadata!", ADDRESS(INDEX($AJ$2:$AJ$1001,MATCH(ROWS($AH$2:AH359),$AH$2:$AH$1001,0),0), INDEX($AO$1004:$BQ$1004,1,MATCH(COLUMNS($AO$1006:AT1006),$AO$1006:$BQ$1006,0)))),"Fix")))</f>
        <v>#N/A</v>
      </c>
      <c r="H359" s="5" t="e">
        <f ca="1">IF(OR(INDEX($AI$2:$AI$1001,MATCH(ROWS($AH$2:AH359),$AH$2:$AH$1001,0),1)&gt;=100000,INDEX($AO$1005:$BQ$1005,1,MATCH(COLUMNS($AO$1006:AU1006),$AO$1006:$BQ$1006,0))&gt;=100000), " ",IF(INDEX($AO$2:$BQ$1001,MATCH(ROWS($AH$2:AH359),$AH$2:$AH$1001,0),MATCH(COLUMNS($AO$1006:AU1006),$AO$1006:$BQ$1006,0)), HYPERLINK("#",""), HYPERLINK(CONCATENATE("#Metadata!", ADDRESS(INDEX($AJ$2:$AJ$1001,MATCH(ROWS($AH$2:AH359),$AH$2:$AH$1001,0),0), INDEX($AO$1004:$BQ$1004,1,MATCH(COLUMNS($AO$1006:AU1006),$AO$1006:$BQ$1006,0)))),"Fix")))</f>
        <v>#N/A</v>
      </c>
      <c r="I359" s="5" t="e">
        <f ca="1">IF(OR(INDEX($AI$2:$AI$1001,MATCH(ROWS($AH$2:AH359),$AH$2:$AH$1001,0),1)&gt;=100000,INDEX($AO$1005:$BQ$1005,1,MATCH(COLUMNS($AO$1006:AV1006),$AO$1006:$BQ$1006,0))&gt;=100000), " ",IF(INDEX($AO$2:$BQ$1001,MATCH(ROWS($AH$2:AH359),$AH$2:$AH$1001,0),MATCH(COLUMNS($AO$1006:AV1006),$AO$1006:$BQ$1006,0)), HYPERLINK("#",""), HYPERLINK(CONCATENATE("#Metadata!", ADDRESS(INDEX($AJ$2:$AJ$1001,MATCH(ROWS($AH$2:AH359),$AH$2:$AH$1001,0),0), INDEX($AO$1004:$BQ$1004,1,MATCH(COLUMNS($AO$1006:AV1006),$AO$1006:$BQ$1006,0)))),"Fix")))</f>
        <v>#N/A</v>
      </c>
      <c r="J359" s="5" t="e">
        <f ca="1">IF(OR(INDEX($AI$2:$AI$1001,MATCH(ROWS($AH$2:AH359),$AH$2:$AH$1001,0),1)&gt;=100000,INDEX($AO$1005:$BQ$1005,1,MATCH(COLUMNS($AO$1006:AW1006),$AO$1006:$BQ$1006,0))&gt;=100000), " ",IF(INDEX($AO$2:$BQ$1001,MATCH(ROWS($AH$2:AH359),$AH$2:$AH$1001,0),MATCH(COLUMNS($AO$1006:AW1006),$AO$1006:$BQ$1006,0)), HYPERLINK("#",""), HYPERLINK(CONCATENATE("#Metadata!", ADDRESS(INDEX($AJ$2:$AJ$1001,MATCH(ROWS($AH$2:AH359),$AH$2:$AH$1001,0),0), INDEX($AO$1004:$BQ$1004,1,MATCH(COLUMNS($AO$1006:AW1006),$AO$1006:$BQ$1006,0)))),"Fix")))</f>
        <v>#N/A</v>
      </c>
      <c r="K359" s="5" t="e">
        <f ca="1">IF(OR(INDEX($AI$2:$AI$1001,MATCH(ROWS($AH$2:AH359),$AH$2:$AH$1001,0),1)&gt;=100000,INDEX($AO$1005:$BQ$1005,1,MATCH(COLUMNS($AO$1006:AX1006),$AO$1006:$BQ$1006,0))&gt;=100000), " ",IF(INDEX($AO$2:$BQ$1001,MATCH(ROWS($AH$2:AH359),$AH$2:$AH$1001,0),MATCH(COLUMNS($AO$1006:AX1006),$AO$1006:$BQ$1006,0)), HYPERLINK("#",""), HYPERLINK(CONCATENATE("#Metadata!", ADDRESS(INDEX($AJ$2:$AJ$1001,MATCH(ROWS($AH$2:AH359),$AH$2:$AH$1001,0),0), INDEX($AO$1004:$BQ$1004,1,MATCH(COLUMNS($AO$1006:AX1006),$AO$1006:$BQ$1006,0)))),"Fix")))</f>
        <v>#N/A</v>
      </c>
      <c r="L359" s="5" t="e">
        <f ca="1">IF(OR(INDEX($AI$2:$AI$1001,MATCH(ROWS($AH$2:AH359),$AH$2:$AH$1001,0),1)&gt;=100000,INDEX($AO$1005:$BQ$1005,1,MATCH(COLUMNS($AO$1006:AY1006),$AO$1006:$BQ$1006,0))&gt;=100000), " ",IF(INDEX($AO$2:$BQ$1001,MATCH(ROWS($AH$2:AH359),$AH$2:$AH$1001,0),MATCH(COLUMNS($AO$1006:AY1006),$AO$1006:$BQ$1006,0)), HYPERLINK("#",""), HYPERLINK(CONCATENATE("#Metadata!", ADDRESS(INDEX($AJ$2:$AJ$1001,MATCH(ROWS($AH$2:AH359),$AH$2:$AH$1001,0),0), INDEX($AO$1004:$BQ$1004,1,MATCH(COLUMNS($AO$1006:AY1006),$AO$1006:$BQ$1006,0)))),"Fix")))</f>
        <v>#N/A</v>
      </c>
      <c r="M359" s="5" t="e">
        <f ca="1">IF(OR(INDEX($AI$2:$AI$1001,MATCH(ROWS($AH$2:AH359),$AH$2:$AH$1001,0),1)&gt;=100000,INDEX($AO$1005:$BQ$1005,1,MATCH(COLUMNS($AO$1006:AZ1006),$AO$1006:$BQ$1006,0))&gt;=100000), " ",IF(INDEX($AO$2:$BQ$1001,MATCH(ROWS($AH$2:AH359),$AH$2:$AH$1001,0),MATCH(COLUMNS($AO$1006:AZ1006),$AO$1006:$BQ$1006,0)), HYPERLINK("#",""), HYPERLINK(CONCATENATE("#Metadata!", ADDRESS(INDEX($AJ$2:$AJ$1001,MATCH(ROWS($AH$2:AH359),$AH$2:$AH$1001,0),0), INDEX($AO$1004:$BQ$1004,1,MATCH(COLUMNS($AO$1006:AZ1006),$AO$1006:$BQ$1006,0)))),"Fix")))</f>
        <v>#N/A</v>
      </c>
      <c r="N359" s="5" t="e">
        <f ca="1">IF(OR(INDEX($AI$2:$AI$1001,MATCH(ROWS($AH$2:AH359),$AH$2:$AH$1001,0),1)&gt;=100000,INDEX($AO$1005:$BQ$1005,1,MATCH(COLUMNS($AO$1006:BA1006),$AO$1006:$BQ$1006,0))&gt;=100000), " ",IF(INDEX($AO$2:$BQ$1001,MATCH(ROWS($AH$2:AH359),$AH$2:$AH$1001,0),MATCH(COLUMNS($AO$1006:BA1006),$AO$1006:$BQ$1006,0)), HYPERLINK("#",""), HYPERLINK(CONCATENATE("#Metadata!", ADDRESS(INDEX($AJ$2:$AJ$1001,MATCH(ROWS($AH$2:AH359),$AH$2:$AH$1001,0),0), INDEX($AO$1004:$BQ$1004,1,MATCH(COLUMNS($AO$1006:BA1006),$AO$1006:$BQ$1006,0)))),"Fix")))</f>
        <v>#N/A</v>
      </c>
      <c r="O359" s="5" t="e">
        <f ca="1">IF(OR(INDEX($AI$2:$AI$1001,MATCH(ROWS($AH$2:AH359),$AH$2:$AH$1001,0),1)&gt;=100000,INDEX($AO$1005:$BQ$1005,1,MATCH(COLUMNS($AO$1006:BB1006),$AO$1006:$BQ$1006,0))&gt;=100000), " ",IF(INDEX($AO$2:$BQ$1001,MATCH(ROWS($AH$2:AH359),$AH$2:$AH$1001,0),MATCH(COLUMNS($AO$1006:BB1006),$AO$1006:$BQ$1006,0)), HYPERLINK("#",""), HYPERLINK(CONCATENATE("#Metadata!", ADDRESS(INDEX($AJ$2:$AJ$1001,MATCH(ROWS($AH$2:AH359),$AH$2:$AH$1001,0),0), INDEX($AO$1004:$BQ$1004,1,MATCH(COLUMNS($AO$1006:BB1006),$AO$1006:$BQ$1006,0)))),"Fix")))</f>
        <v>#N/A</v>
      </c>
      <c r="P359" s="5" t="e">
        <f ca="1">IF(OR(INDEX($AI$2:$AI$1001,MATCH(ROWS($AH$2:AH359),$AH$2:$AH$1001,0),1)&gt;=100000,INDEX($AO$1005:$BQ$1005,1,MATCH(COLUMNS($AO$1006:BC1006),$AO$1006:$BQ$1006,0))&gt;=100000), " ",IF(INDEX($AO$2:$BQ$1001,MATCH(ROWS($AH$2:AH359),$AH$2:$AH$1001,0),MATCH(COLUMNS($AO$1006:BC1006),$AO$1006:$BQ$1006,0)), HYPERLINK("#",""), HYPERLINK(CONCATENATE("#Metadata!", ADDRESS(INDEX($AJ$2:$AJ$1001,MATCH(ROWS($AH$2:AH359),$AH$2:$AH$1001,0),0), INDEX($AO$1004:$BQ$1004,1,MATCH(COLUMNS($AO$1006:BC1006),$AO$1006:$BQ$1006,0)))),"Fix")))</f>
        <v>#N/A</v>
      </c>
      <c r="Q359" s="5" t="e">
        <f ca="1">IF(OR(INDEX($AI$2:$AI$1001,MATCH(ROWS($AH$2:AH359),$AH$2:$AH$1001,0),1)&gt;=100000,INDEX($AO$1005:$BQ$1005,1,MATCH(COLUMNS($AO$1006:BD1006),$AO$1006:$BQ$1006,0))&gt;=100000), " ",IF(INDEX($AO$2:$BQ$1001,MATCH(ROWS($AH$2:AH359),$AH$2:$AH$1001,0),MATCH(COLUMNS($AO$1006:BD1006),$AO$1006:$BQ$1006,0)), HYPERLINK("#",""), HYPERLINK(CONCATENATE("#Metadata!", ADDRESS(INDEX($AJ$2:$AJ$1001,MATCH(ROWS($AH$2:AH359),$AH$2:$AH$1001,0),0), INDEX($AO$1004:$BQ$1004,1,MATCH(COLUMNS($AO$1006:BD1006),$AO$1006:$BQ$1006,0)))),"Fix")))</f>
        <v>#N/A</v>
      </c>
      <c r="R359" s="5" t="e">
        <f ca="1">IF(OR(INDEX($AI$2:$AI$1001,MATCH(ROWS($AH$2:AH359),$AH$2:$AH$1001,0),1)&gt;=100000,INDEX($AO$1005:$BQ$1005,1,MATCH(COLUMNS($AO$1006:BE1006),$AO$1006:$BQ$1006,0))&gt;=100000), " ",IF(INDEX($AO$2:$BQ$1001,MATCH(ROWS($AH$2:AH359),$AH$2:$AH$1001,0),MATCH(COLUMNS($AO$1006:BE1006),$AO$1006:$BQ$1006,0)), HYPERLINK("#",""), HYPERLINK(CONCATENATE("#Metadata!", ADDRESS(INDEX($AJ$2:$AJ$1001,MATCH(ROWS($AH$2:AH359),$AH$2:$AH$1001,0),0), INDEX($AO$1004:$BQ$1004,1,MATCH(COLUMNS($AO$1006:BE1006),$AO$1006:$BQ$1006,0)))),"Fix")))</f>
        <v>#N/A</v>
      </c>
      <c r="S359" s="5" t="e">
        <f ca="1">IF(OR(INDEX($AI$2:$AI$1001,MATCH(ROWS($AH$2:AH359),$AH$2:$AH$1001,0),1)&gt;=100000,INDEX($AO$1005:$BQ$1005,1,MATCH(COLUMNS($AO$1006:BF1006),$AO$1006:$BQ$1006,0))&gt;=100000), " ",IF(INDEX($AO$2:$BQ$1001,MATCH(ROWS($AH$2:AH359),$AH$2:$AH$1001,0),MATCH(COLUMNS($AO$1006:BF1006),$AO$1006:$BQ$1006,0)), HYPERLINK("#",""), HYPERLINK(CONCATENATE("#Metadata!", ADDRESS(INDEX($AJ$2:$AJ$1001,MATCH(ROWS($AH$2:AH359),$AH$2:$AH$1001,0),0), INDEX($AO$1004:$BQ$1004,1,MATCH(COLUMNS($AO$1006:BF1006),$AO$1006:$BQ$1006,0)))),"Fix")))</f>
        <v>#N/A</v>
      </c>
      <c r="T359" s="5" t="e">
        <f ca="1">IF(OR(INDEX($AI$2:$AI$1001,MATCH(ROWS($AH$2:AH359),$AH$2:$AH$1001,0),1)&gt;=100000,INDEX($AO$1005:$BQ$1005,1,MATCH(COLUMNS($AO$1006:BG1006),$AO$1006:$BQ$1006,0))&gt;=100000), " ",IF(INDEX($AO$2:$BQ$1001,MATCH(ROWS($AH$2:AH359),$AH$2:$AH$1001,0),MATCH(COLUMNS($AO$1006:BG1006),$AO$1006:$BQ$1006,0)), HYPERLINK("#",""), HYPERLINK(CONCATENATE("#Metadata!", ADDRESS(INDEX($AJ$2:$AJ$1001,MATCH(ROWS($AH$2:AH359),$AH$2:$AH$1001,0),0), INDEX($AO$1004:$BQ$1004,1,MATCH(COLUMNS($AO$1006:BG1006),$AO$1006:$BQ$1006,0)))),"Fix")))</f>
        <v>#N/A</v>
      </c>
      <c r="U359" s="5" t="e">
        <f ca="1">IF(OR(INDEX($AI$2:$AI$1001,MATCH(ROWS($AH$2:AH359),$AH$2:$AH$1001,0),1)&gt;=100000,INDEX($AO$1005:$BQ$1005,1,MATCH(COLUMNS($AO$1006:BH1006),$AO$1006:$BQ$1006,0))&gt;=100000), " ",IF(INDEX($AO$2:$BQ$1001,MATCH(ROWS($AH$2:AH359),$AH$2:$AH$1001,0),MATCH(COLUMNS($AO$1006:BH1006),$AO$1006:$BQ$1006,0)), HYPERLINK("#",""), HYPERLINK(CONCATENATE("#Metadata!", ADDRESS(INDEX($AJ$2:$AJ$1001,MATCH(ROWS($AH$2:AH359),$AH$2:$AH$1001,0),0), INDEX($AO$1004:$BQ$1004,1,MATCH(COLUMNS($AO$1006:BH1006),$AO$1006:$BQ$1006,0)))),"Fix")))</f>
        <v>#N/A</v>
      </c>
      <c r="V359" s="5" t="e">
        <f ca="1">IF(OR(INDEX($AI$2:$AI$1001,MATCH(ROWS($AH$2:AH359),$AH$2:$AH$1001,0),1)&gt;=100000,INDEX($AO$1005:$BQ$1005,1,MATCH(COLUMNS($AO$1006:BI1006),$AO$1006:$BQ$1006,0))&gt;=100000), " ",IF(INDEX($AO$2:$BQ$1001,MATCH(ROWS($AH$2:AH359),$AH$2:$AH$1001,0),MATCH(COLUMNS($AO$1006:BI1006),$AO$1006:$BQ$1006,0)), HYPERLINK("#",""), HYPERLINK(CONCATENATE("#Metadata!", ADDRESS(INDEX($AJ$2:$AJ$1001,MATCH(ROWS($AH$2:AH359),$AH$2:$AH$1001,0),0), INDEX($AO$1004:$BQ$1004,1,MATCH(COLUMNS($AO$1006:BI1006),$AO$1006:$BQ$1006,0)))),"Fix")))</f>
        <v>#N/A</v>
      </c>
      <c r="W359" s="5" t="e">
        <f ca="1">IF(OR(INDEX($AI$2:$AI$1001,MATCH(ROWS($AH$2:AH359),$AH$2:$AH$1001,0),1)&gt;=100000,INDEX($AO$1005:$BQ$1005,1,MATCH(COLUMNS($AO$1006:BJ1006),$AO$1006:$BQ$1006,0))&gt;=100000), " ",IF(INDEX($AO$2:$BQ$1001,MATCH(ROWS($AH$2:AH359),$AH$2:$AH$1001,0),MATCH(COLUMNS($AO$1006:BJ1006),$AO$1006:$BQ$1006,0)), HYPERLINK("#",""), HYPERLINK(CONCATENATE("#Metadata!", ADDRESS(INDEX($AJ$2:$AJ$1001,MATCH(ROWS($AH$2:AH359),$AH$2:$AH$1001,0),0), INDEX($AO$1004:$BQ$1004,1,MATCH(COLUMNS($AO$1006:BJ1006),$AO$1006:$BQ$1006,0)))),"Fix")))</f>
        <v>#N/A</v>
      </c>
      <c r="X359" s="5" t="e">
        <f ca="1">IF(OR(INDEX($AI$2:$AI$1001,MATCH(ROWS($AH$2:AH359),$AH$2:$AH$1001,0),1)&gt;=100000,INDEX($AO$1005:$BQ$1005,1,MATCH(COLUMNS($AO$1006:BK1006),$AO$1006:$BQ$1006,0))&gt;=100000), " ",IF(INDEX($AO$2:$BQ$1001,MATCH(ROWS($AH$2:AH359),$AH$2:$AH$1001,0),MATCH(COLUMNS($AO$1006:BK1006),$AO$1006:$BQ$1006,0)), HYPERLINK("#",""), HYPERLINK(CONCATENATE("#Metadata!", ADDRESS(INDEX($AJ$2:$AJ$1001,MATCH(ROWS($AH$2:AH359),$AH$2:$AH$1001,0),0), INDEX($AO$1004:$BQ$1004,1,MATCH(COLUMNS($AO$1006:BK1006),$AO$1006:$BQ$1006,0)))),"Fix")))</f>
        <v>#N/A</v>
      </c>
      <c r="Y359" s="5" t="e">
        <f ca="1">IF(OR(INDEX($AI$2:$AI$1001,MATCH(ROWS($AH$2:AH359),$AH$2:$AH$1001,0),1)&gt;=100000,INDEX($AO$1005:$BQ$1005,1,MATCH(COLUMNS($AO$1006:BL1006),$AO$1006:$BQ$1006,0))&gt;=100000), " ",IF(INDEX($AO$2:$BQ$1001,MATCH(ROWS($AH$2:AH359),$AH$2:$AH$1001,0),MATCH(COLUMNS($AO$1006:BL1006),$AO$1006:$BQ$1006,0)), HYPERLINK("#",""), HYPERLINK(CONCATENATE("#Metadata!", ADDRESS(INDEX($AJ$2:$AJ$1001,MATCH(ROWS($AH$2:AH359),$AH$2:$AH$1001,0),0), INDEX($AO$1004:$BQ$1004,1,MATCH(COLUMNS($AO$1006:BL1006),$AO$1006:$BQ$1006,0)))),"Fix")))</f>
        <v>#N/A</v>
      </c>
      <c r="Z359" s="5" t="e">
        <f ca="1">IF(OR(INDEX($AI$2:$AI$1001,MATCH(ROWS($AH$2:AH359),$AH$2:$AH$1001,0),1)&gt;=100000,INDEX($AO$1005:$BQ$1005,1,MATCH(COLUMNS($AO$1006:BM1006),$AO$1006:$BQ$1006,0))&gt;=100000), " ",IF(INDEX($AO$2:$BQ$1001,MATCH(ROWS($AH$2:AH359),$AH$2:$AH$1001,0),MATCH(COLUMNS($AO$1006:BM1006),$AO$1006:$BQ$1006,0)), HYPERLINK("#",""), HYPERLINK(CONCATENATE("#Metadata!", ADDRESS(INDEX($AJ$2:$AJ$1001,MATCH(ROWS($AH$2:AH359),$AH$2:$AH$1001,0),0), INDEX($AO$1004:$BQ$1004,1,MATCH(COLUMNS($AO$1006:BM1006),$AO$1006:$BQ$1006,0)))),"Fix")))</f>
        <v>#N/A</v>
      </c>
      <c r="AA359" s="5" t="e">
        <f ca="1">IF(OR(INDEX($AI$2:$AI$1001,MATCH(ROWS($AH$2:AH359),$AH$2:$AH$1001,0),1)&gt;=100000,INDEX($AO$1005:$BQ$1005,1,MATCH(COLUMNS($AO$1006:BN1006),$AO$1006:$BQ$1006,0))&gt;=100000), " ",IF(INDEX($AO$2:$BQ$1001,MATCH(ROWS($AH$2:AH359),$AH$2:$AH$1001,0),MATCH(COLUMNS($AO$1006:BN1006),$AO$1006:$BQ$1006,0)), HYPERLINK("#",""), HYPERLINK(CONCATENATE("#Metadata!", ADDRESS(INDEX($AJ$2:$AJ$1001,MATCH(ROWS($AH$2:AH359),$AH$2:$AH$1001,0),0), INDEX($AO$1004:$BQ$1004,1,MATCH(COLUMNS($AO$1006:BN1006),$AO$1006:$BQ$1006,0)))),"Fix")))</f>
        <v>#N/A</v>
      </c>
      <c r="AB359" s="5" t="e">
        <f ca="1">IF(OR(INDEX($AI$2:$AI$1001,MATCH(ROWS($AH$2:AH359),$AH$2:$AH$1001,0),1)&gt;=100000,INDEX($AO$1005:$BQ$1005,1,MATCH(COLUMNS($AO$1006:BO1006),$AO$1006:$BQ$1006,0))&gt;=100000), " ",IF(INDEX($AO$2:$BQ$1001,MATCH(ROWS($AH$2:AH359),$AH$2:$AH$1001,0),MATCH(COLUMNS($AO$1006:BO1006),$AO$1006:$BQ$1006,0)), HYPERLINK("#",""), HYPERLINK(CONCATENATE("#Metadata!", ADDRESS(INDEX($AJ$2:$AJ$1001,MATCH(ROWS($AH$2:AH359),$AH$2:$AH$1001,0),0), INDEX($AO$1004:$BQ$1004,1,MATCH(COLUMNS($AO$1006:BO1006),$AO$1006:$BQ$1006,0)))),"Fix")))</f>
        <v>#N/A</v>
      </c>
      <c r="AC359" s="5" t="e">
        <f ca="1">IF(OR(INDEX($AI$2:$AI$1001,MATCH(ROWS($AH$2:AH359),$AH$2:$AH$1001,0),1)&gt;=100000,INDEX($AO$1005:$BQ$1005,1,MATCH(COLUMNS($AO$1006:BP1006),$AO$1006:$BQ$1006,0))&gt;=100000), " ",IF(INDEX($AO$2:$BQ$1001,MATCH(ROWS($AH$2:AH359),$AH$2:$AH$1001,0),MATCH(COLUMNS($AO$1006:BP1006),$AO$1006:$BQ$1006,0)), HYPERLINK("#",""), HYPERLINK(CONCATENATE("#Metadata!", ADDRESS(INDEX($AJ$2:$AJ$1001,MATCH(ROWS($AH$2:AH359),$AH$2:$AH$1001,0),0), INDEX($AO$1004:$BQ$1004,1,MATCH(COLUMNS($AO$1006:BP1006),$AO$1006:$BQ$1006,0)))),"Fix")))</f>
        <v>#N/A</v>
      </c>
      <c r="AD359" s="5" t="e">
        <f ca="1">IF(OR(INDEX($AI$2:$AI$1001,MATCH(ROWS($AH$2:AH359),$AH$2:$AH$1001,0),1)&gt;=100000,INDEX($AO$1005:$BQ$1005,1,MATCH(COLUMNS($AO$1006:BQ1006),$AO$1006:$BQ$1006,0))&gt;=100000), " ",IF(INDEX($AO$2:$BQ$1001,MATCH(ROWS($AH$2:AH359),$AH$2:$AH$1001,0),MATCH(COLUMNS($AO$1006:BQ1006),$AO$1006:$BQ$1006,0)), HYPERLINK("#",""), HYPERLINK(CONCATENATE("#Metadata!", ADDRESS(INDEX($AJ$2:$AJ$1001,MATCH(ROWS($AH$2:AH359),$AH$2:$AH$1001,0),0), INDEX($AO$1004:$BQ$1004,1,MATCH(COLUMNS($AO$1006:BQ1006),$AO$1006:$BQ$1006,0)))),"Fix")))</f>
        <v>#REF!</v>
      </c>
      <c r="AH359">
        <f ca="1"/>
        <v>356</v>
      </c>
      <c r="AI359">
        <v>100359</v>
      </c>
      <c r="AJ359">
        <v>359</v>
      </c>
      <c r="AK359" t="b">
        <f t="shared" si="5"/>
        <v>1</v>
      </c>
      <c r="AL359" t="b">
        <f>COUNTBLANK(Metadata!B359:AD359)=COLUMNS(Metadata!B359:AD359)</f>
        <v>1</v>
      </c>
      <c r="AM359" t="str">
        <v/>
      </c>
      <c r="AO359" t="b">
        <f ca="1">AND(IF(Metadata!B359="",FALSE,TRUE),COUNTIF(Metadata!B:B, Metadata!B359) = 1,NOT(ISERROR(SUMPRODUCT(SEARCH(MID(Metadata!B359,ROW(INDIRECT("1:"&amp;LEN(Metadata!B359))), 1),"0123456789abcdefghijklmnopqrstuvwxyzABCDEFGHIJKLMNOPQRSTUVWXYZ.")))))</f>
        <v>0</v>
      </c>
      <c r="AP359" t="b">
        <f>IF(Metadata!C359="",FALSE,TRUE)</f>
        <v>0</v>
      </c>
      <c r="AQ359" t="b">
        <f>IF(Metadata!D359="",FALSE,TRUE)</f>
        <v>0</v>
      </c>
      <c r="AR359" t="b">
        <f ca="1">OR(AND(IF(Metadata!E359="",FALSE,TRUE),OR(EXACT(Metadata!E359,"not collected"),EXACT(Metadata!E359,"not provided"),EXACT(Metadata!E359,"restricted access"))),AND(IF(Metadata!E359="",FALSE,TRUE),AND(AND(IFERROR(INT(LEFT(Metadata!E359,4))&gt;1900,FALSE),IFERROR(INT(LEFT(Metadata!E359,4))&lt;=YEAR(NOW()),FALSE)), OR(MID(Metadata!E359,5,1)="", AND(AND(MID(Metadata!E359,5,1)="-",IFERROR(INT(MID(Metadata!E359,6,1))&gt;=0,FALSE),IFERROR(INT(MID(Metadata!E359,6,1))&lt;=1,FALSE),NOT(MID(Metadata!E359,7,1)=""),IFERROR(INT(MID(Metadata!E359,6,2))&gt;=1,FALSE),IFERROR(INT(MID(Metadata!E359,6,2))&lt;=12,FALSE)), OR(MID(Metadata!E359,8,1)="", AND(AND(MID(Metadata!E359,8,1)="-",IFERROR(INT(MID(Metadata!E359,9,1))&gt;=0,FALSE),IFERROR(INT(MID(Metadata!E359,9,1))&lt;=3,FALSE),NOT(MID(Metadata!E359,10,1)=""),IFERROR(INT(MID(Metadata!E359,9,2))&gt;=1,FALSE),IFERROR(INT(MID(Metadata!E359,9,2))&lt;=31,FALSE)), OR(MID(Metadata!E359,11,1)="", AND(AND(MID(Metadata!E359,11,1)=" ",IFERROR(INT(MID(Metadata!E359,12,1))&gt;=0,FALSE),IFERROR(INT(MID(Metadata!E359,12,1))&lt;=2,FALSE),NOT(MID(Metadata!E359,13,1)=""),IFERROR(INT(MID(Metadata!E359,12,2))&gt;=0,FALSE),IFERROR(INT(MID(Metadata!E359,12,2))&lt;=23,FALSE)), OR(MID(Metadata!E359,14,1)="", AND(AND(MID(Metadata!E359,14,1)=":",IFERROR(INT(MID(Metadata!E359,15,1))&gt;=0,FALSE),IFERROR(INT(MID(Metadata!E359,15,1))&lt;=5,FALSE),NOT(MID(Metadata!E359,16,1)=""),IFERROR(INT(MID(Metadata!E359,15,2))&gt;=0,FALSE),IFERROR(INT(MID(Metadata!E359,15,2))&lt;=59,FALSE)), OR(MID(Metadata!E359,17,1)="", AND(AND(MID(Metadata!E359,17,1)=":",IFERROR(INT(MID(Metadata!E359,18,1))&gt;=0,FALSE),IFERROR(INT(MID(Metadata!E359,18,1))&lt;=5,FALSE),NOT(MID(Metadata!E359,19,1)=""),IFERROR(INT(MID(Metadata!E359,18,2))&gt;=0,FALSE),IFERROR(INT(MID(Metadata!E359,18,2))&lt;=59,FALSE)), LEN(Metadata!E359)&lt;=19)))))))))))))</f>
        <v>0</v>
      </c>
      <c r="AS359" t="b">
        <f>IF(Metadata!F359="",FALSE,TRUE)</f>
        <v>0</v>
      </c>
      <c r="AT359" t="b">
        <f>OR(AND(IF(Metadata!G359="",FALSE,TRUE),OR(EXACT(Metadata!G359,"not collected"),EXACT(Metadata!G359,"not provided"))),AND(IF(Metadata!G359="",FALSE,TRUE),OR(EXACT(Metadata!G359,"TRUE"),EXACT(Metadata!G359,"FALSE"))))</f>
        <v>0</v>
      </c>
      <c r="AU359" t="b">
        <f>OR(AND(IF(Metadata!H359="",FALSE,TRUE),OR(EXACT(Metadata!H359,"not collected"),EXACT(Metadata!H359,"not provided"),EXACT(Metadata!H359,"restricted access"))),AND(IF(Metadata!H359="",FALSE,ISNUMBER(VALUE(Metadata!H359))),Metadata!H359&gt;=-413))</f>
        <v>0</v>
      </c>
      <c r="AV359" t="b">
        <f>AND(IF(Metadata!I359="",FALSE,TRUE),EXACT(Metadata!I359,"meters"))</f>
        <v>0</v>
      </c>
      <c r="AW359" t="b">
        <f>AND(IF(Metadata!J359="",FALSE,TRUE),EXACT(Metadata!J359,"free-living"))</f>
        <v>0</v>
      </c>
      <c r="AX359" t="b">
        <f>AND(IF(Metadata!K359="",FALSE,TRUE),OR(EXACT(Metadata!K359,"saline"),EXACT(Metadata!K359,"non-saline")))</f>
        <v>0</v>
      </c>
      <c r="AY359" t="b">
        <f>AND(IF(Metadata!L359="",FALSE,TRUE),OR(EXACT(Metadata!L359,"sub-surface (non-saline)"),EXACT(Metadata!L359,"surface (non-saline)"),EXACT(Metadata!L359,"water (non-saline)"),EXACT(Metadata!L359,"soil (non-saline)"),EXACT(Metadata!L359,"aerosol (non-saline)"),EXACT(Metadata!L359,"sediment (non-saline)"),EXACT(Metadata!L359,"surface (saline)"),EXACT(Metadata!L359,"water (saline)"),EXACT(Metadata!L359,"hypersaline (saline)"),EXACT(Metadata!L359,"aerosol (saline)"),EXACT(Metadata!L359,"sediment (saline)")))</f>
        <v>0</v>
      </c>
      <c r="AZ359" t="b">
        <f>IF(Metadata!M359="",FALSE,TRUE)</f>
        <v>0</v>
      </c>
      <c r="BA359" t="b">
        <f>IF(Metadata!N359="",FALSE,TRUE)</f>
        <v>0</v>
      </c>
      <c r="BB359" t="b">
        <f>IF(Metadata!O359="",FALSE,TRUE)</f>
        <v>0</v>
      </c>
      <c r="BC359" t="b">
        <f>AND(IF(Metadata!P359="",FALSE,TRUE),OR(EXACT(Metadata!P359,"air"),EXACT(Metadata!P359,"microbial mat/biofilm"),EXACT(Metadata!P359,"misc environment"),EXACT(Metadata!P359,"sediment"),EXACT(Metadata!P359,"soil"),EXACT(Metadata!P359,"wastewater/sludge"),EXACT(Metadata!P359,"water")))</f>
        <v>0</v>
      </c>
      <c r="BD359" t="b">
        <f>IF(Metadata!Q359="",FALSE,TRUE)</f>
        <v>0</v>
      </c>
      <c r="BE359" t="b">
        <f>IF(Metadata!R359="",FALSE,TRUE)</f>
        <v>0</v>
      </c>
      <c r="BF359" t="b">
        <f>OR(AND(IF(Metadata!S359="",FALSE,TRUE),OR(EXACT(Metadata!S359,"not collected"),EXACT(Metadata!S359,"not provided"),EXACT(Metadata!S359,"restricted access"))),AND(IF(Metadata!S359="",FALSE,ISNUMBER(VALUE(Metadata!S359))),Metadata!S359&gt;=-90,Metadata!S359&lt;=90))</f>
        <v>0</v>
      </c>
      <c r="BG359" t="b">
        <f>AND(IF(Metadata!T359="",FALSE,TRUE),EXACT(Metadata!T359,"Decimal degrees"))</f>
        <v>0</v>
      </c>
      <c r="BH359" t="b">
        <f>OR(AND(IF(Metadata!U359="",FALSE,TRUE),OR(EXACT(Metadata!U359,"not applicable"),EXACT(Metadata!U359,"not collected"))),IF(Metadata!U359="",FALSE,TRUE))</f>
        <v>0</v>
      </c>
      <c r="BI359" t="b">
        <f>OR(AND(IF(Metadata!V359="",FALSE,TRUE),OR(EXACT(Metadata!V359,"not collected"),EXACT(Metadata!V359,"not provided"),EXACT(Metadata!V359,"restricted access"))),AND(IF(Metadata!V359="",FALSE,ISNUMBER(VALUE(Metadata!V359))),Metadata!V359&gt;=-180,Metadata!V359&lt;=180))</f>
        <v>0</v>
      </c>
      <c r="BJ359" t="b">
        <f>AND(IF(Metadata!W359="",FALSE,TRUE),EXACT(Metadata!W359,"Decimal degrees"))</f>
        <v>0</v>
      </c>
      <c r="BK359" t="b">
        <f>IF(Metadata!X359="",FALSE,TRUE)</f>
        <v>0</v>
      </c>
      <c r="BL359" t="b">
        <f>OR(AND(IF(Metadata!Y359="",FALSE,TRUE),OR(EXACT(Metadata!Y359,"not collected"),EXACT(Metadata!Y359,"not provided"),EXACT(Metadata!Y359,"restricted access"))),AND(IF(Metadata!Y359="",FALSE,TRUE),OR(EXACT(Metadata!Y359,"TRUE"),EXACT(Metadata!Y359,"FALSE"))))</f>
        <v>0</v>
      </c>
      <c r="BM359" t="b">
        <f>OR(AND(IF(Metadata!Z359="",FALSE,TRUE),EXACT(Metadata!Z359,"not applicable")),AND(IF(Metadata!Z359="",FALSE,TRUE),OR(EXACT(Metadata!Z359,"beer"),EXACT(Metadata!Z359,"cheese"),EXACT(Metadata!Z359,"fresh water"),EXACT(Metadata!Z359,"marine sediment"),EXACT(Metadata!Z359,"sea water"),EXACT(Metadata!Z359,"sediment"),EXACT(Metadata!Z359,"soil"),EXACT(Metadata!Z359,"waste water"))))</f>
        <v>0</v>
      </c>
      <c r="BN359" t="b">
        <f>AND(IF(Metadata!AA359="",FALSE,TRUE),EXACT(Metadata!AA359,"metagenome"))</f>
        <v>0</v>
      </c>
      <c r="BO359" t="b">
        <f>AND(IF(Metadata!AB359="",FALSE,TRUE),EXACT(Metadata!AB359,"256318"))</f>
        <v>0</v>
      </c>
      <c r="BP359" t="b">
        <f>IF(Metadata!AC359="",FALSE,TRUE)</f>
        <v>0</v>
      </c>
      <c r="BQ359" t="b">
        <f>IF(Metadata!AD359="",FALSE,TRUE)</f>
        <v>0</v>
      </c>
    </row>
    <row r="360" spans="1:69" x14ac:dyDescent="0.2">
      <c r="A360" s="4" t="e">
        <f ca="1">IF(B360=" "," ",HYPERLINK(CONCATENATE("#metadata!",ADDRESS(INDEX($AJ$2:$AJ$1001,MATCH(ROWS($AH$2:AH360),$AH$2:$AH$1001,0),0),2)),INDEX($AM$2:$AM$1001,MATCH(ROWS($AH$2:AH360),$AH$2:$AH$1001,0),0)))</f>
        <v>#N/A</v>
      </c>
      <c r="B360" s="5" t="e">
        <f ca="1">IF(OR(INDEX($AI$2:$AI$1001,MATCH(ROWS($AH$2:AH360),$AH$2:$AH$1001,0),1)&gt;=100000,INDEX($AO$1005:$BQ$1005,1,MATCH(COLUMNS($AO$1006:AO1006),$AO$1006:$BQ$1006,0))&gt;=100000), " ",IF(INDEX($AO$2:$BQ$1001,MATCH(ROWS($AH$2:AH360),$AH$2:$AH$1001,0),MATCH(COLUMNS($AO$1006:AO1006),$AO$1006:$BQ$1006,0)), HYPERLINK("#",""), HYPERLINK(CONCATENATE("#Metadata!", ADDRESS(INDEX($AJ$2:$AJ$1001,MATCH(ROWS($AH$2:AH360),$AH$2:$AH$1001,0),0), INDEX($AO$1004:$BQ$1004,1,MATCH(COLUMNS($AO$1006:AO1006),$AO$1006:$BQ$1006,0)))),"Fix")))</f>
        <v>#N/A</v>
      </c>
      <c r="C360" s="5" t="e">
        <f ca="1">IF(OR(INDEX($AI$2:$AI$1001,MATCH(ROWS($AH$2:AH360),$AH$2:$AH$1001,0),1)&gt;=100000,INDEX($AO$1005:$BQ$1005,1,MATCH(COLUMNS($AO$1006:AP1006),$AO$1006:$BQ$1006,0))&gt;=100000), " ",IF(INDEX($AO$2:$BQ$1001,MATCH(ROWS($AH$2:AH360),$AH$2:$AH$1001,0),MATCH(COLUMNS($AO$1006:AP1006),$AO$1006:$BQ$1006,0)), HYPERLINK("#",""), HYPERLINK(CONCATENATE("#Metadata!", ADDRESS(INDEX($AJ$2:$AJ$1001,MATCH(ROWS($AH$2:AH360),$AH$2:$AH$1001,0),0), INDEX($AO$1004:$BQ$1004,1,MATCH(COLUMNS($AO$1006:AP1006),$AO$1006:$BQ$1006,0)))),"Fix")))</f>
        <v>#N/A</v>
      </c>
      <c r="D360" s="5" t="e">
        <f ca="1">IF(OR(INDEX($AI$2:$AI$1001,MATCH(ROWS($AH$2:AH360),$AH$2:$AH$1001,0),1)&gt;=100000,INDEX($AO$1005:$BQ$1005,1,MATCH(COLUMNS($AO$1006:AQ1006),$AO$1006:$BQ$1006,0))&gt;=100000), " ",IF(INDEX($AO$2:$BQ$1001,MATCH(ROWS($AH$2:AH360),$AH$2:$AH$1001,0),MATCH(COLUMNS($AO$1006:AQ1006),$AO$1006:$BQ$1006,0)), HYPERLINK("#",""), HYPERLINK(CONCATENATE("#Metadata!", ADDRESS(INDEX($AJ$2:$AJ$1001,MATCH(ROWS($AH$2:AH360),$AH$2:$AH$1001,0),0), INDEX($AO$1004:$BQ$1004,1,MATCH(COLUMNS($AO$1006:AQ1006),$AO$1006:$BQ$1006,0)))),"Fix")))</f>
        <v>#N/A</v>
      </c>
      <c r="E360" s="5" t="e">
        <f ca="1">IF(OR(INDEX($AI$2:$AI$1001,MATCH(ROWS($AH$2:AH360),$AH$2:$AH$1001,0),1)&gt;=100000,INDEX($AO$1005:$BQ$1005,1,MATCH(COLUMNS($AO$1006:AR1006),$AO$1006:$BQ$1006,0))&gt;=100000), " ",IF(INDEX($AO$2:$BQ$1001,MATCH(ROWS($AH$2:AH360),$AH$2:$AH$1001,0),MATCH(COLUMNS($AO$1006:AR1006),$AO$1006:$BQ$1006,0)), HYPERLINK("#",""), HYPERLINK(CONCATENATE("#Metadata!", ADDRESS(INDEX($AJ$2:$AJ$1001,MATCH(ROWS($AH$2:AH360),$AH$2:$AH$1001,0),0), INDEX($AO$1004:$BQ$1004,1,MATCH(COLUMNS($AO$1006:AR1006),$AO$1006:$BQ$1006,0)))),"Fix")))</f>
        <v>#N/A</v>
      </c>
      <c r="F360" s="5" t="e">
        <f ca="1">IF(OR(INDEX($AI$2:$AI$1001,MATCH(ROWS($AH$2:AH360),$AH$2:$AH$1001,0),1)&gt;=100000,INDEX($AO$1005:$BQ$1005,1,MATCH(COLUMNS($AO$1006:AS1006),$AO$1006:$BQ$1006,0))&gt;=100000), " ",IF(INDEX($AO$2:$BQ$1001,MATCH(ROWS($AH$2:AH360),$AH$2:$AH$1001,0),MATCH(COLUMNS($AO$1006:AS1006),$AO$1006:$BQ$1006,0)), HYPERLINK("#",""), HYPERLINK(CONCATENATE("#Metadata!", ADDRESS(INDEX($AJ$2:$AJ$1001,MATCH(ROWS($AH$2:AH360),$AH$2:$AH$1001,0),0), INDEX($AO$1004:$BQ$1004,1,MATCH(COLUMNS($AO$1006:AS1006),$AO$1006:$BQ$1006,0)))),"Fix")))</f>
        <v>#N/A</v>
      </c>
      <c r="G360" s="5" t="e">
        <f ca="1">IF(OR(INDEX($AI$2:$AI$1001,MATCH(ROWS($AH$2:AH360),$AH$2:$AH$1001,0),1)&gt;=100000,INDEX($AO$1005:$BQ$1005,1,MATCH(COLUMNS($AO$1006:AT1006),$AO$1006:$BQ$1006,0))&gt;=100000), " ",IF(INDEX($AO$2:$BQ$1001,MATCH(ROWS($AH$2:AH360),$AH$2:$AH$1001,0),MATCH(COLUMNS($AO$1006:AT1006),$AO$1006:$BQ$1006,0)), HYPERLINK("#",""), HYPERLINK(CONCATENATE("#Metadata!", ADDRESS(INDEX($AJ$2:$AJ$1001,MATCH(ROWS($AH$2:AH360),$AH$2:$AH$1001,0),0), INDEX($AO$1004:$BQ$1004,1,MATCH(COLUMNS($AO$1006:AT1006),$AO$1006:$BQ$1006,0)))),"Fix")))</f>
        <v>#N/A</v>
      </c>
      <c r="H360" s="5" t="e">
        <f ca="1">IF(OR(INDEX($AI$2:$AI$1001,MATCH(ROWS($AH$2:AH360),$AH$2:$AH$1001,0),1)&gt;=100000,INDEX($AO$1005:$BQ$1005,1,MATCH(COLUMNS($AO$1006:AU1006),$AO$1006:$BQ$1006,0))&gt;=100000), " ",IF(INDEX($AO$2:$BQ$1001,MATCH(ROWS($AH$2:AH360),$AH$2:$AH$1001,0),MATCH(COLUMNS($AO$1006:AU1006),$AO$1006:$BQ$1006,0)), HYPERLINK("#",""), HYPERLINK(CONCATENATE("#Metadata!", ADDRESS(INDEX($AJ$2:$AJ$1001,MATCH(ROWS($AH$2:AH360),$AH$2:$AH$1001,0),0), INDEX($AO$1004:$BQ$1004,1,MATCH(COLUMNS($AO$1006:AU1006),$AO$1006:$BQ$1006,0)))),"Fix")))</f>
        <v>#N/A</v>
      </c>
      <c r="I360" s="5" t="e">
        <f ca="1">IF(OR(INDEX($AI$2:$AI$1001,MATCH(ROWS($AH$2:AH360),$AH$2:$AH$1001,0),1)&gt;=100000,INDEX($AO$1005:$BQ$1005,1,MATCH(COLUMNS($AO$1006:AV1006),$AO$1006:$BQ$1006,0))&gt;=100000), " ",IF(INDEX($AO$2:$BQ$1001,MATCH(ROWS($AH$2:AH360),$AH$2:$AH$1001,0),MATCH(COLUMNS($AO$1006:AV1006),$AO$1006:$BQ$1006,0)), HYPERLINK("#",""), HYPERLINK(CONCATENATE("#Metadata!", ADDRESS(INDEX($AJ$2:$AJ$1001,MATCH(ROWS($AH$2:AH360),$AH$2:$AH$1001,0),0), INDEX($AO$1004:$BQ$1004,1,MATCH(COLUMNS($AO$1006:AV1006),$AO$1006:$BQ$1006,0)))),"Fix")))</f>
        <v>#N/A</v>
      </c>
      <c r="J360" s="5" t="e">
        <f ca="1">IF(OR(INDEX($AI$2:$AI$1001,MATCH(ROWS($AH$2:AH360),$AH$2:$AH$1001,0),1)&gt;=100000,INDEX($AO$1005:$BQ$1005,1,MATCH(COLUMNS($AO$1006:AW1006),$AO$1006:$BQ$1006,0))&gt;=100000), " ",IF(INDEX($AO$2:$BQ$1001,MATCH(ROWS($AH$2:AH360),$AH$2:$AH$1001,0),MATCH(COLUMNS($AO$1006:AW1006),$AO$1006:$BQ$1006,0)), HYPERLINK("#",""), HYPERLINK(CONCATENATE("#Metadata!", ADDRESS(INDEX($AJ$2:$AJ$1001,MATCH(ROWS($AH$2:AH360),$AH$2:$AH$1001,0),0), INDEX($AO$1004:$BQ$1004,1,MATCH(COLUMNS($AO$1006:AW1006),$AO$1006:$BQ$1006,0)))),"Fix")))</f>
        <v>#N/A</v>
      </c>
      <c r="K360" s="5" t="e">
        <f ca="1">IF(OR(INDEX($AI$2:$AI$1001,MATCH(ROWS($AH$2:AH360),$AH$2:$AH$1001,0),1)&gt;=100000,INDEX($AO$1005:$BQ$1005,1,MATCH(COLUMNS($AO$1006:AX1006),$AO$1006:$BQ$1006,0))&gt;=100000), " ",IF(INDEX($AO$2:$BQ$1001,MATCH(ROWS($AH$2:AH360),$AH$2:$AH$1001,0),MATCH(COLUMNS($AO$1006:AX1006),$AO$1006:$BQ$1006,0)), HYPERLINK("#",""), HYPERLINK(CONCATENATE("#Metadata!", ADDRESS(INDEX($AJ$2:$AJ$1001,MATCH(ROWS($AH$2:AH360),$AH$2:$AH$1001,0),0), INDEX($AO$1004:$BQ$1004,1,MATCH(COLUMNS($AO$1006:AX1006),$AO$1006:$BQ$1006,0)))),"Fix")))</f>
        <v>#N/A</v>
      </c>
      <c r="L360" s="5" t="e">
        <f ca="1">IF(OR(INDEX($AI$2:$AI$1001,MATCH(ROWS($AH$2:AH360),$AH$2:$AH$1001,0),1)&gt;=100000,INDEX($AO$1005:$BQ$1005,1,MATCH(COLUMNS($AO$1006:AY1006),$AO$1006:$BQ$1006,0))&gt;=100000), " ",IF(INDEX($AO$2:$BQ$1001,MATCH(ROWS($AH$2:AH360),$AH$2:$AH$1001,0),MATCH(COLUMNS($AO$1006:AY1006),$AO$1006:$BQ$1006,0)), HYPERLINK("#",""), HYPERLINK(CONCATENATE("#Metadata!", ADDRESS(INDEX($AJ$2:$AJ$1001,MATCH(ROWS($AH$2:AH360),$AH$2:$AH$1001,0),0), INDEX($AO$1004:$BQ$1004,1,MATCH(COLUMNS($AO$1006:AY1006),$AO$1006:$BQ$1006,0)))),"Fix")))</f>
        <v>#N/A</v>
      </c>
      <c r="M360" s="5" t="e">
        <f ca="1">IF(OR(INDEX($AI$2:$AI$1001,MATCH(ROWS($AH$2:AH360),$AH$2:$AH$1001,0),1)&gt;=100000,INDEX($AO$1005:$BQ$1005,1,MATCH(COLUMNS($AO$1006:AZ1006),$AO$1006:$BQ$1006,0))&gt;=100000), " ",IF(INDEX($AO$2:$BQ$1001,MATCH(ROWS($AH$2:AH360),$AH$2:$AH$1001,0),MATCH(COLUMNS($AO$1006:AZ1006),$AO$1006:$BQ$1006,0)), HYPERLINK("#",""), HYPERLINK(CONCATENATE("#Metadata!", ADDRESS(INDEX($AJ$2:$AJ$1001,MATCH(ROWS($AH$2:AH360),$AH$2:$AH$1001,0),0), INDEX($AO$1004:$BQ$1004,1,MATCH(COLUMNS($AO$1006:AZ1006),$AO$1006:$BQ$1006,0)))),"Fix")))</f>
        <v>#N/A</v>
      </c>
      <c r="N360" s="5" t="e">
        <f ca="1">IF(OR(INDEX($AI$2:$AI$1001,MATCH(ROWS($AH$2:AH360),$AH$2:$AH$1001,0),1)&gt;=100000,INDEX($AO$1005:$BQ$1005,1,MATCH(COLUMNS($AO$1006:BA1006),$AO$1006:$BQ$1006,0))&gt;=100000), " ",IF(INDEX($AO$2:$BQ$1001,MATCH(ROWS($AH$2:AH360),$AH$2:$AH$1001,0),MATCH(COLUMNS($AO$1006:BA1006),$AO$1006:$BQ$1006,0)), HYPERLINK("#",""), HYPERLINK(CONCATENATE("#Metadata!", ADDRESS(INDEX($AJ$2:$AJ$1001,MATCH(ROWS($AH$2:AH360),$AH$2:$AH$1001,0),0), INDEX($AO$1004:$BQ$1004,1,MATCH(COLUMNS($AO$1006:BA1006),$AO$1006:$BQ$1006,0)))),"Fix")))</f>
        <v>#N/A</v>
      </c>
      <c r="O360" s="5" t="e">
        <f ca="1">IF(OR(INDEX($AI$2:$AI$1001,MATCH(ROWS($AH$2:AH360),$AH$2:$AH$1001,0),1)&gt;=100000,INDEX($AO$1005:$BQ$1005,1,MATCH(COLUMNS($AO$1006:BB1006),$AO$1006:$BQ$1006,0))&gt;=100000), " ",IF(INDEX($AO$2:$BQ$1001,MATCH(ROWS($AH$2:AH360),$AH$2:$AH$1001,0),MATCH(COLUMNS($AO$1006:BB1006),$AO$1006:$BQ$1006,0)), HYPERLINK("#",""), HYPERLINK(CONCATENATE("#Metadata!", ADDRESS(INDEX($AJ$2:$AJ$1001,MATCH(ROWS($AH$2:AH360),$AH$2:$AH$1001,0),0), INDEX($AO$1004:$BQ$1004,1,MATCH(COLUMNS($AO$1006:BB1006),$AO$1006:$BQ$1006,0)))),"Fix")))</f>
        <v>#N/A</v>
      </c>
      <c r="P360" s="5" t="e">
        <f ca="1">IF(OR(INDEX($AI$2:$AI$1001,MATCH(ROWS($AH$2:AH360),$AH$2:$AH$1001,0),1)&gt;=100000,INDEX($AO$1005:$BQ$1005,1,MATCH(COLUMNS($AO$1006:BC1006),$AO$1006:$BQ$1006,0))&gt;=100000), " ",IF(INDEX($AO$2:$BQ$1001,MATCH(ROWS($AH$2:AH360),$AH$2:$AH$1001,0),MATCH(COLUMNS($AO$1006:BC1006),$AO$1006:$BQ$1006,0)), HYPERLINK("#",""), HYPERLINK(CONCATENATE("#Metadata!", ADDRESS(INDEX($AJ$2:$AJ$1001,MATCH(ROWS($AH$2:AH360),$AH$2:$AH$1001,0),0), INDEX($AO$1004:$BQ$1004,1,MATCH(COLUMNS($AO$1006:BC1006),$AO$1006:$BQ$1006,0)))),"Fix")))</f>
        <v>#N/A</v>
      </c>
      <c r="Q360" s="5" t="e">
        <f ca="1">IF(OR(INDEX($AI$2:$AI$1001,MATCH(ROWS($AH$2:AH360),$AH$2:$AH$1001,0),1)&gt;=100000,INDEX($AO$1005:$BQ$1005,1,MATCH(COLUMNS($AO$1006:BD1006),$AO$1006:$BQ$1006,0))&gt;=100000), " ",IF(INDEX($AO$2:$BQ$1001,MATCH(ROWS($AH$2:AH360),$AH$2:$AH$1001,0),MATCH(COLUMNS($AO$1006:BD1006),$AO$1006:$BQ$1006,0)), HYPERLINK("#",""), HYPERLINK(CONCATENATE("#Metadata!", ADDRESS(INDEX($AJ$2:$AJ$1001,MATCH(ROWS($AH$2:AH360),$AH$2:$AH$1001,0),0), INDEX($AO$1004:$BQ$1004,1,MATCH(COLUMNS($AO$1006:BD1006),$AO$1006:$BQ$1006,0)))),"Fix")))</f>
        <v>#N/A</v>
      </c>
      <c r="R360" s="5" t="e">
        <f ca="1">IF(OR(INDEX($AI$2:$AI$1001,MATCH(ROWS($AH$2:AH360),$AH$2:$AH$1001,0),1)&gt;=100000,INDEX($AO$1005:$BQ$1005,1,MATCH(COLUMNS($AO$1006:BE1006),$AO$1006:$BQ$1006,0))&gt;=100000), " ",IF(INDEX($AO$2:$BQ$1001,MATCH(ROWS($AH$2:AH360),$AH$2:$AH$1001,0),MATCH(COLUMNS($AO$1006:BE1006),$AO$1006:$BQ$1006,0)), HYPERLINK("#",""), HYPERLINK(CONCATENATE("#Metadata!", ADDRESS(INDEX($AJ$2:$AJ$1001,MATCH(ROWS($AH$2:AH360),$AH$2:$AH$1001,0),0), INDEX($AO$1004:$BQ$1004,1,MATCH(COLUMNS($AO$1006:BE1006),$AO$1006:$BQ$1006,0)))),"Fix")))</f>
        <v>#N/A</v>
      </c>
      <c r="S360" s="5" t="e">
        <f ca="1">IF(OR(INDEX($AI$2:$AI$1001,MATCH(ROWS($AH$2:AH360),$AH$2:$AH$1001,0),1)&gt;=100000,INDEX($AO$1005:$BQ$1005,1,MATCH(COLUMNS($AO$1006:BF1006),$AO$1006:$BQ$1006,0))&gt;=100000), " ",IF(INDEX($AO$2:$BQ$1001,MATCH(ROWS($AH$2:AH360),$AH$2:$AH$1001,0),MATCH(COLUMNS($AO$1006:BF1006),$AO$1006:$BQ$1006,0)), HYPERLINK("#",""), HYPERLINK(CONCATENATE("#Metadata!", ADDRESS(INDEX($AJ$2:$AJ$1001,MATCH(ROWS($AH$2:AH360),$AH$2:$AH$1001,0),0), INDEX($AO$1004:$BQ$1004,1,MATCH(COLUMNS($AO$1006:BF1006),$AO$1006:$BQ$1006,0)))),"Fix")))</f>
        <v>#N/A</v>
      </c>
      <c r="T360" s="5" t="e">
        <f ca="1">IF(OR(INDEX($AI$2:$AI$1001,MATCH(ROWS($AH$2:AH360),$AH$2:$AH$1001,0),1)&gt;=100000,INDEX($AO$1005:$BQ$1005,1,MATCH(COLUMNS($AO$1006:BG1006),$AO$1006:$BQ$1006,0))&gt;=100000), " ",IF(INDEX($AO$2:$BQ$1001,MATCH(ROWS($AH$2:AH360),$AH$2:$AH$1001,0),MATCH(COLUMNS($AO$1006:BG1006),$AO$1006:$BQ$1006,0)), HYPERLINK("#",""), HYPERLINK(CONCATENATE("#Metadata!", ADDRESS(INDEX($AJ$2:$AJ$1001,MATCH(ROWS($AH$2:AH360),$AH$2:$AH$1001,0),0), INDEX($AO$1004:$BQ$1004,1,MATCH(COLUMNS($AO$1006:BG1006),$AO$1006:$BQ$1006,0)))),"Fix")))</f>
        <v>#N/A</v>
      </c>
      <c r="U360" s="5" t="e">
        <f ca="1">IF(OR(INDEX($AI$2:$AI$1001,MATCH(ROWS($AH$2:AH360),$AH$2:$AH$1001,0),1)&gt;=100000,INDEX($AO$1005:$BQ$1005,1,MATCH(COLUMNS($AO$1006:BH1006),$AO$1006:$BQ$1006,0))&gt;=100000), " ",IF(INDEX($AO$2:$BQ$1001,MATCH(ROWS($AH$2:AH360),$AH$2:$AH$1001,0),MATCH(COLUMNS($AO$1006:BH1006),$AO$1006:$BQ$1006,0)), HYPERLINK("#",""), HYPERLINK(CONCATENATE("#Metadata!", ADDRESS(INDEX($AJ$2:$AJ$1001,MATCH(ROWS($AH$2:AH360),$AH$2:$AH$1001,0),0), INDEX($AO$1004:$BQ$1004,1,MATCH(COLUMNS($AO$1006:BH1006),$AO$1006:$BQ$1006,0)))),"Fix")))</f>
        <v>#N/A</v>
      </c>
      <c r="V360" s="5" t="e">
        <f ca="1">IF(OR(INDEX($AI$2:$AI$1001,MATCH(ROWS($AH$2:AH360),$AH$2:$AH$1001,0),1)&gt;=100000,INDEX($AO$1005:$BQ$1005,1,MATCH(COLUMNS($AO$1006:BI1006),$AO$1006:$BQ$1006,0))&gt;=100000), " ",IF(INDEX($AO$2:$BQ$1001,MATCH(ROWS($AH$2:AH360),$AH$2:$AH$1001,0),MATCH(COLUMNS($AO$1006:BI1006),$AO$1006:$BQ$1006,0)), HYPERLINK("#",""), HYPERLINK(CONCATENATE("#Metadata!", ADDRESS(INDEX($AJ$2:$AJ$1001,MATCH(ROWS($AH$2:AH360),$AH$2:$AH$1001,0),0), INDEX($AO$1004:$BQ$1004,1,MATCH(COLUMNS($AO$1006:BI1006),$AO$1006:$BQ$1006,0)))),"Fix")))</f>
        <v>#N/A</v>
      </c>
      <c r="W360" s="5" t="e">
        <f ca="1">IF(OR(INDEX($AI$2:$AI$1001,MATCH(ROWS($AH$2:AH360),$AH$2:$AH$1001,0),1)&gt;=100000,INDEX($AO$1005:$BQ$1005,1,MATCH(COLUMNS($AO$1006:BJ1006),$AO$1006:$BQ$1006,0))&gt;=100000), " ",IF(INDEX($AO$2:$BQ$1001,MATCH(ROWS($AH$2:AH360),$AH$2:$AH$1001,0),MATCH(COLUMNS($AO$1006:BJ1006),$AO$1006:$BQ$1006,0)), HYPERLINK("#",""), HYPERLINK(CONCATENATE("#Metadata!", ADDRESS(INDEX($AJ$2:$AJ$1001,MATCH(ROWS($AH$2:AH360),$AH$2:$AH$1001,0),0), INDEX($AO$1004:$BQ$1004,1,MATCH(COLUMNS($AO$1006:BJ1006),$AO$1006:$BQ$1006,0)))),"Fix")))</f>
        <v>#N/A</v>
      </c>
      <c r="X360" s="5" t="e">
        <f ca="1">IF(OR(INDEX($AI$2:$AI$1001,MATCH(ROWS($AH$2:AH360),$AH$2:$AH$1001,0),1)&gt;=100000,INDEX($AO$1005:$BQ$1005,1,MATCH(COLUMNS($AO$1006:BK1006),$AO$1006:$BQ$1006,0))&gt;=100000), " ",IF(INDEX($AO$2:$BQ$1001,MATCH(ROWS($AH$2:AH360),$AH$2:$AH$1001,0),MATCH(COLUMNS($AO$1006:BK1006),$AO$1006:$BQ$1006,0)), HYPERLINK("#",""), HYPERLINK(CONCATENATE("#Metadata!", ADDRESS(INDEX($AJ$2:$AJ$1001,MATCH(ROWS($AH$2:AH360),$AH$2:$AH$1001,0),0), INDEX($AO$1004:$BQ$1004,1,MATCH(COLUMNS($AO$1006:BK1006),$AO$1006:$BQ$1006,0)))),"Fix")))</f>
        <v>#N/A</v>
      </c>
      <c r="Y360" s="5" t="e">
        <f ca="1">IF(OR(INDEX($AI$2:$AI$1001,MATCH(ROWS($AH$2:AH360),$AH$2:$AH$1001,0),1)&gt;=100000,INDEX($AO$1005:$BQ$1005,1,MATCH(COLUMNS($AO$1006:BL1006),$AO$1006:$BQ$1006,0))&gt;=100000), " ",IF(INDEX($AO$2:$BQ$1001,MATCH(ROWS($AH$2:AH360),$AH$2:$AH$1001,0),MATCH(COLUMNS($AO$1006:BL1006),$AO$1006:$BQ$1006,0)), HYPERLINK("#",""), HYPERLINK(CONCATENATE("#Metadata!", ADDRESS(INDEX($AJ$2:$AJ$1001,MATCH(ROWS($AH$2:AH360),$AH$2:$AH$1001,0),0), INDEX($AO$1004:$BQ$1004,1,MATCH(COLUMNS($AO$1006:BL1006),$AO$1006:$BQ$1006,0)))),"Fix")))</f>
        <v>#N/A</v>
      </c>
      <c r="Z360" s="5" t="e">
        <f ca="1">IF(OR(INDEX($AI$2:$AI$1001,MATCH(ROWS($AH$2:AH360),$AH$2:$AH$1001,0),1)&gt;=100000,INDEX($AO$1005:$BQ$1005,1,MATCH(COLUMNS($AO$1006:BM1006),$AO$1006:$BQ$1006,0))&gt;=100000), " ",IF(INDEX($AO$2:$BQ$1001,MATCH(ROWS($AH$2:AH360),$AH$2:$AH$1001,0),MATCH(COLUMNS($AO$1006:BM1006),$AO$1006:$BQ$1006,0)), HYPERLINK("#",""), HYPERLINK(CONCATENATE("#Metadata!", ADDRESS(INDEX($AJ$2:$AJ$1001,MATCH(ROWS($AH$2:AH360),$AH$2:$AH$1001,0),0), INDEX($AO$1004:$BQ$1004,1,MATCH(COLUMNS($AO$1006:BM1006),$AO$1006:$BQ$1006,0)))),"Fix")))</f>
        <v>#N/A</v>
      </c>
      <c r="AA360" s="5" t="e">
        <f ca="1">IF(OR(INDEX($AI$2:$AI$1001,MATCH(ROWS($AH$2:AH360),$AH$2:$AH$1001,0),1)&gt;=100000,INDEX($AO$1005:$BQ$1005,1,MATCH(COLUMNS($AO$1006:BN1006),$AO$1006:$BQ$1006,0))&gt;=100000), " ",IF(INDEX($AO$2:$BQ$1001,MATCH(ROWS($AH$2:AH360),$AH$2:$AH$1001,0),MATCH(COLUMNS($AO$1006:BN1006),$AO$1006:$BQ$1006,0)), HYPERLINK("#",""), HYPERLINK(CONCATENATE("#Metadata!", ADDRESS(INDEX($AJ$2:$AJ$1001,MATCH(ROWS($AH$2:AH360),$AH$2:$AH$1001,0),0), INDEX($AO$1004:$BQ$1004,1,MATCH(COLUMNS($AO$1006:BN1006),$AO$1006:$BQ$1006,0)))),"Fix")))</f>
        <v>#N/A</v>
      </c>
      <c r="AB360" s="5" t="e">
        <f ca="1">IF(OR(INDEX($AI$2:$AI$1001,MATCH(ROWS($AH$2:AH360),$AH$2:$AH$1001,0),1)&gt;=100000,INDEX($AO$1005:$BQ$1005,1,MATCH(COLUMNS($AO$1006:BO1006),$AO$1006:$BQ$1006,0))&gt;=100000), " ",IF(INDEX($AO$2:$BQ$1001,MATCH(ROWS($AH$2:AH360),$AH$2:$AH$1001,0),MATCH(COLUMNS($AO$1006:BO1006),$AO$1006:$BQ$1006,0)), HYPERLINK("#",""), HYPERLINK(CONCATENATE("#Metadata!", ADDRESS(INDEX($AJ$2:$AJ$1001,MATCH(ROWS($AH$2:AH360),$AH$2:$AH$1001,0),0), INDEX($AO$1004:$BQ$1004,1,MATCH(COLUMNS($AO$1006:BO1006),$AO$1006:$BQ$1006,0)))),"Fix")))</f>
        <v>#N/A</v>
      </c>
      <c r="AC360" s="5" t="e">
        <f ca="1">IF(OR(INDEX($AI$2:$AI$1001,MATCH(ROWS($AH$2:AH360),$AH$2:$AH$1001,0),1)&gt;=100000,INDEX($AO$1005:$BQ$1005,1,MATCH(COLUMNS($AO$1006:BP1006),$AO$1006:$BQ$1006,0))&gt;=100000), " ",IF(INDEX($AO$2:$BQ$1001,MATCH(ROWS($AH$2:AH360),$AH$2:$AH$1001,0),MATCH(COLUMNS($AO$1006:BP1006),$AO$1006:$BQ$1006,0)), HYPERLINK("#",""), HYPERLINK(CONCATENATE("#Metadata!", ADDRESS(INDEX($AJ$2:$AJ$1001,MATCH(ROWS($AH$2:AH360),$AH$2:$AH$1001,0),0), INDEX($AO$1004:$BQ$1004,1,MATCH(COLUMNS($AO$1006:BP1006),$AO$1006:$BQ$1006,0)))),"Fix")))</f>
        <v>#N/A</v>
      </c>
      <c r="AD360" s="5" t="e">
        <f ca="1">IF(OR(INDEX($AI$2:$AI$1001,MATCH(ROWS($AH$2:AH360),$AH$2:$AH$1001,0),1)&gt;=100000,INDEX($AO$1005:$BQ$1005,1,MATCH(COLUMNS($AO$1006:BQ1006),$AO$1006:$BQ$1006,0))&gt;=100000), " ",IF(INDEX($AO$2:$BQ$1001,MATCH(ROWS($AH$2:AH360),$AH$2:$AH$1001,0),MATCH(COLUMNS($AO$1006:BQ1006),$AO$1006:$BQ$1006,0)), HYPERLINK("#",""), HYPERLINK(CONCATENATE("#Metadata!", ADDRESS(INDEX($AJ$2:$AJ$1001,MATCH(ROWS($AH$2:AH360),$AH$2:$AH$1001,0),0), INDEX($AO$1004:$BQ$1004,1,MATCH(COLUMNS($AO$1006:BQ1006),$AO$1006:$BQ$1006,0)))),"Fix")))</f>
        <v>#REF!</v>
      </c>
      <c r="AH360">
        <f ca="1"/>
        <v>357</v>
      </c>
      <c r="AI360">
        <v>100360</v>
      </c>
      <c r="AJ360">
        <v>360</v>
      </c>
      <c r="AK360" t="b">
        <f t="shared" si="5"/>
        <v>1</v>
      </c>
      <c r="AL360" t="b">
        <f>COUNTBLANK(Metadata!B360:AD360)=COLUMNS(Metadata!B360:AD360)</f>
        <v>1</v>
      </c>
      <c r="AM360" t="str">
        <v/>
      </c>
      <c r="AO360" t="b">
        <f ca="1">AND(IF(Metadata!B360="",FALSE,TRUE),COUNTIF(Metadata!B:B, Metadata!B360) = 1,NOT(ISERROR(SUMPRODUCT(SEARCH(MID(Metadata!B360,ROW(INDIRECT("1:"&amp;LEN(Metadata!B360))), 1),"0123456789abcdefghijklmnopqrstuvwxyzABCDEFGHIJKLMNOPQRSTUVWXYZ.")))))</f>
        <v>0</v>
      </c>
      <c r="AP360" t="b">
        <f>IF(Metadata!C360="",FALSE,TRUE)</f>
        <v>0</v>
      </c>
      <c r="AQ360" t="b">
        <f>IF(Metadata!D360="",FALSE,TRUE)</f>
        <v>0</v>
      </c>
      <c r="AR360" t="b">
        <f ca="1">OR(AND(IF(Metadata!E360="",FALSE,TRUE),OR(EXACT(Metadata!E360,"not collected"),EXACT(Metadata!E360,"not provided"),EXACT(Metadata!E360,"restricted access"))),AND(IF(Metadata!E360="",FALSE,TRUE),AND(AND(IFERROR(INT(LEFT(Metadata!E360,4))&gt;1900,FALSE),IFERROR(INT(LEFT(Metadata!E360,4))&lt;=YEAR(NOW()),FALSE)), OR(MID(Metadata!E360,5,1)="", AND(AND(MID(Metadata!E360,5,1)="-",IFERROR(INT(MID(Metadata!E360,6,1))&gt;=0,FALSE),IFERROR(INT(MID(Metadata!E360,6,1))&lt;=1,FALSE),NOT(MID(Metadata!E360,7,1)=""),IFERROR(INT(MID(Metadata!E360,6,2))&gt;=1,FALSE),IFERROR(INT(MID(Metadata!E360,6,2))&lt;=12,FALSE)), OR(MID(Metadata!E360,8,1)="", AND(AND(MID(Metadata!E360,8,1)="-",IFERROR(INT(MID(Metadata!E360,9,1))&gt;=0,FALSE),IFERROR(INT(MID(Metadata!E360,9,1))&lt;=3,FALSE),NOT(MID(Metadata!E360,10,1)=""),IFERROR(INT(MID(Metadata!E360,9,2))&gt;=1,FALSE),IFERROR(INT(MID(Metadata!E360,9,2))&lt;=31,FALSE)), OR(MID(Metadata!E360,11,1)="", AND(AND(MID(Metadata!E360,11,1)=" ",IFERROR(INT(MID(Metadata!E360,12,1))&gt;=0,FALSE),IFERROR(INT(MID(Metadata!E360,12,1))&lt;=2,FALSE),NOT(MID(Metadata!E360,13,1)=""),IFERROR(INT(MID(Metadata!E360,12,2))&gt;=0,FALSE),IFERROR(INT(MID(Metadata!E360,12,2))&lt;=23,FALSE)), OR(MID(Metadata!E360,14,1)="", AND(AND(MID(Metadata!E360,14,1)=":",IFERROR(INT(MID(Metadata!E360,15,1))&gt;=0,FALSE),IFERROR(INT(MID(Metadata!E360,15,1))&lt;=5,FALSE),NOT(MID(Metadata!E360,16,1)=""),IFERROR(INT(MID(Metadata!E360,15,2))&gt;=0,FALSE),IFERROR(INT(MID(Metadata!E360,15,2))&lt;=59,FALSE)), OR(MID(Metadata!E360,17,1)="", AND(AND(MID(Metadata!E360,17,1)=":",IFERROR(INT(MID(Metadata!E360,18,1))&gt;=0,FALSE),IFERROR(INT(MID(Metadata!E360,18,1))&lt;=5,FALSE),NOT(MID(Metadata!E360,19,1)=""),IFERROR(INT(MID(Metadata!E360,18,2))&gt;=0,FALSE),IFERROR(INT(MID(Metadata!E360,18,2))&lt;=59,FALSE)), LEN(Metadata!E360)&lt;=19)))))))))))))</f>
        <v>0</v>
      </c>
      <c r="AS360" t="b">
        <f>IF(Metadata!F360="",FALSE,TRUE)</f>
        <v>0</v>
      </c>
      <c r="AT360" t="b">
        <f>OR(AND(IF(Metadata!G360="",FALSE,TRUE),OR(EXACT(Metadata!G360,"not collected"),EXACT(Metadata!G360,"not provided"))),AND(IF(Metadata!G360="",FALSE,TRUE),OR(EXACT(Metadata!G360,"TRUE"),EXACT(Metadata!G360,"FALSE"))))</f>
        <v>0</v>
      </c>
      <c r="AU360" t="b">
        <f>OR(AND(IF(Metadata!H360="",FALSE,TRUE),OR(EXACT(Metadata!H360,"not collected"),EXACT(Metadata!H360,"not provided"),EXACT(Metadata!H360,"restricted access"))),AND(IF(Metadata!H360="",FALSE,ISNUMBER(VALUE(Metadata!H360))),Metadata!H360&gt;=-413))</f>
        <v>0</v>
      </c>
      <c r="AV360" t="b">
        <f>AND(IF(Metadata!I360="",FALSE,TRUE),EXACT(Metadata!I360,"meters"))</f>
        <v>0</v>
      </c>
      <c r="AW360" t="b">
        <f>AND(IF(Metadata!J360="",FALSE,TRUE),EXACT(Metadata!J360,"free-living"))</f>
        <v>0</v>
      </c>
      <c r="AX360" t="b">
        <f>AND(IF(Metadata!K360="",FALSE,TRUE),OR(EXACT(Metadata!K360,"saline"),EXACT(Metadata!K360,"non-saline")))</f>
        <v>0</v>
      </c>
      <c r="AY360" t="b">
        <f>AND(IF(Metadata!L360="",FALSE,TRUE),OR(EXACT(Metadata!L360,"sub-surface (non-saline)"),EXACT(Metadata!L360,"surface (non-saline)"),EXACT(Metadata!L360,"water (non-saline)"),EXACT(Metadata!L360,"soil (non-saline)"),EXACT(Metadata!L360,"aerosol (non-saline)"),EXACT(Metadata!L360,"sediment (non-saline)"),EXACT(Metadata!L360,"surface (saline)"),EXACT(Metadata!L360,"water (saline)"),EXACT(Metadata!L360,"hypersaline (saline)"),EXACT(Metadata!L360,"aerosol (saline)"),EXACT(Metadata!L360,"sediment (saline)")))</f>
        <v>0</v>
      </c>
      <c r="AZ360" t="b">
        <f>IF(Metadata!M360="",FALSE,TRUE)</f>
        <v>0</v>
      </c>
      <c r="BA360" t="b">
        <f>IF(Metadata!N360="",FALSE,TRUE)</f>
        <v>0</v>
      </c>
      <c r="BB360" t="b">
        <f>IF(Metadata!O360="",FALSE,TRUE)</f>
        <v>0</v>
      </c>
      <c r="BC360" t="b">
        <f>AND(IF(Metadata!P360="",FALSE,TRUE),OR(EXACT(Metadata!P360,"air"),EXACT(Metadata!P360,"microbial mat/biofilm"),EXACT(Metadata!P360,"misc environment"),EXACT(Metadata!P360,"sediment"),EXACT(Metadata!P360,"soil"),EXACT(Metadata!P360,"wastewater/sludge"),EXACT(Metadata!P360,"water")))</f>
        <v>0</v>
      </c>
      <c r="BD360" t="b">
        <f>IF(Metadata!Q360="",FALSE,TRUE)</f>
        <v>0</v>
      </c>
      <c r="BE360" t="b">
        <f>IF(Metadata!R360="",FALSE,TRUE)</f>
        <v>0</v>
      </c>
      <c r="BF360" t="b">
        <f>OR(AND(IF(Metadata!S360="",FALSE,TRUE),OR(EXACT(Metadata!S360,"not collected"),EXACT(Metadata!S360,"not provided"),EXACT(Metadata!S360,"restricted access"))),AND(IF(Metadata!S360="",FALSE,ISNUMBER(VALUE(Metadata!S360))),Metadata!S360&gt;=-90,Metadata!S360&lt;=90))</f>
        <v>0</v>
      </c>
      <c r="BG360" t="b">
        <f>AND(IF(Metadata!T360="",FALSE,TRUE),EXACT(Metadata!T360,"Decimal degrees"))</f>
        <v>0</v>
      </c>
      <c r="BH360" t="b">
        <f>OR(AND(IF(Metadata!U360="",FALSE,TRUE),OR(EXACT(Metadata!U360,"not applicable"),EXACT(Metadata!U360,"not collected"))),IF(Metadata!U360="",FALSE,TRUE))</f>
        <v>0</v>
      </c>
      <c r="BI360" t="b">
        <f>OR(AND(IF(Metadata!V360="",FALSE,TRUE),OR(EXACT(Metadata!V360,"not collected"),EXACT(Metadata!V360,"not provided"),EXACT(Metadata!V360,"restricted access"))),AND(IF(Metadata!V360="",FALSE,ISNUMBER(VALUE(Metadata!V360))),Metadata!V360&gt;=-180,Metadata!V360&lt;=180))</f>
        <v>0</v>
      </c>
      <c r="BJ360" t="b">
        <f>AND(IF(Metadata!W360="",FALSE,TRUE),EXACT(Metadata!W360,"Decimal degrees"))</f>
        <v>0</v>
      </c>
      <c r="BK360" t="b">
        <f>IF(Metadata!X360="",FALSE,TRUE)</f>
        <v>0</v>
      </c>
      <c r="BL360" t="b">
        <f>OR(AND(IF(Metadata!Y360="",FALSE,TRUE),OR(EXACT(Metadata!Y360,"not collected"),EXACT(Metadata!Y360,"not provided"),EXACT(Metadata!Y360,"restricted access"))),AND(IF(Metadata!Y360="",FALSE,TRUE),OR(EXACT(Metadata!Y360,"TRUE"),EXACT(Metadata!Y360,"FALSE"))))</f>
        <v>0</v>
      </c>
      <c r="BM360" t="b">
        <f>OR(AND(IF(Metadata!Z360="",FALSE,TRUE),EXACT(Metadata!Z360,"not applicable")),AND(IF(Metadata!Z360="",FALSE,TRUE),OR(EXACT(Metadata!Z360,"beer"),EXACT(Metadata!Z360,"cheese"),EXACT(Metadata!Z360,"fresh water"),EXACT(Metadata!Z360,"marine sediment"),EXACT(Metadata!Z360,"sea water"),EXACT(Metadata!Z360,"sediment"),EXACT(Metadata!Z360,"soil"),EXACT(Metadata!Z360,"waste water"))))</f>
        <v>0</v>
      </c>
      <c r="BN360" t="b">
        <f>AND(IF(Metadata!AA360="",FALSE,TRUE),EXACT(Metadata!AA360,"metagenome"))</f>
        <v>0</v>
      </c>
      <c r="BO360" t="b">
        <f>AND(IF(Metadata!AB360="",FALSE,TRUE),EXACT(Metadata!AB360,"256318"))</f>
        <v>0</v>
      </c>
      <c r="BP360" t="b">
        <f>IF(Metadata!AC360="",FALSE,TRUE)</f>
        <v>0</v>
      </c>
      <c r="BQ360" t="b">
        <f>IF(Metadata!AD360="",FALSE,TRUE)</f>
        <v>0</v>
      </c>
    </row>
    <row r="361" spans="1:69" x14ac:dyDescent="0.2">
      <c r="A361" s="4" t="e">
        <f ca="1">IF(B361=" "," ",HYPERLINK(CONCATENATE("#metadata!",ADDRESS(INDEX($AJ$2:$AJ$1001,MATCH(ROWS($AH$2:AH361),$AH$2:$AH$1001,0),0),2)),INDEX($AM$2:$AM$1001,MATCH(ROWS($AH$2:AH361),$AH$2:$AH$1001,0),0)))</f>
        <v>#N/A</v>
      </c>
      <c r="B361" s="5" t="e">
        <f ca="1">IF(OR(INDEX($AI$2:$AI$1001,MATCH(ROWS($AH$2:AH361),$AH$2:$AH$1001,0),1)&gt;=100000,INDEX($AO$1005:$BQ$1005,1,MATCH(COLUMNS($AO$1006:AO1006),$AO$1006:$BQ$1006,0))&gt;=100000), " ",IF(INDEX($AO$2:$BQ$1001,MATCH(ROWS($AH$2:AH361),$AH$2:$AH$1001,0),MATCH(COLUMNS($AO$1006:AO1006),$AO$1006:$BQ$1006,0)), HYPERLINK("#",""), HYPERLINK(CONCATENATE("#Metadata!", ADDRESS(INDEX($AJ$2:$AJ$1001,MATCH(ROWS($AH$2:AH361),$AH$2:$AH$1001,0),0), INDEX($AO$1004:$BQ$1004,1,MATCH(COLUMNS($AO$1006:AO1006),$AO$1006:$BQ$1006,0)))),"Fix")))</f>
        <v>#N/A</v>
      </c>
      <c r="C361" s="5" t="e">
        <f ca="1">IF(OR(INDEX($AI$2:$AI$1001,MATCH(ROWS($AH$2:AH361),$AH$2:$AH$1001,0),1)&gt;=100000,INDEX($AO$1005:$BQ$1005,1,MATCH(COLUMNS($AO$1006:AP1006),$AO$1006:$BQ$1006,0))&gt;=100000), " ",IF(INDEX($AO$2:$BQ$1001,MATCH(ROWS($AH$2:AH361),$AH$2:$AH$1001,0),MATCH(COLUMNS($AO$1006:AP1006),$AO$1006:$BQ$1006,0)), HYPERLINK("#",""), HYPERLINK(CONCATENATE("#Metadata!", ADDRESS(INDEX($AJ$2:$AJ$1001,MATCH(ROWS($AH$2:AH361),$AH$2:$AH$1001,0),0), INDEX($AO$1004:$BQ$1004,1,MATCH(COLUMNS($AO$1006:AP1006),$AO$1006:$BQ$1006,0)))),"Fix")))</f>
        <v>#N/A</v>
      </c>
      <c r="D361" s="5" t="e">
        <f ca="1">IF(OR(INDEX($AI$2:$AI$1001,MATCH(ROWS($AH$2:AH361),$AH$2:$AH$1001,0),1)&gt;=100000,INDEX($AO$1005:$BQ$1005,1,MATCH(COLUMNS($AO$1006:AQ1006),$AO$1006:$BQ$1006,0))&gt;=100000), " ",IF(INDEX($AO$2:$BQ$1001,MATCH(ROWS($AH$2:AH361),$AH$2:$AH$1001,0),MATCH(COLUMNS($AO$1006:AQ1006),$AO$1006:$BQ$1006,0)), HYPERLINK("#",""), HYPERLINK(CONCATENATE("#Metadata!", ADDRESS(INDEX($AJ$2:$AJ$1001,MATCH(ROWS($AH$2:AH361),$AH$2:$AH$1001,0),0), INDEX($AO$1004:$BQ$1004,1,MATCH(COLUMNS($AO$1006:AQ1006),$AO$1006:$BQ$1006,0)))),"Fix")))</f>
        <v>#N/A</v>
      </c>
      <c r="E361" s="5" t="e">
        <f ca="1">IF(OR(INDEX($AI$2:$AI$1001,MATCH(ROWS($AH$2:AH361),$AH$2:$AH$1001,0),1)&gt;=100000,INDEX($AO$1005:$BQ$1005,1,MATCH(COLUMNS($AO$1006:AR1006),$AO$1006:$BQ$1006,0))&gt;=100000), " ",IF(INDEX($AO$2:$BQ$1001,MATCH(ROWS($AH$2:AH361),$AH$2:$AH$1001,0),MATCH(COLUMNS($AO$1006:AR1006),$AO$1006:$BQ$1006,0)), HYPERLINK("#",""), HYPERLINK(CONCATENATE("#Metadata!", ADDRESS(INDEX($AJ$2:$AJ$1001,MATCH(ROWS($AH$2:AH361),$AH$2:$AH$1001,0),0), INDEX($AO$1004:$BQ$1004,1,MATCH(COLUMNS($AO$1006:AR1006),$AO$1006:$BQ$1006,0)))),"Fix")))</f>
        <v>#N/A</v>
      </c>
      <c r="F361" s="5" t="e">
        <f ca="1">IF(OR(INDEX($AI$2:$AI$1001,MATCH(ROWS($AH$2:AH361),$AH$2:$AH$1001,0),1)&gt;=100000,INDEX($AO$1005:$BQ$1005,1,MATCH(COLUMNS($AO$1006:AS1006),$AO$1006:$BQ$1006,0))&gt;=100000), " ",IF(INDEX($AO$2:$BQ$1001,MATCH(ROWS($AH$2:AH361),$AH$2:$AH$1001,0),MATCH(COLUMNS($AO$1006:AS1006),$AO$1006:$BQ$1006,0)), HYPERLINK("#",""), HYPERLINK(CONCATENATE("#Metadata!", ADDRESS(INDEX($AJ$2:$AJ$1001,MATCH(ROWS($AH$2:AH361),$AH$2:$AH$1001,0),0), INDEX($AO$1004:$BQ$1004,1,MATCH(COLUMNS($AO$1006:AS1006),$AO$1006:$BQ$1006,0)))),"Fix")))</f>
        <v>#N/A</v>
      </c>
      <c r="G361" s="5" t="e">
        <f ca="1">IF(OR(INDEX($AI$2:$AI$1001,MATCH(ROWS($AH$2:AH361),$AH$2:$AH$1001,0),1)&gt;=100000,INDEX($AO$1005:$BQ$1005,1,MATCH(COLUMNS($AO$1006:AT1006),$AO$1006:$BQ$1006,0))&gt;=100000), " ",IF(INDEX($AO$2:$BQ$1001,MATCH(ROWS($AH$2:AH361),$AH$2:$AH$1001,0),MATCH(COLUMNS($AO$1006:AT1006),$AO$1006:$BQ$1006,0)), HYPERLINK("#",""), HYPERLINK(CONCATENATE("#Metadata!", ADDRESS(INDEX($AJ$2:$AJ$1001,MATCH(ROWS($AH$2:AH361),$AH$2:$AH$1001,0),0), INDEX($AO$1004:$BQ$1004,1,MATCH(COLUMNS($AO$1006:AT1006),$AO$1006:$BQ$1006,0)))),"Fix")))</f>
        <v>#N/A</v>
      </c>
      <c r="H361" s="5" t="e">
        <f ca="1">IF(OR(INDEX($AI$2:$AI$1001,MATCH(ROWS($AH$2:AH361),$AH$2:$AH$1001,0),1)&gt;=100000,INDEX($AO$1005:$BQ$1005,1,MATCH(COLUMNS($AO$1006:AU1006),$AO$1006:$BQ$1006,0))&gt;=100000), " ",IF(INDEX($AO$2:$BQ$1001,MATCH(ROWS($AH$2:AH361),$AH$2:$AH$1001,0),MATCH(COLUMNS($AO$1006:AU1006),$AO$1006:$BQ$1006,0)), HYPERLINK("#",""), HYPERLINK(CONCATENATE("#Metadata!", ADDRESS(INDEX($AJ$2:$AJ$1001,MATCH(ROWS($AH$2:AH361),$AH$2:$AH$1001,0),0), INDEX($AO$1004:$BQ$1004,1,MATCH(COLUMNS($AO$1006:AU1006),$AO$1006:$BQ$1006,0)))),"Fix")))</f>
        <v>#N/A</v>
      </c>
      <c r="I361" s="5" t="e">
        <f ca="1">IF(OR(INDEX($AI$2:$AI$1001,MATCH(ROWS($AH$2:AH361),$AH$2:$AH$1001,0),1)&gt;=100000,INDEX($AO$1005:$BQ$1005,1,MATCH(COLUMNS($AO$1006:AV1006),$AO$1006:$BQ$1006,0))&gt;=100000), " ",IF(INDEX($AO$2:$BQ$1001,MATCH(ROWS($AH$2:AH361),$AH$2:$AH$1001,0),MATCH(COLUMNS($AO$1006:AV1006),$AO$1006:$BQ$1006,0)), HYPERLINK("#",""), HYPERLINK(CONCATENATE("#Metadata!", ADDRESS(INDEX($AJ$2:$AJ$1001,MATCH(ROWS($AH$2:AH361),$AH$2:$AH$1001,0),0), INDEX($AO$1004:$BQ$1004,1,MATCH(COLUMNS($AO$1006:AV1006),$AO$1006:$BQ$1006,0)))),"Fix")))</f>
        <v>#N/A</v>
      </c>
      <c r="J361" s="5" t="e">
        <f ca="1">IF(OR(INDEX($AI$2:$AI$1001,MATCH(ROWS($AH$2:AH361),$AH$2:$AH$1001,0),1)&gt;=100000,INDEX($AO$1005:$BQ$1005,1,MATCH(COLUMNS($AO$1006:AW1006),$AO$1006:$BQ$1006,0))&gt;=100000), " ",IF(INDEX($AO$2:$BQ$1001,MATCH(ROWS($AH$2:AH361),$AH$2:$AH$1001,0),MATCH(COLUMNS($AO$1006:AW1006),$AO$1006:$BQ$1006,0)), HYPERLINK("#",""), HYPERLINK(CONCATENATE("#Metadata!", ADDRESS(INDEX($AJ$2:$AJ$1001,MATCH(ROWS($AH$2:AH361),$AH$2:$AH$1001,0),0), INDEX($AO$1004:$BQ$1004,1,MATCH(COLUMNS($AO$1006:AW1006),$AO$1006:$BQ$1006,0)))),"Fix")))</f>
        <v>#N/A</v>
      </c>
      <c r="K361" s="5" t="e">
        <f ca="1">IF(OR(INDEX($AI$2:$AI$1001,MATCH(ROWS($AH$2:AH361),$AH$2:$AH$1001,0),1)&gt;=100000,INDEX($AO$1005:$BQ$1005,1,MATCH(COLUMNS($AO$1006:AX1006),$AO$1006:$BQ$1006,0))&gt;=100000), " ",IF(INDEX($AO$2:$BQ$1001,MATCH(ROWS($AH$2:AH361),$AH$2:$AH$1001,0),MATCH(COLUMNS($AO$1006:AX1006),$AO$1006:$BQ$1006,0)), HYPERLINK("#",""), HYPERLINK(CONCATENATE("#Metadata!", ADDRESS(INDEX($AJ$2:$AJ$1001,MATCH(ROWS($AH$2:AH361),$AH$2:$AH$1001,0),0), INDEX($AO$1004:$BQ$1004,1,MATCH(COLUMNS($AO$1006:AX1006),$AO$1006:$BQ$1006,0)))),"Fix")))</f>
        <v>#N/A</v>
      </c>
      <c r="L361" s="5" t="e">
        <f ca="1">IF(OR(INDEX($AI$2:$AI$1001,MATCH(ROWS($AH$2:AH361),$AH$2:$AH$1001,0),1)&gt;=100000,INDEX($AO$1005:$BQ$1005,1,MATCH(COLUMNS($AO$1006:AY1006),$AO$1006:$BQ$1006,0))&gt;=100000), " ",IF(INDEX($AO$2:$BQ$1001,MATCH(ROWS($AH$2:AH361),$AH$2:$AH$1001,0),MATCH(COLUMNS($AO$1006:AY1006),$AO$1006:$BQ$1006,0)), HYPERLINK("#",""), HYPERLINK(CONCATENATE("#Metadata!", ADDRESS(INDEX($AJ$2:$AJ$1001,MATCH(ROWS($AH$2:AH361),$AH$2:$AH$1001,0),0), INDEX($AO$1004:$BQ$1004,1,MATCH(COLUMNS($AO$1006:AY1006),$AO$1006:$BQ$1006,0)))),"Fix")))</f>
        <v>#N/A</v>
      </c>
      <c r="M361" s="5" t="e">
        <f ca="1">IF(OR(INDEX($AI$2:$AI$1001,MATCH(ROWS($AH$2:AH361),$AH$2:$AH$1001,0),1)&gt;=100000,INDEX($AO$1005:$BQ$1005,1,MATCH(COLUMNS($AO$1006:AZ1006),$AO$1006:$BQ$1006,0))&gt;=100000), " ",IF(INDEX($AO$2:$BQ$1001,MATCH(ROWS($AH$2:AH361),$AH$2:$AH$1001,0),MATCH(COLUMNS($AO$1006:AZ1006),$AO$1006:$BQ$1006,0)), HYPERLINK("#",""), HYPERLINK(CONCATENATE("#Metadata!", ADDRESS(INDEX($AJ$2:$AJ$1001,MATCH(ROWS($AH$2:AH361),$AH$2:$AH$1001,0),0), INDEX($AO$1004:$BQ$1004,1,MATCH(COLUMNS($AO$1006:AZ1006),$AO$1006:$BQ$1006,0)))),"Fix")))</f>
        <v>#N/A</v>
      </c>
      <c r="N361" s="5" t="e">
        <f ca="1">IF(OR(INDEX($AI$2:$AI$1001,MATCH(ROWS($AH$2:AH361),$AH$2:$AH$1001,0),1)&gt;=100000,INDEX($AO$1005:$BQ$1005,1,MATCH(COLUMNS($AO$1006:BA1006),$AO$1006:$BQ$1006,0))&gt;=100000), " ",IF(INDEX($AO$2:$BQ$1001,MATCH(ROWS($AH$2:AH361),$AH$2:$AH$1001,0),MATCH(COLUMNS($AO$1006:BA1006),$AO$1006:$BQ$1006,0)), HYPERLINK("#",""), HYPERLINK(CONCATENATE("#Metadata!", ADDRESS(INDEX($AJ$2:$AJ$1001,MATCH(ROWS($AH$2:AH361),$AH$2:$AH$1001,0),0), INDEX($AO$1004:$BQ$1004,1,MATCH(COLUMNS($AO$1006:BA1006),$AO$1006:$BQ$1006,0)))),"Fix")))</f>
        <v>#N/A</v>
      </c>
      <c r="O361" s="5" t="e">
        <f ca="1">IF(OR(INDEX($AI$2:$AI$1001,MATCH(ROWS($AH$2:AH361),$AH$2:$AH$1001,0),1)&gt;=100000,INDEX($AO$1005:$BQ$1005,1,MATCH(COLUMNS($AO$1006:BB1006),$AO$1006:$BQ$1006,0))&gt;=100000), " ",IF(INDEX($AO$2:$BQ$1001,MATCH(ROWS($AH$2:AH361),$AH$2:$AH$1001,0),MATCH(COLUMNS($AO$1006:BB1006),$AO$1006:$BQ$1006,0)), HYPERLINK("#",""), HYPERLINK(CONCATENATE("#Metadata!", ADDRESS(INDEX($AJ$2:$AJ$1001,MATCH(ROWS($AH$2:AH361),$AH$2:$AH$1001,0),0), INDEX($AO$1004:$BQ$1004,1,MATCH(COLUMNS($AO$1006:BB1006),$AO$1006:$BQ$1006,0)))),"Fix")))</f>
        <v>#N/A</v>
      </c>
      <c r="P361" s="5" t="e">
        <f ca="1">IF(OR(INDEX($AI$2:$AI$1001,MATCH(ROWS($AH$2:AH361),$AH$2:$AH$1001,0),1)&gt;=100000,INDEX($AO$1005:$BQ$1005,1,MATCH(COLUMNS($AO$1006:BC1006),$AO$1006:$BQ$1006,0))&gt;=100000), " ",IF(INDEX($AO$2:$BQ$1001,MATCH(ROWS($AH$2:AH361),$AH$2:$AH$1001,0),MATCH(COLUMNS($AO$1006:BC1006),$AO$1006:$BQ$1006,0)), HYPERLINK("#",""), HYPERLINK(CONCATENATE("#Metadata!", ADDRESS(INDEX($AJ$2:$AJ$1001,MATCH(ROWS($AH$2:AH361),$AH$2:$AH$1001,0),0), INDEX($AO$1004:$BQ$1004,1,MATCH(COLUMNS($AO$1006:BC1006),$AO$1006:$BQ$1006,0)))),"Fix")))</f>
        <v>#N/A</v>
      </c>
      <c r="Q361" s="5" t="e">
        <f ca="1">IF(OR(INDEX($AI$2:$AI$1001,MATCH(ROWS($AH$2:AH361),$AH$2:$AH$1001,0),1)&gt;=100000,INDEX($AO$1005:$BQ$1005,1,MATCH(COLUMNS($AO$1006:BD1006),$AO$1006:$BQ$1006,0))&gt;=100000), " ",IF(INDEX($AO$2:$BQ$1001,MATCH(ROWS($AH$2:AH361),$AH$2:$AH$1001,0),MATCH(COLUMNS($AO$1006:BD1006),$AO$1006:$BQ$1006,0)), HYPERLINK("#",""), HYPERLINK(CONCATENATE("#Metadata!", ADDRESS(INDEX($AJ$2:$AJ$1001,MATCH(ROWS($AH$2:AH361),$AH$2:$AH$1001,0),0), INDEX($AO$1004:$BQ$1004,1,MATCH(COLUMNS($AO$1006:BD1006),$AO$1006:$BQ$1006,0)))),"Fix")))</f>
        <v>#N/A</v>
      </c>
      <c r="R361" s="5" t="e">
        <f ca="1">IF(OR(INDEX($AI$2:$AI$1001,MATCH(ROWS($AH$2:AH361),$AH$2:$AH$1001,0),1)&gt;=100000,INDEX($AO$1005:$BQ$1005,1,MATCH(COLUMNS($AO$1006:BE1006),$AO$1006:$BQ$1006,0))&gt;=100000), " ",IF(INDEX($AO$2:$BQ$1001,MATCH(ROWS($AH$2:AH361),$AH$2:$AH$1001,0),MATCH(COLUMNS($AO$1006:BE1006),$AO$1006:$BQ$1006,0)), HYPERLINK("#",""), HYPERLINK(CONCATENATE("#Metadata!", ADDRESS(INDEX($AJ$2:$AJ$1001,MATCH(ROWS($AH$2:AH361),$AH$2:$AH$1001,0),0), INDEX($AO$1004:$BQ$1004,1,MATCH(COLUMNS($AO$1006:BE1006),$AO$1006:$BQ$1006,0)))),"Fix")))</f>
        <v>#N/A</v>
      </c>
      <c r="S361" s="5" t="e">
        <f ca="1">IF(OR(INDEX($AI$2:$AI$1001,MATCH(ROWS($AH$2:AH361),$AH$2:$AH$1001,0),1)&gt;=100000,INDEX($AO$1005:$BQ$1005,1,MATCH(COLUMNS($AO$1006:BF1006),$AO$1006:$BQ$1006,0))&gt;=100000), " ",IF(INDEX($AO$2:$BQ$1001,MATCH(ROWS($AH$2:AH361),$AH$2:$AH$1001,0),MATCH(COLUMNS($AO$1006:BF1006),$AO$1006:$BQ$1006,0)), HYPERLINK("#",""), HYPERLINK(CONCATENATE("#Metadata!", ADDRESS(INDEX($AJ$2:$AJ$1001,MATCH(ROWS($AH$2:AH361),$AH$2:$AH$1001,0),0), INDEX($AO$1004:$BQ$1004,1,MATCH(COLUMNS($AO$1006:BF1006),$AO$1006:$BQ$1006,0)))),"Fix")))</f>
        <v>#N/A</v>
      </c>
      <c r="T361" s="5" t="e">
        <f ca="1">IF(OR(INDEX($AI$2:$AI$1001,MATCH(ROWS($AH$2:AH361),$AH$2:$AH$1001,0),1)&gt;=100000,INDEX($AO$1005:$BQ$1005,1,MATCH(COLUMNS($AO$1006:BG1006),$AO$1006:$BQ$1006,0))&gt;=100000), " ",IF(INDEX($AO$2:$BQ$1001,MATCH(ROWS($AH$2:AH361),$AH$2:$AH$1001,0),MATCH(COLUMNS($AO$1006:BG1006),$AO$1006:$BQ$1006,0)), HYPERLINK("#",""), HYPERLINK(CONCATENATE("#Metadata!", ADDRESS(INDEX($AJ$2:$AJ$1001,MATCH(ROWS($AH$2:AH361),$AH$2:$AH$1001,0),0), INDEX($AO$1004:$BQ$1004,1,MATCH(COLUMNS($AO$1006:BG1006),$AO$1006:$BQ$1006,0)))),"Fix")))</f>
        <v>#N/A</v>
      </c>
      <c r="U361" s="5" t="e">
        <f ca="1">IF(OR(INDEX($AI$2:$AI$1001,MATCH(ROWS($AH$2:AH361),$AH$2:$AH$1001,0),1)&gt;=100000,INDEX($AO$1005:$BQ$1005,1,MATCH(COLUMNS($AO$1006:BH1006),$AO$1006:$BQ$1006,0))&gt;=100000), " ",IF(INDEX($AO$2:$BQ$1001,MATCH(ROWS($AH$2:AH361),$AH$2:$AH$1001,0),MATCH(COLUMNS($AO$1006:BH1006),$AO$1006:$BQ$1006,0)), HYPERLINK("#",""), HYPERLINK(CONCATENATE("#Metadata!", ADDRESS(INDEX($AJ$2:$AJ$1001,MATCH(ROWS($AH$2:AH361),$AH$2:$AH$1001,0),0), INDEX($AO$1004:$BQ$1004,1,MATCH(COLUMNS($AO$1006:BH1006),$AO$1006:$BQ$1006,0)))),"Fix")))</f>
        <v>#N/A</v>
      </c>
      <c r="V361" s="5" t="e">
        <f ca="1">IF(OR(INDEX($AI$2:$AI$1001,MATCH(ROWS($AH$2:AH361),$AH$2:$AH$1001,0),1)&gt;=100000,INDEX($AO$1005:$BQ$1005,1,MATCH(COLUMNS($AO$1006:BI1006),$AO$1006:$BQ$1006,0))&gt;=100000), " ",IF(INDEX($AO$2:$BQ$1001,MATCH(ROWS($AH$2:AH361),$AH$2:$AH$1001,0),MATCH(COLUMNS($AO$1006:BI1006),$AO$1006:$BQ$1006,0)), HYPERLINK("#",""), HYPERLINK(CONCATENATE("#Metadata!", ADDRESS(INDEX($AJ$2:$AJ$1001,MATCH(ROWS($AH$2:AH361),$AH$2:$AH$1001,0),0), INDEX($AO$1004:$BQ$1004,1,MATCH(COLUMNS($AO$1006:BI1006),$AO$1006:$BQ$1006,0)))),"Fix")))</f>
        <v>#N/A</v>
      </c>
      <c r="W361" s="5" t="e">
        <f ca="1">IF(OR(INDEX($AI$2:$AI$1001,MATCH(ROWS($AH$2:AH361),$AH$2:$AH$1001,0),1)&gt;=100000,INDEX($AO$1005:$BQ$1005,1,MATCH(COLUMNS($AO$1006:BJ1006),$AO$1006:$BQ$1006,0))&gt;=100000), " ",IF(INDEX($AO$2:$BQ$1001,MATCH(ROWS($AH$2:AH361),$AH$2:$AH$1001,0),MATCH(COLUMNS($AO$1006:BJ1006),$AO$1006:$BQ$1006,0)), HYPERLINK("#",""), HYPERLINK(CONCATENATE("#Metadata!", ADDRESS(INDEX($AJ$2:$AJ$1001,MATCH(ROWS($AH$2:AH361),$AH$2:$AH$1001,0),0), INDEX($AO$1004:$BQ$1004,1,MATCH(COLUMNS($AO$1006:BJ1006),$AO$1006:$BQ$1006,0)))),"Fix")))</f>
        <v>#N/A</v>
      </c>
      <c r="X361" s="5" t="e">
        <f ca="1">IF(OR(INDEX($AI$2:$AI$1001,MATCH(ROWS($AH$2:AH361),$AH$2:$AH$1001,0),1)&gt;=100000,INDEX($AO$1005:$BQ$1005,1,MATCH(COLUMNS($AO$1006:BK1006),$AO$1006:$BQ$1006,0))&gt;=100000), " ",IF(INDEX($AO$2:$BQ$1001,MATCH(ROWS($AH$2:AH361),$AH$2:$AH$1001,0),MATCH(COLUMNS($AO$1006:BK1006),$AO$1006:$BQ$1006,0)), HYPERLINK("#",""), HYPERLINK(CONCATENATE("#Metadata!", ADDRESS(INDEX($AJ$2:$AJ$1001,MATCH(ROWS($AH$2:AH361),$AH$2:$AH$1001,0),0), INDEX($AO$1004:$BQ$1004,1,MATCH(COLUMNS($AO$1006:BK1006),$AO$1006:$BQ$1006,0)))),"Fix")))</f>
        <v>#N/A</v>
      </c>
      <c r="Y361" s="5" t="e">
        <f ca="1">IF(OR(INDEX($AI$2:$AI$1001,MATCH(ROWS($AH$2:AH361),$AH$2:$AH$1001,0),1)&gt;=100000,INDEX($AO$1005:$BQ$1005,1,MATCH(COLUMNS($AO$1006:BL1006),$AO$1006:$BQ$1006,0))&gt;=100000), " ",IF(INDEX($AO$2:$BQ$1001,MATCH(ROWS($AH$2:AH361),$AH$2:$AH$1001,0),MATCH(COLUMNS($AO$1006:BL1006),$AO$1006:$BQ$1006,0)), HYPERLINK("#",""), HYPERLINK(CONCATENATE("#Metadata!", ADDRESS(INDEX($AJ$2:$AJ$1001,MATCH(ROWS($AH$2:AH361),$AH$2:$AH$1001,0),0), INDEX($AO$1004:$BQ$1004,1,MATCH(COLUMNS($AO$1006:BL1006),$AO$1006:$BQ$1006,0)))),"Fix")))</f>
        <v>#N/A</v>
      </c>
      <c r="Z361" s="5" t="e">
        <f ca="1">IF(OR(INDEX($AI$2:$AI$1001,MATCH(ROWS($AH$2:AH361),$AH$2:$AH$1001,0),1)&gt;=100000,INDEX($AO$1005:$BQ$1005,1,MATCH(COLUMNS($AO$1006:BM1006),$AO$1006:$BQ$1006,0))&gt;=100000), " ",IF(INDEX($AO$2:$BQ$1001,MATCH(ROWS($AH$2:AH361),$AH$2:$AH$1001,0),MATCH(COLUMNS($AO$1006:BM1006),$AO$1006:$BQ$1006,0)), HYPERLINK("#",""), HYPERLINK(CONCATENATE("#Metadata!", ADDRESS(INDEX($AJ$2:$AJ$1001,MATCH(ROWS($AH$2:AH361),$AH$2:$AH$1001,0),0), INDEX($AO$1004:$BQ$1004,1,MATCH(COLUMNS($AO$1006:BM1006),$AO$1006:$BQ$1006,0)))),"Fix")))</f>
        <v>#N/A</v>
      </c>
      <c r="AA361" s="5" t="e">
        <f ca="1">IF(OR(INDEX($AI$2:$AI$1001,MATCH(ROWS($AH$2:AH361),$AH$2:$AH$1001,0),1)&gt;=100000,INDEX($AO$1005:$BQ$1005,1,MATCH(COLUMNS($AO$1006:BN1006),$AO$1006:$BQ$1006,0))&gt;=100000), " ",IF(INDEX($AO$2:$BQ$1001,MATCH(ROWS($AH$2:AH361),$AH$2:$AH$1001,0),MATCH(COLUMNS($AO$1006:BN1006),$AO$1006:$BQ$1006,0)), HYPERLINK("#",""), HYPERLINK(CONCATENATE("#Metadata!", ADDRESS(INDEX($AJ$2:$AJ$1001,MATCH(ROWS($AH$2:AH361),$AH$2:$AH$1001,0),0), INDEX($AO$1004:$BQ$1004,1,MATCH(COLUMNS($AO$1006:BN1006),$AO$1006:$BQ$1006,0)))),"Fix")))</f>
        <v>#N/A</v>
      </c>
      <c r="AB361" s="5" t="e">
        <f ca="1">IF(OR(INDEX($AI$2:$AI$1001,MATCH(ROWS($AH$2:AH361),$AH$2:$AH$1001,0),1)&gt;=100000,INDEX($AO$1005:$BQ$1005,1,MATCH(COLUMNS($AO$1006:BO1006),$AO$1006:$BQ$1006,0))&gt;=100000), " ",IF(INDEX($AO$2:$BQ$1001,MATCH(ROWS($AH$2:AH361),$AH$2:$AH$1001,0),MATCH(COLUMNS($AO$1006:BO1006),$AO$1006:$BQ$1006,0)), HYPERLINK("#",""), HYPERLINK(CONCATENATE("#Metadata!", ADDRESS(INDEX($AJ$2:$AJ$1001,MATCH(ROWS($AH$2:AH361),$AH$2:$AH$1001,0),0), INDEX($AO$1004:$BQ$1004,1,MATCH(COLUMNS($AO$1006:BO1006),$AO$1006:$BQ$1006,0)))),"Fix")))</f>
        <v>#N/A</v>
      </c>
      <c r="AC361" s="5" t="e">
        <f ca="1">IF(OR(INDEX($AI$2:$AI$1001,MATCH(ROWS($AH$2:AH361),$AH$2:$AH$1001,0),1)&gt;=100000,INDEX($AO$1005:$BQ$1005,1,MATCH(COLUMNS($AO$1006:BP1006),$AO$1006:$BQ$1006,0))&gt;=100000), " ",IF(INDEX($AO$2:$BQ$1001,MATCH(ROWS($AH$2:AH361),$AH$2:$AH$1001,0),MATCH(COLUMNS($AO$1006:BP1006),$AO$1006:$BQ$1006,0)), HYPERLINK("#",""), HYPERLINK(CONCATENATE("#Metadata!", ADDRESS(INDEX($AJ$2:$AJ$1001,MATCH(ROWS($AH$2:AH361),$AH$2:$AH$1001,0),0), INDEX($AO$1004:$BQ$1004,1,MATCH(COLUMNS($AO$1006:BP1006),$AO$1006:$BQ$1006,0)))),"Fix")))</f>
        <v>#N/A</v>
      </c>
      <c r="AD361" s="5" t="e">
        <f ca="1">IF(OR(INDEX($AI$2:$AI$1001,MATCH(ROWS($AH$2:AH361),$AH$2:$AH$1001,0),1)&gt;=100000,INDEX($AO$1005:$BQ$1005,1,MATCH(COLUMNS($AO$1006:BQ1006),$AO$1006:$BQ$1006,0))&gt;=100000), " ",IF(INDEX($AO$2:$BQ$1001,MATCH(ROWS($AH$2:AH361),$AH$2:$AH$1001,0),MATCH(COLUMNS($AO$1006:BQ1006),$AO$1006:$BQ$1006,0)), HYPERLINK("#",""), HYPERLINK(CONCATENATE("#Metadata!", ADDRESS(INDEX($AJ$2:$AJ$1001,MATCH(ROWS($AH$2:AH361),$AH$2:$AH$1001,0),0), INDEX($AO$1004:$BQ$1004,1,MATCH(COLUMNS($AO$1006:BQ1006),$AO$1006:$BQ$1006,0)))),"Fix")))</f>
        <v>#REF!</v>
      </c>
      <c r="AH361">
        <f ca="1"/>
        <v>358</v>
      </c>
      <c r="AI361">
        <v>100361</v>
      </c>
      <c r="AJ361">
        <v>361</v>
      </c>
      <c r="AK361" t="b">
        <f t="shared" si="5"/>
        <v>1</v>
      </c>
      <c r="AL361" t="b">
        <f>COUNTBLANK(Metadata!B361:AD361)=COLUMNS(Metadata!B361:AD361)</f>
        <v>1</v>
      </c>
      <c r="AM361" t="str">
        <v/>
      </c>
      <c r="AO361" t="b">
        <f ca="1">AND(IF(Metadata!B361="",FALSE,TRUE),COUNTIF(Metadata!B:B, Metadata!B361) = 1,NOT(ISERROR(SUMPRODUCT(SEARCH(MID(Metadata!B361,ROW(INDIRECT("1:"&amp;LEN(Metadata!B361))), 1),"0123456789abcdefghijklmnopqrstuvwxyzABCDEFGHIJKLMNOPQRSTUVWXYZ.")))))</f>
        <v>0</v>
      </c>
      <c r="AP361" t="b">
        <f>IF(Metadata!C361="",FALSE,TRUE)</f>
        <v>0</v>
      </c>
      <c r="AQ361" t="b">
        <f>IF(Metadata!D361="",FALSE,TRUE)</f>
        <v>0</v>
      </c>
      <c r="AR361" t="b">
        <f ca="1">OR(AND(IF(Metadata!E361="",FALSE,TRUE),OR(EXACT(Metadata!E361,"not collected"),EXACT(Metadata!E361,"not provided"),EXACT(Metadata!E361,"restricted access"))),AND(IF(Metadata!E361="",FALSE,TRUE),AND(AND(IFERROR(INT(LEFT(Metadata!E361,4))&gt;1900,FALSE),IFERROR(INT(LEFT(Metadata!E361,4))&lt;=YEAR(NOW()),FALSE)), OR(MID(Metadata!E361,5,1)="", AND(AND(MID(Metadata!E361,5,1)="-",IFERROR(INT(MID(Metadata!E361,6,1))&gt;=0,FALSE),IFERROR(INT(MID(Metadata!E361,6,1))&lt;=1,FALSE),NOT(MID(Metadata!E361,7,1)=""),IFERROR(INT(MID(Metadata!E361,6,2))&gt;=1,FALSE),IFERROR(INT(MID(Metadata!E361,6,2))&lt;=12,FALSE)), OR(MID(Metadata!E361,8,1)="", AND(AND(MID(Metadata!E361,8,1)="-",IFERROR(INT(MID(Metadata!E361,9,1))&gt;=0,FALSE),IFERROR(INT(MID(Metadata!E361,9,1))&lt;=3,FALSE),NOT(MID(Metadata!E361,10,1)=""),IFERROR(INT(MID(Metadata!E361,9,2))&gt;=1,FALSE),IFERROR(INT(MID(Metadata!E361,9,2))&lt;=31,FALSE)), OR(MID(Metadata!E361,11,1)="", AND(AND(MID(Metadata!E361,11,1)=" ",IFERROR(INT(MID(Metadata!E361,12,1))&gt;=0,FALSE),IFERROR(INT(MID(Metadata!E361,12,1))&lt;=2,FALSE),NOT(MID(Metadata!E361,13,1)=""),IFERROR(INT(MID(Metadata!E361,12,2))&gt;=0,FALSE),IFERROR(INT(MID(Metadata!E361,12,2))&lt;=23,FALSE)), OR(MID(Metadata!E361,14,1)="", AND(AND(MID(Metadata!E361,14,1)=":",IFERROR(INT(MID(Metadata!E361,15,1))&gt;=0,FALSE),IFERROR(INT(MID(Metadata!E361,15,1))&lt;=5,FALSE),NOT(MID(Metadata!E361,16,1)=""),IFERROR(INT(MID(Metadata!E361,15,2))&gt;=0,FALSE),IFERROR(INT(MID(Metadata!E361,15,2))&lt;=59,FALSE)), OR(MID(Metadata!E361,17,1)="", AND(AND(MID(Metadata!E361,17,1)=":",IFERROR(INT(MID(Metadata!E361,18,1))&gt;=0,FALSE),IFERROR(INT(MID(Metadata!E361,18,1))&lt;=5,FALSE),NOT(MID(Metadata!E361,19,1)=""),IFERROR(INT(MID(Metadata!E361,18,2))&gt;=0,FALSE),IFERROR(INT(MID(Metadata!E361,18,2))&lt;=59,FALSE)), LEN(Metadata!E361)&lt;=19)))))))))))))</f>
        <v>0</v>
      </c>
      <c r="AS361" t="b">
        <f>IF(Metadata!F361="",FALSE,TRUE)</f>
        <v>0</v>
      </c>
      <c r="AT361" t="b">
        <f>OR(AND(IF(Metadata!G361="",FALSE,TRUE),OR(EXACT(Metadata!G361,"not collected"),EXACT(Metadata!G361,"not provided"))),AND(IF(Metadata!G361="",FALSE,TRUE),OR(EXACT(Metadata!G361,"TRUE"),EXACT(Metadata!G361,"FALSE"))))</f>
        <v>0</v>
      </c>
      <c r="AU361" t="b">
        <f>OR(AND(IF(Metadata!H361="",FALSE,TRUE),OR(EXACT(Metadata!H361,"not collected"),EXACT(Metadata!H361,"not provided"),EXACT(Metadata!H361,"restricted access"))),AND(IF(Metadata!H361="",FALSE,ISNUMBER(VALUE(Metadata!H361))),Metadata!H361&gt;=-413))</f>
        <v>0</v>
      </c>
      <c r="AV361" t="b">
        <f>AND(IF(Metadata!I361="",FALSE,TRUE),EXACT(Metadata!I361,"meters"))</f>
        <v>0</v>
      </c>
      <c r="AW361" t="b">
        <f>AND(IF(Metadata!J361="",FALSE,TRUE),EXACT(Metadata!J361,"free-living"))</f>
        <v>0</v>
      </c>
      <c r="AX361" t="b">
        <f>AND(IF(Metadata!K361="",FALSE,TRUE),OR(EXACT(Metadata!K361,"saline"),EXACT(Metadata!K361,"non-saline")))</f>
        <v>0</v>
      </c>
      <c r="AY361" t="b">
        <f>AND(IF(Metadata!L361="",FALSE,TRUE),OR(EXACT(Metadata!L361,"sub-surface (non-saline)"),EXACT(Metadata!L361,"surface (non-saline)"),EXACT(Metadata!L361,"water (non-saline)"),EXACT(Metadata!L361,"soil (non-saline)"),EXACT(Metadata!L361,"aerosol (non-saline)"),EXACT(Metadata!L361,"sediment (non-saline)"),EXACT(Metadata!L361,"surface (saline)"),EXACT(Metadata!L361,"water (saline)"),EXACT(Metadata!L361,"hypersaline (saline)"),EXACT(Metadata!L361,"aerosol (saline)"),EXACT(Metadata!L361,"sediment (saline)")))</f>
        <v>0</v>
      </c>
      <c r="AZ361" t="b">
        <f>IF(Metadata!M361="",FALSE,TRUE)</f>
        <v>0</v>
      </c>
      <c r="BA361" t="b">
        <f>IF(Metadata!N361="",FALSE,TRUE)</f>
        <v>0</v>
      </c>
      <c r="BB361" t="b">
        <f>IF(Metadata!O361="",FALSE,TRUE)</f>
        <v>0</v>
      </c>
      <c r="BC361" t="b">
        <f>AND(IF(Metadata!P361="",FALSE,TRUE),OR(EXACT(Metadata!P361,"air"),EXACT(Metadata!P361,"microbial mat/biofilm"),EXACT(Metadata!P361,"misc environment"),EXACT(Metadata!P361,"sediment"),EXACT(Metadata!P361,"soil"),EXACT(Metadata!P361,"wastewater/sludge"),EXACT(Metadata!P361,"water")))</f>
        <v>0</v>
      </c>
      <c r="BD361" t="b">
        <f>IF(Metadata!Q361="",FALSE,TRUE)</f>
        <v>0</v>
      </c>
      <c r="BE361" t="b">
        <f>IF(Metadata!R361="",FALSE,TRUE)</f>
        <v>0</v>
      </c>
      <c r="BF361" t="b">
        <f>OR(AND(IF(Metadata!S361="",FALSE,TRUE),OR(EXACT(Metadata!S361,"not collected"),EXACT(Metadata!S361,"not provided"),EXACT(Metadata!S361,"restricted access"))),AND(IF(Metadata!S361="",FALSE,ISNUMBER(VALUE(Metadata!S361))),Metadata!S361&gt;=-90,Metadata!S361&lt;=90))</f>
        <v>0</v>
      </c>
      <c r="BG361" t="b">
        <f>AND(IF(Metadata!T361="",FALSE,TRUE),EXACT(Metadata!T361,"Decimal degrees"))</f>
        <v>0</v>
      </c>
      <c r="BH361" t="b">
        <f>OR(AND(IF(Metadata!U361="",FALSE,TRUE),OR(EXACT(Metadata!U361,"not applicable"),EXACT(Metadata!U361,"not collected"))),IF(Metadata!U361="",FALSE,TRUE))</f>
        <v>0</v>
      </c>
      <c r="BI361" t="b">
        <f>OR(AND(IF(Metadata!V361="",FALSE,TRUE),OR(EXACT(Metadata!V361,"not collected"),EXACT(Metadata!V361,"not provided"),EXACT(Metadata!V361,"restricted access"))),AND(IF(Metadata!V361="",FALSE,ISNUMBER(VALUE(Metadata!V361))),Metadata!V361&gt;=-180,Metadata!V361&lt;=180))</f>
        <v>0</v>
      </c>
      <c r="BJ361" t="b">
        <f>AND(IF(Metadata!W361="",FALSE,TRUE),EXACT(Metadata!W361,"Decimal degrees"))</f>
        <v>0</v>
      </c>
      <c r="BK361" t="b">
        <f>IF(Metadata!X361="",FALSE,TRUE)</f>
        <v>0</v>
      </c>
      <c r="BL361" t="b">
        <f>OR(AND(IF(Metadata!Y361="",FALSE,TRUE),OR(EXACT(Metadata!Y361,"not collected"),EXACT(Metadata!Y361,"not provided"),EXACT(Metadata!Y361,"restricted access"))),AND(IF(Metadata!Y361="",FALSE,TRUE),OR(EXACT(Metadata!Y361,"TRUE"),EXACT(Metadata!Y361,"FALSE"))))</f>
        <v>0</v>
      </c>
      <c r="BM361" t="b">
        <f>OR(AND(IF(Metadata!Z361="",FALSE,TRUE),EXACT(Metadata!Z361,"not applicable")),AND(IF(Metadata!Z361="",FALSE,TRUE),OR(EXACT(Metadata!Z361,"beer"),EXACT(Metadata!Z361,"cheese"),EXACT(Metadata!Z361,"fresh water"),EXACT(Metadata!Z361,"marine sediment"),EXACT(Metadata!Z361,"sea water"),EXACT(Metadata!Z361,"sediment"),EXACT(Metadata!Z361,"soil"),EXACT(Metadata!Z361,"waste water"))))</f>
        <v>0</v>
      </c>
      <c r="BN361" t="b">
        <f>AND(IF(Metadata!AA361="",FALSE,TRUE),EXACT(Metadata!AA361,"metagenome"))</f>
        <v>0</v>
      </c>
      <c r="BO361" t="b">
        <f>AND(IF(Metadata!AB361="",FALSE,TRUE),EXACT(Metadata!AB361,"256318"))</f>
        <v>0</v>
      </c>
      <c r="BP361" t="b">
        <f>IF(Metadata!AC361="",FALSE,TRUE)</f>
        <v>0</v>
      </c>
      <c r="BQ361" t="b">
        <f>IF(Metadata!AD361="",FALSE,TRUE)</f>
        <v>0</v>
      </c>
    </row>
    <row r="362" spans="1:69" x14ac:dyDescent="0.2">
      <c r="A362" s="4" t="e">
        <f ca="1">IF(B362=" "," ",HYPERLINK(CONCATENATE("#metadata!",ADDRESS(INDEX($AJ$2:$AJ$1001,MATCH(ROWS($AH$2:AH362),$AH$2:$AH$1001,0),0),2)),INDEX($AM$2:$AM$1001,MATCH(ROWS($AH$2:AH362),$AH$2:$AH$1001,0),0)))</f>
        <v>#N/A</v>
      </c>
      <c r="B362" s="5" t="e">
        <f ca="1">IF(OR(INDEX($AI$2:$AI$1001,MATCH(ROWS($AH$2:AH362),$AH$2:$AH$1001,0),1)&gt;=100000,INDEX($AO$1005:$BQ$1005,1,MATCH(COLUMNS($AO$1006:AO1006),$AO$1006:$BQ$1006,0))&gt;=100000), " ",IF(INDEX($AO$2:$BQ$1001,MATCH(ROWS($AH$2:AH362),$AH$2:$AH$1001,0),MATCH(COLUMNS($AO$1006:AO1006),$AO$1006:$BQ$1006,0)), HYPERLINK("#",""), HYPERLINK(CONCATENATE("#Metadata!", ADDRESS(INDEX($AJ$2:$AJ$1001,MATCH(ROWS($AH$2:AH362),$AH$2:$AH$1001,0),0), INDEX($AO$1004:$BQ$1004,1,MATCH(COLUMNS($AO$1006:AO1006),$AO$1006:$BQ$1006,0)))),"Fix")))</f>
        <v>#N/A</v>
      </c>
      <c r="C362" s="5" t="e">
        <f ca="1">IF(OR(INDEX($AI$2:$AI$1001,MATCH(ROWS($AH$2:AH362),$AH$2:$AH$1001,0),1)&gt;=100000,INDEX($AO$1005:$BQ$1005,1,MATCH(COLUMNS($AO$1006:AP1006),$AO$1006:$BQ$1006,0))&gt;=100000), " ",IF(INDEX($AO$2:$BQ$1001,MATCH(ROWS($AH$2:AH362),$AH$2:$AH$1001,0),MATCH(COLUMNS($AO$1006:AP1006),$AO$1006:$BQ$1006,0)), HYPERLINK("#",""), HYPERLINK(CONCATENATE("#Metadata!", ADDRESS(INDEX($AJ$2:$AJ$1001,MATCH(ROWS($AH$2:AH362),$AH$2:$AH$1001,0),0), INDEX($AO$1004:$BQ$1004,1,MATCH(COLUMNS($AO$1006:AP1006),$AO$1006:$BQ$1006,0)))),"Fix")))</f>
        <v>#N/A</v>
      </c>
      <c r="D362" s="5" t="e">
        <f ca="1">IF(OR(INDEX($AI$2:$AI$1001,MATCH(ROWS($AH$2:AH362),$AH$2:$AH$1001,0),1)&gt;=100000,INDEX($AO$1005:$BQ$1005,1,MATCH(COLUMNS($AO$1006:AQ1006),$AO$1006:$BQ$1006,0))&gt;=100000), " ",IF(INDEX($AO$2:$BQ$1001,MATCH(ROWS($AH$2:AH362),$AH$2:$AH$1001,0),MATCH(COLUMNS($AO$1006:AQ1006),$AO$1006:$BQ$1006,0)), HYPERLINK("#",""), HYPERLINK(CONCATENATE("#Metadata!", ADDRESS(INDEX($AJ$2:$AJ$1001,MATCH(ROWS($AH$2:AH362),$AH$2:$AH$1001,0),0), INDEX($AO$1004:$BQ$1004,1,MATCH(COLUMNS($AO$1006:AQ1006),$AO$1006:$BQ$1006,0)))),"Fix")))</f>
        <v>#N/A</v>
      </c>
      <c r="E362" s="5" t="e">
        <f ca="1">IF(OR(INDEX($AI$2:$AI$1001,MATCH(ROWS($AH$2:AH362),$AH$2:$AH$1001,0),1)&gt;=100000,INDEX($AO$1005:$BQ$1005,1,MATCH(COLUMNS($AO$1006:AR1006),$AO$1006:$BQ$1006,0))&gt;=100000), " ",IF(INDEX($AO$2:$BQ$1001,MATCH(ROWS($AH$2:AH362),$AH$2:$AH$1001,0),MATCH(COLUMNS($AO$1006:AR1006),$AO$1006:$BQ$1006,0)), HYPERLINK("#",""), HYPERLINK(CONCATENATE("#Metadata!", ADDRESS(INDEX($AJ$2:$AJ$1001,MATCH(ROWS($AH$2:AH362),$AH$2:$AH$1001,0),0), INDEX($AO$1004:$BQ$1004,1,MATCH(COLUMNS($AO$1006:AR1006),$AO$1006:$BQ$1006,0)))),"Fix")))</f>
        <v>#N/A</v>
      </c>
      <c r="F362" s="5" t="e">
        <f ca="1">IF(OR(INDEX($AI$2:$AI$1001,MATCH(ROWS($AH$2:AH362),$AH$2:$AH$1001,0),1)&gt;=100000,INDEX($AO$1005:$BQ$1005,1,MATCH(COLUMNS($AO$1006:AS1006),$AO$1006:$BQ$1006,0))&gt;=100000), " ",IF(INDEX($AO$2:$BQ$1001,MATCH(ROWS($AH$2:AH362),$AH$2:$AH$1001,0),MATCH(COLUMNS($AO$1006:AS1006),$AO$1006:$BQ$1006,0)), HYPERLINK("#",""), HYPERLINK(CONCATENATE("#Metadata!", ADDRESS(INDEX($AJ$2:$AJ$1001,MATCH(ROWS($AH$2:AH362),$AH$2:$AH$1001,0),0), INDEX($AO$1004:$BQ$1004,1,MATCH(COLUMNS($AO$1006:AS1006),$AO$1006:$BQ$1006,0)))),"Fix")))</f>
        <v>#N/A</v>
      </c>
      <c r="G362" s="5" t="e">
        <f ca="1">IF(OR(INDEX($AI$2:$AI$1001,MATCH(ROWS($AH$2:AH362),$AH$2:$AH$1001,0),1)&gt;=100000,INDEX($AO$1005:$BQ$1005,1,MATCH(COLUMNS($AO$1006:AT1006),$AO$1006:$BQ$1006,0))&gt;=100000), " ",IF(INDEX($AO$2:$BQ$1001,MATCH(ROWS($AH$2:AH362),$AH$2:$AH$1001,0),MATCH(COLUMNS($AO$1006:AT1006),$AO$1006:$BQ$1006,0)), HYPERLINK("#",""), HYPERLINK(CONCATENATE("#Metadata!", ADDRESS(INDEX($AJ$2:$AJ$1001,MATCH(ROWS($AH$2:AH362),$AH$2:$AH$1001,0),0), INDEX($AO$1004:$BQ$1004,1,MATCH(COLUMNS($AO$1006:AT1006),$AO$1006:$BQ$1006,0)))),"Fix")))</f>
        <v>#N/A</v>
      </c>
      <c r="H362" s="5" t="e">
        <f ca="1">IF(OR(INDEX($AI$2:$AI$1001,MATCH(ROWS($AH$2:AH362),$AH$2:$AH$1001,0),1)&gt;=100000,INDEX($AO$1005:$BQ$1005,1,MATCH(COLUMNS($AO$1006:AU1006),$AO$1006:$BQ$1006,0))&gt;=100000), " ",IF(INDEX($AO$2:$BQ$1001,MATCH(ROWS($AH$2:AH362),$AH$2:$AH$1001,0),MATCH(COLUMNS($AO$1006:AU1006),$AO$1006:$BQ$1006,0)), HYPERLINK("#",""), HYPERLINK(CONCATENATE("#Metadata!", ADDRESS(INDEX($AJ$2:$AJ$1001,MATCH(ROWS($AH$2:AH362),$AH$2:$AH$1001,0),0), INDEX($AO$1004:$BQ$1004,1,MATCH(COLUMNS($AO$1006:AU1006),$AO$1006:$BQ$1006,0)))),"Fix")))</f>
        <v>#N/A</v>
      </c>
      <c r="I362" s="5" t="e">
        <f ca="1">IF(OR(INDEX($AI$2:$AI$1001,MATCH(ROWS($AH$2:AH362),$AH$2:$AH$1001,0),1)&gt;=100000,INDEX($AO$1005:$BQ$1005,1,MATCH(COLUMNS($AO$1006:AV1006),$AO$1006:$BQ$1006,0))&gt;=100000), " ",IF(INDEX($AO$2:$BQ$1001,MATCH(ROWS($AH$2:AH362),$AH$2:$AH$1001,0),MATCH(COLUMNS($AO$1006:AV1006),$AO$1006:$BQ$1006,0)), HYPERLINK("#",""), HYPERLINK(CONCATENATE("#Metadata!", ADDRESS(INDEX($AJ$2:$AJ$1001,MATCH(ROWS($AH$2:AH362),$AH$2:$AH$1001,0),0), INDEX($AO$1004:$BQ$1004,1,MATCH(COLUMNS($AO$1006:AV1006),$AO$1006:$BQ$1006,0)))),"Fix")))</f>
        <v>#N/A</v>
      </c>
      <c r="J362" s="5" t="e">
        <f ca="1">IF(OR(INDEX($AI$2:$AI$1001,MATCH(ROWS($AH$2:AH362),$AH$2:$AH$1001,0),1)&gt;=100000,INDEX($AO$1005:$BQ$1005,1,MATCH(COLUMNS($AO$1006:AW1006),$AO$1006:$BQ$1006,0))&gt;=100000), " ",IF(INDEX($AO$2:$BQ$1001,MATCH(ROWS($AH$2:AH362),$AH$2:$AH$1001,0),MATCH(COLUMNS($AO$1006:AW1006),$AO$1006:$BQ$1006,0)), HYPERLINK("#",""), HYPERLINK(CONCATENATE("#Metadata!", ADDRESS(INDEX($AJ$2:$AJ$1001,MATCH(ROWS($AH$2:AH362),$AH$2:$AH$1001,0),0), INDEX($AO$1004:$BQ$1004,1,MATCH(COLUMNS($AO$1006:AW1006),$AO$1006:$BQ$1006,0)))),"Fix")))</f>
        <v>#N/A</v>
      </c>
      <c r="K362" s="5" t="e">
        <f ca="1">IF(OR(INDEX($AI$2:$AI$1001,MATCH(ROWS($AH$2:AH362),$AH$2:$AH$1001,0),1)&gt;=100000,INDEX($AO$1005:$BQ$1005,1,MATCH(COLUMNS($AO$1006:AX1006),$AO$1006:$BQ$1006,0))&gt;=100000), " ",IF(INDEX($AO$2:$BQ$1001,MATCH(ROWS($AH$2:AH362),$AH$2:$AH$1001,0),MATCH(COLUMNS($AO$1006:AX1006),$AO$1006:$BQ$1006,0)), HYPERLINK("#",""), HYPERLINK(CONCATENATE("#Metadata!", ADDRESS(INDEX($AJ$2:$AJ$1001,MATCH(ROWS($AH$2:AH362),$AH$2:$AH$1001,0),0), INDEX($AO$1004:$BQ$1004,1,MATCH(COLUMNS($AO$1006:AX1006),$AO$1006:$BQ$1006,0)))),"Fix")))</f>
        <v>#N/A</v>
      </c>
      <c r="L362" s="5" t="e">
        <f ca="1">IF(OR(INDEX($AI$2:$AI$1001,MATCH(ROWS($AH$2:AH362),$AH$2:$AH$1001,0),1)&gt;=100000,INDEX($AO$1005:$BQ$1005,1,MATCH(COLUMNS($AO$1006:AY1006),$AO$1006:$BQ$1006,0))&gt;=100000), " ",IF(INDEX($AO$2:$BQ$1001,MATCH(ROWS($AH$2:AH362),$AH$2:$AH$1001,0),MATCH(COLUMNS($AO$1006:AY1006),$AO$1006:$BQ$1006,0)), HYPERLINK("#",""), HYPERLINK(CONCATENATE("#Metadata!", ADDRESS(INDEX($AJ$2:$AJ$1001,MATCH(ROWS($AH$2:AH362),$AH$2:$AH$1001,0),0), INDEX($AO$1004:$BQ$1004,1,MATCH(COLUMNS($AO$1006:AY1006),$AO$1006:$BQ$1006,0)))),"Fix")))</f>
        <v>#N/A</v>
      </c>
      <c r="M362" s="5" t="e">
        <f ca="1">IF(OR(INDEX($AI$2:$AI$1001,MATCH(ROWS($AH$2:AH362),$AH$2:$AH$1001,0),1)&gt;=100000,INDEX($AO$1005:$BQ$1005,1,MATCH(COLUMNS($AO$1006:AZ1006),$AO$1006:$BQ$1006,0))&gt;=100000), " ",IF(INDEX($AO$2:$BQ$1001,MATCH(ROWS($AH$2:AH362),$AH$2:$AH$1001,0),MATCH(COLUMNS($AO$1006:AZ1006),$AO$1006:$BQ$1006,0)), HYPERLINK("#",""), HYPERLINK(CONCATENATE("#Metadata!", ADDRESS(INDEX($AJ$2:$AJ$1001,MATCH(ROWS($AH$2:AH362),$AH$2:$AH$1001,0),0), INDEX($AO$1004:$BQ$1004,1,MATCH(COLUMNS($AO$1006:AZ1006),$AO$1006:$BQ$1006,0)))),"Fix")))</f>
        <v>#N/A</v>
      </c>
      <c r="N362" s="5" t="e">
        <f ca="1">IF(OR(INDEX($AI$2:$AI$1001,MATCH(ROWS($AH$2:AH362),$AH$2:$AH$1001,0),1)&gt;=100000,INDEX($AO$1005:$BQ$1005,1,MATCH(COLUMNS($AO$1006:BA1006),$AO$1006:$BQ$1006,0))&gt;=100000), " ",IF(INDEX($AO$2:$BQ$1001,MATCH(ROWS($AH$2:AH362),$AH$2:$AH$1001,0),MATCH(COLUMNS($AO$1006:BA1006),$AO$1006:$BQ$1006,0)), HYPERLINK("#",""), HYPERLINK(CONCATENATE("#Metadata!", ADDRESS(INDEX($AJ$2:$AJ$1001,MATCH(ROWS($AH$2:AH362),$AH$2:$AH$1001,0),0), INDEX($AO$1004:$BQ$1004,1,MATCH(COLUMNS($AO$1006:BA1006),$AO$1006:$BQ$1006,0)))),"Fix")))</f>
        <v>#N/A</v>
      </c>
      <c r="O362" s="5" t="e">
        <f ca="1">IF(OR(INDEX($AI$2:$AI$1001,MATCH(ROWS($AH$2:AH362),$AH$2:$AH$1001,0),1)&gt;=100000,INDEX($AO$1005:$BQ$1005,1,MATCH(COLUMNS($AO$1006:BB1006),$AO$1006:$BQ$1006,0))&gt;=100000), " ",IF(INDEX($AO$2:$BQ$1001,MATCH(ROWS($AH$2:AH362),$AH$2:$AH$1001,0),MATCH(COLUMNS($AO$1006:BB1006),$AO$1006:$BQ$1006,0)), HYPERLINK("#",""), HYPERLINK(CONCATENATE("#Metadata!", ADDRESS(INDEX($AJ$2:$AJ$1001,MATCH(ROWS($AH$2:AH362),$AH$2:$AH$1001,0),0), INDEX($AO$1004:$BQ$1004,1,MATCH(COLUMNS($AO$1006:BB1006),$AO$1006:$BQ$1006,0)))),"Fix")))</f>
        <v>#N/A</v>
      </c>
      <c r="P362" s="5" t="e">
        <f ca="1">IF(OR(INDEX($AI$2:$AI$1001,MATCH(ROWS($AH$2:AH362),$AH$2:$AH$1001,0),1)&gt;=100000,INDEX($AO$1005:$BQ$1005,1,MATCH(COLUMNS($AO$1006:BC1006),$AO$1006:$BQ$1006,0))&gt;=100000), " ",IF(INDEX($AO$2:$BQ$1001,MATCH(ROWS($AH$2:AH362),$AH$2:$AH$1001,0),MATCH(COLUMNS($AO$1006:BC1006),$AO$1006:$BQ$1006,0)), HYPERLINK("#",""), HYPERLINK(CONCATENATE("#Metadata!", ADDRESS(INDEX($AJ$2:$AJ$1001,MATCH(ROWS($AH$2:AH362),$AH$2:$AH$1001,0),0), INDEX($AO$1004:$BQ$1004,1,MATCH(COLUMNS($AO$1006:BC1006),$AO$1006:$BQ$1006,0)))),"Fix")))</f>
        <v>#N/A</v>
      </c>
      <c r="Q362" s="5" t="e">
        <f ca="1">IF(OR(INDEX($AI$2:$AI$1001,MATCH(ROWS($AH$2:AH362),$AH$2:$AH$1001,0),1)&gt;=100000,INDEX($AO$1005:$BQ$1005,1,MATCH(COLUMNS($AO$1006:BD1006),$AO$1006:$BQ$1006,0))&gt;=100000), " ",IF(INDEX($AO$2:$BQ$1001,MATCH(ROWS($AH$2:AH362),$AH$2:$AH$1001,0),MATCH(COLUMNS($AO$1006:BD1006),$AO$1006:$BQ$1006,0)), HYPERLINK("#",""), HYPERLINK(CONCATENATE("#Metadata!", ADDRESS(INDEX($AJ$2:$AJ$1001,MATCH(ROWS($AH$2:AH362),$AH$2:$AH$1001,0),0), INDEX($AO$1004:$BQ$1004,1,MATCH(COLUMNS($AO$1006:BD1006),$AO$1006:$BQ$1006,0)))),"Fix")))</f>
        <v>#N/A</v>
      </c>
      <c r="R362" s="5" t="e">
        <f ca="1">IF(OR(INDEX($AI$2:$AI$1001,MATCH(ROWS($AH$2:AH362),$AH$2:$AH$1001,0),1)&gt;=100000,INDEX($AO$1005:$BQ$1005,1,MATCH(COLUMNS($AO$1006:BE1006),$AO$1006:$BQ$1006,0))&gt;=100000), " ",IF(INDEX($AO$2:$BQ$1001,MATCH(ROWS($AH$2:AH362),$AH$2:$AH$1001,0),MATCH(COLUMNS($AO$1006:BE1006),$AO$1006:$BQ$1006,0)), HYPERLINK("#",""), HYPERLINK(CONCATENATE("#Metadata!", ADDRESS(INDEX($AJ$2:$AJ$1001,MATCH(ROWS($AH$2:AH362),$AH$2:$AH$1001,0),0), INDEX($AO$1004:$BQ$1004,1,MATCH(COLUMNS($AO$1006:BE1006),$AO$1006:$BQ$1006,0)))),"Fix")))</f>
        <v>#N/A</v>
      </c>
      <c r="S362" s="5" t="e">
        <f ca="1">IF(OR(INDEX($AI$2:$AI$1001,MATCH(ROWS($AH$2:AH362),$AH$2:$AH$1001,0),1)&gt;=100000,INDEX($AO$1005:$BQ$1005,1,MATCH(COLUMNS($AO$1006:BF1006),$AO$1006:$BQ$1006,0))&gt;=100000), " ",IF(INDEX($AO$2:$BQ$1001,MATCH(ROWS($AH$2:AH362),$AH$2:$AH$1001,0),MATCH(COLUMNS($AO$1006:BF1006),$AO$1006:$BQ$1006,0)), HYPERLINK("#",""), HYPERLINK(CONCATENATE("#Metadata!", ADDRESS(INDEX($AJ$2:$AJ$1001,MATCH(ROWS($AH$2:AH362),$AH$2:$AH$1001,0),0), INDEX($AO$1004:$BQ$1004,1,MATCH(COLUMNS($AO$1006:BF1006),$AO$1006:$BQ$1006,0)))),"Fix")))</f>
        <v>#N/A</v>
      </c>
      <c r="T362" s="5" t="e">
        <f ca="1">IF(OR(INDEX($AI$2:$AI$1001,MATCH(ROWS($AH$2:AH362),$AH$2:$AH$1001,0),1)&gt;=100000,INDEX($AO$1005:$BQ$1005,1,MATCH(COLUMNS($AO$1006:BG1006),$AO$1006:$BQ$1006,0))&gt;=100000), " ",IF(INDEX($AO$2:$BQ$1001,MATCH(ROWS($AH$2:AH362),$AH$2:$AH$1001,0),MATCH(COLUMNS($AO$1006:BG1006),$AO$1006:$BQ$1006,0)), HYPERLINK("#",""), HYPERLINK(CONCATENATE("#Metadata!", ADDRESS(INDEX($AJ$2:$AJ$1001,MATCH(ROWS($AH$2:AH362),$AH$2:$AH$1001,0),0), INDEX($AO$1004:$BQ$1004,1,MATCH(COLUMNS($AO$1006:BG1006),$AO$1006:$BQ$1006,0)))),"Fix")))</f>
        <v>#N/A</v>
      </c>
      <c r="U362" s="5" t="e">
        <f ca="1">IF(OR(INDEX($AI$2:$AI$1001,MATCH(ROWS($AH$2:AH362),$AH$2:$AH$1001,0),1)&gt;=100000,INDEX($AO$1005:$BQ$1005,1,MATCH(COLUMNS($AO$1006:BH1006),$AO$1006:$BQ$1006,0))&gt;=100000), " ",IF(INDEX($AO$2:$BQ$1001,MATCH(ROWS($AH$2:AH362),$AH$2:$AH$1001,0),MATCH(COLUMNS($AO$1006:BH1006),$AO$1006:$BQ$1006,0)), HYPERLINK("#",""), HYPERLINK(CONCATENATE("#Metadata!", ADDRESS(INDEX($AJ$2:$AJ$1001,MATCH(ROWS($AH$2:AH362),$AH$2:$AH$1001,0),0), INDEX($AO$1004:$BQ$1004,1,MATCH(COLUMNS($AO$1006:BH1006),$AO$1006:$BQ$1006,0)))),"Fix")))</f>
        <v>#N/A</v>
      </c>
      <c r="V362" s="5" t="e">
        <f ca="1">IF(OR(INDEX($AI$2:$AI$1001,MATCH(ROWS($AH$2:AH362),$AH$2:$AH$1001,0),1)&gt;=100000,INDEX($AO$1005:$BQ$1005,1,MATCH(COLUMNS($AO$1006:BI1006),$AO$1006:$BQ$1006,0))&gt;=100000), " ",IF(INDEX($AO$2:$BQ$1001,MATCH(ROWS($AH$2:AH362),$AH$2:$AH$1001,0),MATCH(COLUMNS($AO$1006:BI1006),$AO$1006:$BQ$1006,0)), HYPERLINK("#",""), HYPERLINK(CONCATENATE("#Metadata!", ADDRESS(INDEX($AJ$2:$AJ$1001,MATCH(ROWS($AH$2:AH362),$AH$2:$AH$1001,0),0), INDEX($AO$1004:$BQ$1004,1,MATCH(COLUMNS($AO$1006:BI1006),$AO$1006:$BQ$1006,0)))),"Fix")))</f>
        <v>#N/A</v>
      </c>
      <c r="W362" s="5" t="e">
        <f ca="1">IF(OR(INDEX($AI$2:$AI$1001,MATCH(ROWS($AH$2:AH362),$AH$2:$AH$1001,0),1)&gt;=100000,INDEX($AO$1005:$BQ$1005,1,MATCH(COLUMNS($AO$1006:BJ1006),$AO$1006:$BQ$1006,0))&gt;=100000), " ",IF(INDEX($AO$2:$BQ$1001,MATCH(ROWS($AH$2:AH362),$AH$2:$AH$1001,0),MATCH(COLUMNS($AO$1006:BJ1006),$AO$1006:$BQ$1006,0)), HYPERLINK("#",""), HYPERLINK(CONCATENATE("#Metadata!", ADDRESS(INDEX($AJ$2:$AJ$1001,MATCH(ROWS($AH$2:AH362),$AH$2:$AH$1001,0),0), INDEX($AO$1004:$BQ$1004,1,MATCH(COLUMNS($AO$1006:BJ1006),$AO$1006:$BQ$1006,0)))),"Fix")))</f>
        <v>#N/A</v>
      </c>
      <c r="X362" s="5" t="e">
        <f ca="1">IF(OR(INDEX($AI$2:$AI$1001,MATCH(ROWS($AH$2:AH362),$AH$2:$AH$1001,0),1)&gt;=100000,INDEX($AO$1005:$BQ$1005,1,MATCH(COLUMNS($AO$1006:BK1006),$AO$1006:$BQ$1006,0))&gt;=100000), " ",IF(INDEX($AO$2:$BQ$1001,MATCH(ROWS($AH$2:AH362),$AH$2:$AH$1001,0),MATCH(COLUMNS($AO$1006:BK1006),$AO$1006:$BQ$1006,0)), HYPERLINK("#",""), HYPERLINK(CONCATENATE("#Metadata!", ADDRESS(INDEX($AJ$2:$AJ$1001,MATCH(ROWS($AH$2:AH362),$AH$2:$AH$1001,0),0), INDEX($AO$1004:$BQ$1004,1,MATCH(COLUMNS($AO$1006:BK1006),$AO$1006:$BQ$1006,0)))),"Fix")))</f>
        <v>#N/A</v>
      </c>
      <c r="Y362" s="5" t="e">
        <f ca="1">IF(OR(INDEX($AI$2:$AI$1001,MATCH(ROWS($AH$2:AH362),$AH$2:$AH$1001,0),1)&gt;=100000,INDEX($AO$1005:$BQ$1005,1,MATCH(COLUMNS($AO$1006:BL1006),$AO$1006:$BQ$1006,0))&gt;=100000), " ",IF(INDEX($AO$2:$BQ$1001,MATCH(ROWS($AH$2:AH362),$AH$2:$AH$1001,0),MATCH(COLUMNS($AO$1006:BL1006),$AO$1006:$BQ$1006,0)), HYPERLINK("#",""), HYPERLINK(CONCATENATE("#Metadata!", ADDRESS(INDEX($AJ$2:$AJ$1001,MATCH(ROWS($AH$2:AH362),$AH$2:$AH$1001,0),0), INDEX($AO$1004:$BQ$1004,1,MATCH(COLUMNS($AO$1006:BL1006),$AO$1006:$BQ$1006,0)))),"Fix")))</f>
        <v>#N/A</v>
      </c>
      <c r="Z362" s="5" t="e">
        <f ca="1">IF(OR(INDEX($AI$2:$AI$1001,MATCH(ROWS($AH$2:AH362),$AH$2:$AH$1001,0),1)&gt;=100000,INDEX($AO$1005:$BQ$1005,1,MATCH(COLUMNS($AO$1006:BM1006),$AO$1006:$BQ$1006,0))&gt;=100000), " ",IF(INDEX($AO$2:$BQ$1001,MATCH(ROWS($AH$2:AH362),$AH$2:$AH$1001,0),MATCH(COLUMNS($AO$1006:BM1006),$AO$1006:$BQ$1006,0)), HYPERLINK("#",""), HYPERLINK(CONCATENATE("#Metadata!", ADDRESS(INDEX($AJ$2:$AJ$1001,MATCH(ROWS($AH$2:AH362),$AH$2:$AH$1001,0),0), INDEX($AO$1004:$BQ$1004,1,MATCH(COLUMNS($AO$1006:BM1006),$AO$1006:$BQ$1006,0)))),"Fix")))</f>
        <v>#N/A</v>
      </c>
      <c r="AA362" s="5" t="e">
        <f ca="1">IF(OR(INDEX($AI$2:$AI$1001,MATCH(ROWS($AH$2:AH362),$AH$2:$AH$1001,0),1)&gt;=100000,INDEX($AO$1005:$BQ$1005,1,MATCH(COLUMNS($AO$1006:BN1006),$AO$1006:$BQ$1006,0))&gt;=100000), " ",IF(INDEX($AO$2:$BQ$1001,MATCH(ROWS($AH$2:AH362),$AH$2:$AH$1001,0),MATCH(COLUMNS($AO$1006:BN1006),$AO$1006:$BQ$1006,0)), HYPERLINK("#",""), HYPERLINK(CONCATENATE("#Metadata!", ADDRESS(INDEX($AJ$2:$AJ$1001,MATCH(ROWS($AH$2:AH362),$AH$2:$AH$1001,0),0), INDEX($AO$1004:$BQ$1004,1,MATCH(COLUMNS($AO$1006:BN1006),$AO$1006:$BQ$1006,0)))),"Fix")))</f>
        <v>#N/A</v>
      </c>
      <c r="AB362" s="5" t="e">
        <f ca="1">IF(OR(INDEX($AI$2:$AI$1001,MATCH(ROWS($AH$2:AH362),$AH$2:$AH$1001,0),1)&gt;=100000,INDEX($AO$1005:$BQ$1005,1,MATCH(COLUMNS($AO$1006:BO1006),$AO$1006:$BQ$1006,0))&gt;=100000), " ",IF(INDEX($AO$2:$BQ$1001,MATCH(ROWS($AH$2:AH362),$AH$2:$AH$1001,0),MATCH(COLUMNS($AO$1006:BO1006),$AO$1006:$BQ$1006,0)), HYPERLINK("#",""), HYPERLINK(CONCATENATE("#Metadata!", ADDRESS(INDEX($AJ$2:$AJ$1001,MATCH(ROWS($AH$2:AH362),$AH$2:$AH$1001,0),0), INDEX($AO$1004:$BQ$1004,1,MATCH(COLUMNS($AO$1006:BO1006),$AO$1006:$BQ$1006,0)))),"Fix")))</f>
        <v>#N/A</v>
      </c>
      <c r="AC362" s="5" t="e">
        <f ca="1">IF(OR(INDEX($AI$2:$AI$1001,MATCH(ROWS($AH$2:AH362),$AH$2:$AH$1001,0),1)&gt;=100000,INDEX($AO$1005:$BQ$1005,1,MATCH(COLUMNS($AO$1006:BP1006),$AO$1006:$BQ$1006,0))&gt;=100000), " ",IF(INDEX($AO$2:$BQ$1001,MATCH(ROWS($AH$2:AH362),$AH$2:$AH$1001,0),MATCH(COLUMNS($AO$1006:BP1006),$AO$1006:$BQ$1006,0)), HYPERLINK("#",""), HYPERLINK(CONCATENATE("#Metadata!", ADDRESS(INDEX($AJ$2:$AJ$1001,MATCH(ROWS($AH$2:AH362),$AH$2:$AH$1001,0),0), INDEX($AO$1004:$BQ$1004,1,MATCH(COLUMNS($AO$1006:BP1006),$AO$1006:$BQ$1006,0)))),"Fix")))</f>
        <v>#N/A</v>
      </c>
      <c r="AD362" s="5" t="e">
        <f ca="1">IF(OR(INDEX($AI$2:$AI$1001,MATCH(ROWS($AH$2:AH362),$AH$2:$AH$1001,0),1)&gt;=100000,INDEX($AO$1005:$BQ$1005,1,MATCH(COLUMNS($AO$1006:BQ1006),$AO$1006:$BQ$1006,0))&gt;=100000), " ",IF(INDEX($AO$2:$BQ$1001,MATCH(ROWS($AH$2:AH362),$AH$2:$AH$1001,0),MATCH(COLUMNS($AO$1006:BQ1006),$AO$1006:$BQ$1006,0)), HYPERLINK("#",""), HYPERLINK(CONCATENATE("#Metadata!", ADDRESS(INDEX($AJ$2:$AJ$1001,MATCH(ROWS($AH$2:AH362),$AH$2:$AH$1001,0),0), INDEX($AO$1004:$BQ$1004,1,MATCH(COLUMNS($AO$1006:BQ1006),$AO$1006:$BQ$1006,0)))),"Fix")))</f>
        <v>#REF!</v>
      </c>
      <c r="AH362">
        <f ca="1"/>
        <v>359</v>
      </c>
      <c r="AI362">
        <v>100362</v>
      </c>
      <c r="AJ362">
        <v>362</v>
      </c>
      <c r="AK362" t="b">
        <f t="shared" si="5"/>
        <v>1</v>
      </c>
      <c r="AL362" t="b">
        <f>COUNTBLANK(Metadata!B362:AD362)=COLUMNS(Metadata!B362:AD362)</f>
        <v>1</v>
      </c>
      <c r="AM362" t="str">
        <v/>
      </c>
      <c r="AO362" t="b">
        <f ca="1">AND(IF(Metadata!B362="",FALSE,TRUE),COUNTIF(Metadata!B:B, Metadata!B362) = 1,NOT(ISERROR(SUMPRODUCT(SEARCH(MID(Metadata!B362,ROW(INDIRECT("1:"&amp;LEN(Metadata!B362))), 1),"0123456789abcdefghijklmnopqrstuvwxyzABCDEFGHIJKLMNOPQRSTUVWXYZ.")))))</f>
        <v>0</v>
      </c>
      <c r="AP362" t="b">
        <f>IF(Metadata!C362="",FALSE,TRUE)</f>
        <v>0</v>
      </c>
      <c r="AQ362" t="b">
        <f>IF(Metadata!D362="",FALSE,TRUE)</f>
        <v>0</v>
      </c>
      <c r="AR362" t="b">
        <f ca="1">OR(AND(IF(Metadata!E362="",FALSE,TRUE),OR(EXACT(Metadata!E362,"not collected"),EXACT(Metadata!E362,"not provided"),EXACT(Metadata!E362,"restricted access"))),AND(IF(Metadata!E362="",FALSE,TRUE),AND(AND(IFERROR(INT(LEFT(Metadata!E362,4))&gt;1900,FALSE),IFERROR(INT(LEFT(Metadata!E362,4))&lt;=YEAR(NOW()),FALSE)), OR(MID(Metadata!E362,5,1)="", AND(AND(MID(Metadata!E362,5,1)="-",IFERROR(INT(MID(Metadata!E362,6,1))&gt;=0,FALSE),IFERROR(INT(MID(Metadata!E362,6,1))&lt;=1,FALSE),NOT(MID(Metadata!E362,7,1)=""),IFERROR(INT(MID(Metadata!E362,6,2))&gt;=1,FALSE),IFERROR(INT(MID(Metadata!E362,6,2))&lt;=12,FALSE)), OR(MID(Metadata!E362,8,1)="", AND(AND(MID(Metadata!E362,8,1)="-",IFERROR(INT(MID(Metadata!E362,9,1))&gt;=0,FALSE),IFERROR(INT(MID(Metadata!E362,9,1))&lt;=3,FALSE),NOT(MID(Metadata!E362,10,1)=""),IFERROR(INT(MID(Metadata!E362,9,2))&gt;=1,FALSE),IFERROR(INT(MID(Metadata!E362,9,2))&lt;=31,FALSE)), OR(MID(Metadata!E362,11,1)="", AND(AND(MID(Metadata!E362,11,1)=" ",IFERROR(INT(MID(Metadata!E362,12,1))&gt;=0,FALSE),IFERROR(INT(MID(Metadata!E362,12,1))&lt;=2,FALSE),NOT(MID(Metadata!E362,13,1)=""),IFERROR(INT(MID(Metadata!E362,12,2))&gt;=0,FALSE),IFERROR(INT(MID(Metadata!E362,12,2))&lt;=23,FALSE)), OR(MID(Metadata!E362,14,1)="", AND(AND(MID(Metadata!E362,14,1)=":",IFERROR(INT(MID(Metadata!E362,15,1))&gt;=0,FALSE),IFERROR(INT(MID(Metadata!E362,15,1))&lt;=5,FALSE),NOT(MID(Metadata!E362,16,1)=""),IFERROR(INT(MID(Metadata!E362,15,2))&gt;=0,FALSE),IFERROR(INT(MID(Metadata!E362,15,2))&lt;=59,FALSE)), OR(MID(Metadata!E362,17,1)="", AND(AND(MID(Metadata!E362,17,1)=":",IFERROR(INT(MID(Metadata!E362,18,1))&gt;=0,FALSE),IFERROR(INT(MID(Metadata!E362,18,1))&lt;=5,FALSE),NOT(MID(Metadata!E362,19,1)=""),IFERROR(INT(MID(Metadata!E362,18,2))&gt;=0,FALSE),IFERROR(INT(MID(Metadata!E362,18,2))&lt;=59,FALSE)), LEN(Metadata!E362)&lt;=19)))))))))))))</f>
        <v>0</v>
      </c>
      <c r="AS362" t="b">
        <f>IF(Metadata!F362="",FALSE,TRUE)</f>
        <v>0</v>
      </c>
      <c r="AT362" t="b">
        <f>OR(AND(IF(Metadata!G362="",FALSE,TRUE),OR(EXACT(Metadata!G362,"not collected"),EXACT(Metadata!G362,"not provided"))),AND(IF(Metadata!G362="",FALSE,TRUE),OR(EXACT(Metadata!G362,"TRUE"),EXACT(Metadata!G362,"FALSE"))))</f>
        <v>0</v>
      </c>
      <c r="AU362" t="b">
        <f>OR(AND(IF(Metadata!H362="",FALSE,TRUE),OR(EXACT(Metadata!H362,"not collected"),EXACT(Metadata!H362,"not provided"),EXACT(Metadata!H362,"restricted access"))),AND(IF(Metadata!H362="",FALSE,ISNUMBER(VALUE(Metadata!H362))),Metadata!H362&gt;=-413))</f>
        <v>0</v>
      </c>
      <c r="AV362" t="b">
        <f>AND(IF(Metadata!I362="",FALSE,TRUE),EXACT(Metadata!I362,"meters"))</f>
        <v>0</v>
      </c>
      <c r="AW362" t="b">
        <f>AND(IF(Metadata!J362="",FALSE,TRUE),EXACT(Metadata!J362,"free-living"))</f>
        <v>0</v>
      </c>
      <c r="AX362" t="b">
        <f>AND(IF(Metadata!K362="",FALSE,TRUE),OR(EXACT(Metadata!K362,"saline"),EXACT(Metadata!K362,"non-saline")))</f>
        <v>0</v>
      </c>
      <c r="AY362" t="b">
        <f>AND(IF(Metadata!L362="",FALSE,TRUE),OR(EXACT(Metadata!L362,"sub-surface (non-saline)"),EXACT(Metadata!L362,"surface (non-saline)"),EXACT(Metadata!L362,"water (non-saline)"),EXACT(Metadata!L362,"soil (non-saline)"),EXACT(Metadata!L362,"aerosol (non-saline)"),EXACT(Metadata!L362,"sediment (non-saline)"),EXACT(Metadata!L362,"surface (saline)"),EXACT(Metadata!L362,"water (saline)"),EXACT(Metadata!L362,"hypersaline (saline)"),EXACT(Metadata!L362,"aerosol (saline)"),EXACT(Metadata!L362,"sediment (saline)")))</f>
        <v>0</v>
      </c>
      <c r="AZ362" t="b">
        <f>IF(Metadata!M362="",FALSE,TRUE)</f>
        <v>0</v>
      </c>
      <c r="BA362" t="b">
        <f>IF(Metadata!N362="",FALSE,TRUE)</f>
        <v>0</v>
      </c>
      <c r="BB362" t="b">
        <f>IF(Metadata!O362="",FALSE,TRUE)</f>
        <v>0</v>
      </c>
      <c r="BC362" t="b">
        <f>AND(IF(Metadata!P362="",FALSE,TRUE),OR(EXACT(Metadata!P362,"air"),EXACT(Metadata!P362,"microbial mat/biofilm"),EXACT(Metadata!P362,"misc environment"),EXACT(Metadata!P362,"sediment"),EXACT(Metadata!P362,"soil"),EXACT(Metadata!P362,"wastewater/sludge"),EXACT(Metadata!P362,"water")))</f>
        <v>0</v>
      </c>
      <c r="BD362" t="b">
        <f>IF(Metadata!Q362="",FALSE,TRUE)</f>
        <v>0</v>
      </c>
      <c r="BE362" t="b">
        <f>IF(Metadata!R362="",FALSE,TRUE)</f>
        <v>0</v>
      </c>
      <c r="BF362" t="b">
        <f>OR(AND(IF(Metadata!S362="",FALSE,TRUE),OR(EXACT(Metadata!S362,"not collected"),EXACT(Metadata!S362,"not provided"),EXACT(Metadata!S362,"restricted access"))),AND(IF(Metadata!S362="",FALSE,ISNUMBER(VALUE(Metadata!S362))),Metadata!S362&gt;=-90,Metadata!S362&lt;=90))</f>
        <v>0</v>
      </c>
      <c r="BG362" t="b">
        <f>AND(IF(Metadata!T362="",FALSE,TRUE),EXACT(Metadata!T362,"Decimal degrees"))</f>
        <v>0</v>
      </c>
      <c r="BH362" t="b">
        <f>OR(AND(IF(Metadata!U362="",FALSE,TRUE),OR(EXACT(Metadata!U362,"not applicable"),EXACT(Metadata!U362,"not collected"))),IF(Metadata!U362="",FALSE,TRUE))</f>
        <v>0</v>
      </c>
      <c r="BI362" t="b">
        <f>OR(AND(IF(Metadata!V362="",FALSE,TRUE),OR(EXACT(Metadata!V362,"not collected"),EXACT(Metadata!V362,"not provided"),EXACT(Metadata!V362,"restricted access"))),AND(IF(Metadata!V362="",FALSE,ISNUMBER(VALUE(Metadata!V362))),Metadata!V362&gt;=-180,Metadata!V362&lt;=180))</f>
        <v>0</v>
      </c>
      <c r="BJ362" t="b">
        <f>AND(IF(Metadata!W362="",FALSE,TRUE),EXACT(Metadata!W362,"Decimal degrees"))</f>
        <v>0</v>
      </c>
      <c r="BK362" t="b">
        <f>IF(Metadata!X362="",FALSE,TRUE)</f>
        <v>0</v>
      </c>
      <c r="BL362" t="b">
        <f>OR(AND(IF(Metadata!Y362="",FALSE,TRUE),OR(EXACT(Metadata!Y362,"not collected"),EXACT(Metadata!Y362,"not provided"),EXACT(Metadata!Y362,"restricted access"))),AND(IF(Metadata!Y362="",FALSE,TRUE),OR(EXACT(Metadata!Y362,"TRUE"),EXACT(Metadata!Y362,"FALSE"))))</f>
        <v>0</v>
      </c>
      <c r="BM362" t="b">
        <f>OR(AND(IF(Metadata!Z362="",FALSE,TRUE),EXACT(Metadata!Z362,"not applicable")),AND(IF(Metadata!Z362="",FALSE,TRUE),OR(EXACT(Metadata!Z362,"beer"),EXACT(Metadata!Z362,"cheese"),EXACT(Metadata!Z362,"fresh water"),EXACT(Metadata!Z362,"marine sediment"),EXACT(Metadata!Z362,"sea water"),EXACT(Metadata!Z362,"sediment"),EXACT(Metadata!Z362,"soil"),EXACT(Metadata!Z362,"waste water"))))</f>
        <v>0</v>
      </c>
      <c r="BN362" t="b">
        <f>AND(IF(Metadata!AA362="",FALSE,TRUE),EXACT(Metadata!AA362,"metagenome"))</f>
        <v>0</v>
      </c>
      <c r="BO362" t="b">
        <f>AND(IF(Metadata!AB362="",FALSE,TRUE),EXACT(Metadata!AB362,"256318"))</f>
        <v>0</v>
      </c>
      <c r="BP362" t="b">
        <f>IF(Metadata!AC362="",FALSE,TRUE)</f>
        <v>0</v>
      </c>
      <c r="BQ362" t="b">
        <f>IF(Metadata!AD362="",FALSE,TRUE)</f>
        <v>0</v>
      </c>
    </row>
    <row r="363" spans="1:69" x14ac:dyDescent="0.2">
      <c r="A363" s="4" t="e">
        <f ca="1">IF(B363=" "," ",HYPERLINK(CONCATENATE("#metadata!",ADDRESS(INDEX($AJ$2:$AJ$1001,MATCH(ROWS($AH$2:AH363),$AH$2:$AH$1001,0),0),2)),INDEX($AM$2:$AM$1001,MATCH(ROWS($AH$2:AH363),$AH$2:$AH$1001,0),0)))</f>
        <v>#N/A</v>
      </c>
      <c r="B363" s="5" t="e">
        <f ca="1">IF(OR(INDEX($AI$2:$AI$1001,MATCH(ROWS($AH$2:AH363),$AH$2:$AH$1001,0),1)&gt;=100000,INDEX($AO$1005:$BQ$1005,1,MATCH(COLUMNS($AO$1006:AO1006),$AO$1006:$BQ$1006,0))&gt;=100000), " ",IF(INDEX($AO$2:$BQ$1001,MATCH(ROWS($AH$2:AH363),$AH$2:$AH$1001,0),MATCH(COLUMNS($AO$1006:AO1006),$AO$1006:$BQ$1006,0)), HYPERLINK("#",""), HYPERLINK(CONCATENATE("#Metadata!", ADDRESS(INDEX($AJ$2:$AJ$1001,MATCH(ROWS($AH$2:AH363),$AH$2:$AH$1001,0),0), INDEX($AO$1004:$BQ$1004,1,MATCH(COLUMNS($AO$1006:AO1006),$AO$1006:$BQ$1006,0)))),"Fix")))</f>
        <v>#N/A</v>
      </c>
      <c r="C363" s="5" t="e">
        <f ca="1">IF(OR(INDEX($AI$2:$AI$1001,MATCH(ROWS($AH$2:AH363),$AH$2:$AH$1001,0),1)&gt;=100000,INDEX($AO$1005:$BQ$1005,1,MATCH(COLUMNS($AO$1006:AP1006),$AO$1006:$BQ$1006,0))&gt;=100000), " ",IF(INDEX($AO$2:$BQ$1001,MATCH(ROWS($AH$2:AH363),$AH$2:$AH$1001,0),MATCH(COLUMNS($AO$1006:AP1006),$AO$1006:$BQ$1006,0)), HYPERLINK("#",""), HYPERLINK(CONCATENATE("#Metadata!", ADDRESS(INDEX($AJ$2:$AJ$1001,MATCH(ROWS($AH$2:AH363),$AH$2:$AH$1001,0),0), INDEX($AO$1004:$BQ$1004,1,MATCH(COLUMNS($AO$1006:AP1006),$AO$1006:$BQ$1006,0)))),"Fix")))</f>
        <v>#N/A</v>
      </c>
      <c r="D363" s="5" t="e">
        <f ca="1">IF(OR(INDEX($AI$2:$AI$1001,MATCH(ROWS($AH$2:AH363),$AH$2:$AH$1001,0),1)&gt;=100000,INDEX($AO$1005:$BQ$1005,1,MATCH(COLUMNS($AO$1006:AQ1006),$AO$1006:$BQ$1006,0))&gt;=100000), " ",IF(INDEX($AO$2:$BQ$1001,MATCH(ROWS($AH$2:AH363),$AH$2:$AH$1001,0),MATCH(COLUMNS($AO$1006:AQ1006),$AO$1006:$BQ$1006,0)), HYPERLINK("#",""), HYPERLINK(CONCATENATE("#Metadata!", ADDRESS(INDEX($AJ$2:$AJ$1001,MATCH(ROWS($AH$2:AH363),$AH$2:$AH$1001,0),0), INDEX($AO$1004:$BQ$1004,1,MATCH(COLUMNS($AO$1006:AQ1006),$AO$1006:$BQ$1006,0)))),"Fix")))</f>
        <v>#N/A</v>
      </c>
      <c r="E363" s="5" t="e">
        <f ca="1">IF(OR(INDEX($AI$2:$AI$1001,MATCH(ROWS($AH$2:AH363),$AH$2:$AH$1001,0),1)&gt;=100000,INDEX($AO$1005:$BQ$1005,1,MATCH(COLUMNS($AO$1006:AR1006),$AO$1006:$BQ$1006,0))&gt;=100000), " ",IF(INDEX($AO$2:$BQ$1001,MATCH(ROWS($AH$2:AH363),$AH$2:$AH$1001,0),MATCH(COLUMNS($AO$1006:AR1006),$AO$1006:$BQ$1006,0)), HYPERLINK("#",""), HYPERLINK(CONCATENATE("#Metadata!", ADDRESS(INDEX($AJ$2:$AJ$1001,MATCH(ROWS($AH$2:AH363),$AH$2:$AH$1001,0),0), INDEX($AO$1004:$BQ$1004,1,MATCH(COLUMNS($AO$1006:AR1006),$AO$1006:$BQ$1006,0)))),"Fix")))</f>
        <v>#N/A</v>
      </c>
      <c r="F363" s="5" t="e">
        <f ca="1">IF(OR(INDEX($AI$2:$AI$1001,MATCH(ROWS($AH$2:AH363),$AH$2:$AH$1001,0),1)&gt;=100000,INDEX($AO$1005:$BQ$1005,1,MATCH(COLUMNS($AO$1006:AS1006),$AO$1006:$BQ$1006,0))&gt;=100000), " ",IF(INDEX($AO$2:$BQ$1001,MATCH(ROWS($AH$2:AH363),$AH$2:$AH$1001,0),MATCH(COLUMNS($AO$1006:AS1006),$AO$1006:$BQ$1006,0)), HYPERLINK("#",""), HYPERLINK(CONCATENATE("#Metadata!", ADDRESS(INDEX($AJ$2:$AJ$1001,MATCH(ROWS($AH$2:AH363),$AH$2:$AH$1001,0),0), INDEX($AO$1004:$BQ$1004,1,MATCH(COLUMNS($AO$1006:AS1006),$AO$1006:$BQ$1006,0)))),"Fix")))</f>
        <v>#N/A</v>
      </c>
      <c r="G363" s="5" t="e">
        <f ca="1">IF(OR(INDEX($AI$2:$AI$1001,MATCH(ROWS($AH$2:AH363),$AH$2:$AH$1001,0),1)&gt;=100000,INDEX($AO$1005:$BQ$1005,1,MATCH(COLUMNS($AO$1006:AT1006),$AO$1006:$BQ$1006,0))&gt;=100000), " ",IF(INDEX($AO$2:$BQ$1001,MATCH(ROWS($AH$2:AH363),$AH$2:$AH$1001,0),MATCH(COLUMNS($AO$1006:AT1006),$AO$1006:$BQ$1006,0)), HYPERLINK("#",""), HYPERLINK(CONCATENATE("#Metadata!", ADDRESS(INDEX($AJ$2:$AJ$1001,MATCH(ROWS($AH$2:AH363),$AH$2:$AH$1001,0),0), INDEX($AO$1004:$BQ$1004,1,MATCH(COLUMNS($AO$1006:AT1006),$AO$1006:$BQ$1006,0)))),"Fix")))</f>
        <v>#N/A</v>
      </c>
      <c r="H363" s="5" t="e">
        <f ca="1">IF(OR(INDEX($AI$2:$AI$1001,MATCH(ROWS($AH$2:AH363),$AH$2:$AH$1001,0),1)&gt;=100000,INDEX($AO$1005:$BQ$1005,1,MATCH(COLUMNS($AO$1006:AU1006),$AO$1006:$BQ$1006,0))&gt;=100000), " ",IF(INDEX($AO$2:$BQ$1001,MATCH(ROWS($AH$2:AH363),$AH$2:$AH$1001,0),MATCH(COLUMNS($AO$1006:AU1006),$AO$1006:$BQ$1006,0)), HYPERLINK("#",""), HYPERLINK(CONCATENATE("#Metadata!", ADDRESS(INDEX($AJ$2:$AJ$1001,MATCH(ROWS($AH$2:AH363),$AH$2:$AH$1001,0),0), INDEX($AO$1004:$BQ$1004,1,MATCH(COLUMNS($AO$1006:AU1006),$AO$1006:$BQ$1006,0)))),"Fix")))</f>
        <v>#N/A</v>
      </c>
      <c r="I363" s="5" t="e">
        <f ca="1">IF(OR(INDEX($AI$2:$AI$1001,MATCH(ROWS($AH$2:AH363),$AH$2:$AH$1001,0),1)&gt;=100000,INDEX($AO$1005:$BQ$1005,1,MATCH(COLUMNS($AO$1006:AV1006),$AO$1006:$BQ$1006,0))&gt;=100000), " ",IF(INDEX($AO$2:$BQ$1001,MATCH(ROWS($AH$2:AH363),$AH$2:$AH$1001,0),MATCH(COLUMNS($AO$1006:AV1006),$AO$1006:$BQ$1006,0)), HYPERLINK("#",""), HYPERLINK(CONCATENATE("#Metadata!", ADDRESS(INDEX($AJ$2:$AJ$1001,MATCH(ROWS($AH$2:AH363),$AH$2:$AH$1001,0),0), INDEX($AO$1004:$BQ$1004,1,MATCH(COLUMNS($AO$1006:AV1006),$AO$1006:$BQ$1006,0)))),"Fix")))</f>
        <v>#N/A</v>
      </c>
      <c r="J363" s="5" t="e">
        <f ca="1">IF(OR(INDEX($AI$2:$AI$1001,MATCH(ROWS($AH$2:AH363),$AH$2:$AH$1001,0),1)&gt;=100000,INDEX($AO$1005:$BQ$1005,1,MATCH(COLUMNS($AO$1006:AW1006),$AO$1006:$BQ$1006,0))&gt;=100000), " ",IF(INDEX($AO$2:$BQ$1001,MATCH(ROWS($AH$2:AH363),$AH$2:$AH$1001,0),MATCH(COLUMNS($AO$1006:AW1006),$AO$1006:$BQ$1006,0)), HYPERLINK("#",""), HYPERLINK(CONCATENATE("#Metadata!", ADDRESS(INDEX($AJ$2:$AJ$1001,MATCH(ROWS($AH$2:AH363),$AH$2:$AH$1001,0),0), INDEX($AO$1004:$BQ$1004,1,MATCH(COLUMNS($AO$1006:AW1006),$AO$1006:$BQ$1006,0)))),"Fix")))</f>
        <v>#N/A</v>
      </c>
      <c r="K363" s="5" t="e">
        <f ca="1">IF(OR(INDEX($AI$2:$AI$1001,MATCH(ROWS($AH$2:AH363),$AH$2:$AH$1001,0),1)&gt;=100000,INDEX($AO$1005:$BQ$1005,1,MATCH(COLUMNS($AO$1006:AX1006),$AO$1006:$BQ$1006,0))&gt;=100000), " ",IF(INDEX($AO$2:$BQ$1001,MATCH(ROWS($AH$2:AH363),$AH$2:$AH$1001,0),MATCH(COLUMNS($AO$1006:AX1006),$AO$1006:$BQ$1006,0)), HYPERLINK("#",""), HYPERLINK(CONCATENATE("#Metadata!", ADDRESS(INDEX($AJ$2:$AJ$1001,MATCH(ROWS($AH$2:AH363),$AH$2:$AH$1001,0),0), INDEX($AO$1004:$BQ$1004,1,MATCH(COLUMNS($AO$1006:AX1006),$AO$1006:$BQ$1006,0)))),"Fix")))</f>
        <v>#N/A</v>
      </c>
      <c r="L363" s="5" t="e">
        <f ca="1">IF(OR(INDEX($AI$2:$AI$1001,MATCH(ROWS($AH$2:AH363),$AH$2:$AH$1001,0),1)&gt;=100000,INDEX($AO$1005:$BQ$1005,1,MATCH(COLUMNS($AO$1006:AY1006),$AO$1006:$BQ$1006,0))&gt;=100000), " ",IF(INDEX($AO$2:$BQ$1001,MATCH(ROWS($AH$2:AH363),$AH$2:$AH$1001,0),MATCH(COLUMNS($AO$1006:AY1006),$AO$1006:$BQ$1006,0)), HYPERLINK("#",""), HYPERLINK(CONCATENATE("#Metadata!", ADDRESS(INDEX($AJ$2:$AJ$1001,MATCH(ROWS($AH$2:AH363),$AH$2:$AH$1001,0),0), INDEX($AO$1004:$BQ$1004,1,MATCH(COLUMNS($AO$1006:AY1006),$AO$1006:$BQ$1006,0)))),"Fix")))</f>
        <v>#N/A</v>
      </c>
      <c r="M363" s="5" t="e">
        <f ca="1">IF(OR(INDEX($AI$2:$AI$1001,MATCH(ROWS($AH$2:AH363),$AH$2:$AH$1001,0),1)&gt;=100000,INDEX($AO$1005:$BQ$1005,1,MATCH(COLUMNS($AO$1006:AZ1006),$AO$1006:$BQ$1006,0))&gt;=100000), " ",IF(INDEX($AO$2:$BQ$1001,MATCH(ROWS($AH$2:AH363),$AH$2:$AH$1001,0),MATCH(COLUMNS($AO$1006:AZ1006),$AO$1006:$BQ$1006,0)), HYPERLINK("#",""), HYPERLINK(CONCATENATE("#Metadata!", ADDRESS(INDEX($AJ$2:$AJ$1001,MATCH(ROWS($AH$2:AH363),$AH$2:$AH$1001,0),0), INDEX($AO$1004:$BQ$1004,1,MATCH(COLUMNS($AO$1006:AZ1006),$AO$1006:$BQ$1006,0)))),"Fix")))</f>
        <v>#N/A</v>
      </c>
      <c r="N363" s="5" t="e">
        <f ca="1">IF(OR(INDEX($AI$2:$AI$1001,MATCH(ROWS($AH$2:AH363),$AH$2:$AH$1001,0),1)&gt;=100000,INDEX($AO$1005:$BQ$1005,1,MATCH(COLUMNS($AO$1006:BA1006),$AO$1006:$BQ$1006,0))&gt;=100000), " ",IF(INDEX($AO$2:$BQ$1001,MATCH(ROWS($AH$2:AH363),$AH$2:$AH$1001,0),MATCH(COLUMNS($AO$1006:BA1006),$AO$1006:$BQ$1006,0)), HYPERLINK("#",""), HYPERLINK(CONCATENATE("#Metadata!", ADDRESS(INDEX($AJ$2:$AJ$1001,MATCH(ROWS($AH$2:AH363),$AH$2:$AH$1001,0),0), INDEX($AO$1004:$BQ$1004,1,MATCH(COLUMNS($AO$1006:BA1006),$AO$1006:$BQ$1006,0)))),"Fix")))</f>
        <v>#N/A</v>
      </c>
      <c r="O363" s="5" t="e">
        <f ca="1">IF(OR(INDEX($AI$2:$AI$1001,MATCH(ROWS($AH$2:AH363),$AH$2:$AH$1001,0),1)&gt;=100000,INDEX($AO$1005:$BQ$1005,1,MATCH(COLUMNS($AO$1006:BB1006),$AO$1006:$BQ$1006,0))&gt;=100000), " ",IF(INDEX($AO$2:$BQ$1001,MATCH(ROWS($AH$2:AH363),$AH$2:$AH$1001,0),MATCH(COLUMNS($AO$1006:BB1006),$AO$1006:$BQ$1006,0)), HYPERLINK("#",""), HYPERLINK(CONCATENATE("#Metadata!", ADDRESS(INDEX($AJ$2:$AJ$1001,MATCH(ROWS($AH$2:AH363),$AH$2:$AH$1001,0),0), INDEX($AO$1004:$BQ$1004,1,MATCH(COLUMNS($AO$1006:BB1006),$AO$1006:$BQ$1006,0)))),"Fix")))</f>
        <v>#N/A</v>
      </c>
      <c r="P363" s="5" t="e">
        <f ca="1">IF(OR(INDEX($AI$2:$AI$1001,MATCH(ROWS($AH$2:AH363),$AH$2:$AH$1001,0),1)&gt;=100000,INDEX($AO$1005:$BQ$1005,1,MATCH(COLUMNS($AO$1006:BC1006),$AO$1006:$BQ$1006,0))&gt;=100000), " ",IF(INDEX($AO$2:$BQ$1001,MATCH(ROWS($AH$2:AH363),$AH$2:$AH$1001,0),MATCH(COLUMNS($AO$1006:BC1006),$AO$1006:$BQ$1006,0)), HYPERLINK("#",""), HYPERLINK(CONCATENATE("#Metadata!", ADDRESS(INDEX($AJ$2:$AJ$1001,MATCH(ROWS($AH$2:AH363),$AH$2:$AH$1001,0),0), INDEX($AO$1004:$BQ$1004,1,MATCH(COLUMNS($AO$1006:BC1006),$AO$1006:$BQ$1006,0)))),"Fix")))</f>
        <v>#N/A</v>
      </c>
      <c r="Q363" s="5" t="e">
        <f ca="1">IF(OR(INDEX($AI$2:$AI$1001,MATCH(ROWS($AH$2:AH363),$AH$2:$AH$1001,0),1)&gt;=100000,INDEX($AO$1005:$BQ$1005,1,MATCH(COLUMNS($AO$1006:BD1006),$AO$1006:$BQ$1006,0))&gt;=100000), " ",IF(INDEX($AO$2:$BQ$1001,MATCH(ROWS($AH$2:AH363),$AH$2:$AH$1001,0),MATCH(COLUMNS($AO$1006:BD1006),$AO$1006:$BQ$1006,0)), HYPERLINK("#",""), HYPERLINK(CONCATENATE("#Metadata!", ADDRESS(INDEX($AJ$2:$AJ$1001,MATCH(ROWS($AH$2:AH363),$AH$2:$AH$1001,0),0), INDEX($AO$1004:$BQ$1004,1,MATCH(COLUMNS($AO$1006:BD1006),$AO$1006:$BQ$1006,0)))),"Fix")))</f>
        <v>#N/A</v>
      </c>
      <c r="R363" s="5" t="e">
        <f ca="1">IF(OR(INDEX($AI$2:$AI$1001,MATCH(ROWS($AH$2:AH363),$AH$2:$AH$1001,0),1)&gt;=100000,INDEX($AO$1005:$BQ$1005,1,MATCH(COLUMNS($AO$1006:BE1006),$AO$1006:$BQ$1006,0))&gt;=100000), " ",IF(INDEX($AO$2:$BQ$1001,MATCH(ROWS($AH$2:AH363),$AH$2:$AH$1001,0),MATCH(COLUMNS($AO$1006:BE1006),$AO$1006:$BQ$1006,0)), HYPERLINK("#",""), HYPERLINK(CONCATENATE("#Metadata!", ADDRESS(INDEX($AJ$2:$AJ$1001,MATCH(ROWS($AH$2:AH363),$AH$2:$AH$1001,0),0), INDEX($AO$1004:$BQ$1004,1,MATCH(COLUMNS($AO$1006:BE1006),$AO$1006:$BQ$1006,0)))),"Fix")))</f>
        <v>#N/A</v>
      </c>
      <c r="S363" s="5" t="e">
        <f ca="1">IF(OR(INDEX($AI$2:$AI$1001,MATCH(ROWS($AH$2:AH363),$AH$2:$AH$1001,0),1)&gt;=100000,INDEX($AO$1005:$BQ$1005,1,MATCH(COLUMNS($AO$1006:BF1006),$AO$1006:$BQ$1006,0))&gt;=100000), " ",IF(INDEX($AO$2:$BQ$1001,MATCH(ROWS($AH$2:AH363),$AH$2:$AH$1001,0),MATCH(COLUMNS($AO$1006:BF1006),$AO$1006:$BQ$1006,0)), HYPERLINK("#",""), HYPERLINK(CONCATENATE("#Metadata!", ADDRESS(INDEX($AJ$2:$AJ$1001,MATCH(ROWS($AH$2:AH363),$AH$2:$AH$1001,0),0), INDEX($AO$1004:$BQ$1004,1,MATCH(COLUMNS($AO$1006:BF1006),$AO$1006:$BQ$1006,0)))),"Fix")))</f>
        <v>#N/A</v>
      </c>
      <c r="T363" s="5" t="e">
        <f ca="1">IF(OR(INDEX($AI$2:$AI$1001,MATCH(ROWS($AH$2:AH363),$AH$2:$AH$1001,0),1)&gt;=100000,INDEX($AO$1005:$BQ$1005,1,MATCH(COLUMNS($AO$1006:BG1006),$AO$1006:$BQ$1006,0))&gt;=100000), " ",IF(INDEX($AO$2:$BQ$1001,MATCH(ROWS($AH$2:AH363),$AH$2:$AH$1001,0),MATCH(COLUMNS($AO$1006:BG1006),$AO$1006:$BQ$1006,0)), HYPERLINK("#",""), HYPERLINK(CONCATENATE("#Metadata!", ADDRESS(INDEX($AJ$2:$AJ$1001,MATCH(ROWS($AH$2:AH363),$AH$2:$AH$1001,0),0), INDEX($AO$1004:$BQ$1004,1,MATCH(COLUMNS($AO$1006:BG1006),$AO$1006:$BQ$1006,0)))),"Fix")))</f>
        <v>#N/A</v>
      </c>
      <c r="U363" s="5" t="e">
        <f ca="1">IF(OR(INDEX($AI$2:$AI$1001,MATCH(ROWS($AH$2:AH363),$AH$2:$AH$1001,0),1)&gt;=100000,INDEX($AO$1005:$BQ$1005,1,MATCH(COLUMNS($AO$1006:BH1006),$AO$1006:$BQ$1006,0))&gt;=100000), " ",IF(INDEX($AO$2:$BQ$1001,MATCH(ROWS($AH$2:AH363),$AH$2:$AH$1001,0),MATCH(COLUMNS($AO$1006:BH1006),$AO$1006:$BQ$1006,0)), HYPERLINK("#",""), HYPERLINK(CONCATENATE("#Metadata!", ADDRESS(INDEX($AJ$2:$AJ$1001,MATCH(ROWS($AH$2:AH363),$AH$2:$AH$1001,0),0), INDEX($AO$1004:$BQ$1004,1,MATCH(COLUMNS($AO$1006:BH1006),$AO$1006:$BQ$1006,0)))),"Fix")))</f>
        <v>#N/A</v>
      </c>
      <c r="V363" s="5" t="e">
        <f ca="1">IF(OR(INDEX($AI$2:$AI$1001,MATCH(ROWS($AH$2:AH363),$AH$2:$AH$1001,0),1)&gt;=100000,INDEX($AO$1005:$BQ$1005,1,MATCH(COLUMNS($AO$1006:BI1006),$AO$1006:$BQ$1006,0))&gt;=100000), " ",IF(INDEX($AO$2:$BQ$1001,MATCH(ROWS($AH$2:AH363),$AH$2:$AH$1001,0),MATCH(COLUMNS($AO$1006:BI1006),$AO$1006:$BQ$1006,0)), HYPERLINK("#",""), HYPERLINK(CONCATENATE("#Metadata!", ADDRESS(INDEX($AJ$2:$AJ$1001,MATCH(ROWS($AH$2:AH363),$AH$2:$AH$1001,0),0), INDEX($AO$1004:$BQ$1004,1,MATCH(COLUMNS($AO$1006:BI1006),$AO$1006:$BQ$1006,0)))),"Fix")))</f>
        <v>#N/A</v>
      </c>
      <c r="W363" s="5" t="e">
        <f ca="1">IF(OR(INDEX($AI$2:$AI$1001,MATCH(ROWS($AH$2:AH363),$AH$2:$AH$1001,0),1)&gt;=100000,INDEX($AO$1005:$BQ$1005,1,MATCH(COLUMNS($AO$1006:BJ1006),$AO$1006:$BQ$1006,0))&gt;=100000), " ",IF(INDEX($AO$2:$BQ$1001,MATCH(ROWS($AH$2:AH363),$AH$2:$AH$1001,0),MATCH(COLUMNS($AO$1006:BJ1006),$AO$1006:$BQ$1006,0)), HYPERLINK("#",""), HYPERLINK(CONCATENATE("#Metadata!", ADDRESS(INDEX($AJ$2:$AJ$1001,MATCH(ROWS($AH$2:AH363),$AH$2:$AH$1001,0),0), INDEX($AO$1004:$BQ$1004,1,MATCH(COLUMNS($AO$1006:BJ1006),$AO$1006:$BQ$1006,0)))),"Fix")))</f>
        <v>#N/A</v>
      </c>
      <c r="X363" s="5" t="e">
        <f ca="1">IF(OR(INDEX($AI$2:$AI$1001,MATCH(ROWS($AH$2:AH363),$AH$2:$AH$1001,0),1)&gt;=100000,INDEX($AO$1005:$BQ$1005,1,MATCH(COLUMNS($AO$1006:BK1006),$AO$1006:$BQ$1006,0))&gt;=100000), " ",IF(INDEX($AO$2:$BQ$1001,MATCH(ROWS($AH$2:AH363),$AH$2:$AH$1001,0),MATCH(COLUMNS($AO$1006:BK1006),$AO$1006:$BQ$1006,0)), HYPERLINK("#",""), HYPERLINK(CONCATENATE("#Metadata!", ADDRESS(INDEX($AJ$2:$AJ$1001,MATCH(ROWS($AH$2:AH363),$AH$2:$AH$1001,0),0), INDEX($AO$1004:$BQ$1004,1,MATCH(COLUMNS($AO$1006:BK1006),$AO$1006:$BQ$1006,0)))),"Fix")))</f>
        <v>#N/A</v>
      </c>
      <c r="Y363" s="5" t="e">
        <f ca="1">IF(OR(INDEX($AI$2:$AI$1001,MATCH(ROWS($AH$2:AH363),$AH$2:$AH$1001,0),1)&gt;=100000,INDEX($AO$1005:$BQ$1005,1,MATCH(COLUMNS($AO$1006:BL1006),$AO$1006:$BQ$1006,0))&gt;=100000), " ",IF(INDEX($AO$2:$BQ$1001,MATCH(ROWS($AH$2:AH363),$AH$2:$AH$1001,0),MATCH(COLUMNS($AO$1006:BL1006),$AO$1006:$BQ$1006,0)), HYPERLINK("#",""), HYPERLINK(CONCATENATE("#Metadata!", ADDRESS(INDEX($AJ$2:$AJ$1001,MATCH(ROWS($AH$2:AH363),$AH$2:$AH$1001,0),0), INDEX($AO$1004:$BQ$1004,1,MATCH(COLUMNS($AO$1006:BL1006),$AO$1006:$BQ$1006,0)))),"Fix")))</f>
        <v>#N/A</v>
      </c>
      <c r="Z363" s="5" t="e">
        <f ca="1">IF(OR(INDEX($AI$2:$AI$1001,MATCH(ROWS($AH$2:AH363),$AH$2:$AH$1001,0),1)&gt;=100000,INDEX($AO$1005:$BQ$1005,1,MATCH(COLUMNS($AO$1006:BM1006),$AO$1006:$BQ$1006,0))&gt;=100000), " ",IF(INDEX($AO$2:$BQ$1001,MATCH(ROWS($AH$2:AH363),$AH$2:$AH$1001,0),MATCH(COLUMNS($AO$1006:BM1006),$AO$1006:$BQ$1006,0)), HYPERLINK("#",""), HYPERLINK(CONCATENATE("#Metadata!", ADDRESS(INDEX($AJ$2:$AJ$1001,MATCH(ROWS($AH$2:AH363),$AH$2:$AH$1001,0),0), INDEX($AO$1004:$BQ$1004,1,MATCH(COLUMNS($AO$1006:BM1006),$AO$1006:$BQ$1006,0)))),"Fix")))</f>
        <v>#N/A</v>
      </c>
      <c r="AA363" s="5" t="e">
        <f ca="1">IF(OR(INDEX($AI$2:$AI$1001,MATCH(ROWS($AH$2:AH363),$AH$2:$AH$1001,0),1)&gt;=100000,INDEX($AO$1005:$BQ$1005,1,MATCH(COLUMNS($AO$1006:BN1006),$AO$1006:$BQ$1006,0))&gt;=100000), " ",IF(INDEX($AO$2:$BQ$1001,MATCH(ROWS($AH$2:AH363),$AH$2:$AH$1001,0),MATCH(COLUMNS($AO$1006:BN1006),$AO$1006:$BQ$1006,0)), HYPERLINK("#",""), HYPERLINK(CONCATENATE("#Metadata!", ADDRESS(INDEX($AJ$2:$AJ$1001,MATCH(ROWS($AH$2:AH363),$AH$2:$AH$1001,0),0), INDEX($AO$1004:$BQ$1004,1,MATCH(COLUMNS($AO$1006:BN1006),$AO$1006:$BQ$1006,0)))),"Fix")))</f>
        <v>#N/A</v>
      </c>
      <c r="AB363" s="5" t="e">
        <f ca="1">IF(OR(INDEX($AI$2:$AI$1001,MATCH(ROWS($AH$2:AH363),$AH$2:$AH$1001,0),1)&gt;=100000,INDEX($AO$1005:$BQ$1005,1,MATCH(COLUMNS($AO$1006:BO1006),$AO$1006:$BQ$1006,0))&gt;=100000), " ",IF(INDEX($AO$2:$BQ$1001,MATCH(ROWS($AH$2:AH363),$AH$2:$AH$1001,0),MATCH(COLUMNS($AO$1006:BO1006),$AO$1006:$BQ$1006,0)), HYPERLINK("#",""), HYPERLINK(CONCATENATE("#Metadata!", ADDRESS(INDEX($AJ$2:$AJ$1001,MATCH(ROWS($AH$2:AH363),$AH$2:$AH$1001,0),0), INDEX($AO$1004:$BQ$1004,1,MATCH(COLUMNS($AO$1006:BO1006),$AO$1006:$BQ$1006,0)))),"Fix")))</f>
        <v>#N/A</v>
      </c>
      <c r="AC363" s="5" t="e">
        <f ca="1">IF(OR(INDEX($AI$2:$AI$1001,MATCH(ROWS($AH$2:AH363),$AH$2:$AH$1001,0),1)&gt;=100000,INDEX($AO$1005:$BQ$1005,1,MATCH(COLUMNS($AO$1006:BP1006),$AO$1006:$BQ$1006,0))&gt;=100000), " ",IF(INDEX($AO$2:$BQ$1001,MATCH(ROWS($AH$2:AH363),$AH$2:$AH$1001,0),MATCH(COLUMNS($AO$1006:BP1006),$AO$1006:$BQ$1006,0)), HYPERLINK("#",""), HYPERLINK(CONCATENATE("#Metadata!", ADDRESS(INDEX($AJ$2:$AJ$1001,MATCH(ROWS($AH$2:AH363),$AH$2:$AH$1001,0),0), INDEX($AO$1004:$BQ$1004,1,MATCH(COLUMNS($AO$1006:BP1006),$AO$1006:$BQ$1006,0)))),"Fix")))</f>
        <v>#N/A</v>
      </c>
      <c r="AD363" s="5" t="e">
        <f ca="1">IF(OR(INDEX($AI$2:$AI$1001,MATCH(ROWS($AH$2:AH363),$AH$2:$AH$1001,0),1)&gt;=100000,INDEX($AO$1005:$BQ$1005,1,MATCH(COLUMNS($AO$1006:BQ1006),$AO$1006:$BQ$1006,0))&gt;=100000), " ",IF(INDEX($AO$2:$BQ$1001,MATCH(ROWS($AH$2:AH363),$AH$2:$AH$1001,0),MATCH(COLUMNS($AO$1006:BQ1006),$AO$1006:$BQ$1006,0)), HYPERLINK("#",""), HYPERLINK(CONCATENATE("#Metadata!", ADDRESS(INDEX($AJ$2:$AJ$1001,MATCH(ROWS($AH$2:AH363),$AH$2:$AH$1001,0),0), INDEX($AO$1004:$BQ$1004,1,MATCH(COLUMNS($AO$1006:BQ1006),$AO$1006:$BQ$1006,0)))),"Fix")))</f>
        <v>#REF!</v>
      </c>
      <c r="AH363">
        <f ca="1"/>
        <v>360</v>
      </c>
      <c r="AI363">
        <v>100363</v>
      </c>
      <c r="AJ363">
        <v>363</v>
      </c>
      <c r="AK363" t="b">
        <f t="shared" si="5"/>
        <v>1</v>
      </c>
      <c r="AL363" t="b">
        <f>COUNTBLANK(Metadata!B363:AD363)=COLUMNS(Metadata!B363:AD363)</f>
        <v>1</v>
      </c>
      <c r="AM363" t="str">
        <v/>
      </c>
      <c r="AO363" t="b">
        <f ca="1">AND(IF(Metadata!B363="",FALSE,TRUE),COUNTIF(Metadata!B:B, Metadata!B363) = 1,NOT(ISERROR(SUMPRODUCT(SEARCH(MID(Metadata!B363,ROW(INDIRECT("1:"&amp;LEN(Metadata!B363))), 1),"0123456789abcdefghijklmnopqrstuvwxyzABCDEFGHIJKLMNOPQRSTUVWXYZ.")))))</f>
        <v>0</v>
      </c>
      <c r="AP363" t="b">
        <f>IF(Metadata!C363="",FALSE,TRUE)</f>
        <v>0</v>
      </c>
      <c r="AQ363" t="b">
        <f>IF(Metadata!D363="",FALSE,TRUE)</f>
        <v>0</v>
      </c>
      <c r="AR363" t="b">
        <f ca="1">OR(AND(IF(Metadata!E363="",FALSE,TRUE),OR(EXACT(Metadata!E363,"not collected"),EXACT(Metadata!E363,"not provided"),EXACT(Metadata!E363,"restricted access"))),AND(IF(Metadata!E363="",FALSE,TRUE),AND(AND(IFERROR(INT(LEFT(Metadata!E363,4))&gt;1900,FALSE),IFERROR(INT(LEFT(Metadata!E363,4))&lt;=YEAR(NOW()),FALSE)), OR(MID(Metadata!E363,5,1)="", AND(AND(MID(Metadata!E363,5,1)="-",IFERROR(INT(MID(Metadata!E363,6,1))&gt;=0,FALSE),IFERROR(INT(MID(Metadata!E363,6,1))&lt;=1,FALSE),NOT(MID(Metadata!E363,7,1)=""),IFERROR(INT(MID(Metadata!E363,6,2))&gt;=1,FALSE),IFERROR(INT(MID(Metadata!E363,6,2))&lt;=12,FALSE)), OR(MID(Metadata!E363,8,1)="", AND(AND(MID(Metadata!E363,8,1)="-",IFERROR(INT(MID(Metadata!E363,9,1))&gt;=0,FALSE),IFERROR(INT(MID(Metadata!E363,9,1))&lt;=3,FALSE),NOT(MID(Metadata!E363,10,1)=""),IFERROR(INT(MID(Metadata!E363,9,2))&gt;=1,FALSE),IFERROR(INT(MID(Metadata!E363,9,2))&lt;=31,FALSE)), OR(MID(Metadata!E363,11,1)="", AND(AND(MID(Metadata!E363,11,1)=" ",IFERROR(INT(MID(Metadata!E363,12,1))&gt;=0,FALSE),IFERROR(INT(MID(Metadata!E363,12,1))&lt;=2,FALSE),NOT(MID(Metadata!E363,13,1)=""),IFERROR(INT(MID(Metadata!E363,12,2))&gt;=0,FALSE),IFERROR(INT(MID(Metadata!E363,12,2))&lt;=23,FALSE)), OR(MID(Metadata!E363,14,1)="", AND(AND(MID(Metadata!E363,14,1)=":",IFERROR(INT(MID(Metadata!E363,15,1))&gt;=0,FALSE),IFERROR(INT(MID(Metadata!E363,15,1))&lt;=5,FALSE),NOT(MID(Metadata!E363,16,1)=""),IFERROR(INT(MID(Metadata!E363,15,2))&gt;=0,FALSE),IFERROR(INT(MID(Metadata!E363,15,2))&lt;=59,FALSE)), OR(MID(Metadata!E363,17,1)="", AND(AND(MID(Metadata!E363,17,1)=":",IFERROR(INT(MID(Metadata!E363,18,1))&gt;=0,FALSE),IFERROR(INT(MID(Metadata!E363,18,1))&lt;=5,FALSE),NOT(MID(Metadata!E363,19,1)=""),IFERROR(INT(MID(Metadata!E363,18,2))&gt;=0,FALSE),IFERROR(INT(MID(Metadata!E363,18,2))&lt;=59,FALSE)), LEN(Metadata!E363)&lt;=19)))))))))))))</f>
        <v>0</v>
      </c>
      <c r="AS363" t="b">
        <f>IF(Metadata!F363="",FALSE,TRUE)</f>
        <v>0</v>
      </c>
      <c r="AT363" t="b">
        <f>OR(AND(IF(Metadata!G363="",FALSE,TRUE),OR(EXACT(Metadata!G363,"not collected"),EXACT(Metadata!G363,"not provided"))),AND(IF(Metadata!G363="",FALSE,TRUE),OR(EXACT(Metadata!G363,"TRUE"),EXACT(Metadata!G363,"FALSE"))))</f>
        <v>0</v>
      </c>
      <c r="AU363" t="b">
        <f>OR(AND(IF(Metadata!H363="",FALSE,TRUE),OR(EXACT(Metadata!H363,"not collected"),EXACT(Metadata!H363,"not provided"),EXACT(Metadata!H363,"restricted access"))),AND(IF(Metadata!H363="",FALSE,ISNUMBER(VALUE(Metadata!H363))),Metadata!H363&gt;=-413))</f>
        <v>0</v>
      </c>
      <c r="AV363" t="b">
        <f>AND(IF(Metadata!I363="",FALSE,TRUE),EXACT(Metadata!I363,"meters"))</f>
        <v>0</v>
      </c>
      <c r="AW363" t="b">
        <f>AND(IF(Metadata!J363="",FALSE,TRUE),EXACT(Metadata!J363,"free-living"))</f>
        <v>0</v>
      </c>
      <c r="AX363" t="b">
        <f>AND(IF(Metadata!K363="",FALSE,TRUE),OR(EXACT(Metadata!K363,"saline"),EXACT(Metadata!K363,"non-saline")))</f>
        <v>0</v>
      </c>
      <c r="AY363" t="b">
        <f>AND(IF(Metadata!L363="",FALSE,TRUE),OR(EXACT(Metadata!L363,"sub-surface (non-saline)"),EXACT(Metadata!L363,"surface (non-saline)"),EXACT(Metadata!L363,"water (non-saline)"),EXACT(Metadata!L363,"soil (non-saline)"),EXACT(Metadata!L363,"aerosol (non-saline)"),EXACT(Metadata!L363,"sediment (non-saline)"),EXACT(Metadata!L363,"surface (saline)"),EXACT(Metadata!L363,"water (saline)"),EXACT(Metadata!L363,"hypersaline (saline)"),EXACT(Metadata!L363,"aerosol (saline)"),EXACT(Metadata!L363,"sediment (saline)")))</f>
        <v>0</v>
      </c>
      <c r="AZ363" t="b">
        <f>IF(Metadata!M363="",FALSE,TRUE)</f>
        <v>0</v>
      </c>
      <c r="BA363" t="b">
        <f>IF(Metadata!N363="",FALSE,TRUE)</f>
        <v>0</v>
      </c>
      <c r="BB363" t="b">
        <f>IF(Metadata!O363="",FALSE,TRUE)</f>
        <v>0</v>
      </c>
      <c r="BC363" t="b">
        <f>AND(IF(Metadata!P363="",FALSE,TRUE),OR(EXACT(Metadata!P363,"air"),EXACT(Metadata!P363,"microbial mat/biofilm"),EXACT(Metadata!P363,"misc environment"),EXACT(Metadata!P363,"sediment"),EXACT(Metadata!P363,"soil"),EXACT(Metadata!P363,"wastewater/sludge"),EXACT(Metadata!P363,"water")))</f>
        <v>0</v>
      </c>
      <c r="BD363" t="b">
        <f>IF(Metadata!Q363="",FALSE,TRUE)</f>
        <v>0</v>
      </c>
      <c r="BE363" t="b">
        <f>IF(Metadata!R363="",FALSE,TRUE)</f>
        <v>0</v>
      </c>
      <c r="BF363" t="b">
        <f>OR(AND(IF(Metadata!S363="",FALSE,TRUE),OR(EXACT(Metadata!S363,"not collected"),EXACT(Metadata!S363,"not provided"),EXACT(Metadata!S363,"restricted access"))),AND(IF(Metadata!S363="",FALSE,ISNUMBER(VALUE(Metadata!S363))),Metadata!S363&gt;=-90,Metadata!S363&lt;=90))</f>
        <v>0</v>
      </c>
      <c r="BG363" t="b">
        <f>AND(IF(Metadata!T363="",FALSE,TRUE),EXACT(Metadata!T363,"Decimal degrees"))</f>
        <v>0</v>
      </c>
      <c r="BH363" t="b">
        <f>OR(AND(IF(Metadata!U363="",FALSE,TRUE),OR(EXACT(Metadata!U363,"not applicable"),EXACT(Metadata!U363,"not collected"))),IF(Metadata!U363="",FALSE,TRUE))</f>
        <v>0</v>
      </c>
      <c r="BI363" t="b">
        <f>OR(AND(IF(Metadata!V363="",FALSE,TRUE),OR(EXACT(Metadata!V363,"not collected"),EXACT(Metadata!V363,"not provided"),EXACT(Metadata!V363,"restricted access"))),AND(IF(Metadata!V363="",FALSE,ISNUMBER(VALUE(Metadata!V363))),Metadata!V363&gt;=-180,Metadata!V363&lt;=180))</f>
        <v>0</v>
      </c>
      <c r="BJ363" t="b">
        <f>AND(IF(Metadata!W363="",FALSE,TRUE),EXACT(Metadata!W363,"Decimal degrees"))</f>
        <v>0</v>
      </c>
      <c r="BK363" t="b">
        <f>IF(Metadata!X363="",FALSE,TRUE)</f>
        <v>0</v>
      </c>
      <c r="BL363" t="b">
        <f>OR(AND(IF(Metadata!Y363="",FALSE,TRUE),OR(EXACT(Metadata!Y363,"not collected"),EXACT(Metadata!Y363,"not provided"),EXACT(Metadata!Y363,"restricted access"))),AND(IF(Metadata!Y363="",FALSE,TRUE),OR(EXACT(Metadata!Y363,"TRUE"),EXACT(Metadata!Y363,"FALSE"))))</f>
        <v>0</v>
      </c>
      <c r="BM363" t="b">
        <f>OR(AND(IF(Metadata!Z363="",FALSE,TRUE),EXACT(Metadata!Z363,"not applicable")),AND(IF(Metadata!Z363="",FALSE,TRUE),OR(EXACT(Metadata!Z363,"beer"),EXACT(Metadata!Z363,"cheese"),EXACT(Metadata!Z363,"fresh water"),EXACT(Metadata!Z363,"marine sediment"),EXACT(Metadata!Z363,"sea water"),EXACT(Metadata!Z363,"sediment"),EXACT(Metadata!Z363,"soil"),EXACT(Metadata!Z363,"waste water"))))</f>
        <v>0</v>
      </c>
      <c r="BN363" t="b">
        <f>AND(IF(Metadata!AA363="",FALSE,TRUE),EXACT(Metadata!AA363,"metagenome"))</f>
        <v>0</v>
      </c>
      <c r="BO363" t="b">
        <f>AND(IF(Metadata!AB363="",FALSE,TRUE),EXACT(Metadata!AB363,"256318"))</f>
        <v>0</v>
      </c>
      <c r="BP363" t="b">
        <f>IF(Metadata!AC363="",FALSE,TRUE)</f>
        <v>0</v>
      </c>
      <c r="BQ363" t="b">
        <f>IF(Metadata!AD363="",FALSE,TRUE)</f>
        <v>0</v>
      </c>
    </row>
    <row r="364" spans="1:69" x14ac:dyDescent="0.2">
      <c r="A364" s="4" t="e">
        <f ca="1">IF(B364=" "," ",HYPERLINK(CONCATENATE("#metadata!",ADDRESS(INDEX($AJ$2:$AJ$1001,MATCH(ROWS($AH$2:AH364),$AH$2:$AH$1001,0),0),2)),INDEX($AM$2:$AM$1001,MATCH(ROWS($AH$2:AH364),$AH$2:$AH$1001,0),0)))</f>
        <v>#N/A</v>
      </c>
      <c r="B364" s="5" t="e">
        <f ca="1">IF(OR(INDEX($AI$2:$AI$1001,MATCH(ROWS($AH$2:AH364),$AH$2:$AH$1001,0),1)&gt;=100000,INDEX($AO$1005:$BQ$1005,1,MATCH(COLUMNS($AO$1006:AO1006),$AO$1006:$BQ$1006,0))&gt;=100000), " ",IF(INDEX($AO$2:$BQ$1001,MATCH(ROWS($AH$2:AH364),$AH$2:$AH$1001,0),MATCH(COLUMNS($AO$1006:AO1006),$AO$1006:$BQ$1006,0)), HYPERLINK("#",""), HYPERLINK(CONCATENATE("#Metadata!", ADDRESS(INDEX($AJ$2:$AJ$1001,MATCH(ROWS($AH$2:AH364),$AH$2:$AH$1001,0),0), INDEX($AO$1004:$BQ$1004,1,MATCH(COLUMNS($AO$1006:AO1006),$AO$1006:$BQ$1006,0)))),"Fix")))</f>
        <v>#N/A</v>
      </c>
      <c r="C364" s="5" t="e">
        <f ca="1">IF(OR(INDEX($AI$2:$AI$1001,MATCH(ROWS($AH$2:AH364),$AH$2:$AH$1001,0),1)&gt;=100000,INDEX($AO$1005:$BQ$1005,1,MATCH(COLUMNS($AO$1006:AP1006),$AO$1006:$BQ$1006,0))&gt;=100000), " ",IF(INDEX($AO$2:$BQ$1001,MATCH(ROWS($AH$2:AH364),$AH$2:$AH$1001,0),MATCH(COLUMNS($AO$1006:AP1006),$AO$1006:$BQ$1006,0)), HYPERLINK("#",""), HYPERLINK(CONCATENATE("#Metadata!", ADDRESS(INDEX($AJ$2:$AJ$1001,MATCH(ROWS($AH$2:AH364),$AH$2:$AH$1001,0),0), INDEX($AO$1004:$BQ$1004,1,MATCH(COLUMNS($AO$1006:AP1006),$AO$1006:$BQ$1006,0)))),"Fix")))</f>
        <v>#N/A</v>
      </c>
      <c r="D364" s="5" t="e">
        <f ca="1">IF(OR(INDEX($AI$2:$AI$1001,MATCH(ROWS($AH$2:AH364),$AH$2:$AH$1001,0),1)&gt;=100000,INDEX($AO$1005:$BQ$1005,1,MATCH(COLUMNS($AO$1006:AQ1006),$AO$1006:$BQ$1006,0))&gt;=100000), " ",IF(INDEX($AO$2:$BQ$1001,MATCH(ROWS($AH$2:AH364),$AH$2:$AH$1001,0),MATCH(COLUMNS($AO$1006:AQ1006),$AO$1006:$BQ$1006,0)), HYPERLINK("#",""), HYPERLINK(CONCATENATE("#Metadata!", ADDRESS(INDEX($AJ$2:$AJ$1001,MATCH(ROWS($AH$2:AH364),$AH$2:$AH$1001,0),0), INDEX($AO$1004:$BQ$1004,1,MATCH(COLUMNS($AO$1006:AQ1006),$AO$1006:$BQ$1006,0)))),"Fix")))</f>
        <v>#N/A</v>
      </c>
      <c r="E364" s="5" t="e">
        <f ca="1">IF(OR(INDEX($AI$2:$AI$1001,MATCH(ROWS($AH$2:AH364),$AH$2:$AH$1001,0),1)&gt;=100000,INDEX($AO$1005:$BQ$1005,1,MATCH(COLUMNS($AO$1006:AR1006),$AO$1006:$BQ$1006,0))&gt;=100000), " ",IF(INDEX($AO$2:$BQ$1001,MATCH(ROWS($AH$2:AH364),$AH$2:$AH$1001,0),MATCH(COLUMNS($AO$1006:AR1006),$AO$1006:$BQ$1006,0)), HYPERLINK("#",""), HYPERLINK(CONCATENATE("#Metadata!", ADDRESS(INDEX($AJ$2:$AJ$1001,MATCH(ROWS($AH$2:AH364),$AH$2:$AH$1001,0),0), INDEX($AO$1004:$BQ$1004,1,MATCH(COLUMNS($AO$1006:AR1006),$AO$1006:$BQ$1006,0)))),"Fix")))</f>
        <v>#N/A</v>
      </c>
      <c r="F364" s="5" t="e">
        <f ca="1">IF(OR(INDEX($AI$2:$AI$1001,MATCH(ROWS($AH$2:AH364),$AH$2:$AH$1001,0),1)&gt;=100000,INDEX($AO$1005:$BQ$1005,1,MATCH(COLUMNS($AO$1006:AS1006),$AO$1006:$BQ$1006,0))&gt;=100000), " ",IF(INDEX($AO$2:$BQ$1001,MATCH(ROWS($AH$2:AH364),$AH$2:$AH$1001,0),MATCH(COLUMNS($AO$1006:AS1006),$AO$1006:$BQ$1006,0)), HYPERLINK("#",""), HYPERLINK(CONCATENATE("#Metadata!", ADDRESS(INDEX($AJ$2:$AJ$1001,MATCH(ROWS($AH$2:AH364),$AH$2:$AH$1001,0),0), INDEX($AO$1004:$BQ$1004,1,MATCH(COLUMNS($AO$1006:AS1006),$AO$1006:$BQ$1006,0)))),"Fix")))</f>
        <v>#N/A</v>
      </c>
      <c r="G364" s="5" t="e">
        <f ca="1">IF(OR(INDEX($AI$2:$AI$1001,MATCH(ROWS($AH$2:AH364),$AH$2:$AH$1001,0),1)&gt;=100000,INDEX($AO$1005:$BQ$1005,1,MATCH(COLUMNS($AO$1006:AT1006),$AO$1006:$BQ$1006,0))&gt;=100000), " ",IF(INDEX($AO$2:$BQ$1001,MATCH(ROWS($AH$2:AH364),$AH$2:$AH$1001,0),MATCH(COLUMNS($AO$1006:AT1006),$AO$1006:$BQ$1006,0)), HYPERLINK("#",""), HYPERLINK(CONCATENATE("#Metadata!", ADDRESS(INDEX($AJ$2:$AJ$1001,MATCH(ROWS($AH$2:AH364),$AH$2:$AH$1001,0),0), INDEX($AO$1004:$BQ$1004,1,MATCH(COLUMNS($AO$1006:AT1006),$AO$1006:$BQ$1006,0)))),"Fix")))</f>
        <v>#N/A</v>
      </c>
      <c r="H364" s="5" t="e">
        <f ca="1">IF(OR(INDEX($AI$2:$AI$1001,MATCH(ROWS($AH$2:AH364),$AH$2:$AH$1001,0),1)&gt;=100000,INDEX($AO$1005:$BQ$1005,1,MATCH(COLUMNS($AO$1006:AU1006),$AO$1006:$BQ$1006,0))&gt;=100000), " ",IF(INDEX($AO$2:$BQ$1001,MATCH(ROWS($AH$2:AH364),$AH$2:$AH$1001,0),MATCH(COLUMNS($AO$1006:AU1006),$AO$1006:$BQ$1006,0)), HYPERLINK("#",""), HYPERLINK(CONCATENATE("#Metadata!", ADDRESS(INDEX($AJ$2:$AJ$1001,MATCH(ROWS($AH$2:AH364),$AH$2:$AH$1001,0),0), INDEX($AO$1004:$BQ$1004,1,MATCH(COLUMNS($AO$1006:AU1006),$AO$1006:$BQ$1006,0)))),"Fix")))</f>
        <v>#N/A</v>
      </c>
      <c r="I364" s="5" t="e">
        <f ca="1">IF(OR(INDEX($AI$2:$AI$1001,MATCH(ROWS($AH$2:AH364),$AH$2:$AH$1001,0),1)&gt;=100000,INDEX($AO$1005:$BQ$1005,1,MATCH(COLUMNS($AO$1006:AV1006),$AO$1006:$BQ$1006,0))&gt;=100000), " ",IF(INDEX($AO$2:$BQ$1001,MATCH(ROWS($AH$2:AH364),$AH$2:$AH$1001,0),MATCH(COLUMNS($AO$1006:AV1006),$AO$1006:$BQ$1006,0)), HYPERLINK("#",""), HYPERLINK(CONCATENATE("#Metadata!", ADDRESS(INDEX($AJ$2:$AJ$1001,MATCH(ROWS($AH$2:AH364),$AH$2:$AH$1001,0),0), INDEX($AO$1004:$BQ$1004,1,MATCH(COLUMNS($AO$1006:AV1006),$AO$1006:$BQ$1006,0)))),"Fix")))</f>
        <v>#N/A</v>
      </c>
      <c r="J364" s="5" t="e">
        <f ca="1">IF(OR(INDEX($AI$2:$AI$1001,MATCH(ROWS($AH$2:AH364),$AH$2:$AH$1001,0),1)&gt;=100000,INDEX($AO$1005:$BQ$1005,1,MATCH(COLUMNS($AO$1006:AW1006),$AO$1006:$BQ$1006,0))&gt;=100000), " ",IF(INDEX($AO$2:$BQ$1001,MATCH(ROWS($AH$2:AH364),$AH$2:$AH$1001,0),MATCH(COLUMNS($AO$1006:AW1006),$AO$1006:$BQ$1006,0)), HYPERLINK("#",""), HYPERLINK(CONCATENATE("#Metadata!", ADDRESS(INDEX($AJ$2:$AJ$1001,MATCH(ROWS($AH$2:AH364),$AH$2:$AH$1001,0),0), INDEX($AO$1004:$BQ$1004,1,MATCH(COLUMNS($AO$1006:AW1006),$AO$1006:$BQ$1006,0)))),"Fix")))</f>
        <v>#N/A</v>
      </c>
      <c r="K364" s="5" t="e">
        <f ca="1">IF(OR(INDEX($AI$2:$AI$1001,MATCH(ROWS($AH$2:AH364),$AH$2:$AH$1001,0),1)&gt;=100000,INDEX($AO$1005:$BQ$1005,1,MATCH(COLUMNS($AO$1006:AX1006),$AO$1006:$BQ$1006,0))&gt;=100000), " ",IF(INDEX($AO$2:$BQ$1001,MATCH(ROWS($AH$2:AH364),$AH$2:$AH$1001,0),MATCH(COLUMNS($AO$1006:AX1006),$AO$1006:$BQ$1006,0)), HYPERLINK("#",""), HYPERLINK(CONCATENATE("#Metadata!", ADDRESS(INDEX($AJ$2:$AJ$1001,MATCH(ROWS($AH$2:AH364),$AH$2:$AH$1001,0),0), INDEX($AO$1004:$BQ$1004,1,MATCH(COLUMNS($AO$1006:AX1006),$AO$1006:$BQ$1006,0)))),"Fix")))</f>
        <v>#N/A</v>
      </c>
      <c r="L364" s="5" t="e">
        <f ca="1">IF(OR(INDEX($AI$2:$AI$1001,MATCH(ROWS($AH$2:AH364),$AH$2:$AH$1001,0),1)&gt;=100000,INDEX($AO$1005:$BQ$1005,1,MATCH(COLUMNS($AO$1006:AY1006),$AO$1006:$BQ$1006,0))&gt;=100000), " ",IF(INDEX($AO$2:$BQ$1001,MATCH(ROWS($AH$2:AH364),$AH$2:$AH$1001,0),MATCH(COLUMNS($AO$1006:AY1006),$AO$1006:$BQ$1006,0)), HYPERLINK("#",""), HYPERLINK(CONCATENATE("#Metadata!", ADDRESS(INDEX($AJ$2:$AJ$1001,MATCH(ROWS($AH$2:AH364),$AH$2:$AH$1001,0),0), INDEX($AO$1004:$BQ$1004,1,MATCH(COLUMNS($AO$1006:AY1006),$AO$1006:$BQ$1006,0)))),"Fix")))</f>
        <v>#N/A</v>
      </c>
      <c r="M364" s="5" t="e">
        <f ca="1">IF(OR(INDEX($AI$2:$AI$1001,MATCH(ROWS($AH$2:AH364),$AH$2:$AH$1001,0),1)&gt;=100000,INDEX($AO$1005:$BQ$1005,1,MATCH(COLUMNS($AO$1006:AZ1006),$AO$1006:$BQ$1006,0))&gt;=100000), " ",IF(INDEX($AO$2:$BQ$1001,MATCH(ROWS($AH$2:AH364),$AH$2:$AH$1001,0),MATCH(COLUMNS($AO$1006:AZ1006),$AO$1006:$BQ$1006,0)), HYPERLINK("#",""), HYPERLINK(CONCATENATE("#Metadata!", ADDRESS(INDEX($AJ$2:$AJ$1001,MATCH(ROWS($AH$2:AH364),$AH$2:$AH$1001,0),0), INDEX($AO$1004:$BQ$1004,1,MATCH(COLUMNS($AO$1006:AZ1006),$AO$1006:$BQ$1006,0)))),"Fix")))</f>
        <v>#N/A</v>
      </c>
      <c r="N364" s="5" t="e">
        <f ca="1">IF(OR(INDEX($AI$2:$AI$1001,MATCH(ROWS($AH$2:AH364),$AH$2:$AH$1001,0),1)&gt;=100000,INDEX($AO$1005:$BQ$1005,1,MATCH(COLUMNS($AO$1006:BA1006),$AO$1006:$BQ$1006,0))&gt;=100000), " ",IF(INDEX($AO$2:$BQ$1001,MATCH(ROWS($AH$2:AH364),$AH$2:$AH$1001,0),MATCH(COLUMNS($AO$1006:BA1006),$AO$1006:$BQ$1006,0)), HYPERLINK("#",""), HYPERLINK(CONCATENATE("#Metadata!", ADDRESS(INDEX($AJ$2:$AJ$1001,MATCH(ROWS($AH$2:AH364),$AH$2:$AH$1001,0),0), INDEX($AO$1004:$BQ$1004,1,MATCH(COLUMNS($AO$1006:BA1006),$AO$1006:$BQ$1006,0)))),"Fix")))</f>
        <v>#N/A</v>
      </c>
      <c r="O364" s="5" t="e">
        <f ca="1">IF(OR(INDEX($AI$2:$AI$1001,MATCH(ROWS($AH$2:AH364),$AH$2:$AH$1001,0),1)&gt;=100000,INDEX($AO$1005:$BQ$1005,1,MATCH(COLUMNS($AO$1006:BB1006),$AO$1006:$BQ$1006,0))&gt;=100000), " ",IF(INDEX($AO$2:$BQ$1001,MATCH(ROWS($AH$2:AH364),$AH$2:$AH$1001,0),MATCH(COLUMNS($AO$1006:BB1006),$AO$1006:$BQ$1006,0)), HYPERLINK("#",""), HYPERLINK(CONCATENATE("#Metadata!", ADDRESS(INDEX($AJ$2:$AJ$1001,MATCH(ROWS($AH$2:AH364),$AH$2:$AH$1001,0),0), INDEX($AO$1004:$BQ$1004,1,MATCH(COLUMNS($AO$1006:BB1006),$AO$1006:$BQ$1006,0)))),"Fix")))</f>
        <v>#N/A</v>
      </c>
      <c r="P364" s="5" t="e">
        <f ca="1">IF(OR(INDEX($AI$2:$AI$1001,MATCH(ROWS($AH$2:AH364),$AH$2:$AH$1001,0),1)&gt;=100000,INDEX($AO$1005:$BQ$1005,1,MATCH(COLUMNS($AO$1006:BC1006),$AO$1006:$BQ$1006,0))&gt;=100000), " ",IF(INDEX($AO$2:$BQ$1001,MATCH(ROWS($AH$2:AH364),$AH$2:$AH$1001,0),MATCH(COLUMNS($AO$1006:BC1006),$AO$1006:$BQ$1006,0)), HYPERLINK("#",""), HYPERLINK(CONCATENATE("#Metadata!", ADDRESS(INDEX($AJ$2:$AJ$1001,MATCH(ROWS($AH$2:AH364),$AH$2:$AH$1001,0),0), INDEX($AO$1004:$BQ$1004,1,MATCH(COLUMNS($AO$1006:BC1006),$AO$1006:$BQ$1006,0)))),"Fix")))</f>
        <v>#N/A</v>
      </c>
      <c r="Q364" s="5" t="e">
        <f ca="1">IF(OR(INDEX($AI$2:$AI$1001,MATCH(ROWS($AH$2:AH364),$AH$2:$AH$1001,0),1)&gt;=100000,INDEX($AO$1005:$BQ$1005,1,MATCH(COLUMNS($AO$1006:BD1006),$AO$1006:$BQ$1006,0))&gt;=100000), " ",IF(INDEX($AO$2:$BQ$1001,MATCH(ROWS($AH$2:AH364),$AH$2:$AH$1001,0),MATCH(COLUMNS($AO$1006:BD1006),$AO$1006:$BQ$1006,0)), HYPERLINK("#",""), HYPERLINK(CONCATENATE("#Metadata!", ADDRESS(INDEX($AJ$2:$AJ$1001,MATCH(ROWS($AH$2:AH364),$AH$2:$AH$1001,0),0), INDEX($AO$1004:$BQ$1004,1,MATCH(COLUMNS($AO$1006:BD1006),$AO$1006:$BQ$1006,0)))),"Fix")))</f>
        <v>#N/A</v>
      </c>
      <c r="R364" s="5" t="e">
        <f ca="1">IF(OR(INDEX($AI$2:$AI$1001,MATCH(ROWS($AH$2:AH364),$AH$2:$AH$1001,0),1)&gt;=100000,INDEX($AO$1005:$BQ$1005,1,MATCH(COLUMNS($AO$1006:BE1006),$AO$1006:$BQ$1006,0))&gt;=100000), " ",IF(INDEX($AO$2:$BQ$1001,MATCH(ROWS($AH$2:AH364),$AH$2:$AH$1001,0),MATCH(COLUMNS($AO$1006:BE1006),$AO$1006:$BQ$1006,0)), HYPERLINK("#",""), HYPERLINK(CONCATENATE("#Metadata!", ADDRESS(INDEX($AJ$2:$AJ$1001,MATCH(ROWS($AH$2:AH364),$AH$2:$AH$1001,0),0), INDEX($AO$1004:$BQ$1004,1,MATCH(COLUMNS($AO$1006:BE1006),$AO$1006:$BQ$1006,0)))),"Fix")))</f>
        <v>#N/A</v>
      </c>
      <c r="S364" s="5" t="e">
        <f ca="1">IF(OR(INDEX($AI$2:$AI$1001,MATCH(ROWS($AH$2:AH364),$AH$2:$AH$1001,0),1)&gt;=100000,INDEX($AO$1005:$BQ$1005,1,MATCH(COLUMNS($AO$1006:BF1006),$AO$1006:$BQ$1006,0))&gt;=100000), " ",IF(INDEX($AO$2:$BQ$1001,MATCH(ROWS($AH$2:AH364),$AH$2:$AH$1001,0),MATCH(COLUMNS($AO$1006:BF1006),$AO$1006:$BQ$1006,0)), HYPERLINK("#",""), HYPERLINK(CONCATENATE("#Metadata!", ADDRESS(INDEX($AJ$2:$AJ$1001,MATCH(ROWS($AH$2:AH364),$AH$2:$AH$1001,0),0), INDEX($AO$1004:$BQ$1004,1,MATCH(COLUMNS($AO$1006:BF1006),$AO$1006:$BQ$1006,0)))),"Fix")))</f>
        <v>#N/A</v>
      </c>
      <c r="T364" s="5" t="e">
        <f ca="1">IF(OR(INDEX($AI$2:$AI$1001,MATCH(ROWS($AH$2:AH364),$AH$2:$AH$1001,0),1)&gt;=100000,INDEX($AO$1005:$BQ$1005,1,MATCH(COLUMNS($AO$1006:BG1006),$AO$1006:$BQ$1006,0))&gt;=100000), " ",IF(INDEX($AO$2:$BQ$1001,MATCH(ROWS($AH$2:AH364),$AH$2:$AH$1001,0),MATCH(COLUMNS($AO$1006:BG1006),$AO$1006:$BQ$1006,0)), HYPERLINK("#",""), HYPERLINK(CONCATENATE("#Metadata!", ADDRESS(INDEX($AJ$2:$AJ$1001,MATCH(ROWS($AH$2:AH364),$AH$2:$AH$1001,0),0), INDEX($AO$1004:$BQ$1004,1,MATCH(COLUMNS($AO$1006:BG1006),$AO$1006:$BQ$1006,0)))),"Fix")))</f>
        <v>#N/A</v>
      </c>
      <c r="U364" s="5" t="e">
        <f ca="1">IF(OR(INDEX($AI$2:$AI$1001,MATCH(ROWS($AH$2:AH364),$AH$2:$AH$1001,0),1)&gt;=100000,INDEX($AO$1005:$BQ$1005,1,MATCH(COLUMNS($AO$1006:BH1006),$AO$1006:$BQ$1006,0))&gt;=100000), " ",IF(INDEX($AO$2:$BQ$1001,MATCH(ROWS($AH$2:AH364),$AH$2:$AH$1001,0),MATCH(COLUMNS($AO$1006:BH1006),$AO$1006:$BQ$1006,0)), HYPERLINK("#",""), HYPERLINK(CONCATENATE("#Metadata!", ADDRESS(INDEX($AJ$2:$AJ$1001,MATCH(ROWS($AH$2:AH364),$AH$2:$AH$1001,0),0), INDEX($AO$1004:$BQ$1004,1,MATCH(COLUMNS($AO$1006:BH1006),$AO$1006:$BQ$1006,0)))),"Fix")))</f>
        <v>#N/A</v>
      </c>
      <c r="V364" s="5" t="e">
        <f ca="1">IF(OR(INDEX($AI$2:$AI$1001,MATCH(ROWS($AH$2:AH364),$AH$2:$AH$1001,0),1)&gt;=100000,INDEX($AO$1005:$BQ$1005,1,MATCH(COLUMNS($AO$1006:BI1006),$AO$1006:$BQ$1006,0))&gt;=100000), " ",IF(INDEX($AO$2:$BQ$1001,MATCH(ROWS($AH$2:AH364),$AH$2:$AH$1001,0),MATCH(COLUMNS($AO$1006:BI1006),$AO$1006:$BQ$1006,0)), HYPERLINK("#",""), HYPERLINK(CONCATENATE("#Metadata!", ADDRESS(INDEX($AJ$2:$AJ$1001,MATCH(ROWS($AH$2:AH364),$AH$2:$AH$1001,0),0), INDEX($AO$1004:$BQ$1004,1,MATCH(COLUMNS($AO$1006:BI1006),$AO$1006:$BQ$1006,0)))),"Fix")))</f>
        <v>#N/A</v>
      </c>
      <c r="W364" s="5" t="e">
        <f ca="1">IF(OR(INDEX($AI$2:$AI$1001,MATCH(ROWS($AH$2:AH364),$AH$2:$AH$1001,0),1)&gt;=100000,INDEX($AO$1005:$BQ$1005,1,MATCH(COLUMNS($AO$1006:BJ1006),$AO$1006:$BQ$1006,0))&gt;=100000), " ",IF(INDEX($AO$2:$BQ$1001,MATCH(ROWS($AH$2:AH364),$AH$2:$AH$1001,0),MATCH(COLUMNS($AO$1006:BJ1006),$AO$1006:$BQ$1006,0)), HYPERLINK("#",""), HYPERLINK(CONCATENATE("#Metadata!", ADDRESS(INDEX($AJ$2:$AJ$1001,MATCH(ROWS($AH$2:AH364),$AH$2:$AH$1001,0),0), INDEX($AO$1004:$BQ$1004,1,MATCH(COLUMNS($AO$1006:BJ1006),$AO$1006:$BQ$1006,0)))),"Fix")))</f>
        <v>#N/A</v>
      </c>
      <c r="X364" s="5" t="e">
        <f ca="1">IF(OR(INDEX($AI$2:$AI$1001,MATCH(ROWS($AH$2:AH364),$AH$2:$AH$1001,0),1)&gt;=100000,INDEX($AO$1005:$BQ$1005,1,MATCH(COLUMNS($AO$1006:BK1006),$AO$1006:$BQ$1006,0))&gt;=100000), " ",IF(INDEX($AO$2:$BQ$1001,MATCH(ROWS($AH$2:AH364),$AH$2:$AH$1001,0),MATCH(COLUMNS($AO$1006:BK1006),$AO$1006:$BQ$1006,0)), HYPERLINK("#",""), HYPERLINK(CONCATENATE("#Metadata!", ADDRESS(INDEX($AJ$2:$AJ$1001,MATCH(ROWS($AH$2:AH364),$AH$2:$AH$1001,0),0), INDEX($AO$1004:$BQ$1004,1,MATCH(COLUMNS($AO$1006:BK1006),$AO$1006:$BQ$1006,0)))),"Fix")))</f>
        <v>#N/A</v>
      </c>
      <c r="Y364" s="5" t="e">
        <f ca="1">IF(OR(INDEX($AI$2:$AI$1001,MATCH(ROWS($AH$2:AH364),$AH$2:$AH$1001,0),1)&gt;=100000,INDEX($AO$1005:$BQ$1005,1,MATCH(COLUMNS($AO$1006:BL1006),$AO$1006:$BQ$1006,0))&gt;=100000), " ",IF(INDEX($AO$2:$BQ$1001,MATCH(ROWS($AH$2:AH364),$AH$2:$AH$1001,0),MATCH(COLUMNS($AO$1006:BL1006),$AO$1006:$BQ$1006,0)), HYPERLINK("#",""), HYPERLINK(CONCATENATE("#Metadata!", ADDRESS(INDEX($AJ$2:$AJ$1001,MATCH(ROWS($AH$2:AH364),$AH$2:$AH$1001,0),0), INDEX($AO$1004:$BQ$1004,1,MATCH(COLUMNS($AO$1006:BL1006),$AO$1006:$BQ$1006,0)))),"Fix")))</f>
        <v>#N/A</v>
      </c>
      <c r="Z364" s="5" t="e">
        <f ca="1">IF(OR(INDEX($AI$2:$AI$1001,MATCH(ROWS($AH$2:AH364),$AH$2:$AH$1001,0),1)&gt;=100000,INDEX($AO$1005:$BQ$1005,1,MATCH(COLUMNS($AO$1006:BM1006),$AO$1006:$BQ$1006,0))&gt;=100000), " ",IF(INDEX($AO$2:$BQ$1001,MATCH(ROWS($AH$2:AH364),$AH$2:$AH$1001,0),MATCH(COLUMNS($AO$1006:BM1006),$AO$1006:$BQ$1006,0)), HYPERLINK("#",""), HYPERLINK(CONCATENATE("#Metadata!", ADDRESS(INDEX($AJ$2:$AJ$1001,MATCH(ROWS($AH$2:AH364),$AH$2:$AH$1001,0),0), INDEX($AO$1004:$BQ$1004,1,MATCH(COLUMNS($AO$1006:BM1006),$AO$1006:$BQ$1006,0)))),"Fix")))</f>
        <v>#N/A</v>
      </c>
      <c r="AA364" s="5" t="e">
        <f ca="1">IF(OR(INDEX($AI$2:$AI$1001,MATCH(ROWS($AH$2:AH364),$AH$2:$AH$1001,0),1)&gt;=100000,INDEX($AO$1005:$BQ$1005,1,MATCH(COLUMNS($AO$1006:BN1006),$AO$1006:$BQ$1006,0))&gt;=100000), " ",IF(INDEX($AO$2:$BQ$1001,MATCH(ROWS($AH$2:AH364),$AH$2:$AH$1001,0),MATCH(COLUMNS($AO$1006:BN1006),$AO$1006:$BQ$1006,0)), HYPERLINK("#",""), HYPERLINK(CONCATENATE("#Metadata!", ADDRESS(INDEX($AJ$2:$AJ$1001,MATCH(ROWS($AH$2:AH364),$AH$2:$AH$1001,0),0), INDEX($AO$1004:$BQ$1004,1,MATCH(COLUMNS($AO$1006:BN1006),$AO$1006:$BQ$1006,0)))),"Fix")))</f>
        <v>#N/A</v>
      </c>
      <c r="AB364" s="5" t="e">
        <f ca="1">IF(OR(INDEX($AI$2:$AI$1001,MATCH(ROWS($AH$2:AH364),$AH$2:$AH$1001,0),1)&gt;=100000,INDEX($AO$1005:$BQ$1005,1,MATCH(COLUMNS($AO$1006:BO1006),$AO$1006:$BQ$1006,0))&gt;=100000), " ",IF(INDEX($AO$2:$BQ$1001,MATCH(ROWS($AH$2:AH364),$AH$2:$AH$1001,0),MATCH(COLUMNS($AO$1006:BO1006),$AO$1006:$BQ$1006,0)), HYPERLINK("#",""), HYPERLINK(CONCATENATE("#Metadata!", ADDRESS(INDEX($AJ$2:$AJ$1001,MATCH(ROWS($AH$2:AH364),$AH$2:$AH$1001,0),0), INDEX($AO$1004:$BQ$1004,1,MATCH(COLUMNS($AO$1006:BO1006),$AO$1006:$BQ$1006,0)))),"Fix")))</f>
        <v>#N/A</v>
      </c>
      <c r="AC364" s="5" t="e">
        <f ca="1">IF(OR(INDEX($AI$2:$AI$1001,MATCH(ROWS($AH$2:AH364),$AH$2:$AH$1001,0),1)&gt;=100000,INDEX($AO$1005:$BQ$1005,1,MATCH(COLUMNS($AO$1006:BP1006),$AO$1006:$BQ$1006,0))&gt;=100000), " ",IF(INDEX($AO$2:$BQ$1001,MATCH(ROWS($AH$2:AH364),$AH$2:$AH$1001,0),MATCH(COLUMNS($AO$1006:BP1006),$AO$1006:$BQ$1006,0)), HYPERLINK("#",""), HYPERLINK(CONCATENATE("#Metadata!", ADDRESS(INDEX($AJ$2:$AJ$1001,MATCH(ROWS($AH$2:AH364),$AH$2:$AH$1001,0),0), INDEX($AO$1004:$BQ$1004,1,MATCH(COLUMNS($AO$1006:BP1006),$AO$1006:$BQ$1006,0)))),"Fix")))</f>
        <v>#N/A</v>
      </c>
      <c r="AD364" s="5" t="e">
        <f ca="1">IF(OR(INDEX($AI$2:$AI$1001,MATCH(ROWS($AH$2:AH364),$AH$2:$AH$1001,0),1)&gt;=100000,INDEX($AO$1005:$BQ$1005,1,MATCH(COLUMNS($AO$1006:BQ1006),$AO$1006:$BQ$1006,0))&gt;=100000), " ",IF(INDEX($AO$2:$BQ$1001,MATCH(ROWS($AH$2:AH364),$AH$2:$AH$1001,0),MATCH(COLUMNS($AO$1006:BQ1006),$AO$1006:$BQ$1006,0)), HYPERLINK("#",""), HYPERLINK(CONCATENATE("#Metadata!", ADDRESS(INDEX($AJ$2:$AJ$1001,MATCH(ROWS($AH$2:AH364),$AH$2:$AH$1001,0),0), INDEX($AO$1004:$BQ$1004,1,MATCH(COLUMNS($AO$1006:BQ1006),$AO$1006:$BQ$1006,0)))),"Fix")))</f>
        <v>#REF!</v>
      </c>
      <c r="AH364">
        <f ca="1"/>
        <v>361</v>
      </c>
      <c r="AI364">
        <v>100364</v>
      </c>
      <c r="AJ364">
        <v>364</v>
      </c>
      <c r="AK364" t="b">
        <f t="shared" si="5"/>
        <v>1</v>
      </c>
      <c r="AL364" t="b">
        <f>COUNTBLANK(Metadata!B364:AD364)=COLUMNS(Metadata!B364:AD364)</f>
        <v>1</v>
      </c>
      <c r="AM364" t="str">
        <v/>
      </c>
      <c r="AO364" t="b">
        <f ca="1">AND(IF(Metadata!B364="",FALSE,TRUE),COUNTIF(Metadata!B:B, Metadata!B364) = 1,NOT(ISERROR(SUMPRODUCT(SEARCH(MID(Metadata!B364,ROW(INDIRECT("1:"&amp;LEN(Metadata!B364))), 1),"0123456789abcdefghijklmnopqrstuvwxyzABCDEFGHIJKLMNOPQRSTUVWXYZ.")))))</f>
        <v>0</v>
      </c>
      <c r="AP364" t="b">
        <f>IF(Metadata!C364="",FALSE,TRUE)</f>
        <v>0</v>
      </c>
      <c r="AQ364" t="b">
        <f>IF(Metadata!D364="",FALSE,TRUE)</f>
        <v>0</v>
      </c>
      <c r="AR364" t="b">
        <f ca="1">OR(AND(IF(Metadata!E364="",FALSE,TRUE),OR(EXACT(Metadata!E364,"not collected"),EXACT(Metadata!E364,"not provided"),EXACT(Metadata!E364,"restricted access"))),AND(IF(Metadata!E364="",FALSE,TRUE),AND(AND(IFERROR(INT(LEFT(Metadata!E364,4))&gt;1900,FALSE),IFERROR(INT(LEFT(Metadata!E364,4))&lt;=YEAR(NOW()),FALSE)), OR(MID(Metadata!E364,5,1)="", AND(AND(MID(Metadata!E364,5,1)="-",IFERROR(INT(MID(Metadata!E364,6,1))&gt;=0,FALSE),IFERROR(INT(MID(Metadata!E364,6,1))&lt;=1,FALSE),NOT(MID(Metadata!E364,7,1)=""),IFERROR(INT(MID(Metadata!E364,6,2))&gt;=1,FALSE),IFERROR(INT(MID(Metadata!E364,6,2))&lt;=12,FALSE)), OR(MID(Metadata!E364,8,1)="", AND(AND(MID(Metadata!E364,8,1)="-",IFERROR(INT(MID(Metadata!E364,9,1))&gt;=0,FALSE),IFERROR(INT(MID(Metadata!E364,9,1))&lt;=3,FALSE),NOT(MID(Metadata!E364,10,1)=""),IFERROR(INT(MID(Metadata!E364,9,2))&gt;=1,FALSE),IFERROR(INT(MID(Metadata!E364,9,2))&lt;=31,FALSE)), OR(MID(Metadata!E364,11,1)="", AND(AND(MID(Metadata!E364,11,1)=" ",IFERROR(INT(MID(Metadata!E364,12,1))&gt;=0,FALSE),IFERROR(INT(MID(Metadata!E364,12,1))&lt;=2,FALSE),NOT(MID(Metadata!E364,13,1)=""),IFERROR(INT(MID(Metadata!E364,12,2))&gt;=0,FALSE),IFERROR(INT(MID(Metadata!E364,12,2))&lt;=23,FALSE)), OR(MID(Metadata!E364,14,1)="", AND(AND(MID(Metadata!E364,14,1)=":",IFERROR(INT(MID(Metadata!E364,15,1))&gt;=0,FALSE),IFERROR(INT(MID(Metadata!E364,15,1))&lt;=5,FALSE),NOT(MID(Metadata!E364,16,1)=""),IFERROR(INT(MID(Metadata!E364,15,2))&gt;=0,FALSE),IFERROR(INT(MID(Metadata!E364,15,2))&lt;=59,FALSE)), OR(MID(Metadata!E364,17,1)="", AND(AND(MID(Metadata!E364,17,1)=":",IFERROR(INT(MID(Metadata!E364,18,1))&gt;=0,FALSE),IFERROR(INT(MID(Metadata!E364,18,1))&lt;=5,FALSE),NOT(MID(Metadata!E364,19,1)=""),IFERROR(INT(MID(Metadata!E364,18,2))&gt;=0,FALSE),IFERROR(INT(MID(Metadata!E364,18,2))&lt;=59,FALSE)), LEN(Metadata!E364)&lt;=19)))))))))))))</f>
        <v>0</v>
      </c>
      <c r="AS364" t="b">
        <f>IF(Metadata!F364="",FALSE,TRUE)</f>
        <v>0</v>
      </c>
      <c r="AT364" t="b">
        <f>OR(AND(IF(Metadata!G364="",FALSE,TRUE),OR(EXACT(Metadata!G364,"not collected"),EXACT(Metadata!G364,"not provided"))),AND(IF(Metadata!G364="",FALSE,TRUE),OR(EXACT(Metadata!G364,"TRUE"),EXACT(Metadata!G364,"FALSE"))))</f>
        <v>0</v>
      </c>
      <c r="AU364" t="b">
        <f>OR(AND(IF(Metadata!H364="",FALSE,TRUE),OR(EXACT(Metadata!H364,"not collected"),EXACT(Metadata!H364,"not provided"),EXACT(Metadata!H364,"restricted access"))),AND(IF(Metadata!H364="",FALSE,ISNUMBER(VALUE(Metadata!H364))),Metadata!H364&gt;=-413))</f>
        <v>0</v>
      </c>
      <c r="AV364" t="b">
        <f>AND(IF(Metadata!I364="",FALSE,TRUE),EXACT(Metadata!I364,"meters"))</f>
        <v>0</v>
      </c>
      <c r="AW364" t="b">
        <f>AND(IF(Metadata!J364="",FALSE,TRUE),EXACT(Metadata!J364,"free-living"))</f>
        <v>0</v>
      </c>
      <c r="AX364" t="b">
        <f>AND(IF(Metadata!K364="",FALSE,TRUE),OR(EXACT(Metadata!K364,"saline"),EXACT(Metadata!K364,"non-saline")))</f>
        <v>0</v>
      </c>
      <c r="AY364" t="b">
        <f>AND(IF(Metadata!L364="",FALSE,TRUE),OR(EXACT(Metadata!L364,"sub-surface (non-saline)"),EXACT(Metadata!L364,"surface (non-saline)"),EXACT(Metadata!L364,"water (non-saline)"),EXACT(Metadata!L364,"soil (non-saline)"),EXACT(Metadata!L364,"aerosol (non-saline)"),EXACT(Metadata!L364,"sediment (non-saline)"),EXACT(Metadata!L364,"surface (saline)"),EXACT(Metadata!L364,"water (saline)"),EXACT(Metadata!L364,"hypersaline (saline)"),EXACT(Metadata!L364,"aerosol (saline)"),EXACT(Metadata!L364,"sediment (saline)")))</f>
        <v>0</v>
      </c>
      <c r="AZ364" t="b">
        <f>IF(Metadata!M364="",FALSE,TRUE)</f>
        <v>0</v>
      </c>
      <c r="BA364" t="b">
        <f>IF(Metadata!N364="",FALSE,TRUE)</f>
        <v>0</v>
      </c>
      <c r="BB364" t="b">
        <f>IF(Metadata!O364="",FALSE,TRUE)</f>
        <v>0</v>
      </c>
      <c r="BC364" t="b">
        <f>AND(IF(Metadata!P364="",FALSE,TRUE),OR(EXACT(Metadata!P364,"air"),EXACT(Metadata!P364,"microbial mat/biofilm"),EXACT(Metadata!P364,"misc environment"),EXACT(Metadata!P364,"sediment"),EXACT(Metadata!P364,"soil"),EXACT(Metadata!P364,"wastewater/sludge"),EXACT(Metadata!P364,"water")))</f>
        <v>0</v>
      </c>
      <c r="BD364" t="b">
        <f>IF(Metadata!Q364="",FALSE,TRUE)</f>
        <v>0</v>
      </c>
      <c r="BE364" t="b">
        <f>IF(Metadata!R364="",FALSE,TRUE)</f>
        <v>0</v>
      </c>
      <c r="BF364" t="b">
        <f>OR(AND(IF(Metadata!S364="",FALSE,TRUE),OR(EXACT(Metadata!S364,"not collected"),EXACT(Metadata!S364,"not provided"),EXACT(Metadata!S364,"restricted access"))),AND(IF(Metadata!S364="",FALSE,ISNUMBER(VALUE(Metadata!S364))),Metadata!S364&gt;=-90,Metadata!S364&lt;=90))</f>
        <v>0</v>
      </c>
      <c r="BG364" t="b">
        <f>AND(IF(Metadata!T364="",FALSE,TRUE),EXACT(Metadata!T364,"Decimal degrees"))</f>
        <v>0</v>
      </c>
      <c r="BH364" t="b">
        <f>OR(AND(IF(Metadata!U364="",FALSE,TRUE),OR(EXACT(Metadata!U364,"not applicable"),EXACT(Metadata!U364,"not collected"))),IF(Metadata!U364="",FALSE,TRUE))</f>
        <v>0</v>
      </c>
      <c r="BI364" t="b">
        <f>OR(AND(IF(Metadata!V364="",FALSE,TRUE),OR(EXACT(Metadata!V364,"not collected"),EXACT(Metadata!V364,"not provided"),EXACT(Metadata!V364,"restricted access"))),AND(IF(Metadata!V364="",FALSE,ISNUMBER(VALUE(Metadata!V364))),Metadata!V364&gt;=-180,Metadata!V364&lt;=180))</f>
        <v>0</v>
      </c>
      <c r="BJ364" t="b">
        <f>AND(IF(Metadata!W364="",FALSE,TRUE),EXACT(Metadata!W364,"Decimal degrees"))</f>
        <v>0</v>
      </c>
      <c r="BK364" t="b">
        <f>IF(Metadata!X364="",FALSE,TRUE)</f>
        <v>0</v>
      </c>
      <c r="BL364" t="b">
        <f>OR(AND(IF(Metadata!Y364="",FALSE,TRUE),OR(EXACT(Metadata!Y364,"not collected"),EXACT(Metadata!Y364,"not provided"),EXACT(Metadata!Y364,"restricted access"))),AND(IF(Metadata!Y364="",FALSE,TRUE),OR(EXACT(Metadata!Y364,"TRUE"),EXACT(Metadata!Y364,"FALSE"))))</f>
        <v>0</v>
      </c>
      <c r="BM364" t="b">
        <f>OR(AND(IF(Metadata!Z364="",FALSE,TRUE),EXACT(Metadata!Z364,"not applicable")),AND(IF(Metadata!Z364="",FALSE,TRUE),OR(EXACT(Metadata!Z364,"beer"),EXACT(Metadata!Z364,"cheese"),EXACT(Metadata!Z364,"fresh water"),EXACT(Metadata!Z364,"marine sediment"),EXACT(Metadata!Z364,"sea water"),EXACT(Metadata!Z364,"sediment"),EXACT(Metadata!Z364,"soil"),EXACT(Metadata!Z364,"waste water"))))</f>
        <v>0</v>
      </c>
      <c r="BN364" t="b">
        <f>AND(IF(Metadata!AA364="",FALSE,TRUE),EXACT(Metadata!AA364,"metagenome"))</f>
        <v>0</v>
      </c>
      <c r="BO364" t="b">
        <f>AND(IF(Metadata!AB364="",FALSE,TRUE),EXACT(Metadata!AB364,"256318"))</f>
        <v>0</v>
      </c>
      <c r="BP364" t="b">
        <f>IF(Metadata!AC364="",FALSE,TRUE)</f>
        <v>0</v>
      </c>
      <c r="BQ364" t="b">
        <f>IF(Metadata!AD364="",FALSE,TRUE)</f>
        <v>0</v>
      </c>
    </row>
    <row r="365" spans="1:69" x14ac:dyDescent="0.2">
      <c r="A365" s="4" t="e">
        <f ca="1">IF(B365=" "," ",HYPERLINK(CONCATENATE("#metadata!",ADDRESS(INDEX($AJ$2:$AJ$1001,MATCH(ROWS($AH$2:AH365),$AH$2:$AH$1001,0),0),2)),INDEX($AM$2:$AM$1001,MATCH(ROWS($AH$2:AH365),$AH$2:$AH$1001,0),0)))</f>
        <v>#N/A</v>
      </c>
      <c r="B365" s="5" t="e">
        <f ca="1">IF(OR(INDEX($AI$2:$AI$1001,MATCH(ROWS($AH$2:AH365),$AH$2:$AH$1001,0),1)&gt;=100000,INDEX($AO$1005:$BQ$1005,1,MATCH(COLUMNS($AO$1006:AO1006),$AO$1006:$BQ$1006,0))&gt;=100000), " ",IF(INDEX($AO$2:$BQ$1001,MATCH(ROWS($AH$2:AH365),$AH$2:$AH$1001,0),MATCH(COLUMNS($AO$1006:AO1006),$AO$1006:$BQ$1006,0)), HYPERLINK("#",""), HYPERLINK(CONCATENATE("#Metadata!", ADDRESS(INDEX($AJ$2:$AJ$1001,MATCH(ROWS($AH$2:AH365),$AH$2:$AH$1001,0),0), INDEX($AO$1004:$BQ$1004,1,MATCH(COLUMNS($AO$1006:AO1006),$AO$1006:$BQ$1006,0)))),"Fix")))</f>
        <v>#N/A</v>
      </c>
      <c r="C365" s="5" t="e">
        <f ca="1">IF(OR(INDEX($AI$2:$AI$1001,MATCH(ROWS($AH$2:AH365),$AH$2:$AH$1001,0),1)&gt;=100000,INDEX($AO$1005:$BQ$1005,1,MATCH(COLUMNS($AO$1006:AP1006),$AO$1006:$BQ$1006,0))&gt;=100000), " ",IF(INDEX($AO$2:$BQ$1001,MATCH(ROWS($AH$2:AH365),$AH$2:$AH$1001,0),MATCH(COLUMNS($AO$1006:AP1006),$AO$1006:$BQ$1006,0)), HYPERLINK("#",""), HYPERLINK(CONCATENATE("#Metadata!", ADDRESS(INDEX($AJ$2:$AJ$1001,MATCH(ROWS($AH$2:AH365),$AH$2:$AH$1001,0),0), INDEX($AO$1004:$BQ$1004,1,MATCH(COLUMNS($AO$1006:AP1006),$AO$1006:$BQ$1006,0)))),"Fix")))</f>
        <v>#N/A</v>
      </c>
      <c r="D365" s="5" t="e">
        <f ca="1">IF(OR(INDEX($AI$2:$AI$1001,MATCH(ROWS($AH$2:AH365),$AH$2:$AH$1001,0),1)&gt;=100000,INDEX($AO$1005:$BQ$1005,1,MATCH(COLUMNS($AO$1006:AQ1006),$AO$1006:$BQ$1006,0))&gt;=100000), " ",IF(INDEX($AO$2:$BQ$1001,MATCH(ROWS($AH$2:AH365),$AH$2:$AH$1001,0),MATCH(COLUMNS($AO$1006:AQ1006),$AO$1006:$BQ$1006,0)), HYPERLINK("#",""), HYPERLINK(CONCATENATE("#Metadata!", ADDRESS(INDEX($AJ$2:$AJ$1001,MATCH(ROWS($AH$2:AH365),$AH$2:$AH$1001,0),0), INDEX($AO$1004:$BQ$1004,1,MATCH(COLUMNS($AO$1006:AQ1006),$AO$1006:$BQ$1006,0)))),"Fix")))</f>
        <v>#N/A</v>
      </c>
      <c r="E365" s="5" t="e">
        <f ca="1">IF(OR(INDEX($AI$2:$AI$1001,MATCH(ROWS($AH$2:AH365),$AH$2:$AH$1001,0),1)&gt;=100000,INDEX($AO$1005:$BQ$1005,1,MATCH(COLUMNS($AO$1006:AR1006),$AO$1006:$BQ$1006,0))&gt;=100000), " ",IF(INDEX($AO$2:$BQ$1001,MATCH(ROWS($AH$2:AH365),$AH$2:$AH$1001,0),MATCH(COLUMNS($AO$1006:AR1006),$AO$1006:$BQ$1006,0)), HYPERLINK("#",""), HYPERLINK(CONCATENATE("#Metadata!", ADDRESS(INDEX($AJ$2:$AJ$1001,MATCH(ROWS($AH$2:AH365),$AH$2:$AH$1001,0),0), INDEX($AO$1004:$BQ$1004,1,MATCH(COLUMNS($AO$1006:AR1006),$AO$1006:$BQ$1006,0)))),"Fix")))</f>
        <v>#N/A</v>
      </c>
      <c r="F365" s="5" t="e">
        <f ca="1">IF(OR(INDEX($AI$2:$AI$1001,MATCH(ROWS($AH$2:AH365),$AH$2:$AH$1001,0),1)&gt;=100000,INDEX($AO$1005:$BQ$1005,1,MATCH(COLUMNS($AO$1006:AS1006),$AO$1006:$BQ$1006,0))&gt;=100000), " ",IF(INDEX($AO$2:$BQ$1001,MATCH(ROWS($AH$2:AH365),$AH$2:$AH$1001,0),MATCH(COLUMNS($AO$1006:AS1006),$AO$1006:$BQ$1006,0)), HYPERLINK("#",""), HYPERLINK(CONCATENATE("#Metadata!", ADDRESS(INDEX($AJ$2:$AJ$1001,MATCH(ROWS($AH$2:AH365),$AH$2:$AH$1001,0),0), INDEX($AO$1004:$BQ$1004,1,MATCH(COLUMNS($AO$1006:AS1006),$AO$1006:$BQ$1006,0)))),"Fix")))</f>
        <v>#N/A</v>
      </c>
      <c r="G365" s="5" t="e">
        <f ca="1">IF(OR(INDEX($AI$2:$AI$1001,MATCH(ROWS($AH$2:AH365),$AH$2:$AH$1001,0),1)&gt;=100000,INDEX($AO$1005:$BQ$1005,1,MATCH(COLUMNS($AO$1006:AT1006),$AO$1006:$BQ$1006,0))&gt;=100000), " ",IF(INDEX($AO$2:$BQ$1001,MATCH(ROWS($AH$2:AH365),$AH$2:$AH$1001,0),MATCH(COLUMNS($AO$1006:AT1006),$AO$1006:$BQ$1006,0)), HYPERLINK("#",""), HYPERLINK(CONCATENATE("#Metadata!", ADDRESS(INDEX($AJ$2:$AJ$1001,MATCH(ROWS($AH$2:AH365),$AH$2:$AH$1001,0),0), INDEX($AO$1004:$BQ$1004,1,MATCH(COLUMNS($AO$1006:AT1006),$AO$1006:$BQ$1006,0)))),"Fix")))</f>
        <v>#N/A</v>
      </c>
      <c r="H365" s="5" t="e">
        <f ca="1">IF(OR(INDEX($AI$2:$AI$1001,MATCH(ROWS($AH$2:AH365),$AH$2:$AH$1001,0),1)&gt;=100000,INDEX($AO$1005:$BQ$1005,1,MATCH(COLUMNS($AO$1006:AU1006),$AO$1006:$BQ$1006,0))&gt;=100000), " ",IF(INDEX($AO$2:$BQ$1001,MATCH(ROWS($AH$2:AH365),$AH$2:$AH$1001,0),MATCH(COLUMNS($AO$1006:AU1006),$AO$1006:$BQ$1006,0)), HYPERLINK("#",""), HYPERLINK(CONCATENATE("#Metadata!", ADDRESS(INDEX($AJ$2:$AJ$1001,MATCH(ROWS($AH$2:AH365),$AH$2:$AH$1001,0),0), INDEX($AO$1004:$BQ$1004,1,MATCH(COLUMNS($AO$1006:AU1006),$AO$1006:$BQ$1006,0)))),"Fix")))</f>
        <v>#N/A</v>
      </c>
      <c r="I365" s="5" t="e">
        <f ca="1">IF(OR(INDEX($AI$2:$AI$1001,MATCH(ROWS($AH$2:AH365),$AH$2:$AH$1001,0),1)&gt;=100000,INDEX($AO$1005:$BQ$1005,1,MATCH(COLUMNS($AO$1006:AV1006),$AO$1006:$BQ$1006,0))&gt;=100000), " ",IF(INDEX($AO$2:$BQ$1001,MATCH(ROWS($AH$2:AH365),$AH$2:$AH$1001,0),MATCH(COLUMNS($AO$1006:AV1006),$AO$1006:$BQ$1006,0)), HYPERLINK("#",""), HYPERLINK(CONCATENATE("#Metadata!", ADDRESS(INDEX($AJ$2:$AJ$1001,MATCH(ROWS($AH$2:AH365),$AH$2:$AH$1001,0),0), INDEX($AO$1004:$BQ$1004,1,MATCH(COLUMNS($AO$1006:AV1006),$AO$1006:$BQ$1006,0)))),"Fix")))</f>
        <v>#N/A</v>
      </c>
      <c r="J365" s="5" t="e">
        <f ca="1">IF(OR(INDEX($AI$2:$AI$1001,MATCH(ROWS($AH$2:AH365),$AH$2:$AH$1001,0),1)&gt;=100000,INDEX($AO$1005:$BQ$1005,1,MATCH(COLUMNS($AO$1006:AW1006),$AO$1006:$BQ$1006,0))&gt;=100000), " ",IF(INDEX($AO$2:$BQ$1001,MATCH(ROWS($AH$2:AH365),$AH$2:$AH$1001,0),MATCH(COLUMNS($AO$1006:AW1006),$AO$1006:$BQ$1006,0)), HYPERLINK("#",""), HYPERLINK(CONCATENATE("#Metadata!", ADDRESS(INDEX($AJ$2:$AJ$1001,MATCH(ROWS($AH$2:AH365),$AH$2:$AH$1001,0),0), INDEX($AO$1004:$BQ$1004,1,MATCH(COLUMNS($AO$1006:AW1006),$AO$1006:$BQ$1006,0)))),"Fix")))</f>
        <v>#N/A</v>
      </c>
      <c r="K365" s="5" t="e">
        <f ca="1">IF(OR(INDEX($AI$2:$AI$1001,MATCH(ROWS($AH$2:AH365),$AH$2:$AH$1001,0),1)&gt;=100000,INDEX($AO$1005:$BQ$1005,1,MATCH(COLUMNS($AO$1006:AX1006),$AO$1006:$BQ$1006,0))&gt;=100000), " ",IF(INDEX($AO$2:$BQ$1001,MATCH(ROWS($AH$2:AH365),$AH$2:$AH$1001,0),MATCH(COLUMNS($AO$1006:AX1006),$AO$1006:$BQ$1006,0)), HYPERLINK("#",""), HYPERLINK(CONCATENATE("#Metadata!", ADDRESS(INDEX($AJ$2:$AJ$1001,MATCH(ROWS($AH$2:AH365),$AH$2:$AH$1001,0),0), INDEX($AO$1004:$BQ$1004,1,MATCH(COLUMNS($AO$1006:AX1006),$AO$1006:$BQ$1006,0)))),"Fix")))</f>
        <v>#N/A</v>
      </c>
      <c r="L365" s="5" t="e">
        <f ca="1">IF(OR(INDEX($AI$2:$AI$1001,MATCH(ROWS($AH$2:AH365),$AH$2:$AH$1001,0),1)&gt;=100000,INDEX($AO$1005:$BQ$1005,1,MATCH(COLUMNS($AO$1006:AY1006),$AO$1006:$BQ$1006,0))&gt;=100000), " ",IF(INDEX($AO$2:$BQ$1001,MATCH(ROWS($AH$2:AH365),$AH$2:$AH$1001,0),MATCH(COLUMNS($AO$1006:AY1006),$AO$1006:$BQ$1006,0)), HYPERLINK("#",""), HYPERLINK(CONCATENATE("#Metadata!", ADDRESS(INDEX($AJ$2:$AJ$1001,MATCH(ROWS($AH$2:AH365),$AH$2:$AH$1001,0),0), INDEX($AO$1004:$BQ$1004,1,MATCH(COLUMNS($AO$1006:AY1006),$AO$1006:$BQ$1006,0)))),"Fix")))</f>
        <v>#N/A</v>
      </c>
      <c r="M365" s="5" t="e">
        <f ca="1">IF(OR(INDEX($AI$2:$AI$1001,MATCH(ROWS($AH$2:AH365),$AH$2:$AH$1001,0),1)&gt;=100000,INDEX($AO$1005:$BQ$1005,1,MATCH(COLUMNS($AO$1006:AZ1006),$AO$1006:$BQ$1006,0))&gt;=100000), " ",IF(INDEX($AO$2:$BQ$1001,MATCH(ROWS($AH$2:AH365),$AH$2:$AH$1001,0),MATCH(COLUMNS($AO$1006:AZ1006),$AO$1006:$BQ$1006,0)), HYPERLINK("#",""), HYPERLINK(CONCATENATE("#Metadata!", ADDRESS(INDEX($AJ$2:$AJ$1001,MATCH(ROWS($AH$2:AH365),$AH$2:$AH$1001,0),0), INDEX($AO$1004:$BQ$1004,1,MATCH(COLUMNS($AO$1006:AZ1006),$AO$1006:$BQ$1006,0)))),"Fix")))</f>
        <v>#N/A</v>
      </c>
      <c r="N365" s="5" t="e">
        <f ca="1">IF(OR(INDEX($AI$2:$AI$1001,MATCH(ROWS($AH$2:AH365),$AH$2:$AH$1001,0),1)&gt;=100000,INDEX($AO$1005:$BQ$1005,1,MATCH(COLUMNS($AO$1006:BA1006),$AO$1006:$BQ$1006,0))&gt;=100000), " ",IF(INDEX($AO$2:$BQ$1001,MATCH(ROWS($AH$2:AH365),$AH$2:$AH$1001,0),MATCH(COLUMNS($AO$1006:BA1006),$AO$1006:$BQ$1006,0)), HYPERLINK("#",""), HYPERLINK(CONCATENATE("#Metadata!", ADDRESS(INDEX($AJ$2:$AJ$1001,MATCH(ROWS($AH$2:AH365),$AH$2:$AH$1001,0),0), INDEX($AO$1004:$BQ$1004,1,MATCH(COLUMNS($AO$1006:BA1006),$AO$1006:$BQ$1006,0)))),"Fix")))</f>
        <v>#N/A</v>
      </c>
      <c r="O365" s="5" t="e">
        <f ca="1">IF(OR(INDEX($AI$2:$AI$1001,MATCH(ROWS($AH$2:AH365),$AH$2:$AH$1001,0),1)&gt;=100000,INDEX($AO$1005:$BQ$1005,1,MATCH(COLUMNS($AO$1006:BB1006),$AO$1006:$BQ$1006,0))&gt;=100000), " ",IF(INDEX($AO$2:$BQ$1001,MATCH(ROWS($AH$2:AH365),$AH$2:$AH$1001,0),MATCH(COLUMNS($AO$1006:BB1006),$AO$1006:$BQ$1006,0)), HYPERLINK("#",""), HYPERLINK(CONCATENATE("#Metadata!", ADDRESS(INDEX($AJ$2:$AJ$1001,MATCH(ROWS($AH$2:AH365),$AH$2:$AH$1001,0),0), INDEX($AO$1004:$BQ$1004,1,MATCH(COLUMNS($AO$1006:BB1006),$AO$1006:$BQ$1006,0)))),"Fix")))</f>
        <v>#N/A</v>
      </c>
      <c r="P365" s="5" t="e">
        <f ca="1">IF(OR(INDEX($AI$2:$AI$1001,MATCH(ROWS($AH$2:AH365),$AH$2:$AH$1001,0),1)&gt;=100000,INDEX($AO$1005:$BQ$1005,1,MATCH(COLUMNS($AO$1006:BC1006),$AO$1006:$BQ$1006,0))&gt;=100000), " ",IF(INDEX($AO$2:$BQ$1001,MATCH(ROWS($AH$2:AH365),$AH$2:$AH$1001,0),MATCH(COLUMNS($AO$1006:BC1006),$AO$1006:$BQ$1006,0)), HYPERLINK("#",""), HYPERLINK(CONCATENATE("#Metadata!", ADDRESS(INDEX($AJ$2:$AJ$1001,MATCH(ROWS($AH$2:AH365),$AH$2:$AH$1001,0),0), INDEX($AO$1004:$BQ$1004,1,MATCH(COLUMNS($AO$1006:BC1006),$AO$1006:$BQ$1006,0)))),"Fix")))</f>
        <v>#N/A</v>
      </c>
      <c r="Q365" s="5" t="e">
        <f ca="1">IF(OR(INDEX($AI$2:$AI$1001,MATCH(ROWS($AH$2:AH365),$AH$2:$AH$1001,0),1)&gt;=100000,INDEX($AO$1005:$BQ$1005,1,MATCH(COLUMNS($AO$1006:BD1006),$AO$1006:$BQ$1006,0))&gt;=100000), " ",IF(INDEX($AO$2:$BQ$1001,MATCH(ROWS($AH$2:AH365),$AH$2:$AH$1001,0),MATCH(COLUMNS($AO$1006:BD1006),$AO$1006:$BQ$1006,0)), HYPERLINK("#",""), HYPERLINK(CONCATENATE("#Metadata!", ADDRESS(INDEX($AJ$2:$AJ$1001,MATCH(ROWS($AH$2:AH365),$AH$2:$AH$1001,0),0), INDEX($AO$1004:$BQ$1004,1,MATCH(COLUMNS($AO$1006:BD1006),$AO$1006:$BQ$1006,0)))),"Fix")))</f>
        <v>#N/A</v>
      </c>
      <c r="R365" s="5" t="e">
        <f ca="1">IF(OR(INDEX($AI$2:$AI$1001,MATCH(ROWS($AH$2:AH365),$AH$2:$AH$1001,0),1)&gt;=100000,INDEX($AO$1005:$BQ$1005,1,MATCH(COLUMNS($AO$1006:BE1006),$AO$1006:$BQ$1006,0))&gt;=100000), " ",IF(INDEX($AO$2:$BQ$1001,MATCH(ROWS($AH$2:AH365),$AH$2:$AH$1001,0),MATCH(COLUMNS($AO$1006:BE1006),$AO$1006:$BQ$1006,0)), HYPERLINK("#",""), HYPERLINK(CONCATENATE("#Metadata!", ADDRESS(INDEX($AJ$2:$AJ$1001,MATCH(ROWS($AH$2:AH365),$AH$2:$AH$1001,0),0), INDEX($AO$1004:$BQ$1004,1,MATCH(COLUMNS($AO$1006:BE1006),$AO$1006:$BQ$1006,0)))),"Fix")))</f>
        <v>#N/A</v>
      </c>
      <c r="S365" s="5" t="e">
        <f ca="1">IF(OR(INDEX($AI$2:$AI$1001,MATCH(ROWS($AH$2:AH365),$AH$2:$AH$1001,0),1)&gt;=100000,INDEX($AO$1005:$BQ$1005,1,MATCH(COLUMNS($AO$1006:BF1006),$AO$1006:$BQ$1006,0))&gt;=100000), " ",IF(INDEX($AO$2:$BQ$1001,MATCH(ROWS($AH$2:AH365),$AH$2:$AH$1001,0),MATCH(COLUMNS($AO$1006:BF1006),$AO$1006:$BQ$1006,0)), HYPERLINK("#",""), HYPERLINK(CONCATENATE("#Metadata!", ADDRESS(INDEX($AJ$2:$AJ$1001,MATCH(ROWS($AH$2:AH365),$AH$2:$AH$1001,0),0), INDEX($AO$1004:$BQ$1004,1,MATCH(COLUMNS($AO$1006:BF1006),$AO$1006:$BQ$1006,0)))),"Fix")))</f>
        <v>#N/A</v>
      </c>
      <c r="T365" s="5" t="e">
        <f ca="1">IF(OR(INDEX($AI$2:$AI$1001,MATCH(ROWS($AH$2:AH365),$AH$2:$AH$1001,0),1)&gt;=100000,INDEX($AO$1005:$BQ$1005,1,MATCH(COLUMNS($AO$1006:BG1006),$AO$1006:$BQ$1006,0))&gt;=100000), " ",IF(INDEX($AO$2:$BQ$1001,MATCH(ROWS($AH$2:AH365),$AH$2:$AH$1001,0),MATCH(COLUMNS($AO$1006:BG1006),$AO$1006:$BQ$1006,0)), HYPERLINK("#",""), HYPERLINK(CONCATENATE("#Metadata!", ADDRESS(INDEX($AJ$2:$AJ$1001,MATCH(ROWS($AH$2:AH365),$AH$2:$AH$1001,0),0), INDEX($AO$1004:$BQ$1004,1,MATCH(COLUMNS($AO$1006:BG1006),$AO$1006:$BQ$1006,0)))),"Fix")))</f>
        <v>#N/A</v>
      </c>
      <c r="U365" s="5" t="e">
        <f ca="1">IF(OR(INDEX($AI$2:$AI$1001,MATCH(ROWS($AH$2:AH365),$AH$2:$AH$1001,0),1)&gt;=100000,INDEX($AO$1005:$BQ$1005,1,MATCH(COLUMNS($AO$1006:BH1006),$AO$1006:$BQ$1006,0))&gt;=100000), " ",IF(INDEX($AO$2:$BQ$1001,MATCH(ROWS($AH$2:AH365),$AH$2:$AH$1001,0),MATCH(COLUMNS($AO$1006:BH1006),$AO$1006:$BQ$1006,0)), HYPERLINK("#",""), HYPERLINK(CONCATENATE("#Metadata!", ADDRESS(INDEX($AJ$2:$AJ$1001,MATCH(ROWS($AH$2:AH365),$AH$2:$AH$1001,0),0), INDEX($AO$1004:$BQ$1004,1,MATCH(COLUMNS($AO$1006:BH1006),$AO$1006:$BQ$1006,0)))),"Fix")))</f>
        <v>#N/A</v>
      </c>
      <c r="V365" s="5" t="e">
        <f ca="1">IF(OR(INDEX($AI$2:$AI$1001,MATCH(ROWS($AH$2:AH365),$AH$2:$AH$1001,0),1)&gt;=100000,INDEX($AO$1005:$BQ$1005,1,MATCH(COLUMNS($AO$1006:BI1006),$AO$1006:$BQ$1006,0))&gt;=100000), " ",IF(INDEX($AO$2:$BQ$1001,MATCH(ROWS($AH$2:AH365),$AH$2:$AH$1001,0),MATCH(COLUMNS($AO$1006:BI1006),$AO$1006:$BQ$1006,0)), HYPERLINK("#",""), HYPERLINK(CONCATENATE("#Metadata!", ADDRESS(INDEX($AJ$2:$AJ$1001,MATCH(ROWS($AH$2:AH365),$AH$2:$AH$1001,0),0), INDEX($AO$1004:$BQ$1004,1,MATCH(COLUMNS($AO$1006:BI1006),$AO$1006:$BQ$1006,0)))),"Fix")))</f>
        <v>#N/A</v>
      </c>
      <c r="W365" s="5" t="e">
        <f ca="1">IF(OR(INDEX($AI$2:$AI$1001,MATCH(ROWS($AH$2:AH365),$AH$2:$AH$1001,0),1)&gt;=100000,INDEX($AO$1005:$BQ$1005,1,MATCH(COLUMNS($AO$1006:BJ1006),$AO$1006:$BQ$1006,0))&gt;=100000), " ",IF(INDEX($AO$2:$BQ$1001,MATCH(ROWS($AH$2:AH365),$AH$2:$AH$1001,0),MATCH(COLUMNS($AO$1006:BJ1006),$AO$1006:$BQ$1006,0)), HYPERLINK("#",""), HYPERLINK(CONCATENATE("#Metadata!", ADDRESS(INDEX($AJ$2:$AJ$1001,MATCH(ROWS($AH$2:AH365),$AH$2:$AH$1001,0),0), INDEX($AO$1004:$BQ$1004,1,MATCH(COLUMNS($AO$1006:BJ1006),$AO$1006:$BQ$1006,0)))),"Fix")))</f>
        <v>#N/A</v>
      </c>
      <c r="X365" s="5" t="e">
        <f ca="1">IF(OR(INDEX($AI$2:$AI$1001,MATCH(ROWS($AH$2:AH365),$AH$2:$AH$1001,0),1)&gt;=100000,INDEX($AO$1005:$BQ$1005,1,MATCH(COLUMNS($AO$1006:BK1006),$AO$1006:$BQ$1006,0))&gt;=100000), " ",IF(INDEX($AO$2:$BQ$1001,MATCH(ROWS($AH$2:AH365),$AH$2:$AH$1001,0),MATCH(COLUMNS($AO$1006:BK1006),$AO$1006:$BQ$1006,0)), HYPERLINK("#",""), HYPERLINK(CONCATENATE("#Metadata!", ADDRESS(INDEX($AJ$2:$AJ$1001,MATCH(ROWS($AH$2:AH365),$AH$2:$AH$1001,0),0), INDEX($AO$1004:$BQ$1004,1,MATCH(COLUMNS($AO$1006:BK1006),$AO$1006:$BQ$1006,0)))),"Fix")))</f>
        <v>#N/A</v>
      </c>
      <c r="Y365" s="5" t="e">
        <f ca="1">IF(OR(INDEX($AI$2:$AI$1001,MATCH(ROWS($AH$2:AH365),$AH$2:$AH$1001,0),1)&gt;=100000,INDEX($AO$1005:$BQ$1005,1,MATCH(COLUMNS($AO$1006:BL1006),$AO$1006:$BQ$1006,0))&gt;=100000), " ",IF(INDEX($AO$2:$BQ$1001,MATCH(ROWS($AH$2:AH365),$AH$2:$AH$1001,0),MATCH(COLUMNS($AO$1006:BL1006),$AO$1006:$BQ$1006,0)), HYPERLINK("#",""), HYPERLINK(CONCATENATE("#Metadata!", ADDRESS(INDEX($AJ$2:$AJ$1001,MATCH(ROWS($AH$2:AH365),$AH$2:$AH$1001,0),0), INDEX($AO$1004:$BQ$1004,1,MATCH(COLUMNS($AO$1006:BL1006),$AO$1006:$BQ$1006,0)))),"Fix")))</f>
        <v>#N/A</v>
      </c>
      <c r="Z365" s="5" t="e">
        <f ca="1">IF(OR(INDEX($AI$2:$AI$1001,MATCH(ROWS($AH$2:AH365),$AH$2:$AH$1001,0),1)&gt;=100000,INDEX($AO$1005:$BQ$1005,1,MATCH(COLUMNS($AO$1006:BM1006),$AO$1006:$BQ$1006,0))&gt;=100000), " ",IF(INDEX($AO$2:$BQ$1001,MATCH(ROWS($AH$2:AH365),$AH$2:$AH$1001,0),MATCH(COLUMNS($AO$1006:BM1006),$AO$1006:$BQ$1006,0)), HYPERLINK("#",""), HYPERLINK(CONCATENATE("#Metadata!", ADDRESS(INDEX($AJ$2:$AJ$1001,MATCH(ROWS($AH$2:AH365),$AH$2:$AH$1001,0),0), INDEX($AO$1004:$BQ$1004,1,MATCH(COLUMNS($AO$1006:BM1006),$AO$1006:$BQ$1006,0)))),"Fix")))</f>
        <v>#N/A</v>
      </c>
      <c r="AA365" s="5" t="e">
        <f ca="1">IF(OR(INDEX($AI$2:$AI$1001,MATCH(ROWS($AH$2:AH365),$AH$2:$AH$1001,0),1)&gt;=100000,INDEX($AO$1005:$BQ$1005,1,MATCH(COLUMNS($AO$1006:BN1006),$AO$1006:$BQ$1006,0))&gt;=100000), " ",IF(INDEX($AO$2:$BQ$1001,MATCH(ROWS($AH$2:AH365),$AH$2:$AH$1001,0),MATCH(COLUMNS($AO$1006:BN1006),$AO$1006:$BQ$1006,0)), HYPERLINK("#",""), HYPERLINK(CONCATENATE("#Metadata!", ADDRESS(INDEX($AJ$2:$AJ$1001,MATCH(ROWS($AH$2:AH365),$AH$2:$AH$1001,0),0), INDEX($AO$1004:$BQ$1004,1,MATCH(COLUMNS($AO$1006:BN1006),$AO$1006:$BQ$1006,0)))),"Fix")))</f>
        <v>#N/A</v>
      </c>
      <c r="AB365" s="5" t="e">
        <f ca="1">IF(OR(INDEX($AI$2:$AI$1001,MATCH(ROWS($AH$2:AH365),$AH$2:$AH$1001,0),1)&gt;=100000,INDEX($AO$1005:$BQ$1005,1,MATCH(COLUMNS($AO$1006:BO1006),$AO$1006:$BQ$1006,0))&gt;=100000), " ",IF(INDEX($AO$2:$BQ$1001,MATCH(ROWS($AH$2:AH365),$AH$2:$AH$1001,0),MATCH(COLUMNS($AO$1006:BO1006),$AO$1006:$BQ$1006,0)), HYPERLINK("#",""), HYPERLINK(CONCATENATE("#Metadata!", ADDRESS(INDEX($AJ$2:$AJ$1001,MATCH(ROWS($AH$2:AH365),$AH$2:$AH$1001,0),0), INDEX($AO$1004:$BQ$1004,1,MATCH(COLUMNS($AO$1006:BO1006),$AO$1006:$BQ$1006,0)))),"Fix")))</f>
        <v>#N/A</v>
      </c>
      <c r="AC365" s="5" t="e">
        <f ca="1">IF(OR(INDEX($AI$2:$AI$1001,MATCH(ROWS($AH$2:AH365),$AH$2:$AH$1001,0),1)&gt;=100000,INDEX($AO$1005:$BQ$1005,1,MATCH(COLUMNS($AO$1006:BP1006),$AO$1006:$BQ$1006,0))&gt;=100000), " ",IF(INDEX($AO$2:$BQ$1001,MATCH(ROWS($AH$2:AH365),$AH$2:$AH$1001,0),MATCH(COLUMNS($AO$1006:BP1006),$AO$1006:$BQ$1006,0)), HYPERLINK("#",""), HYPERLINK(CONCATENATE("#Metadata!", ADDRESS(INDEX($AJ$2:$AJ$1001,MATCH(ROWS($AH$2:AH365),$AH$2:$AH$1001,0),0), INDEX($AO$1004:$BQ$1004,1,MATCH(COLUMNS($AO$1006:BP1006),$AO$1006:$BQ$1006,0)))),"Fix")))</f>
        <v>#N/A</v>
      </c>
      <c r="AD365" s="5" t="e">
        <f ca="1">IF(OR(INDEX($AI$2:$AI$1001,MATCH(ROWS($AH$2:AH365),$AH$2:$AH$1001,0),1)&gt;=100000,INDEX($AO$1005:$BQ$1005,1,MATCH(COLUMNS($AO$1006:BQ1006),$AO$1006:$BQ$1006,0))&gt;=100000), " ",IF(INDEX($AO$2:$BQ$1001,MATCH(ROWS($AH$2:AH365),$AH$2:$AH$1001,0),MATCH(COLUMNS($AO$1006:BQ1006),$AO$1006:$BQ$1006,0)), HYPERLINK("#",""), HYPERLINK(CONCATENATE("#Metadata!", ADDRESS(INDEX($AJ$2:$AJ$1001,MATCH(ROWS($AH$2:AH365),$AH$2:$AH$1001,0),0), INDEX($AO$1004:$BQ$1004,1,MATCH(COLUMNS($AO$1006:BQ1006),$AO$1006:$BQ$1006,0)))),"Fix")))</f>
        <v>#REF!</v>
      </c>
      <c r="AH365">
        <f ca="1"/>
        <v>362</v>
      </c>
      <c r="AI365">
        <v>100365</v>
      </c>
      <c r="AJ365">
        <v>365</v>
      </c>
      <c r="AK365" t="b">
        <f t="shared" si="5"/>
        <v>1</v>
      </c>
      <c r="AL365" t="b">
        <f>COUNTBLANK(Metadata!B365:AD365)=COLUMNS(Metadata!B365:AD365)</f>
        <v>1</v>
      </c>
      <c r="AM365" t="str">
        <v/>
      </c>
      <c r="AO365" t="b">
        <f ca="1">AND(IF(Metadata!B365="",FALSE,TRUE),COUNTIF(Metadata!B:B, Metadata!B365) = 1,NOT(ISERROR(SUMPRODUCT(SEARCH(MID(Metadata!B365,ROW(INDIRECT("1:"&amp;LEN(Metadata!B365))), 1),"0123456789abcdefghijklmnopqrstuvwxyzABCDEFGHIJKLMNOPQRSTUVWXYZ.")))))</f>
        <v>0</v>
      </c>
      <c r="AP365" t="b">
        <f>IF(Metadata!C365="",FALSE,TRUE)</f>
        <v>0</v>
      </c>
      <c r="AQ365" t="b">
        <f>IF(Metadata!D365="",FALSE,TRUE)</f>
        <v>0</v>
      </c>
      <c r="AR365" t="b">
        <f ca="1">OR(AND(IF(Metadata!E365="",FALSE,TRUE),OR(EXACT(Metadata!E365,"not collected"),EXACT(Metadata!E365,"not provided"),EXACT(Metadata!E365,"restricted access"))),AND(IF(Metadata!E365="",FALSE,TRUE),AND(AND(IFERROR(INT(LEFT(Metadata!E365,4))&gt;1900,FALSE),IFERROR(INT(LEFT(Metadata!E365,4))&lt;=YEAR(NOW()),FALSE)), OR(MID(Metadata!E365,5,1)="", AND(AND(MID(Metadata!E365,5,1)="-",IFERROR(INT(MID(Metadata!E365,6,1))&gt;=0,FALSE),IFERROR(INT(MID(Metadata!E365,6,1))&lt;=1,FALSE),NOT(MID(Metadata!E365,7,1)=""),IFERROR(INT(MID(Metadata!E365,6,2))&gt;=1,FALSE),IFERROR(INT(MID(Metadata!E365,6,2))&lt;=12,FALSE)), OR(MID(Metadata!E365,8,1)="", AND(AND(MID(Metadata!E365,8,1)="-",IFERROR(INT(MID(Metadata!E365,9,1))&gt;=0,FALSE),IFERROR(INT(MID(Metadata!E365,9,1))&lt;=3,FALSE),NOT(MID(Metadata!E365,10,1)=""),IFERROR(INT(MID(Metadata!E365,9,2))&gt;=1,FALSE),IFERROR(INT(MID(Metadata!E365,9,2))&lt;=31,FALSE)), OR(MID(Metadata!E365,11,1)="", AND(AND(MID(Metadata!E365,11,1)=" ",IFERROR(INT(MID(Metadata!E365,12,1))&gt;=0,FALSE),IFERROR(INT(MID(Metadata!E365,12,1))&lt;=2,FALSE),NOT(MID(Metadata!E365,13,1)=""),IFERROR(INT(MID(Metadata!E365,12,2))&gt;=0,FALSE),IFERROR(INT(MID(Metadata!E365,12,2))&lt;=23,FALSE)), OR(MID(Metadata!E365,14,1)="", AND(AND(MID(Metadata!E365,14,1)=":",IFERROR(INT(MID(Metadata!E365,15,1))&gt;=0,FALSE),IFERROR(INT(MID(Metadata!E365,15,1))&lt;=5,FALSE),NOT(MID(Metadata!E365,16,1)=""),IFERROR(INT(MID(Metadata!E365,15,2))&gt;=0,FALSE),IFERROR(INT(MID(Metadata!E365,15,2))&lt;=59,FALSE)), OR(MID(Metadata!E365,17,1)="", AND(AND(MID(Metadata!E365,17,1)=":",IFERROR(INT(MID(Metadata!E365,18,1))&gt;=0,FALSE),IFERROR(INT(MID(Metadata!E365,18,1))&lt;=5,FALSE),NOT(MID(Metadata!E365,19,1)=""),IFERROR(INT(MID(Metadata!E365,18,2))&gt;=0,FALSE),IFERROR(INT(MID(Metadata!E365,18,2))&lt;=59,FALSE)), LEN(Metadata!E365)&lt;=19)))))))))))))</f>
        <v>0</v>
      </c>
      <c r="AS365" t="b">
        <f>IF(Metadata!F365="",FALSE,TRUE)</f>
        <v>0</v>
      </c>
      <c r="AT365" t="b">
        <f>OR(AND(IF(Metadata!G365="",FALSE,TRUE),OR(EXACT(Metadata!G365,"not collected"),EXACT(Metadata!G365,"not provided"))),AND(IF(Metadata!G365="",FALSE,TRUE),OR(EXACT(Metadata!G365,"TRUE"),EXACT(Metadata!G365,"FALSE"))))</f>
        <v>0</v>
      </c>
      <c r="AU365" t="b">
        <f>OR(AND(IF(Metadata!H365="",FALSE,TRUE),OR(EXACT(Metadata!H365,"not collected"),EXACT(Metadata!H365,"not provided"),EXACT(Metadata!H365,"restricted access"))),AND(IF(Metadata!H365="",FALSE,ISNUMBER(VALUE(Metadata!H365))),Metadata!H365&gt;=-413))</f>
        <v>0</v>
      </c>
      <c r="AV365" t="b">
        <f>AND(IF(Metadata!I365="",FALSE,TRUE),EXACT(Metadata!I365,"meters"))</f>
        <v>0</v>
      </c>
      <c r="AW365" t="b">
        <f>AND(IF(Metadata!J365="",FALSE,TRUE),EXACT(Metadata!J365,"free-living"))</f>
        <v>0</v>
      </c>
      <c r="AX365" t="b">
        <f>AND(IF(Metadata!K365="",FALSE,TRUE),OR(EXACT(Metadata!K365,"saline"),EXACT(Metadata!K365,"non-saline")))</f>
        <v>0</v>
      </c>
      <c r="AY365" t="b">
        <f>AND(IF(Metadata!L365="",FALSE,TRUE),OR(EXACT(Metadata!L365,"sub-surface (non-saline)"),EXACT(Metadata!L365,"surface (non-saline)"),EXACT(Metadata!L365,"water (non-saline)"),EXACT(Metadata!L365,"soil (non-saline)"),EXACT(Metadata!L365,"aerosol (non-saline)"),EXACT(Metadata!L365,"sediment (non-saline)"),EXACT(Metadata!L365,"surface (saline)"),EXACT(Metadata!L365,"water (saline)"),EXACT(Metadata!L365,"hypersaline (saline)"),EXACT(Metadata!L365,"aerosol (saline)"),EXACT(Metadata!L365,"sediment (saline)")))</f>
        <v>0</v>
      </c>
      <c r="AZ365" t="b">
        <f>IF(Metadata!M365="",FALSE,TRUE)</f>
        <v>0</v>
      </c>
      <c r="BA365" t="b">
        <f>IF(Metadata!N365="",FALSE,TRUE)</f>
        <v>0</v>
      </c>
      <c r="BB365" t="b">
        <f>IF(Metadata!O365="",FALSE,TRUE)</f>
        <v>0</v>
      </c>
      <c r="BC365" t="b">
        <f>AND(IF(Metadata!P365="",FALSE,TRUE),OR(EXACT(Metadata!P365,"air"),EXACT(Metadata!P365,"microbial mat/biofilm"),EXACT(Metadata!P365,"misc environment"),EXACT(Metadata!P365,"sediment"),EXACT(Metadata!P365,"soil"),EXACT(Metadata!P365,"wastewater/sludge"),EXACT(Metadata!P365,"water")))</f>
        <v>0</v>
      </c>
      <c r="BD365" t="b">
        <f>IF(Metadata!Q365="",FALSE,TRUE)</f>
        <v>0</v>
      </c>
      <c r="BE365" t="b">
        <f>IF(Metadata!R365="",FALSE,TRUE)</f>
        <v>0</v>
      </c>
      <c r="BF365" t="b">
        <f>OR(AND(IF(Metadata!S365="",FALSE,TRUE),OR(EXACT(Metadata!S365,"not collected"),EXACT(Metadata!S365,"not provided"),EXACT(Metadata!S365,"restricted access"))),AND(IF(Metadata!S365="",FALSE,ISNUMBER(VALUE(Metadata!S365))),Metadata!S365&gt;=-90,Metadata!S365&lt;=90))</f>
        <v>0</v>
      </c>
      <c r="BG365" t="b">
        <f>AND(IF(Metadata!T365="",FALSE,TRUE),EXACT(Metadata!T365,"Decimal degrees"))</f>
        <v>0</v>
      </c>
      <c r="BH365" t="b">
        <f>OR(AND(IF(Metadata!U365="",FALSE,TRUE),OR(EXACT(Metadata!U365,"not applicable"),EXACT(Metadata!U365,"not collected"))),IF(Metadata!U365="",FALSE,TRUE))</f>
        <v>0</v>
      </c>
      <c r="BI365" t="b">
        <f>OR(AND(IF(Metadata!V365="",FALSE,TRUE),OR(EXACT(Metadata!V365,"not collected"),EXACT(Metadata!V365,"not provided"),EXACT(Metadata!V365,"restricted access"))),AND(IF(Metadata!V365="",FALSE,ISNUMBER(VALUE(Metadata!V365))),Metadata!V365&gt;=-180,Metadata!V365&lt;=180))</f>
        <v>0</v>
      </c>
      <c r="BJ365" t="b">
        <f>AND(IF(Metadata!W365="",FALSE,TRUE),EXACT(Metadata!W365,"Decimal degrees"))</f>
        <v>0</v>
      </c>
      <c r="BK365" t="b">
        <f>IF(Metadata!X365="",FALSE,TRUE)</f>
        <v>0</v>
      </c>
      <c r="BL365" t="b">
        <f>OR(AND(IF(Metadata!Y365="",FALSE,TRUE),OR(EXACT(Metadata!Y365,"not collected"),EXACT(Metadata!Y365,"not provided"),EXACT(Metadata!Y365,"restricted access"))),AND(IF(Metadata!Y365="",FALSE,TRUE),OR(EXACT(Metadata!Y365,"TRUE"),EXACT(Metadata!Y365,"FALSE"))))</f>
        <v>0</v>
      </c>
      <c r="BM365" t="b">
        <f>OR(AND(IF(Metadata!Z365="",FALSE,TRUE),EXACT(Metadata!Z365,"not applicable")),AND(IF(Metadata!Z365="",FALSE,TRUE),OR(EXACT(Metadata!Z365,"beer"),EXACT(Metadata!Z365,"cheese"),EXACT(Metadata!Z365,"fresh water"),EXACT(Metadata!Z365,"marine sediment"),EXACT(Metadata!Z365,"sea water"),EXACT(Metadata!Z365,"sediment"),EXACT(Metadata!Z365,"soil"),EXACT(Metadata!Z365,"waste water"))))</f>
        <v>0</v>
      </c>
      <c r="BN365" t="b">
        <f>AND(IF(Metadata!AA365="",FALSE,TRUE),EXACT(Metadata!AA365,"metagenome"))</f>
        <v>0</v>
      </c>
      <c r="BO365" t="b">
        <f>AND(IF(Metadata!AB365="",FALSE,TRUE),EXACT(Metadata!AB365,"256318"))</f>
        <v>0</v>
      </c>
      <c r="BP365" t="b">
        <f>IF(Metadata!AC365="",FALSE,TRUE)</f>
        <v>0</v>
      </c>
      <c r="BQ365" t="b">
        <f>IF(Metadata!AD365="",FALSE,TRUE)</f>
        <v>0</v>
      </c>
    </row>
    <row r="366" spans="1:69" x14ac:dyDescent="0.2">
      <c r="A366" s="4" t="e">
        <f ca="1">IF(B366=" "," ",HYPERLINK(CONCATENATE("#metadata!",ADDRESS(INDEX($AJ$2:$AJ$1001,MATCH(ROWS($AH$2:AH366),$AH$2:$AH$1001,0),0),2)),INDEX($AM$2:$AM$1001,MATCH(ROWS($AH$2:AH366),$AH$2:$AH$1001,0),0)))</f>
        <v>#N/A</v>
      </c>
      <c r="B366" s="5" t="e">
        <f ca="1">IF(OR(INDEX($AI$2:$AI$1001,MATCH(ROWS($AH$2:AH366),$AH$2:$AH$1001,0),1)&gt;=100000,INDEX($AO$1005:$BQ$1005,1,MATCH(COLUMNS($AO$1006:AO1006),$AO$1006:$BQ$1006,0))&gt;=100000), " ",IF(INDEX($AO$2:$BQ$1001,MATCH(ROWS($AH$2:AH366),$AH$2:$AH$1001,0),MATCH(COLUMNS($AO$1006:AO1006),$AO$1006:$BQ$1006,0)), HYPERLINK("#",""), HYPERLINK(CONCATENATE("#Metadata!", ADDRESS(INDEX($AJ$2:$AJ$1001,MATCH(ROWS($AH$2:AH366),$AH$2:$AH$1001,0),0), INDEX($AO$1004:$BQ$1004,1,MATCH(COLUMNS($AO$1006:AO1006),$AO$1006:$BQ$1006,0)))),"Fix")))</f>
        <v>#N/A</v>
      </c>
      <c r="C366" s="5" t="e">
        <f ca="1">IF(OR(INDEX($AI$2:$AI$1001,MATCH(ROWS($AH$2:AH366),$AH$2:$AH$1001,0),1)&gt;=100000,INDEX($AO$1005:$BQ$1005,1,MATCH(COLUMNS($AO$1006:AP1006),$AO$1006:$BQ$1006,0))&gt;=100000), " ",IF(INDEX($AO$2:$BQ$1001,MATCH(ROWS($AH$2:AH366),$AH$2:$AH$1001,0),MATCH(COLUMNS($AO$1006:AP1006),$AO$1006:$BQ$1006,0)), HYPERLINK("#",""), HYPERLINK(CONCATENATE("#Metadata!", ADDRESS(INDEX($AJ$2:$AJ$1001,MATCH(ROWS($AH$2:AH366),$AH$2:$AH$1001,0),0), INDEX($AO$1004:$BQ$1004,1,MATCH(COLUMNS($AO$1006:AP1006),$AO$1006:$BQ$1006,0)))),"Fix")))</f>
        <v>#N/A</v>
      </c>
      <c r="D366" s="5" t="e">
        <f ca="1">IF(OR(INDEX($AI$2:$AI$1001,MATCH(ROWS($AH$2:AH366),$AH$2:$AH$1001,0),1)&gt;=100000,INDEX($AO$1005:$BQ$1005,1,MATCH(COLUMNS($AO$1006:AQ1006),$AO$1006:$BQ$1006,0))&gt;=100000), " ",IF(INDEX($AO$2:$BQ$1001,MATCH(ROWS($AH$2:AH366),$AH$2:$AH$1001,0),MATCH(COLUMNS($AO$1006:AQ1006),$AO$1006:$BQ$1006,0)), HYPERLINK("#",""), HYPERLINK(CONCATENATE("#Metadata!", ADDRESS(INDEX($AJ$2:$AJ$1001,MATCH(ROWS($AH$2:AH366),$AH$2:$AH$1001,0),0), INDEX($AO$1004:$BQ$1004,1,MATCH(COLUMNS($AO$1006:AQ1006),$AO$1006:$BQ$1006,0)))),"Fix")))</f>
        <v>#N/A</v>
      </c>
      <c r="E366" s="5" t="e">
        <f ca="1">IF(OR(INDEX($AI$2:$AI$1001,MATCH(ROWS($AH$2:AH366),$AH$2:$AH$1001,0),1)&gt;=100000,INDEX($AO$1005:$BQ$1005,1,MATCH(COLUMNS($AO$1006:AR1006),$AO$1006:$BQ$1006,0))&gt;=100000), " ",IF(INDEX($AO$2:$BQ$1001,MATCH(ROWS($AH$2:AH366),$AH$2:$AH$1001,0),MATCH(COLUMNS($AO$1006:AR1006),$AO$1006:$BQ$1006,0)), HYPERLINK("#",""), HYPERLINK(CONCATENATE("#Metadata!", ADDRESS(INDEX($AJ$2:$AJ$1001,MATCH(ROWS($AH$2:AH366),$AH$2:$AH$1001,0),0), INDEX($AO$1004:$BQ$1004,1,MATCH(COLUMNS($AO$1006:AR1006),$AO$1006:$BQ$1006,0)))),"Fix")))</f>
        <v>#N/A</v>
      </c>
      <c r="F366" s="5" t="e">
        <f ca="1">IF(OR(INDEX($AI$2:$AI$1001,MATCH(ROWS($AH$2:AH366),$AH$2:$AH$1001,0),1)&gt;=100000,INDEX($AO$1005:$BQ$1005,1,MATCH(COLUMNS($AO$1006:AS1006),$AO$1006:$BQ$1006,0))&gt;=100000), " ",IF(INDEX($AO$2:$BQ$1001,MATCH(ROWS($AH$2:AH366),$AH$2:$AH$1001,0),MATCH(COLUMNS($AO$1006:AS1006),$AO$1006:$BQ$1006,0)), HYPERLINK("#",""), HYPERLINK(CONCATENATE("#Metadata!", ADDRESS(INDEX($AJ$2:$AJ$1001,MATCH(ROWS($AH$2:AH366),$AH$2:$AH$1001,0),0), INDEX($AO$1004:$BQ$1004,1,MATCH(COLUMNS($AO$1006:AS1006),$AO$1006:$BQ$1006,0)))),"Fix")))</f>
        <v>#N/A</v>
      </c>
      <c r="G366" s="5" t="e">
        <f ca="1">IF(OR(INDEX($AI$2:$AI$1001,MATCH(ROWS($AH$2:AH366),$AH$2:$AH$1001,0),1)&gt;=100000,INDEX($AO$1005:$BQ$1005,1,MATCH(COLUMNS($AO$1006:AT1006),$AO$1006:$BQ$1006,0))&gt;=100000), " ",IF(INDEX($AO$2:$BQ$1001,MATCH(ROWS($AH$2:AH366),$AH$2:$AH$1001,0),MATCH(COLUMNS($AO$1006:AT1006),$AO$1006:$BQ$1006,0)), HYPERLINK("#",""), HYPERLINK(CONCATENATE("#Metadata!", ADDRESS(INDEX($AJ$2:$AJ$1001,MATCH(ROWS($AH$2:AH366),$AH$2:$AH$1001,0),0), INDEX($AO$1004:$BQ$1004,1,MATCH(COLUMNS($AO$1006:AT1006),$AO$1006:$BQ$1006,0)))),"Fix")))</f>
        <v>#N/A</v>
      </c>
      <c r="H366" s="5" t="e">
        <f ca="1">IF(OR(INDEX($AI$2:$AI$1001,MATCH(ROWS($AH$2:AH366),$AH$2:$AH$1001,0),1)&gt;=100000,INDEX($AO$1005:$BQ$1005,1,MATCH(COLUMNS($AO$1006:AU1006),$AO$1006:$BQ$1006,0))&gt;=100000), " ",IF(INDEX($AO$2:$BQ$1001,MATCH(ROWS($AH$2:AH366),$AH$2:$AH$1001,0),MATCH(COLUMNS($AO$1006:AU1006),$AO$1006:$BQ$1006,0)), HYPERLINK("#",""), HYPERLINK(CONCATENATE("#Metadata!", ADDRESS(INDEX($AJ$2:$AJ$1001,MATCH(ROWS($AH$2:AH366),$AH$2:$AH$1001,0),0), INDEX($AO$1004:$BQ$1004,1,MATCH(COLUMNS($AO$1006:AU1006),$AO$1006:$BQ$1006,0)))),"Fix")))</f>
        <v>#N/A</v>
      </c>
      <c r="I366" s="5" t="e">
        <f ca="1">IF(OR(INDEX($AI$2:$AI$1001,MATCH(ROWS($AH$2:AH366),$AH$2:$AH$1001,0),1)&gt;=100000,INDEX($AO$1005:$BQ$1005,1,MATCH(COLUMNS($AO$1006:AV1006),$AO$1006:$BQ$1006,0))&gt;=100000), " ",IF(INDEX($AO$2:$BQ$1001,MATCH(ROWS($AH$2:AH366),$AH$2:$AH$1001,0),MATCH(COLUMNS($AO$1006:AV1006),$AO$1006:$BQ$1006,0)), HYPERLINK("#",""), HYPERLINK(CONCATENATE("#Metadata!", ADDRESS(INDEX($AJ$2:$AJ$1001,MATCH(ROWS($AH$2:AH366),$AH$2:$AH$1001,0),0), INDEX($AO$1004:$BQ$1004,1,MATCH(COLUMNS($AO$1006:AV1006),$AO$1006:$BQ$1006,0)))),"Fix")))</f>
        <v>#N/A</v>
      </c>
      <c r="J366" s="5" t="e">
        <f ca="1">IF(OR(INDEX($AI$2:$AI$1001,MATCH(ROWS($AH$2:AH366),$AH$2:$AH$1001,0),1)&gt;=100000,INDEX($AO$1005:$BQ$1005,1,MATCH(COLUMNS($AO$1006:AW1006),$AO$1006:$BQ$1006,0))&gt;=100000), " ",IF(INDEX($AO$2:$BQ$1001,MATCH(ROWS($AH$2:AH366),$AH$2:$AH$1001,0),MATCH(COLUMNS($AO$1006:AW1006),$AO$1006:$BQ$1006,0)), HYPERLINK("#",""), HYPERLINK(CONCATENATE("#Metadata!", ADDRESS(INDEX($AJ$2:$AJ$1001,MATCH(ROWS($AH$2:AH366),$AH$2:$AH$1001,0),0), INDEX($AO$1004:$BQ$1004,1,MATCH(COLUMNS($AO$1006:AW1006),$AO$1006:$BQ$1006,0)))),"Fix")))</f>
        <v>#N/A</v>
      </c>
      <c r="K366" s="5" t="e">
        <f ca="1">IF(OR(INDEX($AI$2:$AI$1001,MATCH(ROWS($AH$2:AH366),$AH$2:$AH$1001,0),1)&gt;=100000,INDEX($AO$1005:$BQ$1005,1,MATCH(COLUMNS($AO$1006:AX1006),$AO$1006:$BQ$1006,0))&gt;=100000), " ",IF(INDEX($AO$2:$BQ$1001,MATCH(ROWS($AH$2:AH366),$AH$2:$AH$1001,0),MATCH(COLUMNS($AO$1006:AX1006),$AO$1006:$BQ$1006,0)), HYPERLINK("#",""), HYPERLINK(CONCATENATE("#Metadata!", ADDRESS(INDEX($AJ$2:$AJ$1001,MATCH(ROWS($AH$2:AH366),$AH$2:$AH$1001,0),0), INDEX($AO$1004:$BQ$1004,1,MATCH(COLUMNS($AO$1006:AX1006),$AO$1006:$BQ$1006,0)))),"Fix")))</f>
        <v>#N/A</v>
      </c>
      <c r="L366" s="5" t="e">
        <f ca="1">IF(OR(INDEX($AI$2:$AI$1001,MATCH(ROWS($AH$2:AH366),$AH$2:$AH$1001,0),1)&gt;=100000,INDEX($AO$1005:$BQ$1005,1,MATCH(COLUMNS($AO$1006:AY1006),$AO$1006:$BQ$1006,0))&gt;=100000), " ",IF(INDEX($AO$2:$BQ$1001,MATCH(ROWS($AH$2:AH366),$AH$2:$AH$1001,0),MATCH(COLUMNS($AO$1006:AY1006),$AO$1006:$BQ$1006,0)), HYPERLINK("#",""), HYPERLINK(CONCATENATE("#Metadata!", ADDRESS(INDEX($AJ$2:$AJ$1001,MATCH(ROWS($AH$2:AH366),$AH$2:$AH$1001,0),0), INDEX($AO$1004:$BQ$1004,1,MATCH(COLUMNS($AO$1006:AY1006),$AO$1006:$BQ$1006,0)))),"Fix")))</f>
        <v>#N/A</v>
      </c>
      <c r="M366" s="5" t="e">
        <f ca="1">IF(OR(INDEX($AI$2:$AI$1001,MATCH(ROWS($AH$2:AH366),$AH$2:$AH$1001,0),1)&gt;=100000,INDEX($AO$1005:$BQ$1005,1,MATCH(COLUMNS($AO$1006:AZ1006),$AO$1006:$BQ$1006,0))&gt;=100000), " ",IF(INDEX($AO$2:$BQ$1001,MATCH(ROWS($AH$2:AH366),$AH$2:$AH$1001,0),MATCH(COLUMNS($AO$1006:AZ1006),$AO$1006:$BQ$1006,0)), HYPERLINK("#",""), HYPERLINK(CONCATENATE("#Metadata!", ADDRESS(INDEX($AJ$2:$AJ$1001,MATCH(ROWS($AH$2:AH366),$AH$2:$AH$1001,0),0), INDEX($AO$1004:$BQ$1004,1,MATCH(COLUMNS($AO$1006:AZ1006),$AO$1006:$BQ$1006,0)))),"Fix")))</f>
        <v>#N/A</v>
      </c>
      <c r="N366" s="5" t="e">
        <f ca="1">IF(OR(INDEX($AI$2:$AI$1001,MATCH(ROWS($AH$2:AH366),$AH$2:$AH$1001,0),1)&gt;=100000,INDEX($AO$1005:$BQ$1005,1,MATCH(COLUMNS($AO$1006:BA1006),$AO$1006:$BQ$1006,0))&gt;=100000), " ",IF(INDEX($AO$2:$BQ$1001,MATCH(ROWS($AH$2:AH366),$AH$2:$AH$1001,0),MATCH(COLUMNS($AO$1006:BA1006),$AO$1006:$BQ$1006,0)), HYPERLINK("#",""), HYPERLINK(CONCATENATE("#Metadata!", ADDRESS(INDEX($AJ$2:$AJ$1001,MATCH(ROWS($AH$2:AH366),$AH$2:$AH$1001,0),0), INDEX($AO$1004:$BQ$1004,1,MATCH(COLUMNS($AO$1006:BA1006),$AO$1006:$BQ$1006,0)))),"Fix")))</f>
        <v>#N/A</v>
      </c>
      <c r="O366" s="5" t="e">
        <f ca="1">IF(OR(INDEX($AI$2:$AI$1001,MATCH(ROWS($AH$2:AH366),$AH$2:$AH$1001,0),1)&gt;=100000,INDEX($AO$1005:$BQ$1005,1,MATCH(COLUMNS($AO$1006:BB1006),$AO$1006:$BQ$1006,0))&gt;=100000), " ",IF(INDEX($AO$2:$BQ$1001,MATCH(ROWS($AH$2:AH366),$AH$2:$AH$1001,0),MATCH(COLUMNS($AO$1006:BB1006),$AO$1006:$BQ$1006,0)), HYPERLINK("#",""), HYPERLINK(CONCATENATE("#Metadata!", ADDRESS(INDEX($AJ$2:$AJ$1001,MATCH(ROWS($AH$2:AH366),$AH$2:$AH$1001,0),0), INDEX($AO$1004:$BQ$1004,1,MATCH(COLUMNS($AO$1006:BB1006),$AO$1006:$BQ$1006,0)))),"Fix")))</f>
        <v>#N/A</v>
      </c>
      <c r="P366" s="5" t="e">
        <f ca="1">IF(OR(INDEX($AI$2:$AI$1001,MATCH(ROWS($AH$2:AH366),$AH$2:$AH$1001,0),1)&gt;=100000,INDEX($AO$1005:$BQ$1005,1,MATCH(COLUMNS($AO$1006:BC1006),$AO$1006:$BQ$1006,0))&gt;=100000), " ",IF(INDEX($AO$2:$BQ$1001,MATCH(ROWS($AH$2:AH366),$AH$2:$AH$1001,0),MATCH(COLUMNS($AO$1006:BC1006),$AO$1006:$BQ$1006,0)), HYPERLINK("#",""), HYPERLINK(CONCATENATE("#Metadata!", ADDRESS(INDEX($AJ$2:$AJ$1001,MATCH(ROWS($AH$2:AH366),$AH$2:$AH$1001,0),0), INDEX($AO$1004:$BQ$1004,1,MATCH(COLUMNS($AO$1006:BC1006),$AO$1006:$BQ$1006,0)))),"Fix")))</f>
        <v>#N/A</v>
      </c>
      <c r="Q366" s="5" t="e">
        <f ca="1">IF(OR(INDEX($AI$2:$AI$1001,MATCH(ROWS($AH$2:AH366),$AH$2:$AH$1001,0),1)&gt;=100000,INDEX($AO$1005:$BQ$1005,1,MATCH(COLUMNS($AO$1006:BD1006),$AO$1006:$BQ$1006,0))&gt;=100000), " ",IF(INDEX($AO$2:$BQ$1001,MATCH(ROWS($AH$2:AH366),$AH$2:$AH$1001,0),MATCH(COLUMNS($AO$1006:BD1006),$AO$1006:$BQ$1006,0)), HYPERLINK("#",""), HYPERLINK(CONCATENATE("#Metadata!", ADDRESS(INDEX($AJ$2:$AJ$1001,MATCH(ROWS($AH$2:AH366),$AH$2:$AH$1001,0),0), INDEX($AO$1004:$BQ$1004,1,MATCH(COLUMNS($AO$1006:BD1006),$AO$1006:$BQ$1006,0)))),"Fix")))</f>
        <v>#N/A</v>
      </c>
      <c r="R366" s="5" t="e">
        <f ca="1">IF(OR(INDEX($AI$2:$AI$1001,MATCH(ROWS($AH$2:AH366),$AH$2:$AH$1001,0),1)&gt;=100000,INDEX($AO$1005:$BQ$1005,1,MATCH(COLUMNS($AO$1006:BE1006),$AO$1006:$BQ$1006,0))&gt;=100000), " ",IF(INDEX($AO$2:$BQ$1001,MATCH(ROWS($AH$2:AH366),$AH$2:$AH$1001,0),MATCH(COLUMNS($AO$1006:BE1006),$AO$1006:$BQ$1006,0)), HYPERLINK("#",""), HYPERLINK(CONCATENATE("#Metadata!", ADDRESS(INDEX($AJ$2:$AJ$1001,MATCH(ROWS($AH$2:AH366),$AH$2:$AH$1001,0),0), INDEX($AO$1004:$BQ$1004,1,MATCH(COLUMNS($AO$1006:BE1006),$AO$1006:$BQ$1006,0)))),"Fix")))</f>
        <v>#N/A</v>
      </c>
      <c r="S366" s="5" t="e">
        <f ca="1">IF(OR(INDEX($AI$2:$AI$1001,MATCH(ROWS($AH$2:AH366),$AH$2:$AH$1001,0),1)&gt;=100000,INDEX($AO$1005:$BQ$1005,1,MATCH(COLUMNS($AO$1006:BF1006),$AO$1006:$BQ$1006,0))&gt;=100000), " ",IF(INDEX($AO$2:$BQ$1001,MATCH(ROWS($AH$2:AH366),$AH$2:$AH$1001,0),MATCH(COLUMNS($AO$1006:BF1006),$AO$1006:$BQ$1006,0)), HYPERLINK("#",""), HYPERLINK(CONCATENATE("#Metadata!", ADDRESS(INDEX($AJ$2:$AJ$1001,MATCH(ROWS($AH$2:AH366),$AH$2:$AH$1001,0),0), INDEX($AO$1004:$BQ$1004,1,MATCH(COLUMNS($AO$1006:BF1006),$AO$1006:$BQ$1006,0)))),"Fix")))</f>
        <v>#N/A</v>
      </c>
      <c r="T366" s="5" t="e">
        <f ca="1">IF(OR(INDEX($AI$2:$AI$1001,MATCH(ROWS($AH$2:AH366),$AH$2:$AH$1001,0),1)&gt;=100000,INDEX($AO$1005:$BQ$1005,1,MATCH(COLUMNS($AO$1006:BG1006),$AO$1006:$BQ$1006,0))&gt;=100000), " ",IF(INDEX($AO$2:$BQ$1001,MATCH(ROWS($AH$2:AH366),$AH$2:$AH$1001,0),MATCH(COLUMNS($AO$1006:BG1006),$AO$1006:$BQ$1006,0)), HYPERLINK("#",""), HYPERLINK(CONCATENATE("#Metadata!", ADDRESS(INDEX($AJ$2:$AJ$1001,MATCH(ROWS($AH$2:AH366),$AH$2:$AH$1001,0),0), INDEX($AO$1004:$BQ$1004,1,MATCH(COLUMNS($AO$1006:BG1006),$AO$1006:$BQ$1006,0)))),"Fix")))</f>
        <v>#N/A</v>
      </c>
      <c r="U366" s="5" t="e">
        <f ca="1">IF(OR(INDEX($AI$2:$AI$1001,MATCH(ROWS($AH$2:AH366),$AH$2:$AH$1001,0),1)&gt;=100000,INDEX($AO$1005:$BQ$1005,1,MATCH(COLUMNS($AO$1006:BH1006),$AO$1006:$BQ$1006,0))&gt;=100000), " ",IF(INDEX($AO$2:$BQ$1001,MATCH(ROWS($AH$2:AH366),$AH$2:$AH$1001,0),MATCH(COLUMNS($AO$1006:BH1006),$AO$1006:$BQ$1006,0)), HYPERLINK("#",""), HYPERLINK(CONCATENATE("#Metadata!", ADDRESS(INDEX($AJ$2:$AJ$1001,MATCH(ROWS($AH$2:AH366),$AH$2:$AH$1001,0),0), INDEX($AO$1004:$BQ$1004,1,MATCH(COLUMNS($AO$1006:BH1006),$AO$1006:$BQ$1006,0)))),"Fix")))</f>
        <v>#N/A</v>
      </c>
      <c r="V366" s="5" t="e">
        <f ca="1">IF(OR(INDEX($AI$2:$AI$1001,MATCH(ROWS($AH$2:AH366),$AH$2:$AH$1001,0),1)&gt;=100000,INDEX($AO$1005:$BQ$1005,1,MATCH(COLUMNS($AO$1006:BI1006),$AO$1006:$BQ$1006,0))&gt;=100000), " ",IF(INDEX($AO$2:$BQ$1001,MATCH(ROWS($AH$2:AH366),$AH$2:$AH$1001,0),MATCH(COLUMNS($AO$1006:BI1006),$AO$1006:$BQ$1006,0)), HYPERLINK("#",""), HYPERLINK(CONCATENATE("#Metadata!", ADDRESS(INDEX($AJ$2:$AJ$1001,MATCH(ROWS($AH$2:AH366),$AH$2:$AH$1001,0),0), INDEX($AO$1004:$BQ$1004,1,MATCH(COLUMNS($AO$1006:BI1006),$AO$1006:$BQ$1006,0)))),"Fix")))</f>
        <v>#N/A</v>
      </c>
      <c r="W366" s="5" t="e">
        <f ca="1">IF(OR(INDEX($AI$2:$AI$1001,MATCH(ROWS($AH$2:AH366),$AH$2:$AH$1001,0),1)&gt;=100000,INDEX($AO$1005:$BQ$1005,1,MATCH(COLUMNS($AO$1006:BJ1006),$AO$1006:$BQ$1006,0))&gt;=100000), " ",IF(INDEX($AO$2:$BQ$1001,MATCH(ROWS($AH$2:AH366),$AH$2:$AH$1001,0),MATCH(COLUMNS($AO$1006:BJ1006),$AO$1006:$BQ$1006,0)), HYPERLINK("#",""), HYPERLINK(CONCATENATE("#Metadata!", ADDRESS(INDEX($AJ$2:$AJ$1001,MATCH(ROWS($AH$2:AH366),$AH$2:$AH$1001,0),0), INDEX($AO$1004:$BQ$1004,1,MATCH(COLUMNS($AO$1006:BJ1006),$AO$1006:$BQ$1006,0)))),"Fix")))</f>
        <v>#N/A</v>
      </c>
      <c r="X366" s="5" t="e">
        <f ca="1">IF(OR(INDEX($AI$2:$AI$1001,MATCH(ROWS($AH$2:AH366),$AH$2:$AH$1001,0),1)&gt;=100000,INDEX($AO$1005:$BQ$1005,1,MATCH(COLUMNS($AO$1006:BK1006),$AO$1006:$BQ$1006,0))&gt;=100000), " ",IF(INDEX($AO$2:$BQ$1001,MATCH(ROWS($AH$2:AH366),$AH$2:$AH$1001,0),MATCH(COLUMNS($AO$1006:BK1006),$AO$1006:$BQ$1006,0)), HYPERLINK("#",""), HYPERLINK(CONCATENATE("#Metadata!", ADDRESS(INDEX($AJ$2:$AJ$1001,MATCH(ROWS($AH$2:AH366),$AH$2:$AH$1001,0),0), INDEX($AO$1004:$BQ$1004,1,MATCH(COLUMNS($AO$1006:BK1006),$AO$1006:$BQ$1006,0)))),"Fix")))</f>
        <v>#N/A</v>
      </c>
      <c r="Y366" s="5" t="e">
        <f ca="1">IF(OR(INDEX($AI$2:$AI$1001,MATCH(ROWS($AH$2:AH366),$AH$2:$AH$1001,0),1)&gt;=100000,INDEX($AO$1005:$BQ$1005,1,MATCH(COLUMNS($AO$1006:BL1006),$AO$1006:$BQ$1006,0))&gt;=100000), " ",IF(INDEX($AO$2:$BQ$1001,MATCH(ROWS($AH$2:AH366),$AH$2:$AH$1001,0),MATCH(COLUMNS($AO$1006:BL1006),$AO$1006:$BQ$1006,0)), HYPERLINK("#",""), HYPERLINK(CONCATENATE("#Metadata!", ADDRESS(INDEX($AJ$2:$AJ$1001,MATCH(ROWS($AH$2:AH366),$AH$2:$AH$1001,0),0), INDEX($AO$1004:$BQ$1004,1,MATCH(COLUMNS($AO$1006:BL1006),$AO$1006:$BQ$1006,0)))),"Fix")))</f>
        <v>#N/A</v>
      </c>
      <c r="Z366" s="5" t="e">
        <f ca="1">IF(OR(INDEX($AI$2:$AI$1001,MATCH(ROWS($AH$2:AH366),$AH$2:$AH$1001,0),1)&gt;=100000,INDEX($AO$1005:$BQ$1005,1,MATCH(COLUMNS($AO$1006:BM1006),$AO$1006:$BQ$1006,0))&gt;=100000), " ",IF(INDEX($AO$2:$BQ$1001,MATCH(ROWS($AH$2:AH366),$AH$2:$AH$1001,0),MATCH(COLUMNS($AO$1006:BM1006),$AO$1006:$BQ$1006,0)), HYPERLINK("#",""), HYPERLINK(CONCATENATE("#Metadata!", ADDRESS(INDEX($AJ$2:$AJ$1001,MATCH(ROWS($AH$2:AH366),$AH$2:$AH$1001,0),0), INDEX($AO$1004:$BQ$1004,1,MATCH(COLUMNS($AO$1006:BM1006),$AO$1006:$BQ$1006,0)))),"Fix")))</f>
        <v>#N/A</v>
      </c>
      <c r="AA366" s="5" t="e">
        <f ca="1">IF(OR(INDEX($AI$2:$AI$1001,MATCH(ROWS($AH$2:AH366),$AH$2:$AH$1001,0),1)&gt;=100000,INDEX($AO$1005:$BQ$1005,1,MATCH(COLUMNS($AO$1006:BN1006),$AO$1006:$BQ$1006,0))&gt;=100000), " ",IF(INDEX($AO$2:$BQ$1001,MATCH(ROWS($AH$2:AH366),$AH$2:$AH$1001,0),MATCH(COLUMNS($AO$1006:BN1006),$AO$1006:$BQ$1006,0)), HYPERLINK("#",""), HYPERLINK(CONCATENATE("#Metadata!", ADDRESS(INDEX($AJ$2:$AJ$1001,MATCH(ROWS($AH$2:AH366),$AH$2:$AH$1001,0),0), INDEX($AO$1004:$BQ$1004,1,MATCH(COLUMNS($AO$1006:BN1006),$AO$1006:$BQ$1006,0)))),"Fix")))</f>
        <v>#N/A</v>
      </c>
      <c r="AB366" s="5" t="e">
        <f ca="1">IF(OR(INDEX($AI$2:$AI$1001,MATCH(ROWS($AH$2:AH366),$AH$2:$AH$1001,0),1)&gt;=100000,INDEX($AO$1005:$BQ$1005,1,MATCH(COLUMNS($AO$1006:BO1006),$AO$1006:$BQ$1006,0))&gt;=100000), " ",IF(INDEX($AO$2:$BQ$1001,MATCH(ROWS($AH$2:AH366),$AH$2:$AH$1001,0),MATCH(COLUMNS($AO$1006:BO1006),$AO$1006:$BQ$1006,0)), HYPERLINK("#",""), HYPERLINK(CONCATENATE("#Metadata!", ADDRESS(INDEX($AJ$2:$AJ$1001,MATCH(ROWS($AH$2:AH366),$AH$2:$AH$1001,0),0), INDEX($AO$1004:$BQ$1004,1,MATCH(COLUMNS($AO$1006:BO1006),$AO$1006:$BQ$1006,0)))),"Fix")))</f>
        <v>#N/A</v>
      </c>
      <c r="AC366" s="5" t="e">
        <f ca="1">IF(OR(INDEX($AI$2:$AI$1001,MATCH(ROWS($AH$2:AH366),$AH$2:$AH$1001,0),1)&gt;=100000,INDEX($AO$1005:$BQ$1005,1,MATCH(COLUMNS($AO$1006:BP1006),$AO$1006:$BQ$1006,0))&gt;=100000), " ",IF(INDEX($AO$2:$BQ$1001,MATCH(ROWS($AH$2:AH366),$AH$2:$AH$1001,0),MATCH(COLUMNS($AO$1006:BP1006),$AO$1006:$BQ$1006,0)), HYPERLINK("#",""), HYPERLINK(CONCATENATE("#Metadata!", ADDRESS(INDEX($AJ$2:$AJ$1001,MATCH(ROWS($AH$2:AH366),$AH$2:$AH$1001,0),0), INDEX($AO$1004:$BQ$1004,1,MATCH(COLUMNS($AO$1006:BP1006),$AO$1006:$BQ$1006,0)))),"Fix")))</f>
        <v>#N/A</v>
      </c>
      <c r="AD366" s="5" t="e">
        <f ca="1">IF(OR(INDEX($AI$2:$AI$1001,MATCH(ROWS($AH$2:AH366),$AH$2:$AH$1001,0),1)&gt;=100000,INDEX($AO$1005:$BQ$1005,1,MATCH(COLUMNS($AO$1006:BQ1006),$AO$1006:$BQ$1006,0))&gt;=100000), " ",IF(INDEX($AO$2:$BQ$1001,MATCH(ROWS($AH$2:AH366),$AH$2:$AH$1001,0),MATCH(COLUMNS($AO$1006:BQ1006),$AO$1006:$BQ$1006,0)), HYPERLINK("#",""), HYPERLINK(CONCATENATE("#Metadata!", ADDRESS(INDEX($AJ$2:$AJ$1001,MATCH(ROWS($AH$2:AH366),$AH$2:$AH$1001,0),0), INDEX($AO$1004:$BQ$1004,1,MATCH(COLUMNS($AO$1006:BQ1006),$AO$1006:$BQ$1006,0)))),"Fix")))</f>
        <v>#REF!</v>
      </c>
      <c r="AH366">
        <f ca="1"/>
        <v>363</v>
      </c>
      <c r="AI366">
        <v>100366</v>
      </c>
      <c r="AJ366">
        <v>366</v>
      </c>
      <c r="AK366" t="b">
        <f t="shared" si="5"/>
        <v>1</v>
      </c>
      <c r="AL366" t="b">
        <f>COUNTBLANK(Metadata!B366:AD366)=COLUMNS(Metadata!B366:AD366)</f>
        <v>1</v>
      </c>
      <c r="AM366" t="str">
        <v/>
      </c>
      <c r="AO366" t="b">
        <f ca="1">AND(IF(Metadata!B366="",FALSE,TRUE),COUNTIF(Metadata!B:B, Metadata!B366) = 1,NOT(ISERROR(SUMPRODUCT(SEARCH(MID(Metadata!B366,ROW(INDIRECT("1:"&amp;LEN(Metadata!B366))), 1),"0123456789abcdefghijklmnopqrstuvwxyzABCDEFGHIJKLMNOPQRSTUVWXYZ.")))))</f>
        <v>0</v>
      </c>
      <c r="AP366" t="b">
        <f>IF(Metadata!C366="",FALSE,TRUE)</f>
        <v>0</v>
      </c>
      <c r="AQ366" t="b">
        <f>IF(Metadata!D366="",FALSE,TRUE)</f>
        <v>0</v>
      </c>
      <c r="AR366" t="b">
        <f ca="1">OR(AND(IF(Metadata!E366="",FALSE,TRUE),OR(EXACT(Metadata!E366,"not collected"),EXACT(Metadata!E366,"not provided"),EXACT(Metadata!E366,"restricted access"))),AND(IF(Metadata!E366="",FALSE,TRUE),AND(AND(IFERROR(INT(LEFT(Metadata!E366,4))&gt;1900,FALSE),IFERROR(INT(LEFT(Metadata!E366,4))&lt;=YEAR(NOW()),FALSE)), OR(MID(Metadata!E366,5,1)="", AND(AND(MID(Metadata!E366,5,1)="-",IFERROR(INT(MID(Metadata!E366,6,1))&gt;=0,FALSE),IFERROR(INT(MID(Metadata!E366,6,1))&lt;=1,FALSE),NOT(MID(Metadata!E366,7,1)=""),IFERROR(INT(MID(Metadata!E366,6,2))&gt;=1,FALSE),IFERROR(INT(MID(Metadata!E366,6,2))&lt;=12,FALSE)), OR(MID(Metadata!E366,8,1)="", AND(AND(MID(Metadata!E366,8,1)="-",IFERROR(INT(MID(Metadata!E366,9,1))&gt;=0,FALSE),IFERROR(INT(MID(Metadata!E366,9,1))&lt;=3,FALSE),NOT(MID(Metadata!E366,10,1)=""),IFERROR(INT(MID(Metadata!E366,9,2))&gt;=1,FALSE),IFERROR(INT(MID(Metadata!E366,9,2))&lt;=31,FALSE)), OR(MID(Metadata!E366,11,1)="", AND(AND(MID(Metadata!E366,11,1)=" ",IFERROR(INT(MID(Metadata!E366,12,1))&gt;=0,FALSE),IFERROR(INT(MID(Metadata!E366,12,1))&lt;=2,FALSE),NOT(MID(Metadata!E366,13,1)=""),IFERROR(INT(MID(Metadata!E366,12,2))&gt;=0,FALSE),IFERROR(INT(MID(Metadata!E366,12,2))&lt;=23,FALSE)), OR(MID(Metadata!E366,14,1)="", AND(AND(MID(Metadata!E366,14,1)=":",IFERROR(INT(MID(Metadata!E366,15,1))&gt;=0,FALSE),IFERROR(INT(MID(Metadata!E366,15,1))&lt;=5,FALSE),NOT(MID(Metadata!E366,16,1)=""),IFERROR(INT(MID(Metadata!E366,15,2))&gt;=0,FALSE),IFERROR(INT(MID(Metadata!E366,15,2))&lt;=59,FALSE)), OR(MID(Metadata!E366,17,1)="", AND(AND(MID(Metadata!E366,17,1)=":",IFERROR(INT(MID(Metadata!E366,18,1))&gt;=0,FALSE),IFERROR(INT(MID(Metadata!E366,18,1))&lt;=5,FALSE),NOT(MID(Metadata!E366,19,1)=""),IFERROR(INT(MID(Metadata!E366,18,2))&gt;=0,FALSE),IFERROR(INT(MID(Metadata!E366,18,2))&lt;=59,FALSE)), LEN(Metadata!E366)&lt;=19)))))))))))))</f>
        <v>0</v>
      </c>
      <c r="AS366" t="b">
        <f>IF(Metadata!F366="",FALSE,TRUE)</f>
        <v>0</v>
      </c>
      <c r="AT366" t="b">
        <f>OR(AND(IF(Metadata!G366="",FALSE,TRUE),OR(EXACT(Metadata!G366,"not collected"),EXACT(Metadata!G366,"not provided"))),AND(IF(Metadata!G366="",FALSE,TRUE),OR(EXACT(Metadata!G366,"TRUE"),EXACT(Metadata!G366,"FALSE"))))</f>
        <v>0</v>
      </c>
      <c r="AU366" t="b">
        <f>OR(AND(IF(Metadata!H366="",FALSE,TRUE),OR(EXACT(Metadata!H366,"not collected"),EXACT(Metadata!H366,"not provided"),EXACT(Metadata!H366,"restricted access"))),AND(IF(Metadata!H366="",FALSE,ISNUMBER(VALUE(Metadata!H366))),Metadata!H366&gt;=-413))</f>
        <v>0</v>
      </c>
      <c r="AV366" t="b">
        <f>AND(IF(Metadata!I366="",FALSE,TRUE),EXACT(Metadata!I366,"meters"))</f>
        <v>0</v>
      </c>
      <c r="AW366" t="b">
        <f>AND(IF(Metadata!J366="",FALSE,TRUE),EXACT(Metadata!J366,"free-living"))</f>
        <v>0</v>
      </c>
      <c r="AX366" t="b">
        <f>AND(IF(Metadata!K366="",FALSE,TRUE),OR(EXACT(Metadata!K366,"saline"),EXACT(Metadata!K366,"non-saline")))</f>
        <v>0</v>
      </c>
      <c r="AY366" t="b">
        <f>AND(IF(Metadata!L366="",FALSE,TRUE),OR(EXACT(Metadata!L366,"sub-surface (non-saline)"),EXACT(Metadata!L366,"surface (non-saline)"),EXACT(Metadata!L366,"water (non-saline)"),EXACT(Metadata!L366,"soil (non-saline)"),EXACT(Metadata!L366,"aerosol (non-saline)"),EXACT(Metadata!L366,"sediment (non-saline)"),EXACT(Metadata!L366,"surface (saline)"),EXACT(Metadata!L366,"water (saline)"),EXACT(Metadata!L366,"hypersaline (saline)"),EXACT(Metadata!L366,"aerosol (saline)"),EXACT(Metadata!L366,"sediment (saline)")))</f>
        <v>0</v>
      </c>
      <c r="AZ366" t="b">
        <f>IF(Metadata!M366="",FALSE,TRUE)</f>
        <v>0</v>
      </c>
      <c r="BA366" t="b">
        <f>IF(Metadata!N366="",FALSE,TRUE)</f>
        <v>0</v>
      </c>
      <c r="BB366" t="b">
        <f>IF(Metadata!O366="",FALSE,TRUE)</f>
        <v>0</v>
      </c>
      <c r="BC366" t="b">
        <f>AND(IF(Metadata!P366="",FALSE,TRUE),OR(EXACT(Metadata!P366,"air"),EXACT(Metadata!P366,"microbial mat/biofilm"),EXACT(Metadata!P366,"misc environment"),EXACT(Metadata!P366,"sediment"),EXACT(Metadata!P366,"soil"),EXACT(Metadata!P366,"wastewater/sludge"),EXACT(Metadata!P366,"water")))</f>
        <v>0</v>
      </c>
      <c r="BD366" t="b">
        <f>IF(Metadata!Q366="",FALSE,TRUE)</f>
        <v>0</v>
      </c>
      <c r="BE366" t="b">
        <f>IF(Metadata!R366="",FALSE,TRUE)</f>
        <v>0</v>
      </c>
      <c r="BF366" t="b">
        <f>OR(AND(IF(Metadata!S366="",FALSE,TRUE),OR(EXACT(Metadata!S366,"not collected"),EXACT(Metadata!S366,"not provided"),EXACT(Metadata!S366,"restricted access"))),AND(IF(Metadata!S366="",FALSE,ISNUMBER(VALUE(Metadata!S366))),Metadata!S366&gt;=-90,Metadata!S366&lt;=90))</f>
        <v>0</v>
      </c>
      <c r="BG366" t="b">
        <f>AND(IF(Metadata!T366="",FALSE,TRUE),EXACT(Metadata!T366,"Decimal degrees"))</f>
        <v>0</v>
      </c>
      <c r="BH366" t="b">
        <f>OR(AND(IF(Metadata!U366="",FALSE,TRUE),OR(EXACT(Metadata!U366,"not applicable"),EXACT(Metadata!U366,"not collected"))),IF(Metadata!U366="",FALSE,TRUE))</f>
        <v>0</v>
      </c>
      <c r="BI366" t="b">
        <f>OR(AND(IF(Metadata!V366="",FALSE,TRUE),OR(EXACT(Metadata!V366,"not collected"),EXACT(Metadata!V366,"not provided"),EXACT(Metadata!V366,"restricted access"))),AND(IF(Metadata!V366="",FALSE,ISNUMBER(VALUE(Metadata!V366))),Metadata!V366&gt;=-180,Metadata!V366&lt;=180))</f>
        <v>0</v>
      </c>
      <c r="BJ366" t="b">
        <f>AND(IF(Metadata!W366="",FALSE,TRUE),EXACT(Metadata!W366,"Decimal degrees"))</f>
        <v>0</v>
      </c>
      <c r="BK366" t="b">
        <f>IF(Metadata!X366="",FALSE,TRUE)</f>
        <v>0</v>
      </c>
      <c r="BL366" t="b">
        <f>OR(AND(IF(Metadata!Y366="",FALSE,TRUE),OR(EXACT(Metadata!Y366,"not collected"),EXACT(Metadata!Y366,"not provided"),EXACT(Metadata!Y366,"restricted access"))),AND(IF(Metadata!Y366="",FALSE,TRUE),OR(EXACT(Metadata!Y366,"TRUE"),EXACT(Metadata!Y366,"FALSE"))))</f>
        <v>0</v>
      </c>
      <c r="BM366" t="b">
        <f>OR(AND(IF(Metadata!Z366="",FALSE,TRUE),EXACT(Metadata!Z366,"not applicable")),AND(IF(Metadata!Z366="",FALSE,TRUE),OR(EXACT(Metadata!Z366,"beer"),EXACT(Metadata!Z366,"cheese"),EXACT(Metadata!Z366,"fresh water"),EXACT(Metadata!Z366,"marine sediment"),EXACT(Metadata!Z366,"sea water"),EXACT(Metadata!Z366,"sediment"),EXACT(Metadata!Z366,"soil"),EXACT(Metadata!Z366,"waste water"))))</f>
        <v>0</v>
      </c>
      <c r="BN366" t="b">
        <f>AND(IF(Metadata!AA366="",FALSE,TRUE),EXACT(Metadata!AA366,"metagenome"))</f>
        <v>0</v>
      </c>
      <c r="BO366" t="b">
        <f>AND(IF(Metadata!AB366="",FALSE,TRUE),EXACT(Metadata!AB366,"256318"))</f>
        <v>0</v>
      </c>
      <c r="BP366" t="b">
        <f>IF(Metadata!AC366="",FALSE,TRUE)</f>
        <v>0</v>
      </c>
      <c r="BQ366" t="b">
        <f>IF(Metadata!AD366="",FALSE,TRUE)</f>
        <v>0</v>
      </c>
    </row>
    <row r="367" spans="1:69" x14ac:dyDescent="0.2">
      <c r="A367" s="4" t="e">
        <f ca="1">IF(B367=" "," ",HYPERLINK(CONCATENATE("#metadata!",ADDRESS(INDEX($AJ$2:$AJ$1001,MATCH(ROWS($AH$2:AH367),$AH$2:$AH$1001,0),0),2)),INDEX($AM$2:$AM$1001,MATCH(ROWS($AH$2:AH367),$AH$2:$AH$1001,0),0)))</f>
        <v>#N/A</v>
      </c>
      <c r="B367" s="5" t="e">
        <f ca="1">IF(OR(INDEX($AI$2:$AI$1001,MATCH(ROWS($AH$2:AH367),$AH$2:$AH$1001,0),1)&gt;=100000,INDEX($AO$1005:$BQ$1005,1,MATCH(COLUMNS($AO$1006:AO1006),$AO$1006:$BQ$1006,0))&gt;=100000), " ",IF(INDEX($AO$2:$BQ$1001,MATCH(ROWS($AH$2:AH367),$AH$2:$AH$1001,0),MATCH(COLUMNS($AO$1006:AO1006),$AO$1006:$BQ$1006,0)), HYPERLINK("#",""), HYPERLINK(CONCATENATE("#Metadata!", ADDRESS(INDEX($AJ$2:$AJ$1001,MATCH(ROWS($AH$2:AH367),$AH$2:$AH$1001,0),0), INDEX($AO$1004:$BQ$1004,1,MATCH(COLUMNS($AO$1006:AO1006),$AO$1006:$BQ$1006,0)))),"Fix")))</f>
        <v>#N/A</v>
      </c>
      <c r="C367" s="5" t="e">
        <f ca="1">IF(OR(INDEX($AI$2:$AI$1001,MATCH(ROWS($AH$2:AH367),$AH$2:$AH$1001,0),1)&gt;=100000,INDEX($AO$1005:$BQ$1005,1,MATCH(COLUMNS($AO$1006:AP1006),$AO$1006:$BQ$1006,0))&gt;=100000), " ",IF(INDEX($AO$2:$BQ$1001,MATCH(ROWS($AH$2:AH367),$AH$2:$AH$1001,0),MATCH(COLUMNS($AO$1006:AP1006),$AO$1006:$BQ$1006,0)), HYPERLINK("#",""), HYPERLINK(CONCATENATE("#Metadata!", ADDRESS(INDEX($AJ$2:$AJ$1001,MATCH(ROWS($AH$2:AH367),$AH$2:$AH$1001,0),0), INDEX($AO$1004:$BQ$1004,1,MATCH(COLUMNS($AO$1006:AP1006),$AO$1006:$BQ$1006,0)))),"Fix")))</f>
        <v>#N/A</v>
      </c>
      <c r="D367" s="5" t="e">
        <f ca="1">IF(OR(INDEX($AI$2:$AI$1001,MATCH(ROWS($AH$2:AH367),$AH$2:$AH$1001,0),1)&gt;=100000,INDEX($AO$1005:$BQ$1005,1,MATCH(COLUMNS($AO$1006:AQ1006),$AO$1006:$BQ$1006,0))&gt;=100000), " ",IF(INDEX($AO$2:$BQ$1001,MATCH(ROWS($AH$2:AH367),$AH$2:$AH$1001,0),MATCH(COLUMNS($AO$1006:AQ1006),$AO$1006:$BQ$1006,0)), HYPERLINK("#",""), HYPERLINK(CONCATENATE("#Metadata!", ADDRESS(INDEX($AJ$2:$AJ$1001,MATCH(ROWS($AH$2:AH367),$AH$2:$AH$1001,0),0), INDEX($AO$1004:$BQ$1004,1,MATCH(COLUMNS($AO$1006:AQ1006),$AO$1006:$BQ$1006,0)))),"Fix")))</f>
        <v>#N/A</v>
      </c>
      <c r="E367" s="5" t="e">
        <f ca="1">IF(OR(INDEX($AI$2:$AI$1001,MATCH(ROWS($AH$2:AH367),$AH$2:$AH$1001,0),1)&gt;=100000,INDEX($AO$1005:$BQ$1005,1,MATCH(COLUMNS($AO$1006:AR1006),$AO$1006:$BQ$1006,0))&gt;=100000), " ",IF(INDEX($AO$2:$BQ$1001,MATCH(ROWS($AH$2:AH367),$AH$2:$AH$1001,0),MATCH(COLUMNS($AO$1006:AR1006),$AO$1006:$BQ$1006,0)), HYPERLINK("#",""), HYPERLINK(CONCATENATE("#Metadata!", ADDRESS(INDEX($AJ$2:$AJ$1001,MATCH(ROWS($AH$2:AH367),$AH$2:$AH$1001,0),0), INDEX($AO$1004:$BQ$1004,1,MATCH(COLUMNS($AO$1006:AR1006),$AO$1006:$BQ$1006,0)))),"Fix")))</f>
        <v>#N/A</v>
      </c>
      <c r="F367" s="5" t="e">
        <f ca="1">IF(OR(INDEX($AI$2:$AI$1001,MATCH(ROWS($AH$2:AH367),$AH$2:$AH$1001,0),1)&gt;=100000,INDEX($AO$1005:$BQ$1005,1,MATCH(COLUMNS($AO$1006:AS1006),$AO$1006:$BQ$1006,0))&gt;=100000), " ",IF(INDEX($AO$2:$BQ$1001,MATCH(ROWS($AH$2:AH367),$AH$2:$AH$1001,0),MATCH(COLUMNS($AO$1006:AS1006),$AO$1006:$BQ$1006,0)), HYPERLINK("#",""), HYPERLINK(CONCATENATE("#Metadata!", ADDRESS(INDEX($AJ$2:$AJ$1001,MATCH(ROWS($AH$2:AH367),$AH$2:$AH$1001,0),0), INDEX($AO$1004:$BQ$1004,1,MATCH(COLUMNS($AO$1006:AS1006),$AO$1006:$BQ$1006,0)))),"Fix")))</f>
        <v>#N/A</v>
      </c>
      <c r="G367" s="5" t="e">
        <f ca="1">IF(OR(INDEX($AI$2:$AI$1001,MATCH(ROWS($AH$2:AH367),$AH$2:$AH$1001,0),1)&gt;=100000,INDEX($AO$1005:$BQ$1005,1,MATCH(COLUMNS($AO$1006:AT1006),$AO$1006:$BQ$1006,0))&gt;=100000), " ",IF(INDEX($AO$2:$BQ$1001,MATCH(ROWS($AH$2:AH367),$AH$2:$AH$1001,0),MATCH(COLUMNS($AO$1006:AT1006),$AO$1006:$BQ$1006,0)), HYPERLINK("#",""), HYPERLINK(CONCATENATE("#Metadata!", ADDRESS(INDEX($AJ$2:$AJ$1001,MATCH(ROWS($AH$2:AH367),$AH$2:$AH$1001,0),0), INDEX($AO$1004:$BQ$1004,1,MATCH(COLUMNS($AO$1006:AT1006),$AO$1006:$BQ$1006,0)))),"Fix")))</f>
        <v>#N/A</v>
      </c>
      <c r="H367" s="5" t="e">
        <f ca="1">IF(OR(INDEX($AI$2:$AI$1001,MATCH(ROWS($AH$2:AH367),$AH$2:$AH$1001,0),1)&gt;=100000,INDEX($AO$1005:$BQ$1005,1,MATCH(COLUMNS($AO$1006:AU1006),$AO$1006:$BQ$1006,0))&gt;=100000), " ",IF(INDEX($AO$2:$BQ$1001,MATCH(ROWS($AH$2:AH367),$AH$2:$AH$1001,0),MATCH(COLUMNS($AO$1006:AU1006),$AO$1006:$BQ$1006,0)), HYPERLINK("#",""), HYPERLINK(CONCATENATE("#Metadata!", ADDRESS(INDEX($AJ$2:$AJ$1001,MATCH(ROWS($AH$2:AH367),$AH$2:$AH$1001,0),0), INDEX($AO$1004:$BQ$1004,1,MATCH(COLUMNS($AO$1006:AU1006),$AO$1006:$BQ$1006,0)))),"Fix")))</f>
        <v>#N/A</v>
      </c>
      <c r="I367" s="5" t="e">
        <f ca="1">IF(OR(INDEX($AI$2:$AI$1001,MATCH(ROWS($AH$2:AH367),$AH$2:$AH$1001,0),1)&gt;=100000,INDEX($AO$1005:$BQ$1005,1,MATCH(COLUMNS($AO$1006:AV1006),$AO$1006:$BQ$1006,0))&gt;=100000), " ",IF(INDEX($AO$2:$BQ$1001,MATCH(ROWS($AH$2:AH367),$AH$2:$AH$1001,0),MATCH(COLUMNS($AO$1006:AV1006),$AO$1006:$BQ$1006,0)), HYPERLINK("#",""), HYPERLINK(CONCATENATE("#Metadata!", ADDRESS(INDEX($AJ$2:$AJ$1001,MATCH(ROWS($AH$2:AH367),$AH$2:$AH$1001,0),0), INDEX($AO$1004:$BQ$1004,1,MATCH(COLUMNS($AO$1006:AV1006),$AO$1006:$BQ$1006,0)))),"Fix")))</f>
        <v>#N/A</v>
      </c>
      <c r="J367" s="5" t="e">
        <f ca="1">IF(OR(INDEX($AI$2:$AI$1001,MATCH(ROWS($AH$2:AH367),$AH$2:$AH$1001,0),1)&gt;=100000,INDEX($AO$1005:$BQ$1005,1,MATCH(COLUMNS($AO$1006:AW1006),$AO$1006:$BQ$1006,0))&gt;=100000), " ",IF(INDEX($AO$2:$BQ$1001,MATCH(ROWS($AH$2:AH367),$AH$2:$AH$1001,0),MATCH(COLUMNS($AO$1006:AW1006),$AO$1006:$BQ$1006,0)), HYPERLINK("#",""), HYPERLINK(CONCATENATE("#Metadata!", ADDRESS(INDEX($AJ$2:$AJ$1001,MATCH(ROWS($AH$2:AH367),$AH$2:$AH$1001,0),0), INDEX($AO$1004:$BQ$1004,1,MATCH(COLUMNS($AO$1006:AW1006),$AO$1006:$BQ$1006,0)))),"Fix")))</f>
        <v>#N/A</v>
      </c>
      <c r="K367" s="5" t="e">
        <f ca="1">IF(OR(INDEX($AI$2:$AI$1001,MATCH(ROWS($AH$2:AH367),$AH$2:$AH$1001,0),1)&gt;=100000,INDEX($AO$1005:$BQ$1005,1,MATCH(COLUMNS($AO$1006:AX1006),$AO$1006:$BQ$1006,0))&gt;=100000), " ",IF(INDEX($AO$2:$BQ$1001,MATCH(ROWS($AH$2:AH367),$AH$2:$AH$1001,0),MATCH(COLUMNS($AO$1006:AX1006),$AO$1006:$BQ$1006,0)), HYPERLINK("#",""), HYPERLINK(CONCATENATE("#Metadata!", ADDRESS(INDEX($AJ$2:$AJ$1001,MATCH(ROWS($AH$2:AH367),$AH$2:$AH$1001,0),0), INDEX($AO$1004:$BQ$1004,1,MATCH(COLUMNS($AO$1006:AX1006),$AO$1006:$BQ$1006,0)))),"Fix")))</f>
        <v>#N/A</v>
      </c>
      <c r="L367" s="5" t="e">
        <f ca="1">IF(OR(INDEX($AI$2:$AI$1001,MATCH(ROWS($AH$2:AH367),$AH$2:$AH$1001,0),1)&gt;=100000,INDEX($AO$1005:$BQ$1005,1,MATCH(COLUMNS($AO$1006:AY1006),$AO$1006:$BQ$1006,0))&gt;=100000), " ",IF(INDEX($AO$2:$BQ$1001,MATCH(ROWS($AH$2:AH367),$AH$2:$AH$1001,0),MATCH(COLUMNS($AO$1006:AY1006),$AO$1006:$BQ$1006,0)), HYPERLINK("#",""), HYPERLINK(CONCATENATE("#Metadata!", ADDRESS(INDEX($AJ$2:$AJ$1001,MATCH(ROWS($AH$2:AH367),$AH$2:$AH$1001,0),0), INDEX($AO$1004:$BQ$1004,1,MATCH(COLUMNS($AO$1006:AY1006),$AO$1006:$BQ$1006,0)))),"Fix")))</f>
        <v>#N/A</v>
      </c>
      <c r="M367" s="5" t="e">
        <f ca="1">IF(OR(INDEX($AI$2:$AI$1001,MATCH(ROWS($AH$2:AH367),$AH$2:$AH$1001,0),1)&gt;=100000,INDEX($AO$1005:$BQ$1005,1,MATCH(COLUMNS($AO$1006:AZ1006),$AO$1006:$BQ$1006,0))&gt;=100000), " ",IF(INDEX($AO$2:$BQ$1001,MATCH(ROWS($AH$2:AH367),$AH$2:$AH$1001,0),MATCH(COLUMNS($AO$1006:AZ1006),$AO$1006:$BQ$1006,0)), HYPERLINK("#",""), HYPERLINK(CONCATENATE("#Metadata!", ADDRESS(INDEX($AJ$2:$AJ$1001,MATCH(ROWS($AH$2:AH367),$AH$2:$AH$1001,0),0), INDEX($AO$1004:$BQ$1004,1,MATCH(COLUMNS($AO$1006:AZ1006),$AO$1006:$BQ$1006,0)))),"Fix")))</f>
        <v>#N/A</v>
      </c>
      <c r="N367" s="5" t="e">
        <f ca="1">IF(OR(INDEX($AI$2:$AI$1001,MATCH(ROWS($AH$2:AH367),$AH$2:$AH$1001,0),1)&gt;=100000,INDEX($AO$1005:$BQ$1005,1,MATCH(COLUMNS($AO$1006:BA1006),$AO$1006:$BQ$1006,0))&gt;=100000), " ",IF(INDEX($AO$2:$BQ$1001,MATCH(ROWS($AH$2:AH367),$AH$2:$AH$1001,0),MATCH(COLUMNS($AO$1006:BA1006),$AO$1006:$BQ$1006,0)), HYPERLINK("#",""), HYPERLINK(CONCATENATE("#Metadata!", ADDRESS(INDEX($AJ$2:$AJ$1001,MATCH(ROWS($AH$2:AH367),$AH$2:$AH$1001,0),0), INDEX($AO$1004:$BQ$1004,1,MATCH(COLUMNS($AO$1006:BA1006),$AO$1006:$BQ$1006,0)))),"Fix")))</f>
        <v>#N/A</v>
      </c>
      <c r="O367" s="5" t="e">
        <f ca="1">IF(OR(INDEX($AI$2:$AI$1001,MATCH(ROWS($AH$2:AH367),$AH$2:$AH$1001,0),1)&gt;=100000,INDEX($AO$1005:$BQ$1005,1,MATCH(COLUMNS($AO$1006:BB1006),$AO$1006:$BQ$1006,0))&gt;=100000), " ",IF(INDEX($AO$2:$BQ$1001,MATCH(ROWS($AH$2:AH367),$AH$2:$AH$1001,0),MATCH(COLUMNS($AO$1006:BB1006),$AO$1006:$BQ$1006,0)), HYPERLINK("#",""), HYPERLINK(CONCATENATE("#Metadata!", ADDRESS(INDEX($AJ$2:$AJ$1001,MATCH(ROWS($AH$2:AH367),$AH$2:$AH$1001,0),0), INDEX($AO$1004:$BQ$1004,1,MATCH(COLUMNS($AO$1006:BB1006),$AO$1006:$BQ$1006,0)))),"Fix")))</f>
        <v>#N/A</v>
      </c>
      <c r="P367" s="5" t="e">
        <f ca="1">IF(OR(INDEX($AI$2:$AI$1001,MATCH(ROWS($AH$2:AH367),$AH$2:$AH$1001,0),1)&gt;=100000,INDEX($AO$1005:$BQ$1005,1,MATCH(COLUMNS($AO$1006:BC1006),$AO$1006:$BQ$1006,0))&gt;=100000), " ",IF(INDEX($AO$2:$BQ$1001,MATCH(ROWS($AH$2:AH367),$AH$2:$AH$1001,0),MATCH(COLUMNS($AO$1006:BC1006),$AO$1006:$BQ$1006,0)), HYPERLINK("#",""), HYPERLINK(CONCATENATE("#Metadata!", ADDRESS(INDEX($AJ$2:$AJ$1001,MATCH(ROWS($AH$2:AH367),$AH$2:$AH$1001,0),0), INDEX($AO$1004:$BQ$1004,1,MATCH(COLUMNS($AO$1006:BC1006),$AO$1006:$BQ$1006,0)))),"Fix")))</f>
        <v>#N/A</v>
      </c>
      <c r="Q367" s="5" t="e">
        <f ca="1">IF(OR(INDEX($AI$2:$AI$1001,MATCH(ROWS($AH$2:AH367),$AH$2:$AH$1001,0),1)&gt;=100000,INDEX($AO$1005:$BQ$1005,1,MATCH(COLUMNS($AO$1006:BD1006),$AO$1006:$BQ$1006,0))&gt;=100000), " ",IF(INDEX($AO$2:$BQ$1001,MATCH(ROWS($AH$2:AH367),$AH$2:$AH$1001,0),MATCH(COLUMNS($AO$1006:BD1006),$AO$1006:$BQ$1006,0)), HYPERLINK("#",""), HYPERLINK(CONCATENATE("#Metadata!", ADDRESS(INDEX($AJ$2:$AJ$1001,MATCH(ROWS($AH$2:AH367),$AH$2:$AH$1001,0),0), INDEX($AO$1004:$BQ$1004,1,MATCH(COLUMNS($AO$1006:BD1006),$AO$1006:$BQ$1006,0)))),"Fix")))</f>
        <v>#N/A</v>
      </c>
      <c r="R367" s="5" t="e">
        <f ca="1">IF(OR(INDEX($AI$2:$AI$1001,MATCH(ROWS($AH$2:AH367),$AH$2:$AH$1001,0),1)&gt;=100000,INDEX($AO$1005:$BQ$1005,1,MATCH(COLUMNS($AO$1006:BE1006),$AO$1006:$BQ$1006,0))&gt;=100000), " ",IF(INDEX($AO$2:$BQ$1001,MATCH(ROWS($AH$2:AH367),$AH$2:$AH$1001,0),MATCH(COLUMNS($AO$1006:BE1006),$AO$1006:$BQ$1006,0)), HYPERLINK("#",""), HYPERLINK(CONCATENATE("#Metadata!", ADDRESS(INDEX($AJ$2:$AJ$1001,MATCH(ROWS($AH$2:AH367),$AH$2:$AH$1001,0),0), INDEX($AO$1004:$BQ$1004,1,MATCH(COLUMNS($AO$1006:BE1006),$AO$1006:$BQ$1006,0)))),"Fix")))</f>
        <v>#N/A</v>
      </c>
      <c r="S367" s="5" t="e">
        <f ca="1">IF(OR(INDEX($AI$2:$AI$1001,MATCH(ROWS($AH$2:AH367),$AH$2:$AH$1001,0),1)&gt;=100000,INDEX($AO$1005:$BQ$1005,1,MATCH(COLUMNS($AO$1006:BF1006),$AO$1006:$BQ$1006,0))&gt;=100000), " ",IF(INDEX($AO$2:$BQ$1001,MATCH(ROWS($AH$2:AH367),$AH$2:$AH$1001,0),MATCH(COLUMNS($AO$1006:BF1006),$AO$1006:$BQ$1006,0)), HYPERLINK("#",""), HYPERLINK(CONCATENATE("#Metadata!", ADDRESS(INDEX($AJ$2:$AJ$1001,MATCH(ROWS($AH$2:AH367),$AH$2:$AH$1001,0),0), INDEX($AO$1004:$BQ$1004,1,MATCH(COLUMNS($AO$1006:BF1006),$AO$1006:$BQ$1006,0)))),"Fix")))</f>
        <v>#N/A</v>
      </c>
      <c r="T367" s="5" t="e">
        <f ca="1">IF(OR(INDEX($AI$2:$AI$1001,MATCH(ROWS($AH$2:AH367),$AH$2:$AH$1001,0),1)&gt;=100000,INDEX($AO$1005:$BQ$1005,1,MATCH(COLUMNS($AO$1006:BG1006),$AO$1006:$BQ$1006,0))&gt;=100000), " ",IF(INDEX($AO$2:$BQ$1001,MATCH(ROWS($AH$2:AH367),$AH$2:$AH$1001,0),MATCH(COLUMNS($AO$1006:BG1006),$AO$1006:$BQ$1006,0)), HYPERLINK("#",""), HYPERLINK(CONCATENATE("#Metadata!", ADDRESS(INDEX($AJ$2:$AJ$1001,MATCH(ROWS($AH$2:AH367),$AH$2:$AH$1001,0),0), INDEX($AO$1004:$BQ$1004,1,MATCH(COLUMNS($AO$1006:BG1006),$AO$1006:$BQ$1006,0)))),"Fix")))</f>
        <v>#N/A</v>
      </c>
      <c r="U367" s="5" t="e">
        <f ca="1">IF(OR(INDEX($AI$2:$AI$1001,MATCH(ROWS($AH$2:AH367),$AH$2:$AH$1001,0),1)&gt;=100000,INDEX($AO$1005:$BQ$1005,1,MATCH(COLUMNS($AO$1006:BH1006),$AO$1006:$BQ$1006,0))&gt;=100000), " ",IF(INDEX($AO$2:$BQ$1001,MATCH(ROWS($AH$2:AH367),$AH$2:$AH$1001,0),MATCH(COLUMNS($AO$1006:BH1006),$AO$1006:$BQ$1006,0)), HYPERLINK("#",""), HYPERLINK(CONCATENATE("#Metadata!", ADDRESS(INDEX($AJ$2:$AJ$1001,MATCH(ROWS($AH$2:AH367),$AH$2:$AH$1001,0),0), INDEX($AO$1004:$BQ$1004,1,MATCH(COLUMNS($AO$1006:BH1006),$AO$1006:$BQ$1006,0)))),"Fix")))</f>
        <v>#N/A</v>
      </c>
      <c r="V367" s="5" t="e">
        <f ca="1">IF(OR(INDEX($AI$2:$AI$1001,MATCH(ROWS($AH$2:AH367),$AH$2:$AH$1001,0),1)&gt;=100000,INDEX($AO$1005:$BQ$1005,1,MATCH(COLUMNS($AO$1006:BI1006),$AO$1006:$BQ$1006,0))&gt;=100000), " ",IF(INDEX($AO$2:$BQ$1001,MATCH(ROWS($AH$2:AH367),$AH$2:$AH$1001,0),MATCH(COLUMNS($AO$1006:BI1006),$AO$1006:$BQ$1006,0)), HYPERLINK("#",""), HYPERLINK(CONCATENATE("#Metadata!", ADDRESS(INDEX($AJ$2:$AJ$1001,MATCH(ROWS($AH$2:AH367),$AH$2:$AH$1001,0),0), INDEX($AO$1004:$BQ$1004,1,MATCH(COLUMNS($AO$1006:BI1006),$AO$1006:$BQ$1006,0)))),"Fix")))</f>
        <v>#N/A</v>
      </c>
      <c r="W367" s="5" t="e">
        <f ca="1">IF(OR(INDEX($AI$2:$AI$1001,MATCH(ROWS($AH$2:AH367),$AH$2:$AH$1001,0),1)&gt;=100000,INDEX($AO$1005:$BQ$1005,1,MATCH(COLUMNS($AO$1006:BJ1006),$AO$1006:$BQ$1006,0))&gt;=100000), " ",IF(INDEX($AO$2:$BQ$1001,MATCH(ROWS($AH$2:AH367),$AH$2:$AH$1001,0),MATCH(COLUMNS($AO$1006:BJ1006),$AO$1006:$BQ$1006,0)), HYPERLINK("#",""), HYPERLINK(CONCATENATE("#Metadata!", ADDRESS(INDEX($AJ$2:$AJ$1001,MATCH(ROWS($AH$2:AH367),$AH$2:$AH$1001,0),0), INDEX($AO$1004:$BQ$1004,1,MATCH(COLUMNS($AO$1006:BJ1006),$AO$1006:$BQ$1006,0)))),"Fix")))</f>
        <v>#N/A</v>
      </c>
      <c r="X367" s="5" t="e">
        <f ca="1">IF(OR(INDEX($AI$2:$AI$1001,MATCH(ROWS($AH$2:AH367),$AH$2:$AH$1001,0),1)&gt;=100000,INDEX($AO$1005:$BQ$1005,1,MATCH(COLUMNS($AO$1006:BK1006),$AO$1006:$BQ$1006,0))&gt;=100000), " ",IF(INDEX($AO$2:$BQ$1001,MATCH(ROWS($AH$2:AH367),$AH$2:$AH$1001,0),MATCH(COLUMNS($AO$1006:BK1006),$AO$1006:$BQ$1006,0)), HYPERLINK("#",""), HYPERLINK(CONCATENATE("#Metadata!", ADDRESS(INDEX($AJ$2:$AJ$1001,MATCH(ROWS($AH$2:AH367),$AH$2:$AH$1001,0),0), INDEX($AO$1004:$BQ$1004,1,MATCH(COLUMNS($AO$1006:BK1006),$AO$1006:$BQ$1006,0)))),"Fix")))</f>
        <v>#N/A</v>
      </c>
      <c r="Y367" s="5" t="e">
        <f ca="1">IF(OR(INDEX($AI$2:$AI$1001,MATCH(ROWS($AH$2:AH367),$AH$2:$AH$1001,0),1)&gt;=100000,INDEX($AO$1005:$BQ$1005,1,MATCH(COLUMNS($AO$1006:BL1006),$AO$1006:$BQ$1006,0))&gt;=100000), " ",IF(INDEX($AO$2:$BQ$1001,MATCH(ROWS($AH$2:AH367),$AH$2:$AH$1001,0),MATCH(COLUMNS($AO$1006:BL1006),$AO$1006:$BQ$1006,0)), HYPERLINK("#",""), HYPERLINK(CONCATENATE("#Metadata!", ADDRESS(INDEX($AJ$2:$AJ$1001,MATCH(ROWS($AH$2:AH367),$AH$2:$AH$1001,0),0), INDEX($AO$1004:$BQ$1004,1,MATCH(COLUMNS($AO$1006:BL1006),$AO$1006:$BQ$1006,0)))),"Fix")))</f>
        <v>#N/A</v>
      </c>
      <c r="Z367" s="5" t="e">
        <f ca="1">IF(OR(INDEX($AI$2:$AI$1001,MATCH(ROWS($AH$2:AH367),$AH$2:$AH$1001,0),1)&gt;=100000,INDEX($AO$1005:$BQ$1005,1,MATCH(COLUMNS($AO$1006:BM1006),$AO$1006:$BQ$1006,0))&gt;=100000), " ",IF(INDEX($AO$2:$BQ$1001,MATCH(ROWS($AH$2:AH367),$AH$2:$AH$1001,0),MATCH(COLUMNS($AO$1006:BM1006),$AO$1006:$BQ$1006,0)), HYPERLINK("#",""), HYPERLINK(CONCATENATE("#Metadata!", ADDRESS(INDEX($AJ$2:$AJ$1001,MATCH(ROWS($AH$2:AH367),$AH$2:$AH$1001,0),0), INDEX($AO$1004:$BQ$1004,1,MATCH(COLUMNS($AO$1006:BM1006),$AO$1006:$BQ$1006,0)))),"Fix")))</f>
        <v>#N/A</v>
      </c>
      <c r="AA367" s="5" t="e">
        <f ca="1">IF(OR(INDEX($AI$2:$AI$1001,MATCH(ROWS($AH$2:AH367),$AH$2:$AH$1001,0),1)&gt;=100000,INDEX($AO$1005:$BQ$1005,1,MATCH(COLUMNS($AO$1006:BN1006),$AO$1006:$BQ$1006,0))&gt;=100000), " ",IF(INDEX($AO$2:$BQ$1001,MATCH(ROWS($AH$2:AH367),$AH$2:$AH$1001,0),MATCH(COLUMNS($AO$1006:BN1006),$AO$1006:$BQ$1006,0)), HYPERLINK("#",""), HYPERLINK(CONCATENATE("#Metadata!", ADDRESS(INDEX($AJ$2:$AJ$1001,MATCH(ROWS($AH$2:AH367),$AH$2:$AH$1001,0),0), INDEX($AO$1004:$BQ$1004,1,MATCH(COLUMNS($AO$1006:BN1006),$AO$1006:$BQ$1006,0)))),"Fix")))</f>
        <v>#N/A</v>
      </c>
      <c r="AB367" s="5" t="e">
        <f ca="1">IF(OR(INDEX($AI$2:$AI$1001,MATCH(ROWS($AH$2:AH367),$AH$2:$AH$1001,0),1)&gt;=100000,INDEX($AO$1005:$BQ$1005,1,MATCH(COLUMNS($AO$1006:BO1006),$AO$1006:$BQ$1006,0))&gt;=100000), " ",IF(INDEX($AO$2:$BQ$1001,MATCH(ROWS($AH$2:AH367),$AH$2:$AH$1001,0),MATCH(COLUMNS($AO$1006:BO1006),$AO$1006:$BQ$1006,0)), HYPERLINK("#",""), HYPERLINK(CONCATENATE("#Metadata!", ADDRESS(INDEX($AJ$2:$AJ$1001,MATCH(ROWS($AH$2:AH367),$AH$2:$AH$1001,0),0), INDEX($AO$1004:$BQ$1004,1,MATCH(COLUMNS($AO$1006:BO1006),$AO$1006:$BQ$1006,0)))),"Fix")))</f>
        <v>#N/A</v>
      </c>
      <c r="AC367" s="5" t="e">
        <f ca="1">IF(OR(INDEX($AI$2:$AI$1001,MATCH(ROWS($AH$2:AH367),$AH$2:$AH$1001,0),1)&gt;=100000,INDEX($AO$1005:$BQ$1005,1,MATCH(COLUMNS($AO$1006:BP1006),$AO$1006:$BQ$1006,0))&gt;=100000), " ",IF(INDEX($AO$2:$BQ$1001,MATCH(ROWS($AH$2:AH367),$AH$2:$AH$1001,0),MATCH(COLUMNS($AO$1006:BP1006),$AO$1006:$BQ$1006,0)), HYPERLINK("#",""), HYPERLINK(CONCATENATE("#Metadata!", ADDRESS(INDEX($AJ$2:$AJ$1001,MATCH(ROWS($AH$2:AH367),$AH$2:$AH$1001,0),0), INDEX($AO$1004:$BQ$1004,1,MATCH(COLUMNS($AO$1006:BP1006),$AO$1006:$BQ$1006,0)))),"Fix")))</f>
        <v>#N/A</v>
      </c>
      <c r="AD367" s="5" t="e">
        <f ca="1">IF(OR(INDEX($AI$2:$AI$1001,MATCH(ROWS($AH$2:AH367),$AH$2:$AH$1001,0),1)&gt;=100000,INDEX($AO$1005:$BQ$1005,1,MATCH(COLUMNS($AO$1006:BQ1006),$AO$1006:$BQ$1006,0))&gt;=100000), " ",IF(INDEX($AO$2:$BQ$1001,MATCH(ROWS($AH$2:AH367),$AH$2:$AH$1001,0),MATCH(COLUMNS($AO$1006:BQ1006),$AO$1006:$BQ$1006,0)), HYPERLINK("#",""), HYPERLINK(CONCATENATE("#Metadata!", ADDRESS(INDEX($AJ$2:$AJ$1001,MATCH(ROWS($AH$2:AH367),$AH$2:$AH$1001,0),0), INDEX($AO$1004:$BQ$1004,1,MATCH(COLUMNS($AO$1006:BQ1006),$AO$1006:$BQ$1006,0)))),"Fix")))</f>
        <v>#REF!</v>
      </c>
      <c r="AH367">
        <f ca="1"/>
        <v>364</v>
      </c>
      <c r="AI367">
        <v>100367</v>
      </c>
      <c r="AJ367">
        <v>367</v>
      </c>
      <c r="AK367" t="b">
        <f t="shared" si="5"/>
        <v>1</v>
      </c>
      <c r="AL367" t="b">
        <f>COUNTBLANK(Metadata!B367:AD367)=COLUMNS(Metadata!B367:AD367)</f>
        <v>1</v>
      </c>
      <c r="AM367" t="str">
        <v/>
      </c>
      <c r="AO367" t="b">
        <f ca="1">AND(IF(Metadata!B367="",FALSE,TRUE),COUNTIF(Metadata!B:B, Metadata!B367) = 1,NOT(ISERROR(SUMPRODUCT(SEARCH(MID(Metadata!B367,ROW(INDIRECT("1:"&amp;LEN(Metadata!B367))), 1),"0123456789abcdefghijklmnopqrstuvwxyzABCDEFGHIJKLMNOPQRSTUVWXYZ.")))))</f>
        <v>0</v>
      </c>
      <c r="AP367" t="b">
        <f>IF(Metadata!C367="",FALSE,TRUE)</f>
        <v>0</v>
      </c>
      <c r="AQ367" t="b">
        <f>IF(Metadata!D367="",FALSE,TRUE)</f>
        <v>0</v>
      </c>
      <c r="AR367" t="b">
        <f ca="1">OR(AND(IF(Metadata!E367="",FALSE,TRUE),OR(EXACT(Metadata!E367,"not collected"),EXACT(Metadata!E367,"not provided"),EXACT(Metadata!E367,"restricted access"))),AND(IF(Metadata!E367="",FALSE,TRUE),AND(AND(IFERROR(INT(LEFT(Metadata!E367,4))&gt;1900,FALSE),IFERROR(INT(LEFT(Metadata!E367,4))&lt;=YEAR(NOW()),FALSE)), OR(MID(Metadata!E367,5,1)="", AND(AND(MID(Metadata!E367,5,1)="-",IFERROR(INT(MID(Metadata!E367,6,1))&gt;=0,FALSE),IFERROR(INT(MID(Metadata!E367,6,1))&lt;=1,FALSE),NOT(MID(Metadata!E367,7,1)=""),IFERROR(INT(MID(Metadata!E367,6,2))&gt;=1,FALSE),IFERROR(INT(MID(Metadata!E367,6,2))&lt;=12,FALSE)), OR(MID(Metadata!E367,8,1)="", AND(AND(MID(Metadata!E367,8,1)="-",IFERROR(INT(MID(Metadata!E367,9,1))&gt;=0,FALSE),IFERROR(INT(MID(Metadata!E367,9,1))&lt;=3,FALSE),NOT(MID(Metadata!E367,10,1)=""),IFERROR(INT(MID(Metadata!E367,9,2))&gt;=1,FALSE),IFERROR(INT(MID(Metadata!E367,9,2))&lt;=31,FALSE)), OR(MID(Metadata!E367,11,1)="", AND(AND(MID(Metadata!E367,11,1)=" ",IFERROR(INT(MID(Metadata!E367,12,1))&gt;=0,FALSE),IFERROR(INT(MID(Metadata!E367,12,1))&lt;=2,FALSE),NOT(MID(Metadata!E367,13,1)=""),IFERROR(INT(MID(Metadata!E367,12,2))&gt;=0,FALSE),IFERROR(INT(MID(Metadata!E367,12,2))&lt;=23,FALSE)), OR(MID(Metadata!E367,14,1)="", AND(AND(MID(Metadata!E367,14,1)=":",IFERROR(INT(MID(Metadata!E367,15,1))&gt;=0,FALSE),IFERROR(INT(MID(Metadata!E367,15,1))&lt;=5,FALSE),NOT(MID(Metadata!E367,16,1)=""),IFERROR(INT(MID(Metadata!E367,15,2))&gt;=0,FALSE),IFERROR(INT(MID(Metadata!E367,15,2))&lt;=59,FALSE)), OR(MID(Metadata!E367,17,1)="", AND(AND(MID(Metadata!E367,17,1)=":",IFERROR(INT(MID(Metadata!E367,18,1))&gt;=0,FALSE),IFERROR(INT(MID(Metadata!E367,18,1))&lt;=5,FALSE),NOT(MID(Metadata!E367,19,1)=""),IFERROR(INT(MID(Metadata!E367,18,2))&gt;=0,FALSE),IFERROR(INT(MID(Metadata!E367,18,2))&lt;=59,FALSE)), LEN(Metadata!E367)&lt;=19)))))))))))))</f>
        <v>0</v>
      </c>
      <c r="AS367" t="b">
        <f>IF(Metadata!F367="",FALSE,TRUE)</f>
        <v>0</v>
      </c>
      <c r="AT367" t="b">
        <f>OR(AND(IF(Metadata!G367="",FALSE,TRUE),OR(EXACT(Metadata!G367,"not collected"),EXACT(Metadata!G367,"not provided"))),AND(IF(Metadata!G367="",FALSE,TRUE),OR(EXACT(Metadata!G367,"TRUE"),EXACT(Metadata!G367,"FALSE"))))</f>
        <v>0</v>
      </c>
      <c r="AU367" t="b">
        <f>OR(AND(IF(Metadata!H367="",FALSE,TRUE),OR(EXACT(Metadata!H367,"not collected"),EXACT(Metadata!H367,"not provided"),EXACT(Metadata!H367,"restricted access"))),AND(IF(Metadata!H367="",FALSE,ISNUMBER(VALUE(Metadata!H367))),Metadata!H367&gt;=-413))</f>
        <v>0</v>
      </c>
      <c r="AV367" t="b">
        <f>AND(IF(Metadata!I367="",FALSE,TRUE),EXACT(Metadata!I367,"meters"))</f>
        <v>0</v>
      </c>
      <c r="AW367" t="b">
        <f>AND(IF(Metadata!J367="",FALSE,TRUE),EXACT(Metadata!J367,"free-living"))</f>
        <v>0</v>
      </c>
      <c r="AX367" t="b">
        <f>AND(IF(Metadata!K367="",FALSE,TRUE),OR(EXACT(Metadata!K367,"saline"),EXACT(Metadata!K367,"non-saline")))</f>
        <v>0</v>
      </c>
      <c r="AY367" t="b">
        <f>AND(IF(Metadata!L367="",FALSE,TRUE),OR(EXACT(Metadata!L367,"sub-surface (non-saline)"),EXACT(Metadata!L367,"surface (non-saline)"),EXACT(Metadata!L367,"water (non-saline)"),EXACT(Metadata!L367,"soil (non-saline)"),EXACT(Metadata!L367,"aerosol (non-saline)"),EXACT(Metadata!L367,"sediment (non-saline)"),EXACT(Metadata!L367,"surface (saline)"),EXACT(Metadata!L367,"water (saline)"),EXACT(Metadata!L367,"hypersaline (saline)"),EXACT(Metadata!L367,"aerosol (saline)"),EXACT(Metadata!L367,"sediment (saline)")))</f>
        <v>0</v>
      </c>
      <c r="AZ367" t="b">
        <f>IF(Metadata!M367="",FALSE,TRUE)</f>
        <v>0</v>
      </c>
      <c r="BA367" t="b">
        <f>IF(Metadata!N367="",FALSE,TRUE)</f>
        <v>0</v>
      </c>
      <c r="BB367" t="b">
        <f>IF(Metadata!O367="",FALSE,TRUE)</f>
        <v>0</v>
      </c>
      <c r="BC367" t="b">
        <f>AND(IF(Metadata!P367="",FALSE,TRUE),OR(EXACT(Metadata!P367,"air"),EXACT(Metadata!P367,"microbial mat/biofilm"),EXACT(Metadata!P367,"misc environment"),EXACT(Metadata!P367,"sediment"),EXACT(Metadata!P367,"soil"),EXACT(Metadata!P367,"wastewater/sludge"),EXACT(Metadata!P367,"water")))</f>
        <v>0</v>
      </c>
      <c r="BD367" t="b">
        <f>IF(Metadata!Q367="",FALSE,TRUE)</f>
        <v>0</v>
      </c>
      <c r="BE367" t="b">
        <f>IF(Metadata!R367="",FALSE,TRUE)</f>
        <v>0</v>
      </c>
      <c r="BF367" t="b">
        <f>OR(AND(IF(Metadata!S367="",FALSE,TRUE),OR(EXACT(Metadata!S367,"not collected"),EXACT(Metadata!S367,"not provided"),EXACT(Metadata!S367,"restricted access"))),AND(IF(Metadata!S367="",FALSE,ISNUMBER(VALUE(Metadata!S367))),Metadata!S367&gt;=-90,Metadata!S367&lt;=90))</f>
        <v>0</v>
      </c>
      <c r="BG367" t="b">
        <f>AND(IF(Metadata!T367="",FALSE,TRUE),EXACT(Metadata!T367,"Decimal degrees"))</f>
        <v>0</v>
      </c>
      <c r="BH367" t="b">
        <f>OR(AND(IF(Metadata!U367="",FALSE,TRUE),OR(EXACT(Metadata!U367,"not applicable"),EXACT(Metadata!U367,"not collected"))),IF(Metadata!U367="",FALSE,TRUE))</f>
        <v>0</v>
      </c>
      <c r="BI367" t="b">
        <f>OR(AND(IF(Metadata!V367="",FALSE,TRUE),OR(EXACT(Metadata!V367,"not collected"),EXACT(Metadata!V367,"not provided"),EXACT(Metadata!V367,"restricted access"))),AND(IF(Metadata!V367="",FALSE,ISNUMBER(VALUE(Metadata!V367))),Metadata!V367&gt;=-180,Metadata!V367&lt;=180))</f>
        <v>0</v>
      </c>
      <c r="BJ367" t="b">
        <f>AND(IF(Metadata!W367="",FALSE,TRUE),EXACT(Metadata!W367,"Decimal degrees"))</f>
        <v>0</v>
      </c>
      <c r="BK367" t="b">
        <f>IF(Metadata!X367="",FALSE,TRUE)</f>
        <v>0</v>
      </c>
      <c r="BL367" t="b">
        <f>OR(AND(IF(Metadata!Y367="",FALSE,TRUE),OR(EXACT(Metadata!Y367,"not collected"),EXACT(Metadata!Y367,"not provided"),EXACT(Metadata!Y367,"restricted access"))),AND(IF(Metadata!Y367="",FALSE,TRUE),OR(EXACT(Metadata!Y367,"TRUE"),EXACT(Metadata!Y367,"FALSE"))))</f>
        <v>0</v>
      </c>
      <c r="BM367" t="b">
        <f>OR(AND(IF(Metadata!Z367="",FALSE,TRUE),EXACT(Metadata!Z367,"not applicable")),AND(IF(Metadata!Z367="",FALSE,TRUE),OR(EXACT(Metadata!Z367,"beer"),EXACT(Metadata!Z367,"cheese"),EXACT(Metadata!Z367,"fresh water"),EXACT(Metadata!Z367,"marine sediment"),EXACT(Metadata!Z367,"sea water"),EXACT(Metadata!Z367,"sediment"),EXACT(Metadata!Z367,"soil"),EXACT(Metadata!Z367,"waste water"))))</f>
        <v>0</v>
      </c>
      <c r="BN367" t="b">
        <f>AND(IF(Metadata!AA367="",FALSE,TRUE),EXACT(Metadata!AA367,"metagenome"))</f>
        <v>0</v>
      </c>
      <c r="BO367" t="b">
        <f>AND(IF(Metadata!AB367="",FALSE,TRUE),EXACT(Metadata!AB367,"256318"))</f>
        <v>0</v>
      </c>
      <c r="BP367" t="b">
        <f>IF(Metadata!AC367="",FALSE,TRUE)</f>
        <v>0</v>
      </c>
      <c r="BQ367" t="b">
        <f>IF(Metadata!AD367="",FALSE,TRUE)</f>
        <v>0</v>
      </c>
    </row>
    <row r="368" spans="1:69" x14ac:dyDescent="0.2">
      <c r="A368" s="4" t="e">
        <f ca="1">IF(B368=" "," ",HYPERLINK(CONCATENATE("#metadata!",ADDRESS(INDEX($AJ$2:$AJ$1001,MATCH(ROWS($AH$2:AH368),$AH$2:$AH$1001,0),0),2)),INDEX($AM$2:$AM$1001,MATCH(ROWS($AH$2:AH368),$AH$2:$AH$1001,0),0)))</f>
        <v>#N/A</v>
      </c>
      <c r="B368" s="5" t="e">
        <f ca="1">IF(OR(INDEX($AI$2:$AI$1001,MATCH(ROWS($AH$2:AH368),$AH$2:$AH$1001,0),1)&gt;=100000,INDEX($AO$1005:$BQ$1005,1,MATCH(COLUMNS($AO$1006:AO1006),$AO$1006:$BQ$1006,0))&gt;=100000), " ",IF(INDEX($AO$2:$BQ$1001,MATCH(ROWS($AH$2:AH368),$AH$2:$AH$1001,0),MATCH(COLUMNS($AO$1006:AO1006),$AO$1006:$BQ$1006,0)), HYPERLINK("#",""), HYPERLINK(CONCATENATE("#Metadata!", ADDRESS(INDEX($AJ$2:$AJ$1001,MATCH(ROWS($AH$2:AH368),$AH$2:$AH$1001,0),0), INDEX($AO$1004:$BQ$1004,1,MATCH(COLUMNS($AO$1006:AO1006),$AO$1006:$BQ$1006,0)))),"Fix")))</f>
        <v>#N/A</v>
      </c>
      <c r="C368" s="5" t="e">
        <f ca="1">IF(OR(INDEX($AI$2:$AI$1001,MATCH(ROWS($AH$2:AH368),$AH$2:$AH$1001,0),1)&gt;=100000,INDEX($AO$1005:$BQ$1005,1,MATCH(COLUMNS($AO$1006:AP1006),$AO$1006:$BQ$1006,0))&gt;=100000), " ",IF(INDEX($AO$2:$BQ$1001,MATCH(ROWS($AH$2:AH368),$AH$2:$AH$1001,0),MATCH(COLUMNS($AO$1006:AP1006),$AO$1006:$BQ$1006,0)), HYPERLINK("#",""), HYPERLINK(CONCATENATE("#Metadata!", ADDRESS(INDEX($AJ$2:$AJ$1001,MATCH(ROWS($AH$2:AH368),$AH$2:$AH$1001,0),0), INDEX($AO$1004:$BQ$1004,1,MATCH(COLUMNS($AO$1006:AP1006),$AO$1006:$BQ$1006,0)))),"Fix")))</f>
        <v>#N/A</v>
      </c>
      <c r="D368" s="5" t="e">
        <f ca="1">IF(OR(INDEX($AI$2:$AI$1001,MATCH(ROWS($AH$2:AH368),$AH$2:$AH$1001,0),1)&gt;=100000,INDEX($AO$1005:$BQ$1005,1,MATCH(COLUMNS($AO$1006:AQ1006),$AO$1006:$BQ$1006,0))&gt;=100000), " ",IF(INDEX($AO$2:$BQ$1001,MATCH(ROWS($AH$2:AH368),$AH$2:$AH$1001,0),MATCH(COLUMNS($AO$1006:AQ1006),$AO$1006:$BQ$1006,0)), HYPERLINK("#",""), HYPERLINK(CONCATENATE("#Metadata!", ADDRESS(INDEX($AJ$2:$AJ$1001,MATCH(ROWS($AH$2:AH368),$AH$2:$AH$1001,0),0), INDEX($AO$1004:$BQ$1004,1,MATCH(COLUMNS($AO$1006:AQ1006),$AO$1006:$BQ$1006,0)))),"Fix")))</f>
        <v>#N/A</v>
      </c>
      <c r="E368" s="5" t="e">
        <f ca="1">IF(OR(INDEX($AI$2:$AI$1001,MATCH(ROWS($AH$2:AH368),$AH$2:$AH$1001,0),1)&gt;=100000,INDEX($AO$1005:$BQ$1005,1,MATCH(COLUMNS($AO$1006:AR1006),$AO$1006:$BQ$1006,0))&gt;=100000), " ",IF(INDEX($AO$2:$BQ$1001,MATCH(ROWS($AH$2:AH368),$AH$2:$AH$1001,0),MATCH(COLUMNS($AO$1006:AR1006),$AO$1006:$BQ$1006,0)), HYPERLINK("#",""), HYPERLINK(CONCATENATE("#Metadata!", ADDRESS(INDEX($AJ$2:$AJ$1001,MATCH(ROWS($AH$2:AH368),$AH$2:$AH$1001,0),0), INDEX($AO$1004:$BQ$1004,1,MATCH(COLUMNS($AO$1006:AR1006),$AO$1006:$BQ$1006,0)))),"Fix")))</f>
        <v>#N/A</v>
      </c>
      <c r="F368" s="5" t="e">
        <f ca="1">IF(OR(INDEX($AI$2:$AI$1001,MATCH(ROWS($AH$2:AH368),$AH$2:$AH$1001,0),1)&gt;=100000,INDEX($AO$1005:$BQ$1005,1,MATCH(COLUMNS($AO$1006:AS1006),$AO$1006:$BQ$1006,0))&gt;=100000), " ",IF(INDEX($AO$2:$BQ$1001,MATCH(ROWS($AH$2:AH368),$AH$2:$AH$1001,0),MATCH(COLUMNS($AO$1006:AS1006),$AO$1006:$BQ$1006,0)), HYPERLINK("#",""), HYPERLINK(CONCATENATE("#Metadata!", ADDRESS(INDEX($AJ$2:$AJ$1001,MATCH(ROWS($AH$2:AH368),$AH$2:$AH$1001,0),0), INDEX($AO$1004:$BQ$1004,1,MATCH(COLUMNS($AO$1006:AS1006),$AO$1006:$BQ$1006,0)))),"Fix")))</f>
        <v>#N/A</v>
      </c>
      <c r="G368" s="5" t="e">
        <f ca="1">IF(OR(INDEX($AI$2:$AI$1001,MATCH(ROWS($AH$2:AH368),$AH$2:$AH$1001,0),1)&gt;=100000,INDEX($AO$1005:$BQ$1005,1,MATCH(COLUMNS($AO$1006:AT1006),$AO$1006:$BQ$1006,0))&gt;=100000), " ",IF(INDEX($AO$2:$BQ$1001,MATCH(ROWS($AH$2:AH368),$AH$2:$AH$1001,0),MATCH(COLUMNS($AO$1006:AT1006),$AO$1006:$BQ$1006,0)), HYPERLINK("#",""), HYPERLINK(CONCATENATE("#Metadata!", ADDRESS(INDEX($AJ$2:$AJ$1001,MATCH(ROWS($AH$2:AH368),$AH$2:$AH$1001,0),0), INDEX($AO$1004:$BQ$1004,1,MATCH(COLUMNS($AO$1006:AT1006),$AO$1006:$BQ$1006,0)))),"Fix")))</f>
        <v>#N/A</v>
      </c>
      <c r="H368" s="5" t="e">
        <f ca="1">IF(OR(INDEX($AI$2:$AI$1001,MATCH(ROWS($AH$2:AH368),$AH$2:$AH$1001,0),1)&gt;=100000,INDEX($AO$1005:$BQ$1005,1,MATCH(COLUMNS($AO$1006:AU1006),$AO$1006:$BQ$1006,0))&gt;=100000), " ",IF(INDEX($AO$2:$BQ$1001,MATCH(ROWS($AH$2:AH368),$AH$2:$AH$1001,0),MATCH(COLUMNS($AO$1006:AU1006),$AO$1006:$BQ$1006,0)), HYPERLINK("#",""), HYPERLINK(CONCATENATE("#Metadata!", ADDRESS(INDEX($AJ$2:$AJ$1001,MATCH(ROWS($AH$2:AH368),$AH$2:$AH$1001,0),0), INDEX($AO$1004:$BQ$1004,1,MATCH(COLUMNS($AO$1006:AU1006),$AO$1006:$BQ$1006,0)))),"Fix")))</f>
        <v>#N/A</v>
      </c>
      <c r="I368" s="5" t="e">
        <f ca="1">IF(OR(INDEX($AI$2:$AI$1001,MATCH(ROWS($AH$2:AH368),$AH$2:$AH$1001,0),1)&gt;=100000,INDEX($AO$1005:$BQ$1005,1,MATCH(COLUMNS($AO$1006:AV1006),$AO$1006:$BQ$1006,0))&gt;=100000), " ",IF(INDEX($AO$2:$BQ$1001,MATCH(ROWS($AH$2:AH368),$AH$2:$AH$1001,0),MATCH(COLUMNS($AO$1006:AV1006),$AO$1006:$BQ$1006,0)), HYPERLINK("#",""), HYPERLINK(CONCATENATE("#Metadata!", ADDRESS(INDEX($AJ$2:$AJ$1001,MATCH(ROWS($AH$2:AH368),$AH$2:$AH$1001,0),0), INDEX($AO$1004:$BQ$1004,1,MATCH(COLUMNS($AO$1006:AV1006),$AO$1006:$BQ$1006,0)))),"Fix")))</f>
        <v>#N/A</v>
      </c>
      <c r="J368" s="5" t="e">
        <f ca="1">IF(OR(INDEX($AI$2:$AI$1001,MATCH(ROWS($AH$2:AH368),$AH$2:$AH$1001,0),1)&gt;=100000,INDEX($AO$1005:$BQ$1005,1,MATCH(COLUMNS($AO$1006:AW1006),$AO$1006:$BQ$1006,0))&gt;=100000), " ",IF(INDEX($AO$2:$BQ$1001,MATCH(ROWS($AH$2:AH368),$AH$2:$AH$1001,0),MATCH(COLUMNS($AO$1006:AW1006),$AO$1006:$BQ$1006,0)), HYPERLINK("#",""), HYPERLINK(CONCATENATE("#Metadata!", ADDRESS(INDEX($AJ$2:$AJ$1001,MATCH(ROWS($AH$2:AH368),$AH$2:$AH$1001,0),0), INDEX($AO$1004:$BQ$1004,1,MATCH(COLUMNS($AO$1006:AW1006),$AO$1006:$BQ$1006,0)))),"Fix")))</f>
        <v>#N/A</v>
      </c>
      <c r="K368" s="5" t="e">
        <f ca="1">IF(OR(INDEX($AI$2:$AI$1001,MATCH(ROWS($AH$2:AH368),$AH$2:$AH$1001,0),1)&gt;=100000,INDEX($AO$1005:$BQ$1005,1,MATCH(COLUMNS($AO$1006:AX1006),$AO$1006:$BQ$1006,0))&gt;=100000), " ",IF(INDEX($AO$2:$BQ$1001,MATCH(ROWS($AH$2:AH368),$AH$2:$AH$1001,0),MATCH(COLUMNS($AO$1006:AX1006),$AO$1006:$BQ$1006,0)), HYPERLINK("#",""), HYPERLINK(CONCATENATE("#Metadata!", ADDRESS(INDEX($AJ$2:$AJ$1001,MATCH(ROWS($AH$2:AH368),$AH$2:$AH$1001,0),0), INDEX($AO$1004:$BQ$1004,1,MATCH(COLUMNS($AO$1006:AX1006),$AO$1006:$BQ$1006,0)))),"Fix")))</f>
        <v>#N/A</v>
      </c>
      <c r="L368" s="5" t="e">
        <f ca="1">IF(OR(INDEX($AI$2:$AI$1001,MATCH(ROWS($AH$2:AH368),$AH$2:$AH$1001,0),1)&gt;=100000,INDEX($AO$1005:$BQ$1005,1,MATCH(COLUMNS($AO$1006:AY1006),$AO$1006:$BQ$1006,0))&gt;=100000), " ",IF(INDEX($AO$2:$BQ$1001,MATCH(ROWS($AH$2:AH368),$AH$2:$AH$1001,0),MATCH(COLUMNS($AO$1006:AY1006),$AO$1006:$BQ$1006,0)), HYPERLINK("#",""), HYPERLINK(CONCATENATE("#Metadata!", ADDRESS(INDEX($AJ$2:$AJ$1001,MATCH(ROWS($AH$2:AH368),$AH$2:$AH$1001,0),0), INDEX($AO$1004:$BQ$1004,1,MATCH(COLUMNS($AO$1006:AY1006),$AO$1006:$BQ$1006,0)))),"Fix")))</f>
        <v>#N/A</v>
      </c>
      <c r="M368" s="5" t="e">
        <f ca="1">IF(OR(INDEX($AI$2:$AI$1001,MATCH(ROWS($AH$2:AH368),$AH$2:$AH$1001,0),1)&gt;=100000,INDEX($AO$1005:$BQ$1005,1,MATCH(COLUMNS($AO$1006:AZ1006),$AO$1006:$BQ$1006,0))&gt;=100000), " ",IF(INDEX($AO$2:$BQ$1001,MATCH(ROWS($AH$2:AH368),$AH$2:$AH$1001,0),MATCH(COLUMNS($AO$1006:AZ1006),$AO$1006:$BQ$1006,0)), HYPERLINK("#",""), HYPERLINK(CONCATENATE("#Metadata!", ADDRESS(INDEX($AJ$2:$AJ$1001,MATCH(ROWS($AH$2:AH368),$AH$2:$AH$1001,0),0), INDEX($AO$1004:$BQ$1004,1,MATCH(COLUMNS($AO$1006:AZ1006),$AO$1006:$BQ$1006,0)))),"Fix")))</f>
        <v>#N/A</v>
      </c>
      <c r="N368" s="5" t="e">
        <f ca="1">IF(OR(INDEX($AI$2:$AI$1001,MATCH(ROWS($AH$2:AH368),$AH$2:$AH$1001,0),1)&gt;=100000,INDEX($AO$1005:$BQ$1005,1,MATCH(COLUMNS($AO$1006:BA1006),$AO$1006:$BQ$1006,0))&gt;=100000), " ",IF(INDEX($AO$2:$BQ$1001,MATCH(ROWS($AH$2:AH368),$AH$2:$AH$1001,0),MATCH(COLUMNS($AO$1006:BA1006),$AO$1006:$BQ$1006,0)), HYPERLINK("#",""), HYPERLINK(CONCATENATE("#Metadata!", ADDRESS(INDEX($AJ$2:$AJ$1001,MATCH(ROWS($AH$2:AH368),$AH$2:$AH$1001,0),0), INDEX($AO$1004:$BQ$1004,1,MATCH(COLUMNS($AO$1006:BA1006),$AO$1006:$BQ$1006,0)))),"Fix")))</f>
        <v>#N/A</v>
      </c>
      <c r="O368" s="5" t="e">
        <f ca="1">IF(OR(INDEX($AI$2:$AI$1001,MATCH(ROWS($AH$2:AH368),$AH$2:$AH$1001,0),1)&gt;=100000,INDEX($AO$1005:$BQ$1005,1,MATCH(COLUMNS($AO$1006:BB1006),$AO$1006:$BQ$1006,0))&gt;=100000), " ",IF(INDEX($AO$2:$BQ$1001,MATCH(ROWS($AH$2:AH368),$AH$2:$AH$1001,0),MATCH(COLUMNS($AO$1006:BB1006),$AO$1006:$BQ$1006,0)), HYPERLINK("#",""), HYPERLINK(CONCATENATE("#Metadata!", ADDRESS(INDEX($AJ$2:$AJ$1001,MATCH(ROWS($AH$2:AH368),$AH$2:$AH$1001,0),0), INDEX($AO$1004:$BQ$1004,1,MATCH(COLUMNS($AO$1006:BB1006),$AO$1006:$BQ$1006,0)))),"Fix")))</f>
        <v>#N/A</v>
      </c>
      <c r="P368" s="5" t="e">
        <f ca="1">IF(OR(INDEX($AI$2:$AI$1001,MATCH(ROWS($AH$2:AH368),$AH$2:$AH$1001,0),1)&gt;=100000,INDEX($AO$1005:$BQ$1005,1,MATCH(COLUMNS($AO$1006:BC1006),$AO$1006:$BQ$1006,0))&gt;=100000), " ",IF(INDEX($AO$2:$BQ$1001,MATCH(ROWS($AH$2:AH368),$AH$2:$AH$1001,0),MATCH(COLUMNS($AO$1006:BC1006),$AO$1006:$BQ$1006,0)), HYPERLINK("#",""), HYPERLINK(CONCATENATE("#Metadata!", ADDRESS(INDEX($AJ$2:$AJ$1001,MATCH(ROWS($AH$2:AH368),$AH$2:$AH$1001,0),0), INDEX($AO$1004:$BQ$1004,1,MATCH(COLUMNS($AO$1006:BC1006),$AO$1006:$BQ$1006,0)))),"Fix")))</f>
        <v>#N/A</v>
      </c>
      <c r="Q368" s="5" t="e">
        <f ca="1">IF(OR(INDEX($AI$2:$AI$1001,MATCH(ROWS($AH$2:AH368),$AH$2:$AH$1001,0),1)&gt;=100000,INDEX($AO$1005:$BQ$1005,1,MATCH(COLUMNS($AO$1006:BD1006),$AO$1006:$BQ$1006,0))&gt;=100000), " ",IF(INDEX($AO$2:$BQ$1001,MATCH(ROWS($AH$2:AH368),$AH$2:$AH$1001,0),MATCH(COLUMNS($AO$1006:BD1006),$AO$1006:$BQ$1006,0)), HYPERLINK("#",""), HYPERLINK(CONCATENATE("#Metadata!", ADDRESS(INDEX($AJ$2:$AJ$1001,MATCH(ROWS($AH$2:AH368),$AH$2:$AH$1001,0),0), INDEX($AO$1004:$BQ$1004,1,MATCH(COLUMNS($AO$1006:BD1006),$AO$1006:$BQ$1006,0)))),"Fix")))</f>
        <v>#N/A</v>
      </c>
      <c r="R368" s="5" t="e">
        <f ca="1">IF(OR(INDEX($AI$2:$AI$1001,MATCH(ROWS($AH$2:AH368),$AH$2:$AH$1001,0),1)&gt;=100000,INDEX($AO$1005:$BQ$1005,1,MATCH(COLUMNS($AO$1006:BE1006),$AO$1006:$BQ$1006,0))&gt;=100000), " ",IF(INDEX($AO$2:$BQ$1001,MATCH(ROWS($AH$2:AH368),$AH$2:$AH$1001,0),MATCH(COLUMNS($AO$1006:BE1006),$AO$1006:$BQ$1006,0)), HYPERLINK("#",""), HYPERLINK(CONCATENATE("#Metadata!", ADDRESS(INDEX($AJ$2:$AJ$1001,MATCH(ROWS($AH$2:AH368),$AH$2:$AH$1001,0),0), INDEX($AO$1004:$BQ$1004,1,MATCH(COLUMNS($AO$1006:BE1006),$AO$1006:$BQ$1006,0)))),"Fix")))</f>
        <v>#N/A</v>
      </c>
      <c r="S368" s="5" t="e">
        <f ca="1">IF(OR(INDEX($AI$2:$AI$1001,MATCH(ROWS($AH$2:AH368),$AH$2:$AH$1001,0),1)&gt;=100000,INDEX($AO$1005:$BQ$1005,1,MATCH(COLUMNS($AO$1006:BF1006),$AO$1006:$BQ$1006,0))&gt;=100000), " ",IF(INDEX($AO$2:$BQ$1001,MATCH(ROWS($AH$2:AH368),$AH$2:$AH$1001,0),MATCH(COLUMNS($AO$1006:BF1006),$AO$1006:$BQ$1006,0)), HYPERLINK("#",""), HYPERLINK(CONCATENATE("#Metadata!", ADDRESS(INDEX($AJ$2:$AJ$1001,MATCH(ROWS($AH$2:AH368),$AH$2:$AH$1001,0),0), INDEX($AO$1004:$BQ$1004,1,MATCH(COLUMNS($AO$1006:BF1006),$AO$1006:$BQ$1006,0)))),"Fix")))</f>
        <v>#N/A</v>
      </c>
      <c r="T368" s="5" t="e">
        <f ca="1">IF(OR(INDEX($AI$2:$AI$1001,MATCH(ROWS($AH$2:AH368),$AH$2:$AH$1001,0),1)&gt;=100000,INDEX($AO$1005:$BQ$1005,1,MATCH(COLUMNS($AO$1006:BG1006),$AO$1006:$BQ$1006,0))&gt;=100000), " ",IF(INDEX($AO$2:$BQ$1001,MATCH(ROWS($AH$2:AH368),$AH$2:$AH$1001,0),MATCH(COLUMNS($AO$1006:BG1006),$AO$1006:$BQ$1006,0)), HYPERLINK("#",""), HYPERLINK(CONCATENATE("#Metadata!", ADDRESS(INDEX($AJ$2:$AJ$1001,MATCH(ROWS($AH$2:AH368),$AH$2:$AH$1001,0),0), INDEX($AO$1004:$BQ$1004,1,MATCH(COLUMNS($AO$1006:BG1006),$AO$1006:$BQ$1006,0)))),"Fix")))</f>
        <v>#N/A</v>
      </c>
      <c r="U368" s="5" t="e">
        <f ca="1">IF(OR(INDEX($AI$2:$AI$1001,MATCH(ROWS($AH$2:AH368),$AH$2:$AH$1001,0),1)&gt;=100000,INDEX($AO$1005:$BQ$1005,1,MATCH(COLUMNS($AO$1006:BH1006),$AO$1006:$BQ$1006,0))&gt;=100000), " ",IF(INDEX($AO$2:$BQ$1001,MATCH(ROWS($AH$2:AH368),$AH$2:$AH$1001,0),MATCH(COLUMNS($AO$1006:BH1006),$AO$1006:$BQ$1006,0)), HYPERLINK("#",""), HYPERLINK(CONCATENATE("#Metadata!", ADDRESS(INDEX($AJ$2:$AJ$1001,MATCH(ROWS($AH$2:AH368),$AH$2:$AH$1001,0),0), INDEX($AO$1004:$BQ$1004,1,MATCH(COLUMNS($AO$1006:BH1006),$AO$1006:$BQ$1006,0)))),"Fix")))</f>
        <v>#N/A</v>
      </c>
      <c r="V368" s="5" t="e">
        <f ca="1">IF(OR(INDEX($AI$2:$AI$1001,MATCH(ROWS($AH$2:AH368),$AH$2:$AH$1001,0),1)&gt;=100000,INDEX($AO$1005:$BQ$1005,1,MATCH(COLUMNS($AO$1006:BI1006),$AO$1006:$BQ$1006,0))&gt;=100000), " ",IF(INDEX($AO$2:$BQ$1001,MATCH(ROWS($AH$2:AH368),$AH$2:$AH$1001,0),MATCH(COLUMNS($AO$1006:BI1006),$AO$1006:$BQ$1006,0)), HYPERLINK("#",""), HYPERLINK(CONCATENATE("#Metadata!", ADDRESS(INDEX($AJ$2:$AJ$1001,MATCH(ROWS($AH$2:AH368),$AH$2:$AH$1001,0),0), INDEX($AO$1004:$BQ$1004,1,MATCH(COLUMNS($AO$1006:BI1006),$AO$1006:$BQ$1006,0)))),"Fix")))</f>
        <v>#N/A</v>
      </c>
      <c r="W368" s="5" t="e">
        <f ca="1">IF(OR(INDEX($AI$2:$AI$1001,MATCH(ROWS($AH$2:AH368),$AH$2:$AH$1001,0),1)&gt;=100000,INDEX($AO$1005:$BQ$1005,1,MATCH(COLUMNS($AO$1006:BJ1006),$AO$1006:$BQ$1006,0))&gt;=100000), " ",IF(INDEX($AO$2:$BQ$1001,MATCH(ROWS($AH$2:AH368),$AH$2:$AH$1001,0),MATCH(COLUMNS($AO$1006:BJ1006),$AO$1006:$BQ$1006,0)), HYPERLINK("#",""), HYPERLINK(CONCATENATE("#Metadata!", ADDRESS(INDEX($AJ$2:$AJ$1001,MATCH(ROWS($AH$2:AH368),$AH$2:$AH$1001,0),0), INDEX($AO$1004:$BQ$1004,1,MATCH(COLUMNS($AO$1006:BJ1006),$AO$1006:$BQ$1006,0)))),"Fix")))</f>
        <v>#N/A</v>
      </c>
      <c r="X368" s="5" t="e">
        <f ca="1">IF(OR(INDEX($AI$2:$AI$1001,MATCH(ROWS($AH$2:AH368),$AH$2:$AH$1001,0),1)&gt;=100000,INDEX($AO$1005:$BQ$1005,1,MATCH(COLUMNS($AO$1006:BK1006),$AO$1006:$BQ$1006,0))&gt;=100000), " ",IF(INDEX($AO$2:$BQ$1001,MATCH(ROWS($AH$2:AH368),$AH$2:$AH$1001,0),MATCH(COLUMNS($AO$1006:BK1006),$AO$1006:$BQ$1006,0)), HYPERLINK("#",""), HYPERLINK(CONCATENATE("#Metadata!", ADDRESS(INDEX($AJ$2:$AJ$1001,MATCH(ROWS($AH$2:AH368),$AH$2:$AH$1001,0),0), INDEX($AO$1004:$BQ$1004,1,MATCH(COLUMNS($AO$1006:BK1006),$AO$1006:$BQ$1006,0)))),"Fix")))</f>
        <v>#N/A</v>
      </c>
      <c r="Y368" s="5" t="e">
        <f ca="1">IF(OR(INDEX($AI$2:$AI$1001,MATCH(ROWS($AH$2:AH368),$AH$2:$AH$1001,0),1)&gt;=100000,INDEX($AO$1005:$BQ$1005,1,MATCH(COLUMNS($AO$1006:BL1006),$AO$1006:$BQ$1006,0))&gt;=100000), " ",IF(INDEX($AO$2:$BQ$1001,MATCH(ROWS($AH$2:AH368),$AH$2:$AH$1001,0),MATCH(COLUMNS($AO$1006:BL1006),$AO$1006:$BQ$1006,0)), HYPERLINK("#",""), HYPERLINK(CONCATENATE("#Metadata!", ADDRESS(INDEX($AJ$2:$AJ$1001,MATCH(ROWS($AH$2:AH368),$AH$2:$AH$1001,0),0), INDEX($AO$1004:$BQ$1004,1,MATCH(COLUMNS($AO$1006:BL1006),$AO$1006:$BQ$1006,0)))),"Fix")))</f>
        <v>#N/A</v>
      </c>
      <c r="Z368" s="5" t="e">
        <f ca="1">IF(OR(INDEX($AI$2:$AI$1001,MATCH(ROWS($AH$2:AH368),$AH$2:$AH$1001,0),1)&gt;=100000,INDEX($AO$1005:$BQ$1005,1,MATCH(COLUMNS($AO$1006:BM1006),$AO$1006:$BQ$1006,0))&gt;=100000), " ",IF(INDEX($AO$2:$BQ$1001,MATCH(ROWS($AH$2:AH368),$AH$2:$AH$1001,0),MATCH(COLUMNS($AO$1006:BM1006),$AO$1006:$BQ$1006,0)), HYPERLINK("#",""), HYPERLINK(CONCATENATE("#Metadata!", ADDRESS(INDEX($AJ$2:$AJ$1001,MATCH(ROWS($AH$2:AH368),$AH$2:$AH$1001,0),0), INDEX($AO$1004:$BQ$1004,1,MATCH(COLUMNS($AO$1006:BM1006),$AO$1006:$BQ$1006,0)))),"Fix")))</f>
        <v>#N/A</v>
      </c>
      <c r="AA368" s="5" t="e">
        <f ca="1">IF(OR(INDEX($AI$2:$AI$1001,MATCH(ROWS($AH$2:AH368),$AH$2:$AH$1001,0),1)&gt;=100000,INDEX($AO$1005:$BQ$1005,1,MATCH(COLUMNS($AO$1006:BN1006),$AO$1006:$BQ$1006,0))&gt;=100000), " ",IF(INDEX($AO$2:$BQ$1001,MATCH(ROWS($AH$2:AH368),$AH$2:$AH$1001,0),MATCH(COLUMNS($AO$1006:BN1006),$AO$1006:$BQ$1006,0)), HYPERLINK("#",""), HYPERLINK(CONCATENATE("#Metadata!", ADDRESS(INDEX($AJ$2:$AJ$1001,MATCH(ROWS($AH$2:AH368),$AH$2:$AH$1001,0),0), INDEX($AO$1004:$BQ$1004,1,MATCH(COLUMNS($AO$1006:BN1006),$AO$1006:$BQ$1006,0)))),"Fix")))</f>
        <v>#N/A</v>
      </c>
      <c r="AB368" s="5" t="e">
        <f ca="1">IF(OR(INDEX($AI$2:$AI$1001,MATCH(ROWS($AH$2:AH368),$AH$2:$AH$1001,0),1)&gt;=100000,INDEX($AO$1005:$BQ$1005,1,MATCH(COLUMNS($AO$1006:BO1006),$AO$1006:$BQ$1006,0))&gt;=100000), " ",IF(INDEX($AO$2:$BQ$1001,MATCH(ROWS($AH$2:AH368),$AH$2:$AH$1001,0),MATCH(COLUMNS($AO$1006:BO1006),$AO$1006:$BQ$1006,0)), HYPERLINK("#",""), HYPERLINK(CONCATENATE("#Metadata!", ADDRESS(INDEX($AJ$2:$AJ$1001,MATCH(ROWS($AH$2:AH368),$AH$2:$AH$1001,0),0), INDEX($AO$1004:$BQ$1004,1,MATCH(COLUMNS($AO$1006:BO1006),$AO$1006:$BQ$1006,0)))),"Fix")))</f>
        <v>#N/A</v>
      </c>
      <c r="AC368" s="5" t="e">
        <f ca="1">IF(OR(INDEX($AI$2:$AI$1001,MATCH(ROWS($AH$2:AH368),$AH$2:$AH$1001,0),1)&gt;=100000,INDEX($AO$1005:$BQ$1005,1,MATCH(COLUMNS($AO$1006:BP1006),$AO$1006:$BQ$1006,0))&gt;=100000), " ",IF(INDEX($AO$2:$BQ$1001,MATCH(ROWS($AH$2:AH368),$AH$2:$AH$1001,0),MATCH(COLUMNS($AO$1006:BP1006),$AO$1006:$BQ$1006,0)), HYPERLINK("#",""), HYPERLINK(CONCATENATE("#Metadata!", ADDRESS(INDEX($AJ$2:$AJ$1001,MATCH(ROWS($AH$2:AH368),$AH$2:$AH$1001,0),0), INDEX($AO$1004:$BQ$1004,1,MATCH(COLUMNS($AO$1006:BP1006),$AO$1006:$BQ$1006,0)))),"Fix")))</f>
        <v>#N/A</v>
      </c>
      <c r="AD368" s="5" t="e">
        <f ca="1">IF(OR(INDEX($AI$2:$AI$1001,MATCH(ROWS($AH$2:AH368),$AH$2:$AH$1001,0),1)&gt;=100000,INDEX($AO$1005:$BQ$1005,1,MATCH(COLUMNS($AO$1006:BQ1006),$AO$1006:$BQ$1006,0))&gt;=100000), " ",IF(INDEX($AO$2:$BQ$1001,MATCH(ROWS($AH$2:AH368),$AH$2:$AH$1001,0),MATCH(COLUMNS($AO$1006:BQ1006),$AO$1006:$BQ$1006,0)), HYPERLINK("#",""), HYPERLINK(CONCATENATE("#Metadata!", ADDRESS(INDEX($AJ$2:$AJ$1001,MATCH(ROWS($AH$2:AH368),$AH$2:$AH$1001,0),0), INDEX($AO$1004:$BQ$1004,1,MATCH(COLUMNS($AO$1006:BQ1006),$AO$1006:$BQ$1006,0)))),"Fix")))</f>
        <v>#REF!</v>
      </c>
      <c r="AH368">
        <f ca="1"/>
        <v>365</v>
      </c>
      <c r="AI368">
        <v>100368</v>
      </c>
      <c r="AJ368">
        <v>368</v>
      </c>
      <c r="AK368" t="b">
        <f t="shared" si="5"/>
        <v>1</v>
      </c>
      <c r="AL368" t="b">
        <f>COUNTBLANK(Metadata!B368:AD368)=COLUMNS(Metadata!B368:AD368)</f>
        <v>1</v>
      </c>
      <c r="AM368" t="str">
        <v/>
      </c>
      <c r="AO368" t="b">
        <f ca="1">AND(IF(Metadata!B368="",FALSE,TRUE),COUNTIF(Metadata!B:B, Metadata!B368) = 1,NOT(ISERROR(SUMPRODUCT(SEARCH(MID(Metadata!B368,ROW(INDIRECT("1:"&amp;LEN(Metadata!B368))), 1),"0123456789abcdefghijklmnopqrstuvwxyzABCDEFGHIJKLMNOPQRSTUVWXYZ.")))))</f>
        <v>0</v>
      </c>
      <c r="AP368" t="b">
        <f>IF(Metadata!C368="",FALSE,TRUE)</f>
        <v>0</v>
      </c>
      <c r="AQ368" t="b">
        <f>IF(Metadata!D368="",FALSE,TRUE)</f>
        <v>0</v>
      </c>
      <c r="AR368" t="b">
        <f ca="1">OR(AND(IF(Metadata!E368="",FALSE,TRUE),OR(EXACT(Metadata!E368,"not collected"),EXACT(Metadata!E368,"not provided"),EXACT(Metadata!E368,"restricted access"))),AND(IF(Metadata!E368="",FALSE,TRUE),AND(AND(IFERROR(INT(LEFT(Metadata!E368,4))&gt;1900,FALSE),IFERROR(INT(LEFT(Metadata!E368,4))&lt;=YEAR(NOW()),FALSE)), OR(MID(Metadata!E368,5,1)="", AND(AND(MID(Metadata!E368,5,1)="-",IFERROR(INT(MID(Metadata!E368,6,1))&gt;=0,FALSE),IFERROR(INT(MID(Metadata!E368,6,1))&lt;=1,FALSE),NOT(MID(Metadata!E368,7,1)=""),IFERROR(INT(MID(Metadata!E368,6,2))&gt;=1,FALSE),IFERROR(INT(MID(Metadata!E368,6,2))&lt;=12,FALSE)), OR(MID(Metadata!E368,8,1)="", AND(AND(MID(Metadata!E368,8,1)="-",IFERROR(INT(MID(Metadata!E368,9,1))&gt;=0,FALSE),IFERROR(INT(MID(Metadata!E368,9,1))&lt;=3,FALSE),NOT(MID(Metadata!E368,10,1)=""),IFERROR(INT(MID(Metadata!E368,9,2))&gt;=1,FALSE),IFERROR(INT(MID(Metadata!E368,9,2))&lt;=31,FALSE)), OR(MID(Metadata!E368,11,1)="", AND(AND(MID(Metadata!E368,11,1)=" ",IFERROR(INT(MID(Metadata!E368,12,1))&gt;=0,FALSE),IFERROR(INT(MID(Metadata!E368,12,1))&lt;=2,FALSE),NOT(MID(Metadata!E368,13,1)=""),IFERROR(INT(MID(Metadata!E368,12,2))&gt;=0,FALSE),IFERROR(INT(MID(Metadata!E368,12,2))&lt;=23,FALSE)), OR(MID(Metadata!E368,14,1)="", AND(AND(MID(Metadata!E368,14,1)=":",IFERROR(INT(MID(Metadata!E368,15,1))&gt;=0,FALSE),IFERROR(INT(MID(Metadata!E368,15,1))&lt;=5,FALSE),NOT(MID(Metadata!E368,16,1)=""),IFERROR(INT(MID(Metadata!E368,15,2))&gt;=0,FALSE),IFERROR(INT(MID(Metadata!E368,15,2))&lt;=59,FALSE)), OR(MID(Metadata!E368,17,1)="", AND(AND(MID(Metadata!E368,17,1)=":",IFERROR(INT(MID(Metadata!E368,18,1))&gt;=0,FALSE),IFERROR(INT(MID(Metadata!E368,18,1))&lt;=5,FALSE),NOT(MID(Metadata!E368,19,1)=""),IFERROR(INT(MID(Metadata!E368,18,2))&gt;=0,FALSE),IFERROR(INT(MID(Metadata!E368,18,2))&lt;=59,FALSE)), LEN(Metadata!E368)&lt;=19)))))))))))))</f>
        <v>0</v>
      </c>
      <c r="AS368" t="b">
        <f>IF(Metadata!F368="",FALSE,TRUE)</f>
        <v>0</v>
      </c>
      <c r="AT368" t="b">
        <f>OR(AND(IF(Metadata!G368="",FALSE,TRUE),OR(EXACT(Metadata!G368,"not collected"),EXACT(Metadata!G368,"not provided"))),AND(IF(Metadata!G368="",FALSE,TRUE),OR(EXACT(Metadata!G368,"TRUE"),EXACT(Metadata!G368,"FALSE"))))</f>
        <v>0</v>
      </c>
      <c r="AU368" t="b">
        <f>OR(AND(IF(Metadata!H368="",FALSE,TRUE),OR(EXACT(Metadata!H368,"not collected"),EXACT(Metadata!H368,"not provided"),EXACT(Metadata!H368,"restricted access"))),AND(IF(Metadata!H368="",FALSE,ISNUMBER(VALUE(Metadata!H368))),Metadata!H368&gt;=-413))</f>
        <v>0</v>
      </c>
      <c r="AV368" t="b">
        <f>AND(IF(Metadata!I368="",FALSE,TRUE),EXACT(Metadata!I368,"meters"))</f>
        <v>0</v>
      </c>
      <c r="AW368" t="b">
        <f>AND(IF(Metadata!J368="",FALSE,TRUE),EXACT(Metadata!J368,"free-living"))</f>
        <v>0</v>
      </c>
      <c r="AX368" t="b">
        <f>AND(IF(Metadata!K368="",FALSE,TRUE),OR(EXACT(Metadata!K368,"saline"),EXACT(Metadata!K368,"non-saline")))</f>
        <v>0</v>
      </c>
      <c r="AY368" t="b">
        <f>AND(IF(Metadata!L368="",FALSE,TRUE),OR(EXACT(Metadata!L368,"sub-surface (non-saline)"),EXACT(Metadata!L368,"surface (non-saline)"),EXACT(Metadata!L368,"water (non-saline)"),EXACT(Metadata!L368,"soil (non-saline)"),EXACT(Metadata!L368,"aerosol (non-saline)"),EXACT(Metadata!L368,"sediment (non-saline)"),EXACT(Metadata!L368,"surface (saline)"),EXACT(Metadata!L368,"water (saline)"),EXACT(Metadata!L368,"hypersaline (saline)"),EXACT(Metadata!L368,"aerosol (saline)"),EXACT(Metadata!L368,"sediment (saline)")))</f>
        <v>0</v>
      </c>
      <c r="AZ368" t="b">
        <f>IF(Metadata!M368="",FALSE,TRUE)</f>
        <v>0</v>
      </c>
      <c r="BA368" t="b">
        <f>IF(Metadata!N368="",FALSE,TRUE)</f>
        <v>0</v>
      </c>
      <c r="BB368" t="b">
        <f>IF(Metadata!O368="",FALSE,TRUE)</f>
        <v>0</v>
      </c>
      <c r="BC368" t="b">
        <f>AND(IF(Metadata!P368="",FALSE,TRUE),OR(EXACT(Metadata!P368,"air"),EXACT(Metadata!P368,"microbial mat/biofilm"),EXACT(Metadata!P368,"misc environment"),EXACT(Metadata!P368,"sediment"),EXACT(Metadata!P368,"soil"),EXACT(Metadata!P368,"wastewater/sludge"),EXACT(Metadata!P368,"water")))</f>
        <v>0</v>
      </c>
      <c r="BD368" t="b">
        <f>IF(Metadata!Q368="",FALSE,TRUE)</f>
        <v>0</v>
      </c>
      <c r="BE368" t="b">
        <f>IF(Metadata!R368="",FALSE,TRUE)</f>
        <v>0</v>
      </c>
      <c r="BF368" t="b">
        <f>OR(AND(IF(Metadata!S368="",FALSE,TRUE),OR(EXACT(Metadata!S368,"not collected"),EXACT(Metadata!S368,"not provided"),EXACT(Metadata!S368,"restricted access"))),AND(IF(Metadata!S368="",FALSE,ISNUMBER(VALUE(Metadata!S368))),Metadata!S368&gt;=-90,Metadata!S368&lt;=90))</f>
        <v>0</v>
      </c>
      <c r="BG368" t="b">
        <f>AND(IF(Metadata!T368="",FALSE,TRUE),EXACT(Metadata!T368,"Decimal degrees"))</f>
        <v>0</v>
      </c>
      <c r="BH368" t="b">
        <f>OR(AND(IF(Metadata!U368="",FALSE,TRUE),OR(EXACT(Metadata!U368,"not applicable"),EXACT(Metadata!U368,"not collected"))),IF(Metadata!U368="",FALSE,TRUE))</f>
        <v>0</v>
      </c>
      <c r="BI368" t="b">
        <f>OR(AND(IF(Metadata!V368="",FALSE,TRUE),OR(EXACT(Metadata!V368,"not collected"),EXACT(Metadata!V368,"not provided"),EXACT(Metadata!V368,"restricted access"))),AND(IF(Metadata!V368="",FALSE,ISNUMBER(VALUE(Metadata!V368))),Metadata!V368&gt;=-180,Metadata!V368&lt;=180))</f>
        <v>0</v>
      </c>
      <c r="BJ368" t="b">
        <f>AND(IF(Metadata!W368="",FALSE,TRUE),EXACT(Metadata!W368,"Decimal degrees"))</f>
        <v>0</v>
      </c>
      <c r="BK368" t="b">
        <f>IF(Metadata!X368="",FALSE,TRUE)</f>
        <v>0</v>
      </c>
      <c r="BL368" t="b">
        <f>OR(AND(IF(Metadata!Y368="",FALSE,TRUE),OR(EXACT(Metadata!Y368,"not collected"),EXACT(Metadata!Y368,"not provided"),EXACT(Metadata!Y368,"restricted access"))),AND(IF(Metadata!Y368="",FALSE,TRUE),OR(EXACT(Metadata!Y368,"TRUE"),EXACT(Metadata!Y368,"FALSE"))))</f>
        <v>0</v>
      </c>
      <c r="BM368" t="b">
        <f>OR(AND(IF(Metadata!Z368="",FALSE,TRUE),EXACT(Metadata!Z368,"not applicable")),AND(IF(Metadata!Z368="",FALSE,TRUE),OR(EXACT(Metadata!Z368,"beer"),EXACT(Metadata!Z368,"cheese"),EXACT(Metadata!Z368,"fresh water"),EXACT(Metadata!Z368,"marine sediment"),EXACT(Metadata!Z368,"sea water"),EXACT(Metadata!Z368,"sediment"),EXACT(Metadata!Z368,"soil"),EXACT(Metadata!Z368,"waste water"))))</f>
        <v>0</v>
      </c>
      <c r="BN368" t="b">
        <f>AND(IF(Metadata!AA368="",FALSE,TRUE),EXACT(Metadata!AA368,"metagenome"))</f>
        <v>0</v>
      </c>
      <c r="BO368" t="b">
        <f>AND(IF(Metadata!AB368="",FALSE,TRUE),EXACT(Metadata!AB368,"256318"))</f>
        <v>0</v>
      </c>
      <c r="BP368" t="b">
        <f>IF(Metadata!AC368="",FALSE,TRUE)</f>
        <v>0</v>
      </c>
      <c r="BQ368" t="b">
        <f>IF(Metadata!AD368="",FALSE,TRUE)</f>
        <v>0</v>
      </c>
    </row>
    <row r="369" spans="1:69" x14ac:dyDescent="0.2">
      <c r="A369" s="4" t="e">
        <f ca="1">IF(B369=" "," ",HYPERLINK(CONCATENATE("#metadata!",ADDRESS(INDEX($AJ$2:$AJ$1001,MATCH(ROWS($AH$2:AH369),$AH$2:$AH$1001,0),0),2)),INDEX($AM$2:$AM$1001,MATCH(ROWS($AH$2:AH369),$AH$2:$AH$1001,0),0)))</f>
        <v>#N/A</v>
      </c>
      <c r="B369" s="5" t="e">
        <f ca="1">IF(OR(INDEX($AI$2:$AI$1001,MATCH(ROWS($AH$2:AH369),$AH$2:$AH$1001,0),1)&gt;=100000,INDEX($AO$1005:$BQ$1005,1,MATCH(COLUMNS($AO$1006:AO1006),$AO$1006:$BQ$1006,0))&gt;=100000), " ",IF(INDEX($AO$2:$BQ$1001,MATCH(ROWS($AH$2:AH369),$AH$2:$AH$1001,0),MATCH(COLUMNS($AO$1006:AO1006),$AO$1006:$BQ$1006,0)), HYPERLINK("#",""), HYPERLINK(CONCATENATE("#Metadata!", ADDRESS(INDEX($AJ$2:$AJ$1001,MATCH(ROWS($AH$2:AH369),$AH$2:$AH$1001,0),0), INDEX($AO$1004:$BQ$1004,1,MATCH(COLUMNS($AO$1006:AO1006),$AO$1006:$BQ$1006,0)))),"Fix")))</f>
        <v>#N/A</v>
      </c>
      <c r="C369" s="5" t="e">
        <f ca="1">IF(OR(INDEX($AI$2:$AI$1001,MATCH(ROWS($AH$2:AH369),$AH$2:$AH$1001,0),1)&gt;=100000,INDEX($AO$1005:$BQ$1005,1,MATCH(COLUMNS($AO$1006:AP1006),$AO$1006:$BQ$1006,0))&gt;=100000), " ",IF(INDEX($AO$2:$BQ$1001,MATCH(ROWS($AH$2:AH369),$AH$2:$AH$1001,0),MATCH(COLUMNS($AO$1006:AP1006),$AO$1006:$BQ$1006,0)), HYPERLINK("#",""), HYPERLINK(CONCATENATE("#Metadata!", ADDRESS(INDEX($AJ$2:$AJ$1001,MATCH(ROWS($AH$2:AH369),$AH$2:$AH$1001,0),0), INDEX($AO$1004:$BQ$1004,1,MATCH(COLUMNS($AO$1006:AP1006),$AO$1006:$BQ$1006,0)))),"Fix")))</f>
        <v>#N/A</v>
      </c>
      <c r="D369" s="5" t="e">
        <f ca="1">IF(OR(INDEX($AI$2:$AI$1001,MATCH(ROWS($AH$2:AH369),$AH$2:$AH$1001,0),1)&gt;=100000,INDEX($AO$1005:$BQ$1005,1,MATCH(COLUMNS($AO$1006:AQ1006),$AO$1006:$BQ$1006,0))&gt;=100000), " ",IF(INDEX($AO$2:$BQ$1001,MATCH(ROWS($AH$2:AH369),$AH$2:$AH$1001,0),MATCH(COLUMNS($AO$1006:AQ1006),$AO$1006:$BQ$1006,0)), HYPERLINK("#",""), HYPERLINK(CONCATENATE("#Metadata!", ADDRESS(INDEX($AJ$2:$AJ$1001,MATCH(ROWS($AH$2:AH369),$AH$2:$AH$1001,0),0), INDEX($AO$1004:$BQ$1004,1,MATCH(COLUMNS($AO$1006:AQ1006),$AO$1006:$BQ$1006,0)))),"Fix")))</f>
        <v>#N/A</v>
      </c>
      <c r="E369" s="5" t="e">
        <f ca="1">IF(OR(INDEX($AI$2:$AI$1001,MATCH(ROWS($AH$2:AH369),$AH$2:$AH$1001,0),1)&gt;=100000,INDEX($AO$1005:$BQ$1005,1,MATCH(COLUMNS($AO$1006:AR1006),$AO$1006:$BQ$1006,0))&gt;=100000), " ",IF(INDEX($AO$2:$BQ$1001,MATCH(ROWS($AH$2:AH369),$AH$2:$AH$1001,0),MATCH(COLUMNS($AO$1006:AR1006),$AO$1006:$BQ$1006,0)), HYPERLINK("#",""), HYPERLINK(CONCATENATE("#Metadata!", ADDRESS(INDEX($AJ$2:$AJ$1001,MATCH(ROWS($AH$2:AH369),$AH$2:$AH$1001,0),0), INDEX($AO$1004:$BQ$1004,1,MATCH(COLUMNS($AO$1006:AR1006),$AO$1006:$BQ$1006,0)))),"Fix")))</f>
        <v>#N/A</v>
      </c>
      <c r="F369" s="5" t="e">
        <f ca="1">IF(OR(INDEX($AI$2:$AI$1001,MATCH(ROWS($AH$2:AH369),$AH$2:$AH$1001,0),1)&gt;=100000,INDEX($AO$1005:$BQ$1005,1,MATCH(COLUMNS($AO$1006:AS1006),$AO$1006:$BQ$1006,0))&gt;=100000), " ",IF(INDEX($AO$2:$BQ$1001,MATCH(ROWS($AH$2:AH369),$AH$2:$AH$1001,0),MATCH(COLUMNS($AO$1006:AS1006),$AO$1006:$BQ$1006,0)), HYPERLINK("#",""), HYPERLINK(CONCATENATE("#Metadata!", ADDRESS(INDEX($AJ$2:$AJ$1001,MATCH(ROWS($AH$2:AH369),$AH$2:$AH$1001,0),0), INDEX($AO$1004:$BQ$1004,1,MATCH(COLUMNS($AO$1006:AS1006),$AO$1006:$BQ$1006,0)))),"Fix")))</f>
        <v>#N/A</v>
      </c>
      <c r="G369" s="5" t="e">
        <f ca="1">IF(OR(INDEX($AI$2:$AI$1001,MATCH(ROWS($AH$2:AH369),$AH$2:$AH$1001,0),1)&gt;=100000,INDEX($AO$1005:$BQ$1005,1,MATCH(COLUMNS($AO$1006:AT1006),$AO$1006:$BQ$1006,0))&gt;=100000), " ",IF(INDEX($AO$2:$BQ$1001,MATCH(ROWS($AH$2:AH369),$AH$2:$AH$1001,0),MATCH(COLUMNS($AO$1006:AT1006),$AO$1006:$BQ$1006,0)), HYPERLINK("#",""), HYPERLINK(CONCATENATE("#Metadata!", ADDRESS(INDEX($AJ$2:$AJ$1001,MATCH(ROWS($AH$2:AH369),$AH$2:$AH$1001,0),0), INDEX($AO$1004:$BQ$1004,1,MATCH(COLUMNS($AO$1006:AT1006),$AO$1006:$BQ$1006,0)))),"Fix")))</f>
        <v>#N/A</v>
      </c>
      <c r="H369" s="5" t="e">
        <f ca="1">IF(OR(INDEX($AI$2:$AI$1001,MATCH(ROWS($AH$2:AH369),$AH$2:$AH$1001,0),1)&gt;=100000,INDEX($AO$1005:$BQ$1005,1,MATCH(COLUMNS($AO$1006:AU1006),$AO$1006:$BQ$1006,0))&gt;=100000), " ",IF(INDEX($AO$2:$BQ$1001,MATCH(ROWS($AH$2:AH369),$AH$2:$AH$1001,0),MATCH(COLUMNS($AO$1006:AU1006),$AO$1006:$BQ$1006,0)), HYPERLINK("#",""), HYPERLINK(CONCATENATE("#Metadata!", ADDRESS(INDEX($AJ$2:$AJ$1001,MATCH(ROWS($AH$2:AH369),$AH$2:$AH$1001,0),0), INDEX($AO$1004:$BQ$1004,1,MATCH(COLUMNS($AO$1006:AU1006),$AO$1006:$BQ$1006,0)))),"Fix")))</f>
        <v>#N/A</v>
      </c>
      <c r="I369" s="5" t="e">
        <f ca="1">IF(OR(INDEX($AI$2:$AI$1001,MATCH(ROWS($AH$2:AH369),$AH$2:$AH$1001,0),1)&gt;=100000,INDEX($AO$1005:$BQ$1005,1,MATCH(COLUMNS($AO$1006:AV1006),$AO$1006:$BQ$1006,0))&gt;=100000), " ",IF(INDEX($AO$2:$BQ$1001,MATCH(ROWS($AH$2:AH369),$AH$2:$AH$1001,0),MATCH(COLUMNS($AO$1006:AV1006),$AO$1006:$BQ$1006,0)), HYPERLINK("#",""), HYPERLINK(CONCATENATE("#Metadata!", ADDRESS(INDEX($AJ$2:$AJ$1001,MATCH(ROWS($AH$2:AH369),$AH$2:$AH$1001,0),0), INDEX($AO$1004:$BQ$1004,1,MATCH(COLUMNS($AO$1006:AV1006),$AO$1006:$BQ$1006,0)))),"Fix")))</f>
        <v>#N/A</v>
      </c>
      <c r="J369" s="5" t="e">
        <f ca="1">IF(OR(INDEX($AI$2:$AI$1001,MATCH(ROWS($AH$2:AH369),$AH$2:$AH$1001,0),1)&gt;=100000,INDEX($AO$1005:$BQ$1005,1,MATCH(COLUMNS($AO$1006:AW1006),$AO$1006:$BQ$1006,0))&gt;=100000), " ",IF(INDEX($AO$2:$BQ$1001,MATCH(ROWS($AH$2:AH369),$AH$2:$AH$1001,0),MATCH(COLUMNS($AO$1006:AW1006),$AO$1006:$BQ$1006,0)), HYPERLINK("#",""), HYPERLINK(CONCATENATE("#Metadata!", ADDRESS(INDEX($AJ$2:$AJ$1001,MATCH(ROWS($AH$2:AH369),$AH$2:$AH$1001,0),0), INDEX($AO$1004:$BQ$1004,1,MATCH(COLUMNS($AO$1006:AW1006),$AO$1006:$BQ$1006,0)))),"Fix")))</f>
        <v>#N/A</v>
      </c>
      <c r="K369" s="5" t="e">
        <f ca="1">IF(OR(INDEX($AI$2:$AI$1001,MATCH(ROWS($AH$2:AH369),$AH$2:$AH$1001,0),1)&gt;=100000,INDEX($AO$1005:$BQ$1005,1,MATCH(COLUMNS($AO$1006:AX1006),$AO$1006:$BQ$1006,0))&gt;=100000), " ",IF(INDEX($AO$2:$BQ$1001,MATCH(ROWS($AH$2:AH369),$AH$2:$AH$1001,0),MATCH(COLUMNS($AO$1006:AX1006),$AO$1006:$BQ$1006,0)), HYPERLINK("#",""), HYPERLINK(CONCATENATE("#Metadata!", ADDRESS(INDEX($AJ$2:$AJ$1001,MATCH(ROWS($AH$2:AH369),$AH$2:$AH$1001,0),0), INDEX($AO$1004:$BQ$1004,1,MATCH(COLUMNS($AO$1006:AX1006),$AO$1006:$BQ$1006,0)))),"Fix")))</f>
        <v>#N/A</v>
      </c>
      <c r="L369" s="5" t="e">
        <f ca="1">IF(OR(INDEX($AI$2:$AI$1001,MATCH(ROWS($AH$2:AH369),$AH$2:$AH$1001,0),1)&gt;=100000,INDEX($AO$1005:$BQ$1005,1,MATCH(COLUMNS($AO$1006:AY1006),$AO$1006:$BQ$1006,0))&gt;=100000), " ",IF(INDEX($AO$2:$BQ$1001,MATCH(ROWS($AH$2:AH369),$AH$2:$AH$1001,0),MATCH(COLUMNS($AO$1006:AY1006),$AO$1006:$BQ$1006,0)), HYPERLINK("#",""), HYPERLINK(CONCATENATE("#Metadata!", ADDRESS(INDEX($AJ$2:$AJ$1001,MATCH(ROWS($AH$2:AH369),$AH$2:$AH$1001,0),0), INDEX($AO$1004:$BQ$1004,1,MATCH(COLUMNS($AO$1006:AY1006),$AO$1006:$BQ$1006,0)))),"Fix")))</f>
        <v>#N/A</v>
      </c>
      <c r="M369" s="5" t="e">
        <f ca="1">IF(OR(INDEX($AI$2:$AI$1001,MATCH(ROWS($AH$2:AH369),$AH$2:$AH$1001,0),1)&gt;=100000,INDEX($AO$1005:$BQ$1005,1,MATCH(COLUMNS($AO$1006:AZ1006),$AO$1006:$BQ$1006,0))&gt;=100000), " ",IF(INDEX($AO$2:$BQ$1001,MATCH(ROWS($AH$2:AH369),$AH$2:$AH$1001,0),MATCH(COLUMNS($AO$1006:AZ1006),$AO$1006:$BQ$1006,0)), HYPERLINK("#",""), HYPERLINK(CONCATENATE("#Metadata!", ADDRESS(INDEX($AJ$2:$AJ$1001,MATCH(ROWS($AH$2:AH369),$AH$2:$AH$1001,0),0), INDEX($AO$1004:$BQ$1004,1,MATCH(COLUMNS($AO$1006:AZ1006),$AO$1006:$BQ$1006,0)))),"Fix")))</f>
        <v>#N/A</v>
      </c>
      <c r="N369" s="5" t="e">
        <f ca="1">IF(OR(INDEX($AI$2:$AI$1001,MATCH(ROWS($AH$2:AH369),$AH$2:$AH$1001,0),1)&gt;=100000,INDEX($AO$1005:$BQ$1005,1,MATCH(COLUMNS($AO$1006:BA1006),$AO$1006:$BQ$1006,0))&gt;=100000), " ",IF(INDEX($AO$2:$BQ$1001,MATCH(ROWS($AH$2:AH369),$AH$2:$AH$1001,0),MATCH(COLUMNS($AO$1006:BA1006),$AO$1006:$BQ$1006,0)), HYPERLINK("#",""), HYPERLINK(CONCATENATE("#Metadata!", ADDRESS(INDEX($AJ$2:$AJ$1001,MATCH(ROWS($AH$2:AH369),$AH$2:$AH$1001,0),0), INDEX($AO$1004:$BQ$1004,1,MATCH(COLUMNS($AO$1006:BA1006),$AO$1006:$BQ$1006,0)))),"Fix")))</f>
        <v>#N/A</v>
      </c>
      <c r="O369" s="5" t="e">
        <f ca="1">IF(OR(INDEX($AI$2:$AI$1001,MATCH(ROWS($AH$2:AH369),$AH$2:$AH$1001,0),1)&gt;=100000,INDEX($AO$1005:$BQ$1005,1,MATCH(COLUMNS($AO$1006:BB1006),$AO$1006:$BQ$1006,0))&gt;=100000), " ",IF(INDEX($AO$2:$BQ$1001,MATCH(ROWS($AH$2:AH369),$AH$2:$AH$1001,0),MATCH(COLUMNS($AO$1006:BB1006),$AO$1006:$BQ$1006,0)), HYPERLINK("#",""), HYPERLINK(CONCATENATE("#Metadata!", ADDRESS(INDEX($AJ$2:$AJ$1001,MATCH(ROWS($AH$2:AH369),$AH$2:$AH$1001,0),0), INDEX($AO$1004:$BQ$1004,1,MATCH(COLUMNS($AO$1006:BB1006),$AO$1006:$BQ$1006,0)))),"Fix")))</f>
        <v>#N/A</v>
      </c>
      <c r="P369" s="5" t="e">
        <f ca="1">IF(OR(INDEX($AI$2:$AI$1001,MATCH(ROWS($AH$2:AH369),$AH$2:$AH$1001,0),1)&gt;=100000,INDEX($AO$1005:$BQ$1005,1,MATCH(COLUMNS($AO$1006:BC1006),$AO$1006:$BQ$1006,0))&gt;=100000), " ",IF(INDEX($AO$2:$BQ$1001,MATCH(ROWS($AH$2:AH369),$AH$2:$AH$1001,0),MATCH(COLUMNS($AO$1006:BC1006),$AO$1006:$BQ$1006,0)), HYPERLINK("#",""), HYPERLINK(CONCATENATE("#Metadata!", ADDRESS(INDEX($AJ$2:$AJ$1001,MATCH(ROWS($AH$2:AH369),$AH$2:$AH$1001,0),0), INDEX($AO$1004:$BQ$1004,1,MATCH(COLUMNS($AO$1006:BC1006),$AO$1006:$BQ$1006,0)))),"Fix")))</f>
        <v>#N/A</v>
      </c>
      <c r="Q369" s="5" t="e">
        <f ca="1">IF(OR(INDEX($AI$2:$AI$1001,MATCH(ROWS($AH$2:AH369),$AH$2:$AH$1001,0),1)&gt;=100000,INDEX($AO$1005:$BQ$1005,1,MATCH(COLUMNS($AO$1006:BD1006),$AO$1006:$BQ$1006,0))&gt;=100000), " ",IF(INDEX($AO$2:$BQ$1001,MATCH(ROWS($AH$2:AH369),$AH$2:$AH$1001,0),MATCH(COLUMNS($AO$1006:BD1006),$AO$1006:$BQ$1006,0)), HYPERLINK("#",""), HYPERLINK(CONCATENATE("#Metadata!", ADDRESS(INDEX($AJ$2:$AJ$1001,MATCH(ROWS($AH$2:AH369),$AH$2:$AH$1001,0),0), INDEX($AO$1004:$BQ$1004,1,MATCH(COLUMNS($AO$1006:BD1006),$AO$1006:$BQ$1006,0)))),"Fix")))</f>
        <v>#N/A</v>
      </c>
      <c r="R369" s="5" t="e">
        <f ca="1">IF(OR(INDEX($AI$2:$AI$1001,MATCH(ROWS($AH$2:AH369),$AH$2:$AH$1001,0),1)&gt;=100000,INDEX($AO$1005:$BQ$1005,1,MATCH(COLUMNS($AO$1006:BE1006),$AO$1006:$BQ$1006,0))&gt;=100000), " ",IF(INDEX($AO$2:$BQ$1001,MATCH(ROWS($AH$2:AH369),$AH$2:$AH$1001,0),MATCH(COLUMNS($AO$1006:BE1006),$AO$1006:$BQ$1006,0)), HYPERLINK("#",""), HYPERLINK(CONCATENATE("#Metadata!", ADDRESS(INDEX($AJ$2:$AJ$1001,MATCH(ROWS($AH$2:AH369),$AH$2:$AH$1001,0),0), INDEX($AO$1004:$BQ$1004,1,MATCH(COLUMNS($AO$1006:BE1006),$AO$1006:$BQ$1006,0)))),"Fix")))</f>
        <v>#N/A</v>
      </c>
      <c r="S369" s="5" t="e">
        <f ca="1">IF(OR(INDEX($AI$2:$AI$1001,MATCH(ROWS($AH$2:AH369),$AH$2:$AH$1001,0),1)&gt;=100000,INDEX($AO$1005:$BQ$1005,1,MATCH(COLUMNS($AO$1006:BF1006),$AO$1006:$BQ$1006,0))&gt;=100000), " ",IF(INDEX($AO$2:$BQ$1001,MATCH(ROWS($AH$2:AH369),$AH$2:$AH$1001,0),MATCH(COLUMNS($AO$1006:BF1006),$AO$1006:$BQ$1006,0)), HYPERLINK("#",""), HYPERLINK(CONCATENATE("#Metadata!", ADDRESS(INDEX($AJ$2:$AJ$1001,MATCH(ROWS($AH$2:AH369),$AH$2:$AH$1001,0),0), INDEX($AO$1004:$BQ$1004,1,MATCH(COLUMNS($AO$1006:BF1006),$AO$1006:$BQ$1006,0)))),"Fix")))</f>
        <v>#N/A</v>
      </c>
      <c r="T369" s="5" t="e">
        <f ca="1">IF(OR(INDEX($AI$2:$AI$1001,MATCH(ROWS($AH$2:AH369),$AH$2:$AH$1001,0),1)&gt;=100000,INDEX($AO$1005:$BQ$1005,1,MATCH(COLUMNS($AO$1006:BG1006),$AO$1006:$BQ$1006,0))&gt;=100000), " ",IF(INDEX($AO$2:$BQ$1001,MATCH(ROWS($AH$2:AH369),$AH$2:$AH$1001,0),MATCH(COLUMNS($AO$1006:BG1006),$AO$1006:$BQ$1006,0)), HYPERLINK("#",""), HYPERLINK(CONCATENATE("#Metadata!", ADDRESS(INDEX($AJ$2:$AJ$1001,MATCH(ROWS($AH$2:AH369),$AH$2:$AH$1001,0),0), INDEX($AO$1004:$BQ$1004,1,MATCH(COLUMNS($AO$1006:BG1006),$AO$1006:$BQ$1006,0)))),"Fix")))</f>
        <v>#N/A</v>
      </c>
      <c r="U369" s="5" t="e">
        <f ca="1">IF(OR(INDEX($AI$2:$AI$1001,MATCH(ROWS($AH$2:AH369),$AH$2:$AH$1001,0),1)&gt;=100000,INDEX($AO$1005:$BQ$1005,1,MATCH(COLUMNS($AO$1006:BH1006),$AO$1006:$BQ$1006,0))&gt;=100000), " ",IF(INDEX($AO$2:$BQ$1001,MATCH(ROWS($AH$2:AH369),$AH$2:$AH$1001,0),MATCH(COLUMNS($AO$1006:BH1006),$AO$1006:$BQ$1006,0)), HYPERLINK("#",""), HYPERLINK(CONCATENATE("#Metadata!", ADDRESS(INDEX($AJ$2:$AJ$1001,MATCH(ROWS($AH$2:AH369),$AH$2:$AH$1001,0),0), INDEX($AO$1004:$BQ$1004,1,MATCH(COLUMNS($AO$1006:BH1006),$AO$1006:$BQ$1006,0)))),"Fix")))</f>
        <v>#N/A</v>
      </c>
      <c r="V369" s="5" t="e">
        <f ca="1">IF(OR(INDEX($AI$2:$AI$1001,MATCH(ROWS($AH$2:AH369),$AH$2:$AH$1001,0),1)&gt;=100000,INDEX($AO$1005:$BQ$1005,1,MATCH(COLUMNS($AO$1006:BI1006),$AO$1006:$BQ$1006,0))&gt;=100000), " ",IF(INDEX($AO$2:$BQ$1001,MATCH(ROWS($AH$2:AH369),$AH$2:$AH$1001,0),MATCH(COLUMNS($AO$1006:BI1006),$AO$1006:$BQ$1006,0)), HYPERLINK("#",""), HYPERLINK(CONCATENATE("#Metadata!", ADDRESS(INDEX($AJ$2:$AJ$1001,MATCH(ROWS($AH$2:AH369),$AH$2:$AH$1001,0),0), INDEX($AO$1004:$BQ$1004,1,MATCH(COLUMNS($AO$1006:BI1006),$AO$1006:$BQ$1006,0)))),"Fix")))</f>
        <v>#N/A</v>
      </c>
      <c r="W369" s="5" t="e">
        <f ca="1">IF(OR(INDEX($AI$2:$AI$1001,MATCH(ROWS($AH$2:AH369),$AH$2:$AH$1001,0),1)&gt;=100000,INDEX($AO$1005:$BQ$1005,1,MATCH(COLUMNS($AO$1006:BJ1006),$AO$1006:$BQ$1006,0))&gt;=100000), " ",IF(INDEX($AO$2:$BQ$1001,MATCH(ROWS($AH$2:AH369),$AH$2:$AH$1001,0),MATCH(COLUMNS($AO$1006:BJ1006),$AO$1006:$BQ$1006,0)), HYPERLINK("#",""), HYPERLINK(CONCATENATE("#Metadata!", ADDRESS(INDEX($AJ$2:$AJ$1001,MATCH(ROWS($AH$2:AH369),$AH$2:$AH$1001,0),0), INDEX($AO$1004:$BQ$1004,1,MATCH(COLUMNS($AO$1006:BJ1006),$AO$1006:$BQ$1006,0)))),"Fix")))</f>
        <v>#N/A</v>
      </c>
      <c r="X369" s="5" t="e">
        <f ca="1">IF(OR(INDEX($AI$2:$AI$1001,MATCH(ROWS($AH$2:AH369),$AH$2:$AH$1001,0),1)&gt;=100000,INDEX($AO$1005:$BQ$1005,1,MATCH(COLUMNS($AO$1006:BK1006),$AO$1006:$BQ$1006,0))&gt;=100000), " ",IF(INDEX($AO$2:$BQ$1001,MATCH(ROWS($AH$2:AH369),$AH$2:$AH$1001,0),MATCH(COLUMNS($AO$1006:BK1006),$AO$1006:$BQ$1006,0)), HYPERLINK("#",""), HYPERLINK(CONCATENATE("#Metadata!", ADDRESS(INDEX($AJ$2:$AJ$1001,MATCH(ROWS($AH$2:AH369),$AH$2:$AH$1001,0),0), INDEX($AO$1004:$BQ$1004,1,MATCH(COLUMNS($AO$1006:BK1006),$AO$1006:$BQ$1006,0)))),"Fix")))</f>
        <v>#N/A</v>
      </c>
      <c r="Y369" s="5" t="e">
        <f ca="1">IF(OR(INDEX($AI$2:$AI$1001,MATCH(ROWS($AH$2:AH369),$AH$2:$AH$1001,0),1)&gt;=100000,INDEX($AO$1005:$BQ$1005,1,MATCH(COLUMNS($AO$1006:BL1006),$AO$1006:$BQ$1006,0))&gt;=100000), " ",IF(INDEX($AO$2:$BQ$1001,MATCH(ROWS($AH$2:AH369),$AH$2:$AH$1001,0),MATCH(COLUMNS($AO$1006:BL1006),$AO$1006:$BQ$1006,0)), HYPERLINK("#",""), HYPERLINK(CONCATENATE("#Metadata!", ADDRESS(INDEX($AJ$2:$AJ$1001,MATCH(ROWS($AH$2:AH369),$AH$2:$AH$1001,0),0), INDEX($AO$1004:$BQ$1004,1,MATCH(COLUMNS($AO$1006:BL1006),$AO$1006:$BQ$1006,0)))),"Fix")))</f>
        <v>#N/A</v>
      </c>
      <c r="Z369" s="5" t="e">
        <f ca="1">IF(OR(INDEX($AI$2:$AI$1001,MATCH(ROWS($AH$2:AH369),$AH$2:$AH$1001,0),1)&gt;=100000,INDEX($AO$1005:$BQ$1005,1,MATCH(COLUMNS($AO$1006:BM1006),$AO$1006:$BQ$1006,0))&gt;=100000), " ",IF(INDEX($AO$2:$BQ$1001,MATCH(ROWS($AH$2:AH369),$AH$2:$AH$1001,0),MATCH(COLUMNS($AO$1006:BM1006),$AO$1006:$BQ$1006,0)), HYPERLINK("#",""), HYPERLINK(CONCATENATE("#Metadata!", ADDRESS(INDEX($AJ$2:$AJ$1001,MATCH(ROWS($AH$2:AH369),$AH$2:$AH$1001,0),0), INDEX($AO$1004:$BQ$1004,1,MATCH(COLUMNS($AO$1006:BM1006),$AO$1006:$BQ$1006,0)))),"Fix")))</f>
        <v>#N/A</v>
      </c>
      <c r="AA369" s="5" t="e">
        <f ca="1">IF(OR(INDEX($AI$2:$AI$1001,MATCH(ROWS($AH$2:AH369),$AH$2:$AH$1001,0),1)&gt;=100000,INDEX($AO$1005:$BQ$1005,1,MATCH(COLUMNS($AO$1006:BN1006),$AO$1006:$BQ$1006,0))&gt;=100000), " ",IF(INDEX($AO$2:$BQ$1001,MATCH(ROWS($AH$2:AH369),$AH$2:$AH$1001,0),MATCH(COLUMNS($AO$1006:BN1006),$AO$1006:$BQ$1006,0)), HYPERLINK("#",""), HYPERLINK(CONCATENATE("#Metadata!", ADDRESS(INDEX($AJ$2:$AJ$1001,MATCH(ROWS($AH$2:AH369),$AH$2:$AH$1001,0),0), INDEX($AO$1004:$BQ$1004,1,MATCH(COLUMNS($AO$1006:BN1006),$AO$1006:$BQ$1006,0)))),"Fix")))</f>
        <v>#N/A</v>
      </c>
      <c r="AB369" s="5" t="e">
        <f ca="1">IF(OR(INDEX($AI$2:$AI$1001,MATCH(ROWS($AH$2:AH369),$AH$2:$AH$1001,0),1)&gt;=100000,INDEX($AO$1005:$BQ$1005,1,MATCH(COLUMNS($AO$1006:BO1006),$AO$1006:$BQ$1006,0))&gt;=100000), " ",IF(INDEX($AO$2:$BQ$1001,MATCH(ROWS($AH$2:AH369),$AH$2:$AH$1001,0),MATCH(COLUMNS($AO$1006:BO1006),$AO$1006:$BQ$1006,0)), HYPERLINK("#",""), HYPERLINK(CONCATENATE("#Metadata!", ADDRESS(INDEX($AJ$2:$AJ$1001,MATCH(ROWS($AH$2:AH369),$AH$2:$AH$1001,0),0), INDEX($AO$1004:$BQ$1004,1,MATCH(COLUMNS($AO$1006:BO1006),$AO$1006:$BQ$1006,0)))),"Fix")))</f>
        <v>#N/A</v>
      </c>
      <c r="AC369" s="5" t="e">
        <f ca="1">IF(OR(INDEX($AI$2:$AI$1001,MATCH(ROWS($AH$2:AH369),$AH$2:$AH$1001,0),1)&gt;=100000,INDEX($AO$1005:$BQ$1005,1,MATCH(COLUMNS($AO$1006:BP1006),$AO$1006:$BQ$1006,0))&gt;=100000), " ",IF(INDEX($AO$2:$BQ$1001,MATCH(ROWS($AH$2:AH369),$AH$2:$AH$1001,0),MATCH(COLUMNS($AO$1006:BP1006),$AO$1006:$BQ$1006,0)), HYPERLINK("#",""), HYPERLINK(CONCATENATE("#Metadata!", ADDRESS(INDEX($AJ$2:$AJ$1001,MATCH(ROWS($AH$2:AH369),$AH$2:$AH$1001,0),0), INDEX($AO$1004:$BQ$1004,1,MATCH(COLUMNS($AO$1006:BP1006),$AO$1006:$BQ$1006,0)))),"Fix")))</f>
        <v>#N/A</v>
      </c>
      <c r="AD369" s="5" t="e">
        <f ca="1">IF(OR(INDEX($AI$2:$AI$1001,MATCH(ROWS($AH$2:AH369),$AH$2:$AH$1001,0),1)&gt;=100000,INDEX($AO$1005:$BQ$1005,1,MATCH(COLUMNS($AO$1006:BQ1006),$AO$1006:$BQ$1006,0))&gt;=100000), " ",IF(INDEX($AO$2:$BQ$1001,MATCH(ROWS($AH$2:AH369),$AH$2:$AH$1001,0),MATCH(COLUMNS($AO$1006:BQ1006),$AO$1006:$BQ$1006,0)), HYPERLINK("#",""), HYPERLINK(CONCATENATE("#Metadata!", ADDRESS(INDEX($AJ$2:$AJ$1001,MATCH(ROWS($AH$2:AH369),$AH$2:$AH$1001,0),0), INDEX($AO$1004:$BQ$1004,1,MATCH(COLUMNS($AO$1006:BQ1006),$AO$1006:$BQ$1006,0)))),"Fix")))</f>
        <v>#REF!</v>
      </c>
      <c r="AH369">
        <f ca="1"/>
        <v>366</v>
      </c>
      <c r="AI369">
        <v>100369</v>
      </c>
      <c r="AJ369">
        <v>369</v>
      </c>
      <c r="AK369" t="b">
        <f t="shared" si="5"/>
        <v>1</v>
      </c>
      <c r="AL369" t="b">
        <f>COUNTBLANK(Metadata!B369:AD369)=COLUMNS(Metadata!B369:AD369)</f>
        <v>1</v>
      </c>
      <c r="AM369" t="str">
        <v/>
      </c>
      <c r="AO369" t="b">
        <f ca="1">AND(IF(Metadata!B369="",FALSE,TRUE),COUNTIF(Metadata!B:B, Metadata!B369) = 1,NOT(ISERROR(SUMPRODUCT(SEARCH(MID(Metadata!B369,ROW(INDIRECT("1:"&amp;LEN(Metadata!B369))), 1),"0123456789abcdefghijklmnopqrstuvwxyzABCDEFGHIJKLMNOPQRSTUVWXYZ.")))))</f>
        <v>0</v>
      </c>
      <c r="AP369" t="b">
        <f>IF(Metadata!C369="",FALSE,TRUE)</f>
        <v>0</v>
      </c>
      <c r="AQ369" t="b">
        <f>IF(Metadata!D369="",FALSE,TRUE)</f>
        <v>0</v>
      </c>
      <c r="AR369" t="b">
        <f ca="1">OR(AND(IF(Metadata!E369="",FALSE,TRUE),OR(EXACT(Metadata!E369,"not collected"),EXACT(Metadata!E369,"not provided"),EXACT(Metadata!E369,"restricted access"))),AND(IF(Metadata!E369="",FALSE,TRUE),AND(AND(IFERROR(INT(LEFT(Metadata!E369,4))&gt;1900,FALSE),IFERROR(INT(LEFT(Metadata!E369,4))&lt;=YEAR(NOW()),FALSE)), OR(MID(Metadata!E369,5,1)="", AND(AND(MID(Metadata!E369,5,1)="-",IFERROR(INT(MID(Metadata!E369,6,1))&gt;=0,FALSE),IFERROR(INT(MID(Metadata!E369,6,1))&lt;=1,FALSE),NOT(MID(Metadata!E369,7,1)=""),IFERROR(INT(MID(Metadata!E369,6,2))&gt;=1,FALSE),IFERROR(INT(MID(Metadata!E369,6,2))&lt;=12,FALSE)), OR(MID(Metadata!E369,8,1)="", AND(AND(MID(Metadata!E369,8,1)="-",IFERROR(INT(MID(Metadata!E369,9,1))&gt;=0,FALSE),IFERROR(INT(MID(Metadata!E369,9,1))&lt;=3,FALSE),NOT(MID(Metadata!E369,10,1)=""),IFERROR(INT(MID(Metadata!E369,9,2))&gt;=1,FALSE),IFERROR(INT(MID(Metadata!E369,9,2))&lt;=31,FALSE)), OR(MID(Metadata!E369,11,1)="", AND(AND(MID(Metadata!E369,11,1)=" ",IFERROR(INT(MID(Metadata!E369,12,1))&gt;=0,FALSE),IFERROR(INT(MID(Metadata!E369,12,1))&lt;=2,FALSE),NOT(MID(Metadata!E369,13,1)=""),IFERROR(INT(MID(Metadata!E369,12,2))&gt;=0,FALSE),IFERROR(INT(MID(Metadata!E369,12,2))&lt;=23,FALSE)), OR(MID(Metadata!E369,14,1)="", AND(AND(MID(Metadata!E369,14,1)=":",IFERROR(INT(MID(Metadata!E369,15,1))&gt;=0,FALSE),IFERROR(INT(MID(Metadata!E369,15,1))&lt;=5,FALSE),NOT(MID(Metadata!E369,16,1)=""),IFERROR(INT(MID(Metadata!E369,15,2))&gt;=0,FALSE),IFERROR(INT(MID(Metadata!E369,15,2))&lt;=59,FALSE)), OR(MID(Metadata!E369,17,1)="", AND(AND(MID(Metadata!E369,17,1)=":",IFERROR(INT(MID(Metadata!E369,18,1))&gt;=0,FALSE),IFERROR(INT(MID(Metadata!E369,18,1))&lt;=5,FALSE),NOT(MID(Metadata!E369,19,1)=""),IFERROR(INT(MID(Metadata!E369,18,2))&gt;=0,FALSE),IFERROR(INT(MID(Metadata!E369,18,2))&lt;=59,FALSE)), LEN(Metadata!E369)&lt;=19)))))))))))))</f>
        <v>0</v>
      </c>
      <c r="AS369" t="b">
        <f>IF(Metadata!F369="",FALSE,TRUE)</f>
        <v>0</v>
      </c>
      <c r="AT369" t="b">
        <f>OR(AND(IF(Metadata!G369="",FALSE,TRUE),OR(EXACT(Metadata!G369,"not collected"),EXACT(Metadata!G369,"not provided"))),AND(IF(Metadata!G369="",FALSE,TRUE),OR(EXACT(Metadata!G369,"TRUE"),EXACT(Metadata!G369,"FALSE"))))</f>
        <v>0</v>
      </c>
      <c r="AU369" t="b">
        <f>OR(AND(IF(Metadata!H369="",FALSE,TRUE),OR(EXACT(Metadata!H369,"not collected"),EXACT(Metadata!H369,"not provided"),EXACT(Metadata!H369,"restricted access"))),AND(IF(Metadata!H369="",FALSE,ISNUMBER(VALUE(Metadata!H369))),Metadata!H369&gt;=-413))</f>
        <v>0</v>
      </c>
      <c r="AV369" t="b">
        <f>AND(IF(Metadata!I369="",FALSE,TRUE),EXACT(Metadata!I369,"meters"))</f>
        <v>0</v>
      </c>
      <c r="AW369" t="b">
        <f>AND(IF(Metadata!J369="",FALSE,TRUE),EXACT(Metadata!J369,"free-living"))</f>
        <v>0</v>
      </c>
      <c r="AX369" t="b">
        <f>AND(IF(Metadata!K369="",FALSE,TRUE),OR(EXACT(Metadata!K369,"saline"),EXACT(Metadata!K369,"non-saline")))</f>
        <v>0</v>
      </c>
      <c r="AY369" t="b">
        <f>AND(IF(Metadata!L369="",FALSE,TRUE),OR(EXACT(Metadata!L369,"sub-surface (non-saline)"),EXACT(Metadata!L369,"surface (non-saline)"),EXACT(Metadata!L369,"water (non-saline)"),EXACT(Metadata!L369,"soil (non-saline)"),EXACT(Metadata!L369,"aerosol (non-saline)"),EXACT(Metadata!L369,"sediment (non-saline)"),EXACT(Metadata!L369,"surface (saline)"),EXACT(Metadata!L369,"water (saline)"),EXACT(Metadata!L369,"hypersaline (saline)"),EXACT(Metadata!L369,"aerosol (saline)"),EXACT(Metadata!L369,"sediment (saline)")))</f>
        <v>0</v>
      </c>
      <c r="AZ369" t="b">
        <f>IF(Metadata!M369="",FALSE,TRUE)</f>
        <v>0</v>
      </c>
      <c r="BA369" t="b">
        <f>IF(Metadata!N369="",FALSE,TRUE)</f>
        <v>0</v>
      </c>
      <c r="BB369" t="b">
        <f>IF(Metadata!O369="",FALSE,TRUE)</f>
        <v>0</v>
      </c>
      <c r="BC369" t="b">
        <f>AND(IF(Metadata!P369="",FALSE,TRUE),OR(EXACT(Metadata!P369,"air"),EXACT(Metadata!P369,"microbial mat/biofilm"),EXACT(Metadata!P369,"misc environment"),EXACT(Metadata!P369,"sediment"),EXACT(Metadata!P369,"soil"),EXACT(Metadata!P369,"wastewater/sludge"),EXACT(Metadata!P369,"water")))</f>
        <v>0</v>
      </c>
      <c r="BD369" t="b">
        <f>IF(Metadata!Q369="",FALSE,TRUE)</f>
        <v>0</v>
      </c>
      <c r="BE369" t="b">
        <f>IF(Metadata!R369="",FALSE,TRUE)</f>
        <v>0</v>
      </c>
      <c r="BF369" t="b">
        <f>OR(AND(IF(Metadata!S369="",FALSE,TRUE),OR(EXACT(Metadata!S369,"not collected"),EXACT(Metadata!S369,"not provided"),EXACT(Metadata!S369,"restricted access"))),AND(IF(Metadata!S369="",FALSE,ISNUMBER(VALUE(Metadata!S369))),Metadata!S369&gt;=-90,Metadata!S369&lt;=90))</f>
        <v>0</v>
      </c>
      <c r="BG369" t="b">
        <f>AND(IF(Metadata!T369="",FALSE,TRUE),EXACT(Metadata!T369,"Decimal degrees"))</f>
        <v>0</v>
      </c>
      <c r="BH369" t="b">
        <f>OR(AND(IF(Metadata!U369="",FALSE,TRUE),OR(EXACT(Metadata!U369,"not applicable"),EXACT(Metadata!U369,"not collected"))),IF(Metadata!U369="",FALSE,TRUE))</f>
        <v>0</v>
      </c>
      <c r="BI369" t="b">
        <f>OR(AND(IF(Metadata!V369="",FALSE,TRUE),OR(EXACT(Metadata!V369,"not collected"),EXACT(Metadata!V369,"not provided"),EXACT(Metadata!V369,"restricted access"))),AND(IF(Metadata!V369="",FALSE,ISNUMBER(VALUE(Metadata!V369))),Metadata!V369&gt;=-180,Metadata!V369&lt;=180))</f>
        <v>0</v>
      </c>
      <c r="BJ369" t="b">
        <f>AND(IF(Metadata!W369="",FALSE,TRUE),EXACT(Metadata!W369,"Decimal degrees"))</f>
        <v>0</v>
      </c>
      <c r="BK369" t="b">
        <f>IF(Metadata!X369="",FALSE,TRUE)</f>
        <v>0</v>
      </c>
      <c r="BL369" t="b">
        <f>OR(AND(IF(Metadata!Y369="",FALSE,TRUE),OR(EXACT(Metadata!Y369,"not collected"),EXACT(Metadata!Y369,"not provided"),EXACT(Metadata!Y369,"restricted access"))),AND(IF(Metadata!Y369="",FALSE,TRUE),OR(EXACT(Metadata!Y369,"TRUE"),EXACT(Metadata!Y369,"FALSE"))))</f>
        <v>0</v>
      </c>
      <c r="BM369" t="b">
        <f>OR(AND(IF(Metadata!Z369="",FALSE,TRUE),EXACT(Metadata!Z369,"not applicable")),AND(IF(Metadata!Z369="",FALSE,TRUE),OR(EXACT(Metadata!Z369,"beer"),EXACT(Metadata!Z369,"cheese"),EXACT(Metadata!Z369,"fresh water"),EXACT(Metadata!Z369,"marine sediment"),EXACT(Metadata!Z369,"sea water"),EXACT(Metadata!Z369,"sediment"),EXACT(Metadata!Z369,"soil"),EXACT(Metadata!Z369,"waste water"))))</f>
        <v>0</v>
      </c>
      <c r="BN369" t="b">
        <f>AND(IF(Metadata!AA369="",FALSE,TRUE),EXACT(Metadata!AA369,"metagenome"))</f>
        <v>0</v>
      </c>
      <c r="BO369" t="b">
        <f>AND(IF(Metadata!AB369="",FALSE,TRUE),EXACT(Metadata!AB369,"256318"))</f>
        <v>0</v>
      </c>
      <c r="BP369" t="b">
        <f>IF(Metadata!AC369="",FALSE,TRUE)</f>
        <v>0</v>
      </c>
      <c r="BQ369" t="b">
        <f>IF(Metadata!AD369="",FALSE,TRUE)</f>
        <v>0</v>
      </c>
    </row>
    <row r="370" spans="1:69" x14ac:dyDescent="0.2">
      <c r="A370" s="4" t="e">
        <f ca="1">IF(B370=" "," ",HYPERLINK(CONCATENATE("#metadata!",ADDRESS(INDEX($AJ$2:$AJ$1001,MATCH(ROWS($AH$2:AH370),$AH$2:$AH$1001,0),0),2)),INDEX($AM$2:$AM$1001,MATCH(ROWS($AH$2:AH370),$AH$2:$AH$1001,0),0)))</f>
        <v>#N/A</v>
      </c>
      <c r="B370" s="5" t="e">
        <f ca="1">IF(OR(INDEX($AI$2:$AI$1001,MATCH(ROWS($AH$2:AH370),$AH$2:$AH$1001,0),1)&gt;=100000,INDEX($AO$1005:$BQ$1005,1,MATCH(COLUMNS($AO$1006:AO1006),$AO$1006:$BQ$1006,0))&gt;=100000), " ",IF(INDEX($AO$2:$BQ$1001,MATCH(ROWS($AH$2:AH370),$AH$2:$AH$1001,0),MATCH(COLUMNS($AO$1006:AO1006),$AO$1006:$BQ$1006,0)), HYPERLINK("#",""), HYPERLINK(CONCATENATE("#Metadata!", ADDRESS(INDEX($AJ$2:$AJ$1001,MATCH(ROWS($AH$2:AH370),$AH$2:$AH$1001,0),0), INDEX($AO$1004:$BQ$1004,1,MATCH(COLUMNS($AO$1006:AO1006),$AO$1006:$BQ$1006,0)))),"Fix")))</f>
        <v>#N/A</v>
      </c>
      <c r="C370" s="5" t="e">
        <f ca="1">IF(OR(INDEX($AI$2:$AI$1001,MATCH(ROWS($AH$2:AH370),$AH$2:$AH$1001,0),1)&gt;=100000,INDEX($AO$1005:$BQ$1005,1,MATCH(COLUMNS($AO$1006:AP1006),$AO$1006:$BQ$1006,0))&gt;=100000), " ",IF(INDEX($AO$2:$BQ$1001,MATCH(ROWS($AH$2:AH370),$AH$2:$AH$1001,0),MATCH(COLUMNS($AO$1006:AP1006),$AO$1006:$BQ$1006,0)), HYPERLINK("#",""), HYPERLINK(CONCATENATE("#Metadata!", ADDRESS(INDEX($AJ$2:$AJ$1001,MATCH(ROWS($AH$2:AH370),$AH$2:$AH$1001,0),0), INDEX($AO$1004:$BQ$1004,1,MATCH(COLUMNS($AO$1006:AP1006),$AO$1006:$BQ$1006,0)))),"Fix")))</f>
        <v>#N/A</v>
      </c>
      <c r="D370" s="5" t="e">
        <f ca="1">IF(OR(INDEX($AI$2:$AI$1001,MATCH(ROWS($AH$2:AH370),$AH$2:$AH$1001,0),1)&gt;=100000,INDEX($AO$1005:$BQ$1005,1,MATCH(COLUMNS($AO$1006:AQ1006),$AO$1006:$BQ$1006,0))&gt;=100000), " ",IF(INDEX($AO$2:$BQ$1001,MATCH(ROWS($AH$2:AH370),$AH$2:$AH$1001,0),MATCH(COLUMNS($AO$1006:AQ1006),$AO$1006:$BQ$1006,0)), HYPERLINK("#",""), HYPERLINK(CONCATENATE("#Metadata!", ADDRESS(INDEX($AJ$2:$AJ$1001,MATCH(ROWS($AH$2:AH370),$AH$2:$AH$1001,0),0), INDEX($AO$1004:$BQ$1004,1,MATCH(COLUMNS($AO$1006:AQ1006),$AO$1006:$BQ$1006,0)))),"Fix")))</f>
        <v>#N/A</v>
      </c>
      <c r="E370" s="5" t="e">
        <f ca="1">IF(OR(INDEX($AI$2:$AI$1001,MATCH(ROWS($AH$2:AH370),$AH$2:$AH$1001,0),1)&gt;=100000,INDEX($AO$1005:$BQ$1005,1,MATCH(COLUMNS($AO$1006:AR1006),$AO$1006:$BQ$1006,0))&gt;=100000), " ",IF(INDEX($AO$2:$BQ$1001,MATCH(ROWS($AH$2:AH370),$AH$2:$AH$1001,0),MATCH(COLUMNS($AO$1006:AR1006),$AO$1006:$BQ$1006,0)), HYPERLINK("#",""), HYPERLINK(CONCATENATE("#Metadata!", ADDRESS(INDEX($AJ$2:$AJ$1001,MATCH(ROWS($AH$2:AH370),$AH$2:$AH$1001,0),0), INDEX($AO$1004:$BQ$1004,1,MATCH(COLUMNS($AO$1006:AR1006),$AO$1006:$BQ$1006,0)))),"Fix")))</f>
        <v>#N/A</v>
      </c>
      <c r="F370" s="5" t="e">
        <f ca="1">IF(OR(INDEX($AI$2:$AI$1001,MATCH(ROWS($AH$2:AH370),$AH$2:$AH$1001,0),1)&gt;=100000,INDEX($AO$1005:$BQ$1005,1,MATCH(COLUMNS($AO$1006:AS1006),$AO$1006:$BQ$1006,0))&gt;=100000), " ",IF(INDEX($AO$2:$BQ$1001,MATCH(ROWS($AH$2:AH370),$AH$2:$AH$1001,0),MATCH(COLUMNS($AO$1006:AS1006),$AO$1006:$BQ$1006,0)), HYPERLINK("#",""), HYPERLINK(CONCATENATE("#Metadata!", ADDRESS(INDEX($AJ$2:$AJ$1001,MATCH(ROWS($AH$2:AH370),$AH$2:$AH$1001,0),0), INDEX($AO$1004:$BQ$1004,1,MATCH(COLUMNS($AO$1006:AS1006),$AO$1006:$BQ$1006,0)))),"Fix")))</f>
        <v>#N/A</v>
      </c>
      <c r="G370" s="5" t="e">
        <f ca="1">IF(OR(INDEX($AI$2:$AI$1001,MATCH(ROWS($AH$2:AH370),$AH$2:$AH$1001,0),1)&gt;=100000,INDEX($AO$1005:$BQ$1005,1,MATCH(COLUMNS($AO$1006:AT1006),$AO$1006:$BQ$1006,0))&gt;=100000), " ",IF(INDEX($AO$2:$BQ$1001,MATCH(ROWS($AH$2:AH370),$AH$2:$AH$1001,0),MATCH(COLUMNS($AO$1006:AT1006),$AO$1006:$BQ$1006,0)), HYPERLINK("#",""), HYPERLINK(CONCATENATE("#Metadata!", ADDRESS(INDEX($AJ$2:$AJ$1001,MATCH(ROWS($AH$2:AH370),$AH$2:$AH$1001,0),0), INDEX($AO$1004:$BQ$1004,1,MATCH(COLUMNS($AO$1006:AT1006),$AO$1006:$BQ$1006,0)))),"Fix")))</f>
        <v>#N/A</v>
      </c>
      <c r="H370" s="5" t="e">
        <f ca="1">IF(OR(INDEX($AI$2:$AI$1001,MATCH(ROWS($AH$2:AH370),$AH$2:$AH$1001,0),1)&gt;=100000,INDEX($AO$1005:$BQ$1005,1,MATCH(COLUMNS($AO$1006:AU1006),$AO$1006:$BQ$1006,0))&gt;=100000), " ",IF(INDEX($AO$2:$BQ$1001,MATCH(ROWS($AH$2:AH370),$AH$2:$AH$1001,0),MATCH(COLUMNS($AO$1006:AU1006),$AO$1006:$BQ$1006,0)), HYPERLINK("#",""), HYPERLINK(CONCATENATE("#Metadata!", ADDRESS(INDEX($AJ$2:$AJ$1001,MATCH(ROWS($AH$2:AH370),$AH$2:$AH$1001,0),0), INDEX($AO$1004:$BQ$1004,1,MATCH(COLUMNS($AO$1006:AU1006),$AO$1006:$BQ$1006,0)))),"Fix")))</f>
        <v>#N/A</v>
      </c>
      <c r="I370" s="5" t="e">
        <f ca="1">IF(OR(INDEX($AI$2:$AI$1001,MATCH(ROWS($AH$2:AH370),$AH$2:$AH$1001,0),1)&gt;=100000,INDEX($AO$1005:$BQ$1005,1,MATCH(COLUMNS($AO$1006:AV1006),$AO$1006:$BQ$1006,0))&gt;=100000), " ",IF(INDEX($AO$2:$BQ$1001,MATCH(ROWS($AH$2:AH370),$AH$2:$AH$1001,0),MATCH(COLUMNS($AO$1006:AV1006),$AO$1006:$BQ$1006,0)), HYPERLINK("#",""), HYPERLINK(CONCATENATE("#Metadata!", ADDRESS(INDEX($AJ$2:$AJ$1001,MATCH(ROWS($AH$2:AH370),$AH$2:$AH$1001,0),0), INDEX($AO$1004:$BQ$1004,1,MATCH(COLUMNS($AO$1006:AV1006),$AO$1006:$BQ$1006,0)))),"Fix")))</f>
        <v>#N/A</v>
      </c>
      <c r="J370" s="5" t="e">
        <f ca="1">IF(OR(INDEX($AI$2:$AI$1001,MATCH(ROWS($AH$2:AH370),$AH$2:$AH$1001,0),1)&gt;=100000,INDEX($AO$1005:$BQ$1005,1,MATCH(COLUMNS($AO$1006:AW1006),$AO$1006:$BQ$1006,0))&gt;=100000), " ",IF(INDEX($AO$2:$BQ$1001,MATCH(ROWS($AH$2:AH370),$AH$2:$AH$1001,0),MATCH(COLUMNS($AO$1006:AW1006),$AO$1006:$BQ$1006,0)), HYPERLINK("#",""), HYPERLINK(CONCATENATE("#Metadata!", ADDRESS(INDEX($AJ$2:$AJ$1001,MATCH(ROWS($AH$2:AH370),$AH$2:$AH$1001,0),0), INDEX($AO$1004:$BQ$1004,1,MATCH(COLUMNS($AO$1006:AW1006),$AO$1006:$BQ$1006,0)))),"Fix")))</f>
        <v>#N/A</v>
      </c>
      <c r="K370" s="5" t="e">
        <f ca="1">IF(OR(INDEX($AI$2:$AI$1001,MATCH(ROWS($AH$2:AH370),$AH$2:$AH$1001,0),1)&gt;=100000,INDEX($AO$1005:$BQ$1005,1,MATCH(COLUMNS($AO$1006:AX1006),$AO$1006:$BQ$1006,0))&gt;=100000), " ",IF(INDEX($AO$2:$BQ$1001,MATCH(ROWS($AH$2:AH370),$AH$2:$AH$1001,0),MATCH(COLUMNS($AO$1006:AX1006),$AO$1006:$BQ$1006,0)), HYPERLINK("#",""), HYPERLINK(CONCATENATE("#Metadata!", ADDRESS(INDEX($AJ$2:$AJ$1001,MATCH(ROWS($AH$2:AH370),$AH$2:$AH$1001,0),0), INDEX($AO$1004:$BQ$1004,1,MATCH(COLUMNS($AO$1006:AX1006),$AO$1006:$BQ$1006,0)))),"Fix")))</f>
        <v>#N/A</v>
      </c>
      <c r="L370" s="5" t="e">
        <f ca="1">IF(OR(INDEX($AI$2:$AI$1001,MATCH(ROWS($AH$2:AH370),$AH$2:$AH$1001,0),1)&gt;=100000,INDEX($AO$1005:$BQ$1005,1,MATCH(COLUMNS($AO$1006:AY1006),$AO$1006:$BQ$1006,0))&gt;=100000), " ",IF(INDEX($AO$2:$BQ$1001,MATCH(ROWS($AH$2:AH370),$AH$2:$AH$1001,0),MATCH(COLUMNS($AO$1006:AY1006),$AO$1006:$BQ$1006,0)), HYPERLINK("#",""), HYPERLINK(CONCATENATE("#Metadata!", ADDRESS(INDEX($AJ$2:$AJ$1001,MATCH(ROWS($AH$2:AH370),$AH$2:$AH$1001,0),0), INDEX($AO$1004:$BQ$1004,1,MATCH(COLUMNS($AO$1006:AY1006),$AO$1006:$BQ$1006,0)))),"Fix")))</f>
        <v>#N/A</v>
      </c>
      <c r="M370" s="5" t="e">
        <f ca="1">IF(OR(INDEX($AI$2:$AI$1001,MATCH(ROWS($AH$2:AH370),$AH$2:$AH$1001,0),1)&gt;=100000,INDEX($AO$1005:$BQ$1005,1,MATCH(COLUMNS($AO$1006:AZ1006),$AO$1006:$BQ$1006,0))&gt;=100000), " ",IF(INDEX($AO$2:$BQ$1001,MATCH(ROWS($AH$2:AH370),$AH$2:$AH$1001,0),MATCH(COLUMNS($AO$1006:AZ1006),$AO$1006:$BQ$1006,0)), HYPERLINK("#",""), HYPERLINK(CONCATENATE("#Metadata!", ADDRESS(INDEX($AJ$2:$AJ$1001,MATCH(ROWS($AH$2:AH370),$AH$2:$AH$1001,0),0), INDEX($AO$1004:$BQ$1004,1,MATCH(COLUMNS($AO$1006:AZ1006),$AO$1006:$BQ$1006,0)))),"Fix")))</f>
        <v>#N/A</v>
      </c>
      <c r="N370" s="5" t="e">
        <f ca="1">IF(OR(INDEX($AI$2:$AI$1001,MATCH(ROWS($AH$2:AH370),$AH$2:$AH$1001,0),1)&gt;=100000,INDEX($AO$1005:$BQ$1005,1,MATCH(COLUMNS($AO$1006:BA1006),$AO$1006:$BQ$1006,0))&gt;=100000), " ",IF(INDEX($AO$2:$BQ$1001,MATCH(ROWS($AH$2:AH370),$AH$2:$AH$1001,0),MATCH(COLUMNS($AO$1006:BA1006),$AO$1006:$BQ$1006,0)), HYPERLINK("#",""), HYPERLINK(CONCATENATE("#Metadata!", ADDRESS(INDEX($AJ$2:$AJ$1001,MATCH(ROWS($AH$2:AH370),$AH$2:$AH$1001,0),0), INDEX($AO$1004:$BQ$1004,1,MATCH(COLUMNS($AO$1006:BA1006),$AO$1006:$BQ$1006,0)))),"Fix")))</f>
        <v>#N/A</v>
      </c>
      <c r="O370" s="5" t="e">
        <f ca="1">IF(OR(INDEX($AI$2:$AI$1001,MATCH(ROWS($AH$2:AH370),$AH$2:$AH$1001,0),1)&gt;=100000,INDEX($AO$1005:$BQ$1005,1,MATCH(COLUMNS($AO$1006:BB1006),$AO$1006:$BQ$1006,0))&gt;=100000), " ",IF(INDEX($AO$2:$BQ$1001,MATCH(ROWS($AH$2:AH370),$AH$2:$AH$1001,0),MATCH(COLUMNS($AO$1006:BB1006),$AO$1006:$BQ$1006,0)), HYPERLINK("#",""), HYPERLINK(CONCATENATE("#Metadata!", ADDRESS(INDEX($AJ$2:$AJ$1001,MATCH(ROWS($AH$2:AH370),$AH$2:$AH$1001,0),0), INDEX($AO$1004:$BQ$1004,1,MATCH(COLUMNS($AO$1006:BB1006),$AO$1006:$BQ$1006,0)))),"Fix")))</f>
        <v>#N/A</v>
      </c>
      <c r="P370" s="5" t="e">
        <f ca="1">IF(OR(INDEX($AI$2:$AI$1001,MATCH(ROWS($AH$2:AH370),$AH$2:$AH$1001,0),1)&gt;=100000,INDEX($AO$1005:$BQ$1005,1,MATCH(COLUMNS($AO$1006:BC1006),$AO$1006:$BQ$1006,0))&gt;=100000), " ",IF(INDEX($AO$2:$BQ$1001,MATCH(ROWS($AH$2:AH370),$AH$2:$AH$1001,0),MATCH(COLUMNS($AO$1006:BC1006),$AO$1006:$BQ$1006,0)), HYPERLINK("#",""), HYPERLINK(CONCATENATE("#Metadata!", ADDRESS(INDEX($AJ$2:$AJ$1001,MATCH(ROWS($AH$2:AH370),$AH$2:$AH$1001,0),0), INDEX($AO$1004:$BQ$1004,1,MATCH(COLUMNS($AO$1006:BC1006),$AO$1006:$BQ$1006,0)))),"Fix")))</f>
        <v>#N/A</v>
      </c>
      <c r="Q370" s="5" t="e">
        <f ca="1">IF(OR(INDEX($AI$2:$AI$1001,MATCH(ROWS($AH$2:AH370),$AH$2:$AH$1001,0),1)&gt;=100000,INDEX($AO$1005:$BQ$1005,1,MATCH(COLUMNS($AO$1006:BD1006),$AO$1006:$BQ$1006,0))&gt;=100000), " ",IF(INDEX($AO$2:$BQ$1001,MATCH(ROWS($AH$2:AH370),$AH$2:$AH$1001,0),MATCH(COLUMNS($AO$1006:BD1006),$AO$1006:$BQ$1006,0)), HYPERLINK("#",""), HYPERLINK(CONCATENATE("#Metadata!", ADDRESS(INDEX($AJ$2:$AJ$1001,MATCH(ROWS($AH$2:AH370),$AH$2:$AH$1001,0),0), INDEX($AO$1004:$BQ$1004,1,MATCH(COLUMNS($AO$1006:BD1006),$AO$1006:$BQ$1006,0)))),"Fix")))</f>
        <v>#N/A</v>
      </c>
      <c r="R370" s="5" t="e">
        <f ca="1">IF(OR(INDEX($AI$2:$AI$1001,MATCH(ROWS($AH$2:AH370),$AH$2:$AH$1001,0),1)&gt;=100000,INDEX($AO$1005:$BQ$1005,1,MATCH(COLUMNS($AO$1006:BE1006),$AO$1006:$BQ$1006,0))&gt;=100000), " ",IF(INDEX($AO$2:$BQ$1001,MATCH(ROWS($AH$2:AH370),$AH$2:$AH$1001,0),MATCH(COLUMNS($AO$1006:BE1006),$AO$1006:$BQ$1006,0)), HYPERLINK("#",""), HYPERLINK(CONCATENATE("#Metadata!", ADDRESS(INDEX($AJ$2:$AJ$1001,MATCH(ROWS($AH$2:AH370),$AH$2:$AH$1001,0),0), INDEX($AO$1004:$BQ$1004,1,MATCH(COLUMNS($AO$1006:BE1006),$AO$1006:$BQ$1006,0)))),"Fix")))</f>
        <v>#N/A</v>
      </c>
      <c r="S370" s="5" t="e">
        <f ca="1">IF(OR(INDEX($AI$2:$AI$1001,MATCH(ROWS($AH$2:AH370),$AH$2:$AH$1001,0),1)&gt;=100000,INDEX($AO$1005:$BQ$1005,1,MATCH(COLUMNS($AO$1006:BF1006),$AO$1006:$BQ$1006,0))&gt;=100000), " ",IF(INDEX($AO$2:$BQ$1001,MATCH(ROWS($AH$2:AH370),$AH$2:$AH$1001,0),MATCH(COLUMNS($AO$1006:BF1006),$AO$1006:$BQ$1006,0)), HYPERLINK("#",""), HYPERLINK(CONCATENATE("#Metadata!", ADDRESS(INDEX($AJ$2:$AJ$1001,MATCH(ROWS($AH$2:AH370),$AH$2:$AH$1001,0),0), INDEX($AO$1004:$BQ$1004,1,MATCH(COLUMNS($AO$1006:BF1006),$AO$1006:$BQ$1006,0)))),"Fix")))</f>
        <v>#N/A</v>
      </c>
      <c r="T370" s="5" t="e">
        <f ca="1">IF(OR(INDEX($AI$2:$AI$1001,MATCH(ROWS($AH$2:AH370),$AH$2:$AH$1001,0),1)&gt;=100000,INDEX($AO$1005:$BQ$1005,1,MATCH(COLUMNS($AO$1006:BG1006),$AO$1006:$BQ$1006,0))&gt;=100000), " ",IF(INDEX($AO$2:$BQ$1001,MATCH(ROWS($AH$2:AH370),$AH$2:$AH$1001,0),MATCH(COLUMNS($AO$1006:BG1006),$AO$1006:$BQ$1006,0)), HYPERLINK("#",""), HYPERLINK(CONCATENATE("#Metadata!", ADDRESS(INDEX($AJ$2:$AJ$1001,MATCH(ROWS($AH$2:AH370),$AH$2:$AH$1001,0),0), INDEX($AO$1004:$BQ$1004,1,MATCH(COLUMNS($AO$1006:BG1006),$AO$1006:$BQ$1006,0)))),"Fix")))</f>
        <v>#N/A</v>
      </c>
      <c r="U370" s="5" t="e">
        <f ca="1">IF(OR(INDEX($AI$2:$AI$1001,MATCH(ROWS($AH$2:AH370),$AH$2:$AH$1001,0),1)&gt;=100000,INDEX($AO$1005:$BQ$1005,1,MATCH(COLUMNS($AO$1006:BH1006),$AO$1006:$BQ$1006,0))&gt;=100000), " ",IF(INDEX($AO$2:$BQ$1001,MATCH(ROWS($AH$2:AH370),$AH$2:$AH$1001,0),MATCH(COLUMNS($AO$1006:BH1006),$AO$1006:$BQ$1006,0)), HYPERLINK("#",""), HYPERLINK(CONCATENATE("#Metadata!", ADDRESS(INDEX($AJ$2:$AJ$1001,MATCH(ROWS($AH$2:AH370),$AH$2:$AH$1001,0),0), INDEX($AO$1004:$BQ$1004,1,MATCH(COLUMNS($AO$1006:BH1006),$AO$1006:$BQ$1006,0)))),"Fix")))</f>
        <v>#N/A</v>
      </c>
      <c r="V370" s="5" t="e">
        <f ca="1">IF(OR(INDEX($AI$2:$AI$1001,MATCH(ROWS($AH$2:AH370),$AH$2:$AH$1001,0),1)&gt;=100000,INDEX($AO$1005:$BQ$1005,1,MATCH(COLUMNS($AO$1006:BI1006),$AO$1006:$BQ$1006,0))&gt;=100000), " ",IF(INDEX($AO$2:$BQ$1001,MATCH(ROWS($AH$2:AH370),$AH$2:$AH$1001,0),MATCH(COLUMNS($AO$1006:BI1006),$AO$1006:$BQ$1006,0)), HYPERLINK("#",""), HYPERLINK(CONCATENATE("#Metadata!", ADDRESS(INDEX($AJ$2:$AJ$1001,MATCH(ROWS($AH$2:AH370),$AH$2:$AH$1001,0),0), INDEX($AO$1004:$BQ$1004,1,MATCH(COLUMNS($AO$1006:BI1006),$AO$1006:$BQ$1006,0)))),"Fix")))</f>
        <v>#N/A</v>
      </c>
      <c r="W370" s="5" t="e">
        <f ca="1">IF(OR(INDEX($AI$2:$AI$1001,MATCH(ROWS($AH$2:AH370),$AH$2:$AH$1001,0),1)&gt;=100000,INDEX($AO$1005:$BQ$1005,1,MATCH(COLUMNS($AO$1006:BJ1006),$AO$1006:$BQ$1006,0))&gt;=100000), " ",IF(INDEX($AO$2:$BQ$1001,MATCH(ROWS($AH$2:AH370),$AH$2:$AH$1001,0),MATCH(COLUMNS($AO$1006:BJ1006),$AO$1006:$BQ$1006,0)), HYPERLINK("#",""), HYPERLINK(CONCATENATE("#Metadata!", ADDRESS(INDEX($AJ$2:$AJ$1001,MATCH(ROWS($AH$2:AH370),$AH$2:$AH$1001,0),0), INDEX($AO$1004:$BQ$1004,1,MATCH(COLUMNS($AO$1006:BJ1006),$AO$1006:$BQ$1006,0)))),"Fix")))</f>
        <v>#N/A</v>
      </c>
      <c r="X370" s="5" t="e">
        <f ca="1">IF(OR(INDEX($AI$2:$AI$1001,MATCH(ROWS($AH$2:AH370),$AH$2:$AH$1001,0),1)&gt;=100000,INDEX($AO$1005:$BQ$1005,1,MATCH(COLUMNS($AO$1006:BK1006),$AO$1006:$BQ$1006,0))&gt;=100000), " ",IF(INDEX($AO$2:$BQ$1001,MATCH(ROWS($AH$2:AH370),$AH$2:$AH$1001,0),MATCH(COLUMNS($AO$1006:BK1006),$AO$1006:$BQ$1006,0)), HYPERLINK("#",""), HYPERLINK(CONCATENATE("#Metadata!", ADDRESS(INDEX($AJ$2:$AJ$1001,MATCH(ROWS($AH$2:AH370),$AH$2:$AH$1001,0),0), INDEX($AO$1004:$BQ$1004,1,MATCH(COLUMNS($AO$1006:BK1006),$AO$1006:$BQ$1006,0)))),"Fix")))</f>
        <v>#N/A</v>
      </c>
      <c r="Y370" s="5" t="e">
        <f ca="1">IF(OR(INDEX($AI$2:$AI$1001,MATCH(ROWS($AH$2:AH370),$AH$2:$AH$1001,0),1)&gt;=100000,INDEX($AO$1005:$BQ$1005,1,MATCH(COLUMNS($AO$1006:BL1006),$AO$1006:$BQ$1006,0))&gt;=100000), " ",IF(INDEX($AO$2:$BQ$1001,MATCH(ROWS($AH$2:AH370),$AH$2:$AH$1001,0),MATCH(COLUMNS($AO$1006:BL1006),$AO$1006:$BQ$1006,0)), HYPERLINK("#",""), HYPERLINK(CONCATENATE("#Metadata!", ADDRESS(INDEX($AJ$2:$AJ$1001,MATCH(ROWS($AH$2:AH370),$AH$2:$AH$1001,0),0), INDEX($AO$1004:$BQ$1004,1,MATCH(COLUMNS($AO$1006:BL1006),$AO$1006:$BQ$1006,0)))),"Fix")))</f>
        <v>#N/A</v>
      </c>
      <c r="Z370" s="5" t="e">
        <f ca="1">IF(OR(INDEX($AI$2:$AI$1001,MATCH(ROWS($AH$2:AH370),$AH$2:$AH$1001,0),1)&gt;=100000,INDEX($AO$1005:$BQ$1005,1,MATCH(COLUMNS($AO$1006:BM1006),$AO$1006:$BQ$1006,0))&gt;=100000), " ",IF(INDEX($AO$2:$BQ$1001,MATCH(ROWS($AH$2:AH370),$AH$2:$AH$1001,0),MATCH(COLUMNS($AO$1006:BM1006),$AO$1006:$BQ$1006,0)), HYPERLINK("#",""), HYPERLINK(CONCATENATE("#Metadata!", ADDRESS(INDEX($AJ$2:$AJ$1001,MATCH(ROWS($AH$2:AH370),$AH$2:$AH$1001,0),0), INDEX($AO$1004:$BQ$1004,1,MATCH(COLUMNS($AO$1006:BM1006),$AO$1006:$BQ$1006,0)))),"Fix")))</f>
        <v>#N/A</v>
      </c>
      <c r="AA370" s="5" t="e">
        <f ca="1">IF(OR(INDEX($AI$2:$AI$1001,MATCH(ROWS($AH$2:AH370),$AH$2:$AH$1001,0),1)&gt;=100000,INDEX($AO$1005:$BQ$1005,1,MATCH(COLUMNS($AO$1006:BN1006),$AO$1006:$BQ$1006,0))&gt;=100000), " ",IF(INDEX($AO$2:$BQ$1001,MATCH(ROWS($AH$2:AH370),$AH$2:$AH$1001,0),MATCH(COLUMNS($AO$1006:BN1006),$AO$1006:$BQ$1006,0)), HYPERLINK("#",""), HYPERLINK(CONCATENATE("#Metadata!", ADDRESS(INDEX($AJ$2:$AJ$1001,MATCH(ROWS($AH$2:AH370),$AH$2:$AH$1001,0),0), INDEX($AO$1004:$BQ$1004,1,MATCH(COLUMNS($AO$1006:BN1006),$AO$1006:$BQ$1006,0)))),"Fix")))</f>
        <v>#N/A</v>
      </c>
      <c r="AB370" s="5" t="e">
        <f ca="1">IF(OR(INDEX($AI$2:$AI$1001,MATCH(ROWS($AH$2:AH370),$AH$2:$AH$1001,0),1)&gt;=100000,INDEX($AO$1005:$BQ$1005,1,MATCH(COLUMNS($AO$1006:BO1006),$AO$1006:$BQ$1006,0))&gt;=100000), " ",IF(INDEX($AO$2:$BQ$1001,MATCH(ROWS($AH$2:AH370),$AH$2:$AH$1001,0),MATCH(COLUMNS($AO$1006:BO1006),$AO$1006:$BQ$1006,0)), HYPERLINK("#",""), HYPERLINK(CONCATENATE("#Metadata!", ADDRESS(INDEX($AJ$2:$AJ$1001,MATCH(ROWS($AH$2:AH370),$AH$2:$AH$1001,0),0), INDEX($AO$1004:$BQ$1004,1,MATCH(COLUMNS($AO$1006:BO1006),$AO$1006:$BQ$1006,0)))),"Fix")))</f>
        <v>#N/A</v>
      </c>
      <c r="AC370" s="5" t="e">
        <f ca="1">IF(OR(INDEX($AI$2:$AI$1001,MATCH(ROWS($AH$2:AH370),$AH$2:$AH$1001,0),1)&gt;=100000,INDEX($AO$1005:$BQ$1005,1,MATCH(COLUMNS($AO$1006:BP1006),$AO$1006:$BQ$1006,0))&gt;=100000), " ",IF(INDEX($AO$2:$BQ$1001,MATCH(ROWS($AH$2:AH370),$AH$2:$AH$1001,0),MATCH(COLUMNS($AO$1006:BP1006),$AO$1006:$BQ$1006,0)), HYPERLINK("#",""), HYPERLINK(CONCATENATE("#Metadata!", ADDRESS(INDEX($AJ$2:$AJ$1001,MATCH(ROWS($AH$2:AH370),$AH$2:$AH$1001,0),0), INDEX($AO$1004:$BQ$1004,1,MATCH(COLUMNS($AO$1006:BP1006),$AO$1006:$BQ$1006,0)))),"Fix")))</f>
        <v>#N/A</v>
      </c>
      <c r="AD370" s="5" t="e">
        <f ca="1">IF(OR(INDEX($AI$2:$AI$1001,MATCH(ROWS($AH$2:AH370),$AH$2:$AH$1001,0),1)&gt;=100000,INDEX($AO$1005:$BQ$1005,1,MATCH(COLUMNS($AO$1006:BQ1006),$AO$1006:$BQ$1006,0))&gt;=100000), " ",IF(INDEX($AO$2:$BQ$1001,MATCH(ROWS($AH$2:AH370),$AH$2:$AH$1001,0),MATCH(COLUMNS($AO$1006:BQ1006),$AO$1006:$BQ$1006,0)), HYPERLINK("#",""), HYPERLINK(CONCATENATE("#Metadata!", ADDRESS(INDEX($AJ$2:$AJ$1001,MATCH(ROWS($AH$2:AH370),$AH$2:$AH$1001,0),0), INDEX($AO$1004:$BQ$1004,1,MATCH(COLUMNS($AO$1006:BQ1006),$AO$1006:$BQ$1006,0)))),"Fix")))</f>
        <v>#REF!</v>
      </c>
      <c r="AH370">
        <f ca="1"/>
        <v>367</v>
      </c>
      <c r="AI370">
        <v>100370</v>
      </c>
      <c r="AJ370">
        <v>370</v>
      </c>
      <c r="AK370" t="b">
        <f t="shared" si="5"/>
        <v>1</v>
      </c>
      <c r="AL370" t="b">
        <f>COUNTBLANK(Metadata!B370:AD370)=COLUMNS(Metadata!B370:AD370)</f>
        <v>1</v>
      </c>
      <c r="AM370" t="str">
        <v/>
      </c>
      <c r="AO370" t="b">
        <f ca="1">AND(IF(Metadata!B370="",FALSE,TRUE),COUNTIF(Metadata!B:B, Metadata!B370) = 1,NOT(ISERROR(SUMPRODUCT(SEARCH(MID(Metadata!B370,ROW(INDIRECT("1:"&amp;LEN(Metadata!B370))), 1),"0123456789abcdefghijklmnopqrstuvwxyzABCDEFGHIJKLMNOPQRSTUVWXYZ.")))))</f>
        <v>0</v>
      </c>
      <c r="AP370" t="b">
        <f>IF(Metadata!C370="",FALSE,TRUE)</f>
        <v>0</v>
      </c>
      <c r="AQ370" t="b">
        <f>IF(Metadata!D370="",FALSE,TRUE)</f>
        <v>0</v>
      </c>
      <c r="AR370" t="b">
        <f ca="1">OR(AND(IF(Metadata!E370="",FALSE,TRUE),OR(EXACT(Metadata!E370,"not collected"),EXACT(Metadata!E370,"not provided"),EXACT(Metadata!E370,"restricted access"))),AND(IF(Metadata!E370="",FALSE,TRUE),AND(AND(IFERROR(INT(LEFT(Metadata!E370,4))&gt;1900,FALSE),IFERROR(INT(LEFT(Metadata!E370,4))&lt;=YEAR(NOW()),FALSE)), OR(MID(Metadata!E370,5,1)="", AND(AND(MID(Metadata!E370,5,1)="-",IFERROR(INT(MID(Metadata!E370,6,1))&gt;=0,FALSE),IFERROR(INT(MID(Metadata!E370,6,1))&lt;=1,FALSE),NOT(MID(Metadata!E370,7,1)=""),IFERROR(INT(MID(Metadata!E370,6,2))&gt;=1,FALSE),IFERROR(INT(MID(Metadata!E370,6,2))&lt;=12,FALSE)), OR(MID(Metadata!E370,8,1)="", AND(AND(MID(Metadata!E370,8,1)="-",IFERROR(INT(MID(Metadata!E370,9,1))&gt;=0,FALSE),IFERROR(INT(MID(Metadata!E370,9,1))&lt;=3,FALSE),NOT(MID(Metadata!E370,10,1)=""),IFERROR(INT(MID(Metadata!E370,9,2))&gt;=1,FALSE),IFERROR(INT(MID(Metadata!E370,9,2))&lt;=31,FALSE)), OR(MID(Metadata!E370,11,1)="", AND(AND(MID(Metadata!E370,11,1)=" ",IFERROR(INT(MID(Metadata!E370,12,1))&gt;=0,FALSE),IFERROR(INT(MID(Metadata!E370,12,1))&lt;=2,FALSE),NOT(MID(Metadata!E370,13,1)=""),IFERROR(INT(MID(Metadata!E370,12,2))&gt;=0,FALSE),IFERROR(INT(MID(Metadata!E370,12,2))&lt;=23,FALSE)), OR(MID(Metadata!E370,14,1)="", AND(AND(MID(Metadata!E370,14,1)=":",IFERROR(INT(MID(Metadata!E370,15,1))&gt;=0,FALSE),IFERROR(INT(MID(Metadata!E370,15,1))&lt;=5,FALSE),NOT(MID(Metadata!E370,16,1)=""),IFERROR(INT(MID(Metadata!E370,15,2))&gt;=0,FALSE),IFERROR(INT(MID(Metadata!E370,15,2))&lt;=59,FALSE)), OR(MID(Metadata!E370,17,1)="", AND(AND(MID(Metadata!E370,17,1)=":",IFERROR(INT(MID(Metadata!E370,18,1))&gt;=0,FALSE),IFERROR(INT(MID(Metadata!E370,18,1))&lt;=5,FALSE),NOT(MID(Metadata!E370,19,1)=""),IFERROR(INT(MID(Metadata!E370,18,2))&gt;=0,FALSE),IFERROR(INT(MID(Metadata!E370,18,2))&lt;=59,FALSE)), LEN(Metadata!E370)&lt;=19)))))))))))))</f>
        <v>0</v>
      </c>
      <c r="AS370" t="b">
        <f>IF(Metadata!F370="",FALSE,TRUE)</f>
        <v>0</v>
      </c>
      <c r="AT370" t="b">
        <f>OR(AND(IF(Metadata!G370="",FALSE,TRUE),OR(EXACT(Metadata!G370,"not collected"),EXACT(Metadata!G370,"not provided"))),AND(IF(Metadata!G370="",FALSE,TRUE),OR(EXACT(Metadata!G370,"TRUE"),EXACT(Metadata!G370,"FALSE"))))</f>
        <v>0</v>
      </c>
      <c r="AU370" t="b">
        <f>OR(AND(IF(Metadata!H370="",FALSE,TRUE),OR(EXACT(Metadata!H370,"not collected"),EXACT(Metadata!H370,"not provided"),EXACT(Metadata!H370,"restricted access"))),AND(IF(Metadata!H370="",FALSE,ISNUMBER(VALUE(Metadata!H370))),Metadata!H370&gt;=-413))</f>
        <v>0</v>
      </c>
      <c r="AV370" t="b">
        <f>AND(IF(Metadata!I370="",FALSE,TRUE),EXACT(Metadata!I370,"meters"))</f>
        <v>0</v>
      </c>
      <c r="AW370" t="b">
        <f>AND(IF(Metadata!J370="",FALSE,TRUE),EXACT(Metadata!J370,"free-living"))</f>
        <v>0</v>
      </c>
      <c r="AX370" t="b">
        <f>AND(IF(Metadata!K370="",FALSE,TRUE),OR(EXACT(Metadata!K370,"saline"),EXACT(Metadata!K370,"non-saline")))</f>
        <v>0</v>
      </c>
      <c r="AY370" t="b">
        <f>AND(IF(Metadata!L370="",FALSE,TRUE),OR(EXACT(Metadata!L370,"sub-surface (non-saline)"),EXACT(Metadata!L370,"surface (non-saline)"),EXACT(Metadata!L370,"water (non-saline)"),EXACT(Metadata!L370,"soil (non-saline)"),EXACT(Metadata!L370,"aerosol (non-saline)"),EXACT(Metadata!L370,"sediment (non-saline)"),EXACT(Metadata!L370,"surface (saline)"),EXACT(Metadata!L370,"water (saline)"),EXACT(Metadata!L370,"hypersaline (saline)"),EXACT(Metadata!L370,"aerosol (saline)"),EXACT(Metadata!L370,"sediment (saline)")))</f>
        <v>0</v>
      </c>
      <c r="AZ370" t="b">
        <f>IF(Metadata!M370="",FALSE,TRUE)</f>
        <v>0</v>
      </c>
      <c r="BA370" t="b">
        <f>IF(Metadata!N370="",FALSE,TRUE)</f>
        <v>0</v>
      </c>
      <c r="BB370" t="b">
        <f>IF(Metadata!O370="",FALSE,TRUE)</f>
        <v>0</v>
      </c>
      <c r="BC370" t="b">
        <f>AND(IF(Metadata!P370="",FALSE,TRUE),OR(EXACT(Metadata!P370,"air"),EXACT(Metadata!P370,"microbial mat/biofilm"),EXACT(Metadata!P370,"misc environment"),EXACT(Metadata!P370,"sediment"),EXACT(Metadata!P370,"soil"),EXACT(Metadata!P370,"wastewater/sludge"),EXACT(Metadata!P370,"water")))</f>
        <v>0</v>
      </c>
      <c r="BD370" t="b">
        <f>IF(Metadata!Q370="",FALSE,TRUE)</f>
        <v>0</v>
      </c>
      <c r="BE370" t="b">
        <f>IF(Metadata!R370="",FALSE,TRUE)</f>
        <v>0</v>
      </c>
      <c r="BF370" t="b">
        <f>OR(AND(IF(Metadata!S370="",FALSE,TRUE),OR(EXACT(Metadata!S370,"not collected"),EXACT(Metadata!S370,"not provided"),EXACT(Metadata!S370,"restricted access"))),AND(IF(Metadata!S370="",FALSE,ISNUMBER(VALUE(Metadata!S370))),Metadata!S370&gt;=-90,Metadata!S370&lt;=90))</f>
        <v>0</v>
      </c>
      <c r="BG370" t="b">
        <f>AND(IF(Metadata!T370="",FALSE,TRUE),EXACT(Metadata!T370,"Decimal degrees"))</f>
        <v>0</v>
      </c>
      <c r="BH370" t="b">
        <f>OR(AND(IF(Metadata!U370="",FALSE,TRUE),OR(EXACT(Metadata!U370,"not applicable"),EXACT(Metadata!U370,"not collected"))),IF(Metadata!U370="",FALSE,TRUE))</f>
        <v>0</v>
      </c>
      <c r="BI370" t="b">
        <f>OR(AND(IF(Metadata!V370="",FALSE,TRUE),OR(EXACT(Metadata!V370,"not collected"),EXACT(Metadata!V370,"not provided"),EXACT(Metadata!V370,"restricted access"))),AND(IF(Metadata!V370="",FALSE,ISNUMBER(VALUE(Metadata!V370))),Metadata!V370&gt;=-180,Metadata!V370&lt;=180))</f>
        <v>0</v>
      </c>
      <c r="BJ370" t="b">
        <f>AND(IF(Metadata!W370="",FALSE,TRUE),EXACT(Metadata!W370,"Decimal degrees"))</f>
        <v>0</v>
      </c>
      <c r="BK370" t="b">
        <f>IF(Metadata!X370="",FALSE,TRUE)</f>
        <v>0</v>
      </c>
      <c r="BL370" t="b">
        <f>OR(AND(IF(Metadata!Y370="",FALSE,TRUE),OR(EXACT(Metadata!Y370,"not collected"),EXACT(Metadata!Y370,"not provided"),EXACT(Metadata!Y370,"restricted access"))),AND(IF(Metadata!Y370="",FALSE,TRUE),OR(EXACT(Metadata!Y370,"TRUE"),EXACT(Metadata!Y370,"FALSE"))))</f>
        <v>0</v>
      </c>
      <c r="BM370" t="b">
        <f>OR(AND(IF(Metadata!Z370="",FALSE,TRUE),EXACT(Metadata!Z370,"not applicable")),AND(IF(Metadata!Z370="",FALSE,TRUE),OR(EXACT(Metadata!Z370,"beer"),EXACT(Metadata!Z370,"cheese"),EXACT(Metadata!Z370,"fresh water"),EXACT(Metadata!Z370,"marine sediment"),EXACT(Metadata!Z370,"sea water"),EXACT(Metadata!Z370,"sediment"),EXACT(Metadata!Z370,"soil"),EXACT(Metadata!Z370,"waste water"))))</f>
        <v>0</v>
      </c>
      <c r="BN370" t="b">
        <f>AND(IF(Metadata!AA370="",FALSE,TRUE),EXACT(Metadata!AA370,"metagenome"))</f>
        <v>0</v>
      </c>
      <c r="BO370" t="b">
        <f>AND(IF(Metadata!AB370="",FALSE,TRUE),EXACT(Metadata!AB370,"256318"))</f>
        <v>0</v>
      </c>
      <c r="BP370" t="b">
        <f>IF(Metadata!AC370="",FALSE,TRUE)</f>
        <v>0</v>
      </c>
      <c r="BQ370" t="b">
        <f>IF(Metadata!AD370="",FALSE,TRUE)</f>
        <v>0</v>
      </c>
    </row>
    <row r="371" spans="1:69" x14ac:dyDescent="0.2">
      <c r="A371" s="4" t="e">
        <f ca="1">IF(B371=" "," ",HYPERLINK(CONCATENATE("#metadata!",ADDRESS(INDEX($AJ$2:$AJ$1001,MATCH(ROWS($AH$2:AH371),$AH$2:$AH$1001,0),0),2)),INDEX($AM$2:$AM$1001,MATCH(ROWS($AH$2:AH371),$AH$2:$AH$1001,0),0)))</f>
        <v>#N/A</v>
      </c>
      <c r="B371" s="5" t="e">
        <f ca="1">IF(OR(INDEX($AI$2:$AI$1001,MATCH(ROWS($AH$2:AH371),$AH$2:$AH$1001,0),1)&gt;=100000,INDEX($AO$1005:$BQ$1005,1,MATCH(COLUMNS($AO$1006:AO1006),$AO$1006:$BQ$1006,0))&gt;=100000), " ",IF(INDEX($AO$2:$BQ$1001,MATCH(ROWS($AH$2:AH371),$AH$2:$AH$1001,0),MATCH(COLUMNS($AO$1006:AO1006),$AO$1006:$BQ$1006,0)), HYPERLINK("#",""), HYPERLINK(CONCATENATE("#Metadata!", ADDRESS(INDEX($AJ$2:$AJ$1001,MATCH(ROWS($AH$2:AH371),$AH$2:$AH$1001,0),0), INDEX($AO$1004:$BQ$1004,1,MATCH(COLUMNS($AO$1006:AO1006),$AO$1006:$BQ$1006,0)))),"Fix")))</f>
        <v>#N/A</v>
      </c>
      <c r="C371" s="5" t="e">
        <f ca="1">IF(OR(INDEX($AI$2:$AI$1001,MATCH(ROWS($AH$2:AH371),$AH$2:$AH$1001,0),1)&gt;=100000,INDEX($AO$1005:$BQ$1005,1,MATCH(COLUMNS($AO$1006:AP1006),$AO$1006:$BQ$1006,0))&gt;=100000), " ",IF(INDEX($AO$2:$BQ$1001,MATCH(ROWS($AH$2:AH371),$AH$2:$AH$1001,0),MATCH(COLUMNS($AO$1006:AP1006),$AO$1006:$BQ$1006,0)), HYPERLINK("#",""), HYPERLINK(CONCATENATE("#Metadata!", ADDRESS(INDEX($AJ$2:$AJ$1001,MATCH(ROWS($AH$2:AH371),$AH$2:$AH$1001,0),0), INDEX($AO$1004:$BQ$1004,1,MATCH(COLUMNS($AO$1006:AP1006),$AO$1006:$BQ$1006,0)))),"Fix")))</f>
        <v>#N/A</v>
      </c>
      <c r="D371" s="5" t="e">
        <f ca="1">IF(OR(INDEX($AI$2:$AI$1001,MATCH(ROWS($AH$2:AH371),$AH$2:$AH$1001,0),1)&gt;=100000,INDEX($AO$1005:$BQ$1005,1,MATCH(COLUMNS($AO$1006:AQ1006),$AO$1006:$BQ$1006,0))&gt;=100000), " ",IF(INDEX($AO$2:$BQ$1001,MATCH(ROWS($AH$2:AH371),$AH$2:$AH$1001,0),MATCH(COLUMNS($AO$1006:AQ1006),$AO$1006:$BQ$1006,0)), HYPERLINK("#",""), HYPERLINK(CONCATENATE("#Metadata!", ADDRESS(INDEX($AJ$2:$AJ$1001,MATCH(ROWS($AH$2:AH371),$AH$2:$AH$1001,0),0), INDEX($AO$1004:$BQ$1004,1,MATCH(COLUMNS($AO$1006:AQ1006),$AO$1006:$BQ$1006,0)))),"Fix")))</f>
        <v>#N/A</v>
      </c>
      <c r="E371" s="5" t="e">
        <f ca="1">IF(OR(INDEX($AI$2:$AI$1001,MATCH(ROWS($AH$2:AH371),$AH$2:$AH$1001,0),1)&gt;=100000,INDEX($AO$1005:$BQ$1005,1,MATCH(COLUMNS($AO$1006:AR1006),$AO$1006:$BQ$1006,0))&gt;=100000), " ",IF(INDEX($AO$2:$BQ$1001,MATCH(ROWS($AH$2:AH371),$AH$2:$AH$1001,0),MATCH(COLUMNS($AO$1006:AR1006),$AO$1006:$BQ$1006,0)), HYPERLINK("#",""), HYPERLINK(CONCATENATE("#Metadata!", ADDRESS(INDEX($AJ$2:$AJ$1001,MATCH(ROWS($AH$2:AH371),$AH$2:$AH$1001,0),0), INDEX($AO$1004:$BQ$1004,1,MATCH(COLUMNS($AO$1006:AR1006),$AO$1006:$BQ$1006,0)))),"Fix")))</f>
        <v>#N/A</v>
      </c>
      <c r="F371" s="5" t="e">
        <f ca="1">IF(OR(INDEX($AI$2:$AI$1001,MATCH(ROWS($AH$2:AH371),$AH$2:$AH$1001,0),1)&gt;=100000,INDEX($AO$1005:$BQ$1005,1,MATCH(COLUMNS($AO$1006:AS1006),$AO$1006:$BQ$1006,0))&gt;=100000), " ",IF(INDEX($AO$2:$BQ$1001,MATCH(ROWS($AH$2:AH371),$AH$2:$AH$1001,0),MATCH(COLUMNS($AO$1006:AS1006),$AO$1006:$BQ$1006,0)), HYPERLINK("#",""), HYPERLINK(CONCATENATE("#Metadata!", ADDRESS(INDEX($AJ$2:$AJ$1001,MATCH(ROWS($AH$2:AH371),$AH$2:$AH$1001,0),0), INDEX($AO$1004:$BQ$1004,1,MATCH(COLUMNS($AO$1006:AS1006),$AO$1006:$BQ$1006,0)))),"Fix")))</f>
        <v>#N/A</v>
      </c>
      <c r="G371" s="5" t="e">
        <f ca="1">IF(OR(INDEX($AI$2:$AI$1001,MATCH(ROWS($AH$2:AH371),$AH$2:$AH$1001,0),1)&gt;=100000,INDEX($AO$1005:$BQ$1005,1,MATCH(COLUMNS($AO$1006:AT1006),$AO$1006:$BQ$1006,0))&gt;=100000), " ",IF(INDEX($AO$2:$BQ$1001,MATCH(ROWS($AH$2:AH371),$AH$2:$AH$1001,0),MATCH(COLUMNS($AO$1006:AT1006),$AO$1006:$BQ$1006,0)), HYPERLINK("#",""), HYPERLINK(CONCATENATE("#Metadata!", ADDRESS(INDEX($AJ$2:$AJ$1001,MATCH(ROWS($AH$2:AH371),$AH$2:$AH$1001,0),0), INDEX($AO$1004:$BQ$1004,1,MATCH(COLUMNS($AO$1006:AT1006),$AO$1006:$BQ$1006,0)))),"Fix")))</f>
        <v>#N/A</v>
      </c>
      <c r="H371" s="5" t="e">
        <f ca="1">IF(OR(INDEX($AI$2:$AI$1001,MATCH(ROWS($AH$2:AH371),$AH$2:$AH$1001,0),1)&gt;=100000,INDEX($AO$1005:$BQ$1005,1,MATCH(COLUMNS($AO$1006:AU1006),$AO$1006:$BQ$1006,0))&gt;=100000), " ",IF(INDEX($AO$2:$BQ$1001,MATCH(ROWS($AH$2:AH371),$AH$2:$AH$1001,0),MATCH(COLUMNS($AO$1006:AU1006),$AO$1006:$BQ$1006,0)), HYPERLINK("#",""), HYPERLINK(CONCATENATE("#Metadata!", ADDRESS(INDEX($AJ$2:$AJ$1001,MATCH(ROWS($AH$2:AH371),$AH$2:$AH$1001,0),0), INDEX($AO$1004:$BQ$1004,1,MATCH(COLUMNS($AO$1006:AU1006),$AO$1006:$BQ$1006,0)))),"Fix")))</f>
        <v>#N/A</v>
      </c>
      <c r="I371" s="5" t="e">
        <f ca="1">IF(OR(INDEX($AI$2:$AI$1001,MATCH(ROWS($AH$2:AH371),$AH$2:$AH$1001,0),1)&gt;=100000,INDEX($AO$1005:$BQ$1005,1,MATCH(COLUMNS($AO$1006:AV1006),$AO$1006:$BQ$1006,0))&gt;=100000), " ",IF(INDEX($AO$2:$BQ$1001,MATCH(ROWS($AH$2:AH371),$AH$2:$AH$1001,0),MATCH(COLUMNS($AO$1006:AV1006),$AO$1006:$BQ$1006,0)), HYPERLINK("#",""), HYPERLINK(CONCATENATE("#Metadata!", ADDRESS(INDEX($AJ$2:$AJ$1001,MATCH(ROWS($AH$2:AH371),$AH$2:$AH$1001,0),0), INDEX($AO$1004:$BQ$1004,1,MATCH(COLUMNS($AO$1006:AV1006),$AO$1006:$BQ$1006,0)))),"Fix")))</f>
        <v>#N/A</v>
      </c>
      <c r="J371" s="5" t="e">
        <f ca="1">IF(OR(INDEX($AI$2:$AI$1001,MATCH(ROWS($AH$2:AH371),$AH$2:$AH$1001,0),1)&gt;=100000,INDEX($AO$1005:$BQ$1005,1,MATCH(COLUMNS($AO$1006:AW1006),$AO$1006:$BQ$1006,0))&gt;=100000), " ",IF(INDEX($AO$2:$BQ$1001,MATCH(ROWS($AH$2:AH371),$AH$2:$AH$1001,0),MATCH(COLUMNS($AO$1006:AW1006),$AO$1006:$BQ$1006,0)), HYPERLINK("#",""), HYPERLINK(CONCATENATE("#Metadata!", ADDRESS(INDEX($AJ$2:$AJ$1001,MATCH(ROWS($AH$2:AH371),$AH$2:$AH$1001,0),0), INDEX($AO$1004:$BQ$1004,1,MATCH(COLUMNS($AO$1006:AW1006),$AO$1006:$BQ$1006,0)))),"Fix")))</f>
        <v>#N/A</v>
      </c>
      <c r="K371" s="5" t="e">
        <f ca="1">IF(OR(INDEX($AI$2:$AI$1001,MATCH(ROWS($AH$2:AH371),$AH$2:$AH$1001,0),1)&gt;=100000,INDEX($AO$1005:$BQ$1005,1,MATCH(COLUMNS($AO$1006:AX1006),$AO$1006:$BQ$1006,0))&gt;=100000), " ",IF(INDEX($AO$2:$BQ$1001,MATCH(ROWS($AH$2:AH371),$AH$2:$AH$1001,0),MATCH(COLUMNS($AO$1006:AX1006),$AO$1006:$BQ$1006,0)), HYPERLINK("#",""), HYPERLINK(CONCATENATE("#Metadata!", ADDRESS(INDEX($AJ$2:$AJ$1001,MATCH(ROWS($AH$2:AH371),$AH$2:$AH$1001,0),0), INDEX($AO$1004:$BQ$1004,1,MATCH(COLUMNS($AO$1006:AX1006),$AO$1006:$BQ$1006,0)))),"Fix")))</f>
        <v>#N/A</v>
      </c>
      <c r="L371" s="5" t="e">
        <f ca="1">IF(OR(INDEX($AI$2:$AI$1001,MATCH(ROWS($AH$2:AH371),$AH$2:$AH$1001,0),1)&gt;=100000,INDEX($AO$1005:$BQ$1005,1,MATCH(COLUMNS($AO$1006:AY1006),$AO$1006:$BQ$1006,0))&gt;=100000), " ",IF(INDEX($AO$2:$BQ$1001,MATCH(ROWS($AH$2:AH371),$AH$2:$AH$1001,0),MATCH(COLUMNS($AO$1006:AY1006),$AO$1006:$BQ$1006,0)), HYPERLINK("#",""), HYPERLINK(CONCATENATE("#Metadata!", ADDRESS(INDEX($AJ$2:$AJ$1001,MATCH(ROWS($AH$2:AH371),$AH$2:$AH$1001,0),0), INDEX($AO$1004:$BQ$1004,1,MATCH(COLUMNS($AO$1006:AY1006),$AO$1006:$BQ$1006,0)))),"Fix")))</f>
        <v>#N/A</v>
      </c>
      <c r="M371" s="5" t="e">
        <f ca="1">IF(OR(INDEX($AI$2:$AI$1001,MATCH(ROWS($AH$2:AH371),$AH$2:$AH$1001,0),1)&gt;=100000,INDEX($AO$1005:$BQ$1005,1,MATCH(COLUMNS($AO$1006:AZ1006),$AO$1006:$BQ$1006,0))&gt;=100000), " ",IF(INDEX($AO$2:$BQ$1001,MATCH(ROWS($AH$2:AH371),$AH$2:$AH$1001,0),MATCH(COLUMNS($AO$1006:AZ1006),$AO$1006:$BQ$1006,0)), HYPERLINK("#",""), HYPERLINK(CONCATENATE("#Metadata!", ADDRESS(INDEX($AJ$2:$AJ$1001,MATCH(ROWS($AH$2:AH371),$AH$2:$AH$1001,0),0), INDEX($AO$1004:$BQ$1004,1,MATCH(COLUMNS($AO$1006:AZ1006),$AO$1006:$BQ$1006,0)))),"Fix")))</f>
        <v>#N/A</v>
      </c>
      <c r="N371" s="5" t="e">
        <f ca="1">IF(OR(INDEX($AI$2:$AI$1001,MATCH(ROWS($AH$2:AH371),$AH$2:$AH$1001,0),1)&gt;=100000,INDEX($AO$1005:$BQ$1005,1,MATCH(COLUMNS($AO$1006:BA1006),$AO$1006:$BQ$1006,0))&gt;=100000), " ",IF(INDEX($AO$2:$BQ$1001,MATCH(ROWS($AH$2:AH371),$AH$2:$AH$1001,0),MATCH(COLUMNS($AO$1006:BA1006),$AO$1006:$BQ$1006,0)), HYPERLINK("#",""), HYPERLINK(CONCATENATE("#Metadata!", ADDRESS(INDEX($AJ$2:$AJ$1001,MATCH(ROWS($AH$2:AH371),$AH$2:$AH$1001,0),0), INDEX($AO$1004:$BQ$1004,1,MATCH(COLUMNS($AO$1006:BA1006),$AO$1006:$BQ$1006,0)))),"Fix")))</f>
        <v>#N/A</v>
      </c>
      <c r="O371" s="5" t="e">
        <f ca="1">IF(OR(INDEX($AI$2:$AI$1001,MATCH(ROWS($AH$2:AH371),$AH$2:$AH$1001,0),1)&gt;=100000,INDEX($AO$1005:$BQ$1005,1,MATCH(COLUMNS($AO$1006:BB1006),$AO$1006:$BQ$1006,0))&gt;=100000), " ",IF(INDEX($AO$2:$BQ$1001,MATCH(ROWS($AH$2:AH371),$AH$2:$AH$1001,0),MATCH(COLUMNS($AO$1006:BB1006),$AO$1006:$BQ$1006,0)), HYPERLINK("#",""), HYPERLINK(CONCATENATE("#Metadata!", ADDRESS(INDEX($AJ$2:$AJ$1001,MATCH(ROWS($AH$2:AH371),$AH$2:$AH$1001,0),0), INDEX($AO$1004:$BQ$1004,1,MATCH(COLUMNS($AO$1006:BB1006),$AO$1006:$BQ$1006,0)))),"Fix")))</f>
        <v>#N/A</v>
      </c>
      <c r="P371" s="5" t="e">
        <f ca="1">IF(OR(INDEX($AI$2:$AI$1001,MATCH(ROWS($AH$2:AH371),$AH$2:$AH$1001,0),1)&gt;=100000,INDEX($AO$1005:$BQ$1005,1,MATCH(COLUMNS($AO$1006:BC1006),$AO$1006:$BQ$1006,0))&gt;=100000), " ",IF(INDEX($AO$2:$BQ$1001,MATCH(ROWS($AH$2:AH371),$AH$2:$AH$1001,0),MATCH(COLUMNS($AO$1006:BC1006),$AO$1006:$BQ$1006,0)), HYPERLINK("#",""), HYPERLINK(CONCATENATE("#Metadata!", ADDRESS(INDEX($AJ$2:$AJ$1001,MATCH(ROWS($AH$2:AH371),$AH$2:$AH$1001,0),0), INDEX($AO$1004:$BQ$1004,1,MATCH(COLUMNS($AO$1006:BC1006),$AO$1006:$BQ$1006,0)))),"Fix")))</f>
        <v>#N/A</v>
      </c>
      <c r="Q371" s="5" t="e">
        <f ca="1">IF(OR(INDEX($AI$2:$AI$1001,MATCH(ROWS($AH$2:AH371),$AH$2:$AH$1001,0),1)&gt;=100000,INDEX($AO$1005:$BQ$1005,1,MATCH(COLUMNS($AO$1006:BD1006),$AO$1006:$BQ$1006,0))&gt;=100000), " ",IF(INDEX($AO$2:$BQ$1001,MATCH(ROWS($AH$2:AH371),$AH$2:$AH$1001,0),MATCH(COLUMNS($AO$1006:BD1006),$AO$1006:$BQ$1006,0)), HYPERLINK("#",""), HYPERLINK(CONCATENATE("#Metadata!", ADDRESS(INDEX($AJ$2:$AJ$1001,MATCH(ROWS($AH$2:AH371),$AH$2:$AH$1001,0),0), INDEX($AO$1004:$BQ$1004,1,MATCH(COLUMNS($AO$1006:BD1006),$AO$1006:$BQ$1006,0)))),"Fix")))</f>
        <v>#N/A</v>
      </c>
      <c r="R371" s="5" t="e">
        <f ca="1">IF(OR(INDEX($AI$2:$AI$1001,MATCH(ROWS($AH$2:AH371),$AH$2:$AH$1001,0),1)&gt;=100000,INDEX($AO$1005:$BQ$1005,1,MATCH(COLUMNS($AO$1006:BE1006),$AO$1006:$BQ$1006,0))&gt;=100000), " ",IF(INDEX($AO$2:$BQ$1001,MATCH(ROWS($AH$2:AH371),$AH$2:$AH$1001,0),MATCH(COLUMNS($AO$1006:BE1006),$AO$1006:$BQ$1006,0)), HYPERLINK("#",""), HYPERLINK(CONCATENATE("#Metadata!", ADDRESS(INDEX($AJ$2:$AJ$1001,MATCH(ROWS($AH$2:AH371),$AH$2:$AH$1001,0),0), INDEX($AO$1004:$BQ$1004,1,MATCH(COLUMNS($AO$1006:BE1006),$AO$1006:$BQ$1006,0)))),"Fix")))</f>
        <v>#N/A</v>
      </c>
      <c r="S371" s="5" t="e">
        <f ca="1">IF(OR(INDEX($AI$2:$AI$1001,MATCH(ROWS($AH$2:AH371),$AH$2:$AH$1001,0),1)&gt;=100000,INDEX($AO$1005:$BQ$1005,1,MATCH(COLUMNS($AO$1006:BF1006),$AO$1006:$BQ$1006,0))&gt;=100000), " ",IF(INDEX($AO$2:$BQ$1001,MATCH(ROWS($AH$2:AH371),$AH$2:$AH$1001,0),MATCH(COLUMNS($AO$1006:BF1006),$AO$1006:$BQ$1006,0)), HYPERLINK("#",""), HYPERLINK(CONCATENATE("#Metadata!", ADDRESS(INDEX($AJ$2:$AJ$1001,MATCH(ROWS($AH$2:AH371),$AH$2:$AH$1001,0),0), INDEX($AO$1004:$BQ$1004,1,MATCH(COLUMNS($AO$1006:BF1006),$AO$1006:$BQ$1006,0)))),"Fix")))</f>
        <v>#N/A</v>
      </c>
      <c r="T371" s="5" t="e">
        <f ca="1">IF(OR(INDEX($AI$2:$AI$1001,MATCH(ROWS($AH$2:AH371),$AH$2:$AH$1001,0),1)&gt;=100000,INDEX($AO$1005:$BQ$1005,1,MATCH(COLUMNS($AO$1006:BG1006),$AO$1006:$BQ$1006,0))&gt;=100000), " ",IF(INDEX($AO$2:$BQ$1001,MATCH(ROWS($AH$2:AH371),$AH$2:$AH$1001,0),MATCH(COLUMNS($AO$1006:BG1006),$AO$1006:$BQ$1006,0)), HYPERLINK("#",""), HYPERLINK(CONCATENATE("#Metadata!", ADDRESS(INDEX($AJ$2:$AJ$1001,MATCH(ROWS($AH$2:AH371),$AH$2:$AH$1001,0),0), INDEX($AO$1004:$BQ$1004,1,MATCH(COLUMNS($AO$1006:BG1006),$AO$1006:$BQ$1006,0)))),"Fix")))</f>
        <v>#N/A</v>
      </c>
      <c r="U371" s="5" t="e">
        <f ca="1">IF(OR(INDEX($AI$2:$AI$1001,MATCH(ROWS($AH$2:AH371),$AH$2:$AH$1001,0),1)&gt;=100000,INDEX($AO$1005:$BQ$1005,1,MATCH(COLUMNS($AO$1006:BH1006),$AO$1006:$BQ$1006,0))&gt;=100000), " ",IF(INDEX($AO$2:$BQ$1001,MATCH(ROWS($AH$2:AH371),$AH$2:$AH$1001,0),MATCH(COLUMNS($AO$1006:BH1006),$AO$1006:$BQ$1006,0)), HYPERLINK("#",""), HYPERLINK(CONCATENATE("#Metadata!", ADDRESS(INDEX($AJ$2:$AJ$1001,MATCH(ROWS($AH$2:AH371),$AH$2:$AH$1001,0),0), INDEX($AO$1004:$BQ$1004,1,MATCH(COLUMNS($AO$1006:BH1006),$AO$1006:$BQ$1006,0)))),"Fix")))</f>
        <v>#N/A</v>
      </c>
      <c r="V371" s="5" t="e">
        <f ca="1">IF(OR(INDEX($AI$2:$AI$1001,MATCH(ROWS($AH$2:AH371),$AH$2:$AH$1001,0),1)&gt;=100000,INDEX($AO$1005:$BQ$1005,1,MATCH(COLUMNS($AO$1006:BI1006),$AO$1006:$BQ$1006,0))&gt;=100000), " ",IF(INDEX($AO$2:$BQ$1001,MATCH(ROWS($AH$2:AH371),$AH$2:$AH$1001,0),MATCH(COLUMNS($AO$1006:BI1006),$AO$1006:$BQ$1006,0)), HYPERLINK("#",""), HYPERLINK(CONCATENATE("#Metadata!", ADDRESS(INDEX($AJ$2:$AJ$1001,MATCH(ROWS($AH$2:AH371),$AH$2:$AH$1001,0),0), INDEX($AO$1004:$BQ$1004,1,MATCH(COLUMNS($AO$1006:BI1006),$AO$1006:$BQ$1006,0)))),"Fix")))</f>
        <v>#N/A</v>
      </c>
      <c r="W371" s="5" t="e">
        <f ca="1">IF(OR(INDEX($AI$2:$AI$1001,MATCH(ROWS($AH$2:AH371),$AH$2:$AH$1001,0),1)&gt;=100000,INDEX($AO$1005:$BQ$1005,1,MATCH(COLUMNS($AO$1006:BJ1006),$AO$1006:$BQ$1006,0))&gt;=100000), " ",IF(INDEX($AO$2:$BQ$1001,MATCH(ROWS($AH$2:AH371),$AH$2:$AH$1001,0),MATCH(COLUMNS($AO$1006:BJ1006),$AO$1006:$BQ$1006,0)), HYPERLINK("#",""), HYPERLINK(CONCATENATE("#Metadata!", ADDRESS(INDEX($AJ$2:$AJ$1001,MATCH(ROWS($AH$2:AH371),$AH$2:$AH$1001,0),0), INDEX($AO$1004:$BQ$1004,1,MATCH(COLUMNS($AO$1006:BJ1006),$AO$1006:$BQ$1006,0)))),"Fix")))</f>
        <v>#N/A</v>
      </c>
      <c r="X371" s="5" t="e">
        <f ca="1">IF(OR(INDEX($AI$2:$AI$1001,MATCH(ROWS($AH$2:AH371),$AH$2:$AH$1001,0),1)&gt;=100000,INDEX($AO$1005:$BQ$1005,1,MATCH(COLUMNS($AO$1006:BK1006),$AO$1006:$BQ$1006,0))&gt;=100000), " ",IF(INDEX($AO$2:$BQ$1001,MATCH(ROWS($AH$2:AH371),$AH$2:$AH$1001,0),MATCH(COLUMNS($AO$1006:BK1006),$AO$1006:$BQ$1006,0)), HYPERLINK("#",""), HYPERLINK(CONCATENATE("#Metadata!", ADDRESS(INDEX($AJ$2:$AJ$1001,MATCH(ROWS($AH$2:AH371),$AH$2:$AH$1001,0),0), INDEX($AO$1004:$BQ$1004,1,MATCH(COLUMNS($AO$1006:BK1006),$AO$1006:$BQ$1006,0)))),"Fix")))</f>
        <v>#N/A</v>
      </c>
      <c r="Y371" s="5" t="e">
        <f ca="1">IF(OR(INDEX($AI$2:$AI$1001,MATCH(ROWS($AH$2:AH371),$AH$2:$AH$1001,0),1)&gt;=100000,INDEX($AO$1005:$BQ$1005,1,MATCH(COLUMNS($AO$1006:BL1006),$AO$1006:$BQ$1006,0))&gt;=100000), " ",IF(INDEX($AO$2:$BQ$1001,MATCH(ROWS($AH$2:AH371),$AH$2:$AH$1001,0),MATCH(COLUMNS($AO$1006:BL1006),$AO$1006:$BQ$1006,0)), HYPERLINK("#",""), HYPERLINK(CONCATENATE("#Metadata!", ADDRESS(INDEX($AJ$2:$AJ$1001,MATCH(ROWS($AH$2:AH371),$AH$2:$AH$1001,0),0), INDEX($AO$1004:$BQ$1004,1,MATCH(COLUMNS($AO$1006:BL1006),$AO$1006:$BQ$1006,0)))),"Fix")))</f>
        <v>#N/A</v>
      </c>
      <c r="Z371" s="5" t="e">
        <f ca="1">IF(OR(INDEX($AI$2:$AI$1001,MATCH(ROWS($AH$2:AH371),$AH$2:$AH$1001,0),1)&gt;=100000,INDEX($AO$1005:$BQ$1005,1,MATCH(COLUMNS($AO$1006:BM1006),$AO$1006:$BQ$1006,0))&gt;=100000), " ",IF(INDEX($AO$2:$BQ$1001,MATCH(ROWS($AH$2:AH371),$AH$2:$AH$1001,0),MATCH(COLUMNS($AO$1006:BM1006),$AO$1006:$BQ$1006,0)), HYPERLINK("#",""), HYPERLINK(CONCATENATE("#Metadata!", ADDRESS(INDEX($AJ$2:$AJ$1001,MATCH(ROWS($AH$2:AH371),$AH$2:$AH$1001,0),0), INDEX($AO$1004:$BQ$1004,1,MATCH(COLUMNS($AO$1006:BM1006),$AO$1006:$BQ$1006,0)))),"Fix")))</f>
        <v>#N/A</v>
      </c>
      <c r="AA371" s="5" t="e">
        <f ca="1">IF(OR(INDEX($AI$2:$AI$1001,MATCH(ROWS($AH$2:AH371),$AH$2:$AH$1001,0),1)&gt;=100000,INDEX($AO$1005:$BQ$1005,1,MATCH(COLUMNS($AO$1006:BN1006),$AO$1006:$BQ$1006,0))&gt;=100000), " ",IF(INDEX($AO$2:$BQ$1001,MATCH(ROWS($AH$2:AH371),$AH$2:$AH$1001,0),MATCH(COLUMNS($AO$1006:BN1006),$AO$1006:$BQ$1006,0)), HYPERLINK("#",""), HYPERLINK(CONCATENATE("#Metadata!", ADDRESS(INDEX($AJ$2:$AJ$1001,MATCH(ROWS($AH$2:AH371),$AH$2:$AH$1001,0),0), INDEX($AO$1004:$BQ$1004,1,MATCH(COLUMNS($AO$1006:BN1006),$AO$1006:$BQ$1006,0)))),"Fix")))</f>
        <v>#N/A</v>
      </c>
      <c r="AB371" s="5" t="e">
        <f ca="1">IF(OR(INDEX($AI$2:$AI$1001,MATCH(ROWS($AH$2:AH371),$AH$2:$AH$1001,0),1)&gt;=100000,INDEX($AO$1005:$BQ$1005,1,MATCH(COLUMNS($AO$1006:BO1006),$AO$1006:$BQ$1006,0))&gt;=100000), " ",IF(INDEX($AO$2:$BQ$1001,MATCH(ROWS($AH$2:AH371),$AH$2:$AH$1001,0),MATCH(COLUMNS($AO$1006:BO1006),$AO$1006:$BQ$1006,0)), HYPERLINK("#",""), HYPERLINK(CONCATENATE("#Metadata!", ADDRESS(INDEX($AJ$2:$AJ$1001,MATCH(ROWS($AH$2:AH371),$AH$2:$AH$1001,0),0), INDEX($AO$1004:$BQ$1004,1,MATCH(COLUMNS($AO$1006:BO1006),$AO$1006:$BQ$1006,0)))),"Fix")))</f>
        <v>#N/A</v>
      </c>
      <c r="AC371" s="5" t="e">
        <f ca="1">IF(OR(INDEX($AI$2:$AI$1001,MATCH(ROWS($AH$2:AH371),$AH$2:$AH$1001,0),1)&gt;=100000,INDEX($AO$1005:$BQ$1005,1,MATCH(COLUMNS($AO$1006:BP1006),$AO$1006:$BQ$1006,0))&gt;=100000), " ",IF(INDEX($AO$2:$BQ$1001,MATCH(ROWS($AH$2:AH371),$AH$2:$AH$1001,0),MATCH(COLUMNS($AO$1006:BP1006),$AO$1006:$BQ$1006,0)), HYPERLINK("#",""), HYPERLINK(CONCATENATE("#Metadata!", ADDRESS(INDEX($AJ$2:$AJ$1001,MATCH(ROWS($AH$2:AH371),$AH$2:$AH$1001,0),0), INDEX($AO$1004:$BQ$1004,1,MATCH(COLUMNS($AO$1006:BP1006),$AO$1006:$BQ$1006,0)))),"Fix")))</f>
        <v>#N/A</v>
      </c>
      <c r="AD371" s="5" t="e">
        <f ca="1">IF(OR(INDEX($AI$2:$AI$1001,MATCH(ROWS($AH$2:AH371),$AH$2:$AH$1001,0),1)&gt;=100000,INDEX($AO$1005:$BQ$1005,1,MATCH(COLUMNS($AO$1006:BQ1006),$AO$1006:$BQ$1006,0))&gt;=100000), " ",IF(INDEX($AO$2:$BQ$1001,MATCH(ROWS($AH$2:AH371),$AH$2:$AH$1001,0),MATCH(COLUMNS($AO$1006:BQ1006),$AO$1006:$BQ$1006,0)), HYPERLINK("#",""), HYPERLINK(CONCATENATE("#Metadata!", ADDRESS(INDEX($AJ$2:$AJ$1001,MATCH(ROWS($AH$2:AH371),$AH$2:$AH$1001,0),0), INDEX($AO$1004:$BQ$1004,1,MATCH(COLUMNS($AO$1006:BQ1006),$AO$1006:$BQ$1006,0)))),"Fix")))</f>
        <v>#REF!</v>
      </c>
      <c r="AH371">
        <f ca="1"/>
        <v>368</v>
      </c>
      <c r="AI371">
        <v>100371</v>
      </c>
      <c r="AJ371">
        <v>371</v>
      </c>
      <c r="AK371" t="b">
        <f t="shared" si="5"/>
        <v>1</v>
      </c>
      <c r="AL371" t="b">
        <f>COUNTBLANK(Metadata!B371:AD371)=COLUMNS(Metadata!B371:AD371)</f>
        <v>1</v>
      </c>
      <c r="AM371" t="str">
        <v/>
      </c>
      <c r="AO371" t="b">
        <f ca="1">AND(IF(Metadata!B371="",FALSE,TRUE),COUNTIF(Metadata!B:B, Metadata!B371) = 1,NOT(ISERROR(SUMPRODUCT(SEARCH(MID(Metadata!B371,ROW(INDIRECT("1:"&amp;LEN(Metadata!B371))), 1),"0123456789abcdefghijklmnopqrstuvwxyzABCDEFGHIJKLMNOPQRSTUVWXYZ.")))))</f>
        <v>0</v>
      </c>
      <c r="AP371" t="b">
        <f>IF(Metadata!C371="",FALSE,TRUE)</f>
        <v>0</v>
      </c>
      <c r="AQ371" t="b">
        <f>IF(Metadata!D371="",FALSE,TRUE)</f>
        <v>0</v>
      </c>
      <c r="AR371" t="b">
        <f ca="1">OR(AND(IF(Metadata!E371="",FALSE,TRUE),OR(EXACT(Metadata!E371,"not collected"),EXACT(Metadata!E371,"not provided"),EXACT(Metadata!E371,"restricted access"))),AND(IF(Metadata!E371="",FALSE,TRUE),AND(AND(IFERROR(INT(LEFT(Metadata!E371,4))&gt;1900,FALSE),IFERROR(INT(LEFT(Metadata!E371,4))&lt;=YEAR(NOW()),FALSE)), OR(MID(Metadata!E371,5,1)="", AND(AND(MID(Metadata!E371,5,1)="-",IFERROR(INT(MID(Metadata!E371,6,1))&gt;=0,FALSE),IFERROR(INT(MID(Metadata!E371,6,1))&lt;=1,FALSE),NOT(MID(Metadata!E371,7,1)=""),IFERROR(INT(MID(Metadata!E371,6,2))&gt;=1,FALSE),IFERROR(INT(MID(Metadata!E371,6,2))&lt;=12,FALSE)), OR(MID(Metadata!E371,8,1)="", AND(AND(MID(Metadata!E371,8,1)="-",IFERROR(INT(MID(Metadata!E371,9,1))&gt;=0,FALSE),IFERROR(INT(MID(Metadata!E371,9,1))&lt;=3,FALSE),NOT(MID(Metadata!E371,10,1)=""),IFERROR(INT(MID(Metadata!E371,9,2))&gt;=1,FALSE),IFERROR(INT(MID(Metadata!E371,9,2))&lt;=31,FALSE)), OR(MID(Metadata!E371,11,1)="", AND(AND(MID(Metadata!E371,11,1)=" ",IFERROR(INT(MID(Metadata!E371,12,1))&gt;=0,FALSE),IFERROR(INT(MID(Metadata!E371,12,1))&lt;=2,FALSE),NOT(MID(Metadata!E371,13,1)=""),IFERROR(INT(MID(Metadata!E371,12,2))&gt;=0,FALSE),IFERROR(INT(MID(Metadata!E371,12,2))&lt;=23,FALSE)), OR(MID(Metadata!E371,14,1)="", AND(AND(MID(Metadata!E371,14,1)=":",IFERROR(INT(MID(Metadata!E371,15,1))&gt;=0,FALSE),IFERROR(INT(MID(Metadata!E371,15,1))&lt;=5,FALSE),NOT(MID(Metadata!E371,16,1)=""),IFERROR(INT(MID(Metadata!E371,15,2))&gt;=0,FALSE),IFERROR(INT(MID(Metadata!E371,15,2))&lt;=59,FALSE)), OR(MID(Metadata!E371,17,1)="", AND(AND(MID(Metadata!E371,17,1)=":",IFERROR(INT(MID(Metadata!E371,18,1))&gt;=0,FALSE),IFERROR(INT(MID(Metadata!E371,18,1))&lt;=5,FALSE),NOT(MID(Metadata!E371,19,1)=""),IFERROR(INT(MID(Metadata!E371,18,2))&gt;=0,FALSE),IFERROR(INT(MID(Metadata!E371,18,2))&lt;=59,FALSE)), LEN(Metadata!E371)&lt;=19)))))))))))))</f>
        <v>0</v>
      </c>
      <c r="AS371" t="b">
        <f>IF(Metadata!F371="",FALSE,TRUE)</f>
        <v>0</v>
      </c>
      <c r="AT371" t="b">
        <f>OR(AND(IF(Metadata!G371="",FALSE,TRUE),OR(EXACT(Metadata!G371,"not collected"),EXACT(Metadata!G371,"not provided"))),AND(IF(Metadata!G371="",FALSE,TRUE),OR(EXACT(Metadata!G371,"TRUE"),EXACT(Metadata!G371,"FALSE"))))</f>
        <v>0</v>
      </c>
      <c r="AU371" t="b">
        <f>OR(AND(IF(Metadata!H371="",FALSE,TRUE),OR(EXACT(Metadata!H371,"not collected"),EXACT(Metadata!H371,"not provided"),EXACT(Metadata!H371,"restricted access"))),AND(IF(Metadata!H371="",FALSE,ISNUMBER(VALUE(Metadata!H371))),Metadata!H371&gt;=-413))</f>
        <v>0</v>
      </c>
      <c r="AV371" t="b">
        <f>AND(IF(Metadata!I371="",FALSE,TRUE),EXACT(Metadata!I371,"meters"))</f>
        <v>0</v>
      </c>
      <c r="AW371" t="b">
        <f>AND(IF(Metadata!J371="",FALSE,TRUE),EXACT(Metadata!J371,"free-living"))</f>
        <v>0</v>
      </c>
      <c r="AX371" t="b">
        <f>AND(IF(Metadata!K371="",FALSE,TRUE),OR(EXACT(Metadata!K371,"saline"),EXACT(Metadata!K371,"non-saline")))</f>
        <v>0</v>
      </c>
      <c r="AY371" t="b">
        <f>AND(IF(Metadata!L371="",FALSE,TRUE),OR(EXACT(Metadata!L371,"sub-surface (non-saline)"),EXACT(Metadata!L371,"surface (non-saline)"),EXACT(Metadata!L371,"water (non-saline)"),EXACT(Metadata!L371,"soil (non-saline)"),EXACT(Metadata!L371,"aerosol (non-saline)"),EXACT(Metadata!L371,"sediment (non-saline)"),EXACT(Metadata!L371,"surface (saline)"),EXACT(Metadata!L371,"water (saline)"),EXACT(Metadata!L371,"hypersaline (saline)"),EXACT(Metadata!L371,"aerosol (saline)"),EXACT(Metadata!L371,"sediment (saline)")))</f>
        <v>0</v>
      </c>
      <c r="AZ371" t="b">
        <f>IF(Metadata!M371="",FALSE,TRUE)</f>
        <v>0</v>
      </c>
      <c r="BA371" t="b">
        <f>IF(Metadata!N371="",FALSE,TRUE)</f>
        <v>0</v>
      </c>
      <c r="BB371" t="b">
        <f>IF(Metadata!O371="",FALSE,TRUE)</f>
        <v>0</v>
      </c>
      <c r="BC371" t="b">
        <f>AND(IF(Metadata!P371="",FALSE,TRUE),OR(EXACT(Metadata!P371,"air"),EXACT(Metadata!P371,"microbial mat/biofilm"),EXACT(Metadata!P371,"misc environment"),EXACT(Metadata!P371,"sediment"),EXACT(Metadata!P371,"soil"),EXACT(Metadata!P371,"wastewater/sludge"),EXACT(Metadata!P371,"water")))</f>
        <v>0</v>
      </c>
      <c r="BD371" t="b">
        <f>IF(Metadata!Q371="",FALSE,TRUE)</f>
        <v>0</v>
      </c>
      <c r="BE371" t="b">
        <f>IF(Metadata!R371="",FALSE,TRUE)</f>
        <v>0</v>
      </c>
      <c r="BF371" t="b">
        <f>OR(AND(IF(Metadata!S371="",FALSE,TRUE),OR(EXACT(Metadata!S371,"not collected"),EXACT(Metadata!S371,"not provided"),EXACT(Metadata!S371,"restricted access"))),AND(IF(Metadata!S371="",FALSE,ISNUMBER(VALUE(Metadata!S371))),Metadata!S371&gt;=-90,Metadata!S371&lt;=90))</f>
        <v>0</v>
      </c>
      <c r="BG371" t="b">
        <f>AND(IF(Metadata!T371="",FALSE,TRUE),EXACT(Metadata!T371,"Decimal degrees"))</f>
        <v>0</v>
      </c>
      <c r="BH371" t="b">
        <f>OR(AND(IF(Metadata!U371="",FALSE,TRUE),OR(EXACT(Metadata!U371,"not applicable"),EXACT(Metadata!U371,"not collected"))),IF(Metadata!U371="",FALSE,TRUE))</f>
        <v>0</v>
      </c>
      <c r="BI371" t="b">
        <f>OR(AND(IF(Metadata!V371="",FALSE,TRUE),OR(EXACT(Metadata!V371,"not collected"),EXACT(Metadata!V371,"not provided"),EXACT(Metadata!V371,"restricted access"))),AND(IF(Metadata!V371="",FALSE,ISNUMBER(VALUE(Metadata!V371))),Metadata!V371&gt;=-180,Metadata!V371&lt;=180))</f>
        <v>0</v>
      </c>
      <c r="BJ371" t="b">
        <f>AND(IF(Metadata!W371="",FALSE,TRUE),EXACT(Metadata!W371,"Decimal degrees"))</f>
        <v>0</v>
      </c>
      <c r="BK371" t="b">
        <f>IF(Metadata!X371="",FALSE,TRUE)</f>
        <v>0</v>
      </c>
      <c r="BL371" t="b">
        <f>OR(AND(IF(Metadata!Y371="",FALSE,TRUE),OR(EXACT(Metadata!Y371,"not collected"),EXACT(Metadata!Y371,"not provided"),EXACT(Metadata!Y371,"restricted access"))),AND(IF(Metadata!Y371="",FALSE,TRUE),OR(EXACT(Metadata!Y371,"TRUE"),EXACT(Metadata!Y371,"FALSE"))))</f>
        <v>0</v>
      </c>
      <c r="BM371" t="b">
        <f>OR(AND(IF(Metadata!Z371="",FALSE,TRUE),EXACT(Metadata!Z371,"not applicable")),AND(IF(Metadata!Z371="",FALSE,TRUE),OR(EXACT(Metadata!Z371,"beer"),EXACT(Metadata!Z371,"cheese"),EXACT(Metadata!Z371,"fresh water"),EXACT(Metadata!Z371,"marine sediment"),EXACT(Metadata!Z371,"sea water"),EXACT(Metadata!Z371,"sediment"),EXACT(Metadata!Z371,"soil"),EXACT(Metadata!Z371,"waste water"))))</f>
        <v>0</v>
      </c>
      <c r="BN371" t="b">
        <f>AND(IF(Metadata!AA371="",FALSE,TRUE),EXACT(Metadata!AA371,"metagenome"))</f>
        <v>0</v>
      </c>
      <c r="BO371" t="b">
        <f>AND(IF(Metadata!AB371="",FALSE,TRUE),EXACT(Metadata!AB371,"256318"))</f>
        <v>0</v>
      </c>
      <c r="BP371" t="b">
        <f>IF(Metadata!AC371="",FALSE,TRUE)</f>
        <v>0</v>
      </c>
      <c r="BQ371" t="b">
        <f>IF(Metadata!AD371="",FALSE,TRUE)</f>
        <v>0</v>
      </c>
    </row>
    <row r="372" spans="1:69" x14ac:dyDescent="0.2">
      <c r="A372" s="4" t="e">
        <f ca="1">IF(B372=" "," ",HYPERLINK(CONCATENATE("#metadata!",ADDRESS(INDEX($AJ$2:$AJ$1001,MATCH(ROWS($AH$2:AH372),$AH$2:$AH$1001,0),0),2)),INDEX($AM$2:$AM$1001,MATCH(ROWS($AH$2:AH372),$AH$2:$AH$1001,0),0)))</f>
        <v>#N/A</v>
      </c>
      <c r="B372" s="5" t="e">
        <f ca="1">IF(OR(INDEX($AI$2:$AI$1001,MATCH(ROWS($AH$2:AH372),$AH$2:$AH$1001,0),1)&gt;=100000,INDEX($AO$1005:$BQ$1005,1,MATCH(COLUMNS($AO$1006:AO1006),$AO$1006:$BQ$1006,0))&gt;=100000), " ",IF(INDEX($AO$2:$BQ$1001,MATCH(ROWS($AH$2:AH372),$AH$2:$AH$1001,0),MATCH(COLUMNS($AO$1006:AO1006),$AO$1006:$BQ$1006,0)), HYPERLINK("#",""), HYPERLINK(CONCATENATE("#Metadata!", ADDRESS(INDEX($AJ$2:$AJ$1001,MATCH(ROWS($AH$2:AH372),$AH$2:$AH$1001,0),0), INDEX($AO$1004:$BQ$1004,1,MATCH(COLUMNS($AO$1006:AO1006),$AO$1006:$BQ$1006,0)))),"Fix")))</f>
        <v>#N/A</v>
      </c>
      <c r="C372" s="5" t="e">
        <f ca="1">IF(OR(INDEX($AI$2:$AI$1001,MATCH(ROWS($AH$2:AH372),$AH$2:$AH$1001,0),1)&gt;=100000,INDEX($AO$1005:$BQ$1005,1,MATCH(COLUMNS($AO$1006:AP1006),$AO$1006:$BQ$1006,0))&gt;=100000), " ",IF(INDEX($AO$2:$BQ$1001,MATCH(ROWS($AH$2:AH372),$AH$2:$AH$1001,0),MATCH(COLUMNS($AO$1006:AP1006),$AO$1006:$BQ$1006,0)), HYPERLINK("#",""), HYPERLINK(CONCATENATE("#Metadata!", ADDRESS(INDEX($AJ$2:$AJ$1001,MATCH(ROWS($AH$2:AH372),$AH$2:$AH$1001,0),0), INDEX($AO$1004:$BQ$1004,1,MATCH(COLUMNS($AO$1006:AP1006),$AO$1006:$BQ$1006,0)))),"Fix")))</f>
        <v>#N/A</v>
      </c>
      <c r="D372" s="5" t="e">
        <f ca="1">IF(OR(INDEX($AI$2:$AI$1001,MATCH(ROWS($AH$2:AH372),$AH$2:$AH$1001,0),1)&gt;=100000,INDEX($AO$1005:$BQ$1005,1,MATCH(COLUMNS($AO$1006:AQ1006),$AO$1006:$BQ$1006,0))&gt;=100000), " ",IF(INDEX($AO$2:$BQ$1001,MATCH(ROWS($AH$2:AH372),$AH$2:$AH$1001,0),MATCH(COLUMNS($AO$1006:AQ1006),$AO$1006:$BQ$1006,0)), HYPERLINK("#",""), HYPERLINK(CONCATENATE("#Metadata!", ADDRESS(INDEX($AJ$2:$AJ$1001,MATCH(ROWS($AH$2:AH372),$AH$2:$AH$1001,0),0), INDEX($AO$1004:$BQ$1004,1,MATCH(COLUMNS($AO$1006:AQ1006),$AO$1006:$BQ$1006,0)))),"Fix")))</f>
        <v>#N/A</v>
      </c>
      <c r="E372" s="5" t="e">
        <f ca="1">IF(OR(INDEX($AI$2:$AI$1001,MATCH(ROWS($AH$2:AH372),$AH$2:$AH$1001,0),1)&gt;=100000,INDEX($AO$1005:$BQ$1005,1,MATCH(COLUMNS($AO$1006:AR1006),$AO$1006:$BQ$1006,0))&gt;=100000), " ",IF(INDEX($AO$2:$BQ$1001,MATCH(ROWS($AH$2:AH372),$AH$2:$AH$1001,0),MATCH(COLUMNS($AO$1006:AR1006),$AO$1006:$BQ$1006,0)), HYPERLINK("#",""), HYPERLINK(CONCATENATE("#Metadata!", ADDRESS(INDEX($AJ$2:$AJ$1001,MATCH(ROWS($AH$2:AH372),$AH$2:$AH$1001,0),0), INDEX($AO$1004:$BQ$1004,1,MATCH(COLUMNS($AO$1006:AR1006),$AO$1006:$BQ$1006,0)))),"Fix")))</f>
        <v>#N/A</v>
      </c>
      <c r="F372" s="5" t="e">
        <f ca="1">IF(OR(INDEX($AI$2:$AI$1001,MATCH(ROWS($AH$2:AH372),$AH$2:$AH$1001,0),1)&gt;=100000,INDEX($AO$1005:$BQ$1005,1,MATCH(COLUMNS($AO$1006:AS1006),$AO$1006:$BQ$1006,0))&gt;=100000), " ",IF(INDEX($AO$2:$BQ$1001,MATCH(ROWS($AH$2:AH372),$AH$2:$AH$1001,0),MATCH(COLUMNS($AO$1006:AS1006),$AO$1006:$BQ$1006,0)), HYPERLINK("#",""), HYPERLINK(CONCATENATE("#Metadata!", ADDRESS(INDEX($AJ$2:$AJ$1001,MATCH(ROWS($AH$2:AH372),$AH$2:$AH$1001,0),0), INDEX($AO$1004:$BQ$1004,1,MATCH(COLUMNS($AO$1006:AS1006),$AO$1006:$BQ$1006,0)))),"Fix")))</f>
        <v>#N/A</v>
      </c>
      <c r="G372" s="5" t="e">
        <f ca="1">IF(OR(INDEX($AI$2:$AI$1001,MATCH(ROWS($AH$2:AH372),$AH$2:$AH$1001,0),1)&gt;=100000,INDEX($AO$1005:$BQ$1005,1,MATCH(COLUMNS($AO$1006:AT1006),$AO$1006:$BQ$1006,0))&gt;=100000), " ",IF(INDEX($AO$2:$BQ$1001,MATCH(ROWS($AH$2:AH372),$AH$2:$AH$1001,0),MATCH(COLUMNS($AO$1006:AT1006),$AO$1006:$BQ$1006,0)), HYPERLINK("#",""), HYPERLINK(CONCATENATE("#Metadata!", ADDRESS(INDEX($AJ$2:$AJ$1001,MATCH(ROWS($AH$2:AH372),$AH$2:$AH$1001,0),0), INDEX($AO$1004:$BQ$1004,1,MATCH(COLUMNS($AO$1006:AT1006),$AO$1006:$BQ$1006,0)))),"Fix")))</f>
        <v>#N/A</v>
      </c>
      <c r="H372" s="5" t="e">
        <f ca="1">IF(OR(INDEX($AI$2:$AI$1001,MATCH(ROWS($AH$2:AH372),$AH$2:$AH$1001,0),1)&gt;=100000,INDEX($AO$1005:$BQ$1005,1,MATCH(COLUMNS($AO$1006:AU1006),$AO$1006:$BQ$1006,0))&gt;=100000), " ",IF(INDEX($AO$2:$BQ$1001,MATCH(ROWS($AH$2:AH372),$AH$2:$AH$1001,0),MATCH(COLUMNS($AO$1006:AU1006),$AO$1006:$BQ$1006,0)), HYPERLINK("#",""), HYPERLINK(CONCATENATE("#Metadata!", ADDRESS(INDEX($AJ$2:$AJ$1001,MATCH(ROWS($AH$2:AH372),$AH$2:$AH$1001,0),0), INDEX($AO$1004:$BQ$1004,1,MATCH(COLUMNS($AO$1006:AU1006),$AO$1006:$BQ$1006,0)))),"Fix")))</f>
        <v>#N/A</v>
      </c>
      <c r="I372" s="5" t="e">
        <f ca="1">IF(OR(INDEX($AI$2:$AI$1001,MATCH(ROWS($AH$2:AH372),$AH$2:$AH$1001,0),1)&gt;=100000,INDEX($AO$1005:$BQ$1005,1,MATCH(COLUMNS($AO$1006:AV1006),$AO$1006:$BQ$1006,0))&gt;=100000), " ",IF(INDEX($AO$2:$BQ$1001,MATCH(ROWS($AH$2:AH372),$AH$2:$AH$1001,0),MATCH(COLUMNS($AO$1006:AV1006),$AO$1006:$BQ$1006,0)), HYPERLINK("#",""), HYPERLINK(CONCATENATE("#Metadata!", ADDRESS(INDEX($AJ$2:$AJ$1001,MATCH(ROWS($AH$2:AH372),$AH$2:$AH$1001,0),0), INDEX($AO$1004:$BQ$1004,1,MATCH(COLUMNS($AO$1006:AV1006),$AO$1006:$BQ$1006,0)))),"Fix")))</f>
        <v>#N/A</v>
      </c>
      <c r="J372" s="5" t="e">
        <f ca="1">IF(OR(INDEX($AI$2:$AI$1001,MATCH(ROWS($AH$2:AH372),$AH$2:$AH$1001,0),1)&gt;=100000,INDEX($AO$1005:$BQ$1005,1,MATCH(COLUMNS($AO$1006:AW1006),$AO$1006:$BQ$1006,0))&gt;=100000), " ",IF(INDEX($AO$2:$BQ$1001,MATCH(ROWS($AH$2:AH372),$AH$2:$AH$1001,0),MATCH(COLUMNS($AO$1006:AW1006),$AO$1006:$BQ$1006,0)), HYPERLINK("#",""), HYPERLINK(CONCATENATE("#Metadata!", ADDRESS(INDEX($AJ$2:$AJ$1001,MATCH(ROWS($AH$2:AH372),$AH$2:$AH$1001,0),0), INDEX($AO$1004:$BQ$1004,1,MATCH(COLUMNS($AO$1006:AW1006),$AO$1006:$BQ$1006,0)))),"Fix")))</f>
        <v>#N/A</v>
      </c>
      <c r="K372" s="5" t="e">
        <f ca="1">IF(OR(INDEX($AI$2:$AI$1001,MATCH(ROWS($AH$2:AH372),$AH$2:$AH$1001,0),1)&gt;=100000,INDEX($AO$1005:$BQ$1005,1,MATCH(COLUMNS($AO$1006:AX1006),$AO$1006:$BQ$1006,0))&gt;=100000), " ",IF(INDEX($AO$2:$BQ$1001,MATCH(ROWS($AH$2:AH372),$AH$2:$AH$1001,0),MATCH(COLUMNS($AO$1006:AX1006),$AO$1006:$BQ$1006,0)), HYPERLINK("#",""), HYPERLINK(CONCATENATE("#Metadata!", ADDRESS(INDEX($AJ$2:$AJ$1001,MATCH(ROWS($AH$2:AH372),$AH$2:$AH$1001,0),0), INDEX($AO$1004:$BQ$1004,1,MATCH(COLUMNS($AO$1006:AX1006),$AO$1006:$BQ$1006,0)))),"Fix")))</f>
        <v>#N/A</v>
      </c>
      <c r="L372" s="5" t="e">
        <f ca="1">IF(OR(INDEX($AI$2:$AI$1001,MATCH(ROWS($AH$2:AH372),$AH$2:$AH$1001,0),1)&gt;=100000,INDEX($AO$1005:$BQ$1005,1,MATCH(COLUMNS($AO$1006:AY1006),$AO$1006:$BQ$1006,0))&gt;=100000), " ",IF(INDEX($AO$2:$BQ$1001,MATCH(ROWS($AH$2:AH372),$AH$2:$AH$1001,0),MATCH(COLUMNS($AO$1006:AY1006),$AO$1006:$BQ$1006,0)), HYPERLINK("#",""), HYPERLINK(CONCATENATE("#Metadata!", ADDRESS(INDEX($AJ$2:$AJ$1001,MATCH(ROWS($AH$2:AH372),$AH$2:$AH$1001,0),0), INDEX($AO$1004:$BQ$1004,1,MATCH(COLUMNS($AO$1006:AY1006),$AO$1006:$BQ$1006,0)))),"Fix")))</f>
        <v>#N/A</v>
      </c>
      <c r="M372" s="5" t="e">
        <f ca="1">IF(OR(INDEX($AI$2:$AI$1001,MATCH(ROWS($AH$2:AH372),$AH$2:$AH$1001,0),1)&gt;=100000,INDEX($AO$1005:$BQ$1005,1,MATCH(COLUMNS($AO$1006:AZ1006),$AO$1006:$BQ$1006,0))&gt;=100000), " ",IF(INDEX($AO$2:$BQ$1001,MATCH(ROWS($AH$2:AH372),$AH$2:$AH$1001,0),MATCH(COLUMNS($AO$1006:AZ1006),$AO$1006:$BQ$1006,0)), HYPERLINK("#",""), HYPERLINK(CONCATENATE("#Metadata!", ADDRESS(INDEX($AJ$2:$AJ$1001,MATCH(ROWS($AH$2:AH372),$AH$2:$AH$1001,0),0), INDEX($AO$1004:$BQ$1004,1,MATCH(COLUMNS($AO$1006:AZ1006),$AO$1006:$BQ$1006,0)))),"Fix")))</f>
        <v>#N/A</v>
      </c>
      <c r="N372" s="5" t="e">
        <f ca="1">IF(OR(INDEX($AI$2:$AI$1001,MATCH(ROWS($AH$2:AH372),$AH$2:$AH$1001,0),1)&gt;=100000,INDEX($AO$1005:$BQ$1005,1,MATCH(COLUMNS($AO$1006:BA1006),$AO$1006:$BQ$1006,0))&gt;=100000), " ",IF(INDEX($AO$2:$BQ$1001,MATCH(ROWS($AH$2:AH372),$AH$2:$AH$1001,0),MATCH(COLUMNS($AO$1006:BA1006),$AO$1006:$BQ$1006,0)), HYPERLINK("#",""), HYPERLINK(CONCATENATE("#Metadata!", ADDRESS(INDEX($AJ$2:$AJ$1001,MATCH(ROWS($AH$2:AH372),$AH$2:$AH$1001,0),0), INDEX($AO$1004:$BQ$1004,1,MATCH(COLUMNS($AO$1006:BA1006),$AO$1006:$BQ$1006,0)))),"Fix")))</f>
        <v>#N/A</v>
      </c>
      <c r="O372" s="5" t="e">
        <f ca="1">IF(OR(INDEX($AI$2:$AI$1001,MATCH(ROWS($AH$2:AH372),$AH$2:$AH$1001,0),1)&gt;=100000,INDEX($AO$1005:$BQ$1005,1,MATCH(COLUMNS($AO$1006:BB1006),$AO$1006:$BQ$1006,0))&gt;=100000), " ",IF(INDEX($AO$2:$BQ$1001,MATCH(ROWS($AH$2:AH372),$AH$2:$AH$1001,0),MATCH(COLUMNS($AO$1006:BB1006),$AO$1006:$BQ$1006,0)), HYPERLINK("#",""), HYPERLINK(CONCATENATE("#Metadata!", ADDRESS(INDEX($AJ$2:$AJ$1001,MATCH(ROWS($AH$2:AH372),$AH$2:$AH$1001,0),0), INDEX($AO$1004:$BQ$1004,1,MATCH(COLUMNS($AO$1006:BB1006),$AO$1006:$BQ$1006,0)))),"Fix")))</f>
        <v>#N/A</v>
      </c>
      <c r="P372" s="5" t="e">
        <f ca="1">IF(OR(INDEX($AI$2:$AI$1001,MATCH(ROWS($AH$2:AH372),$AH$2:$AH$1001,0),1)&gt;=100000,INDEX($AO$1005:$BQ$1005,1,MATCH(COLUMNS($AO$1006:BC1006),$AO$1006:$BQ$1006,0))&gt;=100000), " ",IF(INDEX($AO$2:$BQ$1001,MATCH(ROWS($AH$2:AH372),$AH$2:$AH$1001,0),MATCH(COLUMNS($AO$1006:BC1006),$AO$1006:$BQ$1006,0)), HYPERLINK("#",""), HYPERLINK(CONCATENATE("#Metadata!", ADDRESS(INDEX($AJ$2:$AJ$1001,MATCH(ROWS($AH$2:AH372),$AH$2:$AH$1001,0),0), INDEX($AO$1004:$BQ$1004,1,MATCH(COLUMNS($AO$1006:BC1006),$AO$1006:$BQ$1006,0)))),"Fix")))</f>
        <v>#N/A</v>
      </c>
      <c r="Q372" s="5" t="e">
        <f ca="1">IF(OR(INDEX($AI$2:$AI$1001,MATCH(ROWS($AH$2:AH372),$AH$2:$AH$1001,0),1)&gt;=100000,INDEX($AO$1005:$BQ$1005,1,MATCH(COLUMNS($AO$1006:BD1006),$AO$1006:$BQ$1006,0))&gt;=100000), " ",IF(INDEX($AO$2:$BQ$1001,MATCH(ROWS($AH$2:AH372),$AH$2:$AH$1001,0),MATCH(COLUMNS($AO$1006:BD1006),$AO$1006:$BQ$1006,0)), HYPERLINK("#",""), HYPERLINK(CONCATENATE("#Metadata!", ADDRESS(INDEX($AJ$2:$AJ$1001,MATCH(ROWS($AH$2:AH372),$AH$2:$AH$1001,0),0), INDEX($AO$1004:$BQ$1004,1,MATCH(COLUMNS($AO$1006:BD1006),$AO$1006:$BQ$1006,0)))),"Fix")))</f>
        <v>#N/A</v>
      </c>
      <c r="R372" s="5" t="e">
        <f ca="1">IF(OR(INDEX($AI$2:$AI$1001,MATCH(ROWS($AH$2:AH372),$AH$2:$AH$1001,0),1)&gt;=100000,INDEX($AO$1005:$BQ$1005,1,MATCH(COLUMNS($AO$1006:BE1006),$AO$1006:$BQ$1006,0))&gt;=100000), " ",IF(INDEX($AO$2:$BQ$1001,MATCH(ROWS($AH$2:AH372),$AH$2:$AH$1001,0),MATCH(COLUMNS($AO$1006:BE1006),$AO$1006:$BQ$1006,0)), HYPERLINK("#",""), HYPERLINK(CONCATENATE("#Metadata!", ADDRESS(INDEX($AJ$2:$AJ$1001,MATCH(ROWS($AH$2:AH372),$AH$2:$AH$1001,0),0), INDEX($AO$1004:$BQ$1004,1,MATCH(COLUMNS($AO$1006:BE1006),$AO$1006:$BQ$1006,0)))),"Fix")))</f>
        <v>#N/A</v>
      </c>
      <c r="S372" s="5" t="e">
        <f ca="1">IF(OR(INDEX($AI$2:$AI$1001,MATCH(ROWS($AH$2:AH372),$AH$2:$AH$1001,0),1)&gt;=100000,INDEX($AO$1005:$BQ$1005,1,MATCH(COLUMNS($AO$1006:BF1006),$AO$1006:$BQ$1006,0))&gt;=100000), " ",IF(INDEX($AO$2:$BQ$1001,MATCH(ROWS($AH$2:AH372),$AH$2:$AH$1001,0),MATCH(COLUMNS($AO$1006:BF1006),$AO$1006:$BQ$1006,0)), HYPERLINK("#",""), HYPERLINK(CONCATENATE("#Metadata!", ADDRESS(INDEX($AJ$2:$AJ$1001,MATCH(ROWS($AH$2:AH372),$AH$2:$AH$1001,0),0), INDEX($AO$1004:$BQ$1004,1,MATCH(COLUMNS($AO$1006:BF1006),$AO$1006:$BQ$1006,0)))),"Fix")))</f>
        <v>#N/A</v>
      </c>
      <c r="T372" s="5" t="e">
        <f ca="1">IF(OR(INDEX($AI$2:$AI$1001,MATCH(ROWS($AH$2:AH372),$AH$2:$AH$1001,0),1)&gt;=100000,INDEX($AO$1005:$BQ$1005,1,MATCH(COLUMNS($AO$1006:BG1006),$AO$1006:$BQ$1006,0))&gt;=100000), " ",IF(INDEX($AO$2:$BQ$1001,MATCH(ROWS($AH$2:AH372),$AH$2:$AH$1001,0),MATCH(COLUMNS($AO$1006:BG1006),$AO$1006:$BQ$1006,0)), HYPERLINK("#",""), HYPERLINK(CONCATENATE("#Metadata!", ADDRESS(INDEX($AJ$2:$AJ$1001,MATCH(ROWS($AH$2:AH372),$AH$2:$AH$1001,0),0), INDEX($AO$1004:$BQ$1004,1,MATCH(COLUMNS($AO$1006:BG1006),$AO$1006:$BQ$1006,0)))),"Fix")))</f>
        <v>#N/A</v>
      </c>
      <c r="U372" s="5" t="e">
        <f ca="1">IF(OR(INDEX($AI$2:$AI$1001,MATCH(ROWS($AH$2:AH372),$AH$2:$AH$1001,0),1)&gt;=100000,INDEX($AO$1005:$BQ$1005,1,MATCH(COLUMNS($AO$1006:BH1006),$AO$1006:$BQ$1006,0))&gt;=100000), " ",IF(INDEX($AO$2:$BQ$1001,MATCH(ROWS($AH$2:AH372),$AH$2:$AH$1001,0),MATCH(COLUMNS($AO$1006:BH1006),$AO$1006:$BQ$1006,0)), HYPERLINK("#",""), HYPERLINK(CONCATENATE("#Metadata!", ADDRESS(INDEX($AJ$2:$AJ$1001,MATCH(ROWS($AH$2:AH372),$AH$2:$AH$1001,0),0), INDEX($AO$1004:$BQ$1004,1,MATCH(COLUMNS($AO$1006:BH1006),$AO$1006:$BQ$1006,0)))),"Fix")))</f>
        <v>#N/A</v>
      </c>
      <c r="V372" s="5" t="e">
        <f ca="1">IF(OR(INDEX($AI$2:$AI$1001,MATCH(ROWS($AH$2:AH372),$AH$2:$AH$1001,0),1)&gt;=100000,INDEX($AO$1005:$BQ$1005,1,MATCH(COLUMNS($AO$1006:BI1006),$AO$1006:$BQ$1006,0))&gt;=100000), " ",IF(INDEX($AO$2:$BQ$1001,MATCH(ROWS($AH$2:AH372),$AH$2:$AH$1001,0),MATCH(COLUMNS($AO$1006:BI1006),$AO$1006:$BQ$1006,0)), HYPERLINK("#",""), HYPERLINK(CONCATENATE("#Metadata!", ADDRESS(INDEX($AJ$2:$AJ$1001,MATCH(ROWS($AH$2:AH372),$AH$2:$AH$1001,0),0), INDEX($AO$1004:$BQ$1004,1,MATCH(COLUMNS($AO$1006:BI1006),$AO$1006:$BQ$1006,0)))),"Fix")))</f>
        <v>#N/A</v>
      </c>
      <c r="W372" s="5" t="e">
        <f ca="1">IF(OR(INDEX($AI$2:$AI$1001,MATCH(ROWS($AH$2:AH372),$AH$2:$AH$1001,0),1)&gt;=100000,INDEX($AO$1005:$BQ$1005,1,MATCH(COLUMNS($AO$1006:BJ1006),$AO$1006:$BQ$1006,0))&gt;=100000), " ",IF(INDEX($AO$2:$BQ$1001,MATCH(ROWS($AH$2:AH372),$AH$2:$AH$1001,0),MATCH(COLUMNS($AO$1006:BJ1006),$AO$1006:$BQ$1006,0)), HYPERLINK("#",""), HYPERLINK(CONCATENATE("#Metadata!", ADDRESS(INDEX($AJ$2:$AJ$1001,MATCH(ROWS($AH$2:AH372),$AH$2:$AH$1001,0),0), INDEX($AO$1004:$BQ$1004,1,MATCH(COLUMNS($AO$1006:BJ1006),$AO$1006:$BQ$1006,0)))),"Fix")))</f>
        <v>#N/A</v>
      </c>
      <c r="X372" s="5" t="e">
        <f ca="1">IF(OR(INDEX($AI$2:$AI$1001,MATCH(ROWS($AH$2:AH372),$AH$2:$AH$1001,0),1)&gt;=100000,INDEX($AO$1005:$BQ$1005,1,MATCH(COLUMNS($AO$1006:BK1006),$AO$1006:$BQ$1006,0))&gt;=100000), " ",IF(INDEX($AO$2:$BQ$1001,MATCH(ROWS($AH$2:AH372),$AH$2:$AH$1001,0),MATCH(COLUMNS($AO$1006:BK1006),$AO$1006:$BQ$1006,0)), HYPERLINK("#",""), HYPERLINK(CONCATENATE("#Metadata!", ADDRESS(INDEX($AJ$2:$AJ$1001,MATCH(ROWS($AH$2:AH372),$AH$2:$AH$1001,0),0), INDEX($AO$1004:$BQ$1004,1,MATCH(COLUMNS($AO$1006:BK1006),$AO$1006:$BQ$1006,0)))),"Fix")))</f>
        <v>#N/A</v>
      </c>
      <c r="Y372" s="5" t="e">
        <f ca="1">IF(OR(INDEX($AI$2:$AI$1001,MATCH(ROWS($AH$2:AH372),$AH$2:$AH$1001,0),1)&gt;=100000,INDEX($AO$1005:$BQ$1005,1,MATCH(COLUMNS($AO$1006:BL1006),$AO$1006:$BQ$1006,0))&gt;=100000), " ",IF(INDEX($AO$2:$BQ$1001,MATCH(ROWS($AH$2:AH372),$AH$2:$AH$1001,0),MATCH(COLUMNS($AO$1006:BL1006),$AO$1006:$BQ$1006,0)), HYPERLINK("#",""), HYPERLINK(CONCATENATE("#Metadata!", ADDRESS(INDEX($AJ$2:$AJ$1001,MATCH(ROWS($AH$2:AH372),$AH$2:$AH$1001,0),0), INDEX($AO$1004:$BQ$1004,1,MATCH(COLUMNS($AO$1006:BL1006),$AO$1006:$BQ$1006,0)))),"Fix")))</f>
        <v>#N/A</v>
      </c>
      <c r="Z372" s="5" t="e">
        <f ca="1">IF(OR(INDEX($AI$2:$AI$1001,MATCH(ROWS($AH$2:AH372),$AH$2:$AH$1001,0),1)&gt;=100000,INDEX($AO$1005:$BQ$1005,1,MATCH(COLUMNS($AO$1006:BM1006),$AO$1006:$BQ$1006,0))&gt;=100000), " ",IF(INDEX($AO$2:$BQ$1001,MATCH(ROWS($AH$2:AH372),$AH$2:$AH$1001,0),MATCH(COLUMNS($AO$1006:BM1006),$AO$1006:$BQ$1006,0)), HYPERLINK("#",""), HYPERLINK(CONCATENATE("#Metadata!", ADDRESS(INDEX($AJ$2:$AJ$1001,MATCH(ROWS($AH$2:AH372),$AH$2:$AH$1001,0),0), INDEX($AO$1004:$BQ$1004,1,MATCH(COLUMNS($AO$1006:BM1006),$AO$1006:$BQ$1006,0)))),"Fix")))</f>
        <v>#N/A</v>
      </c>
      <c r="AA372" s="5" t="e">
        <f ca="1">IF(OR(INDEX($AI$2:$AI$1001,MATCH(ROWS($AH$2:AH372),$AH$2:$AH$1001,0),1)&gt;=100000,INDEX($AO$1005:$BQ$1005,1,MATCH(COLUMNS($AO$1006:BN1006),$AO$1006:$BQ$1006,0))&gt;=100000), " ",IF(INDEX($AO$2:$BQ$1001,MATCH(ROWS($AH$2:AH372),$AH$2:$AH$1001,0),MATCH(COLUMNS($AO$1006:BN1006),$AO$1006:$BQ$1006,0)), HYPERLINK("#",""), HYPERLINK(CONCATENATE("#Metadata!", ADDRESS(INDEX($AJ$2:$AJ$1001,MATCH(ROWS($AH$2:AH372),$AH$2:$AH$1001,0),0), INDEX($AO$1004:$BQ$1004,1,MATCH(COLUMNS($AO$1006:BN1006),$AO$1006:$BQ$1006,0)))),"Fix")))</f>
        <v>#N/A</v>
      </c>
      <c r="AB372" s="5" t="e">
        <f ca="1">IF(OR(INDEX($AI$2:$AI$1001,MATCH(ROWS($AH$2:AH372),$AH$2:$AH$1001,0),1)&gt;=100000,INDEX($AO$1005:$BQ$1005,1,MATCH(COLUMNS($AO$1006:BO1006),$AO$1006:$BQ$1006,0))&gt;=100000), " ",IF(INDEX($AO$2:$BQ$1001,MATCH(ROWS($AH$2:AH372),$AH$2:$AH$1001,0),MATCH(COLUMNS($AO$1006:BO1006),$AO$1006:$BQ$1006,0)), HYPERLINK("#",""), HYPERLINK(CONCATENATE("#Metadata!", ADDRESS(INDEX($AJ$2:$AJ$1001,MATCH(ROWS($AH$2:AH372),$AH$2:$AH$1001,0),0), INDEX($AO$1004:$BQ$1004,1,MATCH(COLUMNS($AO$1006:BO1006),$AO$1006:$BQ$1006,0)))),"Fix")))</f>
        <v>#N/A</v>
      </c>
      <c r="AC372" s="5" t="e">
        <f ca="1">IF(OR(INDEX($AI$2:$AI$1001,MATCH(ROWS($AH$2:AH372),$AH$2:$AH$1001,0),1)&gt;=100000,INDEX($AO$1005:$BQ$1005,1,MATCH(COLUMNS($AO$1006:BP1006),$AO$1006:$BQ$1006,0))&gt;=100000), " ",IF(INDEX($AO$2:$BQ$1001,MATCH(ROWS($AH$2:AH372),$AH$2:$AH$1001,0),MATCH(COLUMNS($AO$1006:BP1006),$AO$1006:$BQ$1006,0)), HYPERLINK("#",""), HYPERLINK(CONCATENATE("#Metadata!", ADDRESS(INDEX($AJ$2:$AJ$1001,MATCH(ROWS($AH$2:AH372),$AH$2:$AH$1001,0),0), INDEX($AO$1004:$BQ$1004,1,MATCH(COLUMNS($AO$1006:BP1006),$AO$1006:$BQ$1006,0)))),"Fix")))</f>
        <v>#N/A</v>
      </c>
      <c r="AD372" s="5" t="e">
        <f ca="1">IF(OR(INDEX($AI$2:$AI$1001,MATCH(ROWS($AH$2:AH372),$AH$2:$AH$1001,0),1)&gt;=100000,INDEX($AO$1005:$BQ$1005,1,MATCH(COLUMNS($AO$1006:BQ1006),$AO$1006:$BQ$1006,0))&gt;=100000), " ",IF(INDEX($AO$2:$BQ$1001,MATCH(ROWS($AH$2:AH372),$AH$2:$AH$1001,0),MATCH(COLUMNS($AO$1006:BQ1006),$AO$1006:$BQ$1006,0)), HYPERLINK("#",""), HYPERLINK(CONCATENATE("#Metadata!", ADDRESS(INDEX($AJ$2:$AJ$1001,MATCH(ROWS($AH$2:AH372),$AH$2:$AH$1001,0),0), INDEX($AO$1004:$BQ$1004,1,MATCH(COLUMNS($AO$1006:BQ1006),$AO$1006:$BQ$1006,0)))),"Fix")))</f>
        <v>#REF!</v>
      </c>
      <c r="AH372">
        <f ca="1"/>
        <v>369</v>
      </c>
      <c r="AI372">
        <v>100372</v>
      </c>
      <c r="AJ372">
        <v>372</v>
      </c>
      <c r="AK372" t="b">
        <f t="shared" si="5"/>
        <v>1</v>
      </c>
      <c r="AL372" t="b">
        <f>COUNTBLANK(Metadata!B372:AD372)=COLUMNS(Metadata!B372:AD372)</f>
        <v>1</v>
      </c>
      <c r="AM372" t="str">
        <v/>
      </c>
      <c r="AO372" t="b">
        <f ca="1">AND(IF(Metadata!B372="",FALSE,TRUE),COUNTIF(Metadata!B:B, Metadata!B372) = 1,NOT(ISERROR(SUMPRODUCT(SEARCH(MID(Metadata!B372,ROW(INDIRECT("1:"&amp;LEN(Metadata!B372))), 1),"0123456789abcdefghijklmnopqrstuvwxyzABCDEFGHIJKLMNOPQRSTUVWXYZ.")))))</f>
        <v>0</v>
      </c>
      <c r="AP372" t="b">
        <f>IF(Metadata!C372="",FALSE,TRUE)</f>
        <v>0</v>
      </c>
      <c r="AQ372" t="b">
        <f>IF(Metadata!D372="",FALSE,TRUE)</f>
        <v>0</v>
      </c>
      <c r="AR372" t="b">
        <f ca="1">OR(AND(IF(Metadata!E372="",FALSE,TRUE),OR(EXACT(Metadata!E372,"not collected"),EXACT(Metadata!E372,"not provided"),EXACT(Metadata!E372,"restricted access"))),AND(IF(Metadata!E372="",FALSE,TRUE),AND(AND(IFERROR(INT(LEFT(Metadata!E372,4))&gt;1900,FALSE),IFERROR(INT(LEFT(Metadata!E372,4))&lt;=YEAR(NOW()),FALSE)), OR(MID(Metadata!E372,5,1)="", AND(AND(MID(Metadata!E372,5,1)="-",IFERROR(INT(MID(Metadata!E372,6,1))&gt;=0,FALSE),IFERROR(INT(MID(Metadata!E372,6,1))&lt;=1,FALSE),NOT(MID(Metadata!E372,7,1)=""),IFERROR(INT(MID(Metadata!E372,6,2))&gt;=1,FALSE),IFERROR(INT(MID(Metadata!E372,6,2))&lt;=12,FALSE)), OR(MID(Metadata!E372,8,1)="", AND(AND(MID(Metadata!E372,8,1)="-",IFERROR(INT(MID(Metadata!E372,9,1))&gt;=0,FALSE),IFERROR(INT(MID(Metadata!E372,9,1))&lt;=3,FALSE),NOT(MID(Metadata!E372,10,1)=""),IFERROR(INT(MID(Metadata!E372,9,2))&gt;=1,FALSE),IFERROR(INT(MID(Metadata!E372,9,2))&lt;=31,FALSE)), OR(MID(Metadata!E372,11,1)="", AND(AND(MID(Metadata!E372,11,1)=" ",IFERROR(INT(MID(Metadata!E372,12,1))&gt;=0,FALSE),IFERROR(INT(MID(Metadata!E372,12,1))&lt;=2,FALSE),NOT(MID(Metadata!E372,13,1)=""),IFERROR(INT(MID(Metadata!E372,12,2))&gt;=0,FALSE),IFERROR(INT(MID(Metadata!E372,12,2))&lt;=23,FALSE)), OR(MID(Metadata!E372,14,1)="", AND(AND(MID(Metadata!E372,14,1)=":",IFERROR(INT(MID(Metadata!E372,15,1))&gt;=0,FALSE),IFERROR(INT(MID(Metadata!E372,15,1))&lt;=5,FALSE),NOT(MID(Metadata!E372,16,1)=""),IFERROR(INT(MID(Metadata!E372,15,2))&gt;=0,FALSE),IFERROR(INT(MID(Metadata!E372,15,2))&lt;=59,FALSE)), OR(MID(Metadata!E372,17,1)="", AND(AND(MID(Metadata!E372,17,1)=":",IFERROR(INT(MID(Metadata!E372,18,1))&gt;=0,FALSE),IFERROR(INT(MID(Metadata!E372,18,1))&lt;=5,FALSE),NOT(MID(Metadata!E372,19,1)=""),IFERROR(INT(MID(Metadata!E372,18,2))&gt;=0,FALSE),IFERROR(INT(MID(Metadata!E372,18,2))&lt;=59,FALSE)), LEN(Metadata!E372)&lt;=19)))))))))))))</f>
        <v>0</v>
      </c>
      <c r="AS372" t="b">
        <f>IF(Metadata!F372="",FALSE,TRUE)</f>
        <v>0</v>
      </c>
      <c r="AT372" t="b">
        <f>OR(AND(IF(Metadata!G372="",FALSE,TRUE),OR(EXACT(Metadata!G372,"not collected"),EXACT(Metadata!G372,"not provided"))),AND(IF(Metadata!G372="",FALSE,TRUE),OR(EXACT(Metadata!G372,"TRUE"),EXACT(Metadata!G372,"FALSE"))))</f>
        <v>0</v>
      </c>
      <c r="AU372" t="b">
        <f>OR(AND(IF(Metadata!H372="",FALSE,TRUE),OR(EXACT(Metadata!H372,"not collected"),EXACT(Metadata!H372,"not provided"),EXACT(Metadata!H372,"restricted access"))),AND(IF(Metadata!H372="",FALSE,ISNUMBER(VALUE(Metadata!H372))),Metadata!H372&gt;=-413))</f>
        <v>0</v>
      </c>
      <c r="AV372" t="b">
        <f>AND(IF(Metadata!I372="",FALSE,TRUE),EXACT(Metadata!I372,"meters"))</f>
        <v>0</v>
      </c>
      <c r="AW372" t="b">
        <f>AND(IF(Metadata!J372="",FALSE,TRUE),EXACT(Metadata!J372,"free-living"))</f>
        <v>0</v>
      </c>
      <c r="AX372" t="b">
        <f>AND(IF(Metadata!K372="",FALSE,TRUE),OR(EXACT(Metadata!K372,"saline"),EXACT(Metadata!K372,"non-saline")))</f>
        <v>0</v>
      </c>
      <c r="AY372" t="b">
        <f>AND(IF(Metadata!L372="",FALSE,TRUE),OR(EXACT(Metadata!L372,"sub-surface (non-saline)"),EXACT(Metadata!L372,"surface (non-saline)"),EXACT(Metadata!L372,"water (non-saline)"),EXACT(Metadata!L372,"soil (non-saline)"),EXACT(Metadata!L372,"aerosol (non-saline)"),EXACT(Metadata!L372,"sediment (non-saline)"),EXACT(Metadata!L372,"surface (saline)"),EXACT(Metadata!L372,"water (saline)"),EXACT(Metadata!L372,"hypersaline (saline)"),EXACT(Metadata!L372,"aerosol (saline)"),EXACT(Metadata!L372,"sediment (saline)")))</f>
        <v>0</v>
      </c>
      <c r="AZ372" t="b">
        <f>IF(Metadata!M372="",FALSE,TRUE)</f>
        <v>0</v>
      </c>
      <c r="BA372" t="b">
        <f>IF(Metadata!N372="",FALSE,TRUE)</f>
        <v>0</v>
      </c>
      <c r="BB372" t="b">
        <f>IF(Metadata!O372="",FALSE,TRUE)</f>
        <v>0</v>
      </c>
      <c r="BC372" t="b">
        <f>AND(IF(Metadata!P372="",FALSE,TRUE),OR(EXACT(Metadata!P372,"air"),EXACT(Metadata!P372,"microbial mat/biofilm"),EXACT(Metadata!P372,"misc environment"),EXACT(Metadata!P372,"sediment"),EXACT(Metadata!P372,"soil"),EXACT(Metadata!P372,"wastewater/sludge"),EXACT(Metadata!P372,"water")))</f>
        <v>0</v>
      </c>
      <c r="BD372" t="b">
        <f>IF(Metadata!Q372="",FALSE,TRUE)</f>
        <v>0</v>
      </c>
      <c r="BE372" t="b">
        <f>IF(Metadata!R372="",FALSE,TRUE)</f>
        <v>0</v>
      </c>
      <c r="BF372" t="b">
        <f>OR(AND(IF(Metadata!S372="",FALSE,TRUE),OR(EXACT(Metadata!S372,"not collected"),EXACT(Metadata!S372,"not provided"),EXACT(Metadata!S372,"restricted access"))),AND(IF(Metadata!S372="",FALSE,ISNUMBER(VALUE(Metadata!S372))),Metadata!S372&gt;=-90,Metadata!S372&lt;=90))</f>
        <v>0</v>
      </c>
      <c r="BG372" t="b">
        <f>AND(IF(Metadata!T372="",FALSE,TRUE),EXACT(Metadata!T372,"Decimal degrees"))</f>
        <v>0</v>
      </c>
      <c r="BH372" t="b">
        <f>OR(AND(IF(Metadata!U372="",FALSE,TRUE),OR(EXACT(Metadata!U372,"not applicable"),EXACT(Metadata!U372,"not collected"))),IF(Metadata!U372="",FALSE,TRUE))</f>
        <v>0</v>
      </c>
      <c r="BI372" t="b">
        <f>OR(AND(IF(Metadata!V372="",FALSE,TRUE),OR(EXACT(Metadata!V372,"not collected"),EXACT(Metadata!V372,"not provided"),EXACT(Metadata!V372,"restricted access"))),AND(IF(Metadata!V372="",FALSE,ISNUMBER(VALUE(Metadata!V372))),Metadata!V372&gt;=-180,Metadata!V372&lt;=180))</f>
        <v>0</v>
      </c>
      <c r="BJ372" t="b">
        <f>AND(IF(Metadata!W372="",FALSE,TRUE),EXACT(Metadata!W372,"Decimal degrees"))</f>
        <v>0</v>
      </c>
      <c r="BK372" t="b">
        <f>IF(Metadata!X372="",FALSE,TRUE)</f>
        <v>0</v>
      </c>
      <c r="BL372" t="b">
        <f>OR(AND(IF(Metadata!Y372="",FALSE,TRUE),OR(EXACT(Metadata!Y372,"not collected"),EXACT(Metadata!Y372,"not provided"),EXACT(Metadata!Y372,"restricted access"))),AND(IF(Metadata!Y372="",FALSE,TRUE),OR(EXACT(Metadata!Y372,"TRUE"),EXACT(Metadata!Y372,"FALSE"))))</f>
        <v>0</v>
      </c>
      <c r="BM372" t="b">
        <f>OR(AND(IF(Metadata!Z372="",FALSE,TRUE),EXACT(Metadata!Z372,"not applicable")),AND(IF(Metadata!Z372="",FALSE,TRUE),OR(EXACT(Metadata!Z372,"beer"),EXACT(Metadata!Z372,"cheese"),EXACT(Metadata!Z372,"fresh water"),EXACT(Metadata!Z372,"marine sediment"),EXACT(Metadata!Z372,"sea water"),EXACT(Metadata!Z372,"sediment"),EXACT(Metadata!Z372,"soil"),EXACT(Metadata!Z372,"waste water"))))</f>
        <v>0</v>
      </c>
      <c r="BN372" t="b">
        <f>AND(IF(Metadata!AA372="",FALSE,TRUE),EXACT(Metadata!AA372,"metagenome"))</f>
        <v>0</v>
      </c>
      <c r="BO372" t="b">
        <f>AND(IF(Metadata!AB372="",FALSE,TRUE),EXACT(Metadata!AB372,"256318"))</f>
        <v>0</v>
      </c>
      <c r="BP372" t="b">
        <f>IF(Metadata!AC372="",FALSE,TRUE)</f>
        <v>0</v>
      </c>
      <c r="BQ372" t="b">
        <f>IF(Metadata!AD372="",FALSE,TRUE)</f>
        <v>0</v>
      </c>
    </row>
    <row r="373" spans="1:69" x14ac:dyDescent="0.2">
      <c r="A373" s="4" t="e">
        <f ca="1">IF(B373=" "," ",HYPERLINK(CONCATENATE("#metadata!",ADDRESS(INDEX($AJ$2:$AJ$1001,MATCH(ROWS($AH$2:AH373),$AH$2:$AH$1001,0),0),2)),INDEX($AM$2:$AM$1001,MATCH(ROWS($AH$2:AH373),$AH$2:$AH$1001,0),0)))</f>
        <v>#N/A</v>
      </c>
      <c r="B373" s="5" t="e">
        <f ca="1">IF(OR(INDEX($AI$2:$AI$1001,MATCH(ROWS($AH$2:AH373),$AH$2:$AH$1001,0),1)&gt;=100000,INDEX($AO$1005:$BQ$1005,1,MATCH(COLUMNS($AO$1006:AO1006),$AO$1006:$BQ$1006,0))&gt;=100000), " ",IF(INDEX($AO$2:$BQ$1001,MATCH(ROWS($AH$2:AH373),$AH$2:$AH$1001,0),MATCH(COLUMNS($AO$1006:AO1006),$AO$1006:$BQ$1006,0)), HYPERLINK("#",""), HYPERLINK(CONCATENATE("#Metadata!", ADDRESS(INDEX($AJ$2:$AJ$1001,MATCH(ROWS($AH$2:AH373),$AH$2:$AH$1001,0),0), INDEX($AO$1004:$BQ$1004,1,MATCH(COLUMNS($AO$1006:AO1006),$AO$1006:$BQ$1006,0)))),"Fix")))</f>
        <v>#N/A</v>
      </c>
      <c r="C373" s="5" t="e">
        <f ca="1">IF(OR(INDEX($AI$2:$AI$1001,MATCH(ROWS($AH$2:AH373),$AH$2:$AH$1001,0),1)&gt;=100000,INDEX($AO$1005:$BQ$1005,1,MATCH(COLUMNS($AO$1006:AP1006),$AO$1006:$BQ$1006,0))&gt;=100000), " ",IF(INDEX($AO$2:$BQ$1001,MATCH(ROWS($AH$2:AH373),$AH$2:$AH$1001,0),MATCH(COLUMNS($AO$1006:AP1006),$AO$1006:$BQ$1006,0)), HYPERLINK("#",""), HYPERLINK(CONCATENATE("#Metadata!", ADDRESS(INDEX($AJ$2:$AJ$1001,MATCH(ROWS($AH$2:AH373),$AH$2:$AH$1001,0),0), INDEX($AO$1004:$BQ$1004,1,MATCH(COLUMNS($AO$1006:AP1006),$AO$1006:$BQ$1006,0)))),"Fix")))</f>
        <v>#N/A</v>
      </c>
      <c r="D373" s="5" t="e">
        <f ca="1">IF(OR(INDEX($AI$2:$AI$1001,MATCH(ROWS($AH$2:AH373),$AH$2:$AH$1001,0),1)&gt;=100000,INDEX($AO$1005:$BQ$1005,1,MATCH(COLUMNS($AO$1006:AQ1006),$AO$1006:$BQ$1006,0))&gt;=100000), " ",IF(INDEX($AO$2:$BQ$1001,MATCH(ROWS($AH$2:AH373),$AH$2:$AH$1001,0),MATCH(COLUMNS($AO$1006:AQ1006),$AO$1006:$BQ$1006,0)), HYPERLINK("#",""), HYPERLINK(CONCATENATE("#Metadata!", ADDRESS(INDEX($AJ$2:$AJ$1001,MATCH(ROWS($AH$2:AH373),$AH$2:$AH$1001,0),0), INDEX($AO$1004:$BQ$1004,1,MATCH(COLUMNS($AO$1006:AQ1006),$AO$1006:$BQ$1006,0)))),"Fix")))</f>
        <v>#N/A</v>
      </c>
      <c r="E373" s="5" t="e">
        <f ca="1">IF(OR(INDEX($AI$2:$AI$1001,MATCH(ROWS($AH$2:AH373),$AH$2:$AH$1001,0),1)&gt;=100000,INDEX($AO$1005:$BQ$1005,1,MATCH(COLUMNS($AO$1006:AR1006),$AO$1006:$BQ$1006,0))&gt;=100000), " ",IF(INDEX($AO$2:$BQ$1001,MATCH(ROWS($AH$2:AH373),$AH$2:$AH$1001,0),MATCH(COLUMNS($AO$1006:AR1006),$AO$1006:$BQ$1006,0)), HYPERLINK("#",""), HYPERLINK(CONCATENATE("#Metadata!", ADDRESS(INDEX($AJ$2:$AJ$1001,MATCH(ROWS($AH$2:AH373),$AH$2:$AH$1001,0),0), INDEX($AO$1004:$BQ$1004,1,MATCH(COLUMNS($AO$1006:AR1006),$AO$1006:$BQ$1006,0)))),"Fix")))</f>
        <v>#N/A</v>
      </c>
      <c r="F373" s="5" t="e">
        <f ca="1">IF(OR(INDEX($AI$2:$AI$1001,MATCH(ROWS($AH$2:AH373),$AH$2:$AH$1001,0),1)&gt;=100000,INDEX($AO$1005:$BQ$1005,1,MATCH(COLUMNS($AO$1006:AS1006),$AO$1006:$BQ$1006,0))&gt;=100000), " ",IF(INDEX($AO$2:$BQ$1001,MATCH(ROWS($AH$2:AH373),$AH$2:$AH$1001,0),MATCH(COLUMNS($AO$1006:AS1006),$AO$1006:$BQ$1006,0)), HYPERLINK("#",""), HYPERLINK(CONCATENATE("#Metadata!", ADDRESS(INDEX($AJ$2:$AJ$1001,MATCH(ROWS($AH$2:AH373),$AH$2:$AH$1001,0),0), INDEX($AO$1004:$BQ$1004,1,MATCH(COLUMNS($AO$1006:AS1006),$AO$1006:$BQ$1006,0)))),"Fix")))</f>
        <v>#N/A</v>
      </c>
      <c r="G373" s="5" t="e">
        <f ca="1">IF(OR(INDEX($AI$2:$AI$1001,MATCH(ROWS($AH$2:AH373),$AH$2:$AH$1001,0),1)&gt;=100000,INDEX($AO$1005:$BQ$1005,1,MATCH(COLUMNS($AO$1006:AT1006),$AO$1006:$BQ$1006,0))&gt;=100000), " ",IF(INDEX($AO$2:$BQ$1001,MATCH(ROWS($AH$2:AH373),$AH$2:$AH$1001,0),MATCH(COLUMNS($AO$1006:AT1006),$AO$1006:$BQ$1006,0)), HYPERLINK("#",""), HYPERLINK(CONCATENATE("#Metadata!", ADDRESS(INDEX($AJ$2:$AJ$1001,MATCH(ROWS($AH$2:AH373),$AH$2:$AH$1001,0),0), INDEX($AO$1004:$BQ$1004,1,MATCH(COLUMNS($AO$1006:AT1006),$AO$1006:$BQ$1006,0)))),"Fix")))</f>
        <v>#N/A</v>
      </c>
      <c r="H373" s="5" t="e">
        <f ca="1">IF(OR(INDEX($AI$2:$AI$1001,MATCH(ROWS($AH$2:AH373),$AH$2:$AH$1001,0),1)&gt;=100000,INDEX($AO$1005:$BQ$1005,1,MATCH(COLUMNS($AO$1006:AU1006),$AO$1006:$BQ$1006,0))&gt;=100000), " ",IF(INDEX($AO$2:$BQ$1001,MATCH(ROWS($AH$2:AH373),$AH$2:$AH$1001,0),MATCH(COLUMNS($AO$1006:AU1006),$AO$1006:$BQ$1006,0)), HYPERLINK("#",""), HYPERLINK(CONCATENATE("#Metadata!", ADDRESS(INDEX($AJ$2:$AJ$1001,MATCH(ROWS($AH$2:AH373),$AH$2:$AH$1001,0),0), INDEX($AO$1004:$BQ$1004,1,MATCH(COLUMNS($AO$1006:AU1006),$AO$1006:$BQ$1006,0)))),"Fix")))</f>
        <v>#N/A</v>
      </c>
      <c r="I373" s="5" t="e">
        <f ca="1">IF(OR(INDEX($AI$2:$AI$1001,MATCH(ROWS($AH$2:AH373),$AH$2:$AH$1001,0),1)&gt;=100000,INDEX($AO$1005:$BQ$1005,1,MATCH(COLUMNS($AO$1006:AV1006),$AO$1006:$BQ$1006,0))&gt;=100000), " ",IF(INDEX($AO$2:$BQ$1001,MATCH(ROWS($AH$2:AH373),$AH$2:$AH$1001,0),MATCH(COLUMNS($AO$1006:AV1006),$AO$1006:$BQ$1006,0)), HYPERLINK("#",""), HYPERLINK(CONCATENATE("#Metadata!", ADDRESS(INDEX($AJ$2:$AJ$1001,MATCH(ROWS($AH$2:AH373),$AH$2:$AH$1001,0),0), INDEX($AO$1004:$BQ$1004,1,MATCH(COLUMNS($AO$1006:AV1006),$AO$1006:$BQ$1006,0)))),"Fix")))</f>
        <v>#N/A</v>
      </c>
      <c r="J373" s="5" t="e">
        <f ca="1">IF(OR(INDEX($AI$2:$AI$1001,MATCH(ROWS($AH$2:AH373),$AH$2:$AH$1001,0),1)&gt;=100000,INDEX($AO$1005:$BQ$1005,1,MATCH(COLUMNS($AO$1006:AW1006),$AO$1006:$BQ$1006,0))&gt;=100000), " ",IF(INDEX($AO$2:$BQ$1001,MATCH(ROWS($AH$2:AH373),$AH$2:$AH$1001,0),MATCH(COLUMNS($AO$1006:AW1006),$AO$1006:$BQ$1006,0)), HYPERLINK("#",""), HYPERLINK(CONCATENATE("#Metadata!", ADDRESS(INDEX($AJ$2:$AJ$1001,MATCH(ROWS($AH$2:AH373),$AH$2:$AH$1001,0),0), INDEX($AO$1004:$BQ$1004,1,MATCH(COLUMNS($AO$1006:AW1006),$AO$1006:$BQ$1006,0)))),"Fix")))</f>
        <v>#N/A</v>
      </c>
      <c r="K373" s="5" t="e">
        <f ca="1">IF(OR(INDEX($AI$2:$AI$1001,MATCH(ROWS($AH$2:AH373),$AH$2:$AH$1001,0),1)&gt;=100000,INDEX($AO$1005:$BQ$1005,1,MATCH(COLUMNS($AO$1006:AX1006),$AO$1006:$BQ$1006,0))&gt;=100000), " ",IF(INDEX($AO$2:$BQ$1001,MATCH(ROWS($AH$2:AH373),$AH$2:$AH$1001,0),MATCH(COLUMNS($AO$1006:AX1006),$AO$1006:$BQ$1006,0)), HYPERLINK("#",""), HYPERLINK(CONCATENATE("#Metadata!", ADDRESS(INDEX($AJ$2:$AJ$1001,MATCH(ROWS($AH$2:AH373),$AH$2:$AH$1001,0),0), INDEX($AO$1004:$BQ$1004,1,MATCH(COLUMNS($AO$1006:AX1006),$AO$1006:$BQ$1006,0)))),"Fix")))</f>
        <v>#N/A</v>
      </c>
      <c r="L373" s="5" t="e">
        <f ca="1">IF(OR(INDEX($AI$2:$AI$1001,MATCH(ROWS($AH$2:AH373),$AH$2:$AH$1001,0),1)&gt;=100000,INDEX($AO$1005:$BQ$1005,1,MATCH(COLUMNS($AO$1006:AY1006),$AO$1006:$BQ$1006,0))&gt;=100000), " ",IF(INDEX($AO$2:$BQ$1001,MATCH(ROWS($AH$2:AH373),$AH$2:$AH$1001,0),MATCH(COLUMNS($AO$1006:AY1006),$AO$1006:$BQ$1006,0)), HYPERLINK("#",""), HYPERLINK(CONCATENATE("#Metadata!", ADDRESS(INDEX($AJ$2:$AJ$1001,MATCH(ROWS($AH$2:AH373),$AH$2:$AH$1001,0),0), INDEX($AO$1004:$BQ$1004,1,MATCH(COLUMNS($AO$1006:AY1006),$AO$1006:$BQ$1006,0)))),"Fix")))</f>
        <v>#N/A</v>
      </c>
      <c r="M373" s="5" t="e">
        <f ca="1">IF(OR(INDEX($AI$2:$AI$1001,MATCH(ROWS($AH$2:AH373),$AH$2:$AH$1001,0),1)&gt;=100000,INDEX($AO$1005:$BQ$1005,1,MATCH(COLUMNS($AO$1006:AZ1006),$AO$1006:$BQ$1006,0))&gt;=100000), " ",IF(INDEX($AO$2:$BQ$1001,MATCH(ROWS($AH$2:AH373),$AH$2:$AH$1001,0),MATCH(COLUMNS($AO$1006:AZ1006),$AO$1006:$BQ$1006,0)), HYPERLINK("#",""), HYPERLINK(CONCATENATE("#Metadata!", ADDRESS(INDEX($AJ$2:$AJ$1001,MATCH(ROWS($AH$2:AH373),$AH$2:$AH$1001,0),0), INDEX($AO$1004:$BQ$1004,1,MATCH(COLUMNS($AO$1006:AZ1006),$AO$1006:$BQ$1006,0)))),"Fix")))</f>
        <v>#N/A</v>
      </c>
      <c r="N373" s="5" t="e">
        <f ca="1">IF(OR(INDEX($AI$2:$AI$1001,MATCH(ROWS($AH$2:AH373),$AH$2:$AH$1001,0),1)&gt;=100000,INDEX($AO$1005:$BQ$1005,1,MATCH(COLUMNS($AO$1006:BA1006),$AO$1006:$BQ$1006,0))&gt;=100000), " ",IF(INDEX($AO$2:$BQ$1001,MATCH(ROWS($AH$2:AH373),$AH$2:$AH$1001,0),MATCH(COLUMNS($AO$1006:BA1006),$AO$1006:$BQ$1006,0)), HYPERLINK("#",""), HYPERLINK(CONCATENATE("#Metadata!", ADDRESS(INDEX($AJ$2:$AJ$1001,MATCH(ROWS($AH$2:AH373),$AH$2:$AH$1001,0),0), INDEX($AO$1004:$BQ$1004,1,MATCH(COLUMNS($AO$1006:BA1006),$AO$1006:$BQ$1006,0)))),"Fix")))</f>
        <v>#N/A</v>
      </c>
      <c r="O373" s="5" t="e">
        <f ca="1">IF(OR(INDEX($AI$2:$AI$1001,MATCH(ROWS($AH$2:AH373),$AH$2:$AH$1001,0),1)&gt;=100000,INDEX($AO$1005:$BQ$1005,1,MATCH(COLUMNS($AO$1006:BB1006),$AO$1006:$BQ$1006,0))&gt;=100000), " ",IF(INDEX($AO$2:$BQ$1001,MATCH(ROWS($AH$2:AH373),$AH$2:$AH$1001,0),MATCH(COLUMNS($AO$1006:BB1006),$AO$1006:$BQ$1006,0)), HYPERLINK("#",""), HYPERLINK(CONCATENATE("#Metadata!", ADDRESS(INDEX($AJ$2:$AJ$1001,MATCH(ROWS($AH$2:AH373),$AH$2:$AH$1001,0),0), INDEX($AO$1004:$BQ$1004,1,MATCH(COLUMNS($AO$1006:BB1006),$AO$1006:$BQ$1006,0)))),"Fix")))</f>
        <v>#N/A</v>
      </c>
      <c r="P373" s="5" t="e">
        <f ca="1">IF(OR(INDEX($AI$2:$AI$1001,MATCH(ROWS($AH$2:AH373),$AH$2:$AH$1001,0),1)&gt;=100000,INDEX($AO$1005:$BQ$1005,1,MATCH(COLUMNS($AO$1006:BC1006),$AO$1006:$BQ$1006,0))&gt;=100000), " ",IF(INDEX($AO$2:$BQ$1001,MATCH(ROWS($AH$2:AH373),$AH$2:$AH$1001,0),MATCH(COLUMNS($AO$1006:BC1006),$AO$1006:$BQ$1006,0)), HYPERLINK("#",""), HYPERLINK(CONCATENATE("#Metadata!", ADDRESS(INDEX($AJ$2:$AJ$1001,MATCH(ROWS($AH$2:AH373),$AH$2:$AH$1001,0),0), INDEX($AO$1004:$BQ$1004,1,MATCH(COLUMNS($AO$1006:BC1006),$AO$1006:$BQ$1006,0)))),"Fix")))</f>
        <v>#N/A</v>
      </c>
      <c r="Q373" s="5" t="e">
        <f ca="1">IF(OR(INDEX($AI$2:$AI$1001,MATCH(ROWS($AH$2:AH373),$AH$2:$AH$1001,0),1)&gt;=100000,INDEX($AO$1005:$BQ$1005,1,MATCH(COLUMNS($AO$1006:BD1006),$AO$1006:$BQ$1006,0))&gt;=100000), " ",IF(INDEX($AO$2:$BQ$1001,MATCH(ROWS($AH$2:AH373),$AH$2:$AH$1001,0),MATCH(COLUMNS($AO$1006:BD1006),$AO$1006:$BQ$1006,0)), HYPERLINK("#",""), HYPERLINK(CONCATENATE("#Metadata!", ADDRESS(INDEX($AJ$2:$AJ$1001,MATCH(ROWS($AH$2:AH373),$AH$2:$AH$1001,0),0), INDEX($AO$1004:$BQ$1004,1,MATCH(COLUMNS($AO$1006:BD1006),$AO$1006:$BQ$1006,0)))),"Fix")))</f>
        <v>#N/A</v>
      </c>
      <c r="R373" s="5" t="e">
        <f ca="1">IF(OR(INDEX($AI$2:$AI$1001,MATCH(ROWS($AH$2:AH373),$AH$2:$AH$1001,0),1)&gt;=100000,INDEX($AO$1005:$BQ$1005,1,MATCH(COLUMNS($AO$1006:BE1006),$AO$1006:$BQ$1006,0))&gt;=100000), " ",IF(INDEX($AO$2:$BQ$1001,MATCH(ROWS($AH$2:AH373),$AH$2:$AH$1001,0),MATCH(COLUMNS($AO$1006:BE1006),$AO$1006:$BQ$1006,0)), HYPERLINK("#",""), HYPERLINK(CONCATENATE("#Metadata!", ADDRESS(INDEX($AJ$2:$AJ$1001,MATCH(ROWS($AH$2:AH373),$AH$2:$AH$1001,0),0), INDEX($AO$1004:$BQ$1004,1,MATCH(COLUMNS($AO$1006:BE1006),$AO$1006:$BQ$1006,0)))),"Fix")))</f>
        <v>#N/A</v>
      </c>
      <c r="S373" s="5" t="e">
        <f ca="1">IF(OR(INDEX($AI$2:$AI$1001,MATCH(ROWS($AH$2:AH373),$AH$2:$AH$1001,0),1)&gt;=100000,INDEX($AO$1005:$BQ$1005,1,MATCH(COLUMNS($AO$1006:BF1006),$AO$1006:$BQ$1006,0))&gt;=100000), " ",IF(INDEX($AO$2:$BQ$1001,MATCH(ROWS($AH$2:AH373),$AH$2:$AH$1001,0),MATCH(COLUMNS($AO$1006:BF1006),$AO$1006:$BQ$1006,0)), HYPERLINK("#",""), HYPERLINK(CONCATENATE("#Metadata!", ADDRESS(INDEX($AJ$2:$AJ$1001,MATCH(ROWS($AH$2:AH373),$AH$2:$AH$1001,0),0), INDEX($AO$1004:$BQ$1004,1,MATCH(COLUMNS($AO$1006:BF1006),$AO$1006:$BQ$1006,0)))),"Fix")))</f>
        <v>#N/A</v>
      </c>
      <c r="T373" s="5" t="e">
        <f ca="1">IF(OR(INDEX($AI$2:$AI$1001,MATCH(ROWS($AH$2:AH373),$AH$2:$AH$1001,0),1)&gt;=100000,INDEX($AO$1005:$BQ$1005,1,MATCH(COLUMNS($AO$1006:BG1006),$AO$1006:$BQ$1006,0))&gt;=100000), " ",IF(INDEX($AO$2:$BQ$1001,MATCH(ROWS($AH$2:AH373),$AH$2:$AH$1001,0),MATCH(COLUMNS($AO$1006:BG1006),$AO$1006:$BQ$1006,0)), HYPERLINK("#",""), HYPERLINK(CONCATENATE("#Metadata!", ADDRESS(INDEX($AJ$2:$AJ$1001,MATCH(ROWS($AH$2:AH373),$AH$2:$AH$1001,0),0), INDEX($AO$1004:$BQ$1004,1,MATCH(COLUMNS($AO$1006:BG1006),$AO$1006:$BQ$1006,0)))),"Fix")))</f>
        <v>#N/A</v>
      </c>
      <c r="U373" s="5" t="e">
        <f ca="1">IF(OR(INDEX($AI$2:$AI$1001,MATCH(ROWS($AH$2:AH373),$AH$2:$AH$1001,0),1)&gt;=100000,INDEX($AO$1005:$BQ$1005,1,MATCH(COLUMNS($AO$1006:BH1006),$AO$1006:$BQ$1006,0))&gt;=100000), " ",IF(INDEX($AO$2:$BQ$1001,MATCH(ROWS($AH$2:AH373),$AH$2:$AH$1001,0),MATCH(COLUMNS($AO$1006:BH1006),$AO$1006:$BQ$1006,0)), HYPERLINK("#",""), HYPERLINK(CONCATENATE("#Metadata!", ADDRESS(INDEX($AJ$2:$AJ$1001,MATCH(ROWS($AH$2:AH373),$AH$2:$AH$1001,0),0), INDEX($AO$1004:$BQ$1004,1,MATCH(COLUMNS($AO$1006:BH1006),$AO$1006:$BQ$1006,0)))),"Fix")))</f>
        <v>#N/A</v>
      </c>
      <c r="V373" s="5" t="e">
        <f ca="1">IF(OR(INDEX($AI$2:$AI$1001,MATCH(ROWS($AH$2:AH373),$AH$2:$AH$1001,0),1)&gt;=100000,INDEX($AO$1005:$BQ$1005,1,MATCH(COLUMNS($AO$1006:BI1006),$AO$1006:$BQ$1006,0))&gt;=100000), " ",IF(INDEX($AO$2:$BQ$1001,MATCH(ROWS($AH$2:AH373),$AH$2:$AH$1001,0),MATCH(COLUMNS($AO$1006:BI1006),$AO$1006:$BQ$1006,0)), HYPERLINK("#",""), HYPERLINK(CONCATENATE("#Metadata!", ADDRESS(INDEX($AJ$2:$AJ$1001,MATCH(ROWS($AH$2:AH373),$AH$2:$AH$1001,0),0), INDEX($AO$1004:$BQ$1004,1,MATCH(COLUMNS($AO$1006:BI1006),$AO$1006:$BQ$1006,0)))),"Fix")))</f>
        <v>#N/A</v>
      </c>
      <c r="W373" s="5" t="e">
        <f ca="1">IF(OR(INDEX($AI$2:$AI$1001,MATCH(ROWS($AH$2:AH373),$AH$2:$AH$1001,0),1)&gt;=100000,INDEX($AO$1005:$BQ$1005,1,MATCH(COLUMNS($AO$1006:BJ1006),$AO$1006:$BQ$1006,0))&gt;=100000), " ",IF(INDEX($AO$2:$BQ$1001,MATCH(ROWS($AH$2:AH373),$AH$2:$AH$1001,0),MATCH(COLUMNS($AO$1006:BJ1006),$AO$1006:$BQ$1006,0)), HYPERLINK("#",""), HYPERLINK(CONCATENATE("#Metadata!", ADDRESS(INDEX($AJ$2:$AJ$1001,MATCH(ROWS($AH$2:AH373),$AH$2:$AH$1001,0),0), INDEX($AO$1004:$BQ$1004,1,MATCH(COLUMNS($AO$1006:BJ1006),$AO$1006:$BQ$1006,0)))),"Fix")))</f>
        <v>#N/A</v>
      </c>
      <c r="X373" s="5" t="e">
        <f ca="1">IF(OR(INDEX($AI$2:$AI$1001,MATCH(ROWS($AH$2:AH373),$AH$2:$AH$1001,0),1)&gt;=100000,INDEX($AO$1005:$BQ$1005,1,MATCH(COLUMNS($AO$1006:BK1006),$AO$1006:$BQ$1006,0))&gt;=100000), " ",IF(INDEX($AO$2:$BQ$1001,MATCH(ROWS($AH$2:AH373),$AH$2:$AH$1001,0),MATCH(COLUMNS($AO$1006:BK1006),$AO$1006:$BQ$1006,0)), HYPERLINK("#",""), HYPERLINK(CONCATENATE("#Metadata!", ADDRESS(INDEX($AJ$2:$AJ$1001,MATCH(ROWS($AH$2:AH373),$AH$2:$AH$1001,0),0), INDEX($AO$1004:$BQ$1004,1,MATCH(COLUMNS($AO$1006:BK1006),$AO$1006:$BQ$1006,0)))),"Fix")))</f>
        <v>#N/A</v>
      </c>
      <c r="Y373" s="5" t="e">
        <f ca="1">IF(OR(INDEX($AI$2:$AI$1001,MATCH(ROWS($AH$2:AH373),$AH$2:$AH$1001,0),1)&gt;=100000,INDEX($AO$1005:$BQ$1005,1,MATCH(COLUMNS($AO$1006:BL1006),$AO$1006:$BQ$1006,0))&gt;=100000), " ",IF(INDEX($AO$2:$BQ$1001,MATCH(ROWS($AH$2:AH373),$AH$2:$AH$1001,0),MATCH(COLUMNS($AO$1006:BL1006),$AO$1006:$BQ$1006,0)), HYPERLINK("#",""), HYPERLINK(CONCATENATE("#Metadata!", ADDRESS(INDEX($AJ$2:$AJ$1001,MATCH(ROWS($AH$2:AH373),$AH$2:$AH$1001,0),0), INDEX($AO$1004:$BQ$1004,1,MATCH(COLUMNS($AO$1006:BL1006),$AO$1006:$BQ$1006,0)))),"Fix")))</f>
        <v>#N/A</v>
      </c>
      <c r="Z373" s="5" t="e">
        <f ca="1">IF(OR(INDEX($AI$2:$AI$1001,MATCH(ROWS($AH$2:AH373),$AH$2:$AH$1001,0),1)&gt;=100000,INDEX($AO$1005:$BQ$1005,1,MATCH(COLUMNS($AO$1006:BM1006),$AO$1006:$BQ$1006,0))&gt;=100000), " ",IF(INDEX($AO$2:$BQ$1001,MATCH(ROWS($AH$2:AH373),$AH$2:$AH$1001,0),MATCH(COLUMNS($AO$1006:BM1006),$AO$1006:$BQ$1006,0)), HYPERLINK("#",""), HYPERLINK(CONCATENATE("#Metadata!", ADDRESS(INDEX($AJ$2:$AJ$1001,MATCH(ROWS($AH$2:AH373),$AH$2:$AH$1001,0),0), INDEX($AO$1004:$BQ$1004,1,MATCH(COLUMNS($AO$1006:BM1006),$AO$1006:$BQ$1006,0)))),"Fix")))</f>
        <v>#N/A</v>
      </c>
      <c r="AA373" s="5" t="e">
        <f ca="1">IF(OR(INDEX($AI$2:$AI$1001,MATCH(ROWS($AH$2:AH373),$AH$2:$AH$1001,0),1)&gt;=100000,INDEX($AO$1005:$BQ$1005,1,MATCH(COLUMNS($AO$1006:BN1006),$AO$1006:$BQ$1006,0))&gt;=100000), " ",IF(INDEX($AO$2:$BQ$1001,MATCH(ROWS($AH$2:AH373),$AH$2:$AH$1001,0),MATCH(COLUMNS($AO$1006:BN1006),$AO$1006:$BQ$1006,0)), HYPERLINK("#",""), HYPERLINK(CONCATENATE("#Metadata!", ADDRESS(INDEX($AJ$2:$AJ$1001,MATCH(ROWS($AH$2:AH373),$AH$2:$AH$1001,0),0), INDEX($AO$1004:$BQ$1004,1,MATCH(COLUMNS($AO$1006:BN1006),$AO$1006:$BQ$1006,0)))),"Fix")))</f>
        <v>#N/A</v>
      </c>
      <c r="AB373" s="5" t="e">
        <f ca="1">IF(OR(INDEX($AI$2:$AI$1001,MATCH(ROWS($AH$2:AH373),$AH$2:$AH$1001,0),1)&gt;=100000,INDEX($AO$1005:$BQ$1005,1,MATCH(COLUMNS($AO$1006:BO1006),$AO$1006:$BQ$1006,0))&gt;=100000), " ",IF(INDEX($AO$2:$BQ$1001,MATCH(ROWS($AH$2:AH373),$AH$2:$AH$1001,0),MATCH(COLUMNS($AO$1006:BO1006),$AO$1006:$BQ$1006,0)), HYPERLINK("#",""), HYPERLINK(CONCATENATE("#Metadata!", ADDRESS(INDEX($AJ$2:$AJ$1001,MATCH(ROWS($AH$2:AH373),$AH$2:$AH$1001,0),0), INDEX($AO$1004:$BQ$1004,1,MATCH(COLUMNS($AO$1006:BO1006),$AO$1006:$BQ$1006,0)))),"Fix")))</f>
        <v>#N/A</v>
      </c>
      <c r="AC373" s="5" t="e">
        <f ca="1">IF(OR(INDEX($AI$2:$AI$1001,MATCH(ROWS($AH$2:AH373),$AH$2:$AH$1001,0),1)&gt;=100000,INDEX($AO$1005:$BQ$1005,1,MATCH(COLUMNS($AO$1006:BP1006),$AO$1006:$BQ$1006,0))&gt;=100000), " ",IF(INDEX($AO$2:$BQ$1001,MATCH(ROWS($AH$2:AH373),$AH$2:$AH$1001,0),MATCH(COLUMNS($AO$1006:BP1006),$AO$1006:$BQ$1006,0)), HYPERLINK("#",""), HYPERLINK(CONCATENATE("#Metadata!", ADDRESS(INDEX($AJ$2:$AJ$1001,MATCH(ROWS($AH$2:AH373),$AH$2:$AH$1001,0),0), INDEX($AO$1004:$BQ$1004,1,MATCH(COLUMNS($AO$1006:BP1006),$AO$1006:$BQ$1006,0)))),"Fix")))</f>
        <v>#N/A</v>
      </c>
      <c r="AD373" s="5" t="e">
        <f ca="1">IF(OR(INDEX($AI$2:$AI$1001,MATCH(ROWS($AH$2:AH373),$AH$2:$AH$1001,0),1)&gt;=100000,INDEX($AO$1005:$BQ$1005,1,MATCH(COLUMNS($AO$1006:BQ1006),$AO$1006:$BQ$1006,0))&gt;=100000), " ",IF(INDEX($AO$2:$BQ$1001,MATCH(ROWS($AH$2:AH373),$AH$2:$AH$1001,0),MATCH(COLUMNS($AO$1006:BQ1006),$AO$1006:$BQ$1006,0)), HYPERLINK("#",""), HYPERLINK(CONCATENATE("#Metadata!", ADDRESS(INDEX($AJ$2:$AJ$1001,MATCH(ROWS($AH$2:AH373),$AH$2:$AH$1001,0),0), INDEX($AO$1004:$BQ$1004,1,MATCH(COLUMNS($AO$1006:BQ1006),$AO$1006:$BQ$1006,0)))),"Fix")))</f>
        <v>#REF!</v>
      </c>
      <c r="AH373">
        <f ca="1"/>
        <v>370</v>
      </c>
      <c r="AI373">
        <v>100373</v>
      </c>
      <c r="AJ373">
        <v>373</v>
      </c>
      <c r="AK373" t="b">
        <f t="shared" si="5"/>
        <v>1</v>
      </c>
      <c r="AL373" t="b">
        <f>COUNTBLANK(Metadata!B373:AD373)=COLUMNS(Metadata!B373:AD373)</f>
        <v>1</v>
      </c>
      <c r="AM373" t="str">
        <v/>
      </c>
      <c r="AO373" t="b">
        <f ca="1">AND(IF(Metadata!B373="",FALSE,TRUE),COUNTIF(Metadata!B:B, Metadata!B373) = 1,NOT(ISERROR(SUMPRODUCT(SEARCH(MID(Metadata!B373,ROW(INDIRECT("1:"&amp;LEN(Metadata!B373))), 1),"0123456789abcdefghijklmnopqrstuvwxyzABCDEFGHIJKLMNOPQRSTUVWXYZ.")))))</f>
        <v>0</v>
      </c>
      <c r="AP373" t="b">
        <f>IF(Metadata!C373="",FALSE,TRUE)</f>
        <v>0</v>
      </c>
      <c r="AQ373" t="b">
        <f>IF(Metadata!D373="",FALSE,TRUE)</f>
        <v>0</v>
      </c>
      <c r="AR373" t="b">
        <f ca="1">OR(AND(IF(Metadata!E373="",FALSE,TRUE),OR(EXACT(Metadata!E373,"not collected"),EXACT(Metadata!E373,"not provided"),EXACT(Metadata!E373,"restricted access"))),AND(IF(Metadata!E373="",FALSE,TRUE),AND(AND(IFERROR(INT(LEFT(Metadata!E373,4))&gt;1900,FALSE),IFERROR(INT(LEFT(Metadata!E373,4))&lt;=YEAR(NOW()),FALSE)), OR(MID(Metadata!E373,5,1)="", AND(AND(MID(Metadata!E373,5,1)="-",IFERROR(INT(MID(Metadata!E373,6,1))&gt;=0,FALSE),IFERROR(INT(MID(Metadata!E373,6,1))&lt;=1,FALSE),NOT(MID(Metadata!E373,7,1)=""),IFERROR(INT(MID(Metadata!E373,6,2))&gt;=1,FALSE),IFERROR(INT(MID(Metadata!E373,6,2))&lt;=12,FALSE)), OR(MID(Metadata!E373,8,1)="", AND(AND(MID(Metadata!E373,8,1)="-",IFERROR(INT(MID(Metadata!E373,9,1))&gt;=0,FALSE),IFERROR(INT(MID(Metadata!E373,9,1))&lt;=3,FALSE),NOT(MID(Metadata!E373,10,1)=""),IFERROR(INT(MID(Metadata!E373,9,2))&gt;=1,FALSE),IFERROR(INT(MID(Metadata!E373,9,2))&lt;=31,FALSE)), OR(MID(Metadata!E373,11,1)="", AND(AND(MID(Metadata!E373,11,1)=" ",IFERROR(INT(MID(Metadata!E373,12,1))&gt;=0,FALSE),IFERROR(INT(MID(Metadata!E373,12,1))&lt;=2,FALSE),NOT(MID(Metadata!E373,13,1)=""),IFERROR(INT(MID(Metadata!E373,12,2))&gt;=0,FALSE),IFERROR(INT(MID(Metadata!E373,12,2))&lt;=23,FALSE)), OR(MID(Metadata!E373,14,1)="", AND(AND(MID(Metadata!E373,14,1)=":",IFERROR(INT(MID(Metadata!E373,15,1))&gt;=0,FALSE),IFERROR(INT(MID(Metadata!E373,15,1))&lt;=5,FALSE),NOT(MID(Metadata!E373,16,1)=""),IFERROR(INT(MID(Metadata!E373,15,2))&gt;=0,FALSE),IFERROR(INT(MID(Metadata!E373,15,2))&lt;=59,FALSE)), OR(MID(Metadata!E373,17,1)="", AND(AND(MID(Metadata!E373,17,1)=":",IFERROR(INT(MID(Metadata!E373,18,1))&gt;=0,FALSE),IFERROR(INT(MID(Metadata!E373,18,1))&lt;=5,FALSE),NOT(MID(Metadata!E373,19,1)=""),IFERROR(INT(MID(Metadata!E373,18,2))&gt;=0,FALSE),IFERROR(INT(MID(Metadata!E373,18,2))&lt;=59,FALSE)), LEN(Metadata!E373)&lt;=19)))))))))))))</f>
        <v>0</v>
      </c>
      <c r="AS373" t="b">
        <f>IF(Metadata!F373="",FALSE,TRUE)</f>
        <v>0</v>
      </c>
      <c r="AT373" t="b">
        <f>OR(AND(IF(Metadata!G373="",FALSE,TRUE),OR(EXACT(Metadata!G373,"not collected"),EXACT(Metadata!G373,"not provided"))),AND(IF(Metadata!G373="",FALSE,TRUE),OR(EXACT(Metadata!G373,"TRUE"),EXACT(Metadata!G373,"FALSE"))))</f>
        <v>0</v>
      </c>
      <c r="AU373" t="b">
        <f>OR(AND(IF(Metadata!H373="",FALSE,TRUE),OR(EXACT(Metadata!H373,"not collected"),EXACT(Metadata!H373,"not provided"),EXACT(Metadata!H373,"restricted access"))),AND(IF(Metadata!H373="",FALSE,ISNUMBER(VALUE(Metadata!H373))),Metadata!H373&gt;=-413))</f>
        <v>0</v>
      </c>
      <c r="AV373" t="b">
        <f>AND(IF(Metadata!I373="",FALSE,TRUE),EXACT(Metadata!I373,"meters"))</f>
        <v>0</v>
      </c>
      <c r="AW373" t="b">
        <f>AND(IF(Metadata!J373="",FALSE,TRUE),EXACT(Metadata!J373,"free-living"))</f>
        <v>0</v>
      </c>
      <c r="AX373" t="b">
        <f>AND(IF(Metadata!K373="",FALSE,TRUE),OR(EXACT(Metadata!K373,"saline"),EXACT(Metadata!K373,"non-saline")))</f>
        <v>0</v>
      </c>
      <c r="AY373" t="b">
        <f>AND(IF(Metadata!L373="",FALSE,TRUE),OR(EXACT(Metadata!L373,"sub-surface (non-saline)"),EXACT(Metadata!L373,"surface (non-saline)"),EXACT(Metadata!L373,"water (non-saline)"),EXACT(Metadata!L373,"soil (non-saline)"),EXACT(Metadata!L373,"aerosol (non-saline)"),EXACT(Metadata!L373,"sediment (non-saline)"),EXACT(Metadata!L373,"surface (saline)"),EXACT(Metadata!L373,"water (saline)"),EXACT(Metadata!L373,"hypersaline (saline)"),EXACT(Metadata!L373,"aerosol (saline)"),EXACT(Metadata!L373,"sediment (saline)")))</f>
        <v>0</v>
      </c>
      <c r="AZ373" t="b">
        <f>IF(Metadata!M373="",FALSE,TRUE)</f>
        <v>0</v>
      </c>
      <c r="BA373" t="b">
        <f>IF(Metadata!N373="",FALSE,TRUE)</f>
        <v>0</v>
      </c>
      <c r="BB373" t="b">
        <f>IF(Metadata!O373="",FALSE,TRUE)</f>
        <v>0</v>
      </c>
      <c r="BC373" t="b">
        <f>AND(IF(Metadata!P373="",FALSE,TRUE),OR(EXACT(Metadata!P373,"air"),EXACT(Metadata!P373,"microbial mat/biofilm"),EXACT(Metadata!P373,"misc environment"),EXACT(Metadata!P373,"sediment"),EXACT(Metadata!P373,"soil"),EXACT(Metadata!P373,"wastewater/sludge"),EXACT(Metadata!P373,"water")))</f>
        <v>0</v>
      </c>
      <c r="BD373" t="b">
        <f>IF(Metadata!Q373="",FALSE,TRUE)</f>
        <v>0</v>
      </c>
      <c r="BE373" t="b">
        <f>IF(Metadata!R373="",FALSE,TRUE)</f>
        <v>0</v>
      </c>
      <c r="BF373" t="b">
        <f>OR(AND(IF(Metadata!S373="",FALSE,TRUE),OR(EXACT(Metadata!S373,"not collected"),EXACT(Metadata!S373,"not provided"),EXACT(Metadata!S373,"restricted access"))),AND(IF(Metadata!S373="",FALSE,ISNUMBER(VALUE(Metadata!S373))),Metadata!S373&gt;=-90,Metadata!S373&lt;=90))</f>
        <v>0</v>
      </c>
      <c r="BG373" t="b">
        <f>AND(IF(Metadata!T373="",FALSE,TRUE),EXACT(Metadata!T373,"Decimal degrees"))</f>
        <v>0</v>
      </c>
      <c r="BH373" t="b">
        <f>OR(AND(IF(Metadata!U373="",FALSE,TRUE),OR(EXACT(Metadata!U373,"not applicable"),EXACT(Metadata!U373,"not collected"))),IF(Metadata!U373="",FALSE,TRUE))</f>
        <v>0</v>
      </c>
      <c r="BI373" t="b">
        <f>OR(AND(IF(Metadata!V373="",FALSE,TRUE),OR(EXACT(Metadata!V373,"not collected"),EXACT(Metadata!V373,"not provided"),EXACT(Metadata!V373,"restricted access"))),AND(IF(Metadata!V373="",FALSE,ISNUMBER(VALUE(Metadata!V373))),Metadata!V373&gt;=-180,Metadata!V373&lt;=180))</f>
        <v>0</v>
      </c>
      <c r="BJ373" t="b">
        <f>AND(IF(Metadata!W373="",FALSE,TRUE),EXACT(Metadata!W373,"Decimal degrees"))</f>
        <v>0</v>
      </c>
      <c r="BK373" t="b">
        <f>IF(Metadata!X373="",FALSE,TRUE)</f>
        <v>0</v>
      </c>
      <c r="BL373" t="b">
        <f>OR(AND(IF(Metadata!Y373="",FALSE,TRUE),OR(EXACT(Metadata!Y373,"not collected"),EXACT(Metadata!Y373,"not provided"),EXACT(Metadata!Y373,"restricted access"))),AND(IF(Metadata!Y373="",FALSE,TRUE),OR(EXACT(Metadata!Y373,"TRUE"),EXACT(Metadata!Y373,"FALSE"))))</f>
        <v>0</v>
      </c>
      <c r="BM373" t="b">
        <f>OR(AND(IF(Metadata!Z373="",FALSE,TRUE),EXACT(Metadata!Z373,"not applicable")),AND(IF(Metadata!Z373="",FALSE,TRUE),OR(EXACT(Metadata!Z373,"beer"),EXACT(Metadata!Z373,"cheese"),EXACT(Metadata!Z373,"fresh water"),EXACT(Metadata!Z373,"marine sediment"),EXACT(Metadata!Z373,"sea water"),EXACT(Metadata!Z373,"sediment"),EXACT(Metadata!Z373,"soil"),EXACT(Metadata!Z373,"waste water"))))</f>
        <v>0</v>
      </c>
      <c r="BN373" t="b">
        <f>AND(IF(Metadata!AA373="",FALSE,TRUE),EXACT(Metadata!AA373,"metagenome"))</f>
        <v>0</v>
      </c>
      <c r="BO373" t="b">
        <f>AND(IF(Metadata!AB373="",FALSE,TRUE),EXACT(Metadata!AB373,"256318"))</f>
        <v>0</v>
      </c>
      <c r="BP373" t="b">
        <f>IF(Metadata!AC373="",FALSE,TRUE)</f>
        <v>0</v>
      </c>
      <c r="BQ373" t="b">
        <f>IF(Metadata!AD373="",FALSE,TRUE)</f>
        <v>0</v>
      </c>
    </row>
    <row r="374" spans="1:69" x14ac:dyDescent="0.2">
      <c r="A374" s="4" t="e">
        <f ca="1">IF(B374=" "," ",HYPERLINK(CONCATENATE("#metadata!",ADDRESS(INDEX($AJ$2:$AJ$1001,MATCH(ROWS($AH$2:AH374),$AH$2:$AH$1001,0),0),2)),INDEX($AM$2:$AM$1001,MATCH(ROWS($AH$2:AH374),$AH$2:$AH$1001,0),0)))</f>
        <v>#N/A</v>
      </c>
      <c r="B374" s="5" t="e">
        <f ca="1">IF(OR(INDEX($AI$2:$AI$1001,MATCH(ROWS($AH$2:AH374),$AH$2:$AH$1001,0),1)&gt;=100000,INDEX($AO$1005:$BQ$1005,1,MATCH(COLUMNS($AO$1006:AO1006),$AO$1006:$BQ$1006,0))&gt;=100000), " ",IF(INDEX($AO$2:$BQ$1001,MATCH(ROWS($AH$2:AH374),$AH$2:$AH$1001,0),MATCH(COLUMNS($AO$1006:AO1006),$AO$1006:$BQ$1006,0)), HYPERLINK("#",""), HYPERLINK(CONCATENATE("#Metadata!", ADDRESS(INDEX($AJ$2:$AJ$1001,MATCH(ROWS($AH$2:AH374),$AH$2:$AH$1001,0),0), INDEX($AO$1004:$BQ$1004,1,MATCH(COLUMNS($AO$1006:AO1006),$AO$1006:$BQ$1006,0)))),"Fix")))</f>
        <v>#N/A</v>
      </c>
      <c r="C374" s="5" t="e">
        <f ca="1">IF(OR(INDEX($AI$2:$AI$1001,MATCH(ROWS($AH$2:AH374),$AH$2:$AH$1001,0),1)&gt;=100000,INDEX($AO$1005:$BQ$1005,1,MATCH(COLUMNS($AO$1006:AP1006),$AO$1006:$BQ$1006,0))&gt;=100000), " ",IF(INDEX($AO$2:$BQ$1001,MATCH(ROWS($AH$2:AH374),$AH$2:$AH$1001,0),MATCH(COLUMNS($AO$1006:AP1006),$AO$1006:$BQ$1006,0)), HYPERLINK("#",""), HYPERLINK(CONCATENATE("#Metadata!", ADDRESS(INDEX($AJ$2:$AJ$1001,MATCH(ROWS($AH$2:AH374),$AH$2:$AH$1001,0),0), INDEX($AO$1004:$BQ$1004,1,MATCH(COLUMNS($AO$1006:AP1006),$AO$1006:$BQ$1006,0)))),"Fix")))</f>
        <v>#N/A</v>
      </c>
      <c r="D374" s="5" t="e">
        <f ca="1">IF(OR(INDEX($AI$2:$AI$1001,MATCH(ROWS($AH$2:AH374),$AH$2:$AH$1001,0),1)&gt;=100000,INDEX($AO$1005:$BQ$1005,1,MATCH(COLUMNS($AO$1006:AQ1006),$AO$1006:$BQ$1006,0))&gt;=100000), " ",IF(INDEX($AO$2:$BQ$1001,MATCH(ROWS($AH$2:AH374),$AH$2:$AH$1001,0),MATCH(COLUMNS($AO$1006:AQ1006),$AO$1006:$BQ$1006,0)), HYPERLINK("#",""), HYPERLINK(CONCATENATE("#Metadata!", ADDRESS(INDEX($AJ$2:$AJ$1001,MATCH(ROWS($AH$2:AH374),$AH$2:$AH$1001,0),0), INDEX($AO$1004:$BQ$1004,1,MATCH(COLUMNS($AO$1006:AQ1006),$AO$1006:$BQ$1006,0)))),"Fix")))</f>
        <v>#N/A</v>
      </c>
      <c r="E374" s="5" t="e">
        <f ca="1">IF(OR(INDEX($AI$2:$AI$1001,MATCH(ROWS($AH$2:AH374),$AH$2:$AH$1001,0),1)&gt;=100000,INDEX($AO$1005:$BQ$1005,1,MATCH(COLUMNS($AO$1006:AR1006),$AO$1006:$BQ$1006,0))&gt;=100000), " ",IF(INDEX($AO$2:$BQ$1001,MATCH(ROWS($AH$2:AH374),$AH$2:$AH$1001,0),MATCH(COLUMNS($AO$1006:AR1006),$AO$1006:$BQ$1006,0)), HYPERLINK("#",""), HYPERLINK(CONCATENATE("#Metadata!", ADDRESS(INDEX($AJ$2:$AJ$1001,MATCH(ROWS($AH$2:AH374),$AH$2:$AH$1001,0),0), INDEX($AO$1004:$BQ$1004,1,MATCH(COLUMNS($AO$1006:AR1006),$AO$1006:$BQ$1006,0)))),"Fix")))</f>
        <v>#N/A</v>
      </c>
      <c r="F374" s="5" t="e">
        <f ca="1">IF(OR(INDEX($AI$2:$AI$1001,MATCH(ROWS($AH$2:AH374),$AH$2:$AH$1001,0),1)&gt;=100000,INDEX($AO$1005:$BQ$1005,1,MATCH(COLUMNS($AO$1006:AS1006),$AO$1006:$BQ$1006,0))&gt;=100000), " ",IF(INDEX($AO$2:$BQ$1001,MATCH(ROWS($AH$2:AH374),$AH$2:$AH$1001,0),MATCH(COLUMNS($AO$1006:AS1006),$AO$1006:$BQ$1006,0)), HYPERLINK("#",""), HYPERLINK(CONCATENATE("#Metadata!", ADDRESS(INDEX($AJ$2:$AJ$1001,MATCH(ROWS($AH$2:AH374),$AH$2:$AH$1001,0),0), INDEX($AO$1004:$BQ$1004,1,MATCH(COLUMNS($AO$1006:AS1006),$AO$1006:$BQ$1006,0)))),"Fix")))</f>
        <v>#N/A</v>
      </c>
      <c r="G374" s="5" t="e">
        <f ca="1">IF(OR(INDEX($AI$2:$AI$1001,MATCH(ROWS($AH$2:AH374),$AH$2:$AH$1001,0),1)&gt;=100000,INDEX($AO$1005:$BQ$1005,1,MATCH(COLUMNS($AO$1006:AT1006),$AO$1006:$BQ$1006,0))&gt;=100000), " ",IF(INDEX($AO$2:$BQ$1001,MATCH(ROWS($AH$2:AH374),$AH$2:$AH$1001,0),MATCH(COLUMNS($AO$1006:AT1006),$AO$1006:$BQ$1006,0)), HYPERLINK("#",""), HYPERLINK(CONCATENATE("#Metadata!", ADDRESS(INDEX($AJ$2:$AJ$1001,MATCH(ROWS($AH$2:AH374),$AH$2:$AH$1001,0),0), INDEX($AO$1004:$BQ$1004,1,MATCH(COLUMNS($AO$1006:AT1006),$AO$1006:$BQ$1006,0)))),"Fix")))</f>
        <v>#N/A</v>
      </c>
      <c r="H374" s="5" t="e">
        <f ca="1">IF(OR(INDEX($AI$2:$AI$1001,MATCH(ROWS($AH$2:AH374),$AH$2:$AH$1001,0),1)&gt;=100000,INDEX($AO$1005:$BQ$1005,1,MATCH(COLUMNS($AO$1006:AU1006),$AO$1006:$BQ$1006,0))&gt;=100000), " ",IF(INDEX($AO$2:$BQ$1001,MATCH(ROWS($AH$2:AH374),$AH$2:$AH$1001,0),MATCH(COLUMNS($AO$1006:AU1006),$AO$1006:$BQ$1006,0)), HYPERLINK("#",""), HYPERLINK(CONCATENATE("#Metadata!", ADDRESS(INDEX($AJ$2:$AJ$1001,MATCH(ROWS($AH$2:AH374),$AH$2:$AH$1001,0),0), INDEX($AO$1004:$BQ$1004,1,MATCH(COLUMNS($AO$1006:AU1006),$AO$1006:$BQ$1006,0)))),"Fix")))</f>
        <v>#N/A</v>
      </c>
      <c r="I374" s="5" t="e">
        <f ca="1">IF(OR(INDEX($AI$2:$AI$1001,MATCH(ROWS($AH$2:AH374),$AH$2:$AH$1001,0),1)&gt;=100000,INDEX($AO$1005:$BQ$1005,1,MATCH(COLUMNS($AO$1006:AV1006),$AO$1006:$BQ$1006,0))&gt;=100000), " ",IF(INDEX($AO$2:$BQ$1001,MATCH(ROWS($AH$2:AH374),$AH$2:$AH$1001,0),MATCH(COLUMNS($AO$1006:AV1006),$AO$1006:$BQ$1006,0)), HYPERLINK("#",""), HYPERLINK(CONCATENATE("#Metadata!", ADDRESS(INDEX($AJ$2:$AJ$1001,MATCH(ROWS($AH$2:AH374),$AH$2:$AH$1001,0),0), INDEX($AO$1004:$BQ$1004,1,MATCH(COLUMNS($AO$1006:AV1006),$AO$1006:$BQ$1006,0)))),"Fix")))</f>
        <v>#N/A</v>
      </c>
      <c r="J374" s="5" t="e">
        <f ca="1">IF(OR(INDEX($AI$2:$AI$1001,MATCH(ROWS($AH$2:AH374),$AH$2:$AH$1001,0),1)&gt;=100000,INDEX($AO$1005:$BQ$1005,1,MATCH(COLUMNS($AO$1006:AW1006),$AO$1006:$BQ$1006,0))&gt;=100000), " ",IF(INDEX($AO$2:$BQ$1001,MATCH(ROWS($AH$2:AH374),$AH$2:$AH$1001,0),MATCH(COLUMNS($AO$1006:AW1006),$AO$1006:$BQ$1006,0)), HYPERLINK("#",""), HYPERLINK(CONCATENATE("#Metadata!", ADDRESS(INDEX($AJ$2:$AJ$1001,MATCH(ROWS($AH$2:AH374),$AH$2:$AH$1001,0),0), INDEX($AO$1004:$BQ$1004,1,MATCH(COLUMNS($AO$1006:AW1006),$AO$1006:$BQ$1006,0)))),"Fix")))</f>
        <v>#N/A</v>
      </c>
      <c r="K374" s="5" t="e">
        <f ca="1">IF(OR(INDEX($AI$2:$AI$1001,MATCH(ROWS($AH$2:AH374),$AH$2:$AH$1001,0),1)&gt;=100000,INDEX($AO$1005:$BQ$1005,1,MATCH(COLUMNS($AO$1006:AX1006),$AO$1006:$BQ$1006,0))&gt;=100000), " ",IF(INDEX($AO$2:$BQ$1001,MATCH(ROWS($AH$2:AH374),$AH$2:$AH$1001,0),MATCH(COLUMNS($AO$1006:AX1006),$AO$1006:$BQ$1006,0)), HYPERLINK("#",""), HYPERLINK(CONCATENATE("#Metadata!", ADDRESS(INDEX($AJ$2:$AJ$1001,MATCH(ROWS($AH$2:AH374),$AH$2:$AH$1001,0),0), INDEX($AO$1004:$BQ$1004,1,MATCH(COLUMNS($AO$1006:AX1006),$AO$1006:$BQ$1006,0)))),"Fix")))</f>
        <v>#N/A</v>
      </c>
      <c r="L374" s="5" t="e">
        <f ca="1">IF(OR(INDEX($AI$2:$AI$1001,MATCH(ROWS($AH$2:AH374),$AH$2:$AH$1001,0),1)&gt;=100000,INDEX($AO$1005:$BQ$1005,1,MATCH(COLUMNS($AO$1006:AY1006),$AO$1006:$BQ$1006,0))&gt;=100000), " ",IF(INDEX($AO$2:$BQ$1001,MATCH(ROWS($AH$2:AH374),$AH$2:$AH$1001,0),MATCH(COLUMNS($AO$1006:AY1006),$AO$1006:$BQ$1006,0)), HYPERLINK("#",""), HYPERLINK(CONCATENATE("#Metadata!", ADDRESS(INDEX($AJ$2:$AJ$1001,MATCH(ROWS($AH$2:AH374),$AH$2:$AH$1001,0),0), INDEX($AO$1004:$BQ$1004,1,MATCH(COLUMNS($AO$1006:AY1006),$AO$1006:$BQ$1006,0)))),"Fix")))</f>
        <v>#N/A</v>
      </c>
      <c r="M374" s="5" t="e">
        <f ca="1">IF(OR(INDEX($AI$2:$AI$1001,MATCH(ROWS($AH$2:AH374),$AH$2:$AH$1001,0),1)&gt;=100000,INDEX($AO$1005:$BQ$1005,1,MATCH(COLUMNS($AO$1006:AZ1006),$AO$1006:$BQ$1006,0))&gt;=100000), " ",IF(INDEX($AO$2:$BQ$1001,MATCH(ROWS($AH$2:AH374),$AH$2:$AH$1001,0),MATCH(COLUMNS($AO$1006:AZ1006),$AO$1006:$BQ$1006,0)), HYPERLINK("#",""), HYPERLINK(CONCATENATE("#Metadata!", ADDRESS(INDEX($AJ$2:$AJ$1001,MATCH(ROWS($AH$2:AH374),$AH$2:$AH$1001,0),0), INDEX($AO$1004:$BQ$1004,1,MATCH(COLUMNS($AO$1006:AZ1006),$AO$1006:$BQ$1006,0)))),"Fix")))</f>
        <v>#N/A</v>
      </c>
      <c r="N374" s="5" t="e">
        <f ca="1">IF(OR(INDEX($AI$2:$AI$1001,MATCH(ROWS($AH$2:AH374),$AH$2:$AH$1001,0),1)&gt;=100000,INDEX($AO$1005:$BQ$1005,1,MATCH(COLUMNS($AO$1006:BA1006),$AO$1006:$BQ$1006,0))&gt;=100000), " ",IF(INDEX($AO$2:$BQ$1001,MATCH(ROWS($AH$2:AH374),$AH$2:$AH$1001,0),MATCH(COLUMNS($AO$1006:BA1006),$AO$1006:$BQ$1006,0)), HYPERLINK("#",""), HYPERLINK(CONCATENATE("#Metadata!", ADDRESS(INDEX($AJ$2:$AJ$1001,MATCH(ROWS($AH$2:AH374),$AH$2:$AH$1001,0),0), INDEX($AO$1004:$BQ$1004,1,MATCH(COLUMNS($AO$1006:BA1006),$AO$1006:$BQ$1006,0)))),"Fix")))</f>
        <v>#N/A</v>
      </c>
      <c r="O374" s="5" t="e">
        <f ca="1">IF(OR(INDEX($AI$2:$AI$1001,MATCH(ROWS($AH$2:AH374),$AH$2:$AH$1001,0),1)&gt;=100000,INDEX($AO$1005:$BQ$1005,1,MATCH(COLUMNS($AO$1006:BB1006),$AO$1006:$BQ$1006,0))&gt;=100000), " ",IF(INDEX($AO$2:$BQ$1001,MATCH(ROWS($AH$2:AH374),$AH$2:$AH$1001,0),MATCH(COLUMNS($AO$1006:BB1006),$AO$1006:$BQ$1006,0)), HYPERLINK("#",""), HYPERLINK(CONCATENATE("#Metadata!", ADDRESS(INDEX($AJ$2:$AJ$1001,MATCH(ROWS($AH$2:AH374),$AH$2:$AH$1001,0),0), INDEX($AO$1004:$BQ$1004,1,MATCH(COLUMNS($AO$1006:BB1006),$AO$1006:$BQ$1006,0)))),"Fix")))</f>
        <v>#N/A</v>
      </c>
      <c r="P374" s="5" t="e">
        <f ca="1">IF(OR(INDEX($AI$2:$AI$1001,MATCH(ROWS($AH$2:AH374),$AH$2:$AH$1001,0),1)&gt;=100000,INDEX($AO$1005:$BQ$1005,1,MATCH(COLUMNS($AO$1006:BC1006),$AO$1006:$BQ$1006,0))&gt;=100000), " ",IF(INDEX($AO$2:$BQ$1001,MATCH(ROWS($AH$2:AH374),$AH$2:$AH$1001,0),MATCH(COLUMNS($AO$1006:BC1006),$AO$1006:$BQ$1006,0)), HYPERLINK("#",""), HYPERLINK(CONCATENATE("#Metadata!", ADDRESS(INDEX($AJ$2:$AJ$1001,MATCH(ROWS($AH$2:AH374),$AH$2:$AH$1001,0),0), INDEX($AO$1004:$BQ$1004,1,MATCH(COLUMNS($AO$1006:BC1006),$AO$1006:$BQ$1006,0)))),"Fix")))</f>
        <v>#N/A</v>
      </c>
      <c r="Q374" s="5" t="e">
        <f ca="1">IF(OR(INDEX($AI$2:$AI$1001,MATCH(ROWS($AH$2:AH374),$AH$2:$AH$1001,0),1)&gt;=100000,INDEX($AO$1005:$BQ$1005,1,MATCH(COLUMNS($AO$1006:BD1006),$AO$1006:$BQ$1006,0))&gt;=100000), " ",IF(INDEX($AO$2:$BQ$1001,MATCH(ROWS($AH$2:AH374),$AH$2:$AH$1001,0),MATCH(COLUMNS($AO$1006:BD1006),$AO$1006:$BQ$1006,0)), HYPERLINK("#",""), HYPERLINK(CONCATENATE("#Metadata!", ADDRESS(INDEX($AJ$2:$AJ$1001,MATCH(ROWS($AH$2:AH374),$AH$2:$AH$1001,0),0), INDEX($AO$1004:$BQ$1004,1,MATCH(COLUMNS($AO$1006:BD1006),$AO$1006:$BQ$1006,0)))),"Fix")))</f>
        <v>#N/A</v>
      </c>
      <c r="R374" s="5" t="e">
        <f ca="1">IF(OR(INDEX($AI$2:$AI$1001,MATCH(ROWS($AH$2:AH374),$AH$2:$AH$1001,0),1)&gt;=100000,INDEX($AO$1005:$BQ$1005,1,MATCH(COLUMNS($AO$1006:BE1006),$AO$1006:$BQ$1006,0))&gt;=100000), " ",IF(INDEX($AO$2:$BQ$1001,MATCH(ROWS($AH$2:AH374),$AH$2:$AH$1001,0),MATCH(COLUMNS($AO$1006:BE1006),$AO$1006:$BQ$1006,0)), HYPERLINK("#",""), HYPERLINK(CONCATENATE("#Metadata!", ADDRESS(INDEX($AJ$2:$AJ$1001,MATCH(ROWS($AH$2:AH374),$AH$2:$AH$1001,0),0), INDEX($AO$1004:$BQ$1004,1,MATCH(COLUMNS($AO$1006:BE1006),$AO$1006:$BQ$1006,0)))),"Fix")))</f>
        <v>#N/A</v>
      </c>
      <c r="S374" s="5" t="e">
        <f ca="1">IF(OR(INDEX($AI$2:$AI$1001,MATCH(ROWS($AH$2:AH374),$AH$2:$AH$1001,0),1)&gt;=100000,INDEX($AO$1005:$BQ$1005,1,MATCH(COLUMNS($AO$1006:BF1006),$AO$1006:$BQ$1006,0))&gt;=100000), " ",IF(INDEX($AO$2:$BQ$1001,MATCH(ROWS($AH$2:AH374),$AH$2:$AH$1001,0),MATCH(COLUMNS($AO$1006:BF1006),$AO$1006:$BQ$1006,0)), HYPERLINK("#",""), HYPERLINK(CONCATENATE("#Metadata!", ADDRESS(INDEX($AJ$2:$AJ$1001,MATCH(ROWS($AH$2:AH374),$AH$2:$AH$1001,0),0), INDEX($AO$1004:$BQ$1004,1,MATCH(COLUMNS($AO$1006:BF1006),$AO$1006:$BQ$1006,0)))),"Fix")))</f>
        <v>#N/A</v>
      </c>
      <c r="T374" s="5" t="e">
        <f ca="1">IF(OR(INDEX($AI$2:$AI$1001,MATCH(ROWS($AH$2:AH374),$AH$2:$AH$1001,0),1)&gt;=100000,INDEX($AO$1005:$BQ$1005,1,MATCH(COLUMNS($AO$1006:BG1006),$AO$1006:$BQ$1006,0))&gt;=100000), " ",IF(INDEX($AO$2:$BQ$1001,MATCH(ROWS($AH$2:AH374),$AH$2:$AH$1001,0),MATCH(COLUMNS($AO$1006:BG1006),$AO$1006:$BQ$1006,0)), HYPERLINK("#",""), HYPERLINK(CONCATENATE("#Metadata!", ADDRESS(INDEX($AJ$2:$AJ$1001,MATCH(ROWS($AH$2:AH374),$AH$2:$AH$1001,0),0), INDEX($AO$1004:$BQ$1004,1,MATCH(COLUMNS($AO$1006:BG1006),$AO$1006:$BQ$1006,0)))),"Fix")))</f>
        <v>#N/A</v>
      </c>
      <c r="U374" s="5" t="e">
        <f ca="1">IF(OR(INDEX($AI$2:$AI$1001,MATCH(ROWS($AH$2:AH374),$AH$2:$AH$1001,0),1)&gt;=100000,INDEX($AO$1005:$BQ$1005,1,MATCH(COLUMNS($AO$1006:BH1006),$AO$1006:$BQ$1006,0))&gt;=100000), " ",IF(INDEX($AO$2:$BQ$1001,MATCH(ROWS($AH$2:AH374),$AH$2:$AH$1001,0),MATCH(COLUMNS($AO$1006:BH1006),$AO$1006:$BQ$1006,0)), HYPERLINK("#",""), HYPERLINK(CONCATENATE("#Metadata!", ADDRESS(INDEX($AJ$2:$AJ$1001,MATCH(ROWS($AH$2:AH374),$AH$2:$AH$1001,0),0), INDEX($AO$1004:$BQ$1004,1,MATCH(COLUMNS($AO$1006:BH1006),$AO$1006:$BQ$1006,0)))),"Fix")))</f>
        <v>#N/A</v>
      </c>
      <c r="V374" s="5" t="e">
        <f ca="1">IF(OR(INDEX($AI$2:$AI$1001,MATCH(ROWS($AH$2:AH374),$AH$2:$AH$1001,0),1)&gt;=100000,INDEX($AO$1005:$BQ$1005,1,MATCH(COLUMNS($AO$1006:BI1006),$AO$1006:$BQ$1006,0))&gt;=100000), " ",IF(INDEX($AO$2:$BQ$1001,MATCH(ROWS($AH$2:AH374),$AH$2:$AH$1001,0),MATCH(COLUMNS($AO$1006:BI1006),$AO$1006:$BQ$1006,0)), HYPERLINK("#",""), HYPERLINK(CONCATENATE("#Metadata!", ADDRESS(INDEX($AJ$2:$AJ$1001,MATCH(ROWS($AH$2:AH374),$AH$2:$AH$1001,0),0), INDEX($AO$1004:$BQ$1004,1,MATCH(COLUMNS($AO$1006:BI1006),$AO$1006:$BQ$1006,0)))),"Fix")))</f>
        <v>#N/A</v>
      </c>
      <c r="W374" s="5" t="e">
        <f ca="1">IF(OR(INDEX($AI$2:$AI$1001,MATCH(ROWS($AH$2:AH374),$AH$2:$AH$1001,0),1)&gt;=100000,INDEX($AO$1005:$BQ$1005,1,MATCH(COLUMNS($AO$1006:BJ1006),$AO$1006:$BQ$1006,0))&gt;=100000), " ",IF(INDEX($AO$2:$BQ$1001,MATCH(ROWS($AH$2:AH374),$AH$2:$AH$1001,0),MATCH(COLUMNS($AO$1006:BJ1006),$AO$1006:$BQ$1006,0)), HYPERLINK("#",""), HYPERLINK(CONCATENATE("#Metadata!", ADDRESS(INDEX($AJ$2:$AJ$1001,MATCH(ROWS($AH$2:AH374),$AH$2:$AH$1001,0),0), INDEX($AO$1004:$BQ$1004,1,MATCH(COLUMNS($AO$1006:BJ1006),$AO$1006:$BQ$1006,0)))),"Fix")))</f>
        <v>#N/A</v>
      </c>
      <c r="X374" s="5" t="e">
        <f ca="1">IF(OR(INDEX($AI$2:$AI$1001,MATCH(ROWS($AH$2:AH374),$AH$2:$AH$1001,0),1)&gt;=100000,INDEX($AO$1005:$BQ$1005,1,MATCH(COLUMNS($AO$1006:BK1006),$AO$1006:$BQ$1006,0))&gt;=100000), " ",IF(INDEX($AO$2:$BQ$1001,MATCH(ROWS($AH$2:AH374),$AH$2:$AH$1001,0),MATCH(COLUMNS($AO$1006:BK1006),$AO$1006:$BQ$1006,0)), HYPERLINK("#",""), HYPERLINK(CONCATENATE("#Metadata!", ADDRESS(INDEX($AJ$2:$AJ$1001,MATCH(ROWS($AH$2:AH374),$AH$2:$AH$1001,0),0), INDEX($AO$1004:$BQ$1004,1,MATCH(COLUMNS($AO$1006:BK1006),$AO$1006:$BQ$1006,0)))),"Fix")))</f>
        <v>#N/A</v>
      </c>
      <c r="Y374" s="5" t="e">
        <f ca="1">IF(OR(INDEX($AI$2:$AI$1001,MATCH(ROWS($AH$2:AH374),$AH$2:$AH$1001,0),1)&gt;=100000,INDEX($AO$1005:$BQ$1005,1,MATCH(COLUMNS($AO$1006:BL1006),$AO$1006:$BQ$1006,0))&gt;=100000), " ",IF(INDEX($AO$2:$BQ$1001,MATCH(ROWS($AH$2:AH374),$AH$2:$AH$1001,0),MATCH(COLUMNS($AO$1006:BL1006),$AO$1006:$BQ$1006,0)), HYPERLINK("#",""), HYPERLINK(CONCATENATE("#Metadata!", ADDRESS(INDEX($AJ$2:$AJ$1001,MATCH(ROWS($AH$2:AH374),$AH$2:$AH$1001,0),0), INDEX($AO$1004:$BQ$1004,1,MATCH(COLUMNS($AO$1006:BL1006),$AO$1006:$BQ$1006,0)))),"Fix")))</f>
        <v>#N/A</v>
      </c>
      <c r="Z374" s="5" t="e">
        <f ca="1">IF(OR(INDEX($AI$2:$AI$1001,MATCH(ROWS($AH$2:AH374),$AH$2:$AH$1001,0),1)&gt;=100000,INDEX($AO$1005:$BQ$1005,1,MATCH(COLUMNS($AO$1006:BM1006),$AO$1006:$BQ$1006,0))&gt;=100000), " ",IF(INDEX($AO$2:$BQ$1001,MATCH(ROWS($AH$2:AH374),$AH$2:$AH$1001,0),MATCH(COLUMNS($AO$1006:BM1006),$AO$1006:$BQ$1006,0)), HYPERLINK("#",""), HYPERLINK(CONCATENATE("#Metadata!", ADDRESS(INDEX($AJ$2:$AJ$1001,MATCH(ROWS($AH$2:AH374),$AH$2:$AH$1001,0),0), INDEX($AO$1004:$BQ$1004,1,MATCH(COLUMNS($AO$1006:BM1006),$AO$1006:$BQ$1006,0)))),"Fix")))</f>
        <v>#N/A</v>
      </c>
      <c r="AA374" s="5" t="e">
        <f ca="1">IF(OR(INDEX($AI$2:$AI$1001,MATCH(ROWS($AH$2:AH374),$AH$2:$AH$1001,0),1)&gt;=100000,INDEX($AO$1005:$BQ$1005,1,MATCH(COLUMNS($AO$1006:BN1006),$AO$1006:$BQ$1006,0))&gt;=100000), " ",IF(INDEX($AO$2:$BQ$1001,MATCH(ROWS($AH$2:AH374),$AH$2:$AH$1001,0),MATCH(COLUMNS($AO$1006:BN1006),$AO$1006:$BQ$1006,0)), HYPERLINK("#",""), HYPERLINK(CONCATENATE("#Metadata!", ADDRESS(INDEX($AJ$2:$AJ$1001,MATCH(ROWS($AH$2:AH374),$AH$2:$AH$1001,0),0), INDEX($AO$1004:$BQ$1004,1,MATCH(COLUMNS($AO$1006:BN1006),$AO$1006:$BQ$1006,0)))),"Fix")))</f>
        <v>#N/A</v>
      </c>
      <c r="AB374" s="5" t="e">
        <f ca="1">IF(OR(INDEX($AI$2:$AI$1001,MATCH(ROWS($AH$2:AH374),$AH$2:$AH$1001,0),1)&gt;=100000,INDEX($AO$1005:$BQ$1005,1,MATCH(COLUMNS($AO$1006:BO1006),$AO$1006:$BQ$1006,0))&gt;=100000), " ",IF(INDEX($AO$2:$BQ$1001,MATCH(ROWS($AH$2:AH374),$AH$2:$AH$1001,0),MATCH(COLUMNS($AO$1006:BO1006),$AO$1006:$BQ$1006,0)), HYPERLINK("#",""), HYPERLINK(CONCATENATE("#Metadata!", ADDRESS(INDEX($AJ$2:$AJ$1001,MATCH(ROWS($AH$2:AH374),$AH$2:$AH$1001,0),0), INDEX($AO$1004:$BQ$1004,1,MATCH(COLUMNS($AO$1006:BO1006),$AO$1006:$BQ$1006,0)))),"Fix")))</f>
        <v>#N/A</v>
      </c>
      <c r="AC374" s="5" t="e">
        <f ca="1">IF(OR(INDEX($AI$2:$AI$1001,MATCH(ROWS($AH$2:AH374),$AH$2:$AH$1001,0),1)&gt;=100000,INDEX($AO$1005:$BQ$1005,1,MATCH(COLUMNS($AO$1006:BP1006),$AO$1006:$BQ$1006,0))&gt;=100000), " ",IF(INDEX($AO$2:$BQ$1001,MATCH(ROWS($AH$2:AH374),$AH$2:$AH$1001,0),MATCH(COLUMNS($AO$1006:BP1006),$AO$1006:$BQ$1006,0)), HYPERLINK("#",""), HYPERLINK(CONCATENATE("#Metadata!", ADDRESS(INDEX($AJ$2:$AJ$1001,MATCH(ROWS($AH$2:AH374),$AH$2:$AH$1001,0),0), INDEX($AO$1004:$BQ$1004,1,MATCH(COLUMNS($AO$1006:BP1006),$AO$1006:$BQ$1006,0)))),"Fix")))</f>
        <v>#N/A</v>
      </c>
      <c r="AD374" s="5" t="e">
        <f ca="1">IF(OR(INDEX($AI$2:$AI$1001,MATCH(ROWS($AH$2:AH374),$AH$2:$AH$1001,0),1)&gt;=100000,INDEX($AO$1005:$BQ$1005,1,MATCH(COLUMNS($AO$1006:BQ1006),$AO$1006:$BQ$1006,0))&gt;=100000), " ",IF(INDEX($AO$2:$BQ$1001,MATCH(ROWS($AH$2:AH374),$AH$2:$AH$1001,0),MATCH(COLUMNS($AO$1006:BQ1006),$AO$1006:$BQ$1006,0)), HYPERLINK("#",""), HYPERLINK(CONCATENATE("#Metadata!", ADDRESS(INDEX($AJ$2:$AJ$1001,MATCH(ROWS($AH$2:AH374),$AH$2:$AH$1001,0),0), INDEX($AO$1004:$BQ$1004,1,MATCH(COLUMNS($AO$1006:BQ1006),$AO$1006:$BQ$1006,0)))),"Fix")))</f>
        <v>#REF!</v>
      </c>
      <c r="AH374">
        <f ca="1"/>
        <v>371</v>
      </c>
      <c r="AI374">
        <v>100374</v>
      </c>
      <c r="AJ374">
        <v>374</v>
      </c>
      <c r="AK374" t="b">
        <f t="shared" si="5"/>
        <v>1</v>
      </c>
      <c r="AL374" t="b">
        <f>COUNTBLANK(Metadata!B374:AD374)=COLUMNS(Metadata!B374:AD374)</f>
        <v>1</v>
      </c>
      <c r="AM374" t="str">
        <v/>
      </c>
      <c r="AO374" t="b">
        <f ca="1">AND(IF(Metadata!B374="",FALSE,TRUE),COUNTIF(Metadata!B:B, Metadata!B374) = 1,NOT(ISERROR(SUMPRODUCT(SEARCH(MID(Metadata!B374,ROW(INDIRECT("1:"&amp;LEN(Metadata!B374))), 1),"0123456789abcdefghijklmnopqrstuvwxyzABCDEFGHIJKLMNOPQRSTUVWXYZ.")))))</f>
        <v>0</v>
      </c>
      <c r="AP374" t="b">
        <f>IF(Metadata!C374="",FALSE,TRUE)</f>
        <v>0</v>
      </c>
      <c r="AQ374" t="b">
        <f>IF(Metadata!D374="",FALSE,TRUE)</f>
        <v>0</v>
      </c>
      <c r="AR374" t="b">
        <f ca="1">OR(AND(IF(Metadata!E374="",FALSE,TRUE),OR(EXACT(Metadata!E374,"not collected"),EXACT(Metadata!E374,"not provided"),EXACT(Metadata!E374,"restricted access"))),AND(IF(Metadata!E374="",FALSE,TRUE),AND(AND(IFERROR(INT(LEFT(Metadata!E374,4))&gt;1900,FALSE),IFERROR(INT(LEFT(Metadata!E374,4))&lt;=YEAR(NOW()),FALSE)), OR(MID(Metadata!E374,5,1)="", AND(AND(MID(Metadata!E374,5,1)="-",IFERROR(INT(MID(Metadata!E374,6,1))&gt;=0,FALSE),IFERROR(INT(MID(Metadata!E374,6,1))&lt;=1,FALSE),NOT(MID(Metadata!E374,7,1)=""),IFERROR(INT(MID(Metadata!E374,6,2))&gt;=1,FALSE),IFERROR(INT(MID(Metadata!E374,6,2))&lt;=12,FALSE)), OR(MID(Metadata!E374,8,1)="", AND(AND(MID(Metadata!E374,8,1)="-",IFERROR(INT(MID(Metadata!E374,9,1))&gt;=0,FALSE),IFERROR(INT(MID(Metadata!E374,9,1))&lt;=3,FALSE),NOT(MID(Metadata!E374,10,1)=""),IFERROR(INT(MID(Metadata!E374,9,2))&gt;=1,FALSE),IFERROR(INT(MID(Metadata!E374,9,2))&lt;=31,FALSE)), OR(MID(Metadata!E374,11,1)="", AND(AND(MID(Metadata!E374,11,1)=" ",IFERROR(INT(MID(Metadata!E374,12,1))&gt;=0,FALSE),IFERROR(INT(MID(Metadata!E374,12,1))&lt;=2,FALSE),NOT(MID(Metadata!E374,13,1)=""),IFERROR(INT(MID(Metadata!E374,12,2))&gt;=0,FALSE),IFERROR(INT(MID(Metadata!E374,12,2))&lt;=23,FALSE)), OR(MID(Metadata!E374,14,1)="", AND(AND(MID(Metadata!E374,14,1)=":",IFERROR(INT(MID(Metadata!E374,15,1))&gt;=0,FALSE),IFERROR(INT(MID(Metadata!E374,15,1))&lt;=5,FALSE),NOT(MID(Metadata!E374,16,1)=""),IFERROR(INT(MID(Metadata!E374,15,2))&gt;=0,FALSE),IFERROR(INT(MID(Metadata!E374,15,2))&lt;=59,FALSE)), OR(MID(Metadata!E374,17,1)="", AND(AND(MID(Metadata!E374,17,1)=":",IFERROR(INT(MID(Metadata!E374,18,1))&gt;=0,FALSE),IFERROR(INT(MID(Metadata!E374,18,1))&lt;=5,FALSE),NOT(MID(Metadata!E374,19,1)=""),IFERROR(INT(MID(Metadata!E374,18,2))&gt;=0,FALSE),IFERROR(INT(MID(Metadata!E374,18,2))&lt;=59,FALSE)), LEN(Metadata!E374)&lt;=19)))))))))))))</f>
        <v>0</v>
      </c>
      <c r="AS374" t="b">
        <f>IF(Metadata!F374="",FALSE,TRUE)</f>
        <v>0</v>
      </c>
      <c r="AT374" t="b">
        <f>OR(AND(IF(Metadata!G374="",FALSE,TRUE),OR(EXACT(Metadata!G374,"not collected"),EXACT(Metadata!G374,"not provided"))),AND(IF(Metadata!G374="",FALSE,TRUE),OR(EXACT(Metadata!G374,"TRUE"),EXACT(Metadata!G374,"FALSE"))))</f>
        <v>0</v>
      </c>
      <c r="AU374" t="b">
        <f>OR(AND(IF(Metadata!H374="",FALSE,TRUE),OR(EXACT(Metadata!H374,"not collected"),EXACT(Metadata!H374,"not provided"),EXACT(Metadata!H374,"restricted access"))),AND(IF(Metadata!H374="",FALSE,ISNUMBER(VALUE(Metadata!H374))),Metadata!H374&gt;=-413))</f>
        <v>0</v>
      </c>
      <c r="AV374" t="b">
        <f>AND(IF(Metadata!I374="",FALSE,TRUE),EXACT(Metadata!I374,"meters"))</f>
        <v>0</v>
      </c>
      <c r="AW374" t="b">
        <f>AND(IF(Metadata!J374="",FALSE,TRUE),EXACT(Metadata!J374,"free-living"))</f>
        <v>0</v>
      </c>
      <c r="AX374" t="b">
        <f>AND(IF(Metadata!K374="",FALSE,TRUE),OR(EXACT(Metadata!K374,"saline"),EXACT(Metadata!K374,"non-saline")))</f>
        <v>0</v>
      </c>
      <c r="AY374" t="b">
        <f>AND(IF(Metadata!L374="",FALSE,TRUE),OR(EXACT(Metadata!L374,"sub-surface (non-saline)"),EXACT(Metadata!L374,"surface (non-saline)"),EXACT(Metadata!L374,"water (non-saline)"),EXACT(Metadata!L374,"soil (non-saline)"),EXACT(Metadata!L374,"aerosol (non-saline)"),EXACT(Metadata!L374,"sediment (non-saline)"),EXACT(Metadata!L374,"surface (saline)"),EXACT(Metadata!L374,"water (saline)"),EXACT(Metadata!L374,"hypersaline (saline)"),EXACT(Metadata!L374,"aerosol (saline)"),EXACT(Metadata!L374,"sediment (saline)")))</f>
        <v>0</v>
      </c>
      <c r="AZ374" t="b">
        <f>IF(Metadata!M374="",FALSE,TRUE)</f>
        <v>0</v>
      </c>
      <c r="BA374" t="b">
        <f>IF(Metadata!N374="",FALSE,TRUE)</f>
        <v>0</v>
      </c>
      <c r="BB374" t="b">
        <f>IF(Metadata!O374="",FALSE,TRUE)</f>
        <v>0</v>
      </c>
      <c r="BC374" t="b">
        <f>AND(IF(Metadata!P374="",FALSE,TRUE),OR(EXACT(Metadata!P374,"air"),EXACT(Metadata!P374,"microbial mat/biofilm"),EXACT(Metadata!P374,"misc environment"),EXACT(Metadata!P374,"sediment"),EXACT(Metadata!P374,"soil"),EXACT(Metadata!P374,"wastewater/sludge"),EXACT(Metadata!P374,"water")))</f>
        <v>0</v>
      </c>
      <c r="BD374" t="b">
        <f>IF(Metadata!Q374="",FALSE,TRUE)</f>
        <v>0</v>
      </c>
      <c r="BE374" t="b">
        <f>IF(Metadata!R374="",FALSE,TRUE)</f>
        <v>0</v>
      </c>
      <c r="BF374" t="b">
        <f>OR(AND(IF(Metadata!S374="",FALSE,TRUE),OR(EXACT(Metadata!S374,"not collected"),EXACT(Metadata!S374,"not provided"),EXACT(Metadata!S374,"restricted access"))),AND(IF(Metadata!S374="",FALSE,ISNUMBER(VALUE(Metadata!S374))),Metadata!S374&gt;=-90,Metadata!S374&lt;=90))</f>
        <v>0</v>
      </c>
      <c r="BG374" t="b">
        <f>AND(IF(Metadata!T374="",FALSE,TRUE),EXACT(Metadata!T374,"Decimal degrees"))</f>
        <v>0</v>
      </c>
      <c r="BH374" t="b">
        <f>OR(AND(IF(Metadata!U374="",FALSE,TRUE),OR(EXACT(Metadata!U374,"not applicable"),EXACT(Metadata!U374,"not collected"))),IF(Metadata!U374="",FALSE,TRUE))</f>
        <v>0</v>
      </c>
      <c r="BI374" t="b">
        <f>OR(AND(IF(Metadata!V374="",FALSE,TRUE),OR(EXACT(Metadata!V374,"not collected"),EXACT(Metadata!V374,"not provided"),EXACT(Metadata!V374,"restricted access"))),AND(IF(Metadata!V374="",FALSE,ISNUMBER(VALUE(Metadata!V374))),Metadata!V374&gt;=-180,Metadata!V374&lt;=180))</f>
        <v>0</v>
      </c>
      <c r="BJ374" t="b">
        <f>AND(IF(Metadata!W374="",FALSE,TRUE),EXACT(Metadata!W374,"Decimal degrees"))</f>
        <v>0</v>
      </c>
      <c r="BK374" t="b">
        <f>IF(Metadata!X374="",FALSE,TRUE)</f>
        <v>0</v>
      </c>
      <c r="BL374" t="b">
        <f>OR(AND(IF(Metadata!Y374="",FALSE,TRUE),OR(EXACT(Metadata!Y374,"not collected"),EXACT(Metadata!Y374,"not provided"),EXACT(Metadata!Y374,"restricted access"))),AND(IF(Metadata!Y374="",FALSE,TRUE),OR(EXACT(Metadata!Y374,"TRUE"),EXACT(Metadata!Y374,"FALSE"))))</f>
        <v>0</v>
      </c>
      <c r="BM374" t="b">
        <f>OR(AND(IF(Metadata!Z374="",FALSE,TRUE),EXACT(Metadata!Z374,"not applicable")),AND(IF(Metadata!Z374="",FALSE,TRUE),OR(EXACT(Metadata!Z374,"beer"),EXACT(Metadata!Z374,"cheese"),EXACT(Metadata!Z374,"fresh water"),EXACT(Metadata!Z374,"marine sediment"),EXACT(Metadata!Z374,"sea water"),EXACT(Metadata!Z374,"sediment"),EXACT(Metadata!Z374,"soil"),EXACT(Metadata!Z374,"waste water"))))</f>
        <v>0</v>
      </c>
      <c r="BN374" t="b">
        <f>AND(IF(Metadata!AA374="",FALSE,TRUE),EXACT(Metadata!AA374,"metagenome"))</f>
        <v>0</v>
      </c>
      <c r="BO374" t="b">
        <f>AND(IF(Metadata!AB374="",FALSE,TRUE),EXACT(Metadata!AB374,"256318"))</f>
        <v>0</v>
      </c>
      <c r="BP374" t="b">
        <f>IF(Metadata!AC374="",FALSE,TRUE)</f>
        <v>0</v>
      </c>
      <c r="BQ374" t="b">
        <f>IF(Metadata!AD374="",FALSE,TRUE)</f>
        <v>0</v>
      </c>
    </row>
    <row r="375" spans="1:69" x14ac:dyDescent="0.2">
      <c r="A375" s="4" t="e">
        <f ca="1">IF(B375=" "," ",HYPERLINK(CONCATENATE("#metadata!",ADDRESS(INDEX($AJ$2:$AJ$1001,MATCH(ROWS($AH$2:AH375),$AH$2:$AH$1001,0),0),2)),INDEX($AM$2:$AM$1001,MATCH(ROWS($AH$2:AH375),$AH$2:$AH$1001,0),0)))</f>
        <v>#N/A</v>
      </c>
      <c r="B375" s="5" t="e">
        <f ca="1">IF(OR(INDEX($AI$2:$AI$1001,MATCH(ROWS($AH$2:AH375),$AH$2:$AH$1001,0),1)&gt;=100000,INDEX($AO$1005:$BQ$1005,1,MATCH(COLUMNS($AO$1006:AO1006),$AO$1006:$BQ$1006,0))&gt;=100000), " ",IF(INDEX($AO$2:$BQ$1001,MATCH(ROWS($AH$2:AH375),$AH$2:$AH$1001,0),MATCH(COLUMNS($AO$1006:AO1006),$AO$1006:$BQ$1006,0)), HYPERLINK("#",""), HYPERLINK(CONCATENATE("#Metadata!", ADDRESS(INDEX($AJ$2:$AJ$1001,MATCH(ROWS($AH$2:AH375),$AH$2:$AH$1001,0),0), INDEX($AO$1004:$BQ$1004,1,MATCH(COLUMNS($AO$1006:AO1006),$AO$1006:$BQ$1006,0)))),"Fix")))</f>
        <v>#N/A</v>
      </c>
      <c r="C375" s="5" t="e">
        <f ca="1">IF(OR(INDEX($AI$2:$AI$1001,MATCH(ROWS($AH$2:AH375),$AH$2:$AH$1001,0),1)&gt;=100000,INDEX($AO$1005:$BQ$1005,1,MATCH(COLUMNS($AO$1006:AP1006),$AO$1006:$BQ$1006,0))&gt;=100000), " ",IF(INDEX($AO$2:$BQ$1001,MATCH(ROWS($AH$2:AH375),$AH$2:$AH$1001,0),MATCH(COLUMNS($AO$1006:AP1006),$AO$1006:$BQ$1006,0)), HYPERLINK("#",""), HYPERLINK(CONCATENATE("#Metadata!", ADDRESS(INDEX($AJ$2:$AJ$1001,MATCH(ROWS($AH$2:AH375),$AH$2:$AH$1001,0),0), INDEX($AO$1004:$BQ$1004,1,MATCH(COLUMNS($AO$1006:AP1006),$AO$1006:$BQ$1006,0)))),"Fix")))</f>
        <v>#N/A</v>
      </c>
      <c r="D375" s="5" t="e">
        <f ca="1">IF(OR(INDEX($AI$2:$AI$1001,MATCH(ROWS($AH$2:AH375),$AH$2:$AH$1001,0),1)&gt;=100000,INDEX($AO$1005:$BQ$1005,1,MATCH(COLUMNS($AO$1006:AQ1006),$AO$1006:$BQ$1006,0))&gt;=100000), " ",IF(INDEX($AO$2:$BQ$1001,MATCH(ROWS($AH$2:AH375),$AH$2:$AH$1001,0),MATCH(COLUMNS($AO$1006:AQ1006),$AO$1006:$BQ$1006,0)), HYPERLINK("#",""), HYPERLINK(CONCATENATE("#Metadata!", ADDRESS(INDEX($AJ$2:$AJ$1001,MATCH(ROWS($AH$2:AH375),$AH$2:$AH$1001,0),0), INDEX($AO$1004:$BQ$1004,1,MATCH(COLUMNS($AO$1006:AQ1006),$AO$1006:$BQ$1006,0)))),"Fix")))</f>
        <v>#N/A</v>
      </c>
      <c r="E375" s="5" t="e">
        <f ca="1">IF(OR(INDEX($AI$2:$AI$1001,MATCH(ROWS($AH$2:AH375),$AH$2:$AH$1001,0),1)&gt;=100000,INDEX($AO$1005:$BQ$1005,1,MATCH(COLUMNS($AO$1006:AR1006),$AO$1006:$BQ$1006,0))&gt;=100000), " ",IF(INDEX($AO$2:$BQ$1001,MATCH(ROWS($AH$2:AH375),$AH$2:$AH$1001,0),MATCH(COLUMNS($AO$1006:AR1006),$AO$1006:$BQ$1006,0)), HYPERLINK("#",""), HYPERLINK(CONCATENATE("#Metadata!", ADDRESS(INDEX($AJ$2:$AJ$1001,MATCH(ROWS($AH$2:AH375),$AH$2:$AH$1001,0),0), INDEX($AO$1004:$BQ$1004,1,MATCH(COLUMNS($AO$1006:AR1006),$AO$1006:$BQ$1006,0)))),"Fix")))</f>
        <v>#N/A</v>
      </c>
      <c r="F375" s="5" t="e">
        <f ca="1">IF(OR(INDEX($AI$2:$AI$1001,MATCH(ROWS($AH$2:AH375),$AH$2:$AH$1001,0),1)&gt;=100000,INDEX($AO$1005:$BQ$1005,1,MATCH(COLUMNS($AO$1006:AS1006),$AO$1006:$BQ$1006,0))&gt;=100000), " ",IF(INDEX($AO$2:$BQ$1001,MATCH(ROWS($AH$2:AH375),$AH$2:$AH$1001,0),MATCH(COLUMNS($AO$1006:AS1006),$AO$1006:$BQ$1006,0)), HYPERLINK("#",""), HYPERLINK(CONCATENATE("#Metadata!", ADDRESS(INDEX($AJ$2:$AJ$1001,MATCH(ROWS($AH$2:AH375),$AH$2:$AH$1001,0),0), INDEX($AO$1004:$BQ$1004,1,MATCH(COLUMNS($AO$1006:AS1006),$AO$1006:$BQ$1006,0)))),"Fix")))</f>
        <v>#N/A</v>
      </c>
      <c r="G375" s="5" t="e">
        <f ca="1">IF(OR(INDEX($AI$2:$AI$1001,MATCH(ROWS($AH$2:AH375),$AH$2:$AH$1001,0),1)&gt;=100000,INDEX($AO$1005:$BQ$1005,1,MATCH(COLUMNS($AO$1006:AT1006),$AO$1006:$BQ$1006,0))&gt;=100000), " ",IF(INDEX($AO$2:$BQ$1001,MATCH(ROWS($AH$2:AH375),$AH$2:$AH$1001,0),MATCH(COLUMNS($AO$1006:AT1006),$AO$1006:$BQ$1006,0)), HYPERLINK("#",""), HYPERLINK(CONCATENATE("#Metadata!", ADDRESS(INDEX($AJ$2:$AJ$1001,MATCH(ROWS($AH$2:AH375),$AH$2:$AH$1001,0),0), INDEX($AO$1004:$BQ$1004,1,MATCH(COLUMNS($AO$1006:AT1006),$AO$1006:$BQ$1006,0)))),"Fix")))</f>
        <v>#N/A</v>
      </c>
      <c r="H375" s="5" t="e">
        <f ca="1">IF(OR(INDEX($AI$2:$AI$1001,MATCH(ROWS($AH$2:AH375),$AH$2:$AH$1001,0),1)&gt;=100000,INDEX($AO$1005:$BQ$1005,1,MATCH(COLUMNS($AO$1006:AU1006),$AO$1006:$BQ$1006,0))&gt;=100000), " ",IF(INDEX($AO$2:$BQ$1001,MATCH(ROWS($AH$2:AH375),$AH$2:$AH$1001,0),MATCH(COLUMNS($AO$1006:AU1006),$AO$1006:$BQ$1006,0)), HYPERLINK("#",""), HYPERLINK(CONCATENATE("#Metadata!", ADDRESS(INDEX($AJ$2:$AJ$1001,MATCH(ROWS($AH$2:AH375),$AH$2:$AH$1001,0),0), INDEX($AO$1004:$BQ$1004,1,MATCH(COLUMNS($AO$1006:AU1006),$AO$1006:$BQ$1006,0)))),"Fix")))</f>
        <v>#N/A</v>
      </c>
      <c r="I375" s="5" t="e">
        <f ca="1">IF(OR(INDEX($AI$2:$AI$1001,MATCH(ROWS($AH$2:AH375),$AH$2:$AH$1001,0),1)&gt;=100000,INDEX($AO$1005:$BQ$1005,1,MATCH(COLUMNS($AO$1006:AV1006),$AO$1006:$BQ$1006,0))&gt;=100000), " ",IF(INDEX($AO$2:$BQ$1001,MATCH(ROWS($AH$2:AH375),$AH$2:$AH$1001,0),MATCH(COLUMNS($AO$1006:AV1006),$AO$1006:$BQ$1006,0)), HYPERLINK("#",""), HYPERLINK(CONCATENATE("#Metadata!", ADDRESS(INDEX($AJ$2:$AJ$1001,MATCH(ROWS($AH$2:AH375),$AH$2:$AH$1001,0),0), INDEX($AO$1004:$BQ$1004,1,MATCH(COLUMNS($AO$1006:AV1006),$AO$1006:$BQ$1006,0)))),"Fix")))</f>
        <v>#N/A</v>
      </c>
      <c r="J375" s="5" t="e">
        <f ca="1">IF(OR(INDEX($AI$2:$AI$1001,MATCH(ROWS($AH$2:AH375),$AH$2:$AH$1001,0),1)&gt;=100000,INDEX($AO$1005:$BQ$1005,1,MATCH(COLUMNS($AO$1006:AW1006),$AO$1006:$BQ$1006,0))&gt;=100000), " ",IF(INDEX($AO$2:$BQ$1001,MATCH(ROWS($AH$2:AH375),$AH$2:$AH$1001,0),MATCH(COLUMNS($AO$1006:AW1006),$AO$1006:$BQ$1006,0)), HYPERLINK("#",""), HYPERLINK(CONCATENATE("#Metadata!", ADDRESS(INDEX($AJ$2:$AJ$1001,MATCH(ROWS($AH$2:AH375),$AH$2:$AH$1001,0),0), INDEX($AO$1004:$BQ$1004,1,MATCH(COLUMNS($AO$1006:AW1006),$AO$1006:$BQ$1006,0)))),"Fix")))</f>
        <v>#N/A</v>
      </c>
      <c r="K375" s="5" t="e">
        <f ca="1">IF(OR(INDEX($AI$2:$AI$1001,MATCH(ROWS($AH$2:AH375),$AH$2:$AH$1001,0),1)&gt;=100000,INDEX($AO$1005:$BQ$1005,1,MATCH(COLUMNS($AO$1006:AX1006),$AO$1006:$BQ$1006,0))&gt;=100000), " ",IF(INDEX($AO$2:$BQ$1001,MATCH(ROWS($AH$2:AH375),$AH$2:$AH$1001,0),MATCH(COLUMNS($AO$1006:AX1006),$AO$1006:$BQ$1006,0)), HYPERLINK("#",""), HYPERLINK(CONCATENATE("#Metadata!", ADDRESS(INDEX($AJ$2:$AJ$1001,MATCH(ROWS($AH$2:AH375),$AH$2:$AH$1001,0),0), INDEX($AO$1004:$BQ$1004,1,MATCH(COLUMNS($AO$1006:AX1006),$AO$1006:$BQ$1006,0)))),"Fix")))</f>
        <v>#N/A</v>
      </c>
      <c r="L375" s="5" t="e">
        <f ca="1">IF(OR(INDEX($AI$2:$AI$1001,MATCH(ROWS($AH$2:AH375),$AH$2:$AH$1001,0),1)&gt;=100000,INDEX($AO$1005:$BQ$1005,1,MATCH(COLUMNS($AO$1006:AY1006),$AO$1006:$BQ$1006,0))&gt;=100000), " ",IF(INDEX($AO$2:$BQ$1001,MATCH(ROWS($AH$2:AH375),$AH$2:$AH$1001,0),MATCH(COLUMNS($AO$1006:AY1006),$AO$1006:$BQ$1006,0)), HYPERLINK("#",""), HYPERLINK(CONCATENATE("#Metadata!", ADDRESS(INDEX($AJ$2:$AJ$1001,MATCH(ROWS($AH$2:AH375),$AH$2:$AH$1001,0),0), INDEX($AO$1004:$BQ$1004,1,MATCH(COLUMNS($AO$1006:AY1006),$AO$1006:$BQ$1006,0)))),"Fix")))</f>
        <v>#N/A</v>
      </c>
      <c r="M375" s="5" t="e">
        <f ca="1">IF(OR(INDEX($AI$2:$AI$1001,MATCH(ROWS($AH$2:AH375),$AH$2:$AH$1001,0),1)&gt;=100000,INDEX($AO$1005:$BQ$1005,1,MATCH(COLUMNS($AO$1006:AZ1006),$AO$1006:$BQ$1006,0))&gt;=100000), " ",IF(INDEX($AO$2:$BQ$1001,MATCH(ROWS($AH$2:AH375),$AH$2:$AH$1001,0),MATCH(COLUMNS($AO$1006:AZ1006),$AO$1006:$BQ$1006,0)), HYPERLINK("#",""), HYPERLINK(CONCATENATE("#Metadata!", ADDRESS(INDEX($AJ$2:$AJ$1001,MATCH(ROWS($AH$2:AH375),$AH$2:$AH$1001,0),0), INDEX($AO$1004:$BQ$1004,1,MATCH(COLUMNS($AO$1006:AZ1006),$AO$1006:$BQ$1006,0)))),"Fix")))</f>
        <v>#N/A</v>
      </c>
      <c r="N375" s="5" t="e">
        <f ca="1">IF(OR(INDEX($AI$2:$AI$1001,MATCH(ROWS($AH$2:AH375),$AH$2:$AH$1001,0),1)&gt;=100000,INDEX($AO$1005:$BQ$1005,1,MATCH(COLUMNS($AO$1006:BA1006),$AO$1006:$BQ$1006,0))&gt;=100000), " ",IF(INDEX($AO$2:$BQ$1001,MATCH(ROWS($AH$2:AH375),$AH$2:$AH$1001,0),MATCH(COLUMNS($AO$1006:BA1006),$AO$1006:$BQ$1006,0)), HYPERLINK("#",""), HYPERLINK(CONCATENATE("#Metadata!", ADDRESS(INDEX($AJ$2:$AJ$1001,MATCH(ROWS($AH$2:AH375),$AH$2:$AH$1001,0),0), INDEX($AO$1004:$BQ$1004,1,MATCH(COLUMNS($AO$1006:BA1006),$AO$1006:$BQ$1006,0)))),"Fix")))</f>
        <v>#N/A</v>
      </c>
      <c r="O375" s="5" t="e">
        <f ca="1">IF(OR(INDEX($AI$2:$AI$1001,MATCH(ROWS($AH$2:AH375),$AH$2:$AH$1001,0),1)&gt;=100000,INDEX($AO$1005:$BQ$1005,1,MATCH(COLUMNS($AO$1006:BB1006),$AO$1006:$BQ$1006,0))&gt;=100000), " ",IF(INDEX($AO$2:$BQ$1001,MATCH(ROWS($AH$2:AH375),$AH$2:$AH$1001,0),MATCH(COLUMNS($AO$1006:BB1006),$AO$1006:$BQ$1006,0)), HYPERLINK("#",""), HYPERLINK(CONCATENATE("#Metadata!", ADDRESS(INDEX($AJ$2:$AJ$1001,MATCH(ROWS($AH$2:AH375),$AH$2:$AH$1001,0),0), INDEX($AO$1004:$BQ$1004,1,MATCH(COLUMNS($AO$1006:BB1006),$AO$1006:$BQ$1006,0)))),"Fix")))</f>
        <v>#N/A</v>
      </c>
      <c r="P375" s="5" t="e">
        <f ca="1">IF(OR(INDEX($AI$2:$AI$1001,MATCH(ROWS($AH$2:AH375),$AH$2:$AH$1001,0),1)&gt;=100000,INDEX($AO$1005:$BQ$1005,1,MATCH(COLUMNS($AO$1006:BC1006),$AO$1006:$BQ$1006,0))&gt;=100000), " ",IF(INDEX($AO$2:$BQ$1001,MATCH(ROWS($AH$2:AH375),$AH$2:$AH$1001,0),MATCH(COLUMNS($AO$1006:BC1006),$AO$1006:$BQ$1006,0)), HYPERLINK("#",""), HYPERLINK(CONCATENATE("#Metadata!", ADDRESS(INDEX($AJ$2:$AJ$1001,MATCH(ROWS($AH$2:AH375),$AH$2:$AH$1001,0),0), INDEX($AO$1004:$BQ$1004,1,MATCH(COLUMNS($AO$1006:BC1006),$AO$1006:$BQ$1006,0)))),"Fix")))</f>
        <v>#N/A</v>
      </c>
      <c r="Q375" s="5" t="e">
        <f ca="1">IF(OR(INDEX($AI$2:$AI$1001,MATCH(ROWS($AH$2:AH375),$AH$2:$AH$1001,0),1)&gt;=100000,INDEX($AO$1005:$BQ$1005,1,MATCH(COLUMNS($AO$1006:BD1006),$AO$1006:$BQ$1006,0))&gt;=100000), " ",IF(INDEX($AO$2:$BQ$1001,MATCH(ROWS($AH$2:AH375),$AH$2:$AH$1001,0),MATCH(COLUMNS($AO$1006:BD1006),$AO$1006:$BQ$1006,0)), HYPERLINK("#",""), HYPERLINK(CONCATENATE("#Metadata!", ADDRESS(INDEX($AJ$2:$AJ$1001,MATCH(ROWS($AH$2:AH375),$AH$2:$AH$1001,0),0), INDEX($AO$1004:$BQ$1004,1,MATCH(COLUMNS($AO$1006:BD1006),$AO$1006:$BQ$1006,0)))),"Fix")))</f>
        <v>#N/A</v>
      </c>
      <c r="R375" s="5" t="e">
        <f ca="1">IF(OR(INDEX($AI$2:$AI$1001,MATCH(ROWS($AH$2:AH375),$AH$2:$AH$1001,0),1)&gt;=100000,INDEX($AO$1005:$BQ$1005,1,MATCH(COLUMNS($AO$1006:BE1006),$AO$1006:$BQ$1006,0))&gt;=100000), " ",IF(INDEX($AO$2:$BQ$1001,MATCH(ROWS($AH$2:AH375),$AH$2:$AH$1001,0),MATCH(COLUMNS($AO$1006:BE1006),$AO$1006:$BQ$1006,0)), HYPERLINK("#",""), HYPERLINK(CONCATENATE("#Metadata!", ADDRESS(INDEX($AJ$2:$AJ$1001,MATCH(ROWS($AH$2:AH375),$AH$2:$AH$1001,0),0), INDEX($AO$1004:$BQ$1004,1,MATCH(COLUMNS($AO$1006:BE1006),$AO$1006:$BQ$1006,0)))),"Fix")))</f>
        <v>#N/A</v>
      </c>
      <c r="S375" s="5" t="e">
        <f ca="1">IF(OR(INDEX($AI$2:$AI$1001,MATCH(ROWS($AH$2:AH375),$AH$2:$AH$1001,0),1)&gt;=100000,INDEX($AO$1005:$BQ$1005,1,MATCH(COLUMNS($AO$1006:BF1006),$AO$1006:$BQ$1006,0))&gt;=100000), " ",IF(INDEX($AO$2:$BQ$1001,MATCH(ROWS($AH$2:AH375),$AH$2:$AH$1001,0),MATCH(COLUMNS($AO$1006:BF1006),$AO$1006:$BQ$1006,0)), HYPERLINK("#",""), HYPERLINK(CONCATENATE("#Metadata!", ADDRESS(INDEX($AJ$2:$AJ$1001,MATCH(ROWS($AH$2:AH375),$AH$2:$AH$1001,0),0), INDEX($AO$1004:$BQ$1004,1,MATCH(COLUMNS($AO$1006:BF1006),$AO$1006:$BQ$1006,0)))),"Fix")))</f>
        <v>#N/A</v>
      </c>
      <c r="T375" s="5" t="e">
        <f ca="1">IF(OR(INDEX($AI$2:$AI$1001,MATCH(ROWS($AH$2:AH375),$AH$2:$AH$1001,0),1)&gt;=100000,INDEX($AO$1005:$BQ$1005,1,MATCH(COLUMNS($AO$1006:BG1006),$AO$1006:$BQ$1006,0))&gt;=100000), " ",IF(INDEX($AO$2:$BQ$1001,MATCH(ROWS($AH$2:AH375),$AH$2:$AH$1001,0),MATCH(COLUMNS($AO$1006:BG1006),$AO$1006:$BQ$1006,0)), HYPERLINK("#",""), HYPERLINK(CONCATENATE("#Metadata!", ADDRESS(INDEX($AJ$2:$AJ$1001,MATCH(ROWS($AH$2:AH375),$AH$2:$AH$1001,0),0), INDEX($AO$1004:$BQ$1004,1,MATCH(COLUMNS($AO$1006:BG1006),$AO$1006:$BQ$1006,0)))),"Fix")))</f>
        <v>#N/A</v>
      </c>
      <c r="U375" s="5" t="e">
        <f ca="1">IF(OR(INDEX($AI$2:$AI$1001,MATCH(ROWS($AH$2:AH375),$AH$2:$AH$1001,0),1)&gt;=100000,INDEX($AO$1005:$BQ$1005,1,MATCH(COLUMNS($AO$1006:BH1006),$AO$1006:$BQ$1006,0))&gt;=100000), " ",IF(INDEX($AO$2:$BQ$1001,MATCH(ROWS($AH$2:AH375),$AH$2:$AH$1001,0),MATCH(COLUMNS($AO$1006:BH1006),$AO$1006:$BQ$1006,0)), HYPERLINK("#",""), HYPERLINK(CONCATENATE("#Metadata!", ADDRESS(INDEX($AJ$2:$AJ$1001,MATCH(ROWS($AH$2:AH375),$AH$2:$AH$1001,0),0), INDEX($AO$1004:$BQ$1004,1,MATCH(COLUMNS($AO$1006:BH1006),$AO$1006:$BQ$1006,0)))),"Fix")))</f>
        <v>#N/A</v>
      </c>
      <c r="V375" s="5" t="e">
        <f ca="1">IF(OR(INDEX($AI$2:$AI$1001,MATCH(ROWS($AH$2:AH375),$AH$2:$AH$1001,0),1)&gt;=100000,INDEX($AO$1005:$BQ$1005,1,MATCH(COLUMNS($AO$1006:BI1006),$AO$1006:$BQ$1006,0))&gt;=100000), " ",IF(INDEX($AO$2:$BQ$1001,MATCH(ROWS($AH$2:AH375),$AH$2:$AH$1001,0),MATCH(COLUMNS($AO$1006:BI1006),$AO$1006:$BQ$1006,0)), HYPERLINK("#",""), HYPERLINK(CONCATENATE("#Metadata!", ADDRESS(INDEX($AJ$2:$AJ$1001,MATCH(ROWS($AH$2:AH375),$AH$2:$AH$1001,0),0), INDEX($AO$1004:$BQ$1004,1,MATCH(COLUMNS($AO$1006:BI1006),$AO$1006:$BQ$1006,0)))),"Fix")))</f>
        <v>#N/A</v>
      </c>
      <c r="W375" s="5" t="e">
        <f ca="1">IF(OR(INDEX($AI$2:$AI$1001,MATCH(ROWS($AH$2:AH375),$AH$2:$AH$1001,0),1)&gt;=100000,INDEX($AO$1005:$BQ$1005,1,MATCH(COLUMNS($AO$1006:BJ1006),$AO$1006:$BQ$1006,0))&gt;=100000), " ",IF(INDEX($AO$2:$BQ$1001,MATCH(ROWS($AH$2:AH375),$AH$2:$AH$1001,0),MATCH(COLUMNS($AO$1006:BJ1006),$AO$1006:$BQ$1006,0)), HYPERLINK("#",""), HYPERLINK(CONCATENATE("#Metadata!", ADDRESS(INDEX($AJ$2:$AJ$1001,MATCH(ROWS($AH$2:AH375),$AH$2:$AH$1001,0),0), INDEX($AO$1004:$BQ$1004,1,MATCH(COLUMNS($AO$1006:BJ1006),$AO$1006:$BQ$1006,0)))),"Fix")))</f>
        <v>#N/A</v>
      </c>
      <c r="X375" s="5" t="e">
        <f ca="1">IF(OR(INDEX($AI$2:$AI$1001,MATCH(ROWS($AH$2:AH375),$AH$2:$AH$1001,0),1)&gt;=100000,INDEX($AO$1005:$BQ$1005,1,MATCH(COLUMNS($AO$1006:BK1006),$AO$1006:$BQ$1006,0))&gt;=100000), " ",IF(INDEX($AO$2:$BQ$1001,MATCH(ROWS($AH$2:AH375),$AH$2:$AH$1001,0),MATCH(COLUMNS($AO$1006:BK1006),$AO$1006:$BQ$1006,0)), HYPERLINK("#",""), HYPERLINK(CONCATENATE("#Metadata!", ADDRESS(INDEX($AJ$2:$AJ$1001,MATCH(ROWS($AH$2:AH375),$AH$2:$AH$1001,0),0), INDEX($AO$1004:$BQ$1004,1,MATCH(COLUMNS($AO$1006:BK1006),$AO$1006:$BQ$1006,0)))),"Fix")))</f>
        <v>#N/A</v>
      </c>
      <c r="Y375" s="5" t="e">
        <f ca="1">IF(OR(INDEX($AI$2:$AI$1001,MATCH(ROWS($AH$2:AH375),$AH$2:$AH$1001,0),1)&gt;=100000,INDEX($AO$1005:$BQ$1005,1,MATCH(COLUMNS($AO$1006:BL1006),$AO$1006:$BQ$1006,0))&gt;=100000), " ",IF(INDEX($AO$2:$BQ$1001,MATCH(ROWS($AH$2:AH375),$AH$2:$AH$1001,0),MATCH(COLUMNS($AO$1006:BL1006),$AO$1006:$BQ$1006,0)), HYPERLINK("#",""), HYPERLINK(CONCATENATE("#Metadata!", ADDRESS(INDEX($AJ$2:$AJ$1001,MATCH(ROWS($AH$2:AH375),$AH$2:$AH$1001,0),0), INDEX($AO$1004:$BQ$1004,1,MATCH(COLUMNS($AO$1006:BL1006),$AO$1006:$BQ$1006,0)))),"Fix")))</f>
        <v>#N/A</v>
      </c>
      <c r="Z375" s="5" t="e">
        <f ca="1">IF(OR(INDEX($AI$2:$AI$1001,MATCH(ROWS($AH$2:AH375),$AH$2:$AH$1001,0),1)&gt;=100000,INDEX($AO$1005:$BQ$1005,1,MATCH(COLUMNS($AO$1006:BM1006),$AO$1006:$BQ$1006,0))&gt;=100000), " ",IF(INDEX($AO$2:$BQ$1001,MATCH(ROWS($AH$2:AH375),$AH$2:$AH$1001,0),MATCH(COLUMNS($AO$1006:BM1006),$AO$1006:$BQ$1006,0)), HYPERLINK("#",""), HYPERLINK(CONCATENATE("#Metadata!", ADDRESS(INDEX($AJ$2:$AJ$1001,MATCH(ROWS($AH$2:AH375),$AH$2:$AH$1001,0),0), INDEX($AO$1004:$BQ$1004,1,MATCH(COLUMNS($AO$1006:BM1006),$AO$1006:$BQ$1006,0)))),"Fix")))</f>
        <v>#N/A</v>
      </c>
      <c r="AA375" s="5" t="e">
        <f ca="1">IF(OR(INDEX($AI$2:$AI$1001,MATCH(ROWS($AH$2:AH375),$AH$2:$AH$1001,0),1)&gt;=100000,INDEX($AO$1005:$BQ$1005,1,MATCH(COLUMNS($AO$1006:BN1006),$AO$1006:$BQ$1006,0))&gt;=100000), " ",IF(INDEX($AO$2:$BQ$1001,MATCH(ROWS($AH$2:AH375),$AH$2:$AH$1001,0),MATCH(COLUMNS($AO$1006:BN1006),$AO$1006:$BQ$1006,0)), HYPERLINK("#",""), HYPERLINK(CONCATENATE("#Metadata!", ADDRESS(INDEX($AJ$2:$AJ$1001,MATCH(ROWS($AH$2:AH375),$AH$2:$AH$1001,0),0), INDEX($AO$1004:$BQ$1004,1,MATCH(COLUMNS($AO$1006:BN1006),$AO$1006:$BQ$1006,0)))),"Fix")))</f>
        <v>#N/A</v>
      </c>
      <c r="AB375" s="5" t="e">
        <f ca="1">IF(OR(INDEX($AI$2:$AI$1001,MATCH(ROWS($AH$2:AH375),$AH$2:$AH$1001,0),1)&gt;=100000,INDEX($AO$1005:$BQ$1005,1,MATCH(COLUMNS($AO$1006:BO1006),$AO$1006:$BQ$1006,0))&gt;=100000), " ",IF(INDEX($AO$2:$BQ$1001,MATCH(ROWS($AH$2:AH375),$AH$2:$AH$1001,0),MATCH(COLUMNS($AO$1006:BO1006),$AO$1006:$BQ$1006,0)), HYPERLINK("#",""), HYPERLINK(CONCATENATE("#Metadata!", ADDRESS(INDEX($AJ$2:$AJ$1001,MATCH(ROWS($AH$2:AH375),$AH$2:$AH$1001,0),0), INDEX($AO$1004:$BQ$1004,1,MATCH(COLUMNS($AO$1006:BO1006),$AO$1006:$BQ$1006,0)))),"Fix")))</f>
        <v>#N/A</v>
      </c>
      <c r="AC375" s="5" t="e">
        <f ca="1">IF(OR(INDEX($AI$2:$AI$1001,MATCH(ROWS($AH$2:AH375),$AH$2:$AH$1001,0),1)&gt;=100000,INDEX($AO$1005:$BQ$1005,1,MATCH(COLUMNS($AO$1006:BP1006),$AO$1006:$BQ$1006,0))&gt;=100000), " ",IF(INDEX($AO$2:$BQ$1001,MATCH(ROWS($AH$2:AH375),$AH$2:$AH$1001,0),MATCH(COLUMNS($AO$1006:BP1006),$AO$1006:$BQ$1006,0)), HYPERLINK("#",""), HYPERLINK(CONCATENATE("#Metadata!", ADDRESS(INDEX($AJ$2:$AJ$1001,MATCH(ROWS($AH$2:AH375),$AH$2:$AH$1001,0),0), INDEX($AO$1004:$BQ$1004,1,MATCH(COLUMNS($AO$1006:BP1006),$AO$1006:$BQ$1006,0)))),"Fix")))</f>
        <v>#N/A</v>
      </c>
      <c r="AD375" s="5" t="e">
        <f ca="1">IF(OR(INDEX($AI$2:$AI$1001,MATCH(ROWS($AH$2:AH375),$AH$2:$AH$1001,0),1)&gt;=100000,INDEX($AO$1005:$BQ$1005,1,MATCH(COLUMNS($AO$1006:BQ1006),$AO$1006:$BQ$1006,0))&gt;=100000), " ",IF(INDEX($AO$2:$BQ$1001,MATCH(ROWS($AH$2:AH375),$AH$2:$AH$1001,0),MATCH(COLUMNS($AO$1006:BQ1006),$AO$1006:$BQ$1006,0)), HYPERLINK("#",""), HYPERLINK(CONCATENATE("#Metadata!", ADDRESS(INDEX($AJ$2:$AJ$1001,MATCH(ROWS($AH$2:AH375),$AH$2:$AH$1001,0),0), INDEX($AO$1004:$BQ$1004,1,MATCH(COLUMNS($AO$1006:BQ1006),$AO$1006:$BQ$1006,0)))),"Fix")))</f>
        <v>#REF!</v>
      </c>
      <c r="AH375">
        <f ca="1"/>
        <v>372</v>
      </c>
      <c r="AI375">
        <v>100375</v>
      </c>
      <c r="AJ375">
        <v>375</v>
      </c>
      <c r="AK375" t="b">
        <f t="shared" si="5"/>
        <v>1</v>
      </c>
      <c r="AL375" t="b">
        <f>COUNTBLANK(Metadata!B375:AD375)=COLUMNS(Metadata!B375:AD375)</f>
        <v>1</v>
      </c>
      <c r="AM375" t="str">
        <v/>
      </c>
      <c r="AO375" t="b">
        <f ca="1">AND(IF(Metadata!B375="",FALSE,TRUE),COUNTIF(Metadata!B:B, Metadata!B375) = 1,NOT(ISERROR(SUMPRODUCT(SEARCH(MID(Metadata!B375,ROW(INDIRECT("1:"&amp;LEN(Metadata!B375))), 1),"0123456789abcdefghijklmnopqrstuvwxyzABCDEFGHIJKLMNOPQRSTUVWXYZ.")))))</f>
        <v>0</v>
      </c>
      <c r="AP375" t="b">
        <f>IF(Metadata!C375="",FALSE,TRUE)</f>
        <v>0</v>
      </c>
      <c r="AQ375" t="b">
        <f>IF(Metadata!D375="",FALSE,TRUE)</f>
        <v>0</v>
      </c>
      <c r="AR375" t="b">
        <f ca="1">OR(AND(IF(Metadata!E375="",FALSE,TRUE),OR(EXACT(Metadata!E375,"not collected"),EXACT(Metadata!E375,"not provided"),EXACT(Metadata!E375,"restricted access"))),AND(IF(Metadata!E375="",FALSE,TRUE),AND(AND(IFERROR(INT(LEFT(Metadata!E375,4))&gt;1900,FALSE),IFERROR(INT(LEFT(Metadata!E375,4))&lt;=YEAR(NOW()),FALSE)), OR(MID(Metadata!E375,5,1)="", AND(AND(MID(Metadata!E375,5,1)="-",IFERROR(INT(MID(Metadata!E375,6,1))&gt;=0,FALSE),IFERROR(INT(MID(Metadata!E375,6,1))&lt;=1,FALSE),NOT(MID(Metadata!E375,7,1)=""),IFERROR(INT(MID(Metadata!E375,6,2))&gt;=1,FALSE),IFERROR(INT(MID(Metadata!E375,6,2))&lt;=12,FALSE)), OR(MID(Metadata!E375,8,1)="", AND(AND(MID(Metadata!E375,8,1)="-",IFERROR(INT(MID(Metadata!E375,9,1))&gt;=0,FALSE),IFERROR(INT(MID(Metadata!E375,9,1))&lt;=3,FALSE),NOT(MID(Metadata!E375,10,1)=""),IFERROR(INT(MID(Metadata!E375,9,2))&gt;=1,FALSE),IFERROR(INT(MID(Metadata!E375,9,2))&lt;=31,FALSE)), OR(MID(Metadata!E375,11,1)="", AND(AND(MID(Metadata!E375,11,1)=" ",IFERROR(INT(MID(Metadata!E375,12,1))&gt;=0,FALSE),IFERROR(INT(MID(Metadata!E375,12,1))&lt;=2,FALSE),NOT(MID(Metadata!E375,13,1)=""),IFERROR(INT(MID(Metadata!E375,12,2))&gt;=0,FALSE),IFERROR(INT(MID(Metadata!E375,12,2))&lt;=23,FALSE)), OR(MID(Metadata!E375,14,1)="", AND(AND(MID(Metadata!E375,14,1)=":",IFERROR(INT(MID(Metadata!E375,15,1))&gt;=0,FALSE),IFERROR(INT(MID(Metadata!E375,15,1))&lt;=5,FALSE),NOT(MID(Metadata!E375,16,1)=""),IFERROR(INT(MID(Metadata!E375,15,2))&gt;=0,FALSE),IFERROR(INT(MID(Metadata!E375,15,2))&lt;=59,FALSE)), OR(MID(Metadata!E375,17,1)="", AND(AND(MID(Metadata!E375,17,1)=":",IFERROR(INT(MID(Metadata!E375,18,1))&gt;=0,FALSE),IFERROR(INT(MID(Metadata!E375,18,1))&lt;=5,FALSE),NOT(MID(Metadata!E375,19,1)=""),IFERROR(INT(MID(Metadata!E375,18,2))&gt;=0,FALSE),IFERROR(INT(MID(Metadata!E375,18,2))&lt;=59,FALSE)), LEN(Metadata!E375)&lt;=19)))))))))))))</f>
        <v>0</v>
      </c>
      <c r="AS375" t="b">
        <f>IF(Metadata!F375="",FALSE,TRUE)</f>
        <v>0</v>
      </c>
      <c r="AT375" t="b">
        <f>OR(AND(IF(Metadata!G375="",FALSE,TRUE),OR(EXACT(Metadata!G375,"not collected"),EXACT(Metadata!G375,"not provided"))),AND(IF(Metadata!G375="",FALSE,TRUE),OR(EXACT(Metadata!G375,"TRUE"),EXACT(Metadata!G375,"FALSE"))))</f>
        <v>0</v>
      </c>
      <c r="AU375" t="b">
        <f>OR(AND(IF(Metadata!H375="",FALSE,TRUE),OR(EXACT(Metadata!H375,"not collected"),EXACT(Metadata!H375,"not provided"),EXACT(Metadata!H375,"restricted access"))),AND(IF(Metadata!H375="",FALSE,ISNUMBER(VALUE(Metadata!H375))),Metadata!H375&gt;=-413))</f>
        <v>0</v>
      </c>
      <c r="AV375" t="b">
        <f>AND(IF(Metadata!I375="",FALSE,TRUE),EXACT(Metadata!I375,"meters"))</f>
        <v>0</v>
      </c>
      <c r="AW375" t="b">
        <f>AND(IF(Metadata!J375="",FALSE,TRUE),EXACT(Metadata!J375,"free-living"))</f>
        <v>0</v>
      </c>
      <c r="AX375" t="b">
        <f>AND(IF(Metadata!K375="",FALSE,TRUE),OR(EXACT(Metadata!K375,"saline"),EXACT(Metadata!K375,"non-saline")))</f>
        <v>0</v>
      </c>
      <c r="AY375" t="b">
        <f>AND(IF(Metadata!L375="",FALSE,TRUE),OR(EXACT(Metadata!L375,"sub-surface (non-saline)"),EXACT(Metadata!L375,"surface (non-saline)"),EXACT(Metadata!L375,"water (non-saline)"),EXACT(Metadata!L375,"soil (non-saline)"),EXACT(Metadata!L375,"aerosol (non-saline)"),EXACT(Metadata!L375,"sediment (non-saline)"),EXACT(Metadata!L375,"surface (saline)"),EXACT(Metadata!L375,"water (saline)"),EXACT(Metadata!L375,"hypersaline (saline)"),EXACT(Metadata!L375,"aerosol (saline)"),EXACT(Metadata!L375,"sediment (saline)")))</f>
        <v>0</v>
      </c>
      <c r="AZ375" t="b">
        <f>IF(Metadata!M375="",FALSE,TRUE)</f>
        <v>0</v>
      </c>
      <c r="BA375" t="b">
        <f>IF(Metadata!N375="",FALSE,TRUE)</f>
        <v>0</v>
      </c>
      <c r="BB375" t="b">
        <f>IF(Metadata!O375="",FALSE,TRUE)</f>
        <v>0</v>
      </c>
      <c r="BC375" t="b">
        <f>AND(IF(Metadata!P375="",FALSE,TRUE),OR(EXACT(Metadata!P375,"air"),EXACT(Metadata!P375,"microbial mat/biofilm"),EXACT(Metadata!P375,"misc environment"),EXACT(Metadata!P375,"sediment"),EXACT(Metadata!P375,"soil"),EXACT(Metadata!P375,"wastewater/sludge"),EXACT(Metadata!P375,"water")))</f>
        <v>0</v>
      </c>
      <c r="BD375" t="b">
        <f>IF(Metadata!Q375="",FALSE,TRUE)</f>
        <v>0</v>
      </c>
      <c r="BE375" t="b">
        <f>IF(Metadata!R375="",FALSE,TRUE)</f>
        <v>0</v>
      </c>
      <c r="BF375" t="b">
        <f>OR(AND(IF(Metadata!S375="",FALSE,TRUE),OR(EXACT(Metadata!S375,"not collected"),EXACT(Metadata!S375,"not provided"),EXACT(Metadata!S375,"restricted access"))),AND(IF(Metadata!S375="",FALSE,ISNUMBER(VALUE(Metadata!S375))),Metadata!S375&gt;=-90,Metadata!S375&lt;=90))</f>
        <v>0</v>
      </c>
      <c r="BG375" t="b">
        <f>AND(IF(Metadata!T375="",FALSE,TRUE),EXACT(Metadata!T375,"Decimal degrees"))</f>
        <v>0</v>
      </c>
      <c r="BH375" t="b">
        <f>OR(AND(IF(Metadata!U375="",FALSE,TRUE),OR(EXACT(Metadata!U375,"not applicable"),EXACT(Metadata!U375,"not collected"))),IF(Metadata!U375="",FALSE,TRUE))</f>
        <v>0</v>
      </c>
      <c r="BI375" t="b">
        <f>OR(AND(IF(Metadata!V375="",FALSE,TRUE),OR(EXACT(Metadata!V375,"not collected"),EXACT(Metadata!V375,"not provided"),EXACT(Metadata!V375,"restricted access"))),AND(IF(Metadata!V375="",FALSE,ISNUMBER(VALUE(Metadata!V375))),Metadata!V375&gt;=-180,Metadata!V375&lt;=180))</f>
        <v>0</v>
      </c>
      <c r="BJ375" t="b">
        <f>AND(IF(Metadata!W375="",FALSE,TRUE),EXACT(Metadata!W375,"Decimal degrees"))</f>
        <v>0</v>
      </c>
      <c r="BK375" t="b">
        <f>IF(Metadata!X375="",FALSE,TRUE)</f>
        <v>0</v>
      </c>
      <c r="BL375" t="b">
        <f>OR(AND(IF(Metadata!Y375="",FALSE,TRUE),OR(EXACT(Metadata!Y375,"not collected"),EXACT(Metadata!Y375,"not provided"),EXACT(Metadata!Y375,"restricted access"))),AND(IF(Metadata!Y375="",FALSE,TRUE),OR(EXACT(Metadata!Y375,"TRUE"),EXACT(Metadata!Y375,"FALSE"))))</f>
        <v>0</v>
      </c>
      <c r="BM375" t="b">
        <f>OR(AND(IF(Metadata!Z375="",FALSE,TRUE),EXACT(Metadata!Z375,"not applicable")),AND(IF(Metadata!Z375="",FALSE,TRUE),OR(EXACT(Metadata!Z375,"beer"),EXACT(Metadata!Z375,"cheese"),EXACT(Metadata!Z375,"fresh water"),EXACT(Metadata!Z375,"marine sediment"),EXACT(Metadata!Z375,"sea water"),EXACT(Metadata!Z375,"sediment"),EXACT(Metadata!Z375,"soil"),EXACT(Metadata!Z375,"waste water"))))</f>
        <v>0</v>
      </c>
      <c r="BN375" t="b">
        <f>AND(IF(Metadata!AA375="",FALSE,TRUE),EXACT(Metadata!AA375,"metagenome"))</f>
        <v>0</v>
      </c>
      <c r="BO375" t="b">
        <f>AND(IF(Metadata!AB375="",FALSE,TRUE),EXACT(Metadata!AB375,"256318"))</f>
        <v>0</v>
      </c>
      <c r="BP375" t="b">
        <f>IF(Metadata!AC375="",FALSE,TRUE)</f>
        <v>0</v>
      </c>
      <c r="BQ375" t="b">
        <f>IF(Metadata!AD375="",FALSE,TRUE)</f>
        <v>0</v>
      </c>
    </row>
    <row r="376" spans="1:69" x14ac:dyDescent="0.2">
      <c r="A376" s="4" t="e">
        <f ca="1">IF(B376=" "," ",HYPERLINK(CONCATENATE("#metadata!",ADDRESS(INDEX($AJ$2:$AJ$1001,MATCH(ROWS($AH$2:AH376),$AH$2:$AH$1001,0),0),2)),INDEX($AM$2:$AM$1001,MATCH(ROWS($AH$2:AH376),$AH$2:$AH$1001,0),0)))</f>
        <v>#N/A</v>
      </c>
      <c r="B376" s="5" t="e">
        <f ca="1">IF(OR(INDEX($AI$2:$AI$1001,MATCH(ROWS($AH$2:AH376),$AH$2:$AH$1001,0),1)&gt;=100000,INDEX($AO$1005:$BQ$1005,1,MATCH(COLUMNS($AO$1006:AO1006),$AO$1006:$BQ$1006,0))&gt;=100000), " ",IF(INDEX($AO$2:$BQ$1001,MATCH(ROWS($AH$2:AH376),$AH$2:$AH$1001,0),MATCH(COLUMNS($AO$1006:AO1006),$AO$1006:$BQ$1006,0)), HYPERLINK("#",""), HYPERLINK(CONCATENATE("#Metadata!", ADDRESS(INDEX($AJ$2:$AJ$1001,MATCH(ROWS($AH$2:AH376),$AH$2:$AH$1001,0),0), INDEX($AO$1004:$BQ$1004,1,MATCH(COLUMNS($AO$1006:AO1006),$AO$1006:$BQ$1006,0)))),"Fix")))</f>
        <v>#N/A</v>
      </c>
      <c r="C376" s="5" t="e">
        <f ca="1">IF(OR(INDEX($AI$2:$AI$1001,MATCH(ROWS($AH$2:AH376),$AH$2:$AH$1001,0),1)&gt;=100000,INDEX($AO$1005:$BQ$1005,1,MATCH(COLUMNS($AO$1006:AP1006),$AO$1006:$BQ$1006,0))&gt;=100000), " ",IF(INDEX($AO$2:$BQ$1001,MATCH(ROWS($AH$2:AH376),$AH$2:$AH$1001,0),MATCH(COLUMNS($AO$1006:AP1006),$AO$1006:$BQ$1006,0)), HYPERLINK("#",""), HYPERLINK(CONCATENATE("#Metadata!", ADDRESS(INDEX($AJ$2:$AJ$1001,MATCH(ROWS($AH$2:AH376),$AH$2:$AH$1001,0),0), INDEX($AO$1004:$BQ$1004,1,MATCH(COLUMNS($AO$1006:AP1006),$AO$1006:$BQ$1006,0)))),"Fix")))</f>
        <v>#N/A</v>
      </c>
      <c r="D376" s="5" t="e">
        <f ca="1">IF(OR(INDEX($AI$2:$AI$1001,MATCH(ROWS($AH$2:AH376),$AH$2:$AH$1001,0),1)&gt;=100000,INDEX($AO$1005:$BQ$1005,1,MATCH(COLUMNS($AO$1006:AQ1006),$AO$1006:$BQ$1006,0))&gt;=100000), " ",IF(INDEX($AO$2:$BQ$1001,MATCH(ROWS($AH$2:AH376),$AH$2:$AH$1001,0),MATCH(COLUMNS($AO$1006:AQ1006),$AO$1006:$BQ$1006,0)), HYPERLINK("#",""), HYPERLINK(CONCATENATE("#Metadata!", ADDRESS(INDEX($AJ$2:$AJ$1001,MATCH(ROWS($AH$2:AH376),$AH$2:$AH$1001,0),0), INDEX($AO$1004:$BQ$1004,1,MATCH(COLUMNS($AO$1006:AQ1006),$AO$1006:$BQ$1006,0)))),"Fix")))</f>
        <v>#N/A</v>
      </c>
      <c r="E376" s="5" t="e">
        <f ca="1">IF(OR(INDEX($AI$2:$AI$1001,MATCH(ROWS($AH$2:AH376),$AH$2:$AH$1001,0),1)&gt;=100000,INDEX($AO$1005:$BQ$1005,1,MATCH(COLUMNS($AO$1006:AR1006),$AO$1006:$BQ$1006,0))&gt;=100000), " ",IF(INDEX($AO$2:$BQ$1001,MATCH(ROWS($AH$2:AH376),$AH$2:$AH$1001,0),MATCH(COLUMNS($AO$1006:AR1006),$AO$1006:$BQ$1006,0)), HYPERLINK("#",""), HYPERLINK(CONCATENATE("#Metadata!", ADDRESS(INDEX($AJ$2:$AJ$1001,MATCH(ROWS($AH$2:AH376),$AH$2:$AH$1001,0),0), INDEX($AO$1004:$BQ$1004,1,MATCH(COLUMNS($AO$1006:AR1006),$AO$1006:$BQ$1006,0)))),"Fix")))</f>
        <v>#N/A</v>
      </c>
      <c r="F376" s="5" t="e">
        <f ca="1">IF(OR(INDEX($AI$2:$AI$1001,MATCH(ROWS($AH$2:AH376),$AH$2:$AH$1001,0),1)&gt;=100000,INDEX($AO$1005:$BQ$1005,1,MATCH(COLUMNS($AO$1006:AS1006),$AO$1006:$BQ$1006,0))&gt;=100000), " ",IF(INDEX($AO$2:$BQ$1001,MATCH(ROWS($AH$2:AH376),$AH$2:$AH$1001,0),MATCH(COLUMNS($AO$1006:AS1006),$AO$1006:$BQ$1006,0)), HYPERLINK("#",""), HYPERLINK(CONCATENATE("#Metadata!", ADDRESS(INDEX($AJ$2:$AJ$1001,MATCH(ROWS($AH$2:AH376),$AH$2:$AH$1001,0),0), INDEX($AO$1004:$BQ$1004,1,MATCH(COLUMNS($AO$1006:AS1006),$AO$1006:$BQ$1006,0)))),"Fix")))</f>
        <v>#N/A</v>
      </c>
      <c r="G376" s="5" t="e">
        <f ca="1">IF(OR(INDEX($AI$2:$AI$1001,MATCH(ROWS($AH$2:AH376),$AH$2:$AH$1001,0),1)&gt;=100000,INDEX($AO$1005:$BQ$1005,1,MATCH(COLUMNS($AO$1006:AT1006),$AO$1006:$BQ$1006,0))&gt;=100000), " ",IF(INDEX($AO$2:$BQ$1001,MATCH(ROWS($AH$2:AH376),$AH$2:$AH$1001,0),MATCH(COLUMNS($AO$1006:AT1006),$AO$1006:$BQ$1006,0)), HYPERLINK("#",""), HYPERLINK(CONCATENATE("#Metadata!", ADDRESS(INDEX($AJ$2:$AJ$1001,MATCH(ROWS($AH$2:AH376),$AH$2:$AH$1001,0),0), INDEX($AO$1004:$BQ$1004,1,MATCH(COLUMNS($AO$1006:AT1006),$AO$1006:$BQ$1006,0)))),"Fix")))</f>
        <v>#N/A</v>
      </c>
      <c r="H376" s="5" t="e">
        <f ca="1">IF(OR(INDEX($AI$2:$AI$1001,MATCH(ROWS($AH$2:AH376),$AH$2:$AH$1001,0),1)&gt;=100000,INDEX($AO$1005:$BQ$1005,1,MATCH(COLUMNS($AO$1006:AU1006),$AO$1006:$BQ$1006,0))&gt;=100000), " ",IF(INDEX($AO$2:$BQ$1001,MATCH(ROWS($AH$2:AH376),$AH$2:$AH$1001,0),MATCH(COLUMNS($AO$1006:AU1006),$AO$1006:$BQ$1006,0)), HYPERLINK("#",""), HYPERLINK(CONCATENATE("#Metadata!", ADDRESS(INDEX($AJ$2:$AJ$1001,MATCH(ROWS($AH$2:AH376),$AH$2:$AH$1001,0),0), INDEX($AO$1004:$BQ$1004,1,MATCH(COLUMNS($AO$1006:AU1006),$AO$1006:$BQ$1006,0)))),"Fix")))</f>
        <v>#N/A</v>
      </c>
      <c r="I376" s="5" t="e">
        <f ca="1">IF(OR(INDEX($AI$2:$AI$1001,MATCH(ROWS($AH$2:AH376),$AH$2:$AH$1001,0),1)&gt;=100000,INDEX($AO$1005:$BQ$1005,1,MATCH(COLUMNS($AO$1006:AV1006),$AO$1006:$BQ$1006,0))&gt;=100000), " ",IF(INDEX($AO$2:$BQ$1001,MATCH(ROWS($AH$2:AH376),$AH$2:$AH$1001,0),MATCH(COLUMNS($AO$1006:AV1006),$AO$1006:$BQ$1006,0)), HYPERLINK("#",""), HYPERLINK(CONCATENATE("#Metadata!", ADDRESS(INDEX($AJ$2:$AJ$1001,MATCH(ROWS($AH$2:AH376),$AH$2:$AH$1001,0),0), INDEX($AO$1004:$BQ$1004,1,MATCH(COLUMNS($AO$1006:AV1006),$AO$1006:$BQ$1006,0)))),"Fix")))</f>
        <v>#N/A</v>
      </c>
      <c r="J376" s="5" t="e">
        <f ca="1">IF(OR(INDEX($AI$2:$AI$1001,MATCH(ROWS($AH$2:AH376),$AH$2:$AH$1001,0),1)&gt;=100000,INDEX($AO$1005:$BQ$1005,1,MATCH(COLUMNS($AO$1006:AW1006),$AO$1006:$BQ$1006,0))&gt;=100000), " ",IF(INDEX($AO$2:$BQ$1001,MATCH(ROWS($AH$2:AH376),$AH$2:$AH$1001,0),MATCH(COLUMNS($AO$1006:AW1006),$AO$1006:$BQ$1006,0)), HYPERLINK("#",""), HYPERLINK(CONCATENATE("#Metadata!", ADDRESS(INDEX($AJ$2:$AJ$1001,MATCH(ROWS($AH$2:AH376),$AH$2:$AH$1001,0),0), INDEX($AO$1004:$BQ$1004,1,MATCH(COLUMNS($AO$1006:AW1006),$AO$1006:$BQ$1006,0)))),"Fix")))</f>
        <v>#N/A</v>
      </c>
      <c r="K376" s="5" t="e">
        <f ca="1">IF(OR(INDEX($AI$2:$AI$1001,MATCH(ROWS($AH$2:AH376),$AH$2:$AH$1001,0),1)&gt;=100000,INDEX($AO$1005:$BQ$1005,1,MATCH(COLUMNS($AO$1006:AX1006),$AO$1006:$BQ$1006,0))&gt;=100000), " ",IF(INDEX($AO$2:$BQ$1001,MATCH(ROWS($AH$2:AH376),$AH$2:$AH$1001,0),MATCH(COLUMNS($AO$1006:AX1006),$AO$1006:$BQ$1006,0)), HYPERLINK("#",""), HYPERLINK(CONCATENATE("#Metadata!", ADDRESS(INDEX($AJ$2:$AJ$1001,MATCH(ROWS($AH$2:AH376),$AH$2:$AH$1001,0),0), INDEX($AO$1004:$BQ$1004,1,MATCH(COLUMNS($AO$1006:AX1006),$AO$1006:$BQ$1006,0)))),"Fix")))</f>
        <v>#N/A</v>
      </c>
      <c r="L376" s="5" t="e">
        <f ca="1">IF(OR(INDEX($AI$2:$AI$1001,MATCH(ROWS($AH$2:AH376),$AH$2:$AH$1001,0),1)&gt;=100000,INDEX($AO$1005:$BQ$1005,1,MATCH(COLUMNS($AO$1006:AY1006),$AO$1006:$BQ$1006,0))&gt;=100000), " ",IF(INDEX($AO$2:$BQ$1001,MATCH(ROWS($AH$2:AH376),$AH$2:$AH$1001,0),MATCH(COLUMNS($AO$1006:AY1006),$AO$1006:$BQ$1006,0)), HYPERLINK("#",""), HYPERLINK(CONCATENATE("#Metadata!", ADDRESS(INDEX($AJ$2:$AJ$1001,MATCH(ROWS($AH$2:AH376),$AH$2:$AH$1001,0),0), INDEX($AO$1004:$BQ$1004,1,MATCH(COLUMNS($AO$1006:AY1006),$AO$1006:$BQ$1006,0)))),"Fix")))</f>
        <v>#N/A</v>
      </c>
      <c r="M376" s="5" t="e">
        <f ca="1">IF(OR(INDEX($AI$2:$AI$1001,MATCH(ROWS($AH$2:AH376),$AH$2:$AH$1001,0),1)&gt;=100000,INDEX($AO$1005:$BQ$1005,1,MATCH(COLUMNS($AO$1006:AZ1006),$AO$1006:$BQ$1006,0))&gt;=100000), " ",IF(INDEX($AO$2:$BQ$1001,MATCH(ROWS($AH$2:AH376),$AH$2:$AH$1001,0),MATCH(COLUMNS($AO$1006:AZ1006),$AO$1006:$BQ$1006,0)), HYPERLINK("#",""), HYPERLINK(CONCATENATE("#Metadata!", ADDRESS(INDEX($AJ$2:$AJ$1001,MATCH(ROWS($AH$2:AH376),$AH$2:$AH$1001,0),0), INDEX($AO$1004:$BQ$1004,1,MATCH(COLUMNS($AO$1006:AZ1006),$AO$1006:$BQ$1006,0)))),"Fix")))</f>
        <v>#N/A</v>
      </c>
      <c r="N376" s="5" t="e">
        <f ca="1">IF(OR(INDEX($AI$2:$AI$1001,MATCH(ROWS($AH$2:AH376),$AH$2:$AH$1001,0),1)&gt;=100000,INDEX($AO$1005:$BQ$1005,1,MATCH(COLUMNS($AO$1006:BA1006),$AO$1006:$BQ$1006,0))&gt;=100000), " ",IF(INDEX($AO$2:$BQ$1001,MATCH(ROWS($AH$2:AH376),$AH$2:$AH$1001,0),MATCH(COLUMNS($AO$1006:BA1006),$AO$1006:$BQ$1006,0)), HYPERLINK("#",""), HYPERLINK(CONCATENATE("#Metadata!", ADDRESS(INDEX($AJ$2:$AJ$1001,MATCH(ROWS($AH$2:AH376),$AH$2:$AH$1001,0),0), INDEX($AO$1004:$BQ$1004,1,MATCH(COLUMNS($AO$1006:BA1006),$AO$1006:$BQ$1006,0)))),"Fix")))</f>
        <v>#N/A</v>
      </c>
      <c r="O376" s="5" t="e">
        <f ca="1">IF(OR(INDEX($AI$2:$AI$1001,MATCH(ROWS($AH$2:AH376),$AH$2:$AH$1001,0),1)&gt;=100000,INDEX($AO$1005:$BQ$1005,1,MATCH(COLUMNS($AO$1006:BB1006),$AO$1006:$BQ$1006,0))&gt;=100000), " ",IF(INDEX($AO$2:$BQ$1001,MATCH(ROWS($AH$2:AH376),$AH$2:$AH$1001,0),MATCH(COLUMNS($AO$1006:BB1006),$AO$1006:$BQ$1006,0)), HYPERLINK("#",""), HYPERLINK(CONCATENATE("#Metadata!", ADDRESS(INDEX($AJ$2:$AJ$1001,MATCH(ROWS($AH$2:AH376),$AH$2:$AH$1001,0),0), INDEX($AO$1004:$BQ$1004,1,MATCH(COLUMNS($AO$1006:BB1006),$AO$1006:$BQ$1006,0)))),"Fix")))</f>
        <v>#N/A</v>
      </c>
      <c r="P376" s="5" t="e">
        <f ca="1">IF(OR(INDEX($AI$2:$AI$1001,MATCH(ROWS($AH$2:AH376),$AH$2:$AH$1001,0),1)&gt;=100000,INDEX($AO$1005:$BQ$1005,1,MATCH(COLUMNS($AO$1006:BC1006),$AO$1006:$BQ$1006,0))&gt;=100000), " ",IF(INDEX($AO$2:$BQ$1001,MATCH(ROWS($AH$2:AH376),$AH$2:$AH$1001,0),MATCH(COLUMNS($AO$1006:BC1006),$AO$1006:$BQ$1006,0)), HYPERLINK("#",""), HYPERLINK(CONCATENATE("#Metadata!", ADDRESS(INDEX($AJ$2:$AJ$1001,MATCH(ROWS($AH$2:AH376),$AH$2:$AH$1001,0),0), INDEX($AO$1004:$BQ$1004,1,MATCH(COLUMNS($AO$1006:BC1006),$AO$1006:$BQ$1006,0)))),"Fix")))</f>
        <v>#N/A</v>
      </c>
      <c r="Q376" s="5" t="e">
        <f ca="1">IF(OR(INDEX($AI$2:$AI$1001,MATCH(ROWS($AH$2:AH376),$AH$2:$AH$1001,0),1)&gt;=100000,INDEX($AO$1005:$BQ$1005,1,MATCH(COLUMNS($AO$1006:BD1006),$AO$1006:$BQ$1006,0))&gt;=100000), " ",IF(INDEX($AO$2:$BQ$1001,MATCH(ROWS($AH$2:AH376),$AH$2:$AH$1001,0),MATCH(COLUMNS($AO$1006:BD1006),$AO$1006:$BQ$1006,0)), HYPERLINK("#",""), HYPERLINK(CONCATENATE("#Metadata!", ADDRESS(INDEX($AJ$2:$AJ$1001,MATCH(ROWS($AH$2:AH376),$AH$2:$AH$1001,0),0), INDEX($AO$1004:$BQ$1004,1,MATCH(COLUMNS($AO$1006:BD1006),$AO$1006:$BQ$1006,0)))),"Fix")))</f>
        <v>#N/A</v>
      </c>
      <c r="R376" s="5" t="e">
        <f ca="1">IF(OR(INDEX($AI$2:$AI$1001,MATCH(ROWS($AH$2:AH376),$AH$2:$AH$1001,0),1)&gt;=100000,INDEX($AO$1005:$BQ$1005,1,MATCH(COLUMNS($AO$1006:BE1006),$AO$1006:$BQ$1006,0))&gt;=100000), " ",IF(INDEX($AO$2:$BQ$1001,MATCH(ROWS($AH$2:AH376),$AH$2:$AH$1001,0),MATCH(COLUMNS($AO$1006:BE1006),$AO$1006:$BQ$1006,0)), HYPERLINK("#",""), HYPERLINK(CONCATENATE("#Metadata!", ADDRESS(INDEX($AJ$2:$AJ$1001,MATCH(ROWS($AH$2:AH376),$AH$2:$AH$1001,0),0), INDEX($AO$1004:$BQ$1004,1,MATCH(COLUMNS($AO$1006:BE1006),$AO$1006:$BQ$1006,0)))),"Fix")))</f>
        <v>#N/A</v>
      </c>
      <c r="S376" s="5" t="e">
        <f ca="1">IF(OR(INDEX($AI$2:$AI$1001,MATCH(ROWS($AH$2:AH376),$AH$2:$AH$1001,0),1)&gt;=100000,INDEX($AO$1005:$BQ$1005,1,MATCH(COLUMNS($AO$1006:BF1006),$AO$1006:$BQ$1006,0))&gt;=100000), " ",IF(INDEX($AO$2:$BQ$1001,MATCH(ROWS($AH$2:AH376),$AH$2:$AH$1001,0),MATCH(COLUMNS($AO$1006:BF1006),$AO$1006:$BQ$1006,0)), HYPERLINK("#",""), HYPERLINK(CONCATENATE("#Metadata!", ADDRESS(INDEX($AJ$2:$AJ$1001,MATCH(ROWS($AH$2:AH376),$AH$2:$AH$1001,0),0), INDEX($AO$1004:$BQ$1004,1,MATCH(COLUMNS($AO$1006:BF1006),$AO$1006:$BQ$1006,0)))),"Fix")))</f>
        <v>#N/A</v>
      </c>
      <c r="T376" s="5" t="e">
        <f ca="1">IF(OR(INDEX($AI$2:$AI$1001,MATCH(ROWS($AH$2:AH376),$AH$2:$AH$1001,0),1)&gt;=100000,INDEX($AO$1005:$BQ$1005,1,MATCH(COLUMNS($AO$1006:BG1006),$AO$1006:$BQ$1006,0))&gt;=100000), " ",IF(INDEX($AO$2:$BQ$1001,MATCH(ROWS($AH$2:AH376),$AH$2:$AH$1001,0),MATCH(COLUMNS($AO$1006:BG1006),$AO$1006:$BQ$1006,0)), HYPERLINK("#",""), HYPERLINK(CONCATENATE("#Metadata!", ADDRESS(INDEX($AJ$2:$AJ$1001,MATCH(ROWS($AH$2:AH376),$AH$2:$AH$1001,0),0), INDEX($AO$1004:$BQ$1004,1,MATCH(COLUMNS($AO$1006:BG1006),$AO$1006:$BQ$1006,0)))),"Fix")))</f>
        <v>#N/A</v>
      </c>
      <c r="U376" s="5" t="e">
        <f ca="1">IF(OR(INDEX($AI$2:$AI$1001,MATCH(ROWS($AH$2:AH376),$AH$2:$AH$1001,0),1)&gt;=100000,INDEX($AO$1005:$BQ$1005,1,MATCH(COLUMNS($AO$1006:BH1006),$AO$1006:$BQ$1006,0))&gt;=100000), " ",IF(INDEX($AO$2:$BQ$1001,MATCH(ROWS($AH$2:AH376),$AH$2:$AH$1001,0),MATCH(COLUMNS($AO$1006:BH1006),$AO$1006:$BQ$1006,0)), HYPERLINK("#",""), HYPERLINK(CONCATENATE("#Metadata!", ADDRESS(INDEX($AJ$2:$AJ$1001,MATCH(ROWS($AH$2:AH376),$AH$2:$AH$1001,0),0), INDEX($AO$1004:$BQ$1004,1,MATCH(COLUMNS($AO$1006:BH1006),$AO$1006:$BQ$1006,0)))),"Fix")))</f>
        <v>#N/A</v>
      </c>
      <c r="V376" s="5" t="e">
        <f ca="1">IF(OR(INDEX($AI$2:$AI$1001,MATCH(ROWS($AH$2:AH376),$AH$2:$AH$1001,0),1)&gt;=100000,INDEX($AO$1005:$BQ$1005,1,MATCH(COLUMNS($AO$1006:BI1006),$AO$1006:$BQ$1006,0))&gt;=100000), " ",IF(INDEX($AO$2:$BQ$1001,MATCH(ROWS($AH$2:AH376),$AH$2:$AH$1001,0),MATCH(COLUMNS($AO$1006:BI1006),$AO$1006:$BQ$1006,0)), HYPERLINK("#",""), HYPERLINK(CONCATENATE("#Metadata!", ADDRESS(INDEX($AJ$2:$AJ$1001,MATCH(ROWS($AH$2:AH376),$AH$2:$AH$1001,0),0), INDEX($AO$1004:$BQ$1004,1,MATCH(COLUMNS($AO$1006:BI1006),$AO$1006:$BQ$1006,0)))),"Fix")))</f>
        <v>#N/A</v>
      </c>
      <c r="W376" s="5" t="e">
        <f ca="1">IF(OR(INDEX($AI$2:$AI$1001,MATCH(ROWS($AH$2:AH376),$AH$2:$AH$1001,0),1)&gt;=100000,INDEX($AO$1005:$BQ$1005,1,MATCH(COLUMNS($AO$1006:BJ1006),$AO$1006:$BQ$1006,0))&gt;=100000), " ",IF(INDEX($AO$2:$BQ$1001,MATCH(ROWS($AH$2:AH376),$AH$2:$AH$1001,0),MATCH(COLUMNS($AO$1006:BJ1006),$AO$1006:$BQ$1006,0)), HYPERLINK("#",""), HYPERLINK(CONCATENATE("#Metadata!", ADDRESS(INDEX($AJ$2:$AJ$1001,MATCH(ROWS($AH$2:AH376),$AH$2:$AH$1001,0),0), INDEX($AO$1004:$BQ$1004,1,MATCH(COLUMNS($AO$1006:BJ1006),$AO$1006:$BQ$1006,0)))),"Fix")))</f>
        <v>#N/A</v>
      </c>
      <c r="X376" s="5" t="e">
        <f ca="1">IF(OR(INDEX($AI$2:$AI$1001,MATCH(ROWS($AH$2:AH376),$AH$2:$AH$1001,0),1)&gt;=100000,INDEX($AO$1005:$BQ$1005,1,MATCH(COLUMNS($AO$1006:BK1006),$AO$1006:$BQ$1006,0))&gt;=100000), " ",IF(INDEX($AO$2:$BQ$1001,MATCH(ROWS($AH$2:AH376),$AH$2:$AH$1001,0),MATCH(COLUMNS($AO$1006:BK1006),$AO$1006:$BQ$1006,0)), HYPERLINK("#",""), HYPERLINK(CONCATENATE("#Metadata!", ADDRESS(INDEX($AJ$2:$AJ$1001,MATCH(ROWS($AH$2:AH376),$AH$2:$AH$1001,0),0), INDEX($AO$1004:$BQ$1004,1,MATCH(COLUMNS($AO$1006:BK1006),$AO$1006:$BQ$1006,0)))),"Fix")))</f>
        <v>#N/A</v>
      </c>
      <c r="Y376" s="5" t="e">
        <f ca="1">IF(OR(INDEX($AI$2:$AI$1001,MATCH(ROWS($AH$2:AH376),$AH$2:$AH$1001,0),1)&gt;=100000,INDEX($AO$1005:$BQ$1005,1,MATCH(COLUMNS($AO$1006:BL1006),$AO$1006:$BQ$1006,0))&gt;=100000), " ",IF(INDEX($AO$2:$BQ$1001,MATCH(ROWS($AH$2:AH376),$AH$2:$AH$1001,0),MATCH(COLUMNS($AO$1006:BL1006),$AO$1006:$BQ$1006,0)), HYPERLINK("#",""), HYPERLINK(CONCATENATE("#Metadata!", ADDRESS(INDEX($AJ$2:$AJ$1001,MATCH(ROWS($AH$2:AH376),$AH$2:$AH$1001,0),0), INDEX($AO$1004:$BQ$1004,1,MATCH(COLUMNS($AO$1006:BL1006),$AO$1006:$BQ$1006,0)))),"Fix")))</f>
        <v>#N/A</v>
      </c>
      <c r="Z376" s="5" t="e">
        <f ca="1">IF(OR(INDEX($AI$2:$AI$1001,MATCH(ROWS($AH$2:AH376),$AH$2:$AH$1001,0),1)&gt;=100000,INDEX($AO$1005:$BQ$1005,1,MATCH(COLUMNS($AO$1006:BM1006),$AO$1006:$BQ$1006,0))&gt;=100000), " ",IF(INDEX($AO$2:$BQ$1001,MATCH(ROWS($AH$2:AH376),$AH$2:$AH$1001,0),MATCH(COLUMNS($AO$1006:BM1006),$AO$1006:$BQ$1006,0)), HYPERLINK("#",""), HYPERLINK(CONCATENATE("#Metadata!", ADDRESS(INDEX($AJ$2:$AJ$1001,MATCH(ROWS($AH$2:AH376),$AH$2:$AH$1001,0),0), INDEX($AO$1004:$BQ$1004,1,MATCH(COLUMNS($AO$1006:BM1006),$AO$1006:$BQ$1006,0)))),"Fix")))</f>
        <v>#N/A</v>
      </c>
      <c r="AA376" s="5" t="e">
        <f ca="1">IF(OR(INDEX($AI$2:$AI$1001,MATCH(ROWS($AH$2:AH376),$AH$2:$AH$1001,0),1)&gt;=100000,INDEX($AO$1005:$BQ$1005,1,MATCH(COLUMNS($AO$1006:BN1006),$AO$1006:$BQ$1006,0))&gt;=100000), " ",IF(INDEX($AO$2:$BQ$1001,MATCH(ROWS($AH$2:AH376),$AH$2:$AH$1001,0),MATCH(COLUMNS($AO$1006:BN1006),$AO$1006:$BQ$1006,0)), HYPERLINK("#",""), HYPERLINK(CONCATENATE("#Metadata!", ADDRESS(INDEX($AJ$2:$AJ$1001,MATCH(ROWS($AH$2:AH376),$AH$2:$AH$1001,0),0), INDEX($AO$1004:$BQ$1004,1,MATCH(COLUMNS($AO$1006:BN1006),$AO$1006:$BQ$1006,0)))),"Fix")))</f>
        <v>#N/A</v>
      </c>
      <c r="AB376" s="5" t="e">
        <f ca="1">IF(OR(INDEX($AI$2:$AI$1001,MATCH(ROWS($AH$2:AH376),$AH$2:$AH$1001,0),1)&gt;=100000,INDEX($AO$1005:$BQ$1005,1,MATCH(COLUMNS($AO$1006:BO1006),$AO$1006:$BQ$1006,0))&gt;=100000), " ",IF(INDEX($AO$2:$BQ$1001,MATCH(ROWS($AH$2:AH376),$AH$2:$AH$1001,0),MATCH(COLUMNS($AO$1006:BO1006),$AO$1006:$BQ$1006,0)), HYPERLINK("#",""), HYPERLINK(CONCATENATE("#Metadata!", ADDRESS(INDEX($AJ$2:$AJ$1001,MATCH(ROWS($AH$2:AH376),$AH$2:$AH$1001,0),0), INDEX($AO$1004:$BQ$1004,1,MATCH(COLUMNS($AO$1006:BO1006),$AO$1006:$BQ$1006,0)))),"Fix")))</f>
        <v>#N/A</v>
      </c>
      <c r="AC376" s="5" t="e">
        <f ca="1">IF(OR(INDEX($AI$2:$AI$1001,MATCH(ROWS($AH$2:AH376),$AH$2:$AH$1001,0),1)&gt;=100000,INDEX($AO$1005:$BQ$1005,1,MATCH(COLUMNS($AO$1006:BP1006),$AO$1006:$BQ$1006,0))&gt;=100000), " ",IF(INDEX($AO$2:$BQ$1001,MATCH(ROWS($AH$2:AH376),$AH$2:$AH$1001,0),MATCH(COLUMNS($AO$1006:BP1006),$AO$1006:$BQ$1006,0)), HYPERLINK("#",""), HYPERLINK(CONCATENATE("#Metadata!", ADDRESS(INDEX($AJ$2:$AJ$1001,MATCH(ROWS($AH$2:AH376),$AH$2:$AH$1001,0),0), INDEX($AO$1004:$BQ$1004,1,MATCH(COLUMNS($AO$1006:BP1006),$AO$1006:$BQ$1006,0)))),"Fix")))</f>
        <v>#N/A</v>
      </c>
      <c r="AD376" s="5" t="e">
        <f ca="1">IF(OR(INDEX($AI$2:$AI$1001,MATCH(ROWS($AH$2:AH376),$AH$2:$AH$1001,0),1)&gt;=100000,INDEX($AO$1005:$BQ$1005,1,MATCH(COLUMNS($AO$1006:BQ1006),$AO$1006:$BQ$1006,0))&gt;=100000), " ",IF(INDEX($AO$2:$BQ$1001,MATCH(ROWS($AH$2:AH376),$AH$2:$AH$1001,0),MATCH(COLUMNS($AO$1006:BQ1006),$AO$1006:$BQ$1006,0)), HYPERLINK("#",""), HYPERLINK(CONCATENATE("#Metadata!", ADDRESS(INDEX($AJ$2:$AJ$1001,MATCH(ROWS($AH$2:AH376),$AH$2:$AH$1001,0),0), INDEX($AO$1004:$BQ$1004,1,MATCH(COLUMNS($AO$1006:BQ1006),$AO$1006:$BQ$1006,0)))),"Fix")))</f>
        <v>#REF!</v>
      </c>
      <c r="AH376">
        <f ca="1"/>
        <v>373</v>
      </c>
      <c r="AI376">
        <v>100376</v>
      </c>
      <c r="AJ376">
        <v>376</v>
      </c>
      <c r="AK376" t="b">
        <f t="shared" si="5"/>
        <v>1</v>
      </c>
      <c r="AL376" t="b">
        <f>COUNTBLANK(Metadata!B376:AD376)=COLUMNS(Metadata!B376:AD376)</f>
        <v>1</v>
      </c>
      <c r="AM376" t="str">
        <v/>
      </c>
      <c r="AO376" t="b">
        <f ca="1">AND(IF(Metadata!B376="",FALSE,TRUE),COUNTIF(Metadata!B:B, Metadata!B376) = 1,NOT(ISERROR(SUMPRODUCT(SEARCH(MID(Metadata!B376,ROW(INDIRECT("1:"&amp;LEN(Metadata!B376))), 1),"0123456789abcdefghijklmnopqrstuvwxyzABCDEFGHIJKLMNOPQRSTUVWXYZ.")))))</f>
        <v>0</v>
      </c>
      <c r="AP376" t="b">
        <f>IF(Metadata!C376="",FALSE,TRUE)</f>
        <v>0</v>
      </c>
      <c r="AQ376" t="b">
        <f>IF(Metadata!D376="",FALSE,TRUE)</f>
        <v>0</v>
      </c>
      <c r="AR376" t="b">
        <f ca="1">OR(AND(IF(Metadata!E376="",FALSE,TRUE),OR(EXACT(Metadata!E376,"not collected"),EXACT(Metadata!E376,"not provided"),EXACT(Metadata!E376,"restricted access"))),AND(IF(Metadata!E376="",FALSE,TRUE),AND(AND(IFERROR(INT(LEFT(Metadata!E376,4))&gt;1900,FALSE),IFERROR(INT(LEFT(Metadata!E376,4))&lt;=YEAR(NOW()),FALSE)), OR(MID(Metadata!E376,5,1)="", AND(AND(MID(Metadata!E376,5,1)="-",IFERROR(INT(MID(Metadata!E376,6,1))&gt;=0,FALSE),IFERROR(INT(MID(Metadata!E376,6,1))&lt;=1,FALSE),NOT(MID(Metadata!E376,7,1)=""),IFERROR(INT(MID(Metadata!E376,6,2))&gt;=1,FALSE),IFERROR(INT(MID(Metadata!E376,6,2))&lt;=12,FALSE)), OR(MID(Metadata!E376,8,1)="", AND(AND(MID(Metadata!E376,8,1)="-",IFERROR(INT(MID(Metadata!E376,9,1))&gt;=0,FALSE),IFERROR(INT(MID(Metadata!E376,9,1))&lt;=3,FALSE),NOT(MID(Metadata!E376,10,1)=""),IFERROR(INT(MID(Metadata!E376,9,2))&gt;=1,FALSE),IFERROR(INT(MID(Metadata!E376,9,2))&lt;=31,FALSE)), OR(MID(Metadata!E376,11,1)="", AND(AND(MID(Metadata!E376,11,1)=" ",IFERROR(INT(MID(Metadata!E376,12,1))&gt;=0,FALSE),IFERROR(INT(MID(Metadata!E376,12,1))&lt;=2,FALSE),NOT(MID(Metadata!E376,13,1)=""),IFERROR(INT(MID(Metadata!E376,12,2))&gt;=0,FALSE),IFERROR(INT(MID(Metadata!E376,12,2))&lt;=23,FALSE)), OR(MID(Metadata!E376,14,1)="", AND(AND(MID(Metadata!E376,14,1)=":",IFERROR(INT(MID(Metadata!E376,15,1))&gt;=0,FALSE),IFERROR(INT(MID(Metadata!E376,15,1))&lt;=5,FALSE),NOT(MID(Metadata!E376,16,1)=""),IFERROR(INT(MID(Metadata!E376,15,2))&gt;=0,FALSE),IFERROR(INT(MID(Metadata!E376,15,2))&lt;=59,FALSE)), OR(MID(Metadata!E376,17,1)="", AND(AND(MID(Metadata!E376,17,1)=":",IFERROR(INT(MID(Metadata!E376,18,1))&gt;=0,FALSE),IFERROR(INT(MID(Metadata!E376,18,1))&lt;=5,FALSE),NOT(MID(Metadata!E376,19,1)=""),IFERROR(INT(MID(Metadata!E376,18,2))&gt;=0,FALSE),IFERROR(INT(MID(Metadata!E376,18,2))&lt;=59,FALSE)), LEN(Metadata!E376)&lt;=19)))))))))))))</f>
        <v>0</v>
      </c>
      <c r="AS376" t="b">
        <f>IF(Metadata!F376="",FALSE,TRUE)</f>
        <v>0</v>
      </c>
      <c r="AT376" t="b">
        <f>OR(AND(IF(Metadata!G376="",FALSE,TRUE),OR(EXACT(Metadata!G376,"not collected"),EXACT(Metadata!G376,"not provided"))),AND(IF(Metadata!G376="",FALSE,TRUE),OR(EXACT(Metadata!G376,"TRUE"),EXACT(Metadata!G376,"FALSE"))))</f>
        <v>0</v>
      </c>
      <c r="AU376" t="b">
        <f>OR(AND(IF(Metadata!H376="",FALSE,TRUE),OR(EXACT(Metadata!H376,"not collected"),EXACT(Metadata!H376,"not provided"),EXACT(Metadata!H376,"restricted access"))),AND(IF(Metadata!H376="",FALSE,ISNUMBER(VALUE(Metadata!H376))),Metadata!H376&gt;=-413))</f>
        <v>0</v>
      </c>
      <c r="AV376" t="b">
        <f>AND(IF(Metadata!I376="",FALSE,TRUE),EXACT(Metadata!I376,"meters"))</f>
        <v>0</v>
      </c>
      <c r="AW376" t="b">
        <f>AND(IF(Metadata!J376="",FALSE,TRUE),EXACT(Metadata!J376,"free-living"))</f>
        <v>0</v>
      </c>
      <c r="AX376" t="b">
        <f>AND(IF(Metadata!K376="",FALSE,TRUE),OR(EXACT(Metadata!K376,"saline"),EXACT(Metadata!K376,"non-saline")))</f>
        <v>0</v>
      </c>
      <c r="AY376" t="b">
        <f>AND(IF(Metadata!L376="",FALSE,TRUE),OR(EXACT(Metadata!L376,"sub-surface (non-saline)"),EXACT(Metadata!L376,"surface (non-saline)"),EXACT(Metadata!L376,"water (non-saline)"),EXACT(Metadata!L376,"soil (non-saline)"),EXACT(Metadata!L376,"aerosol (non-saline)"),EXACT(Metadata!L376,"sediment (non-saline)"),EXACT(Metadata!L376,"surface (saline)"),EXACT(Metadata!L376,"water (saline)"),EXACT(Metadata!L376,"hypersaline (saline)"),EXACT(Metadata!L376,"aerosol (saline)"),EXACT(Metadata!L376,"sediment (saline)")))</f>
        <v>0</v>
      </c>
      <c r="AZ376" t="b">
        <f>IF(Metadata!M376="",FALSE,TRUE)</f>
        <v>0</v>
      </c>
      <c r="BA376" t="b">
        <f>IF(Metadata!N376="",FALSE,TRUE)</f>
        <v>0</v>
      </c>
      <c r="BB376" t="b">
        <f>IF(Metadata!O376="",FALSE,TRUE)</f>
        <v>0</v>
      </c>
      <c r="BC376" t="b">
        <f>AND(IF(Metadata!P376="",FALSE,TRUE),OR(EXACT(Metadata!P376,"air"),EXACT(Metadata!P376,"microbial mat/biofilm"),EXACT(Metadata!P376,"misc environment"),EXACT(Metadata!P376,"sediment"),EXACT(Metadata!P376,"soil"),EXACT(Metadata!P376,"wastewater/sludge"),EXACT(Metadata!P376,"water")))</f>
        <v>0</v>
      </c>
      <c r="BD376" t="b">
        <f>IF(Metadata!Q376="",FALSE,TRUE)</f>
        <v>0</v>
      </c>
      <c r="BE376" t="b">
        <f>IF(Metadata!R376="",FALSE,TRUE)</f>
        <v>0</v>
      </c>
      <c r="BF376" t="b">
        <f>OR(AND(IF(Metadata!S376="",FALSE,TRUE),OR(EXACT(Metadata!S376,"not collected"),EXACT(Metadata!S376,"not provided"),EXACT(Metadata!S376,"restricted access"))),AND(IF(Metadata!S376="",FALSE,ISNUMBER(VALUE(Metadata!S376))),Metadata!S376&gt;=-90,Metadata!S376&lt;=90))</f>
        <v>0</v>
      </c>
      <c r="BG376" t="b">
        <f>AND(IF(Metadata!T376="",FALSE,TRUE),EXACT(Metadata!T376,"Decimal degrees"))</f>
        <v>0</v>
      </c>
      <c r="BH376" t="b">
        <f>OR(AND(IF(Metadata!U376="",FALSE,TRUE),OR(EXACT(Metadata!U376,"not applicable"),EXACT(Metadata!U376,"not collected"))),IF(Metadata!U376="",FALSE,TRUE))</f>
        <v>0</v>
      </c>
      <c r="BI376" t="b">
        <f>OR(AND(IF(Metadata!V376="",FALSE,TRUE),OR(EXACT(Metadata!V376,"not collected"),EXACT(Metadata!V376,"not provided"),EXACT(Metadata!V376,"restricted access"))),AND(IF(Metadata!V376="",FALSE,ISNUMBER(VALUE(Metadata!V376))),Metadata!V376&gt;=-180,Metadata!V376&lt;=180))</f>
        <v>0</v>
      </c>
      <c r="BJ376" t="b">
        <f>AND(IF(Metadata!W376="",FALSE,TRUE),EXACT(Metadata!W376,"Decimal degrees"))</f>
        <v>0</v>
      </c>
      <c r="BK376" t="b">
        <f>IF(Metadata!X376="",FALSE,TRUE)</f>
        <v>0</v>
      </c>
      <c r="BL376" t="b">
        <f>OR(AND(IF(Metadata!Y376="",FALSE,TRUE),OR(EXACT(Metadata!Y376,"not collected"),EXACT(Metadata!Y376,"not provided"),EXACT(Metadata!Y376,"restricted access"))),AND(IF(Metadata!Y376="",FALSE,TRUE),OR(EXACT(Metadata!Y376,"TRUE"),EXACT(Metadata!Y376,"FALSE"))))</f>
        <v>0</v>
      </c>
      <c r="BM376" t="b">
        <f>OR(AND(IF(Metadata!Z376="",FALSE,TRUE),EXACT(Metadata!Z376,"not applicable")),AND(IF(Metadata!Z376="",FALSE,TRUE),OR(EXACT(Metadata!Z376,"beer"),EXACT(Metadata!Z376,"cheese"),EXACT(Metadata!Z376,"fresh water"),EXACT(Metadata!Z376,"marine sediment"),EXACT(Metadata!Z376,"sea water"),EXACT(Metadata!Z376,"sediment"),EXACT(Metadata!Z376,"soil"),EXACT(Metadata!Z376,"waste water"))))</f>
        <v>0</v>
      </c>
      <c r="BN376" t="b">
        <f>AND(IF(Metadata!AA376="",FALSE,TRUE),EXACT(Metadata!AA376,"metagenome"))</f>
        <v>0</v>
      </c>
      <c r="BO376" t="b">
        <f>AND(IF(Metadata!AB376="",FALSE,TRUE),EXACT(Metadata!AB376,"256318"))</f>
        <v>0</v>
      </c>
      <c r="BP376" t="b">
        <f>IF(Metadata!AC376="",FALSE,TRUE)</f>
        <v>0</v>
      </c>
      <c r="BQ376" t="b">
        <f>IF(Metadata!AD376="",FALSE,TRUE)</f>
        <v>0</v>
      </c>
    </row>
    <row r="377" spans="1:69" x14ac:dyDescent="0.2">
      <c r="A377" s="4" t="e">
        <f ca="1">IF(B377=" "," ",HYPERLINK(CONCATENATE("#metadata!",ADDRESS(INDEX($AJ$2:$AJ$1001,MATCH(ROWS($AH$2:AH377),$AH$2:$AH$1001,0),0),2)),INDEX($AM$2:$AM$1001,MATCH(ROWS($AH$2:AH377),$AH$2:$AH$1001,0),0)))</f>
        <v>#N/A</v>
      </c>
      <c r="B377" s="5" t="e">
        <f ca="1">IF(OR(INDEX($AI$2:$AI$1001,MATCH(ROWS($AH$2:AH377),$AH$2:$AH$1001,0),1)&gt;=100000,INDEX($AO$1005:$BQ$1005,1,MATCH(COLUMNS($AO$1006:AO1006),$AO$1006:$BQ$1006,0))&gt;=100000), " ",IF(INDEX($AO$2:$BQ$1001,MATCH(ROWS($AH$2:AH377),$AH$2:$AH$1001,0),MATCH(COLUMNS($AO$1006:AO1006),$AO$1006:$BQ$1006,0)), HYPERLINK("#",""), HYPERLINK(CONCATENATE("#Metadata!", ADDRESS(INDEX($AJ$2:$AJ$1001,MATCH(ROWS($AH$2:AH377),$AH$2:$AH$1001,0),0), INDEX($AO$1004:$BQ$1004,1,MATCH(COLUMNS($AO$1006:AO1006),$AO$1006:$BQ$1006,0)))),"Fix")))</f>
        <v>#N/A</v>
      </c>
      <c r="C377" s="5" t="e">
        <f ca="1">IF(OR(INDEX($AI$2:$AI$1001,MATCH(ROWS($AH$2:AH377),$AH$2:$AH$1001,0),1)&gt;=100000,INDEX($AO$1005:$BQ$1005,1,MATCH(COLUMNS($AO$1006:AP1006),$AO$1006:$BQ$1006,0))&gt;=100000), " ",IF(INDEX($AO$2:$BQ$1001,MATCH(ROWS($AH$2:AH377),$AH$2:$AH$1001,0),MATCH(COLUMNS($AO$1006:AP1006),$AO$1006:$BQ$1006,0)), HYPERLINK("#",""), HYPERLINK(CONCATENATE("#Metadata!", ADDRESS(INDEX($AJ$2:$AJ$1001,MATCH(ROWS($AH$2:AH377),$AH$2:$AH$1001,0),0), INDEX($AO$1004:$BQ$1004,1,MATCH(COLUMNS($AO$1006:AP1006),$AO$1006:$BQ$1006,0)))),"Fix")))</f>
        <v>#N/A</v>
      </c>
      <c r="D377" s="5" t="e">
        <f ca="1">IF(OR(INDEX($AI$2:$AI$1001,MATCH(ROWS($AH$2:AH377),$AH$2:$AH$1001,0),1)&gt;=100000,INDEX($AO$1005:$BQ$1005,1,MATCH(COLUMNS($AO$1006:AQ1006),$AO$1006:$BQ$1006,0))&gt;=100000), " ",IF(INDEX($AO$2:$BQ$1001,MATCH(ROWS($AH$2:AH377),$AH$2:$AH$1001,0),MATCH(COLUMNS($AO$1006:AQ1006),$AO$1006:$BQ$1006,0)), HYPERLINK("#",""), HYPERLINK(CONCATENATE("#Metadata!", ADDRESS(INDEX($AJ$2:$AJ$1001,MATCH(ROWS($AH$2:AH377),$AH$2:$AH$1001,0),0), INDEX($AO$1004:$BQ$1004,1,MATCH(COLUMNS($AO$1006:AQ1006),$AO$1006:$BQ$1006,0)))),"Fix")))</f>
        <v>#N/A</v>
      </c>
      <c r="E377" s="5" t="e">
        <f ca="1">IF(OR(INDEX($AI$2:$AI$1001,MATCH(ROWS($AH$2:AH377),$AH$2:$AH$1001,0),1)&gt;=100000,INDEX($AO$1005:$BQ$1005,1,MATCH(COLUMNS($AO$1006:AR1006),$AO$1006:$BQ$1006,0))&gt;=100000), " ",IF(INDEX($AO$2:$BQ$1001,MATCH(ROWS($AH$2:AH377),$AH$2:$AH$1001,0),MATCH(COLUMNS($AO$1006:AR1006),$AO$1006:$BQ$1006,0)), HYPERLINK("#",""), HYPERLINK(CONCATENATE("#Metadata!", ADDRESS(INDEX($AJ$2:$AJ$1001,MATCH(ROWS($AH$2:AH377),$AH$2:$AH$1001,0),0), INDEX($AO$1004:$BQ$1004,1,MATCH(COLUMNS($AO$1006:AR1006),$AO$1006:$BQ$1006,0)))),"Fix")))</f>
        <v>#N/A</v>
      </c>
      <c r="F377" s="5" t="e">
        <f ca="1">IF(OR(INDEX($AI$2:$AI$1001,MATCH(ROWS($AH$2:AH377),$AH$2:$AH$1001,0),1)&gt;=100000,INDEX($AO$1005:$BQ$1005,1,MATCH(COLUMNS($AO$1006:AS1006),$AO$1006:$BQ$1006,0))&gt;=100000), " ",IF(INDEX($AO$2:$BQ$1001,MATCH(ROWS($AH$2:AH377),$AH$2:$AH$1001,0),MATCH(COLUMNS($AO$1006:AS1006),$AO$1006:$BQ$1006,0)), HYPERLINK("#",""), HYPERLINK(CONCATENATE("#Metadata!", ADDRESS(INDEX($AJ$2:$AJ$1001,MATCH(ROWS($AH$2:AH377),$AH$2:$AH$1001,0),0), INDEX($AO$1004:$BQ$1004,1,MATCH(COLUMNS($AO$1006:AS1006),$AO$1006:$BQ$1006,0)))),"Fix")))</f>
        <v>#N/A</v>
      </c>
      <c r="G377" s="5" t="e">
        <f ca="1">IF(OR(INDEX($AI$2:$AI$1001,MATCH(ROWS($AH$2:AH377),$AH$2:$AH$1001,0),1)&gt;=100000,INDEX($AO$1005:$BQ$1005,1,MATCH(COLUMNS($AO$1006:AT1006),$AO$1006:$BQ$1006,0))&gt;=100000), " ",IF(INDEX($AO$2:$BQ$1001,MATCH(ROWS($AH$2:AH377),$AH$2:$AH$1001,0),MATCH(COLUMNS($AO$1006:AT1006),$AO$1006:$BQ$1006,0)), HYPERLINK("#",""), HYPERLINK(CONCATENATE("#Metadata!", ADDRESS(INDEX($AJ$2:$AJ$1001,MATCH(ROWS($AH$2:AH377),$AH$2:$AH$1001,0),0), INDEX($AO$1004:$BQ$1004,1,MATCH(COLUMNS($AO$1006:AT1006),$AO$1006:$BQ$1006,0)))),"Fix")))</f>
        <v>#N/A</v>
      </c>
      <c r="H377" s="5" t="e">
        <f ca="1">IF(OR(INDEX($AI$2:$AI$1001,MATCH(ROWS($AH$2:AH377),$AH$2:$AH$1001,0),1)&gt;=100000,INDEX($AO$1005:$BQ$1005,1,MATCH(COLUMNS($AO$1006:AU1006),$AO$1006:$BQ$1006,0))&gt;=100000), " ",IF(INDEX($AO$2:$BQ$1001,MATCH(ROWS($AH$2:AH377),$AH$2:$AH$1001,0),MATCH(COLUMNS($AO$1006:AU1006),$AO$1006:$BQ$1006,0)), HYPERLINK("#",""), HYPERLINK(CONCATENATE("#Metadata!", ADDRESS(INDEX($AJ$2:$AJ$1001,MATCH(ROWS($AH$2:AH377),$AH$2:$AH$1001,0),0), INDEX($AO$1004:$BQ$1004,1,MATCH(COLUMNS($AO$1006:AU1006),$AO$1006:$BQ$1006,0)))),"Fix")))</f>
        <v>#N/A</v>
      </c>
      <c r="I377" s="5" t="e">
        <f ca="1">IF(OR(INDEX($AI$2:$AI$1001,MATCH(ROWS($AH$2:AH377),$AH$2:$AH$1001,0),1)&gt;=100000,INDEX($AO$1005:$BQ$1005,1,MATCH(COLUMNS($AO$1006:AV1006),$AO$1006:$BQ$1006,0))&gt;=100000), " ",IF(INDEX($AO$2:$BQ$1001,MATCH(ROWS($AH$2:AH377),$AH$2:$AH$1001,0),MATCH(COLUMNS($AO$1006:AV1006),$AO$1006:$BQ$1006,0)), HYPERLINK("#",""), HYPERLINK(CONCATENATE("#Metadata!", ADDRESS(INDEX($AJ$2:$AJ$1001,MATCH(ROWS($AH$2:AH377),$AH$2:$AH$1001,0),0), INDEX($AO$1004:$BQ$1004,1,MATCH(COLUMNS($AO$1006:AV1006),$AO$1006:$BQ$1006,0)))),"Fix")))</f>
        <v>#N/A</v>
      </c>
      <c r="J377" s="5" t="e">
        <f ca="1">IF(OR(INDEX($AI$2:$AI$1001,MATCH(ROWS($AH$2:AH377),$AH$2:$AH$1001,0),1)&gt;=100000,INDEX($AO$1005:$BQ$1005,1,MATCH(COLUMNS($AO$1006:AW1006),$AO$1006:$BQ$1006,0))&gt;=100000), " ",IF(INDEX($AO$2:$BQ$1001,MATCH(ROWS($AH$2:AH377),$AH$2:$AH$1001,0),MATCH(COLUMNS($AO$1006:AW1006),$AO$1006:$BQ$1006,0)), HYPERLINK("#",""), HYPERLINK(CONCATENATE("#Metadata!", ADDRESS(INDEX($AJ$2:$AJ$1001,MATCH(ROWS($AH$2:AH377),$AH$2:$AH$1001,0),0), INDEX($AO$1004:$BQ$1004,1,MATCH(COLUMNS($AO$1006:AW1006),$AO$1006:$BQ$1006,0)))),"Fix")))</f>
        <v>#N/A</v>
      </c>
      <c r="K377" s="5" t="e">
        <f ca="1">IF(OR(INDEX($AI$2:$AI$1001,MATCH(ROWS($AH$2:AH377),$AH$2:$AH$1001,0),1)&gt;=100000,INDEX($AO$1005:$BQ$1005,1,MATCH(COLUMNS($AO$1006:AX1006),$AO$1006:$BQ$1006,0))&gt;=100000), " ",IF(INDEX($AO$2:$BQ$1001,MATCH(ROWS($AH$2:AH377),$AH$2:$AH$1001,0),MATCH(COLUMNS($AO$1006:AX1006),$AO$1006:$BQ$1006,0)), HYPERLINK("#",""), HYPERLINK(CONCATENATE("#Metadata!", ADDRESS(INDEX($AJ$2:$AJ$1001,MATCH(ROWS($AH$2:AH377),$AH$2:$AH$1001,0),0), INDEX($AO$1004:$BQ$1004,1,MATCH(COLUMNS($AO$1006:AX1006),$AO$1006:$BQ$1006,0)))),"Fix")))</f>
        <v>#N/A</v>
      </c>
      <c r="L377" s="5" t="e">
        <f ca="1">IF(OR(INDEX($AI$2:$AI$1001,MATCH(ROWS($AH$2:AH377),$AH$2:$AH$1001,0),1)&gt;=100000,INDEX($AO$1005:$BQ$1005,1,MATCH(COLUMNS($AO$1006:AY1006),$AO$1006:$BQ$1006,0))&gt;=100000), " ",IF(INDEX($AO$2:$BQ$1001,MATCH(ROWS($AH$2:AH377),$AH$2:$AH$1001,0),MATCH(COLUMNS($AO$1006:AY1006),$AO$1006:$BQ$1006,0)), HYPERLINK("#",""), HYPERLINK(CONCATENATE("#Metadata!", ADDRESS(INDEX($AJ$2:$AJ$1001,MATCH(ROWS($AH$2:AH377),$AH$2:$AH$1001,0),0), INDEX($AO$1004:$BQ$1004,1,MATCH(COLUMNS($AO$1006:AY1006),$AO$1006:$BQ$1006,0)))),"Fix")))</f>
        <v>#N/A</v>
      </c>
      <c r="M377" s="5" t="e">
        <f ca="1">IF(OR(INDEX($AI$2:$AI$1001,MATCH(ROWS($AH$2:AH377),$AH$2:$AH$1001,0),1)&gt;=100000,INDEX($AO$1005:$BQ$1005,1,MATCH(COLUMNS($AO$1006:AZ1006),$AO$1006:$BQ$1006,0))&gt;=100000), " ",IF(INDEX($AO$2:$BQ$1001,MATCH(ROWS($AH$2:AH377),$AH$2:$AH$1001,0),MATCH(COLUMNS($AO$1006:AZ1006),$AO$1006:$BQ$1006,0)), HYPERLINK("#",""), HYPERLINK(CONCATENATE("#Metadata!", ADDRESS(INDEX($AJ$2:$AJ$1001,MATCH(ROWS($AH$2:AH377),$AH$2:$AH$1001,0),0), INDEX($AO$1004:$BQ$1004,1,MATCH(COLUMNS($AO$1006:AZ1006),$AO$1006:$BQ$1006,0)))),"Fix")))</f>
        <v>#N/A</v>
      </c>
      <c r="N377" s="5" t="e">
        <f ca="1">IF(OR(INDEX($AI$2:$AI$1001,MATCH(ROWS($AH$2:AH377),$AH$2:$AH$1001,0),1)&gt;=100000,INDEX($AO$1005:$BQ$1005,1,MATCH(COLUMNS($AO$1006:BA1006),$AO$1006:$BQ$1006,0))&gt;=100000), " ",IF(INDEX($AO$2:$BQ$1001,MATCH(ROWS($AH$2:AH377),$AH$2:$AH$1001,0),MATCH(COLUMNS($AO$1006:BA1006),$AO$1006:$BQ$1006,0)), HYPERLINK("#",""), HYPERLINK(CONCATENATE("#Metadata!", ADDRESS(INDEX($AJ$2:$AJ$1001,MATCH(ROWS($AH$2:AH377),$AH$2:$AH$1001,0),0), INDEX($AO$1004:$BQ$1004,1,MATCH(COLUMNS($AO$1006:BA1006),$AO$1006:$BQ$1006,0)))),"Fix")))</f>
        <v>#N/A</v>
      </c>
      <c r="O377" s="5" t="e">
        <f ca="1">IF(OR(INDEX($AI$2:$AI$1001,MATCH(ROWS($AH$2:AH377),$AH$2:$AH$1001,0),1)&gt;=100000,INDEX($AO$1005:$BQ$1005,1,MATCH(COLUMNS($AO$1006:BB1006),$AO$1006:$BQ$1006,0))&gt;=100000), " ",IF(INDEX($AO$2:$BQ$1001,MATCH(ROWS($AH$2:AH377),$AH$2:$AH$1001,0),MATCH(COLUMNS($AO$1006:BB1006),$AO$1006:$BQ$1006,0)), HYPERLINK("#",""), HYPERLINK(CONCATENATE("#Metadata!", ADDRESS(INDEX($AJ$2:$AJ$1001,MATCH(ROWS($AH$2:AH377),$AH$2:$AH$1001,0),0), INDEX($AO$1004:$BQ$1004,1,MATCH(COLUMNS($AO$1006:BB1006),$AO$1006:$BQ$1006,0)))),"Fix")))</f>
        <v>#N/A</v>
      </c>
      <c r="P377" s="5" t="e">
        <f ca="1">IF(OR(INDEX($AI$2:$AI$1001,MATCH(ROWS($AH$2:AH377),$AH$2:$AH$1001,0),1)&gt;=100000,INDEX($AO$1005:$BQ$1005,1,MATCH(COLUMNS($AO$1006:BC1006),$AO$1006:$BQ$1006,0))&gt;=100000), " ",IF(INDEX($AO$2:$BQ$1001,MATCH(ROWS($AH$2:AH377),$AH$2:$AH$1001,0),MATCH(COLUMNS($AO$1006:BC1006),$AO$1006:$BQ$1006,0)), HYPERLINK("#",""), HYPERLINK(CONCATENATE("#Metadata!", ADDRESS(INDEX($AJ$2:$AJ$1001,MATCH(ROWS($AH$2:AH377),$AH$2:$AH$1001,0),0), INDEX($AO$1004:$BQ$1004,1,MATCH(COLUMNS($AO$1006:BC1006),$AO$1006:$BQ$1006,0)))),"Fix")))</f>
        <v>#N/A</v>
      </c>
      <c r="Q377" s="5" t="e">
        <f ca="1">IF(OR(INDEX($AI$2:$AI$1001,MATCH(ROWS($AH$2:AH377),$AH$2:$AH$1001,0),1)&gt;=100000,INDEX($AO$1005:$BQ$1005,1,MATCH(COLUMNS($AO$1006:BD1006),$AO$1006:$BQ$1006,0))&gt;=100000), " ",IF(INDEX($AO$2:$BQ$1001,MATCH(ROWS($AH$2:AH377),$AH$2:$AH$1001,0),MATCH(COLUMNS($AO$1006:BD1006),$AO$1006:$BQ$1006,0)), HYPERLINK("#",""), HYPERLINK(CONCATENATE("#Metadata!", ADDRESS(INDEX($AJ$2:$AJ$1001,MATCH(ROWS($AH$2:AH377),$AH$2:$AH$1001,0),0), INDEX($AO$1004:$BQ$1004,1,MATCH(COLUMNS($AO$1006:BD1006),$AO$1006:$BQ$1006,0)))),"Fix")))</f>
        <v>#N/A</v>
      </c>
      <c r="R377" s="5" t="e">
        <f ca="1">IF(OR(INDEX($AI$2:$AI$1001,MATCH(ROWS($AH$2:AH377),$AH$2:$AH$1001,0),1)&gt;=100000,INDEX($AO$1005:$BQ$1005,1,MATCH(COLUMNS($AO$1006:BE1006),$AO$1006:$BQ$1006,0))&gt;=100000), " ",IF(INDEX($AO$2:$BQ$1001,MATCH(ROWS($AH$2:AH377),$AH$2:$AH$1001,0),MATCH(COLUMNS($AO$1006:BE1006),$AO$1006:$BQ$1006,0)), HYPERLINK("#",""), HYPERLINK(CONCATENATE("#Metadata!", ADDRESS(INDEX($AJ$2:$AJ$1001,MATCH(ROWS($AH$2:AH377),$AH$2:$AH$1001,0),0), INDEX($AO$1004:$BQ$1004,1,MATCH(COLUMNS($AO$1006:BE1006),$AO$1006:$BQ$1006,0)))),"Fix")))</f>
        <v>#N/A</v>
      </c>
      <c r="S377" s="5" t="e">
        <f ca="1">IF(OR(INDEX($AI$2:$AI$1001,MATCH(ROWS($AH$2:AH377),$AH$2:$AH$1001,0),1)&gt;=100000,INDEX($AO$1005:$BQ$1005,1,MATCH(COLUMNS($AO$1006:BF1006),$AO$1006:$BQ$1006,0))&gt;=100000), " ",IF(INDEX($AO$2:$BQ$1001,MATCH(ROWS($AH$2:AH377),$AH$2:$AH$1001,0),MATCH(COLUMNS($AO$1006:BF1006),$AO$1006:$BQ$1006,0)), HYPERLINK("#",""), HYPERLINK(CONCATENATE("#Metadata!", ADDRESS(INDEX($AJ$2:$AJ$1001,MATCH(ROWS($AH$2:AH377),$AH$2:$AH$1001,0),0), INDEX($AO$1004:$BQ$1004,1,MATCH(COLUMNS($AO$1006:BF1006),$AO$1006:$BQ$1006,0)))),"Fix")))</f>
        <v>#N/A</v>
      </c>
      <c r="T377" s="5" t="e">
        <f ca="1">IF(OR(INDEX($AI$2:$AI$1001,MATCH(ROWS($AH$2:AH377),$AH$2:$AH$1001,0),1)&gt;=100000,INDEX($AO$1005:$BQ$1005,1,MATCH(COLUMNS($AO$1006:BG1006),$AO$1006:$BQ$1006,0))&gt;=100000), " ",IF(INDEX($AO$2:$BQ$1001,MATCH(ROWS($AH$2:AH377),$AH$2:$AH$1001,0),MATCH(COLUMNS($AO$1006:BG1006),$AO$1006:$BQ$1006,0)), HYPERLINK("#",""), HYPERLINK(CONCATENATE("#Metadata!", ADDRESS(INDEX($AJ$2:$AJ$1001,MATCH(ROWS($AH$2:AH377),$AH$2:$AH$1001,0),0), INDEX($AO$1004:$BQ$1004,1,MATCH(COLUMNS($AO$1006:BG1006),$AO$1006:$BQ$1006,0)))),"Fix")))</f>
        <v>#N/A</v>
      </c>
      <c r="U377" s="5" t="e">
        <f ca="1">IF(OR(INDEX($AI$2:$AI$1001,MATCH(ROWS($AH$2:AH377),$AH$2:$AH$1001,0),1)&gt;=100000,INDEX($AO$1005:$BQ$1005,1,MATCH(COLUMNS($AO$1006:BH1006),$AO$1006:$BQ$1006,0))&gt;=100000), " ",IF(INDEX($AO$2:$BQ$1001,MATCH(ROWS($AH$2:AH377),$AH$2:$AH$1001,0),MATCH(COLUMNS($AO$1006:BH1006),$AO$1006:$BQ$1006,0)), HYPERLINK("#",""), HYPERLINK(CONCATENATE("#Metadata!", ADDRESS(INDEX($AJ$2:$AJ$1001,MATCH(ROWS($AH$2:AH377),$AH$2:$AH$1001,0),0), INDEX($AO$1004:$BQ$1004,1,MATCH(COLUMNS($AO$1006:BH1006),$AO$1006:$BQ$1006,0)))),"Fix")))</f>
        <v>#N/A</v>
      </c>
      <c r="V377" s="5" t="e">
        <f ca="1">IF(OR(INDEX($AI$2:$AI$1001,MATCH(ROWS($AH$2:AH377),$AH$2:$AH$1001,0),1)&gt;=100000,INDEX($AO$1005:$BQ$1005,1,MATCH(COLUMNS($AO$1006:BI1006),$AO$1006:$BQ$1006,0))&gt;=100000), " ",IF(INDEX($AO$2:$BQ$1001,MATCH(ROWS($AH$2:AH377),$AH$2:$AH$1001,0),MATCH(COLUMNS($AO$1006:BI1006),$AO$1006:$BQ$1006,0)), HYPERLINK("#",""), HYPERLINK(CONCATENATE("#Metadata!", ADDRESS(INDEX($AJ$2:$AJ$1001,MATCH(ROWS($AH$2:AH377),$AH$2:$AH$1001,0),0), INDEX($AO$1004:$BQ$1004,1,MATCH(COLUMNS($AO$1006:BI1006),$AO$1006:$BQ$1006,0)))),"Fix")))</f>
        <v>#N/A</v>
      </c>
      <c r="W377" s="5" t="e">
        <f ca="1">IF(OR(INDEX($AI$2:$AI$1001,MATCH(ROWS($AH$2:AH377),$AH$2:$AH$1001,0),1)&gt;=100000,INDEX($AO$1005:$BQ$1005,1,MATCH(COLUMNS($AO$1006:BJ1006),$AO$1006:$BQ$1006,0))&gt;=100000), " ",IF(INDEX($AO$2:$BQ$1001,MATCH(ROWS($AH$2:AH377),$AH$2:$AH$1001,0),MATCH(COLUMNS($AO$1006:BJ1006),$AO$1006:$BQ$1006,0)), HYPERLINK("#",""), HYPERLINK(CONCATENATE("#Metadata!", ADDRESS(INDEX($AJ$2:$AJ$1001,MATCH(ROWS($AH$2:AH377),$AH$2:$AH$1001,0),0), INDEX($AO$1004:$BQ$1004,1,MATCH(COLUMNS($AO$1006:BJ1006),$AO$1006:$BQ$1006,0)))),"Fix")))</f>
        <v>#N/A</v>
      </c>
      <c r="X377" s="5" t="e">
        <f ca="1">IF(OR(INDEX($AI$2:$AI$1001,MATCH(ROWS($AH$2:AH377),$AH$2:$AH$1001,0),1)&gt;=100000,INDEX($AO$1005:$BQ$1005,1,MATCH(COLUMNS($AO$1006:BK1006),$AO$1006:$BQ$1006,0))&gt;=100000), " ",IF(INDEX($AO$2:$BQ$1001,MATCH(ROWS($AH$2:AH377),$AH$2:$AH$1001,0),MATCH(COLUMNS($AO$1006:BK1006),$AO$1006:$BQ$1006,0)), HYPERLINK("#",""), HYPERLINK(CONCATENATE("#Metadata!", ADDRESS(INDEX($AJ$2:$AJ$1001,MATCH(ROWS($AH$2:AH377),$AH$2:$AH$1001,0),0), INDEX($AO$1004:$BQ$1004,1,MATCH(COLUMNS($AO$1006:BK1006),$AO$1006:$BQ$1006,0)))),"Fix")))</f>
        <v>#N/A</v>
      </c>
      <c r="Y377" s="5" t="e">
        <f ca="1">IF(OR(INDEX($AI$2:$AI$1001,MATCH(ROWS($AH$2:AH377),$AH$2:$AH$1001,0),1)&gt;=100000,INDEX($AO$1005:$BQ$1005,1,MATCH(COLUMNS($AO$1006:BL1006),$AO$1006:$BQ$1006,0))&gt;=100000), " ",IF(INDEX($AO$2:$BQ$1001,MATCH(ROWS($AH$2:AH377),$AH$2:$AH$1001,0),MATCH(COLUMNS($AO$1006:BL1006),$AO$1006:$BQ$1006,0)), HYPERLINK("#",""), HYPERLINK(CONCATENATE("#Metadata!", ADDRESS(INDEX($AJ$2:$AJ$1001,MATCH(ROWS($AH$2:AH377),$AH$2:$AH$1001,0),0), INDEX($AO$1004:$BQ$1004,1,MATCH(COLUMNS($AO$1006:BL1006),$AO$1006:$BQ$1006,0)))),"Fix")))</f>
        <v>#N/A</v>
      </c>
      <c r="Z377" s="5" t="e">
        <f ca="1">IF(OR(INDEX($AI$2:$AI$1001,MATCH(ROWS($AH$2:AH377),$AH$2:$AH$1001,0),1)&gt;=100000,INDEX($AO$1005:$BQ$1005,1,MATCH(COLUMNS($AO$1006:BM1006),$AO$1006:$BQ$1006,0))&gt;=100000), " ",IF(INDEX($AO$2:$BQ$1001,MATCH(ROWS($AH$2:AH377),$AH$2:$AH$1001,0),MATCH(COLUMNS($AO$1006:BM1006),$AO$1006:$BQ$1006,0)), HYPERLINK("#",""), HYPERLINK(CONCATENATE("#Metadata!", ADDRESS(INDEX($AJ$2:$AJ$1001,MATCH(ROWS($AH$2:AH377),$AH$2:$AH$1001,0),0), INDEX($AO$1004:$BQ$1004,1,MATCH(COLUMNS($AO$1006:BM1006),$AO$1006:$BQ$1006,0)))),"Fix")))</f>
        <v>#N/A</v>
      </c>
      <c r="AA377" s="5" t="e">
        <f ca="1">IF(OR(INDEX($AI$2:$AI$1001,MATCH(ROWS($AH$2:AH377),$AH$2:$AH$1001,0),1)&gt;=100000,INDEX($AO$1005:$BQ$1005,1,MATCH(COLUMNS($AO$1006:BN1006),$AO$1006:$BQ$1006,0))&gt;=100000), " ",IF(INDEX($AO$2:$BQ$1001,MATCH(ROWS($AH$2:AH377),$AH$2:$AH$1001,0),MATCH(COLUMNS($AO$1006:BN1006),$AO$1006:$BQ$1006,0)), HYPERLINK("#",""), HYPERLINK(CONCATENATE("#Metadata!", ADDRESS(INDEX($AJ$2:$AJ$1001,MATCH(ROWS($AH$2:AH377),$AH$2:$AH$1001,0),0), INDEX($AO$1004:$BQ$1004,1,MATCH(COLUMNS($AO$1006:BN1006),$AO$1006:$BQ$1006,0)))),"Fix")))</f>
        <v>#N/A</v>
      </c>
      <c r="AB377" s="5" t="e">
        <f ca="1">IF(OR(INDEX($AI$2:$AI$1001,MATCH(ROWS($AH$2:AH377),$AH$2:$AH$1001,0),1)&gt;=100000,INDEX($AO$1005:$BQ$1005,1,MATCH(COLUMNS($AO$1006:BO1006),$AO$1006:$BQ$1006,0))&gt;=100000), " ",IF(INDEX($AO$2:$BQ$1001,MATCH(ROWS($AH$2:AH377),$AH$2:$AH$1001,0),MATCH(COLUMNS($AO$1006:BO1006),$AO$1006:$BQ$1006,0)), HYPERLINK("#",""), HYPERLINK(CONCATENATE("#Metadata!", ADDRESS(INDEX($AJ$2:$AJ$1001,MATCH(ROWS($AH$2:AH377),$AH$2:$AH$1001,0),0), INDEX($AO$1004:$BQ$1004,1,MATCH(COLUMNS($AO$1006:BO1006),$AO$1006:$BQ$1006,0)))),"Fix")))</f>
        <v>#N/A</v>
      </c>
      <c r="AC377" s="5" t="e">
        <f ca="1">IF(OR(INDEX($AI$2:$AI$1001,MATCH(ROWS($AH$2:AH377),$AH$2:$AH$1001,0),1)&gt;=100000,INDEX($AO$1005:$BQ$1005,1,MATCH(COLUMNS($AO$1006:BP1006),$AO$1006:$BQ$1006,0))&gt;=100000), " ",IF(INDEX($AO$2:$BQ$1001,MATCH(ROWS($AH$2:AH377),$AH$2:$AH$1001,0),MATCH(COLUMNS($AO$1006:BP1006),$AO$1006:$BQ$1006,0)), HYPERLINK("#",""), HYPERLINK(CONCATENATE("#Metadata!", ADDRESS(INDEX($AJ$2:$AJ$1001,MATCH(ROWS($AH$2:AH377),$AH$2:$AH$1001,0),0), INDEX($AO$1004:$BQ$1004,1,MATCH(COLUMNS($AO$1006:BP1006),$AO$1006:$BQ$1006,0)))),"Fix")))</f>
        <v>#N/A</v>
      </c>
      <c r="AD377" s="5" t="e">
        <f ca="1">IF(OR(INDEX($AI$2:$AI$1001,MATCH(ROWS($AH$2:AH377),$AH$2:$AH$1001,0),1)&gt;=100000,INDEX($AO$1005:$BQ$1005,1,MATCH(COLUMNS($AO$1006:BQ1006),$AO$1006:$BQ$1006,0))&gt;=100000), " ",IF(INDEX($AO$2:$BQ$1001,MATCH(ROWS($AH$2:AH377),$AH$2:$AH$1001,0),MATCH(COLUMNS($AO$1006:BQ1006),$AO$1006:$BQ$1006,0)), HYPERLINK("#",""), HYPERLINK(CONCATENATE("#Metadata!", ADDRESS(INDEX($AJ$2:$AJ$1001,MATCH(ROWS($AH$2:AH377),$AH$2:$AH$1001,0),0), INDEX($AO$1004:$BQ$1004,1,MATCH(COLUMNS($AO$1006:BQ1006),$AO$1006:$BQ$1006,0)))),"Fix")))</f>
        <v>#REF!</v>
      </c>
      <c r="AH377">
        <f ca="1"/>
        <v>374</v>
      </c>
      <c r="AI377">
        <v>100377</v>
      </c>
      <c r="AJ377">
        <v>377</v>
      </c>
      <c r="AK377" t="b">
        <f t="shared" si="5"/>
        <v>1</v>
      </c>
      <c r="AL377" t="b">
        <f>COUNTBLANK(Metadata!B377:AD377)=COLUMNS(Metadata!B377:AD377)</f>
        <v>1</v>
      </c>
      <c r="AM377" t="str">
        <v/>
      </c>
      <c r="AO377" t="b">
        <f ca="1">AND(IF(Metadata!B377="",FALSE,TRUE),COUNTIF(Metadata!B:B, Metadata!B377) = 1,NOT(ISERROR(SUMPRODUCT(SEARCH(MID(Metadata!B377,ROW(INDIRECT("1:"&amp;LEN(Metadata!B377))), 1),"0123456789abcdefghijklmnopqrstuvwxyzABCDEFGHIJKLMNOPQRSTUVWXYZ.")))))</f>
        <v>0</v>
      </c>
      <c r="AP377" t="b">
        <f>IF(Metadata!C377="",FALSE,TRUE)</f>
        <v>0</v>
      </c>
      <c r="AQ377" t="b">
        <f>IF(Metadata!D377="",FALSE,TRUE)</f>
        <v>0</v>
      </c>
      <c r="AR377" t="b">
        <f ca="1">OR(AND(IF(Metadata!E377="",FALSE,TRUE),OR(EXACT(Metadata!E377,"not collected"),EXACT(Metadata!E377,"not provided"),EXACT(Metadata!E377,"restricted access"))),AND(IF(Metadata!E377="",FALSE,TRUE),AND(AND(IFERROR(INT(LEFT(Metadata!E377,4))&gt;1900,FALSE),IFERROR(INT(LEFT(Metadata!E377,4))&lt;=YEAR(NOW()),FALSE)), OR(MID(Metadata!E377,5,1)="", AND(AND(MID(Metadata!E377,5,1)="-",IFERROR(INT(MID(Metadata!E377,6,1))&gt;=0,FALSE),IFERROR(INT(MID(Metadata!E377,6,1))&lt;=1,FALSE),NOT(MID(Metadata!E377,7,1)=""),IFERROR(INT(MID(Metadata!E377,6,2))&gt;=1,FALSE),IFERROR(INT(MID(Metadata!E377,6,2))&lt;=12,FALSE)), OR(MID(Metadata!E377,8,1)="", AND(AND(MID(Metadata!E377,8,1)="-",IFERROR(INT(MID(Metadata!E377,9,1))&gt;=0,FALSE),IFERROR(INT(MID(Metadata!E377,9,1))&lt;=3,FALSE),NOT(MID(Metadata!E377,10,1)=""),IFERROR(INT(MID(Metadata!E377,9,2))&gt;=1,FALSE),IFERROR(INT(MID(Metadata!E377,9,2))&lt;=31,FALSE)), OR(MID(Metadata!E377,11,1)="", AND(AND(MID(Metadata!E377,11,1)=" ",IFERROR(INT(MID(Metadata!E377,12,1))&gt;=0,FALSE),IFERROR(INT(MID(Metadata!E377,12,1))&lt;=2,FALSE),NOT(MID(Metadata!E377,13,1)=""),IFERROR(INT(MID(Metadata!E377,12,2))&gt;=0,FALSE),IFERROR(INT(MID(Metadata!E377,12,2))&lt;=23,FALSE)), OR(MID(Metadata!E377,14,1)="", AND(AND(MID(Metadata!E377,14,1)=":",IFERROR(INT(MID(Metadata!E377,15,1))&gt;=0,FALSE),IFERROR(INT(MID(Metadata!E377,15,1))&lt;=5,FALSE),NOT(MID(Metadata!E377,16,1)=""),IFERROR(INT(MID(Metadata!E377,15,2))&gt;=0,FALSE),IFERROR(INT(MID(Metadata!E377,15,2))&lt;=59,FALSE)), OR(MID(Metadata!E377,17,1)="", AND(AND(MID(Metadata!E377,17,1)=":",IFERROR(INT(MID(Metadata!E377,18,1))&gt;=0,FALSE),IFERROR(INT(MID(Metadata!E377,18,1))&lt;=5,FALSE),NOT(MID(Metadata!E377,19,1)=""),IFERROR(INT(MID(Metadata!E377,18,2))&gt;=0,FALSE),IFERROR(INT(MID(Metadata!E377,18,2))&lt;=59,FALSE)), LEN(Metadata!E377)&lt;=19)))))))))))))</f>
        <v>0</v>
      </c>
      <c r="AS377" t="b">
        <f>IF(Metadata!F377="",FALSE,TRUE)</f>
        <v>0</v>
      </c>
      <c r="AT377" t="b">
        <f>OR(AND(IF(Metadata!G377="",FALSE,TRUE),OR(EXACT(Metadata!G377,"not collected"),EXACT(Metadata!G377,"not provided"))),AND(IF(Metadata!G377="",FALSE,TRUE),OR(EXACT(Metadata!G377,"TRUE"),EXACT(Metadata!G377,"FALSE"))))</f>
        <v>0</v>
      </c>
      <c r="AU377" t="b">
        <f>OR(AND(IF(Metadata!H377="",FALSE,TRUE),OR(EXACT(Metadata!H377,"not collected"),EXACT(Metadata!H377,"not provided"),EXACT(Metadata!H377,"restricted access"))),AND(IF(Metadata!H377="",FALSE,ISNUMBER(VALUE(Metadata!H377))),Metadata!H377&gt;=-413))</f>
        <v>0</v>
      </c>
      <c r="AV377" t="b">
        <f>AND(IF(Metadata!I377="",FALSE,TRUE),EXACT(Metadata!I377,"meters"))</f>
        <v>0</v>
      </c>
      <c r="AW377" t="b">
        <f>AND(IF(Metadata!J377="",FALSE,TRUE),EXACT(Metadata!J377,"free-living"))</f>
        <v>0</v>
      </c>
      <c r="AX377" t="b">
        <f>AND(IF(Metadata!K377="",FALSE,TRUE),OR(EXACT(Metadata!K377,"saline"),EXACT(Metadata!K377,"non-saline")))</f>
        <v>0</v>
      </c>
      <c r="AY377" t="b">
        <f>AND(IF(Metadata!L377="",FALSE,TRUE),OR(EXACT(Metadata!L377,"sub-surface (non-saline)"),EXACT(Metadata!L377,"surface (non-saline)"),EXACT(Metadata!L377,"water (non-saline)"),EXACT(Metadata!L377,"soil (non-saline)"),EXACT(Metadata!L377,"aerosol (non-saline)"),EXACT(Metadata!L377,"sediment (non-saline)"),EXACT(Metadata!L377,"surface (saline)"),EXACT(Metadata!L377,"water (saline)"),EXACT(Metadata!L377,"hypersaline (saline)"),EXACT(Metadata!L377,"aerosol (saline)"),EXACT(Metadata!L377,"sediment (saline)")))</f>
        <v>0</v>
      </c>
      <c r="AZ377" t="b">
        <f>IF(Metadata!M377="",FALSE,TRUE)</f>
        <v>0</v>
      </c>
      <c r="BA377" t="b">
        <f>IF(Metadata!N377="",FALSE,TRUE)</f>
        <v>0</v>
      </c>
      <c r="BB377" t="b">
        <f>IF(Metadata!O377="",FALSE,TRUE)</f>
        <v>0</v>
      </c>
      <c r="BC377" t="b">
        <f>AND(IF(Metadata!P377="",FALSE,TRUE),OR(EXACT(Metadata!P377,"air"),EXACT(Metadata!P377,"microbial mat/biofilm"),EXACT(Metadata!P377,"misc environment"),EXACT(Metadata!P377,"sediment"),EXACT(Metadata!P377,"soil"),EXACT(Metadata!P377,"wastewater/sludge"),EXACT(Metadata!P377,"water")))</f>
        <v>0</v>
      </c>
      <c r="BD377" t="b">
        <f>IF(Metadata!Q377="",FALSE,TRUE)</f>
        <v>0</v>
      </c>
      <c r="BE377" t="b">
        <f>IF(Metadata!R377="",FALSE,TRUE)</f>
        <v>0</v>
      </c>
      <c r="BF377" t="b">
        <f>OR(AND(IF(Metadata!S377="",FALSE,TRUE),OR(EXACT(Metadata!S377,"not collected"),EXACT(Metadata!S377,"not provided"),EXACT(Metadata!S377,"restricted access"))),AND(IF(Metadata!S377="",FALSE,ISNUMBER(VALUE(Metadata!S377))),Metadata!S377&gt;=-90,Metadata!S377&lt;=90))</f>
        <v>0</v>
      </c>
      <c r="BG377" t="b">
        <f>AND(IF(Metadata!T377="",FALSE,TRUE),EXACT(Metadata!T377,"Decimal degrees"))</f>
        <v>0</v>
      </c>
      <c r="BH377" t="b">
        <f>OR(AND(IF(Metadata!U377="",FALSE,TRUE),OR(EXACT(Metadata!U377,"not applicable"),EXACT(Metadata!U377,"not collected"))),IF(Metadata!U377="",FALSE,TRUE))</f>
        <v>0</v>
      </c>
      <c r="BI377" t="b">
        <f>OR(AND(IF(Metadata!V377="",FALSE,TRUE),OR(EXACT(Metadata!V377,"not collected"),EXACT(Metadata!V377,"not provided"),EXACT(Metadata!V377,"restricted access"))),AND(IF(Metadata!V377="",FALSE,ISNUMBER(VALUE(Metadata!V377))),Metadata!V377&gt;=-180,Metadata!V377&lt;=180))</f>
        <v>0</v>
      </c>
      <c r="BJ377" t="b">
        <f>AND(IF(Metadata!W377="",FALSE,TRUE),EXACT(Metadata!W377,"Decimal degrees"))</f>
        <v>0</v>
      </c>
      <c r="BK377" t="b">
        <f>IF(Metadata!X377="",FALSE,TRUE)</f>
        <v>0</v>
      </c>
      <c r="BL377" t="b">
        <f>OR(AND(IF(Metadata!Y377="",FALSE,TRUE),OR(EXACT(Metadata!Y377,"not collected"),EXACT(Metadata!Y377,"not provided"),EXACT(Metadata!Y377,"restricted access"))),AND(IF(Metadata!Y377="",FALSE,TRUE),OR(EXACT(Metadata!Y377,"TRUE"),EXACT(Metadata!Y377,"FALSE"))))</f>
        <v>0</v>
      </c>
      <c r="BM377" t="b">
        <f>OR(AND(IF(Metadata!Z377="",FALSE,TRUE),EXACT(Metadata!Z377,"not applicable")),AND(IF(Metadata!Z377="",FALSE,TRUE),OR(EXACT(Metadata!Z377,"beer"),EXACT(Metadata!Z377,"cheese"),EXACT(Metadata!Z377,"fresh water"),EXACT(Metadata!Z377,"marine sediment"),EXACT(Metadata!Z377,"sea water"),EXACT(Metadata!Z377,"sediment"),EXACT(Metadata!Z377,"soil"),EXACT(Metadata!Z377,"waste water"))))</f>
        <v>0</v>
      </c>
      <c r="BN377" t="b">
        <f>AND(IF(Metadata!AA377="",FALSE,TRUE),EXACT(Metadata!AA377,"metagenome"))</f>
        <v>0</v>
      </c>
      <c r="BO377" t="b">
        <f>AND(IF(Metadata!AB377="",FALSE,TRUE),EXACT(Metadata!AB377,"256318"))</f>
        <v>0</v>
      </c>
      <c r="BP377" t="b">
        <f>IF(Metadata!AC377="",FALSE,TRUE)</f>
        <v>0</v>
      </c>
      <c r="BQ377" t="b">
        <f>IF(Metadata!AD377="",FALSE,TRUE)</f>
        <v>0</v>
      </c>
    </row>
    <row r="378" spans="1:69" x14ac:dyDescent="0.2">
      <c r="A378" s="4" t="e">
        <f ca="1">IF(B378=" "," ",HYPERLINK(CONCATENATE("#metadata!",ADDRESS(INDEX($AJ$2:$AJ$1001,MATCH(ROWS($AH$2:AH378),$AH$2:$AH$1001,0),0),2)),INDEX($AM$2:$AM$1001,MATCH(ROWS($AH$2:AH378),$AH$2:$AH$1001,0),0)))</f>
        <v>#N/A</v>
      </c>
      <c r="B378" s="5" t="e">
        <f ca="1">IF(OR(INDEX($AI$2:$AI$1001,MATCH(ROWS($AH$2:AH378),$AH$2:$AH$1001,0),1)&gt;=100000,INDEX($AO$1005:$BQ$1005,1,MATCH(COLUMNS($AO$1006:AO1006),$AO$1006:$BQ$1006,0))&gt;=100000), " ",IF(INDEX($AO$2:$BQ$1001,MATCH(ROWS($AH$2:AH378),$AH$2:$AH$1001,0),MATCH(COLUMNS($AO$1006:AO1006),$AO$1006:$BQ$1006,0)), HYPERLINK("#",""), HYPERLINK(CONCATENATE("#Metadata!", ADDRESS(INDEX($AJ$2:$AJ$1001,MATCH(ROWS($AH$2:AH378),$AH$2:$AH$1001,0),0), INDEX($AO$1004:$BQ$1004,1,MATCH(COLUMNS($AO$1006:AO1006),$AO$1006:$BQ$1006,0)))),"Fix")))</f>
        <v>#N/A</v>
      </c>
      <c r="C378" s="5" t="e">
        <f ca="1">IF(OR(INDEX($AI$2:$AI$1001,MATCH(ROWS($AH$2:AH378),$AH$2:$AH$1001,0),1)&gt;=100000,INDEX($AO$1005:$BQ$1005,1,MATCH(COLUMNS($AO$1006:AP1006),$AO$1006:$BQ$1006,0))&gt;=100000), " ",IF(INDEX($AO$2:$BQ$1001,MATCH(ROWS($AH$2:AH378),$AH$2:$AH$1001,0),MATCH(COLUMNS($AO$1006:AP1006),$AO$1006:$BQ$1006,0)), HYPERLINK("#",""), HYPERLINK(CONCATENATE("#Metadata!", ADDRESS(INDEX($AJ$2:$AJ$1001,MATCH(ROWS($AH$2:AH378),$AH$2:$AH$1001,0),0), INDEX($AO$1004:$BQ$1004,1,MATCH(COLUMNS($AO$1006:AP1006),$AO$1006:$BQ$1006,0)))),"Fix")))</f>
        <v>#N/A</v>
      </c>
      <c r="D378" s="5" t="e">
        <f ca="1">IF(OR(INDEX($AI$2:$AI$1001,MATCH(ROWS($AH$2:AH378),$AH$2:$AH$1001,0),1)&gt;=100000,INDEX($AO$1005:$BQ$1005,1,MATCH(COLUMNS($AO$1006:AQ1006),$AO$1006:$BQ$1006,0))&gt;=100000), " ",IF(INDEX($AO$2:$BQ$1001,MATCH(ROWS($AH$2:AH378),$AH$2:$AH$1001,0),MATCH(COLUMNS($AO$1006:AQ1006),$AO$1006:$BQ$1006,0)), HYPERLINK("#",""), HYPERLINK(CONCATENATE("#Metadata!", ADDRESS(INDEX($AJ$2:$AJ$1001,MATCH(ROWS($AH$2:AH378),$AH$2:$AH$1001,0),0), INDEX($AO$1004:$BQ$1004,1,MATCH(COLUMNS($AO$1006:AQ1006),$AO$1006:$BQ$1006,0)))),"Fix")))</f>
        <v>#N/A</v>
      </c>
      <c r="E378" s="5" t="e">
        <f ca="1">IF(OR(INDEX($AI$2:$AI$1001,MATCH(ROWS($AH$2:AH378),$AH$2:$AH$1001,0),1)&gt;=100000,INDEX($AO$1005:$BQ$1005,1,MATCH(COLUMNS($AO$1006:AR1006),$AO$1006:$BQ$1006,0))&gt;=100000), " ",IF(INDEX($AO$2:$BQ$1001,MATCH(ROWS($AH$2:AH378),$AH$2:$AH$1001,0),MATCH(COLUMNS($AO$1006:AR1006),$AO$1006:$BQ$1006,0)), HYPERLINK("#",""), HYPERLINK(CONCATENATE("#Metadata!", ADDRESS(INDEX($AJ$2:$AJ$1001,MATCH(ROWS($AH$2:AH378),$AH$2:$AH$1001,0),0), INDEX($AO$1004:$BQ$1004,1,MATCH(COLUMNS($AO$1006:AR1006),$AO$1006:$BQ$1006,0)))),"Fix")))</f>
        <v>#N/A</v>
      </c>
      <c r="F378" s="5" t="e">
        <f ca="1">IF(OR(INDEX($AI$2:$AI$1001,MATCH(ROWS($AH$2:AH378),$AH$2:$AH$1001,0),1)&gt;=100000,INDEX($AO$1005:$BQ$1005,1,MATCH(COLUMNS($AO$1006:AS1006),$AO$1006:$BQ$1006,0))&gt;=100000), " ",IF(INDEX($AO$2:$BQ$1001,MATCH(ROWS($AH$2:AH378),$AH$2:$AH$1001,0),MATCH(COLUMNS($AO$1006:AS1006),$AO$1006:$BQ$1006,0)), HYPERLINK("#",""), HYPERLINK(CONCATENATE("#Metadata!", ADDRESS(INDEX($AJ$2:$AJ$1001,MATCH(ROWS($AH$2:AH378),$AH$2:$AH$1001,0),0), INDEX($AO$1004:$BQ$1004,1,MATCH(COLUMNS($AO$1006:AS1006),$AO$1006:$BQ$1006,0)))),"Fix")))</f>
        <v>#N/A</v>
      </c>
      <c r="G378" s="5" t="e">
        <f ca="1">IF(OR(INDEX($AI$2:$AI$1001,MATCH(ROWS($AH$2:AH378),$AH$2:$AH$1001,0),1)&gt;=100000,INDEX($AO$1005:$BQ$1005,1,MATCH(COLUMNS($AO$1006:AT1006),$AO$1006:$BQ$1006,0))&gt;=100000), " ",IF(INDEX($AO$2:$BQ$1001,MATCH(ROWS($AH$2:AH378),$AH$2:$AH$1001,0),MATCH(COLUMNS($AO$1006:AT1006),$AO$1006:$BQ$1006,0)), HYPERLINK("#",""), HYPERLINK(CONCATENATE("#Metadata!", ADDRESS(INDEX($AJ$2:$AJ$1001,MATCH(ROWS($AH$2:AH378),$AH$2:$AH$1001,0),0), INDEX($AO$1004:$BQ$1004,1,MATCH(COLUMNS($AO$1006:AT1006),$AO$1006:$BQ$1006,0)))),"Fix")))</f>
        <v>#N/A</v>
      </c>
      <c r="H378" s="5" t="e">
        <f ca="1">IF(OR(INDEX($AI$2:$AI$1001,MATCH(ROWS($AH$2:AH378),$AH$2:$AH$1001,0),1)&gt;=100000,INDEX($AO$1005:$BQ$1005,1,MATCH(COLUMNS($AO$1006:AU1006),$AO$1006:$BQ$1006,0))&gt;=100000), " ",IF(INDEX($AO$2:$BQ$1001,MATCH(ROWS($AH$2:AH378),$AH$2:$AH$1001,0),MATCH(COLUMNS($AO$1006:AU1006),$AO$1006:$BQ$1006,0)), HYPERLINK("#",""), HYPERLINK(CONCATENATE("#Metadata!", ADDRESS(INDEX($AJ$2:$AJ$1001,MATCH(ROWS($AH$2:AH378),$AH$2:$AH$1001,0),0), INDEX($AO$1004:$BQ$1004,1,MATCH(COLUMNS($AO$1006:AU1006),$AO$1006:$BQ$1006,0)))),"Fix")))</f>
        <v>#N/A</v>
      </c>
      <c r="I378" s="5" t="e">
        <f ca="1">IF(OR(INDEX($AI$2:$AI$1001,MATCH(ROWS($AH$2:AH378),$AH$2:$AH$1001,0),1)&gt;=100000,INDEX($AO$1005:$BQ$1005,1,MATCH(COLUMNS($AO$1006:AV1006),$AO$1006:$BQ$1006,0))&gt;=100000), " ",IF(INDEX($AO$2:$BQ$1001,MATCH(ROWS($AH$2:AH378),$AH$2:$AH$1001,0),MATCH(COLUMNS($AO$1006:AV1006),$AO$1006:$BQ$1006,0)), HYPERLINK("#",""), HYPERLINK(CONCATENATE("#Metadata!", ADDRESS(INDEX($AJ$2:$AJ$1001,MATCH(ROWS($AH$2:AH378),$AH$2:$AH$1001,0),0), INDEX($AO$1004:$BQ$1004,1,MATCH(COLUMNS($AO$1006:AV1006),$AO$1006:$BQ$1006,0)))),"Fix")))</f>
        <v>#N/A</v>
      </c>
      <c r="J378" s="5" t="e">
        <f ca="1">IF(OR(INDEX($AI$2:$AI$1001,MATCH(ROWS($AH$2:AH378),$AH$2:$AH$1001,0),1)&gt;=100000,INDEX($AO$1005:$BQ$1005,1,MATCH(COLUMNS($AO$1006:AW1006),$AO$1006:$BQ$1006,0))&gt;=100000), " ",IF(INDEX($AO$2:$BQ$1001,MATCH(ROWS($AH$2:AH378),$AH$2:$AH$1001,0),MATCH(COLUMNS($AO$1006:AW1006),$AO$1006:$BQ$1006,0)), HYPERLINK("#",""), HYPERLINK(CONCATENATE("#Metadata!", ADDRESS(INDEX($AJ$2:$AJ$1001,MATCH(ROWS($AH$2:AH378),$AH$2:$AH$1001,0),0), INDEX($AO$1004:$BQ$1004,1,MATCH(COLUMNS($AO$1006:AW1006),$AO$1006:$BQ$1006,0)))),"Fix")))</f>
        <v>#N/A</v>
      </c>
      <c r="K378" s="5" t="e">
        <f ca="1">IF(OR(INDEX($AI$2:$AI$1001,MATCH(ROWS($AH$2:AH378),$AH$2:$AH$1001,0),1)&gt;=100000,INDEX($AO$1005:$BQ$1005,1,MATCH(COLUMNS($AO$1006:AX1006),$AO$1006:$BQ$1006,0))&gt;=100000), " ",IF(INDEX($AO$2:$BQ$1001,MATCH(ROWS($AH$2:AH378),$AH$2:$AH$1001,0),MATCH(COLUMNS($AO$1006:AX1006),$AO$1006:$BQ$1006,0)), HYPERLINK("#",""), HYPERLINK(CONCATENATE("#Metadata!", ADDRESS(INDEX($AJ$2:$AJ$1001,MATCH(ROWS($AH$2:AH378),$AH$2:$AH$1001,0),0), INDEX($AO$1004:$BQ$1004,1,MATCH(COLUMNS($AO$1006:AX1006),$AO$1006:$BQ$1006,0)))),"Fix")))</f>
        <v>#N/A</v>
      </c>
      <c r="L378" s="5" t="e">
        <f ca="1">IF(OR(INDEX($AI$2:$AI$1001,MATCH(ROWS($AH$2:AH378),$AH$2:$AH$1001,0),1)&gt;=100000,INDEX($AO$1005:$BQ$1005,1,MATCH(COLUMNS($AO$1006:AY1006),$AO$1006:$BQ$1006,0))&gt;=100000), " ",IF(INDEX($AO$2:$BQ$1001,MATCH(ROWS($AH$2:AH378),$AH$2:$AH$1001,0),MATCH(COLUMNS($AO$1006:AY1006),$AO$1006:$BQ$1006,0)), HYPERLINK("#",""), HYPERLINK(CONCATENATE("#Metadata!", ADDRESS(INDEX($AJ$2:$AJ$1001,MATCH(ROWS($AH$2:AH378),$AH$2:$AH$1001,0),0), INDEX($AO$1004:$BQ$1004,1,MATCH(COLUMNS($AO$1006:AY1006),$AO$1006:$BQ$1006,0)))),"Fix")))</f>
        <v>#N/A</v>
      </c>
      <c r="M378" s="5" t="e">
        <f ca="1">IF(OR(INDEX($AI$2:$AI$1001,MATCH(ROWS($AH$2:AH378),$AH$2:$AH$1001,0),1)&gt;=100000,INDEX($AO$1005:$BQ$1005,1,MATCH(COLUMNS($AO$1006:AZ1006),$AO$1006:$BQ$1006,0))&gt;=100000), " ",IF(INDEX($AO$2:$BQ$1001,MATCH(ROWS($AH$2:AH378),$AH$2:$AH$1001,0),MATCH(COLUMNS($AO$1006:AZ1006),$AO$1006:$BQ$1006,0)), HYPERLINK("#",""), HYPERLINK(CONCATENATE("#Metadata!", ADDRESS(INDEX($AJ$2:$AJ$1001,MATCH(ROWS($AH$2:AH378),$AH$2:$AH$1001,0),0), INDEX($AO$1004:$BQ$1004,1,MATCH(COLUMNS($AO$1006:AZ1006),$AO$1006:$BQ$1006,0)))),"Fix")))</f>
        <v>#N/A</v>
      </c>
      <c r="N378" s="5" t="e">
        <f ca="1">IF(OR(INDEX($AI$2:$AI$1001,MATCH(ROWS($AH$2:AH378),$AH$2:$AH$1001,0),1)&gt;=100000,INDEX($AO$1005:$BQ$1005,1,MATCH(COLUMNS($AO$1006:BA1006),$AO$1006:$BQ$1006,0))&gt;=100000), " ",IF(INDEX($AO$2:$BQ$1001,MATCH(ROWS($AH$2:AH378),$AH$2:$AH$1001,0),MATCH(COLUMNS($AO$1006:BA1006),$AO$1006:$BQ$1006,0)), HYPERLINK("#",""), HYPERLINK(CONCATENATE("#Metadata!", ADDRESS(INDEX($AJ$2:$AJ$1001,MATCH(ROWS($AH$2:AH378),$AH$2:$AH$1001,0),0), INDEX($AO$1004:$BQ$1004,1,MATCH(COLUMNS($AO$1006:BA1006),$AO$1006:$BQ$1006,0)))),"Fix")))</f>
        <v>#N/A</v>
      </c>
      <c r="O378" s="5" t="e">
        <f ca="1">IF(OR(INDEX($AI$2:$AI$1001,MATCH(ROWS($AH$2:AH378),$AH$2:$AH$1001,0),1)&gt;=100000,INDEX($AO$1005:$BQ$1005,1,MATCH(COLUMNS($AO$1006:BB1006),$AO$1006:$BQ$1006,0))&gt;=100000), " ",IF(INDEX($AO$2:$BQ$1001,MATCH(ROWS($AH$2:AH378),$AH$2:$AH$1001,0),MATCH(COLUMNS($AO$1006:BB1006),$AO$1006:$BQ$1006,0)), HYPERLINK("#",""), HYPERLINK(CONCATENATE("#Metadata!", ADDRESS(INDEX($AJ$2:$AJ$1001,MATCH(ROWS($AH$2:AH378),$AH$2:$AH$1001,0),0), INDEX($AO$1004:$BQ$1004,1,MATCH(COLUMNS($AO$1006:BB1006),$AO$1006:$BQ$1006,0)))),"Fix")))</f>
        <v>#N/A</v>
      </c>
      <c r="P378" s="5" t="e">
        <f ca="1">IF(OR(INDEX($AI$2:$AI$1001,MATCH(ROWS($AH$2:AH378),$AH$2:$AH$1001,0),1)&gt;=100000,INDEX($AO$1005:$BQ$1005,1,MATCH(COLUMNS($AO$1006:BC1006),$AO$1006:$BQ$1006,0))&gt;=100000), " ",IF(INDEX($AO$2:$BQ$1001,MATCH(ROWS($AH$2:AH378),$AH$2:$AH$1001,0),MATCH(COLUMNS($AO$1006:BC1006),$AO$1006:$BQ$1006,0)), HYPERLINK("#",""), HYPERLINK(CONCATENATE("#Metadata!", ADDRESS(INDEX($AJ$2:$AJ$1001,MATCH(ROWS($AH$2:AH378),$AH$2:$AH$1001,0),0), INDEX($AO$1004:$BQ$1004,1,MATCH(COLUMNS($AO$1006:BC1006),$AO$1006:$BQ$1006,0)))),"Fix")))</f>
        <v>#N/A</v>
      </c>
      <c r="Q378" s="5" t="e">
        <f ca="1">IF(OR(INDEX($AI$2:$AI$1001,MATCH(ROWS($AH$2:AH378),$AH$2:$AH$1001,0),1)&gt;=100000,INDEX($AO$1005:$BQ$1005,1,MATCH(COLUMNS($AO$1006:BD1006),$AO$1006:$BQ$1006,0))&gt;=100000), " ",IF(INDEX($AO$2:$BQ$1001,MATCH(ROWS($AH$2:AH378),$AH$2:$AH$1001,0),MATCH(COLUMNS($AO$1006:BD1006),$AO$1006:$BQ$1006,0)), HYPERLINK("#",""), HYPERLINK(CONCATENATE("#Metadata!", ADDRESS(INDEX($AJ$2:$AJ$1001,MATCH(ROWS($AH$2:AH378),$AH$2:$AH$1001,0),0), INDEX($AO$1004:$BQ$1004,1,MATCH(COLUMNS($AO$1006:BD1006),$AO$1006:$BQ$1006,0)))),"Fix")))</f>
        <v>#N/A</v>
      </c>
      <c r="R378" s="5" t="e">
        <f ca="1">IF(OR(INDEX($AI$2:$AI$1001,MATCH(ROWS($AH$2:AH378),$AH$2:$AH$1001,0),1)&gt;=100000,INDEX($AO$1005:$BQ$1005,1,MATCH(COLUMNS($AO$1006:BE1006),$AO$1006:$BQ$1006,0))&gt;=100000), " ",IF(INDEX($AO$2:$BQ$1001,MATCH(ROWS($AH$2:AH378),$AH$2:$AH$1001,0),MATCH(COLUMNS($AO$1006:BE1006),$AO$1006:$BQ$1006,0)), HYPERLINK("#",""), HYPERLINK(CONCATENATE("#Metadata!", ADDRESS(INDEX($AJ$2:$AJ$1001,MATCH(ROWS($AH$2:AH378),$AH$2:$AH$1001,0),0), INDEX($AO$1004:$BQ$1004,1,MATCH(COLUMNS($AO$1006:BE1006),$AO$1006:$BQ$1006,0)))),"Fix")))</f>
        <v>#N/A</v>
      </c>
      <c r="S378" s="5" t="e">
        <f ca="1">IF(OR(INDEX($AI$2:$AI$1001,MATCH(ROWS($AH$2:AH378),$AH$2:$AH$1001,0),1)&gt;=100000,INDEX($AO$1005:$BQ$1005,1,MATCH(COLUMNS($AO$1006:BF1006),$AO$1006:$BQ$1006,0))&gt;=100000), " ",IF(INDEX($AO$2:$BQ$1001,MATCH(ROWS($AH$2:AH378),$AH$2:$AH$1001,0),MATCH(COLUMNS($AO$1006:BF1006),$AO$1006:$BQ$1006,0)), HYPERLINK("#",""), HYPERLINK(CONCATENATE("#Metadata!", ADDRESS(INDEX($AJ$2:$AJ$1001,MATCH(ROWS($AH$2:AH378),$AH$2:$AH$1001,0),0), INDEX($AO$1004:$BQ$1004,1,MATCH(COLUMNS($AO$1006:BF1006),$AO$1006:$BQ$1006,0)))),"Fix")))</f>
        <v>#N/A</v>
      </c>
      <c r="T378" s="5" t="e">
        <f ca="1">IF(OR(INDEX($AI$2:$AI$1001,MATCH(ROWS($AH$2:AH378),$AH$2:$AH$1001,0),1)&gt;=100000,INDEX($AO$1005:$BQ$1005,1,MATCH(COLUMNS($AO$1006:BG1006),$AO$1006:$BQ$1006,0))&gt;=100000), " ",IF(INDEX($AO$2:$BQ$1001,MATCH(ROWS($AH$2:AH378),$AH$2:$AH$1001,0),MATCH(COLUMNS($AO$1006:BG1006),$AO$1006:$BQ$1006,0)), HYPERLINK("#",""), HYPERLINK(CONCATENATE("#Metadata!", ADDRESS(INDEX($AJ$2:$AJ$1001,MATCH(ROWS($AH$2:AH378),$AH$2:$AH$1001,0),0), INDEX($AO$1004:$BQ$1004,1,MATCH(COLUMNS($AO$1006:BG1006),$AO$1006:$BQ$1006,0)))),"Fix")))</f>
        <v>#N/A</v>
      </c>
      <c r="U378" s="5" t="e">
        <f ca="1">IF(OR(INDEX($AI$2:$AI$1001,MATCH(ROWS($AH$2:AH378),$AH$2:$AH$1001,0),1)&gt;=100000,INDEX($AO$1005:$BQ$1005,1,MATCH(COLUMNS($AO$1006:BH1006),$AO$1006:$BQ$1006,0))&gt;=100000), " ",IF(INDEX($AO$2:$BQ$1001,MATCH(ROWS($AH$2:AH378),$AH$2:$AH$1001,0),MATCH(COLUMNS($AO$1006:BH1006),$AO$1006:$BQ$1006,0)), HYPERLINK("#",""), HYPERLINK(CONCATENATE("#Metadata!", ADDRESS(INDEX($AJ$2:$AJ$1001,MATCH(ROWS($AH$2:AH378),$AH$2:$AH$1001,0),0), INDEX($AO$1004:$BQ$1004,1,MATCH(COLUMNS($AO$1006:BH1006),$AO$1006:$BQ$1006,0)))),"Fix")))</f>
        <v>#N/A</v>
      </c>
      <c r="V378" s="5" t="e">
        <f ca="1">IF(OR(INDEX($AI$2:$AI$1001,MATCH(ROWS($AH$2:AH378),$AH$2:$AH$1001,0),1)&gt;=100000,INDEX($AO$1005:$BQ$1005,1,MATCH(COLUMNS($AO$1006:BI1006),$AO$1006:$BQ$1006,0))&gt;=100000), " ",IF(INDEX($AO$2:$BQ$1001,MATCH(ROWS($AH$2:AH378),$AH$2:$AH$1001,0),MATCH(COLUMNS($AO$1006:BI1006),$AO$1006:$BQ$1006,0)), HYPERLINK("#",""), HYPERLINK(CONCATENATE("#Metadata!", ADDRESS(INDEX($AJ$2:$AJ$1001,MATCH(ROWS($AH$2:AH378),$AH$2:$AH$1001,0),0), INDEX($AO$1004:$BQ$1004,1,MATCH(COLUMNS($AO$1006:BI1006),$AO$1006:$BQ$1006,0)))),"Fix")))</f>
        <v>#N/A</v>
      </c>
      <c r="W378" s="5" t="e">
        <f ca="1">IF(OR(INDEX($AI$2:$AI$1001,MATCH(ROWS($AH$2:AH378),$AH$2:$AH$1001,0),1)&gt;=100000,INDEX($AO$1005:$BQ$1005,1,MATCH(COLUMNS($AO$1006:BJ1006),$AO$1006:$BQ$1006,0))&gt;=100000), " ",IF(INDEX($AO$2:$BQ$1001,MATCH(ROWS($AH$2:AH378),$AH$2:$AH$1001,0),MATCH(COLUMNS($AO$1006:BJ1006),$AO$1006:$BQ$1006,0)), HYPERLINK("#",""), HYPERLINK(CONCATENATE("#Metadata!", ADDRESS(INDEX($AJ$2:$AJ$1001,MATCH(ROWS($AH$2:AH378),$AH$2:$AH$1001,0),0), INDEX($AO$1004:$BQ$1004,1,MATCH(COLUMNS($AO$1006:BJ1006),$AO$1006:$BQ$1006,0)))),"Fix")))</f>
        <v>#N/A</v>
      </c>
      <c r="X378" s="5" t="e">
        <f ca="1">IF(OR(INDEX($AI$2:$AI$1001,MATCH(ROWS($AH$2:AH378),$AH$2:$AH$1001,0),1)&gt;=100000,INDEX($AO$1005:$BQ$1005,1,MATCH(COLUMNS($AO$1006:BK1006),$AO$1006:$BQ$1006,0))&gt;=100000), " ",IF(INDEX($AO$2:$BQ$1001,MATCH(ROWS($AH$2:AH378),$AH$2:$AH$1001,0),MATCH(COLUMNS($AO$1006:BK1006),$AO$1006:$BQ$1006,0)), HYPERLINK("#",""), HYPERLINK(CONCATENATE("#Metadata!", ADDRESS(INDEX($AJ$2:$AJ$1001,MATCH(ROWS($AH$2:AH378),$AH$2:$AH$1001,0),0), INDEX($AO$1004:$BQ$1004,1,MATCH(COLUMNS($AO$1006:BK1006),$AO$1006:$BQ$1006,0)))),"Fix")))</f>
        <v>#N/A</v>
      </c>
      <c r="Y378" s="5" t="e">
        <f ca="1">IF(OR(INDEX($AI$2:$AI$1001,MATCH(ROWS($AH$2:AH378),$AH$2:$AH$1001,0),1)&gt;=100000,INDEX($AO$1005:$BQ$1005,1,MATCH(COLUMNS($AO$1006:BL1006),$AO$1006:$BQ$1006,0))&gt;=100000), " ",IF(INDEX($AO$2:$BQ$1001,MATCH(ROWS($AH$2:AH378),$AH$2:$AH$1001,0),MATCH(COLUMNS($AO$1006:BL1006),$AO$1006:$BQ$1006,0)), HYPERLINK("#",""), HYPERLINK(CONCATENATE("#Metadata!", ADDRESS(INDEX($AJ$2:$AJ$1001,MATCH(ROWS($AH$2:AH378),$AH$2:$AH$1001,0),0), INDEX($AO$1004:$BQ$1004,1,MATCH(COLUMNS($AO$1006:BL1006),$AO$1006:$BQ$1006,0)))),"Fix")))</f>
        <v>#N/A</v>
      </c>
      <c r="Z378" s="5" t="e">
        <f ca="1">IF(OR(INDEX($AI$2:$AI$1001,MATCH(ROWS($AH$2:AH378),$AH$2:$AH$1001,0),1)&gt;=100000,INDEX($AO$1005:$BQ$1005,1,MATCH(COLUMNS($AO$1006:BM1006),$AO$1006:$BQ$1006,0))&gt;=100000), " ",IF(INDEX($AO$2:$BQ$1001,MATCH(ROWS($AH$2:AH378),$AH$2:$AH$1001,0),MATCH(COLUMNS($AO$1006:BM1006),$AO$1006:$BQ$1006,0)), HYPERLINK("#",""), HYPERLINK(CONCATENATE("#Metadata!", ADDRESS(INDEX($AJ$2:$AJ$1001,MATCH(ROWS($AH$2:AH378),$AH$2:$AH$1001,0),0), INDEX($AO$1004:$BQ$1004,1,MATCH(COLUMNS($AO$1006:BM1006),$AO$1006:$BQ$1006,0)))),"Fix")))</f>
        <v>#N/A</v>
      </c>
      <c r="AA378" s="5" t="e">
        <f ca="1">IF(OR(INDEX($AI$2:$AI$1001,MATCH(ROWS($AH$2:AH378),$AH$2:$AH$1001,0),1)&gt;=100000,INDEX($AO$1005:$BQ$1005,1,MATCH(COLUMNS($AO$1006:BN1006),$AO$1006:$BQ$1006,0))&gt;=100000), " ",IF(INDEX($AO$2:$BQ$1001,MATCH(ROWS($AH$2:AH378),$AH$2:$AH$1001,0),MATCH(COLUMNS($AO$1006:BN1006),$AO$1006:$BQ$1006,0)), HYPERLINK("#",""), HYPERLINK(CONCATENATE("#Metadata!", ADDRESS(INDEX($AJ$2:$AJ$1001,MATCH(ROWS($AH$2:AH378),$AH$2:$AH$1001,0),0), INDEX($AO$1004:$BQ$1004,1,MATCH(COLUMNS($AO$1006:BN1006),$AO$1006:$BQ$1006,0)))),"Fix")))</f>
        <v>#N/A</v>
      </c>
      <c r="AB378" s="5" t="e">
        <f ca="1">IF(OR(INDEX($AI$2:$AI$1001,MATCH(ROWS($AH$2:AH378),$AH$2:$AH$1001,0),1)&gt;=100000,INDEX($AO$1005:$BQ$1005,1,MATCH(COLUMNS($AO$1006:BO1006),$AO$1006:$BQ$1006,0))&gt;=100000), " ",IF(INDEX($AO$2:$BQ$1001,MATCH(ROWS($AH$2:AH378),$AH$2:$AH$1001,0),MATCH(COLUMNS($AO$1006:BO1006),$AO$1006:$BQ$1006,0)), HYPERLINK("#",""), HYPERLINK(CONCATENATE("#Metadata!", ADDRESS(INDEX($AJ$2:$AJ$1001,MATCH(ROWS($AH$2:AH378),$AH$2:$AH$1001,0),0), INDEX($AO$1004:$BQ$1004,1,MATCH(COLUMNS($AO$1006:BO1006),$AO$1006:$BQ$1006,0)))),"Fix")))</f>
        <v>#N/A</v>
      </c>
      <c r="AC378" s="5" t="e">
        <f ca="1">IF(OR(INDEX($AI$2:$AI$1001,MATCH(ROWS($AH$2:AH378),$AH$2:$AH$1001,0),1)&gt;=100000,INDEX($AO$1005:$BQ$1005,1,MATCH(COLUMNS($AO$1006:BP1006),$AO$1006:$BQ$1006,0))&gt;=100000), " ",IF(INDEX($AO$2:$BQ$1001,MATCH(ROWS($AH$2:AH378),$AH$2:$AH$1001,0),MATCH(COLUMNS($AO$1006:BP1006),$AO$1006:$BQ$1006,0)), HYPERLINK("#",""), HYPERLINK(CONCATENATE("#Metadata!", ADDRESS(INDEX($AJ$2:$AJ$1001,MATCH(ROWS($AH$2:AH378),$AH$2:$AH$1001,0),0), INDEX($AO$1004:$BQ$1004,1,MATCH(COLUMNS($AO$1006:BP1006),$AO$1006:$BQ$1006,0)))),"Fix")))</f>
        <v>#N/A</v>
      </c>
      <c r="AD378" s="5" t="e">
        <f ca="1">IF(OR(INDEX($AI$2:$AI$1001,MATCH(ROWS($AH$2:AH378),$AH$2:$AH$1001,0),1)&gt;=100000,INDEX($AO$1005:$BQ$1005,1,MATCH(COLUMNS($AO$1006:BQ1006),$AO$1006:$BQ$1006,0))&gt;=100000), " ",IF(INDEX($AO$2:$BQ$1001,MATCH(ROWS($AH$2:AH378),$AH$2:$AH$1001,0),MATCH(COLUMNS($AO$1006:BQ1006),$AO$1006:$BQ$1006,0)), HYPERLINK("#",""), HYPERLINK(CONCATENATE("#Metadata!", ADDRESS(INDEX($AJ$2:$AJ$1001,MATCH(ROWS($AH$2:AH378),$AH$2:$AH$1001,0),0), INDEX($AO$1004:$BQ$1004,1,MATCH(COLUMNS($AO$1006:BQ1006),$AO$1006:$BQ$1006,0)))),"Fix")))</f>
        <v>#REF!</v>
      </c>
      <c r="AH378">
        <f ca="1"/>
        <v>375</v>
      </c>
      <c r="AI378">
        <v>100378</v>
      </c>
      <c r="AJ378">
        <v>378</v>
      </c>
      <c r="AK378" t="b">
        <f t="shared" si="5"/>
        <v>1</v>
      </c>
      <c r="AL378" t="b">
        <f>COUNTBLANK(Metadata!B378:AD378)=COLUMNS(Metadata!B378:AD378)</f>
        <v>1</v>
      </c>
      <c r="AM378" t="str">
        <v/>
      </c>
      <c r="AO378" t="b">
        <f ca="1">AND(IF(Metadata!B378="",FALSE,TRUE),COUNTIF(Metadata!B:B, Metadata!B378) = 1,NOT(ISERROR(SUMPRODUCT(SEARCH(MID(Metadata!B378,ROW(INDIRECT("1:"&amp;LEN(Metadata!B378))), 1),"0123456789abcdefghijklmnopqrstuvwxyzABCDEFGHIJKLMNOPQRSTUVWXYZ.")))))</f>
        <v>0</v>
      </c>
      <c r="AP378" t="b">
        <f>IF(Metadata!C378="",FALSE,TRUE)</f>
        <v>0</v>
      </c>
      <c r="AQ378" t="b">
        <f>IF(Metadata!D378="",FALSE,TRUE)</f>
        <v>0</v>
      </c>
      <c r="AR378" t="b">
        <f ca="1">OR(AND(IF(Metadata!E378="",FALSE,TRUE),OR(EXACT(Metadata!E378,"not collected"),EXACT(Metadata!E378,"not provided"),EXACT(Metadata!E378,"restricted access"))),AND(IF(Metadata!E378="",FALSE,TRUE),AND(AND(IFERROR(INT(LEFT(Metadata!E378,4))&gt;1900,FALSE),IFERROR(INT(LEFT(Metadata!E378,4))&lt;=YEAR(NOW()),FALSE)), OR(MID(Metadata!E378,5,1)="", AND(AND(MID(Metadata!E378,5,1)="-",IFERROR(INT(MID(Metadata!E378,6,1))&gt;=0,FALSE),IFERROR(INT(MID(Metadata!E378,6,1))&lt;=1,FALSE),NOT(MID(Metadata!E378,7,1)=""),IFERROR(INT(MID(Metadata!E378,6,2))&gt;=1,FALSE),IFERROR(INT(MID(Metadata!E378,6,2))&lt;=12,FALSE)), OR(MID(Metadata!E378,8,1)="", AND(AND(MID(Metadata!E378,8,1)="-",IFERROR(INT(MID(Metadata!E378,9,1))&gt;=0,FALSE),IFERROR(INT(MID(Metadata!E378,9,1))&lt;=3,FALSE),NOT(MID(Metadata!E378,10,1)=""),IFERROR(INT(MID(Metadata!E378,9,2))&gt;=1,FALSE),IFERROR(INT(MID(Metadata!E378,9,2))&lt;=31,FALSE)), OR(MID(Metadata!E378,11,1)="", AND(AND(MID(Metadata!E378,11,1)=" ",IFERROR(INT(MID(Metadata!E378,12,1))&gt;=0,FALSE),IFERROR(INT(MID(Metadata!E378,12,1))&lt;=2,FALSE),NOT(MID(Metadata!E378,13,1)=""),IFERROR(INT(MID(Metadata!E378,12,2))&gt;=0,FALSE),IFERROR(INT(MID(Metadata!E378,12,2))&lt;=23,FALSE)), OR(MID(Metadata!E378,14,1)="", AND(AND(MID(Metadata!E378,14,1)=":",IFERROR(INT(MID(Metadata!E378,15,1))&gt;=0,FALSE),IFERROR(INT(MID(Metadata!E378,15,1))&lt;=5,FALSE),NOT(MID(Metadata!E378,16,1)=""),IFERROR(INT(MID(Metadata!E378,15,2))&gt;=0,FALSE),IFERROR(INT(MID(Metadata!E378,15,2))&lt;=59,FALSE)), OR(MID(Metadata!E378,17,1)="", AND(AND(MID(Metadata!E378,17,1)=":",IFERROR(INT(MID(Metadata!E378,18,1))&gt;=0,FALSE),IFERROR(INT(MID(Metadata!E378,18,1))&lt;=5,FALSE),NOT(MID(Metadata!E378,19,1)=""),IFERROR(INT(MID(Metadata!E378,18,2))&gt;=0,FALSE),IFERROR(INT(MID(Metadata!E378,18,2))&lt;=59,FALSE)), LEN(Metadata!E378)&lt;=19)))))))))))))</f>
        <v>0</v>
      </c>
      <c r="AS378" t="b">
        <f>IF(Metadata!F378="",FALSE,TRUE)</f>
        <v>0</v>
      </c>
      <c r="AT378" t="b">
        <f>OR(AND(IF(Metadata!G378="",FALSE,TRUE),OR(EXACT(Metadata!G378,"not collected"),EXACT(Metadata!G378,"not provided"))),AND(IF(Metadata!G378="",FALSE,TRUE),OR(EXACT(Metadata!G378,"TRUE"),EXACT(Metadata!G378,"FALSE"))))</f>
        <v>0</v>
      </c>
      <c r="AU378" t="b">
        <f>OR(AND(IF(Metadata!H378="",FALSE,TRUE),OR(EXACT(Metadata!H378,"not collected"),EXACT(Metadata!H378,"not provided"),EXACT(Metadata!H378,"restricted access"))),AND(IF(Metadata!H378="",FALSE,ISNUMBER(VALUE(Metadata!H378))),Metadata!H378&gt;=-413))</f>
        <v>0</v>
      </c>
      <c r="AV378" t="b">
        <f>AND(IF(Metadata!I378="",FALSE,TRUE),EXACT(Metadata!I378,"meters"))</f>
        <v>0</v>
      </c>
      <c r="AW378" t="b">
        <f>AND(IF(Metadata!J378="",FALSE,TRUE),EXACT(Metadata!J378,"free-living"))</f>
        <v>0</v>
      </c>
      <c r="AX378" t="b">
        <f>AND(IF(Metadata!K378="",FALSE,TRUE),OR(EXACT(Metadata!K378,"saline"),EXACT(Metadata!K378,"non-saline")))</f>
        <v>0</v>
      </c>
      <c r="AY378" t="b">
        <f>AND(IF(Metadata!L378="",FALSE,TRUE),OR(EXACT(Metadata!L378,"sub-surface (non-saline)"),EXACT(Metadata!L378,"surface (non-saline)"),EXACT(Metadata!L378,"water (non-saline)"),EXACT(Metadata!L378,"soil (non-saline)"),EXACT(Metadata!L378,"aerosol (non-saline)"),EXACT(Metadata!L378,"sediment (non-saline)"),EXACT(Metadata!L378,"surface (saline)"),EXACT(Metadata!L378,"water (saline)"),EXACT(Metadata!L378,"hypersaline (saline)"),EXACT(Metadata!L378,"aerosol (saline)"),EXACT(Metadata!L378,"sediment (saline)")))</f>
        <v>0</v>
      </c>
      <c r="AZ378" t="b">
        <f>IF(Metadata!M378="",FALSE,TRUE)</f>
        <v>0</v>
      </c>
      <c r="BA378" t="b">
        <f>IF(Metadata!N378="",FALSE,TRUE)</f>
        <v>0</v>
      </c>
      <c r="BB378" t="b">
        <f>IF(Metadata!O378="",FALSE,TRUE)</f>
        <v>0</v>
      </c>
      <c r="BC378" t="b">
        <f>AND(IF(Metadata!P378="",FALSE,TRUE),OR(EXACT(Metadata!P378,"air"),EXACT(Metadata!P378,"microbial mat/biofilm"),EXACT(Metadata!P378,"misc environment"),EXACT(Metadata!P378,"sediment"),EXACT(Metadata!P378,"soil"),EXACT(Metadata!P378,"wastewater/sludge"),EXACT(Metadata!P378,"water")))</f>
        <v>0</v>
      </c>
      <c r="BD378" t="b">
        <f>IF(Metadata!Q378="",FALSE,TRUE)</f>
        <v>0</v>
      </c>
      <c r="BE378" t="b">
        <f>IF(Metadata!R378="",FALSE,TRUE)</f>
        <v>0</v>
      </c>
      <c r="BF378" t="b">
        <f>OR(AND(IF(Metadata!S378="",FALSE,TRUE),OR(EXACT(Metadata!S378,"not collected"),EXACT(Metadata!S378,"not provided"),EXACT(Metadata!S378,"restricted access"))),AND(IF(Metadata!S378="",FALSE,ISNUMBER(VALUE(Metadata!S378))),Metadata!S378&gt;=-90,Metadata!S378&lt;=90))</f>
        <v>0</v>
      </c>
      <c r="BG378" t="b">
        <f>AND(IF(Metadata!T378="",FALSE,TRUE),EXACT(Metadata!T378,"Decimal degrees"))</f>
        <v>0</v>
      </c>
      <c r="BH378" t="b">
        <f>OR(AND(IF(Metadata!U378="",FALSE,TRUE),OR(EXACT(Metadata!U378,"not applicable"),EXACT(Metadata!U378,"not collected"))),IF(Metadata!U378="",FALSE,TRUE))</f>
        <v>0</v>
      </c>
      <c r="BI378" t="b">
        <f>OR(AND(IF(Metadata!V378="",FALSE,TRUE),OR(EXACT(Metadata!V378,"not collected"),EXACT(Metadata!V378,"not provided"),EXACT(Metadata!V378,"restricted access"))),AND(IF(Metadata!V378="",FALSE,ISNUMBER(VALUE(Metadata!V378))),Metadata!V378&gt;=-180,Metadata!V378&lt;=180))</f>
        <v>0</v>
      </c>
      <c r="BJ378" t="b">
        <f>AND(IF(Metadata!W378="",FALSE,TRUE),EXACT(Metadata!W378,"Decimal degrees"))</f>
        <v>0</v>
      </c>
      <c r="BK378" t="b">
        <f>IF(Metadata!X378="",FALSE,TRUE)</f>
        <v>0</v>
      </c>
      <c r="BL378" t="b">
        <f>OR(AND(IF(Metadata!Y378="",FALSE,TRUE),OR(EXACT(Metadata!Y378,"not collected"),EXACT(Metadata!Y378,"not provided"),EXACT(Metadata!Y378,"restricted access"))),AND(IF(Metadata!Y378="",FALSE,TRUE),OR(EXACT(Metadata!Y378,"TRUE"),EXACT(Metadata!Y378,"FALSE"))))</f>
        <v>0</v>
      </c>
      <c r="BM378" t="b">
        <f>OR(AND(IF(Metadata!Z378="",FALSE,TRUE),EXACT(Metadata!Z378,"not applicable")),AND(IF(Metadata!Z378="",FALSE,TRUE),OR(EXACT(Metadata!Z378,"beer"),EXACT(Metadata!Z378,"cheese"),EXACT(Metadata!Z378,"fresh water"),EXACT(Metadata!Z378,"marine sediment"),EXACT(Metadata!Z378,"sea water"),EXACT(Metadata!Z378,"sediment"),EXACT(Metadata!Z378,"soil"),EXACT(Metadata!Z378,"waste water"))))</f>
        <v>0</v>
      </c>
      <c r="BN378" t="b">
        <f>AND(IF(Metadata!AA378="",FALSE,TRUE),EXACT(Metadata!AA378,"metagenome"))</f>
        <v>0</v>
      </c>
      <c r="BO378" t="b">
        <f>AND(IF(Metadata!AB378="",FALSE,TRUE),EXACT(Metadata!AB378,"256318"))</f>
        <v>0</v>
      </c>
      <c r="BP378" t="b">
        <f>IF(Metadata!AC378="",FALSE,TRUE)</f>
        <v>0</v>
      </c>
      <c r="BQ378" t="b">
        <f>IF(Metadata!AD378="",FALSE,TRUE)</f>
        <v>0</v>
      </c>
    </row>
    <row r="379" spans="1:69" x14ac:dyDescent="0.2">
      <c r="A379" s="4" t="e">
        <f ca="1">IF(B379=" "," ",HYPERLINK(CONCATENATE("#metadata!",ADDRESS(INDEX($AJ$2:$AJ$1001,MATCH(ROWS($AH$2:AH379),$AH$2:$AH$1001,0),0),2)),INDEX($AM$2:$AM$1001,MATCH(ROWS($AH$2:AH379),$AH$2:$AH$1001,0),0)))</f>
        <v>#N/A</v>
      </c>
      <c r="B379" s="5" t="e">
        <f ca="1">IF(OR(INDEX($AI$2:$AI$1001,MATCH(ROWS($AH$2:AH379),$AH$2:$AH$1001,0),1)&gt;=100000,INDEX($AO$1005:$BQ$1005,1,MATCH(COLUMNS($AO$1006:AO1006),$AO$1006:$BQ$1006,0))&gt;=100000), " ",IF(INDEX($AO$2:$BQ$1001,MATCH(ROWS($AH$2:AH379),$AH$2:$AH$1001,0),MATCH(COLUMNS($AO$1006:AO1006),$AO$1006:$BQ$1006,0)), HYPERLINK("#",""), HYPERLINK(CONCATENATE("#Metadata!", ADDRESS(INDEX($AJ$2:$AJ$1001,MATCH(ROWS($AH$2:AH379),$AH$2:$AH$1001,0),0), INDEX($AO$1004:$BQ$1004,1,MATCH(COLUMNS($AO$1006:AO1006),$AO$1006:$BQ$1006,0)))),"Fix")))</f>
        <v>#N/A</v>
      </c>
      <c r="C379" s="5" t="e">
        <f ca="1">IF(OR(INDEX($AI$2:$AI$1001,MATCH(ROWS($AH$2:AH379),$AH$2:$AH$1001,0),1)&gt;=100000,INDEX($AO$1005:$BQ$1005,1,MATCH(COLUMNS($AO$1006:AP1006),$AO$1006:$BQ$1006,0))&gt;=100000), " ",IF(INDEX($AO$2:$BQ$1001,MATCH(ROWS($AH$2:AH379),$AH$2:$AH$1001,0),MATCH(COLUMNS($AO$1006:AP1006),$AO$1006:$BQ$1006,0)), HYPERLINK("#",""), HYPERLINK(CONCATENATE("#Metadata!", ADDRESS(INDEX($AJ$2:$AJ$1001,MATCH(ROWS($AH$2:AH379),$AH$2:$AH$1001,0),0), INDEX($AO$1004:$BQ$1004,1,MATCH(COLUMNS($AO$1006:AP1006),$AO$1006:$BQ$1006,0)))),"Fix")))</f>
        <v>#N/A</v>
      </c>
      <c r="D379" s="5" t="e">
        <f ca="1">IF(OR(INDEX($AI$2:$AI$1001,MATCH(ROWS($AH$2:AH379),$AH$2:$AH$1001,0),1)&gt;=100000,INDEX($AO$1005:$BQ$1005,1,MATCH(COLUMNS($AO$1006:AQ1006),$AO$1006:$BQ$1006,0))&gt;=100000), " ",IF(INDEX($AO$2:$BQ$1001,MATCH(ROWS($AH$2:AH379),$AH$2:$AH$1001,0),MATCH(COLUMNS($AO$1006:AQ1006),$AO$1006:$BQ$1006,0)), HYPERLINK("#",""), HYPERLINK(CONCATENATE("#Metadata!", ADDRESS(INDEX($AJ$2:$AJ$1001,MATCH(ROWS($AH$2:AH379),$AH$2:$AH$1001,0),0), INDEX($AO$1004:$BQ$1004,1,MATCH(COLUMNS($AO$1006:AQ1006),$AO$1006:$BQ$1006,0)))),"Fix")))</f>
        <v>#N/A</v>
      </c>
      <c r="E379" s="5" t="e">
        <f ca="1">IF(OR(INDEX($AI$2:$AI$1001,MATCH(ROWS($AH$2:AH379),$AH$2:$AH$1001,0),1)&gt;=100000,INDEX($AO$1005:$BQ$1005,1,MATCH(COLUMNS($AO$1006:AR1006),$AO$1006:$BQ$1006,0))&gt;=100000), " ",IF(INDEX($AO$2:$BQ$1001,MATCH(ROWS($AH$2:AH379),$AH$2:$AH$1001,0),MATCH(COLUMNS($AO$1006:AR1006),$AO$1006:$BQ$1006,0)), HYPERLINK("#",""), HYPERLINK(CONCATENATE("#Metadata!", ADDRESS(INDEX($AJ$2:$AJ$1001,MATCH(ROWS($AH$2:AH379),$AH$2:$AH$1001,0),0), INDEX($AO$1004:$BQ$1004,1,MATCH(COLUMNS($AO$1006:AR1006),$AO$1006:$BQ$1006,0)))),"Fix")))</f>
        <v>#N/A</v>
      </c>
      <c r="F379" s="5" t="e">
        <f ca="1">IF(OR(INDEX($AI$2:$AI$1001,MATCH(ROWS($AH$2:AH379),$AH$2:$AH$1001,0),1)&gt;=100000,INDEX($AO$1005:$BQ$1005,1,MATCH(COLUMNS($AO$1006:AS1006),$AO$1006:$BQ$1006,0))&gt;=100000), " ",IF(INDEX($AO$2:$BQ$1001,MATCH(ROWS($AH$2:AH379),$AH$2:$AH$1001,0),MATCH(COLUMNS($AO$1006:AS1006),$AO$1006:$BQ$1006,0)), HYPERLINK("#",""), HYPERLINK(CONCATENATE("#Metadata!", ADDRESS(INDEX($AJ$2:$AJ$1001,MATCH(ROWS($AH$2:AH379),$AH$2:$AH$1001,0),0), INDEX($AO$1004:$BQ$1004,1,MATCH(COLUMNS($AO$1006:AS1006),$AO$1006:$BQ$1006,0)))),"Fix")))</f>
        <v>#N/A</v>
      </c>
      <c r="G379" s="5" t="e">
        <f ca="1">IF(OR(INDEX($AI$2:$AI$1001,MATCH(ROWS($AH$2:AH379),$AH$2:$AH$1001,0),1)&gt;=100000,INDEX($AO$1005:$BQ$1005,1,MATCH(COLUMNS($AO$1006:AT1006),$AO$1006:$BQ$1006,0))&gt;=100000), " ",IF(INDEX($AO$2:$BQ$1001,MATCH(ROWS($AH$2:AH379),$AH$2:$AH$1001,0),MATCH(COLUMNS($AO$1006:AT1006),$AO$1006:$BQ$1006,0)), HYPERLINK("#",""), HYPERLINK(CONCATENATE("#Metadata!", ADDRESS(INDEX($AJ$2:$AJ$1001,MATCH(ROWS($AH$2:AH379),$AH$2:$AH$1001,0),0), INDEX($AO$1004:$BQ$1004,1,MATCH(COLUMNS($AO$1006:AT1006),$AO$1006:$BQ$1006,0)))),"Fix")))</f>
        <v>#N/A</v>
      </c>
      <c r="H379" s="5" t="e">
        <f ca="1">IF(OR(INDEX($AI$2:$AI$1001,MATCH(ROWS($AH$2:AH379),$AH$2:$AH$1001,0),1)&gt;=100000,INDEX($AO$1005:$BQ$1005,1,MATCH(COLUMNS($AO$1006:AU1006),$AO$1006:$BQ$1006,0))&gt;=100000), " ",IF(INDEX($AO$2:$BQ$1001,MATCH(ROWS($AH$2:AH379),$AH$2:$AH$1001,0),MATCH(COLUMNS($AO$1006:AU1006),$AO$1006:$BQ$1006,0)), HYPERLINK("#",""), HYPERLINK(CONCATENATE("#Metadata!", ADDRESS(INDEX($AJ$2:$AJ$1001,MATCH(ROWS($AH$2:AH379),$AH$2:$AH$1001,0),0), INDEX($AO$1004:$BQ$1004,1,MATCH(COLUMNS($AO$1006:AU1006),$AO$1006:$BQ$1006,0)))),"Fix")))</f>
        <v>#N/A</v>
      </c>
      <c r="I379" s="5" t="e">
        <f ca="1">IF(OR(INDEX($AI$2:$AI$1001,MATCH(ROWS($AH$2:AH379),$AH$2:$AH$1001,0),1)&gt;=100000,INDEX($AO$1005:$BQ$1005,1,MATCH(COLUMNS($AO$1006:AV1006),$AO$1006:$BQ$1006,0))&gt;=100000), " ",IF(INDEX($AO$2:$BQ$1001,MATCH(ROWS($AH$2:AH379),$AH$2:$AH$1001,0),MATCH(COLUMNS($AO$1006:AV1006),$AO$1006:$BQ$1006,0)), HYPERLINK("#",""), HYPERLINK(CONCATENATE("#Metadata!", ADDRESS(INDEX($AJ$2:$AJ$1001,MATCH(ROWS($AH$2:AH379),$AH$2:$AH$1001,0),0), INDEX($AO$1004:$BQ$1004,1,MATCH(COLUMNS($AO$1006:AV1006),$AO$1006:$BQ$1006,0)))),"Fix")))</f>
        <v>#N/A</v>
      </c>
      <c r="J379" s="5" t="e">
        <f ca="1">IF(OR(INDEX($AI$2:$AI$1001,MATCH(ROWS($AH$2:AH379),$AH$2:$AH$1001,0),1)&gt;=100000,INDEX($AO$1005:$BQ$1005,1,MATCH(COLUMNS($AO$1006:AW1006),$AO$1006:$BQ$1006,0))&gt;=100000), " ",IF(INDEX($AO$2:$BQ$1001,MATCH(ROWS($AH$2:AH379),$AH$2:$AH$1001,0),MATCH(COLUMNS($AO$1006:AW1006),$AO$1006:$BQ$1006,0)), HYPERLINK("#",""), HYPERLINK(CONCATENATE("#Metadata!", ADDRESS(INDEX($AJ$2:$AJ$1001,MATCH(ROWS($AH$2:AH379),$AH$2:$AH$1001,0),0), INDEX($AO$1004:$BQ$1004,1,MATCH(COLUMNS($AO$1006:AW1006),$AO$1006:$BQ$1006,0)))),"Fix")))</f>
        <v>#N/A</v>
      </c>
      <c r="K379" s="5" t="e">
        <f ca="1">IF(OR(INDEX($AI$2:$AI$1001,MATCH(ROWS($AH$2:AH379),$AH$2:$AH$1001,0),1)&gt;=100000,INDEX($AO$1005:$BQ$1005,1,MATCH(COLUMNS($AO$1006:AX1006),$AO$1006:$BQ$1006,0))&gt;=100000), " ",IF(INDEX($AO$2:$BQ$1001,MATCH(ROWS($AH$2:AH379),$AH$2:$AH$1001,0),MATCH(COLUMNS($AO$1006:AX1006),$AO$1006:$BQ$1006,0)), HYPERLINK("#",""), HYPERLINK(CONCATENATE("#Metadata!", ADDRESS(INDEX($AJ$2:$AJ$1001,MATCH(ROWS($AH$2:AH379),$AH$2:$AH$1001,0),0), INDEX($AO$1004:$BQ$1004,1,MATCH(COLUMNS($AO$1006:AX1006),$AO$1006:$BQ$1006,0)))),"Fix")))</f>
        <v>#N/A</v>
      </c>
      <c r="L379" s="5" t="e">
        <f ca="1">IF(OR(INDEX($AI$2:$AI$1001,MATCH(ROWS($AH$2:AH379),$AH$2:$AH$1001,0),1)&gt;=100000,INDEX($AO$1005:$BQ$1005,1,MATCH(COLUMNS($AO$1006:AY1006),$AO$1006:$BQ$1006,0))&gt;=100000), " ",IF(INDEX($AO$2:$BQ$1001,MATCH(ROWS($AH$2:AH379),$AH$2:$AH$1001,0),MATCH(COLUMNS($AO$1006:AY1006),$AO$1006:$BQ$1006,0)), HYPERLINK("#",""), HYPERLINK(CONCATENATE("#Metadata!", ADDRESS(INDEX($AJ$2:$AJ$1001,MATCH(ROWS($AH$2:AH379),$AH$2:$AH$1001,0),0), INDEX($AO$1004:$BQ$1004,1,MATCH(COLUMNS($AO$1006:AY1006),$AO$1006:$BQ$1006,0)))),"Fix")))</f>
        <v>#N/A</v>
      </c>
      <c r="M379" s="5" t="e">
        <f ca="1">IF(OR(INDEX($AI$2:$AI$1001,MATCH(ROWS($AH$2:AH379),$AH$2:$AH$1001,0),1)&gt;=100000,INDEX($AO$1005:$BQ$1005,1,MATCH(COLUMNS($AO$1006:AZ1006),$AO$1006:$BQ$1006,0))&gt;=100000), " ",IF(INDEX($AO$2:$BQ$1001,MATCH(ROWS($AH$2:AH379),$AH$2:$AH$1001,0),MATCH(COLUMNS($AO$1006:AZ1006),$AO$1006:$BQ$1006,0)), HYPERLINK("#",""), HYPERLINK(CONCATENATE("#Metadata!", ADDRESS(INDEX($AJ$2:$AJ$1001,MATCH(ROWS($AH$2:AH379),$AH$2:$AH$1001,0),0), INDEX($AO$1004:$BQ$1004,1,MATCH(COLUMNS($AO$1006:AZ1006),$AO$1006:$BQ$1006,0)))),"Fix")))</f>
        <v>#N/A</v>
      </c>
      <c r="N379" s="5" t="e">
        <f ca="1">IF(OR(INDEX($AI$2:$AI$1001,MATCH(ROWS($AH$2:AH379),$AH$2:$AH$1001,0),1)&gt;=100000,INDEX($AO$1005:$BQ$1005,1,MATCH(COLUMNS($AO$1006:BA1006),$AO$1006:$BQ$1006,0))&gt;=100000), " ",IF(INDEX($AO$2:$BQ$1001,MATCH(ROWS($AH$2:AH379),$AH$2:$AH$1001,0),MATCH(COLUMNS($AO$1006:BA1006),$AO$1006:$BQ$1006,0)), HYPERLINK("#",""), HYPERLINK(CONCATENATE("#Metadata!", ADDRESS(INDEX($AJ$2:$AJ$1001,MATCH(ROWS($AH$2:AH379),$AH$2:$AH$1001,0),0), INDEX($AO$1004:$BQ$1004,1,MATCH(COLUMNS($AO$1006:BA1006),$AO$1006:$BQ$1006,0)))),"Fix")))</f>
        <v>#N/A</v>
      </c>
      <c r="O379" s="5" t="e">
        <f ca="1">IF(OR(INDEX($AI$2:$AI$1001,MATCH(ROWS($AH$2:AH379),$AH$2:$AH$1001,0),1)&gt;=100000,INDEX($AO$1005:$BQ$1005,1,MATCH(COLUMNS($AO$1006:BB1006),$AO$1006:$BQ$1006,0))&gt;=100000), " ",IF(INDEX($AO$2:$BQ$1001,MATCH(ROWS($AH$2:AH379),$AH$2:$AH$1001,0),MATCH(COLUMNS($AO$1006:BB1006),$AO$1006:$BQ$1006,0)), HYPERLINK("#",""), HYPERLINK(CONCATENATE("#Metadata!", ADDRESS(INDEX($AJ$2:$AJ$1001,MATCH(ROWS($AH$2:AH379),$AH$2:$AH$1001,0),0), INDEX($AO$1004:$BQ$1004,1,MATCH(COLUMNS($AO$1006:BB1006),$AO$1006:$BQ$1006,0)))),"Fix")))</f>
        <v>#N/A</v>
      </c>
      <c r="P379" s="5" t="e">
        <f ca="1">IF(OR(INDEX($AI$2:$AI$1001,MATCH(ROWS($AH$2:AH379),$AH$2:$AH$1001,0),1)&gt;=100000,INDEX($AO$1005:$BQ$1005,1,MATCH(COLUMNS($AO$1006:BC1006),$AO$1006:$BQ$1006,0))&gt;=100000), " ",IF(INDEX($AO$2:$BQ$1001,MATCH(ROWS($AH$2:AH379),$AH$2:$AH$1001,0),MATCH(COLUMNS($AO$1006:BC1006),$AO$1006:$BQ$1006,0)), HYPERLINK("#",""), HYPERLINK(CONCATENATE("#Metadata!", ADDRESS(INDEX($AJ$2:$AJ$1001,MATCH(ROWS($AH$2:AH379),$AH$2:$AH$1001,0),0), INDEX($AO$1004:$BQ$1004,1,MATCH(COLUMNS($AO$1006:BC1006),$AO$1006:$BQ$1006,0)))),"Fix")))</f>
        <v>#N/A</v>
      </c>
      <c r="Q379" s="5" t="e">
        <f ca="1">IF(OR(INDEX($AI$2:$AI$1001,MATCH(ROWS($AH$2:AH379),$AH$2:$AH$1001,0),1)&gt;=100000,INDEX($AO$1005:$BQ$1005,1,MATCH(COLUMNS($AO$1006:BD1006),$AO$1006:$BQ$1006,0))&gt;=100000), " ",IF(INDEX($AO$2:$BQ$1001,MATCH(ROWS($AH$2:AH379),$AH$2:$AH$1001,0),MATCH(COLUMNS($AO$1006:BD1006),$AO$1006:$BQ$1006,0)), HYPERLINK("#",""), HYPERLINK(CONCATENATE("#Metadata!", ADDRESS(INDEX($AJ$2:$AJ$1001,MATCH(ROWS($AH$2:AH379),$AH$2:$AH$1001,0),0), INDEX($AO$1004:$BQ$1004,1,MATCH(COLUMNS($AO$1006:BD1006),$AO$1006:$BQ$1006,0)))),"Fix")))</f>
        <v>#N/A</v>
      </c>
      <c r="R379" s="5" t="e">
        <f ca="1">IF(OR(INDEX($AI$2:$AI$1001,MATCH(ROWS($AH$2:AH379),$AH$2:$AH$1001,0),1)&gt;=100000,INDEX($AO$1005:$BQ$1005,1,MATCH(COLUMNS($AO$1006:BE1006),$AO$1006:$BQ$1006,0))&gt;=100000), " ",IF(INDEX($AO$2:$BQ$1001,MATCH(ROWS($AH$2:AH379),$AH$2:$AH$1001,0),MATCH(COLUMNS($AO$1006:BE1006),$AO$1006:$BQ$1006,0)), HYPERLINK("#",""), HYPERLINK(CONCATENATE("#Metadata!", ADDRESS(INDEX($AJ$2:$AJ$1001,MATCH(ROWS($AH$2:AH379),$AH$2:$AH$1001,0),0), INDEX($AO$1004:$BQ$1004,1,MATCH(COLUMNS($AO$1006:BE1006),$AO$1006:$BQ$1006,0)))),"Fix")))</f>
        <v>#N/A</v>
      </c>
      <c r="S379" s="5" t="e">
        <f ca="1">IF(OR(INDEX($AI$2:$AI$1001,MATCH(ROWS($AH$2:AH379),$AH$2:$AH$1001,0),1)&gt;=100000,INDEX($AO$1005:$BQ$1005,1,MATCH(COLUMNS($AO$1006:BF1006),$AO$1006:$BQ$1006,0))&gt;=100000), " ",IF(INDEX($AO$2:$BQ$1001,MATCH(ROWS($AH$2:AH379),$AH$2:$AH$1001,0),MATCH(COLUMNS($AO$1006:BF1006),$AO$1006:$BQ$1006,0)), HYPERLINK("#",""), HYPERLINK(CONCATENATE("#Metadata!", ADDRESS(INDEX($AJ$2:$AJ$1001,MATCH(ROWS($AH$2:AH379),$AH$2:$AH$1001,0),0), INDEX($AO$1004:$BQ$1004,1,MATCH(COLUMNS($AO$1006:BF1006),$AO$1006:$BQ$1006,0)))),"Fix")))</f>
        <v>#N/A</v>
      </c>
      <c r="T379" s="5" t="e">
        <f ca="1">IF(OR(INDEX($AI$2:$AI$1001,MATCH(ROWS($AH$2:AH379),$AH$2:$AH$1001,0),1)&gt;=100000,INDEX($AO$1005:$BQ$1005,1,MATCH(COLUMNS($AO$1006:BG1006),$AO$1006:$BQ$1006,0))&gt;=100000), " ",IF(INDEX($AO$2:$BQ$1001,MATCH(ROWS($AH$2:AH379),$AH$2:$AH$1001,0),MATCH(COLUMNS($AO$1006:BG1006),$AO$1006:$BQ$1006,0)), HYPERLINK("#",""), HYPERLINK(CONCATENATE("#Metadata!", ADDRESS(INDEX($AJ$2:$AJ$1001,MATCH(ROWS($AH$2:AH379),$AH$2:$AH$1001,0),0), INDEX($AO$1004:$BQ$1004,1,MATCH(COLUMNS($AO$1006:BG1006),$AO$1006:$BQ$1006,0)))),"Fix")))</f>
        <v>#N/A</v>
      </c>
      <c r="U379" s="5" t="e">
        <f ca="1">IF(OR(INDEX($AI$2:$AI$1001,MATCH(ROWS($AH$2:AH379),$AH$2:$AH$1001,0),1)&gt;=100000,INDEX($AO$1005:$BQ$1005,1,MATCH(COLUMNS($AO$1006:BH1006),$AO$1006:$BQ$1006,0))&gt;=100000), " ",IF(INDEX($AO$2:$BQ$1001,MATCH(ROWS($AH$2:AH379),$AH$2:$AH$1001,0),MATCH(COLUMNS($AO$1006:BH1006),$AO$1006:$BQ$1006,0)), HYPERLINK("#",""), HYPERLINK(CONCATENATE("#Metadata!", ADDRESS(INDEX($AJ$2:$AJ$1001,MATCH(ROWS($AH$2:AH379),$AH$2:$AH$1001,0),0), INDEX($AO$1004:$BQ$1004,1,MATCH(COLUMNS($AO$1006:BH1006),$AO$1006:$BQ$1006,0)))),"Fix")))</f>
        <v>#N/A</v>
      </c>
      <c r="V379" s="5" t="e">
        <f ca="1">IF(OR(INDEX($AI$2:$AI$1001,MATCH(ROWS($AH$2:AH379),$AH$2:$AH$1001,0),1)&gt;=100000,INDEX($AO$1005:$BQ$1005,1,MATCH(COLUMNS($AO$1006:BI1006),$AO$1006:$BQ$1006,0))&gt;=100000), " ",IF(INDEX($AO$2:$BQ$1001,MATCH(ROWS($AH$2:AH379),$AH$2:$AH$1001,0),MATCH(COLUMNS($AO$1006:BI1006),$AO$1006:$BQ$1006,0)), HYPERLINK("#",""), HYPERLINK(CONCATENATE("#Metadata!", ADDRESS(INDEX($AJ$2:$AJ$1001,MATCH(ROWS($AH$2:AH379),$AH$2:$AH$1001,0),0), INDEX($AO$1004:$BQ$1004,1,MATCH(COLUMNS($AO$1006:BI1006),$AO$1006:$BQ$1006,0)))),"Fix")))</f>
        <v>#N/A</v>
      </c>
      <c r="W379" s="5" t="e">
        <f ca="1">IF(OR(INDEX($AI$2:$AI$1001,MATCH(ROWS($AH$2:AH379),$AH$2:$AH$1001,0),1)&gt;=100000,INDEX($AO$1005:$BQ$1005,1,MATCH(COLUMNS($AO$1006:BJ1006),$AO$1006:$BQ$1006,0))&gt;=100000), " ",IF(INDEX($AO$2:$BQ$1001,MATCH(ROWS($AH$2:AH379),$AH$2:$AH$1001,0),MATCH(COLUMNS($AO$1006:BJ1006),$AO$1006:$BQ$1006,0)), HYPERLINK("#",""), HYPERLINK(CONCATENATE("#Metadata!", ADDRESS(INDEX($AJ$2:$AJ$1001,MATCH(ROWS($AH$2:AH379),$AH$2:$AH$1001,0),0), INDEX($AO$1004:$BQ$1004,1,MATCH(COLUMNS($AO$1006:BJ1006),$AO$1006:$BQ$1006,0)))),"Fix")))</f>
        <v>#N/A</v>
      </c>
      <c r="X379" s="5" t="e">
        <f ca="1">IF(OR(INDEX($AI$2:$AI$1001,MATCH(ROWS($AH$2:AH379),$AH$2:$AH$1001,0),1)&gt;=100000,INDEX($AO$1005:$BQ$1005,1,MATCH(COLUMNS($AO$1006:BK1006),$AO$1006:$BQ$1006,0))&gt;=100000), " ",IF(INDEX($AO$2:$BQ$1001,MATCH(ROWS($AH$2:AH379),$AH$2:$AH$1001,0),MATCH(COLUMNS($AO$1006:BK1006),$AO$1006:$BQ$1006,0)), HYPERLINK("#",""), HYPERLINK(CONCATENATE("#Metadata!", ADDRESS(INDEX($AJ$2:$AJ$1001,MATCH(ROWS($AH$2:AH379),$AH$2:$AH$1001,0),0), INDEX($AO$1004:$BQ$1004,1,MATCH(COLUMNS($AO$1006:BK1006),$AO$1006:$BQ$1006,0)))),"Fix")))</f>
        <v>#N/A</v>
      </c>
      <c r="Y379" s="5" t="e">
        <f ca="1">IF(OR(INDEX($AI$2:$AI$1001,MATCH(ROWS($AH$2:AH379),$AH$2:$AH$1001,0),1)&gt;=100000,INDEX($AO$1005:$BQ$1005,1,MATCH(COLUMNS($AO$1006:BL1006),$AO$1006:$BQ$1006,0))&gt;=100000), " ",IF(INDEX($AO$2:$BQ$1001,MATCH(ROWS($AH$2:AH379),$AH$2:$AH$1001,0),MATCH(COLUMNS($AO$1006:BL1006),$AO$1006:$BQ$1006,0)), HYPERLINK("#",""), HYPERLINK(CONCATENATE("#Metadata!", ADDRESS(INDEX($AJ$2:$AJ$1001,MATCH(ROWS($AH$2:AH379),$AH$2:$AH$1001,0),0), INDEX($AO$1004:$BQ$1004,1,MATCH(COLUMNS($AO$1006:BL1006),$AO$1006:$BQ$1006,0)))),"Fix")))</f>
        <v>#N/A</v>
      </c>
      <c r="Z379" s="5" t="e">
        <f ca="1">IF(OR(INDEX($AI$2:$AI$1001,MATCH(ROWS($AH$2:AH379),$AH$2:$AH$1001,0),1)&gt;=100000,INDEX($AO$1005:$BQ$1005,1,MATCH(COLUMNS($AO$1006:BM1006),$AO$1006:$BQ$1006,0))&gt;=100000), " ",IF(INDEX($AO$2:$BQ$1001,MATCH(ROWS($AH$2:AH379),$AH$2:$AH$1001,0),MATCH(COLUMNS($AO$1006:BM1006),$AO$1006:$BQ$1006,0)), HYPERLINK("#",""), HYPERLINK(CONCATENATE("#Metadata!", ADDRESS(INDEX($AJ$2:$AJ$1001,MATCH(ROWS($AH$2:AH379),$AH$2:$AH$1001,0),0), INDEX($AO$1004:$BQ$1004,1,MATCH(COLUMNS($AO$1006:BM1006),$AO$1006:$BQ$1006,0)))),"Fix")))</f>
        <v>#N/A</v>
      </c>
      <c r="AA379" s="5" t="e">
        <f ca="1">IF(OR(INDEX($AI$2:$AI$1001,MATCH(ROWS($AH$2:AH379),$AH$2:$AH$1001,0),1)&gt;=100000,INDEX($AO$1005:$BQ$1005,1,MATCH(COLUMNS($AO$1006:BN1006),$AO$1006:$BQ$1006,0))&gt;=100000), " ",IF(INDEX($AO$2:$BQ$1001,MATCH(ROWS($AH$2:AH379),$AH$2:$AH$1001,0),MATCH(COLUMNS($AO$1006:BN1006),$AO$1006:$BQ$1006,0)), HYPERLINK("#",""), HYPERLINK(CONCATENATE("#Metadata!", ADDRESS(INDEX($AJ$2:$AJ$1001,MATCH(ROWS($AH$2:AH379),$AH$2:$AH$1001,0),0), INDEX($AO$1004:$BQ$1004,1,MATCH(COLUMNS($AO$1006:BN1006),$AO$1006:$BQ$1006,0)))),"Fix")))</f>
        <v>#N/A</v>
      </c>
      <c r="AB379" s="5" t="e">
        <f ca="1">IF(OR(INDEX($AI$2:$AI$1001,MATCH(ROWS($AH$2:AH379),$AH$2:$AH$1001,0),1)&gt;=100000,INDEX($AO$1005:$BQ$1005,1,MATCH(COLUMNS($AO$1006:BO1006),$AO$1006:$BQ$1006,0))&gt;=100000), " ",IF(INDEX($AO$2:$BQ$1001,MATCH(ROWS($AH$2:AH379),$AH$2:$AH$1001,0),MATCH(COLUMNS($AO$1006:BO1006),$AO$1006:$BQ$1006,0)), HYPERLINK("#",""), HYPERLINK(CONCATENATE("#Metadata!", ADDRESS(INDEX($AJ$2:$AJ$1001,MATCH(ROWS($AH$2:AH379),$AH$2:$AH$1001,0),0), INDEX($AO$1004:$BQ$1004,1,MATCH(COLUMNS($AO$1006:BO1006),$AO$1006:$BQ$1006,0)))),"Fix")))</f>
        <v>#N/A</v>
      </c>
      <c r="AC379" s="5" t="e">
        <f ca="1">IF(OR(INDEX($AI$2:$AI$1001,MATCH(ROWS($AH$2:AH379),$AH$2:$AH$1001,0),1)&gt;=100000,INDEX($AO$1005:$BQ$1005,1,MATCH(COLUMNS($AO$1006:BP1006),$AO$1006:$BQ$1006,0))&gt;=100000), " ",IF(INDEX($AO$2:$BQ$1001,MATCH(ROWS($AH$2:AH379),$AH$2:$AH$1001,0),MATCH(COLUMNS($AO$1006:BP1006),$AO$1006:$BQ$1006,0)), HYPERLINK("#",""), HYPERLINK(CONCATENATE("#Metadata!", ADDRESS(INDEX($AJ$2:$AJ$1001,MATCH(ROWS($AH$2:AH379),$AH$2:$AH$1001,0),0), INDEX($AO$1004:$BQ$1004,1,MATCH(COLUMNS($AO$1006:BP1006),$AO$1006:$BQ$1006,0)))),"Fix")))</f>
        <v>#N/A</v>
      </c>
      <c r="AD379" s="5" t="e">
        <f ca="1">IF(OR(INDEX($AI$2:$AI$1001,MATCH(ROWS($AH$2:AH379),$AH$2:$AH$1001,0),1)&gt;=100000,INDEX($AO$1005:$BQ$1005,1,MATCH(COLUMNS($AO$1006:BQ1006),$AO$1006:$BQ$1006,0))&gt;=100000), " ",IF(INDEX($AO$2:$BQ$1001,MATCH(ROWS($AH$2:AH379),$AH$2:$AH$1001,0),MATCH(COLUMNS($AO$1006:BQ1006),$AO$1006:$BQ$1006,0)), HYPERLINK("#",""), HYPERLINK(CONCATENATE("#Metadata!", ADDRESS(INDEX($AJ$2:$AJ$1001,MATCH(ROWS($AH$2:AH379),$AH$2:$AH$1001,0),0), INDEX($AO$1004:$BQ$1004,1,MATCH(COLUMNS($AO$1006:BQ1006),$AO$1006:$BQ$1006,0)))),"Fix")))</f>
        <v>#REF!</v>
      </c>
      <c r="AH379">
        <f ca="1"/>
        <v>376</v>
      </c>
      <c r="AI379">
        <v>100379</v>
      </c>
      <c r="AJ379">
        <v>379</v>
      </c>
      <c r="AK379" t="b">
        <f t="shared" si="5"/>
        <v>1</v>
      </c>
      <c r="AL379" t="b">
        <f>COUNTBLANK(Metadata!B379:AD379)=COLUMNS(Metadata!B379:AD379)</f>
        <v>1</v>
      </c>
      <c r="AM379" t="str">
        <v/>
      </c>
      <c r="AO379" t="b">
        <f ca="1">AND(IF(Metadata!B379="",FALSE,TRUE),COUNTIF(Metadata!B:B, Metadata!B379) = 1,NOT(ISERROR(SUMPRODUCT(SEARCH(MID(Metadata!B379,ROW(INDIRECT("1:"&amp;LEN(Metadata!B379))), 1),"0123456789abcdefghijklmnopqrstuvwxyzABCDEFGHIJKLMNOPQRSTUVWXYZ.")))))</f>
        <v>0</v>
      </c>
      <c r="AP379" t="b">
        <f>IF(Metadata!C379="",FALSE,TRUE)</f>
        <v>0</v>
      </c>
      <c r="AQ379" t="b">
        <f>IF(Metadata!D379="",FALSE,TRUE)</f>
        <v>0</v>
      </c>
      <c r="AR379" t="b">
        <f ca="1">OR(AND(IF(Metadata!E379="",FALSE,TRUE),OR(EXACT(Metadata!E379,"not collected"),EXACT(Metadata!E379,"not provided"),EXACT(Metadata!E379,"restricted access"))),AND(IF(Metadata!E379="",FALSE,TRUE),AND(AND(IFERROR(INT(LEFT(Metadata!E379,4))&gt;1900,FALSE),IFERROR(INT(LEFT(Metadata!E379,4))&lt;=YEAR(NOW()),FALSE)), OR(MID(Metadata!E379,5,1)="", AND(AND(MID(Metadata!E379,5,1)="-",IFERROR(INT(MID(Metadata!E379,6,1))&gt;=0,FALSE),IFERROR(INT(MID(Metadata!E379,6,1))&lt;=1,FALSE),NOT(MID(Metadata!E379,7,1)=""),IFERROR(INT(MID(Metadata!E379,6,2))&gt;=1,FALSE),IFERROR(INT(MID(Metadata!E379,6,2))&lt;=12,FALSE)), OR(MID(Metadata!E379,8,1)="", AND(AND(MID(Metadata!E379,8,1)="-",IFERROR(INT(MID(Metadata!E379,9,1))&gt;=0,FALSE),IFERROR(INT(MID(Metadata!E379,9,1))&lt;=3,FALSE),NOT(MID(Metadata!E379,10,1)=""),IFERROR(INT(MID(Metadata!E379,9,2))&gt;=1,FALSE),IFERROR(INT(MID(Metadata!E379,9,2))&lt;=31,FALSE)), OR(MID(Metadata!E379,11,1)="", AND(AND(MID(Metadata!E379,11,1)=" ",IFERROR(INT(MID(Metadata!E379,12,1))&gt;=0,FALSE),IFERROR(INT(MID(Metadata!E379,12,1))&lt;=2,FALSE),NOT(MID(Metadata!E379,13,1)=""),IFERROR(INT(MID(Metadata!E379,12,2))&gt;=0,FALSE),IFERROR(INT(MID(Metadata!E379,12,2))&lt;=23,FALSE)), OR(MID(Metadata!E379,14,1)="", AND(AND(MID(Metadata!E379,14,1)=":",IFERROR(INT(MID(Metadata!E379,15,1))&gt;=0,FALSE),IFERROR(INT(MID(Metadata!E379,15,1))&lt;=5,FALSE),NOT(MID(Metadata!E379,16,1)=""),IFERROR(INT(MID(Metadata!E379,15,2))&gt;=0,FALSE),IFERROR(INT(MID(Metadata!E379,15,2))&lt;=59,FALSE)), OR(MID(Metadata!E379,17,1)="", AND(AND(MID(Metadata!E379,17,1)=":",IFERROR(INT(MID(Metadata!E379,18,1))&gt;=0,FALSE),IFERROR(INT(MID(Metadata!E379,18,1))&lt;=5,FALSE),NOT(MID(Metadata!E379,19,1)=""),IFERROR(INT(MID(Metadata!E379,18,2))&gt;=0,FALSE),IFERROR(INT(MID(Metadata!E379,18,2))&lt;=59,FALSE)), LEN(Metadata!E379)&lt;=19)))))))))))))</f>
        <v>0</v>
      </c>
      <c r="AS379" t="b">
        <f>IF(Metadata!F379="",FALSE,TRUE)</f>
        <v>0</v>
      </c>
      <c r="AT379" t="b">
        <f>OR(AND(IF(Metadata!G379="",FALSE,TRUE),OR(EXACT(Metadata!G379,"not collected"),EXACT(Metadata!G379,"not provided"))),AND(IF(Metadata!G379="",FALSE,TRUE),OR(EXACT(Metadata!G379,"TRUE"),EXACT(Metadata!G379,"FALSE"))))</f>
        <v>0</v>
      </c>
      <c r="AU379" t="b">
        <f>OR(AND(IF(Metadata!H379="",FALSE,TRUE),OR(EXACT(Metadata!H379,"not collected"),EXACT(Metadata!H379,"not provided"),EXACT(Metadata!H379,"restricted access"))),AND(IF(Metadata!H379="",FALSE,ISNUMBER(VALUE(Metadata!H379))),Metadata!H379&gt;=-413))</f>
        <v>0</v>
      </c>
      <c r="AV379" t="b">
        <f>AND(IF(Metadata!I379="",FALSE,TRUE),EXACT(Metadata!I379,"meters"))</f>
        <v>0</v>
      </c>
      <c r="AW379" t="b">
        <f>AND(IF(Metadata!J379="",FALSE,TRUE),EXACT(Metadata!J379,"free-living"))</f>
        <v>0</v>
      </c>
      <c r="AX379" t="b">
        <f>AND(IF(Metadata!K379="",FALSE,TRUE),OR(EXACT(Metadata!K379,"saline"),EXACT(Metadata!K379,"non-saline")))</f>
        <v>0</v>
      </c>
      <c r="AY379" t="b">
        <f>AND(IF(Metadata!L379="",FALSE,TRUE),OR(EXACT(Metadata!L379,"sub-surface (non-saline)"),EXACT(Metadata!L379,"surface (non-saline)"),EXACT(Metadata!L379,"water (non-saline)"),EXACT(Metadata!L379,"soil (non-saline)"),EXACT(Metadata!L379,"aerosol (non-saline)"),EXACT(Metadata!L379,"sediment (non-saline)"),EXACT(Metadata!L379,"surface (saline)"),EXACT(Metadata!L379,"water (saline)"),EXACT(Metadata!L379,"hypersaline (saline)"),EXACT(Metadata!L379,"aerosol (saline)"),EXACT(Metadata!L379,"sediment (saline)")))</f>
        <v>0</v>
      </c>
      <c r="AZ379" t="b">
        <f>IF(Metadata!M379="",FALSE,TRUE)</f>
        <v>0</v>
      </c>
      <c r="BA379" t="b">
        <f>IF(Metadata!N379="",FALSE,TRUE)</f>
        <v>0</v>
      </c>
      <c r="BB379" t="b">
        <f>IF(Metadata!O379="",FALSE,TRUE)</f>
        <v>0</v>
      </c>
      <c r="BC379" t="b">
        <f>AND(IF(Metadata!P379="",FALSE,TRUE),OR(EXACT(Metadata!P379,"air"),EXACT(Metadata!P379,"microbial mat/biofilm"),EXACT(Metadata!P379,"misc environment"),EXACT(Metadata!P379,"sediment"),EXACT(Metadata!P379,"soil"),EXACT(Metadata!P379,"wastewater/sludge"),EXACT(Metadata!P379,"water")))</f>
        <v>0</v>
      </c>
      <c r="BD379" t="b">
        <f>IF(Metadata!Q379="",FALSE,TRUE)</f>
        <v>0</v>
      </c>
      <c r="BE379" t="b">
        <f>IF(Metadata!R379="",FALSE,TRUE)</f>
        <v>0</v>
      </c>
      <c r="BF379" t="b">
        <f>OR(AND(IF(Metadata!S379="",FALSE,TRUE),OR(EXACT(Metadata!S379,"not collected"),EXACT(Metadata!S379,"not provided"),EXACT(Metadata!S379,"restricted access"))),AND(IF(Metadata!S379="",FALSE,ISNUMBER(VALUE(Metadata!S379))),Metadata!S379&gt;=-90,Metadata!S379&lt;=90))</f>
        <v>0</v>
      </c>
      <c r="BG379" t="b">
        <f>AND(IF(Metadata!T379="",FALSE,TRUE),EXACT(Metadata!T379,"Decimal degrees"))</f>
        <v>0</v>
      </c>
      <c r="BH379" t="b">
        <f>OR(AND(IF(Metadata!U379="",FALSE,TRUE),OR(EXACT(Metadata!U379,"not applicable"),EXACT(Metadata!U379,"not collected"))),IF(Metadata!U379="",FALSE,TRUE))</f>
        <v>0</v>
      </c>
      <c r="BI379" t="b">
        <f>OR(AND(IF(Metadata!V379="",FALSE,TRUE),OR(EXACT(Metadata!V379,"not collected"),EXACT(Metadata!V379,"not provided"),EXACT(Metadata!V379,"restricted access"))),AND(IF(Metadata!V379="",FALSE,ISNUMBER(VALUE(Metadata!V379))),Metadata!V379&gt;=-180,Metadata!V379&lt;=180))</f>
        <v>0</v>
      </c>
      <c r="BJ379" t="b">
        <f>AND(IF(Metadata!W379="",FALSE,TRUE),EXACT(Metadata!W379,"Decimal degrees"))</f>
        <v>0</v>
      </c>
      <c r="BK379" t="b">
        <f>IF(Metadata!X379="",FALSE,TRUE)</f>
        <v>0</v>
      </c>
      <c r="BL379" t="b">
        <f>OR(AND(IF(Metadata!Y379="",FALSE,TRUE),OR(EXACT(Metadata!Y379,"not collected"),EXACT(Metadata!Y379,"not provided"),EXACT(Metadata!Y379,"restricted access"))),AND(IF(Metadata!Y379="",FALSE,TRUE),OR(EXACT(Metadata!Y379,"TRUE"),EXACT(Metadata!Y379,"FALSE"))))</f>
        <v>0</v>
      </c>
      <c r="BM379" t="b">
        <f>OR(AND(IF(Metadata!Z379="",FALSE,TRUE),EXACT(Metadata!Z379,"not applicable")),AND(IF(Metadata!Z379="",FALSE,TRUE),OR(EXACT(Metadata!Z379,"beer"),EXACT(Metadata!Z379,"cheese"),EXACT(Metadata!Z379,"fresh water"),EXACT(Metadata!Z379,"marine sediment"),EXACT(Metadata!Z379,"sea water"),EXACT(Metadata!Z379,"sediment"),EXACT(Metadata!Z379,"soil"),EXACT(Metadata!Z379,"waste water"))))</f>
        <v>0</v>
      </c>
      <c r="BN379" t="b">
        <f>AND(IF(Metadata!AA379="",FALSE,TRUE),EXACT(Metadata!AA379,"metagenome"))</f>
        <v>0</v>
      </c>
      <c r="BO379" t="b">
        <f>AND(IF(Metadata!AB379="",FALSE,TRUE),EXACT(Metadata!AB379,"256318"))</f>
        <v>0</v>
      </c>
      <c r="BP379" t="b">
        <f>IF(Metadata!AC379="",FALSE,TRUE)</f>
        <v>0</v>
      </c>
      <c r="BQ379" t="b">
        <f>IF(Metadata!AD379="",FALSE,TRUE)</f>
        <v>0</v>
      </c>
    </row>
    <row r="380" spans="1:69" x14ac:dyDescent="0.2">
      <c r="A380" s="4" t="e">
        <f ca="1">IF(B380=" "," ",HYPERLINK(CONCATENATE("#metadata!",ADDRESS(INDEX($AJ$2:$AJ$1001,MATCH(ROWS($AH$2:AH380),$AH$2:$AH$1001,0),0),2)),INDEX($AM$2:$AM$1001,MATCH(ROWS($AH$2:AH380),$AH$2:$AH$1001,0),0)))</f>
        <v>#N/A</v>
      </c>
      <c r="B380" s="5" t="e">
        <f ca="1">IF(OR(INDEX($AI$2:$AI$1001,MATCH(ROWS($AH$2:AH380),$AH$2:$AH$1001,0),1)&gt;=100000,INDEX($AO$1005:$BQ$1005,1,MATCH(COLUMNS($AO$1006:AO1006),$AO$1006:$BQ$1006,0))&gt;=100000), " ",IF(INDEX($AO$2:$BQ$1001,MATCH(ROWS($AH$2:AH380),$AH$2:$AH$1001,0),MATCH(COLUMNS($AO$1006:AO1006),$AO$1006:$BQ$1006,0)), HYPERLINK("#",""), HYPERLINK(CONCATENATE("#Metadata!", ADDRESS(INDEX($AJ$2:$AJ$1001,MATCH(ROWS($AH$2:AH380),$AH$2:$AH$1001,0),0), INDEX($AO$1004:$BQ$1004,1,MATCH(COLUMNS($AO$1006:AO1006),$AO$1006:$BQ$1006,0)))),"Fix")))</f>
        <v>#N/A</v>
      </c>
      <c r="C380" s="5" t="e">
        <f ca="1">IF(OR(INDEX($AI$2:$AI$1001,MATCH(ROWS($AH$2:AH380),$AH$2:$AH$1001,0),1)&gt;=100000,INDEX($AO$1005:$BQ$1005,1,MATCH(COLUMNS($AO$1006:AP1006),$AO$1006:$BQ$1006,0))&gt;=100000), " ",IF(INDEX($AO$2:$BQ$1001,MATCH(ROWS($AH$2:AH380),$AH$2:$AH$1001,0),MATCH(COLUMNS($AO$1006:AP1006),$AO$1006:$BQ$1006,0)), HYPERLINK("#",""), HYPERLINK(CONCATENATE("#Metadata!", ADDRESS(INDEX($AJ$2:$AJ$1001,MATCH(ROWS($AH$2:AH380),$AH$2:$AH$1001,0),0), INDEX($AO$1004:$BQ$1004,1,MATCH(COLUMNS($AO$1006:AP1006),$AO$1006:$BQ$1006,0)))),"Fix")))</f>
        <v>#N/A</v>
      </c>
      <c r="D380" s="5" t="e">
        <f ca="1">IF(OR(INDEX($AI$2:$AI$1001,MATCH(ROWS($AH$2:AH380),$AH$2:$AH$1001,0),1)&gt;=100000,INDEX($AO$1005:$BQ$1005,1,MATCH(COLUMNS($AO$1006:AQ1006),$AO$1006:$BQ$1006,0))&gt;=100000), " ",IF(INDEX($AO$2:$BQ$1001,MATCH(ROWS($AH$2:AH380),$AH$2:$AH$1001,0),MATCH(COLUMNS($AO$1006:AQ1006),$AO$1006:$BQ$1006,0)), HYPERLINK("#",""), HYPERLINK(CONCATENATE("#Metadata!", ADDRESS(INDEX($AJ$2:$AJ$1001,MATCH(ROWS($AH$2:AH380),$AH$2:$AH$1001,0),0), INDEX($AO$1004:$BQ$1004,1,MATCH(COLUMNS($AO$1006:AQ1006),$AO$1006:$BQ$1006,0)))),"Fix")))</f>
        <v>#N/A</v>
      </c>
      <c r="E380" s="5" t="e">
        <f ca="1">IF(OR(INDEX($AI$2:$AI$1001,MATCH(ROWS($AH$2:AH380),$AH$2:$AH$1001,0),1)&gt;=100000,INDEX($AO$1005:$BQ$1005,1,MATCH(COLUMNS($AO$1006:AR1006),$AO$1006:$BQ$1006,0))&gt;=100000), " ",IF(INDEX($AO$2:$BQ$1001,MATCH(ROWS($AH$2:AH380),$AH$2:$AH$1001,0),MATCH(COLUMNS($AO$1006:AR1006),$AO$1006:$BQ$1006,0)), HYPERLINK("#",""), HYPERLINK(CONCATENATE("#Metadata!", ADDRESS(INDEX($AJ$2:$AJ$1001,MATCH(ROWS($AH$2:AH380),$AH$2:$AH$1001,0),0), INDEX($AO$1004:$BQ$1004,1,MATCH(COLUMNS($AO$1006:AR1006),$AO$1006:$BQ$1006,0)))),"Fix")))</f>
        <v>#N/A</v>
      </c>
      <c r="F380" s="5" t="e">
        <f ca="1">IF(OR(INDEX($AI$2:$AI$1001,MATCH(ROWS($AH$2:AH380),$AH$2:$AH$1001,0),1)&gt;=100000,INDEX($AO$1005:$BQ$1005,1,MATCH(COLUMNS($AO$1006:AS1006),$AO$1006:$BQ$1006,0))&gt;=100000), " ",IF(INDEX($AO$2:$BQ$1001,MATCH(ROWS($AH$2:AH380),$AH$2:$AH$1001,0),MATCH(COLUMNS($AO$1006:AS1006),$AO$1006:$BQ$1006,0)), HYPERLINK("#",""), HYPERLINK(CONCATENATE("#Metadata!", ADDRESS(INDEX($AJ$2:$AJ$1001,MATCH(ROWS($AH$2:AH380),$AH$2:$AH$1001,0),0), INDEX($AO$1004:$BQ$1004,1,MATCH(COLUMNS($AO$1006:AS1006),$AO$1006:$BQ$1006,0)))),"Fix")))</f>
        <v>#N/A</v>
      </c>
      <c r="G380" s="5" t="e">
        <f ca="1">IF(OR(INDEX($AI$2:$AI$1001,MATCH(ROWS($AH$2:AH380),$AH$2:$AH$1001,0),1)&gt;=100000,INDEX($AO$1005:$BQ$1005,1,MATCH(COLUMNS($AO$1006:AT1006),$AO$1006:$BQ$1006,0))&gt;=100000), " ",IF(INDEX($AO$2:$BQ$1001,MATCH(ROWS($AH$2:AH380),$AH$2:$AH$1001,0),MATCH(COLUMNS($AO$1006:AT1006),$AO$1006:$BQ$1006,0)), HYPERLINK("#",""), HYPERLINK(CONCATENATE("#Metadata!", ADDRESS(INDEX($AJ$2:$AJ$1001,MATCH(ROWS($AH$2:AH380),$AH$2:$AH$1001,0),0), INDEX($AO$1004:$BQ$1004,1,MATCH(COLUMNS($AO$1006:AT1006),$AO$1006:$BQ$1006,0)))),"Fix")))</f>
        <v>#N/A</v>
      </c>
      <c r="H380" s="5" t="e">
        <f ca="1">IF(OR(INDEX($AI$2:$AI$1001,MATCH(ROWS($AH$2:AH380),$AH$2:$AH$1001,0),1)&gt;=100000,INDEX($AO$1005:$BQ$1005,1,MATCH(COLUMNS($AO$1006:AU1006),$AO$1006:$BQ$1006,0))&gt;=100000), " ",IF(INDEX($AO$2:$BQ$1001,MATCH(ROWS($AH$2:AH380),$AH$2:$AH$1001,0),MATCH(COLUMNS($AO$1006:AU1006),$AO$1006:$BQ$1006,0)), HYPERLINK("#",""), HYPERLINK(CONCATENATE("#Metadata!", ADDRESS(INDEX($AJ$2:$AJ$1001,MATCH(ROWS($AH$2:AH380),$AH$2:$AH$1001,0),0), INDEX($AO$1004:$BQ$1004,1,MATCH(COLUMNS($AO$1006:AU1006),$AO$1006:$BQ$1006,0)))),"Fix")))</f>
        <v>#N/A</v>
      </c>
      <c r="I380" s="5" t="e">
        <f ca="1">IF(OR(INDEX($AI$2:$AI$1001,MATCH(ROWS($AH$2:AH380),$AH$2:$AH$1001,0),1)&gt;=100000,INDEX($AO$1005:$BQ$1005,1,MATCH(COLUMNS($AO$1006:AV1006),$AO$1006:$BQ$1006,0))&gt;=100000), " ",IF(INDEX($AO$2:$BQ$1001,MATCH(ROWS($AH$2:AH380),$AH$2:$AH$1001,0),MATCH(COLUMNS($AO$1006:AV1006),$AO$1006:$BQ$1006,0)), HYPERLINK("#",""), HYPERLINK(CONCATENATE("#Metadata!", ADDRESS(INDEX($AJ$2:$AJ$1001,MATCH(ROWS($AH$2:AH380),$AH$2:$AH$1001,0),0), INDEX($AO$1004:$BQ$1004,1,MATCH(COLUMNS($AO$1006:AV1006),$AO$1006:$BQ$1006,0)))),"Fix")))</f>
        <v>#N/A</v>
      </c>
      <c r="J380" s="5" t="e">
        <f ca="1">IF(OR(INDEX($AI$2:$AI$1001,MATCH(ROWS($AH$2:AH380),$AH$2:$AH$1001,0),1)&gt;=100000,INDEX($AO$1005:$BQ$1005,1,MATCH(COLUMNS($AO$1006:AW1006),$AO$1006:$BQ$1006,0))&gt;=100000), " ",IF(INDEX($AO$2:$BQ$1001,MATCH(ROWS($AH$2:AH380),$AH$2:$AH$1001,0),MATCH(COLUMNS($AO$1006:AW1006),$AO$1006:$BQ$1006,0)), HYPERLINK("#",""), HYPERLINK(CONCATENATE("#Metadata!", ADDRESS(INDEX($AJ$2:$AJ$1001,MATCH(ROWS($AH$2:AH380),$AH$2:$AH$1001,0),0), INDEX($AO$1004:$BQ$1004,1,MATCH(COLUMNS($AO$1006:AW1006),$AO$1006:$BQ$1006,0)))),"Fix")))</f>
        <v>#N/A</v>
      </c>
      <c r="K380" s="5" t="e">
        <f ca="1">IF(OR(INDEX($AI$2:$AI$1001,MATCH(ROWS($AH$2:AH380),$AH$2:$AH$1001,0),1)&gt;=100000,INDEX($AO$1005:$BQ$1005,1,MATCH(COLUMNS($AO$1006:AX1006),$AO$1006:$BQ$1006,0))&gt;=100000), " ",IF(INDEX($AO$2:$BQ$1001,MATCH(ROWS($AH$2:AH380),$AH$2:$AH$1001,0),MATCH(COLUMNS($AO$1006:AX1006),$AO$1006:$BQ$1006,0)), HYPERLINK("#",""), HYPERLINK(CONCATENATE("#Metadata!", ADDRESS(INDEX($AJ$2:$AJ$1001,MATCH(ROWS($AH$2:AH380),$AH$2:$AH$1001,0),0), INDEX($AO$1004:$BQ$1004,1,MATCH(COLUMNS($AO$1006:AX1006),$AO$1006:$BQ$1006,0)))),"Fix")))</f>
        <v>#N/A</v>
      </c>
      <c r="L380" s="5" t="e">
        <f ca="1">IF(OR(INDEX($AI$2:$AI$1001,MATCH(ROWS($AH$2:AH380),$AH$2:$AH$1001,0),1)&gt;=100000,INDEX($AO$1005:$BQ$1005,1,MATCH(COLUMNS($AO$1006:AY1006),$AO$1006:$BQ$1006,0))&gt;=100000), " ",IF(INDEX($AO$2:$BQ$1001,MATCH(ROWS($AH$2:AH380),$AH$2:$AH$1001,0),MATCH(COLUMNS($AO$1006:AY1006),$AO$1006:$BQ$1006,0)), HYPERLINK("#",""), HYPERLINK(CONCATENATE("#Metadata!", ADDRESS(INDEX($AJ$2:$AJ$1001,MATCH(ROWS($AH$2:AH380),$AH$2:$AH$1001,0),0), INDEX($AO$1004:$BQ$1004,1,MATCH(COLUMNS($AO$1006:AY1006),$AO$1006:$BQ$1006,0)))),"Fix")))</f>
        <v>#N/A</v>
      </c>
      <c r="M380" s="5" t="e">
        <f ca="1">IF(OR(INDEX($AI$2:$AI$1001,MATCH(ROWS($AH$2:AH380),$AH$2:$AH$1001,0),1)&gt;=100000,INDEX($AO$1005:$BQ$1005,1,MATCH(COLUMNS($AO$1006:AZ1006),$AO$1006:$BQ$1006,0))&gt;=100000), " ",IF(INDEX($AO$2:$BQ$1001,MATCH(ROWS($AH$2:AH380),$AH$2:$AH$1001,0),MATCH(COLUMNS($AO$1006:AZ1006),$AO$1006:$BQ$1006,0)), HYPERLINK("#",""), HYPERLINK(CONCATENATE("#Metadata!", ADDRESS(INDEX($AJ$2:$AJ$1001,MATCH(ROWS($AH$2:AH380),$AH$2:$AH$1001,0),0), INDEX($AO$1004:$BQ$1004,1,MATCH(COLUMNS($AO$1006:AZ1006),$AO$1006:$BQ$1006,0)))),"Fix")))</f>
        <v>#N/A</v>
      </c>
      <c r="N380" s="5" t="e">
        <f ca="1">IF(OR(INDEX($AI$2:$AI$1001,MATCH(ROWS($AH$2:AH380),$AH$2:$AH$1001,0),1)&gt;=100000,INDEX($AO$1005:$BQ$1005,1,MATCH(COLUMNS($AO$1006:BA1006),$AO$1006:$BQ$1006,0))&gt;=100000), " ",IF(INDEX($AO$2:$BQ$1001,MATCH(ROWS($AH$2:AH380),$AH$2:$AH$1001,0),MATCH(COLUMNS($AO$1006:BA1006),$AO$1006:$BQ$1006,0)), HYPERLINK("#",""), HYPERLINK(CONCATENATE("#Metadata!", ADDRESS(INDEX($AJ$2:$AJ$1001,MATCH(ROWS($AH$2:AH380),$AH$2:$AH$1001,0),0), INDEX($AO$1004:$BQ$1004,1,MATCH(COLUMNS($AO$1006:BA1006),$AO$1006:$BQ$1006,0)))),"Fix")))</f>
        <v>#N/A</v>
      </c>
      <c r="O380" s="5" t="e">
        <f ca="1">IF(OR(INDEX($AI$2:$AI$1001,MATCH(ROWS($AH$2:AH380),$AH$2:$AH$1001,0),1)&gt;=100000,INDEX($AO$1005:$BQ$1005,1,MATCH(COLUMNS($AO$1006:BB1006),$AO$1006:$BQ$1006,0))&gt;=100000), " ",IF(INDEX($AO$2:$BQ$1001,MATCH(ROWS($AH$2:AH380),$AH$2:$AH$1001,0),MATCH(COLUMNS($AO$1006:BB1006),$AO$1006:$BQ$1006,0)), HYPERLINK("#",""), HYPERLINK(CONCATENATE("#Metadata!", ADDRESS(INDEX($AJ$2:$AJ$1001,MATCH(ROWS($AH$2:AH380),$AH$2:$AH$1001,0),0), INDEX($AO$1004:$BQ$1004,1,MATCH(COLUMNS($AO$1006:BB1006),$AO$1006:$BQ$1006,0)))),"Fix")))</f>
        <v>#N/A</v>
      </c>
      <c r="P380" s="5" t="e">
        <f ca="1">IF(OR(INDEX($AI$2:$AI$1001,MATCH(ROWS($AH$2:AH380),$AH$2:$AH$1001,0),1)&gt;=100000,INDEX($AO$1005:$BQ$1005,1,MATCH(COLUMNS($AO$1006:BC1006),$AO$1006:$BQ$1006,0))&gt;=100000), " ",IF(INDEX($AO$2:$BQ$1001,MATCH(ROWS($AH$2:AH380),$AH$2:$AH$1001,0),MATCH(COLUMNS($AO$1006:BC1006),$AO$1006:$BQ$1006,0)), HYPERLINK("#",""), HYPERLINK(CONCATENATE("#Metadata!", ADDRESS(INDEX($AJ$2:$AJ$1001,MATCH(ROWS($AH$2:AH380),$AH$2:$AH$1001,0),0), INDEX($AO$1004:$BQ$1004,1,MATCH(COLUMNS($AO$1006:BC1006),$AO$1006:$BQ$1006,0)))),"Fix")))</f>
        <v>#N/A</v>
      </c>
      <c r="Q380" s="5" t="e">
        <f ca="1">IF(OR(INDEX($AI$2:$AI$1001,MATCH(ROWS($AH$2:AH380),$AH$2:$AH$1001,0),1)&gt;=100000,INDEX($AO$1005:$BQ$1005,1,MATCH(COLUMNS($AO$1006:BD1006),$AO$1006:$BQ$1006,0))&gt;=100000), " ",IF(INDEX($AO$2:$BQ$1001,MATCH(ROWS($AH$2:AH380),$AH$2:$AH$1001,0),MATCH(COLUMNS($AO$1006:BD1006),$AO$1006:$BQ$1006,0)), HYPERLINK("#",""), HYPERLINK(CONCATENATE("#Metadata!", ADDRESS(INDEX($AJ$2:$AJ$1001,MATCH(ROWS($AH$2:AH380),$AH$2:$AH$1001,0),0), INDEX($AO$1004:$BQ$1004,1,MATCH(COLUMNS($AO$1006:BD1006),$AO$1006:$BQ$1006,0)))),"Fix")))</f>
        <v>#N/A</v>
      </c>
      <c r="R380" s="5" t="e">
        <f ca="1">IF(OR(INDEX($AI$2:$AI$1001,MATCH(ROWS($AH$2:AH380),$AH$2:$AH$1001,0),1)&gt;=100000,INDEX($AO$1005:$BQ$1005,1,MATCH(COLUMNS($AO$1006:BE1006),$AO$1006:$BQ$1006,0))&gt;=100000), " ",IF(INDEX($AO$2:$BQ$1001,MATCH(ROWS($AH$2:AH380),$AH$2:$AH$1001,0),MATCH(COLUMNS($AO$1006:BE1006),$AO$1006:$BQ$1006,0)), HYPERLINK("#",""), HYPERLINK(CONCATENATE("#Metadata!", ADDRESS(INDEX($AJ$2:$AJ$1001,MATCH(ROWS($AH$2:AH380),$AH$2:$AH$1001,0),0), INDEX($AO$1004:$BQ$1004,1,MATCH(COLUMNS($AO$1006:BE1006),$AO$1006:$BQ$1006,0)))),"Fix")))</f>
        <v>#N/A</v>
      </c>
      <c r="S380" s="5" t="e">
        <f ca="1">IF(OR(INDEX($AI$2:$AI$1001,MATCH(ROWS($AH$2:AH380),$AH$2:$AH$1001,0),1)&gt;=100000,INDEX($AO$1005:$BQ$1005,1,MATCH(COLUMNS($AO$1006:BF1006),$AO$1006:$BQ$1006,0))&gt;=100000), " ",IF(INDEX($AO$2:$BQ$1001,MATCH(ROWS($AH$2:AH380),$AH$2:$AH$1001,0),MATCH(COLUMNS($AO$1006:BF1006),$AO$1006:$BQ$1006,0)), HYPERLINK("#",""), HYPERLINK(CONCATENATE("#Metadata!", ADDRESS(INDEX($AJ$2:$AJ$1001,MATCH(ROWS($AH$2:AH380),$AH$2:$AH$1001,0),0), INDEX($AO$1004:$BQ$1004,1,MATCH(COLUMNS($AO$1006:BF1006),$AO$1006:$BQ$1006,0)))),"Fix")))</f>
        <v>#N/A</v>
      </c>
      <c r="T380" s="5" t="e">
        <f ca="1">IF(OR(INDEX($AI$2:$AI$1001,MATCH(ROWS($AH$2:AH380),$AH$2:$AH$1001,0),1)&gt;=100000,INDEX($AO$1005:$BQ$1005,1,MATCH(COLUMNS($AO$1006:BG1006),$AO$1006:$BQ$1006,0))&gt;=100000), " ",IF(INDEX($AO$2:$BQ$1001,MATCH(ROWS($AH$2:AH380),$AH$2:$AH$1001,0),MATCH(COLUMNS($AO$1006:BG1006),$AO$1006:$BQ$1006,0)), HYPERLINK("#",""), HYPERLINK(CONCATENATE("#Metadata!", ADDRESS(INDEX($AJ$2:$AJ$1001,MATCH(ROWS($AH$2:AH380),$AH$2:$AH$1001,0),0), INDEX($AO$1004:$BQ$1004,1,MATCH(COLUMNS($AO$1006:BG1006),$AO$1006:$BQ$1006,0)))),"Fix")))</f>
        <v>#N/A</v>
      </c>
      <c r="U380" s="5" t="e">
        <f ca="1">IF(OR(INDEX($AI$2:$AI$1001,MATCH(ROWS($AH$2:AH380),$AH$2:$AH$1001,0),1)&gt;=100000,INDEX($AO$1005:$BQ$1005,1,MATCH(COLUMNS($AO$1006:BH1006),$AO$1006:$BQ$1006,0))&gt;=100000), " ",IF(INDEX($AO$2:$BQ$1001,MATCH(ROWS($AH$2:AH380),$AH$2:$AH$1001,0),MATCH(COLUMNS($AO$1006:BH1006),$AO$1006:$BQ$1006,0)), HYPERLINK("#",""), HYPERLINK(CONCATENATE("#Metadata!", ADDRESS(INDEX($AJ$2:$AJ$1001,MATCH(ROWS($AH$2:AH380),$AH$2:$AH$1001,0),0), INDEX($AO$1004:$BQ$1004,1,MATCH(COLUMNS($AO$1006:BH1006),$AO$1006:$BQ$1006,0)))),"Fix")))</f>
        <v>#N/A</v>
      </c>
      <c r="V380" s="5" t="e">
        <f ca="1">IF(OR(INDEX($AI$2:$AI$1001,MATCH(ROWS($AH$2:AH380),$AH$2:$AH$1001,0),1)&gt;=100000,INDEX($AO$1005:$BQ$1005,1,MATCH(COLUMNS($AO$1006:BI1006),$AO$1006:$BQ$1006,0))&gt;=100000), " ",IF(INDEX($AO$2:$BQ$1001,MATCH(ROWS($AH$2:AH380),$AH$2:$AH$1001,0),MATCH(COLUMNS($AO$1006:BI1006),$AO$1006:$BQ$1006,0)), HYPERLINK("#",""), HYPERLINK(CONCATENATE("#Metadata!", ADDRESS(INDEX($AJ$2:$AJ$1001,MATCH(ROWS($AH$2:AH380),$AH$2:$AH$1001,0),0), INDEX($AO$1004:$BQ$1004,1,MATCH(COLUMNS($AO$1006:BI1006),$AO$1006:$BQ$1006,0)))),"Fix")))</f>
        <v>#N/A</v>
      </c>
      <c r="W380" s="5" t="e">
        <f ca="1">IF(OR(INDEX($AI$2:$AI$1001,MATCH(ROWS($AH$2:AH380),$AH$2:$AH$1001,0),1)&gt;=100000,INDEX($AO$1005:$BQ$1005,1,MATCH(COLUMNS($AO$1006:BJ1006),$AO$1006:$BQ$1006,0))&gt;=100000), " ",IF(INDEX($AO$2:$BQ$1001,MATCH(ROWS($AH$2:AH380),$AH$2:$AH$1001,0),MATCH(COLUMNS($AO$1006:BJ1006),$AO$1006:$BQ$1006,0)), HYPERLINK("#",""), HYPERLINK(CONCATENATE("#Metadata!", ADDRESS(INDEX($AJ$2:$AJ$1001,MATCH(ROWS($AH$2:AH380),$AH$2:$AH$1001,0),0), INDEX($AO$1004:$BQ$1004,1,MATCH(COLUMNS($AO$1006:BJ1006),$AO$1006:$BQ$1006,0)))),"Fix")))</f>
        <v>#N/A</v>
      </c>
      <c r="X380" s="5" t="e">
        <f ca="1">IF(OR(INDEX($AI$2:$AI$1001,MATCH(ROWS($AH$2:AH380),$AH$2:$AH$1001,0),1)&gt;=100000,INDEX($AO$1005:$BQ$1005,1,MATCH(COLUMNS($AO$1006:BK1006),$AO$1006:$BQ$1006,0))&gt;=100000), " ",IF(INDEX($AO$2:$BQ$1001,MATCH(ROWS($AH$2:AH380),$AH$2:$AH$1001,0),MATCH(COLUMNS($AO$1006:BK1006),$AO$1006:$BQ$1006,0)), HYPERLINK("#",""), HYPERLINK(CONCATENATE("#Metadata!", ADDRESS(INDEX($AJ$2:$AJ$1001,MATCH(ROWS($AH$2:AH380),$AH$2:$AH$1001,0),0), INDEX($AO$1004:$BQ$1004,1,MATCH(COLUMNS($AO$1006:BK1006),$AO$1006:$BQ$1006,0)))),"Fix")))</f>
        <v>#N/A</v>
      </c>
      <c r="Y380" s="5" t="e">
        <f ca="1">IF(OR(INDEX($AI$2:$AI$1001,MATCH(ROWS($AH$2:AH380),$AH$2:$AH$1001,0),1)&gt;=100000,INDEX($AO$1005:$BQ$1005,1,MATCH(COLUMNS($AO$1006:BL1006),$AO$1006:$BQ$1006,0))&gt;=100000), " ",IF(INDEX($AO$2:$BQ$1001,MATCH(ROWS($AH$2:AH380),$AH$2:$AH$1001,0),MATCH(COLUMNS($AO$1006:BL1006),$AO$1006:$BQ$1006,0)), HYPERLINK("#",""), HYPERLINK(CONCATENATE("#Metadata!", ADDRESS(INDEX($AJ$2:$AJ$1001,MATCH(ROWS($AH$2:AH380),$AH$2:$AH$1001,0),0), INDEX($AO$1004:$BQ$1004,1,MATCH(COLUMNS($AO$1006:BL1006),$AO$1006:$BQ$1006,0)))),"Fix")))</f>
        <v>#N/A</v>
      </c>
      <c r="Z380" s="5" t="e">
        <f ca="1">IF(OR(INDEX($AI$2:$AI$1001,MATCH(ROWS($AH$2:AH380),$AH$2:$AH$1001,0),1)&gt;=100000,INDEX($AO$1005:$BQ$1005,1,MATCH(COLUMNS($AO$1006:BM1006),$AO$1006:$BQ$1006,0))&gt;=100000), " ",IF(INDEX($AO$2:$BQ$1001,MATCH(ROWS($AH$2:AH380),$AH$2:$AH$1001,0),MATCH(COLUMNS($AO$1006:BM1006),$AO$1006:$BQ$1006,0)), HYPERLINK("#",""), HYPERLINK(CONCATENATE("#Metadata!", ADDRESS(INDEX($AJ$2:$AJ$1001,MATCH(ROWS($AH$2:AH380),$AH$2:$AH$1001,0),0), INDEX($AO$1004:$BQ$1004,1,MATCH(COLUMNS($AO$1006:BM1006),$AO$1006:$BQ$1006,0)))),"Fix")))</f>
        <v>#N/A</v>
      </c>
      <c r="AA380" s="5" t="e">
        <f ca="1">IF(OR(INDEX($AI$2:$AI$1001,MATCH(ROWS($AH$2:AH380),$AH$2:$AH$1001,0),1)&gt;=100000,INDEX($AO$1005:$BQ$1005,1,MATCH(COLUMNS($AO$1006:BN1006),$AO$1006:$BQ$1006,0))&gt;=100000), " ",IF(INDEX($AO$2:$BQ$1001,MATCH(ROWS($AH$2:AH380),$AH$2:$AH$1001,0),MATCH(COLUMNS($AO$1006:BN1006),$AO$1006:$BQ$1006,0)), HYPERLINK("#",""), HYPERLINK(CONCATENATE("#Metadata!", ADDRESS(INDEX($AJ$2:$AJ$1001,MATCH(ROWS($AH$2:AH380),$AH$2:$AH$1001,0),0), INDEX($AO$1004:$BQ$1004,1,MATCH(COLUMNS($AO$1006:BN1006),$AO$1006:$BQ$1006,0)))),"Fix")))</f>
        <v>#N/A</v>
      </c>
      <c r="AB380" s="5" t="e">
        <f ca="1">IF(OR(INDEX($AI$2:$AI$1001,MATCH(ROWS($AH$2:AH380),$AH$2:$AH$1001,0),1)&gt;=100000,INDEX($AO$1005:$BQ$1005,1,MATCH(COLUMNS($AO$1006:BO1006),$AO$1006:$BQ$1006,0))&gt;=100000), " ",IF(INDEX($AO$2:$BQ$1001,MATCH(ROWS($AH$2:AH380),$AH$2:$AH$1001,0),MATCH(COLUMNS($AO$1006:BO1006),$AO$1006:$BQ$1006,0)), HYPERLINK("#",""), HYPERLINK(CONCATENATE("#Metadata!", ADDRESS(INDEX($AJ$2:$AJ$1001,MATCH(ROWS($AH$2:AH380),$AH$2:$AH$1001,0),0), INDEX($AO$1004:$BQ$1004,1,MATCH(COLUMNS($AO$1006:BO1006),$AO$1006:$BQ$1006,0)))),"Fix")))</f>
        <v>#N/A</v>
      </c>
      <c r="AC380" s="5" t="e">
        <f ca="1">IF(OR(INDEX($AI$2:$AI$1001,MATCH(ROWS($AH$2:AH380),$AH$2:$AH$1001,0),1)&gt;=100000,INDEX($AO$1005:$BQ$1005,1,MATCH(COLUMNS($AO$1006:BP1006),$AO$1006:$BQ$1006,0))&gt;=100000), " ",IF(INDEX($AO$2:$BQ$1001,MATCH(ROWS($AH$2:AH380),$AH$2:$AH$1001,0),MATCH(COLUMNS($AO$1006:BP1006),$AO$1006:$BQ$1006,0)), HYPERLINK("#",""), HYPERLINK(CONCATENATE("#Metadata!", ADDRESS(INDEX($AJ$2:$AJ$1001,MATCH(ROWS($AH$2:AH380),$AH$2:$AH$1001,0),0), INDEX($AO$1004:$BQ$1004,1,MATCH(COLUMNS($AO$1006:BP1006),$AO$1006:$BQ$1006,0)))),"Fix")))</f>
        <v>#N/A</v>
      </c>
      <c r="AD380" s="5" t="e">
        <f ca="1">IF(OR(INDEX($AI$2:$AI$1001,MATCH(ROWS($AH$2:AH380),$AH$2:$AH$1001,0),1)&gt;=100000,INDEX($AO$1005:$BQ$1005,1,MATCH(COLUMNS($AO$1006:BQ1006),$AO$1006:$BQ$1006,0))&gt;=100000), " ",IF(INDEX($AO$2:$BQ$1001,MATCH(ROWS($AH$2:AH380),$AH$2:$AH$1001,0),MATCH(COLUMNS($AO$1006:BQ1006),$AO$1006:$BQ$1006,0)), HYPERLINK("#",""), HYPERLINK(CONCATENATE("#Metadata!", ADDRESS(INDEX($AJ$2:$AJ$1001,MATCH(ROWS($AH$2:AH380),$AH$2:$AH$1001,0),0), INDEX($AO$1004:$BQ$1004,1,MATCH(COLUMNS($AO$1006:BQ1006),$AO$1006:$BQ$1006,0)))),"Fix")))</f>
        <v>#REF!</v>
      </c>
      <c r="AH380">
        <f ca="1"/>
        <v>377</v>
      </c>
      <c r="AI380">
        <v>100380</v>
      </c>
      <c r="AJ380">
        <v>380</v>
      </c>
      <c r="AK380" t="b">
        <f t="shared" si="5"/>
        <v>1</v>
      </c>
      <c r="AL380" t="b">
        <f>COUNTBLANK(Metadata!B380:AD380)=COLUMNS(Metadata!B380:AD380)</f>
        <v>1</v>
      </c>
      <c r="AM380" t="str">
        <v/>
      </c>
      <c r="AO380" t="b">
        <f ca="1">AND(IF(Metadata!B380="",FALSE,TRUE),COUNTIF(Metadata!B:B, Metadata!B380) = 1,NOT(ISERROR(SUMPRODUCT(SEARCH(MID(Metadata!B380,ROW(INDIRECT("1:"&amp;LEN(Metadata!B380))), 1),"0123456789abcdefghijklmnopqrstuvwxyzABCDEFGHIJKLMNOPQRSTUVWXYZ.")))))</f>
        <v>0</v>
      </c>
      <c r="AP380" t="b">
        <f>IF(Metadata!C380="",FALSE,TRUE)</f>
        <v>0</v>
      </c>
      <c r="AQ380" t="b">
        <f>IF(Metadata!D380="",FALSE,TRUE)</f>
        <v>0</v>
      </c>
      <c r="AR380" t="b">
        <f ca="1">OR(AND(IF(Metadata!E380="",FALSE,TRUE),OR(EXACT(Metadata!E380,"not collected"),EXACT(Metadata!E380,"not provided"),EXACT(Metadata!E380,"restricted access"))),AND(IF(Metadata!E380="",FALSE,TRUE),AND(AND(IFERROR(INT(LEFT(Metadata!E380,4))&gt;1900,FALSE),IFERROR(INT(LEFT(Metadata!E380,4))&lt;=YEAR(NOW()),FALSE)), OR(MID(Metadata!E380,5,1)="", AND(AND(MID(Metadata!E380,5,1)="-",IFERROR(INT(MID(Metadata!E380,6,1))&gt;=0,FALSE),IFERROR(INT(MID(Metadata!E380,6,1))&lt;=1,FALSE),NOT(MID(Metadata!E380,7,1)=""),IFERROR(INT(MID(Metadata!E380,6,2))&gt;=1,FALSE),IFERROR(INT(MID(Metadata!E380,6,2))&lt;=12,FALSE)), OR(MID(Metadata!E380,8,1)="", AND(AND(MID(Metadata!E380,8,1)="-",IFERROR(INT(MID(Metadata!E380,9,1))&gt;=0,FALSE),IFERROR(INT(MID(Metadata!E380,9,1))&lt;=3,FALSE),NOT(MID(Metadata!E380,10,1)=""),IFERROR(INT(MID(Metadata!E380,9,2))&gt;=1,FALSE),IFERROR(INT(MID(Metadata!E380,9,2))&lt;=31,FALSE)), OR(MID(Metadata!E380,11,1)="", AND(AND(MID(Metadata!E380,11,1)=" ",IFERROR(INT(MID(Metadata!E380,12,1))&gt;=0,FALSE),IFERROR(INT(MID(Metadata!E380,12,1))&lt;=2,FALSE),NOT(MID(Metadata!E380,13,1)=""),IFERROR(INT(MID(Metadata!E380,12,2))&gt;=0,FALSE),IFERROR(INT(MID(Metadata!E380,12,2))&lt;=23,FALSE)), OR(MID(Metadata!E380,14,1)="", AND(AND(MID(Metadata!E380,14,1)=":",IFERROR(INT(MID(Metadata!E380,15,1))&gt;=0,FALSE),IFERROR(INT(MID(Metadata!E380,15,1))&lt;=5,FALSE),NOT(MID(Metadata!E380,16,1)=""),IFERROR(INT(MID(Metadata!E380,15,2))&gt;=0,FALSE),IFERROR(INT(MID(Metadata!E380,15,2))&lt;=59,FALSE)), OR(MID(Metadata!E380,17,1)="", AND(AND(MID(Metadata!E380,17,1)=":",IFERROR(INT(MID(Metadata!E380,18,1))&gt;=0,FALSE),IFERROR(INT(MID(Metadata!E380,18,1))&lt;=5,FALSE),NOT(MID(Metadata!E380,19,1)=""),IFERROR(INT(MID(Metadata!E380,18,2))&gt;=0,FALSE),IFERROR(INT(MID(Metadata!E380,18,2))&lt;=59,FALSE)), LEN(Metadata!E380)&lt;=19)))))))))))))</f>
        <v>0</v>
      </c>
      <c r="AS380" t="b">
        <f>IF(Metadata!F380="",FALSE,TRUE)</f>
        <v>0</v>
      </c>
      <c r="AT380" t="b">
        <f>OR(AND(IF(Metadata!G380="",FALSE,TRUE),OR(EXACT(Metadata!G380,"not collected"),EXACT(Metadata!G380,"not provided"))),AND(IF(Metadata!G380="",FALSE,TRUE),OR(EXACT(Metadata!G380,"TRUE"),EXACT(Metadata!G380,"FALSE"))))</f>
        <v>0</v>
      </c>
      <c r="AU380" t="b">
        <f>OR(AND(IF(Metadata!H380="",FALSE,TRUE),OR(EXACT(Metadata!H380,"not collected"),EXACT(Metadata!H380,"not provided"),EXACT(Metadata!H380,"restricted access"))),AND(IF(Metadata!H380="",FALSE,ISNUMBER(VALUE(Metadata!H380))),Metadata!H380&gt;=-413))</f>
        <v>0</v>
      </c>
      <c r="AV380" t="b">
        <f>AND(IF(Metadata!I380="",FALSE,TRUE),EXACT(Metadata!I380,"meters"))</f>
        <v>0</v>
      </c>
      <c r="AW380" t="b">
        <f>AND(IF(Metadata!J380="",FALSE,TRUE),EXACT(Metadata!J380,"free-living"))</f>
        <v>0</v>
      </c>
      <c r="AX380" t="b">
        <f>AND(IF(Metadata!K380="",FALSE,TRUE),OR(EXACT(Metadata!K380,"saline"),EXACT(Metadata!K380,"non-saline")))</f>
        <v>0</v>
      </c>
      <c r="AY380" t="b">
        <f>AND(IF(Metadata!L380="",FALSE,TRUE),OR(EXACT(Metadata!L380,"sub-surface (non-saline)"),EXACT(Metadata!L380,"surface (non-saline)"),EXACT(Metadata!L380,"water (non-saline)"),EXACT(Metadata!L380,"soil (non-saline)"),EXACT(Metadata!L380,"aerosol (non-saline)"),EXACT(Metadata!L380,"sediment (non-saline)"),EXACT(Metadata!L380,"surface (saline)"),EXACT(Metadata!L380,"water (saline)"),EXACT(Metadata!L380,"hypersaline (saline)"),EXACT(Metadata!L380,"aerosol (saline)"),EXACT(Metadata!L380,"sediment (saline)")))</f>
        <v>0</v>
      </c>
      <c r="AZ380" t="b">
        <f>IF(Metadata!M380="",FALSE,TRUE)</f>
        <v>0</v>
      </c>
      <c r="BA380" t="b">
        <f>IF(Metadata!N380="",FALSE,TRUE)</f>
        <v>0</v>
      </c>
      <c r="BB380" t="b">
        <f>IF(Metadata!O380="",FALSE,TRUE)</f>
        <v>0</v>
      </c>
      <c r="BC380" t="b">
        <f>AND(IF(Metadata!P380="",FALSE,TRUE),OR(EXACT(Metadata!P380,"air"),EXACT(Metadata!P380,"microbial mat/biofilm"),EXACT(Metadata!P380,"misc environment"),EXACT(Metadata!P380,"sediment"),EXACT(Metadata!P380,"soil"),EXACT(Metadata!P380,"wastewater/sludge"),EXACT(Metadata!P380,"water")))</f>
        <v>0</v>
      </c>
      <c r="BD380" t="b">
        <f>IF(Metadata!Q380="",FALSE,TRUE)</f>
        <v>0</v>
      </c>
      <c r="BE380" t="b">
        <f>IF(Metadata!R380="",FALSE,TRUE)</f>
        <v>0</v>
      </c>
      <c r="BF380" t="b">
        <f>OR(AND(IF(Metadata!S380="",FALSE,TRUE),OR(EXACT(Metadata!S380,"not collected"),EXACT(Metadata!S380,"not provided"),EXACT(Metadata!S380,"restricted access"))),AND(IF(Metadata!S380="",FALSE,ISNUMBER(VALUE(Metadata!S380))),Metadata!S380&gt;=-90,Metadata!S380&lt;=90))</f>
        <v>0</v>
      </c>
      <c r="BG380" t="b">
        <f>AND(IF(Metadata!T380="",FALSE,TRUE),EXACT(Metadata!T380,"Decimal degrees"))</f>
        <v>0</v>
      </c>
      <c r="BH380" t="b">
        <f>OR(AND(IF(Metadata!U380="",FALSE,TRUE),OR(EXACT(Metadata!U380,"not applicable"),EXACT(Metadata!U380,"not collected"))),IF(Metadata!U380="",FALSE,TRUE))</f>
        <v>0</v>
      </c>
      <c r="BI380" t="b">
        <f>OR(AND(IF(Metadata!V380="",FALSE,TRUE),OR(EXACT(Metadata!V380,"not collected"),EXACT(Metadata!V380,"not provided"),EXACT(Metadata!V380,"restricted access"))),AND(IF(Metadata!V380="",FALSE,ISNUMBER(VALUE(Metadata!V380))),Metadata!V380&gt;=-180,Metadata!V380&lt;=180))</f>
        <v>0</v>
      </c>
      <c r="BJ380" t="b">
        <f>AND(IF(Metadata!W380="",FALSE,TRUE),EXACT(Metadata!W380,"Decimal degrees"))</f>
        <v>0</v>
      </c>
      <c r="BK380" t="b">
        <f>IF(Metadata!X380="",FALSE,TRUE)</f>
        <v>0</v>
      </c>
      <c r="BL380" t="b">
        <f>OR(AND(IF(Metadata!Y380="",FALSE,TRUE),OR(EXACT(Metadata!Y380,"not collected"),EXACT(Metadata!Y380,"not provided"),EXACT(Metadata!Y380,"restricted access"))),AND(IF(Metadata!Y380="",FALSE,TRUE),OR(EXACT(Metadata!Y380,"TRUE"),EXACT(Metadata!Y380,"FALSE"))))</f>
        <v>0</v>
      </c>
      <c r="BM380" t="b">
        <f>OR(AND(IF(Metadata!Z380="",FALSE,TRUE),EXACT(Metadata!Z380,"not applicable")),AND(IF(Metadata!Z380="",FALSE,TRUE),OR(EXACT(Metadata!Z380,"beer"),EXACT(Metadata!Z380,"cheese"),EXACT(Metadata!Z380,"fresh water"),EXACT(Metadata!Z380,"marine sediment"),EXACT(Metadata!Z380,"sea water"),EXACT(Metadata!Z380,"sediment"),EXACT(Metadata!Z380,"soil"),EXACT(Metadata!Z380,"waste water"))))</f>
        <v>0</v>
      </c>
      <c r="BN380" t="b">
        <f>AND(IF(Metadata!AA380="",FALSE,TRUE),EXACT(Metadata!AA380,"metagenome"))</f>
        <v>0</v>
      </c>
      <c r="BO380" t="b">
        <f>AND(IF(Metadata!AB380="",FALSE,TRUE),EXACT(Metadata!AB380,"256318"))</f>
        <v>0</v>
      </c>
      <c r="BP380" t="b">
        <f>IF(Metadata!AC380="",FALSE,TRUE)</f>
        <v>0</v>
      </c>
      <c r="BQ380" t="b">
        <f>IF(Metadata!AD380="",FALSE,TRUE)</f>
        <v>0</v>
      </c>
    </row>
    <row r="381" spans="1:69" x14ac:dyDescent="0.2">
      <c r="A381" s="4" t="e">
        <f ca="1">IF(B381=" "," ",HYPERLINK(CONCATENATE("#metadata!",ADDRESS(INDEX($AJ$2:$AJ$1001,MATCH(ROWS($AH$2:AH381),$AH$2:$AH$1001,0),0),2)),INDEX($AM$2:$AM$1001,MATCH(ROWS($AH$2:AH381),$AH$2:$AH$1001,0),0)))</f>
        <v>#N/A</v>
      </c>
      <c r="B381" s="5" t="e">
        <f ca="1">IF(OR(INDEX($AI$2:$AI$1001,MATCH(ROWS($AH$2:AH381),$AH$2:$AH$1001,0),1)&gt;=100000,INDEX($AO$1005:$BQ$1005,1,MATCH(COLUMNS($AO$1006:AO1006),$AO$1006:$BQ$1006,0))&gt;=100000), " ",IF(INDEX($AO$2:$BQ$1001,MATCH(ROWS($AH$2:AH381),$AH$2:$AH$1001,0),MATCH(COLUMNS($AO$1006:AO1006),$AO$1006:$BQ$1006,0)), HYPERLINK("#",""), HYPERLINK(CONCATENATE("#Metadata!", ADDRESS(INDEX($AJ$2:$AJ$1001,MATCH(ROWS($AH$2:AH381),$AH$2:$AH$1001,0),0), INDEX($AO$1004:$BQ$1004,1,MATCH(COLUMNS($AO$1006:AO1006),$AO$1006:$BQ$1006,0)))),"Fix")))</f>
        <v>#N/A</v>
      </c>
      <c r="C381" s="5" t="e">
        <f ca="1">IF(OR(INDEX($AI$2:$AI$1001,MATCH(ROWS($AH$2:AH381),$AH$2:$AH$1001,0),1)&gt;=100000,INDEX($AO$1005:$BQ$1005,1,MATCH(COLUMNS($AO$1006:AP1006),$AO$1006:$BQ$1006,0))&gt;=100000), " ",IF(INDEX($AO$2:$BQ$1001,MATCH(ROWS($AH$2:AH381),$AH$2:$AH$1001,0),MATCH(COLUMNS($AO$1006:AP1006),$AO$1006:$BQ$1006,0)), HYPERLINK("#",""), HYPERLINK(CONCATENATE("#Metadata!", ADDRESS(INDEX($AJ$2:$AJ$1001,MATCH(ROWS($AH$2:AH381),$AH$2:$AH$1001,0),0), INDEX($AO$1004:$BQ$1004,1,MATCH(COLUMNS($AO$1006:AP1006),$AO$1006:$BQ$1006,0)))),"Fix")))</f>
        <v>#N/A</v>
      </c>
      <c r="D381" s="5" t="e">
        <f ca="1">IF(OR(INDEX($AI$2:$AI$1001,MATCH(ROWS($AH$2:AH381),$AH$2:$AH$1001,0),1)&gt;=100000,INDEX($AO$1005:$BQ$1005,1,MATCH(COLUMNS($AO$1006:AQ1006),$AO$1006:$BQ$1006,0))&gt;=100000), " ",IF(INDEX($AO$2:$BQ$1001,MATCH(ROWS($AH$2:AH381),$AH$2:$AH$1001,0),MATCH(COLUMNS($AO$1006:AQ1006),$AO$1006:$BQ$1006,0)), HYPERLINK("#",""), HYPERLINK(CONCATENATE("#Metadata!", ADDRESS(INDEX($AJ$2:$AJ$1001,MATCH(ROWS($AH$2:AH381),$AH$2:$AH$1001,0),0), INDEX($AO$1004:$BQ$1004,1,MATCH(COLUMNS($AO$1006:AQ1006),$AO$1006:$BQ$1006,0)))),"Fix")))</f>
        <v>#N/A</v>
      </c>
      <c r="E381" s="5" t="e">
        <f ca="1">IF(OR(INDEX($AI$2:$AI$1001,MATCH(ROWS($AH$2:AH381),$AH$2:$AH$1001,0),1)&gt;=100000,INDEX($AO$1005:$BQ$1005,1,MATCH(COLUMNS($AO$1006:AR1006),$AO$1006:$BQ$1006,0))&gt;=100000), " ",IF(INDEX($AO$2:$BQ$1001,MATCH(ROWS($AH$2:AH381),$AH$2:$AH$1001,0),MATCH(COLUMNS($AO$1006:AR1006),$AO$1006:$BQ$1006,0)), HYPERLINK("#",""), HYPERLINK(CONCATENATE("#Metadata!", ADDRESS(INDEX($AJ$2:$AJ$1001,MATCH(ROWS($AH$2:AH381),$AH$2:$AH$1001,0),0), INDEX($AO$1004:$BQ$1004,1,MATCH(COLUMNS($AO$1006:AR1006),$AO$1006:$BQ$1006,0)))),"Fix")))</f>
        <v>#N/A</v>
      </c>
      <c r="F381" s="5" t="e">
        <f ca="1">IF(OR(INDEX($AI$2:$AI$1001,MATCH(ROWS($AH$2:AH381),$AH$2:$AH$1001,0),1)&gt;=100000,INDEX($AO$1005:$BQ$1005,1,MATCH(COLUMNS($AO$1006:AS1006),$AO$1006:$BQ$1006,0))&gt;=100000), " ",IF(INDEX($AO$2:$BQ$1001,MATCH(ROWS($AH$2:AH381),$AH$2:$AH$1001,0),MATCH(COLUMNS($AO$1006:AS1006),$AO$1006:$BQ$1006,0)), HYPERLINK("#",""), HYPERLINK(CONCATENATE("#Metadata!", ADDRESS(INDEX($AJ$2:$AJ$1001,MATCH(ROWS($AH$2:AH381),$AH$2:$AH$1001,0),0), INDEX($AO$1004:$BQ$1004,1,MATCH(COLUMNS($AO$1006:AS1006),$AO$1006:$BQ$1006,0)))),"Fix")))</f>
        <v>#N/A</v>
      </c>
      <c r="G381" s="5" t="e">
        <f ca="1">IF(OR(INDEX($AI$2:$AI$1001,MATCH(ROWS($AH$2:AH381),$AH$2:$AH$1001,0),1)&gt;=100000,INDEX($AO$1005:$BQ$1005,1,MATCH(COLUMNS($AO$1006:AT1006),$AO$1006:$BQ$1006,0))&gt;=100000), " ",IF(INDEX($AO$2:$BQ$1001,MATCH(ROWS($AH$2:AH381),$AH$2:$AH$1001,0),MATCH(COLUMNS($AO$1006:AT1006),$AO$1006:$BQ$1006,0)), HYPERLINK("#",""), HYPERLINK(CONCATENATE("#Metadata!", ADDRESS(INDEX($AJ$2:$AJ$1001,MATCH(ROWS($AH$2:AH381),$AH$2:$AH$1001,0),0), INDEX($AO$1004:$BQ$1004,1,MATCH(COLUMNS($AO$1006:AT1006),$AO$1006:$BQ$1006,0)))),"Fix")))</f>
        <v>#N/A</v>
      </c>
      <c r="H381" s="5" t="e">
        <f ca="1">IF(OR(INDEX($AI$2:$AI$1001,MATCH(ROWS($AH$2:AH381),$AH$2:$AH$1001,0),1)&gt;=100000,INDEX($AO$1005:$BQ$1005,1,MATCH(COLUMNS($AO$1006:AU1006),$AO$1006:$BQ$1006,0))&gt;=100000), " ",IF(INDEX($AO$2:$BQ$1001,MATCH(ROWS($AH$2:AH381),$AH$2:$AH$1001,0),MATCH(COLUMNS($AO$1006:AU1006),$AO$1006:$BQ$1006,0)), HYPERLINK("#",""), HYPERLINK(CONCATENATE("#Metadata!", ADDRESS(INDEX($AJ$2:$AJ$1001,MATCH(ROWS($AH$2:AH381),$AH$2:$AH$1001,0),0), INDEX($AO$1004:$BQ$1004,1,MATCH(COLUMNS($AO$1006:AU1006),$AO$1006:$BQ$1006,0)))),"Fix")))</f>
        <v>#N/A</v>
      </c>
      <c r="I381" s="5" t="e">
        <f ca="1">IF(OR(INDEX($AI$2:$AI$1001,MATCH(ROWS($AH$2:AH381),$AH$2:$AH$1001,0),1)&gt;=100000,INDEX($AO$1005:$BQ$1005,1,MATCH(COLUMNS($AO$1006:AV1006),$AO$1006:$BQ$1006,0))&gt;=100000), " ",IF(INDEX($AO$2:$BQ$1001,MATCH(ROWS($AH$2:AH381),$AH$2:$AH$1001,0),MATCH(COLUMNS($AO$1006:AV1006),$AO$1006:$BQ$1006,0)), HYPERLINK("#",""), HYPERLINK(CONCATENATE("#Metadata!", ADDRESS(INDEX($AJ$2:$AJ$1001,MATCH(ROWS($AH$2:AH381),$AH$2:$AH$1001,0),0), INDEX($AO$1004:$BQ$1004,1,MATCH(COLUMNS($AO$1006:AV1006),$AO$1006:$BQ$1006,0)))),"Fix")))</f>
        <v>#N/A</v>
      </c>
      <c r="J381" s="5" t="e">
        <f ca="1">IF(OR(INDEX($AI$2:$AI$1001,MATCH(ROWS($AH$2:AH381),$AH$2:$AH$1001,0),1)&gt;=100000,INDEX($AO$1005:$BQ$1005,1,MATCH(COLUMNS($AO$1006:AW1006),$AO$1006:$BQ$1006,0))&gt;=100000), " ",IF(INDEX($AO$2:$BQ$1001,MATCH(ROWS($AH$2:AH381),$AH$2:$AH$1001,0),MATCH(COLUMNS($AO$1006:AW1006),$AO$1006:$BQ$1006,0)), HYPERLINK("#",""), HYPERLINK(CONCATENATE("#Metadata!", ADDRESS(INDEX($AJ$2:$AJ$1001,MATCH(ROWS($AH$2:AH381),$AH$2:$AH$1001,0),0), INDEX($AO$1004:$BQ$1004,1,MATCH(COLUMNS($AO$1006:AW1006),$AO$1006:$BQ$1006,0)))),"Fix")))</f>
        <v>#N/A</v>
      </c>
      <c r="K381" s="5" t="e">
        <f ca="1">IF(OR(INDEX($AI$2:$AI$1001,MATCH(ROWS($AH$2:AH381),$AH$2:$AH$1001,0),1)&gt;=100000,INDEX($AO$1005:$BQ$1005,1,MATCH(COLUMNS($AO$1006:AX1006),$AO$1006:$BQ$1006,0))&gt;=100000), " ",IF(INDEX($AO$2:$BQ$1001,MATCH(ROWS($AH$2:AH381),$AH$2:$AH$1001,0),MATCH(COLUMNS($AO$1006:AX1006),$AO$1006:$BQ$1006,0)), HYPERLINK("#",""), HYPERLINK(CONCATENATE("#Metadata!", ADDRESS(INDEX($AJ$2:$AJ$1001,MATCH(ROWS($AH$2:AH381),$AH$2:$AH$1001,0),0), INDEX($AO$1004:$BQ$1004,1,MATCH(COLUMNS($AO$1006:AX1006),$AO$1006:$BQ$1006,0)))),"Fix")))</f>
        <v>#N/A</v>
      </c>
      <c r="L381" s="5" t="e">
        <f ca="1">IF(OR(INDEX($AI$2:$AI$1001,MATCH(ROWS($AH$2:AH381),$AH$2:$AH$1001,0),1)&gt;=100000,INDEX($AO$1005:$BQ$1005,1,MATCH(COLUMNS($AO$1006:AY1006),$AO$1006:$BQ$1006,0))&gt;=100000), " ",IF(INDEX($AO$2:$BQ$1001,MATCH(ROWS($AH$2:AH381),$AH$2:$AH$1001,0),MATCH(COLUMNS($AO$1006:AY1006),$AO$1006:$BQ$1006,0)), HYPERLINK("#",""), HYPERLINK(CONCATENATE("#Metadata!", ADDRESS(INDEX($AJ$2:$AJ$1001,MATCH(ROWS($AH$2:AH381),$AH$2:$AH$1001,0),0), INDEX($AO$1004:$BQ$1004,1,MATCH(COLUMNS($AO$1006:AY1006),$AO$1006:$BQ$1006,0)))),"Fix")))</f>
        <v>#N/A</v>
      </c>
      <c r="M381" s="5" t="e">
        <f ca="1">IF(OR(INDEX($AI$2:$AI$1001,MATCH(ROWS($AH$2:AH381),$AH$2:$AH$1001,0),1)&gt;=100000,INDEX($AO$1005:$BQ$1005,1,MATCH(COLUMNS($AO$1006:AZ1006),$AO$1006:$BQ$1006,0))&gt;=100000), " ",IF(INDEX($AO$2:$BQ$1001,MATCH(ROWS($AH$2:AH381),$AH$2:$AH$1001,0),MATCH(COLUMNS($AO$1006:AZ1006),$AO$1006:$BQ$1006,0)), HYPERLINK("#",""), HYPERLINK(CONCATENATE("#Metadata!", ADDRESS(INDEX($AJ$2:$AJ$1001,MATCH(ROWS($AH$2:AH381),$AH$2:$AH$1001,0),0), INDEX($AO$1004:$BQ$1004,1,MATCH(COLUMNS($AO$1006:AZ1006),$AO$1006:$BQ$1006,0)))),"Fix")))</f>
        <v>#N/A</v>
      </c>
      <c r="N381" s="5" t="e">
        <f ca="1">IF(OR(INDEX($AI$2:$AI$1001,MATCH(ROWS($AH$2:AH381),$AH$2:$AH$1001,0),1)&gt;=100000,INDEX($AO$1005:$BQ$1005,1,MATCH(COLUMNS($AO$1006:BA1006),$AO$1006:$BQ$1006,0))&gt;=100000), " ",IF(INDEX($AO$2:$BQ$1001,MATCH(ROWS($AH$2:AH381),$AH$2:$AH$1001,0),MATCH(COLUMNS($AO$1006:BA1006),$AO$1006:$BQ$1006,0)), HYPERLINK("#",""), HYPERLINK(CONCATENATE("#Metadata!", ADDRESS(INDEX($AJ$2:$AJ$1001,MATCH(ROWS($AH$2:AH381),$AH$2:$AH$1001,0),0), INDEX($AO$1004:$BQ$1004,1,MATCH(COLUMNS($AO$1006:BA1006),$AO$1006:$BQ$1006,0)))),"Fix")))</f>
        <v>#N/A</v>
      </c>
      <c r="O381" s="5" t="e">
        <f ca="1">IF(OR(INDEX($AI$2:$AI$1001,MATCH(ROWS($AH$2:AH381),$AH$2:$AH$1001,0),1)&gt;=100000,INDEX($AO$1005:$BQ$1005,1,MATCH(COLUMNS($AO$1006:BB1006),$AO$1006:$BQ$1006,0))&gt;=100000), " ",IF(INDEX($AO$2:$BQ$1001,MATCH(ROWS($AH$2:AH381),$AH$2:$AH$1001,0),MATCH(COLUMNS($AO$1006:BB1006),$AO$1006:$BQ$1006,0)), HYPERLINK("#",""), HYPERLINK(CONCATENATE("#Metadata!", ADDRESS(INDEX($AJ$2:$AJ$1001,MATCH(ROWS($AH$2:AH381),$AH$2:$AH$1001,0),0), INDEX($AO$1004:$BQ$1004,1,MATCH(COLUMNS($AO$1006:BB1006),$AO$1006:$BQ$1006,0)))),"Fix")))</f>
        <v>#N/A</v>
      </c>
      <c r="P381" s="5" t="e">
        <f ca="1">IF(OR(INDEX($AI$2:$AI$1001,MATCH(ROWS($AH$2:AH381),$AH$2:$AH$1001,0),1)&gt;=100000,INDEX($AO$1005:$BQ$1005,1,MATCH(COLUMNS($AO$1006:BC1006),$AO$1006:$BQ$1006,0))&gt;=100000), " ",IF(INDEX($AO$2:$BQ$1001,MATCH(ROWS($AH$2:AH381),$AH$2:$AH$1001,0),MATCH(COLUMNS($AO$1006:BC1006),$AO$1006:$BQ$1006,0)), HYPERLINK("#",""), HYPERLINK(CONCATENATE("#Metadata!", ADDRESS(INDEX($AJ$2:$AJ$1001,MATCH(ROWS($AH$2:AH381),$AH$2:$AH$1001,0),0), INDEX($AO$1004:$BQ$1004,1,MATCH(COLUMNS($AO$1006:BC1006),$AO$1006:$BQ$1006,0)))),"Fix")))</f>
        <v>#N/A</v>
      </c>
      <c r="Q381" s="5" t="e">
        <f ca="1">IF(OR(INDEX($AI$2:$AI$1001,MATCH(ROWS($AH$2:AH381),$AH$2:$AH$1001,0),1)&gt;=100000,INDEX($AO$1005:$BQ$1005,1,MATCH(COLUMNS($AO$1006:BD1006),$AO$1006:$BQ$1006,0))&gt;=100000), " ",IF(INDEX($AO$2:$BQ$1001,MATCH(ROWS($AH$2:AH381),$AH$2:$AH$1001,0),MATCH(COLUMNS($AO$1006:BD1006),$AO$1006:$BQ$1006,0)), HYPERLINK("#",""), HYPERLINK(CONCATENATE("#Metadata!", ADDRESS(INDEX($AJ$2:$AJ$1001,MATCH(ROWS($AH$2:AH381),$AH$2:$AH$1001,0),0), INDEX($AO$1004:$BQ$1004,1,MATCH(COLUMNS($AO$1006:BD1006),$AO$1006:$BQ$1006,0)))),"Fix")))</f>
        <v>#N/A</v>
      </c>
      <c r="R381" s="5" t="e">
        <f ca="1">IF(OR(INDEX($AI$2:$AI$1001,MATCH(ROWS($AH$2:AH381),$AH$2:$AH$1001,0),1)&gt;=100000,INDEX($AO$1005:$BQ$1005,1,MATCH(COLUMNS($AO$1006:BE1006),$AO$1006:$BQ$1006,0))&gt;=100000), " ",IF(INDEX($AO$2:$BQ$1001,MATCH(ROWS($AH$2:AH381),$AH$2:$AH$1001,0),MATCH(COLUMNS($AO$1006:BE1006),$AO$1006:$BQ$1006,0)), HYPERLINK("#",""), HYPERLINK(CONCATENATE("#Metadata!", ADDRESS(INDEX($AJ$2:$AJ$1001,MATCH(ROWS($AH$2:AH381),$AH$2:$AH$1001,0),0), INDEX($AO$1004:$BQ$1004,1,MATCH(COLUMNS($AO$1006:BE1006),$AO$1006:$BQ$1006,0)))),"Fix")))</f>
        <v>#N/A</v>
      </c>
      <c r="S381" s="5" t="e">
        <f ca="1">IF(OR(INDEX($AI$2:$AI$1001,MATCH(ROWS($AH$2:AH381),$AH$2:$AH$1001,0),1)&gt;=100000,INDEX($AO$1005:$BQ$1005,1,MATCH(COLUMNS($AO$1006:BF1006),$AO$1006:$BQ$1006,0))&gt;=100000), " ",IF(INDEX($AO$2:$BQ$1001,MATCH(ROWS($AH$2:AH381),$AH$2:$AH$1001,0),MATCH(COLUMNS($AO$1006:BF1006),$AO$1006:$BQ$1006,0)), HYPERLINK("#",""), HYPERLINK(CONCATENATE("#Metadata!", ADDRESS(INDEX($AJ$2:$AJ$1001,MATCH(ROWS($AH$2:AH381),$AH$2:$AH$1001,0),0), INDEX($AO$1004:$BQ$1004,1,MATCH(COLUMNS($AO$1006:BF1006),$AO$1006:$BQ$1006,0)))),"Fix")))</f>
        <v>#N/A</v>
      </c>
      <c r="T381" s="5" t="e">
        <f ca="1">IF(OR(INDEX($AI$2:$AI$1001,MATCH(ROWS($AH$2:AH381),$AH$2:$AH$1001,0),1)&gt;=100000,INDEX($AO$1005:$BQ$1005,1,MATCH(COLUMNS($AO$1006:BG1006),$AO$1006:$BQ$1006,0))&gt;=100000), " ",IF(INDEX($AO$2:$BQ$1001,MATCH(ROWS($AH$2:AH381),$AH$2:$AH$1001,0),MATCH(COLUMNS($AO$1006:BG1006),$AO$1006:$BQ$1006,0)), HYPERLINK("#",""), HYPERLINK(CONCATENATE("#Metadata!", ADDRESS(INDEX($AJ$2:$AJ$1001,MATCH(ROWS($AH$2:AH381),$AH$2:$AH$1001,0),0), INDEX($AO$1004:$BQ$1004,1,MATCH(COLUMNS($AO$1006:BG1006),$AO$1006:$BQ$1006,0)))),"Fix")))</f>
        <v>#N/A</v>
      </c>
      <c r="U381" s="5" t="e">
        <f ca="1">IF(OR(INDEX($AI$2:$AI$1001,MATCH(ROWS($AH$2:AH381),$AH$2:$AH$1001,0),1)&gt;=100000,INDEX($AO$1005:$BQ$1005,1,MATCH(COLUMNS($AO$1006:BH1006),$AO$1006:$BQ$1006,0))&gt;=100000), " ",IF(INDEX($AO$2:$BQ$1001,MATCH(ROWS($AH$2:AH381),$AH$2:$AH$1001,0),MATCH(COLUMNS($AO$1006:BH1006),$AO$1006:$BQ$1006,0)), HYPERLINK("#",""), HYPERLINK(CONCATENATE("#Metadata!", ADDRESS(INDEX($AJ$2:$AJ$1001,MATCH(ROWS($AH$2:AH381),$AH$2:$AH$1001,0),0), INDEX($AO$1004:$BQ$1004,1,MATCH(COLUMNS($AO$1006:BH1006),$AO$1006:$BQ$1006,0)))),"Fix")))</f>
        <v>#N/A</v>
      </c>
      <c r="V381" s="5" t="e">
        <f ca="1">IF(OR(INDEX($AI$2:$AI$1001,MATCH(ROWS($AH$2:AH381),$AH$2:$AH$1001,0),1)&gt;=100000,INDEX($AO$1005:$BQ$1005,1,MATCH(COLUMNS($AO$1006:BI1006),$AO$1006:$BQ$1006,0))&gt;=100000), " ",IF(INDEX($AO$2:$BQ$1001,MATCH(ROWS($AH$2:AH381),$AH$2:$AH$1001,0),MATCH(COLUMNS($AO$1006:BI1006),$AO$1006:$BQ$1006,0)), HYPERLINK("#",""), HYPERLINK(CONCATENATE("#Metadata!", ADDRESS(INDEX($AJ$2:$AJ$1001,MATCH(ROWS($AH$2:AH381),$AH$2:$AH$1001,0),0), INDEX($AO$1004:$BQ$1004,1,MATCH(COLUMNS($AO$1006:BI1006),$AO$1006:$BQ$1006,0)))),"Fix")))</f>
        <v>#N/A</v>
      </c>
      <c r="W381" s="5" t="e">
        <f ca="1">IF(OR(INDEX($AI$2:$AI$1001,MATCH(ROWS($AH$2:AH381),$AH$2:$AH$1001,0),1)&gt;=100000,INDEX($AO$1005:$BQ$1005,1,MATCH(COLUMNS($AO$1006:BJ1006),$AO$1006:$BQ$1006,0))&gt;=100000), " ",IF(INDEX($AO$2:$BQ$1001,MATCH(ROWS($AH$2:AH381),$AH$2:$AH$1001,0),MATCH(COLUMNS($AO$1006:BJ1006),$AO$1006:$BQ$1006,0)), HYPERLINK("#",""), HYPERLINK(CONCATENATE("#Metadata!", ADDRESS(INDEX($AJ$2:$AJ$1001,MATCH(ROWS($AH$2:AH381),$AH$2:$AH$1001,0),0), INDEX($AO$1004:$BQ$1004,1,MATCH(COLUMNS($AO$1006:BJ1006),$AO$1006:$BQ$1006,0)))),"Fix")))</f>
        <v>#N/A</v>
      </c>
      <c r="X381" s="5" t="e">
        <f ca="1">IF(OR(INDEX($AI$2:$AI$1001,MATCH(ROWS($AH$2:AH381),$AH$2:$AH$1001,0),1)&gt;=100000,INDEX($AO$1005:$BQ$1005,1,MATCH(COLUMNS($AO$1006:BK1006),$AO$1006:$BQ$1006,0))&gt;=100000), " ",IF(INDEX($AO$2:$BQ$1001,MATCH(ROWS($AH$2:AH381),$AH$2:$AH$1001,0),MATCH(COLUMNS($AO$1006:BK1006),$AO$1006:$BQ$1006,0)), HYPERLINK("#",""), HYPERLINK(CONCATENATE("#Metadata!", ADDRESS(INDEX($AJ$2:$AJ$1001,MATCH(ROWS($AH$2:AH381),$AH$2:$AH$1001,0),0), INDEX($AO$1004:$BQ$1004,1,MATCH(COLUMNS($AO$1006:BK1006),$AO$1006:$BQ$1006,0)))),"Fix")))</f>
        <v>#N/A</v>
      </c>
      <c r="Y381" s="5" t="e">
        <f ca="1">IF(OR(INDEX($AI$2:$AI$1001,MATCH(ROWS($AH$2:AH381),$AH$2:$AH$1001,0),1)&gt;=100000,INDEX($AO$1005:$BQ$1005,1,MATCH(COLUMNS($AO$1006:BL1006),$AO$1006:$BQ$1006,0))&gt;=100000), " ",IF(INDEX($AO$2:$BQ$1001,MATCH(ROWS($AH$2:AH381),$AH$2:$AH$1001,0),MATCH(COLUMNS($AO$1006:BL1006),$AO$1006:$BQ$1006,0)), HYPERLINK("#",""), HYPERLINK(CONCATENATE("#Metadata!", ADDRESS(INDEX($AJ$2:$AJ$1001,MATCH(ROWS($AH$2:AH381),$AH$2:$AH$1001,0),0), INDEX($AO$1004:$BQ$1004,1,MATCH(COLUMNS($AO$1006:BL1006),$AO$1006:$BQ$1006,0)))),"Fix")))</f>
        <v>#N/A</v>
      </c>
      <c r="Z381" s="5" t="e">
        <f ca="1">IF(OR(INDEX($AI$2:$AI$1001,MATCH(ROWS($AH$2:AH381),$AH$2:$AH$1001,0),1)&gt;=100000,INDEX($AO$1005:$BQ$1005,1,MATCH(COLUMNS($AO$1006:BM1006),$AO$1006:$BQ$1006,0))&gt;=100000), " ",IF(INDEX($AO$2:$BQ$1001,MATCH(ROWS($AH$2:AH381),$AH$2:$AH$1001,0),MATCH(COLUMNS($AO$1006:BM1006),$AO$1006:$BQ$1006,0)), HYPERLINK("#",""), HYPERLINK(CONCATENATE("#Metadata!", ADDRESS(INDEX($AJ$2:$AJ$1001,MATCH(ROWS($AH$2:AH381),$AH$2:$AH$1001,0),0), INDEX($AO$1004:$BQ$1004,1,MATCH(COLUMNS($AO$1006:BM1006),$AO$1006:$BQ$1006,0)))),"Fix")))</f>
        <v>#N/A</v>
      </c>
      <c r="AA381" s="5" t="e">
        <f ca="1">IF(OR(INDEX($AI$2:$AI$1001,MATCH(ROWS($AH$2:AH381),$AH$2:$AH$1001,0),1)&gt;=100000,INDEX($AO$1005:$BQ$1005,1,MATCH(COLUMNS($AO$1006:BN1006),$AO$1006:$BQ$1006,0))&gt;=100000), " ",IF(INDEX($AO$2:$BQ$1001,MATCH(ROWS($AH$2:AH381),$AH$2:$AH$1001,0),MATCH(COLUMNS($AO$1006:BN1006),$AO$1006:$BQ$1006,0)), HYPERLINK("#",""), HYPERLINK(CONCATENATE("#Metadata!", ADDRESS(INDEX($AJ$2:$AJ$1001,MATCH(ROWS($AH$2:AH381),$AH$2:$AH$1001,0),0), INDEX($AO$1004:$BQ$1004,1,MATCH(COLUMNS($AO$1006:BN1006),$AO$1006:$BQ$1006,0)))),"Fix")))</f>
        <v>#N/A</v>
      </c>
      <c r="AB381" s="5" t="e">
        <f ca="1">IF(OR(INDEX($AI$2:$AI$1001,MATCH(ROWS($AH$2:AH381),$AH$2:$AH$1001,0),1)&gt;=100000,INDEX($AO$1005:$BQ$1005,1,MATCH(COLUMNS($AO$1006:BO1006),$AO$1006:$BQ$1006,0))&gt;=100000), " ",IF(INDEX($AO$2:$BQ$1001,MATCH(ROWS($AH$2:AH381),$AH$2:$AH$1001,0),MATCH(COLUMNS($AO$1006:BO1006),$AO$1006:$BQ$1006,0)), HYPERLINK("#",""), HYPERLINK(CONCATENATE("#Metadata!", ADDRESS(INDEX($AJ$2:$AJ$1001,MATCH(ROWS($AH$2:AH381),$AH$2:$AH$1001,0),0), INDEX($AO$1004:$BQ$1004,1,MATCH(COLUMNS($AO$1006:BO1006),$AO$1006:$BQ$1006,0)))),"Fix")))</f>
        <v>#N/A</v>
      </c>
      <c r="AC381" s="5" t="e">
        <f ca="1">IF(OR(INDEX($AI$2:$AI$1001,MATCH(ROWS($AH$2:AH381),$AH$2:$AH$1001,0),1)&gt;=100000,INDEX($AO$1005:$BQ$1005,1,MATCH(COLUMNS($AO$1006:BP1006),$AO$1006:$BQ$1006,0))&gt;=100000), " ",IF(INDEX($AO$2:$BQ$1001,MATCH(ROWS($AH$2:AH381),$AH$2:$AH$1001,0),MATCH(COLUMNS($AO$1006:BP1006),$AO$1006:$BQ$1006,0)), HYPERLINK("#",""), HYPERLINK(CONCATENATE("#Metadata!", ADDRESS(INDEX($AJ$2:$AJ$1001,MATCH(ROWS($AH$2:AH381),$AH$2:$AH$1001,0),0), INDEX($AO$1004:$BQ$1004,1,MATCH(COLUMNS($AO$1006:BP1006),$AO$1006:$BQ$1006,0)))),"Fix")))</f>
        <v>#N/A</v>
      </c>
      <c r="AD381" s="5" t="e">
        <f ca="1">IF(OR(INDEX($AI$2:$AI$1001,MATCH(ROWS($AH$2:AH381),$AH$2:$AH$1001,0),1)&gt;=100000,INDEX($AO$1005:$BQ$1005,1,MATCH(COLUMNS($AO$1006:BQ1006),$AO$1006:$BQ$1006,0))&gt;=100000), " ",IF(INDEX($AO$2:$BQ$1001,MATCH(ROWS($AH$2:AH381),$AH$2:$AH$1001,0),MATCH(COLUMNS($AO$1006:BQ1006),$AO$1006:$BQ$1006,0)), HYPERLINK("#",""), HYPERLINK(CONCATENATE("#Metadata!", ADDRESS(INDEX($AJ$2:$AJ$1001,MATCH(ROWS($AH$2:AH381),$AH$2:$AH$1001,0),0), INDEX($AO$1004:$BQ$1004,1,MATCH(COLUMNS($AO$1006:BQ1006),$AO$1006:$BQ$1006,0)))),"Fix")))</f>
        <v>#REF!</v>
      </c>
      <c r="AH381">
        <f ca="1"/>
        <v>378</v>
      </c>
      <c r="AI381">
        <v>100381</v>
      </c>
      <c r="AJ381">
        <v>381</v>
      </c>
      <c r="AK381" t="b">
        <f t="shared" si="5"/>
        <v>1</v>
      </c>
      <c r="AL381" t="b">
        <f>COUNTBLANK(Metadata!B381:AD381)=COLUMNS(Metadata!B381:AD381)</f>
        <v>1</v>
      </c>
      <c r="AM381" t="str">
        <v/>
      </c>
      <c r="AO381" t="b">
        <f ca="1">AND(IF(Metadata!B381="",FALSE,TRUE),COUNTIF(Metadata!B:B, Metadata!B381) = 1,NOT(ISERROR(SUMPRODUCT(SEARCH(MID(Metadata!B381,ROW(INDIRECT("1:"&amp;LEN(Metadata!B381))), 1),"0123456789abcdefghijklmnopqrstuvwxyzABCDEFGHIJKLMNOPQRSTUVWXYZ.")))))</f>
        <v>0</v>
      </c>
      <c r="AP381" t="b">
        <f>IF(Metadata!C381="",FALSE,TRUE)</f>
        <v>0</v>
      </c>
      <c r="AQ381" t="b">
        <f>IF(Metadata!D381="",FALSE,TRUE)</f>
        <v>0</v>
      </c>
      <c r="AR381" t="b">
        <f ca="1">OR(AND(IF(Metadata!E381="",FALSE,TRUE),OR(EXACT(Metadata!E381,"not collected"),EXACT(Metadata!E381,"not provided"),EXACT(Metadata!E381,"restricted access"))),AND(IF(Metadata!E381="",FALSE,TRUE),AND(AND(IFERROR(INT(LEFT(Metadata!E381,4))&gt;1900,FALSE),IFERROR(INT(LEFT(Metadata!E381,4))&lt;=YEAR(NOW()),FALSE)), OR(MID(Metadata!E381,5,1)="", AND(AND(MID(Metadata!E381,5,1)="-",IFERROR(INT(MID(Metadata!E381,6,1))&gt;=0,FALSE),IFERROR(INT(MID(Metadata!E381,6,1))&lt;=1,FALSE),NOT(MID(Metadata!E381,7,1)=""),IFERROR(INT(MID(Metadata!E381,6,2))&gt;=1,FALSE),IFERROR(INT(MID(Metadata!E381,6,2))&lt;=12,FALSE)), OR(MID(Metadata!E381,8,1)="", AND(AND(MID(Metadata!E381,8,1)="-",IFERROR(INT(MID(Metadata!E381,9,1))&gt;=0,FALSE),IFERROR(INT(MID(Metadata!E381,9,1))&lt;=3,FALSE),NOT(MID(Metadata!E381,10,1)=""),IFERROR(INT(MID(Metadata!E381,9,2))&gt;=1,FALSE),IFERROR(INT(MID(Metadata!E381,9,2))&lt;=31,FALSE)), OR(MID(Metadata!E381,11,1)="", AND(AND(MID(Metadata!E381,11,1)=" ",IFERROR(INT(MID(Metadata!E381,12,1))&gt;=0,FALSE),IFERROR(INT(MID(Metadata!E381,12,1))&lt;=2,FALSE),NOT(MID(Metadata!E381,13,1)=""),IFERROR(INT(MID(Metadata!E381,12,2))&gt;=0,FALSE),IFERROR(INT(MID(Metadata!E381,12,2))&lt;=23,FALSE)), OR(MID(Metadata!E381,14,1)="", AND(AND(MID(Metadata!E381,14,1)=":",IFERROR(INT(MID(Metadata!E381,15,1))&gt;=0,FALSE),IFERROR(INT(MID(Metadata!E381,15,1))&lt;=5,FALSE),NOT(MID(Metadata!E381,16,1)=""),IFERROR(INT(MID(Metadata!E381,15,2))&gt;=0,FALSE),IFERROR(INT(MID(Metadata!E381,15,2))&lt;=59,FALSE)), OR(MID(Metadata!E381,17,1)="", AND(AND(MID(Metadata!E381,17,1)=":",IFERROR(INT(MID(Metadata!E381,18,1))&gt;=0,FALSE),IFERROR(INT(MID(Metadata!E381,18,1))&lt;=5,FALSE),NOT(MID(Metadata!E381,19,1)=""),IFERROR(INT(MID(Metadata!E381,18,2))&gt;=0,FALSE),IFERROR(INT(MID(Metadata!E381,18,2))&lt;=59,FALSE)), LEN(Metadata!E381)&lt;=19)))))))))))))</f>
        <v>0</v>
      </c>
      <c r="AS381" t="b">
        <f>IF(Metadata!F381="",FALSE,TRUE)</f>
        <v>0</v>
      </c>
      <c r="AT381" t="b">
        <f>OR(AND(IF(Metadata!G381="",FALSE,TRUE),OR(EXACT(Metadata!G381,"not collected"),EXACT(Metadata!G381,"not provided"))),AND(IF(Metadata!G381="",FALSE,TRUE),OR(EXACT(Metadata!G381,"TRUE"),EXACT(Metadata!G381,"FALSE"))))</f>
        <v>0</v>
      </c>
      <c r="AU381" t="b">
        <f>OR(AND(IF(Metadata!H381="",FALSE,TRUE),OR(EXACT(Metadata!H381,"not collected"),EXACT(Metadata!H381,"not provided"),EXACT(Metadata!H381,"restricted access"))),AND(IF(Metadata!H381="",FALSE,ISNUMBER(VALUE(Metadata!H381))),Metadata!H381&gt;=-413))</f>
        <v>0</v>
      </c>
      <c r="AV381" t="b">
        <f>AND(IF(Metadata!I381="",FALSE,TRUE),EXACT(Metadata!I381,"meters"))</f>
        <v>0</v>
      </c>
      <c r="AW381" t="b">
        <f>AND(IF(Metadata!J381="",FALSE,TRUE),EXACT(Metadata!J381,"free-living"))</f>
        <v>0</v>
      </c>
      <c r="AX381" t="b">
        <f>AND(IF(Metadata!K381="",FALSE,TRUE),OR(EXACT(Metadata!K381,"saline"),EXACT(Metadata!K381,"non-saline")))</f>
        <v>0</v>
      </c>
      <c r="AY381" t="b">
        <f>AND(IF(Metadata!L381="",FALSE,TRUE),OR(EXACT(Metadata!L381,"sub-surface (non-saline)"),EXACT(Metadata!L381,"surface (non-saline)"),EXACT(Metadata!L381,"water (non-saline)"),EXACT(Metadata!L381,"soil (non-saline)"),EXACT(Metadata!L381,"aerosol (non-saline)"),EXACT(Metadata!L381,"sediment (non-saline)"),EXACT(Metadata!L381,"surface (saline)"),EXACT(Metadata!L381,"water (saline)"),EXACT(Metadata!L381,"hypersaline (saline)"),EXACT(Metadata!L381,"aerosol (saline)"),EXACT(Metadata!L381,"sediment (saline)")))</f>
        <v>0</v>
      </c>
      <c r="AZ381" t="b">
        <f>IF(Metadata!M381="",FALSE,TRUE)</f>
        <v>0</v>
      </c>
      <c r="BA381" t="b">
        <f>IF(Metadata!N381="",FALSE,TRUE)</f>
        <v>0</v>
      </c>
      <c r="BB381" t="b">
        <f>IF(Metadata!O381="",FALSE,TRUE)</f>
        <v>0</v>
      </c>
      <c r="BC381" t="b">
        <f>AND(IF(Metadata!P381="",FALSE,TRUE),OR(EXACT(Metadata!P381,"air"),EXACT(Metadata!P381,"microbial mat/biofilm"),EXACT(Metadata!P381,"misc environment"),EXACT(Metadata!P381,"sediment"),EXACT(Metadata!P381,"soil"),EXACT(Metadata!P381,"wastewater/sludge"),EXACT(Metadata!P381,"water")))</f>
        <v>0</v>
      </c>
      <c r="BD381" t="b">
        <f>IF(Metadata!Q381="",FALSE,TRUE)</f>
        <v>0</v>
      </c>
      <c r="BE381" t="b">
        <f>IF(Metadata!R381="",FALSE,TRUE)</f>
        <v>0</v>
      </c>
      <c r="BF381" t="b">
        <f>OR(AND(IF(Metadata!S381="",FALSE,TRUE),OR(EXACT(Metadata!S381,"not collected"),EXACT(Metadata!S381,"not provided"),EXACT(Metadata!S381,"restricted access"))),AND(IF(Metadata!S381="",FALSE,ISNUMBER(VALUE(Metadata!S381))),Metadata!S381&gt;=-90,Metadata!S381&lt;=90))</f>
        <v>0</v>
      </c>
      <c r="BG381" t="b">
        <f>AND(IF(Metadata!T381="",FALSE,TRUE),EXACT(Metadata!T381,"Decimal degrees"))</f>
        <v>0</v>
      </c>
      <c r="BH381" t="b">
        <f>OR(AND(IF(Metadata!U381="",FALSE,TRUE),OR(EXACT(Metadata!U381,"not applicable"),EXACT(Metadata!U381,"not collected"))),IF(Metadata!U381="",FALSE,TRUE))</f>
        <v>0</v>
      </c>
      <c r="BI381" t="b">
        <f>OR(AND(IF(Metadata!V381="",FALSE,TRUE),OR(EXACT(Metadata!V381,"not collected"),EXACT(Metadata!V381,"not provided"),EXACT(Metadata!V381,"restricted access"))),AND(IF(Metadata!V381="",FALSE,ISNUMBER(VALUE(Metadata!V381))),Metadata!V381&gt;=-180,Metadata!V381&lt;=180))</f>
        <v>0</v>
      </c>
      <c r="BJ381" t="b">
        <f>AND(IF(Metadata!W381="",FALSE,TRUE),EXACT(Metadata!W381,"Decimal degrees"))</f>
        <v>0</v>
      </c>
      <c r="BK381" t="b">
        <f>IF(Metadata!X381="",FALSE,TRUE)</f>
        <v>0</v>
      </c>
      <c r="BL381" t="b">
        <f>OR(AND(IF(Metadata!Y381="",FALSE,TRUE),OR(EXACT(Metadata!Y381,"not collected"),EXACT(Metadata!Y381,"not provided"),EXACT(Metadata!Y381,"restricted access"))),AND(IF(Metadata!Y381="",FALSE,TRUE),OR(EXACT(Metadata!Y381,"TRUE"),EXACT(Metadata!Y381,"FALSE"))))</f>
        <v>0</v>
      </c>
      <c r="BM381" t="b">
        <f>OR(AND(IF(Metadata!Z381="",FALSE,TRUE),EXACT(Metadata!Z381,"not applicable")),AND(IF(Metadata!Z381="",FALSE,TRUE),OR(EXACT(Metadata!Z381,"beer"),EXACT(Metadata!Z381,"cheese"),EXACT(Metadata!Z381,"fresh water"),EXACT(Metadata!Z381,"marine sediment"),EXACT(Metadata!Z381,"sea water"),EXACT(Metadata!Z381,"sediment"),EXACT(Metadata!Z381,"soil"),EXACT(Metadata!Z381,"waste water"))))</f>
        <v>0</v>
      </c>
      <c r="BN381" t="b">
        <f>AND(IF(Metadata!AA381="",FALSE,TRUE),EXACT(Metadata!AA381,"metagenome"))</f>
        <v>0</v>
      </c>
      <c r="BO381" t="b">
        <f>AND(IF(Metadata!AB381="",FALSE,TRUE),EXACT(Metadata!AB381,"256318"))</f>
        <v>0</v>
      </c>
      <c r="BP381" t="b">
        <f>IF(Metadata!AC381="",FALSE,TRUE)</f>
        <v>0</v>
      </c>
      <c r="BQ381" t="b">
        <f>IF(Metadata!AD381="",FALSE,TRUE)</f>
        <v>0</v>
      </c>
    </row>
    <row r="382" spans="1:69" x14ac:dyDescent="0.2">
      <c r="A382" s="4" t="e">
        <f ca="1">IF(B382=" "," ",HYPERLINK(CONCATENATE("#metadata!",ADDRESS(INDEX($AJ$2:$AJ$1001,MATCH(ROWS($AH$2:AH382),$AH$2:$AH$1001,0),0),2)),INDEX($AM$2:$AM$1001,MATCH(ROWS($AH$2:AH382),$AH$2:$AH$1001,0),0)))</f>
        <v>#N/A</v>
      </c>
      <c r="B382" s="5" t="e">
        <f ca="1">IF(OR(INDEX($AI$2:$AI$1001,MATCH(ROWS($AH$2:AH382),$AH$2:$AH$1001,0),1)&gt;=100000,INDEX($AO$1005:$BQ$1005,1,MATCH(COLUMNS($AO$1006:AO1006),$AO$1006:$BQ$1006,0))&gt;=100000), " ",IF(INDEX($AO$2:$BQ$1001,MATCH(ROWS($AH$2:AH382),$AH$2:$AH$1001,0),MATCH(COLUMNS($AO$1006:AO1006),$AO$1006:$BQ$1006,0)), HYPERLINK("#",""), HYPERLINK(CONCATENATE("#Metadata!", ADDRESS(INDEX($AJ$2:$AJ$1001,MATCH(ROWS($AH$2:AH382),$AH$2:$AH$1001,0),0), INDEX($AO$1004:$BQ$1004,1,MATCH(COLUMNS($AO$1006:AO1006),$AO$1006:$BQ$1006,0)))),"Fix")))</f>
        <v>#N/A</v>
      </c>
      <c r="C382" s="5" t="e">
        <f ca="1">IF(OR(INDEX($AI$2:$AI$1001,MATCH(ROWS($AH$2:AH382),$AH$2:$AH$1001,0),1)&gt;=100000,INDEX($AO$1005:$BQ$1005,1,MATCH(COLUMNS($AO$1006:AP1006),$AO$1006:$BQ$1006,0))&gt;=100000), " ",IF(INDEX($AO$2:$BQ$1001,MATCH(ROWS($AH$2:AH382),$AH$2:$AH$1001,0),MATCH(COLUMNS($AO$1006:AP1006),$AO$1006:$BQ$1006,0)), HYPERLINK("#",""), HYPERLINK(CONCATENATE("#Metadata!", ADDRESS(INDEX($AJ$2:$AJ$1001,MATCH(ROWS($AH$2:AH382),$AH$2:$AH$1001,0),0), INDEX($AO$1004:$BQ$1004,1,MATCH(COLUMNS($AO$1006:AP1006),$AO$1006:$BQ$1006,0)))),"Fix")))</f>
        <v>#N/A</v>
      </c>
      <c r="D382" s="5" t="e">
        <f ca="1">IF(OR(INDEX($AI$2:$AI$1001,MATCH(ROWS($AH$2:AH382),$AH$2:$AH$1001,0),1)&gt;=100000,INDEX($AO$1005:$BQ$1005,1,MATCH(COLUMNS($AO$1006:AQ1006),$AO$1006:$BQ$1006,0))&gt;=100000), " ",IF(INDEX($AO$2:$BQ$1001,MATCH(ROWS($AH$2:AH382),$AH$2:$AH$1001,0),MATCH(COLUMNS($AO$1006:AQ1006),$AO$1006:$BQ$1006,0)), HYPERLINK("#",""), HYPERLINK(CONCATENATE("#Metadata!", ADDRESS(INDEX($AJ$2:$AJ$1001,MATCH(ROWS($AH$2:AH382),$AH$2:$AH$1001,0),0), INDEX($AO$1004:$BQ$1004,1,MATCH(COLUMNS($AO$1006:AQ1006),$AO$1006:$BQ$1006,0)))),"Fix")))</f>
        <v>#N/A</v>
      </c>
      <c r="E382" s="5" t="e">
        <f ca="1">IF(OR(INDEX($AI$2:$AI$1001,MATCH(ROWS($AH$2:AH382),$AH$2:$AH$1001,0),1)&gt;=100000,INDEX($AO$1005:$BQ$1005,1,MATCH(COLUMNS($AO$1006:AR1006),$AO$1006:$BQ$1006,0))&gt;=100000), " ",IF(INDEX($AO$2:$BQ$1001,MATCH(ROWS($AH$2:AH382),$AH$2:$AH$1001,0),MATCH(COLUMNS($AO$1006:AR1006),$AO$1006:$BQ$1006,0)), HYPERLINK("#",""), HYPERLINK(CONCATENATE("#Metadata!", ADDRESS(INDEX($AJ$2:$AJ$1001,MATCH(ROWS($AH$2:AH382),$AH$2:$AH$1001,0),0), INDEX($AO$1004:$BQ$1004,1,MATCH(COLUMNS($AO$1006:AR1006),$AO$1006:$BQ$1006,0)))),"Fix")))</f>
        <v>#N/A</v>
      </c>
      <c r="F382" s="5" t="e">
        <f ca="1">IF(OR(INDEX($AI$2:$AI$1001,MATCH(ROWS($AH$2:AH382),$AH$2:$AH$1001,0),1)&gt;=100000,INDEX($AO$1005:$BQ$1005,1,MATCH(COLUMNS($AO$1006:AS1006),$AO$1006:$BQ$1006,0))&gt;=100000), " ",IF(INDEX($AO$2:$BQ$1001,MATCH(ROWS($AH$2:AH382),$AH$2:$AH$1001,0),MATCH(COLUMNS($AO$1006:AS1006),$AO$1006:$BQ$1006,0)), HYPERLINK("#",""), HYPERLINK(CONCATENATE("#Metadata!", ADDRESS(INDEX($AJ$2:$AJ$1001,MATCH(ROWS($AH$2:AH382),$AH$2:$AH$1001,0),0), INDEX($AO$1004:$BQ$1004,1,MATCH(COLUMNS($AO$1006:AS1006),$AO$1006:$BQ$1006,0)))),"Fix")))</f>
        <v>#N/A</v>
      </c>
      <c r="G382" s="5" t="e">
        <f ca="1">IF(OR(INDEX($AI$2:$AI$1001,MATCH(ROWS($AH$2:AH382),$AH$2:$AH$1001,0),1)&gt;=100000,INDEX($AO$1005:$BQ$1005,1,MATCH(COLUMNS($AO$1006:AT1006),$AO$1006:$BQ$1006,0))&gt;=100000), " ",IF(INDEX($AO$2:$BQ$1001,MATCH(ROWS($AH$2:AH382),$AH$2:$AH$1001,0),MATCH(COLUMNS($AO$1006:AT1006),$AO$1006:$BQ$1006,0)), HYPERLINK("#",""), HYPERLINK(CONCATENATE("#Metadata!", ADDRESS(INDEX($AJ$2:$AJ$1001,MATCH(ROWS($AH$2:AH382),$AH$2:$AH$1001,0),0), INDEX($AO$1004:$BQ$1004,1,MATCH(COLUMNS($AO$1006:AT1006),$AO$1006:$BQ$1006,0)))),"Fix")))</f>
        <v>#N/A</v>
      </c>
      <c r="H382" s="5" t="e">
        <f ca="1">IF(OR(INDEX($AI$2:$AI$1001,MATCH(ROWS($AH$2:AH382),$AH$2:$AH$1001,0),1)&gt;=100000,INDEX($AO$1005:$BQ$1005,1,MATCH(COLUMNS($AO$1006:AU1006),$AO$1006:$BQ$1006,0))&gt;=100000), " ",IF(INDEX($AO$2:$BQ$1001,MATCH(ROWS($AH$2:AH382),$AH$2:$AH$1001,0),MATCH(COLUMNS($AO$1006:AU1006),$AO$1006:$BQ$1006,0)), HYPERLINK("#",""), HYPERLINK(CONCATENATE("#Metadata!", ADDRESS(INDEX($AJ$2:$AJ$1001,MATCH(ROWS($AH$2:AH382),$AH$2:$AH$1001,0),0), INDEX($AO$1004:$BQ$1004,1,MATCH(COLUMNS($AO$1006:AU1006),$AO$1006:$BQ$1006,0)))),"Fix")))</f>
        <v>#N/A</v>
      </c>
      <c r="I382" s="5" t="e">
        <f ca="1">IF(OR(INDEX($AI$2:$AI$1001,MATCH(ROWS($AH$2:AH382),$AH$2:$AH$1001,0),1)&gt;=100000,INDEX($AO$1005:$BQ$1005,1,MATCH(COLUMNS($AO$1006:AV1006),$AO$1006:$BQ$1006,0))&gt;=100000), " ",IF(INDEX($AO$2:$BQ$1001,MATCH(ROWS($AH$2:AH382),$AH$2:$AH$1001,0),MATCH(COLUMNS($AO$1006:AV1006),$AO$1006:$BQ$1006,0)), HYPERLINK("#",""), HYPERLINK(CONCATENATE("#Metadata!", ADDRESS(INDEX($AJ$2:$AJ$1001,MATCH(ROWS($AH$2:AH382),$AH$2:$AH$1001,0),0), INDEX($AO$1004:$BQ$1004,1,MATCH(COLUMNS($AO$1006:AV1006),$AO$1006:$BQ$1006,0)))),"Fix")))</f>
        <v>#N/A</v>
      </c>
      <c r="J382" s="5" t="e">
        <f ca="1">IF(OR(INDEX($AI$2:$AI$1001,MATCH(ROWS($AH$2:AH382),$AH$2:$AH$1001,0),1)&gt;=100000,INDEX($AO$1005:$BQ$1005,1,MATCH(COLUMNS($AO$1006:AW1006),$AO$1006:$BQ$1006,0))&gt;=100000), " ",IF(INDEX($AO$2:$BQ$1001,MATCH(ROWS($AH$2:AH382),$AH$2:$AH$1001,0),MATCH(COLUMNS($AO$1006:AW1006),$AO$1006:$BQ$1006,0)), HYPERLINK("#",""), HYPERLINK(CONCATENATE("#Metadata!", ADDRESS(INDEX($AJ$2:$AJ$1001,MATCH(ROWS($AH$2:AH382),$AH$2:$AH$1001,0),0), INDEX($AO$1004:$BQ$1004,1,MATCH(COLUMNS($AO$1006:AW1006),$AO$1006:$BQ$1006,0)))),"Fix")))</f>
        <v>#N/A</v>
      </c>
      <c r="K382" s="5" t="e">
        <f ca="1">IF(OR(INDEX($AI$2:$AI$1001,MATCH(ROWS($AH$2:AH382),$AH$2:$AH$1001,0),1)&gt;=100000,INDEX($AO$1005:$BQ$1005,1,MATCH(COLUMNS($AO$1006:AX1006),$AO$1006:$BQ$1006,0))&gt;=100000), " ",IF(INDEX($AO$2:$BQ$1001,MATCH(ROWS($AH$2:AH382),$AH$2:$AH$1001,0),MATCH(COLUMNS($AO$1006:AX1006),$AO$1006:$BQ$1006,0)), HYPERLINK("#",""), HYPERLINK(CONCATENATE("#Metadata!", ADDRESS(INDEX($AJ$2:$AJ$1001,MATCH(ROWS($AH$2:AH382),$AH$2:$AH$1001,0),0), INDEX($AO$1004:$BQ$1004,1,MATCH(COLUMNS($AO$1006:AX1006),$AO$1006:$BQ$1006,0)))),"Fix")))</f>
        <v>#N/A</v>
      </c>
      <c r="L382" s="5" t="e">
        <f ca="1">IF(OR(INDEX($AI$2:$AI$1001,MATCH(ROWS($AH$2:AH382),$AH$2:$AH$1001,0),1)&gt;=100000,INDEX($AO$1005:$BQ$1005,1,MATCH(COLUMNS($AO$1006:AY1006),$AO$1006:$BQ$1006,0))&gt;=100000), " ",IF(INDEX($AO$2:$BQ$1001,MATCH(ROWS($AH$2:AH382),$AH$2:$AH$1001,0),MATCH(COLUMNS($AO$1006:AY1006),$AO$1006:$BQ$1006,0)), HYPERLINK("#",""), HYPERLINK(CONCATENATE("#Metadata!", ADDRESS(INDEX($AJ$2:$AJ$1001,MATCH(ROWS($AH$2:AH382),$AH$2:$AH$1001,0),0), INDEX($AO$1004:$BQ$1004,1,MATCH(COLUMNS($AO$1006:AY1006),$AO$1006:$BQ$1006,0)))),"Fix")))</f>
        <v>#N/A</v>
      </c>
      <c r="M382" s="5" t="e">
        <f ca="1">IF(OR(INDEX($AI$2:$AI$1001,MATCH(ROWS($AH$2:AH382),$AH$2:$AH$1001,0),1)&gt;=100000,INDEX($AO$1005:$BQ$1005,1,MATCH(COLUMNS($AO$1006:AZ1006),$AO$1006:$BQ$1006,0))&gt;=100000), " ",IF(INDEX($AO$2:$BQ$1001,MATCH(ROWS($AH$2:AH382),$AH$2:$AH$1001,0),MATCH(COLUMNS($AO$1006:AZ1006),$AO$1006:$BQ$1006,0)), HYPERLINK("#",""), HYPERLINK(CONCATENATE("#Metadata!", ADDRESS(INDEX($AJ$2:$AJ$1001,MATCH(ROWS($AH$2:AH382),$AH$2:$AH$1001,0),0), INDEX($AO$1004:$BQ$1004,1,MATCH(COLUMNS($AO$1006:AZ1006),$AO$1006:$BQ$1006,0)))),"Fix")))</f>
        <v>#N/A</v>
      </c>
      <c r="N382" s="5" t="e">
        <f ca="1">IF(OR(INDEX($AI$2:$AI$1001,MATCH(ROWS($AH$2:AH382),$AH$2:$AH$1001,0),1)&gt;=100000,INDEX($AO$1005:$BQ$1005,1,MATCH(COLUMNS($AO$1006:BA1006),$AO$1006:$BQ$1006,0))&gt;=100000), " ",IF(INDEX($AO$2:$BQ$1001,MATCH(ROWS($AH$2:AH382),$AH$2:$AH$1001,0),MATCH(COLUMNS($AO$1006:BA1006),$AO$1006:$BQ$1006,0)), HYPERLINK("#",""), HYPERLINK(CONCATENATE("#Metadata!", ADDRESS(INDEX($AJ$2:$AJ$1001,MATCH(ROWS($AH$2:AH382),$AH$2:$AH$1001,0),0), INDEX($AO$1004:$BQ$1004,1,MATCH(COLUMNS($AO$1006:BA1006),$AO$1006:$BQ$1006,0)))),"Fix")))</f>
        <v>#N/A</v>
      </c>
      <c r="O382" s="5" t="e">
        <f ca="1">IF(OR(INDEX($AI$2:$AI$1001,MATCH(ROWS($AH$2:AH382),$AH$2:$AH$1001,0),1)&gt;=100000,INDEX($AO$1005:$BQ$1005,1,MATCH(COLUMNS($AO$1006:BB1006),$AO$1006:$BQ$1006,0))&gt;=100000), " ",IF(INDEX($AO$2:$BQ$1001,MATCH(ROWS($AH$2:AH382),$AH$2:$AH$1001,0),MATCH(COLUMNS($AO$1006:BB1006),$AO$1006:$BQ$1006,0)), HYPERLINK("#",""), HYPERLINK(CONCATENATE("#Metadata!", ADDRESS(INDEX($AJ$2:$AJ$1001,MATCH(ROWS($AH$2:AH382),$AH$2:$AH$1001,0),0), INDEX($AO$1004:$BQ$1004,1,MATCH(COLUMNS($AO$1006:BB1006),$AO$1006:$BQ$1006,0)))),"Fix")))</f>
        <v>#N/A</v>
      </c>
      <c r="P382" s="5" t="e">
        <f ca="1">IF(OR(INDEX($AI$2:$AI$1001,MATCH(ROWS($AH$2:AH382),$AH$2:$AH$1001,0),1)&gt;=100000,INDEX($AO$1005:$BQ$1005,1,MATCH(COLUMNS($AO$1006:BC1006),$AO$1006:$BQ$1006,0))&gt;=100000), " ",IF(INDEX($AO$2:$BQ$1001,MATCH(ROWS($AH$2:AH382),$AH$2:$AH$1001,0),MATCH(COLUMNS($AO$1006:BC1006),$AO$1006:$BQ$1006,0)), HYPERLINK("#",""), HYPERLINK(CONCATENATE("#Metadata!", ADDRESS(INDEX($AJ$2:$AJ$1001,MATCH(ROWS($AH$2:AH382),$AH$2:$AH$1001,0),0), INDEX($AO$1004:$BQ$1004,1,MATCH(COLUMNS($AO$1006:BC1006),$AO$1006:$BQ$1006,0)))),"Fix")))</f>
        <v>#N/A</v>
      </c>
      <c r="Q382" s="5" t="e">
        <f ca="1">IF(OR(INDEX($AI$2:$AI$1001,MATCH(ROWS($AH$2:AH382),$AH$2:$AH$1001,0),1)&gt;=100000,INDEX($AO$1005:$BQ$1005,1,MATCH(COLUMNS($AO$1006:BD1006),$AO$1006:$BQ$1006,0))&gt;=100000), " ",IF(INDEX($AO$2:$BQ$1001,MATCH(ROWS($AH$2:AH382),$AH$2:$AH$1001,0),MATCH(COLUMNS($AO$1006:BD1006),$AO$1006:$BQ$1006,0)), HYPERLINK("#",""), HYPERLINK(CONCATENATE("#Metadata!", ADDRESS(INDEX($AJ$2:$AJ$1001,MATCH(ROWS($AH$2:AH382),$AH$2:$AH$1001,0),0), INDEX($AO$1004:$BQ$1004,1,MATCH(COLUMNS($AO$1006:BD1006),$AO$1006:$BQ$1006,0)))),"Fix")))</f>
        <v>#N/A</v>
      </c>
      <c r="R382" s="5" t="e">
        <f ca="1">IF(OR(INDEX($AI$2:$AI$1001,MATCH(ROWS($AH$2:AH382),$AH$2:$AH$1001,0),1)&gt;=100000,INDEX($AO$1005:$BQ$1005,1,MATCH(COLUMNS($AO$1006:BE1006),$AO$1006:$BQ$1006,0))&gt;=100000), " ",IF(INDEX($AO$2:$BQ$1001,MATCH(ROWS($AH$2:AH382),$AH$2:$AH$1001,0),MATCH(COLUMNS($AO$1006:BE1006),$AO$1006:$BQ$1006,0)), HYPERLINK("#",""), HYPERLINK(CONCATENATE("#Metadata!", ADDRESS(INDEX($AJ$2:$AJ$1001,MATCH(ROWS($AH$2:AH382),$AH$2:$AH$1001,0),0), INDEX($AO$1004:$BQ$1004,1,MATCH(COLUMNS($AO$1006:BE1006),$AO$1006:$BQ$1006,0)))),"Fix")))</f>
        <v>#N/A</v>
      </c>
      <c r="S382" s="5" t="e">
        <f ca="1">IF(OR(INDEX($AI$2:$AI$1001,MATCH(ROWS($AH$2:AH382),$AH$2:$AH$1001,0),1)&gt;=100000,INDEX($AO$1005:$BQ$1005,1,MATCH(COLUMNS($AO$1006:BF1006),$AO$1006:$BQ$1006,0))&gt;=100000), " ",IF(INDEX($AO$2:$BQ$1001,MATCH(ROWS($AH$2:AH382),$AH$2:$AH$1001,0),MATCH(COLUMNS($AO$1006:BF1006),$AO$1006:$BQ$1006,0)), HYPERLINK("#",""), HYPERLINK(CONCATENATE("#Metadata!", ADDRESS(INDEX($AJ$2:$AJ$1001,MATCH(ROWS($AH$2:AH382),$AH$2:$AH$1001,0),0), INDEX($AO$1004:$BQ$1004,1,MATCH(COLUMNS($AO$1006:BF1006),$AO$1006:$BQ$1006,0)))),"Fix")))</f>
        <v>#N/A</v>
      </c>
      <c r="T382" s="5" t="e">
        <f ca="1">IF(OR(INDEX($AI$2:$AI$1001,MATCH(ROWS($AH$2:AH382),$AH$2:$AH$1001,0),1)&gt;=100000,INDEX($AO$1005:$BQ$1005,1,MATCH(COLUMNS($AO$1006:BG1006),$AO$1006:$BQ$1006,0))&gt;=100000), " ",IF(INDEX($AO$2:$BQ$1001,MATCH(ROWS($AH$2:AH382),$AH$2:$AH$1001,0),MATCH(COLUMNS($AO$1006:BG1006),$AO$1006:$BQ$1006,0)), HYPERLINK("#",""), HYPERLINK(CONCATENATE("#Metadata!", ADDRESS(INDEX($AJ$2:$AJ$1001,MATCH(ROWS($AH$2:AH382),$AH$2:$AH$1001,0),0), INDEX($AO$1004:$BQ$1004,1,MATCH(COLUMNS($AO$1006:BG1006),$AO$1006:$BQ$1006,0)))),"Fix")))</f>
        <v>#N/A</v>
      </c>
      <c r="U382" s="5" t="e">
        <f ca="1">IF(OR(INDEX($AI$2:$AI$1001,MATCH(ROWS($AH$2:AH382),$AH$2:$AH$1001,0),1)&gt;=100000,INDEX($AO$1005:$BQ$1005,1,MATCH(COLUMNS($AO$1006:BH1006),$AO$1006:$BQ$1006,0))&gt;=100000), " ",IF(INDEX($AO$2:$BQ$1001,MATCH(ROWS($AH$2:AH382),$AH$2:$AH$1001,0),MATCH(COLUMNS($AO$1006:BH1006),$AO$1006:$BQ$1006,0)), HYPERLINK("#",""), HYPERLINK(CONCATENATE("#Metadata!", ADDRESS(INDEX($AJ$2:$AJ$1001,MATCH(ROWS($AH$2:AH382),$AH$2:$AH$1001,0),0), INDEX($AO$1004:$BQ$1004,1,MATCH(COLUMNS($AO$1006:BH1006),$AO$1006:$BQ$1006,0)))),"Fix")))</f>
        <v>#N/A</v>
      </c>
      <c r="V382" s="5" t="e">
        <f ca="1">IF(OR(INDEX($AI$2:$AI$1001,MATCH(ROWS($AH$2:AH382),$AH$2:$AH$1001,0),1)&gt;=100000,INDEX($AO$1005:$BQ$1005,1,MATCH(COLUMNS($AO$1006:BI1006),$AO$1006:$BQ$1006,0))&gt;=100000), " ",IF(INDEX($AO$2:$BQ$1001,MATCH(ROWS($AH$2:AH382),$AH$2:$AH$1001,0),MATCH(COLUMNS($AO$1006:BI1006),$AO$1006:$BQ$1006,0)), HYPERLINK("#",""), HYPERLINK(CONCATENATE("#Metadata!", ADDRESS(INDEX($AJ$2:$AJ$1001,MATCH(ROWS($AH$2:AH382),$AH$2:$AH$1001,0),0), INDEX($AO$1004:$BQ$1004,1,MATCH(COLUMNS($AO$1006:BI1006),$AO$1006:$BQ$1006,0)))),"Fix")))</f>
        <v>#N/A</v>
      </c>
      <c r="W382" s="5" t="e">
        <f ca="1">IF(OR(INDEX($AI$2:$AI$1001,MATCH(ROWS($AH$2:AH382),$AH$2:$AH$1001,0),1)&gt;=100000,INDEX($AO$1005:$BQ$1005,1,MATCH(COLUMNS($AO$1006:BJ1006),$AO$1006:$BQ$1006,0))&gt;=100000), " ",IF(INDEX($AO$2:$BQ$1001,MATCH(ROWS($AH$2:AH382),$AH$2:$AH$1001,0),MATCH(COLUMNS($AO$1006:BJ1006),$AO$1006:$BQ$1006,0)), HYPERLINK("#",""), HYPERLINK(CONCATENATE("#Metadata!", ADDRESS(INDEX($AJ$2:$AJ$1001,MATCH(ROWS($AH$2:AH382),$AH$2:$AH$1001,0),0), INDEX($AO$1004:$BQ$1004,1,MATCH(COLUMNS($AO$1006:BJ1006),$AO$1006:$BQ$1006,0)))),"Fix")))</f>
        <v>#N/A</v>
      </c>
      <c r="X382" s="5" t="e">
        <f ca="1">IF(OR(INDEX($AI$2:$AI$1001,MATCH(ROWS($AH$2:AH382),$AH$2:$AH$1001,0),1)&gt;=100000,INDEX($AO$1005:$BQ$1005,1,MATCH(COLUMNS($AO$1006:BK1006),$AO$1006:$BQ$1006,0))&gt;=100000), " ",IF(INDEX($AO$2:$BQ$1001,MATCH(ROWS($AH$2:AH382),$AH$2:$AH$1001,0),MATCH(COLUMNS($AO$1006:BK1006),$AO$1006:$BQ$1006,0)), HYPERLINK("#",""), HYPERLINK(CONCATENATE("#Metadata!", ADDRESS(INDEX($AJ$2:$AJ$1001,MATCH(ROWS($AH$2:AH382),$AH$2:$AH$1001,0),0), INDEX($AO$1004:$BQ$1004,1,MATCH(COLUMNS($AO$1006:BK1006),$AO$1006:$BQ$1006,0)))),"Fix")))</f>
        <v>#N/A</v>
      </c>
      <c r="Y382" s="5" t="e">
        <f ca="1">IF(OR(INDEX($AI$2:$AI$1001,MATCH(ROWS($AH$2:AH382),$AH$2:$AH$1001,0),1)&gt;=100000,INDEX($AO$1005:$BQ$1005,1,MATCH(COLUMNS($AO$1006:BL1006),$AO$1006:$BQ$1006,0))&gt;=100000), " ",IF(INDEX($AO$2:$BQ$1001,MATCH(ROWS($AH$2:AH382),$AH$2:$AH$1001,0),MATCH(COLUMNS($AO$1006:BL1006),$AO$1006:$BQ$1006,0)), HYPERLINK("#",""), HYPERLINK(CONCATENATE("#Metadata!", ADDRESS(INDEX($AJ$2:$AJ$1001,MATCH(ROWS($AH$2:AH382),$AH$2:$AH$1001,0),0), INDEX($AO$1004:$BQ$1004,1,MATCH(COLUMNS($AO$1006:BL1006),$AO$1006:$BQ$1006,0)))),"Fix")))</f>
        <v>#N/A</v>
      </c>
      <c r="Z382" s="5" t="e">
        <f ca="1">IF(OR(INDEX($AI$2:$AI$1001,MATCH(ROWS($AH$2:AH382),$AH$2:$AH$1001,0),1)&gt;=100000,INDEX($AO$1005:$BQ$1005,1,MATCH(COLUMNS($AO$1006:BM1006),$AO$1006:$BQ$1006,0))&gt;=100000), " ",IF(INDEX($AO$2:$BQ$1001,MATCH(ROWS($AH$2:AH382),$AH$2:$AH$1001,0),MATCH(COLUMNS($AO$1006:BM1006),$AO$1006:$BQ$1006,0)), HYPERLINK("#",""), HYPERLINK(CONCATENATE("#Metadata!", ADDRESS(INDEX($AJ$2:$AJ$1001,MATCH(ROWS($AH$2:AH382),$AH$2:$AH$1001,0),0), INDEX($AO$1004:$BQ$1004,1,MATCH(COLUMNS($AO$1006:BM1006),$AO$1006:$BQ$1006,0)))),"Fix")))</f>
        <v>#N/A</v>
      </c>
      <c r="AA382" s="5" t="e">
        <f ca="1">IF(OR(INDEX($AI$2:$AI$1001,MATCH(ROWS($AH$2:AH382),$AH$2:$AH$1001,0),1)&gt;=100000,INDEX($AO$1005:$BQ$1005,1,MATCH(COLUMNS($AO$1006:BN1006),$AO$1006:$BQ$1006,0))&gt;=100000), " ",IF(INDEX($AO$2:$BQ$1001,MATCH(ROWS($AH$2:AH382),$AH$2:$AH$1001,0),MATCH(COLUMNS($AO$1006:BN1006),$AO$1006:$BQ$1006,0)), HYPERLINK("#",""), HYPERLINK(CONCATENATE("#Metadata!", ADDRESS(INDEX($AJ$2:$AJ$1001,MATCH(ROWS($AH$2:AH382),$AH$2:$AH$1001,0),0), INDEX($AO$1004:$BQ$1004,1,MATCH(COLUMNS($AO$1006:BN1006),$AO$1006:$BQ$1006,0)))),"Fix")))</f>
        <v>#N/A</v>
      </c>
      <c r="AB382" s="5" t="e">
        <f ca="1">IF(OR(INDEX($AI$2:$AI$1001,MATCH(ROWS($AH$2:AH382),$AH$2:$AH$1001,0),1)&gt;=100000,INDEX($AO$1005:$BQ$1005,1,MATCH(COLUMNS($AO$1006:BO1006),$AO$1006:$BQ$1006,0))&gt;=100000), " ",IF(INDEX($AO$2:$BQ$1001,MATCH(ROWS($AH$2:AH382),$AH$2:$AH$1001,0),MATCH(COLUMNS($AO$1006:BO1006),$AO$1006:$BQ$1006,0)), HYPERLINK("#",""), HYPERLINK(CONCATENATE("#Metadata!", ADDRESS(INDEX($AJ$2:$AJ$1001,MATCH(ROWS($AH$2:AH382),$AH$2:$AH$1001,0),0), INDEX($AO$1004:$BQ$1004,1,MATCH(COLUMNS($AO$1006:BO1006),$AO$1006:$BQ$1006,0)))),"Fix")))</f>
        <v>#N/A</v>
      </c>
      <c r="AC382" s="5" t="e">
        <f ca="1">IF(OR(INDEX($AI$2:$AI$1001,MATCH(ROWS($AH$2:AH382),$AH$2:$AH$1001,0),1)&gt;=100000,INDEX($AO$1005:$BQ$1005,1,MATCH(COLUMNS($AO$1006:BP1006),$AO$1006:$BQ$1006,0))&gt;=100000), " ",IF(INDEX($AO$2:$BQ$1001,MATCH(ROWS($AH$2:AH382),$AH$2:$AH$1001,0),MATCH(COLUMNS($AO$1006:BP1006),$AO$1006:$BQ$1006,0)), HYPERLINK("#",""), HYPERLINK(CONCATENATE("#Metadata!", ADDRESS(INDEX($AJ$2:$AJ$1001,MATCH(ROWS($AH$2:AH382),$AH$2:$AH$1001,0),0), INDEX($AO$1004:$BQ$1004,1,MATCH(COLUMNS($AO$1006:BP1006),$AO$1006:$BQ$1006,0)))),"Fix")))</f>
        <v>#N/A</v>
      </c>
      <c r="AD382" s="5" t="e">
        <f ca="1">IF(OR(INDEX($AI$2:$AI$1001,MATCH(ROWS($AH$2:AH382),$AH$2:$AH$1001,0),1)&gt;=100000,INDEX($AO$1005:$BQ$1005,1,MATCH(COLUMNS($AO$1006:BQ1006),$AO$1006:$BQ$1006,0))&gt;=100000), " ",IF(INDEX($AO$2:$BQ$1001,MATCH(ROWS($AH$2:AH382),$AH$2:$AH$1001,0),MATCH(COLUMNS($AO$1006:BQ1006),$AO$1006:$BQ$1006,0)), HYPERLINK("#",""), HYPERLINK(CONCATENATE("#Metadata!", ADDRESS(INDEX($AJ$2:$AJ$1001,MATCH(ROWS($AH$2:AH382),$AH$2:$AH$1001,0),0), INDEX($AO$1004:$BQ$1004,1,MATCH(COLUMNS($AO$1006:BQ1006),$AO$1006:$BQ$1006,0)))),"Fix")))</f>
        <v>#REF!</v>
      </c>
      <c r="AH382">
        <f ca="1"/>
        <v>379</v>
      </c>
      <c r="AI382">
        <v>100382</v>
      </c>
      <c r="AJ382">
        <v>382</v>
      </c>
      <c r="AK382" t="b">
        <f t="shared" si="5"/>
        <v>1</v>
      </c>
      <c r="AL382" t="b">
        <f>COUNTBLANK(Metadata!B382:AD382)=COLUMNS(Metadata!B382:AD382)</f>
        <v>1</v>
      </c>
      <c r="AM382" t="str">
        <v/>
      </c>
      <c r="AO382" t="b">
        <f ca="1">AND(IF(Metadata!B382="",FALSE,TRUE),COUNTIF(Metadata!B:B, Metadata!B382) = 1,NOT(ISERROR(SUMPRODUCT(SEARCH(MID(Metadata!B382,ROW(INDIRECT("1:"&amp;LEN(Metadata!B382))), 1),"0123456789abcdefghijklmnopqrstuvwxyzABCDEFGHIJKLMNOPQRSTUVWXYZ.")))))</f>
        <v>0</v>
      </c>
      <c r="AP382" t="b">
        <f>IF(Metadata!C382="",FALSE,TRUE)</f>
        <v>0</v>
      </c>
      <c r="AQ382" t="b">
        <f>IF(Metadata!D382="",FALSE,TRUE)</f>
        <v>0</v>
      </c>
      <c r="AR382" t="b">
        <f ca="1">OR(AND(IF(Metadata!E382="",FALSE,TRUE),OR(EXACT(Metadata!E382,"not collected"),EXACT(Metadata!E382,"not provided"),EXACT(Metadata!E382,"restricted access"))),AND(IF(Metadata!E382="",FALSE,TRUE),AND(AND(IFERROR(INT(LEFT(Metadata!E382,4))&gt;1900,FALSE),IFERROR(INT(LEFT(Metadata!E382,4))&lt;=YEAR(NOW()),FALSE)), OR(MID(Metadata!E382,5,1)="", AND(AND(MID(Metadata!E382,5,1)="-",IFERROR(INT(MID(Metadata!E382,6,1))&gt;=0,FALSE),IFERROR(INT(MID(Metadata!E382,6,1))&lt;=1,FALSE),NOT(MID(Metadata!E382,7,1)=""),IFERROR(INT(MID(Metadata!E382,6,2))&gt;=1,FALSE),IFERROR(INT(MID(Metadata!E382,6,2))&lt;=12,FALSE)), OR(MID(Metadata!E382,8,1)="", AND(AND(MID(Metadata!E382,8,1)="-",IFERROR(INT(MID(Metadata!E382,9,1))&gt;=0,FALSE),IFERROR(INT(MID(Metadata!E382,9,1))&lt;=3,FALSE),NOT(MID(Metadata!E382,10,1)=""),IFERROR(INT(MID(Metadata!E382,9,2))&gt;=1,FALSE),IFERROR(INT(MID(Metadata!E382,9,2))&lt;=31,FALSE)), OR(MID(Metadata!E382,11,1)="", AND(AND(MID(Metadata!E382,11,1)=" ",IFERROR(INT(MID(Metadata!E382,12,1))&gt;=0,FALSE),IFERROR(INT(MID(Metadata!E382,12,1))&lt;=2,FALSE),NOT(MID(Metadata!E382,13,1)=""),IFERROR(INT(MID(Metadata!E382,12,2))&gt;=0,FALSE),IFERROR(INT(MID(Metadata!E382,12,2))&lt;=23,FALSE)), OR(MID(Metadata!E382,14,1)="", AND(AND(MID(Metadata!E382,14,1)=":",IFERROR(INT(MID(Metadata!E382,15,1))&gt;=0,FALSE),IFERROR(INT(MID(Metadata!E382,15,1))&lt;=5,FALSE),NOT(MID(Metadata!E382,16,1)=""),IFERROR(INT(MID(Metadata!E382,15,2))&gt;=0,FALSE),IFERROR(INT(MID(Metadata!E382,15,2))&lt;=59,FALSE)), OR(MID(Metadata!E382,17,1)="", AND(AND(MID(Metadata!E382,17,1)=":",IFERROR(INT(MID(Metadata!E382,18,1))&gt;=0,FALSE),IFERROR(INT(MID(Metadata!E382,18,1))&lt;=5,FALSE),NOT(MID(Metadata!E382,19,1)=""),IFERROR(INT(MID(Metadata!E382,18,2))&gt;=0,FALSE),IFERROR(INT(MID(Metadata!E382,18,2))&lt;=59,FALSE)), LEN(Metadata!E382)&lt;=19)))))))))))))</f>
        <v>0</v>
      </c>
      <c r="AS382" t="b">
        <f>IF(Metadata!F382="",FALSE,TRUE)</f>
        <v>0</v>
      </c>
      <c r="AT382" t="b">
        <f>OR(AND(IF(Metadata!G382="",FALSE,TRUE),OR(EXACT(Metadata!G382,"not collected"),EXACT(Metadata!G382,"not provided"))),AND(IF(Metadata!G382="",FALSE,TRUE),OR(EXACT(Metadata!G382,"TRUE"),EXACT(Metadata!G382,"FALSE"))))</f>
        <v>0</v>
      </c>
      <c r="AU382" t="b">
        <f>OR(AND(IF(Metadata!H382="",FALSE,TRUE),OR(EXACT(Metadata!H382,"not collected"),EXACT(Metadata!H382,"not provided"),EXACT(Metadata!H382,"restricted access"))),AND(IF(Metadata!H382="",FALSE,ISNUMBER(VALUE(Metadata!H382))),Metadata!H382&gt;=-413))</f>
        <v>0</v>
      </c>
      <c r="AV382" t="b">
        <f>AND(IF(Metadata!I382="",FALSE,TRUE),EXACT(Metadata!I382,"meters"))</f>
        <v>0</v>
      </c>
      <c r="AW382" t="b">
        <f>AND(IF(Metadata!J382="",FALSE,TRUE),EXACT(Metadata!J382,"free-living"))</f>
        <v>0</v>
      </c>
      <c r="AX382" t="b">
        <f>AND(IF(Metadata!K382="",FALSE,TRUE),OR(EXACT(Metadata!K382,"saline"),EXACT(Metadata!K382,"non-saline")))</f>
        <v>0</v>
      </c>
      <c r="AY382" t="b">
        <f>AND(IF(Metadata!L382="",FALSE,TRUE),OR(EXACT(Metadata!L382,"sub-surface (non-saline)"),EXACT(Metadata!L382,"surface (non-saline)"),EXACT(Metadata!L382,"water (non-saline)"),EXACT(Metadata!L382,"soil (non-saline)"),EXACT(Metadata!L382,"aerosol (non-saline)"),EXACT(Metadata!L382,"sediment (non-saline)"),EXACT(Metadata!L382,"surface (saline)"),EXACT(Metadata!L382,"water (saline)"),EXACT(Metadata!L382,"hypersaline (saline)"),EXACT(Metadata!L382,"aerosol (saline)"),EXACT(Metadata!L382,"sediment (saline)")))</f>
        <v>0</v>
      </c>
      <c r="AZ382" t="b">
        <f>IF(Metadata!M382="",FALSE,TRUE)</f>
        <v>0</v>
      </c>
      <c r="BA382" t="b">
        <f>IF(Metadata!N382="",FALSE,TRUE)</f>
        <v>0</v>
      </c>
      <c r="BB382" t="b">
        <f>IF(Metadata!O382="",FALSE,TRUE)</f>
        <v>0</v>
      </c>
      <c r="BC382" t="b">
        <f>AND(IF(Metadata!P382="",FALSE,TRUE),OR(EXACT(Metadata!P382,"air"),EXACT(Metadata!P382,"microbial mat/biofilm"),EXACT(Metadata!P382,"misc environment"),EXACT(Metadata!P382,"sediment"),EXACT(Metadata!P382,"soil"),EXACT(Metadata!P382,"wastewater/sludge"),EXACT(Metadata!P382,"water")))</f>
        <v>0</v>
      </c>
      <c r="BD382" t="b">
        <f>IF(Metadata!Q382="",FALSE,TRUE)</f>
        <v>0</v>
      </c>
      <c r="BE382" t="b">
        <f>IF(Metadata!R382="",FALSE,TRUE)</f>
        <v>0</v>
      </c>
      <c r="BF382" t="b">
        <f>OR(AND(IF(Metadata!S382="",FALSE,TRUE),OR(EXACT(Metadata!S382,"not collected"),EXACT(Metadata!S382,"not provided"),EXACT(Metadata!S382,"restricted access"))),AND(IF(Metadata!S382="",FALSE,ISNUMBER(VALUE(Metadata!S382))),Metadata!S382&gt;=-90,Metadata!S382&lt;=90))</f>
        <v>0</v>
      </c>
      <c r="BG382" t="b">
        <f>AND(IF(Metadata!T382="",FALSE,TRUE),EXACT(Metadata!T382,"Decimal degrees"))</f>
        <v>0</v>
      </c>
      <c r="BH382" t="b">
        <f>OR(AND(IF(Metadata!U382="",FALSE,TRUE),OR(EXACT(Metadata!U382,"not applicable"),EXACT(Metadata!U382,"not collected"))),IF(Metadata!U382="",FALSE,TRUE))</f>
        <v>0</v>
      </c>
      <c r="BI382" t="b">
        <f>OR(AND(IF(Metadata!V382="",FALSE,TRUE),OR(EXACT(Metadata!V382,"not collected"),EXACT(Metadata!V382,"not provided"),EXACT(Metadata!V382,"restricted access"))),AND(IF(Metadata!V382="",FALSE,ISNUMBER(VALUE(Metadata!V382))),Metadata!V382&gt;=-180,Metadata!V382&lt;=180))</f>
        <v>0</v>
      </c>
      <c r="BJ382" t="b">
        <f>AND(IF(Metadata!W382="",FALSE,TRUE),EXACT(Metadata!W382,"Decimal degrees"))</f>
        <v>0</v>
      </c>
      <c r="BK382" t="b">
        <f>IF(Metadata!X382="",FALSE,TRUE)</f>
        <v>0</v>
      </c>
      <c r="BL382" t="b">
        <f>OR(AND(IF(Metadata!Y382="",FALSE,TRUE),OR(EXACT(Metadata!Y382,"not collected"),EXACT(Metadata!Y382,"not provided"),EXACT(Metadata!Y382,"restricted access"))),AND(IF(Metadata!Y382="",FALSE,TRUE),OR(EXACT(Metadata!Y382,"TRUE"),EXACT(Metadata!Y382,"FALSE"))))</f>
        <v>0</v>
      </c>
      <c r="BM382" t="b">
        <f>OR(AND(IF(Metadata!Z382="",FALSE,TRUE),EXACT(Metadata!Z382,"not applicable")),AND(IF(Metadata!Z382="",FALSE,TRUE),OR(EXACT(Metadata!Z382,"beer"),EXACT(Metadata!Z382,"cheese"),EXACT(Metadata!Z382,"fresh water"),EXACT(Metadata!Z382,"marine sediment"),EXACT(Metadata!Z382,"sea water"),EXACT(Metadata!Z382,"sediment"),EXACT(Metadata!Z382,"soil"),EXACT(Metadata!Z382,"waste water"))))</f>
        <v>0</v>
      </c>
      <c r="BN382" t="b">
        <f>AND(IF(Metadata!AA382="",FALSE,TRUE),EXACT(Metadata!AA382,"metagenome"))</f>
        <v>0</v>
      </c>
      <c r="BO382" t="b">
        <f>AND(IF(Metadata!AB382="",FALSE,TRUE),EXACT(Metadata!AB382,"256318"))</f>
        <v>0</v>
      </c>
      <c r="BP382" t="b">
        <f>IF(Metadata!AC382="",FALSE,TRUE)</f>
        <v>0</v>
      </c>
      <c r="BQ382" t="b">
        <f>IF(Metadata!AD382="",FALSE,TRUE)</f>
        <v>0</v>
      </c>
    </row>
    <row r="383" spans="1:69" x14ac:dyDescent="0.2">
      <c r="A383" s="4" t="e">
        <f ca="1">IF(B383=" "," ",HYPERLINK(CONCATENATE("#metadata!",ADDRESS(INDEX($AJ$2:$AJ$1001,MATCH(ROWS($AH$2:AH383),$AH$2:$AH$1001,0),0),2)),INDEX($AM$2:$AM$1001,MATCH(ROWS($AH$2:AH383),$AH$2:$AH$1001,0),0)))</f>
        <v>#N/A</v>
      </c>
      <c r="B383" s="5" t="e">
        <f ca="1">IF(OR(INDEX($AI$2:$AI$1001,MATCH(ROWS($AH$2:AH383),$AH$2:$AH$1001,0),1)&gt;=100000,INDEX($AO$1005:$BQ$1005,1,MATCH(COLUMNS($AO$1006:AO1006),$AO$1006:$BQ$1006,0))&gt;=100000), " ",IF(INDEX($AO$2:$BQ$1001,MATCH(ROWS($AH$2:AH383),$AH$2:$AH$1001,0),MATCH(COLUMNS($AO$1006:AO1006),$AO$1006:$BQ$1006,0)), HYPERLINK("#",""), HYPERLINK(CONCATENATE("#Metadata!", ADDRESS(INDEX($AJ$2:$AJ$1001,MATCH(ROWS($AH$2:AH383),$AH$2:$AH$1001,0),0), INDEX($AO$1004:$BQ$1004,1,MATCH(COLUMNS($AO$1006:AO1006),$AO$1006:$BQ$1006,0)))),"Fix")))</f>
        <v>#N/A</v>
      </c>
      <c r="C383" s="5" t="e">
        <f ca="1">IF(OR(INDEX($AI$2:$AI$1001,MATCH(ROWS($AH$2:AH383),$AH$2:$AH$1001,0),1)&gt;=100000,INDEX($AO$1005:$BQ$1005,1,MATCH(COLUMNS($AO$1006:AP1006),$AO$1006:$BQ$1006,0))&gt;=100000), " ",IF(INDEX($AO$2:$BQ$1001,MATCH(ROWS($AH$2:AH383),$AH$2:$AH$1001,0),MATCH(COLUMNS($AO$1006:AP1006),$AO$1006:$BQ$1006,0)), HYPERLINK("#",""), HYPERLINK(CONCATENATE("#Metadata!", ADDRESS(INDEX($AJ$2:$AJ$1001,MATCH(ROWS($AH$2:AH383),$AH$2:$AH$1001,0),0), INDEX($AO$1004:$BQ$1004,1,MATCH(COLUMNS($AO$1006:AP1006),$AO$1006:$BQ$1006,0)))),"Fix")))</f>
        <v>#N/A</v>
      </c>
      <c r="D383" s="5" t="e">
        <f ca="1">IF(OR(INDEX($AI$2:$AI$1001,MATCH(ROWS($AH$2:AH383),$AH$2:$AH$1001,0),1)&gt;=100000,INDEX($AO$1005:$BQ$1005,1,MATCH(COLUMNS($AO$1006:AQ1006),$AO$1006:$BQ$1006,0))&gt;=100000), " ",IF(INDEX($AO$2:$BQ$1001,MATCH(ROWS($AH$2:AH383),$AH$2:$AH$1001,0),MATCH(COLUMNS($AO$1006:AQ1006),$AO$1006:$BQ$1006,0)), HYPERLINK("#",""), HYPERLINK(CONCATENATE("#Metadata!", ADDRESS(INDEX($AJ$2:$AJ$1001,MATCH(ROWS($AH$2:AH383),$AH$2:$AH$1001,0),0), INDEX($AO$1004:$BQ$1004,1,MATCH(COLUMNS($AO$1006:AQ1006),$AO$1006:$BQ$1006,0)))),"Fix")))</f>
        <v>#N/A</v>
      </c>
      <c r="E383" s="5" t="e">
        <f ca="1">IF(OR(INDEX($AI$2:$AI$1001,MATCH(ROWS($AH$2:AH383),$AH$2:$AH$1001,0),1)&gt;=100000,INDEX($AO$1005:$BQ$1005,1,MATCH(COLUMNS($AO$1006:AR1006),$AO$1006:$BQ$1006,0))&gt;=100000), " ",IF(INDEX($AO$2:$BQ$1001,MATCH(ROWS($AH$2:AH383),$AH$2:$AH$1001,0),MATCH(COLUMNS($AO$1006:AR1006),$AO$1006:$BQ$1006,0)), HYPERLINK("#",""), HYPERLINK(CONCATENATE("#Metadata!", ADDRESS(INDEX($AJ$2:$AJ$1001,MATCH(ROWS($AH$2:AH383),$AH$2:$AH$1001,0),0), INDEX($AO$1004:$BQ$1004,1,MATCH(COLUMNS($AO$1006:AR1006),$AO$1006:$BQ$1006,0)))),"Fix")))</f>
        <v>#N/A</v>
      </c>
      <c r="F383" s="5" t="e">
        <f ca="1">IF(OR(INDEX($AI$2:$AI$1001,MATCH(ROWS($AH$2:AH383),$AH$2:$AH$1001,0),1)&gt;=100000,INDEX($AO$1005:$BQ$1005,1,MATCH(COLUMNS($AO$1006:AS1006),$AO$1006:$BQ$1006,0))&gt;=100000), " ",IF(INDEX($AO$2:$BQ$1001,MATCH(ROWS($AH$2:AH383),$AH$2:$AH$1001,0),MATCH(COLUMNS($AO$1006:AS1006),$AO$1006:$BQ$1006,0)), HYPERLINK("#",""), HYPERLINK(CONCATENATE("#Metadata!", ADDRESS(INDEX($AJ$2:$AJ$1001,MATCH(ROWS($AH$2:AH383),$AH$2:$AH$1001,0),0), INDEX($AO$1004:$BQ$1004,1,MATCH(COLUMNS($AO$1006:AS1006),$AO$1006:$BQ$1006,0)))),"Fix")))</f>
        <v>#N/A</v>
      </c>
      <c r="G383" s="5" t="e">
        <f ca="1">IF(OR(INDEX($AI$2:$AI$1001,MATCH(ROWS($AH$2:AH383),$AH$2:$AH$1001,0),1)&gt;=100000,INDEX($AO$1005:$BQ$1005,1,MATCH(COLUMNS($AO$1006:AT1006),$AO$1006:$BQ$1006,0))&gt;=100000), " ",IF(INDEX($AO$2:$BQ$1001,MATCH(ROWS($AH$2:AH383),$AH$2:$AH$1001,0),MATCH(COLUMNS($AO$1006:AT1006),$AO$1006:$BQ$1006,0)), HYPERLINK("#",""), HYPERLINK(CONCATENATE("#Metadata!", ADDRESS(INDEX($AJ$2:$AJ$1001,MATCH(ROWS($AH$2:AH383),$AH$2:$AH$1001,0),0), INDEX($AO$1004:$BQ$1004,1,MATCH(COLUMNS($AO$1006:AT1006),$AO$1006:$BQ$1006,0)))),"Fix")))</f>
        <v>#N/A</v>
      </c>
      <c r="H383" s="5" t="e">
        <f ca="1">IF(OR(INDEX($AI$2:$AI$1001,MATCH(ROWS($AH$2:AH383),$AH$2:$AH$1001,0),1)&gt;=100000,INDEX($AO$1005:$BQ$1005,1,MATCH(COLUMNS($AO$1006:AU1006),$AO$1006:$BQ$1006,0))&gt;=100000), " ",IF(INDEX($AO$2:$BQ$1001,MATCH(ROWS($AH$2:AH383),$AH$2:$AH$1001,0),MATCH(COLUMNS($AO$1006:AU1006),$AO$1006:$BQ$1006,0)), HYPERLINK("#",""), HYPERLINK(CONCATENATE("#Metadata!", ADDRESS(INDEX($AJ$2:$AJ$1001,MATCH(ROWS($AH$2:AH383),$AH$2:$AH$1001,0),0), INDEX($AO$1004:$BQ$1004,1,MATCH(COLUMNS($AO$1006:AU1006),$AO$1006:$BQ$1006,0)))),"Fix")))</f>
        <v>#N/A</v>
      </c>
      <c r="I383" s="5" t="e">
        <f ca="1">IF(OR(INDEX($AI$2:$AI$1001,MATCH(ROWS($AH$2:AH383),$AH$2:$AH$1001,0),1)&gt;=100000,INDEX($AO$1005:$BQ$1005,1,MATCH(COLUMNS($AO$1006:AV1006),$AO$1006:$BQ$1006,0))&gt;=100000), " ",IF(INDEX($AO$2:$BQ$1001,MATCH(ROWS($AH$2:AH383),$AH$2:$AH$1001,0),MATCH(COLUMNS($AO$1006:AV1006),$AO$1006:$BQ$1006,0)), HYPERLINK("#",""), HYPERLINK(CONCATENATE("#Metadata!", ADDRESS(INDEX($AJ$2:$AJ$1001,MATCH(ROWS($AH$2:AH383),$AH$2:$AH$1001,0),0), INDEX($AO$1004:$BQ$1004,1,MATCH(COLUMNS($AO$1006:AV1006),$AO$1006:$BQ$1006,0)))),"Fix")))</f>
        <v>#N/A</v>
      </c>
      <c r="J383" s="5" t="e">
        <f ca="1">IF(OR(INDEX($AI$2:$AI$1001,MATCH(ROWS($AH$2:AH383),$AH$2:$AH$1001,0),1)&gt;=100000,INDEX($AO$1005:$BQ$1005,1,MATCH(COLUMNS($AO$1006:AW1006),$AO$1006:$BQ$1006,0))&gt;=100000), " ",IF(INDEX($AO$2:$BQ$1001,MATCH(ROWS($AH$2:AH383),$AH$2:$AH$1001,0),MATCH(COLUMNS($AO$1006:AW1006),$AO$1006:$BQ$1006,0)), HYPERLINK("#",""), HYPERLINK(CONCATENATE("#Metadata!", ADDRESS(INDEX($AJ$2:$AJ$1001,MATCH(ROWS($AH$2:AH383),$AH$2:$AH$1001,0),0), INDEX($AO$1004:$BQ$1004,1,MATCH(COLUMNS($AO$1006:AW1006),$AO$1006:$BQ$1006,0)))),"Fix")))</f>
        <v>#N/A</v>
      </c>
      <c r="K383" s="5" t="e">
        <f ca="1">IF(OR(INDEX($AI$2:$AI$1001,MATCH(ROWS($AH$2:AH383),$AH$2:$AH$1001,0),1)&gt;=100000,INDEX($AO$1005:$BQ$1005,1,MATCH(COLUMNS($AO$1006:AX1006),$AO$1006:$BQ$1006,0))&gt;=100000), " ",IF(INDEX($AO$2:$BQ$1001,MATCH(ROWS($AH$2:AH383),$AH$2:$AH$1001,0),MATCH(COLUMNS($AO$1006:AX1006),$AO$1006:$BQ$1006,0)), HYPERLINK("#",""), HYPERLINK(CONCATENATE("#Metadata!", ADDRESS(INDEX($AJ$2:$AJ$1001,MATCH(ROWS($AH$2:AH383),$AH$2:$AH$1001,0),0), INDEX($AO$1004:$BQ$1004,1,MATCH(COLUMNS($AO$1006:AX1006),$AO$1006:$BQ$1006,0)))),"Fix")))</f>
        <v>#N/A</v>
      </c>
      <c r="L383" s="5" t="e">
        <f ca="1">IF(OR(INDEX($AI$2:$AI$1001,MATCH(ROWS($AH$2:AH383),$AH$2:$AH$1001,0),1)&gt;=100000,INDEX($AO$1005:$BQ$1005,1,MATCH(COLUMNS($AO$1006:AY1006),$AO$1006:$BQ$1006,0))&gt;=100000), " ",IF(INDEX($AO$2:$BQ$1001,MATCH(ROWS($AH$2:AH383),$AH$2:$AH$1001,0),MATCH(COLUMNS($AO$1006:AY1006),$AO$1006:$BQ$1006,0)), HYPERLINK("#",""), HYPERLINK(CONCATENATE("#Metadata!", ADDRESS(INDEX($AJ$2:$AJ$1001,MATCH(ROWS($AH$2:AH383),$AH$2:$AH$1001,0),0), INDEX($AO$1004:$BQ$1004,1,MATCH(COLUMNS($AO$1006:AY1006),$AO$1006:$BQ$1006,0)))),"Fix")))</f>
        <v>#N/A</v>
      </c>
      <c r="M383" s="5" t="e">
        <f ca="1">IF(OR(INDEX($AI$2:$AI$1001,MATCH(ROWS($AH$2:AH383),$AH$2:$AH$1001,0),1)&gt;=100000,INDEX($AO$1005:$BQ$1005,1,MATCH(COLUMNS($AO$1006:AZ1006),$AO$1006:$BQ$1006,0))&gt;=100000), " ",IF(INDEX($AO$2:$BQ$1001,MATCH(ROWS($AH$2:AH383),$AH$2:$AH$1001,0),MATCH(COLUMNS($AO$1006:AZ1006),$AO$1006:$BQ$1006,0)), HYPERLINK("#",""), HYPERLINK(CONCATENATE("#Metadata!", ADDRESS(INDEX($AJ$2:$AJ$1001,MATCH(ROWS($AH$2:AH383),$AH$2:$AH$1001,0),0), INDEX($AO$1004:$BQ$1004,1,MATCH(COLUMNS($AO$1006:AZ1006),$AO$1006:$BQ$1006,0)))),"Fix")))</f>
        <v>#N/A</v>
      </c>
      <c r="N383" s="5" t="e">
        <f ca="1">IF(OR(INDEX($AI$2:$AI$1001,MATCH(ROWS($AH$2:AH383),$AH$2:$AH$1001,0),1)&gt;=100000,INDEX($AO$1005:$BQ$1005,1,MATCH(COLUMNS($AO$1006:BA1006),$AO$1006:$BQ$1006,0))&gt;=100000), " ",IF(INDEX($AO$2:$BQ$1001,MATCH(ROWS($AH$2:AH383),$AH$2:$AH$1001,0),MATCH(COLUMNS($AO$1006:BA1006),$AO$1006:$BQ$1006,0)), HYPERLINK("#",""), HYPERLINK(CONCATENATE("#Metadata!", ADDRESS(INDEX($AJ$2:$AJ$1001,MATCH(ROWS($AH$2:AH383),$AH$2:$AH$1001,0),0), INDEX($AO$1004:$BQ$1004,1,MATCH(COLUMNS($AO$1006:BA1006),$AO$1006:$BQ$1006,0)))),"Fix")))</f>
        <v>#N/A</v>
      </c>
      <c r="O383" s="5" t="e">
        <f ca="1">IF(OR(INDEX($AI$2:$AI$1001,MATCH(ROWS($AH$2:AH383),$AH$2:$AH$1001,0),1)&gt;=100000,INDEX($AO$1005:$BQ$1005,1,MATCH(COLUMNS($AO$1006:BB1006),$AO$1006:$BQ$1006,0))&gt;=100000), " ",IF(INDEX($AO$2:$BQ$1001,MATCH(ROWS($AH$2:AH383),$AH$2:$AH$1001,0),MATCH(COLUMNS($AO$1006:BB1006),$AO$1006:$BQ$1006,0)), HYPERLINK("#",""), HYPERLINK(CONCATENATE("#Metadata!", ADDRESS(INDEX($AJ$2:$AJ$1001,MATCH(ROWS($AH$2:AH383),$AH$2:$AH$1001,0),0), INDEX($AO$1004:$BQ$1004,1,MATCH(COLUMNS($AO$1006:BB1006),$AO$1006:$BQ$1006,0)))),"Fix")))</f>
        <v>#N/A</v>
      </c>
      <c r="P383" s="5" t="e">
        <f ca="1">IF(OR(INDEX($AI$2:$AI$1001,MATCH(ROWS($AH$2:AH383),$AH$2:$AH$1001,0),1)&gt;=100000,INDEX($AO$1005:$BQ$1005,1,MATCH(COLUMNS($AO$1006:BC1006),$AO$1006:$BQ$1006,0))&gt;=100000), " ",IF(INDEX($AO$2:$BQ$1001,MATCH(ROWS($AH$2:AH383),$AH$2:$AH$1001,0),MATCH(COLUMNS($AO$1006:BC1006),$AO$1006:$BQ$1006,0)), HYPERLINK("#",""), HYPERLINK(CONCATENATE("#Metadata!", ADDRESS(INDEX($AJ$2:$AJ$1001,MATCH(ROWS($AH$2:AH383),$AH$2:$AH$1001,0),0), INDEX($AO$1004:$BQ$1004,1,MATCH(COLUMNS($AO$1006:BC1006),$AO$1006:$BQ$1006,0)))),"Fix")))</f>
        <v>#N/A</v>
      </c>
      <c r="Q383" s="5" t="e">
        <f ca="1">IF(OR(INDEX($AI$2:$AI$1001,MATCH(ROWS($AH$2:AH383),$AH$2:$AH$1001,0),1)&gt;=100000,INDEX($AO$1005:$BQ$1005,1,MATCH(COLUMNS($AO$1006:BD1006),$AO$1006:$BQ$1006,0))&gt;=100000), " ",IF(INDEX($AO$2:$BQ$1001,MATCH(ROWS($AH$2:AH383),$AH$2:$AH$1001,0),MATCH(COLUMNS($AO$1006:BD1006),$AO$1006:$BQ$1006,0)), HYPERLINK("#",""), HYPERLINK(CONCATENATE("#Metadata!", ADDRESS(INDEX($AJ$2:$AJ$1001,MATCH(ROWS($AH$2:AH383),$AH$2:$AH$1001,0),0), INDEX($AO$1004:$BQ$1004,1,MATCH(COLUMNS($AO$1006:BD1006),$AO$1006:$BQ$1006,0)))),"Fix")))</f>
        <v>#N/A</v>
      </c>
      <c r="R383" s="5" t="e">
        <f ca="1">IF(OR(INDEX($AI$2:$AI$1001,MATCH(ROWS($AH$2:AH383),$AH$2:$AH$1001,0),1)&gt;=100000,INDEX($AO$1005:$BQ$1005,1,MATCH(COLUMNS($AO$1006:BE1006),$AO$1006:$BQ$1006,0))&gt;=100000), " ",IF(INDEX($AO$2:$BQ$1001,MATCH(ROWS($AH$2:AH383),$AH$2:$AH$1001,0),MATCH(COLUMNS($AO$1006:BE1006),$AO$1006:$BQ$1006,0)), HYPERLINK("#",""), HYPERLINK(CONCATENATE("#Metadata!", ADDRESS(INDEX($AJ$2:$AJ$1001,MATCH(ROWS($AH$2:AH383),$AH$2:$AH$1001,0),0), INDEX($AO$1004:$BQ$1004,1,MATCH(COLUMNS($AO$1006:BE1006),$AO$1006:$BQ$1006,0)))),"Fix")))</f>
        <v>#N/A</v>
      </c>
      <c r="S383" s="5" t="e">
        <f ca="1">IF(OR(INDEX($AI$2:$AI$1001,MATCH(ROWS($AH$2:AH383),$AH$2:$AH$1001,0),1)&gt;=100000,INDEX($AO$1005:$BQ$1005,1,MATCH(COLUMNS($AO$1006:BF1006),$AO$1006:$BQ$1006,0))&gt;=100000), " ",IF(INDEX($AO$2:$BQ$1001,MATCH(ROWS($AH$2:AH383),$AH$2:$AH$1001,0),MATCH(COLUMNS($AO$1006:BF1006),$AO$1006:$BQ$1006,0)), HYPERLINK("#",""), HYPERLINK(CONCATENATE("#Metadata!", ADDRESS(INDEX($AJ$2:$AJ$1001,MATCH(ROWS($AH$2:AH383),$AH$2:$AH$1001,0),0), INDEX($AO$1004:$BQ$1004,1,MATCH(COLUMNS($AO$1006:BF1006),$AO$1006:$BQ$1006,0)))),"Fix")))</f>
        <v>#N/A</v>
      </c>
      <c r="T383" s="5" t="e">
        <f ca="1">IF(OR(INDEX($AI$2:$AI$1001,MATCH(ROWS($AH$2:AH383),$AH$2:$AH$1001,0),1)&gt;=100000,INDEX($AO$1005:$BQ$1005,1,MATCH(COLUMNS($AO$1006:BG1006),$AO$1006:$BQ$1006,0))&gt;=100000), " ",IF(INDEX($AO$2:$BQ$1001,MATCH(ROWS($AH$2:AH383),$AH$2:$AH$1001,0),MATCH(COLUMNS($AO$1006:BG1006),$AO$1006:$BQ$1006,0)), HYPERLINK("#",""), HYPERLINK(CONCATENATE("#Metadata!", ADDRESS(INDEX($AJ$2:$AJ$1001,MATCH(ROWS($AH$2:AH383),$AH$2:$AH$1001,0),0), INDEX($AO$1004:$BQ$1004,1,MATCH(COLUMNS($AO$1006:BG1006),$AO$1006:$BQ$1006,0)))),"Fix")))</f>
        <v>#N/A</v>
      </c>
      <c r="U383" s="5" t="e">
        <f ca="1">IF(OR(INDEX($AI$2:$AI$1001,MATCH(ROWS($AH$2:AH383),$AH$2:$AH$1001,0),1)&gt;=100000,INDEX($AO$1005:$BQ$1005,1,MATCH(COLUMNS($AO$1006:BH1006),$AO$1006:$BQ$1006,0))&gt;=100000), " ",IF(INDEX($AO$2:$BQ$1001,MATCH(ROWS($AH$2:AH383),$AH$2:$AH$1001,0),MATCH(COLUMNS($AO$1006:BH1006),$AO$1006:$BQ$1006,0)), HYPERLINK("#",""), HYPERLINK(CONCATENATE("#Metadata!", ADDRESS(INDEX($AJ$2:$AJ$1001,MATCH(ROWS($AH$2:AH383),$AH$2:$AH$1001,0),0), INDEX($AO$1004:$BQ$1004,1,MATCH(COLUMNS($AO$1006:BH1006),$AO$1006:$BQ$1006,0)))),"Fix")))</f>
        <v>#N/A</v>
      </c>
      <c r="V383" s="5" t="e">
        <f ca="1">IF(OR(INDEX($AI$2:$AI$1001,MATCH(ROWS($AH$2:AH383),$AH$2:$AH$1001,0),1)&gt;=100000,INDEX($AO$1005:$BQ$1005,1,MATCH(COLUMNS($AO$1006:BI1006),$AO$1006:$BQ$1006,0))&gt;=100000), " ",IF(INDEX($AO$2:$BQ$1001,MATCH(ROWS($AH$2:AH383),$AH$2:$AH$1001,0),MATCH(COLUMNS($AO$1006:BI1006),$AO$1006:$BQ$1006,0)), HYPERLINK("#",""), HYPERLINK(CONCATENATE("#Metadata!", ADDRESS(INDEX($AJ$2:$AJ$1001,MATCH(ROWS($AH$2:AH383),$AH$2:$AH$1001,0),0), INDEX($AO$1004:$BQ$1004,1,MATCH(COLUMNS($AO$1006:BI1006),$AO$1006:$BQ$1006,0)))),"Fix")))</f>
        <v>#N/A</v>
      </c>
      <c r="W383" s="5" t="e">
        <f ca="1">IF(OR(INDEX($AI$2:$AI$1001,MATCH(ROWS($AH$2:AH383),$AH$2:$AH$1001,0),1)&gt;=100000,INDEX($AO$1005:$BQ$1005,1,MATCH(COLUMNS($AO$1006:BJ1006),$AO$1006:$BQ$1006,0))&gt;=100000), " ",IF(INDEX($AO$2:$BQ$1001,MATCH(ROWS($AH$2:AH383),$AH$2:$AH$1001,0),MATCH(COLUMNS($AO$1006:BJ1006),$AO$1006:$BQ$1006,0)), HYPERLINK("#",""), HYPERLINK(CONCATENATE("#Metadata!", ADDRESS(INDEX($AJ$2:$AJ$1001,MATCH(ROWS($AH$2:AH383),$AH$2:$AH$1001,0),0), INDEX($AO$1004:$BQ$1004,1,MATCH(COLUMNS($AO$1006:BJ1006),$AO$1006:$BQ$1006,0)))),"Fix")))</f>
        <v>#N/A</v>
      </c>
      <c r="X383" s="5" t="e">
        <f ca="1">IF(OR(INDEX($AI$2:$AI$1001,MATCH(ROWS($AH$2:AH383),$AH$2:$AH$1001,0),1)&gt;=100000,INDEX($AO$1005:$BQ$1005,1,MATCH(COLUMNS($AO$1006:BK1006),$AO$1006:$BQ$1006,0))&gt;=100000), " ",IF(INDEX($AO$2:$BQ$1001,MATCH(ROWS($AH$2:AH383),$AH$2:$AH$1001,0),MATCH(COLUMNS($AO$1006:BK1006),$AO$1006:$BQ$1006,0)), HYPERLINK("#",""), HYPERLINK(CONCATENATE("#Metadata!", ADDRESS(INDEX($AJ$2:$AJ$1001,MATCH(ROWS($AH$2:AH383),$AH$2:$AH$1001,0),0), INDEX($AO$1004:$BQ$1004,1,MATCH(COLUMNS($AO$1006:BK1006),$AO$1006:$BQ$1006,0)))),"Fix")))</f>
        <v>#N/A</v>
      </c>
      <c r="Y383" s="5" t="e">
        <f ca="1">IF(OR(INDEX($AI$2:$AI$1001,MATCH(ROWS($AH$2:AH383),$AH$2:$AH$1001,0),1)&gt;=100000,INDEX($AO$1005:$BQ$1005,1,MATCH(COLUMNS($AO$1006:BL1006),$AO$1006:$BQ$1006,0))&gt;=100000), " ",IF(INDEX($AO$2:$BQ$1001,MATCH(ROWS($AH$2:AH383),$AH$2:$AH$1001,0),MATCH(COLUMNS($AO$1006:BL1006),$AO$1006:$BQ$1006,0)), HYPERLINK("#",""), HYPERLINK(CONCATENATE("#Metadata!", ADDRESS(INDEX($AJ$2:$AJ$1001,MATCH(ROWS($AH$2:AH383),$AH$2:$AH$1001,0),0), INDEX($AO$1004:$BQ$1004,1,MATCH(COLUMNS($AO$1006:BL1006),$AO$1006:$BQ$1006,0)))),"Fix")))</f>
        <v>#N/A</v>
      </c>
      <c r="Z383" s="5" t="e">
        <f ca="1">IF(OR(INDEX($AI$2:$AI$1001,MATCH(ROWS($AH$2:AH383),$AH$2:$AH$1001,0),1)&gt;=100000,INDEX($AO$1005:$BQ$1005,1,MATCH(COLUMNS($AO$1006:BM1006),$AO$1006:$BQ$1006,0))&gt;=100000), " ",IF(INDEX($AO$2:$BQ$1001,MATCH(ROWS($AH$2:AH383),$AH$2:$AH$1001,0),MATCH(COLUMNS($AO$1006:BM1006),$AO$1006:$BQ$1006,0)), HYPERLINK("#",""), HYPERLINK(CONCATENATE("#Metadata!", ADDRESS(INDEX($AJ$2:$AJ$1001,MATCH(ROWS($AH$2:AH383),$AH$2:$AH$1001,0),0), INDEX($AO$1004:$BQ$1004,1,MATCH(COLUMNS($AO$1006:BM1006),$AO$1006:$BQ$1006,0)))),"Fix")))</f>
        <v>#N/A</v>
      </c>
      <c r="AA383" s="5" t="e">
        <f ca="1">IF(OR(INDEX($AI$2:$AI$1001,MATCH(ROWS($AH$2:AH383),$AH$2:$AH$1001,0),1)&gt;=100000,INDEX($AO$1005:$BQ$1005,1,MATCH(COLUMNS($AO$1006:BN1006),$AO$1006:$BQ$1006,0))&gt;=100000), " ",IF(INDEX($AO$2:$BQ$1001,MATCH(ROWS($AH$2:AH383),$AH$2:$AH$1001,0),MATCH(COLUMNS($AO$1006:BN1006),$AO$1006:$BQ$1006,0)), HYPERLINK("#",""), HYPERLINK(CONCATENATE("#Metadata!", ADDRESS(INDEX($AJ$2:$AJ$1001,MATCH(ROWS($AH$2:AH383),$AH$2:$AH$1001,0),0), INDEX($AO$1004:$BQ$1004,1,MATCH(COLUMNS($AO$1006:BN1006),$AO$1006:$BQ$1006,0)))),"Fix")))</f>
        <v>#N/A</v>
      </c>
      <c r="AB383" s="5" t="e">
        <f ca="1">IF(OR(INDEX($AI$2:$AI$1001,MATCH(ROWS($AH$2:AH383),$AH$2:$AH$1001,0),1)&gt;=100000,INDEX($AO$1005:$BQ$1005,1,MATCH(COLUMNS($AO$1006:BO1006),$AO$1006:$BQ$1006,0))&gt;=100000), " ",IF(INDEX($AO$2:$BQ$1001,MATCH(ROWS($AH$2:AH383),$AH$2:$AH$1001,0),MATCH(COLUMNS($AO$1006:BO1006),$AO$1006:$BQ$1006,0)), HYPERLINK("#",""), HYPERLINK(CONCATENATE("#Metadata!", ADDRESS(INDEX($AJ$2:$AJ$1001,MATCH(ROWS($AH$2:AH383),$AH$2:$AH$1001,0),0), INDEX($AO$1004:$BQ$1004,1,MATCH(COLUMNS($AO$1006:BO1006),$AO$1006:$BQ$1006,0)))),"Fix")))</f>
        <v>#N/A</v>
      </c>
      <c r="AC383" s="5" t="e">
        <f ca="1">IF(OR(INDEX($AI$2:$AI$1001,MATCH(ROWS($AH$2:AH383),$AH$2:$AH$1001,0),1)&gt;=100000,INDEX($AO$1005:$BQ$1005,1,MATCH(COLUMNS($AO$1006:BP1006),$AO$1006:$BQ$1006,0))&gt;=100000), " ",IF(INDEX($AO$2:$BQ$1001,MATCH(ROWS($AH$2:AH383),$AH$2:$AH$1001,0),MATCH(COLUMNS($AO$1006:BP1006),$AO$1006:$BQ$1006,0)), HYPERLINK("#",""), HYPERLINK(CONCATENATE("#Metadata!", ADDRESS(INDEX($AJ$2:$AJ$1001,MATCH(ROWS($AH$2:AH383),$AH$2:$AH$1001,0),0), INDEX($AO$1004:$BQ$1004,1,MATCH(COLUMNS($AO$1006:BP1006),$AO$1006:$BQ$1006,0)))),"Fix")))</f>
        <v>#N/A</v>
      </c>
      <c r="AD383" s="5" t="e">
        <f ca="1">IF(OR(INDEX($AI$2:$AI$1001,MATCH(ROWS($AH$2:AH383),$AH$2:$AH$1001,0),1)&gt;=100000,INDEX($AO$1005:$BQ$1005,1,MATCH(COLUMNS($AO$1006:BQ1006),$AO$1006:$BQ$1006,0))&gt;=100000), " ",IF(INDEX($AO$2:$BQ$1001,MATCH(ROWS($AH$2:AH383),$AH$2:$AH$1001,0),MATCH(COLUMNS($AO$1006:BQ1006),$AO$1006:$BQ$1006,0)), HYPERLINK("#",""), HYPERLINK(CONCATENATE("#Metadata!", ADDRESS(INDEX($AJ$2:$AJ$1001,MATCH(ROWS($AH$2:AH383),$AH$2:$AH$1001,0),0), INDEX($AO$1004:$BQ$1004,1,MATCH(COLUMNS($AO$1006:BQ1006),$AO$1006:$BQ$1006,0)))),"Fix")))</f>
        <v>#REF!</v>
      </c>
      <c r="AH383">
        <f ca="1"/>
        <v>380</v>
      </c>
      <c r="AI383">
        <v>100383</v>
      </c>
      <c r="AJ383">
        <v>383</v>
      </c>
      <c r="AK383" t="b">
        <f t="shared" si="5"/>
        <v>1</v>
      </c>
      <c r="AL383" t="b">
        <f>COUNTBLANK(Metadata!B383:AD383)=COLUMNS(Metadata!B383:AD383)</f>
        <v>1</v>
      </c>
      <c r="AM383" t="str">
        <v/>
      </c>
      <c r="AO383" t="b">
        <f ca="1">AND(IF(Metadata!B383="",FALSE,TRUE),COUNTIF(Metadata!B:B, Metadata!B383) = 1,NOT(ISERROR(SUMPRODUCT(SEARCH(MID(Metadata!B383,ROW(INDIRECT("1:"&amp;LEN(Metadata!B383))), 1),"0123456789abcdefghijklmnopqrstuvwxyzABCDEFGHIJKLMNOPQRSTUVWXYZ.")))))</f>
        <v>0</v>
      </c>
      <c r="AP383" t="b">
        <f>IF(Metadata!C383="",FALSE,TRUE)</f>
        <v>0</v>
      </c>
      <c r="AQ383" t="b">
        <f>IF(Metadata!D383="",FALSE,TRUE)</f>
        <v>0</v>
      </c>
      <c r="AR383" t="b">
        <f ca="1">OR(AND(IF(Metadata!E383="",FALSE,TRUE),OR(EXACT(Metadata!E383,"not collected"),EXACT(Metadata!E383,"not provided"),EXACT(Metadata!E383,"restricted access"))),AND(IF(Metadata!E383="",FALSE,TRUE),AND(AND(IFERROR(INT(LEFT(Metadata!E383,4))&gt;1900,FALSE),IFERROR(INT(LEFT(Metadata!E383,4))&lt;=YEAR(NOW()),FALSE)), OR(MID(Metadata!E383,5,1)="", AND(AND(MID(Metadata!E383,5,1)="-",IFERROR(INT(MID(Metadata!E383,6,1))&gt;=0,FALSE),IFERROR(INT(MID(Metadata!E383,6,1))&lt;=1,FALSE),NOT(MID(Metadata!E383,7,1)=""),IFERROR(INT(MID(Metadata!E383,6,2))&gt;=1,FALSE),IFERROR(INT(MID(Metadata!E383,6,2))&lt;=12,FALSE)), OR(MID(Metadata!E383,8,1)="", AND(AND(MID(Metadata!E383,8,1)="-",IFERROR(INT(MID(Metadata!E383,9,1))&gt;=0,FALSE),IFERROR(INT(MID(Metadata!E383,9,1))&lt;=3,FALSE),NOT(MID(Metadata!E383,10,1)=""),IFERROR(INT(MID(Metadata!E383,9,2))&gt;=1,FALSE),IFERROR(INT(MID(Metadata!E383,9,2))&lt;=31,FALSE)), OR(MID(Metadata!E383,11,1)="", AND(AND(MID(Metadata!E383,11,1)=" ",IFERROR(INT(MID(Metadata!E383,12,1))&gt;=0,FALSE),IFERROR(INT(MID(Metadata!E383,12,1))&lt;=2,FALSE),NOT(MID(Metadata!E383,13,1)=""),IFERROR(INT(MID(Metadata!E383,12,2))&gt;=0,FALSE),IFERROR(INT(MID(Metadata!E383,12,2))&lt;=23,FALSE)), OR(MID(Metadata!E383,14,1)="", AND(AND(MID(Metadata!E383,14,1)=":",IFERROR(INT(MID(Metadata!E383,15,1))&gt;=0,FALSE),IFERROR(INT(MID(Metadata!E383,15,1))&lt;=5,FALSE),NOT(MID(Metadata!E383,16,1)=""),IFERROR(INT(MID(Metadata!E383,15,2))&gt;=0,FALSE),IFERROR(INT(MID(Metadata!E383,15,2))&lt;=59,FALSE)), OR(MID(Metadata!E383,17,1)="", AND(AND(MID(Metadata!E383,17,1)=":",IFERROR(INT(MID(Metadata!E383,18,1))&gt;=0,FALSE),IFERROR(INT(MID(Metadata!E383,18,1))&lt;=5,FALSE),NOT(MID(Metadata!E383,19,1)=""),IFERROR(INT(MID(Metadata!E383,18,2))&gt;=0,FALSE),IFERROR(INT(MID(Metadata!E383,18,2))&lt;=59,FALSE)), LEN(Metadata!E383)&lt;=19)))))))))))))</f>
        <v>0</v>
      </c>
      <c r="AS383" t="b">
        <f>IF(Metadata!F383="",FALSE,TRUE)</f>
        <v>0</v>
      </c>
      <c r="AT383" t="b">
        <f>OR(AND(IF(Metadata!G383="",FALSE,TRUE),OR(EXACT(Metadata!G383,"not collected"),EXACT(Metadata!G383,"not provided"))),AND(IF(Metadata!G383="",FALSE,TRUE),OR(EXACT(Metadata!G383,"TRUE"),EXACT(Metadata!G383,"FALSE"))))</f>
        <v>0</v>
      </c>
      <c r="AU383" t="b">
        <f>OR(AND(IF(Metadata!H383="",FALSE,TRUE),OR(EXACT(Metadata!H383,"not collected"),EXACT(Metadata!H383,"not provided"),EXACT(Metadata!H383,"restricted access"))),AND(IF(Metadata!H383="",FALSE,ISNUMBER(VALUE(Metadata!H383))),Metadata!H383&gt;=-413))</f>
        <v>0</v>
      </c>
      <c r="AV383" t="b">
        <f>AND(IF(Metadata!I383="",FALSE,TRUE),EXACT(Metadata!I383,"meters"))</f>
        <v>0</v>
      </c>
      <c r="AW383" t="b">
        <f>AND(IF(Metadata!J383="",FALSE,TRUE),EXACT(Metadata!J383,"free-living"))</f>
        <v>0</v>
      </c>
      <c r="AX383" t="b">
        <f>AND(IF(Metadata!K383="",FALSE,TRUE),OR(EXACT(Metadata!K383,"saline"),EXACT(Metadata!K383,"non-saline")))</f>
        <v>0</v>
      </c>
      <c r="AY383" t="b">
        <f>AND(IF(Metadata!L383="",FALSE,TRUE),OR(EXACT(Metadata!L383,"sub-surface (non-saline)"),EXACT(Metadata!L383,"surface (non-saline)"),EXACT(Metadata!L383,"water (non-saline)"),EXACT(Metadata!L383,"soil (non-saline)"),EXACT(Metadata!L383,"aerosol (non-saline)"),EXACT(Metadata!L383,"sediment (non-saline)"),EXACT(Metadata!L383,"surface (saline)"),EXACT(Metadata!L383,"water (saline)"),EXACT(Metadata!L383,"hypersaline (saline)"),EXACT(Metadata!L383,"aerosol (saline)"),EXACT(Metadata!L383,"sediment (saline)")))</f>
        <v>0</v>
      </c>
      <c r="AZ383" t="b">
        <f>IF(Metadata!M383="",FALSE,TRUE)</f>
        <v>0</v>
      </c>
      <c r="BA383" t="b">
        <f>IF(Metadata!N383="",FALSE,TRUE)</f>
        <v>0</v>
      </c>
      <c r="BB383" t="b">
        <f>IF(Metadata!O383="",FALSE,TRUE)</f>
        <v>0</v>
      </c>
      <c r="BC383" t="b">
        <f>AND(IF(Metadata!P383="",FALSE,TRUE),OR(EXACT(Metadata!P383,"air"),EXACT(Metadata!P383,"microbial mat/biofilm"),EXACT(Metadata!P383,"misc environment"),EXACT(Metadata!P383,"sediment"),EXACT(Metadata!P383,"soil"),EXACT(Metadata!P383,"wastewater/sludge"),EXACT(Metadata!P383,"water")))</f>
        <v>0</v>
      </c>
      <c r="BD383" t="b">
        <f>IF(Metadata!Q383="",FALSE,TRUE)</f>
        <v>0</v>
      </c>
      <c r="BE383" t="b">
        <f>IF(Metadata!R383="",FALSE,TRUE)</f>
        <v>0</v>
      </c>
      <c r="BF383" t="b">
        <f>OR(AND(IF(Metadata!S383="",FALSE,TRUE),OR(EXACT(Metadata!S383,"not collected"),EXACT(Metadata!S383,"not provided"),EXACT(Metadata!S383,"restricted access"))),AND(IF(Metadata!S383="",FALSE,ISNUMBER(VALUE(Metadata!S383))),Metadata!S383&gt;=-90,Metadata!S383&lt;=90))</f>
        <v>0</v>
      </c>
      <c r="BG383" t="b">
        <f>AND(IF(Metadata!T383="",FALSE,TRUE),EXACT(Metadata!T383,"Decimal degrees"))</f>
        <v>0</v>
      </c>
      <c r="BH383" t="b">
        <f>OR(AND(IF(Metadata!U383="",FALSE,TRUE),OR(EXACT(Metadata!U383,"not applicable"),EXACT(Metadata!U383,"not collected"))),IF(Metadata!U383="",FALSE,TRUE))</f>
        <v>0</v>
      </c>
      <c r="BI383" t="b">
        <f>OR(AND(IF(Metadata!V383="",FALSE,TRUE),OR(EXACT(Metadata!V383,"not collected"),EXACT(Metadata!V383,"not provided"),EXACT(Metadata!V383,"restricted access"))),AND(IF(Metadata!V383="",FALSE,ISNUMBER(VALUE(Metadata!V383))),Metadata!V383&gt;=-180,Metadata!V383&lt;=180))</f>
        <v>0</v>
      </c>
      <c r="BJ383" t="b">
        <f>AND(IF(Metadata!W383="",FALSE,TRUE),EXACT(Metadata!W383,"Decimal degrees"))</f>
        <v>0</v>
      </c>
      <c r="BK383" t="b">
        <f>IF(Metadata!X383="",FALSE,TRUE)</f>
        <v>0</v>
      </c>
      <c r="BL383" t="b">
        <f>OR(AND(IF(Metadata!Y383="",FALSE,TRUE),OR(EXACT(Metadata!Y383,"not collected"),EXACT(Metadata!Y383,"not provided"),EXACT(Metadata!Y383,"restricted access"))),AND(IF(Metadata!Y383="",FALSE,TRUE),OR(EXACT(Metadata!Y383,"TRUE"),EXACT(Metadata!Y383,"FALSE"))))</f>
        <v>0</v>
      </c>
      <c r="BM383" t="b">
        <f>OR(AND(IF(Metadata!Z383="",FALSE,TRUE),EXACT(Metadata!Z383,"not applicable")),AND(IF(Metadata!Z383="",FALSE,TRUE),OR(EXACT(Metadata!Z383,"beer"),EXACT(Metadata!Z383,"cheese"),EXACT(Metadata!Z383,"fresh water"),EXACT(Metadata!Z383,"marine sediment"),EXACT(Metadata!Z383,"sea water"),EXACT(Metadata!Z383,"sediment"),EXACT(Metadata!Z383,"soil"),EXACT(Metadata!Z383,"waste water"))))</f>
        <v>0</v>
      </c>
      <c r="BN383" t="b">
        <f>AND(IF(Metadata!AA383="",FALSE,TRUE),EXACT(Metadata!AA383,"metagenome"))</f>
        <v>0</v>
      </c>
      <c r="BO383" t="b">
        <f>AND(IF(Metadata!AB383="",FALSE,TRUE),EXACT(Metadata!AB383,"256318"))</f>
        <v>0</v>
      </c>
      <c r="BP383" t="b">
        <f>IF(Metadata!AC383="",FALSE,TRUE)</f>
        <v>0</v>
      </c>
      <c r="BQ383" t="b">
        <f>IF(Metadata!AD383="",FALSE,TRUE)</f>
        <v>0</v>
      </c>
    </row>
    <row r="384" spans="1:69" x14ac:dyDescent="0.2">
      <c r="A384" s="4" t="e">
        <f ca="1">IF(B384=" "," ",HYPERLINK(CONCATENATE("#metadata!",ADDRESS(INDEX($AJ$2:$AJ$1001,MATCH(ROWS($AH$2:AH384),$AH$2:$AH$1001,0),0),2)),INDEX($AM$2:$AM$1001,MATCH(ROWS($AH$2:AH384),$AH$2:$AH$1001,0),0)))</f>
        <v>#N/A</v>
      </c>
      <c r="B384" s="5" t="e">
        <f ca="1">IF(OR(INDEX($AI$2:$AI$1001,MATCH(ROWS($AH$2:AH384),$AH$2:$AH$1001,0),1)&gt;=100000,INDEX($AO$1005:$BQ$1005,1,MATCH(COLUMNS($AO$1006:AO1006),$AO$1006:$BQ$1006,0))&gt;=100000), " ",IF(INDEX($AO$2:$BQ$1001,MATCH(ROWS($AH$2:AH384),$AH$2:$AH$1001,0),MATCH(COLUMNS($AO$1006:AO1006),$AO$1006:$BQ$1006,0)), HYPERLINK("#",""), HYPERLINK(CONCATENATE("#Metadata!", ADDRESS(INDEX($AJ$2:$AJ$1001,MATCH(ROWS($AH$2:AH384),$AH$2:$AH$1001,0),0), INDEX($AO$1004:$BQ$1004,1,MATCH(COLUMNS($AO$1006:AO1006),$AO$1006:$BQ$1006,0)))),"Fix")))</f>
        <v>#N/A</v>
      </c>
      <c r="C384" s="5" t="e">
        <f ca="1">IF(OR(INDEX($AI$2:$AI$1001,MATCH(ROWS($AH$2:AH384),$AH$2:$AH$1001,0),1)&gt;=100000,INDEX($AO$1005:$BQ$1005,1,MATCH(COLUMNS($AO$1006:AP1006),$AO$1006:$BQ$1006,0))&gt;=100000), " ",IF(INDEX($AO$2:$BQ$1001,MATCH(ROWS($AH$2:AH384),$AH$2:$AH$1001,0),MATCH(COLUMNS($AO$1006:AP1006),$AO$1006:$BQ$1006,0)), HYPERLINK("#",""), HYPERLINK(CONCATENATE("#Metadata!", ADDRESS(INDEX($AJ$2:$AJ$1001,MATCH(ROWS($AH$2:AH384),$AH$2:$AH$1001,0),0), INDEX($AO$1004:$BQ$1004,1,MATCH(COLUMNS($AO$1006:AP1006),$AO$1006:$BQ$1006,0)))),"Fix")))</f>
        <v>#N/A</v>
      </c>
      <c r="D384" s="5" t="e">
        <f ca="1">IF(OR(INDEX($AI$2:$AI$1001,MATCH(ROWS($AH$2:AH384),$AH$2:$AH$1001,0),1)&gt;=100000,INDEX($AO$1005:$BQ$1005,1,MATCH(COLUMNS($AO$1006:AQ1006),$AO$1006:$BQ$1006,0))&gt;=100000), " ",IF(INDEX($AO$2:$BQ$1001,MATCH(ROWS($AH$2:AH384),$AH$2:$AH$1001,0),MATCH(COLUMNS($AO$1006:AQ1006),$AO$1006:$BQ$1006,0)), HYPERLINK("#",""), HYPERLINK(CONCATENATE("#Metadata!", ADDRESS(INDEX($AJ$2:$AJ$1001,MATCH(ROWS($AH$2:AH384),$AH$2:$AH$1001,0),0), INDEX($AO$1004:$BQ$1004,1,MATCH(COLUMNS($AO$1006:AQ1006),$AO$1006:$BQ$1006,0)))),"Fix")))</f>
        <v>#N/A</v>
      </c>
      <c r="E384" s="5" t="e">
        <f ca="1">IF(OR(INDEX($AI$2:$AI$1001,MATCH(ROWS($AH$2:AH384),$AH$2:$AH$1001,0),1)&gt;=100000,INDEX($AO$1005:$BQ$1005,1,MATCH(COLUMNS($AO$1006:AR1006),$AO$1006:$BQ$1006,0))&gt;=100000), " ",IF(INDEX($AO$2:$BQ$1001,MATCH(ROWS($AH$2:AH384),$AH$2:$AH$1001,0),MATCH(COLUMNS($AO$1006:AR1006),$AO$1006:$BQ$1006,0)), HYPERLINK("#",""), HYPERLINK(CONCATENATE("#Metadata!", ADDRESS(INDEX($AJ$2:$AJ$1001,MATCH(ROWS($AH$2:AH384),$AH$2:$AH$1001,0),0), INDEX($AO$1004:$BQ$1004,1,MATCH(COLUMNS($AO$1006:AR1006),$AO$1006:$BQ$1006,0)))),"Fix")))</f>
        <v>#N/A</v>
      </c>
      <c r="F384" s="5" t="e">
        <f ca="1">IF(OR(INDEX($AI$2:$AI$1001,MATCH(ROWS($AH$2:AH384),$AH$2:$AH$1001,0),1)&gt;=100000,INDEX($AO$1005:$BQ$1005,1,MATCH(COLUMNS($AO$1006:AS1006),$AO$1006:$BQ$1006,0))&gt;=100000), " ",IF(INDEX($AO$2:$BQ$1001,MATCH(ROWS($AH$2:AH384),$AH$2:$AH$1001,0),MATCH(COLUMNS($AO$1006:AS1006),$AO$1006:$BQ$1006,0)), HYPERLINK("#",""), HYPERLINK(CONCATENATE("#Metadata!", ADDRESS(INDEX($AJ$2:$AJ$1001,MATCH(ROWS($AH$2:AH384),$AH$2:$AH$1001,0),0), INDEX($AO$1004:$BQ$1004,1,MATCH(COLUMNS($AO$1006:AS1006),$AO$1006:$BQ$1006,0)))),"Fix")))</f>
        <v>#N/A</v>
      </c>
      <c r="G384" s="5" t="e">
        <f ca="1">IF(OR(INDEX($AI$2:$AI$1001,MATCH(ROWS($AH$2:AH384),$AH$2:$AH$1001,0),1)&gt;=100000,INDEX($AO$1005:$BQ$1005,1,MATCH(COLUMNS($AO$1006:AT1006),$AO$1006:$BQ$1006,0))&gt;=100000), " ",IF(INDEX($AO$2:$BQ$1001,MATCH(ROWS($AH$2:AH384),$AH$2:$AH$1001,0),MATCH(COLUMNS($AO$1006:AT1006),$AO$1006:$BQ$1006,0)), HYPERLINK("#",""), HYPERLINK(CONCATENATE("#Metadata!", ADDRESS(INDEX($AJ$2:$AJ$1001,MATCH(ROWS($AH$2:AH384),$AH$2:$AH$1001,0),0), INDEX($AO$1004:$BQ$1004,1,MATCH(COLUMNS($AO$1006:AT1006),$AO$1006:$BQ$1006,0)))),"Fix")))</f>
        <v>#N/A</v>
      </c>
      <c r="H384" s="5" t="e">
        <f ca="1">IF(OR(INDEX($AI$2:$AI$1001,MATCH(ROWS($AH$2:AH384),$AH$2:$AH$1001,0),1)&gt;=100000,INDEX($AO$1005:$BQ$1005,1,MATCH(COLUMNS($AO$1006:AU1006),$AO$1006:$BQ$1006,0))&gt;=100000), " ",IF(INDEX($AO$2:$BQ$1001,MATCH(ROWS($AH$2:AH384),$AH$2:$AH$1001,0),MATCH(COLUMNS($AO$1006:AU1006),$AO$1006:$BQ$1006,0)), HYPERLINK("#",""), HYPERLINK(CONCATENATE("#Metadata!", ADDRESS(INDEX($AJ$2:$AJ$1001,MATCH(ROWS($AH$2:AH384),$AH$2:$AH$1001,0),0), INDEX($AO$1004:$BQ$1004,1,MATCH(COLUMNS($AO$1006:AU1006),$AO$1006:$BQ$1006,0)))),"Fix")))</f>
        <v>#N/A</v>
      </c>
      <c r="I384" s="5" t="e">
        <f ca="1">IF(OR(INDEX($AI$2:$AI$1001,MATCH(ROWS($AH$2:AH384),$AH$2:$AH$1001,0),1)&gt;=100000,INDEX($AO$1005:$BQ$1005,1,MATCH(COLUMNS($AO$1006:AV1006),$AO$1006:$BQ$1006,0))&gt;=100000), " ",IF(INDEX($AO$2:$BQ$1001,MATCH(ROWS($AH$2:AH384),$AH$2:$AH$1001,0),MATCH(COLUMNS($AO$1006:AV1006),$AO$1006:$BQ$1006,0)), HYPERLINK("#",""), HYPERLINK(CONCATENATE("#Metadata!", ADDRESS(INDEX($AJ$2:$AJ$1001,MATCH(ROWS($AH$2:AH384),$AH$2:$AH$1001,0),0), INDEX($AO$1004:$BQ$1004,1,MATCH(COLUMNS($AO$1006:AV1006),$AO$1006:$BQ$1006,0)))),"Fix")))</f>
        <v>#N/A</v>
      </c>
      <c r="J384" s="5" t="e">
        <f ca="1">IF(OR(INDEX($AI$2:$AI$1001,MATCH(ROWS($AH$2:AH384),$AH$2:$AH$1001,0),1)&gt;=100000,INDEX($AO$1005:$BQ$1005,1,MATCH(COLUMNS($AO$1006:AW1006),$AO$1006:$BQ$1006,0))&gt;=100000), " ",IF(INDEX($AO$2:$BQ$1001,MATCH(ROWS($AH$2:AH384),$AH$2:$AH$1001,0),MATCH(COLUMNS($AO$1006:AW1006),$AO$1006:$BQ$1006,0)), HYPERLINK("#",""), HYPERLINK(CONCATENATE("#Metadata!", ADDRESS(INDEX($AJ$2:$AJ$1001,MATCH(ROWS($AH$2:AH384),$AH$2:$AH$1001,0),0), INDEX($AO$1004:$BQ$1004,1,MATCH(COLUMNS($AO$1006:AW1006),$AO$1006:$BQ$1006,0)))),"Fix")))</f>
        <v>#N/A</v>
      </c>
      <c r="K384" s="5" t="e">
        <f ca="1">IF(OR(INDEX($AI$2:$AI$1001,MATCH(ROWS($AH$2:AH384),$AH$2:$AH$1001,0),1)&gt;=100000,INDEX($AO$1005:$BQ$1005,1,MATCH(COLUMNS($AO$1006:AX1006),$AO$1006:$BQ$1006,0))&gt;=100000), " ",IF(INDEX($AO$2:$BQ$1001,MATCH(ROWS($AH$2:AH384),$AH$2:$AH$1001,0),MATCH(COLUMNS($AO$1006:AX1006),$AO$1006:$BQ$1006,0)), HYPERLINK("#",""), HYPERLINK(CONCATENATE("#Metadata!", ADDRESS(INDEX($AJ$2:$AJ$1001,MATCH(ROWS($AH$2:AH384),$AH$2:$AH$1001,0),0), INDEX($AO$1004:$BQ$1004,1,MATCH(COLUMNS($AO$1006:AX1006),$AO$1006:$BQ$1006,0)))),"Fix")))</f>
        <v>#N/A</v>
      </c>
      <c r="L384" s="5" t="e">
        <f ca="1">IF(OR(INDEX($AI$2:$AI$1001,MATCH(ROWS($AH$2:AH384),$AH$2:$AH$1001,0),1)&gt;=100000,INDEX($AO$1005:$BQ$1005,1,MATCH(COLUMNS($AO$1006:AY1006),$AO$1006:$BQ$1006,0))&gt;=100000), " ",IF(INDEX($AO$2:$BQ$1001,MATCH(ROWS($AH$2:AH384),$AH$2:$AH$1001,0),MATCH(COLUMNS($AO$1006:AY1006),$AO$1006:$BQ$1006,0)), HYPERLINK("#",""), HYPERLINK(CONCATENATE("#Metadata!", ADDRESS(INDEX($AJ$2:$AJ$1001,MATCH(ROWS($AH$2:AH384),$AH$2:$AH$1001,0),0), INDEX($AO$1004:$BQ$1004,1,MATCH(COLUMNS($AO$1006:AY1006),$AO$1006:$BQ$1006,0)))),"Fix")))</f>
        <v>#N/A</v>
      </c>
      <c r="M384" s="5" t="e">
        <f ca="1">IF(OR(INDEX($AI$2:$AI$1001,MATCH(ROWS($AH$2:AH384),$AH$2:$AH$1001,0),1)&gt;=100000,INDEX($AO$1005:$BQ$1005,1,MATCH(COLUMNS($AO$1006:AZ1006),$AO$1006:$BQ$1006,0))&gt;=100000), " ",IF(INDEX($AO$2:$BQ$1001,MATCH(ROWS($AH$2:AH384),$AH$2:$AH$1001,0),MATCH(COLUMNS($AO$1006:AZ1006),$AO$1006:$BQ$1006,0)), HYPERLINK("#",""), HYPERLINK(CONCATENATE("#Metadata!", ADDRESS(INDEX($AJ$2:$AJ$1001,MATCH(ROWS($AH$2:AH384),$AH$2:$AH$1001,0),0), INDEX($AO$1004:$BQ$1004,1,MATCH(COLUMNS($AO$1006:AZ1006),$AO$1006:$BQ$1006,0)))),"Fix")))</f>
        <v>#N/A</v>
      </c>
      <c r="N384" s="5" t="e">
        <f ca="1">IF(OR(INDEX($AI$2:$AI$1001,MATCH(ROWS($AH$2:AH384),$AH$2:$AH$1001,0),1)&gt;=100000,INDEX($AO$1005:$BQ$1005,1,MATCH(COLUMNS($AO$1006:BA1006),$AO$1006:$BQ$1006,0))&gt;=100000), " ",IF(INDEX($AO$2:$BQ$1001,MATCH(ROWS($AH$2:AH384),$AH$2:$AH$1001,0),MATCH(COLUMNS($AO$1006:BA1006),$AO$1006:$BQ$1006,0)), HYPERLINK("#",""), HYPERLINK(CONCATENATE("#Metadata!", ADDRESS(INDEX($AJ$2:$AJ$1001,MATCH(ROWS($AH$2:AH384),$AH$2:$AH$1001,0),0), INDEX($AO$1004:$BQ$1004,1,MATCH(COLUMNS($AO$1006:BA1006),$AO$1006:$BQ$1006,0)))),"Fix")))</f>
        <v>#N/A</v>
      </c>
      <c r="O384" s="5" t="e">
        <f ca="1">IF(OR(INDEX($AI$2:$AI$1001,MATCH(ROWS($AH$2:AH384),$AH$2:$AH$1001,0),1)&gt;=100000,INDEX($AO$1005:$BQ$1005,1,MATCH(COLUMNS($AO$1006:BB1006),$AO$1006:$BQ$1006,0))&gt;=100000), " ",IF(INDEX($AO$2:$BQ$1001,MATCH(ROWS($AH$2:AH384),$AH$2:$AH$1001,0),MATCH(COLUMNS($AO$1006:BB1006),$AO$1006:$BQ$1006,0)), HYPERLINK("#",""), HYPERLINK(CONCATENATE("#Metadata!", ADDRESS(INDEX($AJ$2:$AJ$1001,MATCH(ROWS($AH$2:AH384),$AH$2:$AH$1001,0),0), INDEX($AO$1004:$BQ$1004,1,MATCH(COLUMNS($AO$1006:BB1006),$AO$1006:$BQ$1006,0)))),"Fix")))</f>
        <v>#N/A</v>
      </c>
      <c r="P384" s="5" t="e">
        <f ca="1">IF(OR(INDEX($AI$2:$AI$1001,MATCH(ROWS($AH$2:AH384),$AH$2:$AH$1001,0),1)&gt;=100000,INDEX($AO$1005:$BQ$1005,1,MATCH(COLUMNS($AO$1006:BC1006),$AO$1006:$BQ$1006,0))&gt;=100000), " ",IF(INDEX($AO$2:$BQ$1001,MATCH(ROWS($AH$2:AH384),$AH$2:$AH$1001,0),MATCH(COLUMNS($AO$1006:BC1006),$AO$1006:$BQ$1006,0)), HYPERLINK("#",""), HYPERLINK(CONCATENATE("#Metadata!", ADDRESS(INDEX($AJ$2:$AJ$1001,MATCH(ROWS($AH$2:AH384),$AH$2:$AH$1001,0),0), INDEX($AO$1004:$BQ$1004,1,MATCH(COLUMNS($AO$1006:BC1006),$AO$1006:$BQ$1006,0)))),"Fix")))</f>
        <v>#N/A</v>
      </c>
      <c r="Q384" s="5" t="e">
        <f ca="1">IF(OR(INDEX($AI$2:$AI$1001,MATCH(ROWS($AH$2:AH384),$AH$2:$AH$1001,0),1)&gt;=100000,INDEX($AO$1005:$BQ$1005,1,MATCH(COLUMNS($AO$1006:BD1006),$AO$1006:$BQ$1006,0))&gt;=100000), " ",IF(INDEX($AO$2:$BQ$1001,MATCH(ROWS($AH$2:AH384),$AH$2:$AH$1001,0),MATCH(COLUMNS($AO$1006:BD1006),$AO$1006:$BQ$1006,0)), HYPERLINK("#",""), HYPERLINK(CONCATENATE("#Metadata!", ADDRESS(INDEX($AJ$2:$AJ$1001,MATCH(ROWS($AH$2:AH384),$AH$2:$AH$1001,0),0), INDEX($AO$1004:$BQ$1004,1,MATCH(COLUMNS($AO$1006:BD1006),$AO$1006:$BQ$1006,0)))),"Fix")))</f>
        <v>#N/A</v>
      </c>
      <c r="R384" s="5" t="e">
        <f ca="1">IF(OR(INDEX($AI$2:$AI$1001,MATCH(ROWS($AH$2:AH384),$AH$2:$AH$1001,0),1)&gt;=100000,INDEX($AO$1005:$BQ$1005,1,MATCH(COLUMNS($AO$1006:BE1006),$AO$1006:$BQ$1006,0))&gt;=100000), " ",IF(INDEX($AO$2:$BQ$1001,MATCH(ROWS($AH$2:AH384),$AH$2:$AH$1001,0),MATCH(COLUMNS($AO$1006:BE1006),$AO$1006:$BQ$1006,0)), HYPERLINK("#",""), HYPERLINK(CONCATENATE("#Metadata!", ADDRESS(INDEX($AJ$2:$AJ$1001,MATCH(ROWS($AH$2:AH384),$AH$2:$AH$1001,0),0), INDEX($AO$1004:$BQ$1004,1,MATCH(COLUMNS($AO$1006:BE1006),$AO$1006:$BQ$1006,0)))),"Fix")))</f>
        <v>#N/A</v>
      </c>
      <c r="S384" s="5" t="e">
        <f ca="1">IF(OR(INDEX($AI$2:$AI$1001,MATCH(ROWS($AH$2:AH384),$AH$2:$AH$1001,0),1)&gt;=100000,INDEX($AO$1005:$BQ$1005,1,MATCH(COLUMNS($AO$1006:BF1006),$AO$1006:$BQ$1006,0))&gt;=100000), " ",IF(INDEX($AO$2:$BQ$1001,MATCH(ROWS($AH$2:AH384),$AH$2:$AH$1001,0),MATCH(COLUMNS($AO$1006:BF1006),$AO$1006:$BQ$1006,0)), HYPERLINK("#",""), HYPERLINK(CONCATENATE("#Metadata!", ADDRESS(INDEX($AJ$2:$AJ$1001,MATCH(ROWS($AH$2:AH384),$AH$2:$AH$1001,0),0), INDEX($AO$1004:$BQ$1004,1,MATCH(COLUMNS($AO$1006:BF1006),$AO$1006:$BQ$1006,0)))),"Fix")))</f>
        <v>#N/A</v>
      </c>
      <c r="T384" s="5" t="e">
        <f ca="1">IF(OR(INDEX($AI$2:$AI$1001,MATCH(ROWS($AH$2:AH384),$AH$2:$AH$1001,0),1)&gt;=100000,INDEX($AO$1005:$BQ$1005,1,MATCH(COLUMNS($AO$1006:BG1006),$AO$1006:$BQ$1006,0))&gt;=100000), " ",IF(INDEX($AO$2:$BQ$1001,MATCH(ROWS($AH$2:AH384),$AH$2:$AH$1001,0),MATCH(COLUMNS($AO$1006:BG1006),$AO$1006:$BQ$1006,0)), HYPERLINK("#",""), HYPERLINK(CONCATENATE("#Metadata!", ADDRESS(INDEX($AJ$2:$AJ$1001,MATCH(ROWS($AH$2:AH384),$AH$2:$AH$1001,0),0), INDEX($AO$1004:$BQ$1004,1,MATCH(COLUMNS($AO$1006:BG1006),$AO$1006:$BQ$1006,0)))),"Fix")))</f>
        <v>#N/A</v>
      </c>
      <c r="U384" s="5" t="e">
        <f ca="1">IF(OR(INDEX($AI$2:$AI$1001,MATCH(ROWS($AH$2:AH384),$AH$2:$AH$1001,0),1)&gt;=100000,INDEX($AO$1005:$BQ$1005,1,MATCH(COLUMNS($AO$1006:BH1006),$AO$1006:$BQ$1006,0))&gt;=100000), " ",IF(INDEX($AO$2:$BQ$1001,MATCH(ROWS($AH$2:AH384),$AH$2:$AH$1001,0),MATCH(COLUMNS($AO$1006:BH1006),$AO$1006:$BQ$1006,0)), HYPERLINK("#",""), HYPERLINK(CONCATENATE("#Metadata!", ADDRESS(INDEX($AJ$2:$AJ$1001,MATCH(ROWS($AH$2:AH384),$AH$2:$AH$1001,0),0), INDEX($AO$1004:$BQ$1004,1,MATCH(COLUMNS($AO$1006:BH1006),$AO$1006:$BQ$1006,0)))),"Fix")))</f>
        <v>#N/A</v>
      </c>
      <c r="V384" s="5" t="e">
        <f ca="1">IF(OR(INDEX($AI$2:$AI$1001,MATCH(ROWS($AH$2:AH384),$AH$2:$AH$1001,0),1)&gt;=100000,INDEX($AO$1005:$BQ$1005,1,MATCH(COLUMNS($AO$1006:BI1006),$AO$1006:$BQ$1006,0))&gt;=100000), " ",IF(INDEX($AO$2:$BQ$1001,MATCH(ROWS($AH$2:AH384),$AH$2:$AH$1001,0),MATCH(COLUMNS($AO$1006:BI1006),$AO$1006:$BQ$1006,0)), HYPERLINK("#",""), HYPERLINK(CONCATENATE("#Metadata!", ADDRESS(INDEX($AJ$2:$AJ$1001,MATCH(ROWS($AH$2:AH384),$AH$2:$AH$1001,0),0), INDEX($AO$1004:$BQ$1004,1,MATCH(COLUMNS($AO$1006:BI1006),$AO$1006:$BQ$1006,0)))),"Fix")))</f>
        <v>#N/A</v>
      </c>
      <c r="W384" s="5" t="e">
        <f ca="1">IF(OR(INDEX($AI$2:$AI$1001,MATCH(ROWS($AH$2:AH384),$AH$2:$AH$1001,0),1)&gt;=100000,INDEX($AO$1005:$BQ$1005,1,MATCH(COLUMNS($AO$1006:BJ1006),$AO$1006:$BQ$1006,0))&gt;=100000), " ",IF(INDEX($AO$2:$BQ$1001,MATCH(ROWS($AH$2:AH384),$AH$2:$AH$1001,0),MATCH(COLUMNS($AO$1006:BJ1006),$AO$1006:$BQ$1006,0)), HYPERLINK("#",""), HYPERLINK(CONCATENATE("#Metadata!", ADDRESS(INDEX($AJ$2:$AJ$1001,MATCH(ROWS($AH$2:AH384),$AH$2:$AH$1001,0),0), INDEX($AO$1004:$BQ$1004,1,MATCH(COLUMNS($AO$1006:BJ1006),$AO$1006:$BQ$1006,0)))),"Fix")))</f>
        <v>#N/A</v>
      </c>
      <c r="X384" s="5" t="e">
        <f ca="1">IF(OR(INDEX($AI$2:$AI$1001,MATCH(ROWS($AH$2:AH384),$AH$2:$AH$1001,0),1)&gt;=100000,INDEX($AO$1005:$BQ$1005,1,MATCH(COLUMNS($AO$1006:BK1006),$AO$1006:$BQ$1006,0))&gt;=100000), " ",IF(INDEX($AO$2:$BQ$1001,MATCH(ROWS($AH$2:AH384),$AH$2:$AH$1001,0),MATCH(COLUMNS($AO$1006:BK1006),$AO$1006:$BQ$1006,0)), HYPERLINK("#",""), HYPERLINK(CONCATENATE("#Metadata!", ADDRESS(INDEX($AJ$2:$AJ$1001,MATCH(ROWS($AH$2:AH384),$AH$2:$AH$1001,0),0), INDEX($AO$1004:$BQ$1004,1,MATCH(COLUMNS($AO$1006:BK1006),$AO$1006:$BQ$1006,0)))),"Fix")))</f>
        <v>#N/A</v>
      </c>
      <c r="Y384" s="5" t="e">
        <f ca="1">IF(OR(INDEX($AI$2:$AI$1001,MATCH(ROWS($AH$2:AH384),$AH$2:$AH$1001,0),1)&gt;=100000,INDEX($AO$1005:$BQ$1005,1,MATCH(COLUMNS($AO$1006:BL1006),$AO$1006:$BQ$1006,0))&gt;=100000), " ",IF(INDEX($AO$2:$BQ$1001,MATCH(ROWS($AH$2:AH384),$AH$2:$AH$1001,0),MATCH(COLUMNS($AO$1006:BL1006),$AO$1006:$BQ$1006,0)), HYPERLINK("#",""), HYPERLINK(CONCATENATE("#Metadata!", ADDRESS(INDEX($AJ$2:$AJ$1001,MATCH(ROWS($AH$2:AH384),$AH$2:$AH$1001,0),0), INDEX($AO$1004:$BQ$1004,1,MATCH(COLUMNS($AO$1006:BL1006),$AO$1006:$BQ$1006,0)))),"Fix")))</f>
        <v>#N/A</v>
      </c>
      <c r="Z384" s="5" t="e">
        <f ca="1">IF(OR(INDEX($AI$2:$AI$1001,MATCH(ROWS($AH$2:AH384),$AH$2:$AH$1001,0),1)&gt;=100000,INDEX($AO$1005:$BQ$1005,1,MATCH(COLUMNS($AO$1006:BM1006),$AO$1006:$BQ$1006,0))&gt;=100000), " ",IF(INDEX($AO$2:$BQ$1001,MATCH(ROWS($AH$2:AH384),$AH$2:$AH$1001,0),MATCH(COLUMNS($AO$1006:BM1006),$AO$1006:$BQ$1006,0)), HYPERLINK("#",""), HYPERLINK(CONCATENATE("#Metadata!", ADDRESS(INDEX($AJ$2:$AJ$1001,MATCH(ROWS($AH$2:AH384),$AH$2:$AH$1001,0),0), INDEX($AO$1004:$BQ$1004,1,MATCH(COLUMNS($AO$1006:BM1006),$AO$1006:$BQ$1006,0)))),"Fix")))</f>
        <v>#N/A</v>
      </c>
      <c r="AA384" s="5" t="e">
        <f ca="1">IF(OR(INDEX($AI$2:$AI$1001,MATCH(ROWS($AH$2:AH384),$AH$2:$AH$1001,0),1)&gt;=100000,INDEX($AO$1005:$BQ$1005,1,MATCH(COLUMNS($AO$1006:BN1006),$AO$1006:$BQ$1006,0))&gt;=100000), " ",IF(INDEX($AO$2:$BQ$1001,MATCH(ROWS($AH$2:AH384),$AH$2:$AH$1001,0),MATCH(COLUMNS($AO$1006:BN1006),$AO$1006:$BQ$1006,0)), HYPERLINK("#",""), HYPERLINK(CONCATENATE("#Metadata!", ADDRESS(INDEX($AJ$2:$AJ$1001,MATCH(ROWS($AH$2:AH384),$AH$2:$AH$1001,0),0), INDEX($AO$1004:$BQ$1004,1,MATCH(COLUMNS($AO$1006:BN1006),$AO$1006:$BQ$1006,0)))),"Fix")))</f>
        <v>#N/A</v>
      </c>
      <c r="AB384" s="5" t="e">
        <f ca="1">IF(OR(INDEX($AI$2:$AI$1001,MATCH(ROWS($AH$2:AH384),$AH$2:$AH$1001,0),1)&gt;=100000,INDEX($AO$1005:$BQ$1005,1,MATCH(COLUMNS($AO$1006:BO1006),$AO$1006:$BQ$1006,0))&gt;=100000), " ",IF(INDEX($AO$2:$BQ$1001,MATCH(ROWS($AH$2:AH384),$AH$2:$AH$1001,0),MATCH(COLUMNS($AO$1006:BO1006),$AO$1006:$BQ$1006,0)), HYPERLINK("#",""), HYPERLINK(CONCATENATE("#Metadata!", ADDRESS(INDEX($AJ$2:$AJ$1001,MATCH(ROWS($AH$2:AH384),$AH$2:$AH$1001,0),0), INDEX($AO$1004:$BQ$1004,1,MATCH(COLUMNS($AO$1006:BO1006),$AO$1006:$BQ$1006,0)))),"Fix")))</f>
        <v>#N/A</v>
      </c>
      <c r="AC384" s="5" t="e">
        <f ca="1">IF(OR(INDEX($AI$2:$AI$1001,MATCH(ROWS($AH$2:AH384),$AH$2:$AH$1001,0),1)&gt;=100000,INDEX($AO$1005:$BQ$1005,1,MATCH(COLUMNS($AO$1006:BP1006),$AO$1006:$BQ$1006,0))&gt;=100000), " ",IF(INDEX($AO$2:$BQ$1001,MATCH(ROWS($AH$2:AH384),$AH$2:$AH$1001,0),MATCH(COLUMNS($AO$1006:BP1006),$AO$1006:$BQ$1006,0)), HYPERLINK("#",""), HYPERLINK(CONCATENATE("#Metadata!", ADDRESS(INDEX($AJ$2:$AJ$1001,MATCH(ROWS($AH$2:AH384),$AH$2:$AH$1001,0),0), INDEX($AO$1004:$BQ$1004,1,MATCH(COLUMNS($AO$1006:BP1006),$AO$1006:$BQ$1006,0)))),"Fix")))</f>
        <v>#N/A</v>
      </c>
      <c r="AD384" s="5" t="e">
        <f ca="1">IF(OR(INDEX($AI$2:$AI$1001,MATCH(ROWS($AH$2:AH384),$AH$2:$AH$1001,0),1)&gt;=100000,INDEX($AO$1005:$BQ$1005,1,MATCH(COLUMNS($AO$1006:BQ1006),$AO$1006:$BQ$1006,0))&gt;=100000), " ",IF(INDEX($AO$2:$BQ$1001,MATCH(ROWS($AH$2:AH384),$AH$2:$AH$1001,0),MATCH(COLUMNS($AO$1006:BQ1006),$AO$1006:$BQ$1006,0)), HYPERLINK("#",""), HYPERLINK(CONCATENATE("#Metadata!", ADDRESS(INDEX($AJ$2:$AJ$1001,MATCH(ROWS($AH$2:AH384),$AH$2:$AH$1001,0),0), INDEX($AO$1004:$BQ$1004,1,MATCH(COLUMNS($AO$1006:BQ1006),$AO$1006:$BQ$1006,0)))),"Fix")))</f>
        <v>#REF!</v>
      </c>
      <c r="AH384">
        <f ca="1"/>
        <v>381</v>
      </c>
      <c r="AI384">
        <v>100384</v>
      </c>
      <c r="AJ384">
        <v>384</v>
      </c>
      <c r="AK384" t="b">
        <f t="shared" si="5"/>
        <v>1</v>
      </c>
      <c r="AL384" t="b">
        <f>COUNTBLANK(Metadata!B384:AD384)=COLUMNS(Metadata!B384:AD384)</f>
        <v>1</v>
      </c>
      <c r="AM384" t="str">
        <v/>
      </c>
      <c r="AO384" t="b">
        <f ca="1">AND(IF(Metadata!B384="",FALSE,TRUE),COUNTIF(Metadata!B:B, Metadata!B384) = 1,NOT(ISERROR(SUMPRODUCT(SEARCH(MID(Metadata!B384,ROW(INDIRECT("1:"&amp;LEN(Metadata!B384))), 1),"0123456789abcdefghijklmnopqrstuvwxyzABCDEFGHIJKLMNOPQRSTUVWXYZ.")))))</f>
        <v>0</v>
      </c>
      <c r="AP384" t="b">
        <f>IF(Metadata!C384="",FALSE,TRUE)</f>
        <v>0</v>
      </c>
      <c r="AQ384" t="b">
        <f>IF(Metadata!D384="",FALSE,TRUE)</f>
        <v>0</v>
      </c>
      <c r="AR384" t="b">
        <f ca="1">OR(AND(IF(Metadata!E384="",FALSE,TRUE),OR(EXACT(Metadata!E384,"not collected"),EXACT(Metadata!E384,"not provided"),EXACT(Metadata!E384,"restricted access"))),AND(IF(Metadata!E384="",FALSE,TRUE),AND(AND(IFERROR(INT(LEFT(Metadata!E384,4))&gt;1900,FALSE),IFERROR(INT(LEFT(Metadata!E384,4))&lt;=YEAR(NOW()),FALSE)), OR(MID(Metadata!E384,5,1)="", AND(AND(MID(Metadata!E384,5,1)="-",IFERROR(INT(MID(Metadata!E384,6,1))&gt;=0,FALSE),IFERROR(INT(MID(Metadata!E384,6,1))&lt;=1,FALSE),NOT(MID(Metadata!E384,7,1)=""),IFERROR(INT(MID(Metadata!E384,6,2))&gt;=1,FALSE),IFERROR(INT(MID(Metadata!E384,6,2))&lt;=12,FALSE)), OR(MID(Metadata!E384,8,1)="", AND(AND(MID(Metadata!E384,8,1)="-",IFERROR(INT(MID(Metadata!E384,9,1))&gt;=0,FALSE),IFERROR(INT(MID(Metadata!E384,9,1))&lt;=3,FALSE),NOT(MID(Metadata!E384,10,1)=""),IFERROR(INT(MID(Metadata!E384,9,2))&gt;=1,FALSE),IFERROR(INT(MID(Metadata!E384,9,2))&lt;=31,FALSE)), OR(MID(Metadata!E384,11,1)="", AND(AND(MID(Metadata!E384,11,1)=" ",IFERROR(INT(MID(Metadata!E384,12,1))&gt;=0,FALSE),IFERROR(INT(MID(Metadata!E384,12,1))&lt;=2,FALSE),NOT(MID(Metadata!E384,13,1)=""),IFERROR(INT(MID(Metadata!E384,12,2))&gt;=0,FALSE),IFERROR(INT(MID(Metadata!E384,12,2))&lt;=23,FALSE)), OR(MID(Metadata!E384,14,1)="", AND(AND(MID(Metadata!E384,14,1)=":",IFERROR(INT(MID(Metadata!E384,15,1))&gt;=0,FALSE),IFERROR(INT(MID(Metadata!E384,15,1))&lt;=5,FALSE),NOT(MID(Metadata!E384,16,1)=""),IFERROR(INT(MID(Metadata!E384,15,2))&gt;=0,FALSE),IFERROR(INT(MID(Metadata!E384,15,2))&lt;=59,FALSE)), OR(MID(Metadata!E384,17,1)="", AND(AND(MID(Metadata!E384,17,1)=":",IFERROR(INT(MID(Metadata!E384,18,1))&gt;=0,FALSE),IFERROR(INT(MID(Metadata!E384,18,1))&lt;=5,FALSE),NOT(MID(Metadata!E384,19,1)=""),IFERROR(INT(MID(Metadata!E384,18,2))&gt;=0,FALSE),IFERROR(INT(MID(Metadata!E384,18,2))&lt;=59,FALSE)), LEN(Metadata!E384)&lt;=19)))))))))))))</f>
        <v>0</v>
      </c>
      <c r="AS384" t="b">
        <f>IF(Metadata!F384="",FALSE,TRUE)</f>
        <v>0</v>
      </c>
      <c r="AT384" t="b">
        <f>OR(AND(IF(Metadata!G384="",FALSE,TRUE),OR(EXACT(Metadata!G384,"not collected"),EXACT(Metadata!G384,"not provided"))),AND(IF(Metadata!G384="",FALSE,TRUE),OR(EXACT(Metadata!G384,"TRUE"),EXACT(Metadata!G384,"FALSE"))))</f>
        <v>0</v>
      </c>
      <c r="AU384" t="b">
        <f>OR(AND(IF(Metadata!H384="",FALSE,TRUE),OR(EXACT(Metadata!H384,"not collected"),EXACT(Metadata!H384,"not provided"),EXACT(Metadata!H384,"restricted access"))),AND(IF(Metadata!H384="",FALSE,ISNUMBER(VALUE(Metadata!H384))),Metadata!H384&gt;=-413))</f>
        <v>0</v>
      </c>
      <c r="AV384" t="b">
        <f>AND(IF(Metadata!I384="",FALSE,TRUE),EXACT(Metadata!I384,"meters"))</f>
        <v>0</v>
      </c>
      <c r="AW384" t="b">
        <f>AND(IF(Metadata!J384="",FALSE,TRUE),EXACT(Metadata!J384,"free-living"))</f>
        <v>0</v>
      </c>
      <c r="AX384" t="b">
        <f>AND(IF(Metadata!K384="",FALSE,TRUE),OR(EXACT(Metadata!K384,"saline"),EXACT(Metadata!K384,"non-saline")))</f>
        <v>0</v>
      </c>
      <c r="AY384" t="b">
        <f>AND(IF(Metadata!L384="",FALSE,TRUE),OR(EXACT(Metadata!L384,"sub-surface (non-saline)"),EXACT(Metadata!L384,"surface (non-saline)"),EXACT(Metadata!L384,"water (non-saline)"),EXACT(Metadata!L384,"soil (non-saline)"),EXACT(Metadata!L384,"aerosol (non-saline)"),EXACT(Metadata!L384,"sediment (non-saline)"),EXACT(Metadata!L384,"surface (saline)"),EXACT(Metadata!L384,"water (saline)"),EXACT(Metadata!L384,"hypersaline (saline)"),EXACT(Metadata!L384,"aerosol (saline)"),EXACT(Metadata!L384,"sediment (saline)")))</f>
        <v>0</v>
      </c>
      <c r="AZ384" t="b">
        <f>IF(Metadata!M384="",FALSE,TRUE)</f>
        <v>0</v>
      </c>
      <c r="BA384" t="b">
        <f>IF(Metadata!N384="",FALSE,TRUE)</f>
        <v>0</v>
      </c>
      <c r="BB384" t="b">
        <f>IF(Metadata!O384="",FALSE,TRUE)</f>
        <v>0</v>
      </c>
      <c r="BC384" t="b">
        <f>AND(IF(Metadata!P384="",FALSE,TRUE),OR(EXACT(Metadata!P384,"air"),EXACT(Metadata!P384,"microbial mat/biofilm"),EXACT(Metadata!P384,"misc environment"),EXACT(Metadata!P384,"sediment"),EXACT(Metadata!P384,"soil"),EXACT(Metadata!P384,"wastewater/sludge"),EXACT(Metadata!P384,"water")))</f>
        <v>0</v>
      </c>
      <c r="BD384" t="b">
        <f>IF(Metadata!Q384="",FALSE,TRUE)</f>
        <v>0</v>
      </c>
      <c r="BE384" t="b">
        <f>IF(Metadata!R384="",FALSE,TRUE)</f>
        <v>0</v>
      </c>
      <c r="BF384" t="b">
        <f>OR(AND(IF(Metadata!S384="",FALSE,TRUE),OR(EXACT(Metadata!S384,"not collected"),EXACT(Metadata!S384,"not provided"),EXACT(Metadata!S384,"restricted access"))),AND(IF(Metadata!S384="",FALSE,ISNUMBER(VALUE(Metadata!S384))),Metadata!S384&gt;=-90,Metadata!S384&lt;=90))</f>
        <v>0</v>
      </c>
      <c r="BG384" t="b">
        <f>AND(IF(Metadata!T384="",FALSE,TRUE),EXACT(Metadata!T384,"Decimal degrees"))</f>
        <v>0</v>
      </c>
      <c r="BH384" t="b">
        <f>OR(AND(IF(Metadata!U384="",FALSE,TRUE),OR(EXACT(Metadata!U384,"not applicable"),EXACT(Metadata!U384,"not collected"))),IF(Metadata!U384="",FALSE,TRUE))</f>
        <v>0</v>
      </c>
      <c r="BI384" t="b">
        <f>OR(AND(IF(Metadata!V384="",FALSE,TRUE),OR(EXACT(Metadata!V384,"not collected"),EXACT(Metadata!V384,"not provided"),EXACT(Metadata!V384,"restricted access"))),AND(IF(Metadata!V384="",FALSE,ISNUMBER(VALUE(Metadata!V384))),Metadata!V384&gt;=-180,Metadata!V384&lt;=180))</f>
        <v>0</v>
      </c>
      <c r="BJ384" t="b">
        <f>AND(IF(Metadata!W384="",FALSE,TRUE),EXACT(Metadata!W384,"Decimal degrees"))</f>
        <v>0</v>
      </c>
      <c r="BK384" t="b">
        <f>IF(Metadata!X384="",FALSE,TRUE)</f>
        <v>0</v>
      </c>
      <c r="BL384" t="b">
        <f>OR(AND(IF(Metadata!Y384="",FALSE,TRUE),OR(EXACT(Metadata!Y384,"not collected"),EXACT(Metadata!Y384,"not provided"),EXACT(Metadata!Y384,"restricted access"))),AND(IF(Metadata!Y384="",FALSE,TRUE),OR(EXACT(Metadata!Y384,"TRUE"),EXACT(Metadata!Y384,"FALSE"))))</f>
        <v>0</v>
      </c>
      <c r="BM384" t="b">
        <f>OR(AND(IF(Metadata!Z384="",FALSE,TRUE),EXACT(Metadata!Z384,"not applicable")),AND(IF(Metadata!Z384="",FALSE,TRUE),OR(EXACT(Metadata!Z384,"beer"),EXACT(Metadata!Z384,"cheese"),EXACT(Metadata!Z384,"fresh water"),EXACT(Metadata!Z384,"marine sediment"),EXACT(Metadata!Z384,"sea water"),EXACT(Metadata!Z384,"sediment"),EXACT(Metadata!Z384,"soil"),EXACT(Metadata!Z384,"waste water"))))</f>
        <v>0</v>
      </c>
      <c r="BN384" t="b">
        <f>AND(IF(Metadata!AA384="",FALSE,TRUE),EXACT(Metadata!AA384,"metagenome"))</f>
        <v>0</v>
      </c>
      <c r="BO384" t="b">
        <f>AND(IF(Metadata!AB384="",FALSE,TRUE),EXACT(Metadata!AB384,"256318"))</f>
        <v>0</v>
      </c>
      <c r="BP384" t="b">
        <f>IF(Metadata!AC384="",FALSE,TRUE)</f>
        <v>0</v>
      </c>
      <c r="BQ384" t="b">
        <f>IF(Metadata!AD384="",FALSE,TRUE)</f>
        <v>0</v>
      </c>
    </row>
    <row r="385" spans="1:69" x14ac:dyDescent="0.2">
      <c r="A385" s="4" t="e">
        <f ca="1">IF(B385=" "," ",HYPERLINK(CONCATENATE("#metadata!",ADDRESS(INDEX($AJ$2:$AJ$1001,MATCH(ROWS($AH$2:AH385),$AH$2:$AH$1001,0),0),2)),INDEX($AM$2:$AM$1001,MATCH(ROWS($AH$2:AH385),$AH$2:$AH$1001,0),0)))</f>
        <v>#N/A</v>
      </c>
      <c r="B385" s="5" t="e">
        <f ca="1">IF(OR(INDEX($AI$2:$AI$1001,MATCH(ROWS($AH$2:AH385),$AH$2:$AH$1001,0),1)&gt;=100000,INDEX($AO$1005:$BQ$1005,1,MATCH(COLUMNS($AO$1006:AO1006),$AO$1006:$BQ$1006,0))&gt;=100000), " ",IF(INDEX($AO$2:$BQ$1001,MATCH(ROWS($AH$2:AH385),$AH$2:$AH$1001,0),MATCH(COLUMNS($AO$1006:AO1006),$AO$1006:$BQ$1006,0)), HYPERLINK("#",""), HYPERLINK(CONCATENATE("#Metadata!", ADDRESS(INDEX($AJ$2:$AJ$1001,MATCH(ROWS($AH$2:AH385),$AH$2:$AH$1001,0),0), INDEX($AO$1004:$BQ$1004,1,MATCH(COLUMNS($AO$1006:AO1006),$AO$1006:$BQ$1006,0)))),"Fix")))</f>
        <v>#N/A</v>
      </c>
      <c r="C385" s="5" t="e">
        <f ca="1">IF(OR(INDEX($AI$2:$AI$1001,MATCH(ROWS($AH$2:AH385),$AH$2:$AH$1001,0),1)&gt;=100000,INDEX($AO$1005:$BQ$1005,1,MATCH(COLUMNS($AO$1006:AP1006),$AO$1006:$BQ$1006,0))&gt;=100000), " ",IF(INDEX($AO$2:$BQ$1001,MATCH(ROWS($AH$2:AH385),$AH$2:$AH$1001,0),MATCH(COLUMNS($AO$1006:AP1006),$AO$1006:$BQ$1006,0)), HYPERLINK("#",""), HYPERLINK(CONCATENATE("#Metadata!", ADDRESS(INDEX($AJ$2:$AJ$1001,MATCH(ROWS($AH$2:AH385),$AH$2:$AH$1001,0),0), INDEX($AO$1004:$BQ$1004,1,MATCH(COLUMNS($AO$1006:AP1006),$AO$1006:$BQ$1006,0)))),"Fix")))</f>
        <v>#N/A</v>
      </c>
      <c r="D385" s="5" t="e">
        <f ca="1">IF(OR(INDEX($AI$2:$AI$1001,MATCH(ROWS($AH$2:AH385),$AH$2:$AH$1001,0),1)&gt;=100000,INDEX($AO$1005:$BQ$1005,1,MATCH(COLUMNS($AO$1006:AQ1006),$AO$1006:$BQ$1006,0))&gt;=100000), " ",IF(INDEX($AO$2:$BQ$1001,MATCH(ROWS($AH$2:AH385),$AH$2:$AH$1001,0),MATCH(COLUMNS($AO$1006:AQ1006),$AO$1006:$BQ$1006,0)), HYPERLINK("#",""), HYPERLINK(CONCATENATE("#Metadata!", ADDRESS(INDEX($AJ$2:$AJ$1001,MATCH(ROWS($AH$2:AH385),$AH$2:$AH$1001,0),0), INDEX($AO$1004:$BQ$1004,1,MATCH(COLUMNS($AO$1006:AQ1006),$AO$1006:$BQ$1006,0)))),"Fix")))</f>
        <v>#N/A</v>
      </c>
      <c r="E385" s="5" t="e">
        <f ca="1">IF(OR(INDEX($AI$2:$AI$1001,MATCH(ROWS($AH$2:AH385),$AH$2:$AH$1001,0),1)&gt;=100000,INDEX($AO$1005:$BQ$1005,1,MATCH(COLUMNS($AO$1006:AR1006),$AO$1006:$BQ$1006,0))&gt;=100000), " ",IF(INDEX($AO$2:$BQ$1001,MATCH(ROWS($AH$2:AH385),$AH$2:$AH$1001,0),MATCH(COLUMNS($AO$1006:AR1006),$AO$1006:$BQ$1006,0)), HYPERLINK("#",""), HYPERLINK(CONCATENATE("#Metadata!", ADDRESS(INDEX($AJ$2:$AJ$1001,MATCH(ROWS($AH$2:AH385),$AH$2:$AH$1001,0),0), INDEX($AO$1004:$BQ$1004,1,MATCH(COLUMNS($AO$1006:AR1006),$AO$1006:$BQ$1006,0)))),"Fix")))</f>
        <v>#N/A</v>
      </c>
      <c r="F385" s="5" t="e">
        <f ca="1">IF(OR(INDEX($AI$2:$AI$1001,MATCH(ROWS($AH$2:AH385),$AH$2:$AH$1001,0),1)&gt;=100000,INDEX($AO$1005:$BQ$1005,1,MATCH(COLUMNS($AO$1006:AS1006),$AO$1006:$BQ$1006,0))&gt;=100000), " ",IF(INDEX($AO$2:$BQ$1001,MATCH(ROWS($AH$2:AH385),$AH$2:$AH$1001,0),MATCH(COLUMNS($AO$1006:AS1006),$AO$1006:$BQ$1006,0)), HYPERLINK("#",""), HYPERLINK(CONCATENATE("#Metadata!", ADDRESS(INDEX($AJ$2:$AJ$1001,MATCH(ROWS($AH$2:AH385),$AH$2:$AH$1001,0),0), INDEX($AO$1004:$BQ$1004,1,MATCH(COLUMNS($AO$1006:AS1006),$AO$1006:$BQ$1006,0)))),"Fix")))</f>
        <v>#N/A</v>
      </c>
      <c r="G385" s="5" t="e">
        <f ca="1">IF(OR(INDEX($AI$2:$AI$1001,MATCH(ROWS($AH$2:AH385),$AH$2:$AH$1001,0),1)&gt;=100000,INDEX($AO$1005:$BQ$1005,1,MATCH(COLUMNS($AO$1006:AT1006),$AO$1006:$BQ$1006,0))&gt;=100000), " ",IF(INDEX($AO$2:$BQ$1001,MATCH(ROWS($AH$2:AH385),$AH$2:$AH$1001,0),MATCH(COLUMNS($AO$1006:AT1006),$AO$1006:$BQ$1006,0)), HYPERLINK("#",""), HYPERLINK(CONCATENATE("#Metadata!", ADDRESS(INDEX($AJ$2:$AJ$1001,MATCH(ROWS($AH$2:AH385),$AH$2:$AH$1001,0),0), INDEX($AO$1004:$BQ$1004,1,MATCH(COLUMNS($AO$1006:AT1006),$AO$1006:$BQ$1006,0)))),"Fix")))</f>
        <v>#N/A</v>
      </c>
      <c r="H385" s="5" t="e">
        <f ca="1">IF(OR(INDEX($AI$2:$AI$1001,MATCH(ROWS($AH$2:AH385),$AH$2:$AH$1001,0),1)&gt;=100000,INDEX($AO$1005:$BQ$1005,1,MATCH(COLUMNS($AO$1006:AU1006),$AO$1006:$BQ$1006,0))&gt;=100000), " ",IF(INDEX($AO$2:$BQ$1001,MATCH(ROWS($AH$2:AH385),$AH$2:$AH$1001,0),MATCH(COLUMNS($AO$1006:AU1006),$AO$1006:$BQ$1006,0)), HYPERLINK("#",""), HYPERLINK(CONCATENATE("#Metadata!", ADDRESS(INDEX($AJ$2:$AJ$1001,MATCH(ROWS($AH$2:AH385),$AH$2:$AH$1001,0),0), INDEX($AO$1004:$BQ$1004,1,MATCH(COLUMNS($AO$1006:AU1006),$AO$1006:$BQ$1006,0)))),"Fix")))</f>
        <v>#N/A</v>
      </c>
      <c r="I385" s="5" t="e">
        <f ca="1">IF(OR(INDEX($AI$2:$AI$1001,MATCH(ROWS($AH$2:AH385),$AH$2:$AH$1001,0),1)&gt;=100000,INDEX($AO$1005:$BQ$1005,1,MATCH(COLUMNS($AO$1006:AV1006),$AO$1006:$BQ$1006,0))&gt;=100000), " ",IF(INDEX($AO$2:$BQ$1001,MATCH(ROWS($AH$2:AH385),$AH$2:$AH$1001,0),MATCH(COLUMNS($AO$1006:AV1006),$AO$1006:$BQ$1006,0)), HYPERLINK("#",""), HYPERLINK(CONCATENATE("#Metadata!", ADDRESS(INDEX($AJ$2:$AJ$1001,MATCH(ROWS($AH$2:AH385),$AH$2:$AH$1001,0),0), INDEX($AO$1004:$BQ$1004,1,MATCH(COLUMNS($AO$1006:AV1006),$AO$1006:$BQ$1006,0)))),"Fix")))</f>
        <v>#N/A</v>
      </c>
      <c r="J385" s="5" t="e">
        <f ca="1">IF(OR(INDEX($AI$2:$AI$1001,MATCH(ROWS($AH$2:AH385),$AH$2:$AH$1001,0),1)&gt;=100000,INDEX($AO$1005:$BQ$1005,1,MATCH(COLUMNS($AO$1006:AW1006),$AO$1006:$BQ$1006,0))&gt;=100000), " ",IF(INDEX($AO$2:$BQ$1001,MATCH(ROWS($AH$2:AH385),$AH$2:$AH$1001,0),MATCH(COLUMNS($AO$1006:AW1006),$AO$1006:$BQ$1006,0)), HYPERLINK("#",""), HYPERLINK(CONCATENATE("#Metadata!", ADDRESS(INDEX($AJ$2:$AJ$1001,MATCH(ROWS($AH$2:AH385),$AH$2:$AH$1001,0),0), INDEX($AO$1004:$BQ$1004,1,MATCH(COLUMNS($AO$1006:AW1006),$AO$1006:$BQ$1006,0)))),"Fix")))</f>
        <v>#N/A</v>
      </c>
      <c r="K385" s="5" t="e">
        <f ca="1">IF(OR(INDEX($AI$2:$AI$1001,MATCH(ROWS($AH$2:AH385),$AH$2:$AH$1001,0),1)&gt;=100000,INDEX($AO$1005:$BQ$1005,1,MATCH(COLUMNS($AO$1006:AX1006),$AO$1006:$BQ$1006,0))&gt;=100000), " ",IF(INDEX($AO$2:$BQ$1001,MATCH(ROWS($AH$2:AH385),$AH$2:$AH$1001,0),MATCH(COLUMNS($AO$1006:AX1006),$AO$1006:$BQ$1006,0)), HYPERLINK("#",""), HYPERLINK(CONCATENATE("#Metadata!", ADDRESS(INDEX($AJ$2:$AJ$1001,MATCH(ROWS($AH$2:AH385),$AH$2:$AH$1001,0),0), INDEX($AO$1004:$BQ$1004,1,MATCH(COLUMNS($AO$1006:AX1006),$AO$1006:$BQ$1006,0)))),"Fix")))</f>
        <v>#N/A</v>
      </c>
      <c r="L385" s="5" t="e">
        <f ca="1">IF(OR(INDEX($AI$2:$AI$1001,MATCH(ROWS($AH$2:AH385),$AH$2:$AH$1001,0),1)&gt;=100000,INDEX($AO$1005:$BQ$1005,1,MATCH(COLUMNS($AO$1006:AY1006),$AO$1006:$BQ$1006,0))&gt;=100000), " ",IF(INDEX($AO$2:$BQ$1001,MATCH(ROWS($AH$2:AH385),$AH$2:$AH$1001,0),MATCH(COLUMNS($AO$1006:AY1006),$AO$1006:$BQ$1006,0)), HYPERLINK("#",""), HYPERLINK(CONCATENATE("#Metadata!", ADDRESS(INDEX($AJ$2:$AJ$1001,MATCH(ROWS($AH$2:AH385),$AH$2:$AH$1001,0),0), INDEX($AO$1004:$BQ$1004,1,MATCH(COLUMNS($AO$1006:AY1006),$AO$1006:$BQ$1006,0)))),"Fix")))</f>
        <v>#N/A</v>
      </c>
      <c r="M385" s="5" t="e">
        <f ca="1">IF(OR(INDEX($AI$2:$AI$1001,MATCH(ROWS($AH$2:AH385),$AH$2:$AH$1001,0),1)&gt;=100000,INDEX($AO$1005:$BQ$1005,1,MATCH(COLUMNS($AO$1006:AZ1006),$AO$1006:$BQ$1006,0))&gt;=100000), " ",IF(INDEX($AO$2:$BQ$1001,MATCH(ROWS($AH$2:AH385),$AH$2:$AH$1001,0),MATCH(COLUMNS($AO$1006:AZ1006),$AO$1006:$BQ$1006,0)), HYPERLINK("#",""), HYPERLINK(CONCATENATE("#Metadata!", ADDRESS(INDEX($AJ$2:$AJ$1001,MATCH(ROWS($AH$2:AH385),$AH$2:$AH$1001,0),0), INDEX($AO$1004:$BQ$1004,1,MATCH(COLUMNS($AO$1006:AZ1006),$AO$1006:$BQ$1006,0)))),"Fix")))</f>
        <v>#N/A</v>
      </c>
      <c r="N385" s="5" t="e">
        <f ca="1">IF(OR(INDEX($AI$2:$AI$1001,MATCH(ROWS($AH$2:AH385),$AH$2:$AH$1001,0),1)&gt;=100000,INDEX($AO$1005:$BQ$1005,1,MATCH(COLUMNS($AO$1006:BA1006),$AO$1006:$BQ$1006,0))&gt;=100000), " ",IF(INDEX($AO$2:$BQ$1001,MATCH(ROWS($AH$2:AH385),$AH$2:$AH$1001,0),MATCH(COLUMNS($AO$1006:BA1006),$AO$1006:$BQ$1006,0)), HYPERLINK("#",""), HYPERLINK(CONCATENATE("#Metadata!", ADDRESS(INDEX($AJ$2:$AJ$1001,MATCH(ROWS($AH$2:AH385),$AH$2:$AH$1001,0),0), INDEX($AO$1004:$BQ$1004,1,MATCH(COLUMNS($AO$1006:BA1006),$AO$1006:$BQ$1006,0)))),"Fix")))</f>
        <v>#N/A</v>
      </c>
      <c r="O385" s="5" t="e">
        <f ca="1">IF(OR(INDEX($AI$2:$AI$1001,MATCH(ROWS($AH$2:AH385),$AH$2:$AH$1001,0),1)&gt;=100000,INDEX($AO$1005:$BQ$1005,1,MATCH(COLUMNS($AO$1006:BB1006),$AO$1006:$BQ$1006,0))&gt;=100000), " ",IF(INDEX($AO$2:$BQ$1001,MATCH(ROWS($AH$2:AH385),$AH$2:$AH$1001,0),MATCH(COLUMNS($AO$1006:BB1006),$AO$1006:$BQ$1006,0)), HYPERLINK("#",""), HYPERLINK(CONCATENATE("#Metadata!", ADDRESS(INDEX($AJ$2:$AJ$1001,MATCH(ROWS($AH$2:AH385),$AH$2:$AH$1001,0),0), INDEX($AO$1004:$BQ$1004,1,MATCH(COLUMNS($AO$1006:BB1006),$AO$1006:$BQ$1006,0)))),"Fix")))</f>
        <v>#N/A</v>
      </c>
      <c r="P385" s="5" t="e">
        <f ca="1">IF(OR(INDEX($AI$2:$AI$1001,MATCH(ROWS($AH$2:AH385),$AH$2:$AH$1001,0),1)&gt;=100000,INDEX($AO$1005:$BQ$1005,1,MATCH(COLUMNS($AO$1006:BC1006),$AO$1006:$BQ$1006,0))&gt;=100000), " ",IF(INDEX($AO$2:$BQ$1001,MATCH(ROWS($AH$2:AH385),$AH$2:$AH$1001,0),MATCH(COLUMNS($AO$1006:BC1006),$AO$1006:$BQ$1006,0)), HYPERLINK("#",""), HYPERLINK(CONCATENATE("#Metadata!", ADDRESS(INDEX($AJ$2:$AJ$1001,MATCH(ROWS($AH$2:AH385),$AH$2:$AH$1001,0),0), INDEX($AO$1004:$BQ$1004,1,MATCH(COLUMNS($AO$1006:BC1006),$AO$1006:$BQ$1006,0)))),"Fix")))</f>
        <v>#N/A</v>
      </c>
      <c r="Q385" s="5" t="e">
        <f ca="1">IF(OR(INDEX($AI$2:$AI$1001,MATCH(ROWS($AH$2:AH385),$AH$2:$AH$1001,0),1)&gt;=100000,INDEX($AO$1005:$BQ$1005,1,MATCH(COLUMNS($AO$1006:BD1006),$AO$1006:$BQ$1006,0))&gt;=100000), " ",IF(INDEX($AO$2:$BQ$1001,MATCH(ROWS($AH$2:AH385),$AH$2:$AH$1001,0),MATCH(COLUMNS($AO$1006:BD1006),$AO$1006:$BQ$1006,0)), HYPERLINK("#",""), HYPERLINK(CONCATENATE("#Metadata!", ADDRESS(INDEX($AJ$2:$AJ$1001,MATCH(ROWS($AH$2:AH385),$AH$2:$AH$1001,0),0), INDEX($AO$1004:$BQ$1004,1,MATCH(COLUMNS($AO$1006:BD1006),$AO$1006:$BQ$1006,0)))),"Fix")))</f>
        <v>#N/A</v>
      </c>
      <c r="R385" s="5" t="e">
        <f ca="1">IF(OR(INDEX($AI$2:$AI$1001,MATCH(ROWS($AH$2:AH385),$AH$2:$AH$1001,0),1)&gt;=100000,INDEX($AO$1005:$BQ$1005,1,MATCH(COLUMNS($AO$1006:BE1006),$AO$1006:$BQ$1006,0))&gt;=100000), " ",IF(INDEX($AO$2:$BQ$1001,MATCH(ROWS($AH$2:AH385),$AH$2:$AH$1001,0),MATCH(COLUMNS($AO$1006:BE1006),$AO$1006:$BQ$1006,0)), HYPERLINK("#",""), HYPERLINK(CONCATENATE("#Metadata!", ADDRESS(INDEX($AJ$2:$AJ$1001,MATCH(ROWS($AH$2:AH385),$AH$2:$AH$1001,0),0), INDEX($AO$1004:$BQ$1004,1,MATCH(COLUMNS($AO$1006:BE1006),$AO$1006:$BQ$1006,0)))),"Fix")))</f>
        <v>#N/A</v>
      </c>
      <c r="S385" s="5" t="e">
        <f ca="1">IF(OR(INDEX($AI$2:$AI$1001,MATCH(ROWS($AH$2:AH385),$AH$2:$AH$1001,0),1)&gt;=100000,INDEX($AO$1005:$BQ$1005,1,MATCH(COLUMNS($AO$1006:BF1006),$AO$1006:$BQ$1006,0))&gt;=100000), " ",IF(INDEX($AO$2:$BQ$1001,MATCH(ROWS($AH$2:AH385),$AH$2:$AH$1001,0),MATCH(COLUMNS($AO$1006:BF1006),$AO$1006:$BQ$1006,0)), HYPERLINK("#",""), HYPERLINK(CONCATENATE("#Metadata!", ADDRESS(INDEX($AJ$2:$AJ$1001,MATCH(ROWS($AH$2:AH385),$AH$2:$AH$1001,0),0), INDEX($AO$1004:$BQ$1004,1,MATCH(COLUMNS($AO$1006:BF1006),$AO$1006:$BQ$1006,0)))),"Fix")))</f>
        <v>#N/A</v>
      </c>
      <c r="T385" s="5" t="e">
        <f ca="1">IF(OR(INDEX($AI$2:$AI$1001,MATCH(ROWS($AH$2:AH385),$AH$2:$AH$1001,0),1)&gt;=100000,INDEX($AO$1005:$BQ$1005,1,MATCH(COLUMNS($AO$1006:BG1006),$AO$1006:$BQ$1006,0))&gt;=100000), " ",IF(INDEX($AO$2:$BQ$1001,MATCH(ROWS($AH$2:AH385),$AH$2:$AH$1001,0),MATCH(COLUMNS($AO$1006:BG1006),$AO$1006:$BQ$1006,0)), HYPERLINK("#",""), HYPERLINK(CONCATENATE("#Metadata!", ADDRESS(INDEX($AJ$2:$AJ$1001,MATCH(ROWS($AH$2:AH385),$AH$2:$AH$1001,0),0), INDEX($AO$1004:$BQ$1004,1,MATCH(COLUMNS($AO$1006:BG1006),$AO$1006:$BQ$1006,0)))),"Fix")))</f>
        <v>#N/A</v>
      </c>
      <c r="U385" s="5" t="e">
        <f ca="1">IF(OR(INDEX($AI$2:$AI$1001,MATCH(ROWS($AH$2:AH385),$AH$2:$AH$1001,0),1)&gt;=100000,INDEX($AO$1005:$BQ$1005,1,MATCH(COLUMNS($AO$1006:BH1006),$AO$1006:$BQ$1006,0))&gt;=100000), " ",IF(INDEX($AO$2:$BQ$1001,MATCH(ROWS($AH$2:AH385),$AH$2:$AH$1001,0),MATCH(COLUMNS($AO$1006:BH1006),$AO$1006:$BQ$1006,0)), HYPERLINK("#",""), HYPERLINK(CONCATENATE("#Metadata!", ADDRESS(INDEX($AJ$2:$AJ$1001,MATCH(ROWS($AH$2:AH385),$AH$2:$AH$1001,0),0), INDEX($AO$1004:$BQ$1004,1,MATCH(COLUMNS($AO$1006:BH1006),$AO$1006:$BQ$1006,0)))),"Fix")))</f>
        <v>#N/A</v>
      </c>
      <c r="V385" s="5" t="e">
        <f ca="1">IF(OR(INDEX($AI$2:$AI$1001,MATCH(ROWS($AH$2:AH385),$AH$2:$AH$1001,0),1)&gt;=100000,INDEX($AO$1005:$BQ$1005,1,MATCH(COLUMNS($AO$1006:BI1006),$AO$1006:$BQ$1006,0))&gt;=100000), " ",IF(INDEX($AO$2:$BQ$1001,MATCH(ROWS($AH$2:AH385),$AH$2:$AH$1001,0),MATCH(COLUMNS($AO$1006:BI1006),$AO$1006:$BQ$1006,0)), HYPERLINK("#",""), HYPERLINK(CONCATENATE("#Metadata!", ADDRESS(INDEX($AJ$2:$AJ$1001,MATCH(ROWS($AH$2:AH385),$AH$2:$AH$1001,0),0), INDEX($AO$1004:$BQ$1004,1,MATCH(COLUMNS($AO$1006:BI1006),$AO$1006:$BQ$1006,0)))),"Fix")))</f>
        <v>#N/A</v>
      </c>
      <c r="W385" s="5" t="e">
        <f ca="1">IF(OR(INDEX($AI$2:$AI$1001,MATCH(ROWS($AH$2:AH385),$AH$2:$AH$1001,0),1)&gt;=100000,INDEX($AO$1005:$BQ$1005,1,MATCH(COLUMNS($AO$1006:BJ1006),$AO$1006:$BQ$1006,0))&gt;=100000), " ",IF(INDEX($AO$2:$BQ$1001,MATCH(ROWS($AH$2:AH385),$AH$2:$AH$1001,0),MATCH(COLUMNS($AO$1006:BJ1006),$AO$1006:$BQ$1006,0)), HYPERLINK("#",""), HYPERLINK(CONCATENATE("#Metadata!", ADDRESS(INDEX($AJ$2:$AJ$1001,MATCH(ROWS($AH$2:AH385),$AH$2:$AH$1001,0),0), INDEX($AO$1004:$BQ$1004,1,MATCH(COLUMNS($AO$1006:BJ1006),$AO$1006:$BQ$1006,0)))),"Fix")))</f>
        <v>#N/A</v>
      </c>
      <c r="X385" s="5" t="e">
        <f ca="1">IF(OR(INDEX($AI$2:$AI$1001,MATCH(ROWS($AH$2:AH385),$AH$2:$AH$1001,0),1)&gt;=100000,INDEX($AO$1005:$BQ$1005,1,MATCH(COLUMNS($AO$1006:BK1006),$AO$1006:$BQ$1006,0))&gt;=100000), " ",IF(INDEX($AO$2:$BQ$1001,MATCH(ROWS($AH$2:AH385),$AH$2:$AH$1001,0),MATCH(COLUMNS($AO$1006:BK1006),$AO$1006:$BQ$1006,0)), HYPERLINK("#",""), HYPERLINK(CONCATENATE("#Metadata!", ADDRESS(INDEX($AJ$2:$AJ$1001,MATCH(ROWS($AH$2:AH385),$AH$2:$AH$1001,0),0), INDEX($AO$1004:$BQ$1004,1,MATCH(COLUMNS($AO$1006:BK1006),$AO$1006:$BQ$1006,0)))),"Fix")))</f>
        <v>#N/A</v>
      </c>
      <c r="Y385" s="5" t="e">
        <f ca="1">IF(OR(INDEX($AI$2:$AI$1001,MATCH(ROWS($AH$2:AH385),$AH$2:$AH$1001,0),1)&gt;=100000,INDEX($AO$1005:$BQ$1005,1,MATCH(COLUMNS($AO$1006:BL1006),$AO$1006:$BQ$1006,0))&gt;=100000), " ",IF(INDEX($AO$2:$BQ$1001,MATCH(ROWS($AH$2:AH385),$AH$2:$AH$1001,0),MATCH(COLUMNS($AO$1006:BL1006),$AO$1006:$BQ$1006,0)), HYPERLINK("#",""), HYPERLINK(CONCATENATE("#Metadata!", ADDRESS(INDEX($AJ$2:$AJ$1001,MATCH(ROWS($AH$2:AH385),$AH$2:$AH$1001,0),0), INDEX($AO$1004:$BQ$1004,1,MATCH(COLUMNS($AO$1006:BL1006),$AO$1006:$BQ$1006,0)))),"Fix")))</f>
        <v>#N/A</v>
      </c>
      <c r="Z385" s="5" t="e">
        <f ca="1">IF(OR(INDEX($AI$2:$AI$1001,MATCH(ROWS($AH$2:AH385),$AH$2:$AH$1001,0),1)&gt;=100000,INDEX($AO$1005:$BQ$1005,1,MATCH(COLUMNS($AO$1006:BM1006),$AO$1006:$BQ$1006,0))&gt;=100000), " ",IF(INDEX($AO$2:$BQ$1001,MATCH(ROWS($AH$2:AH385),$AH$2:$AH$1001,0),MATCH(COLUMNS($AO$1006:BM1006),$AO$1006:$BQ$1006,0)), HYPERLINK("#",""), HYPERLINK(CONCATENATE("#Metadata!", ADDRESS(INDEX($AJ$2:$AJ$1001,MATCH(ROWS($AH$2:AH385),$AH$2:$AH$1001,0),0), INDEX($AO$1004:$BQ$1004,1,MATCH(COLUMNS($AO$1006:BM1006),$AO$1006:$BQ$1006,0)))),"Fix")))</f>
        <v>#N/A</v>
      </c>
      <c r="AA385" s="5" t="e">
        <f ca="1">IF(OR(INDEX($AI$2:$AI$1001,MATCH(ROWS($AH$2:AH385),$AH$2:$AH$1001,0),1)&gt;=100000,INDEX($AO$1005:$BQ$1005,1,MATCH(COLUMNS($AO$1006:BN1006),$AO$1006:$BQ$1006,0))&gt;=100000), " ",IF(INDEX($AO$2:$BQ$1001,MATCH(ROWS($AH$2:AH385),$AH$2:$AH$1001,0),MATCH(COLUMNS($AO$1006:BN1006),$AO$1006:$BQ$1006,0)), HYPERLINK("#",""), HYPERLINK(CONCATENATE("#Metadata!", ADDRESS(INDEX($AJ$2:$AJ$1001,MATCH(ROWS($AH$2:AH385),$AH$2:$AH$1001,0),0), INDEX($AO$1004:$BQ$1004,1,MATCH(COLUMNS($AO$1006:BN1006),$AO$1006:$BQ$1006,0)))),"Fix")))</f>
        <v>#N/A</v>
      </c>
      <c r="AB385" s="5" t="e">
        <f ca="1">IF(OR(INDEX($AI$2:$AI$1001,MATCH(ROWS($AH$2:AH385),$AH$2:$AH$1001,0),1)&gt;=100000,INDEX($AO$1005:$BQ$1005,1,MATCH(COLUMNS($AO$1006:BO1006),$AO$1006:$BQ$1006,0))&gt;=100000), " ",IF(INDEX($AO$2:$BQ$1001,MATCH(ROWS($AH$2:AH385),$AH$2:$AH$1001,0),MATCH(COLUMNS($AO$1006:BO1006),$AO$1006:$BQ$1006,0)), HYPERLINK("#",""), HYPERLINK(CONCATENATE("#Metadata!", ADDRESS(INDEX($AJ$2:$AJ$1001,MATCH(ROWS($AH$2:AH385),$AH$2:$AH$1001,0),0), INDEX($AO$1004:$BQ$1004,1,MATCH(COLUMNS($AO$1006:BO1006),$AO$1006:$BQ$1006,0)))),"Fix")))</f>
        <v>#N/A</v>
      </c>
      <c r="AC385" s="5" t="e">
        <f ca="1">IF(OR(INDEX($AI$2:$AI$1001,MATCH(ROWS($AH$2:AH385),$AH$2:$AH$1001,0),1)&gt;=100000,INDEX($AO$1005:$BQ$1005,1,MATCH(COLUMNS($AO$1006:BP1006),$AO$1006:$BQ$1006,0))&gt;=100000), " ",IF(INDEX($AO$2:$BQ$1001,MATCH(ROWS($AH$2:AH385),$AH$2:$AH$1001,0),MATCH(COLUMNS($AO$1006:BP1006),$AO$1006:$BQ$1006,0)), HYPERLINK("#",""), HYPERLINK(CONCATENATE("#Metadata!", ADDRESS(INDEX($AJ$2:$AJ$1001,MATCH(ROWS($AH$2:AH385),$AH$2:$AH$1001,0),0), INDEX($AO$1004:$BQ$1004,1,MATCH(COLUMNS($AO$1006:BP1006),$AO$1006:$BQ$1006,0)))),"Fix")))</f>
        <v>#N/A</v>
      </c>
      <c r="AD385" s="5" t="e">
        <f ca="1">IF(OR(INDEX($AI$2:$AI$1001,MATCH(ROWS($AH$2:AH385),$AH$2:$AH$1001,0),1)&gt;=100000,INDEX($AO$1005:$BQ$1005,1,MATCH(COLUMNS($AO$1006:BQ1006),$AO$1006:$BQ$1006,0))&gt;=100000), " ",IF(INDEX($AO$2:$BQ$1001,MATCH(ROWS($AH$2:AH385),$AH$2:$AH$1001,0),MATCH(COLUMNS($AO$1006:BQ1006),$AO$1006:$BQ$1006,0)), HYPERLINK("#",""), HYPERLINK(CONCATENATE("#Metadata!", ADDRESS(INDEX($AJ$2:$AJ$1001,MATCH(ROWS($AH$2:AH385),$AH$2:$AH$1001,0),0), INDEX($AO$1004:$BQ$1004,1,MATCH(COLUMNS($AO$1006:BQ1006),$AO$1006:$BQ$1006,0)))),"Fix")))</f>
        <v>#REF!</v>
      </c>
      <c r="AH385">
        <f ca="1"/>
        <v>382</v>
      </c>
      <c r="AI385">
        <v>100385</v>
      </c>
      <c r="AJ385">
        <v>385</v>
      </c>
      <c r="AK385" t="b">
        <f t="shared" si="5"/>
        <v>1</v>
      </c>
      <c r="AL385" t="b">
        <f>COUNTBLANK(Metadata!B385:AD385)=COLUMNS(Metadata!B385:AD385)</f>
        <v>1</v>
      </c>
      <c r="AM385" t="str">
        <v/>
      </c>
      <c r="AO385" t="b">
        <f ca="1">AND(IF(Metadata!B385="",FALSE,TRUE),COUNTIF(Metadata!B:B, Metadata!B385) = 1,NOT(ISERROR(SUMPRODUCT(SEARCH(MID(Metadata!B385,ROW(INDIRECT("1:"&amp;LEN(Metadata!B385))), 1),"0123456789abcdefghijklmnopqrstuvwxyzABCDEFGHIJKLMNOPQRSTUVWXYZ.")))))</f>
        <v>0</v>
      </c>
      <c r="AP385" t="b">
        <f>IF(Metadata!C385="",FALSE,TRUE)</f>
        <v>0</v>
      </c>
      <c r="AQ385" t="b">
        <f>IF(Metadata!D385="",FALSE,TRUE)</f>
        <v>0</v>
      </c>
      <c r="AR385" t="b">
        <f ca="1">OR(AND(IF(Metadata!E385="",FALSE,TRUE),OR(EXACT(Metadata!E385,"not collected"),EXACT(Metadata!E385,"not provided"),EXACT(Metadata!E385,"restricted access"))),AND(IF(Metadata!E385="",FALSE,TRUE),AND(AND(IFERROR(INT(LEFT(Metadata!E385,4))&gt;1900,FALSE),IFERROR(INT(LEFT(Metadata!E385,4))&lt;=YEAR(NOW()),FALSE)), OR(MID(Metadata!E385,5,1)="", AND(AND(MID(Metadata!E385,5,1)="-",IFERROR(INT(MID(Metadata!E385,6,1))&gt;=0,FALSE),IFERROR(INT(MID(Metadata!E385,6,1))&lt;=1,FALSE),NOT(MID(Metadata!E385,7,1)=""),IFERROR(INT(MID(Metadata!E385,6,2))&gt;=1,FALSE),IFERROR(INT(MID(Metadata!E385,6,2))&lt;=12,FALSE)), OR(MID(Metadata!E385,8,1)="", AND(AND(MID(Metadata!E385,8,1)="-",IFERROR(INT(MID(Metadata!E385,9,1))&gt;=0,FALSE),IFERROR(INT(MID(Metadata!E385,9,1))&lt;=3,FALSE),NOT(MID(Metadata!E385,10,1)=""),IFERROR(INT(MID(Metadata!E385,9,2))&gt;=1,FALSE),IFERROR(INT(MID(Metadata!E385,9,2))&lt;=31,FALSE)), OR(MID(Metadata!E385,11,1)="", AND(AND(MID(Metadata!E385,11,1)=" ",IFERROR(INT(MID(Metadata!E385,12,1))&gt;=0,FALSE),IFERROR(INT(MID(Metadata!E385,12,1))&lt;=2,FALSE),NOT(MID(Metadata!E385,13,1)=""),IFERROR(INT(MID(Metadata!E385,12,2))&gt;=0,FALSE),IFERROR(INT(MID(Metadata!E385,12,2))&lt;=23,FALSE)), OR(MID(Metadata!E385,14,1)="", AND(AND(MID(Metadata!E385,14,1)=":",IFERROR(INT(MID(Metadata!E385,15,1))&gt;=0,FALSE),IFERROR(INT(MID(Metadata!E385,15,1))&lt;=5,FALSE),NOT(MID(Metadata!E385,16,1)=""),IFERROR(INT(MID(Metadata!E385,15,2))&gt;=0,FALSE),IFERROR(INT(MID(Metadata!E385,15,2))&lt;=59,FALSE)), OR(MID(Metadata!E385,17,1)="", AND(AND(MID(Metadata!E385,17,1)=":",IFERROR(INT(MID(Metadata!E385,18,1))&gt;=0,FALSE),IFERROR(INT(MID(Metadata!E385,18,1))&lt;=5,FALSE),NOT(MID(Metadata!E385,19,1)=""),IFERROR(INT(MID(Metadata!E385,18,2))&gt;=0,FALSE),IFERROR(INT(MID(Metadata!E385,18,2))&lt;=59,FALSE)), LEN(Metadata!E385)&lt;=19)))))))))))))</f>
        <v>0</v>
      </c>
      <c r="AS385" t="b">
        <f>IF(Metadata!F385="",FALSE,TRUE)</f>
        <v>0</v>
      </c>
      <c r="AT385" t="b">
        <f>OR(AND(IF(Metadata!G385="",FALSE,TRUE),OR(EXACT(Metadata!G385,"not collected"),EXACT(Metadata!G385,"not provided"))),AND(IF(Metadata!G385="",FALSE,TRUE),OR(EXACT(Metadata!G385,"TRUE"),EXACT(Metadata!G385,"FALSE"))))</f>
        <v>0</v>
      </c>
      <c r="AU385" t="b">
        <f>OR(AND(IF(Metadata!H385="",FALSE,TRUE),OR(EXACT(Metadata!H385,"not collected"),EXACT(Metadata!H385,"not provided"),EXACT(Metadata!H385,"restricted access"))),AND(IF(Metadata!H385="",FALSE,ISNUMBER(VALUE(Metadata!H385))),Metadata!H385&gt;=-413))</f>
        <v>0</v>
      </c>
      <c r="AV385" t="b">
        <f>AND(IF(Metadata!I385="",FALSE,TRUE),EXACT(Metadata!I385,"meters"))</f>
        <v>0</v>
      </c>
      <c r="AW385" t="b">
        <f>AND(IF(Metadata!J385="",FALSE,TRUE),EXACT(Metadata!J385,"free-living"))</f>
        <v>0</v>
      </c>
      <c r="AX385" t="b">
        <f>AND(IF(Metadata!K385="",FALSE,TRUE),OR(EXACT(Metadata!K385,"saline"),EXACT(Metadata!K385,"non-saline")))</f>
        <v>0</v>
      </c>
      <c r="AY385" t="b">
        <f>AND(IF(Metadata!L385="",FALSE,TRUE),OR(EXACT(Metadata!L385,"sub-surface (non-saline)"),EXACT(Metadata!L385,"surface (non-saline)"),EXACT(Metadata!L385,"water (non-saline)"),EXACT(Metadata!L385,"soil (non-saline)"),EXACT(Metadata!L385,"aerosol (non-saline)"),EXACT(Metadata!L385,"sediment (non-saline)"),EXACT(Metadata!L385,"surface (saline)"),EXACT(Metadata!L385,"water (saline)"),EXACT(Metadata!L385,"hypersaline (saline)"),EXACT(Metadata!L385,"aerosol (saline)"),EXACT(Metadata!L385,"sediment (saline)")))</f>
        <v>0</v>
      </c>
      <c r="AZ385" t="b">
        <f>IF(Metadata!M385="",FALSE,TRUE)</f>
        <v>0</v>
      </c>
      <c r="BA385" t="b">
        <f>IF(Metadata!N385="",FALSE,TRUE)</f>
        <v>0</v>
      </c>
      <c r="BB385" t="b">
        <f>IF(Metadata!O385="",FALSE,TRUE)</f>
        <v>0</v>
      </c>
      <c r="BC385" t="b">
        <f>AND(IF(Metadata!P385="",FALSE,TRUE),OR(EXACT(Metadata!P385,"air"),EXACT(Metadata!P385,"microbial mat/biofilm"),EXACT(Metadata!P385,"misc environment"),EXACT(Metadata!P385,"sediment"),EXACT(Metadata!P385,"soil"),EXACT(Metadata!P385,"wastewater/sludge"),EXACT(Metadata!P385,"water")))</f>
        <v>0</v>
      </c>
      <c r="BD385" t="b">
        <f>IF(Metadata!Q385="",FALSE,TRUE)</f>
        <v>0</v>
      </c>
      <c r="BE385" t="b">
        <f>IF(Metadata!R385="",FALSE,TRUE)</f>
        <v>0</v>
      </c>
      <c r="BF385" t="b">
        <f>OR(AND(IF(Metadata!S385="",FALSE,TRUE),OR(EXACT(Metadata!S385,"not collected"),EXACT(Metadata!S385,"not provided"),EXACT(Metadata!S385,"restricted access"))),AND(IF(Metadata!S385="",FALSE,ISNUMBER(VALUE(Metadata!S385))),Metadata!S385&gt;=-90,Metadata!S385&lt;=90))</f>
        <v>0</v>
      </c>
      <c r="BG385" t="b">
        <f>AND(IF(Metadata!T385="",FALSE,TRUE),EXACT(Metadata!T385,"Decimal degrees"))</f>
        <v>0</v>
      </c>
      <c r="BH385" t="b">
        <f>OR(AND(IF(Metadata!U385="",FALSE,TRUE),OR(EXACT(Metadata!U385,"not applicable"),EXACT(Metadata!U385,"not collected"))),IF(Metadata!U385="",FALSE,TRUE))</f>
        <v>0</v>
      </c>
      <c r="BI385" t="b">
        <f>OR(AND(IF(Metadata!V385="",FALSE,TRUE),OR(EXACT(Metadata!V385,"not collected"),EXACT(Metadata!V385,"not provided"),EXACT(Metadata!V385,"restricted access"))),AND(IF(Metadata!V385="",FALSE,ISNUMBER(VALUE(Metadata!V385))),Metadata!V385&gt;=-180,Metadata!V385&lt;=180))</f>
        <v>0</v>
      </c>
      <c r="BJ385" t="b">
        <f>AND(IF(Metadata!W385="",FALSE,TRUE),EXACT(Metadata!W385,"Decimal degrees"))</f>
        <v>0</v>
      </c>
      <c r="BK385" t="b">
        <f>IF(Metadata!X385="",FALSE,TRUE)</f>
        <v>0</v>
      </c>
      <c r="BL385" t="b">
        <f>OR(AND(IF(Metadata!Y385="",FALSE,TRUE),OR(EXACT(Metadata!Y385,"not collected"),EXACT(Metadata!Y385,"not provided"),EXACT(Metadata!Y385,"restricted access"))),AND(IF(Metadata!Y385="",FALSE,TRUE),OR(EXACT(Metadata!Y385,"TRUE"),EXACT(Metadata!Y385,"FALSE"))))</f>
        <v>0</v>
      </c>
      <c r="BM385" t="b">
        <f>OR(AND(IF(Metadata!Z385="",FALSE,TRUE),EXACT(Metadata!Z385,"not applicable")),AND(IF(Metadata!Z385="",FALSE,TRUE),OR(EXACT(Metadata!Z385,"beer"),EXACT(Metadata!Z385,"cheese"),EXACT(Metadata!Z385,"fresh water"),EXACT(Metadata!Z385,"marine sediment"),EXACT(Metadata!Z385,"sea water"),EXACT(Metadata!Z385,"sediment"),EXACT(Metadata!Z385,"soil"),EXACT(Metadata!Z385,"waste water"))))</f>
        <v>0</v>
      </c>
      <c r="BN385" t="b">
        <f>AND(IF(Metadata!AA385="",FALSE,TRUE),EXACT(Metadata!AA385,"metagenome"))</f>
        <v>0</v>
      </c>
      <c r="BO385" t="b">
        <f>AND(IF(Metadata!AB385="",FALSE,TRUE),EXACT(Metadata!AB385,"256318"))</f>
        <v>0</v>
      </c>
      <c r="BP385" t="b">
        <f>IF(Metadata!AC385="",FALSE,TRUE)</f>
        <v>0</v>
      </c>
      <c r="BQ385" t="b">
        <f>IF(Metadata!AD385="",FALSE,TRUE)</f>
        <v>0</v>
      </c>
    </row>
    <row r="386" spans="1:69" x14ac:dyDescent="0.2">
      <c r="A386" s="4" t="e">
        <f ca="1">IF(B386=" "," ",HYPERLINK(CONCATENATE("#metadata!",ADDRESS(INDEX($AJ$2:$AJ$1001,MATCH(ROWS($AH$2:AH386),$AH$2:$AH$1001,0),0),2)),INDEX($AM$2:$AM$1001,MATCH(ROWS($AH$2:AH386),$AH$2:$AH$1001,0),0)))</f>
        <v>#N/A</v>
      </c>
      <c r="B386" s="5" t="e">
        <f ca="1">IF(OR(INDEX($AI$2:$AI$1001,MATCH(ROWS($AH$2:AH386),$AH$2:$AH$1001,0),1)&gt;=100000,INDEX($AO$1005:$BQ$1005,1,MATCH(COLUMNS($AO$1006:AO1006),$AO$1006:$BQ$1006,0))&gt;=100000), " ",IF(INDEX($AO$2:$BQ$1001,MATCH(ROWS($AH$2:AH386),$AH$2:$AH$1001,0),MATCH(COLUMNS($AO$1006:AO1006),$AO$1006:$BQ$1006,0)), HYPERLINK("#",""), HYPERLINK(CONCATENATE("#Metadata!", ADDRESS(INDEX($AJ$2:$AJ$1001,MATCH(ROWS($AH$2:AH386),$AH$2:$AH$1001,0),0), INDEX($AO$1004:$BQ$1004,1,MATCH(COLUMNS($AO$1006:AO1006),$AO$1006:$BQ$1006,0)))),"Fix")))</f>
        <v>#N/A</v>
      </c>
      <c r="C386" s="5" t="e">
        <f ca="1">IF(OR(INDEX($AI$2:$AI$1001,MATCH(ROWS($AH$2:AH386),$AH$2:$AH$1001,0),1)&gt;=100000,INDEX($AO$1005:$BQ$1005,1,MATCH(COLUMNS($AO$1006:AP1006),$AO$1006:$BQ$1006,0))&gt;=100000), " ",IF(INDEX($AO$2:$BQ$1001,MATCH(ROWS($AH$2:AH386),$AH$2:$AH$1001,0),MATCH(COLUMNS($AO$1006:AP1006),$AO$1006:$BQ$1006,0)), HYPERLINK("#",""), HYPERLINK(CONCATENATE("#Metadata!", ADDRESS(INDEX($AJ$2:$AJ$1001,MATCH(ROWS($AH$2:AH386),$AH$2:$AH$1001,0),0), INDEX($AO$1004:$BQ$1004,1,MATCH(COLUMNS($AO$1006:AP1006),$AO$1006:$BQ$1006,0)))),"Fix")))</f>
        <v>#N/A</v>
      </c>
      <c r="D386" s="5" t="e">
        <f ca="1">IF(OR(INDEX($AI$2:$AI$1001,MATCH(ROWS($AH$2:AH386),$AH$2:$AH$1001,0),1)&gt;=100000,INDEX($AO$1005:$BQ$1005,1,MATCH(COLUMNS($AO$1006:AQ1006),$AO$1006:$BQ$1006,0))&gt;=100000), " ",IF(INDEX($AO$2:$BQ$1001,MATCH(ROWS($AH$2:AH386),$AH$2:$AH$1001,0),MATCH(COLUMNS($AO$1006:AQ1006),$AO$1006:$BQ$1006,0)), HYPERLINK("#",""), HYPERLINK(CONCATENATE("#Metadata!", ADDRESS(INDEX($AJ$2:$AJ$1001,MATCH(ROWS($AH$2:AH386),$AH$2:$AH$1001,0),0), INDEX($AO$1004:$BQ$1004,1,MATCH(COLUMNS($AO$1006:AQ1006),$AO$1006:$BQ$1006,0)))),"Fix")))</f>
        <v>#N/A</v>
      </c>
      <c r="E386" s="5" t="e">
        <f ca="1">IF(OR(INDEX($AI$2:$AI$1001,MATCH(ROWS($AH$2:AH386),$AH$2:$AH$1001,0),1)&gt;=100000,INDEX($AO$1005:$BQ$1005,1,MATCH(COLUMNS($AO$1006:AR1006),$AO$1006:$BQ$1006,0))&gt;=100000), " ",IF(INDEX($AO$2:$BQ$1001,MATCH(ROWS($AH$2:AH386),$AH$2:$AH$1001,0),MATCH(COLUMNS($AO$1006:AR1006),$AO$1006:$BQ$1006,0)), HYPERLINK("#",""), HYPERLINK(CONCATENATE("#Metadata!", ADDRESS(INDEX($AJ$2:$AJ$1001,MATCH(ROWS($AH$2:AH386),$AH$2:$AH$1001,0),0), INDEX($AO$1004:$BQ$1004,1,MATCH(COLUMNS($AO$1006:AR1006),$AO$1006:$BQ$1006,0)))),"Fix")))</f>
        <v>#N/A</v>
      </c>
      <c r="F386" s="5" t="e">
        <f ca="1">IF(OR(INDEX($AI$2:$AI$1001,MATCH(ROWS($AH$2:AH386),$AH$2:$AH$1001,0),1)&gt;=100000,INDEX($AO$1005:$BQ$1005,1,MATCH(COLUMNS($AO$1006:AS1006),$AO$1006:$BQ$1006,0))&gt;=100000), " ",IF(INDEX($AO$2:$BQ$1001,MATCH(ROWS($AH$2:AH386),$AH$2:$AH$1001,0),MATCH(COLUMNS($AO$1006:AS1006),$AO$1006:$BQ$1006,0)), HYPERLINK("#",""), HYPERLINK(CONCATENATE("#Metadata!", ADDRESS(INDEX($AJ$2:$AJ$1001,MATCH(ROWS($AH$2:AH386),$AH$2:$AH$1001,0),0), INDEX($AO$1004:$BQ$1004,1,MATCH(COLUMNS($AO$1006:AS1006),$AO$1006:$BQ$1006,0)))),"Fix")))</f>
        <v>#N/A</v>
      </c>
      <c r="G386" s="5" t="e">
        <f ca="1">IF(OR(INDEX($AI$2:$AI$1001,MATCH(ROWS($AH$2:AH386),$AH$2:$AH$1001,0),1)&gt;=100000,INDEX($AO$1005:$BQ$1005,1,MATCH(COLUMNS($AO$1006:AT1006),$AO$1006:$BQ$1006,0))&gt;=100000), " ",IF(INDEX($AO$2:$BQ$1001,MATCH(ROWS($AH$2:AH386),$AH$2:$AH$1001,0),MATCH(COLUMNS($AO$1006:AT1006),$AO$1006:$BQ$1006,0)), HYPERLINK("#",""), HYPERLINK(CONCATENATE("#Metadata!", ADDRESS(INDEX($AJ$2:$AJ$1001,MATCH(ROWS($AH$2:AH386),$AH$2:$AH$1001,0),0), INDEX($AO$1004:$BQ$1004,1,MATCH(COLUMNS($AO$1006:AT1006),$AO$1006:$BQ$1006,0)))),"Fix")))</f>
        <v>#N/A</v>
      </c>
      <c r="H386" s="5" t="e">
        <f ca="1">IF(OR(INDEX($AI$2:$AI$1001,MATCH(ROWS($AH$2:AH386),$AH$2:$AH$1001,0),1)&gt;=100000,INDEX($AO$1005:$BQ$1005,1,MATCH(COLUMNS($AO$1006:AU1006),$AO$1006:$BQ$1006,0))&gt;=100000), " ",IF(INDEX($AO$2:$BQ$1001,MATCH(ROWS($AH$2:AH386),$AH$2:$AH$1001,0),MATCH(COLUMNS($AO$1006:AU1006),$AO$1006:$BQ$1006,0)), HYPERLINK("#",""), HYPERLINK(CONCATENATE("#Metadata!", ADDRESS(INDEX($AJ$2:$AJ$1001,MATCH(ROWS($AH$2:AH386),$AH$2:$AH$1001,0),0), INDEX($AO$1004:$BQ$1004,1,MATCH(COLUMNS($AO$1006:AU1006),$AO$1006:$BQ$1006,0)))),"Fix")))</f>
        <v>#N/A</v>
      </c>
      <c r="I386" s="5" t="e">
        <f ca="1">IF(OR(INDEX($AI$2:$AI$1001,MATCH(ROWS($AH$2:AH386),$AH$2:$AH$1001,0),1)&gt;=100000,INDEX($AO$1005:$BQ$1005,1,MATCH(COLUMNS($AO$1006:AV1006),$AO$1006:$BQ$1006,0))&gt;=100000), " ",IF(INDEX($AO$2:$BQ$1001,MATCH(ROWS($AH$2:AH386),$AH$2:$AH$1001,0),MATCH(COLUMNS($AO$1006:AV1006),$AO$1006:$BQ$1006,0)), HYPERLINK("#",""), HYPERLINK(CONCATENATE("#Metadata!", ADDRESS(INDEX($AJ$2:$AJ$1001,MATCH(ROWS($AH$2:AH386),$AH$2:$AH$1001,0),0), INDEX($AO$1004:$BQ$1004,1,MATCH(COLUMNS($AO$1006:AV1006),$AO$1006:$BQ$1006,0)))),"Fix")))</f>
        <v>#N/A</v>
      </c>
      <c r="J386" s="5" t="e">
        <f ca="1">IF(OR(INDEX($AI$2:$AI$1001,MATCH(ROWS($AH$2:AH386),$AH$2:$AH$1001,0),1)&gt;=100000,INDEX($AO$1005:$BQ$1005,1,MATCH(COLUMNS($AO$1006:AW1006),$AO$1006:$BQ$1006,0))&gt;=100000), " ",IF(INDEX($AO$2:$BQ$1001,MATCH(ROWS($AH$2:AH386),$AH$2:$AH$1001,0),MATCH(COLUMNS($AO$1006:AW1006),$AO$1006:$BQ$1006,0)), HYPERLINK("#",""), HYPERLINK(CONCATENATE("#Metadata!", ADDRESS(INDEX($AJ$2:$AJ$1001,MATCH(ROWS($AH$2:AH386),$AH$2:$AH$1001,0),0), INDEX($AO$1004:$BQ$1004,1,MATCH(COLUMNS($AO$1006:AW1006),$AO$1006:$BQ$1006,0)))),"Fix")))</f>
        <v>#N/A</v>
      </c>
      <c r="K386" s="5" t="e">
        <f ca="1">IF(OR(INDEX($AI$2:$AI$1001,MATCH(ROWS($AH$2:AH386),$AH$2:$AH$1001,0),1)&gt;=100000,INDEX($AO$1005:$BQ$1005,1,MATCH(COLUMNS($AO$1006:AX1006),$AO$1006:$BQ$1006,0))&gt;=100000), " ",IF(INDEX($AO$2:$BQ$1001,MATCH(ROWS($AH$2:AH386),$AH$2:$AH$1001,0),MATCH(COLUMNS($AO$1006:AX1006),$AO$1006:$BQ$1006,0)), HYPERLINK("#",""), HYPERLINK(CONCATENATE("#Metadata!", ADDRESS(INDEX($AJ$2:$AJ$1001,MATCH(ROWS($AH$2:AH386),$AH$2:$AH$1001,0),0), INDEX($AO$1004:$BQ$1004,1,MATCH(COLUMNS($AO$1006:AX1006),$AO$1006:$BQ$1006,0)))),"Fix")))</f>
        <v>#N/A</v>
      </c>
      <c r="L386" s="5" t="e">
        <f ca="1">IF(OR(INDEX($AI$2:$AI$1001,MATCH(ROWS($AH$2:AH386),$AH$2:$AH$1001,0),1)&gt;=100000,INDEX($AO$1005:$BQ$1005,1,MATCH(COLUMNS($AO$1006:AY1006),$AO$1006:$BQ$1006,0))&gt;=100000), " ",IF(INDEX($AO$2:$BQ$1001,MATCH(ROWS($AH$2:AH386),$AH$2:$AH$1001,0),MATCH(COLUMNS($AO$1006:AY1006),$AO$1006:$BQ$1006,0)), HYPERLINK("#",""), HYPERLINK(CONCATENATE("#Metadata!", ADDRESS(INDEX($AJ$2:$AJ$1001,MATCH(ROWS($AH$2:AH386),$AH$2:$AH$1001,0),0), INDEX($AO$1004:$BQ$1004,1,MATCH(COLUMNS($AO$1006:AY1006),$AO$1006:$BQ$1006,0)))),"Fix")))</f>
        <v>#N/A</v>
      </c>
      <c r="M386" s="5" t="e">
        <f ca="1">IF(OR(INDEX($AI$2:$AI$1001,MATCH(ROWS($AH$2:AH386),$AH$2:$AH$1001,0),1)&gt;=100000,INDEX($AO$1005:$BQ$1005,1,MATCH(COLUMNS($AO$1006:AZ1006),$AO$1006:$BQ$1006,0))&gt;=100000), " ",IF(INDEX($AO$2:$BQ$1001,MATCH(ROWS($AH$2:AH386),$AH$2:$AH$1001,0),MATCH(COLUMNS($AO$1006:AZ1006),$AO$1006:$BQ$1006,0)), HYPERLINK("#",""), HYPERLINK(CONCATENATE("#Metadata!", ADDRESS(INDEX($AJ$2:$AJ$1001,MATCH(ROWS($AH$2:AH386),$AH$2:$AH$1001,0),0), INDEX($AO$1004:$BQ$1004,1,MATCH(COLUMNS($AO$1006:AZ1006),$AO$1006:$BQ$1006,0)))),"Fix")))</f>
        <v>#N/A</v>
      </c>
      <c r="N386" s="5" t="e">
        <f ca="1">IF(OR(INDEX($AI$2:$AI$1001,MATCH(ROWS($AH$2:AH386),$AH$2:$AH$1001,0),1)&gt;=100000,INDEX($AO$1005:$BQ$1005,1,MATCH(COLUMNS($AO$1006:BA1006),$AO$1006:$BQ$1006,0))&gt;=100000), " ",IF(INDEX($AO$2:$BQ$1001,MATCH(ROWS($AH$2:AH386),$AH$2:$AH$1001,0),MATCH(COLUMNS($AO$1006:BA1006),$AO$1006:$BQ$1006,0)), HYPERLINK("#",""), HYPERLINK(CONCATENATE("#Metadata!", ADDRESS(INDEX($AJ$2:$AJ$1001,MATCH(ROWS($AH$2:AH386),$AH$2:$AH$1001,0),0), INDEX($AO$1004:$BQ$1004,1,MATCH(COLUMNS($AO$1006:BA1006),$AO$1006:$BQ$1006,0)))),"Fix")))</f>
        <v>#N/A</v>
      </c>
      <c r="O386" s="5" t="e">
        <f ca="1">IF(OR(INDEX($AI$2:$AI$1001,MATCH(ROWS($AH$2:AH386),$AH$2:$AH$1001,0),1)&gt;=100000,INDEX($AO$1005:$BQ$1005,1,MATCH(COLUMNS($AO$1006:BB1006),$AO$1006:$BQ$1006,0))&gt;=100000), " ",IF(INDEX($AO$2:$BQ$1001,MATCH(ROWS($AH$2:AH386),$AH$2:$AH$1001,0),MATCH(COLUMNS($AO$1006:BB1006),$AO$1006:$BQ$1006,0)), HYPERLINK("#",""), HYPERLINK(CONCATENATE("#Metadata!", ADDRESS(INDEX($AJ$2:$AJ$1001,MATCH(ROWS($AH$2:AH386),$AH$2:$AH$1001,0),0), INDEX($AO$1004:$BQ$1004,1,MATCH(COLUMNS($AO$1006:BB1006),$AO$1006:$BQ$1006,0)))),"Fix")))</f>
        <v>#N/A</v>
      </c>
      <c r="P386" s="5" t="e">
        <f ca="1">IF(OR(INDEX($AI$2:$AI$1001,MATCH(ROWS($AH$2:AH386),$AH$2:$AH$1001,0),1)&gt;=100000,INDEX($AO$1005:$BQ$1005,1,MATCH(COLUMNS($AO$1006:BC1006),$AO$1006:$BQ$1006,0))&gt;=100000), " ",IF(INDEX($AO$2:$BQ$1001,MATCH(ROWS($AH$2:AH386),$AH$2:$AH$1001,0),MATCH(COLUMNS($AO$1006:BC1006),$AO$1006:$BQ$1006,0)), HYPERLINK("#",""), HYPERLINK(CONCATENATE("#Metadata!", ADDRESS(INDEX($AJ$2:$AJ$1001,MATCH(ROWS($AH$2:AH386),$AH$2:$AH$1001,0),0), INDEX($AO$1004:$BQ$1004,1,MATCH(COLUMNS($AO$1006:BC1006),$AO$1006:$BQ$1006,0)))),"Fix")))</f>
        <v>#N/A</v>
      </c>
      <c r="Q386" s="5" t="e">
        <f ca="1">IF(OR(INDEX($AI$2:$AI$1001,MATCH(ROWS($AH$2:AH386),$AH$2:$AH$1001,0),1)&gt;=100000,INDEX($AO$1005:$BQ$1005,1,MATCH(COLUMNS($AO$1006:BD1006),$AO$1006:$BQ$1006,0))&gt;=100000), " ",IF(INDEX($AO$2:$BQ$1001,MATCH(ROWS($AH$2:AH386),$AH$2:$AH$1001,0),MATCH(COLUMNS($AO$1006:BD1006),$AO$1006:$BQ$1006,0)), HYPERLINK("#",""), HYPERLINK(CONCATENATE("#Metadata!", ADDRESS(INDEX($AJ$2:$AJ$1001,MATCH(ROWS($AH$2:AH386),$AH$2:$AH$1001,0),0), INDEX($AO$1004:$BQ$1004,1,MATCH(COLUMNS($AO$1006:BD1006),$AO$1006:$BQ$1006,0)))),"Fix")))</f>
        <v>#N/A</v>
      </c>
      <c r="R386" s="5" t="e">
        <f ca="1">IF(OR(INDEX($AI$2:$AI$1001,MATCH(ROWS($AH$2:AH386),$AH$2:$AH$1001,0),1)&gt;=100000,INDEX($AO$1005:$BQ$1005,1,MATCH(COLUMNS($AO$1006:BE1006),$AO$1006:$BQ$1006,0))&gt;=100000), " ",IF(INDEX($AO$2:$BQ$1001,MATCH(ROWS($AH$2:AH386),$AH$2:$AH$1001,0),MATCH(COLUMNS($AO$1006:BE1006),$AO$1006:$BQ$1006,0)), HYPERLINK("#",""), HYPERLINK(CONCATENATE("#Metadata!", ADDRESS(INDEX($AJ$2:$AJ$1001,MATCH(ROWS($AH$2:AH386),$AH$2:$AH$1001,0),0), INDEX($AO$1004:$BQ$1004,1,MATCH(COLUMNS($AO$1006:BE1006),$AO$1006:$BQ$1006,0)))),"Fix")))</f>
        <v>#N/A</v>
      </c>
      <c r="S386" s="5" t="e">
        <f ca="1">IF(OR(INDEX($AI$2:$AI$1001,MATCH(ROWS($AH$2:AH386),$AH$2:$AH$1001,0),1)&gt;=100000,INDEX($AO$1005:$BQ$1005,1,MATCH(COLUMNS($AO$1006:BF1006),$AO$1006:$BQ$1006,0))&gt;=100000), " ",IF(INDEX($AO$2:$BQ$1001,MATCH(ROWS($AH$2:AH386),$AH$2:$AH$1001,0),MATCH(COLUMNS($AO$1006:BF1006),$AO$1006:$BQ$1006,0)), HYPERLINK("#",""), HYPERLINK(CONCATENATE("#Metadata!", ADDRESS(INDEX($AJ$2:$AJ$1001,MATCH(ROWS($AH$2:AH386),$AH$2:$AH$1001,0),0), INDEX($AO$1004:$BQ$1004,1,MATCH(COLUMNS($AO$1006:BF1006),$AO$1006:$BQ$1006,0)))),"Fix")))</f>
        <v>#N/A</v>
      </c>
      <c r="T386" s="5" t="e">
        <f ca="1">IF(OR(INDEX($AI$2:$AI$1001,MATCH(ROWS($AH$2:AH386),$AH$2:$AH$1001,0),1)&gt;=100000,INDEX($AO$1005:$BQ$1005,1,MATCH(COLUMNS($AO$1006:BG1006),$AO$1006:$BQ$1006,0))&gt;=100000), " ",IF(INDEX($AO$2:$BQ$1001,MATCH(ROWS($AH$2:AH386),$AH$2:$AH$1001,0),MATCH(COLUMNS($AO$1006:BG1006),$AO$1006:$BQ$1006,0)), HYPERLINK("#",""), HYPERLINK(CONCATENATE("#Metadata!", ADDRESS(INDEX($AJ$2:$AJ$1001,MATCH(ROWS($AH$2:AH386),$AH$2:$AH$1001,0),0), INDEX($AO$1004:$BQ$1004,1,MATCH(COLUMNS($AO$1006:BG1006),$AO$1006:$BQ$1006,0)))),"Fix")))</f>
        <v>#N/A</v>
      </c>
      <c r="U386" s="5" t="e">
        <f ca="1">IF(OR(INDEX($AI$2:$AI$1001,MATCH(ROWS($AH$2:AH386),$AH$2:$AH$1001,0),1)&gt;=100000,INDEX($AO$1005:$BQ$1005,1,MATCH(COLUMNS($AO$1006:BH1006),$AO$1006:$BQ$1006,0))&gt;=100000), " ",IF(INDEX($AO$2:$BQ$1001,MATCH(ROWS($AH$2:AH386),$AH$2:$AH$1001,0),MATCH(COLUMNS($AO$1006:BH1006),$AO$1006:$BQ$1006,0)), HYPERLINK("#",""), HYPERLINK(CONCATENATE("#Metadata!", ADDRESS(INDEX($AJ$2:$AJ$1001,MATCH(ROWS($AH$2:AH386),$AH$2:$AH$1001,0),0), INDEX($AO$1004:$BQ$1004,1,MATCH(COLUMNS($AO$1006:BH1006),$AO$1006:$BQ$1006,0)))),"Fix")))</f>
        <v>#N/A</v>
      </c>
      <c r="V386" s="5" t="e">
        <f ca="1">IF(OR(INDEX($AI$2:$AI$1001,MATCH(ROWS($AH$2:AH386),$AH$2:$AH$1001,0),1)&gt;=100000,INDEX($AO$1005:$BQ$1005,1,MATCH(COLUMNS($AO$1006:BI1006),$AO$1006:$BQ$1006,0))&gt;=100000), " ",IF(INDEX($AO$2:$BQ$1001,MATCH(ROWS($AH$2:AH386),$AH$2:$AH$1001,0),MATCH(COLUMNS($AO$1006:BI1006),$AO$1006:$BQ$1006,0)), HYPERLINK("#",""), HYPERLINK(CONCATENATE("#Metadata!", ADDRESS(INDEX($AJ$2:$AJ$1001,MATCH(ROWS($AH$2:AH386),$AH$2:$AH$1001,0),0), INDEX($AO$1004:$BQ$1004,1,MATCH(COLUMNS($AO$1006:BI1006),$AO$1006:$BQ$1006,0)))),"Fix")))</f>
        <v>#N/A</v>
      </c>
      <c r="W386" s="5" t="e">
        <f ca="1">IF(OR(INDEX($AI$2:$AI$1001,MATCH(ROWS($AH$2:AH386),$AH$2:$AH$1001,0),1)&gt;=100000,INDEX($AO$1005:$BQ$1005,1,MATCH(COLUMNS($AO$1006:BJ1006),$AO$1006:$BQ$1006,0))&gt;=100000), " ",IF(INDEX($AO$2:$BQ$1001,MATCH(ROWS($AH$2:AH386),$AH$2:$AH$1001,0),MATCH(COLUMNS($AO$1006:BJ1006),$AO$1006:$BQ$1006,0)), HYPERLINK("#",""), HYPERLINK(CONCATENATE("#Metadata!", ADDRESS(INDEX($AJ$2:$AJ$1001,MATCH(ROWS($AH$2:AH386),$AH$2:$AH$1001,0),0), INDEX($AO$1004:$BQ$1004,1,MATCH(COLUMNS($AO$1006:BJ1006),$AO$1006:$BQ$1006,0)))),"Fix")))</f>
        <v>#N/A</v>
      </c>
      <c r="X386" s="5" t="e">
        <f ca="1">IF(OR(INDEX($AI$2:$AI$1001,MATCH(ROWS($AH$2:AH386),$AH$2:$AH$1001,0),1)&gt;=100000,INDEX($AO$1005:$BQ$1005,1,MATCH(COLUMNS($AO$1006:BK1006),$AO$1006:$BQ$1006,0))&gt;=100000), " ",IF(INDEX($AO$2:$BQ$1001,MATCH(ROWS($AH$2:AH386),$AH$2:$AH$1001,0),MATCH(COLUMNS($AO$1006:BK1006),$AO$1006:$BQ$1006,0)), HYPERLINK("#",""), HYPERLINK(CONCATENATE("#Metadata!", ADDRESS(INDEX($AJ$2:$AJ$1001,MATCH(ROWS($AH$2:AH386),$AH$2:$AH$1001,0),0), INDEX($AO$1004:$BQ$1004,1,MATCH(COLUMNS($AO$1006:BK1006),$AO$1006:$BQ$1006,0)))),"Fix")))</f>
        <v>#N/A</v>
      </c>
      <c r="Y386" s="5" t="e">
        <f ca="1">IF(OR(INDEX($AI$2:$AI$1001,MATCH(ROWS($AH$2:AH386),$AH$2:$AH$1001,0),1)&gt;=100000,INDEX($AO$1005:$BQ$1005,1,MATCH(COLUMNS($AO$1006:BL1006),$AO$1006:$BQ$1006,0))&gt;=100000), " ",IF(INDEX($AO$2:$BQ$1001,MATCH(ROWS($AH$2:AH386),$AH$2:$AH$1001,0),MATCH(COLUMNS($AO$1006:BL1006),$AO$1006:$BQ$1006,0)), HYPERLINK("#",""), HYPERLINK(CONCATENATE("#Metadata!", ADDRESS(INDEX($AJ$2:$AJ$1001,MATCH(ROWS($AH$2:AH386),$AH$2:$AH$1001,0),0), INDEX($AO$1004:$BQ$1004,1,MATCH(COLUMNS($AO$1006:BL1006),$AO$1006:$BQ$1006,0)))),"Fix")))</f>
        <v>#N/A</v>
      </c>
      <c r="Z386" s="5" t="e">
        <f ca="1">IF(OR(INDEX($AI$2:$AI$1001,MATCH(ROWS($AH$2:AH386),$AH$2:$AH$1001,0),1)&gt;=100000,INDEX($AO$1005:$BQ$1005,1,MATCH(COLUMNS($AO$1006:BM1006),$AO$1006:$BQ$1006,0))&gt;=100000), " ",IF(INDEX($AO$2:$BQ$1001,MATCH(ROWS($AH$2:AH386),$AH$2:$AH$1001,0),MATCH(COLUMNS($AO$1006:BM1006),$AO$1006:$BQ$1006,0)), HYPERLINK("#",""), HYPERLINK(CONCATENATE("#Metadata!", ADDRESS(INDEX($AJ$2:$AJ$1001,MATCH(ROWS($AH$2:AH386),$AH$2:$AH$1001,0),0), INDEX($AO$1004:$BQ$1004,1,MATCH(COLUMNS($AO$1006:BM1006),$AO$1006:$BQ$1006,0)))),"Fix")))</f>
        <v>#N/A</v>
      </c>
      <c r="AA386" s="5" t="e">
        <f ca="1">IF(OR(INDEX($AI$2:$AI$1001,MATCH(ROWS($AH$2:AH386),$AH$2:$AH$1001,0),1)&gt;=100000,INDEX($AO$1005:$BQ$1005,1,MATCH(COLUMNS($AO$1006:BN1006),$AO$1006:$BQ$1006,0))&gt;=100000), " ",IF(INDEX($AO$2:$BQ$1001,MATCH(ROWS($AH$2:AH386),$AH$2:$AH$1001,0),MATCH(COLUMNS($AO$1006:BN1006),$AO$1006:$BQ$1006,0)), HYPERLINK("#",""), HYPERLINK(CONCATENATE("#Metadata!", ADDRESS(INDEX($AJ$2:$AJ$1001,MATCH(ROWS($AH$2:AH386),$AH$2:$AH$1001,0),0), INDEX($AO$1004:$BQ$1004,1,MATCH(COLUMNS($AO$1006:BN1006),$AO$1006:$BQ$1006,0)))),"Fix")))</f>
        <v>#N/A</v>
      </c>
      <c r="AB386" s="5" t="e">
        <f ca="1">IF(OR(INDEX($AI$2:$AI$1001,MATCH(ROWS($AH$2:AH386),$AH$2:$AH$1001,0),1)&gt;=100000,INDEX($AO$1005:$BQ$1005,1,MATCH(COLUMNS($AO$1006:BO1006),$AO$1006:$BQ$1006,0))&gt;=100000), " ",IF(INDEX($AO$2:$BQ$1001,MATCH(ROWS($AH$2:AH386),$AH$2:$AH$1001,0),MATCH(COLUMNS($AO$1006:BO1006),$AO$1006:$BQ$1006,0)), HYPERLINK("#",""), HYPERLINK(CONCATENATE("#Metadata!", ADDRESS(INDEX($AJ$2:$AJ$1001,MATCH(ROWS($AH$2:AH386),$AH$2:$AH$1001,0),0), INDEX($AO$1004:$BQ$1004,1,MATCH(COLUMNS($AO$1006:BO1006),$AO$1006:$BQ$1006,0)))),"Fix")))</f>
        <v>#N/A</v>
      </c>
      <c r="AC386" s="5" t="e">
        <f ca="1">IF(OR(INDEX($AI$2:$AI$1001,MATCH(ROWS($AH$2:AH386),$AH$2:$AH$1001,0),1)&gt;=100000,INDEX($AO$1005:$BQ$1005,1,MATCH(COLUMNS($AO$1006:BP1006),$AO$1006:$BQ$1006,0))&gt;=100000), " ",IF(INDEX($AO$2:$BQ$1001,MATCH(ROWS($AH$2:AH386),$AH$2:$AH$1001,0),MATCH(COLUMNS($AO$1006:BP1006),$AO$1006:$BQ$1006,0)), HYPERLINK("#",""), HYPERLINK(CONCATENATE("#Metadata!", ADDRESS(INDEX($AJ$2:$AJ$1001,MATCH(ROWS($AH$2:AH386),$AH$2:$AH$1001,0),0), INDEX($AO$1004:$BQ$1004,1,MATCH(COLUMNS($AO$1006:BP1006),$AO$1006:$BQ$1006,0)))),"Fix")))</f>
        <v>#N/A</v>
      </c>
      <c r="AD386" s="5" t="e">
        <f ca="1">IF(OR(INDEX($AI$2:$AI$1001,MATCH(ROWS($AH$2:AH386),$AH$2:$AH$1001,0),1)&gt;=100000,INDEX($AO$1005:$BQ$1005,1,MATCH(COLUMNS($AO$1006:BQ1006),$AO$1006:$BQ$1006,0))&gt;=100000), " ",IF(INDEX($AO$2:$BQ$1001,MATCH(ROWS($AH$2:AH386),$AH$2:$AH$1001,0),MATCH(COLUMNS($AO$1006:BQ1006),$AO$1006:$BQ$1006,0)), HYPERLINK("#",""), HYPERLINK(CONCATENATE("#Metadata!", ADDRESS(INDEX($AJ$2:$AJ$1001,MATCH(ROWS($AH$2:AH386),$AH$2:$AH$1001,0),0), INDEX($AO$1004:$BQ$1004,1,MATCH(COLUMNS($AO$1006:BQ1006),$AO$1006:$BQ$1006,0)))),"Fix")))</f>
        <v>#REF!</v>
      </c>
      <c r="AH386">
        <f ca="1"/>
        <v>383</v>
      </c>
      <c r="AI386">
        <v>100386</v>
      </c>
      <c r="AJ386">
        <v>386</v>
      </c>
      <c r="AK386" t="b">
        <f t="shared" ref="AK386:AK449" si="6">IF(AL386,TRUE,AND(AO386:BQ386))</f>
        <v>1</v>
      </c>
      <c r="AL386" t="b">
        <f>COUNTBLANK(Metadata!B386:AD386)=COLUMNS(Metadata!B386:AD386)</f>
        <v>1</v>
      </c>
      <c r="AM386" t="str">
        <v/>
      </c>
      <c r="AO386" t="b">
        <f ca="1">AND(IF(Metadata!B386="",FALSE,TRUE),COUNTIF(Metadata!B:B, Metadata!B386) = 1,NOT(ISERROR(SUMPRODUCT(SEARCH(MID(Metadata!B386,ROW(INDIRECT("1:"&amp;LEN(Metadata!B386))), 1),"0123456789abcdefghijklmnopqrstuvwxyzABCDEFGHIJKLMNOPQRSTUVWXYZ.")))))</f>
        <v>0</v>
      </c>
      <c r="AP386" t="b">
        <f>IF(Metadata!C386="",FALSE,TRUE)</f>
        <v>0</v>
      </c>
      <c r="AQ386" t="b">
        <f>IF(Metadata!D386="",FALSE,TRUE)</f>
        <v>0</v>
      </c>
      <c r="AR386" t="b">
        <f ca="1">OR(AND(IF(Metadata!E386="",FALSE,TRUE),OR(EXACT(Metadata!E386,"not collected"),EXACT(Metadata!E386,"not provided"),EXACT(Metadata!E386,"restricted access"))),AND(IF(Metadata!E386="",FALSE,TRUE),AND(AND(IFERROR(INT(LEFT(Metadata!E386,4))&gt;1900,FALSE),IFERROR(INT(LEFT(Metadata!E386,4))&lt;=YEAR(NOW()),FALSE)), OR(MID(Metadata!E386,5,1)="", AND(AND(MID(Metadata!E386,5,1)="-",IFERROR(INT(MID(Metadata!E386,6,1))&gt;=0,FALSE),IFERROR(INT(MID(Metadata!E386,6,1))&lt;=1,FALSE),NOT(MID(Metadata!E386,7,1)=""),IFERROR(INT(MID(Metadata!E386,6,2))&gt;=1,FALSE),IFERROR(INT(MID(Metadata!E386,6,2))&lt;=12,FALSE)), OR(MID(Metadata!E386,8,1)="", AND(AND(MID(Metadata!E386,8,1)="-",IFERROR(INT(MID(Metadata!E386,9,1))&gt;=0,FALSE),IFERROR(INT(MID(Metadata!E386,9,1))&lt;=3,FALSE),NOT(MID(Metadata!E386,10,1)=""),IFERROR(INT(MID(Metadata!E386,9,2))&gt;=1,FALSE),IFERROR(INT(MID(Metadata!E386,9,2))&lt;=31,FALSE)), OR(MID(Metadata!E386,11,1)="", AND(AND(MID(Metadata!E386,11,1)=" ",IFERROR(INT(MID(Metadata!E386,12,1))&gt;=0,FALSE),IFERROR(INT(MID(Metadata!E386,12,1))&lt;=2,FALSE),NOT(MID(Metadata!E386,13,1)=""),IFERROR(INT(MID(Metadata!E386,12,2))&gt;=0,FALSE),IFERROR(INT(MID(Metadata!E386,12,2))&lt;=23,FALSE)), OR(MID(Metadata!E386,14,1)="", AND(AND(MID(Metadata!E386,14,1)=":",IFERROR(INT(MID(Metadata!E386,15,1))&gt;=0,FALSE),IFERROR(INT(MID(Metadata!E386,15,1))&lt;=5,FALSE),NOT(MID(Metadata!E386,16,1)=""),IFERROR(INT(MID(Metadata!E386,15,2))&gt;=0,FALSE),IFERROR(INT(MID(Metadata!E386,15,2))&lt;=59,FALSE)), OR(MID(Metadata!E386,17,1)="", AND(AND(MID(Metadata!E386,17,1)=":",IFERROR(INT(MID(Metadata!E386,18,1))&gt;=0,FALSE),IFERROR(INT(MID(Metadata!E386,18,1))&lt;=5,FALSE),NOT(MID(Metadata!E386,19,1)=""),IFERROR(INT(MID(Metadata!E386,18,2))&gt;=0,FALSE),IFERROR(INT(MID(Metadata!E386,18,2))&lt;=59,FALSE)), LEN(Metadata!E386)&lt;=19)))))))))))))</f>
        <v>0</v>
      </c>
      <c r="AS386" t="b">
        <f>IF(Metadata!F386="",FALSE,TRUE)</f>
        <v>0</v>
      </c>
      <c r="AT386" t="b">
        <f>OR(AND(IF(Metadata!G386="",FALSE,TRUE),OR(EXACT(Metadata!G386,"not collected"),EXACT(Metadata!G386,"not provided"))),AND(IF(Metadata!G386="",FALSE,TRUE),OR(EXACT(Metadata!G386,"TRUE"),EXACT(Metadata!G386,"FALSE"))))</f>
        <v>0</v>
      </c>
      <c r="AU386" t="b">
        <f>OR(AND(IF(Metadata!H386="",FALSE,TRUE),OR(EXACT(Metadata!H386,"not collected"),EXACT(Metadata!H386,"not provided"),EXACT(Metadata!H386,"restricted access"))),AND(IF(Metadata!H386="",FALSE,ISNUMBER(VALUE(Metadata!H386))),Metadata!H386&gt;=-413))</f>
        <v>0</v>
      </c>
      <c r="AV386" t="b">
        <f>AND(IF(Metadata!I386="",FALSE,TRUE),EXACT(Metadata!I386,"meters"))</f>
        <v>0</v>
      </c>
      <c r="AW386" t="b">
        <f>AND(IF(Metadata!J386="",FALSE,TRUE),EXACT(Metadata!J386,"free-living"))</f>
        <v>0</v>
      </c>
      <c r="AX386" t="b">
        <f>AND(IF(Metadata!K386="",FALSE,TRUE),OR(EXACT(Metadata!K386,"saline"),EXACT(Metadata!K386,"non-saline")))</f>
        <v>0</v>
      </c>
      <c r="AY386" t="b">
        <f>AND(IF(Metadata!L386="",FALSE,TRUE),OR(EXACT(Metadata!L386,"sub-surface (non-saline)"),EXACT(Metadata!L386,"surface (non-saline)"),EXACT(Metadata!L386,"water (non-saline)"),EXACT(Metadata!L386,"soil (non-saline)"),EXACT(Metadata!L386,"aerosol (non-saline)"),EXACT(Metadata!L386,"sediment (non-saline)"),EXACT(Metadata!L386,"surface (saline)"),EXACT(Metadata!L386,"water (saline)"),EXACT(Metadata!L386,"hypersaline (saline)"),EXACT(Metadata!L386,"aerosol (saline)"),EXACT(Metadata!L386,"sediment (saline)")))</f>
        <v>0</v>
      </c>
      <c r="AZ386" t="b">
        <f>IF(Metadata!M386="",FALSE,TRUE)</f>
        <v>0</v>
      </c>
      <c r="BA386" t="b">
        <f>IF(Metadata!N386="",FALSE,TRUE)</f>
        <v>0</v>
      </c>
      <c r="BB386" t="b">
        <f>IF(Metadata!O386="",FALSE,TRUE)</f>
        <v>0</v>
      </c>
      <c r="BC386" t="b">
        <f>AND(IF(Metadata!P386="",FALSE,TRUE),OR(EXACT(Metadata!P386,"air"),EXACT(Metadata!P386,"microbial mat/biofilm"),EXACT(Metadata!P386,"misc environment"),EXACT(Metadata!P386,"sediment"),EXACT(Metadata!P386,"soil"),EXACT(Metadata!P386,"wastewater/sludge"),EXACT(Metadata!P386,"water")))</f>
        <v>0</v>
      </c>
      <c r="BD386" t="b">
        <f>IF(Metadata!Q386="",FALSE,TRUE)</f>
        <v>0</v>
      </c>
      <c r="BE386" t="b">
        <f>IF(Metadata!R386="",FALSE,TRUE)</f>
        <v>0</v>
      </c>
      <c r="BF386" t="b">
        <f>OR(AND(IF(Metadata!S386="",FALSE,TRUE),OR(EXACT(Metadata!S386,"not collected"),EXACT(Metadata!S386,"not provided"),EXACT(Metadata!S386,"restricted access"))),AND(IF(Metadata!S386="",FALSE,ISNUMBER(VALUE(Metadata!S386))),Metadata!S386&gt;=-90,Metadata!S386&lt;=90))</f>
        <v>0</v>
      </c>
      <c r="BG386" t="b">
        <f>AND(IF(Metadata!T386="",FALSE,TRUE),EXACT(Metadata!T386,"Decimal degrees"))</f>
        <v>0</v>
      </c>
      <c r="BH386" t="b">
        <f>OR(AND(IF(Metadata!U386="",FALSE,TRUE),OR(EXACT(Metadata!U386,"not applicable"),EXACT(Metadata!U386,"not collected"))),IF(Metadata!U386="",FALSE,TRUE))</f>
        <v>0</v>
      </c>
      <c r="BI386" t="b">
        <f>OR(AND(IF(Metadata!V386="",FALSE,TRUE),OR(EXACT(Metadata!V386,"not collected"),EXACT(Metadata!V386,"not provided"),EXACT(Metadata!V386,"restricted access"))),AND(IF(Metadata!V386="",FALSE,ISNUMBER(VALUE(Metadata!V386))),Metadata!V386&gt;=-180,Metadata!V386&lt;=180))</f>
        <v>0</v>
      </c>
      <c r="BJ386" t="b">
        <f>AND(IF(Metadata!W386="",FALSE,TRUE),EXACT(Metadata!W386,"Decimal degrees"))</f>
        <v>0</v>
      </c>
      <c r="BK386" t="b">
        <f>IF(Metadata!X386="",FALSE,TRUE)</f>
        <v>0</v>
      </c>
      <c r="BL386" t="b">
        <f>OR(AND(IF(Metadata!Y386="",FALSE,TRUE),OR(EXACT(Metadata!Y386,"not collected"),EXACT(Metadata!Y386,"not provided"),EXACT(Metadata!Y386,"restricted access"))),AND(IF(Metadata!Y386="",FALSE,TRUE),OR(EXACT(Metadata!Y386,"TRUE"),EXACT(Metadata!Y386,"FALSE"))))</f>
        <v>0</v>
      </c>
      <c r="BM386" t="b">
        <f>OR(AND(IF(Metadata!Z386="",FALSE,TRUE),EXACT(Metadata!Z386,"not applicable")),AND(IF(Metadata!Z386="",FALSE,TRUE),OR(EXACT(Metadata!Z386,"beer"),EXACT(Metadata!Z386,"cheese"),EXACT(Metadata!Z386,"fresh water"),EXACT(Metadata!Z386,"marine sediment"),EXACT(Metadata!Z386,"sea water"),EXACT(Metadata!Z386,"sediment"),EXACT(Metadata!Z386,"soil"),EXACT(Metadata!Z386,"waste water"))))</f>
        <v>0</v>
      </c>
      <c r="BN386" t="b">
        <f>AND(IF(Metadata!AA386="",FALSE,TRUE),EXACT(Metadata!AA386,"metagenome"))</f>
        <v>0</v>
      </c>
      <c r="BO386" t="b">
        <f>AND(IF(Metadata!AB386="",FALSE,TRUE),EXACT(Metadata!AB386,"256318"))</f>
        <v>0</v>
      </c>
      <c r="BP386" t="b">
        <f>IF(Metadata!AC386="",FALSE,TRUE)</f>
        <v>0</v>
      </c>
      <c r="BQ386" t="b">
        <f>IF(Metadata!AD386="",FALSE,TRUE)</f>
        <v>0</v>
      </c>
    </row>
    <row r="387" spans="1:69" x14ac:dyDescent="0.2">
      <c r="A387" s="4" t="e">
        <f ca="1">IF(B387=" "," ",HYPERLINK(CONCATENATE("#metadata!",ADDRESS(INDEX($AJ$2:$AJ$1001,MATCH(ROWS($AH$2:AH387),$AH$2:$AH$1001,0),0),2)),INDEX($AM$2:$AM$1001,MATCH(ROWS($AH$2:AH387),$AH$2:$AH$1001,0),0)))</f>
        <v>#N/A</v>
      </c>
      <c r="B387" s="5" t="e">
        <f ca="1">IF(OR(INDEX($AI$2:$AI$1001,MATCH(ROWS($AH$2:AH387),$AH$2:$AH$1001,0),1)&gt;=100000,INDEX($AO$1005:$BQ$1005,1,MATCH(COLUMNS($AO$1006:AO1006),$AO$1006:$BQ$1006,0))&gt;=100000), " ",IF(INDEX($AO$2:$BQ$1001,MATCH(ROWS($AH$2:AH387),$AH$2:$AH$1001,0),MATCH(COLUMNS($AO$1006:AO1006),$AO$1006:$BQ$1006,0)), HYPERLINK("#",""), HYPERLINK(CONCATENATE("#Metadata!", ADDRESS(INDEX($AJ$2:$AJ$1001,MATCH(ROWS($AH$2:AH387),$AH$2:$AH$1001,0),0), INDEX($AO$1004:$BQ$1004,1,MATCH(COLUMNS($AO$1006:AO1006),$AO$1006:$BQ$1006,0)))),"Fix")))</f>
        <v>#N/A</v>
      </c>
      <c r="C387" s="5" t="e">
        <f ca="1">IF(OR(INDEX($AI$2:$AI$1001,MATCH(ROWS($AH$2:AH387),$AH$2:$AH$1001,0),1)&gt;=100000,INDEX($AO$1005:$BQ$1005,1,MATCH(COLUMNS($AO$1006:AP1006),$AO$1006:$BQ$1006,0))&gt;=100000), " ",IF(INDEX($AO$2:$BQ$1001,MATCH(ROWS($AH$2:AH387),$AH$2:$AH$1001,0),MATCH(COLUMNS($AO$1006:AP1006),$AO$1006:$BQ$1006,0)), HYPERLINK("#",""), HYPERLINK(CONCATENATE("#Metadata!", ADDRESS(INDEX($AJ$2:$AJ$1001,MATCH(ROWS($AH$2:AH387),$AH$2:$AH$1001,0),0), INDEX($AO$1004:$BQ$1004,1,MATCH(COLUMNS($AO$1006:AP1006),$AO$1006:$BQ$1006,0)))),"Fix")))</f>
        <v>#N/A</v>
      </c>
      <c r="D387" s="5" t="e">
        <f ca="1">IF(OR(INDEX($AI$2:$AI$1001,MATCH(ROWS($AH$2:AH387),$AH$2:$AH$1001,0),1)&gt;=100000,INDEX($AO$1005:$BQ$1005,1,MATCH(COLUMNS($AO$1006:AQ1006),$AO$1006:$BQ$1006,0))&gt;=100000), " ",IF(INDEX($AO$2:$BQ$1001,MATCH(ROWS($AH$2:AH387),$AH$2:$AH$1001,0),MATCH(COLUMNS($AO$1006:AQ1006),$AO$1006:$BQ$1006,0)), HYPERLINK("#",""), HYPERLINK(CONCATENATE("#Metadata!", ADDRESS(INDEX($AJ$2:$AJ$1001,MATCH(ROWS($AH$2:AH387),$AH$2:$AH$1001,0),0), INDEX($AO$1004:$BQ$1004,1,MATCH(COLUMNS($AO$1006:AQ1006),$AO$1006:$BQ$1006,0)))),"Fix")))</f>
        <v>#N/A</v>
      </c>
      <c r="E387" s="5" t="e">
        <f ca="1">IF(OR(INDEX($AI$2:$AI$1001,MATCH(ROWS($AH$2:AH387),$AH$2:$AH$1001,0),1)&gt;=100000,INDEX($AO$1005:$BQ$1005,1,MATCH(COLUMNS($AO$1006:AR1006),$AO$1006:$BQ$1006,0))&gt;=100000), " ",IF(INDEX($AO$2:$BQ$1001,MATCH(ROWS($AH$2:AH387),$AH$2:$AH$1001,0),MATCH(COLUMNS($AO$1006:AR1006),$AO$1006:$BQ$1006,0)), HYPERLINK("#",""), HYPERLINK(CONCATENATE("#Metadata!", ADDRESS(INDEX($AJ$2:$AJ$1001,MATCH(ROWS($AH$2:AH387),$AH$2:$AH$1001,0),0), INDEX($AO$1004:$BQ$1004,1,MATCH(COLUMNS($AO$1006:AR1006),$AO$1006:$BQ$1006,0)))),"Fix")))</f>
        <v>#N/A</v>
      </c>
      <c r="F387" s="5" t="e">
        <f ca="1">IF(OR(INDEX($AI$2:$AI$1001,MATCH(ROWS($AH$2:AH387),$AH$2:$AH$1001,0),1)&gt;=100000,INDEX($AO$1005:$BQ$1005,1,MATCH(COLUMNS($AO$1006:AS1006),$AO$1006:$BQ$1006,0))&gt;=100000), " ",IF(INDEX($AO$2:$BQ$1001,MATCH(ROWS($AH$2:AH387),$AH$2:$AH$1001,0),MATCH(COLUMNS($AO$1006:AS1006),$AO$1006:$BQ$1006,0)), HYPERLINK("#",""), HYPERLINK(CONCATENATE("#Metadata!", ADDRESS(INDEX($AJ$2:$AJ$1001,MATCH(ROWS($AH$2:AH387),$AH$2:$AH$1001,0),0), INDEX($AO$1004:$BQ$1004,1,MATCH(COLUMNS($AO$1006:AS1006),$AO$1006:$BQ$1006,0)))),"Fix")))</f>
        <v>#N/A</v>
      </c>
      <c r="G387" s="5" t="e">
        <f ca="1">IF(OR(INDEX($AI$2:$AI$1001,MATCH(ROWS($AH$2:AH387),$AH$2:$AH$1001,0),1)&gt;=100000,INDEX($AO$1005:$BQ$1005,1,MATCH(COLUMNS($AO$1006:AT1006),$AO$1006:$BQ$1006,0))&gt;=100000), " ",IF(INDEX($AO$2:$BQ$1001,MATCH(ROWS($AH$2:AH387),$AH$2:$AH$1001,0),MATCH(COLUMNS($AO$1006:AT1006),$AO$1006:$BQ$1006,0)), HYPERLINK("#",""), HYPERLINK(CONCATENATE("#Metadata!", ADDRESS(INDEX($AJ$2:$AJ$1001,MATCH(ROWS($AH$2:AH387),$AH$2:$AH$1001,0),0), INDEX($AO$1004:$BQ$1004,1,MATCH(COLUMNS($AO$1006:AT1006),$AO$1006:$BQ$1006,0)))),"Fix")))</f>
        <v>#N/A</v>
      </c>
      <c r="H387" s="5" t="e">
        <f ca="1">IF(OR(INDEX($AI$2:$AI$1001,MATCH(ROWS($AH$2:AH387),$AH$2:$AH$1001,0),1)&gt;=100000,INDEX($AO$1005:$BQ$1005,1,MATCH(COLUMNS($AO$1006:AU1006),$AO$1006:$BQ$1006,0))&gt;=100000), " ",IF(INDEX($AO$2:$BQ$1001,MATCH(ROWS($AH$2:AH387),$AH$2:$AH$1001,0),MATCH(COLUMNS($AO$1006:AU1006),$AO$1006:$BQ$1006,0)), HYPERLINK("#",""), HYPERLINK(CONCATENATE("#Metadata!", ADDRESS(INDEX($AJ$2:$AJ$1001,MATCH(ROWS($AH$2:AH387),$AH$2:$AH$1001,0),0), INDEX($AO$1004:$BQ$1004,1,MATCH(COLUMNS($AO$1006:AU1006),$AO$1006:$BQ$1006,0)))),"Fix")))</f>
        <v>#N/A</v>
      </c>
      <c r="I387" s="5" t="e">
        <f ca="1">IF(OR(INDEX($AI$2:$AI$1001,MATCH(ROWS($AH$2:AH387),$AH$2:$AH$1001,0),1)&gt;=100000,INDEX($AO$1005:$BQ$1005,1,MATCH(COLUMNS($AO$1006:AV1006),$AO$1006:$BQ$1006,0))&gt;=100000), " ",IF(INDEX($AO$2:$BQ$1001,MATCH(ROWS($AH$2:AH387),$AH$2:$AH$1001,0),MATCH(COLUMNS($AO$1006:AV1006),$AO$1006:$BQ$1006,0)), HYPERLINK("#",""), HYPERLINK(CONCATENATE("#Metadata!", ADDRESS(INDEX($AJ$2:$AJ$1001,MATCH(ROWS($AH$2:AH387),$AH$2:$AH$1001,0),0), INDEX($AO$1004:$BQ$1004,1,MATCH(COLUMNS($AO$1006:AV1006),$AO$1006:$BQ$1006,0)))),"Fix")))</f>
        <v>#N/A</v>
      </c>
      <c r="J387" s="5" t="e">
        <f ca="1">IF(OR(INDEX($AI$2:$AI$1001,MATCH(ROWS($AH$2:AH387),$AH$2:$AH$1001,0),1)&gt;=100000,INDEX($AO$1005:$BQ$1005,1,MATCH(COLUMNS($AO$1006:AW1006),$AO$1006:$BQ$1006,0))&gt;=100000), " ",IF(INDEX($AO$2:$BQ$1001,MATCH(ROWS($AH$2:AH387),$AH$2:$AH$1001,0),MATCH(COLUMNS($AO$1006:AW1006),$AO$1006:$BQ$1006,0)), HYPERLINK("#",""), HYPERLINK(CONCATENATE("#Metadata!", ADDRESS(INDEX($AJ$2:$AJ$1001,MATCH(ROWS($AH$2:AH387),$AH$2:$AH$1001,0),0), INDEX($AO$1004:$BQ$1004,1,MATCH(COLUMNS($AO$1006:AW1006),$AO$1006:$BQ$1006,0)))),"Fix")))</f>
        <v>#N/A</v>
      </c>
      <c r="K387" s="5" t="e">
        <f ca="1">IF(OR(INDEX($AI$2:$AI$1001,MATCH(ROWS($AH$2:AH387),$AH$2:$AH$1001,0),1)&gt;=100000,INDEX($AO$1005:$BQ$1005,1,MATCH(COLUMNS($AO$1006:AX1006),$AO$1006:$BQ$1006,0))&gt;=100000), " ",IF(INDEX($AO$2:$BQ$1001,MATCH(ROWS($AH$2:AH387),$AH$2:$AH$1001,0),MATCH(COLUMNS($AO$1006:AX1006),$AO$1006:$BQ$1006,0)), HYPERLINK("#",""), HYPERLINK(CONCATENATE("#Metadata!", ADDRESS(INDEX($AJ$2:$AJ$1001,MATCH(ROWS($AH$2:AH387),$AH$2:$AH$1001,0),0), INDEX($AO$1004:$BQ$1004,1,MATCH(COLUMNS($AO$1006:AX1006),$AO$1006:$BQ$1006,0)))),"Fix")))</f>
        <v>#N/A</v>
      </c>
      <c r="L387" s="5" t="e">
        <f ca="1">IF(OR(INDEX($AI$2:$AI$1001,MATCH(ROWS($AH$2:AH387),$AH$2:$AH$1001,0),1)&gt;=100000,INDEX($AO$1005:$BQ$1005,1,MATCH(COLUMNS($AO$1006:AY1006),$AO$1006:$BQ$1006,0))&gt;=100000), " ",IF(INDEX($AO$2:$BQ$1001,MATCH(ROWS($AH$2:AH387),$AH$2:$AH$1001,0),MATCH(COLUMNS($AO$1006:AY1006),$AO$1006:$BQ$1006,0)), HYPERLINK("#",""), HYPERLINK(CONCATENATE("#Metadata!", ADDRESS(INDEX($AJ$2:$AJ$1001,MATCH(ROWS($AH$2:AH387),$AH$2:$AH$1001,0),0), INDEX($AO$1004:$BQ$1004,1,MATCH(COLUMNS($AO$1006:AY1006),$AO$1006:$BQ$1006,0)))),"Fix")))</f>
        <v>#N/A</v>
      </c>
      <c r="M387" s="5" t="e">
        <f ca="1">IF(OR(INDEX($AI$2:$AI$1001,MATCH(ROWS($AH$2:AH387),$AH$2:$AH$1001,0),1)&gt;=100000,INDEX($AO$1005:$BQ$1005,1,MATCH(COLUMNS($AO$1006:AZ1006),$AO$1006:$BQ$1006,0))&gt;=100000), " ",IF(INDEX($AO$2:$BQ$1001,MATCH(ROWS($AH$2:AH387),$AH$2:$AH$1001,0),MATCH(COLUMNS($AO$1006:AZ1006),$AO$1006:$BQ$1006,0)), HYPERLINK("#",""), HYPERLINK(CONCATENATE("#Metadata!", ADDRESS(INDEX($AJ$2:$AJ$1001,MATCH(ROWS($AH$2:AH387),$AH$2:$AH$1001,0),0), INDEX($AO$1004:$BQ$1004,1,MATCH(COLUMNS($AO$1006:AZ1006),$AO$1006:$BQ$1006,0)))),"Fix")))</f>
        <v>#N/A</v>
      </c>
      <c r="N387" s="5" t="e">
        <f ca="1">IF(OR(INDEX($AI$2:$AI$1001,MATCH(ROWS($AH$2:AH387),$AH$2:$AH$1001,0),1)&gt;=100000,INDEX($AO$1005:$BQ$1005,1,MATCH(COLUMNS($AO$1006:BA1006),$AO$1006:$BQ$1006,0))&gt;=100000), " ",IF(INDEX($AO$2:$BQ$1001,MATCH(ROWS($AH$2:AH387),$AH$2:$AH$1001,0),MATCH(COLUMNS($AO$1006:BA1006),$AO$1006:$BQ$1006,0)), HYPERLINK("#",""), HYPERLINK(CONCATENATE("#Metadata!", ADDRESS(INDEX($AJ$2:$AJ$1001,MATCH(ROWS($AH$2:AH387),$AH$2:$AH$1001,0),0), INDEX($AO$1004:$BQ$1004,1,MATCH(COLUMNS($AO$1006:BA1006),$AO$1006:$BQ$1006,0)))),"Fix")))</f>
        <v>#N/A</v>
      </c>
      <c r="O387" s="5" t="e">
        <f ca="1">IF(OR(INDEX($AI$2:$AI$1001,MATCH(ROWS($AH$2:AH387),$AH$2:$AH$1001,0),1)&gt;=100000,INDEX($AO$1005:$BQ$1005,1,MATCH(COLUMNS($AO$1006:BB1006),$AO$1006:$BQ$1006,0))&gt;=100000), " ",IF(INDEX($AO$2:$BQ$1001,MATCH(ROWS($AH$2:AH387),$AH$2:$AH$1001,0),MATCH(COLUMNS($AO$1006:BB1006),$AO$1006:$BQ$1006,0)), HYPERLINK("#",""), HYPERLINK(CONCATENATE("#Metadata!", ADDRESS(INDEX($AJ$2:$AJ$1001,MATCH(ROWS($AH$2:AH387),$AH$2:$AH$1001,0),0), INDEX($AO$1004:$BQ$1004,1,MATCH(COLUMNS($AO$1006:BB1006),$AO$1006:$BQ$1006,0)))),"Fix")))</f>
        <v>#N/A</v>
      </c>
      <c r="P387" s="5" t="e">
        <f ca="1">IF(OR(INDEX($AI$2:$AI$1001,MATCH(ROWS($AH$2:AH387),$AH$2:$AH$1001,0),1)&gt;=100000,INDEX($AO$1005:$BQ$1005,1,MATCH(COLUMNS($AO$1006:BC1006),$AO$1006:$BQ$1006,0))&gt;=100000), " ",IF(INDEX($AO$2:$BQ$1001,MATCH(ROWS($AH$2:AH387),$AH$2:$AH$1001,0),MATCH(COLUMNS($AO$1006:BC1006),$AO$1006:$BQ$1006,0)), HYPERLINK("#",""), HYPERLINK(CONCATENATE("#Metadata!", ADDRESS(INDEX($AJ$2:$AJ$1001,MATCH(ROWS($AH$2:AH387),$AH$2:$AH$1001,0),0), INDEX($AO$1004:$BQ$1004,1,MATCH(COLUMNS($AO$1006:BC1006),$AO$1006:$BQ$1006,0)))),"Fix")))</f>
        <v>#N/A</v>
      </c>
      <c r="Q387" s="5" t="e">
        <f ca="1">IF(OR(INDEX($AI$2:$AI$1001,MATCH(ROWS($AH$2:AH387),$AH$2:$AH$1001,0),1)&gt;=100000,INDEX($AO$1005:$BQ$1005,1,MATCH(COLUMNS($AO$1006:BD1006),$AO$1006:$BQ$1006,0))&gt;=100000), " ",IF(INDEX($AO$2:$BQ$1001,MATCH(ROWS($AH$2:AH387),$AH$2:$AH$1001,0),MATCH(COLUMNS($AO$1006:BD1006),$AO$1006:$BQ$1006,0)), HYPERLINK("#",""), HYPERLINK(CONCATENATE("#Metadata!", ADDRESS(INDEX($AJ$2:$AJ$1001,MATCH(ROWS($AH$2:AH387),$AH$2:$AH$1001,0),0), INDEX($AO$1004:$BQ$1004,1,MATCH(COLUMNS($AO$1006:BD1006),$AO$1006:$BQ$1006,0)))),"Fix")))</f>
        <v>#N/A</v>
      </c>
      <c r="R387" s="5" t="e">
        <f ca="1">IF(OR(INDEX($AI$2:$AI$1001,MATCH(ROWS($AH$2:AH387),$AH$2:$AH$1001,0),1)&gt;=100000,INDEX($AO$1005:$BQ$1005,1,MATCH(COLUMNS($AO$1006:BE1006),$AO$1006:$BQ$1006,0))&gt;=100000), " ",IF(INDEX($AO$2:$BQ$1001,MATCH(ROWS($AH$2:AH387),$AH$2:$AH$1001,0),MATCH(COLUMNS($AO$1006:BE1006),$AO$1006:$BQ$1006,0)), HYPERLINK("#",""), HYPERLINK(CONCATENATE("#Metadata!", ADDRESS(INDEX($AJ$2:$AJ$1001,MATCH(ROWS($AH$2:AH387),$AH$2:$AH$1001,0),0), INDEX($AO$1004:$BQ$1004,1,MATCH(COLUMNS($AO$1006:BE1006),$AO$1006:$BQ$1006,0)))),"Fix")))</f>
        <v>#N/A</v>
      </c>
      <c r="S387" s="5" t="e">
        <f ca="1">IF(OR(INDEX($AI$2:$AI$1001,MATCH(ROWS($AH$2:AH387),$AH$2:$AH$1001,0),1)&gt;=100000,INDEX($AO$1005:$BQ$1005,1,MATCH(COLUMNS($AO$1006:BF1006),$AO$1006:$BQ$1006,0))&gt;=100000), " ",IF(INDEX($AO$2:$BQ$1001,MATCH(ROWS($AH$2:AH387),$AH$2:$AH$1001,0),MATCH(COLUMNS($AO$1006:BF1006),$AO$1006:$BQ$1006,0)), HYPERLINK("#",""), HYPERLINK(CONCATENATE("#Metadata!", ADDRESS(INDEX($AJ$2:$AJ$1001,MATCH(ROWS($AH$2:AH387),$AH$2:$AH$1001,0),0), INDEX($AO$1004:$BQ$1004,1,MATCH(COLUMNS($AO$1006:BF1006),$AO$1006:$BQ$1006,0)))),"Fix")))</f>
        <v>#N/A</v>
      </c>
      <c r="T387" s="5" t="e">
        <f ca="1">IF(OR(INDEX($AI$2:$AI$1001,MATCH(ROWS($AH$2:AH387),$AH$2:$AH$1001,0),1)&gt;=100000,INDEX($AO$1005:$BQ$1005,1,MATCH(COLUMNS($AO$1006:BG1006),$AO$1006:$BQ$1006,0))&gt;=100000), " ",IF(INDEX($AO$2:$BQ$1001,MATCH(ROWS($AH$2:AH387),$AH$2:$AH$1001,0),MATCH(COLUMNS($AO$1006:BG1006),$AO$1006:$BQ$1006,0)), HYPERLINK("#",""), HYPERLINK(CONCATENATE("#Metadata!", ADDRESS(INDEX($AJ$2:$AJ$1001,MATCH(ROWS($AH$2:AH387),$AH$2:$AH$1001,0),0), INDEX($AO$1004:$BQ$1004,1,MATCH(COLUMNS($AO$1006:BG1006),$AO$1006:$BQ$1006,0)))),"Fix")))</f>
        <v>#N/A</v>
      </c>
      <c r="U387" s="5" t="e">
        <f ca="1">IF(OR(INDEX($AI$2:$AI$1001,MATCH(ROWS($AH$2:AH387),$AH$2:$AH$1001,0),1)&gt;=100000,INDEX($AO$1005:$BQ$1005,1,MATCH(COLUMNS($AO$1006:BH1006),$AO$1006:$BQ$1006,0))&gt;=100000), " ",IF(INDEX($AO$2:$BQ$1001,MATCH(ROWS($AH$2:AH387),$AH$2:$AH$1001,0),MATCH(COLUMNS($AO$1006:BH1006),$AO$1006:$BQ$1006,0)), HYPERLINK("#",""), HYPERLINK(CONCATENATE("#Metadata!", ADDRESS(INDEX($AJ$2:$AJ$1001,MATCH(ROWS($AH$2:AH387),$AH$2:$AH$1001,0),0), INDEX($AO$1004:$BQ$1004,1,MATCH(COLUMNS($AO$1006:BH1006),$AO$1006:$BQ$1006,0)))),"Fix")))</f>
        <v>#N/A</v>
      </c>
      <c r="V387" s="5" t="e">
        <f ca="1">IF(OR(INDEX($AI$2:$AI$1001,MATCH(ROWS($AH$2:AH387),$AH$2:$AH$1001,0),1)&gt;=100000,INDEX($AO$1005:$BQ$1005,1,MATCH(COLUMNS($AO$1006:BI1006),$AO$1006:$BQ$1006,0))&gt;=100000), " ",IF(INDEX($AO$2:$BQ$1001,MATCH(ROWS($AH$2:AH387),$AH$2:$AH$1001,0),MATCH(COLUMNS($AO$1006:BI1006),$AO$1006:$BQ$1006,0)), HYPERLINK("#",""), HYPERLINK(CONCATENATE("#Metadata!", ADDRESS(INDEX($AJ$2:$AJ$1001,MATCH(ROWS($AH$2:AH387),$AH$2:$AH$1001,0),0), INDEX($AO$1004:$BQ$1004,1,MATCH(COLUMNS($AO$1006:BI1006),$AO$1006:$BQ$1006,0)))),"Fix")))</f>
        <v>#N/A</v>
      </c>
      <c r="W387" s="5" t="e">
        <f ca="1">IF(OR(INDEX($AI$2:$AI$1001,MATCH(ROWS($AH$2:AH387),$AH$2:$AH$1001,0),1)&gt;=100000,INDEX($AO$1005:$BQ$1005,1,MATCH(COLUMNS($AO$1006:BJ1006),$AO$1006:$BQ$1006,0))&gt;=100000), " ",IF(INDEX($AO$2:$BQ$1001,MATCH(ROWS($AH$2:AH387),$AH$2:$AH$1001,0),MATCH(COLUMNS($AO$1006:BJ1006),$AO$1006:$BQ$1006,0)), HYPERLINK("#",""), HYPERLINK(CONCATENATE("#Metadata!", ADDRESS(INDEX($AJ$2:$AJ$1001,MATCH(ROWS($AH$2:AH387),$AH$2:$AH$1001,0),0), INDEX($AO$1004:$BQ$1004,1,MATCH(COLUMNS($AO$1006:BJ1006),$AO$1006:$BQ$1006,0)))),"Fix")))</f>
        <v>#N/A</v>
      </c>
      <c r="X387" s="5" t="e">
        <f ca="1">IF(OR(INDEX($AI$2:$AI$1001,MATCH(ROWS($AH$2:AH387),$AH$2:$AH$1001,0),1)&gt;=100000,INDEX($AO$1005:$BQ$1005,1,MATCH(COLUMNS($AO$1006:BK1006),$AO$1006:$BQ$1006,0))&gt;=100000), " ",IF(INDEX($AO$2:$BQ$1001,MATCH(ROWS($AH$2:AH387),$AH$2:$AH$1001,0),MATCH(COLUMNS($AO$1006:BK1006),$AO$1006:$BQ$1006,0)), HYPERLINK("#",""), HYPERLINK(CONCATENATE("#Metadata!", ADDRESS(INDEX($AJ$2:$AJ$1001,MATCH(ROWS($AH$2:AH387),$AH$2:$AH$1001,0),0), INDEX($AO$1004:$BQ$1004,1,MATCH(COLUMNS($AO$1006:BK1006),$AO$1006:$BQ$1006,0)))),"Fix")))</f>
        <v>#N/A</v>
      </c>
      <c r="Y387" s="5" t="e">
        <f ca="1">IF(OR(INDEX($AI$2:$AI$1001,MATCH(ROWS($AH$2:AH387),$AH$2:$AH$1001,0),1)&gt;=100000,INDEX($AO$1005:$BQ$1005,1,MATCH(COLUMNS($AO$1006:BL1006),$AO$1006:$BQ$1006,0))&gt;=100000), " ",IF(INDEX($AO$2:$BQ$1001,MATCH(ROWS($AH$2:AH387),$AH$2:$AH$1001,0),MATCH(COLUMNS($AO$1006:BL1006),$AO$1006:$BQ$1006,0)), HYPERLINK("#",""), HYPERLINK(CONCATENATE("#Metadata!", ADDRESS(INDEX($AJ$2:$AJ$1001,MATCH(ROWS($AH$2:AH387),$AH$2:$AH$1001,0),0), INDEX($AO$1004:$BQ$1004,1,MATCH(COLUMNS($AO$1006:BL1006),$AO$1006:$BQ$1006,0)))),"Fix")))</f>
        <v>#N/A</v>
      </c>
      <c r="Z387" s="5" t="e">
        <f ca="1">IF(OR(INDEX($AI$2:$AI$1001,MATCH(ROWS($AH$2:AH387),$AH$2:$AH$1001,0),1)&gt;=100000,INDEX($AO$1005:$BQ$1005,1,MATCH(COLUMNS($AO$1006:BM1006),$AO$1006:$BQ$1006,0))&gt;=100000), " ",IF(INDEX($AO$2:$BQ$1001,MATCH(ROWS($AH$2:AH387),$AH$2:$AH$1001,0),MATCH(COLUMNS($AO$1006:BM1006),$AO$1006:$BQ$1006,0)), HYPERLINK("#",""), HYPERLINK(CONCATENATE("#Metadata!", ADDRESS(INDEX($AJ$2:$AJ$1001,MATCH(ROWS($AH$2:AH387),$AH$2:$AH$1001,0),0), INDEX($AO$1004:$BQ$1004,1,MATCH(COLUMNS($AO$1006:BM1006),$AO$1006:$BQ$1006,0)))),"Fix")))</f>
        <v>#N/A</v>
      </c>
      <c r="AA387" s="5" t="e">
        <f ca="1">IF(OR(INDEX($AI$2:$AI$1001,MATCH(ROWS($AH$2:AH387),$AH$2:$AH$1001,0),1)&gt;=100000,INDEX($AO$1005:$BQ$1005,1,MATCH(COLUMNS($AO$1006:BN1006),$AO$1006:$BQ$1006,0))&gt;=100000), " ",IF(INDEX($AO$2:$BQ$1001,MATCH(ROWS($AH$2:AH387),$AH$2:$AH$1001,0),MATCH(COLUMNS($AO$1006:BN1006),$AO$1006:$BQ$1006,0)), HYPERLINK("#",""), HYPERLINK(CONCATENATE("#Metadata!", ADDRESS(INDEX($AJ$2:$AJ$1001,MATCH(ROWS($AH$2:AH387),$AH$2:$AH$1001,0),0), INDEX($AO$1004:$BQ$1004,1,MATCH(COLUMNS($AO$1006:BN1006),$AO$1006:$BQ$1006,0)))),"Fix")))</f>
        <v>#N/A</v>
      </c>
      <c r="AB387" s="5" t="e">
        <f ca="1">IF(OR(INDEX($AI$2:$AI$1001,MATCH(ROWS($AH$2:AH387),$AH$2:$AH$1001,0),1)&gt;=100000,INDEX($AO$1005:$BQ$1005,1,MATCH(COLUMNS($AO$1006:BO1006),$AO$1006:$BQ$1006,0))&gt;=100000), " ",IF(INDEX($AO$2:$BQ$1001,MATCH(ROWS($AH$2:AH387),$AH$2:$AH$1001,0),MATCH(COLUMNS($AO$1006:BO1006),$AO$1006:$BQ$1006,0)), HYPERLINK("#",""), HYPERLINK(CONCATENATE("#Metadata!", ADDRESS(INDEX($AJ$2:$AJ$1001,MATCH(ROWS($AH$2:AH387),$AH$2:$AH$1001,0),0), INDEX($AO$1004:$BQ$1004,1,MATCH(COLUMNS($AO$1006:BO1006),$AO$1006:$BQ$1006,0)))),"Fix")))</f>
        <v>#N/A</v>
      </c>
      <c r="AC387" s="5" t="e">
        <f ca="1">IF(OR(INDEX($AI$2:$AI$1001,MATCH(ROWS($AH$2:AH387),$AH$2:$AH$1001,0),1)&gt;=100000,INDEX($AO$1005:$BQ$1005,1,MATCH(COLUMNS($AO$1006:BP1006),$AO$1006:$BQ$1006,0))&gt;=100000), " ",IF(INDEX($AO$2:$BQ$1001,MATCH(ROWS($AH$2:AH387),$AH$2:$AH$1001,0),MATCH(COLUMNS($AO$1006:BP1006),$AO$1006:$BQ$1006,0)), HYPERLINK("#",""), HYPERLINK(CONCATENATE("#Metadata!", ADDRESS(INDEX($AJ$2:$AJ$1001,MATCH(ROWS($AH$2:AH387),$AH$2:$AH$1001,0),0), INDEX($AO$1004:$BQ$1004,1,MATCH(COLUMNS($AO$1006:BP1006),$AO$1006:$BQ$1006,0)))),"Fix")))</f>
        <v>#N/A</v>
      </c>
      <c r="AD387" s="5" t="e">
        <f ca="1">IF(OR(INDEX($AI$2:$AI$1001,MATCH(ROWS($AH$2:AH387),$AH$2:$AH$1001,0),1)&gt;=100000,INDEX($AO$1005:$BQ$1005,1,MATCH(COLUMNS($AO$1006:BQ1006),$AO$1006:$BQ$1006,0))&gt;=100000), " ",IF(INDEX($AO$2:$BQ$1001,MATCH(ROWS($AH$2:AH387),$AH$2:$AH$1001,0),MATCH(COLUMNS($AO$1006:BQ1006),$AO$1006:$BQ$1006,0)), HYPERLINK("#",""), HYPERLINK(CONCATENATE("#Metadata!", ADDRESS(INDEX($AJ$2:$AJ$1001,MATCH(ROWS($AH$2:AH387),$AH$2:$AH$1001,0),0), INDEX($AO$1004:$BQ$1004,1,MATCH(COLUMNS($AO$1006:BQ1006),$AO$1006:$BQ$1006,0)))),"Fix")))</f>
        <v>#REF!</v>
      </c>
      <c r="AH387">
        <f ca="1"/>
        <v>384</v>
      </c>
      <c r="AI387">
        <v>100387</v>
      </c>
      <c r="AJ387">
        <v>387</v>
      </c>
      <c r="AK387" t="b">
        <f t="shared" si="6"/>
        <v>1</v>
      </c>
      <c r="AL387" t="b">
        <f>COUNTBLANK(Metadata!B387:AD387)=COLUMNS(Metadata!B387:AD387)</f>
        <v>1</v>
      </c>
      <c r="AM387" t="str">
        <v/>
      </c>
      <c r="AO387" t="b">
        <f ca="1">AND(IF(Metadata!B387="",FALSE,TRUE),COUNTIF(Metadata!B:B, Metadata!B387) = 1,NOT(ISERROR(SUMPRODUCT(SEARCH(MID(Metadata!B387,ROW(INDIRECT("1:"&amp;LEN(Metadata!B387))), 1),"0123456789abcdefghijklmnopqrstuvwxyzABCDEFGHIJKLMNOPQRSTUVWXYZ.")))))</f>
        <v>0</v>
      </c>
      <c r="AP387" t="b">
        <f>IF(Metadata!C387="",FALSE,TRUE)</f>
        <v>0</v>
      </c>
      <c r="AQ387" t="b">
        <f>IF(Metadata!D387="",FALSE,TRUE)</f>
        <v>0</v>
      </c>
      <c r="AR387" t="b">
        <f ca="1">OR(AND(IF(Metadata!E387="",FALSE,TRUE),OR(EXACT(Metadata!E387,"not collected"),EXACT(Metadata!E387,"not provided"),EXACT(Metadata!E387,"restricted access"))),AND(IF(Metadata!E387="",FALSE,TRUE),AND(AND(IFERROR(INT(LEFT(Metadata!E387,4))&gt;1900,FALSE),IFERROR(INT(LEFT(Metadata!E387,4))&lt;=YEAR(NOW()),FALSE)), OR(MID(Metadata!E387,5,1)="", AND(AND(MID(Metadata!E387,5,1)="-",IFERROR(INT(MID(Metadata!E387,6,1))&gt;=0,FALSE),IFERROR(INT(MID(Metadata!E387,6,1))&lt;=1,FALSE),NOT(MID(Metadata!E387,7,1)=""),IFERROR(INT(MID(Metadata!E387,6,2))&gt;=1,FALSE),IFERROR(INT(MID(Metadata!E387,6,2))&lt;=12,FALSE)), OR(MID(Metadata!E387,8,1)="", AND(AND(MID(Metadata!E387,8,1)="-",IFERROR(INT(MID(Metadata!E387,9,1))&gt;=0,FALSE),IFERROR(INT(MID(Metadata!E387,9,1))&lt;=3,FALSE),NOT(MID(Metadata!E387,10,1)=""),IFERROR(INT(MID(Metadata!E387,9,2))&gt;=1,FALSE),IFERROR(INT(MID(Metadata!E387,9,2))&lt;=31,FALSE)), OR(MID(Metadata!E387,11,1)="", AND(AND(MID(Metadata!E387,11,1)=" ",IFERROR(INT(MID(Metadata!E387,12,1))&gt;=0,FALSE),IFERROR(INT(MID(Metadata!E387,12,1))&lt;=2,FALSE),NOT(MID(Metadata!E387,13,1)=""),IFERROR(INT(MID(Metadata!E387,12,2))&gt;=0,FALSE),IFERROR(INT(MID(Metadata!E387,12,2))&lt;=23,FALSE)), OR(MID(Metadata!E387,14,1)="", AND(AND(MID(Metadata!E387,14,1)=":",IFERROR(INT(MID(Metadata!E387,15,1))&gt;=0,FALSE),IFERROR(INT(MID(Metadata!E387,15,1))&lt;=5,FALSE),NOT(MID(Metadata!E387,16,1)=""),IFERROR(INT(MID(Metadata!E387,15,2))&gt;=0,FALSE),IFERROR(INT(MID(Metadata!E387,15,2))&lt;=59,FALSE)), OR(MID(Metadata!E387,17,1)="", AND(AND(MID(Metadata!E387,17,1)=":",IFERROR(INT(MID(Metadata!E387,18,1))&gt;=0,FALSE),IFERROR(INT(MID(Metadata!E387,18,1))&lt;=5,FALSE),NOT(MID(Metadata!E387,19,1)=""),IFERROR(INT(MID(Metadata!E387,18,2))&gt;=0,FALSE),IFERROR(INT(MID(Metadata!E387,18,2))&lt;=59,FALSE)), LEN(Metadata!E387)&lt;=19)))))))))))))</f>
        <v>0</v>
      </c>
      <c r="AS387" t="b">
        <f>IF(Metadata!F387="",FALSE,TRUE)</f>
        <v>0</v>
      </c>
      <c r="AT387" t="b">
        <f>OR(AND(IF(Metadata!G387="",FALSE,TRUE),OR(EXACT(Metadata!G387,"not collected"),EXACT(Metadata!G387,"not provided"))),AND(IF(Metadata!G387="",FALSE,TRUE),OR(EXACT(Metadata!G387,"TRUE"),EXACT(Metadata!G387,"FALSE"))))</f>
        <v>0</v>
      </c>
      <c r="AU387" t="b">
        <f>OR(AND(IF(Metadata!H387="",FALSE,TRUE),OR(EXACT(Metadata!H387,"not collected"),EXACT(Metadata!H387,"not provided"),EXACT(Metadata!H387,"restricted access"))),AND(IF(Metadata!H387="",FALSE,ISNUMBER(VALUE(Metadata!H387))),Metadata!H387&gt;=-413))</f>
        <v>0</v>
      </c>
      <c r="AV387" t="b">
        <f>AND(IF(Metadata!I387="",FALSE,TRUE),EXACT(Metadata!I387,"meters"))</f>
        <v>0</v>
      </c>
      <c r="AW387" t="b">
        <f>AND(IF(Metadata!J387="",FALSE,TRUE),EXACT(Metadata!J387,"free-living"))</f>
        <v>0</v>
      </c>
      <c r="AX387" t="b">
        <f>AND(IF(Metadata!K387="",FALSE,TRUE),OR(EXACT(Metadata!K387,"saline"),EXACT(Metadata!K387,"non-saline")))</f>
        <v>0</v>
      </c>
      <c r="AY387" t="b">
        <f>AND(IF(Metadata!L387="",FALSE,TRUE),OR(EXACT(Metadata!L387,"sub-surface (non-saline)"),EXACT(Metadata!L387,"surface (non-saline)"),EXACT(Metadata!L387,"water (non-saline)"),EXACT(Metadata!L387,"soil (non-saline)"),EXACT(Metadata!L387,"aerosol (non-saline)"),EXACT(Metadata!L387,"sediment (non-saline)"),EXACT(Metadata!L387,"surface (saline)"),EXACT(Metadata!L387,"water (saline)"),EXACT(Metadata!L387,"hypersaline (saline)"),EXACT(Metadata!L387,"aerosol (saline)"),EXACT(Metadata!L387,"sediment (saline)")))</f>
        <v>0</v>
      </c>
      <c r="AZ387" t="b">
        <f>IF(Metadata!M387="",FALSE,TRUE)</f>
        <v>0</v>
      </c>
      <c r="BA387" t="b">
        <f>IF(Metadata!N387="",FALSE,TRUE)</f>
        <v>0</v>
      </c>
      <c r="BB387" t="b">
        <f>IF(Metadata!O387="",FALSE,TRUE)</f>
        <v>0</v>
      </c>
      <c r="BC387" t="b">
        <f>AND(IF(Metadata!P387="",FALSE,TRUE),OR(EXACT(Metadata!P387,"air"),EXACT(Metadata!P387,"microbial mat/biofilm"),EXACT(Metadata!P387,"misc environment"),EXACT(Metadata!P387,"sediment"),EXACT(Metadata!P387,"soil"),EXACT(Metadata!P387,"wastewater/sludge"),EXACT(Metadata!P387,"water")))</f>
        <v>0</v>
      </c>
      <c r="BD387" t="b">
        <f>IF(Metadata!Q387="",FALSE,TRUE)</f>
        <v>0</v>
      </c>
      <c r="BE387" t="b">
        <f>IF(Metadata!R387="",FALSE,TRUE)</f>
        <v>0</v>
      </c>
      <c r="BF387" t="b">
        <f>OR(AND(IF(Metadata!S387="",FALSE,TRUE),OR(EXACT(Metadata!S387,"not collected"),EXACT(Metadata!S387,"not provided"),EXACT(Metadata!S387,"restricted access"))),AND(IF(Metadata!S387="",FALSE,ISNUMBER(VALUE(Metadata!S387))),Metadata!S387&gt;=-90,Metadata!S387&lt;=90))</f>
        <v>0</v>
      </c>
      <c r="BG387" t="b">
        <f>AND(IF(Metadata!T387="",FALSE,TRUE),EXACT(Metadata!T387,"Decimal degrees"))</f>
        <v>0</v>
      </c>
      <c r="BH387" t="b">
        <f>OR(AND(IF(Metadata!U387="",FALSE,TRUE),OR(EXACT(Metadata!U387,"not applicable"),EXACT(Metadata!U387,"not collected"))),IF(Metadata!U387="",FALSE,TRUE))</f>
        <v>0</v>
      </c>
      <c r="BI387" t="b">
        <f>OR(AND(IF(Metadata!V387="",FALSE,TRUE),OR(EXACT(Metadata!V387,"not collected"),EXACT(Metadata!V387,"not provided"),EXACT(Metadata!V387,"restricted access"))),AND(IF(Metadata!V387="",FALSE,ISNUMBER(VALUE(Metadata!V387))),Metadata!V387&gt;=-180,Metadata!V387&lt;=180))</f>
        <v>0</v>
      </c>
      <c r="BJ387" t="b">
        <f>AND(IF(Metadata!W387="",FALSE,TRUE),EXACT(Metadata!W387,"Decimal degrees"))</f>
        <v>0</v>
      </c>
      <c r="BK387" t="b">
        <f>IF(Metadata!X387="",FALSE,TRUE)</f>
        <v>0</v>
      </c>
      <c r="BL387" t="b">
        <f>OR(AND(IF(Metadata!Y387="",FALSE,TRUE),OR(EXACT(Metadata!Y387,"not collected"),EXACT(Metadata!Y387,"not provided"),EXACT(Metadata!Y387,"restricted access"))),AND(IF(Metadata!Y387="",FALSE,TRUE),OR(EXACT(Metadata!Y387,"TRUE"),EXACT(Metadata!Y387,"FALSE"))))</f>
        <v>0</v>
      </c>
      <c r="BM387" t="b">
        <f>OR(AND(IF(Metadata!Z387="",FALSE,TRUE),EXACT(Metadata!Z387,"not applicable")),AND(IF(Metadata!Z387="",FALSE,TRUE),OR(EXACT(Metadata!Z387,"beer"),EXACT(Metadata!Z387,"cheese"),EXACT(Metadata!Z387,"fresh water"),EXACT(Metadata!Z387,"marine sediment"),EXACT(Metadata!Z387,"sea water"),EXACT(Metadata!Z387,"sediment"),EXACT(Metadata!Z387,"soil"),EXACT(Metadata!Z387,"waste water"))))</f>
        <v>0</v>
      </c>
      <c r="BN387" t="b">
        <f>AND(IF(Metadata!AA387="",FALSE,TRUE),EXACT(Metadata!AA387,"metagenome"))</f>
        <v>0</v>
      </c>
      <c r="BO387" t="b">
        <f>AND(IF(Metadata!AB387="",FALSE,TRUE),EXACT(Metadata!AB387,"256318"))</f>
        <v>0</v>
      </c>
      <c r="BP387" t="b">
        <f>IF(Metadata!AC387="",FALSE,TRUE)</f>
        <v>0</v>
      </c>
      <c r="BQ387" t="b">
        <f>IF(Metadata!AD387="",FALSE,TRUE)</f>
        <v>0</v>
      </c>
    </row>
    <row r="388" spans="1:69" x14ac:dyDescent="0.2">
      <c r="A388" s="4" t="e">
        <f ca="1">IF(B388=" "," ",HYPERLINK(CONCATENATE("#metadata!",ADDRESS(INDEX($AJ$2:$AJ$1001,MATCH(ROWS($AH$2:AH388),$AH$2:$AH$1001,0),0),2)),INDEX($AM$2:$AM$1001,MATCH(ROWS($AH$2:AH388),$AH$2:$AH$1001,0),0)))</f>
        <v>#N/A</v>
      </c>
      <c r="B388" s="5" t="e">
        <f ca="1">IF(OR(INDEX($AI$2:$AI$1001,MATCH(ROWS($AH$2:AH388),$AH$2:$AH$1001,0),1)&gt;=100000,INDEX($AO$1005:$BQ$1005,1,MATCH(COLUMNS($AO$1006:AO1006),$AO$1006:$BQ$1006,0))&gt;=100000), " ",IF(INDEX($AO$2:$BQ$1001,MATCH(ROWS($AH$2:AH388),$AH$2:$AH$1001,0),MATCH(COLUMNS($AO$1006:AO1006),$AO$1006:$BQ$1006,0)), HYPERLINK("#",""), HYPERLINK(CONCATENATE("#Metadata!", ADDRESS(INDEX($AJ$2:$AJ$1001,MATCH(ROWS($AH$2:AH388),$AH$2:$AH$1001,0),0), INDEX($AO$1004:$BQ$1004,1,MATCH(COLUMNS($AO$1006:AO1006),$AO$1006:$BQ$1006,0)))),"Fix")))</f>
        <v>#N/A</v>
      </c>
      <c r="C388" s="5" t="e">
        <f ca="1">IF(OR(INDEX($AI$2:$AI$1001,MATCH(ROWS($AH$2:AH388),$AH$2:$AH$1001,0),1)&gt;=100000,INDEX($AO$1005:$BQ$1005,1,MATCH(COLUMNS($AO$1006:AP1006),$AO$1006:$BQ$1006,0))&gt;=100000), " ",IF(INDEX($AO$2:$BQ$1001,MATCH(ROWS($AH$2:AH388),$AH$2:$AH$1001,0),MATCH(COLUMNS($AO$1006:AP1006),$AO$1006:$BQ$1006,0)), HYPERLINK("#",""), HYPERLINK(CONCATENATE("#Metadata!", ADDRESS(INDEX($AJ$2:$AJ$1001,MATCH(ROWS($AH$2:AH388),$AH$2:$AH$1001,0),0), INDEX($AO$1004:$BQ$1004,1,MATCH(COLUMNS($AO$1006:AP1006),$AO$1006:$BQ$1006,0)))),"Fix")))</f>
        <v>#N/A</v>
      </c>
      <c r="D388" s="5" t="e">
        <f ca="1">IF(OR(INDEX($AI$2:$AI$1001,MATCH(ROWS($AH$2:AH388),$AH$2:$AH$1001,0),1)&gt;=100000,INDEX($AO$1005:$BQ$1005,1,MATCH(COLUMNS($AO$1006:AQ1006),$AO$1006:$BQ$1006,0))&gt;=100000), " ",IF(INDEX($AO$2:$BQ$1001,MATCH(ROWS($AH$2:AH388),$AH$2:$AH$1001,0),MATCH(COLUMNS($AO$1006:AQ1006),$AO$1006:$BQ$1006,0)), HYPERLINK("#",""), HYPERLINK(CONCATENATE("#Metadata!", ADDRESS(INDEX($AJ$2:$AJ$1001,MATCH(ROWS($AH$2:AH388),$AH$2:$AH$1001,0),0), INDEX($AO$1004:$BQ$1004,1,MATCH(COLUMNS($AO$1006:AQ1006),$AO$1006:$BQ$1006,0)))),"Fix")))</f>
        <v>#N/A</v>
      </c>
      <c r="E388" s="5" t="e">
        <f ca="1">IF(OR(INDEX($AI$2:$AI$1001,MATCH(ROWS($AH$2:AH388),$AH$2:$AH$1001,0),1)&gt;=100000,INDEX($AO$1005:$BQ$1005,1,MATCH(COLUMNS($AO$1006:AR1006),$AO$1006:$BQ$1006,0))&gt;=100000), " ",IF(INDEX($AO$2:$BQ$1001,MATCH(ROWS($AH$2:AH388),$AH$2:$AH$1001,0),MATCH(COLUMNS($AO$1006:AR1006),$AO$1006:$BQ$1006,0)), HYPERLINK("#",""), HYPERLINK(CONCATENATE("#Metadata!", ADDRESS(INDEX($AJ$2:$AJ$1001,MATCH(ROWS($AH$2:AH388),$AH$2:$AH$1001,0),0), INDEX($AO$1004:$BQ$1004,1,MATCH(COLUMNS($AO$1006:AR1006),$AO$1006:$BQ$1006,0)))),"Fix")))</f>
        <v>#N/A</v>
      </c>
      <c r="F388" s="5" t="e">
        <f ca="1">IF(OR(INDEX($AI$2:$AI$1001,MATCH(ROWS($AH$2:AH388),$AH$2:$AH$1001,0),1)&gt;=100000,INDEX($AO$1005:$BQ$1005,1,MATCH(COLUMNS($AO$1006:AS1006),$AO$1006:$BQ$1006,0))&gt;=100000), " ",IF(INDEX($AO$2:$BQ$1001,MATCH(ROWS($AH$2:AH388),$AH$2:$AH$1001,0),MATCH(COLUMNS($AO$1006:AS1006),$AO$1006:$BQ$1006,0)), HYPERLINK("#",""), HYPERLINK(CONCATENATE("#Metadata!", ADDRESS(INDEX($AJ$2:$AJ$1001,MATCH(ROWS($AH$2:AH388),$AH$2:$AH$1001,0),0), INDEX($AO$1004:$BQ$1004,1,MATCH(COLUMNS($AO$1006:AS1006),$AO$1006:$BQ$1006,0)))),"Fix")))</f>
        <v>#N/A</v>
      </c>
      <c r="G388" s="5" t="e">
        <f ca="1">IF(OR(INDEX($AI$2:$AI$1001,MATCH(ROWS($AH$2:AH388),$AH$2:$AH$1001,0),1)&gt;=100000,INDEX($AO$1005:$BQ$1005,1,MATCH(COLUMNS($AO$1006:AT1006),$AO$1006:$BQ$1006,0))&gt;=100000), " ",IF(INDEX($AO$2:$BQ$1001,MATCH(ROWS($AH$2:AH388),$AH$2:$AH$1001,0),MATCH(COLUMNS($AO$1006:AT1006),$AO$1006:$BQ$1006,0)), HYPERLINK("#",""), HYPERLINK(CONCATENATE("#Metadata!", ADDRESS(INDEX($AJ$2:$AJ$1001,MATCH(ROWS($AH$2:AH388),$AH$2:$AH$1001,0),0), INDEX($AO$1004:$BQ$1004,1,MATCH(COLUMNS($AO$1006:AT1006),$AO$1006:$BQ$1006,0)))),"Fix")))</f>
        <v>#N/A</v>
      </c>
      <c r="H388" s="5" t="e">
        <f ca="1">IF(OR(INDEX($AI$2:$AI$1001,MATCH(ROWS($AH$2:AH388),$AH$2:$AH$1001,0),1)&gt;=100000,INDEX($AO$1005:$BQ$1005,1,MATCH(COLUMNS($AO$1006:AU1006),$AO$1006:$BQ$1006,0))&gt;=100000), " ",IF(INDEX($AO$2:$BQ$1001,MATCH(ROWS($AH$2:AH388),$AH$2:$AH$1001,0),MATCH(COLUMNS($AO$1006:AU1006),$AO$1006:$BQ$1006,0)), HYPERLINK("#",""), HYPERLINK(CONCATENATE("#Metadata!", ADDRESS(INDEX($AJ$2:$AJ$1001,MATCH(ROWS($AH$2:AH388),$AH$2:$AH$1001,0),0), INDEX($AO$1004:$BQ$1004,1,MATCH(COLUMNS($AO$1006:AU1006),$AO$1006:$BQ$1006,0)))),"Fix")))</f>
        <v>#N/A</v>
      </c>
      <c r="I388" s="5" t="e">
        <f ca="1">IF(OR(INDEX($AI$2:$AI$1001,MATCH(ROWS($AH$2:AH388),$AH$2:$AH$1001,0),1)&gt;=100000,INDEX($AO$1005:$BQ$1005,1,MATCH(COLUMNS($AO$1006:AV1006),$AO$1006:$BQ$1006,0))&gt;=100000), " ",IF(INDEX($AO$2:$BQ$1001,MATCH(ROWS($AH$2:AH388),$AH$2:$AH$1001,0),MATCH(COLUMNS($AO$1006:AV1006),$AO$1006:$BQ$1006,0)), HYPERLINK("#",""), HYPERLINK(CONCATENATE("#Metadata!", ADDRESS(INDEX($AJ$2:$AJ$1001,MATCH(ROWS($AH$2:AH388),$AH$2:$AH$1001,0),0), INDEX($AO$1004:$BQ$1004,1,MATCH(COLUMNS($AO$1006:AV1006),$AO$1006:$BQ$1006,0)))),"Fix")))</f>
        <v>#N/A</v>
      </c>
      <c r="J388" s="5" t="e">
        <f ca="1">IF(OR(INDEX($AI$2:$AI$1001,MATCH(ROWS($AH$2:AH388),$AH$2:$AH$1001,0),1)&gt;=100000,INDEX($AO$1005:$BQ$1005,1,MATCH(COLUMNS($AO$1006:AW1006),$AO$1006:$BQ$1006,0))&gt;=100000), " ",IF(INDEX($AO$2:$BQ$1001,MATCH(ROWS($AH$2:AH388),$AH$2:$AH$1001,0),MATCH(COLUMNS($AO$1006:AW1006),$AO$1006:$BQ$1006,0)), HYPERLINK("#",""), HYPERLINK(CONCATENATE("#Metadata!", ADDRESS(INDEX($AJ$2:$AJ$1001,MATCH(ROWS($AH$2:AH388),$AH$2:$AH$1001,0),0), INDEX($AO$1004:$BQ$1004,1,MATCH(COLUMNS($AO$1006:AW1006),$AO$1006:$BQ$1006,0)))),"Fix")))</f>
        <v>#N/A</v>
      </c>
      <c r="K388" s="5" t="e">
        <f ca="1">IF(OR(INDEX($AI$2:$AI$1001,MATCH(ROWS($AH$2:AH388),$AH$2:$AH$1001,0),1)&gt;=100000,INDEX($AO$1005:$BQ$1005,1,MATCH(COLUMNS($AO$1006:AX1006),$AO$1006:$BQ$1006,0))&gt;=100000), " ",IF(INDEX($AO$2:$BQ$1001,MATCH(ROWS($AH$2:AH388),$AH$2:$AH$1001,0),MATCH(COLUMNS($AO$1006:AX1006),$AO$1006:$BQ$1006,0)), HYPERLINK("#",""), HYPERLINK(CONCATENATE("#Metadata!", ADDRESS(INDEX($AJ$2:$AJ$1001,MATCH(ROWS($AH$2:AH388),$AH$2:$AH$1001,0),0), INDEX($AO$1004:$BQ$1004,1,MATCH(COLUMNS($AO$1006:AX1006),$AO$1006:$BQ$1006,0)))),"Fix")))</f>
        <v>#N/A</v>
      </c>
      <c r="L388" s="5" t="e">
        <f ca="1">IF(OR(INDEX($AI$2:$AI$1001,MATCH(ROWS($AH$2:AH388),$AH$2:$AH$1001,0),1)&gt;=100000,INDEX($AO$1005:$BQ$1005,1,MATCH(COLUMNS($AO$1006:AY1006),$AO$1006:$BQ$1006,0))&gt;=100000), " ",IF(INDEX($AO$2:$BQ$1001,MATCH(ROWS($AH$2:AH388),$AH$2:$AH$1001,0),MATCH(COLUMNS($AO$1006:AY1006),$AO$1006:$BQ$1006,0)), HYPERLINK("#",""), HYPERLINK(CONCATENATE("#Metadata!", ADDRESS(INDEX($AJ$2:$AJ$1001,MATCH(ROWS($AH$2:AH388),$AH$2:$AH$1001,0),0), INDEX($AO$1004:$BQ$1004,1,MATCH(COLUMNS($AO$1006:AY1006),$AO$1006:$BQ$1006,0)))),"Fix")))</f>
        <v>#N/A</v>
      </c>
      <c r="M388" s="5" t="e">
        <f ca="1">IF(OR(INDEX($AI$2:$AI$1001,MATCH(ROWS($AH$2:AH388),$AH$2:$AH$1001,0),1)&gt;=100000,INDEX($AO$1005:$BQ$1005,1,MATCH(COLUMNS($AO$1006:AZ1006),$AO$1006:$BQ$1006,0))&gt;=100000), " ",IF(INDEX($AO$2:$BQ$1001,MATCH(ROWS($AH$2:AH388),$AH$2:$AH$1001,0),MATCH(COLUMNS($AO$1006:AZ1006),$AO$1006:$BQ$1006,0)), HYPERLINK("#",""), HYPERLINK(CONCATENATE("#Metadata!", ADDRESS(INDEX($AJ$2:$AJ$1001,MATCH(ROWS($AH$2:AH388),$AH$2:$AH$1001,0),0), INDEX($AO$1004:$BQ$1004,1,MATCH(COLUMNS($AO$1006:AZ1006),$AO$1006:$BQ$1006,0)))),"Fix")))</f>
        <v>#N/A</v>
      </c>
      <c r="N388" s="5" t="e">
        <f ca="1">IF(OR(INDEX($AI$2:$AI$1001,MATCH(ROWS($AH$2:AH388),$AH$2:$AH$1001,0),1)&gt;=100000,INDEX($AO$1005:$BQ$1005,1,MATCH(COLUMNS($AO$1006:BA1006),$AO$1006:$BQ$1006,0))&gt;=100000), " ",IF(INDEX($AO$2:$BQ$1001,MATCH(ROWS($AH$2:AH388),$AH$2:$AH$1001,0),MATCH(COLUMNS($AO$1006:BA1006),$AO$1006:$BQ$1006,0)), HYPERLINK("#",""), HYPERLINK(CONCATENATE("#Metadata!", ADDRESS(INDEX($AJ$2:$AJ$1001,MATCH(ROWS($AH$2:AH388),$AH$2:$AH$1001,0),0), INDEX($AO$1004:$BQ$1004,1,MATCH(COLUMNS($AO$1006:BA1006),$AO$1006:$BQ$1006,0)))),"Fix")))</f>
        <v>#N/A</v>
      </c>
      <c r="O388" s="5" t="e">
        <f ca="1">IF(OR(INDEX($AI$2:$AI$1001,MATCH(ROWS($AH$2:AH388),$AH$2:$AH$1001,0),1)&gt;=100000,INDEX($AO$1005:$BQ$1005,1,MATCH(COLUMNS($AO$1006:BB1006),$AO$1006:$BQ$1006,0))&gt;=100000), " ",IF(INDEX($AO$2:$BQ$1001,MATCH(ROWS($AH$2:AH388),$AH$2:$AH$1001,0),MATCH(COLUMNS($AO$1006:BB1006),$AO$1006:$BQ$1006,0)), HYPERLINK("#",""), HYPERLINK(CONCATENATE("#Metadata!", ADDRESS(INDEX($AJ$2:$AJ$1001,MATCH(ROWS($AH$2:AH388),$AH$2:$AH$1001,0),0), INDEX($AO$1004:$BQ$1004,1,MATCH(COLUMNS($AO$1006:BB1006),$AO$1006:$BQ$1006,0)))),"Fix")))</f>
        <v>#N/A</v>
      </c>
      <c r="P388" s="5" t="e">
        <f ca="1">IF(OR(INDEX($AI$2:$AI$1001,MATCH(ROWS($AH$2:AH388),$AH$2:$AH$1001,0),1)&gt;=100000,INDEX($AO$1005:$BQ$1005,1,MATCH(COLUMNS($AO$1006:BC1006),$AO$1006:$BQ$1006,0))&gt;=100000), " ",IF(INDEX($AO$2:$BQ$1001,MATCH(ROWS($AH$2:AH388),$AH$2:$AH$1001,0),MATCH(COLUMNS($AO$1006:BC1006),$AO$1006:$BQ$1006,0)), HYPERLINK("#",""), HYPERLINK(CONCATENATE("#Metadata!", ADDRESS(INDEX($AJ$2:$AJ$1001,MATCH(ROWS($AH$2:AH388),$AH$2:$AH$1001,0),0), INDEX($AO$1004:$BQ$1004,1,MATCH(COLUMNS($AO$1006:BC1006),$AO$1006:$BQ$1006,0)))),"Fix")))</f>
        <v>#N/A</v>
      </c>
      <c r="Q388" s="5" t="e">
        <f ca="1">IF(OR(INDEX($AI$2:$AI$1001,MATCH(ROWS($AH$2:AH388),$AH$2:$AH$1001,0),1)&gt;=100000,INDEX($AO$1005:$BQ$1005,1,MATCH(COLUMNS($AO$1006:BD1006),$AO$1006:$BQ$1006,0))&gt;=100000), " ",IF(INDEX($AO$2:$BQ$1001,MATCH(ROWS($AH$2:AH388),$AH$2:$AH$1001,0),MATCH(COLUMNS($AO$1006:BD1006),$AO$1006:$BQ$1006,0)), HYPERLINK("#",""), HYPERLINK(CONCATENATE("#Metadata!", ADDRESS(INDEX($AJ$2:$AJ$1001,MATCH(ROWS($AH$2:AH388),$AH$2:$AH$1001,0),0), INDEX($AO$1004:$BQ$1004,1,MATCH(COLUMNS($AO$1006:BD1006),$AO$1006:$BQ$1006,0)))),"Fix")))</f>
        <v>#N/A</v>
      </c>
      <c r="R388" s="5" t="e">
        <f ca="1">IF(OR(INDEX($AI$2:$AI$1001,MATCH(ROWS($AH$2:AH388),$AH$2:$AH$1001,0),1)&gt;=100000,INDEX($AO$1005:$BQ$1005,1,MATCH(COLUMNS($AO$1006:BE1006),$AO$1006:$BQ$1006,0))&gt;=100000), " ",IF(INDEX($AO$2:$BQ$1001,MATCH(ROWS($AH$2:AH388),$AH$2:$AH$1001,0),MATCH(COLUMNS($AO$1006:BE1006),$AO$1006:$BQ$1006,0)), HYPERLINK("#",""), HYPERLINK(CONCATENATE("#Metadata!", ADDRESS(INDEX($AJ$2:$AJ$1001,MATCH(ROWS($AH$2:AH388),$AH$2:$AH$1001,0),0), INDEX($AO$1004:$BQ$1004,1,MATCH(COLUMNS($AO$1006:BE1006),$AO$1006:$BQ$1006,0)))),"Fix")))</f>
        <v>#N/A</v>
      </c>
      <c r="S388" s="5" t="e">
        <f ca="1">IF(OR(INDEX($AI$2:$AI$1001,MATCH(ROWS($AH$2:AH388),$AH$2:$AH$1001,0),1)&gt;=100000,INDEX($AO$1005:$BQ$1005,1,MATCH(COLUMNS($AO$1006:BF1006),$AO$1006:$BQ$1006,0))&gt;=100000), " ",IF(INDEX($AO$2:$BQ$1001,MATCH(ROWS($AH$2:AH388),$AH$2:$AH$1001,0),MATCH(COLUMNS($AO$1006:BF1006),$AO$1006:$BQ$1006,0)), HYPERLINK("#",""), HYPERLINK(CONCATENATE("#Metadata!", ADDRESS(INDEX($AJ$2:$AJ$1001,MATCH(ROWS($AH$2:AH388),$AH$2:$AH$1001,0),0), INDEX($AO$1004:$BQ$1004,1,MATCH(COLUMNS($AO$1006:BF1006),$AO$1006:$BQ$1006,0)))),"Fix")))</f>
        <v>#N/A</v>
      </c>
      <c r="T388" s="5" t="e">
        <f ca="1">IF(OR(INDEX($AI$2:$AI$1001,MATCH(ROWS($AH$2:AH388),$AH$2:$AH$1001,0),1)&gt;=100000,INDEX($AO$1005:$BQ$1005,1,MATCH(COLUMNS($AO$1006:BG1006),$AO$1006:$BQ$1006,0))&gt;=100000), " ",IF(INDEX($AO$2:$BQ$1001,MATCH(ROWS($AH$2:AH388),$AH$2:$AH$1001,0),MATCH(COLUMNS($AO$1006:BG1006),$AO$1006:$BQ$1006,0)), HYPERLINK("#",""), HYPERLINK(CONCATENATE("#Metadata!", ADDRESS(INDEX($AJ$2:$AJ$1001,MATCH(ROWS($AH$2:AH388),$AH$2:$AH$1001,0),0), INDEX($AO$1004:$BQ$1004,1,MATCH(COLUMNS($AO$1006:BG1006),$AO$1006:$BQ$1006,0)))),"Fix")))</f>
        <v>#N/A</v>
      </c>
      <c r="U388" s="5" t="e">
        <f ca="1">IF(OR(INDEX($AI$2:$AI$1001,MATCH(ROWS($AH$2:AH388),$AH$2:$AH$1001,0),1)&gt;=100000,INDEX($AO$1005:$BQ$1005,1,MATCH(COLUMNS($AO$1006:BH1006),$AO$1006:$BQ$1006,0))&gt;=100000), " ",IF(INDEX($AO$2:$BQ$1001,MATCH(ROWS($AH$2:AH388),$AH$2:$AH$1001,0),MATCH(COLUMNS($AO$1006:BH1006),$AO$1006:$BQ$1006,0)), HYPERLINK("#",""), HYPERLINK(CONCATENATE("#Metadata!", ADDRESS(INDEX($AJ$2:$AJ$1001,MATCH(ROWS($AH$2:AH388),$AH$2:$AH$1001,0),0), INDEX($AO$1004:$BQ$1004,1,MATCH(COLUMNS($AO$1006:BH1006),$AO$1006:$BQ$1006,0)))),"Fix")))</f>
        <v>#N/A</v>
      </c>
      <c r="V388" s="5" t="e">
        <f ca="1">IF(OR(INDEX($AI$2:$AI$1001,MATCH(ROWS($AH$2:AH388),$AH$2:$AH$1001,0),1)&gt;=100000,INDEX($AO$1005:$BQ$1005,1,MATCH(COLUMNS($AO$1006:BI1006),$AO$1006:$BQ$1006,0))&gt;=100000), " ",IF(INDEX($AO$2:$BQ$1001,MATCH(ROWS($AH$2:AH388),$AH$2:$AH$1001,0),MATCH(COLUMNS($AO$1006:BI1006),$AO$1006:$BQ$1006,0)), HYPERLINK("#",""), HYPERLINK(CONCATENATE("#Metadata!", ADDRESS(INDEX($AJ$2:$AJ$1001,MATCH(ROWS($AH$2:AH388),$AH$2:$AH$1001,0),0), INDEX($AO$1004:$BQ$1004,1,MATCH(COLUMNS($AO$1006:BI1006),$AO$1006:$BQ$1006,0)))),"Fix")))</f>
        <v>#N/A</v>
      </c>
      <c r="W388" s="5" t="e">
        <f ca="1">IF(OR(INDEX($AI$2:$AI$1001,MATCH(ROWS($AH$2:AH388),$AH$2:$AH$1001,0),1)&gt;=100000,INDEX($AO$1005:$BQ$1005,1,MATCH(COLUMNS($AO$1006:BJ1006),$AO$1006:$BQ$1006,0))&gt;=100000), " ",IF(INDEX($AO$2:$BQ$1001,MATCH(ROWS($AH$2:AH388),$AH$2:$AH$1001,0),MATCH(COLUMNS($AO$1006:BJ1006),$AO$1006:$BQ$1006,0)), HYPERLINK("#",""), HYPERLINK(CONCATENATE("#Metadata!", ADDRESS(INDEX($AJ$2:$AJ$1001,MATCH(ROWS($AH$2:AH388),$AH$2:$AH$1001,0),0), INDEX($AO$1004:$BQ$1004,1,MATCH(COLUMNS($AO$1006:BJ1006),$AO$1006:$BQ$1006,0)))),"Fix")))</f>
        <v>#N/A</v>
      </c>
      <c r="X388" s="5" t="e">
        <f ca="1">IF(OR(INDEX($AI$2:$AI$1001,MATCH(ROWS($AH$2:AH388),$AH$2:$AH$1001,0),1)&gt;=100000,INDEX($AO$1005:$BQ$1005,1,MATCH(COLUMNS($AO$1006:BK1006),$AO$1006:$BQ$1006,0))&gt;=100000), " ",IF(INDEX($AO$2:$BQ$1001,MATCH(ROWS($AH$2:AH388),$AH$2:$AH$1001,0),MATCH(COLUMNS($AO$1006:BK1006),$AO$1006:$BQ$1006,0)), HYPERLINK("#",""), HYPERLINK(CONCATENATE("#Metadata!", ADDRESS(INDEX($AJ$2:$AJ$1001,MATCH(ROWS($AH$2:AH388),$AH$2:$AH$1001,0),0), INDEX($AO$1004:$BQ$1004,1,MATCH(COLUMNS($AO$1006:BK1006),$AO$1006:$BQ$1006,0)))),"Fix")))</f>
        <v>#N/A</v>
      </c>
      <c r="Y388" s="5" t="e">
        <f ca="1">IF(OR(INDEX($AI$2:$AI$1001,MATCH(ROWS($AH$2:AH388),$AH$2:$AH$1001,0),1)&gt;=100000,INDEX($AO$1005:$BQ$1005,1,MATCH(COLUMNS($AO$1006:BL1006),$AO$1006:$BQ$1006,0))&gt;=100000), " ",IF(INDEX($AO$2:$BQ$1001,MATCH(ROWS($AH$2:AH388),$AH$2:$AH$1001,0),MATCH(COLUMNS($AO$1006:BL1006),$AO$1006:$BQ$1006,0)), HYPERLINK("#",""), HYPERLINK(CONCATENATE("#Metadata!", ADDRESS(INDEX($AJ$2:$AJ$1001,MATCH(ROWS($AH$2:AH388),$AH$2:$AH$1001,0),0), INDEX($AO$1004:$BQ$1004,1,MATCH(COLUMNS($AO$1006:BL1006),$AO$1006:$BQ$1006,0)))),"Fix")))</f>
        <v>#N/A</v>
      </c>
      <c r="Z388" s="5" t="e">
        <f ca="1">IF(OR(INDEX($AI$2:$AI$1001,MATCH(ROWS($AH$2:AH388),$AH$2:$AH$1001,0),1)&gt;=100000,INDEX($AO$1005:$BQ$1005,1,MATCH(COLUMNS($AO$1006:BM1006),$AO$1006:$BQ$1006,0))&gt;=100000), " ",IF(INDEX($AO$2:$BQ$1001,MATCH(ROWS($AH$2:AH388),$AH$2:$AH$1001,0),MATCH(COLUMNS($AO$1006:BM1006),$AO$1006:$BQ$1006,0)), HYPERLINK("#",""), HYPERLINK(CONCATENATE("#Metadata!", ADDRESS(INDEX($AJ$2:$AJ$1001,MATCH(ROWS($AH$2:AH388),$AH$2:$AH$1001,0),0), INDEX($AO$1004:$BQ$1004,1,MATCH(COLUMNS($AO$1006:BM1006),$AO$1006:$BQ$1006,0)))),"Fix")))</f>
        <v>#N/A</v>
      </c>
      <c r="AA388" s="5" t="e">
        <f ca="1">IF(OR(INDEX($AI$2:$AI$1001,MATCH(ROWS($AH$2:AH388),$AH$2:$AH$1001,0),1)&gt;=100000,INDEX($AO$1005:$BQ$1005,1,MATCH(COLUMNS($AO$1006:BN1006),$AO$1006:$BQ$1006,0))&gt;=100000), " ",IF(INDEX($AO$2:$BQ$1001,MATCH(ROWS($AH$2:AH388),$AH$2:$AH$1001,0),MATCH(COLUMNS($AO$1006:BN1006),$AO$1006:$BQ$1006,0)), HYPERLINK("#",""), HYPERLINK(CONCATENATE("#Metadata!", ADDRESS(INDEX($AJ$2:$AJ$1001,MATCH(ROWS($AH$2:AH388),$AH$2:$AH$1001,0),0), INDEX($AO$1004:$BQ$1004,1,MATCH(COLUMNS($AO$1006:BN1006),$AO$1006:$BQ$1006,0)))),"Fix")))</f>
        <v>#N/A</v>
      </c>
      <c r="AB388" s="5" t="e">
        <f ca="1">IF(OR(INDEX($AI$2:$AI$1001,MATCH(ROWS($AH$2:AH388),$AH$2:$AH$1001,0),1)&gt;=100000,INDEX($AO$1005:$BQ$1005,1,MATCH(COLUMNS($AO$1006:BO1006),$AO$1006:$BQ$1006,0))&gt;=100000), " ",IF(INDEX($AO$2:$BQ$1001,MATCH(ROWS($AH$2:AH388),$AH$2:$AH$1001,0),MATCH(COLUMNS($AO$1006:BO1006),$AO$1006:$BQ$1006,0)), HYPERLINK("#",""), HYPERLINK(CONCATENATE("#Metadata!", ADDRESS(INDEX($AJ$2:$AJ$1001,MATCH(ROWS($AH$2:AH388),$AH$2:$AH$1001,0),0), INDEX($AO$1004:$BQ$1004,1,MATCH(COLUMNS($AO$1006:BO1006),$AO$1006:$BQ$1006,0)))),"Fix")))</f>
        <v>#N/A</v>
      </c>
      <c r="AC388" s="5" t="e">
        <f ca="1">IF(OR(INDEX($AI$2:$AI$1001,MATCH(ROWS($AH$2:AH388),$AH$2:$AH$1001,0),1)&gt;=100000,INDEX($AO$1005:$BQ$1005,1,MATCH(COLUMNS($AO$1006:BP1006),$AO$1006:$BQ$1006,0))&gt;=100000), " ",IF(INDEX($AO$2:$BQ$1001,MATCH(ROWS($AH$2:AH388),$AH$2:$AH$1001,0),MATCH(COLUMNS($AO$1006:BP1006),$AO$1006:$BQ$1006,0)), HYPERLINK("#",""), HYPERLINK(CONCATENATE("#Metadata!", ADDRESS(INDEX($AJ$2:$AJ$1001,MATCH(ROWS($AH$2:AH388),$AH$2:$AH$1001,0),0), INDEX($AO$1004:$BQ$1004,1,MATCH(COLUMNS($AO$1006:BP1006),$AO$1006:$BQ$1006,0)))),"Fix")))</f>
        <v>#N/A</v>
      </c>
      <c r="AD388" s="5" t="e">
        <f ca="1">IF(OR(INDEX($AI$2:$AI$1001,MATCH(ROWS($AH$2:AH388),$AH$2:$AH$1001,0),1)&gt;=100000,INDEX($AO$1005:$BQ$1005,1,MATCH(COLUMNS($AO$1006:BQ1006),$AO$1006:$BQ$1006,0))&gt;=100000), " ",IF(INDEX($AO$2:$BQ$1001,MATCH(ROWS($AH$2:AH388),$AH$2:$AH$1001,0),MATCH(COLUMNS($AO$1006:BQ1006),$AO$1006:$BQ$1006,0)), HYPERLINK("#",""), HYPERLINK(CONCATENATE("#Metadata!", ADDRESS(INDEX($AJ$2:$AJ$1001,MATCH(ROWS($AH$2:AH388),$AH$2:$AH$1001,0),0), INDEX($AO$1004:$BQ$1004,1,MATCH(COLUMNS($AO$1006:BQ1006),$AO$1006:$BQ$1006,0)))),"Fix")))</f>
        <v>#REF!</v>
      </c>
      <c r="AH388">
        <f ca="1"/>
        <v>385</v>
      </c>
      <c r="AI388">
        <v>100388</v>
      </c>
      <c r="AJ388">
        <v>388</v>
      </c>
      <c r="AK388" t="b">
        <f t="shared" si="6"/>
        <v>1</v>
      </c>
      <c r="AL388" t="b">
        <f>COUNTBLANK(Metadata!B388:AD388)=COLUMNS(Metadata!B388:AD388)</f>
        <v>1</v>
      </c>
      <c r="AM388" t="str">
        <v/>
      </c>
      <c r="AO388" t="b">
        <f ca="1">AND(IF(Metadata!B388="",FALSE,TRUE),COUNTIF(Metadata!B:B, Metadata!B388) = 1,NOT(ISERROR(SUMPRODUCT(SEARCH(MID(Metadata!B388,ROW(INDIRECT("1:"&amp;LEN(Metadata!B388))), 1),"0123456789abcdefghijklmnopqrstuvwxyzABCDEFGHIJKLMNOPQRSTUVWXYZ.")))))</f>
        <v>0</v>
      </c>
      <c r="AP388" t="b">
        <f>IF(Metadata!C388="",FALSE,TRUE)</f>
        <v>0</v>
      </c>
      <c r="AQ388" t="b">
        <f>IF(Metadata!D388="",FALSE,TRUE)</f>
        <v>0</v>
      </c>
      <c r="AR388" t="b">
        <f ca="1">OR(AND(IF(Metadata!E388="",FALSE,TRUE),OR(EXACT(Metadata!E388,"not collected"),EXACT(Metadata!E388,"not provided"),EXACT(Metadata!E388,"restricted access"))),AND(IF(Metadata!E388="",FALSE,TRUE),AND(AND(IFERROR(INT(LEFT(Metadata!E388,4))&gt;1900,FALSE),IFERROR(INT(LEFT(Metadata!E388,4))&lt;=YEAR(NOW()),FALSE)), OR(MID(Metadata!E388,5,1)="", AND(AND(MID(Metadata!E388,5,1)="-",IFERROR(INT(MID(Metadata!E388,6,1))&gt;=0,FALSE),IFERROR(INT(MID(Metadata!E388,6,1))&lt;=1,FALSE),NOT(MID(Metadata!E388,7,1)=""),IFERROR(INT(MID(Metadata!E388,6,2))&gt;=1,FALSE),IFERROR(INT(MID(Metadata!E388,6,2))&lt;=12,FALSE)), OR(MID(Metadata!E388,8,1)="", AND(AND(MID(Metadata!E388,8,1)="-",IFERROR(INT(MID(Metadata!E388,9,1))&gt;=0,FALSE),IFERROR(INT(MID(Metadata!E388,9,1))&lt;=3,FALSE),NOT(MID(Metadata!E388,10,1)=""),IFERROR(INT(MID(Metadata!E388,9,2))&gt;=1,FALSE),IFERROR(INT(MID(Metadata!E388,9,2))&lt;=31,FALSE)), OR(MID(Metadata!E388,11,1)="", AND(AND(MID(Metadata!E388,11,1)=" ",IFERROR(INT(MID(Metadata!E388,12,1))&gt;=0,FALSE),IFERROR(INT(MID(Metadata!E388,12,1))&lt;=2,FALSE),NOT(MID(Metadata!E388,13,1)=""),IFERROR(INT(MID(Metadata!E388,12,2))&gt;=0,FALSE),IFERROR(INT(MID(Metadata!E388,12,2))&lt;=23,FALSE)), OR(MID(Metadata!E388,14,1)="", AND(AND(MID(Metadata!E388,14,1)=":",IFERROR(INT(MID(Metadata!E388,15,1))&gt;=0,FALSE),IFERROR(INT(MID(Metadata!E388,15,1))&lt;=5,FALSE),NOT(MID(Metadata!E388,16,1)=""),IFERROR(INT(MID(Metadata!E388,15,2))&gt;=0,FALSE),IFERROR(INT(MID(Metadata!E388,15,2))&lt;=59,FALSE)), OR(MID(Metadata!E388,17,1)="", AND(AND(MID(Metadata!E388,17,1)=":",IFERROR(INT(MID(Metadata!E388,18,1))&gt;=0,FALSE),IFERROR(INT(MID(Metadata!E388,18,1))&lt;=5,FALSE),NOT(MID(Metadata!E388,19,1)=""),IFERROR(INT(MID(Metadata!E388,18,2))&gt;=0,FALSE),IFERROR(INT(MID(Metadata!E388,18,2))&lt;=59,FALSE)), LEN(Metadata!E388)&lt;=19)))))))))))))</f>
        <v>0</v>
      </c>
      <c r="AS388" t="b">
        <f>IF(Metadata!F388="",FALSE,TRUE)</f>
        <v>0</v>
      </c>
      <c r="AT388" t="b">
        <f>OR(AND(IF(Metadata!G388="",FALSE,TRUE),OR(EXACT(Metadata!G388,"not collected"),EXACT(Metadata!G388,"not provided"))),AND(IF(Metadata!G388="",FALSE,TRUE),OR(EXACT(Metadata!G388,"TRUE"),EXACT(Metadata!G388,"FALSE"))))</f>
        <v>0</v>
      </c>
      <c r="AU388" t="b">
        <f>OR(AND(IF(Metadata!H388="",FALSE,TRUE),OR(EXACT(Metadata!H388,"not collected"),EXACT(Metadata!H388,"not provided"),EXACT(Metadata!H388,"restricted access"))),AND(IF(Metadata!H388="",FALSE,ISNUMBER(VALUE(Metadata!H388))),Metadata!H388&gt;=-413))</f>
        <v>0</v>
      </c>
      <c r="AV388" t="b">
        <f>AND(IF(Metadata!I388="",FALSE,TRUE),EXACT(Metadata!I388,"meters"))</f>
        <v>0</v>
      </c>
      <c r="AW388" t="b">
        <f>AND(IF(Metadata!J388="",FALSE,TRUE),EXACT(Metadata!J388,"free-living"))</f>
        <v>0</v>
      </c>
      <c r="AX388" t="b">
        <f>AND(IF(Metadata!K388="",FALSE,TRUE),OR(EXACT(Metadata!K388,"saline"),EXACT(Metadata!K388,"non-saline")))</f>
        <v>0</v>
      </c>
      <c r="AY388" t="b">
        <f>AND(IF(Metadata!L388="",FALSE,TRUE),OR(EXACT(Metadata!L388,"sub-surface (non-saline)"),EXACT(Metadata!L388,"surface (non-saline)"),EXACT(Metadata!L388,"water (non-saline)"),EXACT(Metadata!L388,"soil (non-saline)"),EXACT(Metadata!L388,"aerosol (non-saline)"),EXACT(Metadata!L388,"sediment (non-saline)"),EXACT(Metadata!L388,"surface (saline)"),EXACT(Metadata!L388,"water (saline)"),EXACT(Metadata!L388,"hypersaline (saline)"),EXACT(Metadata!L388,"aerosol (saline)"),EXACT(Metadata!L388,"sediment (saline)")))</f>
        <v>0</v>
      </c>
      <c r="AZ388" t="b">
        <f>IF(Metadata!M388="",FALSE,TRUE)</f>
        <v>0</v>
      </c>
      <c r="BA388" t="b">
        <f>IF(Metadata!N388="",FALSE,TRUE)</f>
        <v>0</v>
      </c>
      <c r="BB388" t="b">
        <f>IF(Metadata!O388="",FALSE,TRUE)</f>
        <v>0</v>
      </c>
      <c r="BC388" t="b">
        <f>AND(IF(Metadata!P388="",FALSE,TRUE),OR(EXACT(Metadata!P388,"air"),EXACT(Metadata!P388,"microbial mat/biofilm"),EXACT(Metadata!P388,"misc environment"),EXACT(Metadata!P388,"sediment"),EXACT(Metadata!P388,"soil"),EXACT(Metadata!P388,"wastewater/sludge"),EXACT(Metadata!P388,"water")))</f>
        <v>0</v>
      </c>
      <c r="BD388" t="b">
        <f>IF(Metadata!Q388="",FALSE,TRUE)</f>
        <v>0</v>
      </c>
      <c r="BE388" t="b">
        <f>IF(Metadata!R388="",FALSE,TRUE)</f>
        <v>0</v>
      </c>
      <c r="BF388" t="b">
        <f>OR(AND(IF(Metadata!S388="",FALSE,TRUE),OR(EXACT(Metadata!S388,"not collected"),EXACT(Metadata!S388,"not provided"),EXACT(Metadata!S388,"restricted access"))),AND(IF(Metadata!S388="",FALSE,ISNUMBER(VALUE(Metadata!S388))),Metadata!S388&gt;=-90,Metadata!S388&lt;=90))</f>
        <v>0</v>
      </c>
      <c r="BG388" t="b">
        <f>AND(IF(Metadata!T388="",FALSE,TRUE),EXACT(Metadata!T388,"Decimal degrees"))</f>
        <v>0</v>
      </c>
      <c r="BH388" t="b">
        <f>OR(AND(IF(Metadata!U388="",FALSE,TRUE),OR(EXACT(Metadata!U388,"not applicable"),EXACT(Metadata!U388,"not collected"))),IF(Metadata!U388="",FALSE,TRUE))</f>
        <v>0</v>
      </c>
      <c r="BI388" t="b">
        <f>OR(AND(IF(Metadata!V388="",FALSE,TRUE),OR(EXACT(Metadata!V388,"not collected"),EXACT(Metadata!V388,"not provided"),EXACT(Metadata!V388,"restricted access"))),AND(IF(Metadata!V388="",FALSE,ISNUMBER(VALUE(Metadata!V388))),Metadata!V388&gt;=-180,Metadata!V388&lt;=180))</f>
        <v>0</v>
      </c>
      <c r="BJ388" t="b">
        <f>AND(IF(Metadata!W388="",FALSE,TRUE),EXACT(Metadata!W388,"Decimal degrees"))</f>
        <v>0</v>
      </c>
      <c r="BK388" t="b">
        <f>IF(Metadata!X388="",FALSE,TRUE)</f>
        <v>0</v>
      </c>
      <c r="BL388" t="b">
        <f>OR(AND(IF(Metadata!Y388="",FALSE,TRUE),OR(EXACT(Metadata!Y388,"not collected"),EXACT(Metadata!Y388,"not provided"),EXACT(Metadata!Y388,"restricted access"))),AND(IF(Metadata!Y388="",FALSE,TRUE),OR(EXACT(Metadata!Y388,"TRUE"),EXACT(Metadata!Y388,"FALSE"))))</f>
        <v>0</v>
      </c>
      <c r="BM388" t="b">
        <f>OR(AND(IF(Metadata!Z388="",FALSE,TRUE),EXACT(Metadata!Z388,"not applicable")),AND(IF(Metadata!Z388="",FALSE,TRUE),OR(EXACT(Metadata!Z388,"beer"),EXACT(Metadata!Z388,"cheese"),EXACT(Metadata!Z388,"fresh water"),EXACT(Metadata!Z388,"marine sediment"),EXACT(Metadata!Z388,"sea water"),EXACT(Metadata!Z388,"sediment"),EXACT(Metadata!Z388,"soil"),EXACT(Metadata!Z388,"waste water"))))</f>
        <v>0</v>
      </c>
      <c r="BN388" t="b">
        <f>AND(IF(Metadata!AA388="",FALSE,TRUE),EXACT(Metadata!AA388,"metagenome"))</f>
        <v>0</v>
      </c>
      <c r="BO388" t="b">
        <f>AND(IF(Metadata!AB388="",FALSE,TRUE),EXACT(Metadata!AB388,"256318"))</f>
        <v>0</v>
      </c>
      <c r="BP388" t="b">
        <f>IF(Metadata!AC388="",FALSE,TRUE)</f>
        <v>0</v>
      </c>
      <c r="BQ388" t="b">
        <f>IF(Metadata!AD388="",FALSE,TRUE)</f>
        <v>0</v>
      </c>
    </row>
    <row r="389" spans="1:69" x14ac:dyDescent="0.2">
      <c r="A389" s="4" t="e">
        <f ca="1">IF(B389=" "," ",HYPERLINK(CONCATENATE("#metadata!",ADDRESS(INDEX($AJ$2:$AJ$1001,MATCH(ROWS($AH$2:AH389),$AH$2:$AH$1001,0),0),2)),INDEX($AM$2:$AM$1001,MATCH(ROWS($AH$2:AH389),$AH$2:$AH$1001,0),0)))</f>
        <v>#N/A</v>
      </c>
      <c r="B389" s="5" t="e">
        <f ca="1">IF(OR(INDEX($AI$2:$AI$1001,MATCH(ROWS($AH$2:AH389),$AH$2:$AH$1001,0),1)&gt;=100000,INDEX($AO$1005:$BQ$1005,1,MATCH(COLUMNS($AO$1006:AO1006),$AO$1006:$BQ$1006,0))&gt;=100000), " ",IF(INDEX($AO$2:$BQ$1001,MATCH(ROWS($AH$2:AH389),$AH$2:$AH$1001,0),MATCH(COLUMNS($AO$1006:AO1006),$AO$1006:$BQ$1006,0)), HYPERLINK("#",""), HYPERLINK(CONCATENATE("#Metadata!", ADDRESS(INDEX($AJ$2:$AJ$1001,MATCH(ROWS($AH$2:AH389),$AH$2:$AH$1001,0),0), INDEX($AO$1004:$BQ$1004,1,MATCH(COLUMNS($AO$1006:AO1006),$AO$1006:$BQ$1006,0)))),"Fix")))</f>
        <v>#N/A</v>
      </c>
      <c r="C389" s="5" t="e">
        <f ca="1">IF(OR(INDEX($AI$2:$AI$1001,MATCH(ROWS($AH$2:AH389),$AH$2:$AH$1001,0),1)&gt;=100000,INDEX($AO$1005:$BQ$1005,1,MATCH(COLUMNS($AO$1006:AP1006),$AO$1006:$BQ$1006,0))&gt;=100000), " ",IF(INDEX($AO$2:$BQ$1001,MATCH(ROWS($AH$2:AH389),$AH$2:$AH$1001,0),MATCH(COLUMNS($AO$1006:AP1006),$AO$1006:$BQ$1006,0)), HYPERLINK("#",""), HYPERLINK(CONCATENATE("#Metadata!", ADDRESS(INDEX($AJ$2:$AJ$1001,MATCH(ROWS($AH$2:AH389),$AH$2:$AH$1001,0),0), INDEX($AO$1004:$BQ$1004,1,MATCH(COLUMNS($AO$1006:AP1006),$AO$1006:$BQ$1006,0)))),"Fix")))</f>
        <v>#N/A</v>
      </c>
      <c r="D389" s="5" t="e">
        <f ca="1">IF(OR(INDEX($AI$2:$AI$1001,MATCH(ROWS($AH$2:AH389),$AH$2:$AH$1001,0),1)&gt;=100000,INDEX($AO$1005:$BQ$1005,1,MATCH(COLUMNS($AO$1006:AQ1006),$AO$1006:$BQ$1006,0))&gt;=100000), " ",IF(INDEX($AO$2:$BQ$1001,MATCH(ROWS($AH$2:AH389),$AH$2:$AH$1001,0),MATCH(COLUMNS($AO$1006:AQ1006),$AO$1006:$BQ$1006,0)), HYPERLINK("#",""), HYPERLINK(CONCATENATE("#Metadata!", ADDRESS(INDEX($AJ$2:$AJ$1001,MATCH(ROWS($AH$2:AH389),$AH$2:$AH$1001,0),0), INDEX($AO$1004:$BQ$1004,1,MATCH(COLUMNS($AO$1006:AQ1006),$AO$1006:$BQ$1006,0)))),"Fix")))</f>
        <v>#N/A</v>
      </c>
      <c r="E389" s="5" t="e">
        <f ca="1">IF(OR(INDEX($AI$2:$AI$1001,MATCH(ROWS($AH$2:AH389),$AH$2:$AH$1001,0),1)&gt;=100000,INDEX($AO$1005:$BQ$1005,1,MATCH(COLUMNS($AO$1006:AR1006),$AO$1006:$BQ$1006,0))&gt;=100000), " ",IF(INDEX($AO$2:$BQ$1001,MATCH(ROWS($AH$2:AH389),$AH$2:$AH$1001,0),MATCH(COLUMNS($AO$1006:AR1006),$AO$1006:$BQ$1006,0)), HYPERLINK("#",""), HYPERLINK(CONCATENATE("#Metadata!", ADDRESS(INDEX($AJ$2:$AJ$1001,MATCH(ROWS($AH$2:AH389),$AH$2:$AH$1001,0),0), INDEX($AO$1004:$BQ$1004,1,MATCH(COLUMNS($AO$1006:AR1006),$AO$1006:$BQ$1006,0)))),"Fix")))</f>
        <v>#N/A</v>
      </c>
      <c r="F389" s="5" t="e">
        <f ca="1">IF(OR(INDEX($AI$2:$AI$1001,MATCH(ROWS($AH$2:AH389),$AH$2:$AH$1001,0),1)&gt;=100000,INDEX($AO$1005:$BQ$1005,1,MATCH(COLUMNS($AO$1006:AS1006),$AO$1006:$BQ$1006,0))&gt;=100000), " ",IF(INDEX($AO$2:$BQ$1001,MATCH(ROWS($AH$2:AH389),$AH$2:$AH$1001,0),MATCH(COLUMNS($AO$1006:AS1006),$AO$1006:$BQ$1006,0)), HYPERLINK("#",""), HYPERLINK(CONCATENATE("#Metadata!", ADDRESS(INDEX($AJ$2:$AJ$1001,MATCH(ROWS($AH$2:AH389),$AH$2:$AH$1001,0),0), INDEX($AO$1004:$BQ$1004,1,MATCH(COLUMNS($AO$1006:AS1006),$AO$1006:$BQ$1006,0)))),"Fix")))</f>
        <v>#N/A</v>
      </c>
      <c r="G389" s="5" t="e">
        <f ca="1">IF(OR(INDEX($AI$2:$AI$1001,MATCH(ROWS($AH$2:AH389),$AH$2:$AH$1001,0),1)&gt;=100000,INDEX($AO$1005:$BQ$1005,1,MATCH(COLUMNS($AO$1006:AT1006),$AO$1006:$BQ$1006,0))&gt;=100000), " ",IF(INDEX($AO$2:$BQ$1001,MATCH(ROWS($AH$2:AH389),$AH$2:$AH$1001,0),MATCH(COLUMNS($AO$1006:AT1006),$AO$1006:$BQ$1006,0)), HYPERLINK("#",""), HYPERLINK(CONCATENATE("#Metadata!", ADDRESS(INDEX($AJ$2:$AJ$1001,MATCH(ROWS($AH$2:AH389),$AH$2:$AH$1001,0),0), INDEX($AO$1004:$BQ$1004,1,MATCH(COLUMNS($AO$1006:AT1006),$AO$1006:$BQ$1006,0)))),"Fix")))</f>
        <v>#N/A</v>
      </c>
      <c r="H389" s="5" t="e">
        <f ca="1">IF(OR(INDEX($AI$2:$AI$1001,MATCH(ROWS($AH$2:AH389),$AH$2:$AH$1001,0),1)&gt;=100000,INDEX($AO$1005:$BQ$1005,1,MATCH(COLUMNS($AO$1006:AU1006),$AO$1006:$BQ$1006,0))&gt;=100000), " ",IF(INDEX($AO$2:$BQ$1001,MATCH(ROWS($AH$2:AH389),$AH$2:$AH$1001,0),MATCH(COLUMNS($AO$1006:AU1006),$AO$1006:$BQ$1006,0)), HYPERLINK("#",""), HYPERLINK(CONCATENATE("#Metadata!", ADDRESS(INDEX($AJ$2:$AJ$1001,MATCH(ROWS($AH$2:AH389),$AH$2:$AH$1001,0),0), INDEX($AO$1004:$BQ$1004,1,MATCH(COLUMNS($AO$1006:AU1006),$AO$1006:$BQ$1006,0)))),"Fix")))</f>
        <v>#N/A</v>
      </c>
      <c r="I389" s="5" t="e">
        <f ca="1">IF(OR(INDEX($AI$2:$AI$1001,MATCH(ROWS($AH$2:AH389),$AH$2:$AH$1001,0),1)&gt;=100000,INDEX($AO$1005:$BQ$1005,1,MATCH(COLUMNS($AO$1006:AV1006),$AO$1006:$BQ$1006,0))&gt;=100000), " ",IF(INDEX($AO$2:$BQ$1001,MATCH(ROWS($AH$2:AH389),$AH$2:$AH$1001,0),MATCH(COLUMNS($AO$1006:AV1006),$AO$1006:$BQ$1006,0)), HYPERLINK("#",""), HYPERLINK(CONCATENATE("#Metadata!", ADDRESS(INDEX($AJ$2:$AJ$1001,MATCH(ROWS($AH$2:AH389),$AH$2:$AH$1001,0),0), INDEX($AO$1004:$BQ$1004,1,MATCH(COLUMNS($AO$1006:AV1006),$AO$1006:$BQ$1006,0)))),"Fix")))</f>
        <v>#N/A</v>
      </c>
      <c r="J389" s="5" t="e">
        <f ca="1">IF(OR(INDEX($AI$2:$AI$1001,MATCH(ROWS($AH$2:AH389),$AH$2:$AH$1001,0),1)&gt;=100000,INDEX($AO$1005:$BQ$1005,1,MATCH(COLUMNS($AO$1006:AW1006),$AO$1006:$BQ$1006,0))&gt;=100000), " ",IF(INDEX($AO$2:$BQ$1001,MATCH(ROWS($AH$2:AH389),$AH$2:$AH$1001,0),MATCH(COLUMNS($AO$1006:AW1006),$AO$1006:$BQ$1006,0)), HYPERLINK("#",""), HYPERLINK(CONCATENATE("#Metadata!", ADDRESS(INDEX($AJ$2:$AJ$1001,MATCH(ROWS($AH$2:AH389),$AH$2:$AH$1001,0),0), INDEX($AO$1004:$BQ$1004,1,MATCH(COLUMNS($AO$1006:AW1006),$AO$1006:$BQ$1006,0)))),"Fix")))</f>
        <v>#N/A</v>
      </c>
      <c r="K389" s="5" t="e">
        <f ca="1">IF(OR(INDEX($AI$2:$AI$1001,MATCH(ROWS($AH$2:AH389),$AH$2:$AH$1001,0),1)&gt;=100000,INDEX($AO$1005:$BQ$1005,1,MATCH(COLUMNS($AO$1006:AX1006),$AO$1006:$BQ$1006,0))&gt;=100000), " ",IF(INDEX($AO$2:$BQ$1001,MATCH(ROWS($AH$2:AH389),$AH$2:$AH$1001,0),MATCH(COLUMNS($AO$1006:AX1006),$AO$1006:$BQ$1006,0)), HYPERLINK("#",""), HYPERLINK(CONCATENATE("#Metadata!", ADDRESS(INDEX($AJ$2:$AJ$1001,MATCH(ROWS($AH$2:AH389),$AH$2:$AH$1001,0),0), INDEX($AO$1004:$BQ$1004,1,MATCH(COLUMNS($AO$1006:AX1006),$AO$1006:$BQ$1006,0)))),"Fix")))</f>
        <v>#N/A</v>
      </c>
      <c r="L389" s="5" t="e">
        <f ca="1">IF(OR(INDEX($AI$2:$AI$1001,MATCH(ROWS($AH$2:AH389),$AH$2:$AH$1001,0),1)&gt;=100000,INDEX($AO$1005:$BQ$1005,1,MATCH(COLUMNS($AO$1006:AY1006),$AO$1006:$BQ$1006,0))&gt;=100000), " ",IF(INDEX($AO$2:$BQ$1001,MATCH(ROWS($AH$2:AH389),$AH$2:$AH$1001,0),MATCH(COLUMNS($AO$1006:AY1006),$AO$1006:$BQ$1006,0)), HYPERLINK("#",""), HYPERLINK(CONCATENATE("#Metadata!", ADDRESS(INDEX($AJ$2:$AJ$1001,MATCH(ROWS($AH$2:AH389),$AH$2:$AH$1001,0),0), INDEX($AO$1004:$BQ$1004,1,MATCH(COLUMNS($AO$1006:AY1006),$AO$1006:$BQ$1006,0)))),"Fix")))</f>
        <v>#N/A</v>
      </c>
      <c r="M389" s="5" t="e">
        <f ca="1">IF(OR(INDEX($AI$2:$AI$1001,MATCH(ROWS($AH$2:AH389),$AH$2:$AH$1001,0),1)&gt;=100000,INDEX($AO$1005:$BQ$1005,1,MATCH(COLUMNS($AO$1006:AZ1006),$AO$1006:$BQ$1006,0))&gt;=100000), " ",IF(INDEX($AO$2:$BQ$1001,MATCH(ROWS($AH$2:AH389),$AH$2:$AH$1001,0),MATCH(COLUMNS($AO$1006:AZ1006),$AO$1006:$BQ$1006,0)), HYPERLINK("#",""), HYPERLINK(CONCATENATE("#Metadata!", ADDRESS(INDEX($AJ$2:$AJ$1001,MATCH(ROWS($AH$2:AH389),$AH$2:$AH$1001,0),0), INDEX($AO$1004:$BQ$1004,1,MATCH(COLUMNS($AO$1006:AZ1006),$AO$1006:$BQ$1006,0)))),"Fix")))</f>
        <v>#N/A</v>
      </c>
      <c r="N389" s="5" t="e">
        <f ca="1">IF(OR(INDEX($AI$2:$AI$1001,MATCH(ROWS($AH$2:AH389),$AH$2:$AH$1001,0),1)&gt;=100000,INDEX($AO$1005:$BQ$1005,1,MATCH(COLUMNS($AO$1006:BA1006),$AO$1006:$BQ$1006,0))&gt;=100000), " ",IF(INDEX($AO$2:$BQ$1001,MATCH(ROWS($AH$2:AH389),$AH$2:$AH$1001,0),MATCH(COLUMNS($AO$1006:BA1006),$AO$1006:$BQ$1006,0)), HYPERLINK("#",""), HYPERLINK(CONCATENATE("#Metadata!", ADDRESS(INDEX($AJ$2:$AJ$1001,MATCH(ROWS($AH$2:AH389),$AH$2:$AH$1001,0),0), INDEX($AO$1004:$BQ$1004,1,MATCH(COLUMNS($AO$1006:BA1006),$AO$1006:$BQ$1006,0)))),"Fix")))</f>
        <v>#N/A</v>
      </c>
      <c r="O389" s="5" t="e">
        <f ca="1">IF(OR(INDEX($AI$2:$AI$1001,MATCH(ROWS($AH$2:AH389),$AH$2:$AH$1001,0),1)&gt;=100000,INDEX($AO$1005:$BQ$1005,1,MATCH(COLUMNS($AO$1006:BB1006),$AO$1006:$BQ$1006,0))&gt;=100000), " ",IF(INDEX($AO$2:$BQ$1001,MATCH(ROWS($AH$2:AH389),$AH$2:$AH$1001,0),MATCH(COLUMNS($AO$1006:BB1006),$AO$1006:$BQ$1006,0)), HYPERLINK("#",""), HYPERLINK(CONCATENATE("#Metadata!", ADDRESS(INDEX($AJ$2:$AJ$1001,MATCH(ROWS($AH$2:AH389),$AH$2:$AH$1001,0),0), INDEX($AO$1004:$BQ$1004,1,MATCH(COLUMNS($AO$1006:BB1006),$AO$1006:$BQ$1006,0)))),"Fix")))</f>
        <v>#N/A</v>
      </c>
      <c r="P389" s="5" t="e">
        <f ca="1">IF(OR(INDEX($AI$2:$AI$1001,MATCH(ROWS($AH$2:AH389),$AH$2:$AH$1001,0),1)&gt;=100000,INDEX($AO$1005:$BQ$1005,1,MATCH(COLUMNS($AO$1006:BC1006),$AO$1006:$BQ$1006,0))&gt;=100000), " ",IF(INDEX($AO$2:$BQ$1001,MATCH(ROWS($AH$2:AH389),$AH$2:$AH$1001,0),MATCH(COLUMNS($AO$1006:BC1006),$AO$1006:$BQ$1006,0)), HYPERLINK("#",""), HYPERLINK(CONCATENATE("#Metadata!", ADDRESS(INDEX($AJ$2:$AJ$1001,MATCH(ROWS($AH$2:AH389),$AH$2:$AH$1001,0),0), INDEX($AO$1004:$BQ$1004,1,MATCH(COLUMNS($AO$1006:BC1006),$AO$1006:$BQ$1006,0)))),"Fix")))</f>
        <v>#N/A</v>
      </c>
      <c r="Q389" s="5" t="e">
        <f ca="1">IF(OR(INDEX($AI$2:$AI$1001,MATCH(ROWS($AH$2:AH389),$AH$2:$AH$1001,0),1)&gt;=100000,INDEX($AO$1005:$BQ$1005,1,MATCH(COLUMNS($AO$1006:BD1006),$AO$1006:$BQ$1006,0))&gt;=100000), " ",IF(INDEX($AO$2:$BQ$1001,MATCH(ROWS($AH$2:AH389),$AH$2:$AH$1001,0),MATCH(COLUMNS($AO$1006:BD1006),$AO$1006:$BQ$1006,0)), HYPERLINK("#",""), HYPERLINK(CONCATENATE("#Metadata!", ADDRESS(INDEX($AJ$2:$AJ$1001,MATCH(ROWS($AH$2:AH389),$AH$2:$AH$1001,0),0), INDEX($AO$1004:$BQ$1004,1,MATCH(COLUMNS($AO$1006:BD1006),$AO$1006:$BQ$1006,0)))),"Fix")))</f>
        <v>#N/A</v>
      </c>
      <c r="R389" s="5" t="e">
        <f ca="1">IF(OR(INDEX($AI$2:$AI$1001,MATCH(ROWS($AH$2:AH389),$AH$2:$AH$1001,0),1)&gt;=100000,INDEX($AO$1005:$BQ$1005,1,MATCH(COLUMNS($AO$1006:BE1006),$AO$1006:$BQ$1006,0))&gt;=100000), " ",IF(INDEX($AO$2:$BQ$1001,MATCH(ROWS($AH$2:AH389),$AH$2:$AH$1001,0),MATCH(COLUMNS($AO$1006:BE1006),$AO$1006:$BQ$1006,0)), HYPERLINK("#",""), HYPERLINK(CONCATENATE("#Metadata!", ADDRESS(INDEX($AJ$2:$AJ$1001,MATCH(ROWS($AH$2:AH389),$AH$2:$AH$1001,0),0), INDEX($AO$1004:$BQ$1004,1,MATCH(COLUMNS($AO$1006:BE1006),$AO$1006:$BQ$1006,0)))),"Fix")))</f>
        <v>#N/A</v>
      </c>
      <c r="S389" s="5" t="e">
        <f ca="1">IF(OR(INDEX($AI$2:$AI$1001,MATCH(ROWS($AH$2:AH389),$AH$2:$AH$1001,0),1)&gt;=100000,INDEX($AO$1005:$BQ$1005,1,MATCH(COLUMNS($AO$1006:BF1006),$AO$1006:$BQ$1006,0))&gt;=100000), " ",IF(INDEX($AO$2:$BQ$1001,MATCH(ROWS($AH$2:AH389),$AH$2:$AH$1001,0),MATCH(COLUMNS($AO$1006:BF1006),$AO$1006:$BQ$1006,0)), HYPERLINK("#",""), HYPERLINK(CONCATENATE("#Metadata!", ADDRESS(INDEX($AJ$2:$AJ$1001,MATCH(ROWS($AH$2:AH389),$AH$2:$AH$1001,0),0), INDEX($AO$1004:$BQ$1004,1,MATCH(COLUMNS($AO$1006:BF1006),$AO$1006:$BQ$1006,0)))),"Fix")))</f>
        <v>#N/A</v>
      </c>
      <c r="T389" s="5" t="e">
        <f ca="1">IF(OR(INDEX($AI$2:$AI$1001,MATCH(ROWS($AH$2:AH389),$AH$2:$AH$1001,0),1)&gt;=100000,INDEX($AO$1005:$BQ$1005,1,MATCH(COLUMNS($AO$1006:BG1006),$AO$1006:$BQ$1006,0))&gt;=100000), " ",IF(INDEX($AO$2:$BQ$1001,MATCH(ROWS($AH$2:AH389),$AH$2:$AH$1001,0),MATCH(COLUMNS($AO$1006:BG1006),$AO$1006:$BQ$1006,0)), HYPERLINK("#",""), HYPERLINK(CONCATENATE("#Metadata!", ADDRESS(INDEX($AJ$2:$AJ$1001,MATCH(ROWS($AH$2:AH389),$AH$2:$AH$1001,0),0), INDEX($AO$1004:$BQ$1004,1,MATCH(COLUMNS($AO$1006:BG1006),$AO$1006:$BQ$1006,0)))),"Fix")))</f>
        <v>#N/A</v>
      </c>
      <c r="U389" s="5" t="e">
        <f ca="1">IF(OR(INDEX($AI$2:$AI$1001,MATCH(ROWS($AH$2:AH389),$AH$2:$AH$1001,0),1)&gt;=100000,INDEX($AO$1005:$BQ$1005,1,MATCH(COLUMNS($AO$1006:BH1006),$AO$1006:$BQ$1006,0))&gt;=100000), " ",IF(INDEX($AO$2:$BQ$1001,MATCH(ROWS($AH$2:AH389),$AH$2:$AH$1001,0),MATCH(COLUMNS($AO$1006:BH1006),$AO$1006:$BQ$1006,0)), HYPERLINK("#",""), HYPERLINK(CONCATENATE("#Metadata!", ADDRESS(INDEX($AJ$2:$AJ$1001,MATCH(ROWS($AH$2:AH389),$AH$2:$AH$1001,0),0), INDEX($AO$1004:$BQ$1004,1,MATCH(COLUMNS($AO$1006:BH1006),$AO$1006:$BQ$1006,0)))),"Fix")))</f>
        <v>#N/A</v>
      </c>
      <c r="V389" s="5" t="e">
        <f ca="1">IF(OR(INDEX($AI$2:$AI$1001,MATCH(ROWS($AH$2:AH389),$AH$2:$AH$1001,0),1)&gt;=100000,INDEX($AO$1005:$BQ$1005,1,MATCH(COLUMNS($AO$1006:BI1006),$AO$1006:$BQ$1006,0))&gt;=100000), " ",IF(INDEX($AO$2:$BQ$1001,MATCH(ROWS($AH$2:AH389),$AH$2:$AH$1001,0),MATCH(COLUMNS($AO$1006:BI1006),$AO$1006:$BQ$1006,0)), HYPERLINK("#",""), HYPERLINK(CONCATENATE("#Metadata!", ADDRESS(INDEX($AJ$2:$AJ$1001,MATCH(ROWS($AH$2:AH389),$AH$2:$AH$1001,0),0), INDEX($AO$1004:$BQ$1004,1,MATCH(COLUMNS($AO$1006:BI1006),$AO$1006:$BQ$1006,0)))),"Fix")))</f>
        <v>#N/A</v>
      </c>
      <c r="W389" s="5" t="e">
        <f ca="1">IF(OR(INDEX($AI$2:$AI$1001,MATCH(ROWS($AH$2:AH389),$AH$2:$AH$1001,0),1)&gt;=100000,INDEX($AO$1005:$BQ$1005,1,MATCH(COLUMNS($AO$1006:BJ1006),$AO$1006:$BQ$1006,0))&gt;=100000), " ",IF(INDEX($AO$2:$BQ$1001,MATCH(ROWS($AH$2:AH389),$AH$2:$AH$1001,0),MATCH(COLUMNS($AO$1006:BJ1006),$AO$1006:$BQ$1006,0)), HYPERLINK("#",""), HYPERLINK(CONCATENATE("#Metadata!", ADDRESS(INDEX($AJ$2:$AJ$1001,MATCH(ROWS($AH$2:AH389),$AH$2:$AH$1001,0),0), INDEX($AO$1004:$BQ$1004,1,MATCH(COLUMNS($AO$1006:BJ1006),$AO$1006:$BQ$1006,0)))),"Fix")))</f>
        <v>#N/A</v>
      </c>
      <c r="X389" s="5" t="e">
        <f ca="1">IF(OR(INDEX($AI$2:$AI$1001,MATCH(ROWS($AH$2:AH389),$AH$2:$AH$1001,0),1)&gt;=100000,INDEX($AO$1005:$BQ$1005,1,MATCH(COLUMNS($AO$1006:BK1006),$AO$1006:$BQ$1006,0))&gt;=100000), " ",IF(INDEX($AO$2:$BQ$1001,MATCH(ROWS($AH$2:AH389),$AH$2:$AH$1001,0),MATCH(COLUMNS($AO$1006:BK1006),$AO$1006:$BQ$1006,0)), HYPERLINK("#",""), HYPERLINK(CONCATENATE("#Metadata!", ADDRESS(INDEX($AJ$2:$AJ$1001,MATCH(ROWS($AH$2:AH389),$AH$2:$AH$1001,0),0), INDEX($AO$1004:$BQ$1004,1,MATCH(COLUMNS($AO$1006:BK1006),$AO$1006:$BQ$1006,0)))),"Fix")))</f>
        <v>#N/A</v>
      </c>
      <c r="Y389" s="5" t="e">
        <f ca="1">IF(OR(INDEX($AI$2:$AI$1001,MATCH(ROWS($AH$2:AH389),$AH$2:$AH$1001,0),1)&gt;=100000,INDEX($AO$1005:$BQ$1005,1,MATCH(COLUMNS($AO$1006:BL1006),$AO$1006:$BQ$1006,0))&gt;=100000), " ",IF(INDEX($AO$2:$BQ$1001,MATCH(ROWS($AH$2:AH389),$AH$2:$AH$1001,0),MATCH(COLUMNS($AO$1006:BL1006),$AO$1006:$BQ$1006,0)), HYPERLINK("#",""), HYPERLINK(CONCATENATE("#Metadata!", ADDRESS(INDEX($AJ$2:$AJ$1001,MATCH(ROWS($AH$2:AH389),$AH$2:$AH$1001,0),0), INDEX($AO$1004:$BQ$1004,1,MATCH(COLUMNS($AO$1006:BL1006),$AO$1006:$BQ$1006,0)))),"Fix")))</f>
        <v>#N/A</v>
      </c>
      <c r="Z389" s="5" t="e">
        <f ca="1">IF(OR(INDEX($AI$2:$AI$1001,MATCH(ROWS($AH$2:AH389),$AH$2:$AH$1001,0),1)&gt;=100000,INDEX($AO$1005:$BQ$1005,1,MATCH(COLUMNS($AO$1006:BM1006),$AO$1006:$BQ$1006,0))&gt;=100000), " ",IF(INDEX($AO$2:$BQ$1001,MATCH(ROWS($AH$2:AH389),$AH$2:$AH$1001,0),MATCH(COLUMNS($AO$1006:BM1006),$AO$1006:$BQ$1006,0)), HYPERLINK("#",""), HYPERLINK(CONCATENATE("#Metadata!", ADDRESS(INDEX($AJ$2:$AJ$1001,MATCH(ROWS($AH$2:AH389),$AH$2:$AH$1001,0),0), INDEX($AO$1004:$BQ$1004,1,MATCH(COLUMNS($AO$1006:BM1006),$AO$1006:$BQ$1006,0)))),"Fix")))</f>
        <v>#N/A</v>
      </c>
      <c r="AA389" s="5" t="e">
        <f ca="1">IF(OR(INDEX($AI$2:$AI$1001,MATCH(ROWS($AH$2:AH389),$AH$2:$AH$1001,0),1)&gt;=100000,INDEX($AO$1005:$BQ$1005,1,MATCH(COLUMNS($AO$1006:BN1006),$AO$1006:$BQ$1006,0))&gt;=100000), " ",IF(INDEX($AO$2:$BQ$1001,MATCH(ROWS($AH$2:AH389),$AH$2:$AH$1001,0),MATCH(COLUMNS($AO$1006:BN1006),$AO$1006:$BQ$1006,0)), HYPERLINK("#",""), HYPERLINK(CONCATENATE("#Metadata!", ADDRESS(INDEX($AJ$2:$AJ$1001,MATCH(ROWS($AH$2:AH389),$AH$2:$AH$1001,0),0), INDEX($AO$1004:$BQ$1004,1,MATCH(COLUMNS($AO$1006:BN1006),$AO$1006:$BQ$1006,0)))),"Fix")))</f>
        <v>#N/A</v>
      </c>
      <c r="AB389" s="5" t="e">
        <f ca="1">IF(OR(INDEX($AI$2:$AI$1001,MATCH(ROWS($AH$2:AH389),$AH$2:$AH$1001,0),1)&gt;=100000,INDEX($AO$1005:$BQ$1005,1,MATCH(COLUMNS($AO$1006:BO1006),$AO$1006:$BQ$1006,0))&gt;=100000), " ",IF(INDEX($AO$2:$BQ$1001,MATCH(ROWS($AH$2:AH389),$AH$2:$AH$1001,0),MATCH(COLUMNS($AO$1006:BO1006),$AO$1006:$BQ$1006,0)), HYPERLINK("#",""), HYPERLINK(CONCATENATE("#Metadata!", ADDRESS(INDEX($AJ$2:$AJ$1001,MATCH(ROWS($AH$2:AH389),$AH$2:$AH$1001,0),0), INDEX($AO$1004:$BQ$1004,1,MATCH(COLUMNS($AO$1006:BO1006),$AO$1006:$BQ$1006,0)))),"Fix")))</f>
        <v>#N/A</v>
      </c>
      <c r="AC389" s="5" t="e">
        <f ca="1">IF(OR(INDEX($AI$2:$AI$1001,MATCH(ROWS($AH$2:AH389),$AH$2:$AH$1001,0),1)&gt;=100000,INDEX($AO$1005:$BQ$1005,1,MATCH(COLUMNS($AO$1006:BP1006),$AO$1006:$BQ$1006,0))&gt;=100000), " ",IF(INDEX($AO$2:$BQ$1001,MATCH(ROWS($AH$2:AH389),$AH$2:$AH$1001,0),MATCH(COLUMNS($AO$1006:BP1006),$AO$1006:$BQ$1006,0)), HYPERLINK("#",""), HYPERLINK(CONCATENATE("#Metadata!", ADDRESS(INDEX($AJ$2:$AJ$1001,MATCH(ROWS($AH$2:AH389),$AH$2:$AH$1001,0),0), INDEX($AO$1004:$BQ$1004,1,MATCH(COLUMNS($AO$1006:BP1006),$AO$1006:$BQ$1006,0)))),"Fix")))</f>
        <v>#N/A</v>
      </c>
      <c r="AD389" s="5" t="e">
        <f ca="1">IF(OR(INDEX($AI$2:$AI$1001,MATCH(ROWS($AH$2:AH389),$AH$2:$AH$1001,0),1)&gt;=100000,INDEX($AO$1005:$BQ$1005,1,MATCH(COLUMNS($AO$1006:BQ1006),$AO$1006:$BQ$1006,0))&gt;=100000), " ",IF(INDEX($AO$2:$BQ$1001,MATCH(ROWS($AH$2:AH389),$AH$2:$AH$1001,0),MATCH(COLUMNS($AO$1006:BQ1006),$AO$1006:$BQ$1006,0)), HYPERLINK("#",""), HYPERLINK(CONCATENATE("#Metadata!", ADDRESS(INDEX($AJ$2:$AJ$1001,MATCH(ROWS($AH$2:AH389),$AH$2:$AH$1001,0),0), INDEX($AO$1004:$BQ$1004,1,MATCH(COLUMNS($AO$1006:BQ1006),$AO$1006:$BQ$1006,0)))),"Fix")))</f>
        <v>#REF!</v>
      </c>
      <c r="AH389">
        <f ca="1"/>
        <v>386</v>
      </c>
      <c r="AI389">
        <v>100389</v>
      </c>
      <c r="AJ389">
        <v>389</v>
      </c>
      <c r="AK389" t="b">
        <f t="shared" si="6"/>
        <v>1</v>
      </c>
      <c r="AL389" t="b">
        <f>COUNTBLANK(Metadata!B389:AD389)=COLUMNS(Metadata!B389:AD389)</f>
        <v>1</v>
      </c>
      <c r="AM389" t="str">
        <v/>
      </c>
      <c r="AO389" t="b">
        <f ca="1">AND(IF(Metadata!B389="",FALSE,TRUE),COUNTIF(Metadata!B:B, Metadata!B389) = 1,NOT(ISERROR(SUMPRODUCT(SEARCH(MID(Metadata!B389,ROW(INDIRECT("1:"&amp;LEN(Metadata!B389))), 1),"0123456789abcdefghijklmnopqrstuvwxyzABCDEFGHIJKLMNOPQRSTUVWXYZ.")))))</f>
        <v>0</v>
      </c>
      <c r="AP389" t="b">
        <f>IF(Metadata!C389="",FALSE,TRUE)</f>
        <v>0</v>
      </c>
      <c r="AQ389" t="b">
        <f>IF(Metadata!D389="",FALSE,TRUE)</f>
        <v>0</v>
      </c>
      <c r="AR389" t="b">
        <f ca="1">OR(AND(IF(Metadata!E389="",FALSE,TRUE),OR(EXACT(Metadata!E389,"not collected"),EXACT(Metadata!E389,"not provided"),EXACT(Metadata!E389,"restricted access"))),AND(IF(Metadata!E389="",FALSE,TRUE),AND(AND(IFERROR(INT(LEFT(Metadata!E389,4))&gt;1900,FALSE),IFERROR(INT(LEFT(Metadata!E389,4))&lt;=YEAR(NOW()),FALSE)), OR(MID(Metadata!E389,5,1)="", AND(AND(MID(Metadata!E389,5,1)="-",IFERROR(INT(MID(Metadata!E389,6,1))&gt;=0,FALSE),IFERROR(INT(MID(Metadata!E389,6,1))&lt;=1,FALSE),NOT(MID(Metadata!E389,7,1)=""),IFERROR(INT(MID(Metadata!E389,6,2))&gt;=1,FALSE),IFERROR(INT(MID(Metadata!E389,6,2))&lt;=12,FALSE)), OR(MID(Metadata!E389,8,1)="", AND(AND(MID(Metadata!E389,8,1)="-",IFERROR(INT(MID(Metadata!E389,9,1))&gt;=0,FALSE),IFERROR(INT(MID(Metadata!E389,9,1))&lt;=3,FALSE),NOT(MID(Metadata!E389,10,1)=""),IFERROR(INT(MID(Metadata!E389,9,2))&gt;=1,FALSE),IFERROR(INT(MID(Metadata!E389,9,2))&lt;=31,FALSE)), OR(MID(Metadata!E389,11,1)="", AND(AND(MID(Metadata!E389,11,1)=" ",IFERROR(INT(MID(Metadata!E389,12,1))&gt;=0,FALSE),IFERROR(INT(MID(Metadata!E389,12,1))&lt;=2,FALSE),NOT(MID(Metadata!E389,13,1)=""),IFERROR(INT(MID(Metadata!E389,12,2))&gt;=0,FALSE),IFERROR(INT(MID(Metadata!E389,12,2))&lt;=23,FALSE)), OR(MID(Metadata!E389,14,1)="", AND(AND(MID(Metadata!E389,14,1)=":",IFERROR(INT(MID(Metadata!E389,15,1))&gt;=0,FALSE),IFERROR(INT(MID(Metadata!E389,15,1))&lt;=5,FALSE),NOT(MID(Metadata!E389,16,1)=""),IFERROR(INT(MID(Metadata!E389,15,2))&gt;=0,FALSE),IFERROR(INT(MID(Metadata!E389,15,2))&lt;=59,FALSE)), OR(MID(Metadata!E389,17,1)="", AND(AND(MID(Metadata!E389,17,1)=":",IFERROR(INT(MID(Metadata!E389,18,1))&gt;=0,FALSE),IFERROR(INT(MID(Metadata!E389,18,1))&lt;=5,FALSE),NOT(MID(Metadata!E389,19,1)=""),IFERROR(INT(MID(Metadata!E389,18,2))&gt;=0,FALSE),IFERROR(INT(MID(Metadata!E389,18,2))&lt;=59,FALSE)), LEN(Metadata!E389)&lt;=19)))))))))))))</f>
        <v>0</v>
      </c>
      <c r="AS389" t="b">
        <f>IF(Metadata!F389="",FALSE,TRUE)</f>
        <v>0</v>
      </c>
      <c r="AT389" t="b">
        <f>OR(AND(IF(Metadata!G389="",FALSE,TRUE),OR(EXACT(Metadata!G389,"not collected"),EXACT(Metadata!G389,"not provided"))),AND(IF(Metadata!G389="",FALSE,TRUE),OR(EXACT(Metadata!G389,"TRUE"),EXACT(Metadata!G389,"FALSE"))))</f>
        <v>0</v>
      </c>
      <c r="AU389" t="b">
        <f>OR(AND(IF(Metadata!H389="",FALSE,TRUE),OR(EXACT(Metadata!H389,"not collected"),EXACT(Metadata!H389,"not provided"),EXACT(Metadata!H389,"restricted access"))),AND(IF(Metadata!H389="",FALSE,ISNUMBER(VALUE(Metadata!H389))),Metadata!H389&gt;=-413))</f>
        <v>0</v>
      </c>
      <c r="AV389" t="b">
        <f>AND(IF(Metadata!I389="",FALSE,TRUE),EXACT(Metadata!I389,"meters"))</f>
        <v>0</v>
      </c>
      <c r="AW389" t="b">
        <f>AND(IF(Metadata!J389="",FALSE,TRUE),EXACT(Metadata!J389,"free-living"))</f>
        <v>0</v>
      </c>
      <c r="AX389" t="b">
        <f>AND(IF(Metadata!K389="",FALSE,TRUE),OR(EXACT(Metadata!K389,"saline"),EXACT(Metadata!K389,"non-saline")))</f>
        <v>0</v>
      </c>
      <c r="AY389" t="b">
        <f>AND(IF(Metadata!L389="",FALSE,TRUE),OR(EXACT(Metadata!L389,"sub-surface (non-saline)"),EXACT(Metadata!L389,"surface (non-saline)"),EXACT(Metadata!L389,"water (non-saline)"),EXACT(Metadata!L389,"soil (non-saline)"),EXACT(Metadata!L389,"aerosol (non-saline)"),EXACT(Metadata!L389,"sediment (non-saline)"),EXACT(Metadata!L389,"surface (saline)"),EXACT(Metadata!L389,"water (saline)"),EXACT(Metadata!L389,"hypersaline (saline)"),EXACT(Metadata!L389,"aerosol (saline)"),EXACT(Metadata!L389,"sediment (saline)")))</f>
        <v>0</v>
      </c>
      <c r="AZ389" t="b">
        <f>IF(Metadata!M389="",FALSE,TRUE)</f>
        <v>0</v>
      </c>
      <c r="BA389" t="b">
        <f>IF(Metadata!N389="",FALSE,TRUE)</f>
        <v>0</v>
      </c>
      <c r="BB389" t="b">
        <f>IF(Metadata!O389="",FALSE,TRUE)</f>
        <v>0</v>
      </c>
      <c r="BC389" t="b">
        <f>AND(IF(Metadata!P389="",FALSE,TRUE),OR(EXACT(Metadata!P389,"air"),EXACT(Metadata!P389,"microbial mat/biofilm"),EXACT(Metadata!P389,"misc environment"),EXACT(Metadata!P389,"sediment"),EXACT(Metadata!P389,"soil"),EXACT(Metadata!P389,"wastewater/sludge"),EXACT(Metadata!P389,"water")))</f>
        <v>0</v>
      </c>
      <c r="BD389" t="b">
        <f>IF(Metadata!Q389="",FALSE,TRUE)</f>
        <v>0</v>
      </c>
      <c r="BE389" t="b">
        <f>IF(Metadata!R389="",FALSE,TRUE)</f>
        <v>0</v>
      </c>
      <c r="BF389" t="b">
        <f>OR(AND(IF(Metadata!S389="",FALSE,TRUE),OR(EXACT(Metadata!S389,"not collected"),EXACT(Metadata!S389,"not provided"),EXACT(Metadata!S389,"restricted access"))),AND(IF(Metadata!S389="",FALSE,ISNUMBER(VALUE(Metadata!S389))),Metadata!S389&gt;=-90,Metadata!S389&lt;=90))</f>
        <v>0</v>
      </c>
      <c r="BG389" t="b">
        <f>AND(IF(Metadata!T389="",FALSE,TRUE),EXACT(Metadata!T389,"Decimal degrees"))</f>
        <v>0</v>
      </c>
      <c r="BH389" t="b">
        <f>OR(AND(IF(Metadata!U389="",FALSE,TRUE),OR(EXACT(Metadata!U389,"not applicable"),EXACT(Metadata!U389,"not collected"))),IF(Metadata!U389="",FALSE,TRUE))</f>
        <v>0</v>
      </c>
      <c r="BI389" t="b">
        <f>OR(AND(IF(Metadata!V389="",FALSE,TRUE),OR(EXACT(Metadata!V389,"not collected"),EXACT(Metadata!V389,"not provided"),EXACT(Metadata!V389,"restricted access"))),AND(IF(Metadata!V389="",FALSE,ISNUMBER(VALUE(Metadata!V389))),Metadata!V389&gt;=-180,Metadata!V389&lt;=180))</f>
        <v>0</v>
      </c>
      <c r="BJ389" t="b">
        <f>AND(IF(Metadata!W389="",FALSE,TRUE),EXACT(Metadata!W389,"Decimal degrees"))</f>
        <v>0</v>
      </c>
      <c r="BK389" t="b">
        <f>IF(Metadata!X389="",FALSE,TRUE)</f>
        <v>0</v>
      </c>
      <c r="BL389" t="b">
        <f>OR(AND(IF(Metadata!Y389="",FALSE,TRUE),OR(EXACT(Metadata!Y389,"not collected"),EXACT(Metadata!Y389,"not provided"),EXACT(Metadata!Y389,"restricted access"))),AND(IF(Metadata!Y389="",FALSE,TRUE),OR(EXACT(Metadata!Y389,"TRUE"),EXACT(Metadata!Y389,"FALSE"))))</f>
        <v>0</v>
      </c>
      <c r="BM389" t="b">
        <f>OR(AND(IF(Metadata!Z389="",FALSE,TRUE),EXACT(Metadata!Z389,"not applicable")),AND(IF(Metadata!Z389="",FALSE,TRUE),OR(EXACT(Metadata!Z389,"beer"),EXACT(Metadata!Z389,"cheese"),EXACT(Metadata!Z389,"fresh water"),EXACT(Metadata!Z389,"marine sediment"),EXACT(Metadata!Z389,"sea water"),EXACT(Metadata!Z389,"sediment"),EXACT(Metadata!Z389,"soil"),EXACT(Metadata!Z389,"waste water"))))</f>
        <v>0</v>
      </c>
      <c r="BN389" t="b">
        <f>AND(IF(Metadata!AA389="",FALSE,TRUE),EXACT(Metadata!AA389,"metagenome"))</f>
        <v>0</v>
      </c>
      <c r="BO389" t="b">
        <f>AND(IF(Metadata!AB389="",FALSE,TRUE),EXACT(Metadata!AB389,"256318"))</f>
        <v>0</v>
      </c>
      <c r="BP389" t="b">
        <f>IF(Metadata!AC389="",FALSE,TRUE)</f>
        <v>0</v>
      </c>
      <c r="BQ389" t="b">
        <f>IF(Metadata!AD389="",FALSE,TRUE)</f>
        <v>0</v>
      </c>
    </row>
    <row r="390" spans="1:69" x14ac:dyDescent="0.2">
      <c r="A390" s="4" t="e">
        <f ca="1">IF(B390=" "," ",HYPERLINK(CONCATENATE("#metadata!",ADDRESS(INDEX($AJ$2:$AJ$1001,MATCH(ROWS($AH$2:AH390),$AH$2:$AH$1001,0),0),2)),INDEX($AM$2:$AM$1001,MATCH(ROWS($AH$2:AH390),$AH$2:$AH$1001,0),0)))</f>
        <v>#N/A</v>
      </c>
      <c r="B390" s="5" t="e">
        <f ca="1">IF(OR(INDEX($AI$2:$AI$1001,MATCH(ROWS($AH$2:AH390),$AH$2:$AH$1001,0),1)&gt;=100000,INDEX($AO$1005:$BQ$1005,1,MATCH(COLUMNS($AO$1006:AO1006),$AO$1006:$BQ$1006,0))&gt;=100000), " ",IF(INDEX($AO$2:$BQ$1001,MATCH(ROWS($AH$2:AH390),$AH$2:$AH$1001,0),MATCH(COLUMNS($AO$1006:AO1006),$AO$1006:$BQ$1006,0)), HYPERLINK("#",""), HYPERLINK(CONCATENATE("#Metadata!", ADDRESS(INDEX($AJ$2:$AJ$1001,MATCH(ROWS($AH$2:AH390),$AH$2:$AH$1001,0),0), INDEX($AO$1004:$BQ$1004,1,MATCH(COLUMNS($AO$1006:AO1006),$AO$1006:$BQ$1006,0)))),"Fix")))</f>
        <v>#N/A</v>
      </c>
      <c r="C390" s="5" t="e">
        <f ca="1">IF(OR(INDEX($AI$2:$AI$1001,MATCH(ROWS($AH$2:AH390),$AH$2:$AH$1001,0),1)&gt;=100000,INDEX($AO$1005:$BQ$1005,1,MATCH(COLUMNS($AO$1006:AP1006),$AO$1006:$BQ$1006,0))&gt;=100000), " ",IF(INDEX($AO$2:$BQ$1001,MATCH(ROWS($AH$2:AH390),$AH$2:$AH$1001,0),MATCH(COLUMNS($AO$1006:AP1006),$AO$1006:$BQ$1006,0)), HYPERLINK("#",""), HYPERLINK(CONCATENATE("#Metadata!", ADDRESS(INDEX($AJ$2:$AJ$1001,MATCH(ROWS($AH$2:AH390),$AH$2:$AH$1001,0),0), INDEX($AO$1004:$BQ$1004,1,MATCH(COLUMNS($AO$1006:AP1006),$AO$1006:$BQ$1006,0)))),"Fix")))</f>
        <v>#N/A</v>
      </c>
      <c r="D390" s="5" t="e">
        <f ca="1">IF(OR(INDEX($AI$2:$AI$1001,MATCH(ROWS($AH$2:AH390),$AH$2:$AH$1001,0),1)&gt;=100000,INDEX($AO$1005:$BQ$1005,1,MATCH(COLUMNS($AO$1006:AQ1006),$AO$1006:$BQ$1006,0))&gt;=100000), " ",IF(INDEX($AO$2:$BQ$1001,MATCH(ROWS($AH$2:AH390),$AH$2:$AH$1001,0),MATCH(COLUMNS($AO$1006:AQ1006),$AO$1006:$BQ$1006,0)), HYPERLINK("#",""), HYPERLINK(CONCATENATE("#Metadata!", ADDRESS(INDEX($AJ$2:$AJ$1001,MATCH(ROWS($AH$2:AH390),$AH$2:$AH$1001,0),0), INDEX($AO$1004:$BQ$1004,1,MATCH(COLUMNS($AO$1006:AQ1006),$AO$1006:$BQ$1006,0)))),"Fix")))</f>
        <v>#N/A</v>
      </c>
      <c r="E390" s="5" t="e">
        <f ca="1">IF(OR(INDEX($AI$2:$AI$1001,MATCH(ROWS($AH$2:AH390),$AH$2:$AH$1001,0),1)&gt;=100000,INDEX($AO$1005:$BQ$1005,1,MATCH(COLUMNS($AO$1006:AR1006),$AO$1006:$BQ$1006,0))&gt;=100000), " ",IF(INDEX($AO$2:$BQ$1001,MATCH(ROWS($AH$2:AH390),$AH$2:$AH$1001,0),MATCH(COLUMNS($AO$1006:AR1006),$AO$1006:$BQ$1006,0)), HYPERLINK("#",""), HYPERLINK(CONCATENATE("#Metadata!", ADDRESS(INDEX($AJ$2:$AJ$1001,MATCH(ROWS($AH$2:AH390),$AH$2:$AH$1001,0),0), INDEX($AO$1004:$BQ$1004,1,MATCH(COLUMNS($AO$1006:AR1006),$AO$1006:$BQ$1006,0)))),"Fix")))</f>
        <v>#N/A</v>
      </c>
      <c r="F390" s="5" t="e">
        <f ca="1">IF(OR(INDEX($AI$2:$AI$1001,MATCH(ROWS($AH$2:AH390),$AH$2:$AH$1001,0),1)&gt;=100000,INDEX($AO$1005:$BQ$1005,1,MATCH(COLUMNS($AO$1006:AS1006),$AO$1006:$BQ$1006,0))&gt;=100000), " ",IF(INDEX($AO$2:$BQ$1001,MATCH(ROWS($AH$2:AH390),$AH$2:$AH$1001,0),MATCH(COLUMNS($AO$1006:AS1006),$AO$1006:$BQ$1006,0)), HYPERLINK("#",""), HYPERLINK(CONCATENATE("#Metadata!", ADDRESS(INDEX($AJ$2:$AJ$1001,MATCH(ROWS($AH$2:AH390),$AH$2:$AH$1001,0),0), INDEX($AO$1004:$BQ$1004,1,MATCH(COLUMNS($AO$1006:AS1006),$AO$1006:$BQ$1006,0)))),"Fix")))</f>
        <v>#N/A</v>
      </c>
      <c r="G390" s="5" t="e">
        <f ca="1">IF(OR(INDEX($AI$2:$AI$1001,MATCH(ROWS($AH$2:AH390),$AH$2:$AH$1001,0),1)&gt;=100000,INDEX($AO$1005:$BQ$1005,1,MATCH(COLUMNS($AO$1006:AT1006),$AO$1006:$BQ$1006,0))&gt;=100000), " ",IF(INDEX($AO$2:$BQ$1001,MATCH(ROWS($AH$2:AH390),$AH$2:$AH$1001,0),MATCH(COLUMNS($AO$1006:AT1006),$AO$1006:$BQ$1006,0)), HYPERLINK("#",""), HYPERLINK(CONCATENATE("#Metadata!", ADDRESS(INDEX($AJ$2:$AJ$1001,MATCH(ROWS($AH$2:AH390),$AH$2:$AH$1001,0),0), INDEX($AO$1004:$BQ$1004,1,MATCH(COLUMNS($AO$1006:AT1006),$AO$1006:$BQ$1006,0)))),"Fix")))</f>
        <v>#N/A</v>
      </c>
      <c r="H390" s="5" t="e">
        <f ca="1">IF(OR(INDEX($AI$2:$AI$1001,MATCH(ROWS($AH$2:AH390),$AH$2:$AH$1001,0),1)&gt;=100000,INDEX($AO$1005:$BQ$1005,1,MATCH(COLUMNS($AO$1006:AU1006),$AO$1006:$BQ$1006,0))&gt;=100000), " ",IF(INDEX($AO$2:$BQ$1001,MATCH(ROWS($AH$2:AH390),$AH$2:$AH$1001,0),MATCH(COLUMNS($AO$1006:AU1006),$AO$1006:$BQ$1006,0)), HYPERLINK("#",""), HYPERLINK(CONCATENATE("#Metadata!", ADDRESS(INDEX($AJ$2:$AJ$1001,MATCH(ROWS($AH$2:AH390),$AH$2:$AH$1001,0),0), INDEX($AO$1004:$BQ$1004,1,MATCH(COLUMNS($AO$1006:AU1006),$AO$1006:$BQ$1006,0)))),"Fix")))</f>
        <v>#N/A</v>
      </c>
      <c r="I390" s="5" t="e">
        <f ca="1">IF(OR(INDEX($AI$2:$AI$1001,MATCH(ROWS($AH$2:AH390),$AH$2:$AH$1001,0),1)&gt;=100000,INDEX($AO$1005:$BQ$1005,1,MATCH(COLUMNS($AO$1006:AV1006),$AO$1006:$BQ$1006,0))&gt;=100000), " ",IF(INDEX($AO$2:$BQ$1001,MATCH(ROWS($AH$2:AH390),$AH$2:$AH$1001,0),MATCH(COLUMNS($AO$1006:AV1006),$AO$1006:$BQ$1006,0)), HYPERLINK("#",""), HYPERLINK(CONCATENATE("#Metadata!", ADDRESS(INDEX($AJ$2:$AJ$1001,MATCH(ROWS($AH$2:AH390),$AH$2:$AH$1001,0),0), INDEX($AO$1004:$BQ$1004,1,MATCH(COLUMNS($AO$1006:AV1006),$AO$1006:$BQ$1006,0)))),"Fix")))</f>
        <v>#N/A</v>
      </c>
      <c r="J390" s="5" t="e">
        <f ca="1">IF(OR(INDEX($AI$2:$AI$1001,MATCH(ROWS($AH$2:AH390),$AH$2:$AH$1001,0),1)&gt;=100000,INDEX($AO$1005:$BQ$1005,1,MATCH(COLUMNS($AO$1006:AW1006),$AO$1006:$BQ$1006,0))&gt;=100000), " ",IF(INDEX($AO$2:$BQ$1001,MATCH(ROWS($AH$2:AH390),$AH$2:$AH$1001,0),MATCH(COLUMNS($AO$1006:AW1006),$AO$1006:$BQ$1006,0)), HYPERLINK("#",""), HYPERLINK(CONCATENATE("#Metadata!", ADDRESS(INDEX($AJ$2:$AJ$1001,MATCH(ROWS($AH$2:AH390),$AH$2:$AH$1001,0),0), INDEX($AO$1004:$BQ$1004,1,MATCH(COLUMNS($AO$1006:AW1006),$AO$1006:$BQ$1006,0)))),"Fix")))</f>
        <v>#N/A</v>
      </c>
      <c r="K390" s="5" t="e">
        <f ca="1">IF(OR(INDEX($AI$2:$AI$1001,MATCH(ROWS($AH$2:AH390),$AH$2:$AH$1001,0),1)&gt;=100000,INDEX($AO$1005:$BQ$1005,1,MATCH(COLUMNS($AO$1006:AX1006),$AO$1006:$BQ$1006,0))&gt;=100000), " ",IF(INDEX($AO$2:$BQ$1001,MATCH(ROWS($AH$2:AH390),$AH$2:$AH$1001,0),MATCH(COLUMNS($AO$1006:AX1006),$AO$1006:$BQ$1006,0)), HYPERLINK("#",""), HYPERLINK(CONCATENATE("#Metadata!", ADDRESS(INDEX($AJ$2:$AJ$1001,MATCH(ROWS($AH$2:AH390),$AH$2:$AH$1001,0),0), INDEX($AO$1004:$BQ$1004,1,MATCH(COLUMNS($AO$1006:AX1006),$AO$1006:$BQ$1006,0)))),"Fix")))</f>
        <v>#N/A</v>
      </c>
      <c r="L390" s="5" t="e">
        <f ca="1">IF(OR(INDEX($AI$2:$AI$1001,MATCH(ROWS($AH$2:AH390),$AH$2:$AH$1001,0),1)&gt;=100000,INDEX($AO$1005:$BQ$1005,1,MATCH(COLUMNS($AO$1006:AY1006),$AO$1006:$BQ$1006,0))&gt;=100000), " ",IF(INDEX($AO$2:$BQ$1001,MATCH(ROWS($AH$2:AH390),$AH$2:$AH$1001,0),MATCH(COLUMNS($AO$1006:AY1006),$AO$1006:$BQ$1006,0)), HYPERLINK("#",""), HYPERLINK(CONCATENATE("#Metadata!", ADDRESS(INDEX($AJ$2:$AJ$1001,MATCH(ROWS($AH$2:AH390),$AH$2:$AH$1001,0),0), INDEX($AO$1004:$BQ$1004,1,MATCH(COLUMNS($AO$1006:AY1006),$AO$1006:$BQ$1006,0)))),"Fix")))</f>
        <v>#N/A</v>
      </c>
      <c r="M390" s="5" t="e">
        <f ca="1">IF(OR(INDEX($AI$2:$AI$1001,MATCH(ROWS($AH$2:AH390),$AH$2:$AH$1001,0),1)&gt;=100000,INDEX($AO$1005:$BQ$1005,1,MATCH(COLUMNS($AO$1006:AZ1006),$AO$1006:$BQ$1006,0))&gt;=100000), " ",IF(INDEX($AO$2:$BQ$1001,MATCH(ROWS($AH$2:AH390),$AH$2:$AH$1001,0),MATCH(COLUMNS($AO$1006:AZ1006),$AO$1006:$BQ$1006,0)), HYPERLINK("#",""), HYPERLINK(CONCATENATE("#Metadata!", ADDRESS(INDEX($AJ$2:$AJ$1001,MATCH(ROWS($AH$2:AH390),$AH$2:$AH$1001,0),0), INDEX($AO$1004:$BQ$1004,1,MATCH(COLUMNS($AO$1006:AZ1006),$AO$1006:$BQ$1006,0)))),"Fix")))</f>
        <v>#N/A</v>
      </c>
      <c r="N390" s="5" t="e">
        <f ca="1">IF(OR(INDEX($AI$2:$AI$1001,MATCH(ROWS($AH$2:AH390),$AH$2:$AH$1001,0),1)&gt;=100000,INDEX($AO$1005:$BQ$1005,1,MATCH(COLUMNS($AO$1006:BA1006),$AO$1006:$BQ$1006,0))&gt;=100000), " ",IF(INDEX($AO$2:$BQ$1001,MATCH(ROWS($AH$2:AH390),$AH$2:$AH$1001,0),MATCH(COLUMNS($AO$1006:BA1006),$AO$1006:$BQ$1006,0)), HYPERLINK("#",""), HYPERLINK(CONCATENATE("#Metadata!", ADDRESS(INDEX($AJ$2:$AJ$1001,MATCH(ROWS($AH$2:AH390),$AH$2:$AH$1001,0),0), INDEX($AO$1004:$BQ$1004,1,MATCH(COLUMNS($AO$1006:BA1006),$AO$1006:$BQ$1006,0)))),"Fix")))</f>
        <v>#N/A</v>
      </c>
      <c r="O390" s="5" t="e">
        <f ca="1">IF(OR(INDEX($AI$2:$AI$1001,MATCH(ROWS($AH$2:AH390),$AH$2:$AH$1001,0),1)&gt;=100000,INDEX($AO$1005:$BQ$1005,1,MATCH(COLUMNS($AO$1006:BB1006),$AO$1006:$BQ$1006,0))&gt;=100000), " ",IF(INDEX($AO$2:$BQ$1001,MATCH(ROWS($AH$2:AH390),$AH$2:$AH$1001,0),MATCH(COLUMNS($AO$1006:BB1006),$AO$1006:$BQ$1006,0)), HYPERLINK("#",""), HYPERLINK(CONCATENATE("#Metadata!", ADDRESS(INDEX($AJ$2:$AJ$1001,MATCH(ROWS($AH$2:AH390),$AH$2:$AH$1001,0),0), INDEX($AO$1004:$BQ$1004,1,MATCH(COLUMNS($AO$1006:BB1006),$AO$1006:$BQ$1006,0)))),"Fix")))</f>
        <v>#N/A</v>
      </c>
      <c r="P390" s="5" t="e">
        <f ca="1">IF(OR(INDEX($AI$2:$AI$1001,MATCH(ROWS($AH$2:AH390),$AH$2:$AH$1001,0),1)&gt;=100000,INDEX($AO$1005:$BQ$1005,1,MATCH(COLUMNS($AO$1006:BC1006),$AO$1006:$BQ$1006,0))&gt;=100000), " ",IF(INDEX($AO$2:$BQ$1001,MATCH(ROWS($AH$2:AH390),$AH$2:$AH$1001,0),MATCH(COLUMNS($AO$1006:BC1006),$AO$1006:$BQ$1006,0)), HYPERLINK("#",""), HYPERLINK(CONCATENATE("#Metadata!", ADDRESS(INDEX($AJ$2:$AJ$1001,MATCH(ROWS($AH$2:AH390),$AH$2:$AH$1001,0),0), INDEX($AO$1004:$BQ$1004,1,MATCH(COLUMNS($AO$1006:BC1006),$AO$1006:$BQ$1006,0)))),"Fix")))</f>
        <v>#N/A</v>
      </c>
      <c r="Q390" s="5" t="e">
        <f ca="1">IF(OR(INDEX($AI$2:$AI$1001,MATCH(ROWS($AH$2:AH390),$AH$2:$AH$1001,0),1)&gt;=100000,INDEX($AO$1005:$BQ$1005,1,MATCH(COLUMNS($AO$1006:BD1006),$AO$1006:$BQ$1006,0))&gt;=100000), " ",IF(INDEX($AO$2:$BQ$1001,MATCH(ROWS($AH$2:AH390),$AH$2:$AH$1001,0),MATCH(COLUMNS($AO$1006:BD1006),$AO$1006:$BQ$1006,0)), HYPERLINK("#",""), HYPERLINK(CONCATENATE("#Metadata!", ADDRESS(INDEX($AJ$2:$AJ$1001,MATCH(ROWS($AH$2:AH390),$AH$2:$AH$1001,0),0), INDEX($AO$1004:$BQ$1004,1,MATCH(COLUMNS($AO$1006:BD1006),$AO$1006:$BQ$1006,0)))),"Fix")))</f>
        <v>#N/A</v>
      </c>
      <c r="R390" s="5" t="e">
        <f ca="1">IF(OR(INDEX($AI$2:$AI$1001,MATCH(ROWS($AH$2:AH390),$AH$2:$AH$1001,0),1)&gt;=100000,INDEX($AO$1005:$BQ$1005,1,MATCH(COLUMNS($AO$1006:BE1006),$AO$1006:$BQ$1006,0))&gt;=100000), " ",IF(INDEX($AO$2:$BQ$1001,MATCH(ROWS($AH$2:AH390),$AH$2:$AH$1001,0),MATCH(COLUMNS($AO$1006:BE1006),$AO$1006:$BQ$1006,0)), HYPERLINK("#",""), HYPERLINK(CONCATENATE("#Metadata!", ADDRESS(INDEX($AJ$2:$AJ$1001,MATCH(ROWS($AH$2:AH390),$AH$2:$AH$1001,0),0), INDEX($AO$1004:$BQ$1004,1,MATCH(COLUMNS($AO$1006:BE1006),$AO$1006:$BQ$1006,0)))),"Fix")))</f>
        <v>#N/A</v>
      </c>
      <c r="S390" s="5" t="e">
        <f ca="1">IF(OR(INDEX($AI$2:$AI$1001,MATCH(ROWS($AH$2:AH390),$AH$2:$AH$1001,0),1)&gt;=100000,INDEX($AO$1005:$BQ$1005,1,MATCH(COLUMNS($AO$1006:BF1006),$AO$1006:$BQ$1006,0))&gt;=100000), " ",IF(INDEX($AO$2:$BQ$1001,MATCH(ROWS($AH$2:AH390),$AH$2:$AH$1001,0),MATCH(COLUMNS($AO$1006:BF1006),$AO$1006:$BQ$1006,0)), HYPERLINK("#",""), HYPERLINK(CONCATENATE("#Metadata!", ADDRESS(INDEX($AJ$2:$AJ$1001,MATCH(ROWS($AH$2:AH390),$AH$2:$AH$1001,0),0), INDEX($AO$1004:$BQ$1004,1,MATCH(COLUMNS($AO$1006:BF1006),$AO$1006:$BQ$1006,0)))),"Fix")))</f>
        <v>#N/A</v>
      </c>
      <c r="T390" s="5" t="e">
        <f ca="1">IF(OR(INDEX($AI$2:$AI$1001,MATCH(ROWS($AH$2:AH390),$AH$2:$AH$1001,0),1)&gt;=100000,INDEX($AO$1005:$BQ$1005,1,MATCH(COLUMNS($AO$1006:BG1006),$AO$1006:$BQ$1006,0))&gt;=100000), " ",IF(INDEX($AO$2:$BQ$1001,MATCH(ROWS($AH$2:AH390),$AH$2:$AH$1001,0),MATCH(COLUMNS($AO$1006:BG1006),$AO$1006:$BQ$1006,0)), HYPERLINK("#",""), HYPERLINK(CONCATENATE("#Metadata!", ADDRESS(INDEX($AJ$2:$AJ$1001,MATCH(ROWS($AH$2:AH390),$AH$2:$AH$1001,0),0), INDEX($AO$1004:$BQ$1004,1,MATCH(COLUMNS($AO$1006:BG1006),$AO$1006:$BQ$1006,0)))),"Fix")))</f>
        <v>#N/A</v>
      </c>
      <c r="U390" s="5" t="e">
        <f ca="1">IF(OR(INDEX($AI$2:$AI$1001,MATCH(ROWS($AH$2:AH390),$AH$2:$AH$1001,0),1)&gt;=100000,INDEX($AO$1005:$BQ$1005,1,MATCH(COLUMNS($AO$1006:BH1006),$AO$1006:$BQ$1006,0))&gt;=100000), " ",IF(INDEX($AO$2:$BQ$1001,MATCH(ROWS($AH$2:AH390),$AH$2:$AH$1001,0),MATCH(COLUMNS($AO$1006:BH1006),$AO$1006:$BQ$1006,0)), HYPERLINK("#",""), HYPERLINK(CONCATENATE("#Metadata!", ADDRESS(INDEX($AJ$2:$AJ$1001,MATCH(ROWS($AH$2:AH390),$AH$2:$AH$1001,0),0), INDEX($AO$1004:$BQ$1004,1,MATCH(COLUMNS($AO$1006:BH1006),$AO$1006:$BQ$1006,0)))),"Fix")))</f>
        <v>#N/A</v>
      </c>
      <c r="V390" s="5" t="e">
        <f ca="1">IF(OR(INDEX($AI$2:$AI$1001,MATCH(ROWS($AH$2:AH390),$AH$2:$AH$1001,0),1)&gt;=100000,INDEX($AO$1005:$BQ$1005,1,MATCH(COLUMNS($AO$1006:BI1006),$AO$1006:$BQ$1006,0))&gt;=100000), " ",IF(INDEX($AO$2:$BQ$1001,MATCH(ROWS($AH$2:AH390),$AH$2:$AH$1001,0),MATCH(COLUMNS($AO$1006:BI1006),$AO$1006:$BQ$1006,0)), HYPERLINK("#",""), HYPERLINK(CONCATENATE("#Metadata!", ADDRESS(INDEX($AJ$2:$AJ$1001,MATCH(ROWS($AH$2:AH390),$AH$2:$AH$1001,0),0), INDEX($AO$1004:$BQ$1004,1,MATCH(COLUMNS($AO$1006:BI1006),$AO$1006:$BQ$1006,0)))),"Fix")))</f>
        <v>#N/A</v>
      </c>
      <c r="W390" s="5" t="e">
        <f ca="1">IF(OR(INDEX($AI$2:$AI$1001,MATCH(ROWS($AH$2:AH390),$AH$2:$AH$1001,0),1)&gt;=100000,INDEX($AO$1005:$BQ$1005,1,MATCH(COLUMNS($AO$1006:BJ1006),$AO$1006:$BQ$1006,0))&gt;=100000), " ",IF(INDEX($AO$2:$BQ$1001,MATCH(ROWS($AH$2:AH390),$AH$2:$AH$1001,0),MATCH(COLUMNS($AO$1006:BJ1006),$AO$1006:$BQ$1006,0)), HYPERLINK("#",""), HYPERLINK(CONCATENATE("#Metadata!", ADDRESS(INDEX($AJ$2:$AJ$1001,MATCH(ROWS($AH$2:AH390),$AH$2:$AH$1001,0),0), INDEX($AO$1004:$BQ$1004,1,MATCH(COLUMNS($AO$1006:BJ1006),$AO$1006:$BQ$1006,0)))),"Fix")))</f>
        <v>#N/A</v>
      </c>
      <c r="X390" s="5" t="e">
        <f ca="1">IF(OR(INDEX($AI$2:$AI$1001,MATCH(ROWS($AH$2:AH390),$AH$2:$AH$1001,0),1)&gt;=100000,INDEX($AO$1005:$BQ$1005,1,MATCH(COLUMNS($AO$1006:BK1006),$AO$1006:$BQ$1006,0))&gt;=100000), " ",IF(INDEX($AO$2:$BQ$1001,MATCH(ROWS($AH$2:AH390),$AH$2:$AH$1001,0),MATCH(COLUMNS($AO$1006:BK1006),$AO$1006:$BQ$1006,0)), HYPERLINK("#",""), HYPERLINK(CONCATENATE("#Metadata!", ADDRESS(INDEX($AJ$2:$AJ$1001,MATCH(ROWS($AH$2:AH390),$AH$2:$AH$1001,0),0), INDEX($AO$1004:$BQ$1004,1,MATCH(COLUMNS($AO$1006:BK1006),$AO$1006:$BQ$1006,0)))),"Fix")))</f>
        <v>#N/A</v>
      </c>
      <c r="Y390" s="5" t="e">
        <f ca="1">IF(OR(INDEX($AI$2:$AI$1001,MATCH(ROWS($AH$2:AH390),$AH$2:$AH$1001,0),1)&gt;=100000,INDEX($AO$1005:$BQ$1005,1,MATCH(COLUMNS($AO$1006:BL1006),$AO$1006:$BQ$1006,0))&gt;=100000), " ",IF(INDEX($AO$2:$BQ$1001,MATCH(ROWS($AH$2:AH390),$AH$2:$AH$1001,0),MATCH(COLUMNS($AO$1006:BL1006),$AO$1006:$BQ$1006,0)), HYPERLINK("#",""), HYPERLINK(CONCATENATE("#Metadata!", ADDRESS(INDEX($AJ$2:$AJ$1001,MATCH(ROWS($AH$2:AH390),$AH$2:$AH$1001,0),0), INDEX($AO$1004:$BQ$1004,1,MATCH(COLUMNS($AO$1006:BL1006),$AO$1006:$BQ$1006,0)))),"Fix")))</f>
        <v>#N/A</v>
      </c>
      <c r="Z390" s="5" t="e">
        <f ca="1">IF(OR(INDEX($AI$2:$AI$1001,MATCH(ROWS($AH$2:AH390),$AH$2:$AH$1001,0),1)&gt;=100000,INDEX($AO$1005:$BQ$1005,1,MATCH(COLUMNS($AO$1006:BM1006),$AO$1006:$BQ$1006,0))&gt;=100000), " ",IF(INDEX($AO$2:$BQ$1001,MATCH(ROWS($AH$2:AH390),$AH$2:$AH$1001,0),MATCH(COLUMNS($AO$1006:BM1006),$AO$1006:$BQ$1006,0)), HYPERLINK("#",""), HYPERLINK(CONCATENATE("#Metadata!", ADDRESS(INDEX($AJ$2:$AJ$1001,MATCH(ROWS($AH$2:AH390),$AH$2:$AH$1001,0),0), INDEX($AO$1004:$BQ$1004,1,MATCH(COLUMNS($AO$1006:BM1006),$AO$1006:$BQ$1006,0)))),"Fix")))</f>
        <v>#N/A</v>
      </c>
      <c r="AA390" s="5" t="e">
        <f ca="1">IF(OR(INDEX($AI$2:$AI$1001,MATCH(ROWS($AH$2:AH390),$AH$2:$AH$1001,0),1)&gt;=100000,INDEX($AO$1005:$BQ$1005,1,MATCH(COLUMNS($AO$1006:BN1006),$AO$1006:$BQ$1006,0))&gt;=100000), " ",IF(INDEX($AO$2:$BQ$1001,MATCH(ROWS($AH$2:AH390),$AH$2:$AH$1001,0),MATCH(COLUMNS($AO$1006:BN1006),$AO$1006:$BQ$1006,0)), HYPERLINK("#",""), HYPERLINK(CONCATENATE("#Metadata!", ADDRESS(INDEX($AJ$2:$AJ$1001,MATCH(ROWS($AH$2:AH390),$AH$2:$AH$1001,0),0), INDEX($AO$1004:$BQ$1004,1,MATCH(COLUMNS($AO$1006:BN1006),$AO$1006:$BQ$1006,0)))),"Fix")))</f>
        <v>#N/A</v>
      </c>
      <c r="AB390" s="5" t="e">
        <f ca="1">IF(OR(INDEX($AI$2:$AI$1001,MATCH(ROWS($AH$2:AH390),$AH$2:$AH$1001,0),1)&gt;=100000,INDEX($AO$1005:$BQ$1005,1,MATCH(COLUMNS($AO$1006:BO1006),$AO$1006:$BQ$1006,0))&gt;=100000), " ",IF(INDEX($AO$2:$BQ$1001,MATCH(ROWS($AH$2:AH390),$AH$2:$AH$1001,0),MATCH(COLUMNS($AO$1006:BO1006),$AO$1006:$BQ$1006,0)), HYPERLINK("#",""), HYPERLINK(CONCATENATE("#Metadata!", ADDRESS(INDEX($AJ$2:$AJ$1001,MATCH(ROWS($AH$2:AH390),$AH$2:$AH$1001,0),0), INDEX($AO$1004:$BQ$1004,1,MATCH(COLUMNS($AO$1006:BO1006),$AO$1006:$BQ$1006,0)))),"Fix")))</f>
        <v>#N/A</v>
      </c>
      <c r="AC390" s="5" t="e">
        <f ca="1">IF(OR(INDEX($AI$2:$AI$1001,MATCH(ROWS($AH$2:AH390),$AH$2:$AH$1001,0),1)&gt;=100000,INDEX($AO$1005:$BQ$1005,1,MATCH(COLUMNS($AO$1006:BP1006),$AO$1006:$BQ$1006,0))&gt;=100000), " ",IF(INDEX($AO$2:$BQ$1001,MATCH(ROWS($AH$2:AH390),$AH$2:$AH$1001,0),MATCH(COLUMNS($AO$1006:BP1006),$AO$1006:$BQ$1006,0)), HYPERLINK("#",""), HYPERLINK(CONCATENATE("#Metadata!", ADDRESS(INDEX($AJ$2:$AJ$1001,MATCH(ROWS($AH$2:AH390),$AH$2:$AH$1001,0),0), INDEX($AO$1004:$BQ$1004,1,MATCH(COLUMNS($AO$1006:BP1006),$AO$1006:$BQ$1006,0)))),"Fix")))</f>
        <v>#N/A</v>
      </c>
      <c r="AD390" s="5" t="e">
        <f ca="1">IF(OR(INDEX($AI$2:$AI$1001,MATCH(ROWS($AH$2:AH390),$AH$2:$AH$1001,0),1)&gt;=100000,INDEX($AO$1005:$BQ$1005,1,MATCH(COLUMNS($AO$1006:BQ1006),$AO$1006:$BQ$1006,0))&gt;=100000), " ",IF(INDEX($AO$2:$BQ$1001,MATCH(ROWS($AH$2:AH390),$AH$2:$AH$1001,0),MATCH(COLUMNS($AO$1006:BQ1006),$AO$1006:$BQ$1006,0)), HYPERLINK("#",""), HYPERLINK(CONCATENATE("#Metadata!", ADDRESS(INDEX($AJ$2:$AJ$1001,MATCH(ROWS($AH$2:AH390),$AH$2:$AH$1001,0),0), INDEX($AO$1004:$BQ$1004,1,MATCH(COLUMNS($AO$1006:BQ1006),$AO$1006:$BQ$1006,0)))),"Fix")))</f>
        <v>#REF!</v>
      </c>
      <c r="AH390">
        <f ca="1"/>
        <v>387</v>
      </c>
      <c r="AI390">
        <v>100390</v>
      </c>
      <c r="AJ390">
        <v>390</v>
      </c>
      <c r="AK390" t="b">
        <f t="shared" si="6"/>
        <v>1</v>
      </c>
      <c r="AL390" t="b">
        <f>COUNTBLANK(Metadata!B390:AD390)=COLUMNS(Metadata!B390:AD390)</f>
        <v>1</v>
      </c>
      <c r="AM390" t="str">
        <v/>
      </c>
      <c r="AO390" t="b">
        <f ca="1">AND(IF(Metadata!B390="",FALSE,TRUE),COUNTIF(Metadata!B:B, Metadata!B390) = 1,NOT(ISERROR(SUMPRODUCT(SEARCH(MID(Metadata!B390,ROW(INDIRECT("1:"&amp;LEN(Metadata!B390))), 1),"0123456789abcdefghijklmnopqrstuvwxyzABCDEFGHIJKLMNOPQRSTUVWXYZ.")))))</f>
        <v>0</v>
      </c>
      <c r="AP390" t="b">
        <f>IF(Metadata!C390="",FALSE,TRUE)</f>
        <v>0</v>
      </c>
      <c r="AQ390" t="b">
        <f>IF(Metadata!D390="",FALSE,TRUE)</f>
        <v>0</v>
      </c>
      <c r="AR390" t="b">
        <f ca="1">OR(AND(IF(Metadata!E390="",FALSE,TRUE),OR(EXACT(Metadata!E390,"not collected"),EXACT(Metadata!E390,"not provided"),EXACT(Metadata!E390,"restricted access"))),AND(IF(Metadata!E390="",FALSE,TRUE),AND(AND(IFERROR(INT(LEFT(Metadata!E390,4))&gt;1900,FALSE),IFERROR(INT(LEFT(Metadata!E390,4))&lt;=YEAR(NOW()),FALSE)), OR(MID(Metadata!E390,5,1)="", AND(AND(MID(Metadata!E390,5,1)="-",IFERROR(INT(MID(Metadata!E390,6,1))&gt;=0,FALSE),IFERROR(INT(MID(Metadata!E390,6,1))&lt;=1,FALSE),NOT(MID(Metadata!E390,7,1)=""),IFERROR(INT(MID(Metadata!E390,6,2))&gt;=1,FALSE),IFERROR(INT(MID(Metadata!E390,6,2))&lt;=12,FALSE)), OR(MID(Metadata!E390,8,1)="", AND(AND(MID(Metadata!E390,8,1)="-",IFERROR(INT(MID(Metadata!E390,9,1))&gt;=0,FALSE),IFERROR(INT(MID(Metadata!E390,9,1))&lt;=3,FALSE),NOT(MID(Metadata!E390,10,1)=""),IFERROR(INT(MID(Metadata!E390,9,2))&gt;=1,FALSE),IFERROR(INT(MID(Metadata!E390,9,2))&lt;=31,FALSE)), OR(MID(Metadata!E390,11,1)="", AND(AND(MID(Metadata!E390,11,1)=" ",IFERROR(INT(MID(Metadata!E390,12,1))&gt;=0,FALSE),IFERROR(INT(MID(Metadata!E390,12,1))&lt;=2,FALSE),NOT(MID(Metadata!E390,13,1)=""),IFERROR(INT(MID(Metadata!E390,12,2))&gt;=0,FALSE),IFERROR(INT(MID(Metadata!E390,12,2))&lt;=23,FALSE)), OR(MID(Metadata!E390,14,1)="", AND(AND(MID(Metadata!E390,14,1)=":",IFERROR(INT(MID(Metadata!E390,15,1))&gt;=0,FALSE),IFERROR(INT(MID(Metadata!E390,15,1))&lt;=5,FALSE),NOT(MID(Metadata!E390,16,1)=""),IFERROR(INT(MID(Metadata!E390,15,2))&gt;=0,FALSE),IFERROR(INT(MID(Metadata!E390,15,2))&lt;=59,FALSE)), OR(MID(Metadata!E390,17,1)="", AND(AND(MID(Metadata!E390,17,1)=":",IFERROR(INT(MID(Metadata!E390,18,1))&gt;=0,FALSE),IFERROR(INT(MID(Metadata!E390,18,1))&lt;=5,FALSE),NOT(MID(Metadata!E390,19,1)=""),IFERROR(INT(MID(Metadata!E390,18,2))&gt;=0,FALSE),IFERROR(INT(MID(Metadata!E390,18,2))&lt;=59,FALSE)), LEN(Metadata!E390)&lt;=19)))))))))))))</f>
        <v>0</v>
      </c>
      <c r="AS390" t="b">
        <f>IF(Metadata!F390="",FALSE,TRUE)</f>
        <v>0</v>
      </c>
      <c r="AT390" t="b">
        <f>OR(AND(IF(Metadata!G390="",FALSE,TRUE),OR(EXACT(Metadata!G390,"not collected"),EXACT(Metadata!G390,"not provided"))),AND(IF(Metadata!G390="",FALSE,TRUE),OR(EXACT(Metadata!G390,"TRUE"),EXACT(Metadata!G390,"FALSE"))))</f>
        <v>0</v>
      </c>
      <c r="AU390" t="b">
        <f>OR(AND(IF(Metadata!H390="",FALSE,TRUE),OR(EXACT(Metadata!H390,"not collected"),EXACT(Metadata!H390,"not provided"),EXACT(Metadata!H390,"restricted access"))),AND(IF(Metadata!H390="",FALSE,ISNUMBER(VALUE(Metadata!H390))),Metadata!H390&gt;=-413))</f>
        <v>0</v>
      </c>
      <c r="AV390" t="b">
        <f>AND(IF(Metadata!I390="",FALSE,TRUE),EXACT(Metadata!I390,"meters"))</f>
        <v>0</v>
      </c>
      <c r="AW390" t="b">
        <f>AND(IF(Metadata!J390="",FALSE,TRUE),EXACT(Metadata!J390,"free-living"))</f>
        <v>0</v>
      </c>
      <c r="AX390" t="b">
        <f>AND(IF(Metadata!K390="",FALSE,TRUE),OR(EXACT(Metadata!K390,"saline"),EXACT(Metadata!K390,"non-saline")))</f>
        <v>0</v>
      </c>
      <c r="AY390" t="b">
        <f>AND(IF(Metadata!L390="",FALSE,TRUE),OR(EXACT(Metadata!L390,"sub-surface (non-saline)"),EXACT(Metadata!L390,"surface (non-saline)"),EXACT(Metadata!L390,"water (non-saline)"),EXACT(Metadata!L390,"soil (non-saline)"),EXACT(Metadata!L390,"aerosol (non-saline)"),EXACT(Metadata!L390,"sediment (non-saline)"),EXACT(Metadata!L390,"surface (saline)"),EXACT(Metadata!L390,"water (saline)"),EXACT(Metadata!L390,"hypersaline (saline)"),EXACT(Metadata!L390,"aerosol (saline)"),EXACT(Metadata!L390,"sediment (saline)")))</f>
        <v>0</v>
      </c>
      <c r="AZ390" t="b">
        <f>IF(Metadata!M390="",FALSE,TRUE)</f>
        <v>0</v>
      </c>
      <c r="BA390" t="b">
        <f>IF(Metadata!N390="",FALSE,TRUE)</f>
        <v>0</v>
      </c>
      <c r="BB390" t="b">
        <f>IF(Metadata!O390="",FALSE,TRUE)</f>
        <v>0</v>
      </c>
      <c r="BC390" t="b">
        <f>AND(IF(Metadata!P390="",FALSE,TRUE),OR(EXACT(Metadata!P390,"air"),EXACT(Metadata!P390,"microbial mat/biofilm"),EXACT(Metadata!P390,"misc environment"),EXACT(Metadata!P390,"sediment"),EXACT(Metadata!P390,"soil"),EXACT(Metadata!P390,"wastewater/sludge"),EXACT(Metadata!P390,"water")))</f>
        <v>0</v>
      </c>
      <c r="BD390" t="b">
        <f>IF(Metadata!Q390="",FALSE,TRUE)</f>
        <v>0</v>
      </c>
      <c r="BE390" t="b">
        <f>IF(Metadata!R390="",FALSE,TRUE)</f>
        <v>0</v>
      </c>
      <c r="BF390" t="b">
        <f>OR(AND(IF(Metadata!S390="",FALSE,TRUE),OR(EXACT(Metadata!S390,"not collected"),EXACT(Metadata!S390,"not provided"),EXACT(Metadata!S390,"restricted access"))),AND(IF(Metadata!S390="",FALSE,ISNUMBER(VALUE(Metadata!S390))),Metadata!S390&gt;=-90,Metadata!S390&lt;=90))</f>
        <v>0</v>
      </c>
      <c r="BG390" t="b">
        <f>AND(IF(Metadata!T390="",FALSE,TRUE),EXACT(Metadata!T390,"Decimal degrees"))</f>
        <v>0</v>
      </c>
      <c r="BH390" t="b">
        <f>OR(AND(IF(Metadata!U390="",FALSE,TRUE),OR(EXACT(Metadata!U390,"not applicable"),EXACT(Metadata!U390,"not collected"))),IF(Metadata!U390="",FALSE,TRUE))</f>
        <v>0</v>
      </c>
      <c r="BI390" t="b">
        <f>OR(AND(IF(Metadata!V390="",FALSE,TRUE),OR(EXACT(Metadata!V390,"not collected"),EXACT(Metadata!V390,"not provided"),EXACT(Metadata!V390,"restricted access"))),AND(IF(Metadata!V390="",FALSE,ISNUMBER(VALUE(Metadata!V390))),Metadata!V390&gt;=-180,Metadata!V390&lt;=180))</f>
        <v>0</v>
      </c>
      <c r="BJ390" t="b">
        <f>AND(IF(Metadata!W390="",FALSE,TRUE),EXACT(Metadata!W390,"Decimal degrees"))</f>
        <v>0</v>
      </c>
      <c r="BK390" t="b">
        <f>IF(Metadata!X390="",FALSE,TRUE)</f>
        <v>0</v>
      </c>
      <c r="BL390" t="b">
        <f>OR(AND(IF(Metadata!Y390="",FALSE,TRUE),OR(EXACT(Metadata!Y390,"not collected"),EXACT(Metadata!Y390,"not provided"),EXACT(Metadata!Y390,"restricted access"))),AND(IF(Metadata!Y390="",FALSE,TRUE),OR(EXACT(Metadata!Y390,"TRUE"),EXACT(Metadata!Y390,"FALSE"))))</f>
        <v>0</v>
      </c>
      <c r="BM390" t="b">
        <f>OR(AND(IF(Metadata!Z390="",FALSE,TRUE),EXACT(Metadata!Z390,"not applicable")),AND(IF(Metadata!Z390="",FALSE,TRUE),OR(EXACT(Metadata!Z390,"beer"),EXACT(Metadata!Z390,"cheese"),EXACT(Metadata!Z390,"fresh water"),EXACT(Metadata!Z390,"marine sediment"),EXACT(Metadata!Z390,"sea water"),EXACT(Metadata!Z390,"sediment"),EXACT(Metadata!Z390,"soil"),EXACT(Metadata!Z390,"waste water"))))</f>
        <v>0</v>
      </c>
      <c r="BN390" t="b">
        <f>AND(IF(Metadata!AA390="",FALSE,TRUE),EXACT(Metadata!AA390,"metagenome"))</f>
        <v>0</v>
      </c>
      <c r="BO390" t="b">
        <f>AND(IF(Metadata!AB390="",FALSE,TRUE),EXACT(Metadata!AB390,"256318"))</f>
        <v>0</v>
      </c>
      <c r="BP390" t="b">
        <f>IF(Metadata!AC390="",FALSE,TRUE)</f>
        <v>0</v>
      </c>
      <c r="BQ390" t="b">
        <f>IF(Metadata!AD390="",FALSE,TRUE)</f>
        <v>0</v>
      </c>
    </row>
    <row r="391" spans="1:69" x14ac:dyDescent="0.2">
      <c r="A391" s="4" t="e">
        <f ca="1">IF(B391=" "," ",HYPERLINK(CONCATENATE("#metadata!",ADDRESS(INDEX($AJ$2:$AJ$1001,MATCH(ROWS($AH$2:AH391),$AH$2:$AH$1001,0),0),2)),INDEX($AM$2:$AM$1001,MATCH(ROWS($AH$2:AH391),$AH$2:$AH$1001,0),0)))</f>
        <v>#N/A</v>
      </c>
      <c r="B391" s="5" t="e">
        <f ca="1">IF(OR(INDEX($AI$2:$AI$1001,MATCH(ROWS($AH$2:AH391),$AH$2:$AH$1001,0),1)&gt;=100000,INDEX($AO$1005:$BQ$1005,1,MATCH(COLUMNS($AO$1006:AO1006),$AO$1006:$BQ$1006,0))&gt;=100000), " ",IF(INDEX($AO$2:$BQ$1001,MATCH(ROWS($AH$2:AH391),$AH$2:$AH$1001,0),MATCH(COLUMNS($AO$1006:AO1006),$AO$1006:$BQ$1006,0)), HYPERLINK("#",""), HYPERLINK(CONCATENATE("#Metadata!", ADDRESS(INDEX($AJ$2:$AJ$1001,MATCH(ROWS($AH$2:AH391),$AH$2:$AH$1001,0),0), INDEX($AO$1004:$BQ$1004,1,MATCH(COLUMNS($AO$1006:AO1006),$AO$1006:$BQ$1006,0)))),"Fix")))</f>
        <v>#N/A</v>
      </c>
      <c r="C391" s="5" t="e">
        <f ca="1">IF(OR(INDEX($AI$2:$AI$1001,MATCH(ROWS($AH$2:AH391),$AH$2:$AH$1001,0),1)&gt;=100000,INDEX($AO$1005:$BQ$1005,1,MATCH(COLUMNS($AO$1006:AP1006),$AO$1006:$BQ$1006,0))&gt;=100000), " ",IF(INDEX($AO$2:$BQ$1001,MATCH(ROWS($AH$2:AH391),$AH$2:$AH$1001,0),MATCH(COLUMNS($AO$1006:AP1006),$AO$1006:$BQ$1006,0)), HYPERLINK("#",""), HYPERLINK(CONCATENATE("#Metadata!", ADDRESS(INDEX($AJ$2:$AJ$1001,MATCH(ROWS($AH$2:AH391),$AH$2:$AH$1001,0),0), INDEX($AO$1004:$BQ$1004,1,MATCH(COLUMNS($AO$1006:AP1006),$AO$1006:$BQ$1006,0)))),"Fix")))</f>
        <v>#N/A</v>
      </c>
      <c r="D391" s="5" t="e">
        <f ca="1">IF(OR(INDEX($AI$2:$AI$1001,MATCH(ROWS($AH$2:AH391),$AH$2:$AH$1001,0),1)&gt;=100000,INDEX($AO$1005:$BQ$1005,1,MATCH(COLUMNS($AO$1006:AQ1006),$AO$1006:$BQ$1006,0))&gt;=100000), " ",IF(INDEX($AO$2:$BQ$1001,MATCH(ROWS($AH$2:AH391),$AH$2:$AH$1001,0),MATCH(COLUMNS($AO$1006:AQ1006),$AO$1006:$BQ$1006,0)), HYPERLINK("#",""), HYPERLINK(CONCATENATE("#Metadata!", ADDRESS(INDEX($AJ$2:$AJ$1001,MATCH(ROWS($AH$2:AH391),$AH$2:$AH$1001,0),0), INDEX($AO$1004:$BQ$1004,1,MATCH(COLUMNS($AO$1006:AQ1006),$AO$1006:$BQ$1006,0)))),"Fix")))</f>
        <v>#N/A</v>
      </c>
      <c r="E391" s="5" t="e">
        <f ca="1">IF(OR(INDEX($AI$2:$AI$1001,MATCH(ROWS($AH$2:AH391),$AH$2:$AH$1001,0),1)&gt;=100000,INDEX($AO$1005:$BQ$1005,1,MATCH(COLUMNS($AO$1006:AR1006),$AO$1006:$BQ$1006,0))&gt;=100000), " ",IF(INDEX($AO$2:$BQ$1001,MATCH(ROWS($AH$2:AH391),$AH$2:$AH$1001,0),MATCH(COLUMNS($AO$1006:AR1006),$AO$1006:$BQ$1006,0)), HYPERLINK("#",""), HYPERLINK(CONCATENATE("#Metadata!", ADDRESS(INDEX($AJ$2:$AJ$1001,MATCH(ROWS($AH$2:AH391),$AH$2:$AH$1001,0),0), INDEX($AO$1004:$BQ$1004,1,MATCH(COLUMNS($AO$1006:AR1006),$AO$1006:$BQ$1006,0)))),"Fix")))</f>
        <v>#N/A</v>
      </c>
      <c r="F391" s="5" t="e">
        <f ca="1">IF(OR(INDEX($AI$2:$AI$1001,MATCH(ROWS($AH$2:AH391),$AH$2:$AH$1001,0),1)&gt;=100000,INDEX($AO$1005:$BQ$1005,1,MATCH(COLUMNS($AO$1006:AS1006),$AO$1006:$BQ$1006,0))&gt;=100000), " ",IF(INDEX($AO$2:$BQ$1001,MATCH(ROWS($AH$2:AH391),$AH$2:$AH$1001,0),MATCH(COLUMNS($AO$1006:AS1006),$AO$1006:$BQ$1006,0)), HYPERLINK("#",""), HYPERLINK(CONCATENATE("#Metadata!", ADDRESS(INDEX($AJ$2:$AJ$1001,MATCH(ROWS($AH$2:AH391),$AH$2:$AH$1001,0),0), INDEX($AO$1004:$BQ$1004,1,MATCH(COLUMNS($AO$1006:AS1006),$AO$1006:$BQ$1006,0)))),"Fix")))</f>
        <v>#N/A</v>
      </c>
      <c r="G391" s="5" t="e">
        <f ca="1">IF(OR(INDEX($AI$2:$AI$1001,MATCH(ROWS($AH$2:AH391),$AH$2:$AH$1001,0),1)&gt;=100000,INDEX($AO$1005:$BQ$1005,1,MATCH(COLUMNS($AO$1006:AT1006),$AO$1006:$BQ$1006,0))&gt;=100000), " ",IF(INDEX($AO$2:$BQ$1001,MATCH(ROWS($AH$2:AH391),$AH$2:$AH$1001,0),MATCH(COLUMNS($AO$1006:AT1006),$AO$1006:$BQ$1006,0)), HYPERLINK("#",""), HYPERLINK(CONCATENATE("#Metadata!", ADDRESS(INDEX($AJ$2:$AJ$1001,MATCH(ROWS($AH$2:AH391),$AH$2:$AH$1001,0),0), INDEX($AO$1004:$BQ$1004,1,MATCH(COLUMNS($AO$1006:AT1006),$AO$1006:$BQ$1006,0)))),"Fix")))</f>
        <v>#N/A</v>
      </c>
      <c r="H391" s="5" t="e">
        <f ca="1">IF(OR(INDEX($AI$2:$AI$1001,MATCH(ROWS($AH$2:AH391),$AH$2:$AH$1001,0),1)&gt;=100000,INDEX($AO$1005:$BQ$1005,1,MATCH(COLUMNS($AO$1006:AU1006),$AO$1006:$BQ$1006,0))&gt;=100000), " ",IF(INDEX($AO$2:$BQ$1001,MATCH(ROWS($AH$2:AH391),$AH$2:$AH$1001,0),MATCH(COLUMNS($AO$1006:AU1006),$AO$1006:$BQ$1006,0)), HYPERLINK("#",""), HYPERLINK(CONCATENATE("#Metadata!", ADDRESS(INDEX($AJ$2:$AJ$1001,MATCH(ROWS($AH$2:AH391),$AH$2:$AH$1001,0),0), INDEX($AO$1004:$BQ$1004,1,MATCH(COLUMNS($AO$1006:AU1006),$AO$1006:$BQ$1006,0)))),"Fix")))</f>
        <v>#N/A</v>
      </c>
      <c r="I391" s="5" t="e">
        <f ca="1">IF(OR(INDEX($AI$2:$AI$1001,MATCH(ROWS($AH$2:AH391),$AH$2:$AH$1001,0),1)&gt;=100000,INDEX($AO$1005:$BQ$1005,1,MATCH(COLUMNS($AO$1006:AV1006),$AO$1006:$BQ$1006,0))&gt;=100000), " ",IF(INDEX($AO$2:$BQ$1001,MATCH(ROWS($AH$2:AH391),$AH$2:$AH$1001,0),MATCH(COLUMNS($AO$1006:AV1006),$AO$1006:$BQ$1006,0)), HYPERLINK("#",""), HYPERLINK(CONCATENATE("#Metadata!", ADDRESS(INDEX($AJ$2:$AJ$1001,MATCH(ROWS($AH$2:AH391),$AH$2:$AH$1001,0),0), INDEX($AO$1004:$BQ$1004,1,MATCH(COLUMNS($AO$1006:AV1006),$AO$1006:$BQ$1006,0)))),"Fix")))</f>
        <v>#N/A</v>
      </c>
      <c r="J391" s="5" t="e">
        <f ca="1">IF(OR(INDEX($AI$2:$AI$1001,MATCH(ROWS($AH$2:AH391),$AH$2:$AH$1001,0),1)&gt;=100000,INDEX($AO$1005:$BQ$1005,1,MATCH(COLUMNS($AO$1006:AW1006),$AO$1006:$BQ$1006,0))&gt;=100000), " ",IF(INDEX($AO$2:$BQ$1001,MATCH(ROWS($AH$2:AH391),$AH$2:$AH$1001,0),MATCH(COLUMNS($AO$1006:AW1006),$AO$1006:$BQ$1006,0)), HYPERLINK("#",""), HYPERLINK(CONCATENATE("#Metadata!", ADDRESS(INDEX($AJ$2:$AJ$1001,MATCH(ROWS($AH$2:AH391),$AH$2:$AH$1001,0),0), INDEX($AO$1004:$BQ$1004,1,MATCH(COLUMNS($AO$1006:AW1006),$AO$1006:$BQ$1006,0)))),"Fix")))</f>
        <v>#N/A</v>
      </c>
      <c r="K391" s="5" t="e">
        <f ca="1">IF(OR(INDEX($AI$2:$AI$1001,MATCH(ROWS($AH$2:AH391),$AH$2:$AH$1001,0),1)&gt;=100000,INDEX($AO$1005:$BQ$1005,1,MATCH(COLUMNS($AO$1006:AX1006),$AO$1006:$BQ$1006,0))&gt;=100000), " ",IF(INDEX($AO$2:$BQ$1001,MATCH(ROWS($AH$2:AH391),$AH$2:$AH$1001,0),MATCH(COLUMNS($AO$1006:AX1006),$AO$1006:$BQ$1006,0)), HYPERLINK("#",""), HYPERLINK(CONCATENATE("#Metadata!", ADDRESS(INDEX($AJ$2:$AJ$1001,MATCH(ROWS($AH$2:AH391),$AH$2:$AH$1001,0),0), INDEX($AO$1004:$BQ$1004,1,MATCH(COLUMNS($AO$1006:AX1006),$AO$1006:$BQ$1006,0)))),"Fix")))</f>
        <v>#N/A</v>
      </c>
      <c r="L391" s="5" t="e">
        <f ca="1">IF(OR(INDEX($AI$2:$AI$1001,MATCH(ROWS($AH$2:AH391),$AH$2:$AH$1001,0),1)&gt;=100000,INDEX($AO$1005:$BQ$1005,1,MATCH(COLUMNS($AO$1006:AY1006),$AO$1006:$BQ$1006,0))&gt;=100000), " ",IF(INDEX($AO$2:$BQ$1001,MATCH(ROWS($AH$2:AH391),$AH$2:$AH$1001,0),MATCH(COLUMNS($AO$1006:AY1006),$AO$1006:$BQ$1006,0)), HYPERLINK("#",""), HYPERLINK(CONCATENATE("#Metadata!", ADDRESS(INDEX($AJ$2:$AJ$1001,MATCH(ROWS($AH$2:AH391),$AH$2:$AH$1001,0),0), INDEX($AO$1004:$BQ$1004,1,MATCH(COLUMNS($AO$1006:AY1006),$AO$1006:$BQ$1006,0)))),"Fix")))</f>
        <v>#N/A</v>
      </c>
      <c r="M391" s="5" t="e">
        <f ca="1">IF(OR(INDEX($AI$2:$AI$1001,MATCH(ROWS($AH$2:AH391),$AH$2:$AH$1001,0),1)&gt;=100000,INDEX($AO$1005:$BQ$1005,1,MATCH(COLUMNS($AO$1006:AZ1006),$AO$1006:$BQ$1006,0))&gt;=100000), " ",IF(INDEX($AO$2:$BQ$1001,MATCH(ROWS($AH$2:AH391),$AH$2:$AH$1001,0),MATCH(COLUMNS($AO$1006:AZ1006),$AO$1006:$BQ$1006,0)), HYPERLINK("#",""), HYPERLINK(CONCATENATE("#Metadata!", ADDRESS(INDEX($AJ$2:$AJ$1001,MATCH(ROWS($AH$2:AH391),$AH$2:$AH$1001,0),0), INDEX($AO$1004:$BQ$1004,1,MATCH(COLUMNS($AO$1006:AZ1006),$AO$1006:$BQ$1006,0)))),"Fix")))</f>
        <v>#N/A</v>
      </c>
      <c r="N391" s="5" t="e">
        <f ca="1">IF(OR(INDEX($AI$2:$AI$1001,MATCH(ROWS($AH$2:AH391),$AH$2:$AH$1001,0),1)&gt;=100000,INDEX($AO$1005:$BQ$1005,1,MATCH(COLUMNS($AO$1006:BA1006),$AO$1006:$BQ$1006,0))&gt;=100000), " ",IF(INDEX($AO$2:$BQ$1001,MATCH(ROWS($AH$2:AH391),$AH$2:$AH$1001,0),MATCH(COLUMNS($AO$1006:BA1006),$AO$1006:$BQ$1006,0)), HYPERLINK("#",""), HYPERLINK(CONCATENATE("#Metadata!", ADDRESS(INDEX($AJ$2:$AJ$1001,MATCH(ROWS($AH$2:AH391),$AH$2:$AH$1001,0),0), INDEX($AO$1004:$BQ$1004,1,MATCH(COLUMNS($AO$1006:BA1006),$AO$1006:$BQ$1006,0)))),"Fix")))</f>
        <v>#N/A</v>
      </c>
      <c r="O391" s="5" t="e">
        <f ca="1">IF(OR(INDEX($AI$2:$AI$1001,MATCH(ROWS($AH$2:AH391),$AH$2:$AH$1001,0),1)&gt;=100000,INDEX($AO$1005:$BQ$1005,1,MATCH(COLUMNS($AO$1006:BB1006),$AO$1006:$BQ$1006,0))&gt;=100000), " ",IF(INDEX($AO$2:$BQ$1001,MATCH(ROWS($AH$2:AH391),$AH$2:$AH$1001,0),MATCH(COLUMNS($AO$1006:BB1006),$AO$1006:$BQ$1006,0)), HYPERLINK("#",""), HYPERLINK(CONCATENATE("#Metadata!", ADDRESS(INDEX($AJ$2:$AJ$1001,MATCH(ROWS($AH$2:AH391),$AH$2:$AH$1001,0),0), INDEX($AO$1004:$BQ$1004,1,MATCH(COLUMNS($AO$1006:BB1006),$AO$1006:$BQ$1006,0)))),"Fix")))</f>
        <v>#N/A</v>
      </c>
      <c r="P391" s="5" t="e">
        <f ca="1">IF(OR(INDEX($AI$2:$AI$1001,MATCH(ROWS($AH$2:AH391),$AH$2:$AH$1001,0),1)&gt;=100000,INDEX($AO$1005:$BQ$1005,1,MATCH(COLUMNS($AO$1006:BC1006),$AO$1006:$BQ$1006,0))&gt;=100000), " ",IF(INDEX($AO$2:$BQ$1001,MATCH(ROWS($AH$2:AH391),$AH$2:$AH$1001,0),MATCH(COLUMNS($AO$1006:BC1006),$AO$1006:$BQ$1006,0)), HYPERLINK("#",""), HYPERLINK(CONCATENATE("#Metadata!", ADDRESS(INDEX($AJ$2:$AJ$1001,MATCH(ROWS($AH$2:AH391),$AH$2:$AH$1001,0),0), INDEX($AO$1004:$BQ$1004,1,MATCH(COLUMNS($AO$1006:BC1006),$AO$1006:$BQ$1006,0)))),"Fix")))</f>
        <v>#N/A</v>
      </c>
      <c r="Q391" s="5" t="e">
        <f ca="1">IF(OR(INDEX($AI$2:$AI$1001,MATCH(ROWS($AH$2:AH391),$AH$2:$AH$1001,0),1)&gt;=100000,INDEX($AO$1005:$BQ$1005,1,MATCH(COLUMNS($AO$1006:BD1006),$AO$1006:$BQ$1006,0))&gt;=100000), " ",IF(INDEX($AO$2:$BQ$1001,MATCH(ROWS($AH$2:AH391),$AH$2:$AH$1001,0),MATCH(COLUMNS($AO$1006:BD1006),$AO$1006:$BQ$1006,0)), HYPERLINK("#",""), HYPERLINK(CONCATENATE("#Metadata!", ADDRESS(INDEX($AJ$2:$AJ$1001,MATCH(ROWS($AH$2:AH391),$AH$2:$AH$1001,0),0), INDEX($AO$1004:$BQ$1004,1,MATCH(COLUMNS($AO$1006:BD1006),$AO$1006:$BQ$1006,0)))),"Fix")))</f>
        <v>#N/A</v>
      </c>
      <c r="R391" s="5" t="e">
        <f ca="1">IF(OR(INDEX($AI$2:$AI$1001,MATCH(ROWS($AH$2:AH391),$AH$2:$AH$1001,0),1)&gt;=100000,INDEX($AO$1005:$BQ$1005,1,MATCH(COLUMNS($AO$1006:BE1006),$AO$1006:$BQ$1006,0))&gt;=100000), " ",IF(INDEX($AO$2:$BQ$1001,MATCH(ROWS($AH$2:AH391),$AH$2:$AH$1001,0),MATCH(COLUMNS($AO$1006:BE1006),$AO$1006:$BQ$1006,0)), HYPERLINK("#",""), HYPERLINK(CONCATENATE("#Metadata!", ADDRESS(INDEX($AJ$2:$AJ$1001,MATCH(ROWS($AH$2:AH391),$AH$2:$AH$1001,0),0), INDEX($AO$1004:$BQ$1004,1,MATCH(COLUMNS($AO$1006:BE1006),$AO$1006:$BQ$1006,0)))),"Fix")))</f>
        <v>#N/A</v>
      </c>
      <c r="S391" s="5" t="e">
        <f ca="1">IF(OR(INDEX($AI$2:$AI$1001,MATCH(ROWS($AH$2:AH391),$AH$2:$AH$1001,0),1)&gt;=100000,INDEX($AO$1005:$BQ$1005,1,MATCH(COLUMNS($AO$1006:BF1006),$AO$1006:$BQ$1006,0))&gt;=100000), " ",IF(INDEX($AO$2:$BQ$1001,MATCH(ROWS($AH$2:AH391),$AH$2:$AH$1001,0),MATCH(COLUMNS($AO$1006:BF1006),$AO$1006:$BQ$1006,0)), HYPERLINK("#",""), HYPERLINK(CONCATENATE("#Metadata!", ADDRESS(INDEX($AJ$2:$AJ$1001,MATCH(ROWS($AH$2:AH391),$AH$2:$AH$1001,0),0), INDEX($AO$1004:$BQ$1004,1,MATCH(COLUMNS($AO$1006:BF1006),$AO$1006:$BQ$1006,0)))),"Fix")))</f>
        <v>#N/A</v>
      </c>
      <c r="T391" s="5" t="e">
        <f ca="1">IF(OR(INDEX($AI$2:$AI$1001,MATCH(ROWS($AH$2:AH391),$AH$2:$AH$1001,0),1)&gt;=100000,INDEX($AO$1005:$BQ$1005,1,MATCH(COLUMNS($AO$1006:BG1006),$AO$1006:$BQ$1006,0))&gt;=100000), " ",IF(INDEX($AO$2:$BQ$1001,MATCH(ROWS($AH$2:AH391),$AH$2:$AH$1001,0),MATCH(COLUMNS($AO$1006:BG1006),$AO$1006:$BQ$1006,0)), HYPERLINK("#",""), HYPERLINK(CONCATENATE("#Metadata!", ADDRESS(INDEX($AJ$2:$AJ$1001,MATCH(ROWS($AH$2:AH391),$AH$2:$AH$1001,0),0), INDEX($AO$1004:$BQ$1004,1,MATCH(COLUMNS($AO$1006:BG1006),$AO$1006:$BQ$1006,0)))),"Fix")))</f>
        <v>#N/A</v>
      </c>
      <c r="U391" s="5" t="e">
        <f ca="1">IF(OR(INDEX($AI$2:$AI$1001,MATCH(ROWS($AH$2:AH391),$AH$2:$AH$1001,0),1)&gt;=100000,INDEX($AO$1005:$BQ$1005,1,MATCH(COLUMNS($AO$1006:BH1006),$AO$1006:$BQ$1006,0))&gt;=100000), " ",IF(INDEX($AO$2:$BQ$1001,MATCH(ROWS($AH$2:AH391),$AH$2:$AH$1001,0),MATCH(COLUMNS($AO$1006:BH1006),$AO$1006:$BQ$1006,0)), HYPERLINK("#",""), HYPERLINK(CONCATENATE("#Metadata!", ADDRESS(INDEX($AJ$2:$AJ$1001,MATCH(ROWS($AH$2:AH391),$AH$2:$AH$1001,0),0), INDEX($AO$1004:$BQ$1004,1,MATCH(COLUMNS($AO$1006:BH1006),$AO$1006:$BQ$1006,0)))),"Fix")))</f>
        <v>#N/A</v>
      </c>
      <c r="V391" s="5" t="e">
        <f ca="1">IF(OR(INDEX($AI$2:$AI$1001,MATCH(ROWS($AH$2:AH391),$AH$2:$AH$1001,0),1)&gt;=100000,INDEX($AO$1005:$BQ$1005,1,MATCH(COLUMNS($AO$1006:BI1006),$AO$1006:$BQ$1006,0))&gt;=100000), " ",IF(INDEX($AO$2:$BQ$1001,MATCH(ROWS($AH$2:AH391),$AH$2:$AH$1001,0),MATCH(COLUMNS($AO$1006:BI1006),$AO$1006:$BQ$1006,0)), HYPERLINK("#",""), HYPERLINK(CONCATENATE("#Metadata!", ADDRESS(INDEX($AJ$2:$AJ$1001,MATCH(ROWS($AH$2:AH391),$AH$2:$AH$1001,0),0), INDEX($AO$1004:$BQ$1004,1,MATCH(COLUMNS($AO$1006:BI1006),$AO$1006:$BQ$1006,0)))),"Fix")))</f>
        <v>#N/A</v>
      </c>
      <c r="W391" s="5" t="e">
        <f ca="1">IF(OR(INDEX($AI$2:$AI$1001,MATCH(ROWS($AH$2:AH391),$AH$2:$AH$1001,0),1)&gt;=100000,INDEX($AO$1005:$BQ$1005,1,MATCH(COLUMNS($AO$1006:BJ1006),$AO$1006:$BQ$1006,0))&gt;=100000), " ",IF(INDEX($AO$2:$BQ$1001,MATCH(ROWS($AH$2:AH391),$AH$2:$AH$1001,0),MATCH(COLUMNS($AO$1006:BJ1006),$AO$1006:$BQ$1006,0)), HYPERLINK("#",""), HYPERLINK(CONCATENATE("#Metadata!", ADDRESS(INDEX($AJ$2:$AJ$1001,MATCH(ROWS($AH$2:AH391),$AH$2:$AH$1001,0),0), INDEX($AO$1004:$BQ$1004,1,MATCH(COLUMNS($AO$1006:BJ1006),$AO$1006:$BQ$1006,0)))),"Fix")))</f>
        <v>#N/A</v>
      </c>
      <c r="X391" s="5" t="e">
        <f ca="1">IF(OR(INDEX($AI$2:$AI$1001,MATCH(ROWS($AH$2:AH391),$AH$2:$AH$1001,0),1)&gt;=100000,INDEX($AO$1005:$BQ$1005,1,MATCH(COLUMNS($AO$1006:BK1006),$AO$1006:$BQ$1006,0))&gt;=100000), " ",IF(INDEX($AO$2:$BQ$1001,MATCH(ROWS($AH$2:AH391),$AH$2:$AH$1001,0),MATCH(COLUMNS($AO$1006:BK1006),$AO$1006:$BQ$1006,0)), HYPERLINK("#",""), HYPERLINK(CONCATENATE("#Metadata!", ADDRESS(INDEX($AJ$2:$AJ$1001,MATCH(ROWS($AH$2:AH391),$AH$2:$AH$1001,0),0), INDEX($AO$1004:$BQ$1004,1,MATCH(COLUMNS($AO$1006:BK1006),$AO$1006:$BQ$1006,0)))),"Fix")))</f>
        <v>#N/A</v>
      </c>
      <c r="Y391" s="5" t="e">
        <f ca="1">IF(OR(INDEX($AI$2:$AI$1001,MATCH(ROWS($AH$2:AH391),$AH$2:$AH$1001,0),1)&gt;=100000,INDEX($AO$1005:$BQ$1005,1,MATCH(COLUMNS($AO$1006:BL1006),$AO$1006:$BQ$1006,0))&gt;=100000), " ",IF(INDEX($AO$2:$BQ$1001,MATCH(ROWS($AH$2:AH391),$AH$2:$AH$1001,0),MATCH(COLUMNS($AO$1006:BL1006),$AO$1006:$BQ$1006,0)), HYPERLINK("#",""), HYPERLINK(CONCATENATE("#Metadata!", ADDRESS(INDEX($AJ$2:$AJ$1001,MATCH(ROWS($AH$2:AH391),$AH$2:$AH$1001,0),0), INDEX($AO$1004:$BQ$1004,1,MATCH(COLUMNS($AO$1006:BL1006),$AO$1006:$BQ$1006,0)))),"Fix")))</f>
        <v>#N/A</v>
      </c>
      <c r="Z391" s="5" t="e">
        <f ca="1">IF(OR(INDEX($AI$2:$AI$1001,MATCH(ROWS($AH$2:AH391),$AH$2:$AH$1001,0),1)&gt;=100000,INDEX($AO$1005:$BQ$1005,1,MATCH(COLUMNS($AO$1006:BM1006),$AO$1006:$BQ$1006,0))&gt;=100000), " ",IF(INDEX($AO$2:$BQ$1001,MATCH(ROWS($AH$2:AH391),$AH$2:$AH$1001,0),MATCH(COLUMNS($AO$1006:BM1006),$AO$1006:$BQ$1006,0)), HYPERLINK("#",""), HYPERLINK(CONCATENATE("#Metadata!", ADDRESS(INDEX($AJ$2:$AJ$1001,MATCH(ROWS($AH$2:AH391),$AH$2:$AH$1001,0),0), INDEX($AO$1004:$BQ$1004,1,MATCH(COLUMNS($AO$1006:BM1006),$AO$1006:$BQ$1006,0)))),"Fix")))</f>
        <v>#N/A</v>
      </c>
      <c r="AA391" s="5" t="e">
        <f ca="1">IF(OR(INDEX($AI$2:$AI$1001,MATCH(ROWS($AH$2:AH391),$AH$2:$AH$1001,0),1)&gt;=100000,INDEX($AO$1005:$BQ$1005,1,MATCH(COLUMNS($AO$1006:BN1006),$AO$1006:$BQ$1006,0))&gt;=100000), " ",IF(INDEX($AO$2:$BQ$1001,MATCH(ROWS($AH$2:AH391),$AH$2:$AH$1001,0),MATCH(COLUMNS($AO$1006:BN1006),$AO$1006:$BQ$1006,0)), HYPERLINK("#",""), HYPERLINK(CONCATENATE("#Metadata!", ADDRESS(INDEX($AJ$2:$AJ$1001,MATCH(ROWS($AH$2:AH391),$AH$2:$AH$1001,0),0), INDEX($AO$1004:$BQ$1004,1,MATCH(COLUMNS($AO$1006:BN1006),$AO$1006:$BQ$1006,0)))),"Fix")))</f>
        <v>#N/A</v>
      </c>
      <c r="AB391" s="5" t="e">
        <f ca="1">IF(OR(INDEX($AI$2:$AI$1001,MATCH(ROWS($AH$2:AH391),$AH$2:$AH$1001,0),1)&gt;=100000,INDEX($AO$1005:$BQ$1005,1,MATCH(COLUMNS($AO$1006:BO1006),$AO$1006:$BQ$1006,0))&gt;=100000), " ",IF(INDEX($AO$2:$BQ$1001,MATCH(ROWS($AH$2:AH391),$AH$2:$AH$1001,0),MATCH(COLUMNS($AO$1006:BO1006),$AO$1006:$BQ$1006,0)), HYPERLINK("#",""), HYPERLINK(CONCATENATE("#Metadata!", ADDRESS(INDEX($AJ$2:$AJ$1001,MATCH(ROWS($AH$2:AH391),$AH$2:$AH$1001,0),0), INDEX($AO$1004:$BQ$1004,1,MATCH(COLUMNS($AO$1006:BO1006),$AO$1006:$BQ$1006,0)))),"Fix")))</f>
        <v>#N/A</v>
      </c>
      <c r="AC391" s="5" t="e">
        <f ca="1">IF(OR(INDEX($AI$2:$AI$1001,MATCH(ROWS($AH$2:AH391),$AH$2:$AH$1001,0),1)&gt;=100000,INDEX($AO$1005:$BQ$1005,1,MATCH(COLUMNS($AO$1006:BP1006),$AO$1006:$BQ$1006,0))&gt;=100000), " ",IF(INDEX($AO$2:$BQ$1001,MATCH(ROWS($AH$2:AH391),$AH$2:$AH$1001,0),MATCH(COLUMNS($AO$1006:BP1006),$AO$1006:$BQ$1006,0)), HYPERLINK("#",""), HYPERLINK(CONCATENATE("#Metadata!", ADDRESS(INDEX($AJ$2:$AJ$1001,MATCH(ROWS($AH$2:AH391),$AH$2:$AH$1001,0),0), INDEX($AO$1004:$BQ$1004,1,MATCH(COLUMNS($AO$1006:BP1006),$AO$1006:$BQ$1006,0)))),"Fix")))</f>
        <v>#N/A</v>
      </c>
      <c r="AD391" s="5" t="e">
        <f ca="1">IF(OR(INDEX($AI$2:$AI$1001,MATCH(ROWS($AH$2:AH391),$AH$2:$AH$1001,0),1)&gt;=100000,INDEX($AO$1005:$BQ$1005,1,MATCH(COLUMNS($AO$1006:BQ1006),$AO$1006:$BQ$1006,0))&gt;=100000), " ",IF(INDEX($AO$2:$BQ$1001,MATCH(ROWS($AH$2:AH391),$AH$2:$AH$1001,0),MATCH(COLUMNS($AO$1006:BQ1006),$AO$1006:$BQ$1006,0)), HYPERLINK("#",""), HYPERLINK(CONCATENATE("#Metadata!", ADDRESS(INDEX($AJ$2:$AJ$1001,MATCH(ROWS($AH$2:AH391),$AH$2:$AH$1001,0),0), INDEX($AO$1004:$BQ$1004,1,MATCH(COLUMNS($AO$1006:BQ1006),$AO$1006:$BQ$1006,0)))),"Fix")))</f>
        <v>#REF!</v>
      </c>
      <c r="AH391">
        <f ca="1"/>
        <v>388</v>
      </c>
      <c r="AI391">
        <v>100391</v>
      </c>
      <c r="AJ391">
        <v>391</v>
      </c>
      <c r="AK391" t="b">
        <f t="shared" si="6"/>
        <v>1</v>
      </c>
      <c r="AL391" t="b">
        <f>COUNTBLANK(Metadata!B391:AD391)=COLUMNS(Metadata!B391:AD391)</f>
        <v>1</v>
      </c>
      <c r="AM391" t="str">
        <v/>
      </c>
      <c r="AO391" t="b">
        <f ca="1">AND(IF(Metadata!B391="",FALSE,TRUE),COUNTIF(Metadata!B:B, Metadata!B391) = 1,NOT(ISERROR(SUMPRODUCT(SEARCH(MID(Metadata!B391,ROW(INDIRECT("1:"&amp;LEN(Metadata!B391))), 1),"0123456789abcdefghijklmnopqrstuvwxyzABCDEFGHIJKLMNOPQRSTUVWXYZ.")))))</f>
        <v>0</v>
      </c>
      <c r="AP391" t="b">
        <f>IF(Metadata!C391="",FALSE,TRUE)</f>
        <v>0</v>
      </c>
      <c r="AQ391" t="b">
        <f>IF(Metadata!D391="",FALSE,TRUE)</f>
        <v>0</v>
      </c>
      <c r="AR391" t="b">
        <f ca="1">OR(AND(IF(Metadata!E391="",FALSE,TRUE),OR(EXACT(Metadata!E391,"not collected"),EXACT(Metadata!E391,"not provided"),EXACT(Metadata!E391,"restricted access"))),AND(IF(Metadata!E391="",FALSE,TRUE),AND(AND(IFERROR(INT(LEFT(Metadata!E391,4))&gt;1900,FALSE),IFERROR(INT(LEFT(Metadata!E391,4))&lt;=YEAR(NOW()),FALSE)), OR(MID(Metadata!E391,5,1)="", AND(AND(MID(Metadata!E391,5,1)="-",IFERROR(INT(MID(Metadata!E391,6,1))&gt;=0,FALSE),IFERROR(INT(MID(Metadata!E391,6,1))&lt;=1,FALSE),NOT(MID(Metadata!E391,7,1)=""),IFERROR(INT(MID(Metadata!E391,6,2))&gt;=1,FALSE),IFERROR(INT(MID(Metadata!E391,6,2))&lt;=12,FALSE)), OR(MID(Metadata!E391,8,1)="", AND(AND(MID(Metadata!E391,8,1)="-",IFERROR(INT(MID(Metadata!E391,9,1))&gt;=0,FALSE),IFERROR(INT(MID(Metadata!E391,9,1))&lt;=3,FALSE),NOT(MID(Metadata!E391,10,1)=""),IFERROR(INT(MID(Metadata!E391,9,2))&gt;=1,FALSE),IFERROR(INT(MID(Metadata!E391,9,2))&lt;=31,FALSE)), OR(MID(Metadata!E391,11,1)="", AND(AND(MID(Metadata!E391,11,1)=" ",IFERROR(INT(MID(Metadata!E391,12,1))&gt;=0,FALSE),IFERROR(INT(MID(Metadata!E391,12,1))&lt;=2,FALSE),NOT(MID(Metadata!E391,13,1)=""),IFERROR(INT(MID(Metadata!E391,12,2))&gt;=0,FALSE),IFERROR(INT(MID(Metadata!E391,12,2))&lt;=23,FALSE)), OR(MID(Metadata!E391,14,1)="", AND(AND(MID(Metadata!E391,14,1)=":",IFERROR(INT(MID(Metadata!E391,15,1))&gt;=0,FALSE),IFERROR(INT(MID(Metadata!E391,15,1))&lt;=5,FALSE),NOT(MID(Metadata!E391,16,1)=""),IFERROR(INT(MID(Metadata!E391,15,2))&gt;=0,FALSE),IFERROR(INT(MID(Metadata!E391,15,2))&lt;=59,FALSE)), OR(MID(Metadata!E391,17,1)="", AND(AND(MID(Metadata!E391,17,1)=":",IFERROR(INT(MID(Metadata!E391,18,1))&gt;=0,FALSE),IFERROR(INT(MID(Metadata!E391,18,1))&lt;=5,FALSE),NOT(MID(Metadata!E391,19,1)=""),IFERROR(INT(MID(Metadata!E391,18,2))&gt;=0,FALSE),IFERROR(INT(MID(Metadata!E391,18,2))&lt;=59,FALSE)), LEN(Metadata!E391)&lt;=19)))))))))))))</f>
        <v>0</v>
      </c>
      <c r="AS391" t="b">
        <f>IF(Metadata!F391="",FALSE,TRUE)</f>
        <v>0</v>
      </c>
      <c r="AT391" t="b">
        <f>OR(AND(IF(Metadata!G391="",FALSE,TRUE),OR(EXACT(Metadata!G391,"not collected"),EXACT(Metadata!G391,"not provided"))),AND(IF(Metadata!G391="",FALSE,TRUE),OR(EXACT(Metadata!G391,"TRUE"),EXACT(Metadata!G391,"FALSE"))))</f>
        <v>0</v>
      </c>
      <c r="AU391" t="b">
        <f>OR(AND(IF(Metadata!H391="",FALSE,TRUE),OR(EXACT(Metadata!H391,"not collected"),EXACT(Metadata!H391,"not provided"),EXACT(Metadata!H391,"restricted access"))),AND(IF(Metadata!H391="",FALSE,ISNUMBER(VALUE(Metadata!H391))),Metadata!H391&gt;=-413))</f>
        <v>0</v>
      </c>
      <c r="AV391" t="b">
        <f>AND(IF(Metadata!I391="",FALSE,TRUE),EXACT(Metadata!I391,"meters"))</f>
        <v>0</v>
      </c>
      <c r="AW391" t="b">
        <f>AND(IF(Metadata!J391="",FALSE,TRUE),EXACT(Metadata!J391,"free-living"))</f>
        <v>0</v>
      </c>
      <c r="AX391" t="b">
        <f>AND(IF(Metadata!K391="",FALSE,TRUE),OR(EXACT(Metadata!K391,"saline"),EXACT(Metadata!K391,"non-saline")))</f>
        <v>0</v>
      </c>
      <c r="AY391" t="b">
        <f>AND(IF(Metadata!L391="",FALSE,TRUE),OR(EXACT(Metadata!L391,"sub-surface (non-saline)"),EXACT(Metadata!L391,"surface (non-saline)"),EXACT(Metadata!L391,"water (non-saline)"),EXACT(Metadata!L391,"soil (non-saline)"),EXACT(Metadata!L391,"aerosol (non-saline)"),EXACT(Metadata!L391,"sediment (non-saline)"),EXACT(Metadata!L391,"surface (saline)"),EXACT(Metadata!L391,"water (saline)"),EXACT(Metadata!L391,"hypersaline (saline)"),EXACT(Metadata!L391,"aerosol (saline)"),EXACT(Metadata!L391,"sediment (saline)")))</f>
        <v>0</v>
      </c>
      <c r="AZ391" t="b">
        <f>IF(Metadata!M391="",FALSE,TRUE)</f>
        <v>0</v>
      </c>
      <c r="BA391" t="b">
        <f>IF(Metadata!N391="",FALSE,TRUE)</f>
        <v>0</v>
      </c>
      <c r="BB391" t="b">
        <f>IF(Metadata!O391="",FALSE,TRUE)</f>
        <v>0</v>
      </c>
      <c r="BC391" t="b">
        <f>AND(IF(Metadata!P391="",FALSE,TRUE),OR(EXACT(Metadata!P391,"air"),EXACT(Metadata!P391,"microbial mat/biofilm"),EXACT(Metadata!P391,"misc environment"),EXACT(Metadata!P391,"sediment"),EXACT(Metadata!P391,"soil"),EXACT(Metadata!P391,"wastewater/sludge"),EXACT(Metadata!P391,"water")))</f>
        <v>0</v>
      </c>
      <c r="BD391" t="b">
        <f>IF(Metadata!Q391="",FALSE,TRUE)</f>
        <v>0</v>
      </c>
      <c r="BE391" t="b">
        <f>IF(Metadata!R391="",FALSE,TRUE)</f>
        <v>0</v>
      </c>
      <c r="BF391" t="b">
        <f>OR(AND(IF(Metadata!S391="",FALSE,TRUE),OR(EXACT(Metadata!S391,"not collected"),EXACT(Metadata!S391,"not provided"),EXACT(Metadata!S391,"restricted access"))),AND(IF(Metadata!S391="",FALSE,ISNUMBER(VALUE(Metadata!S391))),Metadata!S391&gt;=-90,Metadata!S391&lt;=90))</f>
        <v>0</v>
      </c>
      <c r="BG391" t="b">
        <f>AND(IF(Metadata!T391="",FALSE,TRUE),EXACT(Metadata!T391,"Decimal degrees"))</f>
        <v>0</v>
      </c>
      <c r="BH391" t="b">
        <f>OR(AND(IF(Metadata!U391="",FALSE,TRUE),OR(EXACT(Metadata!U391,"not applicable"),EXACT(Metadata!U391,"not collected"))),IF(Metadata!U391="",FALSE,TRUE))</f>
        <v>0</v>
      </c>
      <c r="BI391" t="b">
        <f>OR(AND(IF(Metadata!V391="",FALSE,TRUE),OR(EXACT(Metadata!V391,"not collected"),EXACT(Metadata!V391,"not provided"),EXACT(Metadata!V391,"restricted access"))),AND(IF(Metadata!V391="",FALSE,ISNUMBER(VALUE(Metadata!V391))),Metadata!V391&gt;=-180,Metadata!V391&lt;=180))</f>
        <v>0</v>
      </c>
      <c r="BJ391" t="b">
        <f>AND(IF(Metadata!W391="",FALSE,TRUE),EXACT(Metadata!W391,"Decimal degrees"))</f>
        <v>0</v>
      </c>
      <c r="BK391" t="b">
        <f>IF(Metadata!X391="",FALSE,TRUE)</f>
        <v>0</v>
      </c>
      <c r="BL391" t="b">
        <f>OR(AND(IF(Metadata!Y391="",FALSE,TRUE),OR(EXACT(Metadata!Y391,"not collected"),EXACT(Metadata!Y391,"not provided"),EXACT(Metadata!Y391,"restricted access"))),AND(IF(Metadata!Y391="",FALSE,TRUE),OR(EXACT(Metadata!Y391,"TRUE"),EXACT(Metadata!Y391,"FALSE"))))</f>
        <v>0</v>
      </c>
      <c r="BM391" t="b">
        <f>OR(AND(IF(Metadata!Z391="",FALSE,TRUE),EXACT(Metadata!Z391,"not applicable")),AND(IF(Metadata!Z391="",FALSE,TRUE),OR(EXACT(Metadata!Z391,"beer"),EXACT(Metadata!Z391,"cheese"),EXACT(Metadata!Z391,"fresh water"),EXACT(Metadata!Z391,"marine sediment"),EXACT(Metadata!Z391,"sea water"),EXACT(Metadata!Z391,"sediment"),EXACT(Metadata!Z391,"soil"),EXACT(Metadata!Z391,"waste water"))))</f>
        <v>0</v>
      </c>
      <c r="BN391" t="b">
        <f>AND(IF(Metadata!AA391="",FALSE,TRUE),EXACT(Metadata!AA391,"metagenome"))</f>
        <v>0</v>
      </c>
      <c r="BO391" t="b">
        <f>AND(IF(Metadata!AB391="",FALSE,TRUE),EXACT(Metadata!AB391,"256318"))</f>
        <v>0</v>
      </c>
      <c r="BP391" t="b">
        <f>IF(Metadata!AC391="",FALSE,TRUE)</f>
        <v>0</v>
      </c>
      <c r="BQ391" t="b">
        <f>IF(Metadata!AD391="",FALSE,TRUE)</f>
        <v>0</v>
      </c>
    </row>
    <row r="392" spans="1:69" x14ac:dyDescent="0.2">
      <c r="A392" s="4" t="e">
        <f ca="1">IF(B392=" "," ",HYPERLINK(CONCATENATE("#metadata!",ADDRESS(INDEX($AJ$2:$AJ$1001,MATCH(ROWS($AH$2:AH392),$AH$2:$AH$1001,0),0),2)),INDEX($AM$2:$AM$1001,MATCH(ROWS($AH$2:AH392),$AH$2:$AH$1001,0),0)))</f>
        <v>#N/A</v>
      </c>
      <c r="B392" s="5" t="e">
        <f ca="1">IF(OR(INDEX($AI$2:$AI$1001,MATCH(ROWS($AH$2:AH392),$AH$2:$AH$1001,0),1)&gt;=100000,INDEX($AO$1005:$BQ$1005,1,MATCH(COLUMNS($AO$1006:AO1006),$AO$1006:$BQ$1006,0))&gt;=100000), " ",IF(INDEX($AO$2:$BQ$1001,MATCH(ROWS($AH$2:AH392),$AH$2:$AH$1001,0),MATCH(COLUMNS($AO$1006:AO1006),$AO$1006:$BQ$1006,0)), HYPERLINK("#",""), HYPERLINK(CONCATENATE("#Metadata!", ADDRESS(INDEX($AJ$2:$AJ$1001,MATCH(ROWS($AH$2:AH392),$AH$2:$AH$1001,0),0), INDEX($AO$1004:$BQ$1004,1,MATCH(COLUMNS($AO$1006:AO1006),$AO$1006:$BQ$1006,0)))),"Fix")))</f>
        <v>#N/A</v>
      </c>
      <c r="C392" s="5" t="e">
        <f ca="1">IF(OR(INDEX($AI$2:$AI$1001,MATCH(ROWS($AH$2:AH392),$AH$2:$AH$1001,0),1)&gt;=100000,INDEX($AO$1005:$BQ$1005,1,MATCH(COLUMNS($AO$1006:AP1006),$AO$1006:$BQ$1006,0))&gt;=100000), " ",IF(INDEX($AO$2:$BQ$1001,MATCH(ROWS($AH$2:AH392),$AH$2:$AH$1001,0),MATCH(COLUMNS($AO$1006:AP1006),$AO$1006:$BQ$1006,0)), HYPERLINK("#",""), HYPERLINK(CONCATENATE("#Metadata!", ADDRESS(INDEX($AJ$2:$AJ$1001,MATCH(ROWS($AH$2:AH392),$AH$2:$AH$1001,0),0), INDEX($AO$1004:$BQ$1004,1,MATCH(COLUMNS($AO$1006:AP1006),$AO$1006:$BQ$1006,0)))),"Fix")))</f>
        <v>#N/A</v>
      </c>
      <c r="D392" s="5" t="e">
        <f ca="1">IF(OR(INDEX($AI$2:$AI$1001,MATCH(ROWS($AH$2:AH392),$AH$2:$AH$1001,0),1)&gt;=100000,INDEX($AO$1005:$BQ$1005,1,MATCH(COLUMNS($AO$1006:AQ1006),$AO$1006:$BQ$1006,0))&gt;=100000), " ",IF(INDEX($AO$2:$BQ$1001,MATCH(ROWS($AH$2:AH392),$AH$2:$AH$1001,0),MATCH(COLUMNS($AO$1006:AQ1006),$AO$1006:$BQ$1006,0)), HYPERLINK("#",""), HYPERLINK(CONCATENATE("#Metadata!", ADDRESS(INDEX($AJ$2:$AJ$1001,MATCH(ROWS($AH$2:AH392),$AH$2:$AH$1001,0),0), INDEX($AO$1004:$BQ$1004,1,MATCH(COLUMNS($AO$1006:AQ1006),$AO$1006:$BQ$1006,0)))),"Fix")))</f>
        <v>#N/A</v>
      </c>
      <c r="E392" s="5" t="e">
        <f ca="1">IF(OR(INDEX($AI$2:$AI$1001,MATCH(ROWS($AH$2:AH392),$AH$2:$AH$1001,0),1)&gt;=100000,INDEX($AO$1005:$BQ$1005,1,MATCH(COLUMNS($AO$1006:AR1006),$AO$1006:$BQ$1006,0))&gt;=100000), " ",IF(INDEX($AO$2:$BQ$1001,MATCH(ROWS($AH$2:AH392),$AH$2:$AH$1001,0),MATCH(COLUMNS($AO$1006:AR1006),$AO$1006:$BQ$1006,0)), HYPERLINK("#",""), HYPERLINK(CONCATENATE("#Metadata!", ADDRESS(INDEX($AJ$2:$AJ$1001,MATCH(ROWS($AH$2:AH392),$AH$2:$AH$1001,0),0), INDEX($AO$1004:$BQ$1004,1,MATCH(COLUMNS($AO$1006:AR1006),$AO$1006:$BQ$1006,0)))),"Fix")))</f>
        <v>#N/A</v>
      </c>
      <c r="F392" s="5" t="e">
        <f ca="1">IF(OR(INDEX($AI$2:$AI$1001,MATCH(ROWS($AH$2:AH392),$AH$2:$AH$1001,0),1)&gt;=100000,INDEX($AO$1005:$BQ$1005,1,MATCH(COLUMNS($AO$1006:AS1006),$AO$1006:$BQ$1006,0))&gt;=100000), " ",IF(INDEX($AO$2:$BQ$1001,MATCH(ROWS($AH$2:AH392),$AH$2:$AH$1001,0),MATCH(COLUMNS($AO$1006:AS1006),$AO$1006:$BQ$1006,0)), HYPERLINK("#",""), HYPERLINK(CONCATENATE("#Metadata!", ADDRESS(INDEX($AJ$2:$AJ$1001,MATCH(ROWS($AH$2:AH392),$AH$2:$AH$1001,0),0), INDEX($AO$1004:$BQ$1004,1,MATCH(COLUMNS($AO$1006:AS1006),$AO$1006:$BQ$1006,0)))),"Fix")))</f>
        <v>#N/A</v>
      </c>
      <c r="G392" s="5" t="e">
        <f ca="1">IF(OR(INDEX($AI$2:$AI$1001,MATCH(ROWS($AH$2:AH392),$AH$2:$AH$1001,0),1)&gt;=100000,INDEX($AO$1005:$BQ$1005,1,MATCH(COLUMNS($AO$1006:AT1006),$AO$1006:$BQ$1006,0))&gt;=100000), " ",IF(INDEX($AO$2:$BQ$1001,MATCH(ROWS($AH$2:AH392),$AH$2:$AH$1001,0),MATCH(COLUMNS($AO$1006:AT1006),$AO$1006:$BQ$1006,0)), HYPERLINK("#",""), HYPERLINK(CONCATENATE("#Metadata!", ADDRESS(INDEX($AJ$2:$AJ$1001,MATCH(ROWS($AH$2:AH392),$AH$2:$AH$1001,0),0), INDEX($AO$1004:$BQ$1004,1,MATCH(COLUMNS($AO$1006:AT1006),$AO$1006:$BQ$1006,0)))),"Fix")))</f>
        <v>#N/A</v>
      </c>
      <c r="H392" s="5" t="e">
        <f ca="1">IF(OR(INDEX($AI$2:$AI$1001,MATCH(ROWS($AH$2:AH392),$AH$2:$AH$1001,0),1)&gt;=100000,INDEX($AO$1005:$BQ$1005,1,MATCH(COLUMNS($AO$1006:AU1006),$AO$1006:$BQ$1006,0))&gt;=100000), " ",IF(INDEX($AO$2:$BQ$1001,MATCH(ROWS($AH$2:AH392),$AH$2:$AH$1001,0),MATCH(COLUMNS($AO$1006:AU1006),$AO$1006:$BQ$1006,0)), HYPERLINK("#",""), HYPERLINK(CONCATENATE("#Metadata!", ADDRESS(INDEX($AJ$2:$AJ$1001,MATCH(ROWS($AH$2:AH392),$AH$2:$AH$1001,0),0), INDEX($AO$1004:$BQ$1004,1,MATCH(COLUMNS($AO$1006:AU1006),$AO$1006:$BQ$1006,0)))),"Fix")))</f>
        <v>#N/A</v>
      </c>
      <c r="I392" s="5" t="e">
        <f ca="1">IF(OR(INDEX($AI$2:$AI$1001,MATCH(ROWS($AH$2:AH392),$AH$2:$AH$1001,0),1)&gt;=100000,INDEX($AO$1005:$BQ$1005,1,MATCH(COLUMNS($AO$1006:AV1006),$AO$1006:$BQ$1006,0))&gt;=100000), " ",IF(INDEX($AO$2:$BQ$1001,MATCH(ROWS($AH$2:AH392),$AH$2:$AH$1001,0),MATCH(COLUMNS($AO$1006:AV1006),$AO$1006:$BQ$1006,0)), HYPERLINK("#",""), HYPERLINK(CONCATENATE("#Metadata!", ADDRESS(INDEX($AJ$2:$AJ$1001,MATCH(ROWS($AH$2:AH392),$AH$2:$AH$1001,0),0), INDEX($AO$1004:$BQ$1004,1,MATCH(COLUMNS($AO$1006:AV1006),$AO$1006:$BQ$1006,0)))),"Fix")))</f>
        <v>#N/A</v>
      </c>
      <c r="J392" s="5" t="e">
        <f ca="1">IF(OR(INDEX($AI$2:$AI$1001,MATCH(ROWS($AH$2:AH392),$AH$2:$AH$1001,0),1)&gt;=100000,INDEX($AO$1005:$BQ$1005,1,MATCH(COLUMNS($AO$1006:AW1006),$AO$1006:$BQ$1006,0))&gt;=100000), " ",IF(INDEX($AO$2:$BQ$1001,MATCH(ROWS($AH$2:AH392),$AH$2:$AH$1001,0),MATCH(COLUMNS($AO$1006:AW1006),$AO$1006:$BQ$1006,0)), HYPERLINK("#",""), HYPERLINK(CONCATENATE("#Metadata!", ADDRESS(INDEX($AJ$2:$AJ$1001,MATCH(ROWS($AH$2:AH392),$AH$2:$AH$1001,0),0), INDEX($AO$1004:$BQ$1004,1,MATCH(COLUMNS($AO$1006:AW1006),$AO$1006:$BQ$1006,0)))),"Fix")))</f>
        <v>#N/A</v>
      </c>
      <c r="K392" s="5" t="e">
        <f ca="1">IF(OR(INDEX($AI$2:$AI$1001,MATCH(ROWS($AH$2:AH392),$AH$2:$AH$1001,0),1)&gt;=100000,INDEX($AO$1005:$BQ$1005,1,MATCH(COLUMNS($AO$1006:AX1006),$AO$1006:$BQ$1006,0))&gt;=100000), " ",IF(INDEX($AO$2:$BQ$1001,MATCH(ROWS($AH$2:AH392),$AH$2:$AH$1001,0),MATCH(COLUMNS($AO$1006:AX1006),$AO$1006:$BQ$1006,0)), HYPERLINK("#",""), HYPERLINK(CONCATENATE("#Metadata!", ADDRESS(INDEX($AJ$2:$AJ$1001,MATCH(ROWS($AH$2:AH392),$AH$2:$AH$1001,0),0), INDEX($AO$1004:$BQ$1004,1,MATCH(COLUMNS($AO$1006:AX1006),$AO$1006:$BQ$1006,0)))),"Fix")))</f>
        <v>#N/A</v>
      </c>
      <c r="L392" s="5" t="e">
        <f ca="1">IF(OR(INDEX($AI$2:$AI$1001,MATCH(ROWS($AH$2:AH392),$AH$2:$AH$1001,0),1)&gt;=100000,INDEX($AO$1005:$BQ$1005,1,MATCH(COLUMNS($AO$1006:AY1006),$AO$1006:$BQ$1006,0))&gt;=100000), " ",IF(INDEX($AO$2:$BQ$1001,MATCH(ROWS($AH$2:AH392),$AH$2:$AH$1001,0),MATCH(COLUMNS($AO$1006:AY1006),$AO$1006:$BQ$1006,0)), HYPERLINK("#",""), HYPERLINK(CONCATENATE("#Metadata!", ADDRESS(INDEX($AJ$2:$AJ$1001,MATCH(ROWS($AH$2:AH392),$AH$2:$AH$1001,0),0), INDEX($AO$1004:$BQ$1004,1,MATCH(COLUMNS($AO$1006:AY1006),$AO$1006:$BQ$1006,0)))),"Fix")))</f>
        <v>#N/A</v>
      </c>
      <c r="M392" s="5" t="e">
        <f ca="1">IF(OR(INDEX($AI$2:$AI$1001,MATCH(ROWS($AH$2:AH392),$AH$2:$AH$1001,0),1)&gt;=100000,INDEX($AO$1005:$BQ$1005,1,MATCH(COLUMNS($AO$1006:AZ1006),$AO$1006:$BQ$1006,0))&gt;=100000), " ",IF(INDEX($AO$2:$BQ$1001,MATCH(ROWS($AH$2:AH392),$AH$2:$AH$1001,0),MATCH(COLUMNS($AO$1006:AZ1006),$AO$1006:$BQ$1006,0)), HYPERLINK("#",""), HYPERLINK(CONCATENATE("#Metadata!", ADDRESS(INDEX($AJ$2:$AJ$1001,MATCH(ROWS($AH$2:AH392),$AH$2:$AH$1001,0),0), INDEX($AO$1004:$BQ$1004,1,MATCH(COLUMNS($AO$1006:AZ1006),$AO$1006:$BQ$1006,0)))),"Fix")))</f>
        <v>#N/A</v>
      </c>
      <c r="N392" s="5" t="e">
        <f ca="1">IF(OR(INDEX($AI$2:$AI$1001,MATCH(ROWS($AH$2:AH392),$AH$2:$AH$1001,0),1)&gt;=100000,INDEX($AO$1005:$BQ$1005,1,MATCH(COLUMNS($AO$1006:BA1006),$AO$1006:$BQ$1006,0))&gt;=100000), " ",IF(INDEX($AO$2:$BQ$1001,MATCH(ROWS($AH$2:AH392),$AH$2:$AH$1001,0),MATCH(COLUMNS($AO$1006:BA1006),$AO$1006:$BQ$1006,0)), HYPERLINK("#",""), HYPERLINK(CONCATENATE("#Metadata!", ADDRESS(INDEX($AJ$2:$AJ$1001,MATCH(ROWS($AH$2:AH392),$AH$2:$AH$1001,0),0), INDEX($AO$1004:$BQ$1004,1,MATCH(COLUMNS($AO$1006:BA1006),$AO$1006:$BQ$1006,0)))),"Fix")))</f>
        <v>#N/A</v>
      </c>
      <c r="O392" s="5" t="e">
        <f ca="1">IF(OR(INDEX($AI$2:$AI$1001,MATCH(ROWS($AH$2:AH392),$AH$2:$AH$1001,0),1)&gt;=100000,INDEX($AO$1005:$BQ$1005,1,MATCH(COLUMNS($AO$1006:BB1006),$AO$1006:$BQ$1006,0))&gt;=100000), " ",IF(INDEX($AO$2:$BQ$1001,MATCH(ROWS($AH$2:AH392),$AH$2:$AH$1001,0),MATCH(COLUMNS($AO$1006:BB1006),$AO$1006:$BQ$1006,0)), HYPERLINK("#",""), HYPERLINK(CONCATENATE("#Metadata!", ADDRESS(INDEX($AJ$2:$AJ$1001,MATCH(ROWS($AH$2:AH392),$AH$2:$AH$1001,0),0), INDEX($AO$1004:$BQ$1004,1,MATCH(COLUMNS($AO$1006:BB1006),$AO$1006:$BQ$1006,0)))),"Fix")))</f>
        <v>#N/A</v>
      </c>
      <c r="P392" s="5" t="e">
        <f ca="1">IF(OR(INDEX($AI$2:$AI$1001,MATCH(ROWS($AH$2:AH392),$AH$2:$AH$1001,0),1)&gt;=100000,INDEX($AO$1005:$BQ$1005,1,MATCH(COLUMNS($AO$1006:BC1006),$AO$1006:$BQ$1006,0))&gt;=100000), " ",IF(INDEX($AO$2:$BQ$1001,MATCH(ROWS($AH$2:AH392),$AH$2:$AH$1001,0),MATCH(COLUMNS($AO$1006:BC1006),$AO$1006:$BQ$1006,0)), HYPERLINK("#",""), HYPERLINK(CONCATENATE("#Metadata!", ADDRESS(INDEX($AJ$2:$AJ$1001,MATCH(ROWS($AH$2:AH392),$AH$2:$AH$1001,0),0), INDEX($AO$1004:$BQ$1004,1,MATCH(COLUMNS($AO$1006:BC1006),$AO$1006:$BQ$1006,0)))),"Fix")))</f>
        <v>#N/A</v>
      </c>
      <c r="Q392" s="5" t="e">
        <f ca="1">IF(OR(INDEX($AI$2:$AI$1001,MATCH(ROWS($AH$2:AH392),$AH$2:$AH$1001,0),1)&gt;=100000,INDEX($AO$1005:$BQ$1005,1,MATCH(COLUMNS($AO$1006:BD1006),$AO$1006:$BQ$1006,0))&gt;=100000), " ",IF(INDEX($AO$2:$BQ$1001,MATCH(ROWS($AH$2:AH392),$AH$2:$AH$1001,0),MATCH(COLUMNS($AO$1006:BD1006),$AO$1006:$BQ$1006,0)), HYPERLINK("#",""), HYPERLINK(CONCATENATE("#Metadata!", ADDRESS(INDEX($AJ$2:$AJ$1001,MATCH(ROWS($AH$2:AH392),$AH$2:$AH$1001,0),0), INDEX($AO$1004:$BQ$1004,1,MATCH(COLUMNS($AO$1006:BD1006),$AO$1006:$BQ$1006,0)))),"Fix")))</f>
        <v>#N/A</v>
      </c>
      <c r="R392" s="5" t="e">
        <f ca="1">IF(OR(INDEX($AI$2:$AI$1001,MATCH(ROWS($AH$2:AH392),$AH$2:$AH$1001,0),1)&gt;=100000,INDEX($AO$1005:$BQ$1005,1,MATCH(COLUMNS($AO$1006:BE1006),$AO$1006:$BQ$1006,0))&gt;=100000), " ",IF(INDEX($AO$2:$BQ$1001,MATCH(ROWS($AH$2:AH392),$AH$2:$AH$1001,0),MATCH(COLUMNS($AO$1006:BE1006),$AO$1006:$BQ$1006,0)), HYPERLINK("#",""), HYPERLINK(CONCATENATE("#Metadata!", ADDRESS(INDEX($AJ$2:$AJ$1001,MATCH(ROWS($AH$2:AH392),$AH$2:$AH$1001,0),0), INDEX($AO$1004:$BQ$1004,1,MATCH(COLUMNS($AO$1006:BE1006),$AO$1006:$BQ$1006,0)))),"Fix")))</f>
        <v>#N/A</v>
      </c>
      <c r="S392" s="5" t="e">
        <f ca="1">IF(OR(INDEX($AI$2:$AI$1001,MATCH(ROWS($AH$2:AH392),$AH$2:$AH$1001,0),1)&gt;=100000,INDEX($AO$1005:$BQ$1005,1,MATCH(COLUMNS($AO$1006:BF1006),$AO$1006:$BQ$1006,0))&gt;=100000), " ",IF(INDEX($AO$2:$BQ$1001,MATCH(ROWS($AH$2:AH392),$AH$2:$AH$1001,0),MATCH(COLUMNS($AO$1006:BF1006),$AO$1006:$BQ$1006,0)), HYPERLINK("#",""), HYPERLINK(CONCATENATE("#Metadata!", ADDRESS(INDEX($AJ$2:$AJ$1001,MATCH(ROWS($AH$2:AH392),$AH$2:$AH$1001,0),0), INDEX($AO$1004:$BQ$1004,1,MATCH(COLUMNS($AO$1006:BF1006),$AO$1006:$BQ$1006,0)))),"Fix")))</f>
        <v>#N/A</v>
      </c>
      <c r="T392" s="5" t="e">
        <f ca="1">IF(OR(INDEX($AI$2:$AI$1001,MATCH(ROWS($AH$2:AH392),$AH$2:$AH$1001,0),1)&gt;=100000,INDEX($AO$1005:$BQ$1005,1,MATCH(COLUMNS($AO$1006:BG1006),$AO$1006:$BQ$1006,0))&gt;=100000), " ",IF(INDEX($AO$2:$BQ$1001,MATCH(ROWS($AH$2:AH392),$AH$2:$AH$1001,0),MATCH(COLUMNS($AO$1006:BG1006),$AO$1006:$BQ$1006,0)), HYPERLINK("#",""), HYPERLINK(CONCATENATE("#Metadata!", ADDRESS(INDEX($AJ$2:$AJ$1001,MATCH(ROWS($AH$2:AH392),$AH$2:$AH$1001,0),0), INDEX($AO$1004:$BQ$1004,1,MATCH(COLUMNS($AO$1006:BG1006),$AO$1006:$BQ$1006,0)))),"Fix")))</f>
        <v>#N/A</v>
      </c>
      <c r="U392" s="5" t="e">
        <f ca="1">IF(OR(INDEX($AI$2:$AI$1001,MATCH(ROWS($AH$2:AH392),$AH$2:$AH$1001,0),1)&gt;=100000,INDEX($AO$1005:$BQ$1005,1,MATCH(COLUMNS($AO$1006:BH1006),$AO$1006:$BQ$1006,0))&gt;=100000), " ",IF(INDEX($AO$2:$BQ$1001,MATCH(ROWS($AH$2:AH392),$AH$2:$AH$1001,0),MATCH(COLUMNS($AO$1006:BH1006),$AO$1006:$BQ$1006,0)), HYPERLINK("#",""), HYPERLINK(CONCATENATE("#Metadata!", ADDRESS(INDEX($AJ$2:$AJ$1001,MATCH(ROWS($AH$2:AH392),$AH$2:$AH$1001,0),0), INDEX($AO$1004:$BQ$1004,1,MATCH(COLUMNS($AO$1006:BH1006),$AO$1006:$BQ$1006,0)))),"Fix")))</f>
        <v>#N/A</v>
      </c>
      <c r="V392" s="5" t="e">
        <f ca="1">IF(OR(INDEX($AI$2:$AI$1001,MATCH(ROWS($AH$2:AH392),$AH$2:$AH$1001,0),1)&gt;=100000,INDEX($AO$1005:$BQ$1005,1,MATCH(COLUMNS($AO$1006:BI1006),$AO$1006:$BQ$1006,0))&gt;=100000), " ",IF(INDEX($AO$2:$BQ$1001,MATCH(ROWS($AH$2:AH392),$AH$2:$AH$1001,0),MATCH(COLUMNS($AO$1006:BI1006),$AO$1006:$BQ$1006,0)), HYPERLINK("#",""), HYPERLINK(CONCATENATE("#Metadata!", ADDRESS(INDEX($AJ$2:$AJ$1001,MATCH(ROWS($AH$2:AH392),$AH$2:$AH$1001,0),0), INDEX($AO$1004:$BQ$1004,1,MATCH(COLUMNS($AO$1006:BI1006),$AO$1006:$BQ$1006,0)))),"Fix")))</f>
        <v>#N/A</v>
      </c>
      <c r="W392" s="5" t="e">
        <f ca="1">IF(OR(INDEX($AI$2:$AI$1001,MATCH(ROWS($AH$2:AH392),$AH$2:$AH$1001,0),1)&gt;=100000,INDEX($AO$1005:$BQ$1005,1,MATCH(COLUMNS($AO$1006:BJ1006),$AO$1006:$BQ$1006,0))&gt;=100000), " ",IF(INDEX($AO$2:$BQ$1001,MATCH(ROWS($AH$2:AH392),$AH$2:$AH$1001,0),MATCH(COLUMNS($AO$1006:BJ1006),$AO$1006:$BQ$1006,0)), HYPERLINK("#",""), HYPERLINK(CONCATENATE("#Metadata!", ADDRESS(INDEX($AJ$2:$AJ$1001,MATCH(ROWS($AH$2:AH392),$AH$2:$AH$1001,0),0), INDEX($AO$1004:$BQ$1004,1,MATCH(COLUMNS($AO$1006:BJ1006),$AO$1006:$BQ$1006,0)))),"Fix")))</f>
        <v>#N/A</v>
      </c>
      <c r="X392" s="5" t="e">
        <f ca="1">IF(OR(INDEX($AI$2:$AI$1001,MATCH(ROWS($AH$2:AH392),$AH$2:$AH$1001,0),1)&gt;=100000,INDEX($AO$1005:$BQ$1005,1,MATCH(COLUMNS($AO$1006:BK1006),$AO$1006:$BQ$1006,0))&gt;=100000), " ",IF(INDEX($AO$2:$BQ$1001,MATCH(ROWS($AH$2:AH392),$AH$2:$AH$1001,0),MATCH(COLUMNS($AO$1006:BK1006),$AO$1006:$BQ$1006,0)), HYPERLINK("#",""), HYPERLINK(CONCATENATE("#Metadata!", ADDRESS(INDEX($AJ$2:$AJ$1001,MATCH(ROWS($AH$2:AH392),$AH$2:$AH$1001,0),0), INDEX($AO$1004:$BQ$1004,1,MATCH(COLUMNS($AO$1006:BK1006),$AO$1006:$BQ$1006,0)))),"Fix")))</f>
        <v>#N/A</v>
      </c>
      <c r="Y392" s="5" t="e">
        <f ca="1">IF(OR(INDEX($AI$2:$AI$1001,MATCH(ROWS($AH$2:AH392),$AH$2:$AH$1001,0),1)&gt;=100000,INDEX($AO$1005:$BQ$1005,1,MATCH(COLUMNS($AO$1006:BL1006),$AO$1006:$BQ$1006,0))&gt;=100000), " ",IF(INDEX($AO$2:$BQ$1001,MATCH(ROWS($AH$2:AH392),$AH$2:$AH$1001,0),MATCH(COLUMNS($AO$1006:BL1006),$AO$1006:$BQ$1006,0)), HYPERLINK("#",""), HYPERLINK(CONCATENATE("#Metadata!", ADDRESS(INDEX($AJ$2:$AJ$1001,MATCH(ROWS($AH$2:AH392),$AH$2:$AH$1001,0),0), INDEX($AO$1004:$BQ$1004,1,MATCH(COLUMNS($AO$1006:BL1006),$AO$1006:$BQ$1006,0)))),"Fix")))</f>
        <v>#N/A</v>
      </c>
      <c r="Z392" s="5" t="e">
        <f ca="1">IF(OR(INDEX($AI$2:$AI$1001,MATCH(ROWS($AH$2:AH392),$AH$2:$AH$1001,0),1)&gt;=100000,INDEX($AO$1005:$BQ$1005,1,MATCH(COLUMNS($AO$1006:BM1006),$AO$1006:$BQ$1006,0))&gt;=100000), " ",IF(INDEX($AO$2:$BQ$1001,MATCH(ROWS($AH$2:AH392),$AH$2:$AH$1001,0),MATCH(COLUMNS($AO$1006:BM1006),$AO$1006:$BQ$1006,0)), HYPERLINK("#",""), HYPERLINK(CONCATENATE("#Metadata!", ADDRESS(INDEX($AJ$2:$AJ$1001,MATCH(ROWS($AH$2:AH392),$AH$2:$AH$1001,0),0), INDEX($AO$1004:$BQ$1004,1,MATCH(COLUMNS($AO$1006:BM1006),$AO$1006:$BQ$1006,0)))),"Fix")))</f>
        <v>#N/A</v>
      </c>
      <c r="AA392" s="5" t="e">
        <f ca="1">IF(OR(INDEX($AI$2:$AI$1001,MATCH(ROWS($AH$2:AH392),$AH$2:$AH$1001,0),1)&gt;=100000,INDEX($AO$1005:$BQ$1005,1,MATCH(COLUMNS($AO$1006:BN1006),$AO$1006:$BQ$1006,0))&gt;=100000), " ",IF(INDEX($AO$2:$BQ$1001,MATCH(ROWS($AH$2:AH392),$AH$2:$AH$1001,0),MATCH(COLUMNS($AO$1006:BN1006),$AO$1006:$BQ$1006,0)), HYPERLINK("#",""), HYPERLINK(CONCATENATE("#Metadata!", ADDRESS(INDEX($AJ$2:$AJ$1001,MATCH(ROWS($AH$2:AH392),$AH$2:$AH$1001,0),0), INDEX($AO$1004:$BQ$1004,1,MATCH(COLUMNS($AO$1006:BN1006),$AO$1006:$BQ$1006,0)))),"Fix")))</f>
        <v>#N/A</v>
      </c>
      <c r="AB392" s="5" t="e">
        <f ca="1">IF(OR(INDEX($AI$2:$AI$1001,MATCH(ROWS($AH$2:AH392),$AH$2:$AH$1001,0),1)&gt;=100000,INDEX($AO$1005:$BQ$1005,1,MATCH(COLUMNS($AO$1006:BO1006),$AO$1006:$BQ$1006,0))&gt;=100000), " ",IF(INDEX($AO$2:$BQ$1001,MATCH(ROWS($AH$2:AH392),$AH$2:$AH$1001,0),MATCH(COLUMNS($AO$1006:BO1006),$AO$1006:$BQ$1006,0)), HYPERLINK("#",""), HYPERLINK(CONCATENATE("#Metadata!", ADDRESS(INDEX($AJ$2:$AJ$1001,MATCH(ROWS($AH$2:AH392),$AH$2:$AH$1001,0),0), INDEX($AO$1004:$BQ$1004,1,MATCH(COLUMNS($AO$1006:BO1006),$AO$1006:$BQ$1006,0)))),"Fix")))</f>
        <v>#N/A</v>
      </c>
      <c r="AC392" s="5" t="e">
        <f ca="1">IF(OR(INDEX($AI$2:$AI$1001,MATCH(ROWS($AH$2:AH392),$AH$2:$AH$1001,0),1)&gt;=100000,INDEX($AO$1005:$BQ$1005,1,MATCH(COLUMNS($AO$1006:BP1006),$AO$1006:$BQ$1006,0))&gt;=100000), " ",IF(INDEX($AO$2:$BQ$1001,MATCH(ROWS($AH$2:AH392),$AH$2:$AH$1001,0),MATCH(COLUMNS($AO$1006:BP1006),$AO$1006:$BQ$1006,0)), HYPERLINK("#",""), HYPERLINK(CONCATENATE("#Metadata!", ADDRESS(INDEX($AJ$2:$AJ$1001,MATCH(ROWS($AH$2:AH392),$AH$2:$AH$1001,0),0), INDEX($AO$1004:$BQ$1004,1,MATCH(COLUMNS($AO$1006:BP1006),$AO$1006:$BQ$1006,0)))),"Fix")))</f>
        <v>#N/A</v>
      </c>
      <c r="AD392" s="5" t="e">
        <f ca="1">IF(OR(INDEX($AI$2:$AI$1001,MATCH(ROWS($AH$2:AH392),$AH$2:$AH$1001,0),1)&gt;=100000,INDEX($AO$1005:$BQ$1005,1,MATCH(COLUMNS($AO$1006:BQ1006),$AO$1006:$BQ$1006,0))&gt;=100000), " ",IF(INDEX($AO$2:$BQ$1001,MATCH(ROWS($AH$2:AH392),$AH$2:$AH$1001,0),MATCH(COLUMNS($AO$1006:BQ1006),$AO$1006:$BQ$1006,0)), HYPERLINK("#",""), HYPERLINK(CONCATENATE("#Metadata!", ADDRESS(INDEX($AJ$2:$AJ$1001,MATCH(ROWS($AH$2:AH392),$AH$2:$AH$1001,0),0), INDEX($AO$1004:$BQ$1004,1,MATCH(COLUMNS($AO$1006:BQ1006),$AO$1006:$BQ$1006,0)))),"Fix")))</f>
        <v>#REF!</v>
      </c>
      <c r="AH392">
        <f ca="1"/>
        <v>389</v>
      </c>
      <c r="AI392">
        <v>100392</v>
      </c>
      <c r="AJ392">
        <v>392</v>
      </c>
      <c r="AK392" t="b">
        <f t="shared" si="6"/>
        <v>1</v>
      </c>
      <c r="AL392" t="b">
        <f>COUNTBLANK(Metadata!B392:AD392)=COLUMNS(Metadata!B392:AD392)</f>
        <v>1</v>
      </c>
      <c r="AM392" t="str">
        <v/>
      </c>
      <c r="AO392" t="b">
        <f ca="1">AND(IF(Metadata!B392="",FALSE,TRUE),COUNTIF(Metadata!B:B, Metadata!B392) = 1,NOT(ISERROR(SUMPRODUCT(SEARCH(MID(Metadata!B392,ROW(INDIRECT("1:"&amp;LEN(Metadata!B392))), 1),"0123456789abcdefghijklmnopqrstuvwxyzABCDEFGHIJKLMNOPQRSTUVWXYZ.")))))</f>
        <v>0</v>
      </c>
      <c r="AP392" t="b">
        <f>IF(Metadata!C392="",FALSE,TRUE)</f>
        <v>0</v>
      </c>
      <c r="AQ392" t="b">
        <f>IF(Metadata!D392="",FALSE,TRUE)</f>
        <v>0</v>
      </c>
      <c r="AR392" t="b">
        <f ca="1">OR(AND(IF(Metadata!E392="",FALSE,TRUE),OR(EXACT(Metadata!E392,"not collected"),EXACT(Metadata!E392,"not provided"),EXACT(Metadata!E392,"restricted access"))),AND(IF(Metadata!E392="",FALSE,TRUE),AND(AND(IFERROR(INT(LEFT(Metadata!E392,4))&gt;1900,FALSE),IFERROR(INT(LEFT(Metadata!E392,4))&lt;=YEAR(NOW()),FALSE)), OR(MID(Metadata!E392,5,1)="", AND(AND(MID(Metadata!E392,5,1)="-",IFERROR(INT(MID(Metadata!E392,6,1))&gt;=0,FALSE),IFERROR(INT(MID(Metadata!E392,6,1))&lt;=1,FALSE),NOT(MID(Metadata!E392,7,1)=""),IFERROR(INT(MID(Metadata!E392,6,2))&gt;=1,FALSE),IFERROR(INT(MID(Metadata!E392,6,2))&lt;=12,FALSE)), OR(MID(Metadata!E392,8,1)="", AND(AND(MID(Metadata!E392,8,1)="-",IFERROR(INT(MID(Metadata!E392,9,1))&gt;=0,FALSE),IFERROR(INT(MID(Metadata!E392,9,1))&lt;=3,FALSE),NOT(MID(Metadata!E392,10,1)=""),IFERROR(INT(MID(Metadata!E392,9,2))&gt;=1,FALSE),IFERROR(INT(MID(Metadata!E392,9,2))&lt;=31,FALSE)), OR(MID(Metadata!E392,11,1)="", AND(AND(MID(Metadata!E392,11,1)=" ",IFERROR(INT(MID(Metadata!E392,12,1))&gt;=0,FALSE),IFERROR(INT(MID(Metadata!E392,12,1))&lt;=2,FALSE),NOT(MID(Metadata!E392,13,1)=""),IFERROR(INT(MID(Metadata!E392,12,2))&gt;=0,FALSE),IFERROR(INT(MID(Metadata!E392,12,2))&lt;=23,FALSE)), OR(MID(Metadata!E392,14,1)="", AND(AND(MID(Metadata!E392,14,1)=":",IFERROR(INT(MID(Metadata!E392,15,1))&gt;=0,FALSE),IFERROR(INT(MID(Metadata!E392,15,1))&lt;=5,FALSE),NOT(MID(Metadata!E392,16,1)=""),IFERROR(INT(MID(Metadata!E392,15,2))&gt;=0,FALSE),IFERROR(INT(MID(Metadata!E392,15,2))&lt;=59,FALSE)), OR(MID(Metadata!E392,17,1)="", AND(AND(MID(Metadata!E392,17,1)=":",IFERROR(INT(MID(Metadata!E392,18,1))&gt;=0,FALSE),IFERROR(INT(MID(Metadata!E392,18,1))&lt;=5,FALSE),NOT(MID(Metadata!E392,19,1)=""),IFERROR(INT(MID(Metadata!E392,18,2))&gt;=0,FALSE),IFERROR(INT(MID(Metadata!E392,18,2))&lt;=59,FALSE)), LEN(Metadata!E392)&lt;=19)))))))))))))</f>
        <v>0</v>
      </c>
      <c r="AS392" t="b">
        <f>IF(Metadata!F392="",FALSE,TRUE)</f>
        <v>0</v>
      </c>
      <c r="AT392" t="b">
        <f>OR(AND(IF(Metadata!G392="",FALSE,TRUE),OR(EXACT(Metadata!G392,"not collected"),EXACT(Metadata!G392,"not provided"))),AND(IF(Metadata!G392="",FALSE,TRUE),OR(EXACT(Metadata!G392,"TRUE"),EXACT(Metadata!G392,"FALSE"))))</f>
        <v>0</v>
      </c>
      <c r="AU392" t="b">
        <f>OR(AND(IF(Metadata!H392="",FALSE,TRUE),OR(EXACT(Metadata!H392,"not collected"),EXACT(Metadata!H392,"not provided"),EXACT(Metadata!H392,"restricted access"))),AND(IF(Metadata!H392="",FALSE,ISNUMBER(VALUE(Metadata!H392))),Metadata!H392&gt;=-413))</f>
        <v>0</v>
      </c>
      <c r="AV392" t="b">
        <f>AND(IF(Metadata!I392="",FALSE,TRUE),EXACT(Metadata!I392,"meters"))</f>
        <v>0</v>
      </c>
      <c r="AW392" t="b">
        <f>AND(IF(Metadata!J392="",FALSE,TRUE),EXACT(Metadata!J392,"free-living"))</f>
        <v>0</v>
      </c>
      <c r="AX392" t="b">
        <f>AND(IF(Metadata!K392="",FALSE,TRUE),OR(EXACT(Metadata!K392,"saline"),EXACT(Metadata!K392,"non-saline")))</f>
        <v>0</v>
      </c>
      <c r="AY392" t="b">
        <f>AND(IF(Metadata!L392="",FALSE,TRUE),OR(EXACT(Metadata!L392,"sub-surface (non-saline)"),EXACT(Metadata!L392,"surface (non-saline)"),EXACT(Metadata!L392,"water (non-saline)"),EXACT(Metadata!L392,"soil (non-saline)"),EXACT(Metadata!L392,"aerosol (non-saline)"),EXACT(Metadata!L392,"sediment (non-saline)"),EXACT(Metadata!L392,"surface (saline)"),EXACT(Metadata!L392,"water (saline)"),EXACT(Metadata!L392,"hypersaline (saline)"),EXACT(Metadata!L392,"aerosol (saline)"),EXACT(Metadata!L392,"sediment (saline)")))</f>
        <v>0</v>
      </c>
      <c r="AZ392" t="b">
        <f>IF(Metadata!M392="",FALSE,TRUE)</f>
        <v>0</v>
      </c>
      <c r="BA392" t="b">
        <f>IF(Metadata!N392="",FALSE,TRUE)</f>
        <v>0</v>
      </c>
      <c r="BB392" t="b">
        <f>IF(Metadata!O392="",FALSE,TRUE)</f>
        <v>0</v>
      </c>
      <c r="BC392" t="b">
        <f>AND(IF(Metadata!P392="",FALSE,TRUE),OR(EXACT(Metadata!P392,"air"),EXACT(Metadata!P392,"microbial mat/biofilm"),EXACT(Metadata!P392,"misc environment"),EXACT(Metadata!P392,"sediment"),EXACT(Metadata!P392,"soil"),EXACT(Metadata!P392,"wastewater/sludge"),EXACT(Metadata!P392,"water")))</f>
        <v>0</v>
      </c>
      <c r="BD392" t="b">
        <f>IF(Metadata!Q392="",FALSE,TRUE)</f>
        <v>0</v>
      </c>
      <c r="BE392" t="b">
        <f>IF(Metadata!R392="",FALSE,TRUE)</f>
        <v>0</v>
      </c>
      <c r="BF392" t="b">
        <f>OR(AND(IF(Metadata!S392="",FALSE,TRUE),OR(EXACT(Metadata!S392,"not collected"),EXACT(Metadata!S392,"not provided"),EXACT(Metadata!S392,"restricted access"))),AND(IF(Metadata!S392="",FALSE,ISNUMBER(VALUE(Metadata!S392))),Metadata!S392&gt;=-90,Metadata!S392&lt;=90))</f>
        <v>0</v>
      </c>
      <c r="BG392" t="b">
        <f>AND(IF(Metadata!T392="",FALSE,TRUE),EXACT(Metadata!T392,"Decimal degrees"))</f>
        <v>0</v>
      </c>
      <c r="BH392" t="b">
        <f>OR(AND(IF(Metadata!U392="",FALSE,TRUE),OR(EXACT(Metadata!U392,"not applicable"),EXACT(Metadata!U392,"not collected"))),IF(Metadata!U392="",FALSE,TRUE))</f>
        <v>0</v>
      </c>
      <c r="BI392" t="b">
        <f>OR(AND(IF(Metadata!V392="",FALSE,TRUE),OR(EXACT(Metadata!V392,"not collected"),EXACT(Metadata!V392,"not provided"),EXACT(Metadata!V392,"restricted access"))),AND(IF(Metadata!V392="",FALSE,ISNUMBER(VALUE(Metadata!V392))),Metadata!V392&gt;=-180,Metadata!V392&lt;=180))</f>
        <v>0</v>
      </c>
      <c r="BJ392" t="b">
        <f>AND(IF(Metadata!W392="",FALSE,TRUE),EXACT(Metadata!W392,"Decimal degrees"))</f>
        <v>0</v>
      </c>
      <c r="BK392" t="b">
        <f>IF(Metadata!X392="",FALSE,TRUE)</f>
        <v>0</v>
      </c>
      <c r="BL392" t="b">
        <f>OR(AND(IF(Metadata!Y392="",FALSE,TRUE),OR(EXACT(Metadata!Y392,"not collected"),EXACT(Metadata!Y392,"not provided"),EXACT(Metadata!Y392,"restricted access"))),AND(IF(Metadata!Y392="",FALSE,TRUE),OR(EXACT(Metadata!Y392,"TRUE"),EXACT(Metadata!Y392,"FALSE"))))</f>
        <v>0</v>
      </c>
      <c r="BM392" t="b">
        <f>OR(AND(IF(Metadata!Z392="",FALSE,TRUE),EXACT(Metadata!Z392,"not applicable")),AND(IF(Metadata!Z392="",FALSE,TRUE),OR(EXACT(Metadata!Z392,"beer"),EXACT(Metadata!Z392,"cheese"),EXACT(Metadata!Z392,"fresh water"),EXACT(Metadata!Z392,"marine sediment"),EXACT(Metadata!Z392,"sea water"),EXACT(Metadata!Z392,"sediment"),EXACT(Metadata!Z392,"soil"),EXACT(Metadata!Z392,"waste water"))))</f>
        <v>0</v>
      </c>
      <c r="BN392" t="b">
        <f>AND(IF(Metadata!AA392="",FALSE,TRUE),EXACT(Metadata!AA392,"metagenome"))</f>
        <v>0</v>
      </c>
      <c r="BO392" t="b">
        <f>AND(IF(Metadata!AB392="",FALSE,TRUE),EXACT(Metadata!AB392,"256318"))</f>
        <v>0</v>
      </c>
      <c r="BP392" t="b">
        <f>IF(Metadata!AC392="",FALSE,TRUE)</f>
        <v>0</v>
      </c>
      <c r="BQ392" t="b">
        <f>IF(Metadata!AD392="",FALSE,TRUE)</f>
        <v>0</v>
      </c>
    </row>
    <row r="393" spans="1:69" x14ac:dyDescent="0.2">
      <c r="A393" s="4" t="e">
        <f ca="1">IF(B393=" "," ",HYPERLINK(CONCATENATE("#metadata!",ADDRESS(INDEX($AJ$2:$AJ$1001,MATCH(ROWS($AH$2:AH393),$AH$2:$AH$1001,0),0),2)),INDEX($AM$2:$AM$1001,MATCH(ROWS($AH$2:AH393),$AH$2:$AH$1001,0),0)))</f>
        <v>#N/A</v>
      </c>
      <c r="B393" s="5" t="e">
        <f ca="1">IF(OR(INDEX($AI$2:$AI$1001,MATCH(ROWS($AH$2:AH393),$AH$2:$AH$1001,0),1)&gt;=100000,INDEX($AO$1005:$BQ$1005,1,MATCH(COLUMNS($AO$1006:AO1006),$AO$1006:$BQ$1006,0))&gt;=100000), " ",IF(INDEX($AO$2:$BQ$1001,MATCH(ROWS($AH$2:AH393),$AH$2:$AH$1001,0),MATCH(COLUMNS($AO$1006:AO1006),$AO$1006:$BQ$1006,0)), HYPERLINK("#",""), HYPERLINK(CONCATENATE("#Metadata!", ADDRESS(INDEX($AJ$2:$AJ$1001,MATCH(ROWS($AH$2:AH393),$AH$2:$AH$1001,0),0), INDEX($AO$1004:$BQ$1004,1,MATCH(COLUMNS($AO$1006:AO1006),$AO$1006:$BQ$1006,0)))),"Fix")))</f>
        <v>#N/A</v>
      </c>
      <c r="C393" s="5" t="e">
        <f ca="1">IF(OR(INDEX($AI$2:$AI$1001,MATCH(ROWS($AH$2:AH393),$AH$2:$AH$1001,0),1)&gt;=100000,INDEX($AO$1005:$BQ$1005,1,MATCH(COLUMNS($AO$1006:AP1006),$AO$1006:$BQ$1006,0))&gt;=100000), " ",IF(INDEX($AO$2:$BQ$1001,MATCH(ROWS($AH$2:AH393),$AH$2:$AH$1001,0),MATCH(COLUMNS($AO$1006:AP1006),$AO$1006:$BQ$1006,0)), HYPERLINK("#",""), HYPERLINK(CONCATENATE("#Metadata!", ADDRESS(INDEX($AJ$2:$AJ$1001,MATCH(ROWS($AH$2:AH393),$AH$2:$AH$1001,0),0), INDEX($AO$1004:$BQ$1004,1,MATCH(COLUMNS($AO$1006:AP1006),$AO$1006:$BQ$1006,0)))),"Fix")))</f>
        <v>#N/A</v>
      </c>
      <c r="D393" s="5" t="e">
        <f ca="1">IF(OR(INDEX($AI$2:$AI$1001,MATCH(ROWS($AH$2:AH393),$AH$2:$AH$1001,0),1)&gt;=100000,INDEX($AO$1005:$BQ$1005,1,MATCH(COLUMNS($AO$1006:AQ1006),$AO$1006:$BQ$1006,0))&gt;=100000), " ",IF(INDEX($AO$2:$BQ$1001,MATCH(ROWS($AH$2:AH393),$AH$2:$AH$1001,0),MATCH(COLUMNS($AO$1006:AQ1006),$AO$1006:$BQ$1006,0)), HYPERLINK("#",""), HYPERLINK(CONCATENATE("#Metadata!", ADDRESS(INDEX($AJ$2:$AJ$1001,MATCH(ROWS($AH$2:AH393),$AH$2:$AH$1001,0),0), INDEX($AO$1004:$BQ$1004,1,MATCH(COLUMNS($AO$1006:AQ1006),$AO$1006:$BQ$1006,0)))),"Fix")))</f>
        <v>#N/A</v>
      </c>
      <c r="E393" s="5" t="e">
        <f ca="1">IF(OR(INDEX($AI$2:$AI$1001,MATCH(ROWS($AH$2:AH393),$AH$2:$AH$1001,0),1)&gt;=100000,INDEX($AO$1005:$BQ$1005,1,MATCH(COLUMNS($AO$1006:AR1006),$AO$1006:$BQ$1006,0))&gt;=100000), " ",IF(INDEX($AO$2:$BQ$1001,MATCH(ROWS($AH$2:AH393),$AH$2:$AH$1001,0),MATCH(COLUMNS($AO$1006:AR1006),$AO$1006:$BQ$1006,0)), HYPERLINK("#",""), HYPERLINK(CONCATENATE("#Metadata!", ADDRESS(INDEX($AJ$2:$AJ$1001,MATCH(ROWS($AH$2:AH393),$AH$2:$AH$1001,0),0), INDEX($AO$1004:$BQ$1004,1,MATCH(COLUMNS($AO$1006:AR1006),$AO$1006:$BQ$1006,0)))),"Fix")))</f>
        <v>#N/A</v>
      </c>
      <c r="F393" s="5" t="e">
        <f ca="1">IF(OR(INDEX($AI$2:$AI$1001,MATCH(ROWS($AH$2:AH393),$AH$2:$AH$1001,0),1)&gt;=100000,INDEX($AO$1005:$BQ$1005,1,MATCH(COLUMNS($AO$1006:AS1006),$AO$1006:$BQ$1006,0))&gt;=100000), " ",IF(INDEX($AO$2:$BQ$1001,MATCH(ROWS($AH$2:AH393),$AH$2:$AH$1001,0),MATCH(COLUMNS($AO$1006:AS1006),$AO$1006:$BQ$1006,0)), HYPERLINK("#",""), HYPERLINK(CONCATENATE("#Metadata!", ADDRESS(INDEX($AJ$2:$AJ$1001,MATCH(ROWS($AH$2:AH393),$AH$2:$AH$1001,0),0), INDEX($AO$1004:$BQ$1004,1,MATCH(COLUMNS($AO$1006:AS1006),$AO$1006:$BQ$1006,0)))),"Fix")))</f>
        <v>#N/A</v>
      </c>
      <c r="G393" s="5" t="e">
        <f ca="1">IF(OR(INDEX($AI$2:$AI$1001,MATCH(ROWS($AH$2:AH393),$AH$2:$AH$1001,0),1)&gt;=100000,INDEX($AO$1005:$BQ$1005,1,MATCH(COLUMNS($AO$1006:AT1006),$AO$1006:$BQ$1006,0))&gt;=100000), " ",IF(INDEX($AO$2:$BQ$1001,MATCH(ROWS($AH$2:AH393),$AH$2:$AH$1001,0),MATCH(COLUMNS($AO$1006:AT1006),$AO$1006:$BQ$1006,0)), HYPERLINK("#",""), HYPERLINK(CONCATENATE("#Metadata!", ADDRESS(INDEX($AJ$2:$AJ$1001,MATCH(ROWS($AH$2:AH393),$AH$2:$AH$1001,0),0), INDEX($AO$1004:$BQ$1004,1,MATCH(COLUMNS($AO$1006:AT1006),$AO$1006:$BQ$1006,0)))),"Fix")))</f>
        <v>#N/A</v>
      </c>
      <c r="H393" s="5" t="e">
        <f ca="1">IF(OR(INDEX($AI$2:$AI$1001,MATCH(ROWS($AH$2:AH393),$AH$2:$AH$1001,0),1)&gt;=100000,INDEX($AO$1005:$BQ$1005,1,MATCH(COLUMNS($AO$1006:AU1006),$AO$1006:$BQ$1006,0))&gt;=100000), " ",IF(INDEX($AO$2:$BQ$1001,MATCH(ROWS($AH$2:AH393),$AH$2:$AH$1001,0),MATCH(COLUMNS($AO$1006:AU1006),$AO$1006:$BQ$1006,0)), HYPERLINK("#",""), HYPERLINK(CONCATENATE("#Metadata!", ADDRESS(INDEX($AJ$2:$AJ$1001,MATCH(ROWS($AH$2:AH393),$AH$2:$AH$1001,0),0), INDEX($AO$1004:$BQ$1004,1,MATCH(COLUMNS($AO$1006:AU1006),$AO$1006:$BQ$1006,0)))),"Fix")))</f>
        <v>#N/A</v>
      </c>
      <c r="I393" s="5" t="e">
        <f ca="1">IF(OR(INDEX($AI$2:$AI$1001,MATCH(ROWS($AH$2:AH393),$AH$2:$AH$1001,0),1)&gt;=100000,INDEX($AO$1005:$BQ$1005,1,MATCH(COLUMNS($AO$1006:AV1006),$AO$1006:$BQ$1006,0))&gt;=100000), " ",IF(INDEX($AO$2:$BQ$1001,MATCH(ROWS($AH$2:AH393),$AH$2:$AH$1001,0),MATCH(COLUMNS($AO$1006:AV1006),$AO$1006:$BQ$1006,0)), HYPERLINK("#",""), HYPERLINK(CONCATENATE("#Metadata!", ADDRESS(INDEX($AJ$2:$AJ$1001,MATCH(ROWS($AH$2:AH393),$AH$2:$AH$1001,0),0), INDEX($AO$1004:$BQ$1004,1,MATCH(COLUMNS($AO$1006:AV1006),$AO$1006:$BQ$1006,0)))),"Fix")))</f>
        <v>#N/A</v>
      </c>
      <c r="J393" s="5" t="e">
        <f ca="1">IF(OR(INDEX($AI$2:$AI$1001,MATCH(ROWS($AH$2:AH393),$AH$2:$AH$1001,0),1)&gt;=100000,INDEX($AO$1005:$BQ$1005,1,MATCH(COLUMNS($AO$1006:AW1006),$AO$1006:$BQ$1006,0))&gt;=100000), " ",IF(INDEX($AO$2:$BQ$1001,MATCH(ROWS($AH$2:AH393),$AH$2:$AH$1001,0),MATCH(COLUMNS($AO$1006:AW1006),$AO$1006:$BQ$1006,0)), HYPERLINK("#",""), HYPERLINK(CONCATENATE("#Metadata!", ADDRESS(INDEX($AJ$2:$AJ$1001,MATCH(ROWS($AH$2:AH393),$AH$2:$AH$1001,0),0), INDEX($AO$1004:$BQ$1004,1,MATCH(COLUMNS($AO$1006:AW1006),$AO$1006:$BQ$1006,0)))),"Fix")))</f>
        <v>#N/A</v>
      </c>
      <c r="K393" s="5" t="e">
        <f ca="1">IF(OR(INDEX($AI$2:$AI$1001,MATCH(ROWS($AH$2:AH393),$AH$2:$AH$1001,0),1)&gt;=100000,INDEX($AO$1005:$BQ$1005,1,MATCH(COLUMNS($AO$1006:AX1006),$AO$1006:$BQ$1006,0))&gt;=100000), " ",IF(INDEX($AO$2:$BQ$1001,MATCH(ROWS($AH$2:AH393),$AH$2:$AH$1001,0),MATCH(COLUMNS($AO$1006:AX1006),$AO$1006:$BQ$1006,0)), HYPERLINK("#",""), HYPERLINK(CONCATENATE("#Metadata!", ADDRESS(INDEX($AJ$2:$AJ$1001,MATCH(ROWS($AH$2:AH393),$AH$2:$AH$1001,0),0), INDEX($AO$1004:$BQ$1004,1,MATCH(COLUMNS($AO$1006:AX1006),$AO$1006:$BQ$1006,0)))),"Fix")))</f>
        <v>#N/A</v>
      </c>
      <c r="L393" s="5" t="e">
        <f ca="1">IF(OR(INDEX($AI$2:$AI$1001,MATCH(ROWS($AH$2:AH393),$AH$2:$AH$1001,0),1)&gt;=100000,INDEX($AO$1005:$BQ$1005,1,MATCH(COLUMNS($AO$1006:AY1006),$AO$1006:$BQ$1006,0))&gt;=100000), " ",IF(INDEX($AO$2:$BQ$1001,MATCH(ROWS($AH$2:AH393),$AH$2:$AH$1001,0),MATCH(COLUMNS($AO$1006:AY1006),$AO$1006:$BQ$1006,0)), HYPERLINK("#",""), HYPERLINK(CONCATENATE("#Metadata!", ADDRESS(INDEX($AJ$2:$AJ$1001,MATCH(ROWS($AH$2:AH393),$AH$2:$AH$1001,0),0), INDEX($AO$1004:$BQ$1004,1,MATCH(COLUMNS($AO$1006:AY1006),$AO$1006:$BQ$1006,0)))),"Fix")))</f>
        <v>#N/A</v>
      </c>
      <c r="M393" s="5" t="e">
        <f ca="1">IF(OR(INDEX($AI$2:$AI$1001,MATCH(ROWS($AH$2:AH393),$AH$2:$AH$1001,0),1)&gt;=100000,INDEX($AO$1005:$BQ$1005,1,MATCH(COLUMNS($AO$1006:AZ1006),$AO$1006:$BQ$1006,0))&gt;=100000), " ",IF(INDEX($AO$2:$BQ$1001,MATCH(ROWS($AH$2:AH393),$AH$2:$AH$1001,0),MATCH(COLUMNS($AO$1006:AZ1006),$AO$1006:$BQ$1006,0)), HYPERLINK("#",""), HYPERLINK(CONCATENATE("#Metadata!", ADDRESS(INDEX($AJ$2:$AJ$1001,MATCH(ROWS($AH$2:AH393),$AH$2:$AH$1001,0),0), INDEX($AO$1004:$BQ$1004,1,MATCH(COLUMNS($AO$1006:AZ1006),$AO$1006:$BQ$1006,0)))),"Fix")))</f>
        <v>#N/A</v>
      </c>
      <c r="N393" s="5" t="e">
        <f ca="1">IF(OR(INDEX($AI$2:$AI$1001,MATCH(ROWS($AH$2:AH393),$AH$2:$AH$1001,0),1)&gt;=100000,INDEX($AO$1005:$BQ$1005,1,MATCH(COLUMNS($AO$1006:BA1006),$AO$1006:$BQ$1006,0))&gt;=100000), " ",IF(INDEX($AO$2:$BQ$1001,MATCH(ROWS($AH$2:AH393),$AH$2:$AH$1001,0),MATCH(COLUMNS($AO$1006:BA1006),$AO$1006:$BQ$1006,0)), HYPERLINK("#",""), HYPERLINK(CONCATENATE("#Metadata!", ADDRESS(INDEX($AJ$2:$AJ$1001,MATCH(ROWS($AH$2:AH393),$AH$2:$AH$1001,0),0), INDEX($AO$1004:$BQ$1004,1,MATCH(COLUMNS($AO$1006:BA1006),$AO$1006:$BQ$1006,0)))),"Fix")))</f>
        <v>#N/A</v>
      </c>
      <c r="O393" s="5" t="e">
        <f ca="1">IF(OR(INDEX($AI$2:$AI$1001,MATCH(ROWS($AH$2:AH393),$AH$2:$AH$1001,0),1)&gt;=100000,INDEX($AO$1005:$BQ$1005,1,MATCH(COLUMNS($AO$1006:BB1006),$AO$1006:$BQ$1006,0))&gt;=100000), " ",IF(INDEX($AO$2:$BQ$1001,MATCH(ROWS($AH$2:AH393),$AH$2:$AH$1001,0),MATCH(COLUMNS($AO$1006:BB1006),$AO$1006:$BQ$1006,0)), HYPERLINK("#",""), HYPERLINK(CONCATENATE("#Metadata!", ADDRESS(INDEX($AJ$2:$AJ$1001,MATCH(ROWS($AH$2:AH393),$AH$2:$AH$1001,0),0), INDEX($AO$1004:$BQ$1004,1,MATCH(COLUMNS($AO$1006:BB1006),$AO$1006:$BQ$1006,0)))),"Fix")))</f>
        <v>#N/A</v>
      </c>
      <c r="P393" s="5" t="e">
        <f ca="1">IF(OR(INDEX($AI$2:$AI$1001,MATCH(ROWS($AH$2:AH393),$AH$2:$AH$1001,0),1)&gt;=100000,INDEX($AO$1005:$BQ$1005,1,MATCH(COLUMNS($AO$1006:BC1006),$AO$1006:$BQ$1006,0))&gt;=100000), " ",IF(INDEX($AO$2:$BQ$1001,MATCH(ROWS($AH$2:AH393),$AH$2:$AH$1001,0),MATCH(COLUMNS($AO$1006:BC1006),$AO$1006:$BQ$1006,0)), HYPERLINK("#",""), HYPERLINK(CONCATENATE("#Metadata!", ADDRESS(INDEX($AJ$2:$AJ$1001,MATCH(ROWS($AH$2:AH393),$AH$2:$AH$1001,0),0), INDEX($AO$1004:$BQ$1004,1,MATCH(COLUMNS($AO$1006:BC1006),$AO$1006:$BQ$1006,0)))),"Fix")))</f>
        <v>#N/A</v>
      </c>
      <c r="Q393" s="5" t="e">
        <f ca="1">IF(OR(INDEX($AI$2:$AI$1001,MATCH(ROWS($AH$2:AH393),$AH$2:$AH$1001,0),1)&gt;=100000,INDEX($AO$1005:$BQ$1005,1,MATCH(COLUMNS($AO$1006:BD1006),$AO$1006:$BQ$1006,0))&gt;=100000), " ",IF(INDEX($AO$2:$BQ$1001,MATCH(ROWS($AH$2:AH393),$AH$2:$AH$1001,0),MATCH(COLUMNS($AO$1006:BD1006),$AO$1006:$BQ$1006,0)), HYPERLINK("#",""), HYPERLINK(CONCATENATE("#Metadata!", ADDRESS(INDEX($AJ$2:$AJ$1001,MATCH(ROWS($AH$2:AH393),$AH$2:$AH$1001,0),0), INDEX($AO$1004:$BQ$1004,1,MATCH(COLUMNS($AO$1006:BD1006),$AO$1006:$BQ$1006,0)))),"Fix")))</f>
        <v>#N/A</v>
      </c>
      <c r="R393" s="5" t="e">
        <f ca="1">IF(OR(INDEX($AI$2:$AI$1001,MATCH(ROWS($AH$2:AH393),$AH$2:$AH$1001,0),1)&gt;=100000,INDEX($AO$1005:$BQ$1005,1,MATCH(COLUMNS($AO$1006:BE1006),$AO$1006:$BQ$1006,0))&gt;=100000), " ",IF(INDEX($AO$2:$BQ$1001,MATCH(ROWS($AH$2:AH393),$AH$2:$AH$1001,0),MATCH(COLUMNS($AO$1006:BE1006),$AO$1006:$BQ$1006,0)), HYPERLINK("#",""), HYPERLINK(CONCATENATE("#Metadata!", ADDRESS(INDEX($AJ$2:$AJ$1001,MATCH(ROWS($AH$2:AH393),$AH$2:$AH$1001,0),0), INDEX($AO$1004:$BQ$1004,1,MATCH(COLUMNS($AO$1006:BE1006),$AO$1006:$BQ$1006,0)))),"Fix")))</f>
        <v>#N/A</v>
      </c>
      <c r="S393" s="5" t="e">
        <f ca="1">IF(OR(INDEX($AI$2:$AI$1001,MATCH(ROWS($AH$2:AH393),$AH$2:$AH$1001,0),1)&gt;=100000,INDEX($AO$1005:$BQ$1005,1,MATCH(COLUMNS($AO$1006:BF1006),$AO$1006:$BQ$1006,0))&gt;=100000), " ",IF(INDEX($AO$2:$BQ$1001,MATCH(ROWS($AH$2:AH393),$AH$2:$AH$1001,0),MATCH(COLUMNS($AO$1006:BF1006),$AO$1006:$BQ$1006,0)), HYPERLINK("#",""), HYPERLINK(CONCATENATE("#Metadata!", ADDRESS(INDEX($AJ$2:$AJ$1001,MATCH(ROWS($AH$2:AH393),$AH$2:$AH$1001,0),0), INDEX($AO$1004:$BQ$1004,1,MATCH(COLUMNS($AO$1006:BF1006),$AO$1006:$BQ$1006,0)))),"Fix")))</f>
        <v>#N/A</v>
      </c>
      <c r="T393" s="5" t="e">
        <f ca="1">IF(OR(INDEX($AI$2:$AI$1001,MATCH(ROWS($AH$2:AH393),$AH$2:$AH$1001,0),1)&gt;=100000,INDEX($AO$1005:$BQ$1005,1,MATCH(COLUMNS($AO$1006:BG1006),$AO$1006:$BQ$1006,0))&gt;=100000), " ",IF(INDEX($AO$2:$BQ$1001,MATCH(ROWS($AH$2:AH393),$AH$2:$AH$1001,0),MATCH(COLUMNS($AO$1006:BG1006),$AO$1006:$BQ$1006,0)), HYPERLINK("#",""), HYPERLINK(CONCATENATE("#Metadata!", ADDRESS(INDEX($AJ$2:$AJ$1001,MATCH(ROWS($AH$2:AH393),$AH$2:$AH$1001,0),0), INDEX($AO$1004:$BQ$1004,1,MATCH(COLUMNS($AO$1006:BG1006),$AO$1006:$BQ$1006,0)))),"Fix")))</f>
        <v>#N/A</v>
      </c>
      <c r="U393" s="5" t="e">
        <f ca="1">IF(OR(INDEX($AI$2:$AI$1001,MATCH(ROWS($AH$2:AH393),$AH$2:$AH$1001,0),1)&gt;=100000,INDEX($AO$1005:$BQ$1005,1,MATCH(COLUMNS($AO$1006:BH1006),$AO$1006:$BQ$1006,0))&gt;=100000), " ",IF(INDEX($AO$2:$BQ$1001,MATCH(ROWS($AH$2:AH393),$AH$2:$AH$1001,0),MATCH(COLUMNS($AO$1006:BH1006),$AO$1006:$BQ$1006,0)), HYPERLINK("#",""), HYPERLINK(CONCATENATE("#Metadata!", ADDRESS(INDEX($AJ$2:$AJ$1001,MATCH(ROWS($AH$2:AH393),$AH$2:$AH$1001,0),0), INDEX($AO$1004:$BQ$1004,1,MATCH(COLUMNS($AO$1006:BH1006),$AO$1006:$BQ$1006,0)))),"Fix")))</f>
        <v>#N/A</v>
      </c>
      <c r="V393" s="5" t="e">
        <f ca="1">IF(OR(INDEX($AI$2:$AI$1001,MATCH(ROWS($AH$2:AH393),$AH$2:$AH$1001,0),1)&gt;=100000,INDEX($AO$1005:$BQ$1005,1,MATCH(COLUMNS($AO$1006:BI1006),$AO$1006:$BQ$1006,0))&gt;=100000), " ",IF(INDEX($AO$2:$BQ$1001,MATCH(ROWS($AH$2:AH393),$AH$2:$AH$1001,0),MATCH(COLUMNS($AO$1006:BI1006),$AO$1006:$BQ$1006,0)), HYPERLINK("#",""), HYPERLINK(CONCATENATE("#Metadata!", ADDRESS(INDEX($AJ$2:$AJ$1001,MATCH(ROWS($AH$2:AH393),$AH$2:$AH$1001,0),0), INDEX($AO$1004:$BQ$1004,1,MATCH(COLUMNS($AO$1006:BI1006),$AO$1006:$BQ$1006,0)))),"Fix")))</f>
        <v>#N/A</v>
      </c>
      <c r="W393" s="5" t="e">
        <f ca="1">IF(OR(INDEX($AI$2:$AI$1001,MATCH(ROWS($AH$2:AH393),$AH$2:$AH$1001,0),1)&gt;=100000,INDEX($AO$1005:$BQ$1005,1,MATCH(COLUMNS($AO$1006:BJ1006),$AO$1006:$BQ$1006,0))&gt;=100000), " ",IF(INDEX($AO$2:$BQ$1001,MATCH(ROWS($AH$2:AH393),$AH$2:$AH$1001,0),MATCH(COLUMNS($AO$1006:BJ1006),$AO$1006:$BQ$1006,0)), HYPERLINK("#",""), HYPERLINK(CONCATENATE("#Metadata!", ADDRESS(INDEX($AJ$2:$AJ$1001,MATCH(ROWS($AH$2:AH393),$AH$2:$AH$1001,0),0), INDEX($AO$1004:$BQ$1004,1,MATCH(COLUMNS($AO$1006:BJ1006),$AO$1006:$BQ$1006,0)))),"Fix")))</f>
        <v>#N/A</v>
      </c>
      <c r="X393" s="5" t="e">
        <f ca="1">IF(OR(INDEX($AI$2:$AI$1001,MATCH(ROWS($AH$2:AH393),$AH$2:$AH$1001,0),1)&gt;=100000,INDEX($AO$1005:$BQ$1005,1,MATCH(COLUMNS($AO$1006:BK1006),$AO$1006:$BQ$1006,0))&gt;=100000), " ",IF(INDEX($AO$2:$BQ$1001,MATCH(ROWS($AH$2:AH393),$AH$2:$AH$1001,0),MATCH(COLUMNS($AO$1006:BK1006),$AO$1006:$BQ$1006,0)), HYPERLINK("#",""), HYPERLINK(CONCATENATE("#Metadata!", ADDRESS(INDEX($AJ$2:$AJ$1001,MATCH(ROWS($AH$2:AH393),$AH$2:$AH$1001,0),0), INDEX($AO$1004:$BQ$1004,1,MATCH(COLUMNS($AO$1006:BK1006),$AO$1006:$BQ$1006,0)))),"Fix")))</f>
        <v>#N/A</v>
      </c>
      <c r="Y393" s="5" t="e">
        <f ca="1">IF(OR(INDEX($AI$2:$AI$1001,MATCH(ROWS($AH$2:AH393),$AH$2:$AH$1001,0),1)&gt;=100000,INDEX($AO$1005:$BQ$1005,1,MATCH(COLUMNS($AO$1006:BL1006),$AO$1006:$BQ$1006,0))&gt;=100000), " ",IF(INDEX($AO$2:$BQ$1001,MATCH(ROWS($AH$2:AH393),$AH$2:$AH$1001,0),MATCH(COLUMNS($AO$1006:BL1006),$AO$1006:$BQ$1006,0)), HYPERLINK("#",""), HYPERLINK(CONCATENATE("#Metadata!", ADDRESS(INDEX($AJ$2:$AJ$1001,MATCH(ROWS($AH$2:AH393),$AH$2:$AH$1001,0),0), INDEX($AO$1004:$BQ$1004,1,MATCH(COLUMNS($AO$1006:BL1006),$AO$1006:$BQ$1006,0)))),"Fix")))</f>
        <v>#N/A</v>
      </c>
      <c r="Z393" s="5" t="e">
        <f ca="1">IF(OR(INDEX($AI$2:$AI$1001,MATCH(ROWS($AH$2:AH393),$AH$2:$AH$1001,0),1)&gt;=100000,INDEX($AO$1005:$BQ$1005,1,MATCH(COLUMNS($AO$1006:BM1006),$AO$1006:$BQ$1006,0))&gt;=100000), " ",IF(INDEX($AO$2:$BQ$1001,MATCH(ROWS($AH$2:AH393),$AH$2:$AH$1001,0),MATCH(COLUMNS($AO$1006:BM1006),$AO$1006:$BQ$1006,0)), HYPERLINK("#",""), HYPERLINK(CONCATENATE("#Metadata!", ADDRESS(INDEX($AJ$2:$AJ$1001,MATCH(ROWS($AH$2:AH393),$AH$2:$AH$1001,0),0), INDEX($AO$1004:$BQ$1004,1,MATCH(COLUMNS($AO$1006:BM1006),$AO$1006:$BQ$1006,0)))),"Fix")))</f>
        <v>#N/A</v>
      </c>
      <c r="AA393" s="5" t="e">
        <f ca="1">IF(OR(INDEX($AI$2:$AI$1001,MATCH(ROWS($AH$2:AH393),$AH$2:$AH$1001,0),1)&gt;=100000,INDEX($AO$1005:$BQ$1005,1,MATCH(COLUMNS($AO$1006:BN1006),$AO$1006:$BQ$1006,0))&gt;=100000), " ",IF(INDEX($AO$2:$BQ$1001,MATCH(ROWS($AH$2:AH393),$AH$2:$AH$1001,0),MATCH(COLUMNS($AO$1006:BN1006),$AO$1006:$BQ$1006,0)), HYPERLINK("#",""), HYPERLINK(CONCATENATE("#Metadata!", ADDRESS(INDEX($AJ$2:$AJ$1001,MATCH(ROWS($AH$2:AH393),$AH$2:$AH$1001,0),0), INDEX($AO$1004:$BQ$1004,1,MATCH(COLUMNS($AO$1006:BN1006),$AO$1006:$BQ$1006,0)))),"Fix")))</f>
        <v>#N/A</v>
      </c>
      <c r="AB393" s="5" t="e">
        <f ca="1">IF(OR(INDEX($AI$2:$AI$1001,MATCH(ROWS($AH$2:AH393),$AH$2:$AH$1001,0),1)&gt;=100000,INDEX($AO$1005:$BQ$1005,1,MATCH(COLUMNS($AO$1006:BO1006),$AO$1006:$BQ$1006,0))&gt;=100000), " ",IF(INDEX($AO$2:$BQ$1001,MATCH(ROWS($AH$2:AH393),$AH$2:$AH$1001,0),MATCH(COLUMNS($AO$1006:BO1006),$AO$1006:$BQ$1006,0)), HYPERLINK("#",""), HYPERLINK(CONCATENATE("#Metadata!", ADDRESS(INDEX($AJ$2:$AJ$1001,MATCH(ROWS($AH$2:AH393),$AH$2:$AH$1001,0),0), INDEX($AO$1004:$BQ$1004,1,MATCH(COLUMNS($AO$1006:BO1006),$AO$1006:$BQ$1006,0)))),"Fix")))</f>
        <v>#N/A</v>
      </c>
      <c r="AC393" s="5" t="e">
        <f ca="1">IF(OR(INDEX($AI$2:$AI$1001,MATCH(ROWS($AH$2:AH393),$AH$2:$AH$1001,0),1)&gt;=100000,INDEX($AO$1005:$BQ$1005,1,MATCH(COLUMNS($AO$1006:BP1006),$AO$1006:$BQ$1006,0))&gt;=100000), " ",IF(INDEX($AO$2:$BQ$1001,MATCH(ROWS($AH$2:AH393),$AH$2:$AH$1001,0),MATCH(COLUMNS($AO$1006:BP1006),$AO$1006:$BQ$1006,0)), HYPERLINK("#",""), HYPERLINK(CONCATENATE("#Metadata!", ADDRESS(INDEX($AJ$2:$AJ$1001,MATCH(ROWS($AH$2:AH393),$AH$2:$AH$1001,0),0), INDEX($AO$1004:$BQ$1004,1,MATCH(COLUMNS($AO$1006:BP1006),$AO$1006:$BQ$1006,0)))),"Fix")))</f>
        <v>#N/A</v>
      </c>
      <c r="AD393" s="5" t="e">
        <f ca="1">IF(OR(INDEX($AI$2:$AI$1001,MATCH(ROWS($AH$2:AH393),$AH$2:$AH$1001,0),1)&gt;=100000,INDEX($AO$1005:$BQ$1005,1,MATCH(COLUMNS($AO$1006:BQ1006),$AO$1006:$BQ$1006,0))&gt;=100000), " ",IF(INDEX($AO$2:$BQ$1001,MATCH(ROWS($AH$2:AH393),$AH$2:$AH$1001,0),MATCH(COLUMNS($AO$1006:BQ1006),$AO$1006:$BQ$1006,0)), HYPERLINK("#",""), HYPERLINK(CONCATENATE("#Metadata!", ADDRESS(INDEX($AJ$2:$AJ$1001,MATCH(ROWS($AH$2:AH393),$AH$2:$AH$1001,0),0), INDEX($AO$1004:$BQ$1004,1,MATCH(COLUMNS($AO$1006:BQ1006),$AO$1006:$BQ$1006,0)))),"Fix")))</f>
        <v>#REF!</v>
      </c>
      <c r="AH393">
        <f ca="1"/>
        <v>390</v>
      </c>
      <c r="AI393">
        <v>100393</v>
      </c>
      <c r="AJ393">
        <v>393</v>
      </c>
      <c r="AK393" t="b">
        <f t="shared" si="6"/>
        <v>1</v>
      </c>
      <c r="AL393" t="b">
        <f>COUNTBLANK(Metadata!B393:AD393)=COLUMNS(Metadata!B393:AD393)</f>
        <v>1</v>
      </c>
      <c r="AM393" t="str">
        <v/>
      </c>
      <c r="AO393" t="b">
        <f ca="1">AND(IF(Metadata!B393="",FALSE,TRUE),COUNTIF(Metadata!B:B, Metadata!B393) = 1,NOT(ISERROR(SUMPRODUCT(SEARCH(MID(Metadata!B393,ROW(INDIRECT("1:"&amp;LEN(Metadata!B393))), 1),"0123456789abcdefghijklmnopqrstuvwxyzABCDEFGHIJKLMNOPQRSTUVWXYZ.")))))</f>
        <v>0</v>
      </c>
      <c r="AP393" t="b">
        <f>IF(Metadata!C393="",FALSE,TRUE)</f>
        <v>0</v>
      </c>
      <c r="AQ393" t="b">
        <f>IF(Metadata!D393="",FALSE,TRUE)</f>
        <v>0</v>
      </c>
      <c r="AR393" t="b">
        <f ca="1">OR(AND(IF(Metadata!E393="",FALSE,TRUE),OR(EXACT(Metadata!E393,"not collected"),EXACT(Metadata!E393,"not provided"),EXACT(Metadata!E393,"restricted access"))),AND(IF(Metadata!E393="",FALSE,TRUE),AND(AND(IFERROR(INT(LEFT(Metadata!E393,4))&gt;1900,FALSE),IFERROR(INT(LEFT(Metadata!E393,4))&lt;=YEAR(NOW()),FALSE)), OR(MID(Metadata!E393,5,1)="", AND(AND(MID(Metadata!E393,5,1)="-",IFERROR(INT(MID(Metadata!E393,6,1))&gt;=0,FALSE),IFERROR(INT(MID(Metadata!E393,6,1))&lt;=1,FALSE),NOT(MID(Metadata!E393,7,1)=""),IFERROR(INT(MID(Metadata!E393,6,2))&gt;=1,FALSE),IFERROR(INT(MID(Metadata!E393,6,2))&lt;=12,FALSE)), OR(MID(Metadata!E393,8,1)="", AND(AND(MID(Metadata!E393,8,1)="-",IFERROR(INT(MID(Metadata!E393,9,1))&gt;=0,FALSE),IFERROR(INT(MID(Metadata!E393,9,1))&lt;=3,FALSE),NOT(MID(Metadata!E393,10,1)=""),IFERROR(INT(MID(Metadata!E393,9,2))&gt;=1,FALSE),IFERROR(INT(MID(Metadata!E393,9,2))&lt;=31,FALSE)), OR(MID(Metadata!E393,11,1)="", AND(AND(MID(Metadata!E393,11,1)=" ",IFERROR(INT(MID(Metadata!E393,12,1))&gt;=0,FALSE),IFERROR(INT(MID(Metadata!E393,12,1))&lt;=2,FALSE),NOT(MID(Metadata!E393,13,1)=""),IFERROR(INT(MID(Metadata!E393,12,2))&gt;=0,FALSE),IFERROR(INT(MID(Metadata!E393,12,2))&lt;=23,FALSE)), OR(MID(Metadata!E393,14,1)="", AND(AND(MID(Metadata!E393,14,1)=":",IFERROR(INT(MID(Metadata!E393,15,1))&gt;=0,FALSE),IFERROR(INT(MID(Metadata!E393,15,1))&lt;=5,FALSE),NOT(MID(Metadata!E393,16,1)=""),IFERROR(INT(MID(Metadata!E393,15,2))&gt;=0,FALSE),IFERROR(INT(MID(Metadata!E393,15,2))&lt;=59,FALSE)), OR(MID(Metadata!E393,17,1)="", AND(AND(MID(Metadata!E393,17,1)=":",IFERROR(INT(MID(Metadata!E393,18,1))&gt;=0,FALSE),IFERROR(INT(MID(Metadata!E393,18,1))&lt;=5,FALSE),NOT(MID(Metadata!E393,19,1)=""),IFERROR(INT(MID(Metadata!E393,18,2))&gt;=0,FALSE),IFERROR(INT(MID(Metadata!E393,18,2))&lt;=59,FALSE)), LEN(Metadata!E393)&lt;=19)))))))))))))</f>
        <v>0</v>
      </c>
      <c r="AS393" t="b">
        <f>IF(Metadata!F393="",FALSE,TRUE)</f>
        <v>0</v>
      </c>
      <c r="AT393" t="b">
        <f>OR(AND(IF(Metadata!G393="",FALSE,TRUE),OR(EXACT(Metadata!G393,"not collected"),EXACT(Metadata!G393,"not provided"))),AND(IF(Metadata!G393="",FALSE,TRUE),OR(EXACT(Metadata!G393,"TRUE"),EXACT(Metadata!G393,"FALSE"))))</f>
        <v>0</v>
      </c>
      <c r="AU393" t="b">
        <f>OR(AND(IF(Metadata!H393="",FALSE,TRUE),OR(EXACT(Metadata!H393,"not collected"),EXACT(Metadata!H393,"not provided"),EXACT(Metadata!H393,"restricted access"))),AND(IF(Metadata!H393="",FALSE,ISNUMBER(VALUE(Metadata!H393))),Metadata!H393&gt;=-413))</f>
        <v>0</v>
      </c>
      <c r="AV393" t="b">
        <f>AND(IF(Metadata!I393="",FALSE,TRUE),EXACT(Metadata!I393,"meters"))</f>
        <v>0</v>
      </c>
      <c r="AW393" t="b">
        <f>AND(IF(Metadata!J393="",FALSE,TRUE),EXACT(Metadata!J393,"free-living"))</f>
        <v>0</v>
      </c>
      <c r="AX393" t="b">
        <f>AND(IF(Metadata!K393="",FALSE,TRUE),OR(EXACT(Metadata!K393,"saline"),EXACT(Metadata!K393,"non-saline")))</f>
        <v>0</v>
      </c>
      <c r="AY393" t="b">
        <f>AND(IF(Metadata!L393="",FALSE,TRUE),OR(EXACT(Metadata!L393,"sub-surface (non-saline)"),EXACT(Metadata!L393,"surface (non-saline)"),EXACT(Metadata!L393,"water (non-saline)"),EXACT(Metadata!L393,"soil (non-saline)"),EXACT(Metadata!L393,"aerosol (non-saline)"),EXACT(Metadata!L393,"sediment (non-saline)"),EXACT(Metadata!L393,"surface (saline)"),EXACT(Metadata!L393,"water (saline)"),EXACT(Metadata!L393,"hypersaline (saline)"),EXACT(Metadata!L393,"aerosol (saline)"),EXACT(Metadata!L393,"sediment (saline)")))</f>
        <v>0</v>
      </c>
      <c r="AZ393" t="b">
        <f>IF(Metadata!M393="",FALSE,TRUE)</f>
        <v>0</v>
      </c>
      <c r="BA393" t="b">
        <f>IF(Metadata!N393="",FALSE,TRUE)</f>
        <v>0</v>
      </c>
      <c r="BB393" t="b">
        <f>IF(Metadata!O393="",FALSE,TRUE)</f>
        <v>0</v>
      </c>
      <c r="BC393" t="b">
        <f>AND(IF(Metadata!P393="",FALSE,TRUE),OR(EXACT(Metadata!P393,"air"),EXACT(Metadata!P393,"microbial mat/biofilm"),EXACT(Metadata!P393,"misc environment"),EXACT(Metadata!P393,"sediment"),EXACT(Metadata!P393,"soil"),EXACT(Metadata!P393,"wastewater/sludge"),EXACT(Metadata!P393,"water")))</f>
        <v>0</v>
      </c>
      <c r="BD393" t="b">
        <f>IF(Metadata!Q393="",FALSE,TRUE)</f>
        <v>0</v>
      </c>
      <c r="BE393" t="b">
        <f>IF(Metadata!R393="",FALSE,TRUE)</f>
        <v>0</v>
      </c>
      <c r="BF393" t="b">
        <f>OR(AND(IF(Metadata!S393="",FALSE,TRUE),OR(EXACT(Metadata!S393,"not collected"),EXACT(Metadata!S393,"not provided"),EXACT(Metadata!S393,"restricted access"))),AND(IF(Metadata!S393="",FALSE,ISNUMBER(VALUE(Metadata!S393))),Metadata!S393&gt;=-90,Metadata!S393&lt;=90))</f>
        <v>0</v>
      </c>
      <c r="BG393" t="b">
        <f>AND(IF(Metadata!T393="",FALSE,TRUE),EXACT(Metadata!T393,"Decimal degrees"))</f>
        <v>0</v>
      </c>
      <c r="BH393" t="b">
        <f>OR(AND(IF(Metadata!U393="",FALSE,TRUE),OR(EXACT(Metadata!U393,"not applicable"),EXACT(Metadata!U393,"not collected"))),IF(Metadata!U393="",FALSE,TRUE))</f>
        <v>0</v>
      </c>
      <c r="BI393" t="b">
        <f>OR(AND(IF(Metadata!V393="",FALSE,TRUE),OR(EXACT(Metadata!V393,"not collected"),EXACT(Metadata!V393,"not provided"),EXACT(Metadata!V393,"restricted access"))),AND(IF(Metadata!V393="",FALSE,ISNUMBER(VALUE(Metadata!V393))),Metadata!V393&gt;=-180,Metadata!V393&lt;=180))</f>
        <v>0</v>
      </c>
      <c r="BJ393" t="b">
        <f>AND(IF(Metadata!W393="",FALSE,TRUE),EXACT(Metadata!W393,"Decimal degrees"))</f>
        <v>0</v>
      </c>
      <c r="BK393" t="b">
        <f>IF(Metadata!X393="",FALSE,TRUE)</f>
        <v>0</v>
      </c>
      <c r="BL393" t="b">
        <f>OR(AND(IF(Metadata!Y393="",FALSE,TRUE),OR(EXACT(Metadata!Y393,"not collected"),EXACT(Metadata!Y393,"not provided"),EXACT(Metadata!Y393,"restricted access"))),AND(IF(Metadata!Y393="",FALSE,TRUE),OR(EXACT(Metadata!Y393,"TRUE"),EXACT(Metadata!Y393,"FALSE"))))</f>
        <v>0</v>
      </c>
      <c r="BM393" t="b">
        <f>OR(AND(IF(Metadata!Z393="",FALSE,TRUE),EXACT(Metadata!Z393,"not applicable")),AND(IF(Metadata!Z393="",FALSE,TRUE),OR(EXACT(Metadata!Z393,"beer"),EXACT(Metadata!Z393,"cheese"),EXACT(Metadata!Z393,"fresh water"),EXACT(Metadata!Z393,"marine sediment"),EXACT(Metadata!Z393,"sea water"),EXACT(Metadata!Z393,"sediment"),EXACT(Metadata!Z393,"soil"),EXACT(Metadata!Z393,"waste water"))))</f>
        <v>0</v>
      </c>
      <c r="BN393" t="b">
        <f>AND(IF(Metadata!AA393="",FALSE,TRUE),EXACT(Metadata!AA393,"metagenome"))</f>
        <v>0</v>
      </c>
      <c r="BO393" t="b">
        <f>AND(IF(Metadata!AB393="",FALSE,TRUE),EXACT(Metadata!AB393,"256318"))</f>
        <v>0</v>
      </c>
      <c r="BP393" t="b">
        <f>IF(Metadata!AC393="",FALSE,TRUE)</f>
        <v>0</v>
      </c>
      <c r="BQ393" t="b">
        <f>IF(Metadata!AD393="",FALSE,TRUE)</f>
        <v>0</v>
      </c>
    </row>
    <row r="394" spans="1:69" x14ac:dyDescent="0.2">
      <c r="A394" s="4" t="e">
        <f ca="1">IF(B394=" "," ",HYPERLINK(CONCATENATE("#metadata!",ADDRESS(INDEX($AJ$2:$AJ$1001,MATCH(ROWS($AH$2:AH394),$AH$2:$AH$1001,0),0),2)),INDEX($AM$2:$AM$1001,MATCH(ROWS($AH$2:AH394),$AH$2:$AH$1001,0),0)))</f>
        <v>#N/A</v>
      </c>
      <c r="B394" s="5" t="e">
        <f ca="1">IF(OR(INDEX($AI$2:$AI$1001,MATCH(ROWS($AH$2:AH394),$AH$2:$AH$1001,0),1)&gt;=100000,INDEX($AO$1005:$BQ$1005,1,MATCH(COLUMNS($AO$1006:AO1006),$AO$1006:$BQ$1006,0))&gt;=100000), " ",IF(INDEX($AO$2:$BQ$1001,MATCH(ROWS($AH$2:AH394),$AH$2:$AH$1001,0),MATCH(COLUMNS($AO$1006:AO1006),$AO$1006:$BQ$1006,0)), HYPERLINK("#",""), HYPERLINK(CONCATENATE("#Metadata!", ADDRESS(INDEX($AJ$2:$AJ$1001,MATCH(ROWS($AH$2:AH394),$AH$2:$AH$1001,0),0), INDEX($AO$1004:$BQ$1004,1,MATCH(COLUMNS($AO$1006:AO1006),$AO$1006:$BQ$1006,0)))),"Fix")))</f>
        <v>#N/A</v>
      </c>
      <c r="C394" s="5" t="e">
        <f ca="1">IF(OR(INDEX($AI$2:$AI$1001,MATCH(ROWS($AH$2:AH394),$AH$2:$AH$1001,0),1)&gt;=100000,INDEX($AO$1005:$BQ$1005,1,MATCH(COLUMNS($AO$1006:AP1006),$AO$1006:$BQ$1006,0))&gt;=100000), " ",IF(INDEX($AO$2:$BQ$1001,MATCH(ROWS($AH$2:AH394),$AH$2:$AH$1001,0),MATCH(COLUMNS($AO$1006:AP1006),$AO$1006:$BQ$1006,0)), HYPERLINK("#",""), HYPERLINK(CONCATENATE("#Metadata!", ADDRESS(INDEX($AJ$2:$AJ$1001,MATCH(ROWS($AH$2:AH394),$AH$2:$AH$1001,0),0), INDEX($AO$1004:$BQ$1004,1,MATCH(COLUMNS($AO$1006:AP1006),$AO$1006:$BQ$1006,0)))),"Fix")))</f>
        <v>#N/A</v>
      </c>
      <c r="D394" s="5" t="e">
        <f ca="1">IF(OR(INDEX($AI$2:$AI$1001,MATCH(ROWS($AH$2:AH394),$AH$2:$AH$1001,0),1)&gt;=100000,INDEX($AO$1005:$BQ$1005,1,MATCH(COLUMNS($AO$1006:AQ1006),$AO$1006:$BQ$1006,0))&gt;=100000), " ",IF(INDEX($AO$2:$BQ$1001,MATCH(ROWS($AH$2:AH394),$AH$2:$AH$1001,0),MATCH(COLUMNS($AO$1006:AQ1006),$AO$1006:$BQ$1006,0)), HYPERLINK("#",""), HYPERLINK(CONCATENATE("#Metadata!", ADDRESS(INDEX($AJ$2:$AJ$1001,MATCH(ROWS($AH$2:AH394),$AH$2:$AH$1001,0),0), INDEX($AO$1004:$BQ$1004,1,MATCH(COLUMNS($AO$1006:AQ1006),$AO$1006:$BQ$1006,0)))),"Fix")))</f>
        <v>#N/A</v>
      </c>
      <c r="E394" s="5" t="e">
        <f ca="1">IF(OR(INDEX($AI$2:$AI$1001,MATCH(ROWS($AH$2:AH394),$AH$2:$AH$1001,0),1)&gt;=100000,INDEX($AO$1005:$BQ$1005,1,MATCH(COLUMNS($AO$1006:AR1006),$AO$1006:$BQ$1006,0))&gt;=100000), " ",IF(INDEX($AO$2:$BQ$1001,MATCH(ROWS($AH$2:AH394),$AH$2:$AH$1001,0),MATCH(COLUMNS($AO$1006:AR1006),$AO$1006:$BQ$1006,0)), HYPERLINK("#",""), HYPERLINK(CONCATENATE("#Metadata!", ADDRESS(INDEX($AJ$2:$AJ$1001,MATCH(ROWS($AH$2:AH394),$AH$2:$AH$1001,0),0), INDEX($AO$1004:$BQ$1004,1,MATCH(COLUMNS($AO$1006:AR1006),$AO$1006:$BQ$1006,0)))),"Fix")))</f>
        <v>#N/A</v>
      </c>
      <c r="F394" s="5" t="e">
        <f ca="1">IF(OR(INDEX($AI$2:$AI$1001,MATCH(ROWS($AH$2:AH394),$AH$2:$AH$1001,0),1)&gt;=100000,INDEX($AO$1005:$BQ$1005,1,MATCH(COLUMNS($AO$1006:AS1006),$AO$1006:$BQ$1006,0))&gt;=100000), " ",IF(INDEX($AO$2:$BQ$1001,MATCH(ROWS($AH$2:AH394),$AH$2:$AH$1001,0),MATCH(COLUMNS($AO$1006:AS1006),$AO$1006:$BQ$1006,0)), HYPERLINK("#",""), HYPERLINK(CONCATENATE("#Metadata!", ADDRESS(INDEX($AJ$2:$AJ$1001,MATCH(ROWS($AH$2:AH394),$AH$2:$AH$1001,0),0), INDEX($AO$1004:$BQ$1004,1,MATCH(COLUMNS($AO$1006:AS1006),$AO$1006:$BQ$1006,0)))),"Fix")))</f>
        <v>#N/A</v>
      </c>
      <c r="G394" s="5" t="e">
        <f ca="1">IF(OR(INDEX($AI$2:$AI$1001,MATCH(ROWS($AH$2:AH394),$AH$2:$AH$1001,0),1)&gt;=100000,INDEX($AO$1005:$BQ$1005,1,MATCH(COLUMNS($AO$1006:AT1006),$AO$1006:$BQ$1006,0))&gt;=100000), " ",IF(INDEX($AO$2:$BQ$1001,MATCH(ROWS($AH$2:AH394),$AH$2:$AH$1001,0),MATCH(COLUMNS($AO$1006:AT1006),$AO$1006:$BQ$1006,0)), HYPERLINK("#",""), HYPERLINK(CONCATENATE("#Metadata!", ADDRESS(INDEX($AJ$2:$AJ$1001,MATCH(ROWS($AH$2:AH394),$AH$2:$AH$1001,0),0), INDEX($AO$1004:$BQ$1004,1,MATCH(COLUMNS($AO$1006:AT1006),$AO$1006:$BQ$1006,0)))),"Fix")))</f>
        <v>#N/A</v>
      </c>
      <c r="H394" s="5" t="e">
        <f ca="1">IF(OR(INDEX($AI$2:$AI$1001,MATCH(ROWS($AH$2:AH394),$AH$2:$AH$1001,0),1)&gt;=100000,INDEX($AO$1005:$BQ$1005,1,MATCH(COLUMNS($AO$1006:AU1006),$AO$1006:$BQ$1006,0))&gt;=100000), " ",IF(INDEX($AO$2:$BQ$1001,MATCH(ROWS($AH$2:AH394),$AH$2:$AH$1001,0),MATCH(COLUMNS($AO$1006:AU1006),$AO$1006:$BQ$1006,0)), HYPERLINK("#",""), HYPERLINK(CONCATENATE("#Metadata!", ADDRESS(INDEX($AJ$2:$AJ$1001,MATCH(ROWS($AH$2:AH394),$AH$2:$AH$1001,0),0), INDEX($AO$1004:$BQ$1004,1,MATCH(COLUMNS($AO$1006:AU1006),$AO$1006:$BQ$1006,0)))),"Fix")))</f>
        <v>#N/A</v>
      </c>
      <c r="I394" s="5" t="e">
        <f ca="1">IF(OR(INDEX($AI$2:$AI$1001,MATCH(ROWS($AH$2:AH394),$AH$2:$AH$1001,0),1)&gt;=100000,INDEX($AO$1005:$BQ$1005,1,MATCH(COLUMNS($AO$1006:AV1006),$AO$1006:$BQ$1006,0))&gt;=100000), " ",IF(INDEX($AO$2:$BQ$1001,MATCH(ROWS($AH$2:AH394),$AH$2:$AH$1001,0),MATCH(COLUMNS($AO$1006:AV1006),$AO$1006:$BQ$1006,0)), HYPERLINK("#",""), HYPERLINK(CONCATENATE("#Metadata!", ADDRESS(INDEX($AJ$2:$AJ$1001,MATCH(ROWS($AH$2:AH394),$AH$2:$AH$1001,0),0), INDEX($AO$1004:$BQ$1004,1,MATCH(COLUMNS($AO$1006:AV1006),$AO$1006:$BQ$1006,0)))),"Fix")))</f>
        <v>#N/A</v>
      </c>
      <c r="J394" s="5" t="e">
        <f ca="1">IF(OR(INDEX($AI$2:$AI$1001,MATCH(ROWS($AH$2:AH394),$AH$2:$AH$1001,0),1)&gt;=100000,INDEX($AO$1005:$BQ$1005,1,MATCH(COLUMNS($AO$1006:AW1006),$AO$1006:$BQ$1006,0))&gt;=100000), " ",IF(INDEX($AO$2:$BQ$1001,MATCH(ROWS($AH$2:AH394),$AH$2:$AH$1001,0),MATCH(COLUMNS($AO$1006:AW1006),$AO$1006:$BQ$1006,0)), HYPERLINK("#",""), HYPERLINK(CONCATENATE("#Metadata!", ADDRESS(INDEX($AJ$2:$AJ$1001,MATCH(ROWS($AH$2:AH394),$AH$2:$AH$1001,0),0), INDEX($AO$1004:$BQ$1004,1,MATCH(COLUMNS($AO$1006:AW1006),$AO$1006:$BQ$1006,0)))),"Fix")))</f>
        <v>#N/A</v>
      </c>
      <c r="K394" s="5" t="e">
        <f ca="1">IF(OR(INDEX($AI$2:$AI$1001,MATCH(ROWS($AH$2:AH394),$AH$2:$AH$1001,0),1)&gt;=100000,INDEX($AO$1005:$BQ$1005,1,MATCH(COLUMNS($AO$1006:AX1006),$AO$1006:$BQ$1006,0))&gt;=100000), " ",IF(INDEX($AO$2:$BQ$1001,MATCH(ROWS($AH$2:AH394),$AH$2:$AH$1001,0),MATCH(COLUMNS($AO$1006:AX1006),$AO$1006:$BQ$1006,0)), HYPERLINK("#",""), HYPERLINK(CONCATENATE("#Metadata!", ADDRESS(INDEX($AJ$2:$AJ$1001,MATCH(ROWS($AH$2:AH394),$AH$2:$AH$1001,0),0), INDEX($AO$1004:$BQ$1004,1,MATCH(COLUMNS($AO$1006:AX1006),$AO$1006:$BQ$1006,0)))),"Fix")))</f>
        <v>#N/A</v>
      </c>
      <c r="L394" s="5" t="e">
        <f ca="1">IF(OR(INDEX($AI$2:$AI$1001,MATCH(ROWS($AH$2:AH394),$AH$2:$AH$1001,0),1)&gt;=100000,INDEX($AO$1005:$BQ$1005,1,MATCH(COLUMNS($AO$1006:AY1006),$AO$1006:$BQ$1006,0))&gt;=100000), " ",IF(INDEX($AO$2:$BQ$1001,MATCH(ROWS($AH$2:AH394),$AH$2:$AH$1001,0),MATCH(COLUMNS($AO$1006:AY1006),$AO$1006:$BQ$1006,0)), HYPERLINK("#",""), HYPERLINK(CONCATENATE("#Metadata!", ADDRESS(INDEX($AJ$2:$AJ$1001,MATCH(ROWS($AH$2:AH394),$AH$2:$AH$1001,0),0), INDEX($AO$1004:$BQ$1004,1,MATCH(COLUMNS($AO$1006:AY1006),$AO$1006:$BQ$1006,0)))),"Fix")))</f>
        <v>#N/A</v>
      </c>
      <c r="M394" s="5" t="e">
        <f ca="1">IF(OR(INDEX($AI$2:$AI$1001,MATCH(ROWS($AH$2:AH394),$AH$2:$AH$1001,0),1)&gt;=100000,INDEX($AO$1005:$BQ$1005,1,MATCH(COLUMNS($AO$1006:AZ1006),$AO$1006:$BQ$1006,0))&gt;=100000), " ",IF(INDEX($AO$2:$BQ$1001,MATCH(ROWS($AH$2:AH394),$AH$2:$AH$1001,0),MATCH(COLUMNS($AO$1006:AZ1006),$AO$1006:$BQ$1006,0)), HYPERLINK("#",""), HYPERLINK(CONCATENATE("#Metadata!", ADDRESS(INDEX($AJ$2:$AJ$1001,MATCH(ROWS($AH$2:AH394),$AH$2:$AH$1001,0),0), INDEX($AO$1004:$BQ$1004,1,MATCH(COLUMNS($AO$1006:AZ1006),$AO$1006:$BQ$1006,0)))),"Fix")))</f>
        <v>#N/A</v>
      </c>
      <c r="N394" s="5" t="e">
        <f ca="1">IF(OR(INDEX($AI$2:$AI$1001,MATCH(ROWS($AH$2:AH394),$AH$2:$AH$1001,0),1)&gt;=100000,INDEX($AO$1005:$BQ$1005,1,MATCH(COLUMNS($AO$1006:BA1006),$AO$1006:$BQ$1006,0))&gt;=100000), " ",IF(INDEX($AO$2:$BQ$1001,MATCH(ROWS($AH$2:AH394),$AH$2:$AH$1001,0),MATCH(COLUMNS($AO$1006:BA1006),$AO$1006:$BQ$1006,0)), HYPERLINK("#",""), HYPERLINK(CONCATENATE("#Metadata!", ADDRESS(INDEX($AJ$2:$AJ$1001,MATCH(ROWS($AH$2:AH394),$AH$2:$AH$1001,0),0), INDEX($AO$1004:$BQ$1004,1,MATCH(COLUMNS($AO$1006:BA1006),$AO$1006:$BQ$1006,0)))),"Fix")))</f>
        <v>#N/A</v>
      </c>
      <c r="O394" s="5" t="e">
        <f ca="1">IF(OR(INDEX($AI$2:$AI$1001,MATCH(ROWS($AH$2:AH394),$AH$2:$AH$1001,0),1)&gt;=100000,INDEX($AO$1005:$BQ$1005,1,MATCH(COLUMNS($AO$1006:BB1006),$AO$1006:$BQ$1006,0))&gt;=100000), " ",IF(INDEX($AO$2:$BQ$1001,MATCH(ROWS($AH$2:AH394),$AH$2:$AH$1001,0),MATCH(COLUMNS($AO$1006:BB1006),$AO$1006:$BQ$1006,0)), HYPERLINK("#",""), HYPERLINK(CONCATENATE("#Metadata!", ADDRESS(INDEX($AJ$2:$AJ$1001,MATCH(ROWS($AH$2:AH394),$AH$2:$AH$1001,0),0), INDEX($AO$1004:$BQ$1004,1,MATCH(COLUMNS($AO$1006:BB1006),$AO$1006:$BQ$1006,0)))),"Fix")))</f>
        <v>#N/A</v>
      </c>
      <c r="P394" s="5" t="e">
        <f ca="1">IF(OR(INDEX($AI$2:$AI$1001,MATCH(ROWS($AH$2:AH394),$AH$2:$AH$1001,0),1)&gt;=100000,INDEX($AO$1005:$BQ$1005,1,MATCH(COLUMNS($AO$1006:BC1006),$AO$1006:$BQ$1006,0))&gt;=100000), " ",IF(INDEX($AO$2:$BQ$1001,MATCH(ROWS($AH$2:AH394),$AH$2:$AH$1001,0),MATCH(COLUMNS($AO$1006:BC1006),$AO$1006:$BQ$1006,0)), HYPERLINK("#",""), HYPERLINK(CONCATENATE("#Metadata!", ADDRESS(INDEX($AJ$2:$AJ$1001,MATCH(ROWS($AH$2:AH394),$AH$2:$AH$1001,0),0), INDEX($AO$1004:$BQ$1004,1,MATCH(COLUMNS($AO$1006:BC1006),$AO$1006:$BQ$1006,0)))),"Fix")))</f>
        <v>#N/A</v>
      </c>
      <c r="Q394" s="5" t="e">
        <f ca="1">IF(OR(INDEX($AI$2:$AI$1001,MATCH(ROWS($AH$2:AH394),$AH$2:$AH$1001,0),1)&gt;=100000,INDEX($AO$1005:$BQ$1005,1,MATCH(COLUMNS($AO$1006:BD1006),$AO$1006:$BQ$1006,0))&gt;=100000), " ",IF(INDEX($AO$2:$BQ$1001,MATCH(ROWS($AH$2:AH394),$AH$2:$AH$1001,0),MATCH(COLUMNS($AO$1006:BD1006),$AO$1006:$BQ$1006,0)), HYPERLINK("#",""), HYPERLINK(CONCATENATE("#Metadata!", ADDRESS(INDEX($AJ$2:$AJ$1001,MATCH(ROWS($AH$2:AH394),$AH$2:$AH$1001,0),0), INDEX($AO$1004:$BQ$1004,1,MATCH(COLUMNS($AO$1006:BD1006),$AO$1006:$BQ$1006,0)))),"Fix")))</f>
        <v>#N/A</v>
      </c>
      <c r="R394" s="5" t="e">
        <f ca="1">IF(OR(INDEX($AI$2:$AI$1001,MATCH(ROWS($AH$2:AH394),$AH$2:$AH$1001,0),1)&gt;=100000,INDEX($AO$1005:$BQ$1005,1,MATCH(COLUMNS($AO$1006:BE1006),$AO$1006:$BQ$1006,0))&gt;=100000), " ",IF(INDEX($AO$2:$BQ$1001,MATCH(ROWS($AH$2:AH394),$AH$2:$AH$1001,0),MATCH(COLUMNS($AO$1006:BE1006),$AO$1006:$BQ$1006,0)), HYPERLINK("#",""), HYPERLINK(CONCATENATE("#Metadata!", ADDRESS(INDEX($AJ$2:$AJ$1001,MATCH(ROWS($AH$2:AH394),$AH$2:$AH$1001,0),0), INDEX($AO$1004:$BQ$1004,1,MATCH(COLUMNS($AO$1006:BE1006),$AO$1006:$BQ$1006,0)))),"Fix")))</f>
        <v>#N/A</v>
      </c>
      <c r="S394" s="5" t="e">
        <f ca="1">IF(OR(INDEX($AI$2:$AI$1001,MATCH(ROWS($AH$2:AH394),$AH$2:$AH$1001,0),1)&gt;=100000,INDEX($AO$1005:$BQ$1005,1,MATCH(COLUMNS($AO$1006:BF1006),$AO$1006:$BQ$1006,0))&gt;=100000), " ",IF(INDEX($AO$2:$BQ$1001,MATCH(ROWS($AH$2:AH394),$AH$2:$AH$1001,0),MATCH(COLUMNS($AO$1006:BF1006),$AO$1006:$BQ$1006,0)), HYPERLINK("#",""), HYPERLINK(CONCATENATE("#Metadata!", ADDRESS(INDEX($AJ$2:$AJ$1001,MATCH(ROWS($AH$2:AH394),$AH$2:$AH$1001,0),0), INDEX($AO$1004:$BQ$1004,1,MATCH(COLUMNS($AO$1006:BF1006),$AO$1006:$BQ$1006,0)))),"Fix")))</f>
        <v>#N/A</v>
      </c>
      <c r="T394" s="5" t="e">
        <f ca="1">IF(OR(INDEX($AI$2:$AI$1001,MATCH(ROWS($AH$2:AH394),$AH$2:$AH$1001,0),1)&gt;=100000,INDEX($AO$1005:$BQ$1005,1,MATCH(COLUMNS($AO$1006:BG1006),$AO$1006:$BQ$1006,0))&gt;=100000), " ",IF(INDEX($AO$2:$BQ$1001,MATCH(ROWS($AH$2:AH394),$AH$2:$AH$1001,0),MATCH(COLUMNS($AO$1006:BG1006),$AO$1006:$BQ$1006,0)), HYPERLINK("#",""), HYPERLINK(CONCATENATE("#Metadata!", ADDRESS(INDEX($AJ$2:$AJ$1001,MATCH(ROWS($AH$2:AH394),$AH$2:$AH$1001,0),0), INDEX($AO$1004:$BQ$1004,1,MATCH(COLUMNS($AO$1006:BG1006),$AO$1006:$BQ$1006,0)))),"Fix")))</f>
        <v>#N/A</v>
      </c>
      <c r="U394" s="5" t="e">
        <f ca="1">IF(OR(INDEX($AI$2:$AI$1001,MATCH(ROWS($AH$2:AH394),$AH$2:$AH$1001,0),1)&gt;=100000,INDEX($AO$1005:$BQ$1005,1,MATCH(COLUMNS($AO$1006:BH1006),$AO$1006:$BQ$1006,0))&gt;=100000), " ",IF(INDEX($AO$2:$BQ$1001,MATCH(ROWS($AH$2:AH394),$AH$2:$AH$1001,0),MATCH(COLUMNS($AO$1006:BH1006),$AO$1006:$BQ$1006,0)), HYPERLINK("#",""), HYPERLINK(CONCATENATE("#Metadata!", ADDRESS(INDEX($AJ$2:$AJ$1001,MATCH(ROWS($AH$2:AH394),$AH$2:$AH$1001,0),0), INDEX($AO$1004:$BQ$1004,1,MATCH(COLUMNS($AO$1006:BH1006),$AO$1006:$BQ$1006,0)))),"Fix")))</f>
        <v>#N/A</v>
      </c>
      <c r="V394" s="5" t="e">
        <f ca="1">IF(OR(INDEX($AI$2:$AI$1001,MATCH(ROWS($AH$2:AH394),$AH$2:$AH$1001,0),1)&gt;=100000,INDEX($AO$1005:$BQ$1005,1,MATCH(COLUMNS($AO$1006:BI1006),$AO$1006:$BQ$1006,0))&gt;=100000), " ",IF(INDEX($AO$2:$BQ$1001,MATCH(ROWS($AH$2:AH394),$AH$2:$AH$1001,0),MATCH(COLUMNS($AO$1006:BI1006),$AO$1006:$BQ$1006,0)), HYPERLINK("#",""), HYPERLINK(CONCATENATE("#Metadata!", ADDRESS(INDEX($AJ$2:$AJ$1001,MATCH(ROWS($AH$2:AH394),$AH$2:$AH$1001,0),0), INDEX($AO$1004:$BQ$1004,1,MATCH(COLUMNS($AO$1006:BI1006),$AO$1006:$BQ$1006,0)))),"Fix")))</f>
        <v>#N/A</v>
      </c>
      <c r="W394" s="5" t="e">
        <f ca="1">IF(OR(INDEX($AI$2:$AI$1001,MATCH(ROWS($AH$2:AH394),$AH$2:$AH$1001,0),1)&gt;=100000,INDEX($AO$1005:$BQ$1005,1,MATCH(COLUMNS($AO$1006:BJ1006),$AO$1006:$BQ$1006,0))&gt;=100000), " ",IF(INDEX($AO$2:$BQ$1001,MATCH(ROWS($AH$2:AH394),$AH$2:$AH$1001,0),MATCH(COLUMNS($AO$1006:BJ1006),$AO$1006:$BQ$1006,0)), HYPERLINK("#",""), HYPERLINK(CONCATENATE("#Metadata!", ADDRESS(INDEX($AJ$2:$AJ$1001,MATCH(ROWS($AH$2:AH394),$AH$2:$AH$1001,0),0), INDEX($AO$1004:$BQ$1004,1,MATCH(COLUMNS($AO$1006:BJ1006),$AO$1006:$BQ$1006,0)))),"Fix")))</f>
        <v>#N/A</v>
      </c>
      <c r="X394" s="5" t="e">
        <f ca="1">IF(OR(INDEX($AI$2:$AI$1001,MATCH(ROWS($AH$2:AH394),$AH$2:$AH$1001,0),1)&gt;=100000,INDEX($AO$1005:$BQ$1005,1,MATCH(COLUMNS($AO$1006:BK1006),$AO$1006:$BQ$1006,0))&gt;=100000), " ",IF(INDEX($AO$2:$BQ$1001,MATCH(ROWS($AH$2:AH394),$AH$2:$AH$1001,0),MATCH(COLUMNS($AO$1006:BK1006),$AO$1006:$BQ$1006,0)), HYPERLINK("#",""), HYPERLINK(CONCATENATE("#Metadata!", ADDRESS(INDEX($AJ$2:$AJ$1001,MATCH(ROWS($AH$2:AH394),$AH$2:$AH$1001,0),0), INDEX($AO$1004:$BQ$1004,1,MATCH(COLUMNS($AO$1006:BK1006),$AO$1006:$BQ$1006,0)))),"Fix")))</f>
        <v>#N/A</v>
      </c>
      <c r="Y394" s="5" t="e">
        <f ca="1">IF(OR(INDEX($AI$2:$AI$1001,MATCH(ROWS($AH$2:AH394),$AH$2:$AH$1001,0),1)&gt;=100000,INDEX($AO$1005:$BQ$1005,1,MATCH(COLUMNS($AO$1006:BL1006),$AO$1006:$BQ$1006,0))&gt;=100000), " ",IF(INDEX($AO$2:$BQ$1001,MATCH(ROWS($AH$2:AH394),$AH$2:$AH$1001,0),MATCH(COLUMNS($AO$1006:BL1006),$AO$1006:$BQ$1006,0)), HYPERLINK("#",""), HYPERLINK(CONCATENATE("#Metadata!", ADDRESS(INDEX($AJ$2:$AJ$1001,MATCH(ROWS($AH$2:AH394),$AH$2:$AH$1001,0),0), INDEX($AO$1004:$BQ$1004,1,MATCH(COLUMNS($AO$1006:BL1006),$AO$1006:$BQ$1006,0)))),"Fix")))</f>
        <v>#N/A</v>
      </c>
      <c r="Z394" s="5" t="e">
        <f ca="1">IF(OR(INDEX($AI$2:$AI$1001,MATCH(ROWS($AH$2:AH394),$AH$2:$AH$1001,0),1)&gt;=100000,INDEX($AO$1005:$BQ$1005,1,MATCH(COLUMNS($AO$1006:BM1006),$AO$1006:$BQ$1006,0))&gt;=100000), " ",IF(INDEX($AO$2:$BQ$1001,MATCH(ROWS($AH$2:AH394),$AH$2:$AH$1001,0),MATCH(COLUMNS($AO$1006:BM1006),$AO$1006:$BQ$1006,0)), HYPERLINK("#",""), HYPERLINK(CONCATENATE("#Metadata!", ADDRESS(INDEX($AJ$2:$AJ$1001,MATCH(ROWS($AH$2:AH394),$AH$2:$AH$1001,0),0), INDEX($AO$1004:$BQ$1004,1,MATCH(COLUMNS($AO$1006:BM1006),$AO$1006:$BQ$1006,0)))),"Fix")))</f>
        <v>#N/A</v>
      </c>
      <c r="AA394" s="5" t="e">
        <f ca="1">IF(OR(INDEX($AI$2:$AI$1001,MATCH(ROWS($AH$2:AH394),$AH$2:$AH$1001,0),1)&gt;=100000,INDEX($AO$1005:$BQ$1005,1,MATCH(COLUMNS($AO$1006:BN1006),$AO$1006:$BQ$1006,0))&gt;=100000), " ",IF(INDEX($AO$2:$BQ$1001,MATCH(ROWS($AH$2:AH394),$AH$2:$AH$1001,0),MATCH(COLUMNS($AO$1006:BN1006),$AO$1006:$BQ$1006,0)), HYPERLINK("#",""), HYPERLINK(CONCATENATE("#Metadata!", ADDRESS(INDEX($AJ$2:$AJ$1001,MATCH(ROWS($AH$2:AH394),$AH$2:$AH$1001,0),0), INDEX($AO$1004:$BQ$1004,1,MATCH(COLUMNS($AO$1006:BN1006),$AO$1006:$BQ$1006,0)))),"Fix")))</f>
        <v>#N/A</v>
      </c>
      <c r="AB394" s="5" t="e">
        <f ca="1">IF(OR(INDEX($AI$2:$AI$1001,MATCH(ROWS($AH$2:AH394),$AH$2:$AH$1001,0),1)&gt;=100000,INDEX($AO$1005:$BQ$1005,1,MATCH(COLUMNS($AO$1006:BO1006),$AO$1006:$BQ$1006,0))&gt;=100000), " ",IF(INDEX($AO$2:$BQ$1001,MATCH(ROWS($AH$2:AH394),$AH$2:$AH$1001,0),MATCH(COLUMNS($AO$1006:BO1006),$AO$1006:$BQ$1006,0)), HYPERLINK("#",""), HYPERLINK(CONCATENATE("#Metadata!", ADDRESS(INDEX($AJ$2:$AJ$1001,MATCH(ROWS($AH$2:AH394),$AH$2:$AH$1001,0),0), INDEX($AO$1004:$BQ$1004,1,MATCH(COLUMNS($AO$1006:BO1006),$AO$1006:$BQ$1006,0)))),"Fix")))</f>
        <v>#N/A</v>
      </c>
      <c r="AC394" s="5" t="e">
        <f ca="1">IF(OR(INDEX($AI$2:$AI$1001,MATCH(ROWS($AH$2:AH394),$AH$2:$AH$1001,0),1)&gt;=100000,INDEX($AO$1005:$BQ$1005,1,MATCH(COLUMNS($AO$1006:BP1006),$AO$1006:$BQ$1006,0))&gt;=100000), " ",IF(INDEX($AO$2:$BQ$1001,MATCH(ROWS($AH$2:AH394),$AH$2:$AH$1001,0),MATCH(COLUMNS($AO$1006:BP1006),$AO$1006:$BQ$1006,0)), HYPERLINK("#",""), HYPERLINK(CONCATENATE("#Metadata!", ADDRESS(INDEX($AJ$2:$AJ$1001,MATCH(ROWS($AH$2:AH394),$AH$2:$AH$1001,0),0), INDEX($AO$1004:$BQ$1004,1,MATCH(COLUMNS($AO$1006:BP1006),$AO$1006:$BQ$1006,0)))),"Fix")))</f>
        <v>#N/A</v>
      </c>
      <c r="AD394" s="5" t="e">
        <f ca="1">IF(OR(INDEX($AI$2:$AI$1001,MATCH(ROWS($AH$2:AH394),$AH$2:$AH$1001,0),1)&gt;=100000,INDEX($AO$1005:$BQ$1005,1,MATCH(COLUMNS($AO$1006:BQ1006),$AO$1006:$BQ$1006,0))&gt;=100000), " ",IF(INDEX($AO$2:$BQ$1001,MATCH(ROWS($AH$2:AH394),$AH$2:$AH$1001,0),MATCH(COLUMNS($AO$1006:BQ1006),$AO$1006:$BQ$1006,0)), HYPERLINK("#",""), HYPERLINK(CONCATENATE("#Metadata!", ADDRESS(INDEX($AJ$2:$AJ$1001,MATCH(ROWS($AH$2:AH394),$AH$2:$AH$1001,0),0), INDEX($AO$1004:$BQ$1004,1,MATCH(COLUMNS($AO$1006:BQ1006),$AO$1006:$BQ$1006,0)))),"Fix")))</f>
        <v>#REF!</v>
      </c>
      <c r="AH394">
        <f ca="1"/>
        <v>391</v>
      </c>
      <c r="AI394">
        <v>100394</v>
      </c>
      <c r="AJ394">
        <v>394</v>
      </c>
      <c r="AK394" t="b">
        <f t="shared" si="6"/>
        <v>1</v>
      </c>
      <c r="AL394" t="b">
        <f>COUNTBLANK(Metadata!B394:AD394)=COLUMNS(Metadata!B394:AD394)</f>
        <v>1</v>
      </c>
      <c r="AM394" t="str">
        <v/>
      </c>
      <c r="AO394" t="b">
        <f ca="1">AND(IF(Metadata!B394="",FALSE,TRUE),COUNTIF(Metadata!B:B, Metadata!B394) = 1,NOT(ISERROR(SUMPRODUCT(SEARCH(MID(Metadata!B394,ROW(INDIRECT("1:"&amp;LEN(Metadata!B394))), 1),"0123456789abcdefghijklmnopqrstuvwxyzABCDEFGHIJKLMNOPQRSTUVWXYZ.")))))</f>
        <v>0</v>
      </c>
      <c r="AP394" t="b">
        <f>IF(Metadata!C394="",FALSE,TRUE)</f>
        <v>0</v>
      </c>
      <c r="AQ394" t="b">
        <f>IF(Metadata!D394="",FALSE,TRUE)</f>
        <v>0</v>
      </c>
      <c r="AR394" t="b">
        <f ca="1">OR(AND(IF(Metadata!E394="",FALSE,TRUE),OR(EXACT(Metadata!E394,"not collected"),EXACT(Metadata!E394,"not provided"),EXACT(Metadata!E394,"restricted access"))),AND(IF(Metadata!E394="",FALSE,TRUE),AND(AND(IFERROR(INT(LEFT(Metadata!E394,4))&gt;1900,FALSE),IFERROR(INT(LEFT(Metadata!E394,4))&lt;=YEAR(NOW()),FALSE)), OR(MID(Metadata!E394,5,1)="", AND(AND(MID(Metadata!E394,5,1)="-",IFERROR(INT(MID(Metadata!E394,6,1))&gt;=0,FALSE),IFERROR(INT(MID(Metadata!E394,6,1))&lt;=1,FALSE),NOT(MID(Metadata!E394,7,1)=""),IFERROR(INT(MID(Metadata!E394,6,2))&gt;=1,FALSE),IFERROR(INT(MID(Metadata!E394,6,2))&lt;=12,FALSE)), OR(MID(Metadata!E394,8,1)="", AND(AND(MID(Metadata!E394,8,1)="-",IFERROR(INT(MID(Metadata!E394,9,1))&gt;=0,FALSE),IFERROR(INT(MID(Metadata!E394,9,1))&lt;=3,FALSE),NOT(MID(Metadata!E394,10,1)=""),IFERROR(INT(MID(Metadata!E394,9,2))&gt;=1,FALSE),IFERROR(INT(MID(Metadata!E394,9,2))&lt;=31,FALSE)), OR(MID(Metadata!E394,11,1)="", AND(AND(MID(Metadata!E394,11,1)=" ",IFERROR(INT(MID(Metadata!E394,12,1))&gt;=0,FALSE),IFERROR(INT(MID(Metadata!E394,12,1))&lt;=2,FALSE),NOT(MID(Metadata!E394,13,1)=""),IFERROR(INT(MID(Metadata!E394,12,2))&gt;=0,FALSE),IFERROR(INT(MID(Metadata!E394,12,2))&lt;=23,FALSE)), OR(MID(Metadata!E394,14,1)="", AND(AND(MID(Metadata!E394,14,1)=":",IFERROR(INT(MID(Metadata!E394,15,1))&gt;=0,FALSE),IFERROR(INT(MID(Metadata!E394,15,1))&lt;=5,FALSE),NOT(MID(Metadata!E394,16,1)=""),IFERROR(INT(MID(Metadata!E394,15,2))&gt;=0,FALSE),IFERROR(INT(MID(Metadata!E394,15,2))&lt;=59,FALSE)), OR(MID(Metadata!E394,17,1)="", AND(AND(MID(Metadata!E394,17,1)=":",IFERROR(INT(MID(Metadata!E394,18,1))&gt;=0,FALSE),IFERROR(INT(MID(Metadata!E394,18,1))&lt;=5,FALSE),NOT(MID(Metadata!E394,19,1)=""),IFERROR(INT(MID(Metadata!E394,18,2))&gt;=0,FALSE),IFERROR(INT(MID(Metadata!E394,18,2))&lt;=59,FALSE)), LEN(Metadata!E394)&lt;=19)))))))))))))</f>
        <v>0</v>
      </c>
      <c r="AS394" t="b">
        <f>IF(Metadata!F394="",FALSE,TRUE)</f>
        <v>0</v>
      </c>
      <c r="AT394" t="b">
        <f>OR(AND(IF(Metadata!G394="",FALSE,TRUE),OR(EXACT(Metadata!G394,"not collected"),EXACT(Metadata!G394,"not provided"))),AND(IF(Metadata!G394="",FALSE,TRUE),OR(EXACT(Metadata!G394,"TRUE"),EXACT(Metadata!G394,"FALSE"))))</f>
        <v>0</v>
      </c>
      <c r="AU394" t="b">
        <f>OR(AND(IF(Metadata!H394="",FALSE,TRUE),OR(EXACT(Metadata!H394,"not collected"),EXACT(Metadata!H394,"not provided"),EXACT(Metadata!H394,"restricted access"))),AND(IF(Metadata!H394="",FALSE,ISNUMBER(VALUE(Metadata!H394))),Metadata!H394&gt;=-413))</f>
        <v>0</v>
      </c>
      <c r="AV394" t="b">
        <f>AND(IF(Metadata!I394="",FALSE,TRUE),EXACT(Metadata!I394,"meters"))</f>
        <v>0</v>
      </c>
      <c r="AW394" t="b">
        <f>AND(IF(Metadata!J394="",FALSE,TRUE),EXACT(Metadata!J394,"free-living"))</f>
        <v>0</v>
      </c>
      <c r="AX394" t="b">
        <f>AND(IF(Metadata!K394="",FALSE,TRUE),OR(EXACT(Metadata!K394,"saline"),EXACT(Metadata!K394,"non-saline")))</f>
        <v>0</v>
      </c>
      <c r="AY394" t="b">
        <f>AND(IF(Metadata!L394="",FALSE,TRUE),OR(EXACT(Metadata!L394,"sub-surface (non-saline)"),EXACT(Metadata!L394,"surface (non-saline)"),EXACT(Metadata!L394,"water (non-saline)"),EXACT(Metadata!L394,"soil (non-saline)"),EXACT(Metadata!L394,"aerosol (non-saline)"),EXACT(Metadata!L394,"sediment (non-saline)"),EXACT(Metadata!L394,"surface (saline)"),EXACT(Metadata!L394,"water (saline)"),EXACT(Metadata!L394,"hypersaline (saline)"),EXACT(Metadata!L394,"aerosol (saline)"),EXACT(Metadata!L394,"sediment (saline)")))</f>
        <v>0</v>
      </c>
      <c r="AZ394" t="b">
        <f>IF(Metadata!M394="",FALSE,TRUE)</f>
        <v>0</v>
      </c>
      <c r="BA394" t="b">
        <f>IF(Metadata!N394="",FALSE,TRUE)</f>
        <v>0</v>
      </c>
      <c r="BB394" t="b">
        <f>IF(Metadata!O394="",FALSE,TRUE)</f>
        <v>0</v>
      </c>
      <c r="BC394" t="b">
        <f>AND(IF(Metadata!P394="",FALSE,TRUE),OR(EXACT(Metadata!P394,"air"),EXACT(Metadata!P394,"microbial mat/biofilm"),EXACT(Metadata!P394,"misc environment"),EXACT(Metadata!P394,"sediment"),EXACT(Metadata!P394,"soil"),EXACT(Metadata!P394,"wastewater/sludge"),EXACT(Metadata!P394,"water")))</f>
        <v>0</v>
      </c>
      <c r="BD394" t="b">
        <f>IF(Metadata!Q394="",FALSE,TRUE)</f>
        <v>0</v>
      </c>
      <c r="BE394" t="b">
        <f>IF(Metadata!R394="",FALSE,TRUE)</f>
        <v>0</v>
      </c>
      <c r="BF394" t="b">
        <f>OR(AND(IF(Metadata!S394="",FALSE,TRUE),OR(EXACT(Metadata!S394,"not collected"),EXACT(Metadata!S394,"not provided"),EXACT(Metadata!S394,"restricted access"))),AND(IF(Metadata!S394="",FALSE,ISNUMBER(VALUE(Metadata!S394))),Metadata!S394&gt;=-90,Metadata!S394&lt;=90))</f>
        <v>0</v>
      </c>
      <c r="BG394" t="b">
        <f>AND(IF(Metadata!T394="",FALSE,TRUE),EXACT(Metadata!T394,"Decimal degrees"))</f>
        <v>0</v>
      </c>
      <c r="BH394" t="b">
        <f>OR(AND(IF(Metadata!U394="",FALSE,TRUE),OR(EXACT(Metadata!U394,"not applicable"),EXACT(Metadata!U394,"not collected"))),IF(Metadata!U394="",FALSE,TRUE))</f>
        <v>0</v>
      </c>
      <c r="BI394" t="b">
        <f>OR(AND(IF(Metadata!V394="",FALSE,TRUE),OR(EXACT(Metadata!V394,"not collected"),EXACT(Metadata!V394,"not provided"),EXACT(Metadata!V394,"restricted access"))),AND(IF(Metadata!V394="",FALSE,ISNUMBER(VALUE(Metadata!V394))),Metadata!V394&gt;=-180,Metadata!V394&lt;=180))</f>
        <v>0</v>
      </c>
      <c r="BJ394" t="b">
        <f>AND(IF(Metadata!W394="",FALSE,TRUE),EXACT(Metadata!W394,"Decimal degrees"))</f>
        <v>0</v>
      </c>
      <c r="BK394" t="b">
        <f>IF(Metadata!X394="",FALSE,TRUE)</f>
        <v>0</v>
      </c>
      <c r="BL394" t="b">
        <f>OR(AND(IF(Metadata!Y394="",FALSE,TRUE),OR(EXACT(Metadata!Y394,"not collected"),EXACT(Metadata!Y394,"not provided"),EXACT(Metadata!Y394,"restricted access"))),AND(IF(Metadata!Y394="",FALSE,TRUE),OR(EXACT(Metadata!Y394,"TRUE"),EXACT(Metadata!Y394,"FALSE"))))</f>
        <v>0</v>
      </c>
      <c r="BM394" t="b">
        <f>OR(AND(IF(Metadata!Z394="",FALSE,TRUE),EXACT(Metadata!Z394,"not applicable")),AND(IF(Metadata!Z394="",FALSE,TRUE),OR(EXACT(Metadata!Z394,"beer"),EXACT(Metadata!Z394,"cheese"),EXACT(Metadata!Z394,"fresh water"),EXACT(Metadata!Z394,"marine sediment"),EXACT(Metadata!Z394,"sea water"),EXACT(Metadata!Z394,"sediment"),EXACT(Metadata!Z394,"soil"),EXACT(Metadata!Z394,"waste water"))))</f>
        <v>0</v>
      </c>
      <c r="BN394" t="b">
        <f>AND(IF(Metadata!AA394="",FALSE,TRUE),EXACT(Metadata!AA394,"metagenome"))</f>
        <v>0</v>
      </c>
      <c r="BO394" t="b">
        <f>AND(IF(Metadata!AB394="",FALSE,TRUE),EXACT(Metadata!AB394,"256318"))</f>
        <v>0</v>
      </c>
      <c r="BP394" t="b">
        <f>IF(Metadata!AC394="",FALSE,TRUE)</f>
        <v>0</v>
      </c>
      <c r="BQ394" t="b">
        <f>IF(Metadata!AD394="",FALSE,TRUE)</f>
        <v>0</v>
      </c>
    </row>
    <row r="395" spans="1:69" x14ac:dyDescent="0.2">
      <c r="A395" s="4" t="e">
        <f ca="1">IF(B395=" "," ",HYPERLINK(CONCATENATE("#metadata!",ADDRESS(INDEX($AJ$2:$AJ$1001,MATCH(ROWS($AH$2:AH395),$AH$2:$AH$1001,0),0),2)),INDEX($AM$2:$AM$1001,MATCH(ROWS($AH$2:AH395),$AH$2:$AH$1001,0),0)))</f>
        <v>#N/A</v>
      </c>
      <c r="B395" s="5" t="e">
        <f ca="1">IF(OR(INDEX($AI$2:$AI$1001,MATCH(ROWS($AH$2:AH395),$AH$2:$AH$1001,0),1)&gt;=100000,INDEX($AO$1005:$BQ$1005,1,MATCH(COLUMNS($AO$1006:AO1006),$AO$1006:$BQ$1006,0))&gt;=100000), " ",IF(INDEX($AO$2:$BQ$1001,MATCH(ROWS($AH$2:AH395),$AH$2:$AH$1001,0),MATCH(COLUMNS($AO$1006:AO1006),$AO$1006:$BQ$1006,0)), HYPERLINK("#",""), HYPERLINK(CONCATENATE("#Metadata!", ADDRESS(INDEX($AJ$2:$AJ$1001,MATCH(ROWS($AH$2:AH395),$AH$2:$AH$1001,0),0), INDEX($AO$1004:$BQ$1004,1,MATCH(COLUMNS($AO$1006:AO1006),$AO$1006:$BQ$1006,0)))),"Fix")))</f>
        <v>#N/A</v>
      </c>
      <c r="C395" s="5" t="e">
        <f ca="1">IF(OR(INDEX($AI$2:$AI$1001,MATCH(ROWS($AH$2:AH395),$AH$2:$AH$1001,0),1)&gt;=100000,INDEX($AO$1005:$BQ$1005,1,MATCH(COLUMNS($AO$1006:AP1006),$AO$1006:$BQ$1006,0))&gt;=100000), " ",IF(INDEX($AO$2:$BQ$1001,MATCH(ROWS($AH$2:AH395),$AH$2:$AH$1001,0),MATCH(COLUMNS($AO$1006:AP1006),$AO$1006:$BQ$1006,0)), HYPERLINK("#",""), HYPERLINK(CONCATENATE("#Metadata!", ADDRESS(INDEX($AJ$2:$AJ$1001,MATCH(ROWS($AH$2:AH395),$AH$2:$AH$1001,0),0), INDEX($AO$1004:$BQ$1004,1,MATCH(COLUMNS($AO$1006:AP1006),$AO$1006:$BQ$1006,0)))),"Fix")))</f>
        <v>#N/A</v>
      </c>
      <c r="D395" s="5" t="e">
        <f ca="1">IF(OR(INDEX($AI$2:$AI$1001,MATCH(ROWS($AH$2:AH395),$AH$2:$AH$1001,0),1)&gt;=100000,INDEX($AO$1005:$BQ$1005,1,MATCH(COLUMNS($AO$1006:AQ1006),$AO$1006:$BQ$1006,0))&gt;=100000), " ",IF(INDEX($AO$2:$BQ$1001,MATCH(ROWS($AH$2:AH395),$AH$2:$AH$1001,0),MATCH(COLUMNS($AO$1006:AQ1006),$AO$1006:$BQ$1006,0)), HYPERLINK("#",""), HYPERLINK(CONCATENATE("#Metadata!", ADDRESS(INDEX($AJ$2:$AJ$1001,MATCH(ROWS($AH$2:AH395),$AH$2:$AH$1001,0),0), INDEX($AO$1004:$BQ$1004,1,MATCH(COLUMNS($AO$1006:AQ1006),$AO$1006:$BQ$1006,0)))),"Fix")))</f>
        <v>#N/A</v>
      </c>
      <c r="E395" s="5" t="e">
        <f ca="1">IF(OR(INDEX($AI$2:$AI$1001,MATCH(ROWS($AH$2:AH395),$AH$2:$AH$1001,0),1)&gt;=100000,INDEX($AO$1005:$BQ$1005,1,MATCH(COLUMNS($AO$1006:AR1006),$AO$1006:$BQ$1006,0))&gt;=100000), " ",IF(INDEX($AO$2:$BQ$1001,MATCH(ROWS($AH$2:AH395),$AH$2:$AH$1001,0),MATCH(COLUMNS($AO$1006:AR1006),$AO$1006:$BQ$1006,0)), HYPERLINK("#",""), HYPERLINK(CONCATENATE("#Metadata!", ADDRESS(INDEX($AJ$2:$AJ$1001,MATCH(ROWS($AH$2:AH395),$AH$2:$AH$1001,0),0), INDEX($AO$1004:$BQ$1004,1,MATCH(COLUMNS($AO$1006:AR1006),$AO$1006:$BQ$1006,0)))),"Fix")))</f>
        <v>#N/A</v>
      </c>
      <c r="F395" s="5" t="e">
        <f ca="1">IF(OR(INDEX($AI$2:$AI$1001,MATCH(ROWS($AH$2:AH395),$AH$2:$AH$1001,0),1)&gt;=100000,INDEX($AO$1005:$BQ$1005,1,MATCH(COLUMNS($AO$1006:AS1006),$AO$1006:$BQ$1006,0))&gt;=100000), " ",IF(INDEX($AO$2:$BQ$1001,MATCH(ROWS($AH$2:AH395),$AH$2:$AH$1001,0),MATCH(COLUMNS($AO$1006:AS1006),$AO$1006:$BQ$1006,0)), HYPERLINK("#",""), HYPERLINK(CONCATENATE("#Metadata!", ADDRESS(INDEX($AJ$2:$AJ$1001,MATCH(ROWS($AH$2:AH395),$AH$2:$AH$1001,0),0), INDEX($AO$1004:$BQ$1004,1,MATCH(COLUMNS($AO$1006:AS1006),$AO$1006:$BQ$1006,0)))),"Fix")))</f>
        <v>#N/A</v>
      </c>
      <c r="G395" s="5" t="e">
        <f ca="1">IF(OR(INDEX($AI$2:$AI$1001,MATCH(ROWS($AH$2:AH395),$AH$2:$AH$1001,0),1)&gt;=100000,INDEX($AO$1005:$BQ$1005,1,MATCH(COLUMNS($AO$1006:AT1006),$AO$1006:$BQ$1006,0))&gt;=100000), " ",IF(INDEX($AO$2:$BQ$1001,MATCH(ROWS($AH$2:AH395),$AH$2:$AH$1001,0),MATCH(COLUMNS($AO$1006:AT1006),$AO$1006:$BQ$1006,0)), HYPERLINK("#",""), HYPERLINK(CONCATENATE("#Metadata!", ADDRESS(INDEX($AJ$2:$AJ$1001,MATCH(ROWS($AH$2:AH395),$AH$2:$AH$1001,0),0), INDEX($AO$1004:$BQ$1004,1,MATCH(COLUMNS($AO$1006:AT1006),$AO$1006:$BQ$1006,0)))),"Fix")))</f>
        <v>#N/A</v>
      </c>
      <c r="H395" s="5" t="e">
        <f ca="1">IF(OR(INDEX($AI$2:$AI$1001,MATCH(ROWS($AH$2:AH395),$AH$2:$AH$1001,0),1)&gt;=100000,INDEX($AO$1005:$BQ$1005,1,MATCH(COLUMNS($AO$1006:AU1006),$AO$1006:$BQ$1006,0))&gt;=100000), " ",IF(INDEX($AO$2:$BQ$1001,MATCH(ROWS($AH$2:AH395),$AH$2:$AH$1001,0),MATCH(COLUMNS($AO$1006:AU1006),$AO$1006:$BQ$1006,0)), HYPERLINK("#",""), HYPERLINK(CONCATENATE("#Metadata!", ADDRESS(INDEX($AJ$2:$AJ$1001,MATCH(ROWS($AH$2:AH395),$AH$2:$AH$1001,0),0), INDEX($AO$1004:$BQ$1004,1,MATCH(COLUMNS($AO$1006:AU1006),$AO$1006:$BQ$1006,0)))),"Fix")))</f>
        <v>#N/A</v>
      </c>
      <c r="I395" s="5" t="e">
        <f ca="1">IF(OR(INDEX($AI$2:$AI$1001,MATCH(ROWS($AH$2:AH395),$AH$2:$AH$1001,0),1)&gt;=100000,INDEX($AO$1005:$BQ$1005,1,MATCH(COLUMNS($AO$1006:AV1006),$AO$1006:$BQ$1006,0))&gt;=100000), " ",IF(INDEX($AO$2:$BQ$1001,MATCH(ROWS($AH$2:AH395),$AH$2:$AH$1001,0),MATCH(COLUMNS($AO$1006:AV1006),$AO$1006:$BQ$1006,0)), HYPERLINK("#",""), HYPERLINK(CONCATENATE("#Metadata!", ADDRESS(INDEX($AJ$2:$AJ$1001,MATCH(ROWS($AH$2:AH395),$AH$2:$AH$1001,0),0), INDEX($AO$1004:$BQ$1004,1,MATCH(COLUMNS($AO$1006:AV1006),$AO$1006:$BQ$1006,0)))),"Fix")))</f>
        <v>#N/A</v>
      </c>
      <c r="J395" s="5" t="e">
        <f ca="1">IF(OR(INDEX($AI$2:$AI$1001,MATCH(ROWS($AH$2:AH395),$AH$2:$AH$1001,0),1)&gt;=100000,INDEX($AO$1005:$BQ$1005,1,MATCH(COLUMNS($AO$1006:AW1006),$AO$1006:$BQ$1006,0))&gt;=100000), " ",IF(INDEX($AO$2:$BQ$1001,MATCH(ROWS($AH$2:AH395),$AH$2:$AH$1001,0),MATCH(COLUMNS($AO$1006:AW1006),$AO$1006:$BQ$1006,0)), HYPERLINK("#",""), HYPERLINK(CONCATENATE("#Metadata!", ADDRESS(INDEX($AJ$2:$AJ$1001,MATCH(ROWS($AH$2:AH395),$AH$2:$AH$1001,0),0), INDEX($AO$1004:$BQ$1004,1,MATCH(COLUMNS($AO$1006:AW1006),$AO$1006:$BQ$1006,0)))),"Fix")))</f>
        <v>#N/A</v>
      </c>
      <c r="K395" s="5" t="e">
        <f ca="1">IF(OR(INDEX($AI$2:$AI$1001,MATCH(ROWS($AH$2:AH395),$AH$2:$AH$1001,0),1)&gt;=100000,INDEX($AO$1005:$BQ$1005,1,MATCH(COLUMNS($AO$1006:AX1006),$AO$1006:$BQ$1006,0))&gt;=100000), " ",IF(INDEX($AO$2:$BQ$1001,MATCH(ROWS($AH$2:AH395),$AH$2:$AH$1001,0),MATCH(COLUMNS($AO$1006:AX1006),$AO$1006:$BQ$1006,0)), HYPERLINK("#",""), HYPERLINK(CONCATENATE("#Metadata!", ADDRESS(INDEX($AJ$2:$AJ$1001,MATCH(ROWS($AH$2:AH395),$AH$2:$AH$1001,0),0), INDEX($AO$1004:$BQ$1004,1,MATCH(COLUMNS($AO$1006:AX1006),$AO$1006:$BQ$1006,0)))),"Fix")))</f>
        <v>#N/A</v>
      </c>
      <c r="L395" s="5" t="e">
        <f ca="1">IF(OR(INDEX($AI$2:$AI$1001,MATCH(ROWS($AH$2:AH395),$AH$2:$AH$1001,0),1)&gt;=100000,INDEX($AO$1005:$BQ$1005,1,MATCH(COLUMNS($AO$1006:AY1006),$AO$1006:$BQ$1006,0))&gt;=100000), " ",IF(INDEX($AO$2:$BQ$1001,MATCH(ROWS($AH$2:AH395),$AH$2:$AH$1001,0),MATCH(COLUMNS($AO$1006:AY1006),$AO$1006:$BQ$1006,0)), HYPERLINK("#",""), HYPERLINK(CONCATENATE("#Metadata!", ADDRESS(INDEX($AJ$2:$AJ$1001,MATCH(ROWS($AH$2:AH395),$AH$2:$AH$1001,0),0), INDEX($AO$1004:$BQ$1004,1,MATCH(COLUMNS($AO$1006:AY1006),$AO$1006:$BQ$1006,0)))),"Fix")))</f>
        <v>#N/A</v>
      </c>
      <c r="M395" s="5" t="e">
        <f ca="1">IF(OR(INDEX($AI$2:$AI$1001,MATCH(ROWS($AH$2:AH395),$AH$2:$AH$1001,0),1)&gt;=100000,INDEX($AO$1005:$BQ$1005,1,MATCH(COLUMNS($AO$1006:AZ1006),$AO$1006:$BQ$1006,0))&gt;=100000), " ",IF(INDEX($AO$2:$BQ$1001,MATCH(ROWS($AH$2:AH395),$AH$2:$AH$1001,0),MATCH(COLUMNS($AO$1006:AZ1006),$AO$1006:$BQ$1006,0)), HYPERLINK("#",""), HYPERLINK(CONCATENATE("#Metadata!", ADDRESS(INDEX($AJ$2:$AJ$1001,MATCH(ROWS($AH$2:AH395),$AH$2:$AH$1001,0),0), INDEX($AO$1004:$BQ$1004,1,MATCH(COLUMNS($AO$1006:AZ1006),$AO$1006:$BQ$1006,0)))),"Fix")))</f>
        <v>#N/A</v>
      </c>
      <c r="N395" s="5" t="e">
        <f ca="1">IF(OR(INDEX($AI$2:$AI$1001,MATCH(ROWS($AH$2:AH395),$AH$2:$AH$1001,0),1)&gt;=100000,INDEX($AO$1005:$BQ$1005,1,MATCH(COLUMNS($AO$1006:BA1006),$AO$1006:$BQ$1006,0))&gt;=100000), " ",IF(INDEX($AO$2:$BQ$1001,MATCH(ROWS($AH$2:AH395),$AH$2:$AH$1001,0),MATCH(COLUMNS($AO$1006:BA1006),$AO$1006:$BQ$1006,0)), HYPERLINK("#",""), HYPERLINK(CONCATENATE("#Metadata!", ADDRESS(INDEX($AJ$2:$AJ$1001,MATCH(ROWS($AH$2:AH395),$AH$2:$AH$1001,0),0), INDEX($AO$1004:$BQ$1004,1,MATCH(COLUMNS($AO$1006:BA1006),$AO$1006:$BQ$1006,0)))),"Fix")))</f>
        <v>#N/A</v>
      </c>
      <c r="O395" s="5" t="e">
        <f ca="1">IF(OR(INDEX($AI$2:$AI$1001,MATCH(ROWS($AH$2:AH395),$AH$2:$AH$1001,0),1)&gt;=100000,INDEX($AO$1005:$BQ$1005,1,MATCH(COLUMNS($AO$1006:BB1006),$AO$1006:$BQ$1006,0))&gt;=100000), " ",IF(INDEX($AO$2:$BQ$1001,MATCH(ROWS($AH$2:AH395),$AH$2:$AH$1001,0),MATCH(COLUMNS($AO$1006:BB1006),$AO$1006:$BQ$1006,0)), HYPERLINK("#",""), HYPERLINK(CONCATENATE("#Metadata!", ADDRESS(INDEX($AJ$2:$AJ$1001,MATCH(ROWS($AH$2:AH395),$AH$2:$AH$1001,0),0), INDEX($AO$1004:$BQ$1004,1,MATCH(COLUMNS($AO$1006:BB1006),$AO$1006:$BQ$1006,0)))),"Fix")))</f>
        <v>#N/A</v>
      </c>
      <c r="P395" s="5" t="e">
        <f ca="1">IF(OR(INDEX($AI$2:$AI$1001,MATCH(ROWS($AH$2:AH395),$AH$2:$AH$1001,0),1)&gt;=100000,INDEX($AO$1005:$BQ$1005,1,MATCH(COLUMNS($AO$1006:BC1006),$AO$1006:$BQ$1006,0))&gt;=100000), " ",IF(INDEX($AO$2:$BQ$1001,MATCH(ROWS($AH$2:AH395),$AH$2:$AH$1001,0),MATCH(COLUMNS($AO$1006:BC1006),$AO$1006:$BQ$1006,0)), HYPERLINK("#",""), HYPERLINK(CONCATENATE("#Metadata!", ADDRESS(INDEX($AJ$2:$AJ$1001,MATCH(ROWS($AH$2:AH395),$AH$2:$AH$1001,0),0), INDEX($AO$1004:$BQ$1004,1,MATCH(COLUMNS($AO$1006:BC1006),$AO$1006:$BQ$1006,0)))),"Fix")))</f>
        <v>#N/A</v>
      </c>
      <c r="Q395" s="5" t="e">
        <f ca="1">IF(OR(INDEX($AI$2:$AI$1001,MATCH(ROWS($AH$2:AH395),$AH$2:$AH$1001,0),1)&gt;=100000,INDEX($AO$1005:$BQ$1005,1,MATCH(COLUMNS($AO$1006:BD1006),$AO$1006:$BQ$1006,0))&gt;=100000), " ",IF(INDEX($AO$2:$BQ$1001,MATCH(ROWS($AH$2:AH395),$AH$2:$AH$1001,0),MATCH(COLUMNS($AO$1006:BD1006),$AO$1006:$BQ$1006,0)), HYPERLINK("#",""), HYPERLINK(CONCATENATE("#Metadata!", ADDRESS(INDEX($AJ$2:$AJ$1001,MATCH(ROWS($AH$2:AH395),$AH$2:$AH$1001,0),0), INDEX($AO$1004:$BQ$1004,1,MATCH(COLUMNS($AO$1006:BD1006),$AO$1006:$BQ$1006,0)))),"Fix")))</f>
        <v>#N/A</v>
      </c>
      <c r="R395" s="5" t="e">
        <f ca="1">IF(OR(INDEX($AI$2:$AI$1001,MATCH(ROWS($AH$2:AH395),$AH$2:$AH$1001,0),1)&gt;=100000,INDEX($AO$1005:$BQ$1005,1,MATCH(COLUMNS($AO$1006:BE1006),$AO$1006:$BQ$1006,0))&gt;=100000), " ",IF(INDEX($AO$2:$BQ$1001,MATCH(ROWS($AH$2:AH395),$AH$2:$AH$1001,0),MATCH(COLUMNS($AO$1006:BE1006),$AO$1006:$BQ$1006,0)), HYPERLINK("#",""), HYPERLINK(CONCATENATE("#Metadata!", ADDRESS(INDEX($AJ$2:$AJ$1001,MATCH(ROWS($AH$2:AH395),$AH$2:$AH$1001,0),0), INDEX($AO$1004:$BQ$1004,1,MATCH(COLUMNS($AO$1006:BE1006),$AO$1006:$BQ$1006,0)))),"Fix")))</f>
        <v>#N/A</v>
      </c>
      <c r="S395" s="5" t="e">
        <f ca="1">IF(OR(INDEX($AI$2:$AI$1001,MATCH(ROWS($AH$2:AH395),$AH$2:$AH$1001,0),1)&gt;=100000,INDEX($AO$1005:$BQ$1005,1,MATCH(COLUMNS($AO$1006:BF1006),$AO$1006:$BQ$1006,0))&gt;=100000), " ",IF(INDEX($AO$2:$BQ$1001,MATCH(ROWS($AH$2:AH395),$AH$2:$AH$1001,0),MATCH(COLUMNS($AO$1006:BF1006),$AO$1006:$BQ$1006,0)), HYPERLINK("#",""), HYPERLINK(CONCATENATE("#Metadata!", ADDRESS(INDEX($AJ$2:$AJ$1001,MATCH(ROWS($AH$2:AH395),$AH$2:$AH$1001,0),0), INDEX($AO$1004:$BQ$1004,1,MATCH(COLUMNS($AO$1006:BF1006),$AO$1006:$BQ$1006,0)))),"Fix")))</f>
        <v>#N/A</v>
      </c>
      <c r="T395" s="5" t="e">
        <f ca="1">IF(OR(INDEX($AI$2:$AI$1001,MATCH(ROWS($AH$2:AH395),$AH$2:$AH$1001,0),1)&gt;=100000,INDEX($AO$1005:$BQ$1005,1,MATCH(COLUMNS($AO$1006:BG1006),$AO$1006:$BQ$1006,0))&gt;=100000), " ",IF(INDEX($AO$2:$BQ$1001,MATCH(ROWS($AH$2:AH395),$AH$2:$AH$1001,0),MATCH(COLUMNS($AO$1006:BG1006),$AO$1006:$BQ$1006,0)), HYPERLINK("#",""), HYPERLINK(CONCATENATE("#Metadata!", ADDRESS(INDEX($AJ$2:$AJ$1001,MATCH(ROWS($AH$2:AH395),$AH$2:$AH$1001,0),0), INDEX($AO$1004:$BQ$1004,1,MATCH(COLUMNS($AO$1006:BG1006),$AO$1006:$BQ$1006,0)))),"Fix")))</f>
        <v>#N/A</v>
      </c>
      <c r="U395" s="5" t="e">
        <f ca="1">IF(OR(INDEX($AI$2:$AI$1001,MATCH(ROWS($AH$2:AH395),$AH$2:$AH$1001,0),1)&gt;=100000,INDEX($AO$1005:$BQ$1005,1,MATCH(COLUMNS($AO$1006:BH1006),$AO$1006:$BQ$1006,0))&gt;=100000), " ",IF(INDEX($AO$2:$BQ$1001,MATCH(ROWS($AH$2:AH395),$AH$2:$AH$1001,0),MATCH(COLUMNS($AO$1006:BH1006),$AO$1006:$BQ$1006,0)), HYPERLINK("#",""), HYPERLINK(CONCATENATE("#Metadata!", ADDRESS(INDEX($AJ$2:$AJ$1001,MATCH(ROWS($AH$2:AH395),$AH$2:$AH$1001,0),0), INDEX($AO$1004:$BQ$1004,1,MATCH(COLUMNS($AO$1006:BH1006),$AO$1006:$BQ$1006,0)))),"Fix")))</f>
        <v>#N/A</v>
      </c>
      <c r="V395" s="5" t="e">
        <f ca="1">IF(OR(INDEX($AI$2:$AI$1001,MATCH(ROWS($AH$2:AH395),$AH$2:$AH$1001,0),1)&gt;=100000,INDEX($AO$1005:$BQ$1005,1,MATCH(COLUMNS($AO$1006:BI1006),$AO$1006:$BQ$1006,0))&gt;=100000), " ",IF(INDEX($AO$2:$BQ$1001,MATCH(ROWS($AH$2:AH395),$AH$2:$AH$1001,0),MATCH(COLUMNS($AO$1006:BI1006),$AO$1006:$BQ$1006,0)), HYPERLINK("#",""), HYPERLINK(CONCATENATE("#Metadata!", ADDRESS(INDEX($AJ$2:$AJ$1001,MATCH(ROWS($AH$2:AH395),$AH$2:$AH$1001,0),0), INDEX($AO$1004:$BQ$1004,1,MATCH(COLUMNS($AO$1006:BI1006),$AO$1006:$BQ$1006,0)))),"Fix")))</f>
        <v>#N/A</v>
      </c>
      <c r="W395" s="5" t="e">
        <f ca="1">IF(OR(INDEX($AI$2:$AI$1001,MATCH(ROWS($AH$2:AH395),$AH$2:$AH$1001,0),1)&gt;=100000,INDEX($AO$1005:$BQ$1005,1,MATCH(COLUMNS($AO$1006:BJ1006),$AO$1006:$BQ$1006,0))&gt;=100000), " ",IF(INDEX($AO$2:$BQ$1001,MATCH(ROWS($AH$2:AH395),$AH$2:$AH$1001,0),MATCH(COLUMNS($AO$1006:BJ1006),$AO$1006:$BQ$1006,0)), HYPERLINK("#",""), HYPERLINK(CONCATENATE("#Metadata!", ADDRESS(INDEX($AJ$2:$AJ$1001,MATCH(ROWS($AH$2:AH395),$AH$2:$AH$1001,0),0), INDEX($AO$1004:$BQ$1004,1,MATCH(COLUMNS($AO$1006:BJ1006),$AO$1006:$BQ$1006,0)))),"Fix")))</f>
        <v>#N/A</v>
      </c>
      <c r="X395" s="5" t="e">
        <f ca="1">IF(OR(INDEX($AI$2:$AI$1001,MATCH(ROWS($AH$2:AH395),$AH$2:$AH$1001,0),1)&gt;=100000,INDEX($AO$1005:$BQ$1005,1,MATCH(COLUMNS($AO$1006:BK1006),$AO$1006:$BQ$1006,0))&gt;=100000), " ",IF(INDEX($AO$2:$BQ$1001,MATCH(ROWS($AH$2:AH395),$AH$2:$AH$1001,0),MATCH(COLUMNS($AO$1006:BK1006),$AO$1006:$BQ$1006,0)), HYPERLINK("#",""), HYPERLINK(CONCATENATE("#Metadata!", ADDRESS(INDEX($AJ$2:$AJ$1001,MATCH(ROWS($AH$2:AH395),$AH$2:$AH$1001,0),0), INDEX($AO$1004:$BQ$1004,1,MATCH(COLUMNS($AO$1006:BK1006),$AO$1006:$BQ$1006,0)))),"Fix")))</f>
        <v>#N/A</v>
      </c>
      <c r="Y395" s="5" t="e">
        <f ca="1">IF(OR(INDEX($AI$2:$AI$1001,MATCH(ROWS($AH$2:AH395),$AH$2:$AH$1001,0),1)&gt;=100000,INDEX($AO$1005:$BQ$1005,1,MATCH(COLUMNS($AO$1006:BL1006),$AO$1006:$BQ$1006,0))&gt;=100000), " ",IF(INDEX($AO$2:$BQ$1001,MATCH(ROWS($AH$2:AH395),$AH$2:$AH$1001,0),MATCH(COLUMNS($AO$1006:BL1006),$AO$1006:$BQ$1006,0)), HYPERLINK("#",""), HYPERLINK(CONCATENATE("#Metadata!", ADDRESS(INDEX($AJ$2:$AJ$1001,MATCH(ROWS($AH$2:AH395),$AH$2:$AH$1001,0),0), INDEX($AO$1004:$BQ$1004,1,MATCH(COLUMNS($AO$1006:BL1006),$AO$1006:$BQ$1006,0)))),"Fix")))</f>
        <v>#N/A</v>
      </c>
      <c r="Z395" s="5" t="e">
        <f ca="1">IF(OR(INDEX($AI$2:$AI$1001,MATCH(ROWS($AH$2:AH395),$AH$2:$AH$1001,0),1)&gt;=100000,INDEX($AO$1005:$BQ$1005,1,MATCH(COLUMNS($AO$1006:BM1006),$AO$1006:$BQ$1006,0))&gt;=100000), " ",IF(INDEX($AO$2:$BQ$1001,MATCH(ROWS($AH$2:AH395),$AH$2:$AH$1001,0),MATCH(COLUMNS($AO$1006:BM1006),$AO$1006:$BQ$1006,0)), HYPERLINK("#",""), HYPERLINK(CONCATENATE("#Metadata!", ADDRESS(INDEX($AJ$2:$AJ$1001,MATCH(ROWS($AH$2:AH395),$AH$2:$AH$1001,0),0), INDEX($AO$1004:$BQ$1004,1,MATCH(COLUMNS($AO$1006:BM1006),$AO$1006:$BQ$1006,0)))),"Fix")))</f>
        <v>#N/A</v>
      </c>
      <c r="AA395" s="5" t="e">
        <f ca="1">IF(OR(INDEX($AI$2:$AI$1001,MATCH(ROWS($AH$2:AH395),$AH$2:$AH$1001,0),1)&gt;=100000,INDEX($AO$1005:$BQ$1005,1,MATCH(COLUMNS($AO$1006:BN1006),$AO$1006:$BQ$1006,0))&gt;=100000), " ",IF(INDEX($AO$2:$BQ$1001,MATCH(ROWS($AH$2:AH395),$AH$2:$AH$1001,0),MATCH(COLUMNS($AO$1006:BN1006),$AO$1006:$BQ$1006,0)), HYPERLINK("#",""), HYPERLINK(CONCATENATE("#Metadata!", ADDRESS(INDEX($AJ$2:$AJ$1001,MATCH(ROWS($AH$2:AH395),$AH$2:$AH$1001,0),0), INDEX($AO$1004:$BQ$1004,1,MATCH(COLUMNS($AO$1006:BN1006),$AO$1006:$BQ$1006,0)))),"Fix")))</f>
        <v>#N/A</v>
      </c>
      <c r="AB395" s="5" t="e">
        <f ca="1">IF(OR(INDEX($AI$2:$AI$1001,MATCH(ROWS($AH$2:AH395),$AH$2:$AH$1001,0),1)&gt;=100000,INDEX($AO$1005:$BQ$1005,1,MATCH(COLUMNS($AO$1006:BO1006),$AO$1006:$BQ$1006,0))&gt;=100000), " ",IF(INDEX($AO$2:$BQ$1001,MATCH(ROWS($AH$2:AH395),$AH$2:$AH$1001,0),MATCH(COLUMNS($AO$1006:BO1006),$AO$1006:$BQ$1006,0)), HYPERLINK("#",""), HYPERLINK(CONCATENATE("#Metadata!", ADDRESS(INDEX($AJ$2:$AJ$1001,MATCH(ROWS($AH$2:AH395),$AH$2:$AH$1001,0),0), INDEX($AO$1004:$BQ$1004,1,MATCH(COLUMNS($AO$1006:BO1006),$AO$1006:$BQ$1006,0)))),"Fix")))</f>
        <v>#N/A</v>
      </c>
      <c r="AC395" s="5" t="e">
        <f ca="1">IF(OR(INDEX($AI$2:$AI$1001,MATCH(ROWS($AH$2:AH395),$AH$2:$AH$1001,0),1)&gt;=100000,INDEX($AO$1005:$BQ$1005,1,MATCH(COLUMNS($AO$1006:BP1006),$AO$1006:$BQ$1006,0))&gt;=100000), " ",IF(INDEX($AO$2:$BQ$1001,MATCH(ROWS($AH$2:AH395),$AH$2:$AH$1001,0),MATCH(COLUMNS($AO$1006:BP1006),$AO$1006:$BQ$1006,0)), HYPERLINK("#",""), HYPERLINK(CONCATENATE("#Metadata!", ADDRESS(INDEX($AJ$2:$AJ$1001,MATCH(ROWS($AH$2:AH395),$AH$2:$AH$1001,0),0), INDEX($AO$1004:$BQ$1004,1,MATCH(COLUMNS($AO$1006:BP1006),$AO$1006:$BQ$1006,0)))),"Fix")))</f>
        <v>#N/A</v>
      </c>
      <c r="AD395" s="5" t="e">
        <f ca="1">IF(OR(INDEX($AI$2:$AI$1001,MATCH(ROWS($AH$2:AH395),$AH$2:$AH$1001,0),1)&gt;=100000,INDEX($AO$1005:$BQ$1005,1,MATCH(COLUMNS($AO$1006:BQ1006),$AO$1006:$BQ$1006,0))&gt;=100000), " ",IF(INDEX($AO$2:$BQ$1001,MATCH(ROWS($AH$2:AH395),$AH$2:$AH$1001,0),MATCH(COLUMNS($AO$1006:BQ1006),$AO$1006:$BQ$1006,0)), HYPERLINK("#",""), HYPERLINK(CONCATENATE("#Metadata!", ADDRESS(INDEX($AJ$2:$AJ$1001,MATCH(ROWS($AH$2:AH395),$AH$2:$AH$1001,0),0), INDEX($AO$1004:$BQ$1004,1,MATCH(COLUMNS($AO$1006:BQ1006),$AO$1006:$BQ$1006,0)))),"Fix")))</f>
        <v>#REF!</v>
      </c>
      <c r="AH395">
        <f ca="1"/>
        <v>392</v>
      </c>
      <c r="AI395">
        <v>100395</v>
      </c>
      <c r="AJ395">
        <v>395</v>
      </c>
      <c r="AK395" t="b">
        <f t="shared" si="6"/>
        <v>1</v>
      </c>
      <c r="AL395" t="b">
        <f>COUNTBLANK(Metadata!B395:AD395)=COLUMNS(Metadata!B395:AD395)</f>
        <v>1</v>
      </c>
      <c r="AM395" t="str">
        <v/>
      </c>
      <c r="AO395" t="b">
        <f ca="1">AND(IF(Metadata!B395="",FALSE,TRUE),COUNTIF(Metadata!B:B, Metadata!B395) = 1,NOT(ISERROR(SUMPRODUCT(SEARCH(MID(Metadata!B395,ROW(INDIRECT("1:"&amp;LEN(Metadata!B395))), 1),"0123456789abcdefghijklmnopqrstuvwxyzABCDEFGHIJKLMNOPQRSTUVWXYZ.")))))</f>
        <v>0</v>
      </c>
      <c r="AP395" t="b">
        <f>IF(Metadata!C395="",FALSE,TRUE)</f>
        <v>0</v>
      </c>
      <c r="AQ395" t="b">
        <f>IF(Metadata!D395="",FALSE,TRUE)</f>
        <v>0</v>
      </c>
      <c r="AR395" t="b">
        <f ca="1">OR(AND(IF(Metadata!E395="",FALSE,TRUE),OR(EXACT(Metadata!E395,"not collected"),EXACT(Metadata!E395,"not provided"),EXACT(Metadata!E395,"restricted access"))),AND(IF(Metadata!E395="",FALSE,TRUE),AND(AND(IFERROR(INT(LEFT(Metadata!E395,4))&gt;1900,FALSE),IFERROR(INT(LEFT(Metadata!E395,4))&lt;=YEAR(NOW()),FALSE)), OR(MID(Metadata!E395,5,1)="", AND(AND(MID(Metadata!E395,5,1)="-",IFERROR(INT(MID(Metadata!E395,6,1))&gt;=0,FALSE),IFERROR(INT(MID(Metadata!E395,6,1))&lt;=1,FALSE),NOT(MID(Metadata!E395,7,1)=""),IFERROR(INT(MID(Metadata!E395,6,2))&gt;=1,FALSE),IFERROR(INT(MID(Metadata!E395,6,2))&lt;=12,FALSE)), OR(MID(Metadata!E395,8,1)="", AND(AND(MID(Metadata!E395,8,1)="-",IFERROR(INT(MID(Metadata!E395,9,1))&gt;=0,FALSE),IFERROR(INT(MID(Metadata!E395,9,1))&lt;=3,FALSE),NOT(MID(Metadata!E395,10,1)=""),IFERROR(INT(MID(Metadata!E395,9,2))&gt;=1,FALSE),IFERROR(INT(MID(Metadata!E395,9,2))&lt;=31,FALSE)), OR(MID(Metadata!E395,11,1)="", AND(AND(MID(Metadata!E395,11,1)=" ",IFERROR(INT(MID(Metadata!E395,12,1))&gt;=0,FALSE),IFERROR(INT(MID(Metadata!E395,12,1))&lt;=2,FALSE),NOT(MID(Metadata!E395,13,1)=""),IFERROR(INT(MID(Metadata!E395,12,2))&gt;=0,FALSE),IFERROR(INT(MID(Metadata!E395,12,2))&lt;=23,FALSE)), OR(MID(Metadata!E395,14,1)="", AND(AND(MID(Metadata!E395,14,1)=":",IFERROR(INT(MID(Metadata!E395,15,1))&gt;=0,FALSE),IFERROR(INT(MID(Metadata!E395,15,1))&lt;=5,FALSE),NOT(MID(Metadata!E395,16,1)=""),IFERROR(INT(MID(Metadata!E395,15,2))&gt;=0,FALSE),IFERROR(INT(MID(Metadata!E395,15,2))&lt;=59,FALSE)), OR(MID(Metadata!E395,17,1)="", AND(AND(MID(Metadata!E395,17,1)=":",IFERROR(INT(MID(Metadata!E395,18,1))&gt;=0,FALSE),IFERROR(INT(MID(Metadata!E395,18,1))&lt;=5,FALSE),NOT(MID(Metadata!E395,19,1)=""),IFERROR(INT(MID(Metadata!E395,18,2))&gt;=0,FALSE),IFERROR(INT(MID(Metadata!E395,18,2))&lt;=59,FALSE)), LEN(Metadata!E395)&lt;=19)))))))))))))</f>
        <v>0</v>
      </c>
      <c r="AS395" t="b">
        <f>IF(Metadata!F395="",FALSE,TRUE)</f>
        <v>0</v>
      </c>
      <c r="AT395" t="b">
        <f>OR(AND(IF(Metadata!G395="",FALSE,TRUE),OR(EXACT(Metadata!G395,"not collected"),EXACT(Metadata!G395,"not provided"))),AND(IF(Metadata!G395="",FALSE,TRUE),OR(EXACT(Metadata!G395,"TRUE"),EXACT(Metadata!G395,"FALSE"))))</f>
        <v>0</v>
      </c>
      <c r="AU395" t="b">
        <f>OR(AND(IF(Metadata!H395="",FALSE,TRUE),OR(EXACT(Metadata!H395,"not collected"),EXACT(Metadata!H395,"not provided"),EXACT(Metadata!H395,"restricted access"))),AND(IF(Metadata!H395="",FALSE,ISNUMBER(VALUE(Metadata!H395))),Metadata!H395&gt;=-413))</f>
        <v>0</v>
      </c>
      <c r="AV395" t="b">
        <f>AND(IF(Metadata!I395="",FALSE,TRUE),EXACT(Metadata!I395,"meters"))</f>
        <v>0</v>
      </c>
      <c r="AW395" t="b">
        <f>AND(IF(Metadata!J395="",FALSE,TRUE),EXACT(Metadata!J395,"free-living"))</f>
        <v>0</v>
      </c>
      <c r="AX395" t="b">
        <f>AND(IF(Metadata!K395="",FALSE,TRUE),OR(EXACT(Metadata!K395,"saline"),EXACT(Metadata!K395,"non-saline")))</f>
        <v>0</v>
      </c>
      <c r="AY395" t="b">
        <f>AND(IF(Metadata!L395="",FALSE,TRUE),OR(EXACT(Metadata!L395,"sub-surface (non-saline)"),EXACT(Metadata!L395,"surface (non-saline)"),EXACT(Metadata!L395,"water (non-saline)"),EXACT(Metadata!L395,"soil (non-saline)"),EXACT(Metadata!L395,"aerosol (non-saline)"),EXACT(Metadata!L395,"sediment (non-saline)"),EXACT(Metadata!L395,"surface (saline)"),EXACT(Metadata!L395,"water (saline)"),EXACT(Metadata!L395,"hypersaline (saline)"),EXACT(Metadata!L395,"aerosol (saline)"),EXACT(Metadata!L395,"sediment (saline)")))</f>
        <v>0</v>
      </c>
      <c r="AZ395" t="b">
        <f>IF(Metadata!M395="",FALSE,TRUE)</f>
        <v>0</v>
      </c>
      <c r="BA395" t="b">
        <f>IF(Metadata!N395="",FALSE,TRUE)</f>
        <v>0</v>
      </c>
      <c r="BB395" t="b">
        <f>IF(Metadata!O395="",FALSE,TRUE)</f>
        <v>0</v>
      </c>
      <c r="BC395" t="b">
        <f>AND(IF(Metadata!P395="",FALSE,TRUE),OR(EXACT(Metadata!P395,"air"),EXACT(Metadata!P395,"microbial mat/biofilm"),EXACT(Metadata!P395,"misc environment"),EXACT(Metadata!P395,"sediment"),EXACT(Metadata!P395,"soil"),EXACT(Metadata!P395,"wastewater/sludge"),EXACT(Metadata!P395,"water")))</f>
        <v>0</v>
      </c>
      <c r="BD395" t="b">
        <f>IF(Metadata!Q395="",FALSE,TRUE)</f>
        <v>0</v>
      </c>
      <c r="BE395" t="b">
        <f>IF(Metadata!R395="",FALSE,TRUE)</f>
        <v>0</v>
      </c>
      <c r="BF395" t="b">
        <f>OR(AND(IF(Metadata!S395="",FALSE,TRUE),OR(EXACT(Metadata!S395,"not collected"),EXACT(Metadata!S395,"not provided"),EXACT(Metadata!S395,"restricted access"))),AND(IF(Metadata!S395="",FALSE,ISNUMBER(VALUE(Metadata!S395))),Metadata!S395&gt;=-90,Metadata!S395&lt;=90))</f>
        <v>0</v>
      </c>
      <c r="BG395" t="b">
        <f>AND(IF(Metadata!T395="",FALSE,TRUE),EXACT(Metadata!T395,"Decimal degrees"))</f>
        <v>0</v>
      </c>
      <c r="BH395" t="b">
        <f>OR(AND(IF(Metadata!U395="",FALSE,TRUE),OR(EXACT(Metadata!U395,"not applicable"),EXACT(Metadata!U395,"not collected"))),IF(Metadata!U395="",FALSE,TRUE))</f>
        <v>0</v>
      </c>
      <c r="BI395" t="b">
        <f>OR(AND(IF(Metadata!V395="",FALSE,TRUE),OR(EXACT(Metadata!V395,"not collected"),EXACT(Metadata!V395,"not provided"),EXACT(Metadata!V395,"restricted access"))),AND(IF(Metadata!V395="",FALSE,ISNUMBER(VALUE(Metadata!V395))),Metadata!V395&gt;=-180,Metadata!V395&lt;=180))</f>
        <v>0</v>
      </c>
      <c r="BJ395" t="b">
        <f>AND(IF(Metadata!W395="",FALSE,TRUE),EXACT(Metadata!W395,"Decimal degrees"))</f>
        <v>0</v>
      </c>
      <c r="BK395" t="b">
        <f>IF(Metadata!X395="",FALSE,TRUE)</f>
        <v>0</v>
      </c>
      <c r="BL395" t="b">
        <f>OR(AND(IF(Metadata!Y395="",FALSE,TRUE),OR(EXACT(Metadata!Y395,"not collected"),EXACT(Metadata!Y395,"not provided"),EXACT(Metadata!Y395,"restricted access"))),AND(IF(Metadata!Y395="",FALSE,TRUE),OR(EXACT(Metadata!Y395,"TRUE"),EXACT(Metadata!Y395,"FALSE"))))</f>
        <v>0</v>
      </c>
      <c r="BM395" t="b">
        <f>OR(AND(IF(Metadata!Z395="",FALSE,TRUE),EXACT(Metadata!Z395,"not applicable")),AND(IF(Metadata!Z395="",FALSE,TRUE),OR(EXACT(Metadata!Z395,"beer"),EXACT(Metadata!Z395,"cheese"),EXACT(Metadata!Z395,"fresh water"),EXACT(Metadata!Z395,"marine sediment"),EXACT(Metadata!Z395,"sea water"),EXACT(Metadata!Z395,"sediment"),EXACT(Metadata!Z395,"soil"),EXACT(Metadata!Z395,"waste water"))))</f>
        <v>0</v>
      </c>
      <c r="BN395" t="b">
        <f>AND(IF(Metadata!AA395="",FALSE,TRUE),EXACT(Metadata!AA395,"metagenome"))</f>
        <v>0</v>
      </c>
      <c r="BO395" t="b">
        <f>AND(IF(Metadata!AB395="",FALSE,TRUE),EXACT(Metadata!AB395,"256318"))</f>
        <v>0</v>
      </c>
      <c r="BP395" t="b">
        <f>IF(Metadata!AC395="",FALSE,TRUE)</f>
        <v>0</v>
      </c>
      <c r="BQ395" t="b">
        <f>IF(Metadata!AD395="",FALSE,TRUE)</f>
        <v>0</v>
      </c>
    </row>
    <row r="396" spans="1:69" x14ac:dyDescent="0.2">
      <c r="A396" s="4" t="e">
        <f ca="1">IF(B396=" "," ",HYPERLINK(CONCATENATE("#metadata!",ADDRESS(INDEX($AJ$2:$AJ$1001,MATCH(ROWS($AH$2:AH396),$AH$2:$AH$1001,0),0),2)),INDEX($AM$2:$AM$1001,MATCH(ROWS($AH$2:AH396),$AH$2:$AH$1001,0),0)))</f>
        <v>#N/A</v>
      </c>
      <c r="B396" s="5" t="e">
        <f ca="1">IF(OR(INDEX($AI$2:$AI$1001,MATCH(ROWS($AH$2:AH396),$AH$2:$AH$1001,0),1)&gt;=100000,INDEX($AO$1005:$BQ$1005,1,MATCH(COLUMNS($AO$1006:AO1006),$AO$1006:$BQ$1006,0))&gt;=100000), " ",IF(INDEX($AO$2:$BQ$1001,MATCH(ROWS($AH$2:AH396),$AH$2:$AH$1001,0),MATCH(COLUMNS($AO$1006:AO1006),$AO$1006:$BQ$1006,0)), HYPERLINK("#",""), HYPERLINK(CONCATENATE("#Metadata!", ADDRESS(INDEX($AJ$2:$AJ$1001,MATCH(ROWS($AH$2:AH396),$AH$2:$AH$1001,0),0), INDEX($AO$1004:$BQ$1004,1,MATCH(COLUMNS($AO$1006:AO1006),$AO$1006:$BQ$1006,0)))),"Fix")))</f>
        <v>#N/A</v>
      </c>
      <c r="C396" s="5" t="e">
        <f ca="1">IF(OR(INDEX($AI$2:$AI$1001,MATCH(ROWS($AH$2:AH396),$AH$2:$AH$1001,0),1)&gt;=100000,INDEX($AO$1005:$BQ$1005,1,MATCH(COLUMNS($AO$1006:AP1006),$AO$1006:$BQ$1006,0))&gt;=100000), " ",IF(INDEX($AO$2:$BQ$1001,MATCH(ROWS($AH$2:AH396),$AH$2:$AH$1001,0),MATCH(COLUMNS($AO$1006:AP1006),$AO$1006:$BQ$1006,0)), HYPERLINK("#",""), HYPERLINK(CONCATENATE("#Metadata!", ADDRESS(INDEX($AJ$2:$AJ$1001,MATCH(ROWS($AH$2:AH396),$AH$2:$AH$1001,0),0), INDEX($AO$1004:$BQ$1004,1,MATCH(COLUMNS($AO$1006:AP1006),$AO$1006:$BQ$1006,0)))),"Fix")))</f>
        <v>#N/A</v>
      </c>
      <c r="D396" s="5" t="e">
        <f ca="1">IF(OR(INDEX($AI$2:$AI$1001,MATCH(ROWS($AH$2:AH396),$AH$2:$AH$1001,0),1)&gt;=100000,INDEX($AO$1005:$BQ$1005,1,MATCH(COLUMNS($AO$1006:AQ1006),$AO$1006:$BQ$1006,0))&gt;=100000), " ",IF(INDEX($AO$2:$BQ$1001,MATCH(ROWS($AH$2:AH396),$AH$2:$AH$1001,0),MATCH(COLUMNS($AO$1006:AQ1006),$AO$1006:$BQ$1006,0)), HYPERLINK("#",""), HYPERLINK(CONCATENATE("#Metadata!", ADDRESS(INDEX($AJ$2:$AJ$1001,MATCH(ROWS($AH$2:AH396),$AH$2:$AH$1001,0),0), INDEX($AO$1004:$BQ$1004,1,MATCH(COLUMNS($AO$1006:AQ1006),$AO$1006:$BQ$1006,0)))),"Fix")))</f>
        <v>#N/A</v>
      </c>
      <c r="E396" s="5" t="e">
        <f ca="1">IF(OR(INDEX($AI$2:$AI$1001,MATCH(ROWS($AH$2:AH396),$AH$2:$AH$1001,0),1)&gt;=100000,INDEX($AO$1005:$BQ$1005,1,MATCH(COLUMNS($AO$1006:AR1006),$AO$1006:$BQ$1006,0))&gt;=100000), " ",IF(INDEX($AO$2:$BQ$1001,MATCH(ROWS($AH$2:AH396),$AH$2:$AH$1001,0),MATCH(COLUMNS($AO$1006:AR1006),$AO$1006:$BQ$1006,0)), HYPERLINK("#",""), HYPERLINK(CONCATENATE("#Metadata!", ADDRESS(INDEX($AJ$2:$AJ$1001,MATCH(ROWS($AH$2:AH396),$AH$2:$AH$1001,0),0), INDEX($AO$1004:$BQ$1004,1,MATCH(COLUMNS($AO$1006:AR1006),$AO$1006:$BQ$1006,0)))),"Fix")))</f>
        <v>#N/A</v>
      </c>
      <c r="F396" s="5" t="e">
        <f ca="1">IF(OR(INDEX($AI$2:$AI$1001,MATCH(ROWS($AH$2:AH396),$AH$2:$AH$1001,0),1)&gt;=100000,INDEX($AO$1005:$BQ$1005,1,MATCH(COLUMNS($AO$1006:AS1006),$AO$1006:$BQ$1006,0))&gt;=100000), " ",IF(INDEX($AO$2:$BQ$1001,MATCH(ROWS($AH$2:AH396),$AH$2:$AH$1001,0),MATCH(COLUMNS($AO$1006:AS1006),$AO$1006:$BQ$1006,0)), HYPERLINK("#",""), HYPERLINK(CONCATENATE("#Metadata!", ADDRESS(INDEX($AJ$2:$AJ$1001,MATCH(ROWS($AH$2:AH396),$AH$2:$AH$1001,0),0), INDEX($AO$1004:$BQ$1004,1,MATCH(COLUMNS($AO$1006:AS1006),$AO$1006:$BQ$1006,0)))),"Fix")))</f>
        <v>#N/A</v>
      </c>
      <c r="G396" s="5" t="e">
        <f ca="1">IF(OR(INDEX($AI$2:$AI$1001,MATCH(ROWS($AH$2:AH396),$AH$2:$AH$1001,0),1)&gt;=100000,INDEX($AO$1005:$BQ$1005,1,MATCH(COLUMNS($AO$1006:AT1006),$AO$1006:$BQ$1006,0))&gt;=100000), " ",IF(INDEX($AO$2:$BQ$1001,MATCH(ROWS($AH$2:AH396),$AH$2:$AH$1001,0),MATCH(COLUMNS($AO$1006:AT1006),$AO$1006:$BQ$1006,0)), HYPERLINK("#",""), HYPERLINK(CONCATENATE("#Metadata!", ADDRESS(INDEX($AJ$2:$AJ$1001,MATCH(ROWS($AH$2:AH396),$AH$2:$AH$1001,0),0), INDEX($AO$1004:$BQ$1004,1,MATCH(COLUMNS($AO$1006:AT1006),$AO$1006:$BQ$1006,0)))),"Fix")))</f>
        <v>#N/A</v>
      </c>
      <c r="H396" s="5" t="e">
        <f ca="1">IF(OR(INDEX($AI$2:$AI$1001,MATCH(ROWS($AH$2:AH396),$AH$2:$AH$1001,0),1)&gt;=100000,INDEX($AO$1005:$BQ$1005,1,MATCH(COLUMNS($AO$1006:AU1006),$AO$1006:$BQ$1006,0))&gt;=100000), " ",IF(INDEX($AO$2:$BQ$1001,MATCH(ROWS($AH$2:AH396),$AH$2:$AH$1001,0),MATCH(COLUMNS($AO$1006:AU1006),$AO$1006:$BQ$1006,0)), HYPERLINK("#",""), HYPERLINK(CONCATENATE("#Metadata!", ADDRESS(INDEX($AJ$2:$AJ$1001,MATCH(ROWS($AH$2:AH396),$AH$2:$AH$1001,0),0), INDEX($AO$1004:$BQ$1004,1,MATCH(COLUMNS($AO$1006:AU1006),$AO$1006:$BQ$1006,0)))),"Fix")))</f>
        <v>#N/A</v>
      </c>
      <c r="I396" s="5" t="e">
        <f ca="1">IF(OR(INDEX($AI$2:$AI$1001,MATCH(ROWS($AH$2:AH396),$AH$2:$AH$1001,0),1)&gt;=100000,INDEX($AO$1005:$BQ$1005,1,MATCH(COLUMNS($AO$1006:AV1006),$AO$1006:$BQ$1006,0))&gt;=100000), " ",IF(INDEX($AO$2:$BQ$1001,MATCH(ROWS($AH$2:AH396),$AH$2:$AH$1001,0),MATCH(COLUMNS($AO$1006:AV1006),$AO$1006:$BQ$1006,0)), HYPERLINK("#",""), HYPERLINK(CONCATENATE("#Metadata!", ADDRESS(INDEX($AJ$2:$AJ$1001,MATCH(ROWS($AH$2:AH396),$AH$2:$AH$1001,0),0), INDEX($AO$1004:$BQ$1004,1,MATCH(COLUMNS($AO$1006:AV1006),$AO$1006:$BQ$1006,0)))),"Fix")))</f>
        <v>#N/A</v>
      </c>
      <c r="J396" s="5" t="e">
        <f ca="1">IF(OR(INDEX($AI$2:$AI$1001,MATCH(ROWS($AH$2:AH396),$AH$2:$AH$1001,0),1)&gt;=100000,INDEX($AO$1005:$BQ$1005,1,MATCH(COLUMNS($AO$1006:AW1006),$AO$1006:$BQ$1006,0))&gt;=100000), " ",IF(INDEX($AO$2:$BQ$1001,MATCH(ROWS($AH$2:AH396),$AH$2:$AH$1001,0),MATCH(COLUMNS($AO$1006:AW1006),$AO$1006:$BQ$1006,0)), HYPERLINK("#",""), HYPERLINK(CONCATENATE("#Metadata!", ADDRESS(INDEX($AJ$2:$AJ$1001,MATCH(ROWS($AH$2:AH396),$AH$2:$AH$1001,0),0), INDEX($AO$1004:$BQ$1004,1,MATCH(COLUMNS($AO$1006:AW1006),$AO$1006:$BQ$1006,0)))),"Fix")))</f>
        <v>#N/A</v>
      </c>
      <c r="K396" s="5" t="e">
        <f ca="1">IF(OR(INDEX($AI$2:$AI$1001,MATCH(ROWS($AH$2:AH396),$AH$2:$AH$1001,0),1)&gt;=100000,INDEX($AO$1005:$BQ$1005,1,MATCH(COLUMNS($AO$1006:AX1006),$AO$1006:$BQ$1006,0))&gt;=100000), " ",IF(INDEX($AO$2:$BQ$1001,MATCH(ROWS($AH$2:AH396),$AH$2:$AH$1001,0),MATCH(COLUMNS($AO$1006:AX1006),$AO$1006:$BQ$1006,0)), HYPERLINK("#",""), HYPERLINK(CONCATENATE("#Metadata!", ADDRESS(INDEX($AJ$2:$AJ$1001,MATCH(ROWS($AH$2:AH396),$AH$2:$AH$1001,0),0), INDEX($AO$1004:$BQ$1004,1,MATCH(COLUMNS($AO$1006:AX1006),$AO$1006:$BQ$1006,0)))),"Fix")))</f>
        <v>#N/A</v>
      </c>
      <c r="L396" s="5" t="e">
        <f ca="1">IF(OR(INDEX($AI$2:$AI$1001,MATCH(ROWS($AH$2:AH396),$AH$2:$AH$1001,0),1)&gt;=100000,INDEX($AO$1005:$BQ$1005,1,MATCH(COLUMNS($AO$1006:AY1006),$AO$1006:$BQ$1006,0))&gt;=100000), " ",IF(INDEX($AO$2:$BQ$1001,MATCH(ROWS($AH$2:AH396),$AH$2:$AH$1001,0),MATCH(COLUMNS($AO$1006:AY1006),$AO$1006:$BQ$1006,0)), HYPERLINK("#",""), HYPERLINK(CONCATENATE("#Metadata!", ADDRESS(INDEX($AJ$2:$AJ$1001,MATCH(ROWS($AH$2:AH396),$AH$2:$AH$1001,0),0), INDEX($AO$1004:$BQ$1004,1,MATCH(COLUMNS($AO$1006:AY1006),$AO$1006:$BQ$1006,0)))),"Fix")))</f>
        <v>#N/A</v>
      </c>
      <c r="M396" s="5" t="e">
        <f ca="1">IF(OR(INDEX($AI$2:$AI$1001,MATCH(ROWS($AH$2:AH396),$AH$2:$AH$1001,0),1)&gt;=100000,INDEX($AO$1005:$BQ$1005,1,MATCH(COLUMNS($AO$1006:AZ1006),$AO$1006:$BQ$1006,0))&gt;=100000), " ",IF(INDEX($AO$2:$BQ$1001,MATCH(ROWS($AH$2:AH396),$AH$2:$AH$1001,0),MATCH(COLUMNS($AO$1006:AZ1006),$AO$1006:$BQ$1006,0)), HYPERLINK("#",""), HYPERLINK(CONCATENATE("#Metadata!", ADDRESS(INDEX($AJ$2:$AJ$1001,MATCH(ROWS($AH$2:AH396),$AH$2:$AH$1001,0),0), INDEX($AO$1004:$BQ$1004,1,MATCH(COLUMNS($AO$1006:AZ1006),$AO$1006:$BQ$1006,0)))),"Fix")))</f>
        <v>#N/A</v>
      </c>
      <c r="N396" s="5" t="e">
        <f ca="1">IF(OR(INDEX($AI$2:$AI$1001,MATCH(ROWS($AH$2:AH396),$AH$2:$AH$1001,0),1)&gt;=100000,INDEX($AO$1005:$BQ$1005,1,MATCH(COLUMNS($AO$1006:BA1006),$AO$1006:$BQ$1006,0))&gt;=100000), " ",IF(INDEX($AO$2:$BQ$1001,MATCH(ROWS($AH$2:AH396),$AH$2:$AH$1001,0),MATCH(COLUMNS($AO$1006:BA1006),$AO$1006:$BQ$1006,0)), HYPERLINK("#",""), HYPERLINK(CONCATENATE("#Metadata!", ADDRESS(INDEX($AJ$2:$AJ$1001,MATCH(ROWS($AH$2:AH396),$AH$2:$AH$1001,0),0), INDEX($AO$1004:$BQ$1004,1,MATCH(COLUMNS($AO$1006:BA1006),$AO$1006:$BQ$1006,0)))),"Fix")))</f>
        <v>#N/A</v>
      </c>
      <c r="O396" s="5" t="e">
        <f ca="1">IF(OR(INDEX($AI$2:$AI$1001,MATCH(ROWS($AH$2:AH396),$AH$2:$AH$1001,0),1)&gt;=100000,INDEX($AO$1005:$BQ$1005,1,MATCH(COLUMNS($AO$1006:BB1006),$AO$1006:$BQ$1006,0))&gt;=100000), " ",IF(INDEX($AO$2:$BQ$1001,MATCH(ROWS($AH$2:AH396),$AH$2:$AH$1001,0),MATCH(COLUMNS($AO$1006:BB1006),$AO$1006:$BQ$1006,0)), HYPERLINK("#",""), HYPERLINK(CONCATENATE("#Metadata!", ADDRESS(INDEX($AJ$2:$AJ$1001,MATCH(ROWS($AH$2:AH396),$AH$2:$AH$1001,0),0), INDEX($AO$1004:$BQ$1004,1,MATCH(COLUMNS($AO$1006:BB1006),$AO$1006:$BQ$1006,0)))),"Fix")))</f>
        <v>#N/A</v>
      </c>
      <c r="P396" s="5" t="e">
        <f ca="1">IF(OR(INDEX($AI$2:$AI$1001,MATCH(ROWS($AH$2:AH396),$AH$2:$AH$1001,0),1)&gt;=100000,INDEX($AO$1005:$BQ$1005,1,MATCH(COLUMNS($AO$1006:BC1006),$AO$1006:$BQ$1006,0))&gt;=100000), " ",IF(INDEX($AO$2:$BQ$1001,MATCH(ROWS($AH$2:AH396),$AH$2:$AH$1001,0),MATCH(COLUMNS($AO$1006:BC1006),$AO$1006:$BQ$1006,0)), HYPERLINK("#",""), HYPERLINK(CONCATENATE("#Metadata!", ADDRESS(INDEX($AJ$2:$AJ$1001,MATCH(ROWS($AH$2:AH396),$AH$2:$AH$1001,0),0), INDEX($AO$1004:$BQ$1004,1,MATCH(COLUMNS($AO$1006:BC1006),$AO$1006:$BQ$1006,0)))),"Fix")))</f>
        <v>#N/A</v>
      </c>
      <c r="Q396" s="5" t="e">
        <f ca="1">IF(OR(INDEX($AI$2:$AI$1001,MATCH(ROWS($AH$2:AH396),$AH$2:$AH$1001,0),1)&gt;=100000,INDEX($AO$1005:$BQ$1005,1,MATCH(COLUMNS($AO$1006:BD1006),$AO$1006:$BQ$1006,0))&gt;=100000), " ",IF(INDEX($AO$2:$BQ$1001,MATCH(ROWS($AH$2:AH396),$AH$2:$AH$1001,0),MATCH(COLUMNS($AO$1006:BD1006),$AO$1006:$BQ$1006,0)), HYPERLINK("#",""), HYPERLINK(CONCATENATE("#Metadata!", ADDRESS(INDEX($AJ$2:$AJ$1001,MATCH(ROWS($AH$2:AH396),$AH$2:$AH$1001,0),0), INDEX($AO$1004:$BQ$1004,1,MATCH(COLUMNS($AO$1006:BD1006),$AO$1006:$BQ$1006,0)))),"Fix")))</f>
        <v>#N/A</v>
      </c>
      <c r="R396" s="5" t="e">
        <f ca="1">IF(OR(INDEX($AI$2:$AI$1001,MATCH(ROWS($AH$2:AH396),$AH$2:$AH$1001,0),1)&gt;=100000,INDEX($AO$1005:$BQ$1005,1,MATCH(COLUMNS($AO$1006:BE1006),$AO$1006:$BQ$1006,0))&gt;=100000), " ",IF(INDEX($AO$2:$BQ$1001,MATCH(ROWS($AH$2:AH396),$AH$2:$AH$1001,0),MATCH(COLUMNS($AO$1006:BE1006),$AO$1006:$BQ$1006,0)), HYPERLINK("#",""), HYPERLINK(CONCATENATE("#Metadata!", ADDRESS(INDEX($AJ$2:$AJ$1001,MATCH(ROWS($AH$2:AH396),$AH$2:$AH$1001,0),0), INDEX($AO$1004:$BQ$1004,1,MATCH(COLUMNS($AO$1006:BE1006),$AO$1006:$BQ$1006,0)))),"Fix")))</f>
        <v>#N/A</v>
      </c>
      <c r="S396" s="5" t="e">
        <f ca="1">IF(OR(INDEX($AI$2:$AI$1001,MATCH(ROWS($AH$2:AH396),$AH$2:$AH$1001,0),1)&gt;=100000,INDEX($AO$1005:$BQ$1005,1,MATCH(COLUMNS($AO$1006:BF1006),$AO$1006:$BQ$1006,0))&gt;=100000), " ",IF(INDEX($AO$2:$BQ$1001,MATCH(ROWS($AH$2:AH396),$AH$2:$AH$1001,0),MATCH(COLUMNS($AO$1006:BF1006),$AO$1006:$BQ$1006,0)), HYPERLINK("#",""), HYPERLINK(CONCATENATE("#Metadata!", ADDRESS(INDEX($AJ$2:$AJ$1001,MATCH(ROWS($AH$2:AH396),$AH$2:$AH$1001,0),0), INDEX($AO$1004:$BQ$1004,1,MATCH(COLUMNS($AO$1006:BF1006),$AO$1006:$BQ$1006,0)))),"Fix")))</f>
        <v>#N/A</v>
      </c>
      <c r="T396" s="5" t="e">
        <f ca="1">IF(OR(INDEX($AI$2:$AI$1001,MATCH(ROWS($AH$2:AH396),$AH$2:$AH$1001,0),1)&gt;=100000,INDEX($AO$1005:$BQ$1005,1,MATCH(COLUMNS($AO$1006:BG1006),$AO$1006:$BQ$1006,0))&gt;=100000), " ",IF(INDEX($AO$2:$BQ$1001,MATCH(ROWS($AH$2:AH396),$AH$2:$AH$1001,0),MATCH(COLUMNS($AO$1006:BG1006),$AO$1006:$BQ$1006,0)), HYPERLINK("#",""), HYPERLINK(CONCATENATE("#Metadata!", ADDRESS(INDEX($AJ$2:$AJ$1001,MATCH(ROWS($AH$2:AH396),$AH$2:$AH$1001,0),0), INDEX($AO$1004:$BQ$1004,1,MATCH(COLUMNS($AO$1006:BG1006),$AO$1006:$BQ$1006,0)))),"Fix")))</f>
        <v>#N/A</v>
      </c>
      <c r="U396" s="5" t="e">
        <f ca="1">IF(OR(INDEX($AI$2:$AI$1001,MATCH(ROWS($AH$2:AH396),$AH$2:$AH$1001,0),1)&gt;=100000,INDEX($AO$1005:$BQ$1005,1,MATCH(COLUMNS($AO$1006:BH1006),$AO$1006:$BQ$1006,0))&gt;=100000), " ",IF(INDEX($AO$2:$BQ$1001,MATCH(ROWS($AH$2:AH396),$AH$2:$AH$1001,0),MATCH(COLUMNS($AO$1006:BH1006),$AO$1006:$BQ$1006,0)), HYPERLINK("#",""), HYPERLINK(CONCATENATE("#Metadata!", ADDRESS(INDEX($AJ$2:$AJ$1001,MATCH(ROWS($AH$2:AH396),$AH$2:$AH$1001,0),0), INDEX($AO$1004:$BQ$1004,1,MATCH(COLUMNS($AO$1006:BH1006),$AO$1006:$BQ$1006,0)))),"Fix")))</f>
        <v>#N/A</v>
      </c>
      <c r="V396" s="5" t="e">
        <f ca="1">IF(OR(INDEX($AI$2:$AI$1001,MATCH(ROWS($AH$2:AH396),$AH$2:$AH$1001,0),1)&gt;=100000,INDEX($AO$1005:$BQ$1005,1,MATCH(COLUMNS($AO$1006:BI1006),$AO$1006:$BQ$1006,0))&gt;=100000), " ",IF(INDEX($AO$2:$BQ$1001,MATCH(ROWS($AH$2:AH396),$AH$2:$AH$1001,0),MATCH(COLUMNS($AO$1006:BI1006),$AO$1006:$BQ$1006,0)), HYPERLINK("#",""), HYPERLINK(CONCATENATE("#Metadata!", ADDRESS(INDEX($AJ$2:$AJ$1001,MATCH(ROWS($AH$2:AH396),$AH$2:$AH$1001,0),0), INDEX($AO$1004:$BQ$1004,1,MATCH(COLUMNS($AO$1006:BI1006),$AO$1006:$BQ$1006,0)))),"Fix")))</f>
        <v>#N/A</v>
      </c>
      <c r="W396" s="5" t="e">
        <f ca="1">IF(OR(INDEX($AI$2:$AI$1001,MATCH(ROWS($AH$2:AH396),$AH$2:$AH$1001,0),1)&gt;=100000,INDEX($AO$1005:$BQ$1005,1,MATCH(COLUMNS($AO$1006:BJ1006),$AO$1006:$BQ$1006,0))&gt;=100000), " ",IF(INDEX($AO$2:$BQ$1001,MATCH(ROWS($AH$2:AH396),$AH$2:$AH$1001,0),MATCH(COLUMNS($AO$1006:BJ1006),$AO$1006:$BQ$1006,0)), HYPERLINK("#",""), HYPERLINK(CONCATENATE("#Metadata!", ADDRESS(INDEX($AJ$2:$AJ$1001,MATCH(ROWS($AH$2:AH396),$AH$2:$AH$1001,0),0), INDEX($AO$1004:$BQ$1004,1,MATCH(COLUMNS($AO$1006:BJ1006),$AO$1006:$BQ$1006,0)))),"Fix")))</f>
        <v>#N/A</v>
      </c>
      <c r="X396" s="5" t="e">
        <f ca="1">IF(OR(INDEX($AI$2:$AI$1001,MATCH(ROWS($AH$2:AH396),$AH$2:$AH$1001,0),1)&gt;=100000,INDEX($AO$1005:$BQ$1005,1,MATCH(COLUMNS($AO$1006:BK1006),$AO$1006:$BQ$1006,0))&gt;=100000), " ",IF(INDEX($AO$2:$BQ$1001,MATCH(ROWS($AH$2:AH396),$AH$2:$AH$1001,0),MATCH(COLUMNS($AO$1006:BK1006),$AO$1006:$BQ$1006,0)), HYPERLINK("#",""), HYPERLINK(CONCATENATE("#Metadata!", ADDRESS(INDEX($AJ$2:$AJ$1001,MATCH(ROWS($AH$2:AH396),$AH$2:$AH$1001,0),0), INDEX($AO$1004:$BQ$1004,1,MATCH(COLUMNS($AO$1006:BK1006),$AO$1006:$BQ$1006,0)))),"Fix")))</f>
        <v>#N/A</v>
      </c>
      <c r="Y396" s="5" t="e">
        <f ca="1">IF(OR(INDEX($AI$2:$AI$1001,MATCH(ROWS($AH$2:AH396),$AH$2:$AH$1001,0),1)&gt;=100000,INDEX($AO$1005:$BQ$1005,1,MATCH(COLUMNS($AO$1006:BL1006),$AO$1006:$BQ$1006,0))&gt;=100000), " ",IF(INDEX($AO$2:$BQ$1001,MATCH(ROWS($AH$2:AH396),$AH$2:$AH$1001,0),MATCH(COLUMNS($AO$1006:BL1006),$AO$1006:$BQ$1006,0)), HYPERLINK("#",""), HYPERLINK(CONCATENATE("#Metadata!", ADDRESS(INDEX($AJ$2:$AJ$1001,MATCH(ROWS($AH$2:AH396),$AH$2:$AH$1001,0),0), INDEX($AO$1004:$BQ$1004,1,MATCH(COLUMNS($AO$1006:BL1006),$AO$1006:$BQ$1006,0)))),"Fix")))</f>
        <v>#N/A</v>
      </c>
      <c r="Z396" s="5" t="e">
        <f ca="1">IF(OR(INDEX($AI$2:$AI$1001,MATCH(ROWS($AH$2:AH396),$AH$2:$AH$1001,0),1)&gt;=100000,INDEX($AO$1005:$BQ$1005,1,MATCH(COLUMNS($AO$1006:BM1006),$AO$1006:$BQ$1006,0))&gt;=100000), " ",IF(INDEX($AO$2:$BQ$1001,MATCH(ROWS($AH$2:AH396),$AH$2:$AH$1001,0),MATCH(COLUMNS($AO$1006:BM1006),$AO$1006:$BQ$1006,0)), HYPERLINK("#",""), HYPERLINK(CONCATENATE("#Metadata!", ADDRESS(INDEX($AJ$2:$AJ$1001,MATCH(ROWS($AH$2:AH396),$AH$2:$AH$1001,0),0), INDEX($AO$1004:$BQ$1004,1,MATCH(COLUMNS($AO$1006:BM1006),$AO$1006:$BQ$1006,0)))),"Fix")))</f>
        <v>#N/A</v>
      </c>
      <c r="AA396" s="5" t="e">
        <f ca="1">IF(OR(INDEX($AI$2:$AI$1001,MATCH(ROWS($AH$2:AH396),$AH$2:$AH$1001,0),1)&gt;=100000,INDEX($AO$1005:$BQ$1005,1,MATCH(COLUMNS($AO$1006:BN1006),$AO$1006:$BQ$1006,0))&gt;=100000), " ",IF(INDEX($AO$2:$BQ$1001,MATCH(ROWS($AH$2:AH396),$AH$2:$AH$1001,0),MATCH(COLUMNS($AO$1006:BN1006),$AO$1006:$BQ$1006,0)), HYPERLINK("#",""), HYPERLINK(CONCATENATE("#Metadata!", ADDRESS(INDEX($AJ$2:$AJ$1001,MATCH(ROWS($AH$2:AH396),$AH$2:$AH$1001,0),0), INDEX($AO$1004:$BQ$1004,1,MATCH(COLUMNS($AO$1006:BN1006),$AO$1006:$BQ$1006,0)))),"Fix")))</f>
        <v>#N/A</v>
      </c>
      <c r="AB396" s="5" t="e">
        <f ca="1">IF(OR(INDEX($AI$2:$AI$1001,MATCH(ROWS($AH$2:AH396),$AH$2:$AH$1001,0),1)&gt;=100000,INDEX($AO$1005:$BQ$1005,1,MATCH(COLUMNS($AO$1006:BO1006),$AO$1006:$BQ$1006,0))&gt;=100000), " ",IF(INDEX($AO$2:$BQ$1001,MATCH(ROWS($AH$2:AH396),$AH$2:$AH$1001,0),MATCH(COLUMNS($AO$1006:BO1006),$AO$1006:$BQ$1006,0)), HYPERLINK("#",""), HYPERLINK(CONCATENATE("#Metadata!", ADDRESS(INDEX($AJ$2:$AJ$1001,MATCH(ROWS($AH$2:AH396),$AH$2:$AH$1001,0),0), INDEX($AO$1004:$BQ$1004,1,MATCH(COLUMNS($AO$1006:BO1006),$AO$1006:$BQ$1006,0)))),"Fix")))</f>
        <v>#N/A</v>
      </c>
      <c r="AC396" s="5" t="e">
        <f ca="1">IF(OR(INDEX($AI$2:$AI$1001,MATCH(ROWS($AH$2:AH396),$AH$2:$AH$1001,0),1)&gt;=100000,INDEX($AO$1005:$BQ$1005,1,MATCH(COLUMNS($AO$1006:BP1006),$AO$1006:$BQ$1006,0))&gt;=100000), " ",IF(INDEX($AO$2:$BQ$1001,MATCH(ROWS($AH$2:AH396),$AH$2:$AH$1001,0),MATCH(COLUMNS($AO$1006:BP1006),$AO$1006:$BQ$1006,0)), HYPERLINK("#",""), HYPERLINK(CONCATENATE("#Metadata!", ADDRESS(INDEX($AJ$2:$AJ$1001,MATCH(ROWS($AH$2:AH396),$AH$2:$AH$1001,0),0), INDEX($AO$1004:$BQ$1004,1,MATCH(COLUMNS($AO$1006:BP1006),$AO$1006:$BQ$1006,0)))),"Fix")))</f>
        <v>#N/A</v>
      </c>
      <c r="AD396" s="5" t="e">
        <f ca="1">IF(OR(INDEX($AI$2:$AI$1001,MATCH(ROWS($AH$2:AH396),$AH$2:$AH$1001,0),1)&gt;=100000,INDEX($AO$1005:$BQ$1005,1,MATCH(COLUMNS($AO$1006:BQ1006),$AO$1006:$BQ$1006,0))&gt;=100000), " ",IF(INDEX($AO$2:$BQ$1001,MATCH(ROWS($AH$2:AH396),$AH$2:$AH$1001,0),MATCH(COLUMNS($AO$1006:BQ1006),$AO$1006:$BQ$1006,0)), HYPERLINK("#",""), HYPERLINK(CONCATENATE("#Metadata!", ADDRESS(INDEX($AJ$2:$AJ$1001,MATCH(ROWS($AH$2:AH396),$AH$2:$AH$1001,0),0), INDEX($AO$1004:$BQ$1004,1,MATCH(COLUMNS($AO$1006:BQ1006),$AO$1006:$BQ$1006,0)))),"Fix")))</f>
        <v>#REF!</v>
      </c>
      <c r="AH396">
        <f ca="1"/>
        <v>393</v>
      </c>
      <c r="AI396">
        <v>100396</v>
      </c>
      <c r="AJ396">
        <v>396</v>
      </c>
      <c r="AK396" t="b">
        <f t="shared" si="6"/>
        <v>1</v>
      </c>
      <c r="AL396" t="b">
        <f>COUNTBLANK(Metadata!B396:AD396)=COLUMNS(Metadata!B396:AD396)</f>
        <v>1</v>
      </c>
      <c r="AM396" t="str">
        <v/>
      </c>
      <c r="AO396" t="b">
        <f ca="1">AND(IF(Metadata!B396="",FALSE,TRUE),COUNTIF(Metadata!B:B, Metadata!B396) = 1,NOT(ISERROR(SUMPRODUCT(SEARCH(MID(Metadata!B396,ROW(INDIRECT("1:"&amp;LEN(Metadata!B396))), 1),"0123456789abcdefghijklmnopqrstuvwxyzABCDEFGHIJKLMNOPQRSTUVWXYZ.")))))</f>
        <v>0</v>
      </c>
      <c r="AP396" t="b">
        <f>IF(Metadata!C396="",FALSE,TRUE)</f>
        <v>0</v>
      </c>
      <c r="AQ396" t="b">
        <f>IF(Metadata!D396="",FALSE,TRUE)</f>
        <v>0</v>
      </c>
      <c r="AR396" t="b">
        <f ca="1">OR(AND(IF(Metadata!E396="",FALSE,TRUE),OR(EXACT(Metadata!E396,"not collected"),EXACT(Metadata!E396,"not provided"),EXACT(Metadata!E396,"restricted access"))),AND(IF(Metadata!E396="",FALSE,TRUE),AND(AND(IFERROR(INT(LEFT(Metadata!E396,4))&gt;1900,FALSE),IFERROR(INT(LEFT(Metadata!E396,4))&lt;=YEAR(NOW()),FALSE)), OR(MID(Metadata!E396,5,1)="", AND(AND(MID(Metadata!E396,5,1)="-",IFERROR(INT(MID(Metadata!E396,6,1))&gt;=0,FALSE),IFERROR(INT(MID(Metadata!E396,6,1))&lt;=1,FALSE),NOT(MID(Metadata!E396,7,1)=""),IFERROR(INT(MID(Metadata!E396,6,2))&gt;=1,FALSE),IFERROR(INT(MID(Metadata!E396,6,2))&lt;=12,FALSE)), OR(MID(Metadata!E396,8,1)="", AND(AND(MID(Metadata!E396,8,1)="-",IFERROR(INT(MID(Metadata!E396,9,1))&gt;=0,FALSE),IFERROR(INT(MID(Metadata!E396,9,1))&lt;=3,FALSE),NOT(MID(Metadata!E396,10,1)=""),IFERROR(INT(MID(Metadata!E396,9,2))&gt;=1,FALSE),IFERROR(INT(MID(Metadata!E396,9,2))&lt;=31,FALSE)), OR(MID(Metadata!E396,11,1)="", AND(AND(MID(Metadata!E396,11,1)=" ",IFERROR(INT(MID(Metadata!E396,12,1))&gt;=0,FALSE),IFERROR(INT(MID(Metadata!E396,12,1))&lt;=2,FALSE),NOT(MID(Metadata!E396,13,1)=""),IFERROR(INT(MID(Metadata!E396,12,2))&gt;=0,FALSE),IFERROR(INT(MID(Metadata!E396,12,2))&lt;=23,FALSE)), OR(MID(Metadata!E396,14,1)="", AND(AND(MID(Metadata!E396,14,1)=":",IFERROR(INT(MID(Metadata!E396,15,1))&gt;=0,FALSE),IFERROR(INT(MID(Metadata!E396,15,1))&lt;=5,FALSE),NOT(MID(Metadata!E396,16,1)=""),IFERROR(INT(MID(Metadata!E396,15,2))&gt;=0,FALSE),IFERROR(INT(MID(Metadata!E396,15,2))&lt;=59,FALSE)), OR(MID(Metadata!E396,17,1)="", AND(AND(MID(Metadata!E396,17,1)=":",IFERROR(INT(MID(Metadata!E396,18,1))&gt;=0,FALSE),IFERROR(INT(MID(Metadata!E396,18,1))&lt;=5,FALSE),NOT(MID(Metadata!E396,19,1)=""),IFERROR(INT(MID(Metadata!E396,18,2))&gt;=0,FALSE),IFERROR(INT(MID(Metadata!E396,18,2))&lt;=59,FALSE)), LEN(Metadata!E396)&lt;=19)))))))))))))</f>
        <v>0</v>
      </c>
      <c r="AS396" t="b">
        <f>IF(Metadata!F396="",FALSE,TRUE)</f>
        <v>0</v>
      </c>
      <c r="AT396" t="b">
        <f>OR(AND(IF(Metadata!G396="",FALSE,TRUE),OR(EXACT(Metadata!G396,"not collected"),EXACT(Metadata!G396,"not provided"))),AND(IF(Metadata!G396="",FALSE,TRUE),OR(EXACT(Metadata!G396,"TRUE"),EXACT(Metadata!G396,"FALSE"))))</f>
        <v>0</v>
      </c>
      <c r="AU396" t="b">
        <f>OR(AND(IF(Metadata!H396="",FALSE,TRUE),OR(EXACT(Metadata!H396,"not collected"),EXACT(Metadata!H396,"not provided"),EXACT(Metadata!H396,"restricted access"))),AND(IF(Metadata!H396="",FALSE,ISNUMBER(VALUE(Metadata!H396))),Metadata!H396&gt;=-413))</f>
        <v>0</v>
      </c>
      <c r="AV396" t="b">
        <f>AND(IF(Metadata!I396="",FALSE,TRUE),EXACT(Metadata!I396,"meters"))</f>
        <v>0</v>
      </c>
      <c r="AW396" t="b">
        <f>AND(IF(Metadata!J396="",FALSE,TRUE),EXACT(Metadata!J396,"free-living"))</f>
        <v>0</v>
      </c>
      <c r="AX396" t="b">
        <f>AND(IF(Metadata!K396="",FALSE,TRUE),OR(EXACT(Metadata!K396,"saline"),EXACT(Metadata!K396,"non-saline")))</f>
        <v>0</v>
      </c>
      <c r="AY396" t="b">
        <f>AND(IF(Metadata!L396="",FALSE,TRUE),OR(EXACT(Metadata!L396,"sub-surface (non-saline)"),EXACT(Metadata!L396,"surface (non-saline)"),EXACT(Metadata!L396,"water (non-saline)"),EXACT(Metadata!L396,"soil (non-saline)"),EXACT(Metadata!L396,"aerosol (non-saline)"),EXACT(Metadata!L396,"sediment (non-saline)"),EXACT(Metadata!L396,"surface (saline)"),EXACT(Metadata!L396,"water (saline)"),EXACT(Metadata!L396,"hypersaline (saline)"),EXACT(Metadata!L396,"aerosol (saline)"),EXACT(Metadata!L396,"sediment (saline)")))</f>
        <v>0</v>
      </c>
      <c r="AZ396" t="b">
        <f>IF(Metadata!M396="",FALSE,TRUE)</f>
        <v>0</v>
      </c>
      <c r="BA396" t="b">
        <f>IF(Metadata!N396="",FALSE,TRUE)</f>
        <v>0</v>
      </c>
      <c r="BB396" t="b">
        <f>IF(Metadata!O396="",FALSE,TRUE)</f>
        <v>0</v>
      </c>
      <c r="BC396" t="b">
        <f>AND(IF(Metadata!P396="",FALSE,TRUE),OR(EXACT(Metadata!P396,"air"),EXACT(Metadata!P396,"microbial mat/biofilm"),EXACT(Metadata!P396,"misc environment"),EXACT(Metadata!P396,"sediment"),EXACT(Metadata!P396,"soil"),EXACT(Metadata!P396,"wastewater/sludge"),EXACT(Metadata!P396,"water")))</f>
        <v>0</v>
      </c>
      <c r="BD396" t="b">
        <f>IF(Metadata!Q396="",FALSE,TRUE)</f>
        <v>0</v>
      </c>
      <c r="BE396" t="b">
        <f>IF(Metadata!R396="",FALSE,TRUE)</f>
        <v>0</v>
      </c>
      <c r="BF396" t="b">
        <f>OR(AND(IF(Metadata!S396="",FALSE,TRUE),OR(EXACT(Metadata!S396,"not collected"),EXACT(Metadata!S396,"not provided"),EXACT(Metadata!S396,"restricted access"))),AND(IF(Metadata!S396="",FALSE,ISNUMBER(VALUE(Metadata!S396))),Metadata!S396&gt;=-90,Metadata!S396&lt;=90))</f>
        <v>0</v>
      </c>
      <c r="BG396" t="b">
        <f>AND(IF(Metadata!T396="",FALSE,TRUE),EXACT(Metadata!T396,"Decimal degrees"))</f>
        <v>0</v>
      </c>
      <c r="BH396" t="b">
        <f>OR(AND(IF(Metadata!U396="",FALSE,TRUE),OR(EXACT(Metadata!U396,"not applicable"),EXACT(Metadata!U396,"not collected"))),IF(Metadata!U396="",FALSE,TRUE))</f>
        <v>0</v>
      </c>
      <c r="BI396" t="b">
        <f>OR(AND(IF(Metadata!V396="",FALSE,TRUE),OR(EXACT(Metadata!V396,"not collected"),EXACT(Metadata!V396,"not provided"),EXACT(Metadata!V396,"restricted access"))),AND(IF(Metadata!V396="",FALSE,ISNUMBER(VALUE(Metadata!V396))),Metadata!V396&gt;=-180,Metadata!V396&lt;=180))</f>
        <v>0</v>
      </c>
      <c r="BJ396" t="b">
        <f>AND(IF(Metadata!W396="",FALSE,TRUE),EXACT(Metadata!W396,"Decimal degrees"))</f>
        <v>0</v>
      </c>
      <c r="BK396" t="b">
        <f>IF(Metadata!X396="",FALSE,TRUE)</f>
        <v>0</v>
      </c>
      <c r="BL396" t="b">
        <f>OR(AND(IF(Metadata!Y396="",FALSE,TRUE),OR(EXACT(Metadata!Y396,"not collected"),EXACT(Metadata!Y396,"not provided"),EXACT(Metadata!Y396,"restricted access"))),AND(IF(Metadata!Y396="",FALSE,TRUE),OR(EXACT(Metadata!Y396,"TRUE"),EXACT(Metadata!Y396,"FALSE"))))</f>
        <v>0</v>
      </c>
      <c r="BM396" t="b">
        <f>OR(AND(IF(Metadata!Z396="",FALSE,TRUE),EXACT(Metadata!Z396,"not applicable")),AND(IF(Metadata!Z396="",FALSE,TRUE),OR(EXACT(Metadata!Z396,"beer"),EXACT(Metadata!Z396,"cheese"),EXACT(Metadata!Z396,"fresh water"),EXACT(Metadata!Z396,"marine sediment"),EXACT(Metadata!Z396,"sea water"),EXACT(Metadata!Z396,"sediment"),EXACT(Metadata!Z396,"soil"),EXACT(Metadata!Z396,"waste water"))))</f>
        <v>0</v>
      </c>
      <c r="BN396" t="b">
        <f>AND(IF(Metadata!AA396="",FALSE,TRUE),EXACT(Metadata!AA396,"metagenome"))</f>
        <v>0</v>
      </c>
      <c r="BO396" t="b">
        <f>AND(IF(Metadata!AB396="",FALSE,TRUE),EXACT(Metadata!AB396,"256318"))</f>
        <v>0</v>
      </c>
      <c r="BP396" t="b">
        <f>IF(Metadata!AC396="",FALSE,TRUE)</f>
        <v>0</v>
      </c>
      <c r="BQ396" t="b">
        <f>IF(Metadata!AD396="",FALSE,TRUE)</f>
        <v>0</v>
      </c>
    </row>
    <row r="397" spans="1:69" x14ac:dyDescent="0.2">
      <c r="A397" s="4" t="e">
        <f ca="1">IF(B397=" "," ",HYPERLINK(CONCATENATE("#metadata!",ADDRESS(INDEX($AJ$2:$AJ$1001,MATCH(ROWS($AH$2:AH397),$AH$2:$AH$1001,0),0),2)),INDEX($AM$2:$AM$1001,MATCH(ROWS($AH$2:AH397),$AH$2:$AH$1001,0),0)))</f>
        <v>#N/A</v>
      </c>
      <c r="B397" s="5" t="e">
        <f ca="1">IF(OR(INDEX($AI$2:$AI$1001,MATCH(ROWS($AH$2:AH397),$AH$2:$AH$1001,0),1)&gt;=100000,INDEX($AO$1005:$BQ$1005,1,MATCH(COLUMNS($AO$1006:AO1006),$AO$1006:$BQ$1006,0))&gt;=100000), " ",IF(INDEX($AO$2:$BQ$1001,MATCH(ROWS($AH$2:AH397),$AH$2:$AH$1001,0),MATCH(COLUMNS($AO$1006:AO1006),$AO$1006:$BQ$1006,0)), HYPERLINK("#",""), HYPERLINK(CONCATENATE("#Metadata!", ADDRESS(INDEX($AJ$2:$AJ$1001,MATCH(ROWS($AH$2:AH397),$AH$2:$AH$1001,0),0), INDEX($AO$1004:$BQ$1004,1,MATCH(COLUMNS($AO$1006:AO1006),$AO$1006:$BQ$1006,0)))),"Fix")))</f>
        <v>#N/A</v>
      </c>
      <c r="C397" s="5" t="e">
        <f ca="1">IF(OR(INDEX($AI$2:$AI$1001,MATCH(ROWS($AH$2:AH397),$AH$2:$AH$1001,0),1)&gt;=100000,INDEX($AO$1005:$BQ$1005,1,MATCH(COLUMNS($AO$1006:AP1006),$AO$1006:$BQ$1006,0))&gt;=100000), " ",IF(INDEX($AO$2:$BQ$1001,MATCH(ROWS($AH$2:AH397),$AH$2:$AH$1001,0),MATCH(COLUMNS($AO$1006:AP1006),$AO$1006:$BQ$1006,0)), HYPERLINK("#",""), HYPERLINK(CONCATENATE("#Metadata!", ADDRESS(INDEX($AJ$2:$AJ$1001,MATCH(ROWS($AH$2:AH397),$AH$2:$AH$1001,0),0), INDEX($AO$1004:$BQ$1004,1,MATCH(COLUMNS($AO$1006:AP1006),$AO$1006:$BQ$1006,0)))),"Fix")))</f>
        <v>#N/A</v>
      </c>
      <c r="D397" s="5" t="e">
        <f ca="1">IF(OR(INDEX($AI$2:$AI$1001,MATCH(ROWS($AH$2:AH397),$AH$2:$AH$1001,0),1)&gt;=100000,INDEX($AO$1005:$BQ$1005,1,MATCH(COLUMNS($AO$1006:AQ1006),$AO$1006:$BQ$1006,0))&gt;=100000), " ",IF(INDEX($AO$2:$BQ$1001,MATCH(ROWS($AH$2:AH397),$AH$2:$AH$1001,0),MATCH(COLUMNS($AO$1006:AQ1006),$AO$1006:$BQ$1006,0)), HYPERLINK("#",""), HYPERLINK(CONCATENATE("#Metadata!", ADDRESS(INDEX($AJ$2:$AJ$1001,MATCH(ROWS($AH$2:AH397),$AH$2:$AH$1001,0),0), INDEX($AO$1004:$BQ$1004,1,MATCH(COLUMNS($AO$1006:AQ1006),$AO$1006:$BQ$1006,0)))),"Fix")))</f>
        <v>#N/A</v>
      </c>
      <c r="E397" s="5" t="e">
        <f ca="1">IF(OR(INDEX($AI$2:$AI$1001,MATCH(ROWS($AH$2:AH397),$AH$2:$AH$1001,0),1)&gt;=100000,INDEX($AO$1005:$BQ$1005,1,MATCH(COLUMNS($AO$1006:AR1006),$AO$1006:$BQ$1006,0))&gt;=100000), " ",IF(INDEX($AO$2:$BQ$1001,MATCH(ROWS($AH$2:AH397),$AH$2:$AH$1001,0),MATCH(COLUMNS($AO$1006:AR1006),$AO$1006:$BQ$1006,0)), HYPERLINK("#",""), HYPERLINK(CONCATENATE("#Metadata!", ADDRESS(INDEX($AJ$2:$AJ$1001,MATCH(ROWS($AH$2:AH397),$AH$2:$AH$1001,0),0), INDEX($AO$1004:$BQ$1004,1,MATCH(COLUMNS($AO$1006:AR1006),$AO$1006:$BQ$1006,0)))),"Fix")))</f>
        <v>#N/A</v>
      </c>
      <c r="F397" s="5" t="e">
        <f ca="1">IF(OR(INDEX($AI$2:$AI$1001,MATCH(ROWS($AH$2:AH397),$AH$2:$AH$1001,0),1)&gt;=100000,INDEX($AO$1005:$BQ$1005,1,MATCH(COLUMNS($AO$1006:AS1006),$AO$1006:$BQ$1006,0))&gt;=100000), " ",IF(INDEX($AO$2:$BQ$1001,MATCH(ROWS($AH$2:AH397),$AH$2:$AH$1001,0),MATCH(COLUMNS($AO$1006:AS1006),$AO$1006:$BQ$1006,0)), HYPERLINK("#",""), HYPERLINK(CONCATENATE("#Metadata!", ADDRESS(INDEX($AJ$2:$AJ$1001,MATCH(ROWS($AH$2:AH397),$AH$2:$AH$1001,0),0), INDEX($AO$1004:$BQ$1004,1,MATCH(COLUMNS($AO$1006:AS1006),$AO$1006:$BQ$1006,0)))),"Fix")))</f>
        <v>#N/A</v>
      </c>
      <c r="G397" s="5" t="e">
        <f ca="1">IF(OR(INDEX($AI$2:$AI$1001,MATCH(ROWS($AH$2:AH397),$AH$2:$AH$1001,0),1)&gt;=100000,INDEX($AO$1005:$BQ$1005,1,MATCH(COLUMNS($AO$1006:AT1006),$AO$1006:$BQ$1006,0))&gt;=100000), " ",IF(INDEX($AO$2:$BQ$1001,MATCH(ROWS($AH$2:AH397),$AH$2:$AH$1001,0),MATCH(COLUMNS($AO$1006:AT1006),$AO$1006:$BQ$1006,0)), HYPERLINK("#",""), HYPERLINK(CONCATENATE("#Metadata!", ADDRESS(INDEX($AJ$2:$AJ$1001,MATCH(ROWS($AH$2:AH397),$AH$2:$AH$1001,0),0), INDEX($AO$1004:$BQ$1004,1,MATCH(COLUMNS($AO$1006:AT1006),$AO$1006:$BQ$1006,0)))),"Fix")))</f>
        <v>#N/A</v>
      </c>
      <c r="H397" s="5" t="e">
        <f ca="1">IF(OR(INDEX($AI$2:$AI$1001,MATCH(ROWS($AH$2:AH397),$AH$2:$AH$1001,0),1)&gt;=100000,INDEX($AO$1005:$BQ$1005,1,MATCH(COLUMNS($AO$1006:AU1006),$AO$1006:$BQ$1006,0))&gt;=100000), " ",IF(INDEX($AO$2:$BQ$1001,MATCH(ROWS($AH$2:AH397),$AH$2:$AH$1001,0),MATCH(COLUMNS($AO$1006:AU1006),$AO$1006:$BQ$1006,0)), HYPERLINK("#",""), HYPERLINK(CONCATENATE("#Metadata!", ADDRESS(INDEX($AJ$2:$AJ$1001,MATCH(ROWS($AH$2:AH397),$AH$2:$AH$1001,0),0), INDEX($AO$1004:$BQ$1004,1,MATCH(COLUMNS($AO$1006:AU1006),$AO$1006:$BQ$1006,0)))),"Fix")))</f>
        <v>#N/A</v>
      </c>
      <c r="I397" s="5" t="e">
        <f ca="1">IF(OR(INDEX($AI$2:$AI$1001,MATCH(ROWS($AH$2:AH397),$AH$2:$AH$1001,0),1)&gt;=100000,INDEX($AO$1005:$BQ$1005,1,MATCH(COLUMNS($AO$1006:AV1006),$AO$1006:$BQ$1006,0))&gt;=100000), " ",IF(INDEX($AO$2:$BQ$1001,MATCH(ROWS($AH$2:AH397),$AH$2:$AH$1001,0),MATCH(COLUMNS($AO$1006:AV1006),$AO$1006:$BQ$1006,0)), HYPERLINK("#",""), HYPERLINK(CONCATENATE("#Metadata!", ADDRESS(INDEX($AJ$2:$AJ$1001,MATCH(ROWS($AH$2:AH397),$AH$2:$AH$1001,0),0), INDEX($AO$1004:$BQ$1004,1,MATCH(COLUMNS($AO$1006:AV1006),$AO$1006:$BQ$1006,0)))),"Fix")))</f>
        <v>#N/A</v>
      </c>
      <c r="J397" s="5" t="e">
        <f ca="1">IF(OR(INDEX($AI$2:$AI$1001,MATCH(ROWS($AH$2:AH397),$AH$2:$AH$1001,0),1)&gt;=100000,INDEX($AO$1005:$BQ$1005,1,MATCH(COLUMNS($AO$1006:AW1006),$AO$1006:$BQ$1006,0))&gt;=100000), " ",IF(INDEX($AO$2:$BQ$1001,MATCH(ROWS($AH$2:AH397),$AH$2:$AH$1001,0),MATCH(COLUMNS($AO$1006:AW1006),$AO$1006:$BQ$1006,0)), HYPERLINK("#",""), HYPERLINK(CONCATENATE("#Metadata!", ADDRESS(INDEX($AJ$2:$AJ$1001,MATCH(ROWS($AH$2:AH397),$AH$2:$AH$1001,0),0), INDEX($AO$1004:$BQ$1004,1,MATCH(COLUMNS($AO$1006:AW1006),$AO$1006:$BQ$1006,0)))),"Fix")))</f>
        <v>#N/A</v>
      </c>
      <c r="K397" s="5" t="e">
        <f ca="1">IF(OR(INDEX($AI$2:$AI$1001,MATCH(ROWS($AH$2:AH397),$AH$2:$AH$1001,0),1)&gt;=100000,INDEX($AO$1005:$BQ$1005,1,MATCH(COLUMNS($AO$1006:AX1006),$AO$1006:$BQ$1006,0))&gt;=100000), " ",IF(INDEX($AO$2:$BQ$1001,MATCH(ROWS($AH$2:AH397),$AH$2:$AH$1001,0),MATCH(COLUMNS($AO$1006:AX1006),$AO$1006:$BQ$1006,0)), HYPERLINK("#",""), HYPERLINK(CONCATENATE("#Metadata!", ADDRESS(INDEX($AJ$2:$AJ$1001,MATCH(ROWS($AH$2:AH397),$AH$2:$AH$1001,0),0), INDEX($AO$1004:$BQ$1004,1,MATCH(COLUMNS($AO$1006:AX1006),$AO$1006:$BQ$1006,0)))),"Fix")))</f>
        <v>#N/A</v>
      </c>
      <c r="L397" s="5" t="e">
        <f ca="1">IF(OR(INDEX($AI$2:$AI$1001,MATCH(ROWS($AH$2:AH397),$AH$2:$AH$1001,0),1)&gt;=100000,INDEX($AO$1005:$BQ$1005,1,MATCH(COLUMNS($AO$1006:AY1006),$AO$1006:$BQ$1006,0))&gt;=100000), " ",IF(INDEX($AO$2:$BQ$1001,MATCH(ROWS($AH$2:AH397),$AH$2:$AH$1001,0),MATCH(COLUMNS($AO$1006:AY1006),$AO$1006:$BQ$1006,0)), HYPERLINK("#",""), HYPERLINK(CONCATENATE("#Metadata!", ADDRESS(INDEX($AJ$2:$AJ$1001,MATCH(ROWS($AH$2:AH397),$AH$2:$AH$1001,0),0), INDEX($AO$1004:$BQ$1004,1,MATCH(COLUMNS($AO$1006:AY1006),$AO$1006:$BQ$1006,0)))),"Fix")))</f>
        <v>#N/A</v>
      </c>
      <c r="M397" s="5" t="e">
        <f ca="1">IF(OR(INDEX($AI$2:$AI$1001,MATCH(ROWS($AH$2:AH397),$AH$2:$AH$1001,0),1)&gt;=100000,INDEX($AO$1005:$BQ$1005,1,MATCH(COLUMNS($AO$1006:AZ1006),$AO$1006:$BQ$1006,0))&gt;=100000), " ",IF(INDEX($AO$2:$BQ$1001,MATCH(ROWS($AH$2:AH397),$AH$2:$AH$1001,0),MATCH(COLUMNS($AO$1006:AZ1006),$AO$1006:$BQ$1006,0)), HYPERLINK("#",""), HYPERLINK(CONCATENATE("#Metadata!", ADDRESS(INDEX($AJ$2:$AJ$1001,MATCH(ROWS($AH$2:AH397),$AH$2:$AH$1001,0),0), INDEX($AO$1004:$BQ$1004,1,MATCH(COLUMNS($AO$1006:AZ1006),$AO$1006:$BQ$1006,0)))),"Fix")))</f>
        <v>#N/A</v>
      </c>
      <c r="N397" s="5" t="e">
        <f ca="1">IF(OR(INDEX($AI$2:$AI$1001,MATCH(ROWS($AH$2:AH397),$AH$2:$AH$1001,0),1)&gt;=100000,INDEX($AO$1005:$BQ$1005,1,MATCH(COLUMNS($AO$1006:BA1006),$AO$1006:$BQ$1006,0))&gt;=100000), " ",IF(INDEX($AO$2:$BQ$1001,MATCH(ROWS($AH$2:AH397),$AH$2:$AH$1001,0),MATCH(COLUMNS($AO$1006:BA1006),$AO$1006:$BQ$1006,0)), HYPERLINK("#",""), HYPERLINK(CONCATENATE("#Metadata!", ADDRESS(INDEX($AJ$2:$AJ$1001,MATCH(ROWS($AH$2:AH397),$AH$2:$AH$1001,0),0), INDEX($AO$1004:$BQ$1004,1,MATCH(COLUMNS($AO$1006:BA1006),$AO$1006:$BQ$1006,0)))),"Fix")))</f>
        <v>#N/A</v>
      </c>
      <c r="O397" s="5" t="e">
        <f ca="1">IF(OR(INDEX($AI$2:$AI$1001,MATCH(ROWS($AH$2:AH397),$AH$2:$AH$1001,0),1)&gt;=100000,INDEX($AO$1005:$BQ$1005,1,MATCH(COLUMNS($AO$1006:BB1006),$AO$1006:$BQ$1006,0))&gt;=100000), " ",IF(INDEX($AO$2:$BQ$1001,MATCH(ROWS($AH$2:AH397),$AH$2:$AH$1001,0),MATCH(COLUMNS($AO$1006:BB1006),$AO$1006:$BQ$1006,0)), HYPERLINK("#",""), HYPERLINK(CONCATENATE("#Metadata!", ADDRESS(INDEX($AJ$2:$AJ$1001,MATCH(ROWS($AH$2:AH397),$AH$2:$AH$1001,0),0), INDEX($AO$1004:$BQ$1004,1,MATCH(COLUMNS($AO$1006:BB1006),$AO$1006:$BQ$1006,0)))),"Fix")))</f>
        <v>#N/A</v>
      </c>
      <c r="P397" s="5" t="e">
        <f ca="1">IF(OR(INDEX($AI$2:$AI$1001,MATCH(ROWS($AH$2:AH397),$AH$2:$AH$1001,0),1)&gt;=100000,INDEX($AO$1005:$BQ$1005,1,MATCH(COLUMNS($AO$1006:BC1006),$AO$1006:$BQ$1006,0))&gt;=100000), " ",IF(INDEX($AO$2:$BQ$1001,MATCH(ROWS($AH$2:AH397),$AH$2:$AH$1001,0),MATCH(COLUMNS($AO$1006:BC1006),$AO$1006:$BQ$1006,0)), HYPERLINK("#",""), HYPERLINK(CONCATENATE("#Metadata!", ADDRESS(INDEX($AJ$2:$AJ$1001,MATCH(ROWS($AH$2:AH397),$AH$2:$AH$1001,0),0), INDEX($AO$1004:$BQ$1004,1,MATCH(COLUMNS($AO$1006:BC1006),$AO$1006:$BQ$1006,0)))),"Fix")))</f>
        <v>#N/A</v>
      </c>
      <c r="Q397" s="5" t="e">
        <f ca="1">IF(OR(INDEX($AI$2:$AI$1001,MATCH(ROWS($AH$2:AH397),$AH$2:$AH$1001,0),1)&gt;=100000,INDEX($AO$1005:$BQ$1005,1,MATCH(COLUMNS($AO$1006:BD1006),$AO$1006:$BQ$1006,0))&gt;=100000), " ",IF(INDEX($AO$2:$BQ$1001,MATCH(ROWS($AH$2:AH397),$AH$2:$AH$1001,0),MATCH(COLUMNS($AO$1006:BD1006),$AO$1006:$BQ$1006,0)), HYPERLINK("#",""), HYPERLINK(CONCATENATE("#Metadata!", ADDRESS(INDEX($AJ$2:$AJ$1001,MATCH(ROWS($AH$2:AH397),$AH$2:$AH$1001,0),0), INDEX($AO$1004:$BQ$1004,1,MATCH(COLUMNS($AO$1006:BD1006),$AO$1006:$BQ$1006,0)))),"Fix")))</f>
        <v>#N/A</v>
      </c>
      <c r="R397" s="5" t="e">
        <f ca="1">IF(OR(INDEX($AI$2:$AI$1001,MATCH(ROWS($AH$2:AH397),$AH$2:$AH$1001,0),1)&gt;=100000,INDEX($AO$1005:$BQ$1005,1,MATCH(COLUMNS($AO$1006:BE1006),$AO$1006:$BQ$1006,0))&gt;=100000), " ",IF(INDEX($AO$2:$BQ$1001,MATCH(ROWS($AH$2:AH397),$AH$2:$AH$1001,0),MATCH(COLUMNS($AO$1006:BE1006),$AO$1006:$BQ$1006,0)), HYPERLINK("#",""), HYPERLINK(CONCATENATE("#Metadata!", ADDRESS(INDEX($AJ$2:$AJ$1001,MATCH(ROWS($AH$2:AH397),$AH$2:$AH$1001,0),0), INDEX($AO$1004:$BQ$1004,1,MATCH(COLUMNS($AO$1006:BE1006),$AO$1006:$BQ$1006,0)))),"Fix")))</f>
        <v>#N/A</v>
      </c>
      <c r="S397" s="5" t="e">
        <f ca="1">IF(OR(INDEX($AI$2:$AI$1001,MATCH(ROWS($AH$2:AH397),$AH$2:$AH$1001,0),1)&gt;=100000,INDEX($AO$1005:$BQ$1005,1,MATCH(COLUMNS($AO$1006:BF1006),$AO$1006:$BQ$1006,0))&gt;=100000), " ",IF(INDEX($AO$2:$BQ$1001,MATCH(ROWS($AH$2:AH397),$AH$2:$AH$1001,0),MATCH(COLUMNS($AO$1006:BF1006),$AO$1006:$BQ$1006,0)), HYPERLINK("#",""), HYPERLINK(CONCATENATE("#Metadata!", ADDRESS(INDEX($AJ$2:$AJ$1001,MATCH(ROWS($AH$2:AH397),$AH$2:$AH$1001,0),0), INDEX($AO$1004:$BQ$1004,1,MATCH(COLUMNS($AO$1006:BF1006),$AO$1006:$BQ$1006,0)))),"Fix")))</f>
        <v>#N/A</v>
      </c>
      <c r="T397" s="5" t="e">
        <f ca="1">IF(OR(INDEX($AI$2:$AI$1001,MATCH(ROWS($AH$2:AH397),$AH$2:$AH$1001,0),1)&gt;=100000,INDEX($AO$1005:$BQ$1005,1,MATCH(COLUMNS($AO$1006:BG1006),$AO$1006:$BQ$1006,0))&gt;=100000), " ",IF(INDEX($AO$2:$BQ$1001,MATCH(ROWS($AH$2:AH397),$AH$2:$AH$1001,0),MATCH(COLUMNS($AO$1006:BG1006),$AO$1006:$BQ$1006,0)), HYPERLINK("#",""), HYPERLINK(CONCATENATE("#Metadata!", ADDRESS(INDEX($AJ$2:$AJ$1001,MATCH(ROWS($AH$2:AH397),$AH$2:$AH$1001,0),0), INDEX($AO$1004:$BQ$1004,1,MATCH(COLUMNS($AO$1006:BG1006),$AO$1006:$BQ$1006,0)))),"Fix")))</f>
        <v>#N/A</v>
      </c>
      <c r="U397" s="5" t="e">
        <f ca="1">IF(OR(INDEX($AI$2:$AI$1001,MATCH(ROWS($AH$2:AH397),$AH$2:$AH$1001,0),1)&gt;=100000,INDEX($AO$1005:$BQ$1005,1,MATCH(COLUMNS($AO$1006:BH1006),$AO$1006:$BQ$1006,0))&gt;=100000), " ",IF(INDEX($AO$2:$BQ$1001,MATCH(ROWS($AH$2:AH397),$AH$2:$AH$1001,0),MATCH(COLUMNS($AO$1006:BH1006),$AO$1006:$BQ$1006,0)), HYPERLINK("#",""), HYPERLINK(CONCATENATE("#Metadata!", ADDRESS(INDEX($AJ$2:$AJ$1001,MATCH(ROWS($AH$2:AH397),$AH$2:$AH$1001,0),0), INDEX($AO$1004:$BQ$1004,1,MATCH(COLUMNS($AO$1006:BH1006),$AO$1006:$BQ$1006,0)))),"Fix")))</f>
        <v>#N/A</v>
      </c>
      <c r="V397" s="5" t="e">
        <f ca="1">IF(OR(INDEX($AI$2:$AI$1001,MATCH(ROWS($AH$2:AH397),$AH$2:$AH$1001,0),1)&gt;=100000,INDEX($AO$1005:$BQ$1005,1,MATCH(COLUMNS($AO$1006:BI1006),$AO$1006:$BQ$1006,0))&gt;=100000), " ",IF(INDEX($AO$2:$BQ$1001,MATCH(ROWS($AH$2:AH397),$AH$2:$AH$1001,0),MATCH(COLUMNS($AO$1006:BI1006),$AO$1006:$BQ$1006,0)), HYPERLINK("#",""), HYPERLINK(CONCATENATE("#Metadata!", ADDRESS(INDEX($AJ$2:$AJ$1001,MATCH(ROWS($AH$2:AH397),$AH$2:$AH$1001,0),0), INDEX($AO$1004:$BQ$1004,1,MATCH(COLUMNS($AO$1006:BI1006),$AO$1006:$BQ$1006,0)))),"Fix")))</f>
        <v>#N/A</v>
      </c>
      <c r="W397" s="5" t="e">
        <f ca="1">IF(OR(INDEX($AI$2:$AI$1001,MATCH(ROWS($AH$2:AH397),$AH$2:$AH$1001,0),1)&gt;=100000,INDEX($AO$1005:$BQ$1005,1,MATCH(COLUMNS($AO$1006:BJ1006),$AO$1006:$BQ$1006,0))&gt;=100000), " ",IF(INDEX($AO$2:$BQ$1001,MATCH(ROWS($AH$2:AH397),$AH$2:$AH$1001,0),MATCH(COLUMNS($AO$1006:BJ1006),$AO$1006:$BQ$1006,0)), HYPERLINK("#",""), HYPERLINK(CONCATENATE("#Metadata!", ADDRESS(INDEX($AJ$2:$AJ$1001,MATCH(ROWS($AH$2:AH397),$AH$2:$AH$1001,0),0), INDEX($AO$1004:$BQ$1004,1,MATCH(COLUMNS($AO$1006:BJ1006),$AO$1006:$BQ$1006,0)))),"Fix")))</f>
        <v>#N/A</v>
      </c>
      <c r="X397" s="5" t="e">
        <f ca="1">IF(OR(INDEX($AI$2:$AI$1001,MATCH(ROWS($AH$2:AH397),$AH$2:$AH$1001,0),1)&gt;=100000,INDEX($AO$1005:$BQ$1005,1,MATCH(COLUMNS($AO$1006:BK1006),$AO$1006:$BQ$1006,0))&gt;=100000), " ",IF(INDEX($AO$2:$BQ$1001,MATCH(ROWS($AH$2:AH397),$AH$2:$AH$1001,0),MATCH(COLUMNS($AO$1006:BK1006),$AO$1006:$BQ$1006,0)), HYPERLINK("#",""), HYPERLINK(CONCATENATE("#Metadata!", ADDRESS(INDEX($AJ$2:$AJ$1001,MATCH(ROWS($AH$2:AH397),$AH$2:$AH$1001,0),0), INDEX($AO$1004:$BQ$1004,1,MATCH(COLUMNS($AO$1006:BK1006),$AO$1006:$BQ$1006,0)))),"Fix")))</f>
        <v>#N/A</v>
      </c>
      <c r="Y397" s="5" t="e">
        <f ca="1">IF(OR(INDEX($AI$2:$AI$1001,MATCH(ROWS($AH$2:AH397),$AH$2:$AH$1001,0),1)&gt;=100000,INDEX($AO$1005:$BQ$1005,1,MATCH(COLUMNS($AO$1006:BL1006),$AO$1006:$BQ$1006,0))&gt;=100000), " ",IF(INDEX($AO$2:$BQ$1001,MATCH(ROWS($AH$2:AH397),$AH$2:$AH$1001,0),MATCH(COLUMNS($AO$1006:BL1006),$AO$1006:$BQ$1006,0)), HYPERLINK("#",""), HYPERLINK(CONCATENATE("#Metadata!", ADDRESS(INDEX($AJ$2:$AJ$1001,MATCH(ROWS($AH$2:AH397),$AH$2:$AH$1001,0),0), INDEX($AO$1004:$BQ$1004,1,MATCH(COLUMNS($AO$1006:BL1006),$AO$1006:$BQ$1006,0)))),"Fix")))</f>
        <v>#N/A</v>
      </c>
      <c r="Z397" s="5" t="e">
        <f ca="1">IF(OR(INDEX($AI$2:$AI$1001,MATCH(ROWS($AH$2:AH397),$AH$2:$AH$1001,0),1)&gt;=100000,INDEX($AO$1005:$BQ$1005,1,MATCH(COLUMNS($AO$1006:BM1006),$AO$1006:$BQ$1006,0))&gt;=100000), " ",IF(INDEX($AO$2:$BQ$1001,MATCH(ROWS($AH$2:AH397),$AH$2:$AH$1001,0),MATCH(COLUMNS($AO$1006:BM1006),$AO$1006:$BQ$1006,0)), HYPERLINK("#",""), HYPERLINK(CONCATENATE("#Metadata!", ADDRESS(INDEX($AJ$2:$AJ$1001,MATCH(ROWS($AH$2:AH397),$AH$2:$AH$1001,0),0), INDEX($AO$1004:$BQ$1004,1,MATCH(COLUMNS($AO$1006:BM1006),$AO$1006:$BQ$1006,0)))),"Fix")))</f>
        <v>#N/A</v>
      </c>
      <c r="AA397" s="5" t="e">
        <f ca="1">IF(OR(INDEX($AI$2:$AI$1001,MATCH(ROWS($AH$2:AH397),$AH$2:$AH$1001,0),1)&gt;=100000,INDEX($AO$1005:$BQ$1005,1,MATCH(COLUMNS($AO$1006:BN1006),$AO$1006:$BQ$1006,0))&gt;=100000), " ",IF(INDEX($AO$2:$BQ$1001,MATCH(ROWS($AH$2:AH397),$AH$2:$AH$1001,0),MATCH(COLUMNS($AO$1006:BN1006),$AO$1006:$BQ$1006,0)), HYPERLINK("#",""), HYPERLINK(CONCATENATE("#Metadata!", ADDRESS(INDEX($AJ$2:$AJ$1001,MATCH(ROWS($AH$2:AH397),$AH$2:$AH$1001,0),0), INDEX($AO$1004:$BQ$1004,1,MATCH(COLUMNS($AO$1006:BN1006),$AO$1006:$BQ$1006,0)))),"Fix")))</f>
        <v>#N/A</v>
      </c>
      <c r="AB397" s="5" t="e">
        <f ca="1">IF(OR(INDEX($AI$2:$AI$1001,MATCH(ROWS($AH$2:AH397),$AH$2:$AH$1001,0),1)&gt;=100000,INDEX($AO$1005:$BQ$1005,1,MATCH(COLUMNS($AO$1006:BO1006),$AO$1006:$BQ$1006,0))&gt;=100000), " ",IF(INDEX($AO$2:$BQ$1001,MATCH(ROWS($AH$2:AH397),$AH$2:$AH$1001,0),MATCH(COLUMNS($AO$1006:BO1006),$AO$1006:$BQ$1006,0)), HYPERLINK("#",""), HYPERLINK(CONCATENATE("#Metadata!", ADDRESS(INDEX($AJ$2:$AJ$1001,MATCH(ROWS($AH$2:AH397),$AH$2:$AH$1001,0),0), INDEX($AO$1004:$BQ$1004,1,MATCH(COLUMNS($AO$1006:BO1006),$AO$1006:$BQ$1006,0)))),"Fix")))</f>
        <v>#N/A</v>
      </c>
      <c r="AC397" s="5" t="e">
        <f ca="1">IF(OR(INDEX($AI$2:$AI$1001,MATCH(ROWS($AH$2:AH397),$AH$2:$AH$1001,0),1)&gt;=100000,INDEX($AO$1005:$BQ$1005,1,MATCH(COLUMNS($AO$1006:BP1006),$AO$1006:$BQ$1006,0))&gt;=100000), " ",IF(INDEX($AO$2:$BQ$1001,MATCH(ROWS($AH$2:AH397),$AH$2:$AH$1001,0),MATCH(COLUMNS($AO$1006:BP1006),$AO$1006:$BQ$1006,0)), HYPERLINK("#",""), HYPERLINK(CONCATENATE("#Metadata!", ADDRESS(INDEX($AJ$2:$AJ$1001,MATCH(ROWS($AH$2:AH397),$AH$2:$AH$1001,0),0), INDEX($AO$1004:$BQ$1004,1,MATCH(COLUMNS($AO$1006:BP1006),$AO$1006:$BQ$1006,0)))),"Fix")))</f>
        <v>#N/A</v>
      </c>
      <c r="AD397" s="5" t="e">
        <f ca="1">IF(OR(INDEX($AI$2:$AI$1001,MATCH(ROWS($AH$2:AH397),$AH$2:$AH$1001,0),1)&gt;=100000,INDEX($AO$1005:$BQ$1005,1,MATCH(COLUMNS($AO$1006:BQ1006),$AO$1006:$BQ$1006,0))&gt;=100000), " ",IF(INDEX($AO$2:$BQ$1001,MATCH(ROWS($AH$2:AH397),$AH$2:$AH$1001,0),MATCH(COLUMNS($AO$1006:BQ1006),$AO$1006:$BQ$1006,0)), HYPERLINK("#",""), HYPERLINK(CONCATENATE("#Metadata!", ADDRESS(INDEX($AJ$2:$AJ$1001,MATCH(ROWS($AH$2:AH397),$AH$2:$AH$1001,0),0), INDEX($AO$1004:$BQ$1004,1,MATCH(COLUMNS($AO$1006:BQ1006),$AO$1006:$BQ$1006,0)))),"Fix")))</f>
        <v>#REF!</v>
      </c>
      <c r="AH397">
        <f ca="1"/>
        <v>394</v>
      </c>
      <c r="AI397">
        <v>100397</v>
      </c>
      <c r="AJ397">
        <v>397</v>
      </c>
      <c r="AK397" t="b">
        <f t="shared" si="6"/>
        <v>1</v>
      </c>
      <c r="AL397" t="b">
        <f>COUNTBLANK(Metadata!B397:AD397)=COLUMNS(Metadata!B397:AD397)</f>
        <v>1</v>
      </c>
      <c r="AM397" t="str">
        <v/>
      </c>
      <c r="AO397" t="b">
        <f ca="1">AND(IF(Metadata!B397="",FALSE,TRUE),COUNTIF(Metadata!B:B, Metadata!B397) = 1,NOT(ISERROR(SUMPRODUCT(SEARCH(MID(Metadata!B397,ROW(INDIRECT("1:"&amp;LEN(Metadata!B397))), 1),"0123456789abcdefghijklmnopqrstuvwxyzABCDEFGHIJKLMNOPQRSTUVWXYZ.")))))</f>
        <v>0</v>
      </c>
      <c r="AP397" t="b">
        <f>IF(Metadata!C397="",FALSE,TRUE)</f>
        <v>0</v>
      </c>
      <c r="AQ397" t="b">
        <f>IF(Metadata!D397="",FALSE,TRUE)</f>
        <v>0</v>
      </c>
      <c r="AR397" t="b">
        <f ca="1">OR(AND(IF(Metadata!E397="",FALSE,TRUE),OR(EXACT(Metadata!E397,"not collected"),EXACT(Metadata!E397,"not provided"),EXACT(Metadata!E397,"restricted access"))),AND(IF(Metadata!E397="",FALSE,TRUE),AND(AND(IFERROR(INT(LEFT(Metadata!E397,4))&gt;1900,FALSE),IFERROR(INT(LEFT(Metadata!E397,4))&lt;=YEAR(NOW()),FALSE)), OR(MID(Metadata!E397,5,1)="", AND(AND(MID(Metadata!E397,5,1)="-",IFERROR(INT(MID(Metadata!E397,6,1))&gt;=0,FALSE),IFERROR(INT(MID(Metadata!E397,6,1))&lt;=1,FALSE),NOT(MID(Metadata!E397,7,1)=""),IFERROR(INT(MID(Metadata!E397,6,2))&gt;=1,FALSE),IFERROR(INT(MID(Metadata!E397,6,2))&lt;=12,FALSE)), OR(MID(Metadata!E397,8,1)="", AND(AND(MID(Metadata!E397,8,1)="-",IFERROR(INT(MID(Metadata!E397,9,1))&gt;=0,FALSE),IFERROR(INT(MID(Metadata!E397,9,1))&lt;=3,FALSE),NOT(MID(Metadata!E397,10,1)=""),IFERROR(INT(MID(Metadata!E397,9,2))&gt;=1,FALSE),IFERROR(INT(MID(Metadata!E397,9,2))&lt;=31,FALSE)), OR(MID(Metadata!E397,11,1)="", AND(AND(MID(Metadata!E397,11,1)=" ",IFERROR(INT(MID(Metadata!E397,12,1))&gt;=0,FALSE),IFERROR(INT(MID(Metadata!E397,12,1))&lt;=2,FALSE),NOT(MID(Metadata!E397,13,1)=""),IFERROR(INT(MID(Metadata!E397,12,2))&gt;=0,FALSE),IFERROR(INT(MID(Metadata!E397,12,2))&lt;=23,FALSE)), OR(MID(Metadata!E397,14,1)="", AND(AND(MID(Metadata!E397,14,1)=":",IFERROR(INT(MID(Metadata!E397,15,1))&gt;=0,FALSE),IFERROR(INT(MID(Metadata!E397,15,1))&lt;=5,FALSE),NOT(MID(Metadata!E397,16,1)=""),IFERROR(INT(MID(Metadata!E397,15,2))&gt;=0,FALSE),IFERROR(INT(MID(Metadata!E397,15,2))&lt;=59,FALSE)), OR(MID(Metadata!E397,17,1)="", AND(AND(MID(Metadata!E397,17,1)=":",IFERROR(INT(MID(Metadata!E397,18,1))&gt;=0,FALSE),IFERROR(INT(MID(Metadata!E397,18,1))&lt;=5,FALSE),NOT(MID(Metadata!E397,19,1)=""),IFERROR(INT(MID(Metadata!E397,18,2))&gt;=0,FALSE),IFERROR(INT(MID(Metadata!E397,18,2))&lt;=59,FALSE)), LEN(Metadata!E397)&lt;=19)))))))))))))</f>
        <v>0</v>
      </c>
      <c r="AS397" t="b">
        <f>IF(Metadata!F397="",FALSE,TRUE)</f>
        <v>0</v>
      </c>
      <c r="AT397" t="b">
        <f>OR(AND(IF(Metadata!G397="",FALSE,TRUE),OR(EXACT(Metadata!G397,"not collected"),EXACT(Metadata!G397,"not provided"))),AND(IF(Metadata!G397="",FALSE,TRUE),OR(EXACT(Metadata!G397,"TRUE"),EXACT(Metadata!G397,"FALSE"))))</f>
        <v>0</v>
      </c>
      <c r="AU397" t="b">
        <f>OR(AND(IF(Metadata!H397="",FALSE,TRUE),OR(EXACT(Metadata!H397,"not collected"),EXACT(Metadata!H397,"not provided"),EXACT(Metadata!H397,"restricted access"))),AND(IF(Metadata!H397="",FALSE,ISNUMBER(VALUE(Metadata!H397))),Metadata!H397&gt;=-413))</f>
        <v>0</v>
      </c>
      <c r="AV397" t="b">
        <f>AND(IF(Metadata!I397="",FALSE,TRUE),EXACT(Metadata!I397,"meters"))</f>
        <v>0</v>
      </c>
      <c r="AW397" t="b">
        <f>AND(IF(Metadata!J397="",FALSE,TRUE),EXACT(Metadata!J397,"free-living"))</f>
        <v>0</v>
      </c>
      <c r="AX397" t="b">
        <f>AND(IF(Metadata!K397="",FALSE,TRUE),OR(EXACT(Metadata!K397,"saline"),EXACT(Metadata!K397,"non-saline")))</f>
        <v>0</v>
      </c>
      <c r="AY397" t="b">
        <f>AND(IF(Metadata!L397="",FALSE,TRUE),OR(EXACT(Metadata!L397,"sub-surface (non-saline)"),EXACT(Metadata!L397,"surface (non-saline)"),EXACT(Metadata!L397,"water (non-saline)"),EXACT(Metadata!L397,"soil (non-saline)"),EXACT(Metadata!L397,"aerosol (non-saline)"),EXACT(Metadata!L397,"sediment (non-saline)"),EXACT(Metadata!L397,"surface (saline)"),EXACT(Metadata!L397,"water (saline)"),EXACT(Metadata!L397,"hypersaline (saline)"),EXACT(Metadata!L397,"aerosol (saline)"),EXACT(Metadata!L397,"sediment (saline)")))</f>
        <v>0</v>
      </c>
      <c r="AZ397" t="b">
        <f>IF(Metadata!M397="",FALSE,TRUE)</f>
        <v>0</v>
      </c>
      <c r="BA397" t="b">
        <f>IF(Metadata!N397="",FALSE,TRUE)</f>
        <v>0</v>
      </c>
      <c r="BB397" t="b">
        <f>IF(Metadata!O397="",FALSE,TRUE)</f>
        <v>0</v>
      </c>
      <c r="BC397" t="b">
        <f>AND(IF(Metadata!P397="",FALSE,TRUE),OR(EXACT(Metadata!P397,"air"),EXACT(Metadata!P397,"microbial mat/biofilm"),EXACT(Metadata!P397,"misc environment"),EXACT(Metadata!P397,"sediment"),EXACT(Metadata!P397,"soil"),EXACT(Metadata!P397,"wastewater/sludge"),EXACT(Metadata!P397,"water")))</f>
        <v>0</v>
      </c>
      <c r="BD397" t="b">
        <f>IF(Metadata!Q397="",FALSE,TRUE)</f>
        <v>0</v>
      </c>
      <c r="BE397" t="b">
        <f>IF(Metadata!R397="",FALSE,TRUE)</f>
        <v>0</v>
      </c>
      <c r="BF397" t="b">
        <f>OR(AND(IF(Metadata!S397="",FALSE,TRUE),OR(EXACT(Metadata!S397,"not collected"),EXACT(Metadata!S397,"not provided"),EXACT(Metadata!S397,"restricted access"))),AND(IF(Metadata!S397="",FALSE,ISNUMBER(VALUE(Metadata!S397))),Metadata!S397&gt;=-90,Metadata!S397&lt;=90))</f>
        <v>0</v>
      </c>
      <c r="BG397" t="b">
        <f>AND(IF(Metadata!T397="",FALSE,TRUE),EXACT(Metadata!T397,"Decimal degrees"))</f>
        <v>0</v>
      </c>
      <c r="BH397" t="b">
        <f>OR(AND(IF(Metadata!U397="",FALSE,TRUE),OR(EXACT(Metadata!U397,"not applicable"),EXACT(Metadata!U397,"not collected"))),IF(Metadata!U397="",FALSE,TRUE))</f>
        <v>0</v>
      </c>
      <c r="BI397" t="b">
        <f>OR(AND(IF(Metadata!V397="",FALSE,TRUE),OR(EXACT(Metadata!V397,"not collected"),EXACT(Metadata!V397,"not provided"),EXACT(Metadata!V397,"restricted access"))),AND(IF(Metadata!V397="",FALSE,ISNUMBER(VALUE(Metadata!V397))),Metadata!V397&gt;=-180,Metadata!V397&lt;=180))</f>
        <v>0</v>
      </c>
      <c r="BJ397" t="b">
        <f>AND(IF(Metadata!W397="",FALSE,TRUE),EXACT(Metadata!W397,"Decimal degrees"))</f>
        <v>0</v>
      </c>
      <c r="BK397" t="b">
        <f>IF(Metadata!X397="",FALSE,TRUE)</f>
        <v>0</v>
      </c>
      <c r="BL397" t="b">
        <f>OR(AND(IF(Metadata!Y397="",FALSE,TRUE),OR(EXACT(Metadata!Y397,"not collected"),EXACT(Metadata!Y397,"not provided"),EXACT(Metadata!Y397,"restricted access"))),AND(IF(Metadata!Y397="",FALSE,TRUE),OR(EXACT(Metadata!Y397,"TRUE"),EXACT(Metadata!Y397,"FALSE"))))</f>
        <v>0</v>
      </c>
      <c r="BM397" t="b">
        <f>OR(AND(IF(Metadata!Z397="",FALSE,TRUE),EXACT(Metadata!Z397,"not applicable")),AND(IF(Metadata!Z397="",FALSE,TRUE),OR(EXACT(Metadata!Z397,"beer"),EXACT(Metadata!Z397,"cheese"),EXACT(Metadata!Z397,"fresh water"),EXACT(Metadata!Z397,"marine sediment"),EXACT(Metadata!Z397,"sea water"),EXACT(Metadata!Z397,"sediment"),EXACT(Metadata!Z397,"soil"),EXACT(Metadata!Z397,"waste water"))))</f>
        <v>0</v>
      </c>
      <c r="BN397" t="b">
        <f>AND(IF(Metadata!AA397="",FALSE,TRUE),EXACT(Metadata!AA397,"metagenome"))</f>
        <v>0</v>
      </c>
      <c r="BO397" t="b">
        <f>AND(IF(Metadata!AB397="",FALSE,TRUE),EXACT(Metadata!AB397,"256318"))</f>
        <v>0</v>
      </c>
      <c r="BP397" t="b">
        <f>IF(Metadata!AC397="",FALSE,TRUE)</f>
        <v>0</v>
      </c>
      <c r="BQ397" t="b">
        <f>IF(Metadata!AD397="",FALSE,TRUE)</f>
        <v>0</v>
      </c>
    </row>
    <row r="398" spans="1:69" x14ac:dyDescent="0.2">
      <c r="A398" s="4" t="e">
        <f ca="1">IF(B398=" "," ",HYPERLINK(CONCATENATE("#metadata!",ADDRESS(INDEX($AJ$2:$AJ$1001,MATCH(ROWS($AH$2:AH398),$AH$2:$AH$1001,0),0),2)),INDEX($AM$2:$AM$1001,MATCH(ROWS($AH$2:AH398),$AH$2:$AH$1001,0),0)))</f>
        <v>#N/A</v>
      </c>
      <c r="B398" s="5" t="e">
        <f ca="1">IF(OR(INDEX($AI$2:$AI$1001,MATCH(ROWS($AH$2:AH398),$AH$2:$AH$1001,0),1)&gt;=100000,INDEX($AO$1005:$BQ$1005,1,MATCH(COLUMNS($AO$1006:AO1006),$AO$1006:$BQ$1006,0))&gt;=100000), " ",IF(INDEX($AO$2:$BQ$1001,MATCH(ROWS($AH$2:AH398),$AH$2:$AH$1001,0),MATCH(COLUMNS($AO$1006:AO1006),$AO$1006:$BQ$1006,0)), HYPERLINK("#",""), HYPERLINK(CONCATENATE("#Metadata!", ADDRESS(INDEX($AJ$2:$AJ$1001,MATCH(ROWS($AH$2:AH398),$AH$2:$AH$1001,0),0), INDEX($AO$1004:$BQ$1004,1,MATCH(COLUMNS($AO$1006:AO1006),$AO$1006:$BQ$1006,0)))),"Fix")))</f>
        <v>#N/A</v>
      </c>
      <c r="C398" s="5" t="e">
        <f ca="1">IF(OR(INDEX($AI$2:$AI$1001,MATCH(ROWS($AH$2:AH398),$AH$2:$AH$1001,0),1)&gt;=100000,INDEX($AO$1005:$BQ$1005,1,MATCH(COLUMNS($AO$1006:AP1006),$AO$1006:$BQ$1006,0))&gt;=100000), " ",IF(INDEX($AO$2:$BQ$1001,MATCH(ROWS($AH$2:AH398),$AH$2:$AH$1001,0),MATCH(COLUMNS($AO$1006:AP1006),$AO$1006:$BQ$1006,0)), HYPERLINK("#",""), HYPERLINK(CONCATENATE("#Metadata!", ADDRESS(INDEX($AJ$2:$AJ$1001,MATCH(ROWS($AH$2:AH398),$AH$2:$AH$1001,0),0), INDEX($AO$1004:$BQ$1004,1,MATCH(COLUMNS($AO$1006:AP1006),$AO$1006:$BQ$1006,0)))),"Fix")))</f>
        <v>#N/A</v>
      </c>
      <c r="D398" s="5" t="e">
        <f ca="1">IF(OR(INDEX($AI$2:$AI$1001,MATCH(ROWS($AH$2:AH398),$AH$2:$AH$1001,0),1)&gt;=100000,INDEX($AO$1005:$BQ$1005,1,MATCH(COLUMNS($AO$1006:AQ1006),$AO$1006:$BQ$1006,0))&gt;=100000), " ",IF(INDEX($AO$2:$BQ$1001,MATCH(ROWS($AH$2:AH398),$AH$2:$AH$1001,0),MATCH(COLUMNS($AO$1006:AQ1006),$AO$1006:$BQ$1006,0)), HYPERLINK("#",""), HYPERLINK(CONCATENATE("#Metadata!", ADDRESS(INDEX($AJ$2:$AJ$1001,MATCH(ROWS($AH$2:AH398),$AH$2:$AH$1001,0),0), INDEX($AO$1004:$BQ$1004,1,MATCH(COLUMNS($AO$1006:AQ1006),$AO$1006:$BQ$1006,0)))),"Fix")))</f>
        <v>#N/A</v>
      </c>
      <c r="E398" s="5" t="e">
        <f ca="1">IF(OR(INDEX($AI$2:$AI$1001,MATCH(ROWS($AH$2:AH398),$AH$2:$AH$1001,0),1)&gt;=100000,INDEX($AO$1005:$BQ$1005,1,MATCH(COLUMNS($AO$1006:AR1006),$AO$1006:$BQ$1006,0))&gt;=100000), " ",IF(INDEX($AO$2:$BQ$1001,MATCH(ROWS($AH$2:AH398),$AH$2:$AH$1001,0),MATCH(COLUMNS($AO$1006:AR1006),$AO$1006:$BQ$1006,0)), HYPERLINK("#",""), HYPERLINK(CONCATENATE("#Metadata!", ADDRESS(INDEX($AJ$2:$AJ$1001,MATCH(ROWS($AH$2:AH398),$AH$2:$AH$1001,0),0), INDEX($AO$1004:$BQ$1004,1,MATCH(COLUMNS($AO$1006:AR1006),$AO$1006:$BQ$1006,0)))),"Fix")))</f>
        <v>#N/A</v>
      </c>
      <c r="F398" s="5" t="e">
        <f ca="1">IF(OR(INDEX($AI$2:$AI$1001,MATCH(ROWS($AH$2:AH398),$AH$2:$AH$1001,0),1)&gt;=100000,INDEX($AO$1005:$BQ$1005,1,MATCH(COLUMNS($AO$1006:AS1006),$AO$1006:$BQ$1006,0))&gt;=100000), " ",IF(INDEX($AO$2:$BQ$1001,MATCH(ROWS($AH$2:AH398),$AH$2:$AH$1001,0),MATCH(COLUMNS($AO$1006:AS1006),$AO$1006:$BQ$1006,0)), HYPERLINK("#",""), HYPERLINK(CONCATENATE("#Metadata!", ADDRESS(INDEX($AJ$2:$AJ$1001,MATCH(ROWS($AH$2:AH398),$AH$2:$AH$1001,0),0), INDEX($AO$1004:$BQ$1004,1,MATCH(COLUMNS($AO$1006:AS1006),$AO$1006:$BQ$1006,0)))),"Fix")))</f>
        <v>#N/A</v>
      </c>
      <c r="G398" s="5" t="e">
        <f ca="1">IF(OR(INDEX($AI$2:$AI$1001,MATCH(ROWS($AH$2:AH398),$AH$2:$AH$1001,0),1)&gt;=100000,INDEX($AO$1005:$BQ$1005,1,MATCH(COLUMNS($AO$1006:AT1006),$AO$1006:$BQ$1006,0))&gt;=100000), " ",IF(INDEX($AO$2:$BQ$1001,MATCH(ROWS($AH$2:AH398),$AH$2:$AH$1001,0),MATCH(COLUMNS($AO$1006:AT1006),$AO$1006:$BQ$1006,0)), HYPERLINK("#",""), HYPERLINK(CONCATENATE("#Metadata!", ADDRESS(INDEX($AJ$2:$AJ$1001,MATCH(ROWS($AH$2:AH398),$AH$2:$AH$1001,0),0), INDEX($AO$1004:$BQ$1004,1,MATCH(COLUMNS($AO$1006:AT1006),$AO$1006:$BQ$1006,0)))),"Fix")))</f>
        <v>#N/A</v>
      </c>
      <c r="H398" s="5" t="e">
        <f ca="1">IF(OR(INDEX($AI$2:$AI$1001,MATCH(ROWS($AH$2:AH398),$AH$2:$AH$1001,0),1)&gt;=100000,INDEX($AO$1005:$BQ$1005,1,MATCH(COLUMNS($AO$1006:AU1006),$AO$1006:$BQ$1006,0))&gt;=100000), " ",IF(INDEX($AO$2:$BQ$1001,MATCH(ROWS($AH$2:AH398),$AH$2:$AH$1001,0),MATCH(COLUMNS($AO$1006:AU1006),$AO$1006:$BQ$1006,0)), HYPERLINK("#",""), HYPERLINK(CONCATENATE("#Metadata!", ADDRESS(INDEX($AJ$2:$AJ$1001,MATCH(ROWS($AH$2:AH398),$AH$2:$AH$1001,0),0), INDEX($AO$1004:$BQ$1004,1,MATCH(COLUMNS($AO$1006:AU1006),$AO$1006:$BQ$1006,0)))),"Fix")))</f>
        <v>#N/A</v>
      </c>
      <c r="I398" s="5" t="e">
        <f ca="1">IF(OR(INDEX($AI$2:$AI$1001,MATCH(ROWS($AH$2:AH398),$AH$2:$AH$1001,0),1)&gt;=100000,INDEX($AO$1005:$BQ$1005,1,MATCH(COLUMNS($AO$1006:AV1006),$AO$1006:$BQ$1006,0))&gt;=100000), " ",IF(INDEX($AO$2:$BQ$1001,MATCH(ROWS($AH$2:AH398),$AH$2:$AH$1001,0),MATCH(COLUMNS($AO$1006:AV1006),$AO$1006:$BQ$1006,0)), HYPERLINK("#",""), HYPERLINK(CONCATENATE("#Metadata!", ADDRESS(INDEX($AJ$2:$AJ$1001,MATCH(ROWS($AH$2:AH398),$AH$2:$AH$1001,0),0), INDEX($AO$1004:$BQ$1004,1,MATCH(COLUMNS($AO$1006:AV1006),$AO$1006:$BQ$1006,0)))),"Fix")))</f>
        <v>#N/A</v>
      </c>
      <c r="J398" s="5" t="e">
        <f ca="1">IF(OR(INDEX($AI$2:$AI$1001,MATCH(ROWS($AH$2:AH398),$AH$2:$AH$1001,0),1)&gt;=100000,INDEX($AO$1005:$BQ$1005,1,MATCH(COLUMNS($AO$1006:AW1006),$AO$1006:$BQ$1006,0))&gt;=100000), " ",IF(INDEX($AO$2:$BQ$1001,MATCH(ROWS($AH$2:AH398),$AH$2:$AH$1001,0),MATCH(COLUMNS($AO$1006:AW1006),$AO$1006:$BQ$1006,0)), HYPERLINK("#",""), HYPERLINK(CONCATENATE("#Metadata!", ADDRESS(INDEX($AJ$2:$AJ$1001,MATCH(ROWS($AH$2:AH398),$AH$2:$AH$1001,0),0), INDEX($AO$1004:$BQ$1004,1,MATCH(COLUMNS($AO$1006:AW1006),$AO$1006:$BQ$1006,0)))),"Fix")))</f>
        <v>#N/A</v>
      </c>
      <c r="K398" s="5" t="e">
        <f ca="1">IF(OR(INDEX($AI$2:$AI$1001,MATCH(ROWS($AH$2:AH398),$AH$2:$AH$1001,0),1)&gt;=100000,INDEX($AO$1005:$BQ$1005,1,MATCH(COLUMNS($AO$1006:AX1006),$AO$1006:$BQ$1006,0))&gt;=100000), " ",IF(INDEX($AO$2:$BQ$1001,MATCH(ROWS($AH$2:AH398),$AH$2:$AH$1001,0),MATCH(COLUMNS($AO$1006:AX1006),$AO$1006:$BQ$1006,0)), HYPERLINK("#",""), HYPERLINK(CONCATENATE("#Metadata!", ADDRESS(INDEX($AJ$2:$AJ$1001,MATCH(ROWS($AH$2:AH398),$AH$2:$AH$1001,0),0), INDEX($AO$1004:$BQ$1004,1,MATCH(COLUMNS($AO$1006:AX1006),$AO$1006:$BQ$1006,0)))),"Fix")))</f>
        <v>#N/A</v>
      </c>
      <c r="L398" s="5" t="e">
        <f ca="1">IF(OR(INDEX($AI$2:$AI$1001,MATCH(ROWS($AH$2:AH398),$AH$2:$AH$1001,0),1)&gt;=100000,INDEX($AO$1005:$BQ$1005,1,MATCH(COLUMNS($AO$1006:AY1006),$AO$1006:$BQ$1006,0))&gt;=100000), " ",IF(INDEX($AO$2:$BQ$1001,MATCH(ROWS($AH$2:AH398),$AH$2:$AH$1001,0),MATCH(COLUMNS($AO$1006:AY1006),$AO$1006:$BQ$1006,0)), HYPERLINK("#",""), HYPERLINK(CONCATENATE("#Metadata!", ADDRESS(INDEX($AJ$2:$AJ$1001,MATCH(ROWS($AH$2:AH398),$AH$2:$AH$1001,0),0), INDEX($AO$1004:$BQ$1004,1,MATCH(COLUMNS($AO$1006:AY1006),$AO$1006:$BQ$1006,0)))),"Fix")))</f>
        <v>#N/A</v>
      </c>
      <c r="M398" s="5" t="e">
        <f ca="1">IF(OR(INDEX($AI$2:$AI$1001,MATCH(ROWS($AH$2:AH398),$AH$2:$AH$1001,0),1)&gt;=100000,INDEX($AO$1005:$BQ$1005,1,MATCH(COLUMNS($AO$1006:AZ1006),$AO$1006:$BQ$1006,0))&gt;=100000), " ",IF(INDEX($AO$2:$BQ$1001,MATCH(ROWS($AH$2:AH398),$AH$2:$AH$1001,0),MATCH(COLUMNS($AO$1006:AZ1006),$AO$1006:$BQ$1006,0)), HYPERLINK("#",""), HYPERLINK(CONCATENATE("#Metadata!", ADDRESS(INDEX($AJ$2:$AJ$1001,MATCH(ROWS($AH$2:AH398),$AH$2:$AH$1001,0),0), INDEX($AO$1004:$BQ$1004,1,MATCH(COLUMNS($AO$1006:AZ1006),$AO$1006:$BQ$1006,0)))),"Fix")))</f>
        <v>#N/A</v>
      </c>
      <c r="N398" s="5" t="e">
        <f ca="1">IF(OR(INDEX($AI$2:$AI$1001,MATCH(ROWS($AH$2:AH398),$AH$2:$AH$1001,0),1)&gt;=100000,INDEX($AO$1005:$BQ$1005,1,MATCH(COLUMNS($AO$1006:BA1006),$AO$1006:$BQ$1006,0))&gt;=100000), " ",IF(INDEX($AO$2:$BQ$1001,MATCH(ROWS($AH$2:AH398),$AH$2:$AH$1001,0),MATCH(COLUMNS($AO$1006:BA1006),$AO$1006:$BQ$1006,0)), HYPERLINK("#",""), HYPERLINK(CONCATENATE("#Metadata!", ADDRESS(INDEX($AJ$2:$AJ$1001,MATCH(ROWS($AH$2:AH398),$AH$2:$AH$1001,0),0), INDEX($AO$1004:$BQ$1004,1,MATCH(COLUMNS($AO$1006:BA1006),$AO$1006:$BQ$1006,0)))),"Fix")))</f>
        <v>#N/A</v>
      </c>
      <c r="O398" s="5" t="e">
        <f ca="1">IF(OR(INDEX($AI$2:$AI$1001,MATCH(ROWS($AH$2:AH398),$AH$2:$AH$1001,0),1)&gt;=100000,INDEX($AO$1005:$BQ$1005,1,MATCH(COLUMNS($AO$1006:BB1006),$AO$1006:$BQ$1006,0))&gt;=100000), " ",IF(INDEX($AO$2:$BQ$1001,MATCH(ROWS($AH$2:AH398),$AH$2:$AH$1001,0),MATCH(COLUMNS($AO$1006:BB1006),$AO$1006:$BQ$1006,0)), HYPERLINK("#",""), HYPERLINK(CONCATENATE("#Metadata!", ADDRESS(INDEX($AJ$2:$AJ$1001,MATCH(ROWS($AH$2:AH398),$AH$2:$AH$1001,0),0), INDEX($AO$1004:$BQ$1004,1,MATCH(COLUMNS($AO$1006:BB1006),$AO$1006:$BQ$1006,0)))),"Fix")))</f>
        <v>#N/A</v>
      </c>
      <c r="P398" s="5" t="e">
        <f ca="1">IF(OR(INDEX($AI$2:$AI$1001,MATCH(ROWS($AH$2:AH398),$AH$2:$AH$1001,0),1)&gt;=100000,INDEX($AO$1005:$BQ$1005,1,MATCH(COLUMNS($AO$1006:BC1006),$AO$1006:$BQ$1006,0))&gt;=100000), " ",IF(INDEX($AO$2:$BQ$1001,MATCH(ROWS($AH$2:AH398),$AH$2:$AH$1001,0),MATCH(COLUMNS($AO$1006:BC1006),$AO$1006:$BQ$1006,0)), HYPERLINK("#",""), HYPERLINK(CONCATENATE("#Metadata!", ADDRESS(INDEX($AJ$2:$AJ$1001,MATCH(ROWS($AH$2:AH398),$AH$2:$AH$1001,0),0), INDEX($AO$1004:$BQ$1004,1,MATCH(COLUMNS($AO$1006:BC1006),$AO$1006:$BQ$1006,0)))),"Fix")))</f>
        <v>#N/A</v>
      </c>
      <c r="Q398" s="5" t="e">
        <f ca="1">IF(OR(INDEX($AI$2:$AI$1001,MATCH(ROWS($AH$2:AH398),$AH$2:$AH$1001,0),1)&gt;=100000,INDEX($AO$1005:$BQ$1005,1,MATCH(COLUMNS($AO$1006:BD1006),$AO$1006:$BQ$1006,0))&gt;=100000), " ",IF(INDEX($AO$2:$BQ$1001,MATCH(ROWS($AH$2:AH398),$AH$2:$AH$1001,0),MATCH(COLUMNS($AO$1006:BD1006),$AO$1006:$BQ$1006,0)), HYPERLINK("#",""), HYPERLINK(CONCATENATE("#Metadata!", ADDRESS(INDEX($AJ$2:$AJ$1001,MATCH(ROWS($AH$2:AH398),$AH$2:$AH$1001,0),0), INDEX($AO$1004:$BQ$1004,1,MATCH(COLUMNS($AO$1006:BD1006),$AO$1006:$BQ$1006,0)))),"Fix")))</f>
        <v>#N/A</v>
      </c>
      <c r="R398" s="5" t="e">
        <f ca="1">IF(OR(INDEX($AI$2:$AI$1001,MATCH(ROWS($AH$2:AH398),$AH$2:$AH$1001,0),1)&gt;=100000,INDEX($AO$1005:$BQ$1005,1,MATCH(COLUMNS($AO$1006:BE1006),$AO$1006:$BQ$1006,0))&gt;=100000), " ",IF(INDEX($AO$2:$BQ$1001,MATCH(ROWS($AH$2:AH398),$AH$2:$AH$1001,0),MATCH(COLUMNS($AO$1006:BE1006),$AO$1006:$BQ$1006,0)), HYPERLINK("#",""), HYPERLINK(CONCATENATE("#Metadata!", ADDRESS(INDEX($AJ$2:$AJ$1001,MATCH(ROWS($AH$2:AH398),$AH$2:$AH$1001,0),0), INDEX($AO$1004:$BQ$1004,1,MATCH(COLUMNS($AO$1006:BE1006),$AO$1006:$BQ$1006,0)))),"Fix")))</f>
        <v>#N/A</v>
      </c>
      <c r="S398" s="5" t="e">
        <f ca="1">IF(OR(INDEX($AI$2:$AI$1001,MATCH(ROWS($AH$2:AH398),$AH$2:$AH$1001,0),1)&gt;=100000,INDEX($AO$1005:$BQ$1005,1,MATCH(COLUMNS($AO$1006:BF1006),$AO$1006:$BQ$1006,0))&gt;=100000), " ",IF(INDEX($AO$2:$BQ$1001,MATCH(ROWS($AH$2:AH398),$AH$2:$AH$1001,0),MATCH(COLUMNS($AO$1006:BF1006),$AO$1006:$BQ$1006,0)), HYPERLINK("#",""), HYPERLINK(CONCATENATE("#Metadata!", ADDRESS(INDEX($AJ$2:$AJ$1001,MATCH(ROWS($AH$2:AH398),$AH$2:$AH$1001,0),0), INDEX($AO$1004:$BQ$1004,1,MATCH(COLUMNS($AO$1006:BF1006),$AO$1006:$BQ$1006,0)))),"Fix")))</f>
        <v>#N/A</v>
      </c>
      <c r="T398" s="5" t="e">
        <f ca="1">IF(OR(INDEX($AI$2:$AI$1001,MATCH(ROWS($AH$2:AH398),$AH$2:$AH$1001,0),1)&gt;=100000,INDEX($AO$1005:$BQ$1005,1,MATCH(COLUMNS($AO$1006:BG1006),$AO$1006:$BQ$1006,0))&gt;=100000), " ",IF(INDEX($AO$2:$BQ$1001,MATCH(ROWS($AH$2:AH398),$AH$2:$AH$1001,0),MATCH(COLUMNS($AO$1006:BG1006),$AO$1006:$BQ$1006,0)), HYPERLINK("#",""), HYPERLINK(CONCATENATE("#Metadata!", ADDRESS(INDEX($AJ$2:$AJ$1001,MATCH(ROWS($AH$2:AH398),$AH$2:$AH$1001,0),0), INDEX($AO$1004:$BQ$1004,1,MATCH(COLUMNS($AO$1006:BG1006),$AO$1006:$BQ$1006,0)))),"Fix")))</f>
        <v>#N/A</v>
      </c>
      <c r="U398" s="5" t="e">
        <f ca="1">IF(OR(INDEX($AI$2:$AI$1001,MATCH(ROWS($AH$2:AH398),$AH$2:$AH$1001,0),1)&gt;=100000,INDEX($AO$1005:$BQ$1005,1,MATCH(COLUMNS($AO$1006:BH1006),$AO$1006:$BQ$1006,0))&gt;=100000), " ",IF(INDEX($AO$2:$BQ$1001,MATCH(ROWS($AH$2:AH398),$AH$2:$AH$1001,0),MATCH(COLUMNS($AO$1006:BH1006),$AO$1006:$BQ$1006,0)), HYPERLINK("#",""), HYPERLINK(CONCATENATE("#Metadata!", ADDRESS(INDEX($AJ$2:$AJ$1001,MATCH(ROWS($AH$2:AH398),$AH$2:$AH$1001,0),0), INDEX($AO$1004:$BQ$1004,1,MATCH(COLUMNS($AO$1006:BH1006),$AO$1006:$BQ$1006,0)))),"Fix")))</f>
        <v>#N/A</v>
      </c>
      <c r="V398" s="5" t="e">
        <f ca="1">IF(OR(INDEX($AI$2:$AI$1001,MATCH(ROWS($AH$2:AH398),$AH$2:$AH$1001,0),1)&gt;=100000,INDEX($AO$1005:$BQ$1005,1,MATCH(COLUMNS($AO$1006:BI1006),$AO$1006:$BQ$1006,0))&gt;=100000), " ",IF(INDEX($AO$2:$BQ$1001,MATCH(ROWS($AH$2:AH398),$AH$2:$AH$1001,0),MATCH(COLUMNS($AO$1006:BI1006),$AO$1006:$BQ$1006,0)), HYPERLINK("#",""), HYPERLINK(CONCATENATE("#Metadata!", ADDRESS(INDEX($AJ$2:$AJ$1001,MATCH(ROWS($AH$2:AH398),$AH$2:$AH$1001,0),0), INDEX($AO$1004:$BQ$1004,1,MATCH(COLUMNS($AO$1006:BI1006),$AO$1006:$BQ$1006,0)))),"Fix")))</f>
        <v>#N/A</v>
      </c>
      <c r="W398" s="5" t="e">
        <f ca="1">IF(OR(INDEX($AI$2:$AI$1001,MATCH(ROWS($AH$2:AH398),$AH$2:$AH$1001,0),1)&gt;=100000,INDEX($AO$1005:$BQ$1005,1,MATCH(COLUMNS($AO$1006:BJ1006),$AO$1006:$BQ$1006,0))&gt;=100000), " ",IF(INDEX($AO$2:$BQ$1001,MATCH(ROWS($AH$2:AH398),$AH$2:$AH$1001,0),MATCH(COLUMNS($AO$1006:BJ1006),$AO$1006:$BQ$1006,0)), HYPERLINK("#",""), HYPERLINK(CONCATENATE("#Metadata!", ADDRESS(INDEX($AJ$2:$AJ$1001,MATCH(ROWS($AH$2:AH398),$AH$2:$AH$1001,0),0), INDEX($AO$1004:$BQ$1004,1,MATCH(COLUMNS($AO$1006:BJ1006),$AO$1006:$BQ$1006,0)))),"Fix")))</f>
        <v>#N/A</v>
      </c>
      <c r="X398" s="5" t="e">
        <f ca="1">IF(OR(INDEX($AI$2:$AI$1001,MATCH(ROWS($AH$2:AH398),$AH$2:$AH$1001,0),1)&gt;=100000,INDEX($AO$1005:$BQ$1005,1,MATCH(COLUMNS($AO$1006:BK1006),$AO$1006:$BQ$1006,0))&gt;=100000), " ",IF(INDEX($AO$2:$BQ$1001,MATCH(ROWS($AH$2:AH398),$AH$2:$AH$1001,0),MATCH(COLUMNS($AO$1006:BK1006),$AO$1006:$BQ$1006,0)), HYPERLINK("#",""), HYPERLINK(CONCATENATE("#Metadata!", ADDRESS(INDEX($AJ$2:$AJ$1001,MATCH(ROWS($AH$2:AH398),$AH$2:$AH$1001,0),0), INDEX($AO$1004:$BQ$1004,1,MATCH(COLUMNS($AO$1006:BK1006),$AO$1006:$BQ$1006,0)))),"Fix")))</f>
        <v>#N/A</v>
      </c>
      <c r="Y398" s="5" t="e">
        <f ca="1">IF(OR(INDEX($AI$2:$AI$1001,MATCH(ROWS($AH$2:AH398),$AH$2:$AH$1001,0),1)&gt;=100000,INDEX($AO$1005:$BQ$1005,1,MATCH(COLUMNS($AO$1006:BL1006),$AO$1006:$BQ$1006,0))&gt;=100000), " ",IF(INDEX($AO$2:$BQ$1001,MATCH(ROWS($AH$2:AH398),$AH$2:$AH$1001,0),MATCH(COLUMNS($AO$1006:BL1006),$AO$1006:$BQ$1006,0)), HYPERLINK("#",""), HYPERLINK(CONCATENATE("#Metadata!", ADDRESS(INDEX($AJ$2:$AJ$1001,MATCH(ROWS($AH$2:AH398),$AH$2:$AH$1001,0),0), INDEX($AO$1004:$BQ$1004,1,MATCH(COLUMNS($AO$1006:BL1006),$AO$1006:$BQ$1006,0)))),"Fix")))</f>
        <v>#N/A</v>
      </c>
      <c r="Z398" s="5" t="e">
        <f ca="1">IF(OR(INDEX($AI$2:$AI$1001,MATCH(ROWS($AH$2:AH398),$AH$2:$AH$1001,0),1)&gt;=100000,INDEX($AO$1005:$BQ$1005,1,MATCH(COLUMNS($AO$1006:BM1006),$AO$1006:$BQ$1006,0))&gt;=100000), " ",IF(INDEX($AO$2:$BQ$1001,MATCH(ROWS($AH$2:AH398),$AH$2:$AH$1001,0),MATCH(COLUMNS($AO$1006:BM1006),$AO$1006:$BQ$1006,0)), HYPERLINK("#",""), HYPERLINK(CONCATENATE("#Metadata!", ADDRESS(INDEX($AJ$2:$AJ$1001,MATCH(ROWS($AH$2:AH398),$AH$2:$AH$1001,0),0), INDEX($AO$1004:$BQ$1004,1,MATCH(COLUMNS($AO$1006:BM1006),$AO$1006:$BQ$1006,0)))),"Fix")))</f>
        <v>#N/A</v>
      </c>
      <c r="AA398" s="5" t="e">
        <f ca="1">IF(OR(INDEX($AI$2:$AI$1001,MATCH(ROWS($AH$2:AH398),$AH$2:$AH$1001,0),1)&gt;=100000,INDEX($AO$1005:$BQ$1005,1,MATCH(COLUMNS($AO$1006:BN1006),$AO$1006:$BQ$1006,0))&gt;=100000), " ",IF(INDEX($AO$2:$BQ$1001,MATCH(ROWS($AH$2:AH398),$AH$2:$AH$1001,0),MATCH(COLUMNS($AO$1006:BN1006),$AO$1006:$BQ$1006,0)), HYPERLINK("#",""), HYPERLINK(CONCATENATE("#Metadata!", ADDRESS(INDEX($AJ$2:$AJ$1001,MATCH(ROWS($AH$2:AH398),$AH$2:$AH$1001,0),0), INDEX($AO$1004:$BQ$1004,1,MATCH(COLUMNS($AO$1006:BN1006),$AO$1006:$BQ$1006,0)))),"Fix")))</f>
        <v>#N/A</v>
      </c>
      <c r="AB398" s="5" t="e">
        <f ca="1">IF(OR(INDEX($AI$2:$AI$1001,MATCH(ROWS($AH$2:AH398),$AH$2:$AH$1001,0),1)&gt;=100000,INDEX($AO$1005:$BQ$1005,1,MATCH(COLUMNS($AO$1006:BO1006),$AO$1006:$BQ$1006,0))&gt;=100000), " ",IF(INDEX($AO$2:$BQ$1001,MATCH(ROWS($AH$2:AH398),$AH$2:$AH$1001,0),MATCH(COLUMNS($AO$1006:BO1006),$AO$1006:$BQ$1006,0)), HYPERLINK("#",""), HYPERLINK(CONCATENATE("#Metadata!", ADDRESS(INDEX($AJ$2:$AJ$1001,MATCH(ROWS($AH$2:AH398),$AH$2:$AH$1001,0),0), INDEX($AO$1004:$BQ$1004,1,MATCH(COLUMNS($AO$1006:BO1006),$AO$1006:$BQ$1006,0)))),"Fix")))</f>
        <v>#N/A</v>
      </c>
      <c r="AC398" s="5" t="e">
        <f ca="1">IF(OR(INDEX($AI$2:$AI$1001,MATCH(ROWS($AH$2:AH398),$AH$2:$AH$1001,0),1)&gt;=100000,INDEX($AO$1005:$BQ$1005,1,MATCH(COLUMNS($AO$1006:BP1006),$AO$1006:$BQ$1006,0))&gt;=100000), " ",IF(INDEX($AO$2:$BQ$1001,MATCH(ROWS($AH$2:AH398),$AH$2:$AH$1001,0),MATCH(COLUMNS($AO$1006:BP1006),$AO$1006:$BQ$1006,0)), HYPERLINK("#",""), HYPERLINK(CONCATENATE("#Metadata!", ADDRESS(INDEX($AJ$2:$AJ$1001,MATCH(ROWS($AH$2:AH398),$AH$2:$AH$1001,0),0), INDEX($AO$1004:$BQ$1004,1,MATCH(COLUMNS($AO$1006:BP1006),$AO$1006:$BQ$1006,0)))),"Fix")))</f>
        <v>#N/A</v>
      </c>
      <c r="AD398" s="5" t="e">
        <f ca="1">IF(OR(INDEX($AI$2:$AI$1001,MATCH(ROWS($AH$2:AH398),$AH$2:$AH$1001,0),1)&gt;=100000,INDEX($AO$1005:$BQ$1005,1,MATCH(COLUMNS($AO$1006:BQ1006),$AO$1006:$BQ$1006,0))&gt;=100000), " ",IF(INDEX($AO$2:$BQ$1001,MATCH(ROWS($AH$2:AH398),$AH$2:$AH$1001,0),MATCH(COLUMNS($AO$1006:BQ1006),$AO$1006:$BQ$1006,0)), HYPERLINK("#",""), HYPERLINK(CONCATENATE("#Metadata!", ADDRESS(INDEX($AJ$2:$AJ$1001,MATCH(ROWS($AH$2:AH398),$AH$2:$AH$1001,0),0), INDEX($AO$1004:$BQ$1004,1,MATCH(COLUMNS($AO$1006:BQ1006),$AO$1006:$BQ$1006,0)))),"Fix")))</f>
        <v>#REF!</v>
      </c>
      <c r="AH398">
        <f ca="1"/>
        <v>395</v>
      </c>
      <c r="AI398">
        <v>100398</v>
      </c>
      <c r="AJ398">
        <v>398</v>
      </c>
      <c r="AK398" t="b">
        <f t="shared" si="6"/>
        <v>1</v>
      </c>
      <c r="AL398" t="b">
        <f>COUNTBLANK(Metadata!B398:AD398)=COLUMNS(Metadata!B398:AD398)</f>
        <v>1</v>
      </c>
      <c r="AM398" t="str">
        <v/>
      </c>
      <c r="AO398" t="b">
        <f ca="1">AND(IF(Metadata!B398="",FALSE,TRUE),COUNTIF(Metadata!B:B, Metadata!B398) = 1,NOT(ISERROR(SUMPRODUCT(SEARCH(MID(Metadata!B398,ROW(INDIRECT("1:"&amp;LEN(Metadata!B398))), 1),"0123456789abcdefghijklmnopqrstuvwxyzABCDEFGHIJKLMNOPQRSTUVWXYZ.")))))</f>
        <v>0</v>
      </c>
      <c r="AP398" t="b">
        <f>IF(Metadata!C398="",FALSE,TRUE)</f>
        <v>0</v>
      </c>
      <c r="AQ398" t="b">
        <f>IF(Metadata!D398="",FALSE,TRUE)</f>
        <v>0</v>
      </c>
      <c r="AR398" t="b">
        <f ca="1">OR(AND(IF(Metadata!E398="",FALSE,TRUE),OR(EXACT(Metadata!E398,"not collected"),EXACT(Metadata!E398,"not provided"),EXACT(Metadata!E398,"restricted access"))),AND(IF(Metadata!E398="",FALSE,TRUE),AND(AND(IFERROR(INT(LEFT(Metadata!E398,4))&gt;1900,FALSE),IFERROR(INT(LEFT(Metadata!E398,4))&lt;=YEAR(NOW()),FALSE)), OR(MID(Metadata!E398,5,1)="", AND(AND(MID(Metadata!E398,5,1)="-",IFERROR(INT(MID(Metadata!E398,6,1))&gt;=0,FALSE),IFERROR(INT(MID(Metadata!E398,6,1))&lt;=1,FALSE),NOT(MID(Metadata!E398,7,1)=""),IFERROR(INT(MID(Metadata!E398,6,2))&gt;=1,FALSE),IFERROR(INT(MID(Metadata!E398,6,2))&lt;=12,FALSE)), OR(MID(Metadata!E398,8,1)="", AND(AND(MID(Metadata!E398,8,1)="-",IFERROR(INT(MID(Metadata!E398,9,1))&gt;=0,FALSE),IFERROR(INT(MID(Metadata!E398,9,1))&lt;=3,FALSE),NOT(MID(Metadata!E398,10,1)=""),IFERROR(INT(MID(Metadata!E398,9,2))&gt;=1,FALSE),IFERROR(INT(MID(Metadata!E398,9,2))&lt;=31,FALSE)), OR(MID(Metadata!E398,11,1)="", AND(AND(MID(Metadata!E398,11,1)=" ",IFERROR(INT(MID(Metadata!E398,12,1))&gt;=0,FALSE),IFERROR(INT(MID(Metadata!E398,12,1))&lt;=2,FALSE),NOT(MID(Metadata!E398,13,1)=""),IFERROR(INT(MID(Metadata!E398,12,2))&gt;=0,FALSE),IFERROR(INT(MID(Metadata!E398,12,2))&lt;=23,FALSE)), OR(MID(Metadata!E398,14,1)="", AND(AND(MID(Metadata!E398,14,1)=":",IFERROR(INT(MID(Metadata!E398,15,1))&gt;=0,FALSE),IFERROR(INT(MID(Metadata!E398,15,1))&lt;=5,FALSE),NOT(MID(Metadata!E398,16,1)=""),IFERROR(INT(MID(Metadata!E398,15,2))&gt;=0,FALSE),IFERROR(INT(MID(Metadata!E398,15,2))&lt;=59,FALSE)), OR(MID(Metadata!E398,17,1)="", AND(AND(MID(Metadata!E398,17,1)=":",IFERROR(INT(MID(Metadata!E398,18,1))&gt;=0,FALSE),IFERROR(INT(MID(Metadata!E398,18,1))&lt;=5,FALSE),NOT(MID(Metadata!E398,19,1)=""),IFERROR(INT(MID(Metadata!E398,18,2))&gt;=0,FALSE),IFERROR(INT(MID(Metadata!E398,18,2))&lt;=59,FALSE)), LEN(Metadata!E398)&lt;=19)))))))))))))</f>
        <v>0</v>
      </c>
      <c r="AS398" t="b">
        <f>IF(Metadata!F398="",FALSE,TRUE)</f>
        <v>0</v>
      </c>
      <c r="AT398" t="b">
        <f>OR(AND(IF(Metadata!G398="",FALSE,TRUE),OR(EXACT(Metadata!G398,"not collected"),EXACT(Metadata!G398,"not provided"))),AND(IF(Metadata!G398="",FALSE,TRUE),OR(EXACT(Metadata!G398,"TRUE"),EXACT(Metadata!G398,"FALSE"))))</f>
        <v>0</v>
      </c>
      <c r="AU398" t="b">
        <f>OR(AND(IF(Metadata!H398="",FALSE,TRUE),OR(EXACT(Metadata!H398,"not collected"),EXACT(Metadata!H398,"not provided"),EXACT(Metadata!H398,"restricted access"))),AND(IF(Metadata!H398="",FALSE,ISNUMBER(VALUE(Metadata!H398))),Metadata!H398&gt;=-413))</f>
        <v>0</v>
      </c>
      <c r="AV398" t="b">
        <f>AND(IF(Metadata!I398="",FALSE,TRUE),EXACT(Metadata!I398,"meters"))</f>
        <v>0</v>
      </c>
      <c r="AW398" t="b">
        <f>AND(IF(Metadata!J398="",FALSE,TRUE),EXACT(Metadata!J398,"free-living"))</f>
        <v>0</v>
      </c>
      <c r="AX398" t="b">
        <f>AND(IF(Metadata!K398="",FALSE,TRUE),OR(EXACT(Metadata!K398,"saline"),EXACT(Metadata!K398,"non-saline")))</f>
        <v>0</v>
      </c>
      <c r="AY398" t="b">
        <f>AND(IF(Metadata!L398="",FALSE,TRUE),OR(EXACT(Metadata!L398,"sub-surface (non-saline)"),EXACT(Metadata!L398,"surface (non-saline)"),EXACT(Metadata!L398,"water (non-saline)"),EXACT(Metadata!L398,"soil (non-saline)"),EXACT(Metadata!L398,"aerosol (non-saline)"),EXACT(Metadata!L398,"sediment (non-saline)"),EXACT(Metadata!L398,"surface (saline)"),EXACT(Metadata!L398,"water (saline)"),EXACT(Metadata!L398,"hypersaline (saline)"),EXACT(Metadata!L398,"aerosol (saline)"),EXACT(Metadata!L398,"sediment (saline)")))</f>
        <v>0</v>
      </c>
      <c r="AZ398" t="b">
        <f>IF(Metadata!M398="",FALSE,TRUE)</f>
        <v>0</v>
      </c>
      <c r="BA398" t="b">
        <f>IF(Metadata!N398="",FALSE,TRUE)</f>
        <v>0</v>
      </c>
      <c r="BB398" t="b">
        <f>IF(Metadata!O398="",FALSE,TRUE)</f>
        <v>0</v>
      </c>
      <c r="BC398" t="b">
        <f>AND(IF(Metadata!P398="",FALSE,TRUE),OR(EXACT(Metadata!P398,"air"),EXACT(Metadata!P398,"microbial mat/biofilm"),EXACT(Metadata!P398,"misc environment"),EXACT(Metadata!P398,"sediment"),EXACT(Metadata!P398,"soil"),EXACT(Metadata!P398,"wastewater/sludge"),EXACT(Metadata!P398,"water")))</f>
        <v>0</v>
      </c>
      <c r="BD398" t="b">
        <f>IF(Metadata!Q398="",FALSE,TRUE)</f>
        <v>0</v>
      </c>
      <c r="BE398" t="b">
        <f>IF(Metadata!R398="",FALSE,TRUE)</f>
        <v>0</v>
      </c>
      <c r="BF398" t="b">
        <f>OR(AND(IF(Metadata!S398="",FALSE,TRUE),OR(EXACT(Metadata!S398,"not collected"),EXACT(Metadata!S398,"not provided"),EXACT(Metadata!S398,"restricted access"))),AND(IF(Metadata!S398="",FALSE,ISNUMBER(VALUE(Metadata!S398))),Metadata!S398&gt;=-90,Metadata!S398&lt;=90))</f>
        <v>0</v>
      </c>
      <c r="BG398" t="b">
        <f>AND(IF(Metadata!T398="",FALSE,TRUE),EXACT(Metadata!T398,"Decimal degrees"))</f>
        <v>0</v>
      </c>
      <c r="BH398" t="b">
        <f>OR(AND(IF(Metadata!U398="",FALSE,TRUE),OR(EXACT(Metadata!U398,"not applicable"),EXACT(Metadata!U398,"not collected"))),IF(Metadata!U398="",FALSE,TRUE))</f>
        <v>0</v>
      </c>
      <c r="BI398" t="b">
        <f>OR(AND(IF(Metadata!V398="",FALSE,TRUE),OR(EXACT(Metadata!V398,"not collected"),EXACT(Metadata!V398,"not provided"),EXACT(Metadata!V398,"restricted access"))),AND(IF(Metadata!V398="",FALSE,ISNUMBER(VALUE(Metadata!V398))),Metadata!V398&gt;=-180,Metadata!V398&lt;=180))</f>
        <v>0</v>
      </c>
      <c r="BJ398" t="b">
        <f>AND(IF(Metadata!W398="",FALSE,TRUE),EXACT(Metadata!W398,"Decimal degrees"))</f>
        <v>0</v>
      </c>
      <c r="BK398" t="b">
        <f>IF(Metadata!X398="",FALSE,TRUE)</f>
        <v>0</v>
      </c>
      <c r="BL398" t="b">
        <f>OR(AND(IF(Metadata!Y398="",FALSE,TRUE),OR(EXACT(Metadata!Y398,"not collected"),EXACT(Metadata!Y398,"not provided"),EXACT(Metadata!Y398,"restricted access"))),AND(IF(Metadata!Y398="",FALSE,TRUE),OR(EXACT(Metadata!Y398,"TRUE"),EXACT(Metadata!Y398,"FALSE"))))</f>
        <v>0</v>
      </c>
      <c r="BM398" t="b">
        <f>OR(AND(IF(Metadata!Z398="",FALSE,TRUE),EXACT(Metadata!Z398,"not applicable")),AND(IF(Metadata!Z398="",FALSE,TRUE),OR(EXACT(Metadata!Z398,"beer"),EXACT(Metadata!Z398,"cheese"),EXACT(Metadata!Z398,"fresh water"),EXACT(Metadata!Z398,"marine sediment"),EXACT(Metadata!Z398,"sea water"),EXACT(Metadata!Z398,"sediment"),EXACT(Metadata!Z398,"soil"),EXACT(Metadata!Z398,"waste water"))))</f>
        <v>0</v>
      </c>
      <c r="BN398" t="b">
        <f>AND(IF(Metadata!AA398="",FALSE,TRUE),EXACT(Metadata!AA398,"metagenome"))</f>
        <v>0</v>
      </c>
      <c r="BO398" t="b">
        <f>AND(IF(Metadata!AB398="",FALSE,TRUE),EXACT(Metadata!AB398,"256318"))</f>
        <v>0</v>
      </c>
      <c r="BP398" t="b">
        <f>IF(Metadata!AC398="",FALSE,TRUE)</f>
        <v>0</v>
      </c>
      <c r="BQ398" t="b">
        <f>IF(Metadata!AD398="",FALSE,TRUE)</f>
        <v>0</v>
      </c>
    </row>
    <row r="399" spans="1:69" x14ac:dyDescent="0.2">
      <c r="A399" s="4" t="e">
        <f ca="1">IF(B399=" "," ",HYPERLINK(CONCATENATE("#metadata!",ADDRESS(INDEX($AJ$2:$AJ$1001,MATCH(ROWS($AH$2:AH399),$AH$2:$AH$1001,0),0),2)),INDEX($AM$2:$AM$1001,MATCH(ROWS($AH$2:AH399),$AH$2:$AH$1001,0),0)))</f>
        <v>#N/A</v>
      </c>
      <c r="B399" s="5" t="e">
        <f ca="1">IF(OR(INDEX($AI$2:$AI$1001,MATCH(ROWS($AH$2:AH399),$AH$2:$AH$1001,0),1)&gt;=100000,INDEX($AO$1005:$BQ$1005,1,MATCH(COLUMNS($AO$1006:AO1006),$AO$1006:$BQ$1006,0))&gt;=100000), " ",IF(INDEX($AO$2:$BQ$1001,MATCH(ROWS($AH$2:AH399),$AH$2:$AH$1001,0),MATCH(COLUMNS($AO$1006:AO1006),$AO$1006:$BQ$1006,0)), HYPERLINK("#",""), HYPERLINK(CONCATENATE("#Metadata!", ADDRESS(INDEX($AJ$2:$AJ$1001,MATCH(ROWS($AH$2:AH399),$AH$2:$AH$1001,0),0), INDEX($AO$1004:$BQ$1004,1,MATCH(COLUMNS($AO$1006:AO1006),$AO$1006:$BQ$1006,0)))),"Fix")))</f>
        <v>#N/A</v>
      </c>
      <c r="C399" s="5" t="e">
        <f ca="1">IF(OR(INDEX($AI$2:$AI$1001,MATCH(ROWS($AH$2:AH399),$AH$2:$AH$1001,0),1)&gt;=100000,INDEX($AO$1005:$BQ$1005,1,MATCH(COLUMNS($AO$1006:AP1006),$AO$1006:$BQ$1006,0))&gt;=100000), " ",IF(INDEX($AO$2:$BQ$1001,MATCH(ROWS($AH$2:AH399),$AH$2:$AH$1001,0),MATCH(COLUMNS($AO$1006:AP1006),$AO$1006:$BQ$1006,0)), HYPERLINK("#",""), HYPERLINK(CONCATENATE("#Metadata!", ADDRESS(INDEX($AJ$2:$AJ$1001,MATCH(ROWS($AH$2:AH399),$AH$2:$AH$1001,0),0), INDEX($AO$1004:$BQ$1004,1,MATCH(COLUMNS($AO$1006:AP1006),$AO$1006:$BQ$1006,0)))),"Fix")))</f>
        <v>#N/A</v>
      </c>
      <c r="D399" s="5" t="e">
        <f ca="1">IF(OR(INDEX($AI$2:$AI$1001,MATCH(ROWS($AH$2:AH399),$AH$2:$AH$1001,0),1)&gt;=100000,INDEX($AO$1005:$BQ$1005,1,MATCH(COLUMNS($AO$1006:AQ1006),$AO$1006:$BQ$1006,0))&gt;=100000), " ",IF(INDEX($AO$2:$BQ$1001,MATCH(ROWS($AH$2:AH399),$AH$2:$AH$1001,0),MATCH(COLUMNS($AO$1006:AQ1006),$AO$1006:$BQ$1006,0)), HYPERLINK("#",""), HYPERLINK(CONCATENATE("#Metadata!", ADDRESS(INDEX($AJ$2:$AJ$1001,MATCH(ROWS($AH$2:AH399),$AH$2:$AH$1001,0),0), INDEX($AO$1004:$BQ$1004,1,MATCH(COLUMNS($AO$1006:AQ1006),$AO$1006:$BQ$1006,0)))),"Fix")))</f>
        <v>#N/A</v>
      </c>
      <c r="E399" s="5" t="e">
        <f ca="1">IF(OR(INDEX($AI$2:$AI$1001,MATCH(ROWS($AH$2:AH399),$AH$2:$AH$1001,0),1)&gt;=100000,INDEX($AO$1005:$BQ$1005,1,MATCH(COLUMNS($AO$1006:AR1006),$AO$1006:$BQ$1006,0))&gt;=100000), " ",IF(INDEX($AO$2:$BQ$1001,MATCH(ROWS($AH$2:AH399),$AH$2:$AH$1001,0),MATCH(COLUMNS($AO$1006:AR1006),$AO$1006:$BQ$1006,0)), HYPERLINK("#",""), HYPERLINK(CONCATENATE("#Metadata!", ADDRESS(INDEX($AJ$2:$AJ$1001,MATCH(ROWS($AH$2:AH399),$AH$2:$AH$1001,0),0), INDEX($AO$1004:$BQ$1004,1,MATCH(COLUMNS($AO$1006:AR1006),$AO$1006:$BQ$1006,0)))),"Fix")))</f>
        <v>#N/A</v>
      </c>
      <c r="F399" s="5" t="e">
        <f ca="1">IF(OR(INDEX($AI$2:$AI$1001,MATCH(ROWS($AH$2:AH399),$AH$2:$AH$1001,0),1)&gt;=100000,INDEX($AO$1005:$BQ$1005,1,MATCH(COLUMNS($AO$1006:AS1006),$AO$1006:$BQ$1006,0))&gt;=100000), " ",IF(INDEX($AO$2:$BQ$1001,MATCH(ROWS($AH$2:AH399),$AH$2:$AH$1001,0),MATCH(COLUMNS($AO$1006:AS1006),$AO$1006:$BQ$1006,0)), HYPERLINK("#",""), HYPERLINK(CONCATENATE("#Metadata!", ADDRESS(INDEX($AJ$2:$AJ$1001,MATCH(ROWS($AH$2:AH399),$AH$2:$AH$1001,0),0), INDEX($AO$1004:$BQ$1004,1,MATCH(COLUMNS($AO$1006:AS1006),$AO$1006:$BQ$1006,0)))),"Fix")))</f>
        <v>#N/A</v>
      </c>
      <c r="G399" s="5" t="e">
        <f ca="1">IF(OR(INDEX($AI$2:$AI$1001,MATCH(ROWS($AH$2:AH399),$AH$2:$AH$1001,0),1)&gt;=100000,INDEX($AO$1005:$BQ$1005,1,MATCH(COLUMNS($AO$1006:AT1006),$AO$1006:$BQ$1006,0))&gt;=100000), " ",IF(INDEX($AO$2:$BQ$1001,MATCH(ROWS($AH$2:AH399),$AH$2:$AH$1001,0),MATCH(COLUMNS($AO$1006:AT1006),$AO$1006:$BQ$1006,0)), HYPERLINK("#",""), HYPERLINK(CONCATENATE("#Metadata!", ADDRESS(INDEX($AJ$2:$AJ$1001,MATCH(ROWS($AH$2:AH399),$AH$2:$AH$1001,0),0), INDEX($AO$1004:$BQ$1004,1,MATCH(COLUMNS($AO$1006:AT1006),$AO$1006:$BQ$1006,0)))),"Fix")))</f>
        <v>#N/A</v>
      </c>
      <c r="H399" s="5" t="e">
        <f ca="1">IF(OR(INDEX($AI$2:$AI$1001,MATCH(ROWS($AH$2:AH399),$AH$2:$AH$1001,0),1)&gt;=100000,INDEX($AO$1005:$BQ$1005,1,MATCH(COLUMNS($AO$1006:AU1006),$AO$1006:$BQ$1006,0))&gt;=100000), " ",IF(INDEX($AO$2:$BQ$1001,MATCH(ROWS($AH$2:AH399),$AH$2:$AH$1001,0),MATCH(COLUMNS($AO$1006:AU1006),$AO$1006:$BQ$1006,0)), HYPERLINK("#",""), HYPERLINK(CONCATENATE("#Metadata!", ADDRESS(INDEX($AJ$2:$AJ$1001,MATCH(ROWS($AH$2:AH399),$AH$2:$AH$1001,0),0), INDEX($AO$1004:$BQ$1004,1,MATCH(COLUMNS($AO$1006:AU1006),$AO$1006:$BQ$1006,0)))),"Fix")))</f>
        <v>#N/A</v>
      </c>
      <c r="I399" s="5" t="e">
        <f ca="1">IF(OR(INDEX($AI$2:$AI$1001,MATCH(ROWS($AH$2:AH399),$AH$2:$AH$1001,0),1)&gt;=100000,INDEX($AO$1005:$BQ$1005,1,MATCH(COLUMNS($AO$1006:AV1006),$AO$1006:$BQ$1006,0))&gt;=100000), " ",IF(INDEX($AO$2:$BQ$1001,MATCH(ROWS($AH$2:AH399),$AH$2:$AH$1001,0),MATCH(COLUMNS($AO$1006:AV1006),$AO$1006:$BQ$1006,0)), HYPERLINK("#",""), HYPERLINK(CONCATENATE("#Metadata!", ADDRESS(INDEX($AJ$2:$AJ$1001,MATCH(ROWS($AH$2:AH399),$AH$2:$AH$1001,0),0), INDEX($AO$1004:$BQ$1004,1,MATCH(COLUMNS($AO$1006:AV1006),$AO$1006:$BQ$1006,0)))),"Fix")))</f>
        <v>#N/A</v>
      </c>
      <c r="J399" s="5" t="e">
        <f ca="1">IF(OR(INDEX($AI$2:$AI$1001,MATCH(ROWS($AH$2:AH399),$AH$2:$AH$1001,0),1)&gt;=100000,INDEX($AO$1005:$BQ$1005,1,MATCH(COLUMNS($AO$1006:AW1006),$AO$1006:$BQ$1006,0))&gt;=100000), " ",IF(INDEX($AO$2:$BQ$1001,MATCH(ROWS($AH$2:AH399),$AH$2:$AH$1001,0),MATCH(COLUMNS($AO$1006:AW1006),$AO$1006:$BQ$1006,0)), HYPERLINK("#",""), HYPERLINK(CONCATENATE("#Metadata!", ADDRESS(INDEX($AJ$2:$AJ$1001,MATCH(ROWS($AH$2:AH399),$AH$2:$AH$1001,0),0), INDEX($AO$1004:$BQ$1004,1,MATCH(COLUMNS($AO$1006:AW1006),$AO$1006:$BQ$1006,0)))),"Fix")))</f>
        <v>#N/A</v>
      </c>
      <c r="K399" s="5" t="e">
        <f ca="1">IF(OR(INDEX($AI$2:$AI$1001,MATCH(ROWS($AH$2:AH399),$AH$2:$AH$1001,0),1)&gt;=100000,INDEX($AO$1005:$BQ$1005,1,MATCH(COLUMNS($AO$1006:AX1006),$AO$1006:$BQ$1006,0))&gt;=100000), " ",IF(INDEX($AO$2:$BQ$1001,MATCH(ROWS($AH$2:AH399),$AH$2:$AH$1001,0),MATCH(COLUMNS($AO$1006:AX1006),$AO$1006:$BQ$1006,0)), HYPERLINK("#",""), HYPERLINK(CONCATENATE("#Metadata!", ADDRESS(INDEX($AJ$2:$AJ$1001,MATCH(ROWS($AH$2:AH399),$AH$2:$AH$1001,0),0), INDEX($AO$1004:$BQ$1004,1,MATCH(COLUMNS($AO$1006:AX1006),$AO$1006:$BQ$1006,0)))),"Fix")))</f>
        <v>#N/A</v>
      </c>
      <c r="L399" s="5" t="e">
        <f ca="1">IF(OR(INDEX($AI$2:$AI$1001,MATCH(ROWS($AH$2:AH399),$AH$2:$AH$1001,0),1)&gt;=100000,INDEX($AO$1005:$BQ$1005,1,MATCH(COLUMNS($AO$1006:AY1006),$AO$1006:$BQ$1006,0))&gt;=100000), " ",IF(INDEX($AO$2:$BQ$1001,MATCH(ROWS($AH$2:AH399),$AH$2:$AH$1001,0),MATCH(COLUMNS($AO$1006:AY1006),$AO$1006:$BQ$1006,0)), HYPERLINK("#",""), HYPERLINK(CONCATENATE("#Metadata!", ADDRESS(INDEX($AJ$2:$AJ$1001,MATCH(ROWS($AH$2:AH399),$AH$2:$AH$1001,0),0), INDEX($AO$1004:$BQ$1004,1,MATCH(COLUMNS($AO$1006:AY1006),$AO$1006:$BQ$1006,0)))),"Fix")))</f>
        <v>#N/A</v>
      </c>
      <c r="M399" s="5" t="e">
        <f ca="1">IF(OR(INDEX($AI$2:$AI$1001,MATCH(ROWS($AH$2:AH399),$AH$2:$AH$1001,0),1)&gt;=100000,INDEX($AO$1005:$BQ$1005,1,MATCH(COLUMNS($AO$1006:AZ1006),$AO$1006:$BQ$1006,0))&gt;=100000), " ",IF(INDEX($AO$2:$BQ$1001,MATCH(ROWS($AH$2:AH399),$AH$2:$AH$1001,0),MATCH(COLUMNS($AO$1006:AZ1006),$AO$1006:$BQ$1006,0)), HYPERLINK("#",""), HYPERLINK(CONCATENATE("#Metadata!", ADDRESS(INDEX($AJ$2:$AJ$1001,MATCH(ROWS($AH$2:AH399),$AH$2:$AH$1001,0),0), INDEX($AO$1004:$BQ$1004,1,MATCH(COLUMNS($AO$1006:AZ1006),$AO$1006:$BQ$1006,0)))),"Fix")))</f>
        <v>#N/A</v>
      </c>
      <c r="N399" s="5" t="e">
        <f ca="1">IF(OR(INDEX($AI$2:$AI$1001,MATCH(ROWS($AH$2:AH399),$AH$2:$AH$1001,0),1)&gt;=100000,INDEX($AO$1005:$BQ$1005,1,MATCH(COLUMNS($AO$1006:BA1006),$AO$1006:$BQ$1006,0))&gt;=100000), " ",IF(INDEX($AO$2:$BQ$1001,MATCH(ROWS($AH$2:AH399),$AH$2:$AH$1001,0),MATCH(COLUMNS($AO$1006:BA1006),$AO$1006:$BQ$1006,0)), HYPERLINK("#",""), HYPERLINK(CONCATENATE("#Metadata!", ADDRESS(INDEX($AJ$2:$AJ$1001,MATCH(ROWS($AH$2:AH399),$AH$2:$AH$1001,0),0), INDEX($AO$1004:$BQ$1004,1,MATCH(COLUMNS($AO$1006:BA1006),$AO$1006:$BQ$1006,0)))),"Fix")))</f>
        <v>#N/A</v>
      </c>
      <c r="O399" s="5" t="e">
        <f ca="1">IF(OR(INDEX($AI$2:$AI$1001,MATCH(ROWS($AH$2:AH399),$AH$2:$AH$1001,0),1)&gt;=100000,INDEX($AO$1005:$BQ$1005,1,MATCH(COLUMNS($AO$1006:BB1006),$AO$1006:$BQ$1006,0))&gt;=100000), " ",IF(INDEX($AO$2:$BQ$1001,MATCH(ROWS($AH$2:AH399),$AH$2:$AH$1001,0),MATCH(COLUMNS($AO$1006:BB1006),$AO$1006:$BQ$1006,0)), HYPERLINK("#",""), HYPERLINK(CONCATENATE("#Metadata!", ADDRESS(INDEX($AJ$2:$AJ$1001,MATCH(ROWS($AH$2:AH399),$AH$2:$AH$1001,0),0), INDEX($AO$1004:$BQ$1004,1,MATCH(COLUMNS($AO$1006:BB1006),$AO$1006:$BQ$1006,0)))),"Fix")))</f>
        <v>#N/A</v>
      </c>
      <c r="P399" s="5" t="e">
        <f ca="1">IF(OR(INDEX($AI$2:$AI$1001,MATCH(ROWS($AH$2:AH399),$AH$2:$AH$1001,0),1)&gt;=100000,INDEX($AO$1005:$BQ$1005,1,MATCH(COLUMNS($AO$1006:BC1006),$AO$1006:$BQ$1006,0))&gt;=100000), " ",IF(INDEX($AO$2:$BQ$1001,MATCH(ROWS($AH$2:AH399),$AH$2:$AH$1001,0),MATCH(COLUMNS($AO$1006:BC1006),$AO$1006:$BQ$1006,0)), HYPERLINK("#",""), HYPERLINK(CONCATENATE("#Metadata!", ADDRESS(INDEX($AJ$2:$AJ$1001,MATCH(ROWS($AH$2:AH399),$AH$2:$AH$1001,0),0), INDEX($AO$1004:$BQ$1004,1,MATCH(COLUMNS($AO$1006:BC1006),$AO$1006:$BQ$1006,0)))),"Fix")))</f>
        <v>#N/A</v>
      </c>
      <c r="Q399" s="5" t="e">
        <f ca="1">IF(OR(INDEX($AI$2:$AI$1001,MATCH(ROWS($AH$2:AH399),$AH$2:$AH$1001,0),1)&gt;=100000,INDEX($AO$1005:$BQ$1005,1,MATCH(COLUMNS($AO$1006:BD1006),$AO$1006:$BQ$1006,0))&gt;=100000), " ",IF(INDEX($AO$2:$BQ$1001,MATCH(ROWS($AH$2:AH399),$AH$2:$AH$1001,0),MATCH(COLUMNS($AO$1006:BD1006),$AO$1006:$BQ$1006,0)), HYPERLINK("#",""), HYPERLINK(CONCATENATE("#Metadata!", ADDRESS(INDEX($AJ$2:$AJ$1001,MATCH(ROWS($AH$2:AH399),$AH$2:$AH$1001,0),0), INDEX($AO$1004:$BQ$1004,1,MATCH(COLUMNS($AO$1006:BD1006),$AO$1006:$BQ$1006,0)))),"Fix")))</f>
        <v>#N/A</v>
      </c>
      <c r="R399" s="5" t="e">
        <f ca="1">IF(OR(INDEX($AI$2:$AI$1001,MATCH(ROWS($AH$2:AH399),$AH$2:$AH$1001,0),1)&gt;=100000,INDEX($AO$1005:$BQ$1005,1,MATCH(COLUMNS($AO$1006:BE1006),$AO$1006:$BQ$1006,0))&gt;=100000), " ",IF(INDEX($AO$2:$BQ$1001,MATCH(ROWS($AH$2:AH399),$AH$2:$AH$1001,0),MATCH(COLUMNS($AO$1006:BE1006),$AO$1006:$BQ$1006,0)), HYPERLINK("#",""), HYPERLINK(CONCATENATE("#Metadata!", ADDRESS(INDEX($AJ$2:$AJ$1001,MATCH(ROWS($AH$2:AH399),$AH$2:$AH$1001,0),0), INDEX($AO$1004:$BQ$1004,1,MATCH(COLUMNS($AO$1006:BE1006),$AO$1006:$BQ$1006,0)))),"Fix")))</f>
        <v>#N/A</v>
      </c>
      <c r="S399" s="5" t="e">
        <f ca="1">IF(OR(INDEX($AI$2:$AI$1001,MATCH(ROWS($AH$2:AH399),$AH$2:$AH$1001,0),1)&gt;=100000,INDEX($AO$1005:$BQ$1005,1,MATCH(COLUMNS($AO$1006:BF1006),$AO$1006:$BQ$1006,0))&gt;=100000), " ",IF(INDEX($AO$2:$BQ$1001,MATCH(ROWS($AH$2:AH399),$AH$2:$AH$1001,0),MATCH(COLUMNS($AO$1006:BF1006),$AO$1006:$BQ$1006,0)), HYPERLINK("#",""), HYPERLINK(CONCATENATE("#Metadata!", ADDRESS(INDEX($AJ$2:$AJ$1001,MATCH(ROWS($AH$2:AH399),$AH$2:$AH$1001,0),0), INDEX($AO$1004:$BQ$1004,1,MATCH(COLUMNS($AO$1006:BF1006),$AO$1006:$BQ$1006,0)))),"Fix")))</f>
        <v>#N/A</v>
      </c>
      <c r="T399" s="5" t="e">
        <f ca="1">IF(OR(INDEX($AI$2:$AI$1001,MATCH(ROWS($AH$2:AH399),$AH$2:$AH$1001,0),1)&gt;=100000,INDEX($AO$1005:$BQ$1005,1,MATCH(COLUMNS($AO$1006:BG1006),$AO$1006:$BQ$1006,0))&gt;=100000), " ",IF(INDEX($AO$2:$BQ$1001,MATCH(ROWS($AH$2:AH399),$AH$2:$AH$1001,0),MATCH(COLUMNS($AO$1006:BG1006),$AO$1006:$BQ$1006,0)), HYPERLINK("#",""), HYPERLINK(CONCATENATE("#Metadata!", ADDRESS(INDEX($AJ$2:$AJ$1001,MATCH(ROWS($AH$2:AH399),$AH$2:$AH$1001,0),0), INDEX($AO$1004:$BQ$1004,1,MATCH(COLUMNS($AO$1006:BG1006),$AO$1006:$BQ$1006,0)))),"Fix")))</f>
        <v>#N/A</v>
      </c>
      <c r="U399" s="5" t="e">
        <f ca="1">IF(OR(INDEX($AI$2:$AI$1001,MATCH(ROWS($AH$2:AH399),$AH$2:$AH$1001,0),1)&gt;=100000,INDEX($AO$1005:$BQ$1005,1,MATCH(COLUMNS($AO$1006:BH1006),$AO$1006:$BQ$1006,0))&gt;=100000), " ",IF(INDEX($AO$2:$BQ$1001,MATCH(ROWS($AH$2:AH399),$AH$2:$AH$1001,0),MATCH(COLUMNS($AO$1006:BH1006),$AO$1006:$BQ$1006,0)), HYPERLINK("#",""), HYPERLINK(CONCATENATE("#Metadata!", ADDRESS(INDEX($AJ$2:$AJ$1001,MATCH(ROWS($AH$2:AH399),$AH$2:$AH$1001,0),0), INDEX($AO$1004:$BQ$1004,1,MATCH(COLUMNS($AO$1006:BH1006),$AO$1006:$BQ$1006,0)))),"Fix")))</f>
        <v>#N/A</v>
      </c>
      <c r="V399" s="5" t="e">
        <f ca="1">IF(OR(INDEX($AI$2:$AI$1001,MATCH(ROWS($AH$2:AH399),$AH$2:$AH$1001,0),1)&gt;=100000,INDEX($AO$1005:$BQ$1005,1,MATCH(COLUMNS($AO$1006:BI1006),$AO$1006:$BQ$1006,0))&gt;=100000), " ",IF(INDEX($AO$2:$BQ$1001,MATCH(ROWS($AH$2:AH399),$AH$2:$AH$1001,0),MATCH(COLUMNS($AO$1006:BI1006),$AO$1006:$BQ$1006,0)), HYPERLINK("#",""), HYPERLINK(CONCATENATE("#Metadata!", ADDRESS(INDEX($AJ$2:$AJ$1001,MATCH(ROWS($AH$2:AH399),$AH$2:$AH$1001,0),0), INDEX($AO$1004:$BQ$1004,1,MATCH(COLUMNS($AO$1006:BI1006),$AO$1006:$BQ$1006,0)))),"Fix")))</f>
        <v>#N/A</v>
      </c>
      <c r="W399" s="5" t="e">
        <f ca="1">IF(OR(INDEX($AI$2:$AI$1001,MATCH(ROWS($AH$2:AH399),$AH$2:$AH$1001,0),1)&gt;=100000,INDEX($AO$1005:$BQ$1005,1,MATCH(COLUMNS($AO$1006:BJ1006),$AO$1006:$BQ$1006,0))&gt;=100000), " ",IF(INDEX($AO$2:$BQ$1001,MATCH(ROWS($AH$2:AH399),$AH$2:$AH$1001,0),MATCH(COLUMNS($AO$1006:BJ1006),$AO$1006:$BQ$1006,0)), HYPERLINK("#",""), HYPERLINK(CONCATENATE("#Metadata!", ADDRESS(INDEX($AJ$2:$AJ$1001,MATCH(ROWS($AH$2:AH399),$AH$2:$AH$1001,0),0), INDEX($AO$1004:$BQ$1004,1,MATCH(COLUMNS($AO$1006:BJ1006),$AO$1006:$BQ$1006,0)))),"Fix")))</f>
        <v>#N/A</v>
      </c>
      <c r="X399" s="5" t="e">
        <f ca="1">IF(OR(INDEX($AI$2:$AI$1001,MATCH(ROWS($AH$2:AH399),$AH$2:$AH$1001,0),1)&gt;=100000,INDEX($AO$1005:$BQ$1005,1,MATCH(COLUMNS($AO$1006:BK1006),$AO$1006:$BQ$1006,0))&gt;=100000), " ",IF(INDEX($AO$2:$BQ$1001,MATCH(ROWS($AH$2:AH399),$AH$2:$AH$1001,0),MATCH(COLUMNS($AO$1006:BK1006),$AO$1006:$BQ$1006,0)), HYPERLINK("#",""), HYPERLINK(CONCATENATE("#Metadata!", ADDRESS(INDEX($AJ$2:$AJ$1001,MATCH(ROWS($AH$2:AH399),$AH$2:$AH$1001,0),0), INDEX($AO$1004:$BQ$1004,1,MATCH(COLUMNS($AO$1006:BK1006),$AO$1006:$BQ$1006,0)))),"Fix")))</f>
        <v>#N/A</v>
      </c>
      <c r="Y399" s="5" t="e">
        <f ca="1">IF(OR(INDEX($AI$2:$AI$1001,MATCH(ROWS($AH$2:AH399),$AH$2:$AH$1001,0),1)&gt;=100000,INDEX($AO$1005:$BQ$1005,1,MATCH(COLUMNS($AO$1006:BL1006),$AO$1006:$BQ$1006,0))&gt;=100000), " ",IF(INDEX($AO$2:$BQ$1001,MATCH(ROWS($AH$2:AH399),$AH$2:$AH$1001,0),MATCH(COLUMNS($AO$1006:BL1006),$AO$1006:$BQ$1006,0)), HYPERLINK("#",""), HYPERLINK(CONCATENATE("#Metadata!", ADDRESS(INDEX($AJ$2:$AJ$1001,MATCH(ROWS($AH$2:AH399),$AH$2:$AH$1001,0),0), INDEX($AO$1004:$BQ$1004,1,MATCH(COLUMNS($AO$1006:BL1006),$AO$1006:$BQ$1006,0)))),"Fix")))</f>
        <v>#N/A</v>
      </c>
      <c r="Z399" s="5" t="e">
        <f ca="1">IF(OR(INDEX($AI$2:$AI$1001,MATCH(ROWS($AH$2:AH399),$AH$2:$AH$1001,0),1)&gt;=100000,INDEX($AO$1005:$BQ$1005,1,MATCH(COLUMNS($AO$1006:BM1006),$AO$1006:$BQ$1006,0))&gt;=100000), " ",IF(INDEX($AO$2:$BQ$1001,MATCH(ROWS($AH$2:AH399),$AH$2:$AH$1001,0),MATCH(COLUMNS($AO$1006:BM1006),$AO$1006:$BQ$1006,0)), HYPERLINK("#",""), HYPERLINK(CONCATENATE("#Metadata!", ADDRESS(INDEX($AJ$2:$AJ$1001,MATCH(ROWS($AH$2:AH399),$AH$2:$AH$1001,0),0), INDEX($AO$1004:$BQ$1004,1,MATCH(COLUMNS($AO$1006:BM1006),$AO$1006:$BQ$1006,0)))),"Fix")))</f>
        <v>#N/A</v>
      </c>
      <c r="AA399" s="5" t="e">
        <f ca="1">IF(OR(INDEX($AI$2:$AI$1001,MATCH(ROWS($AH$2:AH399),$AH$2:$AH$1001,0),1)&gt;=100000,INDEX($AO$1005:$BQ$1005,1,MATCH(COLUMNS($AO$1006:BN1006),$AO$1006:$BQ$1006,0))&gt;=100000), " ",IF(INDEX($AO$2:$BQ$1001,MATCH(ROWS($AH$2:AH399),$AH$2:$AH$1001,0),MATCH(COLUMNS($AO$1006:BN1006),$AO$1006:$BQ$1006,0)), HYPERLINK("#",""), HYPERLINK(CONCATENATE("#Metadata!", ADDRESS(INDEX($AJ$2:$AJ$1001,MATCH(ROWS($AH$2:AH399),$AH$2:$AH$1001,0),0), INDEX($AO$1004:$BQ$1004,1,MATCH(COLUMNS($AO$1006:BN1006),$AO$1006:$BQ$1006,0)))),"Fix")))</f>
        <v>#N/A</v>
      </c>
      <c r="AB399" s="5" t="e">
        <f ca="1">IF(OR(INDEX($AI$2:$AI$1001,MATCH(ROWS($AH$2:AH399),$AH$2:$AH$1001,0),1)&gt;=100000,INDEX($AO$1005:$BQ$1005,1,MATCH(COLUMNS($AO$1006:BO1006),$AO$1006:$BQ$1006,0))&gt;=100000), " ",IF(INDEX($AO$2:$BQ$1001,MATCH(ROWS($AH$2:AH399),$AH$2:$AH$1001,0),MATCH(COLUMNS($AO$1006:BO1006),$AO$1006:$BQ$1006,0)), HYPERLINK("#",""), HYPERLINK(CONCATENATE("#Metadata!", ADDRESS(INDEX($AJ$2:$AJ$1001,MATCH(ROWS($AH$2:AH399),$AH$2:$AH$1001,0),0), INDEX($AO$1004:$BQ$1004,1,MATCH(COLUMNS($AO$1006:BO1006),$AO$1006:$BQ$1006,0)))),"Fix")))</f>
        <v>#N/A</v>
      </c>
      <c r="AC399" s="5" t="e">
        <f ca="1">IF(OR(INDEX($AI$2:$AI$1001,MATCH(ROWS($AH$2:AH399),$AH$2:$AH$1001,0),1)&gt;=100000,INDEX($AO$1005:$BQ$1005,1,MATCH(COLUMNS($AO$1006:BP1006),$AO$1006:$BQ$1006,0))&gt;=100000), " ",IF(INDEX($AO$2:$BQ$1001,MATCH(ROWS($AH$2:AH399),$AH$2:$AH$1001,0),MATCH(COLUMNS($AO$1006:BP1006),$AO$1006:$BQ$1006,0)), HYPERLINK("#",""), HYPERLINK(CONCATENATE("#Metadata!", ADDRESS(INDEX($AJ$2:$AJ$1001,MATCH(ROWS($AH$2:AH399),$AH$2:$AH$1001,0),0), INDEX($AO$1004:$BQ$1004,1,MATCH(COLUMNS($AO$1006:BP1006),$AO$1006:$BQ$1006,0)))),"Fix")))</f>
        <v>#N/A</v>
      </c>
      <c r="AD399" s="5" t="e">
        <f ca="1">IF(OR(INDEX($AI$2:$AI$1001,MATCH(ROWS($AH$2:AH399),$AH$2:$AH$1001,0),1)&gt;=100000,INDEX($AO$1005:$BQ$1005,1,MATCH(COLUMNS($AO$1006:BQ1006),$AO$1006:$BQ$1006,0))&gt;=100000), " ",IF(INDEX($AO$2:$BQ$1001,MATCH(ROWS($AH$2:AH399),$AH$2:$AH$1001,0),MATCH(COLUMNS($AO$1006:BQ1006),$AO$1006:$BQ$1006,0)), HYPERLINK("#",""), HYPERLINK(CONCATENATE("#Metadata!", ADDRESS(INDEX($AJ$2:$AJ$1001,MATCH(ROWS($AH$2:AH399),$AH$2:$AH$1001,0),0), INDEX($AO$1004:$BQ$1004,1,MATCH(COLUMNS($AO$1006:BQ1006),$AO$1006:$BQ$1006,0)))),"Fix")))</f>
        <v>#REF!</v>
      </c>
      <c r="AH399">
        <f ca="1"/>
        <v>396</v>
      </c>
      <c r="AI399">
        <v>100399</v>
      </c>
      <c r="AJ399">
        <v>399</v>
      </c>
      <c r="AK399" t="b">
        <f t="shared" si="6"/>
        <v>1</v>
      </c>
      <c r="AL399" t="b">
        <f>COUNTBLANK(Metadata!B399:AD399)=COLUMNS(Metadata!B399:AD399)</f>
        <v>1</v>
      </c>
      <c r="AM399" t="str">
        <v/>
      </c>
      <c r="AO399" t="b">
        <f ca="1">AND(IF(Metadata!B399="",FALSE,TRUE),COUNTIF(Metadata!B:B, Metadata!B399) = 1,NOT(ISERROR(SUMPRODUCT(SEARCH(MID(Metadata!B399,ROW(INDIRECT("1:"&amp;LEN(Metadata!B399))), 1),"0123456789abcdefghijklmnopqrstuvwxyzABCDEFGHIJKLMNOPQRSTUVWXYZ.")))))</f>
        <v>0</v>
      </c>
      <c r="AP399" t="b">
        <f>IF(Metadata!C399="",FALSE,TRUE)</f>
        <v>0</v>
      </c>
      <c r="AQ399" t="b">
        <f>IF(Metadata!D399="",FALSE,TRUE)</f>
        <v>0</v>
      </c>
      <c r="AR399" t="b">
        <f ca="1">OR(AND(IF(Metadata!E399="",FALSE,TRUE),OR(EXACT(Metadata!E399,"not collected"),EXACT(Metadata!E399,"not provided"),EXACT(Metadata!E399,"restricted access"))),AND(IF(Metadata!E399="",FALSE,TRUE),AND(AND(IFERROR(INT(LEFT(Metadata!E399,4))&gt;1900,FALSE),IFERROR(INT(LEFT(Metadata!E399,4))&lt;=YEAR(NOW()),FALSE)), OR(MID(Metadata!E399,5,1)="", AND(AND(MID(Metadata!E399,5,1)="-",IFERROR(INT(MID(Metadata!E399,6,1))&gt;=0,FALSE),IFERROR(INT(MID(Metadata!E399,6,1))&lt;=1,FALSE),NOT(MID(Metadata!E399,7,1)=""),IFERROR(INT(MID(Metadata!E399,6,2))&gt;=1,FALSE),IFERROR(INT(MID(Metadata!E399,6,2))&lt;=12,FALSE)), OR(MID(Metadata!E399,8,1)="", AND(AND(MID(Metadata!E399,8,1)="-",IFERROR(INT(MID(Metadata!E399,9,1))&gt;=0,FALSE),IFERROR(INT(MID(Metadata!E399,9,1))&lt;=3,FALSE),NOT(MID(Metadata!E399,10,1)=""),IFERROR(INT(MID(Metadata!E399,9,2))&gt;=1,FALSE),IFERROR(INT(MID(Metadata!E399,9,2))&lt;=31,FALSE)), OR(MID(Metadata!E399,11,1)="", AND(AND(MID(Metadata!E399,11,1)=" ",IFERROR(INT(MID(Metadata!E399,12,1))&gt;=0,FALSE),IFERROR(INT(MID(Metadata!E399,12,1))&lt;=2,FALSE),NOT(MID(Metadata!E399,13,1)=""),IFERROR(INT(MID(Metadata!E399,12,2))&gt;=0,FALSE),IFERROR(INT(MID(Metadata!E399,12,2))&lt;=23,FALSE)), OR(MID(Metadata!E399,14,1)="", AND(AND(MID(Metadata!E399,14,1)=":",IFERROR(INT(MID(Metadata!E399,15,1))&gt;=0,FALSE),IFERROR(INT(MID(Metadata!E399,15,1))&lt;=5,FALSE),NOT(MID(Metadata!E399,16,1)=""),IFERROR(INT(MID(Metadata!E399,15,2))&gt;=0,FALSE),IFERROR(INT(MID(Metadata!E399,15,2))&lt;=59,FALSE)), OR(MID(Metadata!E399,17,1)="", AND(AND(MID(Metadata!E399,17,1)=":",IFERROR(INT(MID(Metadata!E399,18,1))&gt;=0,FALSE),IFERROR(INT(MID(Metadata!E399,18,1))&lt;=5,FALSE),NOT(MID(Metadata!E399,19,1)=""),IFERROR(INT(MID(Metadata!E399,18,2))&gt;=0,FALSE),IFERROR(INT(MID(Metadata!E399,18,2))&lt;=59,FALSE)), LEN(Metadata!E399)&lt;=19)))))))))))))</f>
        <v>0</v>
      </c>
      <c r="AS399" t="b">
        <f>IF(Metadata!F399="",FALSE,TRUE)</f>
        <v>0</v>
      </c>
      <c r="AT399" t="b">
        <f>OR(AND(IF(Metadata!G399="",FALSE,TRUE),OR(EXACT(Metadata!G399,"not collected"),EXACT(Metadata!G399,"not provided"))),AND(IF(Metadata!G399="",FALSE,TRUE),OR(EXACT(Metadata!G399,"TRUE"),EXACT(Metadata!G399,"FALSE"))))</f>
        <v>0</v>
      </c>
      <c r="AU399" t="b">
        <f>OR(AND(IF(Metadata!H399="",FALSE,TRUE),OR(EXACT(Metadata!H399,"not collected"),EXACT(Metadata!H399,"not provided"),EXACT(Metadata!H399,"restricted access"))),AND(IF(Metadata!H399="",FALSE,ISNUMBER(VALUE(Metadata!H399))),Metadata!H399&gt;=-413))</f>
        <v>0</v>
      </c>
      <c r="AV399" t="b">
        <f>AND(IF(Metadata!I399="",FALSE,TRUE),EXACT(Metadata!I399,"meters"))</f>
        <v>0</v>
      </c>
      <c r="AW399" t="b">
        <f>AND(IF(Metadata!J399="",FALSE,TRUE),EXACT(Metadata!J399,"free-living"))</f>
        <v>0</v>
      </c>
      <c r="AX399" t="b">
        <f>AND(IF(Metadata!K399="",FALSE,TRUE),OR(EXACT(Metadata!K399,"saline"),EXACT(Metadata!K399,"non-saline")))</f>
        <v>0</v>
      </c>
      <c r="AY399" t="b">
        <f>AND(IF(Metadata!L399="",FALSE,TRUE),OR(EXACT(Metadata!L399,"sub-surface (non-saline)"),EXACT(Metadata!L399,"surface (non-saline)"),EXACT(Metadata!L399,"water (non-saline)"),EXACT(Metadata!L399,"soil (non-saline)"),EXACT(Metadata!L399,"aerosol (non-saline)"),EXACT(Metadata!L399,"sediment (non-saline)"),EXACT(Metadata!L399,"surface (saline)"),EXACT(Metadata!L399,"water (saline)"),EXACT(Metadata!L399,"hypersaline (saline)"),EXACT(Metadata!L399,"aerosol (saline)"),EXACT(Metadata!L399,"sediment (saline)")))</f>
        <v>0</v>
      </c>
      <c r="AZ399" t="b">
        <f>IF(Metadata!M399="",FALSE,TRUE)</f>
        <v>0</v>
      </c>
      <c r="BA399" t="b">
        <f>IF(Metadata!N399="",FALSE,TRUE)</f>
        <v>0</v>
      </c>
      <c r="BB399" t="b">
        <f>IF(Metadata!O399="",FALSE,TRUE)</f>
        <v>0</v>
      </c>
      <c r="BC399" t="b">
        <f>AND(IF(Metadata!P399="",FALSE,TRUE),OR(EXACT(Metadata!P399,"air"),EXACT(Metadata!P399,"microbial mat/biofilm"),EXACT(Metadata!P399,"misc environment"),EXACT(Metadata!P399,"sediment"),EXACT(Metadata!P399,"soil"),EXACT(Metadata!P399,"wastewater/sludge"),EXACT(Metadata!P399,"water")))</f>
        <v>0</v>
      </c>
      <c r="BD399" t="b">
        <f>IF(Metadata!Q399="",FALSE,TRUE)</f>
        <v>0</v>
      </c>
      <c r="BE399" t="b">
        <f>IF(Metadata!R399="",FALSE,TRUE)</f>
        <v>0</v>
      </c>
      <c r="BF399" t="b">
        <f>OR(AND(IF(Metadata!S399="",FALSE,TRUE),OR(EXACT(Metadata!S399,"not collected"),EXACT(Metadata!S399,"not provided"),EXACT(Metadata!S399,"restricted access"))),AND(IF(Metadata!S399="",FALSE,ISNUMBER(VALUE(Metadata!S399))),Metadata!S399&gt;=-90,Metadata!S399&lt;=90))</f>
        <v>0</v>
      </c>
      <c r="BG399" t="b">
        <f>AND(IF(Metadata!T399="",FALSE,TRUE),EXACT(Metadata!T399,"Decimal degrees"))</f>
        <v>0</v>
      </c>
      <c r="BH399" t="b">
        <f>OR(AND(IF(Metadata!U399="",FALSE,TRUE),OR(EXACT(Metadata!U399,"not applicable"),EXACT(Metadata!U399,"not collected"))),IF(Metadata!U399="",FALSE,TRUE))</f>
        <v>0</v>
      </c>
      <c r="BI399" t="b">
        <f>OR(AND(IF(Metadata!V399="",FALSE,TRUE),OR(EXACT(Metadata!V399,"not collected"),EXACT(Metadata!V399,"not provided"),EXACT(Metadata!V399,"restricted access"))),AND(IF(Metadata!V399="",FALSE,ISNUMBER(VALUE(Metadata!V399))),Metadata!V399&gt;=-180,Metadata!V399&lt;=180))</f>
        <v>0</v>
      </c>
      <c r="BJ399" t="b">
        <f>AND(IF(Metadata!W399="",FALSE,TRUE),EXACT(Metadata!W399,"Decimal degrees"))</f>
        <v>0</v>
      </c>
      <c r="BK399" t="b">
        <f>IF(Metadata!X399="",FALSE,TRUE)</f>
        <v>0</v>
      </c>
      <c r="BL399" t="b">
        <f>OR(AND(IF(Metadata!Y399="",FALSE,TRUE),OR(EXACT(Metadata!Y399,"not collected"),EXACT(Metadata!Y399,"not provided"),EXACT(Metadata!Y399,"restricted access"))),AND(IF(Metadata!Y399="",FALSE,TRUE),OR(EXACT(Metadata!Y399,"TRUE"),EXACT(Metadata!Y399,"FALSE"))))</f>
        <v>0</v>
      </c>
      <c r="BM399" t="b">
        <f>OR(AND(IF(Metadata!Z399="",FALSE,TRUE),EXACT(Metadata!Z399,"not applicable")),AND(IF(Metadata!Z399="",FALSE,TRUE),OR(EXACT(Metadata!Z399,"beer"),EXACT(Metadata!Z399,"cheese"),EXACT(Metadata!Z399,"fresh water"),EXACT(Metadata!Z399,"marine sediment"),EXACT(Metadata!Z399,"sea water"),EXACT(Metadata!Z399,"sediment"),EXACT(Metadata!Z399,"soil"),EXACT(Metadata!Z399,"waste water"))))</f>
        <v>0</v>
      </c>
      <c r="BN399" t="b">
        <f>AND(IF(Metadata!AA399="",FALSE,TRUE),EXACT(Metadata!AA399,"metagenome"))</f>
        <v>0</v>
      </c>
      <c r="BO399" t="b">
        <f>AND(IF(Metadata!AB399="",FALSE,TRUE),EXACT(Metadata!AB399,"256318"))</f>
        <v>0</v>
      </c>
      <c r="BP399" t="b">
        <f>IF(Metadata!AC399="",FALSE,TRUE)</f>
        <v>0</v>
      </c>
      <c r="BQ399" t="b">
        <f>IF(Metadata!AD399="",FALSE,TRUE)</f>
        <v>0</v>
      </c>
    </row>
    <row r="400" spans="1:69" x14ac:dyDescent="0.2">
      <c r="A400" s="4" t="e">
        <f ca="1">IF(B400=" "," ",HYPERLINK(CONCATENATE("#metadata!",ADDRESS(INDEX($AJ$2:$AJ$1001,MATCH(ROWS($AH$2:AH400),$AH$2:$AH$1001,0),0),2)),INDEX($AM$2:$AM$1001,MATCH(ROWS($AH$2:AH400),$AH$2:$AH$1001,0),0)))</f>
        <v>#N/A</v>
      </c>
      <c r="B400" s="5" t="e">
        <f ca="1">IF(OR(INDEX($AI$2:$AI$1001,MATCH(ROWS($AH$2:AH400),$AH$2:$AH$1001,0),1)&gt;=100000,INDEX($AO$1005:$BQ$1005,1,MATCH(COLUMNS($AO$1006:AO1006),$AO$1006:$BQ$1006,0))&gt;=100000), " ",IF(INDEX($AO$2:$BQ$1001,MATCH(ROWS($AH$2:AH400),$AH$2:$AH$1001,0),MATCH(COLUMNS($AO$1006:AO1006),$AO$1006:$BQ$1006,0)), HYPERLINK("#",""), HYPERLINK(CONCATENATE("#Metadata!", ADDRESS(INDEX($AJ$2:$AJ$1001,MATCH(ROWS($AH$2:AH400),$AH$2:$AH$1001,0),0), INDEX($AO$1004:$BQ$1004,1,MATCH(COLUMNS($AO$1006:AO1006),$AO$1006:$BQ$1006,0)))),"Fix")))</f>
        <v>#N/A</v>
      </c>
      <c r="C400" s="5" t="e">
        <f ca="1">IF(OR(INDEX($AI$2:$AI$1001,MATCH(ROWS($AH$2:AH400),$AH$2:$AH$1001,0),1)&gt;=100000,INDEX($AO$1005:$BQ$1005,1,MATCH(COLUMNS($AO$1006:AP1006),$AO$1006:$BQ$1006,0))&gt;=100000), " ",IF(INDEX($AO$2:$BQ$1001,MATCH(ROWS($AH$2:AH400),$AH$2:$AH$1001,0),MATCH(COLUMNS($AO$1006:AP1006),$AO$1006:$BQ$1006,0)), HYPERLINK("#",""), HYPERLINK(CONCATENATE("#Metadata!", ADDRESS(INDEX($AJ$2:$AJ$1001,MATCH(ROWS($AH$2:AH400),$AH$2:$AH$1001,0),0), INDEX($AO$1004:$BQ$1004,1,MATCH(COLUMNS($AO$1006:AP1006),$AO$1006:$BQ$1006,0)))),"Fix")))</f>
        <v>#N/A</v>
      </c>
      <c r="D400" s="5" t="e">
        <f ca="1">IF(OR(INDEX($AI$2:$AI$1001,MATCH(ROWS($AH$2:AH400),$AH$2:$AH$1001,0),1)&gt;=100000,INDEX($AO$1005:$BQ$1005,1,MATCH(COLUMNS($AO$1006:AQ1006),$AO$1006:$BQ$1006,0))&gt;=100000), " ",IF(INDEX($AO$2:$BQ$1001,MATCH(ROWS($AH$2:AH400),$AH$2:$AH$1001,0),MATCH(COLUMNS($AO$1006:AQ1006),$AO$1006:$BQ$1006,0)), HYPERLINK("#",""), HYPERLINK(CONCATENATE("#Metadata!", ADDRESS(INDEX($AJ$2:$AJ$1001,MATCH(ROWS($AH$2:AH400),$AH$2:$AH$1001,0),0), INDEX($AO$1004:$BQ$1004,1,MATCH(COLUMNS($AO$1006:AQ1006),$AO$1006:$BQ$1006,0)))),"Fix")))</f>
        <v>#N/A</v>
      </c>
      <c r="E400" s="5" t="e">
        <f ca="1">IF(OR(INDEX($AI$2:$AI$1001,MATCH(ROWS($AH$2:AH400),$AH$2:$AH$1001,0),1)&gt;=100000,INDEX($AO$1005:$BQ$1005,1,MATCH(COLUMNS($AO$1006:AR1006),$AO$1006:$BQ$1006,0))&gt;=100000), " ",IF(INDEX($AO$2:$BQ$1001,MATCH(ROWS($AH$2:AH400),$AH$2:$AH$1001,0),MATCH(COLUMNS($AO$1006:AR1006),$AO$1006:$BQ$1006,0)), HYPERLINK("#",""), HYPERLINK(CONCATENATE("#Metadata!", ADDRESS(INDEX($AJ$2:$AJ$1001,MATCH(ROWS($AH$2:AH400),$AH$2:$AH$1001,0),0), INDEX($AO$1004:$BQ$1004,1,MATCH(COLUMNS($AO$1006:AR1006),$AO$1006:$BQ$1006,0)))),"Fix")))</f>
        <v>#N/A</v>
      </c>
      <c r="F400" s="5" t="e">
        <f ca="1">IF(OR(INDEX($AI$2:$AI$1001,MATCH(ROWS($AH$2:AH400),$AH$2:$AH$1001,0),1)&gt;=100000,INDEX($AO$1005:$BQ$1005,1,MATCH(COLUMNS($AO$1006:AS1006),$AO$1006:$BQ$1006,0))&gt;=100000), " ",IF(INDEX($AO$2:$BQ$1001,MATCH(ROWS($AH$2:AH400),$AH$2:$AH$1001,0),MATCH(COLUMNS($AO$1006:AS1006),$AO$1006:$BQ$1006,0)), HYPERLINK("#",""), HYPERLINK(CONCATENATE("#Metadata!", ADDRESS(INDEX($AJ$2:$AJ$1001,MATCH(ROWS($AH$2:AH400),$AH$2:$AH$1001,0),0), INDEX($AO$1004:$BQ$1004,1,MATCH(COLUMNS($AO$1006:AS1006),$AO$1006:$BQ$1006,0)))),"Fix")))</f>
        <v>#N/A</v>
      </c>
      <c r="G400" s="5" t="e">
        <f ca="1">IF(OR(INDEX($AI$2:$AI$1001,MATCH(ROWS($AH$2:AH400),$AH$2:$AH$1001,0),1)&gt;=100000,INDEX($AO$1005:$BQ$1005,1,MATCH(COLUMNS($AO$1006:AT1006),$AO$1006:$BQ$1006,0))&gt;=100000), " ",IF(INDEX($AO$2:$BQ$1001,MATCH(ROWS($AH$2:AH400),$AH$2:$AH$1001,0),MATCH(COLUMNS($AO$1006:AT1006),$AO$1006:$BQ$1006,0)), HYPERLINK("#",""), HYPERLINK(CONCATENATE("#Metadata!", ADDRESS(INDEX($AJ$2:$AJ$1001,MATCH(ROWS($AH$2:AH400),$AH$2:$AH$1001,0),0), INDEX($AO$1004:$BQ$1004,1,MATCH(COLUMNS($AO$1006:AT1006),$AO$1006:$BQ$1006,0)))),"Fix")))</f>
        <v>#N/A</v>
      </c>
      <c r="H400" s="5" t="e">
        <f ca="1">IF(OR(INDEX($AI$2:$AI$1001,MATCH(ROWS($AH$2:AH400),$AH$2:$AH$1001,0),1)&gt;=100000,INDEX($AO$1005:$BQ$1005,1,MATCH(COLUMNS($AO$1006:AU1006),$AO$1006:$BQ$1006,0))&gt;=100000), " ",IF(INDEX($AO$2:$BQ$1001,MATCH(ROWS($AH$2:AH400),$AH$2:$AH$1001,0),MATCH(COLUMNS($AO$1006:AU1006),$AO$1006:$BQ$1006,0)), HYPERLINK("#",""), HYPERLINK(CONCATENATE("#Metadata!", ADDRESS(INDEX($AJ$2:$AJ$1001,MATCH(ROWS($AH$2:AH400),$AH$2:$AH$1001,0),0), INDEX($AO$1004:$BQ$1004,1,MATCH(COLUMNS($AO$1006:AU1006),$AO$1006:$BQ$1006,0)))),"Fix")))</f>
        <v>#N/A</v>
      </c>
      <c r="I400" s="5" t="e">
        <f ca="1">IF(OR(INDEX($AI$2:$AI$1001,MATCH(ROWS($AH$2:AH400),$AH$2:$AH$1001,0),1)&gt;=100000,INDEX($AO$1005:$BQ$1005,1,MATCH(COLUMNS($AO$1006:AV1006),$AO$1006:$BQ$1006,0))&gt;=100000), " ",IF(INDEX($AO$2:$BQ$1001,MATCH(ROWS($AH$2:AH400),$AH$2:$AH$1001,0),MATCH(COLUMNS($AO$1006:AV1006),$AO$1006:$BQ$1006,0)), HYPERLINK("#",""), HYPERLINK(CONCATENATE("#Metadata!", ADDRESS(INDEX($AJ$2:$AJ$1001,MATCH(ROWS($AH$2:AH400),$AH$2:$AH$1001,0),0), INDEX($AO$1004:$BQ$1004,1,MATCH(COLUMNS($AO$1006:AV1006),$AO$1006:$BQ$1006,0)))),"Fix")))</f>
        <v>#N/A</v>
      </c>
      <c r="J400" s="5" t="e">
        <f ca="1">IF(OR(INDEX($AI$2:$AI$1001,MATCH(ROWS($AH$2:AH400),$AH$2:$AH$1001,0),1)&gt;=100000,INDEX($AO$1005:$BQ$1005,1,MATCH(COLUMNS($AO$1006:AW1006),$AO$1006:$BQ$1006,0))&gt;=100000), " ",IF(INDEX($AO$2:$BQ$1001,MATCH(ROWS($AH$2:AH400),$AH$2:$AH$1001,0),MATCH(COLUMNS($AO$1006:AW1006),$AO$1006:$BQ$1006,0)), HYPERLINK("#",""), HYPERLINK(CONCATENATE("#Metadata!", ADDRESS(INDEX($AJ$2:$AJ$1001,MATCH(ROWS($AH$2:AH400),$AH$2:$AH$1001,0),0), INDEX($AO$1004:$BQ$1004,1,MATCH(COLUMNS($AO$1006:AW1006),$AO$1006:$BQ$1006,0)))),"Fix")))</f>
        <v>#N/A</v>
      </c>
      <c r="K400" s="5" t="e">
        <f ca="1">IF(OR(INDEX($AI$2:$AI$1001,MATCH(ROWS($AH$2:AH400),$AH$2:$AH$1001,0),1)&gt;=100000,INDEX($AO$1005:$BQ$1005,1,MATCH(COLUMNS($AO$1006:AX1006),$AO$1006:$BQ$1006,0))&gt;=100000), " ",IF(INDEX($AO$2:$BQ$1001,MATCH(ROWS($AH$2:AH400),$AH$2:$AH$1001,0),MATCH(COLUMNS($AO$1006:AX1006),$AO$1006:$BQ$1006,0)), HYPERLINK("#",""), HYPERLINK(CONCATENATE("#Metadata!", ADDRESS(INDEX($AJ$2:$AJ$1001,MATCH(ROWS($AH$2:AH400),$AH$2:$AH$1001,0),0), INDEX($AO$1004:$BQ$1004,1,MATCH(COLUMNS($AO$1006:AX1006),$AO$1006:$BQ$1006,0)))),"Fix")))</f>
        <v>#N/A</v>
      </c>
      <c r="L400" s="5" t="e">
        <f ca="1">IF(OR(INDEX($AI$2:$AI$1001,MATCH(ROWS($AH$2:AH400),$AH$2:$AH$1001,0),1)&gt;=100000,INDEX($AO$1005:$BQ$1005,1,MATCH(COLUMNS($AO$1006:AY1006),$AO$1006:$BQ$1006,0))&gt;=100000), " ",IF(INDEX($AO$2:$BQ$1001,MATCH(ROWS($AH$2:AH400),$AH$2:$AH$1001,0),MATCH(COLUMNS($AO$1006:AY1006),$AO$1006:$BQ$1006,0)), HYPERLINK("#",""), HYPERLINK(CONCATENATE("#Metadata!", ADDRESS(INDEX($AJ$2:$AJ$1001,MATCH(ROWS($AH$2:AH400),$AH$2:$AH$1001,0),0), INDEX($AO$1004:$BQ$1004,1,MATCH(COLUMNS($AO$1006:AY1006),$AO$1006:$BQ$1006,0)))),"Fix")))</f>
        <v>#N/A</v>
      </c>
      <c r="M400" s="5" t="e">
        <f ca="1">IF(OR(INDEX($AI$2:$AI$1001,MATCH(ROWS($AH$2:AH400),$AH$2:$AH$1001,0),1)&gt;=100000,INDEX($AO$1005:$BQ$1005,1,MATCH(COLUMNS($AO$1006:AZ1006),$AO$1006:$BQ$1006,0))&gt;=100000), " ",IF(INDEX($AO$2:$BQ$1001,MATCH(ROWS($AH$2:AH400),$AH$2:$AH$1001,0),MATCH(COLUMNS($AO$1006:AZ1006),$AO$1006:$BQ$1006,0)), HYPERLINK("#",""), HYPERLINK(CONCATENATE("#Metadata!", ADDRESS(INDEX($AJ$2:$AJ$1001,MATCH(ROWS($AH$2:AH400),$AH$2:$AH$1001,0),0), INDEX($AO$1004:$BQ$1004,1,MATCH(COLUMNS($AO$1006:AZ1006),$AO$1006:$BQ$1006,0)))),"Fix")))</f>
        <v>#N/A</v>
      </c>
      <c r="N400" s="5" t="e">
        <f ca="1">IF(OR(INDEX($AI$2:$AI$1001,MATCH(ROWS($AH$2:AH400),$AH$2:$AH$1001,0),1)&gt;=100000,INDEX($AO$1005:$BQ$1005,1,MATCH(COLUMNS($AO$1006:BA1006),$AO$1006:$BQ$1006,0))&gt;=100000), " ",IF(INDEX($AO$2:$BQ$1001,MATCH(ROWS($AH$2:AH400),$AH$2:$AH$1001,0),MATCH(COLUMNS($AO$1006:BA1006),$AO$1006:$BQ$1006,0)), HYPERLINK("#",""), HYPERLINK(CONCATENATE("#Metadata!", ADDRESS(INDEX($AJ$2:$AJ$1001,MATCH(ROWS($AH$2:AH400),$AH$2:$AH$1001,0),0), INDEX($AO$1004:$BQ$1004,1,MATCH(COLUMNS($AO$1006:BA1006),$AO$1006:$BQ$1006,0)))),"Fix")))</f>
        <v>#N/A</v>
      </c>
      <c r="O400" s="5" t="e">
        <f ca="1">IF(OR(INDEX($AI$2:$AI$1001,MATCH(ROWS($AH$2:AH400),$AH$2:$AH$1001,0),1)&gt;=100000,INDEX($AO$1005:$BQ$1005,1,MATCH(COLUMNS($AO$1006:BB1006),$AO$1006:$BQ$1006,0))&gt;=100000), " ",IF(INDEX($AO$2:$BQ$1001,MATCH(ROWS($AH$2:AH400),$AH$2:$AH$1001,0),MATCH(COLUMNS($AO$1006:BB1006),$AO$1006:$BQ$1006,0)), HYPERLINK("#",""), HYPERLINK(CONCATENATE("#Metadata!", ADDRESS(INDEX($AJ$2:$AJ$1001,MATCH(ROWS($AH$2:AH400),$AH$2:$AH$1001,0),0), INDEX($AO$1004:$BQ$1004,1,MATCH(COLUMNS($AO$1006:BB1006),$AO$1006:$BQ$1006,0)))),"Fix")))</f>
        <v>#N/A</v>
      </c>
      <c r="P400" s="5" t="e">
        <f ca="1">IF(OR(INDEX($AI$2:$AI$1001,MATCH(ROWS($AH$2:AH400),$AH$2:$AH$1001,0),1)&gt;=100000,INDEX($AO$1005:$BQ$1005,1,MATCH(COLUMNS($AO$1006:BC1006),$AO$1006:$BQ$1006,0))&gt;=100000), " ",IF(INDEX($AO$2:$BQ$1001,MATCH(ROWS($AH$2:AH400),$AH$2:$AH$1001,0),MATCH(COLUMNS($AO$1006:BC1006),$AO$1006:$BQ$1006,0)), HYPERLINK("#",""), HYPERLINK(CONCATENATE("#Metadata!", ADDRESS(INDEX($AJ$2:$AJ$1001,MATCH(ROWS($AH$2:AH400),$AH$2:$AH$1001,0),0), INDEX($AO$1004:$BQ$1004,1,MATCH(COLUMNS($AO$1006:BC1006),$AO$1006:$BQ$1006,0)))),"Fix")))</f>
        <v>#N/A</v>
      </c>
      <c r="Q400" s="5" t="e">
        <f ca="1">IF(OR(INDEX($AI$2:$AI$1001,MATCH(ROWS($AH$2:AH400),$AH$2:$AH$1001,0),1)&gt;=100000,INDEX($AO$1005:$BQ$1005,1,MATCH(COLUMNS($AO$1006:BD1006),$AO$1006:$BQ$1006,0))&gt;=100000), " ",IF(INDEX($AO$2:$BQ$1001,MATCH(ROWS($AH$2:AH400),$AH$2:$AH$1001,0),MATCH(COLUMNS($AO$1006:BD1006),$AO$1006:$BQ$1006,0)), HYPERLINK("#",""), HYPERLINK(CONCATENATE("#Metadata!", ADDRESS(INDEX($AJ$2:$AJ$1001,MATCH(ROWS($AH$2:AH400),$AH$2:$AH$1001,0),0), INDEX($AO$1004:$BQ$1004,1,MATCH(COLUMNS($AO$1006:BD1006),$AO$1006:$BQ$1006,0)))),"Fix")))</f>
        <v>#N/A</v>
      </c>
      <c r="R400" s="5" t="e">
        <f ca="1">IF(OR(INDEX($AI$2:$AI$1001,MATCH(ROWS($AH$2:AH400),$AH$2:$AH$1001,0),1)&gt;=100000,INDEX($AO$1005:$BQ$1005,1,MATCH(COLUMNS($AO$1006:BE1006),$AO$1006:$BQ$1006,0))&gt;=100000), " ",IF(INDEX($AO$2:$BQ$1001,MATCH(ROWS($AH$2:AH400),$AH$2:$AH$1001,0),MATCH(COLUMNS($AO$1006:BE1006),$AO$1006:$BQ$1006,0)), HYPERLINK("#",""), HYPERLINK(CONCATENATE("#Metadata!", ADDRESS(INDEX($AJ$2:$AJ$1001,MATCH(ROWS($AH$2:AH400),$AH$2:$AH$1001,0),0), INDEX($AO$1004:$BQ$1004,1,MATCH(COLUMNS($AO$1006:BE1006),$AO$1006:$BQ$1006,0)))),"Fix")))</f>
        <v>#N/A</v>
      </c>
      <c r="S400" s="5" t="e">
        <f ca="1">IF(OR(INDEX($AI$2:$AI$1001,MATCH(ROWS($AH$2:AH400),$AH$2:$AH$1001,0),1)&gt;=100000,INDEX($AO$1005:$BQ$1005,1,MATCH(COLUMNS($AO$1006:BF1006),$AO$1006:$BQ$1006,0))&gt;=100000), " ",IF(INDEX($AO$2:$BQ$1001,MATCH(ROWS($AH$2:AH400),$AH$2:$AH$1001,0),MATCH(COLUMNS($AO$1006:BF1006),$AO$1006:$BQ$1006,0)), HYPERLINK("#",""), HYPERLINK(CONCATENATE("#Metadata!", ADDRESS(INDEX($AJ$2:$AJ$1001,MATCH(ROWS($AH$2:AH400),$AH$2:$AH$1001,0),0), INDEX($AO$1004:$BQ$1004,1,MATCH(COLUMNS($AO$1006:BF1006),$AO$1006:$BQ$1006,0)))),"Fix")))</f>
        <v>#N/A</v>
      </c>
      <c r="T400" s="5" t="e">
        <f ca="1">IF(OR(INDEX($AI$2:$AI$1001,MATCH(ROWS($AH$2:AH400),$AH$2:$AH$1001,0),1)&gt;=100000,INDEX($AO$1005:$BQ$1005,1,MATCH(COLUMNS($AO$1006:BG1006),$AO$1006:$BQ$1006,0))&gt;=100000), " ",IF(INDEX($AO$2:$BQ$1001,MATCH(ROWS($AH$2:AH400),$AH$2:$AH$1001,0),MATCH(COLUMNS($AO$1006:BG1006),$AO$1006:$BQ$1006,0)), HYPERLINK("#",""), HYPERLINK(CONCATENATE("#Metadata!", ADDRESS(INDEX($AJ$2:$AJ$1001,MATCH(ROWS($AH$2:AH400),$AH$2:$AH$1001,0),0), INDEX($AO$1004:$BQ$1004,1,MATCH(COLUMNS($AO$1006:BG1006),$AO$1006:$BQ$1006,0)))),"Fix")))</f>
        <v>#N/A</v>
      </c>
      <c r="U400" s="5" t="e">
        <f ca="1">IF(OR(INDEX($AI$2:$AI$1001,MATCH(ROWS($AH$2:AH400),$AH$2:$AH$1001,0),1)&gt;=100000,INDEX($AO$1005:$BQ$1005,1,MATCH(COLUMNS($AO$1006:BH1006),$AO$1006:$BQ$1006,0))&gt;=100000), " ",IF(INDEX($AO$2:$BQ$1001,MATCH(ROWS($AH$2:AH400),$AH$2:$AH$1001,0),MATCH(COLUMNS($AO$1006:BH1006),$AO$1006:$BQ$1006,0)), HYPERLINK("#",""), HYPERLINK(CONCATENATE("#Metadata!", ADDRESS(INDEX($AJ$2:$AJ$1001,MATCH(ROWS($AH$2:AH400),$AH$2:$AH$1001,0),0), INDEX($AO$1004:$BQ$1004,1,MATCH(COLUMNS($AO$1006:BH1006),$AO$1006:$BQ$1006,0)))),"Fix")))</f>
        <v>#N/A</v>
      </c>
      <c r="V400" s="5" t="e">
        <f ca="1">IF(OR(INDEX($AI$2:$AI$1001,MATCH(ROWS($AH$2:AH400),$AH$2:$AH$1001,0),1)&gt;=100000,INDEX($AO$1005:$BQ$1005,1,MATCH(COLUMNS($AO$1006:BI1006),$AO$1006:$BQ$1006,0))&gt;=100000), " ",IF(INDEX($AO$2:$BQ$1001,MATCH(ROWS($AH$2:AH400),$AH$2:$AH$1001,0),MATCH(COLUMNS($AO$1006:BI1006),$AO$1006:$BQ$1006,0)), HYPERLINK("#",""), HYPERLINK(CONCATENATE("#Metadata!", ADDRESS(INDEX($AJ$2:$AJ$1001,MATCH(ROWS($AH$2:AH400),$AH$2:$AH$1001,0),0), INDEX($AO$1004:$BQ$1004,1,MATCH(COLUMNS($AO$1006:BI1006),$AO$1006:$BQ$1006,0)))),"Fix")))</f>
        <v>#N/A</v>
      </c>
      <c r="W400" s="5" t="e">
        <f ca="1">IF(OR(INDEX($AI$2:$AI$1001,MATCH(ROWS($AH$2:AH400),$AH$2:$AH$1001,0),1)&gt;=100000,INDEX($AO$1005:$BQ$1005,1,MATCH(COLUMNS($AO$1006:BJ1006),$AO$1006:$BQ$1006,0))&gt;=100000), " ",IF(INDEX($AO$2:$BQ$1001,MATCH(ROWS($AH$2:AH400),$AH$2:$AH$1001,0),MATCH(COLUMNS($AO$1006:BJ1006),$AO$1006:$BQ$1006,0)), HYPERLINK("#",""), HYPERLINK(CONCATENATE("#Metadata!", ADDRESS(INDEX($AJ$2:$AJ$1001,MATCH(ROWS($AH$2:AH400),$AH$2:$AH$1001,0),0), INDEX($AO$1004:$BQ$1004,1,MATCH(COLUMNS($AO$1006:BJ1006),$AO$1006:$BQ$1006,0)))),"Fix")))</f>
        <v>#N/A</v>
      </c>
      <c r="X400" s="5" t="e">
        <f ca="1">IF(OR(INDEX($AI$2:$AI$1001,MATCH(ROWS($AH$2:AH400),$AH$2:$AH$1001,0),1)&gt;=100000,INDEX($AO$1005:$BQ$1005,1,MATCH(COLUMNS($AO$1006:BK1006),$AO$1006:$BQ$1006,0))&gt;=100000), " ",IF(INDEX($AO$2:$BQ$1001,MATCH(ROWS($AH$2:AH400),$AH$2:$AH$1001,0),MATCH(COLUMNS($AO$1006:BK1006),$AO$1006:$BQ$1006,0)), HYPERLINK("#",""), HYPERLINK(CONCATENATE("#Metadata!", ADDRESS(INDEX($AJ$2:$AJ$1001,MATCH(ROWS($AH$2:AH400),$AH$2:$AH$1001,0),0), INDEX($AO$1004:$BQ$1004,1,MATCH(COLUMNS($AO$1006:BK1006),$AO$1006:$BQ$1006,0)))),"Fix")))</f>
        <v>#N/A</v>
      </c>
      <c r="Y400" s="5" t="e">
        <f ca="1">IF(OR(INDEX($AI$2:$AI$1001,MATCH(ROWS($AH$2:AH400),$AH$2:$AH$1001,0),1)&gt;=100000,INDEX($AO$1005:$BQ$1005,1,MATCH(COLUMNS($AO$1006:BL1006),$AO$1006:$BQ$1006,0))&gt;=100000), " ",IF(INDEX($AO$2:$BQ$1001,MATCH(ROWS($AH$2:AH400),$AH$2:$AH$1001,0),MATCH(COLUMNS($AO$1006:BL1006),$AO$1006:$BQ$1006,0)), HYPERLINK("#",""), HYPERLINK(CONCATENATE("#Metadata!", ADDRESS(INDEX($AJ$2:$AJ$1001,MATCH(ROWS($AH$2:AH400),$AH$2:$AH$1001,0),0), INDEX($AO$1004:$BQ$1004,1,MATCH(COLUMNS($AO$1006:BL1006),$AO$1006:$BQ$1006,0)))),"Fix")))</f>
        <v>#N/A</v>
      </c>
      <c r="Z400" s="5" t="e">
        <f ca="1">IF(OR(INDEX($AI$2:$AI$1001,MATCH(ROWS($AH$2:AH400),$AH$2:$AH$1001,0),1)&gt;=100000,INDEX($AO$1005:$BQ$1005,1,MATCH(COLUMNS($AO$1006:BM1006),$AO$1006:$BQ$1006,0))&gt;=100000), " ",IF(INDEX($AO$2:$BQ$1001,MATCH(ROWS($AH$2:AH400),$AH$2:$AH$1001,0),MATCH(COLUMNS($AO$1006:BM1006),$AO$1006:$BQ$1006,0)), HYPERLINK("#",""), HYPERLINK(CONCATENATE("#Metadata!", ADDRESS(INDEX($AJ$2:$AJ$1001,MATCH(ROWS($AH$2:AH400),$AH$2:$AH$1001,0),0), INDEX($AO$1004:$BQ$1004,1,MATCH(COLUMNS($AO$1006:BM1006),$AO$1006:$BQ$1006,0)))),"Fix")))</f>
        <v>#N/A</v>
      </c>
      <c r="AA400" s="5" t="e">
        <f ca="1">IF(OR(INDEX($AI$2:$AI$1001,MATCH(ROWS($AH$2:AH400),$AH$2:$AH$1001,0),1)&gt;=100000,INDEX($AO$1005:$BQ$1005,1,MATCH(COLUMNS($AO$1006:BN1006),$AO$1006:$BQ$1006,0))&gt;=100000), " ",IF(INDEX($AO$2:$BQ$1001,MATCH(ROWS($AH$2:AH400),$AH$2:$AH$1001,0),MATCH(COLUMNS($AO$1006:BN1006),$AO$1006:$BQ$1006,0)), HYPERLINK("#",""), HYPERLINK(CONCATENATE("#Metadata!", ADDRESS(INDEX($AJ$2:$AJ$1001,MATCH(ROWS($AH$2:AH400),$AH$2:$AH$1001,0),0), INDEX($AO$1004:$BQ$1004,1,MATCH(COLUMNS($AO$1006:BN1006),$AO$1006:$BQ$1006,0)))),"Fix")))</f>
        <v>#N/A</v>
      </c>
      <c r="AB400" s="5" t="e">
        <f ca="1">IF(OR(INDEX($AI$2:$AI$1001,MATCH(ROWS($AH$2:AH400),$AH$2:$AH$1001,0),1)&gt;=100000,INDEX($AO$1005:$BQ$1005,1,MATCH(COLUMNS($AO$1006:BO1006),$AO$1006:$BQ$1006,0))&gt;=100000), " ",IF(INDEX($AO$2:$BQ$1001,MATCH(ROWS($AH$2:AH400),$AH$2:$AH$1001,0),MATCH(COLUMNS($AO$1006:BO1006),$AO$1006:$BQ$1006,0)), HYPERLINK("#",""), HYPERLINK(CONCATENATE("#Metadata!", ADDRESS(INDEX($AJ$2:$AJ$1001,MATCH(ROWS($AH$2:AH400),$AH$2:$AH$1001,0),0), INDEX($AO$1004:$BQ$1004,1,MATCH(COLUMNS($AO$1006:BO1006),$AO$1006:$BQ$1006,0)))),"Fix")))</f>
        <v>#N/A</v>
      </c>
      <c r="AC400" s="5" t="e">
        <f ca="1">IF(OR(INDEX($AI$2:$AI$1001,MATCH(ROWS($AH$2:AH400),$AH$2:$AH$1001,0),1)&gt;=100000,INDEX($AO$1005:$BQ$1005,1,MATCH(COLUMNS($AO$1006:BP1006),$AO$1006:$BQ$1006,0))&gt;=100000), " ",IF(INDEX($AO$2:$BQ$1001,MATCH(ROWS($AH$2:AH400),$AH$2:$AH$1001,0),MATCH(COLUMNS($AO$1006:BP1006),$AO$1006:$BQ$1006,0)), HYPERLINK("#",""), HYPERLINK(CONCATENATE("#Metadata!", ADDRESS(INDEX($AJ$2:$AJ$1001,MATCH(ROWS($AH$2:AH400),$AH$2:$AH$1001,0),0), INDEX($AO$1004:$BQ$1004,1,MATCH(COLUMNS($AO$1006:BP1006),$AO$1006:$BQ$1006,0)))),"Fix")))</f>
        <v>#N/A</v>
      </c>
      <c r="AD400" s="5" t="e">
        <f ca="1">IF(OR(INDEX($AI$2:$AI$1001,MATCH(ROWS($AH$2:AH400),$AH$2:$AH$1001,0),1)&gt;=100000,INDEX($AO$1005:$BQ$1005,1,MATCH(COLUMNS($AO$1006:BQ1006),$AO$1006:$BQ$1006,0))&gt;=100000), " ",IF(INDEX($AO$2:$BQ$1001,MATCH(ROWS($AH$2:AH400),$AH$2:$AH$1001,0),MATCH(COLUMNS($AO$1006:BQ1006),$AO$1006:$BQ$1006,0)), HYPERLINK("#",""), HYPERLINK(CONCATENATE("#Metadata!", ADDRESS(INDEX($AJ$2:$AJ$1001,MATCH(ROWS($AH$2:AH400),$AH$2:$AH$1001,0),0), INDEX($AO$1004:$BQ$1004,1,MATCH(COLUMNS($AO$1006:BQ1006),$AO$1006:$BQ$1006,0)))),"Fix")))</f>
        <v>#REF!</v>
      </c>
      <c r="AH400">
        <f ca="1"/>
        <v>397</v>
      </c>
      <c r="AI400">
        <v>100400</v>
      </c>
      <c r="AJ400">
        <v>400</v>
      </c>
      <c r="AK400" t="b">
        <f t="shared" si="6"/>
        <v>1</v>
      </c>
      <c r="AL400" t="b">
        <f>COUNTBLANK(Metadata!B400:AD400)=COLUMNS(Metadata!B400:AD400)</f>
        <v>1</v>
      </c>
      <c r="AM400" t="str">
        <v/>
      </c>
      <c r="AO400" t="b">
        <f ca="1">AND(IF(Metadata!B400="",FALSE,TRUE),COUNTIF(Metadata!B:B, Metadata!B400) = 1,NOT(ISERROR(SUMPRODUCT(SEARCH(MID(Metadata!B400,ROW(INDIRECT("1:"&amp;LEN(Metadata!B400))), 1),"0123456789abcdefghijklmnopqrstuvwxyzABCDEFGHIJKLMNOPQRSTUVWXYZ.")))))</f>
        <v>0</v>
      </c>
      <c r="AP400" t="b">
        <f>IF(Metadata!C400="",FALSE,TRUE)</f>
        <v>0</v>
      </c>
      <c r="AQ400" t="b">
        <f>IF(Metadata!D400="",FALSE,TRUE)</f>
        <v>0</v>
      </c>
      <c r="AR400" t="b">
        <f ca="1">OR(AND(IF(Metadata!E400="",FALSE,TRUE),OR(EXACT(Metadata!E400,"not collected"),EXACT(Metadata!E400,"not provided"),EXACT(Metadata!E400,"restricted access"))),AND(IF(Metadata!E400="",FALSE,TRUE),AND(AND(IFERROR(INT(LEFT(Metadata!E400,4))&gt;1900,FALSE),IFERROR(INT(LEFT(Metadata!E400,4))&lt;=YEAR(NOW()),FALSE)), OR(MID(Metadata!E400,5,1)="", AND(AND(MID(Metadata!E400,5,1)="-",IFERROR(INT(MID(Metadata!E400,6,1))&gt;=0,FALSE),IFERROR(INT(MID(Metadata!E400,6,1))&lt;=1,FALSE),NOT(MID(Metadata!E400,7,1)=""),IFERROR(INT(MID(Metadata!E400,6,2))&gt;=1,FALSE),IFERROR(INT(MID(Metadata!E400,6,2))&lt;=12,FALSE)), OR(MID(Metadata!E400,8,1)="", AND(AND(MID(Metadata!E400,8,1)="-",IFERROR(INT(MID(Metadata!E400,9,1))&gt;=0,FALSE),IFERROR(INT(MID(Metadata!E400,9,1))&lt;=3,FALSE),NOT(MID(Metadata!E400,10,1)=""),IFERROR(INT(MID(Metadata!E400,9,2))&gt;=1,FALSE),IFERROR(INT(MID(Metadata!E400,9,2))&lt;=31,FALSE)), OR(MID(Metadata!E400,11,1)="", AND(AND(MID(Metadata!E400,11,1)=" ",IFERROR(INT(MID(Metadata!E400,12,1))&gt;=0,FALSE),IFERROR(INT(MID(Metadata!E400,12,1))&lt;=2,FALSE),NOT(MID(Metadata!E400,13,1)=""),IFERROR(INT(MID(Metadata!E400,12,2))&gt;=0,FALSE),IFERROR(INT(MID(Metadata!E400,12,2))&lt;=23,FALSE)), OR(MID(Metadata!E400,14,1)="", AND(AND(MID(Metadata!E400,14,1)=":",IFERROR(INT(MID(Metadata!E400,15,1))&gt;=0,FALSE),IFERROR(INT(MID(Metadata!E400,15,1))&lt;=5,FALSE),NOT(MID(Metadata!E400,16,1)=""),IFERROR(INT(MID(Metadata!E400,15,2))&gt;=0,FALSE),IFERROR(INT(MID(Metadata!E400,15,2))&lt;=59,FALSE)), OR(MID(Metadata!E400,17,1)="", AND(AND(MID(Metadata!E400,17,1)=":",IFERROR(INT(MID(Metadata!E400,18,1))&gt;=0,FALSE),IFERROR(INT(MID(Metadata!E400,18,1))&lt;=5,FALSE),NOT(MID(Metadata!E400,19,1)=""),IFERROR(INT(MID(Metadata!E400,18,2))&gt;=0,FALSE),IFERROR(INT(MID(Metadata!E400,18,2))&lt;=59,FALSE)), LEN(Metadata!E400)&lt;=19)))))))))))))</f>
        <v>0</v>
      </c>
      <c r="AS400" t="b">
        <f>IF(Metadata!F400="",FALSE,TRUE)</f>
        <v>0</v>
      </c>
      <c r="AT400" t="b">
        <f>OR(AND(IF(Metadata!G400="",FALSE,TRUE),OR(EXACT(Metadata!G400,"not collected"),EXACT(Metadata!G400,"not provided"))),AND(IF(Metadata!G400="",FALSE,TRUE),OR(EXACT(Metadata!G400,"TRUE"),EXACT(Metadata!G400,"FALSE"))))</f>
        <v>0</v>
      </c>
      <c r="AU400" t="b">
        <f>OR(AND(IF(Metadata!H400="",FALSE,TRUE),OR(EXACT(Metadata!H400,"not collected"),EXACT(Metadata!H400,"not provided"),EXACT(Metadata!H400,"restricted access"))),AND(IF(Metadata!H400="",FALSE,ISNUMBER(VALUE(Metadata!H400))),Metadata!H400&gt;=-413))</f>
        <v>0</v>
      </c>
      <c r="AV400" t="b">
        <f>AND(IF(Metadata!I400="",FALSE,TRUE),EXACT(Metadata!I400,"meters"))</f>
        <v>0</v>
      </c>
      <c r="AW400" t="b">
        <f>AND(IF(Metadata!J400="",FALSE,TRUE),EXACT(Metadata!J400,"free-living"))</f>
        <v>0</v>
      </c>
      <c r="AX400" t="b">
        <f>AND(IF(Metadata!K400="",FALSE,TRUE),OR(EXACT(Metadata!K400,"saline"),EXACT(Metadata!K400,"non-saline")))</f>
        <v>0</v>
      </c>
      <c r="AY400" t="b">
        <f>AND(IF(Metadata!L400="",FALSE,TRUE),OR(EXACT(Metadata!L400,"sub-surface (non-saline)"),EXACT(Metadata!L400,"surface (non-saline)"),EXACT(Metadata!L400,"water (non-saline)"),EXACT(Metadata!L400,"soil (non-saline)"),EXACT(Metadata!L400,"aerosol (non-saline)"),EXACT(Metadata!L400,"sediment (non-saline)"),EXACT(Metadata!L400,"surface (saline)"),EXACT(Metadata!L400,"water (saline)"),EXACT(Metadata!L400,"hypersaline (saline)"),EXACT(Metadata!L400,"aerosol (saline)"),EXACT(Metadata!L400,"sediment (saline)")))</f>
        <v>0</v>
      </c>
      <c r="AZ400" t="b">
        <f>IF(Metadata!M400="",FALSE,TRUE)</f>
        <v>0</v>
      </c>
      <c r="BA400" t="b">
        <f>IF(Metadata!N400="",FALSE,TRUE)</f>
        <v>0</v>
      </c>
      <c r="BB400" t="b">
        <f>IF(Metadata!O400="",FALSE,TRUE)</f>
        <v>0</v>
      </c>
      <c r="BC400" t="b">
        <f>AND(IF(Metadata!P400="",FALSE,TRUE),OR(EXACT(Metadata!P400,"air"),EXACT(Metadata!P400,"microbial mat/biofilm"),EXACT(Metadata!P400,"misc environment"),EXACT(Metadata!P400,"sediment"),EXACT(Metadata!P400,"soil"),EXACT(Metadata!P400,"wastewater/sludge"),EXACT(Metadata!P400,"water")))</f>
        <v>0</v>
      </c>
      <c r="BD400" t="b">
        <f>IF(Metadata!Q400="",FALSE,TRUE)</f>
        <v>0</v>
      </c>
      <c r="BE400" t="b">
        <f>IF(Metadata!R400="",FALSE,TRUE)</f>
        <v>0</v>
      </c>
      <c r="BF400" t="b">
        <f>OR(AND(IF(Metadata!S400="",FALSE,TRUE),OR(EXACT(Metadata!S400,"not collected"),EXACT(Metadata!S400,"not provided"),EXACT(Metadata!S400,"restricted access"))),AND(IF(Metadata!S400="",FALSE,ISNUMBER(VALUE(Metadata!S400))),Metadata!S400&gt;=-90,Metadata!S400&lt;=90))</f>
        <v>0</v>
      </c>
      <c r="BG400" t="b">
        <f>AND(IF(Metadata!T400="",FALSE,TRUE),EXACT(Metadata!T400,"Decimal degrees"))</f>
        <v>0</v>
      </c>
      <c r="BH400" t="b">
        <f>OR(AND(IF(Metadata!U400="",FALSE,TRUE),OR(EXACT(Metadata!U400,"not applicable"),EXACT(Metadata!U400,"not collected"))),IF(Metadata!U400="",FALSE,TRUE))</f>
        <v>0</v>
      </c>
      <c r="BI400" t="b">
        <f>OR(AND(IF(Metadata!V400="",FALSE,TRUE),OR(EXACT(Metadata!V400,"not collected"),EXACT(Metadata!V400,"not provided"),EXACT(Metadata!V400,"restricted access"))),AND(IF(Metadata!V400="",FALSE,ISNUMBER(VALUE(Metadata!V400))),Metadata!V400&gt;=-180,Metadata!V400&lt;=180))</f>
        <v>0</v>
      </c>
      <c r="BJ400" t="b">
        <f>AND(IF(Metadata!W400="",FALSE,TRUE),EXACT(Metadata!W400,"Decimal degrees"))</f>
        <v>0</v>
      </c>
      <c r="BK400" t="b">
        <f>IF(Metadata!X400="",FALSE,TRUE)</f>
        <v>0</v>
      </c>
      <c r="BL400" t="b">
        <f>OR(AND(IF(Metadata!Y400="",FALSE,TRUE),OR(EXACT(Metadata!Y400,"not collected"),EXACT(Metadata!Y400,"not provided"),EXACT(Metadata!Y400,"restricted access"))),AND(IF(Metadata!Y400="",FALSE,TRUE),OR(EXACT(Metadata!Y400,"TRUE"),EXACT(Metadata!Y400,"FALSE"))))</f>
        <v>0</v>
      </c>
      <c r="BM400" t="b">
        <f>OR(AND(IF(Metadata!Z400="",FALSE,TRUE),EXACT(Metadata!Z400,"not applicable")),AND(IF(Metadata!Z400="",FALSE,TRUE),OR(EXACT(Metadata!Z400,"beer"),EXACT(Metadata!Z400,"cheese"),EXACT(Metadata!Z400,"fresh water"),EXACT(Metadata!Z400,"marine sediment"),EXACT(Metadata!Z400,"sea water"),EXACT(Metadata!Z400,"sediment"),EXACT(Metadata!Z400,"soil"),EXACT(Metadata!Z400,"waste water"))))</f>
        <v>0</v>
      </c>
      <c r="BN400" t="b">
        <f>AND(IF(Metadata!AA400="",FALSE,TRUE),EXACT(Metadata!AA400,"metagenome"))</f>
        <v>0</v>
      </c>
      <c r="BO400" t="b">
        <f>AND(IF(Metadata!AB400="",FALSE,TRUE),EXACT(Metadata!AB400,"256318"))</f>
        <v>0</v>
      </c>
      <c r="BP400" t="b">
        <f>IF(Metadata!AC400="",FALSE,TRUE)</f>
        <v>0</v>
      </c>
      <c r="BQ400" t="b">
        <f>IF(Metadata!AD400="",FALSE,TRUE)</f>
        <v>0</v>
      </c>
    </row>
    <row r="401" spans="1:69" x14ac:dyDescent="0.2">
      <c r="A401" s="4" t="e">
        <f ca="1">IF(B401=" "," ",HYPERLINK(CONCATENATE("#metadata!",ADDRESS(INDEX($AJ$2:$AJ$1001,MATCH(ROWS($AH$2:AH401),$AH$2:$AH$1001,0),0),2)),INDEX($AM$2:$AM$1001,MATCH(ROWS($AH$2:AH401),$AH$2:$AH$1001,0),0)))</f>
        <v>#N/A</v>
      </c>
      <c r="B401" s="5" t="e">
        <f ca="1">IF(OR(INDEX($AI$2:$AI$1001,MATCH(ROWS($AH$2:AH401),$AH$2:$AH$1001,0),1)&gt;=100000,INDEX($AO$1005:$BQ$1005,1,MATCH(COLUMNS($AO$1006:AO1006),$AO$1006:$BQ$1006,0))&gt;=100000), " ",IF(INDEX($AO$2:$BQ$1001,MATCH(ROWS($AH$2:AH401),$AH$2:$AH$1001,0),MATCH(COLUMNS($AO$1006:AO1006),$AO$1006:$BQ$1006,0)), HYPERLINK("#",""), HYPERLINK(CONCATENATE("#Metadata!", ADDRESS(INDEX($AJ$2:$AJ$1001,MATCH(ROWS($AH$2:AH401),$AH$2:$AH$1001,0),0), INDEX($AO$1004:$BQ$1004,1,MATCH(COLUMNS($AO$1006:AO1006),$AO$1006:$BQ$1006,0)))),"Fix")))</f>
        <v>#N/A</v>
      </c>
      <c r="C401" s="5" t="e">
        <f ca="1">IF(OR(INDEX($AI$2:$AI$1001,MATCH(ROWS($AH$2:AH401),$AH$2:$AH$1001,0),1)&gt;=100000,INDEX($AO$1005:$BQ$1005,1,MATCH(COLUMNS($AO$1006:AP1006),$AO$1006:$BQ$1006,0))&gt;=100000), " ",IF(INDEX($AO$2:$BQ$1001,MATCH(ROWS($AH$2:AH401),$AH$2:$AH$1001,0),MATCH(COLUMNS($AO$1006:AP1006),$AO$1006:$BQ$1006,0)), HYPERLINK("#",""), HYPERLINK(CONCATENATE("#Metadata!", ADDRESS(INDEX($AJ$2:$AJ$1001,MATCH(ROWS($AH$2:AH401),$AH$2:$AH$1001,0),0), INDEX($AO$1004:$BQ$1004,1,MATCH(COLUMNS($AO$1006:AP1006),$AO$1006:$BQ$1006,0)))),"Fix")))</f>
        <v>#N/A</v>
      </c>
      <c r="D401" s="5" t="e">
        <f ca="1">IF(OR(INDEX($AI$2:$AI$1001,MATCH(ROWS($AH$2:AH401),$AH$2:$AH$1001,0),1)&gt;=100000,INDEX($AO$1005:$BQ$1005,1,MATCH(COLUMNS($AO$1006:AQ1006),$AO$1006:$BQ$1006,0))&gt;=100000), " ",IF(INDEX($AO$2:$BQ$1001,MATCH(ROWS($AH$2:AH401),$AH$2:$AH$1001,0),MATCH(COLUMNS($AO$1006:AQ1006),$AO$1006:$BQ$1006,0)), HYPERLINK("#",""), HYPERLINK(CONCATENATE("#Metadata!", ADDRESS(INDEX($AJ$2:$AJ$1001,MATCH(ROWS($AH$2:AH401),$AH$2:$AH$1001,0),0), INDEX($AO$1004:$BQ$1004,1,MATCH(COLUMNS($AO$1006:AQ1006),$AO$1006:$BQ$1006,0)))),"Fix")))</f>
        <v>#N/A</v>
      </c>
      <c r="E401" s="5" t="e">
        <f ca="1">IF(OR(INDEX($AI$2:$AI$1001,MATCH(ROWS($AH$2:AH401),$AH$2:$AH$1001,0),1)&gt;=100000,INDEX($AO$1005:$BQ$1005,1,MATCH(COLUMNS($AO$1006:AR1006),$AO$1006:$BQ$1006,0))&gt;=100000), " ",IF(INDEX($AO$2:$BQ$1001,MATCH(ROWS($AH$2:AH401),$AH$2:$AH$1001,0),MATCH(COLUMNS($AO$1006:AR1006),$AO$1006:$BQ$1006,0)), HYPERLINK("#",""), HYPERLINK(CONCATENATE("#Metadata!", ADDRESS(INDEX($AJ$2:$AJ$1001,MATCH(ROWS($AH$2:AH401),$AH$2:$AH$1001,0),0), INDEX($AO$1004:$BQ$1004,1,MATCH(COLUMNS($AO$1006:AR1006),$AO$1006:$BQ$1006,0)))),"Fix")))</f>
        <v>#N/A</v>
      </c>
      <c r="F401" s="5" t="e">
        <f ca="1">IF(OR(INDEX($AI$2:$AI$1001,MATCH(ROWS($AH$2:AH401),$AH$2:$AH$1001,0),1)&gt;=100000,INDEX($AO$1005:$BQ$1005,1,MATCH(COLUMNS($AO$1006:AS1006),$AO$1006:$BQ$1006,0))&gt;=100000), " ",IF(INDEX($AO$2:$BQ$1001,MATCH(ROWS($AH$2:AH401),$AH$2:$AH$1001,0),MATCH(COLUMNS($AO$1006:AS1006),$AO$1006:$BQ$1006,0)), HYPERLINK("#",""), HYPERLINK(CONCATENATE("#Metadata!", ADDRESS(INDEX($AJ$2:$AJ$1001,MATCH(ROWS($AH$2:AH401),$AH$2:$AH$1001,0),0), INDEX($AO$1004:$BQ$1004,1,MATCH(COLUMNS($AO$1006:AS1006),$AO$1006:$BQ$1006,0)))),"Fix")))</f>
        <v>#N/A</v>
      </c>
      <c r="G401" s="5" t="e">
        <f ca="1">IF(OR(INDEX($AI$2:$AI$1001,MATCH(ROWS($AH$2:AH401),$AH$2:$AH$1001,0),1)&gt;=100000,INDEX($AO$1005:$BQ$1005,1,MATCH(COLUMNS($AO$1006:AT1006),$AO$1006:$BQ$1006,0))&gt;=100000), " ",IF(INDEX($AO$2:$BQ$1001,MATCH(ROWS($AH$2:AH401),$AH$2:$AH$1001,0),MATCH(COLUMNS($AO$1006:AT1006),$AO$1006:$BQ$1006,0)), HYPERLINK("#",""), HYPERLINK(CONCATENATE("#Metadata!", ADDRESS(INDEX($AJ$2:$AJ$1001,MATCH(ROWS($AH$2:AH401),$AH$2:$AH$1001,0),0), INDEX($AO$1004:$BQ$1004,1,MATCH(COLUMNS($AO$1006:AT1006),$AO$1006:$BQ$1006,0)))),"Fix")))</f>
        <v>#N/A</v>
      </c>
      <c r="H401" s="5" t="e">
        <f ca="1">IF(OR(INDEX($AI$2:$AI$1001,MATCH(ROWS($AH$2:AH401),$AH$2:$AH$1001,0),1)&gt;=100000,INDEX($AO$1005:$BQ$1005,1,MATCH(COLUMNS($AO$1006:AU1006),$AO$1006:$BQ$1006,0))&gt;=100000), " ",IF(INDEX($AO$2:$BQ$1001,MATCH(ROWS($AH$2:AH401),$AH$2:$AH$1001,0),MATCH(COLUMNS($AO$1006:AU1006),$AO$1006:$BQ$1006,0)), HYPERLINK("#",""), HYPERLINK(CONCATENATE("#Metadata!", ADDRESS(INDEX($AJ$2:$AJ$1001,MATCH(ROWS($AH$2:AH401),$AH$2:$AH$1001,0),0), INDEX($AO$1004:$BQ$1004,1,MATCH(COLUMNS($AO$1006:AU1006),$AO$1006:$BQ$1006,0)))),"Fix")))</f>
        <v>#N/A</v>
      </c>
      <c r="I401" s="5" t="e">
        <f ca="1">IF(OR(INDEX($AI$2:$AI$1001,MATCH(ROWS($AH$2:AH401),$AH$2:$AH$1001,0),1)&gt;=100000,INDEX($AO$1005:$BQ$1005,1,MATCH(COLUMNS($AO$1006:AV1006),$AO$1006:$BQ$1006,0))&gt;=100000), " ",IF(INDEX($AO$2:$BQ$1001,MATCH(ROWS($AH$2:AH401),$AH$2:$AH$1001,0),MATCH(COLUMNS($AO$1006:AV1006),$AO$1006:$BQ$1006,0)), HYPERLINK("#",""), HYPERLINK(CONCATENATE("#Metadata!", ADDRESS(INDEX($AJ$2:$AJ$1001,MATCH(ROWS($AH$2:AH401),$AH$2:$AH$1001,0),0), INDEX($AO$1004:$BQ$1004,1,MATCH(COLUMNS($AO$1006:AV1006),$AO$1006:$BQ$1006,0)))),"Fix")))</f>
        <v>#N/A</v>
      </c>
      <c r="J401" s="5" t="e">
        <f ca="1">IF(OR(INDEX($AI$2:$AI$1001,MATCH(ROWS($AH$2:AH401),$AH$2:$AH$1001,0),1)&gt;=100000,INDEX($AO$1005:$BQ$1005,1,MATCH(COLUMNS($AO$1006:AW1006),$AO$1006:$BQ$1006,0))&gt;=100000), " ",IF(INDEX($AO$2:$BQ$1001,MATCH(ROWS($AH$2:AH401),$AH$2:$AH$1001,0),MATCH(COLUMNS($AO$1006:AW1006),$AO$1006:$BQ$1006,0)), HYPERLINK("#",""), HYPERLINK(CONCATENATE("#Metadata!", ADDRESS(INDEX($AJ$2:$AJ$1001,MATCH(ROWS($AH$2:AH401),$AH$2:$AH$1001,0),0), INDEX($AO$1004:$BQ$1004,1,MATCH(COLUMNS($AO$1006:AW1006),$AO$1006:$BQ$1006,0)))),"Fix")))</f>
        <v>#N/A</v>
      </c>
      <c r="K401" s="5" t="e">
        <f ca="1">IF(OR(INDEX($AI$2:$AI$1001,MATCH(ROWS($AH$2:AH401),$AH$2:$AH$1001,0),1)&gt;=100000,INDEX($AO$1005:$BQ$1005,1,MATCH(COLUMNS($AO$1006:AX1006),$AO$1006:$BQ$1006,0))&gt;=100000), " ",IF(INDEX($AO$2:$BQ$1001,MATCH(ROWS($AH$2:AH401),$AH$2:$AH$1001,0),MATCH(COLUMNS($AO$1006:AX1006),$AO$1006:$BQ$1006,0)), HYPERLINK("#",""), HYPERLINK(CONCATENATE("#Metadata!", ADDRESS(INDEX($AJ$2:$AJ$1001,MATCH(ROWS($AH$2:AH401),$AH$2:$AH$1001,0),0), INDEX($AO$1004:$BQ$1004,1,MATCH(COLUMNS($AO$1006:AX1006),$AO$1006:$BQ$1006,0)))),"Fix")))</f>
        <v>#N/A</v>
      </c>
      <c r="L401" s="5" t="e">
        <f ca="1">IF(OR(INDEX($AI$2:$AI$1001,MATCH(ROWS($AH$2:AH401),$AH$2:$AH$1001,0),1)&gt;=100000,INDEX($AO$1005:$BQ$1005,1,MATCH(COLUMNS($AO$1006:AY1006),$AO$1006:$BQ$1006,0))&gt;=100000), " ",IF(INDEX($AO$2:$BQ$1001,MATCH(ROWS($AH$2:AH401),$AH$2:$AH$1001,0),MATCH(COLUMNS($AO$1006:AY1006),$AO$1006:$BQ$1006,0)), HYPERLINK("#",""), HYPERLINK(CONCATENATE("#Metadata!", ADDRESS(INDEX($AJ$2:$AJ$1001,MATCH(ROWS($AH$2:AH401),$AH$2:$AH$1001,0),0), INDEX($AO$1004:$BQ$1004,1,MATCH(COLUMNS($AO$1006:AY1006),$AO$1006:$BQ$1006,0)))),"Fix")))</f>
        <v>#N/A</v>
      </c>
      <c r="M401" s="5" t="e">
        <f ca="1">IF(OR(INDEX($AI$2:$AI$1001,MATCH(ROWS($AH$2:AH401),$AH$2:$AH$1001,0),1)&gt;=100000,INDEX($AO$1005:$BQ$1005,1,MATCH(COLUMNS($AO$1006:AZ1006),$AO$1006:$BQ$1006,0))&gt;=100000), " ",IF(INDEX($AO$2:$BQ$1001,MATCH(ROWS($AH$2:AH401),$AH$2:$AH$1001,0),MATCH(COLUMNS($AO$1006:AZ1006),$AO$1006:$BQ$1006,0)), HYPERLINK("#",""), HYPERLINK(CONCATENATE("#Metadata!", ADDRESS(INDEX($AJ$2:$AJ$1001,MATCH(ROWS($AH$2:AH401),$AH$2:$AH$1001,0),0), INDEX($AO$1004:$BQ$1004,1,MATCH(COLUMNS($AO$1006:AZ1006),$AO$1006:$BQ$1006,0)))),"Fix")))</f>
        <v>#N/A</v>
      </c>
      <c r="N401" s="5" t="e">
        <f ca="1">IF(OR(INDEX($AI$2:$AI$1001,MATCH(ROWS($AH$2:AH401),$AH$2:$AH$1001,0),1)&gt;=100000,INDEX($AO$1005:$BQ$1005,1,MATCH(COLUMNS($AO$1006:BA1006),$AO$1006:$BQ$1006,0))&gt;=100000), " ",IF(INDEX($AO$2:$BQ$1001,MATCH(ROWS($AH$2:AH401),$AH$2:$AH$1001,0),MATCH(COLUMNS($AO$1006:BA1006),$AO$1006:$BQ$1006,0)), HYPERLINK("#",""), HYPERLINK(CONCATENATE("#Metadata!", ADDRESS(INDEX($AJ$2:$AJ$1001,MATCH(ROWS($AH$2:AH401),$AH$2:$AH$1001,0),0), INDEX($AO$1004:$BQ$1004,1,MATCH(COLUMNS($AO$1006:BA1006),$AO$1006:$BQ$1006,0)))),"Fix")))</f>
        <v>#N/A</v>
      </c>
      <c r="O401" s="5" t="e">
        <f ca="1">IF(OR(INDEX($AI$2:$AI$1001,MATCH(ROWS($AH$2:AH401),$AH$2:$AH$1001,0),1)&gt;=100000,INDEX($AO$1005:$BQ$1005,1,MATCH(COLUMNS($AO$1006:BB1006),$AO$1006:$BQ$1006,0))&gt;=100000), " ",IF(INDEX($AO$2:$BQ$1001,MATCH(ROWS($AH$2:AH401),$AH$2:$AH$1001,0),MATCH(COLUMNS($AO$1006:BB1006),$AO$1006:$BQ$1006,0)), HYPERLINK("#",""), HYPERLINK(CONCATENATE("#Metadata!", ADDRESS(INDEX($AJ$2:$AJ$1001,MATCH(ROWS($AH$2:AH401),$AH$2:$AH$1001,0),0), INDEX($AO$1004:$BQ$1004,1,MATCH(COLUMNS($AO$1006:BB1006),$AO$1006:$BQ$1006,0)))),"Fix")))</f>
        <v>#N/A</v>
      </c>
      <c r="P401" s="5" t="e">
        <f ca="1">IF(OR(INDEX($AI$2:$AI$1001,MATCH(ROWS($AH$2:AH401),$AH$2:$AH$1001,0),1)&gt;=100000,INDEX($AO$1005:$BQ$1005,1,MATCH(COLUMNS($AO$1006:BC1006),$AO$1006:$BQ$1006,0))&gt;=100000), " ",IF(INDEX($AO$2:$BQ$1001,MATCH(ROWS($AH$2:AH401),$AH$2:$AH$1001,0),MATCH(COLUMNS($AO$1006:BC1006),$AO$1006:$BQ$1006,0)), HYPERLINK("#",""), HYPERLINK(CONCATENATE("#Metadata!", ADDRESS(INDEX($AJ$2:$AJ$1001,MATCH(ROWS($AH$2:AH401),$AH$2:$AH$1001,0),0), INDEX($AO$1004:$BQ$1004,1,MATCH(COLUMNS($AO$1006:BC1006),$AO$1006:$BQ$1006,0)))),"Fix")))</f>
        <v>#N/A</v>
      </c>
      <c r="Q401" s="5" t="e">
        <f ca="1">IF(OR(INDEX($AI$2:$AI$1001,MATCH(ROWS($AH$2:AH401),$AH$2:$AH$1001,0),1)&gt;=100000,INDEX($AO$1005:$BQ$1005,1,MATCH(COLUMNS($AO$1006:BD1006),$AO$1006:$BQ$1006,0))&gt;=100000), " ",IF(INDEX($AO$2:$BQ$1001,MATCH(ROWS($AH$2:AH401),$AH$2:$AH$1001,0),MATCH(COLUMNS($AO$1006:BD1006),$AO$1006:$BQ$1006,0)), HYPERLINK("#",""), HYPERLINK(CONCATENATE("#Metadata!", ADDRESS(INDEX($AJ$2:$AJ$1001,MATCH(ROWS($AH$2:AH401),$AH$2:$AH$1001,0),0), INDEX($AO$1004:$BQ$1004,1,MATCH(COLUMNS($AO$1006:BD1006),$AO$1006:$BQ$1006,0)))),"Fix")))</f>
        <v>#N/A</v>
      </c>
      <c r="R401" s="5" t="e">
        <f ca="1">IF(OR(INDEX($AI$2:$AI$1001,MATCH(ROWS($AH$2:AH401),$AH$2:$AH$1001,0),1)&gt;=100000,INDEX($AO$1005:$BQ$1005,1,MATCH(COLUMNS($AO$1006:BE1006),$AO$1006:$BQ$1006,0))&gt;=100000), " ",IF(INDEX($AO$2:$BQ$1001,MATCH(ROWS($AH$2:AH401),$AH$2:$AH$1001,0),MATCH(COLUMNS($AO$1006:BE1006),$AO$1006:$BQ$1006,0)), HYPERLINK("#",""), HYPERLINK(CONCATENATE("#Metadata!", ADDRESS(INDEX($AJ$2:$AJ$1001,MATCH(ROWS($AH$2:AH401),$AH$2:$AH$1001,0),0), INDEX($AO$1004:$BQ$1004,1,MATCH(COLUMNS($AO$1006:BE1006),$AO$1006:$BQ$1006,0)))),"Fix")))</f>
        <v>#N/A</v>
      </c>
      <c r="S401" s="5" t="e">
        <f ca="1">IF(OR(INDEX($AI$2:$AI$1001,MATCH(ROWS($AH$2:AH401),$AH$2:$AH$1001,0),1)&gt;=100000,INDEX($AO$1005:$BQ$1005,1,MATCH(COLUMNS($AO$1006:BF1006),$AO$1006:$BQ$1006,0))&gt;=100000), " ",IF(INDEX($AO$2:$BQ$1001,MATCH(ROWS($AH$2:AH401),$AH$2:$AH$1001,0),MATCH(COLUMNS($AO$1006:BF1006),$AO$1006:$BQ$1006,0)), HYPERLINK("#",""), HYPERLINK(CONCATENATE("#Metadata!", ADDRESS(INDEX($AJ$2:$AJ$1001,MATCH(ROWS($AH$2:AH401),$AH$2:$AH$1001,0),0), INDEX($AO$1004:$BQ$1004,1,MATCH(COLUMNS($AO$1006:BF1006),$AO$1006:$BQ$1006,0)))),"Fix")))</f>
        <v>#N/A</v>
      </c>
      <c r="T401" s="5" t="e">
        <f ca="1">IF(OR(INDEX($AI$2:$AI$1001,MATCH(ROWS($AH$2:AH401),$AH$2:$AH$1001,0),1)&gt;=100000,INDEX($AO$1005:$BQ$1005,1,MATCH(COLUMNS($AO$1006:BG1006),$AO$1006:$BQ$1006,0))&gt;=100000), " ",IF(INDEX($AO$2:$BQ$1001,MATCH(ROWS($AH$2:AH401),$AH$2:$AH$1001,0),MATCH(COLUMNS($AO$1006:BG1006),$AO$1006:$BQ$1006,0)), HYPERLINK("#",""), HYPERLINK(CONCATENATE("#Metadata!", ADDRESS(INDEX($AJ$2:$AJ$1001,MATCH(ROWS($AH$2:AH401),$AH$2:$AH$1001,0),0), INDEX($AO$1004:$BQ$1004,1,MATCH(COLUMNS($AO$1006:BG1006),$AO$1006:$BQ$1006,0)))),"Fix")))</f>
        <v>#N/A</v>
      </c>
      <c r="U401" s="5" t="e">
        <f ca="1">IF(OR(INDEX($AI$2:$AI$1001,MATCH(ROWS($AH$2:AH401),$AH$2:$AH$1001,0),1)&gt;=100000,INDEX($AO$1005:$BQ$1005,1,MATCH(COLUMNS($AO$1006:BH1006),$AO$1006:$BQ$1006,0))&gt;=100000), " ",IF(INDEX($AO$2:$BQ$1001,MATCH(ROWS($AH$2:AH401),$AH$2:$AH$1001,0),MATCH(COLUMNS($AO$1006:BH1006),$AO$1006:$BQ$1006,0)), HYPERLINK("#",""), HYPERLINK(CONCATENATE("#Metadata!", ADDRESS(INDEX($AJ$2:$AJ$1001,MATCH(ROWS($AH$2:AH401),$AH$2:$AH$1001,0),0), INDEX($AO$1004:$BQ$1004,1,MATCH(COLUMNS($AO$1006:BH1006),$AO$1006:$BQ$1006,0)))),"Fix")))</f>
        <v>#N/A</v>
      </c>
      <c r="V401" s="5" t="e">
        <f ca="1">IF(OR(INDEX($AI$2:$AI$1001,MATCH(ROWS($AH$2:AH401),$AH$2:$AH$1001,0),1)&gt;=100000,INDEX($AO$1005:$BQ$1005,1,MATCH(COLUMNS($AO$1006:BI1006),$AO$1006:$BQ$1006,0))&gt;=100000), " ",IF(INDEX($AO$2:$BQ$1001,MATCH(ROWS($AH$2:AH401),$AH$2:$AH$1001,0),MATCH(COLUMNS($AO$1006:BI1006),$AO$1006:$BQ$1006,0)), HYPERLINK("#",""), HYPERLINK(CONCATENATE("#Metadata!", ADDRESS(INDEX($AJ$2:$AJ$1001,MATCH(ROWS($AH$2:AH401),$AH$2:$AH$1001,0),0), INDEX($AO$1004:$BQ$1004,1,MATCH(COLUMNS($AO$1006:BI1006),$AO$1006:$BQ$1006,0)))),"Fix")))</f>
        <v>#N/A</v>
      </c>
      <c r="W401" s="5" t="e">
        <f ca="1">IF(OR(INDEX($AI$2:$AI$1001,MATCH(ROWS($AH$2:AH401),$AH$2:$AH$1001,0),1)&gt;=100000,INDEX($AO$1005:$BQ$1005,1,MATCH(COLUMNS($AO$1006:BJ1006),$AO$1006:$BQ$1006,0))&gt;=100000), " ",IF(INDEX($AO$2:$BQ$1001,MATCH(ROWS($AH$2:AH401),$AH$2:$AH$1001,0),MATCH(COLUMNS($AO$1006:BJ1006),$AO$1006:$BQ$1006,0)), HYPERLINK("#",""), HYPERLINK(CONCATENATE("#Metadata!", ADDRESS(INDEX($AJ$2:$AJ$1001,MATCH(ROWS($AH$2:AH401),$AH$2:$AH$1001,0),0), INDEX($AO$1004:$BQ$1004,1,MATCH(COLUMNS($AO$1006:BJ1006),$AO$1006:$BQ$1006,0)))),"Fix")))</f>
        <v>#N/A</v>
      </c>
      <c r="X401" s="5" t="e">
        <f ca="1">IF(OR(INDEX($AI$2:$AI$1001,MATCH(ROWS($AH$2:AH401),$AH$2:$AH$1001,0),1)&gt;=100000,INDEX($AO$1005:$BQ$1005,1,MATCH(COLUMNS($AO$1006:BK1006),$AO$1006:$BQ$1006,0))&gt;=100000), " ",IF(INDEX($AO$2:$BQ$1001,MATCH(ROWS($AH$2:AH401),$AH$2:$AH$1001,0),MATCH(COLUMNS($AO$1006:BK1006),$AO$1006:$BQ$1006,0)), HYPERLINK("#",""), HYPERLINK(CONCATENATE("#Metadata!", ADDRESS(INDEX($AJ$2:$AJ$1001,MATCH(ROWS($AH$2:AH401),$AH$2:$AH$1001,0),0), INDEX($AO$1004:$BQ$1004,1,MATCH(COLUMNS($AO$1006:BK1006),$AO$1006:$BQ$1006,0)))),"Fix")))</f>
        <v>#N/A</v>
      </c>
      <c r="Y401" s="5" t="e">
        <f ca="1">IF(OR(INDEX($AI$2:$AI$1001,MATCH(ROWS($AH$2:AH401),$AH$2:$AH$1001,0),1)&gt;=100000,INDEX($AO$1005:$BQ$1005,1,MATCH(COLUMNS($AO$1006:BL1006),$AO$1006:$BQ$1006,0))&gt;=100000), " ",IF(INDEX($AO$2:$BQ$1001,MATCH(ROWS($AH$2:AH401),$AH$2:$AH$1001,0),MATCH(COLUMNS($AO$1006:BL1006),$AO$1006:$BQ$1006,0)), HYPERLINK("#",""), HYPERLINK(CONCATENATE("#Metadata!", ADDRESS(INDEX($AJ$2:$AJ$1001,MATCH(ROWS($AH$2:AH401),$AH$2:$AH$1001,0),0), INDEX($AO$1004:$BQ$1004,1,MATCH(COLUMNS($AO$1006:BL1006),$AO$1006:$BQ$1006,0)))),"Fix")))</f>
        <v>#N/A</v>
      </c>
      <c r="Z401" s="5" t="e">
        <f ca="1">IF(OR(INDEX($AI$2:$AI$1001,MATCH(ROWS($AH$2:AH401),$AH$2:$AH$1001,0),1)&gt;=100000,INDEX($AO$1005:$BQ$1005,1,MATCH(COLUMNS($AO$1006:BM1006),$AO$1006:$BQ$1006,0))&gt;=100000), " ",IF(INDEX($AO$2:$BQ$1001,MATCH(ROWS($AH$2:AH401),$AH$2:$AH$1001,0),MATCH(COLUMNS($AO$1006:BM1006),$AO$1006:$BQ$1006,0)), HYPERLINK("#",""), HYPERLINK(CONCATENATE("#Metadata!", ADDRESS(INDEX($AJ$2:$AJ$1001,MATCH(ROWS($AH$2:AH401),$AH$2:$AH$1001,0),0), INDEX($AO$1004:$BQ$1004,1,MATCH(COLUMNS($AO$1006:BM1006),$AO$1006:$BQ$1006,0)))),"Fix")))</f>
        <v>#N/A</v>
      </c>
      <c r="AA401" s="5" t="e">
        <f ca="1">IF(OR(INDEX($AI$2:$AI$1001,MATCH(ROWS($AH$2:AH401),$AH$2:$AH$1001,0),1)&gt;=100000,INDEX($AO$1005:$BQ$1005,1,MATCH(COLUMNS($AO$1006:BN1006),$AO$1006:$BQ$1006,0))&gt;=100000), " ",IF(INDEX($AO$2:$BQ$1001,MATCH(ROWS($AH$2:AH401),$AH$2:$AH$1001,0),MATCH(COLUMNS($AO$1006:BN1006),$AO$1006:$BQ$1006,0)), HYPERLINK("#",""), HYPERLINK(CONCATENATE("#Metadata!", ADDRESS(INDEX($AJ$2:$AJ$1001,MATCH(ROWS($AH$2:AH401),$AH$2:$AH$1001,0),0), INDEX($AO$1004:$BQ$1004,1,MATCH(COLUMNS($AO$1006:BN1006),$AO$1006:$BQ$1006,0)))),"Fix")))</f>
        <v>#N/A</v>
      </c>
      <c r="AB401" s="5" t="e">
        <f ca="1">IF(OR(INDEX($AI$2:$AI$1001,MATCH(ROWS($AH$2:AH401),$AH$2:$AH$1001,0),1)&gt;=100000,INDEX($AO$1005:$BQ$1005,1,MATCH(COLUMNS($AO$1006:BO1006),$AO$1006:$BQ$1006,0))&gt;=100000), " ",IF(INDEX($AO$2:$BQ$1001,MATCH(ROWS($AH$2:AH401),$AH$2:$AH$1001,0),MATCH(COLUMNS($AO$1006:BO1006),$AO$1006:$BQ$1006,0)), HYPERLINK("#",""), HYPERLINK(CONCATENATE("#Metadata!", ADDRESS(INDEX($AJ$2:$AJ$1001,MATCH(ROWS($AH$2:AH401),$AH$2:$AH$1001,0),0), INDEX($AO$1004:$BQ$1004,1,MATCH(COLUMNS($AO$1006:BO1006),$AO$1006:$BQ$1006,0)))),"Fix")))</f>
        <v>#N/A</v>
      </c>
      <c r="AC401" s="5" t="e">
        <f ca="1">IF(OR(INDEX($AI$2:$AI$1001,MATCH(ROWS($AH$2:AH401),$AH$2:$AH$1001,0),1)&gt;=100000,INDEX($AO$1005:$BQ$1005,1,MATCH(COLUMNS($AO$1006:BP1006),$AO$1006:$BQ$1006,0))&gt;=100000), " ",IF(INDEX($AO$2:$BQ$1001,MATCH(ROWS($AH$2:AH401),$AH$2:$AH$1001,0),MATCH(COLUMNS($AO$1006:BP1006),$AO$1006:$BQ$1006,0)), HYPERLINK("#",""), HYPERLINK(CONCATENATE("#Metadata!", ADDRESS(INDEX($AJ$2:$AJ$1001,MATCH(ROWS($AH$2:AH401),$AH$2:$AH$1001,0),0), INDEX($AO$1004:$BQ$1004,1,MATCH(COLUMNS($AO$1006:BP1006),$AO$1006:$BQ$1006,0)))),"Fix")))</f>
        <v>#N/A</v>
      </c>
      <c r="AD401" s="5" t="e">
        <f ca="1">IF(OR(INDEX($AI$2:$AI$1001,MATCH(ROWS($AH$2:AH401),$AH$2:$AH$1001,0),1)&gt;=100000,INDEX($AO$1005:$BQ$1005,1,MATCH(COLUMNS($AO$1006:BQ1006),$AO$1006:$BQ$1006,0))&gt;=100000), " ",IF(INDEX($AO$2:$BQ$1001,MATCH(ROWS($AH$2:AH401),$AH$2:$AH$1001,0),MATCH(COLUMNS($AO$1006:BQ1006),$AO$1006:$BQ$1006,0)), HYPERLINK("#",""), HYPERLINK(CONCATENATE("#Metadata!", ADDRESS(INDEX($AJ$2:$AJ$1001,MATCH(ROWS($AH$2:AH401),$AH$2:$AH$1001,0),0), INDEX($AO$1004:$BQ$1004,1,MATCH(COLUMNS($AO$1006:BQ1006),$AO$1006:$BQ$1006,0)))),"Fix")))</f>
        <v>#REF!</v>
      </c>
      <c r="AH401">
        <f ca="1"/>
        <v>398</v>
      </c>
      <c r="AI401">
        <v>100401</v>
      </c>
      <c r="AJ401">
        <v>401</v>
      </c>
      <c r="AK401" t="b">
        <f t="shared" si="6"/>
        <v>1</v>
      </c>
      <c r="AL401" t="b">
        <f>COUNTBLANK(Metadata!B401:AD401)=COLUMNS(Metadata!B401:AD401)</f>
        <v>1</v>
      </c>
      <c r="AM401" t="str">
        <v/>
      </c>
      <c r="AO401" t="b">
        <f ca="1">AND(IF(Metadata!B401="",FALSE,TRUE),COUNTIF(Metadata!B:B, Metadata!B401) = 1,NOT(ISERROR(SUMPRODUCT(SEARCH(MID(Metadata!B401,ROW(INDIRECT("1:"&amp;LEN(Metadata!B401))), 1),"0123456789abcdefghijklmnopqrstuvwxyzABCDEFGHIJKLMNOPQRSTUVWXYZ.")))))</f>
        <v>0</v>
      </c>
      <c r="AP401" t="b">
        <f>IF(Metadata!C401="",FALSE,TRUE)</f>
        <v>0</v>
      </c>
      <c r="AQ401" t="b">
        <f>IF(Metadata!D401="",FALSE,TRUE)</f>
        <v>0</v>
      </c>
      <c r="AR401" t="b">
        <f ca="1">OR(AND(IF(Metadata!E401="",FALSE,TRUE),OR(EXACT(Metadata!E401,"not collected"),EXACT(Metadata!E401,"not provided"),EXACT(Metadata!E401,"restricted access"))),AND(IF(Metadata!E401="",FALSE,TRUE),AND(AND(IFERROR(INT(LEFT(Metadata!E401,4))&gt;1900,FALSE),IFERROR(INT(LEFT(Metadata!E401,4))&lt;=YEAR(NOW()),FALSE)), OR(MID(Metadata!E401,5,1)="", AND(AND(MID(Metadata!E401,5,1)="-",IFERROR(INT(MID(Metadata!E401,6,1))&gt;=0,FALSE),IFERROR(INT(MID(Metadata!E401,6,1))&lt;=1,FALSE),NOT(MID(Metadata!E401,7,1)=""),IFERROR(INT(MID(Metadata!E401,6,2))&gt;=1,FALSE),IFERROR(INT(MID(Metadata!E401,6,2))&lt;=12,FALSE)), OR(MID(Metadata!E401,8,1)="", AND(AND(MID(Metadata!E401,8,1)="-",IFERROR(INT(MID(Metadata!E401,9,1))&gt;=0,FALSE),IFERROR(INT(MID(Metadata!E401,9,1))&lt;=3,FALSE),NOT(MID(Metadata!E401,10,1)=""),IFERROR(INT(MID(Metadata!E401,9,2))&gt;=1,FALSE),IFERROR(INT(MID(Metadata!E401,9,2))&lt;=31,FALSE)), OR(MID(Metadata!E401,11,1)="", AND(AND(MID(Metadata!E401,11,1)=" ",IFERROR(INT(MID(Metadata!E401,12,1))&gt;=0,FALSE),IFERROR(INT(MID(Metadata!E401,12,1))&lt;=2,FALSE),NOT(MID(Metadata!E401,13,1)=""),IFERROR(INT(MID(Metadata!E401,12,2))&gt;=0,FALSE),IFERROR(INT(MID(Metadata!E401,12,2))&lt;=23,FALSE)), OR(MID(Metadata!E401,14,1)="", AND(AND(MID(Metadata!E401,14,1)=":",IFERROR(INT(MID(Metadata!E401,15,1))&gt;=0,FALSE),IFERROR(INT(MID(Metadata!E401,15,1))&lt;=5,FALSE),NOT(MID(Metadata!E401,16,1)=""),IFERROR(INT(MID(Metadata!E401,15,2))&gt;=0,FALSE),IFERROR(INT(MID(Metadata!E401,15,2))&lt;=59,FALSE)), OR(MID(Metadata!E401,17,1)="", AND(AND(MID(Metadata!E401,17,1)=":",IFERROR(INT(MID(Metadata!E401,18,1))&gt;=0,FALSE),IFERROR(INT(MID(Metadata!E401,18,1))&lt;=5,FALSE),NOT(MID(Metadata!E401,19,1)=""),IFERROR(INT(MID(Metadata!E401,18,2))&gt;=0,FALSE),IFERROR(INT(MID(Metadata!E401,18,2))&lt;=59,FALSE)), LEN(Metadata!E401)&lt;=19)))))))))))))</f>
        <v>0</v>
      </c>
      <c r="AS401" t="b">
        <f>IF(Metadata!F401="",FALSE,TRUE)</f>
        <v>0</v>
      </c>
      <c r="AT401" t="b">
        <f>OR(AND(IF(Metadata!G401="",FALSE,TRUE),OR(EXACT(Metadata!G401,"not collected"),EXACT(Metadata!G401,"not provided"))),AND(IF(Metadata!G401="",FALSE,TRUE),OR(EXACT(Metadata!G401,"TRUE"),EXACT(Metadata!G401,"FALSE"))))</f>
        <v>0</v>
      </c>
      <c r="AU401" t="b">
        <f>OR(AND(IF(Metadata!H401="",FALSE,TRUE),OR(EXACT(Metadata!H401,"not collected"),EXACT(Metadata!H401,"not provided"),EXACT(Metadata!H401,"restricted access"))),AND(IF(Metadata!H401="",FALSE,ISNUMBER(VALUE(Metadata!H401))),Metadata!H401&gt;=-413))</f>
        <v>0</v>
      </c>
      <c r="AV401" t="b">
        <f>AND(IF(Metadata!I401="",FALSE,TRUE),EXACT(Metadata!I401,"meters"))</f>
        <v>0</v>
      </c>
      <c r="AW401" t="b">
        <f>AND(IF(Metadata!J401="",FALSE,TRUE),EXACT(Metadata!J401,"free-living"))</f>
        <v>0</v>
      </c>
      <c r="AX401" t="b">
        <f>AND(IF(Metadata!K401="",FALSE,TRUE),OR(EXACT(Metadata!K401,"saline"),EXACT(Metadata!K401,"non-saline")))</f>
        <v>0</v>
      </c>
      <c r="AY401" t="b">
        <f>AND(IF(Metadata!L401="",FALSE,TRUE),OR(EXACT(Metadata!L401,"sub-surface (non-saline)"),EXACT(Metadata!L401,"surface (non-saline)"),EXACT(Metadata!L401,"water (non-saline)"),EXACT(Metadata!L401,"soil (non-saline)"),EXACT(Metadata!L401,"aerosol (non-saline)"),EXACT(Metadata!L401,"sediment (non-saline)"),EXACT(Metadata!L401,"surface (saline)"),EXACT(Metadata!L401,"water (saline)"),EXACT(Metadata!L401,"hypersaline (saline)"),EXACT(Metadata!L401,"aerosol (saline)"),EXACT(Metadata!L401,"sediment (saline)")))</f>
        <v>0</v>
      </c>
      <c r="AZ401" t="b">
        <f>IF(Metadata!M401="",FALSE,TRUE)</f>
        <v>0</v>
      </c>
      <c r="BA401" t="b">
        <f>IF(Metadata!N401="",FALSE,TRUE)</f>
        <v>0</v>
      </c>
      <c r="BB401" t="b">
        <f>IF(Metadata!O401="",FALSE,TRUE)</f>
        <v>0</v>
      </c>
      <c r="BC401" t="b">
        <f>AND(IF(Metadata!P401="",FALSE,TRUE),OR(EXACT(Metadata!P401,"air"),EXACT(Metadata!P401,"microbial mat/biofilm"),EXACT(Metadata!P401,"misc environment"),EXACT(Metadata!P401,"sediment"),EXACT(Metadata!P401,"soil"),EXACT(Metadata!P401,"wastewater/sludge"),EXACT(Metadata!P401,"water")))</f>
        <v>0</v>
      </c>
      <c r="BD401" t="b">
        <f>IF(Metadata!Q401="",FALSE,TRUE)</f>
        <v>0</v>
      </c>
      <c r="BE401" t="b">
        <f>IF(Metadata!R401="",FALSE,TRUE)</f>
        <v>0</v>
      </c>
      <c r="BF401" t="b">
        <f>OR(AND(IF(Metadata!S401="",FALSE,TRUE),OR(EXACT(Metadata!S401,"not collected"),EXACT(Metadata!S401,"not provided"),EXACT(Metadata!S401,"restricted access"))),AND(IF(Metadata!S401="",FALSE,ISNUMBER(VALUE(Metadata!S401))),Metadata!S401&gt;=-90,Metadata!S401&lt;=90))</f>
        <v>0</v>
      </c>
      <c r="BG401" t="b">
        <f>AND(IF(Metadata!T401="",FALSE,TRUE),EXACT(Metadata!T401,"Decimal degrees"))</f>
        <v>0</v>
      </c>
      <c r="BH401" t="b">
        <f>OR(AND(IF(Metadata!U401="",FALSE,TRUE),OR(EXACT(Metadata!U401,"not applicable"),EXACT(Metadata!U401,"not collected"))),IF(Metadata!U401="",FALSE,TRUE))</f>
        <v>0</v>
      </c>
      <c r="BI401" t="b">
        <f>OR(AND(IF(Metadata!V401="",FALSE,TRUE),OR(EXACT(Metadata!V401,"not collected"),EXACT(Metadata!V401,"not provided"),EXACT(Metadata!V401,"restricted access"))),AND(IF(Metadata!V401="",FALSE,ISNUMBER(VALUE(Metadata!V401))),Metadata!V401&gt;=-180,Metadata!V401&lt;=180))</f>
        <v>0</v>
      </c>
      <c r="BJ401" t="b">
        <f>AND(IF(Metadata!W401="",FALSE,TRUE),EXACT(Metadata!W401,"Decimal degrees"))</f>
        <v>0</v>
      </c>
      <c r="BK401" t="b">
        <f>IF(Metadata!X401="",FALSE,TRUE)</f>
        <v>0</v>
      </c>
      <c r="BL401" t="b">
        <f>OR(AND(IF(Metadata!Y401="",FALSE,TRUE),OR(EXACT(Metadata!Y401,"not collected"),EXACT(Metadata!Y401,"not provided"),EXACT(Metadata!Y401,"restricted access"))),AND(IF(Metadata!Y401="",FALSE,TRUE),OR(EXACT(Metadata!Y401,"TRUE"),EXACT(Metadata!Y401,"FALSE"))))</f>
        <v>0</v>
      </c>
      <c r="BM401" t="b">
        <f>OR(AND(IF(Metadata!Z401="",FALSE,TRUE),EXACT(Metadata!Z401,"not applicable")),AND(IF(Metadata!Z401="",FALSE,TRUE),OR(EXACT(Metadata!Z401,"beer"),EXACT(Metadata!Z401,"cheese"),EXACT(Metadata!Z401,"fresh water"),EXACT(Metadata!Z401,"marine sediment"),EXACT(Metadata!Z401,"sea water"),EXACT(Metadata!Z401,"sediment"),EXACT(Metadata!Z401,"soil"),EXACT(Metadata!Z401,"waste water"))))</f>
        <v>0</v>
      </c>
      <c r="BN401" t="b">
        <f>AND(IF(Metadata!AA401="",FALSE,TRUE),EXACT(Metadata!AA401,"metagenome"))</f>
        <v>0</v>
      </c>
      <c r="BO401" t="b">
        <f>AND(IF(Metadata!AB401="",FALSE,TRUE),EXACT(Metadata!AB401,"256318"))</f>
        <v>0</v>
      </c>
      <c r="BP401" t="b">
        <f>IF(Metadata!AC401="",FALSE,TRUE)</f>
        <v>0</v>
      </c>
      <c r="BQ401" t="b">
        <f>IF(Metadata!AD401="",FALSE,TRUE)</f>
        <v>0</v>
      </c>
    </row>
    <row r="402" spans="1:69" x14ac:dyDescent="0.2">
      <c r="A402" s="4" t="e">
        <f ca="1">IF(B402=" "," ",HYPERLINK(CONCATENATE("#metadata!",ADDRESS(INDEX($AJ$2:$AJ$1001,MATCH(ROWS($AH$2:AH402),$AH$2:$AH$1001,0),0),2)),INDEX($AM$2:$AM$1001,MATCH(ROWS($AH$2:AH402),$AH$2:$AH$1001,0),0)))</f>
        <v>#N/A</v>
      </c>
      <c r="B402" s="5" t="e">
        <f ca="1">IF(OR(INDEX($AI$2:$AI$1001,MATCH(ROWS($AH$2:AH402),$AH$2:$AH$1001,0),1)&gt;=100000,INDEX($AO$1005:$BQ$1005,1,MATCH(COLUMNS($AO$1006:AO1006),$AO$1006:$BQ$1006,0))&gt;=100000), " ",IF(INDEX($AO$2:$BQ$1001,MATCH(ROWS($AH$2:AH402),$AH$2:$AH$1001,0),MATCH(COLUMNS($AO$1006:AO1006),$AO$1006:$BQ$1006,0)), HYPERLINK("#",""), HYPERLINK(CONCATENATE("#Metadata!", ADDRESS(INDEX($AJ$2:$AJ$1001,MATCH(ROWS($AH$2:AH402),$AH$2:$AH$1001,0),0), INDEX($AO$1004:$BQ$1004,1,MATCH(COLUMNS($AO$1006:AO1006),$AO$1006:$BQ$1006,0)))),"Fix")))</f>
        <v>#N/A</v>
      </c>
      <c r="C402" s="5" t="e">
        <f ca="1">IF(OR(INDEX($AI$2:$AI$1001,MATCH(ROWS($AH$2:AH402),$AH$2:$AH$1001,0),1)&gt;=100000,INDEX($AO$1005:$BQ$1005,1,MATCH(COLUMNS($AO$1006:AP1006),$AO$1006:$BQ$1006,0))&gt;=100000), " ",IF(INDEX($AO$2:$BQ$1001,MATCH(ROWS($AH$2:AH402),$AH$2:$AH$1001,0),MATCH(COLUMNS($AO$1006:AP1006),$AO$1006:$BQ$1006,0)), HYPERLINK("#",""), HYPERLINK(CONCATENATE("#Metadata!", ADDRESS(INDEX($AJ$2:$AJ$1001,MATCH(ROWS($AH$2:AH402),$AH$2:$AH$1001,0),0), INDEX($AO$1004:$BQ$1004,1,MATCH(COLUMNS($AO$1006:AP1006),$AO$1006:$BQ$1006,0)))),"Fix")))</f>
        <v>#N/A</v>
      </c>
      <c r="D402" s="5" t="e">
        <f ca="1">IF(OR(INDEX($AI$2:$AI$1001,MATCH(ROWS($AH$2:AH402),$AH$2:$AH$1001,0),1)&gt;=100000,INDEX($AO$1005:$BQ$1005,1,MATCH(COLUMNS($AO$1006:AQ1006),$AO$1006:$BQ$1006,0))&gt;=100000), " ",IF(INDEX($AO$2:$BQ$1001,MATCH(ROWS($AH$2:AH402),$AH$2:$AH$1001,0),MATCH(COLUMNS($AO$1006:AQ1006),$AO$1006:$BQ$1006,0)), HYPERLINK("#",""), HYPERLINK(CONCATENATE("#Metadata!", ADDRESS(INDEX($AJ$2:$AJ$1001,MATCH(ROWS($AH$2:AH402),$AH$2:$AH$1001,0),0), INDEX($AO$1004:$BQ$1004,1,MATCH(COLUMNS($AO$1006:AQ1006),$AO$1006:$BQ$1006,0)))),"Fix")))</f>
        <v>#N/A</v>
      </c>
      <c r="E402" s="5" t="e">
        <f ca="1">IF(OR(INDEX($AI$2:$AI$1001,MATCH(ROWS($AH$2:AH402),$AH$2:$AH$1001,0),1)&gt;=100000,INDEX($AO$1005:$BQ$1005,1,MATCH(COLUMNS($AO$1006:AR1006),$AO$1006:$BQ$1006,0))&gt;=100000), " ",IF(INDEX($AO$2:$BQ$1001,MATCH(ROWS($AH$2:AH402),$AH$2:$AH$1001,0),MATCH(COLUMNS($AO$1006:AR1006),$AO$1006:$BQ$1006,0)), HYPERLINK("#",""), HYPERLINK(CONCATENATE("#Metadata!", ADDRESS(INDEX($AJ$2:$AJ$1001,MATCH(ROWS($AH$2:AH402),$AH$2:$AH$1001,0),0), INDEX($AO$1004:$BQ$1004,1,MATCH(COLUMNS($AO$1006:AR1006),$AO$1006:$BQ$1006,0)))),"Fix")))</f>
        <v>#N/A</v>
      </c>
      <c r="F402" s="5" t="e">
        <f ca="1">IF(OR(INDEX($AI$2:$AI$1001,MATCH(ROWS($AH$2:AH402),$AH$2:$AH$1001,0),1)&gt;=100000,INDEX($AO$1005:$BQ$1005,1,MATCH(COLUMNS($AO$1006:AS1006),$AO$1006:$BQ$1006,0))&gt;=100000), " ",IF(INDEX($AO$2:$BQ$1001,MATCH(ROWS($AH$2:AH402),$AH$2:$AH$1001,0),MATCH(COLUMNS($AO$1006:AS1006),$AO$1006:$BQ$1006,0)), HYPERLINK("#",""), HYPERLINK(CONCATENATE("#Metadata!", ADDRESS(INDEX($AJ$2:$AJ$1001,MATCH(ROWS($AH$2:AH402),$AH$2:$AH$1001,0),0), INDEX($AO$1004:$BQ$1004,1,MATCH(COLUMNS($AO$1006:AS1006),$AO$1006:$BQ$1006,0)))),"Fix")))</f>
        <v>#N/A</v>
      </c>
      <c r="G402" s="5" t="e">
        <f ca="1">IF(OR(INDEX($AI$2:$AI$1001,MATCH(ROWS($AH$2:AH402),$AH$2:$AH$1001,0),1)&gt;=100000,INDEX($AO$1005:$BQ$1005,1,MATCH(COLUMNS($AO$1006:AT1006),$AO$1006:$BQ$1006,0))&gt;=100000), " ",IF(INDEX($AO$2:$BQ$1001,MATCH(ROWS($AH$2:AH402),$AH$2:$AH$1001,0),MATCH(COLUMNS($AO$1006:AT1006),$AO$1006:$BQ$1006,0)), HYPERLINK("#",""), HYPERLINK(CONCATENATE("#Metadata!", ADDRESS(INDEX($AJ$2:$AJ$1001,MATCH(ROWS($AH$2:AH402),$AH$2:$AH$1001,0),0), INDEX($AO$1004:$BQ$1004,1,MATCH(COLUMNS($AO$1006:AT1006),$AO$1006:$BQ$1006,0)))),"Fix")))</f>
        <v>#N/A</v>
      </c>
      <c r="H402" s="5" t="e">
        <f ca="1">IF(OR(INDEX($AI$2:$AI$1001,MATCH(ROWS($AH$2:AH402),$AH$2:$AH$1001,0),1)&gt;=100000,INDEX($AO$1005:$BQ$1005,1,MATCH(COLUMNS($AO$1006:AU1006),$AO$1006:$BQ$1006,0))&gt;=100000), " ",IF(INDEX($AO$2:$BQ$1001,MATCH(ROWS($AH$2:AH402),$AH$2:$AH$1001,0),MATCH(COLUMNS($AO$1006:AU1006),$AO$1006:$BQ$1006,0)), HYPERLINK("#",""), HYPERLINK(CONCATENATE("#Metadata!", ADDRESS(INDEX($AJ$2:$AJ$1001,MATCH(ROWS($AH$2:AH402),$AH$2:$AH$1001,0),0), INDEX($AO$1004:$BQ$1004,1,MATCH(COLUMNS($AO$1006:AU1006),$AO$1006:$BQ$1006,0)))),"Fix")))</f>
        <v>#N/A</v>
      </c>
      <c r="I402" s="5" t="e">
        <f ca="1">IF(OR(INDEX($AI$2:$AI$1001,MATCH(ROWS($AH$2:AH402),$AH$2:$AH$1001,0),1)&gt;=100000,INDEX($AO$1005:$BQ$1005,1,MATCH(COLUMNS($AO$1006:AV1006),$AO$1006:$BQ$1006,0))&gt;=100000), " ",IF(INDEX($AO$2:$BQ$1001,MATCH(ROWS($AH$2:AH402),$AH$2:$AH$1001,0),MATCH(COLUMNS($AO$1006:AV1006),$AO$1006:$BQ$1006,0)), HYPERLINK("#",""), HYPERLINK(CONCATENATE("#Metadata!", ADDRESS(INDEX($AJ$2:$AJ$1001,MATCH(ROWS($AH$2:AH402),$AH$2:$AH$1001,0),0), INDEX($AO$1004:$BQ$1004,1,MATCH(COLUMNS($AO$1006:AV1006),$AO$1006:$BQ$1006,0)))),"Fix")))</f>
        <v>#N/A</v>
      </c>
      <c r="J402" s="5" t="e">
        <f ca="1">IF(OR(INDEX($AI$2:$AI$1001,MATCH(ROWS($AH$2:AH402),$AH$2:$AH$1001,0),1)&gt;=100000,INDEX($AO$1005:$BQ$1005,1,MATCH(COLUMNS($AO$1006:AW1006),$AO$1006:$BQ$1006,0))&gt;=100000), " ",IF(INDEX($AO$2:$BQ$1001,MATCH(ROWS($AH$2:AH402),$AH$2:$AH$1001,0),MATCH(COLUMNS($AO$1006:AW1006),$AO$1006:$BQ$1006,0)), HYPERLINK("#",""), HYPERLINK(CONCATENATE("#Metadata!", ADDRESS(INDEX($AJ$2:$AJ$1001,MATCH(ROWS($AH$2:AH402),$AH$2:$AH$1001,0),0), INDEX($AO$1004:$BQ$1004,1,MATCH(COLUMNS($AO$1006:AW1006),$AO$1006:$BQ$1006,0)))),"Fix")))</f>
        <v>#N/A</v>
      </c>
      <c r="K402" s="5" t="e">
        <f ca="1">IF(OR(INDEX($AI$2:$AI$1001,MATCH(ROWS($AH$2:AH402),$AH$2:$AH$1001,0),1)&gt;=100000,INDEX($AO$1005:$BQ$1005,1,MATCH(COLUMNS($AO$1006:AX1006),$AO$1006:$BQ$1006,0))&gt;=100000), " ",IF(INDEX($AO$2:$BQ$1001,MATCH(ROWS($AH$2:AH402),$AH$2:$AH$1001,0),MATCH(COLUMNS($AO$1006:AX1006),$AO$1006:$BQ$1006,0)), HYPERLINK("#",""), HYPERLINK(CONCATENATE("#Metadata!", ADDRESS(INDEX($AJ$2:$AJ$1001,MATCH(ROWS($AH$2:AH402),$AH$2:$AH$1001,0),0), INDEX($AO$1004:$BQ$1004,1,MATCH(COLUMNS($AO$1006:AX1006),$AO$1006:$BQ$1006,0)))),"Fix")))</f>
        <v>#N/A</v>
      </c>
      <c r="L402" s="5" t="e">
        <f ca="1">IF(OR(INDEX($AI$2:$AI$1001,MATCH(ROWS($AH$2:AH402),$AH$2:$AH$1001,0),1)&gt;=100000,INDEX($AO$1005:$BQ$1005,1,MATCH(COLUMNS($AO$1006:AY1006),$AO$1006:$BQ$1006,0))&gt;=100000), " ",IF(INDEX($AO$2:$BQ$1001,MATCH(ROWS($AH$2:AH402),$AH$2:$AH$1001,0),MATCH(COLUMNS($AO$1006:AY1006),$AO$1006:$BQ$1006,0)), HYPERLINK("#",""), HYPERLINK(CONCATENATE("#Metadata!", ADDRESS(INDEX($AJ$2:$AJ$1001,MATCH(ROWS($AH$2:AH402),$AH$2:$AH$1001,0),0), INDEX($AO$1004:$BQ$1004,1,MATCH(COLUMNS($AO$1006:AY1006),$AO$1006:$BQ$1006,0)))),"Fix")))</f>
        <v>#N/A</v>
      </c>
      <c r="M402" s="5" t="e">
        <f ca="1">IF(OR(INDEX($AI$2:$AI$1001,MATCH(ROWS($AH$2:AH402),$AH$2:$AH$1001,0),1)&gt;=100000,INDEX($AO$1005:$BQ$1005,1,MATCH(COLUMNS($AO$1006:AZ1006),$AO$1006:$BQ$1006,0))&gt;=100000), " ",IF(INDEX($AO$2:$BQ$1001,MATCH(ROWS($AH$2:AH402),$AH$2:$AH$1001,0),MATCH(COLUMNS($AO$1006:AZ1006),$AO$1006:$BQ$1006,0)), HYPERLINK("#",""), HYPERLINK(CONCATENATE("#Metadata!", ADDRESS(INDEX($AJ$2:$AJ$1001,MATCH(ROWS($AH$2:AH402),$AH$2:$AH$1001,0),0), INDEX($AO$1004:$BQ$1004,1,MATCH(COLUMNS($AO$1006:AZ1006),$AO$1006:$BQ$1006,0)))),"Fix")))</f>
        <v>#N/A</v>
      </c>
      <c r="N402" s="5" t="e">
        <f ca="1">IF(OR(INDEX($AI$2:$AI$1001,MATCH(ROWS($AH$2:AH402),$AH$2:$AH$1001,0),1)&gt;=100000,INDEX($AO$1005:$BQ$1005,1,MATCH(COLUMNS($AO$1006:BA1006),$AO$1006:$BQ$1006,0))&gt;=100000), " ",IF(INDEX($AO$2:$BQ$1001,MATCH(ROWS($AH$2:AH402),$AH$2:$AH$1001,0),MATCH(COLUMNS($AO$1006:BA1006),$AO$1006:$BQ$1006,0)), HYPERLINK("#",""), HYPERLINK(CONCATENATE("#Metadata!", ADDRESS(INDEX($AJ$2:$AJ$1001,MATCH(ROWS($AH$2:AH402),$AH$2:$AH$1001,0),0), INDEX($AO$1004:$BQ$1004,1,MATCH(COLUMNS($AO$1006:BA1006),$AO$1006:$BQ$1006,0)))),"Fix")))</f>
        <v>#N/A</v>
      </c>
      <c r="O402" s="5" t="e">
        <f ca="1">IF(OR(INDEX($AI$2:$AI$1001,MATCH(ROWS($AH$2:AH402),$AH$2:$AH$1001,0),1)&gt;=100000,INDEX($AO$1005:$BQ$1005,1,MATCH(COLUMNS($AO$1006:BB1006),$AO$1006:$BQ$1006,0))&gt;=100000), " ",IF(INDEX($AO$2:$BQ$1001,MATCH(ROWS($AH$2:AH402),$AH$2:$AH$1001,0),MATCH(COLUMNS($AO$1006:BB1006),$AO$1006:$BQ$1006,0)), HYPERLINK("#",""), HYPERLINK(CONCATENATE("#Metadata!", ADDRESS(INDEX($AJ$2:$AJ$1001,MATCH(ROWS($AH$2:AH402),$AH$2:$AH$1001,0),0), INDEX($AO$1004:$BQ$1004,1,MATCH(COLUMNS($AO$1006:BB1006),$AO$1006:$BQ$1006,0)))),"Fix")))</f>
        <v>#N/A</v>
      </c>
      <c r="P402" s="5" t="e">
        <f ca="1">IF(OR(INDEX($AI$2:$AI$1001,MATCH(ROWS($AH$2:AH402),$AH$2:$AH$1001,0),1)&gt;=100000,INDEX($AO$1005:$BQ$1005,1,MATCH(COLUMNS($AO$1006:BC1006),$AO$1006:$BQ$1006,0))&gt;=100000), " ",IF(INDEX($AO$2:$BQ$1001,MATCH(ROWS($AH$2:AH402),$AH$2:$AH$1001,0),MATCH(COLUMNS($AO$1006:BC1006),$AO$1006:$BQ$1006,0)), HYPERLINK("#",""), HYPERLINK(CONCATENATE("#Metadata!", ADDRESS(INDEX($AJ$2:$AJ$1001,MATCH(ROWS($AH$2:AH402),$AH$2:$AH$1001,0),0), INDEX($AO$1004:$BQ$1004,1,MATCH(COLUMNS($AO$1006:BC1006),$AO$1006:$BQ$1006,0)))),"Fix")))</f>
        <v>#N/A</v>
      </c>
      <c r="Q402" s="5" t="e">
        <f ca="1">IF(OR(INDEX($AI$2:$AI$1001,MATCH(ROWS($AH$2:AH402),$AH$2:$AH$1001,0),1)&gt;=100000,INDEX($AO$1005:$BQ$1005,1,MATCH(COLUMNS($AO$1006:BD1006),$AO$1006:$BQ$1006,0))&gt;=100000), " ",IF(INDEX($AO$2:$BQ$1001,MATCH(ROWS($AH$2:AH402),$AH$2:$AH$1001,0),MATCH(COLUMNS($AO$1006:BD1006),$AO$1006:$BQ$1006,0)), HYPERLINK("#",""), HYPERLINK(CONCATENATE("#Metadata!", ADDRESS(INDEX($AJ$2:$AJ$1001,MATCH(ROWS($AH$2:AH402),$AH$2:$AH$1001,0),0), INDEX($AO$1004:$BQ$1004,1,MATCH(COLUMNS($AO$1006:BD1006),$AO$1006:$BQ$1006,0)))),"Fix")))</f>
        <v>#N/A</v>
      </c>
      <c r="R402" s="5" t="e">
        <f ca="1">IF(OR(INDEX($AI$2:$AI$1001,MATCH(ROWS($AH$2:AH402),$AH$2:$AH$1001,0),1)&gt;=100000,INDEX($AO$1005:$BQ$1005,1,MATCH(COLUMNS($AO$1006:BE1006),$AO$1006:$BQ$1006,0))&gt;=100000), " ",IF(INDEX($AO$2:$BQ$1001,MATCH(ROWS($AH$2:AH402),$AH$2:$AH$1001,0),MATCH(COLUMNS($AO$1006:BE1006),$AO$1006:$BQ$1006,0)), HYPERLINK("#",""), HYPERLINK(CONCATENATE("#Metadata!", ADDRESS(INDEX($AJ$2:$AJ$1001,MATCH(ROWS($AH$2:AH402),$AH$2:$AH$1001,0),0), INDEX($AO$1004:$BQ$1004,1,MATCH(COLUMNS($AO$1006:BE1006),$AO$1006:$BQ$1006,0)))),"Fix")))</f>
        <v>#N/A</v>
      </c>
      <c r="S402" s="5" t="e">
        <f ca="1">IF(OR(INDEX($AI$2:$AI$1001,MATCH(ROWS($AH$2:AH402),$AH$2:$AH$1001,0),1)&gt;=100000,INDEX($AO$1005:$BQ$1005,1,MATCH(COLUMNS($AO$1006:BF1006),$AO$1006:$BQ$1006,0))&gt;=100000), " ",IF(INDEX($AO$2:$BQ$1001,MATCH(ROWS($AH$2:AH402),$AH$2:$AH$1001,0),MATCH(COLUMNS($AO$1006:BF1006),$AO$1006:$BQ$1006,0)), HYPERLINK("#",""), HYPERLINK(CONCATENATE("#Metadata!", ADDRESS(INDEX($AJ$2:$AJ$1001,MATCH(ROWS($AH$2:AH402),$AH$2:$AH$1001,0),0), INDEX($AO$1004:$BQ$1004,1,MATCH(COLUMNS($AO$1006:BF1006),$AO$1006:$BQ$1006,0)))),"Fix")))</f>
        <v>#N/A</v>
      </c>
      <c r="T402" s="5" t="e">
        <f ca="1">IF(OR(INDEX($AI$2:$AI$1001,MATCH(ROWS($AH$2:AH402),$AH$2:$AH$1001,0),1)&gt;=100000,INDEX($AO$1005:$BQ$1005,1,MATCH(COLUMNS($AO$1006:BG1006),$AO$1006:$BQ$1006,0))&gt;=100000), " ",IF(INDEX($AO$2:$BQ$1001,MATCH(ROWS($AH$2:AH402),$AH$2:$AH$1001,0),MATCH(COLUMNS($AO$1006:BG1006),$AO$1006:$BQ$1006,0)), HYPERLINK("#",""), HYPERLINK(CONCATENATE("#Metadata!", ADDRESS(INDEX($AJ$2:$AJ$1001,MATCH(ROWS($AH$2:AH402),$AH$2:$AH$1001,0),0), INDEX($AO$1004:$BQ$1004,1,MATCH(COLUMNS($AO$1006:BG1006),$AO$1006:$BQ$1006,0)))),"Fix")))</f>
        <v>#N/A</v>
      </c>
      <c r="U402" s="5" t="e">
        <f ca="1">IF(OR(INDEX($AI$2:$AI$1001,MATCH(ROWS($AH$2:AH402),$AH$2:$AH$1001,0),1)&gt;=100000,INDEX($AO$1005:$BQ$1005,1,MATCH(COLUMNS($AO$1006:BH1006),$AO$1006:$BQ$1006,0))&gt;=100000), " ",IF(INDEX($AO$2:$BQ$1001,MATCH(ROWS($AH$2:AH402),$AH$2:$AH$1001,0),MATCH(COLUMNS($AO$1006:BH1006),$AO$1006:$BQ$1006,0)), HYPERLINK("#",""), HYPERLINK(CONCATENATE("#Metadata!", ADDRESS(INDEX($AJ$2:$AJ$1001,MATCH(ROWS($AH$2:AH402),$AH$2:$AH$1001,0),0), INDEX($AO$1004:$BQ$1004,1,MATCH(COLUMNS($AO$1006:BH1006),$AO$1006:$BQ$1006,0)))),"Fix")))</f>
        <v>#N/A</v>
      </c>
      <c r="V402" s="5" t="e">
        <f ca="1">IF(OR(INDEX($AI$2:$AI$1001,MATCH(ROWS($AH$2:AH402),$AH$2:$AH$1001,0),1)&gt;=100000,INDEX($AO$1005:$BQ$1005,1,MATCH(COLUMNS($AO$1006:BI1006),$AO$1006:$BQ$1006,0))&gt;=100000), " ",IF(INDEX($AO$2:$BQ$1001,MATCH(ROWS($AH$2:AH402),$AH$2:$AH$1001,0),MATCH(COLUMNS($AO$1006:BI1006),$AO$1006:$BQ$1006,0)), HYPERLINK("#",""), HYPERLINK(CONCATENATE("#Metadata!", ADDRESS(INDEX($AJ$2:$AJ$1001,MATCH(ROWS($AH$2:AH402),$AH$2:$AH$1001,0),0), INDEX($AO$1004:$BQ$1004,1,MATCH(COLUMNS($AO$1006:BI1006),$AO$1006:$BQ$1006,0)))),"Fix")))</f>
        <v>#N/A</v>
      </c>
      <c r="W402" s="5" t="e">
        <f ca="1">IF(OR(INDEX($AI$2:$AI$1001,MATCH(ROWS($AH$2:AH402),$AH$2:$AH$1001,0),1)&gt;=100000,INDEX($AO$1005:$BQ$1005,1,MATCH(COLUMNS($AO$1006:BJ1006),$AO$1006:$BQ$1006,0))&gt;=100000), " ",IF(INDEX($AO$2:$BQ$1001,MATCH(ROWS($AH$2:AH402),$AH$2:$AH$1001,0),MATCH(COLUMNS($AO$1006:BJ1006),$AO$1006:$BQ$1006,0)), HYPERLINK("#",""), HYPERLINK(CONCATENATE("#Metadata!", ADDRESS(INDEX($AJ$2:$AJ$1001,MATCH(ROWS($AH$2:AH402),$AH$2:$AH$1001,0),0), INDEX($AO$1004:$BQ$1004,1,MATCH(COLUMNS($AO$1006:BJ1006),$AO$1006:$BQ$1006,0)))),"Fix")))</f>
        <v>#N/A</v>
      </c>
      <c r="X402" s="5" t="e">
        <f ca="1">IF(OR(INDEX($AI$2:$AI$1001,MATCH(ROWS($AH$2:AH402),$AH$2:$AH$1001,0),1)&gt;=100000,INDEX($AO$1005:$BQ$1005,1,MATCH(COLUMNS($AO$1006:BK1006),$AO$1006:$BQ$1006,0))&gt;=100000), " ",IF(INDEX($AO$2:$BQ$1001,MATCH(ROWS($AH$2:AH402),$AH$2:$AH$1001,0),MATCH(COLUMNS($AO$1006:BK1006),$AO$1006:$BQ$1006,0)), HYPERLINK("#",""), HYPERLINK(CONCATENATE("#Metadata!", ADDRESS(INDEX($AJ$2:$AJ$1001,MATCH(ROWS($AH$2:AH402),$AH$2:$AH$1001,0),0), INDEX($AO$1004:$BQ$1004,1,MATCH(COLUMNS($AO$1006:BK1006),$AO$1006:$BQ$1006,0)))),"Fix")))</f>
        <v>#N/A</v>
      </c>
      <c r="Y402" s="5" t="e">
        <f ca="1">IF(OR(INDEX($AI$2:$AI$1001,MATCH(ROWS($AH$2:AH402),$AH$2:$AH$1001,0),1)&gt;=100000,INDEX($AO$1005:$BQ$1005,1,MATCH(COLUMNS($AO$1006:BL1006),$AO$1006:$BQ$1006,0))&gt;=100000), " ",IF(INDEX($AO$2:$BQ$1001,MATCH(ROWS($AH$2:AH402),$AH$2:$AH$1001,0),MATCH(COLUMNS($AO$1006:BL1006),$AO$1006:$BQ$1006,0)), HYPERLINK("#",""), HYPERLINK(CONCATENATE("#Metadata!", ADDRESS(INDEX($AJ$2:$AJ$1001,MATCH(ROWS($AH$2:AH402),$AH$2:$AH$1001,0),0), INDEX($AO$1004:$BQ$1004,1,MATCH(COLUMNS($AO$1006:BL1006),$AO$1006:$BQ$1006,0)))),"Fix")))</f>
        <v>#N/A</v>
      </c>
      <c r="Z402" s="5" t="e">
        <f ca="1">IF(OR(INDEX($AI$2:$AI$1001,MATCH(ROWS($AH$2:AH402),$AH$2:$AH$1001,0),1)&gt;=100000,INDEX($AO$1005:$BQ$1005,1,MATCH(COLUMNS($AO$1006:BM1006),$AO$1006:$BQ$1006,0))&gt;=100000), " ",IF(INDEX($AO$2:$BQ$1001,MATCH(ROWS($AH$2:AH402),$AH$2:$AH$1001,0),MATCH(COLUMNS($AO$1006:BM1006),$AO$1006:$BQ$1006,0)), HYPERLINK("#",""), HYPERLINK(CONCATENATE("#Metadata!", ADDRESS(INDEX($AJ$2:$AJ$1001,MATCH(ROWS($AH$2:AH402),$AH$2:$AH$1001,0),0), INDEX($AO$1004:$BQ$1004,1,MATCH(COLUMNS($AO$1006:BM1006),$AO$1006:$BQ$1006,0)))),"Fix")))</f>
        <v>#N/A</v>
      </c>
      <c r="AA402" s="5" t="e">
        <f ca="1">IF(OR(INDEX($AI$2:$AI$1001,MATCH(ROWS($AH$2:AH402),$AH$2:$AH$1001,0),1)&gt;=100000,INDEX($AO$1005:$BQ$1005,1,MATCH(COLUMNS($AO$1006:BN1006),$AO$1006:$BQ$1006,0))&gt;=100000), " ",IF(INDEX($AO$2:$BQ$1001,MATCH(ROWS($AH$2:AH402),$AH$2:$AH$1001,0),MATCH(COLUMNS($AO$1006:BN1006),$AO$1006:$BQ$1006,0)), HYPERLINK("#",""), HYPERLINK(CONCATENATE("#Metadata!", ADDRESS(INDEX($AJ$2:$AJ$1001,MATCH(ROWS($AH$2:AH402),$AH$2:$AH$1001,0),0), INDEX($AO$1004:$BQ$1004,1,MATCH(COLUMNS($AO$1006:BN1006),$AO$1006:$BQ$1006,0)))),"Fix")))</f>
        <v>#N/A</v>
      </c>
      <c r="AB402" s="5" t="e">
        <f ca="1">IF(OR(INDEX($AI$2:$AI$1001,MATCH(ROWS($AH$2:AH402),$AH$2:$AH$1001,0),1)&gt;=100000,INDEX($AO$1005:$BQ$1005,1,MATCH(COLUMNS($AO$1006:BO1006),$AO$1006:$BQ$1006,0))&gt;=100000), " ",IF(INDEX($AO$2:$BQ$1001,MATCH(ROWS($AH$2:AH402),$AH$2:$AH$1001,0),MATCH(COLUMNS($AO$1006:BO1006),$AO$1006:$BQ$1006,0)), HYPERLINK("#",""), HYPERLINK(CONCATENATE("#Metadata!", ADDRESS(INDEX($AJ$2:$AJ$1001,MATCH(ROWS($AH$2:AH402),$AH$2:$AH$1001,0),0), INDEX($AO$1004:$BQ$1004,1,MATCH(COLUMNS($AO$1006:BO1006),$AO$1006:$BQ$1006,0)))),"Fix")))</f>
        <v>#N/A</v>
      </c>
      <c r="AC402" s="5" t="e">
        <f ca="1">IF(OR(INDEX($AI$2:$AI$1001,MATCH(ROWS($AH$2:AH402),$AH$2:$AH$1001,0),1)&gt;=100000,INDEX($AO$1005:$BQ$1005,1,MATCH(COLUMNS($AO$1006:BP1006),$AO$1006:$BQ$1006,0))&gt;=100000), " ",IF(INDEX($AO$2:$BQ$1001,MATCH(ROWS($AH$2:AH402),$AH$2:$AH$1001,0),MATCH(COLUMNS($AO$1006:BP1006),$AO$1006:$BQ$1006,0)), HYPERLINK("#",""), HYPERLINK(CONCATENATE("#Metadata!", ADDRESS(INDEX($AJ$2:$AJ$1001,MATCH(ROWS($AH$2:AH402),$AH$2:$AH$1001,0),0), INDEX($AO$1004:$BQ$1004,1,MATCH(COLUMNS($AO$1006:BP1006),$AO$1006:$BQ$1006,0)))),"Fix")))</f>
        <v>#N/A</v>
      </c>
      <c r="AD402" s="5" t="e">
        <f ca="1">IF(OR(INDEX($AI$2:$AI$1001,MATCH(ROWS($AH$2:AH402),$AH$2:$AH$1001,0),1)&gt;=100000,INDEX($AO$1005:$BQ$1005,1,MATCH(COLUMNS($AO$1006:BQ1006),$AO$1006:$BQ$1006,0))&gt;=100000), " ",IF(INDEX($AO$2:$BQ$1001,MATCH(ROWS($AH$2:AH402),$AH$2:$AH$1001,0),MATCH(COLUMNS($AO$1006:BQ1006),$AO$1006:$BQ$1006,0)), HYPERLINK("#",""), HYPERLINK(CONCATENATE("#Metadata!", ADDRESS(INDEX($AJ$2:$AJ$1001,MATCH(ROWS($AH$2:AH402),$AH$2:$AH$1001,0),0), INDEX($AO$1004:$BQ$1004,1,MATCH(COLUMNS($AO$1006:BQ1006),$AO$1006:$BQ$1006,0)))),"Fix")))</f>
        <v>#REF!</v>
      </c>
      <c r="AH402">
        <f ca="1"/>
        <v>399</v>
      </c>
      <c r="AI402">
        <v>100402</v>
      </c>
      <c r="AJ402">
        <v>402</v>
      </c>
      <c r="AK402" t="b">
        <f t="shared" si="6"/>
        <v>1</v>
      </c>
      <c r="AL402" t="b">
        <f>COUNTBLANK(Metadata!B402:AD402)=COLUMNS(Metadata!B402:AD402)</f>
        <v>1</v>
      </c>
      <c r="AM402" t="str">
        <v/>
      </c>
      <c r="AO402" t="b">
        <f ca="1">AND(IF(Metadata!B402="",FALSE,TRUE),COUNTIF(Metadata!B:B, Metadata!B402) = 1,NOT(ISERROR(SUMPRODUCT(SEARCH(MID(Metadata!B402,ROW(INDIRECT("1:"&amp;LEN(Metadata!B402))), 1),"0123456789abcdefghijklmnopqrstuvwxyzABCDEFGHIJKLMNOPQRSTUVWXYZ.")))))</f>
        <v>0</v>
      </c>
      <c r="AP402" t="b">
        <f>IF(Metadata!C402="",FALSE,TRUE)</f>
        <v>0</v>
      </c>
      <c r="AQ402" t="b">
        <f>IF(Metadata!D402="",FALSE,TRUE)</f>
        <v>0</v>
      </c>
      <c r="AR402" t="b">
        <f ca="1">OR(AND(IF(Metadata!E402="",FALSE,TRUE),OR(EXACT(Metadata!E402,"not collected"),EXACT(Metadata!E402,"not provided"),EXACT(Metadata!E402,"restricted access"))),AND(IF(Metadata!E402="",FALSE,TRUE),AND(AND(IFERROR(INT(LEFT(Metadata!E402,4))&gt;1900,FALSE),IFERROR(INT(LEFT(Metadata!E402,4))&lt;=YEAR(NOW()),FALSE)), OR(MID(Metadata!E402,5,1)="", AND(AND(MID(Metadata!E402,5,1)="-",IFERROR(INT(MID(Metadata!E402,6,1))&gt;=0,FALSE),IFERROR(INT(MID(Metadata!E402,6,1))&lt;=1,FALSE),NOT(MID(Metadata!E402,7,1)=""),IFERROR(INT(MID(Metadata!E402,6,2))&gt;=1,FALSE),IFERROR(INT(MID(Metadata!E402,6,2))&lt;=12,FALSE)), OR(MID(Metadata!E402,8,1)="", AND(AND(MID(Metadata!E402,8,1)="-",IFERROR(INT(MID(Metadata!E402,9,1))&gt;=0,FALSE),IFERROR(INT(MID(Metadata!E402,9,1))&lt;=3,FALSE),NOT(MID(Metadata!E402,10,1)=""),IFERROR(INT(MID(Metadata!E402,9,2))&gt;=1,FALSE),IFERROR(INT(MID(Metadata!E402,9,2))&lt;=31,FALSE)), OR(MID(Metadata!E402,11,1)="", AND(AND(MID(Metadata!E402,11,1)=" ",IFERROR(INT(MID(Metadata!E402,12,1))&gt;=0,FALSE),IFERROR(INT(MID(Metadata!E402,12,1))&lt;=2,FALSE),NOT(MID(Metadata!E402,13,1)=""),IFERROR(INT(MID(Metadata!E402,12,2))&gt;=0,FALSE),IFERROR(INT(MID(Metadata!E402,12,2))&lt;=23,FALSE)), OR(MID(Metadata!E402,14,1)="", AND(AND(MID(Metadata!E402,14,1)=":",IFERROR(INT(MID(Metadata!E402,15,1))&gt;=0,FALSE),IFERROR(INT(MID(Metadata!E402,15,1))&lt;=5,FALSE),NOT(MID(Metadata!E402,16,1)=""),IFERROR(INT(MID(Metadata!E402,15,2))&gt;=0,FALSE),IFERROR(INT(MID(Metadata!E402,15,2))&lt;=59,FALSE)), OR(MID(Metadata!E402,17,1)="", AND(AND(MID(Metadata!E402,17,1)=":",IFERROR(INT(MID(Metadata!E402,18,1))&gt;=0,FALSE),IFERROR(INT(MID(Metadata!E402,18,1))&lt;=5,FALSE),NOT(MID(Metadata!E402,19,1)=""),IFERROR(INT(MID(Metadata!E402,18,2))&gt;=0,FALSE),IFERROR(INT(MID(Metadata!E402,18,2))&lt;=59,FALSE)), LEN(Metadata!E402)&lt;=19)))))))))))))</f>
        <v>0</v>
      </c>
      <c r="AS402" t="b">
        <f>IF(Metadata!F402="",FALSE,TRUE)</f>
        <v>0</v>
      </c>
      <c r="AT402" t="b">
        <f>OR(AND(IF(Metadata!G402="",FALSE,TRUE),OR(EXACT(Metadata!G402,"not collected"),EXACT(Metadata!G402,"not provided"))),AND(IF(Metadata!G402="",FALSE,TRUE),OR(EXACT(Metadata!G402,"TRUE"),EXACT(Metadata!G402,"FALSE"))))</f>
        <v>0</v>
      </c>
      <c r="AU402" t="b">
        <f>OR(AND(IF(Metadata!H402="",FALSE,TRUE),OR(EXACT(Metadata!H402,"not collected"),EXACT(Metadata!H402,"not provided"),EXACT(Metadata!H402,"restricted access"))),AND(IF(Metadata!H402="",FALSE,ISNUMBER(VALUE(Metadata!H402))),Metadata!H402&gt;=-413))</f>
        <v>0</v>
      </c>
      <c r="AV402" t="b">
        <f>AND(IF(Metadata!I402="",FALSE,TRUE),EXACT(Metadata!I402,"meters"))</f>
        <v>0</v>
      </c>
      <c r="AW402" t="b">
        <f>AND(IF(Metadata!J402="",FALSE,TRUE),EXACT(Metadata!J402,"free-living"))</f>
        <v>0</v>
      </c>
      <c r="AX402" t="b">
        <f>AND(IF(Metadata!K402="",FALSE,TRUE),OR(EXACT(Metadata!K402,"saline"),EXACT(Metadata!K402,"non-saline")))</f>
        <v>0</v>
      </c>
      <c r="AY402" t="b">
        <f>AND(IF(Metadata!L402="",FALSE,TRUE),OR(EXACT(Metadata!L402,"sub-surface (non-saline)"),EXACT(Metadata!L402,"surface (non-saline)"),EXACT(Metadata!L402,"water (non-saline)"),EXACT(Metadata!L402,"soil (non-saline)"),EXACT(Metadata!L402,"aerosol (non-saline)"),EXACT(Metadata!L402,"sediment (non-saline)"),EXACT(Metadata!L402,"surface (saline)"),EXACT(Metadata!L402,"water (saline)"),EXACT(Metadata!L402,"hypersaline (saline)"),EXACT(Metadata!L402,"aerosol (saline)"),EXACT(Metadata!L402,"sediment (saline)")))</f>
        <v>0</v>
      </c>
      <c r="AZ402" t="b">
        <f>IF(Metadata!M402="",FALSE,TRUE)</f>
        <v>0</v>
      </c>
      <c r="BA402" t="b">
        <f>IF(Metadata!N402="",FALSE,TRUE)</f>
        <v>0</v>
      </c>
      <c r="BB402" t="b">
        <f>IF(Metadata!O402="",FALSE,TRUE)</f>
        <v>0</v>
      </c>
      <c r="BC402" t="b">
        <f>AND(IF(Metadata!P402="",FALSE,TRUE),OR(EXACT(Metadata!P402,"air"),EXACT(Metadata!P402,"microbial mat/biofilm"),EXACT(Metadata!P402,"misc environment"),EXACT(Metadata!P402,"sediment"),EXACT(Metadata!P402,"soil"),EXACT(Metadata!P402,"wastewater/sludge"),EXACT(Metadata!P402,"water")))</f>
        <v>0</v>
      </c>
      <c r="BD402" t="b">
        <f>IF(Metadata!Q402="",FALSE,TRUE)</f>
        <v>0</v>
      </c>
      <c r="BE402" t="b">
        <f>IF(Metadata!R402="",FALSE,TRUE)</f>
        <v>0</v>
      </c>
      <c r="BF402" t="b">
        <f>OR(AND(IF(Metadata!S402="",FALSE,TRUE),OR(EXACT(Metadata!S402,"not collected"),EXACT(Metadata!S402,"not provided"),EXACT(Metadata!S402,"restricted access"))),AND(IF(Metadata!S402="",FALSE,ISNUMBER(VALUE(Metadata!S402))),Metadata!S402&gt;=-90,Metadata!S402&lt;=90))</f>
        <v>0</v>
      </c>
      <c r="BG402" t="b">
        <f>AND(IF(Metadata!T402="",FALSE,TRUE),EXACT(Metadata!T402,"Decimal degrees"))</f>
        <v>0</v>
      </c>
      <c r="BH402" t="b">
        <f>OR(AND(IF(Metadata!U402="",FALSE,TRUE),OR(EXACT(Metadata!U402,"not applicable"),EXACT(Metadata!U402,"not collected"))),IF(Metadata!U402="",FALSE,TRUE))</f>
        <v>0</v>
      </c>
      <c r="BI402" t="b">
        <f>OR(AND(IF(Metadata!V402="",FALSE,TRUE),OR(EXACT(Metadata!V402,"not collected"),EXACT(Metadata!V402,"not provided"),EXACT(Metadata!V402,"restricted access"))),AND(IF(Metadata!V402="",FALSE,ISNUMBER(VALUE(Metadata!V402))),Metadata!V402&gt;=-180,Metadata!V402&lt;=180))</f>
        <v>0</v>
      </c>
      <c r="BJ402" t="b">
        <f>AND(IF(Metadata!W402="",FALSE,TRUE),EXACT(Metadata!W402,"Decimal degrees"))</f>
        <v>0</v>
      </c>
      <c r="BK402" t="b">
        <f>IF(Metadata!X402="",FALSE,TRUE)</f>
        <v>0</v>
      </c>
      <c r="BL402" t="b">
        <f>OR(AND(IF(Metadata!Y402="",FALSE,TRUE),OR(EXACT(Metadata!Y402,"not collected"),EXACT(Metadata!Y402,"not provided"),EXACT(Metadata!Y402,"restricted access"))),AND(IF(Metadata!Y402="",FALSE,TRUE),OR(EXACT(Metadata!Y402,"TRUE"),EXACT(Metadata!Y402,"FALSE"))))</f>
        <v>0</v>
      </c>
      <c r="BM402" t="b">
        <f>OR(AND(IF(Metadata!Z402="",FALSE,TRUE),EXACT(Metadata!Z402,"not applicable")),AND(IF(Metadata!Z402="",FALSE,TRUE),OR(EXACT(Metadata!Z402,"beer"),EXACT(Metadata!Z402,"cheese"),EXACT(Metadata!Z402,"fresh water"),EXACT(Metadata!Z402,"marine sediment"),EXACT(Metadata!Z402,"sea water"),EXACT(Metadata!Z402,"sediment"),EXACT(Metadata!Z402,"soil"),EXACT(Metadata!Z402,"waste water"))))</f>
        <v>0</v>
      </c>
      <c r="BN402" t="b">
        <f>AND(IF(Metadata!AA402="",FALSE,TRUE),EXACT(Metadata!AA402,"metagenome"))</f>
        <v>0</v>
      </c>
      <c r="BO402" t="b">
        <f>AND(IF(Metadata!AB402="",FALSE,TRUE),EXACT(Metadata!AB402,"256318"))</f>
        <v>0</v>
      </c>
      <c r="BP402" t="b">
        <f>IF(Metadata!AC402="",FALSE,TRUE)</f>
        <v>0</v>
      </c>
      <c r="BQ402" t="b">
        <f>IF(Metadata!AD402="",FALSE,TRUE)</f>
        <v>0</v>
      </c>
    </row>
    <row r="403" spans="1:69" x14ac:dyDescent="0.2">
      <c r="A403" s="4" t="e">
        <f ca="1">IF(B403=" "," ",HYPERLINK(CONCATENATE("#metadata!",ADDRESS(INDEX($AJ$2:$AJ$1001,MATCH(ROWS($AH$2:AH403),$AH$2:$AH$1001,0),0),2)),INDEX($AM$2:$AM$1001,MATCH(ROWS($AH$2:AH403),$AH$2:$AH$1001,0),0)))</f>
        <v>#N/A</v>
      </c>
      <c r="B403" s="5" t="e">
        <f ca="1">IF(OR(INDEX($AI$2:$AI$1001,MATCH(ROWS($AH$2:AH403),$AH$2:$AH$1001,0),1)&gt;=100000,INDEX($AO$1005:$BQ$1005,1,MATCH(COLUMNS($AO$1006:AO1006),$AO$1006:$BQ$1006,0))&gt;=100000), " ",IF(INDEX($AO$2:$BQ$1001,MATCH(ROWS($AH$2:AH403),$AH$2:$AH$1001,0),MATCH(COLUMNS($AO$1006:AO1006),$AO$1006:$BQ$1006,0)), HYPERLINK("#",""), HYPERLINK(CONCATENATE("#Metadata!", ADDRESS(INDEX($AJ$2:$AJ$1001,MATCH(ROWS($AH$2:AH403),$AH$2:$AH$1001,0),0), INDEX($AO$1004:$BQ$1004,1,MATCH(COLUMNS($AO$1006:AO1006),$AO$1006:$BQ$1006,0)))),"Fix")))</f>
        <v>#N/A</v>
      </c>
      <c r="C403" s="5" t="e">
        <f ca="1">IF(OR(INDEX($AI$2:$AI$1001,MATCH(ROWS($AH$2:AH403),$AH$2:$AH$1001,0),1)&gt;=100000,INDEX($AO$1005:$BQ$1005,1,MATCH(COLUMNS($AO$1006:AP1006),$AO$1006:$BQ$1006,0))&gt;=100000), " ",IF(INDEX($AO$2:$BQ$1001,MATCH(ROWS($AH$2:AH403),$AH$2:$AH$1001,0),MATCH(COLUMNS($AO$1006:AP1006),$AO$1006:$BQ$1006,0)), HYPERLINK("#",""), HYPERLINK(CONCATENATE("#Metadata!", ADDRESS(INDEX($AJ$2:$AJ$1001,MATCH(ROWS($AH$2:AH403),$AH$2:$AH$1001,0),0), INDEX($AO$1004:$BQ$1004,1,MATCH(COLUMNS($AO$1006:AP1006),$AO$1006:$BQ$1006,0)))),"Fix")))</f>
        <v>#N/A</v>
      </c>
      <c r="D403" s="5" t="e">
        <f ca="1">IF(OR(INDEX($AI$2:$AI$1001,MATCH(ROWS($AH$2:AH403),$AH$2:$AH$1001,0),1)&gt;=100000,INDEX($AO$1005:$BQ$1005,1,MATCH(COLUMNS($AO$1006:AQ1006),$AO$1006:$BQ$1006,0))&gt;=100000), " ",IF(INDEX($AO$2:$BQ$1001,MATCH(ROWS($AH$2:AH403),$AH$2:$AH$1001,0),MATCH(COLUMNS($AO$1006:AQ1006),$AO$1006:$BQ$1006,0)), HYPERLINK("#",""), HYPERLINK(CONCATENATE("#Metadata!", ADDRESS(INDEX($AJ$2:$AJ$1001,MATCH(ROWS($AH$2:AH403),$AH$2:$AH$1001,0),0), INDEX($AO$1004:$BQ$1004,1,MATCH(COLUMNS($AO$1006:AQ1006),$AO$1006:$BQ$1006,0)))),"Fix")))</f>
        <v>#N/A</v>
      </c>
      <c r="E403" s="5" t="e">
        <f ca="1">IF(OR(INDEX($AI$2:$AI$1001,MATCH(ROWS($AH$2:AH403),$AH$2:$AH$1001,0),1)&gt;=100000,INDEX($AO$1005:$BQ$1005,1,MATCH(COLUMNS($AO$1006:AR1006),$AO$1006:$BQ$1006,0))&gt;=100000), " ",IF(INDEX($AO$2:$BQ$1001,MATCH(ROWS($AH$2:AH403),$AH$2:$AH$1001,0),MATCH(COLUMNS($AO$1006:AR1006),$AO$1006:$BQ$1006,0)), HYPERLINK("#",""), HYPERLINK(CONCATENATE("#Metadata!", ADDRESS(INDEX($AJ$2:$AJ$1001,MATCH(ROWS($AH$2:AH403),$AH$2:$AH$1001,0),0), INDEX($AO$1004:$BQ$1004,1,MATCH(COLUMNS($AO$1006:AR1006),$AO$1006:$BQ$1006,0)))),"Fix")))</f>
        <v>#N/A</v>
      </c>
      <c r="F403" s="5" t="e">
        <f ca="1">IF(OR(INDEX($AI$2:$AI$1001,MATCH(ROWS($AH$2:AH403),$AH$2:$AH$1001,0),1)&gt;=100000,INDEX($AO$1005:$BQ$1005,1,MATCH(COLUMNS($AO$1006:AS1006),$AO$1006:$BQ$1006,0))&gt;=100000), " ",IF(INDEX($AO$2:$BQ$1001,MATCH(ROWS($AH$2:AH403),$AH$2:$AH$1001,0),MATCH(COLUMNS($AO$1006:AS1006),$AO$1006:$BQ$1006,0)), HYPERLINK("#",""), HYPERLINK(CONCATENATE("#Metadata!", ADDRESS(INDEX($AJ$2:$AJ$1001,MATCH(ROWS($AH$2:AH403),$AH$2:$AH$1001,0),0), INDEX($AO$1004:$BQ$1004,1,MATCH(COLUMNS($AO$1006:AS1006),$AO$1006:$BQ$1006,0)))),"Fix")))</f>
        <v>#N/A</v>
      </c>
      <c r="G403" s="5" t="e">
        <f ca="1">IF(OR(INDEX($AI$2:$AI$1001,MATCH(ROWS($AH$2:AH403),$AH$2:$AH$1001,0),1)&gt;=100000,INDEX($AO$1005:$BQ$1005,1,MATCH(COLUMNS($AO$1006:AT1006),$AO$1006:$BQ$1006,0))&gt;=100000), " ",IF(INDEX($AO$2:$BQ$1001,MATCH(ROWS($AH$2:AH403),$AH$2:$AH$1001,0),MATCH(COLUMNS($AO$1006:AT1006),$AO$1006:$BQ$1006,0)), HYPERLINK("#",""), HYPERLINK(CONCATENATE("#Metadata!", ADDRESS(INDEX($AJ$2:$AJ$1001,MATCH(ROWS($AH$2:AH403),$AH$2:$AH$1001,0),0), INDEX($AO$1004:$BQ$1004,1,MATCH(COLUMNS($AO$1006:AT1006),$AO$1006:$BQ$1006,0)))),"Fix")))</f>
        <v>#N/A</v>
      </c>
      <c r="H403" s="5" t="e">
        <f ca="1">IF(OR(INDEX($AI$2:$AI$1001,MATCH(ROWS($AH$2:AH403),$AH$2:$AH$1001,0),1)&gt;=100000,INDEX($AO$1005:$BQ$1005,1,MATCH(COLUMNS($AO$1006:AU1006),$AO$1006:$BQ$1006,0))&gt;=100000), " ",IF(INDEX($AO$2:$BQ$1001,MATCH(ROWS($AH$2:AH403),$AH$2:$AH$1001,0),MATCH(COLUMNS($AO$1006:AU1006),$AO$1006:$BQ$1006,0)), HYPERLINK("#",""), HYPERLINK(CONCATENATE("#Metadata!", ADDRESS(INDEX($AJ$2:$AJ$1001,MATCH(ROWS($AH$2:AH403),$AH$2:$AH$1001,0),0), INDEX($AO$1004:$BQ$1004,1,MATCH(COLUMNS($AO$1006:AU1006),$AO$1006:$BQ$1006,0)))),"Fix")))</f>
        <v>#N/A</v>
      </c>
      <c r="I403" s="5" t="e">
        <f ca="1">IF(OR(INDEX($AI$2:$AI$1001,MATCH(ROWS($AH$2:AH403),$AH$2:$AH$1001,0),1)&gt;=100000,INDEX($AO$1005:$BQ$1005,1,MATCH(COLUMNS($AO$1006:AV1006),$AO$1006:$BQ$1006,0))&gt;=100000), " ",IF(INDEX($AO$2:$BQ$1001,MATCH(ROWS($AH$2:AH403),$AH$2:$AH$1001,0),MATCH(COLUMNS($AO$1006:AV1006),$AO$1006:$BQ$1006,0)), HYPERLINK("#",""), HYPERLINK(CONCATENATE("#Metadata!", ADDRESS(INDEX($AJ$2:$AJ$1001,MATCH(ROWS($AH$2:AH403),$AH$2:$AH$1001,0),0), INDEX($AO$1004:$BQ$1004,1,MATCH(COLUMNS($AO$1006:AV1006),$AO$1006:$BQ$1006,0)))),"Fix")))</f>
        <v>#N/A</v>
      </c>
      <c r="J403" s="5" t="e">
        <f ca="1">IF(OR(INDEX($AI$2:$AI$1001,MATCH(ROWS($AH$2:AH403),$AH$2:$AH$1001,0),1)&gt;=100000,INDEX($AO$1005:$BQ$1005,1,MATCH(COLUMNS($AO$1006:AW1006),$AO$1006:$BQ$1006,0))&gt;=100000), " ",IF(INDEX($AO$2:$BQ$1001,MATCH(ROWS($AH$2:AH403),$AH$2:$AH$1001,0),MATCH(COLUMNS($AO$1006:AW1006),$AO$1006:$BQ$1006,0)), HYPERLINK("#",""), HYPERLINK(CONCATENATE("#Metadata!", ADDRESS(INDEX($AJ$2:$AJ$1001,MATCH(ROWS($AH$2:AH403),$AH$2:$AH$1001,0),0), INDEX($AO$1004:$BQ$1004,1,MATCH(COLUMNS($AO$1006:AW1006),$AO$1006:$BQ$1006,0)))),"Fix")))</f>
        <v>#N/A</v>
      </c>
      <c r="K403" s="5" t="e">
        <f ca="1">IF(OR(INDEX($AI$2:$AI$1001,MATCH(ROWS($AH$2:AH403),$AH$2:$AH$1001,0),1)&gt;=100000,INDEX($AO$1005:$BQ$1005,1,MATCH(COLUMNS($AO$1006:AX1006),$AO$1006:$BQ$1006,0))&gt;=100000), " ",IF(INDEX($AO$2:$BQ$1001,MATCH(ROWS($AH$2:AH403),$AH$2:$AH$1001,0),MATCH(COLUMNS($AO$1006:AX1006),$AO$1006:$BQ$1006,0)), HYPERLINK("#",""), HYPERLINK(CONCATENATE("#Metadata!", ADDRESS(INDEX($AJ$2:$AJ$1001,MATCH(ROWS($AH$2:AH403),$AH$2:$AH$1001,0),0), INDEX($AO$1004:$BQ$1004,1,MATCH(COLUMNS($AO$1006:AX1006),$AO$1006:$BQ$1006,0)))),"Fix")))</f>
        <v>#N/A</v>
      </c>
      <c r="L403" s="5" t="e">
        <f ca="1">IF(OR(INDEX($AI$2:$AI$1001,MATCH(ROWS($AH$2:AH403),$AH$2:$AH$1001,0),1)&gt;=100000,INDEX($AO$1005:$BQ$1005,1,MATCH(COLUMNS($AO$1006:AY1006),$AO$1006:$BQ$1006,0))&gt;=100000), " ",IF(INDEX($AO$2:$BQ$1001,MATCH(ROWS($AH$2:AH403),$AH$2:$AH$1001,0),MATCH(COLUMNS($AO$1006:AY1006),$AO$1006:$BQ$1006,0)), HYPERLINK("#",""), HYPERLINK(CONCATENATE("#Metadata!", ADDRESS(INDEX($AJ$2:$AJ$1001,MATCH(ROWS($AH$2:AH403),$AH$2:$AH$1001,0),0), INDEX($AO$1004:$BQ$1004,1,MATCH(COLUMNS($AO$1006:AY1006),$AO$1006:$BQ$1006,0)))),"Fix")))</f>
        <v>#N/A</v>
      </c>
      <c r="M403" s="5" t="e">
        <f ca="1">IF(OR(INDEX($AI$2:$AI$1001,MATCH(ROWS($AH$2:AH403),$AH$2:$AH$1001,0),1)&gt;=100000,INDEX($AO$1005:$BQ$1005,1,MATCH(COLUMNS($AO$1006:AZ1006),$AO$1006:$BQ$1006,0))&gt;=100000), " ",IF(INDEX($AO$2:$BQ$1001,MATCH(ROWS($AH$2:AH403),$AH$2:$AH$1001,0),MATCH(COLUMNS($AO$1006:AZ1006),$AO$1006:$BQ$1006,0)), HYPERLINK("#",""), HYPERLINK(CONCATENATE("#Metadata!", ADDRESS(INDEX($AJ$2:$AJ$1001,MATCH(ROWS($AH$2:AH403),$AH$2:$AH$1001,0),0), INDEX($AO$1004:$BQ$1004,1,MATCH(COLUMNS($AO$1006:AZ1006),$AO$1006:$BQ$1006,0)))),"Fix")))</f>
        <v>#N/A</v>
      </c>
      <c r="N403" s="5" t="e">
        <f ca="1">IF(OR(INDEX($AI$2:$AI$1001,MATCH(ROWS($AH$2:AH403),$AH$2:$AH$1001,0),1)&gt;=100000,INDEX($AO$1005:$BQ$1005,1,MATCH(COLUMNS($AO$1006:BA1006),$AO$1006:$BQ$1006,0))&gt;=100000), " ",IF(INDEX($AO$2:$BQ$1001,MATCH(ROWS($AH$2:AH403),$AH$2:$AH$1001,0),MATCH(COLUMNS($AO$1006:BA1006),$AO$1006:$BQ$1006,0)), HYPERLINK("#",""), HYPERLINK(CONCATENATE("#Metadata!", ADDRESS(INDEX($AJ$2:$AJ$1001,MATCH(ROWS($AH$2:AH403),$AH$2:$AH$1001,0),0), INDEX($AO$1004:$BQ$1004,1,MATCH(COLUMNS($AO$1006:BA1006),$AO$1006:$BQ$1006,0)))),"Fix")))</f>
        <v>#N/A</v>
      </c>
      <c r="O403" s="5" t="e">
        <f ca="1">IF(OR(INDEX($AI$2:$AI$1001,MATCH(ROWS($AH$2:AH403),$AH$2:$AH$1001,0),1)&gt;=100000,INDEX($AO$1005:$BQ$1005,1,MATCH(COLUMNS($AO$1006:BB1006),$AO$1006:$BQ$1006,0))&gt;=100000), " ",IF(INDEX($AO$2:$BQ$1001,MATCH(ROWS($AH$2:AH403),$AH$2:$AH$1001,0),MATCH(COLUMNS($AO$1006:BB1006),$AO$1006:$BQ$1006,0)), HYPERLINK("#",""), HYPERLINK(CONCATENATE("#Metadata!", ADDRESS(INDEX($AJ$2:$AJ$1001,MATCH(ROWS($AH$2:AH403),$AH$2:$AH$1001,0),0), INDEX($AO$1004:$BQ$1004,1,MATCH(COLUMNS($AO$1006:BB1006),$AO$1006:$BQ$1006,0)))),"Fix")))</f>
        <v>#N/A</v>
      </c>
      <c r="P403" s="5" t="e">
        <f ca="1">IF(OR(INDEX($AI$2:$AI$1001,MATCH(ROWS($AH$2:AH403),$AH$2:$AH$1001,0),1)&gt;=100000,INDEX($AO$1005:$BQ$1005,1,MATCH(COLUMNS($AO$1006:BC1006),$AO$1006:$BQ$1006,0))&gt;=100000), " ",IF(INDEX($AO$2:$BQ$1001,MATCH(ROWS($AH$2:AH403),$AH$2:$AH$1001,0),MATCH(COLUMNS($AO$1006:BC1006),$AO$1006:$BQ$1006,0)), HYPERLINK("#",""), HYPERLINK(CONCATENATE("#Metadata!", ADDRESS(INDEX($AJ$2:$AJ$1001,MATCH(ROWS($AH$2:AH403),$AH$2:$AH$1001,0),0), INDEX($AO$1004:$BQ$1004,1,MATCH(COLUMNS($AO$1006:BC1006),$AO$1006:$BQ$1006,0)))),"Fix")))</f>
        <v>#N/A</v>
      </c>
      <c r="Q403" s="5" t="e">
        <f ca="1">IF(OR(INDEX($AI$2:$AI$1001,MATCH(ROWS($AH$2:AH403),$AH$2:$AH$1001,0),1)&gt;=100000,INDEX($AO$1005:$BQ$1005,1,MATCH(COLUMNS($AO$1006:BD1006),$AO$1006:$BQ$1006,0))&gt;=100000), " ",IF(INDEX($AO$2:$BQ$1001,MATCH(ROWS($AH$2:AH403),$AH$2:$AH$1001,0),MATCH(COLUMNS($AO$1006:BD1006),$AO$1006:$BQ$1006,0)), HYPERLINK("#",""), HYPERLINK(CONCATENATE("#Metadata!", ADDRESS(INDEX($AJ$2:$AJ$1001,MATCH(ROWS($AH$2:AH403),$AH$2:$AH$1001,0),0), INDEX($AO$1004:$BQ$1004,1,MATCH(COLUMNS($AO$1006:BD1006),$AO$1006:$BQ$1006,0)))),"Fix")))</f>
        <v>#N/A</v>
      </c>
      <c r="R403" s="5" t="e">
        <f ca="1">IF(OR(INDEX($AI$2:$AI$1001,MATCH(ROWS($AH$2:AH403),$AH$2:$AH$1001,0),1)&gt;=100000,INDEX($AO$1005:$BQ$1005,1,MATCH(COLUMNS($AO$1006:BE1006),$AO$1006:$BQ$1006,0))&gt;=100000), " ",IF(INDEX($AO$2:$BQ$1001,MATCH(ROWS($AH$2:AH403),$AH$2:$AH$1001,0),MATCH(COLUMNS($AO$1006:BE1006),$AO$1006:$BQ$1006,0)), HYPERLINK("#",""), HYPERLINK(CONCATENATE("#Metadata!", ADDRESS(INDEX($AJ$2:$AJ$1001,MATCH(ROWS($AH$2:AH403),$AH$2:$AH$1001,0),0), INDEX($AO$1004:$BQ$1004,1,MATCH(COLUMNS($AO$1006:BE1006),$AO$1006:$BQ$1006,0)))),"Fix")))</f>
        <v>#N/A</v>
      </c>
      <c r="S403" s="5" t="e">
        <f ca="1">IF(OR(INDEX($AI$2:$AI$1001,MATCH(ROWS($AH$2:AH403),$AH$2:$AH$1001,0),1)&gt;=100000,INDEX($AO$1005:$BQ$1005,1,MATCH(COLUMNS($AO$1006:BF1006),$AO$1006:$BQ$1006,0))&gt;=100000), " ",IF(INDEX($AO$2:$BQ$1001,MATCH(ROWS($AH$2:AH403),$AH$2:$AH$1001,0),MATCH(COLUMNS($AO$1006:BF1006),$AO$1006:$BQ$1006,0)), HYPERLINK("#",""), HYPERLINK(CONCATENATE("#Metadata!", ADDRESS(INDEX($AJ$2:$AJ$1001,MATCH(ROWS($AH$2:AH403),$AH$2:$AH$1001,0),0), INDEX($AO$1004:$BQ$1004,1,MATCH(COLUMNS($AO$1006:BF1006),$AO$1006:$BQ$1006,0)))),"Fix")))</f>
        <v>#N/A</v>
      </c>
      <c r="T403" s="5" t="e">
        <f ca="1">IF(OR(INDEX($AI$2:$AI$1001,MATCH(ROWS($AH$2:AH403),$AH$2:$AH$1001,0),1)&gt;=100000,INDEX($AO$1005:$BQ$1005,1,MATCH(COLUMNS($AO$1006:BG1006),$AO$1006:$BQ$1006,0))&gt;=100000), " ",IF(INDEX($AO$2:$BQ$1001,MATCH(ROWS($AH$2:AH403),$AH$2:$AH$1001,0),MATCH(COLUMNS($AO$1006:BG1006),$AO$1006:$BQ$1006,0)), HYPERLINK("#",""), HYPERLINK(CONCATENATE("#Metadata!", ADDRESS(INDEX($AJ$2:$AJ$1001,MATCH(ROWS($AH$2:AH403),$AH$2:$AH$1001,0),0), INDEX($AO$1004:$BQ$1004,1,MATCH(COLUMNS($AO$1006:BG1006),$AO$1006:$BQ$1006,0)))),"Fix")))</f>
        <v>#N/A</v>
      </c>
      <c r="U403" s="5" t="e">
        <f ca="1">IF(OR(INDEX($AI$2:$AI$1001,MATCH(ROWS($AH$2:AH403),$AH$2:$AH$1001,0),1)&gt;=100000,INDEX($AO$1005:$BQ$1005,1,MATCH(COLUMNS($AO$1006:BH1006),$AO$1006:$BQ$1006,0))&gt;=100000), " ",IF(INDEX($AO$2:$BQ$1001,MATCH(ROWS($AH$2:AH403),$AH$2:$AH$1001,0),MATCH(COLUMNS($AO$1006:BH1006),$AO$1006:$BQ$1006,0)), HYPERLINK("#",""), HYPERLINK(CONCATENATE("#Metadata!", ADDRESS(INDEX($AJ$2:$AJ$1001,MATCH(ROWS($AH$2:AH403),$AH$2:$AH$1001,0),0), INDEX($AO$1004:$BQ$1004,1,MATCH(COLUMNS($AO$1006:BH1006),$AO$1006:$BQ$1006,0)))),"Fix")))</f>
        <v>#N/A</v>
      </c>
      <c r="V403" s="5" t="e">
        <f ca="1">IF(OR(INDEX($AI$2:$AI$1001,MATCH(ROWS($AH$2:AH403),$AH$2:$AH$1001,0),1)&gt;=100000,INDEX($AO$1005:$BQ$1005,1,MATCH(COLUMNS($AO$1006:BI1006),$AO$1006:$BQ$1006,0))&gt;=100000), " ",IF(INDEX($AO$2:$BQ$1001,MATCH(ROWS($AH$2:AH403),$AH$2:$AH$1001,0),MATCH(COLUMNS($AO$1006:BI1006),$AO$1006:$BQ$1006,0)), HYPERLINK("#",""), HYPERLINK(CONCATENATE("#Metadata!", ADDRESS(INDEX($AJ$2:$AJ$1001,MATCH(ROWS($AH$2:AH403),$AH$2:$AH$1001,0),0), INDEX($AO$1004:$BQ$1004,1,MATCH(COLUMNS($AO$1006:BI1006),$AO$1006:$BQ$1006,0)))),"Fix")))</f>
        <v>#N/A</v>
      </c>
      <c r="W403" s="5" t="e">
        <f ca="1">IF(OR(INDEX($AI$2:$AI$1001,MATCH(ROWS($AH$2:AH403),$AH$2:$AH$1001,0),1)&gt;=100000,INDEX($AO$1005:$BQ$1005,1,MATCH(COLUMNS($AO$1006:BJ1006),$AO$1006:$BQ$1006,0))&gt;=100000), " ",IF(INDEX($AO$2:$BQ$1001,MATCH(ROWS($AH$2:AH403),$AH$2:$AH$1001,0),MATCH(COLUMNS($AO$1006:BJ1006),$AO$1006:$BQ$1006,0)), HYPERLINK("#",""), HYPERLINK(CONCATENATE("#Metadata!", ADDRESS(INDEX($AJ$2:$AJ$1001,MATCH(ROWS($AH$2:AH403),$AH$2:$AH$1001,0),0), INDEX($AO$1004:$BQ$1004,1,MATCH(COLUMNS($AO$1006:BJ1006),$AO$1006:$BQ$1006,0)))),"Fix")))</f>
        <v>#N/A</v>
      </c>
      <c r="X403" s="5" t="e">
        <f ca="1">IF(OR(INDEX($AI$2:$AI$1001,MATCH(ROWS($AH$2:AH403),$AH$2:$AH$1001,0),1)&gt;=100000,INDEX($AO$1005:$BQ$1005,1,MATCH(COLUMNS($AO$1006:BK1006),$AO$1006:$BQ$1006,0))&gt;=100000), " ",IF(INDEX($AO$2:$BQ$1001,MATCH(ROWS($AH$2:AH403),$AH$2:$AH$1001,0),MATCH(COLUMNS($AO$1006:BK1006),$AO$1006:$BQ$1006,0)), HYPERLINK("#",""), HYPERLINK(CONCATENATE("#Metadata!", ADDRESS(INDEX($AJ$2:$AJ$1001,MATCH(ROWS($AH$2:AH403),$AH$2:$AH$1001,0),0), INDEX($AO$1004:$BQ$1004,1,MATCH(COLUMNS($AO$1006:BK1006),$AO$1006:$BQ$1006,0)))),"Fix")))</f>
        <v>#N/A</v>
      </c>
      <c r="Y403" s="5" t="e">
        <f ca="1">IF(OR(INDEX($AI$2:$AI$1001,MATCH(ROWS($AH$2:AH403),$AH$2:$AH$1001,0),1)&gt;=100000,INDEX($AO$1005:$BQ$1005,1,MATCH(COLUMNS($AO$1006:BL1006),$AO$1006:$BQ$1006,0))&gt;=100000), " ",IF(INDEX($AO$2:$BQ$1001,MATCH(ROWS($AH$2:AH403),$AH$2:$AH$1001,0),MATCH(COLUMNS($AO$1006:BL1006),$AO$1006:$BQ$1006,0)), HYPERLINK("#",""), HYPERLINK(CONCATENATE("#Metadata!", ADDRESS(INDEX($AJ$2:$AJ$1001,MATCH(ROWS($AH$2:AH403),$AH$2:$AH$1001,0),0), INDEX($AO$1004:$BQ$1004,1,MATCH(COLUMNS($AO$1006:BL1006),$AO$1006:$BQ$1006,0)))),"Fix")))</f>
        <v>#N/A</v>
      </c>
      <c r="Z403" s="5" t="e">
        <f ca="1">IF(OR(INDEX($AI$2:$AI$1001,MATCH(ROWS($AH$2:AH403),$AH$2:$AH$1001,0),1)&gt;=100000,INDEX($AO$1005:$BQ$1005,1,MATCH(COLUMNS($AO$1006:BM1006),$AO$1006:$BQ$1006,0))&gt;=100000), " ",IF(INDEX($AO$2:$BQ$1001,MATCH(ROWS($AH$2:AH403),$AH$2:$AH$1001,0),MATCH(COLUMNS($AO$1006:BM1006),$AO$1006:$BQ$1006,0)), HYPERLINK("#",""), HYPERLINK(CONCATENATE("#Metadata!", ADDRESS(INDEX($AJ$2:$AJ$1001,MATCH(ROWS($AH$2:AH403),$AH$2:$AH$1001,0),0), INDEX($AO$1004:$BQ$1004,1,MATCH(COLUMNS($AO$1006:BM1006),$AO$1006:$BQ$1006,0)))),"Fix")))</f>
        <v>#N/A</v>
      </c>
      <c r="AA403" s="5" t="e">
        <f ca="1">IF(OR(INDEX($AI$2:$AI$1001,MATCH(ROWS($AH$2:AH403),$AH$2:$AH$1001,0),1)&gt;=100000,INDEX($AO$1005:$BQ$1005,1,MATCH(COLUMNS($AO$1006:BN1006),$AO$1006:$BQ$1006,0))&gt;=100000), " ",IF(INDEX($AO$2:$BQ$1001,MATCH(ROWS($AH$2:AH403),$AH$2:$AH$1001,0),MATCH(COLUMNS($AO$1006:BN1006),$AO$1006:$BQ$1006,0)), HYPERLINK("#",""), HYPERLINK(CONCATENATE("#Metadata!", ADDRESS(INDEX($AJ$2:$AJ$1001,MATCH(ROWS($AH$2:AH403),$AH$2:$AH$1001,0),0), INDEX($AO$1004:$BQ$1004,1,MATCH(COLUMNS($AO$1006:BN1006),$AO$1006:$BQ$1006,0)))),"Fix")))</f>
        <v>#N/A</v>
      </c>
      <c r="AB403" s="5" t="e">
        <f ca="1">IF(OR(INDEX($AI$2:$AI$1001,MATCH(ROWS($AH$2:AH403),$AH$2:$AH$1001,0),1)&gt;=100000,INDEX($AO$1005:$BQ$1005,1,MATCH(COLUMNS($AO$1006:BO1006),$AO$1006:$BQ$1006,0))&gt;=100000), " ",IF(INDEX($AO$2:$BQ$1001,MATCH(ROWS($AH$2:AH403),$AH$2:$AH$1001,0),MATCH(COLUMNS($AO$1006:BO1006),$AO$1006:$BQ$1006,0)), HYPERLINK("#",""), HYPERLINK(CONCATENATE("#Metadata!", ADDRESS(INDEX($AJ$2:$AJ$1001,MATCH(ROWS($AH$2:AH403),$AH$2:$AH$1001,0),0), INDEX($AO$1004:$BQ$1004,1,MATCH(COLUMNS($AO$1006:BO1006),$AO$1006:$BQ$1006,0)))),"Fix")))</f>
        <v>#N/A</v>
      </c>
      <c r="AC403" s="5" t="e">
        <f ca="1">IF(OR(INDEX($AI$2:$AI$1001,MATCH(ROWS($AH$2:AH403),$AH$2:$AH$1001,0),1)&gt;=100000,INDEX($AO$1005:$BQ$1005,1,MATCH(COLUMNS($AO$1006:BP1006),$AO$1006:$BQ$1006,0))&gt;=100000), " ",IF(INDEX($AO$2:$BQ$1001,MATCH(ROWS($AH$2:AH403),$AH$2:$AH$1001,0),MATCH(COLUMNS($AO$1006:BP1006),$AO$1006:$BQ$1006,0)), HYPERLINK("#",""), HYPERLINK(CONCATENATE("#Metadata!", ADDRESS(INDEX($AJ$2:$AJ$1001,MATCH(ROWS($AH$2:AH403),$AH$2:$AH$1001,0),0), INDEX($AO$1004:$BQ$1004,1,MATCH(COLUMNS($AO$1006:BP1006),$AO$1006:$BQ$1006,0)))),"Fix")))</f>
        <v>#N/A</v>
      </c>
      <c r="AD403" s="5" t="e">
        <f ca="1">IF(OR(INDEX($AI$2:$AI$1001,MATCH(ROWS($AH$2:AH403),$AH$2:$AH$1001,0),1)&gt;=100000,INDEX($AO$1005:$BQ$1005,1,MATCH(COLUMNS($AO$1006:BQ1006),$AO$1006:$BQ$1006,0))&gt;=100000), " ",IF(INDEX($AO$2:$BQ$1001,MATCH(ROWS($AH$2:AH403),$AH$2:$AH$1001,0),MATCH(COLUMNS($AO$1006:BQ1006),$AO$1006:$BQ$1006,0)), HYPERLINK("#",""), HYPERLINK(CONCATENATE("#Metadata!", ADDRESS(INDEX($AJ$2:$AJ$1001,MATCH(ROWS($AH$2:AH403),$AH$2:$AH$1001,0),0), INDEX($AO$1004:$BQ$1004,1,MATCH(COLUMNS($AO$1006:BQ1006),$AO$1006:$BQ$1006,0)))),"Fix")))</f>
        <v>#REF!</v>
      </c>
      <c r="AH403">
        <f ca="1"/>
        <v>400</v>
      </c>
      <c r="AI403">
        <v>100403</v>
      </c>
      <c r="AJ403">
        <v>403</v>
      </c>
      <c r="AK403" t="b">
        <f t="shared" si="6"/>
        <v>1</v>
      </c>
      <c r="AL403" t="b">
        <f>COUNTBLANK(Metadata!B403:AD403)=COLUMNS(Metadata!B403:AD403)</f>
        <v>1</v>
      </c>
      <c r="AM403" t="str">
        <v/>
      </c>
      <c r="AO403" t="b">
        <f ca="1">AND(IF(Metadata!B403="",FALSE,TRUE),COUNTIF(Metadata!B:B, Metadata!B403) = 1,NOT(ISERROR(SUMPRODUCT(SEARCH(MID(Metadata!B403,ROW(INDIRECT("1:"&amp;LEN(Metadata!B403))), 1),"0123456789abcdefghijklmnopqrstuvwxyzABCDEFGHIJKLMNOPQRSTUVWXYZ.")))))</f>
        <v>0</v>
      </c>
      <c r="AP403" t="b">
        <f>IF(Metadata!C403="",FALSE,TRUE)</f>
        <v>0</v>
      </c>
      <c r="AQ403" t="b">
        <f>IF(Metadata!D403="",FALSE,TRUE)</f>
        <v>0</v>
      </c>
      <c r="AR403" t="b">
        <f ca="1">OR(AND(IF(Metadata!E403="",FALSE,TRUE),OR(EXACT(Metadata!E403,"not collected"),EXACT(Metadata!E403,"not provided"),EXACT(Metadata!E403,"restricted access"))),AND(IF(Metadata!E403="",FALSE,TRUE),AND(AND(IFERROR(INT(LEFT(Metadata!E403,4))&gt;1900,FALSE),IFERROR(INT(LEFT(Metadata!E403,4))&lt;=YEAR(NOW()),FALSE)), OR(MID(Metadata!E403,5,1)="", AND(AND(MID(Metadata!E403,5,1)="-",IFERROR(INT(MID(Metadata!E403,6,1))&gt;=0,FALSE),IFERROR(INT(MID(Metadata!E403,6,1))&lt;=1,FALSE),NOT(MID(Metadata!E403,7,1)=""),IFERROR(INT(MID(Metadata!E403,6,2))&gt;=1,FALSE),IFERROR(INT(MID(Metadata!E403,6,2))&lt;=12,FALSE)), OR(MID(Metadata!E403,8,1)="", AND(AND(MID(Metadata!E403,8,1)="-",IFERROR(INT(MID(Metadata!E403,9,1))&gt;=0,FALSE),IFERROR(INT(MID(Metadata!E403,9,1))&lt;=3,FALSE),NOT(MID(Metadata!E403,10,1)=""),IFERROR(INT(MID(Metadata!E403,9,2))&gt;=1,FALSE),IFERROR(INT(MID(Metadata!E403,9,2))&lt;=31,FALSE)), OR(MID(Metadata!E403,11,1)="", AND(AND(MID(Metadata!E403,11,1)=" ",IFERROR(INT(MID(Metadata!E403,12,1))&gt;=0,FALSE),IFERROR(INT(MID(Metadata!E403,12,1))&lt;=2,FALSE),NOT(MID(Metadata!E403,13,1)=""),IFERROR(INT(MID(Metadata!E403,12,2))&gt;=0,FALSE),IFERROR(INT(MID(Metadata!E403,12,2))&lt;=23,FALSE)), OR(MID(Metadata!E403,14,1)="", AND(AND(MID(Metadata!E403,14,1)=":",IFERROR(INT(MID(Metadata!E403,15,1))&gt;=0,FALSE),IFERROR(INT(MID(Metadata!E403,15,1))&lt;=5,FALSE),NOT(MID(Metadata!E403,16,1)=""),IFERROR(INT(MID(Metadata!E403,15,2))&gt;=0,FALSE),IFERROR(INT(MID(Metadata!E403,15,2))&lt;=59,FALSE)), OR(MID(Metadata!E403,17,1)="", AND(AND(MID(Metadata!E403,17,1)=":",IFERROR(INT(MID(Metadata!E403,18,1))&gt;=0,FALSE),IFERROR(INT(MID(Metadata!E403,18,1))&lt;=5,FALSE),NOT(MID(Metadata!E403,19,1)=""),IFERROR(INT(MID(Metadata!E403,18,2))&gt;=0,FALSE),IFERROR(INT(MID(Metadata!E403,18,2))&lt;=59,FALSE)), LEN(Metadata!E403)&lt;=19)))))))))))))</f>
        <v>0</v>
      </c>
      <c r="AS403" t="b">
        <f>IF(Metadata!F403="",FALSE,TRUE)</f>
        <v>0</v>
      </c>
      <c r="AT403" t="b">
        <f>OR(AND(IF(Metadata!G403="",FALSE,TRUE),OR(EXACT(Metadata!G403,"not collected"),EXACT(Metadata!G403,"not provided"))),AND(IF(Metadata!G403="",FALSE,TRUE),OR(EXACT(Metadata!G403,"TRUE"),EXACT(Metadata!G403,"FALSE"))))</f>
        <v>0</v>
      </c>
      <c r="AU403" t="b">
        <f>OR(AND(IF(Metadata!H403="",FALSE,TRUE),OR(EXACT(Metadata!H403,"not collected"),EXACT(Metadata!H403,"not provided"),EXACT(Metadata!H403,"restricted access"))),AND(IF(Metadata!H403="",FALSE,ISNUMBER(VALUE(Metadata!H403))),Metadata!H403&gt;=-413))</f>
        <v>0</v>
      </c>
      <c r="AV403" t="b">
        <f>AND(IF(Metadata!I403="",FALSE,TRUE),EXACT(Metadata!I403,"meters"))</f>
        <v>0</v>
      </c>
      <c r="AW403" t="b">
        <f>AND(IF(Metadata!J403="",FALSE,TRUE),EXACT(Metadata!J403,"free-living"))</f>
        <v>0</v>
      </c>
      <c r="AX403" t="b">
        <f>AND(IF(Metadata!K403="",FALSE,TRUE),OR(EXACT(Metadata!K403,"saline"),EXACT(Metadata!K403,"non-saline")))</f>
        <v>0</v>
      </c>
      <c r="AY403" t="b">
        <f>AND(IF(Metadata!L403="",FALSE,TRUE),OR(EXACT(Metadata!L403,"sub-surface (non-saline)"),EXACT(Metadata!L403,"surface (non-saline)"),EXACT(Metadata!L403,"water (non-saline)"),EXACT(Metadata!L403,"soil (non-saline)"),EXACT(Metadata!L403,"aerosol (non-saline)"),EXACT(Metadata!L403,"sediment (non-saline)"),EXACT(Metadata!L403,"surface (saline)"),EXACT(Metadata!L403,"water (saline)"),EXACT(Metadata!L403,"hypersaline (saline)"),EXACT(Metadata!L403,"aerosol (saline)"),EXACT(Metadata!L403,"sediment (saline)")))</f>
        <v>0</v>
      </c>
      <c r="AZ403" t="b">
        <f>IF(Metadata!M403="",FALSE,TRUE)</f>
        <v>0</v>
      </c>
      <c r="BA403" t="b">
        <f>IF(Metadata!N403="",FALSE,TRUE)</f>
        <v>0</v>
      </c>
      <c r="BB403" t="b">
        <f>IF(Metadata!O403="",FALSE,TRUE)</f>
        <v>0</v>
      </c>
      <c r="BC403" t="b">
        <f>AND(IF(Metadata!P403="",FALSE,TRUE),OR(EXACT(Metadata!P403,"air"),EXACT(Metadata!P403,"microbial mat/biofilm"),EXACT(Metadata!P403,"misc environment"),EXACT(Metadata!P403,"sediment"),EXACT(Metadata!P403,"soil"),EXACT(Metadata!P403,"wastewater/sludge"),EXACT(Metadata!P403,"water")))</f>
        <v>0</v>
      </c>
      <c r="BD403" t="b">
        <f>IF(Metadata!Q403="",FALSE,TRUE)</f>
        <v>0</v>
      </c>
      <c r="BE403" t="b">
        <f>IF(Metadata!R403="",FALSE,TRUE)</f>
        <v>0</v>
      </c>
      <c r="BF403" t="b">
        <f>OR(AND(IF(Metadata!S403="",FALSE,TRUE),OR(EXACT(Metadata!S403,"not collected"),EXACT(Metadata!S403,"not provided"),EXACT(Metadata!S403,"restricted access"))),AND(IF(Metadata!S403="",FALSE,ISNUMBER(VALUE(Metadata!S403))),Metadata!S403&gt;=-90,Metadata!S403&lt;=90))</f>
        <v>0</v>
      </c>
      <c r="BG403" t="b">
        <f>AND(IF(Metadata!T403="",FALSE,TRUE),EXACT(Metadata!T403,"Decimal degrees"))</f>
        <v>0</v>
      </c>
      <c r="BH403" t="b">
        <f>OR(AND(IF(Metadata!U403="",FALSE,TRUE),OR(EXACT(Metadata!U403,"not applicable"),EXACT(Metadata!U403,"not collected"))),IF(Metadata!U403="",FALSE,TRUE))</f>
        <v>0</v>
      </c>
      <c r="BI403" t="b">
        <f>OR(AND(IF(Metadata!V403="",FALSE,TRUE),OR(EXACT(Metadata!V403,"not collected"),EXACT(Metadata!V403,"not provided"),EXACT(Metadata!V403,"restricted access"))),AND(IF(Metadata!V403="",FALSE,ISNUMBER(VALUE(Metadata!V403))),Metadata!V403&gt;=-180,Metadata!V403&lt;=180))</f>
        <v>0</v>
      </c>
      <c r="BJ403" t="b">
        <f>AND(IF(Metadata!W403="",FALSE,TRUE),EXACT(Metadata!W403,"Decimal degrees"))</f>
        <v>0</v>
      </c>
      <c r="BK403" t="b">
        <f>IF(Metadata!X403="",FALSE,TRUE)</f>
        <v>0</v>
      </c>
      <c r="BL403" t="b">
        <f>OR(AND(IF(Metadata!Y403="",FALSE,TRUE),OR(EXACT(Metadata!Y403,"not collected"),EXACT(Metadata!Y403,"not provided"),EXACT(Metadata!Y403,"restricted access"))),AND(IF(Metadata!Y403="",FALSE,TRUE),OR(EXACT(Metadata!Y403,"TRUE"),EXACT(Metadata!Y403,"FALSE"))))</f>
        <v>0</v>
      </c>
      <c r="BM403" t="b">
        <f>OR(AND(IF(Metadata!Z403="",FALSE,TRUE),EXACT(Metadata!Z403,"not applicable")),AND(IF(Metadata!Z403="",FALSE,TRUE),OR(EXACT(Metadata!Z403,"beer"),EXACT(Metadata!Z403,"cheese"),EXACT(Metadata!Z403,"fresh water"),EXACT(Metadata!Z403,"marine sediment"),EXACT(Metadata!Z403,"sea water"),EXACT(Metadata!Z403,"sediment"),EXACT(Metadata!Z403,"soil"),EXACT(Metadata!Z403,"waste water"))))</f>
        <v>0</v>
      </c>
      <c r="BN403" t="b">
        <f>AND(IF(Metadata!AA403="",FALSE,TRUE),EXACT(Metadata!AA403,"metagenome"))</f>
        <v>0</v>
      </c>
      <c r="BO403" t="b">
        <f>AND(IF(Metadata!AB403="",FALSE,TRUE),EXACT(Metadata!AB403,"256318"))</f>
        <v>0</v>
      </c>
      <c r="BP403" t="b">
        <f>IF(Metadata!AC403="",FALSE,TRUE)</f>
        <v>0</v>
      </c>
      <c r="BQ403" t="b">
        <f>IF(Metadata!AD403="",FALSE,TRUE)</f>
        <v>0</v>
      </c>
    </row>
    <row r="404" spans="1:69" x14ac:dyDescent="0.2">
      <c r="A404" s="4" t="e">
        <f ca="1">IF(B404=" "," ",HYPERLINK(CONCATENATE("#metadata!",ADDRESS(INDEX($AJ$2:$AJ$1001,MATCH(ROWS($AH$2:AH404),$AH$2:$AH$1001,0),0),2)),INDEX($AM$2:$AM$1001,MATCH(ROWS($AH$2:AH404),$AH$2:$AH$1001,0),0)))</f>
        <v>#N/A</v>
      </c>
      <c r="B404" s="5" t="e">
        <f ca="1">IF(OR(INDEX($AI$2:$AI$1001,MATCH(ROWS($AH$2:AH404),$AH$2:$AH$1001,0),1)&gt;=100000,INDEX($AO$1005:$BQ$1005,1,MATCH(COLUMNS($AO$1006:AO1006),$AO$1006:$BQ$1006,0))&gt;=100000), " ",IF(INDEX($AO$2:$BQ$1001,MATCH(ROWS($AH$2:AH404),$AH$2:$AH$1001,0),MATCH(COLUMNS($AO$1006:AO1006),$AO$1006:$BQ$1006,0)), HYPERLINK("#",""), HYPERLINK(CONCATENATE("#Metadata!", ADDRESS(INDEX($AJ$2:$AJ$1001,MATCH(ROWS($AH$2:AH404),$AH$2:$AH$1001,0),0), INDEX($AO$1004:$BQ$1004,1,MATCH(COLUMNS($AO$1006:AO1006),$AO$1006:$BQ$1006,0)))),"Fix")))</f>
        <v>#N/A</v>
      </c>
      <c r="C404" s="5" t="e">
        <f ca="1">IF(OR(INDEX($AI$2:$AI$1001,MATCH(ROWS($AH$2:AH404),$AH$2:$AH$1001,0),1)&gt;=100000,INDEX($AO$1005:$BQ$1005,1,MATCH(COLUMNS($AO$1006:AP1006),$AO$1006:$BQ$1006,0))&gt;=100000), " ",IF(INDEX($AO$2:$BQ$1001,MATCH(ROWS($AH$2:AH404),$AH$2:$AH$1001,0),MATCH(COLUMNS($AO$1006:AP1006),$AO$1006:$BQ$1006,0)), HYPERLINK("#",""), HYPERLINK(CONCATENATE("#Metadata!", ADDRESS(INDEX($AJ$2:$AJ$1001,MATCH(ROWS($AH$2:AH404),$AH$2:$AH$1001,0),0), INDEX($AO$1004:$BQ$1004,1,MATCH(COLUMNS($AO$1006:AP1006),$AO$1006:$BQ$1006,0)))),"Fix")))</f>
        <v>#N/A</v>
      </c>
      <c r="D404" s="5" t="e">
        <f ca="1">IF(OR(INDEX($AI$2:$AI$1001,MATCH(ROWS($AH$2:AH404),$AH$2:$AH$1001,0),1)&gt;=100000,INDEX($AO$1005:$BQ$1005,1,MATCH(COLUMNS($AO$1006:AQ1006),$AO$1006:$BQ$1006,0))&gt;=100000), " ",IF(INDEX($AO$2:$BQ$1001,MATCH(ROWS($AH$2:AH404),$AH$2:$AH$1001,0),MATCH(COLUMNS($AO$1006:AQ1006),$AO$1006:$BQ$1006,0)), HYPERLINK("#",""), HYPERLINK(CONCATENATE("#Metadata!", ADDRESS(INDEX($AJ$2:$AJ$1001,MATCH(ROWS($AH$2:AH404),$AH$2:$AH$1001,0),0), INDEX($AO$1004:$BQ$1004,1,MATCH(COLUMNS($AO$1006:AQ1006),$AO$1006:$BQ$1006,0)))),"Fix")))</f>
        <v>#N/A</v>
      </c>
      <c r="E404" s="5" t="e">
        <f ca="1">IF(OR(INDEX($AI$2:$AI$1001,MATCH(ROWS($AH$2:AH404),$AH$2:$AH$1001,0),1)&gt;=100000,INDEX($AO$1005:$BQ$1005,1,MATCH(COLUMNS($AO$1006:AR1006),$AO$1006:$BQ$1006,0))&gt;=100000), " ",IF(INDEX($AO$2:$BQ$1001,MATCH(ROWS($AH$2:AH404),$AH$2:$AH$1001,0),MATCH(COLUMNS($AO$1006:AR1006),$AO$1006:$BQ$1006,0)), HYPERLINK("#",""), HYPERLINK(CONCATENATE("#Metadata!", ADDRESS(INDEX($AJ$2:$AJ$1001,MATCH(ROWS($AH$2:AH404),$AH$2:$AH$1001,0),0), INDEX($AO$1004:$BQ$1004,1,MATCH(COLUMNS($AO$1006:AR1006),$AO$1006:$BQ$1006,0)))),"Fix")))</f>
        <v>#N/A</v>
      </c>
      <c r="F404" s="5" t="e">
        <f ca="1">IF(OR(INDEX($AI$2:$AI$1001,MATCH(ROWS($AH$2:AH404),$AH$2:$AH$1001,0),1)&gt;=100000,INDEX($AO$1005:$BQ$1005,1,MATCH(COLUMNS($AO$1006:AS1006),$AO$1006:$BQ$1006,0))&gt;=100000), " ",IF(INDEX($AO$2:$BQ$1001,MATCH(ROWS($AH$2:AH404),$AH$2:$AH$1001,0),MATCH(COLUMNS($AO$1006:AS1006),$AO$1006:$BQ$1006,0)), HYPERLINK("#",""), HYPERLINK(CONCATENATE("#Metadata!", ADDRESS(INDEX($AJ$2:$AJ$1001,MATCH(ROWS($AH$2:AH404),$AH$2:$AH$1001,0),0), INDEX($AO$1004:$BQ$1004,1,MATCH(COLUMNS($AO$1006:AS1006),$AO$1006:$BQ$1006,0)))),"Fix")))</f>
        <v>#N/A</v>
      </c>
      <c r="G404" s="5" t="e">
        <f ca="1">IF(OR(INDEX($AI$2:$AI$1001,MATCH(ROWS($AH$2:AH404),$AH$2:$AH$1001,0),1)&gt;=100000,INDEX($AO$1005:$BQ$1005,1,MATCH(COLUMNS($AO$1006:AT1006),$AO$1006:$BQ$1006,0))&gt;=100000), " ",IF(INDEX($AO$2:$BQ$1001,MATCH(ROWS($AH$2:AH404),$AH$2:$AH$1001,0),MATCH(COLUMNS($AO$1006:AT1006),$AO$1006:$BQ$1006,0)), HYPERLINK("#",""), HYPERLINK(CONCATENATE("#Metadata!", ADDRESS(INDEX($AJ$2:$AJ$1001,MATCH(ROWS($AH$2:AH404),$AH$2:$AH$1001,0),0), INDEX($AO$1004:$BQ$1004,1,MATCH(COLUMNS($AO$1006:AT1006),$AO$1006:$BQ$1006,0)))),"Fix")))</f>
        <v>#N/A</v>
      </c>
      <c r="H404" s="5" t="e">
        <f ca="1">IF(OR(INDEX($AI$2:$AI$1001,MATCH(ROWS($AH$2:AH404),$AH$2:$AH$1001,0),1)&gt;=100000,INDEX($AO$1005:$BQ$1005,1,MATCH(COLUMNS($AO$1006:AU1006),$AO$1006:$BQ$1006,0))&gt;=100000), " ",IF(INDEX($AO$2:$BQ$1001,MATCH(ROWS($AH$2:AH404),$AH$2:$AH$1001,0),MATCH(COLUMNS($AO$1006:AU1006),$AO$1006:$BQ$1006,0)), HYPERLINK("#",""), HYPERLINK(CONCATENATE("#Metadata!", ADDRESS(INDEX($AJ$2:$AJ$1001,MATCH(ROWS($AH$2:AH404),$AH$2:$AH$1001,0),0), INDEX($AO$1004:$BQ$1004,1,MATCH(COLUMNS($AO$1006:AU1006),$AO$1006:$BQ$1006,0)))),"Fix")))</f>
        <v>#N/A</v>
      </c>
      <c r="I404" s="5" t="e">
        <f ca="1">IF(OR(INDEX($AI$2:$AI$1001,MATCH(ROWS($AH$2:AH404),$AH$2:$AH$1001,0),1)&gt;=100000,INDEX($AO$1005:$BQ$1005,1,MATCH(COLUMNS($AO$1006:AV1006),$AO$1006:$BQ$1006,0))&gt;=100000), " ",IF(INDEX($AO$2:$BQ$1001,MATCH(ROWS($AH$2:AH404),$AH$2:$AH$1001,0),MATCH(COLUMNS($AO$1006:AV1006),$AO$1006:$BQ$1006,0)), HYPERLINK("#",""), HYPERLINK(CONCATENATE("#Metadata!", ADDRESS(INDEX($AJ$2:$AJ$1001,MATCH(ROWS($AH$2:AH404),$AH$2:$AH$1001,0),0), INDEX($AO$1004:$BQ$1004,1,MATCH(COLUMNS($AO$1006:AV1006),$AO$1006:$BQ$1006,0)))),"Fix")))</f>
        <v>#N/A</v>
      </c>
      <c r="J404" s="5" t="e">
        <f ca="1">IF(OR(INDEX($AI$2:$AI$1001,MATCH(ROWS($AH$2:AH404),$AH$2:$AH$1001,0),1)&gt;=100000,INDEX($AO$1005:$BQ$1005,1,MATCH(COLUMNS($AO$1006:AW1006),$AO$1006:$BQ$1006,0))&gt;=100000), " ",IF(INDEX($AO$2:$BQ$1001,MATCH(ROWS($AH$2:AH404),$AH$2:$AH$1001,0),MATCH(COLUMNS($AO$1006:AW1006),$AO$1006:$BQ$1006,0)), HYPERLINK("#",""), HYPERLINK(CONCATENATE("#Metadata!", ADDRESS(INDEX($AJ$2:$AJ$1001,MATCH(ROWS($AH$2:AH404),$AH$2:$AH$1001,0),0), INDEX($AO$1004:$BQ$1004,1,MATCH(COLUMNS($AO$1006:AW1006),$AO$1006:$BQ$1006,0)))),"Fix")))</f>
        <v>#N/A</v>
      </c>
      <c r="K404" s="5" t="e">
        <f ca="1">IF(OR(INDEX($AI$2:$AI$1001,MATCH(ROWS($AH$2:AH404),$AH$2:$AH$1001,0),1)&gt;=100000,INDEX($AO$1005:$BQ$1005,1,MATCH(COLUMNS($AO$1006:AX1006),$AO$1006:$BQ$1006,0))&gt;=100000), " ",IF(INDEX($AO$2:$BQ$1001,MATCH(ROWS($AH$2:AH404),$AH$2:$AH$1001,0),MATCH(COLUMNS($AO$1006:AX1006),$AO$1006:$BQ$1006,0)), HYPERLINK("#",""), HYPERLINK(CONCATENATE("#Metadata!", ADDRESS(INDEX($AJ$2:$AJ$1001,MATCH(ROWS($AH$2:AH404),$AH$2:$AH$1001,0),0), INDEX($AO$1004:$BQ$1004,1,MATCH(COLUMNS($AO$1006:AX1006),$AO$1006:$BQ$1006,0)))),"Fix")))</f>
        <v>#N/A</v>
      </c>
      <c r="L404" s="5" t="e">
        <f ca="1">IF(OR(INDEX($AI$2:$AI$1001,MATCH(ROWS($AH$2:AH404),$AH$2:$AH$1001,0),1)&gt;=100000,INDEX($AO$1005:$BQ$1005,1,MATCH(COLUMNS($AO$1006:AY1006),$AO$1006:$BQ$1006,0))&gt;=100000), " ",IF(INDEX($AO$2:$BQ$1001,MATCH(ROWS($AH$2:AH404),$AH$2:$AH$1001,0),MATCH(COLUMNS($AO$1006:AY1006),$AO$1006:$BQ$1006,0)), HYPERLINK("#",""), HYPERLINK(CONCATENATE("#Metadata!", ADDRESS(INDEX($AJ$2:$AJ$1001,MATCH(ROWS($AH$2:AH404),$AH$2:$AH$1001,0),0), INDEX($AO$1004:$BQ$1004,1,MATCH(COLUMNS($AO$1006:AY1006),$AO$1006:$BQ$1006,0)))),"Fix")))</f>
        <v>#N/A</v>
      </c>
      <c r="M404" s="5" t="e">
        <f ca="1">IF(OR(INDEX($AI$2:$AI$1001,MATCH(ROWS($AH$2:AH404),$AH$2:$AH$1001,0),1)&gt;=100000,INDEX($AO$1005:$BQ$1005,1,MATCH(COLUMNS($AO$1006:AZ1006),$AO$1006:$BQ$1006,0))&gt;=100000), " ",IF(INDEX($AO$2:$BQ$1001,MATCH(ROWS($AH$2:AH404),$AH$2:$AH$1001,0),MATCH(COLUMNS($AO$1006:AZ1006),$AO$1006:$BQ$1006,0)), HYPERLINK("#",""), HYPERLINK(CONCATENATE("#Metadata!", ADDRESS(INDEX($AJ$2:$AJ$1001,MATCH(ROWS($AH$2:AH404),$AH$2:$AH$1001,0),0), INDEX($AO$1004:$BQ$1004,1,MATCH(COLUMNS($AO$1006:AZ1006),$AO$1006:$BQ$1006,0)))),"Fix")))</f>
        <v>#N/A</v>
      </c>
      <c r="N404" s="5" t="e">
        <f ca="1">IF(OR(INDEX($AI$2:$AI$1001,MATCH(ROWS($AH$2:AH404),$AH$2:$AH$1001,0),1)&gt;=100000,INDEX($AO$1005:$BQ$1005,1,MATCH(COLUMNS($AO$1006:BA1006),$AO$1006:$BQ$1006,0))&gt;=100000), " ",IF(INDEX($AO$2:$BQ$1001,MATCH(ROWS($AH$2:AH404),$AH$2:$AH$1001,0),MATCH(COLUMNS($AO$1006:BA1006),$AO$1006:$BQ$1006,0)), HYPERLINK("#",""), HYPERLINK(CONCATENATE("#Metadata!", ADDRESS(INDEX($AJ$2:$AJ$1001,MATCH(ROWS($AH$2:AH404),$AH$2:$AH$1001,0),0), INDEX($AO$1004:$BQ$1004,1,MATCH(COLUMNS($AO$1006:BA1006),$AO$1006:$BQ$1006,0)))),"Fix")))</f>
        <v>#N/A</v>
      </c>
      <c r="O404" s="5" t="e">
        <f ca="1">IF(OR(INDEX($AI$2:$AI$1001,MATCH(ROWS($AH$2:AH404),$AH$2:$AH$1001,0),1)&gt;=100000,INDEX($AO$1005:$BQ$1005,1,MATCH(COLUMNS($AO$1006:BB1006),$AO$1006:$BQ$1006,0))&gt;=100000), " ",IF(INDEX($AO$2:$BQ$1001,MATCH(ROWS($AH$2:AH404),$AH$2:$AH$1001,0),MATCH(COLUMNS($AO$1006:BB1006),$AO$1006:$BQ$1006,0)), HYPERLINK("#",""), HYPERLINK(CONCATENATE("#Metadata!", ADDRESS(INDEX($AJ$2:$AJ$1001,MATCH(ROWS($AH$2:AH404),$AH$2:$AH$1001,0),0), INDEX($AO$1004:$BQ$1004,1,MATCH(COLUMNS($AO$1006:BB1006),$AO$1006:$BQ$1006,0)))),"Fix")))</f>
        <v>#N/A</v>
      </c>
      <c r="P404" s="5" t="e">
        <f ca="1">IF(OR(INDEX($AI$2:$AI$1001,MATCH(ROWS($AH$2:AH404),$AH$2:$AH$1001,0),1)&gt;=100000,INDEX($AO$1005:$BQ$1005,1,MATCH(COLUMNS($AO$1006:BC1006),$AO$1006:$BQ$1006,0))&gt;=100000), " ",IF(INDEX($AO$2:$BQ$1001,MATCH(ROWS($AH$2:AH404),$AH$2:$AH$1001,0),MATCH(COLUMNS($AO$1006:BC1006),$AO$1006:$BQ$1006,0)), HYPERLINK("#",""), HYPERLINK(CONCATENATE("#Metadata!", ADDRESS(INDEX($AJ$2:$AJ$1001,MATCH(ROWS($AH$2:AH404),$AH$2:$AH$1001,0),0), INDEX($AO$1004:$BQ$1004,1,MATCH(COLUMNS($AO$1006:BC1006),$AO$1006:$BQ$1006,0)))),"Fix")))</f>
        <v>#N/A</v>
      </c>
      <c r="Q404" s="5" t="e">
        <f ca="1">IF(OR(INDEX($AI$2:$AI$1001,MATCH(ROWS($AH$2:AH404),$AH$2:$AH$1001,0),1)&gt;=100000,INDEX($AO$1005:$BQ$1005,1,MATCH(COLUMNS($AO$1006:BD1006),$AO$1006:$BQ$1006,0))&gt;=100000), " ",IF(INDEX($AO$2:$BQ$1001,MATCH(ROWS($AH$2:AH404),$AH$2:$AH$1001,0),MATCH(COLUMNS($AO$1006:BD1006),$AO$1006:$BQ$1006,0)), HYPERLINK("#",""), HYPERLINK(CONCATENATE("#Metadata!", ADDRESS(INDEX($AJ$2:$AJ$1001,MATCH(ROWS($AH$2:AH404),$AH$2:$AH$1001,0),0), INDEX($AO$1004:$BQ$1004,1,MATCH(COLUMNS($AO$1006:BD1006),$AO$1006:$BQ$1006,0)))),"Fix")))</f>
        <v>#N/A</v>
      </c>
      <c r="R404" s="5" t="e">
        <f ca="1">IF(OR(INDEX($AI$2:$AI$1001,MATCH(ROWS($AH$2:AH404),$AH$2:$AH$1001,0),1)&gt;=100000,INDEX($AO$1005:$BQ$1005,1,MATCH(COLUMNS($AO$1006:BE1006),$AO$1006:$BQ$1006,0))&gt;=100000), " ",IF(INDEX($AO$2:$BQ$1001,MATCH(ROWS($AH$2:AH404),$AH$2:$AH$1001,0),MATCH(COLUMNS($AO$1006:BE1006),$AO$1006:$BQ$1006,0)), HYPERLINK("#",""), HYPERLINK(CONCATENATE("#Metadata!", ADDRESS(INDEX($AJ$2:$AJ$1001,MATCH(ROWS($AH$2:AH404),$AH$2:$AH$1001,0),0), INDEX($AO$1004:$BQ$1004,1,MATCH(COLUMNS($AO$1006:BE1006),$AO$1006:$BQ$1006,0)))),"Fix")))</f>
        <v>#N/A</v>
      </c>
      <c r="S404" s="5" t="e">
        <f ca="1">IF(OR(INDEX($AI$2:$AI$1001,MATCH(ROWS($AH$2:AH404),$AH$2:$AH$1001,0),1)&gt;=100000,INDEX($AO$1005:$BQ$1005,1,MATCH(COLUMNS($AO$1006:BF1006),$AO$1006:$BQ$1006,0))&gt;=100000), " ",IF(INDEX($AO$2:$BQ$1001,MATCH(ROWS($AH$2:AH404),$AH$2:$AH$1001,0),MATCH(COLUMNS($AO$1006:BF1006),$AO$1006:$BQ$1006,0)), HYPERLINK("#",""), HYPERLINK(CONCATENATE("#Metadata!", ADDRESS(INDEX($AJ$2:$AJ$1001,MATCH(ROWS($AH$2:AH404),$AH$2:$AH$1001,0),0), INDEX($AO$1004:$BQ$1004,1,MATCH(COLUMNS($AO$1006:BF1006),$AO$1006:$BQ$1006,0)))),"Fix")))</f>
        <v>#N/A</v>
      </c>
      <c r="T404" s="5" t="e">
        <f ca="1">IF(OR(INDEX($AI$2:$AI$1001,MATCH(ROWS($AH$2:AH404),$AH$2:$AH$1001,0),1)&gt;=100000,INDEX($AO$1005:$BQ$1005,1,MATCH(COLUMNS($AO$1006:BG1006),$AO$1006:$BQ$1006,0))&gt;=100000), " ",IF(INDEX($AO$2:$BQ$1001,MATCH(ROWS($AH$2:AH404),$AH$2:$AH$1001,0),MATCH(COLUMNS($AO$1006:BG1006),$AO$1006:$BQ$1006,0)), HYPERLINK("#",""), HYPERLINK(CONCATENATE("#Metadata!", ADDRESS(INDEX($AJ$2:$AJ$1001,MATCH(ROWS($AH$2:AH404),$AH$2:$AH$1001,0),0), INDEX($AO$1004:$BQ$1004,1,MATCH(COLUMNS($AO$1006:BG1006),$AO$1006:$BQ$1006,0)))),"Fix")))</f>
        <v>#N/A</v>
      </c>
      <c r="U404" s="5" t="e">
        <f ca="1">IF(OR(INDEX($AI$2:$AI$1001,MATCH(ROWS($AH$2:AH404),$AH$2:$AH$1001,0),1)&gt;=100000,INDEX($AO$1005:$BQ$1005,1,MATCH(COLUMNS($AO$1006:BH1006),$AO$1006:$BQ$1006,0))&gt;=100000), " ",IF(INDEX($AO$2:$BQ$1001,MATCH(ROWS($AH$2:AH404),$AH$2:$AH$1001,0),MATCH(COLUMNS($AO$1006:BH1006),$AO$1006:$BQ$1006,0)), HYPERLINK("#",""), HYPERLINK(CONCATENATE("#Metadata!", ADDRESS(INDEX($AJ$2:$AJ$1001,MATCH(ROWS($AH$2:AH404),$AH$2:$AH$1001,0),0), INDEX($AO$1004:$BQ$1004,1,MATCH(COLUMNS($AO$1006:BH1006),$AO$1006:$BQ$1006,0)))),"Fix")))</f>
        <v>#N/A</v>
      </c>
      <c r="V404" s="5" t="e">
        <f ca="1">IF(OR(INDEX($AI$2:$AI$1001,MATCH(ROWS($AH$2:AH404),$AH$2:$AH$1001,0),1)&gt;=100000,INDEX($AO$1005:$BQ$1005,1,MATCH(COLUMNS($AO$1006:BI1006),$AO$1006:$BQ$1006,0))&gt;=100000), " ",IF(INDEX($AO$2:$BQ$1001,MATCH(ROWS($AH$2:AH404),$AH$2:$AH$1001,0),MATCH(COLUMNS($AO$1006:BI1006),$AO$1006:$BQ$1006,0)), HYPERLINK("#",""), HYPERLINK(CONCATENATE("#Metadata!", ADDRESS(INDEX($AJ$2:$AJ$1001,MATCH(ROWS($AH$2:AH404),$AH$2:$AH$1001,0),0), INDEX($AO$1004:$BQ$1004,1,MATCH(COLUMNS($AO$1006:BI1006),$AO$1006:$BQ$1006,0)))),"Fix")))</f>
        <v>#N/A</v>
      </c>
      <c r="W404" s="5" t="e">
        <f ca="1">IF(OR(INDEX($AI$2:$AI$1001,MATCH(ROWS($AH$2:AH404),$AH$2:$AH$1001,0),1)&gt;=100000,INDEX($AO$1005:$BQ$1005,1,MATCH(COLUMNS($AO$1006:BJ1006),$AO$1006:$BQ$1006,0))&gt;=100000), " ",IF(INDEX($AO$2:$BQ$1001,MATCH(ROWS($AH$2:AH404),$AH$2:$AH$1001,0),MATCH(COLUMNS($AO$1006:BJ1006),$AO$1006:$BQ$1006,0)), HYPERLINK("#",""), HYPERLINK(CONCATENATE("#Metadata!", ADDRESS(INDEX($AJ$2:$AJ$1001,MATCH(ROWS($AH$2:AH404),$AH$2:$AH$1001,0),0), INDEX($AO$1004:$BQ$1004,1,MATCH(COLUMNS($AO$1006:BJ1006),$AO$1006:$BQ$1006,0)))),"Fix")))</f>
        <v>#N/A</v>
      </c>
      <c r="X404" s="5" t="e">
        <f ca="1">IF(OR(INDEX($AI$2:$AI$1001,MATCH(ROWS($AH$2:AH404),$AH$2:$AH$1001,0),1)&gt;=100000,INDEX($AO$1005:$BQ$1005,1,MATCH(COLUMNS($AO$1006:BK1006),$AO$1006:$BQ$1006,0))&gt;=100000), " ",IF(INDEX($AO$2:$BQ$1001,MATCH(ROWS($AH$2:AH404),$AH$2:$AH$1001,0),MATCH(COLUMNS($AO$1006:BK1006),$AO$1006:$BQ$1006,0)), HYPERLINK("#",""), HYPERLINK(CONCATENATE("#Metadata!", ADDRESS(INDEX($AJ$2:$AJ$1001,MATCH(ROWS($AH$2:AH404),$AH$2:$AH$1001,0),0), INDEX($AO$1004:$BQ$1004,1,MATCH(COLUMNS($AO$1006:BK1006),$AO$1006:$BQ$1006,0)))),"Fix")))</f>
        <v>#N/A</v>
      </c>
      <c r="Y404" s="5" t="e">
        <f ca="1">IF(OR(INDEX($AI$2:$AI$1001,MATCH(ROWS($AH$2:AH404),$AH$2:$AH$1001,0),1)&gt;=100000,INDEX($AO$1005:$BQ$1005,1,MATCH(COLUMNS($AO$1006:BL1006),$AO$1006:$BQ$1006,0))&gt;=100000), " ",IF(INDEX($AO$2:$BQ$1001,MATCH(ROWS($AH$2:AH404),$AH$2:$AH$1001,0),MATCH(COLUMNS($AO$1006:BL1006),$AO$1006:$BQ$1006,0)), HYPERLINK("#",""), HYPERLINK(CONCATENATE("#Metadata!", ADDRESS(INDEX($AJ$2:$AJ$1001,MATCH(ROWS($AH$2:AH404),$AH$2:$AH$1001,0),0), INDEX($AO$1004:$BQ$1004,1,MATCH(COLUMNS($AO$1006:BL1006),$AO$1006:$BQ$1006,0)))),"Fix")))</f>
        <v>#N/A</v>
      </c>
      <c r="Z404" s="5" t="e">
        <f ca="1">IF(OR(INDEX($AI$2:$AI$1001,MATCH(ROWS($AH$2:AH404),$AH$2:$AH$1001,0),1)&gt;=100000,INDEX($AO$1005:$BQ$1005,1,MATCH(COLUMNS($AO$1006:BM1006),$AO$1006:$BQ$1006,0))&gt;=100000), " ",IF(INDEX($AO$2:$BQ$1001,MATCH(ROWS($AH$2:AH404),$AH$2:$AH$1001,0),MATCH(COLUMNS($AO$1006:BM1006),$AO$1006:$BQ$1006,0)), HYPERLINK("#",""), HYPERLINK(CONCATENATE("#Metadata!", ADDRESS(INDEX($AJ$2:$AJ$1001,MATCH(ROWS($AH$2:AH404),$AH$2:$AH$1001,0),0), INDEX($AO$1004:$BQ$1004,1,MATCH(COLUMNS($AO$1006:BM1006),$AO$1006:$BQ$1006,0)))),"Fix")))</f>
        <v>#N/A</v>
      </c>
      <c r="AA404" s="5" t="e">
        <f ca="1">IF(OR(INDEX($AI$2:$AI$1001,MATCH(ROWS($AH$2:AH404),$AH$2:$AH$1001,0),1)&gt;=100000,INDEX($AO$1005:$BQ$1005,1,MATCH(COLUMNS($AO$1006:BN1006),$AO$1006:$BQ$1006,0))&gt;=100000), " ",IF(INDEX($AO$2:$BQ$1001,MATCH(ROWS($AH$2:AH404),$AH$2:$AH$1001,0),MATCH(COLUMNS($AO$1006:BN1006),$AO$1006:$BQ$1006,0)), HYPERLINK("#",""), HYPERLINK(CONCATENATE("#Metadata!", ADDRESS(INDEX($AJ$2:$AJ$1001,MATCH(ROWS($AH$2:AH404),$AH$2:$AH$1001,0),0), INDEX($AO$1004:$BQ$1004,1,MATCH(COLUMNS($AO$1006:BN1006),$AO$1006:$BQ$1006,0)))),"Fix")))</f>
        <v>#N/A</v>
      </c>
      <c r="AB404" s="5" t="e">
        <f ca="1">IF(OR(INDEX($AI$2:$AI$1001,MATCH(ROWS($AH$2:AH404),$AH$2:$AH$1001,0),1)&gt;=100000,INDEX($AO$1005:$BQ$1005,1,MATCH(COLUMNS($AO$1006:BO1006),$AO$1006:$BQ$1006,0))&gt;=100000), " ",IF(INDEX($AO$2:$BQ$1001,MATCH(ROWS($AH$2:AH404),$AH$2:$AH$1001,0),MATCH(COLUMNS($AO$1006:BO1006),$AO$1006:$BQ$1006,0)), HYPERLINK("#",""), HYPERLINK(CONCATENATE("#Metadata!", ADDRESS(INDEX($AJ$2:$AJ$1001,MATCH(ROWS($AH$2:AH404),$AH$2:$AH$1001,0),0), INDEX($AO$1004:$BQ$1004,1,MATCH(COLUMNS($AO$1006:BO1006),$AO$1006:$BQ$1006,0)))),"Fix")))</f>
        <v>#N/A</v>
      </c>
      <c r="AC404" s="5" t="e">
        <f ca="1">IF(OR(INDEX($AI$2:$AI$1001,MATCH(ROWS($AH$2:AH404),$AH$2:$AH$1001,0),1)&gt;=100000,INDEX($AO$1005:$BQ$1005,1,MATCH(COLUMNS($AO$1006:BP1006),$AO$1006:$BQ$1006,0))&gt;=100000), " ",IF(INDEX($AO$2:$BQ$1001,MATCH(ROWS($AH$2:AH404),$AH$2:$AH$1001,0),MATCH(COLUMNS($AO$1006:BP1006),$AO$1006:$BQ$1006,0)), HYPERLINK("#",""), HYPERLINK(CONCATENATE("#Metadata!", ADDRESS(INDEX($AJ$2:$AJ$1001,MATCH(ROWS($AH$2:AH404),$AH$2:$AH$1001,0),0), INDEX($AO$1004:$BQ$1004,1,MATCH(COLUMNS($AO$1006:BP1006),$AO$1006:$BQ$1006,0)))),"Fix")))</f>
        <v>#N/A</v>
      </c>
      <c r="AD404" s="5" t="e">
        <f ca="1">IF(OR(INDEX($AI$2:$AI$1001,MATCH(ROWS($AH$2:AH404),$AH$2:$AH$1001,0),1)&gt;=100000,INDEX($AO$1005:$BQ$1005,1,MATCH(COLUMNS($AO$1006:BQ1006),$AO$1006:$BQ$1006,0))&gt;=100000), " ",IF(INDEX($AO$2:$BQ$1001,MATCH(ROWS($AH$2:AH404),$AH$2:$AH$1001,0),MATCH(COLUMNS($AO$1006:BQ1006),$AO$1006:$BQ$1006,0)), HYPERLINK("#",""), HYPERLINK(CONCATENATE("#Metadata!", ADDRESS(INDEX($AJ$2:$AJ$1001,MATCH(ROWS($AH$2:AH404),$AH$2:$AH$1001,0),0), INDEX($AO$1004:$BQ$1004,1,MATCH(COLUMNS($AO$1006:BQ1006),$AO$1006:$BQ$1006,0)))),"Fix")))</f>
        <v>#REF!</v>
      </c>
      <c r="AH404">
        <f ca="1"/>
        <v>401</v>
      </c>
      <c r="AI404">
        <v>100404</v>
      </c>
      <c r="AJ404">
        <v>404</v>
      </c>
      <c r="AK404" t="b">
        <f t="shared" si="6"/>
        <v>1</v>
      </c>
      <c r="AL404" t="b">
        <f>COUNTBLANK(Metadata!B404:AD404)=COLUMNS(Metadata!B404:AD404)</f>
        <v>1</v>
      </c>
      <c r="AM404" t="str">
        <v/>
      </c>
      <c r="AO404" t="b">
        <f ca="1">AND(IF(Metadata!B404="",FALSE,TRUE),COUNTIF(Metadata!B:B, Metadata!B404) = 1,NOT(ISERROR(SUMPRODUCT(SEARCH(MID(Metadata!B404,ROW(INDIRECT("1:"&amp;LEN(Metadata!B404))), 1),"0123456789abcdefghijklmnopqrstuvwxyzABCDEFGHIJKLMNOPQRSTUVWXYZ.")))))</f>
        <v>0</v>
      </c>
      <c r="AP404" t="b">
        <f>IF(Metadata!C404="",FALSE,TRUE)</f>
        <v>0</v>
      </c>
      <c r="AQ404" t="b">
        <f>IF(Metadata!D404="",FALSE,TRUE)</f>
        <v>0</v>
      </c>
      <c r="AR404" t="b">
        <f ca="1">OR(AND(IF(Metadata!E404="",FALSE,TRUE),OR(EXACT(Metadata!E404,"not collected"),EXACT(Metadata!E404,"not provided"),EXACT(Metadata!E404,"restricted access"))),AND(IF(Metadata!E404="",FALSE,TRUE),AND(AND(IFERROR(INT(LEFT(Metadata!E404,4))&gt;1900,FALSE),IFERROR(INT(LEFT(Metadata!E404,4))&lt;=YEAR(NOW()),FALSE)), OR(MID(Metadata!E404,5,1)="", AND(AND(MID(Metadata!E404,5,1)="-",IFERROR(INT(MID(Metadata!E404,6,1))&gt;=0,FALSE),IFERROR(INT(MID(Metadata!E404,6,1))&lt;=1,FALSE),NOT(MID(Metadata!E404,7,1)=""),IFERROR(INT(MID(Metadata!E404,6,2))&gt;=1,FALSE),IFERROR(INT(MID(Metadata!E404,6,2))&lt;=12,FALSE)), OR(MID(Metadata!E404,8,1)="", AND(AND(MID(Metadata!E404,8,1)="-",IFERROR(INT(MID(Metadata!E404,9,1))&gt;=0,FALSE),IFERROR(INT(MID(Metadata!E404,9,1))&lt;=3,FALSE),NOT(MID(Metadata!E404,10,1)=""),IFERROR(INT(MID(Metadata!E404,9,2))&gt;=1,FALSE),IFERROR(INT(MID(Metadata!E404,9,2))&lt;=31,FALSE)), OR(MID(Metadata!E404,11,1)="", AND(AND(MID(Metadata!E404,11,1)=" ",IFERROR(INT(MID(Metadata!E404,12,1))&gt;=0,FALSE),IFERROR(INT(MID(Metadata!E404,12,1))&lt;=2,FALSE),NOT(MID(Metadata!E404,13,1)=""),IFERROR(INT(MID(Metadata!E404,12,2))&gt;=0,FALSE),IFERROR(INT(MID(Metadata!E404,12,2))&lt;=23,FALSE)), OR(MID(Metadata!E404,14,1)="", AND(AND(MID(Metadata!E404,14,1)=":",IFERROR(INT(MID(Metadata!E404,15,1))&gt;=0,FALSE),IFERROR(INT(MID(Metadata!E404,15,1))&lt;=5,FALSE),NOT(MID(Metadata!E404,16,1)=""),IFERROR(INT(MID(Metadata!E404,15,2))&gt;=0,FALSE),IFERROR(INT(MID(Metadata!E404,15,2))&lt;=59,FALSE)), OR(MID(Metadata!E404,17,1)="", AND(AND(MID(Metadata!E404,17,1)=":",IFERROR(INT(MID(Metadata!E404,18,1))&gt;=0,FALSE),IFERROR(INT(MID(Metadata!E404,18,1))&lt;=5,FALSE),NOT(MID(Metadata!E404,19,1)=""),IFERROR(INT(MID(Metadata!E404,18,2))&gt;=0,FALSE),IFERROR(INT(MID(Metadata!E404,18,2))&lt;=59,FALSE)), LEN(Metadata!E404)&lt;=19)))))))))))))</f>
        <v>0</v>
      </c>
      <c r="AS404" t="b">
        <f>IF(Metadata!F404="",FALSE,TRUE)</f>
        <v>0</v>
      </c>
      <c r="AT404" t="b">
        <f>OR(AND(IF(Metadata!G404="",FALSE,TRUE),OR(EXACT(Metadata!G404,"not collected"),EXACT(Metadata!G404,"not provided"))),AND(IF(Metadata!G404="",FALSE,TRUE),OR(EXACT(Metadata!G404,"TRUE"),EXACT(Metadata!G404,"FALSE"))))</f>
        <v>0</v>
      </c>
      <c r="AU404" t="b">
        <f>OR(AND(IF(Metadata!H404="",FALSE,TRUE),OR(EXACT(Metadata!H404,"not collected"),EXACT(Metadata!H404,"not provided"),EXACT(Metadata!H404,"restricted access"))),AND(IF(Metadata!H404="",FALSE,ISNUMBER(VALUE(Metadata!H404))),Metadata!H404&gt;=-413))</f>
        <v>0</v>
      </c>
      <c r="AV404" t="b">
        <f>AND(IF(Metadata!I404="",FALSE,TRUE),EXACT(Metadata!I404,"meters"))</f>
        <v>0</v>
      </c>
      <c r="AW404" t="b">
        <f>AND(IF(Metadata!J404="",FALSE,TRUE),EXACT(Metadata!J404,"free-living"))</f>
        <v>0</v>
      </c>
      <c r="AX404" t="b">
        <f>AND(IF(Metadata!K404="",FALSE,TRUE),OR(EXACT(Metadata!K404,"saline"),EXACT(Metadata!K404,"non-saline")))</f>
        <v>0</v>
      </c>
      <c r="AY404" t="b">
        <f>AND(IF(Metadata!L404="",FALSE,TRUE),OR(EXACT(Metadata!L404,"sub-surface (non-saline)"),EXACT(Metadata!L404,"surface (non-saline)"),EXACT(Metadata!L404,"water (non-saline)"),EXACT(Metadata!L404,"soil (non-saline)"),EXACT(Metadata!L404,"aerosol (non-saline)"),EXACT(Metadata!L404,"sediment (non-saline)"),EXACT(Metadata!L404,"surface (saline)"),EXACT(Metadata!L404,"water (saline)"),EXACT(Metadata!L404,"hypersaline (saline)"),EXACT(Metadata!L404,"aerosol (saline)"),EXACT(Metadata!L404,"sediment (saline)")))</f>
        <v>0</v>
      </c>
      <c r="AZ404" t="b">
        <f>IF(Metadata!M404="",FALSE,TRUE)</f>
        <v>0</v>
      </c>
      <c r="BA404" t="b">
        <f>IF(Metadata!N404="",FALSE,TRUE)</f>
        <v>0</v>
      </c>
      <c r="BB404" t="b">
        <f>IF(Metadata!O404="",FALSE,TRUE)</f>
        <v>0</v>
      </c>
      <c r="BC404" t="b">
        <f>AND(IF(Metadata!P404="",FALSE,TRUE),OR(EXACT(Metadata!P404,"air"),EXACT(Metadata!P404,"microbial mat/biofilm"),EXACT(Metadata!P404,"misc environment"),EXACT(Metadata!P404,"sediment"),EXACT(Metadata!P404,"soil"),EXACT(Metadata!P404,"wastewater/sludge"),EXACT(Metadata!P404,"water")))</f>
        <v>0</v>
      </c>
      <c r="BD404" t="b">
        <f>IF(Metadata!Q404="",FALSE,TRUE)</f>
        <v>0</v>
      </c>
      <c r="BE404" t="b">
        <f>IF(Metadata!R404="",FALSE,TRUE)</f>
        <v>0</v>
      </c>
      <c r="BF404" t="b">
        <f>OR(AND(IF(Metadata!S404="",FALSE,TRUE),OR(EXACT(Metadata!S404,"not collected"),EXACT(Metadata!S404,"not provided"),EXACT(Metadata!S404,"restricted access"))),AND(IF(Metadata!S404="",FALSE,ISNUMBER(VALUE(Metadata!S404))),Metadata!S404&gt;=-90,Metadata!S404&lt;=90))</f>
        <v>0</v>
      </c>
      <c r="BG404" t="b">
        <f>AND(IF(Metadata!T404="",FALSE,TRUE),EXACT(Metadata!T404,"Decimal degrees"))</f>
        <v>0</v>
      </c>
      <c r="BH404" t="b">
        <f>OR(AND(IF(Metadata!U404="",FALSE,TRUE),OR(EXACT(Metadata!U404,"not applicable"),EXACT(Metadata!U404,"not collected"))),IF(Metadata!U404="",FALSE,TRUE))</f>
        <v>0</v>
      </c>
      <c r="BI404" t="b">
        <f>OR(AND(IF(Metadata!V404="",FALSE,TRUE),OR(EXACT(Metadata!V404,"not collected"),EXACT(Metadata!V404,"not provided"),EXACT(Metadata!V404,"restricted access"))),AND(IF(Metadata!V404="",FALSE,ISNUMBER(VALUE(Metadata!V404))),Metadata!V404&gt;=-180,Metadata!V404&lt;=180))</f>
        <v>0</v>
      </c>
      <c r="BJ404" t="b">
        <f>AND(IF(Metadata!W404="",FALSE,TRUE),EXACT(Metadata!W404,"Decimal degrees"))</f>
        <v>0</v>
      </c>
      <c r="BK404" t="b">
        <f>IF(Metadata!X404="",FALSE,TRUE)</f>
        <v>0</v>
      </c>
      <c r="BL404" t="b">
        <f>OR(AND(IF(Metadata!Y404="",FALSE,TRUE),OR(EXACT(Metadata!Y404,"not collected"),EXACT(Metadata!Y404,"not provided"),EXACT(Metadata!Y404,"restricted access"))),AND(IF(Metadata!Y404="",FALSE,TRUE),OR(EXACT(Metadata!Y404,"TRUE"),EXACT(Metadata!Y404,"FALSE"))))</f>
        <v>0</v>
      </c>
      <c r="BM404" t="b">
        <f>OR(AND(IF(Metadata!Z404="",FALSE,TRUE),EXACT(Metadata!Z404,"not applicable")),AND(IF(Metadata!Z404="",FALSE,TRUE),OR(EXACT(Metadata!Z404,"beer"),EXACT(Metadata!Z404,"cheese"),EXACT(Metadata!Z404,"fresh water"),EXACT(Metadata!Z404,"marine sediment"),EXACT(Metadata!Z404,"sea water"),EXACT(Metadata!Z404,"sediment"),EXACT(Metadata!Z404,"soil"),EXACT(Metadata!Z404,"waste water"))))</f>
        <v>0</v>
      </c>
      <c r="BN404" t="b">
        <f>AND(IF(Metadata!AA404="",FALSE,TRUE),EXACT(Metadata!AA404,"metagenome"))</f>
        <v>0</v>
      </c>
      <c r="BO404" t="b">
        <f>AND(IF(Metadata!AB404="",FALSE,TRUE),EXACT(Metadata!AB404,"256318"))</f>
        <v>0</v>
      </c>
      <c r="BP404" t="b">
        <f>IF(Metadata!AC404="",FALSE,TRUE)</f>
        <v>0</v>
      </c>
      <c r="BQ404" t="b">
        <f>IF(Metadata!AD404="",FALSE,TRUE)</f>
        <v>0</v>
      </c>
    </row>
    <row r="405" spans="1:69" x14ac:dyDescent="0.2">
      <c r="A405" s="4" t="e">
        <f ca="1">IF(B405=" "," ",HYPERLINK(CONCATENATE("#metadata!",ADDRESS(INDEX($AJ$2:$AJ$1001,MATCH(ROWS($AH$2:AH405),$AH$2:$AH$1001,0),0),2)),INDEX($AM$2:$AM$1001,MATCH(ROWS($AH$2:AH405),$AH$2:$AH$1001,0),0)))</f>
        <v>#N/A</v>
      </c>
      <c r="B405" s="5" t="e">
        <f ca="1">IF(OR(INDEX($AI$2:$AI$1001,MATCH(ROWS($AH$2:AH405),$AH$2:$AH$1001,0),1)&gt;=100000,INDEX($AO$1005:$BQ$1005,1,MATCH(COLUMNS($AO$1006:AO1006),$AO$1006:$BQ$1006,0))&gt;=100000), " ",IF(INDEX($AO$2:$BQ$1001,MATCH(ROWS($AH$2:AH405),$AH$2:$AH$1001,0),MATCH(COLUMNS($AO$1006:AO1006),$AO$1006:$BQ$1006,0)), HYPERLINK("#",""), HYPERLINK(CONCATENATE("#Metadata!", ADDRESS(INDEX($AJ$2:$AJ$1001,MATCH(ROWS($AH$2:AH405),$AH$2:$AH$1001,0),0), INDEX($AO$1004:$BQ$1004,1,MATCH(COLUMNS($AO$1006:AO1006),$AO$1006:$BQ$1006,0)))),"Fix")))</f>
        <v>#N/A</v>
      </c>
      <c r="C405" s="5" t="e">
        <f ca="1">IF(OR(INDEX($AI$2:$AI$1001,MATCH(ROWS($AH$2:AH405),$AH$2:$AH$1001,0),1)&gt;=100000,INDEX($AO$1005:$BQ$1005,1,MATCH(COLUMNS($AO$1006:AP1006),$AO$1006:$BQ$1006,0))&gt;=100000), " ",IF(INDEX($AO$2:$BQ$1001,MATCH(ROWS($AH$2:AH405),$AH$2:$AH$1001,0),MATCH(COLUMNS($AO$1006:AP1006),$AO$1006:$BQ$1006,0)), HYPERLINK("#",""), HYPERLINK(CONCATENATE("#Metadata!", ADDRESS(INDEX($AJ$2:$AJ$1001,MATCH(ROWS($AH$2:AH405),$AH$2:$AH$1001,0),0), INDEX($AO$1004:$BQ$1004,1,MATCH(COLUMNS($AO$1006:AP1006),$AO$1006:$BQ$1006,0)))),"Fix")))</f>
        <v>#N/A</v>
      </c>
      <c r="D405" s="5" t="e">
        <f ca="1">IF(OR(INDEX($AI$2:$AI$1001,MATCH(ROWS($AH$2:AH405),$AH$2:$AH$1001,0),1)&gt;=100000,INDEX($AO$1005:$BQ$1005,1,MATCH(COLUMNS($AO$1006:AQ1006),$AO$1006:$BQ$1006,0))&gt;=100000), " ",IF(INDEX($AO$2:$BQ$1001,MATCH(ROWS($AH$2:AH405),$AH$2:$AH$1001,0),MATCH(COLUMNS($AO$1006:AQ1006),$AO$1006:$BQ$1006,0)), HYPERLINK("#",""), HYPERLINK(CONCATENATE("#Metadata!", ADDRESS(INDEX($AJ$2:$AJ$1001,MATCH(ROWS($AH$2:AH405),$AH$2:$AH$1001,0),0), INDEX($AO$1004:$BQ$1004,1,MATCH(COLUMNS($AO$1006:AQ1006),$AO$1006:$BQ$1006,0)))),"Fix")))</f>
        <v>#N/A</v>
      </c>
      <c r="E405" s="5" t="e">
        <f ca="1">IF(OR(INDEX($AI$2:$AI$1001,MATCH(ROWS($AH$2:AH405),$AH$2:$AH$1001,0),1)&gt;=100000,INDEX($AO$1005:$BQ$1005,1,MATCH(COLUMNS($AO$1006:AR1006),$AO$1006:$BQ$1006,0))&gt;=100000), " ",IF(INDEX($AO$2:$BQ$1001,MATCH(ROWS($AH$2:AH405),$AH$2:$AH$1001,0),MATCH(COLUMNS($AO$1006:AR1006),$AO$1006:$BQ$1006,0)), HYPERLINK("#",""), HYPERLINK(CONCATENATE("#Metadata!", ADDRESS(INDEX($AJ$2:$AJ$1001,MATCH(ROWS($AH$2:AH405),$AH$2:$AH$1001,0),0), INDEX($AO$1004:$BQ$1004,1,MATCH(COLUMNS($AO$1006:AR1006),$AO$1006:$BQ$1006,0)))),"Fix")))</f>
        <v>#N/A</v>
      </c>
      <c r="F405" s="5" t="e">
        <f ca="1">IF(OR(INDEX($AI$2:$AI$1001,MATCH(ROWS($AH$2:AH405),$AH$2:$AH$1001,0),1)&gt;=100000,INDEX($AO$1005:$BQ$1005,1,MATCH(COLUMNS($AO$1006:AS1006),$AO$1006:$BQ$1006,0))&gt;=100000), " ",IF(INDEX($AO$2:$BQ$1001,MATCH(ROWS($AH$2:AH405),$AH$2:$AH$1001,0),MATCH(COLUMNS($AO$1006:AS1006),$AO$1006:$BQ$1006,0)), HYPERLINK("#",""), HYPERLINK(CONCATENATE("#Metadata!", ADDRESS(INDEX($AJ$2:$AJ$1001,MATCH(ROWS($AH$2:AH405),$AH$2:$AH$1001,0),0), INDEX($AO$1004:$BQ$1004,1,MATCH(COLUMNS($AO$1006:AS1006),$AO$1006:$BQ$1006,0)))),"Fix")))</f>
        <v>#N/A</v>
      </c>
      <c r="G405" s="5" t="e">
        <f ca="1">IF(OR(INDEX($AI$2:$AI$1001,MATCH(ROWS($AH$2:AH405),$AH$2:$AH$1001,0),1)&gt;=100000,INDEX($AO$1005:$BQ$1005,1,MATCH(COLUMNS($AO$1006:AT1006),$AO$1006:$BQ$1006,0))&gt;=100000), " ",IF(INDEX($AO$2:$BQ$1001,MATCH(ROWS($AH$2:AH405),$AH$2:$AH$1001,0),MATCH(COLUMNS($AO$1006:AT1006),$AO$1006:$BQ$1006,0)), HYPERLINK("#",""), HYPERLINK(CONCATENATE("#Metadata!", ADDRESS(INDEX($AJ$2:$AJ$1001,MATCH(ROWS($AH$2:AH405),$AH$2:$AH$1001,0),0), INDEX($AO$1004:$BQ$1004,1,MATCH(COLUMNS($AO$1006:AT1006),$AO$1006:$BQ$1006,0)))),"Fix")))</f>
        <v>#N/A</v>
      </c>
      <c r="H405" s="5" t="e">
        <f ca="1">IF(OR(INDEX($AI$2:$AI$1001,MATCH(ROWS($AH$2:AH405),$AH$2:$AH$1001,0),1)&gt;=100000,INDEX($AO$1005:$BQ$1005,1,MATCH(COLUMNS($AO$1006:AU1006),$AO$1006:$BQ$1006,0))&gt;=100000), " ",IF(INDEX($AO$2:$BQ$1001,MATCH(ROWS($AH$2:AH405),$AH$2:$AH$1001,0),MATCH(COLUMNS($AO$1006:AU1006),$AO$1006:$BQ$1006,0)), HYPERLINK("#",""), HYPERLINK(CONCATENATE("#Metadata!", ADDRESS(INDEX($AJ$2:$AJ$1001,MATCH(ROWS($AH$2:AH405),$AH$2:$AH$1001,0),0), INDEX($AO$1004:$BQ$1004,1,MATCH(COLUMNS($AO$1006:AU1006),$AO$1006:$BQ$1006,0)))),"Fix")))</f>
        <v>#N/A</v>
      </c>
      <c r="I405" s="5" t="e">
        <f ca="1">IF(OR(INDEX($AI$2:$AI$1001,MATCH(ROWS($AH$2:AH405),$AH$2:$AH$1001,0),1)&gt;=100000,INDEX($AO$1005:$BQ$1005,1,MATCH(COLUMNS($AO$1006:AV1006),$AO$1006:$BQ$1006,0))&gt;=100000), " ",IF(INDEX($AO$2:$BQ$1001,MATCH(ROWS($AH$2:AH405),$AH$2:$AH$1001,0),MATCH(COLUMNS($AO$1006:AV1006),$AO$1006:$BQ$1006,0)), HYPERLINK("#",""), HYPERLINK(CONCATENATE("#Metadata!", ADDRESS(INDEX($AJ$2:$AJ$1001,MATCH(ROWS($AH$2:AH405),$AH$2:$AH$1001,0),0), INDEX($AO$1004:$BQ$1004,1,MATCH(COLUMNS($AO$1006:AV1006),$AO$1006:$BQ$1006,0)))),"Fix")))</f>
        <v>#N/A</v>
      </c>
      <c r="J405" s="5" t="e">
        <f ca="1">IF(OR(INDEX($AI$2:$AI$1001,MATCH(ROWS($AH$2:AH405),$AH$2:$AH$1001,0),1)&gt;=100000,INDEX($AO$1005:$BQ$1005,1,MATCH(COLUMNS($AO$1006:AW1006),$AO$1006:$BQ$1006,0))&gt;=100000), " ",IF(INDEX($AO$2:$BQ$1001,MATCH(ROWS($AH$2:AH405),$AH$2:$AH$1001,0),MATCH(COLUMNS($AO$1006:AW1006),$AO$1006:$BQ$1006,0)), HYPERLINK("#",""), HYPERLINK(CONCATENATE("#Metadata!", ADDRESS(INDEX($AJ$2:$AJ$1001,MATCH(ROWS($AH$2:AH405),$AH$2:$AH$1001,0),0), INDEX($AO$1004:$BQ$1004,1,MATCH(COLUMNS($AO$1006:AW1006),$AO$1006:$BQ$1006,0)))),"Fix")))</f>
        <v>#N/A</v>
      </c>
      <c r="K405" s="5" t="e">
        <f ca="1">IF(OR(INDEX($AI$2:$AI$1001,MATCH(ROWS($AH$2:AH405),$AH$2:$AH$1001,0),1)&gt;=100000,INDEX($AO$1005:$BQ$1005,1,MATCH(COLUMNS($AO$1006:AX1006),$AO$1006:$BQ$1006,0))&gt;=100000), " ",IF(INDEX($AO$2:$BQ$1001,MATCH(ROWS($AH$2:AH405),$AH$2:$AH$1001,0),MATCH(COLUMNS($AO$1006:AX1006),$AO$1006:$BQ$1006,0)), HYPERLINK("#",""), HYPERLINK(CONCATENATE("#Metadata!", ADDRESS(INDEX($AJ$2:$AJ$1001,MATCH(ROWS($AH$2:AH405),$AH$2:$AH$1001,0),0), INDEX($AO$1004:$BQ$1004,1,MATCH(COLUMNS($AO$1006:AX1006),$AO$1006:$BQ$1006,0)))),"Fix")))</f>
        <v>#N/A</v>
      </c>
      <c r="L405" s="5" t="e">
        <f ca="1">IF(OR(INDEX($AI$2:$AI$1001,MATCH(ROWS($AH$2:AH405),$AH$2:$AH$1001,0),1)&gt;=100000,INDEX($AO$1005:$BQ$1005,1,MATCH(COLUMNS($AO$1006:AY1006),$AO$1006:$BQ$1006,0))&gt;=100000), " ",IF(INDEX($AO$2:$BQ$1001,MATCH(ROWS($AH$2:AH405),$AH$2:$AH$1001,0),MATCH(COLUMNS($AO$1006:AY1006),$AO$1006:$BQ$1006,0)), HYPERLINK("#",""), HYPERLINK(CONCATENATE("#Metadata!", ADDRESS(INDEX($AJ$2:$AJ$1001,MATCH(ROWS($AH$2:AH405),$AH$2:$AH$1001,0),0), INDEX($AO$1004:$BQ$1004,1,MATCH(COLUMNS($AO$1006:AY1006),$AO$1006:$BQ$1006,0)))),"Fix")))</f>
        <v>#N/A</v>
      </c>
      <c r="M405" s="5" t="e">
        <f ca="1">IF(OR(INDEX($AI$2:$AI$1001,MATCH(ROWS($AH$2:AH405),$AH$2:$AH$1001,0),1)&gt;=100000,INDEX($AO$1005:$BQ$1005,1,MATCH(COLUMNS($AO$1006:AZ1006),$AO$1006:$BQ$1006,0))&gt;=100000), " ",IF(INDEX($AO$2:$BQ$1001,MATCH(ROWS($AH$2:AH405),$AH$2:$AH$1001,0),MATCH(COLUMNS($AO$1006:AZ1006),$AO$1006:$BQ$1006,0)), HYPERLINK("#",""), HYPERLINK(CONCATENATE("#Metadata!", ADDRESS(INDEX($AJ$2:$AJ$1001,MATCH(ROWS($AH$2:AH405),$AH$2:$AH$1001,0),0), INDEX($AO$1004:$BQ$1004,1,MATCH(COLUMNS($AO$1006:AZ1006),$AO$1006:$BQ$1006,0)))),"Fix")))</f>
        <v>#N/A</v>
      </c>
      <c r="N405" s="5" t="e">
        <f ca="1">IF(OR(INDEX($AI$2:$AI$1001,MATCH(ROWS($AH$2:AH405),$AH$2:$AH$1001,0),1)&gt;=100000,INDEX($AO$1005:$BQ$1005,1,MATCH(COLUMNS($AO$1006:BA1006),$AO$1006:$BQ$1006,0))&gt;=100000), " ",IF(INDEX($AO$2:$BQ$1001,MATCH(ROWS($AH$2:AH405),$AH$2:$AH$1001,0),MATCH(COLUMNS($AO$1006:BA1006),$AO$1006:$BQ$1006,0)), HYPERLINK("#",""), HYPERLINK(CONCATENATE("#Metadata!", ADDRESS(INDEX($AJ$2:$AJ$1001,MATCH(ROWS($AH$2:AH405),$AH$2:$AH$1001,0),0), INDEX($AO$1004:$BQ$1004,1,MATCH(COLUMNS($AO$1006:BA1006),$AO$1006:$BQ$1006,0)))),"Fix")))</f>
        <v>#N/A</v>
      </c>
      <c r="O405" s="5" t="e">
        <f ca="1">IF(OR(INDEX($AI$2:$AI$1001,MATCH(ROWS($AH$2:AH405),$AH$2:$AH$1001,0),1)&gt;=100000,INDEX($AO$1005:$BQ$1005,1,MATCH(COLUMNS($AO$1006:BB1006),$AO$1006:$BQ$1006,0))&gt;=100000), " ",IF(INDEX($AO$2:$BQ$1001,MATCH(ROWS($AH$2:AH405),$AH$2:$AH$1001,0),MATCH(COLUMNS($AO$1006:BB1006),$AO$1006:$BQ$1006,0)), HYPERLINK("#",""), HYPERLINK(CONCATENATE("#Metadata!", ADDRESS(INDEX($AJ$2:$AJ$1001,MATCH(ROWS($AH$2:AH405),$AH$2:$AH$1001,0),0), INDEX($AO$1004:$BQ$1004,1,MATCH(COLUMNS($AO$1006:BB1006),$AO$1006:$BQ$1006,0)))),"Fix")))</f>
        <v>#N/A</v>
      </c>
      <c r="P405" s="5" t="e">
        <f ca="1">IF(OR(INDEX($AI$2:$AI$1001,MATCH(ROWS($AH$2:AH405),$AH$2:$AH$1001,0),1)&gt;=100000,INDEX($AO$1005:$BQ$1005,1,MATCH(COLUMNS($AO$1006:BC1006),$AO$1006:$BQ$1006,0))&gt;=100000), " ",IF(INDEX($AO$2:$BQ$1001,MATCH(ROWS($AH$2:AH405),$AH$2:$AH$1001,0),MATCH(COLUMNS($AO$1006:BC1006),$AO$1006:$BQ$1006,0)), HYPERLINK("#",""), HYPERLINK(CONCATENATE("#Metadata!", ADDRESS(INDEX($AJ$2:$AJ$1001,MATCH(ROWS($AH$2:AH405),$AH$2:$AH$1001,0),0), INDEX($AO$1004:$BQ$1004,1,MATCH(COLUMNS($AO$1006:BC1006),$AO$1006:$BQ$1006,0)))),"Fix")))</f>
        <v>#N/A</v>
      </c>
      <c r="Q405" s="5" t="e">
        <f ca="1">IF(OR(INDEX($AI$2:$AI$1001,MATCH(ROWS($AH$2:AH405),$AH$2:$AH$1001,0),1)&gt;=100000,INDEX($AO$1005:$BQ$1005,1,MATCH(COLUMNS($AO$1006:BD1006),$AO$1006:$BQ$1006,0))&gt;=100000), " ",IF(INDEX($AO$2:$BQ$1001,MATCH(ROWS($AH$2:AH405),$AH$2:$AH$1001,0),MATCH(COLUMNS($AO$1006:BD1006),$AO$1006:$BQ$1006,0)), HYPERLINK("#",""), HYPERLINK(CONCATENATE("#Metadata!", ADDRESS(INDEX($AJ$2:$AJ$1001,MATCH(ROWS($AH$2:AH405),$AH$2:$AH$1001,0),0), INDEX($AO$1004:$BQ$1004,1,MATCH(COLUMNS($AO$1006:BD1006),$AO$1006:$BQ$1006,0)))),"Fix")))</f>
        <v>#N/A</v>
      </c>
      <c r="R405" s="5" t="e">
        <f ca="1">IF(OR(INDEX($AI$2:$AI$1001,MATCH(ROWS($AH$2:AH405),$AH$2:$AH$1001,0),1)&gt;=100000,INDEX($AO$1005:$BQ$1005,1,MATCH(COLUMNS($AO$1006:BE1006),$AO$1006:$BQ$1006,0))&gt;=100000), " ",IF(INDEX($AO$2:$BQ$1001,MATCH(ROWS($AH$2:AH405),$AH$2:$AH$1001,0),MATCH(COLUMNS($AO$1006:BE1006),$AO$1006:$BQ$1006,0)), HYPERLINK("#",""), HYPERLINK(CONCATENATE("#Metadata!", ADDRESS(INDEX($AJ$2:$AJ$1001,MATCH(ROWS($AH$2:AH405),$AH$2:$AH$1001,0),0), INDEX($AO$1004:$BQ$1004,1,MATCH(COLUMNS($AO$1006:BE1006),$AO$1006:$BQ$1006,0)))),"Fix")))</f>
        <v>#N/A</v>
      </c>
      <c r="S405" s="5" t="e">
        <f ca="1">IF(OR(INDEX($AI$2:$AI$1001,MATCH(ROWS($AH$2:AH405),$AH$2:$AH$1001,0),1)&gt;=100000,INDEX($AO$1005:$BQ$1005,1,MATCH(COLUMNS($AO$1006:BF1006),$AO$1006:$BQ$1006,0))&gt;=100000), " ",IF(INDEX($AO$2:$BQ$1001,MATCH(ROWS($AH$2:AH405),$AH$2:$AH$1001,0),MATCH(COLUMNS($AO$1006:BF1006),$AO$1006:$BQ$1006,0)), HYPERLINK("#",""), HYPERLINK(CONCATENATE("#Metadata!", ADDRESS(INDEX($AJ$2:$AJ$1001,MATCH(ROWS($AH$2:AH405),$AH$2:$AH$1001,0),0), INDEX($AO$1004:$BQ$1004,1,MATCH(COLUMNS($AO$1006:BF1006),$AO$1006:$BQ$1006,0)))),"Fix")))</f>
        <v>#N/A</v>
      </c>
      <c r="T405" s="5" t="e">
        <f ca="1">IF(OR(INDEX($AI$2:$AI$1001,MATCH(ROWS($AH$2:AH405),$AH$2:$AH$1001,0),1)&gt;=100000,INDEX($AO$1005:$BQ$1005,1,MATCH(COLUMNS($AO$1006:BG1006),$AO$1006:$BQ$1006,0))&gt;=100000), " ",IF(INDEX($AO$2:$BQ$1001,MATCH(ROWS($AH$2:AH405),$AH$2:$AH$1001,0),MATCH(COLUMNS($AO$1006:BG1006),$AO$1006:$BQ$1006,0)), HYPERLINK("#",""), HYPERLINK(CONCATENATE("#Metadata!", ADDRESS(INDEX($AJ$2:$AJ$1001,MATCH(ROWS($AH$2:AH405),$AH$2:$AH$1001,0),0), INDEX($AO$1004:$BQ$1004,1,MATCH(COLUMNS($AO$1006:BG1006),$AO$1006:$BQ$1006,0)))),"Fix")))</f>
        <v>#N/A</v>
      </c>
      <c r="U405" s="5" t="e">
        <f ca="1">IF(OR(INDEX($AI$2:$AI$1001,MATCH(ROWS($AH$2:AH405),$AH$2:$AH$1001,0),1)&gt;=100000,INDEX($AO$1005:$BQ$1005,1,MATCH(COLUMNS($AO$1006:BH1006),$AO$1006:$BQ$1006,0))&gt;=100000), " ",IF(INDEX($AO$2:$BQ$1001,MATCH(ROWS($AH$2:AH405),$AH$2:$AH$1001,0),MATCH(COLUMNS($AO$1006:BH1006),$AO$1006:$BQ$1006,0)), HYPERLINK("#",""), HYPERLINK(CONCATENATE("#Metadata!", ADDRESS(INDEX($AJ$2:$AJ$1001,MATCH(ROWS($AH$2:AH405),$AH$2:$AH$1001,0),0), INDEX($AO$1004:$BQ$1004,1,MATCH(COLUMNS($AO$1006:BH1006),$AO$1006:$BQ$1006,0)))),"Fix")))</f>
        <v>#N/A</v>
      </c>
      <c r="V405" s="5" t="e">
        <f ca="1">IF(OR(INDEX($AI$2:$AI$1001,MATCH(ROWS($AH$2:AH405),$AH$2:$AH$1001,0),1)&gt;=100000,INDEX($AO$1005:$BQ$1005,1,MATCH(COLUMNS($AO$1006:BI1006),$AO$1006:$BQ$1006,0))&gt;=100000), " ",IF(INDEX($AO$2:$BQ$1001,MATCH(ROWS($AH$2:AH405),$AH$2:$AH$1001,0),MATCH(COLUMNS($AO$1006:BI1006),$AO$1006:$BQ$1006,0)), HYPERLINK("#",""), HYPERLINK(CONCATENATE("#Metadata!", ADDRESS(INDEX($AJ$2:$AJ$1001,MATCH(ROWS($AH$2:AH405),$AH$2:$AH$1001,0),0), INDEX($AO$1004:$BQ$1004,1,MATCH(COLUMNS($AO$1006:BI1006),$AO$1006:$BQ$1006,0)))),"Fix")))</f>
        <v>#N/A</v>
      </c>
      <c r="W405" s="5" t="e">
        <f ca="1">IF(OR(INDEX($AI$2:$AI$1001,MATCH(ROWS($AH$2:AH405),$AH$2:$AH$1001,0),1)&gt;=100000,INDEX($AO$1005:$BQ$1005,1,MATCH(COLUMNS($AO$1006:BJ1006),$AO$1006:$BQ$1006,0))&gt;=100000), " ",IF(INDEX($AO$2:$BQ$1001,MATCH(ROWS($AH$2:AH405),$AH$2:$AH$1001,0),MATCH(COLUMNS($AO$1006:BJ1006),$AO$1006:$BQ$1006,0)), HYPERLINK("#",""), HYPERLINK(CONCATENATE("#Metadata!", ADDRESS(INDEX($AJ$2:$AJ$1001,MATCH(ROWS($AH$2:AH405),$AH$2:$AH$1001,0),0), INDEX($AO$1004:$BQ$1004,1,MATCH(COLUMNS($AO$1006:BJ1006),$AO$1006:$BQ$1006,0)))),"Fix")))</f>
        <v>#N/A</v>
      </c>
      <c r="X405" s="5" t="e">
        <f ca="1">IF(OR(INDEX($AI$2:$AI$1001,MATCH(ROWS($AH$2:AH405),$AH$2:$AH$1001,0),1)&gt;=100000,INDEX($AO$1005:$BQ$1005,1,MATCH(COLUMNS($AO$1006:BK1006),$AO$1006:$BQ$1006,0))&gt;=100000), " ",IF(INDEX($AO$2:$BQ$1001,MATCH(ROWS($AH$2:AH405),$AH$2:$AH$1001,0),MATCH(COLUMNS($AO$1006:BK1006),$AO$1006:$BQ$1006,0)), HYPERLINK("#",""), HYPERLINK(CONCATENATE("#Metadata!", ADDRESS(INDEX($AJ$2:$AJ$1001,MATCH(ROWS($AH$2:AH405),$AH$2:$AH$1001,0),0), INDEX($AO$1004:$BQ$1004,1,MATCH(COLUMNS($AO$1006:BK1006),$AO$1006:$BQ$1006,0)))),"Fix")))</f>
        <v>#N/A</v>
      </c>
      <c r="Y405" s="5" t="e">
        <f ca="1">IF(OR(INDEX($AI$2:$AI$1001,MATCH(ROWS($AH$2:AH405),$AH$2:$AH$1001,0),1)&gt;=100000,INDEX($AO$1005:$BQ$1005,1,MATCH(COLUMNS($AO$1006:BL1006),$AO$1006:$BQ$1006,0))&gt;=100000), " ",IF(INDEX($AO$2:$BQ$1001,MATCH(ROWS($AH$2:AH405),$AH$2:$AH$1001,0),MATCH(COLUMNS($AO$1006:BL1006),$AO$1006:$BQ$1006,0)), HYPERLINK("#",""), HYPERLINK(CONCATENATE("#Metadata!", ADDRESS(INDEX($AJ$2:$AJ$1001,MATCH(ROWS($AH$2:AH405),$AH$2:$AH$1001,0),0), INDEX($AO$1004:$BQ$1004,1,MATCH(COLUMNS($AO$1006:BL1006),$AO$1006:$BQ$1006,0)))),"Fix")))</f>
        <v>#N/A</v>
      </c>
      <c r="Z405" s="5" t="e">
        <f ca="1">IF(OR(INDEX($AI$2:$AI$1001,MATCH(ROWS($AH$2:AH405),$AH$2:$AH$1001,0),1)&gt;=100000,INDEX($AO$1005:$BQ$1005,1,MATCH(COLUMNS($AO$1006:BM1006),$AO$1006:$BQ$1006,0))&gt;=100000), " ",IF(INDEX($AO$2:$BQ$1001,MATCH(ROWS($AH$2:AH405),$AH$2:$AH$1001,0),MATCH(COLUMNS($AO$1006:BM1006),$AO$1006:$BQ$1006,0)), HYPERLINK("#",""), HYPERLINK(CONCATENATE("#Metadata!", ADDRESS(INDEX($AJ$2:$AJ$1001,MATCH(ROWS($AH$2:AH405),$AH$2:$AH$1001,0),0), INDEX($AO$1004:$BQ$1004,1,MATCH(COLUMNS($AO$1006:BM1006),$AO$1006:$BQ$1006,0)))),"Fix")))</f>
        <v>#N/A</v>
      </c>
      <c r="AA405" s="5" t="e">
        <f ca="1">IF(OR(INDEX($AI$2:$AI$1001,MATCH(ROWS($AH$2:AH405),$AH$2:$AH$1001,0),1)&gt;=100000,INDEX($AO$1005:$BQ$1005,1,MATCH(COLUMNS($AO$1006:BN1006),$AO$1006:$BQ$1006,0))&gt;=100000), " ",IF(INDEX($AO$2:$BQ$1001,MATCH(ROWS($AH$2:AH405),$AH$2:$AH$1001,0),MATCH(COLUMNS($AO$1006:BN1006),$AO$1006:$BQ$1006,0)), HYPERLINK("#",""), HYPERLINK(CONCATENATE("#Metadata!", ADDRESS(INDEX($AJ$2:$AJ$1001,MATCH(ROWS($AH$2:AH405),$AH$2:$AH$1001,0),0), INDEX($AO$1004:$BQ$1004,1,MATCH(COLUMNS($AO$1006:BN1006),$AO$1006:$BQ$1006,0)))),"Fix")))</f>
        <v>#N/A</v>
      </c>
      <c r="AB405" s="5" t="e">
        <f ca="1">IF(OR(INDEX($AI$2:$AI$1001,MATCH(ROWS($AH$2:AH405),$AH$2:$AH$1001,0),1)&gt;=100000,INDEX($AO$1005:$BQ$1005,1,MATCH(COLUMNS($AO$1006:BO1006),$AO$1006:$BQ$1006,0))&gt;=100000), " ",IF(INDEX($AO$2:$BQ$1001,MATCH(ROWS($AH$2:AH405),$AH$2:$AH$1001,0),MATCH(COLUMNS($AO$1006:BO1006),$AO$1006:$BQ$1006,0)), HYPERLINK("#",""), HYPERLINK(CONCATENATE("#Metadata!", ADDRESS(INDEX($AJ$2:$AJ$1001,MATCH(ROWS($AH$2:AH405),$AH$2:$AH$1001,0),0), INDEX($AO$1004:$BQ$1004,1,MATCH(COLUMNS($AO$1006:BO1006),$AO$1006:$BQ$1006,0)))),"Fix")))</f>
        <v>#N/A</v>
      </c>
      <c r="AC405" s="5" t="e">
        <f ca="1">IF(OR(INDEX($AI$2:$AI$1001,MATCH(ROWS($AH$2:AH405),$AH$2:$AH$1001,0),1)&gt;=100000,INDEX($AO$1005:$BQ$1005,1,MATCH(COLUMNS($AO$1006:BP1006),$AO$1006:$BQ$1006,0))&gt;=100000), " ",IF(INDEX($AO$2:$BQ$1001,MATCH(ROWS($AH$2:AH405),$AH$2:$AH$1001,0),MATCH(COLUMNS($AO$1006:BP1006),$AO$1006:$BQ$1006,0)), HYPERLINK("#",""), HYPERLINK(CONCATENATE("#Metadata!", ADDRESS(INDEX($AJ$2:$AJ$1001,MATCH(ROWS($AH$2:AH405),$AH$2:$AH$1001,0),0), INDEX($AO$1004:$BQ$1004,1,MATCH(COLUMNS($AO$1006:BP1006),$AO$1006:$BQ$1006,0)))),"Fix")))</f>
        <v>#N/A</v>
      </c>
      <c r="AD405" s="5" t="e">
        <f ca="1">IF(OR(INDEX($AI$2:$AI$1001,MATCH(ROWS($AH$2:AH405),$AH$2:$AH$1001,0),1)&gt;=100000,INDEX($AO$1005:$BQ$1005,1,MATCH(COLUMNS($AO$1006:BQ1006),$AO$1006:$BQ$1006,0))&gt;=100000), " ",IF(INDEX($AO$2:$BQ$1001,MATCH(ROWS($AH$2:AH405),$AH$2:$AH$1001,0),MATCH(COLUMNS($AO$1006:BQ1006),$AO$1006:$BQ$1006,0)), HYPERLINK("#",""), HYPERLINK(CONCATENATE("#Metadata!", ADDRESS(INDEX($AJ$2:$AJ$1001,MATCH(ROWS($AH$2:AH405),$AH$2:$AH$1001,0),0), INDEX($AO$1004:$BQ$1004,1,MATCH(COLUMNS($AO$1006:BQ1006),$AO$1006:$BQ$1006,0)))),"Fix")))</f>
        <v>#REF!</v>
      </c>
      <c r="AH405">
        <f ca="1"/>
        <v>402</v>
      </c>
      <c r="AI405">
        <v>100405</v>
      </c>
      <c r="AJ405">
        <v>405</v>
      </c>
      <c r="AK405" t="b">
        <f t="shared" si="6"/>
        <v>1</v>
      </c>
      <c r="AL405" t="b">
        <f>COUNTBLANK(Metadata!B405:AD405)=COLUMNS(Metadata!B405:AD405)</f>
        <v>1</v>
      </c>
      <c r="AM405" t="str">
        <v/>
      </c>
      <c r="AO405" t="b">
        <f ca="1">AND(IF(Metadata!B405="",FALSE,TRUE),COUNTIF(Metadata!B:B, Metadata!B405) = 1,NOT(ISERROR(SUMPRODUCT(SEARCH(MID(Metadata!B405,ROW(INDIRECT("1:"&amp;LEN(Metadata!B405))), 1),"0123456789abcdefghijklmnopqrstuvwxyzABCDEFGHIJKLMNOPQRSTUVWXYZ.")))))</f>
        <v>0</v>
      </c>
      <c r="AP405" t="b">
        <f>IF(Metadata!C405="",FALSE,TRUE)</f>
        <v>0</v>
      </c>
      <c r="AQ405" t="b">
        <f>IF(Metadata!D405="",FALSE,TRUE)</f>
        <v>0</v>
      </c>
      <c r="AR405" t="b">
        <f ca="1">OR(AND(IF(Metadata!E405="",FALSE,TRUE),OR(EXACT(Metadata!E405,"not collected"),EXACT(Metadata!E405,"not provided"),EXACT(Metadata!E405,"restricted access"))),AND(IF(Metadata!E405="",FALSE,TRUE),AND(AND(IFERROR(INT(LEFT(Metadata!E405,4))&gt;1900,FALSE),IFERROR(INT(LEFT(Metadata!E405,4))&lt;=YEAR(NOW()),FALSE)), OR(MID(Metadata!E405,5,1)="", AND(AND(MID(Metadata!E405,5,1)="-",IFERROR(INT(MID(Metadata!E405,6,1))&gt;=0,FALSE),IFERROR(INT(MID(Metadata!E405,6,1))&lt;=1,FALSE),NOT(MID(Metadata!E405,7,1)=""),IFERROR(INT(MID(Metadata!E405,6,2))&gt;=1,FALSE),IFERROR(INT(MID(Metadata!E405,6,2))&lt;=12,FALSE)), OR(MID(Metadata!E405,8,1)="", AND(AND(MID(Metadata!E405,8,1)="-",IFERROR(INT(MID(Metadata!E405,9,1))&gt;=0,FALSE),IFERROR(INT(MID(Metadata!E405,9,1))&lt;=3,FALSE),NOT(MID(Metadata!E405,10,1)=""),IFERROR(INT(MID(Metadata!E405,9,2))&gt;=1,FALSE),IFERROR(INT(MID(Metadata!E405,9,2))&lt;=31,FALSE)), OR(MID(Metadata!E405,11,1)="", AND(AND(MID(Metadata!E405,11,1)=" ",IFERROR(INT(MID(Metadata!E405,12,1))&gt;=0,FALSE),IFERROR(INT(MID(Metadata!E405,12,1))&lt;=2,FALSE),NOT(MID(Metadata!E405,13,1)=""),IFERROR(INT(MID(Metadata!E405,12,2))&gt;=0,FALSE),IFERROR(INT(MID(Metadata!E405,12,2))&lt;=23,FALSE)), OR(MID(Metadata!E405,14,1)="", AND(AND(MID(Metadata!E405,14,1)=":",IFERROR(INT(MID(Metadata!E405,15,1))&gt;=0,FALSE),IFERROR(INT(MID(Metadata!E405,15,1))&lt;=5,FALSE),NOT(MID(Metadata!E405,16,1)=""),IFERROR(INT(MID(Metadata!E405,15,2))&gt;=0,FALSE),IFERROR(INT(MID(Metadata!E405,15,2))&lt;=59,FALSE)), OR(MID(Metadata!E405,17,1)="", AND(AND(MID(Metadata!E405,17,1)=":",IFERROR(INT(MID(Metadata!E405,18,1))&gt;=0,FALSE),IFERROR(INT(MID(Metadata!E405,18,1))&lt;=5,FALSE),NOT(MID(Metadata!E405,19,1)=""),IFERROR(INT(MID(Metadata!E405,18,2))&gt;=0,FALSE),IFERROR(INT(MID(Metadata!E405,18,2))&lt;=59,FALSE)), LEN(Metadata!E405)&lt;=19)))))))))))))</f>
        <v>0</v>
      </c>
      <c r="AS405" t="b">
        <f>IF(Metadata!F405="",FALSE,TRUE)</f>
        <v>0</v>
      </c>
      <c r="AT405" t="b">
        <f>OR(AND(IF(Metadata!G405="",FALSE,TRUE),OR(EXACT(Metadata!G405,"not collected"),EXACT(Metadata!G405,"not provided"))),AND(IF(Metadata!G405="",FALSE,TRUE),OR(EXACT(Metadata!G405,"TRUE"),EXACT(Metadata!G405,"FALSE"))))</f>
        <v>0</v>
      </c>
      <c r="AU405" t="b">
        <f>OR(AND(IF(Metadata!H405="",FALSE,TRUE),OR(EXACT(Metadata!H405,"not collected"),EXACT(Metadata!H405,"not provided"),EXACT(Metadata!H405,"restricted access"))),AND(IF(Metadata!H405="",FALSE,ISNUMBER(VALUE(Metadata!H405))),Metadata!H405&gt;=-413))</f>
        <v>0</v>
      </c>
      <c r="AV405" t="b">
        <f>AND(IF(Metadata!I405="",FALSE,TRUE),EXACT(Metadata!I405,"meters"))</f>
        <v>0</v>
      </c>
      <c r="AW405" t="b">
        <f>AND(IF(Metadata!J405="",FALSE,TRUE),EXACT(Metadata!J405,"free-living"))</f>
        <v>0</v>
      </c>
      <c r="AX405" t="b">
        <f>AND(IF(Metadata!K405="",FALSE,TRUE),OR(EXACT(Metadata!K405,"saline"),EXACT(Metadata!K405,"non-saline")))</f>
        <v>0</v>
      </c>
      <c r="AY405" t="b">
        <f>AND(IF(Metadata!L405="",FALSE,TRUE),OR(EXACT(Metadata!L405,"sub-surface (non-saline)"),EXACT(Metadata!L405,"surface (non-saline)"),EXACT(Metadata!L405,"water (non-saline)"),EXACT(Metadata!L405,"soil (non-saline)"),EXACT(Metadata!L405,"aerosol (non-saline)"),EXACT(Metadata!L405,"sediment (non-saline)"),EXACT(Metadata!L405,"surface (saline)"),EXACT(Metadata!L405,"water (saline)"),EXACT(Metadata!L405,"hypersaline (saline)"),EXACT(Metadata!L405,"aerosol (saline)"),EXACT(Metadata!L405,"sediment (saline)")))</f>
        <v>0</v>
      </c>
      <c r="AZ405" t="b">
        <f>IF(Metadata!M405="",FALSE,TRUE)</f>
        <v>0</v>
      </c>
      <c r="BA405" t="b">
        <f>IF(Metadata!N405="",FALSE,TRUE)</f>
        <v>0</v>
      </c>
      <c r="BB405" t="b">
        <f>IF(Metadata!O405="",FALSE,TRUE)</f>
        <v>0</v>
      </c>
      <c r="BC405" t="b">
        <f>AND(IF(Metadata!P405="",FALSE,TRUE),OR(EXACT(Metadata!P405,"air"),EXACT(Metadata!P405,"microbial mat/biofilm"),EXACT(Metadata!P405,"misc environment"),EXACT(Metadata!P405,"sediment"),EXACT(Metadata!P405,"soil"),EXACT(Metadata!P405,"wastewater/sludge"),EXACT(Metadata!P405,"water")))</f>
        <v>0</v>
      </c>
      <c r="BD405" t="b">
        <f>IF(Metadata!Q405="",FALSE,TRUE)</f>
        <v>0</v>
      </c>
      <c r="BE405" t="b">
        <f>IF(Metadata!R405="",FALSE,TRUE)</f>
        <v>0</v>
      </c>
      <c r="BF405" t="b">
        <f>OR(AND(IF(Metadata!S405="",FALSE,TRUE),OR(EXACT(Metadata!S405,"not collected"),EXACT(Metadata!S405,"not provided"),EXACT(Metadata!S405,"restricted access"))),AND(IF(Metadata!S405="",FALSE,ISNUMBER(VALUE(Metadata!S405))),Metadata!S405&gt;=-90,Metadata!S405&lt;=90))</f>
        <v>0</v>
      </c>
      <c r="BG405" t="b">
        <f>AND(IF(Metadata!T405="",FALSE,TRUE),EXACT(Metadata!T405,"Decimal degrees"))</f>
        <v>0</v>
      </c>
      <c r="BH405" t="b">
        <f>OR(AND(IF(Metadata!U405="",FALSE,TRUE),OR(EXACT(Metadata!U405,"not applicable"),EXACT(Metadata!U405,"not collected"))),IF(Metadata!U405="",FALSE,TRUE))</f>
        <v>0</v>
      </c>
      <c r="BI405" t="b">
        <f>OR(AND(IF(Metadata!V405="",FALSE,TRUE),OR(EXACT(Metadata!V405,"not collected"),EXACT(Metadata!V405,"not provided"),EXACT(Metadata!V405,"restricted access"))),AND(IF(Metadata!V405="",FALSE,ISNUMBER(VALUE(Metadata!V405))),Metadata!V405&gt;=-180,Metadata!V405&lt;=180))</f>
        <v>0</v>
      </c>
      <c r="BJ405" t="b">
        <f>AND(IF(Metadata!W405="",FALSE,TRUE),EXACT(Metadata!W405,"Decimal degrees"))</f>
        <v>0</v>
      </c>
      <c r="BK405" t="b">
        <f>IF(Metadata!X405="",FALSE,TRUE)</f>
        <v>0</v>
      </c>
      <c r="BL405" t="b">
        <f>OR(AND(IF(Metadata!Y405="",FALSE,TRUE),OR(EXACT(Metadata!Y405,"not collected"),EXACT(Metadata!Y405,"not provided"),EXACT(Metadata!Y405,"restricted access"))),AND(IF(Metadata!Y405="",FALSE,TRUE),OR(EXACT(Metadata!Y405,"TRUE"),EXACT(Metadata!Y405,"FALSE"))))</f>
        <v>0</v>
      </c>
      <c r="BM405" t="b">
        <f>OR(AND(IF(Metadata!Z405="",FALSE,TRUE),EXACT(Metadata!Z405,"not applicable")),AND(IF(Metadata!Z405="",FALSE,TRUE),OR(EXACT(Metadata!Z405,"beer"),EXACT(Metadata!Z405,"cheese"),EXACT(Metadata!Z405,"fresh water"),EXACT(Metadata!Z405,"marine sediment"),EXACT(Metadata!Z405,"sea water"),EXACT(Metadata!Z405,"sediment"),EXACT(Metadata!Z405,"soil"),EXACT(Metadata!Z405,"waste water"))))</f>
        <v>0</v>
      </c>
      <c r="BN405" t="b">
        <f>AND(IF(Metadata!AA405="",FALSE,TRUE),EXACT(Metadata!AA405,"metagenome"))</f>
        <v>0</v>
      </c>
      <c r="BO405" t="b">
        <f>AND(IF(Metadata!AB405="",FALSE,TRUE),EXACT(Metadata!AB405,"256318"))</f>
        <v>0</v>
      </c>
      <c r="BP405" t="b">
        <f>IF(Metadata!AC405="",FALSE,TRUE)</f>
        <v>0</v>
      </c>
      <c r="BQ405" t="b">
        <f>IF(Metadata!AD405="",FALSE,TRUE)</f>
        <v>0</v>
      </c>
    </row>
    <row r="406" spans="1:69" x14ac:dyDescent="0.2">
      <c r="A406" s="4" t="e">
        <f ca="1">IF(B406=" "," ",HYPERLINK(CONCATENATE("#metadata!",ADDRESS(INDEX($AJ$2:$AJ$1001,MATCH(ROWS($AH$2:AH406),$AH$2:$AH$1001,0),0),2)),INDEX($AM$2:$AM$1001,MATCH(ROWS($AH$2:AH406),$AH$2:$AH$1001,0),0)))</f>
        <v>#N/A</v>
      </c>
      <c r="B406" s="5" t="e">
        <f ca="1">IF(OR(INDEX($AI$2:$AI$1001,MATCH(ROWS($AH$2:AH406),$AH$2:$AH$1001,0),1)&gt;=100000,INDEX($AO$1005:$BQ$1005,1,MATCH(COLUMNS($AO$1006:AO1006),$AO$1006:$BQ$1006,0))&gt;=100000), " ",IF(INDEX($AO$2:$BQ$1001,MATCH(ROWS($AH$2:AH406),$AH$2:$AH$1001,0),MATCH(COLUMNS($AO$1006:AO1006),$AO$1006:$BQ$1006,0)), HYPERLINK("#",""), HYPERLINK(CONCATENATE("#Metadata!", ADDRESS(INDEX($AJ$2:$AJ$1001,MATCH(ROWS($AH$2:AH406),$AH$2:$AH$1001,0),0), INDEX($AO$1004:$BQ$1004,1,MATCH(COLUMNS($AO$1006:AO1006),$AO$1006:$BQ$1006,0)))),"Fix")))</f>
        <v>#N/A</v>
      </c>
      <c r="C406" s="5" t="e">
        <f ca="1">IF(OR(INDEX($AI$2:$AI$1001,MATCH(ROWS($AH$2:AH406),$AH$2:$AH$1001,0),1)&gt;=100000,INDEX($AO$1005:$BQ$1005,1,MATCH(COLUMNS($AO$1006:AP1006),$AO$1006:$BQ$1006,0))&gt;=100000), " ",IF(INDEX($AO$2:$BQ$1001,MATCH(ROWS($AH$2:AH406),$AH$2:$AH$1001,0),MATCH(COLUMNS($AO$1006:AP1006),$AO$1006:$BQ$1006,0)), HYPERLINK("#",""), HYPERLINK(CONCATENATE("#Metadata!", ADDRESS(INDEX($AJ$2:$AJ$1001,MATCH(ROWS($AH$2:AH406),$AH$2:$AH$1001,0),0), INDEX($AO$1004:$BQ$1004,1,MATCH(COLUMNS($AO$1006:AP1006),$AO$1006:$BQ$1006,0)))),"Fix")))</f>
        <v>#N/A</v>
      </c>
      <c r="D406" s="5" t="e">
        <f ca="1">IF(OR(INDEX($AI$2:$AI$1001,MATCH(ROWS($AH$2:AH406),$AH$2:$AH$1001,0),1)&gt;=100000,INDEX($AO$1005:$BQ$1005,1,MATCH(COLUMNS($AO$1006:AQ1006),$AO$1006:$BQ$1006,0))&gt;=100000), " ",IF(INDEX($AO$2:$BQ$1001,MATCH(ROWS($AH$2:AH406),$AH$2:$AH$1001,0),MATCH(COLUMNS($AO$1006:AQ1006),$AO$1006:$BQ$1006,0)), HYPERLINK("#",""), HYPERLINK(CONCATENATE("#Metadata!", ADDRESS(INDEX($AJ$2:$AJ$1001,MATCH(ROWS($AH$2:AH406),$AH$2:$AH$1001,0),0), INDEX($AO$1004:$BQ$1004,1,MATCH(COLUMNS($AO$1006:AQ1006),$AO$1006:$BQ$1006,0)))),"Fix")))</f>
        <v>#N/A</v>
      </c>
      <c r="E406" s="5" t="e">
        <f ca="1">IF(OR(INDEX($AI$2:$AI$1001,MATCH(ROWS($AH$2:AH406),$AH$2:$AH$1001,0),1)&gt;=100000,INDEX($AO$1005:$BQ$1005,1,MATCH(COLUMNS($AO$1006:AR1006),$AO$1006:$BQ$1006,0))&gt;=100000), " ",IF(INDEX($AO$2:$BQ$1001,MATCH(ROWS($AH$2:AH406),$AH$2:$AH$1001,0),MATCH(COLUMNS($AO$1006:AR1006),$AO$1006:$BQ$1006,0)), HYPERLINK("#",""), HYPERLINK(CONCATENATE("#Metadata!", ADDRESS(INDEX($AJ$2:$AJ$1001,MATCH(ROWS($AH$2:AH406),$AH$2:$AH$1001,0),0), INDEX($AO$1004:$BQ$1004,1,MATCH(COLUMNS($AO$1006:AR1006),$AO$1006:$BQ$1006,0)))),"Fix")))</f>
        <v>#N/A</v>
      </c>
      <c r="F406" s="5" t="e">
        <f ca="1">IF(OR(INDEX($AI$2:$AI$1001,MATCH(ROWS($AH$2:AH406),$AH$2:$AH$1001,0),1)&gt;=100000,INDEX($AO$1005:$BQ$1005,1,MATCH(COLUMNS($AO$1006:AS1006),$AO$1006:$BQ$1006,0))&gt;=100000), " ",IF(INDEX($AO$2:$BQ$1001,MATCH(ROWS($AH$2:AH406),$AH$2:$AH$1001,0),MATCH(COLUMNS($AO$1006:AS1006),$AO$1006:$BQ$1006,0)), HYPERLINK("#",""), HYPERLINK(CONCATENATE("#Metadata!", ADDRESS(INDEX($AJ$2:$AJ$1001,MATCH(ROWS($AH$2:AH406),$AH$2:$AH$1001,0),0), INDEX($AO$1004:$BQ$1004,1,MATCH(COLUMNS($AO$1006:AS1006),$AO$1006:$BQ$1006,0)))),"Fix")))</f>
        <v>#N/A</v>
      </c>
      <c r="G406" s="5" t="e">
        <f ca="1">IF(OR(INDEX($AI$2:$AI$1001,MATCH(ROWS($AH$2:AH406),$AH$2:$AH$1001,0),1)&gt;=100000,INDEX($AO$1005:$BQ$1005,1,MATCH(COLUMNS($AO$1006:AT1006),$AO$1006:$BQ$1006,0))&gt;=100000), " ",IF(INDEX($AO$2:$BQ$1001,MATCH(ROWS($AH$2:AH406),$AH$2:$AH$1001,0),MATCH(COLUMNS($AO$1006:AT1006),$AO$1006:$BQ$1006,0)), HYPERLINK("#",""), HYPERLINK(CONCATENATE("#Metadata!", ADDRESS(INDEX($AJ$2:$AJ$1001,MATCH(ROWS($AH$2:AH406),$AH$2:$AH$1001,0),0), INDEX($AO$1004:$BQ$1004,1,MATCH(COLUMNS($AO$1006:AT1006),$AO$1006:$BQ$1006,0)))),"Fix")))</f>
        <v>#N/A</v>
      </c>
      <c r="H406" s="5" t="e">
        <f ca="1">IF(OR(INDEX($AI$2:$AI$1001,MATCH(ROWS($AH$2:AH406),$AH$2:$AH$1001,0),1)&gt;=100000,INDEX($AO$1005:$BQ$1005,1,MATCH(COLUMNS($AO$1006:AU1006),$AO$1006:$BQ$1006,0))&gt;=100000), " ",IF(INDEX($AO$2:$BQ$1001,MATCH(ROWS($AH$2:AH406),$AH$2:$AH$1001,0),MATCH(COLUMNS($AO$1006:AU1006),$AO$1006:$BQ$1006,0)), HYPERLINK("#",""), HYPERLINK(CONCATENATE("#Metadata!", ADDRESS(INDEX($AJ$2:$AJ$1001,MATCH(ROWS($AH$2:AH406),$AH$2:$AH$1001,0),0), INDEX($AO$1004:$BQ$1004,1,MATCH(COLUMNS($AO$1006:AU1006),$AO$1006:$BQ$1006,0)))),"Fix")))</f>
        <v>#N/A</v>
      </c>
      <c r="I406" s="5" t="e">
        <f ca="1">IF(OR(INDEX($AI$2:$AI$1001,MATCH(ROWS($AH$2:AH406),$AH$2:$AH$1001,0),1)&gt;=100000,INDEX($AO$1005:$BQ$1005,1,MATCH(COLUMNS($AO$1006:AV1006),$AO$1006:$BQ$1006,0))&gt;=100000), " ",IF(INDEX($AO$2:$BQ$1001,MATCH(ROWS($AH$2:AH406),$AH$2:$AH$1001,0),MATCH(COLUMNS($AO$1006:AV1006),$AO$1006:$BQ$1006,0)), HYPERLINK("#",""), HYPERLINK(CONCATENATE("#Metadata!", ADDRESS(INDEX($AJ$2:$AJ$1001,MATCH(ROWS($AH$2:AH406),$AH$2:$AH$1001,0),0), INDEX($AO$1004:$BQ$1004,1,MATCH(COLUMNS($AO$1006:AV1006),$AO$1006:$BQ$1006,0)))),"Fix")))</f>
        <v>#N/A</v>
      </c>
      <c r="J406" s="5" t="e">
        <f ca="1">IF(OR(INDEX($AI$2:$AI$1001,MATCH(ROWS($AH$2:AH406),$AH$2:$AH$1001,0),1)&gt;=100000,INDEX($AO$1005:$BQ$1005,1,MATCH(COLUMNS($AO$1006:AW1006),$AO$1006:$BQ$1006,0))&gt;=100000), " ",IF(INDEX($AO$2:$BQ$1001,MATCH(ROWS($AH$2:AH406),$AH$2:$AH$1001,0),MATCH(COLUMNS($AO$1006:AW1006),$AO$1006:$BQ$1006,0)), HYPERLINK("#",""), HYPERLINK(CONCATENATE("#Metadata!", ADDRESS(INDEX($AJ$2:$AJ$1001,MATCH(ROWS($AH$2:AH406),$AH$2:$AH$1001,0),0), INDEX($AO$1004:$BQ$1004,1,MATCH(COLUMNS($AO$1006:AW1006),$AO$1006:$BQ$1006,0)))),"Fix")))</f>
        <v>#N/A</v>
      </c>
      <c r="K406" s="5" t="e">
        <f ca="1">IF(OR(INDEX($AI$2:$AI$1001,MATCH(ROWS($AH$2:AH406),$AH$2:$AH$1001,0),1)&gt;=100000,INDEX($AO$1005:$BQ$1005,1,MATCH(COLUMNS($AO$1006:AX1006),$AO$1006:$BQ$1006,0))&gt;=100000), " ",IF(INDEX($AO$2:$BQ$1001,MATCH(ROWS($AH$2:AH406),$AH$2:$AH$1001,0),MATCH(COLUMNS($AO$1006:AX1006),$AO$1006:$BQ$1006,0)), HYPERLINK("#",""), HYPERLINK(CONCATENATE("#Metadata!", ADDRESS(INDEX($AJ$2:$AJ$1001,MATCH(ROWS($AH$2:AH406),$AH$2:$AH$1001,0),0), INDEX($AO$1004:$BQ$1004,1,MATCH(COLUMNS($AO$1006:AX1006),$AO$1006:$BQ$1006,0)))),"Fix")))</f>
        <v>#N/A</v>
      </c>
      <c r="L406" s="5" t="e">
        <f ca="1">IF(OR(INDEX($AI$2:$AI$1001,MATCH(ROWS($AH$2:AH406),$AH$2:$AH$1001,0),1)&gt;=100000,INDEX($AO$1005:$BQ$1005,1,MATCH(COLUMNS($AO$1006:AY1006),$AO$1006:$BQ$1006,0))&gt;=100000), " ",IF(INDEX($AO$2:$BQ$1001,MATCH(ROWS($AH$2:AH406),$AH$2:$AH$1001,0),MATCH(COLUMNS($AO$1006:AY1006),$AO$1006:$BQ$1006,0)), HYPERLINK("#",""), HYPERLINK(CONCATENATE("#Metadata!", ADDRESS(INDEX($AJ$2:$AJ$1001,MATCH(ROWS($AH$2:AH406),$AH$2:$AH$1001,0),0), INDEX($AO$1004:$BQ$1004,1,MATCH(COLUMNS($AO$1006:AY1006),$AO$1006:$BQ$1006,0)))),"Fix")))</f>
        <v>#N/A</v>
      </c>
      <c r="M406" s="5" t="e">
        <f ca="1">IF(OR(INDEX($AI$2:$AI$1001,MATCH(ROWS($AH$2:AH406),$AH$2:$AH$1001,0),1)&gt;=100000,INDEX($AO$1005:$BQ$1005,1,MATCH(COLUMNS($AO$1006:AZ1006),$AO$1006:$BQ$1006,0))&gt;=100000), " ",IF(INDEX($AO$2:$BQ$1001,MATCH(ROWS($AH$2:AH406),$AH$2:$AH$1001,0),MATCH(COLUMNS($AO$1006:AZ1006),$AO$1006:$BQ$1006,0)), HYPERLINK("#",""), HYPERLINK(CONCATENATE("#Metadata!", ADDRESS(INDEX($AJ$2:$AJ$1001,MATCH(ROWS($AH$2:AH406),$AH$2:$AH$1001,0),0), INDEX($AO$1004:$BQ$1004,1,MATCH(COLUMNS($AO$1006:AZ1006),$AO$1006:$BQ$1006,0)))),"Fix")))</f>
        <v>#N/A</v>
      </c>
      <c r="N406" s="5" t="e">
        <f ca="1">IF(OR(INDEX($AI$2:$AI$1001,MATCH(ROWS($AH$2:AH406),$AH$2:$AH$1001,0),1)&gt;=100000,INDEX($AO$1005:$BQ$1005,1,MATCH(COLUMNS($AO$1006:BA1006),$AO$1006:$BQ$1006,0))&gt;=100000), " ",IF(INDEX($AO$2:$BQ$1001,MATCH(ROWS($AH$2:AH406),$AH$2:$AH$1001,0),MATCH(COLUMNS($AO$1006:BA1006),$AO$1006:$BQ$1006,0)), HYPERLINK("#",""), HYPERLINK(CONCATENATE("#Metadata!", ADDRESS(INDEX($AJ$2:$AJ$1001,MATCH(ROWS($AH$2:AH406),$AH$2:$AH$1001,0),0), INDEX($AO$1004:$BQ$1004,1,MATCH(COLUMNS($AO$1006:BA1006),$AO$1006:$BQ$1006,0)))),"Fix")))</f>
        <v>#N/A</v>
      </c>
      <c r="O406" s="5" t="e">
        <f ca="1">IF(OR(INDEX($AI$2:$AI$1001,MATCH(ROWS($AH$2:AH406),$AH$2:$AH$1001,0),1)&gt;=100000,INDEX($AO$1005:$BQ$1005,1,MATCH(COLUMNS($AO$1006:BB1006),$AO$1006:$BQ$1006,0))&gt;=100000), " ",IF(INDEX($AO$2:$BQ$1001,MATCH(ROWS($AH$2:AH406),$AH$2:$AH$1001,0),MATCH(COLUMNS($AO$1006:BB1006),$AO$1006:$BQ$1006,0)), HYPERLINK("#",""), HYPERLINK(CONCATENATE("#Metadata!", ADDRESS(INDEX($AJ$2:$AJ$1001,MATCH(ROWS($AH$2:AH406),$AH$2:$AH$1001,0),0), INDEX($AO$1004:$BQ$1004,1,MATCH(COLUMNS($AO$1006:BB1006),$AO$1006:$BQ$1006,0)))),"Fix")))</f>
        <v>#N/A</v>
      </c>
      <c r="P406" s="5" t="e">
        <f ca="1">IF(OR(INDEX($AI$2:$AI$1001,MATCH(ROWS($AH$2:AH406),$AH$2:$AH$1001,0),1)&gt;=100000,INDEX($AO$1005:$BQ$1005,1,MATCH(COLUMNS($AO$1006:BC1006),$AO$1006:$BQ$1006,0))&gt;=100000), " ",IF(INDEX($AO$2:$BQ$1001,MATCH(ROWS($AH$2:AH406),$AH$2:$AH$1001,0),MATCH(COLUMNS($AO$1006:BC1006),$AO$1006:$BQ$1006,0)), HYPERLINK("#",""), HYPERLINK(CONCATENATE("#Metadata!", ADDRESS(INDEX($AJ$2:$AJ$1001,MATCH(ROWS($AH$2:AH406),$AH$2:$AH$1001,0),0), INDEX($AO$1004:$BQ$1004,1,MATCH(COLUMNS($AO$1006:BC1006),$AO$1006:$BQ$1006,0)))),"Fix")))</f>
        <v>#N/A</v>
      </c>
      <c r="Q406" s="5" t="e">
        <f ca="1">IF(OR(INDEX($AI$2:$AI$1001,MATCH(ROWS($AH$2:AH406),$AH$2:$AH$1001,0),1)&gt;=100000,INDEX($AO$1005:$BQ$1005,1,MATCH(COLUMNS($AO$1006:BD1006),$AO$1006:$BQ$1006,0))&gt;=100000), " ",IF(INDEX($AO$2:$BQ$1001,MATCH(ROWS($AH$2:AH406),$AH$2:$AH$1001,0),MATCH(COLUMNS($AO$1006:BD1006),$AO$1006:$BQ$1006,0)), HYPERLINK("#",""), HYPERLINK(CONCATENATE("#Metadata!", ADDRESS(INDEX($AJ$2:$AJ$1001,MATCH(ROWS($AH$2:AH406),$AH$2:$AH$1001,0),0), INDEX($AO$1004:$BQ$1004,1,MATCH(COLUMNS($AO$1006:BD1006),$AO$1006:$BQ$1006,0)))),"Fix")))</f>
        <v>#N/A</v>
      </c>
      <c r="R406" s="5" t="e">
        <f ca="1">IF(OR(INDEX($AI$2:$AI$1001,MATCH(ROWS($AH$2:AH406),$AH$2:$AH$1001,0),1)&gt;=100000,INDEX($AO$1005:$BQ$1005,1,MATCH(COLUMNS($AO$1006:BE1006),$AO$1006:$BQ$1006,0))&gt;=100000), " ",IF(INDEX($AO$2:$BQ$1001,MATCH(ROWS($AH$2:AH406),$AH$2:$AH$1001,0),MATCH(COLUMNS($AO$1006:BE1006),$AO$1006:$BQ$1006,0)), HYPERLINK("#",""), HYPERLINK(CONCATENATE("#Metadata!", ADDRESS(INDEX($AJ$2:$AJ$1001,MATCH(ROWS($AH$2:AH406),$AH$2:$AH$1001,0),0), INDEX($AO$1004:$BQ$1004,1,MATCH(COLUMNS($AO$1006:BE1006),$AO$1006:$BQ$1006,0)))),"Fix")))</f>
        <v>#N/A</v>
      </c>
      <c r="S406" s="5" t="e">
        <f ca="1">IF(OR(INDEX($AI$2:$AI$1001,MATCH(ROWS($AH$2:AH406),$AH$2:$AH$1001,0),1)&gt;=100000,INDEX($AO$1005:$BQ$1005,1,MATCH(COLUMNS($AO$1006:BF1006),$AO$1006:$BQ$1006,0))&gt;=100000), " ",IF(INDEX($AO$2:$BQ$1001,MATCH(ROWS($AH$2:AH406),$AH$2:$AH$1001,0),MATCH(COLUMNS($AO$1006:BF1006),$AO$1006:$BQ$1006,0)), HYPERLINK("#",""), HYPERLINK(CONCATENATE("#Metadata!", ADDRESS(INDEX($AJ$2:$AJ$1001,MATCH(ROWS($AH$2:AH406),$AH$2:$AH$1001,0),0), INDEX($AO$1004:$BQ$1004,1,MATCH(COLUMNS($AO$1006:BF1006),$AO$1006:$BQ$1006,0)))),"Fix")))</f>
        <v>#N/A</v>
      </c>
      <c r="T406" s="5" t="e">
        <f ca="1">IF(OR(INDEX($AI$2:$AI$1001,MATCH(ROWS($AH$2:AH406),$AH$2:$AH$1001,0),1)&gt;=100000,INDEX($AO$1005:$BQ$1005,1,MATCH(COLUMNS($AO$1006:BG1006),$AO$1006:$BQ$1006,0))&gt;=100000), " ",IF(INDEX($AO$2:$BQ$1001,MATCH(ROWS($AH$2:AH406),$AH$2:$AH$1001,0),MATCH(COLUMNS($AO$1006:BG1006),$AO$1006:$BQ$1006,0)), HYPERLINK("#",""), HYPERLINK(CONCATENATE("#Metadata!", ADDRESS(INDEX($AJ$2:$AJ$1001,MATCH(ROWS($AH$2:AH406),$AH$2:$AH$1001,0),0), INDEX($AO$1004:$BQ$1004,1,MATCH(COLUMNS($AO$1006:BG1006),$AO$1006:$BQ$1006,0)))),"Fix")))</f>
        <v>#N/A</v>
      </c>
      <c r="U406" s="5" t="e">
        <f ca="1">IF(OR(INDEX($AI$2:$AI$1001,MATCH(ROWS($AH$2:AH406),$AH$2:$AH$1001,0),1)&gt;=100000,INDEX($AO$1005:$BQ$1005,1,MATCH(COLUMNS($AO$1006:BH1006),$AO$1006:$BQ$1006,0))&gt;=100000), " ",IF(INDEX($AO$2:$BQ$1001,MATCH(ROWS($AH$2:AH406),$AH$2:$AH$1001,0),MATCH(COLUMNS($AO$1006:BH1006),$AO$1006:$BQ$1006,0)), HYPERLINK("#",""), HYPERLINK(CONCATENATE("#Metadata!", ADDRESS(INDEX($AJ$2:$AJ$1001,MATCH(ROWS($AH$2:AH406),$AH$2:$AH$1001,0),0), INDEX($AO$1004:$BQ$1004,1,MATCH(COLUMNS($AO$1006:BH1006),$AO$1006:$BQ$1006,0)))),"Fix")))</f>
        <v>#N/A</v>
      </c>
      <c r="V406" s="5" t="e">
        <f ca="1">IF(OR(INDEX($AI$2:$AI$1001,MATCH(ROWS($AH$2:AH406),$AH$2:$AH$1001,0),1)&gt;=100000,INDEX($AO$1005:$BQ$1005,1,MATCH(COLUMNS($AO$1006:BI1006),$AO$1006:$BQ$1006,0))&gt;=100000), " ",IF(INDEX($AO$2:$BQ$1001,MATCH(ROWS($AH$2:AH406),$AH$2:$AH$1001,0),MATCH(COLUMNS($AO$1006:BI1006),$AO$1006:$BQ$1006,0)), HYPERLINK("#",""), HYPERLINK(CONCATENATE("#Metadata!", ADDRESS(INDEX($AJ$2:$AJ$1001,MATCH(ROWS($AH$2:AH406),$AH$2:$AH$1001,0),0), INDEX($AO$1004:$BQ$1004,1,MATCH(COLUMNS($AO$1006:BI1006),$AO$1006:$BQ$1006,0)))),"Fix")))</f>
        <v>#N/A</v>
      </c>
      <c r="W406" s="5" t="e">
        <f ca="1">IF(OR(INDEX($AI$2:$AI$1001,MATCH(ROWS($AH$2:AH406),$AH$2:$AH$1001,0),1)&gt;=100000,INDEX($AO$1005:$BQ$1005,1,MATCH(COLUMNS($AO$1006:BJ1006),$AO$1006:$BQ$1006,0))&gt;=100000), " ",IF(INDEX($AO$2:$BQ$1001,MATCH(ROWS($AH$2:AH406),$AH$2:$AH$1001,0),MATCH(COLUMNS($AO$1006:BJ1006),$AO$1006:$BQ$1006,0)), HYPERLINK("#",""), HYPERLINK(CONCATENATE("#Metadata!", ADDRESS(INDEX($AJ$2:$AJ$1001,MATCH(ROWS($AH$2:AH406),$AH$2:$AH$1001,0),0), INDEX($AO$1004:$BQ$1004,1,MATCH(COLUMNS($AO$1006:BJ1006),$AO$1006:$BQ$1006,0)))),"Fix")))</f>
        <v>#N/A</v>
      </c>
      <c r="X406" s="5" t="e">
        <f ca="1">IF(OR(INDEX($AI$2:$AI$1001,MATCH(ROWS($AH$2:AH406),$AH$2:$AH$1001,0),1)&gt;=100000,INDEX($AO$1005:$BQ$1005,1,MATCH(COLUMNS($AO$1006:BK1006),$AO$1006:$BQ$1006,0))&gt;=100000), " ",IF(INDEX($AO$2:$BQ$1001,MATCH(ROWS($AH$2:AH406),$AH$2:$AH$1001,0),MATCH(COLUMNS($AO$1006:BK1006),$AO$1006:$BQ$1006,0)), HYPERLINK("#",""), HYPERLINK(CONCATENATE("#Metadata!", ADDRESS(INDEX($AJ$2:$AJ$1001,MATCH(ROWS($AH$2:AH406),$AH$2:$AH$1001,0),0), INDEX($AO$1004:$BQ$1004,1,MATCH(COLUMNS($AO$1006:BK1006),$AO$1006:$BQ$1006,0)))),"Fix")))</f>
        <v>#N/A</v>
      </c>
      <c r="Y406" s="5" t="e">
        <f ca="1">IF(OR(INDEX($AI$2:$AI$1001,MATCH(ROWS($AH$2:AH406),$AH$2:$AH$1001,0),1)&gt;=100000,INDEX($AO$1005:$BQ$1005,1,MATCH(COLUMNS($AO$1006:BL1006),$AO$1006:$BQ$1006,0))&gt;=100000), " ",IF(INDEX($AO$2:$BQ$1001,MATCH(ROWS($AH$2:AH406),$AH$2:$AH$1001,0),MATCH(COLUMNS($AO$1006:BL1006),$AO$1006:$BQ$1006,0)), HYPERLINK("#",""), HYPERLINK(CONCATENATE("#Metadata!", ADDRESS(INDEX($AJ$2:$AJ$1001,MATCH(ROWS($AH$2:AH406),$AH$2:$AH$1001,0),0), INDEX($AO$1004:$BQ$1004,1,MATCH(COLUMNS($AO$1006:BL1006),$AO$1006:$BQ$1006,0)))),"Fix")))</f>
        <v>#N/A</v>
      </c>
      <c r="Z406" s="5" t="e">
        <f ca="1">IF(OR(INDEX($AI$2:$AI$1001,MATCH(ROWS($AH$2:AH406),$AH$2:$AH$1001,0),1)&gt;=100000,INDEX($AO$1005:$BQ$1005,1,MATCH(COLUMNS($AO$1006:BM1006),$AO$1006:$BQ$1006,0))&gt;=100000), " ",IF(INDEX($AO$2:$BQ$1001,MATCH(ROWS($AH$2:AH406),$AH$2:$AH$1001,0),MATCH(COLUMNS($AO$1006:BM1006),$AO$1006:$BQ$1006,0)), HYPERLINK("#",""), HYPERLINK(CONCATENATE("#Metadata!", ADDRESS(INDEX($AJ$2:$AJ$1001,MATCH(ROWS($AH$2:AH406),$AH$2:$AH$1001,0),0), INDEX($AO$1004:$BQ$1004,1,MATCH(COLUMNS($AO$1006:BM1006),$AO$1006:$BQ$1006,0)))),"Fix")))</f>
        <v>#N/A</v>
      </c>
      <c r="AA406" s="5" t="e">
        <f ca="1">IF(OR(INDEX($AI$2:$AI$1001,MATCH(ROWS($AH$2:AH406),$AH$2:$AH$1001,0),1)&gt;=100000,INDEX($AO$1005:$BQ$1005,1,MATCH(COLUMNS($AO$1006:BN1006),$AO$1006:$BQ$1006,0))&gt;=100000), " ",IF(INDEX($AO$2:$BQ$1001,MATCH(ROWS($AH$2:AH406),$AH$2:$AH$1001,0),MATCH(COLUMNS($AO$1006:BN1006),$AO$1006:$BQ$1006,0)), HYPERLINK("#",""), HYPERLINK(CONCATENATE("#Metadata!", ADDRESS(INDEX($AJ$2:$AJ$1001,MATCH(ROWS($AH$2:AH406),$AH$2:$AH$1001,0),0), INDEX($AO$1004:$BQ$1004,1,MATCH(COLUMNS($AO$1006:BN1006),$AO$1006:$BQ$1006,0)))),"Fix")))</f>
        <v>#N/A</v>
      </c>
      <c r="AB406" s="5" t="e">
        <f ca="1">IF(OR(INDEX($AI$2:$AI$1001,MATCH(ROWS($AH$2:AH406),$AH$2:$AH$1001,0),1)&gt;=100000,INDEX($AO$1005:$BQ$1005,1,MATCH(COLUMNS($AO$1006:BO1006),$AO$1006:$BQ$1006,0))&gt;=100000), " ",IF(INDEX($AO$2:$BQ$1001,MATCH(ROWS($AH$2:AH406),$AH$2:$AH$1001,0),MATCH(COLUMNS($AO$1006:BO1006),$AO$1006:$BQ$1006,0)), HYPERLINK("#",""), HYPERLINK(CONCATENATE("#Metadata!", ADDRESS(INDEX($AJ$2:$AJ$1001,MATCH(ROWS($AH$2:AH406),$AH$2:$AH$1001,0),0), INDEX($AO$1004:$BQ$1004,1,MATCH(COLUMNS($AO$1006:BO1006),$AO$1006:$BQ$1006,0)))),"Fix")))</f>
        <v>#N/A</v>
      </c>
      <c r="AC406" s="5" t="e">
        <f ca="1">IF(OR(INDEX($AI$2:$AI$1001,MATCH(ROWS($AH$2:AH406),$AH$2:$AH$1001,0),1)&gt;=100000,INDEX($AO$1005:$BQ$1005,1,MATCH(COLUMNS($AO$1006:BP1006),$AO$1006:$BQ$1006,0))&gt;=100000), " ",IF(INDEX($AO$2:$BQ$1001,MATCH(ROWS($AH$2:AH406),$AH$2:$AH$1001,0),MATCH(COLUMNS($AO$1006:BP1006),$AO$1006:$BQ$1006,0)), HYPERLINK("#",""), HYPERLINK(CONCATENATE("#Metadata!", ADDRESS(INDEX($AJ$2:$AJ$1001,MATCH(ROWS($AH$2:AH406),$AH$2:$AH$1001,0),0), INDEX($AO$1004:$BQ$1004,1,MATCH(COLUMNS($AO$1006:BP1006),$AO$1006:$BQ$1006,0)))),"Fix")))</f>
        <v>#N/A</v>
      </c>
      <c r="AD406" s="5" t="e">
        <f ca="1">IF(OR(INDEX($AI$2:$AI$1001,MATCH(ROWS($AH$2:AH406),$AH$2:$AH$1001,0),1)&gt;=100000,INDEX($AO$1005:$BQ$1005,1,MATCH(COLUMNS($AO$1006:BQ1006),$AO$1006:$BQ$1006,0))&gt;=100000), " ",IF(INDEX($AO$2:$BQ$1001,MATCH(ROWS($AH$2:AH406),$AH$2:$AH$1001,0),MATCH(COLUMNS($AO$1006:BQ1006),$AO$1006:$BQ$1006,0)), HYPERLINK("#",""), HYPERLINK(CONCATENATE("#Metadata!", ADDRESS(INDEX($AJ$2:$AJ$1001,MATCH(ROWS($AH$2:AH406),$AH$2:$AH$1001,0),0), INDEX($AO$1004:$BQ$1004,1,MATCH(COLUMNS($AO$1006:BQ1006),$AO$1006:$BQ$1006,0)))),"Fix")))</f>
        <v>#REF!</v>
      </c>
      <c r="AH406">
        <f ca="1"/>
        <v>403</v>
      </c>
      <c r="AI406">
        <v>100406</v>
      </c>
      <c r="AJ406">
        <v>406</v>
      </c>
      <c r="AK406" t="b">
        <f t="shared" si="6"/>
        <v>1</v>
      </c>
      <c r="AL406" t="b">
        <f>COUNTBLANK(Metadata!B406:AD406)=COLUMNS(Metadata!B406:AD406)</f>
        <v>1</v>
      </c>
      <c r="AM406" t="str">
        <v/>
      </c>
      <c r="AO406" t="b">
        <f ca="1">AND(IF(Metadata!B406="",FALSE,TRUE),COUNTIF(Metadata!B:B, Metadata!B406) = 1,NOT(ISERROR(SUMPRODUCT(SEARCH(MID(Metadata!B406,ROW(INDIRECT("1:"&amp;LEN(Metadata!B406))), 1),"0123456789abcdefghijklmnopqrstuvwxyzABCDEFGHIJKLMNOPQRSTUVWXYZ.")))))</f>
        <v>0</v>
      </c>
      <c r="AP406" t="b">
        <f>IF(Metadata!C406="",FALSE,TRUE)</f>
        <v>0</v>
      </c>
      <c r="AQ406" t="b">
        <f>IF(Metadata!D406="",FALSE,TRUE)</f>
        <v>0</v>
      </c>
      <c r="AR406" t="b">
        <f ca="1">OR(AND(IF(Metadata!E406="",FALSE,TRUE),OR(EXACT(Metadata!E406,"not collected"),EXACT(Metadata!E406,"not provided"),EXACT(Metadata!E406,"restricted access"))),AND(IF(Metadata!E406="",FALSE,TRUE),AND(AND(IFERROR(INT(LEFT(Metadata!E406,4))&gt;1900,FALSE),IFERROR(INT(LEFT(Metadata!E406,4))&lt;=YEAR(NOW()),FALSE)), OR(MID(Metadata!E406,5,1)="", AND(AND(MID(Metadata!E406,5,1)="-",IFERROR(INT(MID(Metadata!E406,6,1))&gt;=0,FALSE),IFERROR(INT(MID(Metadata!E406,6,1))&lt;=1,FALSE),NOT(MID(Metadata!E406,7,1)=""),IFERROR(INT(MID(Metadata!E406,6,2))&gt;=1,FALSE),IFERROR(INT(MID(Metadata!E406,6,2))&lt;=12,FALSE)), OR(MID(Metadata!E406,8,1)="", AND(AND(MID(Metadata!E406,8,1)="-",IFERROR(INT(MID(Metadata!E406,9,1))&gt;=0,FALSE),IFERROR(INT(MID(Metadata!E406,9,1))&lt;=3,FALSE),NOT(MID(Metadata!E406,10,1)=""),IFERROR(INT(MID(Metadata!E406,9,2))&gt;=1,FALSE),IFERROR(INT(MID(Metadata!E406,9,2))&lt;=31,FALSE)), OR(MID(Metadata!E406,11,1)="", AND(AND(MID(Metadata!E406,11,1)=" ",IFERROR(INT(MID(Metadata!E406,12,1))&gt;=0,FALSE),IFERROR(INT(MID(Metadata!E406,12,1))&lt;=2,FALSE),NOT(MID(Metadata!E406,13,1)=""),IFERROR(INT(MID(Metadata!E406,12,2))&gt;=0,FALSE),IFERROR(INT(MID(Metadata!E406,12,2))&lt;=23,FALSE)), OR(MID(Metadata!E406,14,1)="", AND(AND(MID(Metadata!E406,14,1)=":",IFERROR(INT(MID(Metadata!E406,15,1))&gt;=0,FALSE),IFERROR(INT(MID(Metadata!E406,15,1))&lt;=5,FALSE),NOT(MID(Metadata!E406,16,1)=""),IFERROR(INT(MID(Metadata!E406,15,2))&gt;=0,FALSE),IFERROR(INT(MID(Metadata!E406,15,2))&lt;=59,FALSE)), OR(MID(Metadata!E406,17,1)="", AND(AND(MID(Metadata!E406,17,1)=":",IFERROR(INT(MID(Metadata!E406,18,1))&gt;=0,FALSE),IFERROR(INT(MID(Metadata!E406,18,1))&lt;=5,FALSE),NOT(MID(Metadata!E406,19,1)=""),IFERROR(INT(MID(Metadata!E406,18,2))&gt;=0,FALSE),IFERROR(INT(MID(Metadata!E406,18,2))&lt;=59,FALSE)), LEN(Metadata!E406)&lt;=19)))))))))))))</f>
        <v>0</v>
      </c>
      <c r="AS406" t="b">
        <f>IF(Metadata!F406="",FALSE,TRUE)</f>
        <v>0</v>
      </c>
      <c r="AT406" t="b">
        <f>OR(AND(IF(Metadata!G406="",FALSE,TRUE),OR(EXACT(Metadata!G406,"not collected"),EXACT(Metadata!G406,"not provided"))),AND(IF(Metadata!G406="",FALSE,TRUE),OR(EXACT(Metadata!G406,"TRUE"),EXACT(Metadata!G406,"FALSE"))))</f>
        <v>0</v>
      </c>
      <c r="AU406" t="b">
        <f>OR(AND(IF(Metadata!H406="",FALSE,TRUE),OR(EXACT(Metadata!H406,"not collected"),EXACT(Metadata!H406,"not provided"),EXACT(Metadata!H406,"restricted access"))),AND(IF(Metadata!H406="",FALSE,ISNUMBER(VALUE(Metadata!H406))),Metadata!H406&gt;=-413))</f>
        <v>0</v>
      </c>
      <c r="AV406" t="b">
        <f>AND(IF(Metadata!I406="",FALSE,TRUE),EXACT(Metadata!I406,"meters"))</f>
        <v>0</v>
      </c>
      <c r="AW406" t="b">
        <f>AND(IF(Metadata!J406="",FALSE,TRUE),EXACT(Metadata!J406,"free-living"))</f>
        <v>0</v>
      </c>
      <c r="AX406" t="b">
        <f>AND(IF(Metadata!K406="",FALSE,TRUE),OR(EXACT(Metadata!K406,"saline"),EXACT(Metadata!K406,"non-saline")))</f>
        <v>0</v>
      </c>
      <c r="AY406" t="b">
        <f>AND(IF(Metadata!L406="",FALSE,TRUE),OR(EXACT(Metadata!L406,"sub-surface (non-saline)"),EXACT(Metadata!L406,"surface (non-saline)"),EXACT(Metadata!L406,"water (non-saline)"),EXACT(Metadata!L406,"soil (non-saline)"),EXACT(Metadata!L406,"aerosol (non-saline)"),EXACT(Metadata!L406,"sediment (non-saline)"),EXACT(Metadata!L406,"surface (saline)"),EXACT(Metadata!L406,"water (saline)"),EXACT(Metadata!L406,"hypersaline (saline)"),EXACT(Metadata!L406,"aerosol (saline)"),EXACT(Metadata!L406,"sediment (saline)")))</f>
        <v>0</v>
      </c>
      <c r="AZ406" t="b">
        <f>IF(Metadata!M406="",FALSE,TRUE)</f>
        <v>0</v>
      </c>
      <c r="BA406" t="b">
        <f>IF(Metadata!N406="",FALSE,TRUE)</f>
        <v>0</v>
      </c>
      <c r="BB406" t="b">
        <f>IF(Metadata!O406="",FALSE,TRUE)</f>
        <v>0</v>
      </c>
      <c r="BC406" t="b">
        <f>AND(IF(Metadata!P406="",FALSE,TRUE),OR(EXACT(Metadata!P406,"air"),EXACT(Metadata!P406,"microbial mat/biofilm"),EXACT(Metadata!P406,"misc environment"),EXACT(Metadata!P406,"sediment"),EXACT(Metadata!P406,"soil"),EXACT(Metadata!P406,"wastewater/sludge"),EXACT(Metadata!P406,"water")))</f>
        <v>0</v>
      </c>
      <c r="BD406" t="b">
        <f>IF(Metadata!Q406="",FALSE,TRUE)</f>
        <v>0</v>
      </c>
      <c r="BE406" t="b">
        <f>IF(Metadata!R406="",FALSE,TRUE)</f>
        <v>0</v>
      </c>
      <c r="BF406" t="b">
        <f>OR(AND(IF(Metadata!S406="",FALSE,TRUE),OR(EXACT(Metadata!S406,"not collected"),EXACT(Metadata!S406,"not provided"),EXACT(Metadata!S406,"restricted access"))),AND(IF(Metadata!S406="",FALSE,ISNUMBER(VALUE(Metadata!S406))),Metadata!S406&gt;=-90,Metadata!S406&lt;=90))</f>
        <v>0</v>
      </c>
      <c r="BG406" t="b">
        <f>AND(IF(Metadata!T406="",FALSE,TRUE),EXACT(Metadata!T406,"Decimal degrees"))</f>
        <v>0</v>
      </c>
      <c r="BH406" t="b">
        <f>OR(AND(IF(Metadata!U406="",FALSE,TRUE),OR(EXACT(Metadata!U406,"not applicable"),EXACT(Metadata!U406,"not collected"))),IF(Metadata!U406="",FALSE,TRUE))</f>
        <v>0</v>
      </c>
      <c r="BI406" t="b">
        <f>OR(AND(IF(Metadata!V406="",FALSE,TRUE),OR(EXACT(Metadata!V406,"not collected"),EXACT(Metadata!V406,"not provided"),EXACT(Metadata!V406,"restricted access"))),AND(IF(Metadata!V406="",FALSE,ISNUMBER(VALUE(Metadata!V406))),Metadata!V406&gt;=-180,Metadata!V406&lt;=180))</f>
        <v>0</v>
      </c>
      <c r="BJ406" t="b">
        <f>AND(IF(Metadata!W406="",FALSE,TRUE),EXACT(Metadata!W406,"Decimal degrees"))</f>
        <v>0</v>
      </c>
      <c r="BK406" t="b">
        <f>IF(Metadata!X406="",FALSE,TRUE)</f>
        <v>0</v>
      </c>
      <c r="BL406" t="b">
        <f>OR(AND(IF(Metadata!Y406="",FALSE,TRUE),OR(EXACT(Metadata!Y406,"not collected"),EXACT(Metadata!Y406,"not provided"),EXACT(Metadata!Y406,"restricted access"))),AND(IF(Metadata!Y406="",FALSE,TRUE),OR(EXACT(Metadata!Y406,"TRUE"),EXACT(Metadata!Y406,"FALSE"))))</f>
        <v>0</v>
      </c>
      <c r="BM406" t="b">
        <f>OR(AND(IF(Metadata!Z406="",FALSE,TRUE),EXACT(Metadata!Z406,"not applicable")),AND(IF(Metadata!Z406="",FALSE,TRUE),OR(EXACT(Metadata!Z406,"beer"),EXACT(Metadata!Z406,"cheese"),EXACT(Metadata!Z406,"fresh water"),EXACT(Metadata!Z406,"marine sediment"),EXACT(Metadata!Z406,"sea water"),EXACT(Metadata!Z406,"sediment"),EXACT(Metadata!Z406,"soil"),EXACT(Metadata!Z406,"waste water"))))</f>
        <v>0</v>
      </c>
      <c r="BN406" t="b">
        <f>AND(IF(Metadata!AA406="",FALSE,TRUE),EXACT(Metadata!AA406,"metagenome"))</f>
        <v>0</v>
      </c>
      <c r="BO406" t="b">
        <f>AND(IF(Metadata!AB406="",FALSE,TRUE),EXACT(Metadata!AB406,"256318"))</f>
        <v>0</v>
      </c>
      <c r="BP406" t="b">
        <f>IF(Metadata!AC406="",FALSE,TRUE)</f>
        <v>0</v>
      </c>
      <c r="BQ406" t="b">
        <f>IF(Metadata!AD406="",FALSE,TRUE)</f>
        <v>0</v>
      </c>
    </row>
    <row r="407" spans="1:69" x14ac:dyDescent="0.2">
      <c r="A407" s="4" t="e">
        <f ca="1">IF(B407=" "," ",HYPERLINK(CONCATENATE("#metadata!",ADDRESS(INDEX($AJ$2:$AJ$1001,MATCH(ROWS($AH$2:AH407),$AH$2:$AH$1001,0),0),2)),INDEX($AM$2:$AM$1001,MATCH(ROWS($AH$2:AH407),$AH$2:$AH$1001,0),0)))</f>
        <v>#N/A</v>
      </c>
      <c r="B407" s="5" t="e">
        <f ca="1">IF(OR(INDEX($AI$2:$AI$1001,MATCH(ROWS($AH$2:AH407),$AH$2:$AH$1001,0),1)&gt;=100000,INDEX($AO$1005:$BQ$1005,1,MATCH(COLUMNS($AO$1006:AO1006),$AO$1006:$BQ$1006,0))&gt;=100000), " ",IF(INDEX($AO$2:$BQ$1001,MATCH(ROWS($AH$2:AH407),$AH$2:$AH$1001,0),MATCH(COLUMNS($AO$1006:AO1006),$AO$1006:$BQ$1006,0)), HYPERLINK("#",""), HYPERLINK(CONCATENATE("#Metadata!", ADDRESS(INDEX($AJ$2:$AJ$1001,MATCH(ROWS($AH$2:AH407),$AH$2:$AH$1001,0),0), INDEX($AO$1004:$BQ$1004,1,MATCH(COLUMNS($AO$1006:AO1006),$AO$1006:$BQ$1006,0)))),"Fix")))</f>
        <v>#N/A</v>
      </c>
      <c r="C407" s="5" t="e">
        <f ca="1">IF(OR(INDEX($AI$2:$AI$1001,MATCH(ROWS($AH$2:AH407),$AH$2:$AH$1001,0),1)&gt;=100000,INDEX($AO$1005:$BQ$1005,1,MATCH(COLUMNS($AO$1006:AP1006),$AO$1006:$BQ$1006,0))&gt;=100000), " ",IF(INDEX($AO$2:$BQ$1001,MATCH(ROWS($AH$2:AH407),$AH$2:$AH$1001,0),MATCH(COLUMNS($AO$1006:AP1006),$AO$1006:$BQ$1006,0)), HYPERLINK("#",""), HYPERLINK(CONCATENATE("#Metadata!", ADDRESS(INDEX($AJ$2:$AJ$1001,MATCH(ROWS($AH$2:AH407),$AH$2:$AH$1001,0),0), INDEX($AO$1004:$BQ$1004,1,MATCH(COLUMNS($AO$1006:AP1006),$AO$1006:$BQ$1006,0)))),"Fix")))</f>
        <v>#N/A</v>
      </c>
      <c r="D407" s="5" t="e">
        <f ca="1">IF(OR(INDEX($AI$2:$AI$1001,MATCH(ROWS($AH$2:AH407),$AH$2:$AH$1001,0),1)&gt;=100000,INDEX($AO$1005:$BQ$1005,1,MATCH(COLUMNS($AO$1006:AQ1006),$AO$1006:$BQ$1006,0))&gt;=100000), " ",IF(INDEX($AO$2:$BQ$1001,MATCH(ROWS($AH$2:AH407),$AH$2:$AH$1001,0),MATCH(COLUMNS($AO$1006:AQ1006),$AO$1006:$BQ$1006,0)), HYPERLINK("#",""), HYPERLINK(CONCATENATE("#Metadata!", ADDRESS(INDEX($AJ$2:$AJ$1001,MATCH(ROWS($AH$2:AH407),$AH$2:$AH$1001,0),0), INDEX($AO$1004:$BQ$1004,1,MATCH(COLUMNS($AO$1006:AQ1006),$AO$1006:$BQ$1006,0)))),"Fix")))</f>
        <v>#N/A</v>
      </c>
      <c r="E407" s="5" t="e">
        <f ca="1">IF(OR(INDEX($AI$2:$AI$1001,MATCH(ROWS($AH$2:AH407),$AH$2:$AH$1001,0),1)&gt;=100000,INDEX($AO$1005:$BQ$1005,1,MATCH(COLUMNS($AO$1006:AR1006),$AO$1006:$BQ$1006,0))&gt;=100000), " ",IF(INDEX($AO$2:$BQ$1001,MATCH(ROWS($AH$2:AH407),$AH$2:$AH$1001,0),MATCH(COLUMNS($AO$1006:AR1006),$AO$1006:$BQ$1006,0)), HYPERLINK("#",""), HYPERLINK(CONCATENATE("#Metadata!", ADDRESS(INDEX($AJ$2:$AJ$1001,MATCH(ROWS($AH$2:AH407),$AH$2:$AH$1001,0),0), INDEX($AO$1004:$BQ$1004,1,MATCH(COLUMNS($AO$1006:AR1006),$AO$1006:$BQ$1006,0)))),"Fix")))</f>
        <v>#N/A</v>
      </c>
      <c r="F407" s="5" t="e">
        <f ca="1">IF(OR(INDEX($AI$2:$AI$1001,MATCH(ROWS($AH$2:AH407),$AH$2:$AH$1001,0),1)&gt;=100000,INDEX($AO$1005:$BQ$1005,1,MATCH(COLUMNS($AO$1006:AS1006),$AO$1006:$BQ$1006,0))&gt;=100000), " ",IF(INDEX($AO$2:$BQ$1001,MATCH(ROWS($AH$2:AH407),$AH$2:$AH$1001,0),MATCH(COLUMNS($AO$1006:AS1006),$AO$1006:$BQ$1006,0)), HYPERLINK("#",""), HYPERLINK(CONCATENATE("#Metadata!", ADDRESS(INDEX($AJ$2:$AJ$1001,MATCH(ROWS($AH$2:AH407),$AH$2:$AH$1001,0),0), INDEX($AO$1004:$BQ$1004,1,MATCH(COLUMNS($AO$1006:AS1006),$AO$1006:$BQ$1006,0)))),"Fix")))</f>
        <v>#N/A</v>
      </c>
      <c r="G407" s="5" t="e">
        <f ca="1">IF(OR(INDEX($AI$2:$AI$1001,MATCH(ROWS($AH$2:AH407),$AH$2:$AH$1001,0),1)&gt;=100000,INDEX($AO$1005:$BQ$1005,1,MATCH(COLUMNS($AO$1006:AT1006),$AO$1006:$BQ$1006,0))&gt;=100000), " ",IF(INDEX($AO$2:$BQ$1001,MATCH(ROWS($AH$2:AH407),$AH$2:$AH$1001,0),MATCH(COLUMNS($AO$1006:AT1006),$AO$1006:$BQ$1006,0)), HYPERLINK("#",""), HYPERLINK(CONCATENATE("#Metadata!", ADDRESS(INDEX($AJ$2:$AJ$1001,MATCH(ROWS($AH$2:AH407),$AH$2:$AH$1001,0),0), INDEX($AO$1004:$BQ$1004,1,MATCH(COLUMNS($AO$1006:AT1006),$AO$1006:$BQ$1006,0)))),"Fix")))</f>
        <v>#N/A</v>
      </c>
      <c r="H407" s="5" t="e">
        <f ca="1">IF(OR(INDEX($AI$2:$AI$1001,MATCH(ROWS($AH$2:AH407),$AH$2:$AH$1001,0),1)&gt;=100000,INDEX($AO$1005:$BQ$1005,1,MATCH(COLUMNS($AO$1006:AU1006),$AO$1006:$BQ$1006,0))&gt;=100000), " ",IF(INDEX($AO$2:$BQ$1001,MATCH(ROWS($AH$2:AH407),$AH$2:$AH$1001,0),MATCH(COLUMNS($AO$1006:AU1006),$AO$1006:$BQ$1006,0)), HYPERLINK("#",""), HYPERLINK(CONCATENATE("#Metadata!", ADDRESS(INDEX($AJ$2:$AJ$1001,MATCH(ROWS($AH$2:AH407),$AH$2:$AH$1001,0),0), INDEX($AO$1004:$BQ$1004,1,MATCH(COLUMNS($AO$1006:AU1006),$AO$1006:$BQ$1006,0)))),"Fix")))</f>
        <v>#N/A</v>
      </c>
      <c r="I407" s="5" t="e">
        <f ca="1">IF(OR(INDEX($AI$2:$AI$1001,MATCH(ROWS($AH$2:AH407),$AH$2:$AH$1001,0),1)&gt;=100000,INDEX($AO$1005:$BQ$1005,1,MATCH(COLUMNS($AO$1006:AV1006),$AO$1006:$BQ$1006,0))&gt;=100000), " ",IF(INDEX($AO$2:$BQ$1001,MATCH(ROWS($AH$2:AH407),$AH$2:$AH$1001,0),MATCH(COLUMNS($AO$1006:AV1006),$AO$1006:$BQ$1006,0)), HYPERLINK("#",""), HYPERLINK(CONCATENATE("#Metadata!", ADDRESS(INDEX($AJ$2:$AJ$1001,MATCH(ROWS($AH$2:AH407),$AH$2:$AH$1001,0),0), INDEX($AO$1004:$BQ$1004,1,MATCH(COLUMNS($AO$1006:AV1006),$AO$1006:$BQ$1006,0)))),"Fix")))</f>
        <v>#N/A</v>
      </c>
      <c r="J407" s="5" t="e">
        <f ca="1">IF(OR(INDEX($AI$2:$AI$1001,MATCH(ROWS($AH$2:AH407),$AH$2:$AH$1001,0),1)&gt;=100000,INDEX($AO$1005:$BQ$1005,1,MATCH(COLUMNS($AO$1006:AW1006),$AO$1006:$BQ$1006,0))&gt;=100000), " ",IF(INDEX($AO$2:$BQ$1001,MATCH(ROWS($AH$2:AH407),$AH$2:$AH$1001,0),MATCH(COLUMNS($AO$1006:AW1006),$AO$1006:$BQ$1006,0)), HYPERLINK("#",""), HYPERLINK(CONCATENATE("#Metadata!", ADDRESS(INDEX($AJ$2:$AJ$1001,MATCH(ROWS($AH$2:AH407),$AH$2:$AH$1001,0),0), INDEX($AO$1004:$BQ$1004,1,MATCH(COLUMNS($AO$1006:AW1006),$AO$1006:$BQ$1006,0)))),"Fix")))</f>
        <v>#N/A</v>
      </c>
      <c r="K407" s="5" t="e">
        <f ca="1">IF(OR(INDEX($AI$2:$AI$1001,MATCH(ROWS($AH$2:AH407),$AH$2:$AH$1001,0),1)&gt;=100000,INDEX($AO$1005:$BQ$1005,1,MATCH(COLUMNS($AO$1006:AX1006),$AO$1006:$BQ$1006,0))&gt;=100000), " ",IF(INDEX($AO$2:$BQ$1001,MATCH(ROWS($AH$2:AH407),$AH$2:$AH$1001,0),MATCH(COLUMNS($AO$1006:AX1006),$AO$1006:$BQ$1006,0)), HYPERLINK("#",""), HYPERLINK(CONCATENATE("#Metadata!", ADDRESS(INDEX($AJ$2:$AJ$1001,MATCH(ROWS($AH$2:AH407),$AH$2:$AH$1001,0),0), INDEX($AO$1004:$BQ$1004,1,MATCH(COLUMNS($AO$1006:AX1006),$AO$1006:$BQ$1006,0)))),"Fix")))</f>
        <v>#N/A</v>
      </c>
      <c r="L407" s="5" t="e">
        <f ca="1">IF(OR(INDEX($AI$2:$AI$1001,MATCH(ROWS($AH$2:AH407),$AH$2:$AH$1001,0),1)&gt;=100000,INDEX($AO$1005:$BQ$1005,1,MATCH(COLUMNS($AO$1006:AY1006),$AO$1006:$BQ$1006,0))&gt;=100000), " ",IF(INDEX($AO$2:$BQ$1001,MATCH(ROWS($AH$2:AH407),$AH$2:$AH$1001,0),MATCH(COLUMNS($AO$1006:AY1006),$AO$1006:$BQ$1006,0)), HYPERLINK("#",""), HYPERLINK(CONCATENATE("#Metadata!", ADDRESS(INDEX($AJ$2:$AJ$1001,MATCH(ROWS($AH$2:AH407),$AH$2:$AH$1001,0),0), INDEX($AO$1004:$BQ$1004,1,MATCH(COLUMNS($AO$1006:AY1006),$AO$1006:$BQ$1006,0)))),"Fix")))</f>
        <v>#N/A</v>
      </c>
      <c r="M407" s="5" t="e">
        <f ca="1">IF(OR(INDEX($AI$2:$AI$1001,MATCH(ROWS($AH$2:AH407),$AH$2:$AH$1001,0),1)&gt;=100000,INDEX($AO$1005:$BQ$1005,1,MATCH(COLUMNS($AO$1006:AZ1006),$AO$1006:$BQ$1006,0))&gt;=100000), " ",IF(INDEX($AO$2:$BQ$1001,MATCH(ROWS($AH$2:AH407),$AH$2:$AH$1001,0),MATCH(COLUMNS($AO$1006:AZ1006),$AO$1006:$BQ$1006,0)), HYPERLINK("#",""), HYPERLINK(CONCATENATE("#Metadata!", ADDRESS(INDEX($AJ$2:$AJ$1001,MATCH(ROWS($AH$2:AH407),$AH$2:$AH$1001,0),0), INDEX($AO$1004:$BQ$1004,1,MATCH(COLUMNS($AO$1006:AZ1006),$AO$1006:$BQ$1006,0)))),"Fix")))</f>
        <v>#N/A</v>
      </c>
      <c r="N407" s="5" t="e">
        <f ca="1">IF(OR(INDEX($AI$2:$AI$1001,MATCH(ROWS($AH$2:AH407),$AH$2:$AH$1001,0),1)&gt;=100000,INDEX($AO$1005:$BQ$1005,1,MATCH(COLUMNS($AO$1006:BA1006),$AO$1006:$BQ$1006,0))&gt;=100000), " ",IF(INDEX($AO$2:$BQ$1001,MATCH(ROWS($AH$2:AH407),$AH$2:$AH$1001,0),MATCH(COLUMNS($AO$1006:BA1006),$AO$1006:$BQ$1006,0)), HYPERLINK("#",""), HYPERLINK(CONCATENATE("#Metadata!", ADDRESS(INDEX($AJ$2:$AJ$1001,MATCH(ROWS($AH$2:AH407),$AH$2:$AH$1001,0),0), INDEX($AO$1004:$BQ$1004,1,MATCH(COLUMNS($AO$1006:BA1006),$AO$1006:$BQ$1006,0)))),"Fix")))</f>
        <v>#N/A</v>
      </c>
      <c r="O407" s="5" t="e">
        <f ca="1">IF(OR(INDEX($AI$2:$AI$1001,MATCH(ROWS($AH$2:AH407),$AH$2:$AH$1001,0),1)&gt;=100000,INDEX($AO$1005:$BQ$1005,1,MATCH(COLUMNS($AO$1006:BB1006),$AO$1006:$BQ$1006,0))&gt;=100000), " ",IF(INDEX($AO$2:$BQ$1001,MATCH(ROWS($AH$2:AH407),$AH$2:$AH$1001,0),MATCH(COLUMNS($AO$1006:BB1006),$AO$1006:$BQ$1006,0)), HYPERLINK("#",""), HYPERLINK(CONCATENATE("#Metadata!", ADDRESS(INDEX($AJ$2:$AJ$1001,MATCH(ROWS($AH$2:AH407),$AH$2:$AH$1001,0),0), INDEX($AO$1004:$BQ$1004,1,MATCH(COLUMNS($AO$1006:BB1006),$AO$1006:$BQ$1006,0)))),"Fix")))</f>
        <v>#N/A</v>
      </c>
      <c r="P407" s="5" t="e">
        <f ca="1">IF(OR(INDEX($AI$2:$AI$1001,MATCH(ROWS($AH$2:AH407),$AH$2:$AH$1001,0),1)&gt;=100000,INDEX($AO$1005:$BQ$1005,1,MATCH(COLUMNS($AO$1006:BC1006),$AO$1006:$BQ$1006,0))&gt;=100000), " ",IF(INDEX($AO$2:$BQ$1001,MATCH(ROWS($AH$2:AH407),$AH$2:$AH$1001,0),MATCH(COLUMNS($AO$1006:BC1006),$AO$1006:$BQ$1006,0)), HYPERLINK("#",""), HYPERLINK(CONCATENATE("#Metadata!", ADDRESS(INDEX($AJ$2:$AJ$1001,MATCH(ROWS($AH$2:AH407),$AH$2:$AH$1001,0),0), INDEX($AO$1004:$BQ$1004,1,MATCH(COLUMNS($AO$1006:BC1006),$AO$1006:$BQ$1006,0)))),"Fix")))</f>
        <v>#N/A</v>
      </c>
      <c r="Q407" s="5" t="e">
        <f ca="1">IF(OR(INDEX($AI$2:$AI$1001,MATCH(ROWS($AH$2:AH407),$AH$2:$AH$1001,0),1)&gt;=100000,INDEX($AO$1005:$BQ$1005,1,MATCH(COLUMNS($AO$1006:BD1006),$AO$1006:$BQ$1006,0))&gt;=100000), " ",IF(INDEX($AO$2:$BQ$1001,MATCH(ROWS($AH$2:AH407),$AH$2:$AH$1001,0),MATCH(COLUMNS($AO$1006:BD1006),$AO$1006:$BQ$1006,0)), HYPERLINK("#",""), HYPERLINK(CONCATENATE("#Metadata!", ADDRESS(INDEX($AJ$2:$AJ$1001,MATCH(ROWS($AH$2:AH407),$AH$2:$AH$1001,0),0), INDEX($AO$1004:$BQ$1004,1,MATCH(COLUMNS($AO$1006:BD1006),$AO$1006:$BQ$1006,0)))),"Fix")))</f>
        <v>#N/A</v>
      </c>
      <c r="R407" s="5" t="e">
        <f ca="1">IF(OR(INDEX($AI$2:$AI$1001,MATCH(ROWS($AH$2:AH407),$AH$2:$AH$1001,0),1)&gt;=100000,INDEX($AO$1005:$BQ$1005,1,MATCH(COLUMNS($AO$1006:BE1006),$AO$1006:$BQ$1006,0))&gt;=100000), " ",IF(INDEX($AO$2:$BQ$1001,MATCH(ROWS($AH$2:AH407),$AH$2:$AH$1001,0),MATCH(COLUMNS($AO$1006:BE1006),$AO$1006:$BQ$1006,0)), HYPERLINK("#",""), HYPERLINK(CONCATENATE("#Metadata!", ADDRESS(INDEX($AJ$2:$AJ$1001,MATCH(ROWS($AH$2:AH407),$AH$2:$AH$1001,0),0), INDEX($AO$1004:$BQ$1004,1,MATCH(COLUMNS($AO$1006:BE1006),$AO$1006:$BQ$1006,0)))),"Fix")))</f>
        <v>#N/A</v>
      </c>
      <c r="S407" s="5" t="e">
        <f ca="1">IF(OR(INDEX($AI$2:$AI$1001,MATCH(ROWS($AH$2:AH407),$AH$2:$AH$1001,0),1)&gt;=100000,INDEX($AO$1005:$BQ$1005,1,MATCH(COLUMNS($AO$1006:BF1006),$AO$1006:$BQ$1006,0))&gt;=100000), " ",IF(INDEX($AO$2:$BQ$1001,MATCH(ROWS($AH$2:AH407),$AH$2:$AH$1001,0),MATCH(COLUMNS($AO$1006:BF1006),$AO$1006:$BQ$1006,0)), HYPERLINK("#",""), HYPERLINK(CONCATENATE("#Metadata!", ADDRESS(INDEX($AJ$2:$AJ$1001,MATCH(ROWS($AH$2:AH407),$AH$2:$AH$1001,0),0), INDEX($AO$1004:$BQ$1004,1,MATCH(COLUMNS($AO$1006:BF1006),$AO$1006:$BQ$1006,0)))),"Fix")))</f>
        <v>#N/A</v>
      </c>
      <c r="T407" s="5" t="e">
        <f ca="1">IF(OR(INDEX($AI$2:$AI$1001,MATCH(ROWS($AH$2:AH407),$AH$2:$AH$1001,0),1)&gt;=100000,INDEX($AO$1005:$BQ$1005,1,MATCH(COLUMNS($AO$1006:BG1006),$AO$1006:$BQ$1006,0))&gt;=100000), " ",IF(INDEX($AO$2:$BQ$1001,MATCH(ROWS($AH$2:AH407),$AH$2:$AH$1001,0),MATCH(COLUMNS($AO$1006:BG1006),$AO$1006:$BQ$1006,0)), HYPERLINK("#",""), HYPERLINK(CONCATENATE("#Metadata!", ADDRESS(INDEX($AJ$2:$AJ$1001,MATCH(ROWS($AH$2:AH407),$AH$2:$AH$1001,0),0), INDEX($AO$1004:$BQ$1004,1,MATCH(COLUMNS($AO$1006:BG1006),$AO$1006:$BQ$1006,0)))),"Fix")))</f>
        <v>#N/A</v>
      </c>
      <c r="U407" s="5" t="e">
        <f ca="1">IF(OR(INDEX($AI$2:$AI$1001,MATCH(ROWS($AH$2:AH407),$AH$2:$AH$1001,0),1)&gt;=100000,INDEX($AO$1005:$BQ$1005,1,MATCH(COLUMNS($AO$1006:BH1006),$AO$1006:$BQ$1006,0))&gt;=100000), " ",IF(INDEX($AO$2:$BQ$1001,MATCH(ROWS($AH$2:AH407),$AH$2:$AH$1001,0),MATCH(COLUMNS($AO$1006:BH1006),$AO$1006:$BQ$1006,0)), HYPERLINK("#",""), HYPERLINK(CONCATENATE("#Metadata!", ADDRESS(INDEX($AJ$2:$AJ$1001,MATCH(ROWS($AH$2:AH407),$AH$2:$AH$1001,0),0), INDEX($AO$1004:$BQ$1004,1,MATCH(COLUMNS($AO$1006:BH1006),$AO$1006:$BQ$1006,0)))),"Fix")))</f>
        <v>#N/A</v>
      </c>
      <c r="V407" s="5" t="e">
        <f ca="1">IF(OR(INDEX($AI$2:$AI$1001,MATCH(ROWS($AH$2:AH407),$AH$2:$AH$1001,0),1)&gt;=100000,INDEX($AO$1005:$BQ$1005,1,MATCH(COLUMNS($AO$1006:BI1006),$AO$1006:$BQ$1006,0))&gt;=100000), " ",IF(INDEX($AO$2:$BQ$1001,MATCH(ROWS($AH$2:AH407),$AH$2:$AH$1001,0),MATCH(COLUMNS($AO$1006:BI1006),$AO$1006:$BQ$1006,0)), HYPERLINK("#",""), HYPERLINK(CONCATENATE("#Metadata!", ADDRESS(INDEX($AJ$2:$AJ$1001,MATCH(ROWS($AH$2:AH407),$AH$2:$AH$1001,0),0), INDEX($AO$1004:$BQ$1004,1,MATCH(COLUMNS($AO$1006:BI1006),$AO$1006:$BQ$1006,0)))),"Fix")))</f>
        <v>#N/A</v>
      </c>
      <c r="W407" s="5" t="e">
        <f ca="1">IF(OR(INDEX($AI$2:$AI$1001,MATCH(ROWS($AH$2:AH407),$AH$2:$AH$1001,0),1)&gt;=100000,INDEX($AO$1005:$BQ$1005,1,MATCH(COLUMNS($AO$1006:BJ1006),$AO$1006:$BQ$1006,0))&gt;=100000), " ",IF(INDEX($AO$2:$BQ$1001,MATCH(ROWS($AH$2:AH407),$AH$2:$AH$1001,0),MATCH(COLUMNS($AO$1006:BJ1006),$AO$1006:$BQ$1006,0)), HYPERLINK("#",""), HYPERLINK(CONCATENATE("#Metadata!", ADDRESS(INDEX($AJ$2:$AJ$1001,MATCH(ROWS($AH$2:AH407),$AH$2:$AH$1001,0),0), INDEX($AO$1004:$BQ$1004,1,MATCH(COLUMNS($AO$1006:BJ1006),$AO$1006:$BQ$1006,0)))),"Fix")))</f>
        <v>#N/A</v>
      </c>
      <c r="X407" s="5" t="e">
        <f ca="1">IF(OR(INDEX($AI$2:$AI$1001,MATCH(ROWS($AH$2:AH407),$AH$2:$AH$1001,0),1)&gt;=100000,INDEX($AO$1005:$BQ$1005,1,MATCH(COLUMNS($AO$1006:BK1006),$AO$1006:$BQ$1006,0))&gt;=100000), " ",IF(INDEX($AO$2:$BQ$1001,MATCH(ROWS($AH$2:AH407),$AH$2:$AH$1001,0),MATCH(COLUMNS($AO$1006:BK1006),$AO$1006:$BQ$1006,0)), HYPERLINK("#",""), HYPERLINK(CONCATENATE("#Metadata!", ADDRESS(INDEX($AJ$2:$AJ$1001,MATCH(ROWS($AH$2:AH407),$AH$2:$AH$1001,0),0), INDEX($AO$1004:$BQ$1004,1,MATCH(COLUMNS($AO$1006:BK1006),$AO$1006:$BQ$1006,0)))),"Fix")))</f>
        <v>#N/A</v>
      </c>
      <c r="Y407" s="5" t="e">
        <f ca="1">IF(OR(INDEX($AI$2:$AI$1001,MATCH(ROWS($AH$2:AH407),$AH$2:$AH$1001,0),1)&gt;=100000,INDEX($AO$1005:$BQ$1005,1,MATCH(COLUMNS($AO$1006:BL1006),$AO$1006:$BQ$1006,0))&gt;=100000), " ",IF(INDEX($AO$2:$BQ$1001,MATCH(ROWS($AH$2:AH407),$AH$2:$AH$1001,0),MATCH(COLUMNS($AO$1006:BL1006),$AO$1006:$BQ$1006,0)), HYPERLINK("#",""), HYPERLINK(CONCATENATE("#Metadata!", ADDRESS(INDEX($AJ$2:$AJ$1001,MATCH(ROWS($AH$2:AH407),$AH$2:$AH$1001,0),0), INDEX($AO$1004:$BQ$1004,1,MATCH(COLUMNS($AO$1006:BL1006),$AO$1006:$BQ$1006,0)))),"Fix")))</f>
        <v>#N/A</v>
      </c>
      <c r="Z407" s="5" t="e">
        <f ca="1">IF(OR(INDEX($AI$2:$AI$1001,MATCH(ROWS($AH$2:AH407),$AH$2:$AH$1001,0),1)&gt;=100000,INDEX($AO$1005:$BQ$1005,1,MATCH(COLUMNS($AO$1006:BM1006),$AO$1006:$BQ$1006,0))&gt;=100000), " ",IF(INDEX($AO$2:$BQ$1001,MATCH(ROWS($AH$2:AH407),$AH$2:$AH$1001,0),MATCH(COLUMNS($AO$1006:BM1006),$AO$1006:$BQ$1006,0)), HYPERLINK("#",""), HYPERLINK(CONCATENATE("#Metadata!", ADDRESS(INDEX($AJ$2:$AJ$1001,MATCH(ROWS($AH$2:AH407),$AH$2:$AH$1001,0),0), INDEX($AO$1004:$BQ$1004,1,MATCH(COLUMNS($AO$1006:BM1006),$AO$1006:$BQ$1006,0)))),"Fix")))</f>
        <v>#N/A</v>
      </c>
      <c r="AA407" s="5" t="e">
        <f ca="1">IF(OR(INDEX($AI$2:$AI$1001,MATCH(ROWS($AH$2:AH407),$AH$2:$AH$1001,0),1)&gt;=100000,INDEX($AO$1005:$BQ$1005,1,MATCH(COLUMNS($AO$1006:BN1006),$AO$1006:$BQ$1006,0))&gt;=100000), " ",IF(INDEX($AO$2:$BQ$1001,MATCH(ROWS($AH$2:AH407),$AH$2:$AH$1001,0),MATCH(COLUMNS($AO$1006:BN1006),$AO$1006:$BQ$1006,0)), HYPERLINK("#",""), HYPERLINK(CONCATENATE("#Metadata!", ADDRESS(INDEX($AJ$2:$AJ$1001,MATCH(ROWS($AH$2:AH407),$AH$2:$AH$1001,0),0), INDEX($AO$1004:$BQ$1004,1,MATCH(COLUMNS($AO$1006:BN1006),$AO$1006:$BQ$1006,0)))),"Fix")))</f>
        <v>#N/A</v>
      </c>
      <c r="AB407" s="5" t="e">
        <f ca="1">IF(OR(INDEX($AI$2:$AI$1001,MATCH(ROWS($AH$2:AH407),$AH$2:$AH$1001,0),1)&gt;=100000,INDEX($AO$1005:$BQ$1005,1,MATCH(COLUMNS($AO$1006:BO1006),$AO$1006:$BQ$1006,0))&gt;=100000), " ",IF(INDEX($AO$2:$BQ$1001,MATCH(ROWS($AH$2:AH407),$AH$2:$AH$1001,0),MATCH(COLUMNS($AO$1006:BO1006),$AO$1006:$BQ$1006,0)), HYPERLINK("#",""), HYPERLINK(CONCATENATE("#Metadata!", ADDRESS(INDEX($AJ$2:$AJ$1001,MATCH(ROWS($AH$2:AH407),$AH$2:$AH$1001,0),0), INDEX($AO$1004:$BQ$1004,1,MATCH(COLUMNS($AO$1006:BO1006),$AO$1006:$BQ$1006,0)))),"Fix")))</f>
        <v>#N/A</v>
      </c>
      <c r="AC407" s="5" t="e">
        <f ca="1">IF(OR(INDEX($AI$2:$AI$1001,MATCH(ROWS($AH$2:AH407),$AH$2:$AH$1001,0),1)&gt;=100000,INDEX($AO$1005:$BQ$1005,1,MATCH(COLUMNS($AO$1006:BP1006),$AO$1006:$BQ$1006,0))&gt;=100000), " ",IF(INDEX($AO$2:$BQ$1001,MATCH(ROWS($AH$2:AH407),$AH$2:$AH$1001,0),MATCH(COLUMNS($AO$1006:BP1006),$AO$1006:$BQ$1006,0)), HYPERLINK("#",""), HYPERLINK(CONCATENATE("#Metadata!", ADDRESS(INDEX($AJ$2:$AJ$1001,MATCH(ROWS($AH$2:AH407),$AH$2:$AH$1001,0),0), INDEX($AO$1004:$BQ$1004,1,MATCH(COLUMNS($AO$1006:BP1006),$AO$1006:$BQ$1006,0)))),"Fix")))</f>
        <v>#N/A</v>
      </c>
      <c r="AD407" s="5" t="e">
        <f ca="1">IF(OR(INDEX($AI$2:$AI$1001,MATCH(ROWS($AH$2:AH407),$AH$2:$AH$1001,0),1)&gt;=100000,INDEX($AO$1005:$BQ$1005,1,MATCH(COLUMNS($AO$1006:BQ1006),$AO$1006:$BQ$1006,0))&gt;=100000), " ",IF(INDEX($AO$2:$BQ$1001,MATCH(ROWS($AH$2:AH407),$AH$2:$AH$1001,0),MATCH(COLUMNS($AO$1006:BQ1006),$AO$1006:$BQ$1006,0)), HYPERLINK("#",""), HYPERLINK(CONCATENATE("#Metadata!", ADDRESS(INDEX($AJ$2:$AJ$1001,MATCH(ROWS($AH$2:AH407),$AH$2:$AH$1001,0),0), INDEX($AO$1004:$BQ$1004,1,MATCH(COLUMNS($AO$1006:BQ1006),$AO$1006:$BQ$1006,0)))),"Fix")))</f>
        <v>#REF!</v>
      </c>
      <c r="AH407">
        <f ca="1"/>
        <v>404</v>
      </c>
      <c r="AI407">
        <v>100407</v>
      </c>
      <c r="AJ407">
        <v>407</v>
      </c>
      <c r="AK407" t="b">
        <f t="shared" si="6"/>
        <v>1</v>
      </c>
      <c r="AL407" t="b">
        <f>COUNTBLANK(Metadata!B407:AD407)=COLUMNS(Metadata!B407:AD407)</f>
        <v>1</v>
      </c>
      <c r="AM407" t="str">
        <v/>
      </c>
      <c r="AO407" t="b">
        <f ca="1">AND(IF(Metadata!B407="",FALSE,TRUE),COUNTIF(Metadata!B:B, Metadata!B407) = 1,NOT(ISERROR(SUMPRODUCT(SEARCH(MID(Metadata!B407,ROW(INDIRECT("1:"&amp;LEN(Metadata!B407))), 1),"0123456789abcdefghijklmnopqrstuvwxyzABCDEFGHIJKLMNOPQRSTUVWXYZ.")))))</f>
        <v>0</v>
      </c>
      <c r="AP407" t="b">
        <f>IF(Metadata!C407="",FALSE,TRUE)</f>
        <v>0</v>
      </c>
      <c r="AQ407" t="b">
        <f>IF(Metadata!D407="",FALSE,TRUE)</f>
        <v>0</v>
      </c>
      <c r="AR407" t="b">
        <f ca="1">OR(AND(IF(Metadata!E407="",FALSE,TRUE),OR(EXACT(Metadata!E407,"not collected"),EXACT(Metadata!E407,"not provided"),EXACT(Metadata!E407,"restricted access"))),AND(IF(Metadata!E407="",FALSE,TRUE),AND(AND(IFERROR(INT(LEFT(Metadata!E407,4))&gt;1900,FALSE),IFERROR(INT(LEFT(Metadata!E407,4))&lt;=YEAR(NOW()),FALSE)), OR(MID(Metadata!E407,5,1)="", AND(AND(MID(Metadata!E407,5,1)="-",IFERROR(INT(MID(Metadata!E407,6,1))&gt;=0,FALSE),IFERROR(INT(MID(Metadata!E407,6,1))&lt;=1,FALSE),NOT(MID(Metadata!E407,7,1)=""),IFERROR(INT(MID(Metadata!E407,6,2))&gt;=1,FALSE),IFERROR(INT(MID(Metadata!E407,6,2))&lt;=12,FALSE)), OR(MID(Metadata!E407,8,1)="", AND(AND(MID(Metadata!E407,8,1)="-",IFERROR(INT(MID(Metadata!E407,9,1))&gt;=0,FALSE),IFERROR(INT(MID(Metadata!E407,9,1))&lt;=3,FALSE),NOT(MID(Metadata!E407,10,1)=""),IFERROR(INT(MID(Metadata!E407,9,2))&gt;=1,FALSE),IFERROR(INT(MID(Metadata!E407,9,2))&lt;=31,FALSE)), OR(MID(Metadata!E407,11,1)="", AND(AND(MID(Metadata!E407,11,1)=" ",IFERROR(INT(MID(Metadata!E407,12,1))&gt;=0,FALSE),IFERROR(INT(MID(Metadata!E407,12,1))&lt;=2,FALSE),NOT(MID(Metadata!E407,13,1)=""),IFERROR(INT(MID(Metadata!E407,12,2))&gt;=0,FALSE),IFERROR(INT(MID(Metadata!E407,12,2))&lt;=23,FALSE)), OR(MID(Metadata!E407,14,1)="", AND(AND(MID(Metadata!E407,14,1)=":",IFERROR(INT(MID(Metadata!E407,15,1))&gt;=0,FALSE),IFERROR(INT(MID(Metadata!E407,15,1))&lt;=5,FALSE),NOT(MID(Metadata!E407,16,1)=""),IFERROR(INT(MID(Metadata!E407,15,2))&gt;=0,FALSE),IFERROR(INT(MID(Metadata!E407,15,2))&lt;=59,FALSE)), OR(MID(Metadata!E407,17,1)="", AND(AND(MID(Metadata!E407,17,1)=":",IFERROR(INT(MID(Metadata!E407,18,1))&gt;=0,FALSE),IFERROR(INT(MID(Metadata!E407,18,1))&lt;=5,FALSE),NOT(MID(Metadata!E407,19,1)=""),IFERROR(INT(MID(Metadata!E407,18,2))&gt;=0,FALSE),IFERROR(INT(MID(Metadata!E407,18,2))&lt;=59,FALSE)), LEN(Metadata!E407)&lt;=19)))))))))))))</f>
        <v>0</v>
      </c>
      <c r="AS407" t="b">
        <f>IF(Metadata!F407="",FALSE,TRUE)</f>
        <v>0</v>
      </c>
      <c r="AT407" t="b">
        <f>OR(AND(IF(Metadata!G407="",FALSE,TRUE),OR(EXACT(Metadata!G407,"not collected"),EXACT(Metadata!G407,"not provided"))),AND(IF(Metadata!G407="",FALSE,TRUE),OR(EXACT(Metadata!G407,"TRUE"),EXACT(Metadata!G407,"FALSE"))))</f>
        <v>0</v>
      </c>
      <c r="AU407" t="b">
        <f>OR(AND(IF(Metadata!H407="",FALSE,TRUE),OR(EXACT(Metadata!H407,"not collected"),EXACT(Metadata!H407,"not provided"),EXACT(Metadata!H407,"restricted access"))),AND(IF(Metadata!H407="",FALSE,ISNUMBER(VALUE(Metadata!H407))),Metadata!H407&gt;=-413))</f>
        <v>0</v>
      </c>
      <c r="AV407" t="b">
        <f>AND(IF(Metadata!I407="",FALSE,TRUE),EXACT(Metadata!I407,"meters"))</f>
        <v>0</v>
      </c>
      <c r="AW407" t="b">
        <f>AND(IF(Metadata!J407="",FALSE,TRUE),EXACT(Metadata!J407,"free-living"))</f>
        <v>0</v>
      </c>
      <c r="AX407" t="b">
        <f>AND(IF(Metadata!K407="",FALSE,TRUE),OR(EXACT(Metadata!K407,"saline"),EXACT(Metadata!K407,"non-saline")))</f>
        <v>0</v>
      </c>
      <c r="AY407" t="b">
        <f>AND(IF(Metadata!L407="",FALSE,TRUE),OR(EXACT(Metadata!L407,"sub-surface (non-saline)"),EXACT(Metadata!L407,"surface (non-saline)"),EXACT(Metadata!L407,"water (non-saline)"),EXACT(Metadata!L407,"soil (non-saline)"),EXACT(Metadata!L407,"aerosol (non-saline)"),EXACT(Metadata!L407,"sediment (non-saline)"),EXACT(Metadata!L407,"surface (saline)"),EXACT(Metadata!L407,"water (saline)"),EXACT(Metadata!L407,"hypersaline (saline)"),EXACT(Metadata!L407,"aerosol (saline)"),EXACT(Metadata!L407,"sediment (saline)")))</f>
        <v>0</v>
      </c>
      <c r="AZ407" t="b">
        <f>IF(Metadata!M407="",FALSE,TRUE)</f>
        <v>0</v>
      </c>
      <c r="BA407" t="b">
        <f>IF(Metadata!N407="",FALSE,TRUE)</f>
        <v>0</v>
      </c>
      <c r="BB407" t="b">
        <f>IF(Metadata!O407="",FALSE,TRUE)</f>
        <v>0</v>
      </c>
      <c r="BC407" t="b">
        <f>AND(IF(Metadata!P407="",FALSE,TRUE),OR(EXACT(Metadata!P407,"air"),EXACT(Metadata!P407,"microbial mat/biofilm"),EXACT(Metadata!P407,"misc environment"),EXACT(Metadata!P407,"sediment"),EXACT(Metadata!P407,"soil"),EXACT(Metadata!P407,"wastewater/sludge"),EXACT(Metadata!P407,"water")))</f>
        <v>0</v>
      </c>
      <c r="BD407" t="b">
        <f>IF(Metadata!Q407="",FALSE,TRUE)</f>
        <v>0</v>
      </c>
      <c r="BE407" t="b">
        <f>IF(Metadata!R407="",FALSE,TRUE)</f>
        <v>0</v>
      </c>
      <c r="BF407" t="b">
        <f>OR(AND(IF(Metadata!S407="",FALSE,TRUE),OR(EXACT(Metadata!S407,"not collected"),EXACT(Metadata!S407,"not provided"),EXACT(Metadata!S407,"restricted access"))),AND(IF(Metadata!S407="",FALSE,ISNUMBER(VALUE(Metadata!S407))),Metadata!S407&gt;=-90,Metadata!S407&lt;=90))</f>
        <v>0</v>
      </c>
      <c r="BG407" t="b">
        <f>AND(IF(Metadata!T407="",FALSE,TRUE),EXACT(Metadata!T407,"Decimal degrees"))</f>
        <v>0</v>
      </c>
      <c r="BH407" t="b">
        <f>OR(AND(IF(Metadata!U407="",FALSE,TRUE),OR(EXACT(Metadata!U407,"not applicable"),EXACT(Metadata!U407,"not collected"))),IF(Metadata!U407="",FALSE,TRUE))</f>
        <v>0</v>
      </c>
      <c r="BI407" t="b">
        <f>OR(AND(IF(Metadata!V407="",FALSE,TRUE),OR(EXACT(Metadata!V407,"not collected"),EXACT(Metadata!V407,"not provided"),EXACT(Metadata!V407,"restricted access"))),AND(IF(Metadata!V407="",FALSE,ISNUMBER(VALUE(Metadata!V407))),Metadata!V407&gt;=-180,Metadata!V407&lt;=180))</f>
        <v>0</v>
      </c>
      <c r="BJ407" t="b">
        <f>AND(IF(Metadata!W407="",FALSE,TRUE),EXACT(Metadata!W407,"Decimal degrees"))</f>
        <v>0</v>
      </c>
      <c r="BK407" t="b">
        <f>IF(Metadata!X407="",FALSE,TRUE)</f>
        <v>0</v>
      </c>
      <c r="BL407" t="b">
        <f>OR(AND(IF(Metadata!Y407="",FALSE,TRUE),OR(EXACT(Metadata!Y407,"not collected"),EXACT(Metadata!Y407,"not provided"),EXACT(Metadata!Y407,"restricted access"))),AND(IF(Metadata!Y407="",FALSE,TRUE),OR(EXACT(Metadata!Y407,"TRUE"),EXACT(Metadata!Y407,"FALSE"))))</f>
        <v>0</v>
      </c>
      <c r="BM407" t="b">
        <f>OR(AND(IF(Metadata!Z407="",FALSE,TRUE),EXACT(Metadata!Z407,"not applicable")),AND(IF(Metadata!Z407="",FALSE,TRUE),OR(EXACT(Metadata!Z407,"beer"),EXACT(Metadata!Z407,"cheese"),EXACT(Metadata!Z407,"fresh water"),EXACT(Metadata!Z407,"marine sediment"),EXACT(Metadata!Z407,"sea water"),EXACT(Metadata!Z407,"sediment"),EXACT(Metadata!Z407,"soil"),EXACT(Metadata!Z407,"waste water"))))</f>
        <v>0</v>
      </c>
      <c r="BN407" t="b">
        <f>AND(IF(Metadata!AA407="",FALSE,TRUE),EXACT(Metadata!AA407,"metagenome"))</f>
        <v>0</v>
      </c>
      <c r="BO407" t="b">
        <f>AND(IF(Metadata!AB407="",FALSE,TRUE),EXACT(Metadata!AB407,"256318"))</f>
        <v>0</v>
      </c>
      <c r="BP407" t="b">
        <f>IF(Metadata!AC407="",FALSE,TRUE)</f>
        <v>0</v>
      </c>
      <c r="BQ407" t="b">
        <f>IF(Metadata!AD407="",FALSE,TRUE)</f>
        <v>0</v>
      </c>
    </row>
    <row r="408" spans="1:69" x14ac:dyDescent="0.2">
      <c r="A408" s="4" t="e">
        <f ca="1">IF(B408=" "," ",HYPERLINK(CONCATENATE("#metadata!",ADDRESS(INDEX($AJ$2:$AJ$1001,MATCH(ROWS($AH$2:AH408),$AH$2:$AH$1001,0),0),2)),INDEX($AM$2:$AM$1001,MATCH(ROWS($AH$2:AH408),$AH$2:$AH$1001,0),0)))</f>
        <v>#N/A</v>
      </c>
      <c r="B408" s="5" t="e">
        <f ca="1">IF(OR(INDEX($AI$2:$AI$1001,MATCH(ROWS($AH$2:AH408),$AH$2:$AH$1001,0),1)&gt;=100000,INDEX($AO$1005:$BQ$1005,1,MATCH(COLUMNS($AO$1006:AO1006),$AO$1006:$BQ$1006,0))&gt;=100000), " ",IF(INDEX($AO$2:$BQ$1001,MATCH(ROWS($AH$2:AH408),$AH$2:$AH$1001,0),MATCH(COLUMNS($AO$1006:AO1006),$AO$1006:$BQ$1006,0)), HYPERLINK("#",""), HYPERLINK(CONCATENATE("#Metadata!", ADDRESS(INDEX($AJ$2:$AJ$1001,MATCH(ROWS($AH$2:AH408),$AH$2:$AH$1001,0),0), INDEX($AO$1004:$BQ$1004,1,MATCH(COLUMNS($AO$1006:AO1006),$AO$1006:$BQ$1006,0)))),"Fix")))</f>
        <v>#N/A</v>
      </c>
      <c r="C408" s="5" t="e">
        <f ca="1">IF(OR(INDEX($AI$2:$AI$1001,MATCH(ROWS($AH$2:AH408),$AH$2:$AH$1001,0),1)&gt;=100000,INDEX($AO$1005:$BQ$1005,1,MATCH(COLUMNS($AO$1006:AP1006),$AO$1006:$BQ$1006,0))&gt;=100000), " ",IF(INDEX($AO$2:$BQ$1001,MATCH(ROWS($AH$2:AH408),$AH$2:$AH$1001,0),MATCH(COLUMNS($AO$1006:AP1006),$AO$1006:$BQ$1006,0)), HYPERLINK("#",""), HYPERLINK(CONCATENATE("#Metadata!", ADDRESS(INDEX($AJ$2:$AJ$1001,MATCH(ROWS($AH$2:AH408),$AH$2:$AH$1001,0),0), INDEX($AO$1004:$BQ$1004,1,MATCH(COLUMNS($AO$1006:AP1006),$AO$1006:$BQ$1006,0)))),"Fix")))</f>
        <v>#N/A</v>
      </c>
      <c r="D408" s="5" t="e">
        <f ca="1">IF(OR(INDEX($AI$2:$AI$1001,MATCH(ROWS($AH$2:AH408),$AH$2:$AH$1001,0),1)&gt;=100000,INDEX($AO$1005:$BQ$1005,1,MATCH(COLUMNS($AO$1006:AQ1006),$AO$1006:$BQ$1006,0))&gt;=100000), " ",IF(INDEX($AO$2:$BQ$1001,MATCH(ROWS($AH$2:AH408),$AH$2:$AH$1001,0),MATCH(COLUMNS($AO$1006:AQ1006),$AO$1006:$BQ$1006,0)), HYPERLINK("#",""), HYPERLINK(CONCATENATE("#Metadata!", ADDRESS(INDEX($AJ$2:$AJ$1001,MATCH(ROWS($AH$2:AH408),$AH$2:$AH$1001,0),0), INDEX($AO$1004:$BQ$1004,1,MATCH(COLUMNS($AO$1006:AQ1006),$AO$1006:$BQ$1006,0)))),"Fix")))</f>
        <v>#N/A</v>
      </c>
      <c r="E408" s="5" t="e">
        <f ca="1">IF(OR(INDEX($AI$2:$AI$1001,MATCH(ROWS($AH$2:AH408),$AH$2:$AH$1001,0),1)&gt;=100000,INDEX($AO$1005:$BQ$1005,1,MATCH(COLUMNS($AO$1006:AR1006),$AO$1006:$BQ$1006,0))&gt;=100000), " ",IF(INDEX($AO$2:$BQ$1001,MATCH(ROWS($AH$2:AH408),$AH$2:$AH$1001,0),MATCH(COLUMNS($AO$1006:AR1006),$AO$1006:$BQ$1006,0)), HYPERLINK("#",""), HYPERLINK(CONCATENATE("#Metadata!", ADDRESS(INDEX($AJ$2:$AJ$1001,MATCH(ROWS($AH$2:AH408),$AH$2:$AH$1001,0),0), INDEX($AO$1004:$BQ$1004,1,MATCH(COLUMNS($AO$1006:AR1006),$AO$1006:$BQ$1006,0)))),"Fix")))</f>
        <v>#N/A</v>
      </c>
      <c r="F408" s="5" t="e">
        <f ca="1">IF(OR(INDEX($AI$2:$AI$1001,MATCH(ROWS($AH$2:AH408),$AH$2:$AH$1001,0),1)&gt;=100000,INDEX($AO$1005:$BQ$1005,1,MATCH(COLUMNS($AO$1006:AS1006),$AO$1006:$BQ$1006,0))&gt;=100000), " ",IF(INDEX($AO$2:$BQ$1001,MATCH(ROWS($AH$2:AH408),$AH$2:$AH$1001,0),MATCH(COLUMNS($AO$1006:AS1006),$AO$1006:$BQ$1006,0)), HYPERLINK("#",""), HYPERLINK(CONCATENATE("#Metadata!", ADDRESS(INDEX($AJ$2:$AJ$1001,MATCH(ROWS($AH$2:AH408),$AH$2:$AH$1001,0),0), INDEX($AO$1004:$BQ$1004,1,MATCH(COLUMNS($AO$1006:AS1006),$AO$1006:$BQ$1006,0)))),"Fix")))</f>
        <v>#N/A</v>
      </c>
      <c r="G408" s="5" t="e">
        <f ca="1">IF(OR(INDEX($AI$2:$AI$1001,MATCH(ROWS($AH$2:AH408),$AH$2:$AH$1001,0),1)&gt;=100000,INDEX($AO$1005:$BQ$1005,1,MATCH(COLUMNS($AO$1006:AT1006),$AO$1006:$BQ$1006,0))&gt;=100000), " ",IF(INDEX($AO$2:$BQ$1001,MATCH(ROWS($AH$2:AH408),$AH$2:$AH$1001,0),MATCH(COLUMNS($AO$1006:AT1006),$AO$1006:$BQ$1006,0)), HYPERLINK("#",""), HYPERLINK(CONCATENATE("#Metadata!", ADDRESS(INDEX($AJ$2:$AJ$1001,MATCH(ROWS($AH$2:AH408),$AH$2:$AH$1001,0),0), INDEX($AO$1004:$BQ$1004,1,MATCH(COLUMNS($AO$1006:AT1006),$AO$1006:$BQ$1006,0)))),"Fix")))</f>
        <v>#N/A</v>
      </c>
      <c r="H408" s="5" t="e">
        <f ca="1">IF(OR(INDEX($AI$2:$AI$1001,MATCH(ROWS($AH$2:AH408),$AH$2:$AH$1001,0),1)&gt;=100000,INDEX($AO$1005:$BQ$1005,1,MATCH(COLUMNS($AO$1006:AU1006),$AO$1006:$BQ$1006,0))&gt;=100000), " ",IF(INDEX($AO$2:$BQ$1001,MATCH(ROWS($AH$2:AH408),$AH$2:$AH$1001,0),MATCH(COLUMNS($AO$1006:AU1006),$AO$1006:$BQ$1006,0)), HYPERLINK("#",""), HYPERLINK(CONCATENATE("#Metadata!", ADDRESS(INDEX($AJ$2:$AJ$1001,MATCH(ROWS($AH$2:AH408),$AH$2:$AH$1001,0),0), INDEX($AO$1004:$BQ$1004,1,MATCH(COLUMNS($AO$1006:AU1006),$AO$1006:$BQ$1006,0)))),"Fix")))</f>
        <v>#N/A</v>
      </c>
      <c r="I408" s="5" t="e">
        <f ca="1">IF(OR(INDEX($AI$2:$AI$1001,MATCH(ROWS($AH$2:AH408),$AH$2:$AH$1001,0),1)&gt;=100000,INDEX($AO$1005:$BQ$1005,1,MATCH(COLUMNS($AO$1006:AV1006),$AO$1006:$BQ$1006,0))&gt;=100000), " ",IF(INDEX($AO$2:$BQ$1001,MATCH(ROWS($AH$2:AH408),$AH$2:$AH$1001,0),MATCH(COLUMNS($AO$1006:AV1006),$AO$1006:$BQ$1006,0)), HYPERLINK("#",""), HYPERLINK(CONCATENATE("#Metadata!", ADDRESS(INDEX($AJ$2:$AJ$1001,MATCH(ROWS($AH$2:AH408),$AH$2:$AH$1001,0),0), INDEX($AO$1004:$BQ$1004,1,MATCH(COLUMNS($AO$1006:AV1006),$AO$1006:$BQ$1006,0)))),"Fix")))</f>
        <v>#N/A</v>
      </c>
      <c r="J408" s="5" t="e">
        <f ca="1">IF(OR(INDEX($AI$2:$AI$1001,MATCH(ROWS($AH$2:AH408),$AH$2:$AH$1001,0),1)&gt;=100000,INDEX($AO$1005:$BQ$1005,1,MATCH(COLUMNS($AO$1006:AW1006),$AO$1006:$BQ$1006,0))&gt;=100000), " ",IF(INDEX($AO$2:$BQ$1001,MATCH(ROWS($AH$2:AH408),$AH$2:$AH$1001,0),MATCH(COLUMNS($AO$1006:AW1006),$AO$1006:$BQ$1006,0)), HYPERLINK("#",""), HYPERLINK(CONCATENATE("#Metadata!", ADDRESS(INDEX($AJ$2:$AJ$1001,MATCH(ROWS($AH$2:AH408),$AH$2:$AH$1001,0),0), INDEX($AO$1004:$BQ$1004,1,MATCH(COLUMNS($AO$1006:AW1006),$AO$1006:$BQ$1006,0)))),"Fix")))</f>
        <v>#N/A</v>
      </c>
      <c r="K408" s="5" t="e">
        <f ca="1">IF(OR(INDEX($AI$2:$AI$1001,MATCH(ROWS($AH$2:AH408),$AH$2:$AH$1001,0),1)&gt;=100000,INDEX($AO$1005:$BQ$1005,1,MATCH(COLUMNS($AO$1006:AX1006),$AO$1006:$BQ$1006,0))&gt;=100000), " ",IF(INDEX($AO$2:$BQ$1001,MATCH(ROWS($AH$2:AH408),$AH$2:$AH$1001,0),MATCH(COLUMNS($AO$1006:AX1006),$AO$1006:$BQ$1006,0)), HYPERLINK("#",""), HYPERLINK(CONCATENATE("#Metadata!", ADDRESS(INDEX($AJ$2:$AJ$1001,MATCH(ROWS($AH$2:AH408),$AH$2:$AH$1001,0),0), INDEX($AO$1004:$BQ$1004,1,MATCH(COLUMNS($AO$1006:AX1006),$AO$1006:$BQ$1006,0)))),"Fix")))</f>
        <v>#N/A</v>
      </c>
      <c r="L408" s="5" t="e">
        <f ca="1">IF(OR(INDEX($AI$2:$AI$1001,MATCH(ROWS($AH$2:AH408),$AH$2:$AH$1001,0),1)&gt;=100000,INDEX($AO$1005:$BQ$1005,1,MATCH(COLUMNS($AO$1006:AY1006),$AO$1006:$BQ$1006,0))&gt;=100000), " ",IF(INDEX($AO$2:$BQ$1001,MATCH(ROWS($AH$2:AH408),$AH$2:$AH$1001,0),MATCH(COLUMNS($AO$1006:AY1006),$AO$1006:$BQ$1006,0)), HYPERLINK("#",""), HYPERLINK(CONCATENATE("#Metadata!", ADDRESS(INDEX($AJ$2:$AJ$1001,MATCH(ROWS($AH$2:AH408),$AH$2:$AH$1001,0),0), INDEX($AO$1004:$BQ$1004,1,MATCH(COLUMNS($AO$1006:AY1006),$AO$1006:$BQ$1006,0)))),"Fix")))</f>
        <v>#N/A</v>
      </c>
      <c r="M408" s="5" t="e">
        <f ca="1">IF(OR(INDEX($AI$2:$AI$1001,MATCH(ROWS($AH$2:AH408),$AH$2:$AH$1001,0),1)&gt;=100000,INDEX($AO$1005:$BQ$1005,1,MATCH(COLUMNS($AO$1006:AZ1006),$AO$1006:$BQ$1006,0))&gt;=100000), " ",IF(INDEX($AO$2:$BQ$1001,MATCH(ROWS($AH$2:AH408),$AH$2:$AH$1001,0),MATCH(COLUMNS($AO$1006:AZ1006),$AO$1006:$BQ$1006,0)), HYPERLINK("#",""), HYPERLINK(CONCATENATE("#Metadata!", ADDRESS(INDEX($AJ$2:$AJ$1001,MATCH(ROWS($AH$2:AH408),$AH$2:$AH$1001,0),0), INDEX($AO$1004:$BQ$1004,1,MATCH(COLUMNS($AO$1006:AZ1006),$AO$1006:$BQ$1006,0)))),"Fix")))</f>
        <v>#N/A</v>
      </c>
      <c r="N408" s="5" t="e">
        <f ca="1">IF(OR(INDEX($AI$2:$AI$1001,MATCH(ROWS($AH$2:AH408),$AH$2:$AH$1001,0),1)&gt;=100000,INDEX($AO$1005:$BQ$1005,1,MATCH(COLUMNS($AO$1006:BA1006),$AO$1006:$BQ$1006,0))&gt;=100000), " ",IF(INDEX($AO$2:$BQ$1001,MATCH(ROWS($AH$2:AH408),$AH$2:$AH$1001,0),MATCH(COLUMNS($AO$1006:BA1006),$AO$1006:$BQ$1006,0)), HYPERLINK("#",""), HYPERLINK(CONCATENATE("#Metadata!", ADDRESS(INDEX($AJ$2:$AJ$1001,MATCH(ROWS($AH$2:AH408),$AH$2:$AH$1001,0),0), INDEX($AO$1004:$BQ$1004,1,MATCH(COLUMNS($AO$1006:BA1006),$AO$1006:$BQ$1006,0)))),"Fix")))</f>
        <v>#N/A</v>
      </c>
      <c r="O408" s="5" t="e">
        <f ca="1">IF(OR(INDEX($AI$2:$AI$1001,MATCH(ROWS($AH$2:AH408),$AH$2:$AH$1001,0),1)&gt;=100000,INDEX($AO$1005:$BQ$1005,1,MATCH(COLUMNS($AO$1006:BB1006),$AO$1006:$BQ$1006,0))&gt;=100000), " ",IF(INDEX($AO$2:$BQ$1001,MATCH(ROWS($AH$2:AH408),$AH$2:$AH$1001,0),MATCH(COLUMNS($AO$1006:BB1006),$AO$1006:$BQ$1006,0)), HYPERLINK("#",""), HYPERLINK(CONCATENATE("#Metadata!", ADDRESS(INDEX($AJ$2:$AJ$1001,MATCH(ROWS($AH$2:AH408),$AH$2:$AH$1001,0),0), INDEX($AO$1004:$BQ$1004,1,MATCH(COLUMNS($AO$1006:BB1006),$AO$1006:$BQ$1006,0)))),"Fix")))</f>
        <v>#N/A</v>
      </c>
      <c r="P408" s="5" t="e">
        <f ca="1">IF(OR(INDEX($AI$2:$AI$1001,MATCH(ROWS($AH$2:AH408),$AH$2:$AH$1001,0),1)&gt;=100000,INDEX($AO$1005:$BQ$1005,1,MATCH(COLUMNS($AO$1006:BC1006),$AO$1006:$BQ$1006,0))&gt;=100000), " ",IF(INDEX($AO$2:$BQ$1001,MATCH(ROWS($AH$2:AH408),$AH$2:$AH$1001,0),MATCH(COLUMNS($AO$1006:BC1006),$AO$1006:$BQ$1006,0)), HYPERLINK("#",""), HYPERLINK(CONCATENATE("#Metadata!", ADDRESS(INDEX($AJ$2:$AJ$1001,MATCH(ROWS($AH$2:AH408),$AH$2:$AH$1001,0),0), INDEX($AO$1004:$BQ$1004,1,MATCH(COLUMNS($AO$1006:BC1006),$AO$1006:$BQ$1006,0)))),"Fix")))</f>
        <v>#N/A</v>
      </c>
      <c r="Q408" s="5" t="e">
        <f ca="1">IF(OR(INDEX($AI$2:$AI$1001,MATCH(ROWS($AH$2:AH408),$AH$2:$AH$1001,0),1)&gt;=100000,INDEX($AO$1005:$BQ$1005,1,MATCH(COLUMNS($AO$1006:BD1006),$AO$1006:$BQ$1006,0))&gt;=100000), " ",IF(INDEX($AO$2:$BQ$1001,MATCH(ROWS($AH$2:AH408),$AH$2:$AH$1001,0),MATCH(COLUMNS($AO$1006:BD1006),$AO$1006:$BQ$1006,0)), HYPERLINK("#",""), HYPERLINK(CONCATENATE("#Metadata!", ADDRESS(INDEX($AJ$2:$AJ$1001,MATCH(ROWS($AH$2:AH408),$AH$2:$AH$1001,0),0), INDEX($AO$1004:$BQ$1004,1,MATCH(COLUMNS($AO$1006:BD1006),$AO$1006:$BQ$1006,0)))),"Fix")))</f>
        <v>#N/A</v>
      </c>
      <c r="R408" s="5" t="e">
        <f ca="1">IF(OR(INDEX($AI$2:$AI$1001,MATCH(ROWS($AH$2:AH408),$AH$2:$AH$1001,0),1)&gt;=100000,INDEX($AO$1005:$BQ$1005,1,MATCH(COLUMNS($AO$1006:BE1006),$AO$1006:$BQ$1006,0))&gt;=100000), " ",IF(INDEX($AO$2:$BQ$1001,MATCH(ROWS($AH$2:AH408),$AH$2:$AH$1001,0),MATCH(COLUMNS($AO$1006:BE1006),$AO$1006:$BQ$1006,0)), HYPERLINK("#",""), HYPERLINK(CONCATENATE("#Metadata!", ADDRESS(INDEX($AJ$2:$AJ$1001,MATCH(ROWS($AH$2:AH408),$AH$2:$AH$1001,0),0), INDEX($AO$1004:$BQ$1004,1,MATCH(COLUMNS($AO$1006:BE1006),$AO$1006:$BQ$1006,0)))),"Fix")))</f>
        <v>#N/A</v>
      </c>
      <c r="S408" s="5" t="e">
        <f ca="1">IF(OR(INDEX($AI$2:$AI$1001,MATCH(ROWS($AH$2:AH408),$AH$2:$AH$1001,0),1)&gt;=100000,INDEX($AO$1005:$BQ$1005,1,MATCH(COLUMNS($AO$1006:BF1006),$AO$1006:$BQ$1006,0))&gt;=100000), " ",IF(INDEX($AO$2:$BQ$1001,MATCH(ROWS($AH$2:AH408),$AH$2:$AH$1001,0),MATCH(COLUMNS($AO$1006:BF1006),$AO$1006:$BQ$1006,0)), HYPERLINK("#",""), HYPERLINK(CONCATENATE("#Metadata!", ADDRESS(INDEX($AJ$2:$AJ$1001,MATCH(ROWS($AH$2:AH408),$AH$2:$AH$1001,0),0), INDEX($AO$1004:$BQ$1004,1,MATCH(COLUMNS($AO$1006:BF1006),$AO$1006:$BQ$1006,0)))),"Fix")))</f>
        <v>#N/A</v>
      </c>
      <c r="T408" s="5" t="e">
        <f ca="1">IF(OR(INDEX($AI$2:$AI$1001,MATCH(ROWS($AH$2:AH408),$AH$2:$AH$1001,0),1)&gt;=100000,INDEX($AO$1005:$BQ$1005,1,MATCH(COLUMNS($AO$1006:BG1006),$AO$1006:$BQ$1006,0))&gt;=100000), " ",IF(INDEX($AO$2:$BQ$1001,MATCH(ROWS($AH$2:AH408),$AH$2:$AH$1001,0),MATCH(COLUMNS($AO$1006:BG1006),$AO$1006:$BQ$1006,0)), HYPERLINK("#",""), HYPERLINK(CONCATENATE("#Metadata!", ADDRESS(INDEX($AJ$2:$AJ$1001,MATCH(ROWS($AH$2:AH408),$AH$2:$AH$1001,0),0), INDEX($AO$1004:$BQ$1004,1,MATCH(COLUMNS($AO$1006:BG1006),$AO$1006:$BQ$1006,0)))),"Fix")))</f>
        <v>#N/A</v>
      </c>
      <c r="U408" s="5" t="e">
        <f ca="1">IF(OR(INDEX($AI$2:$AI$1001,MATCH(ROWS($AH$2:AH408),$AH$2:$AH$1001,0),1)&gt;=100000,INDEX($AO$1005:$BQ$1005,1,MATCH(COLUMNS($AO$1006:BH1006),$AO$1006:$BQ$1006,0))&gt;=100000), " ",IF(INDEX($AO$2:$BQ$1001,MATCH(ROWS($AH$2:AH408),$AH$2:$AH$1001,0),MATCH(COLUMNS($AO$1006:BH1006),$AO$1006:$BQ$1006,0)), HYPERLINK("#",""), HYPERLINK(CONCATENATE("#Metadata!", ADDRESS(INDEX($AJ$2:$AJ$1001,MATCH(ROWS($AH$2:AH408),$AH$2:$AH$1001,0),0), INDEX($AO$1004:$BQ$1004,1,MATCH(COLUMNS($AO$1006:BH1006),$AO$1006:$BQ$1006,0)))),"Fix")))</f>
        <v>#N/A</v>
      </c>
      <c r="V408" s="5" t="e">
        <f ca="1">IF(OR(INDEX($AI$2:$AI$1001,MATCH(ROWS($AH$2:AH408),$AH$2:$AH$1001,0),1)&gt;=100000,INDEX($AO$1005:$BQ$1005,1,MATCH(COLUMNS($AO$1006:BI1006),$AO$1006:$BQ$1006,0))&gt;=100000), " ",IF(INDEX($AO$2:$BQ$1001,MATCH(ROWS($AH$2:AH408),$AH$2:$AH$1001,0),MATCH(COLUMNS($AO$1006:BI1006),$AO$1006:$BQ$1006,0)), HYPERLINK("#",""), HYPERLINK(CONCATENATE("#Metadata!", ADDRESS(INDEX($AJ$2:$AJ$1001,MATCH(ROWS($AH$2:AH408),$AH$2:$AH$1001,0),0), INDEX($AO$1004:$BQ$1004,1,MATCH(COLUMNS($AO$1006:BI1006),$AO$1006:$BQ$1006,0)))),"Fix")))</f>
        <v>#N/A</v>
      </c>
      <c r="W408" s="5" t="e">
        <f ca="1">IF(OR(INDEX($AI$2:$AI$1001,MATCH(ROWS($AH$2:AH408),$AH$2:$AH$1001,0),1)&gt;=100000,INDEX($AO$1005:$BQ$1005,1,MATCH(COLUMNS($AO$1006:BJ1006),$AO$1006:$BQ$1006,0))&gt;=100000), " ",IF(INDEX($AO$2:$BQ$1001,MATCH(ROWS($AH$2:AH408),$AH$2:$AH$1001,0),MATCH(COLUMNS($AO$1006:BJ1006),$AO$1006:$BQ$1006,0)), HYPERLINK("#",""), HYPERLINK(CONCATENATE("#Metadata!", ADDRESS(INDEX($AJ$2:$AJ$1001,MATCH(ROWS($AH$2:AH408),$AH$2:$AH$1001,0),0), INDEX($AO$1004:$BQ$1004,1,MATCH(COLUMNS($AO$1006:BJ1006),$AO$1006:$BQ$1006,0)))),"Fix")))</f>
        <v>#N/A</v>
      </c>
      <c r="X408" s="5" t="e">
        <f ca="1">IF(OR(INDEX($AI$2:$AI$1001,MATCH(ROWS($AH$2:AH408),$AH$2:$AH$1001,0),1)&gt;=100000,INDEX($AO$1005:$BQ$1005,1,MATCH(COLUMNS($AO$1006:BK1006),$AO$1006:$BQ$1006,0))&gt;=100000), " ",IF(INDEX($AO$2:$BQ$1001,MATCH(ROWS($AH$2:AH408),$AH$2:$AH$1001,0),MATCH(COLUMNS($AO$1006:BK1006),$AO$1006:$BQ$1006,0)), HYPERLINK("#",""), HYPERLINK(CONCATENATE("#Metadata!", ADDRESS(INDEX($AJ$2:$AJ$1001,MATCH(ROWS($AH$2:AH408),$AH$2:$AH$1001,0),0), INDEX($AO$1004:$BQ$1004,1,MATCH(COLUMNS($AO$1006:BK1006),$AO$1006:$BQ$1006,0)))),"Fix")))</f>
        <v>#N/A</v>
      </c>
      <c r="Y408" s="5" t="e">
        <f ca="1">IF(OR(INDEX($AI$2:$AI$1001,MATCH(ROWS($AH$2:AH408),$AH$2:$AH$1001,0),1)&gt;=100000,INDEX($AO$1005:$BQ$1005,1,MATCH(COLUMNS($AO$1006:BL1006),$AO$1006:$BQ$1006,0))&gt;=100000), " ",IF(INDEX($AO$2:$BQ$1001,MATCH(ROWS($AH$2:AH408),$AH$2:$AH$1001,0),MATCH(COLUMNS($AO$1006:BL1006),$AO$1006:$BQ$1006,0)), HYPERLINK("#",""), HYPERLINK(CONCATENATE("#Metadata!", ADDRESS(INDEX($AJ$2:$AJ$1001,MATCH(ROWS($AH$2:AH408),$AH$2:$AH$1001,0),0), INDEX($AO$1004:$BQ$1004,1,MATCH(COLUMNS($AO$1006:BL1006),$AO$1006:$BQ$1006,0)))),"Fix")))</f>
        <v>#N/A</v>
      </c>
      <c r="Z408" s="5" t="e">
        <f ca="1">IF(OR(INDEX($AI$2:$AI$1001,MATCH(ROWS($AH$2:AH408),$AH$2:$AH$1001,0),1)&gt;=100000,INDEX($AO$1005:$BQ$1005,1,MATCH(COLUMNS($AO$1006:BM1006),$AO$1006:$BQ$1006,0))&gt;=100000), " ",IF(INDEX($AO$2:$BQ$1001,MATCH(ROWS($AH$2:AH408),$AH$2:$AH$1001,0),MATCH(COLUMNS($AO$1006:BM1006),$AO$1006:$BQ$1006,0)), HYPERLINK("#",""), HYPERLINK(CONCATENATE("#Metadata!", ADDRESS(INDEX($AJ$2:$AJ$1001,MATCH(ROWS($AH$2:AH408),$AH$2:$AH$1001,0),0), INDEX($AO$1004:$BQ$1004,1,MATCH(COLUMNS($AO$1006:BM1006),$AO$1006:$BQ$1006,0)))),"Fix")))</f>
        <v>#N/A</v>
      </c>
      <c r="AA408" s="5" t="e">
        <f ca="1">IF(OR(INDEX($AI$2:$AI$1001,MATCH(ROWS($AH$2:AH408),$AH$2:$AH$1001,0),1)&gt;=100000,INDEX($AO$1005:$BQ$1005,1,MATCH(COLUMNS($AO$1006:BN1006),$AO$1006:$BQ$1006,0))&gt;=100000), " ",IF(INDEX($AO$2:$BQ$1001,MATCH(ROWS($AH$2:AH408),$AH$2:$AH$1001,0),MATCH(COLUMNS($AO$1006:BN1006),$AO$1006:$BQ$1006,0)), HYPERLINK("#",""), HYPERLINK(CONCATENATE("#Metadata!", ADDRESS(INDEX($AJ$2:$AJ$1001,MATCH(ROWS($AH$2:AH408),$AH$2:$AH$1001,0),0), INDEX($AO$1004:$BQ$1004,1,MATCH(COLUMNS($AO$1006:BN1006),$AO$1006:$BQ$1006,0)))),"Fix")))</f>
        <v>#N/A</v>
      </c>
      <c r="AB408" s="5" t="e">
        <f ca="1">IF(OR(INDEX($AI$2:$AI$1001,MATCH(ROWS($AH$2:AH408),$AH$2:$AH$1001,0),1)&gt;=100000,INDEX($AO$1005:$BQ$1005,1,MATCH(COLUMNS($AO$1006:BO1006),$AO$1006:$BQ$1006,0))&gt;=100000), " ",IF(INDEX($AO$2:$BQ$1001,MATCH(ROWS($AH$2:AH408),$AH$2:$AH$1001,0),MATCH(COLUMNS($AO$1006:BO1006),$AO$1006:$BQ$1006,0)), HYPERLINK("#",""), HYPERLINK(CONCATENATE("#Metadata!", ADDRESS(INDEX($AJ$2:$AJ$1001,MATCH(ROWS($AH$2:AH408),$AH$2:$AH$1001,0),0), INDEX($AO$1004:$BQ$1004,1,MATCH(COLUMNS($AO$1006:BO1006),$AO$1006:$BQ$1006,0)))),"Fix")))</f>
        <v>#N/A</v>
      </c>
      <c r="AC408" s="5" t="e">
        <f ca="1">IF(OR(INDEX($AI$2:$AI$1001,MATCH(ROWS($AH$2:AH408),$AH$2:$AH$1001,0),1)&gt;=100000,INDEX($AO$1005:$BQ$1005,1,MATCH(COLUMNS($AO$1006:BP1006),$AO$1006:$BQ$1006,0))&gt;=100000), " ",IF(INDEX($AO$2:$BQ$1001,MATCH(ROWS($AH$2:AH408),$AH$2:$AH$1001,0),MATCH(COLUMNS($AO$1006:BP1006),$AO$1006:$BQ$1006,0)), HYPERLINK("#",""), HYPERLINK(CONCATENATE("#Metadata!", ADDRESS(INDEX($AJ$2:$AJ$1001,MATCH(ROWS($AH$2:AH408),$AH$2:$AH$1001,0),0), INDEX($AO$1004:$BQ$1004,1,MATCH(COLUMNS($AO$1006:BP1006),$AO$1006:$BQ$1006,0)))),"Fix")))</f>
        <v>#N/A</v>
      </c>
      <c r="AD408" s="5" t="e">
        <f ca="1">IF(OR(INDEX($AI$2:$AI$1001,MATCH(ROWS($AH$2:AH408),$AH$2:$AH$1001,0),1)&gt;=100000,INDEX($AO$1005:$BQ$1005,1,MATCH(COLUMNS($AO$1006:BQ1006),$AO$1006:$BQ$1006,0))&gt;=100000), " ",IF(INDEX($AO$2:$BQ$1001,MATCH(ROWS($AH$2:AH408),$AH$2:$AH$1001,0),MATCH(COLUMNS($AO$1006:BQ1006),$AO$1006:$BQ$1006,0)), HYPERLINK("#",""), HYPERLINK(CONCATENATE("#Metadata!", ADDRESS(INDEX($AJ$2:$AJ$1001,MATCH(ROWS($AH$2:AH408),$AH$2:$AH$1001,0),0), INDEX($AO$1004:$BQ$1004,1,MATCH(COLUMNS($AO$1006:BQ1006),$AO$1006:$BQ$1006,0)))),"Fix")))</f>
        <v>#REF!</v>
      </c>
      <c r="AH408">
        <f ca="1"/>
        <v>405</v>
      </c>
      <c r="AI408">
        <v>100408</v>
      </c>
      <c r="AJ408">
        <v>408</v>
      </c>
      <c r="AK408" t="b">
        <f t="shared" si="6"/>
        <v>1</v>
      </c>
      <c r="AL408" t="b">
        <f>COUNTBLANK(Metadata!B408:AD408)=COLUMNS(Metadata!B408:AD408)</f>
        <v>1</v>
      </c>
      <c r="AM408" t="str">
        <v/>
      </c>
      <c r="AO408" t="b">
        <f ca="1">AND(IF(Metadata!B408="",FALSE,TRUE),COUNTIF(Metadata!B:B, Metadata!B408) = 1,NOT(ISERROR(SUMPRODUCT(SEARCH(MID(Metadata!B408,ROW(INDIRECT("1:"&amp;LEN(Metadata!B408))), 1),"0123456789abcdefghijklmnopqrstuvwxyzABCDEFGHIJKLMNOPQRSTUVWXYZ.")))))</f>
        <v>0</v>
      </c>
      <c r="AP408" t="b">
        <f>IF(Metadata!C408="",FALSE,TRUE)</f>
        <v>0</v>
      </c>
      <c r="AQ408" t="b">
        <f>IF(Metadata!D408="",FALSE,TRUE)</f>
        <v>0</v>
      </c>
      <c r="AR408" t="b">
        <f ca="1">OR(AND(IF(Metadata!E408="",FALSE,TRUE),OR(EXACT(Metadata!E408,"not collected"),EXACT(Metadata!E408,"not provided"),EXACT(Metadata!E408,"restricted access"))),AND(IF(Metadata!E408="",FALSE,TRUE),AND(AND(IFERROR(INT(LEFT(Metadata!E408,4))&gt;1900,FALSE),IFERROR(INT(LEFT(Metadata!E408,4))&lt;=YEAR(NOW()),FALSE)), OR(MID(Metadata!E408,5,1)="", AND(AND(MID(Metadata!E408,5,1)="-",IFERROR(INT(MID(Metadata!E408,6,1))&gt;=0,FALSE),IFERROR(INT(MID(Metadata!E408,6,1))&lt;=1,FALSE),NOT(MID(Metadata!E408,7,1)=""),IFERROR(INT(MID(Metadata!E408,6,2))&gt;=1,FALSE),IFERROR(INT(MID(Metadata!E408,6,2))&lt;=12,FALSE)), OR(MID(Metadata!E408,8,1)="", AND(AND(MID(Metadata!E408,8,1)="-",IFERROR(INT(MID(Metadata!E408,9,1))&gt;=0,FALSE),IFERROR(INT(MID(Metadata!E408,9,1))&lt;=3,FALSE),NOT(MID(Metadata!E408,10,1)=""),IFERROR(INT(MID(Metadata!E408,9,2))&gt;=1,FALSE),IFERROR(INT(MID(Metadata!E408,9,2))&lt;=31,FALSE)), OR(MID(Metadata!E408,11,1)="", AND(AND(MID(Metadata!E408,11,1)=" ",IFERROR(INT(MID(Metadata!E408,12,1))&gt;=0,FALSE),IFERROR(INT(MID(Metadata!E408,12,1))&lt;=2,FALSE),NOT(MID(Metadata!E408,13,1)=""),IFERROR(INT(MID(Metadata!E408,12,2))&gt;=0,FALSE),IFERROR(INT(MID(Metadata!E408,12,2))&lt;=23,FALSE)), OR(MID(Metadata!E408,14,1)="", AND(AND(MID(Metadata!E408,14,1)=":",IFERROR(INT(MID(Metadata!E408,15,1))&gt;=0,FALSE),IFERROR(INT(MID(Metadata!E408,15,1))&lt;=5,FALSE),NOT(MID(Metadata!E408,16,1)=""),IFERROR(INT(MID(Metadata!E408,15,2))&gt;=0,FALSE),IFERROR(INT(MID(Metadata!E408,15,2))&lt;=59,FALSE)), OR(MID(Metadata!E408,17,1)="", AND(AND(MID(Metadata!E408,17,1)=":",IFERROR(INT(MID(Metadata!E408,18,1))&gt;=0,FALSE),IFERROR(INT(MID(Metadata!E408,18,1))&lt;=5,FALSE),NOT(MID(Metadata!E408,19,1)=""),IFERROR(INT(MID(Metadata!E408,18,2))&gt;=0,FALSE),IFERROR(INT(MID(Metadata!E408,18,2))&lt;=59,FALSE)), LEN(Metadata!E408)&lt;=19)))))))))))))</f>
        <v>0</v>
      </c>
      <c r="AS408" t="b">
        <f>IF(Metadata!F408="",FALSE,TRUE)</f>
        <v>0</v>
      </c>
      <c r="AT408" t="b">
        <f>OR(AND(IF(Metadata!G408="",FALSE,TRUE),OR(EXACT(Metadata!G408,"not collected"),EXACT(Metadata!G408,"not provided"))),AND(IF(Metadata!G408="",FALSE,TRUE),OR(EXACT(Metadata!G408,"TRUE"),EXACT(Metadata!G408,"FALSE"))))</f>
        <v>0</v>
      </c>
      <c r="AU408" t="b">
        <f>OR(AND(IF(Metadata!H408="",FALSE,TRUE),OR(EXACT(Metadata!H408,"not collected"),EXACT(Metadata!H408,"not provided"),EXACT(Metadata!H408,"restricted access"))),AND(IF(Metadata!H408="",FALSE,ISNUMBER(VALUE(Metadata!H408))),Metadata!H408&gt;=-413))</f>
        <v>0</v>
      </c>
      <c r="AV408" t="b">
        <f>AND(IF(Metadata!I408="",FALSE,TRUE),EXACT(Metadata!I408,"meters"))</f>
        <v>0</v>
      </c>
      <c r="AW408" t="b">
        <f>AND(IF(Metadata!J408="",FALSE,TRUE),EXACT(Metadata!J408,"free-living"))</f>
        <v>0</v>
      </c>
      <c r="AX408" t="b">
        <f>AND(IF(Metadata!K408="",FALSE,TRUE),OR(EXACT(Metadata!K408,"saline"),EXACT(Metadata!K408,"non-saline")))</f>
        <v>0</v>
      </c>
      <c r="AY408" t="b">
        <f>AND(IF(Metadata!L408="",FALSE,TRUE),OR(EXACT(Metadata!L408,"sub-surface (non-saline)"),EXACT(Metadata!L408,"surface (non-saline)"),EXACT(Metadata!L408,"water (non-saline)"),EXACT(Metadata!L408,"soil (non-saline)"),EXACT(Metadata!L408,"aerosol (non-saline)"),EXACT(Metadata!L408,"sediment (non-saline)"),EXACT(Metadata!L408,"surface (saline)"),EXACT(Metadata!L408,"water (saline)"),EXACT(Metadata!L408,"hypersaline (saline)"),EXACT(Metadata!L408,"aerosol (saline)"),EXACT(Metadata!L408,"sediment (saline)")))</f>
        <v>0</v>
      </c>
      <c r="AZ408" t="b">
        <f>IF(Metadata!M408="",FALSE,TRUE)</f>
        <v>0</v>
      </c>
      <c r="BA408" t="b">
        <f>IF(Metadata!N408="",FALSE,TRUE)</f>
        <v>0</v>
      </c>
      <c r="BB408" t="b">
        <f>IF(Metadata!O408="",FALSE,TRUE)</f>
        <v>0</v>
      </c>
      <c r="BC408" t="b">
        <f>AND(IF(Metadata!P408="",FALSE,TRUE),OR(EXACT(Metadata!P408,"air"),EXACT(Metadata!P408,"microbial mat/biofilm"),EXACT(Metadata!P408,"misc environment"),EXACT(Metadata!P408,"sediment"),EXACT(Metadata!P408,"soil"),EXACT(Metadata!P408,"wastewater/sludge"),EXACT(Metadata!P408,"water")))</f>
        <v>0</v>
      </c>
      <c r="BD408" t="b">
        <f>IF(Metadata!Q408="",FALSE,TRUE)</f>
        <v>0</v>
      </c>
      <c r="BE408" t="b">
        <f>IF(Metadata!R408="",FALSE,TRUE)</f>
        <v>0</v>
      </c>
      <c r="BF408" t="b">
        <f>OR(AND(IF(Metadata!S408="",FALSE,TRUE),OR(EXACT(Metadata!S408,"not collected"),EXACT(Metadata!S408,"not provided"),EXACT(Metadata!S408,"restricted access"))),AND(IF(Metadata!S408="",FALSE,ISNUMBER(VALUE(Metadata!S408))),Metadata!S408&gt;=-90,Metadata!S408&lt;=90))</f>
        <v>0</v>
      </c>
      <c r="BG408" t="b">
        <f>AND(IF(Metadata!T408="",FALSE,TRUE),EXACT(Metadata!T408,"Decimal degrees"))</f>
        <v>0</v>
      </c>
      <c r="BH408" t="b">
        <f>OR(AND(IF(Metadata!U408="",FALSE,TRUE),OR(EXACT(Metadata!U408,"not applicable"),EXACT(Metadata!U408,"not collected"))),IF(Metadata!U408="",FALSE,TRUE))</f>
        <v>0</v>
      </c>
      <c r="BI408" t="b">
        <f>OR(AND(IF(Metadata!V408="",FALSE,TRUE),OR(EXACT(Metadata!V408,"not collected"),EXACT(Metadata!V408,"not provided"),EXACT(Metadata!V408,"restricted access"))),AND(IF(Metadata!V408="",FALSE,ISNUMBER(VALUE(Metadata!V408))),Metadata!V408&gt;=-180,Metadata!V408&lt;=180))</f>
        <v>0</v>
      </c>
      <c r="BJ408" t="b">
        <f>AND(IF(Metadata!W408="",FALSE,TRUE),EXACT(Metadata!W408,"Decimal degrees"))</f>
        <v>0</v>
      </c>
      <c r="BK408" t="b">
        <f>IF(Metadata!X408="",FALSE,TRUE)</f>
        <v>0</v>
      </c>
      <c r="BL408" t="b">
        <f>OR(AND(IF(Metadata!Y408="",FALSE,TRUE),OR(EXACT(Metadata!Y408,"not collected"),EXACT(Metadata!Y408,"not provided"),EXACT(Metadata!Y408,"restricted access"))),AND(IF(Metadata!Y408="",FALSE,TRUE),OR(EXACT(Metadata!Y408,"TRUE"),EXACT(Metadata!Y408,"FALSE"))))</f>
        <v>0</v>
      </c>
      <c r="BM408" t="b">
        <f>OR(AND(IF(Metadata!Z408="",FALSE,TRUE),EXACT(Metadata!Z408,"not applicable")),AND(IF(Metadata!Z408="",FALSE,TRUE),OR(EXACT(Metadata!Z408,"beer"),EXACT(Metadata!Z408,"cheese"),EXACT(Metadata!Z408,"fresh water"),EXACT(Metadata!Z408,"marine sediment"),EXACT(Metadata!Z408,"sea water"),EXACT(Metadata!Z408,"sediment"),EXACT(Metadata!Z408,"soil"),EXACT(Metadata!Z408,"waste water"))))</f>
        <v>0</v>
      </c>
      <c r="BN408" t="b">
        <f>AND(IF(Metadata!AA408="",FALSE,TRUE),EXACT(Metadata!AA408,"metagenome"))</f>
        <v>0</v>
      </c>
      <c r="BO408" t="b">
        <f>AND(IF(Metadata!AB408="",FALSE,TRUE),EXACT(Metadata!AB408,"256318"))</f>
        <v>0</v>
      </c>
      <c r="BP408" t="b">
        <f>IF(Metadata!AC408="",FALSE,TRUE)</f>
        <v>0</v>
      </c>
      <c r="BQ408" t="b">
        <f>IF(Metadata!AD408="",FALSE,TRUE)</f>
        <v>0</v>
      </c>
    </row>
    <row r="409" spans="1:69" x14ac:dyDescent="0.2">
      <c r="A409" s="4" t="e">
        <f ca="1">IF(B409=" "," ",HYPERLINK(CONCATENATE("#metadata!",ADDRESS(INDEX($AJ$2:$AJ$1001,MATCH(ROWS($AH$2:AH409),$AH$2:$AH$1001,0),0),2)),INDEX($AM$2:$AM$1001,MATCH(ROWS($AH$2:AH409),$AH$2:$AH$1001,0),0)))</f>
        <v>#N/A</v>
      </c>
      <c r="B409" s="5" t="e">
        <f ca="1">IF(OR(INDEX($AI$2:$AI$1001,MATCH(ROWS($AH$2:AH409),$AH$2:$AH$1001,0),1)&gt;=100000,INDEX($AO$1005:$BQ$1005,1,MATCH(COLUMNS($AO$1006:AO1006),$AO$1006:$BQ$1006,0))&gt;=100000), " ",IF(INDEX($AO$2:$BQ$1001,MATCH(ROWS($AH$2:AH409),$AH$2:$AH$1001,0),MATCH(COLUMNS($AO$1006:AO1006),$AO$1006:$BQ$1006,0)), HYPERLINK("#",""), HYPERLINK(CONCATENATE("#Metadata!", ADDRESS(INDEX($AJ$2:$AJ$1001,MATCH(ROWS($AH$2:AH409),$AH$2:$AH$1001,0),0), INDEX($AO$1004:$BQ$1004,1,MATCH(COLUMNS($AO$1006:AO1006),$AO$1006:$BQ$1006,0)))),"Fix")))</f>
        <v>#N/A</v>
      </c>
      <c r="C409" s="5" t="e">
        <f ca="1">IF(OR(INDEX($AI$2:$AI$1001,MATCH(ROWS($AH$2:AH409),$AH$2:$AH$1001,0),1)&gt;=100000,INDEX($AO$1005:$BQ$1005,1,MATCH(COLUMNS($AO$1006:AP1006),$AO$1006:$BQ$1006,0))&gt;=100000), " ",IF(INDEX($AO$2:$BQ$1001,MATCH(ROWS($AH$2:AH409),$AH$2:$AH$1001,0),MATCH(COLUMNS($AO$1006:AP1006),$AO$1006:$BQ$1006,0)), HYPERLINK("#",""), HYPERLINK(CONCATENATE("#Metadata!", ADDRESS(INDEX($AJ$2:$AJ$1001,MATCH(ROWS($AH$2:AH409),$AH$2:$AH$1001,0),0), INDEX($AO$1004:$BQ$1004,1,MATCH(COLUMNS($AO$1006:AP1006),$AO$1006:$BQ$1006,0)))),"Fix")))</f>
        <v>#N/A</v>
      </c>
      <c r="D409" s="5" t="e">
        <f ca="1">IF(OR(INDEX($AI$2:$AI$1001,MATCH(ROWS($AH$2:AH409),$AH$2:$AH$1001,0),1)&gt;=100000,INDEX($AO$1005:$BQ$1005,1,MATCH(COLUMNS($AO$1006:AQ1006),$AO$1006:$BQ$1006,0))&gt;=100000), " ",IF(INDEX($AO$2:$BQ$1001,MATCH(ROWS($AH$2:AH409),$AH$2:$AH$1001,0),MATCH(COLUMNS($AO$1006:AQ1006),$AO$1006:$BQ$1006,0)), HYPERLINK("#",""), HYPERLINK(CONCATENATE("#Metadata!", ADDRESS(INDEX($AJ$2:$AJ$1001,MATCH(ROWS($AH$2:AH409),$AH$2:$AH$1001,0),0), INDEX($AO$1004:$BQ$1004,1,MATCH(COLUMNS($AO$1006:AQ1006),$AO$1006:$BQ$1006,0)))),"Fix")))</f>
        <v>#N/A</v>
      </c>
      <c r="E409" s="5" t="e">
        <f ca="1">IF(OR(INDEX($AI$2:$AI$1001,MATCH(ROWS($AH$2:AH409),$AH$2:$AH$1001,0),1)&gt;=100000,INDEX($AO$1005:$BQ$1005,1,MATCH(COLUMNS($AO$1006:AR1006),$AO$1006:$BQ$1006,0))&gt;=100000), " ",IF(INDEX($AO$2:$BQ$1001,MATCH(ROWS($AH$2:AH409),$AH$2:$AH$1001,0),MATCH(COLUMNS($AO$1006:AR1006),$AO$1006:$BQ$1006,0)), HYPERLINK("#",""), HYPERLINK(CONCATENATE("#Metadata!", ADDRESS(INDEX($AJ$2:$AJ$1001,MATCH(ROWS($AH$2:AH409),$AH$2:$AH$1001,0),0), INDEX($AO$1004:$BQ$1004,1,MATCH(COLUMNS($AO$1006:AR1006),$AO$1006:$BQ$1006,0)))),"Fix")))</f>
        <v>#N/A</v>
      </c>
      <c r="F409" s="5" t="e">
        <f ca="1">IF(OR(INDEX($AI$2:$AI$1001,MATCH(ROWS($AH$2:AH409),$AH$2:$AH$1001,0),1)&gt;=100000,INDEX($AO$1005:$BQ$1005,1,MATCH(COLUMNS($AO$1006:AS1006),$AO$1006:$BQ$1006,0))&gt;=100000), " ",IF(INDEX($AO$2:$BQ$1001,MATCH(ROWS($AH$2:AH409),$AH$2:$AH$1001,0),MATCH(COLUMNS($AO$1006:AS1006),$AO$1006:$BQ$1006,0)), HYPERLINK("#",""), HYPERLINK(CONCATENATE("#Metadata!", ADDRESS(INDEX($AJ$2:$AJ$1001,MATCH(ROWS($AH$2:AH409),$AH$2:$AH$1001,0),0), INDEX($AO$1004:$BQ$1004,1,MATCH(COLUMNS($AO$1006:AS1006),$AO$1006:$BQ$1006,0)))),"Fix")))</f>
        <v>#N/A</v>
      </c>
      <c r="G409" s="5" t="e">
        <f ca="1">IF(OR(INDEX($AI$2:$AI$1001,MATCH(ROWS($AH$2:AH409),$AH$2:$AH$1001,0),1)&gt;=100000,INDEX($AO$1005:$BQ$1005,1,MATCH(COLUMNS($AO$1006:AT1006),$AO$1006:$BQ$1006,0))&gt;=100000), " ",IF(INDEX($AO$2:$BQ$1001,MATCH(ROWS($AH$2:AH409),$AH$2:$AH$1001,0),MATCH(COLUMNS($AO$1006:AT1006),$AO$1006:$BQ$1006,0)), HYPERLINK("#",""), HYPERLINK(CONCATENATE("#Metadata!", ADDRESS(INDEX($AJ$2:$AJ$1001,MATCH(ROWS($AH$2:AH409),$AH$2:$AH$1001,0),0), INDEX($AO$1004:$BQ$1004,1,MATCH(COLUMNS($AO$1006:AT1006),$AO$1006:$BQ$1006,0)))),"Fix")))</f>
        <v>#N/A</v>
      </c>
      <c r="H409" s="5" t="e">
        <f ca="1">IF(OR(INDEX($AI$2:$AI$1001,MATCH(ROWS($AH$2:AH409),$AH$2:$AH$1001,0),1)&gt;=100000,INDEX($AO$1005:$BQ$1005,1,MATCH(COLUMNS($AO$1006:AU1006),$AO$1006:$BQ$1006,0))&gt;=100000), " ",IF(INDEX($AO$2:$BQ$1001,MATCH(ROWS($AH$2:AH409),$AH$2:$AH$1001,0),MATCH(COLUMNS($AO$1006:AU1006),$AO$1006:$BQ$1006,0)), HYPERLINK("#",""), HYPERLINK(CONCATENATE("#Metadata!", ADDRESS(INDEX($AJ$2:$AJ$1001,MATCH(ROWS($AH$2:AH409),$AH$2:$AH$1001,0),0), INDEX($AO$1004:$BQ$1004,1,MATCH(COLUMNS($AO$1006:AU1006),$AO$1006:$BQ$1006,0)))),"Fix")))</f>
        <v>#N/A</v>
      </c>
      <c r="I409" s="5" t="e">
        <f ca="1">IF(OR(INDEX($AI$2:$AI$1001,MATCH(ROWS($AH$2:AH409),$AH$2:$AH$1001,0),1)&gt;=100000,INDEX($AO$1005:$BQ$1005,1,MATCH(COLUMNS($AO$1006:AV1006),$AO$1006:$BQ$1006,0))&gt;=100000), " ",IF(INDEX($AO$2:$BQ$1001,MATCH(ROWS($AH$2:AH409),$AH$2:$AH$1001,0),MATCH(COLUMNS($AO$1006:AV1006),$AO$1006:$BQ$1006,0)), HYPERLINK("#",""), HYPERLINK(CONCATENATE("#Metadata!", ADDRESS(INDEX($AJ$2:$AJ$1001,MATCH(ROWS($AH$2:AH409),$AH$2:$AH$1001,0),0), INDEX($AO$1004:$BQ$1004,1,MATCH(COLUMNS($AO$1006:AV1006),$AO$1006:$BQ$1006,0)))),"Fix")))</f>
        <v>#N/A</v>
      </c>
      <c r="J409" s="5" t="e">
        <f ca="1">IF(OR(INDEX($AI$2:$AI$1001,MATCH(ROWS($AH$2:AH409),$AH$2:$AH$1001,0),1)&gt;=100000,INDEX($AO$1005:$BQ$1005,1,MATCH(COLUMNS($AO$1006:AW1006),$AO$1006:$BQ$1006,0))&gt;=100000), " ",IF(INDEX($AO$2:$BQ$1001,MATCH(ROWS($AH$2:AH409),$AH$2:$AH$1001,0),MATCH(COLUMNS($AO$1006:AW1006),$AO$1006:$BQ$1006,0)), HYPERLINK("#",""), HYPERLINK(CONCATENATE("#Metadata!", ADDRESS(INDEX($AJ$2:$AJ$1001,MATCH(ROWS($AH$2:AH409),$AH$2:$AH$1001,0),0), INDEX($AO$1004:$BQ$1004,1,MATCH(COLUMNS($AO$1006:AW1006),$AO$1006:$BQ$1006,0)))),"Fix")))</f>
        <v>#N/A</v>
      </c>
      <c r="K409" s="5" t="e">
        <f ca="1">IF(OR(INDEX($AI$2:$AI$1001,MATCH(ROWS($AH$2:AH409),$AH$2:$AH$1001,0),1)&gt;=100000,INDEX($AO$1005:$BQ$1005,1,MATCH(COLUMNS($AO$1006:AX1006),$AO$1006:$BQ$1006,0))&gt;=100000), " ",IF(INDEX($AO$2:$BQ$1001,MATCH(ROWS($AH$2:AH409),$AH$2:$AH$1001,0),MATCH(COLUMNS($AO$1006:AX1006),$AO$1006:$BQ$1006,0)), HYPERLINK("#",""), HYPERLINK(CONCATENATE("#Metadata!", ADDRESS(INDEX($AJ$2:$AJ$1001,MATCH(ROWS($AH$2:AH409),$AH$2:$AH$1001,0),0), INDEX($AO$1004:$BQ$1004,1,MATCH(COLUMNS($AO$1006:AX1006),$AO$1006:$BQ$1006,0)))),"Fix")))</f>
        <v>#N/A</v>
      </c>
      <c r="L409" s="5" t="e">
        <f ca="1">IF(OR(INDEX($AI$2:$AI$1001,MATCH(ROWS($AH$2:AH409),$AH$2:$AH$1001,0),1)&gt;=100000,INDEX($AO$1005:$BQ$1005,1,MATCH(COLUMNS($AO$1006:AY1006),$AO$1006:$BQ$1006,0))&gt;=100000), " ",IF(INDEX($AO$2:$BQ$1001,MATCH(ROWS($AH$2:AH409),$AH$2:$AH$1001,0),MATCH(COLUMNS($AO$1006:AY1006),$AO$1006:$BQ$1006,0)), HYPERLINK("#",""), HYPERLINK(CONCATENATE("#Metadata!", ADDRESS(INDEX($AJ$2:$AJ$1001,MATCH(ROWS($AH$2:AH409),$AH$2:$AH$1001,0),0), INDEX($AO$1004:$BQ$1004,1,MATCH(COLUMNS($AO$1006:AY1006),$AO$1006:$BQ$1006,0)))),"Fix")))</f>
        <v>#N/A</v>
      </c>
      <c r="M409" s="5" t="e">
        <f ca="1">IF(OR(INDEX($AI$2:$AI$1001,MATCH(ROWS($AH$2:AH409),$AH$2:$AH$1001,0),1)&gt;=100000,INDEX($AO$1005:$BQ$1005,1,MATCH(COLUMNS($AO$1006:AZ1006),$AO$1006:$BQ$1006,0))&gt;=100000), " ",IF(INDEX($AO$2:$BQ$1001,MATCH(ROWS($AH$2:AH409),$AH$2:$AH$1001,0),MATCH(COLUMNS($AO$1006:AZ1006),$AO$1006:$BQ$1006,0)), HYPERLINK("#",""), HYPERLINK(CONCATENATE("#Metadata!", ADDRESS(INDEX($AJ$2:$AJ$1001,MATCH(ROWS($AH$2:AH409),$AH$2:$AH$1001,0),0), INDEX($AO$1004:$BQ$1004,1,MATCH(COLUMNS($AO$1006:AZ1006),$AO$1006:$BQ$1006,0)))),"Fix")))</f>
        <v>#N/A</v>
      </c>
      <c r="N409" s="5" t="e">
        <f ca="1">IF(OR(INDEX($AI$2:$AI$1001,MATCH(ROWS($AH$2:AH409),$AH$2:$AH$1001,0),1)&gt;=100000,INDEX($AO$1005:$BQ$1005,1,MATCH(COLUMNS($AO$1006:BA1006),$AO$1006:$BQ$1006,0))&gt;=100000), " ",IF(INDEX($AO$2:$BQ$1001,MATCH(ROWS($AH$2:AH409),$AH$2:$AH$1001,0),MATCH(COLUMNS($AO$1006:BA1006),$AO$1006:$BQ$1006,0)), HYPERLINK("#",""), HYPERLINK(CONCATENATE("#Metadata!", ADDRESS(INDEX($AJ$2:$AJ$1001,MATCH(ROWS($AH$2:AH409),$AH$2:$AH$1001,0),0), INDEX($AO$1004:$BQ$1004,1,MATCH(COLUMNS($AO$1006:BA1006),$AO$1006:$BQ$1006,0)))),"Fix")))</f>
        <v>#N/A</v>
      </c>
      <c r="O409" s="5" t="e">
        <f ca="1">IF(OR(INDEX($AI$2:$AI$1001,MATCH(ROWS($AH$2:AH409),$AH$2:$AH$1001,0),1)&gt;=100000,INDEX($AO$1005:$BQ$1005,1,MATCH(COLUMNS($AO$1006:BB1006),$AO$1006:$BQ$1006,0))&gt;=100000), " ",IF(INDEX($AO$2:$BQ$1001,MATCH(ROWS($AH$2:AH409),$AH$2:$AH$1001,0),MATCH(COLUMNS($AO$1006:BB1006),$AO$1006:$BQ$1006,0)), HYPERLINK("#",""), HYPERLINK(CONCATENATE("#Metadata!", ADDRESS(INDEX($AJ$2:$AJ$1001,MATCH(ROWS($AH$2:AH409),$AH$2:$AH$1001,0),0), INDEX($AO$1004:$BQ$1004,1,MATCH(COLUMNS($AO$1006:BB1006),$AO$1006:$BQ$1006,0)))),"Fix")))</f>
        <v>#N/A</v>
      </c>
      <c r="P409" s="5" t="e">
        <f ca="1">IF(OR(INDEX($AI$2:$AI$1001,MATCH(ROWS($AH$2:AH409),$AH$2:$AH$1001,0),1)&gt;=100000,INDEX($AO$1005:$BQ$1005,1,MATCH(COLUMNS($AO$1006:BC1006),$AO$1006:$BQ$1006,0))&gt;=100000), " ",IF(INDEX($AO$2:$BQ$1001,MATCH(ROWS($AH$2:AH409),$AH$2:$AH$1001,0),MATCH(COLUMNS($AO$1006:BC1006),$AO$1006:$BQ$1006,0)), HYPERLINK("#",""), HYPERLINK(CONCATENATE("#Metadata!", ADDRESS(INDEX($AJ$2:$AJ$1001,MATCH(ROWS($AH$2:AH409),$AH$2:$AH$1001,0),0), INDEX($AO$1004:$BQ$1004,1,MATCH(COLUMNS($AO$1006:BC1006),$AO$1006:$BQ$1006,0)))),"Fix")))</f>
        <v>#N/A</v>
      </c>
      <c r="Q409" s="5" t="e">
        <f ca="1">IF(OR(INDEX($AI$2:$AI$1001,MATCH(ROWS($AH$2:AH409),$AH$2:$AH$1001,0),1)&gt;=100000,INDEX($AO$1005:$BQ$1005,1,MATCH(COLUMNS($AO$1006:BD1006),$AO$1006:$BQ$1006,0))&gt;=100000), " ",IF(INDEX($AO$2:$BQ$1001,MATCH(ROWS($AH$2:AH409),$AH$2:$AH$1001,0),MATCH(COLUMNS($AO$1006:BD1006),$AO$1006:$BQ$1006,0)), HYPERLINK("#",""), HYPERLINK(CONCATENATE("#Metadata!", ADDRESS(INDEX($AJ$2:$AJ$1001,MATCH(ROWS($AH$2:AH409),$AH$2:$AH$1001,0),0), INDEX($AO$1004:$BQ$1004,1,MATCH(COLUMNS($AO$1006:BD1006),$AO$1006:$BQ$1006,0)))),"Fix")))</f>
        <v>#N/A</v>
      </c>
      <c r="R409" s="5" t="e">
        <f ca="1">IF(OR(INDEX($AI$2:$AI$1001,MATCH(ROWS($AH$2:AH409),$AH$2:$AH$1001,0),1)&gt;=100000,INDEX($AO$1005:$BQ$1005,1,MATCH(COLUMNS($AO$1006:BE1006),$AO$1006:$BQ$1006,0))&gt;=100000), " ",IF(INDEX($AO$2:$BQ$1001,MATCH(ROWS($AH$2:AH409),$AH$2:$AH$1001,0),MATCH(COLUMNS($AO$1006:BE1006),$AO$1006:$BQ$1006,0)), HYPERLINK("#",""), HYPERLINK(CONCATENATE("#Metadata!", ADDRESS(INDEX($AJ$2:$AJ$1001,MATCH(ROWS($AH$2:AH409),$AH$2:$AH$1001,0),0), INDEX($AO$1004:$BQ$1004,1,MATCH(COLUMNS($AO$1006:BE1006),$AO$1006:$BQ$1006,0)))),"Fix")))</f>
        <v>#N/A</v>
      </c>
      <c r="S409" s="5" t="e">
        <f ca="1">IF(OR(INDEX($AI$2:$AI$1001,MATCH(ROWS($AH$2:AH409),$AH$2:$AH$1001,0),1)&gt;=100000,INDEX($AO$1005:$BQ$1005,1,MATCH(COLUMNS($AO$1006:BF1006),$AO$1006:$BQ$1006,0))&gt;=100000), " ",IF(INDEX($AO$2:$BQ$1001,MATCH(ROWS($AH$2:AH409),$AH$2:$AH$1001,0),MATCH(COLUMNS($AO$1006:BF1006),$AO$1006:$BQ$1006,0)), HYPERLINK("#",""), HYPERLINK(CONCATENATE("#Metadata!", ADDRESS(INDEX($AJ$2:$AJ$1001,MATCH(ROWS($AH$2:AH409),$AH$2:$AH$1001,0),0), INDEX($AO$1004:$BQ$1004,1,MATCH(COLUMNS($AO$1006:BF1006),$AO$1006:$BQ$1006,0)))),"Fix")))</f>
        <v>#N/A</v>
      </c>
      <c r="T409" s="5" t="e">
        <f ca="1">IF(OR(INDEX($AI$2:$AI$1001,MATCH(ROWS($AH$2:AH409),$AH$2:$AH$1001,0),1)&gt;=100000,INDEX($AO$1005:$BQ$1005,1,MATCH(COLUMNS($AO$1006:BG1006),$AO$1006:$BQ$1006,0))&gt;=100000), " ",IF(INDEX($AO$2:$BQ$1001,MATCH(ROWS($AH$2:AH409),$AH$2:$AH$1001,0),MATCH(COLUMNS($AO$1006:BG1006),$AO$1006:$BQ$1006,0)), HYPERLINK("#",""), HYPERLINK(CONCATENATE("#Metadata!", ADDRESS(INDEX($AJ$2:$AJ$1001,MATCH(ROWS($AH$2:AH409),$AH$2:$AH$1001,0),0), INDEX($AO$1004:$BQ$1004,1,MATCH(COLUMNS($AO$1006:BG1006),$AO$1006:$BQ$1006,0)))),"Fix")))</f>
        <v>#N/A</v>
      </c>
      <c r="U409" s="5" t="e">
        <f ca="1">IF(OR(INDEX($AI$2:$AI$1001,MATCH(ROWS($AH$2:AH409),$AH$2:$AH$1001,0),1)&gt;=100000,INDEX($AO$1005:$BQ$1005,1,MATCH(COLUMNS($AO$1006:BH1006),$AO$1006:$BQ$1006,0))&gt;=100000), " ",IF(INDEX($AO$2:$BQ$1001,MATCH(ROWS($AH$2:AH409),$AH$2:$AH$1001,0),MATCH(COLUMNS($AO$1006:BH1006),$AO$1006:$BQ$1006,0)), HYPERLINK("#",""), HYPERLINK(CONCATENATE("#Metadata!", ADDRESS(INDEX($AJ$2:$AJ$1001,MATCH(ROWS($AH$2:AH409),$AH$2:$AH$1001,0),0), INDEX($AO$1004:$BQ$1004,1,MATCH(COLUMNS($AO$1006:BH1006),$AO$1006:$BQ$1006,0)))),"Fix")))</f>
        <v>#N/A</v>
      </c>
      <c r="V409" s="5" t="e">
        <f ca="1">IF(OR(INDEX($AI$2:$AI$1001,MATCH(ROWS($AH$2:AH409),$AH$2:$AH$1001,0),1)&gt;=100000,INDEX($AO$1005:$BQ$1005,1,MATCH(COLUMNS($AO$1006:BI1006),$AO$1006:$BQ$1006,0))&gt;=100000), " ",IF(INDEX($AO$2:$BQ$1001,MATCH(ROWS($AH$2:AH409),$AH$2:$AH$1001,0),MATCH(COLUMNS($AO$1006:BI1006),$AO$1006:$BQ$1006,0)), HYPERLINK("#",""), HYPERLINK(CONCATENATE("#Metadata!", ADDRESS(INDEX($AJ$2:$AJ$1001,MATCH(ROWS($AH$2:AH409),$AH$2:$AH$1001,0),0), INDEX($AO$1004:$BQ$1004,1,MATCH(COLUMNS($AO$1006:BI1006),$AO$1006:$BQ$1006,0)))),"Fix")))</f>
        <v>#N/A</v>
      </c>
      <c r="W409" s="5" t="e">
        <f ca="1">IF(OR(INDEX($AI$2:$AI$1001,MATCH(ROWS($AH$2:AH409),$AH$2:$AH$1001,0),1)&gt;=100000,INDEX($AO$1005:$BQ$1005,1,MATCH(COLUMNS($AO$1006:BJ1006),$AO$1006:$BQ$1006,0))&gt;=100000), " ",IF(INDEX($AO$2:$BQ$1001,MATCH(ROWS($AH$2:AH409),$AH$2:$AH$1001,0),MATCH(COLUMNS($AO$1006:BJ1006),$AO$1006:$BQ$1006,0)), HYPERLINK("#",""), HYPERLINK(CONCATENATE("#Metadata!", ADDRESS(INDEX($AJ$2:$AJ$1001,MATCH(ROWS($AH$2:AH409),$AH$2:$AH$1001,0),0), INDEX($AO$1004:$BQ$1004,1,MATCH(COLUMNS($AO$1006:BJ1006),$AO$1006:$BQ$1006,0)))),"Fix")))</f>
        <v>#N/A</v>
      </c>
      <c r="X409" s="5" t="e">
        <f ca="1">IF(OR(INDEX($AI$2:$AI$1001,MATCH(ROWS($AH$2:AH409),$AH$2:$AH$1001,0),1)&gt;=100000,INDEX($AO$1005:$BQ$1005,1,MATCH(COLUMNS($AO$1006:BK1006),$AO$1006:$BQ$1006,0))&gt;=100000), " ",IF(INDEX($AO$2:$BQ$1001,MATCH(ROWS($AH$2:AH409),$AH$2:$AH$1001,0),MATCH(COLUMNS($AO$1006:BK1006),$AO$1006:$BQ$1006,0)), HYPERLINK("#",""), HYPERLINK(CONCATENATE("#Metadata!", ADDRESS(INDEX($AJ$2:$AJ$1001,MATCH(ROWS($AH$2:AH409),$AH$2:$AH$1001,0),0), INDEX($AO$1004:$BQ$1004,1,MATCH(COLUMNS($AO$1006:BK1006),$AO$1006:$BQ$1006,0)))),"Fix")))</f>
        <v>#N/A</v>
      </c>
      <c r="Y409" s="5" t="e">
        <f ca="1">IF(OR(INDEX($AI$2:$AI$1001,MATCH(ROWS($AH$2:AH409),$AH$2:$AH$1001,0),1)&gt;=100000,INDEX($AO$1005:$BQ$1005,1,MATCH(COLUMNS($AO$1006:BL1006),$AO$1006:$BQ$1006,0))&gt;=100000), " ",IF(INDEX($AO$2:$BQ$1001,MATCH(ROWS($AH$2:AH409),$AH$2:$AH$1001,0),MATCH(COLUMNS($AO$1006:BL1006),$AO$1006:$BQ$1006,0)), HYPERLINK("#",""), HYPERLINK(CONCATENATE("#Metadata!", ADDRESS(INDEX($AJ$2:$AJ$1001,MATCH(ROWS($AH$2:AH409),$AH$2:$AH$1001,0),0), INDEX($AO$1004:$BQ$1004,1,MATCH(COLUMNS($AO$1006:BL1006),$AO$1006:$BQ$1006,0)))),"Fix")))</f>
        <v>#N/A</v>
      </c>
      <c r="Z409" s="5" t="e">
        <f ca="1">IF(OR(INDEX($AI$2:$AI$1001,MATCH(ROWS($AH$2:AH409),$AH$2:$AH$1001,0),1)&gt;=100000,INDEX($AO$1005:$BQ$1005,1,MATCH(COLUMNS($AO$1006:BM1006),$AO$1006:$BQ$1006,0))&gt;=100000), " ",IF(INDEX($AO$2:$BQ$1001,MATCH(ROWS($AH$2:AH409),$AH$2:$AH$1001,0),MATCH(COLUMNS($AO$1006:BM1006),$AO$1006:$BQ$1006,0)), HYPERLINK("#",""), HYPERLINK(CONCATENATE("#Metadata!", ADDRESS(INDEX($AJ$2:$AJ$1001,MATCH(ROWS($AH$2:AH409),$AH$2:$AH$1001,0),0), INDEX($AO$1004:$BQ$1004,1,MATCH(COLUMNS($AO$1006:BM1006),$AO$1006:$BQ$1006,0)))),"Fix")))</f>
        <v>#N/A</v>
      </c>
      <c r="AA409" s="5" t="e">
        <f ca="1">IF(OR(INDEX($AI$2:$AI$1001,MATCH(ROWS($AH$2:AH409),$AH$2:$AH$1001,0),1)&gt;=100000,INDEX($AO$1005:$BQ$1005,1,MATCH(COLUMNS($AO$1006:BN1006),$AO$1006:$BQ$1006,0))&gt;=100000), " ",IF(INDEX($AO$2:$BQ$1001,MATCH(ROWS($AH$2:AH409),$AH$2:$AH$1001,0),MATCH(COLUMNS($AO$1006:BN1006),$AO$1006:$BQ$1006,0)), HYPERLINK("#",""), HYPERLINK(CONCATENATE("#Metadata!", ADDRESS(INDEX($AJ$2:$AJ$1001,MATCH(ROWS($AH$2:AH409),$AH$2:$AH$1001,0),0), INDEX($AO$1004:$BQ$1004,1,MATCH(COLUMNS($AO$1006:BN1006),$AO$1006:$BQ$1006,0)))),"Fix")))</f>
        <v>#N/A</v>
      </c>
      <c r="AB409" s="5" t="e">
        <f ca="1">IF(OR(INDEX($AI$2:$AI$1001,MATCH(ROWS($AH$2:AH409),$AH$2:$AH$1001,0),1)&gt;=100000,INDEX($AO$1005:$BQ$1005,1,MATCH(COLUMNS($AO$1006:BO1006),$AO$1006:$BQ$1006,0))&gt;=100000), " ",IF(INDEX($AO$2:$BQ$1001,MATCH(ROWS($AH$2:AH409),$AH$2:$AH$1001,0),MATCH(COLUMNS($AO$1006:BO1006),$AO$1006:$BQ$1006,0)), HYPERLINK("#",""), HYPERLINK(CONCATENATE("#Metadata!", ADDRESS(INDEX($AJ$2:$AJ$1001,MATCH(ROWS($AH$2:AH409),$AH$2:$AH$1001,0),0), INDEX($AO$1004:$BQ$1004,1,MATCH(COLUMNS($AO$1006:BO1006),$AO$1006:$BQ$1006,0)))),"Fix")))</f>
        <v>#N/A</v>
      </c>
      <c r="AC409" s="5" t="e">
        <f ca="1">IF(OR(INDEX($AI$2:$AI$1001,MATCH(ROWS($AH$2:AH409),$AH$2:$AH$1001,0),1)&gt;=100000,INDEX($AO$1005:$BQ$1005,1,MATCH(COLUMNS($AO$1006:BP1006),$AO$1006:$BQ$1006,0))&gt;=100000), " ",IF(INDEX($AO$2:$BQ$1001,MATCH(ROWS($AH$2:AH409),$AH$2:$AH$1001,0),MATCH(COLUMNS($AO$1006:BP1006),$AO$1006:$BQ$1006,0)), HYPERLINK("#",""), HYPERLINK(CONCATENATE("#Metadata!", ADDRESS(INDEX($AJ$2:$AJ$1001,MATCH(ROWS($AH$2:AH409),$AH$2:$AH$1001,0),0), INDEX($AO$1004:$BQ$1004,1,MATCH(COLUMNS($AO$1006:BP1006),$AO$1006:$BQ$1006,0)))),"Fix")))</f>
        <v>#N/A</v>
      </c>
      <c r="AD409" s="5" t="e">
        <f ca="1">IF(OR(INDEX($AI$2:$AI$1001,MATCH(ROWS($AH$2:AH409),$AH$2:$AH$1001,0),1)&gt;=100000,INDEX($AO$1005:$BQ$1005,1,MATCH(COLUMNS($AO$1006:BQ1006),$AO$1006:$BQ$1006,0))&gt;=100000), " ",IF(INDEX($AO$2:$BQ$1001,MATCH(ROWS($AH$2:AH409),$AH$2:$AH$1001,0),MATCH(COLUMNS($AO$1006:BQ1006),$AO$1006:$BQ$1006,0)), HYPERLINK("#",""), HYPERLINK(CONCATENATE("#Metadata!", ADDRESS(INDEX($AJ$2:$AJ$1001,MATCH(ROWS($AH$2:AH409),$AH$2:$AH$1001,0),0), INDEX($AO$1004:$BQ$1004,1,MATCH(COLUMNS($AO$1006:BQ1006),$AO$1006:$BQ$1006,0)))),"Fix")))</f>
        <v>#REF!</v>
      </c>
      <c r="AH409">
        <f ca="1"/>
        <v>406</v>
      </c>
      <c r="AI409">
        <v>100409</v>
      </c>
      <c r="AJ409">
        <v>409</v>
      </c>
      <c r="AK409" t="b">
        <f t="shared" si="6"/>
        <v>1</v>
      </c>
      <c r="AL409" t="b">
        <f>COUNTBLANK(Metadata!B409:AD409)=COLUMNS(Metadata!B409:AD409)</f>
        <v>1</v>
      </c>
      <c r="AM409" t="str">
        <v/>
      </c>
      <c r="AO409" t="b">
        <f ca="1">AND(IF(Metadata!B409="",FALSE,TRUE),COUNTIF(Metadata!B:B, Metadata!B409) = 1,NOT(ISERROR(SUMPRODUCT(SEARCH(MID(Metadata!B409,ROW(INDIRECT("1:"&amp;LEN(Metadata!B409))), 1),"0123456789abcdefghijklmnopqrstuvwxyzABCDEFGHIJKLMNOPQRSTUVWXYZ.")))))</f>
        <v>0</v>
      </c>
      <c r="AP409" t="b">
        <f>IF(Metadata!C409="",FALSE,TRUE)</f>
        <v>0</v>
      </c>
      <c r="AQ409" t="b">
        <f>IF(Metadata!D409="",FALSE,TRUE)</f>
        <v>0</v>
      </c>
      <c r="AR409" t="b">
        <f ca="1">OR(AND(IF(Metadata!E409="",FALSE,TRUE),OR(EXACT(Metadata!E409,"not collected"),EXACT(Metadata!E409,"not provided"),EXACT(Metadata!E409,"restricted access"))),AND(IF(Metadata!E409="",FALSE,TRUE),AND(AND(IFERROR(INT(LEFT(Metadata!E409,4))&gt;1900,FALSE),IFERROR(INT(LEFT(Metadata!E409,4))&lt;=YEAR(NOW()),FALSE)), OR(MID(Metadata!E409,5,1)="", AND(AND(MID(Metadata!E409,5,1)="-",IFERROR(INT(MID(Metadata!E409,6,1))&gt;=0,FALSE),IFERROR(INT(MID(Metadata!E409,6,1))&lt;=1,FALSE),NOT(MID(Metadata!E409,7,1)=""),IFERROR(INT(MID(Metadata!E409,6,2))&gt;=1,FALSE),IFERROR(INT(MID(Metadata!E409,6,2))&lt;=12,FALSE)), OR(MID(Metadata!E409,8,1)="", AND(AND(MID(Metadata!E409,8,1)="-",IFERROR(INT(MID(Metadata!E409,9,1))&gt;=0,FALSE),IFERROR(INT(MID(Metadata!E409,9,1))&lt;=3,FALSE),NOT(MID(Metadata!E409,10,1)=""),IFERROR(INT(MID(Metadata!E409,9,2))&gt;=1,FALSE),IFERROR(INT(MID(Metadata!E409,9,2))&lt;=31,FALSE)), OR(MID(Metadata!E409,11,1)="", AND(AND(MID(Metadata!E409,11,1)=" ",IFERROR(INT(MID(Metadata!E409,12,1))&gt;=0,FALSE),IFERROR(INT(MID(Metadata!E409,12,1))&lt;=2,FALSE),NOT(MID(Metadata!E409,13,1)=""),IFERROR(INT(MID(Metadata!E409,12,2))&gt;=0,FALSE),IFERROR(INT(MID(Metadata!E409,12,2))&lt;=23,FALSE)), OR(MID(Metadata!E409,14,1)="", AND(AND(MID(Metadata!E409,14,1)=":",IFERROR(INT(MID(Metadata!E409,15,1))&gt;=0,FALSE),IFERROR(INT(MID(Metadata!E409,15,1))&lt;=5,FALSE),NOT(MID(Metadata!E409,16,1)=""),IFERROR(INT(MID(Metadata!E409,15,2))&gt;=0,FALSE),IFERROR(INT(MID(Metadata!E409,15,2))&lt;=59,FALSE)), OR(MID(Metadata!E409,17,1)="", AND(AND(MID(Metadata!E409,17,1)=":",IFERROR(INT(MID(Metadata!E409,18,1))&gt;=0,FALSE),IFERROR(INT(MID(Metadata!E409,18,1))&lt;=5,FALSE),NOT(MID(Metadata!E409,19,1)=""),IFERROR(INT(MID(Metadata!E409,18,2))&gt;=0,FALSE),IFERROR(INT(MID(Metadata!E409,18,2))&lt;=59,FALSE)), LEN(Metadata!E409)&lt;=19)))))))))))))</f>
        <v>0</v>
      </c>
      <c r="AS409" t="b">
        <f>IF(Metadata!F409="",FALSE,TRUE)</f>
        <v>0</v>
      </c>
      <c r="AT409" t="b">
        <f>OR(AND(IF(Metadata!G409="",FALSE,TRUE),OR(EXACT(Metadata!G409,"not collected"),EXACT(Metadata!G409,"not provided"))),AND(IF(Metadata!G409="",FALSE,TRUE),OR(EXACT(Metadata!G409,"TRUE"),EXACT(Metadata!G409,"FALSE"))))</f>
        <v>0</v>
      </c>
      <c r="AU409" t="b">
        <f>OR(AND(IF(Metadata!H409="",FALSE,TRUE),OR(EXACT(Metadata!H409,"not collected"),EXACT(Metadata!H409,"not provided"),EXACT(Metadata!H409,"restricted access"))),AND(IF(Metadata!H409="",FALSE,ISNUMBER(VALUE(Metadata!H409))),Metadata!H409&gt;=-413))</f>
        <v>0</v>
      </c>
      <c r="AV409" t="b">
        <f>AND(IF(Metadata!I409="",FALSE,TRUE),EXACT(Metadata!I409,"meters"))</f>
        <v>0</v>
      </c>
      <c r="AW409" t="b">
        <f>AND(IF(Metadata!J409="",FALSE,TRUE),EXACT(Metadata!J409,"free-living"))</f>
        <v>0</v>
      </c>
      <c r="AX409" t="b">
        <f>AND(IF(Metadata!K409="",FALSE,TRUE),OR(EXACT(Metadata!K409,"saline"),EXACT(Metadata!K409,"non-saline")))</f>
        <v>0</v>
      </c>
      <c r="AY409" t="b">
        <f>AND(IF(Metadata!L409="",FALSE,TRUE),OR(EXACT(Metadata!L409,"sub-surface (non-saline)"),EXACT(Metadata!L409,"surface (non-saline)"),EXACT(Metadata!L409,"water (non-saline)"),EXACT(Metadata!L409,"soil (non-saline)"),EXACT(Metadata!L409,"aerosol (non-saline)"),EXACT(Metadata!L409,"sediment (non-saline)"),EXACT(Metadata!L409,"surface (saline)"),EXACT(Metadata!L409,"water (saline)"),EXACT(Metadata!L409,"hypersaline (saline)"),EXACT(Metadata!L409,"aerosol (saline)"),EXACT(Metadata!L409,"sediment (saline)")))</f>
        <v>0</v>
      </c>
      <c r="AZ409" t="b">
        <f>IF(Metadata!M409="",FALSE,TRUE)</f>
        <v>0</v>
      </c>
      <c r="BA409" t="b">
        <f>IF(Metadata!N409="",FALSE,TRUE)</f>
        <v>0</v>
      </c>
      <c r="BB409" t="b">
        <f>IF(Metadata!O409="",FALSE,TRUE)</f>
        <v>0</v>
      </c>
      <c r="BC409" t="b">
        <f>AND(IF(Metadata!P409="",FALSE,TRUE),OR(EXACT(Metadata!P409,"air"),EXACT(Metadata!P409,"microbial mat/biofilm"),EXACT(Metadata!P409,"misc environment"),EXACT(Metadata!P409,"sediment"),EXACT(Metadata!P409,"soil"),EXACT(Metadata!P409,"wastewater/sludge"),EXACT(Metadata!P409,"water")))</f>
        <v>0</v>
      </c>
      <c r="BD409" t="b">
        <f>IF(Metadata!Q409="",FALSE,TRUE)</f>
        <v>0</v>
      </c>
      <c r="BE409" t="b">
        <f>IF(Metadata!R409="",FALSE,TRUE)</f>
        <v>0</v>
      </c>
      <c r="BF409" t="b">
        <f>OR(AND(IF(Metadata!S409="",FALSE,TRUE),OR(EXACT(Metadata!S409,"not collected"),EXACT(Metadata!S409,"not provided"),EXACT(Metadata!S409,"restricted access"))),AND(IF(Metadata!S409="",FALSE,ISNUMBER(VALUE(Metadata!S409))),Metadata!S409&gt;=-90,Metadata!S409&lt;=90))</f>
        <v>0</v>
      </c>
      <c r="BG409" t="b">
        <f>AND(IF(Metadata!T409="",FALSE,TRUE),EXACT(Metadata!T409,"Decimal degrees"))</f>
        <v>0</v>
      </c>
      <c r="BH409" t="b">
        <f>OR(AND(IF(Metadata!U409="",FALSE,TRUE),OR(EXACT(Metadata!U409,"not applicable"),EXACT(Metadata!U409,"not collected"))),IF(Metadata!U409="",FALSE,TRUE))</f>
        <v>0</v>
      </c>
      <c r="BI409" t="b">
        <f>OR(AND(IF(Metadata!V409="",FALSE,TRUE),OR(EXACT(Metadata!V409,"not collected"),EXACT(Metadata!V409,"not provided"),EXACT(Metadata!V409,"restricted access"))),AND(IF(Metadata!V409="",FALSE,ISNUMBER(VALUE(Metadata!V409))),Metadata!V409&gt;=-180,Metadata!V409&lt;=180))</f>
        <v>0</v>
      </c>
      <c r="BJ409" t="b">
        <f>AND(IF(Metadata!W409="",FALSE,TRUE),EXACT(Metadata!W409,"Decimal degrees"))</f>
        <v>0</v>
      </c>
      <c r="BK409" t="b">
        <f>IF(Metadata!X409="",FALSE,TRUE)</f>
        <v>0</v>
      </c>
      <c r="BL409" t="b">
        <f>OR(AND(IF(Metadata!Y409="",FALSE,TRUE),OR(EXACT(Metadata!Y409,"not collected"),EXACT(Metadata!Y409,"not provided"),EXACT(Metadata!Y409,"restricted access"))),AND(IF(Metadata!Y409="",FALSE,TRUE),OR(EXACT(Metadata!Y409,"TRUE"),EXACT(Metadata!Y409,"FALSE"))))</f>
        <v>0</v>
      </c>
      <c r="BM409" t="b">
        <f>OR(AND(IF(Metadata!Z409="",FALSE,TRUE),EXACT(Metadata!Z409,"not applicable")),AND(IF(Metadata!Z409="",FALSE,TRUE),OR(EXACT(Metadata!Z409,"beer"),EXACT(Metadata!Z409,"cheese"),EXACT(Metadata!Z409,"fresh water"),EXACT(Metadata!Z409,"marine sediment"),EXACT(Metadata!Z409,"sea water"),EXACT(Metadata!Z409,"sediment"),EXACT(Metadata!Z409,"soil"),EXACT(Metadata!Z409,"waste water"))))</f>
        <v>0</v>
      </c>
      <c r="BN409" t="b">
        <f>AND(IF(Metadata!AA409="",FALSE,TRUE),EXACT(Metadata!AA409,"metagenome"))</f>
        <v>0</v>
      </c>
      <c r="BO409" t="b">
        <f>AND(IF(Metadata!AB409="",FALSE,TRUE),EXACT(Metadata!AB409,"256318"))</f>
        <v>0</v>
      </c>
      <c r="BP409" t="b">
        <f>IF(Metadata!AC409="",FALSE,TRUE)</f>
        <v>0</v>
      </c>
      <c r="BQ409" t="b">
        <f>IF(Metadata!AD409="",FALSE,TRUE)</f>
        <v>0</v>
      </c>
    </row>
    <row r="410" spans="1:69" x14ac:dyDescent="0.2">
      <c r="A410" s="4" t="e">
        <f ca="1">IF(B410=" "," ",HYPERLINK(CONCATENATE("#metadata!",ADDRESS(INDEX($AJ$2:$AJ$1001,MATCH(ROWS($AH$2:AH410),$AH$2:$AH$1001,0),0),2)),INDEX($AM$2:$AM$1001,MATCH(ROWS($AH$2:AH410),$AH$2:$AH$1001,0),0)))</f>
        <v>#N/A</v>
      </c>
      <c r="B410" s="5" t="e">
        <f ca="1">IF(OR(INDEX($AI$2:$AI$1001,MATCH(ROWS($AH$2:AH410),$AH$2:$AH$1001,0),1)&gt;=100000,INDEX($AO$1005:$BQ$1005,1,MATCH(COLUMNS($AO$1006:AO1006),$AO$1006:$BQ$1006,0))&gt;=100000), " ",IF(INDEX($AO$2:$BQ$1001,MATCH(ROWS($AH$2:AH410),$AH$2:$AH$1001,0),MATCH(COLUMNS($AO$1006:AO1006),$AO$1006:$BQ$1006,0)), HYPERLINK("#",""), HYPERLINK(CONCATENATE("#Metadata!", ADDRESS(INDEX($AJ$2:$AJ$1001,MATCH(ROWS($AH$2:AH410),$AH$2:$AH$1001,0),0), INDEX($AO$1004:$BQ$1004,1,MATCH(COLUMNS($AO$1006:AO1006),$AO$1006:$BQ$1006,0)))),"Fix")))</f>
        <v>#N/A</v>
      </c>
      <c r="C410" s="5" t="e">
        <f ca="1">IF(OR(INDEX($AI$2:$AI$1001,MATCH(ROWS($AH$2:AH410),$AH$2:$AH$1001,0),1)&gt;=100000,INDEX($AO$1005:$BQ$1005,1,MATCH(COLUMNS($AO$1006:AP1006),$AO$1006:$BQ$1006,0))&gt;=100000), " ",IF(INDEX($AO$2:$BQ$1001,MATCH(ROWS($AH$2:AH410),$AH$2:$AH$1001,0),MATCH(COLUMNS($AO$1006:AP1006),$AO$1006:$BQ$1006,0)), HYPERLINK("#",""), HYPERLINK(CONCATENATE("#Metadata!", ADDRESS(INDEX($AJ$2:$AJ$1001,MATCH(ROWS($AH$2:AH410),$AH$2:$AH$1001,0),0), INDEX($AO$1004:$BQ$1004,1,MATCH(COLUMNS($AO$1006:AP1006),$AO$1006:$BQ$1006,0)))),"Fix")))</f>
        <v>#N/A</v>
      </c>
      <c r="D410" s="5" t="e">
        <f ca="1">IF(OR(INDEX($AI$2:$AI$1001,MATCH(ROWS($AH$2:AH410),$AH$2:$AH$1001,0),1)&gt;=100000,INDEX($AO$1005:$BQ$1005,1,MATCH(COLUMNS($AO$1006:AQ1006),$AO$1006:$BQ$1006,0))&gt;=100000), " ",IF(INDEX($AO$2:$BQ$1001,MATCH(ROWS($AH$2:AH410),$AH$2:$AH$1001,0),MATCH(COLUMNS($AO$1006:AQ1006),$AO$1006:$BQ$1006,0)), HYPERLINK("#",""), HYPERLINK(CONCATENATE("#Metadata!", ADDRESS(INDEX($AJ$2:$AJ$1001,MATCH(ROWS($AH$2:AH410),$AH$2:$AH$1001,0),0), INDEX($AO$1004:$BQ$1004,1,MATCH(COLUMNS($AO$1006:AQ1006),$AO$1006:$BQ$1006,0)))),"Fix")))</f>
        <v>#N/A</v>
      </c>
      <c r="E410" s="5" t="e">
        <f ca="1">IF(OR(INDEX($AI$2:$AI$1001,MATCH(ROWS($AH$2:AH410),$AH$2:$AH$1001,0),1)&gt;=100000,INDEX($AO$1005:$BQ$1005,1,MATCH(COLUMNS($AO$1006:AR1006),$AO$1006:$BQ$1006,0))&gt;=100000), " ",IF(INDEX($AO$2:$BQ$1001,MATCH(ROWS($AH$2:AH410),$AH$2:$AH$1001,0),MATCH(COLUMNS($AO$1006:AR1006),$AO$1006:$BQ$1006,0)), HYPERLINK("#",""), HYPERLINK(CONCATENATE("#Metadata!", ADDRESS(INDEX($AJ$2:$AJ$1001,MATCH(ROWS($AH$2:AH410),$AH$2:$AH$1001,0),0), INDEX($AO$1004:$BQ$1004,1,MATCH(COLUMNS($AO$1006:AR1006),$AO$1006:$BQ$1006,0)))),"Fix")))</f>
        <v>#N/A</v>
      </c>
      <c r="F410" s="5" t="e">
        <f ca="1">IF(OR(INDEX($AI$2:$AI$1001,MATCH(ROWS($AH$2:AH410),$AH$2:$AH$1001,0),1)&gt;=100000,INDEX($AO$1005:$BQ$1005,1,MATCH(COLUMNS($AO$1006:AS1006),$AO$1006:$BQ$1006,0))&gt;=100000), " ",IF(INDEX($AO$2:$BQ$1001,MATCH(ROWS($AH$2:AH410),$AH$2:$AH$1001,0),MATCH(COLUMNS($AO$1006:AS1006),$AO$1006:$BQ$1006,0)), HYPERLINK("#",""), HYPERLINK(CONCATENATE("#Metadata!", ADDRESS(INDEX($AJ$2:$AJ$1001,MATCH(ROWS($AH$2:AH410),$AH$2:$AH$1001,0),0), INDEX($AO$1004:$BQ$1004,1,MATCH(COLUMNS($AO$1006:AS1006),$AO$1006:$BQ$1006,0)))),"Fix")))</f>
        <v>#N/A</v>
      </c>
      <c r="G410" s="5" t="e">
        <f ca="1">IF(OR(INDEX($AI$2:$AI$1001,MATCH(ROWS($AH$2:AH410),$AH$2:$AH$1001,0),1)&gt;=100000,INDEX($AO$1005:$BQ$1005,1,MATCH(COLUMNS($AO$1006:AT1006),$AO$1006:$BQ$1006,0))&gt;=100000), " ",IF(INDEX($AO$2:$BQ$1001,MATCH(ROWS($AH$2:AH410),$AH$2:$AH$1001,0),MATCH(COLUMNS($AO$1006:AT1006),$AO$1006:$BQ$1006,0)), HYPERLINK("#",""), HYPERLINK(CONCATENATE("#Metadata!", ADDRESS(INDEX($AJ$2:$AJ$1001,MATCH(ROWS($AH$2:AH410),$AH$2:$AH$1001,0),0), INDEX($AO$1004:$BQ$1004,1,MATCH(COLUMNS($AO$1006:AT1006),$AO$1006:$BQ$1006,0)))),"Fix")))</f>
        <v>#N/A</v>
      </c>
      <c r="H410" s="5" t="e">
        <f ca="1">IF(OR(INDEX($AI$2:$AI$1001,MATCH(ROWS($AH$2:AH410),$AH$2:$AH$1001,0),1)&gt;=100000,INDEX($AO$1005:$BQ$1005,1,MATCH(COLUMNS($AO$1006:AU1006),$AO$1006:$BQ$1006,0))&gt;=100000), " ",IF(INDEX($AO$2:$BQ$1001,MATCH(ROWS($AH$2:AH410),$AH$2:$AH$1001,0),MATCH(COLUMNS($AO$1006:AU1006),$AO$1006:$BQ$1006,0)), HYPERLINK("#",""), HYPERLINK(CONCATENATE("#Metadata!", ADDRESS(INDEX($AJ$2:$AJ$1001,MATCH(ROWS($AH$2:AH410),$AH$2:$AH$1001,0),0), INDEX($AO$1004:$BQ$1004,1,MATCH(COLUMNS($AO$1006:AU1006),$AO$1006:$BQ$1006,0)))),"Fix")))</f>
        <v>#N/A</v>
      </c>
      <c r="I410" s="5" t="e">
        <f ca="1">IF(OR(INDEX($AI$2:$AI$1001,MATCH(ROWS($AH$2:AH410),$AH$2:$AH$1001,0),1)&gt;=100000,INDEX($AO$1005:$BQ$1005,1,MATCH(COLUMNS($AO$1006:AV1006),$AO$1006:$BQ$1006,0))&gt;=100000), " ",IF(INDEX($AO$2:$BQ$1001,MATCH(ROWS($AH$2:AH410),$AH$2:$AH$1001,0),MATCH(COLUMNS($AO$1006:AV1006),$AO$1006:$BQ$1006,0)), HYPERLINK("#",""), HYPERLINK(CONCATENATE("#Metadata!", ADDRESS(INDEX($AJ$2:$AJ$1001,MATCH(ROWS($AH$2:AH410),$AH$2:$AH$1001,0),0), INDEX($AO$1004:$BQ$1004,1,MATCH(COLUMNS($AO$1006:AV1006),$AO$1006:$BQ$1006,0)))),"Fix")))</f>
        <v>#N/A</v>
      </c>
      <c r="J410" s="5" t="e">
        <f ca="1">IF(OR(INDEX($AI$2:$AI$1001,MATCH(ROWS($AH$2:AH410),$AH$2:$AH$1001,0),1)&gt;=100000,INDEX($AO$1005:$BQ$1005,1,MATCH(COLUMNS($AO$1006:AW1006),$AO$1006:$BQ$1006,0))&gt;=100000), " ",IF(INDEX($AO$2:$BQ$1001,MATCH(ROWS($AH$2:AH410),$AH$2:$AH$1001,0),MATCH(COLUMNS($AO$1006:AW1006),$AO$1006:$BQ$1006,0)), HYPERLINK("#",""), HYPERLINK(CONCATENATE("#Metadata!", ADDRESS(INDEX($AJ$2:$AJ$1001,MATCH(ROWS($AH$2:AH410),$AH$2:$AH$1001,0),0), INDEX($AO$1004:$BQ$1004,1,MATCH(COLUMNS($AO$1006:AW1006),$AO$1006:$BQ$1006,0)))),"Fix")))</f>
        <v>#N/A</v>
      </c>
      <c r="K410" s="5" t="e">
        <f ca="1">IF(OR(INDEX($AI$2:$AI$1001,MATCH(ROWS($AH$2:AH410),$AH$2:$AH$1001,0),1)&gt;=100000,INDEX($AO$1005:$BQ$1005,1,MATCH(COLUMNS($AO$1006:AX1006),$AO$1006:$BQ$1006,0))&gt;=100000), " ",IF(INDEX($AO$2:$BQ$1001,MATCH(ROWS($AH$2:AH410),$AH$2:$AH$1001,0),MATCH(COLUMNS($AO$1006:AX1006),$AO$1006:$BQ$1006,0)), HYPERLINK("#",""), HYPERLINK(CONCATENATE("#Metadata!", ADDRESS(INDEX($AJ$2:$AJ$1001,MATCH(ROWS($AH$2:AH410),$AH$2:$AH$1001,0),0), INDEX($AO$1004:$BQ$1004,1,MATCH(COLUMNS($AO$1006:AX1006),$AO$1006:$BQ$1006,0)))),"Fix")))</f>
        <v>#N/A</v>
      </c>
      <c r="L410" s="5" t="e">
        <f ca="1">IF(OR(INDEX($AI$2:$AI$1001,MATCH(ROWS($AH$2:AH410),$AH$2:$AH$1001,0),1)&gt;=100000,INDEX($AO$1005:$BQ$1005,1,MATCH(COLUMNS($AO$1006:AY1006),$AO$1006:$BQ$1006,0))&gt;=100000), " ",IF(INDEX($AO$2:$BQ$1001,MATCH(ROWS($AH$2:AH410),$AH$2:$AH$1001,0),MATCH(COLUMNS($AO$1006:AY1006),$AO$1006:$BQ$1006,0)), HYPERLINK("#",""), HYPERLINK(CONCATENATE("#Metadata!", ADDRESS(INDEX($AJ$2:$AJ$1001,MATCH(ROWS($AH$2:AH410),$AH$2:$AH$1001,0),0), INDEX($AO$1004:$BQ$1004,1,MATCH(COLUMNS($AO$1006:AY1006),$AO$1006:$BQ$1006,0)))),"Fix")))</f>
        <v>#N/A</v>
      </c>
      <c r="M410" s="5" t="e">
        <f ca="1">IF(OR(INDEX($AI$2:$AI$1001,MATCH(ROWS($AH$2:AH410),$AH$2:$AH$1001,0),1)&gt;=100000,INDEX($AO$1005:$BQ$1005,1,MATCH(COLUMNS($AO$1006:AZ1006),$AO$1006:$BQ$1006,0))&gt;=100000), " ",IF(INDEX($AO$2:$BQ$1001,MATCH(ROWS($AH$2:AH410),$AH$2:$AH$1001,0),MATCH(COLUMNS($AO$1006:AZ1006),$AO$1006:$BQ$1006,0)), HYPERLINK("#",""), HYPERLINK(CONCATENATE("#Metadata!", ADDRESS(INDEX($AJ$2:$AJ$1001,MATCH(ROWS($AH$2:AH410),$AH$2:$AH$1001,0),0), INDEX($AO$1004:$BQ$1004,1,MATCH(COLUMNS($AO$1006:AZ1006),$AO$1006:$BQ$1006,0)))),"Fix")))</f>
        <v>#N/A</v>
      </c>
      <c r="N410" s="5" t="e">
        <f ca="1">IF(OR(INDEX($AI$2:$AI$1001,MATCH(ROWS($AH$2:AH410),$AH$2:$AH$1001,0),1)&gt;=100000,INDEX($AO$1005:$BQ$1005,1,MATCH(COLUMNS($AO$1006:BA1006),$AO$1006:$BQ$1006,0))&gt;=100000), " ",IF(INDEX($AO$2:$BQ$1001,MATCH(ROWS($AH$2:AH410),$AH$2:$AH$1001,0),MATCH(COLUMNS($AO$1006:BA1006),$AO$1006:$BQ$1006,0)), HYPERLINK("#",""), HYPERLINK(CONCATENATE("#Metadata!", ADDRESS(INDEX($AJ$2:$AJ$1001,MATCH(ROWS($AH$2:AH410),$AH$2:$AH$1001,0),0), INDEX($AO$1004:$BQ$1004,1,MATCH(COLUMNS($AO$1006:BA1006),$AO$1006:$BQ$1006,0)))),"Fix")))</f>
        <v>#N/A</v>
      </c>
      <c r="O410" s="5" t="e">
        <f ca="1">IF(OR(INDEX($AI$2:$AI$1001,MATCH(ROWS($AH$2:AH410),$AH$2:$AH$1001,0),1)&gt;=100000,INDEX($AO$1005:$BQ$1005,1,MATCH(COLUMNS($AO$1006:BB1006),$AO$1006:$BQ$1006,0))&gt;=100000), " ",IF(INDEX($AO$2:$BQ$1001,MATCH(ROWS($AH$2:AH410),$AH$2:$AH$1001,0),MATCH(COLUMNS($AO$1006:BB1006),$AO$1006:$BQ$1006,0)), HYPERLINK("#",""), HYPERLINK(CONCATENATE("#Metadata!", ADDRESS(INDEX($AJ$2:$AJ$1001,MATCH(ROWS($AH$2:AH410),$AH$2:$AH$1001,0),0), INDEX($AO$1004:$BQ$1004,1,MATCH(COLUMNS($AO$1006:BB1006),$AO$1006:$BQ$1006,0)))),"Fix")))</f>
        <v>#N/A</v>
      </c>
      <c r="P410" s="5" t="e">
        <f ca="1">IF(OR(INDEX($AI$2:$AI$1001,MATCH(ROWS($AH$2:AH410),$AH$2:$AH$1001,0),1)&gt;=100000,INDEX($AO$1005:$BQ$1005,1,MATCH(COLUMNS($AO$1006:BC1006),$AO$1006:$BQ$1006,0))&gt;=100000), " ",IF(INDEX($AO$2:$BQ$1001,MATCH(ROWS($AH$2:AH410),$AH$2:$AH$1001,0),MATCH(COLUMNS($AO$1006:BC1006),$AO$1006:$BQ$1006,0)), HYPERLINK("#",""), HYPERLINK(CONCATENATE("#Metadata!", ADDRESS(INDEX($AJ$2:$AJ$1001,MATCH(ROWS($AH$2:AH410),$AH$2:$AH$1001,0),0), INDEX($AO$1004:$BQ$1004,1,MATCH(COLUMNS($AO$1006:BC1006),$AO$1006:$BQ$1006,0)))),"Fix")))</f>
        <v>#N/A</v>
      </c>
      <c r="Q410" s="5" t="e">
        <f ca="1">IF(OR(INDEX($AI$2:$AI$1001,MATCH(ROWS($AH$2:AH410),$AH$2:$AH$1001,0),1)&gt;=100000,INDEX($AO$1005:$BQ$1005,1,MATCH(COLUMNS($AO$1006:BD1006),$AO$1006:$BQ$1006,0))&gt;=100000), " ",IF(INDEX($AO$2:$BQ$1001,MATCH(ROWS($AH$2:AH410),$AH$2:$AH$1001,0),MATCH(COLUMNS($AO$1006:BD1006),$AO$1006:$BQ$1006,0)), HYPERLINK("#",""), HYPERLINK(CONCATENATE("#Metadata!", ADDRESS(INDEX($AJ$2:$AJ$1001,MATCH(ROWS($AH$2:AH410),$AH$2:$AH$1001,0),0), INDEX($AO$1004:$BQ$1004,1,MATCH(COLUMNS($AO$1006:BD1006),$AO$1006:$BQ$1006,0)))),"Fix")))</f>
        <v>#N/A</v>
      </c>
      <c r="R410" s="5" t="e">
        <f ca="1">IF(OR(INDEX($AI$2:$AI$1001,MATCH(ROWS($AH$2:AH410),$AH$2:$AH$1001,0),1)&gt;=100000,INDEX($AO$1005:$BQ$1005,1,MATCH(COLUMNS($AO$1006:BE1006),$AO$1006:$BQ$1006,0))&gt;=100000), " ",IF(INDEX($AO$2:$BQ$1001,MATCH(ROWS($AH$2:AH410),$AH$2:$AH$1001,0),MATCH(COLUMNS($AO$1006:BE1006),$AO$1006:$BQ$1006,0)), HYPERLINK("#",""), HYPERLINK(CONCATENATE("#Metadata!", ADDRESS(INDEX($AJ$2:$AJ$1001,MATCH(ROWS($AH$2:AH410),$AH$2:$AH$1001,0),0), INDEX($AO$1004:$BQ$1004,1,MATCH(COLUMNS($AO$1006:BE1006),$AO$1006:$BQ$1006,0)))),"Fix")))</f>
        <v>#N/A</v>
      </c>
      <c r="S410" s="5" t="e">
        <f ca="1">IF(OR(INDEX($AI$2:$AI$1001,MATCH(ROWS($AH$2:AH410),$AH$2:$AH$1001,0),1)&gt;=100000,INDEX($AO$1005:$BQ$1005,1,MATCH(COLUMNS($AO$1006:BF1006),$AO$1006:$BQ$1006,0))&gt;=100000), " ",IF(INDEX($AO$2:$BQ$1001,MATCH(ROWS($AH$2:AH410),$AH$2:$AH$1001,0),MATCH(COLUMNS($AO$1006:BF1006),$AO$1006:$BQ$1006,0)), HYPERLINK("#",""), HYPERLINK(CONCATENATE("#Metadata!", ADDRESS(INDEX($AJ$2:$AJ$1001,MATCH(ROWS($AH$2:AH410),$AH$2:$AH$1001,0),0), INDEX($AO$1004:$BQ$1004,1,MATCH(COLUMNS($AO$1006:BF1006),$AO$1006:$BQ$1006,0)))),"Fix")))</f>
        <v>#N/A</v>
      </c>
      <c r="T410" s="5" t="e">
        <f ca="1">IF(OR(INDEX($AI$2:$AI$1001,MATCH(ROWS($AH$2:AH410),$AH$2:$AH$1001,0),1)&gt;=100000,INDEX($AO$1005:$BQ$1005,1,MATCH(COLUMNS($AO$1006:BG1006),$AO$1006:$BQ$1006,0))&gt;=100000), " ",IF(INDEX($AO$2:$BQ$1001,MATCH(ROWS($AH$2:AH410),$AH$2:$AH$1001,0),MATCH(COLUMNS($AO$1006:BG1006),$AO$1006:$BQ$1006,0)), HYPERLINK("#",""), HYPERLINK(CONCATENATE("#Metadata!", ADDRESS(INDEX($AJ$2:$AJ$1001,MATCH(ROWS($AH$2:AH410),$AH$2:$AH$1001,0),0), INDEX($AO$1004:$BQ$1004,1,MATCH(COLUMNS($AO$1006:BG1006),$AO$1006:$BQ$1006,0)))),"Fix")))</f>
        <v>#N/A</v>
      </c>
      <c r="U410" s="5" t="e">
        <f ca="1">IF(OR(INDEX($AI$2:$AI$1001,MATCH(ROWS($AH$2:AH410),$AH$2:$AH$1001,0),1)&gt;=100000,INDEX($AO$1005:$BQ$1005,1,MATCH(COLUMNS($AO$1006:BH1006),$AO$1006:$BQ$1006,0))&gt;=100000), " ",IF(INDEX($AO$2:$BQ$1001,MATCH(ROWS($AH$2:AH410),$AH$2:$AH$1001,0),MATCH(COLUMNS($AO$1006:BH1006),$AO$1006:$BQ$1006,0)), HYPERLINK("#",""), HYPERLINK(CONCATENATE("#Metadata!", ADDRESS(INDEX($AJ$2:$AJ$1001,MATCH(ROWS($AH$2:AH410),$AH$2:$AH$1001,0),0), INDEX($AO$1004:$BQ$1004,1,MATCH(COLUMNS($AO$1006:BH1006),$AO$1006:$BQ$1006,0)))),"Fix")))</f>
        <v>#N/A</v>
      </c>
      <c r="V410" s="5" t="e">
        <f ca="1">IF(OR(INDEX($AI$2:$AI$1001,MATCH(ROWS($AH$2:AH410),$AH$2:$AH$1001,0),1)&gt;=100000,INDEX($AO$1005:$BQ$1005,1,MATCH(COLUMNS($AO$1006:BI1006),$AO$1006:$BQ$1006,0))&gt;=100000), " ",IF(INDEX($AO$2:$BQ$1001,MATCH(ROWS($AH$2:AH410),$AH$2:$AH$1001,0),MATCH(COLUMNS($AO$1006:BI1006),$AO$1006:$BQ$1006,0)), HYPERLINK("#",""), HYPERLINK(CONCATENATE("#Metadata!", ADDRESS(INDEX($AJ$2:$AJ$1001,MATCH(ROWS($AH$2:AH410),$AH$2:$AH$1001,0),0), INDEX($AO$1004:$BQ$1004,1,MATCH(COLUMNS($AO$1006:BI1006),$AO$1006:$BQ$1006,0)))),"Fix")))</f>
        <v>#N/A</v>
      </c>
      <c r="W410" s="5" t="e">
        <f ca="1">IF(OR(INDEX($AI$2:$AI$1001,MATCH(ROWS($AH$2:AH410),$AH$2:$AH$1001,0),1)&gt;=100000,INDEX($AO$1005:$BQ$1005,1,MATCH(COLUMNS($AO$1006:BJ1006),$AO$1006:$BQ$1006,0))&gt;=100000), " ",IF(INDEX($AO$2:$BQ$1001,MATCH(ROWS($AH$2:AH410),$AH$2:$AH$1001,0),MATCH(COLUMNS($AO$1006:BJ1006),$AO$1006:$BQ$1006,0)), HYPERLINK("#",""), HYPERLINK(CONCATENATE("#Metadata!", ADDRESS(INDEX($AJ$2:$AJ$1001,MATCH(ROWS($AH$2:AH410),$AH$2:$AH$1001,0),0), INDEX($AO$1004:$BQ$1004,1,MATCH(COLUMNS($AO$1006:BJ1006),$AO$1006:$BQ$1006,0)))),"Fix")))</f>
        <v>#N/A</v>
      </c>
      <c r="X410" s="5" t="e">
        <f ca="1">IF(OR(INDEX($AI$2:$AI$1001,MATCH(ROWS($AH$2:AH410),$AH$2:$AH$1001,0),1)&gt;=100000,INDEX($AO$1005:$BQ$1005,1,MATCH(COLUMNS($AO$1006:BK1006),$AO$1006:$BQ$1006,0))&gt;=100000), " ",IF(INDEX($AO$2:$BQ$1001,MATCH(ROWS($AH$2:AH410),$AH$2:$AH$1001,0),MATCH(COLUMNS($AO$1006:BK1006),$AO$1006:$BQ$1006,0)), HYPERLINK("#",""), HYPERLINK(CONCATENATE("#Metadata!", ADDRESS(INDEX($AJ$2:$AJ$1001,MATCH(ROWS($AH$2:AH410),$AH$2:$AH$1001,0),0), INDEX($AO$1004:$BQ$1004,1,MATCH(COLUMNS($AO$1006:BK1006),$AO$1006:$BQ$1006,0)))),"Fix")))</f>
        <v>#N/A</v>
      </c>
      <c r="Y410" s="5" t="e">
        <f ca="1">IF(OR(INDEX($AI$2:$AI$1001,MATCH(ROWS($AH$2:AH410),$AH$2:$AH$1001,0),1)&gt;=100000,INDEX($AO$1005:$BQ$1005,1,MATCH(COLUMNS($AO$1006:BL1006),$AO$1006:$BQ$1006,0))&gt;=100000), " ",IF(INDEX($AO$2:$BQ$1001,MATCH(ROWS($AH$2:AH410),$AH$2:$AH$1001,0),MATCH(COLUMNS($AO$1006:BL1006),$AO$1006:$BQ$1006,0)), HYPERLINK("#",""), HYPERLINK(CONCATENATE("#Metadata!", ADDRESS(INDEX($AJ$2:$AJ$1001,MATCH(ROWS($AH$2:AH410),$AH$2:$AH$1001,0),0), INDEX($AO$1004:$BQ$1004,1,MATCH(COLUMNS($AO$1006:BL1006),$AO$1006:$BQ$1006,0)))),"Fix")))</f>
        <v>#N/A</v>
      </c>
      <c r="Z410" s="5" t="e">
        <f ca="1">IF(OR(INDEX($AI$2:$AI$1001,MATCH(ROWS($AH$2:AH410),$AH$2:$AH$1001,0),1)&gt;=100000,INDEX($AO$1005:$BQ$1005,1,MATCH(COLUMNS($AO$1006:BM1006),$AO$1006:$BQ$1006,0))&gt;=100000), " ",IF(INDEX($AO$2:$BQ$1001,MATCH(ROWS($AH$2:AH410),$AH$2:$AH$1001,0),MATCH(COLUMNS($AO$1006:BM1006),$AO$1006:$BQ$1006,0)), HYPERLINK("#",""), HYPERLINK(CONCATENATE("#Metadata!", ADDRESS(INDEX($AJ$2:$AJ$1001,MATCH(ROWS($AH$2:AH410),$AH$2:$AH$1001,0),0), INDEX($AO$1004:$BQ$1004,1,MATCH(COLUMNS($AO$1006:BM1006),$AO$1006:$BQ$1006,0)))),"Fix")))</f>
        <v>#N/A</v>
      </c>
      <c r="AA410" s="5" t="e">
        <f ca="1">IF(OR(INDEX($AI$2:$AI$1001,MATCH(ROWS($AH$2:AH410),$AH$2:$AH$1001,0),1)&gt;=100000,INDEX($AO$1005:$BQ$1005,1,MATCH(COLUMNS($AO$1006:BN1006),$AO$1006:$BQ$1006,0))&gt;=100000), " ",IF(INDEX($AO$2:$BQ$1001,MATCH(ROWS($AH$2:AH410),$AH$2:$AH$1001,0),MATCH(COLUMNS($AO$1006:BN1006),$AO$1006:$BQ$1006,0)), HYPERLINK("#",""), HYPERLINK(CONCATENATE("#Metadata!", ADDRESS(INDEX($AJ$2:$AJ$1001,MATCH(ROWS($AH$2:AH410),$AH$2:$AH$1001,0),0), INDEX($AO$1004:$BQ$1004,1,MATCH(COLUMNS($AO$1006:BN1006),$AO$1006:$BQ$1006,0)))),"Fix")))</f>
        <v>#N/A</v>
      </c>
      <c r="AB410" s="5" t="e">
        <f ca="1">IF(OR(INDEX($AI$2:$AI$1001,MATCH(ROWS($AH$2:AH410),$AH$2:$AH$1001,0),1)&gt;=100000,INDEX($AO$1005:$BQ$1005,1,MATCH(COLUMNS($AO$1006:BO1006),$AO$1006:$BQ$1006,0))&gt;=100000), " ",IF(INDEX($AO$2:$BQ$1001,MATCH(ROWS($AH$2:AH410),$AH$2:$AH$1001,0),MATCH(COLUMNS($AO$1006:BO1006),$AO$1006:$BQ$1006,0)), HYPERLINK("#",""), HYPERLINK(CONCATENATE("#Metadata!", ADDRESS(INDEX($AJ$2:$AJ$1001,MATCH(ROWS($AH$2:AH410),$AH$2:$AH$1001,0),0), INDEX($AO$1004:$BQ$1004,1,MATCH(COLUMNS($AO$1006:BO1006),$AO$1006:$BQ$1006,0)))),"Fix")))</f>
        <v>#N/A</v>
      </c>
      <c r="AC410" s="5" t="e">
        <f ca="1">IF(OR(INDEX($AI$2:$AI$1001,MATCH(ROWS($AH$2:AH410),$AH$2:$AH$1001,0),1)&gt;=100000,INDEX($AO$1005:$BQ$1005,1,MATCH(COLUMNS($AO$1006:BP1006),$AO$1006:$BQ$1006,0))&gt;=100000), " ",IF(INDEX($AO$2:$BQ$1001,MATCH(ROWS($AH$2:AH410),$AH$2:$AH$1001,0),MATCH(COLUMNS($AO$1006:BP1006),$AO$1006:$BQ$1006,0)), HYPERLINK("#",""), HYPERLINK(CONCATENATE("#Metadata!", ADDRESS(INDEX($AJ$2:$AJ$1001,MATCH(ROWS($AH$2:AH410),$AH$2:$AH$1001,0),0), INDEX($AO$1004:$BQ$1004,1,MATCH(COLUMNS($AO$1006:BP1006),$AO$1006:$BQ$1006,0)))),"Fix")))</f>
        <v>#N/A</v>
      </c>
      <c r="AD410" s="5" t="e">
        <f ca="1">IF(OR(INDEX($AI$2:$AI$1001,MATCH(ROWS($AH$2:AH410),$AH$2:$AH$1001,0),1)&gt;=100000,INDEX($AO$1005:$BQ$1005,1,MATCH(COLUMNS($AO$1006:BQ1006),$AO$1006:$BQ$1006,0))&gt;=100000), " ",IF(INDEX($AO$2:$BQ$1001,MATCH(ROWS($AH$2:AH410),$AH$2:$AH$1001,0),MATCH(COLUMNS($AO$1006:BQ1006),$AO$1006:$BQ$1006,0)), HYPERLINK("#",""), HYPERLINK(CONCATENATE("#Metadata!", ADDRESS(INDEX($AJ$2:$AJ$1001,MATCH(ROWS($AH$2:AH410),$AH$2:$AH$1001,0),0), INDEX($AO$1004:$BQ$1004,1,MATCH(COLUMNS($AO$1006:BQ1006),$AO$1006:$BQ$1006,0)))),"Fix")))</f>
        <v>#REF!</v>
      </c>
      <c r="AH410">
        <f ca="1"/>
        <v>407</v>
      </c>
      <c r="AI410">
        <v>100410</v>
      </c>
      <c r="AJ410">
        <v>410</v>
      </c>
      <c r="AK410" t="b">
        <f t="shared" si="6"/>
        <v>1</v>
      </c>
      <c r="AL410" t="b">
        <f>COUNTBLANK(Metadata!B410:AD410)=COLUMNS(Metadata!B410:AD410)</f>
        <v>1</v>
      </c>
      <c r="AM410" t="str">
        <v/>
      </c>
      <c r="AO410" t="b">
        <f ca="1">AND(IF(Metadata!B410="",FALSE,TRUE),COUNTIF(Metadata!B:B, Metadata!B410) = 1,NOT(ISERROR(SUMPRODUCT(SEARCH(MID(Metadata!B410,ROW(INDIRECT("1:"&amp;LEN(Metadata!B410))), 1),"0123456789abcdefghijklmnopqrstuvwxyzABCDEFGHIJKLMNOPQRSTUVWXYZ.")))))</f>
        <v>0</v>
      </c>
      <c r="AP410" t="b">
        <f>IF(Metadata!C410="",FALSE,TRUE)</f>
        <v>0</v>
      </c>
      <c r="AQ410" t="b">
        <f>IF(Metadata!D410="",FALSE,TRUE)</f>
        <v>0</v>
      </c>
      <c r="AR410" t="b">
        <f ca="1">OR(AND(IF(Metadata!E410="",FALSE,TRUE),OR(EXACT(Metadata!E410,"not collected"),EXACT(Metadata!E410,"not provided"),EXACT(Metadata!E410,"restricted access"))),AND(IF(Metadata!E410="",FALSE,TRUE),AND(AND(IFERROR(INT(LEFT(Metadata!E410,4))&gt;1900,FALSE),IFERROR(INT(LEFT(Metadata!E410,4))&lt;=YEAR(NOW()),FALSE)), OR(MID(Metadata!E410,5,1)="", AND(AND(MID(Metadata!E410,5,1)="-",IFERROR(INT(MID(Metadata!E410,6,1))&gt;=0,FALSE),IFERROR(INT(MID(Metadata!E410,6,1))&lt;=1,FALSE),NOT(MID(Metadata!E410,7,1)=""),IFERROR(INT(MID(Metadata!E410,6,2))&gt;=1,FALSE),IFERROR(INT(MID(Metadata!E410,6,2))&lt;=12,FALSE)), OR(MID(Metadata!E410,8,1)="", AND(AND(MID(Metadata!E410,8,1)="-",IFERROR(INT(MID(Metadata!E410,9,1))&gt;=0,FALSE),IFERROR(INT(MID(Metadata!E410,9,1))&lt;=3,FALSE),NOT(MID(Metadata!E410,10,1)=""),IFERROR(INT(MID(Metadata!E410,9,2))&gt;=1,FALSE),IFERROR(INT(MID(Metadata!E410,9,2))&lt;=31,FALSE)), OR(MID(Metadata!E410,11,1)="", AND(AND(MID(Metadata!E410,11,1)=" ",IFERROR(INT(MID(Metadata!E410,12,1))&gt;=0,FALSE),IFERROR(INT(MID(Metadata!E410,12,1))&lt;=2,FALSE),NOT(MID(Metadata!E410,13,1)=""),IFERROR(INT(MID(Metadata!E410,12,2))&gt;=0,FALSE),IFERROR(INT(MID(Metadata!E410,12,2))&lt;=23,FALSE)), OR(MID(Metadata!E410,14,1)="", AND(AND(MID(Metadata!E410,14,1)=":",IFERROR(INT(MID(Metadata!E410,15,1))&gt;=0,FALSE),IFERROR(INT(MID(Metadata!E410,15,1))&lt;=5,FALSE),NOT(MID(Metadata!E410,16,1)=""),IFERROR(INT(MID(Metadata!E410,15,2))&gt;=0,FALSE),IFERROR(INT(MID(Metadata!E410,15,2))&lt;=59,FALSE)), OR(MID(Metadata!E410,17,1)="", AND(AND(MID(Metadata!E410,17,1)=":",IFERROR(INT(MID(Metadata!E410,18,1))&gt;=0,FALSE),IFERROR(INT(MID(Metadata!E410,18,1))&lt;=5,FALSE),NOT(MID(Metadata!E410,19,1)=""),IFERROR(INT(MID(Metadata!E410,18,2))&gt;=0,FALSE),IFERROR(INT(MID(Metadata!E410,18,2))&lt;=59,FALSE)), LEN(Metadata!E410)&lt;=19)))))))))))))</f>
        <v>0</v>
      </c>
      <c r="AS410" t="b">
        <f>IF(Metadata!F410="",FALSE,TRUE)</f>
        <v>0</v>
      </c>
      <c r="AT410" t="b">
        <f>OR(AND(IF(Metadata!G410="",FALSE,TRUE),OR(EXACT(Metadata!G410,"not collected"),EXACT(Metadata!G410,"not provided"))),AND(IF(Metadata!G410="",FALSE,TRUE),OR(EXACT(Metadata!G410,"TRUE"),EXACT(Metadata!G410,"FALSE"))))</f>
        <v>0</v>
      </c>
      <c r="AU410" t="b">
        <f>OR(AND(IF(Metadata!H410="",FALSE,TRUE),OR(EXACT(Metadata!H410,"not collected"),EXACT(Metadata!H410,"not provided"),EXACT(Metadata!H410,"restricted access"))),AND(IF(Metadata!H410="",FALSE,ISNUMBER(VALUE(Metadata!H410))),Metadata!H410&gt;=-413))</f>
        <v>0</v>
      </c>
      <c r="AV410" t="b">
        <f>AND(IF(Metadata!I410="",FALSE,TRUE),EXACT(Metadata!I410,"meters"))</f>
        <v>0</v>
      </c>
      <c r="AW410" t="b">
        <f>AND(IF(Metadata!J410="",FALSE,TRUE),EXACT(Metadata!J410,"free-living"))</f>
        <v>0</v>
      </c>
      <c r="AX410" t="b">
        <f>AND(IF(Metadata!K410="",FALSE,TRUE),OR(EXACT(Metadata!K410,"saline"),EXACT(Metadata!K410,"non-saline")))</f>
        <v>0</v>
      </c>
      <c r="AY410" t="b">
        <f>AND(IF(Metadata!L410="",FALSE,TRUE),OR(EXACT(Metadata!L410,"sub-surface (non-saline)"),EXACT(Metadata!L410,"surface (non-saline)"),EXACT(Metadata!L410,"water (non-saline)"),EXACT(Metadata!L410,"soil (non-saline)"),EXACT(Metadata!L410,"aerosol (non-saline)"),EXACT(Metadata!L410,"sediment (non-saline)"),EXACT(Metadata!L410,"surface (saline)"),EXACT(Metadata!L410,"water (saline)"),EXACT(Metadata!L410,"hypersaline (saline)"),EXACT(Metadata!L410,"aerosol (saline)"),EXACT(Metadata!L410,"sediment (saline)")))</f>
        <v>0</v>
      </c>
      <c r="AZ410" t="b">
        <f>IF(Metadata!M410="",FALSE,TRUE)</f>
        <v>0</v>
      </c>
      <c r="BA410" t="b">
        <f>IF(Metadata!N410="",FALSE,TRUE)</f>
        <v>0</v>
      </c>
      <c r="BB410" t="b">
        <f>IF(Metadata!O410="",FALSE,TRUE)</f>
        <v>0</v>
      </c>
      <c r="BC410" t="b">
        <f>AND(IF(Metadata!P410="",FALSE,TRUE),OR(EXACT(Metadata!P410,"air"),EXACT(Metadata!P410,"microbial mat/biofilm"),EXACT(Metadata!P410,"misc environment"),EXACT(Metadata!P410,"sediment"),EXACT(Metadata!P410,"soil"),EXACT(Metadata!P410,"wastewater/sludge"),EXACT(Metadata!P410,"water")))</f>
        <v>0</v>
      </c>
      <c r="BD410" t="b">
        <f>IF(Metadata!Q410="",FALSE,TRUE)</f>
        <v>0</v>
      </c>
      <c r="BE410" t="b">
        <f>IF(Metadata!R410="",FALSE,TRUE)</f>
        <v>0</v>
      </c>
      <c r="BF410" t="b">
        <f>OR(AND(IF(Metadata!S410="",FALSE,TRUE),OR(EXACT(Metadata!S410,"not collected"),EXACT(Metadata!S410,"not provided"),EXACT(Metadata!S410,"restricted access"))),AND(IF(Metadata!S410="",FALSE,ISNUMBER(VALUE(Metadata!S410))),Metadata!S410&gt;=-90,Metadata!S410&lt;=90))</f>
        <v>0</v>
      </c>
      <c r="BG410" t="b">
        <f>AND(IF(Metadata!T410="",FALSE,TRUE),EXACT(Metadata!T410,"Decimal degrees"))</f>
        <v>0</v>
      </c>
      <c r="BH410" t="b">
        <f>OR(AND(IF(Metadata!U410="",FALSE,TRUE),OR(EXACT(Metadata!U410,"not applicable"),EXACT(Metadata!U410,"not collected"))),IF(Metadata!U410="",FALSE,TRUE))</f>
        <v>0</v>
      </c>
      <c r="BI410" t="b">
        <f>OR(AND(IF(Metadata!V410="",FALSE,TRUE),OR(EXACT(Metadata!V410,"not collected"),EXACT(Metadata!V410,"not provided"),EXACT(Metadata!V410,"restricted access"))),AND(IF(Metadata!V410="",FALSE,ISNUMBER(VALUE(Metadata!V410))),Metadata!V410&gt;=-180,Metadata!V410&lt;=180))</f>
        <v>0</v>
      </c>
      <c r="BJ410" t="b">
        <f>AND(IF(Metadata!W410="",FALSE,TRUE),EXACT(Metadata!W410,"Decimal degrees"))</f>
        <v>0</v>
      </c>
      <c r="BK410" t="b">
        <f>IF(Metadata!X410="",FALSE,TRUE)</f>
        <v>0</v>
      </c>
      <c r="BL410" t="b">
        <f>OR(AND(IF(Metadata!Y410="",FALSE,TRUE),OR(EXACT(Metadata!Y410,"not collected"),EXACT(Metadata!Y410,"not provided"),EXACT(Metadata!Y410,"restricted access"))),AND(IF(Metadata!Y410="",FALSE,TRUE),OR(EXACT(Metadata!Y410,"TRUE"),EXACT(Metadata!Y410,"FALSE"))))</f>
        <v>0</v>
      </c>
      <c r="BM410" t="b">
        <f>OR(AND(IF(Metadata!Z410="",FALSE,TRUE),EXACT(Metadata!Z410,"not applicable")),AND(IF(Metadata!Z410="",FALSE,TRUE),OR(EXACT(Metadata!Z410,"beer"),EXACT(Metadata!Z410,"cheese"),EXACT(Metadata!Z410,"fresh water"),EXACT(Metadata!Z410,"marine sediment"),EXACT(Metadata!Z410,"sea water"),EXACT(Metadata!Z410,"sediment"),EXACT(Metadata!Z410,"soil"),EXACT(Metadata!Z410,"waste water"))))</f>
        <v>0</v>
      </c>
      <c r="BN410" t="b">
        <f>AND(IF(Metadata!AA410="",FALSE,TRUE),EXACT(Metadata!AA410,"metagenome"))</f>
        <v>0</v>
      </c>
      <c r="BO410" t="b">
        <f>AND(IF(Metadata!AB410="",FALSE,TRUE),EXACT(Metadata!AB410,"256318"))</f>
        <v>0</v>
      </c>
      <c r="BP410" t="b">
        <f>IF(Metadata!AC410="",FALSE,TRUE)</f>
        <v>0</v>
      </c>
      <c r="BQ410" t="b">
        <f>IF(Metadata!AD410="",FALSE,TRUE)</f>
        <v>0</v>
      </c>
    </row>
    <row r="411" spans="1:69" x14ac:dyDescent="0.2">
      <c r="A411" s="4" t="e">
        <f ca="1">IF(B411=" "," ",HYPERLINK(CONCATENATE("#metadata!",ADDRESS(INDEX($AJ$2:$AJ$1001,MATCH(ROWS($AH$2:AH411),$AH$2:$AH$1001,0),0),2)),INDEX($AM$2:$AM$1001,MATCH(ROWS($AH$2:AH411),$AH$2:$AH$1001,0),0)))</f>
        <v>#N/A</v>
      </c>
      <c r="B411" s="5" t="e">
        <f ca="1">IF(OR(INDEX($AI$2:$AI$1001,MATCH(ROWS($AH$2:AH411),$AH$2:$AH$1001,0),1)&gt;=100000,INDEX($AO$1005:$BQ$1005,1,MATCH(COLUMNS($AO$1006:AO1006),$AO$1006:$BQ$1006,0))&gt;=100000), " ",IF(INDEX($AO$2:$BQ$1001,MATCH(ROWS($AH$2:AH411),$AH$2:$AH$1001,0),MATCH(COLUMNS($AO$1006:AO1006),$AO$1006:$BQ$1006,0)), HYPERLINK("#",""), HYPERLINK(CONCATENATE("#Metadata!", ADDRESS(INDEX($AJ$2:$AJ$1001,MATCH(ROWS($AH$2:AH411),$AH$2:$AH$1001,0),0), INDEX($AO$1004:$BQ$1004,1,MATCH(COLUMNS($AO$1006:AO1006),$AO$1006:$BQ$1006,0)))),"Fix")))</f>
        <v>#N/A</v>
      </c>
      <c r="C411" s="5" t="e">
        <f ca="1">IF(OR(INDEX($AI$2:$AI$1001,MATCH(ROWS($AH$2:AH411),$AH$2:$AH$1001,0),1)&gt;=100000,INDEX($AO$1005:$BQ$1005,1,MATCH(COLUMNS($AO$1006:AP1006),$AO$1006:$BQ$1006,0))&gt;=100000), " ",IF(INDEX($AO$2:$BQ$1001,MATCH(ROWS($AH$2:AH411),$AH$2:$AH$1001,0),MATCH(COLUMNS($AO$1006:AP1006),$AO$1006:$BQ$1006,0)), HYPERLINK("#",""), HYPERLINK(CONCATENATE("#Metadata!", ADDRESS(INDEX($AJ$2:$AJ$1001,MATCH(ROWS($AH$2:AH411),$AH$2:$AH$1001,0),0), INDEX($AO$1004:$BQ$1004,1,MATCH(COLUMNS($AO$1006:AP1006),$AO$1006:$BQ$1006,0)))),"Fix")))</f>
        <v>#N/A</v>
      </c>
      <c r="D411" s="5" t="e">
        <f ca="1">IF(OR(INDEX($AI$2:$AI$1001,MATCH(ROWS($AH$2:AH411),$AH$2:$AH$1001,0),1)&gt;=100000,INDEX($AO$1005:$BQ$1005,1,MATCH(COLUMNS($AO$1006:AQ1006),$AO$1006:$BQ$1006,0))&gt;=100000), " ",IF(INDEX($AO$2:$BQ$1001,MATCH(ROWS($AH$2:AH411),$AH$2:$AH$1001,0),MATCH(COLUMNS($AO$1006:AQ1006),$AO$1006:$BQ$1006,0)), HYPERLINK("#",""), HYPERLINK(CONCATENATE("#Metadata!", ADDRESS(INDEX($AJ$2:$AJ$1001,MATCH(ROWS($AH$2:AH411),$AH$2:$AH$1001,0),0), INDEX($AO$1004:$BQ$1004,1,MATCH(COLUMNS($AO$1006:AQ1006),$AO$1006:$BQ$1006,0)))),"Fix")))</f>
        <v>#N/A</v>
      </c>
      <c r="E411" s="5" t="e">
        <f ca="1">IF(OR(INDEX($AI$2:$AI$1001,MATCH(ROWS($AH$2:AH411),$AH$2:$AH$1001,0),1)&gt;=100000,INDEX($AO$1005:$BQ$1005,1,MATCH(COLUMNS($AO$1006:AR1006),$AO$1006:$BQ$1006,0))&gt;=100000), " ",IF(INDEX($AO$2:$BQ$1001,MATCH(ROWS($AH$2:AH411),$AH$2:$AH$1001,0),MATCH(COLUMNS($AO$1006:AR1006),$AO$1006:$BQ$1006,0)), HYPERLINK("#",""), HYPERLINK(CONCATENATE("#Metadata!", ADDRESS(INDEX($AJ$2:$AJ$1001,MATCH(ROWS($AH$2:AH411),$AH$2:$AH$1001,0),0), INDEX($AO$1004:$BQ$1004,1,MATCH(COLUMNS($AO$1006:AR1006),$AO$1006:$BQ$1006,0)))),"Fix")))</f>
        <v>#N/A</v>
      </c>
      <c r="F411" s="5" t="e">
        <f ca="1">IF(OR(INDEX($AI$2:$AI$1001,MATCH(ROWS($AH$2:AH411),$AH$2:$AH$1001,0),1)&gt;=100000,INDEX($AO$1005:$BQ$1005,1,MATCH(COLUMNS($AO$1006:AS1006),$AO$1006:$BQ$1006,0))&gt;=100000), " ",IF(INDEX($AO$2:$BQ$1001,MATCH(ROWS($AH$2:AH411),$AH$2:$AH$1001,0),MATCH(COLUMNS($AO$1006:AS1006),$AO$1006:$BQ$1006,0)), HYPERLINK("#",""), HYPERLINK(CONCATENATE("#Metadata!", ADDRESS(INDEX($AJ$2:$AJ$1001,MATCH(ROWS($AH$2:AH411),$AH$2:$AH$1001,0),0), INDEX($AO$1004:$BQ$1004,1,MATCH(COLUMNS($AO$1006:AS1006),$AO$1006:$BQ$1006,0)))),"Fix")))</f>
        <v>#N/A</v>
      </c>
      <c r="G411" s="5" t="e">
        <f ca="1">IF(OR(INDEX($AI$2:$AI$1001,MATCH(ROWS($AH$2:AH411),$AH$2:$AH$1001,0),1)&gt;=100000,INDEX($AO$1005:$BQ$1005,1,MATCH(COLUMNS($AO$1006:AT1006),$AO$1006:$BQ$1006,0))&gt;=100000), " ",IF(INDEX($AO$2:$BQ$1001,MATCH(ROWS($AH$2:AH411),$AH$2:$AH$1001,0),MATCH(COLUMNS($AO$1006:AT1006),$AO$1006:$BQ$1006,0)), HYPERLINK("#",""), HYPERLINK(CONCATENATE("#Metadata!", ADDRESS(INDEX($AJ$2:$AJ$1001,MATCH(ROWS($AH$2:AH411),$AH$2:$AH$1001,0),0), INDEX($AO$1004:$BQ$1004,1,MATCH(COLUMNS($AO$1006:AT1006),$AO$1006:$BQ$1006,0)))),"Fix")))</f>
        <v>#N/A</v>
      </c>
      <c r="H411" s="5" t="e">
        <f ca="1">IF(OR(INDEX($AI$2:$AI$1001,MATCH(ROWS($AH$2:AH411),$AH$2:$AH$1001,0),1)&gt;=100000,INDEX($AO$1005:$BQ$1005,1,MATCH(COLUMNS($AO$1006:AU1006),$AO$1006:$BQ$1006,0))&gt;=100000), " ",IF(INDEX($AO$2:$BQ$1001,MATCH(ROWS($AH$2:AH411),$AH$2:$AH$1001,0),MATCH(COLUMNS($AO$1006:AU1006),$AO$1006:$BQ$1006,0)), HYPERLINK("#",""), HYPERLINK(CONCATENATE("#Metadata!", ADDRESS(INDEX($AJ$2:$AJ$1001,MATCH(ROWS($AH$2:AH411),$AH$2:$AH$1001,0),0), INDEX($AO$1004:$BQ$1004,1,MATCH(COLUMNS($AO$1006:AU1006),$AO$1006:$BQ$1006,0)))),"Fix")))</f>
        <v>#N/A</v>
      </c>
      <c r="I411" s="5" t="e">
        <f ca="1">IF(OR(INDEX($AI$2:$AI$1001,MATCH(ROWS($AH$2:AH411),$AH$2:$AH$1001,0),1)&gt;=100000,INDEX($AO$1005:$BQ$1005,1,MATCH(COLUMNS($AO$1006:AV1006),$AO$1006:$BQ$1006,0))&gt;=100000), " ",IF(INDEX($AO$2:$BQ$1001,MATCH(ROWS($AH$2:AH411),$AH$2:$AH$1001,0),MATCH(COLUMNS($AO$1006:AV1006),$AO$1006:$BQ$1006,0)), HYPERLINK("#",""), HYPERLINK(CONCATENATE("#Metadata!", ADDRESS(INDEX($AJ$2:$AJ$1001,MATCH(ROWS($AH$2:AH411),$AH$2:$AH$1001,0),0), INDEX($AO$1004:$BQ$1004,1,MATCH(COLUMNS($AO$1006:AV1006),$AO$1006:$BQ$1006,0)))),"Fix")))</f>
        <v>#N/A</v>
      </c>
      <c r="J411" s="5" t="e">
        <f ca="1">IF(OR(INDEX($AI$2:$AI$1001,MATCH(ROWS($AH$2:AH411),$AH$2:$AH$1001,0),1)&gt;=100000,INDEX($AO$1005:$BQ$1005,1,MATCH(COLUMNS($AO$1006:AW1006),$AO$1006:$BQ$1006,0))&gt;=100000), " ",IF(INDEX($AO$2:$BQ$1001,MATCH(ROWS($AH$2:AH411),$AH$2:$AH$1001,0),MATCH(COLUMNS($AO$1006:AW1006),$AO$1006:$BQ$1006,0)), HYPERLINK("#",""), HYPERLINK(CONCATENATE("#Metadata!", ADDRESS(INDEX($AJ$2:$AJ$1001,MATCH(ROWS($AH$2:AH411),$AH$2:$AH$1001,0),0), INDEX($AO$1004:$BQ$1004,1,MATCH(COLUMNS($AO$1006:AW1006),$AO$1006:$BQ$1006,0)))),"Fix")))</f>
        <v>#N/A</v>
      </c>
      <c r="K411" s="5" t="e">
        <f ca="1">IF(OR(INDEX($AI$2:$AI$1001,MATCH(ROWS($AH$2:AH411),$AH$2:$AH$1001,0),1)&gt;=100000,INDEX($AO$1005:$BQ$1005,1,MATCH(COLUMNS($AO$1006:AX1006),$AO$1006:$BQ$1006,0))&gt;=100000), " ",IF(INDEX($AO$2:$BQ$1001,MATCH(ROWS($AH$2:AH411),$AH$2:$AH$1001,0),MATCH(COLUMNS($AO$1006:AX1006),$AO$1006:$BQ$1006,0)), HYPERLINK("#",""), HYPERLINK(CONCATENATE("#Metadata!", ADDRESS(INDEX($AJ$2:$AJ$1001,MATCH(ROWS($AH$2:AH411),$AH$2:$AH$1001,0),0), INDEX($AO$1004:$BQ$1004,1,MATCH(COLUMNS($AO$1006:AX1006),$AO$1006:$BQ$1006,0)))),"Fix")))</f>
        <v>#N/A</v>
      </c>
      <c r="L411" s="5" t="e">
        <f ca="1">IF(OR(INDEX($AI$2:$AI$1001,MATCH(ROWS($AH$2:AH411),$AH$2:$AH$1001,0),1)&gt;=100000,INDEX($AO$1005:$BQ$1005,1,MATCH(COLUMNS($AO$1006:AY1006),$AO$1006:$BQ$1006,0))&gt;=100000), " ",IF(INDEX($AO$2:$BQ$1001,MATCH(ROWS($AH$2:AH411),$AH$2:$AH$1001,0),MATCH(COLUMNS($AO$1006:AY1006),$AO$1006:$BQ$1006,0)), HYPERLINK("#",""), HYPERLINK(CONCATENATE("#Metadata!", ADDRESS(INDEX($AJ$2:$AJ$1001,MATCH(ROWS($AH$2:AH411),$AH$2:$AH$1001,0),0), INDEX($AO$1004:$BQ$1004,1,MATCH(COLUMNS($AO$1006:AY1006),$AO$1006:$BQ$1006,0)))),"Fix")))</f>
        <v>#N/A</v>
      </c>
      <c r="M411" s="5" t="e">
        <f ca="1">IF(OR(INDEX($AI$2:$AI$1001,MATCH(ROWS($AH$2:AH411),$AH$2:$AH$1001,0),1)&gt;=100000,INDEX($AO$1005:$BQ$1005,1,MATCH(COLUMNS($AO$1006:AZ1006),$AO$1006:$BQ$1006,0))&gt;=100000), " ",IF(INDEX($AO$2:$BQ$1001,MATCH(ROWS($AH$2:AH411),$AH$2:$AH$1001,0),MATCH(COLUMNS($AO$1006:AZ1006),$AO$1006:$BQ$1006,0)), HYPERLINK("#",""), HYPERLINK(CONCATENATE("#Metadata!", ADDRESS(INDEX($AJ$2:$AJ$1001,MATCH(ROWS($AH$2:AH411),$AH$2:$AH$1001,0),0), INDEX($AO$1004:$BQ$1004,1,MATCH(COLUMNS($AO$1006:AZ1006),$AO$1006:$BQ$1006,0)))),"Fix")))</f>
        <v>#N/A</v>
      </c>
      <c r="N411" s="5" t="e">
        <f ca="1">IF(OR(INDEX($AI$2:$AI$1001,MATCH(ROWS($AH$2:AH411),$AH$2:$AH$1001,0),1)&gt;=100000,INDEX($AO$1005:$BQ$1005,1,MATCH(COLUMNS($AO$1006:BA1006),$AO$1006:$BQ$1006,0))&gt;=100000), " ",IF(INDEX($AO$2:$BQ$1001,MATCH(ROWS($AH$2:AH411),$AH$2:$AH$1001,0),MATCH(COLUMNS($AO$1006:BA1006),$AO$1006:$BQ$1006,0)), HYPERLINK("#",""), HYPERLINK(CONCATENATE("#Metadata!", ADDRESS(INDEX($AJ$2:$AJ$1001,MATCH(ROWS($AH$2:AH411),$AH$2:$AH$1001,0),0), INDEX($AO$1004:$BQ$1004,1,MATCH(COLUMNS($AO$1006:BA1006),$AO$1006:$BQ$1006,0)))),"Fix")))</f>
        <v>#N/A</v>
      </c>
      <c r="O411" s="5" t="e">
        <f ca="1">IF(OR(INDEX($AI$2:$AI$1001,MATCH(ROWS($AH$2:AH411),$AH$2:$AH$1001,0),1)&gt;=100000,INDEX($AO$1005:$BQ$1005,1,MATCH(COLUMNS($AO$1006:BB1006),$AO$1006:$BQ$1006,0))&gt;=100000), " ",IF(INDEX($AO$2:$BQ$1001,MATCH(ROWS($AH$2:AH411),$AH$2:$AH$1001,0),MATCH(COLUMNS($AO$1006:BB1006),$AO$1006:$BQ$1006,0)), HYPERLINK("#",""), HYPERLINK(CONCATENATE("#Metadata!", ADDRESS(INDEX($AJ$2:$AJ$1001,MATCH(ROWS($AH$2:AH411),$AH$2:$AH$1001,0),0), INDEX($AO$1004:$BQ$1004,1,MATCH(COLUMNS($AO$1006:BB1006),$AO$1006:$BQ$1006,0)))),"Fix")))</f>
        <v>#N/A</v>
      </c>
      <c r="P411" s="5" t="e">
        <f ca="1">IF(OR(INDEX($AI$2:$AI$1001,MATCH(ROWS($AH$2:AH411),$AH$2:$AH$1001,0),1)&gt;=100000,INDEX($AO$1005:$BQ$1005,1,MATCH(COLUMNS($AO$1006:BC1006),$AO$1006:$BQ$1006,0))&gt;=100000), " ",IF(INDEX($AO$2:$BQ$1001,MATCH(ROWS($AH$2:AH411),$AH$2:$AH$1001,0),MATCH(COLUMNS($AO$1006:BC1006),$AO$1006:$BQ$1006,0)), HYPERLINK("#",""), HYPERLINK(CONCATENATE("#Metadata!", ADDRESS(INDEX($AJ$2:$AJ$1001,MATCH(ROWS($AH$2:AH411),$AH$2:$AH$1001,0),0), INDEX($AO$1004:$BQ$1004,1,MATCH(COLUMNS($AO$1006:BC1006),$AO$1006:$BQ$1006,0)))),"Fix")))</f>
        <v>#N/A</v>
      </c>
      <c r="Q411" s="5" t="e">
        <f ca="1">IF(OR(INDEX($AI$2:$AI$1001,MATCH(ROWS($AH$2:AH411),$AH$2:$AH$1001,0),1)&gt;=100000,INDEX($AO$1005:$BQ$1005,1,MATCH(COLUMNS($AO$1006:BD1006),$AO$1006:$BQ$1006,0))&gt;=100000), " ",IF(INDEX($AO$2:$BQ$1001,MATCH(ROWS($AH$2:AH411),$AH$2:$AH$1001,0),MATCH(COLUMNS($AO$1006:BD1006),$AO$1006:$BQ$1006,0)), HYPERLINK("#",""), HYPERLINK(CONCATENATE("#Metadata!", ADDRESS(INDEX($AJ$2:$AJ$1001,MATCH(ROWS($AH$2:AH411),$AH$2:$AH$1001,0),0), INDEX($AO$1004:$BQ$1004,1,MATCH(COLUMNS($AO$1006:BD1006),$AO$1006:$BQ$1006,0)))),"Fix")))</f>
        <v>#N/A</v>
      </c>
      <c r="R411" s="5" t="e">
        <f ca="1">IF(OR(INDEX($AI$2:$AI$1001,MATCH(ROWS($AH$2:AH411),$AH$2:$AH$1001,0),1)&gt;=100000,INDEX($AO$1005:$BQ$1005,1,MATCH(COLUMNS($AO$1006:BE1006),$AO$1006:$BQ$1006,0))&gt;=100000), " ",IF(INDEX($AO$2:$BQ$1001,MATCH(ROWS($AH$2:AH411),$AH$2:$AH$1001,0),MATCH(COLUMNS($AO$1006:BE1006),$AO$1006:$BQ$1006,0)), HYPERLINK("#",""), HYPERLINK(CONCATENATE("#Metadata!", ADDRESS(INDEX($AJ$2:$AJ$1001,MATCH(ROWS($AH$2:AH411),$AH$2:$AH$1001,0),0), INDEX($AO$1004:$BQ$1004,1,MATCH(COLUMNS($AO$1006:BE1006),$AO$1006:$BQ$1006,0)))),"Fix")))</f>
        <v>#N/A</v>
      </c>
      <c r="S411" s="5" t="e">
        <f ca="1">IF(OR(INDEX($AI$2:$AI$1001,MATCH(ROWS($AH$2:AH411),$AH$2:$AH$1001,0),1)&gt;=100000,INDEX($AO$1005:$BQ$1005,1,MATCH(COLUMNS($AO$1006:BF1006),$AO$1006:$BQ$1006,0))&gt;=100000), " ",IF(INDEX($AO$2:$BQ$1001,MATCH(ROWS($AH$2:AH411),$AH$2:$AH$1001,0),MATCH(COLUMNS($AO$1006:BF1006),$AO$1006:$BQ$1006,0)), HYPERLINK("#",""), HYPERLINK(CONCATENATE("#Metadata!", ADDRESS(INDEX($AJ$2:$AJ$1001,MATCH(ROWS($AH$2:AH411),$AH$2:$AH$1001,0),0), INDEX($AO$1004:$BQ$1004,1,MATCH(COLUMNS($AO$1006:BF1006),$AO$1006:$BQ$1006,0)))),"Fix")))</f>
        <v>#N/A</v>
      </c>
      <c r="T411" s="5" t="e">
        <f ca="1">IF(OR(INDEX($AI$2:$AI$1001,MATCH(ROWS($AH$2:AH411),$AH$2:$AH$1001,0),1)&gt;=100000,INDEX($AO$1005:$BQ$1005,1,MATCH(COLUMNS($AO$1006:BG1006),$AO$1006:$BQ$1006,0))&gt;=100000), " ",IF(INDEX($AO$2:$BQ$1001,MATCH(ROWS($AH$2:AH411),$AH$2:$AH$1001,0),MATCH(COLUMNS($AO$1006:BG1006),$AO$1006:$BQ$1006,0)), HYPERLINK("#",""), HYPERLINK(CONCATENATE("#Metadata!", ADDRESS(INDEX($AJ$2:$AJ$1001,MATCH(ROWS($AH$2:AH411),$AH$2:$AH$1001,0),0), INDEX($AO$1004:$BQ$1004,1,MATCH(COLUMNS($AO$1006:BG1006),$AO$1006:$BQ$1006,0)))),"Fix")))</f>
        <v>#N/A</v>
      </c>
      <c r="U411" s="5" t="e">
        <f ca="1">IF(OR(INDEX($AI$2:$AI$1001,MATCH(ROWS($AH$2:AH411),$AH$2:$AH$1001,0),1)&gt;=100000,INDEX($AO$1005:$BQ$1005,1,MATCH(COLUMNS($AO$1006:BH1006),$AO$1006:$BQ$1006,0))&gt;=100000), " ",IF(INDEX($AO$2:$BQ$1001,MATCH(ROWS($AH$2:AH411),$AH$2:$AH$1001,0),MATCH(COLUMNS($AO$1006:BH1006),$AO$1006:$BQ$1006,0)), HYPERLINK("#",""), HYPERLINK(CONCATENATE("#Metadata!", ADDRESS(INDEX($AJ$2:$AJ$1001,MATCH(ROWS($AH$2:AH411),$AH$2:$AH$1001,0),0), INDEX($AO$1004:$BQ$1004,1,MATCH(COLUMNS($AO$1006:BH1006),$AO$1006:$BQ$1006,0)))),"Fix")))</f>
        <v>#N/A</v>
      </c>
      <c r="V411" s="5" t="e">
        <f ca="1">IF(OR(INDEX($AI$2:$AI$1001,MATCH(ROWS($AH$2:AH411),$AH$2:$AH$1001,0),1)&gt;=100000,INDEX($AO$1005:$BQ$1005,1,MATCH(COLUMNS($AO$1006:BI1006),$AO$1006:$BQ$1006,0))&gt;=100000), " ",IF(INDEX($AO$2:$BQ$1001,MATCH(ROWS($AH$2:AH411),$AH$2:$AH$1001,0),MATCH(COLUMNS($AO$1006:BI1006),$AO$1006:$BQ$1006,0)), HYPERLINK("#",""), HYPERLINK(CONCATENATE("#Metadata!", ADDRESS(INDEX($AJ$2:$AJ$1001,MATCH(ROWS($AH$2:AH411),$AH$2:$AH$1001,0),0), INDEX($AO$1004:$BQ$1004,1,MATCH(COLUMNS($AO$1006:BI1006),$AO$1006:$BQ$1006,0)))),"Fix")))</f>
        <v>#N/A</v>
      </c>
      <c r="W411" s="5" t="e">
        <f ca="1">IF(OR(INDEX($AI$2:$AI$1001,MATCH(ROWS($AH$2:AH411),$AH$2:$AH$1001,0),1)&gt;=100000,INDEX($AO$1005:$BQ$1005,1,MATCH(COLUMNS($AO$1006:BJ1006),$AO$1006:$BQ$1006,0))&gt;=100000), " ",IF(INDEX($AO$2:$BQ$1001,MATCH(ROWS($AH$2:AH411),$AH$2:$AH$1001,0),MATCH(COLUMNS($AO$1006:BJ1006),$AO$1006:$BQ$1006,0)), HYPERLINK("#",""), HYPERLINK(CONCATENATE("#Metadata!", ADDRESS(INDEX($AJ$2:$AJ$1001,MATCH(ROWS($AH$2:AH411),$AH$2:$AH$1001,0),0), INDEX($AO$1004:$BQ$1004,1,MATCH(COLUMNS($AO$1006:BJ1006),$AO$1006:$BQ$1006,0)))),"Fix")))</f>
        <v>#N/A</v>
      </c>
      <c r="X411" s="5" t="e">
        <f ca="1">IF(OR(INDEX($AI$2:$AI$1001,MATCH(ROWS($AH$2:AH411),$AH$2:$AH$1001,0),1)&gt;=100000,INDEX($AO$1005:$BQ$1005,1,MATCH(COLUMNS($AO$1006:BK1006),$AO$1006:$BQ$1006,0))&gt;=100000), " ",IF(INDEX($AO$2:$BQ$1001,MATCH(ROWS($AH$2:AH411),$AH$2:$AH$1001,0),MATCH(COLUMNS($AO$1006:BK1006),$AO$1006:$BQ$1006,0)), HYPERLINK("#",""), HYPERLINK(CONCATENATE("#Metadata!", ADDRESS(INDEX($AJ$2:$AJ$1001,MATCH(ROWS($AH$2:AH411),$AH$2:$AH$1001,0),0), INDEX($AO$1004:$BQ$1004,1,MATCH(COLUMNS($AO$1006:BK1006),$AO$1006:$BQ$1006,0)))),"Fix")))</f>
        <v>#N/A</v>
      </c>
      <c r="Y411" s="5" t="e">
        <f ca="1">IF(OR(INDEX($AI$2:$AI$1001,MATCH(ROWS($AH$2:AH411),$AH$2:$AH$1001,0),1)&gt;=100000,INDEX($AO$1005:$BQ$1005,1,MATCH(COLUMNS($AO$1006:BL1006),$AO$1006:$BQ$1006,0))&gt;=100000), " ",IF(INDEX($AO$2:$BQ$1001,MATCH(ROWS($AH$2:AH411),$AH$2:$AH$1001,0),MATCH(COLUMNS($AO$1006:BL1006),$AO$1006:$BQ$1006,0)), HYPERLINK("#",""), HYPERLINK(CONCATENATE("#Metadata!", ADDRESS(INDEX($AJ$2:$AJ$1001,MATCH(ROWS($AH$2:AH411),$AH$2:$AH$1001,0),0), INDEX($AO$1004:$BQ$1004,1,MATCH(COLUMNS($AO$1006:BL1006),$AO$1006:$BQ$1006,0)))),"Fix")))</f>
        <v>#N/A</v>
      </c>
      <c r="Z411" s="5" t="e">
        <f ca="1">IF(OR(INDEX($AI$2:$AI$1001,MATCH(ROWS($AH$2:AH411),$AH$2:$AH$1001,0),1)&gt;=100000,INDEX($AO$1005:$BQ$1005,1,MATCH(COLUMNS($AO$1006:BM1006),$AO$1006:$BQ$1006,0))&gt;=100000), " ",IF(INDEX($AO$2:$BQ$1001,MATCH(ROWS($AH$2:AH411),$AH$2:$AH$1001,0),MATCH(COLUMNS($AO$1006:BM1006),$AO$1006:$BQ$1006,0)), HYPERLINK("#",""), HYPERLINK(CONCATENATE("#Metadata!", ADDRESS(INDEX($AJ$2:$AJ$1001,MATCH(ROWS($AH$2:AH411),$AH$2:$AH$1001,0),0), INDEX($AO$1004:$BQ$1004,1,MATCH(COLUMNS($AO$1006:BM1006),$AO$1006:$BQ$1006,0)))),"Fix")))</f>
        <v>#N/A</v>
      </c>
      <c r="AA411" s="5" t="e">
        <f ca="1">IF(OR(INDEX($AI$2:$AI$1001,MATCH(ROWS($AH$2:AH411),$AH$2:$AH$1001,0),1)&gt;=100000,INDEX($AO$1005:$BQ$1005,1,MATCH(COLUMNS($AO$1006:BN1006),$AO$1006:$BQ$1006,0))&gt;=100000), " ",IF(INDEX($AO$2:$BQ$1001,MATCH(ROWS($AH$2:AH411),$AH$2:$AH$1001,0),MATCH(COLUMNS($AO$1006:BN1006),$AO$1006:$BQ$1006,0)), HYPERLINK("#",""), HYPERLINK(CONCATENATE("#Metadata!", ADDRESS(INDEX($AJ$2:$AJ$1001,MATCH(ROWS($AH$2:AH411),$AH$2:$AH$1001,0),0), INDEX($AO$1004:$BQ$1004,1,MATCH(COLUMNS($AO$1006:BN1006),$AO$1006:$BQ$1006,0)))),"Fix")))</f>
        <v>#N/A</v>
      </c>
      <c r="AB411" s="5" t="e">
        <f ca="1">IF(OR(INDEX($AI$2:$AI$1001,MATCH(ROWS($AH$2:AH411),$AH$2:$AH$1001,0),1)&gt;=100000,INDEX($AO$1005:$BQ$1005,1,MATCH(COLUMNS($AO$1006:BO1006),$AO$1006:$BQ$1006,0))&gt;=100000), " ",IF(INDEX($AO$2:$BQ$1001,MATCH(ROWS($AH$2:AH411),$AH$2:$AH$1001,0),MATCH(COLUMNS($AO$1006:BO1006),$AO$1006:$BQ$1006,0)), HYPERLINK("#",""), HYPERLINK(CONCATENATE("#Metadata!", ADDRESS(INDEX($AJ$2:$AJ$1001,MATCH(ROWS($AH$2:AH411),$AH$2:$AH$1001,0),0), INDEX($AO$1004:$BQ$1004,1,MATCH(COLUMNS($AO$1006:BO1006),$AO$1006:$BQ$1006,0)))),"Fix")))</f>
        <v>#N/A</v>
      </c>
      <c r="AC411" s="5" t="e">
        <f ca="1">IF(OR(INDEX($AI$2:$AI$1001,MATCH(ROWS($AH$2:AH411),$AH$2:$AH$1001,0),1)&gt;=100000,INDEX($AO$1005:$BQ$1005,1,MATCH(COLUMNS($AO$1006:BP1006),$AO$1006:$BQ$1006,0))&gt;=100000), " ",IF(INDEX($AO$2:$BQ$1001,MATCH(ROWS($AH$2:AH411),$AH$2:$AH$1001,0),MATCH(COLUMNS($AO$1006:BP1006),$AO$1006:$BQ$1006,0)), HYPERLINK("#",""), HYPERLINK(CONCATENATE("#Metadata!", ADDRESS(INDEX($AJ$2:$AJ$1001,MATCH(ROWS($AH$2:AH411),$AH$2:$AH$1001,0),0), INDEX($AO$1004:$BQ$1004,1,MATCH(COLUMNS($AO$1006:BP1006),$AO$1006:$BQ$1006,0)))),"Fix")))</f>
        <v>#N/A</v>
      </c>
      <c r="AD411" s="5" t="e">
        <f ca="1">IF(OR(INDEX($AI$2:$AI$1001,MATCH(ROWS($AH$2:AH411),$AH$2:$AH$1001,0),1)&gt;=100000,INDEX($AO$1005:$BQ$1005,1,MATCH(COLUMNS($AO$1006:BQ1006),$AO$1006:$BQ$1006,0))&gt;=100000), " ",IF(INDEX($AO$2:$BQ$1001,MATCH(ROWS($AH$2:AH411),$AH$2:$AH$1001,0),MATCH(COLUMNS($AO$1006:BQ1006),$AO$1006:$BQ$1006,0)), HYPERLINK("#",""), HYPERLINK(CONCATENATE("#Metadata!", ADDRESS(INDEX($AJ$2:$AJ$1001,MATCH(ROWS($AH$2:AH411),$AH$2:$AH$1001,0),0), INDEX($AO$1004:$BQ$1004,1,MATCH(COLUMNS($AO$1006:BQ1006),$AO$1006:$BQ$1006,0)))),"Fix")))</f>
        <v>#REF!</v>
      </c>
      <c r="AH411">
        <f ca="1"/>
        <v>408</v>
      </c>
      <c r="AI411">
        <v>100411</v>
      </c>
      <c r="AJ411">
        <v>411</v>
      </c>
      <c r="AK411" t="b">
        <f t="shared" si="6"/>
        <v>1</v>
      </c>
      <c r="AL411" t="b">
        <f>COUNTBLANK(Metadata!B411:AD411)=COLUMNS(Metadata!B411:AD411)</f>
        <v>1</v>
      </c>
      <c r="AM411" t="str">
        <v/>
      </c>
      <c r="AO411" t="b">
        <f ca="1">AND(IF(Metadata!B411="",FALSE,TRUE),COUNTIF(Metadata!B:B, Metadata!B411) = 1,NOT(ISERROR(SUMPRODUCT(SEARCH(MID(Metadata!B411,ROW(INDIRECT("1:"&amp;LEN(Metadata!B411))), 1),"0123456789abcdefghijklmnopqrstuvwxyzABCDEFGHIJKLMNOPQRSTUVWXYZ.")))))</f>
        <v>0</v>
      </c>
      <c r="AP411" t="b">
        <f>IF(Metadata!C411="",FALSE,TRUE)</f>
        <v>0</v>
      </c>
      <c r="AQ411" t="b">
        <f>IF(Metadata!D411="",FALSE,TRUE)</f>
        <v>0</v>
      </c>
      <c r="AR411" t="b">
        <f ca="1">OR(AND(IF(Metadata!E411="",FALSE,TRUE),OR(EXACT(Metadata!E411,"not collected"),EXACT(Metadata!E411,"not provided"),EXACT(Metadata!E411,"restricted access"))),AND(IF(Metadata!E411="",FALSE,TRUE),AND(AND(IFERROR(INT(LEFT(Metadata!E411,4))&gt;1900,FALSE),IFERROR(INT(LEFT(Metadata!E411,4))&lt;=YEAR(NOW()),FALSE)), OR(MID(Metadata!E411,5,1)="", AND(AND(MID(Metadata!E411,5,1)="-",IFERROR(INT(MID(Metadata!E411,6,1))&gt;=0,FALSE),IFERROR(INT(MID(Metadata!E411,6,1))&lt;=1,FALSE),NOT(MID(Metadata!E411,7,1)=""),IFERROR(INT(MID(Metadata!E411,6,2))&gt;=1,FALSE),IFERROR(INT(MID(Metadata!E411,6,2))&lt;=12,FALSE)), OR(MID(Metadata!E411,8,1)="", AND(AND(MID(Metadata!E411,8,1)="-",IFERROR(INT(MID(Metadata!E411,9,1))&gt;=0,FALSE),IFERROR(INT(MID(Metadata!E411,9,1))&lt;=3,FALSE),NOT(MID(Metadata!E411,10,1)=""),IFERROR(INT(MID(Metadata!E411,9,2))&gt;=1,FALSE),IFERROR(INT(MID(Metadata!E411,9,2))&lt;=31,FALSE)), OR(MID(Metadata!E411,11,1)="", AND(AND(MID(Metadata!E411,11,1)=" ",IFERROR(INT(MID(Metadata!E411,12,1))&gt;=0,FALSE),IFERROR(INT(MID(Metadata!E411,12,1))&lt;=2,FALSE),NOT(MID(Metadata!E411,13,1)=""),IFERROR(INT(MID(Metadata!E411,12,2))&gt;=0,FALSE),IFERROR(INT(MID(Metadata!E411,12,2))&lt;=23,FALSE)), OR(MID(Metadata!E411,14,1)="", AND(AND(MID(Metadata!E411,14,1)=":",IFERROR(INT(MID(Metadata!E411,15,1))&gt;=0,FALSE),IFERROR(INT(MID(Metadata!E411,15,1))&lt;=5,FALSE),NOT(MID(Metadata!E411,16,1)=""),IFERROR(INT(MID(Metadata!E411,15,2))&gt;=0,FALSE),IFERROR(INT(MID(Metadata!E411,15,2))&lt;=59,FALSE)), OR(MID(Metadata!E411,17,1)="", AND(AND(MID(Metadata!E411,17,1)=":",IFERROR(INT(MID(Metadata!E411,18,1))&gt;=0,FALSE),IFERROR(INT(MID(Metadata!E411,18,1))&lt;=5,FALSE),NOT(MID(Metadata!E411,19,1)=""),IFERROR(INT(MID(Metadata!E411,18,2))&gt;=0,FALSE),IFERROR(INT(MID(Metadata!E411,18,2))&lt;=59,FALSE)), LEN(Metadata!E411)&lt;=19)))))))))))))</f>
        <v>0</v>
      </c>
      <c r="AS411" t="b">
        <f>IF(Metadata!F411="",FALSE,TRUE)</f>
        <v>0</v>
      </c>
      <c r="AT411" t="b">
        <f>OR(AND(IF(Metadata!G411="",FALSE,TRUE),OR(EXACT(Metadata!G411,"not collected"),EXACT(Metadata!G411,"not provided"))),AND(IF(Metadata!G411="",FALSE,TRUE),OR(EXACT(Metadata!G411,"TRUE"),EXACT(Metadata!G411,"FALSE"))))</f>
        <v>0</v>
      </c>
      <c r="AU411" t="b">
        <f>OR(AND(IF(Metadata!H411="",FALSE,TRUE),OR(EXACT(Metadata!H411,"not collected"),EXACT(Metadata!H411,"not provided"),EXACT(Metadata!H411,"restricted access"))),AND(IF(Metadata!H411="",FALSE,ISNUMBER(VALUE(Metadata!H411))),Metadata!H411&gt;=-413))</f>
        <v>0</v>
      </c>
      <c r="AV411" t="b">
        <f>AND(IF(Metadata!I411="",FALSE,TRUE),EXACT(Metadata!I411,"meters"))</f>
        <v>0</v>
      </c>
      <c r="AW411" t="b">
        <f>AND(IF(Metadata!J411="",FALSE,TRUE),EXACT(Metadata!J411,"free-living"))</f>
        <v>0</v>
      </c>
      <c r="AX411" t="b">
        <f>AND(IF(Metadata!K411="",FALSE,TRUE),OR(EXACT(Metadata!K411,"saline"),EXACT(Metadata!K411,"non-saline")))</f>
        <v>0</v>
      </c>
      <c r="AY411" t="b">
        <f>AND(IF(Metadata!L411="",FALSE,TRUE),OR(EXACT(Metadata!L411,"sub-surface (non-saline)"),EXACT(Metadata!L411,"surface (non-saline)"),EXACT(Metadata!L411,"water (non-saline)"),EXACT(Metadata!L411,"soil (non-saline)"),EXACT(Metadata!L411,"aerosol (non-saline)"),EXACT(Metadata!L411,"sediment (non-saline)"),EXACT(Metadata!L411,"surface (saline)"),EXACT(Metadata!L411,"water (saline)"),EXACT(Metadata!L411,"hypersaline (saline)"),EXACT(Metadata!L411,"aerosol (saline)"),EXACT(Metadata!L411,"sediment (saline)")))</f>
        <v>0</v>
      </c>
      <c r="AZ411" t="b">
        <f>IF(Metadata!M411="",FALSE,TRUE)</f>
        <v>0</v>
      </c>
      <c r="BA411" t="b">
        <f>IF(Metadata!N411="",FALSE,TRUE)</f>
        <v>0</v>
      </c>
      <c r="BB411" t="b">
        <f>IF(Metadata!O411="",FALSE,TRUE)</f>
        <v>0</v>
      </c>
      <c r="BC411" t="b">
        <f>AND(IF(Metadata!P411="",FALSE,TRUE),OR(EXACT(Metadata!P411,"air"),EXACT(Metadata!P411,"microbial mat/biofilm"),EXACT(Metadata!P411,"misc environment"),EXACT(Metadata!P411,"sediment"),EXACT(Metadata!P411,"soil"),EXACT(Metadata!P411,"wastewater/sludge"),EXACT(Metadata!P411,"water")))</f>
        <v>0</v>
      </c>
      <c r="BD411" t="b">
        <f>IF(Metadata!Q411="",FALSE,TRUE)</f>
        <v>0</v>
      </c>
      <c r="BE411" t="b">
        <f>IF(Metadata!R411="",FALSE,TRUE)</f>
        <v>0</v>
      </c>
      <c r="BF411" t="b">
        <f>OR(AND(IF(Metadata!S411="",FALSE,TRUE),OR(EXACT(Metadata!S411,"not collected"),EXACT(Metadata!S411,"not provided"),EXACT(Metadata!S411,"restricted access"))),AND(IF(Metadata!S411="",FALSE,ISNUMBER(VALUE(Metadata!S411))),Metadata!S411&gt;=-90,Metadata!S411&lt;=90))</f>
        <v>0</v>
      </c>
      <c r="BG411" t="b">
        <f>AND(IF(Metadata!T411="",FALSE,TRUE),EXACT(Metadata!T411,"Decimal degrees"))</f>
        <v>0</v>
      </c>
      <c r="BH411" t="b">
        <f>OR(AND(IF(Metadata!U411="",FALSE,TRUE),OR(EXACT(Metadata!U411,"not applicable"),EXACT(Metadata!U411,"not collected"))),IF(Metadata!U411="",FALSE,TRUE))</f>
        <v>0</v>
      </c>
      <c r="BI411" t="b">
        <f>OR(AND(IF(Metadata!V411="",FALSE,TRUE),OR(EXACT(Metadata!V411,"not collected"),EXACT(Metadata!V411,"not provided"),EXACT(Metadata!V411,"restricted access"))),AND(IF(Metadata!V411="",FALSE,ISNUMBER(VALUE(Metadata!V411))),Metadata!V411&gt;=-180,Metadata!V411&lt;=180))</f>
        <v>0</v>
      </c>
      <c r="BJ411" t="b">
        <f>AND(IF(Metadata!W411="",FALSE,TRUE),EXACT(Metadata!W411,"Decimal degrees"))</f>
        <v>0</v>
      </c>
      <c r="BK411" t="b">
        <f>IF(Metadata!X411="",FALSE,TRUE)</f>
        <v>0</v>
      </c>
      <c r="BL411" t="b">
        <f>OR(AND(IF(Metadata!Y411="",FALSE,TRUE),OR(EXACT(Metadata!Y411,"not collected"),EXACT(Metadata!Y411,"not provided"),EXACT(Metadata!Y411,"restricted access"))),AND(IF(Metadata!Y411="",FALSE,TRUE),OR(EXACT(Metadata!Y411,"TRUE"),EXACT(Metadata!Y411,"FALSE"))))</f>
        <v>0</v>
      </c>
      <c r="BM411" t="b">
        <f>OR(AND(IF(Metadata!Z411="",FALSE,TRUE),EXACT(Metadata!Z411,"not applicable")),AND(IF(Metadata!Z411="",FALSE,TRUE),OR(EXACT(Metadata!Z411,"beer"),EXACT(Metadata!Z411,"cheese"),EXACT(Metadata!Z411,"fresh water"),EXACT(Metadata!Z411,"marine sediment"),EXACT(Metadata!Z411,"sea water"),EXACT(Metadata!Z411,"sediment"),EXACT(Metadata!Z411,"soil"),EXACT(Metadata!Z411,"waste water"))))</f>
        <v>0</v>
      </c>
      <c r="BN411" t="b">
        <f>AND(IF(Metadata!AA411="",FALSE,TRUE),EXACT(Metadata!AA411,"metagenome"))</f>
        <v>0</v>
      </c>
      <c r="BO411" t="b">
        <f>AND(IF(Metadata!AB411="",FALSE,TRUE),EXACT(Metadata!AB411,"256318"))</f>
        <v>0</v>
      </c>
      <c r="BP411" t="b">
        <f>IF(Metadata!AC411="",FALSE,TRUE)</f>
        <v>0</v>
      </c>
      <c r="BQ411" t="b">
        <f>IF(Metadata!AD411="",FALSE,TRUE)</f>
        <v>0</v>
      </c>
    </row>
    <row r="412" spans="1:69" x14ac:dyDescent="0.2">
      <c r="A412" s="4" t="e">
        <f ca="1">IF(B412=" "," ",HYPERLINK(CONCATENATE("#metadata!",ADDRESS(INDEX($AJ$2:$AJ$1001,MATCH(ROWS($AH$2:AH412),$AH$2:$AH$1001,0),0),2)),INDEX($AM$2:$AM$1001,MATCH(ROWS($AH$2:AH412),$AH$2:$AH$1001,0),0)))</f>
        <v>#N/A</v>
      </c>
      <c r="B412" s="5" t="e">
        <f ca="1">IF(OR(INDEX($AI$2:$AI$1001,MATCH(ROWS($AH$2:AH412),$AH$2:$AH$1001,0),1)&gt;=100000,INDEX($AO$1005:$BQ$1005,1,MATCH(COLUMNS($AO$1006:AO1006),$AO$1006:$BQ$1006,0))&gt;=100000), " ",IF(INDEX($AO$2:$BQ$1001,MATCH(ROWS($AH$2:AH412),$AH$2:$AH$1001,0),MATCH(COLUMNS($AO$1006:AO1006),$AO$1006:$BQ$1006,0)), HYPERLINK("#",""), HYPERLINK(CONCATENATE("#Metadata!", ADDRESS(INDEX($AJ$2:$AJ$1001,MATCH(ROWS($AH$2:AH412),$AH$2:$AH$1001,0),0), INDEX($AO$1004:$BQ$1004,1,MATCH(COLUMNS($AO$1006:AO1006),$AO$1006:$BQ$1006,0)))),"Fix")))</f>
        <v>#N/A</v>
      </c>
      <c r="C412" s="5" t="e">
        <f ca="1">IF(OR(INDEX($AI$2:$AI$1001,MATCH(ROWS($AH$2:AH412),$AH$2:$AH$1001,0),1)&gt;=100000,INDEX($AO$1005:$BQ$1005,1,MATCH(COLUMNS($AO$1006:AP1006),$AO$1006:$BQ$1006,0))&gt;=100000), " ",IF(INDEX($AO$2:$BQ$1001,MATCH(ROWS($AH$2:AH412),$AH$2:$AH$1001,0),MATCH(COLUMNS($AO$1006:AP1006),$AO$1006:$BQ$1006,0)), HYPERLINK("#",""), HYPERLINK(CONCATENATE("#Metadata!", ADDRESS(INDEX($AJ$2:$AJ$1001,MATCH(ROWS($AH$2:AH412),$AH$2:$AH$1001,0),0), INDEX($AO$1004:$BQ$1004,1,MATCH(COLUMNS($AO$1006:AP1006),$AO$1006:$BQ$1006,0)))),"Fix")))</f>
        <v>#N/A</v>
      </c>
      <c r="D412" s="5" t="e">
        <f ca="1">IF(OR(INDEX($AI$2:$AI$1001,MATCH(ROWS($AH$2:AH412),$AH$2:$AH$1001,0),1)&gt;=100000,INDEX($AO$1005:$BQ$1005,1,MATCH(COLUMNS($AO$1006:AQ1006),$AO$1006:$BQ$1006,0))&gt;=100000), " ",IF(INDEX($AO$2:$BQ$1001,MATCH(ROWS($AH$2:AH412),$AH$2:$AH$1001,0),MATCH(COLUMNS($AO$1006:AQ1006),$AO$1006:$BQ$1006,0)), HYPERLINK("#",""), HYPERLINK(CONCATENATE("#Metadata!", ADDRESS(INDEX($AJ$2:$AJ$1001,MATCH(ROWS($AH$2:AH412),$AH$2:$AH$1001,0),0), INDEX($AO$1004:$BQ$1004,1,MATCH(COLUMNS($AO$1006:AQ1006),$AO$1006:$BQ$1006,0)))),"Fix")))</f>
        <v>#N/A</v>
      </c>
      <c r="E412" s="5" t="e">
        <f ca="1">IF(OR(INDEX($AI$2:$AI$1001,MATCH(ROWS($AH$2:AH412),$AH$2:$AH$1001,0),1)&gt;=100000,INDEX($AO$1005:$BQ$1005,1,MATCH(COLUMNS($AO$1006:AR1006),$AO$1006:$BQ$1006,0))&gt;=100000), " ",IF(INDEX($AO$2:$BQ$1001,MATCH(ROWS($AH$2:AH412),$AH$2:$AH$1001,0),MATCH(COLUMNS($AO$1006:AR1006),$AO$1006:$BQ$1006,0)), HYPERLINK("#",""), HYPERLINK(CONCATENATE("#Metadata!", ADDRESS(INDEX($AJ$2:$AJ$1001,MATCH(ROWS($AH$2:AH412),$AH$2:$AH$1001,0),0), INDEX($AO$1004:$BQ$1004,1,MATCH(COLUMNS($AO$1006:AR1006),$AO$1006:$BQ$1006,0)))),"Fix")))</f>
        <v>#N/A</v>
      </c>
      <c r="F412" s="5" t="e">
        <f ca="1">IF(OR(INDEX($AI$2:$AI$1001,MATCH(ROWS($AH$2:AH412),$AH$2:$AH$1001,0),1)&gt;=100000,INDEX($AO$1005:$BQ$1005,1,MATCH(COLUMNS($AO$1006:AS1006),$AO$1006:$BQ$1006,0))&gt;=100000), " ",IF(INDEX($AO$2:$BQ$1001,MATCH(ROWS($AH$2:AH412),$AH$2:$AH$1001,0),MATCH(COLUMNS($AO$1006:AS1006),$AO$1006:$BQ$1006,0)), HYPERLINK("#",""), HYPERLINK(CONCATENATE("#Metadata!", ADDRESS(INDEX($AJ$2:$AJ$1001,MATCH(ROWS($AH$2:AH412),$AH$2:$AH$1001,0),0), INDEX($AO$1004:$BQ$1004,1,MATCH(COLUMNS($AO$1006:AS1006),$AO$1006:$BQ$1006,0)))),"Fix")))</f>
        <v>#N/A</v>
      </c>
      <c r="G412" s="5" t="e">
        <f ca="1">IF(OR(INDEX($AI$2:$AI$1001,MATCH(ROWS($AH$2:AH412),$AH$2:$AH$1001,0),1)&gt;=100000,INDEX($AO$1005:$BQ$1005,1,MATCH(COLUMNS($AO$1006:AT1006),$AO$1006:$BQ$1006,0))&gt;=100000), " ",IF(INDEX($AO$2:$BQ$1001,MATCH(ROWS($AH$2:AH412),$AH$2:$AH$1001,0),MATCH(COLUMNS($AO$1006:AT1006),$AO$1006:$BQ$1006,0)), HYPERLINK("#",""), HYPERLINK(CONCATENATE("#Metadata!", ADDRESS(INDEX($AJ$2:$AJ$1001,MATCH(ROWS($AH$2:AH412),$AH$2:$AH$1001,0),0), INDEX($AO$1004:$BQ$1004,1,MATCH(COLUMNS($AO$1006:AT1006),$AO$1006:$BQ$1006,0)))),"Fix")))</f>
        <v>#N/A</v>
      </c>
      <c r="H412" s="5" t="e">
        <f ca="1">IF(OR(INDEX($AI$2:$AI$1001,MATCH(ROWS($AH$2:AH412),$AH$2:$AH$1001,0),1)&gt;=100000,INDEX($AO$1005:$BQ$1005,1,MATCH(COLUMNS($AO$1006:AU1006),$AO$1006:$BQ$1006,0))&gt;=100000), " ",IF(INDEX($AO$2:$BQ$1001,MATCH(ROWS($AH$2:AH412),$AH$2:$AH$1001,0),MATCH(COLUMNS($AO$1006:AU1006),$AO$1006:$BQ$1006,0)), HYPERLINK("#",""), HYPERLINK(CONCATENATE("#Metadata!", ADDRESS(INDEX($AJ$2:$AJ$1001,MATCH(ROWS($AH$2:AH412),$AH$2:$AH$1001,0),0), INDEX($AO$1004:$BQ$1004,1,MATCH(COLUMNS($AO$1006:AU1006),$AO$1006:$BQ$1006,0)))),"Fix")))</f>
        <v>#N/A</v>
      </c>
      <c r="I412" s="5" t="e">
        <f ca="1">IF(OR(INDEX($AI$2:$AI$1001,MATCH(ROWS($AH$2:AH412),$AH$2:$AH$1001,0),1)&gt;=100000,INDEX($AO$1005:$BQ$1005,1,MATCH(COLUMNS($AO$1006:AV1006),$AO$1006:$BQ$1006,0))&gt;=100000), " ",IF(INDEX($AO$2:$BQ$1001,MATCH(ROWS($AH$2:AH412),$AH$2:$AH$1001,0),MATCH(COLUMNS($AO$1006:AV1006),$AO$1006:$BQ$1006,0)), HYPERLINK("#",""), HYPERLINK(CONCATENATE("#Metadata!", ADDRESS(INDEX($AJ$2:$AJ$1001,MATCH(ROWS($AH$2:AH412),$AH$2:$AH$1001,0),0), INDEX($AO$1004:$BQ$1004,1,MATCH(COLUMNS($AO$1006:AV1006),$AO$1006:$BQ$1006,0)))),"Fix")))</f>
        <v>#N/A</v>
      </c>
      <c r="J412" s="5" t="e">
        <f ca="1">IF(OR(INDEX($AI$2:$AI$1001,MATCH(ROWS($AH$2:AH412),$AH$2:$AH$1001,0),1)&gt;=100000,INDEX($AO$1005:$BQ$1005,1,MATCH(COLUMNS($AO$1006:AW1006),$AO$1006:$BQ$1006,0))&gt;=100000), " ",IF(INDEX($AO$2:$BQ$1001,MATCH(ROWS($AH$2:AH412),$AH$2:$AH$1001,0),MATCH(COLUMNS($AO$1006:AW1006),$AO$1006:$BQ$1006,0)), HYPERLINK("#",""), HYPERLINK(CONCATENATE("#Metadata!", ADDRESS(INDEX($AJ$2:$AJ$1001,MATCH(ROWS($AH$2:AH412),$AH$2:$AH$1001,0),0), INDEX($AO$1004:$BQ$1004,1,MATCH(COLUMNS($AO$1006:AW1006),$AO$1006:$BQ$1006,0)))),"Fix")))</f>
        <v>#N/A</v>
      </c>
      <c r="K412" s="5" t="e">
        <f ca="1">IF(OR(INDEX($AI$2:$AI$1001,MATCH(ROWS($AH$2:AH412),$AH$2:$AH$1001,0),1)&gt;=100000,INDEX($AO$1005:$BQ$1005,1,MATCH(COLUMNS($AO$1006:AX1006),$AO$1006:$BQ$1006,0))&gt;=100000), " ",IF(INDEX($AO$2:$BQ$1001,MATCH(ROWS($AH$2:AH412),$AH$2:$AH$1001,0),MATCH(COLUMNS($AO$1006:AX1006),$AO$1006:$BQ$1006,0)), HYPERLINK("#",""), HYPERLINK(CONCATENATE("#Metadata!", ADDRESS(INDEX($AJ$2:$AJ$1001,MATCH(ROWS($AH$2:AH412),$AH$2:$AH$1001,0),0), INDEX($AO$1004:$BQ$1004,1,MATCH(COLUMNS($AO$1006:AX1006),$AO$1006:$BQ$1006,0)))),"Fix")))</f>
        <v>#N/A</v>
      </c>
      <c r="L412" s="5" t="e">
        <f ca="1">IF(OR(INDEX($AI$2:$AI$1001,MATCH(ROWS($AH$2:AH412),$AH$2:$AH$1001,0),1)&gt;=100000,INDEX($AO$1005:$BQ$1005,1,MATCH(COLUMNS($AO$1006:AY1006),$AO$1006:$BQ$1006,0))&gt;=100000), " ",IF(INDEX($AO$2:$BQ$1001,MATCH(ROWS($AH$2:AH412),$AH$2:$AH$1001,0),MATCH(COLUMNS($AO$1006:AY1006),$AO$1006:$BQ$1006,0)), HYPERLINK("#",""), HYPERLINK(CONCATENATE("#Metadata!", ADDRESS(INDEX($AJ$2:$AJ$1001,MATCH(ROWS($AH$2:AH412),$AH$2:$AH$1001,0),0), INDEX($AO$1004:$BQ$1004,1,MATCH(COLUMNS($AO$1006:AY1006),$AO$1006:$BQ$1006,0)))),"Fix")))</f>
        <v>#N/A</v>
      </c>
      <c r="M412" s="5" t="e">
        <f ca="1">IF(OR(INDEX($AI$2:$AI$1001,MATCH(ROWS($AH$2:AH412),$AH$2:$AH$1001,0),1)&gt;=100000,INDEX($AO$1005:$BQ$1005,1,MATCH(COLUMNS($AO$1006:AZ1006),$AO$1006:$BQ$1006,0))&gt;=100000), " ",IF(INDEX($AO$2:$BQ$1001,MATCH(ROWS($AH$2:AH412),$AH$2:$AH$1001,0),MATCH(COLUMNS($AO$1006:AZ1006),$AO$1006:$BQ$1006,0)), HYPERLINK("#",""), HYPERLINK(CONCATENATE("#Metadata!", ADDRESS(INDEX($AJ$2:$AJ$1001,MATCH(ROWS($AH$2:AH412),$AH$2:$AH$1001,0),0), INDEX($AO$1004:$BQ$1004,1,MATCH(COLUMNS($AO$1006:AZ1006),$AO$1006:$BQ$1006,0)))),"Fix")))</f>
        <v>#N/A</v>
      </c>
      <c r="N412" s="5" t="e">
        <f ca="1">IF(OR(INDEX($AI$2:$AI$1001,MATCH(ROWS($AH$2:AH412),$AH$2:$AH$1001,0),1)&gt;=100000,INDEX($AO$1005:$BQ$1005,1,MATCH(COLUMNS($AO$1006:BA1006),$AO$1006:$BQ$1006,0))&gt;=100000), " ",IF(INDEX($AO$2:$BQ$1001,MATCH(ROWS($AH$2:AH412),$AH$2:$AH$1001,0),MATCH(COLUMNS($AO$1006:BA1006),$AO$1006:$BQ$1006,0)), HYPERLINK("#",""), HYPERLINK(CONCATENATE("#Metadata!", ADDRESS(INDEX($AJ$2:$AJ$1001,MATCH(ROWS($AH$2:AH412),$AH$2:$AH$1001,0),0), INDEX($AO$1004:$BQ$1004,1,MATCH(COLUMNS($AO$1006:BA1006),$AO$1006:$BQ$1006,0)))),"Fix")))</f>
        <v>#N/A</v>
      </c>
      <c r="O412" s="5" t="e">
        <f ca="1">IF(OR(INDEX($AI$2:$AI$1001,MATCH(ROWS($AH$2:AH412),$AH$2:$AH$1001,0),1)&gt;=100000,INDEX($AO$1005:$BQ$1005,1,MATCH(COLUMNS($AO$1006:BB1006),$AO$1006:$BQ$1006,0))&gt;=100000), " ",IF(INDEX($AO$2:$BQ$1001,MATCH(ROWS($AH$2:AH412),$AH$2:$AH$1001,0),MATCH(COLUMNS($AO$1006:BB1006),$AO$1006:$BQ$1006,0)), HYPERLINK("#",""), HYPERLINK(CONCATENATE("#Metadata!", ADDRESS(INDEX($AJ$2:$AJ$1001,MATCH(ROWS($AH$2:AH412),$AH$2:$AH$1001,0),0), INDEX($AO$1004:$BQ$1004,1,MATCH(COLUMNS($AO$1006:BB1006),$AO$1006:$BQ$1006,0)))),"Fix")))</f>
        <v>#N/A</v>
      </c>
      <c r="P412" s="5" t="e">
        <f ca="1">IF(OR(INDEX($AI$2:$AI$1001,MATCH(ROWS($AH$2:AH412),$AH$2:$AH$1001,0),1)&gt;=100000,INDEX($AO$1005:$BQ$1005,1,MATCH(COLUMNS($AO$1006:BC1006),$AO$1006:$BQ$1006,0))&gt;=100000), " ",IF(INDEX($AO$2:$BQ$1001,MATCH(ROWS($AH$2:AH412),$AH$2:$AH$1001,0),MATCH(COLUMNS($AO$1006:BC1006),$AO$1006:$BQ$1006,0)), HYPERLINK("#",""), HYPERLINK(CONCATENATE("#Metadata!", ADDRESS(INDEX($AJ$2:$AJ$1001,MATCH(ROWS($AH$2:AH412),$AH$2:$AH$1001,0),0), INDEX($AO$1004:$BQ$1004,1,MATCH(COLUMNS($AO$1006:BC1006),$AO$1006:$BQ$1006,0)))),"Fix")))</f>
        <v>#N/A</v>
      </c>
      <c r="Q412" s="5" t="e">
        <f ca="1">IF(OR(INDEX($AI$2:$AI$1001,MATCH(ROWS($AH$2:AH412),$AH$2:$AH$1001,0),1)&gt;=100000,INDEX($AO$1005:$BQ$1005,1,MATCH(COLUMNS($AO$1006:BD1006),$AO$1006:$BQ$1006,0))&gt;=100000), " ",IF(INDEX($AO$2:$BQ$1001,MATCH(ROWS($AH$2:AH412),$AH$2:$AH$1001,0),MATCH(COLUMNS($AO$1006:BD1006),$AO$1006:$BQ$1006,0)), HYPERLINK("#",""), HYPERLINK(CONCATENATE("#Metadata!", ADDRESS(INDEX($AJ$2:$AJ$1001,MATCH(ROWS($AH$2:AH412),$AH$2:$AH$1001,0),0), INDEX($AO$1004:$BQ$1004,1,MATCH(COLUMNS($AO$1006:BD1006),$AO$1006:$BQ$1006,0)))),"Fix")))</f>
        <v>#N/A</v>
      </c>
      <c r="R412" s="5" t="e">
        <f ca="1">IF(OR(INDEX($AI$2:$AI$1001,MATCH(ROWS($AH$2:AH412),$AH$2:$AH$1001,0),1)&gt;=100000,INDEX($AO$1005:$BQ$1005,1,MATCH(COLUMNS($AO$1006:BE1006),$AO$1006:$BQ$1006,0))&gt;=100000), " ",IF(INDEX($AO$2:$BQ$1001,MATCH(ROWS($AH$2:AH412),$AH$2:$AH$1001,0),MATCH(COLUMNS($AO$1006:BE1006),$AO$1006:$BQ$1006,0)), HYPERLINK("#",""), HYPERLINK(CONCATENATE("#Metadata!", ADDRESS(INDEX($AJ$2:$AJ$1001,MATCH(ROWS($AH$2:AH412),$AH$2:$AH$1001,0),0), INDEX($AO$1004:$BQ$1004,1,MATCH(COLUMNS($AO$1006:BE1006),$AO$1006:$BQ$1006,0)))),"Fix")))</f>
        <v>#N/A</v>
      </c>
      <c r="S412" s="5" t="e">
        <f ca="1">IF(OR(INDEX($AI$2:$AI$1001,MATCH(ROWS($AH$2:AH412),$AH$2:$AH$1001,0),1)&gt;=100000,INDEX($AO$1005:$BQ$1005,1,MATCH(COLUMNS($AO$1006:BF1006),$AO$1006:$BQ$1006,0))&gt;=100000), " ",IF(INDEX($AO$2:$BQ$1001,MATCH(ROWS($AH$2:AH412),$AH$2:$AH$1001,0),MATCH(COLUMNS($AO$1006:BF1006),$AO$1006:$BQ$1006,0)), HYPERLINK("#",""), HYPERLINK(CONCATENATE("#Metadata!", ADDRESS(INDEX($AJ$2:$AJ$1001,MATCH(ROWS($AH$2:AH412),$AH$2:$AH$1001,0),0), INDEX($AO$1004:$BQ$1004,1,MATCH(COLUMNS($AO$1006:BF1006),$AO$1006:$BQ$1006,0)))),"Fix")))</f>
        <v>#N/A</v>
      </c>
      <c r="T412" s="5" t="e">
        <f ca="1">IF(OR(INDEX($AI$2:$AI$1001,MATCH(ROWS($AH$2:AH412),$AH$2:$AH$1001,0),1)&gt;=100000,INDEX($AO$1005:$BQ$1005,1,MATCH(COLUMNS($AO$1006:BG1006),$AO$1006:$BQ$1006,0))&gt;=100000), " ",IF(INDEX($AO$2:$BQ$1001,MATCH(ROWS($AH$2:AH412),$AH$2:$AH$1001,0),MATCH(COLUMNS($AO$1006:BG1006),$AO$1006:$BQ$1006,0)), HYPERLINK("#",""), HYPERLINK(CONCATENATE("#Metadata!", ADDRESS(INDEX($AJ$2:$AJ$1001,MATCH(ROWS($AH$2:AH412),$AH$2:$AH$1001,0),0), INDEX($AO$1004:$BQ$1004,1,MATCH(COLUMNS($AO$1006:BG1006),$AO$1006:$BQ$1006,0)))),"Fix")))</f>
        <v>#N/A</v>
      </c>
      <c r="U412" s="5" t="e">
        <f ca="1">IF(OR(INDEX($AI$2:$AI$1001,MATCH(ROWS($AH$2:AH412),$AH$2:$AH$1001,0),1)&gt;=100000,INDEX($AO$1005:$BQ$1005,1,MATCH(COLUMNS($AO$1006:BH1006),$AO$1006:$BQ$1006,0))&gt;=100000), " ",IF(INDEX($AO$2:$BQ$1001,MATCH(ROWS($AH$2:AH412),$AH$2:$AH$1001,0),MATCH(COLUMNS($AO$1006:BH1006),$AO$1006:$BQ$1006,0)), HYPERLINK("#",""), HYPERLINK(CONCATENATE("#Metadata!", ADDRESS(INDEX($AJ$2:$AJ$1001,MATCH(ROWS($AH$2:AH412),$AH$2:$AH$1001,0),0), INDEX($AO$1004:$BQ$1004,1,MATCH(COLUMNS($AO$1006:BH1006),$AO$1006:$BQ$1006,0)))),"Fix")))</f>
        <v>#N/A</v>
      </c>
      <c r="V412" s="5" t="e">
        <f ca="1">IF(OR(INDEX($AI$2:$AI$1001,MATCH(ROWS($AH$2:AH412),$AH$2:$AH$1001,0),1)&gt;=100000,INDEX($AO$1005:$BQ$1005,1,MATCH(COLUMNS($AO$1006:BI1006),$AO$1006:$BQ$1006,0))&gt;=100000), " ",IF(INDEX($AO$2:$BQ$1001,MATCH(ROWS($AH$2:AH412),$AH$2:$AH$1001,0),MATCH(COLUMNS($AO$1006:BI1006),$AO$1006:$BQ$1006,0)), HYPERLINK("#",""), HYPERLINK(CONCATENATE("#Metadata!", ADDRESS(INDEX($AJ$2:$AJ$1001,MATCH(ROWS($AH$2:AH412),$AH$2:$AH$1001,0),0), INDEX($AO$1004:$BQ$1004,1,MATCH(COLUMNS($AO$1006:BI1006),$AO$1006:$BQ$1006,0)))),"Fix")))</f>
        <v>#N/A</v>
      </c>
      <c r="W412" s="5" t="e">
        <f ca="1">IF(OR(INDEX($AI$2:$AI$1001,MATCH(ROWS($AH$2:AH412),$AH$2:$AH$1001,0),1)&gt;=100000,INDEX($AO$1005:$BQ$1005,1,MATCH(COLUMNS($AO$1006:BJ1006),$AO$1006:$BQ$1006,0))&gt;=100000), " ",IF(INDEX($AO$2:$BQ$1001,MATCH(ROWS($AH$2:AH412),$AH$2:$AH$1001,0),MATCH(COLUMNS($AO$1006:BJ1006),$AO$1006:$BQ$1006,0)), HYPERLINK("#",""), HYPERLINK(CONCATENATE("#Metadata!", ADDRESS(INDEX($AJ$2:$AJ$1001,MATCH(ROWS($AH$2:AH412),$AH$2:$AH$1001,0),0), INDEX($AO$1004:$BQ$1004,1,MATCH(COLUMNS($AO$1006:BJ1006),$AO$1006:$BQ$1006,0)))),"Fix")))</f>
        <v>#N/A</v>
      </c>
      <c r="X412" s="5" t="e">
        <f ca="1">IF(OR(INDEX($AI$2:$AI$1001,MATCH(ROWS($AH$2:AH412),$AH$2:$AH$1001,0),1)&gt;=100000,INDEX($AO$1005:$BQ$1005,1,MATCH(COLUMNS($AO$1006:BK1006),$AO$1006:$BQ$1006,0))&gt;=100000), " ",IF(INDEX($AO$2:$BQ$1001,MATCH(ROWS($AH$2:AH412),$AH$2:$AH$1001,0),MATCH(COLUMNS($AO$1006:BK1006),$AO$1006:$BQ$1006,0)), HYPERLINK("#",""), HYPERLINK(CONCATENATE("#Metadata!", ADDRESS(INDEX($AJ$2:$AJ$1001,MATCH(ROWS($AH$2:AH412),$AH$2:$AH$1001,0),0), INDEX($AO$1004:$BQ$1004,1,MATCH(COLUMNS($AO$1006:BK1006),$AO$1006:$BQ$1006,0)))),"Fix")))</f>
        <v>#N/A</v>
      </c>
      <c r="Y412" s="5" t="e">
        <f ca="1">IF(OR(INDEX($AI$2:$AI$1001,MATCH(ROWS($AH$2:AH412),$AH$2:$AH$1001,0),1)&gt;=100000,INDEX($AO$1005:$BQ$1005,1,MATCH(COLUMNS($AO$1006:BL1006),$AO$1006:$BQ$1006,0))&gt;=100000), " ",IF(INDEX($AO$2:$BQ$1001,MATCH(ROWS($AH$2:AH412),$AH$2:$AH$1001,0),MATCH(COLUMNS($AO$1006:BL1006),$AO$1006:$BQ$1006,0)), HYPERLINK("#",""), HYPERLINK(CONCATENATE("#Metadata!", ADDRESS(INDEX($AJ$2:$AJ$1001,MATCH(ROWS($AH$2:AH412),$AH$2:$AH$1001,0),0), INDEX($AO$1004:$BQ$1004,1,MATCH(COLUMNS($AO$1006:BL1006),$AO$1006:$BQ$1006,0)))),"Fix")))</f>
        <v>#N/A</v>
      </c>
      <c r="Z412" s="5" t="e">
        <f ca="1">IF(OR(INDEX($AI$2:$AI$1001,MATCH(ROWS($AH$2:AH412),$AH$2:$AH$1001,0),1)&gt;=100000,INDEX($AO$1005:$BQ$1005,1,MATCH(COLUMNS($AO$1006:BM1006),$AO$1006:$BQ$1006,0))&gt;=100000), " ",IF(INDEX($AO$2:$BQ$1001,MATCH(ROWS($AH$2:AH412),$AH$2:$AH$1001,0),MATCH(COLUMNS($AO$1006:BM1006),$AO$1006:$BQ$1006,0)), HYPERLINK("#",""), HYPERLINK(CONCATENATE("#Metadata!", ADDRESS(INDEX($AJ$2:$AJ$1001,MATCH(ROWS($AH$2:AH412),$AH$2:$AH$1001,0),0), INDEX($AO$1004:$BQ$1004,1,MATCH(COLUMNS($AO$1006:BM1006),$AO$1006:$BQ$1006,0)))),"Fix")))</f>
        <v>#N/A</v>
      </c>
      <c r="AA412" s="5" t="e">
        <f ca="1">IF(OR(INDEX($AI$2:$AI$1001,MATCH(ROWS($AH$2:AH412),$AH$2:$AH$1001,0),1)&gt;=100000,INDEX($AO$1005:$BQ$1005,1,MATCH(COLUMNS($AO$1006:BN1006),$AO$1006:$BQ$1006,0))&gt;=100000), " ",IF(INDEX($AO$2:$BQ$1001,MATCH(ROWS($AH$2:AH412),$AH$2:$AH$1001,0),MATCH(COLUMNS($AO$1006:BN1006),$AO$1006:$BQ$1006,0)), HYPERLINK("#",""), HYPERLINK(CONCATENATE("#Metadata!", ADDRESS(INDEX($AJ$2:$AJ$1001,MATCH(ROWS($AH$2:AH412),$AH$2:$AH$1001,0),0), INDEX($AO$1004:$BQ$1004,1,MATCH(COLUMNS($AO$1006:BN1006),$AO$1006:$BQ$1006,0)))),"Fix")))</f>
        <v>#N/A</v>
      </c>
      <c r="AB412" s="5" t="e">
        <f ca="1">IF(OR(INDEX($AI$2:$AI$1001,MATCH(ROWS($AH$2:AH412),$AH$2:$AH$1001,0),1)&gt;=100000,INDEX($AO$1005:$BQ$1005,1,MATCH(COLUMNS($AO$1006:BO1006),$AO$1006:$BQ$1006,0))&gt;=100000), " ",IF(INDEX($AO$2:$BQ$1001,MATCH(ROWS($AH$2:AH412),$AH$2:$AH$1001,0),MATCH(COLUMNS($AO$1006:BO1006),$AO$1006:$BQ$1006,0)), HYPERLINK("#",""), HYPERLINK(CONCATENATE("#Metadata!", ADDRESS(INDEX($AJ$2:$AJ$1001,MATCH(ROWS($AH$2:AH412),$AH$2:$AH$1001,0),0), INDEX($AO$1004:$BQ$1004,1,MATCH(COLUMNS($AO$1006:BO1006),$AO$1006:$BQ$1006,0)))),"Fix")))</f>
        <v>#N/A</v>
      </c>
      <c r="AC412" s="5" t="e">
        <f ca="1">IF(OR(INDEX($AI$2:$AI$1001,MATCH(ROWS($AH$2:AH412),$AH$2:$AH$1001,0),1)&gt;=100000,INDEX($AO$1005:$BQ$1005,1,MATCH(COLUMNS($AO$1006:BP1006),$AO$1006:$BQ$1006,0))&gt;=100000), " ",IF(INDEX($AO$2:$BQ$1001,MATCH(ROWS($AH$2:AH412),$AH$2:$AH$1001,0),MATCH(COLUMNS($AO$1006:BP1006),$AO$1006:$BQ$1006,0)), HYPERLINK("#",""), HYPERLINK(CONCATENATE("#Metadata!", ADDRESS(INDEX($AJ$2:$AJ$1001,MATCH(ROWS($AH$2:AH412),$AH$2:$AH$1001,0),0), INDEX($AO$1004:$BQ$1004,1,MATCH(COLUMNS($AO$1006:BP1006),$AO$1006:$BQ$1006,0)))),"Fix")))</f>
        <v>#N/A</v>
      </c>
      <c r="AD412" s="5" t="e">
        <f ca="1">IF(OR(INDEX($AI$2:$AI$1001,MATCH(ROWS($AH$2:AH412),$AH$2:$AH$1001,0),1)&gt;=100000,INDEX($AO$1005:$BQ$1005,1,MATCH(COLUMNS($AO$1006:BQ1006),$AO$1006:$BQ$1006,0))&gt;=100000), " ",IF(INDEX($AO$2:$BQ$1001,MATCH(ROWS($AH$2:AH412),$AH$2:$AH$1001,0),MATCH(COLUMNS($AO$1006:BQ1006),$AO$1006:$BQ$1006,0)), HYPERLINK("#",""), HYPERLINK(CONCATENATE("#Metadata!", ADDRESS(INDEX($AJ$2:$AJ$1001,MATCH(ROWS($AH$2:AH412),$AH$2:$AH$1001,0),0), INDEX($AO$1004:$BQ$1004,1,MATCH(COLUMNS($AO$1006:BQ1006),$AO$1006:$BQ$1006,0)))),"Fix")))</f>
        <v>#REF!</v>
      </c>
      <c r="AH412">
        <f ca="1"/>
        <v>409</v>
      </c>
      <c r="AI412">
        <v>100412</v>
      </c>
      <c r="AJ412">
        <v>412</v>
      </c>
      <c r="AK412" t="b">
        <f t="shared" si="6"/>
        <v>1</v>
      </c>
      <c r="AL412" t="b">
        <f>COUNTBLANK(Metadata!B412:AD412)=COLUMNS(Metadata!B412:AD412)</f>
        <v>1</v>
      </c>
      <c r="AM412" t="str">
        <v/>
      </c>
      <c r="AO412" t="b">
        <f ca="1">AND(IF(Metadata!B412="",FALSE,TRUE),COUNTIF(Metadata!B:B, Metadata!B412) = 1,NOT(ISERROR(SUMPRODUCT(SEARCH(MID(Metadata!B412,ROW(INDIRECT("1:"&amp;LEN(Metadata!B412))), 1),"0123456789abcdefghijklmnopqrstuvwxyzABCDEFGHIJKLMNOPQRSTUVWXYZ.")))))</f>
        <v>0</v>
      </c>
      <c r="AP412" t="b">
        <f>IF(Metadata!C412="",FALSE,TRUE)</f>
        <v>0</v>
      </c>
      <c r="AQ412" t="b">
        <f>IF(Metadata!D412="",FALSE,TRUE)</f>
        <v>0</v>
      </c>
      <c r="AR412" t="b">
        <f ca="1">OR(AND(IF(Metadata!E412="",FALSE,TRUE),OR(EXACT(Metadata!E412,"not collected"),EXACT(Metadata!E412,"not provided"),EXACT(Metadata!E412,"restricted access"))),AND(IF(Metadata!E412="",FALSE,TRUE),AND(AND(IFERROR(INT(LEFT(Metadata!E412,4))&gt;1900,FALSE),IFERROR(INT(LEFT(Metadata!E412,4))&lt;=YEAR(NOW()),FALSE)), OR(MID(Metadata!E412,5,1)="", AND(AND(MID(Metadata!E412,5,1)="-",IFERROR(INT(MID(Metadata!E412,6,1))&gt;=0,FALSE),IFERROR(INT(MID(Metadata!E412,6,1))&lt;=1,FALSE),NOT(MID(Metadata!E412,7,1)=""),IFERROR(INT(MID(Metadata!E412,6,2))&gt;=1,FALSE),IFERROR(INT(MID(Metadata!E412,6,2))&lt;=12,FALSE)), OR(MID(Metadata!E412,8,1)="", AND(AND(MID(Metadata!E412,8,1)="-",IFERROR(INT(MID(Metadata!E412,9,1))&gt;=0,FALSE),IFERROR(INT(MID(Metadata!E412,9,1))&lt;=3,FALSE),NOT(MID(Metadata!E412,10,1)=""),IFERROR(INT(MID(Metadata!E412,9,2))&gt;=1,FALSE),IFERROR(INT(MID(Metadata!E412,9,2))&lt;=31,FALSE)), OR(MID(Metadata!E412,11,1)="", AND(AND(MID(Metadata!E412,11,1)=" ",IFERROR(INT(MID(Metadata!E412,12,1))&gt;=0,FALSE),IFERROR(INT(MID(Metadata!E412,12,1))&lt;=2,FALSE),NOT(MID(Metadata!E412,13,1)=""),IFERROR(INT(MID(Metadata!E412,12,2))&gt;=0,FALSE),IFERROR(INT(MID(Metadata!E412,12,2))&lt;=23,FALSE)), OR(MID(Metadata!E412,14,1)="", AND(AND(MID(Metadata!E412,14,1)=":",IFERROR(INT(MID(Metadata!E412,15,1))&gt;=0,FALSE),IFERROR(INT(MID(Metadata!E412,15,1))&lt;=5,FALSE),NOT(MID(Metadata!E412,16,1)=""),IFERROR(INT(MID(Metadata!E412,15,2))&gt;=0,FALSE),IFERROR(INT(MID(Metadata!E412,15,2))&lt;=59,FALSE)), OR(MID(Metadata!E412,17,1)="", AND(AND(MID(Metadata!E412,17,1)=":",IFERROR(INT(MID(Metadata!E412,18,1))&gt;=0,FALSE),IFERROR(INT(MID(Metadata!E412,18,1))&lt;=5,FALSE),NOT(MID(Metadata!E412,19,1)=""),IFERROR(INT(MID(Metadata!E412,18,2))&gt;=0,FALSE),IFERROR(INT(MID(Metadata!E412,18,2))&lt;=59,FALSE)), LEN(Metadata!E412)&lt;=19)))))))))))))</f>
        <v>0</v>
      </c>
      <c r="AS412" t="b">
        <f>IF(Metadata!F412="",FALSE,TRUE)</f>
        <v>0</v>
      </c>
      <c r="AT412" t="b">
        <f>OR(AND(IF(Metadata!G412="",FALSE,TRUE),OR(EXACT(Metadata!G412,"not collected"),EXACT(Metadata!G412,"not provided"))),AND(IF(Metadata!G412="",FALSE,TRUE),OR(EXACT(Metadata!G412,"TRUE"),EXACT(Metadata!G412,"FALSE"))))</f>
        <v>0</v>
      </c>
      <c r="AU412" t="b">
        <f>OR(AND(IF(Metadata!H412="",FALSE,TRUE),OR(EXACT(Metadata!H412,"not collected"),EXACT(Metadata!H412,"not provided"),EXACT(Metadata!H412,"restricted access"))),AND(IF(Metadata!H412="",FALSE,ISNUMBER(VALUE(Metadata!H412))),Metadata!H412&gt;=-413))</f>
        <v>0</v>
      </c>
      <c r="AV412" t="b">
        <f>AND(IF(Metadata!I412="",FALSE,TRUE),EXACT(Metadata!I412,"meters"))</f>
        <v>0</v>
      </c>
      <c r="AW412" t="b">
        <f>AND(IF(Metadata!J412="",FALSE,TRUE),EXACT(Metadata!J412,"free-living"))</f>
        <v>0</v>
      </c>
      <c r="AX412" t="b">
        <f>AND(IF(Metadata!K412="",FALSE,TRUE),OR(EXACT(Metadata!K412,"saline"),EXACT(Metadata!K412,"non-saline")))</f>
        <v>0</v>
      </c>
      <c r="AY412" t="b">
        <f>AND(IF(Metadata!L412="",FALSE,TRUE),OR(EXACT(Metadata!L412,"sub-surface (non-saline)"),EXACT(Metadata!L412,"surface (non-saline)"),EXACT(Metadata!L412,"water (non-saline)"),EXACT(Metadata!L412,"soil (non-saline)"),EXACT(Metadata!L412,"aerosol (non-saline)"),EXACT(Metadata!L412,"sediment (non-saline)"),EXACT(Metadata!L412,"surface (saline)"),EXACT(Metadata!L412,"water (saline)"),EXACT(Metadata!L412,"hypersaline (saline)"),EXACT(Metadata!L412,"aerosol (saline)"),EXACT(Metadata!L412,"sediment (saline)")))</f>
        <v>0</v>
      </c>
      <c r="AZ412" t="b">
        <f>IF(Metadata!M412="",FALSE,TRUE)</f>
        <v>0</v>
      </c>
      <c r="BA412" t="b">
        <f>IF(Metadata!N412="",FALSE,TRUE)</f>
        <v>0</v>
      </c>
      <c r="BB412" t="b">
        <f>IF(Metadata!O412="",FALSE,TRUE)</f>
        <v>0</v>
      </c>
      <c r="BC412" t="b">
        <f>AND(IF(Metadata!P412="",FALSE,TRUE),OR(EXACT(Metadata!P412,"air"),EXACT(Metadata!P412,"microbial mat/biofilm"),EXACT(Metadata!P412,"misc environment"),EXACT(Metadata!P412,"sediment"),EXACT(Metadata!P412,"soil"),EXACT(Metadata!P412,"wastewater/sludge"),EXACT(Metadata!P412,"water")))</f>
        <v>0</v>
      </c>
      <c r="BD412" t="b">
        <f>IF(Metadata!Q412="",FALSE,TRUE)</f>
        <v>0</v>
      </c>
      <c r="BE412" t="b">
        <f>IF(Metadata!R412="",FALSE,TRUE)</f>
        <v>0</v>
      </c>
      <c r="BF412" t="b">
        <f>OR(AND(IF(Metadata!S412="",FALSE,TRUE),OR(EXACT(Metadata!S412,"not collected"),EXACT(Metadata!S412,"not provided"),EXACT(Metadata!S412,"restricted access"))),AND(IF(Metadata!S412="",FALSE,ISNUMBER(VALUE(Metadata!S412))),Metadata!S412&gt;=-90,Metadata!S412&lt;=90))</f>
        <v>0</v>
      </c>
      <c r="BG412" t="b">
        <f>AND(IF(Metadata!T412="",FALSE,TRUE),EXACT(Metadata!T412,"Decimal degrees"))</f>
        <v>0</v>
      </c>
      <c r="BH412" t="b">
        <f>OR(AND(IF(Metadata!U412="",FALSE,TRUE),OR(EXACT(Metadata!U412,"not applicable"),EXACT(Metadata!U412,"not collected"))),IF(Metadata!U412="",FALSE,TRUE))</f>
        <v>0</v>
      </c>
      <c r="BI412" t="b">
        <f>OR(AND(IF(Metadata!V412="",FALSE,TRUE),OR(EXACT(Metadata!V412,"not collected"),EXACT(Metadata!V412,"not provided"),EXACT(Metadata!V412,"restricted access"))),AND(IF(Metadata!V412="",FALSE,ISNUMBER(VALUE(Metadata!V412))),Metadata!V412&gt;=-180,Metadata!V412&lt;=180))</f>
        <v>0</v>
      </c>
      <c r="BJ412" t="b">
        <f>AND(IF(Metadata!W412="",FALSE,TRUE),EXACT(Metadata!W412,"Decimal degrees"))</f>
        <v>0</v>
      </c>
      <c r="BK412" t="b">
        <f>IF(Metadata!X412="",FALSE,TRUE)</f>
        <v>0</v>
      </c>
      <c r="BL412" t="b">
        <f>OR(AND(IF(Metadata!Y412="",FALSE,TRUE),OR(EXACT(Metadata!Y412,"not collected"),EXACT(Metadata!Y412,"not provided"),EXACT(Metadata!Y412,"restricted access"))),AND(IF(Metadata!Y412="",FALSE,TRUE),OR(EXACT(Metadata!Y412,"TRUE"),EXACT(Metadata!Y412,"FALSE"))))</f>
        <v>0</v>
      </c>
      <c r="BM412" t="b">
        <f>OR(AND(IF(Metadata!Z412="",FALSE,TRUE),EXACT(Metadata!Z412,"not applicable")),AND(IF(Metadata!Z412="",FALSE,TRUE),OR(EXACT(Metadata!Z412,"beer"),EXACT(Metadata!Z412,"cheese"),EXACT(Metadata!Z412,"fresh water"),EXACT(Metadata!Z412,"marine sediment"),EXACT(Metadata!Z412,"sea water"),EXACT(Metadata!Z412,"sediment"),EXACT(Metadata!Z412,"soil"),EXACT(Metadata!Z412,"waste water"))))</f>
        <v>0</v>
      </c>
      <c r="BN412" t="b">
        <f>AND(IF(Metadata!AA412="",FALSE,TRUE),EXACT(Metadata!AA412,"metagenome"))</f>
        <v>0</v>
      </c>
      <c r="BO412" t="b">
        <f>AND(IF(Metadata!AB412="",FALSE,TRUE),EXACT(Metadata!AB412,"256318"))</f>
        <v>0</v>
      </c>
      <c r="BP412" t="b">
        <f>IF(Metadata!AC412="",FALSE,TRUE)</f>
        <v>0</v>
      </c>
      <c r="BQ412" t="b">
        <f>IF(Metadata!AD412="",FALSE,TRUE)</f>
        <v>0</v>
      </c>
    </row>
    <row r="413" spans="1:69" x14ac:dyDescent="0.2">
      <c r="A413" s="4" t="e">
        <f ca="1">IF(B413=" "," ",HYPERLINK(CONCATENATE("#metadata!",ADDRESS(INDEX($AJ$2:$AJ$1001,MATCH(ROWS($AH$2:AH413),$AH$2:$AH$1001,0),0),2)),INDEX($AM$2:$AM$1001,MATCH(ROWS($AH$2:AH413),$AH$2:$AH$1001,0),0)))</f>
        <v>#N/A</v>
      </c>
      <c r="B413" s="5" t="e">
        <f ca="1">IF(OR(INDEX($AI$2:$AI$1001,MATCH(ROWS($AH$2:AH413),$AH$2:$AH$1001,0),1)&gt;=100000,INDEX($AO$1005:$BQ$1005,1,MATCH(COLUMNS($AO$1006:AO1006),$AO$1006:$BQ$1006,0))&gt;=100000), " ",IF(INDEX($AO$2:$BQ$1001,MATCH(ROWS($AH$2:AH413),$AH$2:$AH$1001,0),MATCH(COLUMNS($AO$1006:AO1006),$AO$1006:$BQ$1006,0)), HYPERLINK("#",""), HYPERLINK(CONCATENATE("#Metadata!", ADDRESS(INDEX($AJ$2:$AJ$1001,MATCH(ROWS($AH$2:AH413),$AH$2:$AH$1001,0),0), INDEX($AO$1004:$BQ$1004,1,MATCH(COLUMNS($AO$1006:AO1006),$AO$1006:$BQ$1006,0)))),"Fix")))</f>
        <v>#N/A</v>
      </c>
      <c r="C413" s="5" t="e">
        <f ca="1">IF(OR(INDEX($AI$2:$AI$1001,MATCH(ROWS($AH$2:AH413),$AH$2:$AH$1001,0),1)&gt;=100000,INDEX($AO$1005:$BQ$1005,1,MATCH(COLUMNS($AO$1006:AP1006),$AO$1006:$BQ$1006,0))&gt;=100000), " ",IF(INDEX($AO$2:$BQ$1001,MATCH(ROWS($AH$2:AH413),$AH$2:$AH$1001,0),MATCH(COLUMNS($AO$1006:AP1006),$AO$1006:$BQ$1006,0)), HYPERLINK("#",""), HYPERLINK(CONCATENATE("#Metadata!", ADDRESS(INDEX($AJ$2:$AJ$1001,MATCH(ROWS($AH$2:AH413),$AH$2:$AH$1001,0),0), INDEX($AO$1004:$BQ$1004,1,MATCH(COLUMNS($AO$1006:AP1006),$AO$1006:$BQ$1006,0)))),"Fix")))</f>
        <v>#N/A</v>
      </c>
      <c r="D413" s="5" t="e">
        <f ca="1">IF(OR(INDEX($AI$2:$AI$1001,MATCH(ROWS($AH$2:AH413),$AH$2:$AH$1001,0),1)&gt;=100000,INDEX($AO$1005:$BQ$1005,1,MATCH(COLUMNS($AO$1006:AQ1006),$AO$1006:$BQ$1006,0))&gt;=100000), " ",IF(INDEX($AO$2:$BQ$1001,MATCH(ROWS($AH$2:AH413),$AH$2:$AH$1001,0),MATCH(COLUMNS($AO$1006:AQ1006),$AO$1006:$BQ$1006,0)), HYPERLINK("#",""), HYPERLINK(CONCATENATE("#Metadata!", ADDRESS(INDEX($AJ$2:$AJ$1001,MATCH(ROWS($AH$2:AH413),$AH$2:$AH$1001,0),0), INDEX($AO$1004:$BQ$1004,1,MATCH(COLUMNS($AO$1006:AQ1006),$AO$1006:$BQ$1006,0)))),"Fix")))</f>
        <v>#N/A</v>
      </c>
      <c r="E413" s="5" t="e">
        <f ca="1">IF(OR(INDEX($AI$2:$AI$1001,MATCH(ROWS($AH$2:AH413),$AH$2:$AH$1001,0),1)&gt;=100000,INDEX($AO$1005:$BQ$1005,1,MATCH(COLUMNS($AO$1006:AR1006),$AO$1006:$BQ$1006,0))&gt;=100000), " ",IF(INDEX($AO$2:$BQ$1001,MATCH(ROWS($AH$2:AH413),$AH$2:$AH$1001,0),MATCH(COLUMNS($AO$1006:AR1006),$AO$1006:$BQ$1006,0)), HYPERLINK("#",""), HYPERLINK(CONCATENATE("#Metadata!", ADDRESS(INDEX($AJ$2:$AJ$1001,MATCH(ROWS($AH$2:AH413),$AH$2:$AH$1001,0),0), INDEX($AO$1004:$BQ$1004,1,MATCH(COLUMNS($AO$1006:AR1006),$AO$1006:$BQ$1006,0)))),"Fix")))</f>
        <v>#N/A</v>
      </c>
      <c r="F413" s="5" t="e">
        <f ca="1">IF(OR(INDEX($AI$2:$AI$1001,MATCH(ROWS($AH$2:AH413),$AH$2:$AH$1001,0),1)&gt;=100000,INDEX($AO$1005:$BQ$1005,1,MATCH(COLUMNS($AO$1006:AS1006),$AO$1006:$BQ$1006,0))&gt;=100000), " ",IF(INDEX($AO$2:$BQ$1001,MATCH(ROWS($AH$2:AH413),$AH$2:$AH$1001,0),MATCH(COLUMNS($AO$1006:AS1006),$AO$1006:$BQ$1006,0)), HYPERLINK("#",""), HYPERLINK(CONCATENATE("#Metadata!", ADDRESS(INDEX($AJ$2:$AJ$1001,MATCH(ROWS($AH$2:AH413),$AH$2:$AH$1001,0),0), INDEX($AO$1004:$BQ$1004,1,MATCH(COLUMNS($AO$1006:AS1006),$AO$1006:$BQ$1006,0)))),"Fix")))</f>
        <v>#N/A</v>
      </c>
      <c r="G413" s="5" t="e">
        <f ca="1">IF(OR(INDEX($AI$2:$AI$1001,MATCH(ROWS($AH$2:AH413),$AH$2:$AH$1001,0),1)&gt;=100000,INDEX($AO$1005:$BQ$1005,1,MATCH(COLUMNS($AO$1006:AT1006),$AO$1006:$BQ$1006,0))&gt;=100000), " ",IF(INDEX($AO$2:$BQ$1001,MATCH(ROWS($AH$2:AH413),$AH$2:$AH$1001,0),MATCH(COLUMNS($AO$1006:AT1006),$AO$1006:$BQ$1006,0)), HYPERLINK("#",""), HYPERLINK(CONCATENATE("#Metadata!", ADDRESS(INDEX($AJ$2:$AJ$1001,MATCH(ROWS($AH$2:AH413),$AH$2:$AH$1001,0),0), INDEX($AO$1004:$BQ$1004,1,MATCH(COLUMNS($AO$1006:AT1006),$AO$1006:$BQ$1006,0)))),"Fix")))</f>
        <v>#N/A</v>
      </c>
      <c r="H413" s="5" t="e">
        <f ca="1">IF(OR(INDEX($AI$2:$AI$1001,MATCH(ROWS($AH$2:AH413),$AH$2:$AH$1001,0),1)&gt;=100000,INDEX($AO$1005:$BQ$1005,1,MATCH(COLUMNS($AO$1006:AU1006),$AO$1006:$BQ$1006,0))&gt;=100000), " ",IF(INDEX($AO$2:$BQ$1001,MATCH(ROWS($AH$2:AH413),$AH$2:$AH$1001,0),MATCH(COLUMNS($AO$1006:AU1006),$AO$1006:$BQ$1006,0)), HYPERLINK("#",""), HYPERLINK(CONCATENATE("#Metadata!", ADDRESS(INDEX($AJ$2:$AJ$1001,MATCH(ROWS($AH$2:AH413),$AH$2:$AH$1001,0),0), INDEX($AO$1004:$BQ$1004,1,MATCH(COLUMNS($AO$1006:AU1006),$AO$1006:$BQ$1006,0)))),"Fix")))</f>
        <v>#N/A</v>
      </c>
      <c r="I413" s="5" t="e">
        <f ca="1">IF(OR(INDEX($AI$2:$AI$1001,MATCH(ROWS($AH$2:AH413),$AH$2:$AH$1001,0),1)&gt;=100000,INDEX($AO$1005:$BQ$1005,1,MATCH(COLUMNS($AO$1006:AV1006),$AO$1006:$BQ$1006,0))&gt;=100000), " ",IF(INDEX($AO$2:$BQ$1001,MATCH(ROWS($AH$2:AH413),$AH$2:$AH$1001,0),MATCH(COLUMNS($AO$1006:AV1006),$AO$1006:$BQ$1006,0)), HYPERLINK("#",""), HYPERLINK(CONCATENATE("#Metadata!", ADDRESS(INDEX($AJ$2:$AJ$1001,MATCH(ROWS($AH$2:AH413),$AH$2:$AH$1001,0),0), INDEX($AO$1004:$BQ$1004,1,MATCH(COLUMNS($AO$1006:AV1006),$AO$1006:$BQ$1006,0)))),"Fix")))</f>
        <v>#N/A</v>
      </c>
      <c r="J413" s="5" t="e">
        <f ca="1">IF(OR(INDEX($AI$2:$AI$1001,MATCH(ROWS($AH$2:AH413),$AH$2:$AH$1001,0),1)&gt;=100000,INDEX($AO$1005:$BQ$1005,1,MATCH(COLUMNS($AO$1006:AW1006),$AO$1006:$BQ$1006,0))&gt;=100000), " ",IF(INDEX($AO$2:$BQ$1001,MATCH(ROWS($AH$2:AH413),$AH$2:$AH$1001,0),MATCH(COLUMNS($AO$1006:AW1006),$AO$1006:$BQ$1006,0)), HYPERLINK("#",""), HYPERLINK(CONCATENATE("#Metadata!", ADDRESS(INDEX($AJ$2:$AJ$1001,MATCH(ROWS($AH$2:AH413),$AH$2:$AH$1001,0),0), INDEX($AO$1004:$BQ$1004,1,MATCH(COLUMNS($AO$1006:AW1006),$AO$1006:$BQ$1006,0)))),"Fix")))</f>
        <v>#N/A</v>
      </c>
      <c r="K413" s="5" t="e">
        <f ca="1">IF(OR(INDEX($AI$2:$AI$1001,MATCH(ROWS($AH$2:AH413),$AH$2:$AH$1001,0),1)&gt;=100000,INDEX($AO$1005:$BQ$1005,1,MATCH(COLUMNS($AO$1006:AX1006),$AO$1006:$BQ$1006,0))&gt;=100000), " ",IF(INDEX($AO$2:$BQ$1001,MATCH(ROWS($AH$2:AH413),$AH$2:$AH$1001,0),MATCH(COLUMNS($AO$1006:AX1006),$AO$1006:$BQ$1006,0)), HYPERLINK("#",""), HYPERLINK(CONCATENATE("#Metadata!", ADDRESS(INDEX($AJ$2:$AJ$1001,MATCH(ROWS($AH$2:AH413),$AH$2:$AH$1001,0),0), INDEX($AO$1004:$BQ$1004,1,MATCH(COLUMNS($AO$1006:AX1006),$AO$1006:$BQ$1006,0)))),"Fix")))</f>
        <v>#N/A</v>
      </c>
      <c r="L413" s="5" t="e">
        <f ca="1">IF(OR(INDEX($AI$2:$AI$1001,MATCH(ROWS($AH$2:AH413),$AH$2:$AH$1001,0),1)&gt;=100000,INDEX($AO$1005:$BQ$1005,1,MATCH(COLUMNS($AO$1006:AY1006),$AO$1006:$BQ$1006,0))&gt;=100000), " ",IF(INDEX($AO$2:$BQ$1001,MATCH(ROWS($AH$2:AH413),$AH$2:$AH$1001,0),MATCH(COLUMNS($AO$1006:AY1006),$AO$1006:$BQ$1006,0)), HYPERLINK("#",""), HYPERLINK(CONCATENATE("#Metadata!", ADDRESS(INDEX($AJ$2:$AJ$1001,MATCH(ROWS($AH$2:AH413),$AH$2:$AH$1001,0),0), INDEX($AO$1004:$BQ$1004,1,MATCH(COLUMNS($AO$1006:AY1006),$AO$1006:$BQ$1006,0)))),"Fix")))</f>
        <v>#N/A</v>
      </c>
      <c r="M413" s="5" t="e">
        <f ca="1">IF(OR(INDEX($AI$2:$AI$1001,MATCH(ROWS($AH$2:AH413),$AH$2:$AH$1001,0),1)&gt;=100000,INDEX($AO$1005:$BQ$1005,1,MATCH(COLUMNS($AO$1006:AZ1006),$AO$1006:$BQ$1006,0))&gt;=100000), " ",IF(INDEX($AO$2:$BQ$1001,MATCH(ROWS($AH$2:AH413),$AH$2:$AH$1001,0),MATCH(COLUMNS($AO$1006:AZ1006),$AO$1006:$BQ$1006,0)), HYPERLINK("#",""), HYPERLINK(CONCATENATE("#Metadata!", ADDRESS(INDEX($AJ$2:$AJ$1001,MATCH(ROWS($AH$2:AH413),$AH$2:$AH$1001,0),0), INDEX($AO$1004:$BQ$1004,1,MATCH(COLUMNS($AO$1006:AZ1006),$AO$1006:$BQ$1006,0)))),"Fix")))</f>
        <v>#N/A</v>
      </c>
      <c r="N413" s="5" t="e">
        <f ca="1">IF(OR(INDEX($AI$2:$AI$1001,MATCH(ROWS($AH$2:AH413),$AH$2:$AH$1001,0),1)&gt;=100000,INDEX($AO$1005:$BQ$1005,1,MATCH(COLUMNS($AO$1006:BA1006),$AO$1006:$BQ$1006,0))&gt;=100000), " ",IF(INDEX($AO$2:$BQ$1001,MATCH(ROWS($AH$2:AH413),$AH$2:$AH$1001,0),MATCH(COLUMNS($AO$1006:BA1006),$AO$1006:$BQ$1006,0)), HYPERLINK("#",""), HYPERLINK(CONCATENATE("#Metadata!", ADDRESS(INDEX($AJ$2:$AJ$1001,MATCH(ROWS($AH$2:AH413),$AH$2:$AH$1001,0),0), INDEX($AO$1004:$BQ$1004,1,MATCH(COLUMNS($AO$1006:BA1006),$AO$1006:$BQ$1006,0)))),"Fix")))</f>
        <v>#N/A</v>
      </c>
      <c r="O413" s="5" t="e">
        <f ca="1">IF(OR(INDEX($AI$2:$AI$1001,MATCH(ROWS($AH$2:AH413),$AH$2:$AH$1001,0),1)&gt;=100000,INDEX($AO$1005:$BQ$1005,1,MATCH(COLUMNS($AO$1006:BB1006),$AO$1006:$BQ$1006,0))&gt;=100000), " ",IF(INDEX($AO$2:$BQ$1001,MATCH(ROWS($AH$2:AH413),$AH$2:$AH$1001,0),MATCH(COLUMNS($AO$1006:BB1006),$AO$1006:$BQ$1006,0)), HYPERLINK("#",""), HYPERLINK(CONCATENATE("#Metadata!", ADDRESS(INDEX($AJ$2:$AJ$1001,MATCH(ROWS($AH$2:AH413),$AH$2:$AH$1001,0),0), INDEX($AO$1004:$BQ$1004,1,MATCH(COLUMNS($AO$1006:BB1006),$AO$1006:$BQ$1006,0)))),"Fix")))</f>
        <v>#N/A</v>
      </c>
      <c r="P413" s="5" t="e">
        <f ca="1">IF(OR(INDEX($AI$2:$AI$1001,MATCH(ROWS($AH$2:AH413),$AH$2:$AH$1001,0),1)&gt;=100000,INDEX($AO$1005:$BQ$1005,1,MATCH(COLUMNS($AO$1006:BC1006),$AO$1006:$BQ$1006,0))&gt;=100000), " ",IF(INDEX($AO$2:$BQ$1001,MATCH(ROWS($AH$2:AH413),$AH$2:$AH$1001,0),MATCH(COLUMNS($AO$1006:BC1006),$AO$1006:$BQ$1006,0)), HYPERLINK("#",""), HYPERLINK(CONCATENATE("#Metadata!", ADDRESS(INDEX($AJ$2:$AJ$1001,MATCH(ROWS($AH$2:AH413),$AH$2:$AH$1001,0),0), INDEX($AO$1004:$BQ$1004,1,MATCH(COLUMNS($AO$1006:BC1006),$AO$1006:$BQ$1006,0)))),"Fix")))</f>
        <v>#N/A</v>
      </c>
      <c r="Q413" s="5" t="e">
        <f ca="1">IF(OR(INDEX($AI$2:$AI$1001,MATCH(ROWS($AH$2:AH413),$AH$2:$AH$1001,0),1)&gt;=100000,INDEX($AO$1005:$BQ$1005,1,MATCH(COLUMNS($AO$1006:BD1006),$AO$1006:$BQ$1006,0))&gt;=100000), " ",IF(INDEX($AO$2:$BQ$1001,MATCH(ROWS($AH$2:AH413),$AH$2:$AH$1001,0),MATCH(COLUMNS($AO$1006:BD1006),$AO$1006:$BQ$1006,0)), HYPERLINK("#",""), HYPERLINK(CONCATENATE("#Metadata!", ADDRESS(INDEX($AJ$2:$AJ$1001,MATCH(ROWS($AH$2:AH413),$AH$2:$AH$1001,0),0), INDEX($AO$1004:$BQ$1004,1,MATCH(COLUMNS($AO$1006:BD1006),$AO$1006:$BQ$1006,0)))),"Fix")))</f>
        <v>#N/A</v>
      </c>
      <c r="R413" s="5" t="e">
        <f ca="1">IF(OR(INDEX($AI$2:$AI$1001,MATCH(ROWS($AH$2:AH413),$AH$2:$AH$1001,0),1)&gt;=100000,INDEX($AO$1005:$BQ$1005,1,MATCH(COLUMNS($AO$1006:BE1006),$AO$1006:$BQ$1006,0))&gt;=100000), " ",IF(INDEX($AO$2:$BQ$1001,MATCH(ROWS($AH$2:AH413),$AH$2:$AH$1001,0),MATCH(COLUMNS($AO$1006:BE1006),$AO$1006:$BQ$1006,0)), HYPERLINK("#",""), HYPERLINK(CONCATENATE("#Metadata!", ADDRESS(INDEX($AJ$2:$AJ$1001,MATCH(ROWS($AH$2:AH413),$AH$2:$AH$1001,0),0), INDEX($AO$1004:$BQ$1004,1,MATCH(COLUMNS($AO$1006:BE1006),$AO$1006:$BQ$1006,0)))),"Fix")))</f>
        <v>#N/A</v>
      </c>
      <c r="S413" s="5" t="e">
        <f ca="1">IF(OR(INDEX($AI$2:$AI$1001,MATCH(ROWS($AH$2:AH413),$AH$2:$AH$1001,0),1)&gt;=100000,INDEX($AO$1005:$BQ$1005,1,MATCH(COLUMNS($AO$1006:BF1006),$AO$1006:$BQ$1006,0))&gt;=100000), " ",IF(INDEX($AO$2:$BQ$1001,MATCH(ROWS($AH$2:AH413),$AH$2:$AH$1001,0),MATCH(COLUMNS($AO$1006:BF1006),$AO$1006:$BQ$1006,0)), HYPERLINK("#",""), HYPERLINK(CONCATENATE("#Metadata!", ADDRESS(INDEX($AJ$2:$AJ$1001,MATCH(ROWS($AH$2:AH413),$AH$2:$AH$1001,0),0), INDEX($AO$1004:$BQ$1004,1,MATCH(COLUMNS($AO$1006:BF1006),$AO$1006:$BQ$1006,0)))),"Fix")))</f>
        <v>#N/A</v>
      </c>
      <c r="T413" s="5" t="e">
        <f ca="1">IF(OR(INDEX($AI$2:$AI$1001,MATCH(ROWS($AH$2:AH413),$AH$2:$AH$1001,0),1)&gt;=100000,INDEX($AO$1005:$BQ$1005,1,MATCH(COLUMNS($AO$1006:BG1006),$AO$1006:$BQ$1006,0))&gt;=100000), " ",IF(INDEX($AO$2:$BQ$1001,MATCH(ROWS($AH$2:AH413),$AH$2:$AH$1001,0),MATCH(COLUMNS($AO$1006:BG1006),$AO$1006:$BQ$1006,0)), HYPERLINK("#",""), HYPERLINK(CONCATENATE("#Metadata!", ADDRESS(INDEX($AJ$2:$AJ$1001,MATCH(ROWS($AH$2:AH413),$AH$2:$AH$1001,0),0), INDEX($AO$1004:$BQ$1004,1,MATCH(COLUMNS($AO$1006:BG1006),$AO$1006:$BQ$1006,0)))),"Fix")))</f>
        <v>#N/A</v>
      </c>
      <c r="U413" s="5" t="e">
        <f ca="1">IF(OR(INDEX($AI$2:$AI$1001,MATCH(ROWS($AH$2:AH413),$AH$2:$AH$1001,0),1)&gt;=100000,INDEX($AO$1005:$BQ$1005,1,MATCH(COLUMNS($AO$1006:BH1006),$AO$1006:$BQ$1006,0))&gt;=100000), " ",IF(INDEX($AO$2:$BQ$1001,MATCH(ROWS($AH$2:AH413),$AH$2:$AH$1001,0),MATCH(COLUMNS($AO$1006:BH1006),$AO$1006:$BQ$1006,0)), HYPERLINK("#",""), HYPERLINK(CONCATENATE("#Metadata!", ADDRESS(INDEX($AJ$2:$AJ$1001,MATCH(ROWS($AH$2:AH413),$AH$2:$AH$1001,0),0), INDEX($AO$1004:$BQ$1004,1,MATCH(COLUMNS($AO$1006:BH1006),$AO$1006:$BQ$1006,0)))),"Fix")))</f>
        <v>#N/A</v>
      </c>
      <c r="V413" s="5" t="e">
        <f ca="1">IF(OR(INDEX($AI$2:$AI$1001,MATCH(ROWS($AH$2:AH413),$AH$2:$AH$1001,0),1)&gt;=100000,INDEX($AO$1005:$BQ$1005,1,MATCH(COLUMNS($AO$1006:BI1006),$AO$1006:$BQ$1006,0))&gt;=100000), " ",IF(INDEX($AO$2:$BQ$1001,MATCH(ROWS($AH$2:AH413),$AH$2:$AH$1001,0),MATCH(COLUMNS($AO$1006:BI1006),$AO$1006:$BQ$1006,0)), HYPERLINK("#",""), HYPERLINK(CONCATENATE("#Metadata!", ADDRESS(INDEX($AJ$2:$AJ$1001,MATCH(ROWS($AH$2:AH413),$AH$2:$AH$1001,0),0), INDEX($AO$1004:$BQ$1004,1,MATCH(COLUMNS($AO$1006:BI1006),$AO$1006:$BQ$1006,0)))),"Fix")))</f>
        <v>#N/A</v>
      </c>
      <c r="W413" s="5" t="e">
        <f ca="1">IF(OR(INDEX($AI$2:$AI$1001,MATCH(ROWS($AH$2:AH413),$AH$2:$AH$1001,0),1)&gt;=100000,INDEX($AO$1005:$BQ$1005,1,MATCH(COLUMNS($AO$1006:BJ1006),$AO$1006:$BQ$1006,0))&gt;=100000), " ",IF(INDEX($AO$2:$BQ$1001,MATCH(ROWS($AH$2:AH413),$AH$2:$AH$1001,0),MATCH(COLUMNS($AO$1006:BJ1006),$AO$1006:$BQ$1006,0)), HYPERLINK("#",""), HYPERLINK(CONCATENATE("#Metadata!", ADDRESS(INDEX($AJ$2:$AJ$1001,MATCH(ROWS($AH$2:AH413),$AH$2:$AH$1001,0),0), INDEX($AO$1004:$BQ$1004,1,MATCH(COLUMNS($AO$1006:BJ1006),$AO$1006:$BQ$1006,0)))),"Fix")))</f>
        <v>#N/A</v>
      </c>
      <c r="X413" s="5" t="e">
        <f ca="1">IF(OR(INDEX($AI$2:$AI$1001,MATCH(ROWS($AH$2:AH413),$AH$2:$AH$1001,0),1)&gt;=100000,INDEX($AO$1005:$BQ$1005,1,MATCH(COLUMNS($AO$1006:BK1006),$AO$1006:$BQ$1006,0))&gt;=100000), " ",IF(INDEX($AO$2:$BQ$1001,MATCH(ROWS($AH$2:AH413),$AH$2:$AH$1001,0),MATCH(COLUMNS($AO$1006:BK1006),$AO$1006:$BQ$1006,0)), HYPERLINK("#",""), HYPERLINK(CONCATENATE("#Metadata!", ADDRESS(INDEX($AJ$2:$AJ$1001,MATCH(ROWS($AH$2:AH413),$AH$2:$AH$1001,0),0), INDEX($AO$1004:$BQ$1004,1,MATCH(COLUMNS($AO$1006:BK1006),$AO$1006:$BQ$1006,0)))),"Fix")))</f>
        <v>#N/A</v>
      </c>
      <c r="Y413" s="5" t="e">
        <f ca="1">IF(OR(INDEX($AI$2:$AI$1001,MATCH(ROWS($AH$2:AH413),$AH$2:$AH$1001,0),1)&gt;=100000,INDEX($AO$1005:$BQ$1005,1,MATCH(COLUMNS($AO$1006:BL1006),$AO$1006:$BQ$1006,0))&gt;=100000), " ",IF(INDEX($AO$2:$BQ$1001,MATCH(ROWS($AH$2:AH413),$AH$2:$AH$1001,0),MATCH(COLUMNS($AO$1006:BL1006),$AO$1006:$BQ$1006,0)), HYPERLINK("#",""), HYPERLINK(CONCATENATE("#Metadata!", ADDRESS(INDEX($AJ$2:$AJ$1001,MATCH(ROWS($AH$2:AH413),$AH$2:$AH$1001,0),0), INDEX($AO$1004:$BQ$1004,1,MATCH(COLUMNS($AO$1006:BL1006),$AO$1006:$BQ$1006,0)))),"Fix")))</f>
        <v>#N/A</v>
      </c>
      <c r="Z413" s="5" t="e">
        <f ca="1">IF(OR(INDEX($AI$2:$AI$1001,MATCH(ROWS($AH$2:AH413),$AH$2:$AH$1001,0),1)&gt;=100000,INDEX($AO$1005:$BQ$1005,1,MATCH(COLUMNS($AO$1006:BM1006),$AO$1006:$BQ$1006,0))&gt;=100000), " ",IF(INDEX($AO$2:$BQ$1001,MATCH(ROWS($AH$2:AH413),$AH$2:$AH$1001,0),MATCH(COLUMNS($AO$1006:BM1006),$AO$1006:$BQ$1006,0)), HYPERLINK("#",""), HYPERLINK(CONCATENATE("#Metadata!", ADDRESS(INDEX($AJ$2:$AJ$1001,MATCH(ROWS($AH$2:AH413),$AH$2:$AH$1001,0),0), INDEX($AO$1004:$BQ$1004,1,MATCH(COLUMNS($AO$1006:BM1006),$AO$1006:$BQ$1006,0)))),"Fix")))</f>
        <v>#N/A</v>
      </c>
      <c r="AA413" s="5" t="e">
        <f ca="1">IF(OR(INDEX($AI$2:$AI$1001,MATCH(ROWS($AH$2:AH413),$AH$2:$AH$1001,0),1)&gt;=100000,INDEX($AO$1005:$BQ$1005,1,MATCH(COLUMNS($AO$1006:BN1006),$AO$1006:$BQ$1006,0))&gt;=100000), " ",IF(INDEX($AO$2:$BQ$1001,MATCH(ROWS($AH$2:AH413),$AH$2:$AH$1001,0),MATCH(COLUMNS($AO$1006:BN1006),$AO$1006:$BQ$1006,0)), HYPERLINK("#",""), HYPERLINK(CONCATENATE("#Metadata!", ADDRESS(INDEX($AJ$2:$AJ$1001,MATCH(ROWS($AH$2:AH413),$AH$2:$AH$1001,0),0), INDEX($AO$1004:$BQ$1004,1,MATCH(COLUMNS($AO$1006:BN1006),$AO$1006:$BQ$1006,0)))),"Fix")))</f>
        <v>#N/A</v>
      </c>
      <c r="AB413" s="5" t="e">
        <f ca="1">IF(OR(INDEX($AI$2:$AI$1001,MATCH(ROWS($AH$2:AH413),$AH$2:$AH$1001,0),1)&gt;=100000,INDEX($AO$1005:$BQ$1005,1,MATCH(COLUMNS($AO$1006:BO1006),$AO$1006:$BQ$1006,0))&gt;=100000), " ",IF(INDEX($AO$2:$BQ$1001,MATCH(ROWS($AH$2:AH413),$AH$2:$AH$1001,0),MATCH(COLUMNS($AO$1006:BO1006),$AO$1006:$BQ$1006,0)), HYPERLINK("#",""), HYPERLINK(CONCATENATE("#Metadata!", ADDRESS(INDEX($AJ$2:$AJ$1001,MATCH(ROWS($AH$2:AH413),$AH$2:$AH$1001,0),0), INDEX($AO$1004:$BQ$1004,1,MATCH(COLUMNS($AO$1006:BO1006),$AO$1006:$BQ$1006,0)))),"Fix")))</f>
        <v>#N/A</v>
      </c>
      <c r="AC413" s="5" t="e">
        <f ca="1">IF(OR(INDEX($AI$2:$AI$1001,MATCH(ROWS($AH$2:AH413),$AH$2:$AH$1001,0),1)&gt;=100000,INDEX($AO$1005:$BQ$1005,1,MATCH(COLUMNS($AO$1006:BP1006),$AO$1006:$BQ$1006,0))&gt;=100000), " ",IF(INDEX($AO$2:$BQ$1001,MATCH(ROWS($AH$2:AH413),$AH$2:$AH$1001,0),MATCH(COLUMNS($AO$1006:BP1006),$AO$1006:$BQ$1006,0)), HYPERLINK("#",""), HYPERLINK(CONCATENATE("#Metadata!", ADDRESS(INDEX($AJ$2:$AJ$1001,MATCH(ROWS($AH$2:AH413),$AH$2:$AH$1001,0),0), INDEX($AO$1004:$BQ$1004,1,MATCH(COLUMNS($AO$1006:BP1006),$AO$1006:$BQ$1006,0)))),"Fix")))</f>
        <v>#N/A</v>
      </c>
      <c r="AD413" s="5" t="e">
        <f ca="1">IF(OR(INDEX($AI$2:$AI$1001,MATCH(ROWS($AH$2:AH413),$AH$2:$AH$1001,0),1)&gt;=100000,INDEX($AO$1005:$BQ$1005,1,MATCH(COLUMNS($AO$1006:BQ1006),$AO$1006:$BQ$1006,0))&gt;=100000), " ",IF(INDEX($AO$2:$BQ$1001,MATCH(ROWS($AH$2:AH413),$AH$2:$AH$1001,0),MATCH(COLUMNS($AO$1006:BQ1006),$AO$1006:$BQ$1006,0)), HYPERLINK("#",""), HYPERLINK(CONCATENATE("#Metadata!", ADDRESS(INDEX($AJ$2:$AJ$1001,MATCH(ROWS($AH$2:AH413),$AH$2:$AH$1001,0),0), INDEX($AO$1004:$BQ$1004,1,MATCH(COLUMNS($AO$1006:BQ1006),$AO$1006:$BQ$1006,0)))),"Fix")))</f>
        <v>#REF!</v>
      </c>
      <c r="AH413">
        <f ca="1"/>
        <v>410</v>
      </c>
      <c r="AI413">
        <v>100413</v>
      </c>
      <c r="AJ413">
        <v>413</v>
      </c>
      <c r="AK413" t="b">
        <f t="shared" si="6"/>
        <v>1</v>
      </c>
      <c r="AL413" t="b">
        <f>COUNTBLANK(Metadata!B413:AD413)=COLUMNS(Metadata!B413:AD413)</f>
        <v>1</v>
      </c>
      <c r="AM413" t="str">
        <v/>
      </c>
      <c r="AO413" t="b">
        <f ca="1">AND(IF(Metadata!B413="",FALSE,TRUE),COUNTIF(Metadata!B:B, Metadata!B413) = 1,NOT(ISERROR(SUMPRODUCT(SEARCH(MID(Metadata!B413,ROW(INDIRECT("1:"&amp;LEN(Metadata!B413))), 1),"0123456789abcdefghijklmnopqrstuvwxyzABCDEFGHIJKLMNOPQRSTUVWXYZ.")))))</f>
        <v>0</v>
      </c>
      <c r="AP413" t="b">
        <f>IF(Metadata!C413="",FALSE,TRUE)</f>
        <v>0</v>
      </c>
      <c r="AQ413" t="b">
        <f>IF(Metadata!D413="",FALSE,TRUE)</f>
        <v>0</v>
      </c>
      <c r="AR413" t="b">
        <f ca="1">OR(AND(IF(Metadata!E413="",FALSE,TRUE),OR(EXACT(Metadata!E413,"not collected"),EXACT(Metadata!E413,"not provided"),EXACT(Metadata!E413,"restricted access"))),AND(IF(Metadata!E413="",FALSE,TRUE),AND(AND(IFERROR(INT(LEFT(Metadata!E413,4))&gt;1900,FALSE),IFERROR(INT(LEFT(Metadata!E413,4))&lt;=YEAR(NOW()),FALSE)), OR(MID(Metadata!E413,5,1)="", AND(AND(MID(Metadata!E413,5,1)="-",IFERROR(INT(MID(Metadata!E413,6,1))&gt;=0,FALSE),IFERROR(INT(MID(Metadata!E413,6,1))&lt;=1,FALSE),NOT(MID(Metadata!E413,7,1)=""),IFERROR(INT(MID(Metadata!E413,6,2))&gt;=1,FALSE),IFERROR(INT(MID(Metadata!E413,6,2))&lt;=12,FALSE)), OR(MID(Metadata!E413,8,1)="", AND(AND(MID(Metadata!E413,8,1)="-",IFERROR(INT(MID(Metadata!E413,9,1))&gt;=0,FALSE),IFERROR(INT(MID(Metadata!E413,9,1))&lt;=3,FALSE),NOT(MID(Metadata!E413,10,1)=""),IFERROR(INT(MID(Metadata!E413,9,2))&gt;=1,FALSE),IFERROR(INT(MID(Metadata!E413,9,2))&lt;=31,FALSE)), OR(MID(Metadata!E413,11,1)="", AND(AND(MID(Metadata!E413,11,1)=" ",IFERROR(INT(MID(Metadata!E413,12,1))&gt;=0,FALSE),IFERROR(INT(MID(Metadata!E413,12,1))&lt;=2,FALSE),NOT(MID(Metadata!E413,13,1)=""),IFERROR(INT(MID(Metadata!E413,12,2))&gt;=0,FALSE),IFERROR(INT(MID(Metadata!E413,12,2))&lt;=23,FALSE)), OR(MID(Metadata!E413,14,1)="", AND(AND(MID(Metadata!E413,14,1)=":",IFERROR(INT(MID(Metadata!E413,15,1))&gt;=0,FALSE),IFERROR(INT(MID(Metadata!E413,15,1))&lt;=5,FALSE),NOT(MID(Metadata!E413,16,1)=""),IFERROR(INT(MID(Metadata!E413,15,2))&gt;=0,FALSE),IFERROR(INT(MID(Metadata!E413,15,2))&lt;=59,FALSE)), OR(MID(Metadata!E413,17,1)="", AND(AND(MID(Metadata!E413,17,1)=":",IFERROR(INT(MID(Metadata!E413,18,1))&gt;=0,FALSE),IFERROR(INT(MID(Metadata!E413,18,1))&lt;=5,FALSE),NOT(MID(Metadata!E413,19,1)=""),IFERROR(INT(MID(Metadata!E413,18,2))&gt;=0,FALSE),IFERROR(INT(MID(Metadata!E413,18,2))&lt;=59,FALSE)), LEN(Metadata!E413)&lt;=19)))))))))))))</f>
        <v>0</v>
      </c>
      <c r="AS413" t="b">
        <f>IF(Metadata!F413="",FALSE,TRUE)</f>
        <v>0</v>
      </c>
      <c r="AT413" t="b">
        <f>OR(AND(IF(Metadata!G413="",FALSE,TRUE),OR(EXACT(Metadata!G413,"not collected"),EXACT(Metadata!G413,"not provided"))),AND(IF(Metadata!G413="",FALSE,TRUE),OR(EXACT(Metadata!G413,"TRUE"),EXACT(Metadata!G413,"FALSE"))))</f>
        <v>0</v>
      </c>
      <c r="AU413" t="b">
        <f>OR(AND(IF(Metadata!H413="",FALSE,TRUE),OR(EXACT(Metadata!H413,"not collected"),EXACT(Metadata!H413,"not provided"),EXACT(Metadata!H413,"restricted access"))),AND(IF(Metadata!H413="",FALSE,ISNUMBER(VALUE(Metadata!H413))),Metadata!H413&gt;=-413))</f>
        <v>0</v>
      </c>
      <c r="AV413" t="b">
        <f>AND(IF(Metadata!I413="",FALSE,TRUE),EXACT(Metadata!I413,"meters"))</f>
        <v>0</v>
      </c>
      <c r="AW413" t="b">
        <f>AND(IF(Metadata!J413="",FALSE,TRUE),EXACT(Metadata!J413,"free-living"))</f>
        <v>0</v>
      </c>
      <c r="AX413" t="b">
        <f>AND(IF(Metadata!K413="",FALSE,TRUE),OR(EXACT(Metadata!K413,"saline"),EXACT(Metadata!K413,"non-saline")))</f>
        <v>0</v>
      </c>
      <c r="AY413" t="b">
        <f>AND(IF(Metadata!L413="",FALSE,TRUE),OR(EXACT(Metadata!L413,"sub-surface (non-saline)"),EXACT(Metadata!L413,"surface (non-saline)"),EXACT(Metadata!L413,"water (non-saline)"),EXACT(Metadata!L413,"soil (non-saline)"),EXACT(Metadata!L413,"aerosol (non-saline)"),EXACT(Metadata!L413,"sediment (non-saline)"),EXACT(Metadata!L413,"surface (saline)"),EXACT(Metadata!L413,"water (saline)"),EXACT(Metadata!L413,"hypersaline (saline)"),EXACT(Metadata!L413,"aerosol (saline)"),EXACT(Metadata!L413,"sediment (saline)")))</f>
        <v>0</v>
      </c>
      <c r="AZ413" t="b">
        <f>IF(Metadata!M413="",FALSE,TRUE)</f>
        <v>0</v>
      </c>
      <c r="BA413" t="b">
        <f>IF(Metadata!N413="",FALSE,TRUE)</f>
        <v>0</v>
      </c>
      <c r="BB413" t="b">
        <f>IF(Metadata!O413="",FALSE,TRUE)</f>
        <v>0</v>
      </c>
      <c r="BC413" t="b">
        <f>AND(IF(Metadata!P413="",FALSE,TRUE),OR(EXACT(Metadata!P413,"air"),EXACT(Metadata!P413,"microbial mat/biofilm"),EXACT(Metadata!P413,"misc environment"),EXACT(Metadata!P413,"sediment"),EXACT(Metadata!P413,"soil"),EXACT(Metadata!P413,"wastewater/sludge"),EXACT(Metadata!P413,"water")))</f>
        <v>0</v>
      </c>
      <c r="BD413" t="b">
        <f>IF(Metadata!Q413="",FALSE,TRUE)</f>
        <v>0</v>
      </c>
      <c r="BE413" t="b">
        <f>IF(Metadata!R413="",FALSE,TRUE)</f>
        <v>0</v>
      </c>
      <c r="BF413" t="b">
        <f>OR(AND(IF(Metadata!S413="",FALSE,TRUE),OR(EXACT(Metadata!S413,"not collected"),EXACT(Metadata!S413,"not provided"),EXACT(Metadata!S413,"restricted access"))),AND(IF(Metadata!S413="",FALSE,ISNUMBER(VALUE(Metadata!S413))),Metadata!S413&gt;=-90,Metadata!S413&lt;=90))</f>
        <v>0</v>
      </c>
      <c r="BG413" t="b">
        <f>AND(IF(Metadata!T413="",FALSE,TRUE),EXACT(Metadata!T413,"Decimal degrees"))</f>
        <v>0</v>
      </c>
      <c r="BH413" t="b">
        <f>OR(AND(IF(Metadata!U413="",FALSE,TRUE),OR(EXACT(Metadata!U413,"not applicable"),EXACT(Metadata!U413,"not collected"))),IF(Metadata!U413="",FALSE,TRUE))</f>
        <v>0</v>
      </c>
      <c r="BI413" t="b">
        <f>OR(AND(IF(Metadata!V413="",FALSE,TRUE),OR(EXACT(Metadata!V413,"not collected"),EXACT(Metadata!V413,"not provided"),EXACT(Metadata!V413,"restricted access"))),AND(IF(Metadata!V413="",FALSE,ISNUMBER(VALUE(Metadata!V413))),Metadata!V413&gt;=-180,Metadata!V413&lt;=180))</f>
        <v>0</v>
      </c>
      <c r="BJ413" t="b">
        <f>AND(IF(Metadata!W413="",FALSE,TRUE),EXACT(Metadata!W413,"Decimal degrees"))</f>
        <v>0</v>
      </c>
      <c r="BK413" t="b">
        <f>IF(Metadata!X413="",FALSE,TRUE)</f>
        <v>0</v>
      </c>
      <c r="BL413" t="b">
        <f>OR(AND(IF(Metadata!Y413="",FALSE,TRUE),OR(EXACT(Metadata!Y413,"not collected"),EXACT(Metadata!Y413,"not provided"),EXACT(Metadata!Y413,"restricted access"))),AND(IF(Metadata!Y413="",FALSE,TRUE),OR(EXACT(Metadata!Y413,"TRUE"),EXACT(Metadata!Y413,"FALSE"))))</f>
        <v>0</v>
      </c>
      <c r="BM413" t="b">
        <f>OR(AND(IF(Metadata!Z413="",FALSE,TRUE),EXACT(Metadata!Z413,"not applicable")),AND(IF(Metadata!Z413="",FALSE,TRUE),OR(EXACT(Metadata!Z413,"beer"),EXACT(Metadata!Z413,"cheese"),EXACT(Metadata!Z413,"fresh water"),EXACT(Metadata!Z413,"marine sediment"),EXACT(Metadata!Z413,"sea water"),EXACT(Metadata!Z413,"sediment"),EXACT(Metadata!Z413,"soil"),EXACT(Metadata!Z413,"waste water"))))</f>
        <v>0</v>
      </c>
      <c r="BN413" t="b">
        <f>AND(IF(Metadata!AA413="",FALSE,TRUE),EXACT(Metadata!AA413,"metagenome"))</f>
        <v>0</v>
      </c>
      <c r="BO413" t="b">
        <f>AND(IF(Metadata!AB413="",FALSE,TRUE),EXACT(Metadata!AB413,"256318"))</f>
        <v>0</v>
      </c>
      <c r="BP413" t="b">
        <f>IF(Metadata!AC413="",FALSE,TRUE)</f>
        <v>0</v>
      </c>
      <c r="BQ413" t="b">
        <f>IF(Metadata!AD413="",FALSE,TRUE)</f>
        <v>0</v>
      </c>
    </row>
    <row r="414" spans="1:69" x14ac:dyDescent="0.2">
      <c r="A414" s="4" t="e">
        <f ca="1">IF(B414=" "," ",HYPERLINK(CONCATENATE("#metadata!",ADDRESS(INDEX($AJ$2:$AJ$1001,MATCH(ROWS($AH$2:AH414),$AH$2:$AH$1001,0),0),2)),INDEX($AM$2:$AM$1001,MATCH(ROWS($AH$2:AH414),$AH$2:$AH$1001,0),0)))</f>
        <v>#N/A</v>
      </c>
      <c r="B414" s="5" t="e">
        <f ca="1">IF(OR(INDEX($AI$2:$AI$1001,MATCH(ROWS($AH$2:AH414),$AH$2:$AH$1001,0),1)&gt;=100000,INDEX($AO$1005:$BQ$1005,1,MATCH(COLUMNS($AO$1006:AO1006),$AO$1006:$BQ$1006,0))&gt;=100000), " ",IF(INDEX($AO$2:$BQ$1001,MATCH(ROWS($AH$2:AH414),$AH$2:$AH$1001,0),MATCH(COLUMNS($AO$1006:AO1006),$AO$1006:$BQ$1006,0)), HYPERLINK("#",""), HYPERLINK(CONCATENATE("#Metadata!", ADDRESS(INDEX($AJ$2:$AJ$1001,MATCH(ROWS($AH$2:AH414),$AH$2:$AH$1001,0),0), INDEX($AO$1004:$BQ$1004,1,MATCH(COLUMNS($AO$1006:AO1006),$AO$1006:$BQ$1006,0)))),"Fix")))</f>
        <v>#N/A</v>
      </c>
      <c r="C414" s="5" t="e">
        <f ca="1">IF(OR(INDEX($AI$2:$AI$1001,MATCH(ROWS($AH$2:AH414),$AH$2:$AH$1001,0),1)&gt;=100000,INDEX($AO$1005:$BQ$1005,1,MATCH(COLUMNS($AO$1006:AP1006),$AO$1006:$BQ$1006,0))&gt;=100000), " ",IF(INDEX($AO$2:$BQ$1001,MATCH(ROWS($AH$2:AH414),$AH$2:$AH$1001,0),MATCH(COLUMNS($AO$1006:AP1006),$AO$1006:$BQ$1006,0)), HYPERLINK("#",""), HYPERLINK(CONCATENATE("#Metadata!", ADDRESS(INDEX($AJ$2:$AJ$1001,MATCH(ROWS($AH$2:AH414),$AH$2:$AH$1001,0),0), INDEX($AO$1004:$BQ$1004,1,MATCH(COLUMNS($AO$1006:AP1006),$AO$1006:$BQ$1006,0)))),"Fix")))</f>
        <v>#N/A</v>
      </c>
      <c r="D414" s="5" t="e">
        <f ca="1">IF(OR(INDEX($AI$2:$AI$1001,MATCH(ROWS($AH$2:AH414),$AH$2:$AH$1001,0),1)&gt;=100000,INDEX($AO$1005:$BQ$1005,1,MATCH(COLUMNS($AO$1006:AQ1006),$AO$1006:$BQ$1006,0))&gt;=100000), " ",IF(INDEX($AO$2:$BQ$1001,MATCH(ROWS($AH$2:AH414),$AH$2:$AH$1001,0),MATCH(COLUMNS($AO$1006:AQ1006),$AO$1006:$BQ$1006,0)), HYPERLINK("#",""), HYPERLINK(CONCATENATE("#Metadata!", ADDRESS(INDEX($AJ$2:$AJ$1001,MATCH(ROWS($AH$2:AH414),$AH$2:$AH$1001,0),0), INDEX($AO$1004:$BQ$1004,1,MATCH(COLUMNS($AO$1006:AQ1006),$AO$1006:$BQ$1006,0)))),"Fix")))</f>
        <v>#N/A</v>
      </c>
      <c r="E414" s="5" t="e">
        <f ca="1">IF(OR(INDEX($AI$2:$AI$1001,MATCH(ROWS($AH$2:AH414),$AH$2:$AH$1001,0),1)&gt;=100000,INDEX($AO$1005:$BQ$1005,1,MATCH(COLUMNS($AO$1006:AR1006),$AO$1006:$BQ$1006,0))&gt;=100000), " ",IF(INDEX($AO$2:$BQ$1001,MATCH(ROWS($AH$2:AH414),$AH$2:$AH$1001,0),MATCH(COLUMNS($AO$1006:AR1006),$AO$1006:$BQ$1006,0)), HYPERLINK("#",""), HYPERLINK(CONCATENATE("#Metadata!", ADDRESS(INDEX($AJ$2:$AJ$1001,MATCH(ROWS($AH$2:AH414),$AH$2:$AH$1001,0),0), INDEX($AO$1004:$BQ$1004,1,MATCH(COLUMNS($AO$1006:AR1006),$AO$1006:$BQ$1006,0)))),"Fix")))</f>
        <v>#N/A</v>
      </c>
      <c r="F414" s="5" t="e">
        <f ca="1">IF(OR(INDEX($AI$2:$AI$1001,MATCH(ROWS($AH$2:AH414),$AH$2:$AH$1001,0),1)&gt;=100000,INDEX($AO$1005:$BQ$1005,1,MATCH(COLUMNS($AO$1006:AS1006),$AO$1006:$BQ$1006,0))&gt;=100000), " ",IF(INDEX($AO$2:$BQ$1001,MATCH(ROWS($AH$2:AH414),$AH$2:$AH$1001,0),MATCH(COLUMNS($AO$1006:AS1006),$AO$1006:$BQ$1006,0)), HYPERLINK("#",""), HYPERLINK(CONCATENATE("#Metadata!", ADDRESS(INDEX($AJ$2:$AJ$1001,MATCH(ROWS($AH$2:AH414),$AH$2:$AH$1001,0),0), INDEX($AO$1004:$BQ$1004,1,MATCH(COLUMNS($AO$1006:AS1006),$AO$1006:$BQ$1006,0)))),"Fix")))</f>
        <v>#N/A</v>
      </c>
      <c r="G414" s="5" t="e">
        <f ca="1">IF(OR(INDEX($AI$2:$AI$1001,MATCH(ROWS($AH$2:AH414),$AH$2:$AH$1001,0),1)&gt;=100000,INDEX($AO$1005:$BQ$1005,1,MATCH(COLUMNS($AO$1006:AT1006),$AO$1006:$BQ$1006,0))&gt;=100000), " ",IF(INDEX($AO$2:$BQ$1001,MATCH(ROWS($AH$2:AH414),$AH$2:$AH$1001,0),MATCH(COLUMNS($AO$1006:AT1006),$AO$1006:$BQ$1006,0)), HYPERLINK("#",""), HYPERLINK(CONCATENATE("#Metadata!", ADDRESS(INDEX($AJ$2:$AJ$1001,MATCH(ROWS($AH$2:AH414),$AH$2:$AH$1001,0),0), INDEX($AO$1004:$BQ$1004,1,MATCH(COLUMNS($AO$1006:AT1006),$AO$1006:$BQ$1006,0)))),"Fix")))</f>
        <v>#N/A</v>
      </c>
      <c r="H414" s="5" t="e">
        <f ca="1">IF(OR(INDEX($AI$2:$AI$1001,MATCH(ROWS($AH$2:AH414),$AH$2:$AH$1001,0),1)&gt;=100000,INDEX($AO$1005:$BQ$1005,1,MATCH(COLUMNS($AO$1006:AU1006),$AO$1006:$BQ$1006,0))&gt;=100000), " ",IF(INDEX($AO$2:$BQ$1001,MATCH(ROWS($AH$2:AH414),$AH$2:$AH$1001,0),MATCH(COLUMNS($AO$1006:AU1006),$AO$1006:$BQ$1006,0)), HYPERLINK("#",""), HYPERLINK(CONCATENATE("#Metadata!", ADDRESS(INDEX($AJ$2:$AJ$1001,MATCH(ROWS($AH$2:AH414),$AH$2:$AH$1001,0),0), INDEX($AO$1004:$BQ$1004,1,MATCH(COLUMNS($AO$1006:AU1006),$AO$1006:$BQ$1006,0)))),"Fix")))</f>
        <v>#N/A</v>
      </c>
      <c r="I414" s="5" t="e">
        <f ca="1">IF(OR(INDEX($AI$2:$AI$1001,MATCH(ROWS($AH$2:AH414),$AH$2:$AH$1001,0),1)&gt;=100000,INDEX($AO$1005:$BQ$1005,1,MATCH(COLUMNS($AO$1006:AV1006),$AO$1006:$BQ$1006,0))&gt;=100000), " ",IF(INDEX($AO$2:$BQ$1001,MATCH(ROWS($AH$2:AH414),$AH$2:$AH$1001,0),MATCH(COLUMNS($AO$1006:AV1006),$AO$1006:$BQ$1006,0)), HYPERLINK("#",""), HYPERLINK(CONCATENATE("#Metadata!", ADDRESS(INDEX($AJ$2:$AJ$1001,MATCH(ROWS($AH$2:AH414),$AH$2:$AH$1001,0),0), INDEX($AO$1004:$BQ$1004,1,MATCH(COLUMNS($AO$1006:AV1006),$AO$1006:$BQ$1006,0)))),"Fix")))</f>
        <v>#N/A</v>
      </c>
      <c r="J414" s="5" t="e">
        <f ca="1">IF(OR(INDEX($AI$2:$AI$1001,MATCH(ROWS($AH$2:AH414),$AH$2:$AH$1001,0),1)&gt;=100000,INDEX($AO$1005:$BQ$1005,1,MATCH(COLUMNS($AO$1006:AW1006),$AO$1006:$BQ$1006,0))&gt;=100000), " ",IF(INDEX($AO$2:$BQ$1001,MATCH(ROWS($AH$2:AH414),$AH$2:$AH$1001,0),MATCH(COLUMNS($AO$1006:AW1006),$AO$1006:$BQ$1006,0)), HYPERLINK("#",""), HYPERLINK(CONCATENATE("#Metadata!", ADDRESS(INDEX($AJ$2:$AJ$1001,MATCH(ROWS($AH$2:AH414),$AH$2:$AH$1001,0),0), INDEX($AO$1004:$BQ$1004,1,MATCH(COLUMNS($AO$1006:AW1006),$AO$1006:$BQ$1006,0)))),"Fix")))</f>
        <v>#N/A</v>
      </c>
      <c r="K414" s="5" t="e">
        <f ca="1">IF(OR(INDEX($AI$2:$AI$1001,MATCH(ROWS($AH$2:AH414),$AH$2:$AH$1001,0),1)&gt;=100000,INDEX($AO$1005:$BQ$1005,1,MATCH(COLUMNS($AO$1006:AX1006),$AO$1006:$BQ$1006,0))&gt;=100000), " ",IF(INDEX($AO$2:$BQ$1001,MATCH(ROWS($AH$2:AH414),$AH$2:$AH$1001,0),MATCH(COLUMNS($AO$1006:AX1006),$AO$1006:$BQ$1006,0)), HYPERLINK("#",""), HYPERLINK(CONCATENATE("#Metadata!", ADDRESS(INDEX($AJ$2:$AJ$1001,MATCH(ROWS($AH$2:AH414),$AH$2:$AH$1001,0),0), INDEX($AO$1004:$BQ$1004,1,MATCH(COLUMNS($AO$1006:AX1006),$AO$1006:$BQ$1006,0)))),"Fix")))</f>
        <v>#N/A</v>
      </c>
      <c r="L414" s="5" t="e">
        <f ca="1">IF(OR(INDEX($AI$2:$AI$1001,MATCH(ROWS($AH$2:AH414),$AH$2:$AH$1001,0),1)&gt;=100000,INDEX($AO$1005:$BQ$1005,1,MATCH(COLUMNS($AO$1006:AY1006),$AO$1006:$BQ$1006,0))&gt;=100000), " ",IF(INDEX($AO$2:$BQ$1001,MATCH(ROWS($AH$2:AH414),$AH$2:$AH$1001,0),MATCH(COLUMNS($AO$1006:AY1006),$AO$1006:$BQ$1006,0)), HYPERLINK("#",""), HYPERLINK(CONCATENATE("#Metadata!", ADDRESS(INDEX($AJ$2:$AJ$1001,MATCH(ROWS($AH$2:AH414),$AH$2:$AH$1001,0),0), INDEX($AO$1004:$BQ$1004,1,MATCH(COLUMNS($AO$1006:AY1006),$AO$1006:$BQ$1006,0)))),"Fix")))</f>
        <v>#N/A</v>
      </c>
      <c r="M414" s="5" t="e">
        <f ca="1">IF(OR(INDEX($AI$2:$AI$1001,MATCH(ROWS($AH$2:AH414),$AH$2:$AH$1001,0),1)&gt;=100000,INDEX($AO$1005:$BQ$1005,1,MATCH(COLUMNS($AO$1006:AZ1006),$AO$1006:$BQ$1006,0))&gt;=100000), " ",IF(INDEX($AO$2:$BQ$1001,MATCH(ROWS($AH$2:AH414),$AH$2:$AH$1001,0),MATCH(COLUMNS($AO$1006:AZ1006),$AO$1006:$BQ$1006,0)), HYPERLINK("#",""), HYPERLINK(CONCATENATE("#Metadata!", ADDRESS(INDEX($AJ$2:$AJ$1001,MATCH(ROWS($AH$2:AH414),$AH$2:$AH$1001,0),0), INDEX($AO$1004:$BQ$1004,1,MATCH(COLUMNS($AO$1006:AZ1006),$AO$1006:$BQ$1006,0)))),"Fix")))</f>
        <v>#N/A</v>
      </c>
      <c r="N414" s="5" t="e">
        <f ca="1">IF(OR(INDEX($AI$2:$AI$1001,MATCH(ROWS($AH$2:AH414),$AH$2:$AH$1001,0),1)&gt;=100000,INDEX($AO$1005:$BQ$1005,1,MATCH(COLUMNS($AO$1006:BA1006),$AO$1006:$BQ$1006,0))&gt;=100000), " ",IF(INDEX($AO$2:$BQ$1001,MATCH(ROWS($AH$2:AH414),$AH$2:$AH$1001,0),MATCH(COLUMNS($AO$1006:BA1006),$AO$1006:$BQ$1006,0)), HYPERLINK("#",""), HYPERLINK(CONCATENATE("#Metadata!", ADDRESS(INDEX($AJ$2:$AJ$1001,MATCH(ROWS($AH$2:AH414),$AH$2:$AH$1001,0),0), INDEX($AO$1004:$BQ$1004,1,MATCH(COLUMNS($AO$1006:BA1006),$AO$1006:$BQ$1006,0)))),"Fix")))</f>
        <v>#N/A</v>
      </c>
      <c r="O414" s="5" t="e">
        <f ca="1">IF(OR(INDEX($AI$2:$AI$1001,MATCH(ROWS($AH$2:AH414),$AH$2:$AH$1001,0),1)&gt;=100000,INDEX($AO$1005:$BQ$1005,1,MATCH(COLUMNS($AO$1006:BB1006),$AO$1006:$BQ$1006,0))&gt;=100000), " ",IF(INDEX($AO$2:$BQ$1001,MATCH(ROWS($AH$2:AH414),$AH$2:$AH$1001,0),MATCH(COLUMNS($AO$1006:BB1006),$AO$1006:$BQ$1006,0)), HYPERLINK("#",""), HYPERLINK(CONCATENATE("#Metadata!", ADDRESS(INDEX($AJ$2:$AJ$1001,MATCH(ROWS($AH$2:AH414),$AH$2:$AH$1001,0),0), INDEX($AO$1004:$BQ$1004,1,MATCH(COLUMNS($AO$1006:BB1006),$AO$1006:$BQ$1006,0)))),"Fix")))</f>
        <v>#N/A</v>
      </c>
      <c r="P414" s="5" t="e">
        <f ca="1">IF(OR(INDEX($AI$2:$AI$1001,MATCH(ROWS($AH$2:AH414),$AH$2:$AH$1001,0),1)&gt;=100000,INDEX($AO$1005:$BQ$1005,1,MATCH(COLUMNS($AO$1006:BC1006),$AO$1006:$BQ$1006,0))&gt;=100000), " ",IF(INDEX($AO$2:$BQ$1001,MATCH(ROWS($AH$2:AH414),$AH$2:$AH$1001,0),MATCH(COLUMNS($AO$1006:BC1006),$AO$1006:$BQ$1006,0)), HYPERLINK("#",""), HYPERLINK(CONCATENATE("#Metadata!", ADDRESS(INDEX($AJ$2:$AJ$1001,MATCH(ROWS($AH$2:AH414),$AH$2:$AH$1001,0),0), INDEX($AO$1004:$BQ$1004,1,MATCH(COLUMNS($AO$1006:BC1006),$AO$1006:$BQ$1006,0)))),"Fix")))</f>
        <v>#N/A</v>
      </c>
      <c r="Q414" s="5" t="e">
        <f ca="1">IF(OR(INDEX($AI$2:$AI$1001,MATCH(ROWS($AH$2:AH414),$AH$2:$AH$1001,0),1)&gt;=100000,INDEX($AO$1005:$BQ$1005,1,MATCH(COLUMNS($AO$1006:BD1006),$AO$1006:$BQ$1006,0))&gt;=100000), " ",IF(INDEX($AO$2:$BQ$1001,MATCH(ROWS($AH$2:AH414),$AH$2:$AH$1001,0),MATCH(COLUMNS($AO$1006:BD1006),$AO$1006:$BQ$1006,0)), HYPERLINK("#",""), HYPERLINK(CONCATENATE("#Metadata!", ADDRESS(INDEX($AJ$2:$AJ$1001,MATCH(ROWS($AH$2:AH414),$AH$2:$AH$1001,0),0), INDEX($AO$1004:$BQ$1004,1,MATCH(COLUMNS($AO$1006:BD1006),$AO$1006:$BQ$1006,0)))),"Fix")))</f>
        <v>#N/A</v>
      </c>
      <c r="R414" s="5" t="e">
        <f ca="1">IF(OR(INDEX($AI$2:$AI$1001,MATCH(ROWS($AH$2:AH414),$AH$2:$AH$1001,0),1)&gt;=100000,INDEX($AO$1005:$BQ$1005,1,MATCH(COLUMNS($AO$1006:BE1006),$AO$1006:$BQ$1006,0))&gt;=100000), " ",IF(INDEX($AO$2:$BQ$1001,MATCH(ROWS($AH$2:AH414),$AH$2:$AH$1001,0),MATCH(COLUMNS($AO$1006:BE1006),$AO$1006:$BQ$1006,0)), HYPERLINK("#",""), HYPERLINK(CONCATENATE("#Metadata!", ADDRESS(INDEX($AJ$2:$AJ$1001,MATCH(ROWS($AH$2:AH414),$AH$2:$AH$1001,0),0), INDEX($AO$1004:$BQ$1004,1,MATCH(COLUMNS($AO$1006:BE1006),$AO$1006:$BQ$1006,0)))),"Fix")))</f>
        <v>#N/A</v>
      </c>
      <c r="S414" s="5" t="e">
        <f ca="1">IF(OR(INDEX($AI$2:$AI$1001,MATCH(ROWS($AH$2:AH414),$AH$2:$AH$1001,0),1)&gt;=100000,INDEX($AO$1005:$BQ$1005,1,MATCH(COLUMNS($AO$1006:BF1006),$AO$1006:$BQ$1006,0))&gt;=100000), " ",IF(INDEX($AO$2:$BQ$1001,MATCH(ROWS($AH$2:AH414),$AH$2:$AH$1001,0),MATCH(COLUMNS($AO$1006:BF1006),$AO$1006:$BQ$1006,0)), HYPERLINK("#",""), HYPERLINK(CONCATENATE("#Metadata!", ADDRESS(INDEX($AJ$2:$AJ$1001,MATCH(ROWS($AH$2:AH414),$AH$2:$AH$1001,0),0), INDEX($AO$1004:$BQ$1004,1,MATCH(COLUMNS($AO$1006:BF1006),$AO$1006:$BQ$1006,0)))),"Fix")))</f>
        <v>#N/A</v>
      </c>
      <c r="T414" s="5" t="e">
        <f ca="1">IF(OR(INDEX($AI$2:$AI$1001,MATCH(ROWS($AH$2:AH414),$AH$2:$AH$1001,0),1)&gt;=100000,INDEX($AO$1005:$BQ$1005,1,MATCH(COLUMNS($AO$1006:BG1006),$AO$1006:$BQ$1006,0))&gt;=100000), " ",IF(INDEX($AO$2:$BQ$1001,MATCH(ROWS($AH$2:AH414),$AH$2:$AH$1001,0),MATCH(COLUMNS($AO$1006:BG1006),$AO$1006:$BQ$1006,0)), HYPERLINK("#",""), HYPERLINK(CONCATENATE("#Metadata!", ADDRESS(INDEX($AJ$2:$AJ$1001,MATCH(ROWS($AH$2:AH414),$AH$2:$AH$1001,0),0), INDEX($AO$1004:$BQ$1004,1,MATCH(COLUMNS($AO$1006:BG1006),$AO$1006:$BQ$1006,0)))),"Fix")))</f>
        <v>#N/A</v>
      </c>
      <c r="U414" s="5" t="e">
        <f ca="1">IF(OR(INDEX($AI$2:$AI$1001,MATCH(ROWS($AH$2:AH414),$AH$2:$AH$1001,0),1)&gt;=100000,INDEX($AO$1005:$BQ$1005,1,MATCH(COLUMNS($AO$1006:BH1006),$AO$1006:$BQ$1006,0))&gt;=100000), " ",IF(INDEX($AO$2:$BQ$1001,MATCH(ROWS($AH$2:AH414),$AH$2:$AH$1001,0),MATCH(COLUMNS($AO$1006:BH1006),$AO$1006:$BQ$1006,0)), HYPERLINK("#",""), HYPERLINK(CONCATENATE("#Metadata!", ADDRESS(INDEX($AJ$2:$AJ$1001,MATCH(ROWS($AH$2:AH414),$AH$2:$AH$1001,0),0), INDEX($AO$1004:$BQ$1004,1,MATCH(COLUMNS($AO$1006:BH1006),$AO$1006:$BQ$1006,0)))),"Fix")))</f>
        <v>#N/A</v>
      </c>
      <c r="V414" s="5" t="e">
        <f ca="1">IF(OR(INDEX($AI$2:$AI$1001,MATCH(ROWS($AH$2:AH414),$AH$2:$AH$1001,0),1)&gt;=100000,INDEX($AO$1005:$BQ$1005,1,MATCH(COLUMNS($AO$1006:BI1006),$AO$1006:$BQ$1006,0))&gt;=100000), " ",IF(INDEX($AO$2:$BQ$1001,MATCH(ROWS($AH$2:AH414),$AH$2:$AH$1001,0),MATCH(COLUMNS($AO$1006:BI1006),$AO$1006:$BQ$1006,0)), HYPERLINK("#",""), HYPERLINK(CONCATENATE("#Metadata!", ADDRESS(INDEX($AJ$2:$AJ$1001,MATCH(ROWS($AH$2:AH414),$AH$2:$AH$1001,0),0), INDEX($AO$1004:$BQ$1004,1,MATCH(COLUMNS($AO$1006:BI1006),$AO$1006:$BQ$1006,0)))),"Fix")))</f>
        <v>#N/A</v>
      </c>
      <c r="W414" s="5" t="e">
        <f ca="1">IF(OR(INDEX($AI$2:$AI$1001,MATCH(ROWS($AH$2:AH414),$AH$2:$AH$1001,0),1)&gt;=100000,INDEX($AO$1005:$BQ$1005,1,MATCH(COLUMNS($AO$1006:BJ1006),$AO$1006:$BQ$1006,0))&gt;=100000), " ",IF(INDEX($AO$2:$BQ$1001,MATCH(ROWS($AH$2:AH414),$AH$2:$AH$1001,0),MATCH(COLUMNS($AO$1006:BJ1006),$AO$1006:$BQ$1006,0)), HYPERLINK("#",""), HYPERLINK(CONCATENATE("#Metadata!", ADDRESS(INDEX($AJ$2:$AJ$1001,MATCH(ROWS($AH$2:AH414),$AH$2:$AH$1001,0),0), INDEX($AO$1004:$BQ$1004,1,MATCH(COLUMNS($AO$1006:BJ1006),$AO$1006:$BQ$1006,0)))),"Fix")))</f>
        <v>#N/A</v>
      </c>
      <c r="X414" s="5" t="e">
        <f ca="1">IF(OR(INDEX($AI$2:$AI$1001,MATCH(ROWS($AH$2:AH414),$AH$2:$AH$1001,0),1)&gt;=100000,INDEX($AO$1005:$BQ$1005,1,MATCH(COLUMNS($AO$1006:BK1006),$AO$1006:$BQ$1006,0))&gt;=100000), " ",IF(INDEX($AO$2:$BQ$1001,MATCH(ROWS($AH$2:AH414),$AH$2:$AH$1001,0),MATCH(COLUMNS($AO$1006:BK1006),$AO$1006:$BQ$1006,0)), HYPERLINK("#",""), HYPERLINK(CONCATENATE("#Metadata!", ADDRESS(INDEX($AJ$2:$AJ$1001,MATCH(ROWS($AH$2:AH414),$AH$2:$AH$1001,0),0), INDEX($AO$1004:$BQ$1004,1,MATCH(COLUMNS($AO$1006:BK1006),$AO$1006:$BQ$1006,0)))),"Fix")))</f>
        <v>#N/A</v>
      </c>
      <c r="Y414" s="5" t="e">
        <f ca="1">IF(OR(INDEX($AI$2:$AI$1001,MATCH(ROWS($AH$2:AH414),$AH$2:$AH$1001,0),1)&gt;=100000,INDEX($AO$1005:$BQ$1005,1,MATCH(COLUMNS($AO$1006:BL1006),$AO$1006:$BQ$1006,0))&gt;=100000), " ",IF(INDEX($AO$2:$BQ$1001,MATCH(ROWS($AH$2:AH414),$AH$2:$AH$1001,0),MATCH(COLUMNS($AO$1006:BL1006),$AO$1006:$BQ$1006,0)), HYPERLINK("#",""), HYPERLINK(CONCATENATE("#Metadata!", ADDRESS(INDEX($AJ$2:$AJ$1001,MATCH(ROWS($AH$2:AH414),$AH$2:$AH$1001,0),0), INDEX($AO$1004:$BQ$1004,1,MATCH(COLUMNS($AO$1006:BL1006),$AO$1006:$BQ$1006,0)))),"Fix")))</f>
        <v>#N/A</v>
      </c>
      <c r="Z414" s="5" t="e">
        <f ca="1">IF(OR(INDEX($AI$2:$AI$1001,MATCH(ROWS($AH$2:AH414),$AH$2:$AH$1001,0),1)&gt;=100000,INDEX($AO$1005:$BQ$1005,1,MATCH(COLUMNS($AO$1006:BM1006),$AO$1006:$BQ$1006,0))&gt;=100000), " ",IF(INDEX($AO$2:$BQ$1001,MATCH(ROWS($AH$2:AH414),$AH$2:$AH$1001,0),MATCH(COLUMNS($AO$1006:BM1006),$AO$1006:$BQ$1006,0)), HYPERLINK("#",""), HYPERLINK(CONCATENATE("#Metadata!", ADDRESS(INDEX($AJ$2:$AJ$1001,MATCH(ROWS($AH$2:AH414),$AH$2:$AH$1001,0),0), INDEX($AO$1004:$BQ$1004,1,MATCH(COLUMNS($AO$1006:BM1006),$AO$1006:$BQ$1006,0)))),"Fix")))</f>
        <v>#N/A</v>
      </c>
      <c r="AA414" s="5" t="e">
        <f ca="1">IF(OR(INDEX($AI$2:$AI$1001,MATCH(ROWS($AH$2:AH414),$AH$2:$AH$1001,0),1)&gt;=100000,INDEX($AO$1005:$BQ$1005,1,MATCH(COLUMNS($AO$1006:BN1006),$AO$1006:$BQ$1006,0))&gt;=100000), " ",IF(INDEX($AO$2:$BQ$1001,MATCH(ROWS($AH$2:AH414),$AH$2:$AH$1001,0),MATCH(COLUMNS($AO$1006:BN1006),$AO$1006:$BQ$1006,0)), HYPERLINK("#",""), HYPERLINK(CONCATENATE("#Metadata!", ADDRESS(INDEX($AJ$2:$AJ$1001,MATCH(ROWS($AH$2:AH414),$AH$2:$AH$1001,0),0), INDEX($AO$1004:$BQ$1004,1,MATCH(COLUMNS($AO$1006:BN1006),$AO$1006:$BQ$1006,0)))),"Fix")))</f>
        <v>#N/A</v>
      </c>
      <c r="AB414" s="5" t="e">
        <f ca="1">IF(OR(INDEX($AI$2:$AI$1001,MATCH(ROWS($AH$2:AH414),$AH$2:$AH$1001,0),1)&gt;=100000,INDEX($AO$1005:$BQ$1005,1,MATCH(COLUMNS($AO$1006:BO1006),$AO$1006:$BQ$1006,0))&gt;=100000), " ",IF(INDEX($AO$2:$BQ$1001,MATCH(ROWS($AH$2:AH414),$AH$2:$AH$1001,0),MATCH(COLUMNS($AO$1006:BO1006),$AO$1006:$BQ$1006,0)), HYPERLINK("#",""), HYPERLINK(CONCATENATE("#Metadata!", ADDRESS(INDEX($AJ$2:$AJ$1001,MATCH(ROWS($AH$2:AH414),$AH$2:$AH$1001,0),0), INDEX($AO$1004:$BQ$1004,1,MATCH(COLUMNS($AO$1006:BO1006),$AO$1006:$BQ$1006,0)))),"Fix")))</f>
        <v>#N/A</v>
      </c>
      <c r="AC414" s="5" t="e">
        <f ca="1">IF(OR(INDEX($AI$2:$AI$1001,MATCH(ROWS($AH$2:AH414),$AH$2:$AH$1001,0),1)&gt;=100000,INDEX($AO$1005:$BQ$1005,1,MATCH(COLUMNS($AO$1006:BP1006),$AO$1006:$BQ$1006,0))&gt;=100000), " ",IF(INDEX($AO$2:$BQ$1001,MATCH(ROWS($AH$2:AH414),$AH$2:$AH$1001,0),MATCH(COLUMNS($AO$1006:BP1006),$AO$1006:$BQ$1006,0)), HYPERLINK("#",""), HYPERLINK(CONCATENATE("#Metadata!", ADDRESS(INDEX($AJ$2:$AJ$1001,MATCH(ROWS($AH$2:AH414),$AH$2:$AH$1001,0),0), INDEX($AO$1004:$BQ$1004,1,MATCH(COLUMNS($AO$1006:BP1006),$AO$1006:$BQ$1006,0)))),"Fix")))</f>
        <v>#N/A</v>
      </c>
      <c r="AD414" s="5" t="e">
        <f ca="1">IF(OR(INDEX($AI$2:$AI$1001,MATCH(ROWS($AH$2:AH414),$AH$2:$AH$1001,0),1)&gt;=100000,INDEX($AO$1005:$BQ$1005,1,MATCH(COLUMNS($AO$1006:BQ1006),$AO$1006:$BQ$1006,0))&gt;=100000), " ",IF(INDEX($AO$2:$BQ$1001,MATCH(ROWS($AH$2:AH414),$AH$2:$AH$1001,0),MATCH(COLUMNS($AO$1006:BQ1006),$AO$1006:$BQ$1006,0)), HYPERLINK("#",""), HYPERLINK(CONCATENATE("#Metadata!", ADDRESS(INDEX($AJ$2:$AJ$1001,MATCH(ROWS($AH$2:AH414),$AH$2:$AH$1001,0),0), INDEX($AO$1004:$BQ$1004,1,MATCH(COLUMNS($AO$1006:BQ1006),$AO$1006:$BQ$1006,0)))),"Fix")))</f>
        <v>#REF!</v>
      </c>
      <c r="AH414">
        <f ca="1"/>
        <v>411</v>
      </c>
      <c r="AI414">
        <v>100414</v>
      </c>
      <c r="AJ414">
        <v>414</v>
      </c>
      <c r="AK414" t="b">
        <f t="shared" si="6"/>
        <v>1</v>
      </c>
      <c r="AL414" t="b">
        <f>COUNTBLANK(Metadata!B414:AD414)=COLUMNS(Metadata!B414:AD414)</f>
        <v>1</v>
      </c>
      <c r="AM414" t="str">
        <v/>
      </c>
      <c r="AO414" t="b">
        <f ca="1">AND(IF(Metadata!B414="",FALSE,TRUE),COUNTIF(Metadata!B:B, Metadata!B414) = 1,NOT(ISERROR(SUMPRODUCT(SEARCH(MID(Metadata!B414,ROW(INDIRECT("1:"&amp;LEN(Metadata!B414))), 1),"0123456789abcdefghijklmnopqrstuvwxyzABCDEFGHIJKLMNOPQRSTUVWXYZ.")))))</f>
        <v>0</v>
      </c>
      <c r="AP414" t="b">
        <f>IF(Metadata!C414="",FALSE,TRUE)</f>
        <v>0</v>
      </c>
      <c r="AQ414" t="b">
        <f>IF(Metadata!D414="",FALSE,TRUE)</f>
        <v>0</v>
      </c>
      <c r="AR414" t="b">
        <f ca="1">OR(AND(IF(Metadata!E414="",FALSE,TRUE),OR(EXACT(Metadata!E414,"not collected"),EXACT(Metadata!E414,"not provided"),EXACT(Metadata!E414,"restricted access"))),AND(IF(Metadata!E414="",FALSE,TRUE),AND(AND(IFERROR(INT(LEFT(Metadata!E414,4))&gt;1900,FALSE),IFERROR(INT(LEFT(Metadata!E414,4))&lt;=YEAR(NOW()),FALSE)), OR(MID(Metadata!E414,5,1)="", AND(AND(MID(Metadata!E414,5,1)="-",IFERROR(INT(MID(Metadata!E414,6,1))&gt;=0,FALSE),IFERROR(INT(MID(Metadata!E414,6,1))&lt;=1,FALSE),NOT(MID(Metadata!E414,7,1)=""),IFERROR(INT(MID(Metadata!E414,6,2))&gt;=1,FALSE),IFERROR(INT(MID(Metadata!E414,6,2))&lt;=12,FALSE)), OR(MID(Metadata!E414,8,1)="", AND(AND(MID(Metadata!E414,8,1)="-",IFERROR(INT(MID(Metadata!E414,9,1))&gt;=0,FALSE),IFERROR(INT(MID(Metadata!E414,9,1))&lt;=3,FALSE),NOT(MID(Metadata!E414,10,1)=""),IFERROR(INT(MID(Metadata!E414,9,2))&gt;=1,FALSE),IFERROR(INT(MID(Metadata!E414,9,2))&lt;=31,FALSE)), OR(MID(Metadata!E414,11,1)="", AND(AND(MID(Metadata!E414,11,1)=" ",IFERROR(INT(MID(Metadata!E414,12,1))&gt;=0,FALSE),IFERROR(INT(MID(Metadata!E414,12,1))&lt;=2,FALSE),NOT(MID(Metadata!E414,13,1)=""),IFERROR(INT(MID(Metadata!E414,12,2))&gt;=0,FALSE),IFERROR(INT(MID(Metadata!E414,12,2))&lt;=23,FALSE)), OR(MID(Metadata!E414,14,1)="", AND(AND(MID(Metadata!E414,14,1)=":",IFERROR(INT(MID(Metadata!E414,15,1))&gt;=0,FALSE),IFERROR(INT(MID(Metadata!E414,15,1))&lt;=5,FALSE),NOT(MID(Metadata!E414,16,1)=""),IFERROR(INT(MID(Metadata!E414,15,2))&gt;=0,FALSE),IFERROR(INT(MID(Metadata!E414,15,2))&lt;=59,FALSE)), OR(MID(Metadata!E414,17,1)="", AND(AND(MID(Metadata!E414,17,1)=":",IFERROR(INT(MID(Metadata!E414,18,1))&gt;=0,FALSE),IFERROR(INT(MID(Metadata!E414,18,1))&lt;=5,FALSE),NOT(MID(Metadata!E414,19,1)=""),IFERROR(INT(MID(Metadata!E414,18,2))&gt;=0,FALSE),IFERROR(INT(MID(Metadata!E414,18,2))&lt;=59,FALSE)), LEN(Metadata!E414)&lt;=19)))))))))))))</f>
        <v>0</v>
      </c>
      <c r="AS414" t="b">
        <f>IF(Metadata!F414="",FALSE,TRUE)</f>
        <v>0</v>
      </c>
      <c r="AT414" t="b">
        <f>OR(AND(IF(Metadata!G414="",FALSE,TRUE),OR(EXACT(Metadata!G414,"not collected"),EXACT(Metadata!G414,"not provided"))),AND(IF(Metadata!G414="",FALSE,TRUE),OR(EXACT(Metadata!G414,"TRUE"),EXACT(Metadata!G414,"FALSE"))))</f>
        <v>0</v>
      </c>
      <c r="AU414" t="b">
        <f>OR(AND(IF(Metadata!H414="",FALSE,TRUE),OR(EXACT(Metadata!H414,"not collected"),EXACT(Metadata!H414,"not provided"),EXACT(Metadata!H414,"restricted access"))),AND(IF(Metadata!H414="",FALSE,ISNUMBER(VALUE(Metadata!H414))),Metadata!H414&gt;=-413))</f>
        <v>0</v>
      </c>
      <c r="AV414" t="b">
        <f>AND(IF(Metadata!I414="",FALSE,TRUE),EXACT(Metadata!I414,"meters"))</f>
        <v>0</v>
      </c>
      <c r="AW414" t="b">
        <f>AND(IF(Metadata!J414="",FALSE,TRUE),EXACT(Metadata!J414,"free-living"))</f>
        <v>0</v>
      </c>
      <c r="AX414" t="b">
        <f>AND(IF(Metadata!K414="",FALSE,TRUE),OR(EXACT(Metadata!K414,"saline"),EXACT(Metadata!K414,"non-saline")))</f>
        <v>0</v>
      </c>
      <c r="AY414" t="b">
        <f>AND(IF(Metadata!L414="",FALSE,TRUE),OR(EXACT(Metadata!L414,"sub-surface (non-saline)"),EXACT(Metadata!L414,"surface (non-saline)"),EXACT(Metadata!L414,"water (non-saline)"),EXACT(Metadata!L414,"soil (non-saline)"),EXACT(Metadata!L414,"aerosol (non-saline)"),EXACT(Metadata!L414,"sediment (non-saline)"),EXACT(Metadata!L414,"surface (saline)"),EXACT(Metadata!L414,"water (saline)"),EXACT(Metadata!L414,"hypersaline (saline)"),EXACT(Metadata!L414,"aerosol (saline)"),EXACT(Metadata!L414,"sediment (saline)")))</f>
        <v>0</v>
      </c>
      <c r="AZ414" t="b">
        <f>IF(Metadata!M414="",FALSE,TRUE)</f>
        <v>0</v>
      </c>
      <c r="BA414" t="b">
        <f>IF(Metadata!N414="",FALSE,TRUE)</f>
        <v>0</v>
      </c>
      <c r="BB414" t="b">
        <f>IF(Metadata!O414="",FALSE,TRUE)</f>
        <v>0</v>
      </c>
      <c r="BC414" t="b">
        <f>AND(IF(Metadata!P414="",FALSE,TRUE),OR(EXACT(Metadata!P414,"air"),EXACT(Metadata!P414,"microbial mat/biofilm"),EXACT(Metadata!P414,"misc environment"),EXACT(Metadata!P414,"sediment"),EXACT(Metadata!P414,"soil"),EXACT(Metadata!P414,"wastewater/sludge"),EXACT(Metadata!P414,"water")))</f>
        <v>0</v>
      </c>
      <c r="BD414" t="b">
        <f>IF(Metadata!Q414="",FALSE,TRUE)</f>
        <v>0</v>
      </c>
      <c r="BE414" t="b">
        <f>IF(Metadata!R414="",FALSE,TRUE)</f>
        <v>0</v>
      </c>
      <c r="BF414" t="b">
        <f>OR(AND(IF(Metadata!S414="",FALSE,TRUE),OR(EXACT(Metadata!S414,"not collected"),EXACT(Metadata!S414,"not provided"),EXACT(Metadata!S414,"restricted access"))),AND(IF(Metadata!S414="",FALSE,ISNUMBER(VALUE(Metadata!S414))),Metadata!S414&gt;=-90,Metadata!S414&lt;=90))</f>
        <v>0</v>
      </c>
      <c r="BG414" t="b">
        <f>AND(IF(Metadata!T414="",FALSE,TRUE),EXACT(Metadata!T414,"Decimal degrees"))</f>
        <v>0</v>
      </c>
      <c r="BH414" t="b">
        <f>OR(AND(IF(Metadata!U414="",FALSE,TRUE),OR(EXACT(Metadata!U414,"not applicable"),EXACT(Metadata!U414,"not collected"))),IF(Metadata!U414="",FALSE,TRUE))</f>
        <v>0</v>
      </c>
      <c r="BI414" t="b">
        <f>OR(AND(IF(Metadata!V414="",FALSE,TRUE),OR(EXACT(Metadata!V414,"not collected"),EXACT(Metadata!V414,"not provided"),EXACT(Metadata!V414,"restricted access"))),AND(IF(Metadata!V414="",FALSE,ISNUMBER(VALUE(Metadata!V414))),Metadata!V414&gt;=-180,Metadata!V414&lt;=180))</f>
        <v>0</v>
      </c>
      <c r="BJ414" t="b">
        <f>AND(IF(Metadata!W414="",FALSE,TRUE),EXACT(Metadata!W414,"Decimal degrees"))</f>
        <v>0</v>
      </c>
      <c r="BK414" t="b">
        <f>IF(Metadata!X414="",FALSE,TRUE)</f>
        <v>0</v>
      </c>
      <c r="BL414" t="b">
        <f>OR(AND(IF(Metadata!Y414="",FALSE,TRUE),OR(EXACT(Metadata!Y414,"not collected"),EXACT(Metadata!Y414,"not provided"),EXACT(Metadata!Y414,"restricted access"))),AND(IF(Metadata!Y414="",FALSE,TRUE),OR(EXACT(Metadata!Y414,"TRUE"),EXACT(Metadata!Y414,"FALSE"))))</f>
        <v>0</v>
      </c>
      <c r="BM414" t="b">
        <f>OR(AND(IF(Metadata!Z414="",FALSE,TRUE),EXACT(Metadata!Z414,"not applicable")),AND(IF(Metadata!Z414="",FALSE,TRUE),OR(EXACT(Metadata!Z414,"beer"),EXACT(Metadata!Z414,"cheese"),EXACT(Metadata!Z414,"fresh water"),EXACT(Metadata!Z414,"marine sediment"),EXACT(Metadata!Z414,"sea water"),EXACT(Metadata!Z414,"sediment"),EXACT(Metadata!Z414,"soil"),EXACT(Metadata!Z414,"waste water"))))</f>
        <v>0</v>
      </c>
      <c r="BN414" t="b">
        <f>AND(IF(Metadata!AA414="",FALSE,TRUE),EXACT(Metadata!AA414,"metagenome"))</f>
        <v>0</v>
      </c>
      <c r="BO414" t="b">
        <f>AND(IF(Metadata!AB414="",FALSE,TRUE),EXACT(Metadata!AB414,"256318"))</f>
        <v>0</v>
      </c>
      <c r="BP414" t="b">
        <f>IF(Metadata!AC414="",FALSE,TRUE)</f>
        <v>0</v>
      </c>
      <c r="BQ414" t="b">
        <f>IF(Metadata!AD414="",FALSE,TRUE)</f>
        <v>0</v>
      </c>
    </row>
    <row r="415" spans="1:69" x14ac:dyDescent="0.2">
      <c r="A415" s="4" t="e">
        <f ca="1">IF(B415=" "," ",HYPERLINK(CONCATENATE("#metadata!",ADDRESS(INDEX($AJ$2:$AJ$1001,MATCH(ROWS($AH$2:AH415),$AH$2:$AH$1001,0),0),2)),INDEX($AM$2:$AM$1001,MATCH(ROWS($AH$2:AH415),$AH$2:$AH$1001,0),0)))</f>
        <v>#N/A</v>
      </c>
      <c r="B415" s="5" t="e">
        <f ca="1">IF(OR(INDEX($AI$2:$AI$1001,MATCH(ROWS($AH$2:AH415),$AH$2:$AH$1001,0),1)&gt;=100000,INDEX($AO$1005:$BQ$1005,1,MATCH(COLUMNS($AO$1006:AO1006),$AO$1006:$BQ$1006,0))&gt;=100000), " ",IF(INDEX($AO$2:$BQ$1001,MATCH(ROWS($AH$2:AH415),$AH$2:$AH$1001,0),MATCH(COLUMNS($AO$1006:AO1006),$AO$1006:$BQ$1006,0)), HYPERLINK("#",""), HYPERLINK(CONCATENATE("#Metadata!", ADDRESS(INDEX($AJ$2:$AJ$1001,MATCH(ROWS($AH$2:AH415),$AH$2:$AH$1001,0),0), INDEX($AO$1004:$BQ$1004,1,MATCH(COLUMNS($AO$1006:AO1006),$AO$1006:$BQ$1006,0)))),"Fix")))</f>
        <v>#N/A</v>
      </c>
      <c r="C415" s="5" t="e">
        <f ca="1">IF(OR(INDEX($AI$2:$AI$1001,MATCH(ROWS($AH$2:AH415),$AH$2:$AH$1001,0),1)&gt;=100000,INDEX($AO$1005:$BQ$1005,1,MATCH(COLUMNS($AO$1006:AP1006),$AO$1006:$BQ$1006,0))&gt;=100000), " ",IF(INDEX($AO$2:$BQ$1001,MATCH(ROWS($AH$2:AH415),$AH$2:$AH$1001,0),MATCH(COLUMNS($AO$1006:AP1006),$AO$1006:$BQ$1006,0)), HYPERLINK("#",""), HYPERLINK(CONCATENATE("#Metadata!", ADDRESS(INDEX($AJ$2:$AJ$1001,MATCH(ROWS($AH$2:AH415),$AH$2:$AH$1001,0),0), INDEX($AO$1004:$BQ$1004,1,MATCH(COLUMNS($AO$1006:AP1006),$AO$1006:$BQ$1006,0)))),"Fix")))</f>
        <v>#N/A</v>
      </c>
      <c r="D415" s="5" t="e">
        <f ca="1">IF(OR(INDEX($AI$2:$AI$1001,MATCH(ROWS($AH$2:AH415),$AH$2:$AH$1001,0),1)&gt;=100000,INDEX($AO$1005:$BQ$1005,1,MATCH(COLUMNS($AO$1006:AQ1006),$AO$1006:$BQ$1006,0))&gt;=100000), " ",IF(INDEX($AO$2:$BQ$1001,MATCH(ROWS($AH$2:AH415),$AH$2:$AH$1001,0),MATCH(COLUMNS($AO$1006:AQ1006),$AO$1006:$BQ$1006,0)), HYPERLINK("#",""), HYPERLINK(CONCATENATE("#Metadata!", ADDRESS(INDEX($AJ$2:$AJ$1001,MATCH(ROWS($AH$2:AH415),$AH$2:$AH$1001,0),0), INDEX($AO$1004:$BQ$1004,1,MATCH(COLUMNS($AO$1006:AQ1006),$AO$1006:$BQ$1006,0)))),"Fix")))</f>
        <v>#N/A</v>
      </c>
      <c r="E415" s="5" t="e">
        <f ca="1">IF(OR(INDEX($AI$2:$AI$1001,MATCH(ROWS($AH$2:AH415),$AH$2:$AH$1001,0),1)&gt;=100000,INDEX($AO$1005:$BQ$1005,1,MATCH(COLUMNS($AO$1006:AR1006),$AO$1006:$BQ$1006,0))&gt;=100000), " ",IF(INDEX($AO$2:$BQ$1001,MATCH(ROWS($AH$2:AH415),$AH$2:$AH$1001,0),MATCH(COLUMNS($AO$1006:AR1006),$AO$1006:$BQ$1006,0)), HYPERLINK("#",""), HYPERLINK(CONCATENATE("#Metadata!", ADDRESS(INDEX($AJ$2:$AJ$1001,MATCH(ROWS($AH$2:AH415),$AH$2:$AH$1001,0),0), INDEX($AO$1004:$BQ$1004,1,MATCH(COLUMNS($AO$1006:AR1006),$AO$1006:$BQ$1006,0)))),"Fix")))</f>
        <v>#N/A</v>
      </c>
      <c r="F415" s="5" t="e">
        <f ca="1">IF(OR(INDEX($AI$2:$AI$1001,MATCH(ROWS($AH$2:AH415),$AH$2:$AH$1001,0),1)&gt;=100000,INDEX($AO$1005:$BQ$1005,1,MATCH(COLUMNS($AO$1006:AS1006),$AO$1006:$BQ$1006,0))&gt;=100000), " ",IF(INDEX($AO$2:$BQ$1001,MATCH(ROWS($AH$2:AH415),$AH$2:$AH$1001,0),MATCH(COLUMNS($AO$1006:AS1006),$AO$1006:$BQ$1006,0)), HYPERLINK("#",""), HYPERLINK(CONCATENATE("#Metadata!", ADDRESS(INDEX($AJ$2:$AJ$1001,MATCH(ROWS($AH$2:AH415),$AH$2:$AH$1001,0),0), INDEX($AO$1004:$BQ$1004,1,MATCH(COLUMNS($AO$1006:AS1006),$AO$1006:$BQ$1006,0)))),"Fix")))</f>
        <v>#N/A</v>
      </c>
      <c r="G415" s="5" t="e">
        <f ca="1">IF(OR(INDEX($AI$2:$AI$1001,MATCH(ROWS($AH$2:AH415),$AH$2:$AH$1001,0),1)&gt;=100000,INDEX($AO$1005:$BQ$1005,1,MATCH(COLUMNS($AO$1006:AT1006),$AO$1006:$BQ$1006,0))&gt;=100000), " ",IF(INDEX($AO$2:$BQ$1001,MATCH(ROWS($AH$2:AH415),$AH$2:$AH$1001,0),MATCH(COLUMNS($AO$1006:AT1006),$AO$1006:$BQ$1006,0)), HYPERLINK("#",""), HYPERLINK(CONCATENATE("#Metadata!", ADDRESS(INDEX($AJ$2:$AJ$1001,MATCH(ROWS($AH$2:AH415),$AH$2:$AH$1001,0),0), INDEX($AO$1004:$BQ$1004,1,MATCH(COLUMNS($AO$1006:AT1006),$AO$1006:$BQ$1006,0)))),"Fix")))</f>
        <v>#N/A</v>
      </c>
      <c r="H415" s="5" t="e">
        <f ca="1">IF(OR(INDEX($AI$2:$AI$1001,MATCH(ROWS($AH$2:AH415),$AH$2:$AH$1001,0),1)&gt;=100000,INDEX($AO$1005:$BQ$1005,1,MATCH(COLUMNS($AO$1006:AU1006),$AO$1006:$BQ$1006,0))&gt;=100000), " ",IF(INDEX($AO$2:$BQ$1001,MATCH(ROWS($AH$2:AH415),$AH$2:$AH$1001,0),MATCH(COLUMNS($AO$1006:AU1006),$AO$1006:$BQ$1006,0)), HYPERLINK("#",""), HYPERLINK(CONCATENATE("#Metadata!", ADDRESS(INDEX($AJ$2:$AJ$1001,MATCH(ROWS($AH$2:AH415),$AH$2:$AH$1001,0),0), INDEX($AO$1004:$BQ$1004,1,MATCH(COLUMNS($AO$1006:AU1006),$AO$1006:$BQ$1006,0)))),"Fix")))</f>
        <v>#N/A</v>
      </c>
      <c r="I415" s="5" t="e">
        <f ca="1">IF(OR(INDEX($AI$2:$AI$1001,MATCH(ROWS($AH$2:AH415),$AH$2:$AH$1001,0),1)&gt;=100000,INDEX($AO$1005:$BQ$1005,1,MATCH(COLUMNS($AO$1006:AV1006),$AO$1006:$BQ$1006,0))&gt;=100000), " ",IF(INDEX($AO$2:$BQ$1001,MATCH(ROWS($AH$2:AH415),$AH$2:$AH$1001,0),MATCH(COLUMNS($AO$1006:AV1006),$AO$1006:$BQ$1006,0)), HYPERLINK("#",""), HYPERLINK(CONCATENATE("#Metadata!", ADDRESS(INDEX($AJ$2:$AJ$1001,MATCH(ROWS($AH$2:AH415),$AH$2:$AH$1001,0),0), INDEX($AO$1004:$BQ$1004,1,MATCH(COLUMNS($AO$1006:AV1006),$AO$1006:$BQ$1006,0)))),"Fix")))</f>
        <v>#N/A</v>
      </c>
      <c r="J415" s="5" t="e">
        <f ca="1">IF(OR(INDEX($AI$2:$AI$1001,MATCH(ROWS($AH$2:AH415),$AH$2:$AH$1001,0),1)&gt;=100000,INDEX($AO$1005:$BQ$1005,1,MATCH(COLUMNS($AO$1006:AW1006),$AO$1006:$BQ$1006,0))&gt;=100000), " ",IF(INDEX($AO$2:$BQ$1001,MATCH(ROWS($AH$2:AH415),$AH$2:$AH$1001,0),MATCH(COLUMNS($AO$1006:AW1006),$AO$1006:$BQ$1006,0)), HYPERLINK("#",""), HYPERLINK(CONCATENATE("#Metadata!", ADDRESS(INDEX($AJ$2:$AJ$1001,MATCH(ROWS($AH$2:AH415),$AH$2:$AH$1001,0),0), INDEX($AO$1004:$BQ$1004,1,MATCH(COLUMNS($AO$1006:AW1006),$AO$1006:$BQ$1006,0)))),"Fix")))</f>
        <v>#N/A</v>
      </c>
      <c r="K415" s="5" t="e">
        <f ca="1">IF(OR(INDEX($AI$2:$AI$1001,MATCH(ROWS($AH$2:AH415),$AH$2:$AH$1001,0),1)&gt;=100000,INDEX($AO$1005:$BQ$1005,1,MATCH(COLUMNS($AO$1006:AX1006),$AO$1006:$BQ$1006,0))&gt;=100000), " ",IF(INDEX($AO$2:$BQ$1001,MATCH(ROWS($AH$2:AH415),$AH$2:$AH$1001,0),MATCH(COLUMNS($AO$1006:AX1006),$AO$1006:$BQ$1006,0)), HYPERLINK("#",""), HYPERLINK(CONCATENATE("#Metadata!", ADDRESS(INDEX($AJ$2:$AJ$1001,MATCH(ROWS($AH$2:AH415),$AH$2:$AH$1001,0),0), INDEX($AO$1004:$BQ$1004,1,MATCH(COLUMNS($AO$1006:AX1006),$AO$1006:$BQ$1006,0)))),"Fix")))</f>
        <v>#N/A</v>
      </c>
      <c r="L415" s="5" t="e">
        <f ca="1">IF(OR(INDEX($AI$2:$AI$1001,MATCH(ROWS($AH$2:AH415),$AH$2:$AH$1001,0),1)&gt;=100000,INDEX($AO$1005:$BQ$1005,1,MATCH(COLUMNS($AO$1006:AY1006),$AO$1006:$BQ$1006,0))&gt;=100000), " ",IF(INDEX($AO$2:$BQ$1001,MATCH(ROWS($AH$2:AH415),$AH$2:$AH$1001,0),MATCH(COLUMNS($AO$1006:AY1006),$AO$1006:$BQ$1006,0)), HYPERLINK("#",""), HYPERLINK(CONCATENATE("#Metadata!", ADDRESS(INDEX($AJ$2:$AJ$1001,MATCH(ROWS($AH$2:AH415),$AH$2:$AH$1001,0),0), INDEX($AO$1004:$BQ$1004,1,MATCH(COLUMNS($AO$1006:AY1006),$AO$1006:$BQ$1006,0)))),"Fix")))</f>
        <v>#N/A</v>
      </c>
      <c r="M415" s="5" t="e">
        <f ca="1">IF(OR(INDEX($AI$2:$AI$1001,MATCH(ROWS($AH$2:AH415),$AH$2:$AH$1001,0),1)&gt;=100000,INDEX($AO$1005:$BQ$1005,1,MATCH(COLUMNS($AO$1006:AZ1006),$AO$1006:$BQ$1006,0))&gt;=100000), " ",IF(INDEX($AO$2:$BQ$1001,MATCH(ROWS($AH$2:AH415),$AH$2:$AH$1001,0),MATCH(COLUMNS($AO$1006:AZ1006),$AO$1006:$BQ$1006,0)), HYPERLINK("#",""), HYPERLINK(CONCATENATE("#Metadata!", ADDRESS(INDEX($AJ$2:$AJ$1001,MATCH(ROWS($AH$2:AH415),$AH$2:$AH$1001,0),0), INDEX($AO$1004:$BQ$1004,1,MATCH(COLUMNS($AO$1006:AZ1006),$AO$1006:$BQ$1006,0)))),"Fix")))</f>
        <v>#N/A</v>
      </c>
      <c r="N415" s="5" t="e">
        <f ca="1">IF(OR(INDEX($AI$2:$AI$1001,MATCH(ROWS($AH$2:AH415),$AH$2:$AH$1001,0),1)&gt;=100000,INDEX($AO$1005:$BQ$1005,1,MATCH(COLUMNS($AO$1006:BA1006),$AO$1006:$BQ$1006,0))&gt;=100000), " ",IF(INDEX($AO$2:$BQ$1001,MATCH(ROWS($AH$2:AH415),$AH$2:$AH$1001,0),MATCH(COLUMNS($AO$1006:BA1006),$AO$1006:$BQ$1006,0)), HYPERLINK("#",""), HYPERLINK(CONCATENATE("#Metadata!", ADDRESS(INDEX($AJ$2:$AJ$1001,MATCH(ROWS($AH$2:AH415),$AH$2:$AH$1001,0),0), INDEX($AO$1004:$BQ$1004,1,MATCH(COLUMNS($AO$1006:BA1006),$AO$1006:$BQ$1006,0)))),"Fix")))</f>
        <v>#N/A</v>
      </c>
      <c r="O415" s="5" t="e">
        <f ca="1">IF(OR(INDEX($AI$2:$AI$1001,MATCH(ROWS($AH$2:AH415),$AH$2:$AH$1001,0),1)&gt;=100000,INDEX($AO$1005:$BQ$1005,1,MATCH(COLUMNS($AO$1006:BB1006),$AO$1006:$BQ$1006,0))&gt;=100000), " ",IF(INDEX($AO$2:$BQ$1001,MATCH(ROWS($AH$2:AH415),$AH$2:$AH$1001,0),MATCH(COLUMNS($AO$1006:BB1006),$AO$1006:$BQ$1006,0)), HYPERLINK("#",""), HYPERLINK(CONCATENATE("#Metadata!", ADDRESS(INDEX($AJ$2:$AJ$1001,MATCH(ROWS($AH$2:AH415),$AH$2:$AH$1001,0),0), INDEX($AO$1004:$BQ$1004,1,MATCH(COLUMNS($AO$1006:BB1006),$AO$1006:$BQ$1006,0)))),"Fix")))</f>
        <v>#N/A</v>
      </c>
      <c r="P415" s="5" t="e">
        <f ca="1">IF(OR(INDEX($AI$2:$AI$1001,MATCH(ROWS($AH$2:AH415),$AH$2:$AH$1001,0),1)&gt;=100000,INDEX($AO$1005:$BQ$1005,1,MATCH(COLUMNS($AO$1006:BC1006),$AO$1006:$BQ$1006,0))&gt;=100000), " ",IF(INDEX($AO$2:$BQ$1001,MATCH(ROWS($AH$2:AH415),$AH$2:$AH$1001,0),MATCH(COLUMNS($AO$1006:BC1006),$AO$1006:$BQ$1006,0)), HYPERLINK("#",""), HYPERLINK(CONCATENATE("#Metadata!", ADDRESS(INDEX($AJ$2:$AJ$1001,MATCH(ROWS($AH$2:AH415),$AH$2:$AH$1001,0),0), INDEX($AO$1004:$BQ$1004,1,MATCH(COLUMNS($AO$1006:BC1006),$AO$1006:$BQ$1006,0)))),"Fix")))</f>
        <v>#N/A</v>
      </c>
      <c r="Q415" s="5" t="e">
        <f ca="1">IF(OR(INDEX($AI$2:$AI$1001,MATCH(ROWS($AH$2:AH415),$AH$2:$AH$1001,0),1)&gt;=100000,INDEX($AO$1005:$BQ$1005,1,MATCH(COLUMNS($AO$1006:BD1006),$AO$1006:$BQ$1006,0))&gt;=100000), " ",IF(INDEX($AO$2:$BQ$1001,MATCH(ROWS($AH$2:AH415),$AH$2:$AH$1001,0),MATCH(COLUMNS($AO$1006:BD1006),$AO$1006:$BQ$1006,0)), HYPERLINK("#",""), HYPERLINK(CONCATENATE("#Metadata!", ADDRESS(INDEX($AJ$2:$AJ$1001,MATCH(ROWS($AH$2:AH415),$AH$2:$AH$1001,0),0), INDEX($AO$1004:$BQ$1004,1,MATCH(COLUMNS($AO$1006:BD1006),$AO$1006:$BQ$1006,0)))),"Fix")))</f>
        <v>#N/A</v>
      </c>
      <c r="R415" s="5" t="e">
        <f ca="1">IF(OR(INDEX($AI$2:$AI$1001,MATCH(ROWS($AH$2:AH415),$AH$2:$AH$1001,0),1)&gt;=100000,INDEX($AO$1005:$BQ$1005,1,MATCH(COLUMNS($AO$1006:BE1006),$AO$1006:$BQ$1006,0))&gt;=100000), " ",IF(INDEX($AO$2:$BQ$1001,MATCH(ROWS($AH$2:AH415),$AH$2:$AH$1001,0),MATCH(COLUMNS($AO$1006:BE1006),$AO$1006:$BQ$1006,0)), HYPERLINK("#",""), HYPERLINK(CONCATENATE("#Metadata!", ADDRESS(INDEX($AJ$2:$AJ$1001,MATCH(ROWS($AH$2:AH415),$AH$2:$AH$1001,0),0), INDEX($AO$1004:$BQ$1004,1,MATCH(COLUMNS($AO$1006:BE1006),$AO$1006:$BQ$1006,0)))),"Fix")))</f>
        <v>#N/A</v>
      </c>
      <c r="S415" s="5" t="e">
        <f ca="1">IF(OR(INDEX($AI$2:$AI$1001,MATCH(ROWS($AH$2:AH415),$AH$2:$AH$1001,0),1)&gt;=100000,INDEX($AO$1005:$BQ$1005,1,MATCH(COLUMNS($AO$1006:BF1006),$AO$1006:$BQ$1006,0))&gt;=100000), " ",IF(INDEX($AO$2:$BQ$1001,MATCH(ROWS($AH$2:AH415),$AH$2:$AH$1001,0),MATCH(COLUMNS($AO$1006:BF1006),$AO$1006:$BQ$1006,0)), HYPERLINK("#",""), HYPERLINK(CONCATENATE("#Metadata!", ADDRESS(INDEX($AJ$2:$AJ$1001,MATCH(ROWS($AH$2:AH415),$AH$2:$AH$1001,0),0), INDEX($AO$1004:$BQ$1004,1,MATCH(COLUMNS($AO$1006:BF1006),$AO$1006:$BQ$1006,0)))),"Fix")))</f>
        <v>#N/A</v>
      </c>
      <c r="T415" s="5" t="e">
        <f ca="1">IF(OR(INDEX($AI$2:$AI$1001,MATCH(ROWS($AH$2:AH415),$AH$2:$AH$1001,0),1)&gt;=100000,INDEX($AO$1005:$BQ$1005,1,MATCH(COLUMNS($AO$1006:BG1006),$AO$1006:$BQ$1006,0))&gt;=100000), " ",IF(INDEX($AO$2:$BQ$1001,MATCH(ROWS($AH$2:AH415),$AH$2:$AH$1001,0),MATCH(COLUMNS($AO$1006:BG1006),$AO$1006:$BQ$1006,0)), HYPERLINK("#",""), HYPERLINK(CONCATENATE("#Metadata!", ADDRESS(INDEX($AJ$2:$AJ$1001,MATCH(ROWS($AH$2:AH415),$AH$2:$AH$1001,0),0), INDEX($AO$1004:$BQ$1004,1,MATCH(COLUMNS($AO$1006:BG1006),$AO$1006:$BQ$1006,0)))),"Fix")))</f>
        <v>#N/A</v>
      </c>
      <c r="U415" s="5" t="e">
        <f ca="1">IF(OR(INDEX($AI$2:$AI$1001,MATCH(ROWS($AH$2:AH415),$AH$2:$AH$1001,0),1)&gt;=100000,INDEX($AO$1005:$BQ$1005,1,MATCH(COLUMNS($AO$1006:BH1006),$AO$1006:$BQ$1006,0))&gt;=100000), " ",IF(INDEX($AO$2:$BQ$1001,MATCH(ROWS($AH$2:AH415),$AH$2:$AH$1001,0),MATCH(COLUMNS($AO$1006:BH1006),$AO$1006:$BQ$1006,0)), HYPERLINK("#",""), HYPERLINK(CONCATENATE("#Metadata!", ADDRESS(INDEX($AJ$2:$AJ$1001,MATCH(ROWS($AH$2:AH415),$AH$2:$AH$1001,0),0), INDEX($AO$1004:$BQ$1004,1,MATCH(COLUMNS($AO$1006:BH1006),$AO$1006:$BQ$1006,0)))),"Fix")))</f>
        <v>#N/A</v>
      </c>
      <c r="V415" s="5" t="e">
        <f ca="1">IF(OR(INDEX($AI$2:$AI$1001,MATCH(ROWS($AH$2:AH415),$AH$2:$AH$1001,0),1)&gt;=100000,INDEX($AO$1005:$BQ$1005,1,MATCH(COLUMNS($AO$1006:BI1006),$AO$1006:$BQ$1006,0))&gt;=100000), " ",IF(INDEX($AO$2:$BQ$1001,MATCH(ROWS($AH$2:AH415),$AH$2:$AH$1001,0),MATCH(COLUMNS($AO$1006:BI1006),$AO$1006:$BQ$1006,0)), HYPERLINK("#",""), HYPERLINK(CONCATENATE("#Metadata!", ADDRESS(INDEX($AJ$2:$AJ$1001,MATCH(ROWS($AH$2:AH415),$AH$2:$AH$1001,0),0), INDEX($AO$1004:$BQ$1004,1,MATCH(COLUMNS($AO$1006:BI1006),$AO$1006:$BQ$1006,0)))),"Fix")))</f>
        <v>#N/A</v>
      </c>
      <c r="W415" s="5" t="e">
        <f ca="1">IF(OR(INDEX($AI$2:$AI$1001,MATCH(ROWS($AH$2:AH415),$AH$2:$AH$1001,0),1)&gt;=100000,INDEX($AO$1005:$BQ$1005,1,MATCH(COLUMNS($AO$1006:BJ1006),$AO$1006:$BQ$1006,0))&gt;=100000), " ",IF(INDEX($AO$2:$BQ$1001,MATCH(ROWS($AH$2:AH415),$AH$2:$AH$1001,0),MATCH(COLUMNS($AO$1006:BJ1006),$AO$1006:$BQ$1006,0)), HYPERLINK("#",""), HYPERLINK(CONCATENATE("#Metadata!", ADDRESS(INDEX($AJ$2:$AJ$1001,MATCH(ROWS($AH$2:AH415),$AH$2:$AH$1001,0),0), INDEX($AO$1004:$BQ$1004,1,MATCH(COLUMNS($AO$1006:BJ1006),$AO$1006:$BQ$1006,0)))),"Fix")))</f>
        <v>#N/A</v>
      </c>
      <c r="X415" s="5" t="e">
        <f ca="1">IF(OR(INDEX($AI$2:$AI$1001,MATCH(ROWS($AH$2:AH415),$AH$2:$AH$1001,0),1)&gt;=100000,INDEX($AO$1005:$BQ$1005,1,MATCH(COLUMNS($AO$1006:BK1006),$AO$1006:$BQ$1006,0))&gt;=100000), " ",IF(INDEX($AO$2:$BQ$1001,MATCH(ROWS($AH$2:AH415),$AH$2:$AH$1001,0),MATCH(COLUMNS($AO$1006:BK1006),$AO$1006:$BQ$1006,0)), HYPERLINK("#",""), HYPERLINK(CONCATENATE("#Metadata!", ADDRESS(INDEX($AJ$2:$AJ$1001,MATCH(ROWS($AH$2:AH415),$AH$2:$AH$1001,0),0), INDEX($AO$1004:$BQ$1004,1,MATCH(COLUMNS($AO$1006:BK1006),$AO$1006:$BQ$1006,0)))),"Fix")))</f>
        <v>#N/A</v>
      </c>
      <c r="Y415" s="5" t="e">
        <f ca="1">IF(OR(INDEX($AI$2:$AI$1001,MATCH(ROWS($AH$2:AH415),$AH$2:$AH$1001,0),1)&gt;=100000,INDEX($AO$1005:$BQ$1005,1,MATCH(COLUMNS($AO$1006:BL1006),$AO$1006:$BQ$1006,0))&gt;=100000), " ",IF(INDEX($AO$2:$BQ$1001,MATCH(ROWS($AH$2:AH415),$AH$2:$AH$1001,0),MATCH(COLUMNS($AO$1006:BL1006),$AO$1006:$BQ$1006,0)), HYPERLINK("#",""), HYPERLINK(CONCATENATE("#Metadata!", ADDRESS(INDEX($AJ$2:$AJ$1001,MATCH(ROWS($AH$2:AH415),$AH$2:$AH$1001,0),0), INDEX($AO$1004:$BQ$1004,1,MATCH(COLUMNS($AO$1006:BL1006),$AO$1006:$BQ$1006,0)))),"Fix")))</f>
        <v>#N/A</v>
      </c>
      <c r="Z415" s="5" t="e">
        <f ca="1">IF(OR(INDEX($AI$2:$AI$1001,MATCH(ROWS($AH$2:AH415),$AH$2:$AH$1001,0),1)&gt;=100000,INDEX($AO$1005:$BQ$1005,1,MATCH(COLUMNS($AO$1006:BM1006),$AO$1006:$BQ$1006,0))&gt;=100000), " ",IF(INDEX($AO$2:$BQ$1001,MATCH(ROWS($AH$2:AH415),$AH$2:$AH$1001,0),MATCH(COLUMNS($AO$1006:BM1006),$AO$1006:$BQ$1006,0)), HYPERLINK("#",""), HYPERLINK(CONCATENATE("#Metadata!", ADDRESS(INDEX($AJ$2:$AJ$1001,MATCH(ROWS($AH$2:AH415),$AH$2:$AH$1001,0),0), INDEX($AO$1004:$BQ$1004,1,MATCH(COLUMNS($AO$1006:BM1006),$AO$1006:$BQ$1006,0)))),"Fix")))</f>
        <v>#N/A</v>
      </c>
      <c r="AA415" s="5" t="e">
        <f ca="1">IF(OR(INDEX($AI$2:$AI$1001,MATCH(ROWS($AH$2:AH415),$AH$2:$AH$1001,0),1)&gt;=100000,INDEX($AO$1005:$BQ$1005,1,MATCH(COLUMNS($AO$1006:BN1006),$AO$1006:$BQ$1006,0))&gt;=100000), " ",IF(INDEX($AO$2:$BQ$1001,MATCH(ROWS($AH$2:AH415),$AH$2:$AH$1001,0),MATCH(COLUMNS($AO$1006:BN1006),$AO$1006:$BQ$1006,0)), HYPERLINK("#",""), HYPERLINK(CONCATENATE("#Metadata!", ADDRESS(INDEX($AJ$2:$AJ$1001,MATCH(ROWS($AH$2:AH415),$AH$2:$AH$1001,0),0), INDEX($AO$1004:$BQ$1004,1,MATCH(COLUMNS($AO$1006:BN1006),$AO$1006:$BQ$1006,0)))),"Fix")))</f>
        <v>#N/A</v>
      </c>
      <c r="AB415" s="5" t="e">
        <f ca="1">IF(OR(INDEX($AI$2:$AI$1001,MATCH(ROWS($AH$2:AH415),$AH$2:$AH$1001,0),1)&gt;=100000,INDEX($AO$1005:$BQ$1005,1,MATCH(COLUMNS($AO$1006:BO1006),$AO$1006:$BQ$1006,0))&gt;=100000), " ",IF(INDEX($AO$2:$BQ$1001,MATCH(ROWS($AH$2:AH415),$AH$2:$AH$1001,0),MATCH(COLUMNS($AO$1006:BO1006),$AO$1006:$BQ$1006,0)), HYPERLINK("#",""), HYPERLINK(CONCATENATE("#Metadata!", ADDRESS(INDEX($AJ$2:$AJ$1001,MATCH(ROWS($AH$2:AH415),$AH$2:$AH$1001,0),0), INDEX($AO$1004:$BQ$1004,1,MATCH(COLUMNS($AO$1006:BO1006),$AO$1006:$BQ$1006,0)))),"Fix")))</f>
        <v>#N/A</v>
      </c>
      <c r="AC415" s="5" t="e">
        <f ca="1">IF(OR(INDEX($AI$2:$AI$1001,MATCH(ROWS($AH$2:AH415),$AH$2:$AH$1001,0),1)&gt;=100000,INDEX($AO$1005:$BQ$1005,1,MATCH(COLUMNS($AO$1006:BP1006),$AO$1006:$BQ$1006,0))&gt;=100000), " ",IF(INDEX($AO$2:$BQ$1001,MATCH(ROWS($AH$2:AH415),$AH$2:$AH$1001,0),MATCH(COLUMNS($AO$1006:BP1006),$AO$1006:$BQ$1006,0)), HYPERLINK("#",""), HYPERLINK(CONCATENATE("#Metadata!", ADDRESS(INDEX($AJ$2:$AJ$1001,MATCH(ROWS($AH$2:AH415),$AH$2:$AH$1001,0),0), INDEX($AO$1004:$BQ$1004,1,MATCH(COLUMNS($AO$1006:BP1006),$AO$1006:$BQ$1006,0)))),"Fix")))</f>
        <v>#N/A</v>
      </c>
      <c r="AD415" s="5" t="e">
        <f ca="1">IF(OR(INDEX($AI$2:$AI$1001,MATCH(ROWS($AH$2:AH415),$AH$2:$AH$1001,0),1)&gt;=100000,INDEX($AO$1005:$BQ$1005,1,MATCH(COLUMNS($AO$1006:BQ1006),$AO$1006:$BQ$1006,0))&gt;=100000), " ",IF(INDEX($AO$2:$BQ$1001,MATCH(ROWS($AH$2:AH415),$AH$2:$AH$1001,0),MATCH(COLUMNS($AO$1006:BQ1006),$AO$1006:$BQ$1006,0)), HYPERLINK("#",""), HYPERLINK(CONCATENATE("#Metadata!", ADDRESS(INDEX($AJ$2:$AJ$1001,MATCH(ROWS($AH$2:AH415),$AH$2:$AH$1001,0),0), INDEX($AO$1004:$BQ$1004,1,MATCH(COLUMNS($AO$1006:BQ1006),$AO$1006:$BQ$1006,0)))),"Fix")))</f>
        <v>#REF!</v>
      </c>
      <c r="AH415">
        <f ca="1"/>
        <v>412</v>
      </c>
      <c r="AI415">
        <v>100415</v>
      </c>
      <c r="AJ415">
        <v>415</v>
      </c>
      <c r="AK415" t="b">
        <f t="shared" si="6"/>
        <v>1</v>
      </c>
      <c r="AL415" t="b">
        <f>COUNTBLANK(Metadata!B415:AD415)=COLUMNS(Metadata!B415:AD415)</f>
        <v>1</v>
      </c>
      <c r="AM415" t="str">
        <v/>
      </c>
      <c r="AO415" t="b">
        <f ca="1">AND(IF(Metadata!B415="",FALSE,TRUE),COUNTIF(Metadata!B:B, Metadata!B415) = 1,NOT(ISERROR(SUMPRODUCT(SEARCH(MID(Metadata!B415,ROW(INDIRECT("1:"&amp;LEN(Metadata!B415))), 1),"0123456789abcdefghijklmnopqrstuvwxyzABCDEFGHIJKLMNOPQRSTUVWXYZ.")))))</f>
        <v>0</v>
      </c>
      <c r="AP415" t="b">
        <f>IF(Metadata!C415="",FALSE,TRUE)</f>
        <v>0</v>
      </c>
      <c r="AQ415" t="b">
        <f>IF(Metadata!D415="",FALSE,TRUE)</f>
        <v>0</v>
      </c>
      <c r="AR415" t="b">
        <f ca="1">OR(AND(IF(Metadata!E415="",FALSE,TRUE),OR(EXACT(Metadata!E415,"not collected"),EXACT(Metadata!E415,"not provided"),EXACT(Metadata!E415,"restricted access"))),AND(IF(Metadata!E415="",FALSE,TRUE),AND(AND(IFERROR(INT(LEFT(Metadata!E415,4))&gt;1900,FALSE),IFERROR(INT(LEFT(Metadata!E415,4))&lt;=YEAR(NOW()),FALSE)), OR(MID(Metadata!E415,5,1)="", AND(AND(MID(Metadata!E415,5,1)="-",IFERROR(INT(MID(Metadata!E415,6,1))&gt;=0,FALSE),IFERROR(INT(MID(Metadata!E415,6,1))&lt;=1,FALSE),NOT(MID(Metadata!E415,7,1)=""),IFERROR(INT(MID(Metadata!E415,6,2))&gt;=1,FALSE),IFERROR(INT(MID(Metadata!E415,6,2))&lt;=12,FALSE)), OR(MID(Metadata!E415,8,1)="", AND(AND(MID(Metadata!E415,8,1)="-",IFERROR(INT(MID(Metadata!E415,9,1))&gt;=0,FALSE),IFERROR(INT(MID(Metadata!E415,9,1))&lt;=3,FALSE),NOT(MID(Metadata!E415,10,1)=""),IFERROR(INT(MID(Metadata!E415,9,2))&gt;=1,FALSE),IFERROR(INT(MID(Metadata!E415,9,2))&lt;=31,FALSE)), OR(MID(Metadata!E415,11,1)="", AND(AND(MID(Metadata!E415,11,1)=" ",IFERROR(INT(MID(Metadata!E415,12,1))&gt;=0,FALSE),IFERROR(INT(MID(Metadata!E415,12,1))&lt;=2,FALSE),NOT(MID(Metadata!E415,13,1)=""),IFERROR(INT(MID(Metadata!E415,12,2))&gt;=0,FALSE),IFERROR(INT(MID(Metadata!E415,12,2))&lt;=23,FALSE)), OR(MID(Metadata!E415,14,1)="", AND(AND(MID(Metadata!E415,14,1)=":",IFERROR(INT(MID(Metadata!E415,15,1))&gt;=0,FALSE),IFERROR(INT(MID(Metadata!E415,15,1))&lt;=5,FALSE),NOT(MID(Metadata!E415,16,1)=""),IFERROR(INT(MID(Metadata!E415,15,2))&gt;=0,FALSE),IFERROR(INT(MID(Metadata!E415,15,2))&lt;=59,FALSE)), OR(MID(Metadata!E415,17,1)="", AND(AND(MID(Metadata!E415,17,1)=":",IFERROR(INT(MID(Metadata!E415,18,1))&gt;=0,FALSE),IFERROR(INT(MID(Metadata!E415,18,1))&lt;=5,FALSE),NOT(MID(Metadata!E415,19,1)=""),IFERROR(INT(MID(Metadata!E415,18,2))&gt;=0,FALSE),IFERROR(INT(MID(Metadata!E415,18,2))&lt;=59,FALSE)), LEN(Metadata!E415)&lt;=19)))))))))))))</f>
        <v>0</v>
      </c>
      <c r="AS415" t="b">
        <f>IF(Metadata!F415="",FALSE,TRUE)</f>
        <v>0</v>
      </c>
      <c r="AT415" t="b">
        <f>OR(AND(IF(Metadata!G415="",FALSE,TRUE),OR(EXACT(Metadata!G415,"not collected"),EXACT(Metadata!G415,"not provided"))),AND(IF(Metadata!G415="",FALSE,TRUE),OR(EXACT(Metadata!G415,"TRUE"),EXACT(Metadata!G415,"FALSE"))))</f>
        <v>0</v>
      </c>
      <c r="AU415" t="b">
        <f>OR(AND(IF(Metadata!H415="",FALSE,TRUE),OR(EXACT(Metadata!H415,"not collected"),EXACT(Metadata!H415,"not provided"),EXACT(Metadata!H415,"restricted access"))),AND(IF(Metadata!H415="",FALSE,ISNUMBER(VALUE(Metadata!H415))),Metadata!H415&gt;=-413))</f>
        <v>0</v>
      </c>
      <c r="AV415" t="b">
        <f>AND(IF(Metadata!I415="",FALSE,TRUE),EXACT(Metadata!I415,"meters"))</f>
        <v>0</v>
      </c>
      <c r="AW415" t="b">
        <f>AND(IF(Metadata!J415="",FALSE,TRUE),EXACT(Metadata!J415,"free-living"))</f>
        <v>0</v>
      </c>
      <c r="AX415" t="b">
        <f>AND(IF(Metadata!K415="",FALSE,TRUE),OR(EXACT(Metadata!K415,"saline"),EXACT(Metadata!K415,"non-saline")))</f>
        <v>0</v>
      </c>
      <c r="AY415" t="b">
        <f>AND(IF(Metadata!L415="",FALSE,TRUE),OR(EXACT(Metadata!L415,"sub-surface (non-saline)"),EXACT(Metadata!L415,"surface (non-saline)"),EXACT(Metadata!L415,"water (non-saline)"),EXACT(Metadata!L415,"soil (non-saline)"),EXACT(Metadata!L415,"aerosol (non-saline)"),EXACT(Metadata!L415,"sediment (non-saline)"),EXACT(Metadata!L415,"surface (saline)"),EXACT(Metadata!L415,"water (saline)"),EXACT(Metadata!L415,"hypersaline (saline)"),EXACT(Metadata!L415,"aerosol (saline)"),EXACT(Metadata!L415,"sediment (saline)")))</f>
        <v>0</v>
      </c>
      <c r="AZ415" t="b">
        <f>IF(Metadata!M415="",FALSE,TRUE)</f>
        <v>0</v>
      </c>
      <c r="BA415" t="b">
        <f>IF(Metadata!N415="",FALSE,TRUE)</f>
        <v>0</v>
      </c>
      <c r="BB415" t="b">
        <f>IF(Metadata!O415="",FALSE,TRUE)</f>
        <v>0</v>
      </c>
      <c r="BC415" t="b">
        <f>AND(IF(Metadata!P415="",FALSE,TRUE),OR(EXACT(Metadata!P415,"air"),EXACT(Metadata!P415,"microbial mat/biofilm"),EXACT(Metadata!P415,"misc environment"),EXACT(Metadata!P415,"sediment"),EXACT(Metadata!P415,"soil"),EXACT(Metadata!P415,"wastewater/sludge"),EXACT(Metadata!P415,"water")))</f>
        <v>0</v>
      </c>
      <c r="BD415" t="b">
        <f>IF(Metadata!Q415="",FALSE,TRUE)</f>
        <v>0</v>
      </c>
      <c r="BE415" t="b">
        <f>IF(Metadata!R415="",FALSE,TRUE)</f>
        <v>0</v>
      </c>
      <c r="BF415" t="b">
        <f>OR(AND(IF(Metadata!S415="",FALSE,TRUE),OR(EXACT(Metadata!S415,"not collected"),EXACT(Metadata!S415,"not provided"),EXACT(Metadata!S415,"restricted access"))),AND(IF(Metadata!S415="",FALSE,ISNUMBER(VALUE(Metadata!S415))),Metadata!S415&gt;=-90,Metadata!S415&lt;=90))</f>
        <v>0</v>
      </c>
      <c r="BG415" t="b">
        <f>AND(IF(Metadata!T415="",FALSE,TRUE),EXACT(Metadata!T415,"Decimal degrees"))</f>
        <v>0</v>
      </c>
      <c r="BH415" t="b">
        <f>OR(AND(IF(Metadata!U415="",FALSE,TRUE),OR(EXACT(Metadata!U415,"not applicable"),EXACT(Metadata!U415,"not collected"))),IF(Metadata!U415="",FALSE,TRUE))</f>
        <v>0</v>
      </c>
      <c r="BI415" t="b">
        <f>OR(AND(IF(Metadata!V415="",FALSE,TRUE),OR(EXACT(Metadata!V415,"not collected"),EXACT(Metadata!V415,"not provided"),EXACT(Metadata!V415,"restricted access"))),AND(IF(Metadata!V415="",FALSE,ISNUMBER(VALUE(Metadata!V415))),Metadata!V415&gt;=-180,Metadata!V415&lt;=180))</f>
        <v>0</v>
      </c>
      <c r="BJ415" t="b">
        <f>AND(IF(Metadata!W415="",FALSE,TRUE),EXACT(Metadata!W415,"Decimal degrees"))</f>
        <v>0</v>
      </c>
      <c r="BK415" t="b">
        <f>IF(Metadata!X415="",FALSE,TRUE)</f>
        <v>0</v>
      </c>
      <c r="BL415" t="b">
        <f>OR(AND(IF(Metadata!Y415="",FALSE,TRUE),OR(EXACT(Metadata!Y415,"not collected"),EXACT(Metadata!Y415,"not provided"),EXACT(Metadata!Y415,"restricted access"))),AND(IF(Metadata!Y415="",FALSE,TRUE),OR(EXACT(Metadata!Y415,"TRUE"),EXACT(Metadata!Y415,"FALSE"))))</f>
        <v>0</v>
      </c>
      <c r="BM415" t="b">
        <f>OR(AND(IF(Metadata!Z415="",FALSE,TRUE),EXACT(Metadata!Z415,"not applicable")),AND(IF(Metadata!Z415="",FALSE,TRUE),OR(EXACT(Metadata!Z415,"beer"),EXACT(Metadata!Z415,"cheese"),EXACT(Metadata!Z415,"fresh water"),EXACT(Metadata!Z415,"marine sediment"),EXACT(Metadata!Z415,"sea water"),EXACT(Metadata!Z415,"sediment"),EXACT(Metadata!Z415,"soil"),EXACT(Metadata!Z415,"waste water"))))</f>
        <v>0</v>
      </c>
      <c r="BN415" t="b">
        <f>AND(IF(Metadata!AA415="",FALSE,TRUE),EXACT(Metadata!AA415,"metagenome"))</f>
        <v>0</v>
      </c>
      <c r="BO415" t="b">
        <f>AND(IF(Metadata!AB415="",FALSE,TRUE),EXACT(Metadata!AB415,"256318"))</f>
        <v>0</v>
      </c>
      <c r="BP415" t="b">
        <f>IF(Metadata!AC415="",FALSE,TRUE)</f>
        <v>0</v>
      </c>
      <c r="BQ415" t="b">
        <f>IF(Metadata!AD415="",FALSE,TRUE)</f>
        <v>0</v>
      </c>
    </row>
    <row r="416" spans="1:69" x14ac:dyDescent="0.2">
      <c r="A416" s="4" t="e">
        <f ca="1">IF(B416=" "," ",HYPERLINK(CONCATENATE("#metadata!",ADDRESS(INDEX($AJ$2:$AJ$1001,MATCH(ROWS($AH$2:AH416),$AH$2:$AH$1001,0),0),2)),INDEX($AM$2:$AM$1001,MATCH(ROWS($AH$2:AH416),$AH$2:$AH$1001,0),0)))</f>
        <v>#N/A</v>
      </c>
      <c r="B416" s="5" t="e">
        <f ca="1">IF(OR(INDEX($AI$2:$AI$1001,MATCH(ROWS($AH$2:AH416),$AH$2:$AH$1001,0),1)&gt;=100000,INDEX($AO$1005:$BQ$1005,1,MATCH(COLUMNS($AO$1006:AO1006),$AO$1006:$BQ$1006,0))&gt;=100000), " ",IF(INDEX($AO$2:$BQ$1001,MATCH(ROWS($AH$2:AH416),$AH$2:$AH$1001,0),MATCH(COLUMNS($AO$1006:AO1006),$AO$1006:$BQ$1006,0)), HYPERLINK("#",""), HYPERLINK(CONCATENATE("#Metadata!", ADDRESS(INDEX($AJ$2:$AJ$1001,MATCH(ROWS($AH$2:AH416),$AH$2:$AH$1001,0),0), INDEX($AO$1004:$BQ$1004,1,MATCH(COLUMNS($AO$1006:AO1006),$AO$1006:$BQ$1006,0)))),"Fix")))</f>
        <v>#N/A</v>
      </c>
      <c r="C416" s="5" t="e">
        <f ca="1">IF(OR(INDEX($AI$2:$AI$1001,MATCH(ROWS($AH$2:AH416),$AH$2:$AH$1001,0),1)&gt;=100000,INDEX($AO$1005:$BQ$1005,1,MATCH(COLUMNS($AO$1006:AP1006),$AO$1006:$BQ$1006,0))&gt;=100000), " ",IF(INDEX($AO$2:$BQ$1001,MATCH(ROWS($AH$2:AH416),$AH$2:$AH$1001,0),MATCH(COLUMNS($AO$1006:AP1006),$AO$1006:$BQ$1006,0)), HYPERLINK("#",""), HYPERLINK(CONCATENATE("#Metadata!", ADDRESS(INDEX($AJ$2:$AJ$1001,MATCH(ROWS($AH$2:AH416),$AH$2:$AH$1001,0),0), INDEX($AO$1004:$BQ$1004,1,MATCH(COLUMNS($AO$1006:AP1006),$AO$1006:$BQ$1006,0)))),"Fix")))</f>
        <v>#N/A</v>
      </c>
      <c r="D416" s="5" t="e">
        <f ca="1">IF(OR(INDEX($AI$2:$AI$1001,MATCH(ROWS($AH$2:AH416),$AH$2:$AH$1001,0),1)&gt;=100000,INDEX($AO$1005:$BQ$1005,1,MATCH(COLUMNS($AO$1006:AQ1006),$AO$1006:$BQ$1006,0))&gt;=100000), " ",IF(INDEX($AO$2:$BQ$1001,MATCH(ROWS($AH$2:AH416),$AH$2:$AH$1001,0),MATCH(COLUMNS($AO$1006:AQ1006),$AO$1006:$BQ$1006,0)), HYPERLINK("#",""), HYPERLINK(CONCATENATE("#Metadata!", ADDRESS(INDEX($AJ$2:$AJ$1001,MATCH(ROWS($AH$2:AH416),$AH$2:$AH$1001,0),0), INDEX($AO$1004:$BQ$1004,1,MATCH(COLUMNS($AO$1006:AQ1006),$AO$1006:$BQ$1006,0)))),"Fix")))</f>
        <v>#N/A</v>
      </c>
      <c r="E416" s="5" t="e">
        <f ca="1">IF(OR(INDEX($AI$2:$AI$1001,MATCH(ROWS($AH$2:AH416),$AH$2:$AH$1001,0),1)&gt;=100000,INDEX($AO$1005:$BQ$1005,1,MATCH(COLUMNS($AO$1006:AR1006),$AO$1006:$BQ$1006,0))&gt;=100000), " ",IF(INDEX($AO$2:$BQ$1001,MATCH(ROWS($AH$2:AH416),$AH$2:$AH$1001,0),MATCH(COLUMNS($AO$1006:AR1006),$AO$1006:$BQ$1006,0)), HYPERLINK("#",""), HYPERLINK(CONCATENATE("#Metadata!", ADDRESS(INDEX($AJ$2:$AJ$1001,MATCH(ROWS($AH$2:AH416),$AH$2:$AH$1001,0),0), INDEX($AO$1004:$BQ$1004,1,MATCH(COLUMNS($AO$1006:AR1006),$AO$1006:$BQ$1006,0)))),"Fix")))</f>
        <v>#N/A</v>
      </c>
      <c r="F416" s="5" t="e">
        <f ca="1">IF(OR(INDEX($AI$2:$AI$1001,MATCH(ROWS($AH$2:AH416),$AH$2:$AH$1001,0),1)&gt;=100000,INDEX($AO$1005:$BQ$1005,1,MATCH(COLUMNS($AO$1006:AS1006),$AO$1006:$BQ$1006,0))&gt;=100000), " ",IF(INDEX($AO$2:$BQ$1001,MATCH(ROWS($AH$2:AH416),$AH$2:$AH$1001,0),MATCH(COLUMNS($AO$1006:AS1006),$AO$1006:$BQ$1006,0)), HYPERLINK("#",""), HYPERLINK(CONCATENATE("#Metadata!", ADDRESS(INDEX($AJ$2:$AJ$1001,MATCH(ROWS($AH$2:AH416),$AH$2:$AH$1001,0),0), INDEX($AO$1004:$BQ$1004,1,MATCH(COLUMNS($AO$1006:AS1006),$AO$1006:$BQ$1006,0)))),"Fix")))</f>
        <v>#N/A</v>
      </c>
      <c r="G416" s="5" t="e">
        <f ca="1">IF(OR(INDEX($AI$2:$AI$1001,MATCH(ROWS($AH$2:AH416),$AH$2:$AH$1001,0),1)&gt;=100000,INDEX($AO$1005:$BQ$1005,1,MATCH(COLUMNS($AO$1006:AT1006),$AO$1006:$BQ$1006,0))&gt;=100000), " ",IF(INDEX($AO$2:$BQ$1001,MATCH(ROWS($AH$2:AH416),$AH$2:$AH$1001,0),MATCH(COLUMNS($AO$1006:AT1006),$AO$1006:$BQ$1006,0)), HYPERLINK("#",""), HYPERLINK(CONCATENATE("#Metadata!", ADDRESS(INDEX($AJ$2:$AJ$1001,MATCH(ROWS($AH$2:AH416),$AH$2:$AH$1001,0),0), INDEX($AO$1004:$BQ$1004,1,MATCH(COLUMNS($AO$1006:AT1006),$AO$1006:$BQ$1006,0)))),"Fix")))</f>
        <v>#N/A</v>
      </c>
      <c r="H416" s="5" t="e">
        <f ca="1">IF(OR(INDEX($AI$2:$AI$1001,MATCH(ROWS($AH$2:AH416),$AH$2:$AH$1001,0),1)&gt;=100000,INDEX($AO$1005:$BQ$1005,1,MATCH(COLUMNS($AO$1006:AU1006),$AO$1006:$BQ$1006,0))&gt;=100000), " ",IF(INDEX($AO$2:$BQ$1001,MATCH(ROWS($AH$2:AH416),$AH$2:$AH$1001,0),MATCH(COLUMNS($AO$1006:AU1006),$AO$1006:$BQ$1006,0)), HYPERLINK("#",""), HYPERLINK(CONCATENATE("#Metadata!", ADDRESS(INDEX($AJ$2:$AJ$1001,MATCH(ROWS($AH$2:AH416),$AH$2:$AH$1001,0),0), INDEX($AO$1004:$BQ$1004,1,MATCH(COLUMNS($AO$1006:AU1006),$AO$1006:$BQ$1006,0)))),"Fix")))</f>
        <v>#N/A</v>
      </c>
      <c r="I416" s="5" t="e">
        <f ca="1">IF(OR(INDEX($AI$2:$AI$1001,MATCH(ROWS($AH$2:AH416),$AH$2:$AH$1001,0),1)&gt;=100000,INDEX($AO$1005:$BQ$1005,1,MATCH(COLUMNS($AO$1006:AV1006),$AO$1006:$BQ$1006,0))&gt;=100000), " ",IF(INDEX($AO$2:$BQ$1001,MATCH(ROWS($AH$2:AH416),$AH$2:$AH$1001,0),MATCH(COLUMNS($AO$1006:AV1006),$AO$1006:$BQ$1006,0)), HYPERLINK("#",""), HYPERLINK(CONCATENATE("#Metadata!", ADDRESS(INDEX($AJ$2:$AJ$1001,MATCH(ROWS($AH$2:AH416),$AH$2:$AH$1001,0),0), INDEX($AO$1004:$BQ$1004,1,MATCH(COLUMNS($AO$1006:AV1006),$AO$1006:$BQ$1006,0)))),"Fix")))</f>
        <v>#N/A</v>
      </c>
      <c r="J416" s="5" t="e">
        <f ca="1">IF(OR(INDEX($AI$2:$AI$1001,MATCH(ROWS($AH$2:AH416),$AH$2:$AH$1001,0),1)&gt;=100000,INDEX($AO$1005:$BQ$1005,1,MATCH(COLUMNS($AO$1006:AW1006),$AO$1006:$BQ$1006,0))&gt;=100000), " ",IF(INDEX($AO$2:$BQ$1001,MATCH(ROWS($AH$2:AH416),$AH$2:$AH$1001,0),MATCH(COLUMNS($AO$1006:AW1006),$AO$1006:$BQ$1006,0)), HYPERLINK("#",""), HYPERLINK(CONCATENATE("#Metadata!", ADDRESS(INDEX($AJ$2:$AJ$1001,MATCH(ROWS($AH$2:AH416),$AH$2:$AH$1001,0),0), INDEX($AO$1004:$BQ$1004,1,MATCH(COLUMNS($AO$1006:AW1006),$AO$1006:$BQ$1006,0)))),"Fix")))</f>
        <v>#N/A</v>
      </c>
      <c r="K416" s="5" t="e">
        <f ca="1">IF(OR(INDEX($AI$2:$AI$1001,MATCH(ROWS($AH$2:AH416),$AH$2:$AH$1001,0),1)&gt;=100000,INDEX($AO$1005:$BQ$1005,1,MATCH(COLUMNS($AO$1006:AX1006),$AO$1006:$BQ$1006,0))&gt;=100000), " ",IF(INDEX($AO$2:$BQ$1001,MATCH(ROWS($AH$2:AH416),$AH$2:$AH$1001,0),MATCH(COLUMNS($AO$1006:AX1006),$AO$1006:$BQ$1006,0)), HYPERLINK("#",""), HYPERLINK(CONCATENATE("#Metadata!", ADDRESS(INDEX($AJ$2:$AJ$1001,MATCH(ROWS($AH$2:AH416),$AH$2:$AH$1001,0),0), INDEX($AO$1004:$BQ$1004,1,MATCH(COLUMNS($AO$1006:AX1006),$AO$1006:$BQ$1006,0)))),"Fix")))</f>
        <v>#N/A</v>
      </c>
      <c r="L416" s="5" t="e">
        <f ca="1">IF(OR(INDEX($AI$2:$AI$1001,MATCH(ROWS($AH$2:AH416),$AH$2:$AH$1001,0),1)&gt;=100000,INDEX($AO$1005:$BQ$1005,1,MATCH(COLUMNS($AO$1006:AY1006),$AO$1006:$BQ$1006,0))&gt;=100000), " ",IF(INDEX($AO$2:$BQ$1001,MATCH(ROWS($AH$2:AH416),$AH$2:$AH$1001,0),MATCH(COLUMNS($AO$1006:AY1006),$AO$1006:$BQ$1006,0)), HYPERLINK("#",""), HYPERLINK(CONCATENATE("#Metadata!", ADDRESS(INDEX($AJ$2:$AJ$1001,MATCH(ROWS($AH$2:AH416),$AH$2:$AH$1001,0),0), INDEX($AO$1004:$BQ$1004,1,MATCH(COLUMNS($AO$1006:AY1006),$AO$1006:$BQ$1006,0)))),"Fix")))</f>
        <v>#N/A</v>
      </c>
      <c r="M416" s="5" t="e">
        <f ca="1">IF(OR(INDEX($AI$2:$AI$1001,MATCH(ROWS($AH$2:AH416),$AH$2:$AH$1001,0),1)&gt;=100000,INDEX($AO$1005:$BQ$1005,1,MATCH(COLUMNS($AO$1006:AZ1006),$AO$1006:$BQ$1006,0))&gt;=100000), " ",IF(INDEX($AO$2:$BQ$1001,MATCH(ROWS($AH$2:AH416),$AH$2:$AH$1001,0),MATCH(COLUMNS($AO$1006:AZ1006),$AO$1006:$BQ$1006,0)), HYPERLINK("#",""), HYPERLINK(CONCATENATE("#Metadata!", ADDRESS(INDEX($AJ$2:$AJ$1001,MATCH(ROWS($AH$2:AH416),$AH$2:$AH$1001,0),0), INDEX($AO$1004:$BQ$1004,1,MATCH(COLUMNS($AO$1006:AZ1006),$AO$1006:$BQ$1006,0)))),"Fix")))</f>
        <v>#N/A</v>
      </c>
      <c r="N416" s="5" t="e">
        <f ca="1">IF(OR(INDEX($AI$2:$AI$1001,MATCH(ROWS($AH$2:AH416),$AH$2:$AH$1001,0),1)&gt;=100000,INDEX($AO$1005:$BQ$1005,1,MATCH(COLUMNS($AO$1006:BA1006),$AO$1006:$BQ$1006,0))&gt;=100000), " ",IF(INDEX($AO$2:$BQ$1001,MATCH(ROWS($AH$2:AH416),$AH$2:$AH$1001,0),MATCH(COLUMNS($AO$1006:BA1006),$AO$1006:$BQ$1006,0)), HYPERLINK("#",""), HYPERLINK(CONCATENATE("#Metadata!", ADDRESS(INDEX($AJ$2:$AJ$1001,MATCH(ROWS($AH$2:AH416),$AH$2:$AH$1001,0),0), INDEX($AO$1004:$BQ$1004,1,MATCH(COLUMNS($AO$1006:BA1006),$AO$1006:$BQ$1006,0)))),"Fix")))</f>
        <v>#N/A</v>
      </c>
      <c r="O416" s="5" t="e">
        <f ca="1">IF(OR(INDEX($AI$2:$AI$1001,MATCH(ROWS($AH$2:AH416),$AH$2:$AH$1001,0),1)&gt;=100000,INDEX($AO$1005:$BQ$1005,1,MATCH(COLUMNS($AO$1006:BB1006),$AO$1006:$BQ$1006,0))&gt;=100000), " ",IF(INDEX($AO$2:$BQ$1001,MATCH(ROWS($AH$2:AH416),$AH$2:$AH$1001,0),MATCH(COLUMNS($AO$1006:BB1006),$AO$1006:$BQ$1006,0)), HYPERLINK("#",""), HYPERLINK(CONCATENATE("#Metadata!", ADDRESS(INDEX($AJ$2:$AJ$1001,MATCH(ROWS($AH$2:AH416),$AH$2:$AH$1001,0),0), INDEX($AO$1004:$BQ$1004,1,MATCH(COLUMNS($AO$1006:BB1006),$AO$1006:$BQ$1006,0)))),"Fix")))</f>
        <v>#N/A</v>
      </c>
      <c r="P416" s="5" t="e">
        <f ca="1">IF(OR(INDEX($AI$2:$AI$1001,MATCH(ROWS($AH$2:AH416),$AH$2:$AH$1001,0),1)&gt;=100000,INDEX($AO$1005:$BQ$1005,1,MATCH(COLUMNS($AO$1006:BC1006),$AO$1006:$BQ$1006,0))&gt;=100000), " ",IF(INDEX($AO$2:$BQ$1001,MATCH(ROWS($AH$2:AH416),$AH$2:$AH$1001,0),MATCH(COLUMNS($AO$1006:BC1006),$AO$1006:$BQ$1006,0)), HYPERLINK("#",""), HYPERLINK(CONCATENATE("#Metadata!", ADDRESS(INDEX($AJ$2:$AJ$1001,MATCH(ROWS($AH$2:AH416),$AH$2:$AH$1001,0),0), INDEX($AO$1004:$BQ$1004,1,MATCH(COLUMNS($AO$1006:BC1006),$AO$1006:$BQ$1006,0)))),"Fix")))</f>
        <v>#N/A</v>
      </c>
      <c r="Q416" s="5" t="e">
        <f ca="1">IF(OR(INDEX($AI$2:$AI$1001,MATCH(ROWS($AH$2:AH416),$AH$2:$AH$1001,0),1)&gt;=100000,INDEX($AO$1005:$BQ$1005,1,MATCH(COLUMNS($AO$1006:BD1006),$AO$1006:$BQ$1006,0))&gt;=100000), " ",IF(INDEX($AO$2:$BQ$1001,MATCH(ROWS($AH$2:AH416),$AH$2:$AH$1001,0),MATCH(COLUMNS($AO$1006:BD1006),$AO$1006:$BQ$1006,0)), HYPERLINK("#",""), HYPERLINK(CONCATENATE("#Metadata!", ADDRESS(INDEX($AJ$2:$AJ$1001,MATCH(ROWS($AH$2:AH416),$AH$2:$AH$1001,0),0), INDEX($AO$1004:$BQ$1004,1,MATCH(COLUMNS($AO$1006:BD1006),$AO$1006:$BQ$1006,0)))),"Fix")))</f>
        <v>#N/A</v>
      </c>
      <c r="R416" s="5" t="e">
        <f ca="1">IF(OR(INDEX($AI$2:$AI$1001,MATCH(ROWS($AH$2:AH416),$AH$2:$AH$1001,0),1)&gt;=100000,INDEX($AO$1005:$BQ$1005,1,MATCH(COLUMNS($AO$1006:BE1006),$AO$1006:$BQ$1006,0))&gt;=100000), " ",IF(INDEX($AO$2:$BQ$1001,MATCH(ROWS($AH$2:AH416),$AH$2:$AH$1001,0),MATCH(COLUMNS($AO$1006:BE1006),$AO$1006:$BQ$1006,0)), HYPERLINK("#",""), HYPERLINK(CONCATENATE("#Metadata!", ADDRESS(INDEX($AJ$2:$AJ$1001,MATCH(ROWS($AH$2:AH416),$AH$2:$AH$1001,0),0), INDEX($AO$1004:$BQ$1004,1,MATCH(COLUMNS($AO$1006:BE1006),$AO$1006:$BQ$1006,0)))),"Fix")))</f>
        <v>#N/A</v>
      </c>
      <c r="S416" s="5" t="e">
        <f ca="1">IF(OR(INDEX($AI$2:$AI$1001,MATCH(ROWS($AH$2:AH416),$AH$2:$AH$1001,0),1)&gt;=100000,INDEX($AO$1005:$BQ$1005,1,MATCH(COLUMNS($AO$1006:BF1006),$AO$1006:$BQ$1006,0))&gt;=100000), " ",IF(INDEX($AO$2:$BQ$1001,MATCH(ROWS($AH$2:AH416),$AH$2:$AH$1001,0),MATCH(COLUMNS($AO$1006:BF1006),$AO$1006:$BQ$1006,0)), HYPERLINK("#",""), HYPERLINK(CONCATENATE("#Metadata!", ADDRESS(INDEX($AJ$2:$AJ$1001,MATCH(ROWS($AH$2:AH416),$AH$2:$AH$1001,0),0), INDEX($AO$1004:$BQ$1004,1,MATCH(COLUMNS($AO$1006:BF1006),$AO$1006:$BQ$1006,0)))),"Fix")))</f>
        <v>#N/A</v>
      </c>
      <c r="T416" s="5" t="e">
        <f ca="1">IF(OR(INDEX($AI$2:$AI$1001,MATCH(ROWS($AH$2:AH416),$AH$2:$AH$1001,0),1)&gt;=100000,INDEX($AO$1005:$BQ$1005,1,MATCH(COLUMNS($AO$1006:BG1006),$AO$1006:$BQ$1006,0))&gt;=100000), " ",IF(INDEX($AO$2:$BQ$1001,MATCH(ROWS($AH$2:AH416),$AH$2:$AH$1001,0),MATCH(COLUMNS($AO$1006:BG1006),$AO$1006:$BQ$1006,0)), HYPERLINK("#",""), HYPERLINK(CONCATENATE("#Metadata!", ADDRESS(INDEX($AJ$2:$AJ$1001,MATCH(ROWS($AH$2:AH416),$AH$2:$AH$1001,0),0), INDEX($AO$1004:$BQ$1004,1,MATCH(COLUMNS($AO$1006:BG1006),$AO$1006:$BQ$1006,0)))),"Fix")))</f>
        <v>#N/A</v>
      </c>
      <c r="U416" s="5" t="e">
        <f ca="1">IF(OR(INDEX($AI$2:$AI$1001,MATCH(ROWS($AH$2:AH416),$AH$2:$AH$1001,0),1)&gt;=100000,INDEX($AO$1005:$BQ$1005,1,MATCH(COLUMNS($AO$1006:BH1006),$AO$1006:$BQ$1006,0))&gt;=100000), " ",IF(INDEX($AO$2:$BQ$1001,MATCH(ROWS($AH$2:AH416),$AH$2:$AH$1001,0),MATCH(COLUMNS($AO$1006:BH1006),$AO$1006:$BQ$1006,0)), HYPERLINK("#",""), HYPERLINK(CONCATENATE("#Metadata!", ADDRESS(INDEX($AJ$2:$AJ$1001,MATCH(ROWS($AH$2:AH416),$AH$2:$AH$1001,0),0), INDEX($AO$1004:$BQ$1004,1,MATCH(COLUMNS($AO$1006:BH1006),$AO$1006:$BQ$1006,0)))),"Fix")))</f>
        <v>#N/A</v>
      </c>
      <c r="V416" s="5" t="e">
        <f ca="1">IF(OR(INDEX($AI$2:$AI$1001,MATCH(ROWS($AH$2:AH416),$AH$2:$AH$1001,0),1)&gt;=100000,INDEX($AO$1005:$BQ$1005,1,MATCH(COLUMNS($AO$1006:BI1006),$AO$1006:$BQ$1006,0))&gt;=100000), " ",IF(INDEX($AO$2:$BQ$1001,MATCH(ROWS($AH$2:AH416),$AH$2:$AH$1001,0),MATCH(COLUMNS($AO$1006:BI1006),$AO$1006:$BQ$1006,0)), HYPERLINK("#",""), HYPERLINK(CONCATENATE("#Metadata!", ADDRESS(INDEX($AJ$2:$AJ$1001,MATCH(ROWS($AH$2:AH416),$AH$2:$AH$1001,0),0), INDEX($AO$1004:$BQ$1004,1,MATCH(COLUMNS($AO$1006:BI1006),$AO$1006:$BQ$1006,0)))),"Fix")))</f>
        <v>#N/A</v>
      </c>
      <c r="W416" s="5" t="e">
        <f ca="1">IF(OR(INDEX($AI$2:$AI$1001,MATCH(ROWS($AH$2:AH416),$AH$2:$AH$1001,0),1)&gt;=100000,INDEX($AO$1005:$BQ$1005,1,MATCH(COLUMNS($AO$1006:BJ1006),$AO$1006:$BQ$1006,0))&gt;=100000), " ",IF(INDEX($AO$2:$BQ$1001,MATCH(ROWS($AH$2:AH416),$AH$2:$AH$1001,0),MATCH(COLUMNS($AO$1006:BJ1006),$AO$1006:$BQ$1006,0)), HYPERLINK("#",""), HYPERLINK(CONCATENATE("#Metadata!", ADDRESS(INDEX($AJ$2:$AJ$1001,MATCH(ROWS($AH$2:AH416),$AH$2:$AH$1001,0),0), INDEX($AO$1004:$BQ$1004,1,MATCH(COLUMNS($AO$1006:BJ1006),$AO$1006:$BQ$1006,0)))),"Fix")))</f>
        <v>#N/A</v>
      </c>
      <c r="X416" s="5" t="e">
        <f ca="1">IF(OR(INDEX($AI$2:$AI$1001,MATCH(ROWS($AH$2:AH416),$AH$2:$AH$1001,0),1)&gt;=100000,INDEX($AO$1005:$BQ$1005,1,MATCH(COLUMNS($AO$1006:BK1006),$AO$1006:$BQ$1006,0))&gt;=100000), " ",IF(INDEX($AO$2:$BQ$1001,MATCH(ROWS($AH$2:AH416),$AH$2:$AH$1001,0),MATCH(COLUMNS($AO$1006:BK1006),$AO$1006:$BQ$1006,0)), HYPERLINK("#",""), HYPERLINK(CONCATENATE("#Metadata!", ADDRESS(INDEX($AJ$2:$AJ$1001,MATCH(ROWS($AH$2:AH416),$AH$2:$AH$1001,0),0), INDEX($AO$1004:$BQ$1004,1,MATCH(COLUMNS($AO$1006:BK1006),$AO$1006:$BQ$1006,0)))),"Fix")))</f>
        <v>#N/A</v>
      </c>
      <c r="Y416" s="5" t="e">
        <f ca="1">IF(OR(INDEX($AI$2:$AI$1001,MATCH(ROWS($AH$2:AH416),$AH$2:$AH$1001,0),1)&gt;=100000,INDEX($AO$1005:$BQ$1005,1,MATCH(COLUMNS($AO$1006:BL1006),$AO$1006:$BQ$1006,0))&gt;=100000), " ",IF(INDEX($AO$2:$BQ$1001,MATCH(ROWS($AH$2:AH416),$AH$2:$AH$1001,0),MATCH(COLUMNS($AO$1006:BL1006),$AO$1006:$BQ$1006,0)), HYPERLINK("#",""), HYPERLINK(CONCATENATE("#Metadata!", ADDRESS(INDEX($AJ$2:$AJ$1001,MATCH(ROWS($AH$2:AH416),$AH$2:$AH$1001,0),0), INDEX($AO$1004:$BQ$1004,1,MATCH(COLUMNS($AO$1006:BL1006),$AO$1006:$BQ$1006,0)))),"Fix")))</f>
        <v>#N/A</v>
      </c>
      <c r="Z416" s="5" t="e">
        <f ca="1">IF(OR(INDEX($AI$2:$AI$1001,MATCH(ROWS($AH$2:AH416),$AH$2:$AH$1001,0),1)&gt;=100000,INDEX($AO$1005:$BQ$1005,1,MATCH(COLUMNS($AO$1006:BM1006),$AO$1006:$BQ$1006,0))&gt;=100000), " ",IF(INDEX($AO$2:$BQ$1001,MATCH(ROWS($AH$2:AH416),$AH$2:$AH$1001,0),MATCH(COLUMNS($AO$1006:BM1006),$AO$1006:$BQ$1006,0)), HYPERLINK("#",""), HYPERLINK(CONCATENATE("#Metadata!", ADDRESS(INDEX($AJ$2:$AJ$1001,MATCH(ROWS($AH$2:AH416),$AH$2:$AH$1001,0),0), INDEX($AO$1004:$BQ$1004,1,MATCH(COLUMNS($AO$1006:BM1006),$AO$1006:$BQ$1006,0)))),"Fix")))</f>
        <v>#N/A</v>
      </c>
      <c r="AA416" s="5" t="e">
        <f ca="1">IF(OR(INDEX($AI$2:$AI$1001,MATCH(ROWS($AH$2:AH416),$AH$2:$AH$1001,0),1)&gt;=100000,INDEX($AO$1005:$BQ$1005,1,MATCH(COLUMNS($AO$1006:BN1006),$AO$1006:$BQ$1006,0))&gt;=100000), " ",IF(INDEX($AO$2:$BQ$1001,MATCH(ROWS($AH$2:AH416),$AH$2:$AH$1001,0),MATCH(COLUMNS($AO$1006:BN1006),$AO$1006:$BQ$1006,0)), HYPERLINK("#",""), HYPERLINK(CONCATENATE("#Metadata!", ADDRESS(INDEX($AJ$2:$AJ$1001,MATCH(ROWS($AH$2:AH416),$AH$2:$AH$1001,0),0), INDEX($AO$1004:$BQ$1004,1,MATCH(COLUMNS($AO$1006:BN1006),$AO$1006:$BQ$1006,0)))),"Fix")))</f>
        <v>#N/A</v>
      </c>
      <c r="AB416" s="5" t="e">
        <f ca="1">IF(OR(INDEX($AI$2:$AI$1001,MATCH(ROWS($AH$2:AH416),$AH$2:$AH$1001,0),1)&gt;=100000,INDEX($AO$1005:$BQ$1005,1,MATCH(COLUMNS($AO$1006:BO1006),$AO$1006:$BQ$1006,0))&gt;=100000), " ",IF(INDEX($AO$2:$BQ$1001,MATCH(ROWS($AH$2:AH416),$AH$2:$AH$1001,0),MATCH(COLUMNS($AO$1006:BO1006),$AO$1006:$BQ$1006,0)), HYPERLINK("#",""), HYPERLINK(CONCATENATE("#Metadata!", ADDRESS(INDEX($AJ$2:$AJ$1001,MATCH(ROWS($AH$2:AH416),$AH$2:$AH$1001,0),0), INDEX($AO$1004:$BQ$1004,1,MATCH(COLUMNS($AO$1006:BO1006),$AO$1006:$BQ$1006,0)))),"Fix")))</f>
        <v>#N/A</v>
      </c>
      <c r="AC416" s="5" t="e">
        <f ca="1">IF(OR(INDEX($AI$2:$AI$1001,MATCH(ROWS($AH$2:AH416),$AH$2:$AH$1001,0),1)&gt;=100000,INDEX($AO$1005:$BQ$1005,1,MATCH(COLUMNS($AO$1006:BP1006),$AO$1006:$BQ$1006,0))&gt;=100000), " ",IF(INDEX($AO$2:$BQ$1001,MATCH(ROWS($AH$2:AH416),$AH$2:$AH$1001,0),MATCH(COLUMNS($AO$1006:BP1006),$AO$1006:$BQ$1006,0)), HYPERLINK("#",""), HYPERLINK(CONCATENATE("#Metadata!", ADDRESS(INDEX($AJ$2:$AJ$1001,MATCH(ROWS($AH$2:AH416),$AH$2:$AH$1001,0),0), INDEX($AO$1004:$BQ$1004,1,MATCH(COLUMNS($AO$1006:BP1006),$AO$1006:$BQ$1006,0)))),"Fix")))</f>
        <v>#N/A</v>
      </c>
      <c r="AD416" s="5" t="e">
        <f ca="1">IF(OR(INDEX($AI$2:$AI$1001,MATCH(ROWS($AH$2:AH416),$AH$2:$AH$1001,0),1)&gt;=100000,INDEX($AO$1005:$BQ$1005,1,MATCH(COLUMNS($AO$1006:BQ1006),$AO$1006:$BQ$1006,0))&gt;=100000), " ",IF(INDEX($AO$2:$BQ$1001,MATCH(ROWS($AH$2:AH416),$AH$2:$AH$1001,0),MATCH(COLUMNS($AO$1006:BQ1006),$AO$1006:$BQ$1006,0)), HYPERLINK("#",""), HYPERLINK(CONCATENATE("#Metadata!", ADDRESS(INDEX($AJ$2:$AJ$1001,MATCH(ROWS($AH$2:AH416),$AH$2:$AH$1001,0),0), INDEX($AO$1004:$BQ$1004,1,MATCH(COLUMNS($AO$1006:BQ1006),$AO$1006:$BQ$1006,0)))),"Fix")))</f>
        <v>#REF!</v>
      </c>
      <c r="AH416">
        <f ca="1"/>
        <v>413</v>
      </c>
      <c r="AI416">
        <v>100416</v>
      </c>
      <c r="AJ416">
        <v>416</v>
      </c>
      <c r="AK416" t="b">
        <f t="shared" si="6"/>
        <v>1</v>
      </c>
      <c r="AL416" t="b">
        <f>COUNTBLANK(Metadata!B416:AD416)=COLUMNS(Metadata!B416:AD416)</f>
        <v>1</v>
      </c>
      <c r="AM416" t="str">
        <v/>
      </c>
      <c r="AO416" t="b">
        <f ca="1">AND(IF(Metadata!B416="",FALSE,TRUE),COUNTIF(Metadata!B:B, Metadata!B416) = 1,NOT(ISERROR(SUMPRODUCT(SEARCH(MID(Metadata!B416,ROW(INDIRECT("1:"&amp;LEN(Metadata!B416))), 1),"0123456789abcdefghijklmnopqrstuvwxyzABCDEFGHIJKLMNOPQRSTUVWXYZ.")))))</f>
        <v>0</v>
      </c>
      <c r="AP416" t="b">
        <f>IF(Metadata!C416="",FALSE,TRUE)</f>
        <v>0</v>
      </c>
      <c r="AQ416" t="b">
        <f>IF(Metadata!D416="",FALSE,TRUE)</f>
        <v>0</v>
      </c>
      <c r="AR416" t="b">
        <f ca="1">OR(AND(IF(Metadata!E416="",FALSE,TRUE),OR(EXACT(Metadata!E416,"not collected"),EXACT(Metadata!E416,"not provided"),EXACT(Metadata!E416,"restricted access"))),AND(IF(Metadata!E416="",FALSE,TRUE),AND(AND(IFERROR(INT(LEFT(Metadata!E416,4))&gt;1900,FALSE),IFERROR(INT(LEFT(Metadata!E416,4))&lt;=YEAR(NOW()),FALSE)), OR(MID(Metadata!E416,5,1)="", AND(AND(MID(Metadata!E416,5,1)="-",IFERROR(INT(MID(Metadata!E416,6,1))&gt;=0,FALSE),IFERROR(INT(MID(Metadata!E416,6,1))&lt;=1,FALSE),NOT(MID(Metadata!E416,7,1)=""),IFERROR(INT(MID(Metadata!E416,6,2))&gt;=1,FALSE),IFERROR(INT(MID(Metadata!E416,6,2))&lt;=12,FALSE)), OR(MID(Metadata!E416,8,1)="", AND(AND(MID(Metadata!E416,8,1)="-",IFERROR(INT(MID(Metadata!E416,9,1))&gt;=0,FALSE),IFERROR(INT(MID(Metadata!E416,9,1))&lt;=3,FALSE),NOT(MID(Metadata!E416,10,1)=""),IFERROR(INT(MID(Metadata!E416,9,2))&gt;=1,FALSE),IFERROR(INT(MID(Metadata!E416,9,2))&lt;=31,FALSE)), OR(MID(Metadata!E416,11,1)="", AND(AND(MID(Metadata!E416,11,1)=" ",IFERROR(INT(MID(Metadata!E416,12,1))&gt;=0,FALSE),IFERROR(INT(MID(Metadata!E416,12,1))&lt;=2,FALSE),NOT(MID(Metadata!E416,13,1)=""),IFERROR(INT(MID(Metadata!E416,12,2))&gt;=0,FALSE),IFERROR(INT(MID(Metadata!E416,12,2))&lt;=23,FALSE)), OR(MID(Metadata!E416,14,1)="", AND(AND(MID(Metadata!E416,14,1)=":",IFERROR(INT(MID(Metadata!E416,15,1))&gt;=0,FALSE),IFERROR(INT(MID(Metadata!E416,15,1))&lt;=5,FALSE),NOT(MID(Metadata!E416,16,1)=""),IFERROR(INT(MID(Metadata!E416,15,2))&gt;=0,FALSE),IFERROR(INT(MID(Metadata!E416,15,2))&lt;=59,FALSE)), OR(MID(Metadata!E416,17,1)="", AND(AND(MID(Metadata!E416,17,1)=":",IFERROR(INT(MID(Metadata!E416,18,1))&gt;=0,FALSE),IFERROR(INT(MID(Metadata!E416,18,1))&lt;=5,FALSE),NOT(MID(Metadata!E416,19,1)=""),IFERROR(INT(MID(Metadata!E416,18,2))&gt;=0,FALSE),IFERROR(INT(MID(Metadata!E416,18,2))&lt;=59,FALSE)), LEN(Metadata!E416)&lt;=19)))))))))))))</f>
        <v>0</v>
      </c>
      <c r="AS416" t="b">
        <f>IF(Metadata!F416="",FALSE,TRUE)</f>
        <v>0</v>
      </c>
      <c r="AT416" t="b">
        <f>OR(AND(IF(Metadata!G416="",FALSE,TRUE),OR(EXACT(Metadata!G416,"not collected"),EXACT(Metadata!G416,"not provided"))),AND(IF(Metadata!G416="",FALSE,TRUE),OR(EXACT(Metadata!G416,"TRUE"),EXACT(Metadata!G416,"FALSE"))))</f>
        <v>0</v>
      </c>
      <c r="AU416" t="b">
        <f>OR(AND(IF(Metadata!H416="",FALSE,TRUE),OR(EXACT(Metadata!H416,"not collected"),EXACT(Metadata!H416,"not provided"),EXACT(Metadata!H416,"restricted access"))),AND(IF(Metadata!H416="",FALSE,ISNUMBER(VALUE(Metadata!H416))),Metadata!H416&gt;=-413))</f>
        <v>0</v>
      </c>
      <c r="AV416" t="b">
        <f>AND(IF(Metadata!I416="",FALSE,TRUE),EXACT(Metadata!I416,"meters"))</f>
        <v>0</v>
      </c>
      <c r="AW416" t="b">
        <f>AND(IF(Metadata!J416="",FALSE,TRUE),EXACT(Metadata!J416,"free-living"))</f>
        <v>0</v>
      </c>
      <c r="AX416" t="b">
        <f>AND(IF(Metadata!K416="",FALSE,TRUE),OR(EXACT(Metadata!K416,"saline"),EXACT(Metadata!K416,"non-saline")))</f>
        <v>0</v>
      </c>
      <c r="AY416" t="b">
        <f>AND(IF(Metadata!L416="",FALSE,TRUE),OR(EXACT(Metadata!L416,"sub-surface (non-saline)"),EXACT(Metadata!L416,"surface (non-saline)"),EXACT(Metadata!L416,"water (non-saline)"),EXACT(Metadata!L416,"soil (non-saline)"),EXACT(Metadata!L416,"aerosol (non-saline)"),EXACT(Metadata!L416,"sediment (non-saline)"),EXACT(Metadata!L416,"surface (saline)"),EXACT(Metadata!L416,"water (saline)"),EXACT(Metadata!L416,"hypersaline (saline)"),EXACT(Metadata!L416,"aerosol (saline)"),EXACT(Metadata!L416,"sediment (saline)")))</f>
        <v>0</v>
      </c>
      <c r="AZ416" t="b">
        <f>IF(Metadata!M416="",FALSE,TRUE)</f>
        <v>0</v>
      </c>
      <c r="BA416" t="b">
        <f>IF(Metadata!N416="",FALSE,TRUE)</f>
        <v>0</v>
      </c>
      <c r="BB416" t="b">
        <f>IF(Metadata!O416="",FALSE,TRUE)</f>
        <v>0</v>
      </c>
      <c r="BC416" t="b">
        <f>AND(IF(Metadata!P416="",FALSE,TRUE),OR(EXACT(Metadata!P416,"air"),EXACT(Metadata!P416,"microbial mat/biofilm"),EXACT(Metadata!P416,"misc environment"),EXACT(Metadata!P416,"sediment"),EXACT(Metadata!P416,"soil"),EXACT(Metadata!P416,"wastewater/sludge"),EXACT(Metadata!P416,"water")))</f>
        <v>0</v>
      </c>
      <c r="BD416" t="b">
        <f>IF(Metadata!Q416="",FALSE,TRUE)</f>
        <v>0</v>
      </c>
      <c r="BE416" t="b">
        <f>IF(Metadata!R416="",FALSE,TRUE)</f>
        <v>0</v>
      </c>
      <c r="BF416" t="b">
        <f>OR(AND(IF(Metadata!S416="",FALSE,TRUE),OR(EXACT(Metadata!S416,"not collected"),EXACT(Metadata!S416,"not provided"),EXACT(Metadata!S416,"restricted access"))),AND(IF(Metadata!S416="",FALSE,ISNUMBER(VALUE(Metadata!S416))),Metadata!S416&gt;=-90,Metadata!S416&lt;=90))</f>
        <v>0</v>
      </c>
      <c r="BG416" t="b">
        <f>AND(IF(Metadata!T416="",FALSE,TRUE),EXACT(Metadata!T416,"Decimal degrees"))</f>
        <v>0</v>
      </c>
      <c r="BH416" t="b">
        <f>OR(AND(IF(Metadata!U416="",FALSE,TRUE),OR(EXACT(Metadata!U416,"not applicable"),EXACT(Metadata!U416,"not collected"))),IF(Metadata!U416="",FALSE,TRUE))</f>
        <v>0</v>
      </c>
      <c r="BI416" t="b">
        <f>OR(AND(IF(Metadata!V416="",FALSE,TRUE),OR(EXACT(Metadata!V416,"not collected"),EXACT(Metadata!V416,"not provided"),EXACT(Metadata!V416,"restricted access"))),AND(IF(Metadata!V416="",FALSE,ISNUMBER(VALUE(Metadata!V416))),Metadata!V416&gt;=-180,Metadata!V416&lt;=180))</f>
        <v>0</v>
      </c>
      <c r="BJ416" t="b">
        <f>AND(IF(Metadata!W416="",FALSE,TRUE),EXACT(Metadata!W416,"Decimal degrees"))</f>
        <v>0</v>
      </c>
      <c r="BK416" t="b">
        <f>IF(Metadata!X416="",FALSE,TRUE)</f>
        <v>0</v>
      </c>
      <c r="BL416" t="b">
        <f>OR(AND(IF(Metadata!Y416="",FALSE,TRUE),OR(EXACT(Metadata!Y416,"not collected"),EXACT(Metadata!Y416,"not provided"),EXACT(Metadata!Y416,"restricted access"))),AND(IF(Metadata!Y416="",FALSE,TRUE),OR(EXACT(Metadata!Y416,"TRUE"),EXACT(Metadata!Y416,"FALSE"))))</f>
        <v>0</v>
      </c>
      <c r="BM416" t="b">
        <f>OR(AND(IF(Metadata!Z416="",FALSE,TRUE),EXACT(Metadata!Z416,"not applicable")),AND(IF(Metadata!Z416="",FALSE,TRUE),OR(EXACT(Metadata!Z416,"beer"),EXACT(Metadata!Z416,"cheese"),EXACT(Metadata!Z416,"fresh water"),EXACT(Metadata!Z416,"marine sediment"),EXACT(Metadata!Z416,"sea water"),EXACT(Metadata!Z416,"sediment"),EXACT(Metadata!Z416,"soil"),EXACT(Metadata!Z416,"waste water"))))</f>
        <v>0</v>
      </c>
      <c r="BN416" t="b">
        <f>AND(IF(Metadata!AA416="",FALSE,TRUE),EXACT(Metadata!AA416,"metagenome"))</f>
        <v>0</v>
      </c>
      <c r="BO416" t="b">
        <f>AND(IF(Metadata!AB416="",FALSE,TRUE),EXACT(Metadata!AB416,"256318"))</f>
        <v>0</v>
      </c>
      <c r="BP416" t="b">
        <f>IF(Metadata!AC416="",FALSE,TRUE)</f>
        <v>0</v>
      </c>
      <c r="BQ416" t="b">
        <f>IF(Metadata!AD416="",FALSE,TRUE)</f>
        <v>0</v>
      </c>
    </row>
    <row r="417" spans="1:69" x14ac:dyDescent="0.2">
      <c r="A417" s="4" t="e">
        <f ca="1">IF(B417=" "," ",HYPERLINK(CONCATENATE("#metadata!",ADDRESS(INDEX($AJ$2:$AJ$1001,MATCH(ROWS($AH$2:AH417),$AH$2:$AH$1001,0),0),2)),INDEX($AM$2:$AM$1001,MATCH(ROWS($AH$2:AH417),$AH$2:$AH$1001,0),0)))</f>
        <v>#N/A</v>
      </c>
      <c r="B417" s="5" t="e">
        <f ca="1">IF(OR(INDEX($AI$2:$AI$1001,MATCH(ROWS($AH$2:AH417),$AH$2:$AH$1001,0),1)&gt;=100000,INDEX($AO$1005:$BQ$1005,1,MATCH(COLUMNS($AO$1006:AO1006),$AO$1006:$BQ$1006,0))&gt;=100000), " ",IF(INDEX($AO$2:$BQ$1001,MATCH(ROWS($AH$2:AH417),$AH$2:$AH$1001,0),MATCH(COLUMNS($AO$1006:AO1006),$AO$1006:$BQ$1006,0)), HYPERLINK("#",""), HYPERLINK(CONCATENATE("#Metadata!", ADDRESS(INDEX($AJ$2:$AJ$1001,MATCH(ROWS($AH$2:AH417),$AH$2:$AH$1001,0),0), INDEX($AO$1004:$BQ$1004,1,MATCH(COLUMNS($AO$1006:AO1006),$AO$1006:$BQ$1006,0)))),"Fix")))</f>
        <v>#N/A</v>
      </c>
      <c r="C417" s="5" t="e">
        <f ca="1">IF(OR(INDEX($AI$2:$AI$1001,MATCH(ROWS($AH$2:AH417),$AH$2:$AH$1001,0),1)&gt;=100000,INDEX($AO$1005:$BQ$1005,1,MATCH(COLUMNS($AO$1006:AP1006),$AO$1006:$BQ$1006,0))&gt;=100000), " ",IF(INDEX($AO$2:$BQ$1001,MATCH(ROWS($AH$2:AH417),$AH$2:$AH$1001,0),MATCH(COLUMNS($AO$1006:AP1006),$AO$1006:$BQ$1006,0)), HYPERLINK("#",""), HYPERLINK(CONCATENATE("#Metadata!", ADDRESS(INDEX($AJ$2:$AJ$1001,MATCH(ROWS($AH$2:AH417),$AH$2:$AH$1001,0),0), INDEX($AO$1004:$BQ$1004,1,MATCH(COLUMNS($AO$1006:AP1006),$AO$1006:$BQ$1006,0)))),"Fix")))</f>
        <v>#N/A</v>
      </c>
      <c r="D417" s="5" t="e">
        <f ca="1">IF(OR(INDEX($AI$2:$AI$1001,MATCH(ROWS($AH$2:AH417),$AH$2:$AH$1001,0),1)&gt;=100000,INDEX($AO$1005:$BQ$1005,1,MATCH(COLUMNS($AO$1006:AQ1006),$AO$1006:$BQ$1006,0))&gt;=100000), " ",IF(INDEX($AO$2:$BQ$1001,MATCH(ROWS($AH$2:AH417),$AH$2:$AH$1001,0),MATCH(COLUMNS($AO$1006:AQ1006),$AO$1006:$BQ$1006,0)), HYPERLINK("#",""), HYPERLINK(CONCATENATE("#Metadata!", ADDRESS(INDEX($AJ$2:$AJ$1001,MATCH(ROWS($AH$2:AH417),$AH$2:$AH$1001,0),0), INDEX($AO$1004:$BQ$1004,1,MATCH(COLUMNS($AO$1006:AQ1006),$AO$1006:$BQ$1006,0)))),"Fix")))</f>
        <v>#N/A</v>
      </c>
      <c r="E417" s="5" t="e">
        <f ca="1">IF(OR(INDEX($AI$2:$AI$1001,MATCH(ROWS($AH$2:AH417),$AH$2:$AH$1001,0),1)&gt;=100000,INDEX($AO$1005:$BQ$1005,1,MATCH(COLUMNS($AO$1006:AR1006),$AO$1006:$BQ$1006,0))&gt;=100000), " ",IF(INDEX($AO$2:$BQ$1001,MATCH(ROWS($AH$2:AH417),$AH$2:$AH$1001,0),MATCH(COLUMNS($AO$1006:AR1006),$AO$1006:$BQ$1006,0)), HYPERLINK("#",""), HYPERLINK(CONCATENATE("#Metadata!", ADDRESS(INDEX($AJ$2:$AJ$1001,MATCH(ROWS($AH$2:AH417),$AH$2:$AH$1001,0),0), INDEX($AO$1004:$BQ$1004,1,MATCH(COLUMNS($AO$1006:AR1006),$AO$1006:$BQ$1006,0)))),"Fix")))</f>
        <v>#N/A</v>
      </c>
      <c r="F417" s="5" t="e">
        <f ca="1">IF(OR(INDEX($AI$2:$AI$1001,MATCH(ROWS($AH$2:AH417),$AH$2:$AH$1001,0),1)&gt;=100000,INDEX($AO$1005:$BQ$1005,1,MATCH(COLUMNS($AO$1006:AS1006),$AO$1006:$BQ$1006,0))&gt;=100000), " ",IF(INDEX($AO$2:$BQ$1001,MATCH(ROWS($AH$2:AH417),$AH$2:$AH$1001,0),MATCH(COLUMNS($AO$1006:AS1006),$AO$1006:$BQ$1006,0)), HYPERLINK("#",""), HYPERLINK(CONCATENATE("#Metadata!", ADDRESS(INDEX($AJ$2:$AJ$1001,MATCH(ROWS($AH$2:AH417),$AH$2:$AH$1001,0),0), INDEX($AO$1004:$BQ$1004,1,MATCH(COLUMNS($AO$1006:AS1006),$AO$1006:$BQ$1006,0)))),"Fix")))</f>
        <v>#N/A</v>
      </c>
      <c r="G417" s="5" t="e">
        <f ca="1">IF(OR(INDEX($AI$2:$AI$1001,MATCH(ROWS($AH$2:AH417),$AH$2:$AH$1001,0),1)&gt;=100000,INDEX($AO$1005:$BQ$1005,1,MATCH(COLUMNS($AO$1006:AT1006),$AO$1006:$BQ$1006,0))&gt;=100000), " ",IF(INDEX($AO$2:$BQ$1001,MATCH(ROWS($AH$2:AH417),$AH$2:$AH$1001,0),MATCH(COLUMNS($AO$1006:AT1006),$AO$1006:$BQ$1006,0)), HYPERLINK("#",""), HYPERLINK(CONCATENATE("#Metadata!", ADDRESS(INDEX($AJ$2:$AJ$1001,MATCH(ROWS($AH$2:AH417),$AH$2:$AH$1001,0),0), INDEX($AO$1004:$BQ$1004,1,MATCH(COLUMNS($AO$1006:AT1006),$AO$1006:$BQ$1006,0)))),"Fix")))</f>
        <v>#N/A</v>
      </c>
      <c r="H417" s="5" t="e">
        <f ca="1">IF(OR(INDEX($AI$2:$AI$1001,MATCH(ROWS($AH$2:AH417),$AH$2:$AH$1001,0),1)&gt;=100000,INDEX($AO$1005:$BQ$1005,1,MATCH(COLUMNS($AO$1006:AU1006),$AO$1006:$BQ$1006,0))&gt;=100000), " ",IF(INDEX($AO$2:$BQ$1001,MATCH(ROWS($AH$2:AH417),$AH$2:$AH$1001,0),MATCH(COLUMNS($AO$1006:AU1006),$AO$1006:$BQ$1006,0)), HYPERLINK("#",""), HYPERLINK(CONCATENATE("#Metadata!", ADDRESS(INDEX($AJ$2:$AJ$1001,MATCH(ROWS($AH$2:AH417),$AH$2:$AH$1001,0),0), INDEX($AO$1004:$BQ$1004,1,MATCH(COLUMNS($AO$1006:AU1006),$AO$1006:$BQ$1006,0)))),"Fix")))</f>
        <v>#N/A</v>
      </c>
      <c r="I417" s="5" t="e">
        <f ca="1">IF(OR(INDEX($AI$2:$AI$1001,MATCH(ROWS($AH$2:AH417),$AH$2:$AH$1001,0),1)&gt;=100000,INDEX($AO$1005:$BQ$1005,1,MATCH(COLUMNS($AO$1006:AV1006),$AO$1006:$BQ$1006,0))&gt;=100000), " ",IF(INDEX($AO$2:$BQ$1001,MATCH(ROWS($AH$2:AH417),$AH$2:$AH$1001,0),MATCH(COLUMNS($AO$1006:AV1006),$AO$1006:$BQ$1006,0)), HYPERLINK("#",""), HYPERLINK(CONCATENATE("#Metadata!", ADDRESS(INDEX($AJ$2:$AJ$1001,MATCH(ROWS($AH$2:AH417),$AH$2:$AH$1001,0),0), INDEX($AO$1004:$BQ$1004,1,MATCH(COLUMNS($AO$1006:AV1006),$AO$1006:$BQ$1006,0)))),"Fix")))</f>
        <v>#N/A</v>
      </c>
      <c r="J417" s="5" t="e">
        <f ca="1">IF(OR(INDEX($AI$2:$AI$1001,MATCH(ROWS($AH$2:AH417),$AH$2:$AH$1001,0),1)&gt;=100000,INDEX($AO$1005:$BQ$1005,1,MATCH(COLUMNS($AO$1006:AW1006),$AO$1006:$BQ$1006,0))&gt;=100000), " ",IF(INDEX($AO$2:$BQ$1001,MATCH(ROWS($AH$2:AH417),$AH$2:$AH$1001,0),MATCH(COLUMNS($AO$1006:AW1006),$AO$1006:$BQ$1006,0)), HYPERLINK("#",""), HYPERLINK(CONCATENATE("#Metadata!", ADDRESS(INDEX($AJ$2:$AJ$1001,MATCH(ROWS($AH$2:AH417),$AH$2:$AH$1001,0),0), INDEX($AO$1004:$BQ$1004,1,MATCH(COLUMNS($AO$1006:AW1006),$AO$1006:$BQ$1006,0)))),"Fix")))</f>
        <v>#N/A</v>
      </c>
      <c r="K417" s="5" t="e">
        <f ca="1">IF(OR(INDEX($AI$2:$AI$1001,MATCH(ROWS($AH$2:AH417),$AH$2:$AH$1001,0),1)&gt;=100000,INDEX($AO$1005:$BQ$1005,1,MATCH(COLUMNS($AO$1006:AX1006),$AO$1006:$BQ$1006,0))&gt;=100000), " ",IF(INDEX($AO$2:$BQ$1001,MATCH(ROWS($AH$2:AH417),$AH$2:$AH$1001,0),MATCH(COLUMNS($AO$1006:AX1006),$AO$1006:$BQ$1006,0)), HYPERLINK("#",""), HYPERLINK(CONCATENATE("#Metadata!", ADDRESS(INDEX($AJ$2:$AJ$1001,MATCH(ROWS($AH$2:AH417),$AH$2:$AH$1001,0),0), INDEX($AO$1004:$BQ$1004,1,MATCH(COLUMNS($AO$1006:AX1006),$AO$1006:$BQ$1006,0)))),"Fix")))</f>
        <v>#N/A</v>
      </c>
      <c r="L417" s="5" t="e">
        <f ca="1">IF(OR(INDEX($AI$2:$AI$1001,MATCH(ROWS($AH$2:AH417),$AH$2:$AH$1001,0),1)&gt;=100000,INDEX($AO$1005:$BQ$1005,1,MATCH(COLUMNS($AO$1006:AY1006),$AO$1006:$BQ$1006,0))&gt;=100000), " ",IF(INDEX($AO$2:$BQ$1001,MATCH(ROWS($AH$2:AH417),$AH$2:$AH$1001,0),MATCH(COLUMNS($AO$1006:AY1006),$AO$1006:$BQ$1006,0)), HYPERLINK("#",""), HYPERLINK(CONCATENATE("#Metadata!", ADDRESS(INDEX($AJ$2:$AJ$1001,MATCH(ROWS($AH$2:AH417),$AH$2:$AH$1001,0),0), INDEX($AO$1004:$BQ$1004,1,MATCH(COLUMNS($AO$1006:AY1006),$AO$1006:$BQ$1006,0)))),"Fix")))</f>
        <v>#N/A</v>
      </c>
      <c r="M417" s="5" t="e">
        <f ca="1">IF(OR(INDEX($AI$2:$AI$1001,MATCH(ROWS($AH$2:AH417),$AH$2:$AH$1001,0),1)&gt;=100000,INDEX($AO$1005:$BQ$1005,1,MATCH(COLUMNS($AO$1006:AZ1006),$AO$1006:$BQ$1006,0))&gt;=100000), " ",IF(INDEX($AO$2:$BQ$1001,MATCH(ROWS($AH$2:AH417),$AH$2:$AH$1001,0),MATCH(COLUMNS($AO$1006:AZ1006),$AO$1006:$BQ$1006,0)), HYPERLINK("#",""), HYPERLINK(CONCATENATE("#Metadata!", ADDRESS(INDEX($AJ$2:$AJ$1001,MATCH(ROWS($AH$2:AH417),$AH$2:$AH$1001,0),0), INDEX($AO$1004:$BQ$1004,1,MATCH(COLUMNS($AO$1006:AZ1006),$AO$1006:$BQ$1006,0)))),"Fix")))</f>
        <v>#N/A</v>
      </c>
      <c r="N417" s="5" t="e">
        <f ca="1">IF(OR(INDEX($AI$2:$AI$1001,MATCH(ROWS($AH$2:AH417),$AH$2:$AH$1001,0),1)&gt;=100000,INDEX($AO$1005:$BQ$1005,1,MATCH(COLUMNS($AO$1006:BA1006),$AO$1006:$BQ$1006,0))&gt;=100000), " ",IF(INDEX($AO$2:$BQ$1001,MATCH(ROWS($AH$2:AH417),$AH$2:$AH$1001,0),MATCH(COLUMNS($AO$1006:BA1006),$AO$1006:$BQ$1006,0)), HYPERLINK("#",""), HYPERLINK(CONCATENATE("#Metadata!", ADDRESS(INDEX($AJ$2:$AJ$1001,MATCH(ROWS($AH$2:AH417),$AH$2:$AH$1001,0),0), INDEX($AO$1004:$BQ$1004,1,MATCH(COLUMNS($AO$1006:BA1006),$AO$1006:$BQ$1006,0)))),"Fix")))</f>
        <v>#N/A</v>
      </c>
      <c r="O417" s="5" t="e">
        <f ca="1">IF(OR(INDEX($AI$2:$AI$1001,MATCH(ROWS($AH$2:AH417),$AH$2:$AH$1001,0),1)&gt;=100000,INDEX($AO$1005:$BQ$1005,1,MATCH(COLUMNS($AO$1006:BB1006),$AO$1006:$BQ$1006,0))&gt;=100000), " ",IF(INDEX($AO$2:$BQ$1001,MATCH(ROWS($AH$2:AH417),$AH$2:$AH$1001,0),MATCH(COLUMNS($AO$1006:BB1006),$AO$1006:$BQ$1006,0)), HYPERLINK("#",""), HYPERLINK(CONCATENATE("#Metadata!", ADDRESS(INDEX($AJ$2:$AJ$1001,MATCH(ROWS($AH$2:AH417),$AH$2:$AH$1001,0),0), INDEX($AO$1004:$BQ$1004,1,MATCH(COLUMNS($AO$1006:BB1006),$AO$1006:$BQ$1006,0)))),"Fix")))</f>
        <v>#N/A</v>
      </c>
      <c r="P417" s="5" t="e">
        <f ca="1">IF(OR(INDEX($AI$2:$AI$1001,MATCH(ROWS($AH$2:AH417),$AH$2:$AH$1001,0),1)&gt;=100000,INDEX($AO$1005:$BQ$1005,1,MATCH(COLUMNS($AO$1006:BC1006),$AO$1006:$BQ$1006,0))&gt;=100000), " ",IF(INDEX($AO$2:$BQ$1001,MATCH(ROWS($AH$2:AH417),$AH$2:$AH$1001,0),MATCH(COLUMNS($AO$1006:BC1006),$AO$1006:$BQ$1006,0)), HYPERLINK("#",""), HYPERLINK(CONCATENATE("#Metadata!", ADDRESS(INDEX($AJ$2:$AJ$1001,MATCH(ROWS($AH$2:AH417),$AH$2:$AH$1001,0),0), INDEX($AO$1004:$BQ$1004,1,MATCH(COLUMNS($AO$1006:BC1006),$AO$1006:$BQ$1006,0)))),"Fix")))</f>
        <v>#N/A</v>
      </c>
      <c r="Q417" s="5" t="e">
        <f ca="1">IF(OR(INDEX($AI$2:$AI$1001,MATCH(ROWS($AH$2:AH417),$AH$2:$AH$1001,0),1)&gt;=100000,INDEX($AO$1005:$BQ$1005,1,MATCH(COLUMNS($AO$1006:BD1006),$AO$1006:$BQ$1006,0))&gt;=100000), " ",IF(INDEX($AO$2:$BQ$1001,MATCH(ROWS($AH$2:AH417),$AH$2:$AH$1001,0),MATCH(COLUMNS($AO$1006:BD1006),$AO$1006:$BQ$1006,0)), HYPERLINK("#",""), HYPERLINK(CONCATENATE("#Metadata!", ADDRESS(INDEX($AJ$2:$AJ$1001,MATCH(ROWS($AH$2:AH417),$AH$2:$AH$1001,0),0), INDEX($AO$1004:$BQ$1004,1,MATCH(COLUMNS($AO$1006:BD1006),$AO$1006:$BQ$1006,0)))),"Fix")))</f>
        <v>#N/A</v>
      </c>
      <c r="R417" s="5" t="e">
        <f ca="1">IF(OR(INDEX($AI$2:$AI$1001,MATCH(ROWS($AH$2:AH417),$AH$2:$AH$1001,0),1)&gt;=100000,INDEX($AO$1005:$BQ$1005,1,MATCH(COLUMNS($AO$1006:BE1006),$AO$1006:$BQ$1006,0))&gt;=100000), " ",IF(INDEX($AO$2:$BQ$1001,MATCH(ROWS($AH$2:AH417),$AH$2:$AH$1001,0),MATCH(COLUMNS($AO$1006:BE1006),$AO$1006:$BQ$1006,0)), HYPERLINK("#",""), HYPERLINK(CONCATENATE("#Metadata!", ADDRESS(INDEX($AJ$2:$AJ$1001,MATCH(ROWS($AH$2:AH417),$AH$2:$AH$1001,0),0), INDEX($AO$1004:$BQ$1004,1,MATCH(COLUMNS($AO$1006:BE1006),$AO$1006:$BQ$1006,0)))),"Fix")))</f>
        <v>#N/A</v>
      </c>
      <c r="S417" s="5" t="e">
        <f ca="1">IF(OR(INDEX($AI$2:$AI$1001,MATCH(ROWS($AH$2:AH417),$AH$2:$AH$1001,0),1)&gt;=100000,INDEX($AO$1005:$BQ$1005,1,MATCH(COLUMNS($AO$1006:BF1006),$AO$1006:$BQ$1006,0))&gt;=100000), " ",IF(INDEX($AO$2:$BQ$1001,MATCH(ROWS($AH$2:AH417),$AH$2:$AH$1001,0),MATCH(COLUMNS($AO$1006:BF1006),$AO$1006:$BQ$1006,0)), HYPERLINK("#",""), HYPERLINK(CONCATENATE("#Metadata!", ADDRESS(INDEX($AJ$2:$AJ$1001,MATCH(ROWS($AH$2:AH417),$AH$2:$AH$1001,0),0), INDEX($AO$1004:$BQ$1004,1,MATCH(COLUMNS($AO$1006:BF1006),$AO$1006:$BQ$1006,0)))),"Fix")))</f>
        <v>#N/A</v>
      </c>
      <c r="T417" s="5" t="e">
        <f ca="1">IF(OR(INDEX($AI$2:$AI$1001,MATCH(ROWS($AH$2:AH417),$AH$2:$AH$1001,0),1)&gt;=100000,INDEX($AO$1005:$BQ$1005,1,MATCH(COLUMNS($AO$1006:BG1006),$AO$1006:$BQ$1006,0))&gt;=100000), " ",IF(INDEX($AO$2:$BQ$1001,MATCH(ROWS($AH$2:AH417),$AH$2:$AH$1001,0),MATCH(COLUMNS($AO$1006:BG1006),$AO$1006:$BQ$1006,0)), HYPERLINK("#",""), HYPERLINK(CONCATENATE("#Metadata!", ADDRESS(INDEX($AJ$2:$AJ$1001,MATCH(ROWS($AH$2:AH417),$AH$2:$AH$1001,0),0), INDEX($AO$1004:$BQ$1004,1,MATCH(COLUMNS($AO$1006:BG1006),$AO$1006:$BQ$1006,0)))),"Fix")))</f>
        <v>#N/A</v>
      </c>
      <c r="U417" s="5" t="e">
        <f ca="1">IF(OR(INDEX($AI$2:$AI$1001,MATCH(ROWS($AH$2:AH417),$AH$2:$AH$1001,0),1)&gt;=100000,INDEX($AO$1005:$BQ$1005,1,MATCH(COLUMNS($AO$1006:BH1006),$AO$1006:$BQ$1006,0))&gt;=100000), " ",IF(INDEX($AO$2:$BQ$1001,MATCH(ROWS($AH$2:AH417),$AH$2:$AH$1001,0),MATCH(COLUMNS($AO$1006:BH1006),$AO$1006:$BQ$1006,0)), HYPERLINK("#",""), HYPERLINK(CONCATENATE("#Metadata!", ADDRESS(INDEX($AJ$2:$AJ$1001,MATCH(ROWS($AH$2:AH417),$AH$2:$AH$1001,0),0), INDEX($AO$1004:$BQ$1004,1,MATCH(COLUMNS($AO$1006:BH1006),$AO$1006:$BQ$1006,0)))),"Fix")))</f>
        <v>#N/A</v>
      </c>
      <c r="V417" s="5" t="e">
        <f ca="1">IF(OR(INDEX($AI$2:$AI$1001,MATCH(ROWS($AH$2:AH417),$AH$2:$AH$1001,0),1)&gt;=100000,INDEX($AO$1005:$BQ$1005,1,MATCH(COLUMNS($AO$1006:BI1006),$AO$1006:$BQ$1006,0))&gt;=100000), " ",IF(INDEX($AO$2:$BQ$1001,MATCH(ROWS($AH$2:AH417),$AH$2:$AH$1001,0),MATCH(COLUMNS($AO$1006:BI1006),$AO$1006:$BQ$1006,0)), HYPERLINK("#",""), HYPERLINK(CONCATENATE("#Metadata!", ADDRESS(INDEX($AJ$2:$AJ$1001,MATCH(ROWS($AH$2:AH417),$AH$2:$AH$1001,0),0), INDEX($AO$1004:$BQ$1004,1,MATCH(COLUMNS($AO$1006:BI1006),$AO$1006:$BQ$1006,0)))),"Fix")))</f>
        <v>#N/A</v>
      </c>
      <c r="W417" s="5" t="e">
        <f ca="1">IF(OR(INDEX($AI$2:$AI$1001,MATCH(ROWS($AH$2:AH417),$AH$2:$AH$1001,0),1)&gt;=100000,INDEX($AO$1005:$BQ$1005,1,MATCH(COLUMNS($AO$1006:BJ1006),$AO$1006:$BQ$1006,0))&gt;=100000), " ",IF(INDEX($AO$2:$BQ$1001,MATCH(ROWS($AH$2:AH417),$AH$2:$AH$1001,0),MATCH(COLUMNS($AO$1006:BJ1006),$AO$1006:$BQ$1006,0)), HYPERLINK("#",""), HYPERLINK(CONCATENATE("#Metadata!", ADDRESS(INDEX($AJ$2:$AJ$1001,MATCH(ROWS($AH$2:AH417),$AH$2:$AH$1001,0),0), INDEX($AO$1004:$BQ$1004,1,MATCH(COLUMNS($AO$1006:BJ1006),$AO$1006:$BQ$1006,0)))),"Fix")))</f>
        <v>#N/A</v>
      </c>
      <c r="X417" s="5" t="e">
        <f ca="1">IF(OR(INDEX($AI$2:$AI$1001,MATCH(ROWS($AH$2:AH417),$AH$2:$AH$1001,0),1)&gt;=100000,INDEX($AO$1005:$BQ$1005,1,MATCH(COLUMNS($AO$1006:BK1006),$AO$1006:$BQ$1006,0))&gt;=100000), " ",IF(INDEX($AO$2:$BQ$1001,MATCH(ROWS($AH$2:AH417),$AH$2:$AH$1001,0),MATCH(COLUMNS($AO$1006:BK1006),$AO$1006:$BQ$1006,0)), HYPERLINK("#",""), HYPERLINK(CONCATENATE("#Metadata!", ADDRESS(INDEX($AJ$2:$AJ$1001,MATCH(ROWS($AH$2:AH417),$AH$2:$AH$1001,0),0), INDEX($AO$1004:$BQ$1004,1,MATCH(COLUMNS($AO$1006:BK1006),$AO$1006:$BQ$1006,0)))),"Fix")))</f>
        <v>#N/A</v>
      </c>
      <c r="Y417" s="5" t="e">
        <f ca="1">IF(OR(INDEX($AI$2:$AI$1001,MATCH(ROWS($AH$2:AH417),$AH$2:$AH$1001,0),1)&gt;=100000,INDEX($AO$1005:$BQ$1005,1,MATCH(COLUMNS($AO$1006:BL1006),$AO$1006:$BQ$1006,0))&gt;=100000), " ",IF(INDEX($AO$2:$BQ$1001,MATCH(ROWS($AH$2:AH417),$AH$2:$AH$1001,0),MATCH(COLUMNS($AO$1006:BL1006),$AO$1006:$BQ$1006,0)), HYPERLINK("#",""), HYPERLINK(CONCATENATE("#Metadata!", ADDRESS(INDEX($AJ$2:$AJ$1001,MATCH(ROWS($AH$2:AH417),$AH$2:$AH$1001,0),0), INDEX($AO$1004:$BQ$1004,1,MATCH(COLUMNS($AO$1006:BL1006),$AO$1006:$BQ$1006,0)))),"Fix")))</f>
        <v>#N/A</v>
      </c>
      <c r="Z417" s="5" t="e">
        <f ca="1">IF(OR(INDEX($AI$2:$AI$1001,MATCH(ROWS($AH$2:AH417),$AH$2:$AH$1001,0),1)&gt;=100000,INDEX($AO$1005:$BQ$1005,1,MATCH(COLUMNS($AO$1006:BM1006),$AO$1006:$BQ$1006,0))&gt;=100000), " ",IF(INDEX($AO$2:$BQ$1001,MATCH(ROWS($AH$2:AH417),$AH$2:$AH$1001,0),MATCH(COLUMNS($AO$1006:BM1006),$AO$1006:$BQ$1006,0)), HYPERLINK("#",""), HYPERLINK(CONCATENATE("#Metadata!", ADDRESS(INDEX($AJ$2:$AJ$1001,MATCH(ROWS($AH$2:AH417),$AH$2:$AH$1001,0),0), INDEX($AO$1004:$BQ$1004,1,MATCH(COLUMNS($AO$1006:BM1006),$AO$1006:$BQ$1006,0)))),"Fix")))</f>
        <v>#N/A</v>
      </c>
      <c r="AA417" s="5" t="e">
        <f ca="1">IF(OR(INDEX($AI$2:$AI$1001,MATCH(ROWS($AH$2:AH417),$AH$2:$AH$1001,0),1)&gt;=100000,INDEX($AO$1005:$BQ$1005,1,MATCH(COLUMNS($AO$1006:BN1006),$AO$1006:$BQ$1006,0))&gt;=100000), " ",IF(INDEX($AO$2:$BQ$1001,MATCH(ROWS($AH$2:AH417),$AH$2:$AH$1001,0),MATCH(COLUMNS($AO$1006:BN1006),$AO$1006:$BQ$1006,0)), HYPERLINK("#",""), HYPERLINK(CONCATENATE("#Metadata!", ADDRESS(INDEX($AJ$2:$AJ$1001,MATCH(ROWS($AH$2:AH417),$AH$2:$AH$1001,0),0), INDEX($AO$1004:$BQ$1004,1,MATCH(COLUMNS($AO$1006:BN1006),$AO$1006:$BQ$1006,0)))),"Fix")))</f>
        <v>#N/A</v>
      </c>
      <c r="AB417" s="5" t="e">
        <f ca="1">IF(OR(INDEX($AI$2:$AI$1001,MATCH(ROWS($AH$2:AH417),$AH$2:$AH$1001,0),1)&gt;=100000,INDEX($AO$1005:$BQ$1005,1,MATCH(COLUMNS($AO$1006:BO1006),$AO$1006:$BQ$1006,0))&gt;=100000), " ",IF(INDEX($AO$2:$BQ$1001,MATCH(ROWS($AH$2:AH417),$AH$2:$AH$1001,0),MATCH(COLUMNS($AO$1006:BO1006),$AO$1006:$BQ$1006,0)), HYPERLINK("#",""), HYPERLINK(CONCATENATE("#Metadata!", ADDRESS(INDEX($AJ$2:$AJ$1001,MATCH(ROWS($AH$2:AH417),$AH$2:$AH$1001,0),0), INDEX($AO$1004:$BQ$1004,1,MATCH(COLUMNS($AO$1006:BO1006),$AO$1006:$BQ$1006,0)))),"Fix")))</f>
        <v>#N/A</v>
      </c>
      <c r="AC417" s="5" t="e">
        <f ca="1">IF(OR(INDEX($AI$2:$AI$1001,MATCH(ROWS($AH$2:AH417),$AH$2:$AH$1001,0),1)&gt;=100000,INDEX($AO$1005:$BQ$1005,1,MATCH(COLUMNS($AO$1006:BP1006),$AO$1006:$BQ$1006,0))&gt;=100000), " ",IF(INDEX($AO$2:$BQ$1001,MATCH(ROWS($AH$2:AH417),$AH$2:$AH$1001,0),MATCH(COLUMNS($AO$1006:BP1006),$AO$1006:$BQ$1006,0)), HYPERLINK("#",""), HYPERLINK(CONCATENATE("#Metadata!", ADDRESS(INDEX($AJ$2:$AJ$1001,MATCH(ROWS($AH$2:AH417),$AH$2:$AH$1001,0),0), INDEX($AO$1004:$BQ$1004,1,MATCH(COLUMNS($AO$1006:BP1006),$AO$1006:$BQ$1006,0)))),"Fix")))</f>
        <v>#N/A</v>
      </c>
      <c r="AD417" s="5" t="e">
        <f ca="1">IF(OR(INDEX($AI$2:$AI$1001,MATCH(ROWS($AH$2:AH417),$AH$2:$AH$1001,0),1)&gt;=100000,INDEX($AO$1005:$BQ$1005,1,MATCH(COLUMNS($AO$1006:BQ1006),$AO$1006:$BQ$1006,0))&gt;=100000), " ",IF(INDEX($AO$2:$BQ$1001,MATCH(ROWS($AH$2:AH417),$AH$2:$AH$1001,0),MATCH(COLUMNS($AO$1006:BQ1006),$AO$1006:$BQ$1006,0)), HYPERLINK("#",""), HYPERLINK(CONCATENATE("#Metadata!", ADDRESS(INDEX($AJ$2:$AJ$1001,MATCH(ROWS($AH$2:AH417),$AH$2:$AH$1001,0),0), INDEX($AO$1004:$BQ$1004,1,MATCH(COLUMNS($AO$1006:BQ1006),$AO$1006:$BQ$1006,0)))),"Fix")))</f>
        <v>#REF!</v>
      </c>
      <c r="AH417">
        <f ca="1"/>
        <v>414</v>
      </c>
      <c r="AI417">
        <v>100417</v>
      </c>
      <c r="AJ417">
        <v>417</v>
      </c>
      <c r="AK417" t="b">
        <f t="shared" si="6"/>
        <v>1</v>
      </c>
      <c r="AL417" t="b">
        <f>COUNTBLANK(Metadata!B417:AD417)=COLUMNS(Metadata!B417:AD417)</f>
        <v>1</v>
      </c>
      <c r="AM417" t="str">
        <v/>
      </c>
      <c r="AO417" t="b">
        <f ca="1">AND(IF(Metadata!B417="",FALSE,TRUE),COUNTIF(Metadata!B:B, Metadata!B417) = 1,NOT(ISERROR(SUMPRODUCT(SEARCH(MID(Metadata!B417,ROW(INDIRECT("1:"&amp;LEN(Metadata!B417))), 1),"0123456789abcdefghijklmnopqrstuvwxyzABCDEFGHIJKLMNOPQRSTUVWXYZ.")))))</f>
        <v>0</v>
      </c>
      <c r="AP417" t="b">
        <f>IF(Metadata!C417="",FALSE,TRUE)</f>
        <v>0</v>
      </c>
      <c r="AQ417" t="b">
        <f>IF(Metadata!D417="",FALSE,TRUE)</f>
        <v>0</v>
      </c>
      <c r="AR417" t="b">
        <f ca="1">OR(AND(IF(Metadata!E417="",FALSE,TRUE),OR(EXACT(Metadata!E417,"not collected"),EXACT(Metadata!E417,"not provided"),EXACT(Metadata!E417,"restricted access"))),AND(IF(Metadata!E417="",FALSE,TRUE),AND(AND(IFERROR(INT(LEFT(Metadata!E417,4))&gt;1900,FALSE),IFERROR(INT(LEFT(Metadata!E417,4))&lt;=YEAR(NOW()),FALSE)), OR(MID(Metadata!E417,5,1)="", AND(AND(MID(Metadata!E417,5,1)="-",IFERROR(INT(MID(Metadata!E417,6,1))&gt;=0,FALSE),IFERROR(INT(MID(Metadata!E417,6,1))&lt;=1,FALSE),NOT(MID(Metadata!E417,7,1)=""),IFERROR(INT(MID(Metadata!E417,6,2))&gt;=1,FALSE),IFERROR(INT(MID(Metadata!E417,6,2))&lt;=12,FALSE)), OR(MID(Metadata!E417,8,1)="", AND(AND(MID(Metadata!E417,8,1)="-",IFERROR(INT(MID(Metadata!E417,9,1))&gt;=0,FALSE),IFERROR(INT(MID(Metadata!E417,9,1))&lt;=3,FALSE),NOT(MID(Metadata!E417,10,1)=""),IFERROR(INT(MID(Metadata!E417,9,2))&gt;=1,FALSE),IFERROR(INT(MID(Metadata!E417,9,2))&lt;=31,FALSE)), OR(MID(Metadata!E417,11,1)="", AND(AND(MID(Metadata!E417,11,1)=" ",IFERROR(INT(MID(Metadata!E417,12,1))&gt;=0,FALSE),IFERROR(INT(MID(Metadata!E417,12,1))&lt;=2,FALSE),NOT(MID(Metadata!E417,13,1)=""),IFERROR(INT(MID(Metadata!E417,12,2))&gt;=0,FALSE),IFERROR(INT(MID(Metadata!E417,12,2))&lt;=23,FALSE)), OR(MID(Metadata!E417,14,1)="", AND(AND(MID(Metadata!E417,14,1)=":",IFERROR(INT(MID(Metadata!E417,15,1))&gt;=0,FALSE),IFERROR(INT(MID(Metadata!E417,15,1))&lt;=5,FALSE),NOT(MID(Metadata!E417,16,1)=""),IFERROR(INT(MID(Metadata!E417,15,2))&gt;=0,FALSE),IFERROR(INT(MID(Metadata!E417,15,2))&lt;=59,FALSE)), OR(MID(Metadata!E417,17,1)="", AND(AND(MID(Metadata!E417,17,1)=":",IFERROR(INT(MID(Metadata!E417,18,1))&gt;=0,FALSE),IFERROR(INT(MID(Metadata!E417,18,1))&lt;=5,FALSE),NOT(MID(Metadata!E417,19,1)=""),IFERROR(INT(MID(Metadata!E417,18,2))&gt;=0,FALSE),IFERROR(INT(MID(Metadata!E417,18,2))&lt;=59,FALSE)), LEN(Metadata!E417)&lt;=19)))))))))))))</f>
        <v>0</v>
      </c>
      <c r="AS417" t="b">
        <f>IF(Metadata!F417="",FALSE,TRUE)</f>
        <v>0</v>
      </c>
      <c r="AT417" t="b">
        <f>OR(AND(IF(Metadata!G417="",FALSE,TRUE),OR(EXACT(Metadata!G417,"not collected"),EXACT(Metadata!G417,"not provided"))),AND(IF(Metadata!G417="",FALSE,TRUE),OR(EXACT(Metadata!G417,"TRUE"),EXACT(Metadata!G417,"FALSE"))))</f>
        <v>0</v>
      </c>
      <c r="AU417" t="b">
        <f>OR(AND(IF(Metadata!H417="",FALSE,TRUE),OR(EXACT(Metadata!H417,"not collected"),EXACT(Metadata!H417,"not provided"),EXACT(Metadata!H417,"restricted access"))),AND(IF(Metadata!H417="",FALSE,ISNUMBER(VALUE(Metadata!H417))),Metadata!H417&gt;=-413))</f>
        <v>0</v>
      </c>
      <c r="AV417" t="b">
        <f>AND(IF(Metadata!I417="",FALSE,TRUE),EXACT(Metadata!I417,"meters"))</f>
        <v>0</v>
      </c>
      <c r="AW417" t="b">
        <f>AND(IF(Metadata!J417="",FALSE,TRUE),EXACT(Metadata!J417,"free-living"))</f>
        <v>0</v>
      </c>
      <c r="AX417" t="b">
        <f>AND(IF(Metadata!K417="",FALSE,TRUE),OR(EXACT(Metadata!K417,"saline"),EXACT(Metadata!K417,"non-saline")))</f>
        <v>0</v>
      </c>
      <c r="AY417" t="b">
        <f>AND(IF(Metadata!L417="",FALSE,TRUE),OR(EXACT(Metadata!L417,"sub-surface (non-saline)"),EXACT(Metadata!L417,"surface (non-saline)"),EXACT(Metadata!L417,"water (non-saline)"),EXACT(Metadata!L417,"soil (non-saline)"),EXACT(Metadata!L417,"aerosol (non-saline)"),EXACT(Metadata!L417,"sediment (non-saline)"),EXACT(Metadata!L417,"surface (saline)"),EXACT(Metadata!L417,"water (saline)"),EXACT(Metadata!L417,"hypersaline (saline)"),EXACT(Metadata!L417,"aerosol (saline)"),EXACT(Metadata!L417,"sediment (saline)")))</f>
        <v>0</v>
      </c>
      <c r="AZ417" t="b">
        <f>IF(Metadata!M417="",FALSE,TRUE)</f>
        <v>0</v>
      </c>
      <c r="BA417" t="b">
        <f>IF(Metadata!N417="",FALSE,TRUE)</f>
        <v>0</v>
      </c>
      <c r="BB417" t="b">
        <f>IF(Metadata!O417="",FALSE,TRUE)</f>
        <v>0</v>
      </c>
      <c r="BC417" t="b">
        <f>AND(IF(Metadata!P417="",FALSE,TRUE),OR(EXACT(Metadata!P417,"air"),EXACT(Metadata!P417,"microbial mat/biofilm"),EXACT(Metadata!P417,"misc environment"),EXACT(Metadata!P417,"sediment"),EXACT(Metadata!P417,"soil"),EXACT(Metadata!P417,"wastewater/sludge"),EXACT(Metadata!P417,"water")))</f>
        <v>0</v>
      </c>
      <c r="BD417" t="b">
        <f>IF(Metadata!Q417="",FALSE,TRUE)</f>
        <v>0</v>
      </c>
      <c r="BE417" t="b">
        <f>IF(Metadata!R417="",FALSE,TRUE)</f>
        <v>0</v>
      </c>
      <c r="BF417" t="b">
        <f>OR(AND(IF(Metadata!S417="",FALSE,TRUE),OR(EXACT(Metadata!S417,"not collected"),EXACT(Metadata!S417,"not provided"),EXACT(Metadata!S417,"restricted access"))),AND(IF(Metadata!S417="",FALSE,ISNUMBER(VALUE(Metadata!S417))),Metadata!S417&gt;=-90,Metadata!S417&lt;=90))</f>
        <v>0</v>
      </c>
      <c r="BG417" t="b">
        <f>AND(IF(Metadata!T417="",FALSE,TRUE),EXACT(Metadata!T417,"Decimal degrees"))</f>
        <v>0</v>
      </c>
      <c r="BH417" t="b">
        <f>OR(AND(IF(Metadata!U417="",FALSE,TRUE),OR(EXACT(Metadata!U417,"not applicable"),EXACT(Metadata!U417,"not collected"))),IF(Metadata!U417="",FALSE,TRUE))</f>
        <v>0</v>
      </c>
      <c r="BI417" t="b">
        <f>OR(AND(IF(Metadata!V417="",FALSE,TRUE),OR(EXACT(Metadata!V417,"not collected"),EXACT(Metadata!V417,"not provided"),EXACT(Metadata!V417,"restricted access"))),AND(IF(Metadata!V417="",FALSE,ISNUMBER(VALUE(Metadata!V417))),Metadata!V417&gt;=-180,Metadata!V417&lt;=180))</f>
        <v>0</v>
      </c>
      <c r="BJ417" t="b">
        <f>AND(IF(Metadata!W417="",FALSE,TRUE),EXACT(Metadata!W417,"Decimal degrees"))</f>
        <v>0</v>
      </c>
      <c r="BK417" t="b">
        <f>IF(Metadata!X417="",FALSE,TRUE)</f>
        <v>0</v>
      </c>
      <c r="BL417" t="b">
        <f>OR(AND(IF(Metadata!Y417="",FALSE,TRUE),OR(EXACT(Metadata!Y417,"not collected"),EXACT(Metadata!Y417,"not provided"),EXACT(Metadata!Y417,"restricted access"))),AND(IF(Metadata!Y417="",FALSE,TRUE),OR(EXACT(Metadata!Y417,"TRUE"),EXACT(Metadata!Y417,"FALSE"))))</f>
        <v>0</v>
      </c>
      <c r="BM417" t="b">
        <f>OR(AND(IF(Metadata!Z417="",FALSE,TRUE),EXACT(Metadata!Z417,"not applicable")),AND(IF(Metadata!Z417="",FALSE,TRUE),OR(EXACT(Metadata!Z417,"beer"),EXACT(Metadata!Z417,"cheese"),EXACT(Metadata!Z417,"fresh water"),EXACT(Metadata!Z417,"marine sediment"),EXACT(Metadata!Z417,"sea water"),EXACT(Metadata!Z417,"sediment"),EXACT(Metadata!Z417,"soil"),EXACT(Metadata!Z417,"waste water"))))</f>
        <v>0</v>
      </c>
      <c r="BN417" t="b">
        <f>AND(IF(Metadata!AA417="",FALSE,TRUE),EXACT(Metadata!AA417,"metagenome"))</f>
        <v>0</v>
      </c>
      <c r="BO417" t="b">
        <f>AND(IF(Metadata!AB417="",FALSE,TRUE),EXACT(Metadata!AB417,"256318"))</f>
        <v>0</v>
      </c>
      <c r="BP417" t="b">
        <f>IF(Metadata!AC417="",FALSE,TRUE)</f>
        <v>0</v>
      </c>
      <c r="BQ417" t="b">
        <f>IF(Metadata!AD417="",FALSE,TRUE)</f>
        <v>0</v>
      </c>
    </row>
    <row r="418" spans="1:69" x14ac:dyDescent="0.2">
      <c r="A418" s="4" t="e">
        <f ca="1">IF(B418=" "," ",HYPERLINK(CONCATENATE("#metadata!",ADDRESS(INDEX($AJ$2:$AJ$1001,MATCH(ROWS($AH$2:AH418),$AH$2:$AH$1001,0),0),2)),INDEX($AM$2:$AM$1001,MATCH(ROWS($AH$2:AH418),$AH$2:$AH$1001,0),0)))</f>
        <v>#N/A</v>
      </c>
      <c r="B418" s="5" t="e">
        <f ca="1">IF(OR(INDEX($AI$2:$AI$1001,MATCH(ROWS($AH$2:AH418),$AH$2:$AH$1001,0),1)&gt;=100000,INDEX($AO$1005:$BQ$1005,1,MATCH(COLUMNS($AO$1006:AO1006),$AO$1006:$BQ$1006,0))&gt;=100000), " ",IF(INDEX($AO$2:$BQ$1001,MATCH(ROWS($AH$2:AH418),$AH$2:$AH$1001,0),MATCH(COLUMNS($AO$1006:AO1006),$AO$1006:$BQ$1006,0)), HYPERLINK("#",""), HYPERLINK(CONCATENATE("#Metadata!", ADDRESS(INDEX($AJ$2:$AJ$1001,MATCH(ROWS($AH$2:AH418),$AH$2:$AH$1001,0),0), INDEX($AO$1004:$BQ$1004,1,MATCH(COLUMNS($AO$1006:AO1006),$AO$1006:$BQ$1006,0)))),"Fix")))</f>
        <v>#N/A</v>
      </c>
      <c r="C418" s="5" t="e">
        <f ca="1">IF(OR(INDEX($AI$2:$AI$1001,MATCH(ROWS($AH$2:AH418),$AH$2:$AH$1001,0),1)&gt;=100000,INDEX($AO$1005:$BQ$1005,1,MATCH(COLUMNS($AO$1006:AP1006),$AO$1006:$BQ$1006,0))&gt;=100000), " ",IF(INDEX($AO$2:$BQ$1001,MATCH(ROWS($AH$2:AH418),$AH$2:$AH$1001,0),MATCH(COLUMNS($AO$1006:AP1006),$AO$1006:$BQ$1006,0)), HYPERLINK("#",""), HYPERLINK(CONCATENATE("#Metadata!", ADDRESS(INDEX($AJ$2:$AJ$1001,MATCH(ROWS($AH$2:AH418),$AH$2:$AH$1001,0),0), INDEX($AO$1004:$BQ$1004,1,MATCH(COLUMNS($AO$1006:AP1006),$AO$1006:$BQ$1006,0)))),"Fix")))</f>
        <v>#N/A</v>
      </c>
      <c r="D418" s="5" t="e">
        <f ca="1">IF(OR(INDEX($AI$2:$AI$1001,MATCH(ROWS($AH$2:AH418),$AH$2:$AH$1001,0),1)&gt;=100000,INDEX($AO$1005:$BQ$1005,1,MATCH(COLUMNS($AO$1006:AQ1006),$AO$1006:$BQ$1006,0))&gt;=100000), " ",IF(INDEX($AO$2:$BQ$1001,MATCH(ROWS($AH$2:AH418),$AH$2:$AH$1001,0),MATCH(COLUMNS($AO$1006:AQ1006),$AO$1006:$BQ$1006,0)), HYPERLINK("#",""), HYPERLINK(CONCATENATE("#Metadata!", ADDRESS(INDEX($AJ$2:$AJ$1001,MATCH(ROWS($AH$2:AH418),$AH$2:$AH$1001,0),0), INDEX($AO$1004:$BQ$1004,1,MATCH(COLUMNS($AO$1006:AQ1006),$AO$1006:$BQ$1006,0)))),"Fix")))</f>
        <v>#N/A</v>
      </c>
      <c r="E418" s="5" t="e">
        <f ca="1">IF(OR(INDEX($AI$2:$AI$1001,MATCH(ROWS($AH$2:AH418),$AH$2:$AH$1001,0),1)&gt;=100000,INDEX($AO$1005:$BQ$1005,1,MATCH(COLUMNS($AO$1006:AR1006),$AO$1006:$BQ$1006,0))&gt;=100000), " ",IF(INDEX($AO$2:$BQ$1001,MATCH(ROWS($AH$2:AH418),$AH$2:$AH$1001,0),MATCH(COLUMNS($AO$1006:AR1006),$AO$1006:$BQ$1006,0)), HYPERLINK("#",""), HYPERLINK(CONCATENATE("#Metadata!", ADDRESS(INDEX($AJ$2:$AJ$1001,MATCH(ROWS($AH$2:AH418),$AH$2:$AH$1001,0),0), INDEX($AO$1004:$BQ$1004,1,MATCH(COLUMNS($AO$1006:AR1006),$AO$1006:$BQ$1006,0)))),"Fix")))</f>
        <v>#N/A</v>
      </c>
      <c r="F418" s="5" t="e">
        <f ca="1">IF(OR(INDEX($AI$2:$AI$1001,MATCH(ROWS($AH$2:AH418),$AH$2:$AH$1001,0),1)&gt;=100000,INDEX($AO$1005:$BQ$1005,1,MATCH(COLUMNS($AO$1006:AS1006),$AO$1006:$BQ$1006,0))&gt;=100000), " ",IF(INDEX($AO$2:$BQ$1001,MATCH(ROWS($AH$2:AH418),$AH$2:$AH$1001,0),MATCH(COLUMNS($AO$1006:AS1006),$AO$1006:$BQ$1006,0)), HYPERLINK("#",""), HYPERLINK(CONCATENATE("#Metadata!", ADDRESS(INDEX($AJ$2:$AJ$1001,MATCH(ROWS($AH$2:AH418),$AH$2:$AH$1001,0),0), INDEX($AO$1004:$BQ$1004,1,MATCH(COLUMNS($AO$1006:AS1006),$AO$1006:$BQ$1006,0)))),"Fix")))</f>
        <v>#N/A</v>
      </c>
      <c r="G418" s="5" t="e">
        <f ca="1">IF(OR(INDEX($AI$2:$AI$1001,MATCH(ROWS($AH$2:AH418),$AH$2:$AH$1001,0),1)&gt;=100000,INDEX($AO$1005:$BQ$1005,1,MATCH(COLUMNS($AO$1006:AT1006),$AO$1006:$BQ$1006,0))&gt;=100000), " ",IF(INDEX($AO$2:$BQ$1001,MATCH(ROWS($AH$2:AH418),$AH$2:$AH$1001,0),MATCH(COLUMNS($AO$1006:AT1006),$AO$1006:$BQ$1006,0)), HYPERLINK("#",""), HYPERLINK(CONCATENATE("#Metadata!", ADDRESS(INDEX($AJ$2:$AJ$1001,MATCH(ROWS($AH$2:AH418),$AH$2:$AH$1001,0),0), INDEX($AO$1004:$BQ$1004,1,MATCH(COLUMNS($AO$1006:AT1006),$AO$1006:$BQ$1006,0)))),"Fix")))</f>
        <v>#N/A</v>
      </c>
      <c r="H418" s="5" t="e">
        <f ca="1">IF(OR(INDEX($AI$2:$AI$1001,MATCH(ROWS($AH$2:AH418),$AH$2:$AH$1001,0),1)&gt;=100000,INDEX($AO$1005:$BQ$1005,1,MATCH(COLUMNS($AO$1006:AU1006),$AO$1006:$BQ$1006,0))&gt;=100000), " ",IF(INDEX($AO$2:$BQ$1001,MATCH(ROWS($AH$2:AH418),$AH$2:$AH$1001,0),MATCH(COLUMNS($AO$1006:AU1006),$AO$1006:$BQ$1006,0)), HYPERLINK("#",""), HYPERLINK(CONCATENATE("#Metadata!", ADDRESS(INDEX($AJ$2:$AJ$1001,MATCH(ROWS($AH$2:AH418),$AH$2:$AH$1001,0),0), INDEX($AO$1004:$BQ$1004,1,MATCH(COLUMNS($AO$1006:AU1006),$AO$1006:$BQ$1006,0)))),"Fix")))</f>
        <v>#N/A</v>
      </c>
      <c r="I418" s="5" t="e">
        <f ca="1">IF(OR(INDEX($AI$2:$AI$1001,MATCH(ROWS($AH$2:AH418),$AH$2:$AH$1001,0),1)&gt;=100000,INDEX($AO$1005:$BQ$1005,1,MATCH(COLUMNS($AO$1006:AV1006),$AO$1006:$BQ$1006,0))&gt;=100000), " ",IF(INDEX($AO$2:$BQ$1001,MATCH(ROWS($AH$2:AH418),$AH$2:$AH$1001,0),MATCH(COLUMNS($AO$1006:AV1006),$AO$1006:$BQ$1006,0)), HYPERLINK("#",""), HYPERLINK(CONCATENATE("#Metadata!", ADDRESS(INDEX($AJ$2:$AJ$1001,MATCH(ROWS($AH$2:AH418),$AH$2:$AH$1001,0),0), INDEX($AO$1004:$BQ$1004,1,MATCH(COLUMNS($AO$1006:AV1006),$AO$1006:$BQ$1006,0)))),"Fix")))</f>
        <v>#N/A</v>
      </c>
      <c r="J418" s="5" t="e">
        <f ca="1">IF(OR(INDEX($AI$2:$AI$1001,MATCH(ROWS($AH$2:AH418),$AH$2:$AH$1001,0),1)&gt;=100000,INDEX($AO$1005:$BQ$1005,1,MATCH(COLUMNS($AO$1006:AW1006),$AO$1006:$BQ$1006,0))&gt;=100000), " ",IF(INDEX($AO$2:$BQ$1001,MATCH(ROWS($AH$2:AH418),$AH$2:$AH$1001,0),MATCH(COLUMNS($AO$1006:AW1006),$AO$1006:$BQ$1006,0)), HYPERLINK("#",""), HYPERLINK(CONCATENATE("#Metadata!", ADDRESS(INDEX($AJ$2:$AJ$1001,MATCH(ROWS($AH$2:AH418),$AH$2:$AH$1001,0),0), INDEX($AO$1004:$BQ$1004,1,MATCH(COLUMNS($AO$1006:AW1006),$AO$1006:$BQ$1006,0)))),"Fix")))</f>
        <v>#N/A</v>
      </c>
      <c r="K418" s="5" t="e">
        <f ca="1">IF(OR(INDEX($AI$2:$AI$1001,MATCH(ROWS($AH$2:AH418),$AH$2:$AH$1001,0),1)&gt;=100000,INDEX($AO$1005:$BQ$1005,1,MATCH(COLUMNS($AO$1006:AX1006),$AO$1006:$BQ$1006,0))&gt;=100000), " ",IF(INDEX($AO$2:$BQ$1001,MATCH(ROWS($AH$2:AH418),$AH$2:$AH$1001,0),MATCH(COLUMNS($AO$1006:AX1006),$AO$1006:$BQ$1006,0)), HYPERLINK("#",""), HYPERLINK(CONCATENATE("#Metadata!", ADDRESS(INDEX($AJ$2:$AJ$1001,MATCH(ROWS($AH$2:AH418),$AH$2:$AH$1001,0),0), INDEX($AO$1004:$BQ$1004,1,MATCH(COLUMNS($AO$1006:AX1006),$AO$1006:$BQ$1006,0)))),"Fix")))</f>
        <v>#N/A</v>
      </c>
      <c r="L418" s="5" t="e">
        <f ca="1">IF(OR(INDEX($AI$2:$AI$1001,MATCH(ROWS($AH$2:AH418),$AH$2:$AH$1001,0),1)&gt;=100000,INDEX($AO$1005:$BQ$1005,1,MATCH(COLUMNS($AO$1006:AY1006),$AO$1006:$BQ$1006,0))&gt;=100000), " ",IF(INDEX($AO$2:$BQ$1001,MATCH(ROWS($AH$2:AH418),$AH$2:$AH$1001,0),MATCH(COLUMNS($AO$1006:AY1006),$AO$1006:$BQ$1006,0)), HYPERLINK("#",""), HYPERLINK(CONCATENATE("#Metadata!", ADDRESS(INDEX($AJ$2:$AJ$1001,MATCH(ROWS($AH$2:AH418),$AH$2:$AH$1001,0),0), INDEX($AO$1004:$BQ$1004,1,MATCH(COLUMNS($AO$1006:AY1006),$AO$1006:$BQ$1006,0)))),"Fix")))</f>
        <v>#N/A</v>
      </c>
      <c r="M418" s="5" t="e">
        <f ca="1">IF(OR(INDEX($AI$2:$AI$1001,MATCH(ROWS($AH$2:AH418),$AH$2:$AH$1001,0),1)&gt;=100000,INDEX($AO$1005:$BQ$1005,1,MATCH(COLUMNS($AO$1006:AZ1006),$AO$1006:$BQ$1006,0))&gt;=100000), " ",IF(INDEX($AO$2:$BQ$1001,MATCH(ROWS($AH$2:AH418),$AH$2:$AH$1001,0),MATCH(COLUMNS($AO$1006:AZ1006),$AO$1006:$BQ$1006,0)), HYPERLINK("#",""), HYPERLINK(CONCATENATE("#Metadata!", ADDRESS(INDEX($AJ$2:$AJ$1001,MATCH(ROWS($AH$2:AH418),$AH$2:$AH$1001,0),0), INDEX($AO$1004:$BQ$1004,1,MATCH(COLUMNS($AO$1006:AZ1006),$AO$1006:$BQ$1006,0)))),"Fix")))</f>
        <v>#N/A</v>
      </c>
      <c r="N418" s="5" t="e">
        <f ca="1">IF(OR(INDEX($AI$2:$AI$1001,MATCH(ROWS($AH$2:AH418),$AH$2:$AH$1001,0),1)&gt;=100000,INDEX($AO$1005:$BQ$1005,1,MATCH(COLUMNS($AO$1006:BA1006),$AO$1006:$BQ$1006,0))&gt;=100000), " ",IF(INDEX($AO$2:$BQ$1001,MATCH(ROWS($AH$2:AH418),$AH$2:$AH$1001,0),MATCH(COLUMNS($AO$1006:BA1006),$AO$1006:$BQ$1006,0)), HYPERLINK("#",""), HYPERLINK(CONCATENATE("#Metadata!", ADDRESS(INDEX($AJ$2:$AJ$1001,MATCH(ROWS($AH$2:AH418),$AH$2:$AH$1001,0),0), INDEX($AO$1004:$BQ$1004,1,MATCH(COLUMNS($AO$1006:BA1006),$AO$1006:$BQ$1006,0)))),"Fix")))</f>
        <v>#N/A</v>
      </c>
      <c r="O418" s="5" t="e">
        <f ca="1">IF(OR(INDEX($AI$2:$AI$1001,MATCH(ROWS($AH$2:AH418),$AH$2:$AH$1001,0),1)&gt;=100000,INDEX($AO$1005:$BQ$1005,1,MATCH(COLUMNS($AO$1006:BB1006),$AO$1006:$BQ$1006,0))&gt;=100000), " ",IF(INDEX($AO$2:$BQ$1001,MATCH(ROWS($AH$2:AH418),$AH$2:$AH$1001,0),MATCH(COLUMNS($AO$1006:BB1006),$AO$1006:$BQ$1006,0)), HYPERLINK("#",""), HYPERLINK(CONCATENATE("#Metadata!", ADDRESS(INDEX($AJ$2:$AJ$1001,MATCH(ROWS($AH$2:AH418),$AH$2:$AH$1001,0),0), INDEX($AO$1004:$BQ$1004,1,MATCH(COLUMNS($AO$1006:BB1006),$AO$1006:$BQ$1006,0)))),"Fix")))</f>
        <v>#N/A</v>
      </c>
      <c r="P418" s="5" t="e">
        <f ca="1">IF(OR(INDEX($AI$2:$AI$1001,MATCH(ROWS($AH$2:AH418),$AH$2:$AH$1001,0),1)&gt;=100000,INDEX($AO$1005:$BQ$1005,1,MATCH(COLUMNS($AO$1006:BC1006),$AO$1006:$BQ$1006,0))&gt;=100000), " ",IF(INDEX($AO$2:$BQ$1001,MATCH(ROWS($AH$2:AH418),$AH$2:$AH$1001,0),MATCH(COLUMNS($AO$1006:BC1006),$AO$1006:$BQ$1006,0)), HYPERLINK("#",""), HYPERLINK(CONCATENATE("#Metadata!", ADDRESS(INDEX($AJ$2:$AJ$1001,MATCH(ROWS($AH$2:AH418),$AH$2:$AH$1001,0),0), INDEX($AO$1004:$BQ$1004,1,MATCH(COLUMNS($AO$1006:BC1006),$AO$1006:$BQ$1006,0)))),"Fix")))</f>
        <v>#N/A</v>
      </c>
      <c r="Q418" s="5" t="e">
        <f ca="1">IF(OR(INDEX($AI$2:$AI$1001,MATCH(ROWS($AH$2:AH418),$AH$2:$AH$1001,0),1)&gt;=100000,INDEX($AO$1005:$BQ$1005,1,MATCH(COLUMNS($AO$1006:BD1006),$AO$1006:$BQ$1006,0))&gt;=100000), " ",IF(INDEX($AO$2:$BQ$1001,MATCH(ROWS($AH$2:AH418),$AH$2:$AH$1001,0),MATCH(COLUMNS($AO$1006:BD1006),$AO$1006:$BQ$1006,0)), HYPERLINK("#",""), HYPERLINK(CONCATENATE("#Metadata!", ADDRESS(INDEX($AJ$2:$AJ$1001,MATCH(ROWS($AH$2:AH418),$AH$2:$AH$1001,0),0), INDEX($AO$1004:$BQ$1004,1,MATCH(COLUMNS($AO$1006:BD1006),$AO$1006:$BQ$1006,0)))),"Fix")))</f>
        <v>#N/A</v>
      </c>
      <c r="R418" s="5" t="e">
        <f ca="1">IF(OR(INDEX($AI$2:$AI$1001,MATCH(ROWS($AH$2:AH418),$AH$2:$AH$1001,0),1)&gt;=100000,INDEX($AO$1005:$BQ$1005,1,MATCH(COLUMNS($AO$1006:BE1006),$AO$1006:$BQ$1006,0))&gt;=100000), " ",IF(INDEX($AO$2:$BQ$1001,MATCH(ROWS($AH$2:AH418),$AH$2:$AH$1001,0),MATCH(COLUMNS($AO$1006:BE1006),$AO$1006:$BQ$1006,0)), HYPERLINK("#",""), HYPERLINK(CONCATENATE("#Metadata!", ADDRESS(INDEX($AJ$2:$AJ$1001,MATCH(ROWS($AH$2:AH418),$AH$2:$AH$1001,0),0), INDEX($AO$1004:$BQ$1004,1,MATCH(COLUMNS($AO$1006:BE1006),$AO$1006:$BQ$1006,0)))),"Fix")))</f>
        <v>#N/A</v>
      </c>
      <c r="S418" s="5" t="e">
        <f ca="1">IF(OR(INDEX($AI$2:$AI$1001,MATCH(ROWS($AH$2:AH418),$AH$2:$AH$1001,0),1)&gt;=100000,INDEX($AO$1005:$BQ$1005,1,MATCH(COLUMNS($AO$1006:BF1006),$AO$1006:$BQ$1006,0))&gt;=100000), " ",IF(INDEX($AO$2:$BQ$1001,MATCH(ROWS($AH$2:AH418),$AH$2:$AH$1001,0),MATCH(COLUMNS($AO$1006:BF1006),$AO$1006:$BQ$1006,0)), HYPERLINK("#",""), HYPERLINK(CONCATENATE("#Metadata!", ADDRESS(INDEX($AJ$2:$AJ$1001,MATCH(ROWS($AH$2:AH418),$AH$2:$AH$1001,0),0), INDEX($AO$1004:$BQ$1004,1,MATCH(COLUMNS($AO$1006:BF1006),$AO$1006:$BQ$1006,0)))),"Fix")))</f>
        <v>#N/A</v>
      </c>
      <c r="T418" s="5" t="e">
        <f ca="1">IF(OR(INDEX($AI$2:$AI$1001,MATCH(ROWS($AH$2:AH418),$AH$2:$AH$1001,0),1)&gt;=100000,INDEX($AO$1005:$BQ$1005,1,MATCH(COLUMNS($AO$1006:BG1006),$AO$1006:$BQ$1006,0))&gt;=100000), " ",IF(INDEX($AO$2:$BQ$1001,MATCH(ROWS($AH$2:AH418),$AH$2:$AH$1001,0),MATCH(COLUMNS($AO$1006:BG1006),$AO$1006:$BQ$1006,0)), HYPERLINK("#",""), HYPERLINK(CONCATENATE("#Metadata!", ADDRESS(INDEX($AJ$2:$AJ$1001,MATCH(ROWS($AH$2:AH418),$AH$2:$AH$1001,0),0), INDEX($AO$1004:$BQ$1004,1,MATCH(COLUMNS($AO$1006:BG1006),$AO$1006:$BQ$1006,0)))),"Fix")))</f>
        <v>#N/A</v>
      </c>
      <c r="U418" s="5" t="e">
        <f ca="1">IF(OR(INDEX($AI$2:$AI$1001,MATCH(ROWS($AH$2:AH418),$AH$2:$AH$1001,0),1)&gt;=100000,INDEX($AO$1005:$BQ$1005,1,MATCH(COLUMNS($AO$1006:BH1006),$AO$1006:$BQ$1006,0))&gt;=100000), " ",IF(INDEX($AO$2:$BQ$1001,MATCH(ROWS($AH$2:AH418),$AH$2:$AH$1001,0),MATCH(COLUMNS($AO$1006:BH1006),$AO$1006:$BQ$1006,0)), HYPERLINK("#",""), HYPERLINK(CONCATENATE("#Metadata!", ADDRESS(INDEX($AJ$2:$AJ$1001,MATCH(ROWS($AH$2:AH418),$AH$2:$AH$1001,0),0), INDEX($AO$1004:$BQ$1004,1,MATCH(COLUMNS($AO$1006:BH1006),$AO$1006:$BQ$1006,0)))),"Fix")))</f>
        <v>#N/A</v>
      </c>
      <c r="V418" s="5" t="e">
        <f ca="1">IF(OR(INDEX($AI$2:$AI$1001,MATCH(ROWS($AH$2:AH418),$AH$2:$AH$1001,0),1)&gt;=100000,INDEX($AO$1005:$BQ$1005,1,MATCH(COLUMNS($AO$1006:BI1006),$AO$1006:$BQ$1006,0))&gt;=100000), " ",IF(INDEX($AO$2:$BQ$1001,MATCH(ROWS($AH$2:AH418),$AH$2:$AH$1001,0),MATCH(COLUMNS($AO$1006:BI1006),$AO$1006:$BQ$1006,0)), HYPERLINK("#",""), HYPERLINK(CONCATENATE("#Metadata!", ADDRESS(INDEX($AJ$2:$AJ$1001,MATCH(ROWS($AH$2:AH418),$AH$2:$AH$1001,0),0), INDEX($AO$1004:$BQ$1004,1,MATCH(COLUMNS($AO$1006:BI1006),$AO$1006:$BQ$1006,0)))),"Fix")))</f>
        <v>#N/A</v>
      </c>
      <c r="W418" s="5" t="e">
        <f ca="1">IF(OR(INDEX($AI$2:$AI$1001,MATCH(ROWS($AH$2:AH418),$AH$2:$AH$1001,0),1)&gt;=100000,INDEX($AO$1005:$BQ$1005,1,MATCH(COLUMNS($AO$1006:BJ1006),$AO$1006:$BQ$1006,0))&gt;=100000), " ",IF(INDEX($AO$2:$BQ$1001,MATCH(ROWS($AH$2:AH418),$AH$2:$AH$1001,0),MATCH(COLUMNS($AO$1006:BJ1006),$AO$1006:$BQ$1006,0)), HYPERLINK("#",""), HYPERLINK(CONCATENATE("#Metadata!", ADDRESS(INDEX($AJ$2:$AJ$1001,MATCH(ROWS($AH$2:AH418),$AH$2:$AH$1001,0),0), INDEX($AO$1004:$BQ$1004,1,MATCH(COLUMNS($AO$1006:BJ1006),$AO$1006:$BQ$1006,0)))),"Fix")))</f>
        <v>#N/A</v>
      </c>
      <c r="X418" s="5" t="e">
        <f ca="1">IF(OR(INDEX($AI$2:$AI$1001,MATCH(ROWS($AH$2:AH418),$AH$2:$AH$1001,0),1)&gt;=100000,INDEX($AO$1005:$BQ$1005,1,MATCH(COLUMNS($AO$1006:BK1006),$AO$1006:$BQ$1006,0))&gt;=100000), " ",IF(INDEX($AO$2:$BQ$1001,MATCH(ROWS($AH$2:AH418),$AH$2:$AH$1001,0),MATCH(COLUMNS($AO$1006:BK1006),$AO$1006:$BQ$1006,0)), HYPERLINK("#",""), HYPERLINK(CONCATENATE("#Metadata!", ADDRESS(INDEX($AJ$2:$AJ$1001,MATCH(ROWS($AH$2:AH418),$AH$2:$AH$1001,0),0), INDEX($AO$1004:$BQ$1004,1,MATCH(COLUMNS($AO$1006:BK1006),$AO$1006:$BQ$1006,0)))),"Fix")))</f>
        <v>#N/A</v>
      </c>
      <c r="Y418" s="5" t="e">
        <f ca="1">IF(OR(INDEX($AI$2:$AI$1001,MATCH(ROWS($AH$2:AH418),$AH$2:$AH$1001,0),1)&gt;=100000,INDEX($AO$1005:$BQ$1005,1,MATCH(COLUMNS($AO$1006:BL1006),$AO$1006:$BQ$1006,0))&gt;=100000), " ",IF(INDEX($AO$2:$BQ$1001,MATCH(ROWS($AH$2:AH418),$AH$2:$AH$1001,0),MATCH(COLUMNS($AO$1006:BL1006),$AO$1006:$BQ$1006,0)), HYPERLINK("#",""), HYPERLINK(CONCATENATE("#Metadata!", ADDRESS(INDEX($AJ$2:$AJ$1001,MATCH(ROWS($AH$2:AH418),$AH$2:$AH$1001,0),0), INDEX($AO$1004:$BQ$1004,1,MATCH(COLUMNS($AO$1006:BL1006),$AO$1006:$BQ$1006,0)))),"Fix")))</f>
        <v>#N/A</v>
      </c>
      <c r="Z418" s="5" t="e">
        <f ca="1">IF(OR(INDEX($AI$2:$AI$1001,MATCH(ROWS($AH$2:AH418),$AH$2:$AH$1001,0),1)&gt;=100000,INDEX($AO$1005:$BQ$1005,1,MATCH(COLUMNS($AO$1006:BM1006),$AO$1006:$BQ$1006,0))&gt;=100000), " ",IF(INDEX($AO$2:$BQ$1001,MATCH(ROWS($AH$2:AH418),$AH$2:$AH$1001,0),MATCH(COLUMNS($AO$1006:BM1006),$AO$1006:$BQ$1006,0)), HYPERLINK("#",""), HYPERLINK(CONCATENATE("#Metadata!", ADDRESS(INDEX($AJ$2:$AJ$1001,MATCH(ROWS($AH$2:AH418),$AH$2:$AH$1001,0),0), INDEX($AO$1004:$BQ$1004,1,MATCH(COLUMNS($AO$1006:BM1006),$AO$1006:$BQ$1006,0)))),"Fix")))</f>
        <v>#N/A</v>
      </c>
      <c r="AA418" s="5" t="e">
        <f ca="1">IF(OR(INDEX($AI$2:$AI$1001,MATCH(ROWS($AH$2:AH418),$AH$2:$AH$1001,0),1)&gt;=100000,INDEX($AO$1005:$BQ$1005,1,MATCH(COLUMNS($AO$1006:BN1006),$AO$1006:$BQ$1006,0))&gt;=100000), " ",IF(INDEX($AO$2:$BQ$1001,MATCH(ROWS($AH$2:AH418),$AH$2:$AH$1001,0),MATCH(COLUMNS($AO$1006:BN1006),$AO$1006:$BQ$1006,0)), HYPERLINK("#",""), HYPERLINK(CONCATENATE("#Metadata!", ADDRESS(INDEX($AJ$2:$AJ$1001,MATCH(ROWS($AH$2:AH418),$AH$2:$AH$1001,0),0), INDEX($AO$1004:$BQ$1004,1,MATCH(COLUMNS($AO$1006:BN1006),$AO$1006:$BQ$1006,0)))),"Fix")))</f>
        <v>#N/A</v>
      </c>
      <c r="AB418" s="5" t="e">
        <f ca="1">IF(OR(INDEX($AI$2:$AI$1001,MATCH(ROWS($AH$2:AH418),$AH$2:$AH$1001,0),1)&gt;=100000,INDEX($AO$1005:$BQ$1005,1,MATCH(COLUMNS($AO$1006:BO1006),$AO$1006:$BQ$1006,0))&gt;=100000), " ",IF(INDEX($AO$2:$BQ$1001,MATCH(ROWS($AH$2:AH418),$AH$2:$AH$1001,0),MATCH(COLUMNS($AO$1006:BO1006),$AO$1006:$BQ$1006,0)), HYPERLINK("#",""), HYPERLINK(CONCATENATE("#Metadata!", ADDRESS(INDEX($AJ$2:$AJ$1001,MATCH(ROWS($AH$2:AH418),$AH$2:$AH$1001,0),0), INDEX($AO$1004:$BQ$1004,1,MATCH(COLUMNS($AO$1006:BO1006),$AO$1006:$BQ$1006,0)))),"Fix")))</f>
        <v>#N/A</v>
      </c>
      <c r="AC418" s="5" t="e">
        <f ca="1">IF(OR(INDEX($AI$2:$AI$1001,MATCH(ROWS($AH$2:AH418),$AH$2:$AH$1001,0),1)&gt;=100000,INDEX($AO$1005:$BQ$1005,1,MATCH(COLUMNS($AO$1006:BP1006),$AO$1006:$BQ$1006,0))&gt;=100000), " ",IF(INDEX($AO$2:$BQ$1001,MATCH(ROWS($AH$2:AH418),$AH$2:$AH$1001,0),MATCH(COLUMNS($AO$1006:BP1006),$AO$1006:$BQ$1006,0)), HYPERLINK("#",""), HYPERLINK(CONCATENATE("#Metadata!", ADDRESS(INDEX($AJ$2:$AJ$1001,MATCH(ROWS($AH$2:AH418),$AH$2:$AH$1001,0),0), INDEX($AO$1004:$BQ$1004,1,MATCH(COLUMNS($AO$1006:BP1006),$AO$1006:$BQ$1006,0)))),"Fix")))</f>
        <v>#N/A</v>
      </c>
      <c r="AD418" s="5" t="e">
        <f ca="1">IF(OR(INDEX($AI$2:$AI$1001,MATCH(ROWS($AH$2:AH418),$AH$2:$AH$1001,0),1)&gt;=100000,INDEX($AO$1005:$BQ$1005,1,MATCH(COLUMNS($AO$1006:BQ1006),$AO$1006:$BQ$1006,0))&gt;=100000), " ",IF(INDEX($AO$2:$BQ$1001,MATCH(ROWS($AH$2:AH418),$AH$2:$AH$1001,0),MATCH(COLUMNS($AO$1006:BQ1006),$AO$1006:$BQ$1006,0)), HYPERLINK("#",""), HYPERLINK(CONCATENATE("#Metadata!", ADDRESS(INDEX($AJ$2:$AJ$1001,MATCH(ROWS($AH$2:AH418),$AH$2:$AH$1001,0),0), INDEX($AO$1004:$BQ$1004,1,MATCH(COLUMNS($AO$1006:BQ1006),$AO$1006:$BQ$1006,0)))),"Fix")))</f>
        <v>#REF!</v>
      </c>
      <c r="AH418">
        <f ca="1"/>
        <v>415</v>
      </c>
      <c r="AI418">
        <v>100418</v>
      </c>
      <c r="AJ418">
        <v>418</v>
      </c>
      <c r="AK418" t="b">
        <f t="shared" si="6"/>
        <v>1</v>
      </c>
      <c r="AL418" t="b">
        <f>COUNTBLANK(Metadata!B418:AD418)=COLUMNS(Metadata!B418:AD418)</f>
        <v>1</v>
      </c>
      <c r="AM418" t="str">
        <v/>
      </c>
      <c r="AO418" t="b">
        <f ca="1">AND(IF(Metadata!B418="",FALSE,TRUE),COUNTIF(Metadata!B:B, Metadata!B418) = 1,NOT(ISERROR(SUMPRODUCT(SEARCH(MID(Metadata!B418,ROW(INDIRECT("1:"&amp;LEN(Metadata!B418))), 1),"0123456789abcdefghijklmnopqrstuvwxyzABCDEFGHIJKLMNOPQRSTUVWXYZ.")))))</f>
        <v>0</v>
      </c>
      <c r="AP418" t="b">
        <f>IF(Metadata!C418="",FALSE,TRUE)</f>
        <v>0</v>
      </c>
      <c r="AQ418" t="b">
        <f>IF(Metadata!D418="",FALSE,TRUE)</f>
        <v>0</v>
      </c>
      <c r="AR418" t="b">
        <f ca="1">OR(AND(IF(Metadata!E418="",FALSE,TRUE),OR(EXACT(Metadata!E418,"not collected"),EXACT(Metadata!E418,"not provided"),EXACT(Metadata!E418,"restricted access"))),AND(IF(Metadata!E418="",FALSE,TRUE),AND(AND(IFERROR(INT(LEFT(Metadata!E418,4))&gt;1900,FALSE),IFERROR(INT(LEFT(Metadata!E418,4))&lt;=YEAR(NOW()),FALSE)), OR(MID(Metadata!E418,5,1)="", AND(AND(MID(Metadata!E418,5,1)="-",IFERROR(INT(MID(Metadata!E418,6,1))&gt;=0,FALSE),IFERROR(INT(MID(Metadata!E418,6,1))&lt;=1,FALSE),NOT(MID(Metadata!E418,7,1)=""),IFERROR(INT(MID(Metadata!E418,6,2))&gt;=1,FALSE),IFERROR(INT(MID(Metadata!E418,6,2))&lt;=12,FALSE)), OR(MID(Metadata!E418,8,1)="", AND(AND(MID(Metadata!E418,8,1)="-",IFERROR(INT(MID(Metadata!E418,9,1))&gt;=0,FALSE),IFERROR(INT(MID(Metadata!E418,9,1))&lt;=3,FALSE),NOT(MID(Metadata!E418,10,1)=""),IFERROR(INT(MID(Metadata!E418,9,2))&gt;=1,FALSE),IFERROR(INT(MID(Metadata!E418,9,2))&lt;=31,FALSE)), OR(MID(Metadata!E418,11,1)="", AND(AND(MID(Metadata!E418,11,1)=" ",IFERROR(INT(MID(Metadata!E418,12,1))&gt;=0,FALSE),IFERROR(INT(MID(Metadata!E418,12,1))&lt;=2,FALSE),NOT(MID(Metadata!E418,13,1)=""),IFERROR(INT(MID(Metadata!E418,12,2))&gt;=0,FALSE),IFERROR(INT(MID(Metadata!E418,12,2))&lt;=23,FALSE)), OR(MID(Metadata!E418,14,1)="", AND(AND(MID(Metadata!E418,14,1)=":",IFERROR(INT(MID(Metadata!E418,15,1))&gt;=0,FALSE),IFERROR(INT(MID(Metadata!E418,15,1))&lt;=5,FALSE),NOT(MID(Metadata!E418,16,1)=""),IFERROR(INT(MID(Metadata!E418,15,2))&gt;=0,FALSE),IFERROR(INT(MID(Metadata!E418,15,2))&lt;=59,FALSE)), OR(MID(Metadata!E418,17,1)="", AND(AND(MID(Metadata!E418,17,1)=":",IFERROR(INT(MID(Metadata!E418,18,1))&gt;=0,FALSE),IFERROR(INT(MID(Metadata!E418,18,1))&lt;=5,FALSE),NOT(MID(Metadata!E418,19,1)=""),IFERROR(INT(MID(Metadata!E418,18,2))&gt;=0,FALSE),IFERROR(INT(MID(Metadata!E418,18,2))&lt;=59,FALSE)), LEN(Metadata!E418)&lt;=19)))))))))))))</f>
        <v>0</v>
      </c>
      <c r="AS418" t="b">
        <f>IF(Metadata!F418="",FALSE,TRUE)</f>
        <v>0</v>
      </c>
      <c r="AT418" t="b">
        <f>OR(AND(IF(Metadata!G418="",FALSE,TRUE),OR(EXACT(Metadata!G418,"not collected"),EXACT(Metadata!G418,"not provided"))),AND(IF(Metadata!G418="",FALSE,TRUE),OR(EXACT(Metadata!G418,"TRUE"),EXACT(Metadata!G418,"FALSE"))))</f>
        <v>0</v>
      </c>
      <c r="AU418" t="b">
        <f>OR(AND(IF(Metadata!H418="",FALSE,TRUE),OR(EXACT(Metadata!H418,"not collected"),EXACT(Metadata!H418,"not provided"),EXACT(Metadata!H418,"restricted access"))),AND(IF(Metadata!H418="",FALSE,ISNUMBER(VALUE(Metadata!H418))),Metadata!H418&gt;=-413))</f>
        <v>0</v>
      </c>
      <c r="AV418" t="b">
        <f>AND(IF(Metadata!I418="",FALSE,TRUE),EXACT(Metadata!I418,"meters"))</f>
        <v>0</v>
      </c>
      <c r="AW418" t="b">
        <f>AND(IF(Metadata!J418="",FALSE,TRUE),EXACT(Metadata!J418,"free-living"))</f>
        <v>0</v>
      </c>
      <c r="AX418" t="b">
        <f>AND(IF(Metadata!K418="",FALSE,TRUE),OR(EXACT(Metadata!K418,"saline"),EXACT(Metadata!K418,"non-saline")))</f>
        <v>0</v>
      </c>
      <c r="AY418" t="b">
        <f>AND(IF(Metadata!L418="",FALSE,TRUE),OR(EXACT(Metadata!L418,"sub-surface (non-saline)"),EXACT(Metadata!L418,"surface (non-saline)"),EXACT(Metadata!L418,"water (non-saline)"),EXACT(Metadata!L418,"soil (non-saline)"),EXACT(Metadata!L418,"aerosol (non-saline)"),EXACT(Metadata!L418,"sediment (non-saline)"),EXACT(Metadata!L418,"surface (saline)"),EXACT(Metadata!L418,"water (saline)"),EXACT(Metadata!L418,"hypersaline (saline)"),EXACT(Metadata!L418,"aerosol (saline)"),EXACT(Metadata!L418,"sediment (saline)")))</f>
        <v>0</v>
      </c>
      <c r="AZ418" t="b">
        <f>IF(Metadata!M418="",FALSE,TRUE)</f>
        <v>0</v>
      </c>
      <c r="BA418" t="b">
        <f>IF(Metadata!N418="",FALSE,TRUE)</f>
        <v>0</v>
      </c>
      <c r="BB418" t="b">
        <f>IF(Metadata!O418="",FALSE,TRUE)</f>
        <v>0</v>
      </c>
      <c r="BC418" t="b">
        <f>AND(IF(Metadata!P418="",FALSE,TRUE),OR(EXACT(Metadata!P418,"air"),EXACT(Metadata!P418,"microbial mat/biofilm"),EXACT(Metadata!P418,"misc environment"),EXACT(Metadata!P418,"sediment"),EXACT(Metadata!P418,"soil"),EXACT(Metadata!P418,"wastewater/sludge"),EXACT(Metadata!P418,"water")))</f>
        <v>0</v>
      </c>
      <c r="BD418" t="b">
        <f>IF(Metadata!Q418="",FALSE,TRUE)</f>
        <v>0</v>
      </c>
      <c r="BE418" t="b">
        <f>IF(Metadata!R418="",FALSE,TRUE)</f>
        <v>0</v>
      </c>
      <c r="BF418" t="b">
        <f>OR(AND(IF(Metadata!S418="",FALSE,TRUE),OR(EXACT(Metadata!S418,"not collected"),EXACT(Metadata!S418,"not provided"),EXACT(Metadata!S418,"restricted access"))),AND(IF(Metadata!S418="",FALSE,ISNUMBER(VALUE(Metadata!S418))),Metadata!S418&gt;=-90,Metadata!S418&lt;=90))</f>
        <v>0</v>
      </c>
      <c r="BG418" t="b">
        <f>AND(IF(Metadata!T418="",FALSE,TRUE),EXACT(Metadata!T418,"Decimal degrees"))</f>
        <v>0</v>
      </c>
      <c r="BH418" t="b">
        <f>OR(AND(IF(Metadata!U418="",FALSE,TRUE),OR(EXACT(Metadata!U418,"not applicable"),EXACT(Metadata!U418,"not collected"))),IF(Metadata!U418="",FALSE,TRUE))</f>
        <v>0</v>
      </c>
      <c r="BI418" t="b">
        <f>OR(AND(IF(Metadata!V418="",FALSE,TRUE),OR(EXACT(Metadata!V418,"not collected"),EXACT(Metadata!V418,"not provided"),EXACT(Metadata!V418,"restricted access"))),AND(IF(Metadata!V418="",FALSE,ISNUMBER(VALUE(Metadata!V418))),Metadata!V418&gt;=-180,Metadata!V418&lt;=180))</f>
        <v>0</v>
      </c>
      <c r="BJ418" t="b">
        <f>AND(IF(Metadata!W418="",FALSE,TRUE),EXACT(Metadata!W418,"Decimal degrees"))</f>
        <v>0</v>
      </c>
      <c r="BK418" t="b">
        <f>IF(Metadata!X418="",FALSE,TRUE)</f>
        <v>0</v>
      </c>
      <c r="BL418" t="b">
        <f>OR(AND(IF(Metadata!Y418="",FALSE,TRUE),OR(EXACT(Metadata!Y418,"not collected"),EXACT(Metadata!Y418,"not provided"),EXACT(Metadata!Y418,"restricted access"))),AND(IF(Metadata!Y418="",FALSE,TRUE),OR(EXACT(Metadata!Y418,"TRUE"),EXACT(Metadata!Y418,"FALSE"))))</f>
        <v>0</v>
      </c>
      <c r="BM418" t="b">
        <f>OR(AND(IF(Metadata!Z418="",FALSE,TRUE),EXACT(Metadata!Z418,"not applicable")),AND(IF(Metadata!Z418="",FALSE,TRUE),OR(EXACT(Metadata!Z418,"beer"),EXACT(Metadata!Z418,"cheese"),EXACT(Metadata!Z418,"fresh water"),EXACT(Metadata!Z418,"marine sediment"),EXACT(Metadata!Z418,"sea water"),EXACT(Metadata!Z418,"sediment"),EXACT(Metadata!Z418,"soil"),EXACT(Metadata!Z418,"waste water"))))</f>
        <v>0</v>
      </c>
      <c r="BN418" t="b">
        <f>AND(IF(Metadata!AA418="",FALSE,TRUE),EXACT(Metadata!AA418,"metagenome"))</f>
        <v>0</v>
      </c>
      <c r="BO418" t="b">
        <f>AND(IF(Metadata!AB418="",FALSE,TRUE),EXACT(Metadata!AB418,"256318"))</f>
        <v>0</v>
      </c>
      <c r="BP418" t="b">
        <f>IF(Metadata!AC418="",FALSE,TRUE)</f>
        <v>0</v>
      </c>
      <c r="BQ418" t="b">
        <f>IF(Metadata!AD418="",FALSE,TRUE)</f>
        <v>0</v>
      </c>
    </row>
    <row r="419" spans="1:69" x14ac:dyDescent="0.2">
      <c r="A419" s="4" t="e">
        <f ca="1">IF(B419=" "," ",HYPERLINK(CONCATENATE("#metadata!",ADDRESS(INDEX($AJ$2:$AJ$1001,MATCH(ROWS($AH$2:AH419),$AH$2:$AH$1001,0),0),2)),INDEX($AM$2:$AM$1001,MATCH(ROWS($AH$2:AH419),$AH$2:$AH$1001,0),0)))</f>
        <v>#N/A</v>
      </c>
      <c r="B419" s="5" t="e">
        <f ca="1">IF(OR(INDEX($AI$2:$AI$1001,MATCH(ROWS($AH$2:AH419),$AH$2:$AH$1001,0),1)&gt;=100000,INDEX($AO$1005:$BQ$1005,1,MATCH(COLUMNS($AO$1006:AO1006),$AO$1006:$BQ$1006,0))&gt;=100000), " ",IF(INDEX($AO$2:$BQ$1001,MATCH(ROWS($AH$2:AH419),$AH$2:$AH$1001,0),MATCH(COLUMNS($AO$1006:AO1006),$AO$1006:$BQ$1006,0)), HYPERLINK("#",""), HYPERLINK(CONCATENATE("#Metadata!", ADDRESS(INDEX($AJ$2:$AJ$1001,MATCH(ROWS($AH$2:AH419),$AH$2:$AH$1001,0),0), INDEX($AO$1004:$BQ$1004,1,MATCH(COLUMNS($AO$1006:AO1006),$AO$1006:$BQ$1006,0)))),"Fix")))</f>
        <v>#N/A</v>
      </c>
      <c r="C419" s="5" t="e">
        <f ca="1">IF(OR(INDEX($AI$2:$AI$1001,MATCH(ROWS($AH$2:AH419),$AH$2:$AH$1001,0),1)&gt;=100000,INDEX($AO$1005:$BQ$1005,1,MATCH(COLUMNS($AO$1006:AP1006),$AO$1006:$BQ$1006,0))&gt;=100000), " ",IF(INDEX($AO$2:$BQ$1001,MATCH(ROWS($AH$2:AH419),$AH$2:$AH$1001,0),MATCH(COLUMNS($AO$1006:AP1006),$AO$1006:$BQ$1006,0)), HYPERLINK("#",""), HYPERLINK(CONCATENATE("#Metadata!", ADDRESS(INDEX($AJ$2:$AJ$1001,MATCH(ROWS($AH$2:AH419),$AH$2:$AH$1001,0),0), INDEX($AO$1004:$BQ$1004,1,MATCH(COLUMNS($AO$1006:AP1006),$AO$1006:$BQ$1006,0)))),"Fix")))</f>
        <v>#N/A</v>
      </c>
      <c r="D419" s="5" t="e">
        <f ca="1">IF(OR(INDEX($AI$2:$AI$1001,MATCH(ROWS($AH$2:AH419),$AH$2:$AH$1001,0),1)&gt;=100000,INDEX($AO$1005:$BQ$1005,1,MATCH(COLUMNS($AO$1006:AQ1006),$AO$1006:$BQ$1006,0))&gt;=100000), " ",IF(INDEX($AO$2:$BQ$1001,MATCH(ROWS($AH$2:AH419),$AH$2:$AH$1001,0),MATCH(COLUMNS($AO$1006:AQ1006),$AO$1006:$BQ$1006,0)), HYPERLINK("#",""), HYPERLINK(CONCATENATE("#Metadata!", ADDRESS(INDEX($AJ$2:$AJ$1001,MATCH(ROWS($AH$2:AH419),$AH$2:$AH$1001,0),0), INDEX($AO$1004:$BQ$1004,1,MATCH(COLUMNS($AO$1006:AQ1006),$AO$1006:$BQ$1006,0)))),"Fix")))</f>
        <v>#N/A</v>
      </c>
      <c r="E419" s="5" t="e">
        <f ca="1">IF(OR(INDEX($AI$2:$AI$1001,MATCH(ROWS($AH$2:AH419),$AH$2:$AH$1001,0),1)&gt;=100000,INDEX($AO$1005:$BQ$1005,1,MATCH(COLUMNS($AO$1006:AR1006),$AO$1006:$BQ$1006,0))&gt;=100000), " ",IF(INDEX($AO$2:$BQ$1001,MATCH(ROWS($AH$2:AH419),$AH$2:$AH$1001,0),MATCH(COLUMNS($AO$1006:AR1006),$AO$1006:$BQ$1006,0)), HYPERLINK("#",""), HYPERLINK(CONCATENATE("#Metadata!", ADDRESS(INDEX($AJ$2:$AJ$1001,MATCH(ROWS($AH$2:AH419),$AH$2:$AH$1001,0),0), INDEX($AO$1004:$BQ$1004,1,MATCH(COLUMNS($AO$1006:AR1006),$AO$1006:$BQ$1006,0)))),"Fix")))</f>
        <v>#N/A</v>
      </c>
      <c r="F419" s="5" t="e">
        <f ca="1">IF(OR(INDEX($AI$2:$AI$1001,MATCH(ROWS($AH$2:AH419),$AH$2:$AH$1001,0),1)&gt;=100000,INDEX($AO$1005:$BQ$1005,1,MATCH(COLUMNS($AO$1006:AS1006),$AO$1006:$BQ$1006,0))&gt;=100000), " ",IF(INDEX($AO$2:$BQ$1001,MATCH(ROWS($AH$2:AH419),$AH$2:$AH$1001,0),MATCH(COLUMNS($AO$1006:AS1006),$AO$1006:$BQ$1006,0)), HYPERLINK("#",""), HYPERLINK(CONCATENATE("#Metadata!", ADDRESS(INDEX($AJ$2:$AJ$1001,MATCH(ROWS($AH$2:AH419),$AH$2:$AH$1001,0),0), INDEX($AO$1004:$BQ$1004,1,MATCH(COLUMNS($AO$1006:AS1006),$AO$1006:$BQ$1006,0)))),"Fix")))</f>
        <v>#N/A</v>
      </c>
      <c r="G419" s="5" t="e">
        <f ca="1">IF(OR(INDEX($AI$2:$AI$1001,MATCH(ROWS($AH$2:AH419),$AH$2:$AH$1001,0),1)&gt;=100000,INDEX($AO$1005:$BQ$1005,1,MATCH(COLUMNS($AO$1006:AT1006),$AO$1006:$BQ$1006,0))&gt;=100000), " ",IF(INDEX($AO$2:$BQ$1001,MATCH(ROWS($AH$2:AH419),$AH$2:$AH$1001,0),MATCH(COLUMNS($AO$1006:AT1006),$AO$1006:$BQ$1006,0)), HYPERLINK("#",""), HYPERLINK(CONCATENATE("#Metadata!", ADDRESS(INDEX($AJ$2:$AJ$1001,MATCH(ROWS($AH$2:AH419),$AH$2:$AH$1001,0),0), INDEX($AO$1004:$BQ$1004,1,MATCH(COLUMNS($AO$1006:AT1006),$AO$1006:$BQ$1006,0)))),"Fix")))</f>
        <v>#N/A</v>
      </c>
      <c r="H419" s="5" t="e">
        <f ca="1">IF(OR(INDEX($AI$2:$AI$1001,MATCH(ROWS($AH$2:AH419),$AH$2:$AH$1001,0),1)&gt;=100000,INDEX($AO$1005:$BQ$1005,1,MATCH(COLUMNS($AO$1006:AU1006),$AO$1006:$BQ$1006,0))&gt;=100000), " ",IF(INDEX($AO$2:$BQ$1001,MATCH(ROWS($AH$2:AH419),$AH$2:$AH$1001,0),MATCH(COLUMNS($AO$1006:AU1006),$AO$1006:$BQ$1006,0)), HYPERLINK("#",""), HYPERLINK(CONCATENATE("#Metadata!", ADDRESS(INDEX($AJ$2:$AJ$1001,MATCH(ROWS($AH$2:AH419),$AH$2:$AH$1001,0),0), INDEX($AO$1004:$BQ$1004,1,MATCH(COLUMNS($AO$1006:AU1006),$AO$1006:$BQ$1006,0)))),"Fix")))</f>
        <v>#N/A</v>
      </c>
      <c r="I419" s="5" t="e">
        <f ca="1">IF(OR(INDEX($AI$2:$AI$1001,MATCH(ROWS($AH$2:AH419),$AH$2:$AH$1001,0),1)&gt;=100000,INDEX($AO$1005:$BQ$1005,1,MATCH(COLUMNS($AO$1006:AV1006),$AO$1006:$BQ$1006,0))&gt;=100000), " ",IF(INDEX($AO$2:$BQ$1001,MATCH(ROWS($AH$2:AH419),$AH$2:$AH$1001,0),MATCH(COLUMNS($AO$1006:AV1006),$AO$1006:$BQ$1006,0)), HYPERLINK("#",""), HYPERLINK(CONCATENATE("#Metadata!", ADDRESS(INDEX($AJ$2:$AJ$1001,MATCH(ROWS($AH$2:AH419),$AH$2:$AH$1001,0),0), INDEX($AO$1004:$BQ$1004,1,MATCH(COLUMNS($AO$1006:AV1006),$AO$1006:$BQ$1006,0)))),"Fix")))</f>
        <v>#N/A</v>
      </c>
      <c r="J419" s="5" t="e">
        <f ca="1">IF(OR(INDEX($AI$2:$AI$1001,MATCH(ROWS($AH$2:AH419),$AH$2:$AH$1001,0),1)&gt;=100000,INDEX($AO$1005:$BQ$1005,1,MATCH(COLUMNS($AO$1006:AW1006),$AO$1006:$BQ$1006,0))&gt;=100000), " ",IF(INDEX($AO$2:$BQ$1001,MATCH(ROWS($AH$2:AH419),$AH$2:$AH$1001,0),MATCH(COLUMNS($AO$1006:AW1006),$AO$1006:$BQ$1006,0)), HYPERLINK("#",""), HYPERLINK(CONCATENATE("#Metadata!", ADDRESS(INDEX($AJ$2:$AJ$1001,MATCH(ROWS($AH$2:AH419),$AH$2:$AH$1001,0),0), INDEX($AO$1004:$BQ$1004,1,MATCH(COLUMNS($AO$1006:AW1006),$AO$1006:$BQ$1006,0)))),"Fix")))</f>
        <v>#N/A</v>
      </c>
      <c r="K419" s="5" t="e">
        <f ca="1">IF(OR(INDEX($AI$2:$AI$1001,MATCH(ROWS($AH$2:AH419),$AH$2:$AH$1001,0),1)&gt;=100000,INDEX($AO$1005:$BQ$1005,1,MATCH(COLUMNS($AO$1006:AX1006),$AO$1006:$BQ$1006,0))&gt;=100000), " ",IF(INDEX($AO$2:$BQ$1001,MATCH(ROWS($AH$2:AH419),$AH$2:$AH$1001,0),MATCH(COLUMNS($AO$1006:AX1006),$AO$1006:$BQ$1006,0)), HYPERLINK("#",""), HYPERLINK(CONCATENATE("#Metadata!", ADDRESS(INDEX($AJ$2:$AJ$1001,MATCH(ROWS($AH$2:AH419),$AH$2:$AH$1001,0),0), INDEX($AO$1004:$BQ$1004,1,MATCH(COLUMNS($AO$1006:AX1006),$AO$1006:$BQ$1006,0)))),"Fix")))</f>
        <v>#N/A</v>
      </c>
      <c r="L419" s="5" t="e">
        <f ca="1">IF(OR(INDEX($AI$2:$AI$1001,MATCH(ROWS($AH$2:AH419),$AH$2:$AH$1001,0),1)&gt;=100000,INDEX($AO$1005:$BQ$1005,1,MATCH(COLUMNS($AO$1006:AY1006),$AO$1006:$BQ$1006,0))&gt;=100000), " ",IF(INDEX($AO$2:$BQ$1001,MATCH(ROWS($AH$2:AH419),$AH$2:$AH$1001,0),MATCH(COLUMNS($AO$1006:AY1006),$AO$1006:$BQ$1006,0)), HYPERLINK("#",""), HYPERLINK(CONCATENATE("#Metadata!", ADDRESS(INDEX($AJ$2:$AJ$1001,MATCH(ROWS($AH$2:AH419),$AH$2:$AH$1001,0),0), INDEX($AO$1004:$BQ$1004,1,MATCH(COLUMNS($AO$1006:AY1006),$AO$1006:$BQ$1006,0)))),"Fix")))</f>
        <v>#N/A</v>
      </c>
      <c r="M419" s="5" t="e">
        <f ca="1">IF(OR(INDEX($AI$2:$AI$1001,MATCH(ROWS($AH$2:AH419),$AH$2:$AH$1001,0),1)&gt;=100000,INDEX($AO$1005:$BQ$1005,1,MATCH(COLUMNS($AO$1006:AZ1006),$AO$1006:$BQ$1006,0))&gt;=100000), " ",IF(INDEX($AO$2:$BQ$1001,MATCH(ROWS($AH$2:AH419),$AH$2:$AH$1001,0),MATCH(COLUMNS($AO$1006:AZ1006),$AO$1006:$BQ$1006,0)), HYPERLINK("#",""), HYPERLINK(CONCATENATE("#Metadata!", ADDRESS(INDEX($AJ$2:$AJ$1001,MATCH(ROWS($AH$2:AH419),$AH$2:$AH$1001,0),0), INDEX($AO$1004:$BQ$1004,1,MATCH(COLUMNS($AO$1006:AZ1006),$AO$1006:$BQ$1006,0)))),"Fix")))</f>
        <v>#N/A</v>
      </c>
      <c r="N419" s="5" t="e">
        <f ca="1">IF(OR(INDEX($AI$2:$AI$1001,MATCH(ROWS($AH$2:AH419),$AH$2:$AH$1001,0),1)&gt;=100000,INDEX($AO$1005:$BQ$1005,1,MATCH(COLUMNS($AO$1006:BA1006),$AO$1006:$BQ$1006,0))&gt;=100000), " ",IF(INDEX($AO$2:$BQ$1001,MATCH(ROWS($AH$2:AH419),$AH$2:$AH$1001,0),MATCH(COLUMNS($AO$1006:BA1006),$AO$1006:$BQ$1006,0)), HYPERLINK("#",""), HYPERLINK(CONCATENATE("#Metadata!", ADDRESS(INDEX($AJ$2:$AJ$1001,MATCH(ROWS($AH$2:AH419),$AH$2:$AH$1001,0),0), INDEX($AO$1004:$BQ$1004,1,MATCH(COLUMNS($AO$1006:BA1006),$AO$1006:$BQ$1006,0)))),"Fix")))</f>
        <v>#N/A</v>
      </c>
      <c r="O419" s="5" t="e">
        <f ca="1">IF(OR(INDEX($AI$2:$AI$1001,MATCH(ROWS($AH$2:AH419),$AH$2:$AH$1001,0),1)&gt;=100000,INDEX($AO$1005:$BQ$1005,1,MATCH(COLUMNS($AO$1006:BB1006),$AO$1006:$BQ$1006,0))&gt;=100000), " ",IF(INDEX($AO$2:$BQ$1001,MATCH(ROWS($AH$2:AH419),$AH$2:$AH$1001,0),MATCH(COLUMNS($AO$1006:BB1006),$AO$1006:$BQ$1006,0)), HYPERLINK("#",""), HYPERLINK(CONCATENATE("#Metadata!", ADDRESS(INDEX($AJ$2:$AJ$1001,MATCH(ROWS($AH$2:AH419),$AH$2:$AH$1001,0),0), INDEX($AO$1004:$BQ$1004,1,MATCH(COLUMNS($AO$1006:BB1006),$AO$1006:$BQ$1006,0)))),"Fix")))</f>
        <v>#N/A</v>
      </c>
      <c r="P419" s="5" t="e">
        <f ca="1">IF(OR(INDEX($AI$2:$AI$1001,MATCH(ROWS($AH$2:AH419),$AH$2:$AH$1001,0),1)&gt;=100000,INDEX($AO$1005:$BQ$1005,1,MATCH(COLUMNS($AO$1006:BC1006),$AO$1006:$BQ$1006,0))&gt;=100000), " ",IF(INDEX($AO$2:$BQ$1001,MATCH(ROWS($AH$2:AH419),$AH$2:$AH$1001,0),MATCH(COLUMNS($AO$1006:BC1006),$AO$1006:$BQ$1006,0)), HYPERLINK("#",""), HYPERLINK(CONCATENATE("#Metadata!", ADDRESS(INDEX($AJ$2:$AJ$1001,MATCH(ROWS($AH$2:AH419),$AH$2:$AH$1001,0),0), INDEX($AO$1004:$BQ$1004,1,MATCH(COLUMNS($AO$1006:BC1006),$AO$1006:$BQ$1006,0)))),"Fix")))</f>
        <v>#N/A</v>
      </c>
      <c r="Q419" s="5" t="e">
        <f ca="1">IF(OR(INDEX($AI$2:$AI$1001,MATCH(ROWS($AH$2:AH419),$AH$2:$AH$1001,0),1)&gt;=100000,INDEX($AO$1005:$BQ$1005,1,MATCH(COLUMNS($AO$1006:BD1006),$AO$1006:$BQ$1006,0))&gt;=100000), " ",IF(INDEX($AO$2:$BQ$1001,MATCH(ROWS($AH$2:AH419),$AH$2:$AH$1001,0),MATCH(COLUMNS($AO$1006:BD1006),$AO$1006:$BQ$1006,0)), HYPERLINK("#",""), HYPERLINK(CONCATENATE("#Metadata!", ADDRESS(INDEX($AJ$2:$AJ$1001,MATCH(ROWS($AH$2:AH419),$AH$2:$AH$1001,0),0), INDEX($AO$1004:$BQ$1004,1,MATCH(COLUMNS($AO$1006:BD1006),$AO$1006:$BQ$1006,0)))),"Fix")))</f>
        <v>#N/A</v>
      </c>
      <c r="R419" s="5" t="e">
        <f ca="1">IF(OR(INDEX($AI$2:$AI$1001,MATCH(ROWS($AH$2:AH419),$AH$2:$AH$1001,0),1)&gt;=100000,INDEX($AO$1005:$BQ$1005,1,MATCH(COLUMNS($AO$1006:BE1006),$AO$1006:$BQ$1006,0))&gt;=100000), " ",IF(INDEX($AO$2:$BQ$1001,MATCH(ROWS($AH$2:AH419),$AH$2:$AH$1001,0),MATCH(COLUMNS($AO$1006:BE1006),$AO$1006:$BQ$1006,0)), HYPERLINK("#",""), HYPERLINK(CONCATENATE("#Metadata!", ADDRESS(INDEX($AJ$2:$AJ$1001,MATCH(ROWS($AH$2:AH419),$AH$2:$AH$1001,0),0), INDEX($AO$1004:$BQ$1004,1,MATCH(COLUMNS($AO$1006:BE1006),$AO$1006:$BQ$1006,0)))),"Fix")))</f>
        <v>#N/A</v>
      </c>
      <c r="S419" s="5" t="e">
        <f ca="1">IF(OR(INDEX($AI$2:$AI$1001,MATCH(ROWS($AH$2:AH419),$AH$2:$AH$1001,0),1)&gt;=100000,INDEX($AO$1005:$BQ$1005,1,MATCH(COLUMNS($AO$1006:BF1006),$AO$1006:$BQ$1006,0))&gt;=100000), " ",IF(INDEX($AO$2:$BQ$1001,MATCH(ROWS($AH$2:AH419),$AH$2:$AH$1001,0),MATCH(COLUMNS($AO$1006:BF1006),$AO$1006:$BQ$1006,0)), HYPERLINK("#",""), HYPERLINK(CONCATENATE("#Metadata!", ADDRESS(INDEX($AJ$2:$AJ$1001,MATCH(ROWS($AH$2:AH419),$AH$2:$AH$1001,0),0), INDEX($AO$1004:$BQ$1004,1,MATCH(COLUMNS($AO$1006:BF1006),$AO$1006:$BQ$1006,0)))),"Fix")))</f>
        <v>#N/A</v>
      </c>
      <c r="T419" s="5" t="e">
        <f ca="1">IF(OR(INDEX($AI$2:$AI$1001,MATCH(ROWS($AH$2:AH419),$AH$2:$AH$1001,0),1)&gt;=100000,INDEX($AO$1005:$BQ$1005,1,MATCH(COLUMNS($AO$1006:BG1006),$AO$1006:$BQ$1006,0))&gt;=100000), " ",IF(INDEX($AO$2:$BQ$1001,MATCH(ROWS($AH$2:AH419),$AH$2:$AH$1001,0),MATCH(COLUMNS($AO$1006:BG1006),$AO$1006:$BQ$1006,0)), HYPERLINK("#",""), HYPERLINK(CONCATENATE("#Metadata!", ADDRESS(INDEX($AJ$2:$AJ$1001,MATCH(ROWS($AH$2:AH419),$AH$2:$AH$1001,0),0), INDEX($AO$1004:$BQ$1004,1,MATCH(COLUMNS($AO$1006:BG1006),$AO$1006:$BQ$1006,0)))),"Fix")))</f>
        <v>#N/A</v>
      </c>
      <c r="U419" s="5" t="e">
        <f ca="1">IF(OR(INDEX($AI$2:$AI$1001,MATCH(ROWS($AH$2:AH419),$AH$2:$AH$1001,0),1)&gt;=100000,INDEX($AO$1005:$BQ$1005,1,MATCH(COLUMNS($AO$1006:BH1006),$AO$1006:$BQ$1006,0))&gt;=100000), " ",IF(INDEX($AO$2:$BQ$1001,MATCH(ROWS($AH$2:AH419),$AH$2:$AH$1001,0),MATCH(COLUMNS($AO$1006:BH1006),$AO$1006:$BQ$1006,0)), HYPERLINK("#",""), HYPERLINK(CONCATENATE("#Metadata!", ADDRESS(INDEX($AJ$2:$AJ$1001,MATCH(ROWS($AH$2:AH419),$AH$2:$AH$1001,0),0), INDEX($AO$1004:$BQ$1004,1,MATCH(COLUMNS($AO$1006:BH1006),$AO$1006:$BQ$1006,0)))),"Fix")))</f>
        <v>#N/A</v>
      </c>
      <c r="V419" s="5" t="e">
        <f ca="1">IF(OR(INDEX($AI$2:$AI$1001,MATCH(ROWS($AH$2:AH419),$AH$2:$AH$1001,0),1)&gt;=100000,INDEX($AO$1005:$BQ$1005,1,MATCH(COLUMNS($AO$1006:BI1006),$AO$1006:$BQ$1006,0))&gt;=100000), " ",IF(INDEX($AO$2:$BQ$1001,MATCH(ROWS($AH$2:AH419),$AH$2:$AH$1001,0),MATCH(COLUMNS($AO$1006:BI1006),$AO$1006:$BQ$1006,0)), HYPERLINK("#",""), HYPERLINK(CONCATENATE("#Metadata!", ADDRESS(INDEX($AJ$2:$AJ$1001,MATCH(ROWS($AH$2:AH419),$AH$2:$AH$1001,0),0), INDEX($AO$1004:$BQ$1004,1,MATCH(COLUMNS($AO$1006:BI1006),$AO$1006:$BQ$1006,0)))),"Fix")))</f>
        <v>#N/A</v>
      </c>
      <c r="W419" s="5" t="e">
        <f ca="1">IF(OR(INDEX($AI$2:$AI$1001,MATCH(ROWS($AH$2:AH419),$AH$2:$AH$1001,0),1)&gt;=100000,INDEX($AO$1005:$BQ$1005,1,MATCH(COLUMNS($AO$1006:BJ1006),$AO$1006:$BQ$1006,0))&gt;=100000), " ",IF(INDEX($AO$2:$BQ$1001,MATCH(ROWS($AH$2:AH419),$AH$2:$AH$1001,0),MATCH(COLUMNS($AO$1006:BJ1006),$AO$1006:$BQ$1006,0)), HYPERLINK("#",""), HYPERLINK(CONCATENATE("#Metadata!", ADDRESS(INDEX($AJ$2:$AJ$1001,MATCH(ROWS($AH$2:AH419),$AH$2:$AH$1001,0),0), INDEX($AO$1004:$BQ$1004,1,MATCH(COLUMNS($AO$1006:BJ1006),$AO$1006:$BQ$1006,0)))),"Fix")))</f>
        <v>#N/A</v>
      </c>
      <c r="X419" s="5" t="e">
        <f ca="1">IF(OR(INDEX($AI$2:$AI$1001,MATCH(ROWS($AH$2:AH419),$AH$2:$AH$1001,0),1)&gt;=100000,INDEX($AO$1005:$BQ$1005,1,MATCH(COLUMNS($AO$1006:BK1006),$AO$1006:$BQ$1006,0))&gt;=100000), " ",IF(INDEX($AO$2:$BQ$1001,MATCH(ROWS($AH$2:AH419),$AH$2:$AH$1001,0),MATCH(COLUMNS($AO$1006:BK1006),$AO$1006:$BQ$1006,0)), HYPERLINK("#",""), HYPERLINK(CONCATENATE("#Metadata!", ADDRESS(INDEX($AJ$2:$AJ$1001,MATCH(ROWS($AH$2:AH419),$AH$2:$AH$1001,0),0), INDEX($AO$1004:$BQ$1004,1,MATCH(COLUMNS($AO$1006:BK1006),$AO$1006:$BQ$1006,0)))),"Fix")))</f>
        <v>#N/A</v>
      </c>
      <c r="Y419" s="5" t="e">
        <f ca="1">IF(OR(INDEX($AI$2:$AI$1001,MATCH(ROWS($AH$2:AH419),$AH$2:$AH$1001,0),1)&gt;=100000,INDEX($AO$1005:$BQ$1005,1,MATCH(COLUMNS($AO$1006:BL1006),$AO$1006:$BQ$1006,0))&gt;=100000), " ",IF(INDEX($AO$2:$BQ$1001,MATCH(ROWS($AH$2:AH419),$AH$2:$AH$1001,0),MATCH(COLUMNS($AO$1006:BL1006),$AO$1006:$BQ$1006,0)), HYPERLINK("#",""), HYPERLINK(CONCATENATE("#Metadata!", ADDRESS(INDEX($AJ$2:$AJ$1001,MATCH(ROWS($AH$2:AH419),$AH$2:$AH$1001,0),0), INDEX($AO$1004:$BQ$1004,1,MATCH(COLUMNS($AO$1006:BL1006),$AO$1006:$BQ$1006,0)))),"Fix")))</f>
        <v>#N/A</v>
      </c>
      <c r="Z419" s="5" t="e">
        <f ca="1">IF(OR(INDEX($AI$2:$AI$1001,MATCH(ROWS($AH$2:AH419),$AH$2:$AH$1001,0),1)&gt;=100000,INDEX($AO$1005:$BQ$1005,1,MATCH(COLUMNS($AO$1006:BM1006),$AO$1006:$BQ$1006,0))&gt;=100000), " ",IF(INDEX($AO$2:$BQ$1001,MATCH(ROWS($AH$2:AH419),$AH$2:$AH$1001,0),MATCH(COLUMNS($AO$1006:BM1006),$AO$1006:$BQ$1006,0)), HYPERLINK("#",""), HYPERLINK(CONCATENATE("#Metadata!", ADDRESS(INDEX($AJ$2:$AJ$1001,MATCH(ROWS($AH$2:AH419),$AH$2:$AH$1001,0),0), INDEX($AO$1004:$BQ$1004,1,MATCH(COLUMNS($AO$1006:BM1006),$AO$1006:$BQ$1006,0)))),"Fix")))</f>
        <v>#N/A</v>
      </c>
      <c r="AA419" s="5" t="e">
        <f ca="1">IF(OR(INDEX($AI$2:$AI$1001,MATCH(ROWS($AH$2:AH419),$AH$2:$AH$1001,0),1)&gt;=100000,INDEX($AO$1005:$BQ$1005,1,MATCH(COLUMNS($AO$1006:BN1006),$AO$1006:$BQ$1006,0))&gt;=100000), " ",IF(INDEX($AO$2:$BQ$1001,MATCH(ROWS($AH$2:AH419),$AH$2:$AH$1001,0),MATCH(COLUMNS($AO$1006:BN1006),$AO$1006:$BQ$1006,0)), HYPERLINK("#",""), HYPERLINK(CONCATENATE("#Metadata!", ADDRESS(INDEX($AJ$2:$AJ$1001,MATCH(ROWS($AH$2:AH419),$AH$2:$AH$1001,0),0), INDEX($AO$1004:$BQ$1004,1,MATCH(COLUMNS($AO$1006:BN1006),$AO$1006:$BQ$1006,0)))),"Fix")))</f>
        <v>#N/A</v>
      </c>
      <c r="AB419" s="5" t="e">
        <f ca="1">IF(OR(INDEX($AI$2:$AI$1001,MATCH(ROWS($AH$2:AH419),$AH$2:$AH$1001,0),1)&gt;=100000,INDEX($AO$1005:$BQ$1005,1,MATCH(COLUMNS($AO$1006:BO1006),$AO$1006:$BQ$1006,0))&gt;=100000), " ",IF(INDEX($AO$2:$BQ$1001,MATCH(ROWS($AH$2:AH419),$AH$2:$AH$1001,0),MATCH(COLUMNS($AO$1006:BO1006),$AO$1006:$BQ$1006,0)), HYPERLINK("#",""), HYPERLINK(CONCATENATE("#Metadata!", ADDRESS(INDEX($AJ$2:$AJ$1001,MATCH(ROWS($AH$2:AH419),$AH$2:$AH$1001,0),0), INDEX($AO$1004:$BQ$1004,1,MATCH(COLUMNS($AO$1006:BO1006),$AO$1006:$BQ$1006,0)))),"Fix")))</f>
        <v>#N/A</v>
      </c>
      <c r="AC419" s="5" t="e">
        <f ca="1">IF(OR(INDEX($AI$2:$AI$1001,MATCH(ROWS($AH$2:AH419),$AH$2:$AH$1001,0),1)&gt;=100000,INDEX($AO$1005:$BQ$1005,1,MATCH(COLUMNS($AO$1006:BP1006),$AO$1006:$BQ$1006,0))&gt;=100000), " ",IF(INDEX($AO$2:$BQ$1001,MATCH(ROWS($AH$2:AH419),$AH$2:$AH$1001,0),MATCH(COLUMNS($AO$1006:BP1006),$AO$1006:$BQ$1006,0)), HYPERLINK("#",""), HYPERLINK(CONCATENATE("#Metadata!", ADDRESS(INDEX($AJ$2:$AJ$1001,MATCH(ROWS($AH$2:AH419),$AH$2:$AH$1001,0),0), INDEX($AO$1004:$BQ$1004,1,MATCH(COLUMNS($AO$1006:BP1006),$AO$1006:$BQ$1006,0)))),"Fix")))</f>
        <v>#N/A</v>
      </c>
      <c r="AD419" s="5" t="e">
        <f ca="1">IF(OR(INDEX($AI$2:$AI$1001,MATCH(ROWS($AH$2:AH419),$AH$2:$AH$1001,0),1)&gt;=100000,INDEX($AO$1005:$BQ$1005,1,MATCH(COLUMNS($AO$1006:BQ1006),$AO$1006:$BQ$1006,0))&gt;=100000), " ",IF(INDEX($AO$2:$BQ$1001,MATCH(ROWS($AH$2:AH419),$AH$2:$AH$1001,0),MATCH(COLUMNS($AO$1006:BQ1006),$AO$1006:$BQ$1006,0)), HYPERLINK("#",""), HYPERLINK(CONCATENATE("#Metadata!", ADDRESS(INDEX($AJ$2:$AJ$1001,MATCH(ROWS($AH$2:AH419),$AH$2:$AH$1001,0),0), INDEX($AO$1004:$BQ$1004,1,MATCH(COLUMNS($AO$1006:BQ1006),$AO$1006:$BQ$1006,0)))),"Fix")))</f>
        <v>#REF!</v>
      </c>
      <c r="AH419">
        <f ca="1"/>
        <v>416</v>
      </c>
      <c r="AI419">
        <v>100419</v>
      </c>
      <c r="AJ419">
        <v>419</v>
      </c>
      <c r="AK419" t="b">
        <f t="shared" si="6"/>
        <v>1</v>
      </c>
      <c r="AL419" t="b">
        <f>COUNTBLANK(Metadata!B419:AD419)=COLUMNS(Metadata!B419:AD419)</f>
        <v>1</v>
      </c>
      <c r="AM419" t="str">
        <v/>
      </c>
      <c r="AO419" t="b">
        <f ca="1">AND(IF(Metadata!B419="",FALSE,TRUE),COUNTIF(Metadata!B:B, Metadata!B419) = 1,NOT(ISERROR(SUMPRODUCT(SEARCH(MID(Metadata!B419,ROW(INDIRECT("1:"&amp;LEN(Metadata!B419))), 1),"0123456789abcdefghijklmnopqrstuvwxyzABCDEFGHIJKLMNOPQRSTUVWXYZ.")))))</f>
        <v>0</v>
      </c>
      <c r="AP419" t="b">
        <f>IF(Metadata!C419="",FALSE,TRUE)</f>
        <v>0</v>
      </c>
      <c r="AQ419" t="b">
        <f>IF(Metadata!D419="",FALSE,TRUE)</f>
        <v>0</v>
      </c>
      <c r="AR419" t="b">
        <f ca="1">OR(AND(IF(Metadata!E419="",FALSE,TRUE),OR(EXACT(Metadata!E419,"not collected"),EXACT(Metadata!E419,"not provided"),EXACT(Metadata!E419,"restricted access"))),AND(IF(Metadata!E419="",FALSE,TRUE),AND(AND(IFERROR(INT(LEFT(Metadata!E419,4))&gt;1900,FALSE),IFERROR(INT(LEFT(Metadata!E419,4))&lt;=YEAR(NOW()),FALSE)), OR(MID(Metadata!E419,5,1)="", AND(AND(MID(Metadata!E419,5,1)="-",IFERROR(INT(MID(Metadata!E419,6,1))&gt;=0,FALSE),IFERROR(INT(MID(Metadata!E419,6,1))&lt;=1,FALSE),NOT(MID(Metadata!E419,7,1)=""),IFERROR(INT(MID(Metadata!E419,6,2))&gt;=1,FALSE),IFERROR(INT(MID(Metadata!E419,6,2))&lt;=12,FALSE)), OR(MID(Metadata!E419,8,1)="", AND(AND(MID(Metadata!E419,8,1)="-",IFERROR(INT(MID(Metadata!E419,9,1))&gt;=0,FALSE),IFERROR(INT(MID(Metadata!E419,9,1))&lt;=3,FALSE),NOT(MID(Metadata!E419,10,1)=""),IFERROR(INT(MID(Metadata!E419,9,2))&gt;=1,FALSE),IFERROR(INT(MID(Metadata!E419,9,2))&lt;=31,FALSE)), OR(MID(Metadata!E419,11,1)="", AND(AND(MID(Metadata!E419,11,1)=" ",IFERROR(INT(MID(Metadata!E419,12,1))&gt;=0,FALSE),IFERROR(INT(MID(Metadata!E419,12,1))&lt;=2,FALSE),NOT(MID(Metadata!E419,13,1)=""),IFERROR(INT(MID(Metadata!E419,12,2))&gt;=0,FALSE),IFERROR(INT(MID(Metadata!E419,12,2))&lt;=23,FALSE)), OR(MID(Metadata!E419,14,1)="", AND(AND(MID(Metadata!E419,14,1)=":",IFERROR(INT(MID(Metadata!E419,15,1))&gt;=0,FALSE),IFERROR(INT(MID(Metadata!E419,15,1))&lt;=5,FALSE),NOT(MID(Metadata!E419,16,1)=""),IFERROR(INT(MID(Metadata!E419,15,2))&gt;=0,FALSE),IFERROR(INT(MID(Metadata!E419,15,2))&lt;=59,FALSE)), OR(MID(Metadata!E419,17,1)="", AND(AND(MID(Metadata!E419,17,1)=":",IFERROR(INT(MID(Metadata!E419,18,1))&gt;=0,FALSE),IFERROR(INT(MID(Metadata!E419,18,1))&lt;=5,FALSE),NOT(MID(Metadata!E419,19,1)=""),IFERROR(INT(MID(Metadata!E419,18,2))&gt;=0,FALSE),IFERROR(INT(MID(Metadata!E419,18,2))&lt;=59,FALSE)), LEN(Metadata!E419)&lt;=19)))))))))))))</f>
        <v>0</v>
      </c>
      <c r="AS419" t="b">
        <f>IF(Metadata!F419="",FALSE,TRUE)</f>
        <v>0</v>
      </c>
      <c r="AT419" t="b">
        <f>OR(AND(IF(Metadata!G419="",FALSE,TRUE),OR(EXACT(Metadata!G419,"not collected"),EXACT(Metadata!G419,"not provided"))),AND(IF(Metadata!G419="",FALSE,TRUE),OR(EXACT(Metadata!G419,"TRUE"),EXACT(Metadata!G419,"FALSE"))))</f>
        <v>0</v>
      </c>
      <c r="AU419" t="b">
        <f>OR(AND(IF(Metadata!H419="",FALSE,TRUE),OR(EXACT(Metadata!H419,"not collected"),EXACT(Metadata!H419,"not provided"),EXACT(Metadata!H419,"restricted access"))),AND(IF(Metadata!H419="",FALSE,ISNUMBER(VALUE(Metadata!H419))),Metadata!H419&gt;=-413))</f>
        <v>0</v>
      </c>
      <c r="AV419" t="b">
        <f>AND(IF(Metadata!I419="",FALSE,TRUE),EXACT(Metadata!I419,"meters"))</f>
        <v>0</v>
      </c>
      <c r="AW419" t="b">
        <f>AND(IF(Metadata!J419="",FALSE,TRUE),EXACT(Metadata!J419,"free-living"))</f>
        <v>0</v>
      </c>
      <c r="AX419" t="b">
        <f>AND(IF(Metadata!K419="",FALSE,TRUE),OR(EXACT(Metadata!K419,"saline"),EXACT(Metadata!K419,"non-saline")))</f>
        <v>0</v>
      </c>
      <c r="AY419" t="b">
        <f>AND(IF(Metadata!L419="",FALSE,TRUE),OR(EXACT(Metadata!L419,"sub-surface (non-saline)"),EXACT(Metadata!L419,"surface (non-saline)"),EXACT(Metadata!L419,"water (non-saline)"),EXACT(Metadata!L419,"soil (non-saline)"),EXACT(Metadata!L419,"aerosol (non-saline)"),EXACT(Metadata!L419,"sediment (non-saline)"),EXACT(Metadata!L419,"surface (saline)"),EXACT(Metadata!L419,"water (saline)"),EXACT(Metadata!L419,"hypersaline (saline)"),EXACT(Metadata!L419,"aerosol (saline)"),EXACT(Metadata!L419,"sediment (saline)")))</f>
        <v>0</v>
      </c>
      <c r="AZ419" t="b">
        <f>IF(Metadata!M419="",FALSE,TRUE)</f>
        <v>0</v>
      </c>
      <c r="BA419" t="b">
        <f>IF(Metadata!N419="",FALSE,TRUE)</f>
        <v>0</v>
      </c>
      <c r="BB419" t="b">
        <f>IF(Metadata!O419="",FALSE,TRUE)</f>
        <v>0</v>
      </c>
      <c r="BC419" t="b">
        <f>AND(IF(Metadata!P419="",FALSE,TRUE),OR(EXACT(Metadata!P419,"air"),EXACT(Metadata!P419,"microbial mat/biofilm"),EXACT(Metadata!P419,"misc environment"),EXACT(Metadata!P419,"sediment"),EXACT(Metadata!P419,"soil"),EXACT(Metadata!P419,"wastewater/sludge"),EXACT(Metadata!P419,"water")))</f>
        <v>0</v>
      </c>
      <c r="BD419" t="b">
        <f>IF(Metadata!Q419="",FALSE,TRUE)</f>
        <v>0</v>
      </c>
      <c r="BE419" t="b">
        <f>IF(Metadata!R419="",FALSE,TRUE)</f>
        <v>0</v>
      </c>
      <c r="BF419" t="b">
        <f>OR(AND(IF(Metadata!S419="",FALSE,TRUE),OR(EXACT(Metadata!S419,"not collected"),EXACT(Metadata!S419,"not provided"),EXACT(Metadata!S419,"restricted access"))),AND(IF(Metadata!S419="",FALSE,ISNUMBER(VALUE(Metadata!S419))),Metadata!S419&gt;=-90,Metadata!S419&lt;=90))</f>
        <v>0</v>
      </c>
      <c r="BG419" t="b">
        <f>AND(IF(Metadata!T419="",FALSE,TRUE),EXACT(Metadata!T419,"Decimal degrees"))</f>
        <v>0</v>
      </c>
      <c r="BH419" t="b">
        <f>OR(AND(IF(Metadata!U419="",FALSE,TRUE),OR(EXACT(Metadata!U419,"not applicable"),EXACT(Metadata!U419,"not collected"))),IF(Metadata!U419="",FALSE,TRUE))</f>
        <v>0</v>
      </c>
      <c r="BI419" t="b">
        <f>OR(AND(IF(Metadata!V419="",FALSE,TRUE),OR(EXACT(Metadata!V419,"not collected"),EXACT(Metadata!V419,"not provided"),EXACT(Metadata!V419,"restricted access"))),AND(IF(Metadata!V419="",FALSE,ISNUMBER(VALUE(Metadata!V419))),Metadata!V419&gt;=-180,Metadata!V419&lt;=180))</f>
        <v>0</v>
      </c>
      <c r="BJ419" t="b">
        <f>AND(IF(Metadata!W419="",FALSE,TRUE),EXACT(Metadata!W419,"Decimal degrees"))</f>
        <v>0</v>
      </c>
      <c r="BK419" t="b">
        <f>IF(Metadata!X419="",FALSE,TRUE)</f>
        <v>0</v>
      </c>
      <c r="BL419" t="b">
        <f>OR(AND(IF(Metadata!Y419="",FALSE,TRUE),OR(EXACT(Metadata!Y419,"not collected"),EXACT(Metadata!Y419,"not provided"),EXACT(Metadata!Y419,"restricted access"))),AND(IF(Metadata!Y419="",FALSE,TRUE),OR(EXACT(Metadata!Y419,"TRUE"),EXACT(Metadata!Y419,"FALSE"))))</f>
        <v>0</v>
      </c>
      <c r="BM419" t="b">
        <f>OR(AND(IF(Metadata!Z419="",FALSE,TRUE),EXACT(Metadata!Z419,"not applicable")),AND(IF(Metadata!Z419="",FALSE,TRUE),OR(EXACT(Metadata!Z419,"beer"),EXACT(Metadata!Z419,"cheese"),EXACT(Metadata!Z419,"fresh water"),EXACT(Metadata!Z419,"marine sediment"),EXACT(Metadata!Z419,"sea water"),EXACT(Metadata!Z419,"sediment"),EXACT(Metadata!Z419,"soil"),EXACT(Metadata!Z419,"waste water"))))</f>
        <v>0</v>
      </c>
      <c r="BN419" t="b">
        <f>AND(IF(Metadata!AA419="",FALSE,TRUE),EXACT(Metadata!AA419,"metagenome"))</f>
        <v>0</v>
      </c>
      <c r="BO419" t="b">
        <f>AND(IF(Metadata!AB419="",FALSE,TRUE),EXACT(Metadata!AB419,"256318"))</f>
        <v>0</v>
      </c>
      <c r="BP419" t="b">
        <f>IF(Metadata!AC419="",FALSE,TRUE)</f>
        <v>0</v>
      </c>
      <c r="BQ419" t="b">
        <f>IF(Metadata!AD419="",FALSE,TRUE)</f>
        <v>0</v>
      </c>
    </row>
    <row r="420" spans="1:69" x14ac:dyDescent="0.2">
      <c r="A420" s="4" t="e">
        <f ca="1">IF(B420=" "," ",HYPERLINK(CONCATENATE("#metadata!",ADDRESS(INDEX($AJ$2:$AJ$1001,MATCH(ROWS($AH$2:AH420),$AH$2:$AH$1001,0),0),2)),INDEX($AM$2:$AM$1001,MATCH(ROWS($AH$2:AH420),$AH$2:$AH$1001,0),0)))</f>
        <v>#N/A</v>
      </c>
      <c r="B420" s="5" t="e">
        <f ca="1">IF(OR(INDEX($AI$2:$AI$1001,MATCH(ROWS($AH$2:AH420),$AH$2:$AH$1001,0),1)&gt;=100000,INDEX($AO$1005:$BQ$1005,1,MATCH(COLUMNS($AO$1006:AO1006),$AO$1006:$BQ$1006,0))&gt;=100000), " ",IF(INDEX($AO$2:$BQ$1001,MATCH(ROWS($AH$2:AH420),$AH$2:$AH$1001,0),MATCH(COLUMNS($AO$1006:AO1006),$AO$1006:$BQ$1006,0)), HYPERLINK("#",""), HYPERLINK(CONCATENATE("#Metadata!", ADDRESS(INDEX($AJ$2:$AJ$1001,MATCH(ROWS($AH$2:AH420),$AH$2:$AH$1001,0),0), INDEX($AO$1004:$BQ$1004,1,MATCH(COLUMNS($AO$1006:AO1006),$AO$1006:$BQ$1006,0)))),"Fix")))</f>
        <v>#N/A</v>
      </c>
      <c r="C420" s="5" t="e">
        <f ca="1">IF(OR(INDEX($AI$2:$AI$1001,MATCH(ROWS($AH$2:AH420),$AH$2:$AH$1001,0),1)&gt;=100000,INDEX($AO$1005:$BQ$1005,1,MATCH(COLUMNS($AO$1006:AP1006),$AO$1006:$BQ$1006,0))&gt;=100000), " ",IF(INDEX($AO$2:$BQ$1001,MATCH(ROWS($AH$2:AH420),$AH$2:$AH$1001,0),MATCH(COLUMNS($AO$1006:AP1006),$AO$1006:$BQ$1006,0)), HYPERLINK("#",""), HYPERLINK(CONCATENATE("#Metadata!", ADDRESS(INDEX($AJ$2:$AJ$1001,MATCH(ROWS($AH$2:AH420),$AH$2:$AH$1001,0),0), INDEX($AO$1004:$BQ$1004,1,MATCH(COLUMNS($AO$1006:AP1006),$AO$1006:$BQ$1006,0)))),"Fix")))</f>
        <v>#N/A</v>
      </c>
      <c r="D420" s="5" t="e">
        <f ca="1">IF(OR(INDEX($AI$2:$AI$1001,MATCH(ROWS($AH$2:AH420),$AH$2:$AH$1001,0),1)&gt;=100000,INDEX($AO$1005:$BQ$1005,1,MATCH(COLUMNS($AO$1006:AQ1006),$AO$1006:$BQ$1006,0))&gt;=100000), " ",IF(INDEX($AO$2:$BQ$1001,MATCH(ROWS($AH$2:AH420),$AH$2:$AH$1001,0),MATCH(COLUMNS($AO$1006:AQ1006),$AO$1006:$BQ$1006,0)), HYPERLINK("#",""), HYPERLINK(CONCATENATE("#Metadata!", ADDRESS(INDEX($AJ$2:$AJ$1001,MATCH(ROWS($AH$2:AH420),$AH$2:$AH$1001,0),0), INDEX($AO$1004:$BQ$1004,1,MATCH(COLUMNS($AO$1006:AQ1006),$AO$1006:$BQ$1006,0)))),"Fix")))</f>
        <v>#N/A</v>
      </c>
      <c r="E420" s="5" t="e">
        <f ca="1">IF(OR(INDEX($AI$2:$AI$1001,MATCH(ROWS($AH$2:AH420),$AH$2:$AH$1001,0),1)&gt;=100000,INDEX($AO$1005:$BQ$1005,1,MATCH(COLUMNS($AO$1006:AR1006),$AO$1006:$BQ$1006,0))&gt;=100000), " ",IF(INDEX($AO$2:$BQ$1001,MATCH(ROWS($AH$2:AH420),$AH$2:$AH$1001,0),MATCH(COLUMNS($AO$1006:AR1006),$AO$1006:$BQ$1006,0)), HYPERLINK("#",""), HYPERLINK(CONCATENATE("#Metadata!", ADDRESS(INDEX($AJ$2:$AJ$1001,MATCH(ROWS($AH$2:AH420),$AH$2:$AH$1001,0),0), INDEX($AO$1004:$BQ$1004,1,MATCH(COLUMNS($AO$1006:AR1006),$AO$1006:$BQ$1006,0)))),"Fix")))</f>
        <v>#N/A</v>
      </c>
      <c r="F420" s="5" t="e">
        <f ca="1">IF(OR(INDEX($AI$2:$AI$1001,MATCH(ROWS($AH$2:AH420),$AH$2:$AH$1001,0),1)&gt;=100000,INDEX($AO$1005:$BQ$1005,1,MATCH(COLUMNS($AO$1006:AS1006),$AO$1006:$BQ$1006,0))&gt;=100000), " ",IF(INDEX($AO$2:$BQ$1001,MATCH(ROWS($AH$2:AH420),$AH$2:$AH$1001,0),MATCH(COLUMNS($AO$1006:AS1006),$AO$1006:$BQ$1006,0)), HYPERLINK("#",""), HYPERLINK(CONCATENATE("#Metadata!", ADDRESS(INDEX($AJ$2:$AJ$1001,MATCH(ROWS($AH$2:AH420),$AH$2:$AH$1001,0),0), INDEX($AO$1004:$BQ$1004,1,MATCH(COLUMNS($AO$1006:AS1006),$AO$1006:$BQ$1006,0)))),"Fix")))</f>
        <v>#N/A</v>
      </c>
      <c r="G420" s="5" t="e">
        <f ca="1">IF(OR(INDEX($AI$2:$AI$1001,MATCH(ROWS($AH$2:AH420),$AH$2:$AH$1001,0),1)&gt;=100000,INDEX($AO$1005:$BQ$1005,1,MATCH(COLUMNS($AO$1006:AT1006),$AO$1006:$BQ$1006,0))&gt;=100000), " ",IF(INDEX($AO$2:$BQ$1001,MATCH(ROWS($AH$2:AH420),$AH$2:$AH$1001,0),MATCH(COLUMNS($AO$1006:AT1006),$AO$1006:$BQ$1006,0)), HYPERLINK("#",""), HYPERLINK(CONCATENATE("#Metadata!", ADDRESS(INDEX($AJ$2:$AJ$1001,MATCH(ROWS($AH$2:AH420),$AH$2:$AH$1001,0),0), INDEX($AO$1004:$BQ$1004,1,MATCH(COLUMNS($AO$1006:AT1006),$AO$1006:$BQ$1006,0)))),"Fix")))</f>
        <v>#N/A</v>
      </c>
      <c r="H420" s="5" t="e">
        <f ca="1">IF(OR(INDEX($AI$2:$AI$1001,MATCH(ROWS($AH$2:AH420),$AH$2:$AH$1001,0),1)&gt;=100000,INDEX($AO$1005:$BQ$1005,1,MATCH(COLUMNS($AO$1006:AU1006),$AO$1006:$BQ$1006,0))&gt;=100000), " ",IF(INDEX($AO$2:$BQ$1001,MATCH(ROWS($AH$2:AH420),$AH$2:$AH$1001,0),MATCH(COLUMNS($AO$1006:AU1006),$AO$1006:$BQ$1006,0)), HYPERLINK("#",""), HYPERLINK(CONCATENATE("#Metadata!", ADDRESS(INDEX($AJ$2:$AJ$1001,MATCH(ROWS($AH$2:AH420),$AH$2:$AH$1001,0),0), INDEX($AO$1004:$BQ$1004,1,MATCH(COLUMNS($AO$1006:AU1006),$AO$1006:$BQ$1006,0)))),"Fix")))</f>
        <v>#N/A</v>
      </c>
      <c r="I420" s="5" t="e">
        <f ca="1">IF(OR(INDEX($AI$2:$AI$1001,MATCH(ROWS($AH$2:AH420),$AH$2:$AH$1001,0),1)&gt;=100000,INDEX($AO$1005:$BQ$1005,1,MATCH(COLUMNS($AO$1006:AV1006),$AO$1006:$BQ$1006,0))&gt;=100000), " ",IF(INDEX($AO$2:$BQ$1001,MATCH(ROWS($AH$2:AH420),$AH$2:$AH$1001,0),MATCH(COLUMNS($AO$1006:AV1006),$AO$1006:$BQ$1006,0)), HYPERLINK("#",""), HYPERLINK(CONCATENATE("#Metadata!", ADDRESS(INDEX($AJ$2:$AJ$1001,MATCH(ROWS($AH$2:AH420),$AH$2:$AH$1001,0),0), INDEX($AO$1004:$BQ$1004,1,MATCH(COLUMNS($AO$1006:AV1006),$AO$1006:$BQ$1006,0)))),"Fix")))</f>
        <v>#N/A</v>
      </c>
      <c r="J420" s="5" t="e">
        <f ca="1">IF(OR(INDEX($AI$2:$AI$1001,MATCH(ROWS($AH$2:AH420),$AH$2:$AH$1001,0),1)&gt;=100000,INDEX($AO$1005:$BQ$1005,1,MATCH(COLUMNS($AO$1006:AW1006),$AO$1006:$BQ$1006,0))&gt;=100000), " ",IF(INDEX($AO$2:$BQ$1001,MATCH(ROWS($AH$2:AH420),$AH$2:$AH$1001,0),MATCH(COLUMNS($AO$1006:AW1006),$AO$1006:$BQ$1006,0)), HYPERLINK("#",""), HYPERLINK(CONCATENATE("#Metadata!", ADDRESS(INDEX($AJ$2:$AJ$1001,MATCH(ROWS($AH$2:AH420),$AH$2:$AH$1001,0),0), INDEX($AO$1004:$BQ$1004,1,MATCH(COLUMNS($AO$1006:AW1006),$AO$1006:$BQ$1006,0)))),"Fix")))</f>
        <v>#N/A</v>
      </c>
      <c r="K420" s="5" t="e">
        <f ca="1">IF(OR(INDEX($AI$2:$AI$1001,MATCH(ROWS($AH$2:AH420),$AH$2:$AH$1001,0),1)&gt;=100000,INDEX($AO$1005:$BQ$1005,1,MATCH(COLUMNS($AO$1006:AX1006),$AO$1006:$BQ$1006,0))&gt;=100000), " ",IF(INDEX($AO$2:$BQ$1001,MATCH(ROWS($AH$2:AH420),$AH$2:$AH$1001,0),MATCH(COLUMNS($AO$1006:AX1006),$AO$1006:$BQ$1006,0)), HYPERLINK("#",""), HYPERLINK(CONCATENATE("#Metadata!", ADDRESS(INDEX($AJ$2:$AJ$1001,MATCH(ROWS($AH$2:AH420),$AH$2:$AH$1001,0),0), INDEX($AO$1004:$BQ$1004,1,MATCH(COLUMNS($AO$1006:AX1006),$AO$1006:$BQ$1006,0)))),"Fix")))</f>
        <v>#N/A</v>
      </c>
      <c r="L420" s="5" t="e">
        <f ca="1">IF(OR(INDEX($AI$2:$AI$1001,MATCH(ROWS($AH$2:AH420),$AH$2:$AH$1001,0),1)&gt;=100000,INDEX($AO$1005:$BQ$1005,1,MATCH(COLUMNS($AO$1006:AY1006),$AO$1006:$BQ$1006,0))&gt;=100000), " ",IF(INDEX($AO$2:$BQ$1001,MATCH(ROWS($AH$2:AH420),$AH$2:$AH$1001,0),MATCH(COLUMNS($AO$1006:AY1006),$AO$1006:$BQ$1006,0)), HYPERLINK("#",""), HYPERLINK(CONCATENATE("#Metadata!", ADDRESS(INDEX($AJ$2:$AJ$1001,MATCH(ROWS($AH$2:AH420),$AH$2:$AH$1001,0),0), INDEX($AO$1004:$BQ$1004,1,MATCH(COLUMNS($AO$1006:AY1006),$AO$1006:$BQ$1006,0)))),"Fix")))</f>
        <v>#N/A</v>
      </c>
      <c r="M420" s="5" t="e">
        <f ca="1">IF(OR(INDEX($AI$2:$AI$1001,MATCH(ROWS($AH$2:AH420),$AH$2:$AH$1001,0),1)&gt;=100000,INDEX($AO$1005:$BQ$1005,1,MATCH(COLUMNS($AO$1006:AZ1006),$AO$1006:$BQ$1006,0))&gt;=100000), " ",IF(INDEX($AO$2:$BQ$1001,MATCH(ROWS($AH$2:AH420),$AH$2:$AH$1001,0),MATCH(COLUMNS($AO$1006:AZ1006),$AO$1006:$BQ$1006,0)), HYPERLINK("#",""), HYPERLINK(CONCATENATE("#Metadata!", ADDRESS(INDEX($AJ$2:$AJ$1001,MATCH(ROWS($AH$2:AH420),$AH$2:$AH$1001,0),0), INDEX($AO$1004:$BQ$1004,1,MATCH(COLUMNS($AO$1006:AZ1006),$AO$1006:$BQ$1006,0)))),"Fix")))</f>
        <v>#N/A</v>
      </c>
      <c r="N420" s="5" t="e">
        <f ca="1">IF(OR(INDEX($AI$2:$AI$1001,MATCH(ROWS($AH$2:AH420),$AH$2:$AH$1001,0),1)&gt;=100000,INDEX($AO$1005:$BQ$1005,1,MATCH(COLUMNS($AO$1006:BA1006),$AO$1006:$BQ$1006,0))&gt;=100000), " ",IF(INDEX($AO$2:$BQ$1001,MATCH(ROWS($AH$2:AH420),$AH$2:$AH$1001,0),MATCH(COLUMNS($AO$1006:BA1006),$AO$1006:$BQ$1006,0)), HYPERLINK("#",""), HYPERLINK(CONCATENATE("#Metadata!", ADDRESS(INDEX($AJ$2:$AJ$1001,MATCH(ROWS($AH$2:AH420),$AH$2:$AH$1001,0),0), INDEX($AO$1004:$BQ$1004,1,MATCH(COLUMNS($AO$1006:BA1006),$AO$1006:$BQ$1006,0)))),"Fix")))</f>
        <v>#N/A</v>
      </c>
      <c r="O420" s="5" t="e">
        <f ca="1">IF(OR(INDEX($AI$2:$AI$1001,MATCH(ROWS($AH$2:AH420),$AH$2:$AH$1001,0),1)&gt;=100000,INDEX($AO$1005:$BQ$1005,1,MATCH(COLUMNS($AO$1006:BB1006),$AO$1006:$BQ$1006,0))&gt;=100000), " ",IF(INDEX($AO$2:$BQ$1001,MATCH(ROWS($AH$2:AH420),$AH$2:$AH$1001,0),MATCH(COLUMNS($AO$1006:BB1006),$AO$1006:$BQ$1006,0)), HYPERLINK("#",""), HYPERLINK(CONCATENATE("#Metadata!", ADDRESS(INDEX($AJ$2:$AJ$1001,MATCH(ROWS($AH$2:AH420),$AH$2:$AH$1001,0),0), INDEX($AO$1004:$BQ$1004,1,MATCH(COLUMNS($AO$1006:BB1006),$AO$1006:$BQ$1006,0)))),"Fix")))</f>
        <v>#N/A</v>
      </c>
      <c r="P420" s="5" t="e">
        <f ca="1">IF(OR(INDEX($AI$2:$AI$1001,MATCH(ROWS($AH$2:AH420),$AH$2:$AH$1001,0),1)&gt;=100000,INDEX($AO$1005:$BQ$1005,1,MATCH(COLUMNS($AO$1006:BC1006),$AO$1006:$BQ$1006,0))&gt;=100000), " ",IF(INDEX($AO$2:$BQ$1001,MATCH(ROWS($AH$2:AH420),$AH$2:$AH$1001,0),MATCH(COLUMNS($AO$1006:BC1006),$AO$1006:$BQ$1006,0)), HYPERLINK("#",""), HYPERLINK(CONCATENATE("#Metadata!", ADDRESS(INDEX($AJ$2:$AJ$1001,MATCH(ROWS($AH$2:AH420),$AH$2:$AH$1001,0),0), INDEX($AO$1004:$BQ$1004,1,MATCH(COLUMNS($AO$1006:BC1006),$AO$1006:$BQ$1006,0)))),"Fix")))</f>
        <v>#N/A</v>
      </c>
      <c r="Q420" s="5" t="e">
        <f ca="1">IF(OR(INDEX($AI$2:$AI$1001,MATCH(ROWS($AH$2:AH420),$AH$2:$AH$1001,0),1)&gt;=100000,INDEX($AO$1005:$BQ$1005,1,MATCH(COLUMNS($AO$1006:BD1006),$AO$1006:$BQ$1006,0))&gt;=100000), " ",IF(INDEX($AO$2:$BQ$1001,MATCH(ROWS($AH$2:AH420),$AH$2:$AH$1001,0),MATCH(COLUMNS($AO$1006:BD1006),$AO$1006:$BQ$1006,0)), HYPERLINK("#",""), HYPERLINK(CONCATENATE("#Metadata!", ADDRESS(INDEX($AJ$2:$AJ$1001,MATCH(ROWS($AH$2:AH420),$AH$2:$AH$1001,0),0), INDEX($AO$1004:$BQ$1004,1,MATCH(COLUMNS($AO$1006:BD1006),$AO$1006:$BQ$1006,0)))),"Fix")))</f>
        <v>#N/A</v>
      </c>
      <c r="R420" s="5" t="e">
        <f ca="1">IF(OR(INDEX($AI$2:$AI$1001,MATCH(ROWS($AH$2:AH420),$AH$2:$AH$1001,0),1)&gt;=100000,INDEX($AO$1005:$BQ$1005,1,MATCH(COLUMNS($AO$1006:BE1006),$AO$1006:$BQ$1006,0))&gt;=100000), " ",IF(INDEX($AO$2:$BQ$1001,MATCH(ROWS($AH$2:AH420),$AH$2:$AH$1001,0),MATCH(COLUMNS($AO$1006:BE1006),$AO$1006:$BQ$1006,0)), HYPERLINK("#",""), HYPERLINK(CONCATENATE("#Metadata!", ADDRESS(INDEX($AJ$2:$AJ$1001,MATCH(ROWS($AH$2:AH420),$AH$2:$AH$1001,0),0), INDEX($AO$1004:$BQ$1004,1,MATCH(COLUMNS($AO$1006:BE1006),$AO$1006:$BQ$1006,0)))),"Fix")))</f>
        <v>#N/A</v>
      </c>
      <c r="S420" s="5" t="e">
        <f ca="1">IF(OR(INDEX($AI$2:$AI$1001,MATCH(ROWS($AH$2:AH420),$AH$2:$AH$1001,0),1)&gt;=100000,INDEX($AO$1005:$BQ$1005,1,MATCH(COLUMNS($AO$1006:BF1006),$AO$1006:$BQ$1006,0))&gt;=100000), " ",IF(INDEX($AO$2:$BQ$1001,MATCH(ROWS($AH$2:AH420),$AH$2:$AH$1001,0),MATCH(COLUMNS($AO$1006:BF1006),$AO$1006:$BQ$1006,0)), HYPERLINK("#",""), HYPERLINK(CONCATENATE("#Metadata!", ADDRESS(INDEX($AJ$2:$AJ$1001,MATCH(ROWS($AH$2:AH420),$AH$2:$AH$1001,0),0), INDEX($AO$1004:$BQ$1004,1,MATCH(COLUMNS($AO$1006:BF1006),$AO$1006:$BQ$1006,0)))),"Fix")))</f>
        <v>#N/A</v>
      </c>
      <c r="T420" s="5" t="e">
        <f ca="1">IF(OR(INDEX($AI$2:$AI$1001,MATCH(ROWS($AH$2:AH420),$AH$2:$AH$1001,0),1)&gt;=100000,INDEX($AO$1005:$BQ$1005,1,MATCH(COLUMNS($AO$1006:BG1006),$AO$1006:$BQ$1006,0))&gt;=100000), " ",IF(INDEX($AO$2:$BQ$1001,MATCH(ROWS($AH$2:AH420),$AH$2:$AH$1001,0),MATCH(COLUMNS($AO$1006:BG1006),$AO$1006:$BQ$1006,0)), HYPERLINK("#",""), HYPERLINK(CONCATENATE("#Metadata!", ADDRESS(INDEX($AJ$2:$AJ$1001,MATCH(ROWS($AH$2:AH420),$AH$2:$AH$1001,0),0), INDEX($AO$1004:$BQ$1004,1,MATCH(COLUMNS($AO$1006:BG1006),$AO$1006:$BQ$1006,0)))),"Fix")))</f>
        <v>#N/A</v>
      </c>
      <c r="U420" s="5" t="e">
        <f ca="1">IF(OR(INDEX($AI$2:$AI$1001,MATCH(ROWS($AH$2:AH420),$AH$2:$AH$1001,0),1)&gt;=100000,INDEX($AO$1005:$BQ$1005,1,MATCH(COLUMNS($AO$1006:BH1006),$AO$1006:$BQ$1006,0))&gt;=100000), " ",IF(INDEX($AO$2:$BQ$1001,MATCH(ROWS($AH$2:AH420),$AH$2:$AH$1001,0),MATCH(COLUMNS($AO$1006:BH1006),$AO$1006:$BQ$1006,0)), HYPERLINK("#",""), HYPERLINK(CONCATENATE("#Metadata!", ADDRESS(INDEX($AJ$2:$AJ$1001,MATCH(ROWS($AH$2:AH420),$AH$2:$AH$1001,0),0), INDEX($AO$1004:$BQ$1004,1,MATCH(COLUMNS($AO$1006:BH1006),$AO$1006:$BQ$1006,0)))),"Fix")))</f>
        <v>#N/A</v>
      </c>
      <c r="V420" s="5" t="e">
        <f ca="1">IF(OR(INDEX($AI$2:$AI$1001,MATCH(ROWS($AH$2:AH420),$AH$2:$AH$1001,0),1)&gt;=100000,INDEX($AO$1005:$BQ$1005,1,MATCH(COLUMNS($AO$1006:BI1006),$AO$1006:$BQ$1006,0))&gt;=100000), " ",IF(INDEX($AO$2:$BQ$1001,MATCH(ROWS($AH$2:AH420),$AH$2:$AH$1001,0),MATCH(COLUMNS($AO$1006:BI1006),$AO$1006:$BQ$1006,0)), HYPERLINK("#",""), HYPERLINK(CONCATENATE("#Metadata!", ADDRESS(INDEX($AJ$2:$AJ$1001,MATCH(ROWS($AH$2:AH420),$AH$2:$AH$1001,0),0), INDEX($AO$1004:$BQ$1004,1,MATCH(COLUMNS($AO$1006:BI1006),$AO$1006:$BQ$1006,0)))),"Fix")))</f>
        <v>#N/A</v>
      </c>
      <c r="W420" s="5" t="e">
        <f ca="1">IF(OR(INDEX($AI$2:$AI$1001,MATCH(ROWS($AH$2:AH420),$AH$2:$AH$1001,0),1)&gt;=100000,INDEX($AO$1005:$BQ$1005,1,MATCH(COLUMNS($AO$1006:BJ1006),$AO$1006:$BQ$1006,0))&gt;=100000), " ",IF(INDEX($AO$2:$BQ$1001,MATCH(ROWS($AH$2:AH420),$AH$2:$AH$1001,0),MATCH(COLUMNS($AO$1006:BJ1006),$AO$1006:$BQ$1006,0)), HYPERLINK("#",""), HYPERLINK(CONCATENATE("#Metadata!", ADDRESS(INDEX($AJ$2:$AJ$1001,MATCH(ROWS($AH$2:AH420),$AH$2:$AH$1001,0),0), INDEX($AO$1004:$BQ$1004,1,MATCH(COLUMNS($AO$1006:BJ1006),$AO$1006:$BQ$1006,0)))),"Fix")))</f>
        <v>#N/A</v>
      </c>
      <c r="X420" s="5" t="e">
        <f ca="1">IF(OR(INDEX($AI$2:$AI$1001,MATCH(ROWS($AH$2:AH420),$AH$2:$AH$1001,0),1)&gt;=100000,INDEX($AO$1005:$BQ$1005,1,MATCH(COLUMNS($AO$1006:BK1006),$AO$1006:$BQ$1006,0))&gt;=100000), " ",IF(INDEX($AO$2:$BQ$1001,MATCH(ROWS($AH$2:AH420),$AH$2:$AH$1001,0),MATCH(COLUMNS($AO$1006:BK1006),$AO$1006:$BQ$1006,0)), HYPERLINK("#",""), HYPERLINK(CONCATENATE("#Metadata!", ADDRESS(INDEX($AJ$2:$AJ$1001,MATCH(ROWS($AH$2:AH420),$AH$2:$AH$1001,0),0), INDEX($AO$1004:$BQ$1004,1,MATCH(COLUMNS($AO$1006:BK1006),$AO$1006:$BQ$1006,0)))),"Fix")))</f>
        <v>#N/A</v>
      </c>
      <c r="Y420" s="5" t="e">
        <f ca="1">IF(OR(INDEX($AI$2:$AI$1001,MATCH(ROWS($AH$2:AH420),$AH$2:$AH$1001,0),1)&gt;=100000,INDEX($AO$1005:$BQ$1005,1,MATCH(COLUMNS($AO$1006:BL1006),$AO$1006:$BQ$1006,0))&gt;=100000), " ",IF(INDEX($AO$2:$BQ$1001,MATCH(ROWS($AH$2:AH420),$AH$2:$AH$1001,0),MATCH(COLUMNS($AO$1006:BL1006),$AO$1006:$BQ$1006,0)), HYPERLINK("#",""), HYPERLINK(CONCATENATE("#Metadata!", ADDRESS(INDEX($AJ$2:$AJ$1001,MATCH(ROWS($AH$2:AH420),$AH$2:$AH$1001,0),0), INDEX($AO$1004:$BQ$1004,1,MATCH(COLUMNS($AO$1006:BL1006),$AO$1006:$BQ$1006,0)))),"Fix")))</f>
        <v>#N/A</v>
      </c>
      <c r="Z420" s="5" t="e">
        <f ca="1">IF(OR(INDEX($AI$2:$AI$1001,MATCH(ROWS($AH$2:AH420),$AH$2:$AH$1001,0),1)&gt;=100000,INDEX($AO$1005:$BQ$1005,1,MATCH(COLUMNS($AO$1006:BM1006),$AO$1006:$BQ$1006,0))&gt;=100000), " ",IF(INDEX($AO$2:$BQ$1001,MATCH(ROWS($AH$2:AH420),$AH$2:$AH$1001,0),MATCH(COLUMNS($AO$1006:BM1006),$AO$1006:$BQ$1006,0)), HYPERLINK("#",""), HYPERLINK(CONCATENATE("#Metadata!", ADDRESS(INDEX($AJ$2:$AJ$1001,MATCH(ROWS($AH$2:AH420),$AH$2:$AH$1001,0),0), INDEX($AO$1004:$BQ$1004,1,MATCH(COLUMNS($AO$1006:BM1006),$AO$1006:$BQ$1006,0)))),"Fix")))</f>
        <v>#N/A</v>
      </c>
      <c r="AA420" s="5" t="e">
        <f ca="1">IF(OR(INDEX($AI$2:$AI$1001,MATCH(ROWS($AH$2:AH420),$AH$2:$AH$1001,0),1)&gt;=100000,INDEX($AO$1005:$BQ$1005,1,MATCH(COLUMNS($AO$1006:BN1006),$AO$1006:$BQ$1006,0))&gt;=100000), " ",IF(INDEX($AO$2:$BQ$1001,MATCH(ROWS($AH$2:AH420),$AH$2:$AH$1001,0),MATCH(COLUMNS($AO$1006:BN1006),$AO$1006:$BQ$1006,0)), HYPERLINK("#",""), HYPERLINK(CONCATENATE("#Metadata!", ADDRESS(INDEX($AJ$2:$AJ$1001,MATCH(ROWS($AH$2:AH420),$AH$2:$AH$1001,0),0), INDEX($AO$1004:$BQ$1004,1,MATCH(COLUMNS($AO$1006:BN1006),$AO$1006:$BQ$1006,0)))),"Fix")))</f>
        <v>#N/A</v>
      </c>
      <c r="AB420" s="5" t="e">
        <f ca="1">IF(OR(INDEX($AI$2:$AI$1001,MATCH(ROWS($AH$2:AH420),$AH$2:$AH$1001,0),1)&gt;=100000,INDEX($AO$1005:$BQ$1005,1,MATCH(COLUMNS($AO$1006:BO1006),$AO$1006:$BQ$1006,0))&gt;=100000), " ",IF(INDEX($AO$2:$BQ$1001,MATCH(ROWS($AH$2:AH420),$AH$2:$AH$1001,0),MATCH(COLUMNS($AO$1006:BO1006),$AO$1006:$BQ$1006,0)), HYPERLINK("#",""), HYPERLINK(CONCATENATE("#Metadata!", ADDRESS(INDEX($AJ$2:$AJ$1001,MATCH(ROWS($AH$2:AH420),$AH$2:$AH$1001,0),0), INDEX($AO$1004:$BQ$1004,1,MATCH(COLUMNS($AO$1006:BO1006),$AO$1006:$BQ$1006,0)))),"Fix")))</f>
        <v>#N/A</v>
      </c>
      <c r="AC420" s="5" t="e">
        <f ca="1">IF(OR(INDEX($AI$2:$AI$1001,MATCH(ROWS($AH$2:AH420),$AH$2:$AH$1001,0),1)&gt;=100000,INDEX($AO$1005:$BQ$1005,1,MATCH(COLUMNS($AO$1006:BP1006),$AO$1006:$BQ$1006,0))&gt;=100000), " ",IF(INDEX($AO$2:$BQ$1001,MATCH(ROWS($AH$2:AH420),$AH$2:$AH$1001,0),MATCH(COLUMNS($AO$1006:BP1006),$AO$1006:$BQ$1006,0)), HYPERLINK("#",""), HYPERLINK(CONCATENATE("#Metadata!", ADDRESS(INDEX($AJ$2:$AJ$1001,MATCH(ROWS($AH$2:AH420),$AH$2:$AH$1001,0),0), INDEX($AO$1004:$BQ$1004,1,MATCH(COLUMNS($AO$1006:BP1006),$AO$1006:$BQ$1006,0)))),"Fix")))</f>
        <v>#N/A</v>
      </c>
      <c r="AD420" s="5" t="e">
        <f ca="1">IF(OR(INDEX($AI$2:$AI$1001,MATCH(ROWS($AH$2:AH420),$AH$2:$AH$1001,0),1)&gt;=100000,INDEX($AO$1005:$BQ$1005,1,MATCH(COLUMNS($AO$1006:BQ1006),$AO$1006:$BQ$1006,0))&gt;=100000), " ",IF(INDEX($AO$2:$BQ$1001,MATCH(ROWS($AH$2:AH420),$AH$2:$AH$1001,0),MATCH(COLUMNS($AO$1006:BQ1006),$AO$1006:$BQ$1006,0)), HYPERLINK("#",""), HYPERLINK(CONCATENATE("#Metadata!", ADDRESS(INDEX($AJ$2:$AJ$1001,MATCH(ROWS($AH$2:AH420),$AH$2:$AH$1001,0),0), INDEX($AO$1004:$BQ$1004,1,MATCH(COLUMNS($AO$1006:BQ1006),$AO$1006:$BQ$1006,0)))),"Fix")))</f>
        <v>#REF!</v>
      </c>
      <c r="AH420">
        <f ca="1"/>
        <v>417</v>
      </c>
      <c r="AI420">
        <v>100420</v>
      </c>
      <c r="AJ420">
        <v>420</v>
      </c>
      <c r="AK420" t="b">
        <f t="shared" si="6"/>
        <v>1</v>
      </c>
      <c r="AL420" t="b">
        <f>COUNTBLANK(Metadata!B420:AD420)=COLUMNS(Metadata!B420:AD420)</f>
        <v>1</v>
      </c>
      <c r="AM420" t="str">
        <v/>
      </c>
      <c r="AO420" t="b">
        <f ca="1">AND(IF(Metadata!B420="",FALSE,TRUE),COUNTIF(Metadata!B:B, Metadata!B420) = 1,NOT(ISERROR(SUMPRODUCT(SEARCH(MID(Metadata!B420,ROW(INDIRECT("1:"&amp;LEN(Metadata!B420))), 1),"0123456789abcdefghijklmnopqrstuvwxyzABCDEFGHIJKLMNOPQRSTUVWXYZ.")))))</f>
        <v>0</v>
      </c>
      <c r="AP420" t="b">
        <f>IF(Metadata!C420="",FALSE,TRUE)</f>
        <v>0</v>
      </c>
      <c r="AQ420" t="b">
        <f>IF(Metadata!D420="",FALSE,TRUE)</f>
        <v>0</v>
      </c>
      <c r="AR420" t="b">
        <f ca="1">OR(AND(IF(Metadata!E420="",FALSE,TRUE),OR(EXACT(Metadata!E420,"not collected"),EXACT(Metadata!E420,"not provided"),EXACT(Metadata!E420,"restricted access"))),AND(IF(Metadata!E420="",FALSE,TRUE),AND(AND(IFERROR(INT(LEFT(Metadata!E420,4))&gt;1900,FALSE),IFERROR(INT(LEFT(Metadata!E420,4))&lt;=YEAR(NOW()),FALSE)), OR(MID(Metadata!E420,5,1)="", AND(AND(MID(Metadata!E420,5,1)="-",IFERROR(INT(MID(Metadata!E420,6,1))&gt;=0,FALSE),IFERROR(INT(MID(Metadata!E420,6,1))&lt;=1,FALSE),NOT(MID(Metadata!E420,7,1)=""),IFERROR(INT(MID(Metadata!E420,6,2))&gt;=1,FALSE),IFERROR(INT(MID(Metadata!E420,6,2))&lt;=12,FALSE)), OR(MID(Metadata!E420,8,1)="", AND(AND(MID(Metadata!E420,8,1)="-",IFERROR(INT(MID(Metadata!E420,9,1))&gt;=0,FALSE),IFERROR(INT(MID(Metadata!E420,9,1))&lt;=3,FALSE),NOT(MID(Metadata!E420,10,1)=""),IFERROR(INT(MID(Metadata!E420,9,2))&gt;=1,FALSE),IFERROR(INT(MID(Metadata!E420,9,2))&lt;=31,FALSE)), OR(MID(Metadata!E420,11,1)="", AND(AND(MID(Metadata!E420,11,1)=" ",IFERROR(INT(MID(Metadata!E420,12,1))&gt;=0,FALSE),IFERROR(INT(MID(Metadata!E420,12,1))&lt;=2,FALSE),NOT(MID(Metadata!E420,13,1)=""),IFERROR(INT(MID(Metadata!E420,12,2))&gt;=0,FALSE),IFERROR(INT(MID(Metadata!E420,12,2))&lt;=23,FALSE)), OR(MID(Metadata!E420,14,1)="", AND(AND(MID(Metadata!E420,14,1)=":",IFERROR(INT(MID(Metadata!E420,15,1))&gt;=0,FALSE),IFERROR(INT(MID(Metadata!E420,15,1))&lt;=5,FALSE),NOT(MID(Metadata!E420,16,1)=""),IFERROR(INT(MID(Metadata!E420,15,2))&gt;=0,FALSE),IFERROR(INT(MID(Metadata!E420,15,2))&lt;=59,FALSE)), OR(MID(Metadata!E420,17,1)="", AND(AND(MID(Metadata!E420,17,1)=":",IFERROR(INT(MID(Metadata!E420,18,1))&gt;=0,FALSE),IFERROR(INT(MID(Metadata!E420,18,1))&lt;=5,FALSE),NOT(MID(Metadata!E420,19,1)=""),IFERROR(INT(MID(Metadata!E420,18,2))&gt;=0,FALSE),IFERROR(INT(MID(Metadata!E420,18,2))&lt;=59,FALSE)), LEN(Metadata!E420)&lt;=19)))))))))))))</f>
        <v>0</v>
      </c>
      <c r="AS420" t="b">
        <f>IF(Metadata!F420="",FALSE,TRUE)</f>
        <v>0</v>
      </c>
      <c r="AT420" t="b">
        <f>OR(AND(IF(Metadata!G420="",FALSE,TRUE),OR(EXACT(Metadata!G420,"not collected"),EXACT(Metadata!G420,"not provided"))),AND(IF(Metadata!G420="",FALSE,TRUE),OR(EXACT(Metadata!G420,"TRUE"),EXACT(Metadata!G420,"FALSE"))))</f>
        <v>0</v>
      </c>
      <c r="AU420" t="b">
        <f>OR(AND(IF(Metadata!H420="",FALSE,TRUE),OR(EXACT(Metadata!H420,"not collected"),EXACT(Metadata!H420,"not provided"),EXACT(Metadata!H420,"restricted access"))),AND(IF(Metadata!H420="",FALSE,ISNUMBER(VALUE(Metadata!H420))),Metadata!H420&gt;=-413))</f>
        <v>0</v>
      </c>
      <c r="AV420" t="b">
        <f>AND(IF(Metadata!I420="",FALSE,TRUE),EXACT(Metadata!I420,"meters"))</f>
        <v>0</v>
      </c>
      <c r="AW420" t="b">
        <f>AND(IF(Metadata!J420="",FALSE,TRUE),EXACT(Metadata!J420,"free-living"))</f>
        <v>0</v>
      </c>
      <c r="AX420" t="b">
        <f>AND(IF(Metadata!K420="",FALSE,TRUE),OR(EXACT(Metadata!K420,"saline"),EXACT(Metadata!K420,"non-saline")))</f>
        <v>0</v>
      </c>
      <c r="AY420" t="b">
        <f>AND(IF(Metadata!L420="",FALSE,TRUE),OR(EXACT(Metadata!L420,"sub-surface (non-saline)"),EXACT(Metadata!L420,"surface (non-saline)"),EXACT(Metadata!L420,"water (non-saline)"),EXACT(Metadata!L420,"soil (non-saline)"),EXACT(Metadata!L420,"aerosol (non-saline)"),EXACT(Metadata!L420,"sediment (non-saline)"),EXACT(Metadata!L420,"surface (saline)"),EXACT(Metadata!L420,"water (saline)"),EXACT(Metadata!L420,"hypersaline (saline)"),EXACT(Metadata!L420,"aerosol (saline)"),EXACT(Metadata!L420,"sediment (saline)")))</f>
        <v>0</v>
      </c>
      <c r="AZ420" t="b">
        <f>IF(Metadata!M420="",FALSE,TRUE)</f>
        <v>0</v>
      </c>
      <c r="BA420" t="b">
        <f>IF(Metadata!N420="",FALSE,TRUE)</f>
        <v>0</v>
      </c>
      <c r="BB420" t="b">
        <f>IF(Metadata!O420="",FALSE,TRUE)</f>
        <v>0</v>
      </c>
      <c r="BC420" t="b">
        <f>AND(IF(Metadata!P420="",FALSE,TRUE),OR(EXACT(Metadata!P420,"air"),EXACT(Metadata!P420,"microbial mat/biofilm"),EXACT(Metadata!P420,"misc environment"),EXACT(Metadata!P420,"sediment"),EXACT(Metadata!P420,"soil"),EXACT(Metadata!P420,"wastewater/sludge"),EXACT(Metadata!P420,"water")))</f>
        <v>0</v>
      </c>
      <c r="BD420" t="b">
        <f>IF(Metadata!Q420="",FALSE,TRUE)</f>
        <v>0</v>
      </c>
      <c r="BE420" t="b">
        <f>IF(Metadata!R420="",FALSE,TRUE)</f>
        <v>0</v>
      </c>
      <c r="BF420" t="b">
        <f>OR(AND(IF(Metadata!S420="",FALSE,TRUE),OR(EXACT(Metadata!S420,"not collected"),EXACT(Metadata!S420,"not provided"),EXACT(Metadata!S420,"restricted access"))),AND(IF(Metadata!S420="",FALSE,ISNUMBER(VALUE(Metadata!S420))),Metadata!S420&gt;=-90,Metadata!S420&lt;=90))</f>
        <v>0</v>
      </c>
      <c r="BG420" t="b">
        <f>AND(IF(Metadata!T420="",FALSE,TRUE),EXACT(Metadata!T420,"Decimal degrees"))</f>
        <v>0</v>
      </c>
      <c r="BH420" t="b">
        <f>OR(AND(IF(Metadata!U420="",FALSE,TRUE),OR(EXACT(Metadata!U420,"not applicable"),EXACT(Metadata!U420,"not collected"))),IF(Metadata!U420="",FALSE,TRUE))</f>
        <v>0</v>
      </c>
      <c r="BI420" t="b">
        <f>OR(AND(IF(Metadata!V420="",FALSE,TRUE),OR(EXACT(Metadata!V420,"not collected"),EXACT(Metadata!V420,"not provided"),EXACT(Metadata!V420,"restricted access"))),AND(IF(Metadata!V420="",FALSE,ISNUMBER(VALUE(Metadata!V420))),Metadata!V420&gt;=-180,Metadata!V420&lt;=180))</f>
        <v>0</v>
      </c>
      <c r="BJ420" t="b">
        <f>AND(IF(Metadata!W420="",FALSE,TRUE),EXACT(Metadata!W420,"Decimal degrees"))</f>
        <v>0</v>
      </c>
      <c r="BK420" t="b">
        <f>IF(Metadata!X420="",FALSE,TRUE)</f>
        <v>0</v>
      </c>
      <c r="BL420" t="b">
        <f>OR(AND(IF(Metadata!Y420="",FALSE,TRUE),OR(EXACT(Metadata!Y420,"not collected"),EXACT(Metadata!Y420,"not provided"),EXACT(Metadata!Y420,"restricted access"))),AND(IF(Metadata!Y420="",FALSE,TRUE),OR(EXACT(Metadata!Y420,"TRUE"),EXACT(Metadata!Y420,"FALSE"))))</f>
        <v>0</v>
      </c>
      <c r="BM420" t="b">
        <f>OR(AND(IF(Metadata!Z420="",FALSE,TRUE),EXACT(Metadata!Z420,"not applicable")),AND(IF(Metadata!Z420="",FALSE,TRUE),OR(EXACT(Metadata!Z420,"beer"),EXACT(Metadata!Z420,"cheese"),EXACT(Metadata!Z420,"fresh water"),EXACT(Metadata!Z420,"marine sediment"),EXACT(Metadata!Z420,"sea water"),EXACT(Metadata!Z420,"sediment"),EXACT(Metadata!Z420,"soil"),EXACT(Metadata!Z420,"waste water"))))</f>
        <v>0</v>
      </c>
      <c r="BN420" t="b">
        <f>AND(IF(Metadata!AA420="",FALSE,TRUE),EXACT(Metadata!AA420,"metagenome"))</f>
        <v>0</v>
      </c>
      <c r="BO420" t="b">
        <f>AND(IF(Metadata!AB420="",FALSE,TRUE),EXACT(Metadata!AB420,"256318"))</f>
        <v>0</v>
      </c>
      <c r="BP420" t="b">
        <f>IF(Metadata!AC420="",FALSE,TRUE)</f>
        <v>0</v>
      </c>
      <c r="BQ420" t="b">
        <f>IF(Metadata!AD420="",FALSE,TRUE)</f>
        <v>0</v>
      </c>
    </row>
    <row r="421" spans="1:69" x14ac:dyDescent="0.2">
      <c r="A421" s="4" t="e">
        <f ca="1">IF(B421=" "," ",HYPERLINK(CONCATENATE("#metadata!",ADDRESS(INDEX($AJ$2:$AJ$1001,MATCH(ROWS($AH$2:AH421),$AH$2:$AH$1001,0),0),2)),INDEX($AM$2:$AM$1001,MATCH(ROWS($AH$2:AH421),$AH$2:$AH$1001,0),0)))</f>
        <v>#N/A</v>
      </c>
      <c r="B421" s="5" t="e">
        <f ca="1">IF(OR(INDEX($AI$2:$AI$1001,MATCH(ROWS($AH$2:AH421),$AH$2:$AH$1001,0),1)&gt;=100000,INDEX($AO$1005:$BQ$1005,1,MATCH(COLUMNS($AO$1006:AO1006),$AO$1006:$BQ$1006,0))&gt;=100000), " ",IF(INDEX($AO$2:$BQ$1001,MATCH(ROWS($AH$2:AH421),$AH$2:$AH$1001,0),MATCH(COLUMNS($AO$1006:AO1006),$AO$1006:$BQ$1006,0)), HYPERLINK("#",""), HYPERLINK(CONCATENATE("#Metadata!", ADDRESS(INDEX($AJ$2:$AJ$1001,MATCH(ROWS($AH$2:AH421),$AH$2:$AH$1001,0),0), INDEX($AO$1004:$BQ$1004,1,MATCH(COLUMNS($AO$1006:AO1006),$AO$1006:$BQ$1006,0)))),"Fix")))</f>
        <v>#N/A</v>
      </c>
      <c r="C421" s="5" t="e">
        <f ca="1">IF(OR(INDEX($AI$2:$AI$1001,MATCH(ROWS($AH$2:AH421),$AH$2:$AH$1001,0),1)&gt;=100000,INDEX($AO$1005:$BQ$1005,1,MATCH(COLUMNS($AO$1006:AP1006),$AO$1006:$BQ$1006,0))&gt;=100000), " ",IF(INDEX($AO$2:$BQ$1001,MATCH(ROWS($AH$2:AH421),$AH$2:$AH$1001,0),MATCH(COLUMNS($AO$1006:AP1006),$AO$1006:$BQ$1006,0)), HYPERLINK("#",""), HYPERLINK(CONCATENATE("#Metadata!", ADDRESS(INDEX($AJ$2:$AJ$1001,MATCH(ROWS($AH$2:AH421),$AH$2:$AH$1001,0),0), INDEX($AO$1004:$BQ$1004,1,MATCH(COLUMNS($AO$1006:AP1006),$AO$1006:$BQ$1006,0)))),"Fix")))</f>
        <v>#N/A</v>
      </c>
      <c r="D421" s="5" t="e">
        <f ca="1">IF(OR(INDEX($AI$2:$AI$1001,MATCH(ROWS($AH$2:AH421),$AH$2:$AH$1001,0),1)&gt;=100000,INDEX($AO$1005:$BQ$1005,1,MATCH(COLUMNS($AO$1006:AQ1006),$AO$1006:$BQ$1006,0))&gt;=100000), " ",IF(INDEX($AO$2:$BQ$1001,MATCH(ROWS($AH$2:AH421),$AH$2:$AH$1001,0),MATCH(COLUMNS($AO$1006:AQ1006),$AO$1006:$BQ$1006,0)), HYPERLINK("#",""), HYPERLINK(CONCATENATE("#Metadata!", ADDRESS(INDEX($AJ$2:$AJ$1001,MATCH(ROWS($AH$2:AH421),$AH$2:$AH$1001,0),0), INDEX($AO$1004:$BQ$1004,1,MATCH(COLUMNS($AO$1006:AQ1006),$AO$1006:$BQ$1006,0)))),"Fix")))</f>
        <v>#N/A</v>
      </c>
      <c r="E421" s="5" t="e">
        <f ca="1">IF(OR(INDEX($AI$2:$AI$1001,MATCH(ROWS($AH$2:AH421),$AH$2:$AH$1001,0),1)&gt;=100000,INDEX($AO$1005:$BQ$1005,1,MATCH(COLUMNS($AO$1006:AR1006),$AO$1006:$BQ$1006,0))&gt;=100000), " ",IF(INDEX($AO$2:$BQ$1001,MATCH(ROWS($AH$2:AH421),$AH$2:$AH$1001,0),MATCH(COLUMNS($AO$1006:AR1006),$AO$1006:$BQ$1006,0)), HYPERLINK("#",""), HYPERLINK(CONCATENATE("#Metadata!", ADDRESS(INDEX($AJ$2:$AJ$1001,MATCH(ROWS($AH$2:AH421),$AH$2:$AH$1001,0),0), INDEX($AO$1004:$BQ$1004,1,MATCH(COLUMNS($AO$1006:AR1006),$AO$1006:$BQ$1006,0)))),"Fix")))</f>
        <v>#N/A</v>
      </c>
      <c r="F421" s="5" t="e">
        <f ca="1">IF(OR(INDEX($AI$2:$AI$1001,MATCH(ROWS($AH$2:AH421),$AH$2:$AH$1001,0),1)&gt;=100000,INDEX($AO$1005:$BQ$1005,1,MATCH(COLUMNS($AO$1006:AS1006),$AO$1006:$BQ$1006,0))&gt;=100000), " ",IF(INDEX($AO$2:$BQ$1001,MATCH(ROWS($AH$2:AH421),$AH$2:$AH$1001,0),MATCH(COLUMNS($AO$1006:AS1006),$AO$1006:$BQ$1006,0)), HYPERLINK("#",""), HYPERLINK(CONCATENATE("#Metadata!", ADDRESS(INDEX($AJ$2:$AJ$1001,MATCH(ROWS($AH$2:AH421),$AH$2:$AH$1001,0),0), INDEX($AO$1004:$BQ$1004,1,MATCH(COLUMNS($AO$1006:AS1006),$AO$1006:$BQ$1006,0)))),"Fix")))</f>
        <v>#N/A</v>
      </c>
      <c r="G421" s="5" t="e">
        <f ca="1">IF(OR(INDEX($AI$2:$AI$1001,MATCH(ROWS($AH$2:AH421),$AH$2:$AH$1001,0),1)&gt;=100000,INDEX($AO$1005:$BQ$1005,1,MATCH(COLUMNS($AO$1006:AT1006),$AO$1006:$BQ$1006,0))&gt;=100000), " ",IF(INDEX($AO$2:$BQ$1001,MATCH(ROWS($AH$2:AH421),$AH$2:$AH$1001,0),MATCH(COLUMNS($AO$1006:AT1006),$AO$1006:$BQ$1006,0)), HYPERLINK("#",""), HYPERLINK(CONCATENATE("#Metadata!", ADDRESS(INDEX($AJ$2:$AJ$1001,MATCH(ROWS($AH$2:AH421),$AH$2:$AH$1001,0),0), INDEX($AO$1004:$BQ$1004,1,MATCH(COLUMNS($AO$1006:AT1006),$AO$1006:$BQ$1006,0)))),"Fix")))</f>
        <v>#N/A</v>
      </c>
      <c r="H421" s="5" t="e">
        <f ca="1">IF(OR(INDEX($AI$2:$AI$1001,MATCH(ROWS($AH$2:AH421),$AH$2:$AH$1001,0),1)&gt;=100000,INDEX($AO$1005:$BQ$1005,1,MATCH(COLUMNS($AO$1006:AU1006),$AO$1006:$BQ$1006,0))&gt;=100000), " ",IF(INDEX($AO$2:$BQ$1001,MATCH(ROWS($AH$2:AH421),$AH$2:$AH$1001,0),MATCH(COLUMNS($AO$1006:AU1006),$AO$1006:$BQ$1006,0)), HYPERLINK("#",""), HYPERLINK(CONCATENATE("#Metadata!", ADDRESS(INDEX($AJ$2:$AJ$1001,MATCH(ROWS($AH$2:AH421),$AH$2:$AH$1001,0),0), INDEX($AO$1004:$BQ$1004,1,MATCH(COLUMNS($AO$1006:AU1006),$AO$1006:$BQ$1006,0)))),"Fix")))</f>
        <v>#N/A</v>
      </c>
      <c r="I421" s="5" t="e">
        <f ca="1">IF(OR(INDEX($AI$2:$AI$1001,MATCH(ROWS($AH$2:AH421),$AH$2:$AH$1001,0),1)&gt;=100000,INDEX($AO$1005:$BQ$1005,1,MATCH(COLUMNS($AO$1006:AV1006),$AO$1006:$BQ$1006,0))&gt;=100000), " ",IF(INDEX($AO$2:$BQ$1001,MATCH(ROWS($AH$2:AH421),$AH$2:$AH$1001,0),MATCH(COLUMNS($AO$1006:AV1006),$AO$1006:$BQ$1006,0)), HYPERLINK("#",""), HYPERLINK(CONCATENATE("#Metadata!", ADDRESS(INDEX($AJ$2:$AJ$1001,MATCH(ROWS($AH$2:AH421),$AH$2:$AH$1001,0),0), INDEX($AO$1004:$BQ$1004,1,MATCH(COLUMNS($AO$1006:AV1006),$AO$1006:$BQ$1006,0)))),"Fix")))</f>
        <v>#N/A</v>
      </c>
      <c r="J421" s="5" t="e">
        <f ca="1">IF(OR(INDEX($AI$2:$AI$1001,MATCH(ROWS($AH$2:AH421),$AH$2:$AH$1001,0),1)&gt;=100000,INDEX($AO$1005:$BQ$1005,1,MATCH(COLUMNS($AO$1006:AW1006),$AO$1006:$BQ$1006,0))&gt;=100000), " ",IF(INDEX($AO$2:$BQ$1001,MATCH(ROWS($AH$2:AH421),$AH$2:$AH$1001,0),MATCH(COLUMNS($AO$1006:AW1006),$AO$1006:$BQ$1006,0)), HYPERLINK("#",""), HYPERLINK(CONCATENATE("#Metadata!", ADDRESS(INDEX($AJ$2:$AJ$1001,MATCH(ROWS($AH$2:AH421),$AH$2:$AH$1001,0),0), INDEX($AO$1004:$BQ$1004,1,MATCH(COLUMNS($AO$1006:AW1006),$AO$1006:$BQ$1006,0)))),"Fix")))</f>
        <v>#N/A</v>
      </c>
      <c r="K421" s="5" t="e">
        <f ca="1">IF(OR(INDEX($AI$2:$AI$1001,MATCH(ROWS($AH$2:AH421),$AH$2:$AH$1001,0),1)&gt;=100000,INDEX($AO$1005:$BQ$1005,1,MATCH(COLUMNS($AO$1006:AX1006),$AO$1006:$BQ$1006,0))&gt;=100000), " ",IF(INDEX($AO$2:$BQ$1001,MATCH(ROWS($AH$2:AH421),$AH$2:$AH$1001,0),MATCH(COLUMNS($AO$1006:AX1006),$AO$1006:$BQ$1006,0)), HYPERLINK("#",""), HYPERLINK(CONCATENATE("#Metadata!", ADDRESS(INDEX($AJ$2:$AJ$1001,MATCH(ROWS($AH$2:AH421),$AH$2:$AH$1001,0),0), INDEX($AO$1004:$BQ$1004,1,MATCH(COLUMNS($AO$1006:AX1006),$AO$1006:$BQ$1006,0)))),"Fix")))</f>
        <v>#N/A</v>
      </c>
      <c r="L421" s="5" t="e">
        <f ca="1">IF(OR(INDEX($AI$2:$AI$1001,MATCH(ROWS($AH$2:AH421),$AH$2:$AH$1001,0),1)&gt;=100000,INDEX($AO$1005:$BQ$1005,1,MATCH(COLUMNS($AO$1006:AY1006),$AO$1006:$BQ$1006,0))&gt;=100000), " ",IF(INDEX($AO$2:$BQ$1001,MATCH(ROWS($AH$2:AH421),$AH$2:$AH$1001,0),MATCH(COLUMNS($AO$1006:AY1006),$AO$1006:$BQ$1006,0)), HYPERLINK("#",""), HYPERLINK(CONCATENATE("#Metadata!", ADDRESS(INDEX($AJ$2:$AJ$1001,MATCH(ROWS($AH$2:AH421),$AH$2:$AH$1001,0),0), INDEX($AO$1004:$BQ$1004,1,MATCH(COLUMNS($AO$1006:AY1006),$AO$1006:$BQ$1006,0)))),"Fix")))</f>
        <v>#N/A</v>
      </c>
      <c r="M421" s="5" t="e">
        <f ca="1">IF(OR(INDEX($AI$2:$AI$1001,MATCH(ROWS($AH$2:AH421),$AH$2:$AH$1001,0),1)&gt;=100000,INDEX($AO$1005:$BQ$1005,1,MATCH(COLUMNS($AO$1006:AZ1006),$AO$1006:$BQ$1006,0))&gt;=100000), " ",IF(INDEX($AO$2:$BQ$1001,MATCH(ROWS($AH$2:AH421),$AH$2:$AH$1001,0),MATCH(COLUMNS($AO$1006:AZ1006),$AO$1006:$BQ$1006,0)), HYPERLINK("#",""), HYPERLINK(CONCATENATE("#Metadata!", ADDRESS(INDEX($AJ$2:$AJ$1001,MATCH(ROWS($AH$2:AH421),$AH$2:$AH$1001,0),0), INDEX($AO$1004:$BQ$1004,1,MATCH(COLUMNS($AO$1006:AZ1006),$AO$1006:$BQ$1006,0)))),"Fix")))</f>
        <v>#N/A</v>
      </c>
      <c r="N421" s="5" t="e">
        <f ca="1">IF(OR(INDEX($AI$2:$AI$1001,MATCH(ROWS($AH$2:AH421),$AH$2:$AH$1001,0),1)&gt;=100000,INDEX($AO$1005:$BQ$1005,1,MATCH(COLUMNS($AO$1006:BA1006),$AO$1006:$BQ$1006,0))&gt;=100000), " ",IF(INDEX($AO$2:$BQ$1001,MATCH(ROWS($AH$2:AH421),$AH$2:$AH$1001,0),MATCH(COLUMNS($AO$1006:BA1006),$AO$1006:$BQ$1006,0)), HYPERLINK("#",""), HYPERLINK(CONCATENATE("#Metadata!", ADDRESS(INDEX($AJ$2:$AJ$1001,MATCH(ROWS($AH$2:AH421),$AH$2:$AH$1001,0),0), INDEX($AO$1004:$BQ$1004,1,MATCH(COLUMNS($AO$1006:BA1006),$AO$1006:$BQ$1006,0)))),"Fix")))</f>
        <v>#N/A</v>
      </c>
      <c r="O421" s="5" t="e">
        <f ca="1">IF(OR(INDEX($AI$2:$AI$1001,MATCH(ROWS($AH$2:AH421),$AH$2:$AH$1001,0),1)&gt;=100000,INDEX($AO$1005:$BQ$1005,1,MATCH(COLUMNS($AO$1006:BB1006),$AO$1006:$BQ$1006,0))&gt;=100000), " ",IF(INDEX($AO$2:$BQ$1001,MATCH(ROWS($AH$2:AH421),$AH$2:$AH$1001,0),MATCH(COLUMNS($AO$1006:BB1006),$AO$1006:$BQ$1006,0)), HYPERLINK("#",""), HYPERLINK(CONCATENATE("#Metadata!", ADDRESS(INDEX($AJ$2:$AJ$1001,MATCH(ROWS($AH$2:AH421),$AH$2:$AH$1001,0),0), INDEX($AO$1004:$BQ$1004,1,MATCH(COLUMNS($AO$1006:BB1006),$AO$1006:$BQ$1006,0)))),"Fix")))</f>
        <v>#N/A</v>
      </c>
      <c r="P421" s="5" t="e">
        <f ca="1">IF(OR(INDEX($AI$2:$AI$1001,MATCH(ROWS($AH$2:AH421),$AH$2:$AH$1001,0),1)&gt;=100000,INDEX($AO$1005:$BQ$1005,1,MATCH(COLUMNS($AO$1006:BC1006),$AO$1006:$BQ$1006,0))&gt;=100000), " ",IF(INDEX($AO$2:$BQ$1001,MATCH(ROWS($AH$2:AH421),$AH$2:$AH$1001,0),MATCH(COLUMNS($AO$1006:BC1006),$AO$1006:$BQ$1006,0)), HYPERLINK("#",""), HYPERLINK(CONCATENATE("#Metadata!", ADDRESS(INDEX($AJ$2:$AJ$1001,MATCH(ROWS($AH$2:AH421),$AH$2:$AH$1001,0),0), INDEX($AO$1004:$BQ$1004,1,MATCH(COLUMNS($AO$1006:BC1006),$AO$1006:$BQ$1006,0)))),"Fix")))</f>
        <v>#N/A</v>
      </c>
      <c r="Q421" s="5" t="e">
        <f ca="1">IF(OR(INDEX($AI$2:$AI$1001,MATCH(ROWS($AH$2:AH421),$AH$2:$AH$1001,0),1)&gt;=100000,INDEX($AO$1005:$BQ$1005,1,MATCH(COLUMNS($AO$1006:BD1006),$AO$1006:$BQ$1006,0))&gt;=100000), " ",IF(INDEX($AO$2:$BQ$1001,MATCH(ROWS($AH$2:AH421),$AH$2:$AH$1001,0),MATCH(COLUMNS($AO$1006:BD1006),$AO$1006:$BQ$1006,0)), HYPERLINK("#",""), HYPERLINK(CONCATENATE("#Metadata!", ADDRESS(INDEX($AJ$2:$AJ$1001,MATCH(ROWS($AH$2:AH421),$AH$2:$AH$1001,0),0), INDEX($AO$1004:$BQ$1004,1,MATCH(COLUMNS($AO$1006:BD1006),$AO$1006:$BQ$1006,0)))),"Fix")))</f>
        <v>#N/A</v>
      </c>
      <c r="R421" s="5" t="e">
        <f ca="1">IF(OR(INDEX($AI$2:$AI$1001,MATCH(ROWS($AH$2:AH421),$AH$2:$AH$1001,0),1)&gt;=100000,INDEX($AO$1005:$BQ$1005,1,MATCH(COLUMNS($AO$1006:BE1006),$AO$1006:$BQ$1006,0))&gt;=100000), " ",IF(INDEX($AO$2:$BQ$1001,MATCH(ROWS($AH$2:AH421),$AH$2:$AH$1001,0),MATCH(COLUMNS($AO$1006:BE1006),$AO$1006:$BQ$1006,0)), HYPERLINK("#",""), HYPERLINK(CONCATENATE("#Metadata!", ADDRESS(INDEX($AJ$2:$AJ$1001,MATCH(ROWS($AH$2:AH421),$AH$2:$AH$1001,0),0), INDEX($AO$1004:$BQ$1004,1,MATCH(COLUMNS($AO$1006:BE1006),$AO$1006:$BQ$1006,0)))),"Fix")))</f>
        <v>#N/A</v>
      </c>
      <c r="S421" s="5" t="e">
        <f ca="1">IF(OR(INDEX($AI$2:$AI$1001,MATCH(ROWS($AH$2:AH421),$AH$2:$AH$1001,0),1)&gt;=100000,INDEX($AO$1005:$BQ$1005,1,MATCH(COLUMNS($AO$1006:BF1006),$AO$1006:$BQ$1006,0))&gt;=100000), " ",IF(INDEX($AO$2:$BQ$1001,MATCH(ROWS($AH$2:AH421),$AH$2:$AH$1001,0),MATCH(COLUMNS($AO$1006:BF1006),$AO$1006:$BQ$1006,0)), HYPERLINK("#",""), HYPERLINK(CONCATENATE("#Metadata!", ADDRESS(INDEX($AJ$2:$AJ$1001,MATCH(ROWS($AH$2:AH421),$AH$2:$AH$1001,0),0), INDEX($AO$1004:$BQ$1004,1,MATCH(COLUMNS($AO$1006:BF1006),$AO$1006:$BQ$1006,0)))),"Fix")))</f>
        <v>#N/A</v>
      </c>
      <c r="T421" s="5" t="e">
        <f ca="1">IF(OR(INDEX($AI$2:$AI$1001,MATCH(ROWS($AH$2:AH421),$AH$2:$AH$1001,0),1)&gt;=100000,INDEX($AO$1005:$BQ$1005,1,MATCH(COLUMNS($AO$1006:BG1006),$AO$1006:$BQ$1006,0))&gt;=100000), " ",IF(INDEX($AO$2:$BQ$1001,MATCH(ROWS($AH$2:AH421),$AH$2:$AH$1001,0),MATCH(COLUMNS($AO$1006:BG1006),$AO$1006:$BQ$1006,0)), HYPERLINK("#",""), HYPERLINK(CONCATENATE("#Metadata!", ADDRESS(INDEX($AJ$2:$AJ$1001,MATCH(ROWS($AH$2:AH421),$AH$2:$AH$1001,0),0), INDEX($AO$1004:$BQ$1004,1,MATCH(COLUMNS($AO$1006:BG1006),$AO$1006:$BQ$1006,0)))),"Fix")))</f>
        <v>#N/A</v>
      </c>
      <c r="U421" s="5" t="e">
        <f ca="1">IF(OR(INDEX($AI$2:$AI$1001,MATCH(ROWS($AH$2:AH421),$AH$2:$AH$1001,0),1)&gt;=100000,INDEX($AO$1005:$BQ$1005,1,MATCH(COLUMNS($AO$1006:BH1006),$AO$1006:$BQ$1006,0))&gt;=100000), " ",IF(INDEX($AO$2:$BQ$1001,MATCH(ROWS($AH$2:AH421),$AH$2:$AH$1001,0),MATCH(COLUMNS($AO$1006:BH1006),$AO$1006:$BQ$1006,0)), HYPERLINK("#",""), HYPERLINK(CONCATENATE("#Metadata!", ADDRESS(INDEX($AJ$2:$AJ$1001,MATCH(ROWS($AH$2:AH421),$AH$2:$AH$1001,0),0), INDEX($AO$1004:$BQ$1004,1,MATCH(COLUMNS($AO$1006:BH1006),$AO$1006:$BQ$1006,0)))),"Fix")))</f>
        <v>#N/A</v>
      </c>
      <c r="V421" s="5" t="e">
        <f ca="1">IF(OR(INDEX($AI$2:$AI$1001,MATCH(ROWS($AH$2:AH421),$AH$2:$AH$1001,0),1)&gt;=100000,INDEX($AO$1005:$BQ$1005,1,MATCH(COLUMNS($AO$1006:BI1006),$AO$1006:$BQ$1006,0))&gt;=100000), " ",IF(INDEX($AO$2:$BQ$1001,MATCH(ROWS($AH$2:AH421),$AH$2:$AH$1001,0),MATCH(COLUMNS($AO$1006:BI1006),$AO$1006:$BQ$1006,0)), HYPERLINK("#",""), HYPERLINK(CONCATENATE("#Metadata!", ADDRESS(INDEX($AJ$2:$AJ$1001,MATCH(ROWS($AH$2:AH421),$AH$2:$AH$1001,0),0), INDEX($AO$1004:$BQ$1004,1,MATCH(COLUMNS($AO$1006:BI1006),$AO$1006:$BQ$1006,0)))),"Fix")))</f>
        <v>#N/A</v>
      </c>
      <c r="W421" s="5" t="e">
        <f ca="1">IF(OR(INDEX($AI$2:$AI$1001,MATCH(ROWS($AH$2:AH421),$AH$2:$AH$1001,0),1)&gt;=100000,INDEX($AO$1005:$BQ$1005,1,MATCH(COLUMNS($AO$1006:BJ1006),$AO$1006:$BQ$1006,0))&gt;=100000), " ",IF(INDEX($AO$2:$BQ$1001,MATCH(ROWS($AH$2:AH421),$AH$2:$AH$1001,0),MATCH(COLUMNS($AO$1006:BJ1006),$AO$1006:$BQ$1006,0)), HYPERLINK("#",""), HYPERLINK(CONCATENATE("#Metadata!", ADDRESS(INDEX($AJ$2:$AJ$1001,MATCH(ROWS($AH$2:AH421),$AH$2:$AH$1001,0),0), INDEX($AO$1004:$BQ$1004,1,MATCH(COLUMNS($AO$1006:BJ1006),$AO$1006:$BQ$1006,0)))),"Fix")))</f>
        <v>#N/A</v>
      </c>
      <c r="X421" s="5" t="e">
        <f ca="1">IF(OR(INDEX($AI$2:$AI$1001,MATCH(ROWS($AH$2:AH421),$AH$2:$AH$1001,0),1)&gt;=100000,INDEX($AO$1005:$BQ$1005,1,MATCH(COLUMNS($AO$1006:BK1006),$AO$1006:$BQ$1006,0))&gt;=100000), " ",IF(INDEX($AO$2:$BQ$1001,MATCH(ROWS($AH$2:AH421),$AH$2:$AH$1001,0),MATCH(COLUMNS($AO$1006:BK1006),$AO$1006:$BQ$1006,0)), HYPERLINK("#",""), HYPERLINK(CONCATENATE("#Metadata!", ADDRESS(INDEX($AJ$2:$AJ$1001,MATCH(ROWS($AH$2:AH421),$AH$2:$AH$1001,0),0), INDEX($AO$1004:$BQ$1004,1,MATCH(COLUMNS($AO$1006:BK1006),$AO$1006:$BQ$1006,0)))),"Fix")))</f>
        <v>#N/A</v>
      </c>
      <c r="Y421" s="5" t="e">
        <f ca="1">IF(OR(INDEX($AI$2:$AI$1001,MATCH(ROWS($AH$2:AH421),$AH$2:$AH$1001,0),1)&gt;=100000,INDEX($AO$1005:$BQ$1005,1,MATCH(COLUMNS($AO$1006:BL1006),$AO$1006:$BQ$1006,0))&gt;=100000), " ",IF(INDEX($AO$2:$BQ$1001,MATCH(ROWS($AH$2:AH421),$AH$2:$AH$1001,0),MATCH(COLUMNS($AO$1006:BL1006),$AO$1006:$BQ$1006,0)), HYPERLINK("#",""), HYPERLINK(CONCATENATE("#Metadata!", ADDRESS(INDEX($AJ$2:$AJ$1001,MATCH(ROWS($AH$2:AH421),$AH$2:$AH$1001,0),0), INDEX($AO$1004:$BQ$1004,1,MATCH(COLUMNS($AO$1006:BL1006),$AO$1006:$BQ$1006,0)))),"Fix")))</f>
        <v>#N/A</v>
      </c>
      <c r="Z421" s="5" t="e">
        <f ca="1">IF(OR(INDEX($AI$2:$AI$1001,MATCH(ROWS($AH$2:AH421),$AH$2:$AH$1001,0),1)&gt;=100000,INDEX($AO$1005:$BQ$1005,1,MATCH(COLUMNS($AO$1006:BM1006),$AO$1006:$BQ$1006,0))&gt;=100000), " ",IF(INDEX($AO$2:$BQ$1001,MATCH(ROWS($AH$2:AH421),$AH$2:$AH$1001,0),MATCH(COLUMNS($AO$1006:BM1006),$AO$1006:$BQ$1006,0)), HYPERLINK("#",""), HYPERLINK(CONCATENATE("#Metadata!", ADDRESS(INDEX($AJ$2:$AJ$1001,MATCH(ROWS($AH$2:AH421),$AH$2:$AH$1001,0),0), INDEX($AO$1004:$BQ$1004,1,MATCH(COLUMNS($AO$1006:BM1006),$AO$1006:$BQ$1006,0)))),"Fix")))</f>
        <v>#N/A</v>
      </c>
      <c r="AA421" s="5" t="e">
        <f ca="1">IF(OR(INDEX($AI$2:$AI$1001,MATCH(ROWS($AH$2:AH421),$AH$2:$AH$1001,0),1)&gt;=100000,INDEX($AO$1005:$BQ$1005,1,MATCH(COLUMNS($AO$1006:BN1006),$AO$1006:$BQ$1006,0))&gt;=100000), " ",IF(INDEX($AO$2:$BQ$1001,MATCH(ROWS($AH$2:AH421),$AH$2:$AH$1001,0),MATCH(COLUMNS($AO$1006:BN1006),$AO$1006:$BQ$1006,0)), HYPERLINK("#",""), HYPERLINK(CONCATENATE("#Metadata!", ADDRESS(INDEX($AJ$2:$AJ$1001,MATCH(ROWS($AH$2:AH421),$AH$2:$AH$1001,0),0), INDEX($AO$1004:$BQ$1004,1,MATCH(COLUMNS($AO$1006:BN1006),$AO$1006:$BQ$1006,0)))),"Fix")))</f>
        <v>#N/A</v>
      </c>
      <c r="AB421" s="5" t="e">
        <f ca="1">IF(OR(INDEX($AI$2:$AI$1001,MATCH(ROWS($AH$2:AH421),$AH$2:$AH$1001,0),1)&gt;=100000,INDEX($AO$1005:$BQ$1005,1,MATCH(COLUMNS($AO$1006:BO1006),$AO$1006:$BQ$1006,0))&gt;=100000), " ",IF(INDEX($AO$2:$BQ$1001,MATCH(ROWS($AH$2:AH421),$AH$2:$AH$1001,0),MATCH(COLUMNS($AO$1006:BO1006),$AO$1006:$BQ$1006,0)), HYPERLINK("#",""), HYPERLINK(CONCATENATE("#Metadata!", ADDRESS(INDEX($AJ$2:$AJ$1001,MATCH(ROWS($AH$2:AH421),$AH$2:$AH$1001,0),0), INDEX($AO$1004:$BQ$1004,1,MATCH(COLUMNS($AO$1006:BO1006),$AO$1006:$BQ$1006,0)))),"Fix")))</f>
        <v>#N/A</v>
      </c>
      <c r="AC421" s="5" t="e">
        <f ca="1">IF(OR(INDEX($AI$2:$AI$1001,MATCH(ROWS($AH$2:AH421),$AH$2:$AH$1001,0),1)&gt;=100000,INDEX($AO$1005:$BQ$1005,1,MATCH(COLUMNS($AO$1006:BP1006),$AO$1006:$BQ$1006,0))&gt;=100000), " ",IF(INDEX($AO$2:$BQ$1001,MATCH(ROWS($AH$2:AH421),$AH$2:$AH$1001,0),MATCH(COLUMNS($AO$1006:BP1006),$AO$1006:$BQ$1006,0)), HYPERLINK("#",""), HYPERLINK(CONCATENATE("#Metadata!", ADDRESS(INDEX($AJ$2:$AJ$1001,MATCH(ROWS($AH$2:AH421),$AH$2:$AH$1001,0),0), INDEX($AO$1004:$BQ$1004,1,MATCH(COLUMNS($AO$1006:BP1006),$AO$1006:$BQ$1006,0)))),"Fix")))</f>
        <v>#N/A</v>
      </c>
      <c r="AD421" s="5" t="e">
        <f ca="1">IF(OR(INDEX($AI$2:$AI$1001,MATCH(ROWS($AH$2:AH421),$AH$2:$AH$1001,0),1)&gt;=100000,INDEX($AO$1005:$BQ$1005,1,MATCH(COLUMNS($AO$1006:BQ1006),$AO$1006:$BQ$1006,0))&gt;=100000), " ",IF(INDEX($AO$2:$BQ$1001,MATCH(ROWS($AH$2:AH421),$AH$2:$AH$1001,0),MATCH(COLUMNS($AO$1006:BQ1006),$AO$1006:$BQ$1006,0)), HYPERLINK("#",""), HYPERLINK(CONCATENATE("#Metadata!", ADDRESS(INDEX($AJ$2:$AJ$1001,MATCH(ROWS($AH$2:AH421),$AH$2:$AH$1001,0),0), INDEX($AO$1004:$BQ$1004,1,MATCH(COLUMNS($AO$1006:BQ1006),$AO$1006:$BQ$1006,0)))),"Fix")))</f>
        <v>#REF!</v>
      </c>
      <c r="AH421">
        <f ca="1"/>
        <v>418</v>
      </c>
      <c r="AI421">
        <v>100421</v>
      </c>
      <c r="AJ421">
        <v>421</v>
      </c>
      <c r="AK421" t="b">
        <f t="shared" si="6"/>
        <v>1</v>
      </c>
      <c r="AL421" t="b">
        <f>COUNTBLANK(Metadata!B421:AD421)=COLUMNS(Metadata!B421:AD421)</f>
        <v>1</v>
      </c>
      <c r="AM421" t="str">
        <v/>
      </c>
      <c r="AO421" t="b">
        <f ca="1">AND(IF(Metadata!B421="",FALSE,TRUE),COUNTIF(Metadata!B:B, Metadata!B421) = 1,NOT(ISERROR(SUMPRODUCT(SEARCH(MID(Metadata!B421,ROW(INDIRECT("1:"&amp;LEN(Metadata!B421))), 1),"0123456789abcdefghijklmnopqrstuvwxyzABCDEFGHIJKLMNOPQRSTUVWXYZ.")))))</f>
        <v>0</v>
      </c>
      <c r="AP421" t="b">
        <f>IF(Metadata!C421="",FALSE,TRUE)</f>
        <v>0</v>
      </c>
      <c r="AQ421" t="b">
        <f>IF(Metadata!D421="",FALSE,TRUE)</f>
        <v>0</v>
      </c>
      <c r="AR421" t="b">
        <f ca="1">OR(AND(IF(Metadata!E421="",FALSE,TRUE),OR(EXACT(Metadata!E421,"not collected"),EXACT(Metadata!E421,"not provided"),EXACT(Metadata!E421,"restricted access"))),AND(IF(Metadata!E421="",FALSE,TRUE),AND(AND(IFERROR(INT(LEFT(Metadata!E421,4))&gt;1900,FALSE),IFERROR(INT(LEFT(Metadata!E421,4))&lt;=YEAR(NOW()),FALSE)), OR(MID(Metadata!E421,5,1)="", AND(AND(MID(Metadata!E421,5,1)="-",IFERROR(INT(MID(Metadata!E421,6,1))&gt;=0,FALSE),IFERROR(INT(MID(Metadata!E421,6,1))&lt;=1,FALSE),NOT(MID(Metadata!E421,7,1)=""),IFERROR(INT(MID(Metadata!E421,6,2))&gt;=1,FALSE),IFERROR(INT(MID(Metadata!E421,6,2))&lt;=12,FALSE)), OR(MID(Metadata!E421,8,1)="", AND(AND(MID(Metadata!E421,8,1)="-",IFERROR(INT(MID(Metadata!E421,9,1))&gt;=0,FALSE),IFERROR(INT(MID(Metadata!E421,9,1))&lt;=3,FALSE),NOT(MID(Metadata!E421,10,1)=""),IFERROR(INT(MID(Metadata!E421,9,2))&gt;=1,FALSE),IFERROR(INT(MID(Metadata!E421,9,2))&lt;=31,FALSE)), OR(MID(Metadata!E421,11,1)="", AND(AND(MID(Metadata!E421,11,1)=" ",IFERROR(INT(MID(Metadata!E421,12,1))&gt;=0,FALSE),IFERROR(INT(MID(Metadata!E421,12,1))&lt;=2,FALSE),NOT(MID(Metadata!E421,13,1)=""),IFERROR(INT(MID(Metadata!E421,12,2))&gt;=0,FALSE),IFERROR(INT(MID(Metadata!E421,12,2))&lt;=23,FALSE)), OR(MID(Metadata!E421,14,1)="", AND(AND(MID(Metadata!E421,14,1)=":",IFERROR(INT(MID(Metadata!E421,15,1))&gt;=0,FALSE),IFERROR(INT(MID(Metadata!E421,15,1))&lt;=5,FALSE),NOT(MID(Metadata!E421,16,1)=""),IFERROR(INT(MID(Metadata!E421,15,2))&gt;=0,FALSE),IFERROR(INT(MID(Metadata!E421,15,2))&lt;=59,FALSE)), OR(MID(Metadata!E421,17,1)="", AND(AND(MID(Metadata!E421,17,1)=":",IFERROR(INT(MID(Metadata!E421,18,1))&gt;=0,FALSE),IFERROR(INT(MID(Metadata!E421,18,1))&lt;=5,FALSE),NOT(MID(Metadata!E421,19,1)=""),IFERROR(INT(MID(Metadata!E421,18,2))&gt;=0,FALSE),IFERROR(INT(MID(Metadata!E421,18,2))&lt;=59,FALSE)), LEN(Metadata!E421)&lt;=19)))))))))))))</f>
        <v>0</v>
      </c>
      <c r="AS421" t="b">
        <f>IF(Metadata!F421="",FALSE,TRUE)</f>
        <v>0</v>
      </c>
      <c r="AT421" t="b">
        <f>OR(AND(IF(Metadata!G421="",FALSE,TRUE),OR(EXACT(Metadata!G421,"not collected"),EXACT(Metadata!G421,"not provided"))),AND(IF(Metadata!G421="",FALSE,TRUE),OR(EXACT(Metadata!G421,"TRUE"),EXACT(Metadata!G421,"FALSE"))))</f>
        <v>0</v>
      </c>
      <c r="AU421" t="b">
        <f>OR(AND(IF(Metadata!H421="",FALSE,TRUE),OR(EXACT(Metadata!H421,"not collected"),EXACT(Metadata!H421,"not provided"),EXACT(Metadata!H421,"restricted access"))),AND(IF(Metadata!H421="",FALSE,ISNUMBER(VALUE(Metadata!H421))),Metadata!H421&gt;=-413))</f>
        <v>0</v>
      </c>
      <c r="AV421" t="b">
        <f>AND(IF(Metadata!I421="",FALSE,TRUE),EXACT(Metadata!I421,"meters"))</f>
        <v>0</v>
      </c>
      <c r="AW421" t="b">
        <f>AND(IF(Metadata!J421="",FALSE,TRUE),EXACT(Metadata!J421,"free-living"))</f>
        <v>0</v>
      </c>
      <c r="AX421" t="b">
        <f>AND(IF(Metadata!K421="",FALSE,TRUE),OR(EXACT(Metadata!K421,"saline"),EXACT(Metadata!K421,"non-saline")))</f>
        <v>0</v>
      </c>
      <c r="AY421" t="b">
        <f>AND(IF(Metadata!L421="",FALSE,TRUE),OR(EXACT(Metadata!L421,"sub-surface (non-saline)"),EXACT(Metadata!L421,"surface (non-saline)"),EXACT(Metadata!L421,"water (non-saline)"),EXACT(Metadata!L421,"soil (non-saline)"),EXACT(Metadata!L421,"aerosol (non-saline)"),EXACT(Metadata!L421,"sediment (non-saline)"),EXACT(Metadata!L421,"surface (saline)"),EXACT(Metadata!L421,"water (saline)"),EXACT(Metadata!L421,"hypersaline (saline)"),EXACT(Metadata!L421,"aerosol (saline)"),EXACT(Metadata!L421,"sediment (saline)")))</f>
        <v>0</v>
      </c>
      <c r="AZ421" t="b">
        <f>IF(Metadata!M421="",FALSE,TRUE)</f>
        <v>0</v>
      </c>
      <c r="BA421" t="b">
        <f>IF(Metadata!N421="",FALSE,TRUE)</f>
        <v>0</v>
      </c>
      <c r="BB421" t="b">
        <f>IF(Metadata!O421="",FALSE,TRUE)</f>
        <v>0</v>
      </c>
      <c r="BC421" t="b">
        <f>AND(IF(Metadata!P421="",FALSE,TRUE),OR(EXACT(Metadata!P421,"air"),EXACT(Metadata!P421,"microbial mat/biofilm"),EXACT(Metadata!P421,"misc environment"),EXACT(Metadata!P421,"sediment"),EXACT(Metadata!P421,"soil"),EXACT(Metadata!P421,"wastewater/sludge"),EXACT(Metadata!P421,"water")))</f>
        <v>0</v>
      </c>
      <c r="BD421" t="b">
        <f>IF(Metadata!Q421="",FALSE,TRUE)</f>
        <v>0</v>
      </c>
      <c r="BE421" t="b">
        <f>IF(Metadata!R421="",FALSE,TRUE)</f>
        <v>0</v>
      </c>
      <c r="BF421" t="b">
        <f>OR(AND(IF(Metadata!S421="",FALSE,TRUE),OR(EXACT(Metadata!S421,"not collected"),EXACT(Metadata!S421,"not provided"),EXACT(Metadata!S421,"restricted access"))),AND(IF(Metadata!S421="",FALSE,ISNUMBER(VALUE(Metadata!S421))),Metadata!S421&gt;=-90,Metadata!S421&lt;=90))</f>
        <v>0</v>
      </c>
      <c r="BG421" t="b">
        <f>AND(IF(Metadata!T421="",FALSE,TRUE),EXACT(Metadata!T421,"Decimal degrees"))</f>
        <v>0</v>
      </c>
      <c r="BH421" t="b">
        <f>OR(AND(IF(Metadata!U421="",FALSE,TRUE),OR(EXACT(Metadata!U421,"not applicable"),EXACT(Metadata!U421,"not collected"))),IF(Metadata!U421="",FALSE,TRUE))</f>
        <v>0</v>
      </c>
      <c r="BI421" t="b">
        <f>OR(AND(IF(Metadata!V421="",FALSE,TRUE),OR(EXACT(Metadata!V421,"not collected"),EXACT(Metadata!V421,"not provided"),EXACT(Metadata!V421,"restricted access"))),AND(IF(Metadata!V421="",FALSE,ISNUMBER(VALUE(Metadata!V421))),Metadata!V421&gt;=-180,Metadata!V421&lt;=180))</f>
        <v>0</v>
      </c>
      <c r="BJ421" t="b">
        <f>AND(IF(Metadata!W421="",FALSE,TRUE),EXACT(Metadata!W421,"Decimal degrees"))</f>
        <v>0</v>
      </c>
      <c r="BK421" t="b">
        <f>IF(Metadata!X421="",FALSE,TRUE)</f>
        <v>0</v>
      </c>
      <c r="BL421" t="b">
        <f>OR(AND(IF(Metadata!Y421="",FALSE,TRUE),OR(EXACT(Metadata!Y421,"not collected"),EXACT(Metadata!Y421,"not provided"),EXACT(Metadata!Y421,"restricted access"))),AND(IF(Metadata!Y421="",FALSE,TRUE),OR(EXACT(Metadata!Y421,"TRUE"),EXACT(Metadata!Y421,"FALSE"))))</f>
        <v>0</v>
      </c>
      <c r="BM421" t="b">
        <f>OR(AND(IF(Metadata!Z421="",FALSE,TRUE),EXACT(Metadata!Z421,"not applicable")),AND(IF(Metadata!Z421="",FALSE,TRUE),OR(EXACT(Metadata!Z421,"beer"),EXACT(Metadata!Z421,"cheese"),EXACT(Metadata!Z421,"fresh water"),EXACT(Metadata!Z421,"marine sediment"),EXACT(Metadata!Z421,"sea water"),EXACT(Metadata!Z421,"sediment"),EXACT(Metadata!Z421,"soil"),EXACT(Metadata!Z421,"waste water"))))</f>
        <v>0</v>
      </c>
      <c r="BN421" t="b">
        <f>AND(IF(Metadata!AA421="",FALSE,TRUE),EXACT(Metadata!AA421,"metagenome"))</f>
        <v>0</v>
      </c>
      <c r="BO421" t="b">
        <f>AND(IF(Metadata!AB421="",FALSE,TRUE),EXACT(Metadata!AB421,"256318"))</f>
        <v>0</v>
      </c>
      <c r="BP421" t="b">
        <f>IF(Metadata!AC421="",FALSE,TRUE)</f>
        <v>0</v>
      </c>
      <c r="BQ421" t="b">
        <f>IF(Metadata!AD421="",FALSE,TRUE)</f>
        <v>0</v>
      </c>
    </row>
    <row r="422" spans="1:69" x14ac:dyDescent="0.2">
      <c r="A422" s="4" t="e">
        <f ca="1">IF(B422=" "," ",HYPERLINK(CONCATENATE("#metadata!",ADDRESS(INDEX($AJ$2:$AJ$1001,MATCH(ROWS($AH$2:AH422),$AH$2:$AH$1001,0),0),2)),INDEX($AM$2:$AM$1001,MATCH(ROWS($AH$2:AH422),$AH$2:$AH$1001,0),0)))</f>
        <v>#N/A</v>
      </c>
      <c r="B422" s="5" t="e">
        <f ca="1">IF(OR(INDEX($AI$2:$AI$1001,MATCH(ROWS($AH$2:AH422),$AH$2:$AH$1001,0),1)&gt;=100000,INDEX($AO$1005:$BQ$1005,1,MATCH(COLUMNS($AO$1006:AO1006),$AO$1006:$BQ$1006,0))&gt;=100000), " ",IF(INDEX($AO$2:$BQ$1001,MATCH(ROWS($AH$2:AH422),$AH$2:$AH$1001,0),MATCH(COLUMNS($AO$1006:AO1006),$AO$1006:$BQ$1006,0)), HYPERLINK("#",""), HYPERLINK(CONCATENATE("#Metadata!", ADDRESS(INDEX($AJ$2:$AJ$1001,MATCH(ROWS($AH$2:AH422),$AH$2:$AH$1001,0),0), INDEX($AO$1004:$BQ$1004,1,MATCH(COLUMNS($AO$1006:AO1006),$AO$1006:$BQ$1006,0)))),"Fix")))</f>
        <v>#N/A</v>
      </c>
      <c r="C422" s="5" t="e">
        <f ca="1">IF(OR(INDEX($AI$2:$AI$1001,MATCH(ROWS($AH$2:AH422),$AH$2:$AH$1001,0),1)&gt;=100000,INDEX($AO$1005:$BQ$1005,1,MATCH(COLUMNS($AO$1006:AP1006),$AO$1006:$BQ$1006,0))&gt;=100000), " ",IF(INDEX($AO$2:$BQ$1001,MATCH(ROWS($AH$2:AH422),$AH$2:$AH$1001,0),MATCH(COLUMNS($AO$1006:AP1006),$AO$1006:$BQ$1006,0)), HYPERLINK("#",""), HYPERLINK(CONCATENATE("#Metadata!", ADDRESS(INDEX($AJ$2:$AJ$1001,MATCH(ROWS($AH$2:AH422),$AH$2:$AH$1001,0),0), INDEX($AO$1004:$BQ$1004,1,MATCH(COLUMNS($AO$1006:AP1006),$AO$1006:$BQ$1006,0)))),"Fix")))</f>
        <v>#N/A</v>
      </c>
      <c r="D422" s="5" t="e">
        <f ca="1">IF(OR(INDEX($AI$2:$AI$1001,MATCH(ROWS($AH$2:AH422),$AH$2:$AH$1001,0),1)&gt;=100000,INDEX($AO$1005:$BQ$1005,1,MATCH(COLUMNS($AO$1006:AQ1006),$AO$1006:$BQ$1006,0))&gt;=100000), " ",IF(INDEX($AO$2:$BQ$1001,MATCH(ROWS($AH$2:AH422),$AH$2:$AH$1001,0),MATCH(COLUMNS($AO$1006:AQ1006),$AO$1006:$BQ$1006,0)), HYPERLINK("#",""), HYPERLINK(CONCATENATE("#Metadata!", ADDRESS(INDEX($AJ$2:$AJ$1001,MATCH(ROWS($AH$2:AH422),$AH$2:$AH$1001,0),0), INDEX($AO$1004:$BQ$1004,1,MATCH(COLUMNS($AO$1006:AQ1006),$AO$1006:$BQ$1006,0)))),"Fix")))</f>
        <v>#N/A</v>
      </c>
      <c r="E422" s="5" t="e">
        <f ca="1">IF(OR(INDEX($AI$2:$AI$1001,MATCH(ROWS($AH$2:AH422),$AH$2:$AH$1001,0),1)&gt;=100000,INDEX($AO$1005:$BQ$1005,1,MATCH(COLUMNS($AO$1006:AR1006),$AO$1006:$BQ$1006,0))&gt;=100000), " ",IF(INDEX($AO$2:$BQ$1001,MATCH(ROWS($AH$2:AH422),$AH$2:$AH$1001,0),MATCH(COLUMNS($AO$1006:AR1006),$AO$1006:$BQ$1006,0)), HYPERLINK("#",""), HYPERLINK(CONCATENATE("#Metadata!", ADDRESS(INDEX($AJ$2:$AJ$1001,MATCH(ROWS($AH$2:AH422),$AH$2:$AH$1001,0),0), INDEX($AO$1004:$BQ$1004,1,MATCH(COLUMNS($AO$1006:AR1006),$AO$1006:$BQ$1006,0)))),"Fix")))</f>
        <v>#N/A</v>
      </c>
      <c r="F422" s="5" t="e">
        <f ca="1">IF(OR(INDEX($AI$2:$AI$1001,MATCH(ROWS($AH$2:AH422),$AH$2:$AH$1001,0),1)&gt;=100000,INDEX($AO$1005:$BQ$1005,1,MATCH(COLUMNS($AO$1006:AS1006),$AO$1006:$BQ$1006,0))&gt;=100000), " ",IF(INDEX($AO$2:$BQ$1001,MATCH(ROWS($AH$2:AH422),$AH$2:$AH$1001,0),MATCH(COLUMNS($AO$1006:AS1006),$AO$1006:$BQ$1006,0)), HYPERLINK("#",""), HYPERLINK(CONCATENATE("#Metadata!", ADDRESS(INDEX($AJ$2:$AJ$1001,MATCH(ROWS($AH$2:AH422),$AH$2:$AH$1001,0),0), INDEX($AO$1004:$BQ$1004,1,MATCH(COLUMNS($AO$1006:AS1006),$AO$1006:$BQ$1006,0)))),"Fix")))</f>
        <v>#N/A</v>
      </c>
      <c r="G422" s="5" t="e">
        <f ca="1">IF(OR(INDEX($AI$2:$AI$1001,MATCH(ROWS($AH$2:AH422),$AH$2:$AH$1001,0),1)&gt;=100000,INDEX($AO$1005:$BQ$1005,1,MATCH(COLUMNS($AO$1006:AT1006),$AO$1006:$BQ$1006,0))&gt;=100000), " ",IF(INDEX($AO$2:$BQ$1001,MATCH(ROWS($AH$2:AH422),$AH$2:$AH$1001,0),MATCH(COLUMNS($AO$1006:AT1006),$AO$1006:$BQ$1006,0)), HYPERLINK("#",""), HYPERLINK(CONCATENATE("#Metadata!", ADDRESS(INDEX($AJ$2:$AJ$1001,MATCH(ROWS($AH$2:AH422),$AH$2:$AH$1001,0),0), INDEX($AO$1004:$BQ$1004,1,MATCH(COLUMNS($AO$1006:AT1006),$AO$1006:$BQ$1006,0)))),"Fix")))</f>
        <v>#N/A</v>
      </c>
      <c r="H422" s="5" t="e">
        <f ca="1">IF(OR(INDEX($AI$2:$AI$1001,MATCH(ROWS($AH$2:AH422),$AH$2:$AH$1001,0),1)&gt;=100000,INDEX($AO$1005:$BQ$1005,1,MATCH(COLUMNS($AO$1006:AU1006),$AO$1006:$BQ$1006,0))&gt;=100000), " ",IF(INDEX($AO$2:$BQ$1001,MATCH(ROWS($AH$2:AH422),$AH$2:$AH$1001,0),MATCH(COLUMNS($AO$1006:AU1006),$AO$1006:$BQ$1006,0)), HYPERLINK("#",""), HYPERLINK(CONCATENATE("#Metadata!", ADDRESS(INDEX($AJ$2:$AJ$1001,MATCH(ROWS($AH$2:AH422),$AH$2:$AH$1001,0),0), INDEX($AO$1004:$BQ$1004,1,MATCH(COLUMNS($AO$1006:AU1006),$AO$1006:$BQ$1006,0)))),"Fix")))</f>
        <v>#N/A</v>
      </c>
      <c r="I422" s="5" t="e">
        <f ca="1">IF(OR(INDEX($AI$2:$AI$1001,MATCH(ROWS($AH$2:AH422),$AH$2:$AH$1001,0),1)&gt;=100000,INDEX($AO$1005:$BQ$1005,1,MATCH(COLUMNS($AO$1006:AV1006),$AO$1006:$BQ$1006,0))&gt;=100000), " ",IF(INDEX($AO$2:$BQ$1001,MATCH(ROWS($AH$2:AH422),$AH$2:$AH$1001,0),MATCH(COLUMNS($AO$1006:AV1006),$AO$1006:$BQ$1006,0)), HYPERLINK("#",""), HYPERLINK(CONCATENATE("#Metadata!", ADDRESS(INDEX($AJ$2:$AJ$1001,MATCH(ROWS($AH$2:AH422),$AH$2:$AH$1001,0),0), INDEX($AO$1004:$BQ$1004,1,MATCH(COLUMNS($AO$1006:AV1006),$AO$1006:$BQ$1006,0)))),"Fix")))</f>
        <v>#N/A</v>
      </c>
      <c r="J422" s="5" t="e">
        <f ca="1">IF(OR(INDEX($AI$2:$AI$1001,MATCH(ROWS($AH$2:AH422),$AH$2:$AH$1001,0),1)&gt;=100000,INDEX($AO$1005:$BQ$1005,1,MATCH(COLUMNS($AO$1006:AW1006),$AO$1006:$BQ$1006,0))&gt;=100000), " ",IF(INDEX($AO$2:$BQ$1001,MATCH(ROWS($AH$2:AH422),$AH$2:$AH$1001,0),MATCH(COLUMNS($AO$1006:AW1006),$AO$1006:$BQ$1006,0)), HYPERLINK("#",""), HYPERLINK(CONCATENATE("#Metadata!", ADDRESS(INDEX($AJ$2:$AJ$1001,MATCH(ROWS($AH$2:AH422),$AH$2:$AH$1001,0),0), INDEX($AO$1004:$BQ$1004,1,MATCH(COLUMNS($AO$1006:AW1006),$AO$1006:$BQ$1006,0)))),"Fix")))</f>
        <v>#N/A</v>
      </c>
      <c r="K422" s="5" t="e">
        <f ca="1">IF(OR(INDEX($AI$2:$AI$1001,MATCH(ROWS($AH$2:AH422),$AH$2:$AH$1001,0),1)&gt;=100000,INDEX($AO$1005:$BQ$1005,1,MATCH(COLUMNS($AO$1006:AX1006),$AO$1006:$BQ$1006,0))&gt;=100000), " ",IF(INDEX($AO$2:$BQ$1001,MATCH(ROWS($AH$2:AH422),$AH$2:$AH$1001,0),MATCH(COLUMNS($AO$1006:AX1006),$AO$1006:$BQ$1006,0)), HYPERLINK("#",""), HYPERLINK(CONCATENATE("#Metadata!", ADDRESS(INDEX($AJ$2:$AJ$1001,MATCH(ROWS($AH$2:AH422),$AH$2:$AH$1001,0),0), INDEX($AO$1004:$BQ$1004,1,MATCH(COLUMNS($AO$1006:AX1006),$AO$1006:$BQ$1006,0)))),"Fix")))</f>
        <v>#N/A</v>
      </c>
      <c r="L422" s="5" t="e">
        <f ca="1">IF(OR(INDEX($AI$2:$AI$1001,MATCH(ROWS($AH$2:AH422),$AH$2:$AH$1001,0),1)&gt;=100000,INDEX($AO$1005:$BQ$1005,1,MATCH(COLUMNS($AO$1006:AY1006),$AO$1006:$BQ$1006,0))&gt;=100000), " ",IF(INDEX($AO$2:$BQ$1001,MATCH(ROWS($AH$2:AH422),$AH$2:$AH$1001,0),MATCH(COLUMNS($AO$1006:AY1006),$AO$1006:$BQ$1006,0)), HYPERLINK("#",""), HYPERLINK(CONCATENATE("#Metadata!", ADDRESS(INDEX($AJ$2:$AJ$1001,MATCH(ROWS($AH$2:AH422),$AH$2:$AH$1001,0),0), INDEX($AO$1004:$BQ$1004,1,MATCH(COLUMNS($AO$1006:AY1006),$AO$1006:$BQ$1006,0)))),"Fix")))</f>
        <v>#N/A</v>
      </c>
      <c r="M422" s="5" t="e">
        <f ca="1">IF(OR(INDEX($AI$2:$AI$1001,MATCH(ROWS($AH$2:AH422),$AH$2:$AH$1001,0),1)&gt;=100000,INDEX($AO$1005:$BQ$1005,1,MATCH(COLUMNS($AO$1006:AZ1006),$AO$1006:$BQ$1006,0))&gt;=100000), " ",IF(INDEX($AO$2:$BQ$1001,MATCH(ROWS($AH$2:AH422),$AH$2:$AH$1001,0),MATCH(COLUMNS($AO$1006:AZ1006),$AO$1006:$BQ$1006,0)), HYPERLINK("#",""), HYPERLINK(CONCATENATE("#Metadata!", ADDRESS(INDEX($AJ$2:$AJ$1001,MATCH(ROWS($AH$2:AH422),$AH$2:$AH$1001,0),0), INDEX($AO$1004:$BQ$1004,1,MATCH(COLUMNS($AO$1006:AZ1006),$AO$1006:$BQ$1006,0)))),"Fix")))</f>
        <v>#N/A</v>
      </c>
      <c r="N422" s="5" t="e">
        <f ca="1">IF(OR(INDEX($AI$2:$AI$1001,MATCH(ROWS($AH$2:AH422),$AH$2:$AH$1001,0),1)&gt;=100000,INDEX($AO$1005:$BQ$1005,1,MATCH(COLUMNS($AO$1006:BA1006),$AO$1006:$BQ$1006,0))&gt;=100000), " ",IF(INDEX($AO$2:$BQ$1001,MATCH(ROWS($AH$2:AH422),$AH$2:$AH$1001,0),MATCH(COLUMNS($AO$1006:BA1006),$AO$1006:$BQ$1006,0)), HYPERLINK("#",""), HYPERLINK(CONCATENATE("#Metadata!", ADDRESS(INDEX($AJ$2:$AJ$1001,MATCH(ROWS($AH$2:AH422),$AH$2:$AH$1001,0),0), INDEX($AO$1004:$BQ$1004,1,MATCH(COLUMNS($AO$1006:BA1006),$AO$1006:$BQ$1006,0)))),"Fix")))</f>
        <v>#N/A</v>
      </c>
      <c r="O422" s="5" t="e">
        <f ca="1">IF(OR(INDEX($AI$2:$AI$1001,MATCH(ROWS($AH$2:AH422),$AH$2:$AH$1001,0),1)&gt;=100000,INDEX($AO$1005:$BQ$1005,1,MATCH(COLUMNS($AO$1006:BB1006),$AO$1006:$BQ$1006,0))&gt;=100000), " ",IF(INDEX($AO$2:$BQ$1001,MATCH(ROWS($AH$2:AH422),$AH$2:$AH$1001,0),MATCH(COLUMNS($AO$1006:BB1006),$AO$1006:$BQ$1006,0)), HYPERLINK("#",""), HYPERLINK(CONCATENATE("#Metadata!", ADDRESS(INDEX($AJ$2:$AJ$1001,MATCH(ROWS($AH$2:AH422),$AH$2:$AH$1001,0),0), INDEX($AO$1004:$BQ$1004,1,MATCH(COLUMNS($AO$1006:BB1006),$AO$1006:$BQ$1006,0)))),"Fix")))</f>
        <v>#N/A</v>
      </c>
      <c r="P422" s="5" t="e">
        <f ca="1">IF(OR(INDEX($AI$2:$AI$1001,MATCH(ROWS($AH$2:AH422),$AH$2:$AH$1001,0),1)&gt;=100000,INDEX($AO$1005:$BQ$1005,1,MATCH(COLUMNS($AO$1006:BC1006),$AO$1006:$BQ$1006,0))&gt;=100000), " ",IF(INDEX($AO$2:$BQ$1001,MATCH(ROWS($AH$2:AH422),$AH$2:$AH$1001,0),MATCH(COLUMNS($AO$1006:BC1006),$AO$1006:$BQ$1006,0)), HYPERLINK("#",""), HYPERLINK(CONCATENATE("#Metadata!", ADDRESS(INDEX($AJ$2:$AJ$1001,MATCH(ROWS($AH$2:AH422),$AH$2:$AH$1001,0),0), INDEX($AO$1004:$BQ$1004,1,MATCH(COLUMNS($AO$1006:BC1006),$AO$1006:$BQ$1006,0)))),"Fix")))</f>
        <v>#N/A</v>
      </c>
      <c r="Q422" s="5" t="e">
        <f ca="1">IF(OR(INDEX($AI$2:$AI$1001,MATCH(ROWS($AH$2:AH422),$AH$2:$AH$1001,0),1)&gt;=100000,INDEX($AO$1005:$BQ$1005,1,MATCH(COLUMNS($AO$1006:BD1006),$AO$1006:$BQ$1006,0))&gt;=100000), " ",IF(INDEX($AO$2:$BQ$1001,MATCH(ROWS($AH$2:AH422),$AH$2:$AH$1001,0),MATCH(COLUMNS($AO$1006:BD1006),$AO$1006:$BQ$1006,0)), HYPERLINK("#",""), HYPERLINK(CONCATENATE("#Metadata!", ADDRESS(INDEX($AJ$2:$AJ$1001,MATCH(ROWS($AH$2:AH422),$AH$2:$AH$1001,0),0), INDEX($AO$1004:$BQ$1004,1,MATCH(COLUMNS($AO$1006:BD1006),$AO$1006:$BQ$1006,0)))),"Fix")))</f>
        <v>#N/A</v>
      </c>
      <c r="R422" s="5" t="e">
        <f ca="1">IF(OR(INDEX($AI$2:$AI$1001,MATCH(ROWS($AH$2:AH422),$AH$2:$AH$1001,0),1)&gt;=100000,INDEX($AO$1005:$BQ$1005,1,MATCH(COLUMNS($AO$1006:BE1006),$AO$1006:$BQ$1006,0))&gt;=100000), " ",IF(INDEX($AO$2:$BQ$1001,MATCH(ROWS($AH$2:AH422),$AH$2:$AH$1001,0),MATCH(COLUMNS($AO$1006:BE1006),$AO$1006:$BQ$1006,0)), HYPERLINK("#",""), HYPERLINK(CONCATENATE("#Metadata!", ADDRESS(INDEX($AJ$2:$AJ$1001,MATCH(ROWS($AH$2:AH422),$AH$2:$AH$1001,0),0), INDEX($AO$1004:$BQ$1004,1,MATCH(COLUMNS($AO$1006:BE1006),$AO$1006:$BQ$1006,0)))),"Fix")))</f>
        <v>#N/A</v>
      </c>
      <c r="S422" s="5" t="e">
        <f ca="1">IF(OR(INDEX($AI$2:$AI$1001,MATCH(ROWS($AH$2:AH422),$AH$2:$AH$1001,0),1)&gt;=100000,INDEX($AO$1005:$BQ$1005,1,MATCH(COLUMNS($AO$1006:BF1006),$AO$1006:$BQ$1006,0))&gt;=100000), " ",IF(INDEX($AO$2:$BQ$1001,MATCH(ROWS($AH$2:AH422),$AH$2:$AH$1001,0),MATCH(COLUMNS($AO$1006:BF1006),$AO$1006:$BQ$1006,0)), HYPERLINK("#",""), HYPERLINK(CONCATENATE("#Metadata!", ADDRESS(INDEX($AJ$2:$AJ$1001,MATCH(ROWS($AH$2:AH422),$AH$2:$AH$1001,0),0), INDEX($AO$1004:$BQ$1004,1,MATCH(COLUMNS($AO$1006:BF1006),$AO$1006:$BQ$1006,0)))),"Fix")))</f>
        <v>#N/A</v>
      </c>
      <c r="T422" s="5" t="e">
        <f ca="1">IF(OR(INDEX($AI$2:$AI$1001,MATCH(ROWS($AH$2:AH422),$AH$2:$AH$1001,0),1)&gt;=100000,INDEX($AO$1005:$BQ$1005,1,MATCH(COLUMNS($AO$1006:BG1006),$AO$1006:$BQ$1006,0))&gt;=100000), " ",IF(INDEX($AO$2:$BQ$1001,MATCH(ROWS($AH$2:AH422),$AH$2:$AH$1001,0),MATCH(COLUMNS($AO$1006:BG1006),$AO$1006:$BQ$1006,0)), HYPERLINK("#",""), HYPERLINK(CONCATENATE("#Metadata!", ADDRESS(INDEX($AJ$2:$AJ$1001,MATCH(ROWS($AH$2:AH422),$AH$2:$AH$1001,0),0), INDEX($AO$1004:$BQ$1004,1,MATCH(COLUMNS($AO$1006:BG1006),$AO$1006:$BQ$1006,0)))),"Fix")))</f>
        <v>#N/A</v>
      </c>
      <c r="U422" s="5" t="e">
        <f ca="1">IF(OR(INDEX($AI$2:$AI$1001,MATCH(ROWS($AH$2:AH422),$AH$2:$AH$1001,0),1)&gt;=100000,INDEX($AO$1005:$BQ$1005,1,MATCH(COLUMNS($AO$1006:BH1006),$AO$1006:$BQ$1006,0))&gt;=100000), " ",IF(INDEX($AO$2:$BQ$1001,MATCH(ROWS($AH$2:AH422),$AH$2:$AH$1001,0),MATCH(COLUMNS($AO$1006:BH1006),$AO$1006:$BQ$1006,0)), HYPERLINK("#",""), HYPERLINK(CONCATENATE("#Metadata!", ADDRESS(INDEX($AJ$2:$AJ$1001,MATCH(ROWS($AH$2:AH422),$AH$2:$AH$1001,0),0), INDEX($AO$1004:$BQ$1004,1,MATCH(COLUMNS($AO$1006:BH1006),$AO$1006:$BQ$1006,0)))),"Fix")))</f>
        <v>#N/A</v>
      </c>
      <c r="V422" s="5" t="e">
        <f ca="1">IF(OR(INDEX($AI$2:$AI$1001,MATCH(ROWS($AH$2:AH422),$AH$2:$AH$1001,0),1)&gt;=100000,INDEX($AO$1005:$BQ$1005,1,MATCH(COLUMNS($AO$1006:BI1006),$AO$1006:$BQ$1006,0))&gt;=100000), " ",IF(INDEX($AO$2:$BQ$1001,MATCH(ROWS($AH$2:AH422),$AH$2:$AH$1001,0),MATCH(COLUMNS($AO$1006:BI1006),$AO$1006:$BQ$1006,0)), HYPERLINK("#",""), HYPERLINK(CONCATENATE("#Metadata!", ADDRESS(INDEX($AJ$2:$AJ$1001,MATCH(ROWS($AH$2:AH422),$AH$2:$AH$1001,0),0), INDEX($AO$1004:$BQ$1004,1,MATCH(COLUMNS($AO$1006:BI1006),$AO$1006:$BQ$1006,0)))),"Fix")))</f>
        <v>#N/A</v>
      </c>
      <c r="W422" s="5" t="e">
        <f ca="1">IF(OR(INDEX($AI$2:$AI$1001,MATCH(ROWS($AH$2:AH422),$AH$2:$AH$1001,0),1)&gt;=100000,INDEX($AO$1005:$BQ$1005,1,MATCH(COLUMNS($AO$1006:BJ1006),$AO$1006:$BQ$1006,0))&gt;=100000), " ",IF(INDEX($AO$2:$BQ$1001,MATCH(ROWS($AH$2:AH422),$AH$2:$AH$1001,0),MATCH(COLUMNS($AO$1006:BJ1006),$AO$1006:$BQ$1006,0)), HYPERLINK("#",""), HYPERLINK(CONCATENATE("#Metadata!", ADDRESS(INDEX($AJ$2:$AJ$1001,MATCH(ROWS($AH$2:AH422),$AH$2:$AH$1001,0),0), INDEX($AO$1004:$BQ$1004,1,MATCH(COLUMNS($AO$1006:BJ1006),$AO$1006:$BQ$1006,0)))),"Fix")))</f>
        <v>#N/A</v>
      </c>
      <c r="X422" s="5" t="e">
        <f ca="1">IF(OR(INDEX($AI$2:$AI$1001,MATCH(ROWS($AH$2:AH422),$AH$2:$AH$1001,0),1)&gt;=100000,INDEX($AO$1005:$BQ$1005,1,MATCH(COLUMNS($AO$1006:BK1006),$AO$1006:$BQ$1006,0))&gt;=100000), " ",IF(INDEX($AO$2:$BQ$1001,MATCH(ROWS($AH$2:AH422),$AH$2:$AH$1001,0),MATCH(COLUMNS($AO$1006:BK1006),$AO$1006:$BQ$1006,0)), HYPERLINK("#",""), HYPERLINK(CONCATENATE("#Metadata!", ADDRESS(INDEX($AJ$2:$AJ$1001,MATCH(ROWS($AH$2:AH422),$AH$2:$AH$1001,0),0), INDEX($AO$1004:$BQ$1004,1,MATCH(COLUMNS($AO$1006:BK1006),$AO$1006:$BQ$1006,0)))),"Fix")))</f>
        <v>#N/A</v>
      </c>
      <c r="Y422" s="5" t="e">
        <f ca="1">IF(OR(INDEX($AI$2:$AI$1001,MATCH(ROWS($AH$2:AH422),$AH$2:$AH$1001,0),1)&gt;=100000,INDEX($AO$1005:$BQ$1005,1,MATCH(COLUMNS($AO$1006:BL1006),$AO$1006:$BQ$1006,0))&gt;=100000), " ",IF(INDEX($AO$2:$BQ$1001,MATCH(ROWS($AH$2:AH422),$AH$2:$AH$1001,0),MATCH(COLUMNS($AO$1006:BL1006),$AO$1006:$BQ$1006,0)), HYPERLINK("#",""), HYPERLINK(CONCATENATE("#Metadata!", ADDRESS(INDEX($AJ$2:$AJ$1001,MATCH(ROWS($AH$2:AH422),$AH$2:$AH$1001,0),0), INDEX($AO$1004:$BQ$1004,1,MATCH(COLUMNS($AO$1006:BL1006),$AO$1006:$BQ$1006,0)))),"Fix")))</f>
        <v>#N/A</v>
      </c>
      <c r="Z422" s="5" t="e">
        <f ca="1">IF(OR(INDEX($AI$2:$AI$1001,MATCH(ROWS($AH$2:AH422),$AH$2:$AH$1001,0),1)&gt;=100000,INDEX($AO$1005:$BQ$1005,1,MATCH(COLUMNS($AO$1006:BM1006),$AO$1006:$BQ$1006,0))&gt;=100000), " ",IF(INDEX($AO$2:$BQ$1001,MATCH(ROWS($AH$2:AH422),$AH$2:$AH$1001,0),MATCH(COLUMNS($AO$1006:BM1006),$AO$1006:$BQ$1006,0)), HYPERLINK("#",""), HYPERLINK(CONCATENATE("#Metadata!", ADDRESS(INDEX($AJ$2:$AJ$1001,MATCH(ROWS($AH$2:AH422),$AH$2:$AH$1001,0),0), INDEX($AO$1004:$BQ$1004,1,MATCH(COLUMNS($AO$1006:BM1006),$AO$1006:$BQ$1006,0)))),"Fix")))</f>
        <v>#N/A</v>
      </c>
      <c r="AA422" s="5" t="e">
        <f ca="1">IF(OR(INDEX($AI$2:$AI$1001,MATCH(ROWS($AH$2:AH422),$AH$2:$AH$1001,0),1)&gt;=100000,INDEX($AO$1005:$BQ$1005,1,MATCH(COLUMNS($AO$1006:BN1006),$AO$1006:$BQ$1006,0))&gt;=100000), " ",IF(INDEX($AO$2:$BQ$1001,MATCH(ROWS($AH$2:AH422),$AH$2:$AH$1001,0),MATCH(COLUMNS($AO$1006:BN1006),$AO$1006:$BQ$1006,0)), HYPERLINK("#",""), HYPERLINK(CONCATENATE("#Metadata!", ADDRESS(INDEX($AJ$2:$AJ$1001,MATCH(ROWS($AH$2:AH422),$AH$2:$AH$1001,0),0), INDEX($AO$1004:$BQ$1004,1,MATCH(COLUMNS($AO$1006:BN1006),$AO$1006:$BQ$1006,0)))),"Fix")))</f>
        <v>#N/A</v>
      </c>
      <c r="AB422" s="5" t="e">
        <f ca="1">IF(OR(INDEX($AI$2:$AI$1001,MATCH(ROWS($AH$2:AH422),$AH$2:$AH$1001,0),1)&gt;=100000,INDEX($AO$1005:$BQ$1005,1,MATCH(COLUMNS($AO$1006:BO1006),$AO$1006:$BQ$1006,0))&gt;=100000), " ",IF(INDEX($AO$2:$BQ$1001,MATCH(ROWS($AH$2:AH422),$AH$2:$AH$1001,0),MATCH(COLUMNS($AO$1006:BO1006),$AO$1006:$BQ$1006,0)), HYPERLINK("#",""), HYPERLINK(CONCATENATE("#Metadata!", ADDRESS(INDEX($AJ$2:$AJ$1001,MATCH(ROWS($AH$2:AH422),$AH$2:$AH$1001,0),0), INDEX($AO$1004:$BQ$1004,1,MATCH(COLUMNS($AO$1006:BO1006),$AO$1006:$BQ$1006,0)))),"Fix")))</f>
        <v>#N/A</v>
      </c>
      <c r="AC422" s="5" t="e">
        <f ca="1">IF(OR(INDEX($AI$2:$AI$1001,MATCH(ROWS($AH$2:AH422),$AH$2:$AH$1001,0),1)&gt;=100000,INDEX($AO$1005:$BQ$1005,1,MATCH(COLUMNS($AO$1006:BP1006),$AO$1006:$BQ$1006,0))&gt;=100000), " ",IF(INDEX($AO$2:$BQ$1001,MATCH(ROWS($AH$2:AH422),$AH$2:$AH$1001,0),MATCH(COLUMNS($AO$1006:BP1006),$AO$1006:$BQ$1006,0)), HYPERLINK("#",""), HYPERLINK(CONCATENATE("#Metadata!", ADDRESS(INDEX($AJ$2:$AJ$1001,MATCH(ROWS($AH$2:AH422),$AH$2:$AH$1001,0),0), INDEX($AO$1004:$BQ$1004,1,MATCH(COLUMNS($AO$1006:BP1006),$AO$1006:$BQ$1006,0)))),"Fix")))</f>
        <v>#N/A</v>
      </c>
      <c r="AD422" s="5" t="e">
        <f ca="1">IF(OR(INDEX($AI$2:$AI$1001,MATCH(ROWS($AH$2:AH422),$AH$2:$AH$1001,0),1)&gt;=100000,INDEX($AO$1005:$BQ$1005,1,MATCH(COLUMNS($AO$1006:BQ1006),$AO$1006:$BQ$1006,0))&gt;=100000), " ",IF(INDEX($AO$2:$BQ$1001,MATCH(ROWS($AH$2:AH422),$AH$2:$AH$1001,0),MATCH(COLUMNS($AO$1006:BQ1006),$AO$1006:$BQ$1006,0)), HYPERLINK("#",""), HYPERLINK(CONCATENATE("#Metadata!", ADDRESS(INDEX($AJ$2:$AJ$1001,MATCH(ROWS($AH$2:AH422),$AH$2:$AH$1001,0),0), INDEX($AO$1004:$BQ$1004,1,MATCH(COLUMNS($AO$1006:BQ1006),$AO$1006:$BQ$1006,0)))),"Fix")))</f>
        <v>#REF!</v>
      </c>
      <c r="AH422">
        <f ca="1"/>
        <v>419</v>
      </c>
      <c r="AI422">
        <v>100422</v>
      </c>
      <c r="AJ422">
        <v>422</v>
      </c>
      <c r="AK422" t="b">
        <f t="shared" si="6"/>
        <v>1</v>
      </c>
      <c r="AL422" t="b">
        <f>COUNTBLANK(Metadata!B422:AD422)=COLUMNS(Metadata!B422:AD422)</f>
        <v>1</v>
      </c>
      <c r="AM422" t="str">
        <v/>
      </c>
      <c r="AO422" t="b">
        <f ca="1">AND(IF(Metadata!B422="",FALSE,TRUE),COUNTIF(Metadata!B:B, Metadata!B422) = 1,NOT(ISERROR(SUMPRODUCT(SEARCH(MID(Metadata!B422,ROW(INDIRECT("1:"&amp;LEN(Metadata!B422))), 1),"0123456789abcdefghijklmnopqrstuvwxyzABCDEFGHIJKLMNOPQRSTUVWXYZ.")))))</f>
        <v>0</v>
      </c>
      <c r="AP422" t="b">
        <f>IF(Metadata!C422="",FALSE,TRUE)</f>
        <v>0</v>
      </c>
      <c r="AQ422" t="b">
        <f>IF(Metadata!D422="",FALSE,TRUE)</f>
        <v>0</v>
      </c>
      <c r="AR422" t="b">
        <f ca="1">OR(AND(IF(Metadata!E422="",FALSE,TRUE),OR(EXACT(Metadata!E422,"not collected"),EXACT(Metadata!E422,"not provided"),EXACT(Metadata!E422,"restricted access"))),AND(IF(Metadata!E422="",FALSE,TRUE),AND(AND(IFERROR(INT(LEFT(Metadata!E422,4))&gt;1900,FALSE),IFERROR(INT(LEFT(Metadata!E422,4))&lt;=YEAR(NOW()),FALSE)), OR(MID(Metadata!E422,5,1)="", AND(AND(MID(Metadata!E422,5,1)="-",IFERROR(INT(MID(Metadata!E422,6,1))&gt;=0,FALSE),IFERROR(INT(MID(Metadata!E422,6,1))&lt;=1,FALSE),NOT(MID(Metadata!E422,7,1)=""),IFERROR(INT(MID(Metadata!E422,6,2))&gt;=1,FALSE),IFERROR(INT(MID(Metadata!E422,6,2))&lt;=12,FALSE)), OR(MID(Metadata!E422,8,1)="", AND(AND(MID(Metadata!E422,8,1)="-",IFERROR(INT(MID(Metadata!E422,9,1))&gt;=0,FALSE),IFERROR(INT(MID(Metadata!E422,9,1))&lt;=3,FALSE),NOT(MID(Metadata!E422,10,1)=""),IFERROR(INT(MID(Metadata!E422,9,2))&gt;=1,FALSE),IFERROR(INT(MID(Metadata!E422,9,2))&lt;=31,FALSE)), OR(MID(Metadata!E422,11,1)="", AND(AND(MID(Metadata!E422,11,1)=" ",IFERROR(INT(MID(Metadata!E422,12,1))&gt;=0,FALSE),IFERROR(INT(MID(Metadata!E422,12,1))&lt;=2,FALSE),NOT(MID(Metadata!E422,13,1)=""),IFERROR(INT(MID(Metadata!E422,12,2))&gt;=0,FALSE),IFERROR(INT(MID(Metadata!E422,12,2))&lt;=23,FALSE)), OR(MID(Metadata!E422,14,1)="", AND(AND(MID(Metadata!E422,14,1)=":",IFERROR(INT(MID(Metadata!E422,15,1))&gt;=0,FALSE),IFERROR(INT(MID(Metadata!E422,15,1))&lt;=5,FALSE),NOT(MID(Metadata!E422,16,1)=""),IFERROR(INT(MID(Metadata!E422,15,2))&gt;=0,FALSE),IFERROR(INT(MID(Metadata!E422,15,2))&lt;=59,FALSE)), OR(MID(Metadata!E422,17,1)="", AND(AND(MID(Metadata!E422,17,1)=":",IFERROR(INT(MID(Metadata!E422,18,1))&gt;=0,FALSE),IFERROR(INT(MID(Metadata!E422,18,1))&lt;=5,FALSE),NOT(MID(Metadata!E422,19,1)=""),IFERROR(INT(MID(Metadata!E422,18,2))&gt;=0,FALSE),IFERROR(INT(MID(Metadata!E422,18,2))&lt;=59,FALSE)), LEN(Metadata!E422)&lt;=19)))))))))))))</f>
        <v>0</v>
      </c>
      <c r="AS422" t="b">
        <f>IF(Metadata!F422="",FALSE,TRUE)</f>
        <v>0</v>
      </c>
      <c r="AT422" t="b">
        <f>OR(AND(IF(Metadata!G422="",FALSE,TRUE),OR(EXACT(Metadata!G422,"not collected"),EXACT(Metadata!G422,"not provided"))),AND(IF(Metadata!G422="",FALSE,TRUE),OR(EXACT(Metadata!G422,"TRUE"),EXACT(Metadata!G422,"FALSE"))))</f>
        <v>0</v>
      </c>
      <c r="AU422" t="b">
        <f>OR(AND(IF(Metadata!H422="",FALSE,TRUE),OR(EXACT(Metadata!H422,"not collected"),EXACT(Metadata!H422,"not provided"),EXACT(Metadata!H422,"restricted access"))),AND(IF(Metadata!H422="",FALSE,ISNUMBER(VALUE(Metadata!H422))),Metadata!H422&gt;=-413))</f>
        <v>0</v>
      </c>
      <c r="AV422" t="b">
        <f>AND(IF(Metadata!I422="",FALSE,TRUE),EXACT(Metadata!I422,"meters"))</f>
        <v>0</v>
      </c>
      <c r="AW422" t="b">
        <f>AND(IF(Metadata!J422="",FALSE,TRUE),EXACT(Metadata!J422,"free-living"))</f>
        <v>0</v>
      </c>
      <c r="AX422" t="b">
        <f>AND(IF(Metadata!K422="",FALSE,TRUE),OR(EXACT(Metadata!K422,"saline"),EXACT(Metadata!K422,"non-saline")))</f>
        <v>0</v>
      </c>
      <c r="AY422" t="b">
        <f>AND(IF(Metadata!L422="",FALSE,TRUE),OR(EXACT(Metadata!L422,"sub-surface (non-saline)"),EXACT(Metadata!L422,"surface (non-saline)"),EXACT(Metadata!L422,"water (non-saline)"),EXACT(Metadata!L422,"soil (non-saline)"),EXACT(Metadata!L422,"aerosol (non-saline)"),EXACT(Metadata!L422,"sediment (non-saline)"),EXACT(Metadata!L422,"surface (saline)"),EXACT(Metadata!L422,"water (saline)"),EXACT(Metadata!L422,"hypersaline (saline)"),EXACT(Metadata!L422,"aerosol (saline)"),EXACT(Metadata!L422,"sediment (saline)")))</f>
        <v>0</v>
      </c>
      <c r="AZ422" t="b">
        <f>IF(Metadata!M422="",FALSE,TRUE)</f>
        <v>0</v>
      </c>
      <c r="BA422" t="b">
        <f>IF(Metadata!N422="",FALSE,TRUE)</f>
        <v>0</v>
      </c>
      <c r="BB422" t="b">
        <f>IF(Metadata!O422="",FALSE,TRUE)</f>
        <v>0</v>
      </c>
      <c r="BC422" t="b">
        <f>AND(IF(Metadata!P422="",FALSE,TRUE),OR(EXACT(Metadata!P422,"air"),EXACT(Metadata!P422,"microbial mat/biofilm"),EXACT(Metadata!P422,"misc environment"),EXACT(Metadata!P422,"sediment"),EXACT(Metadata!P422,"soil"),EXACT(Metadata!P422,"wastewater/sludge"),EXACT(Metadata!P422,"water")))</f>
        <v>0</v>
      </c>
      <c r="BD422" t="b">
        <f>IF(Metadata!Q422="",FALSE,TRUE)</f>
        <v>0</v>
      </c>
      <c r="BE422" t="b">
        <f>IF(Metadata!R422="",FALSE,TRUE)</f>
        <v>0</v>
      </c>
      <c r="BF422" t="b">
        <f>OR(AND(IF(Metadata!S422="",FALSE,TRUE),OR(EXACT(Metadata!S422,"not collected"),EXACT(Metadata!S422,"not provided"),EXACT(Metadata!S422,"restricted access"))),AND(IF(Metadata!S422="",FALSE,ISNUMBER(VALUE(Metadata!S422))),Metadata!S422&gt;=-90,Metadata!S422&lt;=90))</f>
        <v>0</v>
      </c>
      <c r="BG422" t="b">
        <f>AND(IF(Metadata!T422="",FALSE,TRUE),EXACT(Metadata!T422,"Decimal degrees"))</f>
        <v>0</v>
      </c>
      <c r="BH422" t="b">
        <f>OR(AND(IF(Metadata!U422="",FALSE,TRUE),OR(EXACT(Metadata!U422,"not applicable"),EXACT(Metadata!U422,"not collected"))),IF(Metadata!U422="",FALSE,TRUE))</f>
        <v>0</v>
      </c>
      <c r="BI422" t="b">
        <f>OR(AND(IF(Metadata!V422="",FALSE,TRUE),OR(EXACT(Metadata!V422,"not collected"),EXACT(Metadata!V422,"not provided"),EXACT(Metadata!V422,"restricted access"))),AND(IF(Metadata!V422="",FALSE,ISNUMBER(VALUE(Metadata!V422))),Metadata!V422&gt;=-180,Metadata!V422&lt;=180))</f>
        <v>0</v>
      </c>
      <c r="BJ422" t="b">
        <f>AND(IF(Metadata!W422="",FALSE,TRUE),EXACT(Metadata!W422,"Decimal degrees"))</f>
        <v>0</v>
      </c>
      <c r="BK422" t="b">
        <f>IF(Metadata!X422="",FALSE,TRUE)</f>
        <v>0</v>
      </c>
      <c r="BL422" t="b">
        <f>OR(AND(IF(Metadata!Y422="",FALSE,TRUE),OR(EXACT(Metadata!Y422,"not collected"),EXACT(Metadata!Y422,"not provided"),EXACT(Metadata!Y422,"restricted access"))),AND(IF(Metadata!Y422="",FALSE,TRUE),OR(EXACT(Metadata!Y422,"TRUE"),EXACT(Metadata!Y422,"FALSE"))))</f>
        <v>0</v>
      </c>
      <c r="BM422" t="b">
        <f>OR(AND(IF(Metadata!Z422="",FALSE,TRUE),EXACT(Metadata!Z422,"not applicable")),AND(IF(Metadata!Z422="",FALSE,TRUE),OR(EXACT(Metadata!Z422,"beer"),EXACT(Metadata!Z422,"cheese"),EXACT(Metadata!Z422,"fresh water"),EXACT(Metadata!Z422,"marine sediment"),EXACT(Metadata!Z422,"sea water"),EXACT(Metadata!Z422,"sediment"),EXACT(Metadata!Z422,"soil"),EXACT(Metadata!Z422,"waste water"))))</f>
        <v>0</v>
      </c>
      <c r="BN422" t="b">
        <f>AND(IF(Metadata!AA422="",FALSE,TRUE),EXACT(Metadata!AA422,"metagenome"))</f>
        <v>0</v>
      </c>
      <c r="BO422" t="b">
        <f>AND(IF(Metadata!AB422="",FALSE,TRUE),EXACT(Metadata!AB422,"256318"))</f>
        <v>0</v>
      </c>
      <c r="BP422" t="b">
        <f>IF(Metadata!AC422="",FALSE,TRUE)</f>
        <v>0</v>
      </c>
      <c r="BQ422" t="b">
        <f>IF(Metadata!AD422="",FALSE,TRUE)</f>
        <v>0</v>
      </c>
    </row>
    <row r="423" spans="1:69" x14ac:dyDescent="0.2">
      <c r="A423" s="4" t="e">
        <f ca="1">IF(B423=" "," ",HYPERLINK(CONCATENATE("#metadata!",ADDRESS(INDEX($AJ$2:$AJ$1001,MATCH(ROWS($AH$2:AH423),$AH$2:$AH$1001,0),0),2)),INDEX($AM$2:$AM$1001,MATCH(ROWS($AH$2:AH423),$AH$2:$AH$1001,0),0)))</f>
        <v>#N/A</v>
      </c>
      <c r="B423" s="5" t="e">
        <f ca="1">IF(OR(INDEX($AI$2:$AI$1001,MATCH(ROWS($AH$2:AH423),$AH$2:$AH$1001,0),1)&gt;=100000,INDEX($AO$1005:$BQ$1005,1,MATCH(COLUMNS($AO$1006:AO1006),$AO$1006:$BQ$1006,0))&gt;=100000), " ",IF(INDEX($AO$2:$BQ$1001,MATCH(ROWS($AH$2:AH423),$AH$2:$AH$1001,0),MATCH(COLUMNS($AO$1006:AO1006),$AO$1006:$BQ$1006,0)), HYPERLINK("#",""), HYPERLINK(CONCATENATE("#Metadata!", ADDRESS(INDEX($AJ$2:$AJ$1001,MATCH(ROWS($AH$2:AH423),$AH$2:$AH$1001,0),0), INDEX($AO$1004:$BQ$1004,1,MATCH(COLUMNS($AO$1006:AO1006),$AO$1006:$BQ$1006,0)))),"Fix")))</f>
        <v>#N/A</v>
      </c>
      <c r="C423" s="5" t="e">
        <f ca="1">IF(OR(INDEX($AI$2:$AI$1001,MATCH(ROWS($AH$2:AH423),$AH$2:$AH$1001,0),1)&gt;=100000,INDEX($AO$1005:$BQ$1005,1,MATCH(COLUMNS($AO$1006:AP1006),$AO$1006:$BQ$1006,0))&gt;=100000), " ",IF(INDEX($AO$2:$BQ$1001,MATCH(ROWS($AH$2:AH423),$AH$2:$AH$1001,0),MATCH(COLUMNS($AO$1006:AP1006),$AO$1006:$BQ$1006,0)), HYPERLINK("#",""), HYPERLINK(CONCATENATE("#Metadata!", ADDRESS(INDEX($AJ$2:$AJ$1001,MATCH(ROWS($AH$2:AH423),$AH$2:$AH$1001,0),0), INDEX($AO$1004:$BQ$1004,1,MATCH(COLUMNS($AO$1006:AP1006),$AO$1006:$BQ$1006,0)))),"Fix")))</f>
        <v>#N/A</v>
      </c>
      <c r="D423" s="5" t="e">
        <f ca="1">IF(OR(INDEX($AI$2:$AI$1001,MATCH(ROWS($AH$2:AH423),$AH$2:$AH$1001,0),1)&gt;=100000,INDEX($AO$1005:$BQ$1005,1,MATCH(COLUMNS($AO$1006:AQ1006),$AO$1006:$BQ$1006,0))&gt;=100000), " ",IF(INDEX($AO$2:$BQ$1001,MATCH(ROWS($AH$2:AH423),$AH$2:$AH$1001,0),MATCH(COLUMNS($AO$1006:AQ1006),$AO$1006:$BQ$1006,0)), HYPERLINK("#",""), HYPERLINK(CONCATENATE("#Metadata!", ADDRESS(INDEX($AJ$2:$AJ$1001,MATCH(ROWS($AH$2:AH423),$AH$2:$AH$1001,0),0), INDEX($AO$1004:$BQ$1004,1,MATCH(COLUMNS($AO$1006:AQ1006),$AO$1006:$BQ$1006,0)))),"Fix")))</f>
        <v>#N/A</v>
      </c>
      <c r="E423" s="5" t="e">
        <f ca="1">IF(OR(INDEX($AI$2:$AI$1001,MATCH(ROWS($AH$2:AH423),$AH$2:$AH$1001,0),1)&gt;=100000,INDEX($AO$1005:$BQ$1005,1,MATCH(COLUMNS($AO$1006:AR1006),$AO$1006:$BQ$1006,0))&gt;=100000), " ",IF(INDEX($AO$2:$BQ$1001,MATCH(ROWS($AH$2:AH423),$AH$2:$AH$1001,0),MATCH(COLUMNS($AO$1006:AR1006),$AO$1006:$BQ$1006,0)), HYPERLINK("#",""), HYPERLINK(CONCATENATE("#Metadata!", ADDRESS(INDEX($AJ$2:$AJ$1001,MATCH(ROWS($AH$2:AH423),$AH$2:$AH$1001,0),0), INDEX($AO$1004:$BQ$1004,1,MATCH(COLUMNS($AO$1006:AR1006),$AO$1006:$BQ$1006,0)))),"Fix")))</f>
        <v>#N/A</v>
      </c>
      <c r="F423" s="5" t="e">
        <f ca="1">IF(OR(INDEX($AI$2:$AI$1001,MATCH(ROWS($AH$2:AH423),$AH$2:$AH$1001,0),1)&gt;=100000,INDEX($AO$1005:$BQ$1005,1,MATCH(COLUMNS($AO$1006:AS1006),$AO$1006:$BQ$1006,0))&gt;=100000), " ",IF(INDEX($AO$2:$BQ$1001,MATCH(ROWS($AH$2:AH423),$AH$2:$AH$1001,0),MATCH(COLUMNS($AO$1006:AS1006),$AO$1006:$BQ$1006,0)), HYPERLINK("#",""), HYPERLINK(CONCATENATE("#Metadata!", ADDRESS(INDEX($AJ$2:$AJ$1001,MATCH(ROWS($AH$2:AH423),$AH$2:$AH$1001,0),0), INDEX($AO$1004:$BQ$1004,1,MATCH(COLUMNS($AO$1006:AS1006),$AO$1006:$BQ$1006,0)))),"Fix")))</f>
        <v>#N/A</v>
      </c>
      <c r="G423" s="5" t="e">
        <f ca="1">IF(OR(INDEX($AI$2:$AI$1001,MATCH(ROWS($AH$2:AH423),$AH$2:$AH$1001,0),1)&gt;=100000,INDEX($AO$1005:$BQ$1005,1,MATCH(COLUMNS($AO$1006:AT1006),$AO$1006:$BQ$1006,0))&gt;=100000), " ",IF(INDEX($AO$2:$BQ$1001,MATCH(ROWS($AH$2:AH423),$AH$2:$AH$1001,0),MATCH(COLUMNS($AO$1006:AT1006),$AO$1006:$BQ$1006,0)), HYPERLINK("#",""), HYPERLINK(CONCATENATE("#Metadata!", ADDRESS(INDEX($AJ$2:$AJ$1001,MATCH(ROWS($AH$2:AH423),$AH$2:$AH$1001,0),0), INDEX($AO$1004:$BQ$1004,1,MATCH(COLUMNS($AO$1006:AT1006),$AO$1006:$BQ$1006,0)))),"Fix")))</f>
        <v>#N/A</v>
      </c>
      <c r="H423" s="5" t="e">
        <f ca="1">IF(OR(INDEX($AI$2:$AI$1001,MATCH(ROWS($AH$2:AH423),$AH$2:$AH$1001,0),1)&gt;=100000,INDEX($AO$1005:$BQ$1005,1,MATCH(COLUMNS($AO$1006:AU1006),$AO$1006:$BQ$1006,0))&gt;=100000), " ",IF(INDEX($AO$2:$BQ$1001,MATCH(ROWS($AH$2:AH423),$AH$2:$AH$1001,0),MATCH(COLUMNS($AO$1006:AU1006),$AO$1006:$BQ$1006,0)), HYPERLINK("#",""), HYPERLINK(CONCATENATE("#Metadata!", ADDRESS(INDEX($AJ$2:$AJ$1001,MATCH(ROWS($AH$2:AH423),$AH$2:$AH$1001,0),0), INDEX($AO$1004:$BQ$1004,1,MATCH(COLUMNS($AO$1006:AU1006),$AO$1006:$BQ$1006,0)))),"Fix")))</f>
        <v>#N/A</v>
      </c>
      <c r="I423" s="5" t="e">
        <f ca="1">IF(OR(INDEX($AI$2:$AI$1001,MATCH(ROWS($AH$2:AH423),$AH$2:$AH$1001,0),1)&gt;=100000,INDEX($AO$1005:$BQ$1005,1,MATCH(COLUMNS($AO$1006:AV1006),$AO$1006:$BQ$1006,0))&gt;=100000), " ",IF(INDEX($AO$2:$BQ$1001,MATCH(ROWS($AH$2:AH423),$AH$2:$AH$1001,0),MATCH(COLUMNS($AO$1006:AV1006),$AO$1006:$BQ$1006,0)), HYPERLINK("#",""), HYPERLINK(CONCATENATE("#Metadata!", ADDRESS(INDEX($AJ$2:$AJ$1001,MATCH(ROWS($AH$2:AH423),$AH$2:$AH$1001,0),0), INDEX($AO$1004:$BQ$1004,1,MATCH(COLUMNS($AO$1006:AV1006),$AO$1006:$BQ$1006,0)))),"Fix")))</f>
        <v>#N/A</v>
      </c>
      <c r="J423" s="5" t="e">
        <f ca="1">IF(OR(INDEX($AI$2:$AI$1001,MATCH(ROWS($AH$2:AH423),$AH$2:$AH$1001,0),1)&gt;=100000,INDEX($AO$1005:$BQ$1005,1,MATCH(COLUMNS($AO$1006:AW1006),$AO$1006:$BQ$1006,0))&gt;=100000), " ",IF(INDEX($AO$2:$BQ$1001,MATCH(ROWS($AH$2:AH423),$AH$2:$AH$1001,0),MATCH(COLUMNS($AO$1006:AW1006),$AO$1006:$BQ$1006,0)), HYPERLINK("#",""), HYPERLINK(CONCATENATE("#Metadata!", ADDRESS(INDEX($AJ$2:$AJ$1001,MATCH(ROWS($AH$2:AH423),$AH$2:$AH$1001,0),0), INDEX($AO$1004:$BQ$1004,1,MATCH(COLUMNS($AO$1006:AW1006),$AO$1006:$BQ$1006,0)))),"Fix")))</f>
        <v>#N/A</v>
      </c>
      <c r="K423" s="5" t="e">
        <f ca="1">IF(OR(INDEX($AI$2:$AI$1001,MATCH(ROWS($AH$2:AH423),$AH$2:$AH$1001,0),1)&gt;=100000,INDEX($AO$1005:$BQ$1005,1,MATCH(COLUMNS($AO$1006:AX1006),$AO$1006:$BQ$1006,0))&gt;=100000), " ",IF(INDEX($AO$2:$BQ$1001,MATCH(ROWS($AH$2:AH423),$AH$2:$AH$1001,0),MATCH(COLUMNS($AO$1006:AX1006),$AO$1006:$BQ$1006,0)), HYPERLINK("#",""), HYPERLINK(CONCATENATE("#Metadata!", ADDRESS(INDEX($AJ$2:$AJ$1001,MATCH(ROWS($AH$2:AH423),$AH$2:$AH$1001,0),0), INDEX($AO$1004:$BQ$1004,1,MATCH(COLUMNS($AO$1006:AX1006),$AO$1006:$BQ$1006,0)))),"Fix")))</f>
        <v>#N/A</v>
      </c>
      <c r="L423" s="5" t="e">
        <f ca="1">IF(OR(INDEX($AI$2:$AI$1001,MATCH(ROWS($AH$2:AH423),$AH$2:$AH$1001,0),1)&gt;=100000,INDEX($AO$1005:$BQ$1005,1,MATCH(COLUMNS($AO$1006:AY1006),$AO$1006:$BQ$1006,0))&gt;=100000), " ",IF(INDEX($AO$2:$BQ$1001,MATCH(ROWS($AH$2:AH423),$AH$2:$AH$1001,0),MATCH(COLUMNS($AO$1006:AY1006),$AO$1006:$BQ$1006,0)), HYPERLINK("#",""), HYPERLINK(CONCATENATE("#Metadata!", ADDRESS(INDEX($AJ$2:$AJ$1001,MATCH(ROWS($AH$2:AH423),$AH$2:$AH$1001,0),0), INDEX($AO$1004:$BQ$1004,1,MATCH(COLUMNS($AO$1006:AY1006),$AO$1006:$BQ$1006,0)))),"Fix")))</f>
        <v>#N/A</v>
      </c>
      <c r="M423" s="5" t="e">
        <f ca="1">IF(OR(INDEX($AI$2:$AI$1001,MATCH(ROWS($AH$2:AH423),$AH$2:$AH$1001,0),1)&gt;=100000,INDEX($AO$1005:$BQ$1005,1,MATCH(COLUMNS($AO$1006:AZ1006),$AO$1006:$BQ$1006,0))&gt;=100000), " ",IF(INDEX($AO$2:$BQ$1001,MATCH(ROWS($AH$2:AH423),$AH$2:$AH$1001,0),MATCH(COLUMNS($AO$1006:AZ1006),$AO$1006:$BQ$1006,0)), HYPERLINK("#",""), HYPERLINK(CONCATENATE("#Metadata!", ADDRESS(INDEX($AJ$2:$AJ$1001,MATCH(ROWS($AH$2:AH423),$AH$2:$AH$1001,0),0), INDEX($AO$1004:$BQ$1004,1,MATCH(COLUMNS($AO$1006:AZ1006),$AO$1006:$BQ$1006,0)))),"Fix")))</f>
        <v>#N/A</v>
      </c>
      <c r="N423" s="5" t="e">
        <f ca="1">IF(OR(INDEX($AI$2:$AI$1001,MATCH(ROWS($AH$2:AH423),$AH$2:$AH$1001,0),1)&gt;=100000,INDEX($AO$1005:$BQ$1005,1,MATCH(COLUMNS($AO$1006:BA1006),$AO$1006:$BQ$1006,0))&gt;=100000), " ",IF(INDEX($AO$2:$BQ$1001,MATCH(ROWS($AH$2:AH423),$AH$2:$AH$1001,0),MATCH(COLUMNS($AO$1006:BA1006),$AO$1006:$BQ$1006,0)), HYPERLINK("#",""), HYPERLINK(CONCATENATE("#Metadata!", ADDRESS(INDEX($AJ$2:$AJ$1001,MATCH(ROWS($AH$2:AH423),$AH$2:$AH$1001,0),0), INDEX($AO$1004:$BQ$1004,1,MATCH(COLUMNS($AO$1006:BA1006),$AO$1006:$BQ$1006,0)))),"Fix")))</f>
        <v>#N/A</v>
      </c>
      <c r="O423" s="5" t="e">
        <f ca="1">IF(OR(INDEX($AI$2:$AI$1001,MATCH(ROWS($AH$2:AH423),$AH$2:$AH$1001,0),1)&gt;=100000,INDEX($AO$1005:$BQ$1005,1,MATCH(COLUMNS($AO$1006:BB1006),$AO$1006:$BQ$1006,0))&gt;=100000), " ",IF(INDEX($AO$2:$BQ$1001,MATCH(ROWS($AH$2:AH423),$AH$2:$AH$1001,0),MATCH(COLUMNS($AO$1006:BB1006),$AO$1006:$BQ$1006,0)), HYPERLINK("#",""), HYPERLINK(CONCATENATE("#Metadata!", ADDRESS(INDEX($AJ$2:$AJ$1001,MATCH(ROWS($AH$2:AH423),$AH$2:$AH$1001,0),0), INDEX($AO$1004:$BQ$1004,1,MATCH(COLUMNS($AO$1006:BB1006),$AO$1006:$BQ$1006,0)))),"Fix")))</f>
        <v>#N/A</v>
      </c>
      <c r="P423" s="5" t="e">
        <f ca="1">IF(OR(INDEX($AI$2:$AI$1001,MATCH(ROWS($AH$2:AH423),$AH$2:$AH$1001,0),1)&gt;=100000,INDEX($AO$1005:$BQ$1005,1,MATCH(COLUMNS($AO$1006:BC1006),$AO$1006:$BQ$1006,0))&gt;=100000), " ",IF(INDEX($AO$2:$BQ$1001,MATCH(ROWS($AH$2:AH423),$AH$2:$AH$1001,0),MATCH(COLUMNS($AO$1006:BC1006),$AO$1006:$BQ$1006,0)), HYPERLINK("#",""), HYPERLINK(CONCATENATE("#Metadata!", ADDRESS(INDEX($AJ$2:$AJ$1001,MATCH(ROWS($AH$2:AH423),$AH$2:$AH$1001,0),0), INDEX($AO$1004:$BQ$1004,1,MATCH(COLUMNS($AO$1006:BC1006),$AO$1006:$BQ$1006,0)))),"Fix")))</f>
        <v>#N/A</v>
      </c>
      <c r="Q423" s="5" t="e">
        <f ca="1">IF(OR(INDEX($AI$2:$AI$1001,MATCH(ROWS($AH$2:AH423),$AH$2:$AH$1001,0),1)&gt;=100000,INDEX($AO$1005:$BQ$1005,1,MATCH(COLUMNS($AO$1006:BD1006),$AO$1006:$BQ$1006,0))&gt;=100000), " ",IF(INDEX($AO$2:$BQ$1001,MATCH(ROWS($AH$2:AH423),$AH$2:$AH$1001,0),MATCH(COLUMNS($AO$1006:BD1006),$AO$1006:$BQ$1006,0)), HYPERLINK("#",""), HYPERLINK(CONCATENATE("#Metadata!", ADDRESS(INDEX($AJ$2:$AJ$1001,MATCH(ROWS($AH$2:AH423),$AH$2:$AH$1001,0),0), INDEX($AO$1004:$BQ$1004,1,MATCH(COLUMNS($AO$1006:BD1006),$AO$1006:$BQ$1006,0)))),"Fix")))</f>
        <v>#N/A</v>
      </c>
      <c r="R423" s="5" t="e">
        <f ca="1">IF(OR(INDEX($AI$2:$AI$1001,MATCH(ROWS($AH$2:AH423),$AH$2:$AH$1001,0),1)&gt;=100000,INDEX($AO$1005:$BQ$1005,1,MATCH(COLUMNS($AO$1006:BE1006),$AO$1006:$BQ$1006,0))&gt;=100000), " ",IF(INDEX($AO$2:$BQ$1001,MATCH(ROWS($AH$2:AH423),$AH$2:$AH$1001,0),MATCH(COLUMNS($AO$1006:BE1006),$AO$1006:$BQ$1006,0)), HYPERLINK("#",""), HYPERLINK(CONCATENATE("#Metadata!", ADDRESS(INDEX($AJ$2:$AJ$1001,MATCH(ROWS($AH$2:AH423),$AH$2:$AH$1001,0),0), INDEX($AO$1004:$BQ$1004,1,MATCH(COLUMNS($AO$1006:BE1006),$AO$1006:$BQ$1006,0)))),"Fix")))</f>
        <v>#N/A</v>
      </c>
      <c r="S423" s="5" t="e">
        <f ca="1">IF(OR(INDEX($AI$2:$AI$1001,MATCH(ROWS($AH$2:AH423),$AH$2:$AH$1001,0),1)&gt;=100000,INDEX($AO$1005:$BQ$1005,1,MATCH(COLUMNS($AO$1006:BF1006),$AO$1006:$BQ$1006,0))&gt;=100000), " ",IF(INDEX($AO$2:$BQ$1001,MATCH(ROWS($AH$2:AH423),$AH$2:$AH$1001,0),MATCH(COLUMNS($AO$1006:BF1006),$AO$1006:$BQ$1006,0)), HYPERLINK("#",""), HYPERLINK(CONCATENATE("#Metadata!", ADDRESS(INDEX($AJ$2:$AJ$1001,MATCH(ROWS($AH$2:AH423),$AH$2:$AH$1001,0),0), INDEX($AO$1004:$BQ$1004,1,MATCH(COLUMNS($AO$1006:BF1006),$AO$1006:$BQ$1006,0)))),"Fix")))</f>
        <v>#N/A</v>
      </c>
      <c r="T423" s="5" t="e">
        <f ca="1">IF(OR(INDEX($AI$2:$AI$1001,MATCH(ROWS($AH$2:AH423),$AH$2:$AH$1001,0),1)&gt;=100000,INDEX($AO$1005:$BQ$1005,1,MATCH(COLUMNS($AO$1006:BG1006),$AO$1006:$BQ$1006,0))&gt;=100000), " ",IF(INDEX($AO$2:$BQ$1001,MATCH(ROWS($AH$2:AH423),$AH$2:$AH$1001,0),MATCH(COLUMNS($AO$1006:BG1006),$AO$1006:$BQ$1006,0)), HYPERLINK("#",""), HYPERLINK(CONCATENATE("#Metadata!", ADDRESS(INDEX($AJ$2:$AJ$1001,MATCH(ROWS($AH$2:AH423),$AH$2:$AH$1001,0),0), INDEX($AO$1004:$BQ$1004,1,MATCH(COLUMNS($AO$1006:BG1006),$AO$1006:$BQ$1006,0)))),"Fix")))</f>
        <v>#N/A</v>
      </c>
      <c r="U423" s="5" t="e">
        <f ca="1">IF(OR(INDEX($AI$2:$AI$1001,MATCH(ROWS($AH$2:AH423),$AH$2:$AH$1001,0),1)&gt;=100000,INDEX($AO$1005:$BQ$1005,1,MATCH(COLUMNS($AO$1006:BH1006),$AO$1006:$BQ$1006,0))&gt;=100000), " ",IF(INDEX($AO$2:$BQ$1001,MATCH(ROWS($AH$2:AH423),$AH$2:$AH$1001,0),MATCH(COLUMNS($AO$1006:BH1006),$AO$1006:$BQ$1006,0)), HYPERLINK("#",""), HYPERLINK(CONCATENATE("#Metadata!", ADDRESS(INDEX($AJ$2:$AJ$1001,MATCH(ROWS($AH$2:AH423),$AH$2:$AH$1001,0),0), INDEX($AO$1004:$BQ$1004,1,MATCH(COLUMNS($AO$1006:BH1006),$AO$1006:$BQ$1006,0)))),"Fix")))</f>
        <v>#N/A</v>
      </c>
      <c r="V423" s="5" t="e">
        <f ca="1">IF(OR(INDEX($AI$2:$AI$1001,MATCH(ROWS($AH$2:AH423),$AH$2:$AH$1001,0),1)&gt;=100000,INDEX($AO$1005:$BQ$1005,1,MATCH(COLUMNS($AO$1006:BI1006),$AO$1006:$BQ$1006,0))&gt;=100000), " ",IF(INDEX($AO$2:$BQ$1001,MATCH(ROWS($AH$2:AH423),$AH$2:$AH$1001,0),MATCH(COLUMNS($AO$1006:BI1006),$AO$1006:$BQ$1006,0)), HYPERLINK("#",""), HYPERLINK(CONCATENATE("#Metadata!", ADDRESS(INDEX($AJ$2:$AJ$1001,MATCH(ROWS($AH$2:AH423),$AH$2:$AH$1001,0),0), INDEX($AO$1004:$BQ$1004,1,MATCH(COLUMNS($AO$1006:BI1006),$AO$1006:$BQ$1006,0)))),"Fix")))</f>
        <v>#N/A</v>
      </c>
      <c r="W423" s="5" t="e">
        <f ca="1">IF(OR(INDEX($AI$2:$AI$1001,MATCH(ROWS($AH$2:AH423),$AH$2:$AH$1001,0),1)&gt;=100000,INDEX($AO$1005:$BQ$1005,1,MATCH(COLUMNS($AO$1006:BJ1006),$AO$1006:$BQ$1006,0))&gt;=100000), " ",IF(INDEX($AO$2:$BQ$1001,MATCH(ROWS($AH$2:AH423),$AH$2:$AH$1001,0),MATCH(COLUMNS($AO$1006:BJ1006),$AO$1006:$BQ$1006,0)), HYPERLINK("#",""), HYPERLINK(CONCATENATE("#Metadata!", ADDRESS(INDEX($AJ$2:$AJ$1001,MATCH(ROWS($AH$2:AH423),$AH$2:$AH$1001,0),0), INDEX($AO$1004:$BQ$1004,1,MATCH(COLUMNS($AO$1006:BJ1006),$AO$1006:$BQ$1006,0)))),"Fix")))</f>
        <v>#N/A</v>
      </c>
      <c r="X423" s="5" t="e">
        <f ca="1">IF(OR(INDEX($AI$2:$AI$1001,MATCH(ROWS($AH$2:AH423),$AH$2:$AH$1001,0),1)&gt;=100000,INDEX($AO$1005:$BQ$1005,1,MATCH(COLUMNS($AO$1006:BK1006),$AO$1006:$BQ$1006,0))&gt;=100000), " ",IF(INDEX($AO$2:$BQ$1001,MATCH(ROWS($AH$2:AH423),$AH$2:$AH$1001,0),MATCH(COLUMNS($AO$1006:BK1006),$AO$1006:$BQ$1006,0)), HYPERLINK("#",""), HYPERLINK(CONCATENATE("#Metadata!", ADDRESS(INDEX($AJ$2:$AJ$1001,MATCH(ROWS($AH$2:AH423),$AH$2:$AH$1001,0),0), INDEX($AO$1004:$BQ$1004,1,MATCH(COLUMNS($AO$1006:BK1006),$AO$1006:$BQ$1006,0)))),"Fix")))</f>
        <v>#N/A</v>
      </c>
      <c r="Y423" s="5" t="e">
        <f ca="1">IF(OR(INDEX($AI$2:$AI$1001,MATCH(ROWS($AH$2:AH423),$AH$2:$AH$1001,0),1)&gt;=100000,INDEX($AO$1005:$BQ$1005,1,MATCH(COLUMNS($AO$1006:BL1006),$AO$1006:$BQ$1006,0))&gt;=100000), " ",IF(INDEX($AO$2:$BQ$1001,MATCH(ROWS($AH$2:AH423),$AH$2:$AH$1001,0),MATCH(COLUMNS($AO$1006:BL1006),$AO$1006:$BQ$1006,0)), HYPERLINK("#",""), HYPERLINK(CONCATENATE("#Metadata!", ADDRESS(INDEX($AJ$2:$AJ$1001,MATCH(ROWS($AH$2:AH423),$AH$2:$AH$1001,0),0), INDEX($AO$1004:$BQ$1004,1,MATCH(COLUMNS($AO$1006:BL1006),$AO$1006:$BQ$1006,0)))),"Fix")))</f>
        <v>#N/A</v>
      </c>
      <c r="Z423" s="5" t="e">
        <f ca="1">IF(OR(INDEX($AI$2:$AI$1001,MATCH(ROWS($AH$2:AH423),$AH$2:$AH$1001,0),1)&gt;=100000,INDEX($AO$1005:$BQ$1005,1,MATCH(COLUMNS($AO$1006:BM1006),$AO$1006:$BQ$1006,0))&gt;=100000), " ",IF(INDEX($AO$2:$BQ$1001,MATCH(ROWS($AH$2:AH423),$AH$2:$AH$1001,0),MATCH(COLUMNS($AO$1006:BM1006),$AO$1006:$BQ$1006,0)), HYPERLINK("#",""), HYPERLINK(CONCATENATE("#Metadata!", ADDRESS(INDEX($AJ$2:$AJ$1001,MATCH(ROWS($AH$2:AH423),$AH$2:$AH$1001,0),0), INDEX($AO$1004:$BQ$1004,1,MATCH(COLUMNS($AO$1006:BM1006),$AO$1006:$BQ$1006,0)))),"Fix")))</f>
        <v>#N/A</v>
      </c>
      <c r="AA423" s="5" t="e">
        <f ca="1">IF(OR(INDEX($AI$2:$AI$1001,MATCH(ROWS($AH$2:AH423),$AH$2:$AH$1001,0),1)&gt;=100000,INDEX($AO$1005:$BQ$1005,1,MATCH(COLUMNS($AO$1006:BN1006),$AO$1006:$BQ$1006,0))&gt;=100000), " ",IF(INDEX($AO$2:$BQ$1001,MATCH(ROWS($AH$2:AH423),$AH$2:$AH$1001,0),MATCH(COLUMNS($AO$1006:BN1006),$AO$1006:$BQ$1006,0)), HYPERLINK("#",""), HYPERLINK(CONCATENATE("#Metadata!", ADDRESS(INDEX($AJ$2:$AJ$1001,MATCH(ROWS($AH$2:AH423),$AH$2:$AH$1001,0),0), INDEX($AO$1004:$BQ$1004,1,MATCH(COLUMNS($AO$1006:BN1006),$AO$1006:$BQ$1006,0)))),"Fix")))</f>
        <v>#N/A</v>
      </c>
      <c r="AB423" s="5" t="e">
        <f ca="1">IF(OR(INDEX($AI$2:$AI$1001,MATCH(ROWS($AH$2:AH423),$AH$2:$AH$1001,0),1)&gt;=100000,INDEX($AO$1005:$BQ$1005,1,MATCH(COLUMNS($AO$1006:BO1006),$AO$1006:$BQ$1006,0))&gt;=100000), " ",IF(INDEX($AO$2:$BQ$1001,MATCH(ROWS($AH$2:AH423),$AH$2:$AH$1001,0),MATCH(COLUMNS($AO$1006:BO1006),$AO$1006:$BQ$1006,0)), HYPERLINK("#",""), HYPERLINK(CONCATENATE("#Metadata!", ADDRESS(INDEX($AJ$2:$AJ$1001,MATCH(ROWS($AH$2:AH423),$AH$2:$AH$1001,0),0), INDEX($AO$1004:$BQ$1004,1,MATCH(COLUMNS($AO$1006:BO1006),$AO$1006:$BQ$1006,0)))),"Fix")))</f>
        <v>#N/A</v>
      </c>
      <c r="AC423" s="5" t="e">
        <f ca="1">IF(OR(INDEX($AI$2:$AI$1001,MATCH(ROWS($AH$2:AH423),$AH$2:$AH$1001,0),1)&gt;=100000,INDEX($AO$1005:$BQ$1005,1,MATCH(COLUMNS($AO$1006:BP1006),$AO$1006:$BQ$1006,0))&gt;=100000), " ",IF(INDEX($AO$2:$BQ$1001,MATCH(ROWS($AH$2:AH423),$AH$2:$AH$1001,0),MATCH(COLUMNS($AO$1006:BP1006),$AO$1006:$BQ$1006,0)), HYPERLINK("#",""), HYPERLINK(CONCATENATE("#Metadata!", ADDRESS(INDEX($AJ$2:$AJ$1001,MATCH(ROWS($AH$2:AH423),$AH$2:$AH$1001,0),0), INDEX($AO$1004:$BQ$1004,1,MATCH(COLUMNS($AO$1006:BP1006),$AO$1006:$BQ$1006,0)))),"Fix")))</f>
        <v>#N/A</v>
      </c>
      <c r="AD423" s="5" t="e">
        <f ca="1">IF(OR(INDEX($AI$2:$AI$1001,MATCH(ROWS($AH$2:AH423),$AH$2:$AH$1001,0),1)&gt;=100000,INDEX($AO$1005:$BQ$1005,1,MATCH(COLUMNS($AO$1006:BQ1006),$AO$1006:$BQ$1006,0))&gt;=100000), " ",IF(INDEX($AO$2:$BQ$1001,MATCH(ROWS($AH$2:AH423),$AH$2:$AH$1001,0),MATCH(COLUMNS($AO$1006:BQ1006),$AO$1006:$BQ$1006,0)), HYPERLINK("#",""), HYPERLINK(CONCATENATE("#Metadata!", ADDRESS(INDEX($AJ$2:$AJ$1001,MATCH(ROWS($AH$2:AH423),$AH$2:$AH$1001,0),0), INDEX($AO$1004:$BQ$1004,1,MATCH(COLUMNS($AO$1006:BQ1006),$AO$1006:$BQ$1006,0)))),"Fix")))</f>
        <v>#REF!</v>
      </c>
      <c r="AH423">
        <f ca="1"/>
        <v>420</v>
      </c>
      <c r="AI423">
        <v>100423</v>
      </c>
      <c r="AJ423">
        <v>423</v>
      </c>
      <c r="AK423" t="b">
        <f t="shared" si="6"/>
        <v>1</v>
      </c>
      <c r="AL423" t="b">
        <f>COUNTBLANK(Metadata!B423:AD423)=COLUMNS(Metadata!B423:AD423)</f>
        <v>1</v>
      </c>
      <c r="AM423" t="str">
        <v/>
      </c>
      <c r="AO423" t="b">
        <f ca="1">AND(IF(Metadata!B423="",FALSE,TRUE),COUNTIF(Metadata!B:B, Metadata!B423) = 1,NOT(ISERROR(SUMPRODUCT(SEARCH(MID(Metadata!B423,ROW(INDIRECT("1:"&amp;LEN(Metadata!B423))), 1),"0123456789abcdefghijklmnopqrstuvwxyzABCDEFGHIJKLMNOPQRSTUVWXYZ.")))))</f>
        <v>0</v>
      </c>
      <c r="AP423" t="b">
        <f>IF(Metadata!C423="",FALSE,TRUE)</f>
        <v>0</v>
      </c>
      <c r="AQ423" t="b">
        <f>IF(Metadata!D423="",FALSE,TRUE)</f>
        <v>0</v>
      </c>
      <c r="AR423" t="b">
        <f ca="1">OR(AND(IF(Metadata!E423="",FALSE,TRUE),OR(EXACT(Metadata!E423,"not collected"),EXACT(Metadata!E423,"not provided"),EXACT(Metadata!E423,"restricted access"))),AND(IF(Metadata!E423="",FALSE,TRUE),AND(AND(IFERROR(INT(LEFT(Metadata!E423,4))&gt;1900,FALSE),IFERROR(INT(LEFT(Metadata!E423,4))&lt;=YEAR(NOW()),FALSE)), OR(MID(Metadata!E423,5,1)="", AND(AND(MID(Metadata!E423,5,1)="-",IFERROR(INT(MID(Metadata!E423,6,1))&gt;=0,FALSE),IFERROR(INT(MID(Metadata!E423,6,1))&lt;=1,FALSE),NOT(MID(Metadata!E423,7,1)=""),IFERROR(INT(MID(Metadata!E423,6,2))&gt;=1,FALSE),IFERROR(INT(MID(Metadata!E423,6,2))&lt;=12,FALSE)), OR(MID(Metadata!E423,8,1)="", AND(AND(MID(Metadata!E423,8,1)="-",IFERROR(INT(MID(Metadata!E423,9,1))&gt;=0,FALSE),IFERROR(INT(MID(Metadata!E423,9,1))&lt;=3,FALSE),NOT(MID(Metadata!E423,10,1)=""),IFERROR(INT(MID(Metadata!E423,9,2))&gt;=1,FALSE),IFERROR(INT(MID(Metadata!E423,9,2))&lt;=31,FALSE)), OR(MID(Metadata!E423,11,1)="", AND(AND(MID(Metadata!E423,11,1)=" ",IFERROR(INT(MID(Metadata!E423,12,1))&gt;=0,FALSE),IFERROR(INT(MID(Metadata!E423,12,1))&lt;=2,FALSE),NOT(MID(Metadata!E423,13,1)=""),IFERROR(INT(MID(Metadata!E423,12,2))&gt;=0,FALSE),IFERROR(INT(MID(Metadata!E423,12,2))&lt;=23,FALSE)), OR(MID(Metadata!E423,14,1)="", AND(AND(MID(Metadata!E423,14,1)=":",IFERROR(INT(MID(Metadata!E423,15,1))&gt;=0,FALSE),IFERROR(INT(MID(Metadata!E423,15,1))&lt;=5,FALSE),NOT(MID(Metadata!E423,16,1)=""),IFERROR(INT(MID(Metadata!E423,15,2))&gt;=0,FALSE),IFERROR(INT(MID(Metadata!E423,15,2))&lt;=59,FALSE)), OR(MID(Metadata!E423,17,1)="", AND(AND(MID(Metadata!E423,17,1)=":",IFERROR(INT(MID(Metadata!E423,18,1))&gt;=0,FALSE),IFERROR(INT(MID(Metadata!E423,18,1))&lt;=5,FALSE),NOT(MID(Metadata!E423,19,1)=""),IFERROR(INT(MID(Metadata!E423,18,2))&gt;=0,FALSE),IFERROR(INT(MID(Metadata!E423,18,2))&lt;=59,FALSE)), LEN(Metadata!E423)&lt;=19)))))))))))))</f>
        <v>0</v>
      </c>
      <c r="AS423" t="b">
        <f>IF(Metadata!F423="",FALSE,TRUE)</f>
        <v>0</v>
      </c>
      <c r="AT423" t="b">
        <f>OR(AND(IF(Metadata!G423="",FALSE,TRUE),OR(EXACT(Metadata!G423,"not collected"),EXACT(Metadata!G423,"not provided"))),AND(IF(Metadata!G423="",FALSE,TRUE),OR(EXACT(Metadata!G423,"TRUE"),EXACT(Metadata!G423,"FALSE"))))</f>
        <v>0</v>
      </c>
      <c r="AU423" t="b">
        <f>OR(AND(IF(Metadata!H423="",FALSE,TRUE),OR(EXACT(Metadata!H423,"not collected"),EXACT(Metadata!H423,"not provided"),EXACT(Metadata!H423,"restricted access"))),AND(IF(Metadata!H423="",FALSE,ISNUMBER(VALUE(Metadata!H423))),Metadata!H423&gt;=-413))</f>
        <v>0</v>
      </c>
      <c r="AV423" t="b">
        <f>AND(IF(Metadata!I423="",FALSE,TRUE),EXACT(Metadata!I423,"meters"))</f>
        <v>0</v>
      </c>
      <c r="AW423" t="b">
        <f>AND(IF(Metadata!J423="",FALSE,TRUE),EXACT(Metadata!J423,"free-living"))</f>
        <v>0</v>
      </c>
      <c r="AX423" t="b">
        <f>AND(IF(Metadata!K423="",FALSE,TRUE),OR(EXACT(Metadata!K423,"saline"),EXACT(Metadata!K423,"non-saline")))</f>
        <v>0</v>
      </c>
      <c r="AY423" t="b">
        <f>AND(IF(Metadata!L423="",FALSE,TRUE),OR(EXACT(Metadata!L423,"sub-surface (non-saline)"),EXACT(Metadata!L423,"surface (non-saline)"),EXACT(Metadata!L423,"water (non-saline)"),EXACT(Metadata!L423,"soil (non-saline)"),EXACT(Metadata!L423,"aerosol (non-saline)"),EXACT(Metadata!L423,"sediment (non-saline)"),EXACT(Metadata!L423,"surface (saline)"),EXACT(Metadata!L423,"water (saline)"),EXACT(Metadata!L423,"hypersaline (saline)"),EXACT(Metadata!L423,"aerosol (saline)"),EXACT(Metadata!L423,"sediment (saline)")))</f>
        <v>0</v>
      </c>
      <c r="AZ423" t="b">
        <f>IF(Metadata!M423="",FALSE,TRUE)</f>
        <v>0</v>
      </c>
      <c r="BA423" t="b">
        <f>IF(Metadata!N423="",FALSE,TRUE)</f>
        <v>0</v>
      </c>
      <c r="BB423" t="b">
        <f>IF(Metadata!O423="",FALSE,TRUE)</f>
        <v>0</v>
      </c>
      <c r="BC423" t="b">
        <f>AND(IF(Metadata!P423="",FALSE,TRUE),OR(EXACT(Metadata!P423,"air"),EXACT(Metadata!P423,"microbial mat/biofilm"),EXACT(Metadata!P423,"misc environment"),EXACT(Metadata!P423,"sediment"),EXACT(Metadata!P423,"soil"),EXACT(Metadata!P423,"wastewater/sludge"),EXACT(Metadata!P423,"water")))</f>
        <v>0</v>
      </c>
      <c r="BD423" t="b">
        <f>IF(Metadata!Q423="",FALSE,TRUE)</f>
        <v>0</v>
      </c>
      <c r="BE423" t="b">
        <f>IF(Metadata!R423="",FALSE,TRUE)</f>
        <v>0</v>
      </c>
      <c r="BF423" t="b">
        <f>OR(AND(IF(Metadata!S423="",FALSE,TRUE),OR(EXACT(Metadata!S423,"not collected"),EXACT(Metadata!S423,"not provided"),EXACT(Metadata!S423,"restricted access"))),AND(IF(Metadata!S423="",FALSE,ISNUMBER(VALUE(Metadata!S423))),Metadata!S423&gt;=-90,Metadata!S423&lt;=90))</f>
        <v>0</v>
      </c>
      <c r="BG423" t="b">
        <f>AND(IF(Metadata!T423="",FALSE,TRUE),EXACT(Metadata!T423,"Decimal degrees"))</f>
        <v>0</v>
      </c>
      <c r="BH423" t="b">
        <f>OR(AND(IF(Metadata!U423="",FALSE,TRUE),OR(EXACT(Metadata!U423,"not applicable"),EXACT(Metadata!U423,"not collected"))),IF(Metadata!U423="",FALSE,TRUE))</f>
        <v>0</v>
      </c>
      <c r="BI423" t="b">
        <f>OR(AND(IF(Metadata!V423="",FALSE,TRUE),OR(EXACT(Metadata!V423,"not collected"),EXACT(Metadata!V423,"not provided"),EXACT(Metadata!V423,"restricted access"))),AND(IF(Metadata!V423="",FALSE,ISNUMBER(VALUE(Metadata!V423))),Metadata!V423&gt;=-180,Metadata!V423&lt;=180))</f>
        <v>0</v>
      </c>
      <c r="BJ423" t="b">
        <f>AND(IF(Metadata!W423="",FALSE,TRUE),EXACT(Metadata!W423,"Decimal degrees"))</f>
        <v>0</v>
      </c>
      <c r="BK423" t="b">
        <f>IF(Metadata!X423="",FALSE,TRUE)</f>
        <v>0</v>
      </c>
      <c r="BL423" t="b">
        <f>OR(AND(IF(Metadata!Y423="",FALSE,TRUE),OR(EXACT(Metadata!Y423,"not collected"),EXACT(Metadata!Y423,"not provided"),EXACT(Metadata!Y423,"restricted access"))),AND(IF(Metadata!Y423="",FALSE,TRUE),OR(EXACT(Metadata!Y423,"TRUE"),EXACT(Metadata!Y423,"FALSE"))))</f>
        <v>0</v>
      </c>
      <c r="BM423" t="b">
        <f>OR(AND(IF(Metadata!Z423="",FALSE,TRUE),EXACT(Metadata!Z423,"not applicable")),AND(IF(Metadata!Z423="",FALSE,TRUE),OR(EXACT(Metadata!Z423,"beer"),EXACT(Metadata!Z423,"cheese"),EXACT(Metadata!Z423,"fresh water"),EXACT(Metadata!Z423,"marine sediment"),EXACT(Metadata!Z423,"sea water"),EXACT(Metadata!Z423,"sediment"),EXACT(Metadata!Z423,"soil"),EXACT(Metadata!Z423,"waste water"))))</f>
        <v>0</v>
      </c>
      <c r="BN423" t="b">
        <f>AND(IF(Metadata!AA423="",FALSE,TRUE),EXACT(Metadata!AA423,"metagenome"))</f>
        <v>0</v>
      </c>
      <c r="BO423" t="b">
        <f>AND(IF(Metadata!AB423="",FALSE,TRUE),EXACT(Metadata!AB423,"256318"))</f>
        <v>0</v>
      </c>
      <c r="BP423" t="b">
        <f>IF(Metadata!AC423="",FALSE,TRUE)</f>
        <v>0</v>
      </c>
      <c r="BQ423" t="b">
        <f>IF(Metadata!AD423="",FALSE,TRUE)</f>
        <v>0</v>
      </c>
    </row>
    <row r="424" spans="1:69" x14ac:dyDescent="0.2">
      <c r="A424" s="4" t="e">
        <f ca="1">IF(B424=" "," ",HYPERLINK(CONCATENATE("#metadata!",ADDRESS(INDEX($AJ$2:$AJ$1001,MATCH(ROWS($AH$2:AH424),$AH$2:$AH$1001,0),0),2)),INDEX($AM$2:$AM$1001,MATCH(ROWS($AH$2:AH424),$AH$2:$AH$1001,0),0)))</f>
        <v>#N/A</v>
      </c>
      <c r="B424" s="5" t="e">
        <f ca="1">IF(OR(INDEX($AI$2:$AI$1001,MATCH(ROWS($AH$2:AH424),$AH$2:$AH$1001,0),1)&gt;=100000,INDEX($AO$1005:$BQ$1005,1,MATCH(COLUMNS($AO$1006:AO1006),$AO$1006:$BQ$1006,0))&gt;=100000), " ",IF(INDEX($AO$2:$BQ$1001,MATCH(ROWS($AH$2:AH424),$AH$2:$AH$1001,0),MATCH(COLUMNS($AO$1006:AO1006),$AO$1006:$BQ$1006,0)), HYPERLINK("#",""), HYPERLINK(CONCATENATE("#Metadata!", ADDRESS(INDEX($AJ$2:$AJ$1001,MATCH(ROWS($AH$2:AH424),$AH$2:$AH$1001,0),0), INDEX($AO$1004:$BQ$1004,1,MATCH(COLUMNS($AO$1006:AO1006),$AO$1006:$BQ$1006,0)))),"Fix")))</f>
        <v>#N/A</v>
      </c>
      <c r="C424" s="5" t="e">
        <f ca="1">IF(OR(INDEX($AI$2:$AI$1001,MATCH(ROWS($AH$2:AH424),$AH$2:$AH$1001,0),1)&gt;=100000,INDEX($AO$1005:$BQ$1005,1,MATCH(COLUMNS($AO$1006:AP1006),$AO$1006:$BQ$1006,0))&gt;=100000), " ",IF(INDEX($AO$2:$BQ$1001,MATCH(ROWS($AH$2:AH424),$AH$2:$AH$1001,0),MATCH(COLUMNS($AO$1006:AP1006),$AO$1006:$BQ$1006,0)), HYPERLINK("#",""), HYPERLINK(CONCATENATE("#Metadata!", ADDRESS(INDEX($AJ$2:$AJ$1001,MATCH(ROWS($AH$2:AH424),$AH$2:$AH$1001,0),0), INDEX($AO$1004:$BQ$1004,1,MATCH(COLUMNS($AO$1006:AP1006),$AO$1006:$BQ$1006,0)))),"Fix")))</f>
        <v>#N/A</v>
      </c>
      <c r="D424" s="5" t="e">
        <f ca="1">IF(OR(INDEX($AI$2:$AI$1001,MATCH(ROWS($AH$2:AH424),$AH$2:$AH$1001,0),1)&gt;=100000,INDEX($AO$1005:$BQ$1005,1,MATCH(COLUMNS($AO$1006:AQ1006),$AO$1006:$BQ$1006,0))&gt;=100000), " ",IF(INDEX($AO$2:$BQ$1001,MATCH(ROWS($AH$2:AH424),$AH$2:$AH$1001,0),MATCH(COLUMNS($AO$1006:AQ1006),$AO$1006:$BQ$1006,0)), HYPERLINK("#",""), HYPERLINK(CONCATENATE("#Metadata!", ADDRESS(INDEX($AJ$2:$AJ$1001,MATCH(ROWS($AH$2:AH424),$AH$2:$AH$1001,0),0), INDEX($AO$1004:$BQ$1004,1,MATCH(COLUMNS($AO$1006:AQ1006),$AO$1006:$BQ$1006,0)))),"Fix")))</f>
        <v>#N/A</v>
      </c>
      <c r="E424" s="5" t="e">
        <f ca="1">IF(OR(INDEX($AI$2:$AI$1001,MATCH(ROWS($AH$2:AH424),$AH$2:$AH$1001,0),1)&gt;=100000,INDEX($AO$1005:$BQ$1005,1,MATCH(COLUMNS($AO$1006:AR1006),$AO$1006:$BQ$1006,0))&gt;=100000), " ",IF(INDEX($AO$2:$BQ$1001,MATCH(ROWS($AH$2:AH424),$AH$2:$AH$1001,0),MATCH(COLUMNS($AO$1006:AR1006),$AO$1006:$BQ$1006,0)), HYPERLINK("#",""), HYPERLINK(CONCATENATE("#Metadata!", ADDRESS(INDEX($AJ$2:$AJ$1001,MATCH(ROWS($AH$2:AH424),$AH$2:$AH$1001,0),0), INDEX($AO$1004:$BQ$1004,1,MATCH(COLUMNS($AO$1006:AR1006),$AO$1006:$BQ$1006,0)))),"Fix")))</f>
        <v>#N/A</v>
      </c>
      <c r="F424" s="5" t="e">
        <f ca="1">IF(OR(INDEX($AI$2:$AI$1001,MATCH(ROWS($AH$2:AH424),$AH$2:$AH$1001,0),1)&gt;=100000,INDEX($AO$1005:$BQ$1005,1,MATCH(COLUMNS($AO$1006:AS1006),$AO$1006:$BQ$1006,0))&gt;=100000), " ",IF(INDEX($AO$2:$BQ$1001,MATCH(ROWS($AH$2:AH424),$AH$2:$AH$1001,0),MATCH(COLUMNS($AO$1006:AS1006),$AO$1006:$BQ$1006,0)), HYPERLINK("#",""), HYPERLINK(CONCATENATE("#Metadata!", ADDRESS(INDEX($AJ$2:$AJ$1001,MATCH(ROWS($AH$2:AH424),$AH$2:$AH$1001,0),0), INDEX($AO$1004:$BQ$1004,1,MATCH(COLUMNS($AO$1006:AS1006),$AO$1006:$BQ$1006,0)))),"Fix")))</f>
        <v>#N/A</v>
      </c>
      <c r="G424" s="5" t="e">
        <f ca="1">IF(OR(INDEX($AI$2:$AI$1001,MATCH(ROWS($AH$2:AH424),$AH$2:$AH$1001,0),1)&gt;=100000,INDEX($AO$1005:$BQ$1005,1,MATCH(COLUMNS($AO$1006:AT1006),$AO$1006:$BQ$1006,0))&gt;=100000), " ",IF(INDEX($AO$2:$BQ$1001,MATCH(ROWS($AH$2:AH424),$AH$2:$AH$1001,0),MATCH(COLUMNS($AO$1006:AT1006),$AO$1006:$BQ$1006,0)), HYPERLINK("#",""), HYPERLINK(CONCATENATE("#Metadata!", ADDRESS(INDEX($AJ$2:$AJ$1001,MATCH(ROWS($AH$2:AH424),$AH$2:$AH$1001,0),0), INDEX($AO$1004:$BQ$1004,1,MATCH(COLUMNS($AO$1006:AT1006),$AO$1006:$BQ$1006,0)))),"Fix")))</f>
        <v>#N/A</v>
      </c>
      <c r="H424" s="5" t="e">
        <f ca="1">IF(OR(INDEX($AI$2:$AI$1001,MATCH(ROWS($AH$2:AH424),$AH$2:$AH$1001,0),1)&gt;=100000,INDEX($AO$1005:$BQ$1005,1,MATCH(COLUMNS($AO$1006:AU1006),$AO$1006:$BQ$1006,0))&gt;=100000), " ",IF(INDEX($AO$2:$BQ$1001,MATCH(ROWS($AH$2:AH424),$AH$2:$AH$1001,0),MATCH(COLUMNS($AO$1006:AU1006),$AO$1006:$BQ$1006,0)), HYPERLINK("#",""), HYPERLINK(CONCATENATE("#Metadata!", ADDRESS(INDEX($AJ$2:$AJ$1001,MATCH(ROWS($AH$2:AH424),$AH$2:$AH$1001,0),0), INDEX($AO$1004:$BQ$1004,1,MATCH(COLUMNS($AO$1006:AU1006),$AO$1006:$BQ$1006,0)))),"Fix")))</f>
        <v>#N/A</v>
      </c>
      <c r="I424" s="5" t="e">
        <f ca="1">IF(OR(INDEX($AI$2:$AI$1001,MATCH(ROWS($AH$2:AH424),$AH$2:$AH$1001,0),1)&gt;=100000,INDEX($AO$1005:$BQ$1005,1,MATCH(COLUMNS($AO$1006:AV1006),$AO$1006:$BQ$1006,0))&gt;=100000), " ",IF(INDEX($AO$2:$BQ$1001,MATCH(ROWS($AH$2:AH424),$AH$2:$AH$1001,0),MATCH(COLUMNS($AO$1006:AV1006),$AO$1006:$BQ$1006,0)), HYPERLINK("#",""), HYPERLINK(CONCATENATE("#Metadata!", ADDRESS(INDEX($AJ$2:$AJ$1001,MATCH(ROWS($AH$2:AH424),$AH$2:$AH$1001,0),0), INDEX($AO$1004:$BQ$1004,1,MATCH(COLUMNS($AO$1006:AV1006),$AO$1006:$BQ$1006,0)))),"Fix")))</f>
        <v>#N/A</v>
      </c>
      <c r="J424" s="5" t="e">
        <f ca="1">IF(OR(INDEX($AI$2:$AI$1001,MATCH(ROWS($AH$2:AH424),$AH$2:$AH$1001,0),1)&gt;=100000,INDEX($AO$1005:$BQ$1005,1,MATCH(COLUMNS($AO$1006:AW1006),$AO$1006:$BQ$1006,0))&gt;=100000), " ",IF(INDEX($AO$2:$BQ$1001,MATCH(ROWS($AH$2:AH424),$AH$2:$AH$1001,0),MATCH(COLUMNS($AO$1006:AW1006),$AO$1006:$BQ$1006,0)), HYPERLINK("#",""), HYPERLINK(CONCATENATE("#Metadata!", ADDRESS(INDEX($AJ$2:$AJ$1001,MATCH(ROWS($AH$2:AH424),$AH$2:$AH$1001,0),0), INDEX($AO$1004:$BQ$1004,1,MATCH(COLUMNS($AO$1006:AW1006),$AO$1006:$BQ$1006,0)))),"Fix")))</f>
        <v>#N/A</v>
      </c>
      <c r="K424" s="5" t="e">
        <f ca="1">IF(OR(INDEX($AI$2:$AI$1001,MATCH(ROWS($AH$2:AH424),$AH$2:$AH$1001,0),1)&gt;=100000,INDEX($AO$1005:$BQ$1005,1,MATCH(COLUMNS($AO$1006:AX1006),$AO$1006:$BQ$1006,0))&gt;=100000), " ",IF(INDEX($AO$2:$BQ$1001,MATCH(ROWS($AH$2:AH424),$AH$2:$AH$1001,0),MATCH(COLUMNS($AO$1006:AX1006),$AO$1006:$BQ$1006,0)), HYPERLINK("#",""), HYPERLINK(CONCATENATE("#Metadata!", ADDRESS(INDEX($AJ$2:$AJ$1001,MATCH(ROWS($AH$2:AH424),$AH$2:$AH$1001,0),0), INDEX($AO$1004:$BQ$1004,1,MATCH(COLUMNS($AO$1006:AX1006),$AO$1006:$BQ$1006,0)))),"Fix")))</f>
        <v>#N/A</v>
      </c>
      <c r="L424" s="5" t="e">
        <f ca="1">IF(OR(INDEX($AI$2:$AI$1001,MATCH(ROWS($AH$2:AH424),$AH$2:$AH$1001,0),1)&gt;=100000,INDEX($AO$1005:$BQ$1005,1,MATCH(COLUMNS($AO$1006:AY1006),$AO$1006:$BQ$1006,0))&gt;=100000), " ",IF(INDEX($AO$2:$BQ$1001,MATCH(ROWS($AH$2:AH424),$AH$2:$AH$1001,0),MATCH(COLUMNS($AO$1006:AY1006),$AO$1006:$BQ$1006,0)), HYPERLINK("#",""), HYPERLINK(CONCATENATE("#Metadata!", ADDRESS(INDEX($AJ$2:$AJ$1001,MATCH(ROWS($AH$2:AH424),$AH$2:$AH$1001,0),0), INDEX($AO$1004:$BQ$1004,1,MATCH(COLUMNS($AO$1006:AY1006),$AO$1006:$BQ$1006,0)))),"Fix")))</f>
        <v>#N/A</v>
      </c>
      <c r="M424" s="5" t="e">
        <f ca="1">IF(OR(INDEX($AI$2:$AI$1001,MATCH(ROWS($AH$2:AH424),$AH$2:$AH$1001,0),1)&gt;=100000,INDEX($AO$1005:$BQ$1005,1,MATCH(COLUMNS($AO$1006:AZ1006),$AO$1006:$BQ$1006,0))&gt;=100000), " ",IF(INDEX($AO$2:$BQ$1001,MATCH(ROWS($AH$2:AH424),$AH$2:$AH$1001,0),MATCH(COLUMNS($AO$1006:AZ1006),$AO$1006:$BQ$1006,0)), HYPERLINK("#",""), HYPERLINK(CONCATENATE("#Metadata!", ADDRESS(INDEX($AJ$2:$AJ$1001,MATCH(ROWS($AH$2:AH424),$AH$2:$AH$1001,0),0), INDEX($AO$1004:$BQ$1004,1,MATCH(COLUMNS($AO$1006:AZ1006),$AO$1006:$BQ$1006,0)))),"Fix")))</f>
        <v>#N/A</v>
      </c>
      <c r="N424" s="5" t="e">
        <f ca="1">IF(OR(INDEX($AI$2:$AI$1001,MATCH(ROWS($AH$2:AH424),$AH$2:$AH$1001,0),1)&gt;=100000,INDEX($AO$1005:$BQ$1005,1,MATCH(COLUMNS($AO$1006:BA1006),$AO$1006:$BQ$1006,0))&gt;=100000), " ",IF(INDEX($AO$2:$BQ$1001,MATCH(ROWS($AH$2:AH424),$AH$2:$AH$1001,0),MATCH(COLUMNS($AO$1006:BA1006),$AO$1006:$BQ$1006,0)), HYPERLINK("#",""), HYPERLINK(CONCATENATE("#Metadata!", ADDRESS(INDEX($AJ$2:$AJ$1001,MATCH(ROWS($AH$2:AH424),$AH$2:$AH$1001,0),0), INDEX($AO$1004:$BQ$1004,1,MATCH(COLUMNS($AO$1006:BA1006),$AO$1006:$BQ$1006,0)))),"Fix")))</f>
        <v>#N/A</v>
      </c>
      <c r="O424" s="5" t="e">
        <f ca="1">IF(OR(INDEX($AI$2:$AI$1001,MATCH(ROWS($AH$2:AH424),$AH$2:$AH$1001,0),1)&gt;=100000,INDEX($AO$1005:$BQ$1005,1,MATCH(COLUMNS($AO$1006:BB1006),$AO$1006:$BQ$1006,0))&gt;=100000), " ",IF(INDEX($AO$2:$BQ$1001,MATCH(ROWS($AH$2:AH424),$AH$2:$AH$1001,0),MATCH(COLUMNS($AO$1006:BB1006),$AO$1006:$BQ$1006,0)), HYPERLINK("#",""), HYPERLINK(CONCATENATE("#Metadata!", ADDRESS(INDEX($AJ$2:$AJ$1001,MATCH(ROWS($AH$2:AH424),$AH$2:$AH$1001,0),0), INDEX($AO$1004:$BQ$1004,1,MATCH(COLUMNS($AO$1006:BB1006),$AO$1006:$BQ$1006,0)))),"Fix")))</f>
        <v>#N/A</v>
      </c>
      <c r="P424" s="5" t="e">
        <f ca="1">IF(OR(INDEX($AI$2:$AI$1001,MATCH(ROWS($AH$2:AH424),$AH$2:$AH$1001,0),1)&gt;=100000,INDEX($AO$1005:$BQ$1005,1,MATCH(COLUMNS($AO$1006:BC1006),$AO$1006:$BQ$1006,0))&gt;=100000), " ",IF(INDEX($AO$2:$BQ$1001,MATCH(ROWS($AH$2:AH424),$AH$2:$AH$1001,0),MATCH(COLUMNS($AO$1006:BC1006),$AO$1006:$BQ$1006,0)), HYPERLINK("#",""), HYPERLINK(CONCATENATE("#Metadata!", ADDRESS(INDEX($AJ$2:$AJ$1001,MATCH(ROWS($AH$2:AH424),$AH$2:$AH$1001,0),0), INDEX($AO$1004:$BQ$1004,1,MATCH(COLUMNS($AO$1006:BC1006),$AO$1006:$BQ$1006,0)))),"Fix")))</f>
        <v>#N/A</v>
      </c>
      <c r="Q424" s="5" t="e">
        <f ca="1">IF(OR(INDEX($AI$2:$AI$1001,MATCH(ROWS($AH$2:AH424),$AH$2:$AH$1001,0),1)&gt;=100000,INDEX($AO$1005:$BQ$1005,1,MATCH(COLUMNS($AO$1006:BD1006),$AO$1006:$BQ$1006,0))&gt;=100000), " ",IF(INDEX($AO$2:$BQ$1001,MATCH(ROWS($AH$2:AH424),$AH$2:$AH$1001,0),MATCH(COLUMNS($AO$1006:BD1006),$AO$1006:$BQ$1006,0)), HYPERLINK("#",""), HYPERLINK(CONCATENATE("#Metadata!", ADDRESS(INDEX($AJ$2:$AJ$1001,MATCH(ROWS($AH$2:AH424),$AH$2:$AH$1001,0),0), INDEX($AO$1004:$BQ$1004,1,MATCH(COLUMNS($AO$1006:BD1006),$AO$1006:$BQ$1006,0)))),"Fix")))</f>
        <v>#N/A</v>
      </c>
      <c r="R424" s="5" t="e">
        <f ca="1">IF(OR(INDEX($AI$2:$AI$1001,MATCH(ROWS($AH$2:AH424),$AH$2:$AH$1001,0),1)&gt;=100000,INDEX($AO$1005:$BQ$1005,1,MATCH(COLUMNS($AO$1006:BE1006),$AO$1006:$BQ$1006,0))&gt;=100000), " ",IF(INDEX($AO$2:$BQ$1001,MATCH(ROWS($AH$2:AH424),$AH$2:$AH$1001,0),MATCH(COLUMNS($AO$1006:BE1006),$AO$1006:$BQ$1006,0)), HYPERLINK("#",""), HYPERLINK(CONCATENATE("#Metadata!", ADDRESS(INDEX($AJ$2:$AJ$1001,MATCH(ROWS($AH$2:AH424),$AH$2:$AH$1001,0),0), INDEX($AO$1004:$BQ$1004,1,MATCH(COLUMNS($AO$1006:BE1006),$AO$1006:$BQ$1006,0)))),"Fix")))</f>
        <v>#N/A</v>
      </c>
      <c r="S424" s="5" t="e">
        <f ca="1">IF(OR(INDEX($AI$2:$AI$1001,MATCH(ROWS($AH$2:AH424),$AH$2:$AH$1001,0),1)&gt;=100000,INDEX($AO$1005:$BQ$1005,1,MATCH(COLUMNS($AO$1006:BF1006),$AO$1006:$BQ$1006,0))&gt;=100000), " ",IF(INDEX($AO$2:$BQ$1001,MATCH(ROWS($AH$2:AH424),$AH$2:$AH$1001,0),MATCH(COLUMNS($AO$1006:BF1006),$AO$1006:$BQ$1006,0)), HYPERLINK("#",""), HYPERLINK(CONCATENATE("#Metadata!", ADDRESS(INDEX($AJ$2:$AJ$1001,MATCH(ROWS($AH$2:AH424),$AH$2:$AH$1001,0),0), INDEX($AO$1004:$BQ$1004,1,MATCH(COLUMNS($AO$1006:BF1006),$AO$1006:$BQ$1006,0)))),"Fix")))</f>
        <v>#N/A</v>
      </c>
      <c r="T424" s="5" t="e">
        <f ca="1">IF(OR(INDEX($AI$2:$AI$1001,MATCH(ROWS($AH$2:AH424),$AH$2:$AH$1001,0),1)&gt;=100000,INDEX($AO$1005:$BQ$1005,1,MATCH(COLUMNS($AO$1006:BG1006),$AO$1006:$BQ$1006,0))&gt;=100000), " ",IF(INDEX($AO$2:$BQ$1001,MATCH(ROWS($AH$2:AH424),$AH$2:$AH$1001,0),MATCH(COLUMNS($AO$1006:BG1006),$AO$1006:$BQ$1006,0)), HYPERLINK("#",""), HYPERLINK(CONCATENATE("#Metadata!", ADDRESS(INDEX($AJ$2:$AJ$1001,MATCH(ROWS($AH$2:AH424),$AH$2:$AH$1001,0),0), INDEX($AO$1004:$BQ$1004,1,MATCH(COLUMNS($AO$1006:BG1006),$AO$1006:$BQ$1006,0)))),"Fix")))</f>
        <v>#N/A</v>
      </c>
      <c r="U424" s="5" t="e">
        <f ca="1">IF(OR(INDEX($AI$2:$AI$1001,MATCH(ROWS($AH$2:AH424),$AH$2:$AH$1001,0),1)&gt;=100000,INDEX($AO$1005:$BQ$1005,1,MATCH(COLUMNS($AO$1006:BH1006),$AO$1006:$BQ$1006,0))&gt;=100000), " ",IF(INDEX($AO$2:$BQ$1001,MATCH(ROWS($AH$2:AH424),$AH$2:$AH$1001,0),MATCH(COLUMNS($AO$1006:BH1006),$AO$1006:$BQ$1006,0)), HYPERLINK("#",""), HYPERLINK(CONCATENATE("#Metadata!", ADDRESS(INDEX($AJ$2:$AJ$1001,MATCH(ROWS($AH$2:AH424),$AH$2:$AH$1001,0),0), INDEX($AO$1004:$BQ$1004,1,MATCH(COLUMNS($AO$1006:BH1006),$AO$1006:$BQ$1006,0)))),"Fix")))</f>
        <v>#N/A</v>
      </c>
      <c r="V424" s="5" t="e">
        <f ca="1">IF(OR(INDEX($AI$2:$AI$1001,MATCH(ROWS($AH$2:AH424),$AH$2:$AH$1001,0),1)&gt;=100000,INDEX($AO$1005:$BQ$1005,1,MATCH(COLUMNS($AO$1006:BI1006),$AO$1006:$BQ$1006,0))&gt;=100000), " ",IF(INDEX($AO$2:$BQ$1001,MATCH(ROWS($AH$2:AH424),$AH$2:$AH$1001,0),MATCH(COLUMNS($AO$1006:BI1006),$AO$1006:$BQ$1006,0)), HYPERLINK("#",""), HYPERLINK(CONCATENATE("#Metadata!", ADDRESS(INDEX($AJ$2:$AJ$1001,MATCH(ROWS($AH$2:AH424),$AH$2:$AH$1001,0),0), INDEX($AO$1004:$BQ$1004,1,MATCH(COLUMNS($AO$1006:BI1006),$AO$1006:$BQ$1006,0)))),"Fix")))</f>
        <v>#N/A</v>
      </c>
      <c r="W424" s="5" t="e">
        <f ca="1">IF(OR(INDEX($AI$2:$AI$1001,MATCH(ROWS($AH$2:AH424),$AH$2:$AH$1001,0),1)&gt;=100000,INDEX($AO$1005:$BQ$1005,1,MATCH(COLUMNS($AO$1006:BJ1006),$AO$1006:$BQ$1006,0))&gt;=100000), " ",IF(INDEX($AO$2:$BQ$1001,MATCH(ROWS($AH$2:AH424),$AH$2:$AH$1001,0),MATCH(COLUMNS($AO$1006:BJ1006),$AO$1006:$BQ$1006,0)), HYPERLINK("#",""), HYPERLINK(CONCATENATE("#Metadata!", ADDRESS(INDEX($AJ$2:$AJ$1001,MATCH(ROWS($AH$2:AH424),$AH$2:$AH$1001,0),0), INDEX($AO$1004:$BQ$1004,1,MATCH(COLUMNS($AO$1006:BJ1006),$AO$1006:$BQ$1006,0)))),"Fix")))</f>
        <v>#N/A</v>
      </c>
      <c r="X424" s="5" t="e">
        <f ca="1">IF(OR(INDEX($AI$2:$AI$1001,MATCH(ROWS($AH$2:AH424),$AH$2:$AH$1001,0),1)&gt;=100000,INDEX($AO$1005:$BQ$1005,1,MATCH(COLUMNS($AO$1006:BK1006),$AO$1006:$BQ$1006,0))&gt;=100000), " ",IF(INDEX($AO$2:$BQ$1001,MATCH(ROWS($AH$2:AH424),$AH$2:$AH$1001,0),MATCH(COLUMNS($AO$1006:BK1006),$AO$1006:$BQ$1006,0)), HYPERLINK("#",""), HYPERLINK(CONCATENATE("#Metadata!", ADDRESS(INDEX($AJ$2:$AJ$1001,MATCH(ROWS($AH$2:AH424),$AH$2:$AH$1001,0),0), INDEX($AO$1004:$BQ$1004,1,MATCH(COLUMNS($AO$1006:BK1006),$AO$1006:$BQ$1006,0)))),"Fix")))</f>
        <v>#N/A</v>
      </c>
      <c r="Y424" s="5" t="e">
        <f ca="1">IF(OR(INDEX($AI$2:$AI$1001,MATCH(ROWS($AH$2:AH424),$AH$2:$AH$1001,0),1)&gt;=100000,INDEX($AO$1005:$BQ$1005,1,MATCH(COLUMNS($AO$1006:BL1006),$AO$1006:$BQ$1006,0))&gt;=100000), " ",IF(INDEX($AO$2:$BQ$1001,MATCH(ROWS($AH$2:AH424),$AH$2:$AH$1001,0),MATCH(COLUMNS($AO$1006:BL1006),$AO$1006:$BQ$1006,0)), HYPERLINK("#",""), HYPERLINK(CONCATENATE("#Metadata!", ADDRESS(INDEX($AJ$2:$AJ$1001,MATCH(ROWS($AH$2:AH424),$AH$2:$AH$1001,0),0), INDEX($AO$1004:$BQ$1004,1,MATCH(COLUMNS($AO$1006:BL1006),$AO$1006:$BQ$1006,0)))),"Fix")))</f>
        <v>#N/A</v>
      </c>
      <c r="Z424" s="5" t="e">
        <f ca="1">IF(OR(INDEX($AI$2:$AI$1001,MATCH(ROWS($AH$2:AH424),$AH$2:$AH$1001,0),1)&gt;=100000,INDEX($AO$1005:$BQ$1005,1,MATCH(COLUMNS($AO$1006:BM1006),$AO$1006:$BQ$1006,0))&gt;=100000), " ",IF(INDEX($AO$2:$BQ$1001,MATCH(ROWS($AH$2:AH424),$AH$2:$AH$1001,0),MATCH(COLUMNS($AO$1006:BM1006),$AO$1006:$BQ$1006,0)), HYPERLINK("#",""), HYPERLINK(CONCATENATE("#Metadata!", ADDRESS(INDEX($AJ$2:$AJ$1001,MATCH(ROWS($AH$2:AH424),$AH$2:$AH$1001,0),0), INDEX($AO$1004:$BQ$1004,1,MATCH(COLUMNS($AO$1006:BM1006),$AO$1006:$BQ$1006,0)))),"Fix")))</f>
        <v>#N/A</v>
      </c>
      <c r="AA424" s="5" t="e">
        <f ca="1">IF(OR(INDEX($AI$2:$AI$1001,MATCH(ROWS($AH$2:AH424),$AH$2:$AH$1001,0),1)&gt;=100000,INDEX($AO$1005:$BQ$1005,1,MATCH(COLUMNS($AO$1006:BN1006),$AO$1006:$BQ$1006,0))&gt;=100000), " ",IF(INDEX($AO$2:$BQ$1001,MATCH(ROWS($AH$2:AH424),$AH$2:$AH$1001,0),MATCH(COLUMNS($AO$1006:BN1006),$AO$1006:$BQ$1006,0)), HYPERLINK("#",""), HYPERLINK(CONCATENATE("#Metadata!", ADDRESS(INDEX($AJ$2:$AJ$1001,MATCH(ROWS($AH$2:AH424),$AH$2:$AH$1001,0),0), INDEX($AO$1004:$BQ$1004,1,MATCH(COLUMNS($AO$1006:BN1006),$AO$1006:$BQ$1006,0)))),"Fix")))</f>
        <v>#N/A</v>
      </c>
      <c r="AB424" s="5" t="e">
        <f ca="1">IF(OR(INDEX($AI$2:$AI$1001,MATCH(ROWS($AH$2:AH424),$AH$2:$AH$1001,0),1)&gt;=100000,INDEX($AO$1005:$BQ$1005,1,MATCH(COLUMNS($AO$1006:BO1006),$AO$1006:$BQ$1006,0))&gt;=100000), " ",IF(INDEX($AO$2:$BQ$1001,MATCH(ROWS($AH$2:AH424),$AH$2:$AH$1001,0),MATCH(COLUMNS($AO$1006:BO1006),$AO$1006:$BQ$1006,0)), HYPERLINK("#",""), HYPERLINK(CONCATENATE("#Metadata!", ADDRESS(INDEX($AJ$2:$AJ$1001,MATCH(ROWS($AH$2:AH424),$AH$2:$AH$1001,0),0), INDEX($AO$1004:$BQ$1004,1,MATCH(COLUMNS($AO$1006:BO1006),$AO$1006:$BQ$1006,0)))),"Fix")))</f>
        <v>#N/A</v>
      </c>
      <c r="AC424" s="5" t="e">
        <f ca="1">IF(OR(INDEX($AI$2:$AI$1001,MATCH(ROWS($AH$2:AH424),$AH$2:$AH$1001,0),1)&gt;=100000,INDEX($AO$1005:$BQ$1005,1,MATCH(COLUMNS($AO$1006:BP1006),$AO$1006:$BQ$1006,0))&gt;=100000), " ",IF(INDEX($AO$2:$BQ$1001,MATCH(ROWS($AH$2:AH424),$AH$2:$AH$1001,0),MATCH(COLUMNS($AO$1006:BP1006),$AO$1006:$BQ$1006,0)), HYPERLINK("#",""), HYPERLINK(CONCATENATE("#Metadata!", ADDRESS(INDEX($AJ$2:$AJ$1001,MATCH(ROWS($AH$2:AH424),$AH$2:$AH$1001,0),0), INDEX($AO$1004:$BQ$1004,1,MATCH(COLUMNS($AO$1006:BP1006),$AO$1006:$BQ$1006,0)))),"Fix")))</f>
        <v>#N/A</v>
      </c>
      <c r="AD424" s="5" t="e">
        <f ca="1">IF(OR(INDEX($AI$2:$AI$1001,MATCH(ROWS($AH$2:AH424),$AH$2:$AH$1001,0),1)&gt;=100000,INDEX($AO$1005:$BQ$1005,1,MATCH(COLUMNS($AO$1006:BQ1006),$AO$1006:$BQ$1006,0))&gt;=100000), " ",IF(INDEX($AO$2:$BQ$1001,MATCH(ROWS($AH$2:AH424),$AH$2:$AH$1001,0),MATCH(COLUMNS($AO$1006:BQ1006),$AO$1006:$BQ$1006,0)), HYPERLINK("#",""), HYPERLINK(CONCATENATE("#Metadata!", ADDRESS(INDEX($AJ$2:$AJ$1001,MATCH(ROWS($AH$2:AH424),$AH$2:$AH$1001,0),0), INDEX($AO$1004:$BQ$1004,1,MATCH(COLUMNS($AO$1006:BQ1006),$AO$1006:$BQ$1006,0)))),"Fix")))</f>
        <v>#REF!</v>
      </c>
      <c r="AH424">
        <f ca="1"/>
        <v>421</v>
      </c>
      <c r="AI424">
        <v>100424</v>
      </c>
      <c r="AJ424">
        <v>424</v>
      </c>
      <c r="AK424" t="b">
        <f t="shared" si="6"/>
        <v>1</v>
      </c>
      <c r="AL424" t="b">
        <f>COUNTBLANK(Metadata!B424:AD424)=COLUMNS(Metadata!B424:AD424)</f>
        <v>1</v>
      </c>
      <c r="AM424" t="str">
        <v/>
      </c>
      <c r="AO424" t="b">
        <f ca="1">AND(IF(Metadata!B424="",FALSE,TRUE),COUNTIF(Metadata!B:B, Metadata!B424) = 1,NOT(ISERROR(SUMPRODUCT(SEARCH(MID(Metadata!B424,ROW(INDIRECT("1:"&amp;LEN(Metadata!B424))), 1),"0123456789abcdefghijklmnopqrstuvwxyzABCDEFGHIJKLMNOPQRSTUVWXYZ.")))))</f>
        <v>0</v>
      </c>
      <c r="AP424" t="b">
        <f>IF(Metadata!C424="",FALSE,TRUE)</f>
        <v>0</v>
      </c>
      <c r="AQ424" t="b">
        <f>IF(Metadata!D424="",FALSE,TRUE)</f>
        <v>0</v>
      </c>
      <c r="AR424" t="b">
        <f ca="1">OR(AND(IF(Metadata!E424="",FALSE,TRUE),OR(EXACT(Metadata!E424,"not collected"),EXACT(Metadata!E424,"not provided"),EXACT(Metadata!E424,"restricted access"))),AND(IF(Metadata!E424="",FALSE,TRUE),AND(AND(IFERROR(INT(LEFT(Metadata!E424,4))&gt;1900,FALSE),IFERROR(INT(LEFT(Metadata!E424,4))&lt;=YEAR(NOW()),FALSE)), OR(MID(Metadata!E424,5,1)="", AND(AND(MID(Metadata!E424,5,1)="-",IFERROR(INT(MID(Metadata!E424,6,1))&gt;=0,FALSE),IFERROR(INT(MID(Metadata!E424,6,1))&lt;=1,FALSE),NOT(MID(Metadata!E424,7,1)=""),IFERROR(INT(MID(Metadata!E424,6,2))&gt;=1,FALSE),IFERROR(INT(MID(Metadata!E424,6,2))&lt;=12,FALSE)), OR(MID(Metadata!E424,8,1)="", AND(AND(MID(Metadata!E424,8,1)="-",IFERROR(INT(MID(Metadata!E424,9,1))&gt;=0,FALSE),IFERROR(INT(MID(Metadata!E424,9,1))&lt;=3,FALSE),NOT(MID(Metadata!E424,10,1)=""),IFERROR(INT(MID(Metadata!E424,9,2))&gt;=1,FALSE),IFERROR(INT(MID(Metadata!E424,9,2))&lt;=31,FALSE)), OR(MID(Metadata!E424,11,1)="", AND(AND(MID(Metadata!E424,11,1)=" ",IFERROR(INT(MID(Metadata!E424,12,1))&gt;=0,FALSE),IFERROR(INT(MID(Metadata!E424,12,1))&lt;=2,FALSE),NOT(MID(Metadata!E424,13,1)=""),IFERROR(INT(MID(Metadata!E424,12,2))&gt;=0,FALSE),IFERROR(INT(MID(Metadata!E424,12,2))&lt;=23,FALSE)), OR(MID(Metadata!E424,14,1)="", AND(AND(MID(Metadata!E424,14,1)=":",IFERROR(INT(MID(Metadata!E424,15,1))&gt;=0,FALSE),IFERROR(INT(MID(Metadata!E424,15,1))&lt;=5,FALSE),NOT(MID(Metadata!E424,16,1)=""),IFERROR(INT(MID(Metadata!E424,15,2))&gt;=0,FALSE),IFERROR(INT(MID(Metadata!E424,15,2))&lt;=59,FALSE)), OR(MID(Metadata!E424,17,1)="", AND(AND(MID(Metadata!E424,17,1)=":",IFERROR(INT(MID(Metadata!E424,18,1))&gt;=0,FALSE),IFERROR(INT(MID(Metadata!E424,18,1))&lt;=5,FALSE),NOT(MID(Metadata!E424,19,1)=""),IFERROR(INT(MID(Metadata!E424,18,2))&gt;=0,FALSE),IFERROR(INT(MID(Metadata!E424,18,2))&lt;=59,FALSE)), LEN(Metadata!E424)&lt;=19)))))))))))))</f>
        <v>0</v>
      </c>
      <c r="AS424" t="b">
        <f>IF(Metadata!F424="",FALSE,TRUE)</f>
        <v>0</v>
      </c>
      <c r="AT424" t="b">
        <f>OR(AND(IF(Metadata!G424="",FALSE,TRUE),OR(EXACT(Metadata!G424,"not collected"),EXACT(Metadata!G424,"not provided"))),AND(IF(Metadata!G424="",FALSE,TRUE),OR(EXACT(Metadata!G424,"TRUE"),EXACT(Metadata!G424,"FALSE"))))</f>
        <v>0</v>
      </c>
      <c r="AU424" t="b">
        <f>OR(AND(IF(Metadata!H424="",FALSE,TRUE),OR(EXACT(Metadata!H424,"not collected"),EXACT(Metadata!H424,"not provided"),EXACT(Metadata!H424,"restricted access"))),AND(IF(Metadata!H424="",FALSE,ISNUMBER(VALUE(Metadata!H424))),Metadata!H424&gt;=-413))</f>
        <v>0</v>
      </c>
      <c r="AV424" t="b">
        <f>AND(IF(Metadata!I424="",FALSE,TRUE),EXACT(Metadata!I424,"meters"))</f>
        <v>0</v>
      </c>
      <c r="AW424" t="b">
        <f>AND(IF(Metadata!J424="",FALSE,TRUE),EXACT(Metadata!J424,"free-living"))</f>
        <v>0</v>
      </c>
      <c r="AX424" t="b">
        <f>AND(IF(Metadata!K424="",FALSE,TRUE),OR(EXACT(Metadata!K424,"saline"),EXACT(Metadata!K424,"non-saline")))</f>
        <v>0</v>
      </c>
      <c r="AY424" t="b">
        <f>AND(IF(Metadata!L424="",FALSE,TRUE),OR(EXACT(Metadata!L424,"sub-surface (non-saline)"),EXACT(Metadata!L424,"surface (non-saline)"),EXACT(Metadata!L424,"water (non-saline)"),EXACT(Metadata!L424,"soil (non-saline)"),EXACT(Metadata!L424,"aerosol (non-saline)"),EXACT(Metadata!L424,"sediment (non-saline)"),EXACT(Metadata!L424,"surface (saline)"),EXACT(Metadata!L424,"water (saline)"),EXACT(Metadata!L424,"hypersaline (saline)"),EXACT(Metadata!L424,"aerosol (saline)"),EXACT(Metadata!L424,"sediment (saline)")))</f>
        <v>0</v>
      </c>
      <c r="AZ424" t="b">
        <f>IF(Metadata!M424="",FALSE,TRUE)</f>
        <v>0</v>
      </c>
      <c r="BA424" t="b">
        <f>IF(Metadata!N424="",FALSE,TRUE)</f>
        <v>0</v>
      </c>
      <c r="BB424" t="b">
        <f>IF(Metadata!O424="",FALSE,TRUE)</f>
        <v>0</v>
      </c>
      <c r="BC424" t="b">
        <f>AND(IF(Metadata!P424="",FALSE,TRUE),OR(EXACT(Metadata!P424,"air"),EXACT(Metadata!P424,"microbial mat/biofilm"),EXACT(Metadata!P424,"misc environment"),EXACT(Metadata!P424,"sediment"),EXACT(Metadata!P424,"soil"),EXACT(Metadata!P424,"wastewater/sludge"),EXACT(Metadata!P424,"water")))</f>
        <v>0</v>
      </c>
      <c r="BD424" t="b">
        <f>IF(Metadata!Q424="",FALSE,TRUE)</f>
        <v>0</v>
      </c>
      <c r="BE424" t="b">
        <f>IF(Metadata!R424="",FALSE,TRUE)</f>
        <v>0</v>
      </c>
      <c r="BF424" t="b">
        <f>OR(AND(IF(Metadata!S424="",FALSE,TRUE),OR(EXACT(Metadata!S424,"not collected"),EXACT(Metadata!S424,"not provided"),EXACT(Metadata!S424,"restricted access"))),AND(IF(Metadata!S424="",FALSE,ISNUMBER(VALUE(Metadata!S424))),Metadata!S424&gt;=-90,Metadata!S424&lt;=90))</f>
        <v>0</v>
      </c>
      <c r="BG424" t="b">
        <f>AND(IF(Metadata!T424="",FALSE,TRUE),EXACT(Metadata!T424,"Decimal degrees"))</f>
        <v>0</v>
      </c>
      <c r="BH424" t="b">
        <f>OR(AND(IF(Metadata!U424="",FALSE,TRUE),OR(EXACT(Metadata!U424,"not applicable"),EXACT(Metadata!U424,"not collected"))),IF(Metadata!U424="",FALSE,TRUE))</f>
        <v>0</v>
      </c>
      <c r="BI424" t="b">
        <f>OR(AND(IF(Metadata!V424="",FALSE,TRUE),OR(EXACT(Metadata!V424,"not collected"),EXACT(Metadata!V424,"not provided"),EXACT(Metadata!V424,"restricted access"))),AND(IF(Metadata!V424="",FALSE,ISNUMBER(VALUE(Metadata!V424))),Metadata!V424&gt;=-180,Metadata!V424&lt;=180))</f>
        <v>0</v>
      </c>
      <c r="BJ424" t="b">
        <f>AND(IF(Metadata!W424="",FALSE,TRUE),EXACT(Metadata!W424,"Decimal degrees"))</f>
        <v>0</v>
      </c>
      <c r="BK424" t="b">
        <f>IF(Metadata!X424="",FALSE,TRUE)</f>
        <v>0</v>
      </c>
      <c r="BL424" t="b">
        <f>OR(AND(IF(Metadata!Y424="",FALSE,TRUE),OR(EXACT(Metadata!Y424,"not collected"),EXACT(Metadata!Y424,"not provided"),EXACT(Metadata!Y424,"restricted access"))),AND(IF(Metadata!Y424="",FALSE,TRUE),OR(EXACT(Metadata!Y424,"TRUE"),EXACT(Metadata!Y424,"FALSE"))))</f>
        <v>0</v>
      </c>
      <c r="BM424" t="b">
        <f>OR(AND(IF(Metadata!Z424="",FALSE,TRUE),EXACT(Metadata!Z424,"not applicable")),AND(IF(Metadata!Z424="",FALSE,TRUE),OR(EXACT(Metadata!Z424,"beer"),EXACT(Metadata!Z424,"cheese"),EXACT(Metadata!Z424,"fresh water"),EXACT(Metadata!Z424,"marine sediment"),EXACT(Metadata!Z424,"sea water"),EXACT(Metadata!Z424,"sediment"),EXACT(Metadata!Z424,"soil"),EXACT(Metadata!Z424,"waste water"))))</f>
        <v>0</v>
      </c>
      <c r="BN424" t="b">
        <f>AND(IF(Metadata!AA424="",FALSE,TRUE),EXACT(Metadata!AA424,"metagenome"))</f>
        <v>0</v>
      </c>
      <c r="BO424" t="b">
        <f>AND(IF(Metadata!AB424="",FALSE,TRUE),EXACT(Metadata!AB424,"256318"))</f>
        <v>0</v>
      </c>
      <c r="BP424" t="b">
        <f>IF(Metadata!AC424="",FALSE,TRUE)</f>
        <v>0</v>
      </c>
      <c r="BQ424" t="b">
        <f>IF(Metadata!AD424="",FALSE,TRUE)</f>
        <v>0</v>
      </c>
    </row>
    <row r="425" spans="1:69" x14ac:dyDescent="0.2">
      <c r="A425" s="4" t="e">
        <f ca="1">IF(B425=" "," ",HYPERLINK(CONCATENATE("#metadata!",ADDRESS(INDEX($AJ$2:$AJ$1001,MATCH(ROWS($AH$2:AH425),$AH$2:$AH$1001,0),0),2)),INDEX($AM$2:$AM$1001,MATCH(ROWS($AH$2:AH425),$AH$2:$AH$1001,0),0)))</f>
        <v>#N/A</v>
      </c>
      <c r="B425" s="5" t="e">
        <f ca="1">IF(OR(INDEX($AI$2:$AI$1001,MATCH(ROWS($AH$2:AH425),$AH$2:$AH$1001,0),1)&gt;=100000,INDEX($AO$1005:$BQ$1005,1,MATCH(COLUMNS($AO$1006:AO1006),$AO$1006:$BQ$1006,0))&gt;=100000), " ",IF(INDEX($AO$2:$BQ$1001,MATCH(ROWS($AH$2:AH425),$AH$2:$AH$1001,0),MATCH(COLUMNS($AO$1006:AO1006),$AO$1006:$BQ$1006,0)), HYPERLINK("#",""), HYPERLINK(CONCATENATE("#Metadata!", ADDRESS(INDEX($AJ$2:$AJ$1001,MATCH(ROWS($AH$2:AH425),$AH$2:$AH$1001,0),0), INDEX($AO$1004:$BQ$1004,1,MATCH(COLUMNS($AO$1006:AO1006),$AO$1006:$BQ$1006,0)))),"Fix")))</f>
        <v>#N/A</v>
      </c>
      <c r="C425" s="5" t="e">
        <f ca="1">IF(OR(INDEX($AI$2:$AI$1001,MATCH(ROWS($AH$2:AH425),$AH$2:$AH$1001,0),1)&gt;=100000,INDEX($AO$1005:$BQ$1005,1,MATCH(COLUMNS($AO$1006:AP1006),$AO$1006:$BQ$1006,0))&gt;=100000), " ",IF(INDEX($AO$2:$BQ$1001,MATCH(ROWS($AH$2:AH425),$AH$2:$AH$1001,0),MATCH(COLUMNS($AO$1006:AP1006),$AO$1006:$BQ$1006,0)), HYPERLINK("#",""), HYPERLINK(CONCATENATE("#Metadata!", ADDRESS(INDEX($AJ$2:$AJ$1001,MATCH(ROWS($AH$2:AH425),$AH$2:$AH$1001,0),0), INDEX($AO$1004:$BQ$1004,1,MATCH(COLUMNS($AO$1006:AP1006),$AO$1006:$BQ$1006,0)))),"Fix")))</f>
        <v>#N/A</v>
      </c>
      <c r="D425" s="5" t="e">
        <f ca="1">IF(OR(INDEX($AI$2:$AI$1001,MATCH(ROWS($AH$2:AH425),$AH$2:$AH$1001,0),1)&gt;=100000,INDEX($AO$1005:$BQ$1005,1,MATCH(COLUMNS($AO$1006:AQ1006),$AO$1006:$BQ$1006,0))&gt;=100000), " ",IF(INDEX($AO$2:$BQ$1001,MATCH(ROWS($AH$2:AH425),$AH$2:$AH$1001,0),MATCH(COLUMNS($AO$1006:AQ1006),$AO$1006:$BQ$1006,0)), HYPERLINK("#",""), HYPERLINK(CONCATENATE("#Metadata!", ADDRESS(INDEX($AJ$2:$AJ$1001,MATCH(ROWS($AH$2:AH425),$AH$2:$AH$1001,0),0), INDEX($AO$1004:$BQ$1004,1,MATCH(COLUMNS($AO$1006:AQ1006),$AO$1006:$BQ$1006,0)))),"Fix")))</f>
        <v>#N/A</v>
      </c>
      <c r="E425" s="5" t="e">
        <f ca="1">IF(OR(INDEX($AI$2:$AI$1001,MATCH(ROWS($AH$2:AH425),$AH$2:$AH$1001,0),1)&gt;=100000,INDEX($AO$1005:$BQ$1005,1,MATCH(COLUMNS($AO$1006:AR1006),$AO$1006:$BQ$1006,0))&gt;=100000), " ",IF(INDEX($AO$2:$BQ$1001,MATCH(ROWS($AH$2:AH425),$AH$2:$AH$1001,0),MATCH(COLUMNS($AO$1006:AR1006),$AO$1006:$BQ$1006,0)), HYPERLINK("#",""), HYPERLINK(CONCATENATE("#Metadata!", ADDRESS(INDEX($AJ$2:$AJ$1001,MATCH(ROWS($AH$2:AH425),$AH$2:$AH$1001,0),0), INDEX($AO$1004:$BQ$1004,1,MATCH(COLUMNS($AO$1006:AR1006),$AO$1006:$BQ$1006,0)))),"Fix")))</f>
        <v>#N/A</v>
      </c>
      <c r="F425" s="5" t="e">
        <f ca="1">IF(OR(INDEX($AI$2:$AI$1001,MATCH(ROWS($AH$2:AH425),$AH$2:$AH$1001,0),1)&gt;=100000,INDEX($AO$1005:$BQ$1005,1,MATCH(COLUMNS($AO$1006:AS1006),$AO$1006:$BQ$1006,0))&gt;=100000), " ",IF(INDEX($AO$2:$BQ$1001,MATCH(ROWS($AH$2:AH425),$AH$2:$AH$1001,0),MATCH(COLUMNS($AO$1006:AS1006),$AO$1006:$BQ$1006,0)), HYPERLINK("#",""), HYPERLINK(CONCATENATE("#Metadata!", ADDRESS(INDEX($AJ$2:$AJ$1001,MATCH(ROWS($AH$2:AH425),$AH$2:$AH$1001,0),0), INDEX($AO$1004:$BQ$1004,1,MATCH(COLUMNS($AO$1006:AS1006),$AO$1006:$BQ$1006,0)))),"Fix")))</f>
        <v>#N/A</v>
      </c>
      <c r="G425" s="5" t="e">
        <f ca="1">IF(OR(INDEX($AI$2:$AI$1001,MATCH(ROWS($AH$2:AH425),$AH$2:$AH$1001,0),1)&gt;=100000,INDEX($AO$1005:$BQ$1005,1,MATCH(COLUMNS($AO$1006:AT1006),$AO$1006:$BQ$1006,0))&gt;=100000), " ",IF(INDEX($AO$2:$BQ$1001,MATCH(ROWS($AH$2:AH425),$AH$2:$AH$1001,0),MATCH(COLUMNS($AO$1006:AT1006),$AO$1006:$BQ$1006,0)), HYPERLINK("#",""), HYPERLINK(CONCATENATE("#Metadata!", ADDRESS(INDEX($AJ$2:$AJ$1001,MATCH(ROWS($AH$2:AH425),$AH$2:$AH$1001,0),0), INDEX($AO$1004:$BQ$1004,1,MATCH(COLUMNS($AO$1006:AT1006),$AO$1006:$BQ$1006,0)))),"Fix")))</f>
        <v>#N/A</v>
      </c>
      <c r="H425" s="5" t="e">
        <f ca="1">IF(OR(INDEX($AI$2:$AI$1001,MATCH(ROWS($AH$2:AH425),$AH$2:$AH$1001,0),1)&gt;=100000,INDEX($AO$1005:$BQ$1005,1,MATCH(COLUMNS($AO$1006:AU1006),$AO$1006:$BQ$1006,0))&gt;=100000), " ",IF(INDEX($AO$2:$BQ$1001,MATCH(ROWS($AH$2:AH425),$AH$2:$AH$1001,0),MATCH(COLUMNS($AO$1006:AU1006),$AO$1006:$BQ$1006,0)), HYPERLINK("#",""), HYPERLINK(CONCATENATE("#Metadata!", ADDRESS(INDEX($AJ$2:$AJ$1001,MATCH(ROWS($AH$2:AH425),$AH$2:$AH$1001,0),0), INDEX($AO$1004:$BQ$1004,1,MATCH(COLUMNS($AO$1006:AU1006),$AO$1006:$BQ$1006,0)))),"Fix")))</f>
        <v>#N/A</v>
      </c>
      <c r="I425" s="5" t="e">
        <f ca="1">IF(OR(INDEX($AI$2:$AI$1001,MATCH(ROWS($AH$2:AH425),$AH$2:$AH$1001,0),1)&gt;=100000,INDEX($AO$1005:$BQ$1005,1,MATCH(COLUMNS($AO$1006:AV1006),$AO$1006:$BQ$1006,0))&gt;=100000), " ",IF(INDEX($AO$2:$BQ$1001,MATCH(ROWS($AH$2:AH425),$AH$2:$AH$1001,0),MATCH(COLUMNS($AO$1006:AV1006),$AO$1006:$BQ$1006,0)), HYPERLINK("#",""), HYPERLINK(CONCATENATE("#Metadata!", ADDRESS(INDEX($AJ$2:$AJ$1001,MATCH(ROWS($AH$2:AH425),$AH$2:$AH$1001,0),0), INDEX($AO$1004:$BQ$1004,1,MATCH(COLUMNS($AO$1006:AV1006),$AO$1006:$BQ$1006,0)))),"Fix")))</f>
        <v>#N/A</v>
      </c>
      <c r="J425" s="5" t="e">
        <f ca="1">IF(OR(INDEX($AI$2:$AI$1001,MATCH(ROWS($AH$2:AH425),$AH$2:$AH$1001,0),1)&gt;=100000,INDEX($AO$1005:$BQ$1005,1,MATCH(COLUMNS($AO$1006:AW1006),$AO$1006:$BQ$1006,0))&gt;=100000), " ",IF(INDEX($AO$2:$BQ$1001,MATCH(ROWS($AH$2:AH425),$AH$2:$AH$1001,0),MATCH(COLUMNS($AO$1006:AW1006),$AO$1006:$BQ$1006,0)), HYPERLINK("#",""), HYPERLINK(CONCATENATE("#Metadata!", ADDRESS(INDEX($AJ$2:$AJ$1001,MATCH(ROWS($AH$2:AH425),$AH$2:$AH$1001,0),0), INDEX($AO$1004:$BQ$1004,1,MATCH(COLUMNS($AO$1006:AW1006),$AO$1006:$BQ$1006,0)))),"Fix")))</f>
        <v>#N/A</v>
      </c>
      <c r="K425" s="5" t="e">
        <f ca="1">IF(OR(INDEX($AI$2:$AI$1001,MATCH(ROWS($AH$2:AH425),$AH$2:$AH$1001,0),1)&gt;=100000,INDEX($AO$1005:$BQ$1005,1,MATCH(COLUMNS($AO$1006:AX1006),$AO$1006:$BQ$1006,0))&gt;=100000), " ",IF(INDEX($AO$2:$BQ$1001,MATCH(ROWS($AH$2:AH425),$AH$2:$AH$1001,0),MATCH(COLUMNS($AO$1006:AX1006),$AO$1006:$BQ$1006,0)), HYPERLINK("#",""), HYPERLINK(CONCATENATE("#Metadata!", ADDRESS(INDEX($AJ$2:$AJ$1001,MATCH(ROWS($AH$2:AH425),$AH$2:$AH$1001,0),0), INDEX($AO$1004:$BQ$1004,1,MATCH(COLUMNS($AO$1006:AX1006),$AO$1006:$BQ$1006,0)))),"Fix")))</f>
        <v>#N/A</v>
      </c>
      <c r="L425" s="5" t="e">
        <f ca="1">IF(OR(INDEX($AI$2:$AI$1001,MATCH(ROWS($AH$2:AH425),$AH$2:$AH$1001,0),1)&gt;=100000,INDEX($AO$1005:$BQ$1005,1,MATCH(COLUMNS($AO$1006:AY1006),$AO$1006:$BQ$1006,0))&gt;=100000), " ",IF(INDEX($AO$2:$BQ$1001,MATCH(ROWS($AH$2:AH425),$AH$2:$AH$1001,0),MATCH(COLUMNS($AO$1006:AY1006),$AO$1006:$BQ$1006,0)), HYPERLINK("#",""), HYPERLINK(CONCATENATE("#Metadata!", ADDRESS(INDEX($AJ$2:$AJ$1001,MATCH(ROWS($AH$2:AH425),$AH$2:$AH$1001,0),0), INDEX($AO$1004:$BQ$1004,1,MATCH(COLUMNS($AO$1006:AY1006),$AO$1006:$BQ$1006,0)))),"Fix")))</f>
        <v>#N/A</v>
      </c>
      <c r="M425" s="5" t="e">
        <f ca="1">IF(OR(INDEX($AI$2:$AI$1001,MATCH(ROWS($AH$2:AH425),$AH$2:$AH$1001,0),1)&gt;=100000,INDEX($AO$1005:$BQ$1005,1,MATCH(COLUMNS($AO$1006:AZ1006),$AO$1006:$BQ$1006,0))&gt;=100000), " ",IF(INDEX($AO$2:$BQ$1001,MATCH(ROWS($AH$2:AH425),$AH$2:$AH$1001,0),MATCH(COLUMNS($AO$1006:AZ1006),$AO$1006:$BQ$1006,0)), HYPERLINK("#",""), HYPERLINK(CONCATENATE("#Metadata!", ADDRESS(INDEX($AJ$2:$AJ$1001,MATCH(ROWS($AH$2:AH425),$AH$2:$AH$1001,0),0), INDEX($AO$1004:$BQ$1004,1,MATCH(COLUMNS($AO$1006:AZ1006),$AO$1006:$BQ$1006,0)))),"Fix")))</f>
        <v>#N/A</v>
      </c>
      <c r="N425" s="5" t="e">
        <f ca="1">IF(OR(INDEX($AI$2:$AI$1001,MATCH(ROWS($AH$2:AH425),$AH$2:$AH$1001,0),1)&gt;=100000,INDEX($AO$1005:$BQ$1005,1,MATCH(COLUMNS($AO$1006:BA1006),$AO$1006:$BQ$1006,0))&gt;=100000), " ",IF(INDEX($AO$2:$BQ$1001,MATCH(ROWS($AH$2:AH425),$AH$2:$AH$1001,0),MATCH(COLUMNS($AO$1006:BA1006),$AO$1006:$BQ$1006,0)), HYPERLINK("#",""), HYPERLINK(CONCATENATE("#Metadata!", ADDRESS(INDEX($AJ$2:$AJ$1001,MATCH(ROWS($AH$2:AH425),$AH$2:$AH$1001,0),0), INDEX($AO$1004:$BQ$1004,1,MATCH(COLUMNS($AO$1006:BA1006),$AO$1006:$BQ$1006,0)))),"Fix")))</f>
        <v>#N/A</v>
      </c>
      <c r="O425" s="5" t="e">
        <f ca="1">IF(OR(INDEX($AI$2:$AI$1001,MATCH(ROWS($AH$2:AH425),$AH$2:$AH$1001,0),1)&gt;=100000,INDEX($AO$1005:$BQ$1005,1,MATCH(COLUMNS($AO$1006:BB1006),$AO$1006:$BQ$1006,0))&gt;=100000), " ",IF(INDEX($AO$2:$BQ$1001,MATCH(ROWS($AH$2:AH425),$AH$2:$AH$1001,0),MATCH(COLUMNS($AO$1006:BB1006),$AO$1006:$BQ$1006,0)), HYPERLINK("#",""), HYPERLINK(CONCATENATE("#Metadata!", ADDRESS(INDEX($AJ$2:$AJ$1001,MATCH(ROWS($AH$2:AH425),$AH$2:$AH$1001,0),0), INDEX($AO$1004:$BQ$1004,1,MATCH(COLUMNS($AO$1006:BB1006),$AO$1006:$BQ$1006,0)))),"Fix")))</f>
        <v>#N/A</v>
      </c>
      <c r="P425" s="5" t="e">
        <f ca="1">IF(OR(INDEX($AI$2:$AI$1001,MATCH(ROWS($AH$2:AH425),$AH$2:$AH$1001,0),1)&gt;=100000,INDEX($AO$1005:$BQ$1005,1,MATCH(COLUMNS($AO$1006:BC1006),$AO$1006:$BQ$1006,0))&gt;=100000), " ",IF(INDEX($AO$2:$BQ$1001,MATCH(ROWS($AH$2:AH425),$AH$2:$AH$1001,0),MATCH(COLUMNS($AO$1006:BC1006),$AO$1006:$BQ$1006,0)), HYPERLINK("#",""), HYPERLINK(CONCATENATE("#Metadata!", ADDRESS(INDEX($AJ$2:$AJ$1001,MATCH(ROWS($AH$2:AH425),$AH$2:$AH$1001,0),0), INDEX($AO$1004:$BQ$1004,1,MATCH(COLUMNS($AO$1006:BC1006),$AO$1006:$BQ$1006,0)))),"Fix")))</f>
        <v>#N/A</v>
      </c>
      <c r="Q425" s="5" t="e">
        <f ca="1">IF(OR(INDEX($AI$2:$AI$1001,MATCH(ROWS($AH$2:AH425),$AH$2:$AH$1001,0),1)&gt;=100000,INDEX($AO$1005:$BQ$1005,1,MATCH(COLUMNS($AO$1006:BD1006),$AO$1006:$BQ$1006,0))&gt;=100000), " ",IF(INDEX($AO$2:$BQ$1001,MATCH(ROWS($AH$2:AH425),$AH$2:$AH$1001,0),MATCH(COLUMNS($AO$1006:BD1006),$AO$1006:$BQ$1006,0)), HYPERLINK("#",""), HYPERLINK(CONCATENATE("#Metadata!", ADDRESS(INDEX($AJ$2:$AJ$1001,MATCH(ROWS($AH$2:AH425),$AH$2:$AH$1001,0),0), INDEX($AO$1004:$BQ$1004,1,MATCH(COLUMNS($AO$1006:BD1006),$AO$1006:$BQ$1006,0)))),"Fix")))</f>
        <v>#N/A</v>
      </c>
      <c r="R425" s="5" t="e">
        <f ca="1">IF(OR(INDEX($AI$2:$AI$1001,MATCH(ROWS($AH$2:AH425),$AH$2:$AH$1001,0),1)&gt;=100000,INDEX($AO$1005:$BQ$1005,1,MATCH(COLUMNS($AO$1006:BE1006),$AO$1006:$BQ$1006,0))&gt;=100000), " ",IF(INDEX($AO$2:$BQ$1001,MATCH(ROWS($AH$2:AH425),$AH$2:$AH$1001,0),MATCH(COLUMNS($AO$1006:BE1006),$AO$1006:$BQ$1006,0)), HYPERLINK("#",""), HYPERLINK(CONCATENATE("#Metadata!", ADDRESS(INDEX($AJ$2:$AJ$1001,MATCH(ROWS($AH$2:AH425),$AH$2:$AH$1001,0),0), INDEX($AO$1004:$BQ$1004,1,MATCH(COLUMNS($AO$1006:BE1006),$AO$1006:$BQ$1006,0)))),"Fix")))</f>
        <v>#N/A</v>
      </c>
      <c r="S425" s="5" t="e">
        <f ca="1">IF(OR(INDEX($AI$2:$AI$1001,MATCH(ROWS($AH$2:AH425),$AH$2:$AH$1001,0),1)&gt;=100000,INDEX($AO$1005:$BQ$1005,1,MATCH(COLUMNS($AO$1006:BF1006),$AO$1006:$BQ$1006,0))&gt;=100000), " ",IF(INDEX($AO$2:$BQ$1001,MATCH(ROWS($AH$2:AH425),$AH$2:$AH$1001,0),MATCH(COLUMNS($AO$1006:BF1006),$AO$1006:$BQ$1006,0)), HYPERLINK("#",""), HYPERLINK(CONCATENATE("#Metadata!", ADDRESS(INDEX($AJ$2:$AJ$1001,MATCH(ROWS($AH$2:AH425),$AH$2:$AH$1001,0),0), INDEX($AO$1004:$BQ$1004,1,MATCH(COLUMNS($AO$1006:BF1006),$AO$1006:$BQ$1006,0)))),"Fix")))</f>
        <v>#N/A</v>
      </c>
      <c r="T425" s="5" t="e">
        <f ca="1">IF(OR(INDEX($AI$2:$AI$1001,MATCH(ROWS($AH$2:AH425),$AH$2:$AH$1001,0),1)&gt;=100000,INDEX($AO$1005:$BQ$1005,1,MATCH(COLUMNS($AO$1006:BG1006),$AO$1006:$BQ$1006,0))&gt;=100000), " ",IF(INDEX($AO$2:$BQ$1001,MATCH(ROWS($AH$2:AH425),$AH$2:$AH$1001,0),MATCH(COLUMNS($AO$1006:BG1006),$AO$1006:$BQ$1006,0)), HYPERLINK("#",""), HYPERLINK(CONCATENATE("#Metadata!", ADDRESS(INDEX($AJ$2:$AJ$1001,MATCH(ROWS($AH$2:AH425),$AH$2:$AH$1001,0),0), INDEX($AO$1004:$BQ$1004,1,MATCH(COLUMNS($AO$1006:BG1006),$AO$1006:$BQ$1006,0)))),"Fix")))</f>
        <v>#N/A</v>
      </c>
      <c r="U425" s="5" t="e">
        <f ca="1">IF(OR(INDEX($AI$2:$AI$1001,MATCH(ROWS($AH$2:AH425),$AH$2:$AH$1001,0),1)&gt;=100000,INDEX($AO$1005:$BQ$1005,1,MATCH(COLUMNS($AO$1006:BH1006),$AO$1006:$BQ$1006,0))&gt;=100000), " ",IF(INDEX($AO$2:$BQ$1001,MATCH(ROWS($AH$2:AH425),$AH$2:$AH$1001,0),MATCH(COLUMNS($AO$1006:BH1006),$AO$1006:$BQ$1006,0)), HYPERLINK("#",""), HYPERLINK(CONCATENATE("#Metadata!", ADDRESS(INDEX($AJ$2:$AJ$1001,MATCH(ROWS($AH$2:AH425),$AH$2:$AH$1001,0),0), INDEX($AO$1004:$BQ$1004,1,MATCH(COLUMNS($AO$1006:BH1006),$AO$1006:$BQ$1006,0)))),"Fix")))</f>
        <v>#N/A</v>
      </c>
      <c r="V425" s="5" t="e">
        <f ca="1">IF(OR(INDEX($AI$2:$AI$1001,MATCH(ROWS($AH$2:AH425),$AH$2:$AH$1001,0),1)&gt;=100000,INDEX($AO$1005:$BQ$1005,1,MATCH(COLUMNS($AO$1006:BI1006),$AO$1006:$BQ$1006,0))&gt;=100000), " ",IF(INDEX($AO$2:$BQ$1001,MATCH(ROWS($AH$2:AH425),$AH$2:$AH$1001,0),MATCH(COLUMNS($AO$1006:BI1006),$AO$1006:$BQ$1006,0)), HYPERLINK("#",""), HYPERLINK(CONCATENATE("#Metadata!", ADDRESS(INDEX($AJ$2:$AJ$1001,MATCH(ROWS($AH$2:AH425),$AH$2:$AH$1001,0),0), INDEX($AO$1004:$BQ$1004,1,MATCH(COLUMNS($AO$1006:BI1006),$AO$1006:$BQ$1006,0)))),"Fix")))</f>
        <v>#N/A</v>
      </c>
      <c r="W425" s="5" t="e">
        <f ca="1">IF(OR(INDEX($AI$2:$AI$1001,MATCH(ROWS($AH$2:AH425),$AH$2:$AH$1001,0),1)&gt;=100000,INDEX($AO$1005:$BQ$1005,1,MATCH(COLUMNS($AO$1006:BJ1006),$AO$1006:$BQ$1006,0))&gt;=100000), " ",IF(INDEX($AO$2:$BQ$1001,MATCH(ROWS($AH$2:AH425),$AH$2:$AH$1001,0),MATCH(COLUMNS($AO$1006:BJ1006),$AO$1006:$BQ$1006,0)), HYPERLINK("#",""), HYPERLINK(CONCATENATE("#Metadata!", ADDRESS(INDEX($AJ$2:$AJ$1001,MATCH(ROWS($AH$2:AH425),$AH$2:$AH$1001,0),0), INDEX($AO$1004:$BQ$1004,1,MATCH(COLUMNS($AO$1006:BJ1006),$AO$1006:$BQ$1006,0)))),"Fix")))</f>
        <v>#N/A</v>
      </c>
      <c r="X425" s="5" t="e">
        <f ca="1">IF(OR(INDEX($AI$2:$AI$1001,MATCH(ROWS($AH$2:AH425),$AH$2:$AH$1001,0),1)&gt;=100000,INDEX($AO$1005:$BQ$1005,1,MATCH(COLUMNS($AO$1006:BK1006),$AO$1006:$BQ$1006,0))&gt;=100000), " ",IF(INDEX($AO$2:$BQ$1001,MATCH(ROWS($AH$2:AH425),$AH$2:$AH$1001,0),MATCH(COLUMNS($AO$1006:BK1006),$AO$1006:$BQ$1006,0)), HYPERLINK("#",""), HYPERLINK(CONCATENATE("#Metadata!", ADDRESS(INDEX($AJ$2:$AJ$1001,MATCH(ROWS($AH$2:AH425),$AH$2:$AH$1001,0),0), INDEX($AO$1004:$BQ$1004,1,MATCH(COLUMNS($AO$1006:BK1006),$AO$1006:$BQ$1006,0)))),"Fix")))</f>
        <v>#N/A</v>
      </c>
      <c r="Y425" s="5" t="e">
        <f ca="1">IF(OR(INDEX($AI$2:$AI$1001,MATCH(ROWS($AH$2:AH425),$AH$2:$AH$1001,0),1)&gt;=100000,INDEX($AO$1005:$BQ$1005,1,MATCH(COLUMNS($AO$1006:BL1006),$AO$1006:$BQ$1006,0))&gt;=100000), " ",IF(INDEX($AO$2:$BQ$1001,MATCH(ROWS($AH$2:AH425),$AH$2:$AH$1001,0),MATCH(COLUMNS($AO$1006:BL1006),$AO$1006:$BQ$1006,0)), HYPERLINK("#",""), HYPERLINK(CONCATENATE("#Metadata!", ADDRESS(INDEX($AJ$2:$AJ$1001,MATCH(ROWS($AH$2:AH425),$AH$2:$AH$1001,0),0), INDEX($AO$1004:$BQ$1004,1,MATCH(COLUMNS($AO$1006:BL1006),$AO$1006:$BQ$1006,0)))),"Fix")))</f>
        <v>#N/A</v>
      </c>
      <c r="Z425" s="5" t="e">
        <f ca="1">IF(OR(INDEX($AI$2:$AI$1001,MATCH(ROWS($AH$2:AH425),$AH$2:$AH$1001,0),1)&gt;=100000,INDEX($AO$1005:$BQ$1005,1,MATCH(COLUMNS($AO$1006:BM1006),$AO$1006:$BQ$1006,0))&gt;=100000), " ",IF(INDEX($AO$2:$BQ$1001,MATCH(ROWS($AH$2:AH425),$AH$2:$AH$1001,0),MATCH(COLUMNS($AO$1006:BM1006),$AO$1006:$BQ$1006,0)), HYPERLINK("#",""), HYPERLINK(CONCATENATE("#Metadata!", ADDRESS(INDEX($AJ$2:$AJ$1001,MATCH(ROWS($AH$2:AH425),$AH$2:$AH$1001,0),0), INDEX($AO$1004:$BQ$1004,1,MATCH(COLUMNS($AO$1006:BM1006),$AO$1006:$BQ$1006,0)))),"Fix")))</f>
        <v>#N/A</v>
      </c>
      <c r="AA425" s="5" t="e">
        <f ca="1">IF(OR(INDEX($AI$2:$AI$1001,MATCH(ROWS($AH$2:AH425),$AH$2:$AH$1001,0),1)&gt;=100000,INDEX($AO$1005:$BQ$1005,1,MATCH(COLUMNS($AO$1006:BN1006),$AO$1006:$BQ$1006,0))&gt;=100000), " ",IF(INDEX($AO$2:$BQ$1001,MATCH(ROWS($AH$2:AH425),$AH$2:$AH$1001,0),MATCH(COLUMNS($AO$1006:BN1006),$AO$1006:$BQ$1006,0)), HYPERLINK("#",""), HYPERLINK(CONCATENATE("#Metadata!", ADDRESS(INDEX($AJ$2:$AJ$1001,MATCH(ROWS($AH$2:AH425),$AH$2:$AH$1001,0),0), INDEX($AO$1004:$BQ$1004,1,MATCH(COLUMNS($AO$1006:BN1006),$AO$1006:$BQ$1006,0)))),"Fix")))</f>
        <v>#N/A</v>
      </c>
      <c r="AB425" s="5" t="e">
        <f ca="1">IF(OR(INDEX($AI$2:$AI$1001,MATCH(ROWS($AH$2:AH425),$AH$2:$AH$1001,0),1)&gt;=100000,INDEX($AO$1005:$BQ$1005,1,MATCH(COLUMNS($AO$1006:BO1006),$AO$1006:$BQ$1006,0))&gt;=100000), " ",IF(INDEX($AO$2:$BQ$1001,MATCH(ROWS($AH$2:AH425),$AH$2:$AH$1001,0),MATCH(COLUMNS($AO$1006:BO1006),$AO$1006:$BQ$1006,0)), HYPERLINK("#",""), HYPERLINK(CONCATENATE("#Metadata!", ADDRESS(INDEX($AJ$2:$AJ$1001,MATCH(ROWS($AH$2:AH425),$AH$2:$AH$1001,0),0), INDEX($AO$1004:$BQ$1004,1,MATCH(COLUMNS($AO$1006:BO1006),$AO$1006:$BQ$1006,0)))),"Fix")))</f>
        <v>#N/A</v>
      </c>
      <c r="AC425" s="5" t="e">
        <f ca="1">IF(OR(INDEX($AI$2:$AI$1001,MATCH(ROWS($AH$2:AH425),$AH$2:$AH$1001,0),1)&gt;=100000,INDEX($AO$1005:$BQ$1005,1,MATCH(COLUMNS($AO$1006:BP1006),$AO$1006:$BQ$1006,0))&gt;=100000), " ",IF(INDEX($AO$2:$BQ$1001,MATCH(ROWS($AH$2:AH425),$AH$2:$AH$1001,0),MATCH(COLUMNS($AO$1006:BP1006),$AO$1006:$BQ$1006,0)), HYPERLINK("#",""), HYPERLINK(CONCATENATE("#Metadata!", ADDRESS(INDEX($AJ$2:$AJ$1001,MATCH(ROWS($AH$2:AH425),$AH$2:$AH$1001,0),0), INDEX($AO$1004:$BQ$1004,1,MATCH(COLUMNS($AO$1006:BP1006),$AO$1006:$BQ$1006,0)))),"Fix")))</f>
        <v>#N/A</v>
      </c>
      <c r="AD425" s="5" t="e">
        <f ca="1">IF(OR(INDEX($AI$2:$AI$1001,MATCH(ROWS($AH$2:AH425),$AH$2:$AH$1001,0),1)&gt;=100000,INDEX($AO$1005:$BQ$1005,1,MATCH(COLUMNS($AO$1006:BQ1006),$AO$1006:$BQ$1006,0))&gt;=100000), " ",IF(INDEX($AO$2:$BQ$1001,MATCH(ROWS($AH$2:AH425),$AH$2:$AH$1001,0),MATCH(COLUMNS($AO$1006:BQ1006),$AO$1006:$BQ$1006,0)), HYPERLINK("#",""), HYPERLINK(CONCATENATE("#Metadata!", ADDRESS(INDEX($AJ$2:$AJ$1001,MATCH(ROWS($AH$2:AH425),$AH$2:$AH$1001,0),0), INDEX($AO$1004:$BQ$1004,1,MATCH(COLUMNS($AO$1006:BQ1006),$AO$1006:$BQ$1006,0)))),"Fix")))</f>
        <v>#REF!</v>
      </c>
      <c r="AH425">
        <f ca="1"/>
        <v>422</v>
      </c>
      <c r="AI425">
        <v>100425</v>
      </c>
      <c r="AJ425">
        <v>425</v>
      </c>
      <c r="AK425" t="b">
        <f t="shared" si="6"/>
        <v>1</v>
      </c>
      <c r="AL425" t="b">
        <f>COUNTBLANK(Metadata!B425:AD425)=COLUMNS(Metadata!B425:AD425)</f>
        <v>1</v>
      </c>
      <c r="AM425" t="str">
        <v/>
      </c>
      <c r="AO425" t="b">
        <f ca="1">AND(IF(Metadata!B425="",FALSE,TRUE),COUNTIF(Metadata!B:B, Metadata!B425) = 1,NOT(ISERROR(SUMPRODUCT(SEARCH(MID(Metadata!B425,ROW(INDIRECT("1:"&amp;LEN(Metadata!B425))), 1),"0123456789abcdefghijklmnopqrstuvwxyzABCDEFGHIJKLMNOPQRSTUVWXYZ.")))))</f>
        <v>0</v>
      </c>
      <c r="AP425" t="b">
        <f>IF(Metadata!C425="",FALSE,TRUE)</f>
        <v>0</v>
      </c>
      <c r="AQ425" t="b">
        <f>IF(Metadata!D425="",FALSE,TRUE)</f>
        <v>0</v>
      </c>
      <c r="AR425" t="b">
        <f ca="1">OR(AND(IF(Metadata!E425="",FALSE,TRUE),OR(EXACT(Metadata!E425,"not collected"),EXACT(Metadata!E425,"not provided"),EXACT(Metadata!E425,"restricted access"))),AND(IF(Metadata!E425="",FALSE,TRUE),AND(AND(IFERROR(INT(LEFT(Metadata!E425,4))&gt;1900,FALSE),IFERROR(INT(LEFT(Metadata!E425,4))&lt;=YEAR(NOW()),FALSE)), OR(MID(Metadata!E425,5,1)="", AND(AND(MID(Metadata!E425,5,1)="-",IFERROR(INT(MID(Metadata!E425,6,1))&gt;=0,FALSE),IFERROR(INT(MID(Metadata!E425,6,1))&lt;=1,FALSE),NOT(MID(Metadata!E425,7,1)=""),IFERROR(INT(MID(Metadata!E425,6,2))&gt;=1,FALSE),IFERROR(INT(MID(Metadata!E425,6,2))&lt;=12,FALSE)), OR(MID(Metadata!E425,8,1)="", AND(AND(MID(Metadata!E425,8,1)="-",IFERROR(INT(MID(Metadata!E425,9,1))&gt;=0,FALSE),IFERROR(INT(MID(Metadata!E425,9,1))&lt;=3,FALSE),NOT(MID(Metadata!E425,10,1)=""),IFERROR(INT(MID(Metadata!E425,9,2))&gt;=1,FALSE),IFERROR(INT(MID(Metadata!E425,9,2))&lt;=31,FALSE)), OR(MID(Metadata!E425,11,1)="", AND(AND(MID(Metadata!E425,11,1)=" ",IFERROR(INT(MID(Metadata!E425,12,1))&gt;=0,FALSE),IFERROR(INT(MID(Metadata!E425,12,1))&lt;=2,FALSE),NOT(MID(Metadata!E425,13,1)=""),IFERROR(INT(MID(Metadata!E425,12,2))&gt;=0,FALSE),IFERROR(INT(MID(Metadata!E425,12,2))&lt;=23,FALSE)), OR(MID(Metadata!E425,14,1)="", AND(AND(MID(Metadata!E425,14,1)=":",IFERROR(INT(MID(Metadata!E425,15,1))&gt;=0,FALSE),IFERROR(INT(MID(Metadata!E425,15,1))&lt;=5,FALSE),NOT(MID(Metadata!E425,16,1)=""),IFERROR(INT(MID(Metadata!E425,15,2))&gt;=0,FALSE),IFERROR(INT(MID(Metadata!E425,15,2))&lt;=59,FALSE)), OR(MID(Metadata!E425,17,1)="", AND(AND(MID(Metadata!E425,17,1)=":",IFERROR(INT(MID(Metadata!E425,18,1))&gt;=0,FALSE),IFERROR(INT(MID(Metadata!E425,18,1))&lt;=5,FALSE),NOT(MID(Metadata!E425,19,1)=""),IFERROR(INT(MID(Metadata!E425,18,2))&gt;=0,FALSE),IFERROR(INT(MID(Metadata!E425,18,2))&lt;=59,FALSE)), LEN(Metadata!E425)&lt;=19)))))))))))))</f>
        <v>0</v>
      </c>
      <c r="AS425" t="b">
        <f>IF(Metadata!F425="",FALSE,TRUE)</f>
        <v>0</v>
      </c>
      <c r="AT425" t="b">
        <f>OR(AND(IF(Metadata!G425="",FALSE,TRUE),OR(EXACT(Metadata!G425,"not collected"),EXACT(Metadata!G425,"not provided"))),AND(IF(Metadata!G425="",FALSE,TRUE),OR(EXACT(Metadata!G425,"TRUE"),EXACT(Metadata!G425,"FALSE"))))</f>
        <v>0</v>
      </c>
      <c r="AU425" t="b">
        <f>OR(AND(IF(Metadata!H425="",FALSE,TRUE),OR(EXACT(Metadata!H425,"not collected"),EXACT(Metadata!H425,"not provided"),EXACT(Metadata!H425,"restricted access"))),AND(IF(Metadata!H425="",FALSE,ISNUMBER(VALUE(Metadata!H425))),Metadata!H425&gt;=-413))</f>
        <v>0</v>
      </c>
      <c r="AV425" t="b">
        <f>AND(IF(Metadata!I425="",FALSE,TRUE),EXACT(Metadata!I425,"meters"))</f>
        <v>0</v>
      </c>
      <c r="AW425" t="b">
        <f>AND(IF(Metadata!J425="",FALSE,TRUE),EXACT(Metadata!J425,"free-living"))</f>
        <v>0</v>
      </c>
      <c r="AX425" t="b">
        <f>AND(IF(Metadata!K425="",FALSE,TRUE),OR(EXACT(Metadata!K425,"saline"),EXACT(Metadata!K425,"non-saline")))</f>
        <v>0</v>
      </c>
      <c r="AY425" t="b">
        <f>AND(IF(Metadata!L425="",FALSE,TRUE),OR(EXACT(Metadata!L425,"sub-surface (non-saline)"),EXACT(Metadata!L425,"surface (non-saline)"),EXACT(Metadata!L425,"water (non-saline)"),EXACT(Metadata!L425,"soil (non-saline)"),EXACT(Metadata!L425,"aerosol (non-saline)"),EXACT(Metadata!L425,"sediment (non-saline)"),EXACT(Metadata!L425,"surface (saline)"),EXACT(Metadata!L425,"water (saline)"),EXACT(Metadata!L425,"hypersaline (saline)"),EXACT(Metadata!L425,"aerosol (saline)"),EXACT(Metadata!L425,"sediment (saline)")))</f>
        <v>0</v>
      </c>
      <c r="AZ425" t="b">
        <f>IF(Metadata!M425="",FALSE,TRUE)</f>
        <v>0</v>
      </c>
      <c r="BA425" t="b">
        <f>IF(Metadata!N425="",FALSE,TRUE)</f>
        <v>0</v>
      </c>
      <c r="BB425" t="b">
        <f>IF(Metadata!O425="",FALSE,TRUE)</f>
        <v>0</v>
      </c>
      <c r="BC425" t="b">
        <f>AND(IF(Metadata!P425="",FALSE,TRUE),OR(EXACT(Metadata!P425,"air"),EXACT(Metadata!P425,"microbial mat/biofilm"),EXACT(Metadata!P425,"misc environment"),EXACT(Metadata!P425,"sediment"),EXACT(Metadata!P425,"soil"),EXACT(Metadata!P425,"wastewater/sludge"),EXACT(Metadata!P425,"water")))</f>
        <v>0</v>
      </c>
      <c r="BD425" t="b">
        <f>IF(Metadata!Q425="",FALSE,TRUE)</f>
        <v>0</v>
      </c>
      <c r="BE425" t="b">
        <f>IF(Metadata!R425="",FALSE,TRUE)</f>
        <v>0</v>
      </c>
      <c r="BF425" t="b">
        <f>OR(AND(IF(Metadata!S425="",FALSE,TRUE),OR(EXACT(Metadata!S425,"not collected"),EXACT(Metadata!S425,"not provided"),EXACT(Metadata!S425,"restricted access"))),AND(IF(Metadata!S425="",FALSE,ISNUMBER(VALUE(Metadata!S425))),Metadata!S425&gt;=-90,Metadata!S425&lt;=90))</f>
        <v>0</v>
      </c>
      <c r="BG425" t="b">
        <f>AND(IF(Metadata!T425="",FALSE,TRUE),EXACT(Metadata!T425,"Decimal degrees"))</f>
        <v>0</v>
      </c>
      <c r="BH425" t="b">
        <f>OR(AND(IF(Metadata!U425="",FALSE,TRUE),OR(EXACT(Metadata!U425,"not applicable"),EXACT(Metadata!U425,"not collected"))),IF(Metadata!U425="",FALSE,TRUE))</f>
        <v>0</v>
      </c>
      <c r="BI425" t="b">
        <f>OR(AND(IF(Metadata!V425="",FALSE,TRUE),OR(EXACT(Metadata!V425,"not collected"),EXACT(Metadata!V425,"not provided"),EXACT(Metadata!V425,"restricted access"))),AND(IF(Metadata!V425="",FALSE,ISNUMBER(VALUE(Metadata!V425))),Metadata!V425&gt;=-180,Metadata!V425&lt;=180))</f>
        <v>0</v>
      </c>
      <c r="BJ425" t="b">
        <f>AND(IF(Metadata!W425="",FALSE,TRUE),EXACT(Metadata!W425,"Decimal degrees"))</f>
        <v>0</v>
      </c>
      <c r="BK425" t="b">
        <f>IF(Metadata!X425="",FALSE,TRUE)</f>
        <v>0</v>
      </c>
      <c r="BL425" t="b">
        <f>OR(AND(IF(Metadata!Y425="",FALSE,TRUE),OR(EXACT(Metadata!Y425,"not collected"),EXACT(Metadata!Y425,"not provided"),EXACT(Metadata!Y425,"restricted access"))),AND(IF(Metadata!Y425="",FALSE,TRUE),OR(EXACT(Metadata!Y425,"TRUE"),EXACT(Metadata!Y425,"FALSE"))))</f>
        <v>0</v>
      </c>
      <c r="BM425" t="b">
        <f>OR(AND(IF(Metadata!Z425="",FALSE,TRUE),EXACT(Metadata!Z425,"not applicable")),AND(IF(Metadata!Z425="",FALSE,TRUE),OR(EXACT(Metadata!Z425,"beer"),EXACT(Metadata!Z425,"cheese"),EXACT(Metadata!Z425,"fresh water"),EXACT(Metadata!Z425,"marine sediment"),EXACT(Metadata!Z425,"sea water"),EXACT(Metadata!Z425,"sediment"),EXACT(Metadata!Z425,"soil"),EXACT(Metadata!Z425,"waste water"))))</f>
        <v>0</v>
      </c>
      <c r="BN425" t="b">
        <f>AND(IF(Metadata!AA425="",FALSE,TRUE),EXACT(Metadata!AA425,"metagenome"))</f>
        <v>0</v>
      </c>
      <c r="BO425" t="b">
        <f>AND(IF(Metadata!AB425="",FALSE,TRUE),EXACT(Metadata!AB425,"256318"))</f>
        <v>0</v>
      </c>
      <c r="BP425" t="b">
        <f>IF(Metadata!AC425="",FALSE,TRUE)</f>
        <v>0</v>
      </c>
      <c r="BQ425" t="b">
        <f>IF(Metadata!AD425="",FALSE,TRUE)</f>
        <v>0</v>
      </c>
    </row>
    <row r="426" spans="1:69" x14ac:dyDescent="0.2">
      <c r="A426" s="4" t="e">
        <f ca="1">IF(B426=" "," ",HYPERLINK(CONCATENATE("#metadata!",ADDRESS(INDEX($AJ$2:$AJ$1001,MATCH(ROWS($AH$2:AH426),$AH$2:$AH$1001,0),0),2)),INDEX($AM$2:$AM$1001,MATCH(ROWS($AH$2:AH426),$AH$2:$AH$1001,0),0)))</f>
        <v>#N/A</v>
      </c>
      <c r="B426" s="5" t="e">
        <f ca="1">IF(OR(INDEX($AI$2:$AI$1001,MATCH(ROWS($AH$2:AH426),$AH$2:$AH$1001,0),1)&gt;=100000,INDEX($AO$1005:$BQ$1005,1,MATCH(COLUMNS($AO$1006:AO1006),$AO$1006:$BQ$1006,0))&gt;=100000), " ",IF(INDEX($AO$2:$BQ$1001,MATCH(ROWS($AH$2:AH426),$AH$2:$AH$1001,0),MATCH(COLUMNS($AO$1006:AO1006),$AO$1006:$BQ$1006,0)), HYPERLINK("#",""), HYPERLINK(CONCATENATE("#Metadata!", ADDRESS(INDEX($AJ$2:$AJ$1001,MATCH(ROWS($AH$2:AH426),$AH$2:$AH$1001,0),0), INDEX($AO$1004:$BQ$1004,1,MATCH(COLUMNS($AO$1006:AO1006),$AO$1006:$BQ$1006,0)))),"Fix")))</f>
        <v>#N/A</v>
      </c>
      <c r="C426" s="5" t="e">
        <f ca="1">IF(OR(INDEX($AI$2:$AI$1001,MATCH(ROWS($AH$2:AH426),$AH$2:$AH$1001,0),1)&gt;=100000,INDEX($AO$1005:$BQ$1005,1,MATCH(COLUMNS($AO$1006:AP1006),$AO$1006:$BQ$1006,0))&gt;=100000), " ",IF(INDEX($AO$2:$BQ$1001,MATCH(ROWS($AH$2:AH426),$AH$2:$AH$1001,0),MATCH(COLUMNS($AO$1006:AP1006),$AO$1006:$BQ$1006,0)), HYPERLINK("#",""), HYPERLINK(CONCATENATE("#Metadata!", ADDRESS(INDEX($AJ$2:$AJ$1001,MATCH(ROWS($AH$2:AH426),$AH$2:$AH$1001,0),0), INDEX($AO$1004:$BQ$1004,1,MATCH(COLUMNS($AO$1006:AP1006),$AO$1006:$BQ$1006,0)))),"Fix")))</f>
        <v>#N/A</v>
      </c>
      <c r="D426" s="5" t="e">
        <f ca="1">IF(OR(INDEX($AI$2:$AI$1001,MATCH(ROWS($AH$2:AH426),$AH$2:$AH$1001,0),1)&gt;=100000,INDEX($AO$1005:$BQ$1005,1,MATCH(COLUMNS($AO$1006:AQ1006),$AO$1006:$BQ$1006,0))&gt;=100000), " ",IF(INDEX($AO$2:$BQ$1001,MATCH(ROWS($AH$2:AH426),$AH$2:$AH$1001,0),MATCH(COLUMNS($AO$1006:AQ1006),$AO$1006:$BQ$1006,0)), HYPERLINK("#",""), HYPERLINK(CONCATENATE("#Metadata!", ADDRESS(INDEX($AJ$2:$AJ$1001,MATCH(ROWS($AH$2:AH426),$AH$2:$AH$1001,0),0), INDEX($AO$1004:$BQ$1004,1,MATCH(COLUMNS($AO$1006:AQ1006),$AO$1006:$BQ$1006,0)))),"Fix")))</f>
        <v>#N/A</v>
      </c>
      <c r="E426" s="5" t="e">
        <f ca="1">IF(OR(INDEX($AI$2:$AI$1001,MATCH(ROWS($AH$2:AH426),$AH$2:$AH$1001,0),1)&gt;=100000,INDEX($AO$1005:$BQ$1005,1,MATCH(COLUMNS($AO$1006:AR1006),$AO$1006:$BQ$1006,0))&gt;=100000), " ",IF(INDEX($AO$2:$BQ$1001,MATCH(ROWS($AH$2:AH426),$AH$2:$AH$1001,0),MATCH(COLUMNS($AO$1006:AR1006),$AO$1006:$BQ$1006,0)), HYPERLINK("#",""), HYPERLINK(CONCATENATE("#Metadata!", ADDRESS(INDEX($AJ$2:$AJ$1001,MATCH(ROWS($AH$2:AH426),$AH$2:$AH$1001,0),0), INDEX($AO$1004:$BQ$1004,1,MATCH(COLUMNS($AO$1006:AR1006),$AO$1006:$BQ$1006,0)))),"Fix")))</f>
        <v>#N/A</v>
      </c>
      <c r="F426" s="5" t="e">
        <f ca="1">IF(OR(INDEX($AI$2:$AI$1001,MATCH(ROWS($AH$2:AH426),$AH$2:$AH$1001,0),1)&gt;=100000,INDEX($AO$1005:$BQ$1005,1,MATCH(COLUMNS($AO$1006:AS1006),$AO$1006:$BQ$1006,0))&gt;=100000), " ",IF(INDEX($AO$2:$BQ$1001,MATCH(ROWS($AH$2:AH426),$AH$2:$AH$1001,0),MATCH(COLUMNS($AO$1006:AS1006),$AO$1006:$BQ$1006,0)), HYPERLINK("#",""), HYPERLINK(CONCATENATE("#Metadata!", ADDRESS(INDEX($AJ$2:$AJ$1001,MATCH(ROWS($AH$2:AH426),$AH$2:$AH$1001,0),0), INDEX($AO$1004:$BQ$1004,1,MATCH(COLUMNS($AO$1006:AS1006),$AO$1006:$BQ$1006,0)))),"Fix")))</f>
        <v>#N/A</v>
      </c>
      <c r="G426" s="5" t="e">
        <f ca="1">IF(OR(INDEX($AI$2:$AI$1001,MATCH(ROWS($AH$2:AH426),$AH$2:$AH$1001,0),1)&gt;=100000,INDEX($AO$1005:$BQ$1005,1,MATCH(COLUMNS($AO$1006:AT1006),$AO$1006:$BQ$1006,0))&gt;=100000), " ",IF(INDEX($AO$2:$BQ$1001,MATCH(ROWS($AH$2:AH426),$AH$2:$AH$1001,0),MATCH(COLUMNS($AO$1006:AT1006),$AO$1006:$BQ$1006,0)), HYPERLINK("#",""), HYPERLINK(CONCATENATE("#Metadata!", ADDRESS(INDEX($AJ$2:$AJ$1001,MATCH(ROWS($AH$2:AH426),$AH$2:$AH$1001,0),0), INDEX($AO$1004:$BQ$1004,1,MATCH(COLUMNS($AO$1006:AT1006),$AO$1006:$BQ$1006,0)))),"Fix")))</f>
        <v>#N/A</v>
      </c>
      <c r="H426" s="5" t="e">
        <f ca="1">IF(OR(INDEX($AI$2:$AI$1001,MATCH(ROWS($AH$2:AH426),$AH$2:$AH$1001,0),1)&gt;=100000,INDEX($AO$1005:$BQ$1005,1,MATCH(COLUMNS($AO$1006:AU1006),$AO$1006:$BQ$1006,0))&gt;=100000), " ",IF(INDEX($AO$2:$BQ$1001,MATCH(ROWS($AH$2:AH426),$AH$2:$AH$1001,0),MATCH(COLUMNS($AO$1006:AU1006),$AO$1006:$BQ$1006,0)), HYPERLINK("#",""), HYPERLINK(CONCATENATE("#Metadata!", ADDRESS(INDEX($AJ$2:$AJ$1001,MATCH(ROWS($AH$2:AH426),$AH$2:$AH$1001,0),0), INDEX($AO$1004:$BQ$1004,1,MATCH(COLUMNS($AO$1006:AU1006),$AO$1006:$BQ$1006,0)))),"Fix")))</f>
        <v>#N/A</v>
      </c>
      <c r="I426" s="5" t="e">
        <f ca="1">IF(OR(INDEX($AI$2:$AI$1001,MATCH(ROWS($AH$2:AH426),$AH$2:$AH$1001,0),1)&gt;=100000,INDEX($AO$1005:$BQ$1005,1,MATCH(COLUMNS($AO$1006:AV1006),$AO$1006:$BQ$1006,0))&gt;=100000), " ",IF(INDEX($AO$2:$BQ$1001,MATCH(ROWS($AH$2:AH426),$AH$2:$AH$1001,0),MATCH(COLUMNS($AO$1006:AV1006),$AO$1006:$BQ$1006,0)), HYPERLINK("#",""), HYPERLINK(CONCATENATE("#Metadata!", ADDRESS(INDEX($AJ$2:$AJ$1001,MATCH(ROWS($AH$2:AH426),$AH$2:$AH$1001,0),0), INDEX($AO$1004:$BQ$1004,1,MATCH(COLUMNS($AO$1006:AV1006),$AO$1006:$BQ$1006,0)))),"Fix")))</f>
        <v>#N/A</v>
      </c>
      <c r="J426" s="5" t="e">
        <f ca="1">IF(OR(INDEX($AI$2:$AI$1001,MATCH(ROWS($AH$2:AH426),$AH$2:$AH$1001,0),1)&gt;=100000,INDEX($AO$1005:$BQ$1005,1,MATCH(COLUMNS($AO$1006:AW1006),$AO$1006:$BQ$1006,0))&gt;=100000), " ",IF(INDEX($AO$2:$BQ$1001,MATCH(ROWS($AH$2:AH426),$AH$2:$AH$1001,0),MATCH(COLUMNS($AO$1006:AW1006),$AO$1006:$BQ$1006,0)), HYPERLINK("#",""), HYPERLINK(CONCATENATE("#Metadata!", ADDRESS(INDEX($AJ$2:$AJ$1001,MATCH(ROWS($AH$2:AH426),$AH$2:$AH$1001,0),0), INDEX($AO$1004:$BQ$1004,1,MATCH(COLUMNS($AO$1006:AW1006),$AO$1006:$BQ$1006,0)))),"Fix")))</f>
        <v>#N/A</v>
      </c>
      <c r="K426" s="5" t="e">
        <f ca="1">IF(OR(INDEX($AI$2:$AI$1001,MATCH(ROWS($AH$2:AH426),$AH$2:$AH$1001,0),1)&gt;=100000,INDEX($AO$1005:$BQ$1005,1,MATCH(COLUMNS($AO$1006:AX1006),$AO$1006:$BQ$1006,0))&gt;=100000), " ",IF(INDEX($AO$2:$BQ$1001,MATCH(ROWS($AH$2:AH426),$AH$2:$AH$1001,0),MATCH(COLUMNS($AO$1006:AX1006),$AO$1006:$BQ$1006,0)), HYPERLINK("#",""), HYPERLINK(CONCATENATE("#Metadata!", ADDRESS(INDEX($AJ$2:$AJ$1001,MATCH(ROWS($AH$2:AH426),$AH$2:$AH$1001,0),0), INDEX($AO$1004:$BQ$1004,1,MATCH(COLUMNS($AO$1006:AX1006),$AO$1006:$BQ$1006,0)))),"Fix")))</f>
        <v>#N/A</v>
      </c>
      <c r="L426" s="5" t="e">
        <f ca="1">IF(OR(INDEX($AI$2:$AI$1001,MATCH(ROWS($AH$2:AH426),$AH$2:$AH$1001,0),1)&gt;=100000,INDEX($AO$1005:$BQ$1005,1,MATCH(COLUMNS($AO$1006:AY1006),$AO$1006:$BQ$1006,0))&gt;=100000), " ",IF(INDEX($AO$2:$BQ$1001,MATCH(ROWS($AH$2:AH426),$AH$2:$AH$1001,0),MATCH(COLUMNS($AO$1006:AY1006),$AO$1006:$BQ$1006,0)), HYPERLINK("#",""), HYPERLINK(CONCATENATE("#Metadata!", ADDRESS(INDEX($AJ$2:$AJ$1001,MATCH(ROWS($AH$2:AH426),$AH$2:$AH$1001,0),0), INDEX($AO$1004:$BQ$1004,1,MATCH(COLUMNS($AO$1006:AY1006),$AO$1006:$BQ$1006,0)))),"Fix")))</f>
        <v>#N/A</v>
      </c>
      <c r="M426" s="5" t="e">
        <f ca="1">IF(OR(INDEX($AI$2:$AI$1001,MATCH(ROWS($AH$2:AH426),$AH$2:$AH$1001,0),1)&gt;=100000,INDEX($AO$1005:$BQ$1005,1,MATCH(COLUMNS($AO$1006:AZ1006),$AO$1006:$BQ$1006,0))&gt;=100000), " ",IF(INDEX($AO$2:$BQ$1001,MATCH(ROWS($AH$2:AH426),$AH$2:$AH$1001,0),MATCH(COLUMNS($AO$1006:AZ1006),$AO$1006:$BQ$1006,0)), HYPERLINK("#",""), HYPERLINK(CONCATENATE("#Metadata!", ADDRESS(INDEX($AJ$2:$AJ$1001,MATCH(ROWS($AH$2:AH426),$AH$2:$AH$1001,0),0), INDEX($AO$1004:$BQ$1004,1,MATCH(COLUMNS($AO$1006:AZ1006),$AO$1006:$BQ$1006,0)))),"Fix")))</f>
        <v>#N/A</v>
      </c>
      <c r="N426" s="5" t="e">
        <f ca="1">IF(OR(INDEX($AI$2:$AI$1001,MATCH(ROWS($AH$2:AH426),$AH$2:$AH$1001,0),1)&gt;=100000,INDEX($AO$1005:$BQ$1005,1,MATCH(COLUMNS($AO$1006:BA1006),$AO$1006:$BQ$1006,0))&gt;=100000), " ",IF(INDEX($AO$2:$BQ$1001,MATCH(ROWS($AH$2:AH426),$AH$2:$AH$1001,0),MATCH(COLUMNS($AO$1006:BA1006),$AO$1006:$BQ$1006,0)), HYPERLINK("#",""), HYPERLINK(CONCATENATE("#Metadata!", ADDRESS(INDEX($AJ$2:$AJ$1001,MATCH(ROWS($AH$2:AH426),$AH$2:$AH$1001,0),0), INDEX($AO$1004:$BQ$1004,1,MATCH(COLUMNS($AO$1006:BA1006),$AO$1006:$BQ$1006,0)))),"Fix")))</f>
        <v>#N/A</v>
      </c>
      <c r="O426" s="5" t="e">
        <f ca="1">IF(OR(INDEX($AI$2:$AI$1001,MATCH(ROWS($AH$2:AH426),$AH$2:$AH$1001,0),1)&gt;=100000,INDEX($AO$1005:$BQ$1005,1,MATCH(COLUMNS($AO$1006:BB1006),$AO$1006:$BQ$1006,0))&gt;=100000), " ",IF(INDEX($AO$2:$BQ$1001,MATCH(ROWS($AH$2:AH426),$AH$2:$AH$1001,0),MATCH(COLUMNS($AO$1006:BB1006),$AO$1006:$BQ$1006,0)), HYPERLINK("#",""), HYPERLINK(CONCATENATE("#Metadata!", ADDRESS(INDEX($AJ$2:$AJ$1001,MATCH(ROWS($AH$2:AH426),$AH$2:$AH$1001,0),0), INDEX($AO$1004:$BQ$1004,1,MATCH(COLUMNS($AO$1006:BB1006),$AO$1006:$BQ$1006,0)))),"Fix")))</f>
        <v>#N/A</v>
      </c>
      <c r="P426" s="5" t="e">
        <f ca="1">IF(OR(INDEX($AI$2:$AI$1001,MATCH(ROWS($AH$2:AH426),$AH$2:$AH$1001,0),1)&gt;=100000,INDEX($AO$1005:$BQ$1005,1,MATCH(COLUMNS($AO$1006:BC1006),$AO$1006:$BQ$1006,0))&gt;=100000), " ",IF(INDEX($AO$2:$BQ$1001,MATCH(ROWS($AH$2:AH426),$AH$2:$AH$1001,0),MATCH(COLUMNS($AO$1006:BC1006),$AO$1006:$BQ$1006,0)), HYPERLINK("#",""), HYPERLINK(CONCATENATE("#Metadata!", ADDRESS(INDEX($AJ$2:$AJ$1001,MATCH(ROWS($AH$2:AH426),$AH$2:$AH$1001,0),0), INDEX($AO$1004:$BQ$1004,1,MATCH(COLUMNS($AO$1006:BC1006),$AO$1006:$BQ$1006,0)))),"Fix")))</f>
        <v>#N/A</v>
      </c>
      <c r="Q426" s="5" t="e">
        <f ca="1">IF(OR(INDEX($AI$2:$AI$1001,MATCH(ROWS($AH$2:AH426),$AH$2:$AH$1001,0),1)&gt;=100000,INDEX($AO$1005:$BQ$1005,1,MATCH(COLUMNS($AO$1006:BD1006),$AO$1006:$BQ$1006,0))&gt;=100000), " ",IF(INDEX($AO$2:$BQ$1001,MATCH(ROWS($AH$2:AH426),$AH$2:$AH$1001,0),MATCH(COLUMNS($AO$1006:BD1006),$AO$1006:$BQ$1006,0)), HYPERLINK("#",""), HYPERLINK(CONCATENATE("#Metadata!", ADDRESS(INDEX($AJ$2:$AJ$1001,MATCH(ROWS($AH$2:AH426),$AH$2:$AH$1001,0),0), INDEX($AO$1004:$BQ$1004,1,MATCH(COLUMNS($AO$1006:BD1006),$AO$1006:$BQ$1006,0)))),"Fix")))</f>
        <v>#N/A</v>
      </c>
      <c r="R426" s="5" t="e">
        <f ca="1">IF(OR(INDEX($AI$2:$AI$1001,MATCH(ROWS($AH$2:AH426),$AH$2:$AH$1001,0),1)&gt;=100000,INDEX($AO$1005:$BQ$1005,1,MATCH(COLUMNS($AO$1006:BE1006),$AO$1006:$BQ$1006,0))&gt;=100000), " ",IF(INDEX($AO$2:$BQ$1001,MATCH(ROWS($AH$2:AH426),$AH$2:$AH$1001,0),MATCH(COLUMNS($AO$1006:BE1006),$AO$1006:$BQ$1006,0)), HYPERLINK("#",""), HYPERLINK(CONCATENATE("#Metadata!", ADDRESS(INDEX($AJ$2:$AJ$1001,MATCH(ROWS($AH$2:AH426),$AH$2:$AH$1001,0),0), INDEX($AO$1004:$BQ$1004,1,MATCH(COLUMNS($AO$1006:BE1006),$AO$1006:$BQ$1006,0)))),"Fix")))</f>
        <v>#N/A</v>
      </c>
      <c r="S426" s="5" t="e">
        <f ca="1">IF(OR(INDEX($AI$2:$AI$1001,MATCH(ROWS($AH$2:AH426),$AH$2:$AH$1001,0),1)&gt;=100000,INDEX($AO$1005:$BQ$1005,1,MATCH(COLUMNS($AO$1006:BF1006),$AO$1006:$BQ$1006,0))&gt;=100000), " ",IF(INDEX($AO$2:$BQ$1001,MATCH(ROWS($AH$2:AH426),$AH$2:$AH$1001,0),MATCH(COLUMNS($AO$1006:BF1006),$AO$1006:$BQ$1006,0)), HYPERLINK("#",""), HYPERLINK(CONCATENATE("#Metadata!", ADDRESS(INDEX($AJ$2:$AJ$1001,MATCH(ROWS($AH$2:AH426),$AH$2:$AH$1001,0),0), INDEX($AO$1004:$BQ$1004,1,MATCH(COLUMNS($AO$1006:BF1006),$AO$1006:$BQ$1006,0)))),"Fix")))</f>
        <v>#N/A</v>
      </c>
      <c r="T426" s="5" t="e">
        <f ca="1">IF(OR(INDEX($AI$2:$AI$1001,MATCH(ROWS($AH$2:AH426),$AH$2:$AH$1001,0),1)&gt;=100000,INDEX($AO$1005:$BQ$1005,1,MATCH(COLUMNS($AO$1006:BG1006),$AO$1006:$BQ$1006,0))&gt;=100000), " ",IF(INDEX($AO$2:$BQ$1001,MATCH(ROWS($AH$2:AH426),$AH$2:$AH$1001,0),MATCH(COLUMNS($AO$1006:BG1006),$AO$1006:$BQ$1006,0)), HYPERLINK("#",""), HYPERLINK(CONCATENATE("#Metadata!", ADDRESS(INDEX($AJ$2:$AJ$1001,MATCH(ROWS($AH$2:AH426),$AH$2:$AH$1001,0),0), INDEX($AO$1004:$BQ$1004,1,MATCH(COLUMNS($AO$1006:BG1006),$AO$1006:$BQ$1006,0)))),"Fix")))</f>
        <v>#N/A</v>
      </c>
      <c r="U426" s="5" t="e">
        <f ca="1">IF(OR(INDEX($AI$2:$AI$1001,MATCH(ROWS($AH$2:AH426),$AH$2:$AH$1001,0),1)&gt;=100000,INDEX($AO$1005:$BQ$1005,1,MATCH(COLUMNS($AO$1006:BH1006),$AO$1006:$BQ$1006,0))&gt;=100000), " ",IF(INDEX($AO$2:$BQ$1001,MATCH(ROWS($AH$2:AH426),$AH$2:$AH$1001,0),MATCH(COLUMNS($AO$1006:BH1006),$AO$1006:$BQ$1006,0)), HYPERLINK("#",""), HYPERLINK(CONCATENATE("#Metadata!", ADDRESS(INDEX($AJ$2:$AJ$1001,MATCH(ROWS($AH$2:AH426),$AH$2:$AH$1001,0),0), INDEX($AO$1004:$BQ$1004,1,MATCH(COLUMNS($AO$1006:BH1006),$AO$1006:$BQ$1006,0)))),"Fix")))</f>
        <v>#N/A</v>
      </c>
      <c r="V426" s="5" t="e">
        <f ca="1">IF(OR(INDEX($AI$2:$AI$1001,MATCH(ROWS($AH$2:AH426),$AH$2:$AH$1001,0),1)&gt;=100000,INDEX($AO$1005:$BQ$1005,1,MATCH(COLUMNS($AO$1006:BI1006),$AO$1006:$BQ$1006,0))&gt;=100000), " ",IF(INDEX($AO$2:$BQ$1001,MATCH(ROWS($AH$2:AH426),$AH$2:$AH$1001,0),MATCH(COLUMNS($AO$1006:BI1006),$AO$1006:$BQ$1006,0)), HYPERLINK("#",""), HYPERLINK(CONCATENATE("#Metadata!", ADDRESS(INDEX($AJ$2:$AJ$1001,MATCH(ROWS($AH$2:AH426),$AH$2:$AH$1001,0),0), INDEX($AO$1004:$BQ$1004,1,MATCH(COLUMNS($AO$1006:BI1006),$AO$1006:$BQ$1006,0)))),"Fix")))</f>
        <v>#N/A</v>
      </c>
      <c r="W426" s="5" t="e">
        <f ca="1">IF(OR(INDEX($AI$2:$AI$1001,MATCH(ROWS($AH$2:AH426),$AH$2:$AH$1001,0),1)&gt;=100000,INDEX($AO$1005:$BQ$1005,1,MATCH(COLUMNS($AO$1006:BJ1006),$AO$1006:$BQ$1006,0))&gt;=100000), " ",IF(INDEX($AO$2:$BQ$1001,MATCH(ROWS($AH$2:AH426),$AH$2:$AH$1001,0),MATCH(COLUMNS($AO$1006:BJ1006),$AO$1006:$BQ$1006,0)), HYPERLINK("#",""), HYPERLINK(CONCATENATE("#Metadata!", ADDRESS(INDEX($AJ$2:$AJ$1001,MATCH(ROWS($AH$2:AH426),$AH$2:$AH$1001,0),0), INDEX($AO$1004:$BQ$1004,1,MATCH(COLUMNS($AO$1006:BJ1006),$AO$1006:$BQ$1006,0)))),"Fix")))</f>
        <v>#N/A</v>
      </c>
      <c r="X426" s="5" t="e">
        <f ca="1">IF(OR(INDEX($AI$2:$AI$1001,MATCH(ROWS($AH$2:AH426),$AH$2:$AH$1001,0),1)&gt;=100000,INDEX($AO$1005:$BQ$1005,1,MATCH(COLUMNS($AO$1006:BK1006),$AO$1006:$BQ$1006,0))&gt;=100000), " ",IF(INDEX($AO$2:$BQ$1001,MATCH(ROWS($AH$2:AH426),$AH$2:$AH$1001,0),MATCH(COLUMNS($AO$1006:BK1006),$AO$1006:$BQ$1006,0)), HYPERLINK("#",""), HYPERLINK(CONCATENATE("#Metadata!", ADDRESS(INDEX($AJ$2:$AJ$1001,MATCH(ROWS($AH$2:AH426),$AH$2:$AH$1001,0),0), INDEX($AO$1004:$BQ$1004,1,MATCH(COLUMNS($AO$1006:BK1006),$AO$1006:$BQ$1006,0)))),"Fix")))</f>
        <v>#N/A</v>
      </c>
      <c r="Y426" s="5" t="e">
        <f ca="1">IF(OR(INDEX($AI$2:$AI$1001,MATCH(ROWS($AH$2:AH426),$AH$2:$AH$1001,0),1)&gt;=100000,INDEX($AO$1005:$BQ$1005,1,MATCH(COLUMNS($AO$1006:BL1006),$AO$1006:$BQ$1006,0))&gt;=100000), " ",IF(INDEX($AO$2:$BQ$1001,MATCH(ROWS($AH$2:AH426),$AH$2:$AH$1001,0),MATCH(COLUMNS($AO$1006:BL1006),$AO$1006:$BQ$1006,0)), HYPERLINK("#",""), HYPERLINK(CONCATENATE("#Metadata!", ADDRESS(INDEX($AJ$2:$AJ$1001,MATCH(ROWS($AH$2:AH426),$AH$2:$AH$1001,0),0), INDEX($AO$1004:$BQ$1004,1,MATCH(COLUMNS($AO$1006:BL1006),$AO$1006:$BQ$1006,0)))),"Fix")))</f>
        <v>#N/A</v>
      </c>
      <c r="Z426" s="5" t="e">
        <f ca="1">IF(OR(INDEX($AI$2:$AI$1001,MATCH(ROWS($AH$2:AH426),$AH$2:$AH$1001,0),1)&gt;=100000,INDEX($AO$1005:$BQ$1005,1,MATCH(COLUMNS($AO$1006:BM1006),$AO$1006:$BQ$1006,0))&gt;=100000), " ",IF(INDEX($AO$2:$BQ$1001,MATCH(ROWS($AH$2:AH426),$AH$2:$AH$1001,0),MATCH(COLUMNS($AO$1006:BM1006),$AO$1006:$BQ$1006,0)), HYPERLINK("#",""), HYPERLINK(CONCATENATE("#Metadata!", ADDRESS(INDEX($AJ$2:$AJ$1001,MATCH(ROWS($AH$2:AH426),$AH$2:$AH$1001,0),0), INDEX($AO$1004:$BQ$1004,1,MATCH(COLUMNS($AO$1006:BM1006),$AO$1006:$BQ$1006,0)))),"Fix")))</f>
        <v>#N/A</v>
      </c>
      <c r="AA426" s="5" t="e">
        <f ca="1">IF(OR(INDEX($AI$2:$AI$1001,MATCH(ROWS($AH$2:AH426),$AH$2:$AH$1001,0),1)&gt;=100000,INDEX($AO$1005:$BQ$1005,1,MATCH(COLUMNS($AO$1006:BN1006),$AO$1006:$BQ$1006,0))&gt;=100000), " ",IF(INDEX($AO$2:$BQ$1001,MATCH(ROWS($AH$2:AH426),$AH$2:$AH$1001,0),MATCH(COLUMNS($AO$1006:BN1006),$AO$1006:$BQ$1006,0)), HYPERLINK("#",""), HYPERLINK(CONCATENATE("#Metadata!", ADDRESS(INDEX($AJ$2:$AJ$1001,MATCH(ROWS($AH$2:AH426),$AH$2:$AH$1001,0),0), INDEX($AO$1004:$BQ$1004,1,MATCH(COLUMNS($AO$1006:BN1006),$AO$1006:$BQ$1006,0)))),"Fix")))</f>
        <v>#N/A</v>
      </c>
      <c r="AB426" s="5" t="e">
        <f ca="1">IF(OR(INDEX($AI$2:$AI$1001,MATCH(ROWS($AH$2:AH426),$AH$2:$AH$1001,0),1)&gt;=100000,INDEX($AO$1005:$BQ$1005,1,MATCH(COLUMNS($AO$1006:BO1006),$AO$1006:$BQ$1006,0))&gt;=100000), " ",IF(INDEX($AO$2:$BQ$1001,MATCH(ROWS($AH$2:AH426),$AH$2:$AH$1001,0),MATCH(COLUMNS($AO$1006:BO1006),$AO$1006:$BQ$1006,0)), HYPERLINK("#",""), HYPERLINK(CONCATENATE("#Metadata!", ADDRESS(INDEX($AJ$2:$AJ$1001,MATCH(ROWS($AH$2:AH426),$AH$2:$AH$1001,0),0), INDEX($AO$1004:$BQ$1004,1,MATCH(COLUMNS($AO$1006:BO1006),$AO$1006:$BQ$1006,0)))),"Fix")))</f>
        <v>#N/A</v>
      </c>
      <c r="AC426" s="5" t="e">
        <f ca="1">IF(OR(INDEX($AI$2:$AI$1001,MATCH(ROWS($AH$2:AH426),$AH$2:$AH$1001,0),1)&gt;=100000,INDEX($AO$1005:$BQ$1005,1,MATCH(COLUMNS($AO$1006:BP1006),$AO$1006:$BQ$1006,0))&gt;=100000), " ",IF(INDEX($AO$2:$BQ$1001,MATCH(ROWS($AH$2:AH426),$AH$2:$AH$1001,0),MATCH(COLUMNS($AO$1006:BP1006),$AO$1006:$BQ$1006,0)), HYPERLINK("#",""), HYPERLINK(CONCATENATE("#Metadata!", ADDRESS(INDEX($AJ$2:$AJ$1001,MATCH(ROWS($AH$2:AH426),$AH$2:$AH$1001,0),0), INDEX($AO$1004:$BQ$1004,1,MATCH(COLUMNS($AO$1006:BP1006),$AO$1006:$BQ$1006,0)))),"Fix")))</f>
        <v>#N/A</v>
      </c>
      <c r="AD426" s="5" t="e">
        <f ca="1">IF(OR(INDEX($AI$2:$AI$1001,MATCH(ROWS($AH$2:AH426),$AH$2:$AH$1001,0),1)&gt;=100000,INDEX($AO$1005:$BQ$1005,1,MATCH(COLUMNS($AO$1006:BQ1006),$AO$1006:$BQ$1006,0))&gt;=100000), " ",IF(INDEX($AO$2:$BQ$1001,MATCH(ROWS($AH$2:AH426),$AH$2:$AH$1001,0),MATCH(COLUMNS($AO$1006:BQ1006),$AO$1006:$BQ$1006,0)), HYPERLINK("#",""), HYPERLINK(CONCATENATE("#Metadata!", ADDRESS(INDEX($AJ$2:$AJ$1001,MATCH(ROWS($AH$2:AH426),$AH$2:$AH$1001,0),0), INDEX($AO$1004:$BQ$1004,1,MATCH(COLUMNS($AO$1006:BQ1006),$AO$1006:$BQ$1006,0)))),"Fix")))</f>
        <v>#REF!</v>
      </c>
      <c r="AH426">
        <f ca="1"/>
        <v>423</v>
      </c>
      <c r="AI426">
        <v>100426</v>
      </c>
      <c r="AJ426">
        <v>426</v>
      </c>
      <c r="AK426" t="b">
        <f t="shared" si="6"/>
        <v>1</v>
      </c>
      <c r="AL426" t="b">
        <f>COUNTBLANK(Metadata!B426:AD426)=COLUMNS(Metadata!B426:AD426)</f>
        <v>1</v>
      </c>
      <c r="AM426" t="str">
        <v/>
      </c>
      <c r="AO426" t="b">
        <f ca="1">AND(IF(Metadata!B426="",FALSE,TRUE),COUNTIF(Metadata!B:B, Metadata!B426) = 1,NOT(ISERROR(SUMPRODUCT(SEARCH(MID(Metadata!B426,ROW(INDIRECT("1:"&amp;LEN(Metadata!B426))), 1),"0123456789abcdefghijklmnopqrstuvwxyzABCDEFGHIJKLMNOPQRSTUVWXYZ.")))))</f>
        <v>0</v>
      </c>
      <c r="AP426" t="b">
        <f>IF(Metadata!C426="",FALSE,TRUE)</f>
        <v>0</v>
      </c>
      <c r="AQ426" t="b">
        <f>IF(Metadata!D426="",FALSE,TRUE)</f>
        <v>0</v>
      </c>
      <c r="AR426" t="b">
        <f ca="1">OR(AND(IF(Metadata!E426="",FALSE,TRUE),OR(EXACT(Metadata!E426,"not collected"),EXACT(Metadata!E426,"not provided"),EXACT(Metadata!E426,"restricted access"))),AND(IF(Metadata!E426="",FALSE,TRUE),AND(AND(IFERROR(INT(LEFT(Metadata!E426,4))&gt;1900,FALSE),IFERROR(INT(LEFT(Metadata!E426,4))&lt;=YEAR(NOW()),FALSE)), OR(MID(Metadata!E426,5,1)="", AND(AND(MID(Metadata!E426,5,1)="-",IFERROR(INT(MID(Metadata!E426,6,1))&gt;=0,FALSE),IFERROR(INT(MID(Metadata!E426,6,1))&lt;=1,FALSE),NOT(MID(Metadata!E426,7,1)=""),IFERROR(INT(MID(Metadata!E426,6,2))&gt;=1,FALSE),IFERROR(INT(MID(Metadata!E426,6,2))&lt;=12,FALSE)), OR(MID(Metadata!E426,8,1)="", AND(AND(MID(Metadata!E426,8,1)="-",IFERROR(INT(MID(Metadata!E426,9,1))&gt;=0,FALSE),IFERROR(INT(MID(Metadata!E426,9,1))&lt;=3,FALSE),NOT(MID(Metadata!E426,10,1)=""),IFERROR(INT(MID(Metadata!E426,9,2))&gt;=1,FALSE),IFERROR(INT(MID(Metadata!E426,9,2))&lt;=31,FALSE)), OR(MID(Metadata!E426,11,1)="", AND(AND(MID(Metadata!E426,11,1)=" ",IFERROR(INT(MID(Metadata!E426,12,1))&gt;=0,FALSE),IFERROR(INT(MID(Metadata!E426,12,1))&lt;=2,FALSE),NOT(MID(Metadata!E426,13,1)=""),IFERROR(INT(MID(Metadata!E426,12,2))&gt;=0,FALSE),IFERROR(INT(MID(Metadata!E426,12,2))&lt;=23,FALSE)), OR(MID(Metadata!E426,14,1)="", AND(AND(MID(Metadata!E426,14,1)=":",IFERROR(INT(MID(Metadata!E426,15,1))&gt;=0,FALSE),IFERROR(INT(MID(Metadata!E426,15,1))&lt;=5,FALSE),NOT(MID(Metadata!E426,16,1)=""),IFERROR(INT(MID(Metadata!E426,15,2))&gt;=0,FALSE),IFERROR(INT(MID(Metadata!E426,15,2))&lt;=59,FALSE)), OR(MID(Metadata!E426,17,1)="", AND(AND(MID(Metadata!E426,17,1)=":",IFERROR(INT(MID(Metadata!E426,18,1))&gt;=0,FALSE),IFERROR(INT(MID(Metadata!E426,18,1))&lt;=5,FALSE),NOT(MID(Metadata!E426,19,1)=""),IFERROR(INT(MID(Metadata!E426,18,2))&gt;=0,FALSE),IFERROR(INT(MID(Metadata!E426,18,2))&lt;=59,FALSE)), LEN(Metadata!E426)&lt;=19)))))))))))))</f>
        <v>0</v>
      </c>
      <c r="AS426" t="b">
        <f>IF(Metadata!F426="",FALSE,TRUE)</f>
        <v>0</v>
      </c>
      <c r="AT426" t="b">
        <f>OR(AND(IF(Metadata!G426="",FALSE,TRUE),OR(EXACT(Metadata!G426,"not collected"),EXACT(Metadata!G426,"not provided"))),AND(IF(Metadata!G426="",FALSE,TRUE),OR(EXACT(Metadata!G426,"TRUE"),EXACT(Metadata!G426,"FALSE"))))</f>
        <v>0</v>
      </c>
      <c r="AU426" t="b">
        <f>OR(AND(IF(Metadata!H426="",FALSE,TRUE),OR(EXACT(Metadata!H426,"not collected"),EXACT(Metadata!H426,"not provided"),EXACT(Metadata!H426,"restricted access"))),AND(IF(Metadata!H426="",FALSE,ISNUMBER(VALUE(Metadata!H426))),Metadata!H426&gt;=-413))</f>
        <v>0</v>
      </c>
      <c r="AV426" t="b">
        <f>AND(IF(Metadata!I426="",FALSE,TRUE),EXACT(Metadata!I426,"meters"))</f>
        <v>0</v>
      </c>
      <c r="AW426" t="b">
        <f>AND(IF(Metadata!J426="",FALSE,TRUE),EXACT(Metadata!J426,"free-living"))</f>
        <v>0</v>
      </c>
      <c r="AX426" t="b">
        <f>AND(IF(Metadata!K426="",FALSE,TRUE),OR(EXACT(Metadata!K426,"saline"),EXACT(Metadata!K426,"non-saline")))</f>
        <v>0</v>
      </c>
      <c r="AY426" t="b">
        <f>AND(IF(Metadata!L426="",FALSE,TRUE),OR(EXACT(Metadata!L426,"sub-surface (non-saline)"),EXACT(Metadata!L426,"surface (non-saline)"),EXACT(Metadata!L426,"water (non-saline)"),EXACT(Metadata!L426,"soil (non-saline)"),EXACT(Metadata!L426,"aerosol (non-saline)"),EXACT(Metadata!L426,"sediment (non-saline)"),EXACT(Metadata!L426,"surface (saline)"),EXACT(Metadata!L426,"water (saline)"),EXACT(Metadata!L426,"hypersaline (saline)"),EXACT(Metadata!L426,"aerosol (saline)"),EXACT(Metadata!L426,"sediment (saline)")))</f>
        <v>0</v>
      </c>
      <c r="AZ426" t="b">
        <f>IF(Metadata!M426="",FALSE,TRUE)</f>
        <v>0</v>
      </c>
      <c r="BA426" t="b">
        <f>IF(Metadata!N426="",FALSE,TRUE)</f>
        <v>0</v>
      </c>
      <c r="BB426" t="b">
        <f>IF(Metadata!O426="",FALSE,TRUE)</f>
        <v>0</v>
      </c>
      <c r="BC426" t="b">
        <f>AND(IF(Metadata!P426="",FALSE,TRUE),OR(EXACT(Metadata!P426,"air"),EXACT(Metadata!P426,"microbial mat/biofilm"),EXACT(Metadata!P426,"misc environment"),EXACT(Metadata!P426,"sediment"),EXACT(Metadata!P426,"soil"),EXACT(Metadata!P426,"wastewater/sludge"),EXACT(Metadata!P426,"water")))</f>
        <v>0</v>
      </c>
      <c r="BD426" t="b">
        <f>IF(Metadata!Q426="",FALSE,TRUE)</f>
        <v>0</v>
      </c>
      <c r="BE426" t="b">
        <f>IF(Metadata!R426="",FALSE,TRUE)</f>
        <v>0</v>
      </c>
      <c r="BF426" t="b">
        <f>OR(AND(IF(Metadata!S426="",FALSE,TRUE),OR(EXACT(Metadata!S426,"not collected"),EXACT(Metadata!S426,"not provided"),EXACT(Metadata!S426,"restricted access"))),AND(IF(Metadata!S426="",FALSE,ISNUMBER(VALUE(Metadata!S426))),Metadata!S426&gt;=-90,Metadata!S426&lt;=90))</f>
        <v>0</v>
      </c>
      <c r="BG426" t="b">
        <f>AND(IF(Metadata!T426="",FALSE,TRUE),EXACT(Metadata!T426,"Decimal degrees"))</f>
        <v>0</v>
      </c>
      <c r="BH426" t="b">
        <f>OR(AND(IF(Metadata!U426="",FALSE,TRUE),OR(EXACT(Metadata!U426,"not applicable"),EXACT(Metadata!U426,"not collected"))),IF(Metadata!U426="",FALSE,TRUE))</f>
        <v>0</v>
      </c>
      <c r="BI426" t="b">
        <f>OR(AND(IF(Metadata!V426="",FALSE,TRUE),OR(EXACT(Metadata!V426,"not collected"),EXACT(Metadata!V426,"not provided"),EXACT(Metadata!V426,"restricted access"))),AND(IF(Metadata!V426="",FALSE,ISNUMBER(VALUE(Metadata!V426))),Metadata!V426&gt;=-180,Metadata!V426&lt;=180))</f>
        <v>0</v>
      </c>
      <c r="BJ426" t="b">
        <f>AND(IF(Metadata!W426="",FALSE,TRUE),EXACT(Metadata!W426,"Decimal degrees"))</f>
        <v>0</v>
      </c>
      <c r="BK426" t="b">
        <f>IF(Metadata!X426="",FALSE,TRUE)</f>
        <v>0</v>
      </c>
      <c r="BL426" t="b">
        <f>OR(AND(IF(Metadata!Y426="",FALSE,TRUE),OR(EXACT(Metadata!Y426,"not collected"),EXACT(Metadata!Y426,"not provided"),EXACT(Metadata!Y426,"restricted access"))),AND(IF(Metadata!Y426="",FALSE,TRUE),OR(EXACT(Metadata!Y426,"TRUE"),EXACT(Metadata!Y426,"FALSE"))))</f>
        <v>0</v>
      </c>
      <c r="BM426" t="b">
        <f>OR(AND(IF(Metadata!Z426="",FALSE,TRUE),EXACT(Metadata!Z426,"not applicable")),AND(IF(Metadata!Z426="",FALSE,TRUE),OR(EXACT(Metadata!Z426,"beer"),EXACT(Metadata!Z426,"cheese"),EXACT(Metadata!Z426,"fresh water"),EXACT(Metadata!Z426,"marine sediment"),EXACT(Metadata!Z426,"sea water"),EXACT(Metadata!Z426,"sediment"),EXACT(Metadata!Z426,"soil"),EXACT(Metadata!Z426,"waste water"))))</f>
        <v>0</v>
      </c>
      <c r="BN426" t="b">
        <f>AND(IF(Metadata!AA426="",FALSE,TRUE),EXACT(Metadata!AA426,"metagenome"))</f>
        <v>0</v>
      </c>
      <c r="BO426" t="b">
        <f>AND(IF(Metadata!AB426="",FALSE,TRUE),EXACT(Metadata!AB426,"256318"))</f>
        <v>0</v>
      </c>
      <c r="BP426" t="b">
        <f>IF(Metadata!AC426="",FALSE,TRUE)</f>
        <v>0</v>
      </c>
      <c r="BQ426" t="b">
        <f>IF(Metadata!AD426="",FALSE,TRUE)</f>
        <v>0</v>
      </c>
    </row>
    <row r="427" spans="1:69" x14ac:dyDescent="0.2">
      <c r="A427" s="4" t="e">
        <f ca="1">IF(B427=" "," ",HYPERLINK(CONCATENATE("#metadata!",ADDRESS(INDEX($AJ$2:$AJ$1001,MATCH(ROWS($AH$2:AH427),$AH$2:$AH$1001,0),0),2)),INDEX($AM$2:$AM$1001,MATCH(ROWS($AH$2:AH427),$AH$2:$AH$1001,0),0)))</f>
        <v>#N/A</v>
      </c>
      <c r="B427" s="5" t="e">
        <f ca="1">IF(OR(INDEX($AI$2:$AI$1001,MATCH(ROWS($AH$2:AH427),$AH$2:$AH$1001,0),1)&gt;=100000,INDEX($AO$1005:$BQ$1005,1,MATCH(COLUMNS($AO$1006:AO1006),$AO$1006:$BQ$1006,0))&gt;=100000), " ",IF(INDEX($AO$2:$BQ$1001,MATCH(ROWS($AH$2:AH427),$AH$2:$AH$1001,0),MATCH(COLUMNS($AO$1006:AO1006),$AO$1006:$BQ$1006,0)), HYPERLINK("#",""), HYPERLINK(CONCATENATE("#Metadata!", ADDRESS(INDEX($AJ$2:$AJ$1001,MATCH(ROWS($AH$2:AH427),$AH$2:$AH$1001,0),0), INDEX($AO$1004:$BQ$1004,1,MATCH(COLUMNS($AO$1006:AO1006),$AO$1006:$BQ$1006,0)))),"Fix")))</f>
        <v>#N/A</v>
      </c>
      <c r="C427" s="5" t="e">
        <f ca="1">IF(OR(INDEX($AI$2:$AI$1001,MATCH(ROWS($AH$2:AH427),$AH$2:$AH$1001,0),1)&gt;=100000,INDEX($AO$1005:$BQ$1005,1,MATCH(COLUMNS($AO$1006:AP1006),$AO$1006:$BQ$1006,0))&gt;=100000), " ",IF(INDEX($AO$2:$BQ$1001,MATCH(ROWS($AH$2:AH427),$AH$2:$AH$1001,0),MATCH(COLUMNS($AO$1006:AP1006),$AO$1006:$BQ$1006,0)), HYPERLINK("#",""), HYPERLINK(CONCATENATE("#Metadata!", ADDRESS(INDEX($AJ$2:$AJ$1001,MATCH(ROWS($AH$2:AH427),$AH$2:$AH$1001,0),0), INDEX($AO$1004:$BQ$1004,1,MATCH(COLUMNS($AO$1006:AP1006),$AO$1006:$BQ$1006,0)))),"Fix")))</f>
        <v>#N/A</v>
      </c>
      <c r="D427" s="5" t="e">
        <f ca="1">IF(OR(INDEX($AI$2:$AI$1001,MATCH(ROWS($AH$2:AH427),$AH$2:$AH$1001,0),1)&gt;=100000,INDEX($AO$1005:$BQ$1005,1,MATCH(COLUMNS($AO$1006:AQ1006),$AO$1006:$BQ$1006,0))&gt;=100000), " ",IF(INDEX($AO$2:$BQ$1001,MATCH(ROWS($AH$2:AH427),$AH$2:$AH$1001,0),MATCH(COLUMNS($AO$1006:AQ1006),$AO$1006:$BQ$1006,0)), HYPERLINK("#",""), HYPERLINK(CONCATENATE("#Metadata!", ADDRESS(INDEX($AJ$2:$AJ$1001,MATCH(ROWS($AH$2:AH427),$AH$2:$AH$1001,0),0), INDEX($AO$1004:$BQ$1004,1,MATCH(COLUMNS($AO$1006:AQ1006),$AO$1006:$BQ$1006,0)))),"Fix")))</f>
        <v>#N/A</v>
      </c>
      <c r="E427" s="5" t="e">
        <f ca="1">IF(OR(INDEX($AI$2:$AI$1001,MATCH(ROWS($AH$2:AH427),$AH$2:$AH$1001,0),1)&gt;=100000,INDEX($AO$1005:$BQ$1005,1,MATCH(COLUMNS($AO$1006:AR1006),$AO$1006:$BQ$1006,0))&gt;=100000), " ",IF(INDEX($AO$2:$BQ$1001,MATCH(ROWS($AH$2:AH427),$AH$2:$AH$1001,0),MATCH(COLUMNS($AO$1006:AR1006),$AO$1006:$BQ$1006,0)), HYPERLINK("#",""), HYPERLINK(CONCATENATE("#Metadata!", ADDRESS(INDEX($AJ$2:$AJ$1001,MATCH(ROWS($AH$2:AH427),$AH$2:$AH$1001,0),0), INDEX($AO$1004:$BQ$1004,1,MATCH(COLUMNS($AO$1006:AR1006),$AO$1006:$BQ$1006,0)))),"Fix")))</f>
        <v>#N/A</v>
      </c>
      <c r="F427" s="5" t="e">
        <f ca="1">IF(OR(INDEX($AI$2:$AI$1001,MATCH(ROWS($AH$2:AH427),$AH$2:$AH$1001,0),1)&gt;=100000,INDEX($AO$1005:$BQ$1005,1,MATCH(COLUMNS($AO$1006:AS1006),$AO$1006:$BQ$1006,0))&gt;=100000), " ",IF(INDEX($AO$2:$BQ$1001,MATCH(ROWS($AH$2:AH427),$AH$2:$AH$1001,0),MATCH(COLUMNS($AO$1006:AS1006),$AO$1006:$BQ$1006,0)), HYPERLINK("#",""), HYPERLINK(CONCATENATE("#Metadata!", ADDRESS(INDEX($AJ$2:$AJ$1001,MATCH(ROWS($AH$2:AH427),$AH$2:$AH$1001,0),0), INDEX($AO$1004:$BQ$1004,1,MATCH(COLUMNS($AO$1006:AS1006),$AO$1006:$BQ$1006,0)))),"Fix")))</f>
        <v>#N/A</v>
      </c>
      <c r="G427" s="5" t="e">
        <f ca="1">IF(OR(INDEX($AI$2:$AI$1001,MATCH(ROWS($AH$2:AH427),$AH$2:$AH$1001,0),1)&gt;=100000,INDEX($AO$1005:$BQ$1005,1,MATCH(COLUMNS($AO$1006:AT1006),$AO$1006:$BQ$1006,0))&gt;=100000), " ",IF(INDEX($AO$2:$BQ$1001,MATCH(ROWS($AH$2:AH427),$AH$2:$AH$1001,0),MATCH(COLUMNS($AO$1006:AT1006),$AO$1006:$BQ$1006,0)), HYPERLINK("#",""), HYPERLINK(CONCATENATE("#Metadata!", ADDRESS(INDEX($AJ$2:$AJ$1001,MATCH(ROWS($AH$2:AH427),$AH$2:$AH$1001,0),0), INDEX($AO$1004:$BQ$1004,1,MATCH(COLUMNS($AO$1006:AT1006),$AO$1006:$BQ$1006,0)))),"Fix")))</f>
        <v>#N/A</v>
      </c>
      <c r="H427" s="5" t="e">
        <f ca="1">IF(OR(INDEX($AI$2:$AI$1001,MATCH(ROWS($AH$2:AH427),$AH$2:$AH$1001,0),1)&gt;=100000,INDEX($AO$1005:$BQ$1005,1,MATCH(COLUMNS($AO$1006:AU1006),$AO$1006:$BQ$1006,0))&gt;=100000), " ",IF(INDEX($AO$2:$BQ$1001,MATCH(ROWS($AH$2:AH427),$AH$2:$AH$1001,0),MATCH(COLUMNS($AO$1006:AU1006),$AO$1006:$BQ$1006,0)), HYPERLINK("#",""), HYPERLINK(CONCATENATE("#Metadata!", ADDRESS(INDEX($AJ$2:$AJ$1001,MATCH(ROWS($AH$2:AH427),$AH$2:$AH$1001,0),0), INDEX($AO$1004:$BQ$1004,1,MATCH(COLUMNS($AO$1006:AU1006),$AO$1006:$BQ$1006,0)))),"Fix")))</f>
        <v>#N/A</v>
      </c>
      <c r="I427" s="5" t="e">
        <f ca="1">IF(OR(INDEX($AI$2:$AI$1001,MATCH(ROWS($AH$2:AH427),$AH$2:$AH$1001,0),1)&gt;=100000,INDEX($AO$1005:$BQ$1005,1,MATCH(COLUMNS($AO$1006:AV1006),$AO$1006:$BQ$1006,0))&gt;=100000), " ",IF(INDEX($AO$2:$BQ$1001,MATCH(ROWS($AH$2:AH427),$AH$2:$AH$1001,0),MATCH(COLUMNS($AO$1006:AV1006),$AO$1006:$BQ$1006,0)), HYPERLINK("#",""), HYPERLINK(CONCATENATE("#Metadata!", ADDRESS(INDEX($AJ$2:$AJ$1001,MATCH(ROWS($AH$2:AH427),$AH$2:$AH$1001,0),0), INDEX($AO$1004:$BQ$1004,1,MATCH(COLUMNS($AO$1006:AV1006),$AO$1006:$BQ$1006,0)))),"Fix")))</f>
        <v>#N/A</v>
      </c>
      <c r="J427" s="5" t="e">
        <f ca="1">IF(OR(INDEX($AI$2:$AI$1001,MATCH(ROWS($AH$2:AH427),$AH$2:$AH$1001,0),1)&gt;=100000,INDEX($AO$1005:$BQ$1005,1,MATCH(COLUMNS($AO$1006:AW1006),$AO$1006:$BQ$1006,0))&gt;=100000), " ",IF(INDEX($AO$2:$BQ$1001,MATCH(ROWS($AH$2:AH427),$AH$2:$AH$1001,0),MATCH(COLUMNS($AO$1006:AW1006),$AO$1006:$BQ$1006,0)), HYPERLINK("#",""), HYPERLINK(CONCATENATE("#Metadata!", ADDRESS(INDEX($AJ$2:$AJ$1001,MATCH(ROWS($AH$2:AH427),$AH$2:$AH$1001,0),0), INDEX($AO$1004:$BQ$1004,1,MATCH(COLUMNS($AO$1006:AW1006),$AO$1006:$BQ$1006,0)))),"Fix")))</f>
        <v>#N/A</v>
      </c>
      <c r="K427" s="5" t="e">
        <f ca="1">IF(OR(INDEX($AI$2:$AI$1001,MATCH(ROWS($AH$2:AH427),$AH$2:$AH$1001,0),1)&gt;=100000,INDEX($AO$1005:$BQ$1005,1,MATCH(COLUMNS($AO$1006:AX1006),$AO$1006:$BQ$1006,0))&gt;=100000), " ",IF(INDEX($AO$2:$BQ$1001,MATCH(ROWS($AH$2:AH427),$AH$2:$AH$1001,0),MATCH(COLUMNS($AO$1006:AX1006),$AO$1006:$BQ$1006,0)), HYPERLINK("#",""), HYPERLINK(CONCATENATE("#Metadata!", ADDRESS(INDEX($AJ$2:$AJ$1001,MATCH(ROWS($AH$2:AH427),$AH$2:$AH$1001,0),0), INDEX($AO$1004:$BQ$1004,1,MATCH(COLUMNS($AO$1006:AX1006),$AO$1006:$BQ$1006,0)))),"Fix")))</f>
        <v>#N/A</v>
      </c>
      <c r="L427" s="5" t="e">
        <f ca="1">IF(OR(INDEX($AI$2:$AI$1001,MATCH(ROWS($AH$2:AH427),$AH$2:$AH$1001,0),1)&gt;=100000,INDEX($AO$1005:$BQ$1005,1,MATCH(COLUMNS($AO$1006:AY1006),$AO$1006:$BQ$1006,0))&gt;=100000), " ",IF(INDEX($AO$2:$BQ$1001,MATCH(ROWS($AH$2:AH427),$AH$2:$AH$1001,0),MATCH(COLUMNS($AO$1006:AY1006),$AO$1006:$BQ$1006,0)), HYPERLINK("#",""), HYPERLINK(CONCATENATE("#Metadata!", ADDRESS(INDEX($AJ$2:$AJ$1001,MATCH(ROWS($AH$2:AH427),$AH$2:$AH$1001,0),0), INDEX($AO$1004:$BQ$1004,1,MATCH(COLUMNS($AO$1006:AY1006),$AO$1006:$BQ$1006,0)))),"Fix")))</f>
        <v>#N/A</v>
      </c>
      <c r="M427" s="5" t="e">
        <f ca="1">IF(OR(INDEX($AI$2:$AI$1001,MATCH(ROWS($AH$2:AH427),$AH$2:$AH$1001,0),1)&gt;=100000,INDEX($AO$1005:$BQ$1005,1,MATCH(COLUMNS($AO$1006:AZ1006),$AO$1006:$BQ$1006,0))&gt;=100000), " ",IF(INDEX($AO$2:$BQ$1001,MATCH(ROWS($AH$2:AH427),$AH$2:$AH$1001,0),MATCH(COLUMNS($AO$1006:AZ1006),$AO$1006:$BQ$1006,0)), HYPERLINK("#",""), HYPERLINK(CONCATENATE("#Metadata!", ADDRESS(INDEX($AJ$2:$AJ$1001,MATCH(ROWS($AH$2:AH427),$AH$2:$AH$1001,0),0), INDEX($AO$1004:$BQ$1004,1,MATCH(COLUMNS($AO$1006:AZ1006),$AO$1006:$BQ$1006,0)))),"Fix")))</f>
        <v>#N/A</v>
      </c>
      <c r="N427" s="5" t="e">
        <f ca="1">IF(OR(INDEX($AI$2:$AI$1001,MATCH(ROWS($AH$2:AH427),$AH$2:$AH$1001,0),1)&gt;=100000,INDEX($AO$1005:$BQ$1005,1,MATCH(COLUMNS($AO$1006:BA1006),$AO$1006:$BQ$1006,0))&gt;=100000), " ",IF(INDEX($AO$2:$BQ$1001,MATCH(ROWS($AH$2:AH427),$AH$2:$AH$1001,0),MATCH(COLUMNS($AO$1006:BA1006),$AO$1006:$BQ$1006,0)), HYPERLINK("#",""), HYPERLINK(CONCATENATE("#Metadata!", ADDRESS(INDEX($AJ$2:$AJ$1001,MATCH(ROWS($AH$2:AH427),$AH$2:$AH$1001,0),0), INDEX($AO$1004:$BQ$1004,1,MATCH(COLUMNS($AO$1006:BA1006),$AO$1006:$BQ$1006,0)))),"Fix")))</f>
        <v>#N/A</v>
      </c>
      <c r="O427" s="5" t="e">
        <f ca="1">IF(OR(INDEX($AI$2:$AI$1001,MATCH(ROWS($AH$2:AH427),$AH$2:$AH$1001,0),1)&gt;=100000,INDEX($AO$1005:$BQ$1005,1,MATCH(COLUMNS($AO$1006:BB1006),$AO$1006:$BQ$1006,0))&gt;=100000), " ",IF(INDEX($AO$2:$BQ$1001,MATCH(ROWS($AH$2:AH427),$AH$2:$AH$1001,0),MATCH(COLUMNS($AO$1006:BB1006),$AO$1006:$BQ$1006,0)), HYPERLINK("#",""), HYPERLINK(CONCATENATE("#Metadata!", ADDRESS(INDEX($AJ$2:$AJ$1001,MATCH(ROWS($AH$2:AH427),$AH$2:$AH$1001,0),0), INDEX($AO$1004:$BQ$1004,1,MATCH(COLUMNS($AO$1006:BB1006),$AO$1006:$BQ$1006,0)))),"Fix")))</f>
        <v>#N/A</v>
      </c>
      <c r="P427" s="5" t="e">
        <f ca="1">IF(OR(INDEX($AI$2:$AI$1001,MATCH(ROWS($AH$2:AH427),$AH$2:$AH$1001,0),1)&gt;=100000,INDEX($AO$1005:$BQ$1005,1,MATCH(COLUMNS($AO$1006:BC1006),$AO$1006:$BQ$1006,0))&gt;=100000), " ",IF(INDEX($AO$2:$BQ$1001,MATCH(ROWS($AH$2:AH427),$AH$2:$AH$1001,0),MATCH(COLUMNS($AO$1006:BC1006),$AO$1006:$BQ$1006,0)), HYPERLINK("#",""), HYPERLINK(CONCATENATE("#Metadata!", ADDRESS(INDEX($AJ$2:$AJ$1001,MATCH(ROWS($AH$2:AH427),$AH$2:$AH$1001,0),0), INDEX($AO$1004:$BQ$1004,1,MATCH(COLUMNS($AO$1006:BC1006),$AO$1006:$BQ$1006,0)))),"Fix")))</f>
        <v>#N/A</v>
      </c>
      <c r="Q427" s="5" t="e">
        <f ca="1">IF(OR(INDEX($AI$2:$AI$1001,MATCH(ROWS($AH$2:AH427),$AH$2:$AH$1001,0),1)&gt;=100000,INDEX($AO$1005:$BQ$1005,1,MATCH(COLUMNS($AO$1006:BD1006),$AO$1006:$BQ$1006,0))&gt;=100000), " ",IF(INDEX($AO$2:$BQ$1001,MATCH(ROWS($AH$2:AH427),$AH$2:$AH$1001,0),MATCH(COLUMNS($AO$1006:BD1006),$AO$1006:$BQ$1006,0)), HYPERLINK("#",""), HYPERLINK(CONCATENATE("#Metadata!", ADDRESS(INDEX($AJ$2:$AJ$1001,MATCH(ROWS($AH$2:AH427),$AH$2:$AH$1001,0),0), INDEX($AO$1004:$BQ$1004,1,MATCH(COLUMNS($AO$1006:BD1006),$AO$1006:$BQ$1006,0)))),"Fix")))</f>
        <v>#N/A</v>
      </c>
      <c r="R427" s="5" t="e">
        <f ca="1">IF(OR(INDEX($AI$2:$AI$1001,MATCH(ROWS($AH$2:AH427),$AH$2:$AH$1001,0),1)&gt;=100000,INDEX($AO$1005:$BQ$1005,1,MATCH(COLUMNS($AO$1006:BE1006),$AO$1006:$BQ$1006,0))&gt;=100000), " ",IF(INDEX($AO$2:$BQ$1001,MATCH(ROWS($AH$2:AH427),$AH$2:$AH$1001,0),MATCH(COLUMNS($AO$1006:BE1006),$AO$1006:$BQ$1006,0)), HYPERLINK("#",""), HYPERLINK(CONCATENATE("#Metadata!", ADDRESS(INDEX($AJ$2:$AJ$1001,MATCH(ROWS($AH$2:AH427),$AH$2:$AH$1001,0),0), INDEX($AO$1004:$BQ$1004,1,MATCH(COLUMNS($AO$1006:BE1006),$AO$1006:$BQ$1006,0)))),"Fix")))</f>
        <v>#N/A</v>
      </c>
      <c r="S427" s="5" t="e">
        <f ca="1">IF(OR(INDEX($AI$2:$AI$1001,MATCH(ROWS($AH$2:AH427),$AH$2:$AH$1001,0),1)&gt;=100000,INDEX($AO$1005:$BQ$1005,1,MATCH(COLUMNS($AO$1006:BF1006),$AO$1006:$BQ$1006,0))&gt;=100000), " ",IF(INDEX($AO$2:$BQ$1001,MATCH(ROWS($AH$2:AH427),$AH$2:$AH$1001,0),MATCH(COLUMNS($AO$1006:BF1006),$AO$1006:$BQ$1006,0)), HYPERLINK("#",""), HYPERLINK(CONCATENATE("#Metadata!", ADDRESS(INDEX($AJ$2:$AJ$1001,MATCH(ROWS($AH$2:AH427),$AH$2:$AH$1001,0),0), INDEX($AO$1004:$BQ$1004,1,MATCH(COLUMNS($AO$1006:BF1006),$AO$1006:$BQ$1006,0)))),"Fix")))</f>
        <v>#N/A</v>
      </c>
      <c r="T427" s="5" t="e">
        <f ca="1">IF(OR(INDEX($AI$2:$AI$1001,MATCH(ROWS($AH$2:AH427),$AH$2:$AH$1001,0),1)&gt;=100000,INDEX($AO$1005:$BQ$1005,1,MATCH(COLUMNS($AO$1006:BG1006),$AO$1006:$BQ$1006,0))&gt;=100000), " ",IF(INDEX($AO$2:$BQ$1001,MATCH(ROWS($AH$2:AH427),$AH$2:$AH$1001,0),MATCH(COLUMNS($AO$1006:BG1006),$AO$1006:$BQ$1006,0)), HYPERLINK("#",""), HYPERLINK(CONCATENATE("#Metadata!", ADDRESS(INDEX($AJ$2:$AJ$1001,MATCH(ROWS($AH$2:AH427),$AH$2:$AH$1001,0),0), INDEX($AO$1004:$BQ$1004,1,MATCH(COLUMNS($AO$1006:BG1006),$AO$1006:$BQ$1006,0)))),"Fix")))</f>
        <v>#N/A</v>
      </c>
      <c r="U427" s="5" t="e">
        <f ca="1">IF(OR(INDEX($AI$2:$AI$1001,MATCH(ROWS($AH$2:AH427),$AH$2:$AH$1001,0),1)&gt;=100000,INDEX($AO$1005:$BQ$1005,1,MATCH(COLUMNS($AO$1006:BH1006),$AO$1006:$BQ$1006,0))&gt;=100000), " ",IF(INDEX($AO$2:$BQ$1001,MATCH(ROWS($AH$2:AH427),$AH$2:$AH$1001,0),MATCH(COLUMNS($AO$1006:BH1006),$AO$1006:$BQ$1006,0)), HYPERLINK("#",""), HYPERLINK(CONCATENATE("#Metadata!", ADDRESS(INDEX($AJ$2:$AJ$1001,MATCH(ROWS($AH$2:AH427),$AH$2:$AH$1001,0),0), INDEX($AO$1004:$BQ$1004,1,MATCH(COLUMNS($AO$1006:BH1006),$AO$1006:$BQ$1006,0)))),"Fix")))</f>
        <v>#N/A</v>
      </c>
      <c r="V427" s="5" t="e">
        <f ca="1">IF(OR(INDEX($AI$2:$AI$1001,MATCH(ROWS($AH$2:AH427),$AH$2:$AH$1001,0),1)&gt;=100000,INDEX($AO$1005:$BQ$1005,1,MATCH(COLUMNS($AO$1006:BI1006),$AO$1006:$BQ$1006,0))&gt;=100000), " ",IF(INDEX($AO$2:$BQ$1001,MATCH(ROWS($AH$2:AH427),$AH$2:$AH$1001,0),MATCH(COLUMNS($AO$1006:BI1006),$AO$1006:$BQ$1006,0)), HYPERLINK("#",""), HYPERLINK(CONCATENATE("#Metadata!", ADDRESS(INDEX($AJ$2:$AJ$1001,MATCH(ROWS($AH$2:AH427),$AH$2:$AH$1001,0),0), INDEX($AO$1004:$BQ$1004,1,MATCH(COLUMNS($AO$1006:BI1006),$AO$1006:$BQ$1006,0)))),"Fix")))</f>
        <v>#N/A</v>
      </c>
      <c r="W427" s="5" t="e">
        <f ca="1">IF(OR(INDEX($AI$2:$AI$1001,MATCH(ROWS($AH$2:AH427),$AH$2:$AH$1001,0),1)&gt;=100000,INDEX($AO$1005:$BQ$1005,1,MATCH(COLUMNS($AO$1006:BJ1006),$AO$1006:$BQ$1006,0))&gt;=100000), " ",IF(INDEX($AO$2:$BQ$1001,MATCH(ROWS($AH$2:AH427),$AH$2:$AH$1001,0),MATCH(COLUMNS($AO$1006:BJ1006),$AO$1006:$BQ$1006,0)), HYPERLINK("#",""), HYPERLINK(CONCATENATE("#Metadata!", ADDRESS(INDEX($AJ$2:$AJ$1001,MATCH(ROWS($AH$2:AH427),$AH$2:$AH$1001,0),0), INDEX($AO$1004:$BQ$1004,1,MATCH(COLUMNS($AO$1006:BJ1006),$AO$1006:$BQ$1006,0)))),"Fix")))</f>
        <v>#N/A</v>
      </c>
      <c r="X427" s="5" t="e">
        <f ca="1">IF(OR(INDEX($AI$2:$AI$1001,MATCH(ROWS($AH$2:AH427),$AH$2:$AH$1001,0),1)&gt;=100000,INDEX($AO$1005:$BQ$1005,1,MATCH(COLUMNS($AO$1006:BK1006),$AO$1006:$BQ$1006,0))&gt;=100000), " ",IF(INDEX($AO$2:$BQ$1001,MATCH(ROWS($AH$2:AH427),$AH$2:$AH$1001,0),MATCH(COLUMNS($AO$1006:BK1006),$AO$1006:$BQ$1006,0)), HYPERLINK("#",""), HYPERLINK(CONCATENATE("#Metadata!", ADDRESS(INDEX($AJ$2:$AJ$1001,MATCH(ROWS($AH$2:AH427),$AH$2:$AH$1001,0),0), INDEX($AO$1004:$BQ$1004,1,MATCH(COLUMNS($AO$1006:BK1006),$AO$1006:$BQ$1006,0)))),"Fix")))</f>
        <v>#N/A</v>
      </c>
      <c r="Y427" s="5" t="e">
        <f ca="1">IF(OR(INDEX($AI$2:$AI$1001,MATCH(ROWS($AH$2:AH427),$AH$2:$AH$1001,0),1)&gt;=100000,INDEX($AO$1005:$BQ$1005,1,MATCH(COLUMNS($AO$1006:BL1006),$AO$1006:$BQ$1006,0))&gt;=100000), " ",IF(INDEX($AO$2:$BQ$1001,MATCH(ROWS($AH$2:AH427),$AH$2:$AH$1001,0),MATCH(COLUMNS($AO$1006:BL1006),$AO$1006:$BQ$1006,0)), HYPERLINK("#",""), HYPERLINK(CONCATENATE("#Metadata!", ADDRESS(INDEX($AJ$2:$AJ$1001,MATCH(ROWS($AH$2:AH427),$AH$2:$AH$1001,0),0), INDEX($AO$1004:$BQ$1004,1,MATCH(COLUMNS($AO$1006:BL1006),$AO$1006:$BQ$1006,0)))),"Fix")))</f>
        <v>#N/A</v>
      </c>
      <c r="Z427" s="5" t="e">
        <f ca="1">IF(OR(INDEX($AI$2:$AI$1001,MATCH(ROWS($AH$2:AH427),$AH$2:$AH$1001,0),1)&gt;=100000,INDEX($AO$1005:$BQ$1005,1,MATCH(COLUMNS($AO$1006:BM1006),$AO$1006:$BQ$1006,0))&gt;=100000), " ",IF(INDEX($AO$2:$BQ$1001,MATCH(ROWS($AH$2:AH427),$AH$2:$AH$1001,0),MATCH(COLUMNS($AO$1006:BM1006),$AO$1006:$BQ$1006,0)), HYPERLINK("#",""), HYPERLINK(CONCATENATE("#Metadata!", ADDRESS(INDEX($AJ$2:$AJ$1001,MATCH(ROWS($AH$2:AH427),$AH$2:$AH$1001,0),0), INDEX($AO$1004:$BQ$1004,1,MATCH(COLUMNS($AO$1006:BM1006),$AO$1006:$BQ$1006,0)))),"Fix")))</f>
        <v>#N/A</v>
      </c>
      <c r="AA427" s="5" t="e">
        <f ca="1">IF(OR(INDEX($AI$2:$AI$1001,MATCH(ROWS($AH$2:AH427),$AH$2:$AH$1001,0),1)&gt;=100000,INDEX($AO$1005:$BQ$1005,1,MATCH(COLUMNS($AO$1006:BN1006),$AO$1006:$BQ$1006,0))&gt;=100000), " ",IF(INDEX($AO$2:$BQ$1001,MATCH(ROWS($AH$2:AH427),$AH$2:$AH$1001,0),MATCH(COLUMNS($AO$1006:BN1006),$AO$1006:$BQ$1006,0)), HYPERLINK("#",""), HYPERLINK(CONCATENATE("#Metadata!", ADDRESS(INDEX($AJ$2:$AJ$1001,MATCH(ROWS($AH$2:AH427),$AH$2:$AH$1001,0),0), INDEX($AO$1004:$BQ$1004,1,MATCH(COLUMNS($AO$1006:BN1006),$AO$1006:$BQ$1006,0)))),"Fix")))</f>
        <v>#N/A</v>
      </c>
      <c r="AB427" s="5" t="e">
        <f ca="1">IF(OR(INDEX($AI$2:$AI$1001,MATCH(ROWS($AH$2:AH427),$AH$2:$AH$1001,0),1)&gt;=100000,INDEX($AO$1005:$BQ$1005,1,MATCH(COLUMNS($AO$1006:BO1006),$AO$1006:$BQ$1006,0))&gt;=100000), " ",IF(INDEX($AO$2:$BQ$1001,MATCH(ROWS($AH$2:AH427),$AH$2:$AH$1001,0),MATCH(COLUMNS($AO$1006:BO1006),$AO$1006:$BQ$1006,0)), HYPERLINK("#",""), HYPERLINK(CONCATENATE("#Metadata!", ADDRESS(INDEX($AJ$2:$AJ$1001,MATCH(ROWS($AH$2:AH427),$AH$2:$AH$1001,0),0), INDEX($AO$1004:$BQ$1004,1,MATCH(COLUMNS($AO$1006:BO1006),$AO$1006:$BQ$1006,0)))),"Fix")))</f>
        <v>#N/A</v>
      </c>
      <c r="AC427" s="5" t="e">
        <f ca="1">IF(OR(INDEX($AI$2:$AI$1001,MATCH(ROWS($AH$2:AH427),$AH$2:$AH$1001,0),1)&gt;=100000,INDEX($AO$1005:$BQ$1005,1,MATCH(COLUMNS($AO$1006:BP1006),$AO$1006:$BQ$1006,0))&gt;=100000), " ",IF(INDEX($AO$2:$BQ$1001,MATCH(ROWS($AH$2:AH427),$AH$2:$AH$1001,0),MATCH(COLUMNS($AO$1006:BP1006),$AO$1006:$BQ$1006,0)), HYPERLINK("#",""), HYPERLINK(CONCATENATE("#Metadata!", ADDRESS(INDEX($AJ$2:$AJ$1001,MATCH(ROWS($AH$2:AH427),$AH$2:$AH$1001,0),0), INDEX($AO$1004:$BQ$1004,1,MATCH(COLUMNS($AO$1006:BP1006),$AO$1006:$BQ$1006,0)))),"Fix")))</f>
        <v>#N/A</v>
      </c>
      <c r="AD427" s="5" t="e">
        <f ca="1">IF(OR(INDEX($AI$2:$AI$1001,MATCH(ROWS($AH$2:AH427),$AH$2:$AH$1001,0),1)&gt;=100000,INDEX($AO$1005:$BQ$1005,1,MATCH(COLUMNS($AO$1006:BQ1006),$AO$1006:$BQ$1006,0))&gt;=100000), " ",IF(INDEX($AO$2:$BQ$1001,MATCH(ROWS($AH$2:AH427),$AH$2:$AH$1001,0),MATCH(COLUMNS($AO$1006:BQ1006),$AO$1006:$BQ$1006,0)), HYPERLINK("#",""), HYPERLINK(CONCATENATE("#Metadata!", ADDRESS(INDEX($AJ$2:$AJ$1001,MATCH(ROWS($AH$2:AH427),$AH$2:$AH$1001,0),0), INDEX($AO$1004:$BQ$1004,1,MATCH(COLUMNS($AO$1006:BQ1006),$AO$1006:$BQ$1006,0)))),"Fix")))</f>
        <v>#REF!</v>
      </c>
      <c r="AH427">
        <f ca="1"/>
        <v>424</v>
      </c>
      <c r="AI427">
        <v>100427</v>
      </c>
      <c r="AJ427">
        <v>427</v>
      </c>
      <c r="AK427" t="b">
        <f t="shared" si="6"/>
        <v>1</v>
      </c>
      <c r="AL427" t="b">
        <f>COUNTBLANK(Metadata!B427:AD427)=COLUMNS(Metadata!B427:AD427)</f>
        <v>1</v>
      </c>
      <c r="AM427" t="str">
        <v/>
      </c>
      <c r="AO427" t="b">
        <f ca="1">AND(IF(Metadata!B427="",FALSE,TRUE),COUNTIF(Metadata!B:B, Metadata!B427) = 1,NOT(ISERROR(SUMPRODUCT(SEARCH(MID(Metadata!B427,ROW(INDIRECT("1:"&amp;LEN(Metadata!B427))), 1),"0123456789abcdefghijklmnopqrstuvwxyzABCDEFGHIJKLMNOPQRSTUVWXYZ.")))))</f>
        <v>0</v>
      </c>
      <c r="AP427" t="b">
        <f>IF(Metadata!C427="",FALSE,TRUE)</f>
        <v>0</v>
      </c>
      <c r="AQ427" t="b">
        <f>IF(Metadata!D427="",FALSE,TRUE)</f>
        <v>0</v>
      </c>
      <c r="AR427" t="b">
        <f ca="1">OR(AND(IF(Metadata!E427="",FALSE,TRUE),OR(EXACT(Metadata!E427,"not collected"),EXACT(Metadata!E427,"not provided"),EXACT(Metadata!E427,"restricted access"))),AND(IF(Metadata!E427="",FALSE,TRUE),AND(AND(IFERROR(INT(LEFT(Metadata!E427,4))&gt;1900,FALSE),IFERROR(INT(LEFT(Metadata!E427,4))&lt;=YEAR(NOW()),FALSE)), OR(MID(Metadata!E427,5,1)="", AND(AND(MID(Metadata!E427,5,1)="-",IFERROR(INT(MID(Metadata!E427,6,1))&gt;=0,FALSE),IFERROR(INT(MID(Metadata!E427,6,1))&lt;=1,FALSE),NOT(MID(Metadata!E427,7,1)=""),IFERROR(INT(MID(Metadata!E427,6,2))&gt;=1,FALSE),IFERROR(INT(MID(Metadata!E427,6,2))&lt;=12,FALSE)), OR(MID(Metadata!E427,8,1)="", AND(AND(MID(Metadata!E427,8,1)="-",IFERROR(INT(MID(Metadata!E427,9,1))&gt;=0,FALSE),IFERROR(INT(MID(Metadata!E427,9,1))&lt;=3,FALSE),NOT(MID(Metadata!E427,10,1)=""),IFERROR(INT(MID(Metadata!E427,9,2))&gt;=1,FALSE),IFERROR(INT(MID(Metadata!E427,9,2))&lt;=31,FALSE)), OR(MID(Metadata!E427,11,1)="", AND(AND(MID(Metadata!E427,11,1)=" ",IFERROR(INT(MID(Metadata!E427,12,1))&gt;=0,FALSE),IFERROR(INT(MID(Metadata!E427,12,1))&lt;=2,FALSE),NOT(MID(Metadata!E427,13,1)=""),IFERROR(INT(MID(Metadata!E427,12,2))&gt;=0,FALSE),IFERROR(INT(MID(Metadata!E427,12,2))&lt;=23,FALSE)), OR(MID(Metadata!E427,14,1)="", AND(AND(MID(Metadata!E427,14,1)=":",IFERROR(INT(MID(Metadata!E427,15,1))&gt;=0,FALSE),IFERROR(INT(MID(Metadata!E427,15,1))&lt;=5,FALSE),NOT(MID(Metadata!E427,16,1)=""),IFERROR(INT(MID(Metadata!E427,15,2))&gt;=0,FALSE),IFERROR(INT(MID(Metadata!E427,15,2))&lt;=59,FALSE)), OR(MID(Metadata!E427,17,1)="", AND(AND(MID(Metadata!E427,17,1)=":",IFERROR(INT(MID(Metadata!E427,18,1))&gt;=0,FALSE),IFERROR(INT(MID(Metadata!E427,18,1))&lt;=5,FALSE),NOT(MID(Metadata!E427,19,1)=""),IFERROR(INT(MID(Metadata!E427,18,2))&gt;=0,FALSE),IFERROR(INT(MID(Metadata!E427,18,2))&lt;=59,FALSE)), LEN(Metadata!E427)&lt;=19)))))))))))))</f>
        <v>0</v>
      </c>
      <c r="AS427" t="b">
        <f>IF(Metadata!F427="",FALSE,TRUE)</f>
        <v>0</v>
      </c>
      <c r="AT427" t="b">
        <f>OR(AND(IF(Metadata!G427="",FALSE,TRUE),OR(EXACT(Metadata!G427,"not collected"),EXACT(Metadata!G427,"not provided"))),AND(IF(Metadata!G427="",FALSE,TRUE),OR(EXACT(Metadata!G427,"TRUE"),EXACT(Metadata!G427,"FALSE"))))</f>
        <v>0</v>
      </c>
      <c r="AU427" t="b">
        <f>OR(AND(IF(Metadata!H427="",FALSE,TRUE),OR(EXACT(Metadata!H427,"not collected"),EXACT(Metadata!H427,"not provided"),EXACT(Metadata!H427,"restricted access"))),AND(IF(Metadata!H427="",FALSE,ISNUMBER(VALUE(Metadata!H427))),Metadata!H427&gt;=-413))</f>
        <v>0</v>
      </c>
      <c r="AV427" t="b">
        <f>AND(IF(Metadata!I427="",FALSE,TRUE),EXACT(Metadata!I427,"meters"))</f>
        <v>0</v>
      </c>
      <c r="AW427" t="b">
        <f>AND(IF(Metadata!J427="",FALSE,TRUE),EXACT(Metadata!J427,"free-living"))</f>
        <v>0</v>
      </c>
      <c r="AX427" t="b">
        <f>AND(IF(Metadata!K427="",FALSE,TRUE),OR(EXACT(Metadata!K427,"saline"),EXACT(Metadata!K427,"non-saline")))</f>
        <v>0</v>
      </c>
      <c r="AY427" t="b">
        <f>AND(IF(Metadata!L427="",FALSE,TRUE),OR(EXACT(Metadata!L427,"sub-surface (non-saline)"),EXACT(Metadata!L427,"surface (non-saline)"),EXACT(Metadata!L427,"water (non-saline)"),EXACT(Metadata!L427,"soil (non-saline)"),EXACT(Metadata!L427,"aerosol (non-saline)"),EXACT(Metadata!L427,"sediment (non-saline)"),EXACT(Metadata!L427,"surface (saline)"),EXACT(Metadata!L427,"water (saline)"),EXACT(Metadata!L427,"hypersaline (saline)"),EXACT(Metadata!L427,"aerosol (saline)"),EXACT(Metadata!L427,"sediment (saline)")))</f>
        <v>0</v>
      </c>
      <c r="AZ427" t="b">
        <f>IF(Metadata!M427="",FALSE,TRUE)</f>
        <v>0</v>
      </c>
      <c r="BA427" t="b">
        <f>IF(Metadata!N427="",FALSE,TRUE)</f>
        <v>0</v>
      </c>
      <c r="BB427" t="b">
        <f>IF(Metadata!O427="",FALSE,TRUE)</f>
        <v>0</v>
      </c>
      <c r="BC427" t="b">
        <f>AND(IF(Metadata!P427="",FALSE,TRUE),OR(EXACT(Metadata!P427,"air"),EXACT(Metadata!P427,"microbial mat/biofilm"),EXACT(Metadata!P427,"misc environment"),EXACT(Metadata!P427,"sediment"),EXACT(Metadata!P427,"soil"),EXACT(Metadata!P427,"wastewater/sludge"),EXACT(Metadata!P427,"water")))</f>
        <v>0</v>
      </c>
      <c r="BD427" t="b">
        <f>IF(Metadata!Q427="",FALSE,TRUE)</f>
        <v>0</v>
      </c>
      <c r="BE427" t="b">
        <f>IF(Metadata!R427="",FALSE,TRUE)</f>
        <v>0</v>
      </c>
      <c r="BF427" t="b">
        <f>OR(AND(IF(Metadata!S427="",FALSE,TRUE),OR(EXACT(Metadata!S427,"not collected"),EXACT(Metadata!S427,"not provided"),EXACT(Metadata!S427,"restricted access"))),AND(IF(Metadata!S427="",FALSE,ISNUMBER(VALUE(Metadata!S427))),Metadata!S427&gt;=-90,Metadata!S427&lt;=90))</f>
        <v>0</v>
      </c>
      <c r="BG427" t="b">
        <f>AND(IF(Metadata!T427="",FALSE,TRUE),EXACT(Metadata!T427,"Decimal degrees"))</f>
        <v>0</v>
      </c>
      <c r="BH427" t="b">
        <f>OR(AND(IF(Metadata!U427="",FALSE,TRUE),OR(EXACT(Metadata!U427,"not applicable"),EXACT(Metadata!U427,"not collected"))),IF(Metadata!U427="",FALSE,TRUE))</f>
        <v>0</v>
      </c>
      <c r="BI427" t="b">
        <f>OR(AND(IF(Metadata!V427="",FALSE,TRUE),OR(EXACT(Metadata!V427,"not collected"),EXACT(Metadata!V427,"not provided"),EXACT(Metadata!V427,"restricted access"))),AND(IF(Metadata!V427="",FALSE,ISNUMBER(VALUE(Metadata!V427))),Metadata!V427&gt;=-180,Metadata!V427&lt;=180))</f>
        <v>0</v>
      </c>
      <c r="BJ427" t="b">
        <f>AND(IF(Metadata!W427="",FALSE,TRUE),EXACT(Metadata!W427,"Decimal degrees"))</f>
        <v>0</v>
      </c>
      <c r="BK427" t="b">
        <f>IF(Metadata!X427="",FALSE,TRUE)</f>
        <v>0</v>
      </c>
      <c r="BL427" t="b">
        <f>OR(AND(IF(Metadata!Y427="",FALSE,TRUE),OR(EXACT(Metadata!Y427,"not collected"),EXACT(Metadata!Y427,"not provided"),EXACT(Metadata!Y427,"restricted access"))),AND(IF(Metadata!Y427="",FALSE,TRUE),OR(EXACT(Metadata!Y427,"TRUE"),EXACT(Metadata!Y427,"FALSE"))))</f>
        <v>0</v>
      </c>
      <c r="BM427" t="b">
        <f>OR(AND(IF(Metadata!Z427="",FALSE,TRUE),EXACT(Metadata!Z427,"not applicable")),AND(IF(Metadata!Z427="",FALSE,TRUE),OR(EXACT(Metadata!Z427,"beer"),EXACT(Metadata!Z427,"cheese"),EXACT(Metadata!Z427,"fresh water"),EXACT(Metadata!Z427,"marine sediment"),EXACT(Metadata!Z427,"sea water"),EXACT(Metadata!Z427,"sediment"),EXACT(Metadata!Z427,"soil"),EXACT(Metadata!Z427,"waste water"))))</f>
        <v>0</v>
      </c>
      <c r="BN427" t="b">
        <f>AND(IF(Metadata!AA427="",FALSE,TRUE),EXACT(Metadata!AA427,"metagenome"))</f>
        <v>0</v>
      </c>
      <c r="BO427" t="b">
        <f>AND(IF(Metadata!AB427="",FALSE,TRUE),EXACT(Metadata!AB427,"256318"))</f>
        <v>0</v>
      </c>
      <c r="BP427" t="b">
        <f>IF(Metadata!AC427="",FALSE,TRUE)</f>
        <v>0</v>
      </c>
      <c r="BQ427" t="b">
        <f>IF(Metadata!AD427="",FALSE,TRUE)</f>
        <v>0</v>
      </c>
    </row>
    <row r="428" spans="1:69" x14ac:dyDescent="0.2">
      <c r="A428" s="4" t="e">
        <f ca="1">IF(B428=" "," ",HYPERLINK(CONCATENATE("#metadata!",ADDRESS(INDEX($AJ$2:$AJ$1001,MATCH(ROWS($AH$2:AH428),$AH$2:$AH$1001,0),0),2)),INDEX($AM$2:$AM$1001,MATCH(ROWS($AH$2:AH428),$AH$2:$AH$1001,0),0)))</f>
        <v>#N/A</v>
      </c>
      <c r="B428" s="5" t="e">
        <f ca="1">IF(OR(INDEX($AI$2:$AI$1001,MATCH(ROWS($AH$2:AH428),$AH$2:$AH$1001,0),1)&gt;=100000,INDEX($AO$1005:$BQ$1005,1,MATCH(COLUMNS($AO$1006:AO1006),$AO$1006:$BQ$1006,0))&gt;=100000), " ",IF(INDEX($AO$2:$BQ$1001,MATCH(ROWS($AH$2:AH428),$AH$2:$AH$1001,0),MATCH(COLUMNS($AO$1006:AO1006),$AO$1006:$BQ$1006,0)), HYPERLINK("#",""), HYPERLINK(CONCATENATE("#Metadata!", ADDRESS(INDEX($AJ$2:$AJ$1001,MATCH(ROWS($AH$2:AH428),$AH$2:$AH$1001,0),0), INDEX($AO$1004:$BQ$1004,1,MATCH(COLUMNS($AO$1006:AO1006),$AO$1006:$BQ$1006,0)))),"Fix")))</f>
        <v>#N/A</v>
      </c>
      <c r="C428" s="5" t="e">
        <f ca="1">IF(OR(INDEX($AI$2:$AI$1001,MATCH(ROWS($AH$2:AH428),$AH$2:$AH$1001,0),1)&gt;=100000,INDEX($AO$1005:$BQ$1005,1,MATCH(COLUMNS($AO$1006:AP1006),$AO$1006:$BQ$1006,0))&gt;=100000), " ",IF(INDEX($AO$2:$BQ$1001,MATCH(ROWS($AH$2:AH428),$AH$2:$AH$1001,0),MATCH(COLUMNS($AO$1006:AP1006),$AO$1006:$BQ$1006,0)), HYPERLINK("#",""), HYPERLINK(CONCATENATE("#Metadata!", ADDRESS(INDEX($AJ$2:$AJ$1001,MATCH(ROWS($AH$2:AH428),$AH$2:$AH$1001,0),0), INDEX($AO$1004:$BQ$1004,1,MATCH(COLUMNS($AO$1006:AP1006),$AO$1006:$BQ$1006,0)))),"Fix")))</f>
        <v>#N/A</v>
      </c>
      <c r="D428" s="5" t="e">
        <f ca="1">IF(OR(INDEX($AI$2:$AI$1001,MATCH(ROWS($AH$2:AH428),$AH$2:$AH$1001,0),1)&gt;=100000,INDEX($AO$1005:$BQ$1005,1,MATCH(COLUMNS($AO$1006:AQ1006),$AO$1006:$BQ$1006,0))&gt;=100000), " ",IF(INDEX($AO$2:$BQ$1001,MATCH(ROWS($AH$2:AH428),$AH$2:$AH$1001,0),MATCH(COLUMNS($AO$1006:AQ1006),$AO$1006:$BQ$1006,0)), HYPERLINK("#",""), HYPERLINK(CONCATENATE("#Metadata!", ADDRESS(INDEX($AJ$2:$AJ$1001,MATCH(ROWS($AH$2:AH428),$AH$2:$AH$1001,0),0), INDEX($AO$1004:$BQ$1004,1,MATCH(COLUMNS($AO$1006:AQ1006),$AO$1006:$BQ$1006,0)))),"Fix")))</f>
        <v>#N/A</v>
      </c>
      <c r="E428" s="5" t="e">
        <f ca="1">IF(OR(INDEX($AI$2:$AI$1001,MATCH(ROWS($AH$2:AH428),$AH$2:$AH$1001,0),1)&gt;=100000,INDEX($AO$1005:$BQ$1005,1,MATCH(COLUMNS($AO$1006:AR1006),$AO$1006:$BQ$1006,0))&gt;=100000), " ",IF(INDEX($AO$2:$BQ$1001,MATCH(ROWS($AH$2:AH428),$AH$2:$AH$1001,0),MATCH(COLUMNS($AO$1006:AR1006),$AO$1006:$BQ$1006,0)), HYPERLINK("#",""), HYPERLINK(CONCATENATE("#Metadata!", ADDRESS(INDEX($AJ$2:$AJ$1001,MATCH(ROWS($AH$2:AH428),$AH$2:$AH$1001,0),0), INDEX($AO$1004:$BQ$1004,1,MATCH(COLUMNS($AO$1006:AR1006),$AO$1006:$BQ$1006,0)))),"Fix")))</f>
        <v>#N/A</v>
      </c>
      <c r="F428" s="5" t="e">
        <f ca="1">IF(OR(INDEX($AI$2:$AI$1001,MATCH(ROWS($AH$2:AH428),$AH$2:$AH$1001,0),1)&gt;=100000,INDEX($AO$1005:$BQ$1005,1,MATCH(COLUMNS($AO$1006:AS1006),$AO$1006:$BQ$1006,0))&gt;=100000), " ",IF(INDEX($AO$2:$BQ$1001,MATCH(ROWS($AH$2:AH428),$AH$2:$AH$1001,0),MATCH(COLUMNS($AO$1006:AS1006),$AO$1006:$BQ$1006,0)), HYPERLINK("#",""), HYPERLINK(CONCATENATE("#Metadata!", ADDRESS(INDEX($AJ$2:$AJ$1001,MATCH(ROWS($AH$2:AH428),$AH$2:$AH$1001,0),0), INDEX($AO$1004:$BQ$1004,1,MATCH(COLUMNS($AO$1006:AS1006),$AO$1006:$BQ$1006,0)))),"Fix")))</f>
        <v>#N/A</v>
      </c>
      <c r="G428" s="5" t="e">
        <f ca="1">IF(OR(INDEX($AI$2:$AI$1001,MATCH(ROWS($AH$2:AH428),$AH$2:$AH$1001,0),1)&gt;=100000,INDEX($AO$1005:$BQ$1005,1,MATCH(COLUMNS($AO$1006:AT1006),$AO$1006:$BQ$1006,0))&gt;=100000), " ",IF(INDEX($AO$2:$BQ$1001,MATCH(ROWS($AH$2:AH428),$AH$2:$AH$1001,0),MATCH(COLUMNS($AO$1006:AT1006),$AO$1006:$BQ$1006,0)), HYPERLINK("#",""), HYPERLINK(CONCATENATE("#Metadata!", ADDRESS(INDEX($AJ$2:$AJ$1001,MATCH(ROWS($AH$2:AH428),$AH$2:$AH$1001,0),0), INDEX($AO$1004:$BQ$1004,1,MATCH(COLUMNS($AO$1006:AT1006),$AO$1006:$BQ$1006,0)))),"Fix")))</f>
        <v>#N/A</v>
      </c>
      <c r="H428" s="5" t="e">
        <f ca="1">IF(OR(INDEX($AI$2:$AI$1001,MATCH(ROWS($AH$2:AH428),$AH$2:$AH$1001,0),1)&gt;=100000,INDEX($AO$1005:$BQ$1005,1,MATCH(COLUMNS($AO$1006:AU1006),$AO$1006:$BQ$1006,0))&gt;=100000), " ",IF(INDEX($AO$2:$BQ$1001,MATCH(ROWS($AH$2:AH428),$AH$2:$AH$1001,0),MATCH(COLUMNS($AO$1006:AU1006),$AO$1006:$BQ$1006,0)), HYPERLINK("#",""), HYPERLINK(CONCATENATE("#Metadata!", ADDRESS(INDEX($AJ$2:$AJ$1001,MATCH(ROWS($AH$2:AH428),$AH$2:$AH$1001,0),0), INDEX($AO$1004:$BQ$1004,1,MATCH(COLUMNS($AO$1006:AU1006),$AO$1006:$BQ$1006,0)))),"Fix")))</f>
        <v>#N/A</v>
      </c>
      <c r="I428" s="5" t="e">
        <f ca="1">IF(OR(INDEX($AI$2:$AI$1001,MATCH(ROWS($AH$2:AH428),$AH$2:$AH$1001,0),1)&gt;=100000,INDEX($AO$1005:$BQ$1005,1,MATCH(COLUMNS($AO$1006:AV1006),$AO$1006:$BQ$1006,0))&gt;=100000), " ",IF(INDEX($AO$2:$BQ$1001,MATCH(ROWS($AH$2:AH428),$AH$2:$AH$1001,0),MATCH(COLUMNS($AO$1006:AV1006),$AO$1006:$BQ$1006,0)), HYPERLINK("#",""), HYPERLINK(CONCATENATE("#Metadata!", ADDRESS(INDEX($AJ$2:$AJ$1001,MATCH(ROWS($AH$2:AH428),$AH$2:$AH$1001,0),0), INDEX($AO$1004:$BQ$1004,1,MATCH(COLUMNS($AO$1006:AV1006),$AO$1006:$BQ$1006,0)))),"Fix")))</f>
        <v>#N/A</v>
      </c>
      <c r="J428" s="5" t="e">
        <f ca="1">IF(OR(INDEX($AI$2:$AI$1001,MATCH(ROWS($AH$2:AH428),$AH$2:$AH$1001,0),1)&gt;=100000,INDEX($AO$1005:$BQ$1005,1,MATCH(COLUMNS($AO$1006:AW1006),$AO$1006:$BQ$1006,0))&gt;=100000), " ",IF(INDEX($AO$2:$BQ$1001,MATCH(ROWS($AH$2:AH428),$AH$2:$AH$1001,0),MATCH(COLUMNS($AO$1006:AW1006),$AO$1006:$BQ$1006,0)), HYPERLINK("#",""), HYPERLINK(CONCATENATE("#Metadata!", ADDRESS(INDEX($AJ$2:$AJ$1001,MATCH(ROWS($AH$2:AH428),$AH$2:$AH$1001,0),0), INDEX($AO$1004:$BQ$1004,1,MATCH(COLUMNS($AO$1006:AW1006),$AO$1006:$BQ$1006,0)))),"Fix")))</f>
        <v>#N/A</v>
      </c>
      <c r="K428" s="5" t="e">
        <f ca="1">IF(OR(INDEX($AI$2:$AI$1001,MATCH(ROWS($AH$2:AH428),$AH$2:$AH$1001,0),1)&gt;=100000,INDEX($AO$1005:$BQ$1005,1,MATCH(COLUMNS($AO$1006:AX1006),$AO$1006:$BQ$1006,0))&gt;=100000), " ",IF(INDEX($AO$2:$BQ$1001,MATCH(ROWS($AH$2:AH428),$AH$2:$AH$1001,0),MATCH(COLUMNS($AO$1006:AX1006),$AO$1006:$BQ$1006,0)), HYPERLINK("#",""), HYPERLINK(CONCATENATE("#Metadata!", ADDRESS(INDEX($AJ$2:$AJ$1001,MATCH(ROWS($AH$2:AH428),$AH$2:$AH$1001,0),0), INDEX($AO$1004:$BQ$1004,1,MATCH(COLUMNS($AO$1006:AX1006),$AO$1006:$BQ$1006,0)))),"Fix")))</f>
        <v>#N/A</v>
      </c>
      <c r="L428" s="5" t="e">
        <f ca="1">IF(OR(INDEX($AI$2:$AI$1001,MATCH(ROWS($AH$2:AH428),$AH$2:$AH$1001,0),1)&gt;=100000,INDEX($AO$1005:$BQ$1005,1,MATCH(COLUMNS($AO$1006:AY1006),$AO$1006:$BQ$1006,0))&gt;=100000), " ",IF(INDEX($AO$2:$BQ$1001,MATCH(ROWS($AH$2:AH428),$AH$2:$AH$1001,0),MATCH(COLUMNS($AO$1006:AY1006),$AO$1006:$BQ$1006,0)), HYPERLINK("#",""), HYPERLINK(CONCATENATE("#Metadata!", ADDRESS(INDEX($AJ$2:$AJ$1001,MATCH(ROWS($AH$2:AH428),$AH$2:$AH$1001,0),0), INDEX($AO$1004:$BQ$1004,1,MATCH(COLUMNS($AO$1006:AY1006),$AO$1006:$BQ$1006,0)))),"Fix")))</f>
        <v>#N/A</v>
      </c>
      <c r="M428" s="5" t="e">
        <f ca="1">IF(OR(INDEX($AI$2:$AI$1001,MATCH(ROWS($AH$2:AH428),$AH$2:$AH$1001,0),1)&gt;=100000,INDEX($AO$1005:$BQ$1005,1,MATCH(COLUMNS($AO$1006:AZ1006),$AO$1006:$BQ$1006,0))&gt;=100000), " ",IF(INDEX($AO$2:$BQ$1001,MATCH(ROWS($AH$2:AH428),$AH$2:$AH$1001,0),MATCH(COLUMNS($AO$1006:AZ1006),$AO$1006:$BQ$1006,0)), HYPERLINK("#",""), HYPERLINK(CONCATENATE("#Metadata!", ADDRESS(INDEX($AJ$2:$AJ$1001,MATCH(ROWS($AH$2:AH428),$AH$2:$AH$1001,0),0), INDEX($AO$1004:$BQ$1004,1,MATCH(COLUMNS($AO$1006:AZ1006),$AO$1006:$BQ$1006,0)))),"Fix")))</f>
        <v>#N/A</v>
      </c>
      <c r="N428" s="5" t="e">
        <f ca="1">IF(OR(INDEX($AI$2:$AI$1001,MATCH(ROWS($AH$2:AH428),$AH$2:$AH$1001,0),1)&gt;=100000,INDEX($AO$1005:$BQ$1005,1,MATCH(COLUMNS($AO$1006:BA1006),$AO$1006:$BQ$1006,0))&gt;=100000), " ",IF(INDEX($AO$2:$BQ$1001,MATCH(ROWS($AH$2:AH428),$AH$2:$AH$1001,0),MATCH(COLUMNS($AO$1006:BA1006),$AO$1006:$BQ$1006,0)), HYPERLINK("#",""), HYPERLINK(CONCATENATE("#Metadata!", ADDRESS(INDEX($AJ$2:$AJ$1001,MATCH(ROWS($AH$2:AH428),$AH$2:$AH$1001,0),0), INDEX($AO$1004:$BQ$1004,1,MATCH(COLUMNS($AO$1006:BA1006),$AO$1006:$BQ$1006,0)))),"Fix")))</f>
        <v>#N/A</v>
      </c>
      <c r="O428" s="5" t="e">
        <f ca="1">IF(OR(INDEX($AI$2:$AI$1001,MATCH(ROWS($AH$2:AH428),$AH$2:$AH$1001,0),1)&gt;=100000,INDEX($AO$1005:$BQ$1005,1,MATCH(COLUMNS($AO$1006:BB1006),$AO$1006:$BQ$1006,0))&gt;=100000), " ",IF(INDEX($AO$2:$BQ$1001,MATCH(ROWS($AH$2:AH428),$AH$2:$AH$1001,0),MATCH(COLUMNS($AO$1006:BB1006),$AO$1006:$BQ$1006,0)), HYPERLINK("#",""), HYPERLINK(CONCATENATE("#Metadata!", ADDRESS(INDEX($AJ$2:$AJ$1001,MATCH(ROWS($AH$2:AH428),$AH$2:$AH$1001,0),0), INDEX($AO$1004:$BQ$1004,1,MATCH(COLUMNS($AO$1006:BB1006),$AO$1006:$BQ$1006,0)))),"Fix")))</f>
        <v>#N/A</v>
      </c>
      <c r="P428" s="5" t="e">
        <f ca="1">IF(OR(INDEX($AI$2:$AI$1001,MATCH(ROWS($AH$2:AH428),$AH$2:$AH$1001,0),1)&gt;=100000,INDEX($AO$1005:$BQ$1005,1,MATCH(COLUMNS($AO$1006:BC1006),$AO$1006:$BQ$1006,0))&gt;=100000), " ",IF(INDEX($AO$2:$BQ$1001,MATCH(ROWS($AH$2:AH428),$AH$2:$AH$1001,0),MATCH(COLUMNS($AO$1006:BC1006),$AO$1006:$BQ$1006,0)), HYPERLINK("#",""), HYPERLINK(CONCATENATE("#Metadata!", ADDRESS(INDEX($AJ$2:$AJ$1001,MATCH(ROWS($AH$2:AH428),$AH$2:$AH$1001,0),0), INDEX($AO$1004:$BQ$1004,1,MATCH(COLUMNS($AO$1006:BC1006),$AO$1006:$BQ$1006,0)))),"Fix")))</f>
        <v>#N/A</v>
      </c>
      <c r="Q428" s="5" t="e">
        <f ca="1">IF(OR(INDEX($AI$2:$AI$1001,MATCH(ROWS($AH$2:AH428),$AH$2:$AH$1001,0),1)&gt;=100000,INDEX($AO$1005:$BQ$1005,1,MATCH(COLUMNS($AO$1006:BD1006),$AO$1006:$BQ$1006,0))&gt;=100000), " ",IF(INDEX($AO$2:$BQ$1001,MATCH(ROWS($AH$2:AH428),$AH$2:$AH$1001,0),MATCH(COLUMNS($AO$1006:BD1006),$AO$1006:$BQ$1006,0)), HYPERLINK("#",""), HYPERLINK(CONCATENATE("#Metadata!", ADDRESS(INDEX($AJ$2:$AJ$1001,MATCH(ROWS($AH$2:AH428),$AH$2:$AH$1001,0),0), INDEX($AO$1004:$BQ$1004,1,MATCH(COLUMNS($AO$1006:BD1006),$AO$1006:$BQ$1006,0)))),"Fix")))</f>
        <v>#N/A</v>
      </c>
      <c r="R428" s="5" t="e">
        <f ca="1">IF(OR(INDEX($AI$2:$AI$1001,MATCH(ROWS($AH$2:AH428),$AH$2:$AH$1001,0),1)&gt;=100000,INDEX($AO$1005:$BQ$1005,1,MATCH(COLUMNS($AO$1006:BE1006),$AO$1006:$BQ$1006,0))&gt;=100000), " ",IF(INDEX($AO$2:$BQ$1001,MATCH(ROWS($AH$2:AH428),$AH$2:$AH$1001,0),MATCH(COLUMNS($AO$1006:BE1006),$AO$1006:$BQ$1006,0)), HYPERLINK("#",""), HYPERLINK(CONCATENATE("#Metadata!", ADDRESS(INDEX($AJ$2:$AJ$1001,MATCH(ROWS($AH$2:AH428),$AH$2:$AH$1001,0),0), INDEX($AO$1004:$BQ$1004,1,MATCH(COLUMNS($AO$1006:BE1006),$AO$1006:$BQ$1006,0)))),"Fix")))</f>
        <v>#N/A</v>
      </c>
      <c r="S428" s="5" t="e">
        <f ca="1">IF(OR(INDEX($AI$2:$AI$1001,MATCH(ROWS($AH$2:AH428),$AH$2:$AH$1001,0),1)&gt;=100000,INDEX($AO$1005:$BQ$1005,1,MATCH(COLUMNS($AO$1006:BF1006),$AO$1006:$BQ$1006,0))&gt;=100000), " ",IF(INDEX($AO$2:$BQ$1001,MATCH(ROWS($AH$2:AH428),$AH$2:$AH$1001,0),MATCH(COLUMNS($AO$1006:BF1006),$AO$1006:$BQ$1006,0)), HYPERLINK("#",""), HYPERLINK(CONCATENATE("#Metadata!", ADDRESS(INDEX($AJ$2:$AJ$1001,MATCH(ROWS($AH$2:AH428),$AH$2:$AH$1001,0),0), INDEX($AO$1004:$BQ$1004,1,MATCH(COLUMNS($AO$1006:BF1006),$AO$1006:$BQ$1006,0)))),"Fix")))</f>
        <v>#N/A</v>
      </c>
      <c r="T428" s="5" t="e">
        <f ca="1">IF(OR(INDEX($AI$2:$AI$1001,MATCH(ROWS($AH$2:AH428),$AH$2:$AH$1001,0),1)&gt;=100000,INDEX($AO$1005:$BQ$1005,1,MATCH(COLUMNS($AO$1006:BG1006),$AO$1006:$BQ$1006,0))&gt;=100000), " ",IF(INDEX($AO$2:$BQ$1001,MATCH(ROWS($AH$2:AH428),$AH$2:$AH$1001,0),MATCH(COLUMNS($AO$1006:BG1006),$AO$1006:$BQ$1006,0)), HYPERLINK("#",""), HYPERLINK(CONCATENATE("#Metadata!", ADDRESS(INDEX($AJ$2:$AJ$1001,MATCH(ROWS($AH$2:AH428),$AH$2:$AH$1001,0),0), INDEX($AO$1004:$BQ$1004,1,MATCH(COLUMNS($AO$1006:BG1006),$AO$1006:$BQ$1006,0)))),"Fix")))</f>
        <v>#N/A</v>
      </c>
      <c r="U428" s="5" t="e">
        <f ca="1">IF(OR(INDEX($AI$2:$AI$1001,MATCH(ROWS($AH$2:AH428),$AH$2:$AH$1001,0),1)&gt;=100000,INDEX($AO$1005:$BQ$1005,1,MATCH(COLUMNS($AO$1006:BH1006),$AO$1006:$BQ$1006,0))&gt;=100000), " ",IF(INDEX($AO$2:$BQ$1001,MATCH(ROWS($AH$2:AH428),$AH$2:$AH$1001,0),MATCH(COLUMNS($AO$1006:BH1006),$AO$1006:$BQ$1006,0)), HYPERLINK("#",""), HYPERLINK(CONCATENATE("#Metadata!", ADDRESS(INDEX($AJ$2:$AJ$1001,MATCH(ROWS($AH$2:AH428),$AH$2:$AH$1001,0),0), INDEX($AO$1004:$BQ$1004,1,MATCH(COLUMNS($AO$1006:BH1006),$AO$1006:$BQ$1006,0)))),"Fix")))</f>
        <v>#N/A</v>
      </c>
      <c r="V428" s="5" t="e">
        <f ca="1">IF(OR(INDEX($AI$2:$AI$1001,MATCH(ROWS($AH$2:AH428),$AH$2:$AH$1001,0),1)&gt;=100000,INDEX($AO$1005:$BQ$1005,1,MATCH(COLUMNS($AO$1006:BI1006),$AO$1006:$BQ$1006,0))&gt;=100000), " ",IF(INDEX($AO$2:$BQ$1001,MATCH(ROWS($AH$2:AH428),$AH$2:$AH$1001,0),MATCH(COLUMNS($AO$1006:BI1006),$AO$1006:$BQ$1006,0)), HYPERLINK("#",""), HYPERLINK(CONCATENATE("#Metadata!", ADDRESS(INDEX($AJ$2:$AJ$1001,MATCH(ROWS($AH$2:AH428),$AH$2:$AH$1001,0),0), INDEX($AO$1004:$BQ$1004,1,MATCH(COLUMNS($AO$1006:BI1006),$AO$1006:$BQ$1006,0)))),"Fix")))</f>
        <v>#N/A</v>
      </c>
      <c r="W428" s="5" t="e">
        <f ca="1">IF(OR(INDEX($AI$2:$AI$1001,MATCH(ROWS($AH$2:AH428),$AH$2:$AH$1001,0),1)&gt;=100000,INDEX($AO$1005:$BQ$1005,1,MATCH(COLUMNS($AO$1006:BJ1006),$AO$1006:$BQ$1006,0))&gt;=100000), " ",IF(INDEX($AO$2:$BQ$1001,MATCH(ROWS($AH$2:AH428),$AH$2:$AH$1001,0),MATCH(COLUMNS($AO$1006:BJ1006),$AO$1006:$BQ$1006,0)), HYPERLINK("#",""), HYPERLINK(CONCATENATE("#Metadata!", ADDRESS(INDEX($AJ$2:$AJ$1001,MATCH(ROWS($AH$2:AH428),$AH$2:$AH$1001,0),0), INDEX($AO$1004:$BQ$1004,1,MATCH(COLUMNS($AO$1006:BJ1006),$AO$1006:$BQ$1006,0)))),"Fix")))</f>
        <v>#N/A</v>
      </c>
      <c r="X428" s="5" t="e">
        <f ca="1">IF(OR(INDEX($AI$2:$AI$1001,MATCH(ROWS($AH$2:AH428),$AH$2:$AH$1001,0),1)&gt;=100000,INDEX($AO$1005:$BQ$1005,1,MATCH(COLUMNS($AO$1006:BK1006),$AO$1006:$BQ$1006,0))&gt;=100000), " ",IF(INDEX($AO$2:$BQ$1001,MATCH(ROWS($AH$2:AH428),$AH$2:$AH$1001,0),MATCH(COLUMNS($AO$1006:BK1006),$AO$1006:$BQ$1006,0)), HYPERLINK("#",""), HYPERLINK(CONCATENATE("#Metadata!", ADDRESS(INDEX($AJ$2:$AJ$1001,MATCH(ROWS($AH$2:AH428),$AH$2:$AH$1001,0),0), INDEX($AO$1004:$BQ$1004,1,MATCH(COLUMNS($AO$1006:BK1006),$AO$1006:$BQ$1006,0)))),"Fix")))</f>
        <v>#N/A</v>
      </c>
      <c r="Y428" s="5" t="e">
        <f ca="1">IF(OR(INDEX($AI$2:$AI$1001,MATCH(ROWS($AH$2:AH428),$AH$2:$AH$1001,0),1)&gt;=100000,INDEX($AO$1005:$BQ$1005,1,MATCH(COLUMNS($AO$1006:BL1006),$AO$1006:$BQ$1006,0))&gt;=100000), " ",IF(INDEX($AO$2:$BQ$1001,MATCH(ROWS($AH$2:AH428),$AH$2:$AH$1001,0),MATCH(COLUMNS($AO$1006:BL1006),$AO$1006:$BQ$1006,0)), HYPERLINK("#",""), HYPERLINK(CONCATENATE("#Metadata!", ADDRESS(INDEX($AJ$2:$AJ$1001,MATCH(ROWS($AH$2:AH428),$AH$2:$AH$1001,0),0), INDEX($AO$1004:$BQ$1004,1,MATCH(COLUMNS($AO$1006:BL1006),$AO$1006:$BQ$1006,0)))),"Fix")))</f>
        <v>#N/A</v>
      </c>
      <c r="Z428" s="5" t="e">
        <f ca="1">IF(OR(INDEX($AI$2:$AI$1001,MATCH(ROWS($AH$2:AH428),$AH$2:$AH$1001,0),1)&gt;=100000,INDEX($AO$1005:$BQ$1005,1,MATCH(COLUMNS($AO$1006:BM1006),$AO$1006:$BQ$1006,0))&gt;=100000), " ",IF(INDEX($AO$2:$BQ$1001,MATCH(ROWS($AH$2:AH428),$AH$2:$AH$1001,0),MATCH(COLUMNS($AO$1006:BM1006),$AO$1006:$BQ$1006,0)), HYPERLINK("#",""), HYPERLINK(CONCATENATE("#Metadata!", ADDRESS(INDEX($AJ$2:$AJ$1001,MATCH(ROWS($AH$2:AH428),$AH$2:$AH$1001,0),0), INDEX($AO$1004:$BQ$1004,1,MATCH(COLUMNS($AO$1006:BM1006),$AO$1006:$BQ$1006,0)))),"Fix")))</f>
        <v>#N/A</v>
      </c>
      <c r="AA428" s="5" t="e">
        <f ca="1">IF(OR(INDEX($AI$2:$AI$1001,MATCH(ROWS($AH$2:AH428),$AH$2:$AH$1001,0),1)&gt;=100000,INDEX($AO$1005:$BQ$1005,1,MATCH(COLUMNS($AO$1006:BN1006),$AO$1006:$BQ$1006,0))&gt;=100000), " ",IF(INDEX($AO$2:$BQ$1001,MATCH(ROWS($AH$2:AH428),$AH$2:$AH$1001,0),MATCH(COLUMNS($AO$1006:BN1006),$AO$1006:$BQ$1006,0)), HYPERLINK("#",""), HYPERLINK(CONCATENATE("#Metadata!", ADDRESS(INDEX($AJ$2:$AJ$1001,MATCH(ROWS($AH$2:AH428),$AH$2:$AH$1001,0),0), INDEX($AO$1004:$BQ$1004,1,MATCH(COLUMNS($AO$1006:BN1006),$AO$1006:$BQ$1006,0)))),"Fix")))</f>
        <v>#N/A</v>
      </c>
      <c r="AB428" s="5" t="e">
        <f ca="1">IF(OR(INDEX($AI$2:$AI$1001,MATCH(ROWS($AH$2:AH428),$AH$2:$AH$1001,0),1)&gt;=100000,INDEX($AO$1005:$BQ$1005,1,MATCH(COLUMNS($AO$1006:BO1006),$AO$1006:$BQ$1006,0))&gt;=100000), " ",IF(INDEX($AO$2:$BQ$1001,MATCH(ROWS($AH$2:AH428),$AH$2:$AH$1001,0),MATCH(COLUMNS($AO$1006:BO1006),$AO$1006:$BQ$1006,0)), HYPERLINK("#",""), HYPERLINK(CONCATENATE("#Metadata!", ADDRESS(INDEX($AJ$2:$AJ$1001,MATCH(ROWS($AH$2:AH428),$AH$2:$AH$1001,0),0), INDEX($AO$1004:$BQ$1004,1,MATCH(COLUMNS($AO$1006:BO1006),$AO$1006:$BQ$1006,0)))),"Fix")))</f>
        <v>#N/A</v>
      </c>
      <c r="AC428" s="5" t="e">
        <f ca="1">IF(OR(INDEX($AI$2:$AI$1001,MATCH(ROWS($AH$2:AH428),$AH$2:$AH$1001,0),1)&gt;=100000,INDEX($AO$1005:$BQ$1005,1,MATCH(COLUMNS($AO$1006:BP1006),$AO$1006:$BQ$1006,0))&gt;=100000), " ",IF(INDEX($AO$2:$BQ$1001,MATCH(ROWS($AH$2:AH428),$AH$2:$AH$1001,0),MATCH(COLUMNS($AO$1006:BP1006),$AO$1006:$BQ$1006,0)), HYPERLINK("#",""), HYPERLINK(CONCATENATE("#Metadata!", ADDRESS(INDEX($AJ$2:$AJ$1001,MATCH(ROWS($AH$2:AH428),$AH$2:$AH$1001,0),0), INDEX($AO$1004:$BQ$1004,1,MATCH(COLUMNS($AO$1006:BP1006),$AO$1006:$BQ$1006,0)))),"Fix")))</f>
        <v>#N/A</v>
      </c>
      <c r="AD428" s="5" t="e">
        <f ca="1">IF(OR(INDEX($AI$2:$AI$1001,MATCH(ROWS($AH$2:AH428),$AH$2:$AH$1001,0),1)&gt;=100000,INDEX($AO$1005:$BQ$1005,1,MATCH(COLUMNS($AO$1006:BQ1006),$AO$1006:$BQ$1006,0))&gt;=100000), " ",IF(INDEX($AO$2:$BQ$1001,MATCH(ROWS($AH$2:AH428),$AH$2:$AH$1001,0),MATCH(COLUMNS($AO$1006:BQ1006),$AO$1006:$BQ$1006,0)), HYPERLINK("#",""), HYPERLINK(CONCATENATE("#Metadata!", ADDRESS(INDEX($AJ$2:$AJ$1001,MATCH(ROWS($AH$2:AH428),$AH$2:$AH$1001,0),0), INDEX($AO$1004:$BQ$1004,1,MATCH(COLUMNS($AO$1006:BQ1006),$AO$1006:$BQ$1006,0)))),"Fix")))</f>
        <v>#REF!</v>
      </c>
      <c r="AH428">
        <f ca="1"/>
        <v>425</v>
      </c>
      <c r="AI428">
        <v>100428</v>
      </c>
      <c r="AJ428">
        <v>428</v>
      </c>
      <c r="AK428" t="b">
        <f t="shared" si="6"/>
        <v>1</v>
      </c>
      <c r="AL428" t="b">
        <f>COUNTBLANK(Metadata!B428:AD428)=COLUMNS(Metadata!B428:AD428)</f>
        <v>1</v>
      </c>
      <c r="AM428" t="str">
        <v/>
      </c>
      <c r="AO428" t="b">
        <f ca="1">AND(IF(Metadata!B428="",FALSE,TRUE),COUNTIF(Metadata!B:B, Metadata!B428) = 1,NOT(ISERROR(SUMPRODUCT(SEARCH(MID(Metadata!B428,ROW(INDIRECT("1:"&amp;LEN(Metadata!B428))), 1),"0123456789abcdefghijklmnopqrstuvwxyzABCDEFGHIJKLMNOPQRSTUVWXYZ.")))))</f>
        <v>0</v>
      </c>
      <c r="AP428" t="b">
        <f>IF(Metadata!C428="",FALSE,TRUE)</f>
        <v>0</v>
      </c>
      <c r="AQ428" t="b">
        <f>IF(Metadata!D428="",FALSE,TRUE)</f>
        <v>0</v>
      </c>
      <c r="AR428" t="b">
        <f ca="1">OR(AND(IF(Metadata!E428="",FALSE,TRUE),OR(EXACT(Metadata!E428,"not collected"),EXACT(Metadata!E428,"not provided"),EXACT(Metadata!E428,"restricted access"))),AND(IF(Metadata!E428="",FALSE,TRUE),AND(AND(IFERROR(INT(LEFT(Metadata!E428,4))&gt;1900,FALSE),IFERROR(INT(LEFT(Metadata!E428,4))&lt;=YEAR(NOW()),FALSE)), OR(MID(Metadata!E428,5,1)="", AND(AND(MID(Metadata!E428,5,1)="-",IFERROR(INT(MID(Metadata!E428,6,1))&gt;=0,FALSE),IFERROR(INT(MID(Metadata!E428,6,1))&lt;=1,FALSE),NOT(MID(Metadata!E428,7,1)=""),IFERROR(INT(MID(Metadata!E428,6,2))&gt;=1,FALSE),IFERROR(INT(MID(Metadata!E428,6,2))&lt;=12,FALSE)), OR(MID(Metadata!E428,8,1)="", AND(AND(MID(Metadata!E428,8,1)="-",IFERROR(INT(MID(Metadata!E428,9,1))&gt;=0,FALSE),IFERROR(INT(MID(Metadata!E428,9,1))&lt;=3,FALSE),NOT(MID(Metadata!E428,10,1)=""),IFERROR(INT(MID(Metadata!E428,9,2))&gt;=1,FALSE),IFERROR(INT(MID(Metadata!E428,9,2))&lt;=31,FALSE)), OR(MID(Metadata!E428,11,1)="", AND(AND(MID(Metadata!E428,11,1)=" ",IFERROR(INT(MID(Metadata!E428,12,1))&gt;=0,FALSE),IFERROR(INT(MID(Metadata!E428,12,1))&lt;=2,FALSE),NOT(MID(Metadata!E428,13,1)=""),IFERROR(INT(MID(Metadata!E428,12,2))&gt;=0,FALSE),IFERROR(INT(MID(Metadata!E428,12,2))&lt;=23,FALSE)), OR(MID(Metadata!E428,14,1)="", AND(AND(MID(Metadata!E428,14,1)=":",IFERROR(INT(MID(Metadata!E428,15,1))&gt;=0,FALSE),IFERROR(INT(MID(Metadata!E428,15,1))&lt;=5,FALSE),NOT(MID(Metadata!E428,16,1)=""),IFERROR(INT(MID(Metadata!E428,15,2))&gt;=0,FALSE),IFERROR(INT(MID(Metadata!E428,15,2))&lt;=59,FALSE)), OR(MID(Metadata!E428,17,1)="", AND(AND(MID(Metadata!E428,17,1)=":",IFERROR(INT(MID(Metadata!E428,18,1))&gt;=0,FALSE),IFERROR(INT(MID(Metadata!E428,18,1))&lt;=5,FALSE),NOT(MID(Metadata!E428,19,1)=""),IFERROR(INT(MID(Metadata!E428,18,2))&gt;=0,FALSE),IFERROR(INT(MID(Metadata!E428,18,2))&lt;=59,FALSE)), LEN(Metadata!E428)&lt;=19)))))))))))))</f>
        <v>0</v>
      </c>
      <c r="AS428" t="b">
        <f>IF(Metadata!F428="",FALSE,TRUE)</f>
        <v>0</v>
      </c>
      <c r="AT428" t="b">
        <f>OR(AND(IF(Metadata!G428="",FALSE,TRUE),OR(EXACT(Metadata!G428,"not collected"),EXACT(Metadata!G428,"not provided"))),AND(IF(Metadata!G428="",FALSE,TRUE),OR(EXACT(Metadata!G428,"TRUE"),EXACT(Metadata!G428,"FALSE"))))</f>
        <v>0</v>
      </c>
      <c r="AU428" t="b">
        <f>OR(AND(IF(Metadata!H428="",FALSE,TRUE),OR(EXACT(Metadata!H428,"not collected"),EXACT(Metadata!H428,"not provided"),EXACT(Metadata!H428,"restricted access"))),AND(IF(Metadata!H428="",FALSE,ISNUMBER(VALUE(Metadata!H428))),Metadata!H428&gt;=-413))</f>
        <v>0</v>
      </c>
      <c r="AV428" t="b">
        <f>AND(IF(Metadata!I428="",FALSE,TRUE),EXACT(Metadata!I428,"meters"))</f>
        <v>0</v>
      </c>
      <c r="AW428" t="b">
        <f>AND(IF(Metadata!J428="",FALSE,TRUE),EXACT(Metadata!J428,"free-living"))</f>
        <v>0</v>
      </c>
      <c r="AX428" t="b">
        <f>AND(IF(Metadata!K428="",FALSE,TRUE),OR(EXACT(Metadata!K428,"saline"),EXACT(Metadata!K428,"non-saline")))</f>
        <v>0</v>
      </c>
      <c r="AY428" t="b">
        <f>AND(IF(Metadata!L428="",FALSE,TRUE),OR(EXACT(Metadata!L428,"sub-surface (non-saline)"),EXACT(Metadata!L428,"surface (non-saline)"),EXACT(Metadata!L428,"water (non-saline)"),EXACT(Metadata!L428,"soil (non-saline)"),EXACT(Metadata!L428,"aerosol (non-saline)"),EXACT(Metadata!L428,"sediment (non-saline)"),EXACT(Metadata!L428,"surface (saline)"),EXACT(Metadata!L428,"water (saline)"),EXACT(Metadata!L428,"hypersaline (saline)"),EXACT(Metadata!L428,"aerosol (saline)"),EXACT(Metadata!L428,"sediment (saline)")))</f>
        <v>0</v>
      </c>
      <c r="AZ428" t="b">
        <f>IF(Metadata!M428="",FALSE,TRUE)</f>
        <v>0</v>
      </c>
      <c r="BA428" t="b">
        <f>IF(Metadata!N428="",FALSE,TRUE)</f>
        <v>0</v>
      </c>
      <c r="BB428" t="b">
        <f>IF(Metadata!O428="",FALSE,TRUE)</f>
        <v>0</v>
      </c>
      <c r="BC428" t="b">
        <f>AND(IF(Metadata!P428="",FALSE,TRUE),OR(EXACT(Metadata!P428,"air"),EXACT(Metadata!P428,"microbial mat/biofilm"),EXACT(Metadata!P428,"misc environment"),EXACT(Metadata!P428,"sediment"),EXACT(Metadata!P428,"soil"),EXACT(Metadata!P428,"wastewater/sludge"),EXACT(Metadata!P428,"water")))</f>
        <v>0</v>
      </c>
      <c r="BD428" t="b">
        <f>IF(Metadata!Q428="",FALSE,TRUE)</f>
        <v>0</v>
      </c>
      <c r="BE428" t="b">
        <f>IF(Metadata!R428="",FALSE,TRUE)</f>
        <v>0</v>
      </c>
      <c r="BF428" t="b">
        <f>OR(AND(IF(Metadata!S428="",FALSE,TRUE),OR(EXACT(Metadata!S428,"not collected"),EXACT(Metadata!S428,"not provided"),EXACT(Metadata!S428,"restricted access"))),AND(IF(Metadata!S428="",FALSE,ISNUMBER(VALUE(Metadata!S428))),Metadata!S428&gt;=-90,Metadata!S428&lt;=90))</f>
        <v>0</v>
      </c>
      <c r="BG428" t="b">
        <f>AND(IF(Metadata!T428="",FALSE,TRUE),EXACT(Metadata!T428,"Decimal degrees"))</f>
        <v>0</v>
      </c>
      <c r="BH428" t="b">
        <f>OR(AND(IF(Metadata!U428="",FALSE,TRUE),OR(EXACT(Metadata!U428,"not applicable"),EXACT(Metadata!U428,"not collected"))),IF(Metadata!U428="",FALSE,TRUE))</f>
        <v>0</v>
      </c>
      <c r="BI428" t="b">
        <f>OR(AND(IF(Metadata!V428="",FALSE,TRUE),OR(EXACT(Metadata!V428,"not collected"),EXACT(Metadata!V428,"not provided"),EXACT(Metadata!V428,"restricted access"))),AND(IF(Metadata!V428="",FALSE,ISNUMBER(VALUE(Metadata!V428))),Metadata!V428&gt;=-180,Metadata!V428&lt;=180))</f>
        <v>0</v>
      </c>
      <c r="BJ428" t="b">
        <f>AND(IF(Metadata!W428="",FALSE,TRUE),EXACT(Metadata!W428,"Decimal degrees"))</f>
        <v>0</v>
      </c>
      <c r="BK428" t="b">
        <f>IF(Metadata!X428="",FALSE,TRUE)</f>
        <v>0</v>
      </c>
      <c r="BL428" t="b">
        <f>OR(AND(IF(Metadata!Y428="",FALSE,TRUE),OR(EXACT(Metadata!Y428,"not collected"),EXACT(Metadata!Y428,"not provided"),EXACT(Metadata!Y428,"restricted access"))),AND(IF(Metadata!Y428="",FALSE,TRUE),OR(EXACT(Metadata!Y428,"TRUE"),EXACT(Metadata!Y428,"FALSE"))))</f>
        <v>0</v>
      </c>
      <c r="BM428" t="b">
        <f>OR(AND(IF(Metadata!Z428="",FALSE,TRUE),EXACT(Metadata!Z428,"not applicable")),AND(IF(Metadata!Z428="",FALSE,TRUE),OR(EXACT(Metadata!Z428,"beer"),EXACT(Metadata!Z428,"cheese"),EXACT(Metadata!Z428,"fresh water"),EXACT(Metadata!Z428,"marine sediment"),EXACT(Metadata!Z428,"sea water"),EXACT(Metadata!Z428,"sediment"),EXACT(Metadata!Z428,"soil"),EXACT(Metadata!Z428,"waste water"))))</f>
        <v>0</v>
      </c>
      <c r="BN428" t="b">
        <f>AND(IF(Metadata!AA428="",FALSE,TRUE),EXACT(Metadata!AA428,"metagenome"))</f>
        <v>0</v>
      </c>
      <c r="BO428" t="b">
        <f>AND(IF(Metadata!AB428="",FALSE,TRUE),EXACT(Metadata!AB428,"256318"))</f>
        <v>0</v>
      </c>
      <c r="BP428" t="b">
        <f>IF(Metadata!AC428="",FALSE,TRUE)</f>
        <v>0</v>
      </c>
      <c r="BQ428" t="b">
        <f>IF(Metadata!AD428="",FALSE,TRUE)</f>
        <v>0</v>
      </c>
    </row>
    <row r="429" spans="1:69" x14ac:dyDescent="0.2">
      <c r="A429" s="4" t="e">
        <f ca="1">IF(B429=" "," ",HYPERLINK(CONCATENATE("#metadata!",ADDRESS(INDEX($AJ$2:$AJ$1001,MATCH(ROWS($AH$2:AH429),$AH$2:$AH$1001,0),0),2)),INDEX($AM$2:$AM$1001,MATCH(ROWS($AH$2:AH429),$AH$2:$AH$1001,0),0)))</f>
        <v>#N/A</v>
      </c>
      <c r="B429" s="5" t="e">
        <f ca="1">IF(OR(INDEX($AI$2:$AI$1001,MATCH(ROWS($AH$2:AH429),$AH$2:$AH$1001,0),1)&gt;=100000,INDEX($AO$1005:$BQ$1005,1,MATCH(COLUMNS($AO$1006:AO1006),$AO$1006:$BQ$1006,0))&gt;=100000), " ",IF(INDEX($AO$2:$BQ$1001,MATCH(ROWS($AH$2:AH429),$AH$2:$AH$1001,0),MATCH(COLUMNS($AO$1006:AO1006),$AO$1006:$BQ$1006,0)), HYPERLINK("#",""), HYPERLINK(CONCATENATE("#Metadata!", ADDRESS(INDEX($AJ$2:$AJ$1001,MATCH(ROWS($AH$2:AH429),$AH$2:$AH$1001,0),0), INDEX($AO$1004:$BQ$1004,1,MATCH(COLUMNS($AO$1006:AO1006),$AO$1006:$BQ$1006,0)))),"Fix")))</f>
        <v>#N/A</v>
      </c>
      <c r="C429" s="5" t="e">
        <f ca="1">IF(OR(INDEX($AI$2:$AI$1001,MATCH(ROWS($AH$2:AH429),$AH$2:$AH$1001,0),1)&gt;=100000,INDEX($AO$1005:$BQ$1005,1,MATCH(COLUMNS($AO$1006:AP1006),$AO$1006:$BQ$1006,0))&gt;=100000), " ",IF(INDEX($AO$2:$BQ$1001,MATCH(ROWS($AH$2:AH429),$AH$2:$AH$1001,0),MATCH(COLUMNS($AO$1006:AP1006),$AO$1006:$BQ$1006,0)), HYPERLINK("#",""), HYPERLINK(CONCATENATE("#Metadata!", ADDRESS(INDEX($AJ$2:$AJ$1001,MATCH(ROWS($AH$2:AH429),$AH$2:$AH$1001,0),0), INDEX($AO$1004:$BQ$1004,1,MATCH(COLUMNS($AO$1006:AP1006),$AO$1006:$BQ$1006,0)))),"Fix")))</f>
        <v>#N/A</v>
      </c>
      <c r="D429" s="5" t="e">
        <f ca="1">IF(OR(INDEX($AI$2:$AI$1001,MATCH(ROWS($AH$2:AH429),$AH$2:$AH$1001,0),1)&gt;=100000,INDEX($AO$1005:$BQ$1005,1,MATCH(COLUMNS($AO$1006:AQ1006),$AO$1006:$BQ$1006,0))&gt;=100000), " ",IF(INDEX($AO$2:$BQ$1001,MATCH(ROWS($AH$2:AH429),$AH$2:$AH$1001,0),MATCH(COLUMNS($AO$1006:AQ1006),$AO$1006:$BQ$1006,0)), HYPERLINK("#",""), HYPERLINK(CONCATENATE("#Metadata!", ADDRESS(INDEX($AJ$2:$AJ$1001,MATCH(ROWS($AH$2:AH429),$AH$2:$AH$1001,0),0), INDEX($AO$1004:$BQ$1004,1,MATCH(COLUMNS($AO$1006:AQ1006),$AO$1006:$BQ$1006,0)))),"Fix")))</f>
        <v>#N/A</v>
      </c>
      <c r="E429" s="5" t="e">
        <f ca="1">IF(OR(INDEX($AI$2:$AI$1001,MATCH(ROWS($AH$2:AH429),$AH$2:$AH$1001,0),1)&gt;=100000,INDEX($AO$1005:$BQ$1005,1,MATCH(COLUMNS($AO$1006:AR1006),$AO$1006:$BQ$1006,0))&gt;=100000), " ",IF(INDEX($AO$2:$BQ$1001,MATCH(ROWS($AH$2:AH429),$AH$2:$AH$1001,0),MATCH(COLUMNS($AO$1006:AR1006),$AO$1006:$BQ$1006,0)), HYPERLINK("#",""), HYPERLINK(CONCATENATE("#Metadata!", ADDRESS(INDEX($AJ$2:$AJ$1001,MATCH(ROWS($AH$2:AH429),$AH$2:$AH$1001,0),0), INDEX($AO$1004:$BQ$1004,1,MATCH(COLUMNS($AO$1006:AR1006),$AO$1006:$BQ$1006,0)))),"Fix")))</f>
        <v>#N/A</v>
      </c>
      <c r="F429" s="5" t="e">
        <f ca="1">IF(OR(INDEX($AI$2:$AI$1001,MATCH(ROWS($AH$2:AH429),$AH$2:$AH$1001,0),1)&gt;=100000,INDEX($AO$1005:$BQ$1005,1,MATCH(COLUMNS($AO$1006:AS1006),$AO$1006:$BQ$1006,0))&gt;=100000), " ",IF(INDEX($AO$2:$BQ$1001,MATCH(ROWS($AH$2:AH429),$AH$2:$AH$1001,0),MATCH(COLUMNS($AO$1006:AS1006),$AO$1006:$BQ$1006,0)), HYPERLINK("#",""), HYPERLINK(CONCATENATE("#Metadata!", ADDRESS(INDEX($AJ$2:$AJ$1001,MATCH(ROWS($AH$2:AH429),$AH$2:$AH$1001,0),0), INDEX($AO$1004:$BQ$1004,1,MATCH(COLUMNS($AO$1006:AS1006),$AO$1006:$BQ$1006,0)))),"Fix")))</f>
        <v>#N/A</v>
      </c>
      <c r="G429" s="5" t="e">
        <f ca="1">IF(OR(INDEX($AI$2:$AI$1001,MATCH(ROWS($AH$2:AH429),$AH$2:$AH$1001,0),1)&gt;=100000,INDEX($AO$1005:$BQ$1005,1,MATCH(COLUMNS($AO$1006:AT1006),$AO$1006:$BQ$1006,0))&gt;=100000), " ",IF(INDEX($AO$2:$BQ$1001,MATCH(ROWS($AH$2:AH429),$AH$2:$AH$1001,0),MATCH(COLUMNS($AO$1006:AT1006),$AO$1006:$BQ$1006,0)), HYPERLINK("#",""), HYPERLINK(CONCATENATE("#Metadata!", ADDRESS(INDEX($AJ$2:$AJ$1001,MATCH(ROWS($AH$2:AH429),$AH$2:$AH$1001,0),0), INDEX($AO$1004:$BQ$1004,1,MATCH(COLUMNS($AO$1006:AT1006),$AO$1006:$BQ$1006,0)))),"Fix")))</f>
        <v>#N/A</v>
      </c>
      <c r="H429" s="5" t="e">
        <f ca="1">IF(OR(INDEX($AI$2:$AI$1001,MATCH(ROWS($AH$2:AH429),$AH$2:$AH$1001,0),1)&gt;=100000,INDEX($AO$1005:$BQ$1005,1,MATCH(COLUMNS($AO$1006:AU1006),$AO$1006:$BQ$1006,0))&gt;=100000), " ",IF(INDEX($AO$2:$BQ$1001,MATCH(ROWS($AH$2:AH429),$AH$2:$AH$1001,0),MATCH(COLUMNS($AO$1006:AU1006),$AO$1006:$BQ$1006,0)), HYPERLINK("#",""), HYPERLINK(CONCATENATE("#Metadata!", ADDRESS(INDEX($AJ$2:$AJ$1001,MATCH(ROWS($AH$2:AH429),$AH$2:$AH$1001,0),0), INDEX($AO$1004:$BQ$1004,1,MATCH(COLUMNS($AO$1006:AU1006),$AO$1006:$BQ$1006,0)))),"Fix")))</f>
        <v>#N/A</v>
      </c>
      <c r="I429" s="5" t="e">
        <f ca="1">IF(OR(INDEX($AI$2:$AI$1001,MATCH(ROWS($AH$2:AH429),$AH$2:$AH$1001,0),1)&gt;=100000,INDEX($AO$1005:$BQ$1005,1,MATCH(COLUMNS($AO$1006:AV1006),$AO$1006:$BQ$1006,0))&gt;=100000), " ",IF(INDEX($AO$2:$BQ$1001,MATCH(ROWS($AH$2:AH429),$AH$2:$AH$1001,0),MATCH(COLUMNS($AO$1006:AV1006),$AO$1006:$BQ$1006,0)), HYPERLINK("#",""), HYPERLINK(CONCATENATE("#Metadata!", ADDRESS(INDEX($AJ$2:$AJ$1001,MATCH(ROWS($AH$2:AH429),$AH$2:$AH$1001,0),0), INDEX($AO$1004:$BQ$1004,1,MATCH(COLUMNS($AO$1006:AV1006),$AO$1006:$BQ$1006,0)))),"Fix")))</f>
        <v>#N/A</v>
      </c>
      <c r="J429" s="5" t="e">
        <f ca="1">IF(OR(INDEX($AI$2:$AI$1001,MATCH(ROWS($AH$2:AH429),$AH$2:$AH$1001,0),1)&gt;=100000,INDEX($AO$1005:$BQ$1005,1,MATCH(COLUMNS($AO$1006:AW1006),$AO$1006:$BQ$1006,0))&gt;=100000), " ",IF(INDEX($AO$2:$BQ$1001,MATCH(ROWS($AH$2:AH429),$AH$2:$AH$1001,0),MATCH(COLUMNS($AO$1006:AW1006),$AO$1006:$BQ$1006,0)), HYPERLINK("#",""), HYPERLINK(CONCATENATE("#Metadata!", ADDRESS(INDEX($AJ$2:$AJ$1001,MATCH(ROWS($AH$2:AH429),$AH$2:$AH$1001,0),0), INDEX($AO$1004:$BQ$1004,1,MATCH(COLUMNS($AO$1006:AW1006),$AO$1006:$BQ$1006,0)))),"Fix")))</f>
        <v>#N/A</v>
      </c>
      <c r="K429" s="5" t="e">
        <f ca="1">IF(OR(INDEX($AI$2:$AI$1001,MATCH(ROWS($AH$2:AH429),$AH$2:$AH$1001,0),1)&gt;=100000,INDEX($AO$1005:$BQ$1005,1,MATCH(COLUMNS($AO$1006:AX1006),$AO$1006:$BQ$1006,0))&gt;=100000), " ",IF(INDEX($AO$2:$BQ$1001,MATCH(ROWS($AH$2:AH429),$AH$2:$AH$1001,0),MATCH(COLUMNS($AO$1006:AX1006),$AO$1006:$BQ$1006,0)), HYPERLINK("#",""), HYPERLINK(CONCATENATE("#Metadata!", ADDRESS(INDEX($AJ$2:$AJ$1001,MATCH(ROWS($AH$2:AH429),$AH$2:$AH$1001,0),0), INDEX($AO$1004:$BQ$1004,1,MATCH(COLUMNS($AO$1006:AX1006),$AO$1006:$BQ$1006,0)))),"Fix")))</f>
        <v>#N/A</v>
      </c>
      <c r="L429" s="5" t="e">
        <f ca="1">IF(OR(INDEX($AI$2:$AI$1001,MATCH(ROWS($AH$2:AH429),$AH$2:$AH$1001,0),1)&gt;=100000,INDEX($AO$1005:$BQ$1005,1,MATCH(COLUMNS($AO$1006:AY1006),$AO$1006:$BQ$1006,0))&gt;=100000), " ",IF(INDEX($AO$2:$BQ$1001,MATCH(ROWS($AH$2:AH429),$AH$2:$AH$1001,0),MATCH(COLUMNS($AO$1006:AY1006),$AO$1006:$BQ$1006,0)), HYPERLINK("#",""), HYPERLINK(CONCATENATE("#Metadata!", ADDRESS(INDEX($AJ$2:$AJ$1001,MATCH(ROWS($AH$2:AH429),$AH$2:$AH$1001,0),0), INDEX($AO$1004:$BQ$1004,1,MATCH(COLUMNS($AO$1006:AY1006),$AO$1006:$BQ$1006,0)))),"Fix")))</f>
        <v>#N/A</v>
      </c>
      <c r="M429" s="5" t="e">
        <f ca="1">IF(OR(INDEX($AI$2:$AI$1001,MATCH(ROWS($AH$2:AH429),$AH$2:$AH$1001,0),1)&gt;=100000,INDEX($AO$1005:$BQ$1005,1,MATCH(COLUMNS($AO$1006:AZ1006),$AO$1006:$BQ$1006,0))&gt;=100000), " ",IF(INDEX($AO$2:$BQ$1001,MATCH(ROWS($AH$2:AH429),$AH$2:$AH$1001,0),MATCH(COLUMNS($AO$1006:AZ1006),$AO$1006:$BQ$1006,0)), HYPERLINK("#",""), HYPERLINK(CONCATENATE("#Metadata!", ADDRESS(INDEX($AJ$2:$AJ$1001,MATCH(ROWS($AH$2:AH429),$AH$2:$AH$1001,0),0), INDEX($AO$1004:$BQ$1004,1,MATCH(COLUMNS($AO$1006:AZ1006),$AO$1006:$BQ$1006,0)))),"Fix")))</f>
        <v>#N/A</v>
      </c>
      <c r="N429" s="5" t="e">
        <f ca="1">IF(OR(INDEX($AI$2:$AI$1001,MATCH(ROWS($AH$2:AH429),$AH$2:$AH$1001,0),1)&gt;=100000,INDEX($AO$1005:$BQ$1005,1,MATCH(COLUMNS($AO$1006:BA1006),$AO$1006:$BQ$1006,0))&gt;=100000), " ",IF(INDEX($AO$2:$BQ$1001,MATCH(ROWS($AH$2:AH429),$AH$2:$AH$1001,0),MATCH(COLUMNS($AO$1006:BA1006),$AO$1006:$BQ$1006,0)), HYPERLINK("#",""), HYPERLINK(CONCATENATE("#Metadata!", ADDRESS(INDEX($AJ$2:$AJ$1001,MATCH(ROWS($AH$2:AH429),$AH$2:$AH$1001,0),0), INDEX($AO$1004:$BQ$1004,1,MATCH(COLUMNS($AO$1006:BA1006),$AO$1006:$BQ$1006,0)))),"Fix")))</f>
        <v>#N/A</v>
      </c>
      <c r="O429" s="5" t="e">
        <f ca="1">IF(OR(INDEX($AI$2:$AI$1001,MATCH(ROWS($AH$2:AH429),$AH$2:$AH$1001,0),1)&gt;=100000,INDEX($AO$1005:$BQ$1005,1,MATCH(COLUMNS($AO$1006:BB1006),$AO$1006:$BQ$1006,0))&gt;=100000), " ",IF(INDEX($AO$2:$BQ$1001,MATCH(ROWS($AH$2:AH429),$AH$2:$AH$1001,0),MATCH(COLUMNS($AO$1006:BB1006),$AO$1006:$BQ$1006,0)), HYPERLINK("#",""), HYPERLINK(CONCATENATE("#Metadata!", ADDRESS(INDEX($AJ$2:$AJ$1001,MATCH(ROWS($AH$2:AH429),$AH$2:$AH$1001,0),0), INDEX($AO$1004:$BQ$1004,1,MATCH(COLUMNS($AO$1006:BB1006),$AO$1006:$BQ$1006,0)))),"Fix")))</f>
        <v>#N/A</v>
      </c>
      <c r="P429" s="5" t="e">
        <f ca="1">IF(OR(INDEX($AI$2:$AI$1001,MATCH(ROWS($AH$2:AH429),$AH$2:$AH$1001,0),1)&gt;=100000,INDEX($AO$1005:$BQ$1005,1,MATCH(COLUMNS($AO$1006:BC1006),$AO$1006:$BQ$1006,0))&gt;=100000), " ",IF(INDEX($AO$2:$BQ$1001,MATCH(ROWS($AH$2:AH429),$AH$2:$AH$1001,0),MATCH(COLUMNS($AO$1006:BC1006),$AO$1006:$BQ$1006,0)), HYPERLINK("#",""), HYPERLINK(CONCATENATE("#Metadata!", ADDRESS(INDEX($AJ$2:$AJ$1001,MATCH(ROWS($AH$2:AH429),$AH$2:$AH$1001,0),0), INDEX($AO$1004:$BQ$1004,1,MATCH(COLUMNS($AO$1006:BC1006),$AO$1006:$BQ$1006,0)))),"Fix")))</f>
        <v>#N/A</v>
      </c>
      <c r="Q429" s="5" t="e">
        <f ca="1">IF(OR(INDEX($AI$2:$AI$1001,MATCH(ROWS($AH$2:AH429),$AH$2:$AH$1001,0),1)&gt;=100000,INDEX($AO$1005:$BQ$1005,1,MATCH(COLUMNS($AO$1006:BD1006),$AO$1006:$BQ$1006,0))&gt;=100000), " ",IF(INDEX($AO$2:$BQ$1001,MATCH(ROWS($AH$2:AH429),$AH$2:$AH$1001,0),MATCH(COLUMNS($AO$1006:BD1006),$AO$1006:$BQ$1006,0)), HYPERLINK("#",""), HYPERLINK(CONCATENATE("#Metadata!", ADDRESS(INDEX($AJ$2:$AJ$1001,MATCH(ROWS($AH$2:AH429),$AH$2:$AH$1001,0),0), INDEX($AO$1004:$BQ$1004,1,MATCH(COLUMNS($AO$1006:BD1006),$AO$1006:$BQ$1006,0)))),"Fix")))</f>
        <v>#N/A</v>
      </c>
      <c r="R429" s="5" t="e">
        <f ca="1">IF(OR(INDEX($AI$2:$AI$1001,MATCH(ROWS($AH$2:AH429),$AH$2:$AH$1001,0),1)&gt;=100000,INDEX($AO$1005:$BQ$1005,1,MATCH(COLUMNS($AO$1006:BE1006),$AO$1006:$BQ$1006,0))&gt;=100000), " ",IF(INDEX($AO$2:$BQ$1001,MATCH(ROWS($AH$2:AH429),$AH$2:$AH$1001,0),MATCH(COLUMNS($AO$1006:BE1006),$AO$1006:$BQ$1006,0)), HYPERLINK("#",""), HYPERLINK(CONCATENATE("#Metadata!", ADDRESS(INDEX($AJ$2:$AJ$1001,MATCH(ROWS($AH$2:AH429),$AH$2:$AH$1001,0),0), INDEX($AO$1004:$BQ$1004,1,MATCH(COLUMNS($AO$1006:BE1006),$AO$1006:$BQ$1006,0)))),"Fix")))</f>
        <v>#N/A</v>
      </c>
      <c r="S429" s="5" t="e">
        <f ca="1">IF(OR(INDEX($AI$2:$AI$1001,MATCH(ROWS($AH$2:AH429),$AH$2:$AH$1001,0),1)&gt;=100000,INDEX($AO$1005:$BQ$1005,1,MATCH(COLUMNS($AO$1006:BF1006),$AO$1006:$BQ$1006,0))&gt;=100000), " ",IF(INDEX($AO$2:$BQ$1001,MATCH(ROWS($AH$2:AH429),$AH$2:$AH$1001,0),MATCH(COLUMNS($AO$1006:BF1006),$AO$1006:$BQ$1006,0)), HYPERLINK("#",""), HYPERLINK(CONCATENATE("#Metadata!", ADDRESS(INDEX($AJ$2:$AJ$1001,MATCH(ROWS($AH$2:AH429),$AH$2:$AH$1001,0),0), INDEX($AO$1004:$BQ$1004,1,MATCH(COLUMNS($AO$1006:BF1006),$AO$1006:$BQ$1006,0)))),"Fix")))</f>
        <v>#N/A</v>
      </c>
      <c r="T429" s="5" t="e">
        <f ca="1">IF(OR(INDEX($AI$2:$AI$1001,MATCH(ROWS($AH$2:AH429),$AH$2:$AH$1001,0),1)&gt;=100000,INDEX($AO$1005:$BQ$1005,1,MATCH(COLUMNS($AO$1006:BG1006),$AO$1006:$BQ$1006,0))&gt;=100000), " ",IF(INDEX($AO$2:$BQ$1001,MATCH(ROWS($AH$2:AH429),$AH$2:$AH$1001,0),MATCH(COLUMNS($AO$1006:BG1006),$AO$1006:$BQ$1006,0)), HYPERLINK("#",""), HYPERLINK(CONCATENATE("#Metadata!", ADDRESS(INDEX($AJ$2:$AJ$1001,MATCH(ROWS($AH$2:AH429),$AH$2:$AH$1001,0),0), INDEX($AO$1004:$BQ$1004,1,MATCH(COLUMNS($AO$1006:BG1006),$AO$1006:$BQ$1006,0)))),"Fix")))</f>
        <v>#N/A</v>
      </c>
      <c r="U429" s="5" t="e">
        <f ca="1">IF(OR(INDEX($AI$2:$AI$1001,MATCH(ROWS($AH$2:AH429),$AH$2:$AH$1001,0),1)&gt;=100000,INDEX($AO$1005:$BQ$1005,1,MATCH(COLUMNS($AO$1006:BH1006),$AO$1006:$BQ$1006,0))&gt;=100000), " ",IF(INDEX($AO$2:$BQ$1001,MATCH(ROWS($AH$2:AH429),$AH$2:$AH$1001,0),MATCH(COLUMNS($AO$1006:BH1006),$AO$1006:$BQ$1006,0)), HYPERLINK("#",""), HYPERLINK(CONCATENATE("#Metadata!", ADDRESS(INDEX($AJ$2:$AJ$1001,MATCH(ROWS($AH$2:AH429),$AH$2:$AH$1001,0),0), INDEX($AO$1004:$BQ$1004,1,MATCH(COLUMNS($AO$1006:BH1006),$AO$1006:$BQ$1006,0)))),"Fix")))</f>
        <v>#N/A</v>
      </c>
      <c r="V429" s="5" t="e">
        <f ca="1">IF(OR(INDEX($AI$2:$AI$1001,MATCH(ROWS($AH$2:AH429),$AH$2:$AH$1001,0),1)&gt;=100000,INDEX($AO$1005:$BQ$1005,1,MATCH(COLUMNS($AO$1006:BI1006),$AO$1006:$BQ$1006,0))&gt;=100000), " ",IF(INDEX($AO$2:$BQ$1001,MATCH(ROWS($AH$2:AH429),$AH$2:$AH$1001,0),MATCH(COLUMNS($AO$1006:BI1006),$AO$1006:$BQ$1006,0)), HYPERLINK("#",""), HYPERLINK(CONCATENATE("#Metadata!", ADDRESS(INDEX($AJ$2:$AJ$1001,MATCH(ROWS($AH$2:AH429),$AH$2:$AH$1001,0),0), INDEX($AO$1004:$BQ$1004,1,MATCH(COLUMNS($AO$1006:BI1006),$AO$1006:$BQ$1006,0)))),"Fix")))</f>
        <v>#N/A</v>
      </c>
      <c r="W429" s="5" t="e">
        <f ca="1">IF(OR(INDEX($AI$2:$AI$1001,MATCH(ROWS($AH$2:AH429),$AH$2:$AH$1001,0),1)&gt;=100000,INDEX($AO$1005:$BQ$1005,1,MATCH(COLUMNS($AO$1006:BJ1006),$AO$1006:$BQ$1006,0))&gt;=100000), " ",IF(INDEX($AO$2:$BQ$1001,MATCH(ROWS($AH$2:AH429),$AH$2:$AH$1001,0),MATCH(COLUMNS($AO$1006:BJ1006),$AO$1006:$BQ$1006,0)), HYPERLINK("#",""), HYPERLINK(CONCATENATE("#Metadata!", ADDRESS(INDEX($AJ$2:$AJ$1001,MATCH(ROWS($AH$2:AH429),$AH$2:$AH$1001,0),0), INDEX($AO$1004:$BQ$1004,1,MATCH(COLUMNS($AO$1006:BJ1006),$AO$1006:$BQ$1006,0)))),"Fix")))</f>
        <v>#N/A</v>
      </c>
      <c r="X429" s="5" t="e">
        <f ca="1">IF(OR(INDEX($AI$2:$AI$1001,MATCH(ROWS($AH$2:AH429),$AH$2:$AH$1001,0),1)&gt;=100000,INDEX($AO$1005:$BQ$1005,1,MATCH(COLUMNS($AO$1006:BK1006),$AO$1006:$BQ$1006,0))&gt;=100000), " ",IF(INDEX($AO$2:$BQ$1001,MATCH(ROWS($AH$2:AH429),$AH$2:$AH$1001,0),MATCH(COLUMNS($AO$1006:BK1006),$AO$1006:$BQ$1006,0)), HYPERLINK("#",""), HYPERLINK(CONCATENATE("#Metadata!", ADDRESS(INDEX($AJ$2:$AJ$1001,MATCH(ROWS($AH$2:AH429),$AH$2:$AH$1001,0),0), INDEX($AO$1004:$BQ$1004,1,MATCH(COLUMNS($AO$1006:BK1006),$AO$1006:$BQ$1006,0)))),"Fix")))</f>
        <v>#N/A</v>
      </c>
      <c r="Y429" s="5" t="e">
        <f ca="1">IF(OR(INDEX($AI$2:$AI$1001,MATCH(ROWS($AH$2:AH429),$AH$2:$AH$1001,0),1)&gt;=100000,INDEX($AO$1005:$BQ$1005,1,MATCH(COLUMNS($AO$1006:BL1006),$AO$1006:$BQ$1006,0))&gt;=100000), " ",IF(INDEX($AO$2:$BQ$1001,MATCH(ROWS($AH$2:AH429),$AH$2:$AH$1001,0),MATCH(COLUMNS($AO$1006:BL1006),$AO$1006:$BQ$1006,0)), HYPERLINK("#",""), HYPERLINK(CONCATENATE("#Metadata!", ADDRESS(INDEX($AJ$2:$AJ$1001,MATCH(ROWS($AH$2:AH429),$AH$2:$AH$1001,0),0), INDEX($AO$1004:$BQ$1004,1,MATCH(COLUMNS($AO$1006:BL1006),$AO$1006:$BQ$1006,0)))),"Fix")))</f>
        <v>#N/A</v>
      </c>
      <c r="Z429" s="5" t="e">
        <f ca="1">IF(OR(INDEX($AI$2:$AI$1001,MATCH(ROWS($AH$2:AH429),$AH$2:$AH$1001,0),1)&gt;=100000,INDEX($AO$1005:$BQ$1005,1,MATCH(COLUMNS($AO$1006:BM1006),$AO$1006:$BQ$1006,0))&gt;=100000), " ",IF(INDEX($AO$2:$BQ$1001,MATCH(ROWS($AH$2:AH429),$AH$2:$AH$1001,0),MATCH(COLUMNS($AO$1006:BM1006),$AO$1006:$BQ$1006,0)), HYPERLINK("#",""), HYPERLINK(CONCATENATE("#Metadata!", ADDRESS(INDEX($AJ$2:$AJ$1001,MATCH(ROWS($AH$2:AH429),$AH$2:$AH$1001,0),0), INDEX($AO$1004:$BQ$1004,1,MATCH(COLUMNS($AO$1006:BM1006),$AO$1006:$BQ$1006,0)))),"Fix")))</f>
        <v>#N/A</v>
      </c>
      <c r="AA429" s="5" t="e">
        <f ca="1">IF(OR(INDEX($AI$2:$AI$1001,MATCH(ROWS($AH$2:AH429),$AH$2:$AH$1001,0),1)&gt;=100000,INDEX($AO$1005:$BQ$1005,1,MATCH(COLUMNS($AO$1006:BN1006),$AO$1006:$BQ$1006,0))&gt;=100000), " ",IF(INDEX($AO$2:$BQ$1001,MATCH(ROWS($AH$2:AH429),$AH$2:$AH$1001,0),MATCH(COLUMNS($AO$1006:BN1006),$AO$1006:$BQ$1006,0)), HYPERLINK("#",""), HYPERLINK(CONCATENATE("#Metadata!", ADDRESS(INDEX($AJ$2:$AJ$1001,MATCH(ROWS($AH$2:AH429),$AH$2:$AH$1001,0),0), INDEX($AO$1004:$BQ$1004,1,MATCH(COLUMNS($AO$1006:BN1006),$AO$1006:$BQ$1006,0)))),"Fix")))</f>
        <v>#N/A</v>
      </c>
      <c r="AB429" s="5" t="e">
        <f ca="1">IF(OR(INDEX($AI$2:$AI$1001,MATCH(ROWS($AH$2:AH429),$AH$2:$AH$1001,0),1)&gt;=100000,INDEX($AO$1005:$BQ$1005,1,MATCH(COLUMNS($AO$1006:BO1006),$AO$1006:$BQ$1006,0))&gt;=100000), " ",IF(INDEX($AO$2:$BQ$1001,MATCH(ROWS($AH$2:AH429),$AH$2:$AH$1001,0),MATCH(COLUMNS($AO$1006:BO1006),$AO$1006:$BQ$1006,0)), HYPERLINK("#",""), HYPERLINK(CONCATENATE("#Metadata!", ADDRESS(INDEX($AJ$2:$AJ$1001,MATCH(ROWS($AH$2:AH429),$AH$2:$AH$1001,0),0), INDEX($AO$1004:$BQ$1004,1,MATCH(COLUMNS($AO$1006:BO1006),$AO$1006:$BQ$1006,0)))),"Fix")))</f>
        <v>#N/A</v>
      </c>
      <c r="AC429" s="5" t="e">
        <f ca="1">IF(OR(INDEX($AI$2:$AI$1001,MATCH(ROWS($AH$2:AH429),$AH$2:$AH$1001,0),1)&gt;=100000,INDEX($AO$1005:$BQ$1005,1,MATCH(COLUMNS($AO$1006:BP1006),$AO$1006:$BQ$1006,0))&gt;=100000), " ",IF(INDEX($AO$2:$BQ$1001,MATCH(ROWS($AH$2:AH429),$AH$2:$AH$1001,0),MATCH(COLUMNS($AO$1006:BP1006),$AO$1006:$BQ$1006,0)), HYPERLINK("#",""), HYPERLINK(CONCATENATE("#Metadata!", ADDRESS(INDEX($AJ$2:$AJ$1001,MATCH(ROWS($AH$2:AH429),$AH$2:$AH$1001,0),0), INDEX($AO$1004:$BQ$1004,1,MATCH(COLUMNS($AO$1006:BP1006),$AO$1006:$BQ$1006,0)))),"Fix")))</f>
        <v>#N/A</v>
      </c>
      <c r="AD429" s="5" t="e">
        <f ca="1">IF(OR(INDEX($AI$2:$AI$1001,MATCH(ROWS($AH$2:AH429),$AH$2:$AH$1001,0),1)&gt;=100000,INDEX($AO$1005:$BQ$1005,1,MATCH(COLUMNS($AO$1006:BQ1006),$AO$1006:$BQ$1006,0))&gt;=100000), " ",IF(INDEX($AO$2:$BQ$1001,MATCH(ROWS($AH$2:AH429),$AH$2:$AH$1001,0),MATCH(COLUMNS($AO$1006:BQ1006),$AO$1006:$BQ$1006,0)), HYPERLINK("#",""), HYPERLINK(CONCATENATE("#Metadata!", ADDRESS(INDEX($AJ$2:$AJ$1001,MATCH(ROWS($AH$2:AH429),$AH$2:$AH$1001,0),0), INDEX($AO$1004:$BQ$1004,1,MATCH(COLUMNS($AO$1006:BQ1006),$AO$1006:$BQ$1006,0)))),"Fix")))</f>
        <v>#REF!</v>
      </c>
      <c r="AH429">
        <f ca="1"/>
        <v>426</v>
      </c>
      <c r="AI429">
        <v>100429</v>
      </c>
      <c r="AJ429">
        <v>429</v>
      </c>
      <c r="AK429" t="b">
        <f t="shared" si="6"/>
        <v>1</v>
      </c>
      <c r="AL429" t="b">
        <f>COUNTBLANK(Metadata!B429:AD429)=COLUMNS(Metadata!B429:AD429)</f>
        <v>1</v>
      </c>
      <c r="AM429" t="str">
        <v/>
      </c>
      <c r="AO429" t="b">
        <f ca="1">AND(IF(Metadata!B429="",FALSE,TRUE),COUNTIF(Metadata!B:B, Metadata!B429) = 1,NOT(ISERROR(SUMPRODUCT(SEARCH(MID(Metadata!B429,ROW(INDIRECT("1:"&amp;LEN(Metadata!B429))), 1),"0123456789abcdefghijklmnopqrstuvwxyzABCDEFGHIJKLMNOPQRSTUVWXYZ.")))))</f>
        <v>0</v>
      </c>
      <c r="AP429" t="b">
        <f>IF(Metadata!C429="",FALSE,TRUE)</f>
        <v>0</v>
      </c>
      <c r="AQ429" t="b">
        <f>IF(Metadata!D429="",FALSE,TRUE)</f>
        <v>0</v>
      </c>
      <c r="AR429" t="b">
        <f ca="1">OR(AND(IF(Metadata!E429="",FALSE,TRUE),OR(EXACT(Metadata!E429,"not collected"),EXACT(Metadata!E429,"not provided"),EXACT(Metadata!E429,"restricted access"))),AND(IF(Metadata!E429="",FALSE,TRUE),AND(AND(IFERROR(INT(LEFT(Metadata!E429,4))&gt;1900,FALSE),IFERROR(INT(LEFT(Metadata!E429,4))&lt;=YEAR(NOW()),FALSE)), OR(MID(Metadata!E429,5,1)="", AND(AND(MID(Metadata!E429,5,1)="-",IFERROR(INT(MID(Metadata!E429,6,1))&gt;=0,FALSE),IFERROR(INT(MID(Metadata!E429,6,1))&lt;=1,FALSE),NOT(MID(Metadata!E429,7,1)=""),IFERROR(INT(MID(Metadata!E429,6,2))&gt;=1,FALSE),IFERROR(INT(MID(Metadata!E429,6,2))&lt;=12,FALSE)), OR(MID(Metadata!E429,8,1)="", AND(AND(MID(Metadata!E429,8,1)="-",IFERROR(INT(MID(Metadata!E429,9,1))&gt;=0,FALSE),IFERROR(INT(MID(Metadata!E429,9,1))&lt;=3,FALSE),NOT(MID(Metadata!E429,10,1)=""),IFERROR(INT(MID(Metadata!E429,9,2))&gt;=1,FALSE),IFERROR(INT(MID(Metadata!E429,9,2))&lt;=31,FALSE)), OR(MID(Metadata!E429,11,1)="", AND(AND(MID(Metadata!E429,11,1)=" ",IFERROR(INT(MID(Metadata!E429,12,1))&gt;=0,FALSE),IFERROR(INT(MID(Metadata!E429,12,1))&lt;=2,FALSE),NOT(MID(Metadata!E429,13,1)=""),IFERROR(INT(MID(Metadata!E429,12,2))&gt;=0,FALSE),IFERROR(INT(MID(Metadata!E429,12,2))&lt;=23,FALSE)), OR(MID(Metadata!E429,14,1)="", AND(AND(MID(Metadata!E429,14,1)=":",IFERROR(INT(MID(Metadata!E429,15,1))&gt;=0,FALSE),IFERROR(INT(MID(Metadata!E429,15,1))&lt;=5,FALSE),NOT(MID(Metadata!E429,16,1)=""),IFERROR(INT(MID(Metadata!E429,15,2))&gt;=0,FALSE),IFERROR(INT(MID(Metadata!E429,15,2))&lt;=59,FALSE)), OR(MID(Metadata!E429,17,1)="", AND(AND(MID(Metadata!E429,17,1)=":",IFERROR(INT(MID(Metadata!E429,18,1))&gt;=0,FALSE),IFERROR(INT(MID(Metadata!E429,18,1))&lt;=5,FALSE),NOT(MID(Metadata!E429,19,1)=""),IFERROR(INT(MID(Metadata!E429,18,2))&gt;=0,FALSE),IFERROR(INT(MID(Metadata!E429,18,2))&lt;=59,FALSE)), LEN(Metadata!E429)&lt;=19)))))))))))))</f>
        <v>0</v>
      </c>
      <c r="AS429" t="b">
        <f>IF(Metadata!F429="",FALSE,TRUE)</f>
        <v>0</v>
      </c>
      <c r="AT429" t="b">
        <f>OR(AND(IF(Metadata!G429="",FALSE,TRUE),OR(EXACT(Metadata!G429,"not collected"),EXACT(Metadata!G429,"not provided"))),AND(IF(Metadata!G429="",FALSE,TRUE),OR(EXACT(Metadata!G429,"TRUE"),EXACT(Metadata!G429,"FALSE"))))</f>
        <v>0</v>
      </c>
      <c r="AU429" t="b">
        <f>OR(AND(IF(Metadata!H429="",FALSE,TRUE),OR(EXACT(Metadata!H429,"not collected"),EXACT(Metadata!H429,"not provided"),EXACT(Metadata!H429,"restricted access"))),AND(IF(Metadata!H429="",FALSE,ISNUMBER(VALUE(Metadata!H429))),Metadata!H429&gt;=-413))</f>
        <v>0</v>
      </c>
      <c r="AV429" t="b">
        <f>AND(IF(Metadata!I429="",FALSE,TRUE),EXACT(Metadata!I429,"meters"))</f>
        <v>0</v>
      </c>
      <c r="AW429" t="b">
        <f>AND(IF(Metadata!J429="",FALSE,TRUE),EXACT(Metadata!J429,"free-living"))</f>
        <v>0</v>
      </c>
      <c r="AX429" t="b">
        <f>AND(IF(Metadata!K429="",FALSE,TRUE),OR(EXACT(Metadata!K429,"saline"),EXACT(Metadata!K429,"non-saline")))</f>
        <v>0</v>
      </c>
      <c r="AY429" t="b">
        <f>AND(IF(Metadata!L429="",FALSE,TRUE),OR(EXACT(Metadata!L429,"sub-surface (non-saline)"),EXACT(Metadata!L429,"surface (non-saline)"),EXACT(Metadata!L429,"water (non-saline)"),EXACT(Metadata!L429,"soil (non-saline)"),EXACT(Metadata!L429,"aerosol (non-saline)"),EXACT(Metadata!L429,"sediment (non-saline)"),EXACT(Metadata!L429,"surface (saline)"),EXACT(Metadata!L429,"water (saline)"),EXACT(Metadata!L429,"hypersaline (saline)"),EXACT(Metadata!L429,"aerosol (saline)"),EXACT(Metadata!L429,"sediment (saline)")))</f>
        <v>0</v>
      </c>
      <c r="AZ429" t="b">
        <f>IF(Metadata!M429="",FALSE,TRUE)</f>
        <v>0</v>
      </c>
      <c r="BA429" t="b">
        <f>IF(Metadata!N429="",FALSE,TRUE)</f>
        <v>0</v>
      </c>
      <c r="BB429" t="b">
        <f>IF(Metadata!O429="",FALSE,TRUE)</f>
        <v>0</v>
      </c>
      <c r="BC429" t="b">
        <f>AND(IF(Metadata!P429="",FALSE,TRUE),OR(EXACT(Metadata!P429,"air"),EXACT(Metadata!P429,"microbial mat/biofilm"),EXACT(Metadata!P429,"misc environment"),EXACT(Metadata!P429,"sediment"),EXACT(Metadata!P429,"soil"),EXACT(Metadata!P429,"wastewater/sludge"),EXACT(Metadata!P429,"water")))</f>
        <v>0</v>
      </c>
      <c r="BD429" t="b">
        <f>IF(Metadata!Q429="",FALSE,TRUE)</f>
        <v>0</v>
      </c>
      <c r="BE429" t="b">
        <f>IF(Metadata!R429="",FALSE,TRUE)</f>
        <v>0</v>
      </c>
      <c r="BF429" t="b">
        <f>OR(AND(IF(Metadata!S429="",FALSE,TRUE),OR(EXACT(Metadata!S429,"not collected"),EXACT(Metadata!S429,"not provided"),EXACT(Metadata!S429,"restricted access"))),AND(IF(Metadata!S429="",FALSE,ISNUMBER(VALUE(Metadata!S429))),Metadata!S429&gt;=-90,Metadata!S429&lt;=90))</f>
        <v>0</v>
      </c>
      <c r="BG429" t="b">
        <f>AND(IF(Metadata!T429="",FALSE,TRUE),EXACT(Metadata!T429,"Decimal degrees"))</f>
        <v>0</v>
      </c>
      <c r="BH429" t="b">
        <f>OR(AND(IF(Metadata!U429="",FALSE,TRUE),OR(EXACT(Metadata!U429,"not applicable"),EXACT(Metadata!U429,"not collected"))),IF(Metadata!U429="",FALSE,TRUE))</f>
        <v>0</v>
      </c>
      <c r="BI429" t="b">
        <f>OR(AND(IF(Metadata!V429="",FALSE,TRUE),OR(EXACT(Metadata!V429,"not collected"),EXACT(Metadata!V429,"not provided"),EXACT(Metadata!V429,"restricted access"))),AND(IF(Metadata!V429="",FALSE,ISNUMBER(VALUE(Metadata!V429))),Metadata!V429&gt;=-180,Metadata!V429&lt;=180))</f>
        <v>0</v>
      </c>
      <c r="BJ429" t="b">
        <f>AND(IF(Metadata!W429="",FALSE,TRUE),EXACT(Metadata!W429,"Decimal degrees"))</f>
        <v>0</v>
      </c>
      <c r="BK429" t="b">
        <f>IF(Metadata!X429="",FALSE,TRUE)</f>
        <v>0</v>
      </c>
      <c r="BL429" t="b">
        <f>OR(AND(IF(Metadata!Y429="",FALSE,TRUE),OR(EXACT(Metadata!Y429,"not collected"),EXACT(Metadata!Y429,"not provided"),EXACT(Metadata!Y429,"restricted access"))),AND(IF(Metadata!Y429="",FALSE,TRUE),OR(EXACT(Metadata!Y429,"TRUE"),EXACT(Metadata!Y429,"FALSE"))))</f>
        <v>0</v>
      </c>
      <c r="BM429" t="b">
        <f>OR(AND(IF(Metadata!Z429="",FALSE,TRUE),EXACT(Metadata!Z429,"not applicable")),AND(IF(Metadata!Z429="",FALSE,TRUE),OR(EXACT(Metadata!Z429,"beer"),EXACT(Metadata!Z429,"cheese"),EXACT(Metadata!Z429,"fresh water"),EXACT(Metadata!Z429,"marine sediment"),EXACT(Metadata!Z429,"sea water"),EXACT(Metadata!Z429,"sediment"),EXACT(Metadata!Z429,"soil"),EXACT(Metadata!Z429,"waste water"))))</f>
        <v>0</v>
      </c>
      <c r="BN429" t="b">
        <f>AND(IF(Metadata!AA429="",FALSE,TRUE),EXACT(Metadata!AA429,"metagenome"))</f>
        <v>0</v>
      </c>
      <c r="BO429" t="b">
        <f>AND(IF(Metadata!AB429="",FALSE,TRUE),EXACT(Metadata!AB429,"256318"))</f>
        <v>0</v>
      </c>
      <c r="BP429" t="b">
        <f>IF(Metadata!AC429="",FALSE,TRUE)</f>
        <v>0</v>
      </c>
      <c r="BQ429" t="b">
        <f>IF(Metadata!AD429="",FALSE,TRUE)</f>
        <v>0</v>
      </c>
    </row>
    <row r="430" spans="1:69" x14ac:dyDescent="0.2">
      <c r="A430" s="4" t="e">
        <f ca="1">IF(B430=" "," ",HYPERLINK(CONCATENATE("#metadata!",ADDRESS(INDEX($AJ$2:$AJ$1001,MATCH(ROWS($AH$2:AH430),$AH$2:$AH$1001,0),0),2)),INDEX($AM$2:$AM$1001,MATCH(ROWS($AH$2:AH430),$AH$2:$AH$1001,0),0)))</f>
        <v>#N/A</v>
      </c>
      <c r="B430" s="5" t="e">
        <f ca="1">IF(OR(INDEX($AI$2:$AI$1001,MATCH(ROWS($AH$2:AH430),$AH$2:$AH$1001,0),1)&gt;=100000,INDEX($AO$1005:$BQ$1005,1,MATCH(COLUMNS($AO$1006:AO1006),$AO$1006:$BQ$1006,0))&gt;=100000), " ",IF(INDEX($AO$2:$BQ$1001,MATCH(ROWS($AH$2:AH430),$AH$2:$AH$1001,0),MATCH(COLUMNS($AO$1006:AO1006),$AO$1006:$BQ$1006,0)), HYPERLINK("#",""), HYPERLINK(CONCATENATE("#Metadata!", ADDRESS(INDEX($AJ$2:$AJ$1001,MATCH(ROWS($AH$2:AH430),$AH$2:$AH$1001,0),0), INDEX($AO$1004:$BQ$1004,1,MATCH(COLUMNS($AO$1006:AO1006),$AO$1006:$BQ$1006,0)))),"Fix")))</f>
        <v>#N/A</v>
      </c>
      <c r="C430" s="5" t="e">
        <f ca="1">IF(OR(INDEX($AI$2:$AI$1001,MATCH(ROWS($AH$2:AH430),$AH$2:$AH$1001,0),1)&gt;=100000,INDEX($AO$1005:$BQ$1005,1,MATCH(COLUMNS($AO$1006:AP1006),$AO$1006:$BQ$1006,0))&gt;=100000), " ",IF(INDEX($AO$2:$BQ$1001,MATCH(ROWS($AH$2:AH430),$AH$2:$AH$1001,0),MATCH(COLUMNS($AO$1006:AP1006),$AO$1006:$BQ$1006,0)), HYPERLINK("#",""), HYPERLINK(CONCATENATE("#Metadata!", ADDRESS(INDEX($AJ$2:$AJ$1001,MATCH(ROWS($AH$2:AH430),$AH$2:$AH$1001,0),0), INDEX($AO$1004:$BQ$1004,1,MATCH(COLUMNS($AO$1006:AP1006),$AO$1006:$BQ$1006,0)))),"Fix")))</f>
        <v>#N/A</v>
      </c>
      <c r="D430" s="5" t="e">
        <f ca="1">IF(OR(INDEX($AI$2:$AI$1001,MATCH(ROWS($AH$2:AH430),$AH$2:$AH$1001,0),1)&gt;=100000,INDEX($AO$1005:$BQ$1005,1,MATCH(COLUMNS($AO$1006:AQ1006),$AO$1006:$BQ$1006,0))&gt;=100000), " ",IF(INDEX($AO$2:$BQ$1001,MATCH(ROWS($AH$2:AH430),$AH$2:$AH$1001,0),MATCH(COLUMNS($AO$1006:AQ1006),$AO$1006:$BQ$1006,0)), HYPERLINK("#",""), HYPERLINK(CONCATENATE("#Metadata!", ADDRESS(INDEX($AJ$2:$AJ$1001,MATCH(ROWS($AH$2:AH430),$AH$2:$AH$1001,0),0), INDEX($AO$1004:$BQ$1004,1,MATCH(COLUMNS($AO$1006:AQ1006),$AO$1006:$BQ$1006,0)))),"Fix")))</f>
        <v>#N/A</v>
      </c>
      <c r="E430" s="5" t="e">
        <f ca="1">IF(OR(INDEX($AI$2:$AI$1001,MATCH(ROWS($AH$2:AH430),$AH$2:$AH$1001,0),1)&gt;=100000,INDEX($AO$1005:$BQ$1005,1,MATCH(COLUMNS($AO$1006:AR1006),$AO$1006:$BQ$1006,0))&gt;=100000), " ",IF(INDEX($AO$2:$BQ$1001,MATCH(ROWS($AH$2:AH430),$AH$2:$AH$1001,0),MATCH(COLUMNS($AO$1006:AR1006),$AO$1006:$BQ$1006,0)), HYPERLINK("#",""), HYPERLINK(CONCATENATE("#Metadata!", ADDRESS(INDEX($AJ$2:$AJ$1001,MATCH(ROWS($AH$2:AH430),$AH$2:$AH$1001,0),0), INDEX($AO$1004:$BQ$1004,1,MATCH(COLUMNS($AO$1006:AR1006),$AO$1006:$BQ$1006,0)))),"Fix")))</f>
        <v>#N/A</v>
      </c>
      <c r="F430" s="5" t="e">
        <f ca="1">IF(OR(INDEX($AI$2:$AI$1001,MATCH(ROWS($AH$2:AH430),$AH$2:$AH$1001,0),1)&gt;=100000,INDEX($AO$1005:$BQ$1005,1,MATCH(COLUMNS($AO$1006:AS1006),$AO$1006:$BQ$1006,0))&gt;=100000), " ",IF(INDEX($AO$2:$BQ$1001,MATCH(ROWS($AH$2:AH430),$AH$2:$AH$1001,0),MATCH(COLUMNS($AO$1006:AS1006),$AO$1006:$BQ$1006,0)), HYPERLINK("#",""), HYPERLINK(CONCATENATE("#Metadata!", ADDRESS(INDEX($AJ$2:$AJ$1001,MATCH(ROWS($AH$2:AH430),$AH$2:$AH$1001,0),0), INDEX($AO$1004:$BQ$1004,1,MATCH(COLUMNS($AO$1006:AS1006),$AO$1006:$BQ$1006,0)))),"Fix")))</f>
        <v>#N/A</v>
      </c>
      <c r="G430" s="5" t="e">
        <f ca="1">IF(OR(INDEX($AI$2:$AI$1001,MATCH(ROWS($AH$2:AH430),$AH$2:$AH$1001,0),1)&gt;=100000,INDEX($AO$1005:$BQ$1005,1,MATCH(COLUMNS($AO$1006:AT1006),$AO$1006:$BQ$1006,0))&gt;=100000), " ",IF(INDEX($AO$2:$BQ$1001,MATCH(ROWS($AH$2:AH430),$AH$2:$AH$1001,0),MATCH(COLUMNS($AO$1006:AT1006),$AO$1006:$BQ$1006,0)), HYPERLINK("#",""), HYPERLINK(CONCATENATE("#Metadata!", ADDRESS(INDEX($AJ$2:$AJ$1001,MATCH(ROWS($AH$2:AH430),$AH$2:$AH$1001,0),0), INDEX($AO$1004:$BQ$1004,1,MATCH(COLUMNS($AO$1006:AT1006),$AO$1006:$BQ$1006,0)))),"Fix")))</f>
        <v>#N/A</v>
      </c>
      <c r="H430" s="5" t="e">
        <f ca="1">IF(OR(INDEX($AI$2:$AI$1001,MATCH(ROWS($AH$2:AH430),$AH$2:$AH$1001,0),1)&gt;=100000,INDEX($AO$1005:$BQ$1005,1,MATCH(COLUMNS($AO$1006:AU1006),$AO$1006:$BQ$1006,0))&gt;=100000), " ",IF(INDEX($AO$2:$BQ$1001,MATCH(ROWS($AH$2:AH430),$AH$2:$AH$1001,0),MATCH(COLUMNS($AO$1006:AU1006),$AO$1006:$BQ$1006,0)), HYPERLINK("#",""), HYPERLINK(CONCATENATE("#Metadata!", ADDRESS(INDEX($AJ$2:$AJ$1001,MATCH(ROWS($AH$2:AH430),$AH$2:$AH$1001,0),0), INDEX($AO$1004:$BQ$1004,1,MATCH(COLUMNS($AO$1006:AU1006),$AO$1006:$BQ$1006,0)))),"Fix")))</f>
        <v>#N/A</v>
      </c>
      <c r="I430" s="5" t="e">
        <f ca="1">IF(OR(INDEX($AI$2:$AI$1001,MATCH(ROWS($AH$2:AH430),$AH$2:$AH$1001,0),1)&gt;=100000,INDEX($AO$1005:$BQ$1005,1,MATCH(COLUMNS($AO$1006:AV1006),$AO$1006:$BQ$1006,0))&gt;=100000), " ",IF(INDEX($AO$2:$BQ$1001,MATCH(ROWS($AH$2:AH430),$AH$2:$AH$1001,0),MATCH(COLUMNS($AO$1006:AV1006),$AO$1006:$BQ$1006,0)), HYPERLINK("#",""), HYPERLINK(CONCATENATE("#Metadata!", ADDRESS(INDEX($AJ$2:$AJ$1001,MATCH(ROWS($AH$2:AH430),$AH$2:$AH$1001,0),0), INDEX($AO$1004:$BQ$1004,1,MATCH(COLUMNS($AO$1006:AV1006),$AO$1006:$BQ$1006,0)))),"Fix")))</f>
        <v>#N/A</v>
      </c>
      <c r="J430" s="5" t="e">
        <f ca="1">IF(OR(INDEX($AI$2:$AI$1001,MATCH(ROWS($AH$2:AH430),$AH$2:$AH$1001,0),1)&gt;=100000,INDEX($AO$1005:$BQ$1005,1,MATCH(COLUMNS($AO$1006:AW1006),$AO$1006:$BQ$1006,0))&gt;=100000), " ",IF(INDEX($AO$2:$BQ$1001,MATCH(ROWS($AH$2:AH430),$AH$2:$AH$1001,0),MATCH(COLUMNS($AO$1006:AW1006),$AO$1006:$BQ$1006,0)), HYPERLINK("#",""), HYPERLINK(CONCATENATE("#Metadata!", ADDRESS(INDEX($AJ$2:$AJ$1001,MATCH(ROWS($AH$2:AH430),$AH$2:$AH$1001,0),0), INDEX($AO$1004:$BQ$1004,1,MATCH(COLUMNS($AO$1006:AW1006),$AO$1006:$BQ$1006,0)))),"Fix")))</f>
        <v>#N/A</v>
      </c>
      <c r="K430" s="5" t="e">
        <f ca="1">IF(OR(INDEX($AI$2:$AI$1001,MATCH(ROWS($AH$2:AH430),$AH$2:$AH$1001,0),1)&gt;=100000,INDEX($AO$1005:$BQ$1005,1,MATCH(COLUMNS($AO$1006:AX1006),$AO$1006:$BQ$1006,0))&gt;=100000), " ",IF(INDEX($AO$2:$BQ$1001,MATCH(ROWS($AH$2:AH430),$AH$2:$AH$1001,0),MATCH(COLUMNS($AO$1006:AX1006),$AO$1006:$BQ$1006,0)), HYPERLINK("#",""), HYPERLINK(CONCATENATE("#Metadata!", ADDRESS(INDEX($AJ$2:$AJ$1001,MATCH(ROWS($AH$2:AH430),$AH$2:$AH$1001,0),0), INDEX($AO$1004:$BQ$1004,1,MATCH(COLUMNS($AO$1006:AX1006),$AO$1006:$BQ$1006,0)))),"Fix")))</f>
        <v>#N/A</v>
      </c>
      <c r="L430" s="5" t="e">
        <f ca="1">IF(OR(INDEX($AI$2:$AI$1001,MATCH(ROWS($AH$2:AH430),$AH$2:$AH$1001,0),1)&gt;=100000,INDEX($AO$1005:$BQ$1005,1,MATCH(COLUMNS($AO$1006:AY1006),$AO$1006:$BQ$1006,0))&gt;=100000), " ",IF(INDEX($AO$2:$BQ$1001,MATCH(ROWS($AH$2:AH430),$AH$2:$AH$1001,0),MATCH(COLUMNS($AO$1006:AY1006),$AO$1006:$BQ$1006,0)), HYPERLINK("#",""), HYPERLINK(CONCATENATE("#Metadata!", ADDRESS(INDEX($AJ$2:$AJ$1001,MATCH(ROWS($AH$2:AH430),$AH$2:$AH$1001,0),0), INDEX($AO$1004:$BQ$1004,1,MATCH(COLUMNS($AO$1006:AY1006),$AO$1006:$BQ$1006,0)))),"Fix")))</f>
        <v>#N/A</v>
      </c>
      <c r="M430" s="5" t="e">
        <f ca="1">IF(OR(INDEX($AI$2:$AI$1001,MATCH(ROWS($AH$2:AH430),$AH$2:$AH$1001,0),1)&gt;=100000,INDEX($AO$1005:$BQ$1005,1,MATCH(COLUMNS($AO$1006:AZ1006),$AO$1006:$BQ$1006,0))&gt;=100000), " ",IF(INDEX($AO$2:$BQ$1001,MATCH(ROWS($AH$2:AH430),$AH$2:$AH$1001,0),MATCH(COLUMNS($AO$1006:AZ1006),$AO$1006:$BQ$1006,0)), HYPERLINK("#",""), HYPERLINK(CONCATENATE("#Metadata!", ADDRESS(INDEX($AJ$2:$AJ$1001,MATCH(ROWS($AH$2:AH430),$AH$2:$AH$1001,0),0), INDEX($AO$1004:$BQ$1004,1,MATCH(COLUMNS($AO$1006:AZ1006),$AO$1006:$BQ$1006,0)))),"Fix")))</f>
        <v>#N/A</v>
      </c>
      <c r="N430" s="5" t="e">
        <f ca="1">IF(OR(INDEX($AI$2:$AI$1001,MATCH(ROWS($AH$2:AH430),$AH$2:$AH$1001,0),1)&gt;=100000,INDEX($AO$1005:$BQ$1005,1,MATCH(COLUMNS($AO$1006:BA1006),$AO$1006:$BQ$1006,0))&gt;=100000), " ",IF(INDEX($AO$2:$BQ$1001,MATCH(ROWS($AH$2:AH430),$AH$2:$AH$1001,0),MATCH(COLUMNS($AO$1006:BA1006),$AO$1006:$BQ$1006,0)), HYPERLINK("#",""), HYPERLINK(CONCATENATE("#Metadata!", ADDRESS(INDEX($AJ$2:$AJ$1001,MATCH(ROWS($AH$2:AH430),$AH$2:$AH$1001,0),0), INDEX($AO$1004:$BQ$1004,1,MATCH(COLUMNS($AO$1006:BA1006),$AO$1006:$BQ$1006,0)))),"Fix")))</f>
        <v>#N/A</v>
      </c>
      <c r="O430" s="5" t="e">
        <f ca="1">IF(OR(INDEX($AI$2:$AI$1001,MATCH(ROWS($AH$2:AH430),$AH$2:$AH$1001,0),1)&gt;=100000,INDEX($AO$1005:$BQ$1005,1,MATCH(COLUMNS($AO$1006:BB1006),$AO$1006:$BQ$1006,0))&gt;=100000), " ",IF(INDEX($AO$2:$BQ$1001,MATCH(ROWS($AH$2:AH430),$AH$2:$AH$1001,0),MATCH(COLUMNS($AO$1006:BB1006),$AO$1006:$BQ$1006,0)), HYPERLINK("#",""), HYPERLINK(CONCATENATE("#Metadata!", ADDRESS(INDEX($AJ$2:$AJ$1001,MATCH(ROWS($AH$2:AH430),$AH$2:$AH$1001,0),0), INDEX($AO$1004:$BQ$1004,1,MATCH(COLUMNS($AO$1006:BB1006),$AO$1006:$BQ$1006,0)))),"Fix")))</f>
        <v>#N/A</v>
      </c>
      <c r="P430" s="5" t="e">
        <f ca="1">IF(OR(INDEX($AI$2:$AI$1001,MATCH(ROWS($AH$2:AH430),$AH$2:$AH$1001,0),1)&gt;=100000,INDEX($AO$1005:$BQ$1005,1,MATCH(COLUMNS($AO$1006:BC1006),$AO$1006:$BQ$1006,0))&gt;=100000), " ",IF(INDEX($AO$2:$BQ$1001,MATCH(ROWS($AH$2:AH430),$AH$2:$AH$1001,0),MATCH(COLUMNS($AO$1006:BC1006),$AO$1006:$BQ$1006,0)), HYPERLINK("#",""), HYPERLINK(CONCATENATE("#Metadata!", ADDRESS(INDEX($AJ$2:$AJ$1001,MATCH(ROWS($AH$2:AH430),$AH$2:$AH$1001,0),0), INDEX($AO$1004:$BQ$1004,1,MATCH(COLUMNS($AO$1006:BC1006),$AO$1006:$BQ$1006,0)))),"Fix")))</f>
        <v>#N/A</v>
      </c>
      <c r="Q430" s="5" t="e">
        <f ca="1">IF(OR(INDEX($AI$2:$AI$1001,MATCH(ROWS($AH$2:AH430),$AH$2:$AH$1001,0),1)&gt;=100000,INDEX($AO$1005:$BQ$1005,1,MATCH(COLUMNS($AO$1006:BD1006),$AO$1006:$BQ$1006,0))&gt;=100000), " ",IF(INDEX($AO$2:$BQ$1001,MATCH(ROWS($AH$2:AH430),$AH$2:$AH$1001,0),MATCH(COLUMNS($AO$1006:BD1006),$AO$1006:$BQ$1006,0)), HYPERLINK("#",""), HYPERLINK(CONCATENATE("#Metadata!", ADDRESS(INDEX($AJ$2:$AJ$1001,MATCH(ROWS($AH$2:AH430),$AH$2:$AH$1001,0),0), INDEX($AO$1004:$BQ$1004,1,MATCH(COLUMNS($AO$1006:BD1006),$AO$1006:$BQ$1006,0)))),"Fix")))</f>
        <v>#N/A</v>
      </c>
      <c r="R430" s="5" t="e">
        <f ca="1">IF(OR(INDEX($AI$2:$AI$1001,MATCH(ROWS($AH$2:AH430),$AH$2:$AH$1001,0),1)&gt;=100000,INDEX($AO$1005:$BQ$1005,1,MATCH(COLUMNS($AO$1006:BE1006),$AO$1006:$BQ$1006,0))&gt;=100000), " ",IF(INDEX($AO$2:$BQ$1001,MATCH(ROWS($AH$2:AH430),$AH$2:$AH$1001,0),MATCH(COLUMNS($AO$1006:BE1006),$AO$1006:$BQ$1006,0)), HYPERLINK("#",""), HYPERLINK(CONCATENATE("#Metadata!", ADDRESS(INDEX($AJ$2:$AJ$1001,MATCH(ROWS($AH$2:AH430),$AH$2:$AH$1001,0),0), INDEX($AO$1004:$BQ$1004,1,MATCH(COLUMNS($AO$1006:BE1006),$AO$1006:$BQ$1006,0)))),"Fix")))</f>
        <v>#N/A</v>
      </c>
      <c r="S430" s="5" t="e">
        <f ca="1">IF(OR(INDEX($AI$2:$AI$1001,MATCH(ROWS($AH$2:AH430),$AH$2:$AH$1001,0),1)&gt;=100000,INDEX($AO$1005:$BQ$1005,1,MATCH(COLUMNS($AO$1006:BF1006),$AO$1006:$BQ$1006,0))&gt;=100000), " ",IF(INDEX($AO$2:$BQ$1001,MATCH(ROWS($AH$2:AH430),$AH$2:$AH$1001,0),MATCH(COLUMNS($AO$1006:BF1006),$AO$1006:$BQ$1006,0)), HYPERLINK("#",""), HYPERLINK(CONCATENATE("#Metadata!", ADDRESS(INDEX($AJ$2:$AJ$1001,MATCH(ROWS($AH$2:AH430),$AH$2:$AH$1001,0),0), INDEX($AO$1004:$BQ$1004,1,MATCH(COLUMNS($AO$1006:BF1006),$AO$1006:$BQ$1006,0)))),"Fix")))</f>
        <v>#N/A</v>
      </c>
      <c r="T430" s="5" t="e">
        <f ca="1">IF(OR(INDEX($AI$2:$AI$1001,MATCH(ROWS($AH$2:AH430),$AH$2:$AH$1001,0),1)&gt;=100000,INDEX($AO$1005:$BQ$1005,1,MATCH(COLUMNS($AO$1006:BG1006),$AO$1006:$BQ$1006,0))&gt;=100000), " ",IF(INDEX($AO$2:$BQ$1001,MATCH(ROWS($AH$2:AH430),$AH$2:$AH$1001,0),MATCH(COLUMNS($AO$1006:BG1006),$AO$1006:$BQ$1006,0)), HYPERLINK("#",""), HYPERLINK(CONCATENATE("#Metadata!", ADDRESS(INDEX($AJ$2:$AJ$1001,MATCH(ROWS($AH$2:AH430),$AH$2:$AH$1001,0),0), INDEX($AO$1004:$BQ$1004,1,MATCH(COLUMNS($AO$1006:BG1006),$AO$1006:$BQ$1006,0)))),"Fix")))</f>
        <v>#N/A</v>
      </c>
      <c r="U430" s="5" t="e">
        <f ca="1">IF(OR(INDEX($AI$2:$AI$1001,MATCH(ROWS($AH$2:AH430),$AH$2:$AH$1001,0),1)&gt;=100000,INDEX($AO$1005:$BQ$1005,1,MATCH(COLUMNS($AO$1006:BH1006),$AO$1006:$BQ$1006,0))&gt;=100000), " ",IF(INDEX($AO$2:$BQ$1001,MATCH(ROWS($AH$2:AH430),$AH$2:$AH$1001,0),MATCH(COLUMNS($AO$1006:BH1006),$AO$1006:$BQ$1006,0)), HYPERLINK("#",""), HYPERLINK(CONCATENATE("#Metadata!", ADDRESS(INDEX($AJ$2:$AJ$1001,MATCH(ROWS($AH$2:AH430),$AH$2:$AH$1001,0),0), INDEX($AO$1004:$BQ$1004,1,MATCH(COLUMNS($AO$1006:BH1006),$AO$1006:$BQ$1006,0)))),"Fix")))</f>
        <v>#N/A</v>
      </c>
      <c r="V430" s="5" t="e">
        <f ca="1">IF(OR(INDEX($AI$2:$AI$1001,MATCH(ROWS($AH$2:AH430),$AH$2:$AH$1001,0),1)&gt;=100000,INDEX($AO$1005:$BQ$1005,1,MATCH(COLUMNS($AO$1006:BI1006),$AO$1006:$BQ$1006,0))&gt;=100000), " ",IF(INDEX($AO$2:$BQ$1001,MATCH(ROWS($AH$2:AH430),$AH$2:$AH$1001,0),MATCH(COLUMNS($AO$1006:BI1006),$AO$1006:$BQ$1006,0)), HYPERLINK("#",""), HYPERLINK(CONCATENATE("#Metadata!", ADDRESS(INDEX($AJ$2:$AJ$1001,MATCH(ROWS($AH$2:AH430),$AH$2:$AH$1001,0),0), INDEX($AO$1004:$BQ$1004,1,MATCH(COLUMNS($AO$1006:BI1006),$AO$1006:$BQ$1006,0)))),"Fix")))</f>
        <v>#N/A</v>
      </c>
      <c r="W430" s="5" t="e">
        <f ca="1">IF(OR(INDEX($AI$2:$AI$1001,MATCH(ROWS($AH$2:AH430),$AH$2:$AH$1001,0),1)&gt;=100000,INDEX($AO$1005:$BQ$1005,1,MATCH(COLUMNS($AO$1006:BJ1006),$AO$1006:$BQ$1006,0))&gt;=100000), " ",IF(INDEX($AO$2:$BQ$1001,MATCH(ROWS($AH$2:AH430),$AH$2:$AH$1001,0),MATCH(COLUMNS($AO$1006:BJ1006),$AO$1006:$BQ$1006,0)), HYPERLINK("#",""), HYPERLINK(CONCATENATE("#Metadata!", ADDRESS(INDEX($AJ$2:$AJ$1001,MATCH(ROWS($AH$2:AH430),$AH$2:$AH$1001,0),0), INDEX($AO$1004:$BQ$1004,1,MATCH(COLUMNS($AO$1006:BJ1006),$AO$1006:$BQ$1006,0)))),"Fix")))</f>
        <v>#N/A</v>
      </c>
      <c r="X430" s="5" t="e">
        <f ca="1">IF(OR(INDEX($AI$2:$AI$1001,MATCH(ROWS($AH$2:AH430),$AH$2:$AH$1001,0),1)&gt;=100000,INDEX($AO$1005:$BQ$1005,1,MATCH(COLUMNS($AO$1006:BK1006),$AO$1006:$BQ$1006,0))&gt;=100000), " ",IF(INDEX($AO$2:$BQ$1001,MATCH(ROWS($AH$2:AH430),$AH$2:$AH$1001,0),MATCH(COLUMNS($AO$1006:BK1006),$AO$1006:$BQ$1006,0)), HYPERLINK("#",""), HYPERLINK(CONCATENATE("#Metadata!", ADDRESS(INDEX($AJ$2:$AJ$1001,MATCH(ROWS($AH$2:AH430),$AH$2:$AH$1001,0),0), INDEX($AO$1004:$BQ$1004,1,MATCH(COLUMNS($AO$1006:BK1006),$AO$1006:$BQ$1006,0)))),"Fix")))</f>
        <v>#N/A</v>
      </c>
      <c r="Y430" s="5" t="e">
        <f ca="1">IF(OR(INDEX($AI$2:$AI$1001,MATCH(ROWS($AH$2:AH430),$AH$2:$AH$1001,0),1)&gt;=100000,INDEX($AO$1005:$BQ$1005,1,MATCH(COLUMNS($AO$1006:BL1006),$AO$1006:$BQ$1006,0))&gt;=100000), " ",IF(INDEX($AO$2:$BQ$1001,MATCH(ROWS($AH$2:AH430),$AH$2:$AH$1001,0),MATCH(COLUMNS($AO$1006:BL1006),$AO$1006:$BQ$1006,0)), HYPERLINK("#",""), HYPERLINK(CONCATENATE("#Metadata!", ADDRESS(INDEX($AJ$2:$AJ$1001,MATCH(ROWS($AH$2:AH430),$AH$2:$AH$1001,0),0), INDEX($AO$1004:$BQ$1004,1,MATCH(COLUMNS($AO$1006:BL1006),$AO$1006:$BQ$1006,0)))),"Fix")))</f>
        <v>#N/A</v>
      </c>
      <c r="Z430" s="5" t="e">
        <f ca="1">IF(OR(INDEX($AI$2:$AI$1001,MATCH(ROWS($AH$2:AH430),$AH$2:$AH$1001,0),1)&gt;=100000,INDEX($AO$1005:$BQ$1005,1,MATCH(COLUMNS($AO$1006:BM1006),$AO$1006:$BQ$1006,0))&gt;=100000), " ",IF(INDEX($AO$2:$BQ$1001,MATCH(ROWS($AH$2:AH430),$AH$2:$AH$1001,0),MATCH(COLUMNS($AO$1006:BM1006),$AO$1006:$BQ$1006,0)), HYPERLINK("#",""), HYPERLINK(CONCATENATE("#Metadata!", ADDRESS(INDEX($AJ$2:$AJ$1001,MATCH(ROWS($AH$2:AH430),$AH$2:$AH$1001,0),0), INDEX($AO$1004:$BQ$1004,1,MATCH(COLUMNS($AO$1006:BM1006),$AO$1006:$BQ$1006,0)))),"Fix")))</f>
        <v>#N/A</v>
      </c>
      <c r="AA430" s="5" t="e">
        <f ca="1">IF(OR(INDEX($AI$2:$AI$1001,MATCH(ROWS($AH$2:AH430),$AH$2:$AH$1001,0),1)&gt;=100000,INDEX($AO$1005:$BQ$1005,1,MATCH(COLUMNS($AO$1006:BN1006),$AO$1006:$BQ$1006,0))&gt;=100000), " ",IF(INDEX($AO$2:$BQ$1001,MATCH(ROWS($AH$2:AH430),$AH$2:$AH$1001,0),MATCH(COLUMNS($AO$1006:BN1006),$AO$1006:$BQ$1006,0)), HYPERLINK("#",""), HYPERLINK(CONCATENATE("#Metadata!", ADDRESS(INDEX($AJ$2:$AJ$1001,MATCH(ROWS($AH$2:AH430),$AH$2:$AH$1001,0),0), INDEX($AO$1004:$BQ$1004,1,MATCH(COLUMNS($AO$1006:BN1006),$AO$1006:$BQ$1006,0)))),"Fix")))</f>
        <v>#N/A</v>
      </c>
      <c r="AB430" s="5" t="e">
        <f ca="1">IF(OR(INDEX($AI$2:$AI$1001,MATCH(ROWS($AH$2:AH430),$AH$2:$AH$1001,0),1)&gt;=100000,INDEX($AO$1005:$BQ$1005,1,MATCH(COLUMNS($AO$1006:BO1006),$AO$1006:$BQ$1006,0))&gt;=100000), " ",IF(INDEX($AO$2:$BQ$1001,MATCH(ROWS($AH$2:AH430),$AH$2:$AH$1001,0),MATCH(COLUMNS($AO$1006:BO1006),$AO$1006:$BQ$1006,0)), HYPERLINK("#",""), HYPERLINK(CONCATENATE("#Metadata!", ADDRESS(INDEX($AJ$2:$AJ$1001,MATCH(ROWS($AH$2:AH430),$AH$2:$AH$1001,0),0), INDEX($AO$1004:$BQ$1004,1,MATCH(COLUMNS($AO$1006:BO1006),$AO$1006:$BQ$1006,0)))),"Fix")))</f>
        <v>#N/A</v>
      </c>
      <c r="AC430" s="5" t="e">
        <f ca="1">IF(OR(INDEX($AI$2:$AI$1001,MATCH(ROWS($AH$2:AH430),$AH$2:$AH$1001,0),1)&gt;=100000,INDEX($AO$1005:$BQ$1005,1,MATCH(COLUMNS($AO$1006:BP1006),$AO$1006:$BQ$1006,0))&gt;=100000), " ",IF(INDEX($AO$2:$BQ$1001,MATCH(ROWS($AH$2:AH430),$AH$2:$AH$1001,0),MATCH(COLUMNS($AO$1006:BP1006),$AO$1006:$BQ$1006,0)), HYPERLINK("#",""), HYPERLINK(CONCATENATE("#Metadata!", ADDRESS(INDEX($AJ$2:$AJ$1001,MATCH(ROWS($AH$2:AH430),$AH$2:$AH$1001,0),0), INDEX($AO$1004:$BQ$1004,1,MATCH(COLUMNS($AO$1006:BP1006),$AO$1006:$BQ$1006,0)))),"Fix")))</f>
        <v>#N/A</v>
      </c>
      <c r="AD430" s="5" t="e">
        <f ca="1">IF(OR(INDEX($AI$2:$AI$1001,MATCH(ROWS($AH$2:AH430),$AH$2:$AH$1001,0),1)&gt;=100000,INDEX($AO$1005:$BQ$1005,1,MATCH(COLUMNS($AO$1006:BQ1006),$AO$1006:$BQ$1006,0))&gt;=100000), " ",IF(INDEX($AO$2:$BQ$1001,MATCH(ROWS($AH$2:AH430),$AH$2:$AH$1001,0),MATCH(COLUMNS($AO$1006:BQ1006),$AO$1006:$BQ$1006,0)), HYPERLINK("#",""), HYPERLINK(CONCATENATE("#Metadata!", ADDRESS(INDEX($AJ$2:$AJ$1001,MATCH(ROWS($AH$2:AH430),$AH$2:$AH$1001,0),0), INDEX($AO$1004:$BQ$1004,1,MATCH(COLUMNS($AO$1006:BQ1006),$AO$1006:$BQ$1006,0)))),"Fix")))</f>
        <v>#REF!</v>
      </c>
      <c r="AH430">
        <f ca="1"/>
        <v>427</v>
      </c>
      <c r="AI430">
        <v>100430</v>
      </c>
      <c r="AJ430">
        <v>430</v>
      </c>
      <c r="AK430" t="b">
        <f t="shared" si="6"/>
        <v>1</v>
      </c>
      <c r="AL430" t="b">
        <f>COUNTBLANK(Metadata!B430:AD430)=COLUMNS(Metadata!B430:AD430)</f>
        <v>1</v>
      </c>
      <c r="AM430" t="str">
        <v/>
      </c>
      <c r="AO430" t="b">
        <f ca="1">AND(IF(Metadata!B430="",FALSE,TRUE),COUNTIF(Metadata!B:B, Metadata!B430) = 1,NOT(ISERROR(SUMPRODUCT(SEARCH(MID(Metadata!B430,ROW(INDIRECT("1:"&amp;LEN(Metadata!B430))), 1),"0123456789abcdefghijklmnopqrstuvwxyzABCDEFGHIJKLMNOPQRSTUVWXYZ.")))))</f>
        <v>0</v>
      </c>
      <c r="AP430" t="b">
        <f>IF(Metadata!C430="",FALSE,TRUE)</f>
        <v>0</v>
      </c>
      <c r="AQ430" t="b">
        <f>IF(Metadata!D430="",FALSE,TRUE)</f>
        <v>0</v>
      </c>
      <c r="AR430" t="b">
        <f ca="1">OR(AND(IF(Metadata!E430="",FALSE,TRUE),OR(EXACT(Metadata!E430,"not collected"),EXACT(Metadata!E430,"not provided"),EXACT(Metadata!E430,"restricted access"))),AND(IF(Metadata!E430="",FALSE,TRUE),AND(AND(IFERROR(INT(LEFT(Metadata!E430,4))&gt;1900,FALSE),IFERROR(INT(LEFT(Metadata!E430,4))&lt;=YEAR(NOW()),FALSE)), OR(MID(Metadata!E430,5,1)="", AND(AND(MID(Metadata!E430,5,1)="-",IFERROR(INT(MID(Metadata!E430,6,1))&gt;=0,FALSE),IFERROR(INT(MID(Metadata!E430,6,1))&lt;=1,FALSE),NOT(MID(Metadata!E430,7,1)=""),IFERROR(INT(MID(Metadata!E430,6,2))&gt;=1,FALSE),IFERROR(INT(MID(Metadata!E430,6,2))&lt;=12,FALSE)), OR(MID(Metadata!E430,8,1)="", AND(AND(MID(Metadata!E430,8,1)="-",IFERROR(INT(MID(Metadata!E430,9,1))&gt;=0,FALSE),IFERROR(INT(MID(Metadata!E430,9,1))&lt;=3,FALSE),NOT(MID(Metadata!E430,10,1)=""),IFERROR(INT(MID(Metadata!E430,9,2))&gt;=1,FALSE),IFERROR(INT(MID(Metadata!E430,9,2))&lt;=31,FALSE)), OR(MID(Metadata!E430,11,1)="", AND(AND(MID(Metadata!E430,11,1)=" ",IFERROR(INT(MID(Metadata!E430,12,1))&gt;=0,FALSE),IFERROR(INT(MID(Metadata!E430,12,1))&lt;=2,FALSE),NOT(MID(Metadata!E430,13,1)=""),IFERROR(INT(MID(Metadata!E430,12,2))&gt;=0,FALSE),IFERROR(INT(MID(Metadata!E430,12,2))&lt;=23,FALSE)), OR(MID(Metadata!E430,14,1)="", AND(AND(MID(Metadata!E430,14,1)=":",IFERROR(INT(MID(Metadata!E430,15,1))&gt;=0,FALSE),IFERROR(INT(MID(Metadata!E430,15,1))&lt;=5,FALSE),NOT(MID(Metadata!E430,16,1)=""),IFERROR(INT(MID(Metadata!E430,15,2))&gt;=0,FALSE),IFERROR(INT(MID(Metadata!E430,15,2))&lt;=59,FALSE)), OR(MID(Metadata!E430,17,1)="", AND(AND(MID(Metadata!E430,17,1)=":",IFERROR(INT(MID(Metadata!E430,18,1))&gt;=0,FALSE),IFERROR(INT(MID(Metadata!E430,18,1))&lt;=5,FALSE),NOT(MID(Metadata!E430,19,1)=""),IFERROR(INT(MID(Metadata!E430,18,2))&gt;=0,FALSE),IFERROR(INT(MID(Metadata!E430,18,2))&lt;=59,FALSE)), LEN(Metadata!E430)&lt;=19)))))))))))))</f>
        <v>0</v>
      </c>
      <c r="AS430" t="b">
        <f>IF(Metadata!F430="",FALSE,TRUE)</f>
        <v>0</v>
      </c>
      <c r="AT430" t="b">
        <f>OR(AND(IF(Metadata!G430="",FALSE,TRUE),OR(EXACT(Metadata!G430,"not collected"),EXACT(Metadata!G430,"not provided"))),AND(IF(Metadata!G430="",FALSE,TRUE),OR(EXACT(Metadata!G430,"TRUE"),EXACT(Metadata!G430,"FALSE"))))</f>
        <v>0</v>
      </c>
      <c r="AU430" t="b">
        <f>OR(AND(IF(Metadata!H430="",FALSE,TRUE),OR(EXACT(Metadata!H430,"not collected"),EXACT(Metadata!H430,"not provided"),EXACT(Metadata!H430,"restricted access"))),AND(IF(Metadata!H430="",FALSE,ISNUMBER(VALUE(Metadata!H430))),Metadata!H430&gt;=-413))</f>
        <v>0</v>
      </c>
      <c r="AV430" t="b">
        <f>AND(IF(Metadata!I430="",FALSE,TRUE),EXACT(Metadata!I430,"meters"))</f>
        <v>0</v>
      </c>
      <c r="AW430" t="b">
        <f>AND(IF(Metadata!J430="",FALSE,TRUE),EXACT(Metadata!J430,"free-living"))</f>
        <v>0</v>
      </c>
      <c r="AX430" t="b">
        <f>AND(IF(Metadata!K430="",FALSE,TRUE),OR(EXACT(Metadata!K430,"saline"),EXACT(Metadata!K430,"non-saline")))</f>
        <v>0</v>
      </c>
      <c r="AY430" t="b">
        <f>AND(IF(Metadata!L430="",FALSE,TRUE),OR(EXACT(Metadata!L430,"sub-surface (non-saline)"),EXACT(Metadata!L430,"surface (non-saline)"),EXACT(Metadata!L430,"water (non-saline)"),EXACT(Metadata!L430,"soil (non-saline)"),EXACT(Metadata!L430,"aerosol (non-saline)"),EXACT(Metadata!L430,"sediment (non-saline)"),EXACT(Metadata!L430,"surface (saline)"),EXACT(Metadata!L430,"water (saline)"),EXACT(Metadata!L430,"hypersaline (saline)"),EXACT(Metadata!L430,"aerosol (saline)"),EXACT(Metadata!L430,"sediment (saline)")))</f>
        <v>0</v>
      </c>
      <c r="AZ430" t="b">
        <f>IF(Metadata!M430="",FALSE,TRUE)</f>
        <v>0</v>
      </c>
      <c r="BA430" t="b">
        <f>IF(Metadata!N430="",FALSE,TRUE)</f>
        <v>0</v>
      </c>
      <c r="BB430" t="b">
        <f>IF(Metadata!O430="",FALSE,TRUE)</f>
        <v>0</v>
      </c>
      <c r="BC430" t="b">
        <f>AND(IF(Metadata!P430="",FALSE,TRUE),OR(EXACT(Metadata!P430,"air"),EXACT(Metadata!P430,"microbial mat/biofilm"),EXACT(Metadata!P430,"misc environment"),EXACT(Metadata!P430,"sediment"),EXACT(Metadata!P430,"soil"),EXACT(Metadata!P430,"wastewater/sludge"),EXACT(Metadata!P430,"water")))</f>
        <v>0</v>
      </c>
      <c r="BD430" t="b">
        <f>IF(Metadata!Q430="",FALSE,TRUE)</f>
        <v>0</v>
      </c>
      <c r="BE430" t="b">
        <f>IF(Metadata!R430="",FALSE,TRUE)</f>
        <v>0</v>
      </c>
      <c r="BF430" t="b">
        <f>OR(AND(IF(Metadata!S430="",FALSE,TRUE),OR(EXACT(Metadata!S430,"not collected"),EXACT(Metadata!S430,"not provided"),EXACT(Metadata!S430,"restricted access"))),AND(IF(Metadata!S430="",FALSE,ISNUMBER(VALUE(Metadata!S430))),Metadata!S430&gt;=-90,Metadata!S430&lt;=90))</f>
        <v>0</v>
      </c>
      <c r="BG430" t="b">
        <f>AND(IF(Metadata!T430="",FALSE,TRUE),EXACT(Metadata!T430,"Decimal degrees"))</f>
        <v>0</v>
      </c>
      <c r="BH430" t="b">
        <f>OR(AND(IF(Metadata!U430="",FALSE,TRUE),OR(EXACT(Metadata!U430,"not applicable"),EXACT(Metadata!U430,"not collected"))),IF(Metadata!U430="",FALSE,TRUE))</f>
        <v>0</v>
      </c>
      <c r="BI430" t="b">
        <f>OR(AND(IF(Metadata!V430="",FALSE,TRUE),OR(EXACT(Metadata!V430,"not collected"),EXACT(Metadata!V430,"not provided"),EXACT(Metadata!V430,"restricted access"))),AND(IF(Metadata!V430="",FALSE,ISNUMBER(VALUE(Metadata!V430))),Metadata!V430&gt;=-180,Metadata!V430&lt;=180))</f>
        <v>0</v>
      </c>
      <c r="BJ430" t="b">
        <f>AND(IF(Metadata!W430="",FALSE,TRUE),EXACT(Metadata!W430,"Decimal degrees"))</f>
        <v>0</v>
      </c>
      <c r="BK430" t="b">
        <f>IF(Metadata!X430="",FALSE,TRUE)</f>
        <v>0</v>
      </c>
      <c r="BL430" t="b">
        <f>OR(AND(IF(Metadata!Y430="",FALSE,TRUE),OR(EXACT(Metadata!Y430,"not collected"),EXACT(Metadata!Y430,"not provided"),EXACT(Metadata!Y430,"restricted access"))),AND(IF(Metadata!Y430="",FALSE,TRUE),OR(EXACT(Metadata!Y430,"TRUE"),EXACT(Metadata!Y430,"FALSE"))))</f>
        <v>0</v>
      </c>
      <c r="BM430" t="b">
        <f>OR(AND(IF(Metadata!Z430="",FALSE,TRUE),EXACT(Metadata!Z430,"not applicable")),AND(IF(Metadata!Z430="",FALSE,TRUE),OR(EXACT(Metadata!Z430,"beer"),EXACT(Metadata!Z430,"cheese"),EXACT(Metadata!Z430,"fresh water"),EXACT(Metadata!Z430,"marine sediment"),EXACT(Metadata!Z430,"sea water"),EXACT(Metadata!Z430,"sediment"),EXACT(Metadata!Z430,"soil"),EXACT(Metadata!Z430,"waste water"))))</f>
        <v>0</v>
      </c>
      <c r="BN430" t="b">
        <f>AND(IF(Metadata!AA430="",FALSE,TRUE),EXACT(Metadata!AA430,"metagenome"))</f>
        <v>0</v>
      </c>
      <c r="BO430" t="b">
        <f>AND(IF(Metadata!AB430="",FALSE,TRUE),EXACT(Metadata!AB430,"256318"))</f>
        <v>0</v>
      </c>
      <c r="BP430" t="b">
        <f>IF(Metadata!AC430="",FALSE,TRUE)</f>
        <v>0</v>
      </c>
      <c r="BQ430" t="b">
        <f>IF(Metadata!AD430="",FALSE,TRUE)</f>
        <v>0</v>
      </c>
    </row>
    <row r="431" spans="1:69" x14ac:dyDescent="0.2">
      <c r="A431" s="4" t="e">
        <f ca="1">IF(B431=" "," ",HYPERLINK(CONCATENATE("#metadata!",ADDRESS(INDEX($AJ$2:$AJ$1001,MATCH(ROWS($AH$2:AH431),$AH$2:$AH$1001,0),0),2)),INDEX($AM$2:$AM$1001,MATCH(ROWS($AH$2:AH431),$AH$2:$AH$1001,0),0)))</f>
        <v>#N/A</v>
      </c>
      <c r="B431" s="5" t="e">
        <f ca="1">IF(OR(INDEX($AI$2:$AI$1001,MATCH(ROWS($AH$2:AH431),$AH$2:$AH$1001,0),1)&gt;=100000,INDEX($AO$1005:$BQ$1005,1,MATCH(COLUMNS($AO$1006:AO1006),$AO$1006:$BQ$1006,0))&gt;=100000), " ",IF(INDEX($AO$2:$BQ$1001,MATCH(ROWS($AH$2:AH431),$AH$2:$AH$1001,0),MATCH(COLUMNS($AO$1006:AO1006),$AO$1006:$BQ$1006,0)), HYPERLINK("#",""), HYPERLINK(CONCATENATE("#Metadata!", ADDRESS(INDEX($AJ$2:$AJ$1001,MATCH(ROWS($AH$2:AH431),$AH$2:$AH$1001,0),0), INDEX($AO$1004:$BQ$1004,1,MATCH(COLUMNS($AO$1006:AO1006),$AO$1006:$BQ$1006,0)))),"Fix")))</f>
        <v>#N/A</v>
      </c>
      <c r="C431" s="5" t="e">
        <f ca="1">IF(OR(INDEX($AI$2:$AI$1001,MATCH(ROWS($AH$2:AH431),$AH$2:$AH$1001,0),1)&gt;=100000,INDEX($AO$1005:$BQ$1005,1,MATCH(COLUMNS($AO$1006:AP1006),$AO$1006:$BQ$1006,0))&gt;=100000), " ",IF(INDEX($AO$2:$BQ$1001,MATCH(ROWS($AH$2:AH431),$AH$2:$AH$1001,0),MATCH(COLUMNS($AO$1006:AP1006),$AO$1006:$BQ$1006,0)), HYPERLINK("#",""), HYPERLINK(CONCATENATE("#Metadata!", ADDRESS(INDEX($AJ$2:$AJ$1001,MATCH(ROWS($AH$2:AH431),$AH$2:$AH$1001,0),0), INDEX($AO$1004:$BQ$1004,1,MATCH(COLUMNS($AO$1006:AP1006),$AO$1006:$BQ$1006,0)))),"Fix")))</f>
        <v>#N/A</v>
      </c>
      <c r="D431" s="5" t="e">
        <f ca="1">IF(OR(INDEX($AI$2:$AI$1001,MATCH(ROWS($AH$2:AH431),$AH$2:$AH$1001,0),1)&gt;=100000,INDEX($AO$1005:$BQ$1005,1,MATCH(COLUMNS($AO$1006:AQ1006),$AO$1006:$BQ$1006,0))&gt;=100000), " ",IF(INDEX($AO$2:$BQ$1001,MATCH(ROWS($AH$2:AH431),$AH$2:$AH$1001,0),MATCH(COLUMNS($AO$1006:AQ1006),$AO$1006:$BQ$1006,0)), HYPERLINK("#",""), HYPERLINK(CONCATENATE("#Metadata!", ADDRESS(INDEX($AJ$2:$AJ$1001,MATCH(ROWS($AH$2:AH431),$AH$2:$AH$1001,0),0), INDEX($AO$1004:$BQ$1004,1,MATCH(COLUMNS($AO$1006:AQ1006),$AO$1006:$BQ$1006,0)))),"Fix")))</f>
        <v>#N/A</v>
      </c>
      <c r="E431" s="5" t="e">
        <f ca="1">IF(OR(INDEX($AI$2:$AI$1001,MATCH(ROWS($AH$2:AH431),$AH$2:$AH$1001,0),1)&gt;=100000,INDEX($AO$1005:$BQ$1005,1,MATCH(COLUMNS($AO$1006:AR1006),$AO$1006:$BQ$1006,0))&gt;=100000), " ",IF(INDEX($AO$2:$BQ$1001,MATCH(ROWS($AH$2:AH431),$AH$2:$AH$1001,0),MATCH(COLUMNS($AO$1006:AR1006),$AO$1006:$BQ$1006,0)), HYPERLINK("#",""), HYPERLINK(CONCATENATE("#Metadata!", ADDRESS(INDEX($AJ$2:$AJ$1001,MATCH(ROWS($AH$2:AH431),$AH$2:$AH$1001,0),0), INDEX($AO$1004:$BQ$1004,1,MATCH(COLUMNS($AO$1006:AR1006),$AO$1006:$BQ$1006,0)))),"Fix")))</f>
        <v>#N/A</v>
      </c>
      <c r="F431" s="5" t="e">
        <f ca="1">IF(OR(INDEX($AI$2:$AI$1001,MATCH(ROWS($AH$2:AH431),$AH$2:$AH$1001,0),1)&gt;=100000,INDEX($AO$1005:$BQ$1005,1,MATCH(COLUMNS($AO$1006:AS1006),$AO$1006:$BQ$1006,0))&gt;=100000), " ",IF(INDEX($AO$2:$BQ$1001,MATCH(ROWS($AH$2:AH431),$AH$2:$AH$1001,0),MATCH(COLUMNS($AO$1006:AS1006),$AO$1006:$BQ$1006,0)), HYPERLINK("#",""), HYPERLINK(CONCATENATE("#Metadata!", ADDRESS(INDEX($AJ$2:$AJ$1001,MATCH(ROWS($AH$2:AH431),$AH$2:$AH$1001,0),0), INDEX($AO$1004:$BQ$1004,1,MATCH(COLUMNS($AO$1006:AS1006),$AO$1006:$BQ$1006,0)))),"Fix")))</f>
        <v>#N/A</v>
      </c>
      <c r="G431" s="5" t="e">
        <f ca="1">IF(OR(INDEX($AI$2:$AI$1001,MATCH(ROWS($AH$2:AH431),$AH$2:$AH$1001,0),1)&gt;=100000,INDEX($AO$1005:$BQ$1005,1,MATCH(COLUMNS($AO$1006:AT1006),$AO$1006:$BQ$1006,0))&gt;=100000), " ",IF(INDEX($AO$2:$BQ$1001,MATCH(ROWS($AH$2:AH431),$AH$2:$AH$1001,0),MATCH(COLUMNS($AO$1006:AT1006),$AO$1006:$BQ$1006,0)), HYPERLINK("#",""), HYPERLINK(CONCATENATE("#Metadata!", ADDRESS(INDEX($AJ$2:$AJ$1001,MATCH(ROWS($AH$2:AH431),$AH$2:$AH$1001,0),0), INDEX($AO$1004:$BQ$1004,1,MATCH(COLUMNS($AO$1006:AT1006),$AO$1006:$BQ$1006,0)))),"Fix")))</f>
        <v>#N/A</v>
      </c>
      <c r="H431" s="5" t="e">
        <f ca="1">IF(OR(INDEX($AI$2:$AI$1001,MATCH(ROWS($AH$2:AH431),$AH$2:$AH$1001,0),1)&gt;=100000,INDEX($AO$1005:$BQ$1005,1,MATCH(COLUMNS($AO$1006:AU1006),$AO$1006:$BQ$1006,0))&gt;=100000), " ",IF(INDEX($AO$2:$BQ$1001,MATCH(ROWS($AH$2:AH431),$AH$2:$AH$1001,0),MATCH(COLUMNS($AO$1006:AU1006),$AO$1006:$BQ$1006,0)), HYPERLINK("#",""), HYPERLINK(CONCATENATE("#Metadata!", ADDRESS(INDEX($AJ$2:$AJ$1001,MATCH(ROWS($AH$2:AH431),$AH$2:$AH$1001,0),0), INDEX($AO$1004:$BQ$1004,1,MATCH(COLUMNS($AO$1006:AU1006),$AO$1006:$BQ$1006,0)))),"Fix")))</f>
        <v>#N/A</v>
      </c>
      <c r="I431" s="5" t="e">
        <f ca="1">IF(OR(INDEX($AI$2:$AI$1001,MATCH(ROWS($AH$2:AH431),$AH$2:$AH$1001,0),1)&gt;=100000,INDEX($AO$1005:$BQ$1005,1,MATCH(COLUMNS($AO$1006:AV1006),$AO$1006:$BQ$1006,0))&gt;=100000), " ",IF(INDEX($AO$2:$BQ$1001,MATCH(ROWS($AH$2:AH431),$AH$2:$AH$1001,0),MATCH(COLUMNS($AO$1006:AV1006),$AO$1006:$BQ$1006,0)), HYPERLINK("#",""), HYPERLINK(CONCATENATE("#Metadata!", ADDRESS(INDEX($AJ$2:$AJ$1001,MATCH(ROWS($AH$2:AH431),$AH$2:$AH$1001,0),0), INDEX($AO$1004:$BQ$1004,1,MATCH(COLUMNS($AO$1006:AV1006),$AO$1006:$BQ$1006,0)))),"Fix")))</f>
        <v>#N/A</v>
      </c>
      <c r="J431" s="5" t="e">
        <f ca="1">IF(OR(INDEX($AI$2:$AI$1001,MATCH(ROWS($AH$2:AH431),$AH$2:$AH$1001,0),1)&gt;=100000,INDEX($AO$1005:$BQ$1005,1,MATCH(COLUMNS($AO$1006:AW1006),$AO$1006:$BQ$1006,0))&gt;=100000), " ",IF(INDEX($AO$2:$BQ$1001,MATCH(ROWS($AH$2:AH431),$AH$2:$AH$1001,0),MATCH(COLUMNS($AO$1006:AW1006),$AO$1006:$BQ$1006,0)), HYPERLINK("#",""), HYPERLINK(CONCATENATE("#Metadata!", ADDRESS(INDEX($AJ$2:$AJ$1001,MATCH(ROWS($AH$2:AH431),$AH$2:$AH$1001,0),0), INDEX($AO$1004:$BQ$1004,1,MATCH(COLUMNS($AO$1006:AW1006),$AO$1006:$BQ$1006,0)))),"Fix")))</f>
        <v>#N/A</v>
      </c>
      <c r="K431" s="5" t="e">
        <f ca="1">IF(OR(INDEX($AI$2:$AI$1001,MATCH(ROWS($AH$2:AH431),$AH$2:$AH$1001,0),1)&gt;=100000,INDEX($AO$1005:$BQ$1005,1,MATCH(COLUMNS($AO$1006:AX1006),$AO$1006:$BQ$1006,0))&gt;=100000), " ",IF(INDEX($AO$2:$BQ$1001,MATCH(ROWS($AH$2:AH431),$AH$2:$AH$1001,0),MATCH(COLUMNS($AO$1006:AX1006),$AO$1006:$BQ$1006,0)), HYPERLINK("#",""), HYPERLINK(CONCATENATE("#Metadata!", ADDRESS(INDEX($AJ$2:$AJ$1001,MATCH(ROWS($AH$2:AH431),$AH$2:$AH$1001,0),0), INDEX($AO$1004:$BQ$1004,1,MATCH(COLUMNS($AO$1006:AX1006),$AO$1006:$BQ$1006,0)))),"Fix")))</f>
        <v>#N/A</v>
      </c>
      <c r="L431" s="5" t="e">
        <f ca="1">IF(OR(INDEX($AI$2:$AI$1001,MATCH(ROWS($AH$2:AH431),$AH$2:$AH$1001,0),1)&gt;=100000,INDEX($AO$1005:$BQ$1005,1,MATCH(COLUMNS($AO$1006:AY1006),$AO$1006:$BQ$1006,0))&gt;=100000), " ",IF(INDEX($AO$2:$BQ$1001,MATCH(ROWS($AH$2:AH431),$AH$2:$AH$1001,0),MATCH(COLUMNS($AO$1006:AY1006),$AO$1006:$BQ$1006,0)), HYPERLINK("#",""), HYPERLINK(CONCATENATE("#Metadata!", ADDRESS(INDEX($AJ$2:$AJ$1001,MATCH(ROWS($AH$2:AH431),$AH$2:$AH$1001,0),0), INDEX($AO$1004:$BQ$1004,1,MATCH(COLUMNS($AO$1006:AY1006),$AO$1006:$BQ$1006,0)))),"Fix")))</f>
        <v>#N/A</v>
      </c>
      <c r="M431" s="5" t="e">
        <f ca="1">IF(OR(INDEX($AI$2:$AI$1001,MATCH(ROWS($AH$2:AH431),$AH$2:$AH$1001,0),1)&gt;=100000,INDEX($AO$1005:$BQ$1005,1,MATCH(COLUMNS($AO$1006:AZ1006),$AO$1006:$BQ$1006,0))&gt;=100000), " ",IF(INDEX($AO$2:$BQ$1001,MATCH(ROWS($AH$2:AH431),$AH$2:$AH$1001,0),MATCH(COLUMNS($AO$1006:AZ1006),$AO$1006:$BQ$1006,0)), HYPERLINK("#",""), HYPERLINK(CONCATENATE("#Metadata!", ADDRESS(INDEX($AJ$2:$AJ$1001,MATCH(ROWS($AH$2:AH431),$AH$2:$AH$1001,0),0), INDEX($AO$1004:$BQ$1004,1,MATCH(COLUMNS($AO$1006:AZ1006),$AO$1006:$BQ$1006,0)))),"Fix")))</f>
        <v>#N/A</v>
      </c>
      <c r="N431" s="5" t="e">
        <f ca="1">IF(OR(INDEX($AI$2:$AI$1001,MATCH(ROWS($AH$2:AH431),$AH$2:$AH$1001,0),1)&gt;=100000,INDEX($AO$1005:$BQ$1005,1,MATCH(COLUMNS($AO$1006:BA1006),$AO$1006:$BQ$1006,0))&gt;=100000), " ",IF(INDEX($AO$2:$BQ$1001,MATCH(ROWS($AH$2:AH431),$AH$2:$AH$1001,0),MATCH(COLUMNS($AO$1006:BA1006),$AO$1006:$BQ$1006,0)), HYPERLINK("#",""), HYPERLINK(CONCATENATE("#Metadata!", ADDRESS(INDEX($AJ$2:$AJ$1001,MATCH(ROWS($AH$2:AH431),$AH$2:$AH$1001,0),0), INDEX($AO$1004:$BQ$1004,1,MATCH(COLUMNS($AO$1006:BA1006),$AO$1006:$BQ$1006,0)))),"Fix")))</f>
        <v>#N/A</v>
      </c>
      <c r="O431" s="5" t="e">
        <f ca="1">IF(OR(INDEX($AI$2:$AI$1001,MATCH(ROWS($AH$2:AH431),$AH$2:$AH$1001,0),1)&gt;=100000,INDEX($AO$1005:$BQ$1005,1,MATCH(COLUMNS($AO$1006:BB1006),$AO$1006:$BQ$1006,0))&gt;=100000), " ",IF(INDEX($AO$2:$BQ$1001,MATCH(ROWS($AH$2:AH431),$AH$2:$AH$1001,0),MATCH(COLUMNS($AO$1006:BB1006),$AO$1006:$BQ$1006,0)), HYPERLINK("#",""), HYPERLINK(CONCATENATE("#Metadata!", ADDRESS(INDEX($AJ$2:$AJ$1001,MATCH(ROWS($AH$2:AH431),$AH$2:$AH$1001,0),0), INDEX($AO$1004:$BQ$1004,1,MATCH(COLUMNS($AO$1006:BB1006),$AO$1006:$BQ$1006,0)))),"Fix")))</f>
        <v>#N/A</v>
      </c>
      <c r="P431" s="5" t="e">
        <f ca="1">IF(OR(INDEX($AI$2:$AI$1001,MATCH(ROWS($AH$2:AH431),$AH$2:$AH$1001,0),1)&gt;=100000,INDEX($AO$1005:$BQ$1005,1,MATCH(COLUMNS($AO$1006:BC1006),$AO$1006:$BQ$1006,0))&gt;=100000), " ",IF(INDEX($AO$2:$BQ$1001,MATCH(ROWS($AH$2:AH431),$AH$2:$AH$1001,0),MATCH(COLUMNS($AO$1006:BC1006),$AO$1006:$BQ$1006,0)), HYPERLINK("#",""), HYPERLINK(CONCATENATE("#Metadata!", ADDRESS(INDEX($AJ$2:$AJ$1001,MATCH(ROWS($AH$2:AH431),$AH$2:$AH$1001,0),0), INDEX($AO$1004:$BQ$1004,1,MATCH(COLUMNS($AO$1006:BC1006),$AO$1006:$BQ$1006,0)))),"Fix")))</f>
        <v>#N/A</v>
      </c>
      <c r="Q431" s="5" t="e">
        <f ca="1">IF(OR(INDEX($AI$2:$AI$1001,MATCH(ROWS($AH$2:AH431),$AH$2:$AH$1001,0),1)&gt;=100000,INDEX($AO$1005:$BQ$1005,1,MATCH(COLUMNS($AO$1006:BD1006),$AO$1006:$BQ$1006,0))&gt;=100000), " ",IF(INDEX($AO$2:$BQ$1001,MATCH(ROWS($AH$2:AH431),$AH$2:$AH$1001,0),MATCH(COLUMNS($AO$1006:BD1006),$AO$1006:$BQ$1006,0)), HYPERLINK("#",""), HYPERLINK(CONCATENATE("#Metadata!", ADDRESS(INDEX($AJ$2:$AJ$1001,MATCH(ROWS($AH$2:AH431),$AH$2:$AH$1001,0),0), INDEX($AO$1004:$BQ$1004,1,MATCH(COLUMNS($AO$1006:BD1006),$AO$1006:$BQ$1006,0)))),"Fix")))</f>
        <v>#N/A</v>
      </c>
      <c r="R431" s="5" t="e">
        <f ca="1">IF(OR(INDEX($AI$2:$AI$1001,MATCH(ROWS($AH$2:AH431),$AH$2:$AH$1001,0),1)&gt;=100000,INDEX($AO$1005:$BQ$1005,1,MATCH(COLUMNS($AO$1006:BE1006),$AO$1006:$BQ$1006,0))&gt;=100000), " ",IF(INDEX($AO$2:$BQ$1001,MATCH(ROWS($AH$2:AH431),$AH$2:$AH$1001,0),MATCH(COLUMNS($AO$1006:BE1006),$AO$1006:$BQ$1006,0)), HYPERLINK("#",""), HYPERLINK(CONCATENATE("#Metadata!", ADDRESS(INDEX($AJ$2:$AJ$1001,MATCH(ROWS($AH$2:AH431),$AH$2:$AH$1001,0),0), INDEX($AO$1004:$BQ$1004,1,MATCH(COLUMNS($AO$1006:BE1006),$AO$1006:$BQ$1006,0)))),"Fix")))</f>
        <v>#N/A</v>
      </c>
      <c r="S431" s="5" t="e">
        <f ca="1">IF(OR(INDEX($AI$2:$AI$1001,MATCH(ROWS($AH$2:AH431),$AH$2:$AH$1001,0),1)&gt;=100000,INDEX($AO$1005:$BQ$1005,1,MATCH(COLUMNS($AO$1006:BF1006),$AO$1006:$BQ$1006,0))&gt;=100000), " ",IF(INDEX($AO$2:$BQ$1001,MATCH(ROWS($AH$2:AH431),$AH$2:$AH$1001,0),MATCH(COLUMNS($AO$1006:BF1006),$AO$1006:$BQ$1006,0)), HYPERLINK("#",""), HYPERLINK(CONCATENATE("#Metadata!", ADDRESS(INDEX($AJ$2:$AJ$1001,MATCH(ROWS($AH$2:AH431),$AH$2:$AH$1001,0),0), INDEX($AO$1004:$BQ$1004,1,MATCH(COLUMNS($AO$1006:BF1006),$AO$1006:$BQ$1006,0)))),"Fix")))</f>
        <v>#N/A</v>
      </c>
      <c r="T431" s="5" t="e">
        <f ca="1">IF(OR(INDEX($AI$2:$AI$1001,MATCH(ROWS($AH$2:AH431),$AH$2:$AH$1001,0),1)&gt;=100000,INDEX($AO$1005:$BQ$1005,1,MATCH(COLUMNS($AO$1006:BG1006),$AO$1006:$BQ$1006,0))&gt;=100000), " ",IF(INDEX($AO$2:$BQ$1001,MATCH(ROWS($AH$2:AH431),$AH$2:$AH$1001,0),MATCH(COLUMNS($AO$1006:BG1006),$AO$1006:$BQ$1006,0)), HYPERLINK("#",""), HYPERLINK(CONCATENATE("#Metadata!", ADDRESS(INDEX($AJ$2:$AJ$1001,MATCH(ROWS($AH$2:AH431),$AH$2:$AH$1001,0),0), INDEX($AO$1004:$BQ$1004,1,MATCH(COLUMNS($AO$1006:BG1006),$AO$1006:$BQ$1006,0)))),"Fix")))</f>
        <v>#N/A</v>
      </c>
      <c r="U431" s="5" t="e">
        <f ca="1">IF(OR(INDEX($AI$2:$AI$1001,MATCH(ROWS($AH$2:AH431),$AH$2:$AH$1001,0),1)&gt;=100000,INDEX($AO$1005:$BQ$1005,1,MATCH(COLUMNS($AO$1006:BH1006),$AO$1006:$BQ$1006,0))&gt;=100000), " ",IF(INDEX($AO$2:$BQ$1001,MATCH(ROWS($AH$2:AH431),$AH$2:$AH$1001,0),MATCH(COLUMNS($AO$1006:BH1006),$AO$1006:$BQ$1006,0)), HYPERLINK("#",""), HYPERLINK(CONCATENATE("#Metadata!", ADDRESS(INDEX($AJ$2:$AJ$1001,MATCH(ROWS($AH$2:AH431),$AH$2:$AH$1001,0),0), INDEX($AO$1004:$BQ$1004,1,MATCH(COLUMNS($AO$1006:BH1006),$AO$1006:$BQ$1006,0)))),"Fix")))</f>
        <v>#N/A</v>
      </c>
      <c r="V431" s="5" t="e">
        <f ca="1">IF(OR(INDEX($AI$2:$AI$1001,MATCH(ROWS($AH$2:AH431),$AH$2:$AH$1001,0),1)&gt;=100000,INDEX($AO$1005:$BQ$1005,1,MATCH(COLUMNS($AO$1006:BI1006),$AO$1006:$BQ$1006,0))&gt;=100000), " ",IF(INDEX($AO$2:$BQ$1001,MATCH(ROWS($AH$2:AH431),$AH$2:$AH$1001,0),MATCH(COLUMNS($AO$1006:BI1006),$AO$1006:$BQ$1006,0)), HYPERLINK("#",""), HYPERLINK(CONCATENATE("#Metadata!", ADDRESS(INDEX($AJ$2:$AJ$1001,MATCH(ROWS($AH$2:AH431),$AH$2:$AH$1001,0),0), INDEX($AO$1004:$BQ$1004,1,MATCH(COLUMNS($AO$1006:BI1006),$AO$1006:$BQ$1006,0)))),"Fix")))</f>
        <v>#N/A</v>
      </c>
      <c r="W431" s="5" t="e">
        <f ca="1">IF(OR(INDEX($AI$2:$AI$1001,MATCH(ROWS($AH$2:AH431),$AH$2:$AH$1001,0),1)&gt;=100000,INDEX($AO$1005:$BQ$1005,1,MATCH(COLUMNS($AO$1006:BJ1006),$AO$1006:$BQ$1006,0))&gt;=100000), " ",IF(INDEX($AO$2:$BQ$1001,MATCH(ROWS($AH$2:AH431),$AH$2:$AH$1001,0),MATCH(COLUMNS($AO$1006:BJ1006),$AO$1006:$BQ$1006,0)), HYPERLINK("#",""), HYPERLINK(CONCATENATE("#Metadata!", ADDRESS(INDEX($AJ$2:$AJ$1001,MATCH(ROWS($AH$2:AH431),$AH$2:$AH$1001,0),0), INDEX($AO$1004:$BQ$1004,1,MATCH(COLUMNS($AO$1006:BJ1006),$AO$1006:$BQ$1006,0)))),"Fix")))</f>
        <v>#N/A</v>
      </c>
      <c r="X431" s="5" t="e">
        <f ca="1">IF(OR(INDEX($AI$2:$AI$1001,MATCH(ROWS($AH$2:AH431),$AH$2:$AH$1001,0),1)&gt;=100000,INDEX($AO$1005:$BQ$1005,1,MATCH(COLUMNS($AO$1006:BK1006),$AO$1006:$BQ$1006,0))&gt;=100000), " ",IF(INDEX($AO$2:$BQ$1001,MATCH(ROWS($AH$2:AH431),$AH$2:$AH$1001,0),MATCH(COLUMNS($AO$1006:BK1006),$AO$1006:$BQ$1006,0)), HYPERLINK("#",""), HYPERLINK(CONCATENATE("#Metadata!", ADDRESS(INDEX($AJ$2:$AJ$1001,MATCH(ROWS($AH$2:AH431),$AH$2:$AH$1001,0),0), INDEX($AO$1004:$BQ$1004,1,MATCH(COLUMNS($AO$1006:BK1006),$AO$1006:$BQ$1006,0)))),"Fix")))</f>
        <v>#N/A</v>
      </c>
      <c r="Y431" s="5" t="e">
        <f ca="1">IF(OR(INDEX($AI$2:$AI$1001,MATCH(ROWS($AH$2:AH431),$AH$2:$AH$1001,0),1)&gt;=100000,INDEX($AO$1005:$BQ$1005,1,MATCH(COLUMNS($AO$1006:BL1006),$AO$1006:$BQ$1006,0))&gt;=100000), " ",IF(INDEX($AO$2:$BQ$1001,MATCH(ROWS($AH$2:AH431),$AH$2:$AH$1001,0),MATCH(COLUMNS($AO$1006:BL1006),$AO$1006:$BQ$1006,0)), HYPERLINK("#",""), HYPERLINK(CONCATENATE("#Metadata!", ADDRESS(INDEX($AJ$2:$AJ$1001,MATCH(ROWS($AH$2:AH431),$AH$2:$AH$1001,0),0), INDEX($AO$1004:$BQ$1004,1,MATCH(COLUMNS($AO$1006:BL1006),$AO$1006:$BQ$1006,0)))),"Fix")))</f>
        <v>#N/A</v>
      </c>
      <c r="Z431" s="5" t="e">
        <f ca="1">IF(OR(INDEX($AI$2:$AI$1001,MATCH(ROWS($AH$2:AH431),$AH$2:$AH$1001,0),1)&gt;=100000,INDEX($AO$1005:$BQ$1005,1,MATCH(COLUMNS($AO$1006:BM1006),$AO$1006:$BQ$1006,0))&gt;=100000), " ",IF(INDEX($AO$2:$BQ$1001,MATCH(ROWS($AH$2:AH431),$AH$2:$AH$1001,0),MATCH(COLUMNS($AO$1006:BM1006),$AO$1006:$BQ$1006,0)), HYPERLINK("#",""), HYPERLINK(CONCATENATE("#Metadata!", ADDRESS(INDEX($AJ$2:$AJ$1001,MATCH(ROWS($AH$2:AH431),$AH$2:$AH$1001,0),0), INDEX($AO$1004:$BQ$1004,1,MATCH(COLUMNS($AO$1006:BM1006),$AO$1006:$BQ$1006,0)))),"Fix")))</f>
        <v>#N/A</v>
      </c>
      <c r="AA431" s="5" t="e">
        <f ca="1">IF(OR(INDEX($AI$2:$AI$1001,MATCH(ROWS($AH$2:AH431),$AH$2:$AH$1001,0),1)&gt;=100000,INDEX($AO$1005:$BQ$1005,1,MATCH(COLUMNS($AO$1006:BN1006),$AO$1006:$BQ$1006,0))&gt;=100000), " ",IF(INDEX($AO$2:$BQ$1001,MATCH(ROWS($AH$2:AH431),$AH$2:$AH$1001,0),MATCH(COLUMNS($AO$1006:BN1006),$AO$1006:$BQ$1006,0)), HYPERLINK("#",""), HYPERLINK(CONCATENATE("#Metadata!", ADDRESS(INDEX($AJ$2:$AJ$1001,MATCH(ROWS($AH$2:AH431),$AH$2:$AH$1001,0),0), INDEX($AO$1004:$BQ$1004,1,MATCH(COLUMNS($AO$1006:BN1006),$AO$1006:$BQ$1006,0)))),"Fix")))</f>
        <v>#N/A</v>
      </c>
      <c r="AB431" s="5" t="e">
        <f ca="1">IF(OR(INDEX($AI$2:$AI$1001,MATCH(ROWS($AH$2:AH431),$AH$2:$AH$1001,0),1)&gt;=100000,INDEX($AO$1005:$BQ$1005,1,MATCH(COLUMNS($AO$1006:BO1006),$AO$1006:$BQ$1006,0))&gt;=100000), " ",IF(INDEX($AO$2:$BQ$1001,MATCH(ROWS($AH$2:AH431),$AH$2:$AH$1001,0),MATCH(COLUMNS($AO$1006:BO1006),$AO$1006:$BQ$1006,0)), HYPERLINK("#",""), HYPERLINK(CONCATENATE("#Metadata!", ADDRESS(INDEX($AJ$2:$AJ$1001,MATCH(ROWS($AH$2:AH431),$AH$2:$AH$1001,0),0), INDEX($AO$1004:$BQ$1004,1,MATCH(COLUMNS($AO$1006:BO1006),$AO$1006:$BQ$1006,0)))),"Fix")))</f>
        <v>#N/A</v>
      </c>
      <c r="AC431" s="5" t="e">
        <f ca="1">IF(OR(INDEX($AI$2:$AI$1001,MATCH(ROWS($AH$2:AH431),$AH$2:$AH$1001,0),1)&gt;=100000,INDEX($AO$1005:$BQ$1005,1,MATCH(COLUMNS($AO$1006:BP1006),$AO$1006:$BQ$1006,0))&gt;=100000), " ",IF(INDEX($AO$2:$BQ$1001,MATCH(ROWS($AH$2:AH431),$AH$2:$AH$1001,0),MATCH(COLUMNS($AO$1006:BP1006),$AO$1006:$BQ$1006,0)), HYPERLINK("#",""), HYPERLINK(CONCATENATE("#Metadata!", ADDRESS(INDEX($AJ$2:$AJ$1001,MATCH(ROWS($AH$2:AH431),$AH$2:$AH$1001,0),0), INDEX($AO$1004:$BQ$1004,1,MATCH(COLUMNS($AO$1006:BP1006),$AO$1006:$BQ$1006,0)))),"Fix")))</f>
        <v>#N/A</v>
      </c>
      <c r="AD431" s="5" t="e">
        <f ca="1">IF(OR(INDEX($AI$2:$AI$1001,MATCH(ROWS($AH$2:AH431),$AH$2:$AH$1001,0),1)&gt;=100000,INDEX($AO$1005:$BQ$1005,1,MATCH(COLUMNS($AO$1006:BQ1006),$AO$1006:$BQ$1006,0))&gt;=100000), " ",IF(INDEX($AO$2:$BQ$1001,MATCH(ROWS($AH$2:AH431),$AH$2:$AH$1001,0),MATCH(COLUMNS($AO$1006:BQ1006),$AO$1006:$BQ$1006,0)), HYPERLINK("#",""), HYPERLINK(CONCATENATE("#Metadata!", ADDRESS(INDEX($AJ$2:$AJ$1001,MATCH(ROWS($AH$2:AH431),$AH$2:$AH$1001,0),0), INDEX($AO$1004:$BQ$1004,1,MATCH(COLUMNS($AO$1006:BQ1006),$AO$1006:$BQ$1006,0)))),"Fix")))</f>
        <v>#REF!</v>
      </c>
      <c r="AH431">
        <f ca="1"/>
        <v>428</v>
      </c>
      <c r="AI431">
        <v>100431</v>
      </c>
      <c r="AJ431">
        <v>431</v>
      </c>
      <c r="AK431" t="b">
        <f t="shared" si="6"/>
        <v>1</v>
      </c>
      <c r="AL431" t="b">
        <f>COUNTBLANK(Metadata!B431:AD431)=COLUMNS(Metadata!B431:AD431)</f>
        <v>1</v>
      </c>
      <c r="AM431" t="str">
        <v/>
      </c>
      <c r="AO431" t="b">
        <f ca="1">AND(IF(Metadata!B431="",FALSE,TRUE),COUNTIF(Metadata!B:B, Metadata!B431) = 1,NOT(ISERROR(SUMPRODUCT(SEARCH(MID(Metadata!B431,ROW(INDIRECT("1:"&amp;LEN(Metadata!B431))), 1),"0123456789abcdefghijklmnopqrstuvwxyzABCDEFGHIJKLMNOPQRSTUVWXYZ.")))))</f>
        <v>0</v>
      </c>
      <c r="AP431" t="b">
        <f>IF(Metadata!C431="",FALSE,TRUE)</f>
        <v>0</v>
      </c>
      <c r="AQ431" t="b">
        <f>IF(Metadata!D431="",FALSE,TRUE)</f>
        <v>0</v>
      </c>
      <c r="AR431" t="b">
        <f ca="1">OR(AND(IF(Metadata!E431="",FALSE,TRUE),OR(EXACT(Metadata!E431,"not collected"),EXACT(Metadata!E431,"not provided"),EXACT(Metadata!E431,"restricted access"))),AND(IF(Metadata!E431="",FALSE,TRUE),AND(AND(IFERROR(INT(LEFT(Metadata!E431,4))&gt;1900,FALSE),IFERROR(INT(LEFT(Metadata!E431,4))&lt;=YEAR(NOW()),FALSE)), OR(MID(Metadata!E431,5,1)="", AND(AND(MID(Metadata!E431,5,1)="-",IFERROR(INT(MID(Metadata!E431,6,1))&gt;=0,FALSE),IFERROR(INT(MID(Metadata!E431,6,1))&lt;=1,FALSE),NOT(MID(Metadata!E431,7,1)=""),IFERROR(INT(MID(Metadata!E431,6,2))&gt;=1,FALSE),IFERROR(INT(MID(Metadata!E431,6,2))&lt;=12,FALSE)), OR(MID(Metadata!E431,8,1)="", AND(AND(MID(Metadata!E431,8,1)="-",IFERROR(INT(MID(Metadata!E431,9,1))&gt;=0,FALSE),IFERROR(INT(MID(Metadata!E431,9,1))&lt;=3,FALSE),NOT(MID(Metadata!E431,10,1)=""),IFERROR(INT(MID(Metadata!E431,9,2))&gt;=1,FALSE),IFERROR(INT(MID(Metadata!E431,9,2))&lt;=31,FALSE)), OR(MID(Metadata!E431,11,1)="", AND(AND(MID(Metadata!E431,11,1)=" ",IFERROR(INT(MID(Metadata!E431,12,1))&gt;=0,FALSE),IFERROR(INT(MID(Metadata!E431,12,1))&lt;=2,FALSE),NOT(MID(Metadata!E431,13,1)=""),IFERROR(INT(MID(Metadata!E431,12,2))&gt;=0,FALSE),IFERROR(INT(MID(Metadata!E431,12,2))&lt;=23,FALSE)), OR(MID(Metadata!E431,14,1)="", AND(AND(MID(Metadata!E431,14,1)=":",IFERROR(INT(MID(Metadata!E431,15,1))&gt;=0,FALSE),IFERROR(INT(MID(Metadata!E431,15,1))&lt;=5,FALSE),NOT(MID(Metadata!E431,16,1)=""),IFERROR(INT(MID(Metadata!E431,15,2))&gt;=0,FALSE),IFERROR(INT(MID(Metadata!E431,15,2))&lt;=59,FALSE)), OR(MID(Metadata!E431,17,1)="", AND(AND(MID(Metadata!E431,17,1)=":",IFERROR(INT(MID(Metadata!E431,18,1))&gt;=0,FALSE),IFERROR(INT(MID(Metadata!E431,18,1))&lt;=5,FALSE),NOT(MID(Metadata!E431,19,1)=""),IFERROR(INT(MID(Metadata!E431,18,2))&gt;=0,FALSE),IFERROR(INT(MID(Metadata!E431,18,2))&lt;=59,FALSE)), LEN(Metadata!E431)&lt;=19)))))))))))))</f>
        <v>0</v>
      </c>
      <c r="AS431" t="b">
        <f>IF(Metadata!F431="",FALSE,TRUE)</f>
        <v>0</v>
      </c>
      <c r="AT431" t="b">
        <f>OR(AND(IF(Metadata!G431="",FALSE,TRUE),OR(EXACT(Metadata!G431,"not collected"),EXACT(Metadata!G431,"not provided"))),AND(IF(Metadata!G431="",FALSE,TRUE),OR(EXACT(Metadata!G431,"TRUE"),EXACT(Metadata!G431,"FALSE"))))</f>
        <v>0</v>
      </c>
      <c r="AU431" t="b">
        <f>OR(AND(IF(Metadata!H431="",FALSE,TRUE),OR(EXACT(Metadata!H431,"not collected"),EXACT(Metadata!H431,"not provided"),EXACT(Metadata!H431,"restricted access"))),AND(IF(Metadata!H431="",FALSE,ISNUMBER(VALUE(Metadata!H431))),Metadata!H431&gt;=-413))</f>
        <v>0</v>
      </c>
      <c r="AV431" t="b">
        <f>AND(IF(Metadata!I431="",FALSE,TRUE),EXACT(Metadata!I431,"meters"))</f>
        <v>0</v>
      </c>
      <c r="AW431" t="b">
        <f>AND(IF(Metadata!J431="",FALSE,TRUE),EXACT(Metadata!J431,"free-living"))</f>
        <v>0</v>
      </c>
      <c r="AX431" t="b">
        <f>AND(IF(Metadata!K431="",FALSE,TRUE),OR(EXACT(Metadata!K431,"saline"),EXACT(Metadata!K431,"non-saline")))</f>
        <v>0</v>
      </c>
      <c r="AY431" t="b">
        <f>AND(IF(Metadata!L431="",FALSE,TRUE),OR(EXACT(Metadata!L431,"sub-surface (non-saline)"),EXACT(Metadata!L431,"surface (non-saline)"),EXACT(Metadata!L431,"water (non-saline)"),EXACT(Metadata!L431,"soil (non-saline)"),EXACT(Metadata!L431,"aerosol (non-saline)"),EXACT(Metadata!L431,"sediment (non-saline)"),EXACT(Metadata!L431,"surface (saline)"),EXACT(Metadata!L431,"water (saline)"),EXACT(Metadata!L431,"hypersaline (saline)"),EXACT(Metadata!L431,"aerosol (saline)"),EXACT(Metadata!L431,"sediment (saline)")))</f>
        <v>0</v>
      </c>
      <c r="AZ431" t="b">
        <f>IF(Metadata!M431="",FALSE,TRUE)</f>
        <v>0</v>
      </c>
      <c r="BA431" t="b">
        <f>IF(Metadata!N431="",FALSE,TRUE)</f>
        <v>0</v>
      </c>
      <c r="BB431" t="b">
        <f>IF(Metadata!O431="",FALSE,TRUE)</f>
        <v>0</v>
      </c>
      <c r="BC431" t="b">
        <f>AND(IF(Metadata!P431="",FALSE,TRUE),OR(EXACT(Metadata!P431,"air"),EXACT(Metadata!P431,"microbial mat/biofilm"),EXACT(Metadata!P431,"misc environment"),EXACT(Metadata!P431,"sediment"),EXACT(Metadata!P431,"soil"),EXACT(Metadata!P431,"wastewater/sludge"),EXACT(Metadata!P431,"water")))</f>
        <v>0</v>
      </c>
      <c r="BD431" t="b">
        <f>IF(Metadata!Q431="",FALSE,TRUE)</f>
        <v>0</v>
      </c>
      <c r="BE431" t="b">
        <f>IF(Metadata!R431="",FALSE,TRUE)</f>
        <v>0</v>
      </c>
      <c r="BF431" t="b">
        <f>OR(AND(IF(Metadata!S431="",FALSE,TRUE),OR(EXACT(Metadata!S431,"not collected"),EXACT(Metadata!S431,"not provided"),EXACT(Metadata!S431,"restricted access"))),AND(IF(Metadata!S431="",FALSE,ISNUMBER(VALUE(Metadata!S431))),Metadata!S431&gt;=-90,Metadata!S431&lt;=90))</f>
        <v>0</v>
      </c>
      <c r="BG431" t="b">
        <f>AND(IF(Metadata!T431="",FALSE,TRUE),EXACT(Metadata!T431,"Decimal degrees"))</f>
        <v>0</v>
      </c>
      <c r="BH431" t="b">
        <f>OR(AND(IF(Metadata!U431="",FALSE,TRUE),OR(EXACT(Metadata!U431,"not applicable"),EXACT(Metadata!U431,"not collected"))),IF(Metadata!U431="",FALSE,TRUE))</f>
        <v>0</v>
      </c>
      <c r="BI431" t="b">
        <f>OR(AND(IF(Metadata!V431="",FALSE,TRUE),OR(EXACT(Metadata!V431,"not collected"),EXACT(Metadata!V431,"not provided"),EXACT(Metadata!V431,"restricted access"))),AND(IF(Metadata!V431="",FALSE,ISNUMBER(VALUE(Metadata!V431))),Metadata!V431&gt;=-180,Metadata!V431&lt;=180))</f>
        <v>0</v>
      </c>
      <c r="BJ431" t="b">
        <f>AND(IF(Metadata!W431="",FALSE,TRUE),EXACT(Metadata!W431,"Decimal degrees"))</f>
        <v>0</v>
      </c>
      <c r="BK431" t="b">
        <f>IF(Metadata!X431="",FALSE,TRUE)</f>
        <v>0</v>
      </c>
      <c r="BL431" t="b">
        <f>OR(AND(IF(Metadata!Y431="",FALSE,TRUE),OR(EXACT(Metadata!Y431,"not collected"),EXACT(Metadata!Y431,"not provided"),EXACT(Metadata!Y431,"restricted access"))),AND(IF(Metadata!Y431="",FALSE,TRUE),OR(EXACT(Metadata!Y431,"TRUE"),EXACT(Metadata!Y431,"FALSE"))))</f>
        <v>0</v>
      </c>
      <c r="BM431" t="b">
        <f>OR(AND(IF(Metadata!Z431="",FALSE,TRUE),EXACT(Metadata!Z431,"not applicable")),AND(IF(Metadata!Z431="",FALSE,TRUE),OR(EXACT(Metadata!Z431,"beer"),EXACT(Metadata!Z431,"cheese"),EXACT(Metadata!Z431,"fresh water"),EXACT(Metadata!Z431,"marine sediment"),EXACT(Metadata!Z431,"sea water"),EXACT(Metadata!Z431,"sediment"),EXACT(Metadata!Z431,"soil"),EXACT(Metadata!Z431,"waste water"))))</f>
        <v>0</v>
      </c>
      <c r="BN431" t="b">
        <f>AND(IF(Metadata!AA431="",FALSE,TRUE),EXACT(Metadata!AA431,"metagenome"))</f>
        <v>0</v>
      </c>
      <c r="BO431" t="b">
        <f>AND(IF(Metadata!AB431="",FALSE,TRUE),EXACT(Metadata!AB431,"256318"))</f>
        <v>0</v>
      </c>
      <c r="BP431" t="b">
        <f>IF(Metadata!AC431="",FALSE,TRUE)</f>
        <v>0</v>
      </c>
      <c r="BQ431" t="b">
        <f>IF(Metadata!AD431="",FALSE,TRUE)</f>
        <v>0</v>
      </c>
    </row>
    <row r="432" spans="1:69" x14ac:dyDescent="0.2">
      <c r="A432" s="4" t="e">
        <f ca="1">IF(B432=" "," ",HYPERLINK(CONCATENATE("#metadata!",ADDRESS(INDEX($AJ$2:$AJ$1001,MATCH(ROWS($AH$2:AH432),$AH$2:$AH$1001,0),0),2)),INDEX($AM$2:$AM$1001,MATCH(ROWS($AH$2:AH432),$AH$2:$AH$1001,0),0)))</f>
        <v>#N/A</v>
      </c>
      <c r="B432" s="5" t="e">
        <f ca="1">IF(OR(INDEX($AI$2:$AI$1001,MATCH(ROWS($AH$2:AH432),$AH$2:$AH$1001,0),1)&gt;=100000,INDEX($AO$1005:$BQ$1005,1,MATCH(COLUMNS($AO$1006:AO1006),$AO$1006:$BQ$1006,0))&gt;=100000), " ",IF(INDEX($AO$2:$BQ$1001,MATCH(ROWS($AH$2:AH432),$AH$2:$AH$1001,0),MATCH(COLUMNS($AO$1006:AO1006),$AO$1006:$BQ$1006,0)), HYPERLINK("#",""), HYPERLINK(CONCATENATE("#Metadata!", ADDRESS(INDEX($AJ$2:$AJ$1001,MATCH(ROWS($AH$2:AH432),$AH$2:$AH$1001,0),0), INDEX($AO$1004:$BQ$1004,1,MATCH(COLUMNS($AO$1006:AO1006),$AO$1006:$BQ$1006,0)))),"Fix")))</f>
        <v>#N/A</v>
      </c>
      <c r="C432" s="5" t="e">
        <f ca="1">IF(OR(INDEX($AI$2:$AI$1001,MATCH(ROWS($AH$2:AH432),$AH$2:$AH$1001,0),1)&gt;=100000,INDEX($AO$1005:$BQ$1005,1,MATCH(COLUMNS($AO$1006:AP1006),$AO$1006:$BQ$1006,0))&gt;=100000), " ",IF(INDEX($AO$2:$BQ$1001,MATCH(ROWS($AH$2:AH432),$AH$2:$AH$1001,0),MATCH(COLUMNS($AO$1006:AP1006),$AO$1006:$BQ$1006,0)), HYPERLINK("#",""), HYPERLINK(CONCATENATE("#Metadata!", ADDRESS(INDEX($AJ$2:$AJ$1001,MATCH(ROWS($AH$2:AH432),$AH$2:$AH$1001,0),0), INDEX($AO$1004:$BQ$1004,1,MATCH(COLUMNS($AO$1006:AP1006),$AO$1006:$BQ$1006,0)))),"Fix")))</f>
        <v>#N/A</v>
      </c>
      <c r="D432" s="5" t="e">
        <f ca="1">IF(OR(INDEX($AI$2:$AI$1001,MATCH(ROWS($AH$2:AH432),$AH$2:$AH$1001,0),1)&gt;=100000,INDEX($AO$1005:$BQ$1005,1,MATCH(COLUMNS($AO$1006:AQ1006),$AO$1006:$BQ$1006,0))&gt;=100000), " ",IF(INDEX($AO$2:$BQ$1001,MATCH(ROWS($AH$2:AH432),$AH$2:$AH$1001,0),MATCH(COLUMNS($AO$1006:AQ1006),$AO$1006:$BQ$1006,0)), HYPERLINK("#",""), HYPERLINK(CONCATENATE("#Metadata!", ADDRESS(INDEX($AJ$2:$AJ$1001,MATCH(ROWS($AH$2:AH432),$AH$2:$AH$1001,0),0), INDEX($AO$1004:$BQ$1004,1,MATCH(COLUMNS($AO$1006:AQ1006),$AO$1006:$BQ$1006,0)))),"Fix")))</f>
        <v>#N/A</v>
      </c>
      <c r="E432" s="5" t="e">
        <f ca="1">IF(OR(INDEX($AI$2:$AI$1001,MATCH(ROWS($AH$2:AH432),$AH$2:$AH$1001,0),1)&gt;=100000,INDEX($AO$1005:$BQ$1005,1,MATCH(COLUMNS($AO$1006:AR1006),$AO$1006:$BQ$1006,0))&gt;=100000), " ",IF(INDEX($AO$2:$BQ$1001,MATCH(ROWS($AH$2:AH432),$AH$2:$AH$1001,0),MATCH(COLUMNS($AO$1006:AR1006),$AO$1006:$BQ$1006,0)), HYPERLINK("#",""), HYPERLINK(CONCATENATE("#Metadata!", ADDRESS(INDEX($AJ$2:$AJ$1001,MATCH(ROWS($AH$2:AH432),$AH$2:$AH$1001,0),0), INDEX($AO$1004:$BQ$1004,1,MATCH(COLUMNS($AO$1006:AR1006),$AO$1006:$BQ$1006,0)))),"Fix")))</f>
        <v>#N/A</v>
      </c>
      <c r="F432" s="5" t="e">
        <f ca="1">IF(OR(INDEX($AI$2:$AI$1001,MATCH(ROWS($AH$2:AH432),$AH$2:$AH$1001,0),1)&gt;=100000,INDEX($AO$1005:$BQ$1005,1,MATCH(COLUMNS($AO$1006:AS1006),$AO$1006:$BQ$1006,0))&gt;=100000), " ",IF(INDEX($AO$2:$BQ$1001,MATCH(ROWS($AH$2:AH432),$AH$2:$AH$1001,0),MATCH(COLUMNS($AO$1006:AS1006),$AO$1006:$BQ$1006,0)), HYPERLINK("#",""), HYPERLINK(CONCATENATE("#Metadata!", ADDRESS(INDEX($AJ$2:$AJ$1001,MATCH(ROWS($AH$2:AH432),$AH$2:$AH$1001,0),0), INDEX($AO$1004:$BQ$1004,1,MATCH(COLUMNS($AO$1006:AS1006),$AO$1006:$BQ$1006,0)))),"Fix")))</f>
        <v>#N/A</v>
      </c>
      <c r="G432" s="5" t="e">
        <f ca="1">IF(OR(INDEX($AI$2:$AI$1001,MATCH(ROWS($AH$2:AH432),$AH$2:$AH$1001,0),1)&gt;=100000,INDEX($AO$1005:$BQ$1005,1,MATCH(COLUMNS($AO$1006:AT1006),$AO$1006:$BQ$1006,0))&gt;=100000), " ",IF(INDEX($AO$2:$BQ$1001,MATCH(ROWS($AH$2:AH432),$AH$2:$AH$1001,0),MATCH(COLUMNS($AO$1006:AT1006),$AO$1006:$BQ$1006,0)), HYPERLINK("#",""), HYPERLINK(CONCATENATE("#Metadata!", ADDRESS(INDEX($AJ$2:$AJ$1001,MATCH(ROWS($AH$2:AH432),$AH$2:$AH$1001,0),0), INDEX($AO$1004:$BQ$1004,1,MATCH(COLUMNS($AO$1006:AT1006),$AO$1006:$BQ$1006,0)))),"Fix")))</f>
        <v>#N/A</v>
      </c>
      <c r="H432" s="5" t="e">
        <f ca="1">IF(OR(INDEX($AI$2:$AI$1001,MATCH(ROWS($AH$2:AH432),$AH$2:$AH$1001,0),1)&gt;=100000,INDEX($AO$1005:$BQ$1005,1,MATCH(COLUMNS($AO$1006:AU1006),$AO$1006:$BQ$1006,0))&gt;=100000), " ",IF(INDEX($AO$2:$BQ$1001,MATCH(ROWS($AH$2:AH432),$AH$2:$AH$1001,0),MATCH(COLUMNS($AO$1006:AU1006),$AO$1006:$BQ$1006,0)), HYPERLINK("#",""), HYPERLINK(CONCATENATE("#Metadata!", ADDRESS(INDEX($AJ$2:$AJ$1001,MATCH(ROWS($AH$2:AH432),$AH$2:$AH$1001,0),0), INDEX($AO$1004:$BQ$1004,1,MATCH(COLUMNS($AO$1006:AU1006),$AO$1006:$BQ$1006,0)))),"Fix")))</f>
        <v>#N/A</v>
      </c>
      <c r="I432" s="5" t="e">
        <f ca="1">IF(OR(INDEX($AI$2:$AI$1001,MATCH(ROWS($AH$2:AH432),$AH$2:$AH$1001,0),1)&gt;=100000,INDEX($AO$1005:$BQ$1005,1,MATCH(COLUMNS($AO$1006:AV1006),$AO$1006:$BQ$1006,0))&gt;=100000), " ",IF(INDEX($AO$2:$BQ$1001,MATCH(ROWS($AH$2:AH432),$AH$2:$AH$1001,0),MATCH(COLUMNS($AO$1006:AV1006),$AO$1006:$BQ$1006,0)), HYPERLINK("#",""), HYPERLINK(CONCATENATE("#Metadata!", ADDRESS(INDEX($AJ$2:$AJ$1001,MATCH(ROWS($AH$2:AH432),$AH$2:$AH$1001,0),0), INDEX($AO$1004:$BQ$1004,1,MATCH(COLUMNS($AO$1006:AV1006),$AO$1006:$BQ$1006,0)))),"Fix")))</f>
        <v>#N/A</v>
      </c>
      <c r="J432" s="5" t="e">
        <f ca="1">IF(OR(INDEX($AI$2:$AI$1001,MATCH(ROWS($AH$2:AH432),$AH$2:$AH$1001,0),1)&gt;=100000,INDEX($AO$1005:$BQ$1005,1,MATCH(COLUMNS($AO$1006:AW1006),$AO$1006:$BQ$1006,0))&gt;=100000), " ",IF(INDEX($AO$2:$BQ$1001,MATCH(ROWS($AH$2:AH432),$AH$2:$AH$1001,0),MATCH(COLUMNS($AO$1006:AW1006),$AO$1006:$BQ$1006,0)), HYPERLINK("#",""), HYPERLINK(CONCATENATE("#Metadata!", ADDRESS(INDEX($AJ$2:$AJ$1001,MATCH(ROWS($AH$2:AH432),$AH$2:$AH$1001,0),0), INDEX($AO$1004:$BQ$1004,1,MATCH(COLUMNS($AO$1006:AW1006),$AO$1006:$BQ$1006,0)))),"Fix")))</f>
        <v>#N/A</v>
      </c>
      <c r="K432" s="5" t="e">
        <f ca="1">IF(OR(INDEX($AI$2:$AI$1001,MATCH(ROWS($AH$2:AH432),$AH$2:$AH$1001,0),1)&gt;=100000,INDEX($AO$1005:$BQ$1005,1,MATCH(COLUMNS($AO$1006:AX1006),$AO$1006:$BQ$1006,0))&gt;=100000), " ",IF(INDEX($AO$2:$BQ$1001,MATCH(ROWS($AH$2:AH432),$AH$2:$AH$1001,0),MATCH(COLUMNS($AO$1006:AX1006),$AO$1006:$BQ$1006,0)), HYPERLINK("#",""), HYPERLINK(CONCATENATE("#Metadata!", ADDRESS(INDEX($AJ$2:$AJ$1001,MATCH(ROWS($AH$2:AH432),$AH$2:$AH$1001,0),0), INDEX($AO$1004:$BQ$1004,1,MATCH(COLUMNS($AO$1006:AX1006),$AO$1006:$BQ$1006,0)))),"Fix")))</f>
        <v>#N/A</v>
      </c>
      <c r="L432" s="5" t="e">
        <f ca="1">IF(OR(INDEX($AI$2:$AI$1001,MATCH(ROWS($AH$2:AH432),$AH$2:$AH$1001,0),1)&gt;=100000,INDEX($AO$1005:$BQ$1005,1,MATCH(COLUMNS($AO$1006:AY1006),$AO$1006:$BQ$1006,0))&gt;=100000), " ",IF(INDEX($AO$2:$BQ$1001,MATCH(ROWS($AH$2:AH432),$AH$2:$AH$1001,0),MATCH(COLUMNS($AO$1006:AY1006),$AO$1006:$BQ$1006,0)), HYPERLINK("#",""), HYPERLINK(CONCATENATE("#Metadata!", ADDRESS(INDEX($AJ$2:$AJ$1001,MATCH(ROWS($AH$2:AH432),$AH$2:$AH$1001,0),0), INDEX($AO$1004:$BQ$1004,1,MATCH(COLUMNS($AO$1006:AY1006),$AO$1006:$BQ$1006,0)))),"Fix")))</f>
        <v>#N/A</v>
      </c>
      <c r="M432" s="5" t="e">
        <f ca="1">IF(OR(INDEX($AI$2:$AI$1001,MATCH(ROWS($AH$2:AH432),$AH$2:$AH$1001,0),1)&gt;=100000,INDEX($AO$1005:$BQ$1005,1,MATCH(COLUMNS($AO$1006:AZ1006),$AO$1006:$BQ$1006,0))&gt;=100000), " ",IF(INDEX($AO$2:$BQ$1001,MATCH(ROWS($AH$2:AH432),$AH$2:$AH$1001,0),MATCH(COLUMNS($AO$1006:AZ1006),$AO$1006:$BQ$1006,0)), HYPERLINK("#",""), HYPERLINK(CONCATENATE("#Metadata!", ADDRESS(INDEX($AJ$2:$AJ$1001,MATCH(ROWS($AH$2:AH432),$AH$2:$AH$1001,0),0), INDEX($AO$1004:$BQ$1004,1,MATCH(COLUMNS($AO$1006:AZ1006),$AO$1006:$BQ$1006,0)))),"Fix")))</f>
        <v>#N/A</v>
      </c>
      <c r="N432" s="5" t="e">
        <f ca="1">IF(OR(INDEX($AI$2:$AI$1001,MATCH(ROWS($AH$2:AH432),$AH$2:$AH$1001,0),1)&gt;=100000,INDEX($AO$1005:$BQ$1005,1,MATCH(COLUMNS($AO$1006:BA1006),$AO$1006:$BQ$1006,0))&gt;=100000), " ",IF(INDEX($AO$2:$BQ$1001,MATCH(ROWS($AH$2:AH432),$AH$2:$AH$1001,0),MATCH(COLUMNS($AO$1006:BA1006),$AO$1006:$BQ$1006,0)), HYPERLINK("#",""), HYPERLINK(CONCATENATE("#Metadata!", ADDRESS(INDEX($AJ$2:$AJ$1001,MATCH(ROWS($AH$2:AH432),$AH$2:$AH$1001,0),0), INDEX($AO$1004:$BQ$1004,1,MATCH(COLUMNS($AO$1006:BA1006),$AO$1006:$BQ$1006,0)))),"Fix")))</f>
        <v>#N/A</v>
      </c>
      <c r="O432" s="5" t="e">
        <f ca="1">IF(OR(INDEX($AI$2:$AI$1001,MATCH(ROWS($AH$2:AH432),$AH$2:$AH$1001,0),1)&gt;=100000,INDEX($AO$1005:$BQ$1005,1,MATCH(COLUMNS($AO$1006:BB1006),$AO$1006:$BQ$1006,0))&gt;=100000), " ",IF(INDEX($AO$2:$BQ$1001,MATCH(ROWS($AH$2:AH432),$AH$2:$AH$1001,0),MATCH(COLUMNS($AO$1006:BB1006),$AO$1006:$BQ$1006,0)), HYPERLINK("#",""), HYPERLINK(CONCATENATE("#Metadata!", ADDRESS(INDEX($AJ$2:$AJ$1001,MATCH(ROWS($AH$2:AH432),$AH$2:$AH$1001,0),0), INDEX($AO$1004:$BQ$1004,1,MATCH(COLUMNS($AO$1006:BB1006),$AO$1006:$BQ$1006,0)))),"Fix")))</f>
        <v>#N/A</v>
      </c>
      <c r="P432" s="5" t="e">
        <f ca="1">IF(OR(INDEX($AI$2:$AI$1001,MATCH(ROWS($AH$2:AH432),$AH$2:$AH$1001,0),1)&gt;=100000,INDEX($AO$1005:$BQ$1005,1,MATCH(COLUMNS($AO$1006:BC1006),$AO$1006:$BQ$1006,0))&gt;=100000), " ",IF(INDEX($AO$2:$BQ$1001,MATCH(ROWS($AH$2:AH432),$AH$2:$AH$1001,0),MATCH(COLUMNS($AO$1006:BC1006),$AO$1006:$BQ$1006,0)), HYPERLINK("#",""), HYPERLINK(CONCATENATE("#Metadata!", ADDRESS(INDEX($AJ$2:$AJ$1001,MATCH(ROWS($AH$2:AH432),$AH$2:$AH$1001,0),0), INDEX($AO$1004:$BQ$1004,1,MATCH(COLUMNS($AO$1006:BC1006),$AO$1006:$BQ$1006,0)))),"Fix")))</f>
        <v>#N/A</v>
      </c>
      <c r="Q432" s="5" t="e">
        <f ca="1">IF(OR(INDEX($AI$2:$AI$1001,MATCH(ROWS($AH$2:AH432),$AH$2:$AH$1001,0),1)&gt;=100000,INDEX($AO$1005:$BQ$1005,1,MATCH(COLUMNS($AO$1006:BD1006),$AO$1006:$BQ$1006,0))&gt;=100000), " ",IF(INDEX($AO$2:$BQ$1001,MATCH(ROWS($AH$2:AH432),$AH$2:$AH$1001,0),MATCH(COLUMNS($AO$1006:BD1006),$AO$1006:$BQ$1006,0)), HYPERLINK("#",""), HYPERLINK(CONCATENATE("#Metadata!", ADDRESS(INDEX($AJ$2:$AJ$1001,MATCH(ROWS($AH$2:AH432),$AH$2:$AH$1001,0),0), INDEX($AO$1004:$BQ$1004,1,MATCH(COLUMNS($AO$1006:BD1006),$AO$1006:$BQ$1006,0)))),"Fix")))</f>
        <v>#N/A</v>
      </c>
      <c r="R432" s="5" t="e">
        <f ca="1">IF(OR(INDEX($AI$2:$AI$1001,MATCH(ROWS($AH$2:AH432),$AH$2:$AH$1001,0),1)&gt;=100000,INDEX($AO$1005:$BQ$1005,1,MATCH(COLUMNS($AO$1006:BE1006),$AO$1006:$BQ$1006,0))&gt;=100000), " ",IF(INDEX($AO$2:$BQ$1001,MATCH(ROWS($AH$2:AH432),$AH$2:$AH$1001,0),MATCH(COLUMNS($AO$1006:BE1006),$AO$1006:$BQ$1006,0)), HYPERLINK("#",""), HYPERLINK(CONCATENATE("#Metadata!", ADDRESS(INDEX($AJ$2:$AJ$1001,MATCH(ROWS($AH$2:AH432),$AH$2:$AH$1001,0),0), INDEX($AO$1004:$BQ$1004,1,MATCH(COLUMNS($AO$1006:BE1006),$AO$1006:$BQ$1006,0)))),"Fix")))</f>
        <v>#N/A</v>
      </c>
      <c r="S432" s="5" t="e">
        <f ca="1">IF(OR(INDEX($AI$2:$AI$1001,MATCH(ROWS($AH$2:AH432),$AH$2:$AH$1001,0),1)&gt;=100000,INDEX($AO$1005:$BQ$1005,1,MATCH(COLUMNS($AO$1006:BF1006),$AO$1006:$BQ$1006,0))&gt;=100000), " ",IF(INDEX($AO$2:$BQ$1001,MATCH(ROWS($AH$2:AH432),$AH$2:$AH$1001,0),MATCH(COLUMNS($AO$1006:BF1006),$AO$1006:$BQ$1006,0)), HYPERLINK("#",""), HYPERLINK(CONCATENATE("#Metadata!", ADDRESS(INDEX($AJ$2:$AJ$1001,MATCH(ROWS($AH$2:AH432),$AH$2:$AH$1001,0),0), INDEX($AO$1004:$BQ$1004,1,MATCH(COLUMNS($AO$1006:BF1006),$AO$1006:$BQ$1006,0)))),"Fix")))</f>
        <v>#N/A</v>
      </c>
      <c r="T432" s="5" t="e">
        <f ca="1">IF(OR(INDEX($AI$2:$AI$1001,MATCH(ROWS($AH$2:AH432),$AH$2:$AH$1001,0),1)&gt;=100000,INDEX($AO$1005:$BQ$1005,1,MATCH(COLUMNS($AO$1006:BG1006),$AO$1006:$BQ$1006,0))&gt;=100000), " ",IF(INDEX($AO$2:$BQ$1001,MATCH(ROWS($AH$2:AH432),$AH$2:$AH$1001,0),MATCH(COLUMNS($AO$1006:BG1006),$AO$1006:$BQ$1006,0)), HYPERLINK("#",""), HYPERLINK(CONCATENATE("#Metadata!", ADDRESS(INDEX($AJ$2:$AJ$1001,MATCH(ROWS($AH$2:AH432),$AH$2:$AH$1001,0),0), INDEX($AO$1004:$BQ$1004,1,MATCH(COLUMNS($AO$1006:BG1006),$AO$1006:$BQ$1006,0)))),"Fix")))</f>
        <v>#N/A</v>
      </c>
      <c r="U432" s="5" t="e">
        <f ca="1">IF(OR(INDEX($AI$2:$AI$1001,MATCH(ROWS($AH$2:AH432),$AH$2:$AH$1001,0),1)&gt;=100000,INDEX($AO$1005:$BQ$1005,1,MATCH(COLUMNS($AO$1006:BH1006),$AO$1006:$BQ$1006,0))&gt;=100000), " ",IF(INDEX($AO$2:$BQ$1001,MATCH(ROWS($AH$2:AH432),$AH$2:$AH$1001,0),MATCH(COLUMNS($AO$1006:BH1006),$AO$1006:$BQ$1006,0)), HYPERLINK("#",""), HYPERLINK(CONCATENATE("#Metadata!", ADDRESS(INDEX($AJ$2:$AJ$1001,MATCH(ROWS($AH$2:AH432),$AH$2:$AH$1001,0),0), INDEX($AO$1004:$BQ$1004,1,MATCH(COLUMNS($AO$1006:BH1006),$AO$1006:$BQ$1006,0)))),"Fix")))</f>
        <v>#N/A</v>
      </c>
      <c r="V432" s="5" t="e">
        <f ca="1">IF(OR(INDEX($AI$2:$AI$1001,MATCH(ROWS($AH$2:AH432),$AH$2:$AH$1001,0),1)&gt;=100000,INDEX($AO$1005:$BQ$1005,1,MATCH(COLUMNS($AO$1006:BI1006),$AO$1006:$BQ$1006,0))&gt;=100000), " ",IF(INDEX($AO$2:$BQ$1001,MATCH(ROWS($AH$2:AH432),$AH$2:$AH$1001,0),MATCH(COLUMNS($AO$1006:BI1006),$AO$1006:$BQ$1006,0)), HYPERLINK("#",""), HYPERLINK(CONCATENATE("#Metadata!", ADDRESS(INDEX($AJ$2:$AJ$1001,MATCH(ROWS($AH$2:AH432),$AH$2:$AH$1001,0),0), INDEX($AO$1004:$BQ$1004,1,MATCH(COLUMNS($AO$1006:BI1006),$AO$1006:$BQ$1006,0)))),"Fix")))</f>
        <v>#N/A</v>
      </c>
      <c r="W432" s="5" t="e">
        <f ca="1">IF(OR(INDEX($AI$2:$AI$1001,MATCH(ROWS($AH$2:AH432),$AH$2:$AH$1001,0),1)&gt;=100000,INDEX($AO$1005:$BQ$1005,1,MATCH(COLUMNS($AO$1006:BJ1006),$AO$1006:$BQ$1006,0))&gt;=100000), " ",IF(INDEX($AO$2:$BQ$1001,MATCH(ROWS($AH$2:AH432),$AH$2:$AH$1001,0),MATCH(COLUMNS($AO$1006:BJ1006),$AO$1006:$BQ$1006,0)), HYPERLINK("#",""), HYPERLINK(CONCATENATE("#Metadata!", ADDRESS(INDEX($AJ$2:$AJ$1001,MATCH(ROWS($AH$2:AH432),$AH$2:$AH$1001,0),0), INDEX($AO$1004:$BQ$1004,1,MATCH(COLUMNS($AO$1006:BJ1006),$AO$1006:$BQ$1006,0)))),"Fix")))</f>
        <v>#N/A</v>
      </c>
      <c r="X432" s="5" t="e">
        <f ca="1">IF(OR(INDEX($AI$2:$AI$1001,MATCH(ROWS($AH$2:AH432),$AH$2:$AH$1001,0),1)&gt;=100000,INDEX($AO$1005:$BQ$1005,1,MATCH(COLUMNS($AO$1006:BK1006),$AO$1006:$BQ$1006,0))&gt;=100000), " ",IF(INDEX($AO$2:$BQ$1001,MATCH(ROWS($AH$2:AH432),$AH$2:$AH$1001,0),MATCH(COLUMNS($AO$1006:BK1006),$AO$1006:$BQ$1006,0)), HYPERLINK("#",""), HYPERLINK(CONCATENATE("#Metadata!", ADDRESS(INDEX($AJ$2:$AJ$1001,MATCH(ROWS($AH$2:AH432),$AH$2:$AH$1001,0),0), INDEX($AO$1004:$BQ$1004,1,MATCH(COLUMNS($AO$1006:BK1006),$AO$1006:$BQ$1006,0)))),"Fix")))</f>
        <v>#N/A</v>
      </c>
      <c r="Y432" s="5" t="e">
        <f ca="1">IF(OR(INDEX($AI$2:$AI$1001,MATCH(ROWS($AH$2:AH432),$AH$2:$AH$1001,0),1)&gt;=100000,INDEX($AO$1005:$BQ$1005,1,MATCH(COLUMNS($AO$1006:BL1006),$AO$1006:$BQ$1006,0))&gt;=100000), " ",IF(INDEX($AO$2:$BQ$1001,MATCH(ROWS($AH$2:AH432),$AH$2:$AH$1001,0),MATCH(COLUMNS($AO$1006:BL1006),$AO$1006:$BQ$1006,0)), HYPERLINK("#",""), HYPERLINK(CONCATENATE("#Metadata!", ADDRESS(INDEX($AJ$2:$AJ$1001,MATCH(ROWS($AH$2:AH432),$AH$2:$AH$1001,0),0), INDEX($AO$1004:$BQ$1004,1,MATCH(COLUMNS($AO$1006:BL1006),$AO$1006:$BQ$1006,0)))),"Fix")))</f>
        <v>#N/A</v>
      </c>
      <c r="Z432" s="5" t="e">
        <f ca="1">IF(OR(INDEX($AI$2:$AI$1001,MATCH(ROWS($AH$2:AH432),$AH$2:$AH$1001,0),1)&gt;=100000,INDEX($AO$1005:$BQ$1005,1,MATCH(COLUMNS($AO$1006:BM1006),$AO$1006:$BQ$1006,0))&gt;=100000), " ",IF(INDEX($AO$2:$BQ$1001,MATCH(ROWS($AH$2:AH432),$AH$2:$AH$1001,0),MATCH(COLUMNS($AO$1006:BM1006),$AO$1006:$BQ$1006,0)), HYPERLINK("#",""), HYPERLINK(CONCATENATE("#Metadata!", ADDRESS(INDEX($AJ$2:$AJ$1001,MATCH(ROWS($AH$2:AH432),$AH$2:$AH$1001,0),0), INDEX($AO$1004:$BQ$1004,1,MATCH(COLUMNS($AO$1006:BM1006),$AO$1006:$BQ$1006,0)))),"Fix")))</f>
        <v>#N/A</v>
      </c>
      <c r="AA432" s="5" t="e">
        <f ca="1">IF(OR(INDEX($AI$2:$AI$1001,MATCH(ROWS($AH$2:AH432),$AH$2:$AH$1001,0),1)&gt;=100000,INDEX($AO$1005:$BQ$1005,1,MATCH(COLUMNS($AO$1006:BN1006),$AO$1006:$BQ$1006,0))&gt;=100000), " ",IF(INDEX($AO$2:$BQ$1001,MATCH(ROWS($AH$2:AH432),$AH$2:$AH$1001,0),MATCH(COLUMNS($AO$1006:BN1006),$AO$1006:$BQ$1006,0)), HYPERLINK("#",""), HYPERLINK(CONCATENATE("#Metadata!", ADDRESS(INDEX($AJ$2:$AJ$1001,MATCH(ROWS($AH$2:AH432),$AH$2:$AH$1001,0),0), INDEX($AO$1004:$BQ$1004,1,MATCH(COLUMNS($AO$1006:BN1006),$AO$1006:$BQ$1006,0)))),"Fix")))</f>
        <v>#N/A</v>
      </c>
      <c r="AB432" s="5" t="e">
        <f ca="1">IF(OR(INDEX($AI$2:$AI$1001,MATCH(ROWS($AH$2:AH432),$AH$2:$AH$1001,0),1)&gt;=100000,INDEX($AO$1005:$BQ$1005,1,MATCH(COLUMNS($AO$1006:BO1006),$AO$1006:$BQ$1006,0))&gt;=100000), " ",IF(INDEX($AO$2:$BQ$1001,MATCH(ROWS($AH$2:AH432),$AH$2:$AH$1001,0),MATCH(COLUMNS($AO$1006:BO1006),$AO$1006:$BQ$1006,0)), HYPERLINK("#",""), HYPERLINK(CONCATENATE("#Metadata!", ADDRESS(INDEX($AJ$2:$AJ$1001,MATCH(ROWS($AH$2:AH432),$AH$2:$AH$1001,0),0), INDEX($AO$1004:$BQ$1004,1,MATCH(COLUMNS($AO$1006:BO1006),$AO$1006:$BQ$1006,0)))),"Fix")))</f>
        <v>#N/A</v>
      </c>
      <c r="AC432" s="5" t="e">
        <f ca="1">IF(OR(INDEX($AI$2:$AI$1001,MATCH(ROWS($AH$2:AH432),$AH$2:$AH$1001,0),1)&gt;=100000,INDEX($AO$1005:$BQ$1005,1,MATCH(COLUMNS($AO$1006:BP1006),$AO$1006:$BQ$1006,0))&gt;=100000), " ",IF(INDEX($AO$2:$BQ$1001,MATCH(ROWS($AH$2:AH432),$AH$2:$AH$1001,0),MATCH(COLUMNS($AO$1006:BP1006),$AO$1006:$BQ$1006,0)), HYPERLINK("#",""), HYPERLINK(CONCATENATE("#Metadata!", ADDRESS(INDEX($AJ$2:$AJ$1001,MATCH(ROWS($AH$2:AH432),$AH$2:$AH$1001,0),0), INDEX($AO$1004:$BQ$1004,1,MATCH(COLUMNS($AO$1006:BP1006),$AO$1006:$BQ$1006,0)))),"Fix")))</f>
        <v>#N/A</v>
      </c>
      <c r="AD432" s="5" t="e">
        <f ca="1">IF(OR(INDEX($AI$2:$AI$1001,MATCH(ROWS($AH$2:AH432),$AH$2:$AH$1001,0),1)&gt;=100000,INDEX($AO$1005:$BQ$1005,1,MATCH(COLUMNS($AO$1006:BQ1006),$AO$1006:$BQ$1006,0))&gt;=100000), " ",IF(INDEX($AO$2:$BQ$1001,MATCH(ROWS($AH$2:AH432),$AH$2:$AH$1001,0),MATCH(COLUMNS($AO$1006:BQ1006),$AO$1006:$BQ$1006,0)), HYPERLINK("#",""), HYPERLINK(CONCATENATE("#Metadata!", ADDRESS(INDEX($AJ$2:$AJ$1001,MATCH(ROWS($AH$2:AH432),$AH$2:$AH$1001,0),0), INDEX($AO$1004:$BQ$1004,1,MATCH(COLUMNS($AO$1006:BQ1006),$AO$1006:$BQ$1006,0)))),"Fix")))</f>
        <v>#REF!</v>
      </c>
      <c r="AH432">
        <f ca="1"/>
        <v>429</v>
      </c>
      <c r="AI432">
        <v>100432</v>
      </c>
      <c r="AJ432">
        <v>432</v>
      </c>
      <c r="AK432" t="b">
        <f t="shared" si="6"/>
        <v>1</v>
      </c>
      <c r="AL432" t="b">
        <f>COUNTBLANK(Metadata!B432:AD432)=COLUMNS(Metadata!B432:AD432)</f>
        <v>1</v>
      </c>
      <c r="AM432" t="str">
        <v/>
      </c>
      <c r="AO432" t="b">
        <f ca="1">AND(IF(Metadata!B432="",FALSE,TRUE),COUNTIF(Metadata!B:B, Metadata!B432) = 1,NOT(ISERROR(SUMPRODUCT(SEARCH(MID(Metadata!B432,ROW(INDIRECT("1:"&amp;LEN(Metadata!B432))), 1),"0123456789abcdefghijklmnopqrstuvwxyzABCDEFGHIJKLMNOPQRSTUVWXYZ.")))))</f>
        <v>0</v>
      </c>
      <c r="AP432" t="b">
        <f>IF(Metadata!C432="",FALSE,TRUE)</f>
        <v>0</v>
      </c>
      <c r="AQ432" t="b">
        <f>IF(Metadata!D432="",FALSE,TRUE)</f>
        <v>0</v>
      </c>
      <c r="AR432" t="b">
        <f ca="1">OR(AND(IF(Metadata!E432="",FALSE,TRUE),OR(EXACT(Metadata!E432,"not collected"),EXACT(Metadata!E432,"not provided"),EXACT(Metadata!E432,"restricted access"))),AND(IF(Metadata!E432="",FALSE,TRUE),AND(AND(IFERROR(INT(LEFT(Metadata!E432,4))&gt;1900,FALSE),IFERROR(INT(LEFT(Metadata!E432,4))&lt;=YEAR(NOW()),FALSE)), OR(MID(Metadata!E432,5,1)="", AND(AND(MID(Metadata!E432,5,1)="-",IFERROR(INT(MID(Metadata!E432,6,1))&gt;=0,FALSE),IFERROR(INT(MID(Metadata!E432,6,1))&lt;=1,FALSE),NOT(MID(Metadata!E432,7,1)=""),IFERROR(INT(MID(Metadata!E432,6,2))&gt;=1,FALSE),IFERROR(INT(MID(Metadata!E432,6,2))&lt;=12,FALSE)), OR(MID(Metadata!E432,8,1)="", AND(AND(MID(Metadata!E432,8,1)="-",IFERROR(INT(MID(Metadata!E432,9,1))&gt;=0,FALSE),IFERROR(INT(MID(Metadata!E432,9,1))&lt;=3,FALSE),NOT(MID(Metadata!E432,10,1)=""),IFERROR(INT(MID(Metadata!E432,9,2))&gt;=1,FALSE),IFERROR(INT(MID(Metadata!E432,9,2))&lt;=31,FALSE)), OR(MID(Metadata!E432,11,1)="", AND(AND(MID(Metadata!E432,11,1)=" ",IFERROR(INT(MID(Metadata!E432,12,1))&gt;=0,FALSE),IFERROR(INT(MID(Metadata!E432,12,1))&lt;=2,FALSE),NOT(MID(Metadata!E432,13,1)=""),IFERROR(INT(MID(Metadata!E432,12,2))&gt;=0,FALSE),IFERROR(INT(MID(Metadata!E432,12,2))&lt;=23,FALSE)), OR(MID(Metadata!E432,14,1)="", AND(AND(MID(Metadata!E432,14,1)=":",IFERROR(INT(MID(Metadata!E432,15,1))&gt;=0,FALSE),IFERROR(INT(MID(Metadata!E432,15,1))&lt;=5,FALSE),NOT(MID(Metadata!E432,16,1)=""),IFERROR(INT(MID(Metadata!E432,15,2))&gt;=0,FALSE),IFERROR(INT(MID(Metadata!E432,15,2))&lt;=59,FALSE)), OR(MID(Metadata!E432,17,1)="", AND(AND(MID(Metadata!E432,17,1)=":",IFERROR(INT(MID(Metadata!E432,18,1))&gt;=0,FALSE),IFERROR(INT(MID(Metadata!E432,18,1))&lt;=5,FALSE),NOT(MID(Metadata!E432,19,1)=""),IFERROR(INT(MID(Metadata!E432,18,2))&gt;=0,FALSE),IFERROR(INT(MID(Metadata!E432,18,2))&lt;=59,FALSE)), LEN(Metadata!E432)&lt;=19)))))))))))))</f>
        <v>0</v>
      </c>
      <c r="AS432" t="b">
        <f>IF(Metadata!F432="",FALSE,TRUE)</f>
        <v>0</v>
      </c>
      <c r="AT432" t="b">
        <f>OR(AND(IF(Metadata!G432="",FALSE,TRUE),OR(EXACT(Metadata!G432,"not collected"),EXACT(Metadata!G432,"not provided"))),AND(IF(Metadata!G432="",FALSE,TRUE),OR(EXACT(Metadata!G432,"TRUE"),EXACT(Metadata!G432,"FALSE"))))</f>
        <v>0</v>
      </c>
      <c r="AU432" t="b">
        <f>OR(AND(IF(Metadata!H432="",FALSE,TRUE),OR(EXACT(Metadata!H432,"not collected"),EXACT(Metadata!H432,"not provided"),EXACT(Metadata!H432,"restricted access"))),AND(IF(Metadata!H432="",FALSE,ISNUMBER(VALUE(Metadata!H432))),Metadata!H432&gt;=-413))</f>
        <v>0</v>
      </c>
      <c r="AV432" t="b">
        <f>AND(IF(Metadata!I432="",FALSE,TRUE),EXACT(Metadata!I432,"meters"))</f>
        <v>0</v>
      </c>
      <c r="AW432" t="b">
        <f>AND(IF(Metadata!J432="",FALSE,TRUE),EXACT(Metadata!J432,"free-living"))</f>
        <v>0</v>
      </c>
      <c r="AX432" t="b">
        <f>AND(IF(Metadata!K432="",FALSE,TRUE),OR(EXACT(Metadata!K432,"saline"),EXACT(Metadata!K432,"non-saline")))</f>
        <v>0</v>
      </c>
      <c r="AY432" t="b">
        <f>AND(IF(Metadata!L432="",FALSE,TRUE),OR(EXACT(Metadata!L432,"sub-surface (non-saline)"),EXACT(Metadata!L432,"surface (non-saline)"),EXACT(Metadata!L432,"water (non-saline)"),EXACT(Metadata!L432,"soil (non-saline)"),EXACT(Metadata!L432,"aerosol (non-saline)"),EXACT(Metadata!L432,"sediment (non-saline)"),EXACT(Metadata!L432,"surface (saline)"),EXACT(Metadata!L432,"water (saline)"),EXACT(Metadata!L432,"hypersaline (saline)"),EXACT(Metadata!L432,"aerosol (saline)"),EXACT(Metadata!L432,"sediment (saline)")))</f>
        <v>0</v>
      </c>
      <c r="AZ432" t="b">
        <f>IF(Metadata!M432="",FALSE,TRUE)</f>
        <v>0</v>
      </c>
      <c r="BA432" t="b">
        <f>IF(Metadata!N432="",FALSE,TRUE)</f>
        <v>0</v>
      </c>
      <c r="BB432" t="b">
        <f>IF(Metadata!O432="",FALSE,TRUE)</f>
        <v>0</v>
      </c>
      <c r="BC432" t="b">
        <f>AND(IF(Metadata!P432="",FALSE,TRUE),OR(EXACT(Metadata!P432,"air"),EXACT(Metadata!P432,"microbial mat/biofilm"),EXACT(Metadata!P432,"misc environment"),EXACT(Metadata!P432,"sediment"),EXACT(Metadata!P432,"soil"),EXACT(Metadata!P432,"wastewater/sludge"),EXACT(Metadata!P432,"water")))</f>
        <v>0</v>
      </c>
      <c r="BD432" t="b">
        <f>IF(Metadata!Q432="",FALSE,TRUE)</f>
        <v>0</v>
      </c>
      <c r="BE432" t="b">
        <f>IF(Metadata!R432="",FALSE,TRUE)</f>
        <v>0</v>
      </c>
      <c r="BF432" t="b">
        <f>OR(AND(IF(Metadata!S432="",FALSE,TRUE),OR(EXACT(Metadata!S432,"not collected"),EXACT(Metadata!S432,"not provided"),EXACT(Metadata!S432,"restricted access"))),AND(IF(Metadata!S432="",FALSE,ISNUMBER(VALUE(Metadata!S432))),Metadata!S432&gt;=-90,Metadata!S432&lt;=90))</f>
        <v>0</v>
      </c>
      <c r="BG432" t="b">
        <f>AND(IF(Metadata!T432="",FALSE,TRUE),EXACT(Metadata!T432,"Decimal degrees"))</f>
        <v>0</v>
      </c>
      <c r="BH432" t="b">
        <f>OR(AND(IF(Metadata!U432="",FALSE,TRUE),OR(EXACT(Metadata!U432,"not applicable"),EXACT(Metadata!U432,"not collected"))),IF(Metadata!U432="",FALSE,TRUE))</f>
        <v>0</v>
      </c>
      <c r="BI432" t="b">
        <f>OR(AND(IF(Metadata!V432="",FALSE,TRUE),OR(EXACT(Metadata!V432,"not collected"),EXACT(Metadata!V432,"not provided"),EXACT(Metadata!V432,"restricted access"))),AND(IF(Metadata!V432="",FALSE,ISNUMBER(VALUE(Metadata!V432))),Metadata!V432&gt;=-180,Metadata!V432&lt;=180))</f>
        <v>0</v>
      </c>
      <c r="BJ432" t="b">
        <f>AND(IF(Metadata!W432="",FALSE,TRUE),EXACT(Metadata!W432,"Decimal degrees"))</f>
        <v>0</v>
      </c>
      <c r="BK432" t="b">
        <f>IF(Metadata!X432="",FALSE,TRUE)</f>
        <v>0</v>
      </c>
      <c r="BL432" t="b">
        <f>OR(AND(IF(Metadata!Y432="",FALSE,TRUE),OR(EXACT(Metadata!Y432,"not collected"),EXACT(Metadata!Y432,"not provided"),EXACT(Metadata!Y432,"restricted access"))),AND(IF(Metadata!Y432="",FALSE,TRUE),OR(EXACT(Metadata!Y432,"TRUE"),EXACT(Metadata!Y432,"FALSE"))))</f>
        <v>0</v>
      </c>
      <c r="BM432" t="b">
        <f>OR(AND(IF(Metadata!Z432="",FALSE,TRUE),EXACT(Metadata!Z432,"not applicable")),AND(IF(Metadata!Z432="",FALSE,TRUE),OR(EXACT(Metadata!Z432,"beer"),EXACT(Metadata!Z432,"cheese"),EXACT(Metadata!Z432,"fresh water"),EXACT(Metadata!Z432,"marine sediment"),EXACT(Metadata!Z432,"sea water"),EXACT(Metadata!Z432,"sediment"),EXACT(Metadata!Z432,"soil"),EXACT(Metadata!Z432,"waste water"))))</f>
        <v>0</v>
      </c>
      <c r="BN432" t="b">
        <f>AND(IF(Metadata!AA432="",FALSE,TRUE),EXACT(Metadata!AA432,"metagenome"))</f>
        <v>0</v>
      </c>
      <c r="BO432" t="b">
        <f>AND(IF(Metadata!AB432="",FALSE,TRUE),EXACT(Metadata!AB432,"256318"))</f>
        <v>0</v>
      </c>
      <c r="BP432" t="b">
        <f>IF(Metadata!AC432="",FALSE,TRUE)</f>
        <v>0</v>
      </c>
      <c r="BQ432" t="b">
        <f>IF(Metadata!AD432="",FALSE,TRUE)</f>
        <v>0</v>
      </c>
    </row>
    <row r="433" spans="1:69" x14ac:dyDescent="0.2">
      <c r="A433" s="4" t="e">
        <f ca="1">IF(B433=" "," ",HYPERLINK(CONCATENATE("#metadata!",ADDRESS(INDEX($AJ$2:$AJ$1001,MATCH(ROWS($AH$2:AH433),$AH$2:$AH$1001,0),0),2)),INDEX($AM$2:$AM$1001,MATCH(ROWS($AH$2:AH433),$AH$2:$AH$1001,0),0)))</f>
        <v>#N/A</v>
      </c>
      <c r="B433" s="5" t="e">
        <f ca="1">IF(OR(INDEX($AI$2:$AI$1001,MATCH(ROWS($AH$2:AH433),$AH$2:$AH$1001,0),1)&gt;=100000,INDEX($AO$1005:$BQ$1005,1,MATCH(COLUMNS($AO$1006:AO1006),$AO$1006:$BQ$1006,0))&gt;=100000), " ",IF(INDEX($AO$2:$BQ$1001,MATCH(ROWS($AH$2:AH433),$AH$2:$AH$1001,0),MATCH(COLUMNS($AO$1006:AO1006),$AO$1006:$BQ$1006,0)), HYPERLINK("#",""), HYPERLINK(CONCATENATE("#Metadata!", ADDRESS(INDEX($AJ$2:$AJ$1001,MATCH(ROWS($AH$2:AH433),$AH$2:$AH$1001,0),0), INDEX($AO$1004:$BQ$1004,1,MATCH(COLUMNS($AO$1006:AO1006),$AO$1006:$BQ$1006,0)))),"Fix")))</f>
        <v>#N/A</v>
      </c>
      <c r="C433" s="5" t="e">
        <f ca="1">IF(OR(INDEX($AI$2:$AI$1001,MATCH(ROWS($AH$2:AH433),$AH$2:$AH$1001,0),1)&gt;=100000,INDEX($AO$1005:$BQ$1005,1,MATCH(COLUMNS($AO$1006:AP1006),$AO$1006:$BQ$1006,0))&gt;=100000), " ",IF(INDEX($AO$2:$BQ$1001,MATCH(ROWS($AH$2:AH433),$AH$2:$AH$1001,0),MATCH(COLUMNS($AO$1006:AP1006),$AO$1006:$BQ$1006,0)), HYPERLINK("#",""), HYPERLINK(CONCATENATE("#Metadata!", ADDRESS(INDEX($AJ$2:$AJ$1001,MATCH(ROWS($AH$2:AH433),$AH$2:$AH$1001,0),0), INDEX($AO$1004:$BQ$1004,1,MATCH(COLUMNS($AO$1006:AP1006),$AO$1006:$BQ$1006,0)))),"Fix")))</f>
        <v>#N/A</v>
      </c>
      <c r="D433" s="5" t="e">
        <f ca="1">IF(OR(INDEX($AI$2:$AI$1001,MATCH(ROWS($AH$2:AH433),$AH$2:$AH$1001,0),1)&gt;=100000,INDEX($AO$1005:$BQ$1005,1,MATCH(COLUMNS($AO$1006:AQ1006),$AO$1006:$BQ$1006,0))&gt;=100000), " ",IF(INDEX($AO$2:$BQ$1001,MATCH(ROWS($AH$2:AH433),$AH$2:$AH$1001,0),MATCH(COLUMNS($AO$1006:AQ1006),$AO$1006:$BQ$1006,0)), HYPERLINK("#",""), HYPERLINK(CONCATENATE("#Metadata!", ADDRESS(INDEX($AJ$2:$AJ$1001,MATCH(ROWS($AH$2:AH433),$AH$2:$AH$1001,0),0), INDEX($AO$1004:$BQ$1004,1,MATCH(COLUMNS($AO$1006:AQ1006),$AO$1006:$BQ$1006,0)))),"Fix")))</f>
        <v>#N/A</v>
      </c>
      <c r="E433" s="5" t="e">
        <f ca="1">IF(OR(INDEX($AI$2:$AI$1001,MATCH(ROWS($AH$2:AH433),$AH$2:$AH$1001,0),1)&gt;=100000,INDEX($AO$1005:$BQ$1005,1,MATCH(COLUMNS($AO$1006:AR1006),$AO$1006:$BQ$1006,0))&gt;=100000), " ",IF(INDEX($AO$2:$BQ$1001,MATCH(ROWS($AH$2:AH433),$AH$2:$AH$1001,0),MATCH(COLUMNS($AO$1006:AR1006),$AO$1006:$BQ$1006,0)), HYPERLINK("#",""), HYPERLINK(CONCATENATE("#Metadata!", ADDRESS(INDEX($AJ$2:$AJ$1001,MATCH(ROWS($AH$2:AH433),$AH$2:$AH$1001,0),0), INDEX($AO$1004:$BQ$1004,1,MATCH(COLUMNS($AO$1006:AR1006),$AO$1006:$BQ$1006,0)))),"Fix")))</f>
        <v>#N/A</v>
      </c>
      <c r="F433" s="5" t="e">
        <f ca="1">IF(OR(INDEX($AI$2:$AI$1001,MATCH(ROWS($AH$2:AH433),$AH$2:$AH$1001,0),1)&gt;=100000,INDEX($AO$1005:$BQ$1005,1,MATCH(COLUMNS($AO$1006:AS1006),$AO$1006:$BQ$1006,0))&gt;=100000), " ",IF(INDEX($AO$2:$BQ$1001,MATCH(ROWS($AH$2:AH433),$AH$2:$AH$1001,0),MATCH(COLUMNS($AO$1006:AS1006),$AO$1006:$BQ$1006,0)), HYPERLINK("#",""), HYPERLINK(CONCATENATE("#Metadata!", ADDRESS(INDEX($AJ$2:$AJ$1001,MATCH(ROWS($AH$2:AH433),$AH$2:$AH$1001,0),0), INDEX($AO$1004:$BQ$1004,1,MATCH(COLUMNS($AO$1006:AS1006),$AO$1006:$BQ$1006,0)))),"Fix")))</f>
        <v>#N/A</v>
      </c>
      <c r="G433" s="5" t="e">
        <f ca="1">IF(OR(INDEX($AI$2:$AI$1001,MATCH(ROWS($AH$2:AH433),$AH$2:$AH$1001,0),1)&gt;=100000,INDEX($AO$1005:$BQ$1005,1,MATCH(COLUMNS($AO$1006:AT1006),$AO$1006:$BQ$1006,0))&gt;=100000), " ",IF(INDEX($AO$2:$BQ$1001,MATCH(ROWS($AH$2:AH433),$AH$2:$AH$1001,0),MATCH(COLUMNS($AO$1006:AT1006),$AO$1006:$BQ$1006,0)), HYPERLINK("#",""), HYPERLINK(CONCATENATE("#Metadata!", ADDRESS(INDEX($AJ$2:$AJ$1001,MATCH(ROWS($AH$2:AH433),$AH$2:$AH$1001,0),0), INDEX($AO$1004:$BQ$1004,1,MATCH(COLUMNS($AO$1006:AT1006),$AO$1006:$BQ$1006,0)))),"Fix")))</f>
        <v>#N/A</v>
      </c>
      <c r="H433" s="5" t="e">
        <f ca="1">IF(OR(INDEX($AI$2:$AI$1001,MATCH(ROWS($AH$2:AH433),$AH$2:$AH$1001,0),1)&gt;=100000,INDEX($AO$1005:$BQ$1005,1,MATCH(COLUMNS($AO$1006:AU1006),$AO$1006:$BQ$1006,0))&gt;=100000), " ",IF(INDEX($AO$2:$BQ$1001,MATCH(ROWS($AH$2:AH433),$AH$2:$AH$1001,0),MATCH(COLUMNS($AO$1006:AU1006),$AO$1006:$BQ$1006,0)), HYPERLINK("#",""), HYPERLINK(CONCATENATE("#Metadata!", ADDRESS(INDEX($AJ$2:$AJ$1001,MATCH(ROWS($AH$2:AH433),$AH$2:$AH$1001,0),0), INDEX($AO$1004:$BQ$1004,1,MATCH(COLUMNS($AO$1006:AU1006),$AO$1006:$BQ$1006,0)))),"Fix")))</f>
        <v>#N/A</v>
      </c>
      <c r="I433" s="5" t="e">
        <f ca="1">IF(OR(INDEX($AI$2:$AI$1001,MATCH(ROWS($AH$2:AH433),$AH$2:$AH$1001,0),1)&gt;=100000,INDEX($AO$1005:$BQ$1005,1,MATCH(COLUMNS($AO$1006:AV1006),$AO$1006:$BQ$1006,0))&gt;=100000), " ",IF(INDEX($AO$2:$BQ$1001,MATCH(ROWS($AH$2:AH433),$AH$2:$AH$1001,0),MATCH(COLUMNS($AO$1006:AV1006),$AO$1006:$BQ$1006,0)), HYPERLINK("#",""), HYPERLINK(CONCATENATE("#Metadata!", ADDRESS(INDEX($AJ$2:$AJ$1001,MATCH(ROWS($AH$2:AH433),$AH$2:$AH$1001,0),0), INDEX($AO$1004:$BQ$1004,1,MATCH(COLUMNS($AO$1006:AV1006),$AO$1006:$BQ$1006,0)))),"Fix")))</f>
        <v>#N/A</v>
      </c>
      <c r="J433" s="5" t="e">
        <f ca="1">IF(OR(INDEX($AI$2:$AI$1001,MATCH(ROWS($AH$2:AH433),$AH$2:$AH$1001,0),1)&gt;=100000,INDEX($AO$1005:$BQ$1005,1,MATCH(COLUMNS($AO$1006:AW1006),$AO$1006:$BQ$1006,0))&gt;=100000), " ",IF(INDEX($AO$2:$BQ$1001,MATCH(ROWS($AH$2:AH433),$AH$2:$AH$1001,0),MATCH(COLUMNS($AO$1006:AW1006),$AO$1006:$BQ$1006,0)), HYPERLINK("#",""), HYPERLINK(CONCATENATE("#Metadata!", ADDRESS(INDEX($AJ$2:$AJ$1001,MATCH(ROWS($AH$2:AH433),$AH$2:$AH$1001,0),0), INDEX($AO$1004:$BQ$1004,1,MATCH(COLUMNS($AO$1006:AW1006),$AO$1006:$BQ$1006,0)))),"Fix")))</f>
        <v>#N/A</v>
      </c>
      <c r="K433" s="5" t="e">
        <f ca="1">IF(OR(INDEX($AI$2:$AI$1001,MATCH(ROWS($AH$2:AH433),$AH$2:$AH$1001,0),1)&gt;=100000,INDEX($AO$1005:$BQ$1005,1,MATCH(COLUMNS($AO$1006:AX1006),$AO$1006:$BQ$1006,0))&gt;=100000), " ",IF(INDEX($AO$2:$BQ$1001,MATCH(ROWS($AH$2:AH433),$AH$2:$AH$1001,0),MATCH(COLUMNS($AO$1006:AX1006),$AO$1006:$BQ$1006,0)), HYPERLINK("#",""), HYPERLINK(CONCATENATE("#Metadata!", ADDRESS(INDEX($AJ$2:$AJ$1001,MATCH(ROWS($AH$2:AH433),$AH$2:$AH$1001,0),0), INDEX($AO$1004:$BQ$1004,1,MATCH(COLUMNS($AO$1006:AX1006),$AO$1006:$BQ$1006,0)))),"Fix")))</f>
        <v>#N/A</v>
      </c>
      <c r="L433" s="5" t="e">
        <f ca="1">IF(OR(INDEX($AI$2:$AI$1001,MATCH(ROWS($AH$2:AH433),$AH$2:$AH$1001,0),1)&gt;=100000,INDEX($AO$1005:$BQ$1005,1,MATCH(COLUMNS($AO$1006:AY1006),$AO$1006:$BQ$1006,0))&gt;=100000), " ",IF(INDEX($AO$2:$BQ$1001,MATCH(ROWS($AH$2:AH433),$AH$2:$AH$1001,0),MATCH(COLUMNS($AO$1006:AY1006),$AO$1006:$BQ$1006,0)), HYPERLINK("#",""), HYPERLINK(CONCATENATE("#Metadata!", ADDRESS(INDEX($AJ$2:$AJ$1001,MATCH(ROWS($AH$2:AH433),$AH$2:$AH$1001,0),0), INDEX($AO$1004:$BQ$1004,1,MATCH(COLUMNS($AO$1006:AY1006),$AO$1006:$BQ$1006,0)))),"Fix")))</f>
        <v>#N/A</v>
      </c>
      <c r="M433" s="5" t="e">
        <f ca="1">IF(OR(INDEX($AI$2:$AI$1001,MATCH(ROWS($AH$2:AH433),$AH$2:$AH$1001,0),1)&gt;=100000,INDEX($AO$1005:$BQ$1005,1,MATCH(COLUMNS($AO$1006:AZ1006),$AO$1006:$BQ$1006,0))&gt;=100000), " ",IF(INDEX($AO$2:$BQ$1001,MATCH(ROWS($AH$2:AH433),$AH$2:$AH$1001,0),MATCH(COLUMNS($AO$1006:AZ1006),$AO$1006:$BQ$1006,0)), HYPERLINK("#",""), HYPERLINK(CONCATENATE("#Metadata!", ADDRESS(INDEX($AJ$2:$AJ$1001,MATCH(ROWS($AH$2:AH433),$AH$2:$AH$1001,0),0), INDEX($AO$1004:$BQ$1004,1,MATCH(COLUMNS($AO$1006:AZ1006),$AO$1006:$BQ$1006,0)))),"Fix")))</f>
        <v>#N/A</v>
      </c>
      <c r="N433" s="5" t="e">
        <f ca="1">IF(OR(INDEX($AI$2:$AI$1001,MATCH(ROWS($AH$2:AH433),$AH$2:$AH$1001,0),1)&gt;=100000,INDEX($AO$1005:$BQ$1005,1,MATCH(COLUMNS($AO$1006:BA1006),$AO$1006:$BQ$1006,0))&gt;=100000), " ",IF(INDEX($AO$2:$BQ$1001,MATCH(ROWS($AH$2:AH433),$AH$2:$AH$1001,0),MATCH(COLUMNS($AO$1006:BA1006),$AO$1006:$BQ$1006,0)), HYPERLINK("#",""), HYPERLINK(CONCATENATE("#Metadata!", ADDRESS(INDEX($AJ$2:$AJ$1001,MATCH(ROWS($AH$2:AH433),$AH$2:$AH$1001,0),0), INDEX($AO$1004:$BQ$1004,1,MATCH(COLUMNS($AO$1006:BA1006),$AO$1006:$BQ$1006,0)))),"Fix")))</f>
        <v>#N/A</v>
      </c>
      <c r="O433" s="5" t="e">
        <f ca="1">IF(OR(INDEX($AI$2:$AI$1001,MATCH(ROWS($AH$2:AH433),$AH$2:$AH$1001,0),1)&gt;=100000,INDEX($AO$1005:$BQ$1005,1,MATCH(COLUMNS($AO$1006:BB1006),$AO$1006:$BQ$1006,0))&gt;=100000), " ",IF(INDEX($AO$2:$BQ$1001,MATCH(ROWS($AH$2:AH433),$AH$2:$AH$1001,0),MATCH(COLUMNS($AO$1006:BB1006),$AO$1006:$BQ$1006,0)), HYPERLINK("#",""), HYPERLINK(CONCATENATE("#Metadata!", ADDRESS(INDEX($AJ$2:$AJ$1001,MATCH(ROWS($AH$2:AH433),$AH$2:$AH$1001,0),0), INDEX($AO$1004:$BQ$1004,1,MATCH(COLUMNS($AO$1006:BB1006),$AO$1006:$BQ$1006,0)))),"Fix")))</f>
        <v>#N/A</v>
      </c>
      <c r="P433" s="5" t="e">
        <f ca="1">IF(OR(INDEX($AI$2:$AI$1001,MATCH(ROWS($AH$2:AH433),$AH$2:$AH$1001,0),1)&gt;=100000,INDEX($AO$1005:$BQ$1005,1,MATCH(COLUMNS($AO$1006:BC1006),$AO$1006:$BQ$1006,0))&gt;=100000), " ",IF(INDEX($AO$2:$BQ$1001,MATCH(ROWS($AH$2:AH433),$AH$2:$AH$1001,0),MATCH(COLUMNS($AO$1006:BC1006),$AO$1006:$BQ$1006,0)), HYPERLINK("#",""), HYPERLINK(CONCATENATE("#Metadata!", ADDRESS(INDEX($AJ$2:$AJ$1001,MATCH(ROWS($AH$2:AH433),$AH$2:$AH$1001,0),0), INDEX($AO$1004:$BQ$1004,1,MATCH(COLUMNS($AO$1006:BC1006),$AO$1006:$BQ$1006,0)))),"Fix")))</f>
        <v>#N/A</v>
      </c>
      <c r="Q433" s="5" t="e">
        <f ca="1">IF(OR(INDEX($AI$2:$AI$1001,MATCH(ROWS($AH$2:AH433),$AH$2:$AH$1001,0),1)&gt;=100000,INDEX($AO$1005:$BQ$1005,1,MATCH(COLUMNS($AO$1006:BD1006),$AO$1006:$BQ$1006,0))&gt;=100000), " ",IF(INDEX($AO$2:$BQ$1001,MATCH(ROWS($AH$2:AH433),$AH$2:$AH$1001,0),MATCH(COLUMNS($AO$1006:BD1006),$AO$1006:$BQ$1006,0)), HYPERLINK("#",""), HYPERLINK(CONCATENATE("#Metadata!", ADDRESS(INDEX($AJ$2:$AJ$1001,MATCH(ROWS($AH$2:AH433),$AH$2:$AH$1001,0),0), INDEX($AO$1004:$BQ$1004,1,MATCH(COLUMNS($AO$1006:BD1006),$AO$1006:$BQ$1006,0)))),"Fix")))</f>
        <v>#N/A</v>
      </c>
      <c r="R433" s="5" t="e">
        <f ca="1">IF(OR(INDEX($AI$2:$AI$1001,MATCH(ROWS($AH$2:AH433),$AH$2:$AH$1001,0),1)&gt;=100000,INDEX($AO$1005:$BQ$1005,1,MATCH(COLUMNS($AO$1006:BE1006),$AO$1006:$BQ$1006,0))&gt;=100000), " ",IF(INDEX($AO$2:$BQ$1001,MATCH(ROWS($AH$2:AH433),$AH$2:$AH$1001,0),MATCH(COLUMNS($AO$1006:BE1006),$AO$1006:$BQ$1006,0)), HYPERLINK("#",""), HYPERLINK(CONCATENATE("#Metadata!", ADDRESS(INDEX($AJ$2:$AJ$1001,MATCH(ROWS($AH$2:AH433),$AH$2:$AH$1001,0),0), INDEX($AO$1004:$BQ$1004,1,MATCH(COLUMNS($AO$1006:BE1006),$AO$1006:$BQ$1006,0)))),"Fix")))</f>
        <v>#N/A</v>
      </c>
      <c r="S433" s="5" t="e">
        <f ca="1">IF(OR(INDEX($AI$2:$AI$1001,MATCH(ROWS($AH$2:AH433),$AH$2:$AH$1001,0),1)&gt;=100000,INDEX($AO$1005:$BQ$1005,1,MATCH(COLUMNS($AO$1006:BF1006),$AO$1006:$BQ$1006,0))&gt;=100000), " ",IF(INDEX($AO$2:$BQ$1001,MATCH(ROWS($AH$2:AH433),$AH$2:$AH$1001,0),MATCH(COLUMNS($AO$1006:BF1006),$AO$1006:$BQ$1006,0)), HYPERLINK("#",""), HYPERLINK(CONCATENATE("#Metadata!", ADDRESS(INDEX($AJ$2:$AJ$1001,MATCH(ROWS($AH$2:AH433),$AH$2:$AH$1001,0),0), INDEX($AO$1004:$BQ$1004,1,MATCH(COLUMNS($AO$1006:BF1006),$AO$1006:$BQ$1006,0)))),"Fix")))</f>
        <v>#N/A</v>
      </c>
      <c r="T433" s="5" t="e">
        <f ca="1">IF(OR(INDEX($AI$2:$AI$1001,MATCH(ROWS($AH$2:AH433),$AH$2:$AH$1001,0),1)&gt;=100000,INDEX($AO$1005:$BQ$1005,1,MATCH(COLUMNS($AO$1006:BG1006),$AO$1006:$BQ$1006,0))&gt;=100000), " ",IF(INDEX($AO$2:$BQ$1001,MATCH(ROWS($AH$2:AH433),$AH$2:$AH$1001,0),MATCH(COLUMNS($AO$1006:BG1006),$AO$1006:$BQ$1006,0)), HYPERLINK("#",""), HYPERLINK(CONCATENATE("#Metadata!", ADDRESS(INDEX($AJ$2:$AJ$1001,MATCH(ROWS($AH$2:AH433),$AH$2:$AH$1001,0),0), INDEX($AO$1004:$BQ$1004,1,MATCH(COLUMNS($AO$1006:BG1006),$AO$1006:$BQ$1006,0)))),"Fix")))</f>
        <v>#N/A</v>
      </c>
      <c r="U433" s="5" t="e">
        <f ca="1">IF(OR(INDEX($AI$2:$AI$1001,MATCH(ROWS($AH$2:AH433),$AH$2:$AH$1001,0),1)&gt;=100000,INDEX($AO$1005:$BQ$1005,1,MATCH(COLUMNS($AO$1006:BH1006),$AO$1006:$BQ$1006,0))&gt;=100000), " ",IF(INDEX($AO$2:$BQ$1001,MATCH(ROWS($AH$2:AH433),$AH$2:$AH$1001,0),MATCH(COLUMNS($AO$1006:BH1006),$AO$1006:$BQ$1006,0)), HYPERLINK("#",""), HYPERLINK(CONCATENATE("#Metadata!", ADDRESS(INDEX($AJ$2:$AJ$1001,MATCH(ROWS($AH$2:AH433),$AH$2:$AH$1001,0),0), INDEX($AO$1004:$BQ$1004,1,MATCH(COLUMNS($AO$1006:BH1006),$AO$1006:$BQ$1006,0)))),"Fix")))</f>
        <v>#N/A</v>
      </c>
      <c r="V433" s="5" t="e">
        <f ca="1">IF(OR(INDEX($AI$2:$AI$1001,MATCH(ROWS($AH$2:AH433),$AH$2:$AH$1001,0),1)&gt;=100000,INDEX($AO$1005:$BQ$1005,1,MATCH(COLUMNS($AO$1006:BI1006),$AO$1006:$BQ$1006,0))&gt;=100000), " ",IF(INDEX($AO$2:$BQ$1001,MATCH(ROWS($AH$2:AH433),$AH$2:$AH$1001,0),MATCH(COLUMNS($AO$1006:BI1006),$AO$1006:$BQ$1006,0)), HYPERLINK("#",""), HYPERLINK(CONCATENATE("#Metadata!", ADDRESS(INDEX($AJ$2:$AJ$1001,MATCH(ROWS($AH$2:AH433),$AH$2:$AH$1001,0),0), INDEX($AO$1004:$BQ$1004,1,MATCH(COLUMNS($AO$1006:BI1006),$AO$1006:$BQ$1006,0)))),"Fix")))</f>
        <v>#N/A</v>
      </c>
      <c r="W433" s="5" t="e">
        <f ca="1">IF(OR(INDEX($AI$2:$AI$1001,MATCH(ROWS($AH$2:AH433),$AH$2:$AH$1001,0),1)&gt;=100000,INDEX($AO$1005:$BQ$1005,1,MATCH(COLUMNS($AO$1006:BJ1006),$AO$1006:$BQ$1006,0))&gt;=100000), " ",IF(INDEX($AO$2:$BQ$1001,MATCH(ROWS($AH$2:AH433),$AH$2:$AH$1001,0),MATCH(COLUMNS($AO$1006:BJ1006),$AO$1006:$BQ$1006,0)), HYPERLINK("#",""), HYPERLINK(CONCATENATE("#Metadata!", ADDRESS(INDEX($AJ$2:$AJ$1001,MATCH(ROWS($AH$2:AH433),$AH$2:$AH$1001,0),0), INDEX($AO$1004:$BQ$1004,1,MATCH(COLUMNS($AO$1006:BJ1006),$AO$1006:$BQ$1006,0)))),"Fix")))</f>
        <v>#N/A</v>
      </c>
      <c r="X433" s="5" t="e">
        <f ca="1">IF(OR(INDEX($AI$2:$AI$1001,MATCH(ROWS($AH$2:AH433),$AH$2:$AH$1001,0),1)&gt;=100000,INDEX($AO$1005:$BQ$1005,1,MATCH(COLUMNS($AO$1006:BK1006),$AO$1006:$BQ$1006,0))&gt;=100000), " ",IF(INDEX($AO$2:$BQ$1001,MATCH(ROWS($AH$2:AH433),$AH$2:$AH$1001,0),MATCH(COLUMNS($AO$1006:BK1006),$AO$1006:$BQ$1006,0)), HYPERLINK("#",""), HYPERLINK(CONCATENATE("#Metadata!", ADDRESS(INDEX($AJ$2:$AJ$1001,MATCH(ROWS($AH$2:AH433),$AH$2:$AH$1001,0),0), INDEX($AO$1004:$BQ$1004,1,MATCH(COLUMNS($AO$1006:BK1006),$AO$1006:$BQ$1006,0)))),"Fix")))</f>
        <v>#N/A</v>
      </c>
      <c r="Y433" s="5" t="e">
        <f ca="1">IF(OR(INDEX($AI$2:$AI$1001,MATCH(ROWS($AH$2:AH433),$AH$2:$AH$1001,0),1)&gt;=100000,INDEX($AO$1005:$BQ$1005,1,MATCH(COLUMNS($AO$1006:BL1006),$AO$1006:$BQ$1006,0))&gt;=100000), " ",IF(INDEX($AO$2:$BQ$1001,MATCH(ROWS($AH$2:AH433),$AH$2:$AH$1001,0),MATCH(COLUMNS($AO$1006:BL1006),$AO$1006:$BQ$1006,0)), HYPERLINK("#",""), HYPERLINK(CONCATENATE("#Metadata!", ADDRESS(INDEX($AJ$2:$AJ$1001,MATCH(ROWS($AH$2:AH433),$AH$2:$AH$1001,0),0), INDEX($AO$1004:$BQ$1004,1,MATCH(COLUMNS($AO$1006:BL1006),$AO$1006:$BQ$1006,0)))),"Fix")))</f>
        <v>#N/A</v>
      </c>
      <c r="Z433" s="5" t="e">
        <f ca="1">IF(OR(INDEX($AI$2:$AI$1001,MATCH(ROWS($AH$2:AH433),$AH$2:$AH$1001,0),1)&gt;=100000,INDEX($AO$1005:$BQ$1005,1,MATCH(COLUMNS($AO$1006:BM1006),$AO$1006:$BQ$1006,0))&gt;=100000), " ",IF(INDEX($AO$2:$BQ$1001,MATCH(ROWS($AH$2:AH433),$AH$2:$AH$1001,0),MATCH(COLUMNS($AO$1006:BM1006),$AO$1006:$BQ$1006,0)), HYPERLINK("#",""), HYPERLINK(CONCATENATE("#Metadata!", ADDRESS(INDEX($AJ$2:$AJ$1001,MATCH(ROWS($AH$2:AH433),$AH$2:$AH$1001,0),0), INDEX($AO$1004:$BQ$1004,1,MATCH(COLUMNS($AO$1006:BM1006),$AO$1006:$BQ$1006,0)))),"Fix")))</f>
        <v>#N/A</v>
      </c>
      <c r="AA433" s="5" t="e">
        <f ca="1">IF(OR(INDEX($AI$2:$AI$1001,MATCH(ROWS($AH$2:AH433),$AH$2:$AH$1001,0),1)&gt;=100000,INDEX($AO$1005:$BQ$1005,1,MATCH(COLUMNS($AO$1006:BN1006),$AO$1006:$BQ$1006,0))&gt;=100000), " ",IF(INDEX($AO$2:$BQ$1001,MATCH(ROWS($AH$2:AH433),$AH$2:$AH$1001,0),MATCH(COLUMNS($AO$1006:BN1006),$AO$1006:$BQ$1006,0)), HYPERLINK("#",""), HYPERLINK(CONCATENATE("#Metadata!", ADDRESS(INDEX($AJ$2:$AJ$1001,MATCH(ROWS($AH$2:AH433),$AH$2:$AH$1001,0),0), INDEX($AO$1004:$BQ$1004,1,MATCH(COLUMNS($AO$1006:BN1006),$AO$1006:$BQ$1006,0)))),"Fix")))</f>
        <v>#N/A</v>
      </c>
      <c r="AB433" s="5" t="e">
        <f ca="1">IF(OR(INDEX($AI$2:$AI$1001,MATCH(ROWS($AH$2:AH433),$AH$2:$AH$1001,0),1)&gt;=100000,INDEX($AO$1005:$BQ$1005,1,MATCH(COLUMNS($AO$1006:BO1006),$AO$1006:$BQ$1006,0))&gt;=100000), " ",IF(INDEX($AO$2:$BQ$1001,MATCH(ROWS($AH$2:AH433),$AH$2:$AH$1001,0),MATCH(COLUMNS($AO$1006:BO1006),$AO$1006:$BQ$1006,0)), HYPERLINK("#",""), HYPERLINK(CONCATENATE("#Metadata!", ADDRESS(INDEX($AJ$2:$AJ$1001,MATCH(ROWS($AH$2:AH433),$AH$2:$AH$1001,0),0), INDEX($AO$1004:$BQ$1004,1,MATCH(COLUMNS($AO$1006:BO1006),$AO$1006:$BQ$1006,0)))),"Fix")))</f>
        <v>#N/A</v>
      </c>
      <c r="AC433" s="5" t="e">
        <f ca="1">IF(OR(INDEX($AI$2:$AI$1001,MATCH(ROWS($AH$2:AH433),$AH$2:$AH$1001,0),1)&gt;=100000,INDEX($AO$1005:$BQ$1005,1,MATCH(COLUMNS($AO$1006:BP1006),$AO$1006:$BQ$1006,0))&gt;=100000), " ",IF(INDEX($AO$2:$BQ$1001,MATCH(ROWS($AH$2:AH433),$AH$2:$AH$1001,0),MATCH(COLUMNS($AO$1006:BP1006),$AO$1006:$BQ$1006,0)), HYPERLINK("#",""), HYPERLINK(CONCATENATE("#Metadata!", ADDRESS(INDEX($AJ$2:$AJ$1001,MATCH(ROWS($AH$2:AH433),$AH$2:$AH$1001,0),0), INDEX($AO$1004:$BQ$1004,1,MATCH(COLUMNS($AO$1006:BP1006),$AO$1006:$BQ$1006,0)))),"Fix")))</f>
        <v>#N/A</v>
      </c>
      <c r="AD433" s="5" t="e">
        <f ca="1">IF(OR(INDEX($AI$2:$AI$1001,MATCH(ROWS($AH$2:AH433),$AH$2:$AH$1001,0),1)&gt;=100000,INDEX($AO$1005:$BQ$1005,1,MATCH(COLUMNS($AO$1006:BQ1006),$AO$1006:$BQ$1006,0))&gt;=100000), " ",IF(INDEX($AO$2:$BQ$1001,MATCH(ROWS($AH$2:AH433),$AH$2:$AH$1001,0),MATCH(COLUMNS($AO$1006:BQ1006),$AO$1006:$BQ$1006,0)), HYPERLINK("#",""), HYPERLINK(CONCATENATE("#Metadata!", ADDRESS(INDEX($AJ$2:$AJ$1001,MATCH(ROWS($AH$2:AH433),$AH$2:$AH$1001,0),0), INDEX($AO$1004:$BQ$1004,1,MATCH(COLUMNS($AO$1006:BQ1006),$AO$1006:$BQ$1006,0)))),"Fix")))</f>
        <v>#REF!</v>
      </c>
      <c r="AH433">
        <f ca="1"/>
        <v>430</v>
      </c>
      <c r="AI433">
        <v>100433</v>
      </c>
      <c r="AJ433">
        <v>433</v>
      </c>
      <c r="AK433" t="b">
        <f t="shared" si="6"/>
        <v>1</v>
      </c>
      <c r="AL433" t="b">
        <f>COUNTBLANK(Metadata!B433:AD433)=COLUMNS(Metadata!B433:AD433)</f>
        <v>1</v>
      </c>
      <c r="AM433" t="str">
        <v/>
      </c>
      <c r="AO433" t="b">
        <f ca="1">AND(IF(Metadata!B433="",FALSE,TRUE),COUNTIF(Metadata!B:B, Metadata!B433) = 1,NOT(ISERROR(SUMPRODUCT(SEARCH(MID(Metadata!B433,ROW(INDIRECT("1:"&amp;LEN(Metadata!B433))), 1),"0123456789abcdefghijklmnopqrstuvwxyzABCDEFGHIJKLMNOPQRSTUVWXYZ.")))))</f>
        <v>0</v>
      </c>
      <c r="AP433" t="b">
        <f>IF(Metadata!C433="",FALSE,TRUE)</f>
        <v>0</v>
      </c>
      <c r="AQ433" t="b">
        <f>IF(Metadata!D433="",FALSE,TRUE)</f>
        <v>0</v>
      </c>
      <c r="AR433" t="b">
        <f ca="1">OR(AND(IF(Metadata!E433="",FALSE,TRUE),OR(EXACT(Metadata!E433,"not collected"),EXACT(Metadata!E433,"not provided"),EXACT(Metadata!E433,"restricted access"))),AND(IF(Metadata!E433="",FALSE,TRUE),AND(AND(IFERROR(INT(LEFT(Metadata!E433,4))&gt;1900,FALSE),IFERROR(INT(LEFT(Metadata!E433,4))&lt;=YEAR(NOW()),FALSE)), OR(MID(Metadata!E433,5,1)="", AND(AND(MID(Metadata!E433,5,1)="-",IFERROR(INT(MID(Metadata!E433,6,1))&gt;=0,FALSE),IFERROR(INT(MID(Metadata!E433,6,1))&lt;=1,FALSE),NOT(MID(Metadata!E433,7,1)=""),IFERROR(INT(MID(Metadata!E433,6,2))&gt;=1,FALSE),IFERROR(INT(MID(Metadata!E433,6,2))&lt;=12,FALSE)), OR(MID(Metadata!E433,8,1)="", AND(AND(MID(Metadata!E433,8,1)="-",IFERROR(INT(MID(Metadata!E433,9,1))&gt;=0,FALSE),IFERROR(INT(MID(Metadata!E433,9,1))&lt;=3,FALSE),NOT(MID(Metadata!E433,10,1)=""),IFERROR(INT(MID(Metadata!E433,9,2))&gt;=1,FALSE),IFERROR(INT(MID(Metadata!E433,9,2))&lt;=31,FALSE)), OR(MID(Metadata!E433,11,1)="", AND(AND(MID(Metadata!E433,11,1)=" ",IFERROR(INT(MID(Metadata!E433,12,1))&gt;=0,FALSE),IFERROR(INT(MID(Metadata!E433,12,1))&lt;=2,FALSE),NOT(MID(Metadata!E433,13,1)=""),IFERROR(INT(MID(Metadata!E433,12,2))&gt;=0,FALSE),IFERROR(INT(MID(Metadata!E433,12,2))&lt;=23,FALSE)), OR(MID(Metadata!E433,14,1)="", AND(AND(MID(Metadata!E433,14,1)=":",IFERROR(INT(MID(Metadata!E433,15,1))&gt;=0,FALSE),IFERROR(INT(MID(Metadata!E433,15,1))&lt;=5,FALSE),NOT(MID(Metadata!E433,16,1)=""),IFERROR(INT(MID(Metadata!E433,15,2))&gt;=0,FALSE),IFERROR(INT(MID(Metadata!E433,15,2))&lt;=59,FALSE)), OR(MID(Metadata!E433,17,1)="", AND(AND(MID(Metadata!E433,17,1)=":",IFERROR(INT(MID(Metadata!E433,18,1))&gt;=0,FALSE),IFERROR(INT(MID(Metadata!E433,18,1))&lt;=5,FALSE),NOT(MID(Metadata!E433,19,1)=""),IFERROR(INT(MID(Metadata!E433,18,2))&gt;=0,FALSE),IFERROR(INT(MID(Metadata!E433,18,2))&lt;=59,FALSE)), LEN(Metadata!E433)&lt;=19)))))))))))))</f>
        <v>0</v>
      </c>
      <c r="AS433" t="b">
        <f>IF(Metadata!F433="",FALSE,TRUE)</f>
        <v>0</v>
      </c>
      <c r="AT433" t="b">
        <f>OR(AND(IF(Metadata!G433="",FALSE,TRUE),OR(EXACT(Metadata!G433,"not collected"),EXACT(Metadata!G433,"not provided"))),AND(IF(Metadata!G433="",FALSE,TRUE),OR(EXACT(Metadata!G433,"TRUE"),EXACT(Metadata!G433,"FALSE"))))</f>
        <v>0</v>
      </c>
      <c r="AU433" t="b">
        <f>OR(AND(IF(Metadata!H433="",FALSE,TRUE),OR(EXACT(Metadata!H433,"not collected"),EXACT(Metadata!H433,"not provided"),EXACT(Metadata!H433,"restricted access"))),AND(IF(Metadata!H433="",FALSE,ISNUMBER(VALUE(Metadata!H433))),Metadata!H433&gt;=-413))</f>
        <v>0</v>
      </c>
      <c r="AV433" t="b">
        <f>AND(IF(Metadata!I433="",FALSE,TRUE),EXACT(Metadata!I433,"meters"))</f>
        <v>0</v>
      </c>
      <c r="AW433" t="b">
        <f>AND(IF(Metadata!J433="",FALSE,TRUE),EXACT(Metadata!J433,"free-living"))</f>
        <v>0</v>
      </c>
      <c r="AX433" t="b">
        <f>AND(IF(Metadata!K433="",FALSE,TRUE),OR(EXACT(Metadata!K433,"saline"),EXACT(Metadata!K433,"non-saline")))</f>
        <v>0</v>
      </c>
      <c r="AY433" t="b">
        <f>AND(IF(Metadata!L433="",FALSE,TRUE),OR(EXACT(Metadata!L433,"sub-surface (non-saline)"),EXACT(Metadata!L433,"surface (non-saline)"),EXACT(Metadata!L433,"water (non-saline)"),EXACT(Metadata!L433,"soil (non-saline)"),EXACT(Metadata!L433,"aerosol (non-saline)"),EXACT(Metadata!L433,"sediment (non-saline)"),EXACT(Metadata!L433,"surface (saline)"),EXACT(Metadata!L433,"water (saline)"),EXACT(Metadata!L433,"hypersaline (saline)"),EXACT(Metadata!L433,"aerosol (saline)"),EXACT(Metadata!L433,"sediment (saline)")))</f>
        <v>0</v>
      </c>
      <c r="AZ433" t="b">
        <f>IF(Metadata!M433="",FALSE,TRUE)</f>
        <v>0</v>
      </c>
      <c r="BA433" t="b">
        <f>IF(Metadata!N433="",FALSE,TRUE)</f>
        <v>0</v>
      </c>
      <c r="BB433" t="b">
        <f>IF(Metadata!O433="",FALSE,TRUE)</f>
        <v>0</v>
      </c>
      <c r="BC433" t="b">
        <f>AND(IF(Metadata!P433="",FALSE,TRUE),OR(EXACT(Metadata!P433,"air"),EXACT(Metadata!P433,"microbial mat/biofilm"),EXACT(Metadata!P433,"misc environment"),EXACT(Metadata!P433,"sediment"),EXACT(Metadata!P433,"soil"),EXACT(Metadata!P433,"wastewater/sludge"),EXACT(Metadata!P433,"water")))</f>
        <v>0</v>
      </c>
      <c r="BD433" t="b">
        <f>IF(Metadata!Q433="",FALSE,TRUE)</f>
        <v>0</v>
      </c>
      <c r="BE433" t="b">
        <f>IF(Metadata!R433="",FALSE,TRUE)</f>
        <v>0</v>
      </c>
      <c r="BF433" t="b">
        <f>OR(AND(IF(Metadata!S433="",FALSE,TRUE),OR(EXACT(Metadata!S433,"not collected"),EXACT(Metadata!S433,"not provided"),EXACT(Metadata!S433,"restricted access"))),AND(IF(Metadata!S433="",FALSE,ISNUMBER(VALUE(Metadata!S433))),Metadata!S433&gt;=-90,Metadata!S433&lt;=90))</f>
        <v>0</v>
      </c>
      <c r="BG433" t="b">
        <f>AND(IF(Metadata!T433="",FALSE,TRUE),EXACT(Metadata!T433,"Decimal degrees"))</f>
        <v>0</v>
      </c>
      <c r="BH433" t="b">
        <f>OR(AND(IF(Metadata!U433="",FALSE,TRUE),OR(EXACT(Metadata!U433,"not applicable"),EXACT(Metadata!U433,"not collected"))),IF(Metadata!U433="",FALSE,TRUE))</f>
        <v>0</v>
      </c>
      <c r="BI433" t="b">
        <f>OR(AND(IF(Metadata!V433="",FALSE,TRUE),OR(EXACT(Metadata!V433,"not collected"),EXACT(Metadata!V433,"not provided"),EXACT(Metadata!V433,"restricted access"))),AND(IF(Metadata!V433="",FALSE,ISNUMBER(VALUE(Metadata!V433))),Metadata!V433&gt;=-180,Metadata!V433&lt;=180))</f>
        <v>0</v>
      </c>
      <c r="BJ433" t="b">
        <f>AND(IF(Metadata!W433="",FALSE,TRUE),EXACT(Metadata!W433,"Decimal degrees"))</f>
        <v>0</v>
      </c>
      <c r="BK433" t="b">
        <f>IF(Metadata!X433="",FALSE,TRUE)</f>
        <v>0</v>
      </c>
      <c r="BL433" t="b">
        <f>OR(AND(IF(Metadata!Y433="",FALSE,TRUE),OR(EXACT(Metadata!Y433,"not collected"),EXACT(Metadata!Y433,"not provided"),EXACT(Metadata!Y433,"restricted access"))),AND(IF(Metadata!Y433="",FALSE,TRUE),OR(EXACT(Metadata!Y433,"TRUE"),EXACT(Metadata!Y433,"FALSE"))))</f>
        <v>0</v>
      </c>
      <c r="BM433" t="b">
        <f>OR(AND(IF(Metadata!Z433="",FALSE,TRUE),EXACT(Metadata!Z433,"not applicable")),AND(IF(Metadata!Z433="",FALSE,TRUE),OR(EXACT(Metadata!Z433,"beer"),EXACT(Metadata!Z433,"cheese"),EXACT(Metadata!Z433,"fresh water"),EXACT(Metadata!Z433,"marine sediment"),EXACT(Metadata!Z433,"sea water"),EXACT(Metadata!Z433,"sediment"),EXACT(Metadata!Z433,"soil"),EXACT(Metadata!Z433,"waste water"))))</f>
        <v>0</v>
      </c>
      <c r="BN433" t="b">
        <f>AND(IF(Metadata!AA433="",FALSE,TRUE),EXACT(Metadata!AA433,"metagenome"))</f>
        <v>0</v>
      </c>
      <c r="BO433" t="b">
        <f>AND(IF(Metadata!AB433="",FALSE,TRUE),EXACT(Metadata!AB433,"256318"))</f>
        <v>0</v>
      </c>
      <c r="BP433" t="b">
        <f>IF(Metadata!AC433="",FALSE,TRUE)</f>
        <v>0</v>
      </c>
      <c r="BQ433" t="b">
        <f>IF(Metadata!AD433="",FALSE,TRUE)</f>
        <v>0</v>
      </c>
    </row>
    <row r="434" spans="1:69" x14ac:dyDescent="0.2">
      <c r="A434" s="4" t="e">
        <f ca="1">IF(B434=" "," ",HYPERLINK(CONCATENATE("#metadata!",ADDRESS(INDEX($AJ$2:$AJ$1001,MATCH(ROWS($AH$2:AH434),$AH$2:$AH$1001,0),0),2)),INDEX($AM$2:$AM$1001,MATCH(ROWS($AH$2:AH434),$AH$2:$AH$1001,0),0)))</f>
        <v>#N/A</v>
      </c>
      <c r="B434" s="5" t="e">
        <f ca="1">IF(OR(INDEX($AI$2:$AI$1001,MATCH(ROWS($AH$2:AH434),$AH$2:$AH$1001,0),1)&gt;=100000,INDEX($AO$1005:$BQ$1005,1,MATCH(COLUMNS($AO$1006:AO1006),$AO$1006:$BQ$1006,0))&gt;=100000), " ",IF(INDEX($AO$2:$BQ$1001,MATCH(ROWS($AH$2:AH434),$AH$2:$AH$1001,0),MATCH(COLUMNS($AO$1006:AO1006),$AO$1006:$BQ$1006,0)), HYPERLINK("#",""), HYPERLINK(CONCATENATE("#Metadata!", ADDRESS(INDEX($AJ$2:$AJ$1001,MATCH(ROWS($AH$2:AH434),$AH$2:$AH$1001,0),0), INDEX($AO$1004:$BQ$1004,1,MATCH(COLUMNS($AO$1006:AO1006),$AO$1006:$BQ$1006,0)))),"Fix")))</f>
        <v>#N/A</v>
      </c>
      <c r="C434" s="5" t="e">
        <f ca="1">IF(OR(INDEX($AI$2:$AI$1001,MATCH(ROWS($AH$2:AH434),$AH$2:$AH$1001,0),1)&gt;=100000,INDEX($AO$1005:$BQ$1005,1,MATCH(COLUMNS($AO$1006:AP1006),$AO$1006:$BQ$1006,0))&gt;=100000), " ",IF(INDEX($AO$2:$BQ$1001,MATCH(ROWS($AH$2:AH434),$AH$2:$AH$1001,0),MATCH(COLUMNS($AO$1006:AP1006),$AO$1006:$BQ$1006,0)), HYPERLINK("#",""), HYPERLINK(CONCATENATE("#Metadata!", ADDRESS(INDEX($AJ$2:$AJ$1001,MATCH(ROWS($AH$2:AH434),$AH$2:$AH$1001,0),0), INDEX($AO$1004:$BQ$1004,1,MATCH(COLUMNS($AO$1006:AP1006),$AO$1006:$BQ$1006,0)))),"Fix")))</f>
        <v>#N/A</v>
      </c>
      <c r="D434" s="5" t="e">
        <f ca="1">IF(OR(INDEX($AI$2:$AI$1001,MATCH(ROWS($AH$2:AH434),$AH$2:$AH$1001,0),1)&gt;=100000,INDEX($AO$1005:$BQ$1005,1,MATCH(COLUMNS($AO$1006:AQ1006),$AO$1006:$BQ$1006,0))&gt;=100000), " ",IF(INDEX($AO$2:$BQ$1001,MATCH(ROWS($AH$2:AH434),$AH$2:$AH$1001,0),MATCH(COLUMNS($AO$1006:AQ1006),$AO$1006:$BQ$1006,0)), HYPERLINK("#",""), HYPERLINK(CONCATENATE("#Metadata!", ADDRESS(INDEX($AJ$2:$AJ$1001,MATCH(ROWS($AH$2:AH434),$AH$2:$AH$1001,0),0), INDEX($AO$1004:$BQ$1004,1,MATCH(COLUMNS($AO$1006:AQ1006),$AO$1006:$BQ$1006,0)))),"Fix")))</f>
        <v>#N/A</v>
      </c>
      <c r="E434" s="5" t="e">
        <f ca="1">IF(OR(INDEX($AI$2:$AI$1001,MATCH(ROWS($AH$2:AH434),$AH$2:$AH$1001,0),1)&gt;=100000,INDEX($AO$1005:$BQ$1005,1,MATCH(COLUMNS($AO$1006:AR1006),$AO$1006:$BQ$1006,0))&gt;=100000), " ",IF(INDEX($AO$2:$BQ$1001,MATCH(ROWS($AH$2:AH434),$AH$2:$AH$1001,0),MATCH(COLUMNS($AO$1006:AR1006),$AO$1006:$BQ$1006,0)), HYPERLINK("#",""), HYPERLINK(CONCATENATE("#Metadata!", ADDRESS(INDEX($AJ$2:$AJ$1001,MATCH(ROWS($AH$2:AH434),$AH$2:$AH$1001,0),0), INDEX($AO$1004:$BQ$1004,1,MATCH(COLUMNS($AO$1006:AR1006),$AO$1006:$BQ$1006,0)))),"Fix")))</f>
        <v>#N/A</v>
      </c>
      <c r="F434" s="5" t="e">
        <f ca="1">IF(OR(INDEX($AI$2:$AI$1001,MATCH(ROWS($AH$2:AH434),$AH$2:$AH$1001,0),1)&gt;=100000,INDEX($AO$1005:$BQ$1005,1,MATCH(COLUMNS($AO$1006:AS1006),$AO$1006:$BQ$1006,0))&gt;=100000), " ",IF(INDEX($AO$2:$BQ$1001,MATCH(ROWS($AH$2:AH434),$AH$2:$AH$1001,0),MATCH(COLUMNS($AO$1006:AS1006),$AO$1006:$BQ$1006,0)), HYPERLINK("#",""), HYPERLINK(CONCATENATE("#Metadata!", ADDRESS(INDEX($AJ$2:$AJ$1001,MATCH(ROWS($AH$2:AH434),$AH$2:$AH$1001,0),0), INDEX($AO$1004:$BQ$1004,1,MATCH(COLUMNS($AO$1006:AS1006),$AO$1006:$BQ$1006,0)))),"Fix")))</f>
        <v>#N/A</v>
      </c>
      <c r="G434" s="5" t="e">
        <f ca="1">IF(OR(INDEX($AI$2:$AI$1001,MATCH(ROWS($AH$2:AH434),$AH$2:$AH$1001,0),1)&gt;=100000,INDEX($AO$1005:$BQ$1005,1,MATCH(COLUMNS($AO$1006:AT1006),$AO$1006:$BQ$1006,0))&gt;=100000), " ",IF(INDEX($AO$2:$BQ$1001,MATCH(ROWS($AH$2:AH434),$AH$2:$AH$1001,0),MATCH(COLUMNS($AO$1006:AT1006),$AO$1006:$BQ$1006,0)), HYPERLINK("#",""), HYPERLINK(CONCATENATE("#Metadata!", ADDRESS(INDEX($AJ$2:$AJ$1001,MATCH(ROWS($AH$2:AH434),$AH$2:$AH$1001,0),0), INDEX($AO$1004:$BQ$1004,1,MATCH(COLUMNS($AO$1006:AT1006),$AO$1006:$BQ$1006,0)))),"Fix")))</f>
        <v>#N/A</v>
      </c>
      <c r="H434" s="5" t="e">
        <f ca="1">IF(OR(INDEX($AI$2:$AI$1001,MATCH(ROWS($AH$2:AH434),$AH$2:$AH$1001,0),1)&gt;=100000,INDEX($AO$1005:$BQ$1005,1,MATCH(COLUMNS($AO$1006:AU1006),$AO$1006:$BQ$1006,0))&gt;=100000), " ",IF(INDEX($AO$2:$BQ$1001,MATCH(ROWS($AH$2:AH434),$AH$2:$AH$1001,0),MATCH(COLUMNS($AO$1006:AU1006),$AO$1006:$BQ$1006,0)), HYPERLINK("#",""), HYPERLINK(CONCATENATE("#Metadata!", ADDRESS(INDEX($AJ$2:$AJ$1001,MATCH(ROWS($AH$2:AH434),$AH$2:$AH$1001,0),0), INDEX($AO$1004:$BQ$1004,1,MATCH(COLUMNS($AO$1006:AU1006),$AO$1006:$BQ$1006,0)))),"Fix")))</f>
        <v>#N/A</v>
      </c>
      <c r="I434" s="5" t="e">
        <f ca="1">IF(OR(INDEX($AI$2:$AI$1001,MATCH(ROWS($AH$2:AH434),$AH$2:$AH$1001,0),1)&gt;=100000,INDEX($AO$1005:$BQ$1005,1,MATCH(COLUMNS($AO$1006:AV1006),$AO$1006:$BQ$1006,0))&gt;=100000), " ",IF(INDEX($AO$2:$BQ$1001,MATCH(ROWS($AH$2:AH434),$AH$2:$AH$1001,0),MATCH(COLUMNS($AO$1006:AV1006),$AO$1006:$BQ$1006,0)), HYPERLINK("#",""), HYPERLINK(CONCATENATE("#Metadata!", ADDRESS(INDEX($AJ$2:$AJ$1001,MATCH(ROWS($AH$2:AH434),$AH$2:$AH$1001,0),0), INDEX($AO$1004:$BQ$1004,1,MATCH(COLUMNS($AO$1006:AV1006),$AO$1006:$BQ$1006,0)))),"Fix")))</f>
        <v>#N/A</v>
      </c>
      <c r="J434" s="5" t="e">
        <f ca="1">IF(OR(INDEX($AI$2:$AI$1001,MATCH(ROWS($AH$2:AH434),$AH$2:$AH$1001,0),1)&gt;=100000,INDEX($AO$1005:$BQ$1005,1,MATCH(COLUMNS($AO$1006:AW1006),$AO$1006:$BQ$1006,0))&gt;=100000), " ",IF(INDEX($AO$2:$BQ$1001,MATCH(ROWS($AH$2:AH434),$AH$2:$AH$1001,0),MATCH(COLUMNS($AO$1006:AW1006),$AO$1006:$BQ$1006,0)), HYPERLINK("#",""), HYPERLINK(CONCATENATE("#Metadata!", ADDRESS(INDEX($AJ$2:$AJ$1001,MATCH(ROWS($AH$2:AH434),$AH$2:$AH$1001,0),0), INDEX($AO$1004:$BQ$1004,1,MATCH(COLUMNS($AO$1006:AW1006),$AO$1006:$BQ$1006,0)))),"Fix")))</f>
        <v>#N/A</v>
      </c>
      <c r="K434" s="5" t="e">
        <f ca="1">IF(OR(INDEX($AI$2:$AI$1001,MATCH(ROWS($AH$2:AH434),$AH$2:$AH$1001,0),1)&gt;=100000,INDEX($AO$1005:$BQ$1005,1,MATCH(COLUMNS($AO$1006:AX1006),$AO$1006:$BQ$1006,0))&gt;=100000), " ",IF(INDEX($AO$2:$BQ$1001,MATCH(ROWS($AH$2:AH434),$AH$2:$AH$1001,0),MATCH(COLUMNS($AO$1006:AX1006),$AO$1006:$BQ$1006,0)), HYPERLINK("#",""), HYPERLINK(CONCATENATE("#Metadata!", ADDRESS(INDEX($AJ$2:$AJ$1001,MATCH(ROWS($AH$2:AH434),$AH$2:$AH$1001,0),0), INDEX($AO$1004:$BQ$1004,1,MATCH(COLUMNS($AO$1006:AX1006),$AO$1006:$BQ$1006,0)))),"Fix")))</f>
        <v>#N/A</v>
      </c>
      <c r="L434" s="5" t="e">
        <f ca="1">IF(OR(INDEX($AI$2:$AI$1001,MATCH(ROWS($AH$2:AH434),$AH$2:$AH$1001,0),1)&gt;=100000,INDEX($AO$1005:$BQ$1005,1,MATCH(COLUMNS($AO$1006:AY1006),$AO$1006:$BQ$1006,0))&gt;=100000), " ",IF(INDEX($AO$2:$BQ$1001,MATCH(ROWS($AH$2:AH434),$AH$2:$AH$1001,0),MATCH(COLUMNS($AO$1006:AY1006),$AO$1006:$BQ$1006,0)), HYPERLINK("#",""), HYPERLINK(CONCATENATE("#Metadata!", ADDRESS(INDEX($AJ$2:$AJ$1001,MATCH(ROWS($AH$2:AH434),$AH$2:$AH$1001,0),0), INDEX($AO$1004:$BQ$1004,1,MATCH(COLUMNS($AO$1006:AY1006),$AO$1006:$BQ$1006,0)))),"Fix")))</f>
        <v>#N/A</v>
      </c>
      <c r="M434" s="5" t="e">
        <f ca="1">IF(OR(INDEX($AI$2:$AI$1001,MATCH(ROWS($AH$2:AH434),$AH$2:$AH$1001,0),1)&gt;=100000,INDEX($AO$1005:$BQ$1005,1,MATCH(COLUMNS($AO$1006:AZ1006),$AO$1006:$BQ$1006,0))&gt;=100000), " ",IF(INDEX($AO$2:$BQ$1001,MATCH(ROWS($AH$2:AH434),$AH$2:$AH$1001,0),MATCH(COLUMNS($AO$1006:AZ1006),$AO$1006:$BQ$1006,0)), HYPERLINK("#",""), HYPERLINK(CONCATENATE("#Metadata!", ADDRESS(INDEX($AJ$2:$AJ$1001,MATCH(ROWS($AH$2:AH434),$AH$2:$AH$1001,0),0), INDEX($AO$1004:$BQ$1004,1,MATCH(COLUMNS($AO$1006:AZ1006),$AO$1006:$BQ$1006,0)))),"Fix")))</f>
        <v>#N/A</v>
      </c>
      <c r="N434" s="5" t="e">
        <f ca="1">IF(OR(INDEX($AI$2:$AI$1001,MATCH(ROWS($AH$2:AH434),$AH$2:$AH$1001,0),1)&gt;=100000,INDEX($AO$1005:$BQ$1005,1,MATCH(COLUMNS($AO$1006:BA1006),$AO$1006:$BQ$1006,0))&gt;=100000), " ",IF(INDEX($AO$2:$BQ$1001,MATCH(ROWS($AH$2:AH434),$AH$2:$AH$1001,0),MATCH(COLUMNS($AO$1006:BA1006),$AO$1006:$BQ$1006,0)), HYPERLINK("#",""), HYPERLINK(CONCATENATE("#Metadata!", ADDRESS(INDEX($AJ$2:$AJ$1001,MATCH(ROWS($AH$2:AH434),$AH$2:$AH$1001,0),0), INDEX($AO$1004:$BQ$1004,1,MATCH(COLUMNS($AO$1006:BA1006),$AO$1006:$BQ$1006,0)))),"Fix")))</f>
        <v>#N/A</v>
      </c>
      <c r="O434" s="5" t="e">
        <f ca="1">IF(OR(INDEX($AI$2:$AI$1001,MATCH(ROWS($AH$2:AH434),$AH$2:$AH$1001,0),1)&gt;=100000,INDEX($AO$1005:$BQ$1005,1,MATCH(COLUMNS($AO$1006:BB1006),$AO$1006:$BQ$1006,0))&gt;=100000), " ",IF(INDEX($AO$2:$BQ$1001,MATCH(ROWS($AH$2:AH434),$AH$2:$AH$1001,0),MATCH(COLUMNS($AO$1006:BB1006),$AO$1006:$BQ$1006,0)), HYPERLINK("#",""), HYPERLINK(CONCATENATE("#Metadata!", ADDRESS(INDEX($AJ$2:$AJ$1001,MATCH(ROWS($AH$2:AH434),$AH$2:$AH$1001,0),0), INDEX($AO$1004:$BQ$1004,1,MATCH(COLUMNS($AO$1006:BB1006),$AO$1006:$BQ$1006,0)))),"Fix")))</f>
        <v>#N/A</v>
      </c>
      <c r="P434" s="5" t="e">
        <f ca="1">IF(OR(INDEX($AI$2:$AI$1001,MATCH(ROWS($AH$2:AH434),$AH$2:$AH$1001,0),1)&gt;=100000,INDEX($AO$1005:$BQ$1005,1,MATCH(COLUMNS($AO$1006:BC1006),$AO$1006:$BQ$1006,0))&gt;=100000), " ",IF(INDEX($AO$2:$BQ$1001,MATCH(ROWS($AH$2:AH434),$AH$2:$AH$1001,0),MATCH(COLUMNS($AO$1006:BC1006),$AO$1006:$BQ$1006,0)), HYPERLINK("#",""), HYPERLINK(CONCATENATE("#Metadata!", ADDRESS(INDEX($AJ$2:$AJ$1001,MATCH(ROWS($AH$2:AH434),$AH$2:$AH$1001,0),0), INDEX($AO$1004:$BQ$1004,1,MATCH(COLUMNS($AO$1006:BC1006),$AO$1006:$BQ$1006,0)))),"Fix")))</f>
        <v>#N/A</v>
      </c>
      <c r="Q434" s="5" t="e">
        <f ca="1">IF(OR(INDEX($AI$2:$AI$1001,MATCH(ROWS($AH$2:AH434),$AH$2:$AH$1001,0),1)&gt;=100000,INDEX($AO$1005:$BQ$1005,1,MATCH(COLUMNS($AO$1006:BD1006),$AO$1006:$BQ$1006,0))&gt;=100000), " ",IF(INDEX($AO$2:$BQ$1001,MATCH(ROWS($AH$2:AH434),$AH$2:$AH$1001,0),MATCH(COLUMNS($AO$1006:BD1006),$AO$1006:$BQ$1006,0)), HYPERLINK("#",""), HYPERLINK(CONCATENATE("#Metadata!", ADDRESS(INDEX($AJ$2:$AJ$1001,MATCH(ROWS($AH$2:AH434),$AH$2:$AH$1001,0),0), INDEX($AO$1004:$BQ$1004,1,MATCH(COLUMNS($AO$1006:BD1006),$AO$1006:$BQ$1006,0)))),"Fix")))</f>
        <v>#N/A</v>
      </c>
      <c r="R434" s="5" t="e">
        <f ca="1">IF(OR(INDEX($AI$2:$AI$1001,MATCH(ROWS($AH$2:AH434),$AH$2:$AH$1001,0),1)&gt;=100000,INDEX($AO$1005:$BQ$1005,1,MATCH(COLUMNS($AO$1006:BE1006),$AO$1006:$BQ$1006,0))&gt;=100000), " ",IF(INDEX($AO$2:$BQ$1001,MATCH(ROWS($AH$2:AH434),$AH$2:$AH$1001,0),MATCH(COLUMNS($AO$1006:BE1006),$AO$1006:$BQ$1006,0)), HYPERLINK("#",""), HYPERLINK(CONCATENATE("#Metadata!", ADDRESS(INDEX($AJ$2:$AJ$1001,MATCH(ROWS($AH$2:AH434),$AH$2:$AH$1001,0),0), INDEX($AO$1004:$BQ$1004,1,MATCH(COLUMNS($AO$1006:BE1006),$AO$1006:$BQ$1006,0)))),"Fix")))</f>
        <v>#N/A</v>
      </c>
      <c r="S434" s="5" t="e">
        <f ca="1">IF(OR(INDEX($AI$2:$AI$1001,MATCH(ROWS($AH$2:AH434),$AH$2:$AH$1001,0),1)&gt;=100000,INDEX($AO$1005:$BQ$1005,1,MATCH(COLUMNS($AO$1006:BF1006),$AO$1006:$BQ$1006,0))&gt;=100000), " ",IF(INDEX($AO$2:$BQ$1001,MATCH(ROWS($AH$2:AH434),$AH$2:$AH$1001,0),MATCH(COLUMNS($AO$1006:BF1006),$AO$1006:$BQ$1006,0)), HYPERLINK("#",""), HYPERLINK(CONCATENATE("#Metadata!", ADDRESS(INDEX($AJ$2:$AJ$1001,MATCH(ROWS($AH$2:AH434),$AH$2:$AH$1001,0),0), INDEX($AO$1004:$BQ$1004,1,MATCH(COLUMNS($AO$1006:BF1006),$AO$1006:$BQ$1006,0)))),"Fix")))</f>
        <v>#N/A</v>
      </c>
      <c r="T434" s="5" t="e">
        <f ca="1">IF(OR(INDEX($AI$2:$AI$1001,MATCH(ROWS($AH$2:AH434),$AH$2:$AH$1001,0),1)&gt;=100000,INDEX($AO$1005:$BQ$1005,1,MATCH(COLUMNS($AO$1006:BG1006),$AO$1006:$BQ$1006,0))&gt;=100000), " ",IF(INDEX($AO$2:$BQ$1001,MATCH(ROWS($AH$2:AH434),$AH$2:$AH$1001,0),MATCH(COLUMNS($AO$1006:BG1006),$AO$1006:$BQ$1006,0)), HYPERLINK("#",""), HYPERLINK(CONCATENATE("#Metadata!", ADDRESS(INDEX($AJ$2:$AJ$1001,MATCH(ROWS($AH$2:AH434),$AH$2:$AH$1001,0),0), INDEX($AO$1004:$BQ$1004,1,MATCH(COLUMNS($AO$1006:BG1006),$AO$1006:$BQ$1006,0)))),"Fix")))</f>
        <v>#N/A</v>
      </c>
      <c r="U434" s="5" t="e">
        <f ca="1">IF(OR(INDEX($AI$2:$AI$1001,MATCH(ROWS($AH$2:AH434),$AH$2:$AH$1001,0),1)&gt;=100000,INDEX($AO$1005:$BQ$1005,1,MATCH(COLUMNS($AO$1006:BH1006),$AO$1006:$BQ$1006,0))&gt;=100000), " ",IF(INDEX($AO$2:$BQ$1001,MATCH(ROWS($AH$2:AH434),$AH$2:$AH$1001,0),MATCH(COLUMNS($AO$1006:BH1006),$AO$1006:$BQ$1006,0)), HYPERLINK("#",""), HYPERLINK(CONCATENATE("#Metadata!", ADDRESS(INDEX($AJ$2:$AJ$1001,MATCH(ROWS($AH$2:AH434),$AH$2:$AH$1001,0),0), INDEX($AO$1004:$BQ$1004,1,MATCH(COLUMNS($AO$1006:BH1006),$AO$1006:$BQ$1006,0)))),"Fix")))</f>
        <v>#N/A</v>
      </c>
      <c r="V434" s="5" t="e">
        <f ca="1">IF(OR(INDEX($AI$2:$AI$1001,MATCH(ROWS($AH$2:AH434),$AH$2:$AH$1001,0),1)&gt;=100000,INDEX($AO$1005:$BQ$1005,1,MATCH(COLUMNS($AO$1006:BI1006),$AO$1006:$BQ$1006,0))&gt;=100000), " ",IF(INDEX($AO$2:$BQ$1001,MATCH(ROWS($AH$2:AH434),$AH$2:$AH$1001,0),MATCH(COLUMNS($AO$1006:BI1006),$AO$1006:$BQ$1006,0)), HYPERLINK("#",""), HYPERLINK(CONCATENATE("#Metadata!", ADDRESS(INDEX($AJ$2:$AJ$1001,MATCH(ROWS($AH$2:AH434),$AH$2:$AH$1001,0),0), INDEX($AO$1004:$BQ$1004,1,MATCH(COLUMNS($AO$1006:BI1006),$AO$1006:$BQ$1006,0)))),"Fix")))</f>
        <v>#N/A</v>
      </c>
      <c r="W434" s="5" t="e">
        <f ca="1">IF(OR(INDEX($AI$2:$AI$1001,MATCH(ROWS($AH$2:AH434),$AH$2:$AH$1001,0),1)&gt;=100000,INDEX($AO$1005:$BQ$1005,1,MATCH(COLUMNS($AO$1006:BJ1006),$AO$1006:$BQ$1006,0))&gt;=100000), " ",IF(INDEX($AO$2:$BQ$1001,MATCH(ROWS($AH$2:AH434),$AH$2:$AH$1001,0),MATCH(COLUMNS($AO$1006:BJ1006),$AO$1006:$BQ$1006,0)), HYPERLINK("#",""), HYPERLINK(CONCATENATE("#Metadata!", ADDRESS(INDEX($AJ$2:$AJ$1001,MATCH(ROWS($AH$2:AH434),$AH$2:$AH$1001,0),0), INDEX($AO$1004:$BQ$1004,1,MATCH(COLUMNS($AO$1006:BJ1006),$AO$1006:$BQ$1006,0)))),"Fix")))</f>
        <v>#N/A</v>
      </c>
      <c r="X434" s="5" t="e">
        <f ca="1">IF(OR(INDEX($AI$2:$AI$1001,MATCH(ROWS($AH$2:AH434),$AH$2:$AH$1001,0),1)&gt;=100000,INDEX($AO$1005:$BQ$1005,1,MATCH(COLUMNS($AO$1006:BK1006),$AO$1006:$BQ$1006,0))&gt;=100000), " ",IF(INDEX($AO$2:$BQ$1001,MATCH(ROWS($AH$2:AH434),$AH$2:$AH$1001,0),MATCH(COLUMNS($AO$1006:BK1006),$AO$1006:$BQ$1006,0)), HYPERLINK("#",""), HYPERLINK(CONCATENATE("#Metadata!", ADDRESS(INDEX($AJ$2:$AJ$1001,MATCH(ROWS($AH$2:AH434),$AH$2:$AH$1001,0),0), INDEX($AO$1004:$BQ$1004,1,MATCH(COLUMNS($AO$1006:BK1006),$AO$1006:$BQ$1006,0)))),"Fix")))</f>
        <v>#N/A</v>
      </c>
      <c r="Y434" s="5" t="e">
        <f ca="1">IF(OR(INDEX($AI$2:$AI$1001,MATCH(ROWS($AH$2:AH434),$AH$2:$AH$1001,0),1)&gt;=100000,INDEX($AO$1005:$BQ$1005,1,MATCH(COLUMNS($AO$1006:BL1006),$AO$1006:$BQ$1006,0))&gt;=100000), " ",IF(INDEX($AO$2:$BQ$1001,MATCH(ROWS($AH$2:AH434),$AH$2:$AH$1001,0),MATCH(COLUMNS($AO$1006:BL1006),$AO$1006:$BQ$1006,0)), HYPERLINK("#",""), HYPERLINK(CONCATENATE("#Metadata!", ADDRESS(INDEX($AJ$2:$AJ$1001,MATCH(ROWS($AH$2:AH434),$AH$2:$AH$1001,0),0), INDEX($AO$1004:$BQ$1004,1,MATCH(COLUMNS($AO$1006:BL1006),$AO$1006:$BQ$1006,0)))),"Fix")))</f>
        <v>#N/A</v>
      </c>
      <c r="Z434" s="5" t="e">
        <f ca="1">IF(OR(INDEX($AI$2:$AI$1001,MATCH(ROWS($AH$2:AH434),$AH$2:$AH$1001,0),1)&gt;=100000,INDEX($AO$1005:$BQ$1005,1,MATCH(COLUMNS($AO$1006:BM1006),$AO$1006:$BQ$1006,0))&gt;=100000), " ",IF(INDEX($AO$2:$BQ$1001,MATCH(ROWS($AH$2:AH434),$AH$2:$AH$1001,0),MATCH(COLUMNS($AO$1006:BM1006),$AO$1006:$BQ$1006,0)), HYPERLINK("#",""), HYPERLINK(CONCATENATE("#Metadata!", ADDRESS(INDEX($AJ$2:$AJ$1001,MATCH(ROWS($AH$2:AH434),$AH$2:$AH$1001,0),0), INDEX($AO$1004:$BQ$1004,1,MATCH(COLUMNS($AO$1006:BM1006),$AO$1006:$BQ$1006,0)))),"Fix")))</f>
        <v>#N/A</v>
      </c>
      <c r="AA434" s="5" t="e">
        <f ca="1">IF(OR(INDEX($AI$2:$AI$1001,MATCH(ROWS($AH$2:AH434),$AH$2:$AH$1001,0),1)&gt;=100000,INDEX($AO$1005:$BQ$1005,1,MATCH(COLUMNS($AO$1006:BN1006),$AO$1006:$BQ$1006,0))&gt;=100000), " ",IF(INDEX($AO$2:$BQ$1001,MATCH(ROWS($AH$2:AH434),$AH$2:$AH$1001,0),MATCH(COLUMNS($AO$1006:BN1006),$AO$1006:$BQ$1006,0)), HYPERLINK("#",""), HYPERLINK(CONCATENATE("#Metadata!", ADDRESS(INDEX($AJ$2:$AJ$1001,MATCH(ROWS($AH$2:AH434),$AH$2:$AH$1001,0),0), INDEX($AO$1004:$BQ$1004,1,MATCH(COLUMNS($AO$1006:BN1006),$AO$1006:$BQ$1006,0)))),"Fix")))</f>
        <v>#N/A</v>
      </c>
      <c r="AB434" s="5" t="e">
        <f ca="1">IF(OR(INDEX($AI$2:$AI$1001,MATCH(ROWS($AH$2:AH434),$AH$2:$AH$1001,0),1)&gt;=100000,INDEX($AO$1005:$BQ$1005,1,MATCH(COLUMNS($AO$1006:BO1006),$AO$1006:$BQ$1006,0))&gt;=100000), " ",IF(INDEX($AO$2:$BQ$1001,MATCH(ROWS($AH$2:AH434),$AH$2:$AH$1001,0),MATCH(COLUMNS($AO$1006:BO1006),$AO$1006:$BQ$1006,0)), HYPERLINK("#",""), HYPERLINK(CONCATENATE("#Metadata!", ADDRESS(INDEX($AJ$2:$AJ$1001,MATCH(ROWS($AH$2:AH434),$AH$2:$AH$1001,0),0), INDEX($AO$1004:$BQ$1004,1,MATCH(COLUMNS($AO$1006:BO1006),$AO$1006:$BQ$1006,0)))),"Fix")))</f>
        <v>#N/A</v>
      </c>
      <c r="AC434" s="5" t="e">
        <f ca="1">IF(OR(INDEX($AI$2:$AI$1001,MATCH(ROWS($AH$2:AH434),$AH$2:$AH$1001,0),1)&gt;=100000,INDEX($AO$1005:$BQ$1005,1,MATCH(COLUMNS($AO$1006:BP1006),$AO$1006:$BQ$1006,0))&gt;=100000), " ",IF(INDEX($AO$2:$BQ$1001,MATCH(ROWS($AH$2:AH434),$AH$2:$AH$1001,0),MATCH(COLUMNS($AO$1006:BP1006),$AO$1006:$BQ$1006,0)), HYPERLINK("#",""), HYPERLINK(CONCATENATE("#Metadata!", ADDRESS(INDEX($AJ$2:$AJ$1001,MATCH(ROWS($AH$2:AH434),$AH$2:$AH$1001,0),0), INDEX($AO$1004:$BQ$1004,1,MATCH(COLUMNS($AO$1006:BP1006),$AO$1006:$BQ$1006,0)))),"Fix")))</f>
        <v>#N/A</v>
      </c>
      <c r="AD434" s="5" t="e">
        <f ca="1">IF(OR(INDEX($AI$2:$AI$1001,MATCH(ROWS($AH$2:AH434),$AH$2:$AH$1001,0),1)&gt;=100000,INDEX($AO$1005:$BQ$1005,1,MATCH(COLUMNS($AO$1006:BQ1006),$AO$1006:$BQ$1006,0))&gt;=100000), " ",IF(INDEX($AO$2:$BQ$1001,MATCH(ROWS($AH$2:AH434),$AH$2:$AH$1001,0),MATCH(COLUMNS($AO$1006:BQ1006),$AO$1006:$BQ$1006,0)), HYPERLINK("#",""), HYPERLINK(CONCATENATE("#Metadata!", ADDRESS(INDEX($AJ$2:$AJ$1001,MATCH(ROWS($AH$2:AH434),$AH$2:$AH$1001,0),0), INDEX($AO$1004:$BQ$1004,1,MATCH(COLUMNS($AO$1006:BQ1006),$AO$1006:$BQ$1006,0)))),"Fix")))</f>
        <v>#REF!</v>
      </c>
      <c r="AH434">
        <f ca="1"/>
        <v>431</v>
      </c>
      <c r="AI434">
        <v>100434</v>
      </c>
      <c r="AJ434">
        <v>434</v>
      </c>
      <c r="AK434" t="b">
        <f t="shared" si="6"/>
        <v>1</v>
      </c>
      <c r="AL434" t="b">
        <f>COUNTBLANK(Metadata!B434:AD434)=COLUMNS(Metadata!B434:AD434)</f>
        <v>1</v>
      </c>
      <c r="AM434" t="str">
        <v/>
      </c>
      <c r="AO434" t="b">
        <f ca="1">AND(IF(Metadata!B434="",FALSE,TRUE),COUNTIF(Metadata!B:B, Metadata!B434) = 1,NOT(ISERROR(SUMPRODUCT(SEARCH(MID(Metadata!B434,ROW(INDIRECT("1:"&amp;LEN(Metadata!B434))), 1),"0123456789abcdefghijklmnopqrstuvwxyzABCDEFGHIJKLMNOPQRSTUVWXYZ.")))))</f>
        <v>0</v>
      </c>
      <c r="AP434" t="b">
        <f>IF(Metadata!C434="",FALSE,TRUE)</f>
        <v>0</v>
      </c>
      <c r="AQ434" t="b">
        <f>IF(Metadata!D434="",FALSE,TRUE)</f>
        <v>0</v>
      </c>
      <c r="AR434" t="b">
        <f ca="1">OR(AND(IF(Metadata!E434="",FALSE,TRUE),OR(EXACT(Metadata!E434,"not collected"),EXACT(Metadata!E434,"not provided"),EXACT(Metadata!E434,"restricted access"))),AND(IF(Metadata!E434="",FALSE,TRUE),AND(AND(IFERROR(INT(LEFT(Metadata!E434,4))&gt;1900,FALSE),IFERROR(INT(LEFT(Metadata!E434,4))&lt;=YEAR(NOW()),FALSE)), OR(MID(Metadata!E434,5,1)="", AND(AND(MID(Metadata!E434,5,1)="-",IFERROR(INT(MID(Metadata!E434,6,1))&gt;=0,FALSE),IFERROR(INT(MID(Metadata!E434,6,1))&lt;=1,FALSE),NOT(MID(Metadata!E434,7,1)=""),IFERROR(INT(MID(Metadata!E434,6,2))&gt;=1,FALSE),IFERROR(INT(MID(Metadata!E434,6,2))&lt;=12,FALSE)), OR(MID(Metadata!E434,8,1)="", AND(AND(MID(Metadata!E434,8,1)="-",IFERROR(INT(MID(Metadata!E434,9,1))&gt;=0,FALSE),IFERROR(INT(MID(Metadata!E434,9,1))&lt;=3,FALSE),NOT(MID(Metadata!E434,10,1)=""),IFERROR(INT(MID(Metadata!E434,9,2))&gt;=1,FALSE),IFERROR(INT(MID(Metadata!E434,9,2))&lt;=31,FALSE)), OR(MID(Metadata!E434,11,1)="", AND(AND(MID(Metadata!E434,11,1)=" ",IFERROR(INT(MID(Metadata!E434,12,1))&gt;=0,FALSE),IFERROR(INT(MID(Metadata!E434,12,1))&lt;=2,FALSE),NOT(MID(Metadata!E434,13,1)=""),IFERROR(INT(MID(Metadata!E434,12,2))&gt;=0,FALSE),IFERROR(INT(MID(Metadata!E434,12,2))&lt;=23,FALSE)), OR(MID(Metadata!E434,14,1)="", AND(AND(MID(Metadata!E434,14,1)=":",IFERROR(INT(MID(Metadata!E434,15,1))&gt;=0,FALSE),IFERROR(INT(MID(Metadata!E434,15,1))&lt;=5,FALSE),NOT(MID(Metadata!E434,16,1)=""),IFERROR(INT(MID(Metadata!E434,15,2))&gt;=0,FALSE),IFERROR(INT(MID(Metadata!E434,15,2))&lt;=59,FALSE)), OR(MID(Metadata!E434,17,1)="", AND(AND(MID(Metadata!E434,17,1)=":",IFERROR(INT(MID(Metadata!E434,18,1))&gt;=0,FALSE),IFERROR(INT(MID(Metadata!E434,18,1))&lt;=5,FALSE),NOT(MID(Metadata!E434,19,1)=""),IFERROR(INT(MID(Metadata!E434,18,2))&gt;=0,FALSE),IFERROR(INT(MID(Metadata!E434,18,2))&lt;=59,FALSE)), LEN(Metadata!E434)&lt;=19)))))))))))))</f>
        <v>0</v>
      </c>
      <c r="AS434" t="b">
        <f>IF(Metadata!F434="",FALSE,TRUE)</f>
        <v>0</v>
      </c>
      <c r="AT434" t="b">
        <f>OR(AND(IF(Metadata!G434="",FALSE,TRUE),OR(EXACT(Metadata!G434,"not collected"),EXACT(Metadata!G434,"not provided"))),AND(IF(Metadata!G434="",FALSE,TRUE),OR(EXACT(Metadata!G434,"TRUE"),EXACT(Metadata!G434,"FALSE"))))</f>
        <v>0</v>
      </c>
      <c r="AU434" t="b">
        <f>OR(AND(IF(Metadata!H434="",FALSE,TRUE),OR(EXACT(Metadata!H434,"not collected"),EXACT(Metadata!H434,"not provided"),EXACT(Metadata!H434,"restricted access"))),AND(IF(Metadata!H434="",FALSE,ISNUMBER(VALUE(Metadata!H434))),Metadata!H434&gt;=-413))</f>
        <v>0</v>
      </c>
      <c r="AV434" t="b">
        <f>AND(IF(Metadata!I434="",FALSE,TRUE),EXACT(Metadata!I434,"meters"))</f>
        <v>0</v>
      </c>
      <c r="AW434" t="b">
        <f>AND(IF(Metadata!J434="",FALSE,TRUE),EXACT(Metadata!J434,"free-living"))</f>
        <v>0</v>
      </c>
      <c r="AX434" t="b">
        <f>AND(IF(Metadata!K434="",FALSE,TRUE),OR(EXACT(Metadata!K434,"saline"),EXACT(Metadata!K434,"non-saline")))</f>
        <v>0</v>
      </c>
      <c r="AY434" t="b">
        <f>AND(IF(Metadata!L434="",FALSE,TRUE),OR(EXACT(Metadata!L434,"sub-surface (non-saline)"),EXACT(Metadata!L434,"surface (non-saline)"),EXACT(Metadata!L434,"water (non-saline)"),EXACT(Metadata!L434,"soil (non-saline)"),EXACT(Metadata!L434,"aerosol (non-saline)"),EXACT(Metadata!L434,"sediment (non-saline)"),EXACT(Metadata!L434,"surface (saline)"),EXACT(Metadata!L434,"water (saline)"),EXACT(Metadata!L434,"hypersaline (saline)"),EXACT(Metadata!L434,"aerosol (saline)"),EXACT(Metadata!L434,"sediment (saline)")))</f>
        <v>0</v>
      </c>
      <c r="AZ434" t="b">
        <f>IF(Metadata!M434="",FALSE,TRUE)</f>
        <v>0</v>
      </c>
      <c r="BA434" t="b">
        <f>IF(Metadata!N434="",FALSE,TRUE)</f>
        <v>0</v>
      </c>
      <c r="BB434" t="b">
        <f>IF(Metadata!O434="",FALSE,TRUE)</f>
        <v>0</v>
      </c>
      <c r="BC434" t="b">
        <f>AND(IF(Metadata!P434="",FALSE,TRUE),OR(EXACT(Metadata!P434,"air"),EXACT(Metadata!P434,"microbial mat/biofilm"),EXACT(Metadata!P434,"misc environment"),EXACT(Metadata!P434,"sediment"),EXACT(Metadata!P434,"soil"),EXACT(Metadata!P434,"wastewater/sludge"),EXACT(Metadata!P434,"water")))</f>
        <v>0</v>
      </c>
      <c r="BD434" t="b">
        <f>IF(Metadata!Q434="",FALSE,TRUE)</f>
        <v>0</v>
      </c>
      <c r="BE434" t="b">
        <f>IF(Metadata!R434="",FALSE,TRUE)</f>
        <v>0</v>
      </c>
      <c r="BF434" t="b">
        <f>OR(AND(IF(Metadata!S434="",FALSE,TRUE),OR(EXACT(Metadata!S434,"not collected"),EXACT(Metadata!S434,"not provided"),EXACT(Metadata!S434,"restricted access"))),AND(IF(Metadata!S434="",FALSE,ISNUMBER(VALUE(Metadata!S434))),Metadata!S434&gt;=-90,Metadata!S434&lt;=90))</f>
        <v>0</v>
      </c>
      <c r="BG434" t="b">
        <f>AND(IF(Metadata!T434="",FALSE,TRUE),EXACT(Metadata!T434,"Decimal degrees"))</f>
        <v>0</v>
      </c>
      <c r="BH434" t="b">
        <f>OR(AND(IF(Metadata!U434="",FALSE,TRUE),OR(EXACT(Metadata!U434,"not applicable"),EXACT(Metadata!U434,"not collected"))),IF(Metadata!U434="",FALSE,TRUE))</f>
        <v>0</v>
      </c>
      <c r="BI434" t="b">
        <f>OR(AND(IF(Metadata!V434="",FALSE,TRUE),OR(EXACT(Metadata!V434,"not collected"),EXACT(Metadata!V434,"not provided"),EXACT(Metadata!V434,"restricted access"))),AND(IF(Metadata!V434="",FALSE,ISNUMBER(VALUE(Metadata!V434))),Metadata!V434&gt;=-180,Metadata!V434&lt;=180))</f>
        <v>0</v>
      </c>
      <c r="BJ434" t="b">
        <f>AND(IF(Metadata!W434="",FALSE,TRUE),EXACT(Metadata!W434,"Decimal degrees"))</f>
        <v>0</v>
      </c>
      <c r="BK434" t="b">
        <f>IF(Metadata!X434="",FALSE,TRUE)</f>
        <v>0</v>
      </c>
      <c r="BL434" t="b">
        <f>OR(AND(IF(Metadata!Y434="",FALSE,TRUE),OR(EXACT(Metadata!Y434,"not collected"),EXACT(Metadata!Y434,"not provided"),EXACT(Metadata!Y434,"restricted access"))),AND(IF(Metadata!Y434="",FALSE,TRUE),OR(EXACT(Metadata!Y434,"TRUE"),EXACT(Metadata!Y434,"FALSE"))))</f>
        <v>0</v>
      </c>
      <c r="BM434" t="b">
        <f>OR(AND(IF(Metadata!Z434="",FALSE,TRUE),EXACT(Metadata!Z434,"not applicable")),AND(IF(Metadata!Z434="",FALSE,TRUE),OR(EXACT(Metadata!Z434,"beer"),EXACT(Metadata!Z434,"cheese"),EXACT(Metadata!Z434,"fresh water"),EXACT(Metadata!Z434,"marine sediment"),EXACT(Metadata!Z434,"sea water"),EXACT(Metadata!Z434,"sediment"),EXACT(Metadata!Z434,"soil"),EXACT(Metadata!Z434,"waste water"))))</f>
        <v>0</v>
      </c>
      <c r="BN434" t="b">
        <f>AND(IF(Metadata!AA434="",FALSE,TRUE),EXACT(Metadata!AA434,"metagenome"))</f>
        <v>0</v>
      </c>
      <c r="BO434" t="b">
        <f>AND(IF(Metadata!AB434="",FALSE,TRUE),EXACT(Metadata!AB434,"256318"))</f>
        <v>0</v>
      </c>
      <c r="BP434" t="b">
        <f>IF(Metadata!AC434="",FALSE,TRUE)</f>
        <v>0</v>
      </c>
      <c r="BQ434" t="b">
        <f>IF(Metadata!AD434="",FALSE,TRUE)</f>
        <v>0</v>
      </c>
    </row>
    <row r="435" spans="1:69" x14ac:dyDescent="0.2">
      <c r="A435" s="4" t="e">
        <f ca="1">IF(B435=" "," ",HYPERLINK(CONCATENATE("#metadata!",ADDRESS(INDEX($AJ$2:$AJ$1001,MATCH(ROWS($AH$2:AH435),$AH$2:$AH$1001,0),0),2)),INDEX($AM$2:$AM$1001,MATCH(ROWS($AH$2:AH435),$AH$2:$AH$1001,0),0)))</f>
        <v>#N/A</v>
      </c>
      <c r="B435" s="5" t="e">
        <f ca="1">IF(OR(INDEX($AI$2:$AI$1001,MATCH(ROWS($AH$2:AH435),$AH$2:$AH$1001,0),1)&gt;=100000,INDEX($AO$1005:$BQ$1005,1,MATCH(COLUMNS($AO$1006:AO1006),$AO$1006:$BQ$1006,0))&gt;=100000), " ",IF(INDEX($AO$2:$BQ$1001,MATCH(ROWS($AH$2:AH435),$AH$2:$AH$1001,0),MATCH(COLUMNS($AO$1006:AO1006),$AO$1006:$BQ$1006,0)), HYPERLINK("#",""), HYPERLINK(CONCATENATE("#Metadata!", ADDRESS(INDEX($AJ$2:$AJ$1001,MATCH(ROWS($AH$2:AH435),$AH$2:$AH$1001,0),0), INDEX($AO$1004:$BQ$1004,1,MATCH(COLUMNS($AO$1006:AO1006),$AO$1006:$BQ$1006,0)))),"Fix")))</f>
        <v>#N/A</v>
      </c>
      <c r="C435" s="5" t="e">
        <f ca="1">IF(OR(INDEX($AI$2:$AI$1001,MATCH(ROWS($AH$2:AH435),$AH$2:$AH$1001,0),1)&gt;=100000,INDEX($AO$1005:$BQ$1005,1,MATCH(COLUMNS($AO$1006:AP1006),$AO$1006:$BQ$1006,0))&gt;=100000), " ",IF(INDEX($AO$2:$BQ$1001,MATCH(ROWS($AH$2:AH435),$AH$2:$AH$1001,0),MATCH(COLUMNS($AO$1006:AP1006),$AO$1006:$BQ$1006,0)), HYPERLINK("#",""), HYPERLINK(CONCATENATE("#Metadata!", ADDRESS(INDEX($AJ$2:$AJ$1001,MATCH(ROWS($AH$2:AH435),$AH$2:$AH$1001,0),0), INDEX($AO$1004:$BQ$1004,1,MATCH(COLUMNS($AO$1006:AP1006),$AO$1006:$BQ$1006,0)))),"Fix")))</f>
        <v>#N/A</v>
      </c>
      <c r="D435" s="5" t="e">
        <f ca="1">IF(OR(INDEX($AI$2:$AI$1001,MATCH(ROWS($AH$2:AH435),$AH$2:$AH$1001,0),1)&gt;=100000,INDEX($AO$1005:$BQ$1005,1,MATCH(COLUMNS($AO$1006:AQ1006),$AO$1006:$BQ$1006,0))&gt;=100000), " ",IF(INDEX($AO$2:$BQ$1001,MATCH(ROWS($AH$2:AH435),$AH$2:$AH$1001,0),MATCH(COLUMNS($AO$1006:AQ1006),$AO$1006:$BQ$1006,0)), HYPERLINK("#",""), HYPERLINK(CONCATENATE("#Metadata!", ADDRESS(INDEX($AJ$2:$AJ$1001,MATCH(ROWS($AH$2:AH435),$AH$2:$AH$1001,0),0), INDEX($AO$1004:$BQ$1004,1,MATCH(COLUMNS($AO$1006:AQ1006),$AO$1006:$BQ$1006,0)))),"Fix")))</f>
        <v>#N/A</v>
      </c>
      <c r="E435" s="5" t="e">
        <f ca="1">IF(OR(INDEX($AI$2:$AI$1001,MATCH(ROWS($AH$2:AH435),$AH$2:$AH$1001,0),1)&gt;=100000,INDEX($AO$1005:$BQ$1005,1,MATCH(COLUMNS($AO$1006:AR1006),$AO$1006:$BQ$1006,0))&gt;=100000), " ",IF(INDEX($AO$2:$BQ$1001,MATCH(ROWS($AH$2:AH435),$AH$2:$AH$1001,0),MATCH(COLUMNS($AO$1006:AR1006),$AO$1006:$BQ$1006,0)), HYPERLINK("#",""), HYPERLINK(CONCATENATE("#Metadata!", ADDRESS(INDEX($AJ$2:$AJ$1001,MATCH(ROWS($AH$2:AH435),$AH$2:$AH$1001,0),0), INDEX($AO$1004:$BQ$1004,1,MATCH(COLUMNS($AO$1006:AR1006),$AO$1006:$BQ$1006,0)))),"Fix")))</f>
        <v>#N/A</v>
      </c>
      <c r="F435" s="5" t="e">
        <f ca="1">IF(OR(INDEX($AI$2:$AI$1001,MATCH(ROWS($AH$2:AH435),$AH$2:$AH$1001,0),1)&gt;=100000,INDEX($AO$1005:$BQ$1005,1,MATCH(COLUMNS($AO$1006:AS1006),$AO$1006:$BQ$1006,0))&gt;=100000), " ",IF(INDEX($AO$2:$BQ$1001,MATCH(ROWS($AH$2:AH435),$AH$2:$AH$1001,0),MATCH(COLUMNS($AO$1006:AS1006),$AO$1006:$BQ$1006,0)), HYPERLINK("#",""), HYPERLINK(CONCATENATE("#Metadata!", ADDRESS(INDEX($AJ$2:$AJ$1001,MATCH(ROWS($AH$2:AH435),$AH$2:$AH$1001,0),0), INDEX($AO$1004:$BQ$1004,1,MATCH(COLUMNS($AO$1006:AS1006),$AO$1006:$BQ$1006,0)))),"Fix")))</f>
        <v>#N/A</v>
      </c>
      <c r="G435" s="5" t="e">
        <f ca="1">IF(OR(INDEX($AI$2:$AI$1001,MATCH(ROWS($AH$2:AH435),$AH$2:$AH$1001,0),1)&gt;=100000,INDEX($AO$1005:$BQ$1005,1,MATCH(COLUMNS($AO$1006:AT1006),$AO$1006:$BQ$1006,0))&gt;=100000), " ",IF(INDEX($AO$2:$BQ$1001,MATCH(ROWS($AH$2:AH435),$AH$2:$AH$1001,0),MATCH(COLUMNS($AO$1006:AT1006),$AO$1006:$BQ$1006,0)), HYPERLINK("#",""), HYPERLINK(CONCATENATE("#Metadata!", ADDRESS(INDEX($AJ$2:$AJ$1001,MATCH(ROWS($AH$2:AH435),$AH$2:$AH$1001,0),0), INDEX($AO$1004:$BQ$1004,1,MATCH(COLUMNS($AO$1006:AT1006),$AO$1006:$BQ$1006,0)))),"Fix")))</f>
        <v>#N/A</v>
      </c>
      <c r="H435" s="5" t="e">
        <f ca="1">IF(OR(INDEX($AI$2:$AI$1001,MATCH(ROWS($AH$2:AH435),$AH$2:$AH$1001,0),1)&gt;=100000,INDEX($AO$1005:$BQ$1005,1,MATCH(COLUMNS($AO$1006:AU1006),$AO$1006:$BQ$1006,0))&gt;=100000), " ",IF(INDEX($AO$2:$BQ$1001,MATCH(ROWS($AH$2:AH435),$AH$2:$AH$1001,0),MATCH(COLUMNS($AO$1006:AU1006),$AO$1006:$BQ$1006,0)), HYPERLINK("#",""), HYPERLINK(CONCATENATE("#Metadata!", ADDRESS(INDEX($AJ$2:$AJ$1001,MATCH(ROWS($AH$2:AH435),$AH$2:$AH$1001,0),0), INDEX($AO$1004:$BQ$1004,1,MATCH(COLUMNS($AO$1006:AU1006),$AO$1006:$BQ$1006,0)))),"Fix")))</f>
        <v>#N/A</v>
      </c>
      <c r="I435" s="5" t="e">
        <f ca="1">IF(OR(INDEX($AI$2:$AI$1001,MATCH(ROWS($AH$2:AH435),$AH$2:$AH$1001,0),1)&gt;=100000,INDEX($AO$1005:$BQ$1005,1,MATCH(COLUMNS($AO$1006:AV1006),$AO$1006:$BQ$1006,0))&gt;=100000), " ",IF(INDEX($AO$2:$BQ$1001,MATCH(ROWS($AH$2:AH435),$AH$2:$AH$1001,0),MATCH(COLUMNS($AO$1006:AV1006),$AO$1006:$BQ$1006,0)), HYPERLINK("#",""), HYPERLINK(CONCATENATE("#Metadata!", ADDRESS(INDEX($AJ$2:$AJ$1001,MATCH(ROWS($AH$2:AH435),$AH$2:$AH$1001,0),0), INDEX($AO$1004:$BQ$1004,1,MATCH(COLUMNS($AO$1006:AV1006),$AO$1006:$BQ$1006,0)))),"Fix")))</f>
        <v>#N/A</v>
      </c>
      <c r="J435" s="5" t="e">
        <f ca="1">IF(OR(INDEX($AI$2:$AI$1001,MATCH(ROWS($AH$2:AH435),$AH$2:$AH$1001,0),1)&gt;=100000,INDEX($AO$1005:$BQ$1005,1,MATCH(COLUMNS($AO$1006:AW1006),$AO$1006:$BQ$1006,0))&gt;=100000), " ",IF(INDEX($AO$2:$BQ$1001,MATCH(ROWS($AH$2:AH435),$AH$2:$AH$1001,0),MATCH(COLUMNS($AO$1006:AW1006),$AO$1006:$BQ$1006,0)), HYPERLINK("#",""), HYPERLINK(CONCATENATE("#Metadata!", ADDRESS(INDEX($AJ$2:$AJ$1001,MATCH(ROWS($AH$2:AH435),$AH$2:$AH$1001,0),0), INDEX($AO$1004:$BQ$1004,1,MATCH(COLUMNS($AO$1006:AW1006),$AO$1006:$BQ$1006,0)))),"Fix")))</f>
        <v>#N/A</v>
      </c>
      <c r="K435" s="5" t="e">
        <f ca="1">IF(OR(INDEX($AI$2:$AI$1001,MATCH(ROWS($AH$2:AH435),$AH$2:$AH$1001,0),1)&gt;=100000,INDEX($AO$1005:$BQ$1005,1,MATCH(COLUMNS($AO$1006:AX1006),$AO$1006:$BQ$1006,0))&gt;=100000), " ",IF(INDEX($AO$2:$BQ$1001,MATCH(ROWS($AH$2:AH435),$AH$2:$AH$1001,0),MATCH(COLUMNS($AO$1006:AX1006),$AO$1006:$BQ$1006,0)), HYPERLINK("#",""), HYPERLINK(CONCATENATE("#Metadata!", ADDRESS(INDEX($AJ$2:$AJ$1001,MATCH(ROWS($AH$2:AH435),$AH$2:$AH$1001,0),0), INDEX($AO$1004:$BQ$1004,1,MATCH(COLUMNS($AO$1006:AX1006),$AO$1006:$BQ$1006,0)))),"Fix")))</f>
        <v>#N/A</v>
      </c>
      <c r="L435" s="5" t="e">
        <f ca="1">IF(OR(INDEX($AI$2:$AI$1001,MATCH(ROWS($AH$2:AH435),$AH$2:$AH$1001,0),1)&gt;=100000,INDEX($AO$1005:$BQ$1005,1,MATCH(COLUMNS($AO$1006:AY1006),$AO$1006:$BQ$1006,0))&gt;=100000), " ",IF(INDEX($AO$2:$BQ$1001,MATCH(ROWS($AH$2:AH435),$AH$2:$AH$1001,0),MATCH(COLUMNS($AO$1006:AY1006),$AO$1006:$BQ$1006,0)), HYPERLINK("#",""), HYPERLINK(CONCATENATE("#Metadata!", ADDRESS(INDEX($AJ$2:$AJ$1001,MATCH(ROWS($AH$2:AH435),$AH$2:$AH$1001,0),0), INDEX($AO$1004:$BQ$1004,1,MATCH(COLUMNS($AO$1006:AY1006),$AO$1006:$BQ$1006,0)))),"Fix")))</f>
        <v>#N/A</v>
      </c>
      <c r="M435" s="5" t="e">
        <f ca="1">IF(OR(INDEX($AI$2:$AI$1001,MATCH(ROWS($AH$2:AH435),$AH$2:$AH$1001,0),1)&gt;=100000,INDEX($AO$1005:$BQ$1005,1,MATCH(COLUMNS($AO$1006:AZ1006),$AO$1006:$BQ$1006,0))&gt;=100000), " ",IF(INDEX($AO$2:$BQ$1001,MATCH(ROWS($AH$2:AH435),$AH$2:$AH$1001,0),MATCH(COLUMNS($AO$1006:AZ1006),$AO$1006:$BQ$1006,0)), HYPERLINK("#",""), HYPERLINK(CONCATENATE("#Metadata!", ADDRESS(INDEX($AJ$2:$AJ$1001,MATCH(ROWS($AH$2:AH435),$AH$2:$AH$1001,0),0), INDEX($AO$1004:$BQ$1004,1,MATCH(COLUMNS($AO$1006:AZ1006),$AO$1006:$BQ$1006,0)))),"Fix")))</f>
        <v>#N/A</v>
      </c>
      <c r="N435" s="5" t="e">
        <f ca="1">IF(OR(INDEX($AI$2:$AI$1001,MATCH(ROWS($AH$2:AH435),$AH$2:$AH$1001,0),1)&gt;=100000,INDEX($AO$1005:$BQ$1005,1,MATCH(COLUMNS($AO$1006:BA1006),$AO$1006:$BQ$1006,0))&gt;=100000), " ",IF(INDEX($AO$2:$BQ$1001,MATCH(ROWS($AH$2:AH435),$AH$2:$AH$1001,0),MATCH(COLUMNS($AO$1006:BA1006),$AO$1006:$BQ$1006,0)), HYPERLINK("#",""), HYPERLINK(CONCATENATE("#Metadata!", ADDRESS(INDEX($AJ$2:$AJ$1001,MATCH(ROWS($AH$2:AH435),$AH$2:$AH$1001,0),0), INDEX($AO$1004:$BQ$1004,1,MATCH(COLUMNS($AO$1006:BA1006),$AO$1006:$BQ$1006,0)))),"Fix")))</f>
        <v>#N/A</v>
      </c>
      <c r="O435" s="5" t="e">
        <f ca="1">IF(OR(INDEX($AI$2:$AI$1001,MATCH(ROWS($AH$2:AH435),$AH$2:$AH$1001,0),1)&gt;=100000,INDEX($AO$1005:$BQ$1005,1,MATCH(COLUMNS($AO$1006:BB1006),$AO$1006:$BQ$1006,0))&gt;=100000), " ",IF(INDEX($AO$2:$BQ$1001,MATCH(ROWS($AH$2:AH435),$AH$2:$AH$1001,0),MATCH(COLUMNS($AO$1006:BB1006),$AO$1006:$BQ$1006,0)), HYPERLINK("#",""), HYPERLINK(CONCATENATE("#Metadata!", ADDRESS(INDEX($AJ$2:$AJ$1001,MATCH(ROWS($AH$2:AH435),$AH$2:$AH$1001,0),0), INDEX($AO$1004:$BQ$1004,1,MATCH(COLUMNS($AO$1006:BB1006),$AO$1006:$BQ$1006,0)))),"Fix")))</f>
        <v>#N/A</v>
      </c>
      <c r="P435" s="5" t="e">
        <f ca="1">IF(OR(INDEX($AI$2:$AI$1001,MATCH(ROWS($AH$2:AH435),$AH$2:$AH$1001,0),1)&gt;=100000,INDEX($AO$1005:$BQ$1005,1,MATCH(COLUMNS($AO$1006:BC1006),$AO$1006:$BQ$1006,0))&gt;=100000), " ",IF(INDEX($AO$2:$BQ$1001,MATCH(ROWS($AH$2:AH435),$AH$2:$AH$1001,0),MATCH(COLUMNS($AO$1006:BC1006),$AO$1006:$BQ$1006,0)), HYPERLINK("#",""), HYPERLINK(CONCATENATE("#Metadata!", ADDRESS(INDEX($AJ$2:$AJ$1001,MATCH(ROWS($AH$2:AH435),$AH$2:$AH$1001,0),0), INDEX($AO$1004:$BQ$1004,1,MATCH(COLUMNS($AO$1006:BC1006),$AO$1006:$BQ$1006,0)))),"Fix")))</f>
        <v>#N/A</v>
      </c>
      <c r="Q435" s="5" t="e">
        <f ca="1">IF(OR(INDEX($AI$2:$AI$1001,MATCH(ROWS($AH$2:AH435),$AH$2:$AH$1001,0),1)&gt;=100000,INDEX($AO$1005:$BQ$1005,1,MATCH(COLUMNS($AO$1006:BD1006),$AO$1006:$BQ$1006,0))&gt;=100000), " ",IF(INDEX($AO$2:$BQ$1001,MATCH(ROWS($AH$2:AH435),$AH$2:$AH$1001,0),MATCH(COLUMNS($AO$1006:BD1006),$AO$1006:$BQ$1006,0)), HYPERLINK("#",""), HYPERLINK(CONCATENATE("#Metadata!", ADDRESS(INDEX($AJ$2:$AJ$1001,MATCH(ROWS($AH$2:AH435),$AH$2:$AH$1001,0),0), INDEX($AO$1004:$BQ$1004,1,MATCH(COLUMNS($AO$1006:BD1006),$AO$1006:$BQ$1006,0)))),"Fix")))</f>
        <v>#N/A</v>
      </c>
      <c r="R435" s="5" t="e">
        <f ca="1">IF(OR(INDEX($AI$2:$AI$1001,MATCH(ROWS($AH$2:AH435),$AH$2:$AH$1001,0),1)&gt;=100000,INDEX($AO$1005:$BQ$1005,1,MATCH(COLUMNS($AO$1006:BE1006),$AO$1006:$BQ$1006,0))&gt;=100000), " ",IF(INDEX($AO$2:$BQ$1001,MATCH(ROWS($AH$2:AH435),$AH$2:$AH$1001,0),MATCH(COLUMNS($AO$1006:BE1006),$AO$1006:$BQ$1006,0)), HYPERLINK("#",""), HYPERLINK(CONCATENATE("#Metadata!", ADDRESS(INDEX($AJ$2:$AJ$1001,MATCH(ROWS($AH$2:AH435),$AH$2:$AH$1001,0),0), INDEX($AO$1004:$BQ$1004,1,MATCH(COLUMNS($AO$1006:BE1006),$AO$1006:$BQ$1006,0)))),"Fix")))</f>
        <v>#N/A</v>
      </c>
      <c r="S435" s="5" t="e">
        <f ca="1">IF(OR(INDEX($AI$2:$AI$1001,MATCH(ROWS($AH$2:AH435),$AH$2:$AH$1001,0),1)&gt;=100000,INDEX($AO$1005:$BQ$1005,1,MATCH(COLUMNS($AO$1006:BF1006),$AO$1006:$BQ$1006,0))&gt;=100000), " ",IF(INDEX($AO$2:$BQ$1001,MATCH(ROWS($AH$2:AH435),$AH$2:$AH$1001,0),MATCH(COLUMNS($AO$1006:BF1006),$AO$1006:$BQ$1006,0)), HYPERLINK("#",""), HYPERLINK(CONCATENATE("#Metadata!", ADDRESS(INDEX($AJ$2:$AJ$1001,MATCH(ROWS($AH$2:AH435),$AH$2:$AH$1001,0),0), INDEX($AO$1004:$BQ$1004,1,MATCH(COLUMNS($AO$1006:BF1006),$AO$1006:$BQ$1006,0)))),"Fix")))</f>
        <v>#N/A</v>
      </c>
      <c r="T435" s="5" t="e">
        <f ca="1">IF(OR(INDEX($AI$2:$AI$1001,MATCH(ROWS($AH$2:AH435),$AH$2:$AH$1001,0),1)&gt;=100000,INDEX($AO$1005:$BQ$1005,1,MATCH(COLUMNS($AO$1006:BG1006),$AO$1006:$BQ$1006,0))&gt;=100000), " ",IF(INDEX($AO$2:$BQ$1001,MATCH(ROWS($AH$2:AH435),$AH$2:$AH$1001,0),MATCH(COLUMNS($AO$1006:BG1006),$AO$1006:$BQ$1006,0)), HYPERLINK("#",""), HYPERLINK(CONCATENATE("#Metadata!", ADDRESS(INDEX($AJ$2:$AJ$1001,MATCH(ROWS($AH$2:AH435),$AH$2:$AH$1001,0),0), INDEX($AO$1004:$BQ$1004,1,MATCH(COLUMNS($AO$1006:BG1006),$AO$1006:$BQ$1006,0)))),"Fix")))</f>
        <v>#N/A</v>
      </c>
      <c r="U435" s="5" t="e">
        <f ca="1">IF(OR(INDEX($AI$2:$AI$1001,MATCH(ROWS($AH$2:AH435),$AH$2:$AH$1001,0),1)&gt;=100000,INDEX($AO$1005:$BQ$1005,1,MATCH(COLUMNS($AO$1006:BH1006),$AO$1006:$BQ$1006,0))&gt;=100000), " ",IF(INDEX($AO$2:$BQ$1001,MATCH(ROWS($AH$2:AH435),$AH$2:$AH$1001,0),MATCH(COLUMNS($AO$1006:BH1006),$AO$1006:$BQ$1006,0)), HYPERLINK("#",""), HYPERLINK(CONCATENATE("#Metadata!", ADDRESS(INDEX($AJ$2:$AJ$1001,MATCH(ROWS($AH$2:AH435),$AH$2:$AH$1001,0),0), INDEX($AO$1004:$BQ$1004,1,MATCH(COLUMNS($AO$1006:BH1006),$AO$1006:$BQ$1006,0)))),"Fix")))</f>
        <v>#N/A</v>
      </c>
      <c r="V435" s="5" t="e">
        <f ca="1">IF(OR(INDEX($AI$2:$AI$1001,MATCH(ROWS($AH$2:AH435),$AH$2:$AH$1001,0),1)&gt;=100000,INDEX($AO$1005:$BQ$1005,1,MATCH(COLUMNS($AO$1006:BI1006),$AO$1006:$BQ$1006,0))&gt;=100000), " ",IF(INDEX($AO$2:$BQ$1001,MATCH(ROWS($AH$2:AH435),$AH$2:$AH$1001,0),MATCH(COLUMNS($AO$1006:BI1006),$AO$1006:$BQ$1006,0)), HYPERLINK("#",""), HYPERLINK(CONCATENATE("#Metadata!", ADDRESS(INDEX($AJ$2:$AJ$1001,MATCH(ROWS($AH$2:AH435),$AH$2:$AH$1001,0),0), INDEX($AO$1004:$BQ$1004,1,MATCH(COLUMNS($AO$1006:BI1006),$AO$1006:$BQ$1006,0)))),"Fix")))</f>
        <v>#N/A</v>
      </c>
      <c r="W435" s="5" t="e">
        <f ca="1">IF(OR(INDEX($AI$2:$AI$1001,MATCH(ROWS($AH$2:AH435),$AH$2:$AH$1001,0),1)&gt;=100000,INDEX($AO$1005:$BQ$1005,1,MATCH(COLUMNS($AO$1006:BJ1006),$AO$1006:$BQ$1006,0))&gt;=100000), " ",IF(INDEX($AO$2:$BQ$1001,MATCH(ROWS($AH$2:AH435),$AH$2:$AH$1001,0),MATCH(COLUMNS($AO$1006:BJ1006),$AO$1006:$BQ$1006,0)), HYPERLINK("#",""), HYPERLINK(CONCATENATE("#Metadata!", ADDRESS(INDEX($AJ$2:$AJ$1001,MATCH(ROWS($AH$2:AH435),$AH$2:$AH$1001,0),0), INDEX($AO$1004:$BQ$1004,1,MATCH(COLUMNS($AO$1006:BJ1006),$AO$1006:$BQ$1006,0)))),"Fix")))</f>
        <v>#N/A</v>
      </c>
      <c r="X435" s="5" t="e">
        <f ca="1">IF(OR(INDEX($AI$2:$AI$1001,MATCH(ROWS($AH$2:AH435),$AH$2:$AH$1001,0),1)&gt;=100000,INDEX($AO$1005:$BQ$1005,1,MATCH(COLUMNS($AO$1006:BK1006),$AO$1006:$BQ$1006,0))&gt;=100000), " ",IF(INDEX($AO$2:$BQ$1001,MATCH(ROWS($AH$2:AH435),$AH$2:$AH$1001,0),MATCH(COLUMNS($AO$1006:BK1006),$AO$1006:$BQ$1006,0)), HYPERLINK("#",""), HYPERLINK(CONCATENATE("#Metadata!", ADDRESS(INDEX($AJ$2:$AJ$1001,MATCH(ROWS($AH$2:AH435),$AH$2:$AH$1001,0),0), INDEX($AO$1004:$BQ$1004,1,MATCH(COLUMNS($AO$1006:BK1006),$AO$1006:$BQ$1006,0)))),"Fix")))</f>
        <v>#N/A</v>
      </c>
      <c r="Y435" s="5" t="e">
        <f ca="1">IF(OR(INDEX($AI$2:$AI$1001,MATCH(ROWS($AH$2:AH435),$AH$2:$AH$1001,0),1)&gt;=100000,INDEX($AO$1005:$BQ$1005,1,MATCH(COLUMNS($AO$1006:BL1006),$AO$1006:$BQ$1006,0))&gt;=100000), " ",IF(INDEX($AO$2:$BQ$1001,MATCH(ROWS($AH$2:AH435),$AH$2:$AH$1001,0),MATCH(COLUMNS($AO$1006:BL1006),$AO$1006:$BQ$1006,0)), HYPERLINK("#",""), HYPERLINK(CONCATENATE("#Metadata!", ADDRESS(INDEX($AJ$2:$AJ$1001,MATCH(ROWS($AH$2:AH435),$AH$2:$AH$1001,0),0), INDEX($AO$1004:$BQ$1004,1,MATCH(COLUMNS($AO$1006:BL1006),$AO$1006:$BQ$1006,0)))),"Fix")))</f>
        <v>#N/A</v>
      </c>
      <c r="Z435" s="5" t="e">
        <f ca="1">IF(OR(INDEX($AI$2:$AI$1001,MATCH(ROWS($AH$2:AH435),$AH$2:$AH$1001,0),1)&gt;=100000,INDEX($AO$1005:$BQ$1005,1,MATCH(COLUMNS($AO$1006:BM1006),$AO$1006:$BQ$1006,0))&gt;=100000), " ",IF(INDEX($AO$2:$BQ$1001,MATCH(ROWS($AH$2:AH435),$AH$2:$AH$1001,0),MATCH(COLUMNS($AO$1006:BM1006),$AO$1006:$BQ$1006,0)), HYPERLINK("#",""), HYPERLINK(CONCATENATE("#Metadata!", ADDRESS(INDEX($AJ$2:$AJ$1001,MATCH(ROWS($AH$2:AH435),$AH$2:$AH$1001,0),0), INDEX($AO$1004:$BQ$1004,1,MATCH(COLUMNS($AO$1006:BM1006),$AO$1006:$BQ$1006,0)))),"Fix")))</f>
        <v>#N/A</v>
      </c>
      <c r="AA435" s="5" t="e">
        <f ca="1">IF(OR(INDEX($AI$2:$AI$1001,MATCH(ROWS($AH$2:AH435),$AH$2:$AH$1001,0),1)&gt;=100000,INDEX($AO$1005:$BQ$1005,1,MATCH(COLUMNS($AO$1006:BN1006),$AO$1006:$BQ$1006,0))&gt;=100000), " ",IF(INDEX($AO$2:$BQ$1001,MATCH(ROWS($AH$2:AH435),$AH$2:$AH$1001,0),MATCH(COLUMNS($AO$1006:BN1006),$AO$1006:$BQ$1006,0)), HYPERLINK("#",""), HYPERLINK(CONCATENATE("#Metadata!", ADDRESS(INDEX($AJ$2:$AJ$1001,MATCH(ROWS($AH$2:AH435),$AH$2:$AH$1001,0),0), INDEX($AO$1004:$BQ$1004,1,MATCH(COLUMNS($AO$1006:BN1006),$AO$1006:$BQ$1006,0)))),"Fix")))</f>
        <v>#N/A</v>
      </c>
      <c r="AB435" s="5" t="e">
        <f ca="1">IF(OR(INDEX($AI$2:$AI$1001,MATCH(ROWS($AH$2:AH435),$AH$2:$AH$1001,0),1)&gt;=100000,INDEX($AO$1005:$BQ$1005,1,MATCH(COLUMNS($AO$1006:BO1006),$AO$1006:$BQ$1006,0))&gt;=100000), " ",IF(INDEX($AO$2:$BQ$1001,MATCH(ROWS($AH$2:AH435),$AH$2:$AH$1001,0),MATCH(COLUMNS($AO$1006:BO1006),$AO$1006:$BQ$1006,0)), HYPERLINK("#",""), HYPERLINK(CONCATENATE("#Metadata!", ADDRESS(INDEX($AJ$2:$AJ$1001,MATCH(ROWS($AH$2:AH435),$AH$2:$AH$1001,0),0), INDEX($AO$1004:$BQ$1004,1,MATCH(COLUMNS($AO$1006:BO1006),$AO$1006:$BQ$1006,0)))),"Fix")))</f>
        <v>#N/A</v>
      </c>
      <c r="AC435" s="5" t="e">
        <f ca="1">IF(OR(INDEX($AI$2:$AI$1001,MATCH(ROWS($AH$2:AH435),$AH$2:$AH$1001,0),1)&gt;=100000,INDEX($AO$1005:$BQ$1005,1,MATCH(COLUMNS($AO$1006:BP1006),$AO$1006:$BQ$1006,0))&gt;=100000), " ",IF(INDEX($AO$2:$BQ$1001,MATCH(ROWS($AH$2:AH435),$AH$2:$AH$1001,0),MATCH(COLUMNS($AO$1006:BP1006),$AO$1006:$BQ$1006,0)), HYPERLINK("#",""), HYPERLINK(CONCATENATE("#Metadata!", ADDRESS(INDEX($AJ$2:$AJ$1001,MATCH(ROWS($AH$2:AH435),$AH$2:$AH$1001,0),0), INDEX($AO$1004:$BQ$1004,1,MATCH(COLUMNS($AO$1006:BP1006),$AO$1006:$BQ$1006,0)))),"Fix")))</f>
        <v>#N/A</v>
      </c>
      <c r="AD435" s="5" t="e">
        <f ca="1">IF(OR(INDEX($AI$2:$AI$1001,MATCH(ROWS($AH$2:AH435),$AH$2:$AH$1001,0),1)&gt;=100000,INDEX($AO$1005:$BQ$1005,1,MATCH(COLUMNS($AO$1006:BQ1006),$AO$1006:$BQ$1006,0))&gt;=100000), " ",IF(INDEX($AO$2:$BQ$1001,MATCH(ROWS($AH$2:AH435),$AH$2:$AH$1001,0),MATCH(COLUMNS($AO$1006:BQ1006),$AO$1006:$BQ$1006,0)), HYPERLINK("#",""), HYPERLINK(CONCATENATE("#Metadata!", ADDRESS(INDEX($AJ$2:$AJ$1001,MATCH(ROWS($AH$2:AH435),$AH$2:$AH$1001,0),0), INDEX($AO$1004:$BQ$1004,1,MATCH(COLUMNS($AO$1006:BQ1006),$AO$1006:$BQ$1006,0)))),"Fix")))</f>
        <v>#REF!</v>
      </c>
      <c r="AH435">
        <f ca="1"/>
        <v>432</v>
      </c>
      <c r="AI435">
        <v>100435</v>
      </c>
      <c r="AJ435">
        <v>435</v>
      </c>
      <c r="AK435" t="b">
        <f t="shared" si="6"/>
        <v>1</v>
      </c>
      <c r="AL435" t="b">
        <f>COUNTBLANK(Metadata!B435:AD435)=COLUMNS(Metadata!B435:AD435)</f>
        <v>1</v>
      </c>
      <c r="AM435" t="str">
        <v/>
      </c>
      <c r="AO435" t="b">
        <f ca="1">AND(IF(Metadata!B435="",FALSE,TRUE),COUNTIF(Metadata!B:B, Metadata!B435) = 1,NOT(ISERROR(SUMPRODUCT(SEARCH(MID(Metadata!B435,ROW(INDIRECT("1:"&amp;LEN(Metadata!B435))), 1),"0123456789abcdefghijklmnopqrstuvwxyzABCDEFGHIJKLMNOPQRSTUVWXYZ.")))))</f>
        <v>0</v>
      </c>
      <c r="AP435" t="b">
        <f>IF(Metadata!C435="",FALSE,TRUE)</f>
        <v>0</v>
      </c>
      <c r="AQ435" t="b">
        <f>IF(Metadata!D435="",FALSE,TRUE)</f>
        <v>0</v>
      </c>
      <c r="AR435" t="b">
        <f ca="1">OR(AND(IF(Metadata!E435="",FALSE,TRUE),OR(EXACT(Metadata!E435,"not collected"),EXACT(Metadata!E435,"not provided"),EXACT(Metadata!E435,"restricted access"))),AND(IF(Metadata!E435="",FALSE,TRUE),AND(AND(IFERROR(INT(LEFT(Metadata!E435,4))&gt;1900,FALSE),IFERROR(INT(LEFT(Metadata!E435,4))&lt;=YEAR(NOW()),FALSE)), OR(MID(Metadata!E435,5,1)="", AND(AND(MID(Metadata!E435,5,1)="-",IFERROR(INT(MID(Metadata!E435,6,1))&gt;=0,FALSE),IFERROR(INT(MID(Metadata!E435,6,1))&lt;=1,FALSE),NOT(MID(Metadata!E435,7,1)=""),IFERROR(INT(MID(Metadata!E435,6,2))&gt;=1,FALSE),IFERROR(INT(MID(Metadata!E435,6,2))&lt;=12,FALSE)), OR(MID(Metadata!E435,8,1)="", AND(AND(MID(Metadata!E435,8,1)="-",IFERROR(INT(MID(Metadata!E435,9,1))&gt;=0,FALSE),IFERROR(INT(MID(Metadata!E435,9,1))&lt;=3,FALSE),NOT(MID(Metadata!E435,10,1)=""),IFERROR(INT(MID(Metadata!E435,9,2))&gt;=1,FALSE),IFERROR(INT(MID(Metadata!E435,9,2))&lt;=31,FALSE)), OR(MID(Metadata!E435,11,1)="", AND(AND(MID(Metadata!E435,11,1)=" ",IFERROR(INT(MID(Metadata!E435,12,1))&gt;=0,FALSE),IFERROR(INT(MID(Metadata!E435,12,1))&lt;=2,FALSE),NOT(MID(Metadata!E435,13,1)=""),IFERROR(INT(MID(Metadata!E435,12,2))&gt;=0,FALSE),IFERROR(INT(MID(Metadata!E435,12,2))&lt;=23,FALSE)), OR(MID(Metadata!E435,14,1)="", AND(AND(MID(Metadata!E435,14,1)=":",IFERROR(INT(MID(Metadata!E435,15,1))&gt;=0,FALSE),IFERROR(INT(MID(Metadata!E435,15,1))&lt;=5,FALSE),NOT(MID(Metadata!E435,16,1)=""),IFERROR(INT(MID(Metadata!E435,15,2))&gt;=0,FALSE),IFERROR(INT(MID(Metadata!E435,15,2))&lt;=59,FALSE)), OR(MID(Metadata!E435,17,1)="", AND(AND(MID(Metadata!E435,17,1)=":",IFERROR(INT(MID(Metadata!E435,18,1))&gt;=0,FALSE),IFERROR(INT(MID(Metadata!E435,18,1))&lt;=5,FALSE),NOT(MID(Metadata!E435,19,1)=""),IFERROR(INT(MID(Metadata!E435,18,2))&gt;=0,FALSE),IFERROR(INT(MID(Metadata!E435,18,2))&lt;=59,FALSE)), LEN(Metadata!E435)&lt;=19)))))))))))))</f>
        <v>0</v>
      </c>
      <c r="AS435" t="b">
        <f>IF(Metadata!F435="",FALSE,TRUE)</f>
        <v>0</v>
      </c>
      <c r="AT435" t="b">
        <f>OR(AND(IF(Metadata!G435="",FALSE,TRUE),OR(EXACT(Metadata!G435,"not collected"),EXACT(Metadata!G435,"not provided"))),AND(IF(Metadata!G435="",FALSE,TRUE),OR(EXACT(Metadata!G435,"TRUE"),EXACT(Metadata!G435,"FALSE"))))</f>
        <v>0</v>
      </c>
      <c r="AU435" t="b">
        <f>OR(AND(IF(Metadata!H435="",FALSE,TRUE),OR(EXACT(Metadata!H435,"not collected"),EXACT(Metadata!H435,"not provided"),EXACT(Metadata!H435,"restricted access"))),AND(IF(Metadata!H435="",FALSE,ISNUMBER(VALUE(Metadata!H435))),Metadata!H435&gt;=-413))</f>
        <v>0</v>
      </c>
      <c r="AV435" t="b">
        <f>AND(IF(Metadata!I435="",FALSE,TRUE),EXACT(Metadata!I435,"meters"))</f>
        <v>0</v>
      </c>
      <c r="AW435" t="b">
        <f>AND(IF(Metadata!J435="",FALSE,TRUE),EXACT(Metadata!J435,"free-living"))</f>
        <v>0</v>
      </c>
      <c r="AX435" t="b">
        <f>AND(IF(Metadata!K435="",FALSE,TRUE),OR(EXACT(Metadata!K435,"saline"),EXACT(Metadata!K435,"non-saline")))</f>
        <v>0</v>
      </c>
      <c r="AY435" t="b">
        <f>AND(IF(Metadata!L435="",FALSE,TRUE),OR(EXACT(Metadata!L435,"sub-surface (non-saline)"),EXACT(Metadata!L435,"surface (non-saline)"),EXACT(Metadata!L435,"water (non-saline)"),EXACT(Metadata!L435,"soil (non-saline)"),EXACT(Metadata!L435,"aerosol (non-saline)"),EXACT(Metadata!L435,"sediment (non-saline)"),EXACT(Metadata!L435,"surface (saline)"),EXACT(Metadata!L435,"water (saline)"),EXACT(Metadata!L435,"hypersaline (saline)"),EXACT(Metadata!L435,"aerosol (saline)"),EXACT(Metadata!L435,"sediment (saline)")))</f>
        <v>0</v>
      </c>
      <c r="AZ435" t="b">
        <f>IF(Metadata!M435="",FALSE,TRUE)</f>
        <v>0</v>
      </c>
      <c r="BA435" t="b">
        <f>IF(Metadata!N435="",FALSE,TRUE)</f>
        <v>0</v>
      </c>
      <c r="BB435" t="b">
        <f>IF(Metadata!O435="",FALSE,TRUE)</f>
        <v>0</v>
      </c>
      <c r="BC435" t="b">
        <f>AND(IF(Metadata!P435="",FALSE,TRUE),OR(EXACT(Metadata!P435,"air"),EXACT(Metadata!P435,"microbial mat/biofilm"),EXACT(Metadata!P435,"misc environment"),EXACT(Metadata!P435,"sediment"),EXACT(Metadata!P435,"soil"),EXACT(Metadata!P435,"wastewater/sludge"),EXACT(Metadata!P435,"water")))</f>
        <v>0</v>
      </c>
      <c r="BD435" t="b">
        <f>IF(Metadata!Q435="",FALSE,TRUE)</f>
        <v>0</v>
      </c>
      <c r="BE435" t="b">
        <f>IF(Metadata!R435="",FALSE,TRUE)</f>
        <v>0</v>
      </c>
      <c r="BF435" t="b">
        <f>OR(AND(IF(Metadata!S435="",FALSE,TRUE),OR(EXACT(Metadata!S435,"not collected"),EXACT(Metadata!S435,"not provided"),EXACT(Metadata!S435,"restricted access"))),AND(IF(Metadata!S435="",FALSE,ISNUMBER(VALUE(Metadata!S435))),Metadata!S435&gt;=-90,Metadata!S435&lt;=90))</f>
        <v>0</v>
      </c>
      <c r="BG435" t="b">
        <f>AND(IF(Metadata!T435="",FALSE,TRUE),EXACT(Metadata!T435,"Decimal degrees"))</f>
        <v>0</v>
      </c>
      <c r="BH435" t="b">
        <f>OR(AND(IF(Metadata!U435="",FALSE,TRUE),OR(EXACT(Metadata!U435,"not applicable"),EXACT(Metadata!U435,"not collected"))),IF(Metadata!U435="",FALSE,TRUE))</f>
        <v>0</v>
      </c>
      <c r="BI435" t="b">
        <f>OR(AND(IF(Metadata!V435="",FALSE,TRUE),OR(EXACT(Metadata!V435,"not collected"),EXACT(Metadata!V435,"not provided"),EXACT(Metadata!V435,"restricted access"))),AND(IF(Metadata!V435="",FALSE,ISNUMBER(VALUE(Metadata!V435))),Metadata!V435&gt;=-180,Metadata!V435&lt;=180))</f>
        <v>0</v>
      </c>
      <c r="BJ435" t="b">
        <f>AND(IF(Metadata!W435="",FALSE,TRUE),EXACT(Metadata!W435,"Decimal degrees"))</f>
        <v>0</v>
      </c>
      <c r="BK435" t="b">
        <f>IF(Metadata!X435="",FALSE,TRUE)</f>
        <v>0</v>
      </c>
      <c r="BL435" t="b">
        <f>OR(AND(IF(Metadata!Y435="",FALSE,TRUE),OR(EXACT(Metadata!Y435,"not collected"),EXACT(Metadata!Y435,"not provided"),EXACT(Metadata!Y435,"restricted access"))),AND(IF(Metadata!Y435="",FALSE,TRUE),OR(EXACT(Metadata!Y435,"TRUE"),EXACT(Metadata!Y435,"FALSE"))))</f>
        <v>0</v>
      </c>
      <c r="BM435" t="b">
        <f>OR(AND(IF(Metadata!Z435="",FALSE,TRUE),EXACT(Metadata!Z435,"not applicable")),AND(IF(Metadata!Z435="",FALSE,TRUE),OR(EXACT(Metadata!Z435,"beer"),EXACT(Metadata!Z435,"cheese"),EXACT(Metadata!Z435,"fresh water"),EXACT(Metadata!Z435,"marine sediment"),EXACT(Metadata!Z435,"sea water"),EXACT(Metadata!Z435,"sediment"),EXACT(Metadata!Z435,"soil"),EXACT(Metadata!Z435,"waste water"))))</f>
        <v>0</v>
      </c>
      <c r="BN435" t="b">
        <f>AND(IF(Metadata!AA435="",FALSE,TRUE),EXACT(Metadata!AA435,"metagenome"))</f>
        <v>0</v>
      </c>
      <c r="BO435" t="b">
        <f>AND(IF(Metadata!AB435="",FALSE,TRUE),EXACT(Metadata!AB435,"256318"))</f>
        <v>0</v>
      </c>
      <c r="BP435" t="b">
        <f>IF(Metadata!AC435="",FALSE,TRUE)</f>
        <v>0</v>
      </c>
      <c r="BQ435" t="b">
        <f>IF(Metadata!AD435="",FALSE,TRUE)</f>
        <v>0</v>
      </c>
    </row>
    <row r="436" spans="1:69" x14ac:dyDescent="0.2">
      <c r="A436" s="4" t="e">
        <f ca="1">IF(B436=" "," ",HYPERLINK(CONCATENATE("#metadata!",ADDRESS(INDEX($AJ$2:$AJ$1001,MATCH(ROWS($AH$2:AH436),$AH$2:$AH$1001,0),0),2)),INDEX($AM$2:$AM$1001,MATCH(ROWS($AH$2:AH436),$AH$2:$AH$1001,0),0)))</f>
        <v>#N/A</v>
      </c>
      <c r="B436" s="5" t="e">
        <f ca="1">IF(OR(INDEX($AI$2:$AI$1001,MATCH(ROWS($AH$2:AH436),$AH$2:$AH$1001,0),1)&gt;=100000,INDEX($AO$1005:$BQ$1005,1,MATCH(COLUMNS($AO$1006:AO1006),$AO$1006:$BQ$1006,0))&gt;=100000), " ",IF(INDEX($AO$2:$BQ$1001,MATCH(ROWS($AH$2:AH436),$AH$2:$AH$1001,0),MATCH(COLUMNS($AO$1006:AO1006),$AO$1006:$BQ$1006,0)), HYPERLINK("#",""), HYPERLINK(CONCATENATE("#Metadata!", ADDRESS(INDEX($AJ$2:$AJ$1001,MATCH(ROWS($AH$2:AH436),$AH$2:$AH$1001,0),0), INDEX($AO$1004:$BQ$1004,1,MATCH(COLUMNS($AO$1006:AO1006),$AO$1006:$BQ$1006,0)))),"Fix")))</f>
        <v>#N/A</v>
      </c>
      <c r="C436" s="5" t="e">
        <f ca="1">IF(OR(INDEX($AI$2:$AI$1001,MATCH(ROWS($AH$2:AH436),$AH$2:$AH$1001,0),1)&gt;=100000,INDEX($AO$1005:$BQ$1005,1,MATCH(COLUMNS($AO$1006:AP1006),$AO$1006:$BQ$1006,0))&gt;=100000), " ",IF(INDEX($AO$2:$BQ$1001,MATCH(ROWS($AH$2:AH436),$AH$2:$AH$1001,0),MATCH(COLUMNS($AO$1006:AP1006),$AO$1006:$BQ$1006,0)), HYPERLINK("#",""), HYPERLINK(CONCATENATE("#Metadata!", ADDRESS(INDEX($AJ$2:$AJ$1001,MATCH(ROWS($AH$2:AH436),$AH$2:$AH$1001,0),0), INDEX($AO$1004:$BQ$1004,1,MATCH(COLUMNS($AO$1006:AP1006),$AO$1006:$BQ$1006,0)))),"Fix")))</f>
        <v>#N/A</v>
      </c>
      <c r="D436" s="5" t="e">
        <f ca="1">IF(OR(INDEX($AI$2:$AI$1001,MATCH(ROWS($AH$2:AH436),$AH$2:$AH$1001,0),1)&gt;=100000,INDEX($AO$1005:$BQ$1005,1,MATCH(COLUMNS($AO$1006:AQ1006),$AO$1006:$BQ$1006,0))&gt;=100000), " ",IF(INDEX($AO$2:$BQ$1001,MATCH(ROWS($AH$2:AH436),$AH$2:$AH$1001,0),MATCH(COLUMNS($AO$1006:AQ1006),$AO$1006:$BQ$1006,0)), HYPERLINK("#",""), HYPERLINK(CONCATENATE("#Metadata!", ADDRESS(INDEX($AJ$2:$AJ$1001,MATCH(ROWS($AH$2:AH436),$AH$2:$AH$1001,0),0), INDEX($AO$1004:$BQ$1004,1,MATCH(COLUMNS($AO$1006:AQ1006),$AO$1006:$BQ$1006,0)))),"Fix")))</f>
        <v>#N/A</v>
      </c>
      <c r="E436" s="5" t="e">
        <f ca="1">IF(OR(INDEX($AI$2:$AI$1001,MATCH(ROWS($AH$2:AH436),$AH$2:$AH$1001,0),1)&gt;=100000,INDEX($AO$1005:$BQ$1005,1,MATCH(COLUMNS($AO$1006:AR1006),$AO$1006:$BQ$1006,0))&gt;=100000), " ",IF(INDEX($AO$2:$BQ$1001,MATCH(ROWS($AH$2:AH436),$AH$2:$AH$1001,0),MATCH(COLUMNS($AO$1006:AR1006),$AO$1006:$BQ$1006,0)), HYPERLINK("#",""), HYPERLINK(CONCATENATE("#Metadata!", ADDRESS(INDEX($AJ$2:$AJ$1001,MATCH(ROWS($AH$2:AH436),$AH$2:$AH$1001,0),0), INDEX($AO$1004:$BQ$1004,1,MATCH(COLUMNS($AO$1006:AR1006),$AO$1006:$BQ$1006,0)))),"Fix")))</f>
        <v>#N/A</v>
      </c>
      <c r="F436" s="5" t="e">
        <f ca="1">IF(OR(INDEX($AI$2:$AI$1001,MATCH(ROWS($AH$2:AH436),$AH$2:$AH$1001,0),1)&gt;=100000,INDEX($AO$1005:$BQ$1005,1,MATCH(COLUMNS($AO$1006:AS1006),$AO$1006:$BQ$1006,0))&gt;=100000), " ",IF(INDEX($AO$2:$BQ$1001,MATCH(ROWS($AH$2:AH436),$AH$2:$AH$1001,0),MATCH(COLUMNS($AO$1006:AS1006),$AO$1006:$BQ$1006,0)), HYPERLINK("#",""), HYPERLINK(CONCATENATE("#Metadata!", ADDRESS(INDEX($AJ$2:$AJ$1001,MATCH(ROWS($AH$2:AH436),$AH$2:$AH$1001,0),0), INDEX($AO$1004:$BQ$1004,1,MATCH(COLUMNS($AO$1006:AS1006),$AO$1006:$BQ$1006,0)))),"Fix")))</f>
        <v>#N/A</v>
      </c>
      <c r="G436" s="5" t="e">
        <f ca="1">IF(OR(INDEX($AI$2:$AI$1001,MATCH(ROWS($AH$2:AH436),$AH$2:$AH$1001,0),1)&gt;=100000,INDEX($AO$1005:$BQ$1005,1,MATCH(COLUMNS($AO$1006:AT1006),$AO$1006:$BQ$1006,0))&gt;=100000), " ",IF(INDEX($AO$2:$BQ$1001,MATCH(ROWS($AH$2:AH436),$AH$2:$AH$1001,0),MATCH(COLUMNS($AO$1006:AT1006),$AO$1006:$BQ$1006,0)), HYPERLINK("#",""), HYPERLINK(CONCATENATE("#Metadata!", ADDRESS(INDEX($AJ$2:$AJ$1001,MATCH(ROWS($AH$2:AH436),$AH$2:$AH$1001,0),0), INDEX($AO$1004:$BQ$1004,1,MATCH(COLUMNS($AO$1006:AT1006),$AO$1006:$BQ$1006,0)))),"Fix")))</f>
        <v>#N/A</v>
      </c>
      <c r="H436" s="5" t="e">
        <f ca="1">IF(OR(INDEX($AI$2:$AI$1001,MATCH(ROWS($AH$2:AH436),$AH$2:$AH$1001,0),1)&gt;=100000,INDEX($AO$1005:$BQ$1005,1,MATCH(COLUMNS($AO$1006:AU1006),$AO$1006:$BQ$1006,0))&gt;=100000), " ",IF(INDEX($AO$2:$BQ$1001,MATCH(ROWS($AH$2:AH436),$AH$2:$AH$1001,0),MATCH(COLUMNS($AO$1006:AU1006),$AO$1006:$BQ$1006,0)), HYPERLINK("#",""), HYPERLINK(CONCATENATE("#Metadata!", ADDRESS(INDEX($AJ$2:$AJ$1001,MATCH(ROWS($AH$2:AH436),$AH$2:$AH$1001,0),0), INDEX($AO$1004:$BQ$1004,1,MATCH(COLUMNS($AO$1006:AU1006),$AO$1006:$BQ$1006,0)))),"Fix")))</f>
        <v>#N/A</v>
      </c>
      <c r="I436" s="5" t="e">
        <f ca="1">IF(OR(INDEX($AI$2:$AI$1001,MATCH(ROWS($AH$2:AH436),$AH$2:$AH$1001,0),1)&gt;=100000,INDEX($AO$1005:$BQ$1005,1,MATCH(COLUMNS($AO$1006:AV1006),$AO$1006:$BQ$1006,0))&gt;=100000), " ",IF(INDEX($AO$2:$BQ$1001,MATCH(ROWS($AH$2:AH436),$AH$2:$AH$1001,0),MATCH(COLUMNS($AO$1006:AV1006),$AO$1006:$BQ$1006,0)), HYPERLINK("#",""), HYPERLINK(CONCATENATE("#Metadata!", ADDRESS(INDEX($AJ$2:$AJ$1001,MATCH(ROWS($AH$2:AH436),$AH$2:$AH$1001,0),0), INDEX($AO$1004:$BQ$1004,1,MATCH(COLUMNS($AO$1006:AV1006),$AO$1006:$BQ$1006,0)))),"Fix")))</f>
        <v>#N/A</v>
      </c>
      <c r="J436" s="5" t="e">
        <f ca="1">IF(OR(INDEX($AI$2:$AI$1001,MATCH(ROWS($AH$2:AH436),$AH$2:$AH$1001,0),1)&gt;=100000,INDEX($AO$1005:$BQ$1005,1,MATCH(COLUMNS($AO$1006:AW1006),$AO$1006:$BQ$1006,0))&gt;=100000), " ",IF(INDEX($AO$2:$BQ$1001,MATCH(ROWS($AH$2:AH436),$AH$2:$AH$1001,0),MATCH(COLUMNS($AO$1006:AW1006),$AO$1006:$BQ$1006,0)), HYPERLINK("#",""), HYPERLINK(CONCATENATE("#Metadata!", ADDRESS(INDEX($AJ$2:$AJ$1001,MATCH(ROWS($AH$2:AH436),$AH$2:$AH$1001,0),0), INDEX($AO$1004:$BQ$1004,1,MATCH(COLUMNS($AO$1006:AW1006),$AO$1006:$BQ$1006,0)))),"Fix")))</f>
        <v>#N/A</v>
      </c>
      <c r="K436" s="5" t="e">
        <f ca="1">IF(OR(INDEX($AI$2:$AI$1001,MATCH(ROWS($AH$2:AH436),$AH$2:$AH$1001,0),1)&gt;=100000,INDEX($AO$1005:$BQ$1005,1,MATCH(COLUMNS($AO$1006:AX1006),$AO$1006:$BQ$1006,0))&gt;=100000), " ",IF(INDEX($AO$2:$BQ$1001,MATCH(ROWS($AH$2:AH436),$AH$2:$AH$1001,0),MATCH(COLUMNS($AO$1006:AX1006),$AO$1006:$BQ$1006,0)), HYPERLINK("#",""), HYPERLINK(CONCATENATE("#Metadata!", ADDRESS(INDEX($AJ$2:$AJ$1001,MATCH(ROWS($AH$2:AH436),$AH$2:$AH$1001,0),0), INDEX($AO$1004:$BQ$1004,1,MATCH(COLUMNS($AO$1006:AX1006),$AO$1006:$BQ$1006,0)))),"Fix")))</f>
        <v>#N/A</v>
      </c>
      <c r="L436" s="5" t="e">
        <f ca="1">IF(OR(INDEX($AI$2:$AI$1001,MATCH(ROWS($AH$2:AH436),$AH$2:$AH$1001,0),1)&gt;=100000,INDEX($AO$1005:$BQ$1005,1,MATCH(COLUMNS($AO$1006:AY1006),$AO$1006:$BQ$1006,0))&gt;=100000), " ",IF(INDEX($AO$2:$BQ$1001,MATCH(ROWS($AH$2:AH436),$AH$2:$AH$1001,0),MATCH(COLUMNS($AO$1006:AY1006),$AO$1006:$BQ$1006,0)), HYPERLINK("#",""), HYPERLINK(CONCATENATE("#Metadata!", ADDRESS(INDEX($AJ$2:$AJ$1001,MATCH(ROWS($AH$2:AH436),$AH$2:$AH$1001,0),0), INDEX($AO$1004:$BQ$1004,1,MATCH(COLUMNS($AO$1006:AY1006),$AO$1006:$BQ$1006,0)))),"Fix")))</f>
        <v>#N/A</v>
      </c>
      <c r="M436" s="5" t="e">
        <f ca="1">IF(OR(INDEX($AI$2:$AI$1001,MATCH(ROWS($AH$2:AH436),$AH$2:$AH$1001,0),1)&gt;=100000,INDEX($AO$1005:$BQ$1005,1,MATCH(COLUMNS($AO$1006:AZ1006),$AO$1006:$BQ$1006,0))&gt;=100000), " ",IF(INDEX($AO$2:$BQ$1001,MATCH(ROWS($AH$2:AH436),$AH$2:$AH$1001,0),MATCH(COLUMNS($AO$1006:AZ1006),$AO$1006:$BQ$1006,0)), HYPERLINK("#",""), HYPERLINK(CONCATENATE("#Metadata!", ADDRESS(INDEX($AJ$2:$AJ$1001,MATCH(ROWS($AH$2:AH436),$AH$2:$AH$1001,0),0), INDEX($AO$1004:$BQ$1004,1,MATCH(COLUMNS($AO$1006:AZ1006),$AO$1006:$BQ$1006,0)))),"Fix")))</f>
        <v>#N/A</v>
      </c>
      <c r="N436" s="5" t="e">
        <f ca="1">IF(OR(INDEX($AI$2:$AI$1001,MATCH(ROWS($AH$2:AH436),$AH$2:$AH$1001,0),1)&gt;=100000,INDEX($AO$1005:$BQ$1005,1,MATCH(COLUMNS($AO$1006:BA1006),$AO$1006:$BQ$1006,0))&gt;=100000), " ",IF(INDEX($AO$2:$BQ$1001,MATCH(ROWS($AH$2:AH436),$AH$2:$AH$1001,0),MATCH(COLUMNS($AO$1006:BA1006),$AO$1006:$BQ$1006,0)), HYPERLINK("#",""), HYPERLINK(CONCATENATE("#Metadata!", ADDRESS(INDEX($AJ$2:$AJ$1001,MATCH(ROWS($AH$2:AH436),$AH$2:$AH$1001,0),0), INDEX($AO$1004:$BQ$1004,1,MATCH(COLUMNS($AO$1006:BA1006),$AO$1006:$BQ$1006,0)))),"Fix")))</f>
        <v>#N/A</v>
      </c>
      <c r="O436" s="5" t="e">
        <f ca="1">IF(OR(INDEX($AI$2:$AI$1001,MATCH(ROWS($AH$2:AH436),$AH$2:$AH$1001,0),1)&gt;=100000,INDEX($AO$1005:$BQ$1005,1,MATCH(COLUMNS($AO$1006:BB1006),$AO$1006:$BQ$1006,0))&gt;=100000), " ",IF(INDEX($AO$2:$BQ$1001,MATCH(ROWS($AH$2:AH436),$AH$2:$AH$1001,0),MATCH(COLUMNS($AO$1006:BB1006),$AO$1006:$BQ$1006,0)), HYPERLINK("#",""), HYPERLINK(CONCATENATE("#Metadata!", ADDRESS(INDEX($AJ$2:$AJ$1001,MATCH(ROWS($AH$2:AH436),$AH$2:$AH$1001,0),0), INDEX($AO$1004:$BQ$1004,1,MATCH(COLUMNS($AO$1006:BB1006),$AO$1006:$BQ$1006,0)))),"Fix")))</f>
        <v>#N/A</v>
      </c>
      <c r="P436" s="5" t="e">
        <f ca="1">IF(OR(INDEX($AI$2:$AI$1001,MATCH(ROWS($AH$2:AH436),$AH$2:$AH$1001,0),1)&gt;=100000,INDEX($AO$1005:$BQ$1005,1,MATCH(COLUMNS($AO$1006:BC1006),$AO$1006:$BQ$1006,0))&gt;=100000), " ",IF(INDEX($AO$2:$BQ$1001,MATCH(ROWS($AH$2:AH436),$AH$2:$AH$1001,0),MATCH(COLUMNS($AO$1006:BC1006),$AO$1006:$BQ$1006,0)), HYPERLINK("#",""), HYPERLINK(CONCATENATE("#Metadata!", ADDRESS(INDEX($AJ$2:$AJ$1001,MATCH(ROWS($AH$2:AH436),$AH$2:$AH$1001,0),0), INDEX($AO$1004:$BQ$1004,1,MATCH(COLUMNS($AO$1006:BC1006),$AO$1006:$BQ$1006,0)))),"Fix")))</f>
        <v>#N/A</v>
      </c>
      <c r="Q436" s="5" t="e">
        <f ca="1">IF(OR(INDEX($AI$2:$AI$1001,MATCH(ROWS($AH$2:AH436),$AH$2:$AH$1001,0),1)&gt;=100000,INDEX($AO$1005:$BQ$1005,1,MATCH(COLUMNS($AO$1006:BD1006),$AO$1006:$BQ$1006,0))&gt;=100000), " ",IF(INDEX($AO$2:$BQ$1001,MATCH(ROWS($AH$2:AH436),$AH$2:$AH$1001,0),MATCH(COLUMNS($AO$1006:BD1006),$AO$1006:$BQ$1006,0)), HYPERLINK("#",""), HYPERLINK(CONCATENATE("#Metadata!", ADDRESS(INDEX($AJ$2:$AJ$1001,MATCH(ROWS($AH$2:AH436),$AH$2:$AH$1001,0),0), INDEX($AO$1004:$BQ$1004,1,MATCH(COLUMNS($AO$1006:BD1006),$AO$1006:$BQ$1006,0)))),"Fix")))</f>
        <v>#N/A</v>
      </c>
      <c r="R436" s="5" t="e">
        <f ca="1">IF(OR(INDEX($AI$2:$AI$1001,MATCH(ROWS($AH$2:AH436),$AH$2:$AH$1001,0),1)&gt;=100000,INDEX($AO$1005:$BQ$1005,1,MATCH(COLUMNS($AO$1006:BE1006),$AO$1006:$BQ$1006,0))&gt;=100000), " ",IF(INDEX($AO$2:$BQ$1001,MATCH(ROWS($AH$2:AH436),$AH$2:$AH$1001,0),MATCH(COLUMNS($AO$1006:BE1006),$AO$1006:$BQ$1006,0)), HYPERLINK("#",""), HYPERLINK(CONCATENATE("#Metadata!", ADDRESS(INDEX($AJ$2:$AJ$1001,MATCH(ROWS($AH$2:AH436),$AH$2:$AH$1001,0),0), INDEX($AO$1004:$BQ$1004,1,MATCH(COLUMNS($AO$1006:BE1006),$AO$1006:$BQ$1006,0)))),"Fix")))</f>
        <v>#N/A</v>
      </c>
      <c r="S436" s="5" t="e">
        <f ca="1">IF(OR(INDEX($AI$2:$AI$1001,MATCH(ROWS($AH$2:AH436),$AH$2:$AH$1001,0),1)&gt;=100000,INDEX($AO$1005:$BQ$1005,1,MATCH(COLUMNS($AO$1006:BF1006),$AO$1006:$BQ$1006,0))&gt;=100000), " ",IF(INDEX($AO$2:$BQ$1001,MATCH(ROWS($AH$2:AH436),$AH$2:$AH$1001,0),MATCH(COLUMNS($AO$1006:BF1006),$AO$1006:$BQ$1006,0)), HYPERLINK("#",""), HYPERLINK(CONCATENATE("#Metadata!", ADDRESS(INDEX($AJ$2:$AJ$1001,MATCH(ROWS($AH$2:AH436),$AH$2:$AH$1001,0),0), INDEX($AO$1004:$BQ$1004,1,MATCH(COLUMNS($AO$1006:BF1006),$AO$1006:$BQ$1006,0)))),"Fix")))</f>
        <v>#N/A</v>
      </c>
      <c r="T436" s="5" t="e">
        <f ca="1">IF(OR(INDEX($AI$2:$AI$1001,MATCH(ROWS($AH$2:AH436),$AH$2:$AH$1001,0),1)&gt;=100000,INDEX($AO$1005:$BQ$1005,1,MATCH(COLUMNS($AO$1006:BG1006),$AO$1006:$BQ$1006,0))&gt;=100000), " ",IF(INDEX($AO$2:$BQ$1001,MATCH(ROWS($AH$2:AH436),$AH$2:$AH$1001,0),MATCH(COLUMNS($AO$1006:BG1006),$AO$1006:$BQ$1006,0)), HYPERLINK("#",""), HYPERLINK(CONCATENATE("#Metadata!", ADDRESS(INDEX($AJ$2:$AJ$1001,MATCH(ROWS($AH$2:AH436),$AH$2:$AH$1001,0),0), INDEX($AO$1004:$BQ$1004,1,MATCH(COLUMNS($AO$1006:BG1006),$AO$1006:$BQ$1006,0)))),"Fix")))</f>
        <v>#N/A</v>
      </c>
      <c r="U436" s="5" t="e">
        <f ca="1">IF(OR(INDEX($AI$2:$AI$1001,MATCH(ROWS($AH$2:AH436),$AH$2:$AH$1001,0),1)&gt;=100000,INDEX($AO$1005:$BQ$1005,1,MATCH(COLUMNS($AO$1006:BH1006),$AO$1006:$BQ$1006,0))&gt;=100000), " ",IF(INDEX($AO$2:$BQ$1001,MATCH(ROWS($AH$2:AH436),$AH$2:$AH$1001,0),MATCH(COLUMNS($AO$1006:BH1006),$AO$1006:$BQ$1006,0)), HYPERLINK("#",""), HYPERLINK(CONCATENATE("#Metadata!", ADDRESS(INDEX($AJ$2:$AJ$1001,MATCH(ROWS($AH$2:AH436),$AH$2:$AH$1001,0),0), INDEX($AO$1004:$BQ$1004,1,MATCH(COLUMNS($AO$1006:BH1006),$AO$1006:$BQ$1006,0)))),"Fix")))</f>
        <v>#N/A</v>
      </c>
      <c r="V436" s="5" t="e">
        <f ca="1">IF(OR(INDEX($AI$2:$AI$1001,MATCH(ROWS($AH$2:AH436),$AH$2:$AH$1001,0),1)&gt;=100000,INDEX($AO$1005:$BQ$1005,1,MATCH(COLUMNS($AO$1006:BI1006),$AO$1006:$BQ$1006,0))&gt;=100000), " ",IF(INDEX($AO$2:$BQ$1001,MATCH(ROWS($AH$2:AH436),$AH$2:$AH$1001,0),MATCH(COLUMNS($AO$1006:BI1006),$AO$1006:$BQ$1006,0)), HYPERLINK("#",""), HYPERLINK(CONCATENATE("#Metadata!", ADDRESS(INDEX($AJ$2:$AJ$1001,MATCH(ROWS($AH$2:AH436),$AH$2:$AH$1001,0),0), INDEX($AO$1004:$BQ$1004,1,MATCH(COLUMNS($AO$1006:BI1006),$AO$1006:$BQ$1006,0)))),"Fix")))</f>
        <v>#N/A</v>
      </c>
      <c r="W436" s="5" t="e">
        <f ca="1">IF(OR(INDEX($AI$2:$AI$1001,MATCH(ROWS($AH$2:AH436),$AH$2:$AH$1001,0),1)&gt;=100000,INDEX($AO$1005:$BQ$1005,1,MATCH(COLUMNS($AO$1006:BJ1006),$AO$1006:$BQ$1006,0))&gt;=100000), " ",IF(INDEX($AO$2:$BQ$1001,MATCH(ROWS($AH$2:AH436),$AH$2:$AH$1001,0),MATCH(COLUMNS($AO$1006:BJ1006),$AO$1006:$BQ$1006,0)), HYPERLINK("#",""), HYPERLINK(CONCATENATE("#Metadata!", ADDRESS(INDEX($AJ$2:$AJ$1001,MATCH(ROWS($AH$2:AH436),$AH$2:$AH$1001,0),0), INDEX($AO$1004:$BQ$1004,1,MATCH(COLUMNS($AO$1006:BJ1006),$AO$1006:$BQ$1006,0)))),"Fix")))</f>
        <v>#N/A</v>
      </c>
      <c r="X436" s="5" t="e">
        <f ca="1">IF(OR(INDEX($AI$2:$AI$1001,MATCH(ROWS($AH$2:AH436),$AH$2:$AH$1001,0),1)&gt;=100000,INDEX($AO$1005:$BQ$1005,1,MATCH(COLUMNS($AO$1006:BK1006),$AO$1006:$BQ$1006,0))&gt;=100000), " ",IF(INDEX($AO$2:$BQ$1001,MATCH(ROWS($AH$2:AH436),$AH$2:$AH$1001,0),MATCH(COLUMNS($AO$1006:BK1006),$AO$1006:$BQ$1006,0)), HYPERLINK("#",""), HYPERLINK(CONCATENATE("#Metadata!", ADDRESS(INDEX($AJ$2:$AJ$1001,MATCH(ROWS($AH$2:AH436),$AH$2:$AH$1001,0),0), INDEX($AO$1004:$BQ$1004,1,MATCH(COLUMNS($AO$1006:BK1006),$AO$1006:$BQ$1006,0)))),"Fix")))</f>
        <v>#N/A</v>
      </c>
      <c r="Y436" s="5" t="e">
        <f ca="1">IF(OR(INDEX($AI$2:$AI$1001,MATCH(ROWS($AH$2:AH436),$AH$2:$AH$1001,0),1)&gt;=100000,INDEX($AO$1005:$BQ$1005,1,MATCH(COLUMNS($AO$1006:BL1006),$AO$1006:$BQ$1006,0))&gt;=100000), " ",IF(INDEX($AO$2:$BQ$1001,MATCH(ROWS($AH$2:AH436),$AH$2:$AH$1001,0),MATCH(COLUMNS($AO$1006:BL1006),$AO$1006:$BQ$1006,0)), HYPERLINK("#",""), HYPERLINK(CONCATENATE("#Metadata!", ADDRESS(INDEX($AJ$2:$AJ$1001,MATCH(ROWS($AH$2:AH436),$AH$2:$AH$1001,0),0), INDEX($AO$1004:$BQ$1004,1,MATCH(COLUMNS($AO$1006:BL1006),$AO$1006:$BQ$1006,0)))),"Fix")))</f>
        <v>#N/A</v>
      </c>
      <c r="Z436" s="5" t="e">
        <f ca="1">IF(OR(INDEX($AI$2:$AI$1001,MATCH(ROWS($AH$2:AH436),$AH$2:$AH$1001,0),1)&gt;=100000,INDEX($AO$1005:$BQ$1005,1,MATCH(COLUMNS($AO$1006:BM1006),$AO$1006:$BQ$1006,0))&gt;=100000), " ",IF(INDEX($AO$2:$BQ$1001,MATCH(ROWS($AH$2:AH436),$AH$2:$AH$1001,0),MATCH(COLUMNS($AO$1006:BM1006),$AO$1006:$BQ$1006,0)), HYPERLINK("#",""), HYPERLINK(CONCATENATE("#Metadata!", ADDRESS(INDEX($AJ$2:$AJ$1001,MATCH(ROWS($AH$2:AH436),$AH$2:$AH$1001,0),0), INDEX($AO$1004:$BQ$1004,1,MATCH(COLUMNS($AO$1006:BM1006),$AO$1006:$BQ$1006,0)))),"Fix")))</f>
        <v>#N/A</v>
      </c>
      <c r="AA436" s="5" t="e">
        <f ca="1">IF(OR(INDEX($AI$2:$AI$1001,MATCH(ROWS($AH$2:AH436),$AH$2:$AH$1001,0),1)&gt;=100000,INDEX($AO$1005:$BQ$1005,1,MATCH(COLUMNS($AO$1006:BN1006),$AO$1006:$BQ$1006,0))&gt;=100000), " ",IF(INDEX($AO$2:$BQ$1001,MATCH(ROWS($AH$2:AH436),$AH$2:$AH$1001,0),MATCH(COLUMNS($AO$1006:BN1006),$AO$1006:$BQ$1006,0)), HYPERLINK("#",""), HYPERLINK(CONCATENATE("#Metadata!", ADDRESS(INDEX($AJ$2:$AJ$1001,MATCH(ROWS($AH$2:AH436),$AH$2:$AH$1001,0),0), INDEX($AO$1004:$BQ$1004,1,MATCH(COLUMNS($AO$1006:BN1006),$AO$1006:$BQ$1006,0)))),"Fix")))</f>
        <v>#N/A</v>
      </c>
      <c r="AB436" s="5" t="e">
        <f ca="1">IF(OR(INDEX($AI$2:$AI$1001,MATCH(ROWS($AH$2:AH436),$AH$2:$AH$1001,0),1)&gt;=100000,INDEX($AO$1005:$BQ$1005,1,MATCH(COLUMNS($AO$1006:BO1006),$AO$1006:$BQ$1006,0))&gt;=100000), " ",IF(INDEX($AO$2:$BQ$1001,MATCH(ROWS($AH$2:AH436),$AH$2:$AH$1001,0),MATCH(COLUMNS($AO$1006:BO1006),$AO$1006:$BQ$1006,0)), HYPERLINK("#",""), HYPERLINK(CONCATENATE("#Metadata!", ADDRESS(INDEX($AJ$2:$AJ$1001,MATCH(ROWS($AH$2:AH436),$AH$2:$AH$1001,0),0), INDEX($AO$1004:$BQ$1004,1,MATCH(COLUMNS($AO$1006:BO1006),$AO$1006:$BQ$1006,0)))),"Fix")))</f>
        <v>#N/A</v>
      </c>
      <c r="AC436" s="5" t="e">
        <f ca="1">IF(OR(INDEX($AI$2:$AI$1001,MATCH(ROWS($AH$2:AH436),$AH$2:$AH$1001,0),1)&gt;=100000,INDEX($AO$1005:$BQ$1005,1,MATCH(COLUMNS($AO$1006:BP1006),$AO$1006:$BQ$1006,0))&gt;=100000), " ",IF(INDEX($AO$2:$BQ$1001,MATCH(ROWS($AH$2:AH436),$AH$2:$AH$1001,0),MATCH(COLUMNS($AO$1006:BP1006),$AO$1006:$BQ$1006,0)), HYPERLINK("#",""), HYPERLINK(CONCATENATE("#Metadata!", ADDRESS(INDEX($AJ$2:$AJ$1001,MATCH(ROWS($AH$2:AH436),$AH$2:$AH$1001,0),0), INDEX($AO$1004:$BQ$1004,1,MATCH(COLUMNS($AO$1006:BP1006),$AO$1006:$BQ$1006,0)))),"Fix")))</f>
        <v>#N/A</v>
      </c>
      <c r="AD436" s="5" t="e">
        <f ca="1">IF(OR(INDEX($AI$2:$AI$1001,MATCH(ROWS($AH$2:AH436),$AH$2:$AH$1001,0),1)&gt;=100000,INDEX($AO$1005:$BQ$1005,1,MATCH(COLUMNS($AO$1006:BQ1006),$AO$1006:$BQ$1006,0))&gt;=100000), " ",IF(INDEX($AO$2:$BQ$1001,MATCH(ROWS($AH$2:AH436),$AH$2:$AH$1001,0),MATCH(COLUMNS($AO$1006:BQ1006),$AO$1006:$BQ$1006,0)), HYPERLINK("#",""), HYPERLINK(CONCATENATE("#Metadata!", ADDRESS(INDEX($AJ$2:$AJ$1001,MATCH(ROWS($AH$2:AH436),$AH$2:$AH$1001,0),0), INDEX($AO$1004:$BQ$1004,1,MATCH(COLUMNS($AO$1006:BQ1006),$AO$1006:$BQ$1006,0)))),"Fix")))</f>
        <v>#REF!</v>
      </c>
      <c r="AH436">
        <f ca="1"/>
        <v>433</v>
      </c>
      <c r="AI436">
        <v>100436</v>
      </c>
      <c r="AJ436">
        <v>436</v>
      </c>
      <c r="AK436" t="b">
        <f t="shared" si="6"/>
        <v>1</v>
      </c>
      <c r="AL436" t="b">
        <f>COUNTBLANK(Metadata!B436:AD436)=COLUMNS(Metadata!B436:AD436)</f>
        <v>1</v>
      </c>
      <c r="AM436" t="str">
        <v/>
      </c>
      <c r="AO436" t="b">
        <f ca="1">AND(IF(Metadata!B436="",FALSE,TRUE),COUNTIF(Metadata!B:B, Metadata!B436) = 1,NOT(ISERROR(SUMPRODUCT(SEARCH(MID(Metadata!B436,ROW(INDIRECT("1:"&amp;LEN(Metadata!B436))), 1),"0123456789abcdefghijklmnopqrstuvwxyzABCDEFGHIJKLMNOPQRSTUVWXYZ.")))))</f>
        <v>0</v>
      </c>
      <c r="AP436" t="b">
        <f>IF(Metadata!C436="",FALSE,TRUE)</f>
        <v>0</v>
      </c>
      <c r="AQ436" t="b">
        <f>IF(Metadata!D436="",FALSE,TRUE)</f>
        <v>0</v>
      </c>
      <c r="AR436" t="b">
        <f ca="1">OR(AND(IF(Metadata!E436="",FALSE,TRUE),OR(EXACT(Metadata!E436,"not collected"),EXACT(Metadata!E436,"not provided"),EXACT(Metadata!E436,"restricted access"))),AND(IF(Metadata!E436="",FALSE,TRUE),AND(AND(IFERROR(INT(LEFT(Metadata!E436,4))&gt;1900,FALSE),IFERROR(INT(LEFT(Metadata!E436,4))&lt;=YEAR(NOW()),FALSE)), OR(MID(Metadata!E436,5,1)="", AND(AND(MID(Metadata!E436,5,1)="-",IFERROR(INT(MID(Metadata!E436,6,1))&gt;=0,FALSE),IFERROR(INT(MID(Metadata!E436,6,1))&lt;=1,FALSE),NOT(MID(Metadata!E436,7,1)=""),IFERROR(INT(MID(Metadata!E436,6,2))&gt;=1,FALSE),IFERROR(INT(MID(Metadata!E436,6,2))&lt;=12,FALSE)), OR(MID(Metadata!E436,8,1)="", AND(AND(MID(Metadata!E436,8,1)="-",IFERROR(INT(MID(Metadata!E436,9,1))&gt;=0,FALSE),IFERROR(INT(MID(Metadata!E436,9,1))&lt;=3,FALSE),NOT(MID(Metadata!E436,10,1)=""),IFERROR(INT(MID(Metadata!E436,9,2))&gt;=1,FALSE),IFERROR(INT(MID(Metadata!E436,9,2))&lt;=31,FALSE)), OR(MID(Metadata!E436,11,1)="", AND(AND(MID(Metadata!E436,11,1)=" ",IFERROR(INT(MID(Metadata!E436,12,1))&gt;=0,FALSE),IFERROR(INT(MID(Metadata!E436,12,1))&lt;=2,FALSE),NOT(MID(Metadata!E436,13,1)=""),IFERROR(INT(MID(Metadata!E436,12,2))&gt;=0,FALSE),IFERROR(INT(MID(Metadata!E436,12,2))&lt;=23,FALSE)), OR(MID(Metadata!E436,14,1)="", AND(AND(MID(Metadata!E436,14,1)=":",IFERROR(INT(MID(Metadata!E436,15,1))&gt;=0,FALSE),IFERROR(INT(MID(Metadata!E436,15,1))&lt;=5,FALSE),NOT(MID(Metadata!E436,16,1)=""),IFERROR(INT(MID(Metadata!E436,15,2))&gt;=0,FALSE),IFERROR(INT(MID(Metadata!E436,15,2))&lt;=59,FALSE)), OR(MID(Metadata!E436,17,1)="", AND(AND(MID(Metadata!E436,17,1)=":",IFERROR(INT(MID(Metadata!E436,18,1))&gt;=0,FALSE),IFERROR(INT(MID(Metadata!E436,18,1))&lt;=5,FALSE),NOT(MID(Metadata!E436,19,1)=""),IFERROR(INT(MID(Metadata!E436,18,2))&gt;=0,FALSE),IFERROR(INT(MID(Metadata!E436,18,2))&lt;=59,FALSE)), LEN(Metadata!E436)&lt;=19)))))))))))))</f>
        <v>0</v>
      </c>
      <c r="AS436" t="b">
        <f>IF(Metadata!F436="",FALSE,TRUE)</f>
        <v>0</v>
      </c>
      <c r="AT436" t="b">
        <f>OR(AND(IF(Metadata!G436="",FALSE,TRUE),OR(EXACT(Metadata!G436,"not collected"),EXACT(Metadata!G436,"not provided"))),AND(IF(Metadata!G436="",FALSE,TRUE),OR(EXACT(Metadata!G436,"TRUE"),EXACT(Metadata!G436,"FALSE"))))</f>
        <v>0</v>
      </c>
      <c r="AU436" t="b">
        <f>OR(AND(IF(Metadata!H436="",FALSE,TRUE),OR(EXACT(Metadata!H436,"not collected"),EXACT(Metadata!H436,"not provided"),EXACT(Metadata!H436,"restricted access"))),AND(IF(Metadata!H436="",FALSE,ISNUMBER(VALUE(Metadata!H436))),Metadata!H436&gt;=-413))</f>
        <v>0</v>
      </c>
      <c r="AV436" t="b">
        <f>AND(IF(Metadata!I436="",FALSE,TRUE),EXACT(Metadata!I436,"meters"))</f>
        <v>0</v>
      </c>
      <c r="AW436" t="b">
        <f>AND(IF(Metadata!J436="",FALSE,TRUE),EXACT(Metadata!J436,"free-living"))</f>
        <v>0</v>
      </c>
      <c r="AX436" t="b">
        <f>AND(IF(Metadata!K436="",FALSE,TRUE),OR(EXACT(Metadata!K436,"saline"),EXACT(Metadata!K436,"non-saline")))</f>
        <v>0</v>
      </c>
      <c r="AY436" t="b">
        <f>AND(IF(Metadata!L436="",FALSE,TRUE),OR(EXACT(Metadata!L436,"sub-surface (non-saline)"),EXACT(Metadata!L436,"surface (non-saline)"),EXACT(Metadata!L436,"water (non-saline)"),EXACT(Metadata!L436,"soil (non-saline)"),EXACT(Metadata!L436,"aerosol (non-saline)"),EXACT(Metadata!L436,"sediment (non-saline)"),EXACT(Metadata!L436,"surface (saline)"),EXACT(Metadata!L436,"water (saline)"),EXACT(Metadata!L436,"hypersaline (saline)"),EXACT(Metadata!L436,"aerosol (saline)"),EXACT(Metadata!L436,"sediment (saline)")))</f>
        <v>0</v>
      </c>
      <c r="AZ436" t="b">
        <f>IF(Metadata!M436="",FALSE,TRUE)</f>
        <v>0</v>
      </c>
      <c r="BA436" t="b">
        <f>IF(Metadata!N436="",FALSE,TRUE)</f>
        <v>0</v>
      </c>
      <c r="BB436" t="b">
        <f>IF(Metadata!O436="",FALSE,TRUE)</f>
        <v>0</v>
      </c>
      <c r="BC436" t="b">
        <f>AND(IF(Metadata!P436="",FALSE,TRUE),OR(EXACT(Metadata!P436,"air"),EXACT(Metadata!P436,"microbial mat/biofilm"),EXACT(Metadata!P436,"misc environment"),EXACT(Metadata!P436,"sediment"),EXACT(Metadata!P436,"soil"),EXACT(Metadata!P436,"wastewater/sludge"),EXACT(Metadata!P436,"water")))</f>
        <v>0</v>
      </c>
      <c r="BD436" t="b">
        <f>IF(Metadata!Q436="",FALSE,TRUE)</f>
        <v>0</v>
      </c>
      <c r="BE436" t="b">
        <f>IF(Metadata!R436="",FALSE,TRUE)</f>
        <v>0</v>
      </c>
      <c r="BF436" t="b">
        <f>OR(AND(IF(Metadata!S436="",FALSE,TRUE),OR(EXACT(Metadata!S436,"not collected"),EXACT(Metadata!S436,"not provided"),EXACT(Metadata!S436,"restricted access"))),AND(IF(Metadata!S436="",FALSE,ISNUMBER(VALUE(Metadata!S436))),Metadata!S436&gt;=-90,Metadata!S436&lt;=90))</f>
        <v>0</v>
      </c>
      <c r="BG436" t="b">
        <f>AND(IF(Metadata!T436="",FALSE,TRUE),EXACT(Metadata!T436,"Decimal degrees"))</f>
        <v>0</v>
      </c>
      <c r="BH436" t="b">
        <f>OR(AND(IF(Metadata!U436="",FALSE,TRUE),OR(EXACT(Metadata!U436,"not applicable"),EXACT(Metadata!U436,"not collected"))),IF(Metadata!U436="",FALSE,TRUE))</f>
        <v>0</v>
      </c>
      <c r="BI436" t="b">
        <f>OR(AND(IF(Metadata!V436="",FALSE,TRUE),OR(EXACT(Metadata!V436,"not collected"),EXACT(Metadata!V436,"not provided"),EXACT(Metadata!V436,"restricted access"))),AND(IF(Metadata!V436="",FALSE,ISNUMBER(VALUE(Metadata!V436))),Metadata!V436&gt;=-180,Metadata!V436&lt;=180))</f>
        <v>0</v>
      </c>
      <c r="BJ436" t="b">
        <f>AND(IF(Metadata!W436="",FALSE,TRUE),EXACT(Metadata!W436,"Decimal degrees"))</f>
        <v>0</v>
      </c>
      <c r="BK436" t="b">
        <f>IF(Metadata!X436="",FALSE,TRUE)</f>
        <v>0</v>
      </c>
      <c r="BL436" t="b">
        <f>OR(AND(IF(Metadata!Y436="",FALSE,TRUE),OR(EXACT(Metadata!Y436,"not collected"),EXACT(Metadata!Y436,"not provided"),EXACT(Metadata!Y436,"restricted access"))),AND(IF(Metadata!Y436="",FALSE,TRUE),OR(EXACT(Metadata!Y436,"TRUE"),EXACT(Metadata!Y436,"FALSE"))))</f>
        <v>0</v>
      </c>
      <c r="BM436" t="b">
        <f>OR(AND(IF(Metadata!Z436="",FALSE,TRUE),EXACT(Metadata!Z436,"not applicable")),AND(IF(Metadata!Z436="",FALSE,TRUE),OR(EXACT(Metadata!Z436,"beer"),EXACT(Metadata!Z436,"cheese"),EXACT(Metadata!Z436,"fresh water"),EXACT(Metadata!Z436,"marine sediment"),EXACT(Metadata!Z436,"sea water"),EXACT(Metadata!Z436,"sediment"),EXACT(Metadata!Z436,"soil"),EXACT(Metadata!Z436,"waste water"))))</f>
        <v>0</v>
      </c>
      <c r="BN436" t="b">
        <f>AND(IF(Metadata!AA436="",FALSE,TRUE),EXACT(Metadata!AA436,"metagenome"))</f>
        <v>0</v>
      </c>
      <c r="BO436" t="b">
        <f>AND(IF(Metadata!AB436="",FALSE,TRUE),EXACT(Metadata!AB436,"256318"))</f>
        <v>0</v>
      </c>
      <c r="BP436" t="b">
        <f>IF(Metadata!AC436="",FALSE,TRUE)</f>
        <v>0</v>
      </c>
      <c r="BQ436" t="b">
        <f>IF(Metadata!AD436="",FALSE,TRUE)</f>
        <v>0</v>
      </c>
    </row>
    <row r="437" spans="1:69" x14ac:dyDescent="0.2">
      <c r="A437" s="4" t="e">
        <f ca="1">IF(B437=" "," ",HYPERLINK(CONCATENATE("#metadata!",ADDRESS(INDEX($AJ$2:$AJ$1001,MATCH(ROWS($AH$2:AH437),$AH$2:$AH$1001,0),0),2)),INDEX($AM$2:$AM$1001,MATCH(ROWS($AH$2:AH437),$AH$2:$AH$1001,0),0)))</f>
        <v>#N/A</v>
      </c>
      <c r="B437" s="5" t="e">
        <f ca="1">IF(OR(INDEX($AI$2:$AI$1001,MATCH(ROWS($AH$2:AH437),$AH$2:$AH$1001,0),1)&gt;=100000,INDEX($AO$1005:$BQ$1005,1,MATCH(COLUMNS($AO$1006:AO1006),$AO$1006:$BQ$1006,0))&gt;=100000), " ",IF(INDEX($AO$2:$BQ$1001,MATCH(ROWS($AH$2:AH437),$AH$2:$AH$1001,0),MATCH(COLUMNS($AO$1006:AO1006),$AO$1006:$BQ$1006,0)), HYPERLINK("#",""), HYPERLINK(CONCATENATE("#Metadata!", ADDRESS(INDEX($AJ$2:$AJ$1001,MATCH(ROWS($AH$2:AH437),$AH$2:$AH$1001,0),0), INDEX($AO$1004:$BQ$1004,1,MATCH(COLUMNS($AO$1006:AO1006),$AO$1006:$BQ$1006,0)))),"Fix")))</f>
        <v>#N/A</v>
      </c>
      <c r="C437" s="5" t="e">
        <f ca="1">IF(OR(INDEX($AI$2:$AI$1001,MATCH(ROWS($AH$2:AH437),$AH$2:$AH$1001,0),1)&gt;=100000,INDEX($AO$1005:$BQ$1005,1,MATCH(COLUMNS($AO$1006:AP1006),$AO$1006:$BQ$1006,0))&gt;=100000), " ",IF(INDEX($AO$2:$BQ$1001,MATCH(ROWS($AH$2:AH437),$AH$2:$AH$1001,0),MATCH(COLUMNS($AO$1006:AP1006),$AO$1006:$BQ$1006,0)), HYPERLINK("#",""), HYPERLINK(CONCATENATE("#Metadata!", ADDRESS(INDEX($AJ$2:$AJ$1001,MATCH(ROWS($AH$2:AH437),$AH$2:$AH$1001,0),0), INDEX($AO$1004:$BQ$1004,1,MATCH(COLUMNS($AO$1006:AP1006),$AO$1006:$BQ$1006,0)))),"Fix")))</f>
        <v>#N/A</v>
      </c>
      <c r="D437" s="5" t="e">
        <f ca="1">IF(OR(INDEX($AI$2:$AI$1001,MATCH(ROWS($AH$2:AH437),$AH$2:$AH$1001,0),1)&gt;=100000,INDEX($AO$1005:$BQ$1005,1,MATCH(COLUMNS($AO$1006:AQ1006),$AO$1006:$BQ$1006,0))&gt;=100000), " ",IF(INDEX($AO$2:$BQ$1001,MATCH(ROWS($AH$2:AH437),$AH$2:$AH$1001,0),MATCH(COLUMNS($AO$1006:AQ1006),$AO$1006:$BQ$1006,0)), HYPERLINK("#",""), HYPERLINK(CONCATENATE("#Metadata!", ADDRESS(INDEX($AJ$2:$AJ$1001,MATCH(ROWS($AH$2:AH437),$AH$2:$AH$1001,0),0), INDEX($AO$1004:$BQ$1004,1,MATCH(COLUMNS($AO$1006:AQ1006),$AO$1006:$BQ$1006,0)))),"Fix")))</f>
        <v>#N/A</v>
      </c>
      <c r="E437" s="5" t="e">
        <f ca="1">IF(OR(INDEX($AI$2:$AI$1001,MATCH(ROWS($AH$2:AH437),$AH$2:$AH$1001,0),1)&gt;=100000,INDEX($AO$1005:$BQ$1005,1,MATCH(COLUMNS($AO$1006:AR1006),$AO$1006:$BQ$1006,0))&gt;=100000), " ",IF(INDEX($AO$2:$BQ$1001,MATCH(ROWS($AH$2:AH437),$AH$2:$AH$1001,0),MATCH(COLUMNS($AO$1006:AR1006),$AO$1006:$BQ$1006,0)), HYPERLINK("#",""), HYPERLINK(CONCATENATE("#Metadata!", ADDRESS(INDEX($AJ$2:$AJ$1001,MATCH(ROWS($AH$2:AH437),$AH$2:$AH$1001,0),0), INDEX($AO$1004:$BQ$1004,1,MATCH(COLUMNS($AO$1006:AR1006),$AO$1006:$BQ$1006,0)))),"Fix")))</f>
        <v>#N/A</v>
      </c>
      <c r="F437" s="5" t="e">
        <f ca="1">IF(OR(INDEX($AI$2:$AI$1001,MATCH(ROWS($AH$2:AH437),$AH$2:$AH$1001,0),1)&gt;=100000,INDEX($AO$1005:$BQ$1005,1,MATCH(COLUMNS($AO$1006:AS1006),$AO$1006:$BQ$1006,0))&gt;=100000), " ",IF(INDEX($AO$2:$BQ$1001,MATCH(ROWS($AH$2:AH437),$AH$2:$AH$1001,0),MATCH(COLUMNS($AO$1006:AS1006),$AO$1006:$BQ$1006,0)), HYPERLINK("#",""), HYPERLINK(CONCATENATE("#Metadata!", ADDRESS(INDEX($AJ$2:$AJ$1001,MATCH(ROWS($AH$2:AH437),$AH$2:$AH$1001,0),0), INDEX($AO$1004:$BQ$1004,1,MATCH(COLUMNS($AO$1006:AS1006),$AO$1006:$BQ$1006,0)))),"Fix")))</f>
        <v>#N/A</v>
      </c>
      <c r="G437" s="5" t="e">
        <f ca="1">IF(OR(INDEX($AI$2:$AI$1001,MATCH(ROWS($AH$2:AH437),$AH$2:$AH$1001,0),1)&gt;=100000,INDEX($AO$1005:$BQ$1005,1,MATCH(COLUMNS($AO$1006:AT1006),$AO$1006:$BQ$1006,0))&gt;=100000), " ",IF(INDEX($AO$2:$BQ$1001,MATCH(ROWS($AH$2:AH437),$AH$2:$AH$1001,0),MATCH(COLUMNS($AO$1006:AT1006),$AO$1006:$BQ$1006,0)), HYPERLINK("#",""), HYPERLINK(CONCATENATE("#Metadata!", ADDRESS(INDEX($AJ$2:$AJ$1001,MATCH(ROWS($AH$2:AH437),$AH$2:$AH$1001,0),0), INDEX($AO$1004:$BQ$1004,1,MATCH(COLUMNS($AO$1006:AT1006),$AO$1006:$BQ$1006,0)))),"Fix")))</f>
        <v>#N/A</v>
      </c>
      <c r="H437" s="5" t="e">
        <f ca="1">IF(OR(INDEX($AI$2:$AI$1001,MATCH(ROWS($AH$2:AH437),$AH$2:$AH$1001,0),1)&gt;=100000,INDEX($AO$1005:$BQ$1005,1,MATCH(COLUMNS($AO$1006:AU1006),$AO$1006:$BQ$1006,0))&gt;=100000), " ",IF(INDEX($AO$2:$BQ$1001,MATCH(ROWS($AH$2:AH437),$AH$2:$AH$1001,0),MATCH(COLUMNS($AO$1006:AU1006),$AO$1006:$BQ$1006,0)), HYPERLINK("#",""), HYPERLINK(CONCATENATE("#Metadata!", ADDRESS(INDEX($AJ$2:$AJ$1001,MATCH(ROWS($AH$2:AH437),$AH$2:$AH$1001,0),0), INDEX($AO$1004:$BQ$1004,1,MATCH(COLUMNS($AO$1006:AU1006),$AO$1006:$BQ$1006,0)))),"Fix")))</f>
        <v>#N/A</v>
      </c>
      <c r="I437" s="5" t="e">
        <f ca="1">IF(OR(INDEX($AI$2:$AI$1001,MATCH(ROWS($AH$2:AH437),$AH$2:$AH$1001,0),1)&gt;=100000,INDEX($AO$1005:$BQ$1005,1,MATCH(COLUMNS($AO$1006:AV1006),$AO$1006:$BQ$1006,0))&gt;=100000), " ",IF(INDEX($AO$2:$BQ$1001,MATCH(ROWS($AH$2:AH437),$AH$2:$AH$1001,0),MATCH(COLUMNS($AO$1006:AV1006),$AO$1006:$BQ$1006,0)), HYPERLINK("#",""), HYPERLINK(CONCATENATE("#Metadata!", ADDRESS(INDEX($AJ$2:$AJ$1001,MATCH(ROWS($AH$2:AH437),$AH$2:$AH$1001,0),0), INDEX($AO$1004:$BQ$1004,1,MATCH(COLUMNS($AO$1006:AV1006),$AO$1006:$BQ$1006,0)))),"Fix")))</f>
        <v>#N/A</v>
      </c>
      <c r="J437" s="5" t="e">
        <f ca="1">IF(OR(INDEX($AI$2:$AI$1001,MATCH(ROWS($AH$2:AH437),$AH$2:$AH$1001,0),1)&gt;=100000,INDEX($AO$1005:$BQ$1005,1,MATCH(COLUMNS($AO$1006:AW1006),$AO$1006:$BQ$1006,0))&gt;=100000), " ",IF(INDEX($AO$2:$BQ$1001,MATCH(ROWS($AH$2:AH437),$AH$2:$AH$1001,0),MATCH(COLUMNS($AO$1006:AW1006),$AO$1006:$BQ$1006,0)), HYPERLINK("#",""), HYPERLINK(CONCATENATE("#Metadata!", ADDRESS(INDEX($AJ$2:$AJ$1001,MATCH(ROWS($AH$2:AH437),$AH$2:$AH$1001,0),0), INDEX($AO$1004:$BQ$1004,1,MATCH(COLUMNS($AO$1006:AW1006),$AO$1006:$BQ$1006,0)))),"Fix")))</f>
        <v>#N/A</v>
      </c>
      <c r="K437" s="5" t="e">
        <f ca="1">IF(OR(INDEX($AI$2:$AI$1001,MATCH(ROWS($AH$2:AH437),$AH$2:$AH$1001,0),1)&gt;=100000,INDEX($AO$1005:$BQ$1005,1,MATCH(COLUMNS($AO$1006:AX1006),$AO$1006:$BQ$1006,0))&gt;=100000), " ",IF(INDEX($AO$2:$BQ$1001,MATCH(ROWS($AH$2:AH437),$AH$2:$AH$1001,0),MATCH(COLUMNS($AO$1006:AX1006),$AO$1006:$BQ$1006,0)), HYPERLINK("#",""), HYPERLINK(CONCATENATE("#Metadata!", ADDRESS(INDEX($AJ$2:$AJ$1001,MATCH(ROWS($AH$2:AH437),$AH$2:$AH$1001,0),0), INDEX($AO$1004:$BQ$1004,1,MATCH(COLUMNS($AO$1006:AX1006),$AO$1006:$BQ$1006,0)))),"Fix")))</f>
        <v>#N/A</v>
      </c>
      <c r="L437" s="5" t="e">
        <f ca="1">IF(OR(INDEX($AI$2:$AI$1001,MATCH(ROWS($AH$2:AH437),$AH$2:$AH$1001,0),1)&gt;=100000,INDEX($AO$1005:$BQ$1005,1,MATCH(COLUMNS($AO$1006:AY1006),$AO$1006:$BQ$1006,0))&gt;=100000), " ",IF(INDEX($AO$2:$BQ$1001,MATCH(ROWS($AH$2:AH437),$AH$2:$AH$1001,0),MATCH(COLUMNS($AO$1006:AY1006),$AO$1006:$BQ$1006,0)), HYPERLINK("#",""), HYPERLINK(CONCATENATE("#Metadata!", ADDRESS(INDEX($AJ$2:$AJ$1001,MATCH(ROWS($AH$2:AH437),$AH$2:$AH$1001,0),0), INDEX($AO$1004:$BQ$1004,1,MATCH(COLUMNS($AO$1006:AY1006),$AO$1006:$BQ$1006,0)))),"Fix")))</f>
        <v>#N/A</v>
      </c>
      <c r="M437" s="5" t="e">
        <f ca="1">IF(OR(INDEX($AI$2:$AI$1001,MATCH(ROWS($AH$2:AH437),$AH$2:$AH$1001,0),1)&gt;=100000,INDEX($AO$1005:$BQ$1005,1,MATCH(COLUMNS($AO$1006:AZ1006),$AO$1006:$BQ$1006,0))&gt;=100000), " ",IF(INDEX($AO$2:$BQ$1001,MATCH(ROWS($AH$2:AH437),$AH$2:$AH$1001,0),MATCH(COLUMNS($AO$1006:AZ1006),$AO$1006:$BQ$1006,0)), HYPERLINK("#",""), HYPERLINK(CONCATENATE("#Metadata!", ADDRESS(INDEX($AJ$2:$AJ$1001,MATCH(ROWS($AH$2:AH437),$AH$2:$AH$1001,0),0), INDEX($AO$1004:$BQ$1004,1,MATCH(COLUMNS($AO$1006:AZ1006),$AO$1006:$BQ$1006,0)))),"Fix")))</f>
        <v>#N/A</v>
      </c>
      <c r="N437" s="5" t="e">
        <f ca="1">IF(OR(INDEX($AI$2:$AI$1001,MATCH(ROWS($AH$2:AH437),$AH$2:$AH$1001,0),1)&gt;=100000,INDEX($AO$1005:$BQ$1005,1,MATCH(COLUMNS($AO$1006:BA1006),$AO$1006:$BQ$1006,0))&gt;=100000), " ",IF(INDEX($AO$2:$BQ$1001,MATCH(ROWS($AH$2:AH437),$AH$2:$AH$1001,0),MATCH(COLUMNS($AO$1006:BA1006),$AO$1006:$BQ$1006,0)), HYPERLINK("#",""), HYPERLINK(CONCATENATE("#Metadata!", ADDRESS(INDEX($AJ$2:$AJ$1001,MATCH(ROWS($AH$2:AH437),$AH$2:$AH$1001,0),0), INDEX($AO$1004:$BQ$1004,1,MATCH(COLUMNS($AO$1006:BA1006),$AO$1006:$BQ$1006,0)))),"Fix")))</f>
        <v>#N/A</v>
      </c>
      <c r="O437" s="5" t="e">
        <f ca="1">IF(OR(INDEX($AI$2:$AI$1001,MATCH(ROWS($AH$2:AH437),$AH$2:$AH$1001,0),1)&gt;=100000,INDEX($AO$1005:$BQ$1005,1,MATCH(COLUMNS($AO$1006:BB1006),$AO$1006:$BQ$1006,0))&gt;=100000), " ",IF(INDEX($AO$2:$BQ$1001,MATCH(ROWS($AH$2:AH437),$AH$2:$AH$1001,0),MATCH(COLUMNS($AO$1006:BB1006),$AO$1006:$BQ$1006,0)), HYPERLINK("#",""), HYPERLINK(CONCATENATE("#Metadata!", ADDRESS(INDEX($AJ$2:$AJ$1001,MATCH(ROWS($AH$2:AH437),$AH$2:$AH$1001,0),0), INDEX($AO$1004:$BQ$1004,1,MATCH(COLUMNS($AO$1006:BB1006),$AO$1006:$BQ$1006,0)))),"Fix")))</f>
        <v>#N/A</v>
      </c>
      <c r="P437" s="5" t="e">
        <f ca="1">IF(OR(INDEX($AI$2:$AI$1001,MATCH(ROWS($AH$2:AH437),$AH$2:$AH$1001,0),1)&gt;=100000,INDEX($AO$1005:$BQ$1005,1,MATCH(COLUMNS($AO$1006:BC1006),$AO$1006:$BQ$1006,0))&gt;=100000), " ",IF(INDEX($AO$2:$BQ$1001,MATCH(ROWS($AH$2:AH437),$AH$2:$AH$1001,0),MATCH(COLUMNS($AO$1006:BC1006),$AO$1006:$BQ$1006,0)), HYPERLINK("#",""), HYPERLINK(CONCATENATE("#Metadata!", ADDRESS(INDEX($AJ$2:$AJ$1001,MATCH(ROWS($AH$2:AH437),$AH$2:$AH$1001,0),0), INDEX($AO$1004:$BQ$1004,1,MATCH(COLUMNS($AO$1006:BC1006),$AO$1006:$BQ$1006,0)))),"Fix")))</f>
        <v>#N/A</v>
      </c>
      <c r="Q437" s="5" t="e">
        <f ca="1">IF(OR(INDEX($AI$2:$AI$1001,MATCH(ROWS($AH$2:AH437),$AH$2:$AH$1001,0),1)&gt;=100000,INDEX($AO$1005:$BQ$1005,1,MATCH(COLUMNS($AO$1006:BD1006),$AO$1006:$BQ$1006,0))&gt;=100000), " ",IF(INDEX($AO$2:$BQ$1001,MATCH(ROWS($AH$2:AH437),$AH$2:$AH$1001,0),MATCH(COLUMNS($AO$1006:BD1006),$AO$1006:$BQ$1006,0)), HYPERLINK("#",""), HYPERLINK(CONCATENATE("#Metadata!", ADDRESS(INDEX($AJ$2:$AJ$1001,MATCH(ROWS($AH$2:AH437),$AH$2:$AH$1001,0),0), INDEX($AO$1004:$BQ$1004,1,MATCH(COLUMNS($AO$1006:BD1006),$AO$1006:$BQ$1006,0)))),"Fix")))</f>
        <v>#N/A</v>
      </c>
      <c r="R437" s="5" t="e">
        <f ca="1">IF(OR(INDEX($AI$2:$AI$1001,MATCH(ROWS($AH$2:AH437),$AH$2:$AH$1001,0),1)&gt;=100000,INDEX($AO$1005:$BQ$1005,1,MATCH(COLUMNS($AO$1006:BE1006),$AO$1006:$BQ$1006,0))&gt;=100000), " ",IF(INDEX($AO$2:$BQ$1001,MATCH(ROWS($AH$2:AH437),$AH$2:$AH$1001,0),MATCH(COLUMNS($AO$1006:BE1006),$AO$1006:$BQ$1006,0)), HYPERLINK("#",""), HYPERLINK(CONCATENATE("#Metadata!", ADDRESS(INDEX($AJ$2:$AJ$1001,MATCH(ROWS($AH$2:AH437),$AH$2:$AH$1001,0),0), INDEX($AO$1004:$BQ$1004,1,MATCH(COLUMNS($AO$1006:BE1006),$AO$1006:$BQ$1006,0)))),"Fix")))</f>
        <v>#N/A</v>
      </c>
      <c r="S437" s="5" t="e">
        <f ca="1">IF(OR(INDEX($AI$2:$AI$1001,MATCH(ROWS($AH$2:AH437),$AH$2:$AH$1001,0),1)&gt;=100000,INDEX($AO$1005:$BQ$1005,1,MATCH(COLUMNS($AO$1006:BF1006),$AO$1006:$BQ$1006,0))&gt;=100000), " ",IF(INDEX($AO$2:$BQ$1001,MATCH(ROWS($AH$2:AH437),$AH$2:$AH$1001,0),MATCH(COLUMNS($AO$1006:BF1006),$AO$1006:$BQ$1006,0)), HYPERLINK("#",""), HYPERLINK(CONCATENATE("#Metadata!", ADDRESS(INDEX($AJ$2:$AJ$1001,MATCH(ROWS($AH$2:AH437),$AH$2:$AH$1001,0),0), INDEX($AO$1004:$BQ$1004,1,MATCH(COLUMNS($AO$1006:BF1006),$AO$1006:$BQ$1006,0)))),"Fix")))</f>
        <v>#N/A</v>
      </c>
      <c r="T437" s="5" t="e">
        <f ca="1">IF(OR(INDEX($AI$2:$AI$1001,MATCH(ROWS($AH$2:AH437),$AH$2:$AH$1001,0),1)&gt;=100000,INDEX($AO$1005:$BQ$1005,1,MATCH(COLUMNS($AO$1006:BG1006),$AO$1006:$BQ$1006,0))&gt;=100000), " ",IF(INDEX($AO$2:$BQ$1001,MATCH(ROWS($AH$2:AH437),$AH$2:$AH$1001,0),MATCH(COLUMNS($AO$1006:BG1006),$AO$1006:$BQ$1006,0)), HYPERLINK("#",""), HYPERLINK(CONCATENATE("#Metadata!", ADDRESS(INDEX($AJ$2:$AJ$1001,MATCH(ROWS($AH$2:AH437),$AH$2:$AH$1001,0),0), INDEX($AO$1004:$BQ$1004,1,MATCH(COLUMNS($AO$1006:BG1006),$AO$1006:$BQ$1006,0)))),"Fix")))</f>
        <v>#N/A</v>
      </c>
      <c r="U437" s="5" t="e">
        <f ca="1">IF(OR(INDEX($AI$2:$AI$1001,MATCH(ROWS($AH$2:AH437),$AH$2:$AH$1001,0),1)&gt;=100000,INDEX($AO$1005:$BQ$1005,1,MATCH(COLUMNS($AO$1006:BH1006),$AO$1006:$BQ$1006,0))&gt;=100000), " ",IF(INDEX($AO$2:$BQ$1001,MATCH(ROWS($AH$2:AH437),$AH$2:$AH$1001,0),MATCH(COLUMNS($AO$1006:BH1006),$AO$1006:$BQ$1006,0)), HYPERLINK("#",""), HYPERLINK(CONCATENATE("#Metadata!", ADDRESS(INDEX($AJ$2:$AJ$1001,MATCH(ROWS($AH$2:AH437),$AH$2:$AH$1001,0),0), INDEX($AO$1004:$BQ$1004,1,MATCH(COLUMNS($AO$1006:BH1006),$AO$1006:$BQ$1006,0)))),"Fix")))</f>
        <v>#N/A</v>
      </c>
      <c r="V437" s="5" t="e">
        <f ca="1">IF(OR(INDEX($AI$2:$AI$1001,MATCH(ROWS($AH$2:AH437),$AH$2:$AH$1001,0),1)&gt;=100000,INDEX($AO$1005:$BQ$1005,1,MATCH(COLUMNS($AO$1006:BI1006),$AO$1006:$BQ$1006,0))&gt;=100000), " ",IF(INDEX($AO$2:$BQ$1001,MATCH(ROWS($AH$2:AH437),$AH$2:$AH$1001,0),MATCH(COLUMNS($AO$1006:BI1006),$AO$1006:$BQ$1006,0)), HYPERLINK("#",""), HYPERLINK(CONCATENATE("#Metadata!", ADDRESS(INDEX($AJ$2:$AJ$1001,MATCH(ROWS($AH$2:AH437),$AH$2:$AH$1001,0),0), INDEX($AO$1004:$BQ$1004,1,MATCH(COLUMNS($AO$1006:BI1006),$AO$1006:$BQ$1006,0)))),"Fix")))</f>
        <v>#N/A</v>
      </c>
      <c r="W437" s="5" t="e">
        <f ca="1">IF(OR(INDEX($AI$2:$AI$1001,MATCH(ROWS($AH$2:AH437),$AH$2:$AH$1001,0),1)&gt;=100000,INDEX($AO$1005:$BQ$1005,1,MATCH(COLUMNS($AO$1006:BJ1006),$AO$1006:$BQ$1006,0))&gt;=100000), " ",IF(INDEX($AO$2:$BQ$1001,MATCH(ROWS($AH$2:AH437),$AH$2:$AH$1001,0),MATCH(COLUMNS($AO$1006:BJ1006),$AO$1006:$BQ$1006,0)), HYPERLINK("#",""), HYPERLINK(CONCATENATE("#Metadata!", ADDRESS(INDEX($AJ$2:$AJ$1001,MATCH(ROWS($AH$2:AH437),$AH$2:$AH$1001,0),0), INDEX($AO$1004:$BQ$1004,1,MATCH(COLUMNS($AO$1006:BJ1006),$AO$1006:$BQ$1006,0)))),"Fix")))</f>
        <v>#N/A</v>
      </c>
      <c r="X437" s="5" t="e">
        <f ca="1">IF(OR(INDEX($AI$2:$AI$1001,MATCH(ROWS($AH$2:AH437),$AH$2:$AH$1001,0),1)&gt;=100000,INDEX($AO$1005:$BQ$1005,1,MATCH(COLUMNS($AO$1006:BK1006),$AO$1006:$BQ$1006,0))&gt;=100000), " ",IF(INDEX($AO$2:$BQ$1001,MATCH(ROWS($AH$2:AH437),$AH$2:$AH$1001,0),MATCH(COLUMNS($AO$1006:BK1006),$AO$1006:$BQ$1006,0)), HYPERLINK("#",""), HYPERLINK(CONCATENATE("#Metadata!", ADDRESS(INDEX($AJ$2:$AJ$1001,MATCH(ROWS($AH$2:AH437),$AH$2:$AH$1001,0),0), INDEX($AO$1004:$BQ$1004,1,MATCH(COLUMNS($AO$1006:BK1006),$AO$1006:$BQ$1006,0)))),"Fix")))</f>
        <v>#N/A</v>
      </c>
      <c r="Y437" s="5" t="e">
        <f ca="1">IF(OR(INDEX($AI$2:$AI$1001,MATCH(ROWS($AH$2:AH437),$AH$2:$AH$1001,0),1)&gt;=100000,INDEX($AO$1005:$BQ$1005,1,MATCH(COLUMNS($AO$1006:BL1006),$AO$1006:$BQ$1006,0))&gt;=100000), " ",IF(INDEX($AO$2:$BQ$1001,MATCH(ROWS($AH$2:AH437),$AH$2:$AH$1001,0),MATCH(COLUMNS($AO$1006:BL1006),$AO$1006:$BQ$1006,0)), HYPERLINK("#",""), HYPERLINK(CONCATENATE("#Metadata!", ADDRESS(INDEX($AJ$2:$AJ$1001,MATCH(ROWS($AH$2:AH437),$AH$2:$AH$1001,0),0), INDEX($AO$1004:$BQ$1004,1,MATCH(COLUMNS($AO$1006:BL1006),$AO$1006:$BQ$1006,0)))),"Fix")))</f>
        <v>#N/A</v>
      </c>
      <c r="Z437" s="5" t="e">
        <f ca="1">IF(OR(INDEX($AI$2:$AI$1001,MATCH(ROWS($AH$2:AH437),$AH$2:$AH$1001,0),1)&gt;=100000,INDEX($AO$1005:$BQ$1005,1,MATCH(COLUMNS($AO$1006:BM1006),$AO$1006:$BQ$1006,0))&gt;=100000), " ",IF(INDEX($AO$2:$BQ$1001,MATCH(ROWS($AH$2:AH437),$AH$2:$AH$1001,0),MATCH(COLUMNS($AO$1006:BM1006),$AO$1006:$BQ$1006,0)), HYPERLINK("#",""), HYPERLINK(CONCATENATE("#Metadata!", ADDRESS(INDEX($AJ$2:$AJ$1001,MATCH(ROWS($AH$2:AH437),$AH$2:$AH$1001,0),0), INDEX($AO$1004:$BQ$1004,1,MATCH(COLUMNS($AO$1006:BM1006),$AO$1006:$BQ$1006,0)))),"Fix")))</f>
        <v>#N/A</v>
      </c>
      <c r="AA437" s="5" t="e">
        <f ca="1">IF(OR(INDEX($AI$2:$AI$1001,MATCH(ROWS($AH$2:AH437),$AH$2:$AH$1001,0),1)&gt;=100000,INDEX($AO$1005:$BQ$1005,1,MATCH(COLUMNS($AO$1006:BN1006),$AO$1006:$BQ$1006,0))&gt;=100000), " ",IF(INDEX($AO$2:$BQ$1001,MATCH(ROWS($AH$2:AH437),$AH$2:$AH$1001,0),MATCH(COLUMNS($AO$1006:BN1006),$AO$1006:$BQ$1006,0)), HYPERLINK("#",""), HYPERLINK(CONCATENATE("#Metadata!", ADDRESS(INDEX($AJ$2:$AJ$1001,MATCH(ROWS($AH$2:AH437),$AH$2:$AH$1001,0),0), INDEX($AO$1004:$BQ$1004,1,MATCH(COLUMNS($AO$1006:BN1006),$AO$1006:$BQ$1006,0)))),"Fix")))</f>
        <v>#N/A</v>
      </c>
      <c r="AB437" s="5" t="e">
        <f ca="1">IF(OR(INDEX($AI$2:$AI$1001,MATCH(ROWS($AH$2:AH437),$AH$2:$AH$1001,0),1)&gt;=100000,INDEX($AO$1005:$BQ$1005,1,MATCH(COLUMNS($AO$1006:BO1006),$AO$1006:$BQ$1006,0))&gt;=100000), " ",IF(INDEX($AO$2:$BQ$1001,MATCH(ROWS($AH$2:AH437),$AH$2:$AH$1001,0),MATCH(COLUMNS($AO$1006:BO1006),$AO$1006:$BQ$1006,0)), HYPERLINK("#",""), HYPERLINK(CONCATENATE("#Metadata!", ADDRESS(INDEX($AJ$2:$AJ$1001,MATCH(ROWS($AH$2:AH437),$AH$2:$AH$1001,0),0), INDEX($AO$1004:$BQ$1004,1,MATCH(COLUMNS($AO$1006:BO1006),$AO$1006:$BQ$1006,0)))),"Fix")))</f>
        <v>#N/A</v>
      </c>
      <c r="AC437" s="5" t="e">
        <f ca="1">IF(OR(INDEX($AI$2:$AI$1001,MATCH(ROWS($AH$2:AH437),$AH$2:$AH$1001,0),1)&gt;=100000,INDEX($AO$1005:$BQ$1005,1,MATCH(COLUMNS($AO$1006:BP1006),$AO$1006:$BQ$1006,0))&gt;=100000), " ",IF(INDEX($AO$2:$BQ$1001,MATCH(ROWS($AH$2:AH437),$AH$2:$AH$1001,0),MATCH(COLUMNS($AO$1006:BP1006),$AO$1006:$BQ$1006,0)), HYPERLINK("#",""), HYPERLINK(CONCATENATE("#Metadata!", ADDRESS(INDEX($AJ$2:$AJ$1001,MATCH(ROWS($AH$2:AH437),$AH$2:$AH$1001,0),0), INDEX($AO$1004:$BQ$1004,1,MATCH(COLUMNS($AO$1006:BP1006),$AO$1006:$BQ$1006,0)))),"Fix")))</f>
        <v>#N/A</v>
      </c>
      <c r="AD437" s="5" t="e">
        <f ca="1">IF(OR(INDEX($AI$2:$AI$1001,MATCH(ROWS($AH$2:AH437),$AH$2:$AH$1001,0),1)&gt;=100000,INDEX($AO$1005:$BQ$1005,1,MATCH(COLUMNS($AO$1006:BQ1006),$AO$1006:$BQ$1006,0))&gt;=100000), " ",IF(INDEX($AO$2:$BQ$1001,MATCH(ROWS($AH$2:AH437),$AH$2:$AH$1001,0),MATCH(COLUMNS($AO$1006:BQ1006),$AO$1006:$BQ$1006,0)), HYPERLINK("#",""), HYPERLINK(CONCATENATE("#Metadata!", ADDRESS(INDEX($AJ$2:$AJ$1001,MATCH(ROWS($AH$2:AH437),$AH$2:$AH$1001,0),0), INDEX($AO$1004:$BQ$1004,1,MATCH(COLUMNS($AO$1006:BQ1006),$AO$1006:$BQ$1006,0)))),"Fix")))</f>
        <v>#REF!</v>
      </c>
      <c r="AH437">
        <f ca="1"/>
        <v>434</v>
      </c>
      <c r="AI437">
        <v>100437</v>
      </c>
      <c r="AJ437">
        <v>437</v>
      </c>
      <c r="AK437" t="b">
        <f t="shared" si="6"/>
        <v>1</v>
      </c>
      <c r="AL437" t="b">
        <f>COUNTBLANK(Metadata!B437:AD437)=COLUMNS(Metadata!B437:AD437)</f>
        <v>1</v>
      </c>
      <c r="AM437" t="str">
        <v/>
      </c>
      <c r="AO437" t="b">
        <f ca="1">AND(IF(Metadata!B437="",FALSE,TRUE),COUNTIF(Metadata!B:B, Metadata!B437) = 1,NOT(ISERROR(SUMPRODUCT(SEARCH(MID(Metadata!B437,ROW(INDIRECT("1:"&amp;LEN(Metadata!B437))), 1),"0123456789abcdefghijklmnopqrstuvwxyzABCDEFGHIJKLMNOPQRSTUVWXYZ.")))))</f>
        <v>0</v>
      </c>
      <c r="AP437" t="b">
        <f>IF(Metadata!C437="",FALSE,TRUE)</f>
        <v>0</v>
      </c>
      <c r="AQ437" t="b">
        <f>IF(Metadata!D437="",FALSE,TRUE)</f>
        <v>0</v>
      </c>
      <c r="AR437" t="b">
        <f ca="1">OR(AND(IF(Metadata!E437="",FALSE,TRUE),OR(EXACT(Metadata!E437,"not collected"),EXACT(Metadata!E437,"not provided"),EXACT(Metadata!E437,"restricted access"))),AND(IF(Metadata!E437="",FALSE,TRUE),AND(AND(IFERROR(INT(LEFT(Metadata!E437,4))&gt;1900,FALSE),IFERROR(INT(LEFT(Metadata!E437,4))&lt;=YEAR(NOW()),FALSE)), OR(MID(Metadata!E437,5,1)="", AND(AND(MID(Metadata!E437,5,1)="-",IFERROR(INT(MID(Metadata!E437,6,1))&gt;=0,FALSE),IFERROR(INT(MID(Metadata!E437,6,1))&lt;=1,FALSE),NOT(MID(Metadata!E437,7,1)=""),IFERROR(INT(MID(Metadata!E437,6,2))&gt;=1,FALSE),IFERROR(INT(MID(Metadata!E437,6,2))&lt;=12,FALSE)), OR(MID(Metadata!E437,8,1)="", AND(AND(MID(Metadata!E437,8,1)="-",IFERROR(INT(MID(Metadata!E437,9,1))&gt;=0,FALSE),IFERROR(INT(MID(Metadata!E437,9,1))&lt;=3,FALSE),NOT(MID(Metadata!E437,10,1)=""),IFERROR(INT(MID(Metadata!E437,9,2))&gt;=1,FALSE),IFERROR(INT(MID(Metadata!E437,9,2))&lt;=31,FALSE)), OR(MID(Metadata!E437,11,1)="", AND(AND(MID(Metadata!E437,11,1)=" ",IFERROR(INT(MID(Metadata!E437,12,1))&gt;=0,FALSE),IFERROR(INT(MID(Metadata!E437,12,1))&lt;=2,FALSE),NOT(MID(Metadata!E437,13,1)=""),IFERROR(INT(MID(Metadata!E437,12,2))&gt;=0,FALSE),IFERROR(INT(MID(Metadata!E437,12,2))&lt;=23,FALSE)), OR(MID(Metadata!E437,14,1)="", AND(AND(MID(Metadata!E437,14,1)=":",IFERROR(INT(MID(Metadata!E437,15,1))&gt;=0,FALSE),IFERROR(INT(MID(Metadata!E437,15,1))&lt;=5,FALSE),NOT(MID(Metadata!E437,16,1)=""),IFERROR(INT(MID(Metadata!E437,15,2))&gt;=0,FALSE),IFERROR(INT(MID(Metadata!E437,15,2))&lt;=59,FALSE)), OR(MID(Metadata!E437,17,1)="", AND(AND(MID(Metadata!E437,17,1)=":",IFERROR(INT(MID(Metadata!E437,18,1))&gt;=0,FALSE),IFERROR(INT(MID(Metadata!E437,18,1))&lt;=5,FALSE),NOT(MID(Metadata!E437,19,1)=""),IFERROR(INT(MID(Metadata!E437,18,2))&gt;=0,FALSE),IFERROR(INT(MID(Metadata!E437,18,2))&lt;=59,FALSE)), LEN(Metadata!E437)&lt;=19)))))))))))))</f>
        <v>0</v>
      </c>
      <c r="AS437" t="b">
        <f>IF(Metadata!F437="",FALSE,TRUE)</f>
        <v>0</v>
      </c>
      <c r="AT437" t="b">
        <f>OR(AND(IF(Metadata!G437="",FALSE,TRUE),OR(EXACT(Metadata!G437,"not collected"),EXACT(Metadata!G437,"not provided"))),AND(IF(Metadata!G437="",FALSE,TRUE),OR(EXACT(Metadata!G437,"TRUE"),EXACT(Metadata!G437,"FALSE"))))</f>
        <v>0</v>
      </c>
      <c r="AU437" t="b">
        <f>OR(AND(IF(Metadata!H437="",FALSE,TRUE),OR(EXACT(Metadata!H437,"not collected"),EXACT(Metadata!H437,"not provided"),EXACT(Metadata!H437,"restricted access"))),AND(IF(Metadata!H437="",FALSE,ISNUMBER(VALUE(Metadata!H437))),Metadata!H437&gt;=-413))</f>
        <v>0</v>
      </c>
      <c r="AV437" t="b">
        <f>AND(IF(Metadata!I437="",FALSE,TRUE),EXACT(Metadata!I437,"meters"))</f>
        <v>0</v>
      </c>
      <c r="AW437" t="b">
        <f>AND(IF(Metadata!J437="",FALSE,TRUE),EXACT(Metadata!J437,"free-living"))</f>
        <v>0</v>
      </c>
      <c r="AX437" t="b">
        <f>AND(IF(Metadata!K437="",FALSE,TRUE),OR(EXACT(Metadata!K437,"saline"),EXACT(Metadata!K437,"non-saline")))</f>
        <v>0</v>
      </c>
      <c r="AY437" t="b">
        <f>AND(IF(Metadata!L437="",FALSE,TRUE),OR(EXACT(Metadata!L437,"sub-surface (non-saline)"),EXACT(Metadata!L437,"surface (non-saline)"),EXACT(Metadata!L437,"water (non-saline)"),EXACT(Metadata!L437,"soil (non-saline)"),EXACT(Metadata!L437,"aerosol (non-saline)"),EXACT(Metadata!L437,"sediment (non-saline)"),EXACT(Metadata!L437,"surface (saline)"),EXACT(Metadata!L437,"water (saline)"),EXACT(Metadata!L437,"hypersaline (saline)"),EXACT(Metadata!L437,"aerosol (saline)"),EXACT(Metadata!L437,"sediment (saline)")))</f>
        <v>0</v>
      </c>
      <c r="AZ437" t="b">
        <f>IF(Metadata!M437="",FALSE,TRUE)</f>
        <v>0</v>
      </c>
      <c r="BA437" t="b">
        <f>IF(Metadata!N437="",FALSE,TRUE)</f>
        <v>0</v>
      </c>
      <c r="BB437" t="b">
        <f>IF(Metadata!O437="",FALSE,TRUE)</f>
        <v>0</v>
      </c>
      <c r="BC437" t="b">
        <f>AND(IF(Metadata!P437="",FALSE,TRUE),OR(EXACT(Metadata!P437,"air"),EXACT(Metadata!P437,"microbial mat/biofilm"),EXACT(Metadata!P437,"misc environment"),EXACT(Metadata!P437,"sediment"),EXACT(Metadata!P437,"soil"),EXACT(Metadata!P437,"wastewater/sludge"),EXACT(Metadata!P437,"water")))</f>
        <v>0</v>
      </c>
      <c r="BD437" t="b">
        <f>IF(Metadata!Q437="",FALSE,TRUE)</f>
        <v>0</v>
      </c>
      <c r="BE437" t="b">
        <f>IF(Metadata!R437="",FALSE,TRUE)</f>
        <v>0</v>
      </c>
      <c r="BF437" t="b">
        <f>OR(AND(IF(Metadata!S437="",FALSE,TRUE),OR(EXACT(Metadata!S437,"not collected"),EXACT(Metadata!S437,"not provided"),EXACT(Metadata!S437,"restricted access"))),AND(IF(Metadata!S437="",FALSE,ISNUMBER(VALUE(Metadata!S437))),Metadata!S437&gt;=-90,Metadata!S437&lt;=90))</f>
        <v>0</v>
      </c>
      <c r="BG437" t="b">
        <f>AND(IF(Metadata!T437="",FALSE,TRUE),EXACT(Metadata!T437,"Decimal degrees"))</f>
        <v>0</v>
      </c>
      <c r="BH437" t="b">
        <f>OR(AND(IF(Metadata!U437="",FALSE,TRUE),OR(EXACT(Metadata!U437,"not applicable"),EXACT(Metadata!U437,"not collected"))),IF(Metadata!U437="",FALSE,TRUE))</f>
        <v>0</v>
      </c>
      <c r="BI437" t="b">
        <f>OR(AND(IF(Metadata!V437="",FALSE,TRUE),OR(EXACT(Metadata!V437,"not collected"),EXACT(Metadata!V437,"not provided"),EXACT(Metadata!V437,"restricted access"))),AND(IF(Metadata!V437="",FALSE,ISNUMBER(VALUE(Metadata!V437))),Metadata!V437&gt;=-180,Metadata!V437&lt;=180))</f>
        <v>0</v>
      </c>
      <c r="BJ437" t="b">
        <f>AND(IF(Metadata!W437="",FALSE,TRUE),EXACT(Metadata!W437,"Decimal degrees"))</f>
        <v>0</v>
      </c>
      <c r="BK437" t="b">
        <f>IF(Metadata!X437="",FALSE,TRUE)</f>
        <v>0</v>
      </c>
      <c r="BL437" t="b">
        <f>OR(AND(IF(Metadata!Y437="",FALSE,TRUE),OR(EXACT(Metadata!Y437,"not collected"),EXACT(Metadata!Y437,"not provided"),EXACT(Metadata!Y437,"restricted access"))),AND(IF(Metadata!Y437="",FALSE,TRUE),OR(EXACT(Metadata!Y437,"TRUE"),EXACT(Metadata!Y437,"FALSE"))))</f>
        <v>0</v>
      </c>
      <c r="BM437" t="b">
        <f>OR(AND(IF(Metadata!Z437="",FALSE,TRUE),EXACT(Metadata!Z437,"not applicable")),AND(IF(Metadata!Z437="",FALSE,TRUE),OR(EXACT(Metadata!Z437,"beer"),EXACT(Metadata!Z437,"cheese"),EXACT(Metadata!Z437,"fresh water"),EXACT(Metadata!Z437,"marine sediment"),EXACT(Metadata!Z437,"sea water"),EXACT(Metadata!Z437,"sediment"),EXACT(Metadata!Z437,"soil"),EXACT(Metadata!Z437,"waste water"))))</f>
        <v>0</v>
      </c>
      <c r="BN437" t="b">
        <f>AND(IF(Metadata!AA437="",FALSE,TRUE),EXACT(Metadata!AA437,"metagenome"))</f>
        <v>0</v>
      </c>
      <c r="BO437" t="b">
        <f>AND(IF(Metadata!AB437="",FALSE,TRUE),EXACT(Metadata!AB437,"256318"))</f>
        <v>0</v>
      </c>
      <c r="BP437" t="b">
        <f>IF(Metadata!AC437="",FALSE,TRUE)</f>
        <v>0</v>
      </c>
      <c r="BQ437" t="b">
        <f>IF(Metadata!AD437="",FALSE,TRUE)</f>
        <v>0</v>
      </c>
    </row>
    <row r="438" spans="1:69" x14ac:dyDescent="0.2">
      <c r="A438" s="4" t="e">
        <f ca="1">IF(B438=" "," ",HYPERLINK(CONCATENATE("#metadata!",ADDRESS(INDEX($AJ$2:$AJ$1001,MATCH(ROWS($AH$2:AH438),$AH$2:$AH$1001,0),0),2)),INDEX($AM$2:$AM$1001,MATCH(ROWS($AH$2:AH438),$AH$2:$AH$1001,0),0)))</f>
        <v>#N/A</v>
      </c>
      <c r="B438" s="5" t="e">
        <f ca="1">IF(OR(INDEX($AI$2:$AI$1001,MATCH(ROWS($AH$2:AH438),$AH$2:$AH$1001,0),1)&gt;=100000,INDEX($AO$1005:$BQ$1005,1,MATCH(COLUMNS($AO$1006:AO1006),$AO$1006:$BQ$1006,0))&gt;=100000), " ",IF(INDEX($AO$2:$BQ$1001,MATCH(ROWS($AH$2:AH438),$AH$2:$AH$1001,0),MATCH(COLUMNS($AO$1006:AO1006),$AO$1006:$BQ$1006,0)), HYPERLINK("#",""), HYPERLINK(CONCATENATE("#Metadata!", ADDRESS(INDEX($AJ$2:$AJ$1001,MATCH(ROWS($AH$2:AH438),$AH$2:$AH$1001,0),0), INDEX($AO$1004:$BQ$1004,1,MATCH(COLUMNS($AO$1006:AO1006),$AO$1006:$BQ$1006,0)))),"Fix")))</f>
        <v>#N/A</v>
      </c>
      <c r="C438" s="5" t="e">
        <f ca="1">IF(OR(INDEX($AI$2:$AI$1001,MATCH(ROWS($AH$2:AH438),$AH$2:$AH$1001,0),1)&gt;=100000,INDEX($AO$1005:$BQ$1005,1,MATCH(COLUMNS($AO$1006:AP1006),$AO$1006:$BQ$1006,0))&gt;=100000), " ",IF(INDEX($AO$2:$BQ$1001,MATCH(ROWS($AH$2:AH438),$AH$2:$AH$1001,0),MATCH(COLUMNS($AO$1006:AP1006),$AO$1006:$BQ$1006,0)), HYPERLINK("#",""), HYPERLINK(CONCATENATE("#Metadata!", ADDRESS(INDEX($AJ$2:$AJ$1001,MATCH(ROWS($AH$2:AH438),$AH$2:$AH$1001,0),0), INDEX($AO$1004:$BQ$1004,1,MATCH(COLUMNS($AO$1006:AP1006),$AO$1006:$BQ$1006,0)))),"Fix")))</f>
        <v>#N/A</v>
      </c>
      <c r="D438" s="5" t="e">
        <f ca="1">IF(OR(INDEX($AI$2:$AI$1001,MATCH(ROWS($AH$2:AH438),$AH$2:$AH$1001,0),1)&gt;=100000,INDEX($AO$1005:$BQ$1005,1,MATCH(COLUMNS($AO$1006:AQ1006),$AO$1006:$BQ$1006,0))&gt;=100000), " ",IF(INDEX($AO$2:$BQ$1001,MATCH(ROWS($AH$2:AH438),$AH$2:$AH$1001,0),MATCH(COLUMNS($AO$1006:AQ1006),$AO$1006:$BQ$1006,0)), HYPERLINK("#",""), HYPERLINK(CONCATENATE("#Metadata!", ADDRESS(INDEX($AJ$2:$AJ$1001,MATCH(ROWS($AH$2:AH438),$AH$2:$AH$1001,0),0), INDEX($AO$1004:$BQ$1004,1,MATCH(COLUMNS($AO$1006:AQ1006),$AO$1006:$BQ$1006,0)))),"Fix")))</f>
        <v>#N/A</v>
      </c>
      <c r="E438" s="5" t="e">
        <f ca="1">IF(OR(INDEX($AI$2:$AI$1001,MATCH(ROWS($AH$2:AH438),$AH$2:$AH$1001,0),1)&gt;=100000,INDEX($AO$1005:$BQ$1005,1,MATCH(COLUMNS($AO$1006:AR1006),$AO$1006:$BQ$1006,0))&gt;=100000), " ",IF(INDEX($AO$2:$BQ$1001,MATCH(ROWS($AH$2:AH438),$AH$2:$AH$1001,0),MATCH(COLUMNS($AO$1006:AR1006),$AO$1006:$BQ$1006,0)), HYPERLINK("#",""), HYPERLINK(CONCATENATE("#Metadata!", ADDRESS(INDEX($AJ$2:$AJ$1001,MATCH(ROWS($AH$2:AH438),$AH$2:$AH$1001,0),0), INDEX($AO$1004:$BQ$1004,1,MATCH(COLUMNS($AO$1006:AR1006),$AO$1006:$BQ$1006,0)))),"Fix")))</f>
        <v>#N/A</v>
      </c>
      <c r="F438" s="5" t="e">
        <f ca="1">IF(OR(INDEX($AI$2:$AI$1001,MATCH(ROWS($AH$2:AH438),$AH$2:$AH$1001,0),1)&gt;=100000,INDEX($AO$1005:$BQ$1005,1,MATCH(COLUMNS($AO$1006:AS1006),$AO$1006:$BQ$1006,0))&gt;=100000), " ",IF(INDEX($AO$2:$BQ$1001,MATCH(ROWS($AH$2:AH438),$AH$2:$AH$1001,0),MATCH(COLUMNS($AO$1006:AS1006),$AO$1006:$BQ$1006,0)), HYPERLINK("#",""), HYPERLINK(CONCATENATE("#Metadata!", ADDRESS(INDEX($AJ$2:$AJ$1001,MATCH(ROWS($AH$2:AH438),$AH$2:$AH$1001,0),0), INDEX($AO$1004:$BQ$1004,1,MATCH(COLUMNS($AO$1006:AS1006),$AO$1006:$BQ$1006,0)))),"Fix")))</f>
        <v>#N/A</v>
      </c>
      <c r="G438" s="5" t="e">
        <f ca="1">IF(OR(INDEX($AI$2:$AI$1001,MATCH(ROWS($AH$2:AH438),$AH$2:$AH$1001,0),1)&gt;=100000,INDEX($AO$1005:$BQ$1005,1,MATCH(COLUMNS($AO$1006:AT1006),$AO$1006:$BQ$1006,0))&gt;=100000), " ",IF(INDEX($AO$2:$BQ$1001,MATCH(ROWS($AH$2:AH438),$AH$2:$AH$1001,0),MATCH(COLUMNS($AO$1006:AT1006),$AO$1006:$BQ$1006,0)), HYPERLINK("#",""), HYPERLINK(CONCATENATE("#Metadata!", ADDRESS(INDEX($AJ$2:$AJ$1001,MATCH(ROWS($AH$2:AH438),$AH$2:$AH$1001,0),0), INDEX($AO$1004:$BQ$1004,1,MATCH(COLUMNS($AO$1006:AT1006),$AO$1006:$BQ$1006,0)))),"Fix")))</f>
        <v>#N/A</v>
      </c>
      <c r="H438" s="5" t="e">
        <f ca="1">IF(OR(INDEX($AI$2:$AI$1001,MATCH(ROWS($AH$2:AH438),$AH$2:$AH$1001,0),1)&gt;=100000,INDEX($AO$1005:$BQ$1005,1,MATCH(COLUMNS($AO$1006:AU1006),$AO$1006:$BQ$1006,0))&gt;=100000), " ",IF(INDEX($AO$2:$BQ$1001,MATCH(ROWS($AH$2:AH438),$AH$2:$AH$1001,0),MATCH(COLUMNS($AO$1006:AU1006),$AO$1006:$BQ$1006,0)), HYPERLINK("#",""), HYPERLINK(CONCATENATE("#Metadata!", ADDRESS(INDEX($AJ$2:$AJ$1001,MATCH(ROWS($AH$2:AH438),$AH$2:$AH$1001,0),0), INDEX($AO$1004:$BQ$1004,1,MATCH(COLUMNS($AO$1006:AU1006),$AO$1006:$BQ$1006,0)))),"Fix")))</f>
        <v>#N/A</v>
      </c>
      <c r="I438" s="5" t="e">
        <f ca="1">IF(OR(INDEX($AI$2:$AI$1001,MATCH(ROWS($AH$2:AH438),$AH$2:$AH$1001,0),1)&gt;=100000,INDEX($AO$1005:$BQ$1005,1,MATCH(COLUMNS($AO$1006:AV1006),$AO$1006:$BQ$1006,0))&gt;=100000), " ",IF(INDEX($AO$2:$BQ$1001,MATCH(ROWS($AH$2:AH438),$AH$2:$AH$1001,0),MATCH(COLUMNS($AO$1006:AV1006),$AO$1006:$BQ$1006,0)), HYPERLINK("#",""), HYPERLINK(CONCATENATE("#Metadata!", ADDRESS(INDEX($AJ$2:$AJ$1001,MATCH(ROWS($AH$2:AH438),$AH$2:$AH$1001,0),0), INDEX($AO$1004:$BQ$1004,1,MATCH(COLUMNS($AO$1006:AV1006),$AO$1006:$BQ$1006,0)))),"Fix")))</f>
        <v>#N/A</v>
      </c>
      <c r="J438" s="5" t="e">
        <f ca="1">IF(OR(INDEX($AI$2:$AI$1001,MATCH(ROWS($AH$2:AH438),$AH$2:$AH$1001,0),1)&gt;=100000,INDEX($AO$1005:$BQ$1005,1,MATCH(COLUMNS($AO$1006:AW1006),$AO$1006:$BQ$1006,0))&gt;=100000), " ",IF(INDEX($AO$2:$BQ$1001,MATCH(ROWS($AH$2:AH438),$AH$2:$AH$1001,0),MATCH(COLUMNS($AO$1006:AW1006),$AO$1006:$BQ$1006,0)), HYPERLINK("#",""), HYPERLINK(CONCATENATE("#Metadata!", ADDRESS(INDEX($AJ$2:$AJ$1001,MATCH(ROWS($AH$2:AH438),$AH$2:$AH$1001,0),0), INDEX($AO$1004:$BQ$1004,1,MATCH(COLUMNS($AO$1006:AW1006),$AO$1006:$BQ$1006,0)))),"Fix")))</f>
        <v>#N/A</v>
      </c>
      <c r="K438" s="5" t="e">
        <f ca="1">IF(OR(INDEX($AI$2:$AI$1001,MATCH(ROWS($AH$2:AH438),$AH$2:$AH$1001,0),1)&gt;=100000,INDEX($AO$1005:$BQ$1005,1,MATCH(COLUMNS($AO$1006:AX1006),$AO$1006:$BQ$1006,0))&gt;=100000), " ",IF(INDEX($AO$2:$BQ$1001,MATCH(ROWS($AH$2:AH438),$AH$2:$AH$1001,0),MATCH(COLUMNS($AO$1006:AX1006),$AO$1006:$BQ$1006,0)), HYPERLINK("#",""), HYPERLINK(CONCATENATE("#Metadata!", ADDRESS(INDEX($AJ$2:$AJ$1001,MATCH(ROWS($AH$2:AH438),$AH$2:$AH$1001,0),0), INDEX($AO$1004:$BQ$1004,1,MATCH(COLUMNS($AO$1006:AX1006),$AO$1006:$BQ$1006,0)))),"Fix")))</f>
        <v>#N/A</v>
      </c>
      <c r="L438" s="5" t="e">
        <f ca="1">IF(OR(INDEX($AI$2:$AI$1001,MATCH(ROWS($AH$2:AH438),$AH$2:$AH$1001,0),1)&gt;=100000,INDEX($AO$1005:$BQ$1005,1,MATCH(COLUMNS($AO$1006:AY1006),$AO$1006:$BQ$1006,0))&gt;=100000), " ",IF(INDEX($AO$2:$BQ$1001,MATCH(ROWS($AH$2:AH438),$AH$2:$AH$1001,0),MATCH(COLUMNS($AO$1006:AY1006),$AO$1006:$BQ$1006,0)), HYPERLINK("#",""), HYPERLINK(CONCATENATE("#Metadata!", ADDRESS(INDEX($AJ$2:$AJ$1001,MATCH(ROWS($AH$2:AH438),$AH$2:$AH$1001,0),0), INDEX($AO$1004:$BQ$1004,1,MATCH(COLUMNS($AO$1006:AY1006),$AO$1006:$BQ$1006,0)))),"Fix")))</f>
        <v>#N/A</v>
      </c>
      <c r="M438" s="5" t="e">
        <f ca="1">IF(OR(INDEX($AI$2:$AI$1001,MATCH(ROWS($AH$2:AH438),$AH$2:$AH$1001,0),1)&gt;=100000,INDEX($AO$1005:$BQ$1005,1,MATCH(COLUMNS($AO$1006:AZ1006),$AO$1006:$BQ$1006,0))&gt;=100000), " ",IF(INDEX($AO$2:$BQ$1001,MATCH(ROWS($AH$2:AH438),$AH$2:$AH$1001,0),MATCH(COLUMNS($AO$1006:AZ1006),$AO$1006:$BQ$1006,0)), HYPERLINK("#",""), HYPERLINK(CONCATENATE("#Metadata!", ADDRESS(INDEX($AJ$2:$AJ$1001,MATCH(ROWS($AH$2:AH438),$AH$2:$AH$1001,0),0), INDEX($AO$1004:$BQ$1004,1,MATCH(COLUMNS($AO$1006:AZ1006),$AO$1006:$BQ$1006,0)))),"Fix")))</f>
        <v>#N/A</v>
      </c>
      <c r="N438" s="5" t="e">
        <f ca="1">IF(OR(INDEX($AI$2:$AI$1001,MATCH(ROWS($AH$2:AH438),$AH$2:$AH$1001,0),1)&gt;=100000,INDEX($AO$1005:$BQ$1005,1,MATCH(COLUMNS($AO$1006:BA1006),$AO$1006:$BQ$1006,0))&gt;=100000), " ",IF(INDEX($AO$2:$BQ$1001,MATCH(ROWS($AH$2:AH438),$AH$2:$AH$1001,0),MATCH(COLUMNS($AO$1006:BA1006),$AO$1006:$BQ$1006,0)), HYPERLINK("#",""), HYPERLINK(CONCATENATE("#Metadata!", ADDRESS(INDEX($AJ$2:$AJ$1001,MATCH(ROWS($AH$2:AH438),$AH$2:$AH$1001,0),0), INDEX($AO$1004:$BQ$1004,1,MATCH(COLUMNS($AO$1006:BA1006),$AO$1006:$BQ$1006,0)))),"Fix")))</f>
        <v>#N/A</v>
      </c>
      <c r="O438" s="5" t="e">
        <f ca="1">IF(OR(INDEX($AI$2:$AI$1001,MATCH(ROWS($AH$2:AH438),$AH$2:$AH$1001,0),1)&gt;=100000,INDEX($AO$1005:$BQ$1005,1,MATCH(COLUMNS($AO$1006:BB1006),$AO$1006:$BQ$1006,0))&gt;=100000), " ",IF(INDEX($AO$2:$BQ$1001,MATCH(ROWS($AH$2:AH438),$AH$2:$AH$1001,0),MATCH(COLUMNS($AO$1006:BB1006),$AO$1006:$BQ$1006,0)), HYPERLINK("#",""), HYPERLINK(CONCATENATE("#Metadata!", ADDRESS(INDEX($AJ$2:$AJ$1001,MATCH(ROWS($AH$2:AH438),$AH$2:$AH$1001,0),0), INDEX($AO$1004:$BQ$1004,1,MATCH(COLUMNS($AO$1006:BB1006),$AO$1006:$BQ$1006,0)))),"Fix")))</f>
        <v>#N/A</v>
      </c>
      <c r="P438" s="5" t="e">
        <f ca="1">IF(OR(INDEX($AI$2:$AI$1001,MATCH(ROWS($AH$2:AH438),$AH$2:$AH$1001,0),1)&gt;=100000,INDEX($AO$1005:$BQ$1005,1,MATCH(COLUMNS($AO$1006:BC1006),$AO$1006:$BQ$1006,0))&gt;=100000), " ",IF(INDEX($AO$2:$BQ$1001,MATCH(ROWS($AH$2:AH438),$AH$2:$AH$1001,0),MATCH(COLUMNS($AO$1006:BC1006),$AO$1006:$BQ$1006,0)), HYPERLINK("#",""), HYPERLINK(CONCATENATE("#Metadata!", ADDRESS(INDEX($AJ$2:$AJ$1001,MATCH(ROWS($AH$2:AH438),$AH$2:$AH$1001,0),0), INDEX($AO$1004:$BQ$1004,1,MATCH(COLUMNS($AO$1006:BC1006),$AO$1006:$BQ$1006,0)))),"Fix")))</f>
        <v>#N/A</v>
      </c>
      <c r="Q438" s="5" t="e">
        <f ca="1">IF(OR(INDEX($AI$2:$AI$1001,MATCH(ROWS($AH$2:AH438),$AH$2:$AH$1001,0),1)&gt;=100000,INDEX($AO$1005:$BQ$1005,1,MATCH(COLUMNS($AO$1006:BD1006),$AO$1006:$BQ$1006,0))&gt;=100000), " ",IF(INDEX($AO$2:$BQ$1001,MATCH(ROWS($AH$2:AH438),$AH$2:$AH$1001,0),MATCH(COLUMNS($AO$1006:BD1006),$AO$1006:$BQ$1006,0)), HYPERLINK("#",""), HYPERLINK(CONCATENATE("#Metadata!", ADDRESS(INDEX($AJ$2:$AJ$1001,MATCH(ROWS($AH$2:AH438),$AH$2:$AH$1001,0),0), INDEX($AO$1004:$BQ$1004,1,MATCH(COLUMNS($AO$1006:BD1006),$AO$1006:$BQ$1006,0)))),"Fix")))</f>
        <v>#N/A</v>
      </c>
      <c r="R438" s="5" t="e">
        <f ca="1">IF(OR(INDEX($AI$2:$AI$1001,MATCH(ROWS($AH$2:AH438),$AH$2:$AH$1001,0),1)&gt;=100000,INDEX($AO$1005:$BQ$1005,1,MATCH(COLUMNS($AO$1006:BE1006),$AO$1006:$BQ$1006,0))&gt;=100000), " ",IF(INDEX($AO$2:$BQ$1001,MATCH(ROWS($AH$2:AH438),$AH$2:$AH$1001,0),MATCH(COLUMNS($AO$1006:BE1006),$AO$1006:$BQ$1006,0)), HYPERLINK("#",""), HYPERLINK(CONCATENATE("#Metadata!", ADDRESS(INDEX($AJ$2:$AJ$1001,MATCH(ROWS($AH$2:AH438),$AH$2:$AH$1001,0),0), INDEX($AO$1004:$BQ$1004,1,MATCH(COLUMNS($AO$1006:BE1006),$AO$1006:$BQ$1006,0)))),"Fix")))</f>
        <v>#N/A</v>
      </c>
      <c r="S438" s="5" t="e">
        <f ca="1">IF(OR(INDEX($AI$2:$AI$1001,MATCH(ROWS($AH$2:AH438),$AH$2:$AH$1001,0),1)&gt;=100000,INDEX($AO$1005:$BQ$1005,1,MATCH(COLUMNS($AO$1006:BF1006),$AO$1006:$BQ$1006,0))&gt;=100000), " ",IF(INDEX($AO$2:$BQ$1001,MATCH(ROWS($AH$2:AH438),$AH$2:$AH$1001,0),MATCH(COLUMNS($AO$1006:BF1006),$AO$1006:$BQ$1006,0)), HYPERLINK("#",""), HYPERLINK(CONCATENATE("#Metadata!", ADDRESS(INDEX($AJ$2:$AJ$1001,MATCH(ROWS($AH$2:AH438),$AH$2:$AH$1001,0),0), INDEX($AO$1004:$BQ$1004,1,MATCH(COLUMNS($AO$1006:BF1006),$AO$1006:$BQ$1006,0)))),"Fix")))</f>
        <v>#N/A</v>
      </c>
      <c r="T438" s="5" t="e">
        <f ca="1">IF(OR(INDEX($AI$2:$AI$1001,MATCH(ROWS($AH$2:AH438),$AH$2:$AH$1001,0),1)&gt;=100000,INDEX($AO$1005:$BQ$1005,1,MATCH(COLUMNS($AO$1006:BG1006),$AO$1006:$BQ$1006,0))&gt;=100000), " ",IF(INDEX($AO$2:$BQ$1001,MATCH(ROWS($AH$2:AH438),$AH$2:$AH$1001,0),MATCH(COLUMNS($AO$1006:BG1006),$AO$1006:$BQ$1006,0)), HYPERLINK("#",""), HYPERLINK(CONCATENATE("#Metadata!", ADDRESS(INDEX($AJ$2:$AJ$1001,MATCH(ROWS($AH$2:AH438),$AH$2:$AH$1001,0),0), INDEX($AO$1004:$BQ$1004,1,MATCH(COLUMNS($AO$1006:BG1006),$AO$1006:$BQ$1006,0)))),"Fix")))</f>
        <v>#N/A</v>
      </c>
      <c r="U438" s="5" t="e">
        <f ca="1">IF(OR(INDEX($AI$2:$AI$1001,MATCH(ROWS($AH$2:AH438),$AH$2:$AH$1001,0),1)&gt;=100000,INDEX($AO$1005:$BQ$1005,1,MATCH(COLUMNS($AO$1006:BH1006),$AO$1006:$BQ$1006,0))&gt;=100000), " ",IF(INDEX($AO$2:$BQ$1001,MATCH(ROWS($AH$2:AH438),$AH$2:$AH$1001,0),MATCH(COLUMNS($AO$1006:BH1006),$AO$1006:$BQ$1006,0)), HYPERLINK("#",""), HYPERLINK(CONCATENATE("#Metadata!", ADDRESS(INDEX($AJ$2:$AJ$1001,MATCH(ROWS($AH$2:AH438),$AH$2:$AH$1001,0),0), INDEX($AO$1004:$BQ$1004,1,MATCH(COLUMNS($AO$1006:BH1006),$AO$1006:$BQ$1006,0)))),"Fix")))</f>
        <v>#N/A</v>
      </c>
      <c r="V438" s="5" t="e">
        <f ca="1">IF(OR(INDEX($AI$2:$AI$1001,MATCH(ROWS($AH$2:AH438),$AH$2:$AH$1001,0),1)&gt;=100000,INDEX($AO$1005:$BQ$1005,1,MATCH(COLUMNS($AO$1006:BI1006),$AO$1006:$BQ$1006,0))&gt;=100000), " ",IF(INDEX($AO$2:$BQ$1001,MATCH(ROWS($AH$2:AH438),$AH$2:$AH$1001,0),MATCH(COLUMNS($AO$1006:BI1006),$AO$1006:$BQ$1006,0)), HYPERLINK("#",""), HYPERLINK(CONCATENATE("#Metadata!", ADDRESS(INDEX($AJ$2:$AJ$1001,MATCH(ROWS($AH$2:AH438),$AH$2:$AH$1001,0),0), INDEX($AO$1004:$BQ$1004,1,MATCH(COLUMNS($AO$1006:BI1006),$AO$1006:$BQ$1006,0)))),"Fix")))</f>
        <v>#N/A</v>
      </c>
      <c r="W438" s="5" t="e">
        <f ca="1">IF(OR(INDEX($AI$2:$AI$1001,MATCH(ROWS($AH$2:AH438),$AH$2:$AH$1001,0),1)&gt;=100000,INDEX($AO$1005:$BQ$1005,1,MATCH(COLUMNS($AO$1006:BJ1006),$AO$1006:$BQ$1006,0))&gt;=100000), " ",IF(INDEX($AO$2:$BQ$1001,MATCH(ROWS($AH$2:AH438),$AH$2:$AH$1001,0),MATCH(COLUMNS($AO$1006:BJ1006),$AO$1006:$BQ$1006,0)), HYPERLINK("#",""), HYPERLINK(CONCATENATE("#Metadata!", ADDRESS(INDEX($AJ$2:$AJ$1001,MATCH(ROWS($AH$2:AH438),$AH$2:$AH$1001,0),0), INDEX($AO$1004:$BQ$1004,1,MATCH(COLUMNS($AO$1006:BJ1006),$AO$1006:$BQ$1006,0)))),"Fix")))</f>
        <v>#N/A</v>
      </c>
      <c r="X438" s="5" t="e">
        <f ca="1">IF(OR(INDEX($AI$2:$AI$1001,MATCH(ROWS($AH$2:AH438),$AH$2:$AH$1001,0),1)&gt;=100000,INDEX($AO$1005:$BQ$1005,1,MATCH(COLUMNS($AO$1006:BK1006),$AO$1006:$BQ$1006,0))&gt;=100000), " ",IF(INDEX($AO$2:$BQ$1001,MATCH(ROWS($AH$2:AH438),$AH$2:$AH$1001,0),MATCH(COLUMNS($AO$1006:BK1006),$AO$1006:$BQ$1006,0)), HYPERLINK("#",""), HYPERLINK(CONCATENATE("#Metadata!", ADDRESS(INDEX($AJ$2:$AJ$1001,MATCH(ROWS($AH$2:AH438),$AH$2:$AH$1001,0),0), INDEX($AO$1004:$BQ$1004,1,MATCH(COLUMNS($AO$1006:BK1006),$AO$1006:$BQ$1006,0)))),"Fix")))</f>
        <v>#N/A</v>
      </c>
      <c r="Y438" s="5" t="e">
        <f ca="1">IF(OR(INDEX($AI$2:$AI$1001,MATCH(ROWS($AH$2:AH438),$AH$2:$AH$1001,0),1)&gt;=100000,INDEX($AO$1005:$BQ$1005,1,MATCH(COLUMNS($AO$1006:BL1006),$AO$1006:$BQ$1006,0))&gt;=100000), " ",IF(INDEX($AO$2:$BQ$1001,MATCH(ROWS($AH$2:AH438),$AH$2:$AH$1001,0),MATCH(COLUMNS($AO$1006:BL1006),$AO$1006:$BQ$1006,0)), HYPERLINK("#",""), HYPERLINK(CONCATENATE("#Metadata!", ADDRESS(INDEX($AJ$2:$AJ$1001,MATCH(ROWS($AH$2:AH438),$AH$2:$AH$1001,0),0), INDEX($AO$1004:$BQ$1004,1,MATCH(COLUMNS($AO$1006:BL1006),$AO$1006:$BQ$1006,0)))),"Fix")))</f>
        <v>#N/A</v>
      </c>
      <c r="Z438" s="5" t="e">
        <f ca="1">IF(OR(INDEX($AI$2:$AI$1001,MATCH(ROWS($AH$2:AH438),$AH$2:$AH$1001,0),1)&gt;=100000,INDEX($AO$1005:$BQ$1005,1,MATCH(COLUMNS($AO$1006:BM1006),$AO$1006:$BQ$1006,0))&gt;=100000), " ",IF(INDEX($AO$2:$BQ$1001,MATCH(ROWS($AH$2:AH438),$AH$2:$AH$1001,0),MATCH(COLUMNS($AO$1006:BM1006),$AO$1006:$BQ$1006,0)), HYPERLINK("#",""), HYPERLINK(CONCATENATE("#Metadata!", ADDRESS(INDEX($AJ$2:$AJ$1001,MATCH(ROWS($AH$2:AH438),$AH$2:$AH$1001,0),0), INDEX($AO$1004:$BQ$1004,1,MATCH(COLUMNS($AO$1006:BM1006),$AO$1006:$BQ$1006,0)))),"Fix")))</f>
        <v>#N/A</v>
      </c>
      <c r="AA438" s="5" t="e">
        <f ca="1">IF(OR(INDEX($AI$2:$AI$1001,MATCH(ROWS($AH$2:AH438),$AH$2:$AH$1001,0),1)&gt;=100000,INDEX($AO$1005:$BQ$1005,1,MATCH(COLUMNS($AO$1006:BN1006),$AO$1006:$BQ$1006,0))&gt;=100000), " ",IF(INDEX($AO$2:$BQ$1001,MATCH(ROWS($AH$2:AH438),$AH$2:$AH$1001,0),MATCH(COLUMNS($AO$1006:BN1006),$AO$1006:$BQ$1006,0)), HYPERLINK("#",""), HYPERLINK(CONCATENATE("#Metadata!", ADDRESS(INDEX($AJ$2:$AJ$1001,MATCH(ROWS($AH$2:AH438),$AH$2:$AH$1001,0),0), INDEX($AO$1004:$BQ$1004,1,MATCH(COLUMNS($AO$1006:BN1006),$AO$1006:$BQ$1006,0)))),"Fix")))</f>
        <v>#N/A</v>
      </c>
      <c r="AB438" s="5" t="e">
        <f ca="1">IF(OR(INDEX($AI$2:$AI$1001,MATCH(ROWS($AH$2:AH438),$AH$2:$AH$1001,0),1)&gt;=100000,INDEX($AO$1005:$BQ$1005,1,MATCH(COLUMNS($AO$1006:BO1006),$AO$1006:$BQ$1006,0))&gt;=100000), " ",IF(INDEX($AO$2:$BQ$1001,MATCH(ROWS($AH$2:AH438),$AH$2:$AH$1001,0),MATCH(COLUMNS($AO$1006:BO1006),$AO$1006:$BQ$1006,0)), HYPERLINK("#",""), HYPERLINK(CONCATENATE("#Metadata!", ADDRESS(INDEX($AJ$2:$AJ$1001,MATCH(ROWS($AH$2:AH438),$AH$2:$AH$1001,0),0), INDEX($AO$1004:$BQ$1004,1,MATCH(COLUMNS($AO$1006:BO1006),$AO$1006:$BQ$1006,0)))),"Fix")))</f>
        <v>#N/A</v>
      </c>
      <c r="AC438" s="5" t="e">
        <f ca="1">IF(OR(INDEX($AI$2:$AI$1001,MATCH(ROWS($AH$2:AH438),$AH$2:$AH$1001,0),1)&gt;=100000,INDEX($AO$1005:$BQ$1005,1,MATCH(COLUMNS($AO$1006:BP1006),$AO$1006:$BQ$1006,0))&gt;=100000), " ",IF(INDEX($AO$2:$BQ$1001,MATCH(ROWS($AH$2:AH438),$AH$2:$AH$1001,0),MATCH(COLUMNS($AO$1006:BP1006),$AO$1006:$BQ$1006,0)), HYPERLINK("#",""), HYPERLINK(CONCATENATE("#Metadata!", ADDRESS(INDEX($AJ$2:$AJ$1001,MATCH(ROWS($AH$2:AH438),$AH$2:$AH$1001,0),0), INDEX($AO$1004:$BQ$1004,1,MATCH(COLUMNS($AO$1006:BP1006),$AO$1006:$BQ$1006,0)))),"Fix")))</f>
        <v>#N/A</v>
      </c>
      <c r="AD438" s="5" t="e">
        <f ca="1">IF(OR(INDEX($AI$2:$AI$1001,MATCH(ROWS($AH$2:AH438),$AH$2:$AH$1001,0),1)&gt;=100000,INDEX($AO$1005:$BQ$1005,1,MATCH(COLUMNS($AO$1006:BQ1006),$AO$1006:$BQ$1006,0))&gt;=100000), " ",IF(INDEX($AO$2:$BQ$1001,MATCH(ROWS($AH$2:AH438),$AH$2:$AH$1001,0),MATCH(COLUMNS($AO$1006:BQ1006),$AO$1006:$BQ$1006,0)), HYPERLINK("#",""), HYPERLINK(CONCATENATE("#Metadata!", ADDRESS(INDEX($AJ$2:$AJ$1001,MATCH(ROWS($AH$2:AH438),$AH$2:$AH$1001,0),0), INDEX($AO$1004:$BQ$1004,1,MATCH(COLUMNS($AO$1006:BQ1006),$AO$1006:$BQ$1006,0)))),"Fix")))</f>
        <v>#REF!</v>
      </c>
      <c r="AH438">
        <f ca="1"/>
        <v>435</v>
      </c>
      <c r="AI438">
        <v>100438</v>
      </c>
      <c r="AJ438">
        <v>438</v>
      </c>
      <c r="AK438" t="b">
        <f t="shared" si="6"/>
        <v>1</v>
      </c>
      <c r="AL438" t="b">
        <f>COUNTBLANK(Metadata!B438:AD438)=COLUMNS(Metadata!B438:AD438)</f>
        <v>1</v>
      </c>
      <c r="AM438" t="str">
        <v/>
      </c>
      <c r="AO438" t="b">
        <f ca="1">AND(IF(Metadata!B438="",FALSE,TRUE),COUNTIF(Metadata!B:B, Metadata!B438) = 1,NOT(ISERROR(SUMPRODUCT(SEARCH(MID(Metadata!B438,ROW(INDIRECT("1:"&amp;LEN(Metadata!B438))), 1),"0123456789abcdefghijklmnopqrstuvwxyzABCDEFGHIJKLMNOPQRSTUVWXYZ.")))))</f>
        <v>0</v>
      </c>
      <c r="AP438" t="b">
        <f>IF(Metadata!C438="",FALSE,TRUE)</f>
        <v>0</v>
      </c>
      <c r="AQ438" t="b">
        <f>IF(Metadata!D438="",FALSE,TRUE)</f>
        <v>0</v>
      </c>
      <c r="AR438" t="b">
        <f ca="1">OR(AND(IF(Metadata!E438="",FALSE,TRUE),OR(EXACT(Metadata!E438,"not collected"),EXACT(Metadata!E438,"not provided"),EXACT(Metadata!E438,"restricted access"))),AND(IF(Metadata!E438="",FALSE,TRUE),AND(AND(IFERROR(INT(LEFT(Metadata!E438,4))&gt;1900,FALSE),IFERROR(INT(LEFT(Metadata!E438,4))&lt;=YEAR(NOW()),FALSE)), OR(MID(Metadata!E438,5,1)="", AND(AND(MID(Metadata!E438,5,1)="-",IFERROR(INT(MID(Metadata!E438,6,1))&gt;=0,FALSE),IFERROR(INT(MID(Metadata!E438,6,1))&lt;=1,FALSE),NOT(MID(Metadata!E438,7,1)=""),IFERROR(INT(MID(Metadata!E438,6,2))&gt;=1,FALSE),IFERROR(INT(MID(Metadata!E438,6,2))&lt;=12,FALSE)), OR(MID(Metadata!E438,8,1)="", AND(AND(MID(Metadata!E438,8,1)="-",IFERROR(INT(MID(Metadata!E438,9,1))&gt;=0,FALSE),IFERROR(INT(MID(Metadata!E438,9,1))&lt;=3,FALSE),NOT(MID(Metadata!E438,10,1)=""),IFERROR(INT(MID(Metadata!E438,9,2))&gt;=1,FALSE),IFERROR(INT(MID(Metadata!E438,9,2))&lt;=31,FALSE)), OR(MID(Metadata!E438,11,1)="", AND(AND(MID(Metadata!E438,11,1)=" ",IFERROR(INT(MID(Metadata!E438,12,1))&gt;=0,FALSE),IFERROR(INT(MID(Metadata!E438,12,1))&lt;=2,FALSE),NOT(MID(Metadata!E438,13,1)=""),IFERROR(INT(MID(Metadata!E438,12,2))&gt;=0,FALSE),IFERROR(INT(MID(Metadata!E438,12,2))&lt;=23,FALSE)), OR(MID(Metadata!E438,14,1)="", AND(AND(MID(Metadata!E438,14,1)=":",IFERROR(INT(MID(Metadata!E438,15,1))&gt;=0,FALSE),IFERROR(INT(MID(Metadata!E438,15,1))&lt;=5,FALSE),NOT(MID(Metadata!E438,16,1)=""),IFERROR(INT(MID(Metadata!E438,15,2))&gt;=0,FALSE),IFERROR(INT(MID(Metadata!E438,15,2))&lt;=59,FALSE)), OR(MID(Metadata!E438,17,1)="", AND(AND(MID(Metadata!E438,17,1)=":",IFERROR(INT(MID(Metadata!E438,18,1))&gt;=0,FALSE),IFERROR(INT(MID(Metadata!E438,18,1))&lt;=5,FALSE),NOT(MID(Metadata!E438,19,1)=""),IFERROR(INT(MID(Metadata!E438,18,2))&gt;=0,FALSE),IFERROR(INT(MID(Metadata!E438,18,2))&lt;=59,FALSE)), LEN(Metadata!E438)&lt;=19)))))))))))))</f>
        <v>0</v>
      </c>
      <c r="AS438" t="b">
        <f>IF(Metadata!F438="",FALSE,TRUE)</f>
        <v>0</v>
      </c>
      <c r="AT438" t="b">
        <f>OR(AND(IF(Metadata!G438="",FALSE,TRUE),OR(EXACT(Metadata!G438,"not collected"),EXACT(Metadata!G438,"not provided"))),AND(IF(Metadata!G438="",FALSE,TRUE),OR(EXACT(Metadata!G438,"TRUE"),EXACT(Metadata!G438,"FALSE"))))</f>
        <v>0</v>
      </c>
      <c r="AU438" t="b">
        <f>OR(AND(IF(Metadata!H438="",FALSE,TRUE),OR(EXACT(Metadata!H438,"not collected"),EXACT(Metadata!H438,"not provided"),EXACT(Metadata!H438,"restricted access"))),AND(IF(Metadata!H438="",FALSE,ISNUMBER(VALUE(Metadata!H438))),Metadata!H438&gt;=-413))</f>
        <v>0</v>
      </c>
      <c r="AV438" t="b">
        <f>AND(IF(Metadata!I438="",FALSE,TRUE),EXACT(Metadata!I438,"meters"))</f>
        <v>0</v>
      </c>
      <c r="AW438" t="b">
        <f>AND(IF(Metadata!J438="",FALSE,TRUE),EXACT(Metadata!J438,"free-living"))</f>
        <v>0</v>
      </c>
      <c r="AX438" t="b">
        <f>AND(IF(Metadata!K438="",FALSE,TRUE),OR(EXACT(Metadata!K438,"saline"),EXACT(Metadata!K438,"non-saline")))</f>
        <v>0</v>
      </c>
      <c r="AY438" t="b">
        <f>AND(IF(Metadata!L438="",FALSE,TRUE),OR(EXACT(Metadata!L438,"sub-surface (non-saline)"),EXACT(Metadata!L438,"surface (non-saline)"),EXACT(Metadata!L438,"water (non-saline)"),EXACT(Metadata!L438,"soil (non-saline)"),EXACT(Metadata!L438,"aerosol (non-saline)"),EXACT(Metadata!L438,"sediment (non-saline)"),EXACT(Metadata!L438,"surface (saline)"),EXACT(Metadata!L438,"water (saline)"),EXACT(Metadata!L438,"hypersaline (saline)"),EXACT(Metadata!L438,"aerosol (saline)"),EXACT(Metadata!L438,"sediment (saline)")))</f>
        <v>0</v>
      </c>
      <c r="AZ438" t="b">
        <f>IF(Metadata!M438="",FALSE,TRUE)</f>
        <v>0</v>
      </c>
      <c r="BA438" t="b">
        <f>IF(Metadata!N438="",FALSE,TRUE)</f>
        <v>0</v>
      </c>
      <c r="BB438" t="b">
        <f>IF(Metadata!O438="",FALSE,TRUE)</f>
        <v>0</v>
      </c>
      <c r="BC438" t="b">
        <f>AND(IF(Metadata!P438="",FALSE,TRUE),OR(EXACT(Metadata!P438,"air"),EXACT(Metadata!P438,"microbial mat/biofilm"),EXACT(Metadata!P438,"misc environment"),EXACT(Metadata!P438,"sediment"),EXACT(Metadata!P438,"soil"),EXACT(Metadata!P438,"wastewater/sludge"),EXACT(Metadata!P438,"water")))</f>
        <v>0</v>
      </c>
      <c r="BD438" t="b">
        <f>IF(Metadata!Q438="",FALSE,TRUE)</f>
        <v>0</v>
      </c>
      <c r="BE438" t="b">
        <f>IF(Metadata!R438="",FALSE,TRUE)</f>
        <v>0</v>
      </c>
      <c r="BF438" t="b">
        <f>OR(AND(IF(Metadata!S438="",FALSE,TRUE),OR(EXACT(Metadata!S438,"not collected"),EXACT(Metadata!S438,"not provided"),EXACT(Metadata!S438,"restricted access"))),AND(IF(Metadata!S438="",FALSE,ISNUMBER(VALUE(Metadata!S438))),Metadata!S438&gt;=-90,Metadata!S438&lt;=90))</f>
        <v>0</v>
      </c>
      <c r="BG438" t="b">
        <f>AND(IF(Metadata!T438="",FALSE,TRUE),EXACT(Metadata!T438,"Decimal degrees"))</f>
        <v>0</v>
      </c>
      <c r="BH438" t="b">
        <f>OR(AND(IF(Metadata!U438="",FALSE,TRUE),OR(EXACT(Metadata!U438,"not applicable"),EXACT(Metadata!U438,"not collected"))),IF(Metadata!U438="",FALSE,TRUE))</f>
        <v>0</v>
      </c>
      <c r="BI438" t="b">
        <f>OR(AND(IF(Metadata!V438="",FALSE,TRUE),OR(EXACT(Metadata!V438,"not collected"),EXACT(Metadata!V438,"not provided"),EXACT(Metadata!V438,"restricted access"))),AND(IF(Metadata!V438="",FALSE,ISNUMBER(VALUE(Metadata!V438))),Metadata!V438&gt;=-180,Metadata!V438&lt;=180))</f>
        <v>0</v>
      </c>
      <c r="BJ438" t="b">
        <f>AND(IF(Metadata!W438="",FALSE,TRUE),EXACT(Metadata!W438,"Decimal degrees"))</f>
        <v>0</v>
      </c>
      <c r="BK438" t="b">
        <f>IF(Metadata!X438="",FALSE,TRUE)</f>
        <v>0</v>
      </c>
      <c r="BL438" t="b">
        <f>OR(AND(IF(Metadata!Y438="",FALSE,TRUE),OR(EXACT(Metadata!Y438,"not collected"),EXACT(Metadata!Y438,"not provided"),EXACT(Metadata!Y438,"restricted access"))),AND(IF(Metadata!Y438="",FALSE,TRUE),OR(EXACT(Metadata!Y438,"TRUE"),EXACT(Metadata!Y438,"FALSE"))))</f>
        <v>0</v>
      </c>
      <c r="BM438" t="b">
        <f>OR(AND(IF(Metadata!Z438="",FALSE,TRUE),EXACT(Metadata!Z438,"not applicable")),AND(IF(Metadata!Z438="",FALSE,TRUE),OR(EXACT(Metadata!Z438,"beer"),EXACT(Metadata!Z438,"cheese"),EXACT(Metadata!Z438,"fresh water"),EXACT(Metadata!Z438,"marine sediment"),EXACT(Metadata!Z438,"sea water"),EXACT(Metadata!Z438,"sediment"),EXACT(Metadata!Z438,"soil"),EXACT(Metadata!Z438,"waste water"))))</f>
        <v>0</v>
      </c>
      <c r="BN438" t="b">
        <f>AND(IF(Metadata!AA438="",FALSE,TRUE),EXACT(Metadata!AA438,"metagenome"))</f>
        <v>0</v>
      </c>
      <c r="BO438" t="b">
        <f>AND(IF(Metadata!AB438="",FALSE,TRUE),EXACT(Metadata!AB438,"256318"))</f>
        <v>0</v>
      </c>
      <c r="BP438" t="b">
        <f>IF(Metadata!AC438="",FALSE,TRUE)</f>
        <v>0</v>
      </c>
      <c r="BQ438" t="b">
        <f>IF(Metadata!AD438="",FALSE,TRUE)</f>
        <v>0</v>
      </c>
    </row>
    <row r="439" spans="1:69" x14ac:dyDescent="0.2">
      <c r="A439" s="4" t="e">
        <f ca="1">IF(B439=" "," ",HYPERLINK(CONCATENATE("#metadata!",ADDRESS(INDEX($AJ$2:$AJ$1001,MATCH(ROWS($AH$2:AH439),$AH$2:$AH$1001,0),0),2)),INDEX($AM$2:$AM$1001,MATCH(ROWS($AH$2:AH439),$AH$2:$AH$1001,0),0)))</f>
        <v>#N/A</v>
      </c>
      <c r="B439" s="5" t="e">
        <f ca="1">IF(OR(INDEX($AI$2:$AI$1001,MATCH(ROWS($AH$2:AH439),$AH$2:$AH$1001,0),1)&gt;=100000,INDEX($AO$1005:$BQ$1005,1,MATCH(COLUMNS($AO$1006:AO1006),$AO$1006:$BQ$1006,0))&gt;=100000), " ",IF(INDEX($AO$2:$BQ$1001,MATCH(ROWS($AH$2:AH439),$AH$2:$AH$1001,0),MATCH(COLUMNS($AO$1006:AO1006),$AO$1006:$BQ$1006,0)), HYPERLINK("#",""), HYPERLINK(CONCATENATE("#Metadata!", ADDRESS(INDEX($AJ$2:$AJ$1001,MATCH(ROWS($AH$2:AH439),$AH$2:$AH$1001,0),0), INDEX($AO$1004:$BQ$1004,1,MATCH(COLUMNS($AO$1006:AO1006),$AO$1006:$BQ$1006,0)))),"Fix")))</f>
        <v>#N/A</v>
      </c>
      <c r="C439" s="5" t="e">
        <f ca="1">IF(OR(INDEX($AI$2:$AI$1001,MATCH(ROWS($AH$2:AH439),$AH$2:$AH$1001,0),1)&gt;=100000,INDEX($AO$1005:$BQ$1005,1,MATCH(COLUMNS($AO$1006:AP1006),$AO$1006:$BQ$1006,0))&gt;=100000), " ",IF(INDEX($AO$2:$BQ$1001,MATCH(ROWS($AH$2:AH439),$AH$2:$AH$1001,0),MATCH(COLUMNS($AO$1006:AP1006),$AO$1006:$BQ$1006,0)), HYPERLINK("#",""), HYPERLINK(CONCATENATE("#Metadata!", ADDRESS(INDEX($AJ$2:$AJ$1001,MATCH(ROWS($AH$2:AH439),$AH$2:$AH$1001,0),0), INDEX($AO$1004:$BQ$1004,1,MATCH(COLUMNS($AO$1006:AP1006),$AO$1006:$BQ$1006,0)))),"Fix")))</f>
        <v>#N/A</v>
      </c>
      <c r="D439" s="5" t="e">
        <f ca="1">IF(OR(INDEX($AI$2:$AI$1001,MATCH(ROWS($AH$2:AH439),$AH$2:$AH$1001,0),1)&gt;=100000,INDEX($AO$1005:$BQ$1005,1,MATCH(COLUMNS($AO$1006:AQ1006),$AO$1006:$BQ$1006,0))&gt;=100000), " ",IF(INDEX($AO$2:$BQ$1001,MATCH(ROWS($AH$2:AH439),$AH$2:$AH$1001,0),MATCH(COLUMNS($AO$1006:AQ1006),$AO$1006:$BQ$1006,0)), HYPERLINK("#",""), HYPERLINK(CONCATENATE("#Metadata!", ADDRESS(INDEX($AJ$2:$AJ$1001,MATCH(ROWS($AH$2:AH439),$AH$2:$AH$1001,0),0), INDEX($AO$1004:$BQ$1004,1,MATCH(COLUMNS($AO$1006:AQ1006),$AO$1006:$BQ$1006,0)))),"Fix")))</f>
        <v>#N/A</v>
      </c>
      <c r="E439" s="5" t="e">
        <f ca="1">IF(OR(INDEX($AI$2:$AI$1001,MATCH(ROWS($AH$2:AH439),$AH$2:$AH$1001,0),1)&gt;=100000,INDEX($AO$1005:$BQ$1005,1,MATCH(COLUMNS($AO$1006:AR1006),$AO$1006:$BQ$1006,0))&gt;=100000), " ",IF(INDEX($AO$2:$BQ$1001,MATCH(ROWS($AH$2:AH439),$AH$2:$AH$1001,0),MATCH(COLUMNS($AO$1006:AR1006),$AO$1006:$BQ$1006,0)), HYPERLINK("#",""), HYPERLINK(CONCATENATE("#Metadata!", ADDRESS(INDEX($AJ$2:$AJ$1001,MATCH(ROWS($AH$2:AH439),$AH$2:$AH$1001,0),0), INDEX($AO$1004:$BQ$1004,1,MATCH(COLUMNS($AO$1006:AR1006),$AO$1006:$BQ$1006,0)))),"Fix")))</f>
        <v>#N/A</v>
      </c>
      <c r="F439" s="5" t="e">
        <f ca="1">IF(OR(INDEX($AI$2:$AI$1001,MATCH(ROWS($AH$2:AH439),$AH$2:$AH$1001,0),1)&gt;=100000,INDEX($AO$1005:$BQ$1005,1,MATCH(COLUMNS($AO$1006:AS1006),$AO$1006:$BQ$1006,0))&gt;=100000), " ",IF(INDEX($AO$2:$BQ$1001,MATCH(ROWS($AH$2:AH439),$AH$2:$AH$1001,0),MATCH(COLUMNS($AO$1006:AS1006),$AO$1006:$BQ$1006,0)), HYPERLINK("#",""), HYPERLINK(CONCATENATE("#Metadata!", ADDRESS(INDEX($AJ$2:$AJ$1001,MATCH(ROWS($AH$2:AH439),$AH$2:$AH$1001,0),0), INDEX($AO$1004:$BQ$1004,1,MATCH(COLUMNS($AO$1006:AS1006),$AO$1006:$BQ$1006,0)))),"Fix")))</f>
        <v>#N/A</v>
      </c>
      <c r="G439" s="5" t="e">
        <f ca="1">IF(OR(INDEX($AI$2:$AI$1001,MATCH(ROWS($AH$2:AH439),$AH$2:$AH$1001,0),1)&gt;=100000,INDEX($AO$1005:$BQ$1005,1,MATCH(COLUMNS($AO$1006:AT1006),$AO$1006:$BQ$1006,0))&gt;=100000), " ",IF(INDEX($AO$2:$BQ$1001,MATCH(ROWS($AH$2:AH439),$AH$2:$AH$1001,0),MATCH(COLUMNS($AO$1006:AT1006),$AO$1006:$BQ$1006,0)), HYPERLINK("#",""), HYPERLINK(CONCATENATE("#Metadata!", ADDRESS(INDEX($AJ$2:$AJ$1001,MATCH(ROWS($AH$2:AH439),$AH$2:$AH$1001,0),0), INDEX($AO$1004:$BQ$1004,1,MATCH(COLUMNS($AO$1006:AT1006),$AO$1006:$BQ$1006,0)))),"Fix")))</f>
        <v>#N/A</v>
      </c>
      <c r="H439" s="5" t="e">
        <f ca="1">IF(OR(INDEX($AI$2:$AI$1001,MATCH(ROWS($AH$2:AH439),$AH$2:$AH$1001,0),1)&gt;=100000,INDEX($AO$1005:$BQ$1005,1,MATCH(COLUMNS($AO$1006:AU1006),$AO$1006:$BQ$1006,0))&gt;=100000), " ",IF(INDEX($AO$2:$BQ$1001,MATCH(ROWS($AH$2:AH439),$AH$2:$AH$1001,0),MATCH(COLUMNS($AO$1006:AU1006),$AO$1006:$BQ$1006,0)), HYPERLINK("#",""), HYPERLINK(CONCATENATE("#Metadata!", ADDRESS(INDEX($AJ$2:$AJ$1001,MATCH(ROWS($AH$2:AH439),$AH$2:$AH$1001,0),0), INDEX($AO$1004:$BQ$1004,1,MATCH(COLUMNS($AO$1006:AU1006),$AO$1006:$BQ$1006,0)))),"Fix")))</f>
        <v>#N/A</v>
      </c>
      <c r="I439" s="5" t="e">
        <f ca="1">IF(OR(INDEX($AI$2:$AI$1001,MATCH(ROWS($AH$2:AH439),$AH$2:$AH$1001,0),1)&gt;=100000,INDEX($AO$1005:$BQ$1005,1,MATCH(COLUMNS($AO$1006:AV1006),$AO$1006:$BQ$1006,0))&gt;=100000), " ",IF(INDEX($AO$2:$BQ$1001,MATCH(ROWS($AH$2:AH439),$AH$2:$AH$1001,0),MATCH(COLUMNS($AO$1006:AV1006),$AO$1006:$BQ$1006,0)), HYPERLINK("#",""), HYPERLINK(CONCATENATE("#Metadata!", ADDRESS(INDEX($AJ$2:$AJ$1001,MATCH(ROWS($AH$2:AH439),$AH$2:$AH$1001,0),0), INDEX($AO$1004:$BQ$1004,1,MATCH(COLUMNS($AO$1006:AV1006),$AO$1006:$BQ$1006,0)))),"Fix")))</f>
        <v>#N/A</v>
      </c>
      <c r="J439" s="5" t="e">
        <f ca="1">IF(OR(INDEX($AI$2:$AI$1001,MATCH(ROWS($AH$2:AH439),$AH$2:$AH$1001,0),1)&gt;=100000,INDEX($AO$1005:$BQ$1005,1,MATCH(COLUMNS($AO$1006:AW1006),$AO$1006:$BQ$1006,0))&gt;=100000), " ",IF(INDEX($AO$2:$BQ$1001,MATCH(ROWS($AH$2:AH439),$AH$2:$AH$1001,0),MATCH(COLUMNS($AO$1006:AW1006),$AO$1006:$BQ$1006,0)), HYPERLINK("#",""), HYPERLINK(CONCATENATE("#Metadata!", ADDRESS(INDEX($AJ$2:$AJ$1001,MATCH(ROWS($AH$2:AH439),$AH$2:$AH$1001,0),0), INDEX($AO$1004:$BQ$1004,1,MATCH(COLUMNS($AO$1006:AW1006),$AO$1006:$BQ$1006,0)))),"Fix")))</f>
        <v>#N/A</v>
      </c>
      <c r="K439" s="5" t="e">
        <f ca="1">IF(OR(INDEX($AI$2:$AI$1001,MATCH(ROWS($AH$2:AH439),$AH$2:$AH$1001,0),1)&gt;=100000,INDEX($AO$1005:$BQ$1005,1,MATCH(COLUMNS($AO$1006:AX1006),$AO$1006:$BQ$1006,0))&gt;=100000), " ",IF(INDEX($AO$2:$BQ$1001,MATCH(ROWS($AH$2:AH439),$AH$2:$AH$1001,0),MATCH(COLUMNS($AO$1006:AX1006),$AO$1006:$BQ$1006,0)), HYPERLINK("#",""), HYPERLINK(CONCATENATE("#Metadata!", ADDRESS(INDEX($AJ$2:$AJ$1001,MATCH(ROWS($AH$2:AH439),$AH$2:$AH$1001,0),0), INDEX($AO$1004:$BQ$1004,1,MATCH(COLUMNS($AO$1006:AX1006),$AO$1006:$BQ$1006,0)))),"Fix")))</f>
        <v>#N/A</v>
      </c>
      <c r="L439" s="5" t="e">
        <f ca="1">IF(OR(INDEX($AI$2:$AI$1001,MATCH(ROWS($AH$2:AH439),$AH$2:$AH$1001,0),1)&gt;=100000,INDEX($AO$1005:$BQ$1005,1,MATCH(COLUMNS($AO$1006:AY1006),$AO$1006:$BQ$1006,0))&gt;=100000), " ",IF(INDEX($AO$2:$BQ$1001,MATCH(ROWS($AH$2:AH439),$AH$2:$AH$1001,0),MATCH(COLUMNS($AO$1006:AY1006),$AO$1006:$BQ$1006,0)), HYPERLINK("#",""), HYPERLINK(CONCATENATE("#Metadata!", ADDRESS(INDEX($AJ$2:$AJ$1001,MATCH(ROWS($AH$2:AH439),$AH$2:$AH$1001,0),0), INDEX($AO$1004:$BQ$1004,1,MATCH(COLUMNS($AO$1006:AY1006),$AO$1006:$BQ$1006,0)))),"Fix")))</f>
        <v>#N/A</v>
      </c>
      <c r="M439" s="5" t="e">
        <f ca="1">IF(OR(INDEX($AI$2:$AI$1001,MATCH(ROWS($AH$2:AH439),$AH$2:$AH$1001,0),1)&gt;=100000,INDEX($AO$1005:$BQ$1005,1,MATCH(COLUMNS($AO$1006:AZ1006),$AO$1006:$BQ$1006,0))&gt;=100000), " ",IF(INDEX($AO$2:$BQ$1001,MATCH(ROWS($AH$2:AH439),$AH$2:$AH$1001,0),MATCH(COLUMNS($AO$1006:AZ1006),$AO$1006:$BQ$1006,0)), HYPERLINK("#",""), HYPERLINK(CONCATENATE("#Metadata!", ADDRESS(INDEX($AJ$2:$AJ$1001,MATCH(ROWS($AH$2:AH439),$AH$2:$AH$1001,0),0), INDEX($AO$1004:$BQ$1004,1,MATCH(COLUMNS($AO$1006:AZ1006),$AO$1006:$BQ$1006,0)))),"Fix")))</f>
        <v>#N/A</v>
      </c>
      <c r="N439" s="5" t="e">
        <f ca="1">IF(OR(INDEX($AI$2:$AI$1001,MATCH(ROWS($AH$2:AH439),$AH$2:$AH$1001,0),1)&gt;=100000,INDEX($AO$1005:$BQ$1005,1,MATCH(COLUMNS($AO$1006:BA1006),$AO$1006:$BQ$1006,0))&gt;=100000), " ",IF(INDEX($AO$2:$BQ$1001,MATCH(ROWS($AH$2:AH439),$AH$2:$AH$1001,0),MATCH(COLUMNS($AO$1006:BA1006),$AO$1006:$BQ$1006,0)), HYPERLINK("#",""), HYPERLINK(CONCATENATE("#Metadata!", ADDRESS(INDEX($AJ$2:$AJ$1001,MATCH(ROWS($AH$2:AH439),$AH$2:$AH$1001,0),0), INDEX($AO$1004:$BQ$1004,1,MATCH(COLUMNS($AO$1006:BA1006),$AO$1006:$BQ$1006,0)))),"Fix")))</f>
        <v>#N/A</v>
      </c>
      <c r="O439" s="5" t="e">
        <f ca="1">IF(OR(INDEX($AI$2:$AI$1001,MATCH(ROWS($AH$2:AH439),$AH$2:$AH$1001,0),1)&gt;=100000,INDEX($AO$1005:$BQ$1005,1,MATCH(COLUMNS($AO$1006:BB1006),$AO$1006:$BQ$1006,0))&gt;=100000), " ",IF(INDEX($AO$2:$BQ$1001,MATCH(ROWS($AH$2:AH439),$AH$2:$AH$1001,0),MATCH(COLUMNS($AO$1006:BB1006),$AO$1006:$BQ$1006,0)), HYPERLINK("#",""), HYPERLINK(CONCATENATE("#Metadata!", ADDRESS(INDEX($AJ$2:$AJ$1001,MATCH(ROWS($AH$2:AH439),$AH$2:$AH$1001,0),0), INDEX($AO$1004:$BQ$1004,1,MATCH(COLUMNS($AO$1006:BB1006),$AO$1006:$BQ$1006,0)))),"Fix")))</f>
        <v>#N/A</v>
      </c>
      <c r="P439" s="5" t="e">
        <f ca="1">IF(OR(INDEX($AI$2:$AI$1001,MATCH(ROWS($AH$2:AH439),$AH$2:$AH$1001,0),1)&gt;=100000,INDEX($AO$1005:$BQ$1005,1,MATCH(COLUMNS($AO$1006:BC1006),$AO$1006:$BQ$1006,0))&gt;=100000), " ",IF(INDEX($AO$2:$BQ$1001,MATCH(ROWS($AH$2:AH439),$AH$2:$AH$1001,0),MATCH(COLUMNS($AO$1006:BC1006),$AO$1006:$BQ$1006,0)), HYPERLINK("#",""), HYPERLINK(CONCATENATE("#Metadata!", ADDRESS(INDEX($AJ$2:$AJ$1001,MATCH(ROWS($AH$2:AH439),$AH$2:$AH$1001,0),0), INDEX($AO$1004:$BQ$1004,1,MATCH(COLUMNS($AO$1006:BC1006),$AO$1006:$BQ$1006,0)))),"Fix")))</f>
        <v>#N/A</v>
      </c>
      <c r="Q439" s="5" t="e">
        <f ca="1">IF(OR(INDEX($AI$2:$AI$1001,MATCH(ROWS($AH$2:AH439),$AH$2:$AH$1001,0),1)&gt;=100000,INDEX($AO$1005:$BQ$1005,1,MATCH(COLUMNS($AO$1006:BD1006),$AO$1006:$BQ$1006,0))&gt;=100000), " ",IF(INDEX($AO$2:$BQ$1001,MATCH(ROWS($AH$2:AH439),$AH$2:$AH$1001,0),MATCH(COLUMNS($AO$1006:BD1006),$AO$1006:$BQ$1006,0)), HYPERLINK("#",""), HYPERLINK(CONCATENATE("#Metadata!", ADDRESS(INDEX($AJ$2:$AJ$1001,MATCH(ROWS($AH$2:AH439),$AH$2:$AH$1001,0),0), INDEX($AO$1004:$BQ$1004,1,MATCH(COLUMNS($AO$1006:BD1006),$AO$1006:$BQ$1006,0)))),"Fix")))</f>
        <v>#N/A</v>
      </c>
      <c r="R439" s="5" t="e">
        <f ca="1">IF(OR(INDEX($AI$2:$AI$1001,MATCH(ROWS($AH$2:AH439),$AH$2:$AH$1001,0),1)&gt;=100000,INDEX($AO$1005:$BQ$1005,1,MATCH(COLUMNS($AO$1006:BE1006),$AO$1006:$BQ$1006,0))&gt;=100000), " ",IF(INDEX($AO$2:$BQ$1001,MATCH(ROWS($AH$2:AH439),$AH$2:$AH$1001,0),MATCH(COLUMNS($AO$1006:BE1006),$AO$1006:$BQ$1006,0)), HYPERLINK("#",""), HYPERLINK(CONCATENATE("#Metadata!", ADDRESS(INDEX($AJ$2:$AJ$1001,MATCH(ROWS($AH$2:AH439),$AH$2:$AH$1001,0),0), INDEX($AO$1004:$BQ$1004,1,MATCH(COLUMNS($AO$1006:BE1006),$AO$1006:$BQ$1006,0)))),"Fix")))</f>
        <v>#N/A</v>
      </c>
      <c r="S439" s="5" t="e">
        <f ca="1">IF(OR(INDEX($AI$2:$AI$1001,MATCH(ROWS($AH$2:AH439),$AH$2:$AH$1001,0),1)&gt;=100000,INDEX($AO$1005:$BQ$1005,1,MATCH(COLUMNS($AO$1006:BF1006),$AO$1006:$BQ$1006,0))&gt;=100000), " ",IF(INDEX($AO$2:$BQ$1001,MATCH(ROWS($AH$2:AH439),$AH$2:$AH$1001,0),MATCH(COLUMNS($AO$1006:BF1006),$AO$1006:$BQ$1006,0)), HYPERLINK("#",""), HYPERLINK(CONCATENATE("#Metadata!", ADDRESS(INDEX($AJ$2:$AJ$1001,MATCH(ROWS($AH$2:AH439),$AH$2:$AH$1001,0),0), INDEX($AO$1004:$BQ$1004,1,MATCH(COLUMNS($AO$1006:BF1006),$AO$1006:$BQ$1006,0)))),"Fix")))</f>
        <v>#N/A</v>
      </c>
      <c r="T439" s="5" t="e">
        <f ca="1">IF(OR(INDEX($AI$2:$AI$1001,MATCH(ROWS($AH$2:AH439),$AH$2:$AH$1001,0),1)&gt;=100000,INDEX($AO$1005:$BQ$1005,1,MATCH(COLUMNS($AO$1006:BG1006),$AO$1006:$BQ$1006,0))&gt;=100000), " ",IF(INDEX($AO$2:$BQ$1001,MATCH(ROWS($AH$2:AH439),$AH$2:$AH$1001,0),MATCH(COLUMNS($AO$1006:BG1006),$AO$1006:$BQ$1006,0)), HYPERLINK("#",""), HYPERLINK(CONCATENATE("#Metadata!", ADDRESS(INDEX($AJ$2:$AJ$1001,MATCH(ROWS($AH$2:AH439),$AH$2:$AH$1001,0),0), INDEX($AO$1004:$BQ$1004,1,MATCH(COLUMNS($AO$1006:BG1006),$AO$1006:$BQ$1006,0)))),"Fix")))</f>
        <v>#N/A</v>
      </c>
      <c r="U439" s="5" t="e">
        <f ca="1">IF(OR(INDEX($AI$2:$AI$1001,MATCH(ROWS($AH$2:AH439),$AH$2:$AH$1001,0),1)&gt;=100000,INDEX($AO$1005:$BQ$1005,1,MATCH(COLUMNS($AO$1006:BH1006),$AO$1006:$BQ$1006,0))&gt;=100000), " ",IF(INDEX($AO$2:$BQ$1001,MATCH(ROWS($AH$2:AH439),$AH$2:$AH$1001,0),MATCH(COLUMNS($AO$1006:BH1006),$AO$1006:$BQ$1006,0)), HYPERLINK("#",""), HYPERLINK(CONCATENATE("#Metadata!", ADDRESS(INDEX($AJ$2:$AJ$1001,MATCH(ROWS($AH$2:AH439),$AH$2:$AH$1001,0),0), INDEX($AO$1004:$BQ$1004,1,MATCH(COLUMNS($AO$1006:BH1006),$AO$1006:$BQ$1006,0)))),"Fix")))</f>
        <v>#N/A</v>
      </c>
      <c r="V439" s="5" t="e">
        <f ca="1">IF(OR(INDEX($AI$2:$AI$1001,MATCH(ROWS($AH$2:AH439),$AH$2:$AH$1001,0),1)&gt;=100000,INDEX($AO$1005:$BQ$1005,1,MATCH(COLUMNS($AO$1006:BI1006),$AO$1006:$BQ$1006,0))&gt;=100000), " ",IF(INDEX($AO$2:$BQ$1001,MATCH(ROWS($AH$2:AH439),$AH$2:$AH$1001,0),MATCH(COLUMNS($AO$1006:BI1006),$AO$1006:$BQ$1006,0)), HYPERLINK("#",""), HYPERLINK(CONCATENATE("#Metadata!", ADDRESS(INDEX($AJ$2:$AJ$1001,MATCH(ROWS($AH$2:AH439),$AH$2:$AH$1001,0),0), INDEX($AO$1004:$BQ$1004,1,MATCH(COLUMNS($AO$1006:BI1006),$AO$1006:$BQ$1006,0)))),"Fix")))</f>
        <v>#N/A</v>
      </c>
      <c r="W439" s="5" t="e">
        <f ca="1">IF(OR(INDEX($AI$2:$AI$1001,MATCH(ROWS($AH$2:AH439),$AH$2:$AH$1001,0),1)&gt;=100000,INDEX($AO$1005:$BQ$1005,1,MATCH(COLUMNS($AO$1006:BJ1006),$AO$1006:$BQ$1006,0))&gt;=100000), " ",IF(INDEX($AO$2:$BQ$1001,MATCH(ROWS($AH$2:AH439),$AH$2:$AH$1001,0),MATCH(COLUMNS($AO$1006:BJ1006),$AO$1006:$BQ$1006,0)), HYPERLINK("#",""), HYPERLINK(CONCATENATE("#Metadata!", ADDRESS(INDEX($AJ$2:$AJ$1001,MATCH(ROWS($AH$2:AH439),$AH$2:$AH$1001,0),0), INDEX($AO$1004:$BQ$1004,1,MATCH(COLUMNS($AO$1006:BJ1006),$AO$1006:$BQ$1006,0)))),"Fix")))</f>
        <v>#N/A</v>
      </c>
      <c r="X439" s="5" t="e">
        <f ca="1">IF(OR(INDEX($AI$2:$AI$1001,MATCH(ROWS($AH$2:AH439),$AH$2:$AH$1001,0),1)&gt;=100000,INDEX($AO$1005:$BQ$1005,1,MATCH(COLUMNS($AO$1006:BK1006),$AO$1006:$BQ$1006,0))&gt;=100000), " ",IF(INDEX($AO$2:$BQ$1001,MATCH(ROWS($AH$2:AH439),$AH$2:$AH$1001,0),MATCH(COLUMNS($AO$1006:BK1006),$AO$1006:$BQ$1006,0)), HYPERLINK("#",""), HYPERLINK(CONCATENATE("#Metadata!", ADDRESS(INDEX($AJ$2:$AJ$1001,MATCH(ROWS($AH$2:AH439),$AH$2:$AH$1001,0),0), INDEX($AO$1004:$BQ$1004,1,MATCH(COLUMNS($AO$1006:BK1006),$AO$1006:$BQ$1006,0)))),"Fix")))</f>
        <v>#N/A</v>
      </c>
      <c r="Y439" s="5" t="e">
        <f ca="1">IF(OR(INDEX($AI$2:$AI$1001,MATCH(ROWS($AH$2:AH439),$AH$2:$AH$1001,0),1)&gt;=100000,INDEX($AO$1005:$BQ$1005,1,MATCH(COLUMNS($AO$1006:BL1006),$AO$1006:$BQ$1006,0))&gt;=100000), " ",IF(INDEX($AO$2:$BQ$1001,MATCH(ROWS($AH$2:AH439),$AH$2:$AH$1001,0),MATCH(COLUMNS($AO$1006:BL1006),$AO$1006:$BQ$1006,0)), HYPERLINK("#",""), HYPERLINK(CONCATENATE("#Metadata!", ADDRESS(INDEX($AJ$2:$AJ$1001,MATCH(ROWS($AH$2:AH439),$AH$2:$AH$1001,0),0), INDEX($AO$1004:$BQ$1004,1,MATCH(COLUMNS($AO$1006:BL1006),$AO$1006:$BQ$1006,0)))),"Fix")))</f>
        <v>#N/A</v>
      </c>
      <c r="Z439" s="5" t="e">
        <f ca="1">IF(OR(INDEX($AI$2:$AI$1001,MATCH(ROWS($AH$2:AH439),$AH$2:$AH$1001,0),1)&gt;=100000,INDEX($AO$1005:$BQ$1005,1,MATCH(COLUMNS($AO$1006:BM1006),$AO$1006:$BQ$1006,0))&gt;=100000), " ",IF(INDEX($AO$2:$BQ$1001,MATCH(ROWS($AH$2:AH439),$AH$2:$AH$1001,0),MATCH(COLUMNS($AO$1006:BM1006),$AO$1006:$BQ$1006,0)), HYPERLINK("#",""), HYPERLINK(CONCATENATE("#Metadata!", ADDRESS(INDEX($AJ$2:$AJ$1001,MATCH(ROWS($AH$2:AH439),$AH$2:$AH$1001,0),0), INDEX($AO$1004:$BQ$1004,1,MATCH(COLUMNS($AO$1006:BM1006),$AO$1006:$BQ$1006,0)))),"Fix")))</f>
        <v>#N/A</v>
      </c>
      <c r="AA439" s="5" t="e">
        <f ca="1">IF(OR(INDEX($AI$2:$AI$1001,MATCH(ROWS($AH$2:AH439),$AH$2:$AH$1001,0),1)&gt;=100000,INDEX($AO$1005:$BQ$1005,1,MATCH(COLUMNS($AO$1006:BN1006),$AO$1006:$BQ$1006,0))&gt;=100000), " ",IF(INDEX($AO$2:$BQ$1001,MATCH(ROWS($AH$2:AH439),$AH$2:$AH$1001,0),MATCH(COLUMNS($AO$1006:BN1006),$AO$1006:$BQ$1006,0)), HYPERLINK("#",""), HYPERLINK(CONCATENATE("#Metadata!", ADDRESS(INDEX($AJ$2:$AJ$1001,MATCH(ROWS($AH$2:AH439),$AH$2:$AH$1001,0),0), INDEX($AO$1004:$BQ$1004,1,MATCH(COLUMNS($AO$1006:BN1006),$AO$1006:$BQ$1006,0)))),"Fix")))</f>
        <v>#N/A</v>
      </c>
      <c r="AB439" s="5" t="e">
        <f ca="1">IF(OR(INDEX($AI$2:$AI$1001,MATCH(ROWS($AH$2:AH439),$AH$2:$AH$1001,0),1)&gt;=100000,INDEX($AO$1005:$BQ$1005,1,MATCH(COLUMNS($AO$1006:BO1006),$AO$1006:$BQ$1006,0))&gt;=100000), " ",IF(INDEX($AO$2:$BQ$1001,MATCH(ROWS($AH$2:AH439),$AH$2:$AH$1001,0),MATCH(COLUMNS($AO$1006:BO1006),$AO$1006:$BQ$1006,0)), HYPERLINK("#",""), HYPERLINK(CONCATENATE("#Metadata!", ADDRESS(INDEX($AJ$2:$AJ$1001,MATCH(ROWS($AH$2:AH439),$AH$2:$AH$1001,0),0), INDEX($AO$1004:$BQ$1004,1,MATCH(COLUMNS($AO$1006:BO1006),$AO$1006:$BQ$1006,0)))),"Fix")))</f>
        <v>#N/A</v>
      </c>
      <c r="AC439" s="5" t="e">
        <f ca="1">IF(OR(INDEX($AI$2:$AI$1001,MATCH(ROWS($AH$2:AH439),$AH$2:$AH$1001,0),1)&gt;=100000,INDEX($AO$1005:$BQ$1005,1,MATCH(COLUMNS($AO$1006:BP1006),$AO$1006:$BQ$1006,0))&gt;=100000), " ",IF(INDEX($AO$2:$BQ$1001,MATCH(ROWS($AH$2:AH439),$AH$2:$AH$1001,0),MATCH(COLUMNS($AO$1006:BP1006),$AO$1006:$BQ$1006,0)), HYPERLINK("#",""), HYPERLINK(CONCATENATE("#Metadata!", ADDRESS(INDEX($AJ$2:$AJ$1001,MATCH(ROWS($AH$2:AH439),$AH$2:$AH$1001,0),0), INDEX($AO$1004:$BQ$1004,1,MATCH(COLUMNS($AO$1006:BP1006),$AO$1006:$BQ$1006,0)))),"Fix")))</f>
        <v>#N/A</v>
      </c>
      <c r="AD439" s="5" t="e">
        <f ca="1">IF(OR(INDEX($AI$2:$AI$1001,MATCH(ROWS($AH$2:AH439),$AH$2:$AH$1001,0),1)&gt;=100000,INDEX($AO$1005:$BQ$1005,1,MATCH(COLUMNS($AO$1006:BQ1006),$AO$1006:$BQ$1006,0))&gt;=100000), " ",IF(INDEX($AO$2:$BQ$1001,MATCH(ROWS($AH$2:AH439),$AH$2:$AH$1001,0),MATCH(COLUMNS($AO$1006:BQ1006),$AO$1006:$BQ$1006,0)), HYPERLINK("#",""), HYPERLINK(CONCATENATE("#Metadata!", ADDRESS(INDEX($AJ$2:$AJ$1001,MATCH(ROWS($AH$2:AH439),$AH$2:$AH$1001,0),0), INDEX($AO$1004:$BQ$1004,1,MATCH(COLUMNS($AO$1006:BQ1006),$AO$1006:$BQ$1006,0)))),"Fix")))</f>
        <v>#REF!</v>
      </c>
      <c r="AH439">
        <f ca="1"/>
        <v>436</v>
      </c>
      <c r="AI439">
        <v>100439</v>
      </c>
      <c r="AJ439">
        <v>439</v>
      </c>
      <c r="AK439" t="b">
        <f t="shared" si="6"/>
        <v>1</v>
      </c>
      <c r="AL439" t="b">
        <f>COUNTBLANK(Metadata!B439:AD439)=COLUMNS(Metadata!B439:AD439)</f>
        <v>1</v>
      </c>
      <c r="AM439" t="str">
        <v/>
      </c>
      <c r="AO439" t="b">
        <f ca="1">AND(IF(Metadata!B439="",FALSE,TRUE),COUNTIF(Metadata!B:B, Metadata!B439) = 1,NOT(ISERROR(SUMPRODUCT(SEARCH(MID(Metadata!B439,ROW(INDIRECT("1:"&amp;LEN(Metadata!B439))), 1),"0123456789abcdefghijklmnopqrstuvwxyzABCDEFGHIJKLMNOPQRSTUVWXYZ.")))))</f>
        <v>0</v>
      </c>
      <c r="AP439" t="b">
        <f>IF(Metadata!C439="",FALSE,TRUE)</f>
        <v>0</v>
      </c>
      <c r="AQ439" t="b">
        <f>IF(Metadata!D439="",FALSE,TRUE)</f>
        <v>0</v>
      </c>
      <c r="AR439" t="b">
        <f ca="1">OR(AND(IF(Metadata!E439="",FALSE,TRUE),OR(EXACT(Metadata!E439,"not collected"),EXACT(Metadata!E439,"not provided"),EXACT(Metadata!E439,"restricted access"))),AND(IF(Metadata!E439="",FALSE,TRUE),AND(AND(IFERROR(INT(LEFT(Metadata!E439,4))&gt;1900,FALSE),IFERROR(INT(LEFT(Metadata!E439,4))&lt;=YEAR(NOW()),FALSE)), OR(MID(Metadata!E439,5,1)="", AND(AND(MID(Metadata!E439,5,1)="-",IFERROR(INT(MID(Metadata!E439,6,1))&gt;=0,FALSE),IFERROR(INT(MID(Metadata!E439,6,1))&lt;=1,FALSE),NOT(MID(Metadata!E439,7,1)=""),IFERROR(INT(MID(Metadata!E439,6,2))&gt;=1,FALSE),IFERROR(INT(MID(Metadata!E439,6,2))&lt;=12,FALSE)), OR(MID(Metadata!E439,8,1)="", AND(AND(MID(Metadata!E439,8,1)="-",IFERROR(INT(MID(Metadata!E439,9,1))&gt;=0,FALSE),IFERROR(INT(MID(Metadata!E439,9,1))&lt;=3,FALSE),NOT(MID(Metadata!E439,10,1)=""),IFERROR(INT(MID(Metadata!E439,9,2))&gt;=1,FALSE),IFERROR(INT(MID(Metadata!E439,9,2))&lt;=31,FALSE)), OR(MID(Metadata!E439,11,1)="", AND(AND(MID(Metadata!E439,11,1)=" ",IFERROR(INT(MID(Metadata!E439,12,1))&gt;=0,FALSE),IFERROR(INT(MID(Metadata!E439,12,1))&lt;=2,FALSE),NOT(MID(Metadata!E439,13,1)=""),IFERROR(INT(MID(Metadata!E439,12,2))&gt;=0,FALSE),IFERROR(INT(MID(Metadata!E439,12,2))&lt;=23,FALSE)), OR(MID(Metadata!E439,14,1)="", AND(AND(MID(Metadata!E439,14,1)=":",IFERROR(INT(MID(Metadata!E439,15,1))&gt;=0,FALSE),IFERROR(INT(MID(Metadata!E439,15,1))&lt;=5,FALSE),NOT(MID(Metadata!E439,16,1)=""),IFERROR(INT(MID(Metadata!E439,15,2))&gt;=0,FALSE),IFERROR(INT(MID(Metadata!E439,15,2))&lt;=59,FALSE)), OR(MID(Metadata!E439,17,1)="", AND(AND(MID(Metadata!E439,17,1)=":",IFERROR(INT(MID(Metadata!E439,18,1))&gt;=0,FALSE),IFERROR(INT(MID(Metadata!E439,18,1))&lt;=5,FALSE),NOT(MID(Metadata!E439,19,1)=""),IFERROR(INT(MID(Metadata!E439,18,2))&gt;=0,FALSE),IFERROR(INT(MID(Metadata!E439,18,2))&lt;=59,FALSE)), LEN(Metadata!E439)&lt;=19)))))))))))))</f>
        <v>0</v>
      </c>
      <c r="AS439" t="b">
        <f>IF(Metadata!F439="",FALSE,TRUE)</f>
        <v>0</v>
      </c>
      <c r="AT439" t="b">
        <f>OR(AND(IF(Metadata!G439="",FALSE,TRUE),OR(EXACT(Metadata!G439,"not collected"),EXACT(Metadata!G439,"not provided"))),AND(IF(Metadata!G439="",FALSE,TRUE),OR(EXACT(Metadata!G439,"TRUE"),EXACT(Metadata!G439,"FALSE"))))</f>
        <v>0</v>
      </c>
      <c r="AU439" t="b">
        <f>OR(AND(IF(Metadata!H439="",FALSE,TRUE),OR(EXACT(Metadata!H439,"not collected"),EXACT(Metadata!H439,"not provided"),EXACT(Metadata!H439,"restricted access"))),AND(IF(Metadata!H439="",FALSE,ISNUMBER(VALUE(Metadata!H439))),Metadata!H439&gt;=-413))</f>
        <v>0</v>
      </c>
      <c r="AV439" t="b">
        <f>AND(IF(Metadata!I439="",FALSE,TRUE),EXACT(Metadata!I439,"meters"))</f>
        <v>0</v>
      </c>
      <c r="AW439" t="b">
        <f>AND(IF(Metadata!J439="",FALSE,TRUE),EXACT(Metadata!J439,"free-living"))</f>
        <v>0</v>
      </c>
      <c r="AX439" t="b">
        <f>AND(IF(Metadata!K439="",FALSE,TRUE),OR(EXACT(Metadata!K439,"saline"),EXACT(Metadata!K439,"non-saline")))</f>
        <v>0</v>
      </c>
      <c r="AY439" t="b">
        <f>AND(IF(Metadata!L439="",FALSE,TRUE),OR(EXACT(Metadata!L439,"sub-surface (non-saline)"),EXACT(Metadata!L439,"surface (non-saline)"),EXACT(Metadata!L439,"water (non-saline)"),EXACT(Metadata!L439,"soil (non-saline)"),EXACT(Metadata!L439,"aerosol (non-saline)"),EXACT(Metadata!L439,"sediment (non-saline)"),EXACT(Metadata!L439,"surface (saline)"),EXACT(Metadata!L439,"water (saline)"),EXACT(Metadata!L439,"hypersaline (saline)"),EXACT(Metadata!L439,"aerosol (saline)"),EXACT(Metadata!L439,"sediment (saline)")))</f>
        <v>0</v>
      </c>
      <c r="AZ439" t="b">
        <f>IF(Metadata!M439="",FALSE,TRUE)</f>
        <v>0</v>
      </c>
      <c r="BA439" t="b">
        <f>IF(Metadata!N439="",FALSE,TRUE)</f>
        <v>0</v>
      </c>
      <c r="BB439" t="b">
        <f>IF(Metadata!O439="",FALSE,TRUE)</f>
        <v>0</v>
      </c>
      <c r="BC439" t="b">
        <f>AND(IF(Metadata!P439="",FALSE,TRUE),OR(EXACT(Metadata!P439,"air"),EXACT(Metadata!P439,"microbial mat/biofilm"),EXACT(Metadata!P439,"misc environment"),EXACT(Metadata!P439,"sediment"),EXACT(Metadata!P439,"soil"),EXACT(Metadata!P439,"wastewater/sludge"),EXACT(Metadata!P439,"water")))</f>
        <v>0</v>
      </c>
      <c r="BD439" t="b">
        <f>IF(Metadata!Q439="",FALSE,TRUE)</f>
        <v>0</v>
      </c>
      <c r="BE439" t="b">
        <f>IF(Metadata!R439="",FALSE,TRUE)</f>
        <v>0</v>
      </c>
      <c r="BF439" t="b">
        <f>OR(AND(IF(Metadata!S439="",FALSE,TRUE),OR(EXACT(Metadata!S439,"not collected"),EXACT(Metadata!S439,"not provided"),EXACT(Metadata!S439,"restricted access"))),AND(IF(Metadata!S439="",FALSE,ISNUMBER(VALUE(Metadata!S439))),Metadata!S439&gt;=-90,Metadata!S439&lt;=90))</f>
        <v>0</v>
      </c>
      <c r="BG439" t="b">
        <f>AND(IF(Metadata!T439="",FALSE,TRUE),EXACT(Metadata!T439,"Decimal degrees"))</f>
        <v>0</v>
      </c>
      <c r="BH439" t="b">
        <f>OR(AND(IF(Metadata!U439="",FALSE,TRUE),OR(EXACT(Metadata!U439,"not applicable"),EXACT(Metadata!U439,"not collected"))),IF(Metadata!U439="",FALSE,TRUE))</f>
        <v>0</v>
      </c>
      <c r="BI439" t="b">
        <f>OR(AND(IF(Metadata!V439="",FALSE,TRUE),OR(EXACT(Metadata!V439,"not collected"),EXACT(Metadata!V439,"not provided"),EXACT(Metadata!V439,"restricted access"))),AND(IF(Metadata!V439="",FALSE,ISNUMBER(VALUE(Metadata!V439))),Metadata!V439&gt;=-180,Metadata!V439&lt;=180))</f>
        <v>0</v>
      </c>
      <c r="BJ439" t="b">
        <f>AND(IF(Metadata!W439="",FALSE,TRUE),EXACT(Metadata!W439,"Decimal degrees"))</f>
        <v>0</v>
      </c>
      <c r="BK439" t="b">
        <f>IF(Metadata!X439="",FALSE,TRUE)</f>
        <v>0</v>
      </c>
      <c r="BL439" t="b">
        <f>OR(AND(IF(Metadata!Y439="",FALSE,TRUE),OR(EXACT(Metadata!Y439,"not collected"),EXACT(Metadata!Y439,"not provided"),EXACT(Metadata!Y439,"restricted access"))),AND(IF(Metadata!Y439="",FALSE,TRUE),OR(EXACT(Metadata!Y439,"TRUE"),EXACT(Metadata!Y439,"FALSE"))))</f>
        <v>0</v>
      </c>
      <c r="BM439" t="b">
        <f>OR(AND(IF(Metadata!Z439="",FALSE,TRUE),EXACT(Metadata!Z439,"not applicable")),AND(IF(Metadata!Z439="",FALSE,TRUE),OR(EXACT(Metadata!Z439,"beer"),EXACT(Metadata!Z439,"cheese"),EXACT(Metadata!Z439,"fresh water"),EXACT(Metadata!Z439,"marine sediment"),EXACT(Metadata!Z439,"sea water"),EXACT(Metadata!Z439,"sediment"),EXACT(Metadata!Z439,"soil"),EXACT(Metadata!Z439,"waste water"))))</f>
        <v>0</v>
      </c>
      <c r="BN439" t="b">
        <f>AND(IF(Metadata!AA439="",FALSE,TRUE),EXACT(Metadata!AA439,"metagenome"))</f>
        <v>0</v>
      </c>
      <c r="BO439" t="b">
        <f>AND(IF(Metadata!AB439="",FALSE,TRUE),EXACT(Metadata!AB439,"256318"))</f>
        <v>0</v>
      </c>
      <c r="BP439" t="b">
        <f>IF(Metadata!AC439="",FALSE,TRUE)</f>
        <v>0</v>
      </c>
      <c r="BQ439" t="b">
        <f>IF(Metadata!AD439="",FALSE,TRUE)</f>
        <v>0</v>
      </c>
    </row>
    <row r="440" spans="1:69" x14ac:dyDescent="0.2">
      <c r="A440" s="4" t="e">
        <f ca="1">IF(B440=" "," ",HYPERLINK(CONCATENATE("#metadata!",ADDRESS(INDEX($AJ$2:$AJ$1001,MATCH(ROWS($AH$2:AH440),$AH$2:$AH$1001,0),0),2)),INDEX($AM$2:$AM$1001,MATCH(ROWS($AH$2:AH440),$AH$2:$AH$1001,0),0)))</f>
        <v>#N/A</v>
      </c>
      <c r="B440" s="5" t="e">
        <f ca="1">IF(OR(INDEX($AI$2:$AI$1001,MATCH(ROWS($AH$2:AH440),$AH$2:$AH$1001,0),1)&gt;=100000,INDEX($AO$1005:$BQ$1005,1,MATCH(COLUMNS($AO$1006:AO1006),$AO$1006:$BQ$1006,0))&gt;=100000), " ",IF(INDEX($AO$2:$BQ$1001,MATCH(ROWS($AH$2:AH440),$AH$2:$AH$1001,0),MATCH(COLUMNS($AO$1006:AO1006),$AO$1006:$BQ$1006,0)), HYPERLINK("#",""), HYPERLINK(CONCATENATE("#Metadata!", ADDRESS(INDEX($AJ$2:$AJ$1001,MATCH(ROWS($AH$2:AH440),$AH$2:$AH$1001,0),0), INDEX($AO$1004:$BQ$1004,1,MATCH(COLUMNS($AO$1006:AO1006),$AO$1006:$BQ$1006,0)))),"Fix")))</f>
        <v>#N/A</v>
      </c>
      <c r="C440" s="5" t="e">
        <f ca="1">IF(OR(INDEX($AI$2:$AI$1001,MATCH(ROWS($AH$2:AH440),$AH$2:$AH$1001,0),1)&gt;=100000,INDEX($AO$1005:$BQ$1005,1,MATCH(COLUMNS($AO$1006:AP1006),$AO$1006:$BQ$1006,0))&gt;=100000), " ",IF(INDEX($AO$2:$BQ$1001,MATCH(ROWS($AH$2:AH440),$AH$2:$AH$1001,0),MATCH(COLUMNS($AO$1006:AP1006),$AO$1006:$BQ$1006,0)), HYPERLINK("#",""), HYPERLINK(CONCATENATE("#Metadata!", ADDRESS(INDEX($AJ$2:$AJ$1001,MATCH(ROWS($AH$2:AH440),$AH$2:$AH$1001,0),0), INDEX($AO$1004:$BQ$1004,1,MATCH(COLUMNS($AO$1006:AP1006),$AO$1006:$BQ$1006,0)))),"Fix")))</f>
        <v>#N/A</v>
      </c>
      <c r="D440" s="5" t="e">
        <f ca="1">IF(OR(INDEX($AI$2:$AI$1001,MATCH(ROWS($AH$2:AH440),$AH$2:$AH$1001,0),1)&gt;=100000,INDEX($AO$1005:$BQ$1005,1,MATCH(COLUMNS($AO$1006:AQ1006),$AO$1006:$BQ$1006,0))&gt;=100000), " ",IF(INDEX($AO$2:$BQ$1001,MATCH(ROWS($AH$2:AH440),$AH$2:$AH$1001,0),MATCH(COLUMNS($AO$1006:AQ1006),$AO$1006:$BQ$1006,0)), HYPERLINK("#",""), HYPERLINK(CONCATENATE("#Metadata!", ADDRESS(INDEX($AJ$2:$AJ$1001,MATCH(ROWS($AH$2:AH440),$AH$2:$AH$1001,0),0), INDEX($AO$1004:$BQ$1004,1,MATCH(COLUMNS($AO$1006:AQ1006),$AO$1006:$BQ$1006,0)))),"Fix")))</f>
        <v>#N/A</v>
      </c>
      <c r="E440" s="5" t="e">
        <f ca="1">IF(OR(INDEX($AI$2:$AI$1001,MATCH(ROWS($AH$2:AH440),$AH$2:$AH$1001,0),1)&gt;=100000,INDEX($AO$1005:$BQ$1005,1,MATCH(COLUMNS($AO$1006:AR1006),$AO$1006:$BQ$1006,0))&gt;=100000), " ",IF(INDEX($AO$2:$BQ$1001,MATCH(ROWS($AH$2:AH440),$AH$2:$AH$1001,0),MATCH(COLUMNS($AO$1006:AR1006),$AO$1006:$BQ$1006,0)), HYPERLINK("#",""), HYPERLINK(CONCATENATE("#Metadata!", ADDRESS(INDEX($AJ$2:$AJ$1001,MATCH(ROWS($AH$2:AH440),$AH$2:$AH$1001,0),0), INDEX($AO$1004:$BQ$1004,1,MATCH(COLUMNS($AO$1006:AR1006),$AO$1006:$BQ$1006,0)))),"Fix")))</f>
        <v>#N/A</v>
      </c>
      <c r="F440" s="5" t="e">
        <f ca="1">IF(OR(INDEX($AI$2:$AI$1001,MATCH(ROWS($AH$2:AH440),$AH$2:$AH$1001,0),1)&gt;=100000,INDEX($AO$1005:$BQ$1005,1,MATCH(COLUMNS($AO$1006:AS1006),$AO$1006:$BQ$1006,0))&gt;=100000), " ",IF(INDEX($AO$2:$BQ$1001,MATCH(ROWS($AH$2:AH440),$AH$2:$AH$1001,0),MATCH(COLUMNS($AO$1006:AS1006),$AO$1006:$BQ$1006,0)), HYPERLINK("#",""), HYPERLINK(CONCATENATE("#Metadata!", ADDRESS(INDEX($AJ$2:$AJ$1001,MATCH(ROWS($AH$2:AH440),$AH$2:$AH$1001,0),0), INDEX($AO$1004:$BQ$1004,1,MATCH(COLUMNS($AO$1006:AS1006),$AO$1006:$BQ$1006,0)))),"Fix")))</f>
        <v>#N/A</v>
      </c>
      <c r="G440" s="5" t="e">
        <f ca="1">IF(OR(INDEX($AI$2:$AI$1001,MATCH(ROWS($AH$2:AH440),$AH$2:$AH$1001,0),1)&gt;=100000,INDEX($AO$1005:$BQ$1005,1,MATCH(COLUMNS($AO$1006:AT1006),$AO$1006:$BQ$1006,0))&gt;=100000), " ",IF(INDEX($AO$2:$BQ$1001,MATCH(ROWS($AH$2:AH440),$AH$2:$AH$1001,0),MATCH(COLUMNS($AO$1006:AT1006),$AO$1006:$BQ$1006,0)), HYPERLINK("#",""), HYPERLINK(CONCATENATE("#Metadata!", ADDRESS(INDEX($AJ$2:$AJ$1001,MATCH(ROWS($AH$2:AH440),$AH$2:$AH$1001,0),0), INDEX($AO$1004:$BQ$1004,1,MATCH(COLUMNS($AO$1006:AT1006),$AO$1006:$BQ$1006,0)))),"Fix")))</f>
        <v>#N/A</v>
      </c>
      <c r="H440" s="5" t="e">
        <f ca="1">IF(OR(INDEX($AI$2:$AI$1001,MATCH(ROWS($AH$2:AH440),$AH$2:$AH$1001,0),1)&gt;=100000,INDEX($AO$1005:$BQ$1005,1,MATCH(COLUMNS($AO$1006:AU1006),$AO$1006:$BQ$1006,0))&gt;=100000), " ",IF(INDEX($AO$2:$BQ$1001,MATCH(ROWS($AH$2:AH440),$AH$2:$AH$1001,0),MATCH(COLUMNS($AO$1006:AU1006),$AO$1006:$BQ$1006,0)), HYPERLINK("#",""), HYPERLINK(CONCATENATE("#Metadata!", ADDRESS(INDEX($AJ$2:$AJ$1001,MATCH(ROWS($AH$2:AH440),$AH$2:$AH$1001,0),0), INDEX($AO$1004:$BQ$1004,1,MATCH(COLUMNS($AO$1006:AU1006),$AO$1006:$BQ$1006,0)))),"Fix")))</f>
        <v>#N/A</v>
      </c>
      <c r="I440" s="5" t="e">
        <f ca="1">IF(OR(INDEX($AI$2:$AI$1001,MATCH(ROWS($AH$2:AH440),$AH$2:$AH$1001,0),1)&gt;=100000,INDEX($AO$1005:$BQ$1005,1,MATCH(COLUMNS($AO$1006:AV1006),$AO$1006:$BQ$1006,0))&gt;=100000), " ",IF(INDEX($AO$2:$BQ$1001,MATCH(ROWS($AH$2:AH440),$AH$2:$AH$1001,0),MATCH(COLUMNS($AO$1006:AV1006),$AO$1006:$BQ$1006,0)), HYPERLINK("#",""), HYPERLINK(CONCATENATE("#Metadata!", ADDRESS(INDEX($AJ$2:$AJ$1001,MATCH(ROWS($AH$2:AH440),$AH$2:$AH$1001,0),0), INDEX($AO$1004:$BQ$1004,1,MATCH(COLUMNS($AO$1006:AV1006),$AO$1006:$BQ$1006,0)))),"Fix")))</f>
        <v>#N/A</v>
      </c>
      <c r="J440" s="5" t="e">
        <f ca="1">IF(OR(INDEX($AI$2:$AI$1001,MATCH(ROWS($AH$2:AH440),$AH$2:$AH$1001,0),1)&gt;=100000,INDEX($AO$1005:$BQ$1005,1,MATCH(COLUMNS($AO$1006:AW1006),$AO$1006:$BQ$1006,0))&gt;=100000), " ",IF(INDEX($AO$2:$BQ$1001,MATCH(ROWS($AH$2:AH440),$AH$2:$AH$1001,0),MATCH(COLUMNS($AO$1006:AW1006),$AO$1006:$BQ$1006,0)), HYPERLINK("#",""), HYPERLINK(CONCATENATE("#Metadata!", ADDRESS(INDEX($AJ$2:$AJ$1001,MATCH(ROWS($AH$2:AH440),$AH$2:$AH$1001,0),0), INDEX($AO$1004:$BQ$1004,1,MATCH(COLUMNS($AO$1006:AW1006),$AO$1006:$BQ$1006,0)))),"Fix")))</f>
        <v>#N/A</v>
      </c>
      <c r="K440" s="5" t="e">
        <f ca="1">IF(OR(INDEX($AI$2:$AI$1001,MATCH(ROWS($AH$2:AH440),$AH$2:$AH$1001,0),1)&gt;=100000,INDEX($AO$1005:$BQ$1005,1,MATCH(COLUMNS($AO$1006:AX1006),$AO$1006:$BQ$1006,0))&gt;=100000), " ",IF(INDEX($AO$2:$BQ$1001,MATCH(ROWS($AH$2:AH440),$AH$2:$AH$1001,0),MATCH(COLUMNS($AO$1006:AX1006),$AO$1006:$BQ$1006,0)), HYPERLINK("#",""), HYPERLINK(CONCATENATE("#Metadata!", ADDRESS(INDEX($AJ$2:$AJ$1001,MATCH(ROWS($AH$2:AH440),$AH$2:$AH$1001,0),0), INDEX($AO$1004:$BQ$1004,1,MATCH(COLUMNS($AO$1006:AX1006),$AO$1006:$BQ$1006,0)))),"Fix")))</f>
        <v>#N/A</v>
      </c>
      <c r="L440" s="5" t="e">
        <f ca="1">IF(OR(INDEX($AI$2:$AI$1001,MATCH(ROWS($AH$2:AH440),$AH$2:$AH$1001,0),1)&gt;=100000,INDEX($AO$1005:$BQ$1005,1,MATCH(COLUMNS($AO$1006:AY1006),$AO$1006:$BQ$1006,0))&gt;=100000), " ",IF(INDEX($AO$2:$BQ$1001,MATCH(ROWS($AH$2:AH440),$AH$2:$AH$1001,0),MATCH(COLUMNS($AO$1006:AY1006),$AO$1006:$BQ$1006,0)), HYPERLINK("#",""), HYPERLINK(CONCATENATE("#Metadata!", ADDRESS(INDEX($AJ$2:$AJ$1001,MATCH(ROWS($AH$2:AH440),$AH$2:$AH$1001,0),0), INDEX($AO$1004:$BQ$1004,1,MATCH(COLUMNS($AO$1006:AY1006),$AO$1006:$BQ$1006,0)))),"Fix")))</f>
        <v>#N/A</v>
      </c>
      <c r="M440" s="5" t="e">
        <f ca="1">IF(OR(INDEX($AI$2:$AI$1001,MATCH(ROWS($AH$2:AH440),$AH$2:$AH$1001,0),1)&gt;=100000,INDEX($AO$1005:$BQ$1005,1,MATCH(COLUMNS($AO$1006:AZ1006),$AO$1006:$BQ$1006,0))&gt;=100000), " ",IF(INDEX($AO$2:$BQ$1001,MATCH(ROWS($AH$2:AH440),$AH$2:$AH$1001,0),MATCH(COLUMNS($AO$1006:AZ1006),$AO$1006:$BQ$1006,0)), HYPERLINK("#",""), HYPERLINK(CONCATENATE("#Metadata!", ADDRESS(INDEX($AJ$2:$AJ$1001,MATCH(ROWS($AH$2:AH440),$AH$2:$AH$1001,0),0), INDEX($AO$1004:$BQ$1004,1,MATCH(COLUMNS($AO$1006:AZ1006),$AO$1006:$BQ$1006,0)))),"Fix")))</f>
        <v>#N/A</v>
      </c>
      <c r="N440" s="5" t="e">
        <f ca="1">IF(OR(INDEX($AI$2:$AI$1001,MATCH(ROWS($AH$2:AH440),$AH$2:$AH$1001,0),1)&gt;=100000,INDEX($AO$1005:$BQ$1005,1,MATCH(COLUMNS($AO$1006:BA1006),$AO$1006:$BQ$1006,0))&gt;=100000), " ",IF(INDEX($AO$2:$BQ$1001,MATCH(ROWS($AH$2:AH440),$AH$2:$AH$1001,0),MATCH(COLUMNS($AO$1006:BA1006),$AO$1006:$BQ$1006,0)), HYPERLINK("#",""), HYPERLINK(CONCATENATE("#Metadata!", ADDRESS(INDEX($AJ$2:$AJ$1001,MATCH(ROWS($AH$2:AH440),$AH$2:$AH$1001,0),0), INDEX($AO$1004:$BQ$1004,1,MATCH(COLUMNS($AO$1006:BA1006),$AO$1006:$BQ$1006,0)))),"Fix")))</f>
        <v>#N/A</v>
      </c>
      <c r="O440" s="5" t="e">
        <f ca="1">IF(OR(INDEX($AI$2:$AI$1001,MATCH(ROWS($AH$2:AH440),$AH$2:$AH$1001,0),1)&gt;=100000,INDEX($AO$1005:$BQ$1005,1,MATCH(COLUMNS($AO$1006:BB1006),$AO$1006:$BQ$1006,0))&gt;=100000), " ",IF(INDEX($AO$2:$BQ$1001,MATCH(ROWS($AH$2:AH440),$AH$2:$AH$1001,0),MATCH(COLUMNS($AO$1006:BB1006),$AO$1006:$BQ$1006,0)), HYPERLINK("#",""), HYPERLINK(CONCATENATE("#Metadata!", ADDRESS(INDEX($AJ$2:$AJ$1001,MATCH(ROWS($AH$2:AH440),$AH$2:$AH$1001,0),0), INDEX($AO$1004:$BQ$1004,1,MATCH(COLUMNS($AO$1006:BB1006),$AO$1006:$BQ$1006,0)))),"Fix")))</f>
        <v>#N/A</v>
      </c>
      <c r="P440" s="5" t="e">
        <f ca="1">IF(OR(INDEX($AI$2:$AI$1001,MATCH(ROWS($AH$2:AH440),$AH$2:$AH$1001,0),1)&gt;=100000,INDEX($AO$1005:$BQ$1005,1,MATCH(COLUMNS($AO$1006:BC1006),$AO$1006:$BQ$1006,0))&gt;=100000), " ",IF(INDEX($AO$2:$BQ$1001,MATCH(ROWS($AH$2:AH440),$AH$2:$AH$1001,0),MATCH(COLUMNS($AO$1006:BC1006),$AO$1006:$BQ$1006,0)), HYPERLINK("#",""), HYPERLINK(CONCATENATE("#Metadata!", ADDRESS(INDEX($AJ$2:$AJ$1001,MATCH(ROWS($AH$2:AH440),$AH$2:$AH$1001,0),0), INDEX($AO$1004:$BQ$1004,1,MATCH(COLUMNS($AO$1006:BC1006),$AO$1006:$BQ$1006,0)))),"Fix")))</f>
        <v>#N/A</v>
      </c>
      <c r="Q440" s="5" t="e">
        <f ca="1">IF(OR(INDEX($AI$2:$AI$1001,MATCH(ROWS($AH$2:AH440),$AH$2:$AH$1001,0),1)&gt;=100000,INDEX($AO$1005:$BQ$1005,1,MATCH(COLUMNS($AO$1006:BD1006),$AO$1006:$BQ$1006,0))&gt;=100000), " ",IF(INDEX($AO$2:$BQ$1001,MATCH(ROWS($AH$2:AH440),$AH$2:$AH$1001,0),MATCH(COLUMNS($AO$1006:BD1006),$AO$1006:$BQ$1006,0)), HYPERLINK("#",""), HYPERLINK(CONCATENATE("#Metadata!", ADDRESS(INDEX($AJ$2:$AJ$1001,MATCH(ROWS($AH$2:AH440),$AH$2:$AH$1001,0),0), INDEX($AO$1004:$BQ$1004,1,MATCH(COLUMNS($AO$1006:BD1006),$AO$1006:$BQ$1006,0)))),"Fix")))</f>
        <v>#N/A</v>
      </c>
      <c r="R440" s="5" t="e">
        <f ca="1">IF(OR(INDEX($AI$2:$AI$1001,MATCH(ROWS($AH$2:AH440),$AH$2:$AH$1001,0),1)&gt;=100000,INDEX($AO$1005:$BQ$1005,1,MATCH(COLUMNS($AO$1006:BE1006),$AO$1006:$BQ$1006,0))&gt;=100000), " ",IF(INDEX($AO$2:$BQ$1001,MATCH(ROWS($AH$2:AH440),$AH$2:$AH$1001,0),MATCH(COLUMNS($AO$1006:BE1006),$AO$1006:$BQ$1006,0)), HYPERLINK("#",""), HYPERLINK(CONCATENATE("#Metadata!", ADDRESS(INDEX($AJ$2:$AJ$1001,MATCH(ROWS($AH$2:AH440),$AH$2:$AH$1001,0),0), INDEX($AO$1004:$BQ$1004,1,MATCH(COLUMNS($AO$1006:BE1006),$AO$1006:$BQ$1006,0)))),"Fix")))</f>
        <v>#N/A</v>
      </c>
      <c r="S440" s="5" t="e">
        <f ca="1">IF(OR(INDEX($AI$2:$AI$1001,MATCH(ROWS($AH$2:AH440),$AH$2:$AH$1001,0),1)&gt;=100000,INDEX($AO$1005:$BQ$1005,1,MATCH(COLUMNS($AO$1006:BF1006),$AO$1006:$BQ$1006,0))&gt;=100000), " ",IF(INDEX($AO$2:$BQ$1001,MATCH(ROWS($AH$2:AH440),$AH$2:$AH$1001,0),MATCH(COLUMNS($AO$1006:BF1006),$AO$1006:$BQ$1006,0)), HYPERLINK("#",""), HYPERLINK(CONCATENATE("#Metadata!", ADDRESS(INDEX($AJ$2:$AJ$1001,MATCH(ROWS($AH$2:AH440),$AH$2:$AH$1001,0),0), INDEX($AO$1004:$BQ$1004,1,MATCH(COLUMNS($AO$1006:BF1006),$AO$1006:$BQ$1006,0)))),"Fix")))</f>
        <v>#N/A</v>
      </c>
      <c r="T440" s="5" t="e">
        <f ca="1">IF(OR(INDEX($AI$2:$AI$1001,MATCH(ROWS($AH$2:AH440),$AH$2:$AH$1001,0),1)&gt;=100000,INDEX($AO$1005:$BQ$1005,1,MATCH(COLUMNS($AO$1006:BG1006),$AO$1006:$BQ$1006,0))&gt;=100000), " ",IF(INDEX($AO$2:$BQ$1001,MATCH(ROWS($AH$2:AH440),$AH$2:$AH$1001,0),MATCH(COLUMNS($AO$1006:BG1006),$AO$1006:$BQ$1006,0)), HYPERLINK("#",""), HYPERLINK(CONCATENATE("#Metadata!", ADDRESS(INDEX($AJ$2:$AJ$1001,MATCH(ROWS($AH$2:AH440),$AH$2:$AH$1001,0),0), INDEX($AO$1004:$BQ$1004,1,MATCH(COLUMNS($AO$1006:BG1006),$AO$1006:$BQ$1006,0)))),"Fix")))</f>
        <v>#N/A</v>
      </c>
      <c r="U440" s="5" t="e">
        <f ca="1">IF(OR(INDEX($AI$2:$AI$1001,MATCH(ROWS($AH$2:AH440),$AH$2:$AH$1001,0),1)&gt;=100000,INDEX($AO$1005:$BQ$1005,1,MATCH(COLUMNS($AO$1006:BH1006),$AO$1006:$BQ$1006,0))&gt;=100000), " ",IF(INDEX($AO$2:$BQ$1001,MATCH(ROWS($AH$2:AH440),$AH$2:$AH$1001,0),MATCH(COLUMNS($AO$1006:BH1006),$AO$1006:$BQ$1006,0)), HYPERLINK("#",""), HYPERLINK(CONCATENATE("#Metadata!", ADDRESS(INDEX($AJ$2:$AJ$1001,MATCH(ROWS($AH$2:AH440),$AH$2:$AH$1001,0),0), INDEX($AO$1004:$BQ$1004,1,MATCH(COLUMNS($AO$1006:BH1006),$AO$1006:$BQ$1006,0)))),"Fix")))</f>
        <v>#N/A</v>
      </c>
      <c r="V440" s="5" t="e">
        <f ca="1">IF(OR(INDEX($AI$2:$AI$1001,MATCH(ROWS($AH$2:AH440),$AH$2:$AH$1001,0),1)&gt;=100000,INDEX($AO$1005:$BQ$1005,1,MATCH(COLUMNS($AO$1006:BI1006),$AO$1006:$BQ$1006,0))&gt;=100000), " ",IF(INDEX($AO$2:$BQ$1001,MATCH(ROWS($AH$2:AH440),$AH$2:$AH$1001,0),MATCH(COLUMNS($AO$1006:BI1006),$AO$1006:$BQ$1006,0)), HYPERLINK("#",""), HYPERLINK(CONCATENATE("#Metadata!", ADDRESS(INDEX($AJ$2:$AJ$1001,MATCH(ROWS($AH$2:AH440),$AH$2:$AH$1001,0),0), INDEX($AO$1004:$BQ$1004,1,MATCH(COLUMNS($AO$1006:BI1006),$AO$1006:$BQ$1006,0)))),"Fix")))</f>
        <v>#N/A</v>
      </c>
      <c r="W440" s="5" t="e">
        <f ca="1">IF(OR(INDEX($AI$2:$AI$1001,MATCH(ROWS($AH$2:AH440),$AH$2:$AH$1001,0),1)&gt;=100000,INDEX($AO$1005:$BQ$1005,1,MATCH(COLUMNS($AO$1006:BJ1006),$AO$1006:$BQ$1006,0))&gt;=100000), " ",IF(INDEX($AO$2:$BQ$1001,MATCH(ROWS($AH$2:AH440),$AH$2:$AH$1001,0),MATCH(COLUMNS($AO$1006:BJ1006),$AO$1006:$BQ$1006,0)), HYPERLINK("#",""), HYPERLINK(CONCATENATE("#Metadata!", ADDRESS(INDEX($AJ$2:$AJ$1001,MATCH(ROWS($AH$2:AH440),$AH$2:$AH$1001,0),0), INDEX($AO$1004:$BQ$1004,1,MATCH(COLUMNS($AO$1006:BJ1006),$AO$1006:$BQ$1006,0)))),"Fix")))</f>
        <v>#N/A</v>
      </c>
      <c r="X440" s="5" t="e">
        <f ca="1">IF(OR(INDEX($AI$2:$AI$1001,MATCH(ROWS($AH$2:AH440),$AH$2:$AH$1001,0),1)&gt;=100000,INDEX($AO$1005:$BQ$1005,1,MATCH(COLUMNS($AO$1006:BK1006),$AO$1006:$BQ$1006,0))&gt;=100000), " ",IF(INDEX($AO$2:$BQ$1001,MATCH(ROWS($AH$2:AH440),$AH$2:$AH$1001,0),MATCH(COLUMNS($AO$1006:BK1006),$AO$1006:$BQ$1006,0)), HYPERLINK("#",""), HYPERLINK(CONCATENATE("#Metadata!", ADDRESS(INDEX($AJ$2:$AJ$1001,MATCH(ROWS($AH$2:AH440),$AH$2:$AH$1001,0),0), INDEX($AO$1004:$BQ$1004,1,MATCH(COLUMNS($AO$1006:BK1006),$AO$1006:$BQ$1006,0)))),"Fix")))</f>
        <v>#N/A</v>
      </c>
      <c r="Y440" s="5" t="e">
        <f ca="1">IF(OR(INDEX($AI$2:$AI$1001,MATCH(ROWS($AH$2:AH440),$AH$2:$AH$1001,0),1)&gt;=100000,INDEX($AO$1005:$BQ$1005,1,MATCH(COLUMNS($AO$1006:BL1006),$AO$1006:$BQ$1006,0))&gt;=100000), " ",IF(INDEX($AO$2:$BQ$1001,MATCH(ROWS($AH$2:AH440),$AH$2:$AH$1001,0),MATCH(COLUMNS($AO$1006:BL1006),$AO$1006:$BQ$1006,0)), HYPERLINK("#",""), HYPERLINK(CONCATENATE("#Metadata!", ADDRESS(INDEX($AJ$2:$AJ$1001,MATCH(ROWS($AH$2:AH440),$AH$2:$AH$1001,0),0), INDEX($AO$1004:$BQ$1004,1,MATCH(COLUMNS($AO$1006:BL1006),$AO$1006:$BQ$1006,0)))),"Fix")))</f>
        <v>#N/A</v>
      </c>
      <c r="Z440" s="5" t="e">
        <f ca="1">IF(OR(INDEX($AI$2:$AI$1001,MATCH(ROWS($AH$2:AH440),$AH$2:$AH$1001,0),1)&gt;=100000,INDEX($AO$1005:$BQ$1005,1,MATCH(COLUMNS($AO$1006:BM1006),$AO$1006:$BQ$1006,0))&gt;=100000), " ",IF(INDEX($AO$2:$BQ$1001,MATCH(ROWS($AH$2:AH440),$AH$2:$AH$1001,0),MATCH(COLUMNS($AO$1006:BM1006),$AO$1006:$BQ$1006,0)), HYPERLINK("#",""), HYPERLINK(CONCATENATE("#Metadata!", ADDRESS(INDEX($AJ$2:$AJ$1001,MATCH(ROWS($AH$2:AH440),$AH$2:$AH$1001,0),0), INDEX($AO$1004:$BQ$1004,1,MATCH(COLUMNS($AO$1006:BM1006),$AO$1006:$BQ$1006,0)))),"Fix")))</f>
        <v>#N/A</v>
      </c>
      <c r="AA440" s="5" t="e">
        <f ca="1">IF(OR(INDEX($AI$2:$AI$1001,MATCH(ROWS($AH$2:AH440),$AH$2:$AH$1001,0),1)&gt;=100000,INDEX($AO$1005:$BQ$1005,1,MATCH(COLUMNS($AO$1006:BN1006),$AO$1006:$BQ$1006,0))&gt;=100000), " ",IF(INDEX($AO$2:$BQ$1001,MATCH(ROWS($AH$2:AH440),$AH$2:$AH$1001,0),MATCH(COLUMNS($AO$1006:BN1006),$AO$1006:$BQ$1006,0)), HYPERLINK("#",""), HYPERLINK(CONCATENATE("#Metadata!", ADDRESS(INDEX($AJ$2:$AJ$1001,MATCH(ROWS($AH$2:AH440),$AH$2:$AH$1001,0),0), INDEX($AO$1004:$BQ$1004,1,MATCH(COLUMNS($AO$1006:BN1006),$AO$1006:$BQ$1006,0)))),"Fix")))</f>
        <v>#N/A</v>
      </c>
      <c r="AB440" s="5" t="e">
        <f ca="1">IF(OR(INDEX($AI$2:$AI$1001,MATCH(ROWS($AH$2:AH440),$AH$2:$AH$1001,0),1)&gt;=100000,INDEX($AO$1005:$BQ$1005,1,MATCH(COLUMNS($AO$1006:BO1006),$AO$1006:$BQ$1006,0))&gt;=100000), " ",IF(INDEX($AO$2:$BQ$1001,MATCH(ROWS($AH$2:AH440),$AH$2:$AH$1001,0),MATCH(COLUMNS($AO$1006:BO1006),$AO$1006:$BQ$1006,0)), HYPERLINK("#",""), HYPERLINK(CONCATENATE("#Metadata!", ADDRESS(INDEX($AJ$2:$AJ$1001,MATCH(ROWS($AH$2:AH440),$AH$2:$AH$1001,0),0), INDEX($AO$1004:$BQ$1004,1,MATCH(COLUMNS($AO$1006:BO1006),$AO$1006:$BQ$1006,0)))),"Fix")))</f>
        <v>#N/A</v>
      </c>
      <c r="AC440" s="5" t="e">
        <f ca="1">IF(OR(INDEX($AI$2:$AI$1001,MATCH(ROWS($AH$2:AH440),$AH$2:$AH$1001,0),1)&gt;=100000,INDEX($AO$1005:$BQ$1005,1,MATCH(COLUMNS($AO$1006:BP1006),$AO$1006:$BQ$1006,0))&gt;=100000), " ",IF(INDEX($AO$2:$BQ$1001,MATCH(ROWS($AH$2:AH440),$AH$2:$AH$1001,0),MATCH(COLUMNS($AO$1006:BP1006),$AO$1006:$BQ$1006,0)), HYPERLINK("#",""), HYPERLINK(CONCATENATE("#Metadata!", ADDRESS(INDEX($AJ$2:$AJ$1001,MATCH(ROWS($AH$2:AH440),$AH$2:$AH$1001,0),0), INDEX($AO$1004:$BQ$1004,1,MATCH(COLUMNS($AO$1006:BP1006),$AO$1006:$BQ$1006,0)))),"Fix")))</f>
        <v>#N/A</v>
      </c>
      <c r="AD440" s="5" t="e">
        <f ca="1">IF(OR(INDEX($AI$2:$AI$1001,MATCH(ROWS($AH$2:AH440),$AH$2:$AH$1001,0),1)&gt;=100000,INDEX($AO$1005:$BQ$1005,1,MATCH(COLUMNS($AO$1006:BQ1006),$AO$1006:$BQ$1006,0))&gt;=100000), " ",IF(INDEX($AO$2:$BQ$1001,MATCH(ROWS($AH$2:AH440),$AH$2:$AH$1001,0),MATCH(COLUMNS($AO$1006:BQ1006),$AO$1006:$BQ$1006,0)), HYPERLINK("#",""), HYPERLINK(CONCATENATE("#Metadata!", ADDRESS(INDEX($AJ$2:$AJ$1001,MATCH(ROWS($AH$2:AH440),$AH$2:$AH$1001,0),0), INDEX($AO$1004:$BQ$1004,1,MATCH(COLUMNS($AO$1006:BQ1006),$AO$1006:$BQ$1006,0)))),"Fix")))</f>
        <v>#REF!</v>
      </c>
      <c r="AH440">
        <f ca="1"/>
        <v>437</v>
      </c>
      <c r="AI440">
        <v>100440</v>
      </c>
      <c r="AJ440">
        <v>440</v>
      </c>
      <c r="AK440" t="b">
        <f t="shared" si="6"/>
        <v>1</v>
      </c>
      <c r="AL440" t="b">
        <f>COUNTBLANK(Metadata!B440:AD440)=COLUMNS(Metadata!B440:AD440)</f>
        <v>1</v>
      </c>
      <c r="AM440" t="str">
        <v/>
      </c>
      <c r="AO440" t="b">
        <f ca="1">AND(IF(Metadata!B440="",FALSE,TRUE),COUNTIF(Metadata!B:B, Metadata!B440) = 1,NOT(ISERROR(SUMPRODUCT(SEARCH(MID(Metadata!B440,ROW(INDIRECT("1:"&amp;LEN(Metadata!B440))), 1),"0123456789abcdefghijklmnopqrstuvwxyzABCDEFGHIJKLMNOPQRSTUVWXYZ.")))))</f>
        <v>0</v>
      </c>
      <c r="AP440" t="b">
        <f>IF(Metadata!C440="",FALSE,TRUE)</f>
        <v>0</v>
      </c>
      <c r="AQ440" t="b">
        <f>IF(Metadata!D440="",FALSE,TRUE)</f>
        <v>0</v>
      </c>
      <c r="AR440" t="b">
        <f ca="1">OR(AND(IF(Metadata!E440="",FALSE,TRUE),OR(EXACT(Metadata!E440,"not collected"),EXACT(Metadata!E440,"not provided"),EXACT(Metadata!E440,"restricted access"))),AND(IF(Metadata!E440="",FALSE,TRUE),AND(AND(IFERROR(INT(LEFT(Metadata!E440,4))&gt;1900,FALSE),IFERROR(INT(LEFT(Metadata!E440,4))&lt;=YEAR(NOW()),FALSE)), OR(MID(Metadata!E440,5,1)="", AND(AND(MID(Metadata!E440,5,1)="-",IFERROR(INT(MID(Metadata!E440,6,1))&gt;=0,FALSE),IFERROR(INT(MID(Metadata!E440,6,1))&lt;=1,FALSE),NOT(MID(Metadata!E440,7,1)=""),IFERROR(INT(MID(Metadata!E440,6,2))&gt;=1,FALSE),IFERROR(INT(MID(Metadata!E440,6,2))&lt;=12,FALSE)), OR(MID(Metadata!E440,8,1)="", AND(AND(MID(Metadata!E440,8,1)="-",IFERROR(INT(MID(Metadata!E440,9,1))&gt;=0,FALSE),IFERROR(INT(MID(Metadata!E440,9,1))&lt;=3,FALSE),NOT(MID(Metadata!E440,10,1)=""),IFERROR(INT(MID(Metadata!E440,9,2))&gt;=1,FALSE),IFERROR(INT(MID(Metadata!E440,9,2))&lt;=31,FALSE)), OR(MID(Metadata!E440,11,1)="", AND(AND(MID(Metadata!E440,11,1)=" ",IFERROR(INT(MID(Metadata!E440,12,1))&gt;=0,FALSE),IFERROR(INT(MID(Metadata!E440,12,1))&lt;=2,FALSE),NOT(MID(Metadata!E440,13,1)=""),IFERROR(INT(MID(Metadata!E440,12,2))&gt;=0,FALSE),IFERROR(INT(MID(Metadata!E440,12,2))&lt;=23,FALSE)), OR(MID(Metadata!E440,14,1)="", AND(AND(MID(Metadata!E440,14,1)=":",IFERROR(INT(MID(Metadata!E440,15,1))&gt;=0,FALSE),IFERROR(INT(MID(Metadata!E440,15,1))&lt;=5,FALSE),NOT(MID(Metadata!E440,16,1)=""),IFERROR(INT(MID(Metadata!E440,15,2))&gt;=0,FALSE),IFERROR(INT(MID(Metadata!E440,15,2))&lt;=59,FALSE)), OR(MID(Metadata!E440,17,1)="", AND(AND(MID(Metadata!E440,17,1)=":",IFERROR(INT(MID(Metadata!E440,18,1))&gt;=0,FALSE),IFERROR(INT(MID(Metadata!E440,18,1))&lt;=5,FALSE),NOT(MID(Metadata!E440,19,1)=""),IFERROR(INT(MID(Metadata!E440,18,2))&gt;=0,FALSE),IFERROR(INT(MID(Metadata!E440,18,2))&lt;=59,FALSE)), LEN(Metadata!E440)&lt;=19)))))))))))))</f>
        <v>0</v>
      </c>
      <c r="AS440" t="b">
        <f>IF(Metadata!F440="",FALSE,TRUE)</f>
        <v>0</v>
      </c>
      <c r="AT440" t="b">
        <f>OR(AND(IF(Metadata!G440="",FALSE,TRUE),OR(EXACT(Metadata!G440,"not collected"),EXACT(Metadata!G440,"not provided"))),AND(IF(Metadata!G440="",FALSE,TRUE),OR(EXACT(Metadata!G440,"TRUE"),EXACT(Metadata!G440,"FALSE"))))</f>
        <v>0</v>
      </c>
      <c r="AU440" t="b">
        <f>OR(AND(IF(Metadata!H440="",FALSE,TRUE),OR(EXACT(Metadata!H440,"not collected"),EXACT(Metadata!H440,"not provided"),EXACT(Metadata!H440,"restricted access"))),AND(IF(Metadata!H440="",FALSE,ISNUMBER(VALUE(Metadata!H440))),Metadata!H440&gt;=-413))</f>
        <v>0</v>
      </c>
      <c r="AV440" t="b">
        <f>AND(IF(Metadata!I440="",FALSE,TRUE),EXACT(Metadata!I440,"meters"))</f>
        <v>0</v>
      </c>
      <c r="AW440" t="b">
        <f>AND(IF(Metadata!J440="",FALSE,TRUE),EXACT(Metadata!J440,"free-living"))</f>
        <v>0</v>
      </c>
      <c r="AX440" t="b">
        <f>AND(IF(Metadata!K440="",FALSE,TRUE),OR(EXACT(Metadata!K440,"saline"),EXACT(Metadata!K440,"non-saline")))</f>
        <v>0</v>
      </c>
      <c r="AY440" t="b">
        <f>AND(IF(Metadata!L440="",FALSE,TRUE),OR(EXACT(Metadata!L440,"sub-surface (non-saline)"),EXACT(Metadata!L440,"surface (non-saline)"),EXACT(Metadata!L440,"water (non-saline)"),EXACT(Metadata!L440,"soil (non-saline)"),EXACT(Metadata!L440,"aerosol (non-saline)"),EXACT(Metadata!L440,"sediment (non-saline)"),EXACT(Metadata!L440,"surface (saline)"),EXACT(Metadata!L440,"water (saline)"),EXACT(Metadata!L440,"hypersaline (saline)"),EXACT(Metadata!L440,"aerosol (saline)"),EXACT(Metadata!L440,"sediment (saline)")))</f>
        <v>0</v>
      </c>
      <c r="AZ440" t="b">
        <f>IF(Metadata!M440="",FALSE,TRUE)</f>
        <v>0</v>
      </c>
      <c r="BA440" t="b">
        <f>IF(Metadata!N440="",FALSE,TRUE)</f>
        <v>0</v>
      </c>
      <c r="BB440" t="b">
        <f>IF(Metadata!O440="",FALSE,TRUE)</f>
        <v>0</v>
      </c>
      <c r="BC440" t="b">
        <f>AND(IF(Metadata!P440="",FALSE,TRUE),OR(EXACT(Metadata!P440,"air"),EXACT(Metadata!P440,"microbial mat/biofilm"),EXACT(Metadata!P440,"misc environment"),EXACT(Metadata!P440,"sediment"),EXACT(Metadata!P440,"soil"),EXACT(Metadata!P440,"wastewater/sludge"),EXACT(Metadata!P440,"water")))</f>
        <v>0</v>
      </c>
      <c r="BD440" t="b">
        <f>IF(Metadata!Q440="",FALSE,TRUE)</f>
        <v>0</v>
      </c>
      <c r="BE440" t="b">
        <f>IF(Metadata!R440="",FALSE,TRUE)</f>
        <v>0</v>
      </c>
      <c r="BF440" t="b">
        <f>OR(AND(IF(Metadata!S440="",FALSE,TRUE),OR(EXACT(Metadata!S440,"not collected"),EXACT(Metadata!S440,"not provided"),EXACT(Metadata!S440,"restricted access"))),AND(IF(Metadata!S440="",FALSE,ISNUMBER(VALUE(Metadata!S440))),Metadata!S440&gt;=-90,Metadata!S440&lt;=90))</f>
        <v>0</v>
      </c>
      <c r="BG440" t="b">
        <f>AND(IF(Metadata!T440="",FALSE,TRUE),EXACT(Metadata!T440,"Decimal degrees"))</f>
        <v>0</v>
      </c>
      <c r="BH440" t="b">
        <f>OR(AND(IF(Metadata!U440="",FALSE,TRUE),OR(EXACT(Metadata!U440,"not applicable"),EXACT(Metadata!U440,"not collected"))),IF(Metadata!U440="",FALSE,TRUE))</f>
        <v>0</v>
      </c>
      <c r="BI440" t="b">
        <f>OR(AND(IF(Metadata!V440="",FALSE,TRUE),OR(EXACT(Metadata!V440,"not collected"),EXACT(Metadata!V440,"not provided"),EXACT(Metadata!V440,"restricted access"))),AND(IF(Metadata!V440="",FALSE,ISNUMBER(VALUE(Metadata!V440))),Metadata!V440&gt;=-180,Metadata!V440&lt;=180))</f>
        <v>0</v>
      </c>
      <c r="BJ440" t="b">
        <f>AND(IF(Metadata!W440="",FALSE,TRUE),EXACT(Metadata!W440,"Decimal degrees"))</f>
        <v>0</v>
      </c>
      <c r="BK440" t="b">
        <f>IF(Metadata!X440="",FALSE,TRUE)</f>
        <v>0</v>
      </c>
      <c r="BL440" t="b">
        <f>OR(AND(IF(Metadata!Y440="",FALSE,TRUE),OR(EXACT(Metadata!Y440,"not collected"),EXACT(Metadata!Y440,"not provided"),EXACT(Metadata!Y440,"restricted access"))),AND(IF(Metadata!Y440="",FALSE,TRUE),OR(EXACT(Metadata!Y440,"TRUE"),EXACT(Metadata!Y440,"FALSE"))))</f>
        <v>0</v>
      </c>
      <c r="BM440" t="b">
        <f>OR(AND(IF(Metadata!Z440="",FALSE,TRUE),EXACT(Metadata!Z440,"not applicable")),AND(IF(Metadata!Z440="",FALSE,TRUE),OR(EXACT(Metadata!Z440,"beer"),EXACT(Metadata!Z440,"cheese"),EXACT(Metadata!Z440,"fresh water"),EXACT(Metadata!Z440,"marine sediment"),EXACT(Metadata!Z440,"sea water"),EXACT(Metadata!Z440,"sediment"),EXACT(Metadata!Z440,"soil"),EXACT(Metadata!Z440,"waste water"))))</f>
        <v>0</v>
      </c>
      <c r="BN440" t="b">
        <f>AND(IF(Metadata!AA440="",FALSE,TRUE),EXACT(Metadata!AA440,"metagenome"))</f>
        <v>0</v>
      </c>
      <c r="BO440" t="b">
        <f>AND(IF(Metadata!AB440="",FALSE,TRUE),EXACT(Metadata!AB440,"256318"))</f>
        <v>0</v>
      </c>
      <c r="BP440" t="b">
        <f>IF(Metadata!AC440="",FALSE,TRUE)</f>
        <v>0</v>
      </c>
      <c r="BQ440" t="b">
        <f>IF(Metadata!AD440="",FALSE,TRUE)</f>
        <v>0</v>
      </c>
    </row>
    <row r="441" spans="1:69" x14ac:dyDescent="0.2">
      <c r="A441" s="4" t="e">
        <f ca="1">IF(B441=" "," ",HYPERLINK(CONCATENATE("#metadata!",ADDRESS(INDEX($AJ$2:$AJ$1001,MATCH(ROWS($AH$2:AH441),$AH$2:$AH$1001,0),0),2)),INDEX($AM$2:$AM$1001,MATCH(ROWS($AH$2:AH441),$AH$2:$AH$1001,0),0)))</f>
        <v>#N/A</v>
      </c>
      <c r="B441" s="5" t="e">
        <f ca="1">IF(OR(INDEX($AI$2:$AI$1001,MATCH(ROWS($AH$2:AH441),$AH$2:$AH$1001,0),1)&gt;=100000,INDEX($AO$1005:$BQ$1005,1,MATCH(COLUMNS($AO$1006:AO1006),$AO$1006:$BQ$1006,0))&gt;=100000), " ",IF(INDEX($AO$2:$BQ$1001,MATCH(ROWS($AH$2:AH441),$AH$2:$AH$1001,0),MATCH(COLUMNS($AO$1006:AO1006),$AO$1006:$BQ$1006,0)), HYPERLINK("#",""), HYPERLINK(CONCATENATE("#Metadata!", ADDRESS(INDEX($AJ$2:$AJ$1001,MATCH(ROWS($AH$2:AH441),$AH$2:$AH$1001,0),0), INDEX($AO$1004:$BQ$1004,1,MATCH(COLUMNS($AO$1006:AO1006),$AO$1006:$BQ$1006,0)))),"Fix")))</f>
        <v>#N/A</v>
      </c>
      <c r="C441" s="5" t="e">
        <f ca="1">IF(OR(INDEX($AI$2:$AI$1001,MATCH(ROWS($AH$2:AH441),$AH$2:$AH$1001,0),1)&gt;=100000,INDEX($AO$1005:$BQ$1005,1,MATCH(COLUMNS($AO$1006:AP1006),$AO$1006:$BQ$1006,0))&gt;=100000), " ",IF(INDEX($AO$2:$BQ$1001,MATCH(ROWS($AH$2:AH441),$AH$2:$AH$1001,0),MATCH(COLUMNS($AO$1006:AP1006),$AO$1006:$BQ$1006,0)), HYPERLINK("#",""), HYPERLINK(CONCATENATE("#Metadata!", ADDRESS(INDEX($AJ$2:$AJ$1001,MATCH(ROWS($AH$2:AH441),$AH$2:$AH$1001,0),0), INDEX($AO$1004:$BQ$1004,1,MATCH(COLUMNS($AO$1006:AP1006),$AO$1006:$BQ$1006,0)))),"Fix")))</f>
        <v>#N/A</v>
      </c>
      <c r="D441" s="5" t="e">
        <f ca="1">IF(OR(INDEX($AI$2:$AI$1001,MATCH(ROWS($AH$2:AH441),$AH$2:$AH$1001,0),1)&gt;=100000,INDEX($AO$1005:$BQ$1005,1,MATCH(COLUMNS($AO$1006:AQ1006),$AO$1006:$BQ$1006,0))&gt;=100000), " ",IF(INDEX($AO$2:$BQ$1001,MATCH(ROWS($AH$2:AH441),$AH$2:$AH$1001,0),MATCH(COLUMNS($AO$1006:AQ1006),$AO$1006:$BQ$1006,0)), HYPERLINK("#",""), HYPERLINK(CONCATENATE("#Metadata!", ADDRESS(INDEX($AJ$2:$AJ$1001,MATCH(ROWS($AH$2:AH441),$AH$2:$AH$1001,0),0), INDEX($AO$1004:$BQ$1004,1,MATCH(COLUMNS($AO$1006:AQ1006),$AO$1006:$BQ$1006,0)))),"Fix")))</f>
        <v>#N/A</v>
      </c>
      <c r="E441" s="5" t="e">
        <f ca="1">IF(OR(INDEX($AI$2:$AI$1001,MATCH(ROWS($AH$2:AH441),$AH$2:$AH$1001,0),1)&gt;=100000,INDEX($AO$1005:$BQ$1005,1,MATCH(COLUMNS($AO$1006:AR1006),$AO$1006:$BQ$1006,0))&gt;=100000), " ",IF(INDEX($AO$2:$BQ$1001,MATCH(ROWS($AH$2:AH441),$AH$2:$AH$1001,0),MATCH(COLUMNS($AO$1006:AR1006),$AO$1006:$BQ$1006,0)), HYPERLINK("#",""), HYPERLINK(CONCATENATE("#Metadata!", ADDRESS(INDEX($AJ$2:$AJ$1001,MATCH(ROWS($AH$2:AH441),$AH$2:$AH$1001,0),0), INDEX($AO$1004:$BQ$1004,1,MATCH(COLUMNS($AO$1006:AR1006),$AO$1006:$BQ$1006,0)))),"Fix")))</f>
        <v>#N/A</v>
      </c>
      <c r="F441" s="5" t="e">
        <f ca="1">IF(OR(INDEX($AI$2:$AI$1001,MATCH(ROWS($AH$2:AH441),$AH$2:$AH$1001,0),1)&gt;=100000,INDEX($AO$1005:$BQ$1005,1,MATCH(COLUMNS($AO$1006:AS1006),$AO$1006:$BQ$1006,0))&gt;=100000), " ",IF(INDEX($AO$2:$BQ$1001,MATCH(ROWS($AH$2:AH441),$AH$2:$AH$1001,0),MATCH(COLUMNS($AO$1006:AS1006),$AO$1006:$BQ$1006,0)), HYPERLINK("#",""), HYPERLINK(CONCATENATE("#Metadata!", ADDRESS(INDEX($AJ$2:$AJ$1001,MATCH(ROWS($AH$2:AH441),$AH$2:$AH$1001,0),0), INDEX($AO$1004:$BQ$1004,1,MATCH(COLUMNS($AO$1006:AS1006),$AO$1006:$BQ$1006,0)))),"Fix")))</f>
        <v>#N/A</v>
      </c>
      <c r="G441" s="5" t="e">
        <f ca="1">IF(OR(INDEX($AI$2:$AI$1001,MATCH(ROWS($AH$2:AH441),$AH$2:$AH$1001,0),1)&gt;=100000,INDEX($AO$1005:$BQ$1005,1,MATCH(COLUMNS($AO$1006:AT1006),$AO$1006:$BQ$1006,0))&gt;=100000), " ",IF(INDEX($AO$2:$BQ$1001,MATCH(ROWS($AH$2:AH441),$AH$2:$AH$1001,0),MATCH(COLUMNS($AO$1006:AT1006),$AO$1006:$BQ$1006,0)), HYPERLINK("#",""), HYPERLINK(CONCATENATE("#Metadata!", ADDRESS(INDEX($AJ$2:$AJ$1001,MATCH(ROWS($AH$2:AH441),$AH$2:$AH$1001,0),0), INDEX($AO$1004:$BQ$1004,1,MATCH(COLUMNS($AO$1006:AT1006),$AO$1006:$BQ$1006,0)))),"Fix")))</f>
        <v>#N/A</v>
      </c>
      <c r="H441" s="5" t="e">
        <f ca="1">IF(OR(INDEX($AI$2:$AI$1001,MATCH(ROWS($AH$2:AH441),$AH$2:$AH$1001,0),1)&gt;=100000,INDEX($AO$1005:$BQ$1005,1,MATCH(COLUMNS($AO$1006:AU1006),$AO$1006:$BQ$1006,0))&gt;=100000), " ",IF(INDEX($AO$2:$BQ$1001,MATCH(ROWS($AH$2:AH441),$AH$2:$AH$1001,0),MATCH(COLUMNS($AO$1006:AU1006),$AO$1006:$BQ$1006,0)), HYPERLINK("#",""), HYPERLINK(CONCATENATE("#Metadata!", ADDRESS(INDEX($AJ$2:$AJ$1001,MATCH(ROWS($AH$2:AH441),$AH$2:$AH$1001,0),0), INDEX($AO$1004:$BQ$1004,1,MATCH(COLUMNS($AO$1006:AU1006),$AO$1006:$BQ$1006,0)))),"Fix")))</f>
        <v>#N/A</v>
      </c>
      <c r="I441" s="5" t="e">
        <f ca="1">IF(OR(INDEX($AI$2:$AI$1001,MATCH(ROWS($AH$2:AH441),$AH$2:$AH$1001,0),1)&gt;=100000,INDEX($AO$1005:$BQ$1005,1,MATCH(COLUMNS($AO$1006:AV1006),$AO$1006:$BQ$1006,0))&gt;=100000), " ",IF(INDEX($AO$2:$BQ$1001,MATCH(ROWS($AH$2:AH441),$AH$2:$AH$1001,0),MATCH(COLUMNS($AO$1006:AV1006),$AO$1006:$BQ$1006,0)), HYPERLINK("#",""), HYPERLINK(CONCATENATE("#Metadata!", ADDRESS(INDEX($AJ$2:$AJ$1001,MATCH(ROWS($AH$2:AH441),$AH$2:$AH$1001,0),0), INDEX($AO$1004:$BQ$1004,1,MATCH(COLUMNS($AO$1006:AV1006),$AO$1006:$BQ$1006,0)))),"Fix")))</f>
        <v>#N/A</v>
      </c>
      <c r="J441" s="5" t="e">
        <f ca="1">IF(OR(INDEX($AI$2:$AI$1001,MATCH(ROWS($AH$2:AH441),$AH$2:$AH$1001,0),1)&gt;=100000,INDEX($AO$1005:$BQ$1005,1,MATCH(COLUMNS($AO$1006:AW1006),$AO$1006:$BQ$1006,0))&gt;=100000), " ",IF(INDEX($AO$2:$BQ$1001,MATCH(ROWS($AH$2:AH441),$AH$2:$AH$1001,0),MATCH(COLUMNS($AO$1006:AW1006),$AO$1006:$BQ$1006,0)), HYPERLINK("#",""), HYPERLINK(CONCATENATE("#Metadata!", ADDRESS(INDEX($AJ$2:$AJ$1001,MATCH(ROWS($AH$2:AH441),$AH$2:$AH$1001,0),0), INDEX($AO$1004:$BQ$1004,1,MATCH(COLUMNS($AO$1006:AW1006),$AO$1006:$BQ$1006,0)))),"Fix")))</f>
        <v>#N/A</v>
      </c>
      <c r="K441" s="5" t="e">
        <f ca="1">IF(OR(INDEX($AI$2:$AI$1001,MATCH(ROWS($AH$2:AH441),$AH$2:$AH$1001,0),1)&gt;=100000,INDEX($AO$1005:$BQ$1005,1,MATCH(COLUMNS($AO$1006:AX1006),$AO$1006:$BQ$1006,0))&gt;=100000), " ",IF(INDEX($AO$2:$BQ$1001,MATCH(ROWS($AH$2:AH441),$AH$2:$AH$1001,0),MATCH(COLUMNS($AO$1006:AX1006),$AO$1006:$BQ$1006,0)), HYPERLINK("#",""), HYPERLINK(CONCATENATE("#Metadata!", ADDRESS(INDEX($AJ$2:$AJ$1001,MATCH(ROWS($AH$2:AH441),$AH$2:$AH$1001,0),0), INDEX($AO$1004:$BQ$1004,1,MATCH(COLUMNS($AO$1006:AX1006),$AO$1006:$BQ$1006,0)))),"Fix")))</f>
        <v>#N/A</v>
      </c>
      <c r="L441" s="5" t="e">
        <f ca="1">IF(OR(INDEX($AI$2:$AI$1001,MATCH(ROWS($AH$2:AH441),$AH$2:$AH$1001,0),1)&gt;=100000,INDEX($AO$1005:$BQ$1005,1,MATCH(COLUMNS($AO$1006:AY1006),$AO$1006:$BQ$1006,0))&gt;=100000), " ",IF(INDEX($AO$2:$BQ$1001,MATCH(ROWS($AH$2:AH441),$AH$2:$AH$1001,0),MATCH(COLUMNS($AO$1006:AY1006),$AO$1006:$BQ$1006,0)), HYPERLINK("#",""), HYPERLINK(CONCATENATE("#Metadata!", ADDRESS(INDEX($AJ$2:$AJ$1001,MATCH(ROWS($AH$2:AH441),$AH$2:$AH$1001,0),0), INDEX($AO$1004:$BQ$1004,1,MATCH(COLUMNS($AO$1006:AY1006),$AO$1006:$BQ$1006,0)))),"Fix")))</f>
        <v>#N/A</v>
      </c>
      <c r="M441" s="5" t="e">
        <f ca="1">IF(OR(INDEX($AI$2:$AI$1001,MATCH(ROWS($AH$2:AH441),$AH$2:$AH$1001,0),1)&gt;=100000,INDEX($AO$1005:$BQ$1005,1,MATCH(COLUMNS($AO$1006:AZ1006),$AO$1006:$BQ$1006,0))&gt;=100000), " ",IF(INDEX($AO$2:$BQ$1001,MATCH(ROWS($AH$2:AH441),$AH$2:$AH$1001,0),MATCH(COLUMNS($AO$1006:AZ1006),$AO$1006:$BQ$1006,0)), HYPERLINK("#",""), HYPERLINK(CONCATENATE("#Metadata!", ADDRESS(INDEX($AJ$2:$AJ$1001,MATCH(ROWS($AH$2:AH441),$AH$2:$AH$1001,0),0), INDEX($AO$1004:$BQ$1004,1,MATCH(COLUMNS($AO$1006:AZ1006),$AO$1006:$BQ$1006,0)))),"Fix")))</f>
        <v>#N/A</v>
      </c>
      <c r="N441" s="5" t="e">
        <f ca="1">IF(OR(INDEX($AI$2:$AI$1001,MATCH(ROWS($AH$2:AH441),$AH$2:$AH$1001,0),1)&gt;=100000,INDEX($AO$1005:$BQ$1005,1,MATCH(COLUMNS($AO$1006:BA1006),$AO$1006:$BQ$1006,0))&gt;=100000), " ",IF(INDEX($AO$2:$BQ$1001,MATCH(ROWS($AH$2:AH441),$AH$2:$AH$1001,0),MATCH(COLUMNS($AO$1006:BA1006),$AO$1006:$BQ$1006,0)), HYPERLINK("#",""), HYPERLINK(CONCATENATE("#Metadata!", ADDRESS(INDEX($AJ$2:$AJ$1001,MATCH(ROWS($AH$2:AH441),$AH$2:$AH$1001,0),0), INDEX($AO$1004:$BQ$1004,1,MATCH(COLUMNS($AO$1006:BA1006),$AO$1006:$BQ$1006,0)))),"Fix")))</f>
        <v>#N/A</v>
      </c>
      <c r="O441" s="5" t="e">
        <f ca="1">IF(OR(INDEX($AI$2:$AI$1001,MATCH(ROWS($AH$2:AH441),$AH$2:$AH$1001,0),1)&gt;=100000,INDEX($AO$1005:$BQ$1005,1,MATCH(COLUMNS($AO$1006:BB1006),$AO$1006:$BQ$1006,0))&gt;=100000), " ",IF(INDEX($AO$2:$BQ$1001,MATCH(ROWS($AH$2:AH441),$AH$2:$AH$1001,0),MATCH(COLUMNS($AO$1006:BB1006),$AO$1006:$BQ$1006,0)), HYPERLINK("#",""), HYPERLINK(CONCATENATE("#Metadata!", ADDRESS(INDEX($AJ$2:$AJ$1001,MATCH(ROWS($AH$2:AH441),$AH$2:$AH$1001,0),0), INDEX($AO$1004:$BQ$1004,1,MATCH(COLUMNS($AO$1006:BB1006),$AO$1006:$BQ$1006,0)))),"Fix")))</f>
        <v>#N/A</v>
      </c>
      <c r="P441" s="5" t="e">
        <f ca="1">IF(OR(INDEX($AI$2:$AI$1001,MATCH(ROWS($AH$2:AH441),$AH$2:$AH$1001,0),1)&gt;=100000,INDEX($AO$1005:$BQ$1005,1,MATCH(COLUMNS($AO$1006:BC1006),$AO$1006:$BQ$1006,0))&gt;=100000), " ",IF(INDEX($AO$2:$BQ$1001,MATCH(ROWS($AH$2:AH441),$AH$2:$AH$1001,0),MATCH(COLUMNS($AO$1006:BC1006),$AO$1006:$BQ$1006,0)), HYPERLINK("#",""), HYPERLINK(CONCATENATE("#Metadata!", ADDRESS(INDEX($AJ$2:$AJ$1001,MATCH(ROWS($AH$2:AH441),$AH$2:$AH$1001,0),0), INDEX($AO$1004:$BQ$1004,1,MATCH(COLUMNS($AO$1006:BC1006),$AO$1006:$BQ$1006,0)))),"Fix")))</f>
        <v>#N/A</v>
      </c>
      <c r="Q441" s="5" t="e">
        <f ca="1">IF(OR(INDEX($AI$2:$AI$1001,MATCH(ROWS($AH$2:AH441),$AH$2:$AH$1001,0),1)&gt;=100000,INDEX($AO$1005:$BQ$1005,1,MATCH(COLUMNS($AO$1006:BD1006),$AO$1006:$BQ$1006,0))&gt;=100000), " ",IF(INDEX($AO$2:$BQ$1001,MATCH(ROWS($AH$2:AH441),$AH$2:$AH$1001,0),MATCH(COLUMNS($AO$1006:BD1006),$AO$1006:$BQ$1006,0)), HYPERLINK("#",""), HYPERLINK(CONCATENATE("#Metadata!", ADDRESS(INDEX($AJ$2:$AJ$1001,MATCH(ROWS($AH$2:AH441),$AH$2:$AH$1001,0),0), INDEX($AO$1004:$BQ$1004,1,MATCH(COLUMNS($AO$1006:BD1006),$AO$1006:$BQ$1006,0)))),"Fix")))</f>
        <v>#N/A</v>
      </c>
      <c r="R441" s="5" t="e">
        <f ca="1">IF(OR(INDEX($AI$2:$AI$1001,MATCH(ROWS($AH$2:AH441),$AH$2:$AH$1001,0),1)&gt;=100000,INDEX($AO$1005:$BQ$1005,1,MATCH(COLUMNS($AO$1006:BE1006),$AO$1006:$BQ$1006,0))&gt;=100000), " ",IF(INDEX($AO$2:$BQ$1001,MATCH(ROWS($AH$2:AH441),$AH$2:$AH$1001,0),MATCH(COLUMNS($AO$1006:BE1006),$AO$1006:$BQ$1006,0)), HYPERLINK("#",""), HYPERLINK(CONCATENATE("#Metadata!", ADDRESS(INDEX($AJ$2:$AJ$1001,MATCH(ROWS($AH$2:AH441),$AH$2:$AH$1001,0),0), INDEX($AO$1004:$BQ$1004,1,MATCH(COLUMNS($AO$1006:BE1006),$AO$1006:$BQ$1006,0)))),"Fix")))</f>
        <v>#N/A</v>
      </c>
      <c r="S441" s="5" t="e">
        <f ca="1">IF(OR(INDEX($AI$2:$AI$1001,MATCH(ROWS($AH$2:AH441),$AH$2:$AH$1001,0),1)&gt;=100000,INDEX($AO$1005:$BQ$1005,1,MATCH(COLUMNS($AO$1006:BF1006),$AO$1006:$BQ$1006,0))&gt;=100000), " ",IF(INDEX($AO$2:$BQ$1001,MATCH(ROWS($AH$2:AH441),$AH$2:$AH$1001,0),MATCH(COLUMNS($AO$1006:BF1006),$AO$1006:$BQ$1006,0)), HYPERLINK("#",""), HYPERLINK(CONCATENATE("#Metadata!", ADDRESS(INDEX($AJ$2:$AJ$1001,MATCH(ROWS($AH$2:AH441),$AH$2:$AH$1001,0),0), INDEX($AO$1004:$BQ$1004,1,MATCH(COLUMNS($AO$1006:BF1006),$AO$1006:$BQ$1006,0)))),"Fix")))</f>
        <v>#N/A</v>
      </c>
      <c r="T441" s="5" t="e">
        <f ca="1">IF(OR(INDEX($AI$2:$AI$1001,MATCH(ROWS($AH$2:AH441),$AH$2:$AH$1001,0),1)&gt;=100000,INDEX($AO$1005:$BQ$1005,1,MATCH(COLUMNS($AO$1006:BG1006),$AO$1006:$BQ$1006,0))&gt;=100000), " ",IF(INDEX($AO$2:$BQ$1001,MATCH(ROWS($AH$2:AH441),$AH$2:$AH$1001,0),MATCH(COLUMNS($AO$1006:BG1006),$AO$1006:$BQ$1006,0)), HYPERLINK("#",""), HYPERLINK(CONCATENATE("#Metadata!", ADDRESS(INDEX($AJ$2:$AJ$1001,MATCH(ROWS($AH$2:AH441),$AH$2:$AH$1001,0),0), INDEX($AO$1004:$BQ$1004,1,MATCH(COLUMNS($AO$1006:BG1006),$AO$1006:$BQ$1006,0)))),"Fix")))</f>
        <v>#N/A</v>
      </c>
      <c r="U441" s="5" t="e">
        <f ca="1">IF(OR(INDEX($AI$2:$AI$1001,MATCH(ROWS($AH$2:AH441),$AH$2:$AH$1001,0),1)&gt;=100000,INDEX($AO$1005:$BQ$1005,1,MATCH(COLUMNS($AO$1006:BH1006),$AO$1006:$BQ$1006,0))&gt;=100000), " ",IF(INDEX($AO$2:$BQ$1001,MATCH(ROWS($AH$2:AH441),$AH$2:$AH$1001,0),MATCH(COLUMNS($AO$1006:BH1006),$AO$1006:$BQ$1006,0)), HYPERLINK("#",""), HYPERLINK(CONCATENATE("#Metadata!", ADDRESS(INDEX($AJ$2:$AJ$1001,MATCH(ROWS($AH$2:AH441),$AH$2:$AH$1001,0),0), INDEX($AO$1004:$BQ$1004,1,MATCH(COLUMNS($AO$1006:BH1006),$AO$1006:$BQ$1006,0)))),"Fix")))</f>
        <v>#N/A</v>
      </c>
      <c r="V441" s="5" t="e">
        <f ca="1">IF(OR(INDEX($AI$2:$AI$1001,MATCH(ROWS($AH$2:AH441),$AH$2:$AH$1001,0),1)&gt;=100000,INDEX($AO$1005:$BQ$1005,1,MATCH(COLUMNS($AO$1006:BI1006),$AO$1006:$BQ$1006,0))&gt;=100000), " ",IF(INDEX($AO$2:$BQ$1001,MATCH(ROWS($AH$2:AH441),$AH$2:$AH$1001,0),MATCH(COLUMNS($AO$1006:BI1006),$AO$1006:$BQ$1006,0)), HYPERLINK("#",""), HYPERLINK(CONCATENATE("#Metadata!", ADDRESS(INDEX($AJ$2:$AJ$1001,MATCH(ROWS($AH$2:AH441),$AH$2:$AH$1001,0),0), INDEX($AO$1004:$BQ$1004,1,MATCH(COLUMNS($AO$1006:BI1006),$AO$1006:$BQ$1006,0)))),"Fix")))</f>
        <v>#N/A</v>
      </c>
      <c r="W441" s="5" t="e">
        <f ca="1">IF(OR(INDEX($AI$2:$AI$1001,MATCH(ROWS($AH$2:AH441),$AH$2:$AH$1001,0),1)&gt;=100000,INDEX($AO$1005:$BQ$1005,1,MATCH(COLUMNS($AO$1006:BJ1006),$AO$1006:$BQ$1006,0))&gt;=100000), " ",IF(INDEX($AO$2:$BQ$1001,MATCH(ROWS($AH$2:AH441),$AH$2:$AH$1001,0),MATCH(COLUMNS($AO$1006:BJ1006),$AO$1006:$BQ$1006,0)), HYPERLINK("#",""), HYPERLINK(CONCATENATE("#Metadata!", ADDRESS(INDEX($AJ$2:$AJ$1001,MATCH(ROWS($AH$2:AH441),$AH$2:$AH$1001,0),0), INDEX($AO$1004:$BQ$1004,1,MATCH(COLUMNS($AO$1006:BJ1006),$AO$1006:$BQ$1006,0)))),"Fix")))</f>
        <v>#N/A</v>
      </c>
      <c r="X441" s="5" t="e">
        <f ca="1">IF(OR(INDEX($AI$2:$AI$1001,MATCH(ROWS($AH$2:AH441),$AH$2:$AH$1001,0),1)&gt;=100000,INDEX($AO$1005:$BQ$1005,1,MATCH(COLUMNS($AO$1006:BK1006),$AO$1006:$BQ$1006,0))&gt;=100000), " ",IF(INDEX($AO$2:$BQ$1001,MATCH(ROWS($AH$2:AH441),$AH$2:$AH$1001,0),MATCH(COLUMNS($AO$1006:BK1006),$AO$1006:$BQ$1006,0)), HYPERLINK("#",""), HYPERLINK(CONCATENATE("#Metadata!", ADDRESS(INDEX($AJ$2:$AJ$1001,MATCH(ROWS($AH$2:AH441),$AH$2:$AH$1001,0),0), INDEX($AO$1004:$BQ$1004,1,MATCH(COLUMNS($AO$1006:BK1006),$AO$1006:$BQ$1006,0)))),"Fix")))</f>
        <v>#N/A</v>
      </c>
      <c r="Y441" s="5" t="e">
        <f ca="1">IF(OR(INDEX($AI$2:$AI$1001,MATCH(ROWS($AH$2:AH441),$AH$2:$AH$1001,0),1)&gt;=100000,INDEX($AO$1005:$BQ$1005,1,MATCH(COLUMNS($AO$1006:BL1006),$AO$1006:$BQ$1006,0))&gt;=100000), " ",IF(INDEX($AO$2:$BQ$1001,MATCH(ROWS($AH$2:AH441),$AH$2:$AH$1001,0),MATCH(COLUMNS($AO$1006:BL1006),$AO$1006:$BQ$1006,0)), HYPERLINK("#",""), HYPERLINK(CONCATENATE("#Metadata!", ADDRESS(INDEX($AJ$2:$AJ$1001,MATCH(ROWS($AH$2:AH441),$AH$2:$AH$1001,0),0), INDEX($AO$1004:$BQ$1004,1,MATCH(COLUMNS($AO$1006:BL1006),$AO$1006:$BQ$1006,0)))),"Fix")))</f>
        <v>#N/A</v>
      </c>
      <c r="Z441" s="5" t="e">
        <f ca="1">IF(OR(INDEX($AI$2:$AI$1001,MATCH(ROWS($AH$2:AH441),$AH$2:$AH$1001,0),1)&gt;=100000,INDEX($AO$1005:$BQ$1005,1,MATCH(COLUMNS($AO$1006:BM1006),$AO$1006:$BQ$1006,0))&gt;=100000), " ",IF(INDEX($AO$2:$BQ$1001,MATCH(ROWS($AH$2:AH441),$AH$2:$AH$1001,0),MATCH(COLUMNS($AO$1006:BM1006),$AO$1006:$BQ$1006,0)), HYPERLINK("#",""), HYPERLINK(CONCATENATE("#Metadata!", ADDRESS(INDEX($AJ$2:$AJ$1001,MATCH(ROWS($AH$2:AH441),$AH$2:$AH$1001,0),0), INDEX($AO$1004:$BQ$1004,1,MATCH(COLUMNS($AO$1006:BM1006),$AO$1006:$BQ$1006,0)))),"Fix")))</f>
        <v>#N/A</v>
      </c>
      <c r="AA441" s="5" t="e">
        <f ca="1">IF(OR(INDEX($AI$2:$AI$1001,MATCH(ROWS($AH$2:AH441),$AH$2:$AH$1001,0),1)&gt;=100000,INDEX($AO$1005:$BQ$1005,1,MATCH(COLUMNS($AO$1006:BN1006),$AO$1006:$BQ$1006,0))&gt;=100000), " ",IF(INDEX($AO$2:$BQ$1001,MATCH(ROWS($AH$2:AH441),$AH$2:$AH$1001,0),MATCH(COLUMNS($AO$1006:BN1006),$AO$1006:$BQ$1006,0)), HYPERLINK("#",""), HYPERLINK(CONCATENATE("#Metadata!", ADDRESS(INDEX($AJ$2:$AJ$1001,MATCH(ROWS($AH$2:AH441),$AH$2:$AH$1001,0),0), INDEX($AO$1004:$BQ$1004,1,MATCH(COLUMNS($AO$1006:BN1006),$AO$1006:$BQ$1006,0)))),"Fix")))</f>
        <v>#N/A</v>
      </c>
      <c r="AB441" s="5" t="e">
        <f ca="1">IF(OR(INDEX($AI$2:$AI$1001,MATCH(ROWS($AH$2:AH441),$AH$2:$AH$1001,0),1)&gt;=100000,INDEX($AO$1005:$BQ$1005,1,MATCH(COLUMNS($AO$1006:BO1006),$AO$1006:$BQ$1006,0))&gt;=100000), " ",IF(INDEX($AO$2:$BQ$1001,MATCH(ROWS($AH$2:AH441),$AH$2:$AH$1001,0),MATCH(COLUMNS($AO$1006:BO1006),$AO$1006:$BQ$1006,0)), HYPERLINK("#",""), HYPERLINK(CONCATENATE("#Metadata!", ADDRESS(INDEX($AJ$2:$AJ$1001,MATCH(ROWS($AH$2:AH441),$AH$2:$AH$1001,0),0), INDEX($AO$1004:$BQ$1004,1,MATCH(COLUMNS($AO$1006:BO1006),$AO$1006:$BQ$1006,0)))),"Fix")))</f>
        <v>#N/A</v>
      </c>
      <c r="AC441" s="5" t="e">
        <f ca="1">IF(OR(INDEX($AI$2:$AI$1001,MATCH(ROWS($AH$2:AH441),$AH$2:$AH$1001,0),1)&gt;=100000,INDEX($AO$1005:$BQ$1005,1,MATCH(COLUMNS($AO$1006:BP1006),$AO$1006:$BQ$1006,0))&gt;=100000), " ",IF(INDEX($AO$2:$BQ$1001,MATCH(ROWS($AH$2:AH441),$AH$2:$AH$1001,0),MATCH(COLUMNS($AO$1006:BP1006),$AO$1006:$BQ$1006,0)), HYPERLINK("#",""), HYPERLINK(CONCATENATE("#Metadata!", ADDRESS(INDEX($AJ$2:$AJ$1001,MATCH(ROWS($AH$2:AH441),$AH$2:$AH$1001,0),0), INDEX($AO$1004:$BQ$1004,1,MATCH(COLUMNS($AO$1006:BP1006),$AO$1006:$BQ$1006,0)))),"Fix")))</f>
        <v>#N/A</v>
      </c>
      <c r="AD441" s="5" t="e">
        <f ca="1">IF(OR(INDEX($AI$2:$AI$1001,MATCH(ROWS($AH$2:AH441),$AH$2:$AH$1001,0),1)&gt;=100000,INDEX($AO$1005:$BQ$1005,1,MATCH(COLUMNS($AO$1006:BQ1006),$AO$1006:$BQ$1006,0))&gt;=100000), " ",IF(INDEX($AO$2:$BQ$1001,MATCH(ROWS($AH$2:AH441),$AH$2:$AH$1001,0),MATCH(COLUMNS($AO$1006:BQ1006),$AO$1006:$BQ$1006,0)), HYPERLINK("#",""), HYPERLINK(CONCATENATE("#Metadata!", ADDRESS(INDEX($AJ$2:$AJ$1001,MATCH(ROWS($AH$2:AH441),$AH$2:$AH$1001,0),0), INDEX($AO$1004:$BQ$1004,1,MATCH(COLUMNS($AO$1006:BQ1006),$AO$1006:$BQ$1006,0)))),"Fix")))</f>
        <v>#REF!</v>
      </c>
      <c r="AH441">
        <f ca="1"/>
        <v>438</v>
      </c>
      <c r="AI441">
        <v>100441</v>
      </c>
      <c r="AJ441">
        <v>441</v>
      </c>
      <c r="AK441" t="b">
        <f t="shared" si="6"/>
        <v>1</v>
      </c>
      <c r="AL441" t="b">
        <f>COUNTBLANK(Metadata!B441:AD441)=COLUMNS(Metadata!B441:AD441)</f>
        <v>1</v>
      </c>
      <c r="AM441" t="str">
        <v/>
      </c>
      <c r="AO441" t="b">
        <f ca="1">AND(IF(Metadata!B441="",FALSE,TRUE),COUNTIF(Metadata!B:B, Metadata!B441) = 1,NOT(ISERROR(SUMPRODUCT(SEARCH(MID(Metadata!B441,ROW(INDIRECT("1:"&amp;LEN(Metadata!B441))), 1),"0123456789abcdefghijklmnopqrstuvwxyzABCDEFGHIJKLMNOPQRSTUVWXYZ.")))))</f>
        <v>0</v>
      </c>
      <c r="AP441" t="b">
        <f>IF(Metadata!C441="",FALSE,TRUE)</f>
        <v>0</v>
      </c>
      <c r="AQ441" t="b">
        <f>IF(Metadata!D441="",FALSE,TRUE)</f>
        <v>0</v>
      </c>
      <c r="AR441" t="b">
        <f ca="1">OR(AND(IF(Metadata!E441="",FALSE,TRUE),OR(EXACT(Metadata!E441,"not collected"),EXACT(Metadata!E441,"not provided"),EXACT(Metadata!E441,"restricted access"))),AND(IF(Metadata!E441="",FALSE,TRUE),AND(AND(IFERROR(INT(LEFT(Metadata!E441,4))&gt;1900,FALSE),IFERROR(INT(LEFT(Metadata!E441,4))&lt;=YEAR(NOW()),FALSE)), OR(MID(Metadata!E441,5,1)="", AND(AND(MID(Metadata!E441,5,1)="-",IFERROR(INT(MID(Metadata!E441,6,1))&gt;=0,FALSE),IFERROR(INT(MID(Metadata!E441,6,1))&lt;=1,FALSE),NOT(MID(Metadata!E441,7,1)=""),IFERROR(INT(MID(Metadata!E441,6,2))&gt;=1,FALSE),IFERROR(INT(MID(Metadata!E441,6,2))&lt;=12,FALSE)), OR(MID(Metadata!E441,8,1)="", AND(AND(MID(Metadata!E441,8,1)="-",IFERROR(INT(MID(Metadata!E441,9,1))&gt;=0,FALSE),IFERROR(INT(MID(Metadata!E441,9,1))&lt;=3,FALSE),NOT(MID(Metadata!E441,10,1)=""),IFERROR(INT(MID(Metadata!E441,9,2))&gt;=1,FALSE),IFERROR(INT(MID(Metadata!E441,9,2))&lt;=31,FALSE)), OR(MID(Metadata!E441,11,1)="", AND(AND(MID(Metadata!E441,11,1)=" ",IFERROR(INT(MID(Metadata!E441,12,1))&gt;=0,FALSE),IFERROR(INT(MID(Metadata!E441,12,1))&lt;=2,FALSE),NOT(MID(Metadata!E441,13,1)=""),IFERROR(INT(MID(Metadata!E441,12,2))&gt;=0,FALSE),IFERROR(INT(MID(Metadata!E441,12,2))&lt;=23,FALSE)), OR(MID(Metadata!E441,14,1)="", AND(AND(MID(Metadata!E441,14,1)=":",IFERROR(INT(MID(Metadata!E441,15,1))&gt;=0,FALSE),IFERROR(INT(MID(Metadata!E441,15,1))&lt;=5,FALSE),NOT(MID(Metadata!E441,16,1)=""),IFERROR(INT(MID(Metadata!E441,15,2))&gt;=0,FALSE),IFERROR(INT(MID(Metadata!E441,15,2))&lt;=59,FALSE)), OR(MID(Metadata!E441,17,1)="", AND(AND(MID(Metadata!E441,17,1)=":",IFERROR(INT(MID(Metadata!E441,18,1))&gt;=0,FALSE),IFERROR(INT(MID(Metadata!E441,18,1))&lt;=5,FALSE),NOT(MID(Metadata!E441,19,1)=""),IFERROR(INT(MID(Metadata!E441,18,2))&gt;=0,FALSE),IFERROR(INT(MID(Metadata!E441,18,2))&lt;=59,FALSE)), LEN(Metadata!E441)&lt;=19)))))))))))))</f>
        <v>0</v>
      </c>
      <c r="AS441" t="b">
        <f>IF(Metadata!F441="",FALSE,TRUE)</f>
        <v>0</v>
      </c>
      <c r="AT441" t="b">
        <f>OR(AND(IF(Metadata!G441="",FALSE,TRUE),OR(EXACT(Metadata!G441,"not collected"),EXACT(Metadata!G441,"not provided"))),AND(IF(Metadata!G441="",FALSE,TRUE),OR(EXACT(Metadata!G441,"TRUE"),EXACT(Metadata!G441,"FALSE"))))</f>
        <v>0</v>
      </c>
      <c r="AU441" t="b">
        <f>OR(AND(IF(Metadata!H441="",FALSE,TRUE),OR(EXACT(Metadata!H441,"not collected"),EXACT(Metadata!H441,"not provided"),EXACT(Metadata!H441,"restricted access"))),AND(IF(Metadata!H441="",FALSE,ISNUMBER(VALUE(Metadata!H441))),Metadata!H441&gt;=-413))</f>
        <v>0</v>
      </c>
      <c r="AV441" t="b">
        <f>AND(IF(Metadata!I441="",FALSE,TRUE),EXACT(Metadata!I441,"meters"))</f>
        <v>0</v>
      </c>
      <c r="AW441" t="b">
        <f>AND(IF(Metadata!J441="",FALSE,TRUE),EXACT(Metadata!J441,"free-living"))</f>
        <v>0</v>
      </c>
      <c r="AX441" t="b">
        <f>AND(IF(Metadata!K441="",FALSE,TRUE),OR(EXACT(Metadata!K441,"saline"),EXACT(Metadata!K441,"non-saline")))</f>
        <v>0</v>
      </c>
      <c r="AY441" t="b">
        <f>AND(IF(Metadata!L441="",FALSE,TRUE),OR(EXACT(Metadata!L441,"sub-surface (non-saline)"),EXACT(Metadata!L441,"surface (non-saline)"),EXACT(Metadata!L441,"water (non-saline)"),EXACT(Metadata!L441,"soil (non-saline)"),EXACT(Metadata!L441,"aerosol (non-saline)"),EXACT(Metadata!L441,"sediment (non-saline)"),EXACT(Metadata!L441,"surface (saline)"),EXACT(Metadata!L441,"water (saline)"),EXACT(Metadata!L441,"hypersaline (saline)"),EXACT(Metadata!L441,"aerosol (saline)"),EXACT(Metadata!L441,"sediment (saline)")))</f>
        <v>0</v>
      </c>
      <c r="AZ441" t="b">
        <f>IF(Metadata!M441="",FALSE,TRUE)</f>
        <v>0</v>
      </c>
      <c r="BA441" t="b">
        <f>IF(Metadata!N441="",FALSE,TRUE)</f>
        <v>0</v>
      </c>
      <c r="BB441" t="b">
        <f>IF(Metadata!O441="",FALSE,TRUE)</f>
        <v>0</v>
      </c>
      <c r="BC441" t="b">
        <f>AND(IF(Metadata!P441="",FALSE,TRUE),OR(EXACT(Metadata!P441,"air"),EXACT(Metadata!P441,"microbial mat/biofilm"),EXACT(Metadata!P441,"misc environment"),EXACT(Metadata!P441,"sediment"),EXACT(Metadata!P441,"soil"),EXACT(Metadata!P441,"wastewater/sludge"),EXACT(Metadata!P441,"water")))</f>
        <v>0</v>
      </c>
      <c r="BD441" t="b">
        <f>IF(Metadata!Q441="",FALSE,TRUE)</f>
        <v>0</v>
      </c>
      <c r="BE441" t="b">
        <f>IF(Metadata!R441="",FALSE,TRUE)</f>
        <v>0</v>
      </c>
      <c r="BF441" t="b">
        <f>OR(AND(IF(Metadata!S441="",FALSE,TRUE),OR(EXACT(Metadata!S441,"not collected"),EXACT(Metadata!S441,"not provided"),EXACT(Metadata!S441,"restricted access"))),AND(IF(Metadata!S441="",FALSE,ISNUMBER(VALUE(Metadata!S441))),Metadata!S441&gt;=-90,Metadata!S441&lt;=90))</f>
        <v>0</v>
      </c>
      <c r="BG441" t="b">
        <f>AND(IF(Metadata!T441="",FALSE,TRUE),EXACT(Metadata!T441,"Decimal degrees"))</f>
        <v>0</v>
      </c>
      <c r="BH441" t="b">
        <f>OR(AND(IF(Metadata!U441="",FALSE,TRUE),OR(EXACT(Metadata!U441,"not applicable"),EXACT(Metadata!U441,"not collected"))),IF(Metadata!U441="",FALSE,TRUE))</f>
        <v>0</v>
      </c>
      <c r="BI441" t="b">
        <f>OR(AND(IF(Metadata!V441="",FALSE,TRUE),OR(EXACT(Metadata!V441,"not collected"),EXACT(Metadata!V441,"not provided"),EXACT(Metadata!V441,"restricted access"))),AND(IF(Metadata!V441="",FALSE,ISNUMBER(VALUE(Metadata!V441))),Metadata!V441&gt;=-180,Metadata!V441&lt;=180))</f>
        <v>0</v>
      </c>
      <c r="BJ441" t="b">
        <f>AND(IF(Metadata!W441="",FALSE,TRUE),EXACT(Metadata!W441,"Decimal degrees"))</f>
        <v>0</v>
      </c>
      <c r="BK441" t="b">
        <f>IF(Metadata!X441="",FALSE,TRUE)</f>
        <v>0</v>
      </c>
      <c r="BL441" t="b">
        <f>OR(AND(IF(Metadata!Y441="",FALSE,TRUE),OR(EXACT(Metadata!Y441,"not collected"),EXACT(Metadata!Y441,"not provided"),EXACT(Metadata!Y441,"restricted access"))),AND(IF(Metadata!Y441="",FALSE,TRUE),OR(EXACT(Metadata!Y441,"TRUE"),EXACT(Metadata!Y441,"FALSE"))))</f>
        <v>0</v>
      </c>
      <c r="BM441" t="b">
        <f>OR(AND(IF(Metadata!Z441="",FALSE,TRUE),EXACT(Metadata!Z441,"not applicable")),AND(IF(Metadata!Z441="",FALSE,TRUE),OR(EXACT(Metadata!Z441,"beer"),EXACT(Metadata!Z441,"cheese"),EXACT(Metadata!Z441,"fresh water"),EXACT(Metadata!Z441,"marine sediment"),EXACT(Metadata!Z441,"sea water"),EXACT(Metadata!Z441,"sediment"),EXACT(Metadata!Z441,"soil"),EXACT(Metadata!Z441,"waste water"))))</f>
        <v>0</v>
      </c>
      <c r="BN441" t="b">
        <f>AND(IF(Metadata!AA441="",FALSE,TRUE),EXACT(Metadata!AA441,"metagenome"))</f>
        <v>0</v>
      </c>
      <c r="BO441" t="b">
        <f>AND(IF(Metadata!AB441="",FALSE,TRUE),EXACT(Metadata!AB441,"256318"))</f>
        <v>0</v>
      </c>
      <c r="BP441" t="b">
        <f>IF(Metadata!AC441="",FALSE,TRUE)</f>
        <v>0</v>
      </c>
      <c r="BQ441" t="b">
        <f>IF(Metadata!AD441="",FALSE,TRUE)</f>
        <v>0</v>
      </c>
    </row>
    <row r="442" spans="1:69" x14ac:dyDescent="0.2">
      <c r="A442" s="4" t="e">
        <f ca="1">IF(B442=" "," ",HYPERLINK(CONCATENATE("#metadata!",ADDRESS(INDEX($AJ$2:$AJ$1001,MATCH(ROWS($AH$2:AH442),$AH$2:$AH$1001,0),0),2)),INDEX($AM$2:$AM$1001,MATCH(ROWS($AH$2:AH442),$AH$2:$AH$1001,0),0)))</f>
        <v>#N/A</v>
      </c>
      <c r="B442" s="5" t="e">
        <f ca="1">IF(OR(INDEX($AI$2:$AI$1001,MATCH(ROWS($AH$2:AH442),$AH$2:$AH$1001,0),1)&gt;=100000,INDEX($AO$1005:$BQ$1005,1,MATCH(COLUMNS($AO$1006:AO1006),$AO$1006:$BQ$1006,0))&gt;=100000), " ",IF(INDEX($AO$2:$BQ$1001,MATCH(ROWS($AH$2:AH442),$AH$2:$AH$1001,0),MATCH(COLUMNS($AO$1006:AO1006),$AO$1006:$BQ$1006,0)), HYPERLINK("#",""), HYPERLINK(CONCATENATE("#Metadata!", ADDRESS(INDEX($AJ$2:$AJ$1001,MATCH(ROWS($AH$2:AH442),$AH$2:$AH$1001,0),0), INDEX($AO$1004:$BQ$1004,1,MATCH(COLUMNS($AO$1006:AO1006),$AO$1006:$BQ$1006,0)))),"Fix")))</f>
        <v>#N/A</v>
      </c>
      <c r="C442" s="5" t="e">
        <f ca="1">IF(OR(INDEX($AI$2:$AI$1001,MATCH(ROWS($AH$2:AH442),$AH$2:$AH$1001,0),1)&gt;=100000,INDEX($AO$1005:$BQ$1005,1,MATCH(COLUMNS($AO$1006:AP1006),$AO$1006:$BQ$1006,0))&gt;=100000), " ",IF(INDEX($AO$2:$BQ$1001,MATCH(ROWS($AH$2:AH442),$AH$2:$AH$1001,0),MATCH(COLUMNS($AO$1006:AP1006),$AO$1006:$BQ$1006,0)), HYPERLINK("#",""), HYPERLINK(CONCATENATE("#Metadata!", ADDRESS(INDEX($AJ$2:$AJ$1001,MATCH(ROWS($AH$2:AH442),$AH$2:$AH$1001,0),0), INDEX($AO$1004:$BQ$1004,1,MATCH(COLUMNS($AO$1006:AP1006),$AO$1006:$BQ$1006,0)))),"Fix")))</f>
        <v>#N/A</v>
      </c>
      <c r="D442" s="5" t="e">
        <f ca="1">IF(OR(INDEX($AI$2:$AI$1001,MATCH(ROWS($AH$2:AH442),$AH$2:$AH$1001,0),1)&gt;=100000,INDEX($AO$1005:$BQ$1005,1,MATCH(COLUMNS($AO$1006:AQ1006),$AO$1006:$BQ$1006,0))&gt;=100000), " ",IF(INDEX($AO$2:$BQ$1001,MATCH(ROWS($AH$2:AH442),$AH$2:$AH$1001,0),MATCH(COLUMNS($AO$1006:AQ1006),$AO$1006:$BQ$1006,0)), HYPERLINK("#",""), HYPERLINK(CONCATENATE("#Metadata!", ADDRESS(INDEX($AJ$2:$AJ$1001,MATCH(ROWS($AH$2:AH442),$AH$2:$AH$1001,0),0), INDEX($AO$1004:$BQ$1004,1,MATCH(COLUMNS($AO$1006:AQ1006),$AO$1006:$BQ$1006,0)))),"Fix")))</f>
        <v>#N/A</v>
      </c>
      <c r="E442" s="5" t="e">
        <f ca="1">IF(OR(INDEX($AI$2:$AI$1001,MATCH(ROWS($AH$2:AH442),$AH$2:$AH$1001,0),1)&gt;=100000,INDEX($AO$1005:$BQ$1005,1,MATCH(COLUMNS($AO$1006:AR1006),$AO$1006:$BQ$1006,0))&gt;=100000), " ",IF(INDEX($AO$2:$BQ$1001,MATCH(ROWS($AH$2:AH442),$AH$2:$AH$1001,0),MATCH(COLUMNS($AO$1006:AR1006),$AO$1006:$BQ$1006,0)), HYPERLINK("#",""), HYPERLINK(CONCATENATE("#Metadata!", ADDRESS(INDEX($AJ$2:$AJ$1001,MATCH(ROWS($AH$2:AH442),$AH$2:$AH$1001,0),0), INDEX($AO$1004:$BQ$1004,1,MATCH(COLUMNS($AO$1006:AR1006),$AO$1006:$BQ$1006,0)))),"Fix")))</f>
        <v>#N/A</v>
      </c>
      <c r="F442" s="5" t="e">
        <f ca="1">IF(OR(INDEX($AI$2:$AI$1001,MATCH(ROWS($AH$2:AH442),$AH$2:$AH$1001,0),1)&gt;=100000,INDEX($AO$1005:$BQ$1005,1,MATCH(COLUMNS($AO$1006:AS1006),$AO$1006:$BQ$1006,0))&gt;=100000), " ",IF(INDEX($AO$2:$BQ$1001,MATCH(ROWS($AH$2:AH442),$AH$2:$AH$1001,0),MATCH(COLUMNS($AO$1006:AS1006),$AO$1006:$BQ$1006,0)), HYPERLINK("#",""), HYPERLINK(CONCATENATE("#Metadata!", ADDRESS(INDEX($AJ$2:$AJ$1001,MATCH(ROWS($AH$2:AH442),$AH$2:$AH$1001,0),0), INDEX($AO$1004:$BQ$1004,1,MATCH(COLUMNS($AO$1006:AS1006),$AO$1006:$BQ$1006,0)))),"Fix")))</f>
        <v>#N/A</v>
      </c>
      <c r="G442" s="5" t="e">
        <f ca="1">IF(OR(INDEX($AI$2:$AI$1001,MATCH(ROWS($AH$2:AH442),$AH$2:$AH$1001,0),1)&gt;=100000,INDEX($AO$1005:$BQ$1005,1,MATCH(COLUMNS($AO$1006:AT1006),$AO$1006:$BQ$1006,0))&gt;=100000), " ",IF(INDEX($AO$2:$BQ$1001,MATCH(ROWS($AH$2:AH442),$AH$2:$AH$1001,0),MATCH(COLUMNS($AO$1006:AT1006),$AO$1006:$BQ$1006,0)), HYPERLINK("#",""), HYPERLINK(CONCATENATE("#Metadata!", ADDRESS(INDEX($AJ$2:$AJ$1001,MATCH(ROWS($AH$2:AH442),$AH$2:$AH$1001,0),0), INDEX($AO$1004:$BQ$1004,1,MATCH(COLUMNS($AO$1006:AT1006),$AO$1006:$BQ$1006,0)))),"Fix")))</f>
        <v>#N/A</v>
      </c>
      <c r="H442" s="5" t="e">
        <f ca="1">IF(OR(INDEX($AI$2:$AI$1001,MATCH(ROWS($AH$2:AH442),$AH$2:$AH$1001,0),1)&gt;=100000,INDEX($AO$1005:$BQ$1005,1,MATCH(COLUMNS($AO$1006:AU1006),$AO$1006:$BQ$1006,0))&gt;=100000), " ",IF(INDEX($AO$2:$BQ$1001,MATCH(ROWS($AH$2:AH442),$AH$2:$AH$1001,0),MATCH(COLUMNS($AO$1006:AU1006),$AO$1006:$BQ$1006,0)), HYPERLINK("#",""), HYPERLINK(CONCATENATE("#Metadata!", ADDRESS(INDEX($AJ$2:$AJ$1001,MATCH(ROWS($AH$2:AH442),$AH$2:$AH$1001,0),0), INDEX($AO$1004:$BQ$1004,1,MATCH(COLUMNS($AO$1006:AU1006),$AO$1006:$BQ$1006,0)))),"Fix")))</f>
        <v>#N/A</v>
      </c>
      <c r="I442" s="5" t="e">
        <f ca="1">IF(OR(INDEX($AI$2:$AI$1001,MATCH(ROWS($AH$2:AH442),$AH$2:$AH$1001,0),1)&gt;=100000,INDEX($AO$1005:$BQ$1005,1,MATCH(COLUMNS($AO$1006:AV1006),$AO$1006:$BQ$1006,0))&gt;=100000), " ",IF(INDEX($AO$2:$BQ$1001,MATCH(ROWS($AH$2:AH442),$AH$2:$AH$1001,0),MATCH(COLUMNS($AO$1006:AV1006),$AO$1006:$BQ$1006,0)), HYPERLINK("#",""), HYPERLINK(CONCATENATE("#Metadata!", ADDRESS(INDEX($AJ$2:$AJ$1001,MATCH(ROWS($AH$2:AH442),$AH$2:$AH$1001,0),0), INDEX($AO$1004:$BQ$1004,1,MATCH(COLUMNS($AO$1006:AV1006),$AO$1006:$BQ$1006,0)))),"Fix")))</f>
        <v>#N/A</v>
      </c>
      <c r="J442" s="5" t="e">
        <f ca="1">IF(OR(INDEX($AI$2:$AI$1001,MATCH(ROWS($AH$2:AH442),$AH$2:$AH$1001,0),1)&gt;=100000,INDEX($AO$1005:$BQ$1005,1,MATCH(COLUMNS($AO$1006:AW1006),$AO$1006:$BQ$1006,0))&gt;=100000), " ",IF(INDEX($AO$2:$BQ$1001,MATCH(ROWS($AH$2:AH442),$AH$2:$AH$1001,0),MATCH(COLUMNS($AO$1006:AW1006),$AO$1006:$BQ$1006,0)), HYPERLINK("#",""), HYPERLINK(CONCATENATE("#Metadata!", ADDRESS(INDEX($AJ$2:$AJ$1001,MATCH(ROWS($AH$2:AH442),$AH$2:$AH$1001,0),0), INDEX($AO$1004:$BQ$1004,1,MATCH(COLUMNS($AO$1006:AW1006),$AO$1006:$BQ$1006,0)))),"Fix")))</f>
        <v>#N/A</v>
      </c>
      <c r="K442" s="5" t="e">
        <f ca="1">IF(OR(INDEX($AI$2:$AI$1001,MATCH(ROWS($AH$2:AH442),$AH$2:$AH$1001,0),1)&gt;=100000,INDEX($AO$1005:$BQ$1005,1,MATCH(COLUMNS($AO$1006:AX1006),$AO$1006:$BQ$1006,0))&gt;=100000), " ",IF(INDEX($AO$2:$BQ$1001,MATCH(ROWS($AH$2:AH442),$AH$2:$AH$1001,0),MATCH(COLUMNS($AO$1006:AX1006),$AO$1006:$BQ$1006,0)), HYPERLINK("#",""), HYPERLINK(CONCATENATE("#Metadata!", ADDRESS(INDEX($AJ$2:$AJ$1001,MATCH(ROWS($AH$2:AH442),$AH$2:$AH$1001,0),0), INDEX($AO$1004:$BQ$1004,1,MATCH(COLUMNS($AO$1006:AX1006),$AO$1006:$BQ$1006,0)))),"Fix")))</f>
        <v>#N/A</v>
      </c>
      <c r="L442" s="5" t="e">
        <f ca="1">IF(OR(INDEX($AI$2:$AI$1001,MATCH(ROWS($AH$2:AH442),$AH$2:$AH$1001,0),1)&gt;=100000,INDEX($AO$1005:$BQ$1005,1,MATCH(COLUMNS($AO$1006:AY1006),$AO$1006:$BQ$1006,0))&gt;=100000), " ",IF(INDEX($AO$2:$BQ$1001,MATCH(ROWS($AH$2:AH442),$AH$2:$AH$1001,0),MATCH(COLUMNS($AO$1006:AY1006),$AO$1006:$BQ$1006,0)), HYPERLINK("#",""), HYPERLINK(CONCATENATE("#Metadata!", ADDRESS(INDEX($AJ$2:$AJ$1001,MATCH(ROWS($AH$2:AH442),$AH$2:$AH$1001,0),0), INDEX($AO$1004:$BQ$1004,1,MATCH(COLUMNS($AO$1006:AY1006),$AO$1006:$BQ$1006,0)))),"Fix")))</f>
        <v>#N/A</v>
      </c>
      <c r="M442" s="5" t="e">
        <f ca="1">IF(OR(INDEX($AI$2:$AI$1001,MATCH(ROWS($AH$2:AH442),$AH$2:$AH$1001,0),1)&gt;=100000,INDEX($AO$1005:$BQ$1005,1,MATCH(COLUMNS($AO$1006:AZ1006),$AO$1006:$BQ$1006,0))&gt;=100000), " ",IF(INDEX($AO$2:$BQ$1001,MATCH(ROWS($AH$2:AH442),$AH$2:$AH$1001,0),MATCH(COLUMNS($AO$1006:AZ1006),$AO$1006:$BQ$1006,0)), HYPERLINK("#",""), HYPERLINK(CONCATENATE("#Metadata!", ADDRESS(INDEX($AJ$2:$AJ$1001,MATCH(ROWS($AH$2:AH442),$AH$2:$AH$1001,0),0), INDEX($AO$1004:$BQ$1004,1,MATCH(COLUMNS($AO$1006:AZ1006),$AO$1006:$BQ$1006,0)))),"Fix")))</f>
        <v>#N/A</v>
      </c>
      <c r="N442" s="5" t="e">
        <f ca="1">IF(OR(INDEX($AI$2:$AI$1001,MATCH(ROWS($AH$2:AH442),$AH$2:$AH$1001,0),1)&gt;=100000,INDEX($AO$1005:$BQ$1005,1,MATCH(COLUMNS($AO$1006:BA1006),$AO$1006:$BQ$1006,0))&gt;=100000), " ",IF(INDEX($AO$2:$BQ$1001,MATCH(ROWS($AH$2:AH442),$AH$2:$AH$1001,0),MATCH(COLUMNS($AO$1006:BA1006),$AO$1006:$BQ$1006,0)), HYPERLINK("#",""), HYPERLINK(CONCATENATE("#Metadata!", ADDRESS(INDEX($AJ$2:$AJ$1001,MATCH(ROWS($AH$2:AH442),$AH$2:$AH$1001,0),0), INDEX($AO$1004:$BQ$1004,1,MATCH(COLUMNS($AO$1006:BA1006),$AO$1006:$BQ$1006,0)))),"Fix")))</f>
        <v>#N/A</v>
      </c>
      <c r="O442" s="5" t="e">
        <f ca="1">IF(OR(INDEX($AI$2:$AI$1001,MATCH(ROWS($AH$2:AH442),$AH$2:$AH$1001,0),1)&gt;=100000,INDEX($AO$1005:$BQ$1005,1,MATCH(COLUMNS($AO$1006:BB1006),$AO$1006:$BQ$1006,0))&gt;=100000), " ",IF(INDEX($AO$2:$BQ$1001,MATCH(ROWS($AH$2:AH442),$AH$2:$AH$1001,0),MATCH(COLUMNS($AO$1006:BB1006),$AO$1006:$BQ$1006,0)), HYPERLINK("#",""), HYPERLINK(CONCATENATE("#Metadata!", ADDRESS(INDEX($AJ$2:$AJ$1001,MATCH(ROWS($AH$2:AH442),$AH$2:$AH$1001,0),0), INDEX($AO$1004:$BQ$1004,1,MATCH(COLUMNS($AO$1006:BB1006),$AO$1006:$BQ$1006,0)))),"Fix")))</f>
        <v>#N/A</v>
      </c>
      <c r="P442" s="5" t="e">
        <f ca="1">IF(OR(INDEX($AI$2:$AI$1001,MATCH(ROWS($AH$2:AH442),$AH$2:$AH$1001,0),1)&gt;=100000,INDEX($AO$1005:$BQ$1005,1,MATCH(COLUMNS($AO$1006:BC1006),$AO$1006:$BQ$1006,0))&gt;=100000), " ",IF(INDEX($AO$2:$BQ$1001,MATCH(ROWS($AH$2:AH442),$AH$2:$AH$1001,0),MATCH(COLUMNS($AO$1006:BC1006),$AO$1006:$BQ$1006,0)), HYPERLINK("#",""), HYPERLINK(CONCATENATE("#Metadata!", ADDRESS(INDEX($AJ$2:$AJ$1001,MATCH(ROWS($AH$2:AH442),$AH$2:$AH$1001,0),0), INDEX($AO$1004:$BQ$1004,1,MATCH(COLUMNS($AO$1006:BC1006),$AO$1006:$BQ$1006,0)))),"Fix")))</f>
        <v>#N/A</v>
      </c>
      <c r="Q442" s="5" t="e">
        <f ca="1">IF(OR(INDEX($AI$2:$AI$1001,MATCH(ROWS($AH$2:AH442),$AH$2:$AH$1001,0),1)&gt;=100000,INDEX($AO$1005:$BQ$1005,1,MATCH(COLUMNS($AO$1006:BD1006),$AO$1006:$BQ$1006,0))&gt;=100000), " ",IF(INDEX($AO$2:$BQ$1001,MATCH(ROWS($AH$2:AH442),$AH$2:$AH$1001,0),MATCH(COLUMNS($AO$1006:BD1006),$AO$1006:$BQ$1006,0)), HYPERLINK("#",""), HYPERLINK(CONCATENATE("#Metadata!", ADDRESS(INDEX($AJ$2:$AJ$1001,MATCH(ROWS($AH$2:AH442),$AH$2:$AH$1001,0),0), INDEX($AO$1004:$BQ$1004,1,MATCH(COLUMNS($AO$1006:BD1006),$AO$1006:$BQ$1006,0)))),"Fix")))</f>
        <v>#N/A</v>
      </c>
      <c r="R442" s="5" t="e">
        <f ca="1">IF(OR(INDEX($AI$2:$AI$1001,MATCH(ROWS($AH$2:AH442),$AH$2:$AH$1001,0),1)&gt;=100000,INDEX($AO$1005:$BQ$1005,1,MATCH(COLUMNS($AO$1006:BE1006),$AO$1006:$BQ$1006,0))&gt;=100000), " ",IF(INDEX($AO$2:$BQ$1001,MATCH(ROWS($AH$2:AH442),$AH$2:$AH$1001,0),MATCH(COLUMNS($AO$1006:BE1006),$AO$1006:$BQ$1006,0)), HYPERLINK("#",""), HYPERLINK(CONCATENATE("#Metadata!", ADDRESS(INDEX($AJ$2:$AJ$1001,MATCH(ROWS($AH$2:AH442),$AH$2:$AH$1001,0),0), INDEX($AO$1004:$BQ$1004,1,MATCH(COLUMNS($AO$1006:BE1006),$AO$1006:$BQ$1006,0)))),"Fix")))</f>
        <v>#N/A</v>
      </c>
      <c r="S442" s="5" t="e">
        <f ca="1">IF(OR(INDEX($AI$2:$AI$1001,MATCH(ROWS($AH$2:AH442),$AH$2:$AH$1001,0),1)&gt;=100000,INDEX($AO$1005:$BQ$1005,1,MATCH(COLUMNS($AO$1006:BF1006),$AO$1006:$BQ$1006,0))&gt;=100000), " ",IF(INDEX($AO$2:$BQ$1001,MATCH(ROWS($AH$2:AH442),$AH$2:$AH$1001,0),MATCH(COLUMNS($AO$1006:BF1006),$AO$1006:$BQ$1006,0)), HYPERLINK("#",""), HYPERLINK(CONCATENATE("#Metadata!", ADDRESS(INDEX($AJ$2:$AJ$1001,MATCH(ROWS($AH$2:AH442),$AH$2:$AH$1001,0),0), INDEX($AO$1004:$BQ$1004,1,MATCH(COLUMNS($AO$1006:BF1006),$AO$1006:$BQ$1006,0)))),"Fix")))</f>
        <v>#N/A</v>
      </c>
      <c r="T442" s="5" t="e">
        <f ca="1">IF(OR(INDEX($AI$2:$AI$1001,MATCH(ROWS($AH$2:AH442),$AH$2:$AH$1001,0),1)&gt;=100000,INDEX($AO$1005:$BQ$1005,1,MATCH(COLUMNS($AO$1006:BG1006),$AO$1006:$BQ$1006,0))&gt;=100000), " ",IF(INDEX($AO$2:$BQ$1001,MATCH(ROWS($AH$2:AH442),$AH$2:$AH$1001,0),MATCH(COLUMNS($AO$1006:BG1006),$AO$1006:$BQ$1006,0)), HYPERLINK("#",""), HYPERLINK(CONCATENATE("#Metadata!", ADDRESS(INDEX($AJ$2:$AJ$1001,MATCH(ROWS($AH$2:AH442),$AH$2:$AH$1001,0),0), INDEX($AO$1004:$BQ$1004,1,MATCH(COLUMNS($AO$1006:BG1006),$AO$1006:$BQ$1006,0)))),"Fix")))</f>
        <v>#N/A</v>
      </c>
      <c r="U442" s="5" t="e">
        <f ca="1">IF(OR(INDEX($AI$2:$AI$1001,MATCH(ROWS($AH$2:AH442),$AH$2:$AH$1001,0),1)&gt;=100000,INDEX($AO$1005:$BQ$1005,1,MATCH(COLUMNS($AO$1006:BH1006),$AO$1006:$BQ$1006,0))&gt;=100000), " ",IF(INDEX($AO$2:$BQ$1001,MATCH(ROWS($AH$2:AH442),$AH$2:$AH$1001,0),MATCH(COLUMNS($AO$1006:BH1006),$AO$1006:$BQ$1006,0)), HYPERLINK("#",""), HYPERLINK(CONCATENATE("#Metadata!", ADDRESS(INDEX($AJ$2:$AJ$1001,MATCH(ROWS($AH$2:AH442),$AH$2:$AH$1001,0),0), INDEX($AO$1004:$BQ$1004,1,MATCH(COLUMNS($AO$1006:BH1006),$AO$1006:$BQ$1006,0)))),"Fix")))</f>
        <v>#N/A</v>
      </c>
      <c r="V442" s="5" t="e">
        <f ca="1">IF(OR(INDEX($AI$2:$AI$1001,MATCH(ROWS($AH$2:AH442),$AH$2:$AH$1001,0),1)&gt;=100000,INDEX($AO$1005:$BQ$1005,1,MATCH(COLUMNS($AO$1006:BI1006),$AO$1006:$BQ$1006,0))&gt;=100000), " ",IF(INDEX($AO$2:$BQ$1001,MATCH(ROWS($AH$2:AH442),$AH$2:$AH$1001,0),MATCH(COLUMNS($AO$1006:BI1006),$AO$1006:$BQ$1006,0)), HYPERLINK("#",""), HYPERLINK(CONCATENATE("#Metadata!", ADDRESS(INDEX($AJ$2:$AJ$1001,MATCH(ROWS($AH$2:AH442),$AH$2:$AH$1001,0),0), INDEX($AO$1004:$BQ$1004,1,MATCH(COLUMNS($AO$1006:BI1006),$AO$1006:$BQ$1006,0)))),"Fix")))</f>
        <v>#N/A</v>
      </c>
      <c r="W442" s="5" t="e">
        <f ca="1">IF(OR(INDEX($AI$2:$AI$1001,MATCH(ROWS($AH$2:AH442),$AH$2:$AH$1001,0),1)&gt;=100000,INDEX($AO$1005:$BQ$1005,1,MATCH(COLUMNS($AO$1006:BJ1006),$AO$1006:$BQ$1006,0))&gt;=100000), " ",IF(INDEX($AO$2:$BQ$1001,MATCH(ROWS($AH$2:AH442),$AH$2:$AH$1001,0),MATCH(COLUMNS($AO$1006:BJ1006),$AO$1006:$BQ$1006,0)), HYPERLINK("#",""), HYPERLINK(CONCATENATE("#Metadata!", ADDRESS(INDEX($AJ$2:$AJ$1001,MATCH(ROWS($AH$2:AH442),$AH$2:$AH$1001,0),0), INDEX($AO$1004:$BQ$1004,1,MATCH(COLUMNS($AO$1006:BJ1006),$AO$1006:$BQ$1006,0)))),"Fix")))</f>
        <v>#N/A</v>
      </c>
      <c r="X442" s="5" t="e">
        <f ca="1">IF(OR(INDEX($AI$2:$AI$1001,MATCH(ROWS($AH$2:AH442),$AH$2:$AH$1001,0),1)&gt;=100000,INDEX($AO$1005:$BQ$1005,1,MATCH(COLUMNS($AO$1006:BK1006),$AO$1006:$BQ$1006,0))&gt;=100000), " ",IF(INDEX($AO$2:$BQ$1001,MATCH(ROWS($AH$2:AH442),$AH$2:$AH$1001,0),MATCH(COLUMNS($AO$1006:BK1006),$AO$1006:$BQ$1006,0)), HYPERLINK("#",""), HYPERLINK(CONCATENATE("#Metadata!", ADDRESS(INDEX($AJ$2:$AJ$1001,MATCH(ROWS($AH$2:AH442),$AH$2:$AH$1001,0),0), INDEX($AO$1004:$BQ$1004,1,MATCH(COLUMNS($AO$1006:BK1006),$AO$1006:$BQ$1006,0)))),"Fix")))</f>
        <v>#N/A</v>
      </c>
      <c r="Y442" s="5" t="e">
        <f ca="1">IF(OR(INDEX($AI$2:$AI$1001,MATCH(ROWS($AH$2:AH442),$AH$2:$AH$1001,0),1)&gt;=100000,INDEX($AO$1005:$BQ$1005,1,MATCH(COLUMNS($AO$1006:BL1006),$AO$1006:$BQ$1006,0))&gt;=100000), " ",IF(INDEX($AO$2:$BQ$1001,MATCH(ROWS($AH$2:AH442),$AH$2:$AH$1001,0),MATCH(COLUMNS($AO$1006:BL1006),$AO$1006:$BQ$1006,0)), HYPERLINK("#",""), HYPERLINK(CONCATENATE("#Metadata!", ADDRESS(INDEX($AJ$2:$AJ$1001,MATCH(ROWS($AH$2:AH442),$AH$2:$AH$1001,0),0), INDEX($AO$1004:$BQ$1004,1,MATCH(COLUMNS($AO$1006:BL1006),$AO$1006:$BQ$1006,0)))),"Fix")))</f>
        <v>#N/A</v>
      </c>
      <c r="Z442" s="5" t="e">
        <f ca="1">IF(OR(INDEX($AI$2:$AI$1001,MATCH(ROWS($AH$2:AH442),$AH$2:$AH$1001,0),1)&gt;=100000,INDEX($AO$1005:$BQ$1005,1,MATCH(COLUMNS($AO$1006:BM1006),$AO$1006:$BQ$1006,0))&gt;=100000), " ",IF(INDEX($AO$2:$BQ$1001,MATCH(ROWS($AH$2:AH442),$AH$2:$AH$1001,0),MATCH(COLUMNS($AO$1006:BM1006),$AO$1006:$BQ$1006,0)), HYPERLINK("#",""), HYPERLINK(CONCATENATE("#Metadata!", ADDRESS(INDEX($AJ$2:$AJ$1001,MATCH(ROWS($AH$2:AH442),$AH$2:$AH$1001,0),0), INDEX($AO$1004:$BQ$1004,1,MATCH(COLUMNS($AO$1006:BM1006),$AO$1006:$BQ$1006,0)))),"Fix")))</f>
        <v>#N/A</v>
      </c>
      <c r="AA442" s="5" t="e">
        <f ca="1">IF(OR(INDEX($AI$2:$AI$1001,MATCH(ROWS($AH$2:AH442),$AH$2:$AH$1001,0),1)&gt;=100000,INDEX($AO$1005:$BQ$1005,1,MATCH(COLUMNS($AO$1006:BN1006),$AO$1006:$BQ$1006,0))&gt;=100000), " ",IF(INDEX($AO$2:$BQ$1001,MATCH(ROWS($AH$2:AH442),$AH$2:$AH$1001,0),MATCH(COLUMNS($AO$1006:BN1006),$AO$1006:$BQ$1006,0)), HYPERLINK("#",""), HYPERLINK(CONCATENATE("#Metadata!", ADDRESS(INDEX($AJ$2:$AJ$1001,MATCH(ROWS($AH$2:AH442),$AH$2:$AH$1001,0),0), INDEX($AO$1004:$BQ$1004,1,MATCH(COLUMNS($AO$1006:BN1006),$AO$1006:$BQ$1006,0)))),"Fix")))</f>
        <v>#N/A</v>
      </c>
      <c r="AB442" s="5" t="e">
        <f ca="1">IF(OR(INDEX($AI$2:$AI$1001,MATCH(ROWS($AH$2:AH442),$AH$2:$AH$1001,0),1)&gt;=100000,INDEX($AO$1005:$BQ$1005,1,MATCH(COLUMNS($AO$1006:BO1006),$AO$1006:$BQ$1006,0))&gt;=100000), " ",IF(INDEX($AO$2:$BQ$1001,MATCH(ROWS($AH$2:AH442),$AH$2:$AH$1001,0),MATCH(COLUMNS($AO$1006:BO1006),$AO$1006:$BQ$1006,0)), HYPERLINK("#",""), HYPERLINK(CONCATENATE("#Metadata!", ADDRESS(INDEX($AJ$2:$AJ$1001,MATCH(ROWS($AH$2:AH442),$AH$2:$AH$1001,0),0), INDEX($AO$1004:$BQ$1004,1,MATCH(COLUMNS($AO$1006:BO1006),$AO$1006:$BQ$1006,0)))),"Fix")))</f>
        <v>#N/A</v>
      </c>
      <c r="AC442" s="5" t="e">
        <f ca="1">IF(OR(INDEX($AI$2:$AI$1001,MATCH(ROWS($AH$2:AH442),$AH$2:$AH$1001,0),1)&gt;=100000,INDEX($AO$1005:$BQ$1005,1,MATCH(COLUMNS($AO$1006:BP1006),$AO$1006:$BQ$1006,0))&gt;=100000), " ",IF(INDEX($AO$2:$BQ$1001,MATCH(ROWS($AH$2:AH442),$AH$2:$AH$1001,0),MATCH(COLUMNS($AO$1006:BP1006),$AO$1006:$BQ$1006,0)), HYPERLINK("#",""), HYPERLINK(CONCATENATE("#Metadata!", ADDRESS(INDEX($AJ$2:$AJ$1001,MATCH(ROWS($AH$2:AH442),$AH$2:$AH$1001,0),0), INDEX($AO$1004:$BQ$1004,1,MATCH(COLUMNS($AO$1006:BP1006),$AO$1006:$BQ$1006,0)))),"Fix")))</f>
        <v>#N/A</v>
      </c>
      <c r="AD442" s="5" t="e">
        <f ca="1">IF(OR(INDEX($AI$2:$AI$1001,MATCH(ROWS($AH$2:AH442),$AH$2:$AH$1001,0),1)&gt;=100000,INDEX($AO$1005:$BQ$1005,1,MATCH(COLUMNS($AO$1006:BQ1006),$AO$1006:$BQ$1006,0))&gt;=100000), " ",IF(INDEX($AO$2:$BQ$1001,MATCH(ROWS($AH$2:AH442),$AH$2:$AH$1001,0),MATCH(COLUMNS($AO$1006:BQ1006),$AO$1006:$BQ$1006,0)), HYPERLINK("#",""), HYPERLINK(CONCATENATE("#Metadata!", ADDRESS(INDEX($AJ$2:$AJ$1001,MATCH(ROWS($AH$2:AH442),$AH$2:$AH$1001,0),0), INDEX($AO$1004:$BQ$1004,1,MATCH(COLUMNS($AO$1006:BQ1006),$AO$1006:$BQ$1006,0)))),"Fix")))</f>
        <v>#REF!</v>
      </c>
      <c r="AH442">
        <f ca="1"/>
        <v>439</v>
      </c>
      <c r="AI442">
        <v>100442</v>
      </c>
      <c r="AJ442">
        <v>442</v>
      </c>
      <c r="AK442" t="b">
        <f t="shared" si="6"/>
        <v>1</v>
      </c>
      <c r="AL442" t="b">
        <f>COUNTBLANK(Metadata!B442:AD442)=COLUMNS(Metadata!B442:AD442)</f>
        <v>1</v>
      </c>
      <c r="AM442" t="str">
        <v/>
      </c>
      <c r="AO442" t="b">
        <f ca="1">AND(IF(Metadata!B442="",FALSE,TRUE),COUNTIF(Metadata!B:B, Metadata!B442) = 1,NOT(ISERROR(SUMPRODUCT(SEARCH(MID(Metadata!B442,ROW(INDIRECT("1:"&amp;LEN(Metadata!B442))), 1),"0123456789abcdefghijklmnopqrstuvwxyzABCDEFGHIJKLMNOPQRSTUVWXYZ.")))))</f>
        <v>0</v>
      </c>
      <c r="AP442" t="b">
        <f>IF(Metadata!C442="",FALSE,TRUE)</f>
        <v>0</v>
      </c>
      <c r="AQ442" t="b">
        <f>IF(Metadata!D442="",FALSE,TRUE)</f>
        <v>0</v>
      </c>
      <c r="AR442" t="b">
        <f ca="1">OR(AND(IF(Metadata!E442="",FALSE,TRUE),OR(EXACT(Metadata!E442,"not collected"),EXACT(Metadata!E442,"not provided"),EXACT(Metadata!E442,"restricted access"))),AND(IF(Metadata!E442="",FALSE,TRUE),AND(AND(IFERROR(INT(LEFT(Metadata!E442,4))&gt;1900,FALSE),IFERROR(INT(LEFT(Metadata!E442,4))&lt;=YEAR(NOW()),FALSE)), OR(MID(Metadata!E442,5,1)="", AND(AND(MID(Metadata!E442,5,1)="-",IFERROR(INT(MID(Metadata!E442,6,1))&gt;=0,FALSE),IFERROR(INT(MID(Metadata!E442,6,1))&lt;=1,FALSE),NOT(MID(Metadata!E442,7,1)=""),IFERROR(INT(MID(Metadata!E442,6,2))&gt;=1,FALSE),IFERROR(INT(MID(Metadata!E442,6,2))&lt;=12,FALSE)), OR(MID(Metadata!E442,8,1)="", AND(AND(MID(Metadata!E442,8,1)="-",IFERROR(INT(MID(Metadata!E442,9,1))&gt;=0,FALSE),IFERROR(INT(MID(Metadata!E442,9,1))&lt;=3,FALSE),NOT(MID(Metadata!E442,10,1)=""),IFERROR(INT(MID(Metadata!E442,9,2))&gt;=1,FALSE),IFERROR(INT(MID(Metadata!E442,9,2))&lt;=31,FALSE)), OR(MID(Metadata!E442,11,1)="", AND(AND(MID(Metadata!E442,11,1)=" ",IFERROR(INT(MID(Metadata!E442,12,1))&gt;=0,FALSE),IFERROR(INT(MID(Metadata!E442,12,1))&lt;=2,FALSE),NOT(MID(Metadata!E442,13,1)=""),IFERROR(INT(MID(Metadata!E442,12,2))&gt;=0,FALSE),IFERROR(INT(MID(Metadata!E442,12,2))&lt;=23,FALSE)), OR(MID(Metadata!E442,14,1)="", AND(AND(MID(Metadata!E442,14,1)=":",IFERROR(INT(MID(Metadata!E442,15,1))&gt;=0,FALSE),IFERROR(INT(MID(Metadata!E442,15,1))&lt;=5,FALSE),NOT(MID(Metadata!E442,16,1)=""),IFERROR(INT(MID(Metadata!E442,15,2))&gt;=0,FALSE),IFERROR(INT(MID(Metadata!E442,15,2))&lt;=59,FALSE)), OR(MID(Metadata!E442,17,1)="", AND(AND(MID(Metadata!E442,17,1)=":",IFERROR(INT(MID(Metadata!E442,18,1))&gt;=0,FALSE),IFERROR(INT(MID(Metadata!E442,18,1))&lt;=5,FALSE),NOT(MID(Metadata!E442,19,1)=""),IFERROR(INT(MID(Metadata!E442,18,2))&gt;=0,FALSE),IFERROR(INT(MID(Metadata!E442,18,2))&lt;=59,FALSE)), LEN(Metadata!E442)&lt;=19)))))))))))))</f>
        <v>0</v>
      </c>
      <c r="AS442" t="b">
        <f>IF(Metadata!F442="",FALSE,TRUE)</f>
        <v>0</v>
      </c>
      <c r="AT442" t="b">
        <f>OR(AND(IF(Metadata!G442="",FALSE,TRUE),OR(EXACT(Metadata!G442,"not collected"),EXACT(Metadata!G442,"not provided"))),AND(IF(Metadata!G442="",FALSE,TRUE),OR(EXACT(Metadata!G442,"TRUE"),EXACT(Metadata!G442,"FALSE"))))</f>
        <v>0</v>
      </c>
      <c r="AU442" t="b">
        <f>OR(AND(IF(Metadata!H442="",FALSE,TRUE),OR(EXACT(Metadata!H442,"not collected"),EXACT(Metadata!H442,"not provided"),EXACT(Metadata!H442,"restricted access"))),AND(IF(Metadata!H442="",FALSE,ISNUMBER(VALUE(Metadata!H442))),Metadata!H442&gt;=-413))</f>
        <v>0</v>
      </c>
      <c r="AV442" t="b">
        <f>AND(IF(Metadata!I442="",FALSE,TRUE),EXACT(Metadata!I442,"meters"))</f>
        <v>0</v>
      </c>
      <c r="AW442" t="b">
        <f>AND(IF(Metadata!J442="",FALSE,TRUE),EXACT(Metadata!J442,"free-living"))</f>
        <v>0</v>
      </c>
      <c r="AX442" t="b">
        <f>AND(IF(Metadata!K442="",FALSE,TRUE),OR(EXACT(Metadata!K442,"saline"),EXACT(Metadata!K442,"non-saline")))</f>
        <v>0</v>
      </c>
      <c r="AY442" t="b">
        <f>AND(IF(Metadata!L442="",FALSE,TRUE),OR(EXACT(Metadata!L442,"sub-surface (non-saline)"),EXACT(Metadata!L442,"surface (non-saline)"),EXACT(Metadata!L442,"water (non-saline)"),EXACT(Metadata!L442,"soil (non-saline)"),EXACT(Metadata!L442,"aerosol (non-saline)"),EXACT(Metadata!L442,"sediment (non-saline)"),EXACT(Metadata!L442,"surface (saline)"),EXACT(Metadata!L442,"water (saline)"),EXACT(Metadata!L442,"hypersaline (saline)"),EXACT(Metadata!L442,"aerosol (saline)"),EXACT(Metadata!L442,"sediment (saline)")))</f>
        <v>0</v>
      </c>
      <c r="AZ442" t="b">
        <f>IF(Metadata!M442="",FALSE,TRUE)</f>
        <v>0</v>
      </c>
      <c r="BA442" t="b">
        <f>IF(Metadata!N442="",FALSE,TRUE)</f>
        <v>0</v>
      </c>
      <c r="BB442" t="b">
        <f>IF(Metadata!O442="",FALSE,TRUE)</f>
        <v>0</v>
      </c>
      <c r="BC442" t="b">
        <f>AND(IF(Metadata!P442="",FALSE,TRUE),OR(EXACT(Metadata!P442,"air"),EXACT(Metadata!P442,"microbial mat/biofilm"),EXACT(Metadata!P442,"misc environment"),EXACT(Metadata!P442,"sediment"),EXACT(Metadata!P442,"soil"),EXACT(Metadata!P442,"wastewater/sludge"),EXACT(Metadata!P442,"water")))</f>
        <v>0</v>
      </c>
      <c r="BD442" t="b">
        <f>IF(Metadata!Q442="",FALSE,TRUE)</f>
        <v>0</v>
      </c>
      <c r="BE442" t="b">
        <f>IF(Metadata!R442="",FALSE,TRUE)</f>
        <v>0</v>
      </c>
      <c r="BF442" t="b">
        <f>OR(AND(IF(Metadata!S442="",FALSE,TRUE),OR(EXACT(Metadata!S442,"not collected"),EXACT(Metadata!S442,"not provided"),EXACT(Metadata!S442,"restricted access"))),AND(IF(Metadata!S442="",FALSE,ISNUMBER(VALUE(Metadata!S442))),Metadata!S442&gt;=-90,Metadata!S442&lt;=90))</f>
        <v>0</v>
      </c>
      <c r="BG442" t="b">
        <f>AND(IF(Metadata!T442="",FALSE,TRUE),EXACT(Metadata!T442,"Decimal degrees"))</f>
        <v>0</v>
      </c>
      <c r="BH442" t="b">
        <f>OR(AND(IF(Metadata!U442="",FALSE,TRUE),OR(EXACT(Metadata!U442,"not applicable"),EXACT(Metadata!U442,"not collected"))),IF(Metadata!U442="",FALSE,TRUE))</f>
        <v>0</v>
      </c>
      <c r="BI442" t="b">
        <f>OR(AND(IF(Metadata!V442="",FALSE,TRUE),OR(EXACT(Metadata!V442,"not collected"),EXACT(Metadata!V442,"not provided"),EXACT(Metadata!V442,"restricted access"))),AND(IF(Metadata!V442="",FALSE,ISNUMBER(VALUE(Metadata!V442))),Metadata!V442&gt;=-180,Metadata!V442&lt;=180))</f>
        <v>0</v>
      </c>
      <c r="BJ442" t="b">
        <f>AND(IF(Metadata!W442="",FALSE,TRUE),EXACT(Metadata!W442,"Decimal degrees"))</f>
        <v>0</v>
      </c>
      <c r="BK442" t="b">
        <f>IF(Metadata!X442="",FALSE,TRUE)</f>
        <v>0</v>
      </c>
      <c r="BL442" t="b">
        <f>OR(AND(IF(Metadata!Y442="",FALSE,TRUE),OR(EXACT(Metadata!Y442,"not collected"),EXACT(Metadata!Y442,"not provided"),EXACT(Metadata!Y442,"restricted access"))),AND(IF(Metadata!Y442="",FALSE,TRUE),OR(EXACT(Metadata!Y442,"TRUE"),EXACT(Metadata!Y442,"FALSE"))))</f>
        <v>0</v>
      </c>
      <c r="BM442" t="b">
        <f>OR(AND(IF(Metadata!Z442="",FALSE,TRUE),EXACT(Metadata!Z442,"not applicable")),AND(IF(Metadata!Z442="",FALSE,TRUE),OR(EXACT(Metadata!Z442,"beer"),EXACT(Metadata!Z442,"cheese"),EXACT(Metadata!Z442,"fresh water"),EXACT(Metadata!Z442,"marine sediment"),EXACT(Metadata!Z442,"sea water"),EXACT(Metadata!Z442,"sediment"),EXACT(Metadata!Z442,"soil"),EXACT(Metadata!Z442,"waste water"))))</f>
        <v>0</v>
      </c>
      <c r="BN442" t="b">
        <f>AND(IF(Metadata!AA442="",FALSE,TRUE),EXACT(Metadata!AA442,"metagenome"))</f>
        <v>0</v>
      </c>
      <c r="BO442" t="b">
        <f>AND(IF(Metadata!AB442="",FALSE,TRUE),EXACT(Metadata!AB442,"256318"))</f>
        <v>0</v>
      </c>
      <c r="BP442" t="b">
        <f>IF(Metadata!AC442="",FALSE,TRUE)</f>
        <v>0</v>
      </c>
      <c r="BQ442" t="b">
        <f>IF(Metadata!AD442="",FALSE,TRUE)</f>
        <v>0</v>
      </c>
    </row>
    <row r="443" spans="1:69" x14ac:dyDescent="0.2">
      <c r="A443" s="4" t="e">
        <f ca="1">IF(B443=" "," ",HYPERLINK(CONCATENATE("#metadata!",ADDRESS(INDEX($AJ$2:$AJ$1001,MATCH(ROWS($AH$2:AH443),$AH$2:$AH$1001,0),0),2)),INDEX($AM$2:$AM$1001,MATCH(ROWS($AH$2:AH443),$AH$2:$AH$1001,0),0)))</f>
        <v>#N/A</v>
      </c>
      <c r="B443" s="5" t="e">
        <f ca="1">IF(OR(INDEX($AI$2:$AI$1001,MATCH(ROWS($AH$2:AH443),$AH$2:$AH$1001,0),1)&gt;=100000,INDEX($AO$1005:$BQ$1005,1,MATCH(COLUMNS($AO$1006:AO1006),$AO$1006:$BQ$1006,0))&gt;=100000), " ",IF(INDEX($AO$2:$BQ$1001,MATCH(ROWS($AH$2:AH443),$AH$2:$AH$1001,0),MATCH(COLUMNS($AO$1006:AO1006),$AO$1006:$BQ$1006,0)), HYPERLINK("#",""), HYPERLINK(CONCATENATE("#Metadata!", ADDRESS(INDEX($AJ$2:$AJ$1001,MATCH(ROWS($AH$2:AH443),$AH$2:$AH$1001,0),0), INDEX($AO$1004:$BQ$1004,1,MATCH(COLUMNS($AO$1006:AO1006),$AO$1006:$BQ$1006,0)))),"Fix")))</f>
        <v>#N/A</v>
      </c>
      <c r="C443" s="5" t="e">
        <f ca="1">IF(OR(INDEX($AI$2:$AI$1001,MATCH(ROWS($AH$2:AH443),$AH$2:$AH$1001,0),1)&gt;=100000,INDEX($AO$1005:$BQ$1005,1,MATCH(COLUMNS($AO$1006:AP1006),$AO$1006:$BQ$1006,0))&gt;=100000), " ",IF(INDEX($AO$2:$BQ$1001,MATCH(ROWS($AH$2:AH443),$AH$2:$AH$1001,0),MATCH(COLUMNS($AO$1006:AP1006),$AO$1006:$BQ$1006,0)), HYPERLINK("#",""), HYPERLINK(CONCATENATE("#Metadata!", ADDRESS(INDEX($AJ$2:$AJ$1001,MATCH(ROWS($AH$2:AH443),$AH$2:$AH$1001,0),0), INDEX($AO$1004:$BQ$1004,1,MATCH(COLUMNS($AO$1006:AP1006),$AO$1006:$BQ$1006,0)))),"Fix")))</f>
        <v>#N/A</v>
      </c>
      <c r="D443" s="5" t="e">
        <f ca="1">IF(OR(INDEX($AI$2:$AI$1001,MATCH(ROWS($AH$2:AH443),$AH$2:$AH$1001,0),1)&gt;=100000,INDEX($AO$1005:$BQ$1005,1,MATCH(COLUMNS($AO$1006:AQ1006),$AO$1006:$BQ$1006,0))&gt;=100000), " ",IF(INDEX($AO$2:$BQ$1001,MATCH(ROWS($AH$2:AH443),$AH$2:$AH$1001,0),MATCH(COLUMNS($AO$1006:AQ1006),$AO$1006:$BQ$1006,0)), HYPERLINK("#",""), HYPERLINK(CONCATENATE("#Metadata!", ADDRESS(INDEX($AJ$2:$AJ$1001,MATCH(ROWS($AH$2:AH443),$AH$2:$AH$1001,0),0), INDEX($AO$1004:$BQ$1004,1,MATCH(COLUMNS($AO$1006:AQ1006),$AO$1006:$BQ$1006,0)))),"Fix")))</f>
        <v>#N/A</v>
      </c>
      <c r="E443" s="5" t="e">
        <f ca="1">IF(OR(INDEX($AI$2:$AI$1001,MATCH(ROWS($AH$2:AH443),$AH$2:$AH$1001,0),1)&gt;=100000,INDEX($AO$1005:$BQ$1005,1,MATCH(COLUMNS($AO$1006:AR1006),$AO$1006:$BQ$1006,0))&gt;=100000), " ",IF(INDEX($AO$2:$BQ$1001,MATCH(ROWS($AH$2:AH443),$AH$2:$AH$1001,0),MATCH(COLUMNS($AO$1006:AR1006),$AO$1006:$BQ$1006,0)), HYPERLINK("#",""), HYPERLINK(CONCATENATE("#Metadata!", ADDRESS(INDEX($AJ$2:$AJ$1001,MATCH(ROWS($AH$2:AH443),$AH$2:$AH$1001,0),0), INDEX($AO$1004:$BQ$1004,1,MATCH(COLUMNS($AO$1006:AR1006),$AO$1006:$BQ$1006,0)))),"Fix")))</f>
        <v>#N/A</v>
      </c>
      <c r="F443" s="5" t="e">
        <f ca="1">IF(OR(INDEX($AI$2:$AI$1001,MATCH(ROWS($AH$2:AH443),$AH$2:$AH$1001,0),1)&gt;=100000,INDEX($AO$1005:$BQ$1005,1,MATCH(COLUMNS($AO$1006:AS1006),$AO$1006:$BQ$1006,0))&gt;=100000), " ",IF(INDEX($AO$2:$BQ$1001,MATCH(ROWS($AH$2:AH443),$AH$2:$AH$1001,0),MATCH(COLUMNS($AO$1006:AS1006),$AO$1006:$BQ$1006,0)), HYPERLINK("#",""), HYPERLINK(CONCATENATE("#Metadata!", ADDRESS(INDEX($AJ$2:$AJ$1001,MATCH(ROWS($AH$2:AH443),$AH$2:$AH$1001,0),0), INDEX($AO$1004:$BQ$1004,1,MATCH(COLUMNS($AO$1006:AS1006),$AO$1006:$BQ$1006,0)))),"Fix")))</f>
        <v>#N/A</v>
      </c>
      <c r="G443" s="5" t="e">
        <f ca="1">IF(OR(INDEX($AI$2:$AI$1001,MATCH(ROWS($AH$2:AH443),$AH$2:$AH$1001,0),1)&gt;=100000,INDEX($AO$1005:$BQ$1005,1,MATCH(COLUMNS($AO$1006:AT1006),$AO$1006:$BQ$1006,0))&gt;=100000), " ",IF(INDEX($AO$2:$BQ$1001,MATCH(ROWS($AH$2:AH443),$AH$2:$AH$1001,0),MATCH(COLUMNS($AO$1006:AT1006),$AO$1006:$BQ$1006,0)), HYPERLINK("#",""), HYPERLINK(CONCATENATE("#Metadata!", ADDRESS(INDEX($AJ$2:$AJ$1001,MATCH(ROWS($AH$2:AH443),$AH$2:$AH$1001,0),0), INDEX($AO$1004:$BQ$1004,1,MATCH(COLUMNS($AO$1006:AT1006),$AO$1006:$BQ$1006,0)))),"Fix")))</f>
        <v>#N/A</v>
      </c>
      <c r="H443" s="5" t="e">
        <f ca="1">IF(OR(INDEX($AI$2:$AI$1001,MATCH(ROWS($AH$2:AH443),$AH$2:$AH$1001,0),1)&gt;=100000,INDEX($AO$1005:$BQ$1005,1,MATCH(COLUMNS($AO$1006:AU1006),$AO$1006:$BQ$1006,0))&gt;=100000), " ",IF(INDEX($AO$2:$BQ$1001,MATCH(ROWS($AH$2:AH443),$AH$2:$AH$1001,0),MATCH(COLUMNS($AO$1006:AU1006),$AO$1006:$BQ$1006,0)), HYPERLINK("#",""), HYPERLINK(CONCATENATE("#Metadata!", ADDRESS(INDEX($AJ$2:$AJ$1001,MATCH(ROWS($AH$2:AH443),$AH$2:$AH$1001,0),0), INDEX($AO$1004:$BQ$1004,1,MATCH(COLUMNS($AO$1006:AU1006),$AO$1006:$BQ$1006,0)))),"Fix")))</f>
        <v>#N/A</v>
      </c>
      <c r="I443" s="5" t="e">
        <f ca="1">IF(OR(INDEX($AI$2:$AI$1001,MATCH(ROWS($AH$2:AH443),$AH$2:$AH$1001,0),1)&gt;=100000,INDEX($AO$1005:$BQ$1005,1,MATCH(COLUMNS($AO$1006:AV1006),$AO$1006:$BQ$1006,0))&gt;=100000), " ",IF(INDEX($AO$2:$BQ$1001,MATCH(ROWS($AH$2:AH443),$AH$2:$AH$1001,0),MATCH(COLUMNS($AO$1006:AV1006),$AO$1006:$BQ$1006,0)), HYPERLINK("#",""), HYPERLINK(CONCATENATE("#Metadata!", ADDRESS(INDEX($AJ$2:$AJ$1001,MATCH(ROWS($AH$2:AH443),$AH$2:$AH$1001,0),0), INDEX($AO$1004:$BQ$1004,1,MATCH(COLUMNS($AO$1006:AV1006),$AO$1006:$BQ$1006,0)))),"Fix")))</f>
        <v>#N/A</v>
      </c>
      <c r="J443" s="5" t="e">
        <f ca="1">IF(OR(INDEX($AI$2:$AI$1001,MATCH(ROWS($AH$2:AH443),$AH$2:$AH$1001,0),1)&gt;=100000,INDEX($AO$1005:$BQ$1005,1,MATCH(COLUMNS($AO$1006:AW1006),$AO$1006:$BQ$1006,0))&gt;=100000), " ",IF(INDEX($AO$2:$BQ$1001,MATCH(ROWS($AH$2:AH443),$AH$2:$AH$1001,0),MATCH(COLUMNS($AO$1006:AW1006),$AO$1006:$BQ$1006,0)), HYPERLINK("#",""), HYPERLINK(CONCATENATE("#Metadata!", ADDRESS(INDEX($AJ$2:$AJ$1001,MATCH(ROWS($AH$2:AH443),$AH$2:$AH$1001,0),0), INDEX($AO$1004:$BQ$1004,1,MATCH(COLUMNS($AO$1006:AW1006),$AO$1006:$BQ$1006,0)))),"Fix")))</f>
        <v>#N/A</v>
      </c>
      <c r="K443" s="5" t="e">
        <f ca="1">IF(OR(INDEX($AI$2:$AI$1001,MATCH(ROWS($AH$2:AH443),$AH$2:$AH$1001,0),1)&gt;=100000,INDEX($AO$1005:$BQ$1005,1,MATCH(COLUMNS($AO$1006:AX1006),$AO$1006:$BQ$1006,0))&gt;=100000), " ",IF(INDEX($AO$2:$BQ$1001,MATCH(ROWS($AH$2:AH443),$AH$2:$AH$1001,0),MATCH(COLUMNS($AO$1006:AX1006),$AO$1006:$BQ$1006,0)), HYPERLINK("#",""), HYPERLINK(CONCATENATE("#Metadata!", ADDRESS(INDEX($AJ$2:$AJ$1001,MATCH(ROWS($AH$2:AH443),$AH$2:$AH$1001,0),0), INDEX($AO$1004:$BQ$1004,1,MATCH(COLUMNS($AO$1006:AX1006),$AO$1006:$BQ$1006,0)))),"Fix")))</f>
        <v>#N/A</v>
      </c>
      <c r="L443" s="5" t="e">
        <f ca="1">IF(OR(INDEX($AI$2:$AI$1001,MATCH(ROWS($AH$2:AH443),$AH$2:$AH$1001,0),1)&gt;=100000,INDEX($AO$1005:$BQ$1005,1,MATCH(COLUMNS($AO$1006:AY1006),$AO$1006:$BQ$1006,0))&gt;=100000), " ",IF(INDEX($AO$2:$BQ$1001,MATCH(ROWS($AH$2:AH443),$AH$2:$AH$1001,0),MATCH(COLUMNS($AO$1006:AY1006),$AO$1006:$BQ$1006,0)), HYPERLINK("#",""), HYPERLINK(CONCATENATE("#Metadata!", ADDRESS(INDEX($AJ$2:$AJ$1001,MATCH(ROWS($AH$2:AH443),$AH$2:$AH$1001,0),0), INDEX($AO$1004:$BQ$1004,1,MATCH(COLUMNS($AO$1006:AY1006),$AO$1006:$BQ$1006,0)))),"Fix")))</f>
        <v>#N/A</v>
      </c>
      <c r="M443" s="5" t="e">
        <f ca="1">IF(OR(INDEX($AI$2:$AI$1001,MATCH(ROWS($AH$2:AH443),$AH$2:$AH$1001,0),1)&gt;=100000,INDEX($AO$1005:$BQ$1005,1,MATCH(COLUMNS($AO$1006:AZ1006),$AO$1006:$BQ$1006,0))&gt;=100000), " ",IF(INDEX($AO$2:$BQ$1001,MATCH(ROWS($AH$2:AH443),$AH$2:$AH$1001,0),MATCH(COLUMNS($AO$1006:AZ1006),$AO$1006:$BQ$1006,0)), HYPERLINK("#",""), HYPERLINK(CONCATENATE("#Metadata!", ADDRESS(INDEX($AJ$2:$AJ$1001,MATCH(ROWS($AH$2:AH443),$AH$2:$AH$1001,0),0), INDEX($AO$1004:$BQ$1004,1,MATCH(COLUMNS($AO$1006:AZ1006),$AO$1006:$BQ$1006,0)))),"Fix")))</f>
        <v>#N/A</v>
      </c>
      <c r="N443" s="5" t="e">
        <f ca="1">IF(OR(INDEX($AI$2:$AI$1001,MATCH(ROWS($AH$2:AH443),$AH$2:$AH$1001,0),1)&gt;=100000,INDEX($AO$1005:$BQ$1005,1,MATCH(COLUMNS($AO$1006:BA1006),$AO$1006:$BQ$1006,0))&gt;=100000), " ",IF(INDEX($AO$2:$BQ$1001,MATCH(ROWS($AH$2:AH443),$AH$2:$AH$1001,0),MATCH(COLUMNS($AO$1006:BA1006),$AO$1006:$BQ$1006,0)), HYPERLINK("#",""), HYPERLINK(CONCATENATE("#Metadata!", ADDRESS(INDEX($AJ$2:$AJ$1001,MATCH(ROWS($AH$2:AH443),$AH$2:$AH$1001,0),0), INDEX($AO$1004:$BQ$1004,1,MATCH(COLUMNS($AO$1006:BA1006),$AO$1006:$BQ$1006,0)))),"Fix")))</f>
        <v>#N/A</v>
      </c>
      <c r="O443" s="5" t="e">
        <f ca="1">IF(OR(INDEX($AI$2:$AI$1001,MATCH(ROWS($AH$2:AH443),$AH$2:$AH$1001,0),1)&gt;=100000,INDEX($AO$1005:$BQ$1005,1,MATCH(COLUMNS($AO$1006:BB1006),$AO$1006:$BQ$1006,0))&gt;=100000), " ",IF(INDEX($AO$2:$BQ$1001,MATCH(ROWS($AH$2:AH443),$AH$2:$AH$1001,0),MATCH(COLUMNS($AO$1006:BB1006),$AO$1006:$BQ$1006,0)), HYPERLINK("#",""), HYPERLINK(CONCATENATE("#Metadata!", ADDRESS(INDEX($AJ$2:$AJ$1001,MATCH(ROWS($AH$2:AH443),$AH$2:$AH$1001,0),0), INDEX($AO$1004:$BQ$1004,1,MATCH(COLUMNS($AO$1006:BB1006),$AO$1006:$BQ$1006,0)))),"Fix")))</f>
        <v>#N/A</v>
      </c>
      <c r="P443" s="5" t="e">
        <f ca="1">IF(OR(INDEX($AI$2:$AI$1001,MATCH(ROWS($AH$2:AH443),$AH$2:$AH$1001,0),1)&gt;=100000,INDEX($AO$1005:$BQ$1005,1,MATCH(COLUMNS($AO$1006:BC1006),$AO$1006:$BQ$1006,0))&gt;=100000), " ",IF(INDEX($AO$2:$BQ$1001,MATCH(ROWS($AH$2:AH443),$AH$2:$AH$1001,0),MATCH(COLUMNS($AO$1006:BC1006),$AO$1006:$BQ$1006,0)), HYPERLINK("#",""), HYPERLINK(CONCATENATE("#Metadata!", ADDRESS(INDEX($AJ$2:$AJ$1001,MATCH(ROWS($AH$2:AH443),$AH$2:$AH$1001,0),0), INDEX($AO$1004:$BQ$1004,1,MATCH(COLUMNS($AO$1006:BC1006),$AO$1006:$BQ$1006,0)))),"Fix")))</f>
        <v>#N/A</v>
      </c>
      <c r="Q443" s="5" t="e">
        <f ca="1">IF(OR(INDEX($AI$2:$AI$1001,MATCH(ROWS($AH$2:AH443),$AH$2:$AH$1001,0),1)&gt;=100000,INDEX($AO$1005:$BQ$1005,1,MATCH(COLUMNS($AO$1006:BD1006),$AO$1006:$BQ$1006,0))&gt;=100000), " ",IF(INDEX($AO$2:$BQ$1001,MATCH(ROWS($AH$2:AH443),$AH$2:$AH$1001,0),MATCH(COLUMNS($AO$1006:BD1006),$AO$1006:$BQ$1006,0)), HYPERLINK("#",""), HYPERLINK(CONCATENATE("#Metadata!", ADDRESS(INDEX($AJ$2:$AJ$1001,MATCH(ROWS($AH$2:AH443),$AH$2:$AH$1001,0),0), INDEX($AO$1004:$BQ$1004,1,MATCH(COLUMNS($AO$1006:BD1006),$AO$1006:$BQ$1006,0)))),"Fix")))</f>
        <v>#N/A</v>
      </c>
      <c r="R443" s="5" t="e">
        <f ca="1">IF(OR(INDEX($AI$2:$AI$1001,MATCH(ROWS($AH$2:AH443),$AH$2:$AH$1001,0),1)&gt;=100000,INDEX($AO$1005:$BQ$1005,1,MATCH(COLUMNS($AO$1006:BE1006),$AO$1006:$BQ$1006,0))&gt;=100000), " ",IF(INDEX($AO$2:$BQ$1001,MATCH(ROWS($AH$2:AH443),$AH$2:$AH$1001,0),MATCH(COLUMNS($AO$1006:BE1006),$AO$1006:$BQ$1006,0)), HYPERLINK("#",""), HYPERLINK(CONCATENATE("#Metadata!", ADDRESS(INDEX($AJ$2:$AJ$1001,MATCH(ROWS($AH$2:AH443),$AH$2:$AH$1001,0),0), INDEX($AO$1004:$BQ$1004,1,MATCH(COLUMNS($AO$1006:BE1006),$AO$1006:$BQ$1006,0)))),"Fix")))</f>
        <v>#N/A</v>
      </c>
      <c r="S443" s="5" t="e">
        <f ca="1">IF(OR(INDEX($AI$2:$AI$1001,MATCH(ROWS($AH$2:AH443),$AH$2:$AH$1001,0),1)&gt;=100000,INDEX($AO$1005:$BQ$1005,1,MATCH(COLUMNS($AO$1006:BF1006),$AO$1006:$BQ$1006,0))&gt;=100000), " ",IF(INDEX($AO$2:$BQ$1001,MATCH(ROWS($AH$2:AH443),$AH$2:$AH$1001,0),MATCH(COLUMNS($AO$1006:BF1006),$AO$1006:$BQ$1006,0)), HYPERLINK("#",""), HYPERLINK(CONCATENATE("#Metadata!", ADDRESS(INDEX($AJ$2:$AJ$1001,MATCH(ROWS($AH$2:AH443),$AH$2:$AH$1001,0),0), INDEX($AO$1004:$BQ$1004,1,MATCH(COLUMNS($AO$1006:BF1006),$AO$1006:$BQ$1006,0)))),"Fix")))</f>
        <v>#N/A</v>
      </c>
      <c r="T443" s="5" t="e">
        <f ca="1">IF(OR(INDEX($AI$2:$AI$1001,MATCH(ROWS($AH$2:AH443),$AH$2:$AH$1001,0),1)&gt;=100000,INDEX($AO$1005:$BQ$1005,1,MATCH(COLUMNS($AO$1006:BG1006),$AO$1006:$BQ$1006,0))&gt;=100000), " ",IF(INDEX($AO$2:$BQ$1001,MATCH(ROWS($AH$2:AH443),$AH$2:$AH$1001,0),MATCH(COLUMNS($AO$1006:BG1006),$AO$1006:$BQ$1006,0)), HYPERLINK("#",""), HYPERLINK(CONCATENATE("#Metadata!", ADDRESS(INDEX($AJ$2:$AJ$1001,MATCH(ROWS($AH$2:AH443),$AH$2:$AH$1001,0),0), INDEX($AO$1004:$BQ$1004,1,MATCH(COLUMNS($AO$1006:BG1006),$AO$1006:$BQ$1006,0)))),"Fix")))</f>
        <v>#N/A</v>
      </c>
      <c r="U443" s="5" t="e">
        <f ca="1">IF(OR(INDEX($AI$2:$AI$1001,MATCH(ROWS($AH$2:AH443),$AH$2:$AH$1001,0),1)&gt;=100000,INDEX($AO$1005:$BQ$1005,1,MATCH(COLUMNS($AO$1006:BH1006),$AO$1006:$BQ$1006,0))&gt;=100000), " ",IF(INDEX($AO$2:$BQ$1001,MATCH(ROWS($AH$2:AH443),$AH$2:$AH$1001,0),MATCH(COLUMNS($AO$1006:BH1006),$AO$1006:$BQ$1006,0)), HYPERLINK("#",""), HYPERLINK(CONCATENATE("#Metadata!", ADDRESS(INDEX($AJ$2:$AJ$1001,MATCH(ROWS($AH$2:AH443),$AH$2:$AH$1001,0),0), INDEX($AO$1004:$BQ$1004,1,MATCH(COLUMNS($AO$1006:BH1006),$AO$1006:$BQ$1006,0)))),"Fix")))</f>
        <v>#N/A</v>
      </c>
      <c r="V443" s="5" t="e">
        <f ca="1">IF(OR(INDEX($AI$2:$AI$1001,MATCH(ROWS($AH$2:AH443),$AH$2:$AH$1001,0),1)&gt;=100000,INDEX($AO$1005:$BQ$1005,1,MATCH(COLUMNS($AO$1006:BI1006),$AO$1006:$BQ$1006,0))&gt;=100000), " ",IF(INDEX($AO$2:$BQ$1001,MATCH(ROWS($AH$2:AH443),$AH$2:$AH$1001,0),MATCH(COLUMNS($AO$1006:BI1006),$AO$1006:$BQ$1006,0)), HYPERLINK("#",""), HYPERLINK(CONCATENATE("#Metadata!", ADDRESS(INDEX($AJ$2:$AJ$1001,MATCH(ROWS($AH$2:AH443),$AH$2:$AH$1001,0),0), INDEX($AO$1004:$BQ$1004,1,MATCH(COLUMNS($AO$1006:BI1006),$AO$1006:$BQ$1006,0)))),"Fix")))</f>
        <v>#N/A</v>
      </c>
      <c r="W443" s="5" t="e">
        <f ca="1">IF(OR(INDEX($AI$2:$AI$1001,MATCH(ROWS($AH$2:AH443),$AH$2:$AH$1001,0),1)&gt;=100000,INDEX($AO$1005:$BQ$1005,1,MATCH(COLUMNS($AO$1006:BJ1006),$AO$1006:$BQ$1006,0))&gt;=100000), " ",IF(INDEX($AO$2:$BQ$1001,MATCH(ROWS($AH$2:AH443),$AH$2:$AH$1001,0),MATCH(COLUMNS($AO$1006:BJ1006),$AO$1006:$BQ$1006,0)), HYPERLINK("#",""), HYPERLINK(CONCATENATE("#Metadata!", ADDRESS(INDEX($AJ$2:$AJ$1001,MATCH(ROWS($AH$2:AH443),$AH$2:$AH$1001,0),0), INDEX($AO$1004:$BQ$1004,1,MATCH(COLUMNS($AO$1006:BJ1006),$AO$1006:$BQ$1006,0)))),"Fix")))</f>
        <v>#N/A</v>
      </c>
      <c r="X443" s="5" t="e">
        <f ca="1">IF(OR(INDEX($AI$2:$AI$1001,MATCH(ROWS($AH$2:AH443),$AH$2:$AH$1001,0),1)&gt;=100000,INDEX($AO$1005:$BQ$1005,1,MATCH(COLUMNS($AO$1006:BK1006),$AO$1006:$BQ$1006,0))&gt;=100000), " ",IF(INDEX($AO$2:$BQ$1001,MATCH(ROWS($AH$2:AH443),$AH$2:$AH$1001,0),MATCH(COLUMNS($AO$1006:BK1006),$AO$1006:$BQ$1006,0)), HYPERLINK("#",""), HYPERLINK(CONCATENATE("#Metadata!", ADDRESS(INDEX($AJ$2:$AJ$1001,MATCH(ROWS($AH$2:AH443),$AH$2:$AH$1001,0),0), INDEX($AO$1004:$BQ$1004,1,MATCH(COLUMNS($AO$1006:BK1006),$AO$1006:$BQ$1006,0)))),"Fix")))</f>
        <v>#N/A</v>
      </c>
      <c r="Y443" s="5" t="e">
        <f ca="1">IF(OR(INDEX($AI$2:$AI$1001,MATCH(ROWS($AH$2:AH443),$AH$2:$AH$1001,0),1)&gt;=100000,INDEX($AO$1005:$BQ$1005,1,MATCH(COLUMNS($AO$1006:BL1006),$AO$1006:$BQ$1006,0))&gt;=100000), " ",IF(INDEX($AO$2:$BQ$1001,MATCH(ROWS($AH$2:AH443),$AH$2:$AH$1001,0),MATCH(COLUMNS($AO$1006:BL1006),$AO$1006:$BQ$1006,0)), HYPERLINK("#",""), HYPERLINK(CONCATENATE("#Metadata!", ADDRESS(INDEX($AJ$2:$AJ$1001,MATCH(ROWS($AH$2:AH443),$AH$2:$AH$1001,0),0), INDEX($AO$1004:$BQ$1004,1,MATCH(COLUMNS($AO$1006:BL1006),$AO$1006:$BQ$1006,0)))),"Fix")))</f>
        <v>#N/A</v>
      </c>
      <c r="Z443" s="5" t="e">
        <f ca="1">IF(OR(INDEX($AI$2:$AI$1001,MATCH(ROWS($AH$2:AH443),$AH$2:$AH$1001,0),1)&gt;=100000,INDEX($AO$1005:$BQ$1005,1,MATCH(COLUMNS($AO$1006:BM1006),$AO$1006:$BQ$1006,0))&gt;=100000), " ",IF(INDEX($AO$2:$BQ$1001,MATCH(ROWS($AH$2:AH443),$AH$2:$AH$1001,0),MATCH(COLUMNS($AO$1006:BM1006),$AO$1006:$BQ$1006,0)), HYPERLINK("#",""), HYPERLINK(CONCATENATE("#Metadata!", ADDRESS(INDEX($AJ$2:$AJ$1001,MATCH(ROWS($AH$2:AH443),$AH$2:$AH$1001,0),0), INDEX($AO$1004:$BQ$1004,1,MATCH(COLUMNS($AO$1006:BM1006),$AO$1006:$BQ$1006,0)))),"Fix")))</f>
        <v>#N/A</v>
      </c>
      <c r="AA443" s="5" t="e">
        <f ca="1">IF(OR(INDEX($AI$2:$AI$1001,MATCH(ROWS($AH$2:AH443),$AH$2:$AH$1001,0),1)&gt;=100000,INDEX($AO$1005:$BQ$1005,1,MATCH(COLUMNS($AO$1006:BN1006),$AO$1006:$BQ$1006,0))&gt;=100000), " ",IF(INDEX($AO$2:$BQ$1001,MATCH(ROWS($AH$2:AH443),$AH$2:$AH$1001,0),MATCH(COLUMNS($AO$1006:BN1006),$AO$1006:$BQ$1006,0)), HYPERLINK("#",""), HYPERLINK(CONCATENATE("#Metadata!", ADDRESS(INDEX($AJ$2:$AJ$1001,MATCH(ROWS($AH$2:AH443),$AH$2:$AH$1001,0),0), INDEX($AO$1004:$BQ$1004,1,MATCH(COLUMNS($AO$1006:BN1006),$AO$1006:$BQ$1006,0)))),"Fix")))</f>
        <v>#N/A</v>
      </c>
      <c r="AB443" s="5" t="e">
        <f ca="1">IF(OR(INDEX($AI$2:$AI$1001,MATCH(ROWS($AH$2:AH443),$AH$2:$AH$1001,0),1)&gt;=100000,INDEX($AO$1005:$BQ$1005,1,MATCH(COLUMNS($AO$1006:BO1006),$AO$1006:$BQ$1006,0))&gt;=100000), " ",IF(INDEX($AO$2:$BQ$1001,MATCH(ROWS($AH$2:AH443),$AH$2:$AH$1001,0),MATCH(COLUMNS($AO$1006:BO1006),$AO$1006:$BQ$1006,0)), HYPERLINK("#",""), HYPERLINK(CONCATENATE("#Metadata!", ADDRESS(INDEX($AJ$2:$AJ$1001,MATCH(ROWS($AH$2:AH443),$AH$2:$AH$1001,0),0), INDEX($AO$1004:$BQ$1004,1,MATCH(COLUMNS($AO$1006:BO1006),$AO$1006:$BQ$1006,0)))),"Fix")))</f>
        <v>#N/A</v>
      </c>
      <c r="AC443" s="5" t="e">
        <f ca="1">IF(OR(INDEX($AI$2:$AI$1001,MATCH(ROWS($AH$2:AH443),$AH$2:$AH$1001,0),1)&gt;=100000,INDEX($AO$1005:$BQ$1005,1,MATCH(COLUMNS($AO$1006:BP1006),$AO$1006:$BQ$1006,0))&gt;=100000), " ",IF(INDEX($AO$2:$BQ$1001,MATCH(ROWS($AH$2:AH443),$AH$2:$AH$1001,0),MATCH(COLUMNS($AO$1006:BP1006),$AO$1006:$BQ$1006,0)), HYPERLINK("#",""), HYPERLINK(CONCATENATE("#Metadata!", ADDRESS(INDEX($AJ$2:$AJ$1001,MATCH(ROWS($AH$2:AH443),$AH$2:$AH$1001,0),0), INDEX($AO$1004:$BQ$1004,1,MATCH(COLUMNS($AO$1006:BP1006),$AO$1006:$BQ$1006,0)))),"Fix")))</f>
        <v>#N/A</v>
      </c>
      <c r="AD443" s="5" t="e">
        <f ca="1">IF(OR(INDEX($AI$2:$AI$1001,MATCH(ROWS($AH$2:AH443),$AH$2:$AH$1001,0),1)&gt;=100000,INDEX($AO$1005:$BQ$1005,1,MATCH(COLUMNS($AO$1006:BQ1006),$AO$1006:$BQ$1006,0))&gt;=100000), " ",IF(INDEX($AO$2:$BQ$1001,MATCH(ROWS($AH$2:AH443),$AH$2:$AH$1001,0),MATCH(COLUMNS($AO$1006:BQ1006),$AO$1006:$BQ$1006,0)), HYPERLINK("#",""), HYPERLINK(CONCATENATE("#Metadata!", ADDRESS(INDEX($AJ$2:$AJ$1001,MATCH(ROWS($AH$2:AH443),$AH$2:$AH$1001,0),0), INDEX($AO$1004:$BQ$1004,1,MATCH(COLUMNS($AO$1006:BQ1006),$AO$1006:$BQ$1006,0)))),"Fix")))</f>
        <v>#REF!</v>
      </c>
      <c r="AH443">
        <f ca="1"/>
        <v>440</v>
      </c>
      <c r="AI443">
        <v>100443</v>
      </c>
      <c r="AJ443">
        <v>443</v>
      </c>
      <c r="AK443" t="b">
        <f t="shared" si="6"/>
        <v>1</v>
      </c>
      <c r="AL443" t="b">
        <f>COUNTBLANK(Metadata!B443:AD443)=COLUMNS(Metadata!B443:AD443)</f>
        <v>1</v>
      </c>
      <c r="AM443" t="str">
        <v/>
      </c>
      <c r="AO443" t="b">
        <f ca="1">AND(IF(Metadata!B443="",FALSE,TRUE),COUNTIF(Metadata!B:B, Metadata!B443) = 1,NOT(ISERROR(SUMPRODUCT(SEARCH(MID(Metadata!B443,ROW(INDIRECT("1:"&amp;LEN(Metadata!B443))), 1),"0123456789abcdefghijklmnopqrstuvwxyzABCDEFGHIJKLMNOPQRSTUVWXYZ.")))))</f>
        <v>0</v>
      </c>
      <c r="AP443" t="b">
        <f>IF(Metadata!C443="",FALSE,TRUE)</f>
        <v>0</v>
      </c>
      <c r="AQ443" t="b">
        <f>IF(Metadata!D443="",FALSE,TRUE)</f>
        <v>0</v>
      </c>
      <c r="AR443" t="b">
        <f ca="1">OR(AND(IF(Metadata!E443="",FALSE,TRUE),OR(EXACT(Metadata!E443,"not collected"),EXACT(Metadata!E443,"not provided"),EXACT(Metadata!E443,"restricted access"))),AND(IF(Metadata!E443="",FALSE,TRUE),AND(AND(IFERROR(INT(LEFT(Metadata!E443,4))&gt;1900,FALSE),IFERROR(INT(LEFT(Metadata!E443,4))&lt;=YEAR(NOW()),FALSE)), OR(MID(Metadata!E443,5,1)="", AND(AND(MID(Metadata!E443,5,1)="-",IFERROR(INT(MID(Metadata!E443,6,1))&gt;=0,FALSE),IFERROR(INT(MID(Metadata!E443,6,1))&lt;=1,FALSE),NOT(MID(Metadata!E443,7,1)=""),IFERROR(INT(MID(Metadata!E443,6,2))&gt;=1,FALSE),IFERROR(INT(MID(Metadata!E443,6,2))&lt;=12,FALSE)), OR(MID(Metadata!E443,8,1)="", AND(AND(MID(Metadata!E443,8,1)="-",IFERROR(INT(MID(Metadata!E443,9,1))&gt;=0,FALSE),IFERROR(INT(MID(Metadata!E443,9,1))&lt;=3,FALSE),NOT(MID(Metadata!E443,10,1)=""),IFERROR(INT(MID(Metadata!E443,9,2))&gt;=1,FALSE),IFERROR(INT(MID(Metadata!E443,9,2))&lt;=31,FALSE)), OR(MID(Metadata!E443,11,1)="", AND(AND(MID(Metadata!E443,11,1)=" ",IFERROR(INT(MID(Metadata!E443,12,1))&gt;=0,FALSE),IFERROR(INT(MID(Metadata!E443,12,1))&lt;=2,FALSE),NOT(MID(Metadata!E443,13,1)=""),IFERROR(INT(MID(Metadata!E443,12,2))&gt;=0,FALSE),IFERROR(INT(MID(Metadata!E443,12,2))&lt;=23,FALSE)), OR(MID(Metadata!E443,14,1)="", AND(AND(MID(Metadata!E443,14,1)=":",IFERROR(INT(MID(Metadata!E443,15,1))&gt;=0,FALSE),IFERROR(INT(MID(Metadata!E443,15,1))&lt;=5,FALSE),NOT(MID(Metadata!E443,16,1)=""),IFERROR(INT(MID(Metadata!E443,15,2))&gt;=0,FALSE),IFERROR(INT(MID(Metadata!E443,15,2))&lt;=59,FALSE)), OR(MID(Metadata!E443,17,1)="", AND(AND(MID(Metadata!E443,17,1)=":",IFERROR(INT(MID(Metadata!E443,18,1))&gt;=0,FALSE),IFERROR(INT(MID(Metadata!E443,18,1))&lt;=5,FALSE),NOT(MID(Metadata!E443,19,1)=""),IFERROR(INT(MID(Metadata!E443,18,2))&gt;=0,FALSE),IFERROR(INT(MID(Metadata!E443,18,2))&lt;=59,FALSE)), LEN(Metadata!E443)&lt;=19)))))))))))))</f>
        <v>0</v>
      </c>
      <c r="AS443" t="b">
        <f>IF(Metadata!F443="",FALSE,TRUE)</f>
        <v>0</v>
      </c>
      <c r="AT443" t="b">
        <f>OR(AND(IF(Metadata!G443="",FALSE,TRUE),OR(EXACT(Metadata!G443,"not collected"),EXACT(Metadata!G443,"not provided"))),AND(IF(Metadata!G443="",FALSE,TRUE),OR(EXACT(Metadata!G443,"TRUE"),EXACT(Metadata!G443,"FALSE"))))</f>
        <v>0</v>
      </c>
      <c r="AU443" t="b">
        <f>OR(AND(IF(Metadata!H443="",FALSE,TRUE),OR(EXACT(Metadata!H443,"not collected"),EXACT(Metadata!H443,"not provided"),EXACT(Metadata!H443,"restricted access"))),AND(IF(Metadata!H443="",FALSE,ISNUMBER(VALUE(Metadata!H443))),Metadata!H443&gt;=-413))</f>
        <v>0</v>
      </c>
      <c r="AV443" t="b">
        <f>AND(IF(Metadata!I443="",FALSE,TRUE),EXACT(Metadata!I443,"meters"))</f>
        <v>0</v>
      </c>
      <c r="AW443" t="b">
        <f>AND(IF(Metadata!J443="",FALSE,TRUE),EXACT(Metadata!J443,"free-living"))</f>
        <v>0</v>
      </c>
      <c r="AX443" t="b">
        <f>AND(IF(Metadata!K443="",FALSE,TRUE),OR(EXACT(Metadata!K443,"saline"),EXACT(Metadata!K443,"non-saline")))</f>
        <v>0</v>
      </c>
      <c r="AY443" t="b">
        <f>AND(IF(Metadata!L443="",FALSE,TRUE),OR(EXACT(Metadata!L443,"sub-surface (non-saline)"),EXACT(Metadata!L443,"surface (non-saline)"),EXACT(Metadata!L443,"water (non-saline)"),EXACT(Metadata!L443,"soil (non-saline)"),EXACT(Metadata!L443,"aerosol (non-saline)"),EXACT(Metadata!L443,"sediment (non-saline)"),EXACT(Metadata!L443,"surface (saline)"),EXACT(Metadata!L443,"water (saline)"),EXACT(Metadata!L443,"hypersaline (saline)"),EXACT(Metadata!L443,"aerosol (saline)"),EXACT(Metadata!L443,"sediment (saline)")))</f>
        <v>0</v>
      </c>
      <c r="AZ443" t="b">
        <f>IF(Metadata!M443="",FALSE,TRUE)</f>
        <v>0</v>
      </c>
      <c r="BA443" t="b">
        <f>IF(Metadata!N443="",FALSE,TRUE)</f>
        <v>0</v>
      </c>
      <c r="BB443" t="b">
        <f>IF(Metadata!O443="",FALSE,TRUE)</f>
        <v>0</v>
      </c>
      <c r="BC443" t="b">
        <f>AND(IF(Metadata!P443="",FALSE,TRUE),OR(EXACT(Metadata!P443,"air"),EXACT(Metadata!P443,"microbial mat/biofilm"),EXACT(Metadata!P443,"misc environment"),EXACT(Metadata!P443,"sediment"),EXACT(Metadata!P443,"soil"),EXACT(Metadata!P443,"wastewater/sludge"),EXACT(Metadata!P443,"water")))</f>
        <v>0</v>
      </c>
      <c r="BD443" t="b">
        <f>IF(Metadata!Q443="",FALSE,TRUE)</f>
        <v>0</v>
      </c>
      <c r="BE443" t="b">
        <f>IF(Metadata!R443="",FALSE,TRUE)</f>
        <v>0</v>
      </c>
      <c r="BF443" t="b">
        <f>OR(AND(IF(Metadata!S443="",FALSE,TRUE),OR(EXACT(Metadata!S443,"not collected"),EXACT(Metadata!S443,"not provided"),EXACT(Metadata!S443,"restricted access"))),AND(IF(Metadata!S443="",FALSE,ISNUMBER(VALUE(Metadata!S443))),Metadata!S443&gt;=-90,Metadata!S443&lt;=90))</f>
        <v>0</v>
      </c>
      <c r="BG443" t="b">
        <f>AND(IF(Metadata!T443="",FALSE,TRUE),EXACT(Metadata!T443,"Decimal degrees"))</f>
        <v>0</v>
      </c>
      <c r="BH443" t="b">
        <f>OR(AND(IF(Metadata!U443="",FALSE,TRUE),OR(EXACT(Metadata!U443,"not applicable"),EXACT(Metadata!U443,"not collected"))),IF(Metadata!U443="",FALSE,TRUE))</f>
        <v>0</v>
      </c>
      <c r="BI443" t="b">
        <f>OR(AND(IF(Metadata!V443="",FALSE,TRUE),OR(EXACT(Metadata!V443,"not collected"),EXACT(Metadata!V443,"not provided"),EXACT(Metadata!V443,"restricted access"))),AND(IF(Metadata!V443="",FALSE,ISNUMBER(VALUE(Metadata!V443))),Metadata!V443&gt;=-180,Metadata!V443&lt;=180))</f>
        <v>0</v>
      </c>
      <c r="BJ443" t="b">
        <f>AND(IF(Metadata!W443="",FALSE,TRUE),EXACT(Metadata!W443,"Decimal degrees"))</f>
        <v>0</v>
      </c>
      <c r="BK443" t="b">
        <f>IF(Metadata!X443="",FALSE,TRUE)</f>
        <v>0</v>
      </c>
      <c r="BL443" t="b">
        <f>OR(AND(IF(Metadata!Y443="",FALSE,TRUE),OR(EXACT(Metadata!Y443,"not collected"),EXACT(Metadata!Y443,"not provided"),EXACT(Metadata!Y443,"restricted access"))),AND(IF(Metadata!Y443="",FALSE,TRUE),OR(EXACT(Metadata!Y443,"TRUE"),EXACT(Metadata!Y443,"FALSE"))))</f>
        <v>0</v>
      </c>
      <c r="BM443" t="b">
        <f>OR(AND(IF(Metadata!Z443="",FALSE,TRUE),EXACT(Metadata!Z443,"not applicable")),AND(IF(Metadata!Z443="",FALSE,TRUE),OR(EXACT(Metadata!Z443,"beer"),EXACT(Metadata!Z443,"cheese"),EXACT(Metadata!Z443,"fresh water"),EXACT(Metadata!Z443,"marine sediment"),EXACT(Metadata!Z443,"sea water"),EXACT(Metadata!Z443,"sediment"),EXACT(Metadata!Z443,"soil"),EXACT(Metadata!Z443,"waste water"))))</f>
        <v>0</v>
      </c>
      <c r="BN443" t="b">
        <f>AND(IF(Metadata!AA443="",FALSE,TRUE),EXACT(Metadata!AA443,"metagenome"))</f>
        <v>0</v>
      </c>
      <c r="BO443" t="b">
        <f>AND(IF(Metadata!AB443="",FALSE,TRUE),EXACT(Metadata!AB443,"256318"))</f>
        <v>0</v>
      </c>
      <c r="BP443" t="b">
        <f>IF(Metadata!AC443="",FALSE,TRUE)</f>
        <v>0</v>
      </c>
      <c r="BQ443" t="b">
        <f>IF(Metadata!AD443="",FALSE,TRUE)</f>
        <v>0</v>
      </c>
    </row>
    <row r="444" spans="1:69" x14ac:dyDescent="0.2">
      <c r="A444" s="4" t="e">
        <f ca="1">IF(B444=" "," ",HYPERLINK(CONCATENATE("#metadata!",ADDRESS(INDEX($AJ$2:$AJ$1001,MATCH(ROWS($AH$2:AH444),$AH$2:$AH$1001,0),0),2)),INDEX($AM$2:$AM$1001,MATCH(ROWS($AH$2:AH444),$AH$2:$AH$1001,0),0)))</f>
        <v>#N/A</v>
      </c>
      <c r="B444" s="5" t="e">
        <f ca="1">IF(OR(INDEX($AI$2:$AI$1001,MATCH(ROWS($AH$2:AH444),$AH$2:$AH$1001,0),1)&gt;=100000,INDEX($AO$1005:$BQ$1005,1,MATCH(COLUMNS($AO$1006:AO1006),$AO$1006:$BQ$1006,0))&gt;=100000), " ",IF(INDEX($AO$2:$BQ$1001,MATCH(ROWS($AH$2:AH444),$AH$2:$AH$1001,0),MATCH(COLUMNS($AO$1006:AO1006),$AO$1006:$BQ$1006,0)), HYPERLINK("#",""), HYPERLINK(CONCATENATE("#Metadata!", ADDRESS(INDEX($AJ$2:$AJ$1001,MATCH(ROWS($AH$2:AH444),$AH$2:$AH$1001,0),0), INDEX($AO$1004:$BQ$1004,1,MATCH(COLUMNS($AO$1006:AO1006),$AO$1006:$BQ$1006,0)))),"Fix")))</f>
        <v>#N/A</v>
      </c>
      <c r="C444" s="5" t="e">
        <f ca="1">IF(OR(INDEX($AI$2:$AI$1001,MATCH(ROWS($AH$2:AH444),$AH$2:$AH$1001,0),1)&gt;=100000,INDEX($AO$1005:$BQ$1005,1,MATCH(COLUMNS($AO$1006:AP1006),$AO$1006:$BQ$1006,0))&gt;=100000), " ",IF(INDEX($AO$2:$BQ$1001,MATCH(ROWS($AH$2:AH444),$AH$2:$AH$1001,0),MATCH(COLUMNS($AO$1006:AP1006),$AO$1006:$BQ$1006,0)), HYPERLINK("#",""), HYPERLINK(CONCATENATE("#Metadata!", ADDRESS(INDEX($AJ$2:$AJ$1001,MATCH(ROWS($AH$2:AH444),$AH$2:$AH$1001,0),0), INDEX($AO$1004:$BQ$1004,1,MATCH(COLUMNS($AO$1006:AP1006),$AO$1006:$BQ$1006,0)))),"Fix")))</f>
        <v>#N/A</v>
      </c>
      <c r="D444" s="5" t="e">
        <f ca="1">IF(OR(INDEX($AI$2:$AI$1001,MATCH(ROWS($AH$2:AH444),$AH$2:$AH$1001,0),1)&gt;=100000,INDEX($AO$1005:$BQ$1005,1,MATCH(COLUMNS($AO$1006:AQ1006),$AO$1006:$BQ$1006,0))&gt;=100000), " ",IF(INDEX($AO$2:$BQ$1001,MATCH(ROWS($AH$2:AH444),$AH$2:$AH$1001,0),MATCH(COLUMNS($AO$1006:AQ1006),$AO$1006:$BQ$1006,0)), HYPERLINK("#",""), HYPERLINK(CONCATENATE("#Metadata!", ADDRESS(INDEX($AJ$2:$AJ$1001,MATCH(ROWS($AH$2:AH444),$AH$2:$AH$1001,0),0), INDEX($AO$1004:$BQ$1004,1,MATCH(COLUMNS($AO$1006:AQ1006),$AO$1006:$BQ$1006,0)))),"Fix")))</f>
        <v>#N/A</v>
      </c>
      <c r="E444" s="5" t="e">
        <f ca="1">IF(OR(INDEX($AI$2:$AI$1001,MATCH(ROWS($AH$2:AH444),$AH$2:$AH$1001,0),1)&gt;=100000,INDEX($AO$1005:$BQ$1005,1,MATCH(COLUMNS($AO$1006:AR1006),$AO$1006:$BQ$1006,0))&gt;=100000), " ",IF(INDEX($AO$2:$BQ$1001,MATCH(ROWS($AH$2:AH444),$AH$2:$AH$1001,0),MATCH(COLUMNS($AO$1006:AR1006),$AO$1006:$BQ$1006,0)), HYPERLINK("#",""), HYPERLINK(CONCATENATE("#Metadata!", ADDRESS(INDEX($AJ$2:$AJ$1001,MATCH(ROWS($AH$2:AH444),$AH$2:$AH$1001,0),0), INDEX($AO$1004:$BQ$1004,1,MATCH(COLUMNS($AO$1006:AR1006),$AO$1006:$BQ$1006,0)))),"Fix")))</f>
        <v>#N/A</v>
      </c>
      <c r="F444" s="5" t="e">
        <f ca="1">IF(OR(INDEX($AI$2:$AI$1001,MATCH(ROWS($AH$2:AH444),$AH$2:$AH$1001,0),1)&gt;=100000,INDEX($AO$1005:$BQ$1005,1,MATCH(COLUMNS($AO$1006:AS1006),$AO$1006:$BQ$1006,0))&gt;=100000), " ",IF(INDEX($AO$2:$BQ$1001,MATCH(ROWS($AH$2:AH444),$AH$2:$AH$1001,0),MATCH(COLUMNS($AO$1006:AS1006),$AO$1006:$BQ$1006,0)), HYPERLINK("#",""), HYPERLINK(CONCATENATE("#Metadata!", ADDRESS(INDEX($AJ$2:$AJ$1001,MATCH(ROWS($AH$2:AH444),$AH$2:$AH$1001,0),0), INDEX($AO$1004:$BQ$1004,1,MATCH(COLUMNS($AO$1006:AS1006),$AO$1006:$BQ$1006,0)))),"Fix")))</f>
        <v>#N/A</v>
      </c>
      <c r="G444" s="5" t="e">
        <f ca="1">IF(OR(INDEX($AI$2:$AI$1001,MATCH(ROWS($AH$2:AH444),$AH$2:$AH$1001,0),1)&gt;=100000,INDEX($AO$1005:$BQ$1005,1,MATCH(COLUMNS($AO$1006:AT1006),$AO$1006:$BQ$1006,0))&gt;=100000), " ",IF(INDEX($AO$2:$BQ$1001,MATCH(ROWS($AH$2:AH444),$AH$2:$AH$1001,0),MATCH(COLUMNS($AO$1006:AT1006),$AO$1006:$BQ$1006,0)), HYPERLINK("#",""), HYPERLINK(CONCATENATE("#Metadata!", ADDRESS(INDEX($AJ$2:$AJ$1001,MATCH(ROWS($AH$2:AH444),$AH$2:$AH$1001,0),0), INDEX($AO$1004:$BQ$1004,1,MATCH(COLUMNS($AO$1006:AT1006),$AO$1006:$BQ$1006,0)))),"Fix")))</f>
        <v>#N/A</v>
      </c>
      <c r="H444" s="5" t="e">
        <f ca="1">IF(OR(INDEX($AI$2:$AI$1001,MATCH(ROWS($AH$2:AH444),$AH$2:$AH$1001,0),1)&gt;=100000,INDEX($AO$1005:$BQ$1005,1,MATCH(COLUMNS($AO$1006:AU1006),$AO$1006:$BQ$1006,0))&gt;=100000), " ",IF(INDEX($AO$2:$BQ$1001,MATCH(ROWS($AH$2:AH444),$AH$2:$AH$1001,0),MATCH(COLUMNS($AO$1006:AU1006),$AO$1006:$BQ$1006,0)), HYPERLINK("#",""), HYPERLINK(CONCATENATE("#Metadata!", ADDRESS(INDEX($AJ$2:$AJ$1001,MATCH(ROWS($AH$2:AH444),$AH$2:$AH$1001,0),0), INDEX($AO$1004:$BQ$1004,1,MATCH(COLUMNS($AO$1006:AU1006),$AO$1006:$BQ$1006,0)))),"Fix")))</f>
        <v>#N/A</v>
      </c>
      <c r="I444" s="5" t="e">
        <f ca="1">IF(OR(INDEX($AI$2:$AI$1001,MATCH(ROWS($AH$2:AH444),$AH$2:$AH$1001,0),1)&gt;=100000,INDEX($AO$1005:$BQ$1005,1,MATCH(COLUMNS($AO$1006:AV1006),$AO$1006:$BQ$1006,0))&gt;=100000), " ",IF(INDEX($AO$2:$BQ$1001,MATCH(ROWS($AH$2:AH444),$AH$2:$AH$1001,0),MATCH(COLUMNS($AO$1006:AV1006),$AO$1006:$BQ$1006,0)), HYPERLINK("#",""), HYPERLINK(CONCATENATE("#Metadata!", ADDRESS(INDEX($AJ$2:$AJ$1001,MATCH(ROWS($AH$2:AH444),$AH$2:$AH$1001,0),0), INDEX($AO$1004:$BQ$1004,1,MATCH(COLUMNS($AO$1006:AV1006),$AO$1006:$BQ$1006,0)))),"Fix")))</f>
        <v>#N/A</v>
      </c>
      <c r="J444" s="5" t="e">
        <f ca="1">IF(OR(INDEX($AI$2:$AI$1001,MATCH(ROWS($AH$2:AH444),$AH$2:$AH$1001,0),1)&gt;=100000,INDEX($AO$1005:$BQ$1005,1,MATCH(COLUMNS($AO$1006:AW1006),$AO$1006:$BQ$1006,0))&gt;=100000), " ",IF(INDEX($AO$2:$BQ$1001,MATCH(ROWS($AH$2:AH444),$AH$2:$AH$1001,0),MATCH(COLUMNS($AO$1006:AW1006),$AO$1006:$BQ$1006,0)), HYPERLINK("#",""), HYPERLINK(CONCATENATE("#Metadata!", ADDRESS(INDEX($AJ$2:$AJ$1001,MATCH(ROWS($AH$2:AH444),$AH$2:$AH$1001,0),0), INDEX($AO$1004:$BQ$1004,1,MATCH(COLUMNS($AO$1006:AW1006),$AO$1006:$BQ$1006,0)))),"Fix")))</f>
        <v>#N/A</v>
      </c>
      <c r="K444" s="5" t="e">
        <f ca="1">IF(OR(INDEX($AI$2:$AI$1001,MATCH(ROWS($AH$2:AH444),$AH$2:$AH$1001,0),1)&gt;=100000,INDEX($AO$1005:$BQ$1005,1,MATCH(COLUMNS($AO$1006:AX1006),$AO$1006:$BQ$1006,0))&gt;=100000), " ",IF(INDEX($AO$2:$BQ$1001,MATCH(ROWS($AH$2:AH444),$AH$2:$AH$1001,0),MATCH(COLUMNS($AO$1006:AX1006),$AO$1006:$BQ$1006,0)), HYPERLINK("#",""), HYPERLINK(CONCATENATE("#Metadata!", ADDRESS(INDEX($AJ$2:$AJ$1001,MATCH(ROWS($AH$2:AH444),$AH$2:$AH$1001,0),0), INDEX($AO$1004:$BQ$1004,1,MATCH(COLUMNS($AO$1006:AX1006),$AO$1006:$BQ$1006,0)))),"Fix")))</f>
        <v>#N/A</v>
      </c>
      <c r="L444" s="5" t="e">
        <f ca="1">IF(OR(INDEX($AI$2:$AI$1001,MATCH(ROWS($AH$2:AH444),$AH$2:$AH$1001,0),1)&gt;=100000,INDEX($AO$1005:$BQ$1005,1,MATCH(COLUMNS($AO$1006:AY1006),$AO$1006:$BQ$1006,0))&gt;=100000), " ",IF(INDEX($AO$2:$BQ$1001,MATCH(ROWS($AH$2:AH444),$AH$2:$AH$1001,0),MATCH(COLUMNS($AO$1006:AY1006),$AO$1006:$BQ$1006,0)), HYPERLINK("#",""), HYPERLINK(CONCATENATE("#Metadata!", ADDRESS(INDEX($AJ$2:$AJ$1001,MATCH(ROWS($AH$2:AH444),$AH$2:$AH$1001,0),0), INDEX($AO$1004:$BQ$1004,1,MATCH(COLUMNS($AO$1006:AY1006),$AO$1006:$BQ$1006,0)))),"Fix")))</f>
        <v>#N/A</v>
      </c>
      <c r="M444" s="5" t="e">
        <f ca="1">IF(OR(INDEX($AI$2:$AI$1001,MATCH(ROWS($AH$2:AH444),$AH$2:$AH$1001,0),1)&gt;=100000,INDEX($AO$1005:$BQ$1005,1,MATCH(COLUMNS($AO$1006:AZ1006),$AO$1006:$BQ$1006,0))&gt;=100000), " ",IF(INDEX($AO$2:$BQ$1001,MATCH(ROWS($AH$2:AH444),$AH$2:$AH$1001,0),MATCH(COLUMNS($AO$1006:AZ1006),$AO$1006:$BQ$1006,0)), HYPERLINK("#",""), HYPERLINK(CONCATENATE("#Metadata!", ADDRESS(INDEX($AJ$2:$AJ$1001,MATCH(ROWS($AH$2:AH444),$AH$2:$AH$1001,0),0), INDEX($AO$1004:$BQ$1004,1,MATCH(COLUMNS($AO$1006:AZ1006),$AO$1006:$BQ$1006,0)))),"Fix")))</f>
        <v>#N/A</v>
      </c>
      <c r="N444" s="5" t="e">
        <f ca="1">IF(OR(INDEX($AI$2:$AI$1001,MATCH(ROWS($AH$2:AH444),$AH$2:$AH$1001,0),1)&gt;=100000,INDEX($AO$1005:$BQ$1005,1,MATCH(COLUMNS($AO$1006:BA1006),$AO$1006:$BQ$1006,0))&gt;=100000), " ",IF(INDEX($AO$2:$BQ$1001,MATCH(ROWS($AH$2:AH444),$AH$2:$AH$1001,0),MATCH(COLUMNS($AO$1006:BA1006),$AO$1006:$BQ$1006,0)), HYPERLINK("#",""), HYPERLINK(CONCATENATE("#Metadata!", ADDRESS(INDEX($AJ$2:$AJ$1001,MATCH(ROWS($AH$2:AH444),$AH$2:$AH$1001,0),0), INDEX($AO$1004:$BQ$1004,1,MATCH(COLUMNS($AO$1006:BA1006),$AO$1006:$BQ$1006,0)))),"Fix")))</f>
        <v>#N/A</v>
      </c>
      <c r="O444" s="5" t="e">
        <f ca="1">IF(OR(INDEX($AI$2:$AI$1001,MATCH(ROWS($AH$2:AH444),$AH$2:$AH$1001,0),1)&gt;=100000,INDEX($AO$1005:$BQ$1005,1,MATCH(COLUMNS($AO$1006:BB1006),$AO$1006:$BQ$1006,0))&gt;=100000), " ",IF(INDEX($AO$2:$BQ$1001,MATCH(ROWS($AH$2:AH444),$AH$2:$AH$1001,0),MATCH(COLUMNS($AO$1006:BB1006),$AO$1006:$BQ$1006,0)), HYPERLINK("#",""), HYPERLINK(CONCATENATE("#Metadata!", ADDRESS(INDEX($AJ$2:$AJ$1001,MATCH(ROWS($AH$2:AH444),$AH$2:$AH$1001,0),0), INDEX($AO$1004:$BQ$1004,1,MATCH(COLUMNS($AO$1006:BB1006),$AO$1006:$BQ$1006,0)))),"Fix")))</f>
        <v>#N/A</v>
      </c>
      <c r="P444" s="5" t="e">
        <f ca="1">IF(OR(INDEX($AI$2:$AI$1001,MATCH(ROWS($AH$2:AH444),$AH$2:$AH$1001,0),1)&gt;=100000,INDEX($AO$1005:$BQ$1005,1,MATCH(COLUMNS($AO$1006:BC1006),$AO$1006:$BQ$1006,0))&gt;=100000), " ",IF(INDEX($AO$2:$BQ$1001,MATCH(ROWS($AH$2:AH444),$AH$2:$AH$1001,0),MATCH(COLUMNS($AO$1006:BC1006),$AO$1006:$BQ$1006,0)), HYPERLINK("#",""), HYPERLINK(CONCATENATE("#Metadata!", ADDRESS(INDEX($AJ$2:$AJ$1001,MATCH(ROWS($AH$2:AH444),$AH$2:$AH$1001,0),0), INDEX($AO$1004:$BQ$1004,1,MATCH(COLUMNS($AO$1006:BC1006),$AO$1006:$BQ$1006,0)))),"Fix")))</f>
        <v>#N/A</v>
      </c>
      <c r="Q444" s="5" t="e">
        <f ca="1">IF(OR(INDEX($AI$2:$AI$1001,MATCH(ROWS($AH$2:AH444),$AH$2:$AH$1001,0),1)&gt;=100000,INDEX($AO$1005:$BQ$1005,1,MATCH(COLUMNS($AO$1006:BD1006),$AO$1006:$BQ$1006,0))&gt;=100000), " ",IF(INDEX($AO$2:$BQ$1001,MATCH(ROWS($AH$2:AH444),$AH$2:$AH$1001,0),MATCH(COLUMNS($AO$1006:BD1006),$AO$1006:$BQ$1006,0)), HYPERLINK("#",""), HYPERLINK(CONCATENATE("#Metadata!", ADDRESS(INDEX($AJ$2:$AJ$1001,MATCH(ROWS($AH$2:AH444),$AH$2:$AH$1001,0),0), INDEX($AO$1004:$BQ$1004,1,MATCH(COLUMNS($AO$1006:BD1006),$AO$1006:$BQ$1006,0)))),"Fix")))</f>
        <v>#N/A</v>
      </c>
      <c r="R444" s="5" t="e">
        <f ca="1">IF(OR(INDEX($AI$2:$AI$1001,MATCH(ROWS($AH$2:AH444),$AH$2:$AH$1001,0),1)&gt;=100000,INDEX($AO$1005:$BQ$1005,1,MATCH(COLUMNS($AO$1006:BE1006),$AO$1006:$BQ$1006,0))&gt;=100000), " ",IF(INDEX($AO$2:$BQ$1001,MATCH(ROWS($AH$2:AH444),$AH$2:$AH$1001,0),MATCH(COLUMNS($AO$1006:BE1006),$AO$1006:$BQ$1006,0)), HYPERLINK("#",""), HYPERLINK(CONCATENATE("#Metadata!", ADDRESS(INDEX($AJ$2:$AJ$1001,MATCH(ROWS($AH$2:AH444),$AH$2:$AH$1001,0),0), INDEX($AO$1004:$BQ$1004,1,MATCH(COLUMNS($AO$1006:BE1006),$AO$1006:$BQ$1006,0)))),"Fix")))</f>
        <v>#N/A</v>
      </c>
      <c r="S444" s="5" t="e">
        <f ca="1">IF(OR(INDEX($AI$2:$AI$1001,MATCH(ROWS($AH$2:AH444),$AH$2:$AH$1001,0),1)&gt;=100000,INDEX($AO$1005:$BQ$1005,1,MATCH(COLUMNS($AO$1006:BF1006),$AO$1006:$BQ$1006,0))&gt;=100000), " ",IF(INDEX($AO$2:$BQ$1001,MATCH(ROWS($AH$2:AH444),$AH$2:$AH$1001,0),MATCH(COLUMNS($AO$1006:BF1006),$AO$1006:$BQ$1006,0)), HYPERLINK("#",""), HYPERLINK(CONCATENATE("#Metadata!", ADDRESS(INDEX($AJ$2:$AJ$1001,MATCH(ROWS($AH$2:AH444),$AH$2:$AH$1001,0),0), INDEX($AO$1004:$BQ$1004,1,MATCH(COLUMNS($AO$1006:BF1006),$AO$1006:$BQ$1006,0)))),"Fix")))</f>
        <v>#N/A</v>
      </c>
      <c r="T444" s="5" t="e">
        <f ca="1">IF(OR(INDEX($AI$2:$AI$1001,MATCH(ROWS($AH$2:AH444),$AH$2:$AH$1001,0),1)&gt;=100000,INDEX($AO$1005:$BQ$1005,1,MATCH(COLUMNS($AO$1006:BG1006),$AO$1006:$BQ$1006,0))&gt;=100000), " ",IF(INDEX($AO$2:$BQ$1001,MATCH(ROWS($AH$2:AH444),$AH$2:$AH$1001,0),MATCH(COLUMNS($AO$1006:BG1006),$AO$1006:$BQ$1006,0)), HYPERLINK("#",""), HYPERLINK(CONCATENATE("#Metadata!", ADDRESS(INDEX($AJ$2:$AJ$1001,MATCH(ROWS($AH$2:AH444),$AH$2:$AH$1001,0),0), INDEX($AO$1004:$BQ$1004,1,MATCH(COLUMNS($AO$1006:BG1006),$AO$1006:$BQ$1006,0)))),"Fix")))</f>
        <v>#N/A</v>
      </c>
      <c r="U444" s="5" t="e">
        <f ca="1">IF(OR(INDEX($AI$2:$AI$1001,MATCH(ROWS($AH$2:AH444),$AH$2:$AH$1001,0),1)&gt;=100000,INDEX($AO$1005:$BQ$1005,1,MATCH(COLUMNS($AO$1006:BH1006),$AO$1006:$BQ$1006,0))&gt;=100000), " ",IF(INDEX($AO$2:$BQ$1001,MATCH(ROWS($AH$2:AH444),$AH$2:$AH$1001,0),MATCH(COLUMNS($AO$1006:BH1006),$AO$1006:$BQ$1006,0)), HYPERLINK("#",""), HYPERLINK(CONCATENATE("#Metadata!", ADDRESS(INDEX($AJ$2:$AJ$1001,MATCH(ROWS($AH$2:AH444),$AH$2:$AH$1001,0),0), INDEX($AO$1004:$BQ$1004,1,MATCH(COLUMNS($AO$1006:BH1006),$AO$1006:$BQ$1006,0)))),"Fix")))</f>
        <v>#N/A</v>
      </c>
      <c r="V444" s="5" t="e">
        <f ca="1">IF(OR(INDEX($AI$2:$AI$1001,MATCH(ROWS($AH$2:AH444),$AH$2:$AH$1001,0),1)&gt;=100000,INDEX($AO$1005:$BQ$1005,1,MATCH(COLUMNS($AO$1006:BI1006),$AO$1006:$BQ$1006,0))&gt;=100000), " ",IF(INDEX($AO$2:$BQ$1001,MATCH(ROWS($AH$2:AH444),$AH$2:$AH$1001,0),MATCH(COLUMNS($AO$1006:BI1006),$AO$1006:$BQ$1006,0)), HYPERLINK("#",""), HYPERLINK(CONCATENATE("#Metadata!", ADDRESS(INDEX($AJ$2:$AJ$1001,MATCH(ROWS($AH$2:AH444),$AH$2:$AH$1001,0),0), INDEX($AO$1004:$BQ$1004,1,MATCH(COLUMNS($AO$1006:BI1006),$AO$1006:$BQ$1006,0)))),"Fix")))</f>
        <v>#N/A</v>
      </c>
      <c r="W444" s="5" t="e">
        <f ca="1">IF(OR(INDEX($AI$2:$AI$1001,MATCH(ROWS($AH$2:AH444),$AH$2:$AH$1001,0),1)&gt;=100000,INDEX($AO$1005:$BQ$1005,1,MATCH(COLUMNS($AO$1006:BJ1006),$AO$1006:$BQ$1006,0))&gt;=100000), " ",IF(INDEX($AO$2:$BQ$1001,MATCH(ROWS($AH$2:AH444),$AH$2:$AH$1001,0),MATCH(COLUMNS($AO$1006:BJ1006),$AO$1006:$BQ$1006,0)), HYPERLINK("#",""), HYPERLINK(CONCATENATE("#Metadata!", ADDRESS(INDEX($AJ$2:$AJ$1001,MATCH(ROWS($AH$2:AH444),$AH$2:$AH$1001,0),0), INDEX($AO$1004:$BQ$1004,1,MATCH(COLUMNS($AO$1006:BJ1006),$AO$1006:$BQ$1006,0)))),"Fix")))</f>
        <v>#N/A</v>
      </c>
      <c r="X444" s="5" t="e">
        <f ca="1">IF(OR(INDEX($AI$2:$AI$1001,MATCH(ROWS($AH$2:AH444),$AH$2:$AH$1001,0),1)&gt;=100000,INDEX($AO$1005:$BQ$1005,1,MATCH(COLUMNS($AO$1006:BK1006),$AO$1006:$BQ$1006,0))&gt;=100000), " ",IF(INDEX($AO$2:$BQ$1001,MATCH(ROWS($AH$2:AH444),$AH$2:$AH$1001,0),MATCH(COLUMNS($AO$1006:BK1006),$AO$1006:$BQ$1006,0)), HYPERLINK("#",""), HYPERLINK(CONCATENATE("#Metadata!", ADDRESS(INDEX($AJ$2:$AJ$1001,MATCH(ROWS($AH$2:AH444),$AH$2:$AH$1001,0),0), INDEX($AO$1004:$BQ$1004,1,MATCH(COLUMNS($AO$1006:BK1006),$AO$1006:$BQ$1006,0)))),"Fix")))</f>
        <v>#N/A</v>
      </c>
      <c r="Y444" s="5" t="e">
        <f ca="1">IF(OR(INDEX($AI$2:$AI$1001,MATCH(ROWS($AH$2:AH444),$AH$2:$AH$1001,0),1)&gt;=100000,INDEX($AO$1005:$BQ$1005,1,MATCH(COLUMNS($AO$1006:BL1006),$AO$1006:$BQ$1006,0))&gt;=100000), " ",IF(INDEX($AO$2:$BQ$1001,MATCH(ROWS($AH$2:AH444),$AH$2:$AH$1001,0),MATCH(COLUMNS($AO$1006:BL1006),$AO$1006:$BQ$1006,0)), HYPERLINK("#",""), HYPERLINK(CONCATENATE("#Metadata!", ADDRESS(INDEX($AJ$2:$AJ$1001,MATCH(ROWS($AH$2:AH444),$AH$2:$AH$1001,0),0), INDEX($AO$1004:$BQ$1004,1,MATCH(COLUMNS($AO$1006:BL1006),$AO$1006:$BQ$1006,0)))),"Fix")))</f>
        <v>#N/A</v>
      </c>
      <c r="Z444" s="5" t="e">
        <f ca="1">IF(OR(INDEX($AI$2:$AI$1001,MATCH(ROWS($AH$2:AH444),$AH$2:$AH$1001,0),1)&gt;=100000,INDEX($AO$1005:$BQ$1005,1,MATCH(COLUMNS($AO$1006:BM1006),$AO$1006:$BQ$1006,0))&gt;=100000), " ",IF(INDEX($AO$2:$BQ$1001,MATCH(ROWS($AH$2:AH444),$AH$2:$AH$1001,0),MATCH(COLUMNS($AO$1006:BM1006),$AO$1006:$BQ$1006,0)), HYPERLINK("#",""), HYPERLINK(CONCATENATE("#Metadata!", ADDRESS(INDEX($AJ$2:$AJ$1001,MATCH(ROWS($AH$2:AH444),$AH$2:$AH$1001,0),0), INDEX($AO$1004:$BQ$1004,1,MATCH(COLUMNS($AO$1006:BM1006),$AO$1006:$BQ$1006,0)))),"Fix")))</f>
        <v>#N/A</v>
      </c>
      <c r="AA444" s="5" t="e">
        <f ca="1">IF(OR(INDEX($AI$2:$AI$1001,MATCH(ROWS($AH$2:AH444),$AH$2:$AH$1001,0),1)&gt;=100000,INDEX($AO$1005:$BQ$1005,1,MATCH(COLUMNS($AO$1006:BN1006),$AO$1006:$BQ$1006,0))&gt;=100000), " ",IF(INDEX($AO$2:$BQ$1001,MATCH(ROWS($AH$2:AH444),$AH$2:$AH$1001,0),MATCH(COLUMNS($AO$1006:BN1006),$AO$1006:$BQ$1006,0)), HYPERLINK("#",""), HYPERLINK(CONCATENATE("#Metadata!", ADDRESS(INDEX($AJ$2:$AJ$1001,MATCH(ROWS($AH$2:AH444),$AH$2:$AH$1001,0),0), INDEX($AO$1004:$BQ$1004,1,MATCH(COLUMNS($AO$1006:BN1006),$AO$1006:$BQ$1006,0)))),"Fix")))</f>
        <v>#N/A</v>
      </c>
      <c r="AB444" s="5" t="e">
        <f ca="1">IF(OR(INDEX($AI$2:$AI$1001,MATCH(ROWS($AH$2:AH444),$AH$2:$AH$1001,0),1)&gt;=100000,INDEX($AO$1005:$BQ$1005,1,MATCH(COLUMNS($AO$1006:BO1006),$AO$1006:$BQ$1006,0))&gt;=100000), " ",IF(INDEX($AO$2:$BQ$1001,MATCH(ROWS($AH$2:AH444),$AH$2:$AH$1001,0),MATCH(COLUMNS($AO$1006:BO1006),$AO$1006:$BQ$1006,0)), HYPERLINK("#",""), HYPERLINK(CONCATENATE("#Metadata!", ADDRESS(INDEX($AJ$2:$AJ$1001,MATCH(ROWS($AH$2:AH444),$AH$2:$AH$1001,0),0), INDEX($AO$1004:$BQ$1004,1,MATCH(COLUMNS($AO$1006:BO1006),$AO$1006:$BQ$1006,0)))),"Fix")))</f>
        <v>#N/A</v>
      </c>
      <c r="AC444" s="5" t="e">
        <f ca="1">IF(OR(INDEX($AI$2:$AI$1001,MATCH(ROWS($AH$2:AH444),$AH$2:$AH$1001,0),1)&gt;=100000,INDEX($AO$1005:$BQ$1005,1,MATCH(COLUMNS($AO$1006:BP1006),$AO$1006:$BQ$1006,0))&gt;=100000), " ",IF(INDEX($AO$2:$BQ$1001,MATCH(ROWS($AH$2:AH444),$AH$2:$AH$1001,0),MATCH(COLUMNS($AO$1006:BP1006),$AO$1006:$BQ$1006,0)), HYPERLINK("#",""), HYPERLINK(CONCATENATE("#Metadata!", ADDRESS(INDEX($AJ$2:$AJ$1001,MATCH(ROWS($AH$2:AH444),$AH$2:$AH$1001,0),0), INDEX($AO$1004:$BQ$1004,1,MATCH(COLUMNS($AO$1006:BP1006),$AO$1006:$BQ$1006,0)))),"Fix")))</f>
        <v>#N/A</v>
      </c>
      <c r="AD444" s="5" t="e">
        <f ca="1">IF(OR(INDEX($AI$2:$AI$1001,MATCH(ROWS($AH$2:AH444),$AH$2:$AH$1001,0),1)&gt;=100000,INDEX($AO$1005:$BQ$1005,1,MATCH(COLUMNS($AO$1006:BQ1006),$AO$1006:$BQ$1006,0))&gt;=100000), " ",IF(INDEX($AO$2:$BQ$1001,MATCH(ROWS($AH$2:AH444),$AH$2:$AH$1001,0),MATCH(COLUMNS($AO$1006:BQ1006),$AO$1006:$BQ$1006,0)), HYPERLINK("#",""), HYPERLINK(CONCATENATE("#Metadata!", ADDRESS(INDEX($AJ$2:$AJ$1001,MATCH(ROWS($AH$2:AH444),$AH$2:$AH$1001,0),0), INDEX($AO$1004:$BQ$1004,1,MATCH(COLUMNS($AO$1006:BQ1006),$AO$1006:$BQ$1006,0)))),"Fix")))</f>
        <v>#REF!</v>
      </c>
      <c r="AH444">
        <f ca="1"/>
        <v>441</v>
      </c>
      <c r="AI444">
        <v>100444</v>
      </c>
      <c r="AJ444">
        <v>444</v>
      </c>
      <c r="AK444" t="b">
        <f t="shared" si="6"/>
        <v>1</v>
      </c>
      <c r="AL444" t="b">
        <f>COUNTBLANK(Metadata!B444:AD444)=COLUMNS(Metadata!B444:AD444)</f>
        <v>1</v>
      </c>
      <c r="AM444" t="str">
        <v/>
      </c>
      <c r="AO444" t="b">
        <f ca="1">AND(IF(Metadata!B444="",FALSE,TRUE),COUNTIF(Metadata!B:B, Metadata!B444) = 1,NOT(ISERROR(SUMPRODUCT(SEARCH(MID(Metadata!B444,ROW(INDIRECT("1:"&amp;LEN(Metadata!B444))), 1),"0123456789abcdefghijklmnopqrstuvwxyzABCDEFGHIJKLMNOPQRSTUVWXYZ.")))))</f>
        <v>0</v>
      </c>
      <c r="AP444" t="b">
        <f>IF(Metadata!C444="",FALSE,TRUE)</f>
        <v>0</v>
      </c>
      <c r="AQ444" t="b">
        <f>IF(Metadata!D444="",FALSE,TRUE)</f>
        <v>0</v>
      </c>
      <c r="AR444" t="b">
        <f ca="1">OR(AND(IF(Metadata!E444="",FALSE,TRUE),OR(EXACT(Metadata!E444,"not collected"),EXACT(Metadata!E444,"not provided"),EXACT(Metadata!E444,"restricted access"))),AND(IF(Metadata!E444="",FALSE,TRUE),AND(AND(IFERROR(INT(LEFT(Metadata!E444,4))&gt;1900,FALSE),IFERROR(INT(LEFT(Metadata!E444,4))&lt;=YEAR(NOW()),FALSE)), OR(MID(Metadata!E444,5,1)="", AND(AND(MID(Metadata!E444,5,1)="-",IFERROR(INT(MID(Metadata!E444,6,1))&gt;=0,FALSE),IFERROR(INT(MID(Metadata!E444,6,1))&lt;=1,FALSE),NOT(MID(Metadata!E444,7,1)=""),IFERROR(INT(MID(Metadata!E444,6,2))&gt;=1,FALSE),IFERROR(INT(MID(Metadata!E444,6,2))&lt;=12,FALSE)), OR(MID(Metadata!E444,8,1)="", AND(AND(MID(Metadata!E444,8,1)="-",IFERROR(INT(MID(Metadata!E444,9,1))&gt;=0,FALSE),IFERROR(INT(MID(Metadata!E444,9,1))&lt;=3,FALSE),NOT(MID(Metadata!E444,10,1)=""),IFERROR(INT(MID(Metadata!E444,9,2))&gt;=1,FALSE),IFERROR(INT(MID(Metadata!E444,9,2))&lt;=31,FALSE)), OR(MID(Metadata!E444,11,1)="", AND(AND(MID(Metadata!E444,11,1)=" ",IFERROR(INT(MID(Metadata!E444,12,1))&gt;=0,FALSE),IFERROR(INT(MID(Metadata!E444,12,1))&lt;=2,FALSE),NOT(MID(Metadata!E444,13,1)=""),IFERROR(INT(MID(Metadata!E444,12,2))&gt;=0,FALSE),IFERROR(INT(MID(Metadata!E444,12,2))&lt;=23,FALSE)), OR(MID(Metadata!E444,14,1)="", AND(AND(MID(Metadata!E444,14,1)=":",IFERROR(INT(MID(Metadata!E444,15,1))&gt;=0,FALSE),IFERROR(INT(MID(Metadata!E444,15,1))&lt;=5,FALSE),NOT(MID(Metadata!E444,16,1)=""),IFERROR(INT(MID(Metadata!E444,15,2))&gt;=0,FALSE),IFERROR(INT(MID(Metadata!E444,15,2))&lt;=59,FALSE)), OR(MID(Metadata!E444,17,1)="", AND(AND(MID(Metadata!E444,17,1)=":",IFERROR(INT(MID(Metadata!E444,18,1))&gt;=0,FALSE),IFERROR(INT(MID(Metadata!E444,18,1))&lt;=5,FALSE),NOT(MID(Metadata!E444,19,1)=""),IFERROR(INT(MID(Metadata!E444,18,2))&gt;=0,FALSE),IFERROR(INT(MID(Metadata!E444,18,2))&lt;=59,FALSE)), LEN(Metadata!E444)&lt;=19)))))))))))))</f>
        <v>0</v>
      </c>
      <c r="AS444" t="b">
        <f>IF(Metadata!F444="",FALSE,TRUE)</f>
        <v>0</v>
      </c>
      <c r="AT444" t="b">
        <f>OR(AND(IF(Metadata!G444="",FALSE,TRUE),OR(EXACT(Metadata!G444,"not collected"),EXACT(Metadata!G444,"not provided"))),AND(IF(Metadata!G444="",FALSE,TRUE),OR(EXACT(Metadata!G444,"TRUE"),EXACT(Metadata!G444,"FALSE"))))</f>
        <v>0</v>
      </c>
      <c r="AU444" t="b">
        <f>OR(AND(IF(Metadata!H444="",FALSE,TRUE),OR(EXACT(Metadata!H444,"not collected"),EXACT(Metadata!H444,"not provided"),EXACT(Metadata!H444,"restricted access"))),AND(IF(Metadata!H444="",FALSE,ISNUMBER(VALUE(Metadata!H444))),Metadata!H444&gt;=-413))</f>
        <v>0</v>
      </c>
      <c r="AV444" t="b">
        <f>AND(IF(Metadata!I444="",FALSE,TRUE),EXACT(Metadata!I444,"meters"))</f>
        <v>0</v>
      </c>
      <c r="AW444" t="b">
        <f>AND(IF(Metadata!J444="",FALSE,TRUE),EXACT(Metadata!J444,"free-living"))</f>
        <v>0</v>
      </c>
      <c r="AX444" t="b">
        <f>AND(IF(Metadata!K444="",FALSE,TRUE),OR(EXACT(Metadata!K444,"saline"),EXACT(Metadata!K444,"non-saline")))</f>
        <v>0</v>
      </c>
      <c r="AY444" t="b">
        <f>AND(IF(Metadata!L444="",FALSE,TRUE),OR(EXACT(Metadata!L444,"sub-surface (non-saline)"),EXACT(Metadata!L444,"surface (non-saline)"),EXACT(Metadata!L444,"water (non-saline)"),EXACT(Metadata!L444,"soil (non-saline)"),EXACT(Metadata!L444,"aerosol (non-saline)"),EXACT(Metadata!L444,"sediment (non-saline)"),EXACT(Metadata!L444,"surface (saline)"),EXACT(Metadata!L444,"water (saline)"),EXACT(Metadata!L444,"hypersaline (saline)"),EXACT(Metadata!L444,"aerosol (saline)"),EXACT(Metadata!L444,"sediment (saline)")))</f>
        <v>0</v>
      </c>
      <c r="AZ444" t="b">
        <f>IF(Metadata!M444="",FALSE,TRUE)</f>
        <v>0</v>
      </c>
      <c r="BA444" t="b">
        <f>IF(Metadata!N444="",FALSE,TRUE)</f>
        <v>0</v>
      </c>
      <c r="BB444" t="b">
        <f>IF(Metadata!O444="",FALSE,TRUE)</f>
        <v>0</v>
      </c>
      <c r="BC444" t="b">
        <f>AND(IF(Metadata!P444="",FALSE,TRUE),OR(EXACT(Metadata!P444,"air"),EXACT(Metadata!P444,"microbial mat/biofilm"),EXACT(Metadata!P444,"misc environment"),EXACT(Metadata!P444,"sediment"),EXACT(Metadata!P444,"soil"),EXACT(Metadata!P444,"wastewater/sludge"),EXACT(Metadata!P444,"water")))</f>
        <v>0</v>
      </c>
      <c r="BD444" t="b">
        <f>IF(Metadata!Q444="",FALSE,TRUE)</f>
        <v>0</v>
      </c>
      <c r="BE444" t="b">
        <f>IF(Metadata!R444="",FALSE,TRUE)</f>
        <v>0</v>
      </c>
      <c r="BF444" t="b">
        <f>OR(AND(IF(Metadata!S444="",FALSE,TRUE),OR(EXACT(Metadata!S444,"not collected"),EXACT(Metadata!S444,"not provided"),EXACT(Metadata!S444,"restricted access"))),AND(IF(Metadata!S444="",FALSE,ISNUMBER(VALUE(Metadata!S444))),Metadata!S444&gt;=-90,Metadata!S444&lt;=90))</f>
        <v>0</v>
      </c>
      <c r="BG444" t="b">
        <f>AND(IF(Metadata!T444="",FALSE,TRUE),EXACT(Metadata!T444,"Decimal degrees"))</f>
        <v>0</v>
      </c>
      <c r="BH444" t="b">
        <f>OR(AND(IF(Metadata!U444="",FALSE,TRUE),OR(EXACT(Metadata!U444,"not applicable"),EXACT(Metadata!U444,"not collected"))),IF(Metadata!U444="",FALSE,TRUE))</f>
        <v>0</v>
      </c>
      <c r="BI444" t="b">
        <f>OR(AND(IF(Metadata!V444="",FALSE,TRUE),OR(EXACT(Metadata!V444,"not collected"),EXACT(Metadata!V444,"not provided"),EXACT(Metadata!V444,"restricted access"))),AND(IF(Metadata!V444="",FALSE,ISNUMBER(VALUE(Metadata!V444))),Metadata!V444&gt;=-180,Metadata!V444&lt;=180))</f>
        <v>0</v>
      </c>
      <c r="BJ444" t="b">
        <f>AND(IF(Metadata!W444="",FALSE,TRUE),EXACT(Metadata!W444,"Decimal degrees"))</f>
        <v>0</v>
      </c>
      <c r="BK444" t="b">
        <f>IF(Metadata!X444="",FALSE,TRUE)</f>
        <v>0</v>
      </c>
      <c r="BL444" t="b">
        <f>OR(AND(IF(Metadata!Y444="",FALSE,TRUE),OR(EXACT(Metadata!Y444,"not collected"),EXACT(Metadata!Y444,"not provided"),EXACT(Metadata!Y444,"restricted access"))),AND(IF(Metadata!Y444="",FALSE,TRUE),OR(EXACT(Metadata!Y444,"TRUE"),EXACT(Metadata!Y444,"FALSE"))))</f>
        <v>0</v>
      </c>
      <c r="BM444" t="b">
        <f>OR(AND(IF(Metadata!Z444="",FALSE,TRUE),EXACT(Metadata!Z444,"not applicable")),AND(IF(Metadata!Z444="",FALSE,TRUE),OR(EXACT(Metadata!Z444,"beer"),EXACT(Metadata!Z444,"cheese"),EXACT(Metadata!Z444,"fresh water"),EXACT(Metadata!Z444,"marine sediment"),EXACT(Metadata!Z444,"sea water"),EXACT(Metadata!Z444,"sediment"),EXACT(Metadata!Z444,"soil"),EXACT(Metadata!Z444,"waste water"))))</f>
        <v>0</v>
      </c>
      <c r="BN444" t="b">
        <f>AND(IF(Metadata!AA444="",FALSE,TRUE),EXACT(Metadata!AA444,"metagenome"))</f>
        <v>0</v>
      </c>
      <c r="BO444" t="b">
        <f>AND(IF(Metadata!AB444="",FALSE,TRUE),EXACT(Metadata!AB444,"256318"))</f>
        <v>0</v>
      </c>
      <c r="BP444" t="b">
        <f>IF(Metadata!AC444="",FALSE,TRUE)</f>
        <v>0</v>
      </c>
      <c r="BQ444" t="b">
        <f>IF(Metadata!AD444="",FALSE,TRUE)</f>
        <v>0</v>
      </c>
    </row>
    <row r="445" spans="1:69" x14ac:dyDescent="0.2">
      <c r="A445" s="4" t="e">
        <f ca="1">IF(B445=" "," ",HYPERLINK(CONCATENATE("#metadata!",ADDRESS(INDEX($AJ$2:$AJ$1001,MATCH(ROWS($AH$2:AH445),$AH$2:$AH$1001,0),0),2)),INDEX($AM$2:$AM$1001,MATCH(ROWS($AH$2:AH445),$AH$2:$AH$1001,0),0)))</f>
        <v>#N/A</v>
      </c>
      <c r="B445" s="5" t="e">
        <f ca="1">IF(OR(INDEX($AI$2:$AI$1001,MATCH(ROWS($AH$2:AH445),$AH$2:$AH$1001,0),1)&gt;=100000,INDEX($AO$1005:$BQ$1005,1,MATCH(COLUMNS($AO$1006:AO1006),$AO$1006:$BQ$1006,0))&gt;=100000), " ",IF(INDEX($AO$2:$BQ$1001,MATCH(ROWS($AH$2:AH445),$AH$2:$AH$1001,0),MATCH(COLUMNS($AO$1006:AO1006),$AO$1006:$BQ$1006,0)), HYPERLINK("#",""), HYPERLINK(CONCATENATE("#Metadata!", ADDRESS(INDEX($AJ$2:$AJ$1001,MATCH(ROWS($AH$2:AH445),$AH$2:$AH$1001,0),0), INDEX($AO$1004:$BQ$1004,1,MATCH(COLUMNS($AO$1006:AO1006),$AO$1006:$BQ$1006,0)))),"Fix")))</f>
        <v>#N/A</v>
      </c>
      <c r="C445" s="5" t="e">
        <f ca="1">IF(OR(INDEX($AI$2:$AI$1001,MATCH(ROWS($AH$2:AH445),$AH$2:$AH$1001,0),1)&gt;=100000,INDEX($AO$1005:$BQ$1005,1,MATCH(COLUMNS($AO$1006:AP1006),$AO$1006:$BQ$1006,0))&gt;=100000), " ",IF(INDEX($AO$2:$BQ$1001,MATCH(ROWS($AH$2:AH445),$AH$2:$AH$1001,0),MATCH(COLUMNS($AO$1006:AP1006),$AO$1006:$BQ$1006,0)), HYPERLINK("#",""), HYPERLINK(CONCATENATE("#Metadata!", ADDRESS(INDEX($AJ$2:$AJ$1001,MATCH(ROWS($AH$2:AH445),$AH$2:$AH$1001,0),0), INDEX($AO$1004:$BQ$1004,1,MATCH(COLUMNS($AO$1006:AP1006),$AO$1006:$BQ$1006,0)))),"Fix")))</f>
        <v>#N/A</v>
      </c>
      <c r="D445" s="5" t="e">
        <f ca="1">IF(OR(INDEX($AI$2:$AI$1001,MATCH(ROWS($AH$2:AH445),$AH$2:$AH$1001,0),1)&gt;=100000,INDEX($AO$1005:$BQ$1005,1,MATCH(COLUMNS($AO$1006:AQ1006),$AO$1006:$BQ$1006,0))&gt;=100000), " ",IF(INDEX($AO$2:$BQ$1001,MATCH(ROWS($AH$2:AH445),$AH$2:$AH$1001,0),MATCH(COLUMNS($AO$1006:AQ1006),$AO$1006:$BQ$1006,0)), HYPERLINK("#",""), HYPERLINK(CONCATENATE("#Metadata!", ADDRESS(INDEX($AJ$2:$AJ$1001,MATCH(ROWS($AH$2:AH445),$AH$2:$AH$1001,0),0), INDEX($AO$1004:$BQ$1004,1,MATCH(COLUMNS($AO$1006:AQ1006),$AO$1006:$BQ$1006,0)))),"Fix")))</f>
        <v>#N/A</v>
      </c>
      <c r="E445" s="5" t="e">
        <f ca="1">IF(OR(INDEX($AI$2:$AI$1001,MATCH(ROWS($AH$2:AH445),$AH$2:$AH$1001,0),1)&gt;=100000,INDEX($AO$1005:$BQ$1005,1,MATCH(COLUMNS($AO$1006:AR1006),$AO$1006:$BQ$1006,0))&gt;=100000), " ",IF(INDEX($AO$2:$BQ$1001,MATCH(ROWS($AH$2:AH445),$AH$2:$AH$1001,0),MATCH(COLUMNS($AO$1006:AR1006),$AO$1006:$BQ$1006,0)), HYPERLINK("#",""), HYPERLINK(CONCATENATE("#Metadata!", ADDRESS(INDEX($AJ$2:$AJ$1001,MATCH(ROWS($AH$2:AH445),$AH$2:$AH$1001,0),0), INDEX($AO$1004:$BQ$1004,1,MATCH(COLUMNS($AO$1006:AR1006),$AO$1006:$BQ$1006,0)))),"Fix")))</f>
        <v>#N/A</v>
      </c>
      <c r="F445" s="5" t="e">
        <f ca="1">IF(OR(INDEX($AI$2:$AI$1001,MATCH(ROWS($AH$2:AH445),$AH$2:$AH$1001,0),1)&gt;=100000,INDEX($AO$1005:$BQ$1005,1,MATCH(COLUMNS($AO$1006:AS1006),$AO$1006:$BQ$1006,0))&gt;=100000), " ",IF(INDEX($AO$2:$BQ$1001,MATCH(ROWS($AH$2:AH445),$AH$2:$AH$1001,0),MATCH(COLUMNS($AO$1006:AS1006),$AO$1006:$BQ$1006,0)), HYPERLINK("#",""), HYPERLINK(CONCATENATE("#Metadata!", ADDRESS(INDEX($AJ$2:$AJ$1001,MATCH(ROWS($AH$2:AH445),$AH$2:$AH$1001,0),0), INDEX($AO$1004:$BQ$1004,1,MATCH(COLUMNS($AO$1006:AS1006),$AO$1006:$BQ$1006,0)))),"Fix")))</f>
        <v>#N/A</v>
      </c>
      <c r="G445" s="5" t="e">
        <f ca="1">IF(OR(INDEX($AI$2:$AI$1001,MATCH(ROWS($AH$2:AH445),$AH$2:$AH$1001,0),1)&gt;=100000,INDEX($AO$1005:$BQ$1005,1,MATCH(COLUMNS($AO$1006:AT1006),$AO$1006:$BQ$1006,0))&gt;=100000), " ",IF(INDEX($AO$2:$BQ$1001,MATCH(ROWS($AH$2:AH445),$AH$2:$AH$1001,0),MATCH(COLUMNS($AO$1006:AT1006),$AO$1006:$BQ$1006,0)), HYPERLINK("#",""), HYPERLINK(CONCATENATE("#Metadata!", ADDRESS(INDEX($AJ$2:$AJ$1001,MATCH(ROWS($AH$2:AH445),$AH$2:$AH$1001,0),0), INDEX($AO$1004:$BQ$1004,1,MATCH(COLUMNS($AO$1006:AT1006),$AO$1006:$BQ$1006,0)))),"Fix")))</f>
        <v>#N/A</v>
      </c>
      <c r="H445" s="5" t="e">
        <f ca="1">IF(OR(INDEX($AI$2:$AI$1001,MATCH(ROWS($AH$2:AH445),$AH$2:$AH$1001,0),1)&gt;=100000,INDEX($AO$1005:$BQ$1005,1,MATCH(COLUMNS($AO$1006:AU1006),$AO$1006:$BQ$1006,0))&gt;=100000), " ",IF(INDEX($AO$2:$BQ$1001,MATCH(ROWS($AH$2:AH445),$AH$2:$AH$1001,0),MATCH(COLUMNS($AO$1006:AU1006),$AO$1006:$BQ$1006,0)), HYPERLINK("#",""), HYPERLINK(CONCATENATE("#Metadata!", ADDRESS(INDEX($AJ$2:$AJ$1001,MATCH(ROWS($AH$2:AH445),$AH$2:$AH$1001,0),0), INDEX($AO$1004:$BQ$1004,1,MATCH(COLUMNS($AO$1006:AU1006),$AO$1006:$BQ$1006,0)))),"Fix")))</f>
        <v>#N/A</v>
      </c>
      <c r="I445" s="5" t="e">
        <f ca="1">IF(OR(INDEX($AI$2:$AI$1001,MATCH(ROWS($AH$2:AH445),$AH$2:$AH$1001,0),1)&gt;=100000,INDEX($AO$1005:$BQ$1005,1,MATCH(COLUMNS($AO$1006:AV1006),$AO$1006:$BQ$1006,0))&gt;=100000), " ",IF(INDEX($AO$2:$BQ$1001,MATCH(ROWS($AH$2:AH445),$AH$2:$AH$1001,0),MATCH(COLUMNS($AO$1006:AV1006),$AO$1006:$BQ$1006,0)), HYPERLINK("#",""), HYPERLINK(CONCATENATE("#Metadata!", ADDRESS(INDEX($AJ$2:$AJ$1001,MATCH(ROWS($AH$2:AH445),$AH$2:$AH$1001,0),0), INDEX($AO$1004:$BQ$1004,1,MATCH(COLUMNS($AO$1006:AV1006),$AO$1006:$BQ$1006,0)))),"Fix")))</f>
        <v>#N/A</v>
      </c>
      <c r="J445" s="5" t="e">
        <f ca="1">IF(OR(INDEX($AI$2:$AI$1001,MATCH(ROWS($AH$2:AH445),$AH$2:$AH$1001,0),1)&gt;=100000,INDEX($AO$1005:$BQ$1005,1,MATCH(COLUMNS($AO$1006:AW1006),$AO$1006:$BQ$1006,0))&gt;=100000), " ",IF(INDEX($AO$2:$BQ$1001,MATCH(ROWS($AH$2:AH445),$AH$2:$AH$1001,0),MATCH(COLUMNS($AO$1006:AW1006),$AO$1006:$BQ$1006,0)), HYPERLINK("#",""), HYPERLINK(CONCATENATE("#Metadata!", ADDRESS(INDEX($AJ$2:$AJ$1001,MATCH(ROWS($AH$2:AH445),$AH$2:$AH$1001,0),0), INDEX($AO$1004:$BQ$1004,1,MATCH(COLUMNS($AO$1006:AW1006),$AO$1006:$BQ$1006,0)))),"Fix")))</f>
        <v>#N/A</v>
      </c>
      <c r="K445" s="5" t="e">
        <f ca="1">IF(OR(INDEX($AI$2:$AI$1001,MATCH(ROWS($AH$2:AH445),$AH$2:$AH$1001,0),1)&gt;=100000,INDEX($AO$1005:$BQ$1005,1,MATCH(COLUMNS($AO$1006:AX1006),$AO$1006:$BQ$1006,0))&gt;=100000), " ",IF(INDEX($AO$2:$BQ$1001,MATCH(ROWS($AH$2:AH445),$AH$2:$AH$1001,0),MATCH(COLUMNS($AO$1006:AX1006),$AO$1006:$BQ$1006,0)), HYPERLINK("#",""), HYPERLINK(CONCATENATE("#Metadata!", ADDRESS(INDEX($AJ$2:$AJ$1001,MATCH(ROWS($AH$2:AH445),$AH$2:$AH$1001,0),0), INDEX($AO$1004:$BQ$1004,1,MATCH(COLUMNS($AO$1006:AX1006),$AO$1006:$BQ$1006,0)))),"Fix")))</f>
        <v>#N/A</v>
      </c>
      <c r="L445" s="5" t="e">
        <f ca="1">IF(OR(INDEX($AI$2:$AI$1001,MATCH(ROWS($AH$2:AH445),$AH$2:$AH$1001,0),1)&gt;=100000,INDEX($AO$1005:$BQ$1005,1,MATCH(COLUMNS($AO$1006:AY1006),$AO$1006:$BQ$1006,0))&gt;=100000), " ",IF(INDEX($AO$2:$BQ$1001,MATCH(ROWS($AH$2:AH445),$AH$2:$AH$1001,0),MATCH(COLUMNS($AO$1006:AY1006),$AO$1006:$BQ$1006,0)), HYPERLINK("#",""), HYPERLINK(CONCATENATE("#Metadata!", ADDRESS(INDEX($AJ$2:$AJ$1001,MATCH(ROWS($AH$2:AH445),$AH$2:$AH$1001,0),0), INDEX($AO$1004:$BQ$1004,1,MATCH(COLUMNS($AO$1006:AY1006),$AO$1006:$BQ$1006,0)))),"Fix")))</f>
        <v>#N/A</v>
      </c>
      <c r="M445" s="5" t="e">
        <f ca="1">IF(OR(INDEX($AI$2:$AI$1001,MATCH(ROWS($AH$2:AH445),$AH$2:$AH$1001,0),1)&gt;=100000,INDEX($AO$1005:$BQ$1005,1,MATCH(COLUMNS($AO$1006:AZ1006),$AO$1006:$BQ$1006,0))&gt;=100000), " ",IF(INDEX($AO$2:$BQ$1001,MATCH(ROWS($AH$2:AH445),$AH$2:$AH$1001,0),MATCH(COLUMNS($AO$1006:AZ1006),$AO$1006:$BQ$1006,0)), HYPERLINK("#",""), HYPERLINK(CONCATENATE("#Metadata!", ADDRESS(INDEX($AJ$2:$AJ$1001,MATCH(ROWS($AH$2:AH445),$AH$2:$AH$1001,0),0), INDEX($AO$1004:$BQ$1004,1,MATCH(COLUMNS($AO$1006:AZ1006),$AO$1006:$BQ$1006,0)))),"Fix")))</f>
        <v>#N/A</v>
      </c>
      <c r="N445" s="5" t="e">
        <f ca="1">IF(OR(INDEX($AI$2:$AI$1001,MATCH(ROWS($AH$2:AH445),$AH$2:$AH$1001,0),1)&gt;=100000,INDEX($AO$1005:$BQ$1005,1,MATCH(COLUMNS($AO$1006:BA1006),$AO$1006:$BQ$1006,0))&gt;=100000), " ",IF(INDEX($AO$2:$BQ$1001,MATCH(ROWS($AH$2:AH445),$AH$2:$AH$1001,0),MATCH(COLUMNS($AO$1006:BA1006),$AO$1006:$BQ$1006,0)), HYPERLINK("#",""), HYPERLINK(CONCATENATE("#Metadata!", ADDRESS(INDEX($AJ$2:$AJ$1001,MATCH(ROWS($AH$2:AH445),$AH$2:$AH$1001,0),0), INDEX($AO$1004:$BQ$1004,1,MATCH(COLUMNS($AO$1006:BA1006),$AO$1006:$BQ$1006,0)))),"Fix")))</f>
        <v>#N/A</v>
      </c>
      <c r="O445" s="5" t="e">
        <f ca="1">IF(OR(INDEX($AI$2:$AI$1001,MATCH(ROWS($AH$2:AH445),$AH$2:$AH$1001,0),1)&gt;=100000,INDEX($AO$1005:$BQ$1005,1,MATCH(COLUMNS($AO$1006:BB1006),$AO$1006:$BQ$1006,0))&gt;=100000), " ",IF(INDEX($AO$2:$BQ$1001,MATCH(ROWS($AH$2:AH445),$AH$2:$AH$1001,0),MATCH(COLUMNS($AO$1006:BB1006),$AO$1006:$BQ$1006,0)), HYPERLINK("#",""), HYPERLINK(CONCATENATE("#Metadata!", ADDRESS(INDEX($AJ$2:$AJ$1001,MATCH(ROWS($AH$2:AH445),$AH$2:$AH$1001,0),0), INDEX($AO$1004:$BQ$1004,1,MATCH(COLUMNS($AO$1006:BB1006),$AO$1006:$BQ$1006,0)))),"Fix")))</f>
        <v>#N/A</v>
      </c>
      <c r="P445" s="5" t="e">
        <f ca="1">IF(OR(INDEX($AI$2:$AI$1001,MATCH(ROWS($AH$2:AH445),$AH$2:$AH$1001,0),1)&gt;=100000,INDEX($AO$1005:$BQ$1005,1,MATCH(COLUMNS($AO$1006:BC1006),$AO$1006:$BQ$1006,0))&gt;=100000), " ",IF(INDEX($AO$2:$BQ$1001,MATCH(ROWS($AH$2:AH445),$AH$2:$AH$1001,0),MATCH(COLUMNS($AO$1006:BC1006),$AO$1006:$BQ$1006,0)), HYPERLINK("#",""), HYPERLINK(CONCATENATE("#Metadata!", ADDRESS(INDEX($AJ$2:$AJ$1001,MATCH(ROWS($AH$2:AH445),$AH$2:$AH$1001,0),0), INDEX($AO$1004:$BQ$1004,1,MATCH(COLUMNS($AO$1006:BC1006),$AO$1006:$BQ$1006,0)))),"Fix")))</f>
        <v>#N/A</v>
      </c>
      <c r="Q445" s="5" t="e">
        <f ca="1">IF(OR(INDEX($AI$2:$AI$1001,MATCH(ROWS($AH$2:AH445),$AH$2:$AH$1001,0),1)&gt;=100000,INDEX($AO$1005:$BQ$1005,1,MATCH(COLUMNS($AO$1006:BD1006),$AO$1006:$BQ$1006,0))&gt;=100000), " ",IF(INDEX($AO$2:$BQ$1001,MATCH(ROWS($AH$2:AH445),$AH$2:$AH$1001,0),MATCH(COLUMNS($AO$1006:BD1006),$AO$1006:$BQ$1006,0)), HYPERLINK("#",""), HYPERLINK(CONCATENATE("#Metadata!", ADDRESS(INDEX($AJ$2:$AJ$1001,MATCH(ROWS($AH$2:AH445),$AH$2:$AH$1001,0),0), INDEX($AO$1004:$BQ$1004,1,MATCH(COLUMNS($AO$1006:BD1006),$AO$1006:$BQ$1006,0)))),"Fix")))</f>
        <v>#N/A</v>
      </c>
      <c r="R445" s="5" t="e">
        <f ca="1">IF(OR(INDEX($AI$2:$AI$1001,MATCH(ROWS($AH$2:AH445),$AH$2:$AH$1001,0),1)&gt;=100000,INDEX($AO$1005:$BQ$1005,1,MATCH(COLUMNS($AO$1006:BE1006),$AO$1006:$BQ$1006,0))&gt;=100000), " ",IF(INDEX($AO$2:$BQ$1001,MATCH(ROWS($AH$2:AH445),$AH$2:$AH$1001,0),MATCH(COLUMNS($AO$1006:BE1006),$AO$1006:$BQ$1006,0)), HYPERLINK("#",""), HYPERLINK(CONCATENATE("#Metadata!", ADDRESS(INDEX($AJ$2:$AJ$1001,MATCH(ROWS($AH$2:AH445),$AH$2:$AH$1001,0),0), INDEX($AO$1004:$BQ$1004,1,MATCH(COLUMNS($AO$1006:BE1006),$AO$1006:$BQ$1006,0)))),"Fix")))</f>
        <v>#N/A</v>
      </c>
      <c r="S445" s="5" t="e">
        <f ca="1">IF(OR(INDEX($AI$2:$AI$1001,MATCH(ROWS($AH$2:AH445),$AH$2:$AH$1001,0),1)&gt;=100000,INDEX($AO$1005:$BQ$1005,1,MATCH(COLUMNS($AO$1006:BF1006),$AO$1006:$BQ$1006,0))&gt;=100000), " ",IF(INDEX($AO$2:$BQ$1001,MATCH(ROWS($AH$2:AH445),$AH$2:$AH$1001,0),MATCH(COLUMNS($AO$1006:BF1006),$AO$1006:$BQ$1006,0)), HYPERLINK("#",""), HYPERLINK(CONCATENATE("#Metadata!", ADDRESS(INDEX($AJ$2:$AJ$1001,MATCH(ROWS($AH$2:AH445),$AH$2:$AH$1001,0),0), INDEX($AO$1004:$BQ$1004,1,MATCH(COLUMNS($AO$1006:BF1006),$AO$1006:$BQ$1006,0)))),"Fix")))</f>
        <v>#N/A</v>
      </c>
      <c r="T445" s="5" t="e">
        <f ca="1">IF(OR(INDEX($AI$2:$AI$1001,MATCH(ROWS($AH$2:AH445),$AH$2:$AH$1001,0),1)&gt;=100000,INDEX($AO$1005:$BQ$1005,1,MATCH(COLUMNS($AO$1006:BG1006),$AO$1006:$BQ$1006,0))&gt;=100000), " ",IF(INDEX($AO$2:$BQ$1001,MATCH(ROWS($AH$2:AH445),$AH$2:$AH$1001,0),MATCH(COLUMNS($AO$1006:BG1006),$AO$1006:$BQ$1006,0)), HYPERLINK("#",""), HYPERLINK(CONCATENATE("#Metadata!", ADDRESS(INDEX($AJ$2:$AJ$1001,MATCH(ROWS($AH$2:AH445),$AH$2:$AH$1001,0),0), INDEX($AO$1004:$BQ$1004,1,MATCH(COLUMNS($AO$1006:BG1006),$AO$1006:$BQ$1006,0)))),"Fix")))</f>
        <v>#N/A</v>
      </c>
      <c r="U445" s="5" t="e">
        <f ca="1">IF(OR(INDEX($AI$2:$AI$1001,MATCH(ROWS($AH$2:AH445),$AH$2:$AH$1001,0),1)&gt;=100000,INDEX($AO$1005:$BQ$1005,1,MATCH(COLUMNS($AO$1006:BH1006),$AO$1006:$BQ$1006,0))&gt;=100000), " ",IF(INDEX($AO$2:$BQ$1001,MATCH(ROWS($AH$2:AH445),$AH$2:$AH$1001,0),MATCH(COLUMNS($AO$1006:BH1006),$AO$1006:$BQ$1006,0)), HYPERLINK("#",""), HYPERLINK(CONCATENATE("#Metadata!", ADDRESS(INDEX($AJ$2:$AJ$1001,MATCH(ROWS($AH$2:AH445),$AH$2:$AH$1001,0),0), INDEX($AO$1004:$BQ$1004,1,MATCH(COLUMNS($AO$1006:BH1006),$AO$1006:$BQ$1006,0)))),"Fix")))</f>
        <v>#N/A</v>
      </c>
      <c r="V445" s="5" t="e">
        <f ca="1">IF(OR(INDEX($AI$2:$AI$1001,MATCH(ROWS($AH$2:AH445),$AH$2:$AH$1001,0),1)&gt;=100000,INDEX($AO$1005:$BQ$1005,1,MATCH(COLUMNS($AO$1006:BI1006),$AO$1006:$BQ$1006,0))&gt;=100000), " ",IF(INDEX($AO$2:$BQ$1001,MATCH(ROWS($AH$2:AH445),$AH$2:$AH$1001,0),MATCH(COLUMNS($AO$1006:BI1006),$AO$1006:$BQ$1006,0)), HYPERLINK("#",""), HYPERLINK(CONCATENATE("#Metadata!", ADDRESS(INDEX($AJ$2:$AJ$1001,MATCH(ROWS($AH$2:AH445),$AH$2:$AH$1001,0),0), INDEX($AO$1004:$BQ$1004,1,MATCH(COLUMNS($AO$1006:BI1006),$AO$1006:$BQ$1006,0)))),"Fix")))</f>
        <v>#N/A</v>
      </c>
      <c r="W445" s="5" t="e">
        <f ca="1">IF(OR(INDEX($AI$2:$AI$1001,MATCH(ROWS($AH$2:AH445),$AH$2:$AH$1001,0),1)&gt;=100000,INDEX($AO$1005:$BQ$1005,1,MATCH(COLUMNS($AO$1006:BJ1006),$AO$1006:$BQ$1006,0))&gt;=100000), " ",IF(INDEX($AO$2:$BQ$1001,MATCH(ROWS($AH$2:AH445),$AH$2:$AH$1001,0),MATCH(COLUMNS($AO$1006:BJ1006),$AO$1006:$BQ$1006,0)), HYPERLINK("#",""), HYPERLINK(CONCATENATE("#Metadata!", ADDRESS(INDEX($AJ$2:$AJ$1001,MATCH(ROWS($AH$2:AH445),$AH$2:$AH$1001,0),0), INDEX($AO$1004:$BQ$1004,1,MATCH(COLUMNS($AO$1006:BJ1006),$AO$1006:$BQ$1006,0)))),"Fix")))</f>
        <v>#N/A</v>
      </c>
      <c r="X445" s="5" t="e">
        <f ca="1">IF(OR(INDEX($AI$2:$AI$1001,MATCH(ROWS($AH$2:AH445),$AH$2:$AH$1001,0),1)&gt;=100000,INDEX($AO$1005:$BQ$1005,1,MATCH(COLUMNS($AO$1006:BK1006),$AO$1006:$BQ$1006,0))&gt;=100000), " ",IF(INDEX($AO$2:$BQ$1001,MATCH(ROWS($AH$2:AH445),$AH$2:$AH$1001,0),MATCH(COLUMNS($AO$1006:BK1006),$AO$1006:$BQ$1006,0)), HYPERLINK("#",""), HYPERLINK(CONCATENATE("#Metadata!", ADDRESS(INDEX($AJ$2:$AJ$1001,MATCH(ROWS($AH$2:AH445),$AH$2:$AH$1001,0),0), INDEX($AO$1004:$BQ$1004,1,MATCH(COLUMNS($AO$1006:BK1006),$AO$1006:$BQ$1006,0)))),"Fix")))</f>
        <v>#N/A</v>
      </c>
      <c r="Y445" s="5" t="e">
        <f ca="1">IF(OR(INDEX($AI$2:$AI$1001,MATCH(ROWS($AH$2:AH445),$AH$2:$AH$1001,0),1)&gt;=100000,INDEX($AO$1005:$BQ$1005,1,MATCH(COLUMNS($AO$1006:BL1006),$AO$1006:$BQ$1006,0))&gt;=100000), " ",IF(INDEX($AO$2:$BQ$1001,MATCH(ROWS($AH$2:AH445),$AH$2:$AH$1001,0),MATCH(COLUMNS($AO$1006:BL1006),$AO$1006:$BQ$1006,0)), HYPERLINK("#",""), HYPERLINK(CONCATENATE("#Metadata!", ADDRESS(INDEX($AJ$2:$AJ$1001,MATCH(ROWS($AH$2:AH445),$AH$2:$AH$1001,0),0), INDEX($AO$1004:$BQ$1004,1,MATCH(COLUMNS($AO$1006:BL1006),$AO$1006:$BQ$1006,0)))),"Fix")))</f>
        <v>#N/A</v>
      </c>
      <c r="Z445" s="5" t="e">
        <f ca="1">IF(OR(INDEX($AI$2:$AI$1001,MATCH(ROWS($AH$2:AH445),$AH$2:$AH$1001,0),1)&gt;=100000,INDEX($AO$1005:$BQ$1005,1,MATCH(COLUMNS($AO$1006:BM1006),$AO$1006:$BQ$1006,0))&gt;=100000), " ",IF(INDEX($AO$2:$BQ$1001,MATCH(ROWS($AH$2:AH445),$AH$2:$AH$1001,0),MATCH(COLUMNS($AO$1006:BM1006),$AO$1006:$BQ$1006,0)), HYPERLINK("#",""), HYPERLINK(CONCATENATE("#Metadata!", ADDRESS(INDEX($AJ$2:$AJ$1001,MATCH(ROWS($AH$2:AH445),$AH$2:$AH$1001,0),0), INDEX($AO$1004:$BQ$1004,1,MATCH(COLUMNS($AO$1006:BM1006),$AO$1006:$BQ$1006,0)))),"Fix")))</f>
        <v>#N/A</v>
      </c>
      <c r="AA445" s="5" t="e">
        <f ca="1">IF(OR(INDEX($AI$2:$AI$1001,MATCH(ROWS($AH$2:AH445),$AH$2:$AH$1001,0),1)&gt;=100000,INDEX($AO$1005:$BQ$1005,1,MATCH(COLUMNS($AO$1006:BN1006),$AO$1006:$BQ$1006,0))&gt;=100000), " ",IF(INDEX($AO$2:$BQ$1001,MATCH(ROWS($AH$2:AH445),$AH$2:$AH$1001,0),MATCH(COLUMNS($AO$1006:BN1006),$AO$1006:$BQ$1006,0)), HYPERLINK("#",""), HYPERLINK(CONCATENATE("#Metadata!", ADDRESS(INDEX($AJ$2:$AJ$1001,MATCH(ROWS($AH$2:AH445),$AH$2:$AH$1001,0),0), INDEX($AO$1004:$BQ$1004,1,MATCH(COLUMNS($AO$1006:BN1006),$AO$1006:$BQ$1006,0)))),"Fix")))</f>
        <v>#N/A</v>
      </c>
      <c r="AB445" s="5" t="e">
        <f ca="1">IF(OR(INDEX($AI$2:$AI$1001,MATCH(ROWS($AH$2:AH445),$AH$2:$AH$1001,0),1)&gt;=100000,INDEX($AO$1005:$BQ$1005,1,MATCH(COLUMNS($AO$1006:BO1006),$AO$1006:$BQ$1006,0))&gt;=100000), " ",IF(INDEX($AO$2:$BQ$1001,MATCH(ROWS($AH$2:AH445),$AH$2:$AH$1001,0),MATCH(COLUMNS($AO$1006:BO1006),$AO$1006:$BQ$1006,0)), HYPERLINK("#",""), HYPERLINK(CONCATENATE("#Metadata!", ADDRESS(INDEX($AJ$2:$AJ$1001,MATCH(ROWS($AH$2:AH445),$AH$2:$AH$1001,0),0), INDEX($AO$1004:$BQ$1004,1,MATCH(COLUMNS($AO$1006:BO1006),$AO$1006:$BQ$1006,0)))),"Fix")))</f>
        <v>#N/A</v>
      </c>
      <c r="AC445" s="5" t="e">
        <f ca="1">IF(OR(INDEX($AI$2:$AI$1001,MATCH(ROWS($AH$2:AH445),$AH$2:$AH$1001,0),1)&gt;=100000,INDEX($AO$1005:$BQ$1005,1,MATCH(COLUMNS($AO$1006:BP1006),$AO$1006:$BQ$1006,0))&gt;=100000), " ",IF(INDEX($AO$2:$BQ$1001,MATCH(ROWS($AH$2:AH445),$AH$2:$AH$1001,0),MATCH(COLUMNS($AO$1006:BP1006),$AO$1006:$BQ$1006,0)), HYPERLINK("#",""), HYPERLINK(CONCATENATE("#Metadata!", ADDRESS(INDEX($AJ$2:$AJ$1001,MATCH(ROWS($AH$2:AH445),$AH$2:$AH$1001,0),0), INDEX($AO$1004:$BQ$1004,1,MATCH(COLUMNS($AO$1006:BP1006),$AO$1006:$BQ$1006,0)))),"Fix")))</f>
        <v>#N/A</v>
      </c>
      <c r="AD445" s="5" t="e">
        <f ca="1">IF(OR(INDEX($AI$2:$AI$1001,MATCH(ROWS($AH$2:AH445),$AH$2:$AH$1001,0),1)&gt;=100000,INDEX($AO$1005:$BQ$1005,1,MATCH(COLUMNS($AO$1006:BQ1006),$AO$1006:$BQ$1006,0))&gt;=100000), " ",IF(INDEX($AO$2:$BQ$1001,MATCH(ROWS($AH$2:AH445),$AH$2:$AH$1001,0),MATCH(COLUMNS($AO$1006:BQ1006),$AO$1006:$BQ$1006,0)), HYPERLINK("#",""), HYPERLINK(CONCATENATE("#Metadata!", ADDRESS(INDEX($AJ$2:$AJ$1001,MATCH(ROWS($AH$2:AH445),$AH$2:$AH$1001,0),0), INDEX($AO$1004:$BQ$1004,1,MATCH(COLUMNS($AO$1006:BQ1006),$AO$1006:$BQ$1006,0)))),"Fix")))</f>
        <v>#REF!</v>
      </c>
      <c r="AH445">
        <f ca="1"/>
        <v>442</v>
      </c>
      <c r="AI445">
        <v>100445</v>
      </c>
      <c r="AJ445">
        <v>445</v>
      </c>
      <c r="AK445" t="b">
        <f t="shared" si="6"/>
        <v>1</v>
      </c>
      <c r="AL445" t="b">
        <f>COUNTBLANK(Metadata!B445:AD445)=COLUMNS(Metadata!B445:AD445)</f>
        <v>1</v>
      </c>
      <c r="AM445" t="str">
        <v/>
      </c>
      <c r="AO445" t="b">
        <f ca="1">AND(IF(Metadata!B445="",FALSE,TRUE),COUNTIF(Metadata!B:B, Metadata!B445) = 1,NOT(ISERROR(SUMPRODUCT(SEARCH(MID(Metadata!B445,ROW(INDIRECT("1:"&amp;LEN(Metadata!B445))), 1),"0123456789abcdefghijklmnopqrstuvwxyzABCDEFGHIJKLMNOPQRSTUVWXYZ.")))))</f>
        <v>0</v>
      </c>
      <c r="AP445" t="b">
        <f>IF(Metadata!C445="",FALSE,TRUE)</f>
        <v>0</v>
      </c>
      <c r="AQ445" t="b">
        <f>IF(Metadata!D445="",FALSE,TRUE)</f>
        <v>0</v>
      </c>
      <c r="AR445" t="b">
        <f ca="1">OR(AND(IF(Metadata!E445="",FALSE,TRUE),OR(EXACT(Metadata!E445,"not collected"),EXACT(Metadata!E445,"not provided"),EXACT(Metadata!E445,"restricted access"))),AND(IF(Metadata!E445="",FALSE,TRUE),AND(AND(IFERROR(INT(LEFT(Metadata!E445,4))&gt;1900,FALSE),IFERROR(INT(LEFT(Metadata!E445,4))&lt;=YEAR(NOW()),FALSE)), OR(MID(Metadata!E445,5,1)="", AND(AND(MID(Metadata!E445,5,1)="-",IFERROR(INT(MID(Metadata!E445,6,1))&gt;=0,FALSE),IFERROR(INT(MID(Metadata!E445,6,1))&lt;=1,FALSE),NOT(MID(Metadata!E445,7,1)=""),IFERROR(INT(MID(Metadata!E445,6,2))&gt;=1,FALSE),IFERROR(INT(MID(Metadata!E445,6,2))&lt;=12,FALSE)), OR(MID(Metadata!E445,8,1)="", AND(AND(MID(Metadata!E445,8,1)="-",IFERROR(INT(MID(Metadata!E445,9,1))&gt;=0,FALSE),IFERROR(INT(MID(Metadata!E445,9,1))&lt;=3,FALSE),NOT(MID(Metadata!E445,10,1)=""),IFERROR(INT(MID(Metadata!E445,9,2))&gt;=1,FALSE),IFERROR(INT(MID(Metadata!E445,9,2))&lt;=31,FALSE)), OR(MID(Metadata!E445,11,1)="", AND(AND(MID(Metadata!E445,11,1)=" ",IFERROR(INT(MID(Metadata!E445,12,1))&gt;=0,FALSE),IFERROR(INT(MID(Metadata!E445,12,1))&lt;=2,FALSE),NOT(MID(Metadata!E445,13,1)=""),IFERROR(INT(MID(Metadata!E445,12,2))&gt;=0,FALSE),IFERROR(INT(MID(Metadata!E445,12,2))&lt;=23,FALSE)), OR(MID(Metadata!E445,14,1)="", AND(AND(MID(Metadata!E445,14,1)=":",IFERROR(INT(MID(Metadata!E445,15,1))&gt;=0,FALSE),IFERROR(INT(MID(Metadata!E445,15,1))&lt;=5,FALSE),NOT(MID(Metadata!E445,16,1)=""),IFERROR(INT(MID(Metadata!E445,15,2))&gt;=0,FALSE),IFERROR(INT(MID(Metadata!E445,15,2))&lt;=59,FALSE)), OR(MID(Metadata!E445,17,1)="", AND(AND(MID(Metadata!E445,17,1)=":",IFERROR(INT(MID(Metadata!E445,18,1))&gt;=0,FALSE),IFERROR(INT(MID(Metadata!E445,18,1))&lt;=5,FALSE),NOT(MID(Metadata!E445,19,1)=""),IFERROR(INT(MID(Metadata!E445,18,2))&gt;=0,FALSE),IFERROR(INT(MID(Metadata!E445,18,2))&lt;=59,FALSE)), LEN(Metadata!E445)&lt;=19)))))))))))))</f>
        <v>0</v>
      </c>
      <c r="AS445" t="b">
        <f>IF(Metadata!F445="",FALSE,TRUE)</f>
        <v>0</v>
      </c>
      <c r="AT445" t="b">
        <f>OR(AND(IF(Metadata!G445="",FALSE,TRUE),OR(EXACT(Metadata!G445,"not collected"),EXACT(Metadata!G445,"not provided"))),AND(IF(Metadata!G445="",FALSE,TRUE),OR(EXACT(Metadata!G445,"TRUE"),EXACT(Metadata!G445,"FALSE"))))</f>
        <v>0</v>
      </c>
      <c r="AU445" t="b">
        <f>OR(AND(IF(Metadata!H445="",FALSE,TRUE),OR(EXACT(Metadata!H445,"not collected"),EXACT(Metadata!H445,"not provided"),EXACT(Metadata!H445,"restricted access"))),AND(IF(Metadata!H445="",FALSE,ISNUMBER(VALUE(Metadata!H445))),Metadata!H445&gt;=-413))</f>
        <v>0</v>
      </c>
      <c r="AV445" t="b">
        <f>AND(IF(Metadata!I445="",FALSE,TRUE),EXACT(Metadata!I445,"meters"))</f>
        <v>0</v>
      </c>
      <c r="AW445" t="b">
        <f>AND(IF(Metadata!J445="",FALSE,TRUE),EXACT(Metadata!J445,"free-living"))</f>
        <v>0</v>
      </c>
      <c r="AX445" t="b">
        <f>AND(IF(Metadata!K445="",FALSE,TRUE),OR(EXACT(Metadata!K445,"saline"),EXACT(Metadata!K445,"non-saline")))</f>
        <v>0</v>
      </c>
      <c r="AY445" t="b">
        <f>AND(IF(Metadata!L445="",FALSE,TRUE),OR(EXACT(Metadata!L445,"sub-surface (non-saline)"),EXACT(Metadata!L445,"surface (non-saline)"),EXACT(Metadata!L445,"water (non-saline)"),EXACT(Metadata!L445,"soil (non-saline)"),EXACT(Metadata!L445,"aerosol (non-saline)"),EXACT(Metadata!L445,"sediment (non-saline)"),EXACT(Metadata!L445,"surface (saline)"),EXACT(Metadata!L445,"water (saline)"),EXACT(Metadata!L445,"hypersaline (saline)"),EXACT(Metadata!L445,"aerosol (saline)"),EXACT(Metadata!L445,"sediment (saline)")))</f>
        <v>0</v>
      </c>
      <c r="AZ445" t="b">
        <f>IF(Metadata!M445="",FALSE,TRUE)</f>
        <v>0</v>
      </c>
      <c r="BA445" t="b">
        <f>IF(Metadata!N445="",FALSE,TRUE)</f>
        <v>0</v>
      </c>
      <c r="BB445" t="b">
        <f>IF(Metadata!O445="",FALSE,TRUE)</f>
        <v>0</v>
      </c>
      <c r="BC445" t="b">
        <f>AND(IF(Metadata!P445="",FALSE,TRUE),OR(EXACT(Metadata!P445,"air"),EXACT(Metadata!P445,"microbial mat/biofilm"),EXACT(Metadata!P445,"misc environment"),EXACT(Metadata!P445,"sediment"),EXACT(Metadata!P445,"soil"),EXACT(Metadata!P445,"wastewater/sludge"),EXACT(Metadata!P445,"water")))</f>
        <v>0</v>
      </c>
      <c r="BD445" t="b">
        <f>IF(Metadata!Q445="",FALSE,TRUE)</f>
        <v>0</v>
      </c>
      <c r="BE445" t="b">
        <f>IF(Metadata!R445="",FALSE,TRUE)</f>
        <v>0</v>
      </c>
      <c r="BF445" t="b">
        <f>OR(AND(IF(Metadata!S445="",FALSE,TRUE),OR(EXACT(Metadata!S445,"not collected"),EXACT(Metadata!S445,"not provided"),EXACT(Metadata!S445,"restricted access"))),AND(IF(Metadata!S445="",FALSE,ISNUMBER(VALUE(Metadata!S445))),Metadata!S445&gt;=-90,Metadata!S445&lt;=90))</f>
        <v>0</v>
      </c>
      <c r="BG445" t="b">
        <f>AND(IF(Metadata!T445="",FALSE,TRUE),EXACT(Metadata!T445,"Decimal degrees"))</f>
        <v>0</v>
      </c>
      <c r="BH445" t="b">
        <f>OR(AND(IF(Metadata!U445="",FALSE,TRUE),OR(EXACT(Metadata!U445,"not applicable"),EXACT(Metadata!U445,"not collected"))),IF(Metadata!U445="",FALSE,TRUE))</f>
        <v>0</v>
      </c>
      <c r="BI445" t="b">
        <f>OR(AND(IF(Metadata!V445="",FALSE,TRUE),OR(EXACT(Metadata!V445,"not collected"),EXACT(Metadata!V445,"not provided"),EXACT(Metadata!V445,"restricted access"))),AND(IF(Metadata!V445="",FALSE,ISNUMBER(VALUE(Metadata!V445))),Metadata!V445&gt;=-180,Metadata!V445&lt;=180))</f>
        <v>0</v>
      </c>
      <c r="BJ445" t="b">
        <f>AND(IF(Metadata!W445="",FALSE,TRUE),EXACT(Metadata!W445,"Decimal degrees"))</f>
        <v>0</v>
      </c>
      <c r="BK445" t="b">
        <f>IF(Metadata!X445="",FALSE,TRUE)</f>
        <v>0</v>
      </c>
      <c r="BL445" t="b">
        <f>OR(AND(IF(Metadata!Y445="",FALSE,TRUE),OR(EXACT(Metadata!Y445,"not collected"),EXACT(Metadata!Y445,"not provided"),EXACT(Metadata!Y445,"restricted access"))),AND(IF(Metadata!Y445="",FALSE,TRUE),OR(EXACT(Metadata!Y445,"TRUE"),EXACT(Metadata!Y445,"FALSE"))))</f>
        <v>0</v>
      </c>
      <c r="BM445" t="b">
        <f>OR(AND(IF(Metadata!Z445="",FALSE,TRUE),EXACT(Metadata!Z445,"not applicable")),AND(IF(Metadata!Z445="",FALSE,TRUE),OR(EXACT(Metadata!Z445,"beer"),EXACT(Metadata!Z445,"cheese"),EXACT(Metadata!Z445,"fresh water"),EXACT(Metadata!Z445,"marine sediment"),EXACT(Metadata!Z445,"sea water"),EXACT(Metadata!Z445,"sediment"),EXACT(Metadata!Z445,"soil"),EXACT(Metadata!Z445,"waste water"))))</f>
        <v>0</v>
      </c>
      <c r="BN445" t="b">
        <f>AND(IF(Metadata!AA445="",FALSE,TRUE),EXACT(Metadata!AA445,"metagenome"))</f>
        <v>0</v>
      </c>
      <c r="BO445" t="b">
        <f>AND(IF(Metadata!AB445="",FALSE,TRUE),EXACT(Metadata!AB445,"256318"))</f>
        <v>0</v>
      </c>
      <c r="BP445" t="b">
        <f>IF(Metadata!AC445="",FALSE,TRUE)</f>
        <v>0</v>
      </c>
      <c r="BQ445" t="b">
        <f>IF(Metadata!AD445="",FALSE,TRUE)</f>
        <v>0</v>
      </c>
    </row>
    <row r="446" spans="1:69" x14ac:dyDescent="0.2">
      <c r="A446" s="4" t="e">
        <f ca="1">IF(B446=" "," ",HYPERLINK(CONCATENATE("#metadata!",ADDRESS(INDEX($AJ$2:$AJ$1001,MATCH(ROWS($AH$2:AH446),$AH$2:$AH$1001,0),0),2)),INDEX($AM$2:$AM$1001,MATCH(ROWS($AH$2:AH446),$AH$2:$AH$1001,0),0)))</f>
        <v>#N/A</v>
      </c>
      <c r="B446" s="5" t="e">
        <f ca="1">IF(OR(INDEX($AI$2:$AI$1001,MATCH(ROWS($AH$2:AH446),$AH$2:$AH$1001,0),1)&gt;=100000,INDEX($AO$1005:$BQ$1005,1,MATCH(COLUMNS($AO$1006:AO1006),$AO$1006:$BQ$1006,0))&gt;=100000), " ",IF(INDEX($AO$2:$BQ$1001,MATCH(ROWS($AH$2:AH446),$AH$2:$AH$1001,0),MATCH(COLUMNS($AO$1006:AO1006),$AO$1006:$BQ$1006,0)), HYPERLINK("#",""), HYPERLINK(CONCATENATE("#Metadata!", ADDRESS(INDEX($AJ$2:$AJ$1001,MATCH(ROWS($AH$2:AH446),$AH$2:$AH$1001,0),0), INDEX($AO$1004:$BQ$1004,1,MATCH(COLUMNS($AO$1006:AO1006),$AO$1006:$BQ$1006,0)))),"Fix")))</f>
        <v>#N/A</v>
      </c>
      <c r="C446" s="5" t="e">
        <f ca="1">IF(OR(INDEX($AI$2:$AI$1001,MATCH(ROWS($AH$2:AH446),$AH$2:$AH$1001,0),1)&gt;=100000,INDEX($AO$1005:$BQ$1005,1,MATCH(COLUMNS($AO$1006:AP1006),$AO$1006:$BQ$1006,0))&gt;=100000), " ",IF(INDEX($AO$2:$BQ$1001,MATCH(ROWS($AH$2:AH446),$AH$2:$AH$1001,0),MATCH(COLUMNS($AO$1006:AP1006),$AO$1006:$BQ$1006,0)), HYPERLINK("#",""), HYPERLINK(CONCATENATE("#Metadata!", ADDRESS(INDEX($AJ$2:$AJ$1001,MATCH(ROWS($AH$2:AH446),$AH$2:$AH$1001,0),0), INDEX($AO$1004:$BQ$1004,1,MATCH(COLUMNS($AO$1006:AP1006),$AO$1006:$BQ$1006,0)))),"Fix")))</f>
        <v>#N/A</v>
      </c>
      <c r="D446" s="5" t="e">
        <f ca="1">IF(OR(INDEX($AI$2:$AI$1001,MATCH(ROWS($AH$2:AH446),$AH$2:$AH$1001,0),1)&gt;=100000,INDEX($AO$1005:$BQ$1005,1,MATCH(COLUMNS($AO$1006:AQ1006),$AO$1006:$BQ$1006,0))&gt;=100000), " ",IF(INDEX($AO$2:$BQ$1001,MATCH(ROWS($AH$2:AH446),$AH$2:$AH$1001,0),MATCH(COLUMNS($AO$1006:AQ1006),$AO$1006:$BQ$1006,0)), HYPERLINK("#",""), HYPERLINK(CONCATENATE("#Metadata!", ADDRESS(INDEX($AJ$2:$AJ$1001,MATCH(ROWS($AH$2:AH446),$AH$2:$AH$1001,0),0), INDEX($AO$1004:$BQ$1004,1,MATCH(COLUMNS($AO$1006:AQ1006),$AO$1006:$BQ$1006,0)))),"Fix")))</f>
        <v>#N/A</v>
      </c>
      <c r="E446" s="5" t="e">
        <f ca="1">IF(OR(INDEX($AI$2:$AI$1001,MATCH(ROWS($AH$2:AH446),$AH$2:$AH$1001,0),1)&gt;=100000,INDEX($AO$1005:$BQ$1005,1,MATCH(COLUMNS($AO$1006:AR1006),$AO$1006:$BQ$1006,0))&gt;=100000), " ",IF(INDEX($AO$2:$BQ$1001,MATCH(ROWS($AH$2:AH446),$AH$2:$AH$1001,0),MATCH(COLUMNS($AO$1006:AR1006),$AO$1006:$BQ$1006,0)), HYPERLINK("#",""), HYPERLINK(CONCATENATE("#Metadata!", ADDRESS(INDEX($AJ$2:$AJ$1001,MATCH(ROWS($AH$2:AH446),$AH$2:$AH$1001,0),0), INDEX($AO$1004:$BQ$1004,1,MATCH(COLUMNS($AO$1006:AR1006),$AO$1006:$BQ$1006,0)))),"Fix")))</f>
        <v>#N/A</v>
      </c>
      <c r="F446" s="5" t="e">
        <f ca="1">IF(OR(INDEX($AI$2:$AI$1001,MATCH(ROWS($AH$2:AH446),$AH$2:$AH$1001,0),1)&gt;=100000,INDEX($AO$1005:$BQ$1005,1,MATCH(COLUMNS($AO$1006:AS1006),$AO$1006:$BQ$1006,0))&gt;=100000), " ",IF(INDEX($AO$2:$BQ$1001,MATCH(ROWS($AH$2:AH446),$AH$2:$AH$1001,0),MATCH(COLUMNS($AO$1006:AS1006),$AO$1006:$BQ$1006,0)), HYPERLINK("#",""), HYPERLINK(CONCATENATE("#Metadata!", ADDRESS(INDEX($AJ$2:$AJ$1001,MATCH(ROWS($AH$2:AH446),$AH$2:$AH$1001,0),0), INDEX($AO$1004:$BQ$1004,1,MATCH(COLUMNS($AO$1006:AS1006),$AO$1006:$BQ$1006,0)))),"Fix")))</f>
        <v>#N/A</v>
      </c>
      <c r="G446" s="5" t="e">
        <f ca="1">IF(OR(INDEX($AI$2:$AI$1001,MATCH(ROWS($AH$2:AH446),$AH$2:$AH$1001,0),1)&gt;=100000,INDEX($AO$1005:$BQ$1005,1,MATCH(COLUMNS($AO$1006:AT1006),$AO$1006:$BQ$1006,0))&gt;=100000), " ",IF(INDEX($AO$2:$BQ$1001,MATCH(ROWS($AH$2:AH446),$AH$2:$AH$1001,0),MATCH(COLUMNS($AO$1006:AT1006),$AO$1006:$BQ$1006,0)), HYPERLINK("#",""), HYPERLINK(CONCATENATE("#Metadata!", ADDRESS(INDEX($AJ$2:$AJ$1001,MATCH(ROWS($AH$2:AH446),$AH$2:$AH$1001,0),0), INDEX($AO$1004:$BQ$1004,1,MATCH(COLUMNS($AO$1006:AT1006),$AO$1006:$BQ$1006,0)))),"Fix")))</f>
        <v>#N/A</v>
      </c>
      <c r="H446" s="5" t="e">
        <f ca="1">IF(OR(INDEX($AI$2:$AI$1001,MATCH(ROWS($AH$2:AH446),$AH$2:$AH$1001,0),1)&gt;=100000,INDEX($AO$1005:$BQ$1005,1,MATCH(COLUMNS($AO$1006:AU1006),$AO$1006:$BQ$1006,0))&gt;=100000), " ",IF(INDEX($AO$2:$BQ$1001,MATCH(ROWS($AH$2:AH446),$AH$2:$AH$1001,0),MATCH(COLUMNS($AO$1006:AU1006),$AO$1006:$BQ$1006,0)), HYPERLINK("#",""), HYPERLINK(CONCATENATE("#Metadata!", ADDRESS(INDEX($AJ$2:$AJ$1001,MATCH(ROWS($AH$2:AH446),$AH$2:$AH$1001,0),0), INDEX($AO$1004:$BQ$1004,1,MATCH(COLUMNS($AO$1006:AU1006),$AO$1006:$BQ$1006,0)))),"Fix")))</f>
        <v>#N/A</v>
      </c>
      <c r="I446" s="5" t="e">
        <f ca="1">IF(OR(INDEX($AI$2:$AI$1001,MATCH(ROWS($AH$2:AH446),$AH$2:$AH$1001,0),1)&gt;=100000,INDEX($AO$1005:$BQ$1005,1,MATCH(COLUMNS($AO$1006:AV1006),$AO$1006:$BQ$1006,0))&gt;=100000), " ",IF(INDEX($AO$2:$BQ$1001,MATCH(ROWS($AH$2:AH446),$AH$2:$AH$1001,0),MATCH(COLUMNS($AO$1006:AV1006),$AO$1006:$BQ$1006,0)), HYPERLINK("#",""), HYPERLINK(CONCATENATE("#Metadata!", ADDRESS(INDEX($AJ$2:$AJ$1001,MATCH(ROWS($AH$2:AH446),$AH$2:$AH$1001,0),0), INDEX($AO$1004:$BQ$1004,1,MATCH(COLUMNS($AO$1006:AV1006),$AO$1006:$BQ$1006,0)))),"Fix")))</f>
        <v>#N/A</v>
      </c>
      <c r="J446" s="5" t="e">
        <f ca="1">IF(OR(INDEX($AI$2:$AI$1001,MATCH(ROWS($AH$2:AH446),$AH$2:$AH$1001,0),1)&gt;=100000,INDEX($AO$1005:$BQ$1005,1,MATCH(COLUMNS($AO$1006:AW1006),$AO$1006:$BQ$1006,0))&gt;=100000), " ",IF(INDEX($AO$2:$BQ$1001,MATCH(ROWS($AH$2:AH446),$AH$2:$AH$1001,0),MATCH(COLUMNS($AO$1006:AW1006),$AO$1006:$BQ$1006,0)), HYPERLINK("#",""), HYPERLINK(CONCATENATE("#Metadata!", ADDRESS(INDEX($AJ$2:$AJ$1001,MATCH(ROWS($AH$2:AH446),$AH$2:$AH$1001,0),0), INDEX($AO$1004:$BQ$1004,1,MATCH(COLUMNS($AO$1006:AW1006),$AO$1006:$BQ$1006,0)))),"Fix")))</f>
        <v>#N/A</v>
      </c>
      <c r="K446" s="5" t="e">
        <f ca="1">IF(OR(INDEX($AI$2:$AI$1001,MATCH(ROWS($AH$2:AH446),$AH$2:$AH$1001,0),1)&gt;=100000,INDEX($AO$1005:$BQ$1005,1,MATCH(COLUMNS($AO$1006:AX1006),$AO$1006:$BQ$1006,0))&gt;=100000), " ",IF(INDEX($AO$2:$BQ$1001,MATCH(ROWS($AH$2:AH446),$AH$2:$AH$1001,0),MATCH(COLUMNS($AO$1006:AX1006),$AO$1006:$BQ$1006,0)), HYPERLINK("#",""), HYPERLINK(CONCATENATE("#Metadata!", ADDRESS(INDEX($AJ$2:$AJ$1001,MATCH(ROWS($AH$2:AH446),$AH$2:$AH$1001,0),0), INDEX($AO$1004:$BQ$1004,1,MATCH(COLUMNS($AO$1006:AX1006),$AO$1006:$BQ$1006,0)))),"Fix")))</f>
        <v>#N/A</v>
      </c>
      <c r="L446" s="5" t="e">
        <f ca="1">IF(OR(INDEX($AI$2:$AI$1001,MATCH(ROWS($AH$2:AH446),$AH$2:$AH$1001,0),1)&gt;=100000,INDEX($AO$1005:$BQ$1005,1,MATCH(COLUMNS($AO$1006:AY1006),$AO$1006:$BQ$1006,0))&gt;=100000), " ",IF(INDEX($AO$2:$BQ$1001,MATCH(ROWS($AH$2:AH446),$AH$2:$AH$1001,0),MATCH(COLUMNS($AO$1006:AY1006),$AO$1006:$BQ$1006,0)), HYPERLINK("#",""), HYPERLINK(CONCATENATE("#Metadata!", ADDRESS(INDEX($AJ$2:$AJ$1001,MATCH(ROWS($AH$2:AH446),$AH$2:$AH$1001,0),0), INDEX($AO$1004:$BQ$1004,1,MATCH(COLUMNS($AO$1006:AY1006),$AO$1006:$BQ$1006,0)))),"Fix")))</f>
        <v>#N/A</v>
      </c>
      <c r="M446" s="5" t="e">
        <f ca="1">IF(OR(INDEX($AI$2:$AI$1001,MATCH(ROWS($AH$2:AH446),$AH$2:$AH$1001,0),1)&gt;=100000,INDEX($AO$1005:$BQ$1005,1,MATCH(COLUMNS($AO$1006:AZ1006),$AO$1006:$BQ$1006,0))&gt;=100000), " ",IF(INDEX($AO$2:$BQ$1001,MATCH(ROWS($AH$2:AH446),$AH$2:$AH$1001,0),MATCH(COLUMNS($AO$1006:AZ1006),$AO$1006:$BQ$1006,0)), HYPERLINK("#",""), HYPERLINK(CONCATENATE("#Metadata!", ADDRESS(INDEX($AJ$2:$AJ$1001,MATCH(ROWS($AH$2:AH446),$AH$2:$AH$1001,0),0), INDEX($AO$1004:$BQ$1004,1,MATCH(COLUMNS($AO$1006:AZ1006),$AO$1006:$BQ$1006,0)))),"Fix")))</f>
        <v>#N/A</v>
      </c>
      <c r="N446" s="5" t="e">
        <f ca="1">IF(OR(INDEX($AI$2:$AI$1001,MATCH(ROWS($AH$2:AH446),$AH$2:$AH$1001,0),1)&gt;=100000,INDEX($AO$1005:$BQ$1005,1,MATCH(COLUMNS($AO$1006:BA1006),$AO$1006:$BQ$1006,0))&gt;=100000), " ",IF(INDEX($AO$2:$BQ$1001,MATCH(ROWS($AH$2:AH446),$AH$2:$AH$1001,0),MATCH(COLUMNS($AO$1006:BA1006),$AO$1006:$BQ$1006,0)), HYPERLINK("#",""), HYPERLINK(CONCATENATE("#Metadata!", ADDRESS(INDEX($AJ$2:$AJ$1001,MATCH(ROWS($AH$2:AH446),$AH$2:$AH$1001,0),0), INDEX($AO$1004:$BQ$1004,1,MATCH(COLUMNS($AO$1006:BA1006),$AO$1006:$BQ$1006,0)))),"Fix")))</f>
        <v>#N/A</v>
      </c>
      <c r="O446" s="5" t="e">
        <f ca="1">IF(OR(INDEX($AI$2:$AI$1001,MATCH(ROWS($AH$2:AH446),$AH$2:$AH$1001,0),1)&gt;=100000,INDEX($AO$1005:$BQ$1005,1,MATCH(COLUMNS($AO$1006:BB1006),$AO$1006:$BQ$1006,0))&gt;=100000), " ",IF(INDEX($AO$2:$BQ$1001,MATCH(ROWS($AH$2:AH446),$AH$2:$AH$1001,0),MATCH(COLUMNS($AO$1006:BB1006),$AO$1006:$BQ$1006,0)), HYPERLINK("#",""), HYPERLINK(CONCATENATE("#Metadata!", ADDRESS(INDEX($AJ$2:$AJ$1001,MATCH(ROWS($AH$2:AH446),$AH$2:$AH$1001,0),0), INDEX($AO$1004:$BQ$1004,1,MATCH(COLUMNS($AO$1006:BB1006),$AO$1006:$BQ$1006,0)))),"Fix")))</f>
        <v>#N/A</v>
      </c>
      <c r="P446" s="5" t="e">
        <f ca="1">IF(OR(INDEX($AI$2:$AI$1001,MATCH(ROWS($AH$2:AH446),$AH$2:$AH$1001,0),1)&gt;=100000,INDEX($AO$1005:$BQ$1005,1,MATCH(COLUMNS($AO$1006:BC1006),$AO$1006:$BQ$1006,0))&gt;=100000), " ",IF(INDEX($AO$2:$BQ$1001,MATCH(ROWS($AH$2:AH446),$AH$2:$AH$1001,0),MATCH(COLUMNS($AO$1006:BC1006),$AO$1006:$BQ$1006,0)), HYPERLINK("#",""), HYPERLINK(CONCATENATE("#Metadata!", ADDRESS(INDEX($AJ$2:$AJ$1001,MATCH(ROWS($AH$2:AH446),$AH$2:$AH$1001,0),0), INDEX($AO$1004:$BQ$1004,1,MATCH(COLUMNS($AO$1006:BC1006),$AO$1006:$BQ$1006,0)))),"Fix")))</f>
        <v>#N/A</v>
      </c>
      <c r="Q446" s="5" t="e">
        <f ca="1">IF(OR(INDEX($AI$2:$AI$1001,MATCH(ROWS($AH$2:AH446),$AH$2:$AH$1001,0),1)&gt;=100000,INDEX($AO$1005:$BQ$1005,1,MATCH(COLUMNS($AO$1006:BD1006),$AO$1006:$BQ$1006,0))&gt;=100000), " ",IF(INDEX($AO$2:$BQ$1001,MATCH(ROWS($AH$2:AH446),$AH$2:$AH$1001,0),MATCH(COLUMNS($AO$1006:BD1006),$AO$1006:$BQ$1006,0)), HYPERLINK("#",""), HYPERLINK(CONCATENATE("#Metadata!", ADDRESS(INDEX($AJ$2:$AJ$1001,MATCH(ROWS($AH$2:AH446),$AH$2:$AH$1001,0),0), INDEX($AO$1004:$BQ$1004,1,MATCH(COLUMNS($AO$1006:BD1006),$AO$1006:$BQ$1006,0)))),"Fix")))</f>
        <v>#N/A</v>
      </c>
      <c r="R446" s="5" t="e">
        <f ca="1">IF(OR(INDEX($AI$2:$AI$1001,MATCH(ROWS($AH$2:AH446),$AH$2:$AH$1001,0),1)&gt;=100000,INDEX($AO$1005:$BQ$1005,1,MATCH(COLUMNS($AO$1006:BE1006),$AO$1006:$BQ$1006,0))&gt;=100000), " ",IF(INDEX($AO$2:$BQ$1001,MATCH(ROWS($AH$2:AH446),$AH$2:$AH$1001,0),MATCH(COLUMNS($AO$1006:BE1006),$AO$1006:$BQ$1006,0)), HYPERLINK("#",""), HYPERLINK(CONCATENATE("#Metadata!", ADDRESS(INDEX($AJ$2:$AJ$1001,MATCH(ROWS($AH$2:AH446),$AH$2:$AH$1001,0),0), INDEX($AO$1004:$BQ$1004,1,MATCH(COLUMNS($AO$1006:BE1006),$AO$1006:$BQ$1006,0)))),"Fix")))</f>
        <v>#N/A</v>
      </c>
      <c r="S446" s="5" t="e">
        <f ca="1">IF(OR(INDEX($AI$2:$AI$1001,MATCH(ROWS($AH$2:AH446),$AH$2:$AH$1001,0),1)&gt;=100000,INDEX($AO$1005:$BQ$1005,1,MATCH(COLUMNS($AO$1006:BF1006),$AO$1006:$BQ$1006,0))&gt;=100000), " ",IF(INDEX($AO$2:$BQ$1001,MATCH(ROWS($AH$2:AH446),$AH$2:$AH$1001,0),MATCH(COLUMNS($AO$1006:BF1006),$AO$1006:$BQ$1006,0)), HYPERLINK("#",""), HYPERLINK(CONCATENATE("#Metadata!", ADDRESS(INDEX($AJ$2:$AJ$1001,MATCH(ROWS($AH$2:AH446),$AH$2:$AH$1001,0),0), INDEX($AO$1004:$BQ$1004,1,MATCH(COLUMNS($AO$1006:BF1006),$AO$1006:$BQ$1006,0)))),"Fix")))</f>
        <v>#N/A</v>
      </c>
      <c r="T446" s="5" t="e">
        <f ca="1">IF(OR(INDEX($AI$2:$AI$1001,MATCH(ROWS($AH$2:AH446),$AH$2:$AH$1001,0),1)&gt;=100000,INDEX($AO$1005:$BQ$1005,1,MATCH(COLUMNS($AO$1006:BG1006),$AO$1006:$BQ$1006,0))&gt;=100000), " ",IF(INDEX($AO$2:$BQ$1001,MATCH(ROWS($AH$2:AH446),$AH$2:$AH$1001,0),MATCH(COLUMNS($AO$1006:BG1006),$AO$1006:$BQ$1006,0)), HYPERLINK("#",""), HYPERLINK(CONCATENATE("#Metadata!", ADDRESS(INDEX($AJ$2:$AJ$1001,MATCH(ROWS($AH$2:AH446),$AH$2:$AH$1001,0),0), INDEX($AO$1004:$BQ$1004,1,MATCH(COLUMNS($AO$1006:BG1006),$AO$1006:$BQ$1006,0)))),"Fix")))</f>
        <v>#N/A</v>
      </c>
      <c r="U446" s="5" t="e">
        <f ca="1">IF(OR(INDEX($AI$2:$AI$1001,MATCH(ROWS($AH$2:AH446),$AH$2:$AH$1001,0),1)&gt;=100000,INDEX($AO$1005:$BQ$1005,1,MATCH(COLUMNS($AO$1006:BH1006),$AO$1006:$BQ$1006,0))&gt;=100000), " ",IF(INDEX($AO$2:$BQ$1001,MATCH(ROWS($AH$2:AH446),$AH$2:$AH$1001,0),MATCH(COLUMNS($AO$1006:BH1006),$AO$1006:$BQ$1006,0)), HYPERLINK("#",""), HYPERLINK(CONCATENATE("#Metadata!", ADDRESS(INDEX($AJ$2:$AJ$1001,MATCH(ROWS($AH$2:AH446),$AH$2:$AH$1001,0),0), INDEX($AO$1004:$BQ$1004,1,MATCH(COLUMNS($AO$1006:BH1006),$AO$1006:$BQ$1006,0)))),"Fix")))</f>
        <v>#N/A</v>
      </c>
      <c r="V446" s="5" t="e">
        <f ca="1">IF(OR(INDEX($AI$2:$AI$1001,MATCH(ROWS($AH$2:AH446),$AH$2:$AH$1001,0),1)&gt;=100000,INDEX($AO$1005:$BQ$1005,1,MATCH(COLUMNS($AO$1006:BI1006),$AO$1006:$BQ$1006,0))&gt;=100000), " ",IF(INDEX($AO$2:$BQ$1001,MATCH(ROWS($AH$2:AH446),$AH$2:$AH$1001,0),MATCH(COLUMNS($AO$1006:BI1006),$AO$1006:$BQ$1006,0)), HYPERLINK("#",""), HYPERLINK(CONCATENATE("#Metadata!", ADDRESS(INDEX($AJ$2:$AJ$1001,MATCH(ROWS($AH$2:AH446),$AH$2:$AH$1001,0),0), INDEX($AO$1004:$BQ$1004,1,MATCH(COLUMNS($AO$1006:BI1006),$AO$1006:$BQ$1006,0)))),"Fix")))</f>
        <v>#N/A</v>
      </c>
      <c r="W446" s="5" t="e">
        <f ca="1">IF(OR(INDEX($AI$2:$AI$1001,MATCH(ROWS($AH$2:AH446),$AH$2:$AH$1001,0),1)&gt;=100000,INDEX($AO$1005:$BQ$1005,1,MATCH(COLUMNS($AO$1006:BJ1006),$AO$1006:$BQ$1006,0))&gt;=100000), " ",IF(INDEX($AO$2:$BQ$1001,MATCH(ROWS($AH$2:AH446),$AH$2:$AH$1001,0),MATCH(COLUMNS($AO$1006:BJ1006),$AO$1006:$BQ$1006,0)), HYPERLINK("#",""), HYPERLINK(CONCATENATE("#Metadata!", ADDRESS(INDEX($AJ$2:$AJ$1001,MATCH(ROWS($AH$2:AH446),$AH$2:$AH$1001,0),0), INDEX($AO$1004:$BQ$1004,1,MATCH(COLUMNS($AO$1006:BJ1006),$AO$1006:$BQ$1006,0)))),"Fix")))</f>
        <v>#N/A</v>
      </c>
      <c r="X446" s="5" t="e">
        <f ca="1">IF(OR(INDEX($AI$2:$AI$1001,MATCH(ROWS($AH$2:AH446),$AH$2:$AH$1001,0),1)&gt;=100000,INDEX($AO$1005:$BQ$1005,1,MATCH(COLUMNS($AO$1006:BK1006),$AO$1006:$BQ$1006,0))&gt;=100000), " ",IF(INDEX($AO$2:$BQ$1001,MATCH(ROWS($AH$2:AH446),$AH$2:$AH$1001,0),MATCH(COLUMNS($AO$1006:BK1006),$AO$1006:$BQ$1006,0)), HYPERLINK("#",""), HYPERLINK(CONCATENATE("#Metadata!", ADDRESS(INDEX($AJ$2:$AJ$1001,MATCH(ROWS($AH$2:AH446),$AH$2:$AH$1001,0),0), INDEX($AO$1004:$BQ$1004,1,MATCH(COLUMNS($AO$1006:BK1006),$AO$1006:$BQ$1006,0)))),"Fix")))</f>
        <v>#N/A</v>
      </c>
      <c r="Y446" s="5" t="e">
        <f ca="1">IF(OR(INDEX($AI$2:$AI$1001,MATCH(ROWS($AH$2:AH446),$AH$2:$AH$1001,0),1)&gt;=100000,INDEX($AO$1005:$BQ$1005,1,MATCH(COLUMNS($AO$1006:BL1006),$AO$1006:$BQ$1006,0))&gt;=100000), " ",IF(INDEX($AO$2:$BQ$1001,MATCH(ROWS($AH$2:AH446),$AH$2:$AH$1001,0),MATCH(COLUMNS($AO$1006:BL1006),$AO$1006:$BQ$1006,0)), HYPERLINK("#",""), HYPERLINK(CONCATENATE("#Metadata!", ADDRESS(INDEX($AJ$2:$AJ$1001,MATCH(ROWS($AH$2:AH446),$AH$2:$AH$1001,0),0), INDEX($AO$1004:$BQ$1004,1,MATCH(COLUMNS($AO$1006:BL1006),$AO$1006:$BQ$1006,0)))),"Fix")))</f>
        <v>#N/A</v>
      </c>
      <c r="Z446" s="5" t="e">
        <f ca="1">IF(OR(INDEX($AI$2:$AI$1001,MATCH(ROWS($AH$2:AH446),$AH$2:$AH$1001,0),1)&gt;=100000,INDEX($AO$1005:$BQ$1005,1,MATCH(COLUMNS($AO$1006:BM1006),$AO$1006:$BQ$1006,0))&gt;=100000), " ",IF(INDEX($AO$2:$BQ$1001,MATCH(ROWS($AH$2:AH446),$AH$2:$AH$1001,0),MATCH(COLUMNS($AO$1006:BM1006),$AO$1006:$BQ$1006,0)), HYPERLINK("#",""), HYPERLINK(CONCATENATE("#Metadata!", ADDRESS(INDEX($AJ$2:$AJ$1001,MATCH(ROWS($AH$2:AH446),$AH$2:$AH$1001,0),0), INDEX($AO$1004:$BQ$1004,1,MATCH(COLUMNS($AO$1006:BM1006),$AO$1006:$BQ$1006,0)))),"Fix")))</f>
        <v>#N/A</v>
      </c>
      <c r="AA446" s="5" t="e">
        <f ca="1">IF(OR(INDEX($AI$2:$AI$1001,MATCH(ROWS($AH$2:AH446),$AH$2:$AH$1001,0),1)&gt;=100000,INDEX($AO$1005:$BQ$1005,1,MATCH(COLUMNS($AO$1006:BN1006),$AO$1006:$BQ$1006,0))&gt;=100000), " ",IF(INDEX($AO$2:$BQ$1001,MATCH(ROWS($AH$2:AH446),$AH$2:$AH$1001,0),MATCH(COLUMNS($AO$1006:BN1006),$AO$1006:$BQ$1006,0)), HYPERLINK("#",""), HYPERLINK(CONCATENATE("#Metadata!", ADDRESS(INDEX($AJ$2:$AJ$1001,MATCH(ROWS($AH$2:AH446),$AH$2:$AH$1001,0),0), INDEX($AO$1004:$BQ$1004,1,MATCH(COLUMNS($AO$1006:BN1006),$AO$1006:$BQ$1006,0)))),"Fix")))</f>
        <v>#N/A</v>
      </c>
      <c r="AB446" s="5" t="e">
        <f ca="1">IF(OR(INDEX($AI$2:$AI$1001,MATCH(ROWS($AH$2:AH446),$AH$2:$AH$1001,0),1)&gt;=100000,INDEX($AO$1005:$BQ$1005,1,MATCH(COLUMNS($AO$1006:BO1006),$AO$1006:$BQ$1006,0))&gt;=100000), " ",IF(INDEX($AO$2:$BQ$1001,MATCH(ROWS($AH$2:AH446),$AH$2:$AH$1001,0),MATCH(COLUMNS($AO$1006:BO1006),$AO$1006:$BQ$1006,0)), HYPERLINK("#",""), HYPERLINK(CONCATENATE("#Metadata!", ADDRESS(INDEX($AJ$2:$AJ$1001,MATCH(ROWS($AH$2:AH446),$AH$2:$AH$1001,0),0), INDEX($AO$1004:$BQ$1004,1,MATCH(COLUMNS($AO$1006:BO1006),$AO$1006:$BQ$1006,0)))),"Fix")))</f>
        <v>#N/A</v>
      </c>
      <c r="AC446" s="5" t="e">
        <f ca="1">IF(OR(INDEX($AI$2:$AI$1001,MATCH(ROWS($AH$2:AH446),$AH$2:$AH$1001,0),1)&gt;=100000,INDEX($AO$1005:$BQ$1005,1,MATCH(COLUMNS($AO$1006:BP1006),$AO$1006:$BQ$1006,0))&gt;=100000), " ",IF(INDEX($AO$2:$BQ$1001,MATCH(ROWS($AH$2:AH446),$AH$2:$AH$1001,0),MATCH(COLUMNS($AO$1006:BP1006),$AO$1006:$BQ$1006,0)), HYPERLINK("#",""), HYPERLINK(CONCATENATE("#Metadata!", ADDRESS(INDEX($AJ$2:$AJ$1001,MATCH(ROWS($AH$2:AH446),$AH$2:$AH$1001,0),0), INDEX($AO$1004:$BQ$1004,1,MATCH(COLUMNS($AO$1006:BP1006),$AO$1006:$BQ$1006,0)))),"Fix")))</f>
        <v>#N/A</v>
      </c>
      <c r="AD446" s="5" t="e">
        <f ca="1">IF(OR(INDEX($AI$2:$AI$1001,MATCH(ROWS($AH$2:AH446),$AH$2:$AH$1001,0),1)&gt;=100000,INDEX($AO$1005:$BQ$1005,1,MATCH(COLUMNS($AO$1006:BQ1006),$AO$1006:$BQ$1006,0))&gt;=100000), " ",IF(INDEX($AO$2:$BQ$1001,MATCH(ROWS($AH$2:AH446),$AH$2:$AH$1001,0),MATCH(COLUMNS($AO$1006:BQ1006),$AO$1006:$BQ$1006,0)), HYPERLINK("#",""), HYPERLINK(CONCATENATE("#Metadata!", ADDRESS(INDEX($AJ$2:$AJ$1001,MATCH(ROWS($AH$2:AH446),$AH$2:$AH$1001,0),0), INDEX($AO$1004:$BQ$1004,1,MATCH(COLUMNS($AO$1006:BQ1006),$AO$1006:$BQ$1006,0)))),"Fix")))</f>
        <v>#REF!</v>
      </c>
      <c r="AH446">
        <f ca="1"/>
        <v>443</v>
      </c>
      <c r="AI446">
        <v>100446</v>
      </c>
      <c r="AJ446">
        <v>446</v>
      </c>
      <c r="AK446" t="b">
        <f t="shared" si="6"/>
        <v>1</v>
      </c>
      <c r="AL446" t="b">
        <f>COUNTBLANK(Metadata!B446:AD446)=COLUMNS(Metadata!B446:AD446)</f>
        <v>1</v>
      </c>
      <c r="AM446" t="str">
        <v/>
      </c>
      <c r="AO446" t="b">
        <f ca="1">AND(IF(Metadata!B446="",FALSE,TRUE),COUNTIF(Metadata!B:B, Metadata!B446) = 1,NOT(ISERROR(SUMPRODUCT(SEARCH(MID(Metadata!B446,ROW(INDIRECT("1:"&amp;LEN(Metadata!B446))), 1),"0123456789abcdefghijklmnopqrstuvwxyzABCDEFGHIJKLMNOPQRSTUVWXYZ.")))))</f>
        <v>0</v>
      </c>
      <c r="AP446" t="b">
        <f>IF(Metadata!C446="",FALSE,TRUE)</f>
        <v>0</v>
      </c>
      <c r="AQ446" t="b">
        <f>IF(Metadata!D446="",FALSE,TRUE)</f>
        <v>0</v>
      </c>
      <c r="AR446" t="b">
        <f ca="1">OR(AND(IF(Metadata!E446="",FALSE,TRUE),OR(EXACT(Metadata!E446,"not collected"),EXACT(Metadata!E446,"not provided"),EXACT(Metadata!E446,"restricted access"))),AND(IF(Metadata!E446="",FALSE,TRUE),AND(AND(IFERROR(INT(LEFT(Metadata!E446,4))&gt;1900,FALSE),IFERROR(INT(LEFT(Metadata!E446,4))&lt;=YEAR(NOW()),FALSE)), OR(MID(Metadata!E446,5,1)="", AND(AND(MID(Metadata!E446,5,1)="-",IFERROR(INT(MID(Metadata!E446,6,1))&gt;=0,FALSE),IFERROR(INT(MID(Metadata!E446,6,1))&lt;=1,FALSE),NOT(MID(Metadata!E446,7,1)=""),IFERROR(INT(MID(Metadata!E446,6,2))&gt;=1,FALSE),IFERROR(INT(MID(Metadata!E446,6,2))&lt;=12,FALSE)), OR(MID(Metadata!E446,8,1)="", AND(AND(MID(Metadata!E446,8,1)="-",IFERROR(INT(MID(Metadata!E446,9,1))&gt;=0,FALSE),IFERROR(INT(MID(Metadata!E446,9,1))&lt;=3,FALSE),NOT(MID(Metadata!E446,10,1)=""),IFERROR(INT(MID(Metadata!E446,9,2))&gt;=1,FALSE),IFERROR(INT(MID(Metadata!E446,9,2))&lt;=31,FALSE)), OR(MID(Metadata!E446,11,1)="", AND(AND(MID(Metadata!E446,11,1)=" ",IFERROR(INT(MID(Metadata!E446,12,1))&gt;=0,FALSE),IFERROR(INT(MID(Metadata!E446,12,1))&lt;=2,FALSE),NOT(MID(Metadata!E446,13,1)=""),IFERROR(INT(MID(Metadata!E446,12,2))&gt;=0,FALSE),IFERROR(INT(MID(Metadata!E446,12,2))&lt;=23,FALSE)), OR(MID(Metadata!E446,14,1)="", AND(AND(MID(Metadata!E446,14,1)=":",IFERROR(INT(MID(Metadata!E446,15,1))&gt;=0,FALSE),IFERROR(INT(MID(Metadata!E446,15,1))&lt;=5,FALSE),NOT(MID(Metadata!E446,16,1)=""),IFERROR(INT(MID(Metadata!E446,15,2))&gt;=0,FALSE),IFERROR(INT(MID(Metadata!E446,15,2))&lt;=59,FALSE)), OR(MID(Metadata!E446,17,1)="", AND(AND(MID(Metadata!E446,17,1)=":",IFERROR(INT(MID(Metadata!E446,18,1))&gt;=0,FALSE),IFERROR(INT(MID(Metadata!E446,18,1))&lt;=5,FALSE),NOT(MID(Metadata!E446,19,1)=""),IFERROR(INT(MID(Metadata!E446,18,2))&gt;=0,FALSE),IFERROR(INT(MID(Metadata!E446,18,2))&lt;=59,FALSE)), LEN(Metadata!E446)&lt;=19)))))))))))))</f>
        <v>0</v>
      </c>
      <c r="AS446" t="b">
        <f>IF(Metadata!F446="",FALSE,TRUE)</f>
        <v>0</v>
      </c>
      <c r="AT446" t="b">
        <f>OR(AND(IF(Metadata!G446="",FALSE,TRUE),OR(EXACT(Metadata!G446,"not collected"),EXACT(Metadata!G446,"not provided"))),AND(IF(Metadata!G446="",FALSE,TRUE),OR(EXACT(Metadata!G446,"TRUE"),EXACT(Metadata!G446,"FALSE"))))</f>
        <v>0</v>
      </c>
      <c r="AU446" t="b">
        <f>OR(AND(IF(Metadata!H446="",FALSE,TRUE),OR(EXACT(Metadata!H446,"not collected"),EXACT(Metadata!H446,"not provided"),EXACT(Metadata!H446,"restricted access"))),AND(IF(Metadata!H446="",FALSE,ISNUMBER(VALUE(Metadata!H446))),Metadata!H446&gt;=-413))</f>
        <v>0</v>
      </c>
      <c r="AV446" t="b">
        <f>AND(IF(Metadata!I446="",FALSE,TRUE),EXACT(Metadata!I446,"meters"))</f>
        <v>0</v>
      </c>
      <c r="AW446" t="b">
        <f>AND(IF(Metadata!J446="",FALSE,TRUE),EXACT(Metadata!J446,"free-living"))</f>
        <v>0</v>
      </c>
      <c r="AX446" t="b">
        <f>AND(IF(Metadata!K446="",FALSE,TRUE),OR(EXACT(Metadata!K446,"saline"),EXACT(Metadata!K446,"non-saline")))</f>
        <v>0</v>
      </c>
      <c r="AY446" t="b">
        <f>AND(IF(Metadata!L446="",FALSE,TRUE),OR(EXACT(Metadata!L446,"sub-surface (non-saline)"),EXACT(Metadata!L446,"surface (non-saline)"),EXACT(Metadata!L446,"water (non-saline)"),EXACT(Metadata!L446,"soil (non-saline)"),EXACT(Metadata!L446,"aerosol (non-saline)"),EXACT(Metadata!L446,"sediment (non-saline)"),EXACT(Metadata!L446,"surface (saline)"),EXACT(Metadata!L446,"water (saline)"),EXACT(Metadata!L446,"hypersaline (saline)"),EXACT(Metadata!L446,"aerosol (saline)"),EXACT(Metadata!L446,"sediment (saline)")))</f>
        <v>0</v>
      </c>
      <c r="AZ446" t="b">
        <f>IF(Metadata!M446="",FALSE,TRUE)</f>
        <v>0</v>
      </c>
      <c r="BA446" t="b">
        <f>IF(Metadata!N446="",FALSE,TRUE)</f>
        <v>0</v>
      </c>
      <c r="BB446" t="b">
        <f>IF(Metadata!O446="",FALSE,TRUE)</f>
        <v>0</v>
      </c>
      <c r="BC446" t="b">
        <f>AND(IF(Metadata!P446="",FALSE,TRUE),OR(EXACT(Metadata!P446,"air"),EXACT(Metadata!P446,"microbial mat/biofilm"),EXACT(Metadata!P446,"misc environment"),EXACT(Metadata!P446,"sediment"),EXACT(Metadata!P446,"soil"),EXACT(Metadata!P446,"wastewater/sludge"),EXACT(Metadata!P446,"water")))</f>
        <v>0</v>
      </c>
      <c r="BD446" t="b">
        <f>IF(Metadata!Q446="",FALSE,TRUE)</f>
        <v>0</v>
      </c>
      <c r="BE446" t="b">
        <f>IF(Metadata!R446="",FALSE,TRUE)</f>
        <v>0</v>
      </c>
      <c r="BF446" t="b">
        <f>OR(AND(IF(Metadata!S446="",FALSE,TRUE),OR(EXACT(Metadata!S446,"not collected"),EXACT(Metadata!S446,"not provided"),EXACT(Metadata!S446,"restricted access"))),AND(IF(Metadata!S446="",FALSE,ISNUMBER(VALUE(Metadata!S446))),Metadata!S446&gt;=-90,Metadata!S446&lt;=90))</f>
        <v>0</v>
      </c>
      <c r="BG446" t="b">
        <f>AND(IF(Metadata!T446="",FALSE,TRUE),EXACT(Metadata!T446,"Decimal degrees"))</f>
        <v>0</v>
      </c>
      <c r="BH446" t="b">
        <f>OR(AND(IF(Metadata!U446="",FALSE,TRUE),OR(EXACT(Metadata!U446,"not applicable"),EXACT(Metadata!U446,"not collected"))),IF(Metadata!U446="",FALSE,TRUE))</f>
        <v>0</v>
      </c>
      <c r="BI446" t="b">
        <f>OR(AND(IF(Metadata!V446="",FALSE,TRUE),OR(EXACT(Metadata!V446,"not collected"),EXACT(Metadata!V446,"not provided"),EXACT(Metadata!V446,"restricted access"))),AND(IF(Metadata!V446="",FALSE,ISNUMBER(VALUE(Metadata!V446))),Metadata!V446&gt;=-180,Metadata!V446&lt;=180))</f>
        <v>0</v>
      </c>
      <c r="BJ446" t="b">
        <f>AND(IF(Metadata!W446="",FALSE,TRUE),EXACT(Metadata!W446,"Decimal degrees"))</f>
        <v>0</v>
      </c>
      <c r="BK446" t="b">
        <f>IF(Metadata!X446="",FALSE,TRUE)</f>
        <v>0</v>
      </c>
      <c r="BL446" t="b">
        <f>OR(AND(IF(Metadata!Y446="",FALSE,TRUE),OR(EXACT(Metadata!Y446,"not collected"),EXACT(Metadata!Y446,"not provided"),EXACT(Metadata!Y446,"restricted access"))),AND(IF(Metadata!Y446="",FALSE,TRUE),OR(EXACT(Metadata!Y446,"TRUE"),EXACT(Metadata!Y446,"FALSE"))))</f>
        <v>0</v>
      </c>
      <c r="BM446" t="b">
        <f>OR(AND(IF(Metadata!Z446="",FALSE,TRUE),EXACT(Metadata!Z446,"not applicable")),AND(IF(Metadata!Z446="",FALSE,TRUE),OR(EXACT(Metadata!Z446,"beer"),EXACT(Metadata!Z446,"cheese"),EXACT(Metadata!Z446,"fresh water"),EXACT(Metadata!Z446,"marine sediment"),EXACT(Metadata!Z446,"sea water"),EXACT(Metadata!Z446,"sediment"),EXACT(Metadata!Z446,"soil"),EXACT(Metadata!Z446,"waste water"))))</f>
        <v>0</v>
      </c>
      <c r="BN446" t="b">
        <f>AND(IF(Metadata!AA446="",FALSE,TRUE),EXACT(Metadata!AA446,"metagenome"))</f>
        <v>0</v>
      </c>
      <c r="BO446" t="b">
        <f>AND(IF(Metadata!AB446="",FALSE,TRUE),EXACT(Metadata!AB446,"256318"))</f>
        <v>0</v>
      </c>
      <c r="BP446" t="b">
        <f>IF(Metadata!AC446="",FALSE,TRUE)</f>
        <v>0</v>
      </c>
      <c r="BQ446" t="b">
        <f>IF(Metadata!AD446="",FALSE,TRUE)</f>
        <v>0</v>
      </c>
    </row>
    <row r="447" spans="1:69" x14ac:dyDescent="0.2">
      <c r="A447" s="4" t="e">
        <f ca="1">IF(B447=" "," ",HYPERLINK(CONCATENATE("#metadata!",ADDRESS(INDEX($AJ$2:$AJ$1001,MATCH(ROWS($AH$2:AH447),$AH$2:$AH$1001,0),0),2)),INDEX($AM$2:$AM$1001,MATCH(ROWS($AH$2:AH447),$AH$2:$AH$1001,0),0)))</f>
        <v>#N/A</v>
      </c>
      <c r="B447" s="5" t="e">
        <f ca="1">IF(OR(INDEX($AI$2:$AI$1001,MATCH(ROWS($AH$2:AH447),$AH$2:$AH$1001,0),1)&gt;=100000,INDEX($AO$1005:$BQ$1005,1,MATCH(COLUMNS($AO$1006:AO1006),$AO$1006:$BQ$1006,0))&gt;=100000), " ",IF(INDEX($AO$2:$BQ$1001,MATCH(ROWS($AH$2:AH447),$AH$2:$AH$1001,0),MATCH(COLUMNS($AO$1006:AO1006),$AO$1006:$BQ$1006,0)), HYPERLINK("#",""), HYPERLINK(CONCATENATE("#Metadata!", ADDRESS(INDEX($AJ$2:$AJ$1001,MATCH(ROWS($AH$2:AH447),$AH$2:$AH$1001,0),0), INDEX($AO$1004:$BQ$1004,1,MATCH(COLUMNS($AO$1006:AO1006),$AO$1006:$BQ$1006,0)))),"Fix")))</f>
        <v>#N/A</v>
      </c>
      <c r="C447" s="5" t="e">
        <f ca="1">IF(OR(INDEX($AI$2:$AI$1001,MATCH(ROWS($AH$2:AH447),$AH$2:$AH$1001,0),1)&gt;=100000,INDEX($AO$1005:$BQ$1005,1,MATCH(COLUMNS($AO$1006:AP1006),$AO$1006:$BQ$1006,0))&gt;=100000), " ",IF(INDEX($AO$2:$BQ$1001,MATCH(ROWS($AH$2:AH447),$AH$2:$AH$1001,0),MATCH(COLUMNS($AO$1006:AP1006),$AO$1006:$BQ$1006,0)), HYPERLINK("#",""), HYPERLINK(CONCATENATE("#Metadata!", ADDRESS(INDEX($AJ$2:$AJ$1001,MATCH(ROWS($AH$2:AH447),$AH$2:$AH$1001,0),0), INDEX($AO$1004:$BQ$1004,1,MATCH(COLUMNS($AO$1006:AP1006),$AO$1006:$BQ$1006,0)))),"Fix")))</f>
        <v>#N/A</v>
      </c>
      <c r="D447" s="5" t="e">
        <f ca="1">IF(OR(INDEX($AI$2:$AI$1001,MATCH(ROWS($AH$2:AH447),$AH$2:$AH$1001,0),1)&gt;=100000,INDEX($AO$1005:$BQ$1005,1,MATCH(COLUMNS($AO$1006:AQ1006),$AO$1006:$BQ$1006,0))&gt;=100000), " ",IF(INDEX($AO$2:$BQ$1001,MATCH(ROWS($AH$2:AH447),$AH$2:$AH$1001,0),MATCH(COLUMNS($AO$1006:AQ1006),$AO$1006:$BQ$1006,0)), HYPERLINK("#",""), HYPERLINK(CONCATENATE("#Metadata!", ADDRESS(INDEX($AJ$2:$AJ$1001,MATCH(ROWS($AH$2:AH447),$AH$2:$AH$1001,0),0), INDEX($AO$1004:$BQ$1004,1,MATCH(COLUMNS($AO$1006:AQ1006),$AO$1006:$BQ$1006,0)))),"Fix")))</f>
        <v>#N/A</v>
      </c>
      <c r="E447" s="5" t="e">
        <f ca="1">IF(OR(INDEX($AI$2:$AI$1001,MATCH(ROWS($AH$2:AH447),$AH$2:$AH$1001,0),1)&gt;=100000,INDEX($AO$1005:$BQ$1005,1,MATCH(COLUMNS($AO$1006:AR1006),$AO$1006:$BQ$1006,0))&gt;=100000), " ",IF(INDEX($AO$2:$BQ$1001,MATCH(ROWS($AH$2:AH447),$AH$2:$AH$1001,0),MATCH(COLUMNS($AO$1006:AR1006),$AO$1006:$BQ$1006,0)), HYPERLINK("#",""), HYPERLINK(CONCATENATE("#Metadata!", ADDRESS(INDEX($AJ$2:$AJ$1001,MATCH(ROWS($AH$2:AH447),$AH$2:$AH$1001,0),0), INDEX($AO$1004:$BQ$1004,1,MATCH(COLUMNS($AO$1006:AR1006),$AO$1006:$BQ$1006,0)))),"Fix")))</f>
        <v>#N/A</v>
      </c>
      <c r="F447" s="5" t="e">
        <f ca="1">IF(OR(INDEX($AI$2:$AI$1001,MATCH(ROWS($AH$2:AH447),$AH$2:$AH$1001,0),1)&gt;=100000,INDEX($AO$1005:$BQ$1005,1,MATCH(COLUMNS($AO$1006:AS1006),$AO$1006:$BQ$1006,0))&gt;=100000), " ",IF(INDEX($AO$2:$BQ$1001,MATCH(ROWS($AH$2:AH447),$AH$2:$AH$1001,0),MATCH(COLUMNS($AO$1006:AS1006),$AO$1006:$BQ$1006,0)), HYPERLINK("#",""), HYPERLINK(CONCATENATE("#Metadata!", ADDRESS(INDEX($AJ$2:$AJ$1001,MATCH(ROWS($AH$2:AH447),$AH$2:$AH$1001,0),0), INDEX($AO$1004:$BQ$1004,1,MATCH(COLUMNS($AO$1006:AS1006),$AO$1006:$BQ$1006,0)))),"Fix")))</f>
        <v>#N/A</v>
      </c>
      <c r="G447" s="5" t="e">
        <f ca="1">IF(OR(INDEX($AI$2:$AI$1001,MATCH(ROWS($AH$2:AH447),$AH$2:$AH$1001,0),1)&gt;=100000,INDEX($AO$1005:$BQ$1005,1,MATCH(COLUMNS($AO$1006:AT1006),$AO$1006:$BQ$1006,0))&gt;=100000), " ",IF(INDEX($AO$2:$BQ$1001,MATCH(ROWS($AH$2:AH447),$AH$2:$AH$1001,0),MATCH(COLUMNS($AO$1006:AT1006),$AO$1006:$BQ$1006,0)), HYPERLINK("#",""), HYPERLINK(CONCATENATE("#Metadata!", ADDRESS(INDEX($AJ$2:$AJ$1001,MATCH(ROWS($AH$2:AH447),$AH$2:$AH$1001,0),0), INDEX($AO$1004:$BQ$1004,1,MATCH(COLUMNS($AO$1006:AT1006),$AO$1006:$BQ$1006,0)))),"Fix")))</f>
        <v>#N/A</v>
      </c>
      <c r="H447" s="5" t="e">
        <f ca="1">IF(OR(INDEX($AI$2:$AI$1001,MATCH(ROWS($AH$2:AH447),$AH$2:$AH$1001,0),1)&gt;=100000,INDEX($AO$1005:$BQ$1005,1,MATCH(COLUMNS($AO$1006:AU1006),$AO$1006:$BQ$1006,0))&gt;=100000), " ",IF(INDEX($AO$2:$BQ$1001,MATCH(ROWS($AH$2:AH447),$AH$2:$AH$1001,0),MATCH(COLUMNS($AO$1006:AU1006),$AO$1006:$BQ$1006,0)), HYPERLINK("#",""), HYPERLINK(CONCATENATE("#Metadata!", ADDRESS(INDEX($AJ$2:$AJ$1001,MATCH(ROWS($AH$2:AH447),$AH$2:$AH$1001,0),0), INDEX($AO$1004:$BQ$1004,1,MATCH(COLUMNS($AO$1006:AU1006),$AO$1006:$BQ$1006,0)))),"Fix")))</f>
        <v>#N/A</v>
      </c>
      <c r="I447" s="5" t="e">
        <f ca="1">IF(OR(INDEX($AI$2:$AI$1001,MATCH(ROWS($AH$2:AH447),$AH$2:$AH$1001,0),1)&gt;=100000,INDEX($AO$1005:$BQ$1005,1,MATCH(COLUMNS($AO$1006:AV1006),$AO$1006:$BQ$1006,0))&gt;=100000), " ",IF(INDEX($AO$2:$BQ$1001,MATCH(ROWS($AH$2:AH447),$AH$2:$AH$1001,0),MATCH(COLUMNS($AO$1006:AV1006),$AO$1006:$BQ$1006,0)), HYPERLINK("#",""), HYPERLINK(CONCATENATE("#Metadata!", ADDRESS(INDEX($AJ$2:$AJ$1001,MATCH(ROWS($AH$2:AH447),$AH$2:$AH$1001,0),0), INDEX($AO$1004:$BQ$1004,1,MATCH(COLUMNS($AO$1006:AV1006),$AO$1006:$BQ$1006,0)))),"Fix")))</f>
        <v>#N/A</v>
      </c>
      <c r="J447" s="5" t="e">
        <f ca="1">IF(OR(INDEX($AI$2:$AI$1001,MATCH(ROWS($AH$2:AH447),$AH$2:$AH$1001,0),1)&gt;=100000,INDEX($AO$1005:$BQ$1005,1,MATCH(COLUMNS($AO$1006:AW1006),$AO$1006:$BQ$1006,0))&gt;=100000), " ",IF(INDEX($AO$2:$BQ$1001,MATCH(ROWS($AH$2:AH447),$AH$2:$AH$1001,0),MATCH(COLUMNS($AO$1006:AW1006),$AO$1006:$BQ$1006,0)), HYPERLINK("#",""), HYPERLINK(CONCATENATE("#Metadata!", ADDRESS(INDEX($AJ$2:$AJ$1001,MATCH(ROWS($AH$2:AH447),$AH$2:$AH$1001,0),0), INDEX($AO$1004:$BQ$1004,1,MATCH(COLUMNS($AO$1006:AW1006),$AO$1006:$BQ$1006,0)))),"Fix")))</f>
        <v>#N/A</v>
      </c>
      <c r="K447" s="5" t="e">
        <f ca="1">IF(OR(INDEX($AI$2:$AI$1001,MATCH(ROWS($AH$2:AH447),$AH$2:$AH$1001,0),1)&gt;=100000,INDEX($AO$1005:$BQ$1005,1,MATCH(COLUMNS($AO$1006:AX1006),$AO$1006:$BQ$1006,0))&gt;=100000), " ",IF(INDEX($AO$2:$BQ$1001,MATCH(ROWS($AH$2:AH447),$AH$2:$AH$1001,0),MATCH(COLUMNS($AO$1006:AX1006),$AO$1006:$BQ$1006,0)), HYPERLINK("#",""), HYPERLINK(CONCATENATE("#Metadata!", ADDRESS(INDEX($AJ$2:$AJ$1001,MATCH(ROWS($AH$2:AH447),$AH$2:$AH$1001,0),0), INDEX($AO$1004:$BQ$1004,1,MATCH(COLUMNS($AO$1006:AX1006),$AO$1006:$BQ$1006,0)))),"Fix")))</f>
        <v>#N/A</v>
      </c>
      <c r="L447" s="5" t="e">
        <f ca="1">IF(OR(INDEX($AI$2:$AI$1001,MATCH(ROWS($AH$2:AH447),$AH$2:$AH$1001,0),1)&gt;=100000,INDEX($AO$1005:$BQ$1005,1,MATCH(COLUMNS($AO$1006:AY1006),$AO$1006:$BQ$1006,0))&gt;=100000), " ",IF(INDEX($AO$2:$BQ$1001,MATCH(ROWS($AH$2:AH447),$AH$2:$AH$1001,0),MATCH(COLUMNS($AO$1006:AY1006),$AO$1006:$BQ$1006,0)), HYPERLINK("#",""), HYPERLINK(CONCATENATE("#Metadata!", ADDRESS(INDEX($AJ$2:$AJ$1001,MATCH(ROWS($AH$2:AH447),$AH$2:$AH$1001,0),0), INDEX($AO$1004:$BQ$1004,1,MATCH(COLUMNS($AO$1006:AY1006),$AO$1006:$BQ$1006,0)))),"Fix")))</f>
        <v>#N/A</v>
      </c>
      <c r="M447" s="5" t="e">
        <f ca="1">IF(OR(INDEX($AI$2:$AI$1001,MATCH(ROWS($AH$2:AH447),$AH$2:$AH$1001,0),1)&gt;=100000,INDEX($AO$1005:$BQ$1005,1,MATCH(COLUMNS($AO$1006:AZ1006),$AO$1006:$BQ$1006,0))&gt;=100000), " ",IF(INDEX($AO$2:$BQ$1001,MATCH(ROWS($AH$2:AH447),$AH$2:$AH$1001,0),MATCH(COLUMNS($AO$1006:AZ1006),$AO$1006:$BQ$1006,0)), HYPERLINK("#",""), HYPERLINK(CONCATENATE("#Metadata!", ADDRESS(INDEX($AJ$2:$AJ$1001,MATCH(ROWS($AH$2:AH447),$AH$2:$AH$1001,0),0), INDEX($AO$1004:$BQ$1004,1,MATCH(COLUMNS($AO$1006:AZ1006),$AO$1006:$BQ$1006,0)))),"Fix")))</f>
        <v>#N/A</v>
      </c>
      <c r="N447" s="5" t="e">
        <f ca="1">IF(OR(INDEX($AI$2:$AI$1001,MATCH(ROWS($AH$2:AH447),$AH$2:$AH$1001,0),1)&gt;=100000,INDEX($AO$1005:$BQ$1005,1,MATCH(COLUMNS($AO$1006:BA1006),$AO$1006:$BQ$1006,0))&gt;=100000), " ",IF(INDEX($AO$2:$BQ$1001,MATCH(ROWS($AH$2:AH447),$AH$2:$AH$1001,0),MATCH(COLUMNS($AO$1006:BA1006),$AO$1006:$BQ$1006,0)), HYPERLINK("#",""), HYPERLINK(CONCATENATE("#Metadata!", ADDRESS(INDEX($AJ$2:$AJ$1001,MATCH(ROWS($AH$2:AH447),$AH$2:$AH$1001,0),0), INDEX($AO$1004:$BQ$1004,1,MATCH(COLUMNS($AO$1006:BA1006),$AO$1006:$BQ$1006,0)))),"Fix")))</f>
        <v>#N/A</v>
      </c>
      <c r="O447" s="5" t="e">
        <f ca="1">IF(OR(INDEX($AI$2:$AI$1001,MATCH(ROWS($AH$2:AH447),$AH$2:$AH$1001,0),1)&gt;=100000,INDEX($AO$1005:$BQ$1005,1,MATCH(COLUMNS($AO$1006:BB1006),$AO$1006:$BQ$1006,0))&gt;=100000), " ",IF(INDEX($AO$2:$BQ$1001,MATCH(ROWS($AH$2:AH447),$AH$2:$AH$1001,0),MATCH(COLUMNS($AO$1006:BB1006),$AO$1006:$BQ$1006,0)), HYPERLINK("#",""), HYPERLINK(CONCATENATE("#Metadata!", ADDRESS(INDEX($AJ$2:$AJ$1001,MATCH(ROWS($AH$2:AH447),$AH$2:$AH$1001,0),0), INDEX($AO$1004:$BQ$1004,1,MATCH(COLUMNS($AO$1006:BB1006),$AO$1006:$BQ$1006,0)))),"Fix")))</f>
        <v>#N/A</v>
      </c>
      <c r="P447" s="5" t="e">
        <f ca="1">IF(OR(INDEX($AI$2:$AI$1001,MATCH(ROWS($AH$2:AH447),$AH$2:$AH$1001,0),1)&gt;=100000,INDEX($AO$1005:$BQ$1005,1,MATCH(COLUMNS($AO$1006:BC1006),$AO$1006:$BQ$1006,0))&gt;=100000), " ",IF(INDEX($AO$2:$BQ$1001,MATCH(ROWS($AH$2:AH447),$AH$2:$AH$1001,0),MATCH(COLUMNS($AO$1006:BC1006),$AO$1006:$BQ$1006,0)), HYPERLINK("#",""), HYPERLINK(CONCATENATE("#Metadata!", ADDRESS(INDEX($AJ$2:$AJ$1001,MATCH(ROWS($AH$2:AH447),$AH$2:$AH$1001,0),0), INDEX($AO$1004:$BQ$1004,1,MATCH(COLUMNS($AO$1006:BC1006),$AO$1006:$BQ$1006,0)))),"Fix")))</f>
        <v>#N/A</v>
      </c>
      <c r="Q447" s="5" t="e">
        <f ca="1">IF(OR(INDEX($AI$2:$AI$1001,MATCH(ROWS($AH$2:AH447),$AH$2:$AH$1001,0),1)&gt;=100000,INDEX($AO$1005:$BQ$1005,1,MATCH(COLUMNS($AO$1006:BD1006),$AO$1006:$BQ$1006,0))&gt;=100000), " ",IF(INDEX($AO$2:$BQ$1001,MATCH(ROWS($AH$2:AH447),$AH$2:$AH$1001,0),MATCH(COLUMNS($AO$1006:BD1006),$AO$1006:$BQ$1006,0)), HYPERLINK("#",""), HYPERLINK(CONCATENATE("#Metadata!", ADDRESS(INDEX($AJ$2:$AJ$1001,MATCH(ROWS($AH$2:AH447),$AH$2:$AH$1001,0),0), INDEX($AO$1004:$BQ$1004,1,MATCH(COLUMNS($AO$1006:BD1006),$AO$1006:$BQ$1006,0)))),"Fix")))</f>
        <v>#N/A</v>
      </c>
      <c r="R447" s="5" t="e">
        <f ca="1">IF(OR(INDEX($AI$2:$AI$1001,MATCH(ROWS($AH$2:AH447),$AH$2:$AH$1001,0),1)&gt;=100000,INDEX($AO$1005:$BQ$1005,1,MATCH(COLUMNS($AO$1006:BE1006),$AO$1006:$BQ$1006,0))&gt;=100000), " ",IF(INDEX($AO$2:$BQ$1001,MATCH(ROWS($AH$2:AH447),$AH$2:$AH$1001,0),MATCH(COLUMNS($AO$1006:BE1006),$AO$1006:$BQ$1006,0)), HYPERLINK("#",""), HYPERLINK(CONCATENATE("#Metadata!", ADDRESS(INDEX($AJ$2:$AJ$1001,MATCH(ROWS($AH$2:AH447),$AH$2:$AH$1001,0),0), INDEX($AO$1004:$BQ$1004,1,MATCH(COLUMNS($AO$1006:BE1006),$AO$1006:$BQ$1006,0)))),"Fix")))</f>
        <v>#N/A</v>
      </c>
      <c r="S447" s="5" t="e">
        <f ca="1">IF(OR(INDEX($AI$2:$AI$1001,MATCH(ROWS($AH$2:AH447),$AH$2:$AH$1001,0),1)&gt;=100000,INDEX($AO$1005:$BQ$1005,1,MATCH(COLUMNS($AO$1006:BF1006),$AO$1006:$BQ$1006,0))&gt;=100000), " ",IF(INDEX($AO$2:$BQ$1001,MATCH(ROWS($AH$2:AH447),$AH$2:$AH$1001,0),MATCH(COLUMNS($AO$1006:BF1006),$AO$1006:$BQ$1006,0)), HYPERLINK("#",""), HYPERLINK(CONCATENATE("#Metadata!", ADDRESS(INDEX($AJ$2:$AJ$1001,MATCH(ROWS($AH$2:AH447),$AH$2:$AH$1001,0),0), INDEX($AO$1004:$BQ$1004,1,MATCH(COLUMNS($AO$1006:BF1006),$AO$1006:$BQ$1006,0)))),"Fix")))</f>
        <v>#N/A</v>
      </c>
      <c r="T447" s="5" t="e">
        <f ca="1">IF(OR(INDEX($AI$2:$AI$1001,MATCH(ROWS($AH$2:AH447),$AH$2:$AH$1001,0),1)&gt;=100000,INDEX($AO$1005:$BQ$1005,1,MATCH(COLUMNS($AO$1006:BG1006),$AO$1006:$BQ$1006,0))&gt;=100000), " ",IF(INDEX($AO$2:$BQ$1001,MATCH(ROWS($AH$2:AH447),$AH$2:$AH$1001,0),MATCH(COLUMNS($AO$1006:BG1006),$AO$1006:$BQ$1006,0)), HYPERLINK("#",""), HYPERLINK(CONCATENATE("#Metadata!", ADDRESS(INDEX($AJ$2:$AJ$1001,MATCH(ROWS($AH$2:AH447),$AH$2:$AH$1001,0),0), INDEX($AO$1004:$BQ$1004,1,MATCH(COLUMNS($AO$1006:BG1006),$AO$1006:$BQ$1006,0)))),"Fix")))</f>
        <v>#N/A</v>
      </c>
      <c r="U447" s="5" t="e">
        <f ca="1">IF(OR(INDEX($AI$2:$AI$1001,MATCH(ROWS($AH$2:AH447),$AH$2:$AH$1001,0),1)&gt;=100000,INDEX($AO$1005:$BQ$1005,1,MATCH(COLUMNS($AO$1006:BH1006),$AO$1006:$BQ$1006,0))&gt;=100000), " ",IF(INDEX($AO$2:$BQ$1001,MATCH(ROWS($AH$2:AH447),$AH$2:$AH$1001,0),MATCH(COLUMNS($AO$1006:BH1006),$AO$1006:$BQ$1006,0)), HYPERLINK("#",""), HYPERLINK(CONCATENATE("#Metadata!", ADDRESS(INDEX($AJ$2:$AJ$1001,MATCH(ROWS($AH$2:AH447),$AH$2:$AH$1001,0),0), INDEX($AO$1004:$BQ$1004,1,MATCH(COLUMNS($AO$1006:BH1006),$AO$1006:$BQ$1006,0)))),"Fix")))</f>
        <v>#N/A</v>
      </c>
      <c r="V447" s="5" t="e">
        <f ca="1">IF(OR(INDEX($AI$2:$AI$1001,MATCH(ROWS($AH$2:AH447),$AH$2:$AH$1001,0),1)&gt;=100000,INDEX($AO$1005:$BQ$1005,1,MATCH(COLUMNS($AO$1006:BI1006),$AO$1006:$BQ$1006,0))&gt;=100000), " ",IF(INDEX($AO$2:$BQ$1001,MATCH(ROWS($AH$2:AH447),$AH$2:$AH$1001,0),MATCH(COLUMNS($AO$1006:BI1006),$AO$1006:$BQ$1006,0)), HYPERLINK("#",""), HYPERLINK(CONCATENATE("#Metadata!", ADDRESS(INDEX($AJ$2:$AJ$1001,MATCH(ROWS($AH$2:AH447),$AH$2:$AH$1001,0),0), INDEX($AO$1004:$BQ$1004,1,MATCH(COLUMNS($AO$1006:BI1006),$AO$1006:$BQ$1006,0)))),"Fix")))</f>
        <v>#N/A</v>
      </c>
      <c r="W447" s="5" t="e">
        <f ca="1">IF(OR(INDEX($AI$2:$AI$1001,MATCH(ROWS($AH$2:AH447),$AH$2:$AH$1001,0),1)&gt;=100000,INDEX($AO$1005:$BQ$1005,1,MATCH(COLUMNS($AO$1006:BJ1006),$AO$1006:$BQ$1006,0))&gt;=100000), " ",IF(INDEX($AO$2:$BQ$1001,MATCH(ROWS($AH$2:AH447),$AH$2:$AH$1001,0),MATCH(COLUMNS($AO$1006:BJ1006),$AO$1006:$BQ$1006,0)), HYPERLINK("#",""), HYPERLINK(CONCATENATE("#Metadata!", ADDRESS(INDEX($AJ$2:$AJ$1001,MATCH(ROWS($AH$2:AH447),$AH$2:$AH$1001,0),0), INDEX($AO$1004:$BQ$1004,1,MATCH(COLUMNS($AO$1006:BJ1006),$AO$1006:$BQ$1006,0)))),"Fix")))</f>
        <v>#N/A</v>
      </c>
      <c r="X447" s="5" t="e">
        <f ca="1">IF(OR(INDEX($AI$2:$AI$1001,MATCH(ROWS($AH$2:AH447),$AH$2:$AH$1001,0),1)&gt;=100000,INDEX($AO$1005:$BQ$1005,1,MATCH(COLUMNS($AO$1006:BK1006),$AO$1006:$BQ$1006,0))&gt;=100000), " ",IF(INDEX($AO$2:$BQ$1001,MATCH(ROWS($AH$2:AH447),$AH$2:$AH$1001,0),MATCH(COLUMNS($AO$1006:BK1006),$AO$1006:$BQ$1006,0)), HYPERLINK("#",""), HYPERLINK(CONCATENATE("#Metadata!", ADDRESS(INDEX($AJ$2:$AJ$1001,MATCH(ROWS($AH$2:AH447),$AH$2:$AH$1001,0),0), INDEX($AO$1004:$BQ$1004,1,MATCH(COLUMNS($AO$1006:BK1006),$AO$1006:$BQ$1006,0)))),"Fix")))</f>
        <v>#N/A</v>
      </c>
      <c r="Y447" s="5" t="e">
        <f ca="1">IF(OR(INDEX($AI$2:$AI$1001,MATCH(ROWS($AH$2:AH447),$AH$2:$AH$1001,0),1)&gt;=100000,INDEX($AO$1005:$BQ$1005,1,MATCH(COLUMNS($AO$1006:BL1006),$AO$1006:$BQ$1006,0))&gt;=100000), " ",IF(INDEX($AO$2:$BQ$1001,MATCH(ROWS($AH$2:AH447),$AH$2:$AH$1001,0),MATCH(COLUMNS($AO$1006:BL1006),$AO$1006:$BQ$1006,0)), HYPERLINK("#",""), HYPERLINK(CONCATENATE("#Metadata!", ADDRESS(INDEX($AJ$2:$AJ$1001,MATCH(ROWS($AH$2:AH447),$AH$2:$AH$1001,0),0), INDEX($AO$1004:$BQ$1004,1,MATCH(COLUMNS($AO$1006:BL1006),$AO$1006:$BQ$1006,0)))),"Fix")))</f>
        <v>#N/A</v>
      </c>
      <c r="Z447" s="5" t="e">
        <f ca="1">IF(OR(INDEX($AI$2:$AI$1001,MATCH(ROWS($AH$2:AH447),$AH$2:$AH$1001,0),1)&gt;=100000,INDEX($AO$1005:$BQ$1005,1,MATCH(COLUMNS($AO$1006:BM1006),$AO$1006:$BQ$1006,0))&gt;=100000), " ",IF(INDEX($AO$2:$BQ$1001,MATCH(ROWS($AH$2:AH447),$AH$2:$AH$1001,0),MATCH(COLUMNS($AO$1006:BM1006),$AO$1006:$BQ$1006,0)), HYPERLINK("#",""), HYPERLINK(CONCATENATE("#Metadata!", ADDRESS(INDEX($AJ$2:$AJ$1001,MATCH(ROWS($AH$2:AH447),$AH$2:$AH$1001,0),0), INDEX($AO$1004:$BQ$1004,1,MATCH(COLUMNS($AO$1006:BM1006),$AO$1006:$BQ$1006,0)))),"Fix")))</f>
        <v>#N/A</v>
      </c>
      <c r="AA447" s="5" t="e">
        <f ca="1">IF(OR(INDEX($AI$2:$AI$1001,MATCH(ROWS($AH$2:AH447),$AH$2:$AH$1001,0),1)&gt;=100000,INDEX($AO$1005:$BQ$1005,1,MATCH(COLUMNS($AO$1006:BN1006),$AO$1006:$BQ$1006,0))&gt;=100000), " ",IF(INDEX($AO$2:$BQ$1001,MATCH(ROWS($AH$2:AH447),$AH$2:$AH$1001,0),MATCH(COLUMNS($AO$1006:BN1006),$AO$1006:$BQ$1006,0)), HYPERLINK("#",""), HYPERLINK(CONCATENATE("#Metadata!", ADDRESS(INDEX($AJ$2:$AJ$1001,MATCH(ROWS($AH$2:AH447),$AH$2:$AH$1001,0),0), INDEX($AO$1004:$BQ$1004,1,MATCH(COLUMNS($AO$1006:BN1006),$AO$1006:$BQ$1006,0)))),"Fix")))</f>
        <v>#N/A</v>
      </c>
      <c r="AB447" s="5" t="e">
        <f ca="1">IF(OR(INDEX($AI$2:$AI$1001,MATCH(ROWS($AH$2:AH447),$AH$2:$AH$1001,0),1)&gt;=100000,INDEX($AO$1005:$BQ$1005,1,MATCH(COLUMNS($AO$1006:BO1006),$AO$1006:$BQ$1006,0))&gt;=100000), " ",IF(INDEX($AO$2:$BQ$1001,MATCH(ROWS($AH$2:AH447),$AH$2:$AH$1001,0),MATCH(COLUMNS($AO$1006:BO1006),$AO$1006:$BQ$1006,0)), HYPERLINK("#",""), HYPERLINK(CONCATENATE("#Metadata!", ADDRESS(INDEX($AJ$2:$AJ$1001,MATCH(ROWS($AH$2:AH447),$AH$2:$AH$1001,0),0), INDEX($AO$1004:$BQ$1004,1,MATCH(COLUMNS($AO$1006:BO1006),$AO$1006:$BQ$1006,0)))),"Fix")))</f>
        <v>#N/A</v>
      </c>
      <c r="AC447" s="5" t="e">
        <f ca="1">IF(OR(INDEX($AI$2:$AI$1001,MATCH(ROWS($AH$2:AH447),$AH$2:$AH$1001,0),1)&gt;=100000,INDEX($AO$1005:$BQ$1005,1,MATCH(COLUMNS($AO$1006:BP1006),$AO$1006:$BQ$1006,0))&gt;=100000), " ",IF(INDEX($AO$2:$BQ$1001,MATCH(ROWS($AH$2:AH447),$AH$2:$AH$1001,0),MATCH(COLUMNS($AO$1006:BP1006),$AO$1006:$BQ$1006,0)), HYPERLINK("#",""), HYPERLINK(CONCATENATE("#Metadata!", ADDRESS(INDEX($AJ$2:$AJ$1001,MATCH(ROWS($AH$2:AH447),$AH$2:$AH$1001,0),0), INDEX($AO$1004:$BQ$1004,1,MATCH(COLUMNS($AO$1006:BP1006),$AO$1006:$BQ$1006,0)))),"Fix")))</f>
        <v>#N/A</v>
      </c>
      <c r="AD447" s="5" t="e">
        <f ca="1">IF(OR(INDEX($AI$2:$AI$1001,MATCH(ROWS($AH$2:AH447),$AH$2:$AH$1001,0),1)&gt;=100000,INDEX($AO$1005:$BQ$1005,1,MATCH(COLUMNS($AO$1006:BQ1006),$AO$1006:$BQ$1006,0))&gt;=100000), " ",IF(INDEX($AO$2:$BQ$1001,MATCH(ROWS($AH$2:AH447),$AH$2:$AH$1001,0),MATCH(COLUMNS($AO$1006:BQ1006),$AO$1006:$BQ$1006,0)), HYPERLINK("#",""), HYPERLINK(CONCATENATE("#Metadata!", ADDRESS(INDEX($AJ$2:$AJ$1001,MATCH(ROWS($AH$2:AH447),$AH$2:$AH$1001,0),0), INDEX($AO$1004:$BQ$1004,1,MATCH(COLUMNS($AO$1006:BQ1006),$AO$1006:$BQ$1006,0)))),"Fix")))</f>
        <v>#REF!</v>
      </c>
      <c r="AH447">
        <f ca="1"/>
        <v>444</v>
      </c>
      <c r="AI447">
        <v>100447</v>
      </c>
      <c r="AJ447">
        <v>447</v>
      </c>
      <c r="AK447" t="b">
        <f t="shared" si="6"/>
        <v>1</v>
      </c>
      <c r="AL447" t="b">
        <f>COUNTBLANK(Metadata!B447:AD447)=COLUMNS(Metadata!B447:AD447)</f>
        <v>1</v>
      </c>
      <c r="AM447" t="str">
        <v/>
      </c>
      <c r="AO447" t="b">
        <f ca="1">AND(IF(Metadata!B447="",FALSE,TRUE),COUNTIF(Metadata!B:B, Metadata!B447) = 1,NOT(ISERROR(SUMPRODUCT(SEARCH(MID(Metadata!B447,ROW(INDIRECT("1:"&amp;LEN(Metadata!B447))), 1),"0123456789abcdefghijklmnopqrstuvwxyzABCDEFGHIJKLMNOPQRSTUVWXYZ.")))))</f>
        <v>0</v>
      </c>
      <c r="AP447" t="b">
        <f>IF(Metadata!C447="",FALSE,TRUE)</f>
        <v>0</v>
      </c>
      <c r="AQ447" t="b">
        <f>IF(Metadata!D447="",FALSE,TRUE)</f>
        <v>0</v>
      </c>
      <c r="AR447" t="b">
        <f ca="1">OR(AND(IF(Metadata!E447="",FALSE,TRUE),OR(EXACT(Metadata!E447,"not collected"),EXACT(Metadata!E447,"not provided"),EXACT(Metadata!E447,"restricted access"))),AND(IF(Metadata!E447="",FALSE,TRUE),AND(AND(IFERROR(INT(LEFT(Metadata!E447,4))&gt;1900,FALSE),IFERROR(INT(LEFT(Metadata!E447,4))&lt;=YEAR(NOW()),FALSE)), OR(MID(Metadata!E447,5,1)="", AND(AND(MID(Metadata!E447,5,1)="-",IFERROR(INT(MID(Metadata!E447,6,1))&gt;=0,FALSE),IFERROR(INT(MID(Metadata!E447,6,1))&lt;=1,FALSE),NOT(MID(Metadata!E447,7,1)=""),IFERROR(INT(MID(Metadata!E447,6,2))&gt;=1,FALSE),IFERROR(INT(MID(Metadata!E447,6,2))&lt;=12,FALSE)), OR(MID(Metadata!E447,8,1)="", AND(AND(MID(Metadata!E447,8,1)="-",IFERROR(INT(MID(Metadata!E447,9,1))&gt;=0,FALSE),IFERROR(INT(MID(Metadata!E447,9,1))&lt;=3,FALSE),NOT(MID(Metadata!E447,10,1)=""),IFERROR(INT(MID(Metadata!E447,9,2))&gt;=1,FALSE),IFERROR(INT(MID(Metadata!E447,9,2))&lt;=31,FALSE)), OR(MID(Metadata!E447,11,1)="", AND(AND(MID(Metadata!E447,11,1)=" ",IFERROR(INT(MID(Metadata!E447,12,1))&gt;=0,FALSE),IFERROR(INT(MID(Metadata!E447,12,1))&lt;=2,FALSE),NOT(MID(Metadata!E447,13,1)=""),IFERROR(INT(MID(Metadata!E447,12,2))&gt;=0,FALSE),IFERROR(INT(MID(Metadata!E447,12,2))&lt;=23,FALSE)), OR(MID(Metadata!E447,14,1)="", AND(AND(MID(Metadata!E447,14,1)=":",IFERROR(INT(MID(Metadata!E447,15,1))&gt;=0,FALSE),IFERROR(INT(MID(Metadata!E447,15,1))&lt;=5,FALSE),NOT(MID(Metadata!E447,16,1)=""),IFERROR(INT(MID(Metadata!E447,15,2))&gt;=0,FALSE),IFERROR(INT(MID(Metadata!E447,15,2))&lt;=59,FALSE)), OR(MID(Metadata!E447,17,1)="", AND(AND(MID(Metadata!E447,17,1)=":",IFERROR(INT(MID(Metadata!E447,18,1))&gt;=0,FALSE),IFERROR(INT(MID(Metadata!E447,18,1))&lt;=5,FALSE),NOT(MID(Metadata!E447,19,1)=""),IFERROR(INT(MID(Metadata!E447,18,2))&gt;=0,FALSE),IFERROR(INT(MID(Metadata!E447,18,2))&lt;=59,FALSE)), LEN(Metadata!E447)&lt;=19)))))))))))))</f>
        <v>0</v>
      </c>
      <c r="AS447" t="b">
        <f>IF(Metadata!F447="",FALSE,TRUE)</f>
        <v>0</v>
      </c>
      <c r="AT447" t="b">
        <f>OR(AND(IF(Metadata!G447="",FALSE,TRUE),OR(EXACT(Metadata!G447,"not collected"),EXACT(Metadata!G447,"not provided"))),AND(IF(Metadata!G447="",FALSE,TRUE),OR(EXACT(Metadata!G447,"TRUE"),EXACT(Metadata!G447,"FALSE"))))</f>
        <v>0</v>
      </c>
      <c r="AU447" t="b">
        <f>OR(AND(IF(Metadata!H447="",FALSE,TRUE),OR(EXACT(Metadata!H447,"not collected"),EXACT(Metadata!H447,"not provided"),EXACT(Metadata!H447,"restricted access"))),AND(IF(Metadata!H447="",FALSE,ISNUMBER(VALUE(Metadata!H447))),Metadata!H447&gt;=-413))</f>
        <v>0</v>
      </c>
      <c r="AV447" t="b">
        <f>AND(IF(Metadata!I447="",FALSE,TRUE),EXACT(Metadata!I447,"meters"))</f>
        <v>0</v>
      </c>
      <c r="AW447" t="b">
        <f>AND(IF(Metadata!J447="",FALSE,TRUE),EXACT(Metadata!J447,"free-living"))</f>
        <v>0</v>
      </c>
      <c r="AX447" t="b">
        <f>AND(IF(Metadata!K447="",FALSE,TRUE),OR(EXACT(Metadata!K447,"saline"),EXACT(Metadata!K447,"non-saline")))</f>
        <v>0</v>
      </c>
      <c r="AY447" t="b">
        <f>AND(IF(Metadata!L447="",FALSE,TRUE),OR(EXACT(Metadata!L447,"sub-surface (non-saline)"),EXACT(Metadata!L447,"surface (non-saline)"),EXACT(Metadata!L447,"water (non-saline)"),EXACT(Metadata!L447,"soil (non-saline)"),EXACT(Metadata!L447,"aerosol (non-saline)"),EXACT(Metadata!L447,"sediment (non-saline)"),EXACT(Metadata!L447,"surface (saline)"),EXACT(Metadata!L447,"water (saline)"),EXACT(Metadata!L447,"hypersaline (saline)"),EXACT(Metadata!L447,"aerosol (saline)"),EXACT(Metadata!L447,"sediment (saline)")))</f>
        <v>0</v>
      </c>
      <c r="AZ447" t="b">
        <f>IF(Metadata!M447="",FALSE,TRUE)</f>
        <v>0</v>
      </c>
      <c r="BA447" t="b">
        <f>IF(Metadata!N447="",FALSE,TRUE)</f>
        <v>0</v>
      </c>
      <c r="BB447" t="b">
        <f>IF(Metadata!O447="",FALSE,TRUE)</f>
        <v>0</v>
      </c>
      <c r="BC447" t="b">
        <f>AND(IF(Metadata!P447="",FALSE,TRUE),OR(EXACT(Metadata!P447,"air"),EXACT(Metadata!P447,"microbial mat/biofilm"),EXACT(Metadata!P447,"misc environment"),EXACT(Metadata!P447,"sediment"),EXACT(Metadata!P447,"soil"),EXACT(Metadata!P447,"wastewater/sludge"),EXACT(Metadata!P447,"water")))</f>
        <v>0</v>
      </c>
      <c r="BD447" t="b">
        <f>IF(Metadata!Q447="",FALSE,TRUE)</f>
        <v>0</v>
      </c>
      <c r="BE447" t="b">
        <f>IF(Metadata!R447="",FALSE,TRUE)</f>
        <v>0</v>
      </c>
      <c r="BF447" t="b">
        <f>OR(AND(IF(Metadata!S447="",FALSE,TRUE),OR(EXACT(Metadata!S447,"not collected"),EXACT(Metadata!S447,"not provided"),EXACT(Metadata!S447,"restricted access"))),AND(IF(Metadata!S447="",FALSE,ISNUMBER(VALUE(Metadata!S447))),Metadata!S447&gt;=-90,Metadata!S447&lt;=90))</f>
        <v>0</v>
      </c>
      <c r="BG447" t="b">
        <f>AND(IF(Metadata!T447="",FALSE,TRUE),EXACT(Metadata!T447,"Decimal degrees"))</f>
        <v>0</v>
      </c>
      <c r="BH447" t="b">
        <f>OR(AND(IF(Metadata!U447="",FALSE,TRUE),OR(EXACT(Metadata!U447,"not applicable"),EXACT(Metadata!U447,"not collected"))),IF(Metadata!U447="",FALSE,TRUE))</f>
        <v>0</v>
      </c>
      <c r="BI447" t="b">
        <f>OR(AND(IF(Metadata!V447="",FALSE,TRUE),OR(EXACT(Metadata!V447,"not collected"),EXACT(Metadata!V447,"not provided"),EXACT(Metadata!V447,"restricted access"))),AND(IF(Metadata!V447="",FALSE,ISNUMBER(VALUE(Metadata!V447))),Metadata!V447&gt;=-180,Metadata!V447&lt;=180))</f>
        <v>0</v>
      </c>
      <c r="BJ447" t="b">
        <f>AND(IF(Metadata!W447="",FALSE,TRUE),EXACT(Metadata!W447,"Decimal degrees"))</f>
        <v>0</v>
      </c>
      <c r="BK447" t="b">
        <f>IF(Metadata!X447="",FALSE,TRUE)</f>
        <v>0</v>
      </c>
      <c r="BL447" t="b">
        <f>OR(AND(IF(Metadata!Y447="",FALSE,TRUE),OR(EXACT(Metadata!Y447,"not collected"),EXACT(Metadata!Y447,"not provided"),EXACT(Metadata!Y447,"restricted access"))),AND(IF(Metadata!Y447="",FALSE,TRUE),OR(EXACT(Metadata!Y447,"TRUE"),EXACT(Metadata!Y447,"FALSE"))))</f>
        <v>0</v>
      </c>
      <c r="BM447" t="b">
        <f>OR(AND(IF(Metadata!Z447="",FALSE,TRUE),EXACT(Metadata!Z447,"not applicable")),AND(IF(Metadata!Z447="",FALSE,TRUE),OR(EXACT(Metadata!Z447,"beer"),EXACT(Metadata!Z447,"cheese"),EXACT(Metadata!Z447,"fresh water"),EXACT(Metadata!Z447,"marine sediment"),EXACT(Metadata!Z447,"sea water"),EXACT(Metadata!Z447,"sediment"),EXACT(Metadata!Z447,"soil"),EXACT(Metadata!Z447,"waste water"))))</f>
        <v>0</v>
      </c>
      <c r="BN447" t="b">
        <f>AND(IF(Metadata!AA447="",FALSE,TRUE),EXACT(Metadata!AA447,"metagenome"))</f>
        <v>0</v>
      </c>
      <c r="BO447" t="b">
        <f>AND(IF(Metadata!AB447="",FALSE,TRUE),EXACT(Metadata!AB447,"256318"))</f>
        <v>0</v>
      </c>
      <c r="BP447" t="b">
        <f>IF(Metadata!AC447="",FALSE,TRUE)</f>
        <v>0</v>
      </c>
      <c r="BQ447" t="b">
        <f>IF(Metadata!AD447="",FALSE,TRUE)</f>
        <v>0</v>
      </c>
    </row>
    <row r="448" spans="1:69" x14ac:dyDescent="0.2">
      <c r="A448" s="4" t="e">
        <f ca="1">IF(B448=" "," ",HYPERLINK(CONCATENATE("#metadata!",ADDRESS(INDEX($AJ$2:$AJ$1001,MATCH(ROWS($AH$2:AH448),$AH$2:$AH$1001,0),0),2)),INDEX($AM$2:$AM$1001,MATCH(ROWS($AH$2:AH448),$AH$2:$AH$1001,0),0)))</f>
        <v>#N/A</v>
      </c>
      <c r="B448" s="5" t="e">
        <f ca="1">IF(OR(INDEX($AI$2:$AI$1001,MATCH(ROWS($AH$2:AH448),$AH$2:$AH$1001,0),1)&gt;=100000,INDEX($AO$1005:$BQ$1005,1,MATCH(COLUMNS($AO$1006:AO1006),$AO$1006:$BQ$1006,0))&gt;=100000), " ",IF(INDEX($AO$2:$BQ$1001,MATCH(ROWS($AH$2:AH448),$AH$2:$AH$1001,0),MATCH(COLUMNS($AO$1006:AO1006),$AO$1006:$BQ$1006,0)), HYPERLINK("#",""), HYPERLINK(CONCATENATE("#Metadata!", ADDRESS(INDEX($AJ$2:$AJ$1001,MATCH(ROWS($AH$2:AH448),$AH$2:$AH$1001,0),0), INDEX($AO$1004:$BQ$1004,1,MATCH(COLUMNS($AO$1006:AO1006),$AO$1006:$BQ$1006,0)))),"Fix")))</f>
        <v>#N/A</v>
      </c>
      <c r="C448" s="5" t="e">
        <f ca="1">IF(OR(INDEX($AI$2:$AI$1001,MATCH(ROWS($AH$2:AH448),$AH$2:$AH$1001,0),1)&gt;=100000,INDEX($AO$1005:$BQ$1005,1,MATCH(COLUMNS($AO$1006:AP1006),$AO$1006:$BQ$1006,0))&gt;=100000), " ",IF(INDEX($AO$2:$BQ$1001,MATCH(ROWS($AH$2:AH448),$AH$2:$AH$1001,0),MATCH(COLUMNS($AO$1006:AP1006),$AO$1006:$BQ$1006,0)), HYPERLINK("#",""), HYPERLINK(CONCATENATE("#Metadata!", ADDRESS(INDEX($AJ$2:$AJ$1001,MATCH(ROWS($AH$2:AH448),$AH$2:$AH$1001,0),0), INDEX($AO$1004:$BQ$1004,1,MATCH(COLUMNS($AO$1006:AP1006),$AO$1006:$BQ$1006,0)))),"Fix")))</f>
        <v>#N/A</v>
      </c>
      <c r="D448" s="5" t="e">
        <f ca="1">IF(OR(INDEX($AI$2:$AI$1001,MATCH(ROWS($AH$2:AH448),$AH$2:$AH$1001,0),1)&gt;=100000,INDEX($AO$1005:$BQ$1005,1,MATCH(COLUMNS($AO$1006:AQ1006),$AO$1006:$BQ$1006,0))&gt;=100000), " ",IF(INDEX($AO$2:$BQ$1001,MATCH(ROWS($AH$2:AH448),$AH$2:$AH$1001,0),MATCH(COLUMNS($AO$1006:AQ1006),$AO$1006:$BQ$1006,0)), HYPERLINK("#",""), HYPERLINK(CONCATENATE("#Metadata!", ADDRESS(INDEX($AJ$2:$AJ$1001,MATCH(ROWS($AH$2:AH448),$AH$2:$AH$1001,0),0), INDEX($AO$1004:$BQ$1004,1,MATCH(COLUMNS($AO$1006:AQ1006),$AO$1006:$BQ$1006,0)))),"Fix")))</f>
        <v>#N/A</v>
      </c>
      <c r="E448" s="5" t="e">
        <f ca="1">IF(OR(INDEX($AI$2:$AI$1001,MATCH(ROWS($AH$2:AH448),$AH$2:$AH$1001,0),1)&gt;=100000,INDEX($AO$1005:$BQ$1005,1,MATCH(COLUMNS($AO$1006:AR1006),$AO$1006:$BQ$1006,0))&gt;=100000), " ",IF(INDEX($AO$2:$BQ$1001,MATCH(ROWS($AH$2:AH448),$AH$2:$AH$1001,0),MATCH(COLUMNS($AO$1006:AR1006),$AO$1006:$BQ$1006,0)), HYPERLINK("#",""), HYPERLINK(CONCATENATE("#Metadata!", ADDRESS(INDEX($AJ$2:$AJ$1001,MATCH(ROWS($AH$2:AH448),$AH$2:$AH$1001,0),0), INDEX($AO$1004:$BQ$1004,1,MATCH(COLUMNS($AO$1006:AR1006),$AO$1006:$BQ$1006,0)))),"Fix")))</f>
        <v>#N/A</v>
      </c>
      <c r="F448" s="5" t="e">
        <f ca="1">IF(OR(INDEX($AI$2:$AI$1001,MATCH(ROWS($AH$2:AH448),$AH$2:$AH$1001,0),1)&gt;=100000,INDEX($AO$1005:$BQ$1005,1,MATCH(COLUMNS($AO$1006:AS1006),$AO$1006:$BQ$1006,0))&gt;=100000), " ",IF(INDEX($AO$2:$BQ$1001,MATCH(ROWS($AH$2:AH448),$AH$2:$AH$1001,0),MATCH(COLUMNS($AO$1006:AS1006),$AO$1006:$BQ$1006,0)), HYPERLINK("#",""), HYPERLINK(CONCATENATE("#Metadata!", ADDRESS(INDEX($AJ$2:$AJ$1001,MATCH(ROWS($AH$2:AH448),$AH$2:$AH$1001,0),0), INDEX($AO$1004:$BQ$1004,1,MATCH(COLUMNS($AO$1006:AS1006),$AO$1006:$BQ$1006,0)))),"Fix")))</f>
        <v>#N/A</v>
      </c>
      <c r="G448" s="5" t="e">
        <f ca="1">IF(OR(INDEX($AI$2:$AI$1001,MATCH(ROWS($AH$2:AH448),$AH$2:$AH$1001,0),1)&gt;=100000,INDEX($AO$1005:$BQ$1005,1,MATCH(COLUMNS($AO$1006:AT1006),$AO$1006:$BQ$1006,0))&gt;=100000), " ",IF(INDEX($AO$2:$BQ$1001,MATCH(ROWS($AH$2:AH448),$AH$2:$AH$1001,0),MATCH(COLUMNS($AO$1006:AT1006),$AO$1006:$BQ$1006,0)), HYPERLINK("#",""), HYPERLINK(CONCATENATE("#Metadata!", ADDRESS(INDEX($AJ$2:$AJ$1001,MATCH(ROWS($AH$2:AH448),$AH$2:$AH$1001,0),0), INDEX($AO$1004:$BQ$1004,1,MATCH(COLUMNS($AO$1006:AT1006),$AO$1006:$BQ$1006,0)))),"Fix")))</f>
        <v>#N/A</v>
      </c>
      <c r="H448" s="5" t="e">
        <f ca="1">IF(OR(INDEX($AI$2:$AI$1001,MATCH(ROWS($AH$2:AH448),$AH$2:$AH$1001,0),1)&gt;=100000,INDEX($AO$1005:$BQ$1005,1,MATCH(COLUMNS($AO$1006:AU1006),$AO$1006:$BQ$1006,0))&gt;=100000), " ",IF(INDEX($AO$2:$BQ$1001,MATCH(ROWS($AH$2:AH448),$AH$2:$AH$1001,0),MATCH(COLUMNS($AO$1006:AU1006),$AO$1006:$BQ$1006,0)), HYPERLINK("#",""), HYPERLINK(CONCATENATE("#Metadata!", ADDRESS(INDEX($AJ$2:$AJ$1001,MATCH(ROWS($AH$2:AH448),$AH$2:$AH$1001,0),0), INDEX($AO$1004:$BQ$1004,1,MATCH(COLUMNS($AO$1006:AU1006),$AO$1006:$BQ$1006,0)))),"Fix")))</f>
        <v>#N/A</v>
      </c>
      <c r="I448" s="5" t="e">
        <f ca="1">IF(OR(INDEX($AI$2:$AI$1001,MATCH(ROWS($AH$2:AH448),$AH$2:$AH$1001,0),1)&gt;=100000,INDEX($AO$1005:$BQ$1005,1,MATCH(COLUMNS($AO$1006:AV1006),$AO$1006:$BQ$1006,0))&gt;=100000), " ",IF(INDEX($AO$2:$BQ$1001,MATCH(ROWS($AH$2:AH448),$AH$2:$AH$1001,0),MATCH(COLUMNS($AO$1006:AV1006),$AO$1006:$BQ$1006,0)), HYPERLINK("#",""), HYPERLINK(CONCATENATE("#Metadata!", ADDRESS(INDEX($AJ$2:$AJ$1001,MATCH(ROWS($AH$2:AH448),$AH$2:$AH$1001,0),0), INDEX($AO$1004:$BQ$1004,1,MATCH(COLUMNS($AO$1006:AV1006),$AO$1006:$BQ$1006,0)))),"Fix")))</f>
        <v>#N/A</v>
      </c>
      <c r="J448" s="5" t="e">
        <f ca="1">IF(OR(INDEX($AI$2:$AI$1001,MATCH(ROWS($AH$2:AH448),$AH$2:$AH$1001,0),1)&gt;=100000,INDEX($AO$1005:$BQ$1005,1,MATCH(COLUMNS($AO$1006:AW1006),$AO$1006:$BQ$1006,0))&gt;=100000), " ",IF(INDEX($AO$2:$BQ$1001,MATCH(ROWS($AH$2:AH448),$AH$2:$AH$1001,0),MATCH(COLUMNS($AO$1006:AW1006),$AO$1006:$BQ$1006,0)), HYPERLINK("#",""), HYPERLINK(CONCATENATE("#Metadata!", ADDRESS(INDEX($AJ$2:$AJ$1001,MATCH(ROWS($AH$2:AH448),$AH$2:$AH$1001,0),0), INDEX($AO$1004:$BQ$1004,1,MATCH(COLUMNS($AO$1006:AW1006),$AO$1006:$BQ$1006,0)))),"Fix")))</f>
        <v>#N/A</v>
      </c>
      <c r="K448" s="5" t="e">
        <f ca="1">IF(OR(INDEX($AI$2:$AI$1001,MATCH(ROWS($AH$2:AH448),$AH$2:$AH$1001,0),1)&gt;=100000,INDEX($AO$1005:$BQ$1005,1,MATCH(COLUMNS($AO$1006:AX1006),$AO$1006:$BQ$1006,0))&gt;=100000), " ",IF(INDEX($AO$2:$BQ$1001,MATCH(ROWS($AH$2:AH448),$AH$2:$AH$1001,0),MATCH(COLUMNS($AO$1006:AX1006),$AO$1006:$BQ$1006,0)), HYPERLINK("#",""), HYPERLINK(CONCATENATE("#Metadata!", ADDRESS(INDEX($AJ$2:$AJ$1001,MATCH(ROWS($AH$2:AH448),$AH$2:$AH$1001,0),0), INDEX($AO$1004:$BQ$1004,1,MATCH(COLUMNS($AO$1006:AX1006),$AO$1006:$BQ$1006,0)))),"Fix")))</f>
        <v>#N/A</v>
      </c>
      <c r="L448" s="5" t="e">
        <f ca="1">IF(OR(INDEX($AI$2:$AI$1001,MATCH(ROWS($AH$2:AH448),$AH$2:$AH$1001,0),1)&gt;=100000,INDEX($AO$1005:$BQ$1005,1,MATCH(COLUMNS($AO$1006:AY1006),$AO$1006:$BQ$1006,0))&gt;=100000), " ",IF(INDEX($AO$2:$BQ$1001,MATCH(ROWS($AH$2:AH448),$AH$2:$AH$1001,0),MATCH(COLUMNS($AO$1006:AY1006),$AO$1006:$BQ$1006,0)), HYPERLINK("#",""), HYPERLINK(CONCATENATE("#Metadata!", ADDRESS(INDEX($AJ$2:$AJ$1001,MATCH(ROWS($AH$2:AH448),$AH$2:$AH$1001,0),0), INDEX($AO$1004:$BQ$1004,1,MATCH(COLUMNS($AO$1006:AY1006),$AO$1006:$BQ$1006,0)))),"Fix")))</f>
        <v>#N/A</v>
      </c>
      <c r="M448" s="5" t="e">
        <f ca="1">IF(OR(INDEX($AI$2:$AI$1001,MATCH(ROWS($AH$2:AH448),$AH$2:$AH$1001,0),1)&gt;=100000,INDEX($AO$1005:$BQ$1005,1,MATCH(COLUMNS($AO$1006:AZ1006),$AO$1006:$BQ$1006,0))&gt;=100000), " ",IF(INDEX($AO$2:$BQ$1001,MATCH(ROWS($AH$2:AH448),$AH$2:$AH$1001,0),MATCH(COLUMNS($AO$1006:AZ1006),$AO$1006:$BQ$1006,0)), HYPERLINK("#",""), HYPERLINK(CONCATENATE("#Metadata!", ADDRESS(INDEX($AJ$2:$AJ$1001,MATCH(ROWS($AH$2:AH448),$AH$2:$AH$1001,0),0), INDEX($AO$1004:$BQ$1004,1,MATCH(COLUMNS($AO$1006:AZ1006),$AO$1006:$BQ$1006,0)))),"Fix")))</f>
        <v>#N/A</v>
      </c>
      <c r="N448" s="5" t="e">
        <f ca="1">IF(OR(INDEX($AI$2:$AI$1001,MATCH(ROWS($AH$2:AH448),$AH$2:$AH$1001,0),1)&gt;=100000,INDEX($AO$1005:$BQ$1005,1,MATCH(COLUMNS($AO$1006:BA1006),$AO$1006:$BQ$1006,0))&gt;=100000), " ",IF(INDEX($AO$2:$BQ$1001,MATCH(ROWS($AH$2:AH448),$AH$2:$AH$1001,0),MATCH(COLUMNS($AO$1006:BA1006),$AO$1006:$BQ$1006,0)), HYPERLINK("#",""), HYPERLINK(CONCATENATE("#Metadata!", ADDRESS(INDEX($AJ$2:$AJ$1001,MATCH(ROWS($AH$2:AH448),$AH$2:$AH$1001,0),0), INDEX($AO$1004:$BQ$1004,1,MATCH(COLUMNS($AO$1006:BA1006),$AO$1006:$BQ$1006,0)))),"Fix")))</f>
        <v>#N/A</v>
      </c>
      <c r="O448" s="5" t="e">
        <f ca="1">IF(OR(INDEX($AI$2:$AI$1001,MATCH(ROWS($AH$2:AH448),$AH$2:$AH$1001,0),1)&gt;=100000,INDEX($AO$1005:$BQ$1005,1,MATCH(COLUMNS($AO$1006:BB1006),$AO$1006:$BQ$1006,0))&gt;=100000), " ",IF(INDEX($AO$2:$BQ$1001,MATCH(ROWS($AH$2:AH448),$AH$2:$AH$1001,0),MATCH(COLUMNS($AO$1006:BB1006),$AO$1006:$BQ$1006,0)), HYPERLINK("#",""), HYPERLINK(CONCATENATE("#Metadata!", ADDRESS(INDEX($AJ$2:$AJ$1001,MATCH(ROWS($AH$2:AH448),$AH$2:$AH$1001,0),0), INDEX($AO$1004:$BQ$1004,1,MATCH(COLUMNS($AO$1006:BB1006),$AO$1006:$BQ$1006,0)))),"Fix")))</f>
        <v>#N/A</v>
      </c>
      <c r="P448" s="5" t="e">
        <f ca="1">IF(OR(INDEX($AI$2:$AI$1001,MATCH(ROWS($AH$2:AH448),$AH$2:$AH$1001,0),1)&gt;=100000,INDEX($AO$1005:$BQ$1005,1,MATCH(COLUMNS($AO$1006:BC1006),$AO$1006:$BQ$1006,0))&gt;=100000), " ",IF(INDEX($AO$2:$BQ$1001,MATCH(ROWS($AH$2:AH448),$AH$2:$AH$1001,0),MATCH(COLUMNS($AO$1006:BC1006),$AO$1006:$BQ$1006,0)), HYPERLINK("#",""), HYPERLINK(CONCATENATE("#Metadata!", ADDRESS(INDEX($AJ$2:$AJ$1001,MATCH(ROWS($AH$2:AH448),$AH$2:$AH$1001,0),0), INDEX($AO$1004:$BQ$1004,1,MATCH(COLUMNS($AO$1006:BC1006),$AO$1006:$BQ$1006,0)))),"Fix")))</f>
        <v>#N/A</v>
      </c>
      <c r="Q448" s="5" t="e">
        <f ca="1">IF(OR(INDEX($AI$2:$AI$1001,MATCH(ROWS($AH$2:AH448),$AH$2:$AH$1001,0),1)&gt;=100000,INDEX($AO$1005:$BQ$1005,1,MATCH(COLUMNS($AO$1006:BD1006),$AO$1006:$BQ$1006,0))&gt;=100000), " ",IF(INDEX($AO$2:$BQ$1001,MATCH(ROWS($AH$2:AH448),$AH$2:$AH$1001,0),MATCH(COLUMNS($AO$1006:BD1006),$AO$1006:$BQ$1006,0)), HYPERLINK("#",""), HYPERLINK(CONCATENATE("#Metadata!", ADDRESS(INDEX($AJ$2:$AJ$1001,MATCH(ROWS($AH$2:AH448),$AH$2:$AH$1001,0),0), INDEX($AO$1004:$BQ$1004,1,MATCH(COLUMNS($AO$1006:BD1006),$AO$1006:$BQ$1006,0)))),"Fix")))</f>
        <v>#N/A</v>
      </c>
      <c r="R448" s="5" t="e">
        <f ca="1">IF(OR(INDEX($AI$2:$AI$1001,MATCH(ROWS($AH$2:AH448),$AH$2:$AH$1001,0),1)&gt;=100000,INDEX($AO$1005:$BQ$1005,1,MATCH(COLUMNS($AO$1006:BE1006),$AO$1006:$BQ$1006,0))&gt;=100000), " ",IF(INDEX($AO$2:$BQ$1001,MATCH(ROWS($AH$2:AH448),$AH$2:$AH$1001,0),MATCH(COLUMNS($AO$1006:BE1006),$AO$1006:$BQ$1006,0)), HYPERLINK("#",""), HYPERLINK(CONCATENATE("#Metadata!", ADDRESS(INDEX($AJ$2:$AJ$1001,MATCH(ROWS($AH$2:AH448),$AH$2:$AH$1001,0),0), INDEX($AO$1004:$BQ$1004,1,MATCH(COLUMNS($AO$1006:BE1006),$AO$1006:$BQ$1006,0)))),"Fix")))</f>
        <v>#N/A</v>
      </c>
      <c r="S448" s="5" t="e">
        <f ca="1">IF(OR(INDEX($AI$2:$AI$1001,MATCH(ROWS($AH$2:AH448),$AH$2:$AH$1001,0),1)&gt;=100000,INDEX($AO$1005:$BQ$1005,1,MATCH(COLUMNS($AO$1006:BF1006),$AO$1006:$BQ$1006,0))&gt;=100000), " ",IF(INDEX($AO$2:$BQ$1001,MATCH(ROWS($AH$2:AH448),$AH$2:$AH$1001,0),MATCH(COLUMNS($AO$1006:BF1006),$AO$1006:$BQ$1006,0)), HYPERLINK("#",""), HYPERLINK(CONCATENATE("#Metadata!", ADDRESS(INDEX($AJ$2:$AJ$1001,MATCH(ROWS($AH$2:AH448),$AH$2:$AH$1001,0),0), INDEX($AO$1004:$BQ$1004,1,MATCH(COLUMNS($AO$1006:BF1006),$AO$1006:$BQ$1006,0)))),"Fix")))</f>
        <v>#N/A</v>
      </c>
      <c r="T448" s="5" t="e">
        <f ca="1">IF(OR(INDEX($AI$2:$AI$1001,MATCH(ROWS($AH$2:AH448),$AH$2:$AH$1001,0),1)&gt;=100000,INDEX($AO$1005:$BQ$1005,1,MATCH(COLUMNS($AO$1006:BG1006),$AO$1006:$BQ$1006,0))&gt;=100000), " ",IF(INDEX($AO$2:$BQ$1001,MATCH(ROWS($AH$2:AH448),$AH$2:$AH$1001,0),MATCH(COLUMNS($AO$1006:BG1006),$AO$1006:$BQ$1006,0)), HYPERLINK("#",""), HYPERLINK(CONCATENATE("#Metadata!", ADDRESS(INDEX($AJ$2:$AJ$1001,MATCH(ROWS($AH$2:AH448),$AH$2:$AH$1001,0),0), INDEX($AO$1004:$BQ$1004,1,MATCH(COLUMNS($AO$1006:BG1006),$AO$1006:$BQ$1006,0)))),"Fix")))</f>
        <v>#N/A</v>
      </c>
      <c r="U448" s="5" t="e">
        <f ca="1">IF(OR(INDEX($AI$2:$AI$1001,MATCH(ROWS($AH$2:AH448),$AH$2:$AH$1001,0),1)&gt;=100000,INDEX($AO$1005:$BQ$1005,1,MATCH(COLUMNS($AO$1006:BH1006),$AO$1006:$BQ$1006,0))&gt;=100000), " ",IF(INDEX($AO$2:$BQ$1001,MATCH(ROWS($AH$2:AH448),$AH$2:$AH$1001,0),MATCH(COLUMNS($AO$1006:BH1006),$AO$1006:$BQ$1006,0)), HYPERLINK("#",""), HYPERLINK(CONCATENATE("#Metadata!", ADDRESS(INDEX($AJ$2:$AJ$1001,MATCH(ROWS($AH$2:AH448),$AH$2:$AH$1001,0),0), INDEX($AO$1004:$BQ$1004,1,MATCH(COLUMNS($AO$1006:BH1006),$AO$1006:$BQ$1006,0)))),"Fix")))</f>
        <v>#N/A</v>
      </c>
      <c r="V448" s="5" t="e">
        <f ca="1">IF(OR(INDEX($AI$2:$AI$1001,MATCH(ROWS($AH$2:AH448),$AH$2:$AH$1001,0),1)&gt;=100000,INDEX($AO$1005:$BQ$1005,1,MATCH(COLUMNS($AO$1006:BI1006),$AO$1006:$BQ$1006,0))&gt;=100000), " ",IF(INDEX($AO$2:$BQ$1001,MATCH(ROWS($AH$2:AH448),$AH$2:$AH$1001,0),MATCH(COLUMNS($AO$1006:BI1006),$AO$1006:$BQ$1006,0)), HYPERLINK("#",""), HYPERLINK(CONCATENATE("#Metadata!", ADDRESS(INDEX($AJ$2:$AJ$1001,MATCH(ROWS($AH$2:AH448),$AH$2:$AH$1001,0),0), INDEX($AO$1004:$BQ$1004,1,MATCH(COLUMNS($AO$1006:BI1006),$AO$1006:$BQ$1006,0)))),"Fix")))</f>
        <v>#N/A</v>
      </c>
      <c r="W448" s="5" t="e">
        <f ca="1">IF(OR(INDEX($AI$2:$AI$1001,MATCH(ROWS($AH$2:AH448),$AH$2:$AH$1001,0),1)&gt;=100000,INDEX($AO$1005:$BQ$1005,1,MATCH(COLUMNS($AO$1006:BJ1006),$AO$1006:$BQ$1006,0))&gt;=100000), " ",IF(INDEX($AO$2:$BQ$1001,MATCH(ROWS($AH$2:AH448),$AH$2:$AH$1001,0),MATCH(COLUMNS($AO$1006:BJ1006),$AO$1006:$BQ$1006,0)), HYPERLINK("#",""), HYPERLINK(CONCATENATE("#Metadata!", ADDRESS(INDEX($AJ$2:$AJ$1001,MATCH(ROWS($AH$2:AH448),$AH$2:$AH$1001,0),0), INDEX($AO$1004:$BQ$1004,1,MATCH(COLUMNS($AO$1006:BJ1006),$AO$1006:$BQ$1006,0)))),"Fix")))</f>
        <v>#N/A</v>
      </c>
      <c r="X448" s="5" t="e">
        <f ca="1">IF(OR(INDEX($AI$2:$AI$1001,MATCH(ROWS($AH$2:AH448),$AH$2:$AH$1001,0),1)&gt;=100000,INDEX($AO$1005:$BQ$1005,1,MATCH(COLUMNS($AO$1006:BK1006),$AO$1006:$BQ$1006,0))&gt;=100000), " ",IF(INDEX($AO$2:$BQ$1001,MATCH(ROWS($AH$2:AH448),$AH$2:$AH$1001,0),MATCH(COLUMNS($AO$1006:BK1006),$AO$1006:$BQ$1006,0)), HYPERLINK("#",""), HYPERLINK(CONCATENATE("#Metadata!", ADDRESS(INDEX($AJ$2:$AJ$1001,MATCH(ROWS($AH$2:AH448),$AH$2:$AH$1001,0),0), INDEX($AO$1004:$BQ$1004,1,MATCH(COLUMNS($AO$1006:BK1006),$AO$1006:$BQ$1006,0)))),"Fix")))</f>
        <v>#N/A</v>
      </c>
      <c r="Y448" s="5" t="e">
        <f ca="1">IF(OR(INDEX($AI$2:$AI$1001,MATCH(ROWS($AH$2:AH448),$AH$2:$AH$1001,0),1)&gt;=100000,INDEX($AO$1005:$BQ$1005,1,MATCH(COLUMNS($AO$1006:BL1006),$AO$1006:$BQ$1006,0))&gt;=100000), " ",IF(INDEX($AO$2:$BQ$1001,MATCH(ROWS($AH$2:AH448),$AH$2:$AH$1001,0),MATCH(COLUMNS($AO$1006:BL1006),$AO$1006:$BQ$1006,0)), HYPERLINK("#",""), HYPERLINK(CONCATENATE("#Metadata!", ADDRESS(INDEX($AJ$2:$AJ$1001,MATCH(ROWS($AH$2:AH448),$AH$2:$AH$1001,0),0), INDEX($AO$1004:$BQ$1004,1,MATCH(COLUMNS($AO$1006:BL1006),$AO$1006:$BQ$1006,0)))),"Fix")))</f>
        <v>#N/A</v>
      </c>
      <c r="Z448" s="5" t="e">
        <f ca="1">IF(OR(INDEX($AI$2:$AI$1001,MATCH(ROWS($AH$2:AH448),$AH$2:$AH$1001,0),1)&gt;=100000,INDEX($AO$1005:$BQ$1005,1,MATCH(COLUMNS($AO$1006:BM1006),$AO$1006:$BQ$1006,0))&gt;=100000), " ",IF(INDEX($AO$2:$BQ$1001,MATCH(ROWS($AH$2:AH448),$AH$2:$AH$1001,0),MATCH(COLUMNS($AO$1006:BM1006),$AO$1006:$BQ$1006,0)), HYPERLINK("#",""), HYPERLINK(CONCATENATE("#Metadata!", ADDRESS(INDEX($AJ$2:$AJ$1001,MATCH(ROWS($AH$2:AH448),$AH$2:$AH$1001,0),0), INDEX($AO$1004:$BQ$1004,1,MATCH(COLUMNS($AO$1006:BM1006),$AO$1006:$BQ$1006,0)))),"Fix")))</f>
        <v>#N/A</v>
      </c>
      <c r="AA448" s="5" t="e">
        <f ca="1">IF(OR(INDEX($AI$2:$AI$1001,MATCH(ROWS($AH$2:AH448),$AH$2:$AH$1001,0),1)&gt;=100000,INDEX($AO$1005:$BQ$1005,1,MATCH(COLUMNS($AO$1006:BN1006),$AO$1006:$BQ$1006,0))&gt;=100000), " ",IF(INDEX($AO$2:$BQ$1001,MATCH(ROWS($AH$2:AH448),$AH$2:$AH$1001,0),MATCH(COLUMNS($AO$1006:BN1006),$AO$1006:$BQ$1006,0)), HYPERLINK("#",""), HYPERLINK(CONCATENATE("#Metadata!", ADDRESS(INDEX($AJ$2:$AJ$1001,MATCH(ROWS($AH$2:AH448),$AH$2:$AH$1001,0),0), INDEX($AO$1004:$BQ$1004,1,MATCH(COLUMNS($AO$1006:BN1006),$AO$1006:$BQ$1006,0)))),"Fix")))</f>
        <v>#N/A</v>
      </c>
      <c r="AB448" s="5" t="e">
        <f ca="1">IF(OR(INDEX($AI$2:$AI$1001,MATCH(ROWS($AH$2:AH448),$AH$2:$AH$1001,0),1)&gt;=100000,INDEX($AO$1005:$BQ$1005,1,MATCH(COLUMNS($AO$1006:BO1006),$AO$1006:$BQ$1006,0))&gt;=100000), " ",IF(INDEX($AO$2:$BQ$1001,MATCH(ROWS($AH$2:AH448),$AH$2:$AH$1001,0),MATCH(COLUMNS($AO$1006:BO1006),$AO$1006:$BQ$1006,0)), HYPERLINK("#",""), HYPERLINK(CONCATENATE("#Metadata!", ADDRESS(INDEX($AJ$2:$AJ$1001,MATCH(ROWS($AH$2:AH448),$AH$2:$AH$1001,0),0), INDEX($AO$1004:$BQ$1004,1,MATCH(COLUMNS($AO$1006:BO1006),$AO$1006:$BQ$1006,0)))),"Fix")))</f>
        <v>#N/A</v>
      </c>
      <c r="AC448" s="5" t="e">
        <f ca="1">IF(OR(INDEX($AI$2:$AI$1001,MATCH(ROWS($AH$2:AH448),$AH$2:$AH$1001,0),1)&gt;=100000,INDEX($AO$1005:$BQ$1005,1,MATCH(COLUMNS($AO$1006:BP1006),$AO$1006:$BQ$1006,0))&gt;=100000), " ",IF(INDEX($AO$2:$BQ$1001,MATCH(ROWS($AH$2:AH448),$AH$2:$AH$1001,0),MATCH(COLUMNS($AO$1006:BP1006),$AO$1006:$BQ$1006,0)), HYPERLINK("#",""), HYPERLINK(CONCATENATE("#Metadata!", ADDRESS(INDEX($AJ$2:$AJ$1001,MATCH(ROWS($AH$2:AH448),$AH$2:$AH$1001,0),0), INDEX($AO$1004:$BQ$1004,1,MATCH(COLUMNS($AO$1006:BP1006),$AO$1006:$BQ$1006,0)))),"Fix")))</f>
        <v>#N/A</v>
      </c>
      <c r="AD448" s="5" t="e">
        <f ca="1">IF(OR(INDEX($AI$2:$AI$1001,MATCH(ROWS($AH$2:AH448),$AH$2:$AH$1001,0),1)&gt;=100000,INDEX($AO$1005:$BQ$1005,1,MATCH(COLUMNS($AO$1006:BQ1006),$AO$1006:$BQ$1006,0))&gt;=100000), " ",IF(INDEX($AO$2:$BQ$1001,MATCH(ROWS($AH$2:AH448),$AH$2:$AH$1001,0),MATCH(COLUMNS($AO$1006:BQ1006),$AO$1006:$BQ$1006,0)), HYPERLINK("#",""), HYPERLINK(CONCATENATE("#Metadata!", ADDRESS(INDEX($AJ$2:$AJ$1001,MATCH(ROWS($AH$2:AH448),$AH$2:$AH$1001,0),0), INDEX($AO$1004:$BQ$1004,1,MATCH(COLUMNS($AO$1006:BQ1006),$AO$1006:$BQ$1006,0)))),"Fix")))</f>
        <v>#REF!</v>
      </c>
      <c r="AH448">
        <f ca="1"/>
        <v>445</v>
      </c>
      <c r="AI448">
        <v>100448</v>
      </c>
      <c r="AJ448">
        <v>448</v>
      </c>
      <c r="AK448" t="b">
        <f t="shared" si="6"/>
        <v>1</v>
      </c>
      <c r="AL448" t="b">
        <f>COUNTBLANK(Metadata!B448:AD448)=COLUMNS(Metadata!B448:AD448)</f>
        <v>1</v>
      </c>
      <c r="AM448" t="str">
        <v/>
      </c>
      <c r="AO448" t="b">
        <f ca="1">AND(IF(Metadata!B448="",FALSE,TRUE),COUNTIF(Metadata!B:B, Metadata!B448) = 1,NOT(ISERROR(SUMPRODUCT(SEARCH(MID(Metadata!B448,ROW(INDIRECT("1:"&amp;LEN(Metadata!B448))), 1),"0123456789abcdefghijklmnopqrstuvwxyzABCDEFGHIJKLMNOPQRSTUVWXYZ.")))))</f>
        <v>0</v>
      </c>
      <c r="AP448" t="b">
        <f>IF(Metadata!C448="",FALSE,TRUE)</f>
        <v>0</v>
      </c>
      <c r="AQ448" t="b">
        <f>IF(Metadata!D448="",FALSE,TRUE)</f>
        <v>0</v>
      </c>
      <c r="AR448" t="b">
        <f ca="1">OR(AND(IF(Metadata!E448="",FALSE,TRUE),OR(EXACT(Metadata!E448,"not collected"),EXACT(Metadata!E448,"not provided"),EXACT(Metadata!E448,"restricted access"))),AND(IF(Metadata!E448="",FALSE,TRUE),AND(AND(IFERROR(INT(LEFT(Metadata!E448,4))&gt;1900,FALSE),IFERROR(INT(LEFT(Metadata!E448,4))&lt;=YEAR(NOW()),FALSE)), OR(MID(Metadata!E448,5,1)="", AND(AND(MID(Metadata!E448,5,1)="-",IFERROR(INT(MID(Metadata!E448,6,1))&gt;=0,FALSE),IFERROR(INT(MID(Metadata!E448,6,1))&lt;=1,FALSE),NOT(MID(Metadata!E448,7,1)=""),IFERROR(INT(MID(Metadata!E448,6,2))&gt;=1,FALSE),IFERROR(INT(MID(Metadata!E448,6,2))&lt;=12,FALSE)), OR(MID(Metadata!E448,8,1)="", AND(AND(MID(Metadata!E448,8,1)="-",IFERROR(INT(MID(Metadata!E448,9,1))&gt;=0,FALSE),IFERROR(INT(MID(Metadata!E448,9,1))&lt;=3,FALSE),NOT(MID(Metadata!E448,10,1)=""),IFERROR(INT(MID(Metadata!E448,9,2))&gt;=1,FALSE),IFERROR(INT(MID(Metadata!E448,9,2))&lt;=31,FALSE)), OR(MID(Metadata!E448,11,1)="", AND(AND(MID(Metadata!E448,11,1)=" ",IFERROR(INT(MID(Metadata!E448,12,1))&gt;=0,FALSE),IFERROR(INT(MID(Metadata!E448,12,1))&lt;=2,FALSE),NOT(MID(Metadata!E448,13,1)=""),IFERROR(INT(MID(Metadata!E448,12,2))&gt;=0,FALSE),IFERROR(INT(MID(Metadata!E448,12,2))&lt;=23,FALSE)), OR(MID(Metadata!E448,14,1)="", AND(AND(MID(Metadata!E448,14,1)=":",IFERROR(INT(MID(Metadata!E448,15,1))&gt;=0,FALSE),IFERROR(INT(MID(Metadata!E448,15,1))&lt;=5,FALSE),NOT(MID(Metadata!E448,16,1)=""),IFERROR(INT(MID(Metadata!E448,15,2))&gt;=0,FALSE),IFERROR(INT(MID(Metadata!E448,15,2))&lt;=59,FALSE)), OR(MID(Metadata!E448,17,1)="", AND(AND(MID(Metadata!E448,17,1)=":",IFERROR(INT(MID(Metadata!E448,18,1))&gt;=0,FALSE),IFERROR(INT(MID(Metadata!E448,18,1))&lt;=5,FALSE),NOT(MID(Metadata!E448,19,1)=""),IFERROR(INT(MID(Metadata!E448,18,2))&gt;=0,FALSE),IFERROR(INT(MID(Metadata!E448,18,2))&lt;=59,FALSE)), LEN(Metadata!E448)&lt;=19)))))))))))))</f>
        <v>0</v>
      </c>
      <c r="AS448" t="b">
        <f>IF(Metadata!F448="",FALSE,TRUE)</f>
        <v>0</v>
      </c>
      <c r="AT448" t="b">
        <f>OR(AND(IF(Metadata!G448="",FALSE,TRUE),OR(EXACT(Metadata!G448,"not collected"),EXACT(Metadata!G448,"not provided"))),AND(IF(Metadata!G448="",FALSE,TRUE),OR(EXACT(Metadata!G448,"TRUE"),EXACT(Metadata!G448,"FALSE"))))</f>
        <v>0</v>
      </c>
      <c r="AU448" t="b">
        <f>OR(AND(IF(Metadata!H448="",FALSE,TRUE),OR(EXACT(Metadata!H448,"not collected"),EXACT(Metadata!H448,"not provided"),EXACT(Metadata!H448,"restricted access"))),AND(IF(Metadata!H448="",FALSE,ISNUMBER(VALUE(Metadata!H448))),Metadata!H448&gt;=-413))</f>
        <v>0</v>
      </c>
      <c r="AV448" t="b">
        <f>AND(IF(Metadata!I448="",FALSE,TRUE),EXACT(Metadata!I448,"meters"))</f>
        <v>0</v>
      </c>
      <c r="AW448" t="b">
        <f>AND(IF(Metadata!J448="",FALSE,TRUE),EXACT(Metadata!J448,"free-living"))</f>
        <v>0</v>
      </c>
      <c r="AX448" t="b">
        <f>AND(IF(Metadata!K448="",FALSE,TRUE),OR(EXACT(Metadata!K448,"saline"),EXACT(Metadata!K448,"non-saline")))</f>
        <v>0</v>
      </c>
      <c r="AY448" t="b">
        <f>AND(IF(Metadata!L448="",FALSE,TRUE),OR(EXACT(Metadata!L448,"sub-surface (non-saline)"),EXACT(Metadata!L448,"surface (non-saline)"),EXACT(Metadata!L448,"water (non-saline)"),EXACT(Metadata!L448,"soil (non-saline)"),EXACT(Metadata!L448,"aerosol (non-saline)"),EXACT(Metadata!L448,"sediment (non-saline)"),EXACT(Metadata!L448,"surface (saline)"),EXACT(Metadata!L448,"water (saline)"),EXACT(Metadata!L448,"hypersaline (saline)"),EXACT(Metadata!L448,"aerosol (saline)"),EXACT(Metadata!L448,"sediment (saline)")))</f>
        <v>0</v>
      </c>
      <c r="AZ448" t="b">
        <f>IF(Metadata!M448="",FALSE,TRUE)</f>
        <v>0</v>
      </c>
      <c r="BA448" t="b">
        <f>IF(Metadata!N448="",FALSE,TRUE)</f>
        <v>0</v>
      </c>
      <c r="BB448" t="b">
        <f>IF(Metadata!O448="",FALSE,TRUE)</f>
        <v>0</v>
      </c>
      <c r="BC448" t="b">
        <f>AND(IF(Metadata!P448="",FALSE,TRUE),OR(EXACT(Metadata!P448,"air"),EXACT(Metadata!P448,"microbial mat/biofilm"),EXACT(Metadata!P448,"misc environment"),EXACT(Metadata!P448,"sediment"),EXACT(Metadata!P448,"soil"),EXACT(Metadata!P448,"wastewater/sludge"),EXACT(Metadata!P448,"water")))</f>
        <v>0</v>
      </c>
      <c r="BD448" t="b">
        <f>IF(Metadata!Q448="",FALSE,TRUE)</f>
        <v>0</v>
      </c>
      <c r="BE448" t="b">
        <f>IF(Metadata!R448="",FALSE,TRUE)</f>
        <v>0</v>
      </c>
      <c r="BF448" t="b">
        <f>OR(AND(IF(Metadata!S448="",FALSE,TRUE),OR(EXACT(Metadata!S448,"not collected"),EXACT(Metadata!S448,"not provided"),EXACT(Metadata!S448,"restricted access"))),AND(IF(Metadata!S448="",FALSE,ISNUMBER(VALUE(Metadata!S448))),Metadata!S448&gt;=-90,Metadata!S448&lt;=90))</f>
        <v>0</v>
      </c>
      <c r="BG448" t="b">
        <f>AND(IF(Metadata!T448="",FALSE,TRUE),EXACT(Metadata!T448,"Decimal degrees"))</f>
        <v>0</v>
      </c>
      <c r="BH448" t="b">
        <f>OR(AND(IF(Metadata!U448="",FALSE,TRUE),OR(EXACT(Metadata!U448,"not applicable"),EXACT(Metadata!U448,"not collected"))),IF(Metadata!U448="",FALSE,TRUE))</f>
        <v>0</v>
      </c>
      <c r="BI448" t="b">
        <f>OR(AND(IF(Metadata!V448="",FALSE,TRUE),OR(EXACT(Metadata!V448,"not collected"),EXACT(Metadata!V448,"not provided"),EXACT(Metadata!V448,"restricted access"))),AND(IF(Metadata!V448="",FALSE,ISNUMBER(VALUE(Metadata!V448))),Metadata!V448&gt;=-180,Metadata!V448&lt;=180))</f>
        <v>0</v>
      </c>
      <c r="BJ448" t="b">
        <f>AND(IF(Metadata!W448="",FALSE,TRUE),EXACT(Metadata!W448,"Decimal degrees"))</f>
        <v>0</v>
      </c>
      <c r="BK448" t="b">
        <f>IF(Metadata!X448="",FALSE,TRUE)</f>
        <v>0</v>
      </c>
      <c r="BL448" t="b">
        <f>OR(AND(IF(Metadata!Y448="",FALSE,TRUE),OR(EXACT(Metadata!Y448,"not collected"),EXACT(Metadata!Y448,"not provided"),EXACT(Metadata!Y448,"restricted access"))),AND(IF(Metadata!Y448="",FALSE,TRUE),OR(EXACT(Metadata!Y448,"TRUE"),EXACT(Metadata!Y448,"FALSE"))))</f>
        <v>0</v>
      </c>
      <c r="BM448" t="b">
        <f>OR(AND(IF(Metadata!Z448="",FALSE,TRUE),EXACT(Metadata!Z448,"not applicable")),AND(IF(Metadata!Z448="",FALSE,TRUE),OR(EXACT(Metadata!Z448,"beer"),EXACT(Metadata!Z448,"cheese"),EXACT(Metadata!Z448,"fresh water"),EXACT(Metadata!Z448,"marine sediment"),EXACT(Metadata!Z448,"sea water"),EXACT(Metadata!Z448,"sediment"),EXACT(Metadata!Z448,"soil"),EXACT(Metadata!Z448,"waste water"))))</f>
        <v>0</v>
      </c>
      <c r="BN448" t="b">
        <f>AND(IF(Metadata!AA448="",FALSE,TRUE),EXACT(Metadata!AA448,"metagenome"))</f>
        <v>0</v>
      </c>
      <c r="BO448" t="b">
        <f>AND(IF(Metadata!AB448="",FALSE,TRUE),EXACT(Metadata!AB448,"256318"))</f>
        <v>0</v>
      </c>
      <c r="BP448" t="b">
        <f>IF(Metadata!AC448="",FALSE,TRUE)</f>
        <v>0</v>
      </c>
      <c r="BQ448" t="b">
        <f>IF(Metadata!AD448="",FALSE,TRUE)</f>
        <v>0</v>
      </c>
    </row>
    <row r="449" spans="1:69" x14ac:dyDescent="0.2">
      <c r="A449" s="4" t="e">
        <f ca="1">IF(B449=" "," ",HYPERLINK(CONCATENATE("#metadata!",ADDRESS(INDEX($AJ$2:$AJ$1001,MATCH(ROWS($AH$2:AH449),$AH$2:$AH$1001,0),0),2)),INDEX($AM$2:$AM$1001,MATCH(ROWS($AH$2:AH449),$AH$2:$AH$1001,0),0)))</f>
        <v>#N/A</v>
      </c>
      <c r="B449" s="5" t="e">
        <f ca="1">IF(OR(INDEX($AI$2:$AI$1001,MATCH(ROWS($AH$2:AH449),$AH$2:$AH$1001,0),1)&gt;=100000,INDEX($AO$1005:$BQ$1005,1,MATCH(COLUMNS($AO$1006:AO1006),$AO$1006:$BQ$1006,0))&gt;=100000), " ",IF(INDEX($AO$2:$BQ$1001,MATCH(ROWS($AH$2:AH449),$AH$2:$AH$1001,0),MATCH(COLUMNS($AO$1006:AO1006),$AO$1006:$BQ$1006,0)), HYPERLINK("#",""), HYPERLINK(CONCATENATE("#Metadata!", ADDRESS(INDEX($AJ$2:$AJ$1001,MATCH(ROWS($AH$2:AH449),$AH$2:$AH$1001,0),0), INDEX($AO$1004:$BQ$1004,1,MATCH(COLUMNS($AO$1006:AO1006),$AO$1006:$BQ$1006,0)))),"Fix")))</f>
        <v>#N/A</v>
      </c>
      <c r="C449" s="5" t="e">
        <f ca="1">IF(OR(INDEX($AI$2:$AI$1001,MATCH(ROWS($AH$2:AH449),$AH$2:$AH$1001,0),1)&gt;=100000,INDEX($AO$1005:$BQ$1005,1,MATCH(COLUMNS($AO$1006:AP1006),$AO$1006:$BQ$1006,0))&gt;=100000), " ",IF(INDEX($AO$2:$BQ$1001,MATCH(ROWS($AH$2:AH449),$AH$2:$AH$1001,0),MATCH(COLUMNS($AO$1006:AP1006),$AO$1006:$BQ$1006,0)), HYPERLINK("#",""), HYPERLINK(CONCATENATE("#Metadata!", ADDRESS(INDEX($AJ$2:$AJ$1001,MATCH(ROWS($AH$2:AH449),$AH$2:$AH$1001,0),0), INDEX($AO$1004:$BQ$1004,1,MATCH(COLUMNS($AO$1006:AP1006),$AO$1006:$BQ$1006,0)))),"Fix")))</f>
        <v>#N/A</v>
      </c>
      <c r="D449" s="5" t="e">
        <f ca="1">IF(OR(INDEX($AI$2:$AI$1001,MATCH(ROWS($AH$2:AH449),$AH$2:$AH$1001,0),1)&gt;=100000,INDEX($AO$1005:$BQ$1005,1,MATCH(COLUMNS($AO$1006:AQ1006),$AO$1006:$BQ$1006,0))&gt;=100000), " ",IF(INDEX($AO$2:$BQ$1001,MATCH(ROWS($AH$2:AH449),$AH$2:$AH$1001,0),MATCH(COLUMNS($AO$1006:AQ1006),$AO$1006:$BQ$1006,0)), HYPERLINK("#",""), HYPERLINK(CONCATENATE("#Metadata!", ADDRESS(INDEX($AJ$2:$AJ$1001,MATCH(ROWS($AH$2:AH449),$AH$2:$AH$1001,0),0), INDEX($AO$1004:$BQ$1004,1,MATCH(COLUMNS($AO$1006:AQ1006),$AO$1006:$BQ$1006,0)))),"Fix")))</f>
        <v>#N/A</v>
      </c>
      <c r="E449" s="5" t="e">
        <f ca="1">IF(OR(INDEX($AI$2:$AI$1001,MATCH(ROWS($AH$2:AH449),$AH$2:$AH$1001,0),1)&gt;=100000,INDEX($AO$1005:$BQ$1005,1,MATCH(COLUMNS($AO$1006:AR1006),$AO$1006:$BQ$1006,0))&gt;=100000), " ",IF(INDEX($AO$2:$BQ$1001,MATCH(ROWS($AH$2:AH449),$AH$2:$AH$1001,0),MATCH(COLUMNS($AO$1006:AR1006),$AO$1006:$BQ$1006,0)), HYPERLINK("#",""), HYPERLINK(CONCATENATE("#Metadata!", ADDRESS(INDEX($AJ$2:$AJ$1001,MATCH(ROWS($AH$2:AH449),$AH$2:$AH$1001,0),0), INDEX($AO$1004:$BQ$1004,1,MATCH(COLUMNS($AO$1006:AR1006),$AO$1006:$BQ$1006,0)))),"Fix")))</f>
        <v>#N/A</v>
      </c>
      <c r="F449" s="5" t="e">
        <f ca="1">IF(OR(INDEX($AI$2:$AI$1001,MATCH(ROWS($AH$2:AH449),$AH$2:$AH$1001,0),1)&gt;=100000,INDEX($AO$1005:$BQ$1005,1,MATCH(COLUMNS($AO$1006:AS1006),$AO$1006:$BQ$1006,0))&gt;=100000), " ",IF(INDEX($AO$2:$BQ$1001,MATCH(ROWS($AH$2:AH449),$AH$2:$AH$1001,0),MATCH(COLUMNS($AO$1006:AS1006),$AO$1006:$BQ$1006,0)), HYPERLINK("#",""), HYPERLINK(CONCATENATE("#Metadata!", ADDRESS(INDEX($AJ$2:$AJ$1001,MATCH(ROWS($AH$2:AH449),$AH$2:$AH$1001,0),0), INDEX($AO$1004:$BQ$1004,1,MATCH(COLUMNS($AO$1006:AS1006),$AO$1006:$BQ$1006,0)))),"Fix")))</f>
        <v>#N/A</v>
      </c>
      <c r="G449" s="5" t="e">
        <f ca="1">IF(OR(INDEX($AI$2:$AI$1001,MATCH(ROWS($AH$2:AH449),$AH$2:$AH$1001,0),1)&gt;=100000,INDEX($AO$1005:$BQ$1005,1,MATCH(COLUMNS($AO$1006:AT1006),$AO$1006:$BQ$1006,0))&gt;=100000), " ",IF(INDEX($AO$2:$BQ$1001,MATCH(ROWS($AH$2:AH449),$AH$2:$AH$1001,0),MATCH(COLUMNS($AO$1006:AT1006),$AO$1006:$BQ$1006,0)), HYPERLINK("#",""), HYPERLINK(CONCATENATE("#Metadata!", ADDRESS(INDEX($AJ$2:$AJ$1001,MATCH(ROWS($AH$2:AH449),$AH$2:$AH$1001,0),0), INDEX($AO$1004:$BQ$1004,1,MATCH(COLUMNS($AO$1006:AT1006),$AO$1006:$BQ$1006,0)))),"Fix")))</f>
        <v>#N/A</v>
      </c>
      <c r="H449" s="5" t="e">
        <f ca="1">IF(OR(INDEX($AI$2:$AI$1001,MATCH(ROWS($AH$2:AH449),$AH$2:$AH$1001,0),1)&gt;=100000,INDEX($AO$1005:$BQ$1005,1,MATCH(COLUMNS($AO$1006:AU1006),$AO$1006:$BQ$1006,0))&gt;=100000), " ",IF(INDEX($AO$2:$BQ$1001,MATCH(ROWS($AH$2:AH449),$AH$2:$AH$1001,0),MATCH(COLUMNS($AO$1006:AU1006),$AO$1006:$BQ$1006,0)), HYPERLINK("#",""), HYPERLINK(CONCATENATE("#Metadata!", ADDRESS(INDEX($AJ$2:$AJ$1001,MATCH(ROWS($AH$2:AH449),$AH$2:$AH$1001,0),0), INDEX($AO$1004:$BQ$1004,1,MATCH(COLUMNS($AO$1006:AU1006),$AO$1006:$BQ$1006,0)))),"Fix")))</f>
        <v>#N/A</v>
      </c>
      <c r="I449" s="5" t="e">
        <f ca="1">IF(OR(INDEX($AI$2:$AI$1001,MATCH(ROWS($AH$2:AH449),$AH$2:$AH$1001,0),1)&gt;=100000,INDEX($AO$1005:$BQ$1005,1,MATCH(COLUMNS($AO$1006:AV1006),$AO$1006:$BQ$1006,0))&gt;=100000), " ",IF(INDEX($AO$2:$BQ$1001,MATCH(ROWS($AH$2:AH449),$AH$2:$AH$1001,0),MATCH(COLUMNS($AO$1006:AV1006),$AO$1006:$BQ$1006,0)), HYPERLINK("#",""), HYPERLINK(CONCATENATE("#Metadata!", ADDRESS(INDEX($AJ$2:$AJ$1001,MATCH(ROWS($AH$2:AH449),$AH$2:$AH$1001,0),0), INDEX($AO$1004:$BQ$1004,1,MATCH(COLUMNS($AO$1006:AV1006),$AO$1006:$BQ$1006,0)))),"Fix")))</f>
        <v>#N/A</v>
      </c>
      <c r="J449" s="5" t="e">
        <f ca="1">IF(OR(INDEX($AI$2:$AI$1001,MATCH(ROWS($AH$2:AH449),$AH$2:$AH$1001,0),1)&gt;=100000,INDEX($AO$1005:$BQ$1005,1,MATCH(COLUMNS($AO$1006:AW1006),$AO$1006:$BQ$1006,0))&gt;=100000), " ",IF(INDEX($AO$2:$BQ$1001,MATCH(ROWS($AH$2:AH449),$AH$2:$AH$1001,0),MATCH(COLUMNS($AO$1006:AW1006),$AO$1006:$BQ$1006,0)), HYPERLINK("#",""), HYPERLINK(CONCATENATE("#Metadata!", ADDRESS(INDEX($AJ$2:$AJ$1001,MATCH(ROWS($AH$2:AH449),$AH$2:$AH$1001,0),0), INDEX($AO$1004:$BQ$1004,1,MATCH(COLUMNS($AO$1006:AW1006),$AO$1006:$BQ$1006,0)))),"Fix")))</f>
        <v>#N/A</v>
      </c>
      <c r="K449" s="5" t="e">
        <f ca="1">IF(OR(INDEX($AI$2:$AI$1001,MATCH(ROWS($AH$2:AH449),$AH$2:$AH$1001,0),1)&gt;=100000,INDEX($AO$1005:$BQ$1005,1,MATCH(COLUMNS($AO$1006:AX1006),$AO$1006:$BQ$1006,0))&gt;=100000), " ",IF(INDEX($AO$2:$BQ$1001,MATCH(ROWS($AH$2:AH449),$AH$2:$AH$1001,0),MATCH(COLUMNS($AO$1006:AX1006),$AO$1006:$BQ$1006,0)), HYPERLINK("#",""), HYPERLINK(CONCATENATE("#Metadata!", ADDRESS(INDEX($AJ$2:$AJ$1001,MATCH(ROWS($AH$2:AH449),$AH$2:$AH$1001,0),0), INDEX($AO$1004:$BQ$1004,1,MATCH(COLUMNS($AO$1006:AX1006),$AO$1006:$BQ$1006,0)))),"Fix")))</f>
        <v>#N/A</v>
      </c>
      <c r="L449" s="5" t="e">
        <f ca="1">IF(OR(INDEX($AI$2:$AI$1001,MATCH(ROWS($AH$2:AH449),$AH$2:$AH$1001,0),1)&gt;=100000,INDEX($AO$1005:$BQ$1005,1,MATCH(COLUMNS($AO$1006:AY1006),$AO$1006:$BQ$1006,0))&gt;=100000), " ",IF(INDEX($AO$2:$BQ$1001,MATCH(ROWS($AH$2:AH449),$AH$2:$AH$1001,0),MATCH(COLUMNS($AO$1006:AY1006),$AO$1006:$BQ$1006,0)), HYPERLINK("#",""), HYPERLINK(CONCATENATE("#Metadata!", ADDRESS(INDEX($AJ$2:$AJ$1001,MATCH(ROWS($AH$2:AH449),$AH$2:$AH$1001,0),0), INDEX($AO$1004:$BQ$1004,1,MATCH(COLUMNS($AO$1006:AY1006),$AO$1006:$BQ$1006,0)))),"Fix")))</f>
        <v>#N/A</v>
      </c>
      <c r="M449" s="5" t="e">
        <f ca="1">IF(OR(INDEX($AI$2:$AI$1001,MATCH(ROWS($AH$2:AH449),$AH$2:$AH$1001,0),1)&gt;=100000,INDEX($AO$1005:$BQ$1005,1,MATCH(COLUMNS($AO$1006:AZ1006),$AO$1006:$BQ$1006,0))&gt;=100000), " ",IF(INDEX($AO$2:$BQ$1001,MATCH(ROWS($AH$2:AH449),$AH$2:$AH$1001,0),MATCH(COLUMNS($AO$1006:AZ1006),$AO$1006:$BQ$1006,0)), HYPERLINK("#",""), HYPERLINK(CONCATENATE("#Metadata!", ADDRESS(INDEX($AJ$2:$AJ$1001,MATCH(ROWS($AH$2:AH449),$AH$2:$AH$1001,0),0), INDEX($AO$1004:$BQ$1004,1,MATCH(COLUMNS($AO$1006:AZ1006),$AO$1006:$BQ$1006,0)))),"Fix")))</f>
        <v>#N/A</v>
      </c>
      <c r="N449" s="5" t="e">
        <f ca="1">IF(OR(INDEX($AI$2:$AI$1001,MATCH(ROWS($AH$2:AH449),$AH$2:$AH$1001,0),1)&gt;=100000,INDEX($AO$1005:$BQ$1005,1,MATCH(COLUMNS($AO$1006:BA1006),$AO$1006:$BQ$1006,0))&gt;=100000), " ",IF(INDEX($AO$2:$BQ$1001,MATCH(ROWS($AH$2:AH449),$AH$2:$AH$1001,0),MATCH(COLUMNS($AO$1006:BA1006),$AO$1006:$BQ$1006,0)), HYPERLINK("#",""), HYPERLINK(CONCATENATE("#Metadata!", ADDRESS(INDEX($AJ$2:$AJ$1001,MATCH(ROWS($AH$2:AH449),$AH$2:$AH$1001,0),0), INDEX($AO$1004:$BQ$1004,1,MATCH(COLUMNS($AO$1006:BA1006),$AO$1006:$BQ$1006,0)))),"Fix")))</f>
        <v>#N/A</v>
      </c>
      <c r="O449" s="5" t="e">
        <f ca="1">IF(OR(INDEX($AI$2:$AI$1001,MATCH(ROWS($AH$2:AH449),$AH$2:$AH$1001,0),1)&gt;=100000,INDEX($AO$1005:$BQ$1005,1,MATCH(COLUMNS($AO$1006:BB1006),$AO$1006:$BQ$1006,0))&gt;=100000), " ",IF(INDEX($AO$2:$BQ$1001,MATCH(ROWS($AH$2:AH449),$AH$2:$AH$1001,0),MATCH(COLUMNS($AO$1006:BB1006),$AO$1006:$BQ$1006,0)), HYPERLINK("#",""), HYPERLINK(CONCATENATE("#Metadata!", ADDRESS(INDEX($AJ$2:$AJ$1001,MATCH(ROWS($AH$2:AH449),$AH$2:$AH$1001,0),0), INDEX($AO$1004:$BQ$1004,1,MATCH(COLUMNS($AO$1006:BB1006),$AO$1006:$BQ$1006,0)))),"Fix")))</f>
        <v>#N/A</v>
      </c>
      <c r="P449" s="5" t="e">
        <f ca="1">IF(OR(INDEX($AI$2:$AI$1001,MATCH(ROWS($AH$2:AH449),$AH$2:$AH$1001,0),1)&gt;=100000,INDEX($AO$1005:$BQ$1005,1,MATCH(COLUMNS($AO$1006:BC1006),$AO$1006:$BQ$1006,0))&gt;=100000), " ",IF(INDEX($AO$2:$BQ$1001,MATCH(ROWS($AH$2:AH449),$AH$2:$AH$1001,0),MATCH(COLUMNS($AO$1006:BC1006),$AO$1006:$BQ$1006,0)), HYPERLINK("#",""), HYPERLINK(CONCATENATE("#Metadata!", ADDRESS(INDEX($AJ$2:$AJ$1001,MATCH(ROWS($AH$2:AH449),$AH$2:$AH$1001,0),0), INDEX($AO$1004:$BQ$1004,1,MATCH(COLUMNS($AO$1006:BC1006),$AO$1006:$BQ$1006,0)))),"Fix")))</f>
        <v>#N/A</v>
      </c>
      <c r="Q449" s="5" t="e">
        <f ca="1">IF(OR(INDEX($AI$2:$AI$1001,MATCH(ROWS($AH$2:AH449),$AH$2:$AH$1001,0),1)&gt;=100000,INDEX($AO$1005:$BQ$1005,1,MATCH(COLUMNS($AO$1006:BD1006),$AO$1006:$BQ$1006,0))&gt;=100000), " ",IF(INDEX($AO$2:$BQ$1001,MATCH(ROWS($AH$2:AH449),$AH$2:$AH$1001,0),MATCH(COLUMNS($AO$1006:BD1006),$AO$1006:$BQ$1006,0)), HYPERLINK("#",""), HYPERLINK(CONCATENATE("#Metadata!", ADDRESS(INDEX($AJ$2:$AJ$1001,MATCH(ROWS($AH$2:AH449),$AH$2:$AH$1001,0),0), INDEX($AO$1004:$BQ$1004,1,MATCH(COLUMNS($AO$1006:BD1006),$AO$1006:$BQ$1006,0)))),"Fix")))</f>
        <v>#N/A</v>
      </c>
      <c r="R449" s="5" t="e">
        <f ca="1">IF(OR(INDEX($AI$2:$AI$1001,MATCH(ROWS($AH$2:AH449),$AH$2:$AH$1001,0),1)&gt;=100000,INDEX($AO$1005:$BQ$1005,1,MATCH(COLUMNS($AO$1006:BE1006),$AO$1006:$BQ$1006,0))&gt;=100000), " ",IF(INDEX($AO$2:$BQ$1001,MATCH(ROWS($AH$2:AH449),$AH$2:$AH$1001,0),MATCH(COLUMNS($AO$1006:BE1006),$AO$1006:$BQ$1006,0)), HYPERLINK("#",""), HYPERLINK(CONCATENATE("#Metadata!", ADDRESS(INDEX($AJ$2:$AJ$1001,MATCH(ROWS($AH$2:AH449),$AH$2:$AH$1001,0),0), INDEX($AO$1004:$BQ$1004,1,MATCH(COLUMNS($AO$1006:BE1006),$AO$1006:$BQ$1006,0)))),"Fix")))</f>
        <v>#N/A</v>
      </c>
      <c r="S449" s="5" t="e">
        <f ca="1">IF(OR(INDEX($AI$2:$AI$1001,MATCH(ROWS($AH$2:AH449),$AH$2:$AH$1001,0),1)&gt;=100000,INDEX($AO$1005:$BQ$1005,1,MATCH(COLUMNS($AO$1006:BF1006),$AO$1006:$BQ$1006,0))&gt;=100000), " ",IF(INDEX($AO$2:$BQ$1001,MATCH(ROWS($AH$2:AH449),$AH$2:$AH$1001,0),MATCH(COLUMNS($AO$1006:BF1006),$AO$1006:$BQ$1006,0)), HYPERLINK("#",""), HYPERLINK(CONCATENATE("#Metadata!", ADDRESS(INDEX($AJ$2:$AJ$1001,MATCH(ROWS($AH$2:AH449),$AH$2:$AH$1001,0),0), INDEX($AO$1004:$BQ$1004,1,MATCH(COLUMNS($AO$1006:BF1006),$AO$1006:$BQ$1006,0)))),"Fix")))</f>
        <v>#N/A</v>
      </c>
      <c r="T449" s="5" t="e">
        <f ca="1">IF(OR(INDEX($AI$2:$AI$1001,MATCH(ROWS($AH$2:AH449),$AH$2:$AH$1001,0),1)&gt;=100000,INDEX($AO$1005:$BQ$1005,1,MATCH(COLUMNS($AO$1006:BG1006),$AO$1006:$BQ$1006,0))&gt;=100000), " ",IF(INDEX($AO$2:$BQ$1001,MATCH(ROWS($AH$2:AH449),$AH$2:$AH$1001,0),MATCH(COLUMNS($AO$1006:BG1006),$AO$1006:$BQ$1006,0)), HYPERLINK("#",""), HYPERLINK(CONCATENATE("#Metadata!", ADDRESS(INDEX($AJ$2:$AJ$1001,MATCH(ROWS($AH$2:AH449),$AH$2:$AH$1001,0),0), INDEX($AO$1004:$BQ$1004,1,MATCH(COLUMNS($AO$1006:BG1006),$AO$1006:$BQ$1006,0)))),"Fix")))</f>
        <v>#N/A</v>
      </c>
      <c r="U449" s="5" t="e">
        <f ca="1">IF(OR(INDEX($AI$2:$AI$1001,MATCH(ROWS($AH$2:AH449),$AH$2:$AH$1001,0),1)&gt;=100000,INDEX($AO$1005:$BQ$1005,1,MATCH(COLUMNS($AO$1006:BH1006),$AO$1006:$BQ$1006,0))&gt;=100000), " ",IF(INDEX($AO$2:$BQ$1001,MATCH(ROWS($AH$2:AH449),$AH$2:$AH$1001,0),MATCH(COLUMNS($AO$1006:BH1006),$AO$1006:$BQ$1006,0)), HYPERLINK("#",""), HYPERLINK(CONCATENATE("#Metadata!", ADDRESS(INDEX($AJ$2:$AJ$1001,MATCH(ROWS($AH$2:AH449),$AH$2:$AH$1001,0),0), INDEX($AO$1004:$BQ$1004,1,MATCH(COLUMNS($AO$1006:BH1006),$AO$1006:$BQ$1006,0)))),"Fix")))</f>
        <v>#N/A</v>
      </c>
      <c r="V449" s="5" t="e">
        <f ca="1">IF(OR(INDEX($AI$2:$AI$1001,MATCH(ROWS($AH$2:AH449),$AH$2:$AH$1001,0),1)&gt;=100000,INDEX($AO$1005:$BQ$1005,1,MATCH(COLUMNS($AO$1006:BI1006),$AO$1006:$BQ$1006,0))&gt;=100000), " ",IF(INDEX($AO$2:$BQ$1001,MATCH(ROWS($AH$2:AH449),$AH$2:$AH$1001,0),MATCH(COLUMNS($AO$1006:BI1006),$AO$1006:$BQ$1006,0)), HYPERLINK("#",""), HYPERLINK(CONCATENATE("#Metadata!", ADDRESS(INDEX($AJ$2:$AJ$1001,MATCH(ROWS($AH$2:AH449),$AH$2:$AH$1001,0),0), INDEX($AO$1004:$BQ$1004,1,MATCH(COLUMNS($AO$1006:BI1006),$AO$1006:$BQ$1006,0)))),"Fix")))</f>
        <v>#N/A</v>
      </c>
      <c r="W449" s="5" t="e">
        <f ca="1">IF(OR(INDEX($AI$2:$AI$1001,MATCH(ROWS($AH$2:AH449),$AH$2:$AH$1001,0),1)&gt;=100000,INDEX($AO$1005:$BQ$1005,1,MATCH(COLUMNS($AO$1006:BJ1006),$AO$1006:$BQ$1006,0))&gt;=100000), " ",IF(INDEX($AO$2:$BQ$1001,MATCH(ROWS($AH$2:AH449),$AH$2:$AH$1001,0),MATCH(COLUMNS($AO$1006:BJ1006),$AO$1006:$BQ$1006,0)), HYPERLINK("#",""), HYPERLINK(CONCATENATE("#Metadata!", ADDRESS(INDEX($AJ$2:$AJ$1001,MATCH(ROWS($AH$2:AH449),$AH$2:$AH$1001,0),0), INDEX($AO$1004:$BQ$1004,1,MATCH(COLUMNS($AO$1006:BJ1006),$AO$1006:$BQ$1006,0)))),"Fix")))</f>
        <v>#N/A</v>
      </c>
      <c r="X449" s="5" t="e">
        <f ca="1">IF(OR(INDEX($AI$2:$AI$1001,MATCH(ROWS($AH$2:AH449),$AH$2:$AH$1001,0),1)&gt;=100000,INDEX($AO$1005:$BQ$1005,1,MATCH(COLUMNS($AO$1006:BK1006),$AO$1006:$BQ$1006,0))&gt;=100000), " ",IF(INDEX($AO$2:$BQ$1001,MATCH(ROWS($AH$2:AH449),$AH$2:$AH$1001,0),MATCH(COLUMNS($AO$1006:BK1006),$AO$1006:$BQ$1006,0)), HYPERLINK("#",""), HYPERLINK(CONCATENATE("#Metadata!", ADDRESS(INDEX($AJ$2:$AJ$1001,MATCH(ROWS($AH$2:AH449),$AH$2:$AH$1001,0),0), INDEX($AO$1004:$BQ$1004,1,MATCH(COLUMNS($AO$1006:BK1006),$AO$1006:$BQ$1006,0)))),"Fix")))</f>
        <v>#N/A</v>
      </c>
      <c r="Y449" s="5" t="e">
        <f ca="1">IF(OR(INDEX($AI$2:$AI$1001,MATCH(ROWS($AH$2:AH449),$AH$2:$AH$1001,0),1)&gt;=100000,INDEX($AO$1005:$BQ$1005,1,MATCH(COLUMNS($AO$1006:BL1006),$AO$1006:$BQ$1006,0))&gt;=100000), " ",IF(INDEX($AO$2:$BQ$1001,MATCH(ROWS($AH$2:AH449),$AH$2:$AH$1001,0),MATCH(COLUMNS($AO$1006:BL1006),$AO$1006:$BQ$1006,0)), HYPERLINK("#",""), HYPERLINK(CONCATENATE("#Metadata!", ADDRESS(INDEX($AJ$2:$AJ$1001,MATCH(ROWS($AH$2:AH449),$AH$2:$AH$1001,0),0), INDEX($AO$1004:$BQ$1004,1,MATCH(COLUMNS($AO$1006:BL1006),$AO$1006:$BQ$1006,0)))),"Fix")))</f>
        <v>#N/A</v>
      </c>
      <c r="Z449" s="5" t="e">
        <f ca="1">IF(OR(INDEX($AI$2:$AI$1001,MATCH(ROWS($AH$2:AH449),$AH$2:$AH$1001,0),1)&gt;=100000,INDEX($AO$1005:$BQ$1005,1,MATCH(COLUMNS($AO$1006:BM1006),$AO$1006:$BQ$1006,0))&gt;=100000), " ",IF(INDEX($AO$2:$BQ$1001,MATCH(ROWS($AH$2:AH449),$AH$2:$AH$1001,0),MATCH(COLUMNS($AO$1006:BM1006),$AO$1006:$BQ$1006,0)), HYPERLINK("#",""), HYPERLINK(CONCATENATE("#Metadata!", ADDRESS(INDEX($AJ$2:$AJ$1001,MATCH(ROWS($AH$2:AH449),$AH$2:$AH$1001,0),0), INDEX($AO$1004:$BQ$1004,1,MATCH(COLUMNS($AO$1006:BM1006),$AO$1006:$BQ$1006,0)))),"Fix")))</f>
        <v>#N/A</v>
      </c>
      <c r="AA449" s="5" t="e">
        <f ca="1">IF(OR(INDEX($AI$2:$AI$1001,MATCH(ROWS($AH$2:AH449),$AH$2:$AH$1001,0),1)&gt;=100000,INDEX($AO$1005:$BQ$1005,1,MATCH(COLUMNS($AO$1006:BN1006),$AO$1006:$BQ$1006,0))&gt;=100000), " ",IF(INDEX($AO$2:$BQ$1001,MATCH(ROWS($AH$2:AH449),$AH$2:$AH$1001,0),MATCH(COLUMNS($AO$1006:BN1006),$AO$1006:$BQ$1006,0)), HYPERLINK("#",""), HYPERLINK(CONCATENATE("#Metadata!", ADDRESS(INDEX($AJ$2:$AJ$1001,MATCH(ROWS($AH$2:AH449),$AH$2:$AH$1001,0),0), INDEX($AO$1004:$BQ$1004,1,MATCH(COLUMNS($AO$1006:BN1006),$AO$1006:$BQ$1006,0)))),"Fix")))</f>
        <v>#N/A</v>
      </c>
      <c r="AB449" s="5" t="e">
        <f ca="1">IF(OR(INDEX($AI$2:$AI$1001,MATCH(ROWS($AH$2:AH449),$AH$2:$AH$1001,0),1)&gt;=100000,INDEX($AO$1005:$BQ$1005,1,MATCH(COLUMNS($AO$1006:BO1006),$AO$1006:$BQ$1006,0))&gt;=100000), " ",IF(INDEX($AO$2:$BQ$1001,MATCH(ROWS($AH$2:AH449),$AH$2:$AH$1001,0),MATCH(COLUMNS($AO$1006:BO1006),$AO$1006:$BQ$1006,0)), HYPERLINK("#",""), HYPERLINK(CONCATENATE("#Metadata!", ADDRESS(INDEX($AJ$2:$AJ$1001,MATCH(ROWS($AH$2:AH449),$AH$2:$AH$1001,0),0), INDEX($AO$1004:$BQ$1004,1,MATCH(COLUMNS($AO$1006:BO1006),$AO$1006:$BQ$1006,0)))),"Fix")))</f>
        <v>#N/A</v>
      </c>
      <c r="AC449" s="5" t="e">
        <f ca="1">IF(OR(INDEX($AI$2:$AI$1001,MATCH(ROWS($AH$2:AH449),$AH$2:$AH$1001,0),1)&gt;=100000,INDEX($AO$1005:$BQ$1005,1,MATCH(COLUMNS($AO$1006:BP1006),$AO$1006:$BQ$1006,0))&gt;=100000), " ",IF(INDEX($AO$2:$BQ$1001,MATCH(ROWS($AH$2:AH449),$AH$2:$AH$1001,0),MATCH(COLUMNS($AO$1006:BP1006),$AO$1006:$BQ$1006,0)), HYPERLINK("#",""), HYPERLINK(CONCATENATE("#Metadata!", ADDRESS(INDEX($AJ$2:$AJ$1001,MATCH(ROWS($AH$2:AH449),$AH$2:$AH$1001,0),0), INDEX($AO$1004:$BQ$1004,1,MATCH(COLUMNS($AO$1006:BP1006),$AO$1006:$BQ$1006,0)))),"Fix")))</f>
        <v>#N/A</v>
      </c>
      <c r="AD449" s="5" t="e">
        <f ca="1">IF(OR(INDEX($AI$2:$AI$1001,MATCH(ROWS($AH$2:AH449),$AH$2:$AH$1001,0),1)&gt;=100000,INDEX($AO$1005:$BQ$1005,1,MATCH(COLUMNS($AO$1006:BQ1006),$AO$1006:$BQ$1006,0))&gt;=100000), " ",IF(INDEX($AO$2:$BQ$1001,MATCH(ROWS($AH$2:AH449),$AH$2:$AH$1001,0),MATCH(COLUMNS($AO$1006:BQ1006),$AO$1006:$BQ$1006,0)), HYPERLINK("#",""), HYPERLINK(CONCATENATE("#Metadata!", ADDRESS(INDEX($AJ$2:$AJ$1001,MATCH(ROWS($AH$2:AH449),$AH$2:$AH$1001,0),0), INDEX($AO$1004:$BQ$1004,1,MATCH(COLUMNS($AO$1006:BQ1006),$AO$1006:$BQ$1006,0)))),"Fix")))</f>
        <v>#REF!</v>
      </c>
      <c r="AH449">
        <f ca="1"/>
        <v>446</v>
      </c>
      <c r="AI449">
        <v>100449</v>
      </c>
      <c r="AJ449">
        <v>449</v>
      </c>
      <c r="AK449" t="b">
        <f t="shared" si="6"/>
        <v>1</v>
      </c>
      <c r="AL449" t="b">
        <f>COUNTBLANK(Metadata!B449:AD449)=COLUMNS(Metadata!B449:AD449)</f>
        <v>1</v>
      </c>
      <c r="AM449" t="str">
        <v/>
      </c>
      <c r="AO449" t="b">
        <f ca="1">AND(IF(Metadata!B449="",FALSE,TRUE),COUNTIF(Metadata!B:B, Metadata!B449) = 1,NOT(ISERROR(SUMPRODUCT(SEARCH(MID(Metadata!B449,ROW(INDIRECT("1:"&amp;LEN(Metadata!B449))), 1),"0123456789abcdefghijklmnopqrstuvwxyzABCDEFGHIJKLMNOPQRSTUVWXYZ.")))))</f>
        <v>0</v>
      </c>
      <c r="AP449" t="b">
        <f>IF(Metadata!C449="",FALSE,TRUE)</f>
        <v>0</v>
      </c>
      <c r="AQ449" t="b">
        <f>IF(Metadata!D449="",FALSE,TRUE)</f>
        <v>0</v>
      </c>
      <c r="AR449" t="b">
        <f ca="1">OR(AND(IF(Metadata!E449="",FALSE,TRUE),OR(EXACT(Metadata!E449,"not collected"),EXACT(Metadata!E449,"not provided"),EXACT(Metadata!E449,"restricted access"))),AND(IF(Metadata!E449="",FALSE,TRUE),AND(AND(IFERROR(INT(LEFT(Metadata!E449,4))&gt;1900,FALSE),IFERROR(INT(LEFT(Metadata!E449,4))&lt;=YEAR(NOW()),FALSE)), OR(MID(Metadata!E449,5,1)="", AND(AND(MID(Metadata!E449,5,1)="-",IFERROR(INT(MID(Metadata!E449,6,1))&gt;=0,FALSE),IFERROR(INT(MID(Metadata!E449,6,1))&lt;=1,FALSE),NOT(MID(Metadata!E449,7,1)=""),IFERROR(INT(MID(Metadata!E449,6,2))&gt;=1,FALSE),IFERROR(INT(MID(Metadata!E449,6,2))&lt;=12,FALSE)), OR(MID(Metadata!E449,8,1)="", AND(AND(MID(Metadata!E449,8,1)="-",IFERROR(INT(MID(Metadata!E449,9,1))&gt;=0,FALSE),IFERROR(INT(MID(Metadata!E449,9,1))&lt;=3,FALSE),NOT(MID(Metadata!E449,10,1)=""),IFERROR(INT(MID(Metadata!E449,9,2))&gt;=1,FALSE),IFERROR(INT(MID(Metadata!E449,9,2))&lt;=31,FALSE)), OR(MID(Metadata!E449,11,1)="", AND(AND(MID(Metadata!E449,11,1)=" ",IFERROR(INT(MID(Metadata!E449,12,1))&gt;=0,FALSE),IFERROR(INT(MID(Metadata!E449,12,1))&lt;=2,FALSE),NOT(MID(Metadata!E449,13,1)=""),IFERROR(INT(MID(Metadata!E449,12,2))&gt;=0,FALSE),IFERROR(INT(MID(Metadata!E449,12,2))&lt;=23,FALSE)), OR(MID(Metadata!E449,14,1)="", AND(AND(MID(Metadata!E449,14,1)=":",IFERROR(INT(MID(Metadata!E449,15,1))&gt;=0,FALSE),IFERROR(INT(MID(Metadata!E449,15,1))&lt;=5,FALSE),NOT(MID(Metadata!E449,16,1)=""),IFERROR(INT(MID(Metadata!E449,15,2))&gt;=0,FALSE),IFERROR(INT(MID(Metadata!E449,15,2))&lt;=59,FALSE)), OR(MID(Metadata!E449,17,1)="", AND(AND(MID(Metadata!E449,17,1)=":",IFERROR(INT(MID(Metadata!E449,18,1))&gt;=0,FALSE),IFERROR(INT(MID(Metadata!E449,18,1))&lt;=5,FALSE),NOT(MID(Metadata!E449,19,1)=""),IFERROR(INT(MID(Metadata!E449,18,2))&gt;=0,FALSE),IFERROR(INT(MID(Metadata!E449,18,2))&lt;=59,FALSE)), LEN(Metadata!E449)&lt;=19)))))))))))))</f>
        <v>0</v>
      </c>
      <c r="AS449" t="b">
        <f>IF(Metadata!F449="",FALSE,TRUE)</f>
        <v>0</v>
      </c>
      <c r="AT449" t="b">
        <f>OR(AND(IF(Metadata!G449="",FALSE,TRUE),OR(EXACT(Metadata!G449,"not collected"),EXACT(Metadata!G449,"not provided"))),AND(IF(Metadata!G449="",FALSE,TRUE),OR(EXACT(Metadata!G449,"TRUE"),EXACT(Metadata!G449,"FALSE"))))</f>
        <v>0</v>
      </c>
      <c r="AU449" t="b">
        <f>OR(AND(IF(Metadata!H449="",FALSE,TRUE),OR(EXACT(Metadata!H449,"not collected"),EXACT(Metadata!H449,"not provided"),EXACT(Metadata!H449,"restricted access"))),AND(IF(Metadata!H449="",FALSE,ISNUMBER(VALUE(Metadata!H449))),Metadata!H449&gt;=-413))</f>
        <v>0</v>
      </c>
      <c r="AV449" t="b">
        <f>AND(IF(Metadata!I449="",FALSE,TRUE),EXACT(Metadata!I449,"meters"))</f>
        <v>0</v>
      </c>
      <c r="AW449" t="b">
        <f>AND(IF(Metadata!J449="",FALSE,TRUE),EXACT(Metadata!J449,"free-living"))</f>
        <v>0</v>
      </c>
      <c r="AX449" t="b">
        <f>AND(IF(Metadata!K449="",FALSE,TRUE),OR(EXACT(Metadata!K449,"saline"),EXACT(Metadata!K449,"non-saline")))</f>
        <v>0</v>
      </c>
      <c r="AY449" t="b">
        <f>AND(IF(Metadata!L449="",FALSE,TRUE),OR(EXACT(Metadata!L449,"sub-surface (non-saline)"),EXACT(Metadata!L449,"surface (non-saline)"),EXACT(Metadata!L449,"water (non-saline)"),EXACT(Metadata!L449,"soil (non-saline)"),EXACT(Metadata!L449,"aerosol (non-saline)"),EXACT(Metadata!L449,"sediment (non-saline)"),EXACT(Metadata!L449,"surface (saline)"),EXACT(Metadata!L449,"water (saline)"),EXACT(Metadata!L449,"hypersaline (saline)"),EXACT(Metadata!L449,"aerosol (saline)"),EXACT(Metadata!L449,"sediment (saline)")))</f>
        <v>0</v>
      </c>
      <c r="AZ449" t="b">
        <f>IF(Metadata!M449="",FALSE,TRUE)</f>
        <v>0</v>
      </c>
      <c r="BA449" t="b">
        <f>IF(Metadata!N449="",FALSE,TRUE)</f>
        <v>0</v>
      </c>
      <c r="BB449" t="b">
        <f>IF(Metadata!O449="",FALSE,TRUE)</f>
        <v>0</v>
      </c>
      <c r="BC449" t="b">
        <f>AND(IF(Metadata!P449="",FALSE,TRUE),OR(EXACT(Metadata!P449,"air"),EXACT(Metadata!P449,"microbial mat/biofilm"),EXACT(Metadata!P449,"misc environment"),EXACT(Metadata!P449,"sediment"),EXACT(Metadata!P449,"soil"),EXACT(Metadata!P449,"wastewater/sludge"),EXACT(Metadata!P449,"water")))</f>
        <v>0</v>
      </c>
      <c r="BD449" t="b">
        <f>IF(Metadata!Q449="",FALSE,TRUE)</f>
        <v>0</v>
      </c>
      <c r="BE449" t="b">
        <f>IF(Metadata!R449="",FALSE,TRUE)</f>
        <v>0</v>
      </c>
      <c r="BF449" t="b">
        <f>OR(AND(IF(Metadata!S449="",FALSE,TRUE),OR(EXACT(Metadata!S449,"not collected"),EXACT(Metadata!S449,"not provided"),EXACT(Metadata!S449,"restricted access"))),AND(IF(Metadata!S449="",FALSE,ISNUMBER(VALUE(Metadata!S449))),Metadata!S449&gt;=-90,Metadata!S449&lt;=90))</f>
        <v>0</v>
      </c>
      <c r="BG449" t="b">
        <f>AND(IF(Metadata!T449="",FALSE,TRUE),EXACT(Metadata!T449,"Decimal degrees"))</f>
        <v>0</v>
      </c>
      <c r="BH449" t="b">
        <f>OR(AND(IF(Metadata!U449="",FALSE,TRUE),OR(EXACT(Metadata!U449,"not applicable"),EXACT(Metadata!U449,"not collected"))),IF(Metadata!U449="",FALSE,TRUE))</f>
        <v>0</v>
      </c>
      <c r="BI449" t="b">
        <f>OR(AND(IF(Metadata!V449="",FALSE,TRUE),OR(EXACT(Metadata!V449,"not collected"),EXACT(Metadata!V449,"not provided"),EXACT(Metadata!V449,"restricted access"))),AND(IF(Metadata!V449="",FALSE,ISNUMBER(VALUE(Metadata!V449))),Metadata!V449&gt;=-180,Metadata!V449&lt;=180))</f>
        <v>0</v>
      </c>
      <c r="BJ449" t="b">
        <f>AND(IF(Metadata!W449="",FALSE,TRUE),EXACT(Metadata!W449,"Decimal degrees"))</f>
        <v>0</v>
      </c>
      <c r="BK449" t="b">
        <f>IF(Metadata!X449="",FALSE,TRUE)</f>
        <v>0</v>
      </c>
      <c r="BL449" t="b">
        <f>OR(AND(IF(Metadata!Y449="",FALSE,TRUE),OR(EXACT(Metadata!Y449,"not collected"),EXACT(Metadata!Y449,"not provided"),EXACT(Metadata!Y449,"restricted access"))),AND(IF(Metadata!Y449="",FALSE,TRUE),OR(EXACT(Metadata!Y449,"TRUE"),EXACT(Metadata!Y449,"FALSE"))))</f>
        <v>0</v>
      </c>
      <c r="BM449" t="b">
        <f>OR(AND(IF(Metadata!Z449="",FALSE,TRUE),EXACT(Metadata!Z449,"not applicable")),AND(IF(Metadata!Z449="",FALSE,TRUE),OR(EXACT(Metadata!Z449,"beer"),EXACT(Metadata!Z449,"cheese"),EXACT(Metadata!Z449,"fresh water"),EXACT(Metadata!Z449,"marine sediment"),EXACT(Metadata!Z449,"sea water"),EXACT(Metadata!Z449,"sediment"),EXACT(Metadata!Z449,"soil"),EXACT(Metadata!Z449,"waste water"))))</f>
        <v>0</v>
      </c>
      <c r="BN449" t="b">
        <f>AND(IF(Metadata!AA449="",FALSE,TRUE),EXACT(Metadata!AA449,"metagenome"))</f>
        <v>0</v>
      </c>
      <c r="BO449" t="b">
        <f>AND(IF(Metadata!AB449="",FALSE,TRUE),EXACT(Metadata!AB449,"256318"))</f>
        <v>0</v>
      </c>
      <c r="BP449" t="b">
        <f>IF(Metadata!AC449="",FALSE,TRUE)</f>
        <v>0</v>
      </c>
      <c r="BQ449" t="b">
        <f>IF(Metadata!AD449="",FALSE,TRUE)</f>
        <v>0</v>
      </c>
    </row>
    <row r="450" spans="1:69" x14ac:dyDescent="0.2">
      <c r="A450" s="4" t="e">
        <f ca="1">IF(B450=" "," ",HYPERLINK(CONCATENATE("#metadata!",ADDRESS(INDEX($AJ$2:$AJ$1001,MATCH(ROWS($AH$2:AH450),$AH$2:$AH$1001,0),0),2)),INDEX($AM$2:$AM$1001,MATCH(ROWS($AH$2:AH450),$AH$2:$AH$1001,0),0)))</f>
        <v>#N/A</v>
      </c>
      <c r="B450" s="5" t="e">
        <f ca="1">IF(OR(INDEX($AI$2:$AI$1001,MATCH(ROWS($AH$2:AH450),$AH$2:$AH$1001,0),1)&gt;=100000,INDEX($AO$1005:$BQ$1005,1,MATCH(COLUMNS($AO$1006:AO1006),$AO$1006:$BQ$1006,0))&gt;=100000), " ",IF(INDEX($AO$2:$BQ$1001,MATCH(ROWS($AH$2:AH450),$AH$2:$AH$1001,0),MATCH(COLUMNS($AO$1006:AO1006),$AO$1006:$BQ$1006,0)), HYPERLINK("#",""), HYPERLINK(CONCATENATE("#Metadata!", ADDRESS(INDEX($AJ$2:$AJ$1001,MATCH(ROWS($AH$2:AH450),$AH$2:$AH$1001,0),0), INDEX($AO$1004:$BQ$1004,1,MATCH(COLUMNS($AO$1006:AO1006),$AO$1006:$BQ$1006,0)))),"Fix")))</f>
        <v>#N/A</v>
      </c>
      <c r="C450" s="5" t="e">
        <f ca="1">IF(OR(INDEX($AI$2:$AI$1001,MATCH(ROWS($AH$2:AH450),$AH$2:$AH$1001,0),1)&gt;=100000,INDEX($AO$1005:$BQ$1005,1,MATCH(COLUMNS($AO$1006:AP1006),$AO$1006:$BQ$1006,0))&gt;=100000), " ",IF(INDEX($AO$2:$BQ$1001,MATCH(ROWS($AH$2:AH450),$AH$2:$AH$1001,0),MATCH(COLUMNS($AO$1006:AP1006),$AO$1006:$BQ$1006,0)), HYPERLINK("#",""), HYPERLINK(CONCATENATE("#Metadata!", ADDRESS(INDEX($AJ$2:$AJ$1001,MATCH(ROWS($AH$2:AH450),$AH$2:$AH$1001,0),0), INDEX($AO$1004:$BQ$1004,1,MATCH(COLUMNS($AO$1006:AP1006),$AO$1006:$BQ$1006,0)))),"Fix")))</f>
        <v>#N/A</v>
      </c>
      <c r="D450" s="5" t="e">
        <f ca="1">IF(OR(INDEX($AI$2:$AI$1001,MATCH(ROWS($AH$2:AH450),$AH$2:$AH$1001,0),1)&gt;=100000,INDEX($AO$1005:$BQ$1005,1,MATCH(COLUMNS($AO$1006:AQ1006),$AO$1006:$BQ$1006,0))&gt;=100000), " ",IF(INDEX($AO$2:$BQ$1001,MATCH(ROWS($AH$2:AH450),$AH$2:$AH$1001,0),MATCH(COLUMNS($AO$1006:AQ1006),$AO$1006:$BQ$1006,0)), HYPERLINK("#",""), HYPERLINK(CONCATENATE("#Metadata!", ADDRESS(INDEX($AJ$2:$AJ$1001,MATCH(ROWS($AH$2:AH450),$AH$2:$AH$1001,0),0), INDEX($AO$1004:$BQ$1004,1,MATCH(COLUMNS($AO$1006:AQ1006),$AO$1006:$BQ$1006,0)))),"Fix")))</f>
        <v>#N/A</v>
      </c>
      <c r="E450" s="5" t="e">
        <f ca="1">IF(OR(INDEX($AI$2:$AI$1001,MATCH(ROWS($AH$2:AH450),$AH$2:$AH$1001,0),1)&gt;=100000,INDEX($AO$1005:$BQ$1005,1,MATCH(COLUMNS($AO$1006:AR1006),$AO$1006:$BQ$1006,0))&gt;=100000), " ",IF(INDEX($AO$2:$BQ$1001,MATCH(ROWS($AH$2:AH450),$AH$2:$AH$1001,0),MATCH(COLUMNS($AO$1006:AR1006),$AO$1006:$BQ$1006,0)), HYPERLINK("#",""), HYPERLINK(CONCATENATE("#Metadata!", ADDRESS(INDEX($AJ$2:$AJ$1001,MATCH(ROWS($AH$2:AH450),$AH$2:$AH$1001,0),0), INDEX($AO$1004:$BQ$1004,1,MATCH(COLUMNS($AO$1006:AR1006),$AO$1006:$BQ$1006,0)))),"Fix")))</f>
        <v>#N/A</v>
      </c>
      <c r="F450" s="5" t="e">
        <f ca="1">IF(OR(INDEX($AI$2:$AI$1001,MATCH(ROWS($AH$2:AH450),$AH$2:$AH$1001,0),1)&gt;=100000,INDEX($AO$1005:$BQ$1005,1,MATCH(COLUMNS($AO$1006:AS1006),$AO$1006:$BQ$1006,0))&gt;=100000), " ",IF(INDEX($AO$2:$BQ$1001,MATCH(ROWS($AH$2:AH450),$AH$2:$AH$1001,0),MATCH(COLUMNS($AO$1006:AS1006),$AO$1006:$BQ$1006,0)), HYPERLINK("#",""), HYPERLINK(CONCATENATE("#Metadata!", ADDRESS(INDEX($AJ$2:$AJ$1001,MATCH(ROWS($AH$2:AH450),$AH$2:$AH$1001,0),0), INDEX($AO$1004:$BQ$1004,1,MATCH(COLUMNS($AO$1006:AS1006),$AO$1006:$BQ$1006,0)))),"Fix")))</f>
        <v>#N/A</v>
      </c>
      <c r="G450" s="5" t="e">
        <f ca="1">IF(OR(INDEX($AI$2:$AI$1001,MATCH(ROWS($AH$2:AH450),$AH$2:$AH$1001,0),1)&gt;=100000,INDEX($AO$1005:$BQ$1005,1,MATCH(COLUMNS($AO$1006:AT1006),$AO$1006:$BQ$1006,0))&gt;=100000), " ",IF(INDEX($AO$2:$BQ$1001,MATCH(ROWS($AH$2:AH450),$AH$2:$AH$1001,0),MATCH(COLUMNS($AO$1006:AT1006),$AO$1006:$BQ$1006,0)), HYPERLINK("#",""), HYPERLINK(CONCATENATE("#Metadata!", ADDRESS(INDEX($AJ$2:$AJ$1001,MATCH(ROWS($AH$2:AH450),$AH$2:$AH$1001,0),0), INDEX($AO$1004:$BQ$1004,1,MATCH(COLUMNS($AO$1006:AT1006),$AO$1006:$BQ$1006,0)))),"Fix")))</f>
        <v>#N/A</v>
      </c>
      <c r="H450" s="5" t="e">
        <f ca="1">IF(OR(INDEX($AI$2:$AI$1001,MATCH(ROWS($AH$2:AH450),$AH$2:$AH$1001,0),1)&gt;=100000,INDEX($AO$1005:$BQ$1005,1,MATCH(COLUMNS($AO$1006:AU1006),$AO$1006:$BQ$1006,0))&gt;=100000), " ",IF(INDEX($AO$2:$BQ$1001,MATCH(ROWS($AH$2:AH450),$AH$2:$AH$1001,0),MATCH(COLUMNS($AO$1006:AU1006),$AO$1006:$BQ$1006,0)), HYPERLINK("#",""), HYPERLINK(CONCATENATE("#Metadata!", ADDRESS(INDEX($AJ$2:$AJ$1001,MATCH(ROWS($AH$2:AH450),$AH$2:$AH$1001,0),0), INDEX($AO$1004:$BQ$1004,1,MATCH(COLUMNS($AO$1006:AU1006),$AO$1006:$BQ$1006,0)))),"Fix")))</f>
        <v>#N/A</v>
      </c>
      <c r="I450" s="5" t="e">
        <f ca="1">IF(OR(INDEX($AI$2:$AI$1001,MATCH(ROWS($AH$2:AH450),$AH$2:$AH$1001,0),1)&gt;=100000,INDEX($AO$1005:$BQ$1005,1,MATCH(COLUMNS($AO$1006:AV1006),$AO$1006:$BQ$1006,0))&gt;=100000), " ",IF(INDEX($AO$2:$BQ$1001,MATCH(ROWS($AH$2:AH450),$AH$2:$AH$1001,0),MATCH(COLUMNS($AO$1006:AV1006),$AO$1006:$BQ$1006,0)), HYPERLINK("#",""), HYPERLINK(CONCATENATE("#Metadata!", ADDRESS(INDEX($AJ$2:$AJ$1001,MATCH(ROWS($AH$2:AH450),$AH$2:$AH$1001,0),0), INDEX($AO$1004:$BQ$1004,1,MATCH(COLUMNS($AO$1006:AV1006),$AO$1006:$BQ$1006,0)))),"Fix")))</f>
        <v>#N/A</v>
      </c>
      <c r="J450" s="5" t="e">
        <f ca="1">IF(OR(INDEX($AI$2:$AI$1001,MATCH(ROWS($AH$2:AH450),$AH$2:$AH$1001,0),1)&gt;=100000,INDEX($AO$1005:$BQ$1005,1,MATCH(COLUMNS($AO$1006:AW1006),$AO$1006:$BQ$1006,0))&gt;=100000), " ",IF(INDEX($AO$2:$BQ$1001,MATCH(ROWS($AH$2:AH450),$AH$2:$AH$1001,0),MATCH(COLUMNS($AO$1006:AW1006),$AO$1006:$BQ$1006,0)), HYPERLINK("#",""), HYPERLINK(CONCATENATE("#Metadata!", ADDRESS(INDEX($AJ$2:$AJ$1001,MATCH(ROWS($AH$2:AH450),$AH$2:$AH$1001,0),0), INDEX($AO$1004:$BQ$1004,1,MATCH(COLUMNS($AO$1006:AW1006),$AO$1006:$BQ$1006,0)))),"Fix")))</f>
        <v>#N/A</v>
      </c>
      <c r="K450" s="5" t="e">
        <f ca="1">IF(OR(INDEX($AI$2:$AI$1001,MATCH(ROWS($AH$2:AH450),$AH$2:$AH$1001,0),1)&gt;=100000,INDEX($AO$1005:$BQ$1005,1,MATCH(COLUMNS($AO$1006:AX1006),$AO$1006:$BQ$1006,0))&gt;=100000), " ",IF(INDEX($AO$2:$BQ$1001,MATCH(ROWS($AH$2:AH450),$AH$2:$AH$1001,0),MATCH(COLUMNS($AO$1006:AX1006),$AO$1006:$BQ$1006,0)), HYPERLINK("#",""), HYPERLINK(CONCATENATE("#Metadata!", ADDRESS(INDEX($AJ$2:$AJ$1001,MATCH(ROWS($AH$2:AH450),$AH$2:$AH$1001,0),0), INDEX($AO$1004:$BQ$1004,1,MATCH(COLUMNS($AO$1006:AX1006),$AO$1006:$BQ$1006,0)))),"Fix")))</f>
        <v>#N/A</v>
      </c>
      <c r="L450" s="5" t="e">
        <f ca="1">IF(OR(INDEX($AI$2:$AI$1001,MATCH(ROWS($AH$2:AH450),$AH$2:$AH$1001,0),1)&gt;=100000,INDEX($AO$1005:$BQ$1005,1,MATCH(COLUMNS($AO$1006:AY1006),$AO$1006:$BQ$1006,0))&gt;=100000), " ",IF(INDEX($AO$2:$BQ$1001,MATCH(ROWS($AH$2:AH450),$AH$2:$AH$1001,0),MATCH(COLUMNS($AO$1006:AY1006),$AO$1006:$BQ$1006,0)), HYPERLINK("#",""), HYPERLINK(CONCATENATE("#Metadata!", ADDRESS(INDEX($AJ$2:$AJ$1001,MATCH(ROWS($AH$2:AH450),$AH$2:$AH$1001,0),0), INDEX($AO$1004:$BQ$1004,1,MATCH(COLUMNS($AO$1006:AY1006),$AO$1006:$BQ$1006,0)))),"Fix")))</f>
        <v>#N/A</v>
      </c>
      <c r="M450" s="5" t="e">
        <f ca="1">IF(OR(INDEX($AI$2:$AI$1001,MATCH(ROWS($AH$2:AH450),$AH$2:$AH$1001,0),1)&gt;=100000,INDEX($AO$1005:$BQ$1005,1,MATCH(COLUMNS($AO$1006:AZ1006),$AO$1006:$BQ$1006,0))&gt;=100000), " ",IF(INDEX($AO$2:$BQ$1001,MATCH(ROWS($AH$2:AH450),$AH$2:$AH$1001,0),MATCH(COLUMNS($AO$1006:AZ1006),$AO$1006:$BQ$1006,0)), HYPERLINK("#",""), HYPERLINK(CONCATENATE("#Metadata!", ADDRESS(INDEX($AJ$2:$AJ$1001,MATCH(ROWS($AH$2:AH450),$AH$2:$AH$1001,0),0), INDEX($AO$1004:$BQ$1004,1,MATCH(COLUMNS($AO$1006:AZ1006),$AO$1006:$BQ$1006,0)))),"Fix")))</f>
        <v>#N/A</v>
      </c>
      <c r="N450" s="5" t="e">
        <f ca="1">IF(OR(INDEX($AI$2:$AI$1001,MATCH(ROWS($AH$2:AH450),$AH$2:$AH$1001,0),1)&gt;=100000,INDEX($AO$1005:$BQ$1005,1,MATCH(COLUMNS($AO$1006:BA1006),$AO$1006:$BQ$1006,0))&gt;=100000), " ",IF(INDEX($AO$2:$BQ$1001,MATCH(ROWS($AH$2:AH450),$AH$2:$AH$1001,0),MATCH(COLUMNS($AO$1006:BA1006),$AO$1006:$BQ$1006,0)), HYPERLINK("#",""), HYPERLINK(CONCATENATE("#Metadata!", ADDRESS(INDEX($AJ$2:$AJ$1001,MATCH(ROWS($AH$2:AH450),$AH$2:$AH$1001,0),0), INDEX($AO$1004:$BQ$1004,1,MATCH(COLUMNS($AO$1006:BA1006),$AO$1006:$BQ$1006,0)))),"Fix")))</f>
        <v>#N/A</v>
      </c>
      <c r="O450" s="5" t="e">
        <f ca="1">IF(OR(INDEX($AI$2:$AI$1001,MATCH(ROWS($AH$2:AH450),$AH$2:$AH$1001,0),1)&gt;=100000,INDEX($AO$1005:$BQ$1005,1,MATCH(COLUMNS($AO$1006:BB1006),$AO$1006:$BQ$1006,0))&gt;=100000), " ",IF(INDEX($AO$2:$BQ$1001,MATCH(ROWS($AH$2:AH450),$AH$2:$AH$1001,0),MATCH(COLUMNS($AO$1006:BB1006),$AO$1006:$BQ$1006,0)), HYPERLINK("#",""), HYPERLINK(CONCATENATE("#Metadata!", ADDRESS(INDEX($AJ$2:$AJ$1001,MATCH(ROWS($AH$2:AH450),$AH$2:$AH$1001,0),0), INDEX($AO$1004:$BQ$1004,1,MATCH(COLUMNS($AO$1006:BB1006),$AO$1006:$BQ$1006,0)))),"Fix")))</f>
        <v>#N/A</v>
      </c>
      <c r="P450" s="5" t="e">
        <f ca="1">IF(OR(INDEX($AI$2:$AI$1001,MATCH(ROWS($AH$2:AH450),$AH$2:$AH$1001,0),1)&gt;=100000,INDEX($AO$1005:$BQ$1005,1,MATCH(COLUMNS($AO$1006:BC1006),$AO$1006:$BQ$1006,0))&gt;=100000), " ",IF(INDEX($AO$2:$BQ$1001,MATCH(ROWS($AH$2:AH450),$AH$2:$AH$1001,0),MATCH(COLUMNS($AO$1006:BC1006),$AO$1006:$BQ$1006,0)), HYPERLINK("#",""), HYPERLINK(CONCATENATE("#Metadata!", ADDRESS(INDEX($AJ$2:$AJ$1001,MATCH(ROWS($AH$2:AH450),$AH$2:$AH$1001,0),0), INDEX($AO$1004:$BQ$1004,1,MATCH(COLUMNS($AO$1006:BC1006),$AO$1006:$BQ$1006,0)))),"Fix")))</f>
        <v>#N/A</v>
      </c>
      <c r="Q450" s="5" t="e">
        <f ca="1">IF(OR(INDEX($AI$2:$AI$1001,MATCH(ROWS($AH$2:AH450),$AH$2:$AH$1001,0),1)&gt;=100000,INDEX($AO$1005:$BQ$1005,1,MATCH(COLUMNS($AO$1006:BD1006),$AO$1006:$BQ$1006,0))&gt;=100000), " ",IF(INDEX($AO$2:$BQ$1001,MATCH(ROWS($AH$2:AH450),$AH$2:$AH$1001,0),MATCH(COLUMNS($AO$1006:BD1006),$AO$1006:$BQ$1006,0)), HYPERLINK("#",""), HYPERLINK(CONCATENATE("#Metadata!", ADDRESS(INDEX($AJ$2:$AJ$1001,MATCH(ROWS($AH$2:AH450),$AH$2:$AH$1001,0),0), INDEX($AO$1004:$BQ$1004,1,MATCH(COLUMNS($AO$1006:BD1006),$AO$1006:$BQ$1006,0)))),"Fix")))</f>
        <v>#N/A</v>
      </c>
      <c r="R450" s="5" t="e">
        <f ca="1">IF(OR(INDEX($AI$2:$AI$1001,MATCH(ROWS($AH$2:AH450),$AH$2:$AH$1001,0),1)&gt;=100000,INDEX($AO$1005:$BQ$1005,1,MATCH(COLUMNS($AO$1006:BE1006),$AO$1006:$BQ$1006,0))&gt;=100000), " ",IF(INDEX($AO$2:$BQ$1001,MATCH(ROWS($AH$2:AH450),$AH$2:$AH$1001,0),MATCH(COLUMNS($AO$1006:BE1006),$AO$1006:$BQ$1006,0)), HYPERLINK("#",""), HYPERLINK(CONCATENATE("#Metadata!", ADDRESS(INDEX($AJ$2:$AJ$1001,MATCH(ROWS($AH$2:AH450),$AH$2:$AH$1001,0),0), INDEX($AO$1004:$BQ$1004,1,MATCH(COLUMNS($AO$1006:BE1006),$AO$1006:$BQ$1006,0)))),"Fix")))</f>
        <v>#N/A</v>
      </c>
      <c r="S450" s="5" t="e">
        <f ca="1">IF(OR(INDEX($AI$2:$AI$1001,MATCH(ROWS($AH$2:AH450),$AH$2:$AH$1001,0),1)&gt;=100000,INDEX($AO$1005:$BQ$1005,1,MATCH(COLUMNS($AO$1006:BF1006),$AO$1006:$BQ$1006,0))&gt;=100000), " ",IF(INDEX($AO$2:$BQ$1001,MATCH(ROWS($AH$2:AH450),$AH$2:$AH$1001,0),MATCH(COLUMNS($AO$1006:BF1006),$AO$1006:$BQ$1006,0)), HYPERLINK("#",""), HYPERLINK(CONCATENATE("#Metadata!", ADDRESS(INDEX($AJ$2:$AJ$1001,MATCH(ROWS($AH$2:AH450),$AH$2:$AH$1001,0),0), INDEX($AO$1004:$BQ$1004,1,MATCH(COLUMNS($AO$1006:BF1006),$AO$1006:$BQ$1006,0)))),"Fix")))</f>
        <v>#N/A</v>
      </c>
      <c r="T450" s="5" t="e">
        <f ca="1">IF(OR(INDEX($AI$2:$AI$1001,MATCH(ROWS($AH$2:AH450),$AH$2:$AH$1001,0),1)&gt;=100000,INDEX($AO$1005:$BQ$1005,1,MATCH(COLUMNS($AO$1006:BG1006),$AO$1006:$BQ$1006,0))&gt;=100000), " ",IF(INDEX($AO$2:$BQ$1001,MATCH(ROWS($AH$2:AH450),$AH$2:$AH$1001,0),MATCH(COLUMNS($AO$1006:BG1006),$AO$1006:$BQ$1006,0)), HYPERLINK("#",""), HYPERLINK(CONCATENATE("#Metadata!", ADDRESS(INDEX($AJ$2:$AJ$1001,MATCH(ROWS($AH$2:AH450),$AH$2:$AH$1001,0),0), INDEX($AO$1004:$BQ$1004,1,MATCH(COLUMNS($AO$1006:BG1006),$AO$1006:$BQ$1006,0)))),"Fix")))</f>
        <v>#N/A</v>
      </c>
      <c r="U450" s="5" t="e">
        <f ca="1">IF(OR(INDEX($AI$2:$AI$1001,MATCH(ROWS($AH$2:AH450),$AH$2:$AH$1001,0),1)&gt;=100000,INDEX($AO$1005:$BQ$1005,1,MATCH(COLUMNS($AO$1006:BH1006),$AO$1006:$BQ$1006,0))&gt;=100000), " ",IF(INDEX($AO$2:$BQ$1001,MATCH(ROWS($AH$2:AH450),$AH$2:$AH$1001,0),MATCH(COLUMNS($AO$1006:BH1006),$AO$1006:$BQ$1006,0)), HYPERLINK("#",""), HYPERLINK(CONCATENATE("#Metadata!", ADDRESS(INDEX($AJ$2:$AJ$1001,MATCH(ROWS($AH$2:AH450),$AH$2:$AH$1001,0),0), INDEX($AO$1004:$BQ$1004,1,MATCH(COLUMNS($AO$1006:BH1006),$AO$1006:$BQ$1006,0)))),"Fix")))</f>
        <v>#N/A</v>
      </c>
      <c r="V450" s="5" t="e">
        <f ca="1">IF(OR(INDEX($AI$2:$AI$1001,MATCH(ROWS($AH$2:AH450),$AH$2:$AH$1001,0),1)&gt;=100000,INDEX($AO$1005:$BQ$1005,1,MATCH(COLUMNS($AO$1006:BI1006),$AO$1006:$BQ$1006,0))&gt;=100000), " ",IF(INDEX($AO$2:$BQ$1001,MATCH(ROWS($AH$2:AH450),$AH$2:$AH$1001,0),MATCH(COLUMNS($AO$1006:BI1006),$AO$1006:$BQ$1006,0)), HYPERLINK("#",""), HYPERLINK(CONCATENATE("#Metadata!", ADDRESS(INDEX($AJ$2:$AJ$1001,MATCH(ROWS($AH$2:AH450),$AH$2:$AH$1001,0),0), INDEX($AO$1004:$BQ$1004,1,MATCH(COLUMNS($AO$1006:BI1006),$AO$1006:$BQ$1006,0)))),"Fix")))</f>
        <v>#N/A</v>
      </c>
      <c r="W450" s="5" t="e">
        <f ca="1">IF(OR(INDEX($AI$2:$AI$1001,MATCH(ROWS($AH$2:AH450),$AH$2:$AH$1001,0),1)&gt;=100000,INDEX($AO$1005:$BQ$1005,1,MATCH(COLUMNS($AO$1006:BJ1006),$AO$1006:$BQ$1006,0))&gt;=100000), " ",IF(INDEX($AO$2:$BQ$1001,MATCH(ROWS($AH$2:AH450),$AH$2:$AH$1001,0),MATCH(COLUMNS($AO$1006:BJ1006),$AO$1006:$BQ$1006,0)), HYPERLINK("#",""), HYPERLINK(CONCATENATE("#Metadata!", ADDRESS(INDEX($AJ$2:$AJ$1001,MATCH(ROWS($AH$2:AH450),$AH$2:$AH$1001,0),0), INDEX($AO$1004:$BQ$1004,1,MATCH(COLUMNS($AO$1006:BJ1006),$AO$1006:$BQ$1006,0)))),"Fix")))</f>
        <v>#N/A</v>
      </c>
      <c r="X450" s="5" t="e">
        <f ca="1">IF(OR(INDEX($AI$2:$AI$1001,MATCH(ROWS($AH$2:AH450),$AH$2:$AH$1001,0),1)&gt;=100000,INDEX($AO$1005:$BQ$1005,1,MATCH(COLUMNS($AO$1006:BK1006),$AO$1006:$BQ$1006,0))&gt;=100000), " ",IF(INDEX($AO$2:$BQ$1001,MATCH(ROWS($AH$2:AH450),$AH$2:$AH$1001,0),MATCH(COLUMNS($AO$1006:BK1006),$AO$1006:$BQ$1006,0)), HYPERLINK("#",""), HYPERLINK(CONCATENATE("#Metadata!", ADDRESS(INDEX($AJ$2:$AJ$1001,MATCH(ROWS($AH$2:AH450),$AH$2:$AH$1001,0),0), INDEX($AO$1004:$BQ$1004,1,MATCH(COLUMNS($AO$1006:BK1006),$AO$1006:$BQ$1006,0)))),"Fix")))</f>
        <v>#N/A</v>
      </c>
      <c r="Y450" s="5" t="e">
        <f ca="1">IF(OR(INDEX($AI$2:$AI$1001,MATCH(ROWS($AH$2:AH450),$AH$2:$AH$1001,0),1)&gt;=100000,INDEX($AO$1005:$BQ$1005,1,MATCH(COLUMNS($AO$1006:BL1006),$AO$1006:$BQ$1006,0))&gt;=100000), " ",IF(INDEX($AO$2:$BQ$1001,MATCH(ROWS($AH$2:AH450),$AH$2:$AH$1001,0),MATCH(COLUMNS($AO$1006:BL1006),$AO$1006:$BQ$1006,0)), HYPERLINK("#",""), HYPERLINK(CONCATENATE("#Metadata!", ADDRESS(INDEX($AJ$2:$AJ$1001,MATCH(ROWS($AH$2:AH450),$AH$2:$AH$1001,0),0), INDEX($AO$1004:$BQ$1004,1,MATCH(COLUMNS($AO$1006:BL1006),$AO$1006:$BQ$1006,0)))),"Fix")))</f>
        <v>#N/A</v>
      </c>
      <c r="Z450" s="5" t="e">
        <f ca="1">IF(OR(INDEX($AI$2:$AI$1001,MATCH(ROWS($AH$2:AH450),$AH$2:$AH$1001,0),1)&gt;=100000,INDEX($AO$1005:$BQ$1005,1,MATCH(COLUMNS($AO$1006:BM1006),$AO$1006:$BQ$1006,0))&gt;=100000), " ",IF(INDEX($AO$2:$BQ$1001,MATCH(ROWS($AH$2:AH450),$AH$2:$AH$1001,0),MATCH(COLUMNS($AO$1006:BM1006),$AO$1006:$BQ$1006,0)), HYPERLINK("#",""), HYPERLINK(CONCATENATE("#Metadata!", ADDRESS(INDEX($AJ$2:$AJ$1001,MATCH(ROWS($AH$2:AH450),$AH$2:$AH$1001,0),0), INDEX($AO$1004:$BQ$1004,1,MATCH(COLUMNS($AO$1006:BM1006),$AO$1006:$BQ$1006,0)))),"Fix")))</f>
        <v>#N/A</v>
      </c>
      <c r="AA450" s="5" t="e">
        <f ca="1">IF(OR(INDEX($AI$2:$AI$1001,MATCH(ROWS($AH$2:AH450),$AH$2:$AH$1001,0),1)&gt;=100000,INDEX($AO$1005:$BQ$1005,1,MATCH(COLUMNS($AO$1006:BN1006),$AO$1006:$BQ$1006,0))&gt;=100000), " ",IF(INDEX($AO$2:$BQ$1001,MATCH(ROWS($AH$2:AH450),$AH$2:$AH$1001,0),MATCH(COLUMNS($AO$1006:BN1006),$AO$1006:$BQ$1006,0)), HYPERLINK("#",""), HYPERLINK(CONCATENATE("#Metadata!", ADDRESS(INDEX($AJ$2:$AJ$1001,MATCH(ROWS($AH$2:AH450),$AH$2:$AH$1001,0),0), INDEX($AO$1004:$BQ$1004,1,MATCH(COLUMNS($AO$1006:BN1006),$AO$1006:$BQ$1006,0)))),"Fix")))</f>
        <v>#N/A</v>
      </c>
      <c r="AB450" s="5" t="e">
        <f ca="1">IF(OR(INDEX($AI$2:$AI$1001,MATCH(ROWS($AH$2:AH450),$AH$2:$AH$1001,0),1)&gt;=100000,INDEX($AO$1005:$BQ$1005,1,MATCH(COLUMNS($AO$1006:BO1006),$AO$1006:$BQ$1006,0))&gt;=100000), " ",IF(INDEX($AO$2:$BQ$1001,MATCH(ROWS($AH$2:AH450),$AH$2:$AH$1001,0),MATCH(COLUMNS($AO$1006:BO1006),$AO$1006:$BQ$1006,0)), HYPERLINK("#",""), HYPERLINK(CONCATENATE("#Metadata!", ADDRESS(INDEX($AJ$2:$AJ$1001,MATCH(ROWS($AH$2:AH450),$AH$2:$AH$1001,0),0), INDEX($AO$1004:$BQ$1004,1,MATCH(COLUMNS($AO$1006:BO1006),$AO$1006:$BQ$1006,0)))),"Fix")))</f>
        <v>#N/A</v>
      </c>
      <c r="AC450" s="5" t="e">
        <f ca="1">IF(OR(INDEX($AI$2:$AI$1001,MATCH(ROWS($AH$2:AH450),$AH$2:$AH$1001,0),1)&gt;=100000,INDEX($AO$1005:$BQ$1005,1,MATCH(COLUMNS($AO$1006:BP1006),$AO$1006:$BQ$1006,0))&gt;=100000), " ",IF(INDEX($AO$2:$BQ$1001,MATCH(ROWS($AH$2:AH450),$AH$2:$AH$1001,0),MATCH(COLUMNS($AO$1006:BP1006),$AO$1006:$BQ$1006,0)), HYPERLINK("#",""), HYPERLINK(CONCATENATE("#Metadata!", ADDRESS(INDEX($AJ$2:$AJ$1001,MATCH(ROWS($AH$2:AH450),$AH$2:$AH$1001,0),0), INDEX($AO$1004:$BQ$1004,1,MATCH(COLUMNS($AO$1006:BP1006),$AO$1006:$BQ$1006,0)))),"Fix")))</f>
        <v>#N/A</v>
      </c>
      <c r="AD450" s="5" t="e">
        <f ca="1">IF(OR(INDEX($AI$2:$AI$1001,MATCH(ROWS($AH$2:AH450),$AH$2:$AH$1001,0),1)&gt;=100000,INDEX($AO$1005:$BQ$1005,1,MATCH(COLUMNS($AO$1006:BQ1006),$AO$1006:$BQ$1006,0))&gt;=100000), " ",IF(INDEX($AO$2:$BQ$1001,MATCH(ROWS($AH$2:AH450),$AH$2:$AH$1001,0),MATCH(COLUMNS($AO$1006:BQ1006),$AO$1006:$BQ$1006,0)), HYPERLINK("#",""), HYPERLINK(CONCATENATE("#Metadata!", ADDRESS(INDEX($AJ$2:$AJ$1001,MATCH(ROWS($AH$2:AH450),$AH$2:$AH$1001,0),0), INDEX($AO$1004:$BQ$1004,1,MATCH(COLUMNS($AO$1006:BQ1006),$AO$1006:$BQ$1006,0)))),"Fix")))</f>
        <v>#REF!</v>
      </c>
      <c r="AH450">
        <f ca="1"/>
        <v>447</v>
      </c>
      <c r="AI450">
        <v>100450</v>
      </c>
      <c r="AJ450">
        <v>450</v>
      </c>
      <c r="AK450" t="b">
        <f t="shared" ref="AK450:AK513" si="7">IF(AL450,TRUE,AND(AO450:BQ450))</f>
        <v>1</v>
      </c>
      <c r="AL450" t="b">
        <f>COUNTBLANK(Metadata!B450:AD450)=COLUMNS(Metadata!B450:AD450)</f>
        <v>1</v>
      </c>
      <c r="AM450" t="str">
        <v/>
      </c>
      <c r="AO450" t="b">
        <f ca="1">AND(IF(Metadata!B450="",FALSE,TRUE),COUNTIF(Metadata!B:B, Metadata!B450) = 1,NOT(ISERROR(SUMPRODUCT(SEARCH(MID(Metadata!B450,ROW(INDIRECT("1:"&amp;LEN(Metadata!B450))), 1),"0123456789abcdefghijklmnopqrstuvwxyzABCDEFGHIJKLMNOPQRSTUVWXYZ.")))))</f>
        <v>0</v>
      </c>
      <c r="AP450" t="b">
        <f>IF(Metadata!C450="",FALSE,TRUE)</f>
        <v>0</v>
      </c>
      <c r="AQ450" t="b">
        <f>IF(Metadata!D450="",FALSE,TRUE)</f>
        <v>0</v>
      </c>
      <c r="AR450" t="b">
        <f ca="1">OR(AND(IF(Metadata!E450="",FALSE,TRUE),OR(EXACT(Metadata!E450,"not collected"),EXACT(Metadata!E450,"not provided"),EXACT(Metadata!E450,"restricted access"))),AND(IF(Metadata!E450="",FALSE,TRUE),AND(AND(IFERROR(INT(LEFT(Metadata!E450,4))&gt;1900,FALSE),IFERROR(INT(LEFT(Metadata!E450,4))&lt;=YEAR(NOW()),FALSE)), OR(MID(Metadata!E450,5,1)="", AND(AND(MID(Metadata!E450,5,1)="-",IFERROR(INT(MID(Metadata!E450,6,1))&gt;=0,FALSE),IFERROR(INT(MID(Metadata!E450,6,1))&lt;=1,FALSE),NOT(MID(Metadata!E450,7,1)=""),IFERROR(INT(MID(Metadata!E450,6,2))&gt;=1,FALSE),IFERROR(INT(MID(Metadata!E450,6,2))&lt;=12,FALSE)), OR(MID(Metadata!E450,8,1)="", AND(AND(MID(Metadata!E450,8,1)="-",IFERROR(INT(MID(Metadata!E450,9,1))&gt;=0,FALSE),IFERROR(INT(MID(Metadata!E450,9,1))&lt;=3,FALSE),NOT(MID(Metadata!E450,10,1)=""),IFERROR(INT(MID(Metadata!E450,9,2))&gt;=1,FALSE),IFERROR(INT(MID(Metadata!E450,9,2))&lt;=31,FALSE)), OR(MID(Metadata!E450,11,1)="", AND(AND(MID(Metadata!E450,11,1)=" ",IFERROR(INT(MID(Metadata!E450,12,1))&gt;=0,FALSE),IFERROR(INT(MID(Metadata!E450,12,1))&lt;=2,FALSE),NOT(MID(Metadata!E450,13,1)=""),IFERROR(INT(MID(Metadata!E450,12,2))&gt;=0,FALSE),IFERROR(INT(MID(Metadata!E450,12,2))&lt;=23,FALSE)), OR(MID(Metadata!E450,14,1)="", AND(AND(MID(Metadata!E450,14,1)=":",IFERROR(INT(MID(Metadata!E450,15,1))&gt;=0,FALSE),IFERROR(INT(MID(Metadata!E450,15,1))&lt;=5,FALSE),NOT(MID(Metadata!E450,16,1)=""),IFERROR(INT(MID(Metadata!E450,15,2))&gt;=0,FALSE),IFERROR(INT(MID(Metadata!E450,15,2))&lt;=59,FALSE)), OR(MID(Metadata!E450,17,1)="", AND(AND(MID(Metadata!E450,17,1)=":",IFERROR(INT(MID(Metadata!E450,18,1))&gt;=0,FALSE),IFERROR(INT(MID(Metadata!E450,18,1))&lt;=5,FALSE),NOT(MID(Metadata!E450,19,1)=""),IFERROR(INT(MID(Metadata!E450,18,2))&gt;=0,FALSE),IFERROR(INT(MID(Metadata!E450,18,2))&lt;=59,FALSE)), LEN(Metadata!E450)&lt;=19)))))))))))))</f>
        <v>0</v>
      </c>
      <c r="AS450" t="b">
        <f>IF(Metadata!F450="",FALSE,TRUE)</f>
        <v>0</v>
      </c>
      <c r="AT450" t="b">
        <f>OR(AND(IF(Metadata!G450="",FALSE,TRUE),OR(EXACT(Metadata!G450,"not collected"),EXACT(Metadata!G450,"not provided"))),AND(IF(Metadata!G450="",FALSE,TRUE),OR(EXACT(Metadata!G450,"TRUE"),EXACT(Metadata!G450,"FALSE"))))</f>
        <v>0</v>
      </c>
      <c r="AU450" t="b">
        <f>OR(AND(IF(Metadata!H450="",FALSE,TRUE),OR(EXACT(Metadata!H450,"not collected"),EXACT(Metadata!H450,"not provided"),EXACT(Metadata!H450,"restricted access"))),AND(IF(Metadata!H450="",FALSE,ISNUMBER(VALUE(Metadata!H450))),Metadata!H450&gt;=-413))</f>
        <v>0</v>
      </c>
      <c r="AV450" t="b">
        <f>AND(IF(Metadata!I450="",FALSE,TRUE),EXACT(Metadata!I450,"meters"))</f>
        <v>0</v>
      </c>
      <c r="AW450" t="b">
        <f>AND(IF(Metadata!J450="",FALSE,TRUE),EXACT(Metadata!J450,"free-living"))</f>
        <v>0</v>
      </c>
      <c r="AX450" t="b">
        <f>AND(IF(Metadata!K450="",FALSE,TRUE),OR(EXACT(Metadata!K450,"saline"),EXACT(Metadata!K450,"non-saline")))</f>
        <v>0</v>
      </c>
      <c r="AY450" t="b">
        <f>AND(IF(Metadata!L450="",FALSE,TRUE),OR(EXACT(Metadata!L450,"sub-surface (non-saline)"),EXACT(Metadata!L450,"surface (non-saline)"),EXACT(Metadata!L450,"water (non-saline)"),EXACT(Metadata!L450,"soil (non-saline)"),EXACT(Metadata!L450,"aerosol (non-saline)"),EXACT(Metadata!L450,"sediment (non-saline)"),EXACT(Metadata!L450,"surface (saline)"),EXACT(Metadata!L450,"water (saline)"),EXACT(Metadata!L450,"hypersaline (saline)"),EXACT(Metadata!L450,"aerosol (saline)"),EXACT(Metadata!L450,"sediment (saline)")))</f>
        <v>0</v>
      </c>
      <c r="AZ450" t="b">
        <f>IF(Metadata!M450="",FALSE,TRUE)</f>
        <v>0</v>
      </c>
      <c r="BA450" t="b">
        <f>IF(Metadata!N450="",FALSE,TRUE)</f>
        <v>0</v>
      </c>
      <c r="BB450" t="b">
        <f>IF(Metadata!O450="",FALSE,TRUE)</f>
        <v>0</v>
      </c>
      <c r="BC450" t="b">
        <f>AND(IF(Metadata!P450="",FALSE,TRUE),OR(EXACT(Metadata!P450,"air"),EXACT(Metadata!P450,"microbial mat/biofilm"),EXACT(Metadata!P450,"misc environment"),EXACT(Metadata!P450,"sediment"),EXACT(Metadata!P450,"soil"),EXACT(Metadata!P450,"wastewater/sludge"),EXACT(Metadata!P450,"water")))</f>
        <v>0</v>
      </c>
      <c r="BD450" t="b">
        <f>IF(Metadata!Q450="",FALSE,TRUE)</f>
        <v>0</v>
      </c>
      <c r="BE450" t="b">
        <f>IF(Metadata!R450="",FALSE,TRUE)</f>
        <v>0</v>
      </c>
      <c r="BF450" t="b">
        <f>OR(AND(IF(Metadata!S450="",FALSE,TRUE),OR(EXACT(Metadata!S450,"not collected"),EXACT(Metadata!S450,"not provided"),EXACT(Metadata!S450,"restricted access"))),AND(IF(Metadata!S450="",FALSE,ISNUMBER(VALUE(Metadata!S450))),Metadata!S450&gt;=-90,Metadata!S450&lt;=90))</f>
        <v>0</v>
      </c>
      <c r="BG450" t="b">
        <f>AND(IF(Metadata!T450="",FALSE,TRUE),EXACT(Metadata!T450,"Decimal degrees"))</f>
        <v>0</v>
      </c>
      <c r="BH450" t="b">
        <f>OR(AND(IF(Metadata!U450="",FALSE,TRUE),OR(EXACT(Metadata!U450,"not applicable"),EXACT(Metadata!U450,"not collected"))),IF(Metadata!U450="",FALSE,TRUE))</f>
        <v>0</v>
      </c>
      <c r="BI450" t="b">
        <f>OR(AND(IF(Metadata!V450="",FALSE,TRUE),OR(EXACT(Metadata!V450,"not collected"),EXACT(Metadata!V450,"not provided"),EXACT(Metadata!V450,"restricted access"))),AND(IF(Metadata!V450="",FALSE,ISNUMBER(VALUE(Metadata!V450))),Metadata!V450&gt;=-180,Metadata!V450&lt;=180))</f>
        <v>0</v>
      </c>
      <c r="BJ450" t="b">
        <f>AND(IF(Metadata!W450="",FALSE,TRUE),EXACT(Metadata!W450,"Decimal degrees"))</f>
        <v>0</v>
      </c>
      <c r="BK450" t="b">
        <f>IF(Metadata!X450="",FALSE,TRUE)</f>
        <v>0</v>
      </c>
      <c r="BL450" t="b">
        <f>OR(AND(IF(Metadata!Y450="",FALSE,TRUE),OR(EXACT(Metadata!Y450,"not collected"),EXACT(Metadata!Y450,"not provided"),EXACT(Metadata!Y450,"restricted access"))),AND(IF(Metadata!Y450="",FALSE,TRUE),OR(EXACT(Metadata!Y450,"TRUE"),EXACT(Metadata!Y450,"FALSE"))))</f>
        <v>0</v>
      </c>
      <c r="BM450" t="b">
        <f>OR(AND(IF(Metadata!Z450="",FALSE,TRUE),EXACT(Metadata!Z450,"not applicable")),AND(IF(Metadata!Z450="",FALSE,TRUE),OR(EXACT(Metadata!Z450,"beer"),EXACT(Metadata!Z450,"cheese"),EXACT(Metadata!Z450,"fresh water"),EXACT(Metadata!Z450,"marine sediment"),EXACT(Metadata!Z450,"sea water"),EXACT(Metadata!Z450,"sediment"),EXACT(Metadata!Z450,"soil"),EXACT(Metadata!Z450,"waste water"))))</f>
        <v>0</v>
      </c>
      <c r="BN450" t="b">
        <f>AND(IF(Metadata!AA450="",FALSE,TRUE),EXACT(Metadata!AA450,"metagenome"))</f>
        <v>0</v>
      </c>
      <c r="BO450" t="b">
        <f>AND(IF(Metadata!AB450="",FALSE,TRUE),EXACT(Metadata!AB450,"256318"))</f>
        <v>0</v>
      </c>
      <c r="BP450" t="b">
        <f>IF(Metadata!AC450="",FALSE,TRUE)</f>
        <v>0</v>
      </c>
      <c r="BQ450" t="b">
        <f>IF(Metadata!AD450="",FALSE,TRUE)</f>
        <v>0</v>
      </c>
    </row>
    <row r="451" spans="1:69" x14ac:dyDescent="0.2">
      <c r="A451" s="4" t="e">
        <f ca="1">IF(B451=" "," ",HYPERLINK(CONCATENATE("#metadata!",ADDRESS(INDEX($AJ$2:$AJ$1001,MATCH(ROWS($AH$2:AH451),$AH$2:$AH$1001,0),0),2)),INDEX($AM$2:$AM$1001,MATCH(ROWS($AH$2:AH451),$AH$2:$AH$1001,0),0)))</f>
        <v>#N/A</v>
      </c>
      <c r="B451" s="5" t="e">
        <f ca="1">IF(OR(INDEX($AI$2:$AI$1001,MATCH(ROWS($AH$2:AH451),$AH$2:$AH$1001,0),1)&gt;=100000,INDEX($AO$1005:$BQ$1005,1,MATCH(COLUMNS($AO$1006:AO1006),$AO$1006:$BQ$1006,0))&gt;=100000), " ",IF(INDEX($AO$2:$BQ$1001,MATCH(ROWS($AH$2:AH451),$AH$2:$AH$1001,0),MATCH(COLUMNS($AO$1006:AO1006),$AO$1006:$BQ$1006,0)), HYPERLINK("#",""), HYPERLINK(CONCATENATE("#Metadata!", ADDRESS(INDEX($AJ$2:$AJ$1001,MATCH(ROWS($AH$2:AH451),$AH$2:$AH$1001,0),0), INDEX($AO$1004:$BQ$1004,1,MATCH(COLUMNS($AO$1006:AO1006),$AO$1006:$BQ$1006,0)))),"Fix")))</f>
        <v>#N/A</v>
      </c>
      <c r="C451" s="5" t="e">
        <f ca="1">IF(OR(INDEX($AI$2:$AI$1001,MATCH(ROWS($AH$2:AH451),$AH$2:$AH$1001,0),1)&gt;=100000,INDEX($AO$1005:$BQ$1005,1,MATCH(COLUMNS($AO$1006:AP1006),$AO$1006:$BQ$1006,0))&gt;=100000), " ",IF(INDEX($AO$2:$BQ$1001,MATCH(ROWS($AH$2:AH451),$AH$2:$AH$1001,0),MATCH(COLUMNS($AO$1006:AP1006),$AO$1006:$BQ$1006,0)), HYPERLINK("#",""), HYPERLINK(CONCATENATE("#Metadata!", ADDRESS(INDEX($AJ$2:$AJ$1001,MATCH(ROWS($AH$2:AH451),$AH$2:$AH$1001,0),0), INDEX($AO$1004:$BQ$1004,1,MATCH(COLUMNS($AO$1006:AP1006),$AO$1006:$BQ$1006,0)))),"Fix")))</f>
        <v>#N/A</v>
      </c>
      <c r="D451" s="5" t="e">
        <f ca="1">IF(OR(INDEX($AI$2:$AI$1001,MATCH(ROWS($AH$2:AH451),$AH$2:$AH$1001,0),1)&gt;=100000,INDEX($AO$1005:$BQ$1005,1,MATCH(COLUMNS($AO$1006:AQ1006),$AO$1006:$BQ$1006,0))&gt;=100000), " ",IF(INDEX($AO$2:$BQ$1001,MATCH(ROWS($AH$2:AH451),$AH$2:$AH$1001,0),MATCH(COLUMNS($AO$1006:AQ1006),$AO$1006:$BQ$1006,0)), HYPERLINK("#",""), HYPERLINK(CONCATENATE("#Metadata!", ADDRESS(INDEX($AJ$2:$AJ$1001,MATCH(ROWS($AH$2:AH451),$AH$2:$AH$1001,0),0), INDEX($AO$1004:$BQ$1004,1,MATCH(COLUMNS($AO$1006:AQ1006),$AO$1006:$BQ$1006,0)))),"Fix")))</f>
        <v>#N/A</v>
      </c>
      <c r="E451" s="5" t="e">
        <f ca="1">IF(OR(INDEX($AI$2:$AI$1001,MATCH(ROWS($AH$2:AH451),$AH$2:$AH$1001,0),1)&gt;=100000,INDEX($AO$1005:$BQ$1005,1,MATCH(COLUMNS($AO$1006:AR1006),$AO$1006:$BQ$1006,0))&gt;=100000), " ",IF(INDEX($AO$2:$BQ$1001,MATCH(ROWS($AH$2:AH451),$AH$2:$AH$1001,0),MATCH(COLUMNS($AO$1006:AR1006),$AO$1006:$BQ$1006,0)), HYPERLINK("#",""), HYPERLINK(CONCATENATE("#Metadata!", ADDRESS(INDEX($AJ$2:$AJ$1001,MATCH(ROWS($AH$2:AH451),$AH$2:$AH$1001,0),0), INDEX($AO$1004:$BQ$1004,1,MATCH(COLUMNS($AO$1006:AR1006),$AO$1006:$BQ$1006,0)))),"Fix")))</f>
        <v>#N/A</v>
      </c>
      <c r="F451" s="5" t="e">
        <f ca="1">IF(OR(INDEX($AI$2:$AI$1001,MATCH(ROWS($AH$2:AH451),$AH$2:$AH$1001,0),1)&gt;=100000,INDEX($AO$1005:$BQ$1005,1,MATCH(COLUMNS($AO$1006:AS1006),$AO$1006:$BQ$1006,0))&gt;=100000), " ",IF(INDEX($AO$2:$BQ$1001,MATCH(ROWS($AH$2:AH451),$AH$2:$AH$1001,0),MATCH(COLUMNS($AO$1006:AS1006),$AO$1006:$BQ$1006,0)), HYPERLINK("#",""), HYPERLINK(CONCATENATE("#Metadata!", ADDRESS(INDEX($AJ$2:$AJ$1001,MATCH(ROWS($AH$2:AH451),$AH$2:$AH$1001,0),0), INDEX($AO$1004:$BQ$1004,1,MATCH(COLUMNS($AO$1006:AS1006),$AO$1006:$BQ$1006,0)))),"Fix")))</f>
        <v>#N/A</v>
      </c>
      <c r="G451" s="5" t="e">
        <f ca="1">IF(OR(INDEX($AI$2:$AI$1001,MATCH(ROWS($AH$2:AH451),$AH$2:$AH$1001,0),1)&gt;=100000,INDEX($AO$1005:$BQ$1005,1,MATCH(COLUMNS($AO$1006:AT1006),$AO$1006:$BQ$1006,0))&gt;=100000), " ",IF(INDEX($AO$2:$BQ$1001,MATCH(ROWS($AH$2:AH451),$AH$2:$AH$1001,0),MATCH(COLUMNS($AO$1006:AT1006),$AO$1006:$BQ$1006,0)), HYPERLINK("#",""), HYPERLINK(CONCATENATE("#Metadata!", ADDRESS(INDEX($AJ$2:$AJ$1001,MATCH(ROWS($AH$2:AH451),$AH$2:$AH$1001,0),0), INDEX($AO$1004:$BQ$1004,1,MATCH(COLUMNS($AO$1006:AT1006),$AO$1006:$BQ$1006,0)))),"Fix")))</f>
        <v>#N/A</v>
      </c>
      <c r="H451" s="5" t="e">
        <f ca="1">IF(OR(INDEX($AI$2:$AI$1001,MATCH(ROWS($AH$2:AH451),$AH$2:$AH$1001,0),1)&gt;=100000,INDEX($AO$1005:$BQ$1005,1,MATCH(COLUMNS($AO$1006:AU1006),$AO$1006:$BQ$1006,0))&gt;=100000), " ",IF(INDEX($AO$2:$BQ$1001,MATCH(ROWS($AH$2:AH451),$AH$2:$AH$1001,0),MATCH(COLUMNS($AO$1006:AU1006),$AO$1006:$BQ$1006,0)), HYPERLINK("#",""), HYPERLINK(CONCATENATE("#Metadata!", ADDRESS(INDEX($AJ$2:$AJ$1001,MATCH(ROWS($AH$2:AH451),$AH$2:$AH$1001,0),0), INDEX($AO$1004:$BQ$1004,1,MATCH(COLUMNS($AO$1006:AU1006),$AO$1006:$BQ$1006,0)))),"Fix")))</f>
        <v>#N/A</v>
      </c>
      <c r="I451" s="5" t="e">
        <f ca="1">IF(OR(INDEX($AI$2:$AI$1001,MATCH(ROWS($AH$2:AH451),$AH$2:$AH$1001,0),1)&gt;=100000,INDEX($AO$1005:$BQ$1005,1,MATCH(COLUMNS($AO$1006:AV1006),$AO$1006:$BQ$1006,0))&gt;=100000), " ",IF(INDEX($AO$2:$BQ$1001,MATCH(ROWS($AH$2:AH451),$AH$2:$AH$1001,0),MATCH(COLUMNS($AO$1006:AV1006),$AO$1006:$BQ$1006,0)), HYPERLINK("#",""), HYPERLINK(CONCATENATE("#Metadata!", ADDRESS(INDEX($AJ$2:$AJ$1001,MATCH(ROWS($AH$2:AH451),$AH$2:$AH$1001,0),0), INDEX($AO$1004:$BQ$1004,1,MATCH(COLUMNS($AO$1006:AV1006),$AO$1006:$BQ$1006,0)))),"Fix")))</f>
        <v>#N/A</v>
      </c>
      <c r="J451" s="5" t="e">
        <f ca="1">IF(OR(INDEX($AI$2:$AI$1001,MATCH(ROWS($AH$2:AH451),$AH$2:$AH$1001,0),1)&gt;=100000,INDEX($AO$1005:$BQ$1005,1,MATCH(COLUMNS($AO$1006:AW1006),$AO$1006:$BQ$1006,0))&gt;=100000), " ",IF(INDEX($AO$2:$BQ$1001,MATCH(ROWS($AH$2:AH451),$AH$2:$AH$1001,0),MATCH(COLUMNS($AO$1006:AW1006),$AO$1006:$BQ$1006,0)), HYPERLINK("#",""), HYPERLINK(CONCATENATE("#Metadata!", ADDRESS(INDEX($AJ$2:$AJ$1001,MATCH(ROWS($AH$2:AH451),$AH$2:$AH$1001,0),0), INDEX($AO$1004:$BQ$1004,1,MATCH(COLUMNS($AO$1006:AW1006),$AO$1006:$BQ$1006,0)))),"Fix")))</f>
        <v>#N/A</v>
      </c>
      <c r="K451" s="5" t="e">
        <f ca="1">IF(OR(INDEX($AI$2:$AI$1001,MATCH(ROWS($AH$2:AH451),$AH$2:$AH$1001,0),1)&gt;=100000,INDEX($AO$1005:$BQ$1005,1,MATCH(COLUMNS($AO$1006:AX1006),$AO$1006:$BQ$1006,0))&gt;=100000), " ",IF(INDEX($AO$2:$BQ$1001,MATCH(ROWS($AH$2:AH451),$AH$2:$AH$1001,0),MATCH(COLUMNS($AO$1006:AX1006),$AO$1006:$BQ$1006,0)), HYPERLINK("#",""), HYPERLINK(CONCATENATE("#Metadata!", ADDRESS(INDEX($AJ$2:$AJ$1001,MATCH(ROWS($AH$2:AH451),$AH$2:$AH$1001,0),0), INDEX($AO$1004:$BQ$1004,1,MATCH(COLUMNS($AO$1006:AX1006),$AO$1006:$BQ$1006,0)))),"Fix")))</f>
        <v>#N/A</v>
      </c>
      <c r="L451" s="5" t="e">
        <f ca="1">IF(OR(INDEX($AI$2:$AI$1001,MATCH(ROWS($AH$2:AH451),$AH$2:$AH$1001,0),1)&gt;=100000,INDEX($AO$1005:$BQ$1005,1,MATCH(COLUMNS($AO$1006:AY1006),$AO$1006:$BQ$1006,0))&gt;=100000), " ",IF(INDEX($AO$2:$BQ$1001,MATCH(ROWS($AH$2:AH451),$AH$2:$AH$1001,0),MATCH(COLUMNS($AO$1006:AY1006),$AO$1006:$BQ$1006,0)), HYPERLINK("#",""), HYPERLINK(CONCATENATE("#Metadata!", ADDRESS(INDEX($AJ$2:$AJ$1001,MATCH(ROWS($AH$2:AH451),$AH$2:$AH$1001,0),0), INDEX($AO$1004:$BQ$1004,1,MATCH(COLUMNS($AO$1006:AY1006),$AO$1006:$BQ$1006,0)))),"Fix")))</f>
        <v>#N/A</v>
      </c>
      <c r="M451" s="5" t="e">
        <f ca="1">IF(OR(INDEX($AI$2:$AI$1001,MATCH(ROWS($AH$2:AH451),$AH$2:$AH$1001,0),1)&gt;=100000,INDEX($AO$1005:$BQ$1005,1,MATCH(COLUMNS($AO$1006:AZ1006),$AO$1006:$BQ$1006,0))&gt;=100000), " ",IF(INDEX($AO$2:$BQ$1001,MATCH(ROWS($AH$2:AH451),$AH$2:$AH$1001,0),MATCH(COLUMNS($AO$1006:AZ1006),$AO$1006:$BQ$1006,0)), HYPERLINK("#",""), HYPERLINK(CONCATENATE("#Metadata!", ADDRESS(INDEX($AJ$2:$AJ$1001,MATCH(ROWS($AH$2:AH451),$AH$2:$AH$1001,0),0), INDEX($AO$1004:$BQ$1004,1,MATCH(COLUMNS($AO$1006:AZ1006),$AO$1006:$BQ$1006,0)))),"Fix")))</f>
        <v>#N/A</v>
      </c>
      <c r="N451" s="5" t="e">
        <f ca="1">IF(OR(INDEX($AI$2:$AI$1001,MATCH(ROWS($AH$2:AH451),$AH$2:$AH$1001,0),1)&gt;=100000,INDEX($AO$1005:$BQ$1005,1,MATCH(COLUMNS($AO$1006:BA1006),$AO$1006:$BQ$1006,0))&gt;=100000), " ",IF(INDEX($AO$2:$BQ$1001,MATCH(ROWS($AH$2:AH451),$AH$2:$AH$1001,0),MATCH(COLUMNS($AO$1006:BA1006),$AO$1006:$BQ$1006,0)), HYPERLINK("#",""), HYPERLINK(CONCATENATE("#Metadata!", ADDRESS(INDEX($AJ$2:$AJ$1001,MATCH(ROWS($AH$2:AH451),$AH$2:$AH$1001,0),0), INDEX($AO$1004:$BQ$1004,1,MATCH(COLUMNS($AO$1006:BA1006),$AO$1006:$BQ$1006,0)))),"Fix")))</f>
        <v>#N/A</v>
      </c>
      <c r="O451" s="5" t="e">
        <f ca="1">IF(OR(INDEX($AI$2:$AI$1001,MATCH(ROWS($AH$2:AH451),$AH$2:$AH$1001,0),1)&gt;=100000,INDEX($AO$1005:$BQ$1005,1,MATCH(COLUMNS($AO$1006:BB1006),$AO$1006:$BQ$1006,0))&gt;=100000), " ",IF(INDEX($AO$2:$BQ$1001,MATCH(ROWS($AH$2:AH451),$AH$2:$AH$1001,0),MATCH(COLUMNS($AO$1006:BB1006),$AO$1006:$BQ$1006,0)), HYPERLINK("#",""), HYPERLINK(CONCATENATE("#Metadata!", ADDRESS(INDEX($AJ$2:$AJ$1001,MATCH(ROWS($AH$2:AH451),$AH$2:$AH$1001,0),0), INDEX($AO$1004:$BQ$1004,1,MATCH(COLUMNS($AO$1006:BB1006),$AO$1006:$BQ$1006,0)))),"Fix")))</f>
        <v>#N/A</v>
      </c>
      <c r="P451" s="5" t="e">
        <f ca="1">IF(OR(INDEX($AI$2:$AI$1001,MATCH(ROWS($AH$2:AH451),$AH$2:$AH$1001,0),1)&gt;=100000,INDEX($AO$1005:$BQ$1005,1,MATCH(COLUMNS($AO$1006:BC1006),$AO$1006:$BQ$1006,0))&gt;=100000), " ",IF(INDEX($AO$2:$BQ$1001,MATCH(ROWS($AH$2:AH451),$AH$2:$AH$1001,0),MATCH(COLUMNS($AO$1006:BC1006),$AO$1006:$BQ$1006,0)), HYPERLINK("#",""), HYPERLINK(CONCATENATE("#Metadata!", ADDRESS(INDEX($AJ$2:$AJ$1001,MATCH(ROWS($AH$2:AH451),$AH$2:$AH$1001,0),0), INDEX($AO$1004:$BQ$1004,1,MATCH(COLUMNS($AO$1006:BC1006),$AO$1006:$BQ$1006,0)))),"Fix")))</f>
        <v>#N/A</v>
      </c>
      <c r="Q451" s="5" t="e">
        <f ca="1">IF(OR(INDEX($AI$2:$AI$1001,MATCH(ROWS($AH$2:AH451),$AH$2:$AH$1001,0),1)&gt;=100000,INDEX($AO$1005:$BQ$1005,1,MATCH(COLUMNS($AO$1006:BD1006),$AO$1006:$BQ$1006,0))&gt;=100000), " ",IF(INDEX($AO$2:$BQ$1001,MATCH(ROWS($AH$2:AH451),$AH$2:$AH$1001,0),MATCH(COLUMNS($AO$1006:BD1006),$AO$1006:$BQ$1006,0)), HYPERLINK("#",""), HYPERLINK(CONCATENATE("#Metadata!", ADDRESS(INDEX($AJ$2:$AJ$1001,MATCH(ROWS($AH$2:AH451),$AH$2:$AH$1001,0),0), INDEX($AO$1004:$BQ$1004,1,MATCH(COLUMNS($AO$1006:BD1006),$AO$1006:$BQ$1006,0)))),"Fix")))</f>
        <v>#N/A</v>
      </c>
      <c r="R451" s="5" t="e">
        <f ca="1">IF(OR(INDEX($AI$2:$AI$1001,MATCH(ROWS($AH$2:AH451),$AH$2:$AH$1001,0),1)&gt;=100000,INDEX($AO$1005:$BQ$1005,1,MATCH(COLUMNS($AO$1006:BE1006),$AO$1006:$BQ$1006,0))&gt;=100000), " ",IF(INDEX($AO$2:$BQ$1001,MATCH(ROWS($AH$2:AH451),$AH$2:$AH$1001,0),MATCH(COLUMNS($AO$1006:BE1006),$AO$1006:$BQ$1006,0)), HYPERLINK("#",""), HYPERLINK(CONCATENATE("#Metadata!", ADDRESS(INDEX($AJ$2:$AJ$1001,MATCH(ROWS($AH$2:AH451),$AH$2:$AH$1001,0),0), INDEX($AO$1004:$BQ$1004,1,MATCH(COLUMNS($AO$1006:BE1006),$AO$1006:$BQ$1006,0)))),"Fix")))</f>
        <v>#N/A</v>
      </c>
      <c r="S451" s="5" t="e">
        <f ca="1">IF(OR(INDEX($AI$2:$AI$1001,MATCH(ROWS($AH$2:AH451),$AH$2:$AH$1001,0),1)&gt;=100000,INDEX($AO$1005:$BQ$1005,1,MATCH(COLUMNS($AO$1006:BF1006),$AO$1006:$BQ$1006,0))&gt;=100000), " ",IF(INDEX($AO$2:$BQ$1001,MATCH(ROWS($AH$2:AH451),$AH$2:$AH$1001,0),MATCH(COLUMNS($AO$1006:BF1006),$AO$1006:$BQ$1006,0)), HYPERLINK("#",""), HYPERLINK(CONCATENATE("#Metadata!", ADDRESS(INDEX($AJ$2:$AJ$1001,MATCH(ROWS($AH$2:AH451),$AH$2:$AH$1001,0),0), INDEX($AO$1004:$BQ$1004,1,MATCH(COLUMNS($AO$1006:BF1006),$AO$1006:$BQ$1006,0)))),"Fix")))</f>
        <v>#N/A</v>
      </c>
      <c r="T451" s="5" t="e">
        <f ca="1">IF(OR(INDEX($AI$2:$AI$1001,MATCH(ROWS($AH$2:AH451),$AH$2:$AH$1001,0),1)&gt;=100000,INDEX($AO$1005:$BQ$1005,1,MATCH(COLUMNS($AO$1006:BG1006),$AO$1006:$BQ$1006,0))&gt;=100000), " ",IF(INDEX($AO$2:$BQ$1001,MATCH(ROWS($AH$2:AH451),$AH$2:$AH$1001,0),MATCH(COLUMNS($AO$1006:BG1006),$AO$1006:$BQ$1006,0)), HYPERLINK("#",""), HYPERLINK(CONCATENATE("#Metadata!", ADDRESS(INDEX($AJ$2:$AJ$1001,MATCH(ROWS($AH$2:AH451),$AH$2:$AH$1001,0),0), INDEX($AO$1004:$BQ$1004,1,MATCH(COLUMNS($AO$1006:BG1006),$AO$1006:$BQ$1006,0)))),"Fix")))</f>
        <v>#N/A</v>
      </c>
      <c r="U451" s="5" t="e">
        <f ca="1">IF(OR(INDEX($AI$2:$AI$1001,MATCH(ROWS($AH$2:AH451),$AH$2:$AH$1001,0),1)&gt;=100000,INDEX($AO$1005:$BQ$1005,1,MATCH(COLUMNS($AO$1006:BH1006),$AO$1006:$BQ$1006,0))&gt;=100000), " ",IF(INDEX($AO$2:$BQ$1001,MATCH(ROWS($AH$2:AH451),$AH$2:$AH$1001,0),MATCH(COLUMNS($AO$1006:BH1006),$AO$1006:$BQ$1006,0)), HYPERLINK("#",""), HYPERLINK(CONCATENATE("#Metadata!", ADDRESS(INDEX($AJ$2:$AJ$1001,MATCH(ROWS($AH$2:AH451),$AH$2:$AH$1001,0),0), INDEX($AO$1004:$BQ$1004,1,MATCH(COLUMNS($AO$1006:BH1006),$AO$1006:$BQ$1006,0)))),"Fix")))</f>
        <v>#N/A</v>
      </c>
      <c r="V451" s="5" t="e">
        <f ca="1">IF(OR(INDEX($AI$2:$AI$1001,MATCH(ROWS($AH$2:AH451),$AH$2:$AH$1001,0),1)&gt;=100000,INDEX($AO$1005:$BQ$1005,1,MATCH(COLUMNS($AO$1006:BI1006),$AO$1006:$BQ$1006,0))&gt;=100000), " ",IF(INDEX($AO$2:$BQ$1001,MATCH(ROWS($AH$2:AH451),$AH$2:$AH$1001,0),MATCH(COLUMNS($AO$1006:BI1006),$AO$1006:$BQ$1006,0)), HYPERLINK("#",""), HYPERLINK(CONCATENATE("#Metadata!", ADDRESS(INDEX($AJ$2:$AJ$1001,MATCH(ROWS($AH$2:AH451),$AH$2:$AH$1001,0),0), INDEX($AO$1004:$BQ$1004,1,MATCH(COLUMNS($AO$1006:BI1006),$AO$1006:$BQ$1006,0)))),"Fix")))</f>
        <v>#N/A</v>
      </c>
      <c r="W451" s="5" t="e">
        <f ca="1">IF(OR(INDEX($AI$2:$AI$1001,MATCH(ROWS($AH$2:AH451),$AH$2:$AH$1001,0),1)&gt;=100000,INDEX($AO$1005:$BQ$1005,1,MATCH(COLUMNS($AO$1006:BJ1006),$AO$1006:$BQ$1006,0))&gt;=100000), " ",IF(INDEX($AO$2:$BQ$1001,MATCH(ROWS($AH$2:AH451),$AH$2:$AH$1001,0),MATCH(COLUMNS($AO$1006:BJ1006),$AO$1006:$BQ$1006,0)), HYPERLINK("#",""), HYPERLINK(CONCATENATE("#Metadata!", ADDRESS(INDEX($AJ$2:$AJ$1001,MATCH(ROWS($AH$2:AH451),$AH$2:$AH$1001,0),0), INDEX($AO$1004:$BQ$1004,1,MATCH(COLUMNS($AO$1006:BJ1006),$AO$1006:$BQ$1006,0)))),"Fix")))</f>
        <v>#N/A</v>
      </c>
      <c r="X451" s="5" t="e">
        <f ca="1">IF(OR(INDEX($AI$2:$AI$1001,MATCH(ROWS($AH$2:AH451),$AH$2:$AH$1001,0),1)&gt;=100000,INDEX($AO$1005:$BQ$1005,1,MATCH(COLUMNS($AO$1006:BK1006),$AO$1006:$BQ$1006,0))&gt;=100000), " ",IF(INDEX($AO$2:$BQ$1001,MATCH(ROWS($AH$2:AH451),$AH$2:$AH$1001,0),MATCH(COLUMNS($AO$1006:BK1006),$AO$1006:$BQ$1006,0)), HYPERLINK("#",""), HYPERLINK(CONCATENATE("#Metadata!", ADDRESS(INDEX($AJ$2:$AJ$1001,MATCH(ROWS($AH$2:AH451),$AH$2:$AH$1001,0),0), INDEX($AO$1004:$BQ$1004,1,MATCH(COLUMNS($AO$1006:BK1006),$AO$1006:$BQ$1006,0)))),"Fix")))</f>
        <v>#N/A</v>
      </c>
      <c r="Y451" s="5" t="e">
        <f ca="1">IF(OR(INDEX($AI$2:$AI$1001,MATCH(ROWS($AH$2:AH451),$AH$2:$AH$1001,0),1)&gt;=100000,INDEX($AO$1005:$BQ$1005,1,MATCH(COLUMNS($AO$1006:BL1006),$AO$1006:$BQ$1006,0))&gt;=100000), " ",IF(INDEX($AO$2:$BQ$1001,MATCH(ROWS($AH$2:AH451),$AH$2:$AH$1001,0),MATCH(COLUMNS($AO$1006:BL1006),$AO$1006:$BQ$1006,0)), HYPERLINK("#",""), HYPERLINK(CONCATENATE("#Metadata!", ADDRESS(INDEX($AJ$2:$AJ$1001,MATCH(ROWS($AH$2:AH451),$AH$2:$AH$1001,0),0), INDEX($AO$1004:$BQ$1004,1,MATCH(COLUMNS($AO$1006:BL1006),$AO$1006:$BQ$1006,0)))),"Fix")))</f>
        <v>#N/A</v>
      </c>
      <c r="Z451" s="5" t="e">
        <f ca="1">IF(OR(INDEX($AI$2:$AI$1001,MATCH(ROWS($AH$2:AH451),$AH$2:$AH$1001,0),1)&gt;=100000,INDEX($AO$1005:$BQ$1005,1,MATCH(COLUMNS($AO$1006:BM1006),$AO$1006:$BQ$1006,0))&gt;=100000), " ",IF(INDEX($AO$2:$BQ$1001,MATCH(ROWS($AH$2:AH451),$AH$2:$AH$1001,0),MATCH(COLUMNS($AO$1006:BM1006),$AO$1006:$BQ$1006,0)), HYPERLINK("#",""), HYPERLINK(CONCATENATE("#Metadata!", ADDRESS(INDEX($AJ$2:$AJ$1001,MATCH(ROWS($AH$2:AH451),$AH$2:$AH$1001,0),0), INDEX($AO$1004:$BQ$1004,1,MATCH(COLUMNS($AO$1006:BM1006),$AO$1006:$BQ$1006,0)))),"Fix")))</f>
        <v>#N/A</v>
      </c>
      <c r="AA451" s="5" t="e">
        <f ca="1">IF(OR(INDEX($AI$2:$AI$1001,MATCH(ROWS($AH$2:AH451),$AH$2:$AH$1001,0),1)&gt;=100000,INDEX($AO$1005:$BQ$1005,1,MATCH(COLUMNS($AO$1006:BN1006),$AO$1006:$BQ$1006,0))&gt;=100000), " ",IF(INDEX($AO$2:$BQ$1001,MATCH(ROWS($AH$2:AH451),$AH$2:$AH$1001,0),MATCH(COLUMNS($AO$1006:BN1006),$AO$1006:$BQ$1006,0)), HYPERLINK("#",""), HYPERLINK(CONCATENATE("#Metadata!", ADDRESS(INDEX($AJ$2:$AJ$1001,MATCH(ROWS($AH$2:AH451),$AH$2:$AH$1001,0),0), INDEX($AO$1004:$BQ$1004,1,MATCH(COLUMNS($AO$1006:BN1006),$AO$1006:$BQ$1006,0)))),"Fix")))</f>
        <v>#N/A</v>
      </c>
      <c r="AB451" s="5" t="e">
        <f ca="1">IF(OR(INDEX($AI$2:$AI$1001,MATCH(ROWS($AH$2:AH451),$AH$2:$AH$1001,0),1)&gt;=100000,INDEX($AO$1005:$BQ$1005,1,MATCH(COLUMNS($AO$1006:BO1006),$AO$1006:$BQ$1006,0))&gt;=100000), " ",IF(INDEX($AO$2:$BQ$1001,MATCH(ROWS($AH$2:AH451),$AH$2:$AH$1001,0),MATCH(COLUMNS($AO$1006:BO1006),$AO$1006:$BQ$1006,0)), HYPERLINK("#",""), HYPERLINK(CONCATENATE("#Metadata!", ADDRESS(INDEX($AJ$2:$AJ$1001,MATCH(ROWS($AH$2:AH451),$AH$2:$AH$1001,0),0), INDEX($AO$1004:$BQ$1004,1,MATCH(COLUMNS($AO$1006:BO1006),$AO$1006:$BQ$1006,0)))),"Fix")))</f>
        <v>#N/A</v>
      </c>
      <c r="AC451" s="5" t="e">
        <f ca="1">IF(OR(INDEX($AI$2:$AI$1001,MATCH(ROWS($AH$2:AH451),$AH$2:$AH$1001,0),1)&gt;=100000,INDEX($AO$1005:$BQ$1005,1,MATCH(COLUMNS($AO$1006:BP1006),$AO$1006:$BQ$1006,0))&gt;=100000), " ",IF(INDEX($AO$2:$BQ$1001,MATCH(ROWS($AH$2:AH451),$AH$2:$AH$1001,0),MATCH(COLUMNS($AO$1006:BP1006),$AO$1006:$BQ$1006,0)), HYPERLINK("#",""), HYPERLINK(CONCATENATE("#Metadata!", ADDRESS(INDEX($AJ$2:$AJ$1001,MATCH(ROWS($AH$2:AH451),$AH$2:$AH$1001,0),0), INDEX($AO$1004:$BQ$1004,1,MATCH(COLUMNS($AO$1006:BP1006),$AO$1006:$BQ$1006,0)))),"Fix")))</f>
        <v>#N/A</v>
      </c>
      <c r="AD451" s="5" t="e">
        <f ca="1">IF(OR(INDEX($AI$2:$AI$1001,MATCH(ROWS($AH$2:AH451),$AH$2:$AH$1001,0),1)&gt;=100000,INDEX($AO$1005:$BQ$1005,1,MATCH(COLUMNS($AO$1006:BQ1006),$AO$1006:$BQ$1006,0))&gt;=100000), " ",IF(INDEX($AO$2:$BQ$1001,MATCH(ROWS($AH$2:AH451),$AH$2:$AH$1001,0),MATCH(COLUMNS($AO$1006:BQ1006),$AO$1006:$BQ$1006,0)), HYPERLINK("#",""), HYPERLINK(CONCATENATE("#Metadata!", ADDRESS(INDEX($AJ$2:$AJ$1001,MATCH(ROWS($AH$2:AH451),$AH$2:$AH$1001,0),0), INDEX($AO$1004:$BQ$1004,1,MATCH(COLUMNS($AO$1006:BQ1006),$AO$1006:$BQ$1006,0)))),"Fix")))</f>
        <v>#REF!</v>
      </c>
      <c r="AH451">
        <f ca="1"/>
        <v>448</v>
      </c>
      <c r="AI451">
        <v>100451</v>
      </c>
      <c r="AJ451">
        <v>451</v>
      </c>
      <c r="AK451" t="b">
        <f t="shared" si="7"/>
        <v>1</v>
      </c>
      <c r="AL451" t="b">
        <f>COUNTBLANK(Metadata!B451:AD451)=COLUMNS(Metadata!B451:AD451)</f>
        <v>1</v>
      </c>
      <c r="AM451" t="str">
        <v/>
      </c>
      <c r="AO451" t="b">
        <f ca="1">AND(IF(Metadata!B451="",FALSE,TRUE),COUNTIF(Metadata!B:B, Metadata!B451) = 1,NOT(ISERROR(SUMPRODUCT(SEARCH(MID(Metadata!B451,ROW(INDIRECT("1:"&amp;LEN(Metadata!B451))), 1),"0123456789abcdefghijklmnopqrstuvwxyzABCDEFGHIJKLMNOPQRSTUVWXYZ.")))))</f>
        <v>0</v>
      </c>
      <c r="AP451" t="b">
        <f>IF(Metadata!C451="",FALSE,TRUE)</f>
        <v>0</v>
      </c>
      <c r="AQ451" t="b">
        <f>IF(Metadata!D451="",FALSE,TRUE)</f>
        <v>0</v>
      </c>
      <c r="AR451" t="b">
        <f ca="1">OR(AND(IF(Metadata!E451="",FALSE,TRUE),OR(EXACT(Metadata!E451,"not collected"),EXACT(Metadata!E451,"not provided"),EXACT(Metadata!E451,"restricted access"))),AND(IF(Metadata!E451="",FALSE,TRUE),AND(AND(IFERROR(INT(LEFT(Metadata!E451,4))&gt;1900,FALSE),IFERROR(INT(LEFT(Metadata!E451,4))&lt;=YEAR(NOW()),FALSE)), OR(MID(Metadata!E451,5,1)="", AND(AND(MID(Metadata!E451,5,1)="-",IFERROR(INT(MID(Metadata!E451,6,1))&gt;=0,FALSE),IFERROR(INT(MID(Metadata!E451,6,1))&lt;=1,FALSE),NOT(MID(Metadata!E451,7,1)=""),IFERROR(INT(MID(Metadata!E451,6,2))&gt;=1,FALSE),IFERROR(INT(MID(Metadata!E451,6,2))&lt;=12,FALSE)), OR(MID(Metadata!E451,8,1)="", AND(AND(MID(Metadata!E451,8,1)="-",IFERROR(INT(MID(Metadata!E451,9,1))&gt;=0,FALSE),IFERROR(INT(MID(Metadata!E451,9,1))&lt;=3,FALSE),NOT(MID(Metadata!E451,10,1)=""),IFERROR(INT(MID(Metadata!E451,9,2))&gt;=1,FALSE),IFERROR(INT(MID(Metadata!E451,9,2))&lt;=31,FALSE)), OR(MID(Metadata!E451,11,1)="", AND(AND(MID(Metadata!E451,11,1)=" ",IFERROR(INT(MID(Metadata!E451,12,1))&gt;=0,FALSE),IFERROR(INT(MID(Metadata!E451,12,1))&lt;=2,FALSE),NOT(MID(Metadata!E451,13,1)=""),IFERROR(INT(MID(Metadata!E451,12,2))&gt;=0,FALSE),IFERROR(INT(MID(Metadata!E451,12,2))&lt;=23,FALSE)), OR(MID(Metadata!E451,14,1)="", AND(AND(MID(Metadata!E451,14,1)=":",IFERROR(INT(MID(Metadata!E451,15,1))&gt;=0,FALSE),IFERROR(INT(MID(Metadata!E451,15,1))&lt;=5,FALSE),NOT(MID(Metadata!E451,16,1)=""),IFERROR(INT(MID(Metadata!E451,15,2))&gt;=0,FALSE),IFERROR(INT(MID(Metadata!E451,15,2))&lt;=59,FALSE)), OR(MID(Metadata!E451,17,1)="", AND(AND(MID(Metadata!E451,17,1)=":",IFERROR(INT(MID(Metadata!E451,18,1))&gt;=0,FALSE),IFERROR(INT(MID(Metadata!E451,18,1))&lt;=5,FALSE),NOT(MID(Metadata!E451,19,1)=""),IFERROR(INT(MID(Metadata!E451,18,2))&gt;=0,FALSE),IFERROR(INT(MID(Metadata!E451,18,2))&lt;=59,FALSE)), LEN(Metadata!E451)&lt;=19)))))))))))))</f>
        <v>0</v>
      </c>
      <c r="AS451" t="b">
        <f>IF(Metadata!F451="",FALSE,TRUE)</f>
        <v>0</v>
      </c>
      <c r="AT451" t="b">
        <f>OR(AND(IF(Metadata!G451="",FALSE,TRUE),OR(EXACT(Metadata!G451,"not collected"),EXACT(Metadata!G451,"not provided"))),AND(IF(Metadata!G451="",FALSE,TRUE),OR(EXACT(Metadata!G451,"TRUE"),EXACT(Metadata!G451,"FALSE"))))</f>
        <v>0</v>
      </c>
      <c r="AU451" t="b">
        <f>OR(AND(IF(Metadata!H451="",FALSE,TRUE),OR(EXACT(Metadata!H451,"not collected"),EXACT(Metadata!H451,"not provided"),EXACT(Metadata!H451,"restricted access"))),AND(IF(Metadata!H451="",FALSE,ISNUMBER(VALUE(Metadata!H451))),Metadata!H451&gt;=-413))</f>
        <v>0</v>
      </c>
      <c r="AV451" t="b">
        <f>AND(IF(Metadata!I451="",FALSE,TRUE),EXACT(Metadata!I451,"meters"))</f>
        <v>0</v>
      </c>
      <c r="AW451" t="b">
        <f>AND(IF(Metadata!J451="",FALSE,TRUE),EXACT(Metadata!J451,"free-living"))</f>
        <v>0</v>
      </c>
      <c r="AX451" t="b">
        <f>AND(IF(Metadata!K451="",FALSE,TRUE),OR(EXACT(Metadata!K451,"saline"),EXACT(Metadata!K451,"non-saline")))</f>
        <v>0</v>
      </c>
      <c r="AY451" t="b">
        <f>AND(IF(Metadata!L451="",FALSE,TRUE),OR(EXACT(Metadata!L451,"sub-surface (non-saline)"),EXACT(Metadata!L451,"surface (non-saline)"),EXACT(Metadata!L451,"water (non-saline)"),EXACT(Metadata!L451,"soil (non-saline)"),EXACT(Metadata!L451,"aerosol (non-saline)"),EXACT(Metadata!L451,"sediment (non-saline)"),EXACT(Metadata!L451,"surface (saline)"),EXACT(Metadata!L451,"water (saline)"),EXACT(Metadata!L451,"hypersaline (saline)"),EXACT(Metadata!L451,"aerosol (saline)"),EXACT(Metadata!L451,"sediment (saline)")))</f>
        <v>0</v>
      </c>
      <c r="AZ451" t="b">
        <f>IF(Metadata!M451="",FALSE,TRUE)</f>
        <v>0</v>
      </c>
      <c r="BA451" t="b">
        <f>IF(Metadata!N451="",FALSE,TRUE)</f>
        <v>0</v>
      </c>
      <c r="BB451" t="b">
        <f>IF(Metadata!O451="",FALSE,TRUE)</f>
        <v>0</v>
      </c>
      <c r="BC451" t="b">
        <f>AND(IF(Metadata!P451="",FALSE,TRUE),OR(EXACT(Metadata!P451,"air"),EXACT(Metadata!P451,"microbial mat/biofilm"),EXACT(Metadata!P451,"misc environment"),EXACT(Metadata!P451,"sediment"),EXACT(Metadata!P451,"soil"),EXACT(Metadata!P451,"wastewater/sludge"),EXACT(Metadata!P451,"water")))</f>
        <v>0</v>
      </c>
      <c r="BD451" t="b">
        <f>IF(Metadata!Q451="",FALSE,TRUE)</f>
        <v>0</v>
      </c>
      <c r="BE451" t="b">
        <f>IF(Metadata!R451="",FALSE,TRUE)</f>
        <v>0</v>
      </c>
      <c r="BF451" t="b">
        <f>OR(AND(IF(Metadata!S451="",FALSE,TRUE),OR(EXACT(Metadata!S451,"not collected"),EXACT(Metadata!S451,"not provided"),EXACT(Metadata!S451,"restricted access"))),AND(IF(Metadata!S451="",FALSE,ISNUMBER(VALUE(Metadata!S451))),Metadata!S451&gt;=-90,Metadata!S451&lt;=90))</f>
        <v>0</v>
      </c>
      <c r="BG451" t="b">
        <f>AND(IF(Metadata!T451="",FALSE,TRUE),EXACT(Metadata!T451,"Decimal degrees"))</f>
        <v>0</v>
      </c>
      <c r="BH451" t="b">
        <f>OR(AND(IF(Metadata!U451="",FALSE,TRUE),OR(EXACT(Metadata!U451,"not applicable"),EXACT(Metadata!U451,"not collected"))),IF(Metadata!U451="",FALSE,TRUE))</f>
        <v>0</v>
      </c>
      <c r="BI451" t="b">
        <f>OR(AND(IF(Metadata!V451="",FALSE,TRUE),OR(EXACT(Metadata!V451,"not collected"),EXACT(Metadata!V451,"not provided"),EXACT(Metadata!V451,"restricted access"))),AND(IF(Metadata!V451="",FALSE,ISNUMBER(VALUE(Metadata!V451))),Metadata!V451&gt;=-180,Metadata!V451&lt;=180))</f>
        <v>0</v>
      </c>
      <c r="BJ451" t="b">
        <f>AND(IF(Metadata!W451="",FALSE,TRUE),EXACT(Metadata!W451,"Decimal degrees"))</f>
        <v>0</v>
      </c>
      <c r="BK451" t="b">
        <f>IF(Metadata!X451="",FALSE,TRUE)</f>
        <v>0</v>
      </c>
      <c r="BL451" t="b">
        <f>OR(AND(IF(Metadata!Y451="",FALSE,TRUE),OR(EXACT(Metadata!Y451,"not collected"),EXACT(Metadata!Y451,"not provided"),EXACT(Metadata!Y451,"restricted access"))),AND(IF(Metadata!Y451="",FALSE,TRUE),OR(EXACT(Metadata!Y451,"TRUE"),EXACT(Metadata!Y451,"FALSE"))))</f>
        <v>0</v>
      </c>
      <c r="BM451" t="b">
        <f>OR(AND(IF(Metadata!Z451="",FALSE,TRUE),EXACT(Metadata!Z451,"not applicable")),AND(IF(Metadata!Z451="",FALSE,TRUE),OR(EXACT(Metadata!Z451,"beer"),EXACT(Metadata!Z451,"cheese"),EXACT(Metadata!Z451,"fresh water"),EXACT(Metadata!Z451,"marine sediment"),EXACT(Metadata!Z451,"sea water"),EXACT(Metadata!Z451,"sediment"),EXACT(Metadata!Z451,"soil"),EXACT(Metadata!Z451,"waste water"))))</f>
        <v>0</v>
      </c>
      <c r="BN451" t="b">
        <f>AND(IF(Metadata!AA451="",FALSE,TRUE),EXACT(Metadata!AA451,"metagenome"))</f>
        <v>0</v>
      </c>
      <c r="BO451" t="b">
        <f>AND(IF(Metadata!AB451="",FALSE,TRUE),EXACT(Metadata!AB451,"256318"))</f>
        <v>0</v>
      </c>
      <c r="BP451" t="b">
        <f>IF(Metadata!AC451="",FALSE,TRUE)</f>
        <v>0</v>
      </c>
      <c r="BQ451" t="b">
        <f>IF(Metadata!AD451="",FALSE,TRUE)</f>
        <v>0</v>
      </c>
    </row>
    <row r="452" spans="1:69" x14ac:dyDescent="0.2">
      <c r="A452" s="4" t="e">
        <f ca="1">IF(B452=" "," ",HYPERLINK(CONCATENATE("#metadata!",ADDRESS(INDEX($AJ$2:$AJ$1001,MATCH(ROWS($AH$2:AH452),$AH$2:$AH$1001,0),0),2)),INDEX($AM$2:$AM$1001,MATCH(ROWS($AH$2:AH452),$AH$2:$AH$1001,0),0)))</f>
        <v>#N/A</v>
      </c>
      <c r="B452" s="5" t="e">
        <f ca="1">IF(OR(INDEX($AI$2:$AI$1001,MATCH(ROWS($AH$2:AH452),$AH$2:$AH$1001,0),1)&gt;=100000,INDEX($AO$1005:$BQ$1005,1,MATCH(COLUMNS($AO$1006:AO1006),$AO$1006:$BQ$1006,0))&gt;=100000), " ",IF(INDEX($AO$2:$BQ$1001,MATCH(ROWS($AH$2:AH452),$AH$2:$AH$1001,0),MATCH(COLUMNS($AO$1006:AO1006),$AO$1006:$BQ$1006,0)), HYPERLINK("#",""), HYPERLINK(CONCATENATE("#Metadata!", ADDRESS(INDEX($AJ$2:$AJ$1001,MATCH(ROWS($AH$2:AH452),$AH$2:$AH$1001,0),0), INDEX($AO$1004:$BQ$1004,1,MATCH(COLUMNS($AO$1006:AO1006),$AO$1006:$BQ$1006,0)))),"Fix")))</f>
        <v>#N/A</v>
      </c>
      <c r="C452" s="5" t="e">
        <f ca="1">IF(OR(INDEX($AI$2:$AI$1001,MATCH(ROWS($AH$2:AH452),$AH$2:$AH$1001,0),1)&gt;=100000,INDEX($AO$1005:$BQ$1005,1,MATCH(COLUMNS($AO$1006:AP1006),$AO$1006:$BQ$1006,0))&gt;=100000), " ",IF(INDEX($AO$2:$BQ$1001,MATCH(ROWS($AH$2:AH452),$AH$2:$AH$1001,0),MATCH(COLUMNS($AO$1006:AP1006),$AO$1006:$BQ$1006,0)), HYPERLINK("#",""), HYPERLINK(CONCATENATE("#Metadata!", ADDRESS(INDEX($AJ$2:$AJ$1001,MATCH(ROWS($AH$2:AH452),$AH$2:$AH$1001,0),0), INDEX($AO$1004:$BQ$1004,1,MATCH(COLUMNS($AO$1006:AP1006),$AO$1006:$BQ$1006,0)))),"Fix")))</f>
        <v>#N/A</v>
      </c>
      <c r="D452" s="5" t="e">
        <f ca="1">IF(OR(INDEX($AI$2:$AI$1001,MATCH(ROWS($AH$2:AH452),$AH$2:$AH$1001,0),1)&gt;=100000,INDEX($AO$1005:$BQ$1005,1,MATCH(COLUMNS($AO$1006:AQ1006),$AO$1006:$BQ$1006,0))&gt;=100000), " ",IF(INDEX($AO$2:$BQ$1001,MATCH(ROWS($AH$2:AH452),$AH$2:$AH$1001,0),MATCH(COLUMNS($AO$1006:AQ1006),$AO$1006:$BQ$1006,0)), HYPERLINK("#",""), HYPERLINK(CONCATENATE("#Metadata!", ADDRESS(INDEX($AJ$2:$AJ$1001,MATCH(ROWS($AH$2:AH452),$AH$2:$AH$1001,0),0), INDEX($AO$1004:$BQ$1004,1,MATCH(COLUMNS($AO$1006:AQ1006),$AO$1006:$BQ$1006,0)))),"Fix")))</f>
        <v>#N/A</v>
      </c>
      <c r="E452" s="5" t="e">
        <f ca="1">IF(OR(INDEX($AI$2:$AI$1001,MATCH(ROWS($AH$2:AH452),$AH$2:$AH$1001,0),1)&gt;=100000,INDEX($AO$1005:$BQ$1005,1,MATCH(COLUMNS($AO$1006:AR1006),$AO$1006:$BQ$1006,0))&gt;=100000), " ",IF(INDEX($AO$2:$BQ$1001,MATCH(ROWS($AH$2:AH452),$AH$2:$AH$1001,0),MATCH(COLUMNS($AO$1006:AR1006),$AO$1006:$BQ$1006,0)), HYPERLINK("#",""), HYPERLINK(CONCATENATE("#Metadata!", ADDRESS(INDEX($AJ$2:$AJ$1001,MATCH(ROWS($AH$2:AH452),$AH$2:$AH$1001,0),0), INDEX($AO$1004:$BQ$1004,1,MATCH(COLUMNS($AO$1006:AR1006),$AO$1006:$BQ$1006,0)))),"Fix")))</f>
        <v>#N/A</v>
      </c>
      <c r="F452" s="5" t="e">
        <f ca="1">IF(OR(INDEX($AI$2:$AI$1001,MATCH(ROWS($AH$2:AH452),$AH$2:$AH$1001,0),1)&gt;=100000,INDEX($AO$1005:$BQ$1005,1,MATCH(COLUMNS($AO$1006:AS1006),$AO$1006:$BQ$1006,0))&gt;=100000), " ",IF(INDEX($AO$2:$BQ$1001,MATCH(ROWS($AH$2:AH452),$AH$2:$AH$1001,0),MATCH(COLUMNS($AO$1006:AS1006),$AO$1006:$BQ$1006,0)), HYPERLINK("#",""), HYPERLINK(CONCATENATE("#Metadata!", ADDRESS(INDEX($AJ$2:$AJ$1001,MATCH(ROWS($AH$2:AH452),$AH$2:$AH$1001,0),0), INDEX($AO$1004:$BQ$1004,1,MATCH(COLUMNS($AO$1006:AS1006),$AO$1006:$BQ$1006,0)))),"Fix")))</f>
        <v>#N/A</v>
      </c>
      <c r="G452" s="5" t="e">
        <f ca="1">IF(OR(INDEX($AI$2:$AI$1001,MATCH(ROWS($AH$2:AH452),$AH$2:$AH$1001,0),1)&gt;=100000,INDEX($AO$1005:$BQ$1005,1,MATCH(COLUMNS($AO$1006:AT1006),$AO$1006:$BQ$1006,0))&gt;=100000), " ",IF(INDEX($AO$2:$BQ$1001,MATCH(ROWS($AH$2:AH452),$AH$2:$AH$1001,0),MATCH(COLUMNS($AO$1006:AT1006),$AO$1006:$BQ$1006,0)), HYPERLINK("#",""), HYPERLINK(CONCATENATE("#Metadata!", ADDRESS(INDEX($AJ$2:$AJ$1001,MATCH(ROWS($AH$2:AH452),$AH$2:$AH$1001,0),0), INDEX($AO$1004:$BQ$1004,1,MATCH(COLUMNS($AO$1006:AT1006),$AO$1006:$BQ$1006,0)))),"Fix")))</f>
        <v>#N/A</v>
      </c>
      <c r="H452" s="5" t="e">
        <f ca="1">IF(OR(INDEX($AI$2:$AI$1001,MATCH(ROWS($AH$2:AH452),$AH$2:$AH$1001,0),1)&gt;=100000,INDEX($AO$1005:$BQ$1005,1,MATCH(COLUMNS($AO$1006:AU1006),$AO$1006:$BQ$1006,0))&gt;=100000), " ",IF(INDEX($AO$2:$BQ$1001,MATCH(ROWS($AH$2:AH452),$AH$2:$AH$1001,0),MATCH(COLUMNS($AO$1006:AU1006),$AO$1006:$BQ$1006,0)), HYPERLINK("#",""), HYPERLINK(CONCATENATE("#Metadata!", ADDRESS(INDEX($AJ$2:$AJ$1001,MATCH(ROWS($AH$2:AH452),$AH$2:$AH$1001,0),0), INDEX($AO$1004:$BQ$1004,1,MATCH(COLUMNS($AO$1006:AU1006),$AO$1006:$BQ$1006,0)))),"Fix")))</f>
        <v>#N/A</v>
      </c>
      <c r="I452" s="5" t="e">
        <f ca="1">IF(OR(INDEX($AI$2:$AI$1001,MATCH(ROWS($AH$2:AH452),$AH$2:$AH$1001,0),1)&gt;=100000,INDEX($AO$1005:$BQ$1005,1,MATCH(COLUMNS($AO$1006:AV1006),$AO$1006:$BQ$1006,0))&gt;=100000), " ",IF(INDEX($AO$2:$BQ$1001,MATCH(ROWS($AH$2:AH452),$AH$2:$AH$1001,0),MATCH(COLUMNS($AO$1006:AV1006),$AO$1006:$BQ$1006,0)), HYPERLINK("#",""), HYPERLINK(CONCATENATE("#Metadata!", ADDRESS(INDEX($AJ$2:$AJ$1001,MATCH(ROWS($AH$2:AH452),$AH$2:$AH$1001,0),0), INDEX($AO$1004:$BQ$1004,1,MATCH(COLUMNS($AO$1006:AV1006),$AO$1006:$BQ$1006,0)))),"Fix")))</f>
        <v>#N/A</v>
      </c>
      <c r="J452" s="5" t="e">
        <f ca="1">IF(OR(INDEX($AI$2:$AI$1001,MATCH(ROWS($AH$2:AH452),$AH$2:$AH$1001,0),1)&gt;=100000,INDEX($AO$1005:$BQ$1005,1,MATCH(COLUMNS($AO$1006:AW1006),$AO$1006:$BQ$1006,0))&gt;=100000), " ",IF(INDEX($AO$2:$BQ$1001,MATCH(ROWS($AH$2:AH452),$AH$2:$AH$1001,0),MATCH(COLUMNS($AO$1006:AW1006),$AO$1006:$BQ$1006,0)), HYPERLINK("#",""), HYPERLINK(CONCATENATE("#Metadata!", ADDRESS(INDEX($AJ$2:$AJ$1001,MATCH(ROWS($AH$2:AH452),$AH$2:$AH$1001,0),0), INDEX($AO$1004:$BQ$1004,1,MATCH(COLUMNS($AO$1006:AW1006),$AO$1006:$BQ$1006,0)))),"Fix")))</f>
        <v>#N/A</v>
      </c>
      <c r="K452" s="5" t="e">
        <f ca="1">IF(OR(INDEX($AI$2:$AI$1001,MATCH(ROWS($AH$2:AH452),$AH$2:$AH$1001,0),1)&gt;=100000,INDEX($AO$1005:$BQ$1005,1,MATCH(COLUMNS($AO$1006:AX1006),$AO$1006:$BQ$1006,0))&gt;=100000), " ",IF(INDEX($AO$2:$BQ$1001,MATCH(ROWS($AH$2:AH452),$AH$2:$AH$1001,0),MATCH(COLUMNS($AO$1006:AX1006),$AO$1006:$BQ$1006,0)), HYPERLINK("#",""), HYPERLINK(CONCATENATE("#Metadata!", ADDRESS(INDEX($AJ$2:$AJ$1001,MATCH(ROWS($AH$2:AH452),$AH$2:$AH$1001,0),0), INDEX($AO$1004:$BQ$1004,1,MATCH(COLUMNS($AO$1006:AX1006),$AO$1006:$BQ$1006,0)))),"Fix")))</f>
        <v>#N/A</v>
      </c>
      <c r="L452" s="5" t="e">
        <f ca="1">IF(OR(INDEX($AI$2:$AI$1001,MATCH(ROWS($AH$2:AH452),$AH$2:$AH$1001,0),1)&gt;=100000,INDEX($AO$1005:$BQ$1005,1,MATCH(COLUMNS($AO$1006:AY1006),$AO$1006:$BQ$1006,0))&gt;=100000), " ",IF(INDEX($AO$2:$BQ$1001,MATCH(ROWS($AH$2:AH452),$AH$2:$AH$1001,0),MATCH(COLUMNS($AO$1006:AY1006),$AO$1006:$BQ$1006,0)), HYPERLINK("#",""), HYPERLINK(CONCATENATE("#Metadata!", ADDRESS(INDEX($AJ$2:$AJ$1001,MATCH(ROWS($AH$2:AH452),$AH$2:$AH$1001,0),0), INDEX($AO$1004:$BQ$1004,1,MATCH(COLUMNS($AO$1006:AY1006),$AO$1006:$BQ$1006,0)))),"Fix")))</f>
        <v>#N/A</v>
      </c>
      <c r="M452" s="5" t="e">
        <f ca="1">IF(OR(INDEX($AI$2:$AI$1001,MATCH(ROWS($AH$2:AH452),$AH$2:$AH$1001,0),1)&gt;=100000,INDEX($AO$1005:$BQ$1005,1,MATCH(COLUMNS($AO$1006:AZ1006),$AO$1006:$BQ$1006,0))&gt;=100000), " ",IF(INDEX($AO$2:$BQ$1001,MATCH(ROWS($AH$2:AH452),$AH$2:$AH$1001,0),MATCH(COLUMNS($AO$1006:AZ1006),$AO$1006:$BQ$1006,0)), HYPERLINK("#",""), HYPERLINK(CONCATENATE("#Metadata!", ADDRESS(INDEX($AJ$2:$AJ$1001,MATCH(ROWS($AH$2:AH452),$AH$2:$AH$1001,0),0), INDEX($AO$1004:$BQ$1004,1,MATCH(COLUMNS($AO$1006:AZ1006),$AO$1006:$BQ$1006,0)))),"Fix")))</f>
        <v>#N/A</v>
      </c>
      <c r="N452" s="5" t="e">
        <f ca="1">IF(OR(INDEX($AI$2:$AI$1001,MATCH(ROWS($AH$2:AH452),$AH$2:$AH$1001,0),1)&gt;=100000,INDEX($AO$1005:$BQ$1005,1,MATCH(COLUMNS($AO$1006:BA1006),$AO$1006:$BQ$1006,0))&gt;=100000), " ",IF(INDEX($AO$2:$BQ$1001,MATCH(ROWS($AH$2:AH452),$AH$2:$AH$1001,0),MATCH(COLUMNS($AO$1006:BA1006),$AO$1006:$BQ$1006,0)), HYPERLINK("#",""), HYPERLINK(CONCATENATE("#Metadata!", ADDRESS(INDEX($AJ$2:$AJ$1001,MATCH(ROWS($AH$2:AH452),$AH$2:$AH$1001,0),0), INDEX($AO$1004:$BQ$1004,1,MATCH(COLUMNS($AO$1006:BA1006),$AO$1006:$BQ$1006,0)))),"Fix")))</f>
        <v>#N/A</v>
      </c>
      <c r="O452" s="5" t="e">
        <f ca="1">IF(OR(INDEX($AI$2:$AI$1001,MATCH(ROWS($AH$2:AH452),$AH$2:$AH$1001,0),1)&gt;=100000,INDEX($AO$1005:$BQ$1005,1,MATCH(COLUMNS($AO$1006:BB1006),$AO$1006:$BQ$1006,0))&gt;=100000), " ",IF(INDEX($AO$2:$BQ$1001,MATCH(ROWS($AH$2:AH452),$AH$2:$AH$1001,0),MATCH(COLUMNS($AO$1006:BB1006),$AO$1006:$BQ$1006,0)), HYPERLINK("#",""), HYPERLINK(CONCATENATE("#Metadata!", ADDRESS(INDEX($AJ$2:$AJ$1001,MATCH(ROWS($AH$2:AH452),$AH$2:$AH$1001,0),0), INDEX($AO$1004:$BQ$1004,1,MATCH(COLUMNS($AO$1006:BB1006),$AO$1006:$BQ$1006,0)))),"Fix")))</f>
        <v>#N/A</v>
      </c>
      <c r="P452" s="5" t="e">
        <f ca="1">IF(OR(INDEX($AI$2:$AI$1001,MATCH(ROWS($AH$2:AH452),$AH$2:$AH$1001,0),1)&gt;=100000,INDEX($AO$1005:$BQ$1005,1,MATCH(COLUMNS($AO$1006:BC1006),$AO$1006:$BQ$1006,0))&gt;=100000), " ",IF(INDEX($AO$2:$BQ$1001,MATCH(ROWS($AH$2:AH452),$AH$2:$AH$1001,0),MATCH(COLUMNS($AO$1006:BC1006),$AO$1006:$BQ$1006,0)), HYPERLINK("#",""), HYPERLINK(CONCATENATE("#Metadata!", ADDRESS(INDEX($AJ$2:$AJ$1001,MATCH(ROWS($AH$2:AH452),$AH$2:$AH$1001,0),0), INDEX($AO$1004:$BQ$1004,1,MATCH(COLUMNS($AO$1006:BC1006),$AO$1006:$BQ$1006,0)))),"Fix")))</f>
        <v>#N/A</v>
      </c>
      <c r="Q452" s="5" t="e">
        <f ca="1">IF(OR(INDEX($AI$2:$AI$1001,MATCH(ROWS($AH$2:AH452),$AH$2:$AH$1001,0),1)&gt;=100000,INDEX($AO$1005:$BQ$1005,1,MATCH(COLUMNS($AO$1006:BD1006),$AO$1006:$BQ$1006,0))&gt;=100000), " ",IF(INDEX($AO$2:$BQ$1001,MATCH(ROWS($AH$2:AH452),$AH$2:$AH$1001,0),MATCH(COLUMNS($AO$1006:BD1006),$AO$1006:$BQ$1006,0)), HYPERLINK("#",""), HYPERLINK(CONCATENATE("#Metadata!", ADDRESS(INDEX($AJ$2:$AJ$1001,MATCH(ROWS($AH$2:AH452),$AH$2:$AH$1001,0),0), INDEX($AO$1004:$BQ$1004,1,MATCH(COLUMNS($AO$1006:BD1006),$AO$1006:$BQ$1006,0)))),"Fix")))</f>
        <v>#N/A</v>
      </c>
      <c r="R452" s="5" t="e">
        <f ca="1">IF(OR(INDEX($AI$2:$AI$1001,MATCH(ROWS($AH$2:AH452),$AH$2:$AH$1001,0),1)&gt;=100000,INDEX($AO$1005:$BQ$1005,1,MATCH(COLUMNS($AO$1006:BE1006),$AO$1006:$BQ$1006,0))&gt;=100000), " ",IF(INDEX($AO$2:$BQ$1001,MATCH(ROWS($AH$2:AH452),$AH$2:$AH$1001,0),MATCH(COLUMNS($AO$1006:BE1006),$AO$1006:$BQ$1006,0)), HYPERLINK("#",""), HYPERLINK(CONCATENATE("#Metadata!", ADDRESS(INDEX($AJ$2:$AJ$1001,MATCH(ROWS($AH$2:AH452),$AH$2:$AH$1001,0),0), INDEX($AO$1004:$BQ$1004,1,MATCH(COLUMNS($AO$1006:BE1006),$AO$1006:$BQ$1006,0)))),"Fix")))</f>
        <v>#N/A</v>
      </c>
      <c r="S452" s="5" t="e">
        <f ca="1">IF(OR(INDEX($AI$2:$AI$1001,MATCH(ROWS($AH$2:AH452),$AH$2:$AH$1001,0),1)&gt;=100000,INDEX($AO$1005:$BQ$1005,1,MATCH(COLUMNS($AO$1006:BF1006),$AO$1006:$BQ$1006,0))&gt;=100000), " ",IF(INDEX($AO$2:$BQ$1001,MATCH(ROWS($AH$2:AH452),$AH$2:$AH$1001,0),MATCH(COLUMNS($AO$1006:BF1006),$AO$1006:$BQ$1006,0)), HYPERLINK("#",""), HYPERLINK(CONCATENATE("#Metadata!", ADDRESS(INDEX($AJ$2:$AJ$1001,MATCH(ROWS($AH$2:AH452),$AH$2:$AH$1001,0),0), INDEX($AO$1004:$BQ$1004,1,MATCH(COLUMNS($AO$1006:BF1006),$AO$1006:$BQ$1006,0)))),"Fix")))</f>
        <v>#N/A</v>
      </c>
      <c r="T452" s="5" t="e">
        <f ca="1">IF(OR(INDEX($AI$2:$AI$1001,MATCH(ROWS($AH$2:AH452),$AH$2:$AH$1001,0),1)&gt;=100000,INDEX($AO$1005:$BQ$1005,1,MATCH(COLUMNS($AO$1006:BG1006),$AO$1006:$BQ$1006,0))&gt;=100000), " ",IF(INDEX($AO$2:$BQ$1001,MATCH(ROWS($AH$2:AH452),$AH$2:$AH$1001,0),MATCH(COLUMNS($AO$1006:BG1006),$AO$1006:$BQ$1006,0)), HYPERLINK("#",""), HYPERLINK(CONCATENATE("#Metadata!", ADDRESS(INDEX($AJ$2:$AJ$1001,MATCH(ROWS($AH$2:AH452),$AH$2:$AH$1001,0),0), INDEX($AO$1004:$BQ$1004,1,MATCH(COLUMNS($AO$1006:BG1006),$AO$1006:$BQ$1006,0)))),"Fix")))</f>
        <v>#N/A</v>
      </c>
      <c r="U452" s="5" t="e">
        <f ca="1">IF(OR(INDEX($AI$2:$AI$1001,MATCH(ROWS($AH$2:AH452),$AH$2:$AH$1001,0),1)&gt;=100000,INDEX($AO$1005:$BQ$1005,1,MATCH(COLUMNS($AO$1006:BH1006),$AO$1006:$BQ$1006,0))&gt;=100000), " ",IF(INDEX($AO$2:$BQ$1001,MATCH(ROWS($AH$2:AH452),$AH$2:$AH$1001,0),MATCH(COLUMNS($AO$1006:BH1006),$AO$1006:$BQ$1006,0)), HYPERLINK("#",""), HYPERLINK(CONCATENATE("#Metadata!", ADDRESS(INDEX($AJ$2:$AJ$1001,MATCH(ROWS($AH$2:AH452),$AH$2:$AH$1001,0),0), INDEX($AO$1004:$BQ$1004,1,MATCH(COLUMNS($AO$1006:BH1006),$AO$1006:$BQ$1006,0)))),"Fix")))</f>
        <v>#N/A</v>
      </c>
      <c r="V452" s="5" t="e">
        <f ca="1">IF(OR(INDEX($AI$2:$AI$1001,MATCH(ROWS($AH$2:AH452),$AH$2:$AH$1001,0),1)&gt;=100000,INDEX($AO$1005:$BQ$1005,1,MATCH(COLUMNS($AO$1006:BI1006),$AO$1006:$BQ$1006,0))&gt;=100000), " ",IF(INDEX($AO$2:$BQ$1001,MATCH(ROWS($AH$2:AH452),$AH$2:$AH$1001,0),MATCH(COLUMNS($AO$1006:BI1006),$AO$1006:$BQ$1006,0)), HYPERLINK("#",""), HYPERLINK(CONCATENATE("#Metadata!", ADDRESS(INDEX($AJ$2:$AJ$1001,MATCH(ROWS($AH$2:AH452),$AH$2:$AH$1001,0),0), INDEX($AO$1004:$BQ$1004,1,MATCH(COLUMNS($AO$1006:BI1006),$AO$1006:$BQ$1006,0)))),"Fix")))</f>
        <v>#N/A</v>
      </c>
      <c r="W452" s="5" t="e">
        <f ca="1">IF(OR(INDEX($AI$2:$AI$1001,MATCH(ROWS($AH$2:AH452),$AH$2:$AH$1001,0),1)&gt;=100000,INDEX($AO$1005:$BQ$1005,1,MATCH(COLUMNS($AO$1006:BJ1006),$AO$1006:$BQ$1006,0))&gt;=100000), " ",IF(INDEX($AO$2:$BQ$1001,MATCH(ROWS($AH$2:AH452),$AH$2:$AH$1001,0),MATCH(COLUMNS($AO$1006:BJ1006),$AO$1006:$BQ$1006,0)), HYPERLINK("#",""), HYPERLINK(CONCATENATE("#Metadata!", ADDRESS(INDEX($AJ$2:$AJ$1001,MATCH(ROWS($AH$2:AH452),$AH$2:$AH$1001,0),0), INDEX($AO$1004:$BQ$1004,1,MATCH(COLUMNS($AO$1006:BJ1006),$AO$1006:$BQ$1006,0)))),"Fix")))</f>
        <v>#N/A</v>
      </c>
      <c r="X452" s="5" t="e">
        <f ca="1">IF(OR(INDEX($AI$2:$AI$1001,MATCH(ROWS($AH$2:AH452),$AH$2:$AH$1001,0),1)&gt;=100000,INDEX($AO$1005:$BQ$1005,1,MATCH(COLUMNS($AO$1006:BK1006),$AO$1006:$BQ$1006,0))&gt;=100000), " ",IF(INDEX($AO$2:$BQ$1001,MATCH(ROWS($AH$2:AH452),$AH$2:$AH$1001,0),MATCH(COLUMNS($AO$1006:BK1006),$AO$1006:$BQ$1006,0)), HYPERLINK("#",""), HYPERLINK(CONCATENATE("#Metadata!", ADDRESS(INDEX($AJ$2:$AJ$1001,MATCH(ROWS($AH$2:AH452),$AH$2:$AH$1001,0),0), INDEX($AO$1004:$BQ$1004,1,MATCH(COLUMNS($AO$1006:BK1006),$AO$1006:$BQ$1006,0)))),"Fix")))</f>
        <v>#N/A</v>
      </c>
      <c r="Y452" s="5" t="e">
        <f ca="1">IF(OR(INDEX($AI$2:$AI$1001,MATCH(ROWS($AH$2:AH452),$AH$2:$AH$1001,0),1)&gt;=100000,INDEX($AO$1005:$BQ$1005,1,MATCH(COLUMNS($AO$1006:BL1006),$AO$1006:$BQ$1006,0))&gt;=100000), " ",IF(INDEX($AO$2:$BQ$1001,MATCH(ROWS($AH$2:AH452),$AH$2:$AH$1001,0),MATCH(COLUMNS($AO$1006:BL1006),$AO$1006:$BQ$1006,0)), HYPERLINK("#",""), HYPERLINK(CONCATENATE("#Metadata!", ADDRESS(INDEX($AJ$2:$AJ$1001,MATCH(ROWS($AH$2:AH452),$AH$2:$AH$1001,0),0), INDEX($AO$1004:$BQ$1004,1,MATCH(COLUMNS($AO$1006:BL1006),$AO$1006:$BQ$1006,0)))),"Fix")))</f>
        <v>#N/A</v>
      </c>
      <c r="Z452" s="5" t="e">
        <f ca="1">IF(OR(INDEX($AI$2:$AI$1001,MATCH(ROWS($AH$2:AH452),$AH$2:$AH$1001,0),1)&gt;=100000,INDEX($AO$1005:$BQ$1005,1,MATCH(COLUMNS($AO$1006:BM1006),$AO$1006:$BQ$1006,0))&gt;=100000), " ",IF(INDEX($AO$2:$BQ$1001,MATCH(ROWS($AH$2:AH452),$AH$2:$AH$1001,0),MATCH(COLUMNS($AO$1006:BM1006),$AO$1006:$BQ$1006,0)), HYPERLINK("#",""), HYPERLINK(CONCATENATE("#Metadata!", ADDRESS(INDEX($AJ$2:$AJ$1001,MATCH(ROWS($AH$2:AH452),$AH$2:$AH$1001,0),0), INDEX($AO$1004:$BQ$1004,1,MATCH(COLUMNS($AO$1006:BM1006),$AO$1006:$BQ$1006,0)))),"Fix")))</f>
        <v>#N/A</v>
      </c>
      <c r="AA452" s="5" t="e">
        <f ca="1">IF(OR(INDEX($AI$2:$AI$1001,MATCH(ROWS($AH$2:AH452),$AH$2:$AH$1001,0),1)&gt;=100000,INDEX($AO$1005:$BQ$1005,1,MATCH(COLUMNS($AO$1006:BN1006),$AO$1006:$BQ$1006,0))&gt;=100000), " ",IF(INDEX($AO$2:$BQ$1001,MATCH(ROWS($AH$2:AH452),$AH$2:$AH$1001,0),MATCH(COLUMNS($AO$1006:BN1006),$AO$1006:$BQ$1006,0)), HYPERLINK("#",""), HYPERLINK(CONCATENATE("#Metadata!", ADDRESS(INDEX($AJ$2:$AJ$1001,MATCH(ROWS($AH$2:AH452),$AH$2:$AH$1001,0),0), INDEX($AO$1004:$BQ$1004,1,MATCH(COLUMNS($AO$1006:BN1006),$AO$1006:$BQ$1006,0)))),"Fix")))</f>
        <v>#N/A</v>
      </c>
      <c r="AB452" s="5" t="e">
        <f ca="1">IF(OR(INDEX($AI$2:$AI$1001,MATCH(ROWS($AH$2:AH452),$AH$2:$AH$1001,0),1)&gt;=100000,INDEX($AO$1005:$BQ$1005,1,MATCH(COLUMNS($AO$1006:BO1006),$AO$1006:$BQ$1006,0))&gt;=100000), " ",IF(INDEX($AO$2:$BQ$1001,MATCH(ROWS($AH$2:AH452),$AH$2:$AH$1001,0),MATCH(COLUMNS($AO$1006:BO1006),$AO$1006:$BQ$1006,0)), HYPERLINK("#",""), HYPERLINK(CONCATENATE("#Metadata!", ADDRESS(INDEX($AJ$2:$AJ$1001,MATCH(ROWS($AH$2:AH452),$AH$2:$AH$1001,0),0), INDEX($AO$1004:$BQ$1004,1,MATCH(COLUMNS($AO$1006:BO1006),$AO$1006:$BQ$1006,0)))),"Fix")))</f>
        <v>#N/A</v>
      </c>
      <c r="AC452" s="5" t="e">
        <f ca="1">IF(OR(INDEX($AI$2:$AI$1001,MATCH(ROWS($AH$2:AH452),$AH$2:$AH$1001,0),1)&gt;=100000,INDEX($AO$1005:$BQ$1005,1,MATCH(COLUMNS($AO$1006:BP1006),$AO$1006:$BQ$1006,0))&gt;=100000), " ",IF(INDEX($AO$2:$BQ$1001,MATCH(ROWS($AH$2:AH452),$AH$2:$AH$1001,0),MATCH(COLUMNS($AO$1006:BP1006),$AO$1006:$BQ$1006,0)), HYPERLINK("#",""), HYPERLINK(CONCATENATE("#Metadata!", ADDRESS(INDEX($AJ$2:$AJ$1001,MATCH(ROWS($AH$2:AH452),$AH$2:$AH$1001,0),0), INDEX($AO$1004:$BQ$1004,1,MATCH(COLUMNS($AO$1006:BP1006),$AO$1006:$BQ$1006,0)))),"Fix")))</f>
        <v>#N/A</v>
      </c>
      <c r="AD452" s="5" t="e">
        <f ca="1">IF(OR(INDEX($AI$2:$AI$1001,MATCH(ROWS($AH$2:AH452),$AH$2:$AH$1001,0),1)&gt;=100000,INDEX($AO$1005:$BQ$1005,1,MATCH(COLUMNS($AO$1006:BQ1006),$AO$1006:$BQ$1006,0))&gt;=100000), " ",IF(INDEX($AO$2:$BQ$1001,MATCH(ROWS($AH$2:AH452),$AH$2:$AH$1001,0),MATCH(COLUMNS($AO$1006:BQ1006),$AO$1006:$BQ$1006,0)), HYPERLINK("#",""), HYPERLINK(CONCATENATE("#Metadata!", ADDRESS(INDEX($AJ$2:$AJ$1001,MATCH(ROWS($AH$2:AH452),$AH$2:$AH$1001,0),0), INDEX($AO$1004:$BQ$1004,1,MATCH(COLUMNS($AO$1006:BQ1006),$AO$1006:$BQ$1006,0)))),"Fix")))</f>
        <v>#REF!</v>
      </c>
      <c r="AH452">
        <f ca="1"/>
        <v>449</v>
      </c>
      <c r="AI452">
        <v>100452</v>
      </c>
      <c r="AJ452">
        <v>452</v>
      </c>
      <c r="AK452" t="b">
        <f t="shared" si="7"/>
        <v>1</v>
      </c>
      <c r="AL452" t="b">
        <f>COUNTBLANK(Metadata!B452:AD452)=COLUMNS(Metadata!B452:AD452)</f>
        <v>1</v>
      </c>
      <c r="AM452" t="str">
        <v/>
      </c>
      <c r="AO452" t="b">
        <f ca="1">AND(IF(Metadata!B452="",FALSE,TRUE),COUNTIF(Metadata!B:B, Metadata!B452) = 1,NOT(ISERROR(SUMPRODUCT(SEARCH(MID(Metadata!B452,ROW(INDIRECT("1:"&amp;LEN(Metadata!B452))), 1),"0123456789abcdefghijklmnopqrstuvwxyzABCDEFGHIJKLMNOPQRSTUVWXYZ.")))))</f>
        <v>0</v>
      </c>
      <c r="AP452" t="b">
        <f>IF(Metadata!C452="",FALSE,TRUE)</f>
        <v>0</v>
      </c>
      <c r="AQ452" t="b">
        <f>IF(Metadata!D452="",FALSE,TRUE)</f>
        <v>0</v>
      </c>
      <c r="AR452" t="b">
        <f ca="1">OR(AND(IF(Metadata!E452="",FALSE,TRUE),OR(EXACT(Metadata!E452,"not collected"),EXACT(Metadata!E452,"not provided"),EXACT(Metadata!E452,"restricted access"))),AND(IF(Metadata!E452="",FALSE,TRUE),AND(AND(IFERROR(INT(LEFT(Metadata!E452,4))&gt;1900,FALSE),IFERROR(INT(LEFT(Metadata!E452,4))&lt;=YEAR(NOW()),FALSE)), OR(MID(Metadata!E452,5,1)="", AND(AND(MID(Metadata!E452,5,1)="-",IFERROR(INT(MID(Metadata!E452,6,1))&gt;=0,FALSE),IFERROR(INT(MID(Metadata!E452,6,1))&lt;=1,FALSE),NOT(MID(Metadata!E452,7,1)=""),IFERROR(INT(MID(Metadata!E452,6,2))&gt;=1,FALSE),IFERROR(INT(MID(Metadata!E452,6,2))&lt;=12,FALSE)), OR(MID(Metadata!E452,8,1)="", AND(AND(MID(Metadata!E452,8,1)="-",IFERROR(INT(MID(Metadata!E452,9,1))&gt;=0,FALSE),IFERROR(INT(MID(Metadata!E452,9,1))&lt;=3,FALSE),NOT(MID(Metadata!E452,10,1)=""),IFERROR(INT(MID(Metadata!E452,9,2))&gt;=1,FALSE),IFERROR(INT(MID(Metadata!E452,9,2))&lt;=31,FALSE)), OR(MID(Metadata!E452,11,1)="", AND(AND(MID(Metadata!E452,11,1)=" ",IFERROR(INT(MID(Metadata!E452,12,1))&gt;=0,FALSE),IFERROR(INT(MID(Metadata!E452,12,1))&lt;=2,FALSE),NOT(MID(Metadata!E452,13,1)=""),IFERROR(INT(MID(Metadata!E452,12,2))&gt;=0,FALSE),IFERROR(INT(MID(Metadata!E452,12,2))&lt;=23,FALSE)), OR(MID(Metadata!E452,14,1)="", AND(AND(MID(Metadata!E452,14,1)=":",IFERROR(INT(MID(Metadata!E452,15,1))&gt;=0,FALSE),IFERROR(INT(MID(Metadata!E452,15,1))&lt;=5,FALSE),NOT(MID(Metadata!E452,16,1)=""),IFERROR(INT(MID(Metadata!E452,15,2))&gt;=0,FALSE),IFERROR(INT(MID(Metadata!E452,15,2))&lt;=59,FALSE)), OR(MID(Metadata!E452,17,1)="", AND(AND(MID(Metadata!E452,17,1)=":",IFERROR(INT(MID(Metadata!E452,18,1))&gt;=0,FALSE),IFERROR(INT(MID(Metadata!E452,18,1))&lt;=5,FALSE),NOT(MID(Metadata!E452,19,1)=""),IFERROR(INT(MID(Metadata!E452,18,2))&gt;=0,FALSE),IFERROR(INT(MID(Metadata!E452,18,2))&lt;=59,FALSE)), LEN(Metadata!E452)&lt;=19)))))))))))))</f>
        <v>0</v>
      </c>
      <c r="AS452" t="b">
        <f>IF(Metadata!F452="",FALSE,TRUE)</f>
        <v>0</v>
      </c>
      <c r="AT452" t="b">
        <f>OR(AND(IF(Metadata!G452="",FALSE,TRUE),OR(EXACT(Metadata!G452,"not collected"),EXACT(Metadata!G452,"not provided"))),AND(IF(Metadata!G452="",FALSE,TRUE),OR(EXACT(Metadata!G452,"TRUE"),EXACT(Metadata!G452,"FALSE"))))</f>
        <v>0</v>
      </c>
      <c r="AU452" t="b">
        <f>OR(AND(IF(Metadata!H452="",FALSE,TRUE),OR(EXACT(Metadata!H452,"not collected"),EXACT(Metadata!H452,"not provided"),EXACT(Metadata!H452,"restricted access"))),AND(IF(Metadata!H452="",FALSE,ISNUMBER(VALUE(Metadata!H452))),Metadata!H452&gt;=-413))</f>
        <v>0</v>
      </c>
      <c r="AV452" t="b">
        <f>AND(IF(Metadata!I452="",FALSE,TRUE),EXACT(Metadata!I452,"meters"))</f>
        <v>0</v>
      </c>
      <c r="AW452" t="b">
        <f>AND(IF(Metadata!J452="",FALSE,TRUE),EXACT(Metadata!J452,"free-living"))</f>
        <v>0</v>
      </c>
      <c r="AX452" t="b">
        <f>AND(IF(Metadata!K452="",FALSE,TRUE),OR(EXACT(Metadata!K452,"saline"),EXACT(Metadata!K452,"non-saline")))</f>
        <v>0</v>
      </c>
      <c r="AY452" t="b">
        <f>AND(IF(Metadata!L452="",FALSE,TRUE),OR(EXACT(Metadata!L452,"sub-surface (non-saline)"),EXACT(Metadata!L452,"surface (non-saline)"),EXACT(Metadata!L452,"water (non-saline)"),EXACT(Metadata!L452,"soil (non-saline)"),EXACT(Metadata!L452,"aerosol (non-saline)"),EXACT(Metadata!L452,"sediment (non-saline)"),EXACT(Metadata!L452,"surface (saline)"),EXACT(Metadata!L452,"water (saline)"),EXACT(Metadata!L452,"hypersaline (saline)"),EXACT(Metadata!L452,"aerosol (saline)"),EXACT(Metadata!L452,"sediment (saline)")))</f>
        <v>0</v>
      </c>
      <c r="AZ452" t="b">
        <f>IF(Metadata!M452="",FALSE,TRUE)</f>
        <v>0</v>
      </c>
      <c r="BA452" t="b">
        <f>IF(Metadata!N452="",FALSE,TRUE)</f>
        <v>0</v>
      </c>
      <c r="BB452" t="b">
        <f>IF(Metadata!O452="",FALSE,TRUE)</f>
        <v>0</v>
      </c>
      <c r="BC452" t="b">
        <f>AND(IF(Metadata!P452="",FALSE,TRUE),OR(EXACT(Metadata!P452,"air"),EXACT(Metadata!P452,"microbial mat/biofilm"),EXACT(Metadata!P452,"misc environment"),EXACT(Metadata!P452,"sediment"),EXACT(Metadata!P452,"soil"),EXACT(Metadata!P452,"wastewater/sludge"),EXACT(Metadata!P452,"water")))</f>
        <v>0</v>
      </c>
      <c r="BD452" t="b">
        <f>IF(Metadata!Q452="",FALSE,TRUE)</f>
        <v>0</v>
      </c>
      <c r="BE452" t="b">
        <f>IF(Metadata!R452="",FALSE,TRUE)</f>
        <v>0</v>
      </c>
      <c r="BF452" t="b">
        <f>OR(AND(IF(Metadata!S452="",FALSE,TRUE),OR(EXACT(Metadata!S452,"not collected"),EXACT(Metadata!S452,"not provided"),EXACT(Metadata!S452,"restricted access"))),AND(IF(Metadata!S452="",FALSE,ISNUMBER(VALUE(Metadata!S452))),Metadata!S452&gt;=-90,Metadata!S452&lt;=90))</f>
        <v>0</v>
      </c>
      <c r="BG452" t="b">
        <f>AND(IF(Metadata!T452="",FALSE,TRUE),EXACT(Metadata!T452,"Decimal degrees"))</f>
        <v>0</v>
      </c>
      <c r="BH452" t="b">
        <f>OR(AND(IF(Metadata!U452="",FALSE,TRUE),OR(EXACT(Metadata!U452,"not applicable"),EXACT(Metadata!U452,"not collected"))),IF(Metadata!U452="",FALSE,TRUE))</f>
        <v>0</v>
      </c>
      <c r="BI452" t="b">
        <f>OR(AND(IF(Metadata!V452="",FALSE,TRUE),OR(EXACT(Metadata!V452,"not collected"),EXACT(Metadata!V452,"not provided"),EXACT(Metadata!V452,"restricted access"))),AND(IF(Metadata!V452="",FALSE,ISNUMBER(VALUE(Metadata!V452))),Metadata!V452&gt;=-180,Metadata!V452&lt;=180))</f>
        <v>0</v>
      </c>
      <c r="BJ452" t="b">
        <f>AND(IF(Metadata!W452="",FALSE,TRUE),EXACT(Metadata!W452,"Decimal degrees"))</f>
        <v>0</v>
      </c>
      <c r="BK452" t="b">
        <f>IF(Metadata!X452="",FALSE,TRUE)</f>
        <v>0</v>
      </c>
      <c r="BL452" t="b">
        <f>OR(AND(IF(Metadata!Y452="",FALSE,TRUE),OR(EXACT(Metadata!Y452,"not collected"),EXACT(Metadata!Y452,"not provided"),EXACT(Metadata!Y452,"restricted access"))),AND(IF(Metadata!Y452="",FALSE,TRUE),OR(EXACT(Metadata!Y452,"TRUE"),EXACT(Metadata!Y452,"FALSE"))))</f>
        <v>0</v>
      </c>
      <c r="BM452" t="b">
        <f>OR(AND(IF(Metadata!Z452="",FALSE,TRUE),EXACT(Metadata!Z452,"not applicable")),AND(IF(Metadata!Z452="",FALSE,TRUE),OR(EXACT(Metadata!Z452,"beer"),EXACT(Metadata!Z452,"cheese"),EXACT(Metadata!Z452,"fresh water"),EXACT(Metadata!Z452,"marine sediment"),EXACT(Metadata!Z452,"sea water"),EXACT(Metadata!Z452,"sediment"),EXACT(Metadata!Z452,"soil"),EXACT(Metadata!Z452,"waste water"))))</f>
        <v>0</v>
      </c>
      <c r="BN452" t="b">
        <f>AND(IF(Metadata!AA452="",FALSE,TRUE),EXACT(Metadata!AA452,"metagenome"))</f>
        <v>0</v>
      </c>
      <c r="BO452" t="b">
        <f>AND(IF(Metadata!AB452="",FALSE,TRUE),EXACT(Metadata!AB452,"256318"))</f>
        <v>0</v>
      </c>
      <c r="BP452" t="b">
        <f>IF(Metadata!AC452="",FALSE,TRUE)</f>
        <v>0</v>
      </c>
      <c r="BQ452" t="b">
        <f>IF(Metadata!AD452="",FALSE,TRUE)</f>
        <v>0</v>
      </c>
    </row>
    <row r="453" spans="1:69" x14ac:dyDescent="0.2">
      <c r="A453" s="4" t="e">
        <f ca="1">IF(B453=" "," ",HYPERLINK(CONCATENATE("#metadata!",ADDRESS(INDEX($AJ$2:$AJ$1001,MATCH(ROWS($AH$2:AH453),$AH$2:$AH$1001,0),0),2)),INDEX($AM$2:$AM$1001,MATCH(ROWS($AH$2:AH453),$AH$2:$AH$1001,0),0)))</f>
        <v>#N/A</v>
      </c>
      <c r="B453" s="5" t="e">
        <f ca="1">IF(OR(INDEX($AI$2:$AI$1001,MATCH(ROWS($AH$2:AH453),$AH$2:$AH$1001,0),1)&gt;=100000,INDEX($AO$1005:$BQ$1005,1,MATCH(COLUMNS($AO$1006:AO1006),$AO$1006:$BQ$1006,0))&gt;=100000), " ",IF(INDEX($AO$2:$BQ$1001,MATCH(ROWS($AH$2:AH453),$AH$2:$AH$1001,0),MATCH(COLUMNS($AO$1006:AO1006),$AO$1006:$BQ$1006,0)), HYPERLINK("#",""), HYPERLINK(CONCATENATE("#Metadata!", ADDRESS(INDEX($AJ$2:$AJ$1001,MATCH(ROWS($AH$2:AH453),$AH$2:$AH$1001,0),0), INDEX($AO$1004:$BQ$1004,1,MATCH(COLUMNS($AO$1006:AO1006),$AO$1006:$BQ$1006,0)))),"Fix")))</f>
        <v>#N/A</v>
      </c>
      <c r="C453" s="5" t="e">
        <f ca="1">IF(OR(INDEX($AI$2:$AI$1001,MATCH(ROWS($AH$2:AH453),$AH$2:$AH$1001,0),1)&gt;=100000,INDEX($AO$1005:$BQ$1005,1,MATCH(COLUMNS($AO$1006:AP1006),$AO$1006:$BQ$1006,0))&gt;=100000), " ",IF(INDEX($AO$2:$BQ$1001,MATCH(ROWS($AH$2:AH453),$AH$2:$AH$1001,0),MATCH(COLUMNS($AO$1006:AP1006),$AO$1006:$BQ$1006,0)), HYPERLINK("#",""), HYPERLINK(CONCATENATE("#Metadata!", ADDRESS(INDEX($AJ$2:$AJ$1001,MATCH(ROWS($AH$2:AH453),$AH$2:$AH$1001,0),0), INDEX($AO$1004:$BQ$1004,1,MATCH(COLUMNS($AO$1006:AP1006),$AO$1006:$BQ$1006,0)))),"Fix")))</f>
        <v>#N/A</v>
      </c>
      <c r="D453" s="5" t="e">
        <f ca="1">IF(OR(INDEX($AI$2:$AI$1001,MATCH(ROWS($AH$2:AH453),$AH$2:$AH$1001,0),1)&gt;=100000,INDEX($AO$1005:$BQ$1005,1,MATCH(COLUMNS($AO$1006:AQ1006),$AO$1006:$BQ$1006,0))&gt;=100000), " ",IF(INDEX($AO$2:$BQ$1001,MATCH(ROWS($AH$2:AH453),$AH$2:$AH$1001,0),MATCH(COLUMNS($AO$1006:AQ1006),$AO$1006:$BQ$1006,0)), HYPERLINK("#",""), HYPERLINK(CONCATENATE("#Metadata!", ADDRESS(INDEX($AJ$2:$AJ$1001,MATCH(ROWS($AH$2:AH453),$AH$2:$AH$1001,0),0), INDEX($AO$1004:$BQ$1004,1,MATCH(COLUMNS($AO$1006:AQ1006),$AO$1006:$BQ$1006,0)))),"Fix")))</f>
        <v>#N/A</v>
      </c>
      <c r="E453" s="5" t="e">
        <f ca="1">IF(OR(INDEX($AI$2:$AI$1001,MATCH(ROWS($AH$2:AH453),$AH$2:$AH$1001,0),1)&gt;=100000,INDEX($AO$1005:$BQ$1005,1,MATCH(COLUMNS($AO$1006:AR1006),$AO$1006:$BQ$1006,0))&gt;=100000), " ",IF(INDEX($AO$2:$BQ$1001,MATCH(ROWS($AH$2:AH453),$AH$2:$AH$1001,0),MATCH(COLUMNS($AO$1006:AR1006),$AO$1006:$BQ$1006,0)), HYPERLINK("#",""), HYPERLINK(CONCATENATE("#Metadata!", ADDRESS(INDEX($AJ$2:$AJ$1001,MATCH(ROWS($AH$2:AH453),$AH$2:$AH$1001,0),0), INDEX($AO$1004:$BQ$1004,1,MATCH(COLUMNS($AO$1006:AR1006),$AO$1006:$BQ$1006,0)))),"Fix")))</f>
        <v>#N/A</v>
      </c>
      <c r="F453" s="5" t="e">
        <f ca="1">IF(OR(INDEX($AI$2:$AI$1001,MATCH(ROWS($AH$2:AH453),$AH$2:$AH$1001,0),1)&gt;=100000,INDEX($AO$1005:$BQ$1005,1,MATCH(COLUMNS($AO$1006:AS1006),$AO$1006:$BQ$1006,0))&gt;=100000), " ",IF(INDEX($AO$2:$BQ$1001,MATCH(ROWS($AH$2:AH453),$AH$2:$AH$1001,0),MATCH(COLUMNS($AO$1006:AS1006),$AO$1006:$BQ$1006,0)), HYPERLINK("#",""), HYPERLINK(CONCATENATE("#Metadata!", ADDRESS(INDEX($AJ$2:$AJ$1001,MATCH(ROWS($AH$2:AH453),$AH$2:$AH$1001,0),0), INDEX($AO$1004:$BQ$1004,1,MATCH(COLUMNS($AO$1006:AS1006),$AO$1006:$BQ$1006,0)))),"Fix")))</f>
        <v>#N/A</v>
      </c>
      <c r="G453" s="5" t="e">
        <f ca="1">IF(OR(INDEX($AI$2:$AI$1001,MATCH(ROWS($AH$2:AH453),$AH$2:$AH$1001,0),1)&gt;=100000,INDEX($AO$1005:$BQ$1005,1,MATCH(COLUMNS($AO$1006:AT1006),$AO$1006:$BQ$1006,0))&gt;=100000), " ",IF(INDEX($AO$2:$BQ$1001,MATCH(ROWS($AH$2:AH453),$AH$2:$AH$1001,0),MATCH(COLUMNS($AO$1006:AT1006),$AO$1006:$BQ$1006,0)), HYPERLINK("#",""), HYPERLINK(CONCATENATE("#Metadata!", ADDRESS(INDEX($AJ$2:$AJ$1001,MATCH(ROWS($AH$2:AH453),$AH$2:$AH$1001,0),0), INDEX($AO$1004:$BQ$1004,1,MATCH(COLUMNS($AO$1006:AT1006),$AO$1006:$BQ$1006,0)))),"Fix")))</f>
        <v>#N/A</v>
      </c>
      <c r="H453" s="5" t="e">
        <f ca="1">IF(OR(INDEX($AI$2:$AI$1001,MATCH(ROWS($AH$2:AH453),$AH$2:$AH$1001,0),1)&gt;=100000,INDEX($AO$1005:$BQ$1005,1,MATCH(COLUMNS($AO$1006:AU1006),$AO$1006:$BQ$1006,0))&gt;=100000), " ",IF(INDEX($AO$2:$BQ$1001,MATCH(ROWS($AH$2:AH453),$AH$2:$AH$1001,0),MATCH(COLUMNS($AO$1006:AU1006),$AO$1006:$BQ$1006,0)), HYPERLINK("#",""), HYPERLINK(CONCATENATE("#Metadata!", ADDRESS(INDEX($AJ$2:$AJ$1001,MATCH(ROWS($AH$2:AH453),$AH$2:$AH$1001,0),0), INDEX($AO$1004:$BQ$1004,1,MATCH(COLUMNS($AO$1006:AU1006),$AO$1006:$BQ$1006,0)))),"Fix")))</f>
        <v>#N/A</v>
      </c>
      <c r="I453" s="5" t="e">
        <f ca="1">IF(OR(INDEX($AI$2:$AI$1001,MATCH(ROWS($AH$2:AH453),$AH$2:$AH$1001,0),1)&gt;=100000,INDEX($AO$1005:$BQ$1005,1,MATCH(COLUMNS($AO$1006:AV1006),$AO$1006:$BQ$1006,0))&gt;=100000), " ",IF(INDEX($AO$2:$BQ$1001,MATCH(ROWS($AH$2:AH453),$AH$2:$AH$1001,0),MATCH(COLUMNS($AO$1006:AV1006),$AO$1006:$BQ$1006,0)), HYPERLINK("#",""), HYPERLINK(CONCATENATE("#Metadata!", ADDRESS(INDEX($AJ$2:$AJ$1001,MATCH(ROWS($AH$2:AH453),$AH$2:$AH$1001,0),0), INDEX($AO$1004:$BQ$1004,1,MATCH(COLUMNS($AO$1006:AV1006),$AO$1006:$BQ$1006,0)))),"Fix")))</f>
        <v>#N/A</v>
      </c>
      <c r="J453" s="5" t="e">
        <f ca="1">IF(OR(INDEX($AI$2:$AI$1001,MATCH(ROWS($AH$2:AH453),$AH$2:$AH$1001,0),1)&gt;=100000,INDEX($AO$1005:$BQ$1005,1,MATCH(COLUMNS($AO$1006:AW1006),$AO$1006:$BQ$1006,0))&gt;=100000), " ",IF(INDEX($AO$2:$BQ$1001,MATCH(ROWS($AH$2:AH453),$AH$2:$AH$1001,0),MATCH(COLUMNS($AO$1006:AW1006),$AO$1006:$BQ$1006,0)), HYPERLINK("#",""), HYPERLINK(CONCATENATE("#Metadata!", ADDRESS(INDEX($AJ$2:$AJ$1001,MATCH(ROWS($AH$2:AH453),$AH$2:$AH$1001,0),0), INDEX($AO$1004:$BQ$1004,1,MATCH(COLUMNS($AO$1006:AW1006),$AO$1006:$BQ$1006,0)))),"Fix")))</f>
        <v>#N/A</v>
      </c>
      <c r="K453" s="5" t="e">
        <f ca="1">IF(OR(INDEX($AI$2:$AI$1001,MATCH(ROWS($AH$2:AH453),$AH$2:$AH$1001,0),1)&gt;=100000,INDEX($AO$1005:$BQ$1005,1,MATCH(COLUMNS($AO$1006:AX1006),$AO$1006:$BQ$1006,0))&gt;=100000), " ",IF(INDEX($AO$2:$BQ$1001,MATCH(ROWS($AH$2:AH453),$AH$2:$AH$1001,0),MATCH(COLUMNS($AO$1006:AX1006),$AO$1006:$BQ$1006,0)), HYPERLINK("#",""), HYPERLINK(CONCATENATE("#Metadata!", ADDRESS(INDEX($AJ$2:$AJ$1001,MATCH(ROWS($AH$2:AH453),$AH$2:$AH$1001,0),0), INDEX($AO$1004:$BQ$1004,1,MATCH(COLUMNS($AO$1006:AX1006),$AO$1006:$BQ$1006,0)))),"Fix")))</f>
        <v>#N/A</v>
      </c>
      <c r="L453" s="5" t="e">
        <f ca="1">IF(OR(INDEX($AI$2:$AI$1001,MATCH(ROWS($AH$2:AH453),$AH$2:$AH$1001,0),1)&gt;=100000,INDEX($AO$1005:$BQ$1005,1,MATCH(COLUMNS($AO$1006:AY1006),$AO$1006:$BQ$1006,0))&gt;=100000), " ",IF(INDEX($AO$2:$BQ$1001,MATCH(ROWS($AH$2:AH453),$AH$2:$AH$1001,0),MATCH(COLUMNS($AO$1006:AY1006),$AO$1006:$BQ$1006,0)), HYPERLINK("#",""), HYPERLINK(CONCATENATE("#Metadata!", ADDRESS(INDEX($AJ$2:$AJ$1001,MATCH(ROWS($AH$2:AH453),$AH$2:$AH$1001,0),0), INDEX($AO$1004:$BQ$1004,1,MATCH(COLUMNS($AO$1006:AY1006),$AO$1006:$BQ$1006,0)))),"Fix")))</f>
        <v>#N/A</v>
      </c>
      <c r="M453" s="5" t="e">
        <f ca="1">IF(OR(INDEX($AI$2:$AI$1001,MATCH(ROWS($AH$2:AH453),$AH$2:$AH$1001,0),1)&gt;=100000,INDEX($AO$1005:$BQ$1005,1,MATCH(COLUMNS($AO$1006:AZ1006),$AO$1006:$BQ$1006,0))&gt;=100000), " ",IF(INDEX($AO$2:$BQ$1001,MATCH(ROWS($AH$2:AH453),$AH$2:$AH$1001,0),MATCH(COLUMNS($AO$1006:AZ1006),$AO$1006:$BQ$1006,0)), HYPERLINK("#",""), HYPERLINK(CONCATENATE("#Metadata!", ADDRESS(INDEX($AJ$2:$AJ$1001,MATCH(ROWS($AH$2:AH453),$AH$2:$AH$1001,0),0), INDEX($AO$1004:$BQ$1004,1,MATCH(COLUMNS($AO$1006:AZ1006),$AO$1006:$BQ$1006,0)))),"Fix")))</f>
        <v>#N/A</v>
      </c>
      <c r="N453" s="5" t="e">
        <f ca="1">IF(OR(INDEX($AI$2:$AI$1001,MATCH(ROWS($AH$2:AH453),$AH$2:$AH$1001,0),1)&gt;=100000,INDEX($AO$1005:$BQ$1005,1,MATCH(COLUMNS($AO$1006:BA1006),$AO$1006:$BQ$1006,0))&gt;=100000), " ",IF(INDEX($AO$2:$BQ$1001,MATCH(ROWS($AH$2:AH453),$AH$2:$AH$1001,0),MATCH(COLUMNS($AO$1006:BA1006),$AO$1006:$BQ$1006,0)), HYPERLINK("#",""), HYPERLINK(CONCATENATE("#Metadata!", ADDRESS(INDEX($AJ$2:$AJ$1001,MATCH(ROWS($AH$2:AH453),$AH$2:$AH$1001,0),0), INDEX($AO$1004:$BQ$1004,1,MATCH(COLUMNS($AO$1006:BA1006),$AO$1006:$BQ$1006,0)))),"Fix")))</f>
        <v>#N/A</v>
      </c>
      <c r="O453" s="5" t="e">
        <f ca="1">IF(OR(INDEX($AI$2:$AI$1001,MATCH(ROWS($AH$2:AH453),$AH$2:$AH$1001,0),1)&gt;=100000,INDEX($AO$1005:$BQ$1005,1,MATCH(COLUMNS($AO$1006:BB1006),$AO$1006:$BQ$1006,0))&gt;=100000), " ",IF(INDEX($AO$2:$BQ$1001,MATCH(ROWS($AH$2:AH453),$AH$2:$AH$1001,0),MATCH(COLUMNS($AO$1006:BB1006),$AO$1006:$BQ$1006,0)), HYPERLINK("#",""), HYPERLINK(CONCATENATE("#Metadata!", ADDRESS(INDEX($AJ$2:$AJ$1001,MATCH(ROWS($AH$2:AH453),$AH$2:$AH$1001,0),0), INDEX($AO$1004:$BQ$1004,1,MATCH(COLUMNS($AO$1006:BB1006),$AO$1006:$BQ$1006,0)))),"Fix")))</f>
        <v>#N/A</v>
      </c>
      <c r="P453" s="5" t="e">
        <f ca="1">IF(OR(INDEX($AI$2:$AI$1001,MATCH(ROWS($AH$2:AH453),$AH$2:$AH$1001,0),1)&gt;=100000,INDEX($AO$1005:$BQ$1005,1,MATCH(COLUMNS($AO$1006:BC1006),$AO$1006:$BQ$1006,0))&gt;=100000), " ",IF(INDEX($AO$2:$BQ$1001,MATCH(ROWS($AH$2:AH453),$AH$2:$AH$1001,0),MATCH(COLUMNS($AO$1006:BC1006),$AO$1006:$BQ$1006,0)), HYPERLINK("#",""), HYPERLINK(CONCATENATE("#Metadata!", ADDRESS(INDEX($AJ$2:$AJ$1001,MATCH(ROWS($AH$2:AH453),$AH$2:$AH$1001,0),0), INDEX($AO$1004:$BQ$1004,1,MATCH(COLUMNS($AO$1006:BC1006),$AO$1006:$BQ$1006,0)))),"Fix")))</f>
        <v>#N/A</v>
      </c>
      <c r="Q453" s="5" t="e">
        <f ca="1">IF(OR(INDEX($AI$2:$AI$1001,MATCH(ROWS($AH$2:AH453),$AH$2:$AH$1001,0),1)&gt;=100000,INDEX($AO$1005:$BQ$1005,1,MATCH(COLUMNS($AO$1006:BD1006),$AO$1006:$BQ$1006,0))&gt;=100000), " ",IF(INDEX($AO$2:$BQ$1001,MATCH(ROWS($AH$2:AH453),$AH$2:$AH$1001,0),MATCH(COLUMNS($AO$1006:BD1006),$AO$1006:$BQ$1006,0)), HYPERLINK("#",""), HYPERLINK(CONCATENATE("#Metadata!", ADDRESS(INDEX($AJ$2:$AJ$1001,MATCH(ROWS($AH$2:AH453),$AH$2:$AH$1001,0),0), INDEX($AO$1004:$BQ$1004,1,MATCH(COLUMNS($AO$1006:BD1006),$AO$1006:$BQ$1006,0)))),"Fix")))</f>
        <v>#N/A</v>
      </c>
      <c r="R453" s="5" t="e">
        <f ca="1">IF(OR(INDEX($AI$2:$AI$1001,MATCH(ROWS($AH$2:AH453),$AH$2:$AH$1001,0),1)&gt;=100000,INDEX($AO$1005:$BQ$1005,1,MATCH(COLUMNS($AO$1006:BE1006),$AO$1006:$BQ$1006,0))&gt;=100000), " ",IF(INDEX($AO$2:$BQ$1001,MATCH(ROWS($AH$2:AH453),$AH$2:$AH$1001,0),MATCH(COLUMNS($AO$1006:BE1006),$AO$1006:$BQ$1006,0)), HYPERLINK("#",""), HYPERLINK(CONCATENATE("#Metadata!", ADDRESS(INDEX($AJ$2:$AJ$1001,MATCH(ROWS($AH$2:AH453),$AH$2:$AH$1001,0),0), INDEX($AO$1004:$BQ$1004,1,MATCH(COLUMNS($AO$1006:BE1006),$AO$1006:$BQ$1006,0)))),"Fix")))</f>
        <v>#N/A</v>
      </c>
      <c r="S453" s="5" t="e">
        <f ca="1">IF(OR(INDEX($AI$2:$AI$1001,MATCH(ROWS($AH$2:AH453),$AH$2:$AH$1001,0),1)&gt;=100000,INDEX($AO$1005:$BQ$1005,1,MATCH(COLUMNS($AO$1006:BF1006),$AO$1006:$BQ$1006,0))&gt;=100000), " ",IF(INDEX($AO$2:$BQ$1001,MATCH(ROWS($AH$2:AH453),$AH$2:$AH$1001,0),MATCH(COLUMNS($AO$1006:BF1006),$AO$1006:$BQ$1006,0)), HYPERLINK("#",""), HYPERLINK(CONCATENATE("#Metadata!", ADDRESS(INDEX($AJ$2:$AJ$1001,MATCH(ROWS($AH$2:AH453),$AH$2:$AH$1001,0),0), INDEX($AO$1004:$BQ$1004,1,MATCH(COLUMNS($AO$1006:BF1006),$AO$1006:$BQ$1006,0)))),"Fix")))</f>
        <v>#N/A</v>
      </c>
      <c r="T453" s="5" t="e">
        <f ca="1">IF(OR(INDEX($AI$2:$AI$1001,MATCH(ROWS($AH$2:AH453),$AH$2:$AH$1001,0),1)&gt;=100000,INDEX($AO$1005:$BQ$1005,1,MATCH(COLUMNS($AO$1006:BG1006),$AO$1006:$BQ$1006,0))&gt;=100000), " ",IF(INDEX($AO$2:$BQ$1001,MATCH(ROWS($AH$2:AH453),$AH$2:$AH$1001,0),MATCH(COLUMNS($AO$1006:BG1006),$AO$1006:$BQ$1006,0)), HYPERLINK("#",""), HYPERLINK(CONCATENATE("#Metadata!", ADDRESS(INDEX($AJ$2:$AJ$1001,MATCH(ROWS($AH$2:AH453),$AH$2:$AH$1001,0),0), INDEX($AO$1004:$BQ$1004,1,MATCH(COLUMNS($AO$1006:BG1006),$AO$1006:$BQ$1006,0)))),"Fix")))</f>
        <v>#N/A</v>
      </c>
      <c r="U453" s="5" t="e">
        <f ca="1">IF(OR(INDEX($AI$2:$AI$1001,MATCH(ROWS($AH$2:AH453),$AH$2:$AH$1001,0),1)&gt;=100000,INDEX($AO$1005:$BQ$1005,1,MATCH(COLUMNS($AO$1006:BH1006),$AO$1006:$BQ$1006,0))&gt;=100000), " ",IF(INDEX($AO$2:$BQ$1001,MATCH(ROWS($AH$2:AH453),$AH$2:$AH$1001,0),MATCH(COLUMNS($AO$1006:BH1006),$AO$1006:$BQ$1006,0)), HYPERLINK("#",""), HYPERLINK(CONCATENATE("#Metadata!", ADDRESS(INDEX($AJ$2:$AJ$1001,MATCH(ROWS($AH$2:AH453),$AH$2:$AH$1001,0),0), INDEX($AO$1004:$BQ$1004,1,MATCH(COLUMNS($AO$1006:BH1006),$AO$1006:$BQ$1006,0)))),"Fix")))</f>
        <v>#N/A</v>
      </c>
      <c r="V453" s="5" t="e">
        <f ca="1">IF(OR(INDEX($AI$2:$AI$1001,MATCH(ROWS($AH$2:AH453),$AH$2:$AH$1001,0),1)&gt;=100000,INDEX($AO$1005:$BQ$1005,1,MATCH(COLUMNS($AO$1006:BI1006),$AO$1006:$BQ$1006,0))&gt;=100000), " ",IF(INDEX($AO$2:$BQ$1001,MATCH(ROWS($AH$2:AH453),$AH$2:$AH$1001,0),MATCH(COLUMNS($AO$1006:BI1006),$AO$1006:$BQ$1006,0)), HYPERLINK("#",""), HYPERLINK(CONCATENATE("#Metadata!", ADDRESS(INDEX($AJ$2:$AJ$1001,MATCH(ROWS($AH$2:AH453),$AH$2:$AH$1001,0),0), INDEX($AO$1004:$BQ$1004,1,MATCH(COLUMNS($AO$1006:BI1006),$AO$1006:$BQ$1006,0)))),"Fix")))</f>
        <v>#N/A</v>
      </c>
      <c r="W453" s="5" t="e">
        <f ca="1">IF(OR(INDEX($AI$2:$AI$1001,MATCH(ROWS($AH$2:AH453),$AH$2:$AH$1001,0),1)&gt;=100000,INDEX($AO$1005:$BQ$1005,1,MATCH(COLUMNS($AO$1006:BJ1006),$AO$1006:$BQ$1006,0))&gt;=100000), " ",IF(INDEX($AO$2:$BQ$1001,MATCH(ROWS($AH$2:AH453),$AH$2:$AH$1001,0),MATCH(COLUMNS($AO$1006:BJ1006),$AO$1006:$BQ$1006,0)), HYPERLINK("#",""), HYPERLINK(CONCATENATE("#Metadata!", ADDRESS(INDEX($AJ$2:$AJ$1001,MATCH(ROWS($AH$2:AH453),$AH$2:$AH$1001,0),0), INDEX($AO$1004:$BQ$1004,1,MATCH(COLUMNS($AO$1006:BJ1006),$AO$1006:$BQ$1006,0)))),"Fix")))</f>
        <v>#N/A</v>
      </c>
      <c r="X453" s="5" t="e">
        <f ca="1">IF(OR(INDEX($AI$2:$AI$1001,MATCH(ROWS($AH$2:AH453),$AH$2:$AH$1001,0),1)&gt;=100000,INDEX($AO$1005:$BQ$1005,1,MATCH(COLUMNS($AO$1006:BK1006),$AO$1006:$BQ$1006,0))&gt;=100000), " ",IF(INDEX($AO$2:$BQ$1001,MATCH(ROWS($AH$2:AH453),$AH$2:$AH$1001,0),MATCH(COLUMNS($AO$1006:BK1006),$AO$1006:$BQ$1006,0)), HYPERLINK("#",""), HYPERLINK(CONCATENATE("#Metadata!", ADDRESS(INDEX($AJ$2:$AJ$1001,MATCH(ROWS($AH$2:AH453),$AH$2:$AH$1001,0),0), INDEX($AO$1004:$BQ$1004,1,MATCH(COLUMNS($AO$1006:BK1006),$AO$1006:$BQ$1006,0)))),"Fix")))</f>
        <v>#N/A</v>
      </c>
      <c r="Y453" s="5" t="e">
        <f ca="1">IF(OR(INDEX($AI$2:$AI$1001,MATCH(ROWS($AH$2:AH453),$AH$2:$AH$1001,0),1)&gt;=100000,INDEX($AO$1005:$BQ$1005,1,MATCH(COLUMNS($AO$1006:BL1006),$AO$1006:$BQ$1006,0))&gt;=100000), " ",IF(INDEX($AO$2:$BQ$1001,MATCH(ROWS($AH$2:AH453),$AH$2:$AH$1001,0),MATCH(COLUMNS($AO$1006:BL1006),$AO$1006:$BQ$1006,0)), HYPERLINK("#",""), HYPERLINK(CONCATENATE("#Metadata!", ADDRESS(INDEX($AJ$2:$AJ$1001,MATCH(ROWS($AH$2:AH453),$AH$2:$AH$1001,0),0), INDEX($AO$1004:$BQ$1004,1,MATCH(COLUMNS($AO$1006:BL1006),$AO$1006:$BQ$1006,0)))),"Fix")))</f>
        <v>#N/A</v>
      </c>
      <c r="Z453" s="5" t="e">
        <f ca="1">IF(OR(INDEX($AI$2:$AI$1001,MATCH(ROWS($AH$2:AH453),$AH$2:$AH$1001,0),1)&gt;=100000,INDEX($AO$1005:$BQ$1005,1,MATCH(COLUMNS($AO$1006:BM1006),$AO$1006:$BQ$1006,0))&gt;=100000), " ",IF(INDEX($AO$2:$BQ$1001,MATCH(ROWS($AH$2:AH453),$AH$2:$AH$1001,0),MATCH(COLUMNS($AO$1006:BM1006),$AO$1006:$BQ$1006,0)), HYPERLINK("#",""), HYPERLINK(CONCATENATE("#Metadata!", ADDRESS(INDEX($AJ$2:$AJ$1001,MATCH(ROWS($AH$2:AH453),$AH$2:$AH$1001,0),0), INDEX($AO$1004:$BQ$1004,1,MATCH(COLUMNS($AO$1006:BM1006),$AO$1006:$BQ$1006,0)))),"Fix")))</f>
        <v>#N/A</v>
      </c>
      <c r="AA453" s="5" t="e">
        <f ca="1">IF(OR(INDEX($AI$2:$AI$1001,MATCH(ROWS($AH$2:AH453),$AH$2:$AH$1001,0),1)&gt;=100000,INDEX($AO$1005:$BQ$1005,1,MATCH(COLUMNS($AO$1006:BN1006),$AO$1006:$BQ$1006,0))&gt;=100000), " ",IF(INDEX($AO$2:$BQ$1001,MATCH(ROWS($AH$2:AH453),$AH$2:$AH$1001,0),MATCH(COLUMNS($AO$1006:BN1006),$AO$1006:$BQ$1006,0)), HYPERLINK("#",""), HYPERLINK(CONCATENATE("#Metadata!", ADDRESS(INDEX($AJ$2:$AJ$1001,MATCH(ROWS($AH$2:AH453),$AH$2:$AH$1001,0),0), INDEX($AO$1004:$BQ$1004,1,MATCH(COLUMNS($AO$1006:BN1006),$AO$1006:$BQ$1006,0)))),"Fix")))</f>
        <v>#N/A</v>
      </c>
      <c r="AB453" s="5" t="e">
        <f ca="1">IF(OR(INDEX($AI$2:$AI$1001,MATCH(ROWS($AH$2:AH453),$AH$2:$AH$1001,0),1)&gt;=100000,INDEX($AO$1005:$BQ$1005,1,MATCH(COLUMNS($AO$1006:BO1006),$AO$1006:$BQ$1006,0))&gt;=100000), " ",IF(INDEX($AO$2:$BQ$1001,MATCH(ROWS($AH$2:AH453),$AH$2:$AH$1001,0),MATCH(COLUMNS($AO$1006:BO1006),$AO$1006:$BQ$1006,0)), HYPERLINK("#",""), HYPERLINK(CONCATENATE("#Metadata!", ADDRESS(INDEX($AJ$2:$AJ$1001,MATCH(ROWS($AH$2:AH453),$AH$2:$AH$1001,0),0), INDEX($AO$1004:$BQ$1004,1,MATCH(COLUMNS($AO$1006:BO1006),$AO$1006:$BQ$1006,0)))),"Fix")))</f>
        <v>#N/A</v>
      </c>
      <c r="AC453" s="5" t="e">
        <f ca="1">IF(OR(INDEX($AI$2:$AI$1001,MATCH(ROWS($AH$2:AH453),$AH$2:$AH$1001,0),1)&gt;=100000,INDEX($AO$1005:$BQ$1005,1,MATCH(COLUMNS($AO$1006:BP1006),$AO$1006:$BQ$1006,0))&gt;=100000), " ",IF(INDEX($AO$2:$BQ$1001,MATCH(ROWS($AH$2:AH453),$AH$2:$AH$1001,0),MATCH(COLUMNS($AO$1006:BP1006),$AO$1006:$BQ$1006,0)), HYPERLINK("#",""), HYPERLINK(CONCATENATE("#Metadata!", ADDRESS(INDEX($AJ$2:$AJ$1001,MATCH(ROWS($AH$2:AH453),$AH$2:$AH$1001,0),0), INDEX($AO$1004:$BQ$1004,1,MATCH(COLUMNS($AO$1006:BP1006),$AO$1006:$BQ$1006,0)))),"Fix")))</f>
        <v>#N/A</v>
      </c>
      <c r="AD453" s="5" t="e">
        <f ca="1">IF(OR(INDEX($AI$2:$AI$1001,MATCH(ROWS($AH$2:AH453),$AH$2:$AH$1001,0),1)&gt;=100000,INDEX($AO$1005:$BQ$1005,1,MATCH(COLUMNS($AO$1006:BQ1006),$AO$1006:$BQ$1006,0))&gt;=100000), " ",IF(INDEX($AO$2:$BQ$1001,MATCH(ROWS($AH$2:AH453),$AH$2:$AH$1001,0),MATCH(COLUMNS($AO$1006:BQ1006),$AO$1006:$BQ$1006,0)), HYPERLINK("#",""), HYPERLINK(CONCATENATE("#Metadata!", ADDRESS(INDEX($AJ$2:$AJ$1001,MATCH(ROWS($AH$2:AH453),$AH$2:$AH$1001,0),0), INDEX($AO$1004:$BQ$1004,1,MATCH(COLUMNS($AO$1006:BQ1006),$AO$1006:$BQ$1006,0)))),"Fix")))</f>
        <v>#REF!</v>
      </c>
      <c r="AH453">
        <f ca="1"/>
        <v>450</v>
      </c>
      <c r="AI453">
        <v>100453</v>
      </c>
      <c r="AJ453">
        <v>453</v>
      </c>
      <c r="AK453" t="b">
        <f t="shared" si="7"/>
        <v>1</v>
      </c>
      <c r="AL453" t="b">
        <f>COUNTBLANK(Metadata!B453:AD453)=COLUMNS(Metadata!B453:AD453)</f>
        <v>1</v>
      </c>
      <c r="AM453" t="str">
        <v/>
      </c>
      <c r="AO453" t="b">
        <f ca="1">AND(IF(Metadata!B453="",FALSE,TRUE),COUNTIF(Metadata!B:B, Metadata!B453) = 1,NOT(ISERROR(SUMPRODUCT(SEARCH(MID(Metadata!B453,ROW(INDIRECT("1:"&amp;LEN(Metadata!B453))), 1),"0123456789abcdefghijklmnopqrstuvwxyzABCDEFGHIJKLMNOPQRSTUVWXYZ.")))))</f>
        <v>0</v>
      </c>
      <c r="AP453" t="b">
        <f>IF(Metadata!C453="",FALSE,TRUE)</f>
        <v>0</v>
      </c>
      <c r="AQ453" t="b">
        <f>IF(Metadata!D453="",FALSE,TRUE)</f>
        <v>0</v>
      </c>
      <c r="AR453" t="b">
        <f ca="1">OR(AND(IF(Metadata!E453="",FALSE,TRUE),OR(EXACT(Metadata!E453,"not collected"),EXACT(Metadata!E453,"not provided"),EXACT(Metadata!E453,"restricted access"))),AND(IF(Metadata!E453="",FALSE,TRUE),AND(AND(IFERROR(INT(LEFT(Metadata!E453,4))&gt;1900,FALSE),IFERROR(INT(LEFT(Metadata!E453,4))&lt;=YEAR(NOW()),FALSE)), OR(MID(Metadata!E453,5,1)="", AND(AND(MID(Metadata!E453,5,1)="-",IFERROR(INT(MID(Metadata!E453,6,1))&gt;=0,FALSE),IFERROR(INT(MID(Metadata!E453,6,1))&lt;=1,FALSE),NOT(MID(Metadata!E453,7,1)=""),IFERROR(INT(MID(Metadata!E453,6,2))&gt;=1,FALSE),IFERROR(INT(MID(Metadata!E453,6,2))&lt;=12,FALSE)), OR(MID(Metadata!E453,8,1)="", AND(AND(MID(Metadata!E453,8,1)="-",IFERROR(INT(MID(Metadata!E453,9,1))&gt;=0,FALSE),IFERROR(INT(MID(Metadata!E453,9,1))&lt;=3,FALSE),NOT(MID(Metadata!E453,10,1)=""),IFERROR(INT(MID(Metadata!E453,9,2))&gt;=1,FALSE),IFERROR(INT(MID(Metadata!E453,9,2))&lt;=31,FALSE)), OR(MID(Metadata!E453,11,1)="", AND(AND(MID(Metadata!E453,11,1)=" ",IFERROR(INT(MID(Metadata!E453,12,1))&gt;=0,FALSE),IFERROR(INT(MID(Metadata!E453,12,1))&lt;=2,FALSE),NOT(MID(Metadata!E453,13,1)=""),IFERROR(INT(MID(Metadata!E453,12,2))&gt;=0,FALSE),IFERROR(INT(MID(Metadata!E453,12,2))&lt;=23,FALSE)), OR(MID(Metadata!E453,14,1)="", AND(AND(MID(Metadata!E453,14,1)=":",IFERROR(INT(MID(Metadata!E453,15,1))&gt;=0,FALSE),IFERROR(INT(MID(Metadata!E453,15,1))&lt;=5,FALSE),NOT(MID(Metadata!E453,16,1)=""),IFERROR(INT(MID(Metadata!E453,15,2))&gt;=0,FALSE),IFERROR(INT(MID(Metadata!E453,15,2))&lt;=59,FALSE)), OR(MID(Metadata!E453,17,1)="", AND(AND(MID(Metadata!E453,17,1)=":",IFERROR(INT(MID(Metadata!E453,18,1))&gt;=0,FALSE),IFERROR(INT(MID(Metadata!E453,18,1))&lt;=5,FALSE),NOT(MID(Metadata!E453,19,1)=""),IFERROR(INT(MID(Metadata!E453,18,2))&gt;=0,FALSE),IFERROR(INT(MID(Metadata!E453,18,2))&lt;=59,FALSE)), LEN(Metadata!E453)&lt;=19)))))))))))))</f>
        <v>0</v>
      </c>
      <c r="AS453" t="b">
        <f>IF(Metadata!F453="",FALSE,TRUE)</f>
        <v>0</v>
      </c>
      <c r="AT453" t="b">
        <f>OR(AND(IF(Metadata!G453="",FALSE,TRUE),OR(EXACT(Metadata!G453,"not collected"),EXACT(Metadata!G453,"not provided"))),AND(IF(Metadata!G453="",FALSE,TRUE),OR(EXACT(Metadata!G453,"TRUE"),EXACT(Metadata!G453,"FALSE"))))</f>
        <v>0</v>
      </c>
      <c r="AU453" t="b">
        <f>OR(AND(IF(Metadata!H453="",FALSE,TRUE),OR(EXACT(Metadata!H453,"not collected"),EXACT(Metadata!H453,"not provided"),EXACT(Metadata!H453,"restricted access"))),AND(IF(Metadata!H453="",FALSE,ISNUMBER(VALUE(Metadata!H453))),Metadata!H453&gt;=-413))</f>
        <v>0</v>
      </c>
      <c r="AV453" t="b">
        <f>AND(IF(Metadata!I453="",FALSE,TRUE),EXACT(Metadata!I453,"meters"))</f>
        <v>0</v>
      </c>
      <c r="AW453" t="b">
        <f>AND(IF(Metadata!J453="",FALSE,TRUE),EXACT(Metadata!J453,"free-living"))</f>
        <v>0</v>
      </c>
      <c r="AX453" t="b">
        <f>AND(IF(Metadata!K453="",FALSE,TRUE),OR(EXACT(Metadata!K453,"saline"),EXACT(Metadata!K453,"non-saline")))</f>
        <v>0</v>
      </c>
      <c r="AY453" t="b">
        <f>AND(IF(Metadata!L453="",FALSE,TRUE),OR(EXACT(Metadata!L453,"sub-surface (non-saline)"),EXACT(Metadata!L453,"surface (non-saline)"),EXACT(Metadata!L453,"water (non-saline)"),EXACT(Metadata!L453,"soil (non-saline)"),EXACT(Metadata!L453,"aerosol (non-saline)"),EXACT(Metadata!L453,"sediment (non-saline)"),EXACT(Metadata!L453,"surface (saline)"),EXACT(Metadata!L453,"water (saline)"),EXACT(Metadata!L453,"hypersaline (saline)"),EXACT(Metadata!L453,"aerosol (saline)"),EXACT(Metadata!L453,"sediment (saline)")))</f>
        <v>0</v>
      </c>
      <c r="AZ453" t="b">
        <f>IF(Metadata!M453="",FALSE,TRUE)</f>
        <v>0</v>
      </c>
      <c r="BA453" t="b">
        <f>IF(Metadata!N453="",FALSE,TRUE)</f>
        <v>0</v>
      </c>
      <c r="BB453" t="b">
        <f>IF(Metadata!O453="",FALSE,TRUE)</f>
        <v>0</v>
      </c>
      <c r="BC453" t="b">
        <f>AND(IF(Metadata!P453="",FALSE,TRUE),OR(EXACT(Metadata!P453,"air"),EXACT(Metadata!P453,"microbial mat/biofilm"),EXACT(Metadata!P453,"misc environment"),EXACT(Metadata!P453,"sediment"),EXACT(Metadata!P453,"soil"),EXACT(Metadata!P453,"wastewater/sludge"),EXACT(Metadata!P453,"water")))</f>
        <v>0</v>
      </c>
      <c r="BD453" t="b">
        <f>IF(Metadata!Q453="",FALSE,TRUE)</f>
        <v>0</v>
      </c>
      <c r="BE453" t="b">
        <f>IF(Metadata!R453="",FALSE,TRUE)</f>
        <v>0</v>
      </c>
      <c r="BF453" t="b">
        <f>OR(AND(IF(Metadata!S453="",FALSE,TRUE),OR(EXACT(Metadata!S453,"not collected"),EXACT(Metadata!S453,"not provided"),EXACT(Metadata!S453,"restricted access"))),AND(IF(Metadata!S453="",FALSE,ISNUMBER(VALUE(Metadata!S453))),Metadata!S453&gt;=-90,Metadata!S453&lt;=90))</f>
        <v>0</v>
      </c>
      <c r="BG453" t="b">
        <f>AND(IF(Metadata!T453="",FALSE,TRUE),EXACT(Metadata!T453,"Decimal degrees"))</f>
        <v>0</v>
      </c>
      <c r="BH453" t="b">
        <f>OR(AND(IF(Metadata!U453="",FALSE,TRUE),OR(EXACT(Metadata!U453,"not applicable"),EXACT(Metadata!U453,"not collected"))),IF(Metadata!U453="",FALSE,TRUE))</f>
        <v>0</v>
      </c>
      <c r="BI453" t="b">
        <f>OR(AND(IF(Metadata!V453="",FALSE,TRUE),OR(EXACT(Metadata!V453,"not collected"),EXACT(Metadata!V453,"not provided"),EXACT(Metadata!V453,"restricted access"))),AND(IF(Metadata!V453="",FALSE,ISNUMBER(VALUE(Metadata!V453))),Metadata!V453&gt;=-180,Metadata!V453&lt;=180))</f>
        <v>0</v>
      </c>
      <c r="BJ453" t="b">
        <f>AND(IF(Metadata!W453="",FALSE,TRUE),EXACT(Metadata!W453,"Decimal degrees"))</f>
        <v>0</v>
      </c>
      <c r="BK453" t="b">
        <f>IF(Metadata!X453="",FALSE,TRUE)</f>
        <v>0</v>
      </c>
      <c r="BL453" t="b">
        <f>OR(AND(IF(Metadata!Y453="",FALSE,TRUE),OR(EXACT(Metadata!Y453,"not collected"),EXACT(Metadata!Y453,"not provided"),EXACT(Metadata!Y453,"restricted access"))),AND(IF(Metadata!Y453="",FALSE,TRUE),OR(EXACT(Metadata!Y453,"TRUE"),EXACT(Metadata!Y453,"FALSE"))))</f>
        <v>0</v>
      </c>
      <c r="BM453" t="b">
        <f>OR(AND(IF(Metadata!Z453="",FALSE,TRUE),EXACT(Metadata!Z453,"not applicable")),AND(IF(Metadata!Z453="",FALSE,TRUE),OR(EXACT(Metadata!Z453,"beer"),EXACT(Metadata!Z453,"cheese"),EXACT(Metadata!Z453,"fresh water"),EXACT(Metadata!Z453,"marine sediment"),EXACT(Metadata!Z453,"sea water"),EXACT(Metadata!Z453,"sediment"),EXACT(Metadata!Z453,"soil"),EXACT(Metadata!Z453,"waste water"))))</f>
        <v>0</v>
      </c>
      <c r="BN453" t="b">
        <f>AND(IF(Metadata!AA453="",FALSE,TRUE),EXACT(Metadata!AA453,"metagenome"))</f>
        <v>0</v>
      </c>
      <c r="BO453" t="b">
        <f>AND(IF(Metadata!AB453="",FALSE,TRUE),EXACT(Metadata!AB453,"256318"))</f>
        <v>0</v>
      </c>
      <c r="BP453" t="b">
        <f>IF(Metadata!AC453="",FALSE,TRUE)</f>
        <v>0</v>
      </c>
      <c r="BQ453" t="b">
        <f>IF(Metadata!AD453="",FALSE,TRUE)</f>
        <v>0</v>
      </c>
    </row>
    <row r="454" spans="1:69" x14ac:dyDescent="0.2">
      <c r="A454" s="4" t="e">
        <f ca="1">IF(B454=" "," ",HYPERLINK(CONCATENATE("#metadata!",ADDRESS(INDEX($AJ$2:$AJ$1001,MATCH(ROWS($AH$2:AH454),$AH$2:$AH$1001,0),0),2)),INDEX($AM$2:$AM$1001,MATCH(ROWS($AH$2:AH454),$AH$2:$AH$1001,0),0)))</f>
        <v>#N/A</v>
      </c>
      <c r="B454" s="5" t="e">
        <f ca="1">IF(OR(INDEX($AI$2:$AI$1001,MATCH(ROWS($AH$2:AH454),$AH$2:$AH$1001,0),1)&gt;=100000,INDEX($AO$1005:$BQ$1005,1,MATCH(COLUMNS($AO$1006:AO1006),$AO$1006:$BQ$1006,0))&gt;=100000), " ",IF(INDEX($AO$2:$BQ$1001,MATCH(ROWS($AH$2:AH454),$AH$2:$AH$1001,0),MATCH(COLUMNS($AO$1006:AO1006),$AO$1006:$BQ$1006,0)), HYPERLINK("#",""), HYPERLINK(CONCATENATE("#Metadata!", ADDRESS(INDEX($AJ$2:$AJ$1001,MATCH(ROWS($AH$2:AH454),$AH$2:$AH$1001,0),0), INDEX($AO$1004:$BQ$1004,1,MATCH(COLUMNS($AO$1006:AO1006),$AO$1006:$BQ$1006,0)))),"Fix")))</f>
        <v>#N/A</v>
      </c>
      <c r="C454" s="5" t="e">
        <f ca="1">IF(OR(INDEX($AI$2:$AI$1001,MATCH(ROWS($AH$2:AH454),$AH$2:$AH$1001,0),1)&gt;=100000,INDEX($AO$1005:$BQ$1005,1,MATCH(COLUMNS($AO$1006:AP1006),$AO$1006:$BQ$1006,0))&gt;=100000), " ",IF(INDEX($AO$2:$BQ$1001,MATCH(ROWS($AH$2:AH454),$AH$2:$AH$1001,0),MATCH(COLUMNS($AO$1006:AP1006),$AO$1006:$BQ$1006,0)), HYPERLINK("#",""), HYPERLINK(CONCATENATE("#Metadata!", ADDRESS(INDEX($AJ$2:$AJ$1001,MATCH(ROWS($AH$2:AH454),$AH$2:$AH$1001,0),0), INDEX($AO$1004:$BQ$1004,1,MATCH(COLUMNS($AO$1006:AP1006),$AO$1006:$BQ$1006,0)))),"Fix")))</f>
        <v>#N/A</v>
      </c>
      <c r="D454" s="5" t="e">
        <f ca="1">IF(OR(INDEX($AI$2:$AI$1001,MATCH(ROWS($AH$2:AH454),$AH$2:$AH$1001,0),1)&gt;=100000,INDEX($AO$1005:$BQ$1005,1,MATCH(COLUMNS($AO$1006:AQ1006),$AO$1006:$BQ$1006,0))&gt;=100000), " ",IF(INDEX($AO$2:$BQ$1001,MATCH(ROWS($AH$2:AH454),$AH$2:$AH$1001,0),MATCH(COLUMNS($AO$1006:AQ1006),$AO$1006:$BQ$1006,0)), HYPERLINK("#",""), HYPERLINK(CONCATENATE("#Metadata!", ADDRESS(INDEX($AJ$2:$AJ$1001,MATCH(ROWS($AH$2:AH454),$AH$2:$AH$1001,0),0), INDEX($AO$1004:$BQ$1004,1,MATCH(COLUMNS($AO$1006:AQ1006),$AO$1006:$BQ$1006,0)))),"Fix")))</f>
        <v>#N/A</v>
      </c>
      <c r="E454" s="5" t="e">
        <f ca="1">IF(OR(INDEX($AI$2:$AI$1001,MATCH(ROWS($AH$2:AH454),$AH$2:$AH$1001,0),1)&gt;=100000,INDEX($AO$1005:$BQ$1005,1,MATCH(COLUMNS($AO$1006:AR1006),$AO$1006:$BQ$1006,0))&gt;=100000), " ",IF(INDEX($AO$2:$BQ$1001,MATCH(ROWS($AH$2:AH454),$AH$2:$AH$1001,0),MATCH(COLUMNS($AO$1006:AR1006),$AO$1006:$BQ$1006,0)), HYPERLINK("#",""), HYPERLINK(CONCATENATE("#Metadata!", ADDRESS(INDEX($AJ$2:$AJ$1001,MATCH(ROWS($AH$2:AH454),$AH$2:$AH$1001,0),0), INDEX($AO$1004:$BQ$1004,1,MATCH(COLUMNS($AO$1006:AR1006),$AO$1006:$BQ$1006,0)))),"Fix")))</f>
        <v>#N/A</v>
      </c>
      <c r="F454" s="5" t="e">
        <f ca="1">IF(OR(INDEX($AI$2:$AI$1001,MATCH(ROWS($AH$2:AH454),$AH$2:$AH$1001,0),1)&gt;=100000,INDEX($AO$1005:$BQ$1005,1,MATCH(COLUMNS($AO$1006:AS1006),$AO$1006:$BQ$1006,0))&gt;=100000), " ",IF(INDEX($AO$2:$BQ$1001,MATCH(ROWS($AH$2:AH454),$AH$2:$AH$1001,0),MATCH(COLUMNS($AO$1006:AS1006),$AO$1006:$BQ$1006,0)), HYPERLINK("#",""), HYPERLINK(CONCATENATE("#Metadata!", ADDRESS(INDEX($AJ$2:$AJ$1001,MATCH(ROWS($AH$2:AH454),$AH$2:$AH$1001,0),0), INDEX($AO$1004:$BQ$1004,1,MATCH(COLUMNS($AO$1006:AS1006),$AO$1006:$BQ$1006,0)))),"Fix")))</f>
        <v>#N/A</v>
      </c>
      <c r="G454" s="5" t="e">
        <f ca="1">IF(OR(INDEX($AI$2:$AI$1001,MATCH(ROWS($AH$2:AH454),$AH$2:$AH$1001,0),1)&gt;=100000,INDEX($AO$1005:$BQ$1005,1,MATCH(COLUMNS($AO$1006:AT1006),$AO$1006:$BQ$1006,0))&gt;=100000), " ",IF(INDEX($AO$2:$BQ$1001,MATCH(ROWS($AH$2:AH454),$AH$2:$AH$1001,0),MATCH(COLUMNS($AO$1006:AT1006),$AO$1006:$BQ$1006,0)), HYPERLINK("#",""), HYPERLINK(CONCATENATE("#Metadata!", ADDRESS(INDEX($AJ$2:$AJ$1001,MATCH(ROWS($AH$2:AH454),$AH$2:$AH$1001,0),0), INDEX($AO$1004:$BQ$1004,1,MATCH(COLUMNS($AO$1006:AT1006),$AO$1006:$BQ$1006,0)))),"Fix")))</f>
        <v>#N/A</v>
      </c>
      <c r="H454" s="5" t="e">
        <f ca="1">IF(OR(INDEX($AI$2:$AI$1001,MATCH(ROWS($AH$2:AH454),$AH$2:$AH$1001,0),1)&gt;=100000,INDEX($AO$1005:$BQ$1005,1,MATCH(COLUMNS($AO$1006:AU1006),$AO$1006:$BQ$1006,0))&gt;=100000), " ",IF(INDEX($AO$2:$BQ$1001,MATCH(ROWS($AH$2:AH454),$AH$2:$AH$1001,0),MATCH(COLUMNS($AO$1006:AU1006),$AO$1006:$BQ$1006,0)), HYPERLINK("#",""), HYPERLINK(CONCATENATE("#Metadata!", ADDRESS(INDEX($AJ$2:$AJ$1001,MATCH(ROWS($AH$2:AH454),$AH$2:$AH$1001,0),0), INDEX($AO$1004:$BQ$1004,1,MATCH(COLUMNS($AO$1006:AU1006),$AO$1006:$BQ$1006,0)))),"Fix")))</f>
        <v>#N/A</v>
      </c>
      <c r="I454" s="5" t="e">
        <f ca="1">IF(OR(INDEX($AI$2:$AI$1001,MATCH(ROWS($AH$2:AH454),$AH$2:$AH$1001,0),1)&gt;=100000,INDEX($AO$1005:$BQ$1005,1,MATCH(COLUMNS($AO$1006:AV1006),$AO$1006:$BQ$1006,0))&gt;=100000), " ",IF(INDEX($AO$2:$BQ$1001,MATCH(ROWS($AH$2:AH454),$AH$2:$AH$1001,0),MATCH(COLUMNS($AO$1006:AV1006),$AO$1006:$BQ$1006,0)), HYPERLINK("#",""), HYPERLINK(CONCATENATE("#Metadata!", ADDRESS(INDEX($AJ$2:$AJ$1001,MATCH(ROWS($AH$2:AH454),$AH$2:$AH$1001,0),0), INDEX($AO$1004:$BQ$1004,1,MATCH(COLUMNS($AO$1006:AV1006),$AO$1006:$BQ$1006,0)))),"Fix")))</f>
        <v>#N/A</v>
      </c>
      <c r="J454" s="5" t="e">
        <f ca="1">IF(OR(INDEX($AI$2:$AI$1001,MATCH(ROWS($AH$2:AH454),$AH$2:$AH$1001,0),1)&gt;=100000,INDEX($AO$1005:$BQ$1005,1,MATCH(COLUMNS($AO$1006:AW1006),$AO$1006:$BQ$1006,0))&gt;=100000), " ",IF(INDEX($AO$2:$BQ$1001,MATCH(ROWS($AH$2:AH454),$AH$2:$AH$1001,0),MATCH(COLUMNS($AO$1006:AW1006),$AO$1006:$BQ$1006,0)), HYPERLINK("#",""), HYPERLINK(CONCATENATE("#Metadata!", ADDRESS(INDEX($AJ$2:$AJ$1001,MATCH(ROWS($AH$2:AH454),$AH$2:$AH$1001,0),0), INDEX($AO$1004:$BQ$1004,1,MATCH(COLUMNS($AO$1006:AW1006),$AO$1006:$BQ$1006,0)))),"Fix")))</f>
        <v>#N/A</v>
      </c>
      <c r="K454" s="5" t="e">
        <f ca="1">IF(OR(INDEX($AI$2:$AI$1001,MATCH(ROWS($AH$2:AH454),$AH$2:$AH$1001,0),1)&gt;=100000,INDEX($AO$1005:$BQ$1005,1,MATCH(COLUMNS($AO$1006:AX1006),$AO$1006:$BQ$1006,0))&gt;=100000), " ",IF(INDEX($AO$2:$BQ$1001,MATCH(ROWS($AH$2:AH454),$AH$2:$AH$1001,0),MATCH(COLUMNS($AO$1006:AX1006),$AO$1006:$BQ$1006,0)), HYPERLINK("#",""), HYPERLINK(CONCATENATE("#Metadata!", ADDRESS(INDEX($AJ$2:$AJ$1001,MATCH(ROWS($AH$2:AH454),$AH$2:$AH$1001,0),0), INDEX($AO$1004:$BQ$1004,1,MATCH(COLUMNS($AO$1006:AX1006),$AO$1006:$BQ$1006,0)))),"Fix")))</f>
        <v>#N/A</v>
      </c>
      <c r="L454" s="5" t="e">
        <f ca="1">IF(OR(INDEX($AI$2:$AI$1001,MATCH(ROWS($AH$2:AH454),$AH$2:$AH$1001,0),1)&gt;=100000,INDEX($AO$1005:$BQ$1005,1,MATCH(COLUMNS($AO$1006:AY1006),$AO$1006:$BQ$1006,0))&gt;=100000), " ",IF(INDEX($AO$2:$BQ$1001,MATCH(ROWS($AH$2:AH454),$AH$2:$AH$1001,0),MATCH(COLUMNS($AO$1006:AY1006),$AO$1006:$BQ$1006,0)), HYPERLINK("#",""), HYPERLINK(CONCATENATE("#Metadata!", ADDRESS(INDEX($AJ$2:$AJ$1001,MATCH(ROWS($AH$2:AH454),$AH$2:$AH$1001,0),0), INDEX($AO$1004:$BQ$1004,1,MATCH(COLUMNS($AO$1006:AY1006),$AO$1006:$BQ$1006,0)))),"Fix")))</f>
        <v>#N/A</v>
      </c>
      <c r="M454" s="5" t="e">
        <f ca="1">IF(OR(INDEX($AI$2:$AI$1001,MATCH(ROWS($AH$2:AH454),$AH$2:$AH$1001,0),1)&gt;=100000,INDEX($AO$1005:$BQ$1005,1,MATCH(COLUMNS($AO$1006:AZ1006),$AO$1006:$BQ$1006,0))&gt;=100000), " ",IF(INDEX($AO$2:$BQ$1001,MATCH(ROWS($AH$2:AH454),$AH$2:$AH$1001,0),MATCH(COLUMNS($AO$1006:AZ1006),$AO$1006:$BQ$1006,0)), HYPERLINK("#",""), HYPERLINK(CONCATENATE("#Metadata!", ADDRESS(INDEX($AJ$2:$AJ$1001,MATCH(ROWS($AH$2:AH454),$AH$2:$AH$1001,0),0), INDEX($AO$1004:$BQ$1004,1,MATCH(COLUMNS($AO$1006:AZ1006),$AO$1006:$BQ$1006,0)))),"Fix")))</f>
        <v>#N/A</v>
      </c>
      <c r="N454" s="5" t="e">
        <f ca="1">IF(OR(INDEX($AI$2:$AI$1001,MATCH(ROWS($AH$2:AH454),$AH$2:$AH$1001,0),1)&gt;=100000,INDEX($AO$1005:$BQ$1005,1,MATCH(COLUMNS($AO$1006:BA1006),$AO$1006:$BQ$1006,0))&gt;=100000), " ",IF(INDEX($AO$2:$BQ$1001,MATCH(ROWS($AH$2:AH454),$AH$2:$AH$1001,0),MATCH(COLUMNS($AO$1006:BA1006),$AO$1006:$BQ$1006,0)), HYPERLINK("#",""), HYPERLINK(CONCATENATE("#Metadata!", ADDRESS(INDEX($AJ$2:$AJ$1001,MATCH(ROWS($AH$2:AH454),$AH$2:$AH$1001,0),0), INDEX($AO$1004:$BQ$1004,1,MATCH(COLUMNS($AO$1006:BA1006),$AO$1006:$BQ$1006,0)))),"Fix")))</f>
        <v>#N/A</v>
      </c>
      <c r="O454" s="5" t="e">
        <f ca="1">IF(OR(INDEX($AI$2:$AI$1001,MATCH(ROWS($AH$2:AH454),$AH$2:$AH$1001,0),1)&gt;=100000,INDEX($AO$1005:$BQ$1005,1,MATCH(COLUMNS($AO$1006:BB1006),$AO$1006:$BQ$1006,0))&gt;=100000), " ",IF(INDEX($AO$2:$BQ$1001,MATCH(ROWS($AH$2:AH454),$AH$2:$AH$1001,0),MATCH(COLUMNS($AO$1006:BB1006),$AO$1006:$BQ$1006,0)), HYPERLINK("#",""), HYPERLINK(CONCATENATE("#Metadata!", ADDRESS(INDEX($AJ$2:$AJ$1001,MATCH(ROWS($AH$2:AH454),$AH$2:$AH$1001,0),0), INDEX($AO$1004:$BQ$1004,1,MATCH(COLUMNS($AO$1006:BB1006),$AO$1006:$BQ$1006,0)))),"Fix")))</f>
        <v>#N/A</v>
      </c>
      <c r="P454" s="5" t="e">
        <f ca="1">IF(OR(INDEX($AI$2:$AI$1001,MATCH(ROWS($AH$2:AH454),$AH$2:$AH$1001,0),1)&gt;=100000,INDEX($AO$1005:$BQ$1005,1,MATCH(COLUMNS($AO$1006:BC1006),$AO$1006:$BQ$1006,0))&gt;=100000), " ",IF(INDEX($AO$2:$BQ$1001,MATCH(ROWS($AH$2:AH454),$AH$2:$AH$1001,0),MATCH(COLUMNS($AO$1006:BC1006),$AO$1006:$BQ$1006,0)), HYPERLINK("#",""), HYPERLINK(CONCATENATE("#Metadata!", ADDRESS(INDEX($AJ$2:$AJ$1001,MATCH(ROWS($AH$2:AH454),$AH$2:$AH$1001,0),0), INDEX($AO$1004:$BQ$1004,1,MATCH(COLUMNS($AO$1006:BC1006),$AO$1006:$BQ$1006,0)))),"Fix")))</f>
        <v>#N/A</v>
      </c>
      <c r="Q454" s="5" t="e">
        <f ca="1">IF(OR(INDEX($AI$2:$AI$1001,MATCH(ROWS($AH$2:AH454),$AH$2:$AH$1001,0),1)&gt;=100000,INDEX($AO$1005:$BQ$1005,1,MATCH(COLUMNS($AO$1006:BD1006),$AO$1006:$BQ$1006,0))&gt;=100000), " ",IF(INDEX($AO$2:$BQ$1001,MATCH(ROWS($AH$2:AH454),$AH$2:$AH$1001,0),MATCH(COLUMNS($AO$1006:BD1006),$AO$1006:$BQ$1006,0)), HYPERLINK("#",""), HYPERLINK(CONCATENATE("#Metadata!", ADDRESS(INDEX($AJ$2:$AJ$1001,MATCH(ROWS($AH$2:AH454),$AH$2:$AH$1001,0),0), INDEX($AO$1004:$BQ$1004,1,MATCH(COLUMNS($AO$1006:BD1006),$AO$1006:$BQ$1006,0)))),"Fix")))</f>
        <v>#N/A</v>
      </c>
      <c r="R454" s="5" t="e">
        <f ca="1">IF(OR(INDEX($AI$2:$AI$1001,MATCH(ROWS($AH$2:AH454),$AH$2:$AH$1001,0),1)&gt;=100000,INDEX($AO$1005:$BQ$1005,1,MATCH(COLUMNS($AO$1006:BE1006),$AO$1006:$BQ$1006,0))&gt;=100000), " ",IF(INDEX($AO$2:$BQ$1001,MATCH(ROWS($AH$2:AH454),$AH$2:$AH$1001,0),MATCH(COLUMNS($AO$1006:BE1006),$AO$1006:$BQ$1006,0)), HYPERLINK("#",""), HYPERLINK(CONCATENATE("#Metadata!", ADDRESS(INDEX($AJ$2:$AJ$1001,MATCH(ROWS($AH$2:AH454),$AH$2:$AH$1001,0),0), INDEX($AO$1004:$BQ$1004,1,MATCH(COLUMNS($AO$1006:BE1006),$AO$1006:$BQ$1006,0)))),"Fix")))</f>
        <v>#N/A</v>
      </c>
      <c r="S454" s="5" t="e">
        <f ca="1">IF(OR(INDEX($AI$2:$AI$1001,MATCH(ROWS($AH$2:AH454),$AH$2:$AH$1001,0),1)&gt;=100000,INDEX($AO$1005:$BQ$1005,1,MATCH(COLUMNS($AO$1006:BF1006),$AO$1006:$BQ$1006,0))&gt;=100000), " ",IF(INDEX($AO$2:$BQ$1001,MATCH(ROWS($AH$2:AH454),$AH$2:$AH$1001,0),MATCH(COLUMNS($AO$1006:BF1006),$AO$1006:$BQ$1006,0)), HYPERLINK("#",""), HYPERLINK(CONCATENATE("#Metadata!", ADDRESS(INDEX($AJ$2:$AJ$1001,MATCH(ROWS($AH$2:AH454),$AH$2:$AH$1001,0),0), INDEX($AO$1004:$BQ$1004,1,MATCH(COLUMNS($AO$1006:BF1006),$AO$1006:$BQ$1006,0)))),"Fix")))</f>
        <v>#N/A</v>
      </c>
      <c r="T454" s="5" t="e">
        <f ca="1">IF(OR(INDEX($AI$2:$AI$1001,MATCH(ROWS($AH$2:AH454),$AH$2:$AH$1001,0),1)&gt;=100000,INDEX($AO$1005:$BQ$1005,1,MATCH(COLUMNS($AO$1006:BG1006),$AO$1006:$BQ$1006,0))&gt;=100000), " ",IF(INDEX($AO$2:$BQ$1001,MATCH(ROWS($AH$2:AH454),$AH$2:$AH$1001,0),MATCH(COLUMNS($AO$1006:BG1006),$AO$1006:$BQ$1006,0)), HYPERLINK("#",""), HYPERLINK(CONCATENATE("#Metadata!", ADDRESS(INDEX($AJ$2:$AJ$1001,MATCH(ROWS($AH$2:AH454),$AH$2:$AH$1001,0),0), INDEX($AO$1004:$BQ$1004,1,MATCH(COLUMNS($AO$1006:BG1006),$AO$1006:$BQ$1006,0)))),"Fix")))</f>
        <v>#N/A</v>
      </c>
      <c r="U454" s="5" t="e">
        <f ca="1">IF(OR(INDEX($AI$2:$AI$1001,MATCH(ROWS($AH$2:AH454),$AH$2:$AH$1001,0),1)&gt;=100000,INDEX($AO$1005:$BQ$1005,1,MATCH(COLUMNS($AO$1006:BH1006),$AO$1006:$BQ$1006,0))&gt;=100000), " ",IF(INDEX($AO$2:$BQ$1001,MATCH(ROWS($AH$2:AH454),$AH$2:$AH$1001,0),MATCH(COLUMNS($AO$1006:BH1006),$AO$1006:$BQ$1006,0)), HYPERLINK("#",""), HYPERLINK(CONCATENATE("#Metadata!", ADDRESS(INDEX($AJ$2:$AJ$1001,MATCH(ROWS($AH$2:AH454),$AH$2:$AH$1001,0),0), INDEX($AO$1004:$BQ$1004,1,MATCH(COLUMNS($AO$1006:BH1006),$AO$1006:$BQ$1006,0)))),"Fix")))</f>
        <v>#N/A</v>
      </c>
      <c r="V454" s="5" t="e">
        <f ca="1">IF(OR(INDEX($AI$2:$AI$1001,MATCH(ROWS($AH$2:AH454),$AH$2:$AH$1001,0),1)&gt;=100000,INDEX($AO$1005:$BQ$1005,1,MATCH(COLUMNS($AO$1006:BI1006),$AO$1006:$BQ$1006,0))&gt;=100000), " ",IF(INDEX($AO$2:$BQ$1001,MATCH(ROWS($AH$2:AH454),$AH$2:$AH$1001,0),MATCH(COLUMNS($AO$1006:BI1006),$AO$1006:$BQ$1006,0)), HYPERLINK("#",""), HYPERLINK(CONCATENATE("#Metadata!", ADDRESS(INDEX($AJ$2:$AJ$1001,MATCH(ROWS($AH$2:AH454),$AH$2:$AH$1001,0),0), INDEX($AO$1004:$BQ$1004,1,MATCH(COLUMNS($AO$1006:BI1006),$AO$1006:$BQ$1006,0)))),"Fix")))</f>
        <v>#N/A</v>
      </c>
      <c r="W454" s="5" t="e">
        <f ca="1">IF(OR(INDEX($AI$2:$AI$1001,MATCH(ROWS($AH$2:AH454),$AH$2:$AH$1001,0),1)&gt;=100000,INDEX($AO$1005:$BQ$1005,1,MATCH(COLUMNS($AO$1006:BJ1006),$AO$1006:$BQ$1006,0))&gt;=100000), " ",IF(INDEX($AO$2:$BQ$1001,MATCH(ROWS($AH$2:AH454),$AH$2:$AH$1001,0),MATCH(COLUMNS($AO$1006:BJ1006),$AO$1006:$BQ$1006,0)), HYPERLINK("#",""), HYPERLINK(CONCATENATE("#Metadata!", ADDRESS(INDEX($AJ$2:$AJ$1001,MATCH(ROWS($AH$2:AH454),$AH$2:$AH$1001,0),0), INDEX($AO$1004:$BQ$1004,1,MATCH(COLUMNS($AO$1006:BJ1006),$AO$1006:$BQ$1006,0)))),"Fix")))</f>
        <v>#N/A</v>
      </c>
      <c r="X454" s="5" t="e">
        <f ca="1">IF(OR(INDEX($AI$2:$AI$1001,MATCH(ROWS($AH$2:AH454),$AH$2:$AH$1001,0),1)&gt;=100000,INDEX($AO$1005:$BQ$1005,1,MATCH(COLUMNS($AO$1006:BK1006),$AO$1006:$BQ$1006,0))&gt;=100000), " ",IF(INDEX($AO$2:$BQ$1001,MATCH(ROWS($AH$2:AH454),$AH$2:$AH$1001,0),MATCH(COLUMNS($AO$1006:BK1006),$AO$1006:$BQ$1006,0)), HYPERLINK("#",""), HYPERLINK(CONCATENATE("#Metadata!", ADDRESS(INDEX($AJ$2:$AJ$1001,MATCH(ROWS($AH$2:AH454),$AH$2:$AH$1001,0),0), INDEX($AO$1004:$BQ$1004,1,MATCH(COLUMNS($AO$1006:BK1006),$AO$1006:$BQ$1006,0)))),"Fix")))</f>
        <v>#N/A</v>
      </c>
      <c r="Y454" s="5" t="e">
        <f ca="1">IF(OR(INDEX($AI$2:$AI$1001,MATCH(ROWS($AH$2:AH454),$AH$2:$AH$1001,0),1)&gt;=100000,INDEX($AO$1005:$BQ$1005,1,MATCH(COLUMNS($AO$1006:BL1006),$AO$1006:$BQ$1006,0))&gt;=100000), " ",IF(INDEX($AO$2:$BQ$1001,MATCH(ROWS($AH$2:AH454),$AH$2:$AH$1001,0),MATCH(COLUMNS($AO$1006:BL1006),$AO$1006:$BQ$1006,0)), HYPERLINK("#",""), HYPERLINK(CONCATENATE("#Metadata!", ADDRESS(INDEX($AJ$2:$AJ$1001,MATCH(ROWS($AH$2:AH454),$AH$2:$AH$1001,0),0), INDEX($AO$1004:$BQ$1004,1,MATCH(COLUMNS($AO$1006:BL1006),$AO$1006:$BQ$1006,0)))),"Fix")))</f>
        <v>#N/A</v>
      </c>
      <c r="Z454" s="5" t="e">
        <f ca="1">IF(OR(INDEX($AI$2:$AI$1001,MATCH(ROWS($AH$2:AH454),$AH$2:$AH$1001,0),1)&gt;=100000,INDEX($AO$1005:$BQ$1005,1,MATCH(COLUMNS($AO$1006:BM1006),$AO$1006:$BQ$1006,0))&gt;=100000), " ",IF(INDEX($AO$2:$BQ$1001,MATCH(ROWS($AH$2:AH454),$AH$2:$AH$1001,0),MATCH(COLUMNS($AO$1006:BM1006),$AO$1006:$BQ$1006,0)), HYPERLINK("#",""), HYPERLINK(CONCATENATE("#Metadata!", ADDRESS(INDEX($AJ$2:$AJ$1001,MATCH(ROWS($AH$2:AH454),$AH$2:$AH$1001,0),0), INDEX($AO$1004:$BQ$1004,1,MATCH(COLUMNS($AO$1006:BM1006),$AO$1006:$BQ$1006,0)))),"Fix")))</f>
        <v>#N/A</v>
      </c>
      <c r="AA454" s="5" t="e">
        <f ca="1">IF(OR(INDEX($AI$2:$AI$1001,MATCH(ROWS($AH$2:AH454),$AH$2:$AH$1001,0),1)&gt;=100000,INDEX($AO$1005:$BQ$1005,1,MATCH(COLUMNS($AO$1006:BN1006),$AO$1006:$BQ$1006,0))&gt;=100000), " ",IF(INDEX($AO$2:$BQ$1001,MATCH(ROWS($AH$2:AH454),$AH$2:$AH$1001,0),MATCH(COLUMNS($AO$1006:BN1006),$AO$1006:$BQ$1006,0)), HYPERLINK("#",""), HYPERLINK(CONCATENATE("#Metadata!", ADDRESS(INDEX($AJ$2:$AJ$1001,MATCH(ROWS($AH$2:AH454),$AH$2:$AH$1001,0),0), INDEX($AO$1004:$BQ$1004,1,MATCH(COLUMNS($AO$1006:BN1006),$AO$1006:$BQ$1006,0)))),"Fix")))</f>
        <v>#N/A</v>
      </c>
      <c r="AB454" s="5" t="e">
        <f ca="1">IF(OR(INDEX($AI$2:$AI$1001,MATCH(ROWS($AH$2:AH454),$AH$2:$AH$1001,0),1)&gt;=100000,INDEX($AO$1005:$BQ$1005,1,MATCH(COLUMNS($AO$1006:BO1006),$AO$1006:$BQ$1006,0))&gt;=100000), " ",IF(INDEX($AO$2:$BQ$1001,MATCH(ROWS($AH$2:AH454),$AH$2:$AH$1001,0),MATCH(COLUMNS($AO$1006:BO1006),$AO$1006:$BQ$1006,0)), HYPERLINK("#",""), HYPERLINK(CONCATENATE("#Metadata!", ADDRESS(INDEX($AJ$2:$AJ$1001,MATCH(ROWS($AH$2:AH454),$AH$2:$AH$1001,0),0), INDEX($AO$1004:$BQ$1004,1,MATCH(COLUMNS($AO$1006:BO1006),$AO$1006:$BQ$1006,0)))),"Fix")))</f>
        <v>#N/A</v>
      </c>
      <c r="AC454" s="5" t="e">
        <f ca="1">IF(OR(INDEX($AI$2:$AI$1001,MATCH(ROWS($AH$2:AH454),$AH$2:$AH$1001,0),1)&gt;=100000,INDEX($AO$1005:$BQ$1005,1,MATCH(COLUMNS($AO$1006:BP1006),$AO$1006:$BQ$1006,0))&gt;=100000), " ",IF(INDEX($AO$2:$BQ$1001,MATCH(ROWS($AH$2:AH454),$AH$2:$AH$1001,0),MATCH(COLUMNS($AO$1006:BP1006),$AO$1006:$BQ$1006,0)), HYPERLINK("#",""), HYPERLINK(CONCATENATE("#Metadata!", ADDRESS(INDEX($AJ$2:$AJ$1001,MATCH(ROWS($AH$2:AH454),$AH$2:$AH$1001,0),0), INDEX($AO$1004:$BQ$1004,1,MATCH(COLUMNS($AO$1006:BP1006),$AO$1006:$BQ$1006,0)))),"Fix")))</f>
        <v>#N/A</v>
      </c>
      <c r="AD454" s="5" t="e">
        <f ca="1">IF(OR(INDEX($AI$2:$AI$1001,MATCH(ROWS($AH$2:AH454),$AH$2:$AH$1001,0),1)&gt;=100000,INDEX($AO$1005:$BQ$1005,1,MATCH(COLUMNS($AO$1006:BQ1006),$AO$1006:$BQ$1006,0))&gt;=100000), " ",IF(INDEX($AO$2:$BQ$1001,MATCH(ROWS($AH$2:AH454),$AH$2:$AH$1001,0),MATCH(COLUMNS($AO$1006:BQ1006),$AO$1006:$BQ$1006,0)), HYPERLINK("#",""), HYPERLINK(CONCATENATE("#Metadata!", ADDRESS(INDEX($AJ$2:$AJ$1001,MATCH(ROWS($AH$2:AH454),$AH$2:$AH$1001,0),0), INDEX($AO$1004:$BQ$1004,1,MATCH(COLUMNS($AO$1006:BQ1006),$AO$1006:$BQ$1006,0)))),"Fix")))</f>
        <v>#REF!</v>
      </c>
      <c r="AH454">
        <f ca="1"/>
        <v>451</v>
      </c>
      <c r="AI454">
        <v>100454</v>
      </c>
      <c r="AJ454">
        <v>454</v>
      </c>
      <c r="AK454" t="b">
        <f t="shared" si="7"/>
        <v>1</v>
      </c>
      <c r="AL454" t="b">
        <f>COUNTBLANK(Metadata!B454:AD454)=COLUMNS(Metadata!B454:AD454)</f>
        <v>1</v>
      </c>
      <c r="AM454" t="str">
        <v/>
      </c>
      <c r="AO454" t="b">
        <f ca="1">AND(IF(Metadata!B454="",FALSE,TRUE),COUNTIF(Metadata!B:B, Metadata!B454) = 1,NOT(ISERROR(SUMPRODUCT(SEARCH(MID(Metadata!B454,ROW(INDIRECT("1:"&amp;LEN(Metadata!B454))), 1),"0123456789abcdefghijklmnopqrstuvwxyzABCDEFGHIJKLMNOPQRSTUVWXYZ.")))))</f>
        <v>0</v>
      </c>
      <c r="AP454" t="b">
        <f>IF(Metadata!C454="",FALSE,TRUE)</f>
        <v>0</v>
      </c>
      <c r="AQ454" t="b">
        <f>IF(Metadata!D454="",FALSE,TRUE)</f>
        <v>0</v>
      </c>
      <c r="AR454" t="b">
        <f ca="1">OR(AND(IF(Metadata!E454="",FALSE,TRUE),OR(EXACT(Metadata!E454,"not collected"),EXACT(Metadata!E454,"not provided"),EXACT(Metadata!E454,"restricted access"))),AND(IF(Metadata!E454="",FALSE,TRUE),AND(AND(IFERROR(INT(LEFT(Metadata!E454,4))&gt;1900,FALSE),IFERROR(INT(LEFT(Metadata!E454,4))&lt;=YEAR(NOW()),FALSE)), OR(MID(Metadata!E454,5,1)="", AND(AND(MID(Metadata!E454,5,1)="-",IFERROR(INT(MID(Metadata!E454,6,1))&gt;=0,FALSE),IFERROR(INT(MID(Metadata!E454,6,1))&lt;=1,FALSE),NOT(MID(Metadata!E454,7,1)=""),IFERROR(INT(MID(Metadata!E454,6,2))&gt;=1,FALSE),IFERROR(INT(MID(Metadata!E454,6,2))&lt;=12,FALSE)), OR(MID(Metadata!E454,8,1)="", AND(AND(MID(Metadata!E454,8,1)="-",IFERROR(INT(MID(Metadata!E454,9,1))&gt;=0,FALSE),IFERROR(INT(MID(Metadata!E454,9,1))&lt;=3,FALSE),NOT(MID(Metadata!E454,10,1)=""),IFERROR(INT(MID(Metadata!E454,9,2))&gt;=1,FALSE),IFERROR(INT(MID(Metadata!E454,9,2))&lt;=31,FALSE)), OR(MID(Metadata!E454,11,1)="", AND(AND(MID(Metadata!E454,11,1)=" ",IFERROR(INT(MID(Metadata!E454,12,1))&gt;=0,FALSE),IFERROR(INT(MID(Metadata!E454,12,1))&lt;=2,FALSE),NOT(MID(Metadata!E454,13,1)=""),IFERROR(INT(MID(Metadata!E454,12,2))&gt;=0,FALSE),IFERROR(INT(MID(Metadata!E454,12,2))&lt;=23,FALSE)), OR(MID(Metadata!E454,14,1)="", AND(AND(MID(Metadata!E454,14,1)=":",IFERROR(INT(MID(Metadata!E454,15,1))&gt;=0,FALSE),IFERROR(INT(MID(Metadata!E454,15,1))&lt;=5,FALSE),NOT(MID(Metadata!E454,16,1)=""),IFERROR(INT(MID(Metadata!E454,15,2))&gt;=0,FALSE),IFERROR(INT(MID(Metadata!E454,15,2))&lt;=59,FALSE)), OR(MID(Metadata!E454,17,1)="", AND(AND(MID(Metadata!E454,17,1)=":",IFERROR(INT(MID(Metadata!E454,18,1))&gt;=0,FALSE),IFERROR(INT(MID(Metadata!E454,18,1))&lt;=5,FALSE),NOT(MID(Metadata!E454,19,1)=""),IFERROR(INT(MID(Metadata!E454,18,2))&gt;=0,FALSE),IFERROR(INT(MID(Metadata!E454,18,2))&lt;=59,FALSE)), LEN(Metadata!E454)&lt;=19)))))))))))))</f>
        <v>0</v>
      </c>
      <c r="AS454" t="b">
        <f>IF(Metadata!F454="",FALSE,TRUE)</f>
        <v>0</v>
      </c>
      <c r="AT454" t="b">
        <f>OR(AND(IF(Metadata!G454="",FALSE,TRUE),OR(EXACT(Metadata!G454,"not collected"),EXACT(Metadata!G454,"not provided"))),AND(IF(Metadata!G454="",FALSE,TRUE),OR(EXACT(Metadata!G454,"TRUE"),EXACT(Metadata!G454,"FALSE"))))</f>
        <v>0</v>
      </c>
      <c r="AU454" t="b">
        <f>OR(AND(IF(Metadata!H454="",FALSE,TRUE),OR(EXACT(Metadata!H454,"not collected"),EXACT(Metadata!H454,"not provided"),EXACT(Metadata!H454,"restricted access"))),AND(IF(Metadata!H454="",FALSE,ISNUMBER(VALUE(Metadata!H454))),Metadata!H454&gt;=-413))</f>
        <v>0</v>
      </c>
      <c r="AV454" t="b">
        <f>AND(IF(Metadata!I454="",FALSE,TRUE),EXACT(Metadata!I454,"meters"))</f>
        <v>0</v>
      </c>
      <c r="AW454" t="b">
        <f>AND(IF(Metadata!J454="",FALSE,TRUE),EXACT(Metadata!J454,"free-living"))</f>
        <v>0</v>
      </c>
      <c r="AX454" t="b">
        <f>AND(IF(Metadata!K454="",FALSE,TRUE),OR(EXACT(Metadata!K454,"saline"),EXACT(Metadata!K454,"non-saline")))</f>
        <v>0</v>
      </c>
      <c r="AY454" t="b">
        <f>AND(IF(Metadata!L454="",FALSE,TRUE),OR(EXACT(Metadata!L454,"sub-surface (non-saline)"),EXACT(Metadata!L454,"surface (non-saline)"),EXACT(Metadata!L454,"water (non-saline)"),EXACT(Metadata!L454,"soil (non-saline)"),EXACT(Metadata!L454,"aerosol (non-saline)"),EXACT(Metadata!L454,"sediment (non-saline)"),EXACT(Metadata!L454,"surface (saline)"),EXACT(Metadata!L454,"water (saline)"),EXACT(Metadata!L454,"hypersaline (saline)"),EXACT(Metadata!L454,"aerosol (saline)"),EXACT(Metadata!L454,"sediment (saline)")))</f>
        <v>0</v>
      </c>
      <c r="AZ454" t="b">
        <f>IF(Metadata!M454="",FALSE,TRUE)</f>
        <v>0</v>
      </c>
      <c r="BA454" t="b">
        <f>IF(Metadata!N454="",FALSE,TRUE)</f>
        <v>0</v>
      </c>
      <c r="BB454" t="b">
        <f>IF(Metadata!O454="",FALSE,TRUE)</f>
        <v>0</v>
      </c>
      <c r="BC454" t="b">
        <f>AND(IF(Metadata!P454="",FALSE,TRUE),OR(EXACT(Metadata!P454,"air"),EXACT(Metadata!P454,"microbial mat/biofilm"),EXACT(Metadata!P454,"misc environment"),EXACT(Metadata!P454,"sediment"),EXACT(Metadata!P454,"soil"),EXACT(Metadata!P454,"wastewater/sludge"),EXACT(Metadata!P454,"water")))</f>
        <v>0</v>
      </c>
      <c r="BD454" t="b">
        <f>IF(Metadata!Q454="",FALSE,TRUE)</f>
        <v>0</v>
      </c>
      <c r="BE454" t="b">
        <f>IF(Metadata!R454="",FALSE,TRUE)</f>
        <v>0</v>
      </c>
      <c r="BF454" t="b">
        <f>OR(AND(IF(Metadata!S454="",FALSE,TRUE),OR(EXACT(Metadata!S454,"not collected"),EXACT(Metadata!S454,"not provided"),EXACT(Metadata!S454,"restricted access"))),AND(IF(Metadata!S454="",FALSE,ISNUMBER(VALUE(Metadata!S454))),Metadata!S454&gt;=-90,Metadata!S454&lt;=90))</f>
        <v>0</v>
      </c>
      <c r="BG454" t="b">
        <f>AND(IF(Metadata!T454="",FALSE,TRUE),EXACT(Metadata!T454,"Decimal degrees"))</f>
        <v>0</v>
      </c>
      <c r="BH454" t="b">
        <f>OR(AND(IF(Metadata!U454="",FALSE,TRUE),OR(EXACT(Metadata!U454,"not applicable"),EXACT(Metadata!U454,"not collected"))),IF(Metadata!U454="",FALSE,TRUE))</f>
        <v>0</v>
      </c>
      <c r="BI454" t="b">
        <f>OR(AND(IF(Metadata!V454="",FALSE,TRUE),OR(EXACT(Metadata!V454,"not collected"),EXACT(Metadata!V454,"not provided"),EXACT(Metadata!V454,"restricted access"))),AND(IF(Metadata!V454="",FALSE,ISNUMBER(VALUE(Metadata!V454))),Metadata!V454&gt;=-180,Metadata!V454&lt;=180))</f>
        <v>0</v>
      </c>
      <c r="BJ454" t="b">
        <f>AND(IF(Metadata!W454="",FALSE,TRUE),EXACT(Metadata!W454,"Decimal degrees"))</f>
        <v>0</v>
      </c>
      <c r="BK454" t="b">
        <f>IF(Metadata!X454="",FALSE,TRUE)</f>
        <v>0</v>
      </c>
      <c r="BL454" t="b">
        <f>OR(AND(IF(Metadata!Y454="",FALSE,TRUE),OR(EXACT(Metadata!Y454,"not collected"),EXACT(Metadata!Y454,"not provided"),EXACT(Metadata!Y454,"restricted access"))),AND(IF(Metadata!Y454="",FALSE,TRUE),OR(EXACT(Metadata!Y454,"TRUE"),EXACT(Metadata!Y454,"FALSE"))))</f>
        <v>0</v>
      </c>
      <c r="BM454" t="b">
        <f>OR(AND(IF(Metadata!Z454="",FALSE,TRUE),EXACT(Metadata!Z454,"not applicable")),AND(IF(Metadata!Z454="",FALSE,TRUE),OR(EXACT(Metadata!Z454,"beer"),EXACT(Metadata!Z454,"cheese"),EXACT(Metadata!Z454,"fresh water"),EXACT(Metadata!Z454,"marine sediment"),EXACT(Metadata!Z454,"sea water"),EXACT(Metadata!Z454,"sediment"),EXACT(Metadata!Z454,"soil"),EXACT(Metadata!Z454,"waste water"))))</f>
        <v>0</v>
      </c>
      <c r="BN454" t="b">
        <f>AND(IF(Metadata!AA454="",FALSE,TRUE),EXACT(Metadata!AA454,"metagenome"))</f>
        <v>0</v>
      </c>
      <c r="BO454" t="b">
        <f>AND(IF(Metadata!AB454="",FALSE,TRUE),EXACT(Metadata!AB454,"256318"))</f>
        <v>0</v>
      </c>
      <c r="BP454" t="b">
        <f>IF(Metadata!AC454="",FALSE,TRUE)</f>
        <v>0</v>
      </c>
      <c r="BQ454" t="b">
        <f>IF(Metadata!AD454="",FALSE,TRUE)</f>
        <v>0</v>
      </c>
    </row>
    <row r="455" spans="1:69" x14ac:dyDescent="0.2">
      <c r="A455" s="4" t="e">
        <f ca="1">IF(B455=" "," ",HYPERLINK(CONCATENATE("#metadata!",ADDRESS(INDEX($AJ$2:$AJ$1001,MATCH(ROWS($AH$2:AH455),$AH$2:$AH$1001,0),0),2)),INDEX($AM$2:$AM$1001,MATCH(ROWS($AH$2:AH455),$AH$2:$AH$1001,0),0)))</f>
        <v>#N/A</v>
      </c>
      <c r="B455" s="5" t="e">
        <f ca="1">IF(OR(INDEX($AI$2:$AI$1001,MATCH(ROWS($AH$2:AH455),$AH$2:$AH$1001,0),1)&gt;=100000,INDEX($AO$1005:$BQ$1005,1,MATCH(COLUMNS($AO$1006:AO1006),$AO$1006:$BQ$1006,0))&gt;=100000), " ",IF(INDEX($AO$2:$BQ$1001,MATCH(ROWS($AH$2:AH455),$AH$2:$AH$1001,0),MATCH(COLUMNS($AO$1006:AO1006),$AO$1006:$BQ$1006,0)), HYPERLINK("#",""), HYPERLINK(CONCATENATE("#Metadata!", ADDRESS(INDEX($AJ$2:$AJ$1001,MATCH(ROWS($AH$2:AH455),$AH$2:$AH$1001,0),0), INDEX($AO$1004:$BQ$1004,1,MATCH(COLUMNS($AO$1006:AO1006),$AO$1006:$BQ$1006,0)))),"Fix")))</f>
        <v>#N/A</v>
      </c>
      <c r="C455" s="5" t="e">
        <f ca="1">IF(OR(INDEX($AI$2:$AI$1001,MATCH(ROWS($AH$2:AH455),$AH$2:$AH$1001,0),1)&gt;=100000,INDEX($AO$1005:$BQ$1005,1,MATCH(COLUMNS($AO$1006:AP1006),$AO$1006:$BQ$1006,0))&gt;=100000), " ",IF(INDEX($AO$2:$BQ$1001,MATCH(ROWS($AH$2:AH455),$AH$2:$AH$1001,0),MATCH(COLUMNS($AO$1006:AP1006),$AO$1006:$BQ$1006,0)), HYPERLINK("#",""), HYPERLINK(CONCATENATE("#Metadata!", ADDRESS(INDEX($AJ$2:$AJ$1001,MATCH(ROWS($AH$2:AH455),$AH$2:$AH$1001,0),0), INDEX($AO$1004:$BQ$1004,1,MATCH(COLUMNS($AO$1006:AP1006),$AO$1006:$BQ$1006,0)))),"Fix")))</f>
        <v>#N/A</v>
      </c>
      <c r="D455" s="5" t="e">
        <f ca="1">IF(OR(INDEX($AI$2:$AI$1001,MATCH(ROWS($AH$2:AH455),$AH$2:$AH$1001,0),1)&gt;=100000,INDEX($AO$1005:$BQ$1005,1,MATCH(COLUMNS($AO$1006:AQ1006),$AO$1006:$BQ$1006,0))&gt;=100000), " ",IF(INDEX($AO$2:$BQ$1001,MATCH(ROWS($AH$2:AH455),$AH$2:$AH$1001,0),MATCH(COLUMNS($AO$1006:AQ1006),$AO$1006:$BQ$1006,0)), HYPERLINK("#",""), HYPERLINK(CONCATENATE("#Metadata!", ADDRESS(INDEX($AJ$2:$AJ$1001,MATCH(ROWS($AH$2:AH455),$AH$2:$AH$1001,0),0), INDEX($AO$1004:$BQ$1004,1,MATCH(COLUMNS($AO$1006:AQ1006),$AO$1006:$BQ$1006,0)))),"Fix")))</f>
        <v>#N/A</v>
      </c>
      <c r="E455" s="5" t="e">
        <f ca="1">IF(OR(INDEX($AI$2:$AI$1001,MATCH(ROWS($AH$2:AH455),$AH$2:$AH$1001,0),1)&gt;=100000,INDEX($AO$1005:$BQ$1005,1,MATCH(COLUMNS($AO$1006:AR1006),$AO$1006:$BQ$1006,0))&gt;=100000), " ",IF(INDEX($AO$2:$BQ$1001,MATCH(ROWS($AH$2:AH455),$AH$2:$AH$1001,0),MATCH(COLUMNS($AO$1006:AR1006),$AO$1006:$BQ$1006,0)), HYPERLINK("#",""), HYPERLINK(CONCATENATE("#Metadata!", ADDRESS(INDEX($AJ$2:$AJ$1001,MATCH(ROWS($AH$2:AH455),$AH$2:$AH$1001,0),0), INDEX($AO$1004:$BQ$1004,1,MATCH(COLUMNS($AO$1006:AR1006),$AO$1006:$BQ$1006,0)))),"Fix")))</f>
        <v>#N/A</v>
      </c>
      <c r="F455" s="5" t="e">
        <f ca="1">IF(OR(INDEX($AI$2:$AI$1001,MATCH(ROWS($AH$2:AH455),$AH$2:$AH$1001,0),1)&gt;=100000,INDEX($AO$1005:$BQ$1005,1,MATCH(COLUMNS($AO$1006:AS1006),$AO$1006:$BQ$1006,0))&gt;=100000), " ",IF(INDEX($AO$2:$BQ$1001,MATCH(ROWS($AH$2:AH455),$AH$2:$AH$1001,0),MATCH(COLUMNS($AO$1006:AS1006),$AO$1006:$BQ$1006,0)), HYPERLINK("#",""), HYPERLINK(CONCATENATE("#Metadata!", ADDRESS(INDEX($AJ$2:$AJ$1001,MATCH(ROWS($AH$2:AH455),$AH$2:$AH$1001,0),0), INDEX($AO$1004:$BQ$1004,1,MATCH(COLUMNS($AO$1006:AS1006),$AO$1006:$BQ$1006,0)))),"Fix")))</f>
        <v>#N/A</v>
      </c>
      <c r="G455" s="5" t="e">
        <f ca="1">IF(OR(INDEX($AI$2:$AI$1001,MATCH(ROWS($AH$2:AH455),$AH$2:$AH$1001,0),1)&gt;=100000,INDEX($AO$1005:$BQ$1005,1,MATCH(COLUMNS($AO$1006:AT1006),$AO$1006:$BQ$1006,0))&gt;=100000), " ",IF(INDEX($AO$2:$BQ$1001,MATCH(ROWS($AH$2:AH455),$AH$2:$AH$1001,0),MATCH(COLUMNS($AO$1006:AT1006),$AO$1006:$BQ$1006,0)), HYPERLINK("#",""), HYPERLINK(CONCATENATE("#Metadata!", ADDRESS(INDEX($AJ$2:$AJ$1001,MATCH(ROWS($AH$2:AH455),$AH$2:$AH$1001,0),0), INDEX($AO$1004:$BQ$1004,1,MATCH(COLUMNS($AO$1006:AT1006),$AO$1006:$BQ$1006,0)))),"Fix")))</f>
        <v>#N/A</v>
      </c>
      <c r="H455" s="5" t="e">
        <f ca="1">IF(OR(INDEX($AI$2:$AI$1001,MATCH(ROWS($AH$2:AH455),$AH$2:$AH$1001,0),1)&gt;=100000,INDEX($AO$1005:$BQ$1005,1,MATCH(COLUMNS($AO$1006:AU1006),$AO$1006:$BQ$1006,0))&gt;=100000), " ",IF(INDEX($AO$2:$BQ$1001,MATCH(ROWS($AH$2:AH455),$AH$2:$AH$1001,0),MATCH(COLUMNS($AO$1006:AU1006),$AO$1006:$BQ$1006,0)), HYPERLINK("#",""), HYPERLINK(CONCATENATE("#Metadata!", ADDRESS(INDEX($AJ$2:$AJ$1001,MATCH(ROWS($AH$2:AH455),$AH$2:$AH$1001,0),0), INDEX($AO$1004:$BQ$1004,1,MATCH(COLUMNS($AO$1006:AU1006),$AO$1006:$BQ$1006,0)))),"Fix")))</f>
        <v>#N/A</v>
      </c>
      <c r="I455" s="5" t="e">
        <f ca="1">IF(OR(INDEX($AI$2:$AI$1001,MATCH(ROWS($AH$2:AH455),$AH$2:$AH$1001,0),1)&gt;=100000,INDEX($AO$1005:$BQ$1005,1,MATCH(COLUMNS($AO$1006:AV1006),$AO$1006:$BQ$1006,0))&gt;=100000), " ",IF(INDEX($AO$2:$BQ$1001,MATCH(ROWS($AH$2:AH455),$AH$2:$AH$1001,0),MATCH(COLUMNS($AO$1006:AV1006),$AO$1006:$BQ$1006,0)), HYPERLINK("#",""), HYPERLINK(CONCATENATE("#Metadata!", ADDRESS(INDEX($AJ$2:$AJ$1001,MATCH(ROWS($AH$2:AH455),$AH$2:$AH$1001,0),0), INDEX($AO$1004:$BQ$1004,1,MATCH(COLUMNS($AO$1006:AV1006),$AO$1006:$BQ$1006,0)))),"Fix")))</f>
        <v>#N/A</v>
      </c>
      <c r="J455" s="5" t="e">
        <f ca="1">IF(OR(INDEX($AI$2:$AI$1001,MATCH(ROWS($AH$2:AH455),$AH$2:$AH$1001,0),1)&gt;=100000,INDEX($AO$1005:$BQ$1005,1,MATCH(COLUMNS($AO$1006:AW1006),$AO$1006:$BQ$1006,0))&gt;=100000), " ",IF(INDEX($AO$2:$BQ$1001,MATCH(ROWS($AH$2:AH455),$AH$2:$AH$1001,0),MATCH(COLUMNS($AO$1006:AW1006),$AO$1006:$BQ$1006,0)), HYPERLINK("#",""), HYPERLINK(CONCATENATE("#Metadata!", ADDRESS(INDEX($AJ$2:$AJ$1001,MATCH(ROWS($AH$2:AH455),$AH$2:$AH$1001,0),0), INDEX($AO$1004:$BQ$1004,1,MATCH(COLUMNS($AO$1006:AW1006),$AO$1006:$BQ$1006,0)))),"Fix")))</f>
        <v>#N/A</v>
      </c>
      <c r="K455" s="5" t="e">
        <f ca="1">IF(OR(INDEX($AI$2:$AI$1001,MATCH(ROWS($AH$2:AH455),$AH$2:$AH$1001,0),1)&gt;=100000,INDEX($AO$1005:$BQ$1005,1,MATCH(COLUMNS($AO$1006:AX1006),$AO$1006:$BQ$1006,0))&gt;=100000), " ",IF(INDEX($AO$2:$BQ$1001,MATCH(ROWS($AH$2:AH455),$AH$2:$AH$1001,0),MATCH(COLUMNS($AO$1006:AX1006),$AO$1006:$BQ$1006,0)), HYPERLINK("#",""), HYPERLINK(CONCATENATE("#Metadata!", ADDRESS(INDEX($AJ$2:$AJ$1001,MATCH(ROWS($AH$2:AH455),$AH$2:$AH$1001,0),0), INDEX($AO$1004:$BQ$1004,1,MATCH(COLUMNS($AO$1006:AX1006),$AO$1006:$BQ$1006,0)))),"Fix")))</f>
        <v>#N/A</v>
      </c>
      <c r="L455" s="5" t="e">
        <f ca="1">IF(OR(INDEX($AI$2:$AI$1001,MATCH(ROWS($AH$2:AH455),$AH$2:$AH$1001,0),1)&gt;=100000,INDEX($AO$1005:$BQ$1005,1,MATCH(COLUMNS($AO$1006:AY1006),$AO$1006:$BQ$1006,0))&gt;=100000), " ",IF(INDEX($AO$2:$BQ$1001,MATCH(ROWS($AH$2:AH455),$AH$2:$AH$1001,0),MATCH(COLUMNS($AO$1006:AY1006),$AO$1006:$BQ$1006,0)), HYPERLINK("#",""), HYPERLINK(CONCATENATE("#Metadata!", ADDRESS(INDEX($AJ$2:$AJ$1001,MATCH(ROWS($AH$2:AH455),$AH$2:$AH$1001,0),0), INDEX($AO$1004:$BQ$1004,1,MATCH(COLUMNS($AO$1006:AY1006),$AO$1006:$BQ$1006,0)))),"Fix")))</f>
        <v>#N/A</v>
      </c>
      <c r="M455" s="5" t="e">
        <f ca="1">IF(OR(INDEX($AI$2:$AI$1001,MATCH(ROWS($AH$2:AH455),$AH$2:$AH$1001,0),1)&gt;=100000,INDEX($AO$1005:$BQ$1005,1,MATCH(COLUMNS($AO$1006:AZ1006),$AO$1006:$BQ$1006,0))&gt;=100000), " ",IF(INDEX($AO$2:$BQ$1001,MATCH(ROWS($AH$2:AH455),$AH$2:$AH$1001,0),MATCH(COLUMNS($AO$1006:AZ1006),$AO$1006:$BQ$1006,0)), HYPERLINK("#",""), HYPERLINK(CONCATENATE("#Metadata!", ADDRESS(INDEX($AJ$2:$AJ$1001,MATCH(ROWS($AH$2:AH455),$AH$2:$AH$1001,0),0), INDEX($AO$1004:$BQ$1004,1,MATCH(COLUMNS($AO$1006:AZ1006),$AO$1006:$BQ$1006,0)))),"Fix")))</f>
        <v>#N/A</v>
      </c>
      <c r="N455" s="5" t="e">
        <f ca="1">IF(OR(INDEX($AI$2:$AI$1001,MATCH(ROWS($AH$2:AH455),$AH$2:$AH$1001,0),1)&gt;=100000,INDEX($AO$1005:$BQ$1005,1,MATCH(COLUMNS($AO$1006:BA1006),$AO$1006:$BQ$1006,0))&gt;=100000), " ",IF(INDEX($AO$2:$BQ$1001,MATCH(ROWS($AH$2:AH455),$AH$2:$AH$1001,0),MATCH(COLUMNS($AO$1006:BA1006),$AO$1006:$BQ$1006,0)), HYPERLINK("#",""), HYPERLINK(CONCATENATE("#Metadata!", ADDRESS(INDEX($AJ$2:$AJ$1001,MATCH(ROWS($AH$2:AH455),$AH$2:$AH$1001,0),0), INDEX($AO$1004:$BQ$1004,1,MATCH(COLUMNS($AO$1006:BA1006),$AO$1006:$BQ$1006,0)))),"Fix")))</f>
        <v>#N/A</v>
      </c>
      <c r="O455" s="5" t="e">
        <f ca="1">IF(OR(INDEX($AI$2:$AI$1001,MATCH(ROWS($AH$2:AH455),$AH$2:$AH$1001,0),1)&gt;=100000,INDEX($AO$1005:$BQ$1005,1,MATCH(COLUMNS($AO$1006:BB1006),$AO$1006:$BQ$1006,0))&gt;=100000), " ",IF(INDEX($AO$2:$BQ$1001,MATCH(ROWS($AH$2:AH455),$AH$2:$AH$1001,0),MATCH(COLUMNS($AO$1006:BB1006),$AO$1006:$BQ$1006,0)), HYPERLINK("#",""), HYPERLINK(CONCATENATE("#Metadata!", ADDRESS(INDEX($AJ$2:$AJ$1001,MATCH(ROWS($AH$2:AH455),$AH$2:$AH$1001,0),0), INDEX($AO$1004:$BQ$1004,1,MATCH(COLUMNS($AO$1006:BB1006),$AO$1006:$BQ$1006,0)))),"Fix")))</f>
        <v>#N/A</v>
      </c>
      <c r="P455" s="5" t="e">
        <f ca="1">IF(OR(INDEX($AI$2:$AI$1001,MATCH(ROWS($AH$2:AH455),$AH$2:$AH$1001,0),1)&gt;=100000,INDEX($AO$1005:$BQ$1005,1,MATCH(COLUMNS($AO$1006:BC1006),$AO$1006:$BQ$1006,0))&gt;=100000), " ",IF(INDEX($AO$2:$BQ$1001,MATCH(ROWS($AH$2:AH455),$AH$2:$AH$1001,0),MATCH(COLUMNS($AO$1006:BC1006),$AO$1006:$BQ$1006,0)), HYPERLINK("#",""), HYPERLINK(CONCATENATE("#Metadata!", ADDRESS(INDEX($AJ$2:$AJ$1001,MATCH(ROWS($AH$2:AH455),$AH$2:$AH$1001,0),0), INDEX($AO$1004:$BQ$1004,1,MATCH(COLUMNS($AO$1006:BC1006),$AO$1006:$BQ$1006,0)))),"Fix")))</f>
        <v>#N/A</v>
      </c>
      <c r="Q455" s="5" t="e">
        <f ca="1">IF(OR(INDEX($AI$2:$AI$1001,MATCH(ROWS($AH$2:AH455),$AH$2:$AH$1001,0),1)&gt;=100000,INDEX($AO$1005:$BQ$1005,1,MATCH(COLUMNS($AO$1006:BD1006),$AO$1006:$BQ$1006,0))&gt;=100000), " ",IF(INDEX($AO$2:$BQ$1001,MATCH(ROWS($AH$2:AH455),$AH$2:$AH$1001,0),MATCH(COLUMNS($AO$1006:BD1006),$AO$1006:$BQ$1006,0)), HYPERLINK("#",""), HYPERLINK(CONCATENATE("#Metadata!", ADDRESS(INDEX($AJ$2:$AJ$1001,MATCH(ROWS($AH$2:AH455),$AH$2:$AH$1001,0),0), INDEX($AO$1004:$BQ$1004,1,MATCH(COLUMNS($AO$1006:BD1006),$AO$1006:$BQ$1006,0)))),"Fix")))</f>
        <v>#N/A</v>
      </c>
      <c r="R455" s="5" t="e">
        <f ca="1">IF(OR(INDEX($AI$2:$AI$1001,MATCH(ROWS($AH$2:AH455),$AH$2:$AH$1001,0),1)&gt;=100000,INDEX($AO$1005:$BQ$1005,1,MATCH(COLUMNS($AO$1006:BE1006),$AO$1006:$BQ$1006,0))&gt;=100000), " ",IF(INDEX($AO$2:$BQ$1001,MATCH(ROWS($AH$2:AH455),$AH$2:$AH$1001,0),MATCH(COLUMNS($AO$1006:BE1006),$AO$1006:$BQ$1006,0)), HYPERLINK("#",""), HYPERLINK(CONCATENATE("#Metadata!", ADDRESS(INDEX($AJ$2:$AJ$1001,MATCH(ROWS($AH$2:AH455),$AH$2:$AH$1001,0),0), INDEX($AO$1004:$BQ$1004,1,MATCH(COLUMNS($AO$1006:BE1006),$AO$1006:$BQ$1006,0)))),"Fix")))</f>
        <v>#N/A</v>
      </c>
      <c r="S455" s="5" t="e">
        <f ca="1">IF(OR(INDEX($AI$2:$AI$1001,MATCH(ROWS($AH$2:AH455),$AH$2:$AH$1001,0),1)&gt;=100000,INDEX($AO$1005:$BQ$1005,1,MATCH(COLUMNS($AO$1006:BF1006),$AO$1006:$BQ$1006,0))&gt;=100000), " ",IF(INDEX($AO$2:$BQ$1001,MATCH(ROWS($AH$2:AH455),$AH$2:$AH$1001,0),MATCH(COLUMNS($AO$1006:BF1006),$AO$1006:$BQ$1006,0)), HYPERLINK("#",""), HYPERLINK(CONCATENATE("#Metadata!", ADDRESS(INDEX($AJ$2:$AJ$1001,MATCH(ROWS($AH$2:AH455),$AH$2:$AH$1001,0),0), INDEX($AO$1004:$BQ$1004,1,MATCH(COLUMNS($AO$1006:BF1006),$AO$1006:$BQ$1006,0)))),"Fix")))</f>
        <v>#N/A</v>
      </c>
      <c r="T455" s="5" t="e">
        <f ca="1">IF(OR(INDEX($AI$2:$AI$1001,MATCH(ROWS($AH$2:AH455),$AH$2:$AH$1001,0),1)&gt;=100000,INDEX($AO$1005:$BQ$1005,1,MATCH(COLUMNS($AO$1006:BG1006),$AO$1006:$BQ$1006,0))&gt;=100000), " ",IF(INDEX($AO$2:$BQ$1001,MATCH(ROWS($AH$2:AH455),$AH$2:$AH$1001,0),MATCH(COLUMNS($AO$1006:BG1006),$AO$1006:$BQ$1006,0)), HYPERLINK("#",""), HYPERLINK(CONCATENATE("#Metadata!", ADDRESS(INDEX($AJ$2:$AJ$1001,MATCH(ROWS($AH$2:AH455),$AH$2:$AH$1001,0),0), INDEX($AO$1004:$BQ$1004,1,MATCH(COLUMNS($AO$1006:BG1006),$AO$1006:$BQ$1006,0)))),"Fix")))</f>
        <v>#N/A</v>
      </c>
      <c r="U455" s="5" t="e">
        <f ca="1">IF(OR(INDEX($AI$2:$AI$1001,MATCH(ROWS($AH$2:AH455),$AH$2:$AH$1001,0),1)&gt;=100000,INDEX($AO$1005:$BQ$1005,1,MATCH(COLUMNS($AO$1006:BH1006),$AO$1006:$BQ$1006,0))&gt;=100000), " ",IF(INDEX($AO$2:$BQ$1001,MATCH(ROWS($AH$2:AH455),$AH$2:$AH$1001,0),MATCH(COLUMNS($AO$1006:BH1006),$AO$1006:$BQ$1006,0)), HYPERLINK("#",""), HYPERLINK(CONCATENATE("#Metadata!", ADDRESS(INDEX($AJ$2:$AJ$1001,MATCH(ROWS($AH$2:AH455),$AH$2:$AH$1001,0),0), INDEX($AO$1004:$BQ$1004,1,MATCH(COLUMNS($AO$1006:BH1006),$AO$1006:$BQ$1006,0)))),"Fix")))</f>
        <v>#N/A</v>
      </c>
      <c r="V455" s="5" t="e">
        <f ca="1">IF(OR(INDEX($AI$2:$AI$1001,MATCH(ROWS($AH$2:AH455),$AH$2:$AH$1001,0),1)&gt;=100000,INDEX($AO$1005:$BQ$1005,1,MATCH(COLUMNS($AO$1006:BI1006),$AO$1006:$BQ$1006,0))&gt;=100000), " ",IF(INDEX($AO$2:$BQ$1001,MATCH(ROWS($AH$2:AH455),$AH$2:$AH$1001,0),MATCH(COLUMNS($AO$1006:BI1006),$AO$1006:$BQ$1006,0)), HYPERLINK("#",""), HYPERLINK(CONCATENATE("#Metadata!", ADDRESS(INDEX($AJ$2:$AJ$1001,MATCH(ROWS($AH$2:AH455),$AH$2:$AH$1001,0),0), INDEX($AO$1004:$BQ$1004,1,MATCH(COLUMNS($AO$1006:BI1006),$AO$1006:$BQ$1006,0)))),"Fix")))</f>
        <v>#N/A</v>
      </c>
      <c r="W455" s="5" t="e">
        <f ca="1">IF(OR(INDEX($AI$2:$AI$1001,MATCH(ROWS($AH$2:AH455),$AH$2:$AH$1001,0),1)&gt;=100000,INDEX($AO$1005:$BQ$1005,1,MATCH(COLUMNS($AO$1006:BJ1006),$AO$1006:$BQ$1006,0))&gt;=100000), " ",IF(INDEX($AO$2:$BQ$1001,MATCH(ROWS($AH$2:AH455),$AH$2:$AH$1001,0),MATCH(COLUMNS($AO$1006:BJ1006),$AO$1006:$BQ$1006,0)), HYPERLINK("#",""), HYPERLINK(CONCATENATE("#Metadata!", ADDRESS(INDEX($AJ$2:$AJ$1001,MATCH(ROWS($AH$2:AH455),$AH$2:$AH$1001,0),0), INDEX($AO$1004:$BQ$1004,1,MATCH(COLUMNS($AO$1006:BJ1006),$AO$1006:$BQ$1006,0)))),"Fix")))</f>
        <v>#N/A</v>
      </c>
      <c r="X455" s="5" t="e">
        <f ca="1">IF(OR(INDEX($AI$2:$AI$1001,MATCH(ROWS($AH$2:AH455),$AH$2:$AH$1001,0),1)&gt;=100000,INDEX($AO$1005:$BQ$1005,1,MATCH(COLUMNS($AO$1006:BK1006),$AO$1006:$BQ$1006,0))&gt;=100000), " ",IF(INDEX($AO$2:$BQ$1001,MATCH(ROWS($AH$2:AH455),$AH$2:$AH$1001,0),MATCH(COLUMNS($AO$1006:BK1006),$AO$1006:$BQ$1006,0)), HYPERLINK("#",""), HYPERLINK(CONCATENATE("#Metadata!", ADDRESS(INDEX($AJ$2:$AJ$1001,MATCH(ROWS($AH$2:AH455),$AH$2:$AH$1001,0),0), INDEX($AO$1004:$BQ$1004,1,MATCH(COLUMNS($AO$1006:BK1006),$AO$1006:$BQ$1006,0)))),"Fix")))</f>
        <v>#N/A</v>
      </c>
      <c r="Y455" s="5" t="e">
        <f ca="1">IF(OR(INDEX($AI$2:$AI$1001,MATCH(ROWS($AH$2:AH455),$AH$2:$AH$1001,0),1)&gt;=100000,INDEX($AO$1005:$BQ$1005,1,MATCH(COLUMNS($AO$1006:BL1006),$AO$1006:$BQ$1006,0))&gt;=100000), " ",IF(INDEX($AO$2:$BQ$1001,MATCH(ROWS($AH$2:AH455),$AH$2:$AH$1001,0),MATCH(COLUMNS($AO$1006:BL1006),$AO$1006:$BQ$1006,0)), HYPERLINK("#",""), HYPERLINK(CONCATENATE("#Metadata!", ADDRESS(INDEX($AJ$2:$AJ$1001,MATCH(ROWS($AH$2:AH455),$AH$2:$AH$1001,0),0), INDEX($AO$1004:$BQ$1004,1,MATCH(COLUMNS($AO$1006:BL1006),$AO$1006:$BQ$1006,0)))),"Fix")))</f>
        <v>#N/A</v>
      </c>
      <c r="Z455" s="5" t="e">
        <f ca="1">IF(OR(INDEX($AI$2:$AI$1001,MATCH(ROWS($AH$2:AH455),$AH$2:$AH$1001,0),1)&gt;=100000,INDEX($AO$1005:$BQ$1005,1,MATCH(COLUMNS($AO$1006:BM1006),$AO$1006:$BQ$1006,0))&gt;=100000), " ",IF(INDEX($AO$2:$BQ$1001,MATCH(ROWS($AH$2:AH455),$AH$2:$AH$1001,0),MATCH(COLUMNS($AO$1006:BM1006),$AO$1006:$BQ$1006,0)), HYPERLINK("#",""), HYPERLINK(CONCATENATE("#Metadata!", ADDRESS(INDEX($AJ$2:$AJ$1001,MATCH(ROWS($AH$2:AH455),$AH$2:$AH$1001,0),0), INDEX($AO$1004:$BQ$1004,1,MATCH(COLUMNS($AO$1006:BM1006),$AO$1006:$BQ$1006,0)))),"Fix")))</f>
        <v>#N/A</v>
      </c>
      <c r="AA455" s="5" t="e">
        <f ca="1">IF(OR(INDEX($AI$2:$AI$1001,MATCH(ROWS($AH$2:AH455),$AH$2:$AH$1001,0),1)&gt;=100000,INDEX($AO$1005:$BQ$1005,1,MATCH(COLUMNS($AO$1006:BN1006),$AO$1006:$BQ$1006,0))&gt;=100000), " ",IF(INDEX($AO$2:$BQ$1001,MATCH(ROWS($AH$2:AH455),$AH$2:$AH$1001,0),MATCH(COLUMNS($AO$1006:BN1006),$AO$1006:$BQ$1006,0)), HYPERLINK("#",""), HYPERLINK(CONCATENATE("#Metadata!", ADDRESS(INDEX($AJ$2:$AJ$1001,MATCH(ROWS($AH$2:AH455),$AH$2:$AH$1001,0),0), INDEX($AO$1004:$BQ$1004,1,MATCH(COLUMNS($AO$1006:BN1006),$AO$1006:$BQ$1006,0)))),"Fix")))</f>
        <v>#N/A</v>
      </c>
      <c r="AB455" s="5" t="e">
        <f ca="1">IF(OR(INDEX($AI$2:$AI$1001,MATCH(ROWS($AH$2:AH455),$AH$2:$AH$1001,0),1)&gt;=100000,INDEX($AO$1005:$BQ$1005,1,MATCH(COLUMNS($AO$1006:BO1006),$AO$1006:$BQ$1006,0))&gt;=100000), " ",IF(INDEX($AO$2:$BQ$1001,MATCH(ROWS($AH$2:AH455),$AH$2:$AH$1001,0),MATCH(COLUMNS($AO$1006:BO1006),$AO$1006:$BQ$1006,0)), HYPERLINK("#",""), HYPERLINK(CONCATENATE("#Metadata!", ADDRESS(INDEX($AJ$2:$AJ$1001,MATCH(ROWS($AH$2:AH455),$AH$2:$AH$1001,0),0), INDEX($AO$1004:$BQ$1004,1,MATCH(COLUMNS($AO$1006:BO1006),$AO$1006:$BQ$1006,0)))),"Fix")))</f>
        <v>#N/A</v>
      </c>
      <c r="AC455" s="5" t="e">
        <f ca="1">IF(OR(INDEX($AI$2:$AI$1001,MATCH(ROWS($AH$2:AH455),$AH$2:$AH$1001,0),1)&gt;=100000,INDEX($AO$1005:$BQ$1005,1,MATCH(COLUMNS($AO$1006:BP1006),$AO$1006:$BQ$1006,0))&gt;=100000), " ",IF(INDEX($AO$2:$BQ$1001,MATCH(ROWS($AH$2:AH455),$AH$2:$AH$1001,0),MATCH(COLUMNS($AO$1006:BP1006),$AO$1006:$BQ$1006,0)), HYPERLINK("#",""), HYPERLINK(CONCATENATE("#Metadata!", ADDRESS(INDEX($AJ$2:$AJ$1001,MATCH(ROWS($AH$2:AH455),$AH$2:$AH$1001,0),0), INDEX($AO$1004:$BQ$1004,1,MATCH(COLUMNS($AO$1006:BP1006),$AO$1006:$BQ$1006,0)))),"Fix")))</f>
        <v>#N/A</v>
      </c>
      <c r="AD455" s="5" t="e">
        <f ca="1">IF(OR(INDEX($AI$2:$AI$1001,MATCH(ROWS($AH$2:AH455),$AH$2:$AH$1001,0),1)&gt;=100000,INDEX($AO$1005:$BQ$1005,1,MATCH(COLUMNS($AO$1006:BQ1006),$AO$1006:$BQ$1006,0))&gt;=100000), " ",IF(INDEX($AO$2:$BQ$1001,MATCH(ROWS($AH$2:AH455),$AH$2:$AH$1001,0),MATCH(COLUMNS($AO$1006:BQ1006),$AO$1006:$BQ$1006,0)), HYPERLINK("#",""), HYPERLINK(CONCATENATE("#Metadata!", ADDRESS(INDEX($AJ$2:$AJ$1001,MATCH(ROWS($AH$2:AH455),$AH$2:$AH$1001,0),0), INDEX($AO$1004:$BQ$1004,1,MATCH(COLUMNS($AO$1006:BQ1006),$AO$1006:$BQ$1006,0)))),"Fix")))</f>
        <v>#REF!</v>
      </c>
      <c r="AH455">
        <f ca="1"/>
        <v>452</v>
      </c>
      <c r="AI455">
        <v>100455</v>
      </c>
      <c r="AJ455">
        <v>455</v>
      </c>
      <c r="AK455" t="b">
        <f t="shared" si="7"/>
        <v>1</v>
      </c>
      <c r="AL455" t="b">
        <f>COUNTBLANK(Metadata!B455:AD455)=COLUMNS(Metadata!B455:AD455)</f>
        <v>1</v>
      </c>
      <c r="AM455" t="str">
        <v/>
      </c>
      <c r="AO455" t="b">
        <f ca="1">AND(IF(Metadata!B455="",FALSE,TRUE),COUNTIF(Metadata!B:B, Metadata!B455) = 1,NOT(ISERROR(SUMPRODUCT(SEARCH(MID(Metadata!B455,ROW(INDIRECT("1:"&amp;LEN(Metadata!B455))), 1),"0123456789abcdefghijklmnopqrstuvwxyzABCDEFGHIJKLMNOPQRSTUVWXYZ.")))))</f>
        <v>0</v>
      </c>
      <c r="AP455" t="b">
        <f>IF(Metadata!C455="",FALSE,TRUE)</f>
        <v>0</v>
      </c>
      <c r="AQ455" t="b">
        <f>IF(Metadata!D455="",FALSE,TRUE)</f>
        <v>0</v>
      </c>
      <c r="AR455" t="b">
        <f ca="1">OR(AND(IF(Metadata!E455="",FALSE,TRUE),OR(EXACT(Metadata!E455,"not collected"),EXACT(Metadata!E455,"not provided"),EXACT(Metadata!E455,"restricted access"))),AND(IF(Metadata!E455="",FALSE,TRUE),AND(AND(IFERROR(INT(LEFT(Metadata!E455,4))&gt;1900,FALSE),IFERROR(INT(LEFT(Metadata!E455,4))&lt;=YEAR(NOW()),FALSE)), OR(MID(Metadata!E455,5,1)="", AND(AND(MID(Metadata!E455,5,1)="-",IFERROR(INT(MID(Metadata!E455,6,1))&gt;=0,FALSE),IFERROR(INT(MID(Metadata!E455,6,1))&lt;=1,FALSE),NOT(MID(Metadata!E455,7,1)=""),IFERROR(INT(MID(Metadata!E455,6,2))&gt;=1,FALSE),IFERROR(INT(MID(Metadata!E455,6,2))&lt;=12,FALSE)), OR(MID(Metadata!E455,8,1)="", AND(AND(MID(Metadata!E455,8,1)="-",IFERROR(INT(MID(Metadata!E455,9,1))&gt;=0,FALSE),IFERROR(INT(MID(Metadata!E455,9,1))&lt;=3,FALSE),NOT(MID(Metadata!E455,10,1)=""),IFERROR(INT(MID(Metadata!E455,9,2))&gt;=1,FALSE),IFERROR(INT(MID(Metadata!E455,9,2))&lt;=31,FALSE)), OR(MID(Metadata!E455,11,1)="", AND(AND(MID(Metadata!E455,11,1)=" ",IFERROR(INT(MID(Metadata!E455,12,1))&gt;=0,FALSE),IFERROR(INT(MID(Metadata!E455,12,1))&lt;=2,FALSE),NOT(MID(Metadata!E455,13,1)=""),IFERROR(INT(MID(Metadata!E455,12,2))&gt;=0,FALSE),IFERROR(INT(MID(Metadata!E455,12,2))&lt;=23,FALSE)), OR(MID(Metadata!E455,14,1)="", AND(AND(MID(Metadata!E455,14,1)=":",IFERROR(INT(MID(Metadata!E455,15,1))&gt;=0,FALSE),IFERROR(INT(MID(Metadata!E455,15,1))&lt;=5,FALSE),NOT(MID(Metadata!E455,16,1)=""),IFERROR(INT(MID(Metadata!E455,15,2))&gt;=0,FALSE),IFERROR(INT(MID(Metadata!E455,15,2))&lt;=59,FALSE)), OR(MID(Metadata!E455,17,1)="", AND(AND(MID(Metadata!E455,17,1)=":",IFERROR(INT(MID(Metadata!E455,18,1))&gt;=0,FALSE),IFERROR(INT(MID(Metadata!E455,18,1))&lt;=5,FALSE),NOT(MID(Metadata!E455,19,1)=""),IFERROR(INT(MID(Metadata!E455,18,2))&gt;=0,FALSE),IFERROR(INT(MID(Metadata!E455,18,2))&lt;=59,FALSE)), LEN(Metadata!E455)&lt;=19)))))))))))))</f>
        <v>0</v>
      </c>
      <c r="AS455" t="b">
        <f>IF(Metadata!F455="",FALSE,TRUE)</f>
        <v>0</v>
      </c>
      <c r="AT455" t="b">
        <f>OR(AND(IF(Metadata!G455="",FALSE,TRUE),OR(EXACT(Metadata!G455,"not collected"),EXACT(Metadata!G455,"not provided"))),AND(IF(Metadata!G455="",FALSE,TRUE),OR(EXACT(Metadata!G455,"TRUE"),EXACT(Metadata!G455,"FALSE"))))</f>
        <v>0</v>
      </c>
      <c r="AU455" t="b">
        <f>OR(AND(IF(Metadata!H455="",FALSE,TRUE),OR(EXACT(Metadata!H455,"not collected"),EXACT(Metadata!H455,"not provided"),EXACT(Metadata!H455,"restricted access"))),AND(IF(Metadata!H455="",FALSE,ISNUMBER(VALUE(Metadata!H455))),Metadata!H455&gt;=-413))</f>
        <v>0</v>
      </c>
      <c r="AV455" t="b">
        <f>AND(IF(Metadata!I455="",FALSE,TRUE),EXACT(Metadata!I455,"meters"))</f>
        <v>0</v>
      </c>
      <c r="AW455" t="b">
        <f>AND(IF(Metadata!J455="",FALSE,TRUE),EXACT(Metadata!J455,"free-living"))</f>
        <v>0</v>
      </c>
      <c r="AX455" t="b">
        <f>AND(IF(Metadata!K455="",FALSE,TRUE),OR(EXACT(Metadata!K455,"saline"),EXACT(Metadata!K455,"non-saline")))</f>
        <v>0</v>
      </c>
      <c r="AY455" t="b">
        <f>AND(IF(Metadata!L455="",FALSE,TRUE),OR(EXACT(Metadata!L455,"sub-surface (non-saline)"),EXACT(Metadata!L455,"surface (non-saline)"),EXACT(Metadata!L455,"water (non-saline)"),EXACT(Metadata!L455,"soil (non-saline)"),EXACT(Metadata!L455,"aerosol (non-saline)"),EXACT(Metadata!L455,"sediment (non-saline)"),EXACT(Metadata!L455,"surface (saline)"),EXACT(Metadata!L455,"water (saline)"),EXACT(Metadata!L455,"hypersaline (saline)"),EXACT(Metadata!L455,"aerosol (saline)"),EXACT(Metadata!L455,"sediment (saline)")))</f>
        <v>0</v>
      </c>
      <c r="AZ455" t="b">
        <f>IF(Metadata!M455="",FALSE,TRUE)</f>
        <v>0</v>
      </c>
      <c r="BA455" t="b">
        <f>IF(Metadata!N455="",FALSE,TRUE)</f>
        <v>0</v>
      </c>
      <c r="BB455" t="b">
        <f>IF(Metadata!O455="",FALSE,TRUE)</f>
        <v>0</v>
      </c>
      <c r="BC455" t="b">
        <f>AND(IF(Metadata!P455="",FALSE,TRUE),OR(EXACT(Metadata!P455,"air"),EXACT(Metadata!P455,"microbial mat/biofilm"),EXACT(Metadata!P455,"misc environment"),EXACT(Metadata!P455,"sediment"),EXACT(Metadata!P455,"soil"),EXACT(Metadata!P455,"wastewater/sludge"),EXACT(Metadata!P455,"water")))</f>
        <v>0</v>
      </c>
      <c r="BD455" t="b">
        <f>IF(Metadata!Q455="",FALSE,TRUE)</f>
        <v>0</v>
      </c>
      <c r="BE455" t="b">
        <f>IF(Metadata!R455="",FALSE,TRUE)</f>
        <v>0</v>
      </c>
      <c r="BF455" t="b">
        <f>OR(AND(IF(Metadata!S455="",FALSE,TRUE),OR(EXACT(Metadata!S455,"not collected"),EXACT(Metadata!S455,"not provided"),EXACT(Metadata!S455,"restricted access"))),AND(IF(Metadata!S455="",FALSE,ISNUMBER(VALUE(Metadata!S455))),Metadata!S455&gt;=-90,Metadata!S455&lt;=90))</f>
        <v>0</v>
      </c>
      <c r="BG455" t="b">
        <f>AND(IF(Metadata!T455="",FALSE,TRUE),EXACT(Metadata!T455,"Decimal degrees"))</f>
        <v>0</v>
      </c>
      <c r="BH455" t="b">
        <f>OR(AND(IF(Metadata!U455="",FALSE,TRUE),OR(EXACT(Metadata!U455,"not applicable"),EXACT(Metadata!U455,"not collected"))),IF(Metadata!U455="",FALSE,TRUE))</f>
        <v>0</v>
      </c>
      <c r="BI455" t="b">
        <f>OR(AND(IF(Metadata!V455="",FALSE,TRUE),OR(EXACT(Metadata!V455,"not collected"),EXACT(Metadata!V455,"not provided"),EXACT(Metadata!V455,"restricted access"))),AND(IF(Metadata!V455="",FALSE,ISNUMBER(VALUE(Metadata!V455))),Metadata!V455&gt;=-180,Metadata!V455&lt;=180))</f>
        <v>0</v>
      </c>
      <c r="BJ455" t="b">
        <f>AND(IF(Metadata!W455="",FALSE,TRUE),EXACT(Metadata!W455,"Decimal degrees"))</f>
        <v>0</v>
      </c>
      <c r="BK455" t="b">
        <f>IF(Metadata!X455="",FALSE,TRUE)</f>
        <v>0</v>
      </c>
      <c r="BL455" t="b">
        <f>OR(AND(IF(Metadata!Y455="",FALSE,TRUE),OR(EXACT(Metadata!Y455,"not collected"),EXACT(Metadata!Y455,"not provided"),EXACT(Metadata!Y455,"restricted access"))),AND(IF(Metadata!Y455="",FALSE,TRUE),OR(EXACT(Metadata!Y455,"TRUE"),EXACT(Metadata!Y455,"FALSE"))))</f>
        <v>0</v>
      </c>
      <c r="BM455" t="b">
        <f>OR(AND(IF(Metadata!Z455="",FALSE,TRUE),EXACT(Metadata!Z455,"not applicable")),AND(IF(Metadata!Z455="",FALSE,TRUE),OR(EXACT(Metadata!Z455,"beer"),EXACT(Metadata!Z455,"cheese"),EXACT(Metadata!Z455,"fresh water"),EXACT(Metadata!Z455,"marine sediment"),EXACT(Metadata!Z455,"sea water"),EXACT(Metadata!Z455,"sediment"),EXACT(Metadata!Z455,"soil"),EXACT(Metadata!Z455,"waste water"))))</f>
        <v>0</v>
      </c>
      <c r="BN455" t="b">
        <f>AND(IF(Metadata!AA455="",FALSE,TRUE),EXACT(Metadata!AA455,"metagenome"))</f>
        <v>0</v>
      </c>
      <c r="BO455" t="b">
        <f>AND(IF(Metadata!AB455="",FALSE,TRUE),EXACT(Metadata!AB455,"256318"))</f>
        <v>0</v>
      </c>
      <c r="BP455" t="b">
        <f>IF(Metadata!AC455="",FALSE,TRUE)</f>
        <v>0</v>
      </c>
      <c r="BQ455" t="b">
        <f>IF(Metadata!AD455="",FALSE,TRUE)</f>
        <v>0</v>
      </c>
    </row>
    <row r="456" spans="1:69" x14ac:dyDescent="0.2">
      <c r="A456" s="4" t="e">
        <f ca="1">IF(B456=" "," ",HYPERLINK(CONCATENATE("#metadata!",ADDRESS(INDEX($AJ$2:$AJ$1001,MATCH(ROWS($AH$2:AH456),$AH$2:$AH$1001,0),0),2)),INDEX($AM$2:$AM$1001,MATCH(ROWS($AH$2:AH456),$AH$2:$AH$1001,0),0)))</f>
        <v>#N/A</v>
      </c>
      <c r="B456" s="5" t="e">
        <f ca="1">IF(OR(INDEX($AI$2:$AI$1001,MATCH(ROWS($AH$2:AH456),$AH$2:$AH$1001,0),1)&gt;=100000,INDEX($AO$1005:$BQ$1005,1,MATCH(COLUMNS($AO$1006:AO1006),$AO$1006:$BQ$1006,0))&gt;=100000), " ",IF(INDEX($AO$2:$BQ$1001,MATCH(ROWS($AH$2:AH456),$AH$2:$AH$1001,0),MATCH(COLUMNS($AO$1006:AO1006),$AO$1006:$BQ$1006,0)), HYPERLINK("#",""), HYPERLINK(CONCATENATE("#Metadata!", ADDRESS(INDEX($AJ$2:$AJ$1001,MATCH(ROWS($AH$2:AH456),$AH$2:$AH$1001,0),0), INDEX($AO$1004:$BQ$1004,1,MATCH(COLUMNS($AO$1006:AO1006),$AO$1006:$BQ$1006,0)))),"Fix")))</f>
        <v>#N/A</v>
      </c>
      <c r="C456" s="5" t="e">
        <f ca="1">IF(OR(INDEX($AI$2:$AI$1001,MATCH(ROWS($AH$2:AH456),$AH$2:$AH$1001,0),1)&gt;=100000,INDEX($AO$1005:$BQ$1005,1,MATCH(COLUMNS($AO$1006:AP1006),$AO$1006:$BQ$1006,0))&gt;=100000), " ",IF(INDEX($AO$2:$BQ$1001,MATCH(ROWS($AH$2:AH456),$AH$2:$AH$1001,0),MATCH(COLUMNS($AO$1006:AP1006),$AO$1006:$BQ$1006,0)), HYPERLINK("#",""), HYPERLINK(CONCATENATE("#Metadata!", ADDRESS(INDEX($AJ$2:$AJ$1001,MATCH(ROWS($AH$2:AH456),$AH$2:$AH$1001,0),0), INDEX($AO$1004:$BQ$1004,1,MATCH(COLUMNS($AO$1006:AP1006),$AO$1006:$BQ$1006,0)))),"Fix")))</f>
        <v>#N/A</v>
      </c>
      <c r="D456" s="5" t="e">
        <f ca="1">IF(OR(INDEX($AI$2:$AI$1001,MATCH(ROWS($AH$2:AH456),$AH$2:$AH$1001,0),1)&gt;=100000,INDEX($AO$1005:$BQ$1005,1,MATCH(COLUMNS($AO$1006:AQ1006),$AO$1006:$BQ$1006,0))&gt;=100000), " ",IF(INDEX($AO$2:$BQ$1001,MATCH(ROWS($AH$2:AH456),$AH$2:$AH$1001,0),MATCH(COLUMNS($AO$1006:AQ1006),$AO$1006:$BQ$1006,0)), HYPERLINK("#",""), HYPERLINK(CONCATENATE("#Metadata!", ADDRESS(INDEX($AJ$2:$AJ$1001,MATCH(ROWS($AH$2:AH456),$AH$2:$AH$1001,0),0), INDEX($AO$1004:$BQ$1004,1,MATCH(COLUMNS($AO$1006:AQ1006),$AO$1006:$BQ$1006,0)))),"Fix")))</f>
        <v>#N/A</v>
      </c>
      <c r="E456" s="5" t="e">
        <f ca="1">IF(OR(INDEX($AI$2:$AI$1001,MATCH(ROWS($AH$2:AH456),$AH$2:$AH$1001,0),1)&gt;=100000,INDEX($AO$1005:$BQ$1005,1,MATCH(COLUMNS($AO$1006:AR1006),$AO$1006:$BQ$1006,0))&gt;=100000), " ",IF(INDEX($AO$2:$BQ$1001,MATCH(ROWS($AH$2:AH456),$AH$2:$AH$1001,0),MATCH(COLUMNS($AO$1006:AR1006),$AO$1006:$BQ$1006,0)), HYPERLINK("#",""), HYPERLINK(CONCATENATE("#Metadata!", ADDRESS(INDEX($AJ$2:$AJ$1001,MATCH(ROWS($AH$2:AH456),$AH$2:$AH$1001,0),0), INDEX($AO$1004:$BQ$1004,1,MATCH(COLUMNS($AO$1006:AR1006),$AO$1006:$BQ$1006,0)))),"Fix")))</f>
        <v>#N/A</v>
      </c>
      <c r="F456" s="5" t="e">
        <f ca="1">IF(OR(INDEX($AI$2:$AI$1001,MATCH(ROWS($AH$2:AH456),$AH$2:$AH$1001,0),1)&gt;=100000,INDEX($AO$1005:$BQ$1005,1,MATCH(COLUMNS($AO$1006:AS1006),$AO$1006:$BQ$1006,0))&gt;=100000), " ",IF(INDEX($AO$2:$BQ$1001,MATCH(ROWS($AH$2:AH456),$AH$2:$AH$1001,0),MATCH(COLUMNS($AO$1006:AS1006),$AO$1006:$BQ$1006,0)), HYPERLINK("#",""), HYPERLINK(CONCATENATE("#Metadata!", ADDRESS(INDEX($AJ$2:$AJ$1001,MATCH(ROWS($AH$2:AH456),$AH$2:$AH$1001,0),0), INDEX($AO$1004:$BQ$1004,1,MATCH(COLUMNS($AO$1006:AS1006),$AO$1006:$BQ$1006,0)))),"Fix")))</f>
        <v>#N/A</v>
      </c>
      <c r="G456" s="5" t="e">
        <f ca="1">IF(OR(INDEX($AI$2:$AI$1001,MATCH(ROWS($AH$2:AH456),$AH$2:$AH$1001,0),1)&gt;=100000,INDEX($AO$1005:$BQ$1005,1,MATCH(COLUMNS($AO$1006:AT1006),$AO$1006:$BQ$1006,0))&gt;=100000), " ",IF(INDEX($AO$2:$BQ$1001,MATCH(ROWS($AH$2:AH456),$AH$2:$AH$1001,0),MATCH(COLUMNS($AO$1006:AT1006),$AO$1006:$BQ$1006,0)), HYPERLINK("#",""), HYPERLINK(CONCATENATE("#Metadata!", ADDRESS(INDEX($AJ$2:$AJ$1001,MATCH(ROWS($AH$2:AH456),$AH$2:$AH$1001,0),0), INDEX($AO$1004:$BQ$1004,1,MATCH(COLUMNS($AO$1006:AT1006),$AO$1006:$BQ$1006,0)))),"Fix")))</f>
        <v>#N/A</v>
      </c>
      <c r="H456" s="5" t="e">
        <f ca="1">IF(OR(INDEX($AI$2:$AI$1001,MATCH(ROWS($AH$2:AH456),$AH$2:$AH$1001,0),1)&gt;=100000,INDEX($AO$1005:$BQ$1005,1,MATCH(COLUMNS($AO$1006:AU1006),$AO$1006:$BQ$1006,0))&gt;=100000), " ",IF(INDEX($AO$2:$BQ$1001,MATCH(ROWS($AH$2:AH456),$AH$2:$AH$1001,0),MATCH(COLUMNS($AO$1006:AU1006),$AO$1006:$BQ$1006,0)), HYPERLINK("#",""), HYPERLINK(CONCATENATE("#Metadata!", ADDRESS(INDEX($AJ$2:$AJ$1001,MATCH(ROWS($AH$2:AH456),$AH$2:$AH$1001,0),0), INDEX($AO$1004:$BQ$1004,1,MATCH(COLUMNS($AO$1006:AU1006),$AO$1006:$BQ$1006,0)))),"Fix")))</f>
        <v>#N/A</v>
      </c>
      <c r="I456" s="5" t="e">
        <f ca="1">IF(OR(INDEX($AI$2:$AI$1001,MATCH(ROWS($AH$2:AH456),$AH$2:$AH$1001,0),1)&gt;=100000,INDEX($AO$1005:$BQ$1005,1,MATCH(COLUMNS($AO$1006:AV1006),$AO$1006:$BQ$1006,0))&gt;=100000), " ",IF(INDEX($AO$2:$BQ$1001,MATCH(ROWS($AH$2:AH456),$AH$2:$AH$1001,0),MATCH(COLUMNS($AO$1006:AV1006),$AO$1006:$BQ$1006,0)), HYPERLINK("#",""), HYPERLINK(CONCATENATE("#Metadata!", ADDRESS(INDEX($AJ$2:$AJ$1001,MATCH(ROWS($AH$2:AH456),$AH$2:$AH$1001,0),0), INDEX($AO$1004:$BQ$1004,1,MATCH(COLUMNS($AO$1006:AV1006),$AO$1006:$BQ$1006,0)))),"Fix")))</f>
        <v>#N/A</v>
      </c>
      <c r="J456" s="5" t="e">
        <f ca="1">IF(OR(INDEX($AI$2:$AI$1001,MATCH(ROWS($AH$2:AH456),$AH$2:$AH$1001,0),1)&gt;=100000,INDEX($AO$1005:$BQ$1005,1,MATCH(COLUMNS($AO$1006:AW1006),$AO$1006:$BQ$1006,0))&gt;=100000), " ",IF(INDEX($AO$2:$BQ$1001,MATCH(ROWS($AH$2:AH456),$AH$2:$AH$1001,0),MATCH(COLUMNS($AO$1006:AW1006),$AO$1006:$BQ$1006,0)), HYPERLINK("#",""), HYPERLINK(CONCATENATE("#Metadata!", ADDRESS(INDEX($AJ$2:$AJ$1001,MATCH(ROWS($AH$2:AH456),$AH$2:$AH$1001,0),0), INDEX($AO$1004:$BQ$1004,1,MATCH(COLUMNS($AO$1006:AW1006),$AO$1006:$BQ$1006,0)))),"Fix")))</f>
        <v>#N/A</v>
      </c>
      <c r="K456" s="5" t="e">
        <f ca="1">IF(OR(INDEX($AI$2:$AI$1001,MATCH(ROWS($AH$2:AH456),$AH$2:$AH$1001,0),1)&gt;=100000,INDEX($AO$1005:$BQ$1005,1,MATCH(COLUMNS($AO$1006:AX1006),$AO$1006:$BQ$1006,0))&gt;=100000), " ",IF(INDEX($AO$2:$BQ$1001,MATCH(ROWS($AH$2:AH456),$AH$2:$AH$1001,0),MATCH(COLUMNS($AO$1006:AX1006),$AO$1006:$BQ$1006,0)), HYPERLINK("#",""), HYPERLINK(CONCATENATE("#Metadata!", ADDRESS(INDEX($AJ$2:$AJ$1001,MATCH(ROWS($AH$2:AH456),$AH$2:$AH$1001,0),0), INDEX($AO$1004:$BQ$1004,1,MATCH(COLUMNS($AO$1006:AX1006),$AO$1006:$BQ$1006,0)))),"Fix")))</f>
        <v>#N/A</v>
      </c>
      <c r="L456" s="5" t="e">
        <f ca="1">IF(OR(INDEX($AI$2:$AI$1001,MATCH(ROWS($AH$2:AH456),$AH$2:$AH$1001,0),1)&gt;=100000,INDEX($AO$1005:$BQ$1005,1,MATCH(COLUMNS($AO$1006:AY1006),$AO$1006:$BQ$1006,0))&gt;=100000), " ",IF(INDEX($AO$2:$BQ$1001,MATCH(ROWS($AH$2:AH456),$AH$2:$AH$1001,0),MATCH(COLUMNS($AO$1006:AY1006),$AO$1006:$BQ$1006,0)), HYPERLINK("#",""), HYPERLINK(CONCATENATE("#Metadata!", ADDRESS(INDEX($AJ$2:$AJ$1001,MATCH(ROWS($AH$2:AH456),$AH$2:$AH$1001,0),0), INDEX($AO$1004:$BQ$1004,1,MATCH(COLUMNS($AO$1006:AY1006),$AO$1006:$BQ$1006,0)))),"Fix")))</f>
        <v>#N/A</v>
      </c>
      <c r="M456" s="5" t="e">
        <f ca="1">IF(OR(INDEX($AI$2:$AI$1001,MATCH(ROWS($AH$2:AH456),$AH$2:$AH$1001,0),1)&gt;=100000,INDEX($AO$1005:$BQ$1005,1,MATCH(COLUMNS($AO$1006:AZ1006),$AO$1006:$BQ$1006,0))&gt;=100000), " ",IF(INDEX($AO$2:$BQ$1001,MATCH(ROWS($AH$2:AH456),$AH$2:$AH$1001,0),MATCH(COLUMNS($AO$1006:AZ1006),$AO$1006:$BQ$1006,0)), HYPERLINK("#",""), HYPERLINK(CONCATENATE("#Metadata!", ADDRESS(INDEX($AJ$2:$AJ$1001,MATCH(ROWS($AH$2:AH456),$AH$2:$AH$1001,0),0), INDEX($AO$1004:$BQ$1004,1,MATCH(COLUMNS($AO$1006:AZ1006),$AO$1006:$BQ$1006,0)))),"Fix")))</f>
        <v>#N/A</v>
      </c>
      <c r="N456" s="5" t="e">
        <f ca="1">IF(OR(INDEX($AI$2:$AI$1001,MATCH(ROWS($AH$2:AH456),$AH$2:$AH$1001,0),1)&gt;=100000,INDEX($AO$1005:$BQ$1005,1,MATCH(COLUMNS($AO$1006:BA1006),$AO$1006:$BQ$1006,0))&gt;=100000), " ",IF(INDEX($AO$2:$BQ$1001,MATCH(ROWS($AH$2:AH456),$AH$2:$AH$1001,0),MATCH(COLUMNS($AO$1006:BA1006),$AO$1006:$BQ$1006,0)), HYPERLINK("#",""), HYPERLINK(CONCATENATE("#Metadata!", ADDRESS(INDEX($AJ$2:$AJ$1001,MATCH(ROWS($AH$2:AH456),$AH$2:$AH$1001,0),0), INDEX($AO$1004:$BQ$1004,1,MATCH(COLUMNS($AO$1006:BA1006),$AO$1006:$BQ$1006,0)))),"Fix")))</f>
        <v>#N/A</v>
      </c>
      <c r="O456" s="5" t="e">
        <f ca="1">IF(OR(INDEX($AI$2:$AI$1001,MATCH(ROWS($AH$2:AH456),$AH$2:$AH$1001,0),1)&gt;=100000,INDEX($AO$1005:$BQ$1005,1,MATCH(COLUMNS($AO$1006:BB1006),$AO$1006:$BQ$1006,0))&gt;=100000), " ",IF(INDEX($AO$2:$BQ$1001,MATCH(ROWS($AH$2:AH456),$AH$2:$AH$1001,0),MATCH(COLUMNS($AO$1006:BB1006),$AO$1006:$BQ$1006,0)), HYPERLINK("#",""), HYPERLINK(CONCATENATE("#Metadata!", ADDRESS(INDEX($AJ$2:$AJ$1001,MATCH(ROWS($AH$2:AH456),$AH$2:$AH$1001,0),0), INDEX($AO$1004:$BQ$1004,1,MATCH(COLUMNS($AO$1006:BB1006),$AO$1006:$BQ$1006,0)))),"Fix")))</f>
        <v>#N/A</v>
      </c>
      <c r="P456" s="5" t="e">
        <f ca="1">IF(OR(INDEX($AI$2:$AI$1001,MATCH(ROWS($AH$2:AH456),$AH$2:$AH$1001,0),1)&gt;=100000,INDEX($AO$1005:$BQ$1005,1,MATCH(COLUMNS($AO$1006:BC1006),$AO$1006:$BQ$1006,0))&gt;=100000), " ",IF(INDEX($AO$2:$BQ$1001,MATCH(ROWS($AH$2:AH456),$AH$2:$AH$1001,0),MATCH(COLUMNS($AO$1006:BC1006),$AO$1006:$BQ$1006,0)), HYPERLINK("#",""), HYPERLINK(CONCATENATE("#Metadata!", ADDRESS(INDEX($AJ$2:$AJ$1001,MATCH(ROWS($AH$2:AH456),$AH$2:$AH$1001,0),0), INDEX($AO$1004:$BQ$1004,1,MATCH(COLUMNS($AO$1006:BC1006),$AO$1006:$BQ$1006,0)))),"Fix")))</f>
        <v>#N/A</v>
      </c>
      <c r="Q456" s="5" t="e">
        <f ca="1">IF(OR(INDEX($AI$2:$AI$1001,MATCH(ROWS($AH$2:AH456),$AH$2:$AH$1001,0),1)&gt;=100000,INDEX($AO$1005:$BQ$1005,1,MATCH(COLUMNS($AO$1006:BD1006),$AO$1006:$BQ$1006,0))&gt;=100000), " ",IF(INDEX($AO$2:$BQ$1001,MATCH(ROWS($AH$2:AH456),$AH$2:$AH$1001,0),MATCH(COLUMNS($AO$1006:BD1006),$AO$1006:$BQ$1006,0)), HYPERLINK("#",""), HYPERLINK(CONCATENATE("#Metadata!", ADDRESS(INDEX($AJ$2:$AJ$1001,MATCH(ROWS($AH$2:AH456),$AH$2:$AH$1001,0),0), INDEX($AO$1004:$BQ$1004,1,MATCH(COLUMNS($AO$1006:BD1006),$AO$1006:$BQ$1006,0)))),"Fix")))</f>
        <v>#N/A</v>
      </c>
      <c r="R456" s="5" t="e">
        <f ca="1">IF(OR(INDEX($AI$2:$AI$1001,MATCH(ROWS($AH$2:AH456),$AH$2:$AH$1001,0),1)&gt;=100000,INDEX($AO$1005:$BQ$1005,1,MATCH(COLUMNS($AO$1006:BE1006),$AO$1006:$BQ$1006,0))&gt;=100000), " ",IF(INDEX($AO$2:$BQ$1001,MATCH(ROWS($AH$2:AH456),$AH$2:$AH$1001,0),MATCH(COLUMNS($AO$1006:BE1006),$AO$1006:$BQ$1006,0)), HYPERLINK("#",""), HYPERLINK(CONCATENATE("#Metadata!", ADDRESS(INDEX($AJ$2:$AJ$1001,MATCH(ROWS($AH$2:AH456),$AH$2:$AH$1001,0),0), INDEX($AO$1004:$BQ$1004,1,MATCH(COLUMNS($AO$1006:BE1006),$AO$1006:$BQ$1006,0)))),"Fix")))</f>
        <v>#N/A</v>
      </c>
      <c r="S456" s="5" t="e">
        <f ca="1">IF(OR(INDEX($AI$2:$AI$1001,MATCH(ROWS($AH$2:AH456),$AH$2:$AH$1001,0),1)&gt;=100000,INDEX($AO$1005:$BQ$1005,1,MATCH(COLUMNS($AO$1006:BF1006),$AO$1006:$BQ$1006,0))&gt;=100000), " ",IF(INDEX($AO$2:$BQ$1001,MATCH(ROWS($AH$2:AH456),$AH$2:$AH$1001,0),MATCH(COLUMNS($AO$1006:BF1006),$AO$1006:$BQ$1006,0)), HYPERLINK("#",""), HYPERLINK(CONCATENATE("#Metadata!", ADDRESS(INDEX($AJ$2:$AJ$1001,MATCH(ROWS($AH$2:AH456),$AH$2:$AH$1001,0),0), INDEX($AO$1004:$BQ$1004,1,MATCH(COLUMNS($AO$1006:BF1006),$AO$1006:$BQ$1006,0)))),"Fix")))</f>
        <v>#N/A</v>
      </c>
      <c r="T456" s="5" t="e">
        <f ca="1">IF(OR(INDEX($AI$2:$AI$1001,MATCH(ROWS($AH$2:AH456),$AH$2:$AH$1001,0),1)&gt;=100000,INDEX($AO$1005:$BQ$1005,1,MATCH(COLUMNS($AO$1006:BG1006),$AO$1006:$BQ$1006,0))&gt;=100000), " ",IF(INDEX($AO$2:$BQ$1001,MATCH(ROWS($AH$2:AH456),$AH$2:$AH$1001,0),MATCH(COLUMNS($AO$1006:BG1006),$AO$1006:$BQ$1006,0)), HYPERLINK("#",""), HYPERLINK(CONCATENATE("#Metadata!", ADDRESS(INDEX($AJ$2:$AJ$1001,MATCH(ROWS($AH$2:AH456),$AH$2:$AH$1001,0),0), INDEX($AO$1004:$BQ$1004,1,MATCH(COLUMNS($AO$1006:BG1006),$AO$1006:$BQ$1006,0)))),"Fix")))</f>
        <v>#N/A</v>
      </c>
      <c r="U456" s="5" t="e">
        <f ca="1">IF(OR(INDEX($AI$2:$AI$1001,MATCH(ROWS($AH$2:AH456),$AH$2:$AH$1001,0),1)&gt;=100000,INDEX($AO$1005:$BQ$1005,1,MATCH(COLUMNS($AO$1006:BH1006),$AO$1006:$BQ$1006,0))&gt;=100000), " ",IF(INDEX($AO$2:$BQ$1001,MATCH(ROWS($AH$2:AH456),$AH$2:$AH$1001,0),MATCH(COLUMNS($AO$1006:BH1006),$AO$1006:$BQ$1006,0)), HYPERLINK("#",""), HYPERLINK(CONCATENATE("#Metadata!", ADDRESS(INDEX($AJ$2:$AJ$1001,MATCH(ROWS($AH$2:AH456),$AH$2:$AH$1001,0),0), INDEX($AO$1004:$BQ$1004,1,MATCH(COLUMNS($AO$1006:BH1006),$AO$1006:$BQ$1006,0)))),"Fix")))</f>
        <v>#N/A</v>
      </c>
      <c r="V456" s="5" t="e">
        <f ca="1">IF(OR(INDEX($AI$2:$AI$1001,MATCH(ROWS($AH$2:AH456),$AH$2:$AH$1001,0),1)&gt;=100000,INDEX($AO$1005:$BQ$1005,1,MATCH(COLUMNS($AO$1006:BI1006),$AO$1006:$BQ$1006,0))&gt;=100000), " ",IF(INDEX($AO$2:$BQ$1001,MATCH(ROWS($AH$2:AH456),$AH$2:$AH$1001,0),MATCH(COLUMNS($AO$1006:BI1006),$AO$1006:$BQ$1006,0)), HYPERLINK("#",""), HYPERLINK(CONCATENATE("#Metadata!", ADDRESS(INDEX($AJ$2:$AJ$1001,MATCH(ROWS($AH$2:AH456),$AH$2:$AH$1001,0),0), INDEX($AO$1004:$BQ$1004,1,MATCH(COLUMNS($AO$1006:BI1006),$AO$1006:$BQ$1006,0)))),"Fix")))</f>
        <v>#N/A</v>
      </c>
      <c r="W456" s="5" t="e">
        <f ca="1">IF(OR(INDEX($AI$2:$AI$1001,MATCH(ROWS($AH$2:AH456),$AH$2:$AH$1001,0),1)&gt;=100000,INDEX($AO$1005:$BQ$1005,1,MATCH(COLUMNS($AO$1006:BJ1006),$AO$1006:$BQ$1006,0))&gt;=100000), " ",IF(INDEX($AO$2:$BQ$1001,MATCH(ROWS($AH$2:AH456),$AH$2:$AH$1001,0),MATCH(COLUMNS($AO$1006:BJ1006),$AO$1006:$BQ$1006,0)), HYPERLINK("#",""), HYPERLINK(CONCATENATE("#Metadata!", ADDRESS(INDEX($AJ$2:$AJ$1001,MATCH(ROWS($AH$2:AH456),$AH$2:$AH$1001,0),0), INDEX($AO$1004:$BQ$1004,1,MATCH(COLUMNS($AO$1006:BJ1006),$AO$1006:$BQ$1006,0)))),"Fix")))</f>
        <v>#N/A</v>
      </c>
      <c r="X456" s="5" t="e">
        <f ca="1">IF(OR(INDEX($AI$2:$AI$1001,MATCH(ROWS($AH$2:AH456),$AH$2:$AH$1001,0),1)&gt;=100000,INDEX($AO$1005:$BQ$1005,1,MATCH(COLUMNS($AO$1006:BK1006),$AO$1006:$BQ$1006,0))&gt;=100000), " ",IF(INDEX($AO$2:$BQ$1001,MATCH(ROWS($AH$2:AH456),$AH$2:$AH$1001,0),MATCH(COLUMNS($AO$1006:BK1006),$AO$1006:$BQ$1006,0)), HYPERLINK("#",""), HYPERLINK(CONCATENATE("#Metadata!", ADDRESS(INDEX($AJ$2:$AJ$1001,MATCH(ROWS($AH$2:AH456),$AH$2:$AH$1001,0),0), INDEX($AO$1004:$BQ$1004,1,MATCH(COLUMNS($AO$1006:BK1006),$AO$1006:$BQ$1006,0)))),"Fix")))</f>
        <v>#N/A</v>
      </c>
      <c r="Y456" s="5" t="e">
        <f ca="1">IF(OR(INDEX($AI$2:$AI$1001,MATCH(ROWS($AH$2:AH456),$AH$2:$AH$1001,0),1)&gt;=100000,INDEX($AO$1005:$BQ$1005,1,MATCH(COLUMNS($AO$1006:BL1006),$AO$1006:$BQ$1006,0))&gt;=100000), " ",IF(INDEX($AO$2:$BQ$1001,MATCH(ROWS($AH$2:AH456),$AH$2:$AH$1001,0),MATCH(COLUMNS($AO$1006:BL1006),$AO$1006:$BQ$1006,0)), HYPERLINK("#",""), HYPERLINK(CONCATENATE("#Metadata!", ADDRESS(INDEX($AJ$2:$AJ$1001,MATCH(ROWS($AH$2:AH456),$AH$2:$AH$1001,0),0), INDEX($AO$1004:$BQ$1004,1,MATCH(COLUMNS($AO$1006:BL1006),$AO$1006:$BQ$1006,0)))),"Fix")))</f>
        <v>#N/A</v>
      </c>
      <c r="Z456" s="5" t="e">
        <f ca="1">IF(OR(INDEX($AI$2:$AI$1001,MATCH(ROWS($AH$2:AH456),$AH$2:$AH$1001,0),1)&gt;=100000,INDEX($AO$1005:$BQ$1005,1,MATCH(COLUMNS($AO$1006:BM1006),$AO$1006:$BQ$1006,0))&gt;=100000), " ",IF(INDEX($AO$2:$BQ$1001,MATCH(ROWS($AH$2:AH456),$AH$2:$AH$1001,0),MATCH(COLUMNS($AO$1006:BM1006),$AO$1006:$BQ$1006,0)), HYPERLINK("#",""), HYPERLINK(CONCATENATE("#Metadata!", ADDRESS(INDEX($AJ$2:$AJ$1001,MATCH(ROWS($AH$2:AH456),$AH$2:$AH$1001,0),0), INDEX($AO$1004:$BQ$1004,1,MATCH(COLUMNS($AO$1006:BM1006),$AO$1006:$BQ$1006,0)))),"Fix")))</f>
        <v>#N/A</v>
      </c>
      <c r="AA456" s="5" t="e">
        <f ca="1">IF(OR(INDEX($AI$2:$AI$1001,MATCH(ROWS($AH$2:AH456),$AH$2:$AH$1001,0),1)&gt;=100000,INDEX($AO$1005:$BQ$1005,1,MATCH(COLUMNS($AO$1006:BN1006),$AO$1006:$BQ$1006,0))&gt;=100000), " ",IF(INDEX($AO$2:$BQ$1001,MATCH(ROWS($AH$2:AH456),$AH$2:$AH$1001,0),MATCH(COLUMNS($AO$1006:BN1006),$AO$1006:$BQ$1006,0)), HYPERLINK("#",""), HYPERLINK(CONCATENATE("#Metadata!", ADDRESS(INDEX($AJ$2:$AJ$1001,MATCH(ROWS($AH$2:AH456),$AH$2:$AH$1001,0),0), INDEX($AO$1004:$BQ$1004,1,MATCH(COLUMNS($AO$1006:BN1006),$AO$1006:$BQ$1006,0)))),"Fix")))</f>
        <v>#N/A</v>
      </c>
      <c r="AB456" s="5" t="e">
        <f ca="1">IF(OR(INDEX($AI$2:$AI$1001,MATCH(ROWS($AH$2:AH456),$AH$2:$AH$1001,0),1)&gt;=100000,INDEX($AO$1005:$BQ$1005,1,MATCH(COLUMNS($AO$1006:BO1006),$AO$1006:$BQ$1006,0))&gt;=100000), " ",IF(INDEX($AO$2:$BQ$1001,MATCH(ROWS($AH$2:AH456),$AH$2:$AH$1001,0),MATCH(COLUMNS($AO$1006:BO1006),$AO$1006:$BQ$1006,0)), HYPERLINK("#",""), HYPERLINK(CONCATENATE("#Metadata!", ADDRESS(INDEX($AJ$2:$AJ$1001,MATCH(ROWS($AH$2:AH456),$AH$2:$AH$1001,0),0), INDEX($AO$1004:$BQ$1004,1,MATCH(COLUMNS($AO$1006:BO1006),$AO$1006:$BQ$1006,0)))),"Fix")))</f>
        <v>#N/A</v>
      </c>
      <c r="AC456" s="5" t="e">
        <f ca="1">IF(OR(INDEX($AI$2:$AI$1001,MATCH(ROWS($AH$2:AH456),$AH$2:$AH$1001,0),1)&gt;=100000,INDEX($AO$1005:$BQ$1005,1,MATCH(COLUMNS($AO$1006:BP1006),$AO$1006:$BQ$1006,0))&gt;=100000), " ",IF(INDEX($AO$2:$BQ$1001,MATCH(ROWS($AH$2:AH456),$AH$2:$AH$1001,0),MATCH(COLUMNS($AO$1006:BP1006),$AO$1006:$BQ$1006,0)), HYPERLINK("#",""), HYPERLINK(CONCATENATE("#Metadata!", ADDRESS(INDEX($AJ$2:$AJ$1001,MATCH(ROWS($AH$2:AH456),$AH$2:$AH$1001,0),0), INDEX($AO$1004:$BQ$1004,1,MATCH(COLUMNS($AO$1006:BP1006),$AO$1006:$BQ$1006,0)))),"Fix")))</f>
        <v>#N/A</v>
      </c>
      <c r="AD456" s="5" t="e">
        <f ca="1">IF(OR(INDEX($AI$2:$AI$1001,MATCH(ROWS($AH$2:AH456),$AH$2:$AH$1001,0),1)&gt;=100000,INDEX($AO$1005:$BQ$1005,1,MATCH(COLUMNS($AO$1006:BQ1006),$AO$1006:$BQ$1006,0))&gt;=100000), " ",IF(INDEX($AO$2:$BQ$1001,MATCH(ROWS($AH$2:AH456),$AH$2:$AH$1001,0),MATCH(COLUMNS($AO$1006:BQ1006),$AO$1006:$BQ$1006,0)), HYPERLINK("#",""), HYPERLINK(CONCATENATE("#Metadata!", ADDRESS(INDEX($AJ$2:$AJ$1001,MATCH(ROWS($AH$2:AH456),$AH$2:$AH$1001,0),0), INDEX($AO$1004:$BQ$1004,1,MATCH(COLUMNS($AO$1006:BQ1006),$AO$1006:$BQ$1006,0)))),"Fix")))</f>
        <v>#REF!</v>
      </c>
      <c r="AH456">
        <f ca="1"/>
        <v>453</v>
      </c>
      <c r="AI456">
        <v>100456</v>
      </c>
      <c r="AJ456">
        <v>456</v>
      </c>
      <c r="AK456" t="b">
        <f t="shared" si="7"/>
        <v>1</v>
      </c>
      <c r="AL456" t="b">
        <f>COUNTBLANK(Metadata!B456:AD456)=COLUMNS(Metadata!B456:AD456)</f>
        <v>1</v>
      </c>
      <c r="AM456" t="str">
        <v/>
      </c>
      <c r="AO456" t="b">
        <f ca="1">AND(IF(Metadata!B456="",FALSE,TRUE),COUNTIF(Metadata!B:B, Metadata!B456) = 1,NOT(ISERROR(SUMPRODUCT(SEARCH(MID(Metadata!B456,ROW(INDIRECT("1:"&amp;LEN(Metadata!B456))), 1),"0123456789abcdefghijklmnopqrstuvwxyzABCDEFGHIJKLMNOPQRSTUVWXYZ.")))))</f>
        <v>0</v>
      </c>
      <c r="AP456" t="b">
        <f>IF(Metadata!C456="",FALSE,TRUE)</f>
        <v>0</v>
      </c>
      <c r="AQ456" t="b">
        <f>IF(Metadata!D456="",FALSE,TRUE)</f>
        <v>0</v>
      </c>
      <c r="AR456" t="b">
        <f ca="1">OR(AND(IF(Metadata!E456="",FALSE,TRUE),OR(EXACT(Metadata!E456,"not collected"),EXACT(Metadata!E456,"not provided"),EXACT(Metadata!E456,"restricted access"))),AND(IF(Metadata!E456="",FALSE,TRUE),AND(AND(IFERROR(INT(LEFT(Metadata!E456,4))&gt;1900,FALSE),IFERROR(INT(LEFT(Metadata!E456,4))&lt;=YEAR(NOW()),FALSE)), OR(MID(Metadata!E456,5,1)="", AND(AND(MID(Metadata!E456,5,1)="-",IFERROR(INT(MID(Metadata!E456,6,1))&gt;=0,FALSE),IFERROR(INT(MID(Metadata!E456,6,1))&lt;=1,FALSE),NOT(MID(Metadata!E456,7,1)=""),IFERROR(INT(MID(Metadata!E456,6,2))&gt;=1,FALSE),IFERROR(INT(MID(Metadata!E456,6,2))&lt;=12,FALSE)), OR(MID(Metadata!E456,8,1)="", AND(AND(MID(Metadata!E456,8,1)="-",IFERROR(INT(MID(Metadata!E456,9,1))&gt;=0,FALSE),IFERROR(INT(MID(Metadata!E456,9,1))&lt;=3,FALSE),NOT(MID(Metadata!E456,10,1)=""),IFERROR(INT(MID(Metadata!E456,9,2))&gt;=1,FALSE),IFERROR(INT(MID(Metadata!E456,9,2))&lt;=31,FALSE)), OR(MID(Metadata!E456,11,1)="", AND(AND(MID(Metadata!E456,11,1)=" ",IFERROR(INT(MID(Metadata!E456,12,1))&gt;=0,FALSE),IFERROR(INT(MID(Metadata!E456,12,1))&lt;=2,FALSE),NOT(MID(Metadata!E456,13,1)=""),IFERROR(INT(MID(Metadata!E456,12,2))&gt;=0,FALSE),IFERROR(INT(MID(Metadata!E456,12,2))&lt;=23,FALSE)), OR(MID(Metadata!E456,14,1)="", AND(AND(MID(Metadata!E456,14,1)=":",IFERROR(INT(MID(Metadata!E456,15,1))&gt;=0,FALSE),IFERROR(INT(MID(Metadata!E456,15,1))&lt;=5,FALSE),NOT(MID(Metadata!E456,16,1)=""),IFERROR(INT(MID(Metadata!E456,15,2))&gt;=0,FALSE),IFERROR(INT(MID(Metadata!E456,15,2))&lt;=59,FALSE)), OR(MID(Metadata!E456,17,1)="", AND(AND(MID(Metadata!E456,17,1)=":",IFERROR(INT(MID(Metadata!E456,18,1))&gt;=0,FALSE),IFERROR(INT(MID(Metadata!E456,18,1))&lt;=5,FALSE),NOT(MID(Metadata!E456,19,1)=""),IFERROR(INT(MID(Metadata!E456,18,2))&gt;=0,FALSE),IFERROR(INT(MID(Metadata!E456,18,2))&lt;=59,FALSE)), LEN(Metadata!E456)&lt;=19)))))))))))))</f>
        <v>0</v>
      </c>
      <c r="AS456" t="b">
        <f>IF(Metadata!F456="",FALSE,TRUE)</f>
        <v>0</v>
      </c>
      <c r="AT456" t="b">
        <f>OR(AND(IF(Metadata!G456="",FALSE,TRUE),OR(EXACT(Metadata!G456,"not collected"),EXACT(Metadata!G456,"not provided"))),AND(IF(Metadata!G456="",FALSE,TRUE),OR(EXACT(Metadata!G456,"TRUE"),EXACT(Metadata!G456,"FALSE"))))</f>
        <v>0</v>
      </c>
      <c r="AU456" t="b">
        <f>OR(AND(IF(Metadata!H456="",FALSE,TRUE),OR(EXACT(Metadata!H456,"not collected"),EXACT(Metadata!H456,"not provided"),EXACT(Metadata!H456,"restricted access"))),AND(IF(Metadata!H456="",FALSE,ISNUMBER(VALUE(Metadata!H456))),Metadata!H456&gt;=-413))</f>
        <v>0</v>
      </c>
      <c r="AV456" t="b">
        <f>AND(IF(Metadata!I456="",FALSE,TRUE),EXACT(Metadata!I456,"meters"))</f>
        <v>0</v>
      </c>
      <c r="AW456" t="b">
        <f>AND(IF(Metadata!J456="",FALSE,TRUE),EXACT(Metadata!J456,"free-living"))</f>
        <v>0</v>
      </c>
      <c r="AX456" t="b">
        <f>AND(IF(Metadata!K456="",FALSE,TRUE),OR(EXACT(Metadata!K456,"saline"),EXACT(Metadata!K456,"non-saline")))</f>
        <v>0</v>
      </c>
      <c r="AY456" t="b">
        <f>AND(IF(Metadata!L456="",FALSE,TRUE),OR(EXACT(Metadata!L456,"sub-surface (non-saline)"),EXACT(Metadata!L456,"surface (non-saline)"),EXACT(Metadata!L456,"water (non-saline)"),EXACT(Metadata!L456,"soil (non-saline)"),EXACT(Metadata!L456,"aerosol (non-saline)"),EXACT(Metadata!L456,"sediment (non-saline)"),EXACT(Metadata!L456,"surface (saline)"),EXACT(Metadata!L456,"water (saline)"),EXACT(Metadata!L456,"hypersaline (saline)"),EXACT(Metadata!L456,"aerosol (saline)"),EXACT(Metadata!L456,"sediment (saline)")))</f>
        <v>0</v>
      </c>
      <c r="AZ456" t="b">
        <f>IF(Metadata!M456="",FALSE,TRUE)</f>
        <v>0</v>
      </c>
      <c r="BA456" t="b">
        <f>IF(Metadata!N456="",FALSE,TRUE)</f>
        <v>0</v>
      </c>
      <c r="BB456" t="b">
        <f>IF(Metadata!O456="",FALSE,TRUE)</f>
        <v>0</v>
      </c>
      <c r="BC456" t="b">
        <f>AND(IF(Metadata!P456="",FALSE,TRUE),OR(EXACT(Metadata!P456,"air"),EXACT(Metadata!P456,"microbial mat/biofilm"),EXACT(Metadata!P456,"misc environment"),EXACT(Metadata!P456,"sediment"),EXACT(Metadata!P456,"soil"),EXACT(Metadata!P456,"wastewater/sludge"),EXACT(Metadata!P456,"water")))</f>
        <v>0</v>
      </c>
      <c r="BD456" t="b">
        <f>IF(Metadata!Q456="",FALSE,TRUE)</f>
        <v>0</v>
      </c>
      <c r="BE456" t="b">
        <f>IF(Metadata!R456="",FALSE,TRUE)</f>
        <v>0</v>
      </c>
      <c r="BF456" t="b">
        <f>OR(AND(IF(Metadata!S456="",FALSE,TRUE),OR(EXACT(Metadata!S456,"not collected"),EXACT(Metadata!S456,"not provided"),EXACT(Metadata!S456,"restricted access"))),AND(IF(Metadata!S456="",FALSE,ISNUMBER(VALUE(Metadata!S456))),Metadata!S456&gt;=-90,Metadata!S456&lt;=90))</f>
        <v>0</v>
      </c>
      <c r="BG456" t="b">
        <f>AND(IF(Metadata!T456="",FALSE,TRUE),EXACT(Metadata!T456,"Decimal degrees"))</f>
        <v>0</v>
      </c>
      <c r="BH456" t="b">
        <f>OR(AND(IF(Metadata!U456="",FALSE,TRUE),OR(EXACT(Metadata!U456,"not applicable"),EXACT(Metadata!U456,"not collected"))),IF(Metadata!U456="",FALSE,TRUE))</f>
        <v>0</v>
      </c>
      <c r="BI456" t="b">
        <f>OR(AND(IF(Metadata!V456="",FALSE,TRUE),OR(EXACT(Metadata!V456,"not collected"),EXACT(Metadata!V456,"not provided"),EXACT(Metadata!V456,"restricted access"))),AND(IF(Metadata!V456="",FALSE,ISNUMBER(VALUE(Metadata!V456))),Metadata!V456&gt;=-180,Metadata!V456&lt;=180))</f>
        <v>0</v>
      </c>
      <c r="BJ456" t="b">
        <f>AND(IF(Metadata!W456="",FALSE,TRUE),EXACT(Metadata!W456,"Decimal degrees"))</f>
        <v>0</v>
      </c>
      <c r="BK456" t="b">
        <f>IF(Metadata!X456="",FALSE,TRUE)</f>
        <v>0</v>
      </c>
      <c r="BL456" t="b">
        <f>OR(AND(IF(Metadata!Y456="",FALSE,TRUE),OR(EXACT(Metadata!Y456,"not collected"),EXACT(Metadata!Y456,"not provided"),EXACT(Metadata!Y456,"restricted access"))),AND(IF(Metadata!Y456="",FALSE,TRUE),OR(EXACT(Metadata!Y456,"TRUE"),EXACT(Metadata!Y456,"FALSE"))))</f>
        <v>0</v>
      </c>
      <c r="BM456" t="b">
        <f>OR(AND(IF(Metadata!Z456="",FALSE,TRUE),EXACT(Metadata!Z456,"not applicable")),AND(IF(Metadata!Z456="",FALSE,TRUE),OR(EXACT(Metadata!Z456,"beer"),EXACT(Metadata!Z456,"cheese"),EXACT(Metadata!Z456,"fresh water"),EXACT(Metadata!Z456,"marine sediment"),EXACT(Metadata!Z456,"sea water"),EXACT(Metadata!Z456,"sediment"),EXACT(Metadata!Z456,"soil"),EXACT(Metadata!Z456,"waste water"))))</f>
        <v>0</v>
      </c>
      <c r="BN456" t="b">
        <f>AND(IF(Metadata!AA456="",FALSE,TRUE),EXACT(Metadata!AA456,"metagenome"))</f>
        <v>0</v>
      </c>
      <c r="BO456" t="b">
        <f>AND(IF(Metadata!AB456="",FALSE,TRUE),EXACT(Metadata!AB456,"256318"))</f>
        <v>0</v>
      </c>
      <c r="BP456" t="b">
        <f>IF(Metadata!AC456="",FALSE,TRUE)</f>
        <v>0</v>
      </c>
      <c r="BQ456" t="b">
        <f>IF(Metadata!AD456="",FALSE,TRUE)</f>
        <v>0</v>
      </c>
    </row>
    <row r="457" spans="1:69" x14ac:dyDescent="0.2">
      <c r="A457" s="4" t="e">
        <f ca="1">IF(B457=" "," ",HYPERLINK(CONCATENATE("#metadata!",ADDRESS(INDEX($AJ$2:$AJ$1001,MATCH(ROWS($AH$2:AH457),$AH$2:$AH$1001,0),0),2)),INDEX($AM$2:$AM$1001,MATCH(ROWS($AH$2:AH457),$AH$2:$AH$1001,0),0)))</f>
        <v>#N/A</v>
      </c>
      <c r="B457" s="5" t="e">
        <f ca="1">IF(OR(INDEX($AI$2:$AI$1001,MATCH(ROWS($AH$2:AH457),$AH$2:$AH$1001,0),1)&gt;=100000,INDEX($AO$1005:$BQ$1005,1,MATCH(COLUMNS($AO$1006:AO1006),$AO$1006:$BQ$1006,0))&gt;=100000), " ",IF(INDEX($AO$2:$BQ$1001,MATCH(ROWS($AH$2:AH457),$AH$2:$AH$1001,0),MATCH(COLUMNS($AO$1006:AO1006),$AO$1006:$BQ$1006,0)), HYPERLINK("#",""), HYPERLINK(CONCATENATE("#Metadata!", ADDRESS(INDEX($AJ$2:$AJ$1001,MATCH(ROWS($AH$2:AH457),$AH$2:$AH$1001,0),0), INDEX($AO$1004:$BQ$1004,1,MATCH(COLUMNS($AO$1006:AO1006),$AO$1006:$BQ$1006,0)))),"Fix")))</f>
        <v>#N/A</v>
      </c>
      <c r="C457" s="5" t="e">
        <f ca="1">IF(OR(INDEX($AI$2:$AI$1001,MATCH(ROWS($AH$2:AH457),$AH$2:$AH$1001,0),1)&gt;=100000,INDEX($AO$1005:$BQ$1005,1,MATCH(COLUMNS($AO$1006:AP1006),$AO$1006:$BQ$1006,0))&gt;=100000), " ",IF(INDEX($AO$2:$BQ$1001,MATCH(ROWS($AH$2:AH457),$AH$2:$AH$1001,0),MATCH(COLUMNS($AO$1006:AP1006),$AO$1006:$BQ$1006,0)), HYPERLINK("#",""), HYPERLINK(CONCATENATE("#Metadata!", ADDRESS(INDEX($AJ$2:$AJ$1001,MATCH(ROWS($AH$2:AH457),$AH$2:$AH$1001,0),0), INDEX($AO$1004:$BQ$1004,1,MATCH(COLUMNS($AO$1006:AP1006),$AO$1006:$BQ$1006,0)))),"Fix")))</f>
        <v>#N/A</v>
      </c>
      <c r="D457" s="5" t="e">
        <f ca="1">IF(OR(INDEX($AI$2:$AI$1001,MATCH(ROWS($AH$2:AH457),$AH$2:$AH$1001,0),1)&gt;=100000,INDEX($AO$1005:$BQ$1005,1,MATCH(COLUMNS($AO$1006:AQ1006),$AO$1006:$BQ$1006,0))&gt;=100000), " ",IF(INDEX($AO$2:$BQ$1001,MATCH(ROWS($AH$2:AH457),$AH$2:$AH$1001,0),MATCH(COLUMNS($AO$1006:AQ1006),$AO$1006:$BQ$1006,0)), HYPERLINK("#",""), HYPERLINK(CONCATENATE("#Metadata!", ADDRESS(INDEX($AJ$2:$AJ$1001,MATCH(ROWS($AH$2:AH457),$AH$2:$AH$1001,0),0), INDEX($AO$1004:$BQ$1004,1,MATCH(COLUMNS($AO$1006:AQ1006),$AO$1006:$BQ$1006,0)))),"Fix")))</f>
        <v>#N/A</v>
      </c>
      <c r="E457" s="5" t="e">
        <f ca="1">IF(OR(INDEX($AI$2:$AI$1001,MATCH(ROWS($AH$2:AH457),$AH$2:$AH$1001,0),1)&gt;=100000,INDEX($AO$1005:$BQ$1005,1,MATCH(COLUMNS($AO$1006:AR1006),$AO$1006:$BQ$1006,0))&gt;=100000), " ",IF(INDEX($AO$2:$BQ$1001,MATCH(ROWS($AH$2:AH457),$AH$2:$AH$1001,0),MATCH(COLUMNS($AO$1006:AR1006),$AO$1006:$BQ$1006,0)), HYPERLINK("#",""), HYPERLINK(CONCATENATE("#Metadata!", ADDRESS(INDEX($AJ$2:$AJ$1001,MATCH(ROWS($AH$2:AH457),$AH$2:$AH$1001,0),0), INDEX($AO$1004:$BQ$1004,1,MATCH(COLUMNS($AO$1006:AR1006),$AO$1006:$BQ$1006,0)))),"Fix")))</f>
        <v>#N/A</v>
      </c>
      <c r="F457" s="5" t="e">
        <f ca="1">IF(OR(INDEX($AI$2:$AI$1001,MATCH(ROWS($AH$2:AH457),$AH$2:$AH$1001,0),1)&gt;=100000,INDEX($AO$1005:$BQ$1005,1,MATCH(COLUMNS($AO$1006:AS1006),$AO$1006:$BQ$1006,0))&gt;=100000), " ",IF(INDEX($AO$2:$BQ$1001,MATCH(ROWS($AH$2:AH457),$AH$2:$AH$1001,0),MATCH(COLUMNS($AO$1006:AS1006),$AO$1006:$BQ$1006,0)), HYPERLINK("#",""), HYPERLINK(CONCATENATE("#Metadata!", ADDRESS(INDEX($AJ$2:$AJ$1001,MATCH(ROWS($AH$2:AH457),$AH$2:$AH$1001,0),0), INDEX($AO$1004:$BQ$1004,1,MATCH(COLUMNS($AO$1006:AS1006),$AO$1006:$BQ$1006,0)))),"Fix")))</f>
        <v>#N/A</v>
      </c>
      <c r="G457" s="5" t="e">
        <f ca="1">IF(OR(INDEX($AI$2:$AI$1001,MATCH(ROWS($AH$2:AH457),$AH$2:$AH$1001,0),1)&gt;=100000,INDEX($AO$1005:$BQ$1005,1,MATCH(COLUMNS($AO$1006:AT1006),$AO$1006:$BQ$1006,0))&gt;=100000), " ",IF(INDEX($AO$2:$BQ$1001,MATCH(ROWS($AH$2:AH457),$AH$2:$AH$1001,0),MATCH(COLUMNS($AO$1006:AT1006),$AO$1006:$BQ$1006,0)), HYPERLINK("#",""), HYPERLINK(CONCATENATE("#Metadata!", ADDRESS(INDEX($AJ$2:$AJ$1001,MATCH(ROWS($AH$2:AH457),$AH$2:$AH$1001,0),0), INDEX($AO$1004:$BQ$1004,1,MATCH(COLUMNS($AO$1006:AT1006),$AO$1006:$BQ$1006,0)))),"Fix")))</f>
        <v>#N/A</v>
      </c>
      <c r="H457" s="5" t="e">
        <f ca="1">IF(OR(INDEX($AI$2:$AI$1001,MATCH(ROWS($AH$2:AH457),$AH$2:$AH$1001,0),1)&gt;=100000,INDEX($AO$1005:$BQ$1005,1,MATCH(COLUMNS($AO$1006:AU1006),$AO$1006:$BQ$1006,0))&gt;=100000), " ",IF(INDEX($AO$2:$BQ$1001,MATCH(ROWS($AH$2:AH457),$AH$2:$AH$1001,0),MATCH(COLUMNS($AO$1006:AU1006),$AO$1006:$BQ$1006,0)), HYPERLINK("#",""), HYPERLINK(CONCATENATE("#Metadata!", ADDRESS(INDEX($AJ$2:$AJ$1001,MATCH(ROWS($AH$2:AH457),$AH$2:$AH$1001,0),0), INDEX($AO$1004:$BQ$1004,1,MATCH(COLUMNS($AO$1006:AU1006),$AO$1006:$BQ$1006,0)))),"Fix")))</f>
        <v>#N/A</v>
      </c>
      <c r="I457" s="5" t="e">
        <f ca="1">IF(OR(INDEX($AI$2:$AI$1001,MATCH(ROWS($AH$2:AH457),$AH$2:$AH$1001,0),1)&gt;=100000,INDEX($AO$1005:$BQ$1005,1,MATCH(COLUMNS($AO$1006:AV1006),$AO$1006:$BQ$1006,0))&gt;=100000), " ",IF(INDEX($AO$2:$BQ$1001,MATCH(ROWS($AH$2:AH457),$AH$2:$AH$1001,0),MATCH(COLUMNS($AO$1006:AV1006),$AO$1006:$BQ$1006,0)), HYPERLINK("#",""), HYPERLINK(CONCATENATE("#Metadata!", ADDRESS(INDEX($AJ$2:$AJ$1001,MATCH(ROWS($AH$2:AH457),$AH$2:$AH$1001,0),0), INDEX($AO$1004:$BQ$1004,1,MATCH(COLUMNS($AO$1006:AV1006),$AO$1006:$BQ$1006,0)))),"Fix")))</f>
        <v>#N/A</v>
      </c>
      <c r="J457" s="5" t="e">
        <f ca="1">IF(OR(INDEX($AI$2:$AI$1001,MATCH(ROWS($AH$2:AH457),$AH$2:$AH$1001,0),1)&gt;=100000,INDEX($AO$1005:$BQ$1005,1,MATCH(COLUMNS($AO$1006:AW1006),$AO$1006:$BQ$1006,0))&gt;=100000), " ",IF(INDEX($AO$2:$BQ$1001,MATCH(ROWS($AH$2:AH457),$AH$2:$AH$1001,0),MATCH(COLUMNS($AO$1006:AW1006),$AO$1006:$BQ$1006,0)), HYPERLINK("#",""), HYPERLINK(CONCATENATE("#Metadata!", ADDRESS(INDEX($AJ$2:$AJ$1001,MATCH(ROWS($AH$2:AH457),$AH$2:$AH$1001,0),0), INDEX($AO$1004:$BQ$1004,1,MATCH(COLUMNS($AO$1006:AW1006),$AO$1006:$BQ$1006,0)))),"Fix")))</f>
        <v>#N/A</v>
      </c>
      <c r="K457" s="5" t="e">
        <f ca="1">IF(OR(INDEX($AI$2:$AI$1001,MATCH(ROWS($AH$2:AH457),$AH$2:$AH$1001,0),1)&gt;=100000,INDEX($AO$1005:$BQ$1005,1,MATCH(COLUMNS($AO$1006:AX1006),$AO$1006:$BQ$1006,0))&gt;=100000), " ",IF(INDEX($AO$2:$BQ$1001,MATCH(ROWS($AH$2:AH457),$AH$2:$AH$1001,0),MATCH(COLUMNS($AO$1006:AX1006),$AO$1006:$BQ$1006,0)), HYPERLINK("#",""), HYPERLINK(CONCATENATE("#Metadata!", ADDRESS(INDEX($AJ$2:$AJ$1001,MATCH(ROWS($AH$2:AH457),$AH$2:$AH$1001,0),0), INDEX($AO$1004:$BQ$1004,1,MATCH(COLUMNS($AO$1006:AX1006),$AO$1006:$BQ$1006,0)))),"Fix")))</f>
        <v>#N/A</v>
      </c>
      <c r="L457" s="5" t="e">
        <f ca="1">IF(OR(INDEX($AI$2:$AI$1001,MATCH(ROWS($AH$2:AH457),$AH$2:$AH$1001,0),1)&gt;=100000,INDEX($AO$1005:$BQ$1005,1,MATCH(COLUMNS($AO$1006:AY1006),$AO$1006:$BQ$1006,0))&gt;=100000), " ",IF(INDEX($AO$2:$BQ$1001,MATCH(ROWS($AH$2:AH457),$AH$2:$AH$1001,0),MATCH(COLUMNS($AO$1006:AY1006),$AO$1006:$BQ$1006,0)), HYPERLINK("#",""), HYPERLINK(CONCATENATE("#Metadata!", ADDRESS(INDEX($AJ$2:$AJ$1001,MATCH(ROWS($AH$2:AH457),$AH$2:$AH$1001,0),0), INDEX($AO$1004:$BQ$1004,1,MATCH(COLUMNS($AO$1006:AY1006),$AO$1006:$BQ$1006,0)))),"Fix")))</f>
        <v>#N/A</v>
      </c>
      <c r="M457" s="5" t="e">
        <f ca="1">IF(OR(INDEX($AI$2:$AI$1001,MATCH(ROWS($AH$2:AH457),$AH$2:$AH$1001,0),1)&gt;=100000,INDEX($AO$1005:$BQ$1005,1,MATCH(COLUMNS($AO$1006:AZ1006),$AO$1006:$BQ$1006,0))&gt;=100000), " ",IF(INDEX($AO$2:$BQ$1001,MATCH(ROWS($AH$2:AH457),$AH$2:$AH$1001,0),MATCH(COLUMNS($AO$1006:AZ1006),$AO$1006:$BQ$1006,0)), HYPERLINK("#",""), HYPERLINK(CONCATENATE("#Metadata!", ADDRESS(INDEX($AJ$2:$AJ$1001,MATCH(ROWS($AH$2:AH457),$AH$2:$AH$1001,0),0), INDEX($AO$1004:$BQ$1004,1,MATCH(COLUMNS($AO$1006:AZ1006),$AO$1006:$BQ$1006,0)))),"Fix")))</f>
        <v>#N/A</v>
      </c>
      <c r="N457" s="5" t="e">
        <f ca="1">IF(OR(INDEX($AI$2:$AI$1001,MATCH(ROWS($AH$2:AH457),$AH$2:$AH$1001,0),1)&gt;=100000,INDEX($AO$1005:$BQ$1005,1,MATCH(COLUMNS($AO$1006:BA1006),$AO$1006:$BQ$1006,0))&gt;=100000), " ",IF(INDEX($AO$2:$BQ$1001,MATCH(ROWS($AH$2:AH457),$AH$2:$AH$1001,0),MATCH(COLUMNS($AO$1006:BA1006),$AO$1006:$BQ$1006,0)), HYPERLINK("#",""), HYPERLINK(CONCATENATE("#Metadata!", ADDRESS(INDEX($AJ$2:$AJ$1001,MATCH(ROWS($AH$2:AH457),$AH$2:$AH$1001,0),0), INDEX($AO$1004:$BQ$1004,1,MATCH(COLUMNS($AO$1006:BA1006),$AO$1006:$BQ$1006,0)))),"Fix")))</f>
        <v>#N/A</v>
      </c>
      <c r="O457" s="5" t="e">
        <f ca="1">IF(OR(INDEX($AI$2:$AI$1001,MATCH(ROWS($AH$2:AH457),$AH$2:$AH$1001,0),1)&gt;=100000,INDEX($AO$1005:$BQ$1005,1,MATCH(COLUMNS($AO$1006:BB1006),$AO$1006:$BQ$1006,0))&gt;=100000), " ",IF(INDEX($AO$2:$BQ$1001,MATCH(ROWS($AH$2:AH457),$AH$2:$AH$1001,0),MATCH(COLUMNS($AO$1006:BB1006),$AO$1006:$BQ$1006,0)), HYPERLINK("#",""), HYPERLINK(CONCATENATE("#Metadata!", ADDRESS(INDEX($AJ$2:$AJ$1001,MATCH(ROWS($AH$2:AH457),$AH$2:$AH$1001,0),0), INDEX($AO$1004:$BQ$1004,1,MATCH(COLUMNS($AO$1006:BB1006),$AO$1006:$BQ$1006,0)))),"Fix")))</f>
        <v>#N/A</v>
      </c>
      <c r="P457" s="5" t="e">
        <f ca="1">IF(OR(INDEX($AI$2:$AI$1001,MATCH(ROWS($AH$2:AH457),$AH$2:$AH$1001,0),1)&gt;=100000,INDEX($AO$1005:$BQ$1005,1,MATCH(COLUMNS($AO$1006:BC1006),$AO$1006:$BQ$1006,0))&gt;=100000), " ",IF(INDEX($AO$2:$BQ$1001,MATCH(ROWS($AH$2:AH457),$AH$2:$AH$1001,0),MATCH(COLUMNS($AO$1006:BC1006),$AO$1006:$BQ$1006,0)), HYPERLINK("#",""), HYPERLINK(CONCATENATE("#Metadata!", ADDRESS(INDEX($AJ$2:$AJ$1001,MATCH(ROWS($AH$2:AH457),$AH$2:$AH$1001,0),0), INDEX($AO$1004:$BQ$1004,1,MATCH(COLUMNS($AO$1006:BC1006),$AO$1006:$BQ$1006,0)))),"Fix")))</f>
        <v>#N/A</v>
      </c>
      <c r="Q457" s="5" t="e">
        <f ca="1">IF(OR(INDEX($AI$2:$AI$1001,MATCH(ROWS($AH$2:AH457),$AH$2:$AH$1001,0),1)&gt;=100000,INDEX($AO$1005:$BQ$1005,1,MATCH(COLUMNS($AO$1006:BD1006),$AO$1006:$BQ$1006,0))&gt;=100000), " ",IF(INDEX($AO$2:$BQ$1001,MATCH(ROWS($AH$2:AH457),$AH$2:$AH$1001,0),MATCH(COLUMNS($AO$1006:BD1006),$AO$1006:$BQ$1006,0)), HYPERLINK("#",""), HYPERLINK(CONCATENATE("#Metadata!", ADDRESS(INDEX($AJ$2:$AJ$1001,MATCH(ROWS($AH$2:AH457),$AH$2:$AH$1001,0),0), INDEX($AO$1004:$BQ$1004,1,MATCH(COLUMNS($AO$1006:BD1006),$AO$1006:$BQ$1006,0)))),"Fix")))</f>
        <v>#N/A</v>
      </c>
      <c r="R457" s="5" t="e">
        <f ca="1">IF(OR(INDEX($AI$2:$AI$1001,MATCH(ROWS($AH$2:AH457),$AH$2:$AH$1001,0),1)&gt;=100000,INDEX($AO$1005:$BQ$1005,1,MATCH(COLUMNS($AO$1006:BE1006),$AO$1006:$BQ$1006,0))&gt;=100000), " ",IF(INDEX($AO$2:$BQ$1001,MATCH(ROWS($AH$2:AH457),$AH$2:$AH$1001,0),MATCH(COLUMNS($AO$1006:BE1006),$AO$1006:$BQ$1006,0)), HYPERLINK("#",""), HYPERLINK(CONCATENATE("#Metadata!", ADDRESS(INDEX($AJ$2:$AJ$1001,MATCH(ROWS($AH$2:AH457),$AH$2:$AH$1001,0),0), INDEX($AO$1004:$BQ$1004,1,MATCH(COLUMNS($AO$1006:BE1006),$AO$1006:$BQ$1006,0)))),"Fix")))</f>
        <v>#N/A</v>
      </c>
      <c r="S457" s="5" t="e">
        <f ca="1">IF(OR(INDEX($AI$2:$AI$1001,MATCH(ROWS($AH$2:AH457),$AH$2:$AH$1001,0),1)&gt;=100000,INDEX($AO$1005:$BQ$1005,1,MATCH(COLUMNS($AO$1006:BF1006),$AO$1006:$BQ$1006,0))&gt;=100000), " ",IF(INDEX($AO$2:$BQ$1001,MATCH(ROWS($AH$2:AH457),$AH$2:$AH$1001,0),MATCH(COLUMNS($AO$1006:BF1006),$AO$1006:$BQ$1006,0)), HYPERLINK("#",""), HYPERLINK(CONCATENATE("#Metadata!", ADDRESS(INDEX($AJ$2:$AJ$1001,MATCH(ROWS($AH$2:AH457),$AH$2:$AH$1001,0),0), INDEX($AO$1004:$BQ$1004,1,MATCH(COLUMNS($AO$1006:BF1006),$AO$1006:$BQ$1006,0)))),"Fix")))</f>
        <v>#N/A</v>
      </c>
      <c r="T457" s="5" t="e">
        <f ca="1">IF(OR(INDEX($AI$2:$AI$1001,MATCH(ROWS($AH$2:AH457),$AH$2:$AH$1001,0),1)&gt;=100000,INDEX($AO$1005:$BQ$1005,1,MATCH(COLUMNS($AO$1006:BG1006),$AO$1006:$BQ$1006,0))&gt;=100000), " ",IF(INDEX($AO$2:$BQ$1001,MATCH(ROWS($AH$2:AH457),$AH$2:$AH$1001,0),MATCH(COLUMNS($AO$1006:BG1006),$AO$1006:$BQ$1006,0)), HYPERLINK("#",""), HYPERLINK(CONCATENATE("#Metadata!", ADDRESS(INDEX($AJ$2:$AJ$1001,MATCH(ROWS($AH$2:AH457),$AH$2:$AH$1001,0),0), INDEX($AO$1004:$BQ$1004,1,MATCH(COLUMNS($AO$1006:BG1006),$AO$1006:$BQ$1006,0)))),"Fix")))</f>
        <v>#N/A</v>
      </c>
      <c r="U457" s="5" t="e">
        <f ca="1">IF(OR(INDEX($AI$2:$AI$1001,MATCH(ROWS($AH$2:AH457),$AH$2:$AH$1001,0),1)&gt;=100000,INDEX($AO$1005:$BQ$1005,1,MATCH(COLUMNS($AO$1006:BH1006),$AO$1006:$BQ$1006,0))&gt;=100000), " ",IF(INDEX($AO$2:$BQ$1001,MATCH(ROWS($AH$2:AH457),$AH$2:$AH$1001,0),MATCH(COLUMNS($AO$1006:BH1006),$AO$1006:$BQ$1006,0)), HYPERLINK("#",""), HYPERLINK(CONCATENATE("#Metadata!", ADDRESS(INDEX($AJ$2:$AJ$1001,MATCH(ROWS($AH$2:AH457),$AH$2:$AH$1001,0),0), INDEX($AO$1004:$BQ$1004,1,MATCH(COLUMNS($AO$1006:BH1006),$AO$1006:$BQ$1006,0)))),"Fix")))</f>
        <v>#N/A</v>
      </c>
      <c r="V457" s="5" t="e">
        <f ca="1">IF(OR(INDEX($AI$2:$AI$1001,MATCH(ROWS($AH$2:AH457),$AH$2:$AH$1001,0),1)&gt;=100000,INDEX($AO$1005:$BQ$1005,1,MATCH(COLUMNS($AO$1006:BI1006),$AO$1006:$BQ$1006,0))&gt;=100000), " ",IF(INDEX($AO$2:$BQ$1001,MATCH(ROWS($AH$2:AH457),$AH$2:$AH$1001,0),MATCH(COLUMNS($AO$1006:BI1006),$AO$1006:$BQ$1006,0)), HYPERLINK("#",""), HYPERLINK(CONCATENATE("#Metadata!", ADDRESS(INDEX($AJ$2:$AJ$1001,MATCH(ROWS($AH$2:AH457),$AH$2:$AH$1001,0),0), INDEX($AO$1004:$BQ$1004,1,MATCH(COLUMNS($AO$1006:BI1006),$AO$1006:$BQ$1006,0)))),"Fix")))</f>
        <v>#N/A</v>
      </c>
      <c r="W457" s="5" t="e">
        <f ca="1">IF(OR(INDEX($AI$2:$AI$1001,MATCH(ROWS($AH$2:AH457),$AH$2:$AH$1001,0),1)&gt;=100000,INDEX($AO$1005:$BQ$1005,1,MATCH(COLUMNS($AO$1006:BJ1006),$AO$1006:$BQ$1006,0))&gt;=100000), " ",IF(INDEX($AO$2:$BQ$1001,MATCH(ROWS($AH$2:AH457),$AH$2:$AH$1001,0),MATCH(COLUMNS($AO$1006:BJ1006),$AO$1006:$BQ$1006,0)), HYPERLINK("#",""), HYPERLINK(CONCATENATE("#Metadata!", ADDRESS(INDEX($AJ$2:$AJ$1001,MATCH(ROWS($AH$2:AH457),$AH$2:$AH$1001,0),0), INDEX($AO$1004:$BQ$1004,1,MATCH(COLUMNS($AO$1006:BJ1006),$AO$1006:$BQ$1006,0)))),"Fix")))</f>
        <v>#N/A</v>
      </c>
      <c r="X457" s="5" t="e">
        <f ca="1">IF(OR(INDEX($AI$2:$AI$1001,MATCH(ROWS($AH$2:AH457),$AH$2:$AH$1001,0),1)&gt;=100000,INDEX($AO$1005:$BQ$1005,1,MATCH(COLUMNS($AO$1006:BK1006),$AO$1006:$BQ$1006,0))&gt;=100000), " ",IF(INDEX($AO$2:$BQ$1001,MATCH(ROWS($AH$2:AH457),$AH$2:$AH$1001,0),MATCH(COLUMNS($AO$1006:BK1006),$AO$1006:$BQ$1006,0)), HYPERLINK("#",""), HYPERLINK(CONCATENATE("#Metadata!", ADDRESS(INDEX($AJ$2:$AJ$1001,MATCH(ROWS($AH$2:AH457),$AH$2:$AH$1001,0),0), INDEX($AO$1004:$BQ$1004,1,MATCH(COLUMNS($AO$1006:BK1006),$AO$1006:$BQ$1006,0)))),"Fix")))</f>
        <v>#N/A</v>
      </c>
      <c r="Y457" s="5" t="e">
        <f ca="1">IF(OR(INDEX($AI$2:$AI$1001,MATCH(ROWS($AH$2:AH457),$AH$2:$AH$1001,0),1)&gt;=100000,INDEX($AO$1005:$BQ$1005,1,MATCH(COLUMNS($AO$1006:BL1006),$AO$1006:$BQ$1006,0))&gt;=100000), " ",IF(INDEX($AO$2:$BQ$1001,MATCH(ROWS($AH$2:AH457),$AH$2:$AH$1001,0),MATCH(COLUMNS($AO$1006:BL1006),$AO$1006:$BQ$1006,0)), HYPERLINK("#",""), HYPERLINK(CONCATENATE("#Metadata!", ADDRESS(INDEX($AJ$2:$AJ$1001,MATCH(ROWS($AH$2:AH457),$AH$2:$AH$1001,0),0), INDEX($AO$1004:$BQ$1004,1,MATCH(COLUMNS($AO$1006:BL1006),$AO$1006:$BQ$1006,0)))),"Fix")))</f>
        <v>#N/A</v>
      </c>
      <c r="Z457" s="5" t="e">
        <f ca="1">IF(OR(INDEX($AI$2:$AI$1001,MATCH(ROWS($AH$2:AH457),$AH$2:$AH$1001,0),1)&gt;=100000,INDEX($AO$1005:$BQ$1005,1,MATCH(COLUMNS($AO$1006:BM1006),$AO$1006:$BQ$1006,0))&gt;=100000), " ",IF(INDEX($AO$2:$BQ$1001,MATCH(ROWS($AH$2:AH457),$AH$2:$AH$1001,0),MATCH(COLUMNS($AO$1006:BM1006),$AO$1006:$BQ$1006,0)), HYPERLINK("#",""), HYPERLINK(CONCATENATE("#Metadata!", ADDRESS(INDEX($AJ$2:$AJ$1001,MATCH(ROWS($AH$2:AH457),$AH$2:$AH$1001,0),0), INDEX($AO$1004:$BQ$1004,1,MATCH(COLUMNS($AO$1006:BM1006),$AO$1006:$BQ$1006,0)))),"Fix")))</f>
        <v>#N/A</v>
      </c>
      <c r="AA457" s="5" t="e">
        <f ca="1">IF(OR(INDEX($AI$2:$AI$1001,MATCH(ROWS($AH$2:AH457),$AH$2:$AH$1001,0),1)&gt;=100000,INDEX($AO$1005:$BQ$1005,1,MATCH(COLUMNS($AO$1006:BN1006),$AO$1006:$BQ$1006,0))&gt;=100000), " ",IF(INDEX($AO$2:$BQ$1001,MATCH(ROWS($AH$2:AH457),$AH$2:$AH$1001,0),MATCH(COLUMNS($AO$1006:BN1006),$AO$1006:$BQ$1006,0)), HYPERLINK("#",""), HYPERLINK(CONCATENATE("#Metadata!", ADDRESS(INDEX($AJ$2:$AJ$1001,MATCH(ROWS($AH$2:AH457),$AH$2:$AH$1001,0),0), INDEX($AO$1004:$BQ$1004,1,MATCH(COLUMNS($AO$1006:BN1006),$AO$1006:$BQ$1006,0)))),"Fix")))</f>
        <v>#N/A</v>
      </c>
      <c r="AB457" s="5" t="e">
        <f ca="1">IF(OR(INDEX($AI$2:$AI$1001,MATCH(ROWS($AH$2:AH457),$AH$2:$AH$1001,0),1)&gt;=100000,INDEX($AO$1005:$BQ$1005,1,MATCH(COLUMNS($AO$1006:BO1006),$AO$1006:$BQ$1006,0))&gt;=100000), " ",IF(INDEX($AO$2:$BQ$1001,MATCH(ROWS($AH$2:AH457),$AH$2:$AH$1001,0),MATCH(COLUMNS($AO$1006:BO1006),$AO$1006:$BQ$1006,0)), HYPERLINK("#",""), HYPERLINK(CONCATENATE("#Metadata!", ADDRESS(INDEX($AJ$2:$AJ$1001,MATCH(ROWS($AH$2:AH457),$AH$2:$AH$1001,0),0), INDEX($AO$1004:$BQ$1004,1,MATCH(COLUMNS($AO$1006:BO1006),$AO$1006:$BQ$1006,0)))),"Fix")))</f>
        <v>#N/A</v>
      </c>
      <c r="AC457" s="5" t="e">
        <f ca="1">IF(OR(INDEX($AI$2:$AI$1001,MATCH(ROWS($AH$2:AH457),$AH$2:$AH$1001,0),1)&gt;=100000,INDEX($AO$1005:$BQ$1005,1,MATCH(COLUMNS($AO$1006:BP1006),$AO$1006:$BQ$1006,0))&gt;=100000), " ",IF(INDEX($AO$2:$BQ$1001,MATCH(ROWS($AH$2:AH457),$AH$2:$AH$1001,0),MATCH(COLUMNS($AO$1006:BP1006),$AO$1006:$BQ$1006,0)), HYPERLINK("#",""), HYPERLINK(CONCATENATE("#Metadata!", ADDRESS(INDEX($AJ$2:$AJ$1001,MATCH(ROWS($AH$2:AH457),$AH$2:$AH$1001,0),0), INDEX($AO$1004:$BQ$1004,1,MATCH(COLUMNS($AO$1006:BP1006),$AO$1006:$BQ$1006,0)))),"Fix")))</f>
        <v>#N/A</v>
      </c>
      <c r="AD457" s="5" t="e">
        <f ca="1">IF(OR(INDEX($AI$2:$AI$1001,MATCH(ROWS($AH$2:AH457),$AH$2:$AH$1001,0),1)&gt;=100000,INDEX($AO$1005:$BQ$1005,1,MATCH(COLUMNS($AO$1006:BQ1006),$AO$1006:$BQ$1006,0))&gt;=100000), " ",IF(INDEX($AO$2:$BQ$1001,MATCH(ROWS($AH$2:AH457),$AH$2:$AH$1001,0),MATCH(COLUMNS($AO$1006:BQ1006),$AO$1006:$BQ$1006,0)), HYPERLINK("#",""), HYPERLINK(CONCATENATE("#Metadata!", ADDRESS(INDEX($AJ$2:$AJ$1001,MATCH(ROWS($AH$2:AH457),$AH$2:$AH$1001,0),0), INDEX($AO$1004:$BQ$1004,1,MATCH(COLUMNS($AO$1006:BQ1006),$AO$1006:$BQ$1006,0)))),"Fix")))</f>
        <v>#REF!</v>
      </c>
      <c r="AH457">
        <f ca="1"/>
        <v>454</v>
      </c>
      <c r="AI457">
        <v>100457</v>
      </c>
      <c r="AJ457">
        <v>457</v>
      </c>
      <c r="AK457" t="b">
        <f t="shared" si="7"/>
        <v>1</v>
      </c>
      <c r="AL457" t="b">
        <f>COUNTBLANK(Metadata!B457:AD457)=COLUMNS(Metadata!B457:AD457)</f>
        <v>1</v>
      </c>
      <c r="AM457" t="str">
        <v/>
      </c>
      <c r="AO457" t="b">
        <f ca="1">AND(IF(Metadata!B457="",FALSE,TRUE),COUNTIF(Metadata!B:B, Metadata!B457) = 1,NOT(ISERROR(SUMPRODUCT(SEARCH(MID(Metadata!B457,ROW(INDIRECT("1:"&amp;LEN(Metadata!B457))), 1),"0123456789abcdefghijklmnopqrstuvwxyzABCDEFGHIJKLMNOPQRSTUVWXYZ.")))))</f>
        <v>0</v>
      </c>
      <c r="AP457" t="b">
        <f>IF(Metadata!C457="",FALSE,TRUE)</f>
        <v>0</v>
      </c>
      <c r="AQ457" t="b">
        <f>IF(Metadata!D457="",FALSE,TRUE)</f>
        <v>0</v>
      </c>
      <c r="AR457" t="b">
        <f ca="1">OR(AND(IF(Metadata!E457="",FALSE,TRUE),OR(EXACT(Metadata!E457,"not collected"),EXACT(Metadata!E457,"not provided"),EXACT(Metadata!E457,"restricted access"))),AND(IF(Metadata!E457="",FALSE,TRUE),AND(AND(IFERROR(INT(LEFT(Metadata!E457,4))&gt;1900,FALSE),IFERROR(INT(LEFT(Metadata!E457,4))&lt;=YEAR(NOW()),FALSE)), OR(MID(Metadata!E457,5,1)="", AND(AND(MID(Metadata!E457,5,1)="-",IFERROR(INT(MID(Metadata!E457,6,1))&gt;=0,FALSE),IFERROR(INT(MID(Metadata!E457,6,1))&lt;=1,FALSE),NOT(MID(Metadata!E457,7,1)=""),IFERROR(INT(MID(Metadata!E457,6,2))&gt;=1,FALSE),IFERROR(INT(MID(Metadata!E457,6,2))&lt;=12,FALSE)), OR(MID(Metadata!E457,8,1)="", AND(AND(MID(Metadata!E457,8,1)="-",IFERROR(INT(MID(Metadata!E457,9,1))&gt;=0,FALSE),IFERROR(INT(MID(Metadata!E457,9,1))&lt;=3,FALSE),NOT(MID(Metadata!E457,10,1)=""),IFERROR(INT(MID(Metadata!E457,9,2))&gt;=1,FALSE),IFERROR(INT(MID(Metadata!E457,9,2))&lt;=31,FALSE)), OR(MID(Metadata!E457,11,1)="", AND(AND(MID(Metadata!E457,11,1)=" ",IFERROR(INT(MID(Metadata!E457,12,1))&gt;=0,FALSE),IFERROR(INT(MID(Metadata!E457,12,1))&lt;=2,FALSE),NOT(MID(Metadata!E457,13,1)=""),IFERROR(INT(MID(Metadata!E457,12,2))&gt;=0,FALSE),IFERROR(INT(MID(Metadata!E457,12,2))&lt;=23,FALSE)), OR(MID(Metadata!E457,14,1)="", AND(AND(MID(Metadata!E457,14,1)=":",IFERROR(INT(MID(Metadata!E457,15,1))&gt;=0,FALSE),IFERROR(INT(MID(Metadata!E457,15,1))&lt;=5,FALSE),NOT(MID(Metadata!E457,16,1)=""),IFERROR(INT(MID(Metadata!E457,15,2))&gt;=0,FALSE),IFERROR(INT(MID(Metadata!E457,15,2))&lt;=59,FALSE)), OR(MID(Metadata!E457,17,1)="", AND(AND(MID(Metadata!E457,17,1)=":",IFERROR(INT(MID(Metadata!E457,18,1))&gt;=0,FALSE),IFERROR(INT(MID(Metadata!E457,18,1))&lt;=5,FALSE),NOT(MID(Metadata!E457,19,1)=""),IFERROR(INT(MID(Metadata!E457,18,2))&gt;=0,FALSE),IFERROR(INT(MID(Metadata!E457,18,2))&lt;=59,FALSE)), LEN(Metadata!E457)&lt;=19)))))))))))))</f>
        <v>0</v>
      </c>
      <c r="AS457" t="b">
        <f>IF(Metadata!F457="",FALSE,TRUE)</f>
        <v>0</v>
      </c>
      <c r="AT457" t="b">
        <f>OR(AND(IF(Metadata!G457="",FALSE,TRUE),OR(EXACT(Metadata!G457,"not collected"),EXACT(Metadata!G457,"not provided"))),AND(IF(Metadata!G457="",FALSE,TRUE),OR(EXACT(Metadata!G457,"TRUE"),EXACT(Metadata!G457,"FALSE"))))</f>
        <v>0</v>
      </c>
      <c r="AU457" t="b">
        <f>OR(AND(IF(Metadata!H457="",FALSE,TRUE),OR(EXACT(Metadata!H457,"not collected"),EXACT(Metadata!H457,"not provided"),EXACT(Metadata!H457,"restricted access"))),AND(IF(Metadata!H457="",FALSE,ISNUMBER(VALUE(Metadata!H457))),Metadata!H457&gt;=-413))</f>
        <v>0</v>
      </c>
      <c r="AV457" t="b">
        <f>AND(IF(Metadata!I457="",FALSE,TRUE),EXACT(Metadata!I457,"meters"))</f>
        <v>0</v>
      </c>
      <c r="AW457" t="b">
        <f>AND(IF(Metadata!J457="",FALSE,TRUE),EXACT(Metadata!J457,"free-living"))</f>
        <v>0</v>
      </c>
      <c r="AX457" t="b">
        <f>AND(IF(Metadata!K457="",FALSE,TRUE),OR(EXACT(Metadata!K457,"saline"),EXACT(Metadata!K457,"non-saline")))</f>
        <v>0</v>
      </c>
      <c r="AY457" t="b">
        <f>AND(IF(Metadata!L457="",FALSE,TRUE),OR(EXACT(Metadata!L457,"sub-surface (non-saline)"),EXACT(Metadata!L457,"surface (non-saline)"),EXACT(Metadata!L457,"water (non-saline)"),EXACT(Metadata!L457,"soil (non-saline)"),EXACT(Metadata!L457,"aerosol (non-saline)"),EXACT(Metadata!L457,"sediment (non-saline)"),EXACT(Metadata!L457,"surface (saline)"),EXACT(Metadata!L457,"water (saline)"),EXACT(Metadata!L457,"hypersaline (saline)"),EXACT(Metadata!L457,"aerosol (saline)"),EXACT(Metadata!L457,"sediment (saline)")))</f>
        <v>0</v>
      </c>
      <c r="AZ457" t="b">
        <f>IF(Metadata!M457="",FALSE,TRUE)</f>
        <v>0</v>
      </c>
      <c r="BA457" t="b">
        <f>IF(Metadata!N457="",FALSE,TRUE)</f>
        <v>0</v>
      </c>
      <c r="BB457" t="b">
        <f>IF(Metadata!O457="",FALSE,TRUE)</f>
        <v>0</v>
      </c>
      <c r="BC457" t="b">
        <f>AND(IF(Metadata!P457="",FALSE,TRUE),OR(EXACT(Metadata!P457,"air"),EXACT(Metadata!P457,"microbial mat/biofilm"),EXACT(Metadata!P457,"misc environment"),EXACT(Metadata!P457,"sediment"),EXACT(Metadata!P457,"soil"),EXACT(Metadata!P457,"wastewater/sludge"),EXACT(Metadata!P457,"water")))</f>
        <v>0</v>
      </c>
      <c r="BD457" t="b">
        <f>IF(Metadata!Q457="",FALSE,TRUE)</f>
        <v>0</v>
      </c>
      <c r="BE457" t="b">
        <f>IF(Metadata!R457="",FALSE,TRUE)</f>
        <v>0</v>
      </c>
      <c r="BF457" t="b">
        <f>OR(AND(IF(Metadata!S457="",FALSE,TRUE),OR(EXACT(Metadata!S457,"not collected"),EXACT(Metadata!S457,"not provided"),EXACT(Metadata!S457,"restricted access"))),AND(IF(Metadata!S457="",FALSE,ISNUMBER(VALUE(Metadata!S457))),Metadata!S457&gt;=-90,Metadata!S457&lt;=90))</f>
        <v>0</v>
      </c>
      <c r="BG457" t="b">
        <f>AND(IF(Metadata!T457="",FALSE,TRUE),EXACT(Metadata!T457,"Decimal degrees"))</f>
        <v>0</v>
      </c>
      <c r="BH457" t="b">
        <f>OR(AND(IF(Metadata!U457="",FALSE,TRUE),OR(EXACT(Metadata!U457,"not applicable"),EXACT(Metadata!U457,"not collected"))),IF(Metadata!U457="",FALSE,TRUE))</f>
        <v>0</v>
      </c>
      <c r="BI457" t="b">
        <f>OR(AND(IF(Metadata!V457="",FALSE,TRUE),OR(EXACT(Metadata!V457,"not collected"),EXACT(Metadata!V457,"not provided"),EXACT(Metadata!V457,"restricted access"))),AND(IF(Metadata!V457="",FALSE,ISNUMBER(VALUE(Metadata!V457))),Metadata!V457&gt;=-180,Metadata!V457&lt;=180))</f>
        <v>0</v>
      </c>
      <c r="BJ457" t="b">
        <f>AND(IF(Metadata!W457="",FALSE,TRUE),EXACT(Metadata!W457,"Decimal degrees"))</f>
        <v>0</v>
      </c>
      <c r="BK457" t="b">
        <f>IF(Metadata!X457="",FALSE,TRUE)</f>
        <v>0</v>
      </c>
      <c r="BL457" t="b">
        <f>OR(AND(IF(Metadata!Y457="",FALSE,TRUE),OR(EXACT(Metadata!Y457,"not collected"),EXACT(Metadata!Y457,"not provided"),EXACT(Metadata!Y457,"restricted access"))),AND(IF(Metadata!Y457="",FALSE,TRUE),OR(EXACT(Metadata!Y457,"TRUE"),EXACT(Metadata!Y457,"FALSE"))))</f>
        <v>0</v>
      </c>
      <c r="BM457" t="b">
        <f>OR(AND(IF(Metadata!Z457="",FALSE,TRUE),EXACT(Metadata!Z457,"not applicable")),AND(IF(Metadata!Z457="",FALSE,TRUE),OR(EXACT(Metadata!Z457,"beer"),EXACT(Metadata!Z457,"cheese"),EXACT(Metadata!Z457,"fresh water"),EXACT(Metadata!Z457,"marine sediment"),EXACT(Metadata!Z457,"sea water"),EXACT(Metadata!Z457,"sediment"),EXACT(Metadata!Z457,"soil"),EXACT(Metadata!Z457,"waste water"))))</f>
        <v>0</v>
      </c>
      <c r="BN457" t="b">
        <f>AND(IF(Metadata!AA457="",FALSE,TRUE),EXACT(Metadata!AA457,"metagenome"))</f>
        <v>0</v>
      </c>
      <c r="BO457" t="b">
        <f>AND(IF(Metadata!AB457="",FALSE,TRUE),EXACT(Metadata!AB457,"256318"))</f>
        <v>0</v>
      </c>
      <c r="BP457" t="b">
        <f>IF(Metadata!AC457="",FALSE,TRUE)</f>
        <v>0</v>
      </c>
      <c r="BQ457" t="b">
        <f>IF(Metadata!AD457="",FALSE,TRUE)</f>
        <v>0</v>
      </c>
    </row>
    <row r="458" spans="1:69" x14ac:dyDescent="0.2">
      <c r="A458" s="4" t="e">
        <f ca="1">IF(B458=" "," ",HYPERLINK(CONCATENATE("#metadata!",ADDRESS(INDEX($AJ$2:$AJ$1001,MATCH(ROWS($AH$2:AH458),$AH$2:$AH$1001,0),0),2)),INDEX($AM$2:$AM$1001,MATCH(ROWS($AH$2:AH458),$AH$2:$AH$1001,0),0)))</f>
        <v>#N/A</v>
      </c>
      <c r="B458" s="5" t="e">
        <f ca="1">IF(OR(INDEX($AI$2:$AI$1001,MATCH(ROWS($AH$2:AH458),$AH$2:$AH$1001,0),1)&gt;=100000,INDEX($AO$1005:$BQ$1005,1,MATCH(COLUMNS($AO$1006:AO1006),$AO$1006:$BQ$1006,0))&gt;=100000), " ",IF(INDEX($AO$2:$BQ$1001,MATCH(ROWS($AH$2:AH458),$AH$2:$AH$1001,0),MATCH(COLUMNS($AO$1006:AO1006),$AO$1006:$BQ$1006,0)), HYPERLINK("#",""), HYPERLINK(CONCATENATE("#Metadata!", ADDRESS(INDEX($AJ$2:$AJ$1001,MATCH(ROWS($AH$2:AH458),$AH$2:$AH$1001,0),0), INDEX($AO$1004:$BQ$1004,1,MATCH(COLUMNS($AO$1006:AO1006),$AO$1006:$BQ$1006,0)))),"Fix")))</f>
        <v>#N/A</v>
      </c>
      <c r="C458" s="5" t="e">
        <f ca="1">IF(OR(INDEX($AI$2:$AI$1001,MATCH(ROWS($AH$2:AH458),$AH$2:$AH$1001,0),1)&gt;=100000,INDEX($AO$1005:$BQ$1005,1,MATCH(COLUMNS($AO$1006:AP1006),$AO$1006:$BQ$1006,0))&gt;=100000), " ",IF(INDEX($AO$2:$BQ$1001,MATCH(ROWS($AH$2:AH458),$AH$2:$AH$1001,0),MATCH(COLUMNS($AO$1006:AP1006),$AO$1006:$BQ$1006,0)), HYPERLINK("#",""), HYPERLINK(CONCATENATE("#Metadata!", ADDRESS(INDEX($AJ$2:$AJ$1001,MATCH(ROWS($AH$2:AH458),$AH$2:$AH$1001,0),0), INDEX($AO$1004:$BQ$1004,1,MATCH(COLUMNS($AO$1006:AP1006),$AO$1006:$BQ$1006,0)))),"Fix")))</f>
        <v>#N/A</v>
      </c>
      <c r="D458" s="5" t="e">
        <f ca="1">IF(OR(INDEX($AI$2:$AI$1001,MATCH(ROWS($AH$2:AH458),$AH$2:$AH$1001,0),1)&gt;=100000,INDEX($AO$1005:$BQ$1005,1,MATCH(COLUMNS($AO$1006:AQ1006),$AO$1006:$BQ$1006,0))&gt;=100000), " ",IF(INDEX($AO$2:$BQ$1001,MATCH(ROWS($AH$2:AH458),$AH$2:$AH$1001,0),MATCH(COLUMNS($AO$1006:AQ1006),$AO$1006:$BQ$1006,0)), HYPERLINK("#",""), HYPERLINK(CONCATENATE("#Metadata!", ADDRESS(INDEX($AJ$2:$AJ$1001,MATCH(ROWS($AH$2:AH458),$AH$2:$AH$1001,0),0), INDEX($AO$1004:$BQ$1004,1,MATCH(COLUMNS($AO$1006:AQ1006),$AO$1006:$BQ$1006,0)))),"Fix")))</f>
        <v>#N/A</v>
      </c>
      <c r="E458" s="5" t="e">
        <f ca="1">IF(OR(INDEX($AI$2:$AI$1001,MATCH(ROWS($AH$2:AH458),$AH$2:$AH$1001,0),1)&gt;=100000,INDEX($AO$1005:$BQ$1005,1,MATCH(COLUMNS($AO$1006:AR1006),$AO$1006:$BQ$1006,0))&gt;=100000), " ",IF(INDEX($AO$2:$BQ$1001,MATCH(ROWS($AH$2:AH458),$AH$2:$AH$1001,0),MATCH(COLUMNS($AO$1006:AR1006),$AO$1006:$BQ$1006,0)), HYPERLINK("#",""), HYPERLINK(CONCATENATE("#Metadata!", ADDRESS(INDEX($AJ$2:$AJ$1001,MATCH(ROWS($AH$2:AH458),$AH$2:$AH$1001,0),0), INDEX($AO$1004:$BQ$1004,1,MATCH(COLUMNS($AO$1006:AR1006),$AO$1006:$BQ$1006,0)))),"Fix")))</f>
        <v>#N/A</v>
      </c>
      <c r="F458" s="5" t="e">
        <f ca="1">IF(OR(INDEX($AI$2:$AI$1001,MATCH(ROWS($AH$2:AH458),$AH$2:$AH$1001,0),1)&gt;=100000,INDEX($AO$1005:$BQ$1005,1,MATCH(COLUMNS($AO$1006:AS1006),$AO$1006:$BQ$1006,0))&gt;=100000), " ",IF(INDEX($AO$2:$BQ$1001,MATCH(ROWS($AH$2:AH458),$AH$2:$AH$1001,0),MATCH(COLUMNS($AO$1006:AS1006),$AO$1006:$BQ$1006,0)), HYPERLINK("#",""), HYPERLINK(CONCATENATE("#Metadata!", ADDRESS(INDEX($AJ$2:$AJ$1001,MATCH(ROWS($AH$2:AH458),$AH$2:$AH$1001,0),0), INDEX($AO$1004:$BQ$1004,1,MATCH(COLUMNS($AO$1006:AS1006),$AO$1006:$BQ$1006,0)))),"Fix")))</f>
        <v>#N/A</v>
      </c>
      <c r="G458" s="5" t="e">
        <f ca="1">IF(OR(INDEX($AI$2:$AI$1001,MATCH(ROWS($AH$2:AH458),$AH$2:$AH$1001,0),1)&gt;=100000,INDEX($AO$1005:$BQ$1005,1,MATCH(COLUMNS($AO$1006:AT1006),$AO$1006:$BQ$1006,0))&gt;=100000), " ",IF(INDEX($AO$2:$BQ$1001,MATCH(ROWS($AH$2:AH458),$AH$2:$AH$1001,0),MATCH(COLUMNS($AO$1006:AT1006),$AO$1006:$BQ$1006,0)), HYPERLINK("#",""), HYPERLINK(CONCATENATE("#Metadata!", ADDRESS(INDEX($AJ$2:$AJ$1001,MATCH(ROWS($AH$2:AH458),$AH$2:$AH$1001,0),0), INDEX($AO$1004:$BQ$1004,1,MATCH(COLUMNS($AO$1006:AT1006),$AO$1006:$BQ$1006,0)))),"Fix")))</f>
        <v>#N/A</v>
      </c>
      <c r="H458" s="5" t="e">
        <f ca="1">IF(OR(INDEX($AI$2:$AI$1001,MATCH(ROWS($AH$2:AH458),$AH$2:$AH$1001,0),1)&gt;=100000,INDEX($AO$1005:$BQ$1005,1,MATCH(COLUMNS($AO$1006:AU1006),$AO$1006:$BQ$1006,0))&gt;=100000), " ",IF(INDEX($AO$2:$BQ$1001,MATCH(ROWS($AH$2:AH458),$AH$2:$AH$1001,0),MATCH(COLUMNS($AO$1006:AU1006),$AO$1006:$BQ$1006,0)), HYPERLINK("#",""), HYPERLINK(CONCATENATE("#Metadata!", ADDRESS(INDEX($AJ$2:$AJ$1001,MATCH(ROWS($AH$2:AH458),$AH$2:$AH$1001,0),0), INDEX($AO$1004:$BQ$1004,1,MATCH(COLUMNS($AO$1006:AU1006),$AO$1006:$BQ$1006,0)))),"Fix")))</f>
        <v>#N/A</v>
      </c>
      <c r="I458" s="5" t="e">
        <f ca="1">IF(OR(INDEX($AI$2:$AI$1001,MATCH(ROWS($AH$2:AH458),$AH$2:$AH$1001,0),1)&gt;=100000,INDEX($AO$1005:$BQ$1005,1,MATCH(COLUMNS($AO$1006:AV1006),$AO$1006:$BQ$1006,0))&gt;=100000), " ",IF(INDEX($AO$2:$BQ$1001,MATCH(ROWS($AH$2:AH458),$AH$2:$AH$1001,0),MATCH(COLUMNS($AO$1006:AV1006),$AO$1006:$BQ$1006,0)), HYPERLINK("#",""), HYPERLINK(CONCATENATE("#Metadata!", ADDRESS(INDEX($AJ$2:$AJ$1001,MATCH(ROWS($AH$2:AH458),$AH$2:$AH$1001,0),0), INDEX($AO$1004:$BQ$1004,1,MATCH(COLUMNS($AO$1006:AV1006),$AO$1006:$BQ$1006,0)))),"Fix")))</f>
        <v>#N/A</v>
      </c>
      <c r="J458" s="5" t="e">
        <f ca="1">IF(OR(INDEX($AI$2:$AI$1001,MATCH(ROWS($AH$2:AH458),$AH$2:$AH$1001,0),1)&gt;=100000,INDEX($AO$1005:$BQ$1005,1,MATCH(COLUMNS($AO$1006:AW1006),$AO$1006:$BQ$1006,0))&gt;=100000), " ",IF(INDEX($AO$2:$BQ$1001,MATCH(ROWS($AH$2:AH458),$AH$2:$AH$1001,0),MATCH(COLUMNS($AO$1006:AW1006),$AO$1006:$BQ$1006,0)), HYPERLINK("#",""), HYPERLINK(CONCATENATE("#Metadata!", ADDRESS(INDEX($AJ$2:$AJ$1001,MATCH(ROWS($AH$2:AH458),$AH$2:$AH$1001,0),0), INDEX($AO$1004:$BQ$1004,1,MATCH(COLUMNS($AO$1006:AW1006),$AO$1006:$BQ$1006,0)))),"Fix")))</f>
        <v>#N/A</v>
      </c>
      <c r="K458" s="5" t="e">
        <f ca="1">IF(OR(INDEX($AI$2:$AI$1001,MATCH(ROWS($AH$2:AH458),$AH$2:$AH$1001,0),1)&gt;=100000,INDEX($AO$1005:$BQ$1005,1,MATCH(COLUMNS($AO$1006:AX1006),$AO$1006:$BQ$1006,0))&gt;=100000), " ",IF(INDEX($AO$2:$BQ$1001,MATCH(ROWS($AH$2:AH458),$AH$2:$AH$1001,0),MATCH(COLUMNS($AO$1006:AX1006),$AO$1006:$BQ$1006,0)), HYPERLINK("#",""), HYPERLINK(CONCATENATE("#Metadata!", ADDRESS(INDEX($AJ$2:$AJ$1001,MATCH(ROWS($AH$2:AH458),$AH$2:$AH$1001,0),0), INDEX($AO$1004:$BQ$1004,1,MATCH(COLUMNS($AO$1006:AX1006),$AO$1006:$BQ$1006,0)))),"Fix")))</f>
        <v>#N/A</v>
      </c>
      <c r="L458" s="5" t="e">
        <f ca="1">IF(OR(INDEX($AI$2:$AI$1001,MATCH(ROWS($AH$2:AH458),$AH$2:$AH$1001,0),1)&gt;=100000,INDEX($AO$1005:$BQ$1005,1,MATCH(COLUMNS($AO$1006:AY1006),$AO$1006:$BQ$1006,0))&gt;=100000), " ",IF(INDEX($AO$2:$BQ$1001,MATCH(ROWS($AH$2:AH458),$AH$2:$AH$1001,0),MATCH(COLUMNS($AO$1006:AY1006),$AO$1006:$BQ$1006,0)), HYPERLINK("#",""), HYPERLINK(CONCATENATE("#Metadata!", ADDRESS(INDEX($AJ$2:$AJ$1001,MATCH(ROWS($AH$2:AH458),$AH$2:$AH$1001,0),0), INDEX($AO$1004:$BQ$1004,1,MATCH(COLUMNS($AO$1006:AY1006),$AO$1006:$BQ$1006,0)))),"Fix")))</f>
        <v>#N/A</v>
      </c>
      <c r="M458" s="5" t="e">
        <f ca="1">IF(OR(INDEX($AI$2:$AI$1001,MATCH(ROWS($AH$2:AH458),$AH$2:$AH$1001,0),1)&gt;=100000,INDEX($AO$1005:$BQ$1005,1,MATCH(COLUMNS($AO$1006:AZ1006),$AO$1006:$BQ$1006,0))&gt;=100000), " ",IF(INDEX($AO$2:$BQ$1001,MATCH(ROWS($AH$2:AH458),$AH$2:$AH$1001,0),MATCH(COLUMNS($AO$1006:AZ1006),$AO$1006:$BQ$1006,0)), HYPERLINK("#",""), HYPERLINK(CONCATENATE("#Metadata!", ADDRESS(INDEX($AJ$2:$AJ$1001,MATCH(ROWS($AH$2:AH458),$AH$2:$AH$1001,0),0), INDEX($AO$1004:$BQ$1004,1,MATCH(COLUMNS($AO$1006:AZ1006),$AO$1006:$BQ$1006,0)))),"Fix")))</f>
        <v>#N/A</v>
      </c>
      <c r="N458" s="5" t="e">
        <f ca="1">IF(OR(INDEX($AI$2:$AI$1001,MATCH(ROWS($AH$2:AH458),$AH$2:$AH$1001,0),1)&gt;=100000,INDEX($AO$1005:$BQ$1005,1,MATCH(COLUMNS($AO$1006:BA1006),$AO$1006:$BQ$1006,0))&gt;=100000), " ",IF(INDEX($AO$2:$BQ$1001,MATCH(ROWS($AH$2:AH458),$AH$2:$AH$1001,0),MATCH(COLUMNS($AO$1006:BA1006),$AO$1006:$BQ$1006,0)), HYPERLINK("#",""), HYPERLINK(CONCATENATE("#Metadata!", ADDRESS(INDEX($AJ$2:$AJ$1001,MATCH(ROWS($AH$2:AH458),$AH$2:$AH$1001,0),0), INDEX($AO$1004:$BQ$1004,1,MATCH(COLUMNS($AO$1006:BA1006),$AO$1006:$BQ$1006,0)))),"Fix")))</f>
        <v>#N/A</v>
      </c>
      <c r="O458" s="5" t="e">
        <f ca="1">IF(OR(INDEX($AI$2:$AI$1001,MATCH(ROWS($AH$2:AH458),$AH$2:$AH$1001,0),1)&gt;=100000,INDEX($AO$1005:$BQ$1005,1,MATCH(COLUMNS($AO$1006:BB1006),$AO$1006:$BQ$1006,0))&gt;=100000), " ",IF(INDEX($AO$2:$BQ$1001,MATCH(ROWS($AH$2:AH458),$AH$2:$AH$1001,0),MATCH(COLUMNS($AO$1006:BB1006),$AO$1006:$BQ$1006,0)), HYPERLINK("#",""), HYPERLINK(CONCATENATE("#Metadata!", ADDRESS(INDEX($AJ$2:$AJ$1001,MATCH(ROWS($AH$2:AH458),$AH$2:$AH$1001,0),0), INDEX($AO$1004:$BQ$1004,1,MATCH(COLUMNS($AO$1006:BB1006),$AO$1006:$BQ$1006,0)))),"Fix")))</f>
        <v>#N/A</v>
      </c>
      <c r="P458" s="5" t="e">
        <f ca="1">IF(OR(INDEX($AI$2:$AI$1001,MATCH(ROWS($AH$2:AH458),$AH$2:$AH$1001,0),1)&gt;=100000,INDEX($AO$1005:$BQ$1005,1,MATCH(COLUMNS($AO$1006:BC1006),$AO$1006:$BQ$1006,0))&gt;=100000), " ",IF(INDEX($AO$2:$BQ$1001,MATCH(ROWS($AH$2:AH458),$AH$2:$AH$1001,0),MATCH(COLUMNS($AO$1006:BC1006),$AO$1006:$BQ$1006,0)), HYPERLINK("#",""), HYPERLINK(CONCATENATE("#Metadata!", ADDRESS(INDEX($AJ$2:$AJ$1001,MATCH(ROWS($AH$2:AH458),$AH$2:$AH$1001,0),0), INDEX($AO$1004:$BQ$1004,1,MATCH(COLUMNS($AO$1006:BC1006),$AO$1006:$BQ$1006,0)))),"Fix")))</f>
        <v>#N/A</v>
      </c>
      <c r="Q458" s="5" t="e">
        <f ca="1">IF(OR(INDEX($AI$2:$AI$1001,MATCH(ROWS($AH$2:AH458),$AH$2:$AH$1001,0),1)&gt;=100000,INDEX($AO$1005:$BQ$1005,1,MATCH(COLUMNS($AO$1006:BD1006),$AO$1006:$BQ$1006,0))&gt;=100000), " ",IF(INDEX($AO$2:$BQ$1001,MATCH(ROWS($AH$2:AH458),$AH$2:$AH$1001,0),MATCH(COLUMNS($AO$1006:BD1006),$AO$1006:$BQ$1006,0)), HYPERLINK("#",""), HYPERLINK(CONCATENATE("#Metadata!", ADDRESS(INDEX($AJ$2:$AJ$1001,MATCH(ROWS($AH$2:AH458),$AH$2:$AH$1001,0),0), INDEX($AO$1004:$BQ$1004,1,MATCH(COLUMNS($AO$1006:BD1006),$AO$1006:$BQ$1006,0)))),"Fix")))</f>
        <v>#N/A</v>
      </c>
      <c r="R458" s="5" t="e">
        <f ca="1">IF(OR(INDEX($AI$2:$AI$1001,MATCH(ROWS($AH$2:AH458),$AH$2:$AH$1001,0),1)&gt;=100000,INDEX($AO$1005:$BQ$1005,1,MATCH(COLUMNS($AO$1006:BE1006),$AO$1006:$BQ$1006,0))&gt;=100000), " ",IF(INDEX($AO$2:$BQ$1001,MATCH(ROWS($AH$2:AH458),$AH$2:$AH$1001,0),MATCH(COLUMNS($AO$1006:BE1006),$AO$1006:$BQ$1006,0)), HYPERLINK("#",""), HYPERLINK(CONCATENATE("#Metadata!", ADDRESS(INDEX($AJ$2:$AJ$1001,MATCH(ROWS($AH$2:AH458),$AH$2:$AH$1001,0),0), INDEX($AO$1004:$BQ$1004,1,MATCH(COLUMNS($AO$1006:BE1006),$AO$1006:$BQ$1006,0)))),"Fix")))</f>
        <v>#N/A</v>
      </c>
      <c r="S458" s="5" t="e">
        <f ca="1">IF(OR(INDEX($AI$2:$AI$1001,MATCH(ROWS($AH$2:AH458),$AH$2:$AH$1001,0),1)&gt;=100000,INDEX($AO$1005:$BQ$1005,1,MATCH(COLUMNS($AO$1006:BF1006),$AO$1006:$BQ$1006,0))&gt;=100000), " ",IF(INDEX($AO$2:$BQ$1001,MATCH(ROWS($AH$2:AH458),$AH$2:$AH$1001,0),MATCH(COLUMNS($AO$1006:BF1006),$AO$1006:$BQ$1006,0)), HYPERLINK("#",""), HYPERLINK(CONCATENATE("#Metadata!", ADDRESS(INDEX($AJ$2:$AJ$1001,MATCH(ROWS($AH$2:AH458),$AH$2:$AH$1001,0),0), INDEX($AO$1004:$BQ$1004,1,MATCH(COLUMNS($AO$1006:BF1006),$AO$1006:$BQ$1006,0)))),"Fix")))</f>
        <v>#N/A</v>
      </c>
      <c r="T458" s="5" t="e">
        <f ca="1">IF(OR(INDEX($AI$2:$AI$1001,MATCH(ROWS($AH$2:AH458),$AH$2:$AH$1001,0),1)&gt;=100000,INDEX($AO$1005:$BQ$1005,1,MATCH(COLUMNS($AO$1006:BG1006),$AO$1006:$BQ$1006,0))&gt;=100000), " ",IF(INDEX($AO$2:$BQ$1001,MATCH(ROWS($AH$2:AH458),$AH$2:$AH$1001,0),MATCH(COLUMNS($AO$1006:BG1006),$AO$1006:$BQ$1006,0)), HYPERLINK("#",""), HYPERLINK(CONCATENATE("#Metadata!", ADDRESS(INDEX($AJ$2:$AJ$1001,MATCH(ROWS($AH$2:AH458),$AH$2:$AH$1001,0),0), INDEX($AO$1004:$BQ$1004,1,MATCH(COLUMNS($AO$1006:BG1006),$AO$1006:$BQ$1006,0)))),"Fix")))</f>
        <v>#N/A</v>
      </c>
      <c r="U458" s="5" t="e">
        <f ca="1">IF(OR(INDEX($AI$2:$AI$1001,MATCH(ROWS($AH$2:AH458),$AH$2:$AH$1001,0),1)&gt;=100000,INDEX($AO$1005:$BQ$1005,1,MATCH(COLUMNS($AO$1006:BH1006),$AO$1006:$BQ$1006,0))&gt;=100000), " ",IF(INDEX($AO$2:$BQ$1001,MATCH(ROWS($AH$2:AH458),$AH$2:$AH$1001,0),MATCH(COLUMNS($AO$1006:BH1006),$AO$1006:$BQ$1006,0)), HYPERLINK("#",""), HYPERLINK(CONCATENATE("#Metadata!", ADDRESS(INDEX($AJ$2:$AJ$1001,MATCH(ROWS($AH$2:AH458),$AH$2:$AH$1001,0),0), INDEX($AO$1004:$BQ$1004,1,MATCH(COLUMNS($AO$1006:BH1006),$AO$1006:$BQ$1006,0)))),"Fix")))</f>
        <v>#N/A</v>
      </c>
      <c r="V458" s="5" t="e">
        <f ca="1">IF(OR(INDEX($AI$2:$AI$1001,MATCH(ROWS($AH$2:AH458),$AH$2:$AH$1001,0),1)&gt;=100000,INDEX($AO$1005:$BQ$1005,1,MATCH(COLUMNS($AO$1006:BI1006),$AO$1006:$BQ$1006,0))&gt;=100000), " ",IF(INDEX($AO$2:$BQ$1001,MATCH(ROWS($AH$2:AH458),$AH$2:$AH$1001,0),MATCH(COLUMNS($AO$1006:BI1006),$AO$1006:$BQ$1006,0)), HYPERLINK("#",""), HYPERLINK(CONCATENATE("#Metadata!", ADDRESS(INDEX($AJ$2:$AJ$1001,MATCH(ROWS($AH$2:AH458),$AH$2:$AH$1001,0),0), INDEX($AO$1004:$BQ$1004,1,MATCH(COLUMNS($AO$1006:BI1006),$AO$1006:$BQ$1006,0)))),"Fix")))</f>
        <v>#N/A</v>
      </c>
      <c r="W458" s="5" t="e">
        <f ca="1">IF(OR(INDEX($AI$2:$AI$1001,MATCH(ROWS($AH$2:AH458),$AH$2:$AH$1001,0),1)&gt;=100000,INDEX($AO$1005:$BQ$1005,1,MATCH(COLUMNS($AO$1006:BJ1006),$AO$1006:$BQ$1006,0))&gt;=100000), " ",IF(INDEX($AO$2:$BQ$1001,MATCH(ROWS($AH$2:AH458),$AH$2:$AH$1001,0),MATCH(COLUMNS($AO$1006:BJ1006),$AO$1006:$BQ$1006,0)), HYPERLINK("#",""), HYPERLINK(CONCATENATE("#Metadata!", ADDRESS(INDEX($AJ$2:$AJ$1001,MATCH(ROWS($AH$2:AH458),$AH$2:$AH$1001,0),0), INDEX($AO$1004:$BQ$1004,1,MATCH(COLUMNS($AO$1006:BJ1006),$AO$1006:$BQ$1006,0)))),"Fix")))</f>
        <v>#N/A</v>
      </c>
      <c r="X458" s="5" t="e">
        <f ca="1">IF(OR(INDEX($AI$2:$AI$1001,MATCH(ROWS($AH$2:AH458),$AH$2:$AH$1001,0),1)&gt;=100000,INDEX($AO$1005:$BQ$1005,1,MATCH(COLUMNS($AO$1006:BK1006),$AO$1006:$BQ$1006,0))&gt;=100000), " ",IF(INDEX($AO$2:$BQ$1001,MATCH(ROWS($AH$2:AH458),$AH$2:$AH$1001,0),MATCH(COLUMNS($AO$1006:BK1006),$AO$1006:$BQ$1006,0)), HYPERLINK("#",""), HYPERLINK(CONCATENATE("#Metadata!", ADDRESS(INDEX($AJ$2:$AJ$1001,MATCH(ROWS($AH$2:AH458),$AH$2:$AH$1001,0),0), INDEX($AO$1004:$BQ$1004,1,MATCH(COLUMNS($AO$1006:BK1006),$AO$1006:$BQ$1006,0)))),"Fix")))</f>
        <v>#N/A</v>
      </c>
      <c r="Y458" s="5" t="e">
        <f ca="1">IF(OR(INDEX($AI$2:$AI$1001,MATCH(ROWS($AH$2:AH458),$AH$2:$AH$1001,0),1)&gt;=100000,INDEX($AO$1005:$BQ$1005,1,MATCH(COLUMNS($AO$1006:BL1006),$AO$1006:$BQ$1006,0))&gt;=100000), " ",IF(INDEX($AO$2:$BQ$1001,MATCH(ROWS($AH$2:AH458),$AH$2:$AH$1001,0),MATCH(COLUMNS($AO$1006:BL1006),$AO$1006:$BQ$1006,0)), HYPERLINK("#",""), HYPERLINK(CONCATENATE("#Metadata!", ADDRESS(INDEX($AJ$2:$AJ$1001,MATCH(ROWS($AH$2:AH458),$AH$2:$AH$1001,0),0), INDEX($AO$1004:$BQ$1004,1,MATCH(COLUMNS($AO$1006:BL1006),$AO$1006:$BQ$1006,0)))),"Fix")))</f>
        <v>#N/A</v>
      </c>
      <c r="Z458" s="5" t="e">
        <f ca="1">IF(OR(INDEX($AI$2:$AI$1001,MATCH(ROWS($AH$2:AH458),$AH$2:$AH$1001,0),1)&gt;=100000,INDEX($AO$1005:$BQ$1005,1,MATCH(COLUMNS($AO$1006:BM1006),$AO$1006:$BQ$1006,0))&gt;=100000), " ",IF(INDEX($AO$2:$BQ$1001,MATCH(ROWS($AH$2:AH458),$AH$2:$AH$1001,0),MATCH(COLUMNS($AO$1006:BM1006),$AO$1006:$BQ$1006,0)), HYPERLINK("#",""), HYPERLINK(CONCATENATE("#Metadata!", ADDRESS(INDEX($AJ$2:$AJ$1001,MATCH(ROWS($AH$2:AH458),$AH$2:$AH$1001,0),0), INDEX($AO$1004:$BQ$1004,1,MATCH(COLUMNS($AO$1006:BM1006),$AO$1006:$BQ$1006,0)))),"Fix")))</f>
        <v>#N/A</v>
      </c>
      <c r="AA458" s="5" t="e">
        <f ca="1">IF(OR(INDEX($AI$2:$AI$1001,MATCH(ROWS($AH$2:AH458),$AH$2:$AH$1001,0),1)&gt;=100000,INDEX($AO$1005:$BQ$1005,1,MATCH(COLUMNS($AO$1006:BN1006),$AO$1006:$BQ$1006,0))&gt;=100000), " ",IF(INDEX($AO$2:$BQ$1001,MATCH(ROWS($AH$2:AH458),$AH$2:$AH$1001,0),MATCH(COLUMNS($AO$1006:BN1006),$AO$1006:$BQ$1006,0)), HYPERLINK("#",""), HYPERLINK(CONCATENATE("#Metadata!", ADDRESS(INDEX($AJ$2:$AJ$1001,MATCH(ROWS($AH$2:AH458),$AH$2:$AH$1001,0),0), INDEX($AO$1004:$BQ$1004,1,MATCH(COLUMNS($AO$1006:BN1006),$AO$1006:$BQ$1006,0)))),"Fix")))</f>
        <v>#N/A</v>
      </c>
      <c r="AB458" s="5" t="e">
        <f ca="1">IF(OR(INDEX($AI$2:$AI$1001,MATCH(ROWS($AH$2:AH458),$AH$2:$AH$1001,0),1)&gt;=100000,INDEX($AO$1005:$BQ$1005,1,MATCH(COLUMNS($AO$1006:BO1006),$AO$1006:$BQ$1006,0))&gt;=100000), " ",IF(INDEX($AO$2:$BQ$1001,MATCH(ROWS($AH$2:AH458),$AH$2:$AH$1001,0),MATCH(COLUMNS($AO$1006:BO1006),$AO$1006:$BQ$1006,0)), HYPERLINK("#",""), HYPERLINK(CONCATENATE("#Metadata!", ADDRESS(INDEX($AJ$2:$AJ$1001,MATCH(ROWS($AH$2:AH458),$AH$2:$AH$1001,0),0), INDEX($AO$1004:$BQ$1004,1,MATCH(COLUMNS($AO$1006:BO1006),$AO$1006:$BQ$1006,0)))),"Fix")))</f>
        <v>#N/A</v>
      </c>
      <c r="AC458" s="5" t="e">
        <f ca="1">IF(OR(INDEX($AI$2:$AI$1001,MATCH(ROWS($AH$2:AH458),$AH$2:$AH$1001,0),1)&gt;=100000,INDEX($AO$1005:$BQ$1005,1,MATCH(COLUMNS($AO$1006:BP1006),$AO$1006:$BQ$1006,0))&gt;=100000), " ",IF(INDEX($AO$2:$BQ$1001,MATCH(ROWS($AH$2:AH458),$AH$2:$AH$1001,0),MATCH(COLUMNS($AO$1006:BP1006),$AO$1006:$BQ$1006,0)), HYPERLINK("#",""), HYPERLINK(CONCATENATE("#Metadata!", ADDRESS(INDEX($AJ$2:$AJ$1001,MATCH(ROWS($AH$2:AH458),$AH$2:$AH$1001,0),0), INDEX($AO$1004:$BQ$1004,1,MATCH(COLUMNS($AO$1006:BP1006),$AO$1006:$BQ$1006,0)))),"Fix")))</f>
        <v>#N/A</v>
      </c>
      <c r="AD458" s="5" t="e">
        <f ca="1">IF(OR(INDEX($AI$2:$AI$1001,MATCH(ROWS($AH$2:AH458),$AH$2:$AH$1001,0),1)&gt;=100000,INDEX($AO$1005:$BQ$1005,1,MATCH(COLUMNS($AO$1006:BQ1006),$AO$1006:$BQ$1006,0))&gt;=100000), " ",IF(INDEX($AO$2:$BQ$1001,MATCH(ROWS($AH$2:AH458),$AH$2:$AH$1001,0),MATCH(COLUMNS($AO$1006:BQ1006),$AO$1006:$BQ$1006,0)), HYPERLINK("#",""), HYPERLINK(CONCATENATE("#Metadata!", ADDRESS(INDEX($AJ$2:$AJ$1001,MATCH(ROWS($AH$2:AH458),$AH$2:$AH$1001,0),0), INDEX($AO$1004:$BQ$1004,1,MATCH(COLUMNS($AO$1006:BQ1006),$AO$1006:$BQ$1006,0)))),"Fix")))</f>
        <v>#REF!</v>
      </c>
      <c r="AH458">
        <f ca="1"/>
        <v>455</v>
      </c>
      <c r="AI458">
        <v>100458</v>
      </c>
      <c r="AJ458">
        <v>458</v>
      </c>
      <c r="AK458" t="b">
        <f t="shared" si="7"/>
        <v>1</v>
      </c>
      <c r="AL458" t="b">
        <f>COUNTBLANK(Metadata!B458:AD458)=COLUMNS(Metadata!B458:AD458)</f>
        <v>1</v>
      </c>
      <c r="AM458" t="str">
        <v/>
      </c>
      <c r="AO458" t="b">
        <f ca="1">AND(IF(Metadata!B458="",FALSE,TRUE),COUNTIF(Metadata!B:B, Metadata!B458) = 1,NOT(ISERROR(SUMPRODUCT(SEARCH(MID(Metadata!B458,ROW(INDIRECT("1:"&amp;LEN(Metadata!B458))), 1),"0123456789abcdefghijklmnopqrstuvwxyzABCDEFGHIJKLMNOPQRSTUVWXYZ.")))))</f>
        <v>0</v>
      </c>
      <c r="AP458" t="b">
        <f>IF(Metadata!C458="",FALSE,TRUE)</f>
        <v>0</v>
      </c>
      <c r="AQ458" t="b">
        <f>IF(Metadata!D458="",FALSE,TRUE)</f>
        <v>0</v>
      </c>
      <c r="AR458" t="b">
        <f ca="1">OR(AND(IF(Metadata!E458="",FALSE,TRUE),OR(EXACT(Metadata!E458,"not collected"),EXACT(Metadata!E458,"not provided"),EXACT(Metadata!E458,"restricted access"))),AND(IF(Metadata!E458="",FALSE,TRUE),AND(AND(IFERROR(INT(LEFT(Metadata!E458,4))&gt;1900,FALSE),IFERROR(INT(LEFT(Metadata!E458,4))&lt;=YEAR(NOW()),FALSE)), OR(MID(Metadata!E458,5,1)="", AND(AND(MID(Metadata!E458,5,1)="-",IFERROR(INT(MID(Metadata!E458,6,1))&gt;=0,FALSE),IFERROR(INT(MID(Metadata!E458,6,1))&lt;=1,FALSE),NOT(MID(Metadata!E458,7,1)=""),IFERROR(INT(MID(Metadata!E458,6,2))&gt;=1,FALSE),IFERROR(INT(MID(Metadata!E458,6,2))&lt;=12,FALSE)), OR(MID(Metadata!E458,8,1)="", AND(AND(MID(Metadata!E458,8,1)="-",IFERROR(INT(MID(Metadata!E458,9,1))&gt;=0,FALSE),IFERROR(INT(MID(Metadata!E458,9,1))&lt;=3,FALSE),NOT(MID(Metadata!E458,10,1)=""),IFERROR(INT(MID(Metadata!E458,9,2))&gt;=1,FALSE),IFERROR(INT(MID(Metadata!E458,9,2))&lt;=31,FALSE)), OR(MID(Metadata!E458,11,1)="", AND(AND(MID(Metadata!E458,11,1)=" ",IFERROR(INT(MID(Metadata!E458,12,1))&gt;=0,FALSE),IFERROR(INT(MID(Metadata!E458,12,1))&lt;=2,FALSE),NOT(MID(Metadata!E458,13,1)=""),IFERROR(INT(MID(Metadata!E458,12,2))&gt;=0,FALSE),IFERROR(INT(MID(Metadata!E458,12,2))&lt;=23,FALSE)), OR(MID(Metadata!E458,14,1)="", AND(AND(MID(Metadata!E458,14,1)=":",IFERROR(INT(MID(Metadata!E458,15,1))&gt;=0,FALSE),IFERROR(INT(MID(Metadata!E458,15,1))&lt;=5,FALSE),NOT(MID(Metadata!E458,16,1)=""),IFERROR(INT(MID(Metadata!E458,15,2))&gt;=0,FALSE),IFERROR(INT(MID(Metadata!E458,15,2))&lt;=59,FALSE)), OR(MID(Metadata!E458,17,1)="", AND(AND(MID(Metadata!E458,17,1)=":",IFERROR(INT(MID(Metadata!E458,18,1))&gt;=0,FALSE),IFERROR(INT(MID(Metadata!E458,18,1))&lt;=5,FALSE),NOT(MID(Metadata!E458,19,1)=""),IFERROR(INT(MID(Metadata!E458,18,2))&gt;=0,FALSE),IFERROR(INT(MID(Metadata!E458,18,2))&lt;=59,FALSE)), LEN(Metadata!E458)&lt;=19)))))))))))))</f>
        <v>0</v>
      </c>
      <c r="AS458" t="b">
        <f>IF(Metadata!F458="",FALSE,TRUE)</f>
        <v>0</v>
      </c>
      <c r="AT458" t="b">
        <f>OR(AND(IF(Metadata!G458="",FALSE,TRUE),OR(EXACT(Metadata!G458,"not collected"),EXACT(Metadata!G458,"not provided"))),AND(IF(Metadata!G458="",FALSE,TRUE),OR(EXACT(Metadata!G458,"TRUE"),EXACT(Metadata!G458,"FALSE"))))</f>
        <v>0</v>
      </c>
      <c r="AU458" t="b">
        <f>OR(AND(IF(Metadata!H458="",FALSE,TRUE),OR(EXACT(Metadata!H458,"not collected"),EXACT(Metadata!H458,"not provided"),EXACT(Metadata!H458,"restricted access"))),AND(IF(Metadata!H458="",FALSE,ISNUMBER(VALUE(Metadata!H458))),Metadata!H458&gt;=-413))</f>
        <v>0</v>
      </c>
      <c r="AV458" t="b">
        <f>AND(IF(Metadata!I458="",FALSE,TRUE),EXACT(Metadata!I458,"meters"))</f>
        <v>0</v>
      </c>
      <c r="AW458" t="b">
        <f>AND(IF(Metadata!J458="",FALSE,TRUE),EXACT(Metadata!J458,"free-living"))</f>
        <v>0</v>
      </c>
      <c r="AX458" t="b">
        <f>AND(IF(Metadata!K458="",FALSE,TRUE),OR(EXACT(Metadata!K458,"saline"),EXACT(Metadata!K458,"non-saline")))</f>
        <v>0</v>
      </c>
      <c r="AY458" t="b">
        <f>AND(IF(Metadata!L458="",FALSE,TRUE),OR(EXACT(Metadata!L458,"sub-surface (non-saline)"),EXACT(Metadata!L458,"surface (non-saline)"),EXACT(Metadata!L458,"water (non-saline)"),EXACT(Metadata!L458,"soil (non-saline)"),EXACT(Metadata!L458,"aerosol (non-saline)"),EXACT(Metadata!L458,"sediment (non-saline)"),EXACT(Metadata!L458,"surface (saline)"),EXACT(Metadata!L458,"water (saline)"),EXACT(Metadata!L458,"hypersaline (saline)"),EXACT(Metadata!L458,"aerosol (saline)"),EXACT(Metadata!L458,"sediment (saline)")))</f>
        <v>0</v>
      </c>
      <c r="AZ458" t="b">
        <f>IF(Metadata!M458="",FALSE,TRUE)</f>
        <v>0</v>
      </c>
      <c r="BA458" t="b">
        <f>IF(Metadata!N458="",FALSE,TRUE)</f>
        <v>0</v>
      </c>
      <c r="BB458" t="b">
        <f>IF(Metadata!O458="",FALSE,TRUE)</f>
        <v>0</v>
      </c>
      <c r="BC458" t="b">
        <f>AND(IF(Metadata!P458="",FALSE,TRUE),OR(EXACT(Metadata!P458,"air"),EXACT(Metadata!P458,"microbial mat/biofilm"),EXACT(Metadata!P458,"misc environment"),EXACT(Metadata!P458,"sediment"),EXACT(Metadata!P458,"soil"),EXACT(Metadata!P458,"wastewater/sludge"),EXACT(Metadata!P458,"water")))</f>
        <v>0</v>
      </c>
      <c r="BD458" t="b">
        <f>IF(Metadata!Q458="",FALSE,TRUE)</f>
        <v>0</v>
      </c>
      <c r="BE458" t="b">
        <f>IF(Metadata!R458="",FALSE,TRUE)</f>
        <v>0</v>
      </c>
      <c r="BF458" t="b">
        <f>OR(AND(IF(Metadata!S458="",FALSE,TRUE),OR(EXACT(Metadata!S458,"not collected"),EXACT(Metadata!S458,"not provided"),EXACT(Metadata!S458,"restricted access"))),AND(IF(Metadata!S458="",FALSE,ISNUMBER(VALUE(Metadata!S458))),Metadata!S458&gt;=-90,Metadata!S458&lt;=90))</f>
        <v>0</v>
      </c>
      <c r="BG458" t="b">
        <f>AND(IF(Metadata!T458="",FALSE,TRUE),EXACT(Metadata!T458,"Decimal degrees"))</f>
        <v>0</v>
      </c>
      <c r="BH458" t="b">
        <f>OR(AND(IF(Metadata!U458="",FALSE,TRUE),OR(EXACT(Metadata!U458,"not applicable"),EXACT(Metadata!U458,"not collected"))),IF(Metadata!U458="",FALSE,TRUE))</f>
        <v>0</v>
      </c>
      <c r="BI458" t="b">
        <f>OR(AND(IF(Metadata!V458="",FALSE,TRUE),OR(EXACT(Metadata!V458,"not collected"),EXACT(Metadata!V458,"not provided"),EXACT(Metadata!V458,"restricted access"))),AND(IF(Metadata!V458="",FALSE,ISNUMBER(VALUE(Metadata!V458))),Metadata!V458&gt;=-180,Metadata!V458&lt;=180))</f>
        <v>0</v>
      </c>
      <c r="BJ458" t="b">
        <f>AND(IF(Metadata!W458="",FALSE,TRUE),EXACT(Metadata!W458,"Decimal degrees"))</f>
        <v>0</v>
      </c>
      <c r="BK458" t="b">
        <f>IF(Metadata!X458="",FALSE,TRUE)</f>
        <v>0</v>
      </c>
      <c r="BL458" t="b">
        <f>OR(AND(IF(Metadata!Y458="",FALSE,TRUE),OR(EXACT(Metadata!Y458,"not collected"),EXACT(Metadata!Y458,"not provided"),EXACT(Metadata!Y458,"restricted access"))),AND(IF(Metadata!Y458="",FALSE,TRUE),OR(EXACT(Metadata!Y458,"TRUE"),EXACT(Metadata!Y458,"FALSE"))))</f>
        <v>0</v>
      </c>
      <c r="BM458" t="b">
        <f>OR(AND(IF(Metadata!Z458="",FALSE,TRUE),EXACT(Metadata!Z458,"not applicable")),AND(IF(Metadata!Z458="",FALSE,TRUE),OR(EXACT(Metadata!Z458,"beer"),EXACT(Metadata!Z458,"cheese"),EXACT(Metadata!Z458,"fresh water"),EXACT(Metadata!Z458,"marine sediment"),EXACT(Metadata!Z458,"sea water"),EXACT(Metadata!Z458,"sediment"),EXACT(Metadata!Z458,"soil"),EXACT(Metadata!Z458,"waste water"))))</f>
        <v>0</v>
      </c>
      <c r="BN458" t="b">
        <f>AND(IF(Metadata!AA458="",FALSE,TRUE),EXACT(Metadata!AA458,"metagenome"))</f>
        <v>0</v>
      </c>
      <c r="BO458" t="b">
        <f>AND(IF(Metadata!AB458="",FALSE,TRUE),EXACT(Metadata!AB458,"256318"))</f>
        <v>0</v>
      </c>
      <c r="BP458" t="b">
        <f>IF(Metadata!AC458="",FALSE,TRUE)</f>
        <v>0</v>
      </c>
      <c r="BQ458" t="b">
        <f>IF(Metadata!AD458="",FALSE,TRUE)</f>
        <v>0</v>
      </c>
    </row>
    <row r="459" spans="1:69" x14ac:dyDescent="0.2">
      <c r="A459" s="4" t="e">
        <f ca="1">IF(B459=" "," ",HYPERLINK(CONCATENATE("#metadata!",ADDRESS(INDEX($AJ$2:$AJ$1001,MATCH(ROWS($AH$2:AH459),$AH$2:$AH$1001,0),0),2)),INDEX($AM$2:$AM$1001,MATCH(ROWS($AH$2:AH459),$AH$2:$AH$1001,0),0)))</f>
        <v>#N/A</v>
      </c>
      <c r="B459" s="5" t="e">
        <f ca="1">IF(OR(INDEX($AI$2:$AI$1001,MATCH(ROWS($AH$2:AH459),$AH$2:$AH$1001,0),1)&gt;=100000,INDEX($AO$1005:$BQ$1005,1,MATCH(COLUMNS($AO$1006:AO1006),$AO$1006:$BQ$1006,0))&gt;=100000), " ",IF(INDEX($AO$2:$BQ$1001,MATCH(ROWS($AH$2:AH459),$AH$2:$AH$1001,0),MATCH(COLUMNS($AO$1006:AO1006),$AO$1006:$BQ$1006,0)), HYPERLINK("#",""), HYPERLINK(CONCATENATE("#Metadata!", ADDRESS(INDEX($AJ$2:$AJ$1001,MATCH(ROWS($AH$2:AH459),$AH$2:$AH$1001,0),0), INDEX($AO$1004:$BQ$1004,1,MATCH(COLUMNS($AO$1006:AO1006),$AO$1006:$BQ$1006,0)))),"Fix")))</f>
        <v>#N/A</v>
      </c>
      <c r="C459" s="5" t="e">
        <f ca="1">IF(OR(INDEX($AI$2:$AI$1001,MATCH(ROWS($AH$2:AH459),$AH$2:$AH$1001,0),1)&gt;=100000,INDEX($AO$1005:$BQ$1005,1,MATCH(COLUMNS($AO$1006:AP1006),$AO$1006:$BQ$1006,0))&gt;=100000), " ",IF(INDEX($AO$2:$BQ$1001,MATCH(ROWS($AH$2:AH459),$AH$2:$AH$1001,0),MATCH(COLUMNS($AO$1006:AP1006),$AO$1006:$BQ$1006,0)), HYPERLINK("#",""), HYPERLINK(CONCATENATE("#Metadata!", ADDRESS(INDEX($AJ$2:$AJ$1001,MATCH(ROWS($AH$2:AH459),$AH$2:$AH$1001,0),0), INDEX($AO$1004:$BQ$1004,1,MATCH(COLUMNS($AO$1006:AP1006),$AO$1006:$BQ$1006,0)))),"Fix")))</f>
        <v>#N/A</v>
      </c>
      <c r="D459" s="5" t="e">
        <f ca="1">IF(OR(INDEX($AI$2:$AI$1001,MATCH(ROWS($AH$2:AH459),$AH$2:$AH$1001,0),1)&gt;=100000,INDEX($AO$1005:$BQ$1005,1,MATCH(COLUMNS($AO$1006:AQ1006),$AO$1006:$BQ$1006,0))&gt;=100000), " ",IF(INDEX($AO$2:$BQ$1001,MATCH(ROWS($AH$2:AH459),$AH$2:$AH$1001,0),MATCH(COLUMNS($AO$1006:AQ1006),$AO$1006:$BQ$1006,0)), HYPERLINK("#",""), HYPERLINK(CONCATENATE("#Metadata!", ADDRESS(INDEX($AJ$2:$AJ$1001,MATCH(ROWS($AH$2:AH459),$AH$2:$AH$1001,0),0), INDEX($AO$1004:$BQ$1004,1,MATCH(COLUMNS($AO$1006:AQ1006),$AO$1006:$BQ$1006,0)))),"Fix")))</f>
        <v>#N/A</v>
      </c>
      <c r="E459" s="5" t="e">
        <f ca="1">IF(OR(INDEX($AI$2:$AI$1001,MATCH(ROWS($AH$2:AH459),$AH$2:$AH$1001,0),1)&gt;=100000,INDEX($AO$1005:$BQ$1005,1,MATCH(COLUMNS($AO$1006:AR1006),$AO$1006:$BQ$1006,0))&gt;=100000), " ",IF(INDEX($AO$2:$BQ$1001,MATCH(ROWS($AH$2:AH459),$AH$2:$AH$1001,0),MATCH(COLUMNS($AO$1006:AR1006),$AO$1006:$BQ$1006,0)), HYPERLINK("#",""), HYPERLINK(CONCATENATE("#Metadata!", ADDRESS(INDEX($AJ$2:$AJ$1001,MATCH(ROWS($AH$2:AH459),$AH$2:$AH$1001,0),0), INDEX($AO$1004:$BQ$1004,1,MATCH(COLUMNS($AO$1006:AR1006),$AO$1006:$BQ$1006,0)))),"Fix")))</f>
        <v>#N/A</v>
      </c>
      <c r="F459" s="5" t="e">
        <f ca="1">IF(OR(INDEX($AI$2:$AI$1001,MATCH(ROWS($AH$2:AH459),$AH$2:$AH$1001,0),1)&gt;=100000,INDEX($AO$1005:$BQ$1005,1,MATCH(COLUMNS($AO$1006:AS1006),$AO$1006:$BQ$1006,0))&gt;=100000), " ",IF(INDEX($AO$2:$BQ$1001,MATCH(ROWS($AH$2:AH459),$AH$2:$AH$1001,0),MATCH(COLUMNS($AO$1006:AS1006),$AO$1006:$BQ$1006,0)), HYPERLINK("#",""), HYPERLINK(CONCATENATE("#Metadata!", ADDRESS(INDEX($AJ$2:$AJ$1001,MATCH(ROWS($AH$2:AH459),$AH$2:$AH$1001,0),0), INDEX($AO$1004:$BQ$1004,1,MATCH(COLUMNS($AO$1006:AS1006),$AO$1006:$BQ$1006,0)))),"Fix")))</f>
        <v>#N/A</v>
      </c>
      <c r="G459" s="5" t="e">
        <f ca="1">IF(OR(INDEX($AI$2:$AI$1001,MATCH(ROWS($AH$2:AH459),$AH$2:$AH$1001,0),1)&gt;=100000,INDEX($AO$1005:$BQ$1005,1,MATCH(COLUMNS($AO$1006:AT1006),$AO$1006:$BQ$1006,0))&gt;=100000), " ",IF(INDEX($AO$2:$BQ$1001,MATCH(ROWS($AH$2:AH459),$AH$2:$AH$1001,0),MATCH(COLUMNS($AO$1006:AT1006),$AO$1006:$BQ$1006,0)), HYPERLINK("#",""), HYPERLINK(CONCATENATE("#Metadata!", ADDRESS(INDEX($AJ$2:$AJ$1001,MATCH(ROWS($AH$2:AH459),$AH$2:$AH$1001,0),0), INDEX($AO$1004:$BQ$1004,1,MATCH(COLUMNS($AO$1006:AT1006),$AO$1006:$BQ$1006,0)))),"Fix")))</f>
        <v>#N/A</v>
      </c>
      <c r="H459" s="5" t="e">
        <f ca="1">IF(OR(INDEX($AI$2:$AI$1001,MATCH(ROWS($AH$2:AH459),$AH$2:$AH$1001,0),1)&gt;=100000,INDEX($AO$1005:$BQ$1005,1,MATCH(COLUMNS($AO$1006:AU1006),$AO$1006:$BQ$1006,0))&gt;=100000), " ",IF(INDEX($AO$2:$BQ$1001,MATCH(ROWS($AH$2:AH459),$AH$2:$AH$1001,0),MATCH(COLUMNS($AO$1006:AU1006),$AO$1006:$BQ$1006,0)), HYPERLINK("#",""), HYPERLINK(CONCATENATE("#Metadata!", ADDRESS(INDEX($AJ$2:$AJ$1001,MATCH(ROWS($AH$2:AH459),$AH$2:$AH$1001,0),0), INDEX($AO$1004:$BQ$1004,1,MATCH(COLUMNS($AO$1006:AU1006),$AO$1006:$BQ$1006,0)))),"Fix")))</f>
        <v>#N/A</v>
      </c>
      <c r="I459" s="5" t="e">
        <f ca="1">IF(OR(INDEX($AI$2:$AI$1001,MATCH(ROWS($AH$2:AH459),$AH$2:$AH$1001,0),1)&gt;=100000,INDEX($AO$1005:$BQ$1005,1,MATCH(COLUMNS($AO$1006:AV1006),$AO$1006:$BQ$1006,0))&gt;=100000), " ",IF(INDEX($AO$2:$BQ$1001,MATCH(ROWS($AH$2:AH459),$AH$2:$AH$1001,0),MATCH(COLUMNS($AO$1006:AV1006),$AO$1006:$BQ$1006,0)), HYPERLINK("#",""), HYPERLINK(CONCATENATE("#Metadata!", ADDRESS(INDEX($AJ$2:$AJ$1001,MATCH(ROWS($AH$2:AH459),$AH$2:$AH$1001,0),0), INDEX($AO$1004:$BQ$1004,1,MATCH(COLUMNS($AO$1006:AV1006),$AO$1006:$BQ$1006,0)))),"Fix")))</f>
        <v>#N/A</v>
      </c>
      <c r="J459" s="5" t="e">
        <f ca="1">IF(OR(INDEX($AI$2:$AI$1001,MATCH(ROWS($AH$2:AH459),$AH$2:$AH$1001,0),1)&gt;=100000,INDEX($AO$1005:$BQ$1005,1,MATCH(COLUMNS($AO$1006:AW1006),$AO$1006:$BQ$1006,0))&gt;=100000), " ",IF(INDEX($AO$2:$BQ$1001,MATCH(ROWS($AH$2:AH459),$AH$2:$AH$1001,0),MATCH(COLUMNS($AO$1006:AW1006),$AO$1006:$BQ$1006,0)), HYPERLINK("#",""), HYPERLINK(CONCATENATE("#Metadata!", ADDRESS(INDEX($AJ$2:$AJ$1001,MATCH(ROWS($AH$2:AH459),$AH$2:$AH$1001,0),0), INDEX($AO$1004:$BQ$1004,1,MATCH(COLUMNS($AO$1006:AW1006),$AO$1006:$BQ$1006,0)))),"Fix")))</f>
        <v>#N/A</v>
      </c>
      <c r="K459" s="5" t="e">
        <f ca="1">IF(OR(INDEX($AI$2:$AI$1001,MATCH(ROWS($AH$2:AH459),$AH$2:$AH$1001,0),1)&gt;=100000,INDEX($AO$1005:$BQ$1005,1,MATCH(COLUMNS($AO$1006:AX1006),$AO$1006:$BQ$1006,0))&gt;=100000), " ",IF(INDEX($AO$2:$BQ$1001,MATCH(ROWS($AH$2:AH459),$AH$2:$AH$1001,0),MATCH(COLUMNS($AO$1006:AX1006),$AO$1006:$BQ$1006,0)), HYPERLINK("#",""), HYPERLINK(CONCATENATE("#Metadata!", ADDRESS(INDEX($AJ$2:$AJ$1001,MATCH(ROWS($AH$2:AH459),$AH$2:$AH$1001,0),0), INDEX($AO$1004:$BQ$1004,1,MATCH(COLUMNS($AO$1006:AX1006),$AO$1006:$BQ$1006,0)))),"Fix")))</f>
        <v>#N/A</v>
      </c>
      <c r="L459" s="5" t="e">
        <f ca="1">IF(OR(INDEX($AI$2:$AI$1001,MATCH(ROWS($AH$2:AH459),$AH$2:$AH$1001,0),1)&gt;=100000,INDEX($AO$1005:$BQ$1005,1,MATCH(COLUMNS($AO$1006:AY1006),$AO$1006:$BQ$1006,0))&gt;=100000), " ",IF(INDEX($AO$2:$BQ$1001,MATCH(ROWS($AH$2:AH459),$AH$2:$AH$1001,0),MATCH(COLUMNS($AO$1006:AY1006),$AO$1006:$BQ$1006,0)), HYPERLINK("#",""), HYPERLINK(CONCATENATE("#Metadata!", ADDRESS(INDEX($AJ$2:$AJ$1001,MATCH(ROWS($AH$2:AH459),$AH$2:$AH$1001,0),0), INDEX($AO$1004:$BQ$1004,1,MATCH(COLUMNS($AO$1006:AY1006),$AO$1006:$BQ$1006,0)))),"Fix")))</f>
        <v>#N/A</v>
      </c>
      <c r="M459" s="5" t="e">
        <f ca="1">IF(OR(INDEX($AI$2:$AI$1001,MATCH(ROWS($AH$2:AH459),$AH$2:$AH$1001,0),1)&gt;=100000,INDEX($AO$1005:$BQ$1005,1,MATCH(COLUMNS($AO$1006:AZ1006),$AO$1006:$BQ$1006,0))&gt;=100000), " ",IF(INDEX($AO$2:$BQ$1001,MATCH(ROWS($AH$2:AH459),$AH$2:$AH$1001,0),MATCH(COLUMNS($AO$1006:AZ1006),$AO$1006:$BQ$1006,0)), HYPERLINK("#",""), HYPERLINK(CONCATENATE("#Metadata!", ADDRESS(INDEX($AJ$2:$AJ$1001,MATCH(ROWS($AH$2:AH459),$AH$2:$AH$1001,0),0), INDEX($AO$1004:$BQ$1004,1,MATCH(COLUMNS($AO$1006:AZ1006),$AO$1006:$BQ$1006,0)))),"Fix")))</f>
        <v>#N/A</v>
      </c>
      <c r="N459" s="5" t="e">
        <f ca="1">IF(OR(INDEX($AI$2:$AI$1001,MATCH(ROWS($AH$2:AH459),$AH$2:$AH$1001,0),1)&gt;=100000,INDEX($AO$1005:$BQ$1005,1,MATCH(COLUMNS($AO$1006:BA1006),$AO$1006:$BQ$1006,0))&gt;=100000), " ",IF(INDEX($AO$2:$BQ$1001,MATCH(ROWS($AH$2:AH459),$AH$2:$AH$1001,0),MATCH(COLUMNS($AO$1006:BA1006),$AO$1006:$BQ$1006,0)), HYPERLINK("#",""), HYPERLINK(CONCATENATE("#Metadata!", ADDRESS(INDEX($AJ$2:$AJ$1001,MATCH(ROWS($AH$2:AH459),$AH$2:$AH$1001,0),0), INDEX($AO$1004:$BQ$1004,1,MATCH(COLUMNS($AO$1006:BA1006),$AO$1006:$BQ$1006,0)))),"Fix")))</f>
        <v>#N/A</v>
      </c>
      <c r="O459" s="5" t="e">
        <f ca="1">IF(OR(INDEX($AI$2:$AI$1001,MATCH(ROWS($AH$2:AH459),$AH$2:$AH$1001,0),1)&gt;=100000,INDEX($AO$1005:$BQ$1005,1,MATCH(COLUMNS($AO$1006:BB1006),$AO$1006:$BQ$1006,0))&gt;=100000), " ",IF(INDEX($AO$2:$BQ$1001,MATCH(ROWS($AH$2:AH459),$AH$2:$AH$1001,0),MATCH(COLUMNS($AO$1006:BB1006),$AO$1006:$BQ$1006,0)), HYPERLINK("#",""), HYPERLINK(CONCATENATE("#Metadata!", ADDRESS(INDEX($AJ$2:$AJ$1001,MATCH(ROWS($AH$2:AH459),$AH$2:$AH$1001,0),0), INDEX($AO$1004:$BQ$1004,1,MATCH(COLUMNS($AO$1006:BB1006),$AO$1006:$BQ$1006,0)))),"Fix")))</f>
        <v>#N/A</v>
      </c>
      <c r="P459" s="5" t="e">
        <f ca="1">IF(OR(INDEX($AI$2:$AI$1001,MATCH(ROWS($AH$2:AH459),$AH$2:$AH$1001,0),1)&gt;=100000,INDEX($AO$1005:$BQ$1005,1,MATCH(COLUMNS($AO$1006:BC1006),$AO$1006:$BQ$1006,0))&gt;=100000), " ",IF(INDEX($AO$2:$BQ$1001,MATCH(ROWS($AH$2:AH459),$AH$2:$AH$1001,0),MATCH(COLUMNS($AO$1006:BC1006),$AO$1006:$BQ$1006,0)), HYPERLINK("#",""), HYPERLINK(CONCATENATE("#Metadata!", ADDRESS(INDEX($AJ$2:$AJ$1001,MATCH(ROWS($AH$2:AH459),$AH$2:$AH$1001,0),0), INDEX($AO$1004:$BQ$1004,1,MATCH(COLUMNS($AO$1006:BC1006),$AO$1006:$BQ$1006,0)))),"Fix")))</f>
        <v>#N/A</v>
      </c>
      <c r="Q459" s="5" t="e">
        <f ca="1">IF(OR(INDEX($AI$2:$AI$1001,MATCH(ROWS($AH$2:AH459),$AH$2:$AH$1001,0),1)&gt;=100000,INDEX($AO$1005:$BQ$1005,1,MATCH(COLUMNS($AO$1006:BD1006),$AO$1006:$BQ$1006,0))&gt;=100000), " ",IF(INDEX($AO$2:$BQ$1001,MATCH(ROWS($AH$2:AH459),$AH$2:$AH$1001,0),MATCH(COLUMNS($AO$1006:BD1006),$AO$1006:$BQ$1006,0)), HYPERLINK("#",""), HYPERLINK(CONCATENATE("#Metadata!", ADDRESS(INDEX($AJ$2:$AJ$1001,MATCH(ROWS($AH$2:AH459),$AH$2:$AH$1001,0),0), INDEX($AO$1004:$BQ$1004,1,MATCH(COLUMNS($AO$1006:BD1006),$AO$1006:$BQ$1006,0)))),"Fix")))</f>
        <v>#N/A</v>
      </c>
      <c r="R459" s="5" t="e">
        <f ca="1">IF(OR(INDEX($AI$2:$AI$1001,MATCH(ROWS($AH$2:AH459),$AH$2:$AH$1001,0),1)&gt;=100000,INDEX($AO$1005:$BQ$1005,1,MATCH(COLUMNS($AO$1006:BE1006),$AO$1006:$BQ$1006,0))&gt;=100000), " ",IF(INDEX($AO$2:$BQ$1001,MATCH(ROWS($AH$2:AH459),$AH$2:$AH$1001,0),MATCH(COLUMNS($AO$1006:BE1006),$AO$1006:$BQ$1006,0)), HYPERLINK("#",""), HYPERLINK(CONCATENATE("#Metadata!", ADDRESS(INDEX($AJ$2:$AJ$1001,MATCH(ROWS($AH$2:AH459),$AH$2:$AH$1001,0),0), INDEX($AO$1004:$BQ$1004,1,MATCH(COLUMNS($AO$1006:BE1006),$AO$1006:$BQ$1006,0)))),"Fix")))</f>
        <v>#N/A</v>
      </c>
      <c r="S459" s="5" t="e">
        <f ca="1">IF(OR(INDEX($AI$2:$AI$1001,MATCH(ROWS($AH$2:AH459),$AH$2:$AH$1001,0),1)&gt;=100000,INDEX($AO$1005:$BQ$1005,1,MATCH(COLUMNS($AO$1006:BF1006),$AO$1006:$BQ$1006,0))&gt;=100000), " ",IF(INDEX($AO$2:$BQ$1001,MATCH(ROWS($AH$2:AH459),$AH$2:$AH$1001,0),MATCH(COLUMNS($AO$1006:BF1006),$AO$1006:$BQ$1006,0)), HYPERLINK("#",""), HYPERLINK(CONCATENATE("#Metadata!", ADDRESS(INDEX($AJ$2:$AJ$1001,MATCH(ROWS($AH$2:AH459),$AH$2:$AH$1001,0),0), INDEX($AO$1004:$BQ$1004,1,MATCH(COLUMNS($AO$1006:BF1006),$AO$1006:$BQ$1006,0)))),"Fix")))</f>
        <v>#N/A</v>
      </c>
      <c r="T459" s="5" t="e">
        <f ca="1">IF(OR(INDEX($AI$2:$AI$1001,MATCH(ROWS($AH$2:AH459),$AH$2:$AH$1001,0),1)&gt;=100000,INDEX($AO$1005:$BQ$1005,1,MATCH(COLUMNS($AO$1006:BG1006),$AO$1006:$BQ$1006,0))&gt;=100000), " ",IF(INDEX($AO$2:$BQ$1001,MATCH(ROWS($AH$2:AH459),$AH$2:$AH$1001,0),MATCH(COLUMNS($AO$1006:BG1006),$AO$1006:$BQ$1006,0)), HYPERLINK("#",""), HYPERLINK(CONCATENATE("#Metadata!", ADDRESS(INDEX($AJ$2:$AJ$1001,MATCH(ROWS($AH$2:AH459),$AH$2:$AH$1001,0),0), INDEX($AO$1004:$BQ$1004,1,MATCH(COLUMNS($AO$1006:BG1006),$AO$1006:$BQ$1006,0)))),"Fix")))</f>
        <v>#N/A</v>
      </c>
      <c r="U459" s="5" t="e">
        <f ca="1">IF(OR(INDEX($AI$2:$AI$1001,MATCH(ROWS($AH$2:AH459),$AH$2:$AH$1001,0),1)&gt;=100000,INDEX($AO$1005:$BQ$1005,1,MATCH(COLUMNS($AO$1006:BH1006),$AO$1006:$BQ$1006,0))&gt;=100000), " ",IF(INDEX($AO$2:$BQ$1001,MATCH(ROWS($AH$2:AH459),$AH$2:$AH$1001,0),MATCH(COLUMNS($AO$1006:BH1006),$AO$1006:$BQ$1006,0)), HYPERLINK("#",""), HYPERLINK(CONCATENATE("#Metadata!", ADDRESS(INDEX($AJ$2:$AJ$1001,MATCH(ROWS($AH$2:AH459),$AH$2:$AH$1001,0),0), INDEX($AO$1004:$BQ$1004,1,MATCH(COLUMNS($AO$1006:BH1006),$AO$1006:$BQ$1006,0)))),"Fix")))</f>
        <v>#N/A</v>
      </c>
      <c r="V459" s="5" t="e">
        <f ca="1">IF(OR(INDEX($AI$2:$AI$1001,MATCH(ROWS($AH$2:AH459),$AH$2:$AH$1001,0),1)&gt;=100000,INDEX($AO$1005:$BQ$1005,1,MATCH(COLUMNS($AO$1006:BI1006),$AO$1006:$BQ$1006,0))&gt;=100000), " ",IF(INDEX($AO$2:$BQ$1001,MATCH(ROWS($AH$2:AH459),$AH$2:$AH$1001,0),MATCH(COLUMNS($AO$1006:BI1006),$AO$1006:$BQ$1006,0)), HYPERLINK("#",""), HYPERLINK(CONCATENATE("#Metadata!", ADDRESS(INDEX($AJ$2:$AJ$1001,MATCH(ROWS($AH$2:AH459),$AH$2:$AH$1001,0),0), INDEX($AO$1004:$BQ$1004,1,MATCH(COLUMNS($AO$1006:BI1006),$AO$1006:$BQ$1006,0)))),"Fix")))</f>
        <v>#N/A</v>
      </c>
      <c r="W459" s="5" t="e">
        <f ca="1">IF(OR(INDEX($AI$2:$AI$1001,MATCH(ROWS($AH$2:AH459),$AH$2:$AH$1001,0),1)&gt;=100000,INDEX($AO$1005:$BQ$1005,1,MATCH(COLUMNS($AO$1006:BJ1006),$AO$1006:$BQ$1006,0))&gt;=100000), " ",IF(INDEX($AO$2:$BQ$1001,MATCH(ROWS($AH$2:AH459),$AH$2:$AH$1001,0),MATCH(COLUMNS($AO$1006:BJ1006),$AO$1006:$BQ$1006,0)), HYPERLINK("#",""), HYPERLINK(CONCATENATE("#Metadata!", ADDRESS(INDEX($AJ$2:$AJ$1001,MATCH(ROWS($AH$2:AH459),$AH$2:$AH$1001,0),0), INDEX($AO$1004:$BQ$1004,1,MATCH(COLUMNS($AO$1006:BJ1006),$AO$1006:$BQ$1006,0)))),"Fix")))</f>
        <v>#N/A</v>
      </c>
      <c r="X459" s="5" t="e">
        <f ca="1">IF(OR(INDEX($AI$2:$AI$1001,MATCH(ROWS($AH$2:AH459),$AH$2:$AH$1001,0),1)&gt;=100000,INDEX($AO$1005:$BQ$1005,1,MATCH(COLUMNS($AO$1006:BK1006),$AO$1006:$BQ$1006,0))&gt;=100000), " ",IF(INDEX($AO$2:$BQ$1001,MATCH(ROWS($AH$2:AH459),$AH$2:$AH$1001,0),MATCH(COLUMNS($AO$1006:BK1006),$AO$1006:$BQ$1006,0)), HYPERLINK("#",""), HYPERLINK(CONCATENATE("#Metadata!", ADDRESS(INDEX($AJ$2:$AJ$1001,MATCH(ROWS($AH$2:AH459),$AH$2:$AH$1001,0),0), INDEX($AO$1004:$BQ$1004,1,MATCH(COLUMNS($AO$1006:BK1006),$AO$1006:$BQ$1006,0)))),"Fix")))</f>
        <v>#N/A</v>
      </c>
      <c r="Y459" s="5" t="e">
        <f ca="1">IF(OR(INDEX($AI$2:$AI$1001,MATCH(ROWS($AH$2:AH459),$AH$2:$AH$1001,0),1)&gt;=100000,INDEX($AO$1005:$BQ$1005,1,MATCH(COLUMNS($AO$1006:BL1006),$AO$1006:$BQ$1006,0))&gt;=100000), " ",IF(INDEX($AO$2:$BQ$1001,MATCH(ROWS($AH$2:AH459),$AH$2:$AH$1001,0),MATCH(COLUMNS($AO$1006:BL1006),$AO$1006:$BQ$1006,0)), HYPERLINK("#",""), HYPERLINK(CONCATENATE("#Metadata!", ADDRESS(INDEX($AJ$2:$AJ$1001,MATCH(ROWS($AH$2:AH459),$AH$2:$AH$1001,0),0), INDEX($AO$1004:$BQ$1004,1,MATCH(COLUMNS($AO$1006:BL1006),$AO$1006:$BQ$1006,0)))),"Fix")))</f>
        <v>#N/A</v>
      </c>
      <c r="Z459" s="5" t="e">
        <f ca="1">IF(OR(INDEX($AI$2:$AI$1001,MATCH(ROWS($AH$2:AH459),$AH$2:$AH$1001,0),1)&gt;=100000,INDEX($AO$1005:$BQ$1005,1,MATCH(COLUMNS($AO$1006:BM1006),$AO$1006:$BQ$1006,0))&gt;=100000), " ",IF(INDEX($AO$2:$BQ$1001,MATCH(ROWS($AH$2:AH459),$AH$2:$AH$1001,0),MATCH(COLUMNS($AO$1006:BM1006),$AO$1006:$BQ$1006,0)), HYPERLINK("#",""), HYPERLINK(CONCATENATE("#Metadata!", ADDRESS(INDEX($AJ$2:$AJ$1001,MATCH(ROWS($AH$2:AH459),$AH$2:$AH$1001,0),0), INDEX($AO$1004:$BQ$1004,1,MATCH(COLUMNS($AO$1006:BM1006),$AO$1006:$BQ$1006,0)))),"Fix")))</f>
        <v>#N/A</v>
      </c>
      <c r="AA459" s="5" t="e">
        <f ca="1">IF(OR(INDEX($AI$2:$AI$1001,MATCH(ROWS($AH$2:AH459),$AH$2:$AH$1001,0),1)&gt;=100000,INDEX($AO$1005:$BQ$1005,1,MATCH(COLUMNS($AO$1006:BN1006),$AO$1006:$BQ$1006,0))&gt;=100000), " ",IF(INDEX($AO$2:$BQ$1001,MATCH(ROWS($AH$2:AH459),$AH$2:$AH$1001,0),MATCH(COLUMNS($AO$1006:BN1006),$AO$1006:$BQ$1006,0)), HYPERLINK("#",""), HYPERLINK(CONCATENATE("#Metadata!", ADDRESS(INDEX($AJ$2:$AJ$1001,MATCH(ROWS($AH$2:AH459),$AH$2:$AH$1001,0),0), INDEX($AO$1004:$BQ$1004,1,MATCH(COLUMNS($AO$1006:BN1006),$AO$1006:$BQ$1006,0)))),"Fix")))</f>
        <v>#N/A</v>
      </c>
      <c r="AB459" s="5" t="e">
        <f ca="1">IF(OR(INDEX($AI$2:$AI$1001,MATCH(ROWS($AH$2:AH459),$AH$2:$AH$1001,0),1)&gt;=100000,INDEX($AO$1005:$BQ$1005,1,MATCH(COLUMNS($AO$1006:BO1006),$AO$1006:$BQ$1006,0))&gt;=100000), " ",IF(INDEX($AO$2:$BQ$1001,MATCH(ROWS($AH$2:AH459),$AH$2:$AH$1001,0),MATCH(COLUMNS($AO$1006:BO1006),$AO$1006:$BQ$1006,0)), HYPERLINK("#",""), HYPERLINK(CONCATENATE("#Metadata!", ADDRESS(INDEX($AJ$2:$AJ$1001,MATCH(ROWS($AH$2:AH459),$AH$2:$AH$1001,0),0), INDEX($AO$1004:$BQ$1004,1,MATCH(COLUMNS($AO$1006:BO1006),$AO$1006:$BQ$1006,0)))),"Fix")))</f>
        <v>#N/A</v>
      </c>
      <c r="AC459" s="5" t="e">
        <f ca="1">IF(OR(INDEX($AI$2:$AI$1001,MATCH(ROWS($AH$2:AH459),$AH$2:$AH$1001,0),1)&gt;=100000,INDEX($AO$1005:$BQ$1005,1,MATCH(COLUMNS($AO$1006:BP1006),$AO$1006:$BQ$1006,0))&gt;=100000), " ",IF(INDEX($AO$2:$BQ$1001,MATCH(ROWS($AH$2:AH459),$AH$2:$AH$1001,0),MATCH(COLUMNS($AO$1006:BP1006),$AO$1006:$BQ$1006,0)), HYPERLINK("#",""), HYPERLINK(CONCATENATE("#Metadata!", ADDRESS(INDEX($AJ$2:$AJ$1001,MATCH(ROWS($AH$2:AH459),$AH$2:$AH$1001,0),0), INDEX($AO$1004:$BQ$1004,1,MATCH(COLUMNS($AO$1006:BP1006),$AO$1006:$BQ$1006,0)))),"Fix")))</f>
        <v>#N/A</v>
      </c>
      <c r="AD459" s="5" t="e">
        <f ca="1">IF(OR(INDEX($AI$2:$AI$1001,MATCH(ROWS($AH$2:AH459),$AH$2:$AH$1001,0),1)&gt;=100000,INDEX($AO$1005:$BQ$1005,1,MATCH(COLUMNS($AO$1006:BQ1006),$AO$1006:$BQ$1006,0))&gt;=100000), " ",IF(INDEX($AO$2:$BQ$1001,MATCH(ROWS($AH$2:AH459),$AH$2:$AH$1001,0),MATCH(COLUMNS($AO$1006:BQ1006),$AO$1006:$BQ$1006,0)), HYPERLINK("#",""), HYPERLINK(CONCATENATE("#Metadata!", ADDRESS(INDEX($AJ$2:$AJ$1001,MATCH(ROWS($AH$2:AH459),$AH$2:$AH$1001,0),0), INDEX($AO$1004:$BQ$1004,1,MATCH(COLUMNS($AO$1006:BQ1006),$AO$1006:$BQ$1006,0)))),"Fix")))</f>
        <v>#REF!</v>
      </c>
      <c r="AH459">
        <f ca="1"/>
        <v>456</v>
      </c>
      <c r="AI459">
        <v>100459</v>
      </c>
      <c r="AJ459">
        <v>459</v>
      </c>
      <c r="AK459" t="b">
        <f t="shared" si="7"/>
        <v>1</v>
      </c>
      <c r="AL459" t="b">
        <f>COUNTBLANK(Metadata!B459:AD459)=COLUMNS(Metadata!B459:AD459)</f>
        <v>1</v>
      </c>
      <c r="AM459" t="str">
        <v/>
      </c>
      <c r="AO459" t="b">
        <f ca="1">AND(IF(Metadata!B459="",FALSE,TRUE),COUNTIF(Metadata!B:B, Metadata!B459) = 1,NOT(ISERROR(SUMPRODUCT(SEARCH(MID(Metadata!B459,ROW(INDIRECT("1:"&amp;LEN(Metadata!B459))), 1),"0123456789abcdefghijklmnopqrstuvwxyzABCDEFGHIJKLMNOPQRSTUVWXYZ.")))))</f>
        <v>0</v>
      </c>
      <c r="AP459" t="b">
        <f>IF(Metadata!C459="",FALSE,TRUE)</f>
        <v>0</v>
      </c>
      <c r="AQ459" t="b">
        <f>IF(Metadata!D459="",FALSE,TRUE)</f>
        <v>0</v>
      </c>
      <c r="AR459" t="b">
        <f ca="1">OR(AND(IF(Metadata!E459="",FALSE,TRUE),OR(EXACT(Metadata!E459,"not collected"),EXACT(Metadata!E459,"not provided"),EXACT(Metadata!E459,"restricted access"))),AND(IF(Metadata!E459="",FALSE,TRUE),AND(AND(IFERROR(INT(LEFT(Metadata!E459,4))&gt;1900,FALSE),IFERROR(INT(LEFT(Metadata!E459,4))&lt;=YEAR(NOW()),FALSE)), OR(MID(Metadata!E459,5,1)="", AND(AND(MID(Metadata!E459,5,1)="-",IFERROR(INT(MID(Metadata!E459,6,1))&gt;=0,FALSE),IFERROR(INT(MID(Metadata!E459,6,1))&lt;=1,FALSE),NOT(MID(Metadata!E459,7,1)=""),IFERROR(INT(MID(Metadata!E459,6,2))&gt;=1,FALSE),IFERROR(INT(MID(Metadata!E459,6,2))&lt;=12,FALSE)), OR(MID(Metadata!E459,8,1)="", AND(AND(MID(Metadata!E459,8,1)="-",IFERROR(INT(MID(Metadata!E459,9,1))&gt;=0,FALSE),IFERROR(INT(MID(Metadata!E459,9,1))&lt;=3,FALSE),NOT(MID(Metadata!E459,10,1)=""),IFERROR(INT(MID(Metadata!E459,9,2))&gt;=1,FALSE),IFERROR(INT(MID(Metadata!E459,9,2))&lt;=31,FALSE)), OR(MID(Metadata!E459,11,1)="", AND(AND(MID(Metadata!E459,11,1)=" ",IFERROR(INT(MID(Metadata!E459,12,1))&gt;=0,FALSE),IFERROR(INT(MID(Metadata!E459,12,1))&lt;=2,FALSE),NOT(MID(Metadata!E459,13,1)=""),IFERROR(INT(MID(Metadata!E459,12,2))&gt;=0,FALSE),IFERROR(INT(MID(Metadata!E459,12,2))&lt;=23,FALSE)), OR(MID(Metadata!E459,14,1)="", AND(AND(MID(Metadata!E459,14,1)=":",IFERROR(INT(MID(Metadata!E459,15,1))&gt;=0,FALSE),IFERROR(INT(MID(Metadata!E459,15,1))&lt;=5,FALSE),NOT(MID(Metadata!E459,16,1)=""),IFERROR(INT(MID(Metadata!E459,15,2))&gt;=0,FALSE),IFERROR(INT(MID(Metadata!E459,15,2))&lt;=59,FALSE)), OR(MID(Metadata!E459,17,1)="", AND(AND(MID(Metadata!E459,17,1)=":",IFERROR(INT(MID(Metadata!E459,18,1))&gt;=0,FALSE),IFERROR(INT(MID(Metadata!E459,18,1))&lt;=5,FALSE),NOT(MID(Metadata!E459,19,1)=""),IFERROR(INT(MID(Metadata!E459,18,2))&gt;=0,FALSE),IFERROR(INT(MID(Metadata!E459,18,2))&lt;=59,FALSE)), LEN(Metadata!E459)&lt;=19)))))))))))))</f>
        <v>0</v>
      </c>
      <c r="AS459" t="b">
        <f>IF(Metadata!F459="",FALSE,TRUE)</f>
        <v>0</v>
      </c>
      <c r="AT459" t="b">
        <f>OR(AND(IF(Metadata!G459="",FALSE,TRUE),OR(EXACT(Metadata!G459,"not collected"),EXACT(Metadata!G459,"not provided"))),AND(IF(Metadata!G459="",FALSE,TRUE),OR(EXACT(Metadata!G459,"TRUE"),EXACT(Metadata!G459,"FALSE"))))</f>
        <v>0</v>
      </c>
      <c r="AU459" t="b">
        <f>OR(AND(IF(Metadata!H459="",FALSE,TRUE),OR(EXACT(Metadata!H459,"not collected"),EXACT(Metadata!H459,"not provided"),EXACT(Metadata!H459,"restricted access"))),AND(IF(Metadata!H459="",FALSE,ISNUMBER(VALUE(Metadata!H459))),Metadata!H459&gt;=-413))</f>
        <v>0</v>
      </c>
      <c r="AV459" t="b">
        <f>AND(IF(Metadata!I459="",FALSE,TRUE),EXACT(Metadata!I459,"meters"))</f>
        <v>0</v>
      </c>
      <c r="AW459" t="b">
        <f>AND(IF(Metadata!J459="",FALSE,TRUE),EXACT(Metadata!J459,"free-living"))</f>
        <v>0</v>
      </c>
      <c r="AX459" t="b">
        <f>AND(IF(Metadata!K459="",FALSE,TRUE),OR(EXACT(Metadata!K459,"saline"),EXACT(Metadata!K459,"non-saline")))</f>
        <v>0</v>
      </c>
      <c r="AY459" t="b">
        <f>AND(IF(Metadata!L459="",FALSE,TRUE),OR(EXACT(Metadata!L459,"sub-surface (non-saline)"),EXACT(Metadata!L459,"surface (non-saline)"),EXACT(Metadata!L459,"water (non-saline)"),EXACT(Metadata!L459,"soil (non-saline)"),EXACT(Metadata!L459,"aerosol (non-saline)"),EXACT(Metadata!L459,"sediment (non-saline)"),EXACT(Metadata!L459,"surface (saline)"),EXACT(Metadata!L459,"water (saline)"),EXACT(Metadata!L459,"hypersaline (saline)"),EXACT(Metadata!L459,"aerosol (saline)"),EXACT(Metadata!L459,"sediment (saline)")))</f>
        <v>0</v>
      </c>
      <c r="AZ459" t="b">
        <f>IF(Metadata!M459="",FALSE,TRUE)</f>
        <v>0</v>
      </c>
      <c r="BA459" t="b">
        <f>IF(Metadata!N459="",FALSE,TRUE)</f>
        <v>0</v>
      </c>
      <c r="BB459" t="b">
        <f>IF(Metadata!O459="",FALSE,TRUE)</f>
        <v>0</v>
      </c>
      <c r="BC459" t="b">
        <f>AND(IF(Metadata!P459="",FALSE,TRUE),OR(EXACT(Metadata!P459,"air"),EXACT(Metadata!P459,"microbial mat/biofilm"),EXACT(Metadata!P459,"misc environment"),EXACT(Metadata!P459,"sediment"),EXACT(Metadata!P459,"soil"),EXACT(Metadata!P459,"wastewater/sludge"),EXACT(Metadata!P459,"water")))</f>
        <v>0</v>
      </c>
      <c r="BD459" t="b">
        <f>IF(Metadata!Q459="",FALSE,TRUE)</f>
        <v>0</v>
      </c>
      <c r="BE459" t="b">
        <f>IF(Metadata!R459="",FALSE,TRUE)</f>
        <v>0</v>
      </c>
      <c r="BF459" t="b">
        <f>OR(AND(IF(Metadata!S459="",FALSE,TRUE),OR(EXACT(Metadata!S459,"not collected"),EXACT(Metadata!S459,"not provided"),EXACT(Metadata!S459,"restricted access"))),AND(IF(Metadata!S459="",FALSE,ISNUMBER(VALUE(Metadata!S459))),Metadata!S459&gt;=-90,Metadata!S459&lt;=90))</f>
        <v>0</v>
      </c>
      <c r="BG459" t="b">
        <f>AND(IF(Metadata!T459="",FALSE,TRUE),EXACT(Metadata!T459,"Decimal degrees"))</f>
        <v>0</v>
      </c>
      <c r="BH459" t="b">
        <f>OR(AND(IF(Metadata!U459="",FALSE,TRUE),OR(EXACT(Metadata!U459,"not applicable"),EXACT(Metadata!U459,"not collected"))),IF(Metadata!U459="",FALSE,TRUE))</f>
        <v>0</v>
      </c>
      <c r="BI459" t="b">
        <f>OR(AND(IF(Metadata!V459="",FALSE,TRUE),OR(EXACT(Metadata!V459,"not collected"),EXACT(Metadata!V459,"not provided"),EXACT(Metadata!V459,"restricted access"))),AND(IF(Metadata!V459="",FALSE,ISNUMBER(VALUE(Metadata!V459))),Metadata!V459&gt;=-180,Metadata!V459&lt;=180))</f>
        <v>0</v>
      </c>
      <c r="BJ459" t="b">
        <f>AND(IF(Metadata!W459="",FALSE,TRUE),EXACT(Metadata!W459,"Decimal degrees"))</f>
        <v>0</v>
      </c>
      <c r="BK459" t="b">
        <f>IF(Metadata!X459="",FALSE,TRUE)</f>
        <v>0</v>
      </c>
      <c r="BL459" t="b">
        <f>OR(AND(IF(Metadata!Y459="",FALSE,TRUE),OR(EXACT(Metadata!Y459,"not collected"),EXACT(Metadata!Y459,"not provided"),EXACT(Metadata!Y459,"restricted access"))),AND(IF(Metadata!Y459="",FALSE,TRUE),OR(EXACT(Metadata!Y459,"TRUE"),EXACT(Metadata!Y459,"FALSE"))))</f>
        <v>0</v>
      </c>
      <c r="BM459" t="b">
        <f>OR(AND(IF(Metadata!Z459="",FALSE,TRUE),EXACT(Metadata!Z459,"not applicable")),AND(IF(Metadata!Z459="",FALSE,TRUE),OR(EXACT(Metadata!Z459,"beer"),EXACT(Metadata!Z459,"cheese"),EXACT(Metadata!Z459,"fresh water"),EXACT(Metadata!Z459,"marine sediment"),EXACT(Metadata!Z459,"sea water"),EXACT(Metadata!Z459,"sediment"),EXACT(Metadata!Z459,"soil"),EXACT(Metadata!Z459,"waste water"))))</f>
        <v>0</v>
      </c>
      <c r="BN459" t="b">
        <f>AND(IF(Metadata!AA459="",FALSE,TRUE),EXACT(Metadata!AA459,"metagenome"))</f>
        <v>0</v>
      </c>
      <c r="BO459" t="b">
        <f>AND(IF(Metadata!AB459="",FALSE,TRUE),EXACT(Metadata!AB459,"256318"))</f>
        <v>0</v>
      </c>
      <c r="BP459" t="b">
        <f>IF(Metadata!AC459="",FALSE,TRUE)</f>
        <v>0</v>
      </c>
      <c r="BQ459" t="b">
        <f>IF(Metadata!AD459="",FALSE,TRUE)</f>
        <v>0</v>
      </c>
    </row>
    <row r="460" spans="1:69" x14ac:dyDescent="0.2">
      <c r="A460" s="4" t="e">
        <f ca="1">IF(B460=" "," ",HYPERLINK(CONCATENATE("#metadata!",ADDRESS(INDEX($AJ$2:$AJ$1001,MATCH(ROWS($AH$2:AH460),$AH$2:$AH$1001,0),0),2)),INDEX($AM$2:$AM$1001,MATCH(ROWS($AH$2:AH460),$AH$2:$AH$1001,0),0)))</f>
        <v>#N/A</v>
      </c>
      <c r="B460" s="5" t="e">
        <f ca="1">IF(OR(INDEX($AI$2:$AI$1001,MATCH(ROWS($AH$2:AH460),$AH$2:$AH$1001,0),1)&gt;=100000,INDEX($AO$1005:$BQ$1005,1,MATCH(COLUMNS($AO$1006:AO1006),$AO$1006:$BQ$1006,0))&gt;=100000), " ",IF(INDEX($AO$2:$BQ$1001,MATCH(ROWS($AH$2:AH460),$AH$2:$AH$1001,0),MATCH(COLUMNS($AO$1006:AO1006),$AO$1006:$BQ$1006,0)), HYPERLINK("#",""), HYPERLINK(CONCATENATE("#Metadata!", ADDRESS(INDEX($AJ$2:$AJ$1001,MATCH(ROWS($AH$2:AH460),$AH$2:$AH$1001,0),0), INDEX($AO$1004:$BQ$1004,1,MATCH(COLUMNS($AO$1006:AO1006),$AO$1006:$BQ$1006,0)))),"Fix")))</f>
        <v>#N/A</v>
      </c>
      <c r="C460" s="5" t="e">
        <f ca="1">IF(OR(INDEX($AI$2:$AI$1001,MATCH(ROWS($AH$2:AH460),$AH$2:$AH$1001,0),1)&gt;=100000,INDEX($AO$1005:$BQ$1005,1,MATCH(COLUMNS($AO$1006:AP1006),$AO$1006:$BQ$1006,0))&gt;=100000), " ",IF(INDEX($AO$2:$BQ$1001,MATCH(ROWS($AH$2:AH460),$AH$2:$AH$1001,0),MATCH(COLUMNS($AO$1006:AP1006),$AO$1006:$BQ$1006,0)), HYPERLINK("#",""), HYPERLINK(CONCATENATE("#Metadata!", ADDRESS(INDEX($AJ$2:$AJ$1001,MATCH(ROWS($AH$2:AH460),$AH$2:$AH$1001,0),0), INDEX($AO$1004:$BQ$1004,1,MATCH(COLUMNS($AO$1006:AP1006),$AO$1006:$BQ$1006,0)))),"Fix")))</f>
        <v>#N/A</v>
      </c>
      <c r="D460" s="5" t="e">
        <f ca="1">IF(OR(INDEX($AI$2:$AI$1001,MATCH(ROWS($AH$2:AH460),$AH$2:$AH$1001,0),1)&gt;=100000,INDEX($AO$1005:$BQ$1005,1,MATCH(COLUMNS($AO$1006:AQ1006),$AO$1006:$BQ$1006,0))&gt;=100000), " ",IF(INDEX($AO$2:$BQ$1001,MATCH(ROWS($AH$2:AH460),$AH$2:$AH$1001,0),MATCH(COLUMNS($AO$1006:AQ1006),$AO$1006:$BQ$1006,0)), HYPERLINK("#",""), HYPERLINK(CONCATENATE("#Metadata!", ADDRESS(INDEX($AJ$2:$AJ$1001,MATCH(ROWS($AH$2:AH460),$AH$2:$AH$1001,0),0), INDEX($AO$1004:$BQ$1004,1,MATCH(COLUMNS($AO$1006:AQ1006),$AO$1006:$BQ$1006,0)))),"Fix")))</f>
        <v>#N/A</v>
      </c>
      <c r="E460" s="5" t="e">
        <f ca="1">IF(OR(INDEX($AI$2:$AI$1001,MATCH(ROWS($AH$2:AH460),$AH$2:$AH$1001,0),1)&gt;=100000,INDEX($AO$1005:$BQ$1005,1,MATCH(COLUMNS($AO$1006:AR1006),$AO$1006:$BQ$1006,0))&gt;=100000), " ",IF(INDEX($AO$2:$BQ$1001,MATCH(ROWS($AH$2:AH460),$AH$2:$AH$1001,0),MATCH(COLUMNS($AO$1006:AR1006),$AO$1006:$BQ$1006,0)), HYPERLINK("#",""), HYPERLINK(CONCATENATE("#Metadata!", ADDRESS(INDEX($AJ$2:$AJ$1001,MATCH(ROWS($AH$2:AH460),$AH$2:$AH$1001,0),0), INDEX($AO$1004:$BQ$1004,1,MATCH(COLUMNS($AO$1006:AR1006),$AO$1006:$BQ$1006,0)))),"Fix")))</f>
        <v>#N/A</v>
      </c>
      <c r="F460" s="5" t="e">
        <f ca="1">IF(OR(INDEX($AI$2:$AI$1001,MATCH(ROWS($AH$2:AH460),$AH$2:$AH$1001,0),1)&gt;=100000,INDEX($AO$1005:$BQ$1005,1,MATCH(COLUMNS($AO$1006:AS1006),$AO$1006:$BQ$1006,0))&gt;=100000), " ",IF(INDEX($AO$2:$BQ$1001,MATCH(ROWS($AH$2:AH460),$AH$2:$AH$1001,0),MATCH(COLUMNS($AO$1006:AS1006),$AO$1006:$BQ$1006,0)), HYPERLINK("#",""), HYPERLINK(CONCATENATE("#Metadata!", ADDRESS(INDEX($AJ$2:$AJ$1001,MATCH(ROWS($AH$2:AH460),$AH$2:$AH$1001,0),0), INDEX($AO$1004:$BQ$1004,1,MATCH(COLUMNS($AO$1006:AS1006),$AO$1006:$BQ$1006,0)))),"Fix")))</f>
        <v>#N/A</v>
      </c>
      <c r="G460" s="5" t="e">
        <f ca="1">IF(OR(INDEX($AI$2:$AI$1001,MATCH(ROWS($AH$2:AH460),$AH$2:$AH$1001,0),1)&gt;=100000,INDEX($AO$1005:$BQ$1005,1,MATCH(COLUMNS($AO$1006:AT1006),$AO$1006:$BQ$1006,0))&gt;=100000), " ",IF(INDEX($AO$2:$BQ$1001,MATCH(ROWS($AH$2:AH460),$AH$2:$AH$1001,0),MATCH(COLUMNS($AO$1006:AT1006),$AO$1006:$BQ$1006,0)), HYPERLINK("#",""), HYPERLINK(CONCATENATE("#Metadata!", ADDRESS(INDEX($AJ$2:$AJ$1001,MATCH(ROWS($AH$2:AH460),$AH$2:$AH$1001,0),0), INDEX($AO$1004:$BQ$1004,1,MATCH(COLUMNS($AO$1006:AT1006),$AO$1006:$BQ$1006,0)))),"Fix")))</f>
        <v>#N/A</v>
      </c>
      <c r="H460" s="5" t="e">
        <f ca="1">IF(OR(INDEX($AI$2:$AI$1001,MATCH(ROWS($AH$2:AH460),$AH$2:$AH$1001,0),1)&gt;=100000,INDEX($AO$1005:$BQ$1005,1,MATCH(COLUMNS($AO$1006:AU1006),$AO$1006:$BQ$1006,0))&gt;=100000), " ",IF(INDEX($AO$2:$BQ$1001,MATCH(ROWS($AH$2:AH460),$AH$2:$AH$1001,0),MATCH(COLUMNS($AO$1006:AU1006),$AO$1006:$BQ$1006,0)), HYPERLINK("#",""), HYPERLINK(CONCATENATE("#Metadata!", ADDRESS(INDEX($AJ$2:$AJ$1001,MATCH(ROWS($AH$2:AH460),$AH$2:$AH$1001,0),0), INDEX($AO$1004:$BQ$1004,1,MATCH(COLUMNS($AO$1006:AU1006),$AO$1006:$BQ$1006,0)))),"Fix")))</f>
        <v>#N/A</v>
      </c>
      <c r="I460" s="5" t="e">
        <f ca="1">IF(OR(INDEX($AI$2:$AI$1001,MATCH(ROWS($AH$2:AH460),$AH$2:$AH$1001,0),1)&gt;=100000,INDEX($AO$1005:$BQ$1005,1,MATCH(COLUMNS($AO$1006:AV1006),$AO$1006:$BQ$1006,0))&gt;=100000), " ",IF(INDEX($AO$2:$BQ$1001,MATCH(ROWS($AH$2:AH460),$AH$2:$AH$1001,0),MATCH(COLUMNS($AO$1006:AV1006),$AO$1006:$BQ$1006,0)), HYPERLINK("#",""), HYPERLINK(CONCATENATE("#Metadata!", ADDRESS(INDEX($AJ$2:$AJ$1001,MATCH(ROWS($AH$2:AH460),$AH$2:$AH$1001,0),0), INDEX($AO$1004:$BQ$1004,1,MATCH(COLUMNS($AO$1006:AV1006),$AO$1006:$BQ$1006,0)))),"Fix")))</f>
        <v>#N/A</v>
      </c>
      <c r="J460" s="5" t="e">
        <f ca="1">IF(OR(INDEX($AI$2:$AI$1001,MATCH(ROWS($AH$2:AH460),$AH$2:$AH$1001,0),1)&gt;=100000,INDEX($AO$1005:$BQ$1005,1,MATCH(COLUMNS($AO$1006:AW1006),$AO$1006:$BQ$1006,0))&gt;=100000), " ",IF(INDEX($AO$2:$BQ$1001,MATCH(ROWS($AH$2:AH460),$AH$2:$AH$1001,0),MATCH(COLUMNS($AO$1006:AW1006),$AO$1006:$BQ$1006,0)), HYPERLINK("#",""), HYPERLINK(CONCATENATE("#Metadata!", ADDRESS(INDEX($AJ$2:$AJ$1001,MATCH(ROWS($AH$2:AH460),$AH$2:$AH$1001,0),0), INDEX($AO$1004:$BQ$1004,1,MATCH(COLUMNS($AO$1006:AW1006),$AO$1006:$BQ$1006,0)))),"Fix")))</f>
        <v>#N/A</v>
      </c>
      <c r="K460" s="5" t="e">
        <f ca="1">IF(OR(INDEX($AI$2:$AI$1001,MATCH(ROWS($AH$2:AH460),$AH$2:$AH$1001,0),1)&gt;=100000,INDEX($AO$1005:$BQ$1005,1,MATCH(COLUMNS($AO$1006:AX1006),$AO$1006:$BQ$1006,0))&gt;=100000), " ",IF(INDEX($AO$2:$BQ$1001,MATCH(ROWS($AH$2:AH460),$AH$2:$AH$1001,0),MATCH(COLUMNS($AO$1006:AX1006),$AO$1006:$BQ$1006,0)), HYPERLINK("#",""), HYPERLINK(CONCATENATE("#Metadata!", ADDRESS(INDEX($AJ$2:$AJ$1001,MATCH(ROWS($AH$2:AH460),$AH$2:$AH$1001,0),0), INDEX($AO$1004:$BQ$1004,1,MATCH(COLUMNS($AO$1006:AX1006),$AO$1006:$BQ$1006,0)))),"Fix")))</f>
        <v>#N/A</v>
      </c>
      <c r="L460" s="5" t="e">
        <f ca="1">IF(OR(INDEX($AI$2:$AI$1001,MATCH(ROWS($AH$2:AH460),$AH$2:$AH$1001,0),1)&gt;=100000,INDEX($AO$1005:$BQ$1005,1,MATCH(COLUMNS($AO$1006:AY1006),$AO$1006:$BQ$1006,0))&gt;=100000), " ",IF(INDEX($AO$2:$BQ$1001,MATCH(ROWS($AH$2:AH460),$AH$2:$AH$1001,0),MATCH(COLUMNS($AO$1006:AY1006),$AO$1006:$BQ$1006,0)), HYPERLINK("#",""), HYPERLINK(CONCATENATE("#Metadata!", ADDRESS(INDEX($AJ$2:$AJ$1001,MATCH(ROWS($AH$2:AH460),$AH$2:$AH$1001,0),0), INDEX($AO$1004:$BQ$1004,1,MATCH(COLUMNS($AO$1006:AY1006),$AO$1006:$BQ$1006,0)))),"Fix")))</f>
        <v>#N/A</v>
      </c>
      <c r="M460" s="5" t="e">
        <f ca="1">IF(OR(INDEX($AI$2:$AI$1001,MATCH(ROWS($AH$2:AH460),$AH$2:$AH$1001,0),1)&gt;=100000,INDEX($AO$1005:$BQ$1005,1,MATCH(COLUMNS($AO$1006:AZ1006),$AO$1006:$BQ$1006,0))&gt;=100000), " ",IF(INDEX($AO$2:$BQ$1001,MATCH(ROWS($AH$2:AH460),$AH$2:$AH$1001,0),MATCH(COLUMNS($AO$1006:AZ1006),$AO$1006:$BQ$1006,0)), HYPERLINK("#",""), HYPERLINK(CONCATENATE("#Metadata!", ADDRESS(INDEX($AJ$2:$AJ$1001,MATCH(ROWS($AH$2:AH460),$AH$2:$AH$1001,0),0), INDEX($AO$1004:$BQ$1004,1,MATCH(COLUMNS($AO$1006:AZ1006),$AO$1006:$BQ$1006,0)))),"Fix")))</f>
        <v>#N/A</v>
      </c>
      <c r="N460" s="5" t="e">
        <f ca="1">IF(OR(INDEX($AI$2:$AI$1001,MATCH(ROWS($AH$2:AH460),$AH$2:$AH$1001,0),1)&gt;=100000,INDEX($AO$1005:$BQ$1005,1,MATCH(COLUMNS($AO$1006:BA1006),$AO$1006:$BQ$1006,0))&gt;=100000), " ",IF(INDEX($AO$2:$BQ$1001,MATCH(ROWS($AH$2:AH460),$AH$2:$AH$1001,0),MATCH(COLUMNS($AO$1006:BA1006),$AO$1006:$BQ$1006,0)), HYPERLINK("#",""), HYPERLINK(CONCATENATE("#Metadata!", ADDRESS(INDEX($AJ$2:$AJ$1001,MATCH(ROWS($AH$2:AH460),$AH$2:$AH$1001,0),0), INDEX($AO$1004:$BQ$1004,1,MATCH(COLUMNS($AO$1006:BA1006),$AO$1006:$BQ$1006,0)))),"Fix")))</f>
        <v>#N/A</v>
      </c>
      <c r="O460" s="5" t="e">
        <f ca="1">IF(OR(INDEX($AI$2:$AI$1001,MATCH(ROWS($AH$2:AH460),$AH$2:$AH$1001,0),1)&gt;=100000,INDEX($AO$1005:$BQ$1005,1,MATCH(COLUMNS($AO$1006:BB1006),$AO$1006:$BQ$1006,0))&gt;=100000), " ",IF(INDEX($AO$2:$BQ$1001,MATCH(ROWS($AH$2:AH460),$AH$2:$AH$1001,0),MATCH(COLUMNS($AO$1006:BB1006),$AO$1006:$BQ$1006,0)), HYPERLINK("#",""), HYPERLINK(CONCATENATE("#Metadata!", ADDRESS(INDEX($AJ$2:$AJ$1001,MATCH(ROWS($AH$2:AH460),$AH$2:$AH$1001,0),0), INDEX($AO$1004:$BQ$1004,1,MATCH(COLUMNS($AO$1006:BB1006),$AO$1006:$BQ$1006,0)))),"Fix")))</f>
        <v>#N/A</v>
      </c>
      <c r="P460" s="5" t="e">
        <f ca="1">IF(OR(INDEX($AI$2:$AI$1001,MATCH(ROWS($AH$2:AH460),$AH$2:$AH$1001,0),1)&gt;=100000,INDEX($AO$1005:$BQ$1005,1,MATCH(COLUMNS($AO$1006:BC1006),$AO$1006:$BQ$1006,0))&gt;=100000), " ",IF(INDEX($AO$2:$BQ$1001,MATCH(ROWS($AH$2:AH460),$AH$2:$AH$1001,0),MATCH(COLUMNS($AO$1006:BC1006),$AO$1006:$BQ$1006,0)), HYPERLINK("#",""), HYPERLINK(CONCATENATE("#Metadata!", ADDRESS(INDEX($AJ$2:$AJ$1001,MATCH(ROWS($AH$2:AH460),$AH$2:$AH$1001,0),0), INDEX($AO$1004:$BQ$1004,1,MATCH(COLUMNS($AO$1006:BC1006),$AO$1006:$BQ$1006,0)))),"Fix")))</f>
        <v>#N/A</v>
      </c>
      <c r="Q460" s="5" t="e">
        <f ca="1">IF(OR(INDEX($AI$2:$AI$1001,MATCH(ROWS($AH$2:AH460),$AH$2:$AH$1001,0),1)&gt;=100000,INDEX($AO$1005:$BQ$1005,1,MATCH(COLUMNS($AO$1006:BD1006),$AO$1006:$BQ$1006,0))&gt;=100000), " ",IF(INDEX($AO$2:$BQ$1001,MATCH(ROWS($AH$2:AH460),$AH$2:$AH$1001,0),MATCH(COLUMNS($AO$1006:BD1006),$AO$1006:$BQ$1006,0)), HYPERLINK("#",""), HYPERLINK(CONCATENATE("#Metadata!", ADDRESS(INDEX($AJ$2:$AJ$1001,MATCH(ROWS($AH$2:AH460),$AH$2:$AH$1001,0),0), INDEX($AO$1004:$BQ$1004,1,MATCH(COLUMNS($AO$1006:BD1006),$AO$1006:$BQ$1006,0)))),"Fix")))</f>
        <v>#N/A</v>
      </c>
      <c r="R460" s="5" t="e">
        <f ca="1">IF(OR(INDEX($AI$2:$AI$1001,MATCH(ROWS($AH$2:AH460),$AH$2:$AH$1001,0),1)&gt;=100000,INDEX($AO$1005:$BQ$1005,1,MATCH(COLUMNS($AO$1006:BE1006),$AO$1006:$BQ$1006,0))&gt;=100000), " ",IF(INDEX($AO$2:$BQ$1001,MATCH(ROWS($AH$2:AH460),$AH$2:$AH$1001,0),MATCH(COLUMNS($AO$1006:BE1006),$AO$1006:$BQ$1006,0)), HYPERLINK("#",""), HYPERLINK(CONCATENATE("#Metadata!", ADDRESS(INDEX($AJ$2:$AJ$1001,MATCH(ROWS($AH$2:AH460),$AH$2:$AH$1001,0),0), INDEX($AO$1004:$BQ$1004,1,MATCH(COLUMNS($AO$1006:BE1006),$AO$1006:$BQ$1006,0)))),"Fix")))</f>
        <v>#N/A</v>
      </c>
      <c r="S460" s="5" t="e">
        <f ca="1">IF(OR(INDEX($AI$2:$AI$1001,MATCH(ROWS($AH$2:AH460),$AH$2:$AH$1001,0),1)&gt;=100000,INDEX($AO$1005:$BQ$1005,1,MATCH(COLUMNS($AO$1006:BF1006),$AO$1006:$BQ$1006,0))&gt;=100000), " ",IF(INDEX($AO$2:$BQ$1001,MATCH(ROWS($AH$2:AH460),$AH$2:$AH$1001,0),MATCH(COLUMNS($AO$1006:BF1006),$AO$1006:$BQ$1006,0)), HYPERLINK("#",""), HYPERLINK(CONCATENATE("#Metadata!", ADDRESS(INDEX($AJ$2:$AJ$1001,MATCH(ROWS($AH$2:AH460),$AH$2:$AH$1001,0),0), INDEX($AO$1004:$BQ$1004,1,MATCH(COLUMNS($AO$1006:BF1006),$AO$1006:$BQ$1006,0)))),"Fix")))</f>
        <v>#N/A</v>
      </c>
      <c r="T460" s="5" t="e">
        <f ca="1">IF(OR(INDEX($AI$2:$AI$1001,MATCH(ROWS($AH$2:AH460),$AH$2:$AH$1001,0),1)&gt;=100000,INDEX($AO$1005:$BQ$1005,1,MATCH(COLUMNS($AO$1006:BG1006),$AO$1006:$BQ$1006,0))&gt;=100000), " ",IF(INDEX($AO$2:$BQ$1001,MATCH(ROWS($AH$2:AH460),$AH$2:$AH$1001,0),MATCH(COLUMNS($AO$1006:BG1006),$AO$1006:$BQ$1006,0)), HYPERLINK("#",""), HYPERLINK(CONCATENATE("#Metadata!", ADDRESS(INDEX($AJ$2:$AJ$1001,MATCH(ROWS($AH$2:AH460),$AH$2:$AH$1001,0),0), INDEX($AO$1004:$BQ$1004,1,MATCH(COLUMNS($AO$1006:BG1006),$AO$1006:$BQ$1006,0)))),"Fix")))</f>
        <v>#N/A</v>
      </c>
      <c r="U460" s="5" t="e">
        <f ca="1">IF(OR(INDEX($AI$2:$AI$1001,MATCH(ROWS($AH$2:AH460),$AH$2:$AH$1001,0),1)&gt;=100000,INDEX($AO$1005:$BQ$1005,1,MATCH(COLUMNS($AO$1006:BH1006),$AO$1006:$BQ$1006,0))&gt;=100000), " ",IF(INDEX($AO$2:$BQ$1001,MATCH(ROWS($AH$2:AH460),$AH$2:$AH$1001,0),MATCH(COLUMNS($AO$1006:BH1006),$AO$1006:$BQ$1006,0)), HYPERLINK("#",""), HYPERLINK(CONCATENATE("#Metadata!", ADDRESS(INDEX($AJ$2:$AJ$1001,MATCH(ROWS($AH$2:AH460),$AH$2:$AH$1001,0),0), INDEX($AO$1004:$BQ$1004,1,MATCH(COLUMNS($AO$1006:BH1006),$AO$1006:$BQ$1006,0)))),"Fix")))</f>
        <v>#N/A</v>
      </c>
      <c r="V460" s="5" t="e">
        <f ca="1">IF(OR(INDEX($AI$2:$AI$1001,MATCH(ROWS($AH$2:AH460),$AH$2:$AH$1001,0),1)&gt;=100000,INDEX($AO$1005:$BQ$1005,1,MATCH(COLUMNS($AO$1006:BI1006),$AO$1006:$BQ$1006,0))&gt;=100000), " ",IF(INDEX($AO$2:$BQ$1001,MATCH(ROWS($AH$2:AH460),$AH$2:$AH$1001,0),MATCH(COLUMNS($AO$1006:BI1006),$AO$1006:$BQ$1006,0)), HYPERLINK("#",""), HYPERLINK(CONCATENATE("#Metadata!", ADDRESS(INDEX($AJ$2:$AJ$1001,MATCH(ROWS($AH$2:AH460),$AH$2:$AH$1001,0),0), INDEX($AO$1004:$BQ$1004,1,MATCH(COLUMNS($AO$1006:BI1006),$AO$1006:$BQ$1006,0)))),"Fix")))</f>
        <v>#N/A</v>
      </c>
      <c r="W460" s="5" t="e">
        <f ca="1">IF(OR(INDEX($AI$2:$AI$1001,MATCH(ROWS($AH$2:AH460),$AH$2:$AH$1001,0),1)&gt;=100000,INDEX($AO$1005:$BQ$1005,1,MATCH(COLUMNS($AO$1006:BJ1006),$AO$1006:$BQ$1006,0))&gt;=100000), " ",IF(INDEX($AO$2:$BQ$1001,MATCH(ROWS($AH$2:AH460),$AH$2:$AH$1001,0),MATCH(COLUMNS($AO$1006:BJ1006),$AO$1006:$BQ$1006,0)), HYPERLINK("#",""), HYPERLINK(CONCATENATE("#Metadata!", ADDRESS(INDEX($AJ$2:$AJ$1001,MATCH(ROWS($AH$2:AH460),$AH$2:$AH$1001,0),0), INDEX($AO$1004:$BQ$1004,1,MATCH(COLUMNS($AO$1006:BJ1006),$AO$1006:$BQ$1006,0)))),"Fix")))</f>
        <v>#N/A</v>
      </c>
      <c r="X460" s="5" t="e">
        <f ca="1">IF(OR(INDEX($AI$2:$AI$1001,MATCH(ROWS($AH$2:AH460),$AH$2:$AH$1001,0),1)&gt;=100000,INDEX($AO$1005:$BQ$1005,1,MATCH(COLUMNS($AO$1006:BK1006),$AO$1006:$BQ$1006,0))&gt;=100000), " ",IF(INDEX($AO$2:$BQ$1001,MATCH(ROWS($AH$2:AH460),$AH$2:$AH$1001,0),MATCH(COLUMNS($AO$1006:BK1006),$AO$1006:$BQ$1006,0)), HYPERLINK("#",""), HYPERLINK(CONCATENATE("#Metadata!", ADDRESS(INDEX($AJ$2:$AJ$1001,MATCH(ROWS($AH$2:AH460),$AH$2:$AH$1001,0),0), INDEX($AO$1004:$BQ$1004,1,MATCH(COLUMNS($AO$1006:BK1006),$AO$1006:$BQ$1006,0)))),"Fix")))</f>
        <v>#N/A</v>
      </c>
      <c r="Y460" s="5" t="e">
        <f ca="1">IF(OR(INDEX($AI$2:$AI$1001,MATCH(ROWS($AH$2:AH460),$AH$2:$AH$1001,0),1)&gt;=100000,INDEX($AO$1005:$BQ$1005,1,MATCH(COLUMNS($AO$1006:BL1006),$AO$1006:$BQ$1006,0))&gt;=100000), " ",IF(INDEX($AO$2:$BQ$1001,MATCH(ROWS($AH$2:AH460),$AH$2:$AH$1001,0),MATCH(COLUMNS($AO$1006:BL1006),$AO$1006:$BQ$1006,0)), HYPERLINK("#",""), HYPERLINK(CONCATENATE("#Metadata!", ADDRESS(INDEX($AJ$2:$AJ$1001,MATCH(ROWS($AH$2:AH460),$AH$2:$AH$1001,0),0), INDEX($AO$1004:$BQ$1004,1,MATCH(COLUMNS($AO$1006:BL1006),$AO$1006:$BQ$1006,0)))),"Fix")))</f>
        <v>#N/A</v>
      </c>
      <c r="Z460" s="5" t="e">
        <f ca="1">IF(OR(INDEX($AI$2:$AI$1001,MATCH(ROWS($AH$2:AH460),$AH$2:$AH$1001,0),1)&gt;=100000,INDEX($AO$1005:$BQ$1005,1,MATCH(COLUMNS($AO$1006:BM1006),$AO$1006:$BQ$1006,0))&gt;=100000), " ",IF(INDEX($AO$2:$BQ$1001,MATCH(ROWS($AH$2:AH460),$AH$2:$AH$1001,0),MATCH(COLUMNS($AO$1006:BM1006),$AO$1006:$BQ$1006,0)), HYPERLINK("#",""), HYPERLINK(CONCATENATE("#Metadata!", ADDRESS(INDEX($AJ$2:$AJ$1001,MATCH(ROWS($AH$2:AH460),$AH$2:$AH$1001,0),0), INDEX($AO$1004:$BQ$1004,1,MATCH(COLUMNS($AO$1006:BM1006),$AO$1006:$BQ$1006,0)))),"Fix")))</f>
        <v>#N/A</v>
      </c>
      <c r="AA460" s="5" t="e">
        <f ca="1">IF(OR(INDEX($AI$2:$AI$1001,MATCH(ROWS($AH$2:AH460),$AH$2:$AH$1001,0),1)&gt;=100000,INDEX($AO$1005:$BQ$1005,1,MATCH(COLUMNS($AO$1006:BN1006),$AO$1006:$BQ$1006,0))&gt;=100000), " ",IF(INDEX($AO$2:$BQ$1001,MATCH(ROWS($AH$2:AH460),$AH$2:$AH$1001,0),MATCH(COLUMNS($AO$1006:BN1006),$AO$1006:$BQ$1006,0)), HYPERLINK("#",""), HYPERLINK(CONCATENATE("#Metadata!", ADDRESS(INDEX($AJ$2:$AJ$1001,MATCH(ROWS($AH$2:AH460),$AH$2:$AH$1001,0),0), INDEX($AO$1004:$BQ$1004,1,MATCH(COLUMNS($AO$1006:BN1006),$AO$1006:$BQ$1006,0)))),"Fix")))</f>
        <v>#N/A</v>
      </c>
      <c r="AB460" s="5" t="e">
        <f ca="1">IF(OR(INDEX($AI$2:$AI$1001,MATCH(ROWS($AH$2:AH460),$AH$2:$AH$1001,0),1)&gt;=100000,INDEX($AO$1005:$BQ$1005,1,MATCH(COLUMNS($AO$1006:BO1006),$AO$1006:$BQ$1006,0))&gt;=100000), " ",IF(INDEX($AO$2:$BQ$1001,MATCH(ROWS($AH$2:AH460),$AH$2:$AH$1001,0),MATCH(COLUMNS($AO$1006:BO1006),$AO$1006:$BQ$1006,0)), HYPERLINK("#",""), HYPERLINK(CONCATENATE("#Metadata!", ADDRESS(INDEX($AJ$2:$AJ$1001,MATCH(ROWS($AH$2:AH460),$AH$2:$AH$1001,0),0), INDEX($AO$1004:$BQ$1004,1,MATCH(COLUMNS($AO$1006:BO1006),$AO$1006:$BQ$1006,0)))),"Fix")))</f>
        <v>#N/A</v>
      </c>
      <c r="AC460" s="5" t="e">
        <f ca="1">IF(OR(INDEX($AI$2:$AI$1001,MATCH(ROWS($AH$2:AH460),$AH$2:$AH$1001,0),1)&gt;=100000,INDEX($AO$1005:$BQ$1005,1,MATCH(COLUMNS($AO$1006:BP1006),$AO$1006:$BQ$1006,0))&gt;=100000), " ",IF(INDEX($AO$2:$BQ$1001,MATCH(ROWS($AH$2:AH460),$AH$2:$AH$1001,0),MATCH(COLUMNS($AO$1006:BP1006),$AO$1006:$BQ$1006,0)), HYPERLINK("#",""), HYPERLINK(CONCATENATE("#Metadata!", ADDRESS(INDEX($AJ$2:$AJ$1001,MATCH(ROWS($AH$2:AH460),$AH$2:$AH$1001,0),0), INDEX($AO$1004:$BQ$1004,1,MATCH(COLUMNS($AO$1006:BP1006),$AO$1006:$BQ$1006,0)))),"Fix")))</f>
        <v>#N/A</v>
      </c>
      <c r="AD460" s="5" t="e">
        <f ca="1">IF(OR(INDEX($AI$2:$AI$1001,MATCH(ROWS($AH$2:AH460),$AH$2:$AH$1001,0),1)&gt;=100000,INDEX($AO$1005:$BQ$1005,1,MATCH(COLUMNS($AO$1006:BQ1006),$AO$1006:$BQ$1006,0))&gt;=100000), " ",IF(INDEX($AO$2:$BQ$1001,MATCH(ROWS($AH$2:AH460),$AH$2:$AH$1001,0),MATCH(COLUMNS($AO$1006:BQ1006),$AO$1006:$BQ$1006,0)), HYPERLINK("#",""), HYPERLINK(CONCATENATE("#Metadata!", ADDRESS(INDEX($AJ$2:$AJ$1001,MATCH(ROWS($AH$2:AH460),$AH$2:$AH$1001,0),0), INDEX($AO$1004:$BQ$1004,1,MATCH(COLUMNS($AO$1006:BQ1006),$AO$1006:$BQ$1006,0)))),"Fix")))</f>
        <v>#REF!</v>
      </c>
      <c r="AH460">
        <f ca="1"/>
        <v>457</v>
      </c>
      <c r="AI460">
        <v>100460</v>
      </c>
      <c r="AJ460">
        <v>460</v>
      </c>
      <c r="AK460" t="b">
        <f t="shared" si="7"/>
        <v>1</v>
      </c>
      <c r="AL460" t="b">
        <f>COUNTBLANK(Metadata!B460:AD460)=COLUMNS(Metadata!B460:AD460)</f>
        <v>1</v>
      </c>
      <c r="AM460" t="str">
        <v/>
      </c>
      <c r="AO460" t="b">
        <f ca="1">AND(IF(Metadata!B460="",FALSE,TRUE),COUNTIF(Metadata!B:B, Metadata!B460) = 1,NOT(ISERROR(SUMPRODUCT(SEARCH(MID(Metadata!B460,ROW(INDIRECT("1:"&amp;LEN(Metadata!B460))), 1),"0123456789abcdefghijklmnopqrstuvwxyzABCDEFGHIJKLMNOPQRSTUVWXYZ.")))))</f>
        <v>0</v>
      </c>
      <c r="AP460" t="b">
        <f>IF(Metadata!C460="",FALSE,TRUE)</f>
        <v>0</v>
      </c>
      <c r="AQ460" t="b">
        <f>IF(Metadata!D460="",FALSE,TRUE)</f>
        <v>0</v>
      </c>
      <c r="AR460" t="b">
        <f ca="1">OR(AND(IF(Metadata!E460="",FALSE,TRUE),OR(EXACT(Metadata!E460,"not collected"),EXACT(Metadata!E460,"not provided"),EXACT(Metadata!E460,"restricted access"))),AND(IF(Metadata!E460="",FALSE,TRUE),AND(AND(IFERROR(INT(LEFT(Metadata!E460,4))&gt;1900,FALSE),IFERROR(INT(LEFT(Metadata!E460,4))&lt;=YEAR(NOW()),FALSE)), OR(MID(Metadata!E460,5,1)="", AND(AND(MID(Metadata!E460,5,1)="-",IFERROR(INT(MID(Metadata!E460,6,1))&gt;=0,FALSE),IFERROR(INT(MID(Metadata!E460,6,1))&lt;=1,FALSE),NOT(MID(Metadata!E460,7,1)=""),IFERROR(INT(MID(Metadata!E460,6,2))&gt;=1,FALSE),IFERROR(INT(MID(Metadata!E460,6,2))&lt;=12,FALSE)), OR(MID(Metadata!E460,8,1)="", AND(AND(MID(Metadata!E460,8,1)="-",IFERROR(INT(MID(Metadata!E460,9,1))&gt;=0,FALSE),IFERROR(INT(MID(Metadata!E460,9,1))&lt;=3,FALSE),NOT(MID(Metadata!E460,10,1)=""),IFERROR(INT(MID(Metadata!E460,9,2))&gt;=1,FALSE),IFERROR(INT(MID(Metadata!E460,9,2))&lt;=31,FALSE)), OR(MID(Metadata!E460,11,1)="", AND(AND(MID(Metadata!E460,11,1)=" ",IFERROR(INT(MID(Metadata!E460,12,1))&gt;=0,FALSE),IFERROR(INT(MID(Metadata!E460,12,1))&lt;=2,FALSE),NOT(MID(Metadata!E460,13,1)=""),IFERROR(INT(MID(Metadata!E460,12,2))&gt;=0,FALSE),IFERROR(INT(MID(Metadata!E460,12,2))&lt;=23,FALSE)), OR(MID(Metadata!E460,14,1)="", AND(AND(MID(Metadata!E460,14,1)=":",IFERROR(INT(MID(Metadata!E460,15,1))&gt;=0,FALSE),IFERROR(INT(MID(Metadata!E460,15,1))&lt;=5,FALSE),NOT(MID(Metadata!E460,16,1)=""),IFERROR(INT(MID(Metadata!E460,15,2))&gt;=0,FALSE),IFERROR(INT(MID(Metadata!E460,15,2))&lt;=59,FALSE)), OR(MID(Metadata!E460,17,1)="", AND(AND(MID(Metadata!E460,17,1)=":",IFERROR(INT(MID(Metadata!E460,18,1))&gt;=0,FALSE),IFERROR(INT(MID(Metadata!E460,18,1))&lt;=5,FALSE),NOT(MID(Metadata!E460,19,1)=""),IFERROR(INT(MID(Metadata!E460,18,2))&gt;=0,FALSE),IFERROR(INT(MID(Metadata!E460,18,2))&lt;=59,FALSE)), LEN(Metadata!E460)&lt;=19)))))))))))))</f>
        <v>0</v>
      </c>
      <c r="AS460" t="b">
        <f>IF(Metadata!F460="",FALSE,TRUE)</f>
        <v>0</v>
      </c>
      <c r="AT460" t="b">
        <f>OR(AND(IF(Metadata!G460="",FALSE,TRUE),OR(EXACT(Metadata!G460,"not collected"),EXACT(Metadata!G460,"not provided"))),AND(IF(Metadata!G460="",FALSE,TRUE),OR(EXACT(Metadata!G460,"TRUE"),EXACT(Metadata!G460,"FALSE"))))</f>
        <v>0</v>
      </c>
      <c r="AU460" t="b">
        <f>OR(AND(IF(Metadata!H460="",FALSE,TRUE),OR(EXACT(Metadata!H460,"not collected"),EXACT(Metadata!H460,"not provided"),EXACT(Metadata!H460,"restricted access"))),AND(IF(Metadata!H460="",FALSE,ISNUMBER(VALUE(Metadata!H460))),Metadata!H460&gt;=-413))</f>
        <v>0</v>
      </c>
      <c r="AV460" t="b">
        <f>AND(IF(Metadata!I460="",FALSE,TRUE),EXACT(Metadata!I460,"meters"))</f>
        <v>0</v>
      </c>
      <c r="AW460" t="b">
        <f>AND(IF(Metadata!J460="",FALSE,TRUE),EXACT(Metadata!J460,"free-living"))</f>
        <v>0</v>
      </c>
      <c r="AX460" t="b">
        <f>AND(IF(Metadata!K460="",FALSE,TRUE),OR(EXACT(Metadata!K460,"saline"),EXACT(Metadata!K460,"non-saline")))</f>
        <v>0</v>
      </c>
      <c r="AY460" t="b">
        <f>AND(IF(Metadata!L460="",FALSE,TRUE),OR(EXACT(Metadata!L460,"sub-surface (non-saline)"),EXACT(Metadata!L460,"surface (non-saline)"),EXACT(Metadata!L460,"water (non-saline)"),EXACT(Metadata!L460,"soil (non-saline)"),EXACT(Metadata!L460,"aerosol (non-saline)"),EXACT(Metadata!L460,"sediment (non-saline)"),EXACT(Metadata!L460,"surface (saline)"),EXACT(Metadata!L460,"water (saline)"),EXACT(Metadata!L460,"hypersaline (saline)"),EXACT(Metadata!L460,"aerosol (saline)"),EXACT(Metadata!L460,"sediment (saline)")))</f>
        <v>0</v>
      </c>
      <c r="AZ460" t="b">
        <f>IF(Metadata!M460="",FALSE,TRUE)</f>
        <v>0</v>
      </c>
      <c r="BA460" t="b">
        <f>IF(Metadata!N460="",FALSE,TRUE)</f>
        <v>0</v>
      </c>
      <c r="BB460" t="b">
        <f>IF(Metadata!O460="",FALSE,TRUE)</f>
        <v>0</v>
      </c>
      <c r="BC460" t="b">
        <f>AND(IF(Metadata!P460="",FALSE,TRUE),OR(EXACT(Metadata!P460,"air"),EXACT(Metadata!P460,"microbial mat/biofilm"),EXACT(Metadata!P460,"misc environment"),EXACT(Metadata!P460,"sediment"),EXACT(Metadata!P460,"soil"),EXACT(Metadata!P460,"wastewater/sludge"),EXACT(Metadata!P460,"water")))</f>
        <v>0</v>
      </c>
      <c r="BD460" t="b">
        <f>IF(Metadata!Q460="",FALSE,TRUE)</f>
        <v>0</v>
      </c>
      <c r="BE460" t="b">
        <f>IF(Metadata!R460="",FALSE,TRUE)</f>
        <v>0</v>
      </c>
      <c r="BF460" t="b">
        <f>OR(AND(IF(Metadata!S460="",FALSE,TRUE),OR(EXACT(Metadata!S460,"not collected"),EXACT(Metadata!S460,"not provided"),EXACT(Metadata!S460,"restricted access"))),AND(IF(Metadata!S460="",FALSE,ISNUMBER(VALUE(Metadata!S460))),Metadata!S460&gt;=-90,Metadata!S460&lt;=90))</f>
        <v>0</v>
      </c>
      <c r="BG460" t="b">
        <f>AND(IF(Metadata!T460="",FALSE,TRUE),EXACT(Metadata!T460,"Decimal degrees"))</f>
        <v>0</v>
      </c>
      <c r="BH460" t="b">
        <f>OR(AND(IF(Metadata!U460="",FALSE,TRUE),OR(EXACT(Metadata!U460,"not applicable"),EXACT(Metadata!U460,"not collected"))),IF(Metadata!U460="",FALSE,TRUE))</f>
        <v>0</v>
      </c>
      <c r="BI460" t="b">
        <f>OR(AND(IF(Metadata!V460="",FALSE,TRUE),OR(EXACT(Metadata!V460,"not collected"),EXACT(Metadata!V460,"not provided"),EXACT(Metadata!V460,"restricted access"))),AND(IF(Metadata!V460="",FALSE,ISNUMBER(VALUE(Metadata!V460))),Metadata!V460&gt;=-180,Metadata!V460&lt;=180))</f>
        <v>0</v>
      </c>
      <c r="BJ460" t="b">
        <f>AND(IF(Metadata!W460="",FALSE,TRUE),EXACT(Metadata!W460,"Decimal degrees"))</f>
        <v>0</v>
      </c>
      <c r="BK460" t="b">
        <f>IF(Metadata!X460="",FALSE,TRUE)</f>
        <v>0</v>
      </c>
      <c r="BL460" t="b">
        <f>OR(AND(IF(Metadata!Y460="",FALSE,TRUE),OR(EXACT(Metadata!Y460,"not collected"),EXACT(Metadata!Y460,"not provided"),EXACT(Metadata!Y460,"restricted access"))),AND(IF(Metadata!Y460="",FALSE,TRUE),OR(EXACT(Metadata!Y460,"TRUE"),EXACT(Metadata!Y460,"FALSE"))))</f>
        <v>0</v>
      </c>
      <c r="BM460" t="b">
        <f>OR(AND(IF(Metadata!Z460="",FALSE,TRUE),EXACT(Metadata!Z460,"not applicable")),AND(IF(Metadata!Z460="",FALSE,TRUE),OR(EXACT(Metadata!Z460,"beer"),EXACT(Metadata!Z460,"cheese"),EXACT(Metadata!Z460,"fresh water"),EXACT(Metadata!Z460,"marine sediment"),EXACT(Metadata!Z460,"sea water"),EXACT(Metadata!Z460,"sediment"),EXACT(Metadata!Z460,"soil"),EXACT(Metadata!Z460,"waste water"))))</f>
        <v>0</v>
      </c>
      <c r="BN460" t="b">
        <f>AND(IF(Metadata!AA460="",FALSE,TRUE),EXACT(Metadata!AA460,"metagenome"))</f>
        <v>0</v>
      </c>
      <c r="BO460" t="b">
        <f>AND(IF(Metadata!AB460="",FALSE,TRUE),EXACT(Metadata!AB460,"256318"))</f>
        <v>0</v>
      </c>
      <c r="BP460" t="b">
        <f>IF(Metadata!AC460="",FALSE,TRUE)</f>
        <v>0</v>
      </c>
      <c r="BQ460" t="b">
        <f>IF(Metadata!AD460="",FALSE,TRUE)</f>
        <v>0</v>
      </c>
    </row>
    <row r="461" spans="1:69" x14ac:dyDescent="0.2">
      <c r="A461" s="4" t="e">
        <f ca="1">IF(B461=" "," ",HYPERLINK(CONCATENATE("#metadata!",ADDRESS(INDEX($AJ$2:$AJ$1001,MATCH(ROWS($AH$2:AH461),$AH$2:$AH$1001,0),0),2)),INDEX($AM$2:$AM$1001,MATCH(ROWS($AH$2:AH461),$AH$2:$AH$1001,0),0)))</f>
        <v>#N/A</v>
      </c>
      <c r="B461" s="5" t="e">
        <f ca="1">IF(OR(INDEX($AI$2:$AI$1001,MATCH(ROWS($AH$2:AH461),$AH$2:$AH$1001,0),1)&gt;=100000,INDEX($AO$1005:$BQ$1005,1,MATCH(COLUMNS($AO$1006:AO1006),$AO$1006:$BQ$1006,0))&gt;=100000), " ",IF(INDEX($AO$2:$BQ$1001,MATCH(ROWS($AH$2:AH461),$AH$2:$AH$1001,0),MATCH(COLUMNS($AO$1006:AO1006),$AO$1006:$BQ$1006,0)), HYPERLINK("#",""), HYPERLINK(CONCATENATE("#Metadata!", ADDRESS(INDEX($AJ$2:$AJ$1001,MATCH(ROWS($AH$2:AH461),$AH$2:$AH$1001,0),0), INDEX($AO$1004:$BQ$1004,1,MATCH(COLUMNS($AO$1006:AO1006),$AO$1006:$BQ$1006,0)))),"Fix")))</f>
        <v>#N/A</v>
      </c>
      <c r="C461" s="5" t="e">
        <f ca="1">IF(OR(INDEX($AI$2:$AI$1001,MATCH(ROWS($AH$2:AH461),$AH$2:$AH$1001,0),1)&gt;=100000,INDEX($AO$1005:$BQ$1005,1,MATCH(COLUMNS($AO$1006:AP1006),$AO$1006:$BQ$1006,0))&gt;=100000), " ",IF(INDEX($AO$2:$BQ$1001,MATCH(ROWS($AH$2:AH461),$AH$2:$AH$1001,0),MATCH(COLUMNS($AO$1006:AP1006),$AO$1006:$BQ$1006,0)), HYPERLINK("#",""), HYPERLINK(CONCATENATE("#Metadata!", ADDRESS(INDEX($AJ$2:$AJ$1001,MATCH(ROWS($AH$2:AH461),$AH$2:$AH$1001,0),0), INDEX($AO$1004:$BQ$1004,1,MATCH(COLUMNS($AO$1006:AP1006),$AO$1006:$BQ$1006,0)))),"Fix")))</f>
        <v>#N/A</v>
      </c>
      <c r="D461" s="5" t="e">
        <f ca="1">IF(OR(INDEX($AI$2:$AI$1001,MATCH(ROWS($AH$2:AH461),$AH$2:$AH$1001,0),1)&gt;=100000,INDEX($AO$1005:$BQ$1005,1,MATCH(COLUMNS($AO$1006:AQ1006),$AO$1006:$BQ$1006,0))&gt;=100000), " ",IF(INDEX($AO$2:$BQ$1001,MATCH(ROWS($AH$2:AH461),$AH$2:$AH$1001,0),MATCH(COLUMNS($AO$1006:AQ1006),$AO$1006:$BQ$1006,0)), HYPERLINK("#",""), HYPERLINK(CONCATENATE("#Metadata!", ADDRESS(INDEX($AJ$2:$AJ$1001,MATCH(ROWS($AH$2:AH461),$AH$2:$AH$1001,0),0), INDEX($AO$1004:$BQ$1004,1,MATCH(COLUMNS($AO$1006:AQ1006),$AO$1006:$BQ$1006,0)))),"Fix")))</f>
        <v>#N/A</v>
      </c>
      <c r="E461" s="5" t="e">
        <f ca="1">IF(OR(INDEX($AI$2:$AI$1001,MATCH(ROWS($AH$2:AH461),$AH$2:$AH$1001,0),1)&gt;=100000,INDEX($AO$1005:$BQ$1005,1,MATCH(COLUMNS($AO$1006:AR1006),$AO$1006:$BQ$1006,0))&gt;=100000), " ",IF(INDEX($AO$2:$BQ$1001,MATCH(ROWS($AH$2:AH461),$AH$2:$AH$1001,0),MATCH(COLUMNS($AO$1006:AR1006),$AO$1006:$BQ$1006,0)), HYPERLINK("#",""), HYPERLINK(CONCATENATE("#Metadata!", ADDRESS(INDEX($AJ$2:$AJ$1001,MATCH(ROWS($AH$2:AH461),$AH$2:$AH$1001,0),0), INDEX($AO$1004:$BQ$1004,1,MATCH(COLUMNS($AO$1006:AR1006),$AO$1006:$BQ$1006,0)))),"Fix")))</f>
        <v>#N/A</v>
      </c>
      <c r="F461" s="5" t="e">
        <f ca="1">IF(OR(INDEX($AI$2:$AI$1001,MATCH(ROWS($AH$2:AH461),$AH$2:$AH$1001,0),1)&gt;=100000,INDEX($AO$1005:$BQ$1005,1,MATCH(COLUMNS($AO$1006:AS1006),$AO$1006:$BQ$1006,0))&gt;=100000), " ",IF(INDEX($AO$2:$BQ$1001,MATCH(ROWS($AH$2:AH461),$AH$2:$AH$1001,0),MATCH(COLUMNS($AO$1006:AS1006),$AO$1006:$BQ$1006,0)), HYPERLINK("#",""), HYPERLINK(CONCATENATE("#Metadata!", ADDRESS(INDEX($AJ$2:$AJ$1001,MATCH(ROWS($AH$2:AH461),$AH$2:$AH$1001,0),0), INDEX($AO$1004:$BQ$1004,1,MATCH(COLUMNS($AO$1006:AS1006),$AO$1006:$BQ$1006,0)))),"Fix")))</f>
        <v>#N/A</v>
      </c>
      <c r="G461" s="5" t="e">
        <f ca="1">IF(OR(INDEX($AI$2:$AI$1001,MATCH(ROWS($AH$2:AH461),$AH$2:$AH$1001,0),1)&gt;=100000,INDEX($AO$1005:$BQ$1005,1,MATCH(COLUMNS($AO$1006:AT1006),$AO$1006:$BQ$1006,0))&gt;=100000), " ",IF(INDEX($AO$2:$BQ$1001,MATCH(ROWS($AH$2:AH461),$AH$2:$AH$1001,0),MATCH(COLUMNS($AO$1006:AT1006),$AO$1006:$BQ$1006,0)), HYPERLINK("#",""), HYPERLINK(CONCATENATE("#Metadata!", ADDRESS(INDEX($AJ$2:$AJ$1001,MATCH(ROWS($AH$2:AH461),$AH$2:$AH$1001,0),0), INDEX($AO$1004:$BQ$1004,1,MATCH(COLUMNS($AO$1006:AT1006),$AO$1006:$BQ$1006,0)))),"Fix")))</f>
        <v>#N/A</v>
      </c>
      <c r="H461" s="5" t="e">
        <f ca="1">IF(OR(INDEX($AI$2:$AI$1001,MATCH(ROWS($AH$2:AH461),$AH$2:$AH$1001,0),1)&gt;=100000,INDEX($AO$1005:$BQ$1005,1,MATCH(COLUMNS($AO$1006:AU1006),$AO$1006:$BQ$1006,0))&gt;=100000), " ",IF(INDEX($AO$2:$BQ$1001,MATCH(ROWS($AH$2:AH461),$AH$2:$AH$1001,0),MATCH(COLUMNS($AO$1006:AU1006),$AO$1006:$BQ$1006,0)), HYPERLINK("#",""), HYPERLINK(CONCATENATE("#Metadata!", ADDRESS(INDEX($AJ$2:$AJ$1001,MATCH(ROWS($AH$2:AH461),$AH$2:$AH$1001,0),0), INDEX($AO$1004:$BQ$1004,1,MATCH(COLUMNS($AO$1006:AU1006),$AO$1006:$BQ$1006,0)))),"Fix")))</f>
        <v>#N/A</v>
      </c>
      <c r="I461" s="5" t="e">
        <f ca="1">IF(OR(INDEX($AI$2:$AI$1001,MATCH(ROWS($AH$2:AH461),$AH$2:$AH$1001,0),1)&gt;=100000,INDEX($AO$1005:$BQ$1005,1,MATCH(COLUMNS($AO$1006:AV1006),$AO$1006:$BQ$1006,0))&gt;=100000), " ",IF(INDEX($AO$2:$BQ$1001,MATCH(ROWS($AH$2:AH461),$AH$2:$AH$1001,0),MATCH(COLUMNS($AO$1006:AV1006),$AO$1006:$BQ$1006,0)), HYPERLINK("#",""), HYPERLINK(CONCATENATE("#Metadata!", ADDRESS(INDEX($AJ$2:$AJ$1001,MATCH(ROWS($AH$2:AH461),$AH$2:$AH$1001,0),0), INDEX($AO$1004:$BQ$1004,1,MATCH(COLUMNS($AO$1006:AV1006),$AO$1006:$BQ$1006,0)))),"Fix")))</f>
        <v>#N/A</v>
      </c>
      <c r="J461" s="5" t="e">
        <f ca="1">IF(OR(INDEX($AI$2:$AI$1001,MATCH(ROWS($AH$2:AH461),$AH$2:$AH$1001,0),1)&gt;=100000,INDEX($AO$1005:$BQ$1005,1,MATCH(COLUMNS($AO$1006:AW1006),$AO$1006:$BQ$1006,0))&gt;=100000), " ",IF(INDEX($AO$2:$BQ$1001,MATCH(ROWS($AH$2:AH461),$AH$2:$AH$1001,0),MATCH(COLUMNS($AO$1006:AW1006),$AO$1006:$BQ$1006,0)), HYPERLINK("#",""), HYPERLINK(CONCATENATE("#Metadata!", ADDRESS(INDEX($AJ$2:$AJ$1001,MATCH(ROWS($AH$2:AH461),$AH$2:$AH$1001,0),0), INDEX($AO$1004:$BQ$1004,1,MATCH(COLUMNS($AO$1006:AW1006),$AO$1006:$BQ$1006,0)))),"Fix")))</f>
        <v>#N/A</v>
      </c>
      <c r="K461" s="5" t="e">
        <f ca="1">IF(OR(INDEX($AI$2:$AI$1001,MATCH(ROWS($AH$2:AH461),$AH$2:$AH$1001,0),1)&gt;=100000,INDEX($AO$1005:$BQ$1005,1,MATCH(COLUMNS($AO$1006:AX1006),$AO$1006:$BQ$1006,0))&gt;=100000), " ",IF(INDEX($AO$2:$BQ$1001,MATCH(ROWS($AH$2:AH461),$AH$2:$AH$1001,0),MATCH(COLUMNS($AO$1006:AX1006),$AO$1006:$BQ$1006,0)), HYPERLINK("#",""), HYPERLINK(CONCATENATE("#Metadata!", ADDRESS(INDEX($AJ$2:$AJ$1001,MATCH(ROWS($AH$2:AH461),$AH$2:$AH$1001,0),0), INDEX($AO$1004:$BQ$1004,1,MATCH(COLUMNS($AO$1006:AX1006),$AO$1006:$BQ$1006,0)))),"Fix")))</f>
        <v>#N/A</v>
      </c>
      <c r="L461" s="5" t="e">
        <f ca="1">IF(OR(INDEX($AI$2:$AI$1001,MATCH(ROWS($AH$2:AH461),$AH$2:$AH$1001,0),1)&gt;=100000,INDEX($AO$1005:$BQ$1005,1,MATCH(COLUMNS($AO$1006:AY1006),$AO$1006:$BQ$1006,0))&gt;=100000), " ",IF(INDEX($AO$2:$BQ$1001,MATCH(ROWS($AH$2:AH461),$AH$2:$AH$1001,0),MATCH(COLUMNS($AO$1006:AY1006),$AO$1006:$BQ$1006,0)), HYPERLINK("#",""), HYPERLINK(CONCATENATE("#Metadata!", ADDRESS(INDEX($AJ$2:$AJ$1001,MATCH(ROWS($AH$2:AH461),$AH$2:$AH$1001,0),0), INDEX($AO$1004:$BQ$1004,1,MATCH(COLUMNS($AO$1006:AY1006),$AO$1006:$BQ$1006,0)))),"Fix")))</f>
        <v>#N/A</v>
      </c>
      <c r="M461" s="5" t="e">
        <f ca="1">IF(OR(INDEX($AI$2:$AI$1001,MATCH(ROWS($AH$2:AH461),$AH$2:$AH$1001,0),1)&gt;=100000,INDEX($AO$1005:$BQ$1005,1,MATCH(COLUMNS($AO$1006:AZ1006),$AO$1006:$BQ$1006,0))&gt;=100000), " ",IF(INDEX($AO$2:$BQ$1001,MATCH(ROWS($AH$2:AH461),$AH$2:$AH$1001,0),MATCH(COLUMNS($AO$1006:AZ1006),$AO$1006:$BQ$1006,0)), HYPERLINK("#",""), HYPERLINK(CONCATENATE("#Metadata!", ADDRESS(INDEX($AJ$2:$AJ$1001,MATCH(ROWS($AH$2:AH461),$AH$2:$AH$1001,0),0), INDEX($AO$1004:$BQ$1004,1,MATCH(COLUMNS($AO$1006:AZ1006),$AO$1006:$BQ$1006,0)))),"Fix")))</f>
        <v>#N/A</v>
      </c>
      <c r="N461" s="5" t="e">
        <f ca="1">IF(OR(INDEX($AI$2:$AI$1001,MATCH(ROWS($AH$2:AH461),$AH$2:$AH$1001,0),1)&gt;=100000,INDEX($AO$1005:$BQ$1005,1,MATCH(COLUMNS($AO$1006:BA1006),$AO$1006:$BQ$1006,0))&gt;=100000), " ",IF(INDEX($AO$2:$BQ$1001,MATCH(ROWS($AH$2:AH461),$AH$2:$AH$1001,0),MATCH(COLUMNS($AO$1006:BA1006),$AO$1006:$BQ$1006,0)), HYPERLINK("#",""), HYPERLINK(CONCATENATE("#Metadata!", ADDRESS(INDEX($AJ$2:$AJ$1001,MATCH(ROWS($AH$2:AH461),$AH$2:$AH$1001,0),0), INDEX($AO$1004:$BQ$1004,1,MATCH(COLUMNS($AO$1006:BA1006),$AO$1006:$BQ$1006,0)))),"Fix")))</f>
        <v>#N/A</v>
      </c>
      <c r="O461" s="5" t="e">
        <f ca="1">IF(OR(INDEX($AI$2:$AI$1001,MATCH(ROWS($AH$2:AH461),$AH$2:$AH$1001,0),1)&gt;=100000,INDEX($AO$1005:$BQ$1005,1,MATCH(COLUMNS($AO$1006:BB1006),$AO$1006:$BQ$1006,0))&gt;=100000), " ",IF(INDEX($AO$2:$BQ$1001,MATCH(ROWS($AH$2:AH461),$AH$2:$AH$1001,0),MATCH(COLUMNS($AO$1006:BB1006),$AO$1006:$BQ$1006,0)), HYPERLINK("#",""), HYPERLINK(CONCATENATE("#Metadata!", ADDRESS(INDEX($AJ$2:$AJ$1001,MATCH(ROWS($AH$2:AH461),$AH$2:$AH$1001,0),0), INDEX($AO$1004:$BQ$1004,1,MATCH(COLUMNS($AO$1006:BB1006),$AO$1006:$BQ$1006,0)))),"Fix")))</f>
        <v>#N/A</v>
      </c>
      <c r="P461" s="5" t="e">
        <f ca="1">IF(OR(INDEX($AI$2:$AI$1001,MATCH(ROWS($AH$2:AH461),$AH$2:$AH$1001,0),1)&gt;=100000,INDEX($AO$1005:$BQ$1005,1,MATCH(COLUMNS($AO$1006:BC1006),$AO$1006:$BQ$1006,0))&gt;=100000), " ",IF(INDEX($AO$2:$BQ$1001,MATCH(ROWS($AH$2:AH461),$AH$2:$AH$1001,0),MATCH(COLUMNS($AO$1006:BC1006),$AO$1006:$BQ$1006,0)), HYPERLINK("#",""), HYPERLINK(CONCATENATE("#Metadata!", ADDRESS(INDEX($AJ$2:$AJ$1001,MATCH(ROWS($AH$2:AH461),$AH$2:$AH$1001,0),0), INDEX($AO$1004:$BQ$1004,1,MATCH(COLUMNS($AO$1006:BC1006),$AO$1006:$BQ$1006,0)))),"Fix")))</f>
        <v>#N/A</v>
      </c>
      <c r="Q461" s="5" t="e">
        <f ca="1">IF(OR(INDEX($AI$2:$AI$1001,MATCH(ROWS($AH$2:AH461),$AH$2:$AH$1001,0),1)&gt;=100000,INDEX($AO$1005:$BQ$1005,1,MATCH(COLUMNS($AO$1006:BD1006),$AO$1006:$BQ$1006,0))&gt;=100000), " ",IF(INDEX($AO$2:$BQ$1001,MATCH(ROWS($AH$2:AH461),$AH$2:$AH$1001,0),MATCH(COLUMNS($AO$1006:BD1006),$AO$1006:$BQ$1006,0)), HYPERLINK("#",""), HYPERLINK(CONCATENATE("#Metadata!", ADDRESS(INDEX($AJ$2:$AJ$1001,MATCH(ROWS($AH$2:AH461),$AH$2:$AH$1001,0),0), INDEX($AO$1004:$BQ$1004,1,MATCH(COLUMNS($AO$1006:BD1006),$AO$1006:$BQ$1006,0)))),"Fix")))</f>
        <v>#N/A</v>
      </c>
      <c r="R461" s="5" t="e">
        <f ca="1">IF(OR(INDEX($AI$2:$AI$1001,MATCH(ROWS($AH$2:AH461),$AH$2:$AH$1001,0),1)&gt;=100000,INDEX($AO$1005:$BQ$1005,1,MATCH(COLUMNS($AO$1006:BE1006),$AO$1006:$BQ$1006,0))&gt;=100000), " ",IF(INDEX($AO$2:$BQ$1001,MATCH(ROWS($AH$2:AH461),$AH$2:$AH$1001,0),MATCH(COLUMNS($AO$1006:BE1006),$AO$1006:$BQ$1006,0)), HYPERLINK("#",""), HYPERLINK(CONCATENATE("#Metadata!", ADDRESS(INDEX($AJ$2:$AJ$1001,MATCH(ROWS($AH$2:AH461),$AH$2:$AH$1001,0),0), INDEX($AO$1004:$BQ$1004,1,MATCH(COLUMNS($AO$1006:BE1006),$AO$1006:$BQ$1006,0)))),"Fix")))</f>
        <v>#N/A</v>
      </c>
      <c r="S461" s="5" t="e">
        <f ca="1">IF(OR(INDEX($AI$2:$AI$1001,MATCH(ROWS($AH$2:AH461),$AH$2:$AH$1001,0),1)&gt;=100000,INDEX($AO$1005:$BQ$1005,1,MATCH(COLUMNS($AO$1006:BF1006),$AO$1006:$BQ$1006,0))&gt;=100000), " ",IF(INDEX($AO$2:$BQ$1001,MATCH(ROWS($AH$2:AH461),$AH$2:$AH$1001,0),MATCH(COLUMNS($AO$1006:BF1006),$AO$1006:$BQ$1006,0)), HYPERLINK("#",""), HYPERLINK(CONCATENATE("#Metadata!", ADDRESS(INDEX($AJ$2:$AJ$1001,MATCH(ROWS($AH$2:AH461),$AH$2:$AH$1001,0),0), INDEX($AO$1004:$BQ$1004,1,MATCH(COLUMNS($AO$1006:BF1006),$AO$1006:$BQ$1006,0)))),"Fix")))</f>
        <v>#N/A</v>
      </c>
      <c r="T461" s="5" t="e">
        <f ca="1">IF(OR(INDEX($AI$2:$AI$1001,MATCH(ROWS($AH$2:AH461),$AH$2:$AH$1001,0),1)&gt;=100000,INDEX($AO$1005:$BQ$1005,1,MATCH(COLUMNS($AO$1006:BG1006),$AO$1006:$BQ$1006,0))&gt;=100000), " ",IF(INDEX($AO$2:$BQ$1001,MATCH(ROWS($AH$2:AH461),$AH$2:$AH$1001,0),MATCH(COLUMNS($AO$1006:BG1006),$AO$1006:$BQ$1006,0)), HYPERLINK("#",""), HYPERLINK(CONCATENATE("#Metadata!", ADDRESS(INDEX($AJ$2:$AJ$1001,MATCH(ROWS($AH$2:AH461),$AH$2:$AH$1001,0),0), INDEX($AO$1004:$BQ$1004,1,MATCH(COLUMNS($AO$1006:BG1006),$AO$1006:$BQ$1006,0)))),"Fix")))</f>
        <v>#N/A</v>
      </c>
      <c r="U461" s="5" t="e">
        <f ca="1">IF(OR(INDEX($AI$2:$AI$1001,MATCH(ROWS($AH$2:AH461),$AH$2:$AH$1001,0),1)&gt;=100000,INDEX($AO$1005:$BQ$1005,1,MATCH(COLUMNS($AO$1006:BH1006),$AO$1006:$BQ$1006,0))&gt;=100000), " ",IF(INDEX($AO$2:$BQ$1001,MATCH(ROWS($AH$2:AH461),$AH$2:$AH$1001,0),MATCH(COLUMNS($AO$1006:BH1006),$AO$1006:$BQ$1006,0)), HYPERLINK("#",""), HYPERLINK(CONCATENATE("#Metadata!", ADDRESS(INDEX($AJ$2:$AJ$1001,MATCH(ROWS($AH$2:AH461),$AH$2:$AH$1001,0),0), INDEX($AO$1004:$BQ$1004,1,MATCH(COLUMNS($AO$1006:BH1006),$AO$1006:$BQ$1006,0)))),"Fix")))</f>
        <v>#N/A</v>
      </c>
      <c r="V461" s="5" t="e">
        <f ca="1">IF(OR(INDEX($AI$2:$AI$1001,MATCH(ROWS($AH$2:AH461),$AH$2:$AH$1001,0),1)&gt;=100000,INDEX($AO$1005:$BQ$1005,1,MATCH(COLUMNS($AO$1006:BI1006),$AO$1006:$BQ$1006,0))&gt;=100000), " ",IF(INDEX($AO$2:$BQ$1001,MATCH(ROWS($AH$2:AH461),$AH$2:$AH$1001,0),MATCH(COLUMNS($AO$1006:BI1006),$AO$1006:$BQ$1006,0)), HYPERLINK("#",""), HYPERLINK(CONCATENATE("#Metadata!", ADDRESS(INDEX($AJ$2:$AJ$1001,MATCH(ROWS($AH$2:AH461),$AH$2:$AH$1001,0),0), INDEX($AO$1004:$BQ$1004,1,MATCH(COLUMNS($AO$1006:BI1006),$AO$1006:$BQ$1006,0)))),"Fix")))</f>
        <v>#N/A</v>
      </c>
      <c r="W461" s="5" t="e">
        <f ca="1">IF(OR(INDEX($AI$2:$AI$1001,MATCH(ROWS($AH$2:AH461),$AH$2:$AH$1001,0),1)&gt;=100000,INDEX($AO$1005:$BQ$1005,1,MATCH(COLUMNS($AO$1006:BJ1006),$AO$1006:$BQ$1006,0))&gt;=100000), " ",IF(INDEX($AO$2:$BQ$1001,MATCH(ROWS($AH$2:AH461),$AH$2:$AH$1001,0),MATCH(COLUMNS($AO$1006:BJ1006),$AO$1006:$BQ$1006,0)), HYPERLINK("#",""), HYPERLINK(CONCATENATE("#Metadata!", ADDRESS(INDEX($AJ$2:$AJ$1001,MATCH(ROWS($AH$2:AH461),$AH$2:$AH$1001,0),0), INDEX($AO$1004:$BQ$1004,1,MATCH(COLUMNS($AO$1006:BJ1006),$AO$1006:$BQ$1006,0)))),"Fix")))</f>
        <v>#N/A</v>
      </c>
      <c r="X461" s="5" t="e">
        <f ca="1">IF(OR(INDEX($AI$2:$AI$1001,MATCH(ROWS($AH$2:AH461),$AH$2:$AH$1001,0),1)&gt;=100000,INDEX($AO$1005:$BQ$1005,1,MATCH(COLUMNS($AO$1006:BK1006),$AO$1006:$BQ$1006,0))&gt;=100000), " ",IF(INDEX($AO$2:$BQ$1001,MATCH(ROWS($AH$2:AH461),$AH$2:$AH$1001,0),MATCH(COLUMNS($AO$1006:BK1006),$AO$1006:$BQ$1006,0)), HYPERLINK("#",""), HYPERLINK(CONCATENATE("#Metadata!", ADDRESS(INDEX($AJ$2:$AJ$1001,MATCH(ROWS($AH$2:AH461),$AH$2:$AH$1001,0),0), INDEX($AO$1004:$BQ$1004,1,MATCH(COLUMNS($AO$1006:BK1006),$AO$1006:$BQ$1006,0)))),"Fix")))</f>
        <v>#N/A</v>
      </c>
      <c r="Y461" s="5" t="e">
        <f ca="1">IF(OR(INDEX($AI$2:$AI$1001,MATCH(ROWS($AH$2:AH461),$AH$2:$AH$1001,0),1)&gt;=100000,INDEX($AO$1005:$BQ$1005,1,MATCH(COLUMNS($AO$1006:BL1006),$AO$1006:$BQ$1006,0))&gt;=100000), " ",IF(INDEX($AO$2:$BQ$1001,MATCH(ROWS($AH$2:AH461),$AH$2:$AH$1001,0),MATCH(COLUMNS($AO$1006:BL1006),$AO$1006:$BQ$1006,0)), HYPERLINK("#",""), HYPERLINK(CONCATENATE("#Metadata!", ADDRESS(INDEX($AJ$2:$AJ$1001,MATCH(ROWS($AH$2:AH461),$AH$2:$AH$1001,0),0), INDEX($AO$1004:$BQ$1004,1,MATCH(COLUMNS($AO$1006:BL1006),$AO$1006:$BQ$1006,0)))),"Fix")))</f>
        <v>#N/A</v>
      </c>
      <c r="Z461" s="5" t="e">
        <f ca="1">IF(OR(INDEX($AI$2:$AI$1001,MATCH(ROWS($AH$2:AH461),$AH$2:$AH$1001,0),1)&gt;=100000,INDEX($AO$1005:$BQ$1005,1,MATCH(COLUMNS($AO$1006:BM1006),$AO$1006:$BQ$1006,0))&gt;=100000), " ",IF(INDEX($AO$2:$BQ$1001,MATCH(ROWS($AH$2:AH461),$AH$2:$AH$1001,0),MATCH(COLUMNS($AO$1006:BM1006),$AO$1006:$BQ$1006,0)), HYPERLINK("#",""), HYPERLINK(CONCATENATE("#Metadata!", ADDRESS(INDEX($AJ$2:$AJ$1001,MATCH(ROWS($AH$2:AH461),$AH$2:$AH$1001,0),0), INDEX($AO$1004:$BQ$1004,1,MATCH(COLUMNS($AO$1006:BM1006),$AO$1006:$BQ$1006,0)))),"Fix")))</f>
        <v>#N/A</v>
      </c>
      <c r="AA461" s="5" t="e">
        <f ca="1">IF(OR(INDEX($AI$2:$AI$1001,MATCH(ROWS($AH$2:AH461),$AH$2:$AH$1001,0),1)&gt;=100000,INDEX($AO$1005:$BQ$1005,1,MATCH(COLUMNS($AO$1006:BN1006),$AO$1006:$BQ$1006,0))&gt;=100000), " ",IF(INDEX($AO$2:$BQ$1001,MATCH(ROWS($AH$2:AH461),$AH$2:$AH$1001,0),MATCH(COLUMNS($AO$1006:BN1006),$AO$1006:$BQ$1006,0)), HYPERLINK("#",""), HYPERLINK(CONCATENATE("#Metadata!", ADDRESS(INDEX($AJ$2:$AJ$1001,MATCH(ROWS($AH$2:AH461),$AH$2:$AH$1001,0),0), INDEX($AO$1004:$BQ$1004,1,MATCH(COLUMNS($AO$1006:BN1006),$AO$1006:$BQ$1006,0)))),"Fix")))</f>
        <v>#N/A</v>
      </c>
      <c r="AB461" s="5" t="e">
        <f ca="1">IF(OR(INDEX($AI$2:$AI$1001,MATCH(ROWS($AH$2:AH461),$AH$2:$AH$1001,0),1)&gt;=100000,INDEX($AO$1005:$BQ$1005,1,MATCH(COLUMNS($AO$1006:BO1006),$AO$1006:$BQ$1006,0))&gt;=100000), " ",IF(INDEX($AO$2:$BQ$1001,MATCH(ROWS($AH$2:AH461),$AH$2:$AH$1001,0),MATCH(COLUMNS($AO$1006:BO1006),$AO$1006:$BQ$1006,0)), HYPERLINK("#",""), HYPERLINK(CONCATENATE("#Metadata!", ADDRESS(INDEX($AJ$2:$AJ$1001,MATCH(ROWS($AH$2:AH461),$AH$2:$AH$1001,0),0), INDEX($AO$1004:$BQ$1004,1,MATCH(COLUMNS($AO$1006:BO1006),$AO$1006:$BQ$1006,0)))),"Fix")))</f>
        <v>#N/A</v>
      </c>
      <c r="AC461" s="5" t="e">
        <f ca="1">IF(OR(INDEX($AI$2:$AI$1001,MATCH(ROWS($AH$2:AH461),$AH$2:$AH$1001,0),1)&gt;=100000,INDEX($AO$1005:$BQ$1005,1,MATCH(COLUMNS($AO$1006:BP1006),$AO$1006:$BQ$1006,0))&gt;=100000), " ",IF(INDEX($AO$2:$BQ$1001,MATCH(ROWS($AH$2:AH461),$AH$2:$AH$1001,0),MATCH(COLUMNS($AO$1006:BP1006),$AO$1006:$BQ$1006,0)), HYPERLINK("#",""), HYPERLINK(CONCATENATE("#Metadata!", ADDRESS(INDEX($AJ$2:$AJ$1001,MATCH(ROWS($AH$2:AH461),$AH$2:$AH$1001,0),0), INDEX($AO$1004:$BQ$1004,1,MATCH(COLUMNS($AO$1006:BP1006),$AO$1006:$BQ$1006,0)))),"Fix")))</f>
        <v>#N/A</v>
      </c>
      <c r="AD461" s="5" t="e">
        <f ca="1">IF(OR(INDEX($AI$2:$AI$1001,MATCH(ROWS($AH$2:AH461),$AH$2:$AH$1001,0),1)&gt;=100000,INDEX($AO$1005:$BQ$1005,1,MATCH(COLUMNS($AO$1006:BQ1006),$AO$1006:$BQ$1006,0))&gt;=100000), " ",IF(INDEX($AO$2:$BQ$1001,MATCH(ROWS($AH$2:AH461),$AH$2:$AH$1001,0),MATCH(COLUMNS($AO$1006:BQ1006),$AO$1006:$BQ$1006,0)), HYPERLINK("#",""), HYPERLINK(CONCATENATE("#Metadata!", ADDRESS(INDEX($AJ$2:$AJ$1001,MATCH(ROWS($AH$2:AH461),$AH$2:$AH$1001,0),0), INDEX($AO$1004:$BQ$1004,1,MATCH(COLUMNS($AO$1006:BQ1006),$AO$1006:$BQ$1006,0)))),"Fix")))</f>
        <v>#REF!</v>
      </c>
      <c r="AH461">
        <f ca="1"/>
        <v>458</v>
      </c>
      <c r="AI461">
        <v>100461</v>
      </c>
      <c r="AJ461">
        <v>461</v>
      </c>
      <c r="AK461" t="b">
        <f t="shared" si="7"/>
        <v>1</v>
      </c>
      <c r="AL461" t="b">
        <f>COUNTBLANK(Metadata!B461:AD461)=COLUMNS(Metadata!B461:AD461)</f>
        <v>1</v>
      </c>
      <c r="AM461" t="str">
        <v/>
      </c>
      <c r="AO461" t="b">
        <f ca="1">AND(IF(Metadata!B461="",FALSE,TRUE),COUNTIF(Metadata!B:B, Metadata!B461) = 1,NOT(ISERROR(SUMPRODUCT(SEARCH(MID(Metadata!B461,ROW(INDIRECT("1:"&amp;LEN(Metadata!B461))), 1),"0123456789abcdefghijklmnopqrstuvwxyzABCDEFGHIJKLMNOPQRSTUVWXYZ.")))))</f>
        <v>0</v>
      </c>
      <c r="AP461" t="b">
        <f>IF(Metadata!C461="",FALSE,TRUE)</f>
        <v>0</v>
      </c>
      <c r="AQ461" t="b">
        <f>IF(Metadata!D461="",FALSE,TRUE)</f>
        <v>0</v>
      </c>
      <c r="AR461" t="b">
        <f ca="1">OR(AND(IF(Metadata!E461="",FALSE,TRUE),OR(EXACT(Metadata!E461,"not collected"),EXACT(Metadata!E461,"not provided"),EXACT(Metadata!E461,"restricted access"))),AND(IF(Metadata!E461="",FALSE,TRUE),AND(AND(IFERROR(INT(LEFT(Metadata!E461,4))&gt;1900,FALSE),IFERROR(INT(LEFT(Metadata!E461,4))&lt;=YEAR(NOW()),FALSE)), OR(MID(Metadata!E461,5,1)="", AND(AND(MID(Metadata!E461,5,1)="-",IFERROR(INT(MID(Metadata!E461,6,1))&gt;=0,FALSE),IFERROR(INT(MID(Metadata!E461,6,1))&lt;=1,FALSE),NOT(MID(Metadata!E461,7,1)=""),IFERROR(INT(MID(Metadata!E461,6,2))&gt;=1,FALSE),IFERROR(INT(MID(Metadata!E461,6,2))&lt;=12,FALSE)), OR(MID(Metadata!E461,8,1)="", AND(AND(MID(Metadata!E461,8,1)="-",IFERROR(INT(MID(Metadata!E461,9,1))&gt;=0,FALSE),IFERROR(INT(MID(Metadata!E461,9,1))&lt;=3,FALSE),NOT(MID(Metadata!E461,10,1)=""),IFERROR(INT(MID(Metadata!E461,9,2))&gt;=1,FALSE),IFERROR(INT(MID(Metadata!E461,9,2))&lt;=31,FALSE)), OR(MID(Metadata!E461,11,1)="", AND(AND(MID(Metadata!E461,11,1)=" ",IFERROR(INT(MID(Metadata!E461,12,1))&gt;=0,FALSE),IFERROR(INT(MID(Metadata!E461,12,1))&lt;=2,FALSE),NOT(MID(Metadata!E461,13,1)=""),IFERROR(INT(MID(Metadata!E461,12,2))&gt;=0,FALSE),IFERROR(INT(MID(Metadata!E461,12,2))&lt;=23,FALSE)), OR(MID(Metadata!E461,14,1)="", AND(AND(MID(Metadata!E461,14,1)=":",IFERROR(INT(MID(Metadata!E461,15,1))&gt;=0,FALSE),IFERROR(INT(MID(Metadata!E461,15,1))&lt;=5,FALSE),NOT(MID(Metadata!E461,16,1)=""),IFERROR(INT(MID(Metadata!E461,15,2))&gt;=0,FALSE),IFERROR(INT(MID(Metadata!E461,15,2))&lt;=59,FALSE)), OR(MID(Metadata!E461,17,1)="", AND(AND(MID(Metadata!E461,17,1)=":",IFERROR(INT(MID(Metadata!E461,18,1))&gt;=0,FALSE),IFERROR(INT(MID(Metadata!E461,18,1))&lt;=5,FALSE),NOT(MID(Metadata!E461,19,1)=""),IFERROR(INT(MID(Metadata!E461,18,2))&gt;=0,FALSE),IFERROR(INT(MID(Metadata!E461,18,2))&lt;=59,FALSE)), LEN(Metadata!E461)&lt;=19)))))))))))))</f>
        <v>0</v>
      </c>
      <c r="AS461" t="b">
        <f>IF(Metadata!F461="",FALSE,TRUE)</f>
        <v>0</v>
      </c>
      <c r="AT461" t="b">
        <f>OR(AND(IF(Metadata!G461="",FALSE,TRUE),OR(EXACT(Metadata!G461,"not collected"),EXACT(Metadata!G461,"not provided"))),AND(IF(Metadata!G461="",FALSE,TRUE),OR(EXACT(Metadata!G461,"TRUE"),EXACT(Metadata!G461,"FALSE"))))</f>
        <v>0</v>
      </c>
      <c r="AU461" t="b">
        <f>OR(AND(IF(Metadata!H461="",FALSE,TRUE),OR(EXACT(Metadata!H461,"not collected"),EXACT(Metadata!H461,"not provided"),EXACT(Metadata!H461,"restricted access"))),AND(IF(Metadata!H461="",FALSE,ISNUMBER(VALUE(Metadata!H461))),Metadata!H461&gt;=-413))</f>
        <v>0</v>
      </c>
      <c r="AV461" t="b">
        <f>AND(IF(Metadata!I461="",FALSE,TRUE),EXACT(Metadata!I461,"meters"))</f>
        <v>0</v>
      </c>
      <c r="AW461" t="b">
        <f>AND(IF(Metadata!J461="",FALSE,TRUE),EXACT(Metadata!J461,"free-living"))</f>
        <v>0</v>
      </c>
      <c r="AX461" t="b">
        <f>AND(IF(Metadata!K461="",FALSE,TRUE),OR(EXACT(Metadata!K461,"saline"),EXACT(Metadata!K461,"non-saline")))</f>
        <v>0</v>
      </c>
      <c r="AY461" t="b">
        <f>AND(IF(Metadata!L461="",FALSE,TRUE),OR(EXACT(Metadata!L461,"sub-surface (non-saline)"),EXACT(Metadata!L461,"surface (non-saline)"),EXACT(Metadata!L461,"water (non-saline)"),EXACT(Metadata!L461,"soil (non-saline)"),EXACT(Metadata!L461,"aerosol (non-saline)"),EXACT(Metadata!L461,"sediment (non-saline)"),EXACT(Metadata!L461,"surface (saline)"),EXACT(Metadata!L461,"water (saline)"),EXACT(Metadata!L461,"hypersaline (saline)"),EXACT(Metadata!L461,"aerosol (saline)"),EXACT(Metadata!L461,"sediment (saline)")))</f>
        <v>0</v>
      </c>
      <c r="AZ461" t="b">
        <f>IF(Metadata!M461="",FALSE,TRUE)</f>
        <v>0</v>
      </c>
      <c r="BA461" t="b">
        <f>IF(Metadata!N461="",FALSE,TRUE)</f>
        <v>0</v>
      </c>
      <c r="BB461" t="b">
        <f>IF(Metadata!O461="",FALSE,TRUE)</f>
        <v>0</v>
      </c>
      <c r="BC461" t="b">
        <f>AND(IF(Metadata!P461="",FALSE,TRUE),OR(EXACT(Metadata!P461,"air"),EXACT(Metadata!P461,"microbial mat/biofilm"),EXACT(Metadata!P461,"misc environment"),EXACT(Metadata!P461,"sediment"),EXACT(Metadata!P461,"soil"),EXACT(Metadata!P461,"wastewater/sludge"),EXACT(Metadata!P461,"water")))</f>
        <v>0</v>
      </c>
      <c r="BD461" t="b">
        <f>IF(Metadata!Q461="",FALSE,TRUE)</f>
        <v>0</v>
      </c>
      <c r="BE461" t="b">
        <f>IF(Metadata!R461="",FALSE,TRUE)</f>
        <v>0</v>
      </c>
      <c r="BF461" t="b">
        <f>OR(AND(IF(Metadata!S461="",FALSE,TRUE),OR(EXACT(Metadata!S461,"not collected"),EXACT(Metadata!S461,"not provided"),EXACT(Metadata!S461,"restricted access"))),AND(IF(Metadata!S461="",FALSE,ISNUMBER(VALUE(Metadata!S461))),Metadata!S461&gt;=-90,Metadata!S461&lt;=90))</f>
        <v>0</v>
      </c>
      <c r="BG461" t="b">
        <f>AND(IF(Metadata!T461="",FALSE,TRUE),EXACT(Metadata!T461,"Decimal degrees"))</f>
        <v>0</v>
      </c>
      <c r="BH461" t="b">
        <f>OR(AND(IF(Metadata!U461="",FALSE,TRUE),OR(EXACT(Metadata!U461,"not applicable"),EXACT(Metadata!U461,"not collected"))),IF(Metadata!U461="",FALSE,TRUE))</f>
        <v>0</v>
      </c>
      <c r="BI461" t="b">
        <f>OR(AND(IF(Metadata!V461="",FALSE,TRUE),OR(EXACT(Metadata!V461,"not collected"),EXACT(Metadata!V461,"not provided"),EXACT(Metadata!V461,"restricted access"))),AND(IF(Metadata!V461="",FALSE,ISNUMBER(VALUE(Metadata!V461))),Metadata!V461&gt;=-180,Metadata!V461&lt;=180))</f>
        <v>0</v>
      </c>
      <c r="BJ461" t="b">
        <f>AND(IF(Metadata!W461="",FALSE,TRUE),EXACT(Metadata!W461,"Decimal degrees"))</f>
        <v>0</v>
      </c>
      <c r="BK461" t="b">
        <f>IF(Metadata!X461="",FALSE,TRUE)</f>
        <v>0</v>
      </c>
      <c r="BL461" t="b">
        <f>OR(AND(IF(Metadata!Y461="",FALSE,TRUE),OR(EXACT(Metadata!Y461,"not collected"),EXACT(Metadata!Y461,"not provided"),EXACT(Metadata!Y461,"restricted access"))),AND(IF(Metadata!Y461="",FALSE,TRUE),OR(EXACT(Metadata!Y461,"TRUE"),EXACT(Metadata!Y461,"FALSE"))))</f>
        <v>0</v>
      </c>
      <c r="BM461" t="b">
        <f>OR(AND(IF(Metadata!Z461="",FALSE,TRUE),EXACT(Metadata!Z461,"not applicable")),AND(IF(Metadata!Z461="",FALSE,TRUE),OR(EXACT(Metadata!Z461,"beer"),EXACT(Metadata!Z461,"cheese"),EXACT(Metadata!Z461,"fresh water"),EXACT(Metadata!Z461,"marine sediment"),EXACT(Metadata!Z461,"sea water"),EXACT(Metadata!Z461,"sediment"),EXACT(Metadata!Z461,"soil"),EXACT(Metadata!Z461,"waste water"))))</f>
        <v>0</v>
      </c>
      <c r="BN461" t="b">
        <f>AND(IF(Metadata!AA461="",FALSE,TRUE),EXACT(Metadata!AA461,"metagenome"))</f>
        <v>0</v>
      </c>
      <c r="BO461" t="b">
        <f>AND(IF(Metadata!AB461="",FALSE,TRUE),EXACT(Metadata!AB461,"256318"))</f>
        <v>0</v>
      </c>
      <c r="BP461" t="b">
        <f>IF(Metadata!AC461="",FALSE,TRUE)</f>
        <v>0</v>
      </c>
      <c r="BQ461" t="b">
        <f>IF(Metadata!AD461="",FALSE,TRUE)</f>
        <v>0</v>
      </c>
    </row>
    <row r="462" spans="1:69" x14ac:dyDescent="0.2">
      <c r="A462" s="4" t="e">
        <f ca="1">IF(B462=" "," ",HYPERLINK(CONCATENATE("#metadata!",ADDRESS(INDEX($AJ$2:$AJ$1001,MATCH(ROWS($AH$2:AH462),$AH$2:$AH$1001,0),0),2)),INDEX($AM$2:$AM$1001,MATCH(ROWS($AH$2:AH462),$AH$2:$AH$1001,0),0)))</f>
        <v>#N/A</v>
      </c>
      <c r="B462" s="5" t="e">
        <f ca="1">IF(OR(INDEX($AI$2:$AI$1001,MATCH(ROWS($AH$2:AH462),$AH$2:$AH$1001,0),1)&gt;=100000,INDEX($AO$1005:$BQ$1005,1,MATCH(COLUMNS($AO$1006:AO1006),$AO$1006:$BQ$1006,0))&gt;=100000), " ",IF(INDEX($AO$2:$BQ$1001,MATCH(ROWS($AH$2:AH462),$AH$2:$AH$1001,0),MATCH(COLUMNS($AO$1006:AO1006),$AO$1006:$BQ$1006,0)), HYPERLINK("#",""), HYPERLINK(CONCATENATE("#Metadata!", ADDRESS(INDEX($AJ$2:$AJ$1001,MATCH(ROWS($AH$2:AH462),$AH$2:$AH$1001,0),0), INDEX($AO$1004:$BQ$1004,1,MATCH(COLUMNS($AO$1006:AO1006),$AO$1006:$BQ$1006,0)))),"Fix")))</f>
        <v>#N/A</v>
      </c>
      <c r="C462" s="5" t="e">
        <f ca="1">IF(OR(INDEX($AI$2:$AI$1001,MATCH(ROWS($AH$2:AH462),$AH$2:$AH$1001,0),1)&gt;=100000,INDEX($AO$1005:$BQ$1005,1,MATCH(COLUMNS($AO$1006:AP1006),$AO$1006:$BQ$1006,0))&gt;=100000), " ",IF(INDEX($AO$2:$BQ$1001,MATCH(ROWS($AH$2:AH462),$AH$2:$AH$1001,0),MATCH(COLUMNS($AO$1006:AP1006),$AO$1006:$BQ$1006,0)), HYPERLINK("#",""), HYPERLINK(CONCATENATE("#Metadata!", ADDRESS(INDEX($AJ$2:$AJ$1001,MATCH(ROWS($AH$2:AH462),$AH$2:$AH$1001,0),0), INDEX($AO$1004:$BQ$1004,1,MATCH(COLUMNS($AO$1006:AP1006),$AO$1006:$BQ$1006,0)))),"Fix")))</f>
        <v>#N/A</v>
      </c>
      <c r="D462" s="5" t="e">
        <f ca="1">IF(OR(INDEX($AI$2:$AI$1001,MATCH(ROWS($AH$2:AH462),$AH$2:$AH$1001,0),1)&gt;=100000,INDEX($AO$1005:$BQ$1005,1,MATCH(COLUMNS($AO$1006:AQ1006),$AO$1006:$BQ$1006,0))&gt;=100000), " ",IF(INDEX($AO$2:$BQ$1001,MATCH(ROWS($AH$2:AH462),$AH$2:$AH$1001,0),MATCH(COLUMNS($AO$1006:AQ1006),$AO$1006:$BQ$1006,0)), HYPERLINK("#",""), HYPERLINK(CONCATENATE("#Metadata!", ADDRESS(INDEX($AJ$2:$AJ$1001,MATCH(ROWS($AH$2:AH462),$AH$2:$AH$1001,0),0), INDEX($AO$1004:$BQ$1004,1,MATCH(COLUMNS($AO$1006:AQ1006),$AO$1006:$BQ$1006,0)))),"Fix")))</f>
        <v>#N/A</v>
      </c>
      <c r="E462" s="5" t="e">
        <f ca="1">IF(OR(INDEX($AI$2:$AI$1001,MATCH(ROWS($AH$2:AH462),$AH$2:$AH$1001,0),1)&gt;=100000,INDEX($AO$1005:$BQ$1005,1,MATCH(COLUMNS($AO$1006:AR1006),$AO$1006:$BQ$1006,0))&gt;=100000), " ",IF(INDEX($AO$2:$BQ$1001,MATCH(ROWS($AH$2:AH462),$AH$2:$AH$1001,0),MATCH(COLUMNS($AO$1006:AR1006),$AO$1006:$BQ$1006,0)), HYPERLINK("#",""), HYPERLINK(CONCATENATE("#Metadata!", ADDRESS(INDEX($AJ$2:$AJ$1001,MATCH(ROWS($AH$2:AH462),$AH$2:$AH$1001,0),0), INDEX($AO$1004:$BQ$1004,1,MATCH(COLUMNS($AO$1006:AR1006),$AO$1006:$BQ$1006,0)))),"Fix")))</f>
        <v>#N/A</v>
      </c>
      <c r="F462" s="5" t="e">
        <f ca="1">IF(OR(INDEX($AI$2:$AI$1001,MATCH(ROWS($AH$2:AH462),$AH$2:$AH$1001,0),1)&gt;=100000,INDEX($AO$1005:$BQ$1005,1,MATCH(COLUMNS($AO$1006:AS1006),$AO$1006:$BQ$1006,0))&gt;=100000), " ",IF(INDEX($AO$2:$BQ$1001,MATCH(ROWS($AH$2:AH462),$AH$2:$AH$1001,0),MATCH(COLUMNS($AO$1006:AS1006),$AO$1006:$BQ$1006,0)), HYPERLINK("#",""), HYPERLINK(CONCATENATE("#Metadata!", ADDRESS(INDEX($AJ$2:$AJ$1001,MATCH(ROWS($AH$2:AH462),$AH$2:$AH$1001,0),0), INDEX($AO$1004:$BQ$1004,1,MATCH(COLUMNS($AO$1006:AS1006),$AO$1006:$BQ$1006,0)))),"Fix")))</f>
        <v>#N/A</v>
      </c>
      <c r="G462" s="5" t="e">
        <f ca="1">IF(OR(INDEX($AI$2:$AI$1001,MATCH(ROWS($AH$2:AH462),$AH$2:$AH$1001,0),1)&gt;=100000,INDEX($AO$1005:$BQ$1005,1,MATCH(COLUMNS($AO$1006:AT1006),$AO$1006:$BQ$1006,0))&gt;=100000), " ",IF(INDEX($AO$2:$BQ$1001,MATCH(ROWS($AH$2:AH462),$AH$2:$AH$1001,0),MATCH(COLUMNS($AO$1006:AT1006),$AO$1006:$BQ$1006,0)), HYPERLINK("#",""), HYPERLINK(CONCATENATE("#Metadata!", ADDRESS(INDEX($AJ$2:$AJ$1001,MATCH(ROWS($AH$2:AH462),$AH$2:$AH$1001,0),0), INDEX($AO$1004:$BQ$1004,1,MATCH(COLUMNS($AO$1006:AT1006),$AO$1006:$BQ$1006,0)))),"Fix")))</f>
        <v>#N/A</v>
      </c>
      <c r="H462" s="5" t="e">
        <f ca="1">IF(OR(INDEX($AI$2:$AI$1001,MATCH(ROWS($AH$2:AH462),$AH$2:$AH$1001,0),1)&gt;=100000,INDEX($AO$1005:$BQ$1005,1,MATCH(COLUMNS($AO$1006:AU1006),$AO$1006:$BQ$1006,0))&gt;=100000), " ",IF(INDEX($AO$2:$BQ$1001,MATCH(ROWS($AH$2:AH462),$AH$2:$AH$1001,0),MATCH(COLUMNS($AO$1006:AU1006),$AO$1006:$BQ$1006,0)), HYPERLINK("#",""), HYPERLINK(CONCATENATE("#Metadata!", ADDRESS(INDEX($AJ$2:$AJ$1001,MATCH(ROWS($AH$2:AH462),$AH$2:$AH$1001,0),0), INDEX($AO$1004:$BQ$1004,1,MATCH(COLUMNS($AO$1006:AU1006),$AO$1006:$BQ$1006,0)))),"Fix")))</f>
        <v>#N/A</v>
      </c>
      <c r="I462" s="5" t="e">
        <f ca="1">IF(OR(INDEX($AI$2:$AI$1001,MATCH(ROWS($AH$2:AH462),$AH$2:$AH$1001,0),1)&gt;=100000,INDEX($AO$1005:$BQ$1005,1,MATCH(COLUMNS($AO$1006:AV1006),$AO$1006:$BQ$1006,0))&gt;=100000), " ",IF(INDEX($AO$2:$BQ$1001,MATCH(ROWS($AH$2:AH462),$AH$2:$AH$1001,0),MATCH(COLUMNS($AO$1006:AV1006),$AO$1006:$BQ$1006,0)), HYPERLINK("#",""), HYPERLINK(CONCATENATE("#Metadata!", ADDRESS(INDEX($AJ$2:$AJ$1001,MATCH(ROWS($AH$2:AH462),$AH$2:$AH$1001,0),0), INDEX($AO$1004:$BQ$1004,1,MATCH(COLUMNS($AO$1006:AV1006),$AO$1006:$BQ$1006,0)))),"Fix")))</f>
        <v>#N/A</v>
      </c>
      <c r="J462" s="5" t="e">
        <f ca="1">IF(OR(INDEX($AI$2:$AI$1001,MATCH(ROWS($AH$2:AH462),$AH$2:$AH$1001,0),1)&gt;=100000,INDEX($AO$1005:$BQ$1005,1,MATCH(COLUMNS($AO$1006:AW1006),$AO$1006:$BQ$1006,0))&gt;=100000), " ",IF(INDEX($AO$2:$BQ$1001,MATCH(ROWS($AH$2:AH462),$AH$2:$AH$1001,0),MATCH(COLUMNS($AO$1006:AW1006),$AO$1006:$BQ$1006,0)), HYPERLINK("#",""), HYPERLINK(CONCATENATE("#Metadata!", ADDRESS(INDEX($AJ$2:$AJ$1001,MATCH(ROWS($AH$2:AH462),$AH$2:$AH$1001,0),0), INDEX($AO$1004:$BQ$1004,1,MATCH(COLUMNS($AO$1006:AW1006),$AO$1006:$BQ$1006,0)))),"Fix")))</f>
        <v>#N/A</v>
      </c>
      <c r="K462" s="5" t="e">
        <f ca="1">IF(OR(INDEX($AI$2:$AI$1001,MATCH(ROWS($AH$2:AH462),$AH$2:$AH$1001,0),1)&gt;=100000,INDEX($AO$1005:$BQ$1005,1,MATCH(COLUMNS($AO$1006:AX1006),$AO$1006:$BQ$1006,0))&gt;=100000), " ",IF(INDEX($AO$2:$BQ$1001,MATCH(ROWS($AH$2:AH462),$AH$2:$AH$1001,0),MATCH(COLUMNS($AO$1006:AX1006),$AO$1006:$BQ$1006,0)), HYPERLINK("#",""), HYPERLINK(CONCATENATE("#Metadata!", ADDRESS(INDEX($AJ$2:$AJ$1001,MATCH(ROWS($AH$2:AH462),$AH$2:$AH$1001,0),0), INDEX($AO$1004:$BQ$1004,1,MATCH(COLUMNS($AO$1006:AX1006),$AO$1006:$BQ$1006,0)))),"Fix")))</f>
        <v>#N/A</v>
      </c>
      <c r="L462" s="5" t="e">
        <f ca="1">IF(OR(INDEX($AI$2:$AI$1001,MATCH(ROWS($AH$2:AH462),$AH$2:$AH$1001,0),1)&gt;=100000,INDEX($AO$1005:$BQ$1005,1,MATCH(COLUMNS($AO$1006:AY1006),$AO$1006:$BQ$1006,0))&gt;=100000), " ",IF(INDEX($AO$2:$BQ$1001,MATCH(ROWS($AH$2:AH462),$AH$2:$AH$1001,0),MATCH(COLUMNS($AO$1006:AY1006),$AO$1006:$BQ$1006,0)), HYPERLINK("#",""), HYPERLINK(CONCATENATE("#Metadata!", ADDRESS(INDEX($AJ$2:$AJ$1001,MATCH(ROWS($AH$2:AH462),$AH$2:$AH$1001,0),0), INDEX($AO$1004:$BQ$1004,1,MATCH(COLUMNS($AO$1006:AY1006),$AO$1006:$BQ$1006,0)))),"Fix")))</f>
        <v>#N/A</v>
      </c>
      <c r="M462" s="5" t="e">
        <f ca="1">IF(OR(INDEX($AI$2:$AI$1001,MATCH(ROWS($AH$2:AH462),$AH$2:$AH$1001,0),1)&gt;=100000,INDEX($AO$1005:$BQ$1005,1,MATCH(COLUMNS($AO$1006:AZ1006),$AO$1006:$BQ$1006,0))&gt;=100000), " ",IF(INDEX($AO$2:$BQ$1001,MATCH(ROWS($AH$2:AH462),$AH$2:$AH$1001,0),MATCH(COLUMNS($AO$1006:AZ1006),$AO$1006:$BQ$1006,0)), HYPERLINK("#",""), HYPERLINK(CONCATENATE("#Metadata!", ADDRESS(INDEX($AJ$2:$AJ$1001,MATCH(ROWS($AH$2:AH462),$AH$2:$AH$1001,0),0), INDEX($AO$1004:$BQ$1004,1,MATCH(COLUMNS($AO$1006:AZ1006),$AO$1006:$BQ$1006,0)))),"Fix")))</f>
        <v>#N/A</v>
      </c>
      <c r="N462" s="5" t="e">
        <f ca="1">IF(OR(INDEX($AI$2:$AI$1001,MATCH(ROWS($AH$2:AH462),$AH$2:$AH$1001,0),1)&gt;=100000,INDEX($AO$1005:$BQ$1005,1,MATCH(COLUMNS($AO$1006:BA1006),$AO$1006:$BQ$1006,0))&gt;=100000), " ",IF(INDEX($AO$2:$BQ$1001,MATCH(ROWS($AH$2:AH462),$AH$2:$AH$1001,0),MATCH(COLUMNS($AO$1006:BA1006),$AO$1006:$BQ$1006,0)), HYPERLINK("#",""), HYPERLINK(CONCATENATE("#Metadata!", ADDRESS(INDEX($AJ$2:$AJ$1001,MATCH(ROWS($AH$2:AH462),$AH$2:$AH$1001,0),0), INDEX($AO$1004:$BQ$1004,1,MATCH(COLUMNS($AO$1006:BA1006),$AO$1006:$BQ$1006,0)))),"Fix")))</f>
        <v>#N/A</v>
      </c>
      <c r="O462" s="5" t="e">
        <f ca="1">IF(OR(INDEX($AI$2:$AI$1001,MATCH(ROWS($AH$2:AH462),$AH$2:$AH$1001,0),1)&gt;=100000,INDEX($AO$1005:$BQ$1005,1,MATCH(COLUMNS($AO$1006:BB1006),$AO$1006:$BQ$1006,0))&gt;=100000), " ",IF(INDEX($AO$2:$BQ$1001,MATCH(ROWS($AH$2:AH462),$AH$2:$AH$1001,0),MATCH(COLUMNS($AO$1006:BB1006),$AO$1006:$BQ$1006,0)), HYPERLINK("#",""), HYPERLINK(CONCATENATE("#Metadata!", ADDRESS(INDEX($AJ$2:$AJ$1001,MATCH(ROWS($AH$2:AH462),$AH$2:$AH$1001,0),0), INDEX($AO$1004:$BQ$1004,1,MATCH(COLUMNS($AO$1006:BB1006),$AO$1006:$BQ$1006,0)))),"Fix")))</f>
        <v>#N/A</v>
      </c>
      <c r="P462" s="5" t="e">
        <f ca="1">IF(OR(INDEX($AI$2:$AI$1001,MATCH(ROWS($AH$2:AH462),$AH$2:$AH$1001,0),1)&gt;=100000,INDEX($AO$1005:$BQ$1005,1,MATCH(COLUMNS($AO$1006:BC1006),$AO$1006:$BQ$1006,0))&gt;=100000), " ",IF(INDEX($AO$2:$BQ$1001,MATCH(ROWS($AH$2:AH462),$AH$2:$AH$1001,0),MATCH(COLUMNS($AO$1006:BC1006),$AO$1006:$BQ$1006,0)), HYPERLINK("#",""), HYPERLINK(CONCATENATE("#Metadata!", ADDRESS(INDEX($AJ$2:$AJ$1001,MATCH(ROWS($AH$2:AH462),$AH$2:$AH$1001,0),0), INDEX($AO$1004:$BQ$1004,1,MATCH(COLUMNS($AO$1006:BC1006),$AO$1006:$BQ$1006,0)))),"Fix")))</f>
        <v>#N/A</v>
      </c>
      <c r="Q462" s="5" t="e">
        <f ca="1">IF(OR(INDEX($AI$2:$AI$1001,MATCH(ROWS($AH$2:AH462),$AH$2:$AH$1001,0),1)&gt;=100000,INDEX($AO$1005:$BQ$1005,1,MATCH(COLUMNS($AO$1006:BD1006),$AO$1006:$BQ$1006,0))&gt;=100000), " ",IF(INDEX($AO$2:$BQ$1001,MATCH(ROWS($AH$2:AH462),$AH$2:$AH$1001,0),MATCH(COLUMNS($AO$1006:BD1006),$AO$1006:$BQ$1006,0)), HYPERLINK("#",""), HYPERLINK(CONCATENATE("#Metadata!", ADDRESS(INDEX($AJ$2:$AJ$1001,MATCH(ROWS($AH$2:AH462),$AH$2:$AH$1001,0),0), INDEX($AO$1004:$BQ$1004,1,MATCH(COLUMNS($AO$1006:BD1006),$AO$1006:$BQ$1006,0)))),"Fix")))</f>
        <v>#N/A</v>
      </c>
      <c r="R462" s="5" t="e">
        <f ca="1">IF(OR(INDEX($AI$2:$AI$1001,MATCH(ROWS($AH$2:AH462),$AH$2:$AH$1001,0),1)&gt;=100000,INDEX($AO$1005:$BQ$1005,1,MATCH(COLUMNS($AO$1006:BE1006),$AO$1006:$BQ$1006,0))&gt;=100000), " ",IF(INDEX($AO$2:$BQ$1001,MATCH(ROWS($AH$2:AH462),$AH$2:$AH$1001,0),MATCH(COLUMNS($AO$1006:BE1006),$AO$1006:$BQ$1006,0)), HYPERLINK("#",""), HYPERLINK(CONCATENATE("#Metadata!", ADDRESS(INDEX($AJ$2:$AJ$1001,MATCH(ROWS($AH$2:AH462),$AH$2:$AH$1001,0),0), INDEX($AO$1004:$BQ$1004,1,MATCH(COLUMNS($AO$1006:BE1006),$AO$1006:$BQ$1006,0)))),"Fix")))</f>
        <v>#N/A</v>
      </c>
      <c r="S462" s="5" t="e">
        <f ca="1">IF(OR(INDEX($AI$2:$AI$1001,MATCH(ROWS($AH$2:AH462),$AH$2:$AH$1001,0),1)&gt;=100000,INDEX($AO$1005:$BQ$1005,1,MATCH(COLUMNS($AO$1006:BF1006),$AO$1006:$BQ$1006,0))&gt;=100000), " ",IF(INDEX($AO$2:$BQ$1001,MATCH(ROWS($AH$2:AH462),$AH$2:$AH$1001,0),MATCH(COLUMNS($AO$1006:BF1006),$AO$1006:$BQ$1006,0)), HYPERLINK("#",""), HYPERLINK(CONCATENATE("#Metadata!", ADDRESS(INDEX($AJ$2:$AJ$1001,MATCH(ROWS($AH$2:AH462),$AH$2:$AH$1001,0),0), INDEX($AO$1004:$BQ$1004,1,MATCH(COLUMNS($AO$1006:BF1006),$AO$1006:$BQ$1006,0)))),"Fix")))</f>
        <v>#N/A</v>
      </c>
      <c r="T462" s="5" t="e">
        <f ca="1">IF(OR(INDEX($AI$2:$AI$1001,MATCH(ROWS($AH$2:AH462),$AH$2:$AH$1001,0),1)&gt;=100000,INDEX($AO$1005:$BQ$1005,1,MATCH(COLUMNS($AO$1006:BG1006),$AO$1006:$BQ$1006,0))&gt;=100000), " ",IF(INDEX($AO$2:$BQ$1001,MATCH(ROWS($AH$2:AH462),$AH$2:$AH$1001,0),MATCH(COLUMNS($AO$1006:BG1006),$AO$1006:$BQ$1006,0)), HYPERLINK("#",""), HYPERLINK(CONCATENATE("#Metadata!", ADDRESS(INDEX($AJ$2:$AJ$1001,MATCH(ROWS($AH$2:AH462),$AH$2:$AH$1001,0),0), INDEX($AO$1004:$BQ$1004,1,MATCH(COLUMNS($AO$1006:BG1006),$AO$1006:$BQ$1006,0)))),"Fix")))</f>
        <v>#N/A</v>
      </c>
      <c r="U462" s="5" t="e">
        <f ca="1">IF(OR(INDEX($AI$2:$AI$1001,MATCH(ROWS($AH$2:AH462),$AH$2:$AH$1001,0),1)&gt;=100000,INDEX($AO$1005:$BQ$1005,1,MATCH(COLUMNS($AO$1006:BH1006),$AO$1006:$BQ$1006,0))&gt;=100000), " ",IF(INDEX($AO$2:$BQ$1001,MATCH(ROWS($AH$2:AH462),$AH$2:$AH$1001,0),MATCH(COLUMNS($AO$1006:BH1006),$AO$1006:$BQ$1006,0)), HYPERLINK("#",""), HYPERLINK(CONCATENATE("#Metadata!", ADDRESS(INDEX($AJ$2:$AJ$1001,MATCH(ROWS($AH$2:AH462),$AH$2:$AH$1001,0),0), INDEX($AO$1004:$BQ$1004,1,MATCH(COLUMNS($AO$1006:BH1006),$AO$1006:$BQ$1006,0)))),"Fix")))</f>
        <v>#N/A</v>
      </c>
      <c r="V462" s="5" t="e">
        <f ca="1">IF(OR(INDEX($AI$2:$AI$1001,MATCH(ROWS($AH$2:AH462),$AH$2:$AH$1001,0),1)&gt;=100000,INDEX($AO$1005:$BQ$1005,1,MATCH(COLUMNS($AO$1006:BI1006),$AO$1006:$BQ$1006,0))&gt;=100000), " ",IF(INDEX($AO$2:$BQ$1001,MATCH(ROWS($AH$2:AH462),$AH$2:$AH$1001,0),MATCH(COLUMNS($AO$1006:BI1006),$AO$1006:$BQ$1006,0)), HYPERLINK("#",""), HYPERLINK(CONCATENATE("#Metadata!", ADDRESS(INDEX($AJ$2:$AJ$1001,MATCH(ROWS($AH$2:AH462),$AH$2:$AH$1001,0),0), INDEX($AO$1004:$BQ$1004,1,MATCH(COLUMNS($AO$1006:BI1006),$AO$1006:$BQ$1006,0)))),"Fix")))</f>
        <v>#N/A</v>
      </c>
      <c r="W462" s="5" t="e">
        <f ca="1">IF(OR(INDEX($AI$2:$AI$1001,MATCH(ROWS($AH$2:AH462),$AH$2:$AH$1001,0),1)&gt;=100000,INDEX($AO$1005:$BQ$1005,1,MATCH(COLUMNS($AO$1006:BJ1006),$AO$1006:$BQ$1006,0))&gt;=100000), " ",IF(INDEX($AO$2:$BQ$1001,MATCH(ROWS($AH$2:AH462),$AH$2:$AH$1001,0),MATCH(COLUMNS($AO$1006:BJ1006),$AO$1006:$BQ$1006,0)), HYPERLINK("#",""), HYPERLINK(CONCATENATE("#Metadata!", ADDRESS(INDEX($AJ$2:$AJ$1001,MATCH(ROWS($AH$2:AH462),$AH$2:$AH$1001,0),0), INDEX($AO$1004:$BQ$1004,1,MATCH(COLUMNS($AO$1006:BJ1006),$AO$1006:$BQ$1006,0)))),"Fix")))</f>
        <v>#N/A</v>
      </c>
      <c r="X462" s="5" t="e">
        <f ca="1">IF(OR(INDEX($AI$2:$AI$1001,MATCH(ROWS($AH$2:AH462),$AH$2:$AH$1001,0),1)&gt;=100000,INDEX($AO$1005:$BQ$1005,1,MATCH(COLUMNS($AO$1006:BK1006),$AO$1006:$BQ$1006,0))&gt;=100000), " ",IF(INDEX($AO$2:$BQ$1001,MATCH(ROWS($AH$2:AH462),$AH$2:$AH$1001,0),MATCH(COLUMNS($AO$1006:BK1006),$AO$1006:$BQ$1006,0)), HYPERLINK("#",""), HYPERLINK(CONCATENATE("#Metadata!", ADDRESS(INDEX($AJ$2:$AJ$1001,MATCH(ROWS($AH$2:AH462),$AH$2:$AH$1001,0),0), INDEX($AO$1004:$BQ$1004,1,MATCH(COLUMNS($AO$1006:BK1006),$AO$1006:$BQ$1006,0)))),"Fix")))</f>
        <v>#N/A</v>
      </c>
      <c r="Y462" s="5" t="e">
        <f ca="1">IF(OR(INDEX($AI$2:$AI$1001,MATCH(ROWS($AH$2:AH462),$AH$2:$AH$1001,0),1)&gt;=100000,INDEX($AO$1005:$BQ$1005,1,MATCH(COLUMNS($AO$1006:BL1006),$AO$1006:$BQ$1006,0))&gt;=100000), " ",IF(INDEX($AO$2:$BQ$1001,MATCH(ROWS($AH$2:AH462),$AH$2:$AH$1001,0),MATCH(COLUMNS($AO$1006:BL1006),$AO$1006:$BQ$1006,0)), HYPERLINK("#",""), HYPERLINK(CONCATENATE("#Metadata!", ADDRESS(INDEX($AJ$2:$AJ$1001,MATCH(ROWS($AH$2:AH462),$AH$2:$AH$1001,0),0), INDEX($AO$1004:$BQ$1004,1,MATCH(COLUMNS($AO$1006:BL1006),$AO$1006:$BQ$1006,0)))),"Fix")))</f>
        <v>#N/A</v>
      </c>
      <c r="Z462" s="5" t="e">
        <f ca="1">IF(OR(INDEX($AI$2:$AI$1001,MATCH(ROWS($AH$2:AH462),$AH$2:$AH$1001,0),1)&gt;=100000,INDEX($AO$1005:$BQ$1005,1,MATCH(COLUMNS($AO$1006:BM1006),$AO$1006:$BQ$1006,0))&gt;=100000), " ",IF(INDEX($AO$2:$BQ$1001,MATCH(ROWS($AH$2:AH462),$AH$2:$AH$1001,0),MATCH(COLUMNS($AO$1006:BM1006),$AO$1006:$BQ$1006,0)), HYPERLINK("#",""), HYPERLINK(CONCATENATE("#Metadata!", ADDRESS(INDEX($AJ$2:$AJ$1001,MATCH(ROWS($AH$2:AH462),$AH$2:$AH$1001,0),0), INDEX($AO$1004:$BQ$1004,1,MATCH(COLUMNS($AO$1006:BM1006),$AO$1006:$BQ$1006,0)))),"Fix")))</f>
        <v>#N/A</v>
      </c>
      <c r="AA462" s="5" t="e">
        <f ca="1">IF(OR(INDEX($AI$2:$AI$1001,MATCH(ROWS($AH$2:AH462),$AH$2:$AH$1001,0),1)&gt;=100000,INDEX($AO$1005:$BQ$1005,1,MATCH(COLUMNS($AO$1006:BN1006),$AO$1006:$BQ$1006,0))&gt;=100000), " ",IF(INDEX($AO$2:$BQ$1001,MATCH(ROWS($AH$2:AH462),$AH$2:$AH$1001,0),MATCH(COLUMNS($AO$1006:BN1006),$AO$1006:$BQ$1006,0)), HYPERLINK("#",""), HYPERLINK(CONCATENATE("#Metadata!", ADDRESS(INDEX($AJ$2:$AJ$1001,MATCH(ROWS($AH$2:AH462),$AH$2:$AH$1001,0),0), INDEX($AO$1004:$BQ$1004,1,MATCH(COLUMNS($AO$1006:BN1006),$AO$1006:$BQ$1006,0)))),"Fix")))</f>
        <v>#N/A</v>
      </c>
      <c r="AB462" s="5" t="e">
        <f ca="1">IF(OR(INDEX($AI$2:$AI$1001,MATCH(ROWS($AH$2:AH462),$AH$2:$AH$1001,0),1)&gt;=100000,INDEX($AO$1005:$BQ$1005,1,MATCH(COLUMNS($AO$1006:BO1006),$AO$1006:$BQ$1006,0))&gt;=100000), " ",IF(INDEX($AO$2:$BQ$1001,MATCH(ROWS($AH$2:AH462),$AH$2:$AH$1001,0),MATCH(COLUMNS($AO$1006:BO1006),$AO$1006:$BQ$1006,0)), HYPERLINK("#",""), HYPERLINK(CONCATENATE("#Metadata!", ADDRESS(INDEX($AJ$2:$AJ$1001,MATCH(ROWS($AH$2:AH462),$AH$2:$AH$1001,0),0), INDEX($AO$1004:$BQ$1004,1,MATCH(COLUMNS($AO$1006:BO1006),$AO$1006:$BQ$1006,0)))),"Fix")))</f>
        <v>#N/A</v>
      </c>
      <c r="AC462" s="5" t="e">
        <f ca="1">IF(OR(INDEX($AI$2:$AI$1001,MATCH(ROWS($AH$2:AH462),$AH$2:$AH$1001,0),1)&gt;=100000,INDEX($AO$1005:$BQ$1005,1,MATCH(COLUMNS($AO$1006:BP1006),$AO$1006:$BQ$1006,0))&gt;=100000), " ",IF(INDEX($AO$2:$BQ$1001,MATCH(ROWS($AH$2:AH462),$AH$2:$AH$1001,0),MATCH(COLUMNS($AO$1006:BP1006),$AO$1006:$BQ$1006,0)), HYPERLINK("#",""), HYPERLINK(CONCATENATE("#Metadata!", ADDRESS(INDEX($AJ$2:$AJ$1001,MATCH(ROWS($AH$2:AH462),$AH$2:$AH$1001,0),0), INDEX($AO$1004:$BQ$1004,1,MATCH(COLUMNS($AO$1006:BP1006),$AO$1006:$BQ$1006,0)))),"Fix")))</f>
        <v>#N/A</v>
      </c>
      <c r="AD462" s="5" t="e">
        <f ca="1">IF(OR(INDEX($AI$2:$AI$1001,MATCH(ROWS($AH$2:AH462),$AH$2:$AH$1001,0),1)&gt;=100000,INDEX($AO$1005:$BQ$1005,1,MATCH(COLUMNS($AO$1006:BQ1006),$AO$1006:$BQ$1006,0))&gt;=100000), " ",IF(INDEX($AO$2:$BQ$1001,MATCH(ROWS($AH$2:AH462),$AH$2:$AH$1001,0),MATCH(COLUMNS($AO$1006:BQ1006),$AO$1006:$BQ$1006,0)), HYPERLINK("#",""), HYPERLINK(CONCATENATE("#Metadata!", ADDRESS(INDEX($AJ$2:$AJ$1001,MATCH(ROWS($AH$2:AH462),$AH$2:$AH$1001,0),0), INDEX($AO$1004:$BQ$1004,1,MATCH(COLUMNS($AO$1006:BQ1006),$AO$1006:$BQ$1006,0)))),"Fix")))</f>
        <v>#REF!</v>
      </c>
      <c r="AH462">
        <f ca="1"/>
        <v>459</v>
      </c>
      <c r="AI462">
        <v>100462</v>
      </c>
      <c r="AJ462">
        <v>462</v>
      </c>
      <c r="AK462" t="b">
        <f t="shared" si="7"/>
        <v>1</v>
      </c>
      <c r="AL462" t="b">
        <f>COUNTBLANK(Metadata!B462:AD462)=COLUMNS(Metadata!B462:AD462)</f>
        <v>1</v>
      </c>
      <c r="AM462" t="str">
        <v/>
      </c>
      <c r="AO462" t="b">
        <f ca="1">AND(IF(Metadata!B462="",FALSE,TRUE),COUNTIF(Metadata!B:B, Metadata!B462) = 1,NOT(ISERROR(SUMPRODUCT(SEARCH(MID(Metadata!B462,ROW(INDIRECT("1:"&amp;LEN(Metadata!B462))), 1),"0123456789abcdefghijklmnopqrstuvwxyzABCDEFGHIJKLMNOPQRSTUVWXYZ.")))))</f>
        <v>0</v>
      </c>
      <c r="AP462" t="b">
        <f>IF(Metadata!C462="",FALSE,TRUE)</f>
        <v>0</v>
      </c>
      <c r="AQ462" t="b">
        <f>IF(Metadata!D462="",FALSE,TRUE)</f>
        <v>0</v>
      </c>
      <c r="AR462" t="b">
        <f ca="1">OR(AND(IF(Metadata!E462="",FALSE,TRUE),OR(EXACT(Metadata!E462,"not collected"),EXACT(Metadata!E462,"not provided"),EXACT(Metadata!E462,"restricted access"))),AND(IF(Metadata!E462="",FALSE,TRUE),AND(AND(IFERROR(INT(LEFT(Metadata!E462,4))&gt;1900,FALSE),IFERROR(INT(LEFT(Metadata!E462,4))&lt;=YEAR(NOW()),FALSE)), OR(MID(Metadata!E462,5,1)="", AND(AND(MID(Metadata!E462,5,1)="-",IFERROR(INT(MID(Metadata!E462,6,1))&gt;=0,FALSE),IFERROR(INT(MID(Metadata!E462,6,1))&lt;=1,FALSE),NOT(MID(Metadata!E462,7,1)=""),IFERROR(INT(MID(Metadata!E462,6,2))&gt;=1,FALSE),IFERROR(INT(MID(Metadata!E462,6,2))&lt;=12,FALSE)), OR(MID(Metadata!E462,8,1)="", AND(AND(MID(Metadata!E462,8,1)="-",IFERROR(INT(MID(Metadata!E462,9,1))&gt;=0,FALSE),IFERROR(INT(MID(Metadata!E462,9,1))&lt;=3,FALSE),NOT(MID(Metadata!E462,10,1)=""),IFERROR(INT(MID(Metadata!E462,9,2))&gt;=1,FALSE),IFERROR(INT(MID(Metadata!E462,9,2))&lt;=31,FALSE)), OR(MID(Metadata!E462,11,1)="", AND(AND(MID(Metadata!E462,11,1)=" ",IFERROR(INT(MID(Metadata!E462,12,1))&gt;=0,FALSE),IFERROR(INT(MID(Metadata!E462,12,1))&lt;=2,FALSE),NOT(MID(Metadata!E462,13,1)=""),IFERROR(INT(MID(Metadata!E462,12,2))&gt;=0,FALSE),IFERROR(INT(MID(Metadata!E462,12,2))&lt;=23,FALSE)), OR(MID(Metadata!E462,14,1)="", AND(AND(MID(Metadata!E462,14,1)=":",IFERROR(INT(MID(Metadata!E462,15,1))&gt;=0,FALSE),IFERROR(INT(MID(Metadata!E462,15,1))&lt;=5,FALSE),NOT(MID(Metadata!E462,16,1)=""),IFERROR(INT(MID(Metadata!E462,15,2))&gt;=0,FALSE),IFERROR(INT(MID(Metadata!E462,15,2))&lt;=59,FALSE)), OR(MID(Metadata!E462,17,1)="", AND(AND(MID(Metadata!E462,17,1)=":",IFERROR(INT(MID(Metadata!E462,18,1))&gt;=0,FALSE),IFERROR(INT(MID(Metadata!E462,18,1))&lt;=5,FALSE),NOT(MID(Metadata!E462,19,1)=""),IFERROR(INT(MID(Metadata!E462,18,2))&gt;=0,FALSE),IFERROR(INT(MID(Metadata!E462,18,2))&lt;=59,FALSE)), LEN(Metadata!E462)&lt;=19)))))))))))))</f>
        <v>0</v>
      </c>
      <c r="AS462" t="b">
        <f>IF(Metadata!F462="",FALSE,TRUE)</f>
        <v>0</v>
      </c>
      <c r="AT462" t="b">
        <f>OR(AND(IF(Metadata!G462="",FALSE,TRUE),OR(EXACT(Metadata!G462,"not collected"),EXACT(Metadata!G462,"not provided"))),AND(IF(Metadata!G462="",FALSE,TRUE),OR(EXACT(Metadata!G462,"TRUE"),EXACT(Metadata!G462,"FALSE"))))</f>
        <v>0</v>
      </c>
      <c r="AU462" t="b">
        <f>OR(AND(IF(Metadata!H462="",FALSE,TRUE),OR(EXACT(Metadata!H462,"not collected"),EXACT(Metadata!H462,"not provided"),EXACT(Metadata!H462,"restricted access"))),AND(IF(Metadata!H462="",FALSE,ISNUMBER(VALUE(Metadata!H462))),Metadata!H462&gt;=-413))</f>
        <v>0</v>
      </c>
      <c r="AV462" t="b">
        <f>AND(IF(Metadata!I462="",FALSE,TRUE),EXACT(Metadata!I462,"meters"))</f>
        <v>0</v>
      </c>
      <c r="AW462" t="b">
        <f>AND(IF(Metadata!J462="",FALSE,TRUE),EXACT(Metadata!J462,"free-living"))</f>
        <v>0</v>
      </c>
      <c r="AX462" t="b">
        <f>AND(IF(Metadata!K462="",FALSE,TRUE),OR(EXACT(Metadata!K462,"saline"),EXACT(Metadata!K462,"non-saline")))</f>
        <v>0</v>
      </c>
      <c r="AY462" t="b">
        <f>AND(IF(Metadata!L462="",FALSE,TRUE),OR(EXACT(Metadata!L462,"sub-surface (non-saline)"),EXACT(Metadata!L462,"surface (non-saline)"),EXACT(Metadata!L462,"water (non-saline)"),EXACT(Metadata!L462,"soil (non-saline)"),EXACT(Metadata!L462,"aerosol (non-saline)"),EXACT(Metadata!L462,"sediment (non-saline)"),EXACT(Metadata!L462,"surface (saline)"),EXACT(Metadata!L462,"water (saline)"),EXACT(Metadata!L462,"hypersaline (saline)"),EXACT(Metadata!L462,"aerosol (saline)"),EXACT(Metadata!L462,"sediment (saline)")))</f>
        <v>0</v>
      </c>
      <c r="AZ462" t="b">
        <f>IF(Metadata!M462="",FALSE,TRUE)</f>
        <v>0</v>
      </c>
      <c r="BA462" t="b">
        <f>IF(Metadata!N462="",FALSE,TRUE)</f>
        <v>0</v>
      </c>
      <c r="BB462" t="b">
        <f>IF(Metadata!O462="",FALSE,TRUE)</f>
        <v>0</v>
      </c>
      <c r="BC462" t="b">
        <f>AND(IF(Metadata!P462="",FALSE,TRUE),OR(EXACT(Metadata!P462,"air"),EXACT(Metadata!P462,"microbial mat/biofilm"),EXACT(Metadata!P462,"misc environment"),EXACT(Metadata!P462,"sediment"),EXACT(Metadata!P462,"soil"),EXACT(Metadata!P462,"wastewater/sludge"),EXACT(Metadata!P462,"water")))</f>
        <v>0</v>
      </c>
      <c r="BD462" t="b">
        <f>IF(Metadata!Q462="",FALSE,TRUE)</f>
        <v>0</v>
      </c>
      <c r="BE462" t="b">
        <f>IF(Metadata!R462="",FALSE,TRUE)</f>
        <v>0</v>
      </c>
      <c r="BF462" t="b">
        <f>OR(AND(IF(Metadata!S462="",FALSE,TRUE),OR(EXACT(Metadata!S462,"not collected"),EXACT(Metadata!S462,"not provided"),EXACT(Metadata!S462,"restricted access"))),AND(IF(Metadata!S462="",FALSE,ISNUMBER(VALUE(Metadata!S462))),Metadata!S462&gt;=-90,Metadata!S462&lt;=90))</f>
        <v>0</v>
      </c>
      <c r="BG462" t="b">
        <f>AND(IF(Metadata!T462="",FALSE,TRUE),EXACT(Metadata!T462,"Decimal degrees"))</f>
        <v>0</v>
      </c>
      <c r="BH462" t="b">
        <f>OR(AND(IF(Metadata!U462="",FALSE,TRUE),OR(EXACT(Metadata!U462,"not applicable"),EXACT(Metadata!U462,"not collected"))),IF(Metadata!U462="",FALSE,TRUE))</f>
        <v>0</v>
      </c>
      <c r="BI462" t="b">
        <f>OR(AND(IF(Metadata!V462="",FALSE,TRUE),OR(EXACT(Metadata!V462,"not collected"),EXACT(Metadata!V462,"not provided"),EXACT(Metadata!V462,"restricted access"))),AND(IF(Metadata!V462="",FALSE,ISNUMBER(VALUE(Metadata!V462))),Metadata!V462&gt;=-180,Metadata!V462&lt;=180))</f>
        <v>0</v>
      </c>
      <c r="BJ462" t="b">
        <f>AND(IF(Metadata!W462="",FALSE,TRUE),EXACT(Metadata!W462,"Decimal degrees"))</f>
        <v>0</v>
      </c>
      <c r="BK462" t="b">
        <f>IF(Metadata!X462="",FALSE,TRUE)</f>
        <v>0</v>
      </c>
      <c r="BL462" t="b">
        <f>OR(AND(IF(Metadata!Y462="",FALSE,TRUE),OR(EXACT(Metadata!Y462,"not collected"),EXACT(Metadata!Y462,"not provided"),EXACT(Metadata!Y462,"restricted access"))),AND(IF(Metadata!Y462="",FALSE,TRUE),OR(EXACT(Metadata!Y462,"TRUE"),EXACT(Metadata!Y462,"FALSE"))))</f>
        <v>0</v>
      </c>
      <c r="BM462" t="b">
        <f>OR(AND(IF(Metadata!Z462="",FALSE,TRUE),EXACT(Metadata!Z462,"not applicable")),AND(IF(Metadata!Z462="",FALSE,TRUE),OR(EXACT(Metadata!Z462,"beer"),EXACT(Metadata!Z462,"cheese"),EXACT(Metadata!Z462,"fresh water"),EXACT(Metadata!Z462,"marine sediment"),EXACT(Metadata!Z462,"sea water"),EXACT(Metadata!Z462,"sediment"),EXACT(Metadata!Z462,"soil"),EXACT(Metadata!Z462,"waste water"))))</f>
        <v>0</v>
      </c>
      <c r="BN462" t="b">
        <f>AND(IF(Metadata!AA462="",FALSE,TRUE),EXACT(Metadata!AA462,"metagenome"))</f>
        <v>0</v>
      </c>
      <c r="BO462" t="b">
        <f>AND(IF(Metadata!AB462="",FALSE,TRUE),EXACT(Metadata!AB462,"256318"))</f>
        <v>0</v>
      </c>
      <c r="BP462" t="b">
        <f>IF(Metadata!AC462="",FALSE,TRUE)</f>
        <v>0</v>
      </c>
      <c r="BQ462" t="b">
        <f>IF(Metadata!AD462="",FALSE,TRUE)</f>
        <v>0</v>
      </c>
    </row>
    <row r="463" spans="1:69" x14ac:dyDescent="0.2">
      <c r="A463" s="4" t="e">
        <f ca="1">IF(B463=" "," ",HYPERLINK(CONCATENATE("#metadata!",ADDRESS(INDEX($AJ$2:$AJ$1001,MATCH(ROWS($AH$2:AH463),$AH$2:$AH$1001,0),0),2)),INDEX($AM$2:$AM$1001,MATCH(ROWS($AH$2:AH463),$AH$2:$AH$1001,0),0)))</f>
        <v>#N/A</v>
      </c>
      <c r="B463" s="5" t="e">
        <f ca="1">IF(OR(INDEX($AI$2:$AI$1001,MATCH(ROWS($AH$2:AH463),$AH$2:$AH$1001,0),1)&gt;=100000,INDEX($AO$1005:$BQ$1005,1,MATCH(COLUMNS($AO$1006:AO1006),$AO$1006:$BQ$1006,0))&gt;=100000), " ",IF(INDEX($AO$2:$BQ$1001,MATCH(ROWS($AH$2:AH463),$AH$2:$AH$1001,0),MATCH(COLUMNS($AO$1006:AO1006),$AO$1006:$BQ$1006,0)), HYPERLINK("#",""), HYPERLINK(CONCATENATE("#Metadata!", ADDRESS(INDEX($AJ$2:$AJ$1001,MATCH(ROWS($AH$2:AH463),$AH$2:$AH$1001,0),0), INDEX($AO$1004:$BQ$1004,1,MATCH(COLUMNS($AO$1006:AO1006),$AO$1006:$BQ$1006,0)))),"Fix")))</f>
        <v>#N/A</v>
      </c>
      <c r="C463" s="5" t="e">
        <f ca="1">IF(OR(INDEX($AI$2:$AI$1001,MATCH(ROWS($AH$2:AH463),$AH$2:$AH$1001,0),1)&gt;=100000,INDEX($AO$1005:$BQ$1005,1,MATCH(COLUMNS($AO$1006:AP1006),$AO$1006:$BQ$1006,0))&gt;=100000), " ",IF(INDEX($AO$2:$BQ$1001,MATCH(ROWS($AH$2:AH463),$AH$2:$AH$1001,0),MATCH(COLUMNS($AO$1006:AP1006),$AO$1006:$BQ$1006,0)), HYPERLINK("#",""), HYPERLINK(CONCATENATE("#Metadata!", ADDRESS(INDEX($AJ$2:$AJ$1001,MATCH(ROWS($AH$2:AH463),$AH$2:$AH$1001,0),0), INDEX($AO$1004:$BQ$1004,1,MATCH(COLUMNS($AO$1006:AP1006),$AO$1006:$BQ$1006,0)))),"Fix")))</f>
        <v>#N/A</v>
      </c>
      <c r="D463" s="5" t="e">
        <f ca="1">IF(OR(INDEX($AI$2:$AI$1001,MATCH(ROWS($AH$2:AH463),$AH$2:$AH$1001,0),1)&gt;=100000,INDEX($AO$1005:$BQ$1005,1,MATCH(COLUMNS($AO$1006:AQ1006),$AO$1006:$BQ$1006,0))&gt;=100000), " ",IF(INDEX($AO$2:$BQ$1001,MATCH(ROWS($AH$2:AH463),$AH$2:$AH$1001,0),MATCH(COLUMNS($AO$1006:AQ1006),$AO$1006:$BQ$1006,0)), HYPERLINK("#",""), HYPERLINK(CONCATENATE("#Metadata!", ADDRESS(INDEX($AJ$2:$AJ$1001,MATCH(ROWS($AH$2:AH463),$AH$2:$AH$1001,0),0), INDEX($AO$1004:$BQ$1004,1,MATCH(COLUMNS($AO$1006:AQ1006),$AO$1006:$BQ$1006,0)))),"Fix")))</f>
        <v>#N/A</v>
      </c>
      <c r="E463" s="5" t="e">
        <f ca="1">IF(OR(INDEX($AI$2:$AI$1001,MATCH(ROWS($AH$2:AH463),$AH$2:$AH$1001,0),1)&gt;=100000,INDEX($AO$1005:$BQ$1005,1,MATCH(COLUMNS($AO$1006:AR1006),$AO$1006:$BQ$1006,0))&gt;=100000), " ",IF(INDEX($AO$2:$BQ$1001,MATCH(ROWS($AH$2:AH463),$AH$2:$AH$1001,0),MATCH(COLUMNS($AO$1006:AR1006),$AO$1006:$BQ$1006,0)), HYPERLINK("#",""), HYPERLINK(CONCATENATE("#Metadata!", ADDRESS(INDEX($AJ$2:$AJ$1001,MATCH(ROWS($AH$2:AH463),$AH$2:$AH$1001,0),0), INDEX($AO$1004:$BQ$1004,1,MATCH(COLUMNS($AO$1006:AR1006),$AO$1006:$BQ$1006,0)))),"Fix")))</f>
        <v>#N/A</v>
      </c>
      <c r="F463" s="5" t="e">
        <f ca="1">IF(OR(INDEX($AI$2:$AI$1001,MATCH(ROWS($AH$2:AH463),$AH$2:$AH$1001,0),1)&gt;=100000,INDEX($AO$1005:$BQ$1005,1,MATCH(COLUMNS($AO$1006:AS1006),$AO$1006:$BQ$1006,0))&gt;=100000), " ",IF(INDEX($AO$2:$BQ$1001,MATCH(ROWS($AH$2:AH463),$AH$2:$AH$1001,0),MATCH(COLUMNS($AO$1006:AS1006),$AO$1006:$BQ$1006,0)), HYPERLINK("#",""), HYPERLINK(CONCATENATE("#Metadata!", ADDRESS(INDEX($AJ$2:$AJ$1001,MATCH(ROWS($AH$2:AH463),$AH$2:$AH$1001,0),0), INDEX($AO$1004:$BQ$1004,1,MATCH(COLUMNS($AO$1006:AS1006),$AO$1006:$BQ$1006,0)))),"Fix")))</f>
        <v>#N/A</v>
      </c>
      <c r="G463" s="5" t="e">
        <f ca="1">IF(OR(INDEX($AI$2:$AI$1001,MATCH(ROWS($AH$2:AH463),$AH$2:$AH$1001,0),1)&gt;=100000,INDEX($AO$1005:$BQ$1005,1,MATCH(COLUMNS($AO$1006:AT1006),$AO$1006:$BQ$1006,0))&gt;=100000), " ",IF(INDEX($AO$2:$BQ$1001,MATCH(ROWS($AH$2:AH463),$AH$2:$AH$1001,0),MATCH(COLUMNS($AO$1006:AT1006),$AO$1006:$BQ$1006,0)), HYPERLINK("#",""), HYPERLINK(CONCATENATE("#Metadata!", ADDRESS(INDEX($AJ$2:$AJ$1001,MATCH(ROWS($AH$2:AH463),$AH$2:$AH$1001,0),0), INDEX($AO$1004:$BQ$1004,1,MATCH(COLUMNS($AO$1006:AT1006),$AO$1006:$BQ$1006,0)))),"Fix")))</f>
        <v>#N/A</v>
      </c>
      <c r="H463" s="5" t="e">
        <f ca="1">IF(OR(INDEX($AI$2:$AI$1001,MATCH(ROWS($AH$2:AH463),$AH$2:$AH$1001,0),1)&gt;=100000,INDEX($AO$1005:$BQ$1005,1,MATCH(COLUMNS($AO$1006:AU1006),$AO$1006:$BQ$1006,0))&gt;=100000), " ",IF(INDEX($AO$2:$BQ$1001,MATCH(ROWS($AH$2:AH463),$AH$2:$AH$1001,0),MATCH(COLUMNS($AO$1006:AU1006),$AO$1006:$BQ$1006,0)), HYPERLINK("#",""), HYPERLINK(CONCATENATE("#Metadata!", ADDRESS(INDEX($AJ$2:$AJ$1001,MATCH(ROWS($AH$2:AH463),$AH$2:$AH$1001,0),0), INDEX($AO$1004:$BQ$1004,1,MATCH(COLUMNS($AO$1006:AU1006),$AO$1006:$BQ$1006,0)))),"Fix")))</f>
        <v>#N/A</v>
      </c>
      <c r="I463" s="5" t="e">
        <f ca="1">IF(OR(INDEX($AI$2:$AI$1001,MATCH(ROWS($AH$2:AH463),$AH$2:$AH$1001,0),1)&gt;=100000,INDEX($AO$1005:$BQ$1005,1,MATCH(COLUMNS($AO$1006:AV1006),$AO$1006:$BQ$1006,0))&gt;=100000), " ",IF(INDEX($AO$2:$BQ$1001,MATCH(ROWS($AH$2:AH463),$AH$2:$AH$1001,0),MATCH(COLUMNS($AO$1006:AV1006),$AO$1006:$BQ$1006,0)), HYPERLINK("#",""), HYPERLINK(CONCATENATE("#Metadata!", ADDRESS(INDEX($AJ$2:$AJ$1001,MATCH(ROWS($AH$2:AH463),$AH$2:$AH$1001,0),0), INDEX($AO$1004:$BQ$1004,1,MATCH(COLUMNS($AO$1006:AV1006),$AO$1006:$BQ$1006,0)))),"Fix")))</f>
        <v>#N/A</v>
      </c>
      <c r="J463" s="5" t="e">
        <f ca="1">IF(OR(INDEX($AI$2:$AI$1001,MATCH(ROWS($AH$2:AH463),$AH$2:$AH$1001,0),1)&gt;=100000,INDEX($AO$1005:$BQ$1005,1,MATCH(COLUMNS($AO$1006:AW1006),$AO$1006:$BQ$1006,0))&gt;=100000), " ",IF(INDEX($AO$2:$BQ$1001,MATCH(ROWS($AH$2:AH463),$AH$2:$AH$1001,0),MATCH(COLUMNS($AO$1006:AW1006),$AO$1006:$BQ$1006,0)), HYPERLINK("#",""), HYPERLINK(CONCATENATE("#Metadata!", ADDRESS(INDEX($AJ$2:$AJ$1001,MATCH(ROWS($AH$2:AH463),$AH$2:$AH$1001,0),0), INDEX($AO$1004:$BQ$1004,1,MATCH(COLUMNS($AO$1006:AW1006),$AO$1006:$BQ$1006,0)))),"Fix")))</f>
        <v>#N/A</v>
      </c>
      <c r="K463" s="5" t="e">
        <f ca="1">IF(OR(INDEX($AI$2:$AI$1001,MATCH(ROWS($AH$2:AH463),$AH$2:$AH$1001,0),1)&gt;=100000,INDEX($AO$1005:$BQ$1005,1,MATCH(COLUMNS($AO$1006:AX1006),$AO$1006:$BQ$1006,0))&gt;=100000), " ",IF(INDEX($AO$2:$BQ$1001,MATCH(ROWS($AH$2:AH463),$AH$2:$AH$1001,0),MATCH(COLUMNS($AO$1006:AX1006),$AO$1006:$BQ$1006,0)), HYPERLINK("#",""), HYPERLINK(CONCATENATE("#Metadata!", ADDRESS(INDEX($AJ$2:$AJ$1001,MATCH(ROWS($AH$2:AH463),$AH$2:$AH$1001,0),0), INDEX($AO$1004:$BQ$1004,1,MATCH(COLUMNS($AO$1006:AX1006),$AO$1006:$BQ$1006,0)))),"Fix")))</f>
        <v>#N/A</v>
      </c>
      <c r="L463" s="5" t="e">
        <f ca="1">IF(OR(INDEX($AI$2:$AI$1001,MATCH(ROWS($AH$2:AH463),$AH$2:$AH$1001,0),1)&gt;=100000,INDEX($AO$1005:$BQ$1005,1,MATCH(COLUMNS($AO$1006:AY1006),$AO$1006:$BQ$1006,0))&gt;=100000), " ",IF(INDEX($AO$2:$BQ$1001,MATCH(ROWS($AH$2:AH463),$AH$2:$AH$1001,0),MATCH(COLUMNS($AO$1006:AY1006),$AO$1006:$BQ$1006,0)), HYPERLINK("#",""), HYPERLINK(CONCATENATE("#Metadata!", ADDRESS(INDEX($AJ$2:$AJ$1001,MATCH(ROWS($AH$2:AH463),$AH$2:$AH$1001,0),0), INDEX($AO$1004:$BQ$1004,1,MATCH(COLUMNS($AO$1006:AY1006),$AO$1006:$BQ$1006,0)))),"Fix")))</f>
        <v>#N/A</v>
      </c>
      <c r="M463" s="5" t="e">
        <f ca="1">IF(OR(INDEX($AI$2:$AI$1001,MATCH(ROWS($AH$2:AH463),$AH$2:$AH$1001,0),1)&gt;=100000,INDEX($AO$1005:$BQ$1005,1,MATCH(COLUMNS($AO$1006:AZ1006),$AO$1006:$BQ$1006,0))&gt;=100000), " ",IF(INDEX($AO$2:$BQ$1001,MATCH(ROWS($AH$2:AH463),$AH$2:$AH$1001,0),MATCH(COLUMNS($AO$1006:AZ1006),$AO$1006:$BQ$1006,0)), HYPERLINK("#",""), HYPERLINK(CONCATENATE("#Metadata!", ADDRESS(INDEX($AJ$2:$AJ$1001,MATCH(ROWS($AH$2:AH463),$AH$2:$AH$1001,0),0), INDEX($AO$1004:$BQ$1004,1,MATCH(COLUMNS($AO$1006:AZ1006),$AO$1006:$BQ$1006,0)))),"Fix")))</f>
        <v>#N/A</v>
      </c>
      <c r="N463" s="5" t="e">
        <f ca="1">IF(OR(INDEX($AI$2:$AI$1001,MATCH(ROWS($AH$2:AH463),$AH$2:$AH$1001,0),1)&gt;=100000,INDEX($AO$1005:$BQ$1005,1,MATCH(COLUMNS($AO$1006:BA1006),$AO$1006:$BQ$1006,0))&gt;=100000), " ",IF(INDEX($AO$2:$BQ$1001,MATCH(ROWS($AH$2:AH463),$AH$2:$AH$1001,0),MATCH(COLUMNS($AO$1006:BA1006),$AO$1006:$BQ$1006,0)), HYPERLINK("#",""), HYPERLINK(CONCATENATE("#Metadata!", ADDRESS(INDEX($AJ$2:$AJ$1001,MATCH(ROWS($AH$2:AH463),$AH$2:$AH$1001,0),0), INDEX($AO$1004:$BQ$1004,1,MATCH(COLUMNS($AO$1006:BA1006),$AO$1006:$BQ$1006,0)))),"Fix")))</f>
        <v>#N/A</v>
      </c>
      <c r="O463" s="5" t="e">
        <f ca="1">IF(OR(INDEX($AI$2:$AI$1001,MATCH(ROWS($AH$2:AH463),$AH$2:$AH$1001,0),1)&gt;=100000,INDEX($AO$1005:$BQ$1005,1,MATCH(COLUMNS($AO$1006:BB1006),$AO$1006:$BQ$1006,0))&gt;=100000), " ",IF(INDEX($AO$2:$BQ$1001,MATCH(ROWS($AH$2:AH463),$AH$2:$AH$1001,0),MATCH(COLUMNS($AO$1006:BB1006),$AO$1006:$BQ$1006,0)), HYPERLINK("#",""), HYPERLINK(CONCATENATE("#Metadata!", ADDRESS(INDEX($AJ$2:$AJ$1001,MATCH(ROWS($AH$2:AH463),$AH$2:$AH$1001,0),0), INDEX($AO$1004:$BQ$1004,1,MATCH(COLUMNS($AO$1006:BB1006),$AO$1006:$BQ$1006,0)))),"Fix")))</f>
        <v>#N/A</v>
      </c>
      <c r="P463" s="5" t="e">
        <f ca="1">IF(OR(INDEX($AI$2:$AI$1001,MATCH(ROWS($AH$2:AH463),$AH$2:$AH$1001,0),1)&gt;=100000,INDEX($AO$1005:$BQ$1005,1,MATCH(COLUMNS($AO$1006:BC1006),$AO$1006:$BQ$1006,0))&gt;=100000), " ",IF(INDEX($AO$2:$BQ$1001,MATCH(ROWS($AH$2:AH463),$AH$2:$AH$1001,0),MATCH(COLUMNS($AO$1006:BC1006),$AO$1006:$BQ$1006,0)), HYPERLINK("#",""), HYPERLINK(CONCATENATE("#Metadata!", ADDRESS(INDEX($AJ$2:$AJ$1001,MATCH(ROWS($AH$2:AH463),$AH$2:$AH$1001,0),0), INDEX($AO$1004:$BQ$1004,1,MATCH(COLUMNS($AO$1006:BC1006),$AO$1006:$BQ$1006,0)))),"Fix")))</f>
        <v>#N/A</v>
      </c>
      <c r="Q463" s="5" t="e">
        <f ca="1">IF(OR(INDEX($AI$2:$AI$1001,MATCH(ROWS($AH$2:AH463),$AH$2:$AH$1001,0),1)&gt;=100000,INDEX($AO$1005:$BQ$1005,1,MATCH(COLUMNS($AO$1006:BD1006),$AO$1006:$BQ$1006,0))&gt;=100000), " ",IF(INDEX($AO$2:$BQ$1001,MATCH(ROWS($AH$2:AH463),$AH$2:$AH$1001,0),MATCH(COLUMNS($AO$1006:BD1006),$AO$1006:$BQ$1006,0)), HYPERLINK("#",""), HYPERLINK(CONCATENATE("#Metadata!", ADDRESS(INDEX($AJ$2:$AJ$1001,MATCH(ROWS($AH$2:AH463),$AH$2:$AH$1001,0),0), INDEX($AO$1004:$BQ$1004,1,MATCH(COLUMNS($AO$1006:BD1006),$AO$1006:$BQ$1006,0)))),"Fix")))</f>
        <v>#N/A</v>
      </c>
      <c r="R463" s="5" t="e">
        <f ca="1">IF(OR(INDEX($AI$2:$AI$1001,MATCH(ROWS($AH$2:AH463),$AH$2:$AH$1001,0),1)&gt;=100000,INDEX($AO$1005:$BQ$1005,1,MATCH(COLUMNS($AO$1006:BE1006),$AO$1006:$BQ$1006,0))&gt;=100000), " ",IF(INDEX($AO$2:$BQ$1001,MATCH(ROWS($AH$2:AH463),$AH$2:$AH$1001,0),MATCH(COLUMNS($AO$1006:BE1006),$AO$1006:$BQ$1006,0)), HYPERLINK("#",""), HYPERLINK(CONCATENATE("#Metadata!", ADDRESS(INDEX($AJ$2:$AJ$1001,MATCH(ROWS($AH$2:AH463),$AH$2:$AH$1001,0),0), INDEX($AO$1004:$BQ$1004,1,MATCH(COLUMNS($AO$1006:BE1006),$AO$1006:$BQ$1006,0)))),"Fix")))</f>
        <v>#N/A</v>
      </c>
      <c r="S463" s="5" t="e">
        <f ca="1">IF(OR(INDEX($AI$2:$AI$1001,MATCH(ROWS($AH$2:AH463),$AH$2:$AH$1001,0),1)&gt;=100000,INDEX($AO$1005:$BQ$1005,1,MATCH(COLUMNS($AO$1006:BF1006),$AO$1006:$BQ$1006,0))&gt;=100000), " ",IF(INDEX($AO$2:$BQ$1001,MATCH(ROWS($AH$2:AH463),$AH$2:$AH$1001,0),MATCH(COLUMNS($AO$1006:BF1006),$AO$1006:$BQ$1006,0)), HYPERLINK("#",""), HYPERLINK(CONCATENATE("#Metadata!", ADDRESS(INDEX($AJ$2:$AJ$1001,MATCH(ROWS($AH$2:AH463),$AH$2:$AH$1001,0),0), INDEX($AO$1004:$BQ$1004,1,MATCH(COLUMNS($AO$1006:BF1006),$AO$1006:$BQ$1006,0)))),"Fix")))</f>
        <v>#N/A</v>
      </c>
      <c r="T463" s="5" t="e">
        <f ca="1">IF(OR(INDEX($AI$2:$AI$1001,MATCH(ROWS($AH$2:AH463),$AH$2:$AH$1001,0),1)&gt;=100000,INDEX($AO$1005:$BQ$1005,1,MATCH(COLUMNS($AO$1006:BG1006),$AO$1006:$BQ$1006,0))&gt;=100000), " ",IF(INDEX($AO$2:$BQ$1001,MATCH(ROWS($AH$2:AH463),$AH$2:$AH$1001,0),MATCH(COLUMNS($AO$1006:BG1006),$AO$1006:$BQ$1006,0)), HYPERLINK("#",""), HYPERLINK(CONCATENATE("#Metadata!", ADDRESS(INDEX($AJ$2:$AJ$1001,MATCH(ROWS($AH$2:AH463),$AH$2:$AH$1001,0),0), INDEX($AO$1004:$BQ$1004,1,MATCH(COLUMNS($AO$1006:BG1006),$AO$1006:$BQ$1006,0)))),"Fix")))</f>
        <v>#N/A</v>
      </c>
      <c r="U463" s="5" t="e">
        <f ca="1">IF(OR(INDEX($AI$2:$AI$1001,MATCH(ROWS($AH$2:AH463),$AH$2:$AH$1001,0),1)&gt;=100000,INDEX($AO$1005:$BQ$1005,1,MATCH(COLUMNS($AO$1006:BH1006),$AO$1006:$BQ$1006,0))&gt;=100000), " ",IF(INDEX($AO$2:$BQ$1001,MATCH(ROWS($AH$2:AH463),$AH$2:$AH$1001,0),MATCH(COLUMNS($AO$1006:BH1006),$AO$1006:$BQ$1006,0)), HYPERLINK("#",""), HYPERLINK(CONCATENATE("#Metadata!", ADDRESS(INDEX($AJ$2:$AJ$1001,MATCH(ROWS($AH$2:AH463),$AH$2:$AH$1001,0),0), INDEX($AO$1004:$BQ$1004,1,MATCH(COLUMNS($AO$1006:BH1006),$AO$1006:$BQ$1006,0)))),"Fix")))</f>
        <v>#N/A</v>
      </c>
      <c r="V463" s="5" t="e">
        <f ca="1">IF(OR(INDEX($AI$2:$AI$1001,MATCH(ROWS($AH$2:AH463),$AH$2:$AH$1001,0),1)&gt;=100000,INDEX($AO$1005:$BQ$1005,1,MATCH(COLUMNS($AO$1006:BI1006),$AO$1006:$BQ$1006,0))&gt;=100000), " ",IF(INDEX($AO$2:$BQ$1001,MATCH(ROWS($AH$2:AH463),$AH$2:$AH$1001,0),MATCH(COLUMNS($AO$1006:BI1006),$AO$1006:$BQ$1006,0)), HYPERLINK("#",""), HYPERLINK(CONCATENATE("#Metadata!", ADDRESS(INDEX($AJ$2:$AJ$1001,MATCH(ROWS($AH$2:AH463),$AH$2:$AH$1001,0),0), INDEX($AO$1004:$BQ$1004,1,MATCH(COLUMNS($AO$1006:BI1006),$AO$1006:$BQ$1006,0)))),"Fix")))</f>
        <v>#N/A</v>
      </c>
      <c r="W463" s="5" t="e">
        <f ca="1">IF(OR(INDEX($AI$2:$AI$1001,MATCH(ROWS($AH$2:AH463),$AH$2:$AH$1001,0),1)&gt;=100000,INDEX($AO$1005:$BQ$1005,1,MATCH(COLUMNS($AO$1006:BJ1006),$AO$1006:$BQ$1006,0))&gt;=100000), " ",IF(INDEX($AO$2:$BQ$1001,MATCH(ROWS($AH$2:AH463),$AH$2:$AH$1001,0),MATCH(COLUMNS($AO$1006:BJ1006),$AO$1006:$BQ$1006,0)), HYPERLINK("#",""), HYPERLINK(CONCATENATE("#Metadata!", ADDRESS(INDEX($AJ$2:$AJ$1001,MATCH(ROWS($AH$2:AH463),$AH$2:$AH$1001,0),0), INDEX($AO$1004:$BQ$1004,1,MATCH(COLUMNS($AO$1006:BJ1006),$AO$1006:$BQ$1006,0)))),"Fix")))</f>
        <v>#N/A</v>
      </c>
      <c r="X463" s="5" t="e">
        <f ca="1">IF(OR(INDEX($AI$2:$AI$1001,MATCH(ROWS($AH$2:AH463),$AH$2:$AH$1001,0),1)&gt;=100000,INDEX($AO$1005:$BQ$1005,1,MATCH(COLUMNS($AO$1006:BK1006),$AO$1006:$BQ$1006,0))&gt;=100000), " ",IF(INDEX($AO$2:$BQ$1001,MATCH(ROWS($AH$2:AH463),$AH$2:$AH$1001,0),MATCH(COLUMNS($AO$1006:BK1006),$AO$1006:$BQ$1006,0)), HYPERLINK("#",""), HYPERLINK(CONCATENATE("#Metadata!", ADDRESS(INDEX($AJ$2:$AJ$1001,MATCH(ROWS($AH$2:AH463),$AH$2:$AH$1001,0),0), INDEX($AO$1004:$BQ$1004,1,MATCH(COLUMNS($AO$1006:BK1006),$AO$1006:$BQ$1006,0)))),"Fix")))</f>
        <v>#N/A</v>
      </c>
      <c r="Y463" s="5" t="e">
        <f ca="1">IF(OR(INDEX($AI$2:$AI$1001,MATCH(ROWS($AH$2:AH463),$AH$2:$AH$1001,0),1)&gt;=100000,INDEX($AO$1005:$BQ$1005,1,MATCH(COLUMNS($AO$1006:BL1006),$AO$1006:$BQ$1006,0))&gt;=100000), " ",IF(INDEX($AO$2:$BQ$1001,MATCH(ROWS($AH$2:AH463),$AH$2:$AH$1001,0),MATCH(COLUMNS($AO$1006:BL1006),$AO$1006:$BQ$1006,0)), HYPERLINK("#",""), HYPERLINK(CONCATENATE("#Metadata!", ADDRESS(INDEX($AJ$2:$AJ$1001,MATCH(ROWS($AH$2:AH463),$AH$2:$AH$1001,0),0), INDEX($AO$1004:$BQ$1004,1,MATCH(COLUMNS($AO$1006:BL1006),$AO$1006:$BQ$1006,0)))),"Fix")))</f>
        <v>#N/A</v>
      </c>
      <c r="Z463" s="5" t="e">
        <f ca="1">IF(OR(INDEX($AI$2:$AI$1001,MATCH(ROWS($AH$2:AH463),$AH$2:$AH$1001,0),1)&gt;=100000,INDEX($AO$1005:$BQ$1005,1,MATCH(COLUMNS($AO$1006:BM1006),$AO$1006:$BQ$1006,0))&gt;=100000), " ",IF(INDEX($AO$2:$BQ$1001,MATCH(ROWS($AH$2:AH463),$AH$2:$AH$1001,0),MATCH(COLUMNS($AO$1006:BM1006),$AO$1006:$BQ$1006,0)), HYPERLINK("#",""), HYPERLINK(CONCATENATE("#Metadata!", ADDRESS(INDEX($AJ$2:$AJ$1001,MATCH(ROWS($AH$2:AH463),$AH$2:$AH$1001,0),0), INDEX($AO$1004:$BQ$1004,1,MATCH(COLUMNS($AO$1006:BM1006),$AO$1006:$BQ$1006,0)))),"Fix")))</f>
        <v>#N/A</v>
      </c>
      <c r="AA463" s="5" t="e">
        <f ca="1">IF(OR(INDEX($AI$2:$AI$1001,MATCH(ROWS($AH$2:AH463),$AH$2:$AH$1001,0),1)&gt;=100000,INDEX($AO$1005:$BQ$1005,1,MATCH(COLUMNS($AO$1006:BN1006),$AO$1006:$BQ$1006,0))&gt;=100000), " ",IF(INDEX($AO$2:$BQ$1001,MATCH(ROWS($AH$2:AH463),$AH$2:$AH$1001,0),MATCH(COLUMNS($AO$1006:BN1006),$AO$1006:$BQ$1006,0)), HYPERLINK("#",""), HYPERLINK(CONCATENATE("#Metadata!", ADDRESS(INDEX($AJ$2:$AJ$1001,MATCH(ROWS($AH$2:AH463),$AH$2:$AH$1001,0),0), INDEX($AO$1004:$BQ$1004,1,MATCH(COLUMNS($AO$1006:BN1006),$AO$1006:$BQ$1006,0)))),"Fix")))</f>
        <v>#N/A</v>
      </c>
      <c r="AB463" s="5" t="e">
        <f ca="1">IF(OR(INDEX($AI$2:$AI$1001,MATCH(ROWS($AH$2:AH463),$AH$2:$AH$1001,0),1)&gt;=100000,INDEX($AO$1005:$BQ$1005,1,MATCH(COLUMNS($AO$1006:BO1006),$AO$1006:$BQ$1006,0))&gt;=100000), " ",IF(INDEX($AO$2:$BQ$1001,MATCH(ROWS($AH$2:AH463),$AH$2:$AH$1001,0),MATCH(COLUMNS($AO$1006:BO1006),$AO$1006:$BQ$1006,0)), HYPERLINK("#",""), HYPERLINK(CONCATENATE("#Metadata!", ADDRESS(INDEX($AJ$2:$AJ$1001,MATCH(ROWS($AH$2:AH463),$AH$2:$AH$1001,0),0), INDEX($AO$1004:$BQ$1004,1,MATCH(COLUMNS($AO$1006:BO1006),$AO$1006:$BQ$1006,0)))),"Fix")))</f>
        <v>#N/A</v>
      </c>
      <c r="AC463" s="5" t="e">
        <f ca="1">IF(OR(INDEX($AI$2:$AI$1001,MATCH(ROWS($AH$2:AH463),$AH$2:$AH$1001,0),1)&gt;=100000,INDEX($AO$1005:$BQ$1005,1,MATCH(COLUMNS($AO$1006:BP1006),$AO$1006:$BQ$1006,0))&gt;=100000), " ",IF(INDEX($AO$2:$BQ$1001,MATCH(ROWS($AH$2:AH463),$AH$2:$AH$1001,0),MATCH(COLUMNS($AO$1006:BP1006),$AO$1006:$BQ$1006,0)), HYPERLINK("#",""), HYPERLINK(CONCATENATE("#Metadata!", ADDRESS(INDEX($AJ$2:$AJ$1001,MATCH(ROWS($AH$2:AH463),$AH$2:$AH$1001,0),0), INDEX($AO$1004:$BQ$1004,1,MATCH(COLUMNS($AO$1006:BP1006),$AO$1006:$BQ$1006,0)))),"Fix")))</f>
        <v>#N/A</v>
      </c>
      <c r="AD463" s="5" t="e">
        <f ca="1">IF(OR(INDEX($AI$2:$AI$1001,MATCH(ROWS($AH$2:AH463),$AH$2:$AH$1001,0),1)&gt;=100000,INDEX($AO$1005:$BQ$1005,1,MATCH(COLUMNS($AO$1006:BQ1006),$AO$1006:$BQ$1006,0))&gt;=100000), " ",IF(INDEX($AO$2:$BQ$1001,MATCH(ROWS($AH$2:AH463),$AH$2:$AH$1001,0),MATCH(COLUMNS($AO$1006:BQ1006),$AO$1006:$BQ$1006,0)), HYPERLINK("#",""), HYPERLINK(CONCATENATE("#Metadata!", ADDRESS(INDEX($AJ$2:$AJ$1001,MATCH(ROWS($AH$2:AH463),$AH$2:$AH$1001,0),0), INDEX($AO$1004:$BQ$1004,1,MATCH(COLUMNS($AO$1006:BQ1006),$AO$1006:$BQ$1006,0)))),"Fix")))</f>
        <v>#REF!</v>
      </c>
      <c r="AH463">
        <f ca="1"/>
        <v>460</v>
      </c>
      <c r="AI463">
        <v>100463</v>
      </c>
      <c r="AJ463">
        <v>463</v>
      </c>
      <c r="AK463" t="b">
        <f t="shared" si="7"/>
        <v>1</v>
      </c>
      <c r="AL463" t="b">
        <f>COUNTBLANK(Metadata!B463:AD463)=COLUMNS(Metadata!B463:AD463)</f>
        <v>1</v>
      </c>
      <c r="AM463" t="str">
        <v/>
      </c>
      <c r="AO463" t="b">
        <f ca="1">AND(IF(Metadata!B463="",FALSE,TRUE),COUNTIF(Metadata!B:B, Metadata!B463) = 1,NOT(ISERROR(SUMPRODUCT(SEARCH(MID(Metadata!B463,ROW(INDIRECT("1:"&amp;LEN(Metadata!B463))), 1),"0123456789abcdefghijklmnopqrstuvwxyzABCDEFGHIJKLMNOPQRSTUVWXYZ.")))))</f>
        <v>0</v>
      </c>
      <c r="AP463" t="b">
        <f>IF(Metadata!C463="",FALSE,TRUE)</f>
        <v>0</v>
      </c>
      <c r="AQ463" t="b">
        <f>IF(Metadata!D463="",FALSE,TRUE)</f>
        <v>0</v>
      </c>
      <c r="AR463" t="b">
        <f ca="1">OR(AND(IF(Metadata!E463="",FALSE,TRUE),OR(EXACT(Metadata!E463,"not collected"),EXACT(Metadata!E463,"not provided"),EXACT(Metadata!E463,"restricted access"))),AND(IF(Metadata!E463="",FALSE,TRUE),AND(AND(IFERROR(INT(LEFT(Metadata!E463,4))&gt;1900,FALSE),IFERROR(INT(LEFT(Metadata!E463,4))&lt;=YEAR(NOW()),FALSE)), OR(MID(Metadata!E463,5,1)="", AND(AND(MID(Metadata!E463,5,1)="-",IFERROR(INT(MID(Metadata!E463,6,1))&gt;=0,FALSE),IFERROR(INT(MID(Metadata!E463,6,1))&lt;=1,FALSE),NOT(MID(Metadata!E463,7,1)=""),IFERROR(INT(MID(Metadata!E463,6,2))&gt;=1,FALSE),IFERROR(INT(MID(Metadata!E463,6,2))&lt;=12,FALSE)), OR(MID(Metadata!E463,8,1)="", AND(AND(MID(Metadata!E463,8,1)="-",IFERROR(INT(MID(Metadata!E463,9,1))&gt;=0,FALSE),IFERROR(INT(MID(Metadata!E463,9,1))&lt;=3,FALSE),NOT(MID(Metadata!E463,10,1)=""),IFERROR(INT(MID(Metadata!E463,9,2))&gt;=1,FALSE),IFERROR(INT(MID(Metadata!E463,9,2))&lt;=31,FALSE)), OR(MID(Metadata!E463,11,1)="", AND(AND(MID(Metadata!E463,11,1)=" ",IFERROR(INT(MID(Metadata!E463,12,1))&gt;=0,FALSE),IFERROR(INT(MID(Metadata!E463,12,1))&lt;=2,FALSE),NOT(MID(Metadata!E463,13,1)=""),IFERROR(INT(MID(Metadata!E463,12,2))&gt;=0,FALSE),IFERROR(INT(MID(Metadata!E463,12,2))&lt;=23,FALSE)), OR(MID(Metadata!E463,14,1)="", AND(AND(MID(Metadata!E463,14,1)=":",IFERROR(INT(MID(Metadata!E463,15,1))&gt;=0,FALSE),IFERROR(INT(MID(Metadata!E463,15,1))&lt;=5,FALSE),NOT(MID(Metadata!E463,16,1)=""),IFERROR(INT(MID(Metadata!E463,15,2))&gt;=0,FALSE),IFERROR(INT(MID(Metadata!E463,15,2))&lt;=59,FALSE)), OR(MID(Metadata!E463,17,1)="", AND(AND(MID(Metadata!E463,17,1)=":",IFERROR(INT(MID(Metadata!E463,18,1))&gt;=0,FALSE),IFERROR(INT(MID(Metadata!E463,18,1))&lt;=5,FALSE),NOT(MID(Metadata!E463,19,1)=""),IFERROR(INT(MID(Metadata!E463,18,2))&gt;=0,FALSE),IFERROR(INT(MID(Metadata!E463,18,2))&lt;=59,FALSE)), LEN(Metadata!E463)&lt;=19)))))))))))))</f>
        <v>0</v>
      </c>
      <c r="AS463" t="b">
        <f>IF(Metadata!F463="",FALSE,TRUE)</f>
        <v>0</v>
      </c>
      <c r="AT463" t="b">
        <f>OR(AND(IF(Metadata!G463="",FALSE,TRUE),OR(EXACT(Metadata!G463,"not collected"),EXACT(Metadata!G463,"not provided"))),AND(IF(Metadata!G463="",FALSE,TRUE),OR(EXACT(Metadata!G463,"TRUE"),EXACT(Metadata!G463,"FALSE"))))</f>
        <v>0</v>
      </c>
      <c r="AU463" t="b">
        <f>OR(AND(IF(Metadata!H463="",FALSE,TRUE),OR(EXACT(Metadata!H463,"not collected"),EXACT(Metadata!H463,"not provided"),EXACT(Metadata!H463,"restricted access"))),AND(IF(Metadata!H463="",FALSE,ISNUMBER(VALUE(Metadata!H463))),Metadata!H463&gt;=-413))</f>
        <v>0</v>
      </c>
      <c r="AV463" t="b">
        <f>AND(IF(Metadata!I463="",FALSE,TRUE),EXACT(Metadata!I463,"meters"))</f>
        <v>0</v>
      </c>
      <c r="AW463" t="b">
        <f>AND(IF(Metadata!J463="",FALSE,TRUE),EXACT(Metadata!J463,"free-living"))</f>
        <v>0</v>
      </c>
      <c r="AX463" t="b">
        <f>AND(IF(Metadata!K463="",FALSE,TRUE),OR(EXACT(Metadata!K463,"saline"),EXACT(Metadata!K463,"non-saline")))</f>
        <v>0</v>
      </c>
      <c r="AY463" t="b">
        <f>AND(IF(Metadata!L463="",FALSE,TRUE),OR(EXACT(Metadata!L463,"sub-surface (non-saline)"),EXACT(Metadata!L463,"surface (non-saline)"),EXACT(Metadata!L463,"water (non-saline)"),EXACT(Metadata!L463,"soil (non-saline)"),EXACT(Metadata!L463,"aerosol (non-saline)"),EXACT(Metadata!L463,"sediment (non-saline)"),EXACT(Metadata!L463,"surface (saline)"),EXACT(Metadata!L463,"water (saline)"),EXACT(Metadata!L463,"hypersaline (saline)"),EXACT(Metadata!L463,"aerosol (saline)"),EXACT(Metadata!L463,"sediment (saline)")))</f>
        <v>0</v>
      </c>
      <c r="AZ463" t="b">
        <f>IF(Metadata!M463="",FALSE,TRUE)</f>
        <v>0</v>
      </c>
      <c r="BA463" t="b">
        <f>IF(Metadata!N463="",FALSE,TRUE)</f>
        <v>0</v>
      </c>
      <c r="BB463" t="b">
        <f>IF(Metadata!O463="",FALSE,TRUE)</f>
        <v>0</v>
      </c>
      <c r="BC463" t="b">
        <f>AND(IF(Metadata!P463="",FALSE,TRUE),OR(EXACT(Metadata!P463,"air"),EXACT(Metadata!P463,"microbial mat/biofilm"),EXACT(Metadata!P463,"misc environment"),EXACT(Metadata!P463,"sediment"),EXACT(Metadata!P463,"soil"),EXACT(Metadata!P463,"wastewater/sludge"),EXACT(Metadata!P463,"water")))</f>
        <v>0</v>
      </c>
      <c r="BD463" t="b">
        <f>IF(Metadata!Q463="",FALSE,TRUE)</f>
        <v>0</v>
      </c>
      <c r="BE463" t="b">
        <f>IF(Metadata!R463="",FALSE,TRUE)</f>
        <v>0</v>
      </c>
      <c r="BF463" t="b">
        <f>OR(AND(IF(Metadata!S463="",FALSE,TRUE),OR(EXACT(Metadata!S463,"not collected"),EXACT(Metadata!S463,"not provided"),EXACT(Metadata!S463,"restricted access"))),AND(IF(Metadata!S463="",FALSE,ISNUMBER(VALUE(Metadata!S463))),Metadata!S463&gt;=-90,Metadata!S463&lt;=90))</f>
        <v>0</v>
      </c>
      <c r="BG463" t="b">
        <f>AND(IF(Metadata!T463="",FALSE,TRUE),EXACT(Metadata!T463,"Decimal degrees"))</f>
        <v>0</v>
      </c>
      <c r="BH463" t="b">
        <f>OR(AND(IF(Metadata!U463="",FALSE,TRUE),OR(EXACT(Metadata!U463,"not applicable"),EXACT(Metadata!U463,"not collected"))),IF(Metadata!U463="",FALSE,TRUE))</f>
        <v>0</v>
      </c>
      <c r="BI463" t="b">
        <f>OR(AND(IF(Metadata!V463="",FALSE,TRUE),OR(EXACT(Metadata!V463,"not collected"),EXACT(Metadata!V463,"not provided"),EXACT(Metadata!V463,"restricted access"))),AND(IF(Metadata!V463="",FALSE,ISNUMBER(VALUE(Metadata!V463))),Metadata!V463&gt;=-180,Metadata!V463&lt;=180))</f>
        <v>0</v>
      </c>
      <c r="BJ463" t="b">
        <f>AND(IF(Metadata!W463="",FALSE,TRUE),EXACT(Metadata!W463,"Decimal degrees"))</f>
        <v>0</v>
      </c>
      <c r="BK463" t="b">
        <f>IF(Metadata!X463="",FALSE,TRUE)</f>
        <v>0</v>
      </c>
      <c r="BL463" t="b">
        <f>OR(AND(IF(Metadata!Y463="",FALSE,TRUE),OR(EXACT(Metadata!Y463,"not collected"),EXACT(Metadata!Y463,"not provided"),EXACT(Metadata!Y463,"restricted access"))),AND(IF(Metadata!Y463="",FALSE,TRUE),OR(EXACT(Metadata!Y463,"TRUE"),EXACT(Metadata!Y463,"FALSE"))))</f>
        <v>0</v>
      </c>
      <c r="BM463" t="b">
        <f>OR(AND(IF(Metadata!Z463="",FALSE,TRUE),EXACT(Metadata!Z463,"not applicable")),AND(IF(Metadata!Z463="",FALSE,TRUE),OR(EXACT(Metadata!Z463,"beer"),EXACT(Metadata!Z463,"cheese"),EXACT(Metadata!Z463,"fresh water"),EXACT(Metadata!Z463,"marine sediment"),EXACT(Metadata!Z463,"sea water"),EXACT(Metadata!Z463,"sediment"),EXACT(Metadata!Z463,"soil"),EXACT(Metadata!Z463,"waste water"))))</f>
        <v>0</v>
      </c>
      <c r="BN463" t="b">
        <f>AND(IF(Metadata!AA463="",FALSE,TRUE),EXACT(Metadata!AA463,"metagenome"))</f>
        <v>0</v>
      </c>
      <c r="BO463" t="b">
        <f>AND(IF(Metadata!AB463="",FALSE,TRUE),EXACT(Metadata!AB463,"256318"))</f>
        <v>0</v>
      </c>
      <c r="BP463" t="b">
        <f>IF(Metadata!AC463="",FALSE,TRUE)</f>
        <v>0</v>
      </c>
      <c r="BQ463" t="b">
        <f>IF(Metadata!AD463="",FALSE,TRUE)</f>
        <v>0</v>
      </c>
    </row>
    <row r="464" spans="1:69" x14ac:dyDescent="0.2">
      <c r="A464" s="4" t="e">
        <f ca="1">IF(B464=" "," ",HYPERLINK(CONCATENATE("#metadata!",ADDRESS(INDEX($AJ$2:$AJ$1001,MATCH(ROWS($AH$2:AH464),$AH$2:$AH$1001,0),0),2)),INDEX($AM$2:$AM$1001,MATCH(ROWS($AH$2:AH464),$AH$2:$AH$1001,0),0)))</f>
        <v>#N/A</v>
      </c>
      <c r="B464" s="5" t="e">
        <f ca="1">IF(OR(INDEX($AI$2:$AI$1001,MATCH(ROWS($AH$2:AH464),$AH$2:$AH$1001,0),1)&gt;=100000,INDEX($AO$1005:$BQ$1005,1,MATCH(COLUMNS($AO$1006:AO1006),$AO$1006:$BQ$1006,0))&gt;=100000), " ",IF(INDEX($AO$2:$BQ$1001,MATCH(ROWS($AH$2:AH464),$AH$2:$AH$1001,0),MATCH(COLUMNS($AO$1006:AO1006),$AO$1006:$BQ$1006,0)), HYPERLINK("#",""), HYPERLINK(CONCATENATE("#Metadata!", ADDRESS(INDEX($AJ$2:$AJ$1001,MATCH(ROWS($AH$2:AH464),$AH$2:$AH$1001,0),0), INDEX($AO$1004:$BQ$1004,1,MATCH(COLUMNS($AO$1006:AO1006),$AO$1006:$BQ$1006,0)))),"Fix")))</f>
        <v>#N/A</v>
      </c>
      <c r="C464" s="5" t="e">
        <f ca="1">IF(OR(INDEX($AI$2:$AI$1001,MATCH(ROWS($AH$2:AH464),$AH$2:$AH$1001,0),1)&gt;=100000,INDEX($AO$1005:$BQ$1005,1,MATCH(COLUMNS($AO$1006:AP1006),$AO$1006:$BQ$1006,0))&gt;=100000), " ",IF(INDEX($AO$2:$BQ$1001,MATCH(ROWS($AH$2:AH464),$AH$2:$AH$1001,0),MATCH(COLUMNS($AO$1006:AP1006),$AO$1006:$BQ$1006,0)), HYPERLINK("#",""), HYPERLINK(CONCATENATE("#Metadata!", ADDRESS(INDEX($AJ$2:$AJ$1001,MATCH(ROWS($AH$2:AH464),$AH$2:$AH$1001,0),0), INDEX($AO$1004:$BQ$1004,1,MATCH(COLUMNS($AO$1006:AP1006),$AO$1006:$BQ$1006,0)))),"Fix")))</f>
        <v>#N/A</v>
      </c>
      <c r="D464" s="5" t="e">
        <f ca="1">IF(OR(INDEX($AI$2:$AI$1001,MATCH(ROWS($AH$2:AH464),$AH$2:$AH$1001,0),1)&gt;=100000,INDEX($AO$1005:$BQ$1005,1,MATCH(COLUMNS($AO$1006:AQ1006),$AO$1006:$BQ$1006,0))&gt;=100000), " ",IF(INDEX($AO$2:$BQ$1001,MATCH(ROWS($AH$2:AH464),$AH$2:$AH$1001,0),MATCH(COLUMNS($AO$1006:AQ1006),$AO$1006:$BQ$1006,0)), HYPERLINK("#",""), HYPERLINK(CONCATENATE("#Metadata!", ADDRESS(INDEX($AJ$2:$AJ$1001,MATCH(ROWS($AH$2:AH464),$AH$2:$AH$1001,0),0), INDEX($AO$1004:$BQ$1004,1,MATCH(COLUMNS($AO$1006:AQ1006),$AO$1006:$BQ$1006,0)))),"Fix")))</f>
        <v>#N/A</v>
      </c>
      <c r="E464" s="5" t="e">
        <f ca="1">IF(OR(INDEX($AI$2:$AI$1001,MATCH(ROWS($AH$2:AH464),$AH$2:$AH$1001,0),1)&gt;=100000,INDEX($AO$1005:$BQ$1005,1,MATCH(COLUMNS($AO$1006:AR1006),$AO$1006:$BQ$1006,0))&gt;=100000), " ",IF(INDEX($AO$2:$BQ$1001,MATCH(ROWS($AH$2:AH464),$AH$2:$AH$1001,0),MATCH(COLUMNS($AO$1006:AR1006),$AO$1006:$BQ$1006,0)), HYPERLINK("#",""), HYPERLINK(CONCATENATE("#Metadata!", ADDRESS(INDEX($AJ$2:$AJ$1001,MATCH(ROWS($AH$2:AH464),$AH$2:$AH$1001,0),0), INDEX($AO$1004:$BQ$1004,1,MATCH(COLUMNS($AO$1006:AR1006),$AO$1006:$BQ$1006,0)))),"Fix")))</f>
        <v>#N/A</v>
      </c>
      <c r="F464" s="5" t="e">
        <f ca="1">IF(OR(INDEX($AI$2:$AI$1001,MATCH(ROWS($AH$2:AH464),$AH$2:$AH$1001,0),1)&gt;=100000,INDEX($AO$1005:$BQ$1005,1,MATCH(COLUMNS($AO$1006:AS1006),$AO$1006:$BQ$1006,0))&gt;=100000), " ",IF(INDEX($AO$2:$BQ$1001,MATCH(ROWS($AH$2:AH464),$AH$2:$AH$1001,0),MATCH(COLUMNS($AO$1006:AS1006),$AO$1006:$BQ$1006,0)), HYPERLINK("#",""), HYPERLINK(CONCATENATE("#Metadata!", ADDRESS(INDEX($AJ$2:$AJ$1001,MATCH(ROWS($AH$2:AH464),$AH$2:$AH$1001,0),0), INDEX($AO$1004:$BQ$1004,1,MATCH(COLUMNS($AO$1006:AS1006),$AO$1006:$BQ$1006,0)))),"Fix")))</f>
        <v>#N/A</v>
      </c>
      <c r="G464" s="5" t="e">
        <f ca="1">IF(OR(INDEX($AI$2:$AI$1001,MATCH(ROWS($AH$2:AH464),$AH$2:$AH$1001,0),1)&gt;=100000,INDEX($AO$1005:$BQ$1005,1,MATCH(COLUMNS($AO$1006:AT1006),$AO$1006:$BQ$1006,0))&gt;=100000), " ",IF(INDEX($AO$2:$BQ$1001,MATCH(ROWS($AH$2:AH464),$AH$2:$AH$1001,0),MATCH(COLUMNS($AO$1006:AT1006),$AO$1006:$BQ$1006,0)), HYPERLINK("#",""), HYPERLINK(CONCATENATE("#Metadata!", ADDRESS(INDEX($AJ$2:$AJ$1001,MATCH(ROWS($AH$2:AH464),$AH$2:$AH$1001,0),0), INDEX($AO$1004:$BQ$1004,1,MATCH(COLUMNS($AO$1006:AT1006),$AO$1006:$BQ$1006,0)))),"Fix")))</f>
        <v>#N/A</v>
      </c>
      <c r="H464" s="5" t="e">
        <f ca="1">IF(OR(INDEX($AI$2:$AI$1001,MATCH(ROWS($AH$2:AH464),$AH$2:$AH$1001,0),1)&gt;=100000,INDEX($AO$1005:$BQ$1005,1,MATCH(COLUMNS($AO$1006:AU1006),$AO$1006:$BQ$1006,0))&gt;=100000), " ",IF(INDEX($AO$2:$BQ$1001,MATCH(ROWS($AH$2:AH464),$AH$2:$AH$1001,0),MATCH(COLUMNS($AO$1006:AU1006),$AO$1006:$BQ$1006,0)), HYPERLINK("#",""), HYPERLINK(CONCATENATE("#Metadata!", ADDRESS(INDEX($AJ$2:$AJ$1001,MATCH(ROWS($AH$2:AH464),$AH$2:$AH$1001,0),0), INDEX($AO$1004:$BQ$1004,1,MATCH(COLUMNS($AO$1006:AU1006),$AO$1006:$BQ$1006,0)))),"Fix")))</f>
        <v>#N/A</v>
      </c>
      <c r="I464" s="5" t="e">
        <f ca="1">IF(OR(INDEX($AI$2:$AI$1001,MATCH(ROWS($AH$2:AH464),$AH$2:$AH$1001,0),1)&gt;=100000,INDEX($AO$1005:$BQ$1005,1,MATCH(COLUMNS($AO$1006:AV1006),$AO$1006:$BQ$1006,0))&gt;=100000), " ",IF(INDEX($AO$2:$BQ$1001,MATCH(ROWS($AH$2:AH464),$AH$2:$AH$1001,0),MATCH(COLUMNS($AO$1006:AV1006),$AO$1006:$BQ$1006,0)), HYPERLINK("#",""), HYPERLINK(CONCATENATE("#Metadata!", ADDRESS(INDEX($AJ$2:$AJ$1001,MATCH(ROWS($AH$2:AH464),$AH$2:$AH$1001,0),0), INDEX($AO$1004:$BQ$1004,1,MATCH(COLUMNS($AO$1006:AV1006),$AO$1006:$BQ$1006,0)))),"Fix")))</f>
        <v>#N/A</v>
      </c>
      <c r="J464" s="5" t="e">
        <f ca="1">IF(OR(INDEX($AI$2:$AI$1001,MATCH(ROWS($AH$2:AH464),$AH$2:$AH$1001,0),1)&gt;=100000,INDEX($AO$1005:$BQ$1005,1,MATCH(COLUMNS($AO$1006:AW1006),$AO$1006:$BQ$1006,0))&gt;=100000), " ",IF(INDEX($AO$2:$BQ$1001,MATCH(ROWS($AH$2:AH464),$AH$2:$AH$1001,0),MATCH(COLUMNS($AO$1006:AW1006),$AO$1006:$BQ$1006,0)), HYPERLINK("#",""), HYPERLINK(CONCATENATE("#Metadata!", ADDRESS(INDEX($AJ$2:$AJ$1001,MATCH(ROWS($AH$2:AH464),$AH$2:$AH$1001,0),0), INDEX($AO$1004:$BQ$1004,1,MATCH(COLUMNS($AO$1006:AW1006),$AO$1006:$BQ$1006,0)))),"Fix")))</f>
        <v>#N/A</v>
      </c>
      <c r="K464" s="5" t="e">
        <f ca="1">IF(OR(INDEX($AI$2:$AI$1001,MATCH(ROWS($AH$2:AH464),$AH$2:$AH$1001,0),1)&gt;=100000,INDEX($AO$1005:$BQ$1005,1,MATCH(COLUMNS($AO$1006:AX1006),$AO$1006:$BQ$1006,0))&gt;=100000), " ",IF(INDEX($AO$2:$BQ$1001,MATCH(ROWS($AH$2:AH464),$AH$2:$AH$1001,0),MATCH(COLUMNS($AO$1006:AX1006),$AO$1006:$BQ$1006,0)), HYPERLINK("#",""), HYPERLINK(CONCATENATE("#Metadata!", ADDRESS(INDEX($AJ$2:$AJ$1001,MATCH(ROWS($AH$2:AH464),$AH$2:$AH$1001,0),0), INDEX($AO$1004:$BQ$1004,1,MATCH(COLUMNS($AO$1006:AX1006),$AO$1006:$BQ$1006,0)))),"Fix")))</f>
        <v>#N/A</v>
      </c>
      <c r="L464" s="5" t="e">
        <f ca="1">IF(OR(INDEX($AI$2:$AI$1001,MATCH(ROWS($AH$2:AH464),$AH$2:$AH$1001,0),1)&gt;=100000,INDEX($AO$1005:$BQ$1005,1,MATCH(COLUMNS($AO$1006:AY1006),$AO$1006:$BQ$1006,0))&gt;=100000), " ",IF(INDEX($AO$2:$BQ$1001,MATCH(ROWS($AH$2:AH464),$AH$2:$AH$1001,0),MATCH(COLUMNS($AO$1006:AY1006),$AO$1006:$BQ$1006,0)), HYPERLINK("#",""), HYPERLINK(CONCATENATE("#Metadata!", ADDRESS(INDEX($AJ$2:$AJ$1001,MATCH(ROWS($AH$2:AH464),$AH$2:$AH$1001,0),0), INDEX($AO$1004:$BQ$1004,1,MATCH(COLUMNS($AO$1006:AY1006),$AO$1006:$BQ$1006,0)))),"Fix")))</f>
        <v>#N/A</v>
      </c>
      <c r="M464" s="5" t="e">
        <f ca="1">IF(OR(INDEX($AI$2:$AI$1001,MATCH(ROWS($AH$2:AH464),$AH$2:$AH$1001,0),1)&gt;=100000,INDEX($AO$1005:$BQ$1005,1,MATCH(COLUMNS($AO$1006:AZ1006),$AO$1006:$BQ$1006,0))&gt;=100000), " ",IF(INDEX($AO$2:$BQ$1001,MATCH(ROWS($AH$2:AH464),$AH$2:$AH$1001,0),MATCH(COLUMNS($AO$1006:AZ1006),$AO$1006:$BQ$1006,0)), HYPERLINK("#",""), HYPERLINK(CONCATENATE("#Metadata!", ADDRESS(INDEX($AJ$2:$AJ$1001,MATCH(ROWS($AH$2:AH464),$AH$2:$AH$1001,0),0), INDEX($AO$1004:$BQ$1004,1,MATCH(COLUMNS($AO$1006:AZ1006),$AO$1006:$BQ$1006,0)))),"Fix")))</f>
        <v>#N/A</v>
      </c>
      <c r="N464" s="5" t="e">
        <f ca="1">IF(OR(INDEX($AI$2:$AI$1001,MATCH(ROWS($AH$2:AH464),$AH$2:$AH$1001,0),1)&gt;=100000,INDEX($AO$1005:$BQ$1005,1,MATCH(COLUMNS($AO$1006:BA1006),$AO$1006:$BQ$1006,0))&gt;=100000), " ",IF(INDEX($AO$2:$BQ$1001,MATCH(ROWS($AH$2:AH464),$AH$2:$AH$1001,0),MATCH(COLUMNS($AO$1006:BA1006),$AO$1006:$BQ$1006,0)), HYPERLINK("#",""), HYPERLINK(CONCATENATE("#Metadata!", ADDRESS(INDEX($AJ$2:$AJ$1001,MATCH(ROWS($AH$2:AH464),$AH$2:$AH$1001,0),0), INDEX($AO$1004:$BQ$1004,1,MATCH(COLUMNS($AO$1006:BA1006),$AO$1006:$BQ$1006,0)))),"Fix")))</f>
        <v>#N/A</v>
      </c>
      <c r="O464" s="5" t="e">
        <f ca="1">IF(OR(INDEX($AI$2:$AI$1001,MATCH(ROWS($AH$2:AH464),$AH$2:$AH$1001,0),1)&gt;=100000,INDEX($AO$1005:$BQ$1005,1,MATCH(COLUMNS($AO$1006:BB1006),$AO$1006:$BQ$1006,0))&gt;=100000), " ",IF(INDEX($AO$2:$BQ$1001,MATCH(ROWS($AH$2:AH464),$AH$2:$AH$1001,0),MATCH(COLUMNS($AO$1006:BB1006),$AO$1006:$BQ$1006,0)), HYPERLINK("#",""), HYPERLINK(CONCATENATE("#Metadata!", ADDRESS(INDEX($AJ$2:$AJ$1001,MATCH(ROWS($AH$2:AH464),$AH$2:$AH$1001,0),0), INDEX($AO$1004:$BQ$1004,1,MATCH(COLUMNS($AO$1006:BB1006),$AO$1006:$BQ$1006,0)))),"Fix")))</f>
        <v>#N/A</v>
      </c>
      <c r="P464" s="5" t="e">
        <f ca="1">IF(OR(INDEX($AI$2:$AI$1001,MATCH(ROWS($AH$2:AH464),$AH$2:$AH$1001,0),1)&gt;=100000,INDEX($AO$1005:$BQ$1005,1,MATCH(COLUMNS($AO$1006:BC1006),$AO$1006:$BQ$1006,0))&gt;=100000), " ",IF(INDEX($AO$2:$BQ$1001,MATCH(ROWS($AH$2:AH464),$AH$2:$AH$1001,0),MATCH(COLUMNS($AO$1006:BC1006),$AO$1006:$BQ$1006,0)), HYPERLINK("#",""), HYPERLINK(CONCATENATE("#Metadata!", ADDRESS(INDEX($AJ$2:$AJ$1001,MATCH(ROWS($AH$2:AH464),$AH$2:$AH$1001,0),0), INDEX($AO$1004:$BQ$1004,1,MATCH(COLUMNS($AO$1006:BC1006),$AO$1006:$BQ$1006,0)))),"Fix")))</f>
        <v>#N/A</v>
      </c>
      <c r="Q464" s="5" t="e">
        <f ca="1">IF(OR(INDEX($AI$2:$AI$1001,MATCH(ROWS($AH$2:AH464),$AH$2:$AH$1001,0),1)&gt;=100000,INDEX($AO$1005:$BQ$1005,1,MATCH(COLUMNS($AO$1006:BD1006),$AO$1006:$BQ$1006,0))&gt;=100000), " ",IF(INDEX($AO$2:$BQ$1001,MATCH(ROWS($AH$2:AH464),$AH$2:$AH$1001,0),MATCH(COLUMNS($AO$1006:BD1006),$AO$1006:$BQ$1006,0)), HYPERLINK("#",""), HYPERLINK(CONCATENATE("#Metadata!", ADDRESS(INDEX($AJ$2:$AJ$1001,MATCH(ROWS($AH$2:AH464),$AH$2:$AH$1001,0),0), INDEX($AO$1004:$BQ$1004,1,MATCH(COLUMNS($AO$1006:BD1006),$AO$1006:$BQ$1006,0)))),"Fix")))</f>
        <v>#N/A</v>
      </c>
      <c r="R464" s="5" t="e">
        <f ca="1">IF(OR(INDEX($AI$2:$AI$1001,MATCH(ROWS($AH$2:AH464),$AH$2:$AH$1001,0),1)&gt;=100000,INDEX($AO$1005:$BQ$1005,1,MATCH(COLUMNS($AO$1006:BE1006),$AO$1006:$BQ$1006,0))&gt;=100000), " ",IF(INDEX($AO$2:$BQ$1001,MATCH(ROWS($AH$2:AH464),$AH$2:$AH$1001,0),MATCH(COLUMNS($AO$1006:BE1006),$AO$1006:$BQ$1006,0)), HYPERLINK("#",""), HYPERLINK(CONCATENATE("#Metadata!", ADDRESS(INDEX($AJ$2:$AJ$1001,MATCH(ROWS($AH$2:AH464),$AH$2:$AH$1001,0),0), INDEX($AO$1004:$BQ$1004,1,MATCH(COLUMNS($AO$1006:BE1006),$AO$1006:$BQ$1006,0)))),"Fix")))</f>
        <v>#N/A</v>
      </c>
      <c r="S464" s="5" t="e">
        <f ca="1">IF(OR(INDEX($AI$2:$AI$1001,MATCH(ROWS($AH$2:AH464),$AH$2:$AH$1001,0),1)&gt;=100000,INDEX($AO$1005:$BQ$1005,1,MATCH(COLUMNS($AO$1006:BF1006),$AO$1006:$BQ$1006,0))&gt;=100000), " ",IF(INDEX($AO$2:$BQ$1001,MATCH(ROWS($AH$2:AH464),$AH$2:$AH$1001,0),MATCH(COLUMNS($AO$1006:BF1006),$AO$1006:$BQ$1006,0)), HYPERLINK("#",""), HYPERLINK(CONCATENATE("#Metadata!", ADDRESS(INDEX($AJ$2:$AJ$1001,MATCH(ROWS($AH$2:AH464),$AH$2:$AH$1001,0),0), INDEX($AO$1004:$BQ$1004,1,MATCH(COLUMNS($AO$1006:BF1006),$AO$1006:$BQ$1006,0)))),"Fix")))</f>
        <v>#N/A</v>
      </c>
      <c r="T464" s="5" t="e">
        <f ca="1">IF(OR(INDEX($AI$2:$AI$1001,MATCH(ROWS($AH$2:AH464),$AH$2:$AH$1001,0),1)&gt;=100000,INDEX($AO$1005:$BQ$1005,1,MATCH(COLUMNS($AO$1006:BG1006),$AO$1006:$BQ$1006,0))&gt;=100000), " ",IF(INDEX($AO$2:$BQ$1001,MATCH(ROWS($AH$2:AH464),$AH$2:$AH$1001,0),MATCH(COLUMNS($AO$1006:BG1006),$AO$1006:$BQ$1006,0)), HYPERLINK("#",""), HYPERLINK(CONCATENATE("#Metadata!", ADDRESS(INDEX($AJ$2:$AJ$1001,MATCH(ROWS($AH$2:AH464),$AH$2:$AH$1001,0),0), INDEX($AO$1004:$BQ$1004,1,MATCH(COLUMNS($AO$1006:BG1006),$AO$1006:$BQ$1006,0)))),"Fix")))</f>
        <v>#N/A</v>
      </c>
      <c r="U464" s="5" t="e">
        <f ca="1">IF(OR(INDEX($AI$2:$AI$1001,MATCH(ROWS($AH$2:AH464),$AH$2:$AH$1001,0),1)&gt;=100000,INDEX($AO$1005:$BQ$1005,1,MATCH(COLUMNS($AO$1006:BH1006),$AO$1006:$BQ$1006,0))&gt;=100000), " ",IF(INDEX($AO$2:$BQ$1001,MATCH(ROWS($AH$2:AH464),$AH$2:$AH$1001,0),MATCH(COLUMNS($AO$1006:BH1006),$AO$1006:$BQ$1006,0)), HYPERLINK("#",""), HYPERLINK(CONCATENATE("#Metadata!", ADDRESS(INDEX($AJ$2:$AJ$1001,MATCH(ROWS($AH$2:AH464),$AH$2:$AH$1001,0),0), INDEX($AO$1004:$BQ$1004,1,MATCH(COLUMNS($AO$1006:BH1006),$AO$1006:$BQ$1006,0)))),"Fix")))</f>
        <v>#N/A</v>
      </c>
      <c r="V464" s="5" t="e">
        <f ca="1">IF(OR(INDEX($AI$2:$AI$1001,MATCH(ROWS($AH$2:AH464),$AH$2:$AH$1001,0),1)&gt;=100000,INDEX($AO$1005:$BQ$1005,1,MATCH(COLUMNS($AO$1006:BI1006),$AO$1006:$BQ$1006,0))&gt;=100000), " ",IF(INDEX($AO$2:$BQ$1001,MATCH(ROWS($AH$2:AH464),$AH$2:$AH$1001,0),MATCH(COLUMNS($AO$1006:BI1006),$AO$1006:$BQ$1006,0)), HYPERLINK("#",""), HYPERLINK(CONCATENATE("#Metadata!", ADDRESS(INDEX($AJ$2:$AJ$1001,MATCH(ROWS($AH$2:AH464),$AH$2:$AH$1001,0),0), INDEX($AO$1004:$BQ$1004,1,MATCH(COLUMNS($AO$1006:BI1006),$AO$1006:$BQ$1006,0)))),"Fix")))</f>
        <v>#N/A</v>
      </c>
      <c r="W464" s="5" t="e">
        <f ca="1">IF(OR(INDEX($AI$2:$AI$1001,MATCH(ROWS($AH$2:AH464),$AH$2:$AH$1001,0),1)&gt;=100000,INDEX($AO$1005:$BQ$1005,1,MATCH(COLUMNS($AO$1006:BJ1006),$AO$1006:$BQ$1006,0))&gt;=100000), " ",IF(INDEX($AO$2:$BQ$1001,MATCH(ROWS($AH$2:AH464),$AH$2:$AH$1001,0),MATCH(COLUMNS($AO$1006:BJ1006),$AO$1006:$BQ$1006,0)), HYPERLINK("#",""), HYPERLINK(CONCATENATE("#Metadata!", ADDRESS(INDEX($AJ$2:$AJ$1001,MATCH(ROWS($AH$2:AH464),$AH$2:$AH$1001,0),0), INDEX($AO$1004:$BQ$1004,1,MATCH(COLUMNS($AO$1006:BJ1006),$AO$1006:$BQ$1006,0)))),"Fix")))</f>
        <v>#N/A</v>
      </c>
      <c r="X464" s="5" t="e">
        <f ca="1">IF(OR(INDEX($AI$2:$AI$1001,MATCH(ROWS($AH$2:AH464),$AH$2:$AH$1001,0),1)&gt;=100000,INDEX($AO$1005:$BQ$1005,1,MATCH(COLUMNS($AO$1006:BK1006),$AO$1006:$BQ$1006,0))&gt;=100000), " ",IF(INDEX($AO$2:$BQ$1001,MATCH(ROWS($AH$2:AH464),$AH$2:$AH$1001,0),MATCH(COLUMNS($AO$1006:BK1006),$AO$1006:$BQ$1006,0)), HYPERLINK("#",""), HYPERLINK(CONCATENATE("#Metadata!", ADDRESS(INDEX($AJ$2:$AJ$1001,MATCH(ROWS($AH$2:AH464),$AH$2:$AH$1001,0),0), INDEX($AO$1004:$BQ$1004,1,MATCH(COLUMNS($AO$1006:BK1006),$AO$1006:$BQ$1006,0)))),"Fix")))</f>
        <v>#N/A</v>
      </c>
      <c r="Y464" s="5" t="e">
        <f ca="1">IF(OR(INDEX($AI$2:$AI$1001,MATCH(ROWS($AH$2:AH464),$AH$2:$AH$1001,0),1)&gt;=100000,INDEX($AO$1005:$BQ$1005,1,MATCH(COLUMNS($AO$1006:BL1006),$AO$1006:$BQ$1006,0))&gt;=100000), " ",IF(INDEX($AO$2:$BQ$1001,MATCH(ROWS($AH$2:AH464),$AH$2:$AH$1001,0),MATCH(COLUMNS($AO$1006:BL1006),$AO$1006:$BQ$1006,0)), HYPERLINK("#",""), HYPERLINK(CONCATENATE("#Metadata!", ADDRESS(INDEX($AJ$2:$AJ$1001,MATCH(ROWS($AH$2:AH464),$AH$2:$AH$1001,0),0), INDEX($AO$1004:$BQ$1004,1,MATCH(COLUMNS($AO$1006:BL1006),$AO$1006:$BQ$1006,0)))),"Fix")))</f>
        <v>#N/A</v>
      </c>
      <c r="Z464" s="5" t="e">
        <f ca="1">IF(OR(INDEX($AI$2:$AI$1001,MATCH(ROWS($AH$2:AH464),$AH$2:$AH$1001,0),1)&gt;=100000,INDEX($AO$1005:$BQ$1005,1,MATCH(COLUMNS($AO$1006:BM1006),$AO$1006:$BQ$1006,0))&gt;=100000), " ",IF(INDEX($AO$2:$BQ$1001,MATCH(ROWS($AH$2:AH464),$AH$2:$AH$1001,0),MATCH(COLUMNS($AO$1006:BM1006),$AO$1006:$BQ$1006,0)), HYPERLINK("#",""), HYPERLINK(CONCATENATE("#Metadata!", ADDRESS(INDEX($AJ$2:$AJ$1001,MATCH(ROWS($AH$2:AH464),$AH$2:$AH$1001,0),0), INDEX($AO$1004:$BQ$1004,1,MATCH(COLUMNS($AO$1006:BM1006),$AO$1006:$BQ$1006,0)))),"Fix")))</f>
        <v>#N/A</v>
      </c>
      <c r="AA464" s="5" t="e">
        <f ca="1">IF(OR(INDEX($AI$2:$AI$1001,MATCH(ROWS($AH$2:AH464),$AH$2:$AH$1001,0),1)&gt;=100000,INDEX($AO$1005:$BQ$1005,1,MATCH(COLUMNS($AO$1006:BN1006),$AO$1006:$BQ$1006,0))&gt;=100000), " ",IF(INDEX($AO$2:$BQ$1001,MATCH(ROWS($AH$2:AH464),$AH$2:$AH$1001,0),MATCH(COLUMNS($AO$1006:BN1006),$AO$1006:$BQ$1006,0)), HYPERLINK("#",""), HYPERLINK(CONCATENATE("#Metadata!", ADDRESS(INDEX($AJ$2:$AJ$1001,MATCH(ROWS($AH$2:AH464),$AH$2:$AH$1001,0),0), INDEX($AO$1004:$BQ$1004,1,MATCH(COLUMNS($AO$1006:BN1006),$AO$1006:$BQ$1006,0)))),"Fix")))</f>
        <v>#N/A</v>
      </c>
      <c r="AB464" s="5" t="e">
        <f ca="1">IF(OR(INDEX($AI$2:$AI$1001,MATCH(ROWS($AH$2:AH464),$AH$2:$AH$1001,0),1)&gt;=100000,INDEX($AO$1005:$BQ$1005,1,MATCH(COLUMNS($AO$1006:BO1006),$AO$1006:$BQ$1006,0))&gt;=100000), " ",IF(INDEX($AO$2:$BQ$1001,MATCH(ROWS($AH$2:AH464),$AH$2:$AH$1001,0),MATCH(COLUMNS($AO$1006:BO1006),$AO$1006:$BQ$1006,0)), HYPERLINK("#",""), HYPERLINK(CONCATENATE("#Metadata!", ADDRESS(INDEX($AJ$2:$AJ$1001,MATCH(ROWS($AH$2:AH464),$AH$2:$AH$1001,0),0), INDEX($AO$1004:$BQ$1004,1,MATCH(COLUMNS($AO$1006:BO1006),$AO$1006:$BQ$1006,0)))),"Fix")))</f>
        <v>#N/A</v>
      </c>
      <c r="AC464" s="5" t="e">
        <f ca="1">IF(OR(INDEX($AI$2:$AI$1001,MATCH(ROWS($AH$2:AH464),$AH$2:$AH$1001,0),1)&gt;=100000,INDEX($AO$1005:$BQ$1005,1,MATCH(COLUMNS($AO$1006:BP1006),$AO$1006:$BQ$1006,0))&gt;=100000), " ",IF(INDEX($AO$2:$BQ$1001,MATCH(ROWS($AH$2:AH464),$AH$2:$AH$1001,0),MATCH(COLUMNS($AO$1006:BP1006),$AO$1006:$BQ$1006,0)), HYPERLINK("#",""), HYPERLINK(CONCATENATE("#Metadata!", ADDRESS(INDEX($AJ$2:$AJ$1001,MATCH(ROWS($AH$2:AH464),$AH$2:$AH$1001,0),0), INDEX($AO$1004:$BQ$1004,1,MATCH(COLUMNS($AO$1006:BP1006),$AO$1006:$BQ$1006,0)))),"Fix")))</f>
        <v>#N/A</v>
      </c>
      <c r="AD464" s="5" t="e">
        <f ca="1">IF(OR(INDEX($AI$2:$AI$1001,MATCH(ROWS($AH$2:AH464),$AH$2:$AH$1001,0),1)&gt;=100000,INDEX($AO$1005:$BQ$1005,1,MATCH(COLUMNS($AO$1006:BQ1006),$AO$1006:$BQ$1006,0))&gt;=100000), " ",IF(INDEX($AO$2:$BQ$1001,MATCH(ROWS($AH$2:AH464),$AH$2:$AH$1001,0),MATCH(COLUMNS($AO$1006:BQ1006),$AO$1006:$BQ$1006,0)), HYPERLINK("#",""), HYPERLINK(CONCATENATE("#Metadata!", ADDRESS(INDEX($AJ$2:$AJ$1001,MATCH(ROWS($AH$2:AH464),$AH$2:$AH$1001,0),0), INDEX($AO$1004:$BQ$1004,1,MATCH(COLUMNS($AO$1006:BQ1006),$AO$1006:$BQ$1006,0)))),"Fix")))</f>
        <v>#REF!</v>
      </c>
      <c r="AH464">
        <f ca="1"/>
        <v>461</v>
      </c>
      <c r="AI464">
        <v>100464</v>
      </c>
      <c r="AJ464">
        <v>464</v>
      </c>
      <c r="AK464" t="b">
        <f t="shared" si="7"/>
        <v>1</v>
      </c>
      <c r="AL464" t="b">
        <f>COUNTBLANK(Metadata!B464:AD464)=COLUMNS(Metadata!B464:AD464)</f>
        <v>1</v>
      </c>
      <c r="AM464" t="str">
        <v/>
      </c>
      <c r="AO464" t="b">
        <f ca="1">AND(IF(Metadata!B464="",FALSE,TRUE),COUNTIF(Metadata!B:B, Metadata!B464) = 1,NOT(ISERROR(SUMPRODUCT(SEARCH(MID(Metadata!B464,ROW(INDIRECT("1:"&amp;LEN(Metadata!B464))), 1),"0123456789abcdefghijklmnopqrstuvwxyzABCDEFGHIJKLMNOPQRSTUVWXYZ.")))))</f>
        <v>0</v>
      </c>
      <c r="AP464" t="b">
        <f>IF(Metadata!C464="",FALSE,TRUE)</f>
        <v>0</v>
      </c>
      <c r="AQ464" t="b">
        <f>IF(Metadata!D464="",FALSE,TRUE)</f>
        <v>0</v>
      </c>
      <c r="AR464" t="b">
        <f ca="1">OR(AND(IF(Metadata!E464="",FALSE,TRUE),OR(EXACT(Metadata!E464,"not collected"),EXACT(Metadata!E464,"not provided"),EXACT(Metadata!E464,"restricted access"))),AND(IF(Metadata!E464="",FALSE,TRUE),AND(AND(IFERROR(INT(LEFT(Metadata!E464,4))&gt;1900,FALSE),IFERROR(INT(LEFT(Metadata!E464,4))&lt;=YEAR(NOW()),FALSE)), OR(MID(Metadata!E464,5,1)="", AND(AND(MID(Metadata!E464,5,1)="-",IFERROR(INT(MID(Metadata!E464,6,1))&gt;=0,FALSE),IFERROR(INT(MID(Metadata!E464,6,1))&lt;=1,FALSE),NOT(MID(Metadata!E464,7,1)=""),IFERROR(INT(MID(Metadata!E464,6,2))&gt;=1,FALSE),IFERROR(INT(MID(Metadata!E464,6,2))&lt;=12,FALSE)), OR(MID(Metadata!E464,8,1)="", AND(AND(MID(Metadata!E464,8,1)="-",IFERROR(INT(MID(Metadata!E464,9,1))&gt;=0,FALSE),IFERROR(INT(MID(Metadata!E464,9,1))&lt;=3,FALSE),NOT(MID(Metadata!E464,10,1)=""),IFERROR(INT(MID(Metadata!E464,9,2))&gt;=1,FALSE),IFERROR(INT(MID(Metadata!E464,9,2))&lt;=31,FALSE)), OR(MID(Metadata!E464,11,1)="", AND(AND(MID(Metadata!E464,11,1)=" ",IFERROR(INT(MID(Metadata!E464,12,1))&gt;=0,FALSE),IFERROR(INT(MID(Metadata!E464,12,1))&lt;=2,FALSE),NOT(MID(Metadata!E464,13,1)=""),IFERROR(INT(MID(Metadata!E464,12,2))&gt;=0,FALSE),IFERROR(INT(MID(Metadata!E464,12,2))&lt;=23,FALSE)), OR(MID(Metadata!E464,14,1)="", AND(AND(MID(Metadata!E464,14,1)=":",IFERROR(INT(MID(Metadata!E464,15,1))&gt;=0,FALSE),IFERROR(INT(MID(Metadata!E464,15,1))&lt;=5,FALSE),NOT(MID(Metadata!E464,16,1)=""),IFERROR(INT(MID(Metadata!E464,15,2))&gt;=0,FALSE),IFERROR(INT(MID(Metadata!E464,15,2))&lt;=59,FALSE)), OR(MID(Metadata!E464,17,1)="", AND(AND(MID(Metadata!E464,17,1)=":",IFERROR(INT(MID(Metadata!E464,18,1))&gt;=0,FALSE),IFERROR(INT(MID(Metadata!E464,18,1))&lt;=5,FALSE),NOT(MID(Metadata!E464,19,1)=""),IFERROR(INT(MID(Metadata!E464,18,2))&gt;=0,FALSE),IFERROR(INT(MID(Metadata!E464,18,2))&lt;=59,FALSE)), LEN(Metadata!E464)&lt;=19)))))))))))))</f>
        <v>0</v>
      </c>
      <c r="AS464" t="b">
        <f>IF(Metadata!F464="",FALSE,TRUE)</f>
        <v>0</v>
      </c>
      <c r="AT464" t="b">
        <f>OR(AND(IF(Metadata!G464="",FALSE,TRUE),OR(EXACT(Metadata!G464,"not collected"),EXACT(Metadata!G464,"not provided"))),AND(IF(Metadata!G464="",FALSE,TRUE),OR(EXACT(Metadata!G464,"TRUE"),EXACT(Metadata!G464,"FALSE"))))</f>
        <v>0</v>
      </c>
      <c r="AU464" t="b">
        <f>OR(AND(IF(Metadata!H464="",FALSE,TRUE),OR(EXACT(Metadata!H464,"not collected"),EXACT(Metadata!H464,"not provided"),EXACT(Metadata!H464,"restricted access"))),AND(IF(Metadata!H464="",FALSE,ISNUMBER(VALUE(Metadata!H464))),Metadata!H464&gt;=-413))</f>
        <v>0</v>
      </c>
      <c r="AV464" t="b">
        <f>AND(IF(Metadata!I464="",FALSE,TRUE),EXACT(Metadata!I464,"meters"))</f>
        <v>0</v>
      </c>
      <c r="AW464" t="b">
        <f>AND(IF(Metadata!J464="",FALSE,TRUE),EXACT(Metadata!J464,"free-living"))</f>
        <v>0</v>
      </c>
      <c r="AX464" t="b">
        <f>AND(IF(Metadata!K464="",FALSE,TRUE),OR(EXACT(Metadata!K464,"saline"),EXACT(Metadata!K464,"non-saline")))</f>
        <v>0</v>
      </c>
      <c r="AY464" t="b">
        <f>AND(IF(Metadata!L464="",FALSE,TRUE),OR(EXACT(Metadata!L464,"sub-surface (non-saline)"),EXACT(Metadata!L464,"surface (non-saline)"),EXACT(Metadata!L464,"water (non-saline)"),EXACT(Metadata!L464,"soil (non-saline)"),EXACT(Metadata!L464,"aerosol (non-saline)"),EXACT(Metadata!L464,"sediment (non-saline)"),EXACT(Metadata!L464,"surface (saline)"),EXACT(Metadata!L464,"water (saline)"),EXACT(Metadata!L464,"hypersaline (saline)"),EXACT(Metadata!L464,"aerosol (saline)"),EXACT(Metadata!L464,"sediment (saline)")))</f>
        <v>0</v>
      </c>
      <c r="AZ464" t="b">
        <f>IF(Metadata!M464="",FALSE,TRUE)</f>
        <v>0</v>
      </c>
      <c r="BA464" t="b">
        <f>IF(Metadata!N464="",FALSE,TRUE)</f>
        <v>0</v>
      </c>
      <c r="BB464" t="b">
        <f>IF(Metadata!O464="",FALSE,TRUE)</f>
        <v>0</v>
      </c>
      <c r="BC464" t="b">
        <f>AND(IF(Metadata!P464="",FALSE,TRUE),OR(EXACT(Metadata!P464,"air"),EXACT(Metadata!P464,"microbial mat/biofilm"),EXACT(Metadata!P464,"misc environment"),EXACT(Metadata!P464,"sediment"),EXACT(Metadata!P464,"soil"),EXACT(Metadata!P464,"wastewater/sludge"),EXACT(Metadata!P464,"water")))</f>
        <v>0</v>
      </c>
      <c r="BD464" t="b">
        <f>IF(Metadata!Q464="",FALSE,TRUE)</f>
        <v>0</v>
      </c>
      <c r="BE464" t="b">
        <f>IF(Metadata!R464="",FALSE,TRUE)</f>
        <v>0</v>
      </c>
      <c r="BF464" t="b">
        <f>OR(AND(IF(Metadata!S464="",FALSE,TRUE),OR(EXACT(Metadata!S464,"not collected"),EXACT(Metadata!S464,"not provided"),EXACT(Metadata!S464,"restricted access"))),AND(IF(Metadata!S464="",FALSE,ISNUMBER(VALUE(Metadata!S464))),Metadata!S464&gt;=-90,Metadata!S464&lt;=90))</f>
        <v>0</v>
      </c>
      <c r="BG464" t="b">
        <f>AND(IF(Metadata!T464="",FALSE,TRUE),EXACT(Metadata!T464,"Decimal degrees"))</f>
        <v>0</v>
      </c>
      <c r="BH464" t="b">
        <f>OR(AND(IF(Metadata!U464="",FALSE,TRUE),OR(EXACT(Metadata!U464,"not applicable"),EXACT(Metadata!U464,"not collected"))),IF(Metadata!U464="",FALSE,TRUE))</f>
        <v>0</v>
      </c>
      <c r="BI464" t="b">
        <f>OR(AND(IF(Metadata!V464="",FALSE,TRUE),OR(EXACT(Metadata!V464,"not collected"),EXACT(Metadata!V464,"not provided"),EXACT(Metadata!V464,"restricted access"))),AND(IF(Metadata!V464="",FALSE,ISNUMBER(VALUE(Metadata!V464))),Metadata!V464&gt;=-180,Metadata!V464&lt;=180))</f>
        <v>0</v>
      </c>
      <c r="BJ464" t="b">
        <f>AND(IF(Metadata!W464="",FALSE,TRUE),EXACT(Metadata!W464,"Decimal degrees"))</f>
        <v>0</v>
      </c>
      <c r="BK464" t="b">
        <f>IF(Metadata!X464="",FALSE,TRUE)</f>
        <v>0</v>
      </c>
      <c r="BL464" t="b">
        <f>OR(AND(IF(Metadata!Y464="",FALSE,TRUE),OR(EXACT(Metadata!Y464,"not collected"),EXACT(Metadata!Y464,"not provided"),EXACT(Metadata!Y464,"restricted access"))),AND(IF(Metadata!Y464="",FALSE,TRUE),OR(EXACT(Metadata!Y464,"TRUE"),EXACT(Metadata!Y464,"FALSE"))))</f>
        <v>0</v>
      </c>
      <c r="BM464" t="b">
        <f>OR(AND(IF(Metadata!Z464="",FALSE,TRUE),EXACT(Metadata!Z464,"not applicable")),AND(IF(Metadata!Z464="",FALSE,TRUE),OR(EXACT(Metadata!Z464,"beer"),EXACT(Metadata!Z464,"cheese"),EXACT(Metadata!Z464,"fresh water"),EXACT(Metadata!Z464,"marine sediment"),EXACT(Metadata!Z464,"sea water"),EXACT(Metadata!Z464,"sediment"),EXACT(Metadata!Z464,"soil"),EXACT(Metadata!Z464,"waste water"))))</f>
        <v>0</v>
      </c>
      <c r="BN464" t="b">
        <f>AND(IF(Metadata!AA464="",FALSE,TRUE),EXACT(Metadata!AA464,"metagenome"))</f>
        <v>0</v>
      </c>
      <c r="BO464" t="b">
        <f>AND(IF(Metadata!AB464="",FALSE,TRUE),EXACT(Metadata!AB464,"256318"))</f>
        <v>0</v>
      </c>
      <c r="BP464" t="b">
        <f>IF(Metadata!AC464="",FALSE,TRUE)</f>
        <v>0</v>
      </c>
      <c r="BQ464" t="b">
        <f>IF(Metadata!AD464="",FALSE,TRUE)</f>
        <v>0</v>
      </c>
    </row>
    <row r="465" spans="1:69" x14ac:dyDescent="0.2">
      <c r="A465" s="4" t="e">
        <f ca="1">IF(B465=" "," ",HYPERLINK(CONCATENATE("#metadata!",ADDRESS(INDEX($AJ$2:$AJ$1001,MATCH(ROWS($AH$2:AH465),$AH$2:$AH$1001,0),0),2)),INDEX($AM$2:$AM$1001,MATCH(ROWS($AH$2:AH465),$AH$2:$AH$1001,0),0)))</f>
        <v>#N/A</v>
      </c>
      <c r="B465" s="5" t="e">
        <f ca="1">IF(OR(INDEX($AI$2:$AI$1001,MATCH(ROWS($AH$2:AH465),$AH$2:$AH$1001,0),1)&gt;=100000,INDEX($AO$1005:$BQ$1005,1,MATCH(COLUMNS($AO$1006:AO1006),$AO$1006:$BQ$1006,0))&gt;=100000), " ",IF(INDEX($AO$2:$BQ$1001,MATCH(ROWS($AH$2:AH465),$AH$2:$AH$1001,0),MATCH(COLUMNS($AO$1006:AO1006),$AO$1006:$BQ$1006,0)), HYPERLINK("#",""), HYPERLINK(CONCATENATE("#Metadata!", ADDRESS(INDEX($AJ$2:$AJ$1001,MATCH(ROWS($AH$2:AH465),$AH$2:$AH$1001,0),0), INDEX($AO$1004:$BQ$1004,1,MATCH(COLUMNS($AO$1006:AO1006),$AO$1006:$BQ$1006,0)))),"Fix")))</f>
        <v>#N/A</v>
      </c>
      <c r="C465" s="5" t="e">
        <f ca="1">IF(OR(INDEX($AI$2:$AI$1001,MATCH(ROWS($AH$2:AH465),$AH$2:$AH$1001,0),1)&gt;=100000,INDEX($AO$1005:$BQ$1005,1,MATCH(COLUMNS($AO$1006:AP1006),$AO$1006:$BQ$1006,0))&gt;=100000), " ",IF(INDEX($AO$2:$BQ$1001,MATCH(ROWS($AH$2:AH465),$AH$2:$AH$1001,0),MATCH(COLUMNS($AO$1006:AP1006),$AO$1006:$BQ$1006,0)), HYPERLINK("#",""), HYPERLINK(CONCATENATE("#Metadata!", ADDRESS(INDEX($AJ$2:$AJ$1001,MATCH(ROWS($AH$2:AH465),$AH$2:$AH$1001,0),0), INDEX($AO$1004:$BQ$1004,1,MATCH(COLUMNS($AO$1006:AP1006),$AO$1006:$BQ$1006,0)))),"Fix")))</f>
        <v>#N/A</v>
      </c>
      <c r="D465" s="5" t="e">
        <f ca="1">IF(OR(INDEX($AI$2:$AI$1001,MATCH(ROWS($AH$2:AH465),$AH$2:$AH$1001,0),1)&gt;=100000,INDEX($AO$1005:$BQ$1005,1,MATCH(COLUMNS($AO$1006:AQ1006),$AO$1006:$BQ$1006,0))&gt;=100000), " ",IF(INDEX($AO$2:$BQ$1001,MATCH(ROWS($AH$2:AH465),$AH$2:$AH$1001,0),MATCH(COLUMNS($AO$1006:AQ1006),$AO$1006:$BQ$1006,0)), HYPERLINK("#",""), HYPERLINK(CONCATENATE("#Metadata!", ADDRESS(INDEX($AJ$2:$AJ$1001,MATCH(ROWS($AH$2:AH465),$AH$2:$AH$1001,0),0), INDEX($AO$1004:$BQ$1004,1,MATCH(COLUMNS($AO$1006:AQ1006),$AO$1006:$BQ$1006,0)))),"Fix")))</f>
        <v>#N/A</v>
      </c>
      <c r="E465" s="5" t="e">
        <f ca="1">IF(OR(INDEX($AI$2:$AI$1001,MATCH(ROWS($AH$2:AH465),$AH$2:$AH$1001,0),1)&gt;=100000,INDEX($AO$1005:$BQ$1005,1,MATCH(COLUMNS($AO$1006:AR1006),$AO$1006:$BQ$1006,0))&gt;=100000), " ",IF(INDEX($AO$2:$BQ$1001,MATCH(ROWS($AH$2:AH465),$AH$2:$AH$1001,0),MATCH(COLUMNS($AO$1006:AR1006),$AO$1006:$BQ$1006,0)), HYPERLINK("#",""), HYPERLINK(CONCATENATE("#Metadata!", ADDRESS(INDEX($AJ$2:$AJ$1001,MATCH(ROWS($AH$2:AH465),$AH$2:$AH$1001,0),0), INDEX($AO$1004:$BQ$1004,1,MATCH(COLUMNS($AO$1006:AR1006),$AO$1006:$BQ$1006,0)))),"Fix")))</f>
        <v>#N/A</v>
      </c>
      <c r="F465" s="5" t="e">
        <f ca="1">IF(OR(INDEX($AI$2:$AI$1001,MATCH(ROWS($AH$2:AH465),$AH$2:$AH$1001,0),1)&gt;=100000,INDEX($AO$1005:$BQ$1005,1,MATCH(COLUMNS($AO$1006:AS1006),$AO$1006:$BQ$1006,0))&gt;=100000), " ",IF(INDEX($AO$2:$BQ$1001,MATCH(ROWS($AH$2:AH465),$AH$2:$AH$1001,0),MATCH(COLUMNS($AO$1006:AS1006),$AO$1006:$BQ$1006,0)), HYPERLINK("#",""), HYPERLINK(CONCATENATE("#Metadata!", ADDRESS(INDEX($AJ$2:$AJ$1001,MATCH(ROWS($AH$2:AH465),$AH$2:$AH$1001,0),0), INDEX($AO$1004:$BQ$1004,1,MATCH(COLUMNS($AO$1006:AS1006),$AO$1006:$BQ$1006,0)))),"Fix")))</f>
        <v>#N/A</v>
      </c>
      <c r="G465" s="5" t="e">
        <f ca="1">IF(OR(INDEX($AI$2:$AI$1001,MATCH(ROWS($AH$2:AH465),$AH$2:$AH$1001,0),1)&gt;=100000,INDEX($AO$1005:$BQ$1005,1,MATCH(COLUMNS($AO$1006:AT1006),$AO$1006:$BQ$1006,0))&gt;=100000), " ",IF(INDEX($AO$2:$BQ$1001,MATCH(ROWS($AH$2:AH465),$AH$2:$AH$1001,0),MATCH(COLUMNS($AO$1006:AT1006),$AO$1006:$BQ$1006,0)), HYPERLINK("#",""), HYPERLINK(CONCATENATE("#Metadata!", ADDRESS(INDEX($AJ$2:$AJ$1001,MATCH(ROWS($AH$2:AH465),$AH$2:$AH$1001,0),0), INDEX($AO$1004:$BQ$1004,1,MATCH(COLUMNS($AO$1006:AT1006),$AO$1006:$BQ$1006,0)))),"Fix")))</f>
        <v>#N/A</v>
      </c>
      <c r="H465" s="5" t="e">
        <f ca="1">IF(OR(INDEX($AI$2:$AI$1001,MATCH(ROWS($AH$2:AH465),$AH$2:$AH$1001,0),1)&gt;=100000,INDEX($AO$1005:$BQ$1005,1,MATCH(COLUMNS($AO$1006:AU1006),$AO$1006:$BQ$1006,0))&gt;=100000), " ",IF(INDEX($AO$2:$BQ$1001,MATCH(ROWS($AH$2:AH465),$AH$2:$AH$1001,0),MATCH(COLUMNS($AO$1006:AU1006),$AO$1006:$BQ$1006,0)), HYPERLINK("#",""), HYPERLINK(CONCATENATE("#Metadata!", ADDRESS(INDEX($AJ$2:$AJ$1001,MATCH(ROWS($AH$2:AH465),$AH$2:$AH$1001,0),0), INDEX($AO$1004:$BQ$1004,1,MATCH(COLUMNS($AO$1006:AU1006),$AO$1006:$BQ$1006,0)))),"Fix")))</f>
        <v>#N/A</v>
      </c>
      <c r="I465" s="5" t="e">
        <f ca="1">IF(OR(INDEX($AI$2:$AI$1001,MATCH(ROWS($AH$2:AH465),$AH$2:$AH$1001,0),1)&gt;=100000,INDEX($AO$1005:$BQ$1005,1,MATCH(COLUMNS($AO$1006:AV1006),$AO$1006:$BQ$1006,0))&gt;=100000), " ",IF(INDEX($AO$2:$BQ$1001,MATCH(ROWS($AH$2:AH465),$AH$2:$AH$1001,0),MATCH(COLUMNS($AO$1006:AV1006),$AO$1006:$BQ$1006,0)), HYPERLINK("#",""), HYPERLINK(CONCATENATE("#Metadata!", ADDRESS(INDEX($AJ$2:$AJ$1001,MATCH(ROWS($AH$2:AH465),$AH$2:$AH$1001,0),0), INDEX($AO$1004:$BQ$1004,1,MATCH(COLUMNS($AO$1006:AV1006),$AO$1006:$BQ$1006,0)))),"Fix")))</f>
        <v>#N/A</v>
      </c>
      <c r="J465" s="5" t="e">
        <f ca="1">IF(OR(INDEX($AI$2:$AI$1001,MATCH(ROWS($AH$2:AH465),$AH$2:$AH$1001,0),1)&gt;=100000,INDEX($AO$1005:$BQ$1005,1,MATCH(COLUMNS($AO$1006:AW1006),$AO$1006:$BQ$1006,0))&gt;=100000), " ",IF(INDEX($AO$2:$BQ$1001,MATCH(ROWS($AH$2:AH465),$AH$2:$AH$1001,0),MATCH(COLUMNS($AO$1006:AW1006),$AO$1006:$BQ$1006,0)), HYPERLINK("#",""), HYPERLINK(CONCATENATE("#Metadata!", ADDRESS(INDEX($AJ$2:$AJ$1001,MATCH(ROWS($AH$2:AH465),$AH$2:$AH$1001,0),0), INDEX($AO$1004:$BQ$1004,1,MATCH(COLUMNS($AO$1006:AW1006),$AO$1006:$BQ$1006,0)))),"Fix")))</f>
        <v>#N/A</v>
      </c>
      <c r="K465" s="5" t="e">
        <f ca="1">IF(OR(INDEX($AI$2:$AI$1001,MATCH(ROWS($AH$2:AH465),$AH$2:$AH$1001,0),1)&gt;=100000,INDEX($AO$1005:$BQ$1005,1,MATCH(COLUMNS($AO$1006:AX1006),$AO$1006:$BQ$1006,0))&gt;=100000), " ",IF(INDEX($AO$2:$BQ$1001,MATCH(ROWS($AH$2:AH465),$AH$2:$AH$1001,0),MATCH(COLUMNS($AO$1006:AX1006),$AO$1006:$BQ$1006,0)), HYPERLINK("#",""), HYPERLINK(CONCATENATE("#Metadata!", ADDRESS(INDEX($AJ$2:$AJ$1001,MATCH(ROWS($AH$2:AH465),$AH$2:$AH$1001,0),0), INDEX($AO$1004:$BQ$1004,1,MATCH(COLUMNS($AO$1006:AX1006),$AO$1006:$BQ$1006,0)))),"Fix")))</f>
        <v>#N/A</v>
      </c>
      <c r="L465" s="5" t="e">
        <f ca="1">IF(OR(INDEX($AI$2:$AI$1001,MATCH(ROWS($AH$2:AH465),$AH$2:$AH$1001,0),1)&gt;=100000,INDEX($AO$1005:$BQ$1005,1,MATCH(COLUMNS($AO$1006:AY1006),$AO$1006:$BQ$1006,0))&gt;=100000), " ",IF(INDEX($AO$2:$BQ$1001,MATCH(ROWS($AH$2:AH465),$AH$2:$AH$1001,0),MATCH(COLUMNS($AO$1006:AY1006),$AO$1006:$BQ$1006,0)), HYPERLINK("#",""), HYPERLINK(CONCATENATE("#Metadata!", ADDRESS(INDEX($AJ$2:$AJ$1001,MATCH(ROWS($AH$2:AH465),$AH$2:$AH$1001,0),0), INDEX($AO$1004:$BQ$1004,1,MATCH(COLUMNS($AO$1006:AY1006),$AO$1006:$BQ$1006,0)))),"Fix")))</f>
        <v>#N/A</v>
      </c>
      <c r="M465" s="5" t="e">
        <f ca="1">IF(OR(INDEX($AI$2:$AI$1001,MATCH(ROWS($AH$2:AH465),$AH$2:$AH$1001,0),1)&gt;=100000,INDEX($AO$1005:$BQ$1005,1,MATCH(COLUMNS($AO$1006:AZ1006),$AO$1006:$BQ$1006,0))&gt;=100000), " ",IF(INDEX($AO$2:$BQ$1001,MATCH(ROWS($AH$2:AH465),$AH$2:$AH$1001,0),MATCH(COLUMNS($AO$1006:AZ1006),$AO$1006:$BQ$1006,0)), HYPERLINK("#",""), HYPERLINK(CONCATENATE("#Metadata!", ADDRESS(INDEX($AJ$2:$AJ$1001,MATCH(ROWS($AH$2:AH465),$AH$2:$AH$1001,0),0), INDEX($AO$1004:$BQ$1004,1,MATCH(COLUMNS($AO$1006:AZ1006),$AO$1006:$BQ$1006,0)))),"Fix")))</f>
        <v>#N/A</v>
      </c>
      <c r="N465" s="5" t="e">
        <f ca="1">IF(OR(INDEX($AI$2:$AI$1001,MATCH(ROWS($AH$2:AH465),$AH$2:$AH$1001,0),1)&gt;=100000,INDEX($AO$1005:$BQ$1005,1,MATCH(COLUMNS($AO$1006:BA1006),$AO$1006:$BQ$1006,0))&gt;=100000), " ",IF(INDEX($AO$2:$BQ$1001,MATCH(ROWS($AH$2:AH465),$AH$2:$AH$1001,0),MATCH(COLUMNS($AO$1006:BA1006),$AO$1006:$BQ$1006,0)), HYPERLINK("#",""), HYPERLINK(CONCATENATE("#Metadata!", ADDRESS(INDEX($AJ$2:$AJ$1001,MATCH(ROWS($AH$2:AH465),$AH$2:$AH$1001,0),0), INDEX($AO$1004:$BQ$1004,1,MATCH(COLUMNS($AO$1006:BA1006),$AO$1006:$BQ$1006,0)))),"Fix")))</f>
        <v>#N/A</v>
      </c>
      <c r="O465" s="5" t="e">
        <f ca="1">IF(OR(INDEX($AI$2:$AI$1001,MATCH(ROWS($AH$2:AH465),$AH$2:$AH$1001,0),1)&gt;=100000,INDEX($AO$1005:$BQ$1005,1,MATCH(COLUMNS($AO$1006:BB1006),$AO$1006:$BQ$1006,0))&gt;=100000), " ",IF(INDEX($AO$2:$BQ$1001,MATCH(ROWS($AH$2:AH465),$AH$2:$AH$1001,0),MATCH(COLUMNS($AO$1006:BB1006),$AO$1006:$BQ$1006,0)), HYPERLINK("#",""), HYPERLINK(CONCATENATE("#Metadata!", ADDRESS(INDEX($AJ$2:$AJ$1001,MATCH(ROWS($AH$2:AH465),$AH$2:$AH$1001,0),0), INDEX($AO$1004:$BQ$1004,1,MATCH(COLUMNS($AO$1006:BB1006),$AO$1006:$BQ$1006,0)))),"Fix")))</f>
        <v>#N/A</v>
      </c>
      <c r="P465" s="5" t="e">
        <f ca="1">IF(OR(INDEX($AI$2:$AI$1001,MATCH(ROWS($AH$2:AH465),$AH$2:$AH$1001,0),1)&gt;=100000,INDEX($AO$1005:$BQ$1005,1,MATCH(COLUMNS($AO$1006:BC1006),$AO$1006:$BQ$1006,0))&gt;=100000), " ",IF(INDEX($AO$2:$BQ$1001,MATCH(ROWS($AH$2:AH465),$AH$2:$AH$1001,0),MATCH(COLUMNS($AO$1006:BC1006),$AO$1006:$BQ$1006,0)), HYPERLINK("#",""), HYPERLINK(CONCATENATE("#Metadata!", ADDRESS(INDEX($AJ$2:$AJ$1001,MATCH(ROWS($AH$2:AH465),$AH$2:$AH$1001,0),0), INDEX($AO$1004:$BQ$1004,1,MATCH(COLUMNS($AO$1006:BC1006),$AO$1006:$BQ$1006,0)))),"Fix")))</f>
        <v>#N/A</v>
      </c>
      <c r="Q465" s="5" t="e">
        <f ca="1">IF(OR(INDEX($AI$2:$AI$1001,MATCH(ROWS($AH$2:AH465),$AH$2:$AH$1001,0),1)&gt;=100000,INDEX($AO$1005:$BQ$1005,1,MATCH(COLUMNS($AO$1006:BD1006),$AO$1006:$BQ$1006,0))&gt;=100000), " ",IF(INDEX($AO$2:$BQ$1001,MATCH(ROWS($AH$2:AH465),$AH$2:$AH$1001,0),MATCH(COLUMNS($AO$1006:BD1006),$AO$1006:$BQ$1006,0)), HYPERLINK("#",""), HYPERLINK(CONCATENATE("#Metadata!", ADDRESS(INDEX($AJ$2:$AJ$1001,MATCH(ROWS($AH$2:AH465),$AH$2:$AH$1001,0),0), INDEX($AO$1004:$BQ$1004,1,MATCH(COLUMNS($AO$1006:BD1006),$AO$1006:$BQ$1006,0)))),"Fix")))</f>
        <v>#N/A</v>
      </c>
      <c r="R465" s="5" t="e">
        <f ca="1">IF(OR(INDEX($AI$2:$AI$1001,MATCH(ROWS($AH$2:AH465),$AH$2:$AH$1001,0),1)&gt;=100000,INDEX($AO$1005:$BQ$1005,1,MATCH(COLUMNS($AO$1006:BE1006),$AO$1006:$BQ$1006,0))&gt;=100000), " ",IF(INDEX($AO$2:$BQ$1001,MATCH(ROWS($AH$2:AH465),$AH$2:$AH$1001,0),MATCH(COLUMNS($AO$1006:BE1006),$AO$1006:$BQ$1006,0)), HYPERLINK("#",""), HYPERLINK(CONCATENATE("#Metadata!", ADDRESS(INDEX($AJ$2:$AJ$1001,MATCH(ROWS($AH$2:AH465),$AH$2:$AH$1001,0),0), INDEX($AO$1004:$BQ$1004,1,MATCH(COLUMNS($AO$1006:BE1006),$AO$1006:$BQ$1006,0)))),"Fix")))</f>
        <v>#N/A</v>
      </c>
      <c r="S465" s="5" t="e">
        <f ca="1">IF(OR(INDEX($AI$2:$AI$1001,MATCH(ROWS($AH$2:AH465),$AH$2:$AH$1001,0),1)&gt;=100000,INDEX($AO$1005:$BQ$1005,1,MATCH(COLUMNS($AO$1006:BF1006),$AO$1006:$BQ$1006,0))&gt;=100000), " ",IF(INDEX($AO$2:$BQ$1001,MATCH(ROWS($AH$2:AH465),$AH$2:$AH$1001,0),MATCH(COLUMNS($AO$1006:BF1006),$AO$1006:$BQ$1006,0)), HYPERLINK("#",""), HYPERLINK(CONCATENATE("#Metadata!", ADDRESS(INDEX($AJ$2:$AJ$1001,MATCH(ROWS($AH$2:AH465),$AH$2:$AH$1001,0),0), INDEX($AO$1004:$BQ$1004,1,MATCH(COLUMNS($AO$1006:BF1006),$AO$1006:$BQ$1006,0)))),"Fix")))</f>
        <v>#N/A</v>
      </c>
      <c r="T465" s="5" t="e">
        <f ca="1">IF(OR(INDEX($AI$2:$AI$1001,MATCH(ROWS($AH$2:AH465),$AH$2:$AH$1001,0),1)&gt;=100000,INDEX($AO$1005:$BQ$1005,1,MATCH(COLUMNS($AO$1006:BG1006),$AO$1006:$BQ$1006,0))&gt;=100000), " ",IF(INDEX($AO$2:$BQ$1001,MATCH(ROWS($AH$2:AH465),$AH$2:$AH$1001,0),MATCH(COLUMNS($AO$1006:BG1006),$AO$1006:$BQ$1006,0)), HYPERLINK("#",""), HYPERLINK(CONCATENATE("#Metadata!", ADDRESS(INDEX($AJ$2:$AJ$1001,MATCH(ROWS($AH$2:AH465),$AH$2:$AH$1001,0),0), INDEX($AO$1004:$BQ$1004,1,MATCH(COLUMNS($AO$1006:BG1006),$AO$1006:$BQ$1006,0)))),"Fix")))</f>
        <v>#N/A</v>
      </c>
      <c r="U465" s="5" t="e">
        <f ca="1">IF(OR(INDEX($AI$2:$AI$1001,MATCH(ROWS($AH$2:AH465),$AH$2:$AH$1001,0),1)&gt;=100000,INDEX($AO$1005:$BQ$1005,1,MATCH(COLUMNS($AO$1006:BH1006),$AO$1006:$BQ$1006,0))&gt;=100000), " ",IF(INDEX($AO$2:$BQ$1001,MATCH(ROWS($AH$2:AH465),$AH$2:$AH$1001,0),MATCH(COLUMNS($AO$1006:BH1006),$AO$1006:$BQ$1006,0)), HYPERLINK("#",""), HYPERLINK(CONCATENATE("#Metadata!", ADDRESS(INDEX($AJ$2:$AJ$1001,MATCH(ROWS($AH$2:AH465),$AH$2:$AH$1001,0),0), INDEX($AO$1004:$BQ$1004,1,MATCH(COLUMNS($AO$1006:BH1006),$AO$1006:$BQ$1006,0)))),"Fix")))</f>
        <v>#N/A</v>
      </c>
      <c r="V465" s="5" t="e">
        <f ca="1">IF(OR(INDEX($AI$2:$AI$1001,MATCH(ROWS($AH$2:AH465),$AH$2:$AH$1001,0),1)&gt;=100000,INDEX($AO$1005:$BQ$1005,1,MATCH(COLUMNS($AO$1006:BI1006),$AO$1006:$BQ$1006,0))&gt;=100000), " ",IF(INDEX($AO$2:$BQ$1001,MATCH(ROWS($AH$2:AH465),$AH$2:$AH$1001,0),MATCH(COLUMNS($AO$1006:BI1006),$AO$1006:$BQ$1006,0)), HYPERLINK("#",""), HYPERLINK(CONCATENATE("#Metadata!", ADDRESS(INDEX($AJ$2:$AJ$1001,MATCH(ROWS($AH$2:AH465),$AH$2:$AH$1001,0),0), INDEX($AO$1004:$BQ$1004,1,MATCH(COLUMNS($AO$1006:BI1006),$AO$1006:$BQ$1006,0)))),"Fix")))</f>
        <v>#N/A</v>
      </c>
      <c r="W465" s="5" t="e">
        <f ca="1">IF(OR(INDEX($AI$2:$AI$1001,MATCH(ROWS($AH$2:AH465),$AH$2:$AH$1001,0),1)&gt;=100000,INDEX($AO$1005:$BQ$1005,1,MATCH(COLUMNS($AO$1006:BJ1006),$AO$1006:$BQ$1006,0))&gt;=100000), " ",IF(INDEX($AO$2:$BQ$1001,MATCH(ROWS($AH$2:AH465),$AH$2:$AH$1001,0),MATCH(COLUMNS($AO$1006:BJ1006),$AO$1006:$BQ$1006,0)), HYPERLINK("#",""), HYPERLINK(CONCATENATE("#Metadata!", ADDRESS(INDEX($AJ$2:$AJ$1001,MATCH(ROWS($AH$2:AH465),$AH$2:$AH$1001,0),0), INDEX($AO$1004:$BQ$1004,1,MATCH(COLUMNS($AO$1006:BJ1006),$AO$1006:$BQ$1006,0)))),"Fix")))</f>
        <v>#N/A</v>
      </c>
      <c r="X465" s="5" t="e">
        <f ca="1">IF(OR(INDEX($AI$2:$AI$1001,MATCH(ROWS($AH$2:AH465),$AH$2:$AH$1001,0),1)&gt;=100000,INDEX($AO$1005:$BQ$1005,1,MATCH(COLUMNS($AO$1006:BK1006),$AO$1006:$BQ$1006,0))&gt;=100000), " ",IF(INDEX($AO$2:$BQ$1001,MATCH(ROWS($AH$2:AH465),$AH$2:$AH$1001,0),MATCH(COLUMNS($AO$1006:BK1006),$AO$1006:$BQ$1006,0)), HYPERLINK("#",""), HYPERLINK(CONCATENATE("#Metadata!", ADDRESS(INDEX($AJ$2:$AJ$1001,MATCH(ROWS($AH$2:AH465),$AH$2:$AH$1001,0),0), INDEX($AO$1004:$BQ$1004,1,MATCH(COLUMNS($AO$1006:BK1006),$AO$1006:$BQ$1006,0)))),"Fix")))</f>
        <v>#N/A</v>
      </c>
      <c r="Y465" s="5" t="e">
        <f ca="1">IF(OR(INDEX($AI$2:$AI$1001,MATCH(ROWS($AH$2:AH465),$AH$2:$AH$1001,0),1)&gt;=100000,INDEX($AO$1005:$BQ$1005,1,MATCH(COLUMNS($AO$1006:BL1006),$AO$1006:$BQ$1006,0))&gt;=100000), " ",IF(INDEX($AO$2:$BQ$1001,MATCH(ROWS($AH$2:AH465),$AH$2:$AH$1001,0),MATCH(COLUMNS($AO$1006:BL1006),$AO$1006:$BQ$1006,0)), HYPERLINK("#",""), HYPERLINK(CONCATENATE("#Metadata!", ADDRESS(INDEX($AJ$2:$AJ$1001,MATCH(ROWS($AH$2:AH465),$AH$2:$AH$1001,0),0), INDEX($AO$1004:$BQ$1004,1,MATCH(COLUMNS($AO$1006:BL1006),$AO$1006:$BQ$1006,0)))),"Fix")))</f>
        <v>#N/A</v>
      </c>
      <c r="Z465" s="5" t="e">
        <f ca="1">IF(OR(INDEX($AI$2:$AI$1001,MATCH(ROWS($AH$2:AH465),$AH$2:$AH$1001,0),1)&gt;=100000,INDEX($AO$1005:$BQ$1005,1,MATCH(COLUMNS($AO$1006:BM1006),$AO$1006:$BQ$1006,0))&gt;=100000), " ",IF(INDEX($AO$2:$BQ$1001,MATCH(ROWS($AH$2:AH465),$AH$2:$AH$1001,0),MATCH(COLUMNS($AO$1006:BM1006),$AO$1006:$BQ$1006,0)), HYPERLINK("#",""), HYPERLINK(CONCATENATE("#Metadata!", ADDRESS(INDEX($AJ$2:$AJ$1001,MATCH(ROWS($AH$2:AH465),$AH$2:$AH$1001,0),0), INDEX($AO$1004:$BQ$1004,1,MATCH(COLUMNS($AO$1006:BM1006),$AO$1006:$BQ$1006,0)))),"Fix")))</f>
        <v>#N/A</v>
      </c>
      <c r="AA465" s="5" t="e">
        <f ca="1">IF(OR(INDEX($AI$2:$AI$1001,MATCH(ROWS($AH$2:AH465),$AH$2:$AH$1001,0),1)&gt;=100000,INDEX($AO$1005:$BQ$1005,1,MATCH(COLUMNS($AO$1006:BN1006),$AO$1006:$BQ$1006,0))&gt;=100000), " ",IF(INDEX($AO$2:$BQ$1001,MATCH(ROWS($AH$2:AH465),$AH$2:$AH$1001,0),MATCH(COLUMNS($AO$1006:BN1006),$AO$1006:$BQ$1006,0)), HYPERLINK("#",""), HYPERLINK(CONCATENATE("#Metadata!", ADDRESS(INDEX($AJ$2:$AJ$1001,MATCH(ROWS($AH$2:AH465),$AH$2:$AH$1001,0),0), INDEX($AO$1004:$BQ$1004,1,MATCH(COLUMNS($AO$1006:BN1006),$AO$1006:$BQ$1006,0)))),"Fix")))</f>
        <v>#N/A</v>
      </c>
      <c r="AB465" s="5" t="e">
        <f ca="1">IF(OR(INDEX($AI$2:$AI$1001,MATCH(ROWS($AH$2:AH465),$AH$2:$AH$1001,0),1)&gt;=100000,INDEX($AO$1005:$BQ$1005,1,MATCH(COLUMNS($AO$1006:BO1006),$AO$1006:$BQ$1006,0))&gt;=100000), " ",IF(INDEX($AO$2:$BQ$1001,MATCH(ROWS($AH$2:AH465),$AH$2:$AH$1001,0),MATCH(COLUMNS($AO$1006:BO1006),$AO$1006:$BQ$1006,0)), HYPERLINK("#",""), HYPERLINK(CONCATENATE("#Metadata!", ADDRESS(INDEX($AJ$2:$AJ$1001,MATCH(ROWS($AH$2:AH465),$AH$2:$AH$1001,0),0), INDEX($AO$1004:$BQ$1004,1,MATCH(COLUMNS($AO$1006:BO1006),$AO$1006:$BQ$1006,0)))),"Fix")))</f>
        <v>#N/A</v>
      </c>
      <c r="AC465" s="5" t="e">
        <f ca="1">IF(OR(INDEX($AI$2:$AI$1001,MATCH(ROWS($AH$2:AH465),$AH$2:$AH$1001,0),1)&gt;=100000,INDEX($AO$1005:$BQ$1005,1,MATCH(COLUMNS($AO$1006:BP1006),$AO$1006:$BQ$1006,0))&gt;=100000), " ",IF(INDEX($AO$2:$BQ$1001,MATCH(ROWS($AH$2:AH465),$AH$2:$AH$1001,0),MATCH(COLUMNS($AO$1006:BP1006),$AO$1006:$BQ$1006,0)), HYPERLINK("#",""), HYPERLINK(CONCATENATE("#Metadata!", ADDRESS(INDEX($AJ$2:$AJ$1001,MATCH(ROWS($AH$2:AH465),$AH$2:$AH$1001,0),0), INDEX($AO$1004:$BQ$1004,1,MATCH(COLUMNS($AO$1006:BP1006),$AO$1006:$BQ$1006,0)))),"Fix")))</f>
        <v>#N/A</v>
      </c>
      <c r="AD465" s="5" t="e">
        <f ca="1">IF(OR(INDEX($AI$2:$AI$1001,MATCH(ROWS($AH$2:AH465),$AH$2:$AH$1001,0),1)&gt;=100000,INDEX($AO$1005:$BQ$1005,1,MATCH(COLUMNS($AO$1006:BQ1006),$AO$1006:$BQ$1006,0))&gt;=100000), " ",IF(INDEX($AO$2:$BQ$1001,MATCH(ROWS($AH$2:AH465),$AH$2:$AH$1001,0),MATCH(COLUMNS($AO$1006:BQ1006),$AO$1006:$BQ$1006,0)), HYPERLINK("#",""), HYPERLINK(CONCATENATE("#Metadata!", ADDRESS(INDEX($AJ$2:$AJ$1001,MATCH(ROWS($AH$2:AH465),$AH$2:$AH$1001,0),0), INDEX($AO$1004:$BQ$1004,1,MATCH(COLUMNS($AO$1006:BQ1006),$AO$1006:$BQ$1006,0)))),"Fix")))</f>
        <v>#REF!</v>
      </c>
      <c r="AH465">
        <f ca="1"/>
        <v>462</v>
      </c>
      <c r="AI465">
        <v>100465</v>
      </c>
      <c r="AJ465">
        <v>465</v>
      </c>
      <c r="AK465" t="b">
        <f t="shared" si="7"/>
        <v>1</v>
      </c>
      <c r="AL465" t="b">
        <f>COUNTBLANK(Metadata!B465:AD465)=COLUMNS(Metadata!B465:AD465)</f>
        <v>1</v>
      </c>
      <c r="AM465" t="str">
        <v/>
      </c>
      <c r="AO465" t="b">
        <f ca="1">AND(IF(Metadata!B465="",FALSE,TRUE),COUNTIF(Metadata!B:B, Metadata!B465) = 1,NOT(ISERROR(SUMPRODUCT(SEARCH(MID(Metadata!B465,ROW(INDIRECT("1:"&amp;LEN(Metadata!B465))), 1),"0123456789abcdefghijklmnopqrstuvwxyzABCDEFGHIJKLMNOPQRSTUVWXYZ.")))))</f>
        <v>0</v>
      </c>
      <c r="AP465" t="b">
        <f>IF(Metadata!C465="",FALSE,TRUE)</f>
        <v>0</v>
      </c>
      <c r="AQ465" t="b">
        <f>IF(Metadata!D465="",FALSE,TRUE)</f>
        <v>0</v>
      </c>
      <c r="AR465" t="b">
        <f ca="1">OR(AND(IF(Metadata!E465="",FALSE,TRUE),OR(EXACT(Metadata!E465,"not collected"),EXACT(Metadata!E465,"not provided"),EXACT(Metadata!E465,"restricted access"))),AND(IF(Metadata!E465="",FALSE,TRUE),AND(AND(IFERROR(INT(LEFT(Metadata!E465,4))&gt;1900,FALSE),IFERROR(INT(LEFT(Metadata!E465,4))&lt;=YEAR(NOW()),FALSE)), OR(MID(Metadata!E465,5,1)="", AND(AND(MID(Metadata!E465,5,1)="-",IFERROR(INT(MID(Metadata!E465,6,1))&gt;=0,FALSE),IFERROR(INT(MID(Metadata!E465,6,1))&lt;=1,FALSE),NOT(MID(Metadata!E465,7,1)=""),IFERROR(INT(MID(Metadata!E465,6,2))&gt;=1,FALSE),IFERROR(INT(MID(Metadata!E465,6,2))&lt;=12,FALSE)), OR(MID(Metadata!E465,8,1)="", AND(AND(MID(Metadata!E465,8,1)="-",IFERROR(INT(MID(Metadata!E465,9,1))&gt;=0,FALSE),IFERROR(INT(MID(Metadata!E465,9,1))&lt;=3,FALSE),NOT(MID(Metadata!E465,10,1)=""),IFERROR(INT(MID(Metadata!E465,9,2))&gt;=1,FALSE),IFERROR(INT(MID(Metadata!E465,9,2))&lt;=31,FALSE)), OR(MID(Metadata!E465,11,1)="", AND(AND(MID(Metadata!E465,11,1)=" ",IFERROR(INT(MID(Metadata!E465,12,1))&gt;=0,FALSE),IFERROR(INT(MID(Metadata!E465,12,1))&lt;=2,FALSE),NOT(MID(Metadata!E465,13,1)=""),IFERROR(INT(MID(Metadata!E465,12,2))&gt;=0,FALSE),IFERROR(INT(MID(Metadata!E465,12,2))&lt;=23,FALSE)), OR(MID(Metadata!E465,14,1)="", AND(AND(MID(Metadata!E465,14,1)=":",IFERROR(INT(MID(Metadata!E465,15,1))&gt;=0,FALSE),IFERROR(INT(MID(Metadata!E465,15,1))&lt;=5,FALSE),NOT(MID(Metadata!E465,16,1)=""),IFERROR(INT(MID(Metadata!E465,15,2))&gt;=0,FALSE),IFERROR(INT(MID(Metadata!E465,15,2))&lt;=59,FALSE)), OR(MID(Metadata!E465,17,1)="", AND(AND(MID(Metadata!E465,17,1)=":",IFERROR(INT(MID(Metadata!E465,18,1))&gt;=0,FALSE),IFERROR(INT(MID(Metadata!E465,18,1))&lt;=5,FALSE),NOT(MID(Metadata!E465,19,1)=""),IFERROR(INT(MID(Metadata!E465,18,2))&gt;=0,FALSE),IFERROR(INT(MID(Metadata!E465,18,2))&lt;=59,FALSE)), LEN(Metadata!E465)&lt;=19)))))))))))))</f>
        <v>0</v>
      </c>
      <c r="AS465" t="b">
        <f>IF(Metadata!F465="",FALSE,TRUE)</f>
        <v>0</v>
      </c>
      <c r="AT465" t="b">
        <f>OR(AND(IF(Metadata!G465="",FALSE,TRUE),OR(EXACT(Metadata!G465,"not collected"),EXACT(Metadata!G465,"not provided"))),AND(IF(Metadata!G465="",FALSE,TRUE),OR(EXACT(Metadata!G465,"TRUE"),EXACT(Metadata!G465,"FALSE"))))</f>
        <v>0</v>
      </c>
      <c r="AU465" t="b">
        <f>OR(AND(IF(Metadata!H465="",FALSE,TRUE),OR(EXACT(Metadata!H465,"not collected"),EXACT(Metadata!H465,"not provided"),EXACT(Metadata!H465,"restricted access"))),AND(IF(Metadata!H465="",FALSE,ISNUMBER(VALUE(Metadata!H465))),Metadata!H465&gt;=-413))</f>
        <v>0</v>
      </c>
      <c r="AV465" t="b">
        <f>AND(IF(Metadata!I465="",FALSE,TRUE),EXACT(Metadata!I465,"meters"))</f>
        <v>0</v>
      </c>
      <c r="AW465" t="b">
        <f>AND(IF(Metadata!J465="",FALSE,TRUE),EXACT(Metadata!J465,"free-living"))</f>
        <v>0</v>
      </c>
      <c r="AX465" t="b">
        <f>AND(IF(Metadata!K465="",FALSE,TRUE),OR(EXACT(Metadata!K465,"saline"),EXACT(Metadata!K465,"non-saline")))</f>
        <v>0</v>
      </c>
      <c r="AY465" t="b">
        <f>AND(IF(Metadata!L465="",FALSE,TRUE),OR(EXACT(Metadata!L465,"sub-surface (non-saline)"),EXACT(Metadata!L465,"surface (non-saline)"),EXACT(Metadata!L465,"water (non-saline)"),EXACT(Metadata!L465,"soil (non-saline)"),EXACT(Metadata!L465,"aerosol (non-saline)"),EXACT(Metadata!L465,"sediment (non-saline)"),EXACT(Metadata!L465,"surface (saline)"),EXACT(Metadata!L465,"water (saline)"),EXACT(Metadata!L465,"hypersaline (saline)"),EXACT(Metadata!L465,"aerosol (saline)"),EXACT(Metadata!L465,"sediment (saline)")))</f>
        <v>0</v>
      </c>
      <c r="AZ465" t="b">
        <f>IF(Metadata!M465="",FALSE,TRUE)</f>
        <v>0</v>
      </c>
      <c r="BA465" t="b">
        <f>IF(Metadata!N465="",FALSE,TRUE)</f>
        <v>0</v>
      </c>
      <c r="BB465" t="b">
        <f>IF(Metadata!O465="",FALSE,TRUE)</f>
        <v>0</v>
      </c>
      <c r="BC465" t="b">
        <f>AND(IF(Metadata!P465="",FALSE,TRUE),OR(EXACT(Metadata!P465,"air"),EXACT(Metadata!P465,"microbial mat/biofilm"),EXACT(Metadata!P465,"misc environment"),EXACT(Metadata!P465,"sediment"),EXACT(Metadata!P465,"soil"),EXACT(Metadata!P465,"wastewater/sludge"),EXACT(Metadata!P465,"water")))</f>
        <v>0</v>
      </c>
      <c r="BD465" t="b">
        <f>IF(Metadata!Q465="",FALSE,TRUE)</f>
        <v>0</v>
      </c>
      <c r="BE465" t="b">
        <f>IF(Metadata!R465="",FALSE,TRUE)</f>
        <v>0</v>
      </c>
      <c r="BF465" t="b">
        <f>OR(AND(IF(Metadata!S465="",FALSE,TRUE),OR(EXACT(Metadata!S465,"not collected"),EXACT(Metadata!S465,"not provided"),EXACT(Metadata!S465,"restricted access"))),AND(IF(Metadata!S465="",FALSE,ISNUMBER(VALUE(Metadata!S465))),Metadata!S465&gt;=-90,Metadata!S465&lt;=90))</f>
        <v>0</v>
      </c>
      <c r="BG465" t="b">
        <f>AND(IF(Metadata!T465="",FALSE,TRUE),EXACT(Metadata!T465,"Decimal degrees"))</f>
        <v>0</v>
      </c>
      <c r="BH465" t="b">
        <f>OR(AND(IF(Metadata!U465="",FALSE,TRUE),OR(EXACT(Metadata!U465,"not applicable"),EXACT(Metadata!U465,"not collected"))),IF(Metadata!U465="",FALSE,TRUE))</f>
        <v>0</v>
      </c>
      <c r="BI465" t="b">
        <f>OR(AND(IF(Metadata!V465="",FALSE,TRUE),OR(EXACT(Metadata!V465,"not collected"),EXACT(Metadata!V465,"not provided"),EXACT(Metadata!V465,"restricted access"))),AND(IF(Metadata!V465="",FALSE,ISNUMBER(VALUE(Metadata!V465))),Metadata!V465&gt;=-180,Metadata!V465&lt;=180))</f>
        <v>0</v>
      </c>
      <c r="BJ465" t="b">
        <f>AND(IF(Metadata!W465="",FALSE,TRUE),EXACT(Metadata!W465,"Decimal degrees"))</f>
        <v>0</v>
      </c>
      <c r="BK465" t="b">
        <f>IF(Metadata!X465="",FALSE,TRUE)</f>
        <v>0</v>
      </c>
      <c r="BL465" t="b">
        <f>OR(AND(IF(Metadata!Y465="",FALSE,TRUE),OR(EXACT(Metadata!Y465,"not collected"),EXACT(Metadata!Y465,"not provided"),EXACT(Metadata!Y465,"restricted access"))),AND(IF(Metadata!Y465="",FALSE,TRUE),OR(EXACT(Metadata!Y465,"TRUE"),EXACT(Metadata!Y465,"FALSE"))))</f>
        <v>0</v>
      </c>
      <c r="BM465" t="b">
        <f>OR(AND(IF(Metadata!Z465="",FALSE,TRUE),EXACT(Metadata!Z465,"not applicable")),AND(IF(Metadata!Z465="",FALSE,TRUE),OR(EXACT(Metadata!Z465,"beer"),EXACT(Metadata!Z465,"cheese"),EXACT(Metadata!Z465,"fresh water"),EXACT(Metadata!Z465,"marine sediment"),EXACT(Metadata!Z465,"sea water"),EXACT(Metadata!Z465,"sediment"),EXACT(Metadata!Z465,"soil"),EXACT(Metadata!Z465,"waste water"))))</f>
        <v>0</v>
      </c>
      <c r="BN465" t="b">
        <f>AND(IF(Metadata!AA465="",FALSE,TRUE),EXACT(Metadata!AA465,"metagenome"))</f>
        <v>0</v>
      </c>
      <c r="BO465" t="b">
        <f>AND(IF(Metadata!AB465="",FALSE,TRUE),EXACT(Metadata!AB465,"256318"))</f>
        <v>0</v>
      </c>
      <c r="BP465" t="b">
        <f>IF(Metadata!AC465="",FALSE,TRUE)</f>
        <v>0</v>
      </c>
      <c r="BQ465" t="b">
        <f>IF(Metadata!AD465="",FALSE,TRUE)</f>
        <v>0</v>
      </c>
    </row>
    <row r="466" spans="1:69" x14ac:dyDescent="0.2">
      <c r="A466" s="4" t="e">
        <f ca="1">IF(B466=" "," ",HYPERLINK(CONCATENATE("#metadata!",ADDRESS(INDEX($AJ$2:$AJ$1001,MATCH(ROWS($AH$2:AH466),$AH$2:$AH$1001,0),0),2)),INDEX($AM$2:$AM$1001,MATCH(ROWS($AH$2:AH466),$AH$2:$AH$1001,0),0)))</f>
        <v>#N/A</v>
      </c>
      <c r="B466" s="5" t="e">
        <f ca="1">IF(OR(INDEX($AI$2:$AI$1001,MATCH(ROWS($AH$2:AH466),$AH$2:$AH$1001,0),1)&gt;=100000,INDEX($AO$1005:$BQ$1005,1,MATCH(COLUMNS($AO$1006:AO1006),$AO$1006:$BQ$1006,0))&gt;=100000), " ",IF(INDEX($AO$2:$BQ$1001,MATCH(ROWS($AH$2:AH466),$AH$2:$AH$1001,0),MATCH(COLUMNS($AO$1006:AO1006),$AO$1006:$BQ$1006,0)), HYPERLINK("#",""), HYPERLINK(CONCATENATE("#Metadata!", ADDRESS(INDEX($AJ$2:$AJ$1001,MATCH(ROWS($AH$2:AH466),$AH$2:$AH$1001,0),0), INDEX($AO$1004:$BQ$1004,1,MATCH(COLUMNS($AO$1006:AO1006),$AO$1006:$BQ$1006,0)))),"Fix")))</f>
        <v>#N/A</v>
      </c>
      <c r="C466" s="5" t="e">
        <f ca="1">IF(OR(INDEX($AI$2:$AI$1001,MATCH(ROWS($AH$2:AH466),$AH$2:$AH$1001,0),1)&gt;=100000,INDEX($AO$1005:$BQ$1005,1,MATCH(COLUMNS($AO$1006:AP1006),$AO$1006:$BQ$1006,0))&gt;=100000), " ",IF(INDEX($AO$2:$BQ$1001,MATCH(ROWS($AH$2:AH466),$AH$2:$AH$1001,0),MATCH(COLUMNS($AO$1006:AP1006),$AO$1006:$BQ$1006,0)), HYPERLINK("#",""), HYPERLINK(CONCATENATE("#Metadata!", ADDRESS(INDEX($AJ$2:$AJ$1001,MATCH(ROWS($AH$2:AH466),$AH$2:$AH$1001,0),0), INDEX($AO$1004:$BQ$1004,1,MATCH(COLUMNS($AO$1006:AP1006),$AO$1006:$BQ$1006,0)))),"Fix")))</f>
        <v>#N/A</v>
      </c>
      <c r="D466" s="5" t="e">
        <f ca="1">IF(OR(INDEX($AI$2:$AI$1001,MATCH(ROWS($AH$2:AH466),$AH$2:$AH$1001,0),1)&gt;=100000,INDEX($AO$1005:$BQ$1005,1,MATCH(COLUMNS($AO$1006:AQ1006),$AO$1006:$BQ$1006,0))&gt;=100000), " ",IF(INDEX($AO$2:$BQ$1001,MATCH(ROWS($AH$2:AH466),$AH$2:$AH$1001,0),MATCH(COLUMNS($AO$1006:AQ1006),$AO$1006:$BQ$1006,0)), HYPERLINK("#",""), HYPERLINK(CONCATENATE("#Metadata!", ADDRESS(INDEX($AJ$2:$AJ$1001,MATCH(ROWS($AH$2:AH466),$AH$2:$AH$1001,0),0), INDEX($AO$1004:$BQ$1004,1,MATCH(COLUMNS($AO$1006:AQ1006),$AO$1006:$BQ$1006,0)))),"Fix")))</f>
        <v>#N/A</v>
      </c>
      <c r="E466" s="5" t="e">
        <f ca="1">IF(OR(INDEX($AI$2:$AI$1001,MATCH(ROWS($AH$2:AH466),$AH$2:$AH$1001,0),1)&gt;=100000,INDEX($AO$1005:$BQ$1005,1,MATCH(COLUMNS($AO$1006:AR1006),$AO$1006:$BQ$1006,0))&gt;=100000), " ",IF(INDEX($AO$2:$BQ$1001,MATCH(ROWS($AH$2:AH466),$AH$2:$AH$1001,0),MATCH(COLUMNS($AO$1006:AR1006),$AO$1006:$BQ$1006,0)), HYPERLINK("#",""), HYPERLINK(CONCATENATE("#Metadata!", ADDRESS(INDEX($AJ$2:$AJ$1001,MATCH(ROWS($AH$2:AH466),$AH$2:$AH$1001,0),0), INDEX($AO$1004:$BQ$1004,1,MATCH(COLUMNS($AO$1006:AR1006),$AO$1006:$BQ$1006,0)))),"Fix")))</f>
        <v>#N/A</v>
      </c>
      <c r="F466" s="5" t="e">
        <f ca="1">IF(OR(INDEX($AI$2:$AI$1001,MATCH(ROWS($AH$2:AH466),$AH$2:$AH$1001,0),1)&gt;=100000,INDEX($AO$1005:$BQ$1005,1,MATCH(COLUMNS($AO$1006:AS1006),$AO$1006:$BQ$1006,0))&gt;=100000), " ",IF(INDEX($AO$2:$BQ$1001,MATCH(ROWS($AH$2:AH466),$AH$2:$AH$1001,0),MATCH(COLUMNS($AO$1006:AS1006),$AO$1006:$BQ$1006,0)), HYPERLINK("#",""), HYPERLINK(CONCATENATE("#Metadata!", ADDRESS(INDEX($AJ$2:$AJ$1001,MATCH(ROWS($AH$2:AH466),$AH$2:$AH$1001,0),0), INDEX($AO$1004:$BQ$1004,1,MATCH(COLUMNS($AO$1006:AS1006),$AO$1006:$BQ$1006,0)))),"Fix")))</f>
        <v>#N/A</v>
      </c>
      <c r="G466" s="5" t="e">
        <f ca="1">IF(OR(INDEX($AI$2:$AI$1001,MATCH(ROWS($AH$2:AH466),$AH$2:$AH$1001,0),1)&gt;=100000,INDEX($AO$1005:$BQ$1005,1,MATCH(COLUMNS($AO$1006:AT1006),$AO$1006:$BQ$1006,0))&gt;=100000), " ",IF(INDEX($AO$2:$BQ$1001,MATCH(ROWS($AH$2:AH466),$AH$2:$AH$1001,0),MATCH(COLUMNS($AO$1006:AT1006),$AO$1006:$BQ$1006,0)), HYPERLINK("#",""), HYPERLINK(CONCATENATE("#Metadata!", ADDRESS(INDEX($AJ$2:$AJ$1001,MATCH(ROWS($AH$2:AH466),$AH$2:$AH$1001,0),0), INDEX($AO$1004:$BQ$1004,1,MATCH(COLUMNS($AO$1006:AT1006),$AO$1006:$BQ$1006,0)))),"Fix")))</f>
        <v>#N/A</v>
      </c>
      <c r="H466" s="5" t="e">
        <f ca="1">IF(OR(INDEX($AI$2:$AI$1001,MATCH(ROWS($AH$2:AH466),$AH$2:$AH$1001,0),1)&gt;=100000,INDEX($AO$1005:$BQ$1005,1,MATCH(COLUMNS($AO$1006:AU1006),$AO$1006:$BQ$1006,0))&gt;=100000), " ",IF(INDEX($AO$2:$BQ$1001,MATCH(ROWS($AH$2:AH466),$AH$2:$AH$1001,0),MATCH(COLUMNS($AO$1006:AU1006),$AO$1006:$BQ$1006,0)), HYPERLINK("#",""), HYPERLINK(CONCATENATE("#Metadata!", ADDRESS(INDEX($AJ$2:$AJ$1001,MATCH(ROWS($AH$2:AH466),$AH$2:$AH$1001,0),0), INDEX($AO$1004:$BQ$1004,1,MATCH(COLUMNS($AO$1006:AU1006),$AO$1006:$BQ$1006,0)))),"Fix")))</f>
        <v>#N/A</v>
      </c>
      <c r="I466" s="5" t="e">
        <f ca="1">IF(OR(INDEX($AI$2:$AI$1001,MATCH(ROWS($AH$2:AH466),$AH$2:$AH$1001,0),1)&gt;=100000,INDEX($AO$1005:$BQ$1005,1,MATCH(COLUMNS($AO$1006:AV1006),$AO$1006:$BQ$1006,0))&gt;=100000), " ",IF(INDEX($AO$2:$BQ$1001,MATCH(ROWS($AH$2:AH466),$AH$2:$AH$1001,0),MATCH(COLUMNS($AO$1006:AV1006),$AO$1006:$BQ$1006,0)), HYPERLINK("#",""), HYPERLINK(CONCATENATE("#Metadata!", ADDRESS(INDEX($AJ$2:$AJ$1001,MATCH(ROWS($AH$2:AH466),$AH$2:$AH$1001,0),0), INDEX($AO$1004:$BQ$1004,1,MATCH(COLUMNS($AO$1006:AV1006),$AO$1006:$BQ$1006,0)))),"Fix")))</f>
        <v>#N/A</v>
      </c>
      <c r="J466" s="5" t="e">
        <f ca="1">IF(OR(INDEX($AI$2:$AI$1001,MATCH(ROWS($AH$2:AH466),$AH$2:$AH$1001,0),1)&gt;=100000,INDEX($AO$1005:$BQ$1005,1,MATCH(COLUMNS($AO$1006:AW1006),$AO$1006:$BQ$1006,0))&gt;=100000), " ",IF(INDEX($AO$2:$BQ$1001,MATCH(ROWS($AH$2:AH466),$AH$2:$AH$1001,0),MATCH(COLUMNS($AO$1006:AW1006),$AO$1006:$BQ$1006,0)), HYPERLINK("#",""), HYPERLINK(CONCATENATE("#Metadata!", ADDRESS(INDEX($AJ$2:$AJ$1001,MATCH(ROWS($AH$2:AH466),$AH$2:$AH$1001,0),0), INDEX($AO$1004:$BQ$1004,1,MATCH(COLUMNS($AO$1006:AW1006),$AO$1006:$BQ$1006,0)))),"Fix")))</f>
        <v>#N/A</v>
      </c>
      <c r="K466" s="5" t="e">
        <f ca="1">IF(OR(INDEX($AI$2:$AI$1001,MATCH(ROWS($AH$2:AH466),$AH$2:$AH$1001,0),1)&gt;=100000,INDEX($AO$1005:$BQ$1005,1,MATCH(COLUMNS($AO$1006:AX1006),$AO$1006:$BQ$1006,0))&gt;=100000), " ",IF(INDEX($AO$2:$BQ$1001,MATCH(ROWS($AH$2:AH466),$AH$2:$AH$1001,0),MATCH(COLUMNS($AO$1006:AX1006),$AO$1006:$BQ$1006,0)), HYPERLINK("#",""), HYPERLINK(CONCATENATE("#Metadata!", ADDRESS(INDEX($AJ$2:$AJ$1001,MATCH(ROWS($AH$2:AH466),$AH$2:$AH$1001,0),0), INDEX($AO$1004:$BQ$1004,1,MATCH(COLUMNS($AO$1006:AX1006),$AO$1006:$BQ$1006,0)))),"Fix")))</f>
        <v>#N/A</v>
      </c>
      <c r="L466" s="5" t="e">
        <f ca="1">IF(OR(INDEX($AI$2:$AI$1001,MATCH(ROWS($AH$2:AH466),$AH$2:$AH$1001,0),1)&gt;=100000,INDEX($AO$1005:$BQ$1005,1,MATCH(COLUMNS($AO$1006:AY1006),$AO$1006:$BQ$1006,0))&gt;=100000), " ",IF(INDEX($AO$2:$BQ$1001,MATCH(ROWS($AH$2:AH466),$AH$2:$AH$1001,0),MATCH(COLUMNS($AO$1006:AY1006),$AO$1006:$BQ$1006,0)), HYPERLINK("#",""), HYPERLINK(CONCATENATE("#Metadata!", ADDRESS(INDEX($AJ$2:$AJ$1001,MATCH(ROWS($AH$2:AH466),$AH$2:$AH$1001,0),0), INDEX($AO$1004:$BQ$1004,1,MATCH(COLUMNS($AO$1006:AY1006),$AO$1006:$BQ$1006,0)))),"Fix")))</f>
        <v>#N/A</v>
      </c>
      <c r="M466" s="5" t="e">
        <f ca="1">IF(OR(INDEX($AI$2:$AI$1001,MATCH(ROWS($AH$2:AH466),$AH$2:$AH$1001,0),1)&gt;=100000,INDEX($AO$1005:$BQ$1005,1,MATCH(COLUMNS($AO$1006:AZ1006),$AO$1006:$BQ$1006,0))&gt;=100000), " ",IF(INDEX($AO$2:$BQ$1001,MATCH(ROWS($AH$2:AH466),$AH$2:$AH$1001,0),MATCH(COLUMNS($AO$1006:AZ1006),$AO$1006:$BQ$1006,0)), HYPERLINK("#",""), HYPERLINK(CONCATENATE("#Metadata!", ADDRESS(INDEX($AJ$2:$AJ$1001,MATCH(ROWS($AH$2:AH466),$AH$2:$AH$1001,0),0), INDEX($AO$1004:$BQ$1004,1,MATCH(COLUMNS($AO$1006:AZ1006),$AO$1006:$BQ$1006,0)))),"Fix")))</f>
        <v>#N/A</v>
      </c>
      <c r="N466" s="5" t="e">
        <f ca="1">IF(OR(INDEX($AI$2:$AI$1001,MATCH(ROWS($AH$2:AH466),$AH$2:$AH$1001,0),1)&gt;=100000,INDEX($AO$1005:$BQ$1005,1,MATCH(COLUMNS($AO$1006:BA1006),$AO$1006:$BQ$1006,0))&gt;=100000), " ",IF(INDEX($AO$2:$BQ$1001,MATCH(ROWS($AH$2:AH466),$AH$2:$AH$1001,0),MATCH(COLUMNS($AO$1006:BA1006),$AO$1006:$BQ$1006,0)), HYPERLINK("#",""), HYPERLINK(CONCATENATE("#Metadata!", ADDRESS(INDEX($AJ$2:$AJ$1001,MATCH(ROWS($AH$2:AH466),$AH$2:$AH$1001,0),0), INDEX($AO$1004:$BQ$1004,1,MATCH(COLUMNS($AO$1006:BA1006),$AO$1006:$BQ$1006,0)))),"Fix")))</f>
        <v>#N/A</v>
      </c>
      <c r="O466" s="5" t="e">
        <f ca="1">IF(OR(INDEX($AI$2:$AI$1001,MATCH(ROWS($AH$2:AH466),$AH$2:$AH$1001,0),1)&gt;=100000,INDEX($AO$1005:$BQ$1005,1,MATCH(COLUMNS($AO$1006:BB1006),$AO$1006:$BQ$1006,0))&gt;=100000), " ",IF(INDEX($AO$2:$BQ$1001,MATCH(ROWS($AH$2:AH466),$AH$2:$AH$1001,0),MATCH(COLUMNS($AO$1006:BB1006),$AO$1006:$BQ$1006,0)), HYPERLINK("#",""), HYPERLINK(CONCATENATE("#Metadata!", ADDRESS(INDEX($AJ$2:$AJ$1001,MATCH(ROWS($AH$2:AH466),$AH$2:$AH$1001,0),0), INDEX($AO$1004:$BQ$1004,1,MATCH(COLUMNS($AO$1006:BB1006),$AO$1006:$BQ$1006,0)))),"Fix")))</f>
        <v>#N/A</v>
      </c>
      <c r="P466" s="5" t="e">
        <f ca="1">IF(OR(INDEX($AI$2:$AI$1001,MATCH(ROWS($AH$2:AH466),$AH$2:$AH$1001,0),1)&gt;=100000,INDEX($AO$1005:$BQ$1005,1,MATCH(COLUMNS($AO$1006:BC1006),$AO$1006:$BQ$1006,0))&gt;=100000), " ",IF(INDEX($AO$2:$BQ$1001,MATCH(ROWS($AH$2:AH466),$AH$2:$AH$1001,0),MATCH(COLUMNS($AO$1006:BC1006),$AO$1006:$BQ$1006,0)), HYPERLINK("#",""), HYPERLINK(CONCATENATE("#Metadata!", ADDRESS(INDEX($AJ$2:$AJ$1001,MATCH(ROWS($AH$2:AH466),$AH$2:$AH$1001,0),0), INDEX($AO$1004:$BQ$1004,1,MATCH(COLUMNS($AO$1006:BC1006),$AO$1006:$BQ$1006,0)))),"Fix")))</f>
        <v>#N/A</v>
      </c>
      <c r="Q466" s="5" t="e">
        <f ca="1">IF(OR(INDEX($AI$2:$AI$1001,MATCH(ROWS($AH$2:AH466),$AH$2:$AH$1001,0),1)&gt;=100000,INDEX($AO$1005:$BQ$1005,1,MATCH(COLUMNS($AO$1006:BD1006),$AO$1006:$BQ$1006,0))&gt;=100000), " ",IF(INDEX($AO$2:$BQ$1001,MATCH(ROWS($AH$2:AH466),$AH$2:$AH$1001,0),MATCH(COLUMNS($AO$1006:BD1006),$AO$1006:$BQ$1006,0)), HYPERLINK("#",""), HYPERLINK(CONCATENATE("#Metadata!", ADDRESS(INDEX($AJ$2:$AJ$1001,MATCH(ROWS($AH$2:AH466),$AH$2:$AH$1001,0),0), INDEX($AO$1004:$BQ$1004,1,MATCH(COLUMNS($AO$1006:BD1006),$AO$1006:$BQ$1006,0)))),"Fix")))</f>
        <v>#N/A</v>
      </c>
      <c r="R466" s="5" t="e">
        <f ca="1">IF(OR(INDEX($AI$2:$AI$1001,MATCH(ROWS($AH$2:AH466),$AH$2:$AH$1001,0),1)&gt;=100000,INDEX($AO$1005:$BQ$1005,1,MATCH(COLUMNS($AO$1006:BE1006),$AO$1006:$BQ$1006,0))&gt;=100000), " ",IF(INDEX($AO$2:$BQ$1001,MATCH(ROWS($AH$2:AH466),$AH$2:$AH$1001,0),MATCH(COLUMNS($AO$1006:BE1006),$AO$1006:$BQ$1006,0)), HYPERLINK("#",""), HYPERLINK(CONCATENATE("#Metadata!", ADDRESS(INDEX($AJ$2:$AJ$1001,MATCH(ROWS($AH$2:AH466),$AH$2:$AH$1001,0),0), INDEX($AO$1004:$BQ$1004,1,MATCH(COLUMNS($AO$1006:BE1006),$AO$1006:$BQ$1006,0)))),"Fix")))</f>
        <v>#N/A</v>
      </c>
      <c r="S466" s="5" t="e">
        <f ca="1">IF(OR(INDEX($AI$2:$AI$1001,MATCH(ROWS($AH$2:AH466),$AH$2:$AH$1001,0),1)&gt;=100000,INDEX($AO$1005:$BQ$1005,1,MATCH(COLUMNS($AO$1006:BF1006),$AO$1006:$BQ$1006,0))&gt;=100000), " ",IF(INDEX($AO$2:$BQ$1001,MATCH(ROWS($AH$2:AH466),$AH$2:$AH$1001,0),MATCH(COLUMNS($AO$1006:BF1006),$AO$1006:$BQ$1006,0)), HYPERLINK("#",""), HYPERLINK(CONCATENATE("#Metadata!", ADDRESS(INDEX($AJ$2:$AJ$1001,MATCH(ROWS($AH$2:AH466),$AH$2:$AH$1001,0),0), INDEX($AO$1004:$BQ$1004,1,MATCH(COLUMNS($AO$1006:BF1006),$AO$1006:$BQ$1006,0)))),"Fix")))</f>
        <v>#N/A</v>
      </c>
      <c r="T466" s="5" t="e">
        <f ca="1">IF(OR(INDEX($AI$2:$AI$1001,MATCH(ROWS($AH$2:AH466),$AH$2:$AH$1001,0),1)&gt;=100000,INDEX($AO$1005:$BQ$1005,1,MATCH(COLUMNS($AO$1006:BG1006),$AO$1006:$BQ$1006,0))&gt;=100000), " ",IF(INDEX($AO$2:$BQ$1001,MATCH(ROWS($AH$2:AH466),$AH$2:$AH$1001,0),MATCH(COLUMNS($AO$1006:BG1006),$AO$1006:$BQ$1006,0)), HYPERLINK("#",""), HYPERLINK(CONCATENATE("#Metadata!", ADDRESS(INDEX($AJ$2:$AJ$1001,MATCH(ROWS($AH$2:AH466),$AH$2:$AH$1001,0),0), INDEX($AO$1004:$BQ$1004,1,MATCH(COLUMNS($AO$1006:BG1006),$AO$1006:$BQ$1006,0)))),"Fix")))</f>
        <v>#N/A</v>
      </c>
      <c r="U466" s="5" t="e">
        <f ca="1">IF(OR(INDEX($AI$2:$AI$1001,MATCH(ROWS($AH$2:AH466),$AH$2:$AH$1001,0),1)&gt;=100000,INDEX($AO$1005:$BQ$1005,1,MATCH(COLUMNS($AO$1006:BH1006),$AO$1006:$BQ$1006,0))&gt;=100000), " ",IF(INDEX($AO$2:$BQ$1001,MATCH(ROWS($AH$2:AH466),$AH$2:$AH$1001,0),MATCH(COLUMNS($AO$1006:BH1006),$AO$1006:$BQ$1006,0)), HYPERLINK("#",""), HYPERLINK(CONCATENATE("#Metadata!", ADDRESS(INDEX($AJ$2:$AJ$1001,MATCH(ROWS($AH$2:AH466),$AH$2:$AH$1001,0),0), INDEX($AO$1004:$BQ$1004,1,MATCH(COLUMNS($AO$1006:BH1006),$AO$1006:$BQ$1006,0)))),"Fix")))</f>
        <v>#N/A</v>
      </c>
      <c r="V466" s="5" t="e">
        <f ca="1">IF(OR(INDEX($AI$2:$AI$1001,MATCH(ROWS($AH$2:AH466),$AH$2:$AH$1001,0),1)&gt;=100000,INDEX($AO$1005:$BQ$1005,1,MATCH(COLUMNS($AO$1006:BI1006),$AO$1006:$BQ$1006,0))&gt;=100000), " ",IF(INDEX($AO$2:$BQ$1001,MATCH(ROWS($AH$2:AH466),$AH$2:$AH$1001,0),MATCH(COLUMNS($AO$1006:BI1006),$AO$1006:$BQ$1006,0)), HYPERLINK("#",""), HYPERLINK(CONCATENATE("#Metadata!", ADDRESS(INDEX($AJ$2:$AJ$1001,MATCH(ROWS($AH$2:AH466),$AH$2:$AH$1001,0),0), INDEX($AO$1004:$BQ$1004,1,MATCH(COLUMNS($AO$1006:BI1006),$AO$1006:$BQ$1006,0)))),"Fix")))</f>
        <v>#N/A</v>
      </c>
      <c r="W466" s="5" t="e">
        <f ca="1">IF(OR(INDEX($AI$2:$AI$1001,MATCH(ROWS($AH$2:AH466),$AH$2:$AH$1001,0),1)&gt;=100000,INDEX($AO$1005:$BQ$1005,1,MATCH(COLUMNS($AO$1006:BJ1006),$AO$1006:$BQ$1006,0))&gt;=100000), " ",IF(INDEX($AO$2:$BQ$1001,MATCH(ROWS($AH$2:AH466),$AH$2:$AH$1001,0),MATCH(COLUMNS($AO$1006:BJ1006),$AO$1006:$BQ$1006,0)), HYPERLINK("#",""), HYPERLINK(CONCATENATE("#Metadata!", ADDRESS(INDEX($AJ$2:$AJ$1001,MATCH(ROWS($AH$2:AH466),$AH$2:$AH$1001,0),0), INDEX($AO$1004:$BQ$1004,1,MATCH(COLUMNS($AO$1006:BJ1006),$AO$1006:$BQ$1006,0)))),"Fix")))</f>
        <v>#N/A</v>
      </c>
      <c r="X466" s="5" t="e">
        <f ca="1">IF(OR(INDEX($AI$2:$AI$1001,MATCH(ROWS($AH$2:AH466),$AH$2:$AH$1001,0),1)&gt;=100000,INDEX($AO$1005:$BQ$1005,1,MATCH(COLUMNS($AO$1006:BK1006),$AO$1006:$BQ$1006,0))&gt;=100000), " ",IF(INDEX($AO$2:$BQ$1001,MATCH(ROWS($AH$2:AH466),$AH$2:$AH$1001,0),MATCH(COLUMNS($AO$1006:BK1006),$AO$1006:$BQ$1006,0)), HYPERLINK("#",""), HYPERLINK(CONCATENATE("#Metadata!", ADDRESS(INDEX($AJ$2:$AJ$1001,MATCH(ROWS($AH$2:AH466),$AH$2:$AH$1001,0),0), INDEX($AO$1004:$BQ$1004,1,MATCH(COLUMNS($AO$1006:BK1006),$AO$1006:$BQ$1006,0)))),"Fix")))</f>
        <v>#N/A</v>
      </c>
      <c r="Y466" s="5" t="e">
        <f ca="1">IF(OR(INDEX($AI$2:$AI$1001,MATCH(ROWS($AH$2:AH466),$AH$2:$AH$1001,0),1)&gt;=100000,INDEX($AO$1005:$BQ$1005,1,MATCH(COLUMNS($AO$1006:BL1006),$AO$1006:$BQ$1006,0))&gt;=100000), " ",IF(INDEX($AO$2:$BQ$1001,MATCH(ROWS($AH$2:AH466),$AH$2:$AH$1001,0),MATCH(COLUMNS($AO$1006:BL1006),$AO$1006:$BQ$1006,0)), HYPERLINK("#",""), HYPERLINK(CONCATENATE("#Metadata!", ADDRESS(INDEX($AJ$2:$AJ$1001,MATCH(ROWS($AH$2:AH466),$AH$2:$AH$1001,0),0), INDEX($AO$1004:$BQ$1004,1,MATCH(COLUMNS($AO$1006:BL1006),$AO$1006:$BQ$1006,0)))),"Fix")))</f>
        <v>#N/A</v>
      </c>
      <c r="Z466" s="5" t="e">
        <f ca="1">IF(OR(INDEX($AI$2:$AI$1001,MATCH(ROWS($AH$2:AH466),$AH$2:$AH$1001,0),1)&gt;=100000,INDEX($AO$1005:$BQ$1005,1,MATCH(COLUMNS($AO$1006:BM1006),$AO$1006:$BQ$1006,0))&gt;=100000), " ",IF(INDEX($AO$2:$BQ$1001,MATCH(ROWS($AH$2:AH466),$AH$2:$AH$1001,0),MATCH(COLUMNS($AO$1006:BM1006),$AO$1006:$BQ$1006,0)), HYPERLINK("#",""), HYPERLINK(CONCATENATE("#Metadata!", ADDRESS(INDEX($AJ$2:$AJ$1001,MATCH(ROWS($AH$2:AH466),$AH$2:$AH$1001,0),0), INDEX($AO$1004:$BQ$1004,1,MATCH(COLUMNS($AO$1006:BM1006),$AO$1006:$BQ$1006,0)))),"Fix")))</f>
        <v>#N/A</v>
      </c>
      <c r="AA466" s="5" t="e">
        <f ca="1">IF(OR(INDEX($AI$2:$AI$1001,MATCH(ROWS($AH$2:AH466),$AH$2:$AH$1001,0),1)&gt;=100000,INDEX($AO$1005:$BQ$1005,1,MATCH(COLUMNS($AO$1006:BN1006),$AO$1006:$BQ$1006,0))&gt;=100000), " ",IF(INDEX($AO$2:$BQ$1001,MATCH(ROWS($AH$2:AH466),$AH$2:$AH$1001,0),MATCH(COLUMNS($AO$1006:BN1006),$AO$1006:$BQ$1006,0)), HYPERLINK("#",""), HYPERLINK(CONCATENATE("#Metadata!", ADDRESS(INDEX($AJ$2:$AJ$1001,MATCH(ROWS($AH$2:AH466),$AH$2:$AH$1001,0),0), INDEX($AO$1004:$BQ$1004,1,MATCH(COLUMNS($AO$1006:BN1006),$AO$1006:$BQ$1006,0)))),"Fix")))</f>
        <v>#N/A</v>
      </c>
      <c r="AB466" s="5" t="e">
        <f ca="1">IF(OR(INDEX($AI$2:$AI$1001,MATCH(ROWS($AH$2:AH466),$AH$2:$AH$1001,0),1)&gt;=100000,INDEX($AO$1005:$BQ$1005,1,MATCH(COLUMNS($AO$1006:BO1006),$AO$1006:$BQ$1006,0))&gt;=100000), " ",IF(INDEX($AO$2:$BQ$1001,MATCH(ROWS($AH$2:AH466),$AH$2:$AH$1001,0),MATCH(COLUMNS($AO$1006:BO1006),$AO$1006:$BQ$1006,0)), HYPERLINK("#",""), HYPERLINK(CONCATENATE("#Metadata!", ADDRESS(INDEX($AJ$2:$AJ$1001,MATCH(ROWS($AH$2:AH466),$AH$2:$AH$1001,0),0), INDEX($AO$1004:$BQ$1004,1,MATCH(COLUMNS($AO$1006:BO1006),$AO$1006:$BQ$1006,0)))),"Fix")))</f>
        <v>#N/A</v>
      </c>
      <c r="AC466" s="5" t="e">
        <f ca="1">IF(OR(INDEX($AI$2:$AI$1001,MATCH(ROWS($AH$2:AH466),$AH$2:$AH$1001,0),1)&gt;=100000,INDEX($AO$1005:$BQ$1005,1,MATCH(COLUMNS($AO$1006:BP1006),$AO$1006:$BQ$1006,0))&gt;=100000), " ",IF(INDEX($AO$2:$BQ$1001,MATCH(ROWS($AH$2:AH466),$AH$2:$AH$1001,0),MATCH(COLUMNS($AO$1006:BP1006),$AO$1006:$BQ$1006,0)), HYPERLINK("#",""), HYPERLINK(CONCATENATE("#Metadata!", ADDRESS(INDEX($AJ$2:$AJ$1001,MATCH(ROWS($AH$2:AH466),$AH$2:$AH$1001,0),0), INDEX($AO$1004:$BQ$1004,1,MATCH(COLUMNS($AO$1006:BP1006),$AO$1006:$BQ$1006,0)))),"Fix")))</f>
        <v>#N/A</v>
      </c>
      <c r="AD466" s="5" t="e">
        <f ca="1">IF(OR(INDEX($AI$2:$AI$1001,MATCH(ROWS($AH$2:AH466),$AH$2:$AH$1001,0),1)&gt;=100000,INDEX($AO$1005:$BQ$1005,1,MATCH(COLUMNS($AO$1006:BQ1006),$AO$1006:$BQ$1006,0))&gt;=100000), " ",IF(INDEX($AO$2:$BQ$1001,MATCH(ROWS($AH$2:AH466),$AH$2:$AH$1001,0),MATCH(COLUMNS($AO$1006:BQ1006),$AO$1006:$BQ$1006,0)), HYPERLINK("#",""), HYPERLINK(CONCATENATE("#Metadata!", ADDRESS(INDEX($AJ$2:$AJ$1001,MATCH(ROWS($AH$2:AH466),$AH$2:$AH$1001,0),0), INDEX($AO$1004:$BQ$1004,1,MATCH(COLUMNS($AO$1006:BQ1006),$AO$1006:$BQ$1006,0)))),"Fix")))</f>
        <v>#REF!</v>
      </c>
      <c r="AH466">
        <f ca="1"/>
        <v>463</v>
      </c>
      <c r="AI466">
        <v>100466</v>
      </c>
      <c r="AJ466">
        <v>466</v>
      </c>
      <c r="AK466" t="b">
        <f t="shared" si="7"/>
        <v>1</v>
      </c>
      <c r="AL466" t="b">
        <f>COUNTBLANK(Metadata!B466:AD466)=COLUMNS(Metadata!B466:AD466)</f>
        <v>1</v>
      </c>
      <c r="AM466" t="str">
        <v/>
      </c>
      <c r="AO466" t="b">
        <f ca="1">AND(IF(Metadata!B466="",FALSE,TRUE),COUNTIF(Metadata!B:B, Metadata!B466) = 1,NOT(ISERROR(SUMPRODUCT(SEARCH(MID(Metadata!B466,ROW(INDIRECT("1:"&amp;LEN(Metadata!B466))), 1),"0123456789abcdefghijklmnopqrstuvwxyzABCDEFGHIJKLMNOPQRSTUVWXYZ.")))))</f>
        <v>0</v>
      </c>
      <c r="AP466" t="b">
        <f>IF(Metadata!C466="",FALSE,TRUE)</f>
        <v>0</v>
      </c>
      <c r="AQ466" t="b">
        <f>IF(Metadata!D466="",FALSE,TRUE)</f>
        <v>0</v>
      </c>
      <c r="AR466" t="b">
        <f ca="1">OR(AND(IF(Metadata!E466="",FALSE,TRUE),OR(EXACT(Metadata!E466,"not collected"),EXACT(Metadata!E466,"not provided"),EXACT(Metadata!E466,"restricted access"))),AND(IF(Metadata!E466="",FALSE,TRUE),AND(AND(IFERROR(INT(LEFT(Metadata!E466,4))&gt;1900,FALSE),IFERROR(INT(LEFT(Metadata!E466,4))&lt;=YEAR(NOW()),FALSE)), OR(MID(Metadata!E466,5,1)="", AND(AND(MID(Metadata!E466,5,1)="-",IFERROR(INT(MID(Metadata!E466,6,1))&gt;=0,FALSE),IFERROR(INT(MID(Metadata!E466,6,1))&lt;=1,FALSE),NOT(MID(Metadata!E466,7,1)=""),IFERROR(INT(MID(Metadata!E466,6,2))&gt;=1,FALSE),IFERROR(INT(MID(Metadata!E466,6,2))&lt;=12,FALSE)), OR(MID(Metadata!E466,8,1)="", AND(AND(MID(Metadata!E466,8,1)="-",IFERROR(INT(MID(Metadata!E466,9,1))&gt;=0,FALSE),IFERROR(INT(MID(Metadata!E466,9,1))&lt;=3,FALSE),NOT(MID(Metadata!E466,10,1)=""),IFERROR(INT(MID(Metadata!E466,9,2))&gt;=1,FALSE),IFERROR(INT(MID(Metadata!E466,9,2))&lt;=31,FALSE)), OR(MID(Metadata!E466,11,1)="", AND(AND(MID(Metadata!E466,11,1)=" ",IFERROR(INT(MID(Metadata!E466,12,1))&gt;=0,FALSE),IFERROR(INT(MID(Metadata!E466,12,1))&lt;=2,FALSE),NOT(MID(Metadata!E466,13,1)=""),IFERROR(INT(MID(Metadata!E466,12,2))&gt;=0,FALSE),IFERROR(INT(MID(Metadata!E466,12,2))&lt;=23,FALSE)), OR(MID(Metadata!E466,14,1)="", AND(AND(MID(Metadata!E466,14,1)=":",IFERROR(INT(MID(Metadata!E466,15,1))&gt;=0,FALSE),IFERROR(INT(MID(Metadata!E466,15,1))&lt;=5,FALSE),NOT(MID(Metadata!E466,16,1)=""),IFERROR(INT(MID(Metadata!E466,15,2))&gt;=0,FALSE),IFERROR(INT(MID(Metadata!E466,15,2))&lt;=59,FALSE)), OR(MID(Metadata!E466,17,1)="", AND(AND(MID(Metadata!E466,17,1)=":",IFERROR(INT(MID(Metadata!E466,18,1))&gt;=0,FALSE),IFERROR(INT(MID(Metadata!E466,18,1))&lt;=5,FALSE),NOT(MID(Metadata!E466,19,1)=""),IFERROR(INT(MID(Metadata!E466,18,2))&gt;=0,FALSE),IFERROR(INT(MID(Metadata!E466,18,2))&lt;=59,FALSE)), LEN(Metadata!E466)&lt;=19)))))))))))))</f>
        <v>0</v>
      </c>
      <c r="AS466" t="b">
        <f>IF(Metadata!F466="",FALSE,TRUE)</f>
        <v>0</v>
      </c>
      <c r="AT466" t="b">
        <f>OR(AND(IF(Metadata!G466="",FALSE,TRUE),OR(EXACT(Metadata!G466,"not collected"),EXACT(Metadata!G466,"not provided"))),AND(IF(Metadata!G466="",FALSE,TRUE),OR(EXACT(Metadata!G466,"TRUE"),EXACT(Metadata!G466,"FALSE"))))</f>
        <v>0</v>
      </c>
      <c r="AU466" t="b">
        <f>OR(AND(IF(Metadata!H466="",FALSE,TRUE),OR(EXACT(Metadata!H466,"not collected"),EXACT(Metadata!H466,"not provided"),EXACT(Metadata!H466,"restricted access"))),AND(IF(Metadata!H466="",FALSE,ISNUMBER(VALUE(Metadata!H466))),Metadata!H466&gt;=-413))</f>
        <v>0</v>
      </c>
      <c r="AV466" t="b">
        <f>AND(IF(Metadata!I466="",FALSE,TRUE),EXACT(Metadata!I466,"meters"))</f>
        <v>0</v>
      </c>
      <c r="AW466" t="b">
        <f>AND(IF(Metadata!J466="",FALSE,TRUE),EXACT(Metadata!J466,"free-living"))</f>
        <v>0</v>
      </c>
      <c r="AX466" t="b">
        <f>AND(IF(Metadata!K466="",FALSE,TRUE),OR(EXACT(Metadata!K466,"saline"),EXACT(Metadata!K466,"non-saline")))</f>
        <v>0</v>
      </c>
      <c r="AY466" t="b">
        <f>AND(IF(Metadata!L466="",FALSE,TRUE),OR(EXACT(Metadata!L466,"sub-surface (non-saline)"),EXACT(Metadata!L466,"surface (non-saline)"),EXACT(Metadata!L466,"water (non-saline)"),EXACT(Metadata!L466,"soil (non-saline)"),EXACT(Metadata!L466,"aerosol (non-saline)"),EXACT(Metadata!L466,"sediment (non-saline)"),EXACT(Metadata!L466,"surface (saline)"),EXACT(Metadata!L466,"water (saline)"),EXACT(Metadata!L466,"hypersaline (saline)"),EXACT(Metadata!L466,"aerosol (saline)"),EXACT(Metadata!L466,"sediment (saline)")))</f>
        <v>0</v>
      </c>
      <c r="AZ466" t="b">
        <f>IF(Metadata!M466="",FALSE,TRUE)</f>
        <v>0</v>
      </c>
      <c r="BA466" t="b">
        <f>IF(Metadata!N466="",FALSE,TRUE)</f>
        <v>0</v>
      </c>
      <c r="BB466" t="b">
        <f>IF(Metadata!O466="",FALSE,TRUE)</f>
        <v>0</v>
      </c>
      <c r="BC466" t="b">
        <f>AND(IF(Metadata!P466="",FALSE,TRUE),OR(EXACT(Metadata!P466,"air"),EXACT(Metadata!P466,"microbial mat/biofilm"),EXACT(Metadata!P466,"misc environment"),EXACT(Metadata!P466,"sediment"),EXACT(Metadata!P466,"soil"),EXACT(Metadata!P466,"wastewater/sludge"),EXACT(Metadata!P466,"water")))</f>
        <v>0</v>
      </c>
      <c r="BD466" t="b">
        <f>IF(Metadata!Q466="",FALSE,TRUE)</f>
        <v>0</v>
      </c>
      <c r="BE466" t="b">
        <f>IF(Metadata!R466="",FALSE,TRUE)</f>
        <v>0</v>
      </c>
      <c r="BF466" t="b">
        <f>OR(AND(IF(Metadata!S466="",FALSE,TRUE),OR(EXACT(Metadata!S466,"not collected"),EXACT(Metadata!S466,"not provided"),EXACT(Metadata!S466,"restricted access"))),AND(IF(Metadata!S466="",FALSE,ISNUMBER(VALUE(Metadata!S466))),Metadata!S466&gt;=-90,Metadata!S466&lt;=90))</f>
        <v>0</v>
      </c>
      <c r="BG466" t="b">
        <f>AND(IF(Metadata!T466="",FALSE,TRUE),EXACT(Metadata!T466,"Decimal degrees"))</f>
        <v>0</v>
      </c>
      <c r="BH466" t="b">
        <f>OR(AND(IF(Metadata!U466="",FALSE,TRUE),OR(EXACT(Metadata!U466,"not applicable"),EXACT(Metadata!U466,"not collected"))),IF(Metadata!U466="",FALSE,TRUE))</f>
        <v>0</v>
      </c>
      <c r="BI466" t="b">
        <f>OR(AND(IF(Metadata!V466="",FALSE,TRUE),OR(EXACT(Metadata!V466,"not collected"),EXACT(Metadata!V466,"not provided"),EXACT(Metadata!V466,"restricted access"))),AND(IF(Metadata!V466="",FALSE,ISNUMBER(VALUE(Metadata!V466))),Metadata!V466&gt;=-180,Metadata!V466&lt;=180))</f>
        <v>0</v>
      </c>
      <c r="BJ466" t="b">
        <f>AND(IF(Metadata!W466="",FALSE,TRUE),EXACT(Metadata!W466,"Decimal degrees"))</f>
        <v>0</v>
      </c>
      <c r="BK466" t="b">
        <f>IF(Metadata!X466="",FALSE,TRUE)</f>
        <v>0</v>
      </c>
      <c r="BL466" t="b">
        <f>OR(AND(IF(Metadata!Y466="",FALSE,TRUE),OR(EXACT(Metadata!Y466,"not collected"),EXACT(Metadata!Y466,"not provided"),EXACT(Metadata!Y466,"restricted access"))),AND(IF(Metadata!Y466="",FALSE,TRUE),OR(EXACT(Metadata!Y466,"TRUE"),EXACT(Metadata!Y466,"FALSE"))))</f>
        <v>0</v>
      </c>
      <c r="BM466" t="b">
        <f>OR(AND(IF(Metadata!Z466="",FALSE,TRUE),EXACT(Metadata!Z466,"not applicable")),AND(IF(Metadata!Z466="",FALSE,TRUE),OR(EXACT(Metadata!Z466,"beer"),EXACT(Metadata!Z466,"cheese"),EXACT(Metadata!Z466,"fresh water"),EXACT(Metadata!Z466,"marine sediment"),EXACT(Metadata!Z466,"sea water"),EXACT(Metadata!Z466,"sediment"),EXACT(Metadata!Z466,"soil"),EXACT(Metadata!Z466,"waste water"))))</f>
        <v>0</v>
      </c>
      <c r="BN466" t="b">
        <f>AND(IF(Metadata!AA466="",FALSE,TRUE),EXACT(Metadata!AA466,"metagenome"))</f>
        <v>0</v>
      </c>
      <c r="BO466" t="b">
        <f>AND(IF(Metadata!AB466="",FALSE,TRUE),EXACT(Metadata!AB466,"256318"))</f>
        <v>0</v>
      </c>
      <c r="BP466" t="b">
        <f>IF(Metadata!AC466="",FALSE,TRUE)</f>
        <v>0</v>
      </c>
      <c r="BQ466" t="b">
        <f>IF(Metadata!AD466="",FALSE,TRUE)</f>
        <v>0</v>
      </c>
    </row>
    <row r="467" spans="1:69" x14ac:dyDescent="0.2">
      <c r="A467" s="4" t="e">
        <f ca="1">IF(B467=" "," ",HYPERLINK(CONCATENATE("#metadata!",ADDRESS(INDEX($AJ$2:$AJ$1001,MATCH(ROWS($AH$2:AH467),$AH$2:$AH$1001,0),0),2)),INDEX($AM$2:$AM$1001,MATCH(ROWS($AH$2:AH467),$AH$2:$AH$1001,0),0)))</f>
        <v>#N/A</v>
      </c>
      <c r="B467" s="5" t="e">
        <f ca="1">IF(OR(INDEX($AI$2:$AI$1001,MATCH(ROWS($AH$2:AH467),$AH$2:$AH$1001,0),1)&gt;=100000,INDEX($AO$1005:$BQ$1005,1,MATCH(COLUMNS($AO$1006:AO1006),$AO$1006:$BQ$1006,0))&gt;=100000), " ",IF(INDEX($AO$2:$BQ$1001,MATCH(ROWS($AH$2:AH467),$AH$2:$AH$1001,0),MATCH(COLUMNS($AO$1006:AO1006),$AO$1006:$BQ$1006,0)), HYPERLINK("#",""), HYPERLINK(CONCATENATE("#Metadata!", ADDRESS(INDEX($AJ$2:$AJ$1001,MATCH(ROWS($AH$2:AH467),$AH$2:$AH$1001,0),0), INDEX($AO$1004:$BQ$1004,1,MATCH(COLUMNS($AO$1006:AO1006),$AO$1006:$BQ$1006,0)))),"Fix")))</f>
        <v>#N/A</v>
      </c>
      <c r="C467" s="5" t="e">
        <f ca="1">IF(OR(INDEX($AI$2:$AI$1001,MATCH(ROWS($AH$2:AH467),$AH$2:$AH$1001,0),1)&gt;=100000,INDEX($AO$1005:$BQ$1005,1,MATCH(COLUMNS($AO$1006:AP1006),$AO$1006:$BQ$1006,0))&gt;=100000), " ",IF(INDEX($AO$2:$BQ$1001,MATCH(ROWS($AH$2:AH467),$AH$2:$AH$1001,0),MATCH(COLUMNS($AO$1006:AP1006),$AO$1006:$BQ$1006,0)), HYPERLINK("#",""), HYPERLINK(CONCATENATE("#Metadata!", ADDRESS(INDEX($AJ$2:$AJ$1001,MATCH(ROWS($AH$2:AH467),$AH$2:$AH$1001,0),0), INDEX($AO$1004:$BQ$1004,1,MATCH(COLUMNS($AO$1006:AP1006),$AO$1006:$BQ$1006,0)))),"Fix")))</f>
        <v>#N/A</v>
      </c>
      <c r="D467" s="5" t="e">
        <f ca="1">IF(OR(INDEX($AI$2:$AI$1001,MATCH(ROWS($AH$2:AH467),$AH$2:$AH$1001,0),1)&gt;=100000,INDEX($AO$1005:$BQ$1005,1,MATCH(COLUMNS($AO$1006:AQ1006),$AO$1006:$BQ$1006,0))&gt;=100000), " ",IF(INDEX($AO$2:$BQ$1001,MATCH(ROWS($AH$2:AH467),$AH$2:$AH$1001,0),MATCH(COLUMNS($AO$1006:AQ1006),$AO$1006:$BQ$1006,0)), HYPERLINK("#",""), HYPERLINK(CONCATENATE("#Metadata!", ADDRESS(INDEX($AJ$2:$AJ$1001,MATCH(ROWS($AH$2:AH467),$AH$2:$AH$1001,0),0), INDEX($AO$1004:$BQ$1004,1,MATCH(COLUMNS($AO$1006:AQ1006),$AO$1006:$BQ$1006,0)))),"Fix")))</f>
        <v>#N/A</v>
      </c>
      <c r="E467" s="5" t="e">
        <f ca="1">IF(OR(INDEX($AI$2:$AI$1001,MATCH(ROWS($AH$2:AH467),$AH$2:$AH$1001,0),1)&gt;=100000,INDEX($AO$1005:$BQ$1005,1,MATCH(COLUMNS($AO$1006:AR1006),$AO$1006:$BQ$1006,0))&gt;=100000), " ",IF(INDEX($AO$2:$BQ$1001,MATCH(ROWS($AH$2:AH467),$AH$2:$AH$1001,0),MATCH(COLUMNS($AO$1006:AR1006),$AO$1006:$BQ$1006,0)), HYPERLINK("#",""), HYPERLINK(CONCATENATE("#Metadata!", ADDRESS(INDEX($AJ$2:$AJ$1001,MATCH(ROWS($AH$2:AH467),$AH$2:$AH$1001,0),0), INDEX($AO$1004:$BQ$1004,1,MATCH(COLUMNS($AO$1006:AR1006),$AO$1006:$BQ$1006,0)))),"Fix")))</f>
        <v>#N/A</v>
      </c>
      <c r="F467" s="5" t="e">
        <f ca="1">IF(OR(INDEX($AI$2:$AI$1001,MATCH(ROWS($AH$2:AH467),$AH$2:$AH$1001,0),1)&gt;=100000,INDEX($AO$1005:$BQ$1005,1,MATCH(COLUMNS($AO$1006:AS1006),$AO$1006:$BQ$1006,0))&gt;=100000), " ",IF(INDEX($AO$2:$BQ$1001,MATCH(ROWS($AH$2:AH467),$AH$2:$AH$1001,0),MATCH(COLUMNS($AO$1006:AS1006),$AO$1006:$BQ$1006,0)), HYPERLINK("#",""), HYPERLINK(CONCATENATE("#Metadata!", ADDRESS(INDEX($AJ$2:$AJ$1001,MATCH(ROWS($AH$2:AH467),$AH$2:$AH$1001,0),0), INDEX($AO$1004:$BQ$1004,1,MATCH(COLUMNS($AO$1006:AS1006),$AO$1006:$BQ$1006,0)))),"Fix")))</f>
        <v>#N/A</v>
      </c>
      <c r="G467" s="5" t="e">
        <f ca="1">IF(OR(INDEX($AI$2:$AI$1001,MATCH(ROWS($AH$2:AH467),$AH$2:$AH$1001,0),1)&gt;=100000,INDEX($AO$1005:$BQ$1005,1,MATCH(COLUMNS($AO$1006:AT1006),$AO$1006:$BQ$1006,0))&gt;=100000), " ",IF(INDEX($AO$2:$BQ$1001,MATCH(ROWS($AH$2:AH467),$AH$2:$AH$1001,0),MATCH(COLUMNS($AO$1006:AT1006),$AO$1006:$BQ$1006,0)), HYPERLINK("#",""), HYPERLINK(CONCATENATE("#Metadata!", ADDRESS(INDEX($AJ$2:$AJ$1001,MATCH(ROWS($AH$2:AH467),$AH$2:$AH$1001,0),0), INDEX($AO$1004:$BQ$1004,1,MATCH(COLUMNS($AO$1006:AT1006),$AO$1006:$BQ$1006,0)))),"Fix")))</f>
        <v>#N/A</v>
      </c>
      <c r="H467" s="5" t="e">
        <f ca="1">IF(OR(INDEX($AI$2:$AI$1001,MATCH(ROWS($AH$2:AH467),$AH$2:$AH$1001,0),1)&gt;=100000,INDEX($AO$1005:$BQ$1005,1,MATCH(COLUMNS($AO$1006:AU1006),$AO$1006:$BQ$1006,0))&gt;=100000), " ",IF(INDEX($AO$2:$BQ$1001,MATCH(ROWS($AH$2:AH467),$AH$2:$AH$1001,0),MATCH(COLUMNS($AO$1006:AU1006),$AO$1006:$BQ$1006,0)), HYPERLINK("#",""), HYPERLINK(CONCATENATE("#Metadata!", ADDRESS(INDEX($AJ$2:$AJ$1001,MATCH(ROWS($AH$2:AH467),$AH$2:$AH$1001,0),0), INDEX($AO$1004:$BQ$1004,1,MATCH(COLUMNS($AO$1006:AU1006),$AO$1006:$BQ$1006,0)))),"Fix")))</f>
        <v>#N/A</v>
      </c>
      <c r="I467" s="5" t="e">
        <f ca="1">IF(OR(INDEX($AI$2:$AI$1001,MATCH(ROWS($AH$2:AH467),$AH$2:$AH$1001,0),1)&gt;=100000,INDEX($AO$1005:$BQ$1005,1,MATCH(COLUMNS($AO$1006:AV1006),$AO$1006:$BQ$1006,0))&gt;=100000), " ",IF(INDEX($AO$2:$BQ$1001,MATCH(ROWS($AH$2:AH467),$AH$2:$AH$1001,0),MATCH(COLUMNS($AO$1006:AV1006),$AO$1006:$BQ$1006,0)), HYPERLINK("#",""), HYPERLINK(CONCATENATE("#Metadata!", ADDRESS(INDEX($AJ$2:$AJ$1001,MATCH(ROWS($AH$2:AH467),$AH$2:$AH$1001,0),0), INDEX($AO$1004:$BQ$1004,1,MATCH(COLUMNS($AO$1006:AV1006),$AO$1006:$BQ$1006,0)))),"Fix")))</f>
        <v>#N/A</v>
      </c>
      <c r="J467" s="5" t="e">
        <f ca="1">IF(OR(INDEX($AI$2:$AI$1001,MATCH(ROWS($AH$2:AH467),$AH$2:$AH$1001,0),1)&gt;=100000,INDEX($AO$1005:$BQ$1005,1,MATCH(COLUMNS($AO$1006:AW1006),$AO$1006:$BQ$1006,0))&gt;=100000), " ",IF(INDEX($AO$2:$BQ$1001,MATCH(ROWS($AH$2:AH467),$AH$2:$AH$1001,0),MATCH(COLUMNS($AO$1006:AW1006),$AO$1006:$BQ$1006,0)), HYPERLINK("#",""), HYPERLINK(CONCATENATE("#Metadata!", ADDRESS(INDEX($AJ$2:$AJ$1001,MATCH(ROWS($AH$2:AH467),$AH$2:$AH$1001,0),0), INDEX($AO$1004:$BQ$1004,1,MATCH(COLUMNS($AO$1006:AW1006),$AO$1006:$BQ$1006,0)))),"Fix")))</f>
        <v>#N/A</v>
      </c>
      <c r="K467" s="5" t="e">
        <f ca="1">IF(OR(INDEX($AI$2:$AI$1001,MATCH(ROWS($AH$2:AH467),$AH$2:$AH$1001,0),1)&gt;=100000,INDEX($AO$1005:$BQ$1005,1,MATCH(COLUMNS($AO$1006:AX1006),$AO$1006:$BQ$1006,0))&gt;=100000), " ",IF(INDEX($AO$2:$BQ$1001,MATCH(ROWS($AH$2:AH467),$AH$2:$AH$1001,0),MATCH(COLUMNS($AO$1006:AX1006),$AO$1006:$BQ$1006,0)), HYPERLINK("#",""), HYPERLINK(CONCATENATE("#Metadata!", ADDRESS(INDEX($AJ$2:$AJ$1001,MATCH(ROWS($AH$2:AH467),$AH$2:$AH$1001,0),0), INDEX($AO$1004:$BQ$1004,1,MATCH(COLUMNS($AO$1006:AX1006),$AO$1006:$BQ$1006,0)))),"Fix")))</f>
        <v>#N/A</v>
      </c>
      <c r="L467" s="5" t="e">
        <f ca="1">IF(OR(INDEX($AI$2:$AI$1001,MATCH(ROWS($AH$2:AH467),$AH$2:$AH$1001,0),1)&gt;=100000,INDEX($AO$1005:$BQ$1005,1,MATCH(COLUMNS($AO$1006:AY1006),$AO$1006:$BQ$1006,0))&gt;=100000), " ",IF(INDEX($AO$2:$BQ$1001,MATCH(ROWS($AH$2:AH467),$AH$2:$AH$1001,0),MATCH(COLUMNS($AO$1006:AY1006),$AO$1006:$BQ$1006,0)), HYPERLINK("#",""), HYPERLINK(CONCATENATE("#Metadata!", ADDRESS(INDEX($AJ$2:$AJ$1001,MATCH(ROWS($AH$2:AH467),$AH$2:$AH$1001,0),0), INDEX($AO$1004:$BQ$1004,1,MATCH(COLUMNS($AO$1006:AY1006),$AO$1006:$BQ$1006,0)))),"Fix")))</f>
        <v>#N/A</v>
      </c>
      <c r="M467" s="5" t="e">
        <f ca="1">IF(OR(INDEX($AI$2:$AI$1001,MATCH(ROWS($AH$2:AH467),$AH$2:$AH$1001,0),1)&gt;=100000,INDEX($AO$1005:$BQ$1005,1,MATCH(COLUMNS($AO$1006:AZ1006),$AO$1006:$BQ$1006,0))&gt;=100000), " ",IF(INDEX($AO$2:$BQ$1001,MATCH(ROWS($AH$2:AH467),$AH$2:$AH$1001,0),MATCH(COLUMNS($AO$1006:AZ1006),$AO$1006:$BQ$1006,0)), HYPERLINK("#",""), HYPERLINK(CONCATENATE("#Metadata!", ADDRESS(INDEX($AJ$2:$AJ$1001,MATCH(ROWS($AH$2:AH467),$AH$2:$AH$1001,0),0), INDEX($AO$1004:$BQ$1004,1,MATCH(COLUMNS($AO$1006:AZ1006),$AO$1006:$BQ$1006,0)))),"Fix")))</f>
        <v>#N/A</v>
      </c>
      <c r="N467" s="5" t="e">
        <f ca="1">IF(OR(INDEX($AI$2:$AI$1001,MATCH(ROWS($AH$2:AH467),$AH$2:$AH$1001,0),1)&gt;=100000,INDEX($AO$1005:$BQ$1005,1,MATCH(COLUMNS($AO$1006:BA1006),$AO$1006:$BQ$1006,0))&gt;=100000), " ",IF(INDEX($AO$2:$BQ$1001,MATCH(ROWS($AH$2:AH467),$AH$2:$AH$1001,0),MATCH(COLUMNS($AO$1006:BA1006),$AO$1006:$BQ$1006,0)), HYPERLINK("#",""), HYPERLINK(CONCATENATE("#Metadata!", ADDRESS(INDEX($AJ$2:$AJ$1001,MATCH(ROWS($AH$2:AH467),$AH$2:$AH$1001,0),0), INDEX($AO$1004:$BQ$1004,1,MATCH(COLUMNS($AO$1006:BA1006),$AO$1006:$BQ$1006,0)))),"Fix")))</f>
        <v>#N/A</v>
      </c>
      <c r="O467" s="5" t="e">
        <f ca="1">IF(OR(INDEX($AI$2:$AI$1001,MATCH(ROWS($AH$2:AH467),$AH$2:$AH$1001,0),1)&gt;=100000,INDEX($AO$1005:$BQ$1005,1,MATCH(COLUMNS($AO$1006:BB1006),$AO$1006:$BQ$1006,0))&gt;=100000), " ",IF(INDEX($AO$2:$BQ$1001,MATCH(ROWS($AH$2:AH467),$AH$2:$AH$1001,0),MATCH(COLUMNS($AO$1006:BB1006),$AO$1006:$BQ$1006,0)), HYPERLINK("#",""), HYPERLINK(CONCATENATE("#Metadata!", ADDRESS(INDEX($AJ$2:$AJ$1001,MATCH(ROWS($AH$2:AH467),$AH$2:$AH$1001,0),0), INDEX($AO$1004:$BQ$1004,1,MATCH(COLUMNS($AO$1006:BB1006),$AO$1006:$BQ$1006,0)))),"Fix")))</f>
        <v>#N/A</v>
      </c>
      <c r="P467" s="5" t="e">
        <f ca="1">IF(OR(INDEX($AI$2:$AI$1001,MATCH(ROWS($AH$2:AH467),$AH$2:$AH$1001,0),1)&gt;=100000,INDEX($AO$1005:$BQ$1005,1,MATCH(COLUMNS($AO$1006:BC1006),$AO$1006:$BQ$1006,0))&gt;=100000), " ",IF(INDEX($AO$2:$BQ$1001,MATCH(ROWS($AH$2:AH467),$AH$2:$AH$1001,0),MATCH(COLUMNS($AO$1006:BC1006),$AO$1006:$BQ$1006,0)), HYPERLINK("#",""), HYPERLINK(CONCATENATE("#Metadata!", ADDRESS(INDEX($AJ$2:$AJ$1001,MATCH(ROWS($AH$2:AH467),$AH$2:$AH$1001,0),0), INDEX($AO$1004:$BQ$1004,1,MATCH(COLUMNS($AO$1006:BC1006),$AO$1006:$BQ$1006,0)))),"Fix")))</f>
        <v>#N/A</v>
      </c>
      <c r="Q467" s="5" t="e">
        <f ca="1">IF(OR(INDEX($AI$2:$AI$1001,MATCH(ROWS($AH$2:AH467),$AH$2:$AH$1001,0),1)&gt;=100000,INDEX($AO$1005:$BQ$1005,1,MATCH(COLUMNS($AO$1006:BD1006),$AO$1006:$BQ$1006,0))&gt;=100000), " ",IF(INDEX($AO$2:$BQ$1001,MATCH(ROWS($AH$2:AH467),$AH$2:$AH$1001,0),MATCH(COLUMNS($AO$1006:BD1006),$AO$1006:$BQ$1006,0)), HYPERLINK("#",""), HYPERLINK(CONCATENATE("#Metadata!", ADDRESS(INDEX($AJ$2:$AJ$1001,MATCH(ROWS($AH$2:AH467),$AH$2:$AH$1001,0),0), INDEX($AO$1004:$BQ$1004,1,MATCH(COLUMNS($AO$1006:BD1006),$AO$1006:$BQ$1006,0)))),"Fix")))</f>
        <v>#N/A</v>
      </c>
      <c r="R467" s="5" t="e">
        <f ca="1">IF(OR(INDEX($AI$2:$AI$1001,MATCH(ROWS($AH$2:AH467),$AH$2:$AH$1001,0),1)&gt;=100000,INDEX($AO$1005:$BQ$1005,1,MATCH(COLUMNS($AO$1006:BE1006),$AO$1006:$BQ$1006,0))&gt;=100000), " ",IF(INDEX($AO$2:$BQ$1001,MATCH(ROWS($AH$2:AH467),$AH$2:$AH$1001,0),MATCH(COLUMNS($AO$1006:BE1006),$AO$1006:$BQ$1006,0)), HYPERLINK("#",""), HYPERLINK(CONCATENATE("#Metadata!", ADDRESS(INDEX($AJ$2:$AJ$1001,MATCH(ROWS($AH$2:AH467),$AH$2:$AH$1001,0),0), INDEX($AO$1004:$BQ$1004,1,MATCH(COLUMNS($AO$1006:BE1006),$AO$1006:$BQ$1006,0)))),"Fix")))</f>
        <v>#N/A</v>
      </c>
      <c r="S467" s="5" t="e">
        <f ca="1">IF(OR(INDEX($AI$2:$AI$1001,MATCH(ROWS($AH$2:AH467),$AH$2:$AH$1001,0),1)&gt;=100000,INDEX($AO$1005:$BQ$1005,1,MATCH(COLUMNS($AO$1006:BF1006),$AO$1006:$BQ$1006,0))&gt;=100000), " ",IF(INDEX($AO$2:$BQ$1001,MATCH(ROWS($AH$2:AH467),$AH$2:$AH$1001,0),MATCH(COLUMNS($AO$1006:BF1006),$AO$1006:$BQ$1006,0)), HYPERLINK("#",""), HYPERLINK(CONCATENATE("#Metadata!", ADDRESS(INDEX($AJ$2:$AJ$1001,MATCH(ROWS($AH$2:AH467),$AH$2:$AH$1001,0),0), INDEX($AO$1004:$BQ$1004,1,MATCH(COLUMNS($AO$1006:BF1006),$AO$1006:$BQ$1006,0)))),"Fix")))</f>
        <v>#N/A</v>
      </c>
      <c r="T467" s="5" t="e">
        <f ca="1">IF(OR(INDEX($AI$2:$AI$1001,MATCH(ROWS($AH$2:AH467),$AH$2:$AH$1001,0),1)&gt;=100000,INDEX($AO$1005:$BQ$1005,1,MATCH(COLUMNS($AO$1006:BG1006),$AO$1006:$BQ$1006,0))&gt;=100000), " ",IF(INDEX($AO$2:$BQ$1001,MATCH(ROWS($AH$2:AH467),$AH$2:$AH$1001,0),MATCH(COLUMNS($AO$1006:BG1006),$AO$1006:$BQ$1006,0)), HYPERLINK("#",""), HYPERLINK(CONCATENATE("#Metadata!", ADDRESS(INDEX($AJ$2:$AJ$1001,MATCH(ROWS($AH$2:AH467),$AH$2:$AH$1001,0),0), INDEX($AO$1004:$BQ$1004,1,MATCH(COLUMNS($AO$1006:BG1006),$AO$1006:$BQ$1006,0)))),"Fix")))</f>
        <v>#N/A</v>
      </c>
      <c r="U467" s="5" t="e">
        <f ca="1">IF(OR(INDEX($AI$2:$AI$1001,MATCH(ROWS($AH$2:AH467),$AH$2:$AH$1001,0),1)&gt;=100000,INDEX($AO$1005:$BQ$1005,1,MATCH(COLUMNS($AO$1006:BH1006),$AO$1006:$BQ$1006,0))&gt;=100000), " ",IF(INDEX($AO$2:$BQ$1001,MATCH(ROWS($AH$2:AH467),$AH$2:$AH$1001,0),MATCH(COLUMNS($AO$1006:BH1006),$AO$1006:$BQ$1006,0)), HYPERLINK("#",""), HYPERLINK(CONCATENATE("#Metadata!", ADDRESS(INDEX($AJ$2:$AJ$1001,MATCH(ROWS($AH$2:AH467),$AH$2:$AH$1001,0),0), INDEX($AO$1004:$BQ$1004,1,MATCH(COLUMNS($AO$1006:BH1006),$AO$1006:$BQ$1006,0)))),"Fix")))</f>
        <v>#N/A</v>
      </c>
      <c r="V467" s="5" t="e">
        <f ca="1">IF(OR(INDEX($AI$2:$AI$1001,MATCH(ROWS($AH$2:AH467),$AH$2:$AH$1001,0),1)&gt;=100000,INDEX($AO$1005:$BQ$1005,1,MATCH(COLUMNS($AO$1006:BI1006),$AO$1006:$BQ$1006,0))&gt;=100000), " ",IF(INDEX($AO$2:$BQ$1001,MATCH(ROWS($AH$2:AH467),$AH$2:$AH$1001,0),MATCH(COLUMNS($AO$1006:BI1006),$AO$1006:$BQ$1006,0)), HYPERLINK("#",""), HYPERLINK(CONCATENATE("#Metadata!", ADDRESS(INDEX($AJ$2:$AJ$1001,MATCH(ROWS($AH$2:AH467),$AH$2:$AH$1001,0),0), INDEX($AO$1004:$BQ$1004,1,MATCH(COLUMNS($AO$1006:BI1006),$AO$1006:$BQ$1006,0)))),"Fix")))</f>
        <v>#N/A</v>
      </c>
      <c r="W467" s="5" t="e">
        <f ca="1">IF(OR(INDEX($AI$2:$AI$1001,MATCH(ROWS($AH$2:AH467),$AH$2:$AH$1001,0),1)&gt;=100000,INDEX($AO$1005:$BQ$1005,1,MATCH(COLUMNS($AO$1006:BJ1006),$AO$1006:$BQ$1006,0))&gt;=100000), " ",IF(INDEX($AO$2:$BQ$1001,MATCH(ROWS($AH$2:AH467),$AH$2:$AH$1001,0),MATCH(COLUMNS($AO$1006:BJ1006),$AO$1006:$BQ$1006,0)), HYPERLINK("#",""), HYPERLINK(CONCATENATE("#Metadata!", ADDRESS(INDEX($AJ$2:$AJ$1001,MATCH(ROWS($AH$2:AH467),$AH$2:$AH$1001,0),0), INDEX($AO$1004:$BQ$1004,1,MATCH(COLUMNS($AO$1006:BJ1006),$AO$1006:$BQ$1006,0)))),"Fix")))</f>
        <v>#N/A</v>
      </c>
      <c r="X467" s="5" t="e">
        <f ca="1">IF(OR(INDEX($AI$2:$AI$1001,MATCH(ROWS($AH$2:AH467),$AH$2:$AH$1001,0),1)&gt;=100000,INDEX($AO$1005:$BQ$1005,1,MATCH(COLUMNS($AO$1006:BK1006),$AO$1006:$BQ$1006,0))&gt;=100000), " ",IF(INDEX($AO$2:$BQ$1001,MATCH(ROWS($AH$2:AH467),$AH$2:$AH$1001,0),MATCH(COLUMNS($AO$1006:BK1006),$AO$1006:$BQ$1006,0)), HYPERLINK("#",""), HYPERLINK(CONCATENATE("#Metadata!", ADDRESS(INDEX($AJ$2:$AJ$1001,MATCH(ROWS($AH$2:AH467),$AH$2:$AH$1001,0),0), INDEX($AO$1004:$BQ$1004,1,MATCH(COLUMNS($AO$1006:BK1006),$AO$1006:$BQ$1006,0)))),"Fix")))</f>
        <v>#N/A</v>
      </c>
      <c r="Y467" s="5" t="e">
        <f ca="1">IF(OR(INDEX($AI$2:$AI$1001,MATCH(ROWS($AH$2:AH467),$AH$2:$AH$1001,0),1)&gt;=100000,INDEX($AO$1005:$BQ$1005,1,MATCH(COLUMNS($AO$1006:BL1006),$AO$1006:$BQ$1006,0))&gt;=100000), " ",IF(INDEX($AO$2:$BQ$1001,MATCH(ROWS($AH$2:AH467),$AH$2:$AH$1001,0),MATCH(COLUMNS($AO$1006:BL1006),$AO$1006:$BQ$1006,0)), HYPERLINK("#",""), HYPERLINK(CONCATENATE("#Metadata!", ADDRESS(INDEX($AJ$2:$AJ$1001,MATCH(ROWS($AH$2:AH467),$AH$2:$AH$1001,0),0), INDEX($AO$1004:$BQ$1004,1,MATCH(COLUMNS($AO$1006:BL1006),$AO$1006:$BQ$1006,0)))),"Fix")))</f>
        <v>#N/A</v>
      </c>
      <c r="Z467" s="5" t="e">
        <f ca="1">IF(OR(INDEX($AI$2:$AI$1001,MATCH(ROWS($AH$2:AH467),$AH$2:$AH$1001,0),1)&gt;=100000,INDEX($AO$1005:$BQ$1005,1,MATCH(COLUMNS($AO$1006:BM1006),$AO$1006:$BQ$1006,0))&gt;=100000), " ",IF(INDEX($AO$2:$BQ$1001,MATCH(ROWS($AH$2:AH467),$AH$2:$AH$1001,0),MATCH(COLUMNS($AO$1006:BM1006),$AO$1006:$BQ$1006,0)), HYPERLINK("#",""), HYPERLINK(CONCATENATE("#Metadata!", ADDRESS(INDEX($AJ$2:$AJ$1001,MATCH(ROWS($AH$2:AH467),$AH$2:$AH$1001,0),0), INDEX($AO$1004:$BQ$1004,1,MATCH(COLUMNS($AO$1006:BM1006),$AO$1006:$BQ$1006,0)))),"Fix")))</f>
        <v>#N/A</v>
      </c>
      <c r="AA467" s="5" t="e">
        <f ca="1">IF(OR(INDEX($AI$2:$AI$1001,MATCH(ROWS($AH$2:AH467),$AH$2:$AH$1001,0),1)&gt;=100000,INDEX($AO$1005:$BQ$1005,1,MATCH(COLUMNS($AO$1006:BN1006),$AO$1006:$BQ$1006,0))&gt;=100000), " ",IF(INDEX($AO$2:$BQ$1001,MATCH(ROWS($AH$2:AH467),$AH$2:$AH$1001,0),MATCH(COLUMNS($AO$1006:BN1006),$AO$1006:$BQ$1006,0)), HYPERLINK("#",""), HYPERLINK(CONCATENATE("#Metadata!", ADDRESS(INDEX($AJ$2:$AJ$1001,MATCH(ROWS($AH$2:AH467),$AH$2:$AH$1001,0),0), INDEX($AO$1004:$BQ$1004,1,MATCH(COLUMNS($AO$1006:BN1006),$AO$1006:$BQ$1006,0)))),"Fix")))</f>
        <v>#N/A</v>
      </c>
      <c r="AB467" s="5" t="e">
        <f ca="1">IF(OR(INDEX($AI$2:$AI$1001,MATCH(ROWS($AH$2:AH467),$AH$2:$AH$1001,0),1)&gt;=100000,INDEX($AO$1005:$BQ$1005,1,MATCH(COLUMNS($AO$1006:BO1006),$AO$1006:$BQ$1006,0))&gt;=100000), " ",IF(INDEX($AO$2:$BQ$1001,MATCH(ROWS($AH$2:AH467),$AH$2:$AH$1001,0),MATCH(COLUMNS($AO$1006:BO1006),$AO$1006:$BQ$1006,0)), HYPERLINK("#",""), HYPERLINK(CONCATENATE("#Metadata!", ADDRESS(INDEX($AJ$2:$AJ$1001,MATCH(ROWS($AH$2:AH467),$AH$2:$AH$1001,0),0), INDEX($AO$1004:$BQ$1004,1,MATCH(COLUMNS($AO$1006:BO1006),$AO$1006:$BQ$1006,0)))),"Fix")))</f>
        <v>#N/A</v>
      </c>
      <c r="AC467" s="5" t="e">
        <f ca="1">IF(OR(INDEX($AI$2:$AI$1001,MATCH(ROWS($AH$2:AH467),$AH$2:$AH$1001,0),1)&gt;=100000,INDEX($AO$1005:$BQ$1005,1,MATCH(COLUMNS($AO$1006:BP1006),$AO$1006:$BQ$1006,0))&gt;=100000), " ",IF(INDEX($AO$2:$BQ$1001,MATCH(ROWS($AH$2:AH467),$AH$2:$AH$1001,0),MATCH(COLUMNS($AO$1006:BP1006),$AO$1006:$BQ$1006,0)), HYPERLINK("#",""), HYPERLINK(CONCATENATE("#Metadata!", ADDRESS(INDEX($AJ$2:$AJ$1001,MATCH(ROWS($AH$2:AH467),$AH$2:$AH$1001,0),0), INDEX($AO$1004:$BQ$1004,1,MATCH(COLUMNS($AO$1006:BP1006),$AO$1006:$BQ$1006,0)))),"Fix")))</f>
        <v>#N/A</v>
      </c>
      <c r="AD467" s="5" t="e">
        <f ca="1">IF(OR(INDEX($AI$2:$AI$1001,MATCH(ROWS($AH$2:AH467),$AH$2:$AH$1001,0),1)&gt;=100000,INDEX($AO$1005:$BQ$1005,1,MATCH(COLUMNS($AO$1006:BQ1006),$AO$1006:$BQ$1006,0))&gt;=100000), " ",IF(INDEX($AO$2:$BQ$1001,MATCH(ROWS($AH$2:AH467),$AH$2:$AH$1001,0),MATCH(COLUMNS($AO$1006:BQ1006),$AO$1006:$BQ$1006,0)), HYPERLINK("#",""), HYPERLINK(CONCATENATE("#Metadata!", ADDRESS(INDEX($AJ$2:$AJ$1001,MATCH(ROWS($AH$2:AH467),$AH$2:$AH$1001,0),0), INDEX($AO$1004:$BQ$1004,1,MATCH(COLUMNS($AO$1006:BQ1006),$AO$1006:$BQ$1006,0)))),"Fix")))</f>
        <v>#REF!</v>
      </c>
      <c r="AH467">
        <f ca="1"/>
        <v>464</v>
      </c>
      <c r="AI467">
        <v>100467</v>
      </c>
      <c r="AJ467">
        <v>467</v>
      </c>
      <c r="AK467" t="b">
        <f t="shared" si="7"/>
        <v>1</v>
      </c>
      <c r="AL467" t="b">
        <f>COUNTBLANK(Metadata!B467:AD467)=COLUMNS(Metadata!B467:AD467)</f>
        <v>1</v>
      </c>
      <c r="AM467" t="str">
        <v/>
      </c>
      <c r="AO467" t="b">
        <f ca="1">AND(IF(Metadata!B467="",FALSE,TRUE),COUNTIF(Metadata!B:B, Metadata!B467) = 1,NOT(ISERROR(SUMPRODUCT(SEARCH(MID(Metadata!B467,ROW(INDIRECT("1:"&amp;LEN(Metadata!B467))), 1),"0123456789abcdefghijklmnopqrstuvwxyzABCDEFGHIJKLMNOPQRSTUVWXYZ.")))))</f>
        <v>0</v>
      </c>
      <c r="AP467" t="b">
        <f>IF(Metadata!C467="",FALSE,TRUE)</f>
        <v>0</v>
      </c>
      <c r="AQ467" t="b">
        <f>IF(Metadata!D467="",FALSE,TRUE)</f>
        <v>0</v>
      </c>
      <c r="AR467" t="b">
        <f ca="1">OR(AND(IF(Metadata!E467="",FALSE,TRUE),OR(EXACT(Metadata!E467,"not collected"),EXACT(Metadata!E467,"not provided"),EXACT(Metadata!E467,"restricted access"))),AND(IF(Metadata!E467="",FALSE,TRUE),AND(AND(IFERROR(INT(LEFT(Metadata!E467,4))&gt;1900,FALSE),IFERROR(INT(LEFT(Metadata!E467,4))&lt;=YEAR(NOW()),FALSE)), OR(MID(Metadata!E467,5,1)="", AND(AND(MID(Metadata!E467,5,1)="-",IFERROR(INT(MID(Metadata!E467,6,1))&gt;=0,FALSE),IFERROR(INT(MID(Metadata!E467,6,1))&lt;=1,FALSE),NOT(MID(Metadata!E467,7,1)=""),IFERROR(INT(MID(Metadata!E467,6,2))&gt;=1,FALSE),IFERROR(INT(MID(Metadata!E467,6,2))&lt;=12,FALSE)), OR(MID(Metadata!E467,8,1)="", AND(AND(MID(Metadata!E467,8,1)="-",IFERROR(INT(MID(Metadata!E467,9,1))&gt;=0,FALSE),IFERROR(INT(MID(Metadata!E467,9,1))&lt;=3,FALSE),NOT(MID(Metadata!E467,10,1)=""),IFERROR(INT(MID(Metadata!E467,9,2))&gt;=1,FALSE),IFERROR(INT(MID(Metadata!E467,9,2))&lt;=31,FALSE)), OR(MID(Metadata!E467,11,1)="", AND(AND(MID(Metadata!E467,11,1)=" ",IFERROR(INT(MID(Metadata!E467,12,1))&gt;=0,FALSE),IFERROR(INT(MID(Metadata!E467,12,1))&lt;=2,FALSE),NOT(MID(Metadata!E467,13,1)=""),IFERROR(INT(MID(Metadata!E467,12,2))&gt;=0,FALSE),IFERROR(INT(MID(Metadata!E467,12,2))&lt;=23,FALSE)), OR(MID(Metadata!E467,14,1)="", AND(AND(MID(Metadata!E467,14,1)=":",IFERROR(INT(MID(Metadata!E467,15,1))&gt;=0,FALSE),IFERROR(INT(MID(Metadata!E467,15,1))&lt;=5,FALSE),NOT(MID(Metadata!E467,16,1)=""),IFERROR(INT(MID(Metadata!E467,15,2))&gt;=0,FALSE),IFERROR(INT(MID(Metadata!E467,15,2))&lt;=59,FALSE)), OR(MID(Metadata!E467,17,1)="", AND(AND(MID(Metadata!E467,17,1)=":",IFERROR(INT(MID(Metadata!E467,18,1))&gt;=0,FALSE),IFERROR(INT(MID(Metadata!E467,18,1))&lt;=5,FALSE),NOT(MID(Metadata!E467,19,1)=""),IFERROR(INT(MID(Metadata!E467,18,2))&gt;=0,FALSE),IFERROR(INT(MID(Metadata!E467,18,2))&lt;=59,FALSE)), LEN(Metadata!E467)&lt;=19)))))))))))))</f>
        <v>0</v>
      </c>
      <c r="AS467" t="b">
        <f>IF(Metadata!F467="",FALSE,TRUE)</f>
        <v>0</v>
      </c>
      <c r="AT467" t="b">
        <f>OR(AND(IF(Metadata!G467="",FALSE,TRUE),OR(EXACT(Metadata!G467,"not collected"),EXACT(Metadata!G467,"not provided"))),AND(IF(Metadata!G467="",FALSE,TRUE),OR(EXACT(Metadata!G467,"TRUE"),EXACT(Metadata!G467,"FALSE"))))</f>
        <v>0</v>
      </c>
      <c r="AU467" t="b">
        <f>OR(AND(IF(Metadata!H467="",FALSE,TRUE),OR(EXACT(Metadata!H467,"not collected"),EXACT(Metadata!H467,"not provided"),EXACT(Metadata!H467,"restricted access"))),AND(IF(Metadata!H467="",FALSE,ISNUMBER(VALUE(Metadata!H467))),Metadata!H467&gt;=-413))</f>
        <v>0</v>
      </c>
      <c r="AV467" t="b">
        <f>AND(IF(Metadata!I467="",FALSE,TRUE),EXACT(Metadata!I467,"meters"))</f>
        <v>0</v>
      </c>
      <c r="AW467" t="b">
        <f>AND(IF(Metadata!J467="",FALSE,TRUE),EXACT(Metadata!J467,"free-living"))</f>
        <v>0</v>
      </c>
      <c r="AX467" t="b">
        <f>AND(IF(Metadata!K467="",FALSE,TRUE),OR(EXACT(Metadata!K467,"saline"),EXACT(Metadata!K467,"non-saline")))</f>
        <v>0</v>
      </c>
      <c r="AY467" t="b">
        <f>AND(IF(Metadata!L467="",FALSE,TRUE),OR(EXACT(Metadata!L467,"sub-surface (non-saline)"),EXACT(Metadata!L467,"surface (non-saline)"),EXACT(Metadata!L467,"water (non-saline)"),EXACT(Metadata!L467,"soil (non-saline)"),EXACT(Metadata!L467,"aerosol (non-saline)"),EXACT(Metadata!L467,"sediment (non-saline)"),EXACT(Metadata!L467,"surface (saline)"),EXACT(Metadata!L467,"water (saline)"),EXACT(Metadata!L467,"hypersaline (saline)"),EXACT(Metadata!L467,"aerosol (saline)"),EXACT(Metadata!L467,"sediment (saline)")))</f>
        <v>0</v>
      </c>
      <c r="AZ467" t="b">
        <f>IF(Metadata!M467="",FALSE,TRUE)</f>
        <v>0</v>
      </c>
      <c r="BA467" t="b">
        <f>IF(Metadata!N467="",FALSE,TRUE)</f>
        <v>0</v>
      </c>
      <c r="BB467" t="b">
        <f>IF(Metadata!O467="",FALSE,TRUE)</f>
        <v>0</v>
      </c>
      <c r="BC467" t="b">
        <f>AND(IF(Metadata!P467="",FALSE,TRUE),OR(EXACT(Metadata!P467,"air"),EXACT(Metadata!P467,"microbial mat/biofilm"),EXACT(Metadata!P467,"misc environment"),EXACT(Metadata!P467,"sediment"),EXACT(Metadata!P467,"soil"),EXACT(Metadata!P467,"wastewater/sludge"),EXACT(Metadata!P467,"water")))</f>
        <v>0</v>
      </c>
      <c r="BD467" t="b">
        <f>IF(Metadata!Q467="",FALSE,TRUE)</f>
        <v>0</v>
      </c>
      <c r="BE467" t="b">
        <f>IF(Metadata!R467="",FALSE,TRUE)</f>
        <v>0</v>
      </c>
      <c r="BF467" t="b">
        <f>OR(AND(IF(Metadata!S467="",FALSE,TRUE),OR(EXACT(Metadata!S467,"not collected"),EXACT(Metadata!S467,"not provided"),EXACT(Metadata!S467,"restricted access"))),AND(IF(Metadata!S467="",FALSE,ISNUMBER(VALUE(Metadata!S467))),Metadata!S467&gt;=-90,Metadata!S467&lt;=90))</f>
        <v>0</v>
      </c>
      <c r="BG467" t="b">
        <f>AND(IF(Metadata!T467="",FALSE,TRUE),EXACT(Metadata!T467,"Decimal degrees"))</f>
        <v>0</v>
      </c>
      <c r="BH467" t="b">
        <f>OR(AND(IF(Metadata!U467="",FALSE,TRUE),OR(EXACT(Metadata!U467,"not applicable"),EXACT(Metadata!U467,"not collected"))),IF(Metadata!U467="",FALSE,TRUE))</f>
        <v>0</v>
      </c>
      <c r="BI467" t="b">
        <f>OR(AND(IF(Metadata!V467="",FALSE,TRUE),OR(EXACT(Metadata!V467,"not collected"),EXACT(Metadata!V467,"not provided"),EXACT(Metadata!V467,"restricted access"))),AND(IF(Metadata!V467="",FALSE,ISNUMBER(VALUE(Metadata!V467))),Metadata!V467&gt;=-180,Metadata!V467&lt;=180))</f>
        <v>0</v>
      </c>
      <c r="BJ467" t="b">
        <f>AND(IF(Metadata!W467="",FALSE,TRUE),EXACT(Metadata!W467,"Decimal degrees"))</f>
        <v>0</v>
      </c>
      <c r="BK467" t="b">
        <f>IF(Metadata!X467="",FALSE,TRUE)</f>
        <v>0</v>
      </c>
      <c r="BL467" t="b">
        <f>OR(AND(IF(Metadata!Y467="",FALSE,TRUE),OR(EXACT(Metadata!Y467,"not collected"),EXACT(Metadata!Y467,"not provided"),EXACT(Metadata!Y467,"restricted access"))),AND(IF(Metadata!Y467="",FALSE,TRUE),OR(EXACT(Metadata!Y467,"TRUE"),EXACT(Metadata!Y467,"FALSE"))))</f>
        <v>0</v>
      </c>
      <c r="BM467" t="b">
        <f>OR(AND(IF(Metadata!Z467="",FALSE,TRUE),EXACT(Metadata!Z467,"not applicable")),AND(IF(Metadata!Z467="",FALSE,TRUE),OR(EXACT(Metadata!Z467,"beer"),EXACT(Metadata!Z467,"cheese"),EXACT(Metadata!Z467,"fresh water"),EXACT(Metadata!Z467,"marine sediment"),EXACT(Metadata!Z467,"sea water"),EXACT(Metadata!Z467,"sediment"),EXACT(Metadata!Z467,"soil"),EXACT(Metadata!Z467,"waste water"))))</f>
        <v>0</v>
      </c>
      <c r="BN467" t="b">
        <f>AND(IF(Metadata!AA467="",FALSE,TRUE),EXACT(Metadata!AA467,"metagenome"))</f>
        <v>0</v>
      </c>
      <c r="BO467" t="b">
        <f>AND(IF(Metadata!AB467="",FALSE,TRUE),EXACT(Metadata!AB467,"256318"))</f>
        <v>0</v>
      </c>
      <c r="BP467" t="b">
        <f>IF(Metadata!AC467="",FALSE,TRUE)</f>
        <v>0</v>
      </c>
      <c r="BQ467" t="b">
        <f>IF(Metadata!AD467="",FALSE,TRUE)</f>
        <v>0</v>
      </c>
    </row>
    <row r="468" spans="1:69" x14ac:dyDescent="0.2">
      <c r="A468" s="4" t="e">
        <f ca="1">IF(B468=" "," ",HYPERLINK(CONCATENATE("#metadata!",ADDRESS(INDEX($AJ$2:$AJ$1001,MATCH(ROWS($AH$2:AH468),$AH$2:$AH$1001,0),0),2)),INDEX($AM$2:$AM$1001,MATCH(ROWS($AH$2:AH468),$AH$2:$AH$1001,0),0)))</f>
        <v>#N/A</v>
      </c>
      <c r="B468" s="5" t="e">
        <f ca="1">IF(OR(INDEX($AI$2:$AI$1001,MATCH(ROWS($AH$2:AH468),$AH$2:$AH$1001,0),1)&gt;=100000,INDEX($AO$1005:$BQ$1005,1,MATCH(COLUMNS($AO$1006:AO1006),$AO$1006:$BQ$1006,0))&gt;=100000), " ",IF(INDEX($AO$2:$BQ$1001,MATCH(ROWS($AH$2:AH468),$AH$2:$AH$1001,0),MATCH(COLUMNS($AO$1006:AO1006),$AO$1006:$BQ$1006,0)), HYPERLINK("#",""), HYPERLINK(CONCATENATE("#Metadata!", ADDRESS(INDEX($AJ$2:$AJ$1001,MATCH(ROWS($AH$2:AH468),$AH$2:$AH$1001,0),0), INDEX($AO$1004:$BQ$1004,1,MATCH(COLUMNS($AO$1006:AO1006),$AO$1006:$BQ$1006,0)))),"Fix")))</f>
        <v>#N/A</v>
      </c>
      <c r="C468" s="5" t="e">
        <f ca="1">IF(OR(INDEX($AI$2:$AI$1001,MATCH(ROWS($AH$2:AH468),$AH$2:$AH$1001,0),1)&gt;=100000,INDEX($AO$1005:$BQ$1005,1,MATCH(COLUMNS($AO$1006:AP1006),$AO$1006:$BQ$1006,0))&gt;=100000), " ",IF(INDEX($AO$2:$BQ$1001,MATCH(ROWS($AH$2:AH468),$AH$2:$AH$1001,0),MATCH(COLUMNS($AO$1006:AP1006),$AO$1006:$BQ$1006,0)), HYPERLINK("#",""), HYPERLINK(CONCATENATE("#Metadata!", ADDRESS(INDEX($AJ$2:$AJ$1001,MATCH(ROWS($AH$2:AH468),$AH$2:$AH$1001,0),0), INDEX($AO$1004:$BQ$1004,1,MATCH(COLUMNS($AO$1006:AP1006),$AO$1006:$BQ$1006,0)))),"Fix")))</f>
        <v>#N/A</v>
      </c>
      <c r="D468" s="5" t="e">
        <f ca="1">IF(OR(INDEX($AI$2:$AI$1001,MATCH(ROWS($AH$2:AH468),$AH$2:$AH$1001,0),1)&gt;=100000,INDEX($AO$1005:$BQ$1005,1,MATCH(COLUMNS($AO$1006:AQ1006),$AO$1006:$BQ$1006,0))&gt;=100000), " ",IF(INDEX($AO$2:$BQ$1001,MATCH(ROWS($AH$2:AH468),$AH$2:$AH$1001,0),MATCH(COLUMNS($AO$1006:AQ1006),$AO$1006:$BQ$1006,0)), HYPERLINK("#",""), HYPERLINK(CONCATENATE("#Metadata!", ADDRESS(INDEX($AJ$2:$AJ$1001,MATCH(ROWS($AH$2:AH468),$AH$2:$AH$1001,0),0), INDEX($AO$1004:$BQ$1004,1,MATCH(COLUMNS($AO$1006:AQ1006),$AO$1006:$BQ$1006,0)))),"Fix")))</f>
        <v>#N/A</v>
      </c>
      <c r="E468" s="5" t="e">
        <f ca="1">IF(OR(INDEX($AI$2:$AI$1001,MATCH(ROWS($AH$2:AH468),$AH$2:$AH$1001,0),1)&gt;=100000,INDEX($AO$1005:$BQ$1005,1,MATCH(COLUMNS($AO$1006:AR1006),$AO$1006:$BQ$1006,0))&gt;=100000), " ",IF(INDEX($AO$2:$BQ$1001,MATCH(ROWS($AH$2:AH468),$AH$2:$AH$1001,0),MATCH(COLUMNS($AO$1006:AR1006),$AO$1006:$BQ$1006,0)), HYPERLINK("#",""), HYPERLINK(CONCATENATE("#Metadata!", ADDRESS(INDEX($AJ$2:$AJ$1001,MATCH(ROWS($AH$2:AH468),$AH$2:$AH$1001,0),0), INDEX($AO$1004:$BQ$1004,1,MATCH(COLUMNS($AO$1006:AR1006),$AO$1006:$BQ$1006,0)))),"Fix")))</f>
        <v>#N/A</v>
      </c>
      <c r="F468" s="5" t="e">
        <f ca="1">IF(OR(INDEX($AI$2:$AI$1001,MATCH(ROWS($AH$2:AH468),$AH$2:$AH$1001,0),1)&gt;=100000,INDEX($AO$1005:$BQ$1005,1,MATCH(COLUMNS($AO$1006:AS1006),$AO$1006:$BQ$1006,0))&gt;=100000), " ",IF(INDEX($AO$2:$BQ$1001,MATCH(ROWS($AH$2:AH468),$AH$2:$AH$1001,0),MATCH(COLUMNS($AO$1006:AS1006),$AO$1006:$BQ$1006,0)), HYPERLINK("#",""), HYPERLINK(CONCATENATE("#Metadata!", ADDRESS(INDEX($AJ$2:$AJ$1001,MATCH(ROWS($AH$2:AH468),$AH$2:$AH$1001,0),0), INDEX($AO$1004:$BQ$1004,1,MATCH(COLUMNS($AO$1006:AS1006),$AO$1006:$BQ$1006,0)))),"Fix")))</f>
        <v>#N/A</v>
      </c>
      <c r="G468" s="5" t="e">
        <f ca="1">IF(OR(INDEX($AI$2:$AI$1001,MATCH(ROWS($AH$2:AH468),$AH$2:$AH$1001,0),1)&gt;=100000,INDEX($AO$1005:$BQ$1005,1,MATCH(COLUMNS($AO$1006:AT1006),$AO$1006:$BQ$1006,0))&gt;=100000), " ",IF(INDEX($AO$2:$BQ$1001,MATCH(ROWS($AH$2:AH468),$AH$2:$AH$1001,0),MATCH(COLUMNS($AO$1006:AT1006),$AO$1006:$BQ$1006,0)), HYPERLINK("#",""), HYPERLINK(CONCATENATE("#Metadata!", ADDRESS(INDEX($AJ$2:$AJ$1001,MATCH(ROWS($AH$2:AH468),$AH$2:$AH$1001,0),0), INDEX($AO$1004:$BQ$1004,1,MATCH(COLUMNS($AO$1006:AT1006),$AO$1006:$BQ$1006,0)))),"Fix")))</f>
        <v>#N/A</v>
      </c>
      <c r="H468" s="5" t="e">
        <f ca="1">IF(OR(INDEX($AI$2:$AI$1001,MATCH(ROWS($AH$2:AH468),$AH$2:$AH$1001,0),1)&gt;=100000,INDEX($AO$1005:$BQ$1005,1,MATCH(COLUMNS($AO$1006:AU1006),$AO$1006:$BQ$1006,0))&gt;=100000), " ",IF(INDEX($AO$2:$BQ$1001,MATCH(ROWS($AH$2:AH468),$AH$2:$AH$1001,0),MATCH(COLUMNS($AO$1006:AU1006),$AO$1006:$BQ$1006,0)), HYPERLINK("#",""), HYPERLINK(CONCATENATE("#Metadata!", ADDRESS(INDEX($AJ$2:$AJ$1001,MATCH(ROWS($AH$2:AH468),$AH$2:$AH$1001,0),0), INDEX($AO$1004:$BQ$1004,1,MATCH(COLUMNS($AO$1006:AU1006),$AO$1006:$BQ$1006,0)))),"Fix")))</f>
        <v>#N/A</v>
      </c>
      <c r="I468" s="5" t="e">
        <f ca="1">IF(OR(INDEX($AI$2:$AI$1001,MATCH(ROWS($AH$2:AH468),$AH$2:$AH$1001,0),1)&gt;=100000,INDEX($AO$1005:$BQ$1005,1,MATCH(COLUMNS($AO$1006:AV1006),$AO$1006:$BQ$1006,0))&gt;=100000), " ",IF(INDEX($AO$2:$BQ$1001,MATCH(ROWS($AH$2:AH468),$AH$2:$AH$1001,0),MATCH(COLUMNS($AO$1006:AV1006),$AO$1006:$BQ$1006,0)), HYPERLINK("#",""), HYPERLINK(CONCATENATE("#Metadata!", ADDRESS(INDEX($AJ$2:$AJ$1001,MATCH(ROWS($AH$2:AH468),$AH$2:$AH$1001,0),0), INDEX($AO$1004:$BQ$1004,1,MATCH(COLUMNS($AO$1006:AV1006),$AO$1006:$BQ$1006,0)))),"Fix")))</f>
        <v>#N/A</v>
      </c>
      <c r="J468" s="5" t="e">
        <f ca="1">IF(OR(INDEX($AI$2:$AI$1001,MATCH(ROWS($AH$2:AH468),$AH$2:$AH$1001,0),1)&gt;=100000,INDEX($AO$1005:$BQ$1005,1,MATCH(COLUMNS($AO$1006:AW1006),$AO$1006:$BQ$1006,0))&gt;=100000), " ",IF(INDEX($AO$2:$BQ$1001,MATCH(ROWS($AH$2:AH468),$AH$2:$AH$1001,0),MATCH(COLUMNS($AO$1006:AW1006),$AO$1006:$BQ$1006,0)), HYPERLINK("#",""), HYPERLINK(CONCATENATE("#Metadata!", ADDRESS(INDEX($AJ$2:$AJ$1001,MATCH(ROWS($AH$2:AH468),$AH$2:$AH$1001,0),0), INDEX($AO$1004:$BQ$1004,1,MATCH(COLUMNS($AO$1006:AW1006),$AO$1006:$BQ$1006,0)))),"Fix")))</f>
        <v>#N/A</v>
      </c>
      <c r="K468" s="5" t="e">
        <f ca="1">IF(OR(INDEX($AI$2:$AI$1001,MATCH(ROWS($AH$2:AH468),$AH$2:$AH$1001,0),1)&gt;=100000,INDEX($AO$1005:$BQ$1005,1,MATCH(COLUMNS($AO$1006:AX1006),$AO$1006:$BQ$1006,0))&gt;=100000), " ",IF(INDEX($AO$2:$BQ$1001,MATCH(ROWS($AH$2:AH468),$AH$2:$AH$1001,0),MATCH(COLUMNS($AO$1006:AX1006),$AO$1006:$BQ$1006,0)), HYPERLINK("#",""), HYPERLINK(CONCATENATE("#Metadata!", ADDRESS(INDEX($AJ$2:$AJ$1001,MATCH(ROWS($AH$2:AH468),$AH$2:$AH$1001,0),0), INDEX($AO$1004:$BQ$1004,1,MATCH(COLUMNS($AO$1006:AX1006),$AO$1006:$BQ$1006,0)))),"Fix")))</f>
        <v>#N/A</v>
      </c>
      <c r="L468" s="5" t="e">
        <f ca="1">IF(OR(INDEX($AI$2:$AI$1001,MATCH(ROWS($AH$2:AH468),$AH$2:$AH$1001,0),1)&gt;=100000,INDEX($AO$1005:$BQ$1005,1,MATCH(COLUMNS($AO$1006:AY1006),$AO$1006:$BQ$1006,0))&gt;=100000), " ",IF(INDEX($AO$2:$BQ$1001,MATCH(ROWS($AH$2:AH468),$AH$2:$AH$1001,0),MATCH(COLUMNS($AO$1006:AY1006),$AO$1006:$BQ$1006,0)), HYPERLINK("#",""), HYPERLINK(CONCATENATE("#Metadata!", ADDRESS(INDEX($AJ$2:$AJ$1001,MATCH(ROWS($AH$2:AH468),$AH$2:$AH$1001,0),0), INDEX($AO$1004:$BQ$1004,1,MATCH(COLUMNS($AO$1006:AY1006),$AO$1006:$BQ$1006,0)))),"Fix")))</f>
        <v>#N/A</v>
      </c>
      <c r="M468" s="5" t="e">
        <f ca="1">IF(OR(INDEX($AI$2:$AI$1001,MATCH(ROWS($AH$2:AH468),$AH$2:$AH$1001,0),1)&gt;=100000,INDEX($AO$1005:$BQ$1005,1,MATCH(COLUMNS($AO$1006:AZ1006),$AO$1006:$BQ$1006,0))&gt;=100000), " ",IF(INDEX($AO$2:$BQ$1001,MATCH(ROWS($AH$2:AH468),$AH$2:$AH$1001,0),MATCH(COLUMNS($AO$1006:AZ1006),$AO$1006:$BQ$1006,0)), HYPERLINK("#",""), HYPERLINK(CONCATENATE("#Metadata!", ADDRESS(INDEX($AJ$2:$AJ$1001,MATCH(ROWS($AH$2:AH468),$AH$2:$AH$1001,0),0), INDEX($AO$1004:$BQ$1004,1,MATCH(COLUMNS($AO$1006:AZ1006),$AO$1006:$BQ$1006,0)))),"Fix")))</f>
        <v>#N/A</v>
      </c>
      <c r="N468" s="5" t="e">
        <f ca="1">IF(OR(INDEX($AI$2:$AI$1001,MATCH(ROWS($AH$2:AH468),$AH$2:$AH$1001,0),1)&gt;=100000,INDEX($AO$1005:$BQ$1005,1,MATCH(COLUMNS($AO$1006:BA1006),$AO$1006:$BQ$1006,0))&gt;=100000), " ",IF(INDEX($AO$2:$BQ$1001,MATCH(ROWS($AH$2:AH468),$AH$2:$AH$1001,0),MATCH(COLUMNS($AO$1006:BA1006),$AO$1006:$BQ$1006,0)), HYPERLINK("#",""), HYPERLINK(CONCATENATE("#Metadata!", ADDRESS(INDEX($AJ$2:$AJ$1001,MATCH(ROWS($AH$2:AH468),$AH$2:$AH$1001,0),0), INDEX($AO$1004:$BQ$1004,1,MATCH(COLUMNS($AO$1006:BA1006),$AO$1006:$BQ$1006,0)))),"Fix")))</f>
        <v>#N/A</v>
      </c>
      <c r="O468" s="5" t="e">
        <f ca="1">IF(OR(INDEX($AI$2:$AI$1001,MATCH(ROWS($AH$2:AH468),$AH$2:$AH$1001,0),1)&gt;=100000,INDEX($AO$1005:$BQ$1005,1,MATCH(COLUMNS($AO$1006:BB1006),$AO$1006:$BQ$1006,0))&gt;=100000), " ",IF(INDEX($AO$2:$BQ$1001,MATCH(ROWS($AH$2:AH468),$AH$2:$AH$1001,0),MATCH(COLUMNS($AO$1006:BB1006),$AO$1006:$BQ$1006,0)), HYPERLINK("#",""), HYPERLINK(CONCATENATE("#Metadata!", ADDRESS(INDEX($AJ$2:$AJ$1001,MATCH(ROWS($AH$2:AH468),$AH$2:$AH$1001,0),0), INDEX($AO$1004:$BQ$1004,1,MATCH(COLUMNS($AO$1006:BB1006),$AO$1006:$BQ$1006,0)))),"Fix")))</f>
        <v>#N/A</v>
      </c>
      <c r="P468" s="5" t="e">
        <f ca="1">IF(OR(INDEX($AI$2:$AI$1001,MATCH(ROWS($AH$2:AH468),$AH$2:$AH$1001,0),1)&gt;=100000,INDEX($AO$1005:$BQ$1005,1,MATCH(COLUMNS($AO$1006:BC1006),$AO$1006:$BQ$1006,0))&gt;=100000), " ",IF(INDEX($AO$2:$BQ$1001,MATCH(ROWS($AH$2:AH468),$AH$2:$AH$1001,0),MATCH(COLUMNS($AO$1006:BC1006),$AO$1006:$BQ$1006,0)), HYPERLINK("#",""), HYPERLINK(CONCATENATE("#Metadata!", ADDRESS(INDEX($AJ$2:$AJ$1001,MATCH(ROWS($AH$2:AH468),$AH$2:$AH$1001,0),0), INDEX($AO$1004:$BQ$1004,1,MATCH(COLUMNS($AO$1006:BC1006),$AO$1006:$BQ$1006,0)))),"Fix")))</f>
        <v>#N/A</v>
      </c>
      <c r="Q468" s="5" t="e">
        <f ca="1">IF(OR(INDEX($AI$2:$AI$1001,MATCH(ROWS($AH$2:AH468),$AH$2:$AH$1001,0),1)&gt;=100000,INDEX($AO$1005:$BQ$1005,1,MATCH(COLUMNS($AO$1006:BD1006),$AO$1006:$BQ$1006,0))&gt;=100000), " ",IF(INDEX($AO$2:$BQ$1001,MATCH(ROWS($AH$2:AH468),$AH$2:$AH$1001,0),MATCH(COLUMNS($AO$1006:BD1006),$AO$1006:$BQ$1006,0)), HYPERLINK("#",""), HYPERLINK(CONCATENATE("#Metadata!", ADDRESS(INDEX($AJ$2:$AJ$1001,MATCH(ROWS($AH$2:AH468),$AH$2:$AH$1001,0),0), INDEX($AO$1004:$BQ$1004,1,MATCH(COLUMNS($AO$1006:BD1006),$AO$1006:$BQ$1006,0)))),"Fix")))</f>
        <v>#N/A</v>
      </c>
      <c r="R468" s="5" t="e">
        <f ca="1">IF(OR(INDEX($AI$2:$AI$1001,MATCH(ROWS($AH$2:AH468),$AH$2:$AH$1001,0),1)&gt;=100000,INDEX($AO$1005:$BQ$1005,1,MATCH(COLUMNS($AO$1006:BE1006),$AO$1006:$BQ$1006,0))&gt;=100000), " ",IF(INDEX($AO$2:$BQ$1001,MATCH(ROWS($AH$2:AH468),$AH$2:$AH$1001,0),MATCH(COLUMNS($AO$1006:BE1006),$AO$1006:$BQ$1006,0)), HYPERLINK("#",""), HYPERLINK(CONCATENATE("#Metadata!", ADDRESS(INDEX($AJ$2:$AJ$1001,MATCH(ROWS($AH$2:AH468),$AH$2:$AH$1001,0),0), INDEX($AO$1004:$BQ$1004,1,MATCH(COLUMNS($AO$1006:BE1006),$AO$1006:$BQ$1006,0)))),"Fix")))</f>
        <v>#N/A</v>
      </c>
      <c r="S468" s="5" t="e">
        <f ca="1">IF(OR(INDEX($AI$2:$AI$1001,MATCH(ROWS($AH$2:AH468),$AH$2:$AH$1001,0),1)&gt;=100000,INDEX($AO$1005:$BQ$1005,1,MATCH(COLUMNS($AO$1006:BF1006),$AO$1006:$BQ$1006,0))&gt;=100000), " ",IF(INDEX($AO$2:$BQ$1001,MATCH(ROWS($AH$2:AH468),$AH$2:$AH$1001,0),MATCH(COLUMNS($AO$1006:BF1006),$AO$1006:$BQ$1006,0)), HYPERLINK("#",""), HYPERLINK(CONCATENATE("#Metadata!", ADDRESS(INDEX($AJ$2:$AJ$1001,MATCH(ROWS($AH$2:AH468),$AH$2:$AH$1001,0),0), INDEX($AO$1004:$BQ$1004,1,MATCH(COLUMNS($AO$1006:BF1006),$AO$1006:$BQ$1006,0)))),"Fix")))</f>
        <v>#N/A</v>
      </c>
      <c r="T468" s="5" t="e">
        <f ca="1">IF(OR(INDEX($AI$2:$AI$1001,MATCH(ROWS($AH$2:AH468),$AH$2:$AH$1001,0),1)&gt;=100000,INDEX($AO$1005:$BQ$1005,1,MATCH(COLUMNS($AO$1006:BG1006),$AO$1006:$BQ$1006,0))&gt;=100000), " ",IF(INDEX($AO$2:$BQ$1001,MATCH(ROWS($AH$2:AH468),$AH$2:$AH$1001,0),MATCH(COLUMNS($AO$1006:BG1006),$AO$1006:$BQ$1006,0)), HYPERLINK("#",""), HYPERLINK(CONCATENATE("#Metadata!", ADDRESS(INDEX($AJ$2:$AJ$1001,MATCH(ROWS($AH$2:AH468),$AH$2:$AH$1001,0),0), INDEX($AO$1004:$BQ$1004,1,MATCH(COLUMNS($AO$1006:BG1006),$AO$1006:$BQ$1006,0)))),"Fix")))</f>
        <v>#N/A</v>
      </c>
      <c r="U468" s="5" t="e">
        <f ca="1">IF(OR(INDEX($AI$2:$AI$1001,MATCH(ROWS($AH$2:AH468),$AH$2:$AH$1001,0),1)&gt;=100000,INDEX($AO$1005:$BQ$1005,1,MATCH(COLUMNS($AO$1006:BH1006),$AO$1006:$BQ$1006,0))&gt;=100000), " ",IF(INDEX($AO$2:$BQ$1001,MATCH(ROWS($AH$2:AH468),$AH$2:$AH$1001,0),MATCH(COLUMNS($AO$1006:BH1006),$AO$1006:$BQ$1006,0)), HYPERLINK("#",""), HYPERLINK(CONCATENATE("#Metadata!", ADDRESS(INDEX($AJ$2:$AJ$1001,MATCH(ROWS($AH$2:AH468),$AH$2:$AH$1001,0),0), INDEX($AO$1004:$BQ$1004,1,MATCH(COLUMNS($AO$1006:BH1006),$AO$1006:$BQ$1006,0)))),"Fix")))</f>
        <v>#N/A</v>
      </c>
      <c r="V468" s="5" t="e">
        <f ca="1">IF(OR(INDEX($AI$2:$AI$1001,MATCH(ROWS($AH$2:AH468),$AH$2:$AH$1001,0),1)&gt;=100000,INDEX($AO$1005:$BQ$1005,1,MATCH(COLUMNS($AO$1006:BI1006),$AO$1006:$BQ$1006,0))&gt;=100000), " ",IF(INDEX($AO$2:$BQ$1001,MATCH(ROWS($AH$2:AH468),$AH$2:$AH$1001,0),MATCH(COLUMNS($AO$1006:BI1006),$AO$1006:$BQ$1006,0)), HYPERLINK("#",""), HYPERLINK(CONCATENATE("#Metadata!", ADDRESS(INDEX($AJ$2:$AJ$1001,MATCH(ROWS($AH$2:AH468),$AH$2:$AH$1001,0),0), INDEX($AO$1004:$BQ$1004,1,MATCH(COLUMNS($AO$1006:BI1006),$AO$1006:$BQ$1006,0)))),"Fix")))</f>
        <v>#N/A</v>
      </c>
      <c r="W468" s="5" t="e">
        <f ca="1">IF(OR(INDEX($AI$2:$AI$1001,MATCH(ROWS($AH$2:AH468),$AH$2:$AH$1001,0),1)&gt;=100000,INDEX($AO$1005:$BQ$1005,1,MATCH(COLUMNS($AO$1006:BJ1006),$AO$1006:$BQ$1006,0))&gt;=100000), " ",IF(INDEX($AO$2:$BQ$1001,MATCH(ROWS($AH$2:AH468),$AH$2:$AH$1001,0),MATCH(COLUMNS($AO$1006:BJ1006),$AO$1006:$BQ$1006,0)), HYPERLINK("#",""), HYPERLINK(CONCATENATE("#Metadata!", ADDRESS(INDEX($AJ$2:$AJ$1001,MATCH(ROWS($AH$2:AH468),$AH$2:$AH$1001,0),0), INDEX($AO$1004:$BQ$1004,1,MATCH(COLUMNS($AO$1006:BJ1006),$AO$1006:$BQ$1006,0)))),"Fix")))</f>
        <v>#N/A</v>
      </c>
      <c r="X468" s="5" t="e">
        <f ca="1">IF(OR(INDEX($AI$2:$AI$1001,MATCH(ROWS($AH$2:AH468),$AH$2:$AH$1001,0),1)&gt;=100000,INDEX($AO$1005:$BQ$1005,1,MATCH(COLUMNS($AO$1006:BK1006),$AO$1006:$BQ$1006,0))&gt;=100000), " ",IF(INDEX($AO$2:$BQ$1001,MATCH(ROWS($AH$2:AH468),$AH$2:$AH$1001,0),MATCH(COLUMNS($AO$1006:BK1006),$AO$1006:$BQ$1006,0)), HYPERLINK("#",""), HYPERLINK(CONCATENATE("#Metadata!", ADDRESS(INDEX($AJ$2:$AJ$1001,MATCH(ROWS($AH$2:AH468),$AH$2:$AH$1001,0),0), INDEX($AO$1004:$BQ$1004,1,MATCH(COLUMNS($AO$1006:BK1006),$AO$1006:$BQ$1006,0)))),"Fix")))</f>
        <v>#N/A</v>
      </c>
      <c r="Y468" s="5" t="e">
        <f ca="1">IF(OR(INDEX($AI$2:$AI$1001,MATCH(ROWS($AH$2:AH468),$AH$2:$AH$1001,0),1)&gt;=100000,INDEX($AO$1005:$BQ$1005,1,MATCH(COLUMNS($AO$1006:BL1006),$AO$1006:$BQ$1006,0))&gt;=100000), " ",IF(INDEX($AO$2:$BQ$1001,MATCH(ROWS($AH$2:AH468),$AH$2:$AH$1001,0),MATCH(COLUMNS($AO$1006:BL1006),$AO$1006:$BQ$1006,0)), HYPERLINK("#",""), HYPERLINK(CONCATENATE("#Metadata!", ADDRESS(INDEX($AJ$2:$AJ$1001,MATCH(ROWS($AH$2:AH468),$AH$2:$AH$1001,0),0), INDEX($AO$1004:$BQ$1004,1,MATCH(COLUMNS($AO$1006:BL1006),$AO$1006:$BQ$1006,0)))),"Fix")))</f>
        <v>#N/A</v>
      </c>
      <c r="Z468" s="5" t="e">
        <f ca="1">IF(OR(INDEX($AI$2:$AI$1001,MATCH(ROWS($AH$2:AH468),$AH$2:$AH$1001,0),1)&gt;=100000,INDEX($AO$1005:$BQ$1005,1,MATCH(COLUMNS($AO$1006:BM1006),$AO$1006:$BQ$1006,0))&gt;=100000), " ",IF(INDEX($AO$2:$BQ$1001,MATCH(ROWS($AH$2:AH468),$AH$2:$AH$1001,0),MATCH(COLUMNS($AO$1006:BM1006),$AO$1006:$BQ$1006,0)), HYPERLINK("#",""), HYPERLINK(CONCATENATE("#Metadata!", ADDRESS(INDEX($AJ$2:$AJ$1001,MATCH(ROWS($AH$2:AH468),$AH$2:$AH$1001,0),0), INDEX($AO$1004:$BQ$1004,1,MATCH(COLUMNS($AO$1006:BM1006),$AO$1006:$BQ$1006,0)))),"Fix")))</f>
        <v>#N/A</v>
      </c>
      <c r="AA468" s="5" t="e">
        <f ca="1">IF(OR(INDEX($AI$2:$AI$1001,MATCH(ROWS($AH$2:AH468),$AH$2:$AH$1001,0),1)&gt;=100000,INDEX($AO$1005:$BQ$1005,1,MATCH(COLUMNS($AO$1006:BN1006),$AO$1006:$BQ$1006,0))&gt;=100000), " ",IF(INDEX($AO$2:$BQ$1001,MATCH(ROWS($AH$2:AH468),$AH$2:$AH$1001,0),MATCH(COLUMNS($AO$1006:BN1006),$AO$1006:$BQ$1006,0)), HYPERLINK("#",""), HYPERLINK(CONCATENATE("#Metadata!", ADDRESS(INDEX($AJ$2:$AJ$1001,MATCH(ROWS($AH$2:AH468),$AH$2:$AH$1001,0),0), INDEX($AO$1004:$BQ$1004,1,MATCH(COLUMNS($AO$1006:BN1006),$AO$1006:$BQ$1006,0)))),"Fix")))</f>
        <v>#N/A</v>
      </c>
      <c r="AB468" s="5" t="e">
        <f ca="1">IF(OR(INDEX($AI$2:$AI$1001,MATCH(ROWS($AH$2:AH468),$AH$2:$AH$1001,0),1)&gt;=100000,INDEX($AO$1005:$BQ$1005,1,MATCH(COLUMNS($AO$1006:BO1006),$AO$1006:$BQ$1006,0))&gt;=100000), " ",IF(INDEX($AO$2:$BQ$1001,MATCH(ROWS($AH$2:AH468),$AH$2:$AH$1001,0),MATCH(COLUMNS($AO$1006:BO1006),$AO$1006:$BQ$1006,0)), HYPERLINK("#",""), HYPERLINK(CONCATENATE("#Metadata!", ADDRESS(INDEX($AJ$2:$AJ$1001,MATCH(ROWS($AH$2:AH468),$AH$2:$AH$1001,0),0), INDEX($AO$1004:$BQ$1004,1,MATCH(COLUMNS($AO$1006:BO1006),$AO$1006:$BQ$1006,0)))),"Fix")))</f>
        <v>#N/A</v>
      </c>
      <c r="AC468" s="5" t="e">
        <f ca="1">IF(OR(INDEX($AI$2:$AI$1001,MATCH(ROWS($AH$2:AH468),$AH$2:$AH$1001,0),1)&gt;=100000,INDEX($AO$1005:$BQ$1005,1,MATCH(COLUMNS($AO$1006:BP1006),$AO$1006:$BQ$1006,0))&gt;=100000), " ",IF(INDEX($AO$2:$BQ$1001,MATCH(ROWS($AH$2:AH468),$AH$2:$AH$1001,0),MATCH(COLUMNS($AO$1006:BP1006),$AO$1006:$BQ$1006,0)), HYPERLINK("#",""), HYPERLINK(CONCATENATE("#Metadata!", ADDRESS(INDEX($AJ$2:$AJ$1001,MATCH(ROWS($AH$2:AH468),$AH$2:$AH$1001,0),0), INDEX($AO$1004:$BQ$1004,1,MATCH(COLUMNS($AO$1006:BP1006),$AO$1006:$BQ$1006,0)))),"Fix")))</f>
        <v>#N/A</v>
      </c>
      <c r="AD468" s="5" t="e">
        <f ca="1">IF(OR(INDEX($AI$2:$AI$1001,MATCH(ROWS($AH$2:AH468),$AH$2:$AH$1001,0),1)&gt;=100000,INDEX($AO$1005:$BQ$1005,1,MATCH(COLUMNS($AO$1006:BQ1006),$AO$1006:$BQ$1006,0))&gt;=100000), " ",IF(INDEX($AO$2:$BQ$1001,MATCH(ROWS($AH$2:AH468),$AH$2:$AH$1001,0),MATCH(COLUMNS($AO$1006:BQ1006),$AO$1006:$BQ$1006,0)), HYPERLINK("#",""), HYPERLINK(CONCATENATE("#Metadata!", ADDRESS(INDEX($AJ$2:$AJ$1001,MATCH(ROWS($AH$2:AH468),$AH$2:$AH$1001,0),0), INDEX($AO$1004:$BQ$1004,1,MATCH(COLUMNS($AO$1006:BQ1006),$AO$1006:$BQ$1006,0)))),"Fix")))</f>
        <v>#REF!</v>
      </c>
      <c r="AH468">
        <f ca="1"/>
        <v>465</v>
      </c>
      <c r="AI468">
        <v>100468</v>
      </c>
      <c r="AJ468">
        <v>468</v>
      </c>
      <c r="AK468" t="b">
        <f t="shared" si="7"/>
        <v>1</v>
      </c>
      <c r="AL468" t="b">
        <f>COUNTBLANK(Metadata!B468:AD468)=COLUMNS(Metadata!B468:AD468)</f>
        <v>1</v>
      </c>
      <c r="AM468" t="str">
        <v/>
      </c>
      <c r="AO468" t="b">
        <f ca="1">AND(IF(Metadata!B468="",FALSE,TRUE),COUNTIF(Metadata!B:B, Metadata!B468) = 1,NOT(ISERROR(SUMPRODUCT(SEARCH(MID(Metadata!B468,ROW(INDIRECT("1:"&amp;LEN(Metadata!B468))), 1),"0123456789abcdefghijklmnopqrstuvwxyzABCDEFGHIJKLMNOPQRSTUVWXYZ.")))))</f>
        <v>0</v>
      </c>
      <c r="AP468" t="b">
        <f>IF(Metadata!C468="",FALSE,TRUE)</f>
        <v>0</v>
      </c>
      <c r="AQ468" t="b">
        <f>IF(Metadata!D468="",FALSE,TRUE)</f>
        <v>0</v>
      </c>
      <c r="AR468" t="b">
        <f ca="1">OR(AND(IF(Metadata!E468="",FALSE,TRUE),OR(EXACT(Metadata!E468,"not collected"),EXACT(Metadata!E468,"not provided"),EXACT(Metadata!E468,"restricted access"))),AND(IF(Metadata!E468="",FALSE,TRUE),AND(AND(IFERROR(INT(LEFT(Metadata!E468,4))&gt;1900,FALSE),IFERROR(INT(LEFT(Metadata!E468,4))&lt;=YEAR(NOW()),FALSE)), OR(MID(Metadata!E468,5,1)="", AND(AND(MID(Metadata!E468,5,1)="-",IFERROR(INT(MID(Metadata!E468,6,1))&gt;=0,FALSE),IFERROR(INT(MID(Metadata!E468,6,1))&lt;=1,FALSE),NOT(MID(Metadata!E468,7,1)=""),IFERROR(INT(MID(Metadata!E468,6,2))&gt;=1,FALSE),IFERROR(INT(MID(Metadata!E468,6,2))&lt;=12,FALSE)), OR(MID(Metadata!E468,8,1)="", AND(AND(MID(Metadata!E468,8,1)="-",IFERROR(INT(MID(Metadata!E468,9,1))&gt;=0,FALSE),IFERROR(INT(MID(Metadata!E468,9,1))&lt;=3,FALSE),NOT(MID(Metadata!E468,10,1)=""),IFERROR(INT(MID(Metadata!E468,9,2))&gt;=1,FALSE),IFERROR(INT(MID(Metadata!E468,9,2))&lt;=31,FALSE)), OR(MID(Metadata!E468,11,1)="", AND(AND(MID(Metadata!E468,11,1)=" ",IFERROR(INT(MID(Metadata!E468,12,1))&gt;=0,FALSE),IFERROR(INT(MID(Metadata!E468,12,1))&lt;=2,FALSE),NOT(MID(Metadata!E468,13,1)=""),IFERROR(INT(MID(Metadata!E468,12,2))&gt;=0,FALSE),IFERROR(INT(MID(Metadata!E468,12,2))&lt;=23,FALSE)), OR(MID(Metadata!E468,14,1)="", AND(AND(MID(Metadata!E468,14,1)=":",IFERROR(INT(MID(Metadata!E468,15,1))&gt;=0,FALSE),IFERROR(INT(MID(Metadata!E468,15,1))&lt;=5,FALSE),NOT(MID(Metadata!E468,16,1)=""),IFERROR(INT(MID(Metadata!E468,15,2))&gt;=0,FALSE),IFERROR(INT(MID(Metadata!E468,15,2))&lt;=59,FALSE)), OR(MID(Metadata!E468,17,1)="", AND(AND(MID(Metadata!E468,17,1)=":",IFERROR(INT(MID(Metadata!E468,18,1))&gt;=0,FALSE),IFERROR(INT(MID(Metadata!E468,18,1))&lt;=5,FALSE),NOT(MID(Metadata!E468,19,1)=""),IFERROR(INT(MID(Metadata!E468,18,2))&gt;=0,FALSE),IFERROR(INT(MID(Metadata!E468,18,2))&lt;=59,FALSE)), LEN(Metadata!E468)&lt;=19)))))))))))))</f>
        <v>0</v>
      </c>
      <c r="AS468" t="b">
        <f>IF(Metadata!F468="",FALSE,TRUE)</f>
        <v>0</v>
      </c>
      <c r="AT468" t="b">
        <f>OR(AND(IF(Metadata!G468="",FALSE,TRUE),OR(EXACT(Metadata!G468,"not collected"),EXACT(Metadata!G468,"not provided"))),AND(IF(Metadata!G468="",FALSE,TRUE),OR(EXACT(Metadata!G468,"TRUE"),EXACT(Metadata!G468,"FALSE"))))</f>
        <v>0</v>
      </c>
      <c r="AU468" t="b">
        <f>OR(AND(IF(Metadata!H468="",FALSE,TRUE),OR(EXACT(Metadata!H468,"not collected"),EXACT(Metadata!H468,"not provided"),EXACT(Metadata!H468,"restricted access"))),AND(IF(Metadata!H468="",FALSE,ISNUMBER(VALUE(Metadata!H468))),Metadata!H468&gt;=-413))</f>
        <v>0</v>
      </c>
      <c r="AV468" t="b">
        <f>AND(IF(Metadata!I468="",FALSE,TRUE),EXACT(Metadata!I468,"meters"))</f>
        <v>0</v>
      </c>
      <c r="AW468" t="b">
        <f>AND(IF(Metadata!J468="",FALSE,TRUE),EXACT(Metadata!J468,"free-living"))</f>
        <v>0</v>
      </c>
      <c r="AX468" t="b">
        <f>AND(IF(Metadata!K468="",FALSE,TRUE),OR(EXACT(Metadata!K468,"saline"),EXACT(Metadata!K468,"non-saline")))</f>
        <v>0</v>
      </c>
      <c r="AY468" t="b">
        <f>AND(IF(Metadata!L468="",FALSE,TRUE),OR(EXACT(Metadata!L468,"sub-surface (non-saline)"),EXACT(Metadata!L468,"surface (non-saline)"),EXACT(Metadata!L468,"water (non-saline)"),EXACT(Metadata!L468,"soil (non-saline)"),EXACT(Metadata!L468,"aerosol (non-saline)"),EXACT(Metadata!L468,"sediment (non-saline)"),EXACT(Metadata!L468,"surface (saline)"),EXACT(Metadata!L468,"water (saline)"),EXACT(Metadata!L468,"hypersaline (saline)"),EXACT(Metadata!L468,"aerosol (saline)"),EXACT(Metadata!L468,"sediment (saline)")))</f>
        <v>0</v>
      </c>
      <c r="AZ468" t="b">
        <f>IF(Metadata!M468="",FALSE,TRUE)</f>
        <v>0</v>
      </c>
      <c r="BA468" t="b">
        <f>IF(Metadata!N468="",FALSE,TRUE)</f>
        <v>0</v>
      </c>
      <c r="BB468" t="b">
        <f>IF(Metadata!O468="",FALSE,TRUE)</f>
        <v>0</v>
      </c>
      <c r="BC468" t="b">
        <f>AND(IF(Metadata!P468="",FALSE,TRUE),OR(EXACT(Metadata!P468,"air"),EXACT(Metadata!P468,"microbial mat/biofilm"),EXACT(Metadata!P468,"misc environment"),EXACT(Metadata!P468,"sediment"),EXACT(Metadata!P468,"soil"),EXACT(Metadata!P468,"wastewater/sludge"),EXACT(Metadata!P468,"water")))</f>
        <v>0</v>
      </c>
      <c r="BD468" t="b">
        <f>IF(Metadata!Q468="",FALSE,TRUE)</f>
        <v>0</v>
      </c>
      <c r="BE468" t="b">
        <f>IF(Metadata!R468="",FALSE,TRUE)</f>
        <v>0</v>
      </c>
      <c r="BF468" t="b">
        <f>OR(AND(IF(Metadata!S468="",FALSE,TRUE),OR(EXACT(Metadata!S468,"not collected"),EXACT(Metadata!S468,"not provided"),EXACT(Metadata!S468,"restricted access"))),AND(IF(Metadata!S468="",FALSE,ISNUMBER(VALUE(Metadata!S468))),Metadata!S468&gt;=-90,Metadata!S468&lt;=90))</f>
        <v>0</v>
      </c>
      <c r="BG468" t="b">
        <f>AND(IF(Metadata!T468="",FALSE,TRUE),EXACT(Metadata!T468,"Decimal degrees"))</f>
        <v>0</v>
      </c>
      <c r="BH468" t="b">
        <f>OR(AND(IF(Metadata!U468="",FALSE,TRUE),OR(EXACT(Metadata!U468,"not applicable"),EXACT(Metadata!U468,"not collected"))),IF(Metadata!U468="",FALSE,TRUE))</f>
        <v>0</v>
      </c>
      <c r="BI468" t="b">
        <f>OR(AND(IF(Metadata!V468="",FALSE,TRUE),OR(EXACT(Metadata!V468,"not collected"),EXACT(Metadata!V468,"not provided"),EXACT(Metadata!V468,"restricted access"))),AND(IF(Metadata!V468="",FALSE,ISNUMBER(VALUE(Metadata!V468))),Metadata!V468&gt;=-180,Metadata!V468&lt;=180))</f>
        <v>0</v>
      </c>
      <c r="BJ468" t="b">
        <f>AND(IF(Metadata!W468="",FALSE,TRUE),EXACT(Metadata!W468,"Decimal degrees"))</f>
        <v>0</v>
      </c>
      <c r="BK468" t="b">
        <f>IF(Metadata!X468="",FALSE,TRUE)</f>
        <v>0</v>
      </c>
      <c r="BL468" t="b">
        <f>OR(AND(IF(Metadata!Y468="",FALSE,TRUE),OR(EXACT(Metadata!Y468,"not collected"),EXACT(Metadata!Y468,"not provided"),EXACT(Metadata!Y468,"restricted access"))),AND(IF(Metadata!Y468="",FALSE,TRUE),OR(EXACT(Metadata!Y468,"TRUE"),EXACT(Metadata!Y468,"FALSE"))))</f>
        <v>0</v>
      </c>
      <c r="BM468" t="b">
        <f>OR(AND(IF(Metadata!Z468="",FALSE,TRUE),EXACT(Metadata!Z468,"not applicable")),AND(IF(Metadata!Z468="",FALSE,TRUE),OR(EXACT(Metadata!Z468,"beer"),EXACT(Metadata!Z468,"cheese"),EXACT(Metadata!Z468,"fresh water"),EXACT(Metadata!Z468,"marine sediment"),EXACT(Metadata!Z468,"sea water"),EXACT(Metadata!Z468,"sediment"),EXACT(Metadata!Z468,"soil"),EXACT(Metadata!Z468,"waste water"))))</f>
        <v>0</v>
      </c>
      <c r="BN468" t="b">
        <f>AND(IF(Metadata!AA468="",FALSE,TRUE),EXACT(Metadata!AA468,"metagenome"))</f>
        <v>0</v>
      </c>
      <c r="BO468" t="b">
        <f>AND(IF(Metadata!AB468="",FALSE,TRUE),EXACT(Metadata!AB468,"256318"))</f>
        <v>0</v>
      </c>
      <c r="BP468" t="b">
        <f>IF(Metadata!AC468="",FALSE,TRUE)</f>
        <v>0</v>
      </c>
      <c r="BQ468" t="b">
        <f>IF(Metadata!AD468="",FALSE,TRUE)</f>
        <v>0</v>
      </c>
    </row>
    <row r="469" spans="1:69" x14ac:dyDescent="0.2">
      <c r="A469" s="4" t="e">
        <f ca="1">IF(B469=" "," ",HYPERLINK(CONCATENATE("#metadata!",ADDRESS(INDEX($AJ$2:$AJ$1001,MATCH(ROWS($AH$2:AH469),$AH$2:$AH$1001,0),0),2)),INDEX($AM$2:$AM$1001,MATCH(ROWS($AH$2:AH469),$AH$2:$AH$1001,0),0)))</f>
        <v>#N/A</v>
      </c>
      <c r="B469" s="5" t="e">
        <f ca="1">IF(OR(INDEX($AI$2:$AI$1001,MATCH(ROWS($AH$2:AH469),$AH$2:$AH$1001,0),1)&gt;=100000,INDEX($AO$1005:$BQ$1005,1,MATCH(COLUMNS($AO$1006:AO1006),$AO$1006:$BQ$1006,0))&gt;=100000), " ",IF(INDEX($AO$2:$BQ$1001,MATCH(ROWS($AH$2:AH469),$AH$2:$AH$1001,0),MATCH(COLUMNS($AO$1006:AO1006),$AO$1006:$BQ$1006,0)), HYPERLINK("#",""), HYPERLINK(CONCATENATE("#Metadata!", ADDRESS(INDEX($AJ$2:$AJ$1001,MATCH(ROWS($AH$2:AH469),$AH$2:$AH$1001,0),0), INDEX($AO$1004:$BQ$1004,1,MATCH(COLUMNS($AO$1006:AO1006),$AO$1006:$BQ$1006,0)))),"Fix")))</f>
        <v>#N/A</v>
      </c>
      <c r="C469" s="5" t="e">
        <f ca="1">IF(OR(INDEX($AI$2:$AI$1001,MATCH(ROWS($AH$2:AH469),$AH$2:$AH$1001,0),1)&gt;=100000,INDEX($AO$1005:$BQ$1005,1,MATCH(COLUMNS($AO$1006:AP1006),$AO$1006:$BQ$1006,0))&gt;=100000), " ",IF(INDEX($AO$2:$BQ$1001,MATCH(ROWS($AH$2:AH469),$AH$2:$AH$1001,0),MATCH(COLUMNS($AO$1006:AP1006),$AO$1006:$BQ$1006,0)), HYPERLINK("#",""), HYPERLINK(CONCATENATE("#Metadata!", ADDRESS(INDEX($AJ$2:$AJ$1001,MATCH(ROWS($AH$2:AH469),$AH$2:$AH$1001,0),0), INDEX($AO$1004:$BQ$1004,1,MATCH(COLUMNS($AO$1006:AP1006),$AO$1006:$BQ$1006,0)))),"Fix")))</f>
        <v>#N/A</v>
      </c>
      <c r="D469" s="5" t="e">
        <f ca="1">IF(OR(INDEX($AI$2:$AI$1001,MATCH(ROWS($AH$2:AH469),$AH$2:$AH$1001,0),1)&gt;=100000,INDEX($AO$1005:$BQ$1005,1,MATCH(COLUMNS($AO$1006:AQ1006),$AO$1006:$BQ$1006,0))&gt;=100000), " ",IF(INDEX($AO$2:$BQ$1001,MATCH(ROWS($AH$2:AH469),$AH$2:$AH$1001,0),MATCH(COLUMNS($AO$1006:AQ1006),$AO$1006:$BQ$1006,0)), HYPERLINK("#",""), HYPERLINK(CONCATENATE("#Metadata!", ADDRESS(INDEX($AJ$2:$AJ$1001,MATCH(ROWS($AH$2:AH469),$AH$2:$AH$1001,0),0), INDEX($AO$1004:$BQ$1004,1,MATCH(COLUMNS($AO$1006:AQ1006),$AO$1006:$BQ$1006,0)))),"Fix")))</f>
        <v>#N/A</v>
      </c>
      <c r="E469" s="5" t="e">
        <f ca="1">IF(OR(INDEX($AI$2:$AI$1001,MATCH(ROWS($AH$2:AH469),$AH$2:$AH$1001,0),1)&gt;=100000,INDEX($AO$1005:$BQ$1005,1,MATCH(COLUMNS($AO$1006:AR1006),$AO$1006:$BQ$1006,0))&gt;=100000), " ",IF(INDEX($AO$2:$BQ$1001,MATCH(ROWS($AH$2:AH469),$AH$2:$AH$1001,0),MATCH(COLUMNS($AO$1006:AR1006),$AO$1006:$BQ$1006,0)), HYPERLINK("#",""), HYPERLINK(CONCATENATE("#Metadata!", ADDRESS(INDEX($AJ$2:$AJ$1001,MATCH(ROWS($AH$2:AH469),$AH$2:$AH$1001,0),0), INDEX($AO$1004:$BQ$1004,1,MATCH(COLUMNS($AO$1006:AR1006),$AO$1006:$BQ$1006,0)))),"Fix")))</f>
        <v>#N/A</v>
      </c>
      <c r="F469" s="5" t="e">
        <f ca="1">IF(OR(INDEX($AI$2:$AI$1001,MATCH(ROWS($AH$2:AH469),$AH$2:$AH$1001,0),1)&gt;=100000,INDEX($AO$1005:$BQ$1005,1,MATCH(COLUMNS($AO$1006:AS1006),$AO$1006:$BQ$1006,0))&gt;=100000), " ",IF(INDEX($AO$2:$BQ$1001,MATCH(ROWS($AH$2:AH469),$AH$2:$AH$1001,0),MATCH(COLUMNS($AO$1006:AS1006),$AO$1006:$BQ$1006,0)), HYPERLINK("#",""), HYPERLINK(CONCATENATE("#Metadata!", ADDRESS(INDEX($AJ$2:$AJ$1001,MATCH(ROWS($AH$2:AH469),$AH$2:$AH$1001,0),0), INDEX($AO$1004:$BQ$1004,1,MATCH(COLUMNS($AO$1006:AS1006),$AO$1006:$BQ$1006,0)))),"Fix")))</f>
        <v>#N/A</v>
      </c>
      <c r="G469" s="5" t="e">
        <f ca="1">IF(OR(INDEX($AI$2:$AI$1001,MATCH(ROWS($AH$2:AH469),$AH$2:$AH$1001,0),1)&gt;=100000,INDEX($AO$1005:$BQ$1005,1,MATCH(COLUMNS($AO$1006:AT1006),$AO$1006:$BQ$1006,0))&gt;=100000), " ",IF(INDEX($AO$2:$BQ$1001,MATCH(ROWS($AH$2:AH469),$AH$2:$AH$1001,0),MATCH(COLUMNS($AO$1006:AT1006),$AO$1006:$BQ$1006,0)), HYPERLINK("#",""), HYPERLINK(CONCATENATE("#Metadata!", ADDRESS(INDEX($AJ$2:$AJ$1001,MATCH(ROWS($AH$2:AH469),$AH$2:$AH$1001,0),0), INDEX($AO$1004:$BQ$1004,1,MATCH(COLUMNS($AO$1006:AT1006),$AO$1006:$BQ$1006,0)))),"Fix")))</f>
        <v>#N/A</v>
      </c>
      <c r="H469" s="5" t="e">
        <f ca="1">IF(OR(INDEX($AI$2:$AI$1001,MATCH(ROWS($AH$2:AH469),$AH$2:$AH$1001,0),1)&gt;=100000,INDEX($AO$1005:$BQ$1005,1,MATCH(COLUMNS($AO$1006:AU1006),$AO$1006:$BQ$1006,0))&gt;=100000), " ",IF(INDEX($AO$2:$BQ$1001,MATCH(ROWS($AH$2:AH469),$AH$2:$AH$1001,0),MATCH(COLUMNS($AO$1006:AU1006),$AO$1006:$BQ$1006,0)), HYPERLINK("#",""), HYPERLINK(CONCATENATE("#Metadata!", ADDRESS(INDEX($AJ$2:$AJ$1001,MATCH(ROWS($AH$2:AH469),$AH$2:$AH$1001,0),0), INDEX($AO$1004:$BQ$1004,1,MATCH(COLUMNS($AO$1006:AU1006),$AO$1006:$BQ$1006,0)))),"Fix")))</f>
        <v>#N/A</v>
      </c>
      <c r="I469" s="5" t="e">
        <f ca="1">IF(OR(INDEX($AI$2:$AI$1001,MATCH(ROWS($AH$2:AH469),$AH$2:$AH$1001,0),1)&gt;=100000,INDEX($AO$1005:$BQ$1005,1,MATCH(COLUMNS($AO$1006:AV1006),$AO$1006:$BQ$1006,0))&gt;=100000), " ",IF(INDEX($AO$2:$BQ$1001,MATCH(ROWS($AH$2:AH469),$AH$2:$AH$1001,0),MATCH(COLUMNS($AO$1006:AV1006),$AO$1006:$BQ$1006,0)), HYPERLINK("#",""), HYPERLINK(CONCATENATE("#Metadata!", ADDRESS(INDEX($AJ$2:$AJ$1001,MATCH(ROWS($AH$2:AH469),$AH$2:$AH$1001,0),0), INDEX($AO$1004:$BQ$1004,1,MATCH(COLUMNS($AO$1006:AV1006),$AO$1006:$BQ$1006,0)))),"Fix")))</f>
        <v>#N/A</v>
      </c>
      <c r="J469" s="5" t="e">
        <f ca="1">IF(OR(INDEX($AI$2:$AI$1001,MATCH(ROWS($AH$2:AH469),$AH$2:$AH$1001,0),1)&gt;=100000,INDEX($AO$1005:$BQ$1005,1,MATCH(COLUMNS($AO$1006:AW1006),$AO$1006:$BQ$1006,0))&gt;=100000), " ",IF(INDEX($AO$2:$BQ$1001,MATCH(ROWS($AH$2:AH469),$AH$2:$AH$1001,0),MATCH(COLUMNS($AO$1006:AW1006),$AO$1006:$BQ$1006,0)), HYPERLINK("#",""), HYPERLINK(CONCATENATE("#Metadata!", ADDRESS(INDEX($AJ$2:$AJ$1001,MATCH(ROWS($AH$2:AH469),$AH$2:$AH$1001,0),0), INDEX($AO$1004:$BQ$1004,1,MATCH(COLUMNS($AO$1006:AW1006),$AO$1006:$BQ$1006,0)))),"Fix")))</f>
        <v>#N/A</v>
      </c>
      <c r="K469" s="5" t="e">
        <f ca="1">IF(OR(INDEX($AI$2:$AI$1001,MATCH(ROWS($AH$2:AH469),$AH$2:$AH$1001,0),1)&gt;=100000,INDEX($AO$1005:$BQ$1005,1,MATCH(COLUMNS($AO$1006:AX1006),$AO$1006:$BQ$1006,0))&gt;=100000), " ",IF(INDEX($AO$2:$BQ$1001,MATCH(ROWS($AH$2:AH469),$AH$2:$AH$1001,0),MATCH(COLUMNS($AO$1006:AX1006),$AO$1006:$BQ$1006,0)), HYPERLINK("#",""), HYPERLINK(CONCATENATE("#Metadata!", ADDRESS(INDEX($AJ$2:$AJ$1001,MATCH(ROWS($AH$2:AH469),$AH$2:$AH$1001,0),0), INDEX($AO$1004:$BQ$1004,1,MATCH(COLUMNS($AO$1006:AX1006),$AO$1006:$BQ$1006,0)))),"Fix")))</f>
        <v>#N/A</v>
      </c>
      <c r="L469" s="5" t="e">
        <f ca="1">IF(OR(INDEX($AI$2:$AI$1001,MATCH(ROWS($AH$2:AH469),$AH$2:$AH$1001,0),1)&gt;=100000,INDEX($AO$1005:$BQ$1005,1,MATCH(COLUMNS($AO$1006:AY1006),$AO$1006:$BQ$1006,0))&gt;=100000), " ",IF(INDEX($AO$2:$BQ$1001,MATCH(ROWS($AH$2:AH469),$AH$2:$AH$1001,0),MATCH(COLUMNS($AO$1006:AY1006),$AO$1006:$BQ$1006,0)), HYPERLINK("#",""), HYPERLINK(CONCATENATE("#Metadata!", ADDRESS(INDEX($AJ$2:$AJ$1001,MATCH(ROWS($AH$2:AH469),$AH$2:$AH$1001,0),0), INDEX($AO$1004:$BQ$1004,1,MATCH(COLUMNS($AO$1006:AY1006),$AO$1006:$BQ$1006,0)))),"Fix")))</f>
        <v>#N/A</v>
      </c>
      <c r="M469" s="5" t="e">
        <f ca="1">IF(OR(INDEX($AI$2:$AI$1001,MATCH(ROWS($AH$2:AH469),$AH$2:$AH$1001,0),1)&gt;=100000,INDEX($AO$1005:$BQ$1005,1,MATCH(COLUMNS($AO$1006:AZ1006),$AO$1006:$BQ$1006,0))&gt;=100000), " ",IF(INDEX($AO$2:$BQ$1001,MATCH(ROWS($AH$2:AH469),$AH$2:$AH$1001,0),MATCH(COLUMNS($AO$1006:AZ1006),$AO$1006:$BQ$1006,0)), HYPERLINK("#",""), HYPERLINK(CONCATENATE("#Metadata!", ADDRESS(INDEX($AJ$2:$AJ$1001,MATCH(ROWS($AH$2:AH469),$AH$2:$AH$1001,0),0), INDEX($AO$1004:$BQ$1004,1,MATCH(COLUMNS($AO$1006:AZ1006),$AO$1006:$BQ$1006,0)))),"Fix")))</f>
        <v>#N/A</v>
      </c>
      <c r="N469" s="5" t="e">
        <f ca="1">IF(OR(INDEX($AI$2:$AI$1001,MATCH(ROWS($AH$2:AH469),$AH$2:$AH$1001,0),1)&gt;=100000,INDEX($AO$1005:$BQ$1005,1,MATCH(COLUMNS($AO$1006:BA1006),$AO$1006:$BQ$1006,0))&gt;=100000), " ",IF(INDEX($AO$2:$BQ$1001,MATCH(ROWS($AH$2:AH469),$AH$2:$AH$1001,0),MATCH(COLUMNS($AO$1006:BA1006),$AO$1006:$BQ$1006,0)), HYPERLINK("#",""), HYPERLINK(CONCATENATE("#Metadata!", ADDRESS(INDEX($AJ$2:$AJ$1001,MATCH(ROWS($AH$2:AH469),$AH$2:$AH$1001,0),0), INDEX($AO$1004:$BQ$1004,1,MATCH(COLUMNS($AO$1006:BA1006),$AO$1006:$BQ$1006,0)))),"Fix")))</f>
        <v>#N/A</v>
      </c>
      <c r="O469" s="5" t="e">
        <f ca="1">IF(OR(INDEX($AI$2:$AI$1001,MATCH(ROWS($AH$2:AH469),$AH$2:$AH$1001,0),1)&gt;=100000,INDEX($AO$1005:$BQ$1005,1,MATCH(COLUMNS($AO$1006:BB1006),$AO$1006:$BQ$1006,0))&gt;=100000), " ",IF(INDEX($AO$2:$BQ$1001,MATCH(ROWS($AH$2:AH469),$AH$2:$AH$1001,0),MATCH(COLUMNS($AO$1006:BB1006),$AO$1006:$BQ$1006,0)), HYPERLINK("#",""), HYPERLINK(CONCATENATE("#Metadata!", ADDRESS(INDEX($AJ$2:$AJ$1001,MATCH(ROWS($AH$2:AH469),$AH$2:$AH$1001,0),0), INDEX($AO$1004:$BQ$1004,1,MATCH(COLUMNS($AO$1006:BB1006),$AO$1006:$BQ$1006,0)))),"Fix")))</f>
        <v>#N/A</v>
      </c>
      <c r="P469" s="5" t="e">
        <f ca="1">IF(OR(INDEX($AI$2:$AI$1001,MATCH(ROWS($AH$2:AH469),$AH$2:$AH$1001,0),1)&gt;=100000,INDEX($AO$1005:$BQ$1005,1,MATCH(COLUMNS($AO$1006:BC1006),$AO$1006:$BQ$1006,0))&gt;=100000), " ",IF(INDEX($AO$2:$BQ$1001,MATCH(ROWS($AH$2:AH469),$AH$2:$AH$1001,0),MATCH(COLUMNS($AO$1006:BC1006),$AO$1006:$BQ$1006,0)), HYPERLINK("#",""), HYPERLINK(CONCATENATE("#Metadata!", ADDRESS(INDEX($AJ$2:$AJ$1001,MATCH(ROWS($AH$2:AH469),$AH$2:$AH$1001,0),0), INDEX($AO$1004:$BQ$1004,1,MATCH(COLUMNS($AO$1006:BC1006),$AO$1006:$BQ$1006,0)))),"Fix")))</f>
        <v>#N/A</v>
      </c>
      <c r="Q469" s="5" t="e">
        <f ca="1">IF(OR(INDEX($AI$2:$AI$1001,MATCH(ROWS($AH$2:AH469),$AH$2:$AH$1001,0),1)&gt;=100000,INDEX($AO$1005:$BQ$1005,1,MATCH(COLUMNS($AO$1006:BD1006),$AO$1006:$BQ$1006,0))&gt;=100000), " ",IF(INDEX($AO$2:$BQ$1001,MATCH(ROWS($AH$2:AH469),$AH$2:$AH$1001,0),MATCH(COLUMNS($AO$1006:BD1006),$AO$1006:$BQ$1006,0)), HYPERLINK("#",""), HYPERLINK(CONCATENATE("#Metadata!", ADDRESS(INDEX($AJ$2:$AJ$1001,MATCH(ROWS($AH$2:AH469),$AH$2:$AH$1001,0),0), INDEX($AO$1004:$BQ$1004,1,MATCH(COLUMNS($AO$1006:BD1006),$AO$1006:$BQ$1006,0)))),"Fix")))</f>
        <v>#N/A</v>
      </c>
      <c r="R469" s="5" t="e">
        <f ca="1">IF(OR(INDEX($AI$2:$AI$1001,MATCH(ROWS($AH$2:AH469),$AH$2:$AH$1001,0),1)&gt;=100000,INDEX($AO$1005:$BQ$1005,1,MATCH(COLUMNS($AO$1006:BE1006),$AO$1006:$BQ$1006,0))&gt;=100000), " ",IF(INDEX($AO$2:$BQ$1001,MATCH(ROWS($AH$2:AH469),$AH$2:$AH$1001,0),MATCH(COLUMNS($AO$1006:BE1006),$AO$1006:$BQ$1006,0)), HYPERLINK("#",""), HYPERLINK(CONCATENATE("#Metadata!", ADDRESS(INDEX($AJ$2:$AJ$1001,MATCH(ROWS($AH$2:AH469),$AH$2:$AH$1001,0),0), INDEX($AO$1004:$BQ$1004,1,MATCH(COLUMNS($AO$1006:BE1006),$AO$1006:$BQ$1006,0)))),"Fix")))</f>
        <v>#N/A</v>
      </c>
      <c r="S469" s="5" t="e">
        <f ca="1">IF(OR(INDEX($AI$2:$AI$1001,MATCH(ROWS($AH$2:AH469),$AH$2:$AH$1001,0),1)&gt;=100000,INDEX($AO$1005:$BQ$1005,1,MATCH(COLUMNS($AO$1006:BF1006),$AO$1006:$BQ$1006,0))&gt;=100000), " ",IF(INDEX($AO$2:$BQ$1001,MATCH(ROWS($AH$2:AH469),$AH$2:$AH$1001,0),MATCH(COLUMNS($AO$1006:BF1006),$AO$1006:$BQ$1006,0)), HYPERLINK("#",""), HYPERLINK(CONCATENATE("#Metadata!", ADDRESS(INDEX($AJ$2:$AJ$1001,MATCH(ROWS($AH$2:AH469),$AH$2:$AH$1001,0),0), INDEX($AO$1004:$BQ$1004,1,MATCH(COLUMNS($AO$1006:BF1006),$AO$1006:$BQ$1006,0)))),"Fix")))</f>
        <v>#N/A</v>
      </c>
      <c r="T469" s="5" t="e">
        <f ca="1">IF(OR(INDEX($AI$2:$AI$1001,MATCH(ROWS($AH$2:AH469),$AH$2:$AH$1001,0),1)&gt;=100000,INDEX($AO$1005:$BQ$1005,1,MATCH(COLUMNS($AO$1006:BG1006),$AO$1006:$BQ$1006,0))&gt;=100000), " ",IF(INDEX($AO$2:$BQ$1001,MATCH(ROWS($AH$2:AH469),$AH$2:$AH$1001,0),MATCH(COLUMNS($AO$1006:BG1006),$AO$1006:$BQ$1006,0)), HYPERLINK("#",""), HYPERLINK(CONCATENATE("#Metadata!", ADDRESS(INDEX($AJ$2:$AJ$1001,MATCH(ROWS($AH$2:AH469),$AH$2:$AH$1001,0),0), INDEX($AO$1004:$BQ$1004,1,MATCH(COLUMNS($AO$1006:BG1006),$AO$1006:$BQ$1006,0)))),"Fix")))</f>
        <v>#N/A</v>
      </c>
      <c r="U469" s="5" t="e">
        <f ca="1">IF(OR(INDEX($AI$2:$AI$1001,MATCH(ROWS($AH$2:AH469),$AH$2:$AH$1001,0),1)&gt;=100000,INDEX($AO$1005:$BQ$1005,1,MATCH(COLUMNS($AO$1006:BH1006),$AO$1006:$BQ$1006,0))&gt;=100000), " ",IF(INDEX($AO$2:$BQ$1001,MATCH(ROWS($AH$2:AH469),$AH$2:$AH$1001,0),MATCH(COLUMNS($AO$1006:BH1006),$AO$1006:$BQ$1006,0)), HYPERLINK("#",""), HYPERLINK(CONCATENATE("#Metadata!", ADDRESS(INDEX($AJ$2:$AJ$1001,MATCH(ROWS($AH$2:AH469),$AH$2:$AH$1001,0),0), INDEX($AO$1004:$BQ$1004,1,MATCH(COLUMNS($AO$1006:BH1006),$AO$1006:$BQ$1006,0)))),"Fix")))</f>
        <v>#N/A</v>
      </c>
      <c r="V469" s="5" t="e">
        <f ca="1">IF(OR(INDEX($AI$2:$AI$1001,MATCH(ROWS($AH$2:AH469),$AH$2:$AH$1001,0),1)&gt;=100000,INDEX($AO$1005:$BQ$1005,1,MATCH(COLUMNS($AO$1006:BI1006),$AO$1006:$BQ$1006,0))&gt;=100000), " ",IF(INDEX($AO$2:$BQ$1001,MATCH(ROWS($AH$2:AH469),$AH$2:$AH$1001,0),MATCH(COLUMNS($AO$1006:BI1006),$AO$1006:$BQ$1006,0)), HYPERLINK("#",""), HYPERLINK(CONCATENATE("#Metadata!", ADDRESS(INDEX($AJ$2:$AJ$1001,MATCH(ROWS($AH$2:AH469),$AH$2:$AH$1001,0),0), INDEX($AO$1004:$BQ$1004,1,MATCH(COLUMNS($AO$1006:BI1006),$AO$1006:$BQ$1006,0)))),"Fix")))</f>
        <v>#N/A</v>
      </c>
      <c r="W469" s="5" t="e">
        <f ca="1">IF(OR(INDEX($AI$2:$AI$1001,MATCH(ROWS($AH$2:AH469),$AH$2:$AH$1001,0),1)&gt;=100000,INDEX($AO$1005:$BQ$1005,1,MATCH(COLUMNS($AO$1006:BJ1006),$AO$1006:$BQ$1006,0))&gt;=100000), " ",IF(INDEX($AO$2:$BQ$1001,MATCH(ROWS($AH$2:AH469),$AH$2:$AH$1001,0),MATCH(COLUMNS($AO$1006:BJ1006),$AO$1006:$BQ$1006,0)), HYPERLINK("#",""), HYPERLINK(CONCATENATE("#Metadata!", ADDRESS(INDEX($AJ$2:$AJ$1001,MATCH(ROWS($AH$2:AH469),$AH$2:$AH$1001,0),0), INDEX($AO$1004:$BQ$1004,1,MATCH(COLUMNS($AO$1006:BJ1006),$AO$1006:$BQ$1006,0)))),"Fix")))</f>
        <v>#N/A</v>
      </c>
      <c r="X469" s="5" t="e">
        <f ca="1">IF(OR(INDEX($AI$2:$AI$1001,MATCH(ROWS($AH$2:AH469),$AH$2:$AH$1001,0),1)&gt;=100000,INDEX($AO$1005:$BQ$1005,1,MATCH(COLUMNS($AO$1006:BK1006),$AO$1006:$BQ$1006,0))&gt;=100000), " ",IF(INDEX($AO$2:$BQ$1001,MATCH(ROWS($AH$2:AH469),$AH$2:$AH$1001,0),MATCH(COLUMNS($AO$1006:BK1006),$AO$1006:$BQ$1006,0)), HYPERLINK("#",""), HYPERLINK(CONCATENATE("#Metadata!", ADDRESS(INDEX($AJ$2:$AJ$1001,MATCH(ROWS($AH$2:AH469),$AH$2:$AH$1001,0),0), INDEX($AO$1004:$BQ$1004,1,MATCH(COLUMNS($AO$1006:BK1006),$AO$1006:$BQ$1006,0)))),"Fix")))</f>
        <v>#N/A</v>
      </c>
      <c r="Y469" s="5" t="e">
        <f ca="1">IF(OR(INDEX($AI$2:$AI$1001,MATCH(ROWS($AH$2:AH469),$AH$2:$AH$1001,0),1)&gt;=100000,INDEX($AO$1005:$BQ$1005,1,MATCH(COLUMNS($AO$1006:BL1006),$AO$1006:$BQ$1006,0))&gt;=100000), " ",IF(INDEX($AO$2:$BQ$1001,MATCH(ROWS($AH$2:AH469),$AH$2:$AH$1001,0),MATCH(COLUMNS($AO$1006:BL1006),$AO$1006:$BQ$1006,0)), HYPERLINK("#",""), HYPERLINK(CONCATENATE("#Metadata!", ADDRESS(INDEX($AJ$2:$AJ$1001,MATCH(ROWS($AH$2:AH469),$AH$2:$AH$1001,0),0), INDEX($AO$1004:$BQ$1004,1,MATCH(COLUMNS($AO$1006:BL1006),$AO$1006:$BQ$1006,0)))),"Fix")))</f>
        <v>#N/A</v>
      </c>
      <c r="Z469" s="5" t="e">
        <f ca="1">IF(OR(INDEX($AI$2:$AI$1001,MATCH(ROWS($AH$2:AH469),$AH$2:$AH$1001,0),1)&gt;=100000,INDEX($AO$1005:$BQ$1005,1,MATCH(COLUMNS($AO$1006:BM1006),$AO$1006:$BQ$1006,0))&gt;=100000), " ",IF(INDEX($AO$2:$BQ$1001,MATCH(ROWS($AH$2:AH469),$AH$2:$AH$1001,0),MATCH(COLUMNS($AO$1006:BM1006),$AO$1006:$BQ$1006,0)), HYPERLINK("#",""), HYPERLINK(CONCATENATE("#Metadata!", ADDRESS(INDEX($AJ$2:$AJ$1001,MATCH(ROWS($AH$2:AH469),$AH$2:$AH$1001,0),0), INDEX($AO$1004:$BQ$1004,1,MATCH(COLUMNS($AO$1006:BM1006),$AO$1006:$BQ$1006,0)))),"Fix")))</f>
        <v>#N/A</v>
      </c>
      <c r="AA469" s="5" t="e">
        <f ca="1">IF(OR(INDEX($AI$2:$AI$1001,MATCH(ROWS($AH$2:AH469),$AH$2:$AH$1001,0),1)&gt;=100000,INDEX($AO$1005:$BQ$1005,1,MATCH(COLUMNS($AO$1006:BN1006),$AO$1006:$BQ$1006,0))&gt;=100000), " ",IF(INDEX($AO$2:$BQ$1001,MATCH(ROWS($AH$2:AH469),$AH$2:$AH$1001,0),MATCH(COLUMNS($AO$1006:BN1006),$AO$1006:$BQ$1006,0)), HYPERLINK("#",""), HYPERLINK(CONCATENATE("#Metadata!", ADDRESS(INDEX($AJ$2:$AJ$1001,MATCH(ROWS($AH$2:AH469),$AH$2:$AH$1001,0),0), INDEX($AO$1004:$BQ$1004,1,MATCH(COLUMNS($AO$1006:BN1006),$AO$1006:$BQ$1006,0)))),"Fix")))</f>
        <v>#N/A</v>
      </c>
      <c r="AB469" s="5" t="e">
        <f ca="1">IF(OR(INDEX($AI$2:$AI$1001,MATCH(ROWS($AH$2:AH469),$AH$2:$AH$1001,0),1)&gt;=100000,INDEX($AO$1005:$BQ$1005,1,MATCH(COLUMNS($AO$1006:BO1006),$AO$1006:$BQ$1006,0))&gt;=100000), " ",IF(INDEX($AO$2:$BQ$1001,MATCH(ROWS($AH$2:AH469),$AH$2:$AH$1001,0),MATCH(COLUMNS($AO$1006:BO1006),$AO$1006:$BQ$1006,0)), HYPERLINK("#",""), HYPERLINK(CONCATENATE("#Metadata!", ADDRESS(INDEX($AJ$2:$AJ$1001,MATCH(ROWS($AH$2:AH469),$AH$2:$AH$1001,0),0), INDEX($AO$1004:$BQ$1004,1,MATCH(COLUMNS($AO$1006:BO1006),$AO$1006:$BQ$1006,0)))),"Fix")))</f>
        <v>#N/A</v>
      </c>
      <c r="AC469" s="5" t="e">
        <f ca="1">IF(OR(INDEX($AI$2:$AI$1001,MATCH(ROWS($AH$2:AH469),$AH$2:$AH$1001,0),1)&gt;=100000,INDEX($AO$1005:$BQ$1005,1,MATCH(COLUMNS($AO$1006:BP1006),$AO$1006:$BQ$1006,0))&gt;=100000), " ",IF(INDEX($AO$2:$BQ$1001,MATCH(ROWS($AH$2:AH469),$AH$2:$AH$1001,0),MATCH(COLUMNS($AO$1006:BP1006),$AO$1006:$BQ$1006,0)), HYPERLINK("#",""), HYPERLINK(CONCATENATE("#Metadata!", ADDRESS(INDEX($AJ$2:$AJ$1001,MATCH(ROWS($AH$2:AH469),$AH$2:$AH$1001,0),0), INDEX($AO$1004:$BQ$1004,1,MATCH(COLUMNS($AO$1006:BP1006),$AO$1006:$BQ$1006,0)))),"Fix")))</f>
        <v>#N/A</v>
      </c>
      <c r="AD469" s="5" t="e">
        <f ca="1">IF(OR(INDEX($AI$2:$AI$1001,MATCH(ROWS($AH$2:AH469),$AH$2:$AH$1001,0),1)&gt;=100000,INDEX($AO$1005:$BQ$1005,1,MATCH(COLUMNS($AO$1006:BQ1006),$AO$1006:$BQ$1006,0))&gt;=100000), " ",IF(INDEX($AO$2:$BQ$1001,MATCH(ROWS($AH$2:AH469),$AH$2:$AH$1001,0),MATCH(COLUMNS($AO$1006:BQ1006),$AO$1006:$BQ$1006,0)), HYPERLINK("#",""), HYPERLINK(CONCATENATE("#Metadata!", ADDRESS(INDEX($AJ$2:$AJ$1001,MATCH(ROWS($AH$2:AH469),$AH$2:$AH$1001,0),0), INDEX($AO$1004:$BQ$1004,1,MATCH(COLUMNS($AO$1006:BQ1006),$AO$1006:$BQ$1006,0)))),"Fix")))</f>
        <v>#REF!</v>
      </c>
      <c r="AH469">
        <f ca="1"/>
        <v>466</v>
      </c>
      <c r="AI469">
        <v>100469</v>
      </c>
      <c r="AJ469">
        <v>469</v>
      </c>
      <c r="AK469" t="b">
        <f t="shared" si="7"/>
        <v>1</v>
      </c>
      <c r="AL469" t="b">
        <f>COUNTBLANK(Metadata!B469:AD469)=COLUMNS(Metadata!B469:AD469)</f>
        <v>1</v>
      </c>
      <c r="AM469" t="str">
        <v/>
      </c>
      <c r="AO469" t="b">
        <f ca="1">AND(IF(Metadata!B469="",FALSE,TRUE),COUNTIF(Metadata!B:B, Metadata!B469) = 1,NOT(ISERROR(SUMPRODUCT(SEARCH(MID(Metadata!B469,ROW(INDIRECT("1:"&amp;LEN(Metadata!B469))), 1),"0123456789abcdefghijklmnopqrstuvwxyzABCDEFGHIJKLMNOPQRSTUVWXYZ.")))))</f>
        <v>0</v>
      </c>
      <c r="AP469" t="b">
        <f>IF(Metadata!C469="",FALSE,TRUE)</f>
        <v>0</v>
      </c>
      <c r="AQ469" t="b">
        <f>IF(Metadata!D469="",FALSE,TRUE)</f>
        <v>0</v>
      </c>
      <c r="AR469" t="b">
        <f ca="1">OR(AND(IF(Metadata!E469="",FALSE,TRUE),OR(EXACT(Metadata!E469,"not collected"),EXACT(Metadata!E469,"not provided"),EXACT(Metadata!E469,"restricted access"))),AND(IF(Metadata!E469="",FALSE,TRUE),AND(AND(IFERROR(INT(LEFT(Metadata!E469,4))&gt;1900,FALSE),IFERROR(INT(LEFT(Metadata!E469,4))&lt;=YEAR(NOW()),FALSE)), OR(MID(Metadata!E469,5,1)="", AND(AND(MID(Metadata!E469,5,1)="-",IFERROR(INT(MID(Metadata!E469,6,1))&gt;=0,FALSE),IFERROR(INT(MID(Metadata!E469,6,1))&lt;=1,FALSE),NOT(MID(Metadata!E469,7,1)=""),IFERROR(INT(MID(Metadata!E469,6,2))&gt;=1,FALSE),IFERROR(INT(MID(Metadata!E469,6,2))&lt;=12,FALSE)), OR(MID(Metadata!E469,8,1)="", AND(AND(MID(Metadata!E469,8,1)="-",IFERROR(INT(MID(Metadata!E469,9,1))&gt;=0,FALSE),IFERROR(INT(MID(Metadata!E469,9,1))&lt;=3,FALSE),NOT(MID(Metadata!E469,10,1)=""),IFERROR(INT(MID(Metadata!E469,9,2))&gt;=1,FALSE),IFERROR(INT(MID(Metadata!E469,9,2))&lt;=31,FALSE)), OR(MID(Metadata!E469,11,1)="", AND(AND(MID(Metadata!E469,11,1)=" ",IFERROR(INT(MID(Metadata!E469,12,1))&gt;=0,FALSE),IFERROR(INT(MID(Metadata!E469,12,1))&lt;=2,FALSE),NOT(MID(Metadata!E469,13,1)=""),IFERROR(INT(MID(Metadata!E469,12,2))&gt;=0,FALSE),IFERROR(INT(MID(Metadata!E469,12,2))&lt;=23,FALSE)), OR(MID(Metadata!E469,14,1)="", AND(AND(MID(Metadata!E469,14,1)=":",IFERROR(INT(MID(Metadata!E469,15,1))&gt;=0,FALSE),IFERROR(INT(MID(Metadata!E469,15,1))&lt;=5,FALSE),NOT(MID(Metadata!E469,16,1)=""),IFERROR(INT(MID(Metadata!E469,15,2))&gt;=0,FALSE),IFERROR(INT(MID(Metadata!E469,15,2))&lt;=59,FALSE)), OR(MID(Metadata!E469,17,1)="", AND(AND(MID(Metadata!E469,17,1)=":",IFERROR(INT(MID(Metadata!E469,18,1))&gt;=0,FALSE),IFERROR(INT(MID(Metadata!E469,18,1))&lt;=5,FALSE),NOT(MID(Metadata!E469,19,1)=""),IFERROR(INT(MID(Metadata!E469,18,2))&gt;=0,FALSE),IFERROR(INT(MID(Metadata!E469,18,2))&lt;=59,FALSE)), LEN(Metadata!E469)&lt;=19)))))))))))))</f>
        <v>0</v>
      </c>
      <c r="AS469" t="b">
        <f>IF(Metadata!F469="",FALSE,TRUE)</f>
        <v>0</v>
      </c>
      <c r="AT469" t="b">
        <f>OR(AND(IF(Metadata!G469="",FALSE,TRUE),OR(EXACT(Metadata!G469,"not collected"),EXACT(Metadata!G469,"not provided"))),AND(IF(Metadata!G469="",FALSE,TRUE),OR(EXACT(Metadata!G469,"TRUE"),EXACT(Metadata!G469,"FALSE"))))</f>
        <v>0</v>
      </c>
      <c r="AU469" t="b">
        <f>OR(AND(IF(Metadata!H469="",FALSE,TRUE),OR(EXACT(Metadata!H469,"not collected"),EXACT(Metadata!H469,"not provided"),EXACT(Metadata!H469,"restricted access"))),AND(IF(Metadata!H469="",FALSE,ISNUMBER(VALUE(Metadata!H469))),Metadata!H469&gt;=-413))</f>
        <v>0</v>
      </c>
      <c r="AV469" t="b">
        <f>AND(IF(Metadata!I469="",FALSE,TRUE),EXACT(Metadata!I469,"meters"))</f>
        <v>0</v>
      </c>
      <c r="AW469" t="b">
        <f>AND(IF(Metadata!J469="",FALSE,TRUE),EXACT(Metadata!J469,"free-living"))</f>
        <v>0</v>
      </c>
      <c r="AX469" t="b">
        <f>AND(IF(Metadata!K469="",FALSE,TRUE),OR(EXACT(Metadata!K469,"saline"),EXACT(Metadata!K469,"non-saline")))</f>
        <v>0</v>
      </c>
      <c r="AY469" t="b">
        <f>AND(IF(Metadata!L469="",FALSE,TRUE),OR(EXACT(Metadata!L469,"sub-surface (non-saline)"),EXACT(Metadata!L469,"surface (non-saline)"),EXACT(Metadata!L469,"water (non-saline)"),EXACT(Metadata!L469,"soil (non-saline)"),EXACT(Metadata!L469,"aerosol (non-saline)"),EXACT(Metadata!L469,"sediment (non-saline)"),EXACT(Metadata!L469,"surface (saline)"),EXACT(Metadata!L469,"water (saline)"),EXACT(Metadata!L469,"hypersaline (saline)"),EXACT(Metadata!L469,"aerosol (saline)"),EXACT(Metadata!L469,"sediment (saline)")))</f>
        <v>0</v>
      </c>
      <c r="AZ469" t="b">
        <f>IF(Metadata!M469="",FALSE,TRUE)</f>
        <v>0</v>
      </c>
      <c r="BA469" t="b">
        <f>IF(Metadata!N469="",FALSE,TRUE)</f>
        <v>0</v>
      </c>
      <c r="BB469" t="b">
        <f>IF(Metadata!O469="",FALSE,TRUE)</f>
        <v>0</v>
      </c>
      <c r="BC469" t="b">
        <f>AND(IF(Metadata!P469="",FALSE,TRUE),OR(EXACT(Metadata!P469,"air"),EXACT(Metadata!P469,"microbial mat/biofilm"),EXACT(Metadata!P469,"misc environment"),EXACT(Metadata!P469,"sediment"),EXACT(Metadata!P469,"soil"),EXACT(Metadata!P469,"wastewater/sludge"),EXACT(Metadata!P469,"water")))</f>
        <v>0</v>
      </c>
      <c r="BD469" t="b">
        <f>IF(Metadata!Q469="",FALSE,TRUE)</f>
        <v>0</v>
      </c>
      <c r="BE469" t="b">
        <f>IF(Metadata!R469="",FALSE,TRUE)</f>
        <v>0</v>
      </c>
      <c r="BF469" t="b">
        <f>OR(AND(IF(Metadata!S469="",FALSE,TRUE),OR(EXACT(Metadata!S469,"not collected"),EXACT(Metadata!S469,"not provided"),EXACT(Metadata!S469,"restricted access"))),AND(IF(Metadata!S469="",FALSE,ISNUMBER(VALUE(Metadata!S469))),Metadata!S469&gt;=-90,Metadata!S469&lt;=90))</f>
        <v>0</v>
      </c>
      <c r="BG469" t="b">
        <f>AND(IF(Metadata!T469="",FALSE,TRUE),EXACT(Metadata!T469,"Decimal degrees"))</f>
        <v>0</v>
      </c>
      <c r="BH469" t="b">
        <f>OR(AND(IF(Metadata!U469="",FALSE,TRUE),OR(EXACT(Metadata!U469,"not applicable"),EXACT(Metadata!U469,"not collected"))),IF(Metadata!U469="",FALSE,TRUE))</f>
        <v>0</v>
      </c>
      <c r="BI469" t="b">
        <f>OR(AND(IF(Metadata!V469="",FALSE,TRUE),OR(EXACT(Metadata!V469,"not collected"),EXACT(Metadata!V469,"not provided"),EXACT(Metadata!V469,"restricted access"))),AND(IF(Metadata!V469="",FALSE,ISNUMBER(VALUE(Metadata!V469))),Metadata!V469&gt;=-180,Metadata!V469&lt;=180))</f>
        <v>0</v>
      </c>
      <c r="BJ469" t="b">
        <f>AND(IF(Metadata!W469="",FALSE,TRUE),EXACT(Metadata!W469,"Decimal degrees"))</f>
        <v>0</v>
      </c>
      <c r="BK469" t="b">
        <f>IF(Metadata!X469="",FALSE,TRUE)</f>
        <v>0</v>
      </c>
      <c r="BL469" t="b">
        <f>OR(AND(IF(Metadata!Y469="",FALSE,TRUE),OR(EXACT(Metadata!Y469,"not collected"),EXACT(Metadata!Y469,"not provided"),EXACT(Metadata!Y469,"restricted access"))),AND(IF(Metadata!Y469="",FALSE,TRUE),OR(EXACT(Metadata!Y469,"TRUE"),EXACT(Metadata!Y469,"FALSE"))))</f>
        <v>0</v>
      </c>
      <c r="BM469" t="b">
        <f>OR(AND(IF(Metadata!Z469="",FALSE,TRUE),EXACT(Metadata!Z469,"not applicable")),AND(IF(Metadata!Z469="",FALSE,TRUE),OR(EXACT(Metadata!Z469,"beer"),EXACT(Metadata!Z469,"cheese"),EXACT(Metadata!Z469,"fresh water"),EXACT(Metadata!Z469,"marine sediment"),EXACT(Metadata!Z469,"sea water"),EXACT(Metadata!Z469,"sediment"),EXACT(Metadata!Z469,"soil"),EXACT(Metadata!Z469,"waste water"))))</f>
        <v>0</v>
      </c>
      <c r="BN469" t="b">
        <f>AND(IF(Metadata!AA469="",FALSE,TRUE),EXACT(Metadata!AA469,"metagenome"))</f>
        <v>0</v>
      </c>
      <c r="BO469" t="b">
        <f>AND(IF(Metadata!AB469="",FALSE,TRUE),EXACT(Metadata!AB469,"256318"))</f>
        <v>0</v>
      </c>
      <c r="BP469" t="b">
        <f>IF(Metadata!AC469="",FALSE,TRUE)</f>
        <v>0</v>
      </c>
      <c r="BQ469" t="b">
        <f>IF(Metadata!AD469="",FALSE,TRUE)</f>
        <v>0</v>
      </c>
    </row>
    <row r="470" spans="1:69" x14ac:dyDescent="0.2">
      <c r="A470" s="4" t="e">
        <f ca="1">IF(B470=" "," ",HYPERLINK(CONCATENATE("#metadata!",ADDRESS(INDEX($AJ$2:$AJ$1001,MATCH(ROWS($AH$2:AH470),$AH$2:$AH$1001,0),0),2)),INDEX($AM$2:$AM$1001,MATCH(ROWS($AH$2:AH470),$AH$2:$AH$1001,0),0)))</f>
        <v>#N/A</v>
      </c>
      <c r="B470" s="5" t="e">
        <f ca="1">IF(OR(INDEX($AI$2:$AI$1001,MATCH(ROWS($AH$2:AH470),$AH$2:$AH$1001,0),1)&gt;=100000,INDEX($AO$1005:$BQ$1005,1,MATCH(COLUMNS($AO$1006:AO1006),$AO$1006:$BQ$1006,0))&gt;=100000), " ",IF(INDEX($AO$2:$BQ$1001,MATCH(ROWS($AH$2:AH470),$AH$2:$AH$1001,0),MATCH(COLUMNS($AO$1006:AO1006),$AO$1006:$BQ$1006,0)), HYPERLINK("#",""), HYPERLINK(CONCATENATE("#Metadata!", ADDRESS(INDEX($AJ$2:$AJ$1001,MATCH(ROWS($AH$2:AH470),$AH$2:$AH$1001,0),0), INDEX($AO$1004:$BQ$1004,1,MATCH(COLUMNS($AO$1006:AO1006),$AO$1006:$BQ$1006,0)))),"Fix")))</f>
        <v>#N/A</v>
      </c>
      <c r="C470" s="5" t="e">
        <f ca="1">IF(OR(INDEX($AI$2:$AI$1001,MATCH(ROWS($AH$2:AH470),$AH$2:$AH$1001,0),1)&gt;=100000,INDEX($AO$1005:$BQ$1005,1,MATCH(COLUMNS($AO$1006:AP1006),$AO$1006:$BQ$1006,0))&gt;=100000), " ",IF(INDEX($AO$2:$BQ$1001,MATCH(ROWS($AH$2:AH470),$AH$2:$AH$1001,0),MATCH(COLUMNS($AO$1006:AP1006),$AO$1006:$BQ$1006,0)), HYPERLINK("#",""), HYPERLINK(CONCATENATE("#Metadata!", ADDRESS(INDEX($AJ$2:$AJ$1001,MATCH(ROWS($AH$2:AH470),$AH$2:$AH$1001,0),0), INDEX($AO$1004:$BQ$1004,1,MATCH(COLUMNS($AO$1006:AP1006),$AO$1006:$BQ$1006,0)))),"Fix")))</f>
        <v>#N/A</v>
      </c>
      <c r="D470" s="5" t="e">
        <f ca="1">IF(OR(INDEX($AI$2:$AI$1001,MATCH(ROWS($AH$2:AH470),$AH$2:$AH$1001,0),1)&gt;=100000,INDEX($AO$1005:$BQ$1005,1,MATCH(COLUMNS($AO$1006:AQ1006),$AO$1006:$BQ$1006,0))&gt;=100000), " ",IF(INDEX($AO$2:$BQ$1001,MATCH(ROWS($AH$2:AH470),$AH$2:$AH$1001,0),MATCH(COLUMNS($AO$1006:AQ1006),$AO$1006:$BQ$1006,0)), HYPERLINK("#",""), HYPERLINK(CONCATENATE("#Metadata!", ADDRESS(INDEX($AJ$2:$AJ$1001,MATCH(ROWS($AH$2:AH470),$AH$2:$AH$1001,0),0), INDEX($AO$1004:$BQ$1004,1,MATCH(COLUMNS($AO$1006:AQ1006),$AO$1006:$BQ$1006,0)))),"Fix")))</f>
        <v>#N/A</v>
      </c>
      <c r="E470" s="5" t="e">
        <f ca="1">IF(OR(INDEX($AI$2:$AI$1001,MATCH(ROWS($AH$2:AH470),$AH$2:$AH$1001,0),1)&gt;=100000,INDEX($AO$1005:$BQ$1005,1,MATCH(COLUMNS($AO$1006:AR1006),$AO$1006:$BQ$1006,0))&gt;=100000), " ",IF(INDEX($AO$2:$BQ$1001,MATCH(ROWS($AH$2:AH470),$AH$2:$AH$1001,0),MATCH(COLUMNS($AO$1006:AR1006),$AO$1006:$BQ$1006,0)), HYPERLINK("#",""), HYPERLINK(CONCATENATE("#Metadata!", ADDRESS(INDEX($AJ$2:$AJ$1001,MATCH(ROWS($AH$2:AH470),$AH$2:$AH$1001,0),0), INDEX($AO$1004:$BQ$1004,1,MATCH(COLUMNS($AO$1006:AR1006),$AO$1006:$BQ$1006,0)))),"Fix")))</f>
        <v>#N/A</v>
      </c>
      <c r="F470" s="5" t="e">
        <f ca="1">IF(OR(INDEX($AI$2:$AI$1001,MATCH(ROWS($AH$2:AH470),$AH$2:$AH$1001,0),1)&gt;=100000,INDEX($AO$1005:$BQ$1005,1,MATCH(COLUMNS($AO$1006:AS1006),$AO$1006:$BQ$1006,0))&gt;=100000), " ",IF(INDEX($AO$2:$BQ$1001,MATCH(ROWS($AH$2:AH470),$AH$2:$AH$1001,0),MATCH(COLUMNS($AO$1006:AS1006),$AO$1006:$BQ$1006,0)), HYPERLINK("#",""), HYPERLINK(CONCATENATE("#Metadata!", ADDRESS(INDEX($AJ$2:$AJ$1001,MATCH(ROWS($AH$2:AH470),$AH$2:$AH$1001,0),0), INDEX($AO$1004:$BQ$1004,1,MATCH(COLUMNS($AO$1006:AS1006),$AO$1006:$BQ$1006,0)))),"Fix")))</f>
        <v>#N/A</v>
      </c>
      <c r="G470" s="5" t="e">
        <f ca="1">IF(OR(INDEX($AI$2:$AI$1001,MATCH(ROWS($AH$2:AH470),$AH$2:$AH$1001,0),1)&gt;=100000,INDEX($AO$1005:$BQ$1005,1,MATCH(COLUMNS($AO$1006:AT1006),$AO$1006:$BQ$1006,0))&gt;=100000), " ",IF(INDEX($AO$2:$BQ$1001,MATCH(ROWS($AH$2:AH470),$AH$2:$AH$1001,0),MATCH(COLUMNS($AO$1006:AT1006),$AO$1006:$BQ$1006,0)), HYPERLINK("#",""), HYPERLINK(CONCATENATE("#Metadata!", ADDRESS(INDEX($AJ$2:$AJ$1001,MATCH(ROWS($AH$2:AH470),$AH$2:$AH$1001,0),0), INDEX($AO$1004:$BQ$1004,1,MATCH(COLUMNS($AO$1006:AT1006),$AO$1006:$BQ$1006,0)))),"Fix")))</f>
        <v>#N/A</v>
      </c>
      <c r="H470" s="5" t="e">
        <f ca="1">IF(OR(INDEX($AI$2:$AI$1001,MATCH(ROWS($AH$2:AH470),$AH$2:$AH$1001,0),1)&gt;=100000,INDEX($AO$1005:$BQ$1005,1,MATCH(COLUMNS($AO$1006:AU1006),$AO$1006:$BQ$1006,0))&gt;=100000), " ",IF(INDEX($AO$2:$BQ$1001,MATCH(ROWS($AH$2:AH470),$AH$2:$AH$1001,0),MATCH(COLUMNS($AO$1006:AU1006),$AO$1006:$BQ$1006,0)), HYPERLINK("#",""), HYPERLINK(CONCATENATE("#Metadata!", ADDRESS(INDEX($AJ$2:$AJ$1001,MATCH(ROWS($AH$2:AH470),$AH$2:$AH$1001,0),0), INDEX($AO$1004:$BQ$1004,1,MATCH(COLUMNS($AO$1006:AU1006),$AO$1006:$BQ$1006,0)))),"Fix")))</f>
        <v>#N/A</v>
      </c>
      <c r="I470" s="5" t="e">
        <f ca="1">IF(OR(INDEX($AI$2:$AI$1001,MATCH(ROWS($AH$2:AH470),$AH$2:$AH$1001,0),1)&gt;=100000,INDEX($AO$1005:$BQ$1005,1,MATCH(COLUMNS($AO$1006:AV1006),$AO$1006:$BQ$1006,0))&gt;=100000), " ",IF(INDEX($AO$2:$BQ$1001,MATCH(ROWS($AH$2:AH470),$AH$2:$AH$1001,0),MATCH(COLUMNS($AO$1006:AV1006),$AO$1006:$BQ$1006,0)), HYPERLINK("#",""), HYPERLINK(CONCATENATE("#Metadata!", ADDRESS(INDEX($AJ$2:$AJ$1001,MATCH(ROWS($AH$2:AH470),$AH$2:$AH$1001,0),0), INDEX($AO$1004:$BQ$1004,1,MATCH(COLUMNS($AO$1006:AV1006),$AO$1006:$BQ$1006,0)))),"Fix")))</f>
        <v>#N/A</v>
      </c>
      <c r="J470" s="5" t="e">
        <f ca="1">IF(OR(INDEX($AI$2:$AI$1001,MATCH(ROWS($AH$2:AH470),$AH$2:$AH$1001,0),1)&gt;=100000,INDEX($AO$1005:$BQ$1005,1,MATCH(COLUMNS($AO$1006:AW1006),$AO$1006:$BQ$1006,0))&gt;=100000), " ",IF(INDEX($AO$2:$BQ$1001,MATCH(ROWS($AH$2:AH470),$AH$2:$AH$1001,0),MATCH(COLUMNS($AO$1006:AW1006),$AO$1006:$BQ$1006,0)), HYPERLINK("#",""), HYPERLINK(CONCATENATE("#Metadata!", ADDRESS(INDEX($AJ$2:$AJ$1001,MATCH(ROWS($AH$2:AH470),$AH$2:$AH$1001,0),0), INDEX($AO$1004:$BQ$1004,1,MATCH(COLUMNS($AO$1006:AW1006),$AO$1006:$BQ$1006,0)))),"Fix")))</f>
        <v>#N/A</v>
      </c>
      <c r="K470" s="5" t="e">
        <f ca="1">IF(OR(INDEX($AI$2:$AI$1001,MATCH(ROWS($AH$2:AH470),$AH$2:$AH$1001,0),1)&gt;=100000,INDEX($AO$1005:$BQ$1005,1,MATCH(COLUMNS($AO$1006:AX1006),$AO$1006:$BQ$1006,0))&gt;=100000), " ",IF(INDEX($AO$2:$BQ$1001,MATCH(ROWS($AH$2:AH470),$AH$2:$AH$1001,0),MATCH(COLUMNS($AO$1006:AX1006),$AO$1006:$BQ$1006,0)), HYPERLINK("#",""), HYPERLINK(CONCATENATE("#Metadata!", ADDRESS(INDEX($AJ$2:$AJ$1001,MATCH(ROWS($AH$2:AH470),$AH$2:$AH$1001,0),0), INDEX($AO$1004:$BQ$1004,1,MATCH(COLUMNS($AO$1006:AX1006),$AO$1006:$BQ$1006,0)))),"Fix")))</f>
        <v>#N/A</v>
      </c>
      <c r="L470" s="5" t="e">
        <f ca="1">IF(OR(INDEX($AI$2:$AI$1001,MATCH(ROWS($AH$2:AH470),$AH$2:$AH$1001,0),1)&gt;=100000,INDEX($AO$1005:$BQ$1005,1,MATCH(COLUMNS($AO$1006:AY1006),$AO$1006:$BQ$1006,0))&gt;=100000), " ",IF(INDEX($AO$2:$BQ$1001,MATCH(ROWS($AH$2:AH470),$AH$2:$AH$1001,0),MATCH(COLUMNS($AO$1006:AY1006),$AO$1006:$BQ$1006,0)), HYPERLINK("#",""), HYPERLINK(CONCATENATE("#Metadata!", ADDRESS(INDEX($AJ$2:$AJ$1001,MATCH(ROWS($AH$2:AH470),$AH$2:$AH$1001,0),0), INDEX($AO$1004:$BQ$1004,1,MATCH(COLUMNS($AO$1006:AY1006),$AO$1006:$BQ$1006,0)))),"Fix")))</f>
        <v>#N/A</v>
      </c>
      <c r="M470" s="5" t="e">
        <f ca="1">IF(OR(INDEX($AI$2:$AI$1001,MATCH(ROWS($AH$2:AH470),$AH$2:$AH$1001,0),1)&gt;=100000,INDEX($AO$1005:$BQ$1005,1,MATCH(COLUMNS($AO$1006:AZ1006),$AO$1006:$BQ$1006,0))&gt;=100000), " ",IF(INDEX($AO$2:$BQ$1001,MATCH(ROWS($AH$2:AH470),$AH$2:$AH$1001,0),MATCH(COLUMNS($AO$1006:AZ1006),$AO$1006:$BQ$1006,0)), HYPERLINK("#",""), HYPERLINK(CONCATENATE("#Metadata!", ADDRESS(INDEX($AJ$2:$AJ$1001,MATCH(ROWS($AH$2:AH470),$AH$2:$AH$1001,0),0), INDEX($AO$1004:$BQ$1004,1,MATCH(COLUMNS($AO$1006:AZ1006),$AO$1006:$BQ$1006,0)))),"Fix")))</f>
        <v>#N/A</v>
      </c>
      <c r="N470" s="5" t="e">
        <f ca="1">IF(OR(INDEX($AI$2:$AI$1001,MATCH(ROWS($AH$2:AH470),$AH$2:$AH$1001,0),1)&gt;=100000,INDEX($AO$1005:$BQ$1005,1,MATCH(COLUMNS($AO$1006:BA1006),$AO$1006:$BQ$1006,0))&gt;=100000), " ",IF(INDEX($AO$2:$BQ$1001,MATCH(ROWS($AH$2:AH470),$AH$2:$AH$1001,0),MATCH(COLUMNS($AO$1006:BA1006),$AO$1006:$BQ$1006,0)), HYPERLINK("#",""), HYPERLINK(CONCATENATE("#Metadata!", ADDRESS(INDEX($AJ$2:$AJ$1001,MATCH(ROWS($AH$2:AH470),$AH$2:$AH$1001,0),0), INDEX($AO$1004:$BQ$1004,1,MATCH(COLUMNS($AO$1006:BA1006),$AO$1006:$BQ$1006,0)))),"Fix")))</f>
        <v>#N/A</v>
      </c>
      <c r="O470" s="5" t="e">
        <f ca="1">IF(OR(INDEX($AI$2:$AI$1001,MATCH(ROWS($AH$2:AH470),$AH$2:$AH$1001,0),1)&gt;=100000,INDEX($AO$1005:$BQ$1005,1,MATCH(COLUMNS($AO$1006:BB1006),$AO$1006:$BQ$1006,0))&gt;=100000), " ",IF(INDEX($AO$2:$BQ$1001,MATCH(ROWS($AH$2:AH470),$AH$2:$AH$1001,0),MATCH(COLUMNS($AO$1006:BB1006),$AO$1006:$BQ$1006,0)), HYPERLINK("#",""), HYPERLINK(CONCATENATE("#Metadata!", ADDRESS(INDEX($AJ$2:$AJ$1001,MATCH(ROWS($AH$2:AH470),$AH$2:$AH$1001,0),0), INDEX($AO$1004:$BQ$1004,1,MATCH(COLUMNS($AO$1006:BB1006),$AO$1006:$BQ$1006,0)))),"Fix")))</f>
        <v>#N/A</v>
      </c>
      <c r="P470" s="5" t="e">
        <f ca="1">IF(OR(INDEX($AI$2:$AI$1001,MATCH(ROWS($AH$2:AH470),$AH$2:$AH$1001,0),1)&gt;=100000,INDEX($AO$1005:$BQ$1005,1,MATCH(COLUMNS($AO$1006:BC1006),$AO$1006:$BQ$1006,0))&gt;=100000), " ",IF(INDEX($AO$2:$BQ$1001,MATCH(ROWS($AH$2:AH470),$AH$2:$AH$1001,0),MATCH(COLUMNS($AO$1006:BC1006),$AO$1006:$BQ$1006,0)), HYPERLINK("#",""), HYPERLINK(CONCATENATE("#Metadata!", ADDRESS(INDEX($AJ$2:$AJ$1001,MATCH(ROWS($AH$2:AH470),$AH$2:$AH$1001,0),0), INDEX($AO$1004:$BQ$1004,1,MATCH(COLUMNS($AO$1006:BC1006),$AO$1006:$BQ$1006,0)))),"Fix")))</f>
        <v>#N/A</v>
      </c>
      <c r="Q470" s="5" t="e">
        <f ca="1">IF(OR(INDEX($AI$2:$AI$1001,MATCH(ROWS($AH$2:AH470),$AH$2:$AH$1001,0),1)&gt;=100000,INDEX($AO$1005:$BQ$1005,1,MATCH(COLUMNS($AO$1006:BD1006),$AO$1006:$BQ$1006,0))&gt;=100000), " ",IF(INDEX($AO$2:$BQ$1001,MATCH(ROWS($AH$2:AH470),$AH$2:$AH$1001,0),MATCH(COLUMNS($AO$1006:BD1006),$AO$1006:$BQ$1006,0)), HYPERLINK("#",""), HYPERLINK(CONCATENATE("#Metadata!", ADDRESS(INDEX($AJ$2:$AJ$1001,MATCH(ROWS($AH$2:AH470),$AH$2:$AH$1001,0),0), INDEX($AO$1004:$BQ$1004,1,MATCH(COLUMNS($AO$1006:BD1006),$AO$1006:$BQ$1006,0)))),"Fix")))</f>
        <v>#N/A</v>
      </c>
      <c r="R470" s="5" t="e">
        <f ca="1">IF(OR(INDEX($AI$2:$AI$1001,MATCH(ROWS($AH$2:AH470),$AH$2:$AH$1001,0),1)&gt;=100000,INDEX($AO$1005:$BQ$1005,1,MATCH(COLUMNS($AO$1006:BE1006),$AO$1006:$BQ$1006,0))&gt;=100000), " ",IF(INDEX($AO$2:$BQ$1001,MATCH(ROWS($AH$2:AH470),$AH$2:$AH$1001,0),MATCH(COLUMNS($AO$1006:BE1006),$AO$1006:$BQ$1006,0)), HYPERLINK("#",""), HYPERLINK(CONCATENATE("#Metadata!", ADDRESS(INDEX($AJ$2:$AJ$1001,MATCH(ROWS($AH$2:AH470),$AH$2:$AH$1001,0),0), INDEX($AO$1004:$BQ$1004,1,MATCH(COLUMNS($AO$1006:BE1006),$AO$1006:$BQ$1006,0)))),"Fix")))</f>
        <v>#N/A</v>
      </c>
      <c r="S470" s="5" t="e">
        <f ca="1">IF(OR(INDEX($AI$2:$AI$1001,MATCH(ROWS($AH$2:AH470),$AH$2:$AH$1001,0),1)&gt;=100000,INDEX($AO$1005:$BQ$1005,1,MATCH(COLUMNS($AO$1006:BF1006),$AO$1006:$BQ$1006,0))&gt;=100000), " ",IF(INDEX($AO$2:$BQ$1001,MATCH(ROWS($AH$2:AH470),$AH$2:$AH$1001,0),MATCH(COLUMNS($AO$1006:BF1006),$AO$1006:$BQ$1006,0)), HYPERLINK("#",""), HYPERLINK(CONCATENATE("#Metadata!", ADDRESS(INDEX($AJ$2:$AJ$1001,MATCH(ROWS($AH$2:AH470),$AH$2:$AH$1001,0),0), INDEX($AO$1004:$BQ$1004,1,MATCH(COLUMNS($AO$1006:BF1006),$AO$1006:$BQ$1006,0)))),"Fix")))</f>
        <v>#N/A</v>
      </c>
      <c r="T470" s="5" t="e">
        <f ca="1">IF(OR(INDEX($AI$2:$AI$1001,MATCH(ROWS($AH$2:AH470),$AH$2:$AH$1001,0),1)&gt;=100000,INDEX($AO$1005:$BQ$1005,1,MATCH(COLUMNS($AO$1006:BG1006),$AO$1006:$BQ$1006,0))&gt;=100000), " ",IF(INDEX($AO$2:$BQ$1001,MATCH(ROWS($AH$2:AH470),$AH$2:$AH$1001,0),MATCH(COLUMNS($AO$1006:BG1006),$AO$1006:$BQ$1006,0)), HYPERLINK("#",""), HYPERLINK(CONCATENATE("#Metadata!", ADDRESS(INDEX($AJ$2:$AJ$1001,MATCH(ROWS($AH$2:AH470),$AH$2:$AH$1001,0),0), INDEX($AO$1004:$BQ$1004,1,MATCH(COLUMNS($AO$1006:BG1006),$AO$1006:$BQ$1006,0)))),"Fix")))</f>
        <v>#N/A</v>
      </c>
      <c r="U470" s="5" t="e">
        <f ca="1">IF(OR(INDEX($AI$2:$AI$1001,MATCH(ROWS($AH$2:AH470),$AH$2:$AH$1001,0),1)&gt;=100000,INDEX($AO$1005:$BQ$1005,1,MATCH(COLUMNS($AO$1006:BH1006),$AO$1006:$BQ$1006,0))&gt;=100000), " ",IF(INDEX($AO$2:$BQ$1001,MATCH(ROWS($AH$2:AH470),$AH$2:$AH$1001,0),MATCH(COLUMNS($AO$1006:BH1006),$AO$1006:$BQ$1006,0)), HYPERLINK("#",""), HYPERLINK(CONCATENATE("#Metadata!", ADDRESS(INDEX($AJ$2:$AJ$1001,MATCH(ROWS($AH$2:AH470),$AH$2:$AH$1001,0),0), INDEX($AO$1004:$BQ$1004,1,MATCH(COLUMNS($AO$1006:BH1006),$AO$1006:$BQ$1006,0)))),"Fix")))</f>
        <v>#N/A</v>
      </c>
      <c r="V470" s="5" t="e">
        <f ca="1">IF(OR(INDEX($AI$2:$AI$1001,MATCH(ROWS($AH$2:AH470),$AH$2:$AH$1001,0),1)&gt;=100000,INDEX($AO$1005:$BQ$1005,1,MATCH(COLUMNS($AO$1006:BI1006),$AO$1006:$BQ$1006,0))&gt;=100000), " ",IF(INDEX($AO$2:$BQ$1001,MATCH(ROWS($AH$2:AH470),$AH$2:$AH$1001,0),MATCH(COLUMNS($AO$1006:BI1006),$AO$1006:$BQ$1006,0)), HYPERLINK("#",""), HYPERLINK(CONCATENATE("#Metadata!", ADDRESS(INDEX($AJ$2:$AJ$1001,MATCH(ROWS($AH$2:AH470),$AH$2:$AH$1001,0),0), INDEX($AO$1004:$BQ$1004,1,MATCH(COLUMNS($AO$1006:BI1006),$AO$1006:$BQ$1006,0)))),"Fix")))</f>
        <v>#N/A</v>
      </c>
      <c r="W470" s="5" t="e">
        <f ca="1">IF(OR(INDEX($AI$2:$AI$1001,MATCH(ROWS($AH$2:AH470),$AH$2:$AH$1001,0),1)&gt;=100000,INDEX($AO$1005:$BQ$1005,1,MATCH(COLUMNS($AO$1006:BJ1006),$AO$1006:$BQ$1006,0))&gt;=100000), " ",IF(INDEX($AO$2:$BQ$1001,MATCH(ROWS($AH$2:AH470),$AH$2:$AH$1001,0),MATCH(COLUMNS($AO$1006:BJ1006),$AO$1006:$BQ$1006,0)), HYPERLINK("#",""), HYPERLINK(CONCATENATE("#Metadata!", ADDRESS(INDEX($AJ$2:$AJ$1001,MATCH(ROWS($AH$2:AH470),$AH$2:$AH$1001,0),0), INDEX($AO$1004:$BQ$1004,1,MATCH(COLUMNS($AO$1006:BJ1006),$AO$1006:$BQ$1006,0)))),"Fix")))</f>
        <v>#N/A</v>
      </c>
      <c r="X470" s="5" t="e">
        <f ca="1">IF(OR(INDEX($AI$2:$AI$1001,MATCH(ROWS($AH$2:AH470),$AH$2:$AH$1001,0),1)&gt;=100000,INDEX($AO$1005:$BQ$1005,1,MATCH(COLUMNS($AO$1006:BK1006),$AO$1006:$BQ$1006,0))&gt;=100000), " ",IF(INDEX($AO$2:$BQ$1001,MATCH(ROWS($AH$2:AH470),$AH$2:$AH$1001,0),MATCH(COLUMNS($AO$1006:BK1006),$AO$1006:$BQ$1006,0)), HYPERLINK("#",""), HYPERLINK(CONCATENATE("#Metadata!", ADDRESS(INDEX($AJ$2:$AJ$1001,MATCH(ROWS($AH$2:AH470),$AH$2:$AH$1001,0),0), INDEX($AO$1004:$BQ$1004,1,MATCH(COLUMNS($AO$1006:BK1006),$AO$1006:$BQ$1006,0)))),"Fix")))</f>
        <v>#N/A</v>
      </c>
      <c r="Y470" s="5" t="e">
        <f ca="1">IF(OR(INDEX($AI$2:$AI$1001,MATCH(ROWS($AH$2:AH470),$AH$2:$AH$1001,0),1)&gt;=100000,INDEX($AO$1005:$BQ$1005,1,MATCH(COLUMNS($AO$1006:BL1006),$AO$1006:$BQ$1006,0))&gt;=100000), " ",IF(INDEX($AO$2:$BQ$1001,MATCH(ROWS($AH$2:AH470),$AH$2:$AH$1001,0),MATCH(COLUMNS($AO$1006:BL1006),$AO$1006:$BQ$1006,0)), HYPERLINK("#",""), HYPERLINK(CONCATENATE("#Metadata!", ADDRESS(INDEX($AJ$2:$AJ$1001,MATCH(ROWS($AH$2:AH470),$AH$2:$AH$1001,0),0), INDEX($AO$1004:$BQ$1004,1,MATCH(COLUMNS($AO$1006:BL1006),$AO$1006:$BQ$1006,0)))),"Fix")))</f>
        <v>#N/A</v>
      </c>
      <c r="Z470" s="5" t="e">
        <f ca="1">IF(OR(INDEX($AI$2:$AI$1001,MATCH(ROWS($AH$2:AH470),$AH$2:$AH$1001,0),1)&gt;=100000,INDEX($AO$1005:$BQ$1005,1,MATCH(COLUMNS($AO$1006:BM1006),$AO$1006:$BQ$1006,0))&gt;=100000), " ",IF(INDEX($AO$2:$BQ$1001,MATCH(ROWS($AH$2:AH470),$AH$2:$AH$1001,0),MATCH(COLUMNS($AO$1006:BM1006),$AO$1006:$BQ$1006,0)), HYPERLINK("#",""), HYPERLINK(CONCATENATE("#Metadata!", ADDRESS(INDEX($AJ$2:$AJ$1001,MATCH(ROWS($AH$2:AH470),$AH$2:$AH$1001,0),0), INDEX($AO$1004:$BQ$1004,1,MATCH(COLUMNS($AO$1006:BM1006),$AO$1006:$BQ$1006,0)))),"Fix")))</f>
        <v>#N/A</v>
      </c>
      <c r="AA470" s="5" t="e">
        <f ca="1">IF(OR(INDEX($AI$2:$AI$1001,MATCH(ROWS($AH$2:AH470),$AH$2:$AH$1001,0),1)&gt;=100000,INDEX($AO$1005:$BQ$1005,1,MATCH(COLUMNS($AO$1006:BN1006),$AO$1006:$BQ$1006,0))&gt;=100000), " ",IF(INDEX($AO$2:$BQ$1001,MATCH(ROWS($AH$2:AH470),$AH$2:$AH$1001,0),MATCH(COLUMNS($AO$1006:BN1006),$AO$1006:$BQ$1006,0)), HYPERLINK("#",""), HYPERLINK(CONCATENATE("#Metadata!", ADDRESS(INDEX($AJ$2:$AJ$1001,MATCH(ROWS($AH$2:AH470),$AH$2:$AH$1001,0),0), INDEX($AO$1004:$BQ$1004,1,MATCH(COLUMNS($AO$1006:BN1006),$AO$1006:$BQ$1006,0)))),"Fix")))</f>
        <v>#N/A</v>
      </c>
      <c r="AB470" s="5" t="e">
        <f ca="1">IF(OR(INDEX($AI$2:$AI$1001,MATCH(ROWS($AH$2:AH470),$AH$2:$AH$1001,0),1)&gt;=100000,INDEX($AO$1005:$BQ$1005,1,MATCH(COLUMNS($AO$1006:BO1006),$AO$1006:$BQ$1006,0))&gt;=100000), " ",IF(INDEX($AO$2:$BQ$1001,MATCH(ROWS($AH$2:AH470),$AH$2:$AH$1001,0),MATCH(COLUMNS($AO$1006:BO1006),$AO$1006:$BQ$1006,0)), HYPERLINK("#",""), HYPERLINK(CONCATENATE("#Metadata!", ADDRESS(INDEX($AJ$2:$AJ$1001,MATCH(ROWS($AH$2:AH470),$AH$2:$AH$1001,0),0), INDEX($AO$1004:$BQ$1004,1,MATCH(COLUMNS($AO$1006:BO1006),$AO$1006:$BQ$1006,0)))),"Fix")))</f>
        <v>#N/A</v>
      </c>
      <c r="AC470" s="5" t="e">
        <f ca="1">IF(OR(INDEX($AI$2:$AI$1001,MATCH(ROWS($AH$2:AH470),$AH$2:$AH$1001,0),1)&gt;=100000,INDEX($AO$1005:$BQ$1005,1,MATCH(COLUMNS($AO$1006:BP1006),$AO$1006:$BQ$1006,0))&gt;=100000), " ",IF(INDEX($AO$2:$BQ$1001,MATCH(ROWS($AH$2:AH470),$AH$2:$AH$1001,0),MATCH(COLUMNS($AO$1006:BP1006),$AO$1006:$BQ$1006,0)), HYPERLINK("#",""), HYPERLINK(CONCATENATE("#Metadata!", ADDRESS(INDEX($AJ$2:$AJ$1001,MATCH(ROWS($AH$2:AH470),$AH$2:$AH$1001,0),0), INDEX($AO$1004:$BQ$1004,1,MATCH(COLUMNS($AO$1006:BP1006),$AO$1006:$BQ$1006,0)))),"Fix")))</f>
        <v>#N/A</v>
      </c>
      <c r="AD470" s="5" t="e">
        <f ca="1">IF(OR(INDEX($AI$2:$AI$1001,MATCH(ROWS($AH$2:AH470),$AH$2:$AH$1001,0),1)&gt;=100000,INDEX($AO$1005:$BQ$1005,1,MATCH(COLUMNS($AO$1006:BQ1006),$AO$1006:$BQ$1006,0))&gt;=100000), " ",IF(INDEX($AO$2:$BQ$1001,MATCH(ROWS($AH$2:AH470),$AH$2:$AH$1001,0),MATCH(COLUMNS($AO$1006:BQ1006),$AO$1006:$BQ$1006,0)), HYPERLINK("#",""), HYPERLINK(CONCATENATE("#Metadata!", ADDRESS(INDEX($AJ$2:$AJ$1001,MATCH(ROWS($AH$2:AH470),$AH$2:$AH$1001,0),0), INDEX($AO$1004:$BQ$1004,1,MATCH(COLUMNS($AO$1006:BQ1006),$AO$1006:$BQ$1006,0)))),"Fix")))</f>
        <v>#REF!</v>
      </c>
      <c r="AH470">
        <f ca="1"/>
        <v>467</v>
      </c>
      <c r="AI470">
        <v>100470</v>
      </c>
      <c r="AJ470">
        <v>470</v>
      </c>
      <c r="AK470" t="b">
        <f t="shared" si="7"/>
        <v>1</v>
      </c>
      <c r="AL470" t="b">
        <f>COUNTBLANK(Metadata!B470:AD470)=COLUMNS(Metadata!B470:AD470)</f>
        <v>1</v>
      </c>
      <c r="AM470" t="str">
        <v/>
      </c>
      <c r="AO470" t="b">
        <f ca="1">AND(IF(Metadata!B470="",FALSE,TRUE),COUNTIF(Metadata!B:B, Metadata!B470) = 1,NOT(ISERROR(SUMPRODUCT(SEARCH(MID(Metadata!B470,ROW(INDIRECT("1:"&amp;LEN(Metadata!B470))), 1),"0123456789abcdefghijklmnopqrstuvwxyzABCDEFGHIJKLMNOPQRSTUVWXYZ.")))))</f>
        <v>0</v>
      </c>
      <c r="AP470" t="b">
        <f>IF(Metadata!C470="",FALSE,TRUE)</f>
        <v>0</v>
      </c>
      <c r="AQ470" t="b">
        <f>IF(Metadata!D470="",FALSE,TRUE)</f>
        <v>0</v>
      </c>
      <c r="AR470" t="b">
        <f ca="1">OR(AND(IF(Metadata!E470="",FALSE,TRUE),OR(EXACT(Metadata!E470,"not collected"),EXACT(Metadata!E470,"not provided"),EXACT(Metadata!E470,"restricted access"))),AND(IF(Metadata!E470="",FALSE,TRUE),AND(AND(IFERROR(INT(LEFT(Metadata!E470,4))&gt;1900,FALSE),IFERROR(INT(LEFT(Metadata!E470,4))&lt;=YEAR(NOW()),FALSE)), OR(MID(Metadata!E470,5,1)="", AND(AND(MID(Metadata!E470,5,1)="-",IFERROR(INT(MID(Metadata!E470,6,1))&gt;=0,FALSE),IFERROR(INT(MID(Metadata!E470,6,1))&lt;=1,FALSE),NOT(MID(Metadata!E470,7,1)=""),IFERROR(INT(MID(Metadata!E470,6,2))&gt;=1,FALSE),IFERROR(INT(MID(Metadata!E470,6,2))&lt;=12,FALSE)), OR(MID(Metadata!E470,8,1)="", AND(AND(MID(Metadata!E470,8,1)="-",IFERROR(INT(MID(Metadata!E470,9,1))&gt;=0,FALSE),IFERROR(INT(MID(Metadata!E470,9,1))&lt;=3,FALSE),NOT(MID(Metadata!E470,10,1)=""),IFERROR(INT(MID(Metadata!E470,9,2))&gt;=1,FALSE),IFERROR(INT(MID(Metadata!E470,9,2))&lt;=31,FALSE)), OR(MID(Metadata!E470,11,1)="", AND(AND(MID(Metadata!E470,11,1)=" ",IFERROR(INT(MID(Metadata!E470,12,1))&gt;=0,FALSE),IFERROR(INT(MID(Metadata!E470,12,1))&lt;=2,FALSE),NOT(MID(Metadata!E470,13,1)=""),IFERROR(INT(MID(Metadata!E470,12,2))&gt;=0,FALSE),IFERROR(INT(MID(Metadata!E470,12,2))&lt;=23,FALSE)), OR(MID(Metadata!E470,14,1)="", AND(AND(MID(Metadata!E470,14,1)=":",IFERROR(INT(MID(Metadata!E470,15,1))&gt;=0,FALSE),IFERROR(INT(MID(Metadata!E470,15,1))&lt;=5,FALSE),NOT(MID(Metadata!E470,16,1)=""),IFERROR(INT(MID(Metadata!E470,15,2))&gt;=0,FALSE),IFERROR(INT(MID(Metadata!E470,15,2))&lt;=59,FALSE)), OR(MID(Metadata!E470,17,1)="", AND(AND(MID(Metadata!E470,17,1)=":",IFERROR(INT(MID(Metadata!E470,18,1))&gt;=0,FALSE),IFERROR(INT(MID(Metadata!E470,18,1))&lt;=5,FALSE),NOT(MID(Metadata!E470,19,1)=""),IFERROR(INT(MID(Metadata!E470,18,2))&gt;=0,FALSE),IFERROR(INT(MID(Metadata!E470,18,2))&lt;=59,FALSE)), LEN(Metadata!E470)&lt;=19)))))))))))))</f>
        <v>0</v>
      </c>
      <c r="AS470" t="b">
        <f>IF(Metadata!F470="",FALSE,TRUE)</f>
        <v>0</v>
      </c>
      <c r="AT470" t="b">
        <f>OR(AND(IF(Metadata!G470="",FALSE,TRUE),OR(EXACT(Metadata!G470,"not collected"),EXACT(Metadata!G470,"not provided"))),AND(IF(Metadata!G470="",FALSE,TRUE),OR(EXACT(Metadata!G470,"TRUE"),EXACT(Metadata!G470,"FALSE"))))</f>
        <v>0</v>
      </c>
      <c r="AU470" t="b">
        <f>OR(AND(IF(Metadata!H470="",FALSE,TRUE),OR(EXACT(Metadata!H470,"not collected"),EXACT(Metadata!H470,"not provided"),EXACT(Metadata!H470,"restricted access"))),AND(IF(Metadata!H470="",FALSE,ISNUMBER(VALUE(Metadata!H470))),Metadata!H470&gt;=-413))</f>
        <v>0</v>
      </c>
      <c r="AV470" t="b">
        <f>AND(IF(Metadata!I470="",FALSE,TRUE),EXACT(Metadata!I470,"meters"))</f>
        <v>0</v>
      </c>
      <c r="AW470" t="b">
        <f>AND(IF(Metadata!J470="",FALSE,TRUE),EXACT(Metadata!J470,"free-living"))</f>
        <v>0</v>
      </c>
      <c r="AX470" t="b">
        <f>AND(IF(Metadata!K470="",FALSE,TRUE),OR(EXACT(Metadata!K470,"saline"),EXACT(Metadata!K470,"non-saline")))</f>
        <v>0</v>
      </c>
      <c r="AY470" t="b">
        <f>AND(IF(Metadata!L470="",FALSE,TRUE),OR(EXACT(Metadata!L470,"sub-surface (non-saline)"),EXACT(Metadata!L470,"surface (non-saline)"),EXACT(Metadata!L470,"water (non-saline)"),EXACT(Metadata!L470,"soil (non-saline)"),EXACT(Metadata!L470,"aerosol (non-saline)"),EXACT(Metadata!L470,"sediment (non-saline)"),EXACT(Metadata!L470,"surface (saline)"),EXACT(Metadata!L470,"water (saline)"),EXACT(Metadata!L470,"hypersaline (saline)"),EXACT(Metadata!L470,"aerosol (saline)"),EXACT(Metadata!L470,"sediment (saline)")))</f>
        <v>0</v>
      </c>
      <c r="AZ470" t="b">
        <f>IF(Metadata!M470="",FALSE,TRUE)</f>
        <v>0</v>
      </c>
      <c r="BA470" t="b">
        <f>IF(Metadata!N470="",FALSE,TRUE)</f>
        <v>0</v>
      </c>
      <c r="BB470" t="b">
        <f>IF(Metadata!O470="",FALSE,TRUE)</f>
        <v>0</v>
      </c>
      <c r="BC470" t="b">
        <f>AND(IF(Metadata!P470="",FALSE,TRUE),OR(EXACT(Metadata!P470,"air"),EXACT(Metadata!P470,"microbial mat/biofilm"),EXACT(Metadata!P470,"misc environment"),EXACT(Metadata!P470,"sediment"),EXACT(Metadata!P470,"soil"),EXACT(Metadata!P470,"wastewater/sludge"),EXACT(Metadata!P470,"water")))</f>
        <v>0</v>
      </c>
      <c r="BD470" t="b">
        <f>IF(Metadata!Q470="",FALSE,TRUE)</f>
        <v>0</v>
      </c>
      <c r="BE470" t="b">
        <f>IF(Metadata!R470="",FALSE,TRUE)</f>
        <v>0</v>
      </c>
      <c r="BF470" t="b">
        <f>OR(AND(IF(Metadata!S470="",FALSE,TRUE),OR(EXACT(Metadata!S470,"not collected"),EXACT(Metadata!S470,"not provided"),EXACT(Metadata!S470,"restricted access"))),AND(IF(Metadata!S470="",FALSE,ISNUMBER(VALUE(Metadata!S470))),Metadata!S470&gt;=-90,Metadata!S470&lt;=90))</f>
        <v>0</v>
      </c>
      <c r="BG470" t="b">
        <f>AND(IF(Metadata!T470="",FALSE,TRUE),EXACT(Metadata!T470,"Decimal degrees"))</f>
        <v>0</v>
      </c>
      <c r="BH470" t="b">
        <f>OR(AND(IF(Metadata!U470="",FALSE,TRUE),OR(EXACT(Metadata!U470,"not applicable"),EXACT(Metadata!U470,"not collected"))),IF(Metadata!U470="",FALSE,TRUE))</f>
        <v>0</v>
      </c>
      <c r="BI470" t="b">
        <f>OR(AND(IF(Metadata!V470="",FALSE,TRUE),OR(EXACT(Metadata!V470,"not collected"),EXACT(Metadata!V470,"not provided"),EXACT(Metadata!V470,"restricted access"))),AND(IF(Metadata!V470="",FALSE,ISNUMBER(VALUE(Metadata!V470))),Metadata!V470&gt;=-180,Metadata!V470&lt;=180))</f>
        <v>0</v>
      </c>
      <c r="BJ470" t="b">
        <f>AND(IF(Metadata!W470="",FALSE,TRUE),EXACT(Metadata!W470,"Decimal degrees"))</f>
        <v>0</v>
      </c>
      <c r="BK470" t="b">
        <f>IF(Metadata!X470="",FALSE,TRUE)</f>
        <v>0</v>
      </c>
      <c r="BL470" t="b">
        <f>OR(AND(IF(Metadata!Y470="",FALSE,TRUE),OR(EXACT(Metadata!Y470,"not collected"),EXACT(Metadata!Y470,"not provided"),EXACT(Metadata!Y470,"restricted access"))),AND(IF(Metadata!Y470="",FALSE,TRUE),OR(EXACT(Metadata!Y470,"TRUE"),EXACT(Metadata!Y470,"FALSE"))))</f>
        <v>0</v>
      </c>
      <c r="BM470" t="b">
        <f>OR(AND(IF(Metadata!Z470="",FALSE,TRUE),EXACT(Metadata!Z470,"not applicable")),AND(IF(Metadata!Z470="",FALSE,TRUE),OR(EXACT(Metadata!Z470,"beer"),EXACT(Metadata!Z470,"cheese"),EXACT(Metadata!Z470,"fresh water"),EXACT(Metadata!Z470,"marine sediment"),EXACT(Metadata!Z470,"sea water"),EXACT(Metadata!Z470,"sediment"),EXACT(Metadata!Z470,"soil"),EXACT(Metadata!Z470,"waste water"))))</f>
        <v>0</v>
      </c>
      <c r="BN470" t="b">
        <f>AND(IF(Metadata!AA470="",FALSE,TRUE),EXACT(Metadata!AA470,"metagenome"))</f>
        <v>0</v>
      </c>
      <c r="BO470" t="b">
        <f>AND(IF(Metadata!AB470="",FALSE,TRUE),EXACT(Metadata!AB470,"256318"))</f>
        <v>0</v>
      </c>
      <c r="BP470" t="b">
        <f>IF(Metadata!AC470="",FALSE,TRUE)</f>
        <v>0</v>
      </c>
      <c r="BQ470" t="b">
        <f>IF(Metadata!AD470="",FALSE,TRUE)</f>
        <v>0</v>
      </c>
    </row>
    <row r="471" spans="1:69" x14ac:dyDescent="0.2">
      <c r="A471" s="4" t="e">
        <f ca="1">IF(B471=" "," ",HYPERLINK(CONCATENATE("#metadata!",ADDRESS(INDEX($AJ$2:$AJ$1001,MATCH(ROWS($AH$2:AH471),$AH$2:$AH$1001,0),0),2)),INDEX($AM$2:$AM$1001,MATCH(ROWS($AH$2:AH471),$AH$2:$AH$1001,0),0)))</f>
        <v>#N/A</v>
      </c>
      <c r="B471" s="5" t="e">
        <f ca="1">IF(OR(INDEX($AI$2:$AI$1001,MATCH(ROWS($AH$2:AH471),$AH$2:$AH$1001,0),1)&gt;=100000,INDEX($AO$1005:$BQ$1005,1,MATCH(COLUMNS($AO$1006:AO1006),$AO$1006:$BQ$1006,0))&gt;=100000), " ",IF(INDEX($AO$2:$BQ$1001,MATCH(ROWS($AH$2:AH471),$AH$2:$AH$1001,0),MATCH(COLUMNS($AO$1006:AO1006),$AO$1006:$BQ$1006,0)), HYPERLINK("#",""), HYPERLINK(CONCATENATE("#Metadata!", ADDRESS(INDEX($AJ$2:$AJ$1001,MATCH(ROWS($AH$2:AH471),$AH$2:$AH$1001,0),0), INDEX($AO$1004:$BQ$1004,1,MATCH(COLUMNS($AO$1006:AO1006),$AO$1006:$BQ$1006,0)))),"Fix")))</f>
        <v>#N/A</v>
      </c>
      <c r="C471" s="5" t="e">
        <f ca="1">IF(OR(INDEX($AI$2:$AI$1001,MATCH(ROWS($AH$2:AH471),$AH$2:$AH$1001,0),1)&gt;=100000,INDEX($AO$1005:$BQ$1005,1,MATCH(COLUMNS($AO$1006:AP1006),$AO$1006:$BQ$1006,0))&gt;=100000), " ",IF(INDEX($AO$2:$BQ$1001,MATCH(ROWS($AH$2:AH471),$AH$2:$AH$1001,0),MATCH(COLUMNS($AO$1006:AP1006),$AO$1006:$BQ$1006,0)), HYPERLINK("#",""), HYPERLINK(CONCATENATE("#Metadata!", ADDRESS(INDEX($AJ$2:$AJ$1001,MATCH(ROWS($AH$2:AH471),$AH$2:$AH$1001,0),0), INDEX($AO$1004:$BQ$1004,1,MATCH(COLUMNS($AO$1006:AP1006),$AO$1006:$BQ$1006,0)))),"Fix")))</f>
        <v>#N/A</v>
      </c>
      <c r="D471" s="5" t="e">
        <f ca="1">IF(OR(INDEX($AI$2:$AI$1001,MATCH(ROWS($AH$2:AH471),$AH$2:$AH$1001,0),1)&gt;=100000,INDEX($AO$1005:$BQ$1005,1,MATCH(COLUMNS($AO$1006:AQ1006),$AO$1006:$BQ$1006,0))&gt;=100000), " ",IF(INDEX($AO$2:$BQ$1001,MATCH(ROWS($AH$2:AH471),$AH$2:$AH$1001,0),MATCH(COLUMNS($AO$1006:AQ1006),$AO$1006:$BQ$1006,0)), HYPERLINK("#",""), HYPERLINK(CONCATENATE("#Metadata!", ADDRESS(INDEX($AJ$2:$AJ$1001,MATCH(ROWS($AH$2:AH471),$AH$2:$AH$1001,0),0), INDEX($AO$1004:$BQ$1004,1,MATCH(COLUMNS($AO$1006:AQ1006),$AO$1006:$BQ$1006,0)))),"Fix")))</f>
        <v>#N/A</v>
      </c>
      <c r="E471" s="5" t="e">
        <f ca="1">IF(OR(INDEX($AI$2:$AI$1001,MATCH(ROWS($AH$2:AH471),$AH$2:$AH$1001,0),1)&gt;=100000,INDEX($AO$1005:$BQ$1005,1,MATCH(COLUMNS($AO$1006:AR1006),$AO$1006:$BQ$1006,0))&gt;=100000), " ",IF(INDEX($AO$2:$BQ$1001,MATCH(ROWS($AH$2:AH471),$AH$2:$AH$1001,0),MATCH(COLUMNS($AO$1006:AR1006),$AO$1006:$BQ$1006,0)), HYPERLINK("#",""), HYPERLINK(CONCATENATE("#Metadata!", ADDRESS(INDEX($AJ$2:$AJ$1001,MATCH(ROWS($AH$2:AH471),$AH$2:$AH$1001,0),0), INDEX($AO$1004:$BQ$1004,1,MATCH(COLUMNS($AO$1006:AR1006),$AO$1006:$BQ$1006,0)))),"Fix")))</f>
        <v>#N/A</v>
      </c>
      <c r="F471" s="5" t="e">
        <f ca="1">IF(OR(INDEX($AI$2:$AI$1001,MATCH(ROWS($AH$2:AH471),$AH$2:$AH$1001,0),1)&gt;=100000,INDEX($AO$1005:$BQ$1005,1,MATCH(COLUMNS($AO$1006:AS1006),$AO$1006:$BQ$1006,0))&gt;=100000), " ",IF(INDEX($AO$2:$BQ$1001,MATCH(ROWS($AH$2:AH471),$AH$2:$AH$1001,0),MATCH(COLUMNS($AO$1006:AS1006),$AO$1006:$BQ$1006,0)), HYPERLINK("#",""), HYPERLINK(CONCATENATE("#Metadata!", ADDRESS(INDEX($AJ$2:$AJ$1001,MATCH(ROWS($AH$2:AH471),$AH$2:$AH$1001,0),0), INDEX($AO$1004:$BQ$1004,1,MATCH(COLUMNS($AO$1006:AS1006),$AO$1006:$BQ$1006,0)))),"Fix")))</f>
        <v>#N/A</v>
      </c>
      <c r="G471" s="5" t="e">
        <f ca="1">IF(OR(INDEX($AI$2:$AI$1001,MATCH(ROWS($AH$2:AH471),$AH$2:$AH$1001,0),1)&gt;=100000,INDEX($AO$1005:$BQ$1005,1,MATCH(COLUMNS($AO$1006:AT1006),$AO$1006:$BQ$1006,0))&gt;=100000), " ",IF(INDEX($AO$2:$BQ$1001,MATCH(ROWS($AH$2:AH471),$AH$2:$AH$1001,0),MATCH(COLUMNS($AO$1006:AT1006),$AO$1006:$BQ$1006,0)), HYPERLINK("#",""), HYPERLINK(CONCATENATE("#Metadata!", ADDRESS(INDEX($AJ$2:$AJ$1001,MATCH(ROWS($AH$2:AH471),$AH$2:$AH$1001,0),0), INDEX($AO$1004:$BQ$1004,1,MATCH(COLUMNS($AO$1006:AT1006),$AO$1006:$BQ$1006,0)))),"Fix")))</f>
        <v>#N/A</v>
      </c>
      <c r="H471" s="5" t="e">
        <f ca="1">IF(OR(INDEX($AI$2:$AI$1001,MATCH(ROWS($AH$2:AH471),$AH$2:$AH$1001,0),1)&gt;=100000,INDEX($AO$1005:$BQ$1005,1,MATCH(COLUMNS($AO$1006:AU1006),$AO$1006:$BQ$1006,0))&gt;=100000), " ",IF(INDEX($AO$2:$BQ$1001,MATCH(ROWS($AH$2:AH471),$AH$2:$AH$1001,0),MATCH(COLUMNS($AO$1006:AU1006),$AO$1006:$BQ$1006,0)), HYPERLINK("#",""), HYPERLINK(CONCATENATE("#Metadata!", ADDRESS(INDEX($AJ$2:$AJ$1001,MATCH(ROWS($AH$2:AH471),$AH$2:$AH$1001,0),0), INDEX($AO$1004:$BQ$1004,1,MATCH(COLUMNS($AO$1006:AU1006),$AO$1006:$BQ$1006,0)))),"Fix")))</f>
        <v>#N/A</v>
      </c>
      <c r="I471" s="5" t="e">
        <f ca="1">IF(OR(INDEX($AI$2:$AI$1001,MATCH(ROWS($AH$2:AH471),$AH$2:$AH$1001,0),1)&gt;=100000,INDEX($AO$1005:$BQ$1005,1,MATCH(COLUMNS($AO$1006:AV1006),$AO$1006:$BQ$1006,0))&gt;=100000), " ",IF(INDEX($AO$2:$BQ$1001,MATCH(ROWS($AH$2:AH471),$AH$2:$AH$1001,0),MATCH(COLUMNS($AO$1006:AV1006),$AO$1006:$BQ$1006,0)), HYPERLINK("#",""), HYPERLINK(CONCATENATE("#Metadata!", ADDRESS(INDEX($AJ$2:$AJ$1001,MATCH(ROWS($AH$2:AH471),$AH$2:$AH$1001,0),0), INDEX($AO$1004:$BQ$1004,1,MATCH(COLUMNS($AO$1006:AV1006),$AO$1006:$BQ$1006,0)))),"Fix")))</f>
        <v>#N/A</v>
      </c>
      <c r="J471" s="5" t="e">
        <f ca="1">IF(OR(INDEX($AI$2:$AI$1001,MATCH(ROWS($AH$2:AH471),$AH$2:$AH$1001,0),1)&gt;=100000,INDEX($AO$1005:$BQ$1005,1,MATCH(COLUMNS($AO$1006:AW1006),$AO$1006:$BQ$1006,0))&gt;=100000), " ",IF(INDEX($AO$2:$BQ$1001,MATCH(ROWS($AH$2:AH471),$AH$2:$AH$1001,0),MATCH(COLUMNS($AO$1006:AW1006),$AO$1006:$BQ$1006,0)), HYPERLINK("#",""), HYPERLINK(CONCATENATE("#Metadata!", ADDRESS(INDEX($AJ$2:$AJ$1001,MATCH(ROWS($AH$2:AH471),$AH$2:$AH$1001,0),0), INDEX($AO$1004:$BQ$1004,1,MATCH(COLUMNS($AO$1006:AW1006),$AO$1006:$BQ$1006,0)))),"Fix")))</f>
        <v>#N/A</v>
      </c>
      <c r="K471" s="5" t="e">
        <f ca="1">IF(OR(INDEX($AI$2:$AI$1001,MATCH(ROWS($AH$2:AH471),$AH$2:$AH$1001,0),1)&gt;=100000,INDEX($AO$1005:$BQ$1005,1,MATCH(COLUMNS($AO$1006:AX1006),$AO$1006:$BQ$1006,0))&gt;=100000), " ",IF(INDEX($AO$2:$BQ$1001,MATCH(ROWS($AH$2:AH471),$AH$2:$AH$1001,0),MATCH(COLUMNS($AO$1006:AX1006),$AO$1006:$BQ$1006,0)), HYPERLINK("#",""), HYPERLINK(CONCATENATE("#Metadata!", ADDRESS(INDEX($AJ$2:$AJ$1001,MATCH(ROWS($AH$2:AH471),$AH$2:$AH$1001,0),0), INDEX($AO$1004:$BQ$1004,1,MATCH(COLUMNS($AO$1006:AX1006),$AO$1006:$BQ$1006,0)))),"Fix")))</f>
        <v>#N/A</v>
      </c>
      <c r="L471" s="5" t="e">
        <f ca="1">IF(OR(INDEX($AI$2:$AI$1001,MATCH(ROWS($AH$2:AH471),$AH$2:$AH$1001,0),1)&gt;=100000,INDEX($AO$1005:$BQ$1005,1,MATCH(COLUMNS($AO$1006:AY1006),$AO$1006:$BQ$1006,0))&gt;=100000), " ",IF(INDEX($AO$2:$BQ$1001,MATCH(ROWS($AH$2:AH471),$AH$2:$AH$1001,0),MATCH(COLUMNS($AO$1006:AY1006),$AO$1006:$BQ$1006,0)), HYPERLINK("#",""), HYPERLINK(CONCATENATE("#Metadata!", ADDRESS(INDEX($AJ$2:$AJ$1001,MATCH(ROWS($AH$2:AH471),$AH$2:$AH$1001,0),0), INDEX($AO$1004:$BQ$1004,1,MATCH(COLUMNS($AO$1006:AY1006),$AO$1006:$BQ$1006,0)))),"Fix")))</f>
        <v>#N/A</v>
      </c>
      <c r="M471" s="5" t="e">
        <f ca="1">IF(OR(INDEX($AI$2:$AI$1001,MATCH(ROWS($AH$2:AH471),$AH$2:$AH$1001,0),1)&gt;=100000,INDEX($AO$1005:$BQ$1005,1,MATCH(COLUMNS($AO$1006:AZ1006),$AO$1006:$BQ$1006,0))&gt;=100000), " ",IF(INDEX($AO$2:$BQ$1001,MATCH(ROWS($AH$2:AH471),$AH$2:$AH$1001,0),MATCH(COLUMNS($AO$1006:AZ1006),$AO$1006:$BQ$1006,0)), HYPERLINK("#",""), HYPERLINK(CONCATENATE("#Metadata!", ADDRESS(INDEX($AJ$2:$AJ$1001,MATCH(ROWS($AH$2:AH471),$AH$2:$AH$1001,0),0), INDEX($AO$1004:$BQ$1004,1,MATCH(COLUMNS($AO$1006:AZ1006),$AO$1006:$BQ$1006,0)))),"Fix")))</f>
        <v>#N/A</v>
      </c>
      <c r="N471" s="5" t="e">
        <f ca="1">IF(OR(INDEX($AI$2:$AI$1001,MATCH(ROWS($AH$2:AH471),$AH$2:$AH$1001,0),1)&gt;=100000,INDEX($AO$1005:$BQ$1005,1,MATCH(COLUMNS($AO$1006:BA1006),$AO$1006:$BQ$1006,0))&gt;=100000), " ",IF(INDEX($AO$2:$BQ$1001,MATCH(ROWS($AH$2:AH471),$AH$2:$AH$1001,0),MATCH(COLUMNS($AO$1006:BA1006),$AO$1006:$BQ$1006,0)), HYPERLINK("#",""), HYPERLINK(CONCATENATE("#Metadata!", ADDRESS(INDEX($AJ$2:$AJ$1001,MATCH(ROWS($AH$2:AH471),$AH$2:$AH$1001,0),0), INDEX($AO$1004:$BQ$1004,1,MATCH(COLUMNS($AO$1006:BA1006),$AO$1006:$BQ$1006,0)))),"Fix")))</f>
        <v>#N/A</v>
      </c>
      <c r="O471" s="5" t="e">
        <f ca="1">IF(OR(INDEX($AI$2:$AI$1001,MATCH(ROWS($AH$2:AH471),$AH$2:$AH$1001,0),1)&gt;=100000,INDEX($AO$1005:$BQ$1005,1,MATCH(COLUMNS($AO$1006:BB1006),$AO$1006:$BQ$1006,0))&gt;=100000), " ",IF(INDEX($AO$2:$BQ$1001,MATCH(ROWS($AH$2:AH471),$AH$2:$AH$1001,0),MATCH(COLUMNS($AO$1006:BB1006),$AO$1006:$BQ$1006,0)), HYPERLINK("#",""), HYPERLINK(CONCATENATE("#Metadata!", ADDRESS(INDEX($AJ$2:$AJ$1001,MATCH(ROWS($AH$2:AH471),$AH$2:$AH$1001,0),0), INDEX($AO$1004:$BQ$1004,1,MATCH(COLUMNS($AO$1006:BB1006),$AO$1006:$BQ$1006,0)))),"Fix")))</f>
        <v>#N/A</v>
      </c>
      <c r="P471" s="5" t="e">
        <f ca="1">IF(OR(INDEX($AI$2:$AI$1001,MATCH(ROWS($AH$2:AH471),$AH$2:$AH$1001,0),1)&gt;=100000,INDEX($AO$1005:$BQ$1005,1,MATCH(COLUMNS($AO$1006:BC1006),$AO$1006:$BQ$1006,0))&gt;=100000), " ",IF(INDEX($AO$2:$BQ$1001,MATCH(ROWS($AH$2:AH471),$AH$2:$AH$1001,0),MATCH(COLUMNS($AO$1006:BC1006),$AO$1006:$BQ$1006,0)), HYPERLINK("#",""), HYPERLINK(CONCATENATE("#Metadata!", ADDRESS(INDEX($AJ$2:$AJ$1001,MATCH(ROWS($AH$2:AH471),$AH$2:$AH$1001,0),0), INDEX($AO$1004:$BQ$1004,1,MATCH(COLUMNS($AO$1006:BC1006),$AO$1006:$BQ$1006,0)))),"Fix")))</f>
        <v>#N/A</v>
      </c>
      <c r="Q471" s="5" t="e">
        <f ca="1">IF(OR(INDEX($AI$2:$AI$1001,MATCH(ROWS($AH$2:AH471),$AH$2:$AH$1001,0),1)&gt;=100000,INDEX($AO$1005:$BQ$1005,1,MATCH(COLUMNS($AO$1006:BD1006),$AO$1006:$BQ$1006,0))&gt;=100000), " ",IF(INDEX($AO$2:$BQ$1001,MATCH(ROWS($AH$2:AH471),$AH$2:$AH$1001,0),MATCH(COLUMNS($AO$1006:BD1006),$AO$1006:$BQ$1006,0)), HYPERLINK("#",""), HYPERLINK(CONCATENATE("#Metadata!", ADDRESS(INDEX($AJ$2:$AJ$1001,MATCH(ROWS($AH$2:AH471),$AH$2:$AH$1001,0),0), INDEX($AO$1004:$BQ$1004,1,MATCH(COLUMNS($AO$1006:BD1006),$AO$1006:$BQ$1006,0)))),"Fix")))</f>
        <v>#N/A</v>
      </c>
      <c r="R471" s="5" t="e">
        <f ca="1">IF(OR(INDEX($AI$2:$AI$1001,MATCH(ROWS($AH$2:AH471),$AH$2:$AH$1001,0),1)&gt;=100000,INDEX($AO$1005:$BQ$1005,1,MATCH(COLUMNS($AO$1006:BE1006),$AO$1006:$BQ$1006,0))&gt;=100000), " ",IF(INDEX($AO$2:$BQ$1001,MATCH(ROWS($AH$2:AH471),$AH$2:$AH$1001,0),MATCH(COLUMNS($AO$1006:BE1006),$AO$1006:$BQ$1006,0)), HYPERLINK("#",""), HYPERLINK(CONCATENATE("#Metadata!", ADDRESS(INDEX($AJ$2:$AJ$1001,MATCH(ROWS($AH$2:AH471),$AH$2:$AH$1001,0),0), INDEX($AO$1004:$BQ$1004,1,MATCH(COLUMNS($AO$1006:BE1006),$AO$1006:$BQ$1006,0)))),"Fix")))</f>
        <v>#N/A</v>
      </c>
      <c r="S471" s="5" t="e">
        <f ca="1">IF(OR(INDEX($AI$2:$AI$1001,MATCH(ROWS($AH$2:AH471),$AH$2:$AH$1001,0),1)&gt;=100000,INDEX($AO$1005:$BQ$1005,1,MATCH(COLUMNS($AO$1006:BF1006),$AO$1006:$BQ$1006,0))&gt;=100000), " ",IF(INDEX($AO$2:$BQ$1001,MATCH(ROWS($AH$2:AH471),$AH$2:$AH$1001,0),MATCH(COLUMNS($AO$1006:BF1006),$AO$1006:$BQ$1006,0)), HYPERLINK("#",""), HYPERLINK(CONCATENATE("#Metadata!", ADDRESS(INDEX($AJ$2:$AJ$1001,MATCH(ROWS($AH$2:AH471),$AH$2:$AH$1001,0),0), INDEX($AO$1004:$BQ$1004,1,MATCH(COLUMNS($AO$1006:BF1006),$AO$1006:$BQ$1006,0)))),"Fix")))</f>
        <v>#N/A</v>
      </c>
      <c r="T471" s="5" t="e">
        <f ca="1">IF(OR(INDEX($AI$2:$AI$1001,MATCH(ROWS($AH$2:AH471),$AH$2:$AH$1001,0),1)&gt;=100000,INDEX($AO$1005:$BQ$1005,1,MATCH(COLUMNS($AO$1006:BG1006),$AO$1006:$BQ$1006,0))&gt;=100000), " ",IF(INDEX($AO$2:$BQ$1001,MATCH(ROWS($AH$2:AH471),$AH$2:$AH$1001,0),MATCH(COLUMNS($AO$1006:BG1006),$AO$1006:$BQ$1006,0)), HYPERLINK("#",""), HYPERLINK(CONCATENATE("#Metadata!", ADDRESS(INDEX($AJ$2:$AJ$1001,MATCH(ROWS($AH$2:AH471),$AH$2:$AH$1001,0),0), INDEX($AO$1004:$BQ$1004,1,MATCH(COLUMNS($AO$1006:BG1006),$AO$1006:$BQ$1006,0)))),"Fix")))</f>
        <v>#N/A</v>
      </c>
      <c r="U471" s="5" t="e">
        <f ca="1">IF(OR(INDEX($AI$2:$AI$1001,MATCH(ROWS($AH$2:AH471),$AH$2:$AH$1001,0),1)&gt;=100000,INDEX($AO$1005:$BQ$1005,1,MATCH(COLUMNS($AO$1006:BH1006),$AO$1006:$BQ$1006,0))&gt;=100000), " ",IF(INDEX($AO$2:$BQ$1001,MATCH(ROWS($AH$2:AH471),$AH$2:$AH$1001,0),MATCH(COLUMNS($AO$1006:BH1006),$AO$1006:$BQ$1006,0)), HYPERLINK("#",""), HYPERLINK(CONCATENATE("#Metadata!", ADDRESS(INDEX($AJ$2:$AJ$1001,MATCH(ROWS($AH$2:AH471),$AH$2:$AH$1001,0),0), INDEX($AO$1004:$BQ$1004,1,MATCH(COLUMNS($AO$1006:BH1006),$AO$1006:$BQ$1006,0)))),"Fix")))</f>
        <v>#N/A</v>
      </c>
      <c r="V471" s="5" t="e">
        <f ca="1">IF(OR(INDEX($AI$2:$AI$1001,MATCH(ROWS($AH$2:AH471),$AH$2:$AH$1001,0),1)&gt;=100000,INDEX($AO$1005:$BQ$1005,1,MATCH(COLUMNS($AO$1006:BI1006),$AO$1006:$BQ$1006,0))&gt;=100000), " ",IF(INDEX($AO$2:$BQ$1001,MATCH(ROWS($AH$2:AH471),$AH$2:$AH$1001,0),MATCH(COLUMNS($AO$1006:BI1006),$AO$1006:$BQ$1006,0)), HYPERLINK("#",""), HYPERLINK(CONCATENATE("#Metadata!", ADDRESS(INDEX($AJ$2:$AJ$1001,MATCH(ROWS($AH$2:AH471),$AH$2:$AH$1001,0),0), INDEX($AO$1004:$BQ$1004,1,MATCH(COLUMNS($AO$1006:BI1006),$AO$1006:$BQ$1006,0)))),"Fix")))</f>
        <v>#N/A</v>
      </c>
      <c r="W471" s="5" t="e">
        <f ca="1">IF(OR(INDEX($AI$2:$AI$1001,MATCH(ROWS($AH$2:AH471),$AH$2:$AH$1001,0),1)&gt;=100000,INDEX($AO$1005:$BQ$1005,1,MATCH(COLUMNS($AO$1006:BJ1006),$AO$1006:$BQ$1006,0))&gt;=100000), " ",IF(INDEX($AO$2:$BQ$1001,MATCH(ROWS($AH$2:AH471),$AH$2:$AH$1001,0),MATCH(COLUMNS($AO$1006:BJ1006),$AO$1006:$BQ$1006,0)), HYPERLINK("#",""), HYPERLINK(CONCATENATE("#Metadata!", ADDRESS(INDEX($AJ$2:$AJ$1001,MATCH(ROWS($AH$2:AH471),$AH$2:$AH$1001,0),0), INDEX($AO$1004:$BQ$1004,1,MATCH(COLUMNS($AO$1006:BJ1006),$AO$1006:$BQ$1006,0)))),"Fix")))</f>
        <v>#N/A</v>
      </c>
      <c r="X471" s="5" t="e">
        <f ca="1">IF(OR(INDEX($AI$2:$AI$1001,MATCH(ROWS($AH$2:AH471),$AH$2:$AH$1001,0),1)&gt;=100000,INDEX($AO$1005:$BQ$1005,1,MATCH(COLUMNS($AO$1006:BK1006),$AO$1006:$BQ$1006,0))&gt;=100000), " ",IF(INDEX($AO$2:$BQ$1001,MATCH(ROWS($AH$2:AH471),$AH$2:$AH$1001,0),MATCH(COLUMNS($AO$1006:BK1006),$AO$1006:$BQ$1006,0)), HYPERLINK("#",""), HYPERLINK(CONCATENATE("#Metadata!", ADDRESS(INDEX($AJ$2:$AJ$1001,MATCH(ROWS($AH$2:AH471),$AH$2:$AH$1001,0),0), INDEX($AO$1004:$BQ$1004,1,MATCH(COLUMNS($AO$1006:BK1006),$AO$1006:$BQ$1006,0)))),"Fix")))</f>
        <v>#N/A</v>
      </c>
      <c r="Y471" s="5" t="e">
        <f ca="1">IF(OR(INDEX($AI$2:$AI$1001,MATCH(ROWS($AH$2:AH471),$AH$2:$AH$1001,0),1)&gt;=100000,INDEX($AO$1005:$BQ$1005,1,MATCH(COLUMNS($AO$1006:BL1006),$AO$1006:$BQ$1006,0))&gt;=100000), " ",IF(INDEX($AO$2:$BQ$1001,MATCH(ROWS($AH$2:AH471),$AH$2:$AH$1001,0),MATCH(COLUMNS($AO$1006:BL1006),$AO$1006:$BQ$1006,0)), HYPERLINK("#",""), HYPERLINK(CONCATENATE("#Metadata!", ADDRESS(INDEX($AJ$2:$AJ$1001,MATCH(ROWS($AH$2:AH471),$AH$2:$AH$1001,0),0), INDEX($AO$1004:$BQ$1004,1,MATCH(COLUMNS($AO$1006:BL1006),$AO$1006:$BQ$1006,0)))),"Fix")))</f>
        <v>#N/A</v>
      </c>
      <c r="Z471" s="5" t="e">
        <f ca="1">IF(OR(INDEX($AI$2:$AI$1001,MATCH(ROWS($AH$2:AH471),$AH$2:$AH$1001,0),1)&gt;=100000,INDEX($AO$1005:$BQ$1005,1,MATCH(COLUMNS($AO$1006:BM1006),$AO$1006:$BQ$1006,0))&gt;=100000), " ",IF(INDEX($AO$2:$BQ$1001,MATCH(ROWS($AH$2:AH471),$AH$2:$AH$1001,0),MATCH(COLUMNS($AO$1006:BM1006),$AO$1006:$BQ$1006,0)), HYPERLINK("#",""), HYPERLINK(CONCATENATE("#Metadata!", ADDRESS(INDEX($AJ$2:$AJ$1001,MATCH(ROWS($AH$2:AH471),$AH$2:$AH$1001,0),0), INDEX($AO$1004:$BQ$1004,1,MATCH(COLUMNS($AO$1006:BM1006),$AO$1006:$BQ$1006,0)))),"Fix")))</f>
        <v>#N/A</v>
      </c>
      <c r="AA471" s="5" t="e">
        <f ca="1">IF(OR(INDEX($AI$2:$AI$1001,MATCH(ROWS($AH$2:AH471),$AH$2:$AH$1001,0),1)&gt;=100000,INDEX($AO$1005:$BQ$1005,1,MATCH(COLUMNS($AO$1006:BN1006),$AO$1006:$BQ$1006,0))&gt;=100000), " ",IF(INDEX($AO$2:$BQ$1001,MATCH(ROWS($AH$2:AH471),$AH$2:$AH$1001,0),MATCH(COLUMNS($AO$1006:BN1006),$AO$1006:$BQ$1006,0)), HYPERLINK("#",""), HYPERLINK(CONCATENATE("#Metadata!", ADDRESS(INDEX($AJ$2:$AJ$1001,MATCH(ROWS($AH$2:AH471),$AH$2:$AH$1001,0),0), INDEX($AO$1004:$BQ$1004,1,MATCH(COLUMNS($AO$1006:BN1006),$AO$1006:$BQ$1006,0)))),"Fix")))</f>
        <v>#N/A</v>
      </c>
      <c r="AB471" s="5" t="e">
        <f ca="1">IF(OR(INDEX($AI$2:$AI$1001,MATCH(ROWS($AH$2:AH471),$AH$2:$AH$1001,0),1)&gt;=100000,INDEX($AO$1005:$BQ$1005,1,MATCH(COLUMNS($AO$1006:BO1006),$AO$1006:$BQ$1006,0))&gt;=100000), " ",IF(INDEX($AO$2:$BQ$1001,MATCH(ROWS($AH$2:AH471),$AH$2:$AH$1001,0),MATCH(COLUMNS($AO$1006:BO1006),$AO$1006:$BQ$1006,0)), HYPERLINK("#",""), HYPERLINK(CONCATENATE("#Metadata!", ADDRESS(INDEX($AJ$2:$AJ$1001,MATCH(ROWS($AH$2:AH471),$AH$2:$AH$1001,0),0), INDEX($AO$1004:$BQ$1004,1,MATCH(COLUMNS($AO$1006:BO1006),$AO$1006:$BQ$1006,0)))),"Fix")))</f>
        <v>#N/A</v>
      </c>
      <c r="AC471" s="5" t="e">
        <f ca="1">IF(OR(INDEX($AI$2:$AI$1001,MATCH(ROWS($AH$2:AH471),$AH$2:$AH$1001,0),1)&gt;=100000,INDEX($AO$1005:$BQ$1005,1,MATCH(COLUMNS($AO$1006:BP1006),$AO$1006:$BQ$1006,0))&gt;=100000), " ",IF(INDEX($AO$2:$BQ$1001,MATCH(ROWS($AH$2:AH471),$AH$2:$AH$1001,0),MATCH(COLUMNS($AO$1006:BP1006),$AO$1006:$BQ$1006,0)), HYPERLINK("#",""), HYPERLINK(CONCATENATE("#Metadata!", ADDRESS(INDEX($AJ$2:$AJ$1001,MATCH(ROWS($AH$2:AH471),$AH$2:$AH$1001,0),0), INDEX($AO$1004:$BQ$1004,1,MATCH(COLUMNS($AO$1006:BP1006),$AO$1006:$BQ$1006,0)))),"Fix")))</f>
        <v>#N/A</v>
      </c>
      <c r="AD471" s="5" t="e">
        <f ca="1">IF(OR(INDEX($AI$2:$AI$1001,MATCH(ROWS($AH$2:AH471),$AH$2:$AH$1001,0),1)&gt;=100000,INDEX($AO$1005:$BQ$1005,1,MATCH(COLUMNS($AO$1006:BQ1006),$AO$1006:$BQ$1006,0))&gt;=100000), " ",IF(INDEX($AO$2:$BQ$1001,MATCH(ROWS($AH$2:AH471),$AH$2:$AH$1001,0),MATCH(COLUMNS($AO$1006:BQ1006),$AO$1006:$BQ$1006,0)), HYPERLINK("#",""), HYPERLINK(CONCATENATE("#Metadata!", ADDRESS(INDEX($AJ$2:$AJ$1001,MATCH(ROWS($AH$2:AH471),$AH$2:$AH$1001,0),0), INDEX($AO$1004:$BQ$1004,1,MATCH(COLUMNS($AO$1006:BQ1006),$AO$1006:$BQ$1006,0)))),"Fix")))</f>
        <v>#REF!</v>
      </c>
      <c r="AH471">
        <f ca="1"/>
        <v>468</v>
      </c>
      <c r="AI471">
        <v>100471</v>
      </c>
      <c r="AJ471">
        <v>471</v>
      </c>
      <c r="AK471" t="b">
        <f t="shared" si="7"/>
        <v>1</v>
      </c>
      <c r="AL471" t="b">
        <f>COUNTBLANK(Metadata!B471:AD471)=COLUMNS(Metadata!B471:AD471)</f>
        <v>1</v>
      </c>
      <c r="AM471" t="str">
        <v/>
      </c>
      <c r="AO471" t="b">
        <f ca="1">AND(IF(Metadata!B471="",FALSE,TRUE),COUNTIF(Metadata!B:B, Metadata!B471) = 1,NOT(ISERROR(SUMPRODUCT(SEARCH(MID(Metadata!B471,ROW(INDIRECT("1:"&amp;LEN(Metadata!B471))), 1),"0123456789abcdefghijklmnopqrstuvwxyzABCDEFGHIJKLMNOPQRSTUVWXYZ.")))))</f>
        <v>0</v>
      </c>
      <c r="AP471" t="b">
        <f>IF(Metadata!C471="",FALSE,TRUE)</f>
        <v>0</v>
      </c>
      <c r="AQ471" t="b">
        <f>IF(Metadata!D471="",FALSE,TRUE)</f>
        <v>0</v>
      </c>
      <c r="AR471" t="b">
        <f ca="1">OR(AND(IF(Metadata!E471="",FALSE,TRUE),OR(EXACT(Metadata!E471,"not collected"),EXACT(Metadata!E471,"not provided"),EXACT(Metadata!E471,"restricted access"))),AND(IF(Metadata!E471="",FALSE,TRUE),AND(AND(IFERROR(INT(LEFT(Metadata!E471,4))&gt;1900,FALSE),IFERROR(INT(LEFT(Metadata!E471,4))&lt;=YEAR(NOW()),FALSE)), OR(MID(Metadata!E471,5,1)="", AND(AND(MID(Metadata!E471,5,1)="-",IFERROR(INT(MID(Metadata!E471,6,1))&gt;=0,FALSE),IFERROR(INT(MID(Metadata!E471,6,1))&lt;=1,FALSE),NOT(MID(Metadata!E471,7,1)=""),IFERROR(INT(MID(Metadata!E471,6,2))&gt;=1,FALSE),IFERROR(INT(MID(Metadata!E471,6,2))&lt;=12,FALSE)), OR(MID(Metadata!E471,8,1)="", AND(AND(MID(Metadata!E471,8,1)="-",IFERROR(INT(MID(Metadata!E471,9,1))&gt;=0,FALSE),IFERROR(INT(MID(Metadata!E471,9,1))&lt;=3,FALSE),NOT(MID(Metadata!E471,10,1)=""),IFERROR(INT(MID(Metadata!E471,9,2))&gt;=1,FALSE),IFERROR(INT(MID(Metadata!E471,9,2))&lt;=31,FALSE)), OR(MID(Metadata!E471,11,1)="", AND(AND(MID(Metadata!E471,11,1)=" ",IFERROR(INT(MID(Metadata!E471,12,1))&gt;=0,FALSE),IFERROR(INT(MID(Metadata!E471,12,1))&lt;=2,FALSE),NOT(MID(Metadata!E471,13,1)=""),IFERROR(INT(MID(Metadata!E471,12,2))&gt;=0,FALSE),IFERROR(INT(MID(Metadata!E471,12,2))&lt;=23,FALSE)), OR(MID(Metadata!E471,14,1)="", AND(AND(MID(Metadata!E471,14,1)=":",IFERROR(INT(MID(Metadata!E471,15,1))&gt;=0,FALSE),IFERROR(INT(MID(Metadata!E471,15,1))&lt;=5,FALSE),NOT(MID(Metadata!E471,16,1)=""),IFERROR(INT(MID(Metadata!E471,15,2))&gt;=0,FALSE),IFERROR(INT(MID(Metadata!E471,15,2))&lt;=59,FALSE)), OR(MID(Metadata!E471,17,1)="", AND(AND(MID(Metadata!E471,17,1)=":",IFERROR(INT(MID(Metadata!E471,18,1))&gt;=0,FALSE),IFERROR(INT(MID(Metadata!E471,18,1))&lt;=5,FALSE),NOT(MID(Metadata!E471,19,1)=""),IFERROR(INT(MID(Metadata!E471,18,2))&gt;=0,FALSE),IFERROR(INT(MID(Metadata!E471,18,2))&lt;=59,FALSE)), LEN(Metadata!E471)&lt;=19)))))))))))))</f>
        <v>0</v>
      </c>
      <c r="AS471" t="b">
        <f>IF(Metadata!F471="",FALSE,TRUE)</f>
        <v>0</v>
      </c>
      <c r="AT471" t="b">
        <f>OR(AND(IF(Metadata!G471="",FALSE,TRUE),OR(EXACT(Metadata!G471,"not collected"),EXACT(Metadata!G471,"not provided"))),AND(IF(Metadata!G471="",FALSE,TRUE),OR(EXACT(Metadata!G471,"TRUE"),EXACT(Metadata!G471,"FALSE"))))</f>
        <v>0</v>
      </c>
      <c r="AU471" t="b">
        <f>OR(AND(IF(Metadata!H471="",FALSE,TRUE),OR(EXACT(Metadata!H471,"not collected"),EXACT(Metadata!H471,"not provided"),EXACT(Metadata!H471,"restricted access"))),AND(IF(Metadata!H471="",FALSE,ISNUMBER(VALUE(Metadata!H471))),Metadata!H471&gt;=-413))</f>
        <v>0</v>
      </c>
      <c r="AV471" t="b">
        <f>AND(IF(Metadata!I471="",FALSE,TRUE),EXACT(Metadata!I471,"meters"))</f>
        <v>0</v>
      </c>
      <c r="AW471" t="b">
        <f>AND(IF(Metadata!J471="",FALSE,TRUE),EXACT(Metadata!J471,"free-living"))</f>
        <v>0</v>
      </c>
      <c r="AX471" t="b">
        <f>AND(IF(Metadata!K471="",FALSE,TRUE),OR(EXACT(Metadata!K471,"saline"),EXACT(Metadata!K471,"non-saline")))</f>
        <v>0</v>
      </c>
      <c r="AY471" t="b">
        <f>AND(IF(Metadata!L471="",FALSE,TRUE),OR(EXACT(Metadata!L471,"sub-surface (non-saline)"),EXACT(Metadata!L471,"surface (non-saline)"),EXACT(Metadata!L471,"water (non-saline)"),EXACT(Metadata!L471,"soil (non-saline)"),EXACT(Metadata!L471,"aerosol (non-saline)"),EXACT(Metadata!L471,"sediment (non-saline)"),EXACT(Metadata!L471,"surface (saline)"),EXACT(Metadata!L471,"water (saline)"),EXACT(Metadata!L471,"hypersaline (saline)"),EXACT(Metadata!L471,"aerosol (saline)"),EXACT(Metadata!L471,"sediment (saline)")))</f>
        <v>0</v>
      </c>
      <c r="AZ471" t="b">
        <f>IF(Metadata!M471="",FALSE,TRUE)</f>
        <v>0</v>
      </c>
      <c r="BA471" t="b">
        <f>IF(Metadata!N471="",FALSE,TRUE)</f>
        <v>0</v>
      </c>
      <c r="BB471" t="b">
        <f>IF(Metadata!O471="",FALSE,TRUE)</f>
        <v>0</v>
      </c>
      <c r="BC471" t="b">
        <f>AND(IF(Metadata!P471="",FALSE,TRUE),OR(EXACT(Metadata!P471,"air"),EXACT(Metadata!P471,"microbial mat/biofilm"),EXACT(Metadata!P471,"misc environment"),EXACT(Metadata!P471,"sediment"),EXACT(Metadata!P471,"soil"),EXACT(Metadata!P471,"wastewater/sludge"),EXACT(Metadata!P471,"water")))</f>
        <v>0</v>
      </c>
      <c r="BD471" t="b">
        <f>IF(Metadata!Q471="",FALSE,TRUE)</f>
        <v>0</v>
      </c>
      <c r="BE471" t="b">
        <f>IF(Metadata!R471="",FALSE,TRUE)</f>
        <v>0</v>
      </c>
      <c r="BF471" t="b">
        <f>OR(AND(IF(Metadata!S471="",FALSE,TRUE),OR(EXACT(Metadata!S471,"not collected"),EXACT(Metadata!S471,"not provided"),EXACT(Metadata!S471,"restricted access"))),AND(IF(Metadata!S471="",FALSE,ISNUMBER(VALUE(Metadata!S471))),Metadata!S471&gt;=-90,Metadata!S471&lt;=90))</f>
        <v>0</v>
      </c>
      <c r="BG471" t="b">
        <f>AND(IF(Metadata!T471="",FALSE,TRUE),EXACT(Metadata!T471,"Decimal degrees"))</f>
        <v>0</v>
      </c>
      <c r="BH471" t="b">
        <f>OR(AND(IF(Metadata!U471="",FALSE,TRUE),OR(EXACT(Metadata!U471,"not applicable"),EXACT(Metadata!U471,"not collected"))),IF(Metadata!U471="",FALSE,TRUE))</f>
        <v>0</v>
      </c>
      <c r="BI471" t="b">
        <f>OR(AND(IF(Metadata!V471="",FALSE,TRUE),OR(EXACT(Metadata!V471,"not collected"),EXACT(Metadata!V471,"not provided"),EXACT(Metadata!V471,"restricted access"))),AND(IF(Metadata!V471="",FALSE,ISNUMBER(VALUE(Metadata!V471))),Metadata!V471&gt;=-180,Metadata!V471&lt;=180))</f>
        <v>0</v>
      </c>
      <c r="BJ471" t="b">
        <f>AND(IF(Metadata!W471="",FALSE,TRUE),EXACT(Metadata!W471,"Decimal degrees"))</f>
        <v>0</v>
      </c>
      <c r="BK471" t="b">
        <f>IF(Metadata!X471="",FALSE,TRUE)</f>
        <v>0</v>
      </c>
      <c r="BL471" t="b">
        <f>OR(AND(IF(Metadata!Y471="",FALSE,TRUE),OR(EXACT(Metadata!Y471,"not collected"),EXACT(Metadata!Y471,"not provided"),EXACT(Metadata!Y471,"restricted access"))),AND(IF(Metadata!Y471="",FALSE,TRUE),OR(EXACT(Metadata!Y471,"TRUE"),EXACT(Metadata!Y471,"FALSE"))))</f>
        <v>0</v>
      </c>
      <c r="BM471" t="b">
        <f>OR(AND(IF(Metadata!Z471="",FALSE,TRUE),EXACT(Metadata!Z471,"not applicable")),AND(IF(Metadata!Z471="",FALSE,TRUE),OR(EXACT(Metadata!Z471,"beer"),EXACT(Metadata!Z471,"cheese"),EXACT(Metadata!Z471,"fresh water"),EXACT(Metadata!Z471,"marine sediment"),EXACT(Metadata!Z471,"sea water"),EXACT(Metadata!Z471,"sediment"),EXACT(Metadata!Z471,"soil"),EXACT(Metadata!Z471,"waste water"))))</f>
        <v>0</v>
      </c>
      <c r="BN471" t="b">
        <f>AND(IF(Metadata!AA471="",FALSE,TRUE),EXACT(Metadata!AA471,"metagenome"))</f>
        <v>0</v>
      </c>
      <c r="BO471" t="b">
        <f>AND(IF(Metadata!AB471="",FALSE,TRUE),EXACT(Metadata!AB471,"256318"))</f>
        <v>0</v>
      </c>
      <c r="BP471" t="b">
        <f>IF(Metadata!AC471="",FALSE,TRUE)</f>
        <v>0</v>
      </c>
      <c r="BQ471" t="b">
        <f>IF(Metadata!AD471="",FALSE,TRUE)</f>
        <v>0</v>
      </c>
    </row>
    <row r="472" spans="1:69" x14ac:dyDescent="0.2">
      <c r="A472" s="4" t="e">
        <f ca="1">IF(B472=" "," ",HYPERLINK(CONCATENATE("#metadata!",ADDRESS(INDEX($AJ$2:$AJ$1001,MATCH(ROWS($AH$2:AH472),$AH$2:$AH$1001,0),0),2)),INDEX($AM$2:$AM$1001,MATCH(ROWS($AH$2:AH472),$AH$2:$AH$1001,0),0)))</f>
        <v>#N/A</v>
      </c>
      <c r="B472" s="5" t="e">
        <f ca="1">IF(OR(INDEX($AI$2:$AI$1001,MATCH(ROWS($AH$2:AH472),$AH$2:$AH$1001,0),1)&gt;=100000,INDEX($AO$1005:$BQ$1005,1,MATCH(COLUMNS($AO$1006:AO1006),$AO$1006:$BQ$1006,0))&gt;=100000), " ",IF(INDEX($AO$2:$BQ$1001,MATCH(ROWS($AH$2:AH472),$AH$2:$AH$1001,0),MATCH(COLUMNS($AO$1006:AO1006),$AO$1006:$BQ$1006,0)), HYPERLINK("#",""), HYPERLINK(CONCATENATE("#Metadata!", ADDRESS(INDEX($AJ$2:$AJ$1001,MATCH(ROWS($AH$2:AH472),$AH$2:$AH$1001,0),0), INDEX($AO$1004:$BQ$1004,1,MATCH(COLUMNS($AO$1006:AO1006),$AO$1006:$BQ$1006,0)))),"Fix")))</f>
        <v>#N/A</v>
      </c>
      <c r="C472" s="5" t="e">
        <f ca="1">IF(OR(INDEX($AI$2:$AI$1001,MATCH(ROWS($AH$2:AH472),$AH$2:$AH$1001,0),1)&gt;=100000,INDEX($AO$1005:$BQ$1005,1,MATCH(COLUMNS($AO$1006:AP1006),$AO$1006:$BQ$1006,0))&gt;=100000), " ",IF(INDEX($AO$2:$BQ$1001,MATCH(ROWS($AH$2:AH472),$AH$2:$AH$1001,0),MATCH(COLUMNS($AO$1006:AP1006),$AO$1006:$BQ$1006,0)), HYPERLINK("#",""), HYPERLINK(CONCATENATE("#Metadata!", ADDRESS(INDEX($AJ$2:$AJ$1001,MATCH(ROWS($AH$2:AH472),$AH$2:$AH$1001,0),0), INDEX($AO$1004:$BQ$1004,1,MATCH(COLUMNS($AO$1006:AP1006),$AO$1006:$BQ$1006,0)))),"Fix")))</f>
        <v>#N/A</v>
      </c>
      <c r="D472" s="5" t="e">
        <f ca="1">IF(OR(INDEX($AI$2:$AI$1001,MATCH(ROWS($AH$2:AH472),$AH$2:$AH$1001,0),1)&gt;=100000,INDEX($AO$1005:$BQ$1005,1,MATCH(COLUMNS($AO$1006:AQ1006),$AO$1006:$BQ$1006,0))&gt;=100000), " ",IF(INDEX($AO$2:$BQ$1001,MATCH(ROWS($AH$2:AH472),$AH$2:$AH$1001,0),MATCH(COLUMNS($AO$1006:AQ1006),$AO$1006:$BQ$1006,0)), HYPERLINK("#",""), HYPERLINK(CONCATENATE("#Metadata!", ADDRESS(INDEX($AJ$2:$AJ$1001,MATCH(ROWS($AH$2:AH472),$AH$2:$AH$1001,0),0), INDEX($AO$1004:$BQ$1004,1,MATCH(COLUMNS($AO$1006:AQ1006),$AO$1006:$BQ$1006,0)))),"Fix")))</f>
        <v>#N/A</v>
      </c>
      <c r="E472" s="5" t="e">
        <f ca="1">IF(OR(INDEX($AI$2:$AI$1001,MATCH(ROWS($AH$2:AH472),$AH$2:$AH$1001,0),1)&gt;=100000,INDEX($AO$1005:$BQ$1005,1,MATCH(COLUMNS($AO$1006:AR1006),$AO$1006:$BQ$1006,0))&gt;=100000), " ",IF(INDEX($AO$2:$BQ$1001,MATCH(ROWS($AH$2:AH472),$AH$2:$AH$1001,0),MATCH(COLUMNS($AO$1006:AR1006),$AO$1006:$BQ$1006,0)), HYPERLINK("#",""), HYPERLINK(CONCATENATE("#Metadata!", ADDRESS(INDEX($AJ$2:$AJ$1001,MATCH(ROWS($AH$2:AH472),$AH$2:$AH$1001,0),0), INDEX($AO$1004:$BQ$1004,1,MATCH(COLUMNS($AO$1006:AR1006),$AO$1006:$BQ$1006,0)))),"Fix")))</f>
        <v>#N/A</v>
      </c>
      <c r="F472" s="5" t="e">
        <f ca="1">IF(OR(INDEX($AI$2:$AI$1001,MATCH(ROWS($AH$2:AH472),$AH$2:$AH$1001,0),1)&gt;=100000,INDEX($AO$1005:$BQ$1005,1,MATCH(COLUMNS($AO$1006:AS1006),$AO$1006:$BQ$1006,0))&gt;=100000), " ",IF(INDEX($AO$2:$BQ$1001,MATCH(ROWS($AH$2:AH472),$AH$2:$AH$1001,0),MATCH(COLUMNS($AO$1006:AS1006),$AO$1006:$BQ$1006,0)), HYPERLINK("#",""), HYPERLINK(CONCATENATE("#Metadata!", ADDRESS(INDEX($AJ$2:$AJ$1001,MATCH(ROWS($AH$2:AH472),$AH$2:$AH$1001,0),0), INDEX($AO$1004:$BQ$1004,1,MATCH(COLUMNS($AO$1006:AS1006),$AO$1006:$BQ$1006,0)))),"Fix")))</f>
        <v>#N/A</v>
      </c>
      <c r="G472" s="5" t="e">
        <f ca="1">IF(OR(INDEX($AI$2:$AI$1001,MATCH(ROWS($AH$2:AH472),$AH$2:$AH$1001,0),1)&gt;=100000,INDEX($AO$1005:$BQ$1005,1,MATCH(COLUMNS($AO$1006:AT1006),$AO$1006:$BQ$1006,0))&gt;=100000), " ",IF(INDEX($AO$2:$BQ$1001,MATCH(ROWS($AH$2:AH472),$AH$2:$AH$1001,0),MATCH(COLUMNS($AO$1006:AT1006),$AO$1006:$BQ$1006,0)), HYPERLINK("#",""), HYPERLINK(CONCATENATE("#Metadata!", ADDRESS(INDEX($AJ$2:$AJ$1001,MATCH(ROWS($AH$2:AH472),$AH$2:$AH$1001,0),0), INDEX($AO$1004:$BQ$1004,1,MATCH(COLUMNS($AO$1006:AT1006),$AO$1006:$BQ$1006,0)))),"Fix")))</f>
        <v>#N/A</v>
      </c>
      <c r="H472" s="5" t="e">
        <f ca="1">IF(OR(INDEX($AI$2:$AI$1001,MATCH(ROWS($AH$2:AH472),$AH$2:$AH$1001,0),1)&gt;=100000,INDEX($AO$1005:$BQ$1005,1,MATCH(COLUMNS($AO$1006:AU1006),$AO$1006:$BQ$1006,0))&gt;=100000), " ",IF(INDEX($AO$2:$BQ$1001,MATCH(ROWS($AH$2:AH472),$AH$2:$AH$1001,0),MATCH(COLUMNS($AO$1006:AU1006),$AO$1006:$BQ$1006,0)), HYPERLINK("#",""), HYPERLINK(CONCATENATE("#Metadata!", ADDRESS(INDEX($AJ$2:$AJ$1001,MATCH(ROWS($AH$2:AH472),$AH$2:$AH$1001,0),0), INDEX($AO$1004:$BQ$1004,1,MATCH(COLUMNS($AO$1006:AU1006),$AO$1006:$BQ$1006,0)))),"Fix")))</f>
        <v>#N/A</v>
      </c>
      <c r="I472" s="5" t="e">
        <f ca="1">IF(OR(INDEX($AI$2:$AI$1001,MATCH(ROWS($AH$2:AH472),$AH$2:$AH$1001,0),1)&gt;=100000,INDEX($AO$1005:$BQ$1005,1,MATCH(COLUMNS($AO$1006:AV1006),$AO$1006:$BQ$1006,0))&gt;=100000), " ",IF(INDEX($AO$2:$BQ$1001,MATCH(ROWS($AH$2:AH472),$AH$2:$AH$1001,0),MATCH(COLUMNS($AO$1006:AV1006),$AO$1006:$BQ$1006,0)), HYPERLINK("#",""), HYPERLINK(CONCATENATE("#Metadata!", ADDRESS(INDEX($AJ$2:$AJ$1001,MATCH(ROWS($AH$2:AH472),$AH$2:$AH$1001,0),0), INDEX($AO$1004:$BQ$1004,1,MATCH(COLUMNS($AO$1006:AV1006),$AO$1006:$BQ$1006,0)))),"Fix")))</f>
        <v>#N/A</v>
      </c>
      <c r="J472" s="5" t="e">
        <f ca="1">IF(OR(INDEX($AI$2:$AI$1001,MATCH(ROWS($AH$2:AH472),$AH$2:$AH$1001,0),1)&gt;=100000,INDEX($AO$1005:$BQ$1005,1,MATCH(COLUMNS($AO$1006:AW1006),$AO$1006:$BQ$1006,0))&gt;=100000), " ",IF(INDEX($AO$2:$BQ$1001,MATCH(ROWS($AH$2:AH472),$AH$2:$AH$1001,0),MATCH(COLUMNS($AO$1006:AW1006),$AO$1006:$BQ$1006,0)), HYPERLINK("#",""), HYPERLINK(CONCATENATE("#Metadata!", ADDRESS(INDEX($AJ$2:$AJ$1001,MATCH(ROWS($AH$2:AH472),$AH$2:$AH$1001,0),0), INDEX($AO$1004:$BQ$1004,1,MATCH(COLUMNS($AO$1006:AW1006),$AO$1006:$BQ$1006,0)))),"Fix")))</f>
        <v>#N/A</v>
      </c>
      <c r="K472" s="5" t="e">
        <f ca="1">IF(OR(INDEX($AI$2:$AI$1001,MATCH(ROWS($AH$2:AH472),$AH$2:$AH$1001,0),1)&gt;=100000,INDEX($AO$1005:$BQ$1005,1,MATCH(COLUMNS($AO$1006:AX1006),$AO$1006:$BQ$1006,0))&gt;=100000), " ",IF(INDEX($AO$2:$BQ$1001,MATCH(ROWS($AH$2:AH472),$AH$2:$AH$1001,0),MATCH(COLUMNS($AO$1006:AX1006),$AO$1006:$BQ$1006,0)), HYPERLINK("#",""), HYPERLINK(CONCATENATE("#Metadata!", ADDRESS(INDEX($AJ$2:$AJ$1001,MATCH(ROWS($AH$2:AH472),$AH$2:$AH$1001,0),0), INDEX($AO$1004:$BQ$1004,1,MATCH(COLUMNS($AO$1006:AX1006),$AO$1006:$BQ$1006,0)))),"Fix")))</f>
        <v>#N/A</v>
      </c>
      <c r="L472" s="5" t="e">
        <f ca="1">IF(OR(INDEX($AI$2:$AI$1001,MATCH(ROWS($AH$2:AH472),$AH$2:$AH$1001,0),1)&gt;=100000,INDEX($AO$1005:$BQ$1005,1,MATCH(COLUMNS($AO$1006:AY1006),$AO$1006:$BQ$1006,0))&gt;=100000), " ",IF(INDEX($AO$2:$BQ$1001,MATCH(ROWS($AH$2:AH472),$AH$2:$AH$1001,0),MATCH(COLUMNS($AO$1006:AY1006),$AO$1006:$BQ$1006,0)), HYPERLINK("#",""), HYPERLINK(CONCATENATE("#Metadata!", ADDRESS(INDEX($AJ$2:$AJ$1001,MATCH(ROWS($AH$2:AH472),$AH$2:$AH$1001,0),0), INDEX($AO$1004:$BQ$1004,1,MATCH(COLUMNS($AO$1006:AY1006),$AO$1006:$BQ$1006,0)))),"Fix")))</f>
        <v>#N/A</v>
      </c>
      <c r="M472" s="5" t="e">
        <f ca="1">IF(OR(INDEX($AI$2:$AI$1001,MATCH(ROWS($AH$2:AH472),$AH$2:$AH$1001,0),1)&gt;=100000,INDEX($AO$1005:$BQ$1005,1,MATCH(COLUMNS($AO$1006:AZ1006),$AO$1006:$BQ$1006,0))&gt;=100000), " ",IF(INDEX($AO$2:$BQ$1001,MATCH(ROWS($AH$2:AH472),$AH$2:$AH$1001,0),MATCH(COLUMNS($AO$1006:AZ1006),$AO$1006:$BQ$1006,0)), HYPERLINK("#",""), HYPERLINK(CONCATENATE("#Metadata!", ADDRESS(INDEX($AJ$2:$AJ$1001,MATCH(ROWS($AH$2:AH472),$AH$2:$AH$1001,0),0), INDEX($AO$1004:$BQ$1004,1,MATCH(COLUMNS($AO$1006:AZ1006),$AO$1006:$BQ$1006,0)))),"Fix")))</f>
        <v>#N/A</v>
      </c>
      <c r="N472" s="5" t="e">
        <f ca="1">IF(OR(INDEX($AI$2:$AI$1001,MATCH(ROWS($AH$2:AH472),$AH$2:$AH$1001,0),1)&gt;=100000,INDEX($AO$1005:$BQ$1005,1,MATCH(COLUMNS($AO$1006:BA1006),$AO$1006:$BQ$1006,0))&gt;=100000), " ",IF(INDEX($AO$2:$BQ$1001,MATCH(ROWS($AH$2:AH472),$AH$2:$AH$1001,0),MATCH(COLUMNS($AO$1006:BA1006),$AO$1006:$BQ$1006,0)), HYPERLINK("#",""), HYPERLINK(CONCATENATE("#Metadata!", ADDRESS(INDEX($AJ$2:$AJ$1001,MATCH(ROWS($AH$2:AH472),$AH$2:$AH$1001,0),0), INDEX($AO$1004:$BQ$1004,1,MATCH(COLUMNS($AO$1006:BA1006),$AO$1006:$BQ$1006,0)))),"Fix")))</f>
        <v>#N/A</v>
      </c>
      <c r="O472" s="5" t="e">
        <f ca="1">IF(OR(INDEX($AI$2:$AI$1001,MATCH(ROWS($AH$2:AH472),$AH$2:$AH$1001,0),1)&gt;=100000,INDEX($AO$1005:$BQ$1005,1,MATCH(COLUMNS($AO$1006:BB1006),$AO$1006:$BQ$1006,0))&gt;=100000), " ",IF(INDEX($AO$2:$BQ$1001,MATCH(ROWS($AH$2:AH472),$AH$2:$AH$1001,0),MATCH(COLUMNS($AO$1006:BB1006),$AO$1006:$BQ$1006,0)), HYPERLINK("#",""), HYPERLINK(CONCATENATE("#Metadata!", ADDRESS(INDEX($AJ$2:$AJ$1001,MATCH(ROWS($AH$2:AH472),$AH$2:$AH$1001,0),0), INDEX($AO$1004:$BQ$1004,1,MATCH(COLUMNS($AO$1006:BB1006),$AO$1006:$BQ$1006,0)))),"Fix")))</f>
        <v>#N/A</v>
      </c>
      <c r="P472" s="5" t="e">
        <f ca="1">IF(OR(INDEX($AI$2:$AI$1001,MATCH(ROWS($AH$2:AH472),$AH$2:$AH$1001,0),1)&gt;=100000,INDEX($AO$1005:$BQ$1005,1,MATCH(COLUMNS($AO$1006:BC1006),$AO$1006:$BQ$1006,0))&gt;=100000), " ",IF(INDEX($AO$2:$BQ$1001,MATCH(ROWS($AH$2:AH472),$AH$2:$AH$1001,0),MATCH(COLUMNS($AO$1006:BC1006),$AO$1006:$BQ$1006,0)), HYPERLINK("#",""), HYPERLINK(CONCATENATE("#Metadata!", ADDRESS(INDEX($AJ$2:$AJ$1001,MATCH(ROWS($AH$2:AH472),$AH$2:$AH$1001,0),0), INDEX($AO$1004:$BQ$1004,1,MATCH(COLUMNS($AO$1006:BC1006),$AO$1006:$BQ$1006,0)))),"Fix")))</f>
        <v>#N/A</v>
      </c>
      <c r="Q472" s="5" t="e">
        <f ca="1">IF(OR(INDEX($AI$2:$AI$1001,MATCH(ROWS($AH$2:AH472),$AH$2:$AH$1001,0),1)&gt;=100000,INDEX($AO$1005:$BQ$1005,1,MATCH(COLUMNS($AO$1006:BD1006),$AO$1006:$BQ$1006,0))&gt;=100000), " ",IF(INDEX($AO$2:$BQ$1001,MATCH(ROWS($AH$2:AH472),$AH$2:$AH$1001,0),MATCH(COLUMNS($AO$1006:BD1006),$AO$1006:$BQ$1006,0)), HYPERLINK("#",""), HYPERLINK(CONCATENATE("#Metadata!", ADDRESS(INDEX($AJ$2:$AJ$1001,MATCH(ROWS($AH$2:AH472),$AH$2:$AH$1001,0),0), INDEX($AO$1004:$BQ$1004,1,MATCH(COLUMNS($AO$1006:BD1006),$AO$1006:$BQ$1006,0)))),"Fix")))</f>
        <v>#N/A</v>
      </c>
      <c r="R472" s="5" t="e">
        <f ca="1">IF(OR(INDEX($AI$2:$AI$1001,MATCH(ROWS($AH$2:AH472),$AH$2:$AH$1001,0),1)&gt;=100000,INDEX($AO$1005:$BQ$1005,1,MATCH(COLUMNS($AO$1006:BE1006),$AO$1006:$BQ$1006,0))&gt;=100000), " ",IF(INDEX($AO$2:$BQ$1001,MATCH(ROWS($AH$2:AH472),$AH$2:$AH$1001,0),MATCH(COLUMNS($AO$1006:BE1006),$AO$1006:$BQ$1006,0)), HYPERLINK("#",""), HYPERLINK(CONCATENATE("#Metadata!", ADDRESS(INDEX($AJ$2:$AJ$1001,MATCH(ROWS($AH$2:AH472),$AH$2:$AH$1001,0),0), INDEX($AO$1004:$BQ$1004,1,MATCH(COLUMNS($AO$1006:BE1006),$AO$1006:$BQ$1006,0)))),"Fix")))</f>
        <v>#N/A</v>
      </c>
      <c r="S472" s="5" t="e">
        <f ca="1">IF(OR(INDEX($AI$2:$AI$1001,MATCH(ROWS($AH$2:AH472),$AH$2:$AH$1001,0),1)&gt;=100000,INDEX($AO$1005:$BQ$1005,1,MATCH(COLUMNS($AO$1006:BF1006),$AO$1006:$BQ$1006,0))&gt;=100000), " ",IF(INDEX($AO$2:$BQ$1001,MATCH(ROWS($AH$2:AH472),$AH$2:$AH$1001,0),MATCH(COLUMNS($AO$1006:BF1006),$AO$1006:$BQ$1006,0)), HYPERLINK("#",""), HYPERLINK(CONCATENATE("#Metadata!", ADDRESS(INDEX($AJ$2:$AJ$1001,MATCH(ROWS($AH$2:AH472),$AH$2:$AH$1001,0),0), INDEX($AO$1004:$BQ$1004,1,MATCH(COLUMNS($AO$1006:BF1006),$AO$1006:$BQ$1006,0)))),"Fix")))</f>
        <v>#N/A</v>
      </c>
      <c r="T472" s="5" t="e">
        <f ca="1">IF(OR(INDEX($AI$2:$AI$1001,MATCH(ROWS($AH$2:AH472),$AH$2:$AH$1001,0),1)&gt;=100000,INDEX($AO$1005:$BQ$1005,1,MATCH(COLUMNS($AO$1006:BG1006),$AO$1006:$BQ$1006,0))&gt;=100000), " ",IF(INDEX($AO$2:$BQ$1001,MATCH(ROWS($AH$2:AH472),$AH$2:$AH$1001,0),MATCH(COLUMNS($AO$1006:BG1006),$AO$1006:$BQ$1006,0)), HYPERLINK("#",""), HYPERLINK(CONCATENATE("#Metadata!", ADDRESS(INDEX($AJ$2:$AJ$1001,MATCH(ROWS($AH$2:AH472),$AH$2:$AH$1001,0),0), INDEX($AO$1004:$BQ$1004,1,MATCH(COLUMNS($AO$1006:BG1006),$AO$1006:$BQ$1006,0)))),"Fix")))</f>
        <v>#N/A</v>
      </c>
      <c r="U472" s="5" t="e">
        <f ca="1">IF(OR(INDEX($AI$2:$AI$1001,MATCH(ROWS($AH$2:AH472),$AH$2:$AH$1001,0),1)&gt;=100000,INDEX($AO$1005:$BQ$1005,1,MATCH(COLUMNS($AO$1006:BH1006),$AO$1006:$BQ$1006,0))&gt;=100000), " ",IF(INDEX($AO$2:$BQ$1001,MATCH(ROWS($AH$2:AH472),$AH$2:$AH$1001,0),MATCH(COLUMNS($AO$1006:BH1006),$AO$1006:$BQ$1006,0)), HYPERLINK("#",""), HYPERLINK(CONCATENATE("#Metadata!", ADDRESS(INDEX($AJ$2:$AJ$1001,MATCH(ROWS($AH$2:AH472),$AH$2:$AH$1001,0),0), INDEX($AO$1004:$BQ$1004,1,MATCH(COLUMNS($AO$1006:BH1006),$AO$1006:$BQ$1006,0)))),"Fix")))</f>
        <v>#N/A</v>
      </c>
      <c r="V472" s="5" t="e">
        <f ca="1">IF(OR(INDEX($AI$2:$AI$1001,MATCH(ROWS($AH$2:AH472),$AH$2:$AH$1001,0),1)&gt;=100000,INDEX($AO$1005:$BQ$1005,1,MATCH(COLUMNS($AO$1006:BI1006),$AO$1006:$BQ$1006,0))&gt;=100000), " ",IF(INDEX($AO$2:$BQ$1001,MATCH(ROWS($AH$2:AH472),$AH$2:$AH$1001,0),MATCH(COLUMNS($AO$1006:BI1006),$AO$1006:$BQ$1006,0)), HYPERLINK("#",""), HYPERLINK(CONCATENATE("#Metadata!", ADDRESS(INDEX($AJ$2:$AJ$1001,MATCH(ROWS($AH$2:AH472),$AH$2:$AH$1001,0),0), INDEX($AO$1004:$BQ$1004,1,MATCH(COLUMNS($AO$1006:BI1006),$AO$1006:$BQ$1006,0)))),"Fix")))</f>
        <v>#N/A</v>
      </c>
      <c r="W472" s="5" t="e">
        <f ca="1">IF(OR(INDEX($AI$2:$AI$1001,MATCH(ROWS($AH$2:AH472),$AH$2:$AH$1001,0),1)&gt;=100000,INDEX($AO$1005:$BQ$1005,1,MATCH(COLUMNS($AO$1006:BJ1006),$AO$1006:$BQ$1006,0))&gt;=100000), " ",IF(INDEX($AO$2:$BQ$1001,MATCH(ROWS($AH$2:AH472),$AH$2:$AH$1001,0),MATCH(COLUMNS($AO$1006:BJ1006),$AO$1006:$BQ$1006,0)), HYPERLINK("#",""), HYPERLINK(CONCATENATE("#Metadata!", ADDRESS(INDEX($AJ$2:$AJ$1001,MATCH(ROWS($AH$2:AH472),$AH$2:$AH$1001,0),0), INDEX($AO$1004:$BQ$1004,1,MATCH(COLUMNS($AO$1006:BJ1006),$AO$1006:$BQ$1006,0)))),"Fix")))</f>
        <v>#N/A</v>
      </c>
      <c r="X472" s="5" t="e">
        <f ca="1">IF(OR(INDEX($AI$2:$AI$1001,MATCH(ROWS($AH$2:AH472),$AH$2:$AH$1001,0),1)&gt;=100000,INDEX($AO$1005:$BQ$1005,1,MATCH(COLUMNS($AO$1006:BK1006),$AO$1006:$BQ$1006,0))&gt;=100000), " ",IF(INDEX($AO$2:$BQ$1001,MATCH(ROWS($AH$2:AH472),$AH$2:$AH$1001,0),MATCH(COLUMNS($AO$1006:BK1006),$AO$1006:$BQ$1006,0)), HYPERLINK("#",""), HYPERLINK(CONCATENATE("#Metadata!", ADDRESS(INDEX($AJ$2:$AJ$1001,MATCH(ROWS($AH$2:AH472),$AH$2:$AH$1001,0),0), INDEX($AO$1004:$BQ$1004,1,MATCH(COLUMNS($AO$1006:BK1006),$AO$1006:$BQ$1006,0)))),"Fix")))</f>
        <v>#N/A</v>
      </c>
      <c r="Y472" s="5" t="e">
        <f ca="1">IF(OR(INDEX($AI$2:$AI$1001,MATCH(ROWS($AH$2:AH472),$AH$2:$AH$1001,0),1)&gt;=100000,INDEX($AO$1005:$BQ$1005,1,MATCH(COLUMNS($AO$1006:BL1006),$AO$1006:$BQ$1006,0))&gt;=100000), " ",IF(INDEX($AO$2:$BQ$1001,MATCH(ROWS($AH$2:AH472),$AH$2:$AH$1001,0),MATCH(COLUMNS($AO$1006:BL1006),$AO$1006:$BQ$1006,0)), HYPERLINK("#",""), HYPERLINK(CONCATENATE("#Metadata!", ADDRESS(INDEX($AJ$2:$AJ$1001,MATCH(ROWS($AH$2:AH472),$AH$2:$AH$1001,0),0), INDEX($AO$1004:$BQ$1004,1,MATCH(COLUMNS($AO$1006:BL1006),$AO$1006:$BQ$1006,0)))),"Fix")))</f>
        <v>#N/A</v>
      </c>
      <c r="Z472" s="5" t="e">
        <f ca="1">IF(OR(INDEX($AI$2:$AI$1001,MATCH(ROWS($AH$2:AH472),$AH$2:$AH$1001,0),1)&gt;=100000,INDEX($AO$1005:$BQ$1005,1,MATCH(COLUMNS($AO$1006:BM1006),$AO$1006:$BQ$1006,0))&gt;=100000), " ",IF(INDEX($AO$2:$BQ$1001,MATCH(ROWS($AH$2:AH472),$AH$2:$AH$1001,0),MATCH(COLUMNS($AO$1006:BM1006),$AO$1006:$BQ$1006,0)), HYPERLINK("#",""), HYPERLINK(CONCATENATE("#Metadata!", ADDRESS(INDEX($AJ$2:$AJ$1001,MATCH(ROWS($AH$2:AH472),$AH$2:$AH$1001,0),0), INDEX($AO$1004:$BQ$1004,1,MATCH(COLUMNS($AO$1006:BM1006),$AO$1006:$BQ$1006,0)))),"Fix")))</f>
        <v>#N/A</v>
      </c>
      <c r="AA472" s="5" t="e">
        <f ca="1">IF(OR(INDEX($AI$2:$AI$1001,MATCH(ROWS($AH$2:AH472),$AH$2:$AH$1001,0),1)&gt;=100000,INDEX($AO$1005:$BQ$1005,1,MATCH(COLUMNS($AO$1006:BN1006),$AO$1006:$BQ$1006,0))&gt;=100000), " ",IF(INDEX($AO$2:$BQ$1001,MATCH(ROWS($AH$2:AH472),$AH$2:$AH$1001,0),MATCH(COLUMNS($AO$1006:BN1006),$AO$1006:$BQ$1006,0)), HYPERLINK("#",""), HYPERLINK(CONCATENATE("#Metadata!", ADDRESS(INDEX($AJ$2:$AJ$1001,MATCH(ROWS($AH$2:AH472),$AH$2:$AH$1001,0),0), INDEX($AO$1004:$BQ$1004,1,MATCH(COLUMNS($AO$1006:BN1006),$AO$1006:$BQ$1006,0)))),"Fix")))</f>
        <v>#N/A</v>
      </c>
      <c r="AB472" s="5" t="e">
        <f ca="1">IF(OR(INDEX($AI$2:$AI$1001,MATCH(ROWS($AH$2:AH472),$AH$2:$AH$1001,0),1)&gt;=100000,INDEX($AO$1005:$BQ$1005,1,MATCH(COLUMNS($AO$1006:BO1006),$AO$1006:$BQ$1006,0))&gt;=100000), " ",IF(INDEX($AO$2:$BQ$1001,MATCH(ROWS($AH$2:AH472),$AH$2:$AH$1001,0),MATCH(COLUMNS($AO$1006:BO1006),$AO$1006:$BQ$1006,0)), HYPERLINK("#",""), HYPERLINK(CONCATENATE("#Metadata!", ADDRESS(INDEX($AJ$2:$AJ$1001,MATCH(ROWS($AH$2:AH472),$AH$2:$AH$1001,0),0), INDEX($AO$1004:$BQ$1004,1,MATCH(COLUMNS($AO$1006:BO1006),$AO$1006:$BQ$1006,0)))),"Fix")))</f>
        <v>#N/A</v>
      </c>
      <c r="AC472" s="5" t="e">
        <f ca="1">IF(OR(INDEX($AI$2:$AI$1001,MATCH(ROWS($AH$2:AH472),$AH$2:$AH$1001,0),1)&gt;=100000,INDEX($AO$1005:$BQ$1005,1,MATCH(COLUMNS($AO$1006:BP1006),$AO$1006:$BQ$1006,0))&gt;=100000), " ",IF(INDEX($AO$2:$BQ$1001,MATCH(ROWS($AH$2:AH472),$AH$2:$AH$1001,0),MATCH(COLUMNS($AO$1006:BP1006),$AO$1006:$BQ$1006,0)), HYPERLINK("#",""), HYPERLINK(CONCATENATE("#Metadata!", ADDRESS(INDEX($AJ$2:$AJ$1001,MATCH(ROWS($AH$2:AH472),$AH$2:$AH$1001,0),0), INDEX($AO$1004:$BQ$1004,1,MATCH(COLUMNS($AO$1006:BP1006),$AO$1006:$BQ$1006,0)))),"Fix")))</f>
        <v>#N/A</v>
      </c>
      <c r="AD472" s="5" t="e">
        <f ca="1">IF(OR(INDEX($AI$2:$AI$1001,MATCH(ROWS($AH$2:AH472),$AH$2:$AH$1001,0),1)&gt;=100000,INDEX($AO$1005:$BQ$1005,1,MATCH(COLUMNS($AO$1006:BQ1006),$AO$1006:$BQ$1006,0))&gt;=100000), " ",IF(INDEX($AO$2:$BQ$1001,MATCH(ROWS($AH$2:AH472),$AH$2:$AH$1001,0),MATCH(COLUMNS($AO$1006:BQ1006),$AO$1006:$BQ$1006,0)), HYPERLINK("#",""), HYPERLINK(CONCATENATE("#Metadata!", ADDRESS(INDEX($AJ$2:$AJ$1001,MATCH(ROWS($AH$2:AH472),$AH$2:$AH$1001,0),0), INDEX($AO$1004:$BQ$1004,1,MATCH(COLUMNS($AO$1006:BQ1006),$AO$1006:$BQ$1006,0)))),"Fix")))</f>
        <v>#REF!</v>
      </c>
      <c r="AH472">
        <f ca="1"/>
        <v>469</v>
      </c>
      <c r="AI472">
        <v>100472</v>
      </c>
      <c r="AJ472">
        <v>472</v>
      </c>
      <c r="AK472" t="b">
        <f t="shared" si="7"/>
        <v>1</v>
      </c>
      <c r="AL472" t="b">
        <f>COUNTBLANK(Metadata!B472:AD472)=COLUMNS(Metadata!B472:AD472)</f>
        <v>1</v>
      </c>
      <c r="AM472" t="str">
        <v/>
      </c>
      <c r="AO472" t="b">
        <f ca="1">AND(IF(Metadata!B472="",FALSE,TRUE),COUNTIF(Metadata!B:B, Metadata!B472) = 1,NOT(ISERROR(SUMPRODUCT(SEARCH(MID(Metadata!B472,ROW(INDIRECT("1:"&amp;LEN(Metadata!B472))), 1),"0123456789abcdefghijklmnopqrstuvwxyzABCDEFGHIJKLMNOPQRSTUVWXYZ.")))))</f>
        <v>0</v>
      </c>
      <c r="AP472" t="b">
        <f>IF(Metadata!C472="",FALSE,TRUE)</f>
        <v>0</v>
      </c>
      <c r="AQ472" t="b">
        <f>IF(Metadata!D472="",FALSE,TRUE)</f>
        <v>0</v>
      </c>
      <c r="AR472" t="b">
        <f ca="1">OR(AND(IF(Metadata!E472="",FALSE,TRUE),OR(EXACT(Metadata!E472,"not collected"),EXACT(Metadata!E472,"not provided"),EXACT(Metadata!E472,"restricted access"))),AND(IF(Metadata!E472="",FALSE,TRUE),AND(AND(IFERROR(INT(LEFT(Metadata!E472,4))&gt;1900,FALSE),IFERROR(INT(LEFT(Metadata!E472,4))&lt;=YEAR(NOW()),FALSE)), OR(MID(Metadata!E472,5,1)="", AND(AND(MID(Metadata!E472,5,1)="-",IFERROR(INT(MID(Metadata!E472,6,1))&gt;=0,FALSE),IFERROR(INT(MID(Metadata!E472,6,1))&lt;=1,FALSE),NOT(MID(Metadata!E472,7,1)=""),IFERROR(INT(MID(Metadata!E472,6,2))&gt;=1,FALSE),IFERROR(INT(MID(Metadata!E472,6,2))&lt;=12,FALSE)), OR(MID(Metadata!E472,8,1)="", AND(AND(MID(Metadata!E472,8,1)="-",IFERROR(INT(MID(Metadata!E472,9,1))&gt;=0,FALSE),IFERROR(INT(MID(Metadata!E472,9,1))&lt;=3,FALSE),NOT(MID(Metadata!E472,10,1)=""),IFERROR(INT(MID(Metadata!E472,9,2))&gt;=1,FALSE),IFERROR(INT(MID(Metadata!E472,9,2))&lt;=31,FALSE)), OR(MID(Metadata!E472,11,1)="", AND(AND(MID(Metadata!E472,11,1)=" ",IFERROR(INT(MID(Metadata!E472,12,1))&gt;=0,FALSE),IFERROR(INT(MID(Metadata!E472,12,1))&lt;=2,FALSE),NOT(MID(Metadata!E472,13,1)=""),IFERROR(INT(MID(Metadata!E472,12,2))&gt;=0,FALSE),IFERROR(INT(MID(Metadata!E472,12,2))&lt;=23,FALSE)), OR(MID(Metadata!E472,14,1)="", AND(AND(MID(Metadata!E472,14,1)=":",IFERROR(INT(MID(Metadata!E472,15,1))&gt;=0,FALSE),IFERROR(INT(MID(Metadata!E472,15,1))&lt;=5,FALSE),NOT(MID(Metadata!E472,16,1)=""),IFERROR(INT(MID(Metadata!E472,15,2))&gt;=0,FALSE),IFERROR(INT(MID(Metadata!E472,15,2))&lt;=59,FALSE)), OR(MID(Metadata!E472,17,1)="", AND(AND(MID(Metadata!E472,17,1)=":",IFERROR(INT(MID(Metadata!E472,18,1))&gt;=0,FALSE),IFERROR(INT(MID(Metadata!E472,18,1))&lt;=5,FALSE),NOT(MID(Metadata!E472,19,1)=""),IFERROR(INT(MID(Metadata!E472,18,2))&gt;=0,FALSE),IFERROR(INT(MID(Metadata!E472,18,2))&lt;=59,FALSE)), LEN(Metadata!E472)&lt;=19)))))))))))))</f>
        <v>0</v>
      </c>
      <c r="AS472" t="b">
        <f>IF(Metadata!F472="",FALSE,TRUE)</f>
        <v>0</v>
      </c>
      <c r="AT472" t="b">
        <f>OR(AND(IF(Metadata!G472="",FALSE,TRUE),OR(EXACT(Metadata!G472,"not collected"),EXACT(Metadata!G472,"not provided"))),AND(IF(Metadata!G472="",FALSE,TRUE),OR(EXACT(Metadata!G472,"TRUE"),EXACT(Metadata!G472,"FALSE"))))</f>
        <v>0</v>
      </c>
      <c r="AU472" t="b">
        <f>OR(AND(IF(Metadata!H472="",FALSE,TRUE),OR(EXACT(Metadata!H472,"not collected"),EXACT(Metadata!H472,"not provided"),EXACT(Metadata!H472,"restricted access"))),AND(IF(Metadata!H472="",FALSE,ISNUMBER(VALUE(Metadata!H472))),Metadata!H472&gt;=-413))</f>
        <v>0</v>
      </c>
      <c r="AV472" t="b">
        <f>AND(IF(Metadata!I472="",FALSE,TRUE),EXACT(Metadata!I472,"meters"))</f>
        <v>0</v>
      </c>
      <c r="AW472" t="b">
        <f>AND(IF(Metadata!J472="",FALSE,TRUE),EXACT(Metadata!J472,"free-living"))</f>
        <v>0</v>
      </c>
      <c r="AX472" t="b">
        <f>AND(IF(Metadata!K472="",FALSE,TRUE),OR(EXACT(Metadata!K472,"saline"),EXACT(Metadata!K472,"non-saline")))</f>
        <v>0</v>
      </c>
      <c r="AY472" t="b">
        <f>AND(IF(Metadata!L472="",FALSE,TRUE),OR(EXACT(Metadata!L472,"sub-surface (non-saline)"),EXACT(Metadata!L472,"surface (non-saline)"),EXACT(Metadata!L472,"water (non-saline)"),EXACT(Metadata!L472,"soil (non-saline)"),EXACT(Metadata!L472,"aerosol (non-saline)"),EXACT(Metadata!L472,"sediment (non-saline)"),EXACT(Metadata!L472,"surface (saline)"),EXACT(Metadata!L472,"water (saline)"),EXACT(Metadata!L472,"hypersaline (saline)"),EXACT(Metadata!L472,"aerosol (saline)"),EXACT(Metadata!L472,"sediment (saline)")))</f>
        <v>0</v>
      </c>
      <c r="AZ472" t="b">
        <f>IF(Metadata!M472="",FALSE,TRUE)</f>
        <v>0</v>
      </c>
      <c r="BA472" t="b">
        <f>IF(Metadata!N472="",FALSE,TRUE)</f>
        <v>0</v>
      </c>
      <c r="BB472" t="b">
        <f>IF(Metadata!O472="",FALSE,TRUE)</f>
        <v>0</v>
      </c>
      <c r="BC472" t="b">
        <f>AND(IF(Metadata!P472="",FALSE,TRUE),OR(EXACT(Metadata!P472,"air"),EXACT(Metadata!P472,"microbial mat/biofilm"),EXACT(Metadata!P472,"misc environment"),EXACT(Metadata!P472,"sediment"),EXACT(Metadata!P472,"soil"),EXACT(Metadata!P472,"wastewater/sludge"),EXACT(Metadata!P472,"water")))</f>
        <v>0</v>
      </c>
      <c r="BD472" t="b">
        <f>IF(Metadata!Q472="",FALSE,TRUE)</f>
        <v>0</v>
      </c>
      <c r="BE472" t="b">
        <f>IF(Metadata!R472="",FALSE,TRUE)</f>
        <v>0</v>
      </c>
      <c r="BF472" t="b">
        <f>OR(AND(IF(Metadata!S472="",FALSE,TRUE),OR(EXACT(Metadata!S472,"not collected"),EXACT(Metadata!S472,"not provided"),EXACT(Metadata!S472,"restricted access"))),AND(IF(Metadata!S472="",FALSE,ISNUMBER(VALUE(Metadata!S472))),Metadata!S472&gt;=-90,Metadata!S472&lt;=90))</f>
        <v>0</v>
      </c>
      <c r="BG472" t="b">
        <f>AND(IF(Metadata!T472="",FALSE,TRUE),EXACT(Metadata!T472,"Decimal degrees"))</f>
        <v>0</v>
      </c>
      <c r="BH472" t="b">
        <f>OR(AND(IF(Metadata!U472="",FALSE,TRUE),OR(EXACT(Metadata!U472,"not applicable"),EXACT(Metadata!U472,"not collected"))),IF(Metadata!U472="",FALSE,TRUE))</f>
        <v>0</v>
      </c>
      <c r="BI472" t="b">
        <f>OR(AND(IF(Metadata!V472="",FALSE,TRUE),OR(EXACT(Metadata!V472,"not collected"),EXACT(Metadata!V472,"not provided"),EXACT(Metadata!V472,"restricted access"))),AND(IF(Metadata!V472="",FALSE,ISNUMBER(VALUE(Metadata!V472))),Metadata!V472&gt;=-180,Metadata!V472&lt;=180))</f>
        <v>0</v>
      </c>
      <c r="BJ472" t="b">
        <f>AND(IF(Metadata!W472="",FALSE,TRUE),EXACT(Metadata!W472,"Decimal degrees"))</f>
        <v>0</v>
      </c>
      <c r="BK472" t="b">
        <f>IF(Metadata!X472="",FALSE,TRUE)</f>
        <v>0</v>
      </c>
      <c r="BL472" t="b">
        <f>OR(AND(IF(Metadata!Y472="",FALSE,TRUE),OR(EXACT(Metadata!Y472,"not collected"),EXACT(Metadata!Y472,"not provided"),EXACT(Metadata!Y472,"restricted access"))),AND(IF(Metadata!Y472="",FALSE,TRUE),OR(EXACT(Metadata!Y472,"TRUE"),EXACT(Metadata!Y472,"FALSE"))))</f>
        <v>0</v>
      </c>
      <c r="BM472" t="b">
        <f>OR(AND(IF(Metadata!Z472="",FALSE,TRUE),EXACT(Metadata!Z472,"not applicable")),AND(IF(Metadata!Z472="",FALSE,TRUE),OR(EXACT(Metadata!Z472,"beer"),EXACT(Metadata!Z472,"cheese"),EXACT(Metadata!Z472,"fresh water"),EXACT(Metadata!Z472,"marine sediment"),EXACT(Metadata!Z472,"sea water"),EXACT(Metadata!Z472,"sediment"),EXACT(Metadata!Z472,"soil"),EXACT(Metadata!Z472,"waste water"))))</f>
        <v>0</v>
      </c>
      <c r="BN472" t="b">
        <f>AND(IF(Metadata!AA472="",FALSE,TRUE),EXACT(Metadata!AA472,"metagenome"))</f>
        <v>0</v>
      </c>
      <c r="BO472" t="b">
        <f>AND(IF(Metadata!AB472="",FALSE,TRUE),EXACT(Metadata!AB472,"256318"))</f>
        <v>0</v>
      </c>
      <c r="BP472" t="b">
        <f>IF(Metadata!AC472="",FALSE,TRUE)</f>
        <v>0</v>
      </c>
      <c r="BQ472" t="b">
        <f>IF(Metadata!AD472="",FALSE,TRUE)</f>
        <v>0</v>
      </c>
    </row>
    <row r="473" spans="1:69" x14ac:dyDescent="0.2">
      <c r="A473" s="4" t="e">
        <f ca="1">IF(B473=" "," ",HYPERLINK(CONCATENATE("#metadata!",ADDRESS(INDEX($AJ$2:$AJ$1001,MATCH(ROWS($AH$2:AH473),$AH$2:$AH$1001,0),0),2)),INDEX($AM$2:$AM$1001,MATCH(ROWS($AH$2:AH473),$AH$2:$AH$1001,0),0)))</f>
        <v>#N/A</v>
      </c>
      <c r="B473" s="5" t="e">
        <f ca="1">IF(OR(INDEX($AI$2:$AI$1001,MATCH(ROWS($AH$2:AH473),$AH$2:$AH$1001,0),1)&gt;=100000,INDEX($AO$1005:$BQ$1005,1,MATCH(COLUMNS($AO$1006:AO1006),$AO$1006:$BQ$1006,0))&gt;=100000), " ",IF(INDEX($AO$2:$BQ$1001,MATCH(ROWS($AH$2:AH473),$AH$2:$AH$1001,0),MATCH(COLUMNS($AO$1006:AO1006),$AO$1006:$BQ$1006,0)), HYPERLINK("#",""), HYPERLINK(CONCATENATE("#Metadata!", ADDRESS(INDEX($AJ$2:$AJ$1001,MATCH(ROWS($AH$2:AH473),$AH$2:$AH$1001,0),0), INDEX($AO$1004:$BQ$1004,1,MATCH(COLUMNS($AO$1006:AO1006),$AO$1006:$BQ$1006,0)))),"Fix")))</f>
        <v>#N/A</v>
      </c>
      <c r="C473" s="5" t="e">
        <f ca="1">IF(OR(INDEX($AI$2:$AI$1001,MATCH(ROWS($AH$2:AH473),$AH$2:$AH$1001,0),1)&gt;=100000,INDEX($AO$1005:$BQ$1005,1,MATCH(COLUMNS($AO$1006:AP1006),$AO$1006:$BQ$1006,0))&gt;=100000), " ",IF(INDEX($AO$2:$BQ$1001,MATCH(ROWS($AH$2:AH473),$AH$2:$AH$1001,0),MATCH(COLUMNS($AO$1006:AP1006),$AO$1006:$BQ$1006,0)), HYPERLINK("#",""), HYPERLINK(CONCATENATE("#Metadata!", ADDRESS(INDEX($AJ$2:$AJ$1001,MATCH(ROWS($AH$2:AH473),$AH$2:$AH$1001,0),0), INDEX($AO$1004:$BQ$1004,1,MATCH(COLUMNS($AO$1006:AP1006),$AO$1006:$BQ$1006,0)))),"Fix")))</f>
        <v>#N/A</v>
      </c>
      <c r="D473" s="5" t="e">
        <f ca="1">IF(OR(INDEX($AI$2:$AI$1001,MATCH(ROWS($AH$2:AH473),$AH$2:$AH$1001,0),1)&gt;=100000,INDEX($AO$1005:$BQ$1005,1,MATCH(COLUMNS($AO$1006:AQ1006),$AO$1006:$BQ$1006,0))&gt;=100000), " ",IF(INDEX($AO$2:$BQ$1001,MATCH(ROWS($AH$2:AH473),$AH$2:$AH$1001,0),MATCH(COLUMNS($AO$1006:AQ1006),$AO$1006:$BQ$1006,0)), HYPERLINK("#",""), HYPERLINK(CONCATENATE("#Metadata!", ADDRESS(INDEX($AJ$2:$AJ$1001,MATCH(ROWS($AH$2:AH473),$AH$2:$AH$1001,0),0), INDEX($AO$1004:$BQ$1004,1,MATCH(COLUMNS($AO$1006:AQ1006),$AO$1006:$BQ$1006,0)))),"Fix")))</f>
        <v>#N/A</v>
      </c>
      <c r="E473" s="5" t="e">
        <f ca="1">IF(OR(INDEX($AI$2:$AI$1001,MATCH(ROWS($AH$2:AH473),$AH$2:$AH$1001,0),1)&gt;=100000,INDEX($AO$1005:$BQ$1005,1,MATCH(COLUMNS($AO$1006:AR1006),$AO$1006:$BQ$1006,0))&gt;=100000), " ",IF(INDEX($AO$2:$BQ$1001,MATCH(ROWS($AH$2:AH473),$AH$2:$AH$1001,0),MATCH(COLUMNS($AO$1006:AR1006),$AO$1006:$BQ$1006,0)), HYPERLINK("#",""), HYPERLINK(CONCATENATE("#Metadata!", ADDRESS(INDEX($AJ$2:$AJ$1001,MATCH(ROWS($AH$2:AH473),$AH$2:$AH$1001,0),0), INDEX($AO$1004:$BQ$1004,1,MATCH(COLUMNS($AO$1006:AR1006),$AO$1006:$BQ$1006,0)))),"Fix")))</f>
        <v>#N/A</v>
      </c>
      <c r="F473" s="5" t="e">
        <f ca="1">IF(OR(INDEX($AI$2:$AI$1001,MATCH(ROWS($AH$2:AH473),$AH$2:$AH$1001,0),1)&gt;=100000,INDEX($AO$1005:$BQ$1005,1,MATCH(COLUMNS($AO$1006:AS1006),$AO$1006:$BQ$1006,0))&gt;=100000), " ",IF(INDEX($AO$2:$BQ$1001,MATCH(ROWS($AH$2:AH473),$AH$2:$AH$1001,0),MATCH(COLUMNS($AO$1006:AS1006),$AO$1006:$BQ$1006,0)), HYPERLINK("#",""), HYPERLINK(CONCATENATE("#Metadata!", ADDRESS(INDEX($AJ$2:$AJ$1001,MATCH(ROWS($AH$2:AH473),$AH$2:$AH$1001,0),0), INDEX($AO$1004:$BQ$1004,1,MATCH(COLUMNS($AO$1006:AS1006),$AO$1006:$BQ$1006,0)))),"Fix")))</f>
        <v>#N/A</v>
      </c>
      <c r="G473" s="5" t="e">
        <f ca="1">IF(OR(INDEX($AI$2:$AI$1001,MATCH(ROWS($AH$2:AH473),$AH$2:$AH$1001,0),1)&gt;=100000,INDEX($AO$1005:$BQ$1005,1,MATCH(COLUMNS($AO$1006:AT1006),$AO$1006:$BQ$1006,0))&gt;=100000), " ",IF(INDEX($AO$2:$BQ$1001,MATCH(ROWS($AH$2:AH473),$AH$2:$AH$1001,0),MATCH(COLUMNS($AO$1006:AT1006),$AO$1006:$BQ$1006,0)), HYPERLINK("#",""), HYPERLINK(CONCATENATE("#Metadata!", ADDRESS(INDEX($AJ$2:$AJ$1001,MATCH(ROWS($AH$2:AH473),$AH$2:$AH$1001,0),0), INDEX($AO$1004:$BQ$1004,1,MATCH(COLUMNS($AO$1006:AT1006),$AO$1006:$BQ$1006,0)))),"Fix")))</f>
        <v>#N/A</v>
      </c>
      <c r="H473" s="5" t="e">
        <f ca="1">IF(OR(INDEX($AI$2:$AI$1001,MATCH(ROWS($AH$2:AH473),$AH$2:$AH$1001,0),1)&gt;=100000,INDEX($AO$1005:$BQ$1005,1,MATCH(COLUMNS($AO$1006:AU1006),$AO$1006:$BQ$1006,0))&gt;=100000), " ",IF(INDEX($AO$2:$BQ$1001,MATCH(ROWS($AH$2:AH473),$AH$2:$AH$1001,0),MATCH(COLUMNS($AO$1006:AU1006),$AO$1006:$BQ$1006,0)), HYPERLINK("#",""), HYPERLINK(CONCATENATE("#Metadata!", ADDRESS(INDEX($AJ$2:$AJ$1001,MATCH(ROWS($AH$2:AH473),$AH$2:$AH$1001,0),0), INDEX($AO$1004:$BQ$1004,1,MATCH(COLUMNS($AO$1006:AU1006),$AO$1006:$BQ$1006,0)))),"Fix")))</f>
        <v>#N/A</v>
      </c>
      <c r="I473" s="5" t="e">
        <f ca="1">IF(OR(INDEX($AI$2:$AI$1001,MATCH(ROWS($AH$2:AH473),$AH$2:$AH$1001,0),1)&gt;=100000,INDEX($AO$1005:$BQ$1005,1,MATCH(COLUMNS($AO$1006:AV1006),$AO$1006:$BQ$1006,0))&gt;=100000), " ",IF(INDEX($AO$2:$BQ$1001,MATCH(ROWS($AH$2:AH473),$AH$2:$AH$1001,0),MATCH(COLUMNS($AO$1006:AV1006),$AO$1006:$BQ$1006,0)), HYPERLINK("#",""), HYPERLINK(CONCATENATE("#Metadata!", ADDRESS(INDEX($AJ$2:$AJ$1001,MATCH(ROWS($AH$2:AH473),$AH$2:$AH$1001,0),0), INDEX($AO$1004:$BQ$1004,1,MATCH(COLUMNS($AO$1006:AV1006),$AO$1006:$BQ$1006,0)))),"Fix")))</f>
        <v>#N/A</v>
      </c>
      <c r="J473" s="5" t="e">
        <f ca="1">IF(OR(INDEX($AI$2:$AI$1001,MATCH(ROWS($AH$2:AH473),$AH$2:$AH$1001,0),1)&gt;=100000,INDEX($AO$1005:$BQ$1005,1,MATCH(COLUMNS($AO$1006:AW1006),$AO$1006:$BQ$1006,0))&gt;=100000), " ",IF(INDEX($AO$2:$BQ$1001,MATCH(ROWS($AH$2:AH473),$AH$2:$AH$1001,0),MATCH(COLUMNS($AO$1006:AW1006),$AO$1006:$BQ$1006,0)), HYPERLINK("#",""), HYPERLINK(CONCATENATE("#Metadata!", ADDRESS(INDEX($AJ$2:$AJ$1001,MATCH(ROWS($AH$2:AH473),$AH$2:$AH$1001,0),0), INDEX($AO$1004:$BQ$1004,1,MATCH(COLUMNS($AO$1006:AW1006),$AO$1006:$BQ$1006,0)))),"Fix")))</f>
        <v>#N/A</v>
      </c>
      <c r="K473" s="5" t="e">
        <f ca="1">IF(OR(INDEX($AI$2:$AI$1001,MATCH(ROWS($AH$2:AH473),$AH$2:$AH$1001,0),1)&gt;=100000,INDEX($AO$1005:$BQ$1005,1,MATCH(COLUMNS($AO$1006:AX1006),$AO$1006:$BQ$1006,0))&gt;=100000), " ",IF(INDEX($AO$2:$BQ$1001,MATCH(ROWS($AH$2:AH473),$AH$2:$AH$1001,0),MATCH(COLUMNS($AO$1006:AX1006),$AO$1006:$BQ$1006,0)), HYPERLINK("#",""), HYPERLINK(CONCATENATE("#Metadata!", ADDRESS(INDEX($AJ$2:$AJ$1001,MATCH(ROWS($AH$2:AH473),$AH$2:$AH$1001,0),0), INDEX($AO$1004:$BQ$1004,1,MATCH(COLUMNS($AO$1006:AX1006),$AO$1006:$BQ$1006,0)))),"Fix")))</f>
        <v>#N/A</v>
      </c>
      <c r="L473" s="5" t="e">
        <f ca="1">IF(OR(INDEX($AI$2:$AI$1001,MATCH(ROWS($AH$2:AH473),$AH$2:$AH$1001,0),1)&gt;=100000,INDEX($AO$1005:$BQ$1005,1,MATCH(COLUMNS($AO$1006:AY1006),$AO$1006:$BQ$1006,0))&gt;=100000), " ",IF(INDEX($AO$2:$BQ$1001,MATCH(ROWS($AH$2:AH473),$AH$2:$AH$1001,0),MATCH(COLUMNS($AO$1006:AY1006),$AO$1006:$BQ$1006,0)), HYPERLINK("#",""), HYPERLINK(CONCATENATE("#Metadata!", ADDRESS(INDEX($AJ$2:$AJ$1001,MATCH(ROWS($AH$2:AH473),$AH$2:$AH$1001,0),0), INDEX($AO$1004:$BQ$1004,1,MATCH(COLUMNS($AO$1006:AY1006),$AO$1006:$BQ$1006,0)))),"Fix")))</f>
        <v>#N/A</v>
      </c>
      <c r="M473" s="5" t="e">
        <f ca="1">IF(OR(INDEX($AI$2:$AI$1001,MATCH(ROWS($AH$2:AH473),$AH$2:$AH$1001,0),1)&gt;=100000,INDEX($AO$1005:$BQ$1005,1,MATCH(COLUMNS($AO$1006:AZ1006),$AO$1006:$BQ$1006,0))&gt;=100000), " ",IF(INDEX($AO$2:$BQ$1001,MATCH(ROWS($AH$2:AH473),$AH$2:$AH$1001,0),MATCH(COLUMNS($AO$1006:AZ1006),$AO$1006:$BQ$1006,0)), HYPERLINK("#",""), HYPERLINK(CONCATENATE("#Metadata!", ADDRESS(INDEX($AJ$2:$AJ$1001,MATCH(ROWS($AH$2:AH473),$AH$2:$AH$1001,0),0), INDEX($AO$1004:$BQ$1004,1,MATCH(COLUMNS($AO$1006:AZ1006),$AO$1006:$BQ$1006,0)))),"Fix")))</f>
        <v>#N/A</v>
      </c>
      <c r="N473" s="5" t="e">
        <f ca="1">IF(OR(INDEX($AI$2:$AI$1001,MATCH(ROWS($AH$2:AH473),$AH$2:$AH$1001,0),1)&gt;=100000,INDEX($AO$1005:$BQ$1005,1,MATCH(COLUMNS($AO$1006:BA1006),$AO$1006:$BQ$1006,0))&gt;=100000), " ",IF(INDEX($AO$2:$BQ$1001,MATCH(ROWS($AH$2:AH473),$AH$2:$AH$1001,0),MATCH(COLUMNS($AO$1006:BA1006),$AO$1006:$BQ$1006,0)), HYPERLINK("#",""), HYPERLINK(CONCATENATE("#Metadata!", ADDRESS(INDEX($AJ$2:$AJ$1001,MATCH(ROWS($AH$2:AH473),$AH$2:$AH$1001,0),0), INDEX($AO$1004:$BQ$1004,1,MATCH(COLUMNS($AO$1006:BA1006),$AO$1006:$BQ$1006,0)))),"Fix")))</f>
        <v>#N/A</v>
      </c>
      <c r="O473" s="5" t="e">
        <f ca="1">IF(OR(INDEX($AI$2:$AI$1001,MATCH(ROWS($AH$2:AH473),$AH$2:$AH$1001,0),1)&gt;=100000,INDEX($AO$1005:$BQ$1005,1,MATCH(COLUMNS($AO$1006:BB1006),$AO$1006:$BQ$1006,0))&gt;=100000), " ",IF(INDEX($AO$2:$BQ$1001,MATCH(ROWS($AH$2:AH473),$AH$2:$AH$1001,0),MATCH(COLUMNS($AO$1006:BB1006),$AO$1006:$BQ$1006,0)), HYPERLINK("#",""), HYPERLINK(CONCATENATE("#Metadata!", ADDRESS(INDEX($AJ$2:$AJ$1001,MATCH(ROWS($AH$2:AH473),$AH$2:$AH$1001,0),0), INDEX($AO$1004:$BQ$1004,1,MATCH(COLUMNS($AO$1006:BB1006),$AO$1006:$BQ$1006,0)))),"Fix")))</f>
        <v>#N/A</v>
      </c>
      <c r="P473" s="5" t="e">
        <f ca="1">IF(OR(INDEX($AI$2:$AI$1001,MATCH(ROWS($AH$2:AH473),$AH$2:$AH$1001,0),1)&gt;=100000,INDEX($AO$1005:$BQ$1005,1,MATCH(COLUMNS($AO$1006:BC1006),$AO$1006:$BQ$1006,0))&gt;=100000), " ",IF(INDEX($AO$2:$BQ$1001,MATCH(ROWS($AH$2:AH473),$AH$2:$AH$1001,0),MATCH(COLUMNS($AO$1006:BC1006),$AO$1006:$BQ$1006,0)), HYPERLINK("#",""), HYPERLINK(CONCATENATE("#Metadata!", ADDRESS(INDEX($AJ$2:$AJ$1001,MATCH(ROWS($AH$2:AH473),$AH$2:$AH$1001,0),0), INDEX($AO$1004:$BQ$1004,1,MATCH(COLUMNS($AO$1006:BC1006),$AO$1006:$BQ$1006,0)))),"Fix")))</f>
        <v>#N/A</v>
      </c>
      <c r="Q473" s="5" t="e">
        <f ca="1">IF(OR(INDEX($AI$2:$AI$1001,MATCH(ROWS($AH$2:AH473),$AH$2:$AH$1001,0),1)&gt;=100000,INDEX($AO$1005:$BQ$1005,1,MATCH(COLUMNS($AO$1006:BD1006),$AO$1006:$BQ$1006,0))&gt;=100000), " ",IF(INDEX($AO$2:$BQ$1001,MATCH(ROWS($AH$2:AH473),$AH$2:$AH$1001,0),MATCH(COLUMNS($AO$1006:BD1006),$AO$1006:$BQ$1006,0)), HYPERLINK("#",""), HYPERLINK(CONCATENATE("#Metadata!", ADDRESS(INDEX($AJ$2:$AJ$1001,MATCH(ROWS($AH$2:AH473),$AH$2:$AH$1001,0),0), INDEX($AO$1004:$BQ$1004,1,MATCH(COLUMNS($AO$1006:BD1006),$AO$1006:$BQ$1006,0)))),"Fix")))</f>
        <v>#N/A</v>
      </c>
      <c r="R473" s="5" t="e">
        <f ca="1">IF(OR(INDEX($AI$2:$AI$1001,MATCH(ROWS($AH$2:AH473),$AH$2:$AH$1001,0),1)&gt;=100000,INDEX($AO$1005:$BQ$1005,1,MATCH(COLUMNS($AO$1006:BE1006),$AO$1006:$BQ$1006,0))&gt;=100000), " ",IF(INDEX($AO$2:$BQ$1001,MATCH(ROWS($AH$2:AH473),$AH$2:$AH$1001,0),MATCH(COLUMNS($AO$1006:BE1006),$AO$1006:$BQ$1006,0)), HYPERLINK("#",""), HYPERLINK(CONCATENATE("#Metadata!", ADDRESS(INDEX($AJ$2:$AJ$1001,MATCH(ROWS($AH$2:AH473),$AH$2:$AH$1001,0),0), INDEX($AO$1004:$BQ$1004,1,MATCH(COLUMNS($AO$1006:BE1006),$AO$1006:$BQ$1006,0)))),"Fix")))</f>
        <v>#N/A</v>
      </c>
      <c r="S473" s="5" t="e">
        <f ca="1">IF(OR(INDEX($AI$2:$AI$1001,MATCH(ROWS($AH$2:AH473),$AH$2:$AH$1001,0),1)&gt;=100000,INDEX($AO$1005:$BQ$1005,1,MATCH(COLUMNS($AO$1006:BF1006),$AO$1006:$BQ$1006,0))&gt;=100000), " ",IF(INDEX($AO$2:$BQ$1001,MATCH(ROWS($AH$2:AH473),$AH$2:$AH$1001,0),MATCH(COLUMNS($AO$1006:BF1006),$AO$1006:$BQ$1006,0)), HYPERLINK("#",""), HYPERLINK(CONCATENATE("#Metadata!", ADDRESS(INDEX($AJ$2:$AJ$1001,MATCH(ROWS($AH$2:AH473),$AH$2:$AH$1001,0),0), INDEX($AO$1004:$BQ$1004,1,MATCH(COLUMNS($AO$1006:BF1006),$AO$1006:$BQ$1006,0)))),"Fix")))</f>
        <v>#N/A</v>
      </c>
      <c r="T473" s="5" t="e">
        <f ca="1">IF(OR(INDEX($AI$2:$AI$1001,MATCH(ROWS($AH$2:AH473),$AH$2:$AH$1001,0),1)&gt;=100000,INDEX($AO$1005:$BQ$1005,1,MATCH(COLUMNS($AO$1006:BG1006),$AO$1006:$BQ$1006,0))&gt;=100000), " ",IF(INDEX($AO$2:$BQ$1001,MATCH(ROWS($AH$2:AH473),$AH$2:$AH$1001,0),MATCH(COLUMNS($AO$1006:BG1006),$AO$1006:$BQ$1006,0)), HYPERLINK("#",""), HYPERLINK(CONCATENATE("#Metadata!", ADDRESS(INDEX($AJ$2:$AJ$1001,MATCH(ROWS($AH$2:AH473),$AH$2:$AH$1001,0),0), INDEX($AO$1004:$BQ$1004,1,MATCH(COLUMNS($AO$1006:BG1006),$AO$1006:$BQ$1006,0)))),"Fix")))</f>
        <v>#N/A</v>
      </c>
      <c r="U473" s="5" t="e">
        <f ca="1">IF(OR(INDEX($AI$2:$AI$1001,MATCH(ROWS($AH$2:AH473),$AH$2:$AH$1001,0),1)&gt;=100000,INDEX($AO$1005:$BQ$1005,1,MATCH(COLUMNS($AO$1006:BH1006),$AO$1006:$BQ$1006,0))&gt;=100000), " ",IF(INDEX($AO$2:$BQ$1001,MATCH(ROWS($AH$2:AH473),$AH$2:$AH$1001,0),MATCH(COLUMNS($AO$1006:BH1006),$AO$1006:$BQ$1006,0)), HYPERLINK("#",""), HYPERLINK(CONCATENATE("#Metadata!", ADDRESS(INDEX($AJ$2:$AJ$1001,MATCH(ROWS($AH$2:AH473),$AH$2:$AH$1001,0),0), INDEX($AO$1004:$BQ$1004,1,MATCH(COLUMNS($AO$1006:BH1006),$AO$1006:$BQ$1006,0)))),"Fix")))</f>
        <v>#N/A</v>
      </c>
      <c r="V473" s="5" t="e">
        <f ca="1">IF(OR(INDEX($AI$2:$AI$1001,MATCH(ROWS($AH$2:AH473),$AH$2:$AH$1001,0),1)&gt;=100000,INDEX($AO$1005:$BQ$1005,1,MATCH(COLUMNS($AO$1006:BI1006),$AO$1006:$BQ$1006,0))&gt;=100000), " ",IF(INDEX($AO$2:$BQ$1001,MATCH(ROWS($AH$2:AH473),$AH$2:$AH$1001,0),MATCH(COLUMNS($AO$1006:BI1006),$AO$1006:$BQ$1006,0)), HYPERLINK("#",""), HYPERLINK(CONCATENATE("#Metadata!", ADDRESS(INDEX($AJ$2:$AJ$1001,MATCH(ROWS($AH$2:AH473),$AH$2:$AH$1001,0),0), INDEX($AO$1004:$BQ$1004,1,MATCH(COLUMNS($AO$1006:BI1006),$AO$1006:$BQ$1006,0)))),"Fix")))</f>
        <v>#N/A</v>
      </c>
      <c r="W473" s="5" t="e">
        <f ca="1">IF(OR(INDEX($AI$2:$AI$1001,MATCH(ROWS($AH$2:AH473),$AH$2:$AH$1001,0),1)&gt;=100000,INDEX($AO$1005:$BQ$1005,1,MATCH(COLUMNS($AO$1006:BJ1006),$AO$1006:$BQ$1006,0))&gt;=100000), " ",IF(INDEX($AO$2:$BQ$1001,MATCH(ROWS($AH$2:AH473),$AH$2:$AH$1001,0),MATCH(COLUMNS($AO$1006:BJ1006),$AO$1006:$BQ$1006,0)), HYPERLINK("#",""), HYPERLINK(CONCATENATE("#Metadata!", ADDRESS(INDEX($AJ$2:$AJ$1001,MATCH(ROWS($AH$2:AH473),$AH$2:$AH$1001,0),0), INDEX($AO$1004:$BQ$1004,1,MATCH(COLUMNS($AO$1006:BJ1006),$AO$1006:$BQ$1006,0)))),"Fix")))</f>
        <v>#N/A</v>
      </c>
      <c r="X473" s="5" t="e">
        <f ca="1">IF(OR(INDEX($AI$2:$AI$1001,MATCH(ROWS($AH$2:AH473),$AH$2:$AH$1001,0),1)&gt;=100000,INDEX($AO$1005:$BQ$1005,1,MATCH(COLUMNS($AO$1006:BK1006),$AO$1006:$BQ$1006,0))&gt;=100000), " ",IF(INDEX($AO$2:$BQ$1001,MATCH(ROWS($AH$2:AH473),$AH$2:$AH$1001,0),MATCH(COLUMNS($AO$1006:BK1006),$AO$1006:$BQ$1006,0)), HYPERLINK("#",""), HYPERLINK(CONCATENATE("#Metadata!", ADDRESS(INDEX($AJ$2:$AJ$1001,MATCH(ROWS($AH$2:AH473),$AH$2:$AH$1001,0),0), INDEX($AO$1004:$BQ$1004,1,MATCH(COLUMNS($AO$1006:BK1006),$AO$1006:$BQ$1006,0)))),"Fix")))</f>
        <v>#N/A</v>
      </c>
      <c r="Y473" s="5" t="e">
        <f ca="1">IF(OR(INDEX($AI$2:$AI$1001,MATCH(ROWS($AH$2:AH473),$AH$2:$AH$1001,0),1)&gt;=100000,INDEX($AO$1005:$BQ$1005,1,MATCH(COLUMNS($AO$1006:BL1006),$AO$1006:$BQ$1006,0))&gt;=100000), " ",IF(INDEX($AO$2:$BQ$1001,MATCH(ROWS($AH$2:AH473),$AH$2:$AH$1001,0),MATCH(COLUMNS($AO$1006:BL1006),$AO$1006:$BQ$1006,0)), HYPERLINK("#",""), HYPERLINK(CONCATENATE("#Metadata!", ADDRESS(INDEX($AJ$2:$AJ$1001,MATCH(ROWS($AH$2:AH473),$AH$2:$AH$1001,0),0), INDEX($AO$1004:$BQ$1004,1,MATCH(COLUMNS($AO$1006:BL1006),$AO$1006:$BQ$1006,0)))),"Fix")))</f>
        <v>#N/A</v>
      </c>
      <c r="Z473" s="5" t="e">
        <f ca="1">IF(OR(INDEX($AI$2:$AI$1001,MATCH(ROWS($AH$2:AH473),$AH$2:$AH$1001,0),1)&gt;=100000,INDEX($AO$1005:$BQ$1005,1,MATCH(COLUMNS($AO$1006:BM1006),$AO$1006:$BQ$1006,0))&gt;=100000), " ",IF(INDEX($AO$2:$BQ$1001,MATCH(ROWS($AH$2:AH473),$AH$2:$AH$1001,0),MATCH(COLUMNS($AO$1006:BM1006),$AO$1006:$BQ$1006,0)), HYPERLINK("#",""), HYPERLINK(CONCATENATE("#Metadata!", ADDRESS(INDEX($AJ$2:$AJ$1001,MATCH(ROWS($AH$2:AH473),$AH$2:$AH$1001,0),0), INDEX($AO$1004:$BQ$1004,1,MATCH(COLUMNS($AO$1006:BM1006),$AO$1006:$BQ$1006,0)))),"Fix")))</f>
        <v>#N/A</v>
      </c>
      <c r="AA473" s="5" t="e">
        <f ca="1">IF(OR(INDEX($AI$2:$AI$1001,MATCH(ROWS($AH$2:AH473),$AH$2:$AH$1001,0),1)&gt;=100000,INDEX($AO$1005:$BQ$1005,1,MATCH(COLUMNS($AO$1006:BN1006),$AO$1006:$BQ$1006,0))&gt;=100000), " ",IF(INDEX($AO$2:$BQ$1001,MATCH(ROWS($AH$2:AH473),$AH$2:$AH$1001,0),MATCH(COLUMNS($AO$1006:BN1006),$AO$1006:$BQ$1006,0)), HYPERLINK("#",""), HYPERLINK(CONCATENATE("#Metadata!", ADDRESS(INDEX($AJ$2:$AJ$1001,MATCH(ROWS($AH$2:AH473),$AH$2:$AH$1001,0),0), INDEX($AO$1004:$BQ$1004,1,MATCH(COLUMNS($AO$1006:BN1006),$AO$1006:$BQ$1006,0)))),"Fix")))</f>
        <v>#N/A</v>
      </c>
      <c r="AB473" s="5" t="e">
        <f ca="1">IF(OR(INDEX($AI$2:$AI$1001,MATCH(ROWS($AH$2:AH473),$AH$2:$AH$1001,0),1)&gt;=100000,INDEX($AO$1005:$BQ$1005,1,MATCH(COLUMNS($AO$1006:BO1006),$AO$1006:$BQ$1006,0))&gt;=100000), " ",IF(INDEX($AO$2:$BQ$1001,MATCH(ROWS($AH$2:AH473),$AH$2:$AH$1001,0),MATCH(COLUMNS($AO$1006:BO1006),$AO$1006:$BQ$1006,0)), HYPERLINK("#",""), HYPERLINK(CONCATENATE("#Metadata!", ADDRESS(INDEX($AJ$2:$AJ$1001,MATCH(ROWS($AH$2:AH473),$AH$2:$AH$1001,0),0), INDEX($AO$1004:$BQ$1004,1,MATCH(COLUMNS($AO$1006:BO1006),$AO$1006:$BQ$1006,0)))),"Fix")))</f>
        <v>#N/A</v>
      </c>
      <c r="AC473" s="5" t="e">
        <f ca="1">IF(OR(INDEX($AI$2:$AI$1001,MATCH(ROWS($AH$2:AH473),$AH$2:$AH$1001,0),1)&gt;=100000,INDEX($AO$1005:$BQ$1005,1,MATCH(COLUMNS($AO$1006:BP1006),$AO$1006:$BQ$1006,0))&gt;=100000), " ",IF(INDEX($AO$2:$BQ$1001,MATCH(ROWS($AH$2:AH473),$AH$2:$AH$1001,0),MATCH(COLUMNS($AO$1006:BP1006),$AO$1006:$BQ$1006,0)), HYPERLINK("#",""), HYPERLINK(CONCATENATE("#Metadata!", ADDRESS(INDEX($AJ$2:$AJ$1001,MATCH(ROWS($AH$2:AH473),$AH$2:$AH$1001,0),0), INDEX($AO$1004:$BQ$1004,1,MATCH(COLUMNS($AO$1006:BP1006),$AO$1006:$BQ$1006,0)))),"Fix")))</f>
        <v>#N/A</v>
      </c>
      <c r="AD473" s="5" t="e">
        <f ca="1">IF(OR(INDEX($AI$2:$AI$1001,MATCH(ROWS($AH$2:AH473),$AH$2:$AH$1001,0),1)&gt;=100000,INDEX($AO$1005:$BQ$1005,1,MATCH(COLUMNS($AO$1006:BQ1006),$AO$1006:$BQ$1006,0))&gt;=100000), " ",IF(INDEX($AO$2:$BQ$1001,MATCH(ROWS($AH$2:AH473),$AH$2:$AH$1001,0),MATCH(COLUMNS($AO$1006:BQ1006),$AO$1006:$BQ$1006,0)), HYPERLINK("#",""), HYPERLINK(CONCATENATE("#Metadata!", ADDRESS(INDEX($AJ$2:$AJ$1001,MATCH(ROWS($AH$2:AH473),$AH$2:$AH$1001,0),0), INDEX($AO$1004:$BQ$1004,1,MATCH(COLUMNS($AO$1006:BQ1006),$AO$1006:$BQ$1006,0)))),"Fix")))</f>
        <v>#REF!</v>
      </c>
      <c r="AH473">
        <f ca="1"/>
        <v>470</v>
      </c>
      <c r="AI473">
        <v>100473</v>
      </c>
      <c r="AJ473">
        <v>473</v>
      </c>
      <c r="AK473" t="b">
        <f t="shared" si="7"/>
        <v>1</v>
      </c>
      <c r="AL473" t="b">
        <f>COUNTBLANK(Metadata!B473:AD473)=COLUMNS(Metadata!B473:AD473)</f>
        <v>1</v>
      </c>
      <c r="AM473" t="str">
        <v/>
      </c>
      <c r="AO473" t="b">
        <f ca="1">AND(IF(Metadata!B473="",FALSE,TRUE),COUNTIF(Metadata!B:B, Metadata!B473) = 1,NOT(ISERROR(SUMPRODUCT(SEARCH(MID(Metadata!B473,ROW(INDIRECT("1:"&amp;LEN(Metadata!B473))), 1),"0123456789abcdefghijklmnopqrstuvwxyzABCDEFGHIJKLMNOPQRSTUVWXYZ.")))))</f>
        <v>0</v>
      </c>
      <c r="AP473" t="b">
        <f>IF(Metadata!C473="",FALSE,TRUE)</f>
        <v>0</v>
      </c>
      <c r="AQ473" t="b">
        <f>IF(Metadata!D473="",FALSE,TRUE)</f>
        <v>0</v>
      </c>
      <c r="AR473" t="b">
        <f ca="1">OR(AND(IF(Metadata!E473="",FALSE,TRUE),OR(EXACT(Metadata!E473,"not collected"),EXACT(Metadata!E473,"not provided"),EXACT(Metadata!E473,"restricted access"))),AND(IF(Metadata!E473="",FALSE,TRUE),AND(AND(IFERROR(INT(LEFT(Metadata!E473,4))&gt;1900,FALSE),IFERROR(INT(LEFT(Metadata!E473,4))&lt;=YEAR(NOW()),FALSE)), OR(MID(Metadata!E473,5,1)="", AND(AND(MID(Metadata!E473,5,1)="-",IFERROR(INT(MID(Metadata!E473,6,1))&gt;=0,FALSE),IFERROR(INT(MID(Metadata!E473,6,1))&lt;=1,FALSE),NOT(MID(Metadata!E473,7,1)=""),IFERROR(INT(MID(Metadata!E473,6,2))&gt;=1,FALSE),IFERROR(INT(MID(Metadata!E473,6,2))&lt;=12,FALSE)), OR(MID(Metadata!E473,8,1)="", AND(AND(MID(Metadata!E473,8,1)="-",IFERROR(INT(MID(Metadata!E473,9,1))&gt;=0,FALSE),IFERROR(INT(MID(Metadata!E473,9,1))&lt;=3,FALSE),NOT(MID(Metadata!E473,10,1)=""),IFERROR(INT(MID(Metadata!E473,9,2))&gt;=1,FALSE),IFERROR(INT(MID(Metadata!E473,9,2))&lt;=31,FALSE)), OR(MID(Metadata!E473,11,1)="", AND(AND(MID(Metadata!E473,11,1)=" ",IFERROR(INT(MID(Metadata!E473,12,1))&gt;=0,FALSE),IFERROR(INT(MID(Metadata!E473,12,1))&lt;=2,FALSE),NOT(MID(Metadata!E473,13,1)=""),IFERROR(INT(MID(Metadata!E473,12,2))&gt;=0,FALSE),IFERROR(INT(MID(Metadata!E473,12,2))&lt;=23,FALSE)), OR(MID(Metadata!E473,14,1)="", AND(AND(MID(Metadata!E473,14,1)=":",IFERROR(INT(MID(Metadata!E473,15,1))&gt;=0,FALSE),IFERROR(INT(MID(Metadata!E473,15,1))&lt;=5,FALSE),NOT(MID(Metadata!E473,16,1)=""),IFERROR(INT(MID(Metadata!E473,15,2))&gt;=0,FALSE),IFERROR(INT(MID(Metadata!E473,15,2))&lt;=59,FALSE)), OR(MID(Metadata!E473,17,1)="", AND(AND(MID(Metadata!E473,17,1)=":",IFERROR(INT(MID(Metadata!E473,18,1))&gt;=0,FALSE),IFERROR(INT(MID(Metadata!E473,18,1))&lt;=5,FALSE),NOT(MID(Metadata!E473,19,1)=""),IFERROR(INT(MID(Metadata!E473,18,2))&gt;=0,FALSE),IFERROR(INT(MID(Metadata!E473,18,2))&lt;=59,FALSE)), LEN(Metadata!E473)&lt;=19)))))))))))))</f>
        <v>0</v>
      </c>
      <c r="AS473" t="b">
        <f>IF(Metadata!F473="",FALSE,TRUE)</f>
        <v>0</v>
      </c>
      <c r="AT473" t="b">
        <f>OR(AND(IF(Metadata!G473="",FALSE,TRUE),OR(EXACT(Metadata!G473,"not collected"),EXACT(Metadata!G473,"not provided"))),AND(IF(Metadata!G473="",FALSE,TRUE),OR(EXACT(Metadata!G473,"TRUE"),EXACT(Metadata!G473,"FALSE"))))</f>
        <v>0</v>
      </c>
      <c r="AU473" t="b">
        <f>OR(AND(IF(Metadata!H473="",FALSE,TRUE),OR(EXACT(Metadata!H473,"not collected"),EXACT(Metadata!H473,"not provided"),EXACT(Metadata!H473,"restricted access"))),AND(IF(Metadata!H473="",FALSE,ISNUMBER(VALUE(Metadata!H473))),Metadata!H473&gt;=-413))</f>
        <v>0</v>
      </c>
      <c r="AV473" t="b">
        <f>AND(IF(Metadata!I473="",FALSE,TRUE),EXACT(Metadata!I473,"meters"))</f>
        <v>0</v>
      </c>
      <c r="AW473" t="b">
        <f>AND(IF(Metadata!J473="",FALSE,TRUE),EXACT(Metadata!J473,"free-living"))</f>
        <v>0</v>
      </c>
      <c r="AX473" t="b">
        <f>AND(IF(Metadata!K473="",FALSE,TRUE),OR(EXACT(Metadata!K473,"saline"),EXACT(Metadata!K473,"non-saline")))</f>
        <v>0</v>
      </c>
      <c r="AY473" t="b">
        <f>AND(IF(Metadata!L473="",FALSE,TRUE),OR(EXACT(Metadata!L473,"sub-surface (non-saline)"),EXACT(Metadata!L473,"surface (non-saline)"),EXACT(Metadata!L473,"water (non-saline)"),EXACT(Metadata!L473,"soil (non-saline)"),EXACT(Metadata!L473,"aerosol (non-saline)"),EXACT(Metadata!L473,"sediment (non-saline)"),EXACT(Metadata!L473,"surface (saline)"),EXACT(Metadata!L473,"water (saline)"),EXACT(Metadata!L473,"hypersaline (saline)"),EXACT(Metadata!L473,"aerosol (saline)"),EXACT(Metadata!L473,"sediment (saline)")))</f>
        <v>0</v>
      </c>
      <c r="AZ473" t="b">
        <f>IF(Metadata!M473="",FALSE,TRUE)</f>
        <v>0</v>
      </c>
      <c r="BA473" t="b">
        <f>IF(Metadata!N473="",FALSE,TRUE)</f>
        <v>0</v>
      </c>
      <c r="BB473" t="b">
        <f>IF(Metadata!O473="",FALSE,TRUE)</f>
        <v>0</v>
      </c>
      <c r="BC473" t="b">
        <f>AND(IF(Metadata!P473="",FALSE,TRUE),OR(EXACT(Metadata!P473,"air"),EXACT(Metadata!P473,"microbial mat/biofilm"),EXACT(Metadata!P473,"misc environment"),EXACT(Metadata!P473,"sediment"),EXACT(Metadata!P473,"soil"),EXACT(Metadata!P473,"wastewater/sludge"),EXACT(Metadata!P473,"water")))</f>
        <v>0</v>
      </c>
      <c r="BD473" t="b">
        <f>IF(Metadata!Q473="",FALSE,TRUE)</f>
        <v>0</v>
      </c>
      <c r="BE473" t="b">
        <f>IF(Metadata!R473="",FALSE,TRUE)</f>
        <v>0</v>
      </c>
      <c r="BF473" t="b">
        <f>OR(AND(IF(Metadata!S473="",FALSE,TRUE),OR(EXACT(Metadata!S473,"not collected"),EXACT(Metadata!S473,"not provided"),EXACT(Metadata!S473,"restricted access"))),AND(IF(Metadata!S473="",FALSE,ISNUMBER(VALUE(Metadata!S473))),Metadata!S473&gt;=-90,Metadata!S473&lt;=90))</f>
        <v>0</v>
      </c>
      <c r="BG473" t="b">
        <f>AND(IF(Metadata!T473="",FALSE,TRUE),EXACT(Metadata!T473,"Decimal degrees"))</f>
        <v>0</v>
      </c>
      <c r="BH473" t="b">
        <f>OR(AND(IF(Metadata!U473="",FALSE,TRUE),OR(EXACT(Metadata!U473,"not applicable"),EXACT(Metadata!U473,"not collected"))),IF(Metadata!U473="",FALSE,TRUE))</f>
        <v>0</v>
      </c>
      <c r="BI473" t="b">
        <f>OR(AND(IF(Metadata!V473="",FALSE,TRUE),OR(EXACT(Metadata!V473,"not collected"),EXACT(Metadata!V473,"not provided"),EXACT(Metadata!V473,"restricted access"))),AND(IF(Metadata!V473="",FALSE,ISNUMBER(VALUE(Metadata!V473))),Metadata!V473&gt;=-180,Metadata!V473&lt;=180))</f>
        <v>0</v>
      </c>
      <c r="BJ473" t="b">
        <f>AND(IF(Metadata!W473="",FALSE,TRUE),EXACT(Metadata!W473,"Decimal degrees"))</f>
        <v>0</v>
      </c>
      <c r="BK473" t="b">
        <f>IF(Metadata!X473="",FALSE,TRUE)</f>
        <v>0</v>
      </c>
      <c r="BL473" t="b">
        <f>OR(AND(IF(Metadata!Y473="",FALSE,TRUE),OR(EXACT(Metadata!Y473,"not collected"),EXACT(Metadata!Y473,"not provided"),EXACT(Metadata!Y473,"restricted access"))),AND(IF(Metadata!Y473="",FALSE,TRUE),OR(EXACT(Metadata!Y473,"TRUE"),EXACT(Metadata!Y473,"FALSE"))))</f>
        <v>0</v>
      </c>
      <c r="BM473" t="b">
        <f>OR(AND(IF(Metadata!Z473="",FALSE,TRUE),EXACT(Metadata!Z473,"not applicable")),AND(IF(Metadata!Z473="",FALSE,TRUE),OR(EXACT(Metadata!Z473,"beer"),EXACT(Metadata!Z473,"cheese"),EXACT(Metadata!Z473,"fresh water"),EXACT(Metadata!Z473,"marine sediment"),EXACT(Metadata!Z473,"sea water"),EXACT(Metadata!Z473,"sediment"),EXACT(Metadata!Z473,"soil"),EXACT(Metadata!Z473,"waste water"))))</f>
        <v>0</v>
      </c>
      <c r="BN473" t="b">
        <f>AND(IF(Metadata!AA473="",FALSE,TRUE),EXACT(Metadata!AA473,"metagenome"))</f>
        <v>0</v>
      </c>
      <c r="BO473" t="b">
        <f>AND(IF(Metadata!AB473="",FALSE,TRUE),EXACT(Metadata!AB473,"256318"))</f>
        <v>0</v>
      </c>
      <c r="BP473" t="b">
        <f>IF(Metadata!AC473="",FALSE,TRUE)</f>
        <v>0</v>
      </c>
      <c r="BQ473" t="b">
        <f>IF(Metadata!AD473="",FALSE,TRUE)</f>
        <v>0</v>
      </c>
    </row>
    <row r="474" spans="1:69" x14ac:dyDescent="0.2">
      <c r="A474" s="4" t="e">
        <f ca="1">IF(B474=" "," ",HYPERLINK(CONCATENATE("#metadata!",ADDRESS(INDEX($AJ$2:$AJ$1001,MATCH(ROWS($AH$2:AH474),$AH$2:$AH$1001,0),0),2)),INDEX($AM$2:$AM$1001,MATCH(ROWS($AH$2:AH474),$AH$2:$AH$1001,0),0)))</f>
        <v>#N/A</v>
      </c>
      <c r="B474" s="5" t="e">
        <f ca="1">IF(OR(INDEX($AI$2:$AI$1001,MATCH(ROWS($AH$2:AH474),$AH$2:$AH$1001,0),1)&gt;=100000,INDEX($AO$1005:$BQ$1005,1,MATCH(COLUMNS($AO$1006:AO1006),$AO$1006:$BQ$1006,0))&gt;=100000), " ",IF(INDEX($AO$2:$BQ$1001,MATCH(ROWS($AH$2:AH474),$AH$2:$AH$1001,0),MATCH(COLUMNS($AO$1006:AO1006),$AO$1006:$BQ$1006,0)), HYPERLINK("#",""), HYPERLINK(CONCATENATE("#Metadata!", ADDRESS(INDEX($AJ$2:$AJ$1001,MATCH(ROWS($AH$2:AH474),$AH$2:$AH$1001,0),0), INDEX($AO$1004:$BQ$1004,1,MATCH(COLUMNS($AO$1006:AO1006),$AO$1006:$BQ$1006,0)))),"Fix")))</f>
        <v>#N/A</v>
      </c>
      <c r="C474" s="5" t="e">
        <f ca="1">IF(OR(INDEX($AI$2:$AI$1001,MATCH(ROWS($AH$2:AH474),$AH$2:$AH$1001,0),1)&gt;=100000,INDEX($AO$1005:$BQ$1005,1,MATCH(COLUMNS($AO$1006:AP1006),$AO$1006:$BQ$1006,0))&gt;=100000), " ",IF(INDEX($AO$2:$BQ$1001,MATCH(ROWS($AH$2:AH474),$AH$2:$AH$1001,0),MATCH(COLUMNS($AO$1006:AP1006),$AO$1006:$BQ$1006,0)), HYPERLINK("#",""), HYPERLINK(CONCATENATE("#Metadata!", ADDRESS(INDEX($AJ$2:$AJ$1001,MATCH(ROWS($AH$2:AH474),$AH$2:$AH$1001,0),0), INDEX($AO$1004:$BQ$1004,1,MATCH(COLUMNS($AO$1006:AP1006),$AO$1006:$BQ$1006,0)))),"Fix")))</f>
        <v>#N/A</v>
      </c>
      <c r="D474" s="5" t="e">
        <f ca="1">IF(OR(INDEX($AI$2:$AI$1001,MATCH(ROWS($AH$2:AH474),$AH$2:$AH$1001,0),1)&gt;=100000,INDEX($AO$1005:$BQ$1005,1,MATCH(COLUMNS($AO$1006:AQ1006),$AO$1006:$BQ$1006,0))&gt;=100000), " ",IF(INDEX($AO$2:$BQ$1001,MATCH(ROWS($AH$2:AH474),$AH$2:$AH$1001,0),MATCH(COLUMNS($AO$1006:AQ1006),$AO$1006:$BQ$1006,0)), HYPERLINK("#",""), HYPERLINK(CONCATENATE("#Metadata!", ADDRESS(INDEX($AJ$2:$AJ$1001,MATCH(ROWS($AH$2:AH474),$AH$2:$AH$1001,0),0), INDEX($AO$1004:$BQ$1004,1,MATCH(COLUMNS($AO$1006:AQ1006),$AO$1006:$BQ$1006,0)))),"Fix")))</f>
        <v>#N/A</v>
      </c>
      <c r="E474" s="5" t="e">
        <f ca="1">IF(OR(INDEX($AI$2:$AI$1001,MATCH(ROWS($AH$2:AH474),$AH$2:$AH$1001,0),1)&gt;=100000,INDEX($AO$1005:$BQ$1005,1,MATCH(COLUMNS($AO$1006:AR1006),$AO$1006:$BQ$1006,0))&gt;=100000), " ",IF(INDEX($AO$2:$BQ$1001,MATCH(ROWS($AH$2:AH474),$AH$2:$AH$1001,0),MATCH(COLUMNS($AO$1006:AR1006),$AO$1006:$BQ$1006,0)), HYPERLINK("#",""), HYPERLINK(CONCATENATE("#Metadata!", ADDRESS(INDEX($AJ$2:$AJ$1001,MATCH(ROWS($AH$2:AH474),$AH$2:$AH$1001,0),0), INDEX($AO$1004:$BQ$1004,1,MATCH(COLUMNS($AO$1006:AR1006),$AO$1006:$BQ$1006,0)))),"Fix")))</f>
        <v>#N/A</v>
      </c>
      <c r="F474" s="5" t="e">
        <f ca="1">IF(OR(INDEX($AI$2:$AI$1001,MATCH(ROWS($AH$2:AH474),$AH$2:$AH$1001,0),1)&gt;=100000,INDEX($AO$1005:$BQ$1005,1,MATCH(COLUMNS($AO$1006:AS1006),$AO$1006:$BQ$1006,0))&gt;=100000), " ",IF(INDEX($AO$2:$BQ$1001,MATCH(ROWS($AH$2:AH474),$AH$2:$AH$1001,0),MATCH(COLUMNS($AO$1006:AS1006),$AO$1006:$BQ$1006,0)), HYPERLINK("#",""), HYPERLINK(CONCATENATE("#Metadata!", ADDRESS(INDEX($AJ$2:$AJ$1001,MATCH(ROWS($AH$2:AH474),$AH$2:$AH$1001,0),0), INDEX($AO$1004:$BQ$1004,1,MATCH(COLUMNS($AO$1006:AS1006),$AO$1006:$BQ$1006,0)))),"Fix")))</f>
        <v>#N/A</v>
      </c>
      <c r="G474" s="5" t="e">
        <f ca="1">IF(OR(INDEX($AI$2:$AI$1001,MATCH(ROWS($AH$2:AH474),$AH$2:$AH$1001,0),1)&gt;=100000,INDEX($AO$1005:$BQ$1005,1,MATCH(COLUMNS($AO$1006:AT1006),$AO$1006:$BQ$1006,0))&gt;=100000), " ",IF(INDEX($AO$2:$BQ$1001,MATCH(ROWS($AH$2:AH474),$AH$2:$AH$1001,0),MATCH(COLUMNS($AO$1006:AT1006),$AO$1006:$BQ$1006,0)), HYPERLINK("#",""), HYPERLINK(CONCATENATE("#Metadata!", ADDRESS(INDEX($AJ$2:$AJ$1001,MATCH(ROWS($AH$2:AH474),$AH$2:$AH$1001,0),0), INDEX($AO$1004:$BQ$1004,1,MATCH(COLUMNS($AO$1006:AT1006),$AO$1006:$BQ$1006,0)))),"Fix")))</f>
        <v>#N/A</v>
      </c>
      <c r="H474" s="5" t="e">
        <f ca="1">IF(OR(INDEX($AI$2:$AI$1001,MATCH(ROWS($AH$2:AH474),$AH$2:$AH$1001,0),1)&gt;=100000,INDEX($AO$1005:$BQ$1005,1,MATCH(COLUMNS($AO$1006:AU1006),$AO$1006:$BQ$1006,0))&gt;=100000), " ",IF(INDEX($AO$2:$BQ$1001,MATCH(ROWS($AH$2:AH474),$AH$2:$AH$1001,0),MATCH(COLUMNS($AO$1006:AU1006),$AO$1006:$BQ$1006,0)), HYPERLINK("#",""), HYPERLINK(CONCATENATE("#Metadata!", ADDRESS(INDEX($AJ$2:$AJ$1001,MATCH(ROWS($AH$2:AH474),$AH$2:$AH$1001,0),0), INDEX($AO$1004:$BQ$1004,1,MATCH(COLUMNS($AO$1006:AU1006),$AO$1006:$BQ$1006,0)))),"Fix")))</f>
        <v>#N/A</v>
      </c>
      <c r="I474" s="5" t="e">
        <f ca="1">IF(OR(INDEX($AI$2:$AI$1001,MATCH(ROWS($AH$2:AH474),$AH$2:$AH$1001,0),1)&gt;=100000,INDEX($AO$1005:$BQ$1005,1,MATCH(COLUMNS($AO$1006:AV1006),$AO$1006:$BQ$1006,0))&gt;=100000), " ",IF(INDEX($AO$2:$BQ$1001,MATCH(ROWS($AH$2:AH474),$AH$2:$AH$1001,0),MATCH(COLUMNS($AO$1006:AV1006),$AO$1006:$BQ$1006,0)), HYPERLINK("#",""), HYPERLINK(CONCATENATE("#Metadata!", ADDRESS(INDEX($AJ$2:$AJ$1001,MATCH(ROWS($AH$2:AH474),$AH$2:$AH$1001,0),0), INDEX($AO$1004:$BQ$1004,1,MATCH(COLUMNS($AO$1006:AV1006),$AO$1006:$BQ$1006,0)))),"Fix")))</f>
        <v>#N/A</v>
      </c>
      <c r="J474" s="5" t="e">
        <f ca="1">IF(OR(INDEX($AI$2:$AI$1001,MATCH(ROWS($AH$2:AH474),$AH$2:$AH$1001,0),1)&gt;=100000,INDEX($AO$1005:$BQ$1005,1,MATCH(COLUMNS($AO$1006:AW1006),$AO$1006:$BQ$1006,0))&gt;=100000), " ",IF(INDEX($AO$2:$BQ$1001,MATCH(ROWS($AH$2:AH474),$AH$2:$AH$1001,0),MATCH(COLUMNS($AO$1006:AW1006),$AO$1006:$BQ$1006,0)), HYPERLINK("#",""), HYPERLINK(CONCATENATE("#Metadata!", ADDRESS(INDEX($AJ$2:$AJ$1001,MATCH(ROWS($AH$2:AH474),$AH$2:$AH$1001,0),0), INDEX($AO$1004:$BQ$1004,1,MATCH(COLUMNS($AO$1006:AW1006),$AO$1006:$BQ$1006,0)))),"Fix")))</f>
        <v>#N/A</v>
      </c>
      <c r="K474" s="5" t="e">
        <f ca="1">IF(OR(INDEX($AI$2:$AI$1001,MATCH(ROWS($AH$2:AH474),$AH$2:$AH$1001,0),1)&gt;=100000,INDEX($AO$1005:$BQ$1005,1,MATCH(COLUMNS($AO$1006:AX1006),$AO$1006:$BQ$1006,0))&gt;=100000), " ",IF(INDEX($AO$2:$BQ$1001,MATCH(ROWS($AH$2:AH474),$AH$2:$AH$1001,0),MATCH(COLUMNS($AO$1006:AX1006),$AO$1006:$BQ$1006,0)), HYPERLINK("#",""), HYPERLINK(CONCATENATE("#Metadata!", ADDRESS(INDEX($AJ$2:$AJ$1001,MATCH(ROWS($AH$2:AH474),$AH$2:$AH$1001,0),0), INDEX($AO$1004:$BQ$1004,1,MATCH(COLUMNS($AO$1006:AX1006),$AO$1006:$BQ$1006,0)))),"Fix")))</f>
        <v>#N/A</v>
      </c>
      <c r="L474" s="5" t="e">
        <f ca="1">IF(OR(INDEX($AI$2:$AI$1001,MATCH(ROWS($AH$2:AH474),$AH$2:$AH$1001,0),1)&gt;=100000,INDEX($AO$1005:$BQ$1005,1,MATCH(COLUMNS($AO$1006:AY1006),$AO$1006:$BQ$1006,0))&gt;=100000), " ",IF(INDEX($AO$2:$BQ$1001,MATCH(ROWS($AH$2:AH474),$AH$2:$AH$1001,0),MATCH(COLUMNS($AO$1006:AY1006),$AO$1006:$BQ$1006,0)), HYPERLINK("#",""), HYPERLINK(CONCATENATE("#Metadata!", ADDRESS(INDEX($AJ$2:$AJ$1001,MATCH(ROWS($AH$2:AH474),$AH$2:$AH$1001,0),0), INDEX($AO$1004:$BQ$1004,1,MATCH(COLUMNS($AO$1006:AY1006),$AO$1006:$BQ$1006,0)))),"Fix")))</f>
        <v>#N/A</v>
      </c>
      <c r="M474" s="5" t="e">
        <f ca="1">IF(OR(INDEX($AI$2:$AI$1001,MATCH(ROWS($AH$2:AH474),$AH$2:$AH$1001,0),1)&gt;=100000,INDEX($AO$1005:$BQ$1005,1,MATCH(COLUMNS($AO$1006:AZ1006),$AO$1006:$BQ$1006,0))&gt;=100000), " ",IF(INDEX($AO$2:$BQ$1001,MATCH(ROWS($AH$2:AH474),$AH$2:$AH$1001,0),MATCH(COLUMNS($AO$1006:AZ1006),$AO$1006:$BQ$1006,0)), HYPERLINK("#",""), HYPERLINK(CONCATENATE("#Metadata!", ADDRESS(INDEX($AJ$2:$AJ$1001,MATCH(ROWS($AH$2:AH474),$AH$2:$AH$1001,0),0), INDEX($AO$1004:$BQ$1004,1,MATCH(COLUMNS($AO$1006:AZ1006),$AO$1006:$BQ$1006,0)))),"Fix")))</f>
        <v>#N/A</v>
      </c>
      <c r="N474" s="5" t="e">
        <f ca="1">IF(OR(INDEX($AI$2:$AI$1001,MATCH(ROWS($AH$2:AH474),$AH$2:$AH$1001,0),1)&gt;=100000,INDEX($AO$1005:$BQ$1005,1,MATCH(COLUMNS($AO$1006:BA1006),$AO$1006:$BQ$1006,0))&gt;=100000), " ",IF(INDEX($AO$2:$BQ$1001,MATCH(ROWS($AH$2:AH474),$AH$2:$AH$1001,0),MATCH(COLUMNS($AO$1006:BA1006),$AO$1006:$BQ$1006,0)), HYPERLINK("#",""), HYPERLINK(CONCATENATE("#Metadata!", ADDRESS(INDEX($AJ$2:$AJ$1001,MATCH(ROWS($AH$2:AH474),$AH$2:$AH$1001,0),0), INDEX($AO$1004:$BQ$1004,1,MATCH(COLUMNS($AO$1006:BA1006),$AO$1006:$BQ$1006,0)))),"Fix")))</f>
        <v>#N/A</v>
      </c>
      <c r="O474" s="5" t="e">
        <f ca="1">IF(OR(INDEX($AI$2:$AI$1001,MATCH(ROWS($AH$2:AH474),$AH$2:$AH$1001,0),1)&gt;=100000,INDEX($AO$1005:$BQ$1005,1,MATCH(COLUMNS($AO$1006:BB1006),$AO$1006:$BQ$1006,0))&gt;=100000), " ",IF(INDEX($AO$2:$BQ$1001,MATCH(ROWS($AH$2:AH474),$AH$2:$AH$1001,0),MATCH(COLUMNS($AO$1006:BB1006),$AO$1006:$BQ$1006,0)), HYPERLINK("#",""), HYPERLINK(CONCATENATE("#Metadata!", ADDRESS(INDEX($AJ$2:$AJ$1001,MATCH(ROWS($AH$2:AH474),$AH$2:$AH$1001,0),0), INDEX($AO$1004:$BQ$1004,1,MATCH(COLUMNS($AO$1006:BB1006),$AO$1006:$BQ$1006,0)))),"Fix")))</f>
        <v>#N/A</v>
      </c>
      <c r="P474" s="5" t="e">
        <f ca="1">IF(OR(INDEX($AI$2:$AI$1001,MATCH(ROWS($AH$2:AH474),$AH$2:$AH$1001,0),1)&gt;=100000,INDEX($AO$1005:$BQ$1005,1,MATCH(COLUMNS($AO$1006:BC1006),$AO$1006:$BQ$1006,0))&gt;=100000), " ",IF(INDEX($AO$2:$BQ$1001,MATCH(ROWS($AH$2:AH474),$AH$2:$AH$1001,0),MATCH(COLUMNS($AO$1006:BC1006),$AO$1006:$BQ$1006,0)), HYPERLINK("#",""), HYPERLINK(CONCATENATE("#Metadata!", ADDRESS(INDEX($AJ$2:$AJ$1001,MATCH(ROWS($AH$2:AH474),$AH$2:$AH$1001,0),0), INDEX($AO$1004:$BQ$1004,1,MATCH(COLUMNS($AO$1006:BC1006),$AO$1006:$BQ$1006,0)))),"Fix")))</f>
        <v>#N/A</v>
      </c>
      <c r="Q474" s="5" t="e">
        <f ca="1">IF(OR(INDEX($AI$2:$AI$1001,MATCH(ROWS($AH$2:AH474),$AH$2:$AH$1001,0),1)&gt;=100000,INDEX($AO$1005:$BQ$1005,1,MATCH(COLUMNS($AO$1006:BD1006),$AO$1006:$BQ$1006,0))&gt;=100000), " ",IF(INDEX($AO$2:$BQ$1001,MATCH(ROWS($AH$2:AH474),$AH$2:$AH$1001,0),MATCH(COLUMNS($AO$1006:BD1006),$AO$1006:$BQ$1006,0)), HYPERLINK("#",""), HYPERLINK(CONCATENATE("#Metadata!", ADDRESS(INDEX($AJ$2:$AJ$1001,MATCH(ROWS($AH$2:AH474),$AH$2:$AH$1001,0),0), INDEX($AO$1004:$BQ$1004,1,MATCH(COLUMNS($AO$1006:BD1006),$AO$1006:$BQ$1006,0)))),"Fix")))</f>
        <v>#N/A</v>
      </c>
      <c r="R474" s="5" t="e">
        <f ca="1">IF(OR(INDEX($AI$2:$AI$1001,MATCH(ROWS($AH$2:AH474),$AH$2:$AH$1001,0),1)&gt;=100000,INDEX($AO$1005:$BQ$1005,1,MATCH(COLUMNS($AO$1006:BE1006),$AO$1006:$BQ$1006,0))&gt;=100000), " ",IF(INDEX($AO$2:$BQ$1001,MATCH(ROWS($AH$2:AH474),$AH$2:$AH$1001,0),MATCH(COLUMNS($AO$1006:BE1006),$AO$1006:$BQ$1006,0)), HYPERLINK("#",""), HYPERLINK(CONCATENATE("#Metadata!", ADDRESS(INDEX($AJ$2:$AJ$1001,MATCH(ROWS($AH$2:AH474),$AH$2:$AH$1001,0),0), INDEX($AO$1004:$BQ$1004,1,MATCH(COLUMNS($AO$1006:BE1006),$AO$1006:$BQ$1006,0)))),"Fix")))</f>
        <v>#N/A</v>
      </c>
      <c r="S474" s="5" t="e">
        <f ca="1">IF(OR(INDEX($AI$2:$AI$1001,MATCH(ROWS($AH$2:AH474),$AH$2:$AH$1001,0),1)&gt;=100000,INDEX($AO$1005:$BQ$1005,1,MATCH(COLUMNS($AO$1006:BF1006),$AO$1006:$BQ$1006,0))&gt;=100000), " ",IF(INDEX($AO$2:$BQ$1001,MATCH(ROWS($AH$2:AH474),$AH$2:$AH$1001,0),MATCH(COLUMNS($AO$1006:BF1006),$AO$1006:$BQ$1006,0)), HYPERLINK("#",""), HYPERLINK(CONCATENATE("#Metadata!", ADDRESS(INDEX($AJ$2:$AJ$1001,MATCH(ROWS($AH$2:AH474),$AH$2:$AH$1001,0),0), INDEX($AO$1004:$BQ$1004,1,MATCH(COLUMNS($AO$1006:BF1006),$AO$1006:$BQ$1006,0)))),"Fix")))</f>
        <v>#N/A</v>
      </c>
      <c r="T474" s="5" t="e">
        <f ca="1">IF(OR(INDEX($AI$2:$AI$1001,MATCH(ROWS($AH$2:AH474),$AH$2:$AH$1001,0),1)&gt;=100000,INDEX($AO$1005:$BQ$1005,1,MATCH(COLUMNS($AO$1006:BG1006),$AO$1006:$BQ$1006,0))&gt;=100000), " ",IF(INDEX($AO$2:$BQ$1001,MATCH(ROWS($AH$2:AH474),$AH$2:$AH$1001,0),MATCH(COLUMNS($AO$1006:BG1006),$AO$1006:$BQ$1006,0)), HYPERLINK("#",""), HYPERLINK(CONCATENATE("#Metadata!", ADDRESS(INDEX($AJ$2:$AJ$1001,MATCH(ROWS($AH$2:AH474),$AH$2:$AH$1001,0),0), INDEX($AO$1004:$BQ$1004,1,MATCH(COLUMNS($AO$1006:BG1006),$AO$1006:$BQ$1006,0)))),"Fix")))</f>
        <v>#N/A</v>
      </c>
      <c r="U474" s="5" t="e">
        <f ca="1">IF(OR(INDEX($AI$2:$AI$1001,MATCH(ROWS($AH$2:AH474),$AH$2:$AH$1001,0),1)&gt;=100000,INDEX($AO$1005:$BQ$1005,1,MATCH(COLUMNS($AO$1006:BH1006),$AO$1006:$BQ$1006,0))&gt;=100000), " ",IF(INDEX($AO$2:$BQ$1001,MATCH(ROWS($AH$2:AH474),$AH$2:$AH$1001,0),MATCH(COLUMNS($AO$1006:BH1006),$AO$1006:$BQ$1006,0)), HYPERLINK("#",""), HYPERLINK(CONCATENATE("#Metadata!", ADDRESS(INDEX($AJ$2:$AJ$1001,MATCH(ROWS($AH$2:AH474),$AH$2:$AH$1001,0),0), INDEX($AO$1004:$BQ$1004,1,MATCH(COLUMNS($AO$1006:BH1006),$AO$1006:$BQ$1006,0)))),"Fix")))</f>
        <v>#N/A</v>
      </c>
      <c r="V474" s="5" t="e">
        <f ca="1">IF(OR(INDEX($AI$2:$AI$1001,MATCH(ROWS($AH$2:AH474),$AH$2:$AH$1001,0),1)&gt;=100000,INDEX($AO$1005:$BQ$1005,1,MATCH(COLUMNS($AO$1006:BI1006),$AO$1006:$BQ$1006,0))&gt;=100000), " ",IF(INDEX($AO$2:$BQ$1001,MATCH(ROWS($AH$2:AH474),$AH$2:$AH$1001,0),MATCH(COLUMNS($AO$1006:BI1006),$AO$1006:$BQ$1006,0)), HYPERLINK("#",""), HYPERLINK(CONCATENATE("#Metadata!", ADDRESS(INDEX($AJ$2:$AJ$1001,MATCH(ROWS($AH$2:AH474),$AH$2:$AH$1001,0),0), INDEX($AO$1004:$BQ$1004,1,MATCH(COLUMNS($AO$1006:BI1006),$AO$1006:$BQ$1006,0)))),"Fix")))</f>
        <v>#N/A</v>
      </c>
      <c r="W474" s="5" t="e">
        <f ca="1">IF(OR(INDEX($AI$2:$AI$1001,MATCH(ROWS($AH$2:AH474),$AH$2:$AH$1001,0),1)&gt;=100000,INDEX($AO$1005:$BQ$1005,1,MATCH(COLUMNS($AO$1006:BJ1006),$AO$1006:$BQ$1006,0))&gt;=100000), " ",IF(INDEX($AO$2:$BQ$1001,MATCH(ROWS($AH$2:AH474),$AH$2:$AH$1001,0),MATCH(COLUMNS($AO$1006:BJ1006),$AO$1006:$BQ$1006,0)), HYPERLINK("#",""), HYPERLINK(CONCATENATE("#Metadata!", ADDRESS(INDEX($AJ$2:$AJ$1001,MATCH(ROWS($AH$2:AH474),$AH$2:$AH$1001,0),0), INDEX($AO$1004:$BQ$1004,1,MATCH(COLUMNS($AO$1006:BJ1006),$AO$1006:$BQ$1006,0)))),"Fix")))</f>
        <v>#N/A</v>
      </c>
      <c r="X474" s="5" t="e">
        <f ca="1">IF(OR(INDEX($AI$2:$AI$1001,MATCH(ROWS($AH$2:AH474),$AH$2:$AH$1001,0),1)&gt;=100000,INDEX($AO$1005:$BQ$1005,1,MATCH(COLUMNS($AO$1006:BK1006),$AO$1006:$BQ$1006,0))&gt;=100000), " ",IF(INDEX($AO$2:$BQ$1001,MATCH(ROWS($AH$2:AH474),$AH$2:$AH$1001,0),MATCH(COLUMNS($AO$1006:BK1006),$AO$1006:$BQ$1006,0)), HYPERLINK("#",""), HYPERLINK(CONCATENATE("#Metadata!", ADDRESS(INDEX($AJ$2:$AJ$1001,MATCH(ROWS($AH$2:AH474),$AH$2:$AH$1001,0),0), INDEX($AO$1004:$BQ$1004,1,MATCH(COLUMNS($AO$1006:BK1006),$AO$1006:$BQ$1006,0)))),"Fix")))</f>
        <v>#N/A</v>
      </c>
      <c r="Y474" s="5" t="e">
        <f ca="1">IF(OR(INDEX($AI$2:$AI$1001,MATCH(ROWS($AH$2:AH474),$AH$2:$AH$1001,0),1)&gt;=100000,INDEX($AO$1005:$BQ$1005,1,MATCH(COLUMNS($AO$1006:BL1006),$AO$1006:$BQ$1006,0))&gt;=100000), " ",IF(INDEX($AO$2:$BQ$1001,MATCH(ROWS($AH$2:AH474),$AH$2:$AH$1001,0),MATCH(COLUMNS($AO$1006:BL1006),$AO$1006:$BQ$1006,0)), HYPERLINK("#",""), HYPERLINK(CONCATENATE("#Metadata!", ADDRESS(INDEX($AJ$2:$AJ$1001,MATCH(ROWS($AH$2:AH474),$AH$2:$AH$1001,0),0), INDEX($AO$1004:$BQ$1004,1,MATCH(COLUMNS($AO$1006:BL1006),$AO$1006:$BQ$1006,0)))),"Fix")))</f>
        <v>#N/A</v>
      </c>
      <c r="Z474" s="5" t="e">
        <f ca="1">IF(OR(INDEX($AI$2:$AI$1001,MATCH(ROWS($AH$2:AH474),$AH$2:$AH$1001,0),1)&gt;=100000,INDEX($AO$1005:$BQ$1005,1,MATCH(COLUMNS($AO$1006:BM1006),$AO$1006:$BQ$1006,0))&gt;=100000), " ",IF(INDEX($AO$2:$BQ$1001,MATCH(ROWS($AH$2:AH474),$AH$2:$AH$1001,0),MATCH(COLUMNS($AO$1006:BM1006),$AO$1006:$BQ$1006,0)), HYPERLINK("#",""), HYPERLINK(CONCATENATE("#Metadata!", ADDRESS(INDEX($AJ$2:$AJ$1001,MATCH(ROWS($AH$2:AH474),$AH$2:$AH$1001,0),0), INDEX($AO$1004:$BQ$1004,1,MATCH(COLUMNS($AO$1006:BM1006),$AO$1006:$BQ$1006,0)))),"Fix")))</f>
        <v>#N/A</v>
      </c>
      <c r="AA474" s="5" t="e">
        <f ca="1">IF(OR(INDEX($AI$2:$AI$1001,MATCH(ROWS($AH$2:AH474),$AH$2:$AH$1001,0),1)&gt;=100000,INDEX($AO$1005:$BQ$1005,1,MATCH(COLUMNS($AO$1006:BN1006),$AO$1006:$BQ$1006,0))&gt;=100000), " ",IF(INDEX($AO$2:$BQ$1001,MATCH(ROWS($AH$2:AH474),$AH$2:$AH$1001,0),MATCH(COLUMNS($AO$1006:BN1006),$AO$1006:$BQ$1006,0)), HYPERLINK("#",""), HYPERLINK(CONCATENATE("#Metadata!", ADDRESS(INDEX($AJ$2:$AJ$1001,MATCH(ROWS($AH$2:AH474),$AH$2:$AH$1001,0),0), INDEX($AO$1004:$BQ$1004,1,MATCH(COLUMNS($AO$1006:BN1006),$AO$1006:$BQ$1006,0)))),"Fix")))</f>
        <v>#N/A</v>
      </c>
      <c r="AB474" s="5" t="e">
        <f ca="1">IF(OR(INDEX($AI$2:$AI$1001,MATCH(ROWS($AH$2:AH474),$AH$2:$AH$1001,0),1)&gt;=100000,INDEX($AO$1005:$BQ$1005,1,MATCH(COLUMNS($AO$1006:BO1006),$AO$1006:$BQ$1006,0))&gt;=100000), " ",IF(INDEX($AO$2:$BQ$1001,MATCH(ROWS($AH$2:AH474),$AH$2:$AH$1001,0),MATCH(COLUMNS($AO$1006:BO1006),$AO$1006:$BQ$1006,0)), HYPERLINK("#",""), HYPERLINK(CONCATENATE("#Metadata!", ADDRESS(INDEX($AJ$2:$AJ$1001,MATCH(ROWS($AH$2:AH474),$AH$2:$AH$1001,0),0), INDEX($AO$1004:$BQ$1004,1,MATCH(COLUMNS($AO$1006:BO1006),$AO$1006:$BQ$1006,0)))),"Fix")))</f>
        <v>#N/A</v>
      </c>
      <c r="AC474" s="5" t="e">
        <f ca="1">IF(OR(INDEX($AI$2:$AI$1001,MATCH(ROWS($AH$2:AH474),$AH$2:$AH$1001,0),1)&gt;=100000,INDEX($AO$1005:$BQ$1005,1,MATCH(COLUMNS($AO$1006:BP1006),$AO$1006:$BQ$1006,0))&gt;=100000), " ",IF(INDEX($AO$2:$BQ$1001,MATCH(ROWS($AH$2:AH474),$AH$2:$AH$1001,0),MATCH(COLUMNS($AO$1006:BP1006),$AO$1006:$BQ$1006,0)), HYPERLINK("#",""), HYPERLINK(CONCATENATE("#Metadata!", ADDRESS(INDEX($AJ$2:$AJ$1001,MATCH(ROWS($AH$2:AH474),$AH$2:$AH$1001,0),0), INDEX($AO$1004:$BQ$1004,1,MATCH(COLUMNS($AO$1006:BP1006),$AO$1006:$BQ$1006,0)))),"Fix")))</f>
        <v>#N/A</v>
      </c>
      <c r="AD474" s="5" t="e">
        <f ca="1">IF(OR(INDEX($AI$2:$AI$1001,MATCH(ROWS($AH$2:AH474),$AH$2:$AH$1001,0),1)&gt;=100000,INDEX($AO$1005:$BQ$1005,1,MATCH(COLUMNS($AO$1006:BQ1006),$AO$1006:$BQ$1006,0))&gt;=100000), " ",IF(INDEX($AO$2:$BQ$1001,MATCH(ROWS($AH$2:AH474),$AH$2:$AH$1001,0),MATCH(COLUMNS($AO$1006:BQ1006),$AO$1006:$BQ$1006,0)), HYPERLINK("#",""), HYPERLINK(CONCATENATE("#Metadata!", ADDRESS(INDEX($AJ$2:$AJ$1001,MATCH(ROWS($AH$2:AH474),$AH$2:$AH$1001,0),0), INDEX($AO$1004:$BQ$1004,1,MATCH(COLUMNS($AO$1006:BQ1006),$AO$1006:$BQ$1006,0)))),"Fix")))</f>
        <v>#REF!</v>
      </c>
      <c r="AH474">
        <f ca="1"/>
        <v>471</v>
      </c>
      <c r="AI474">
        <v>100474</v>
      </c>
      <c r="AJ474">
        <v>474</v>
      </c>
      <c r="AK474" t="b">
        <f t="shared" si="7"/>
        <v>1</v>
      </c>
      <c r="AL474" t="b">
        <f>COUNTBLANK(Metadata!B474:AD474)=COLUMNS(Metadata!B474:AD474)</f>
        <v>1</v>
      </c>
      <c r="AM474" t="str">
        <v/>
      </c>
      <c r="AO474" t="b">
        <f ca="1">AND(IF(Metadata!B474="",FALSE,TRUE),COUNTIF(Metadata!B:B, Metadata!B474) = 1,NOT(ISERROR(SUMPRODUCT(SEARCH(MID(Metadata!B474,ROW(INDIRECT("1:"&amp;LEN(Metadata!B474))), 1),"0123456789abcdefghijklmnopqrstuvwxyzABCDEFGHIJKLMNOPQRSTUVWXYZ.")))))</f>
        <v>0</v>
      </c>
      <c r="AP474" t="b">
        <f>IF(Metadata!C474="",FALSE,TRUE)</f>
        <v>0</v>
      </c>
      <c r="AQ474" t="b">
        <f>IF(Metadata!D474="",FALSE,TRUE)</f>
        <v>0</v>
      </c>
      <c r="AR474" t="b">
        <f ca="1">OR(AND(IF(Metadata!E474="",FALSE,TRUE),OR(EXACT(Metadata!E474,"not collected"),EXACT(Metadata!E474,"not provided"),EXACT(Metadata!E474,"restricted access"))),AND(IF(Metadata!E474="",FALSE,TRUE),AND(AND(IFERROR(INT(LEFT(Metadata!E474,4))&gt;1900,FALSE),IFERROR(INT(LEFT(Metadata!E474,4))&lt;=YEAR(NOW()),FALSE)), OR(MID(Metadata!E474,5,1)="", AND(AND(MID(Metadata!E474,5,1)="-",IFERROR(INT(MID(Metadata!E474,6,1))&gt;=0,FALSE),IFERROR(INT(MID(Metadata!E474,6,1))&lt;=1,FALSE),NOT(MID(Metadata!E474,7,1)=""),IFERROR(INT(MID(Metadata!E474,6,2))&gt;=1,FALSE),IFERROR(INT(MID(Metadata!E474,6,2))&lt;=12,FALSE)), OR(MID(Metadata!E474,8,1)="", AND(AND(MID(Metadata!E474,8,1)="-",IFERROR(INT(MID(Metadata!E474,9,1))&gt;=0,FALSE),IFERROR(INT(MID(Metadata!E474,9,1))&lt;=3,FALSE),NOT(MID(Metadata!E474,10,1)=""),IFERROR(INT(MID(Metadata!E474,9,2))&gt;=1,FALSE),IFERROR(INT(MID(Metadata!E474,9,2))&lt;=31,FALSE)), OR(MID(Metadata!E474,11,1)="", AND(AND(MID(Metadata!E474,11,1)=" ",IFERROR(INT(MID(Metadata!E474,12,1))&gt;=0,FALSE),IFERROR(INT(MID(Metadata!E474,12,1))&lt;=2,FALSE),NOT(MID(Metadata!E474,13,1)=""),IFERROR(INT(MID(Metadata!E474,12,2))&gt;=0,FALSE),IFERROR(INT(MID(Metadata!E474,12,2))&lt;=23,FALSE)), OR(MID(Metadata!E474,14,1)="", AND(AND(MID(Metadata!E474,14,1)=":",IFERROR(INT(MID(Metadata!E474,15,1))&gt;=0,FALSE),IFERROR(INT(MID(Metadata!E474,15,1))&lt;=5,FALSE),NOT(MID(Metadata!E474,16,1)=""),IFERROR(INT(MID(Metadata!E474,15,2))&gt;=0,FALSE),IFERROR(INT(MID(Metadata!E474,15,2))&lt;=59,FALSE)), OR(MID(Metadata!E474,17,1)="", AND(AND(MID(Metadata!E474,17,1)=":",IFERROR(INT(MID(Metadata!E474,18,1))&gt;=0,FALSE),IFERROR(INT(MID(Metadata!E474,18,1))&lt;=5,FALSE),NOT(MID(Metadata!E474,19,1)=""),IFERROR(INT(MID(Metadata!E474,18,2))&gt;=0,FALSE),IFERROR(INT(MID(Metadata!E474,18,2))&lt;=59,FALSE)), LEN(Metadata!E474)&lt;=19)))))))))))))</f>
        <v>0</v>
      </c>
      <c r="AS474" t="b">
        <f>IF(Metadata!F474="",FALSE,TRUE)</f>
        <v>0</v>
      </c>
      <c r="AT474" t="b">
        <f>OR(AND(IF(Metadata!G474="",FALSE,TRUE),OR(EXACT(Metadata!G474,"not collected"),EXACT(Metadata!G474,"not provided"))),AND(IF(Metadata!G474="",FALSE,TRUE),OR(EXACT(Metadata!G474,"TRUE"),EXACT(Metadata!G474,"FALSE"))))</f>
        <v>0</v>
      </c>
      <c r="AU474" t="b">
        <f>OR(AND(IF(Metadata!H474="",FALSE,TRUE),OR(EXACT(Metadata!H474,"not collected"),EXACT(Metadata!H474,"not provided"),EXACT(Metadata!H474,"restricted access"))),AND(IF(Metadata!H474="",FALSE,ISNUMBER(VALUE(Metadata!H474))),Metadata!H474&gt;=-413))</f>
        <v>0</v>
      </c>
      <c r="AV474" t="b">
        <f>AND(IF(Metadata!I474="",FALSE,TRUE),EXACT(Metadata!I474,"meters"))</f>
        <v>0</v>
      </c>
      <c r="AW474" t="b">
        <f>AND(IF(Metadata!J474="",FALSE,TRUE),EXACT(Metadata!J474,"free-living"))</f>
        <v>0</v>
      </c>
      <c r="AX474" t="b">
        <f>AND(IF(Metadata!K474="",FALSE,TRUE),OR(EXACT(Metadata!K474,"saline"),EXACT(Metadata!K474,"non-saline")))</f>
        <v>0</v>
      </c>
      <c r="AY474" t="b">
        <f>AND(IF(Metadata!L474="",FALSE,TRUE),OR(EXACT(Metadata!L474,"sub-surface (non-saline)"),EXACT(Metadata!L474,"surface (non-saline)"),EXACT(Metadata!L474,"water (non-saline)"),EXACT(Metadata!L474,"soil (non-saline)"),EXACT(Metadata!L474,"aerosol (non-saline)"),EXACT(Metadata!L474,"sediment (non-saline)"),EXACT(Metadata!L474,"surface (saline)"),EXACT(Metadata!L474,"water (saline)"),EXACT(Metadata!L474,"hypersaline (saline)"),EXACT(Metadata!L474,"aerosol (saline)"),EXACT(Metadata!L474,"sediment (saline)")))</f>
        <v>0</v>
      </c>
      <c r="AZ474" t="b">
        <f>IF(Metadata!M474="",FALSE,TRUE)</f>
        <v>0</v>
      </c>
      <c r="BA474" t="b">
        <f>IF(Metadata!N474="",FALSE,TRUE)</f>
        <v>0</v>
      </c>
      <c r="BB474" t="b">
        <f>IF(Metadata!O474="",FALSE,TRUE)</f>
        <v>0</v>
      </c>
      <c r="BC474" t="b">
        <f>AND(IF(Metadata!P474="",FALSE,TRUE),OR(EXACT(Metadata!P474,"air"),EXACT(Metadata!P474,"microbial mat/biofilm"),EXACT(Metadata!P474,"misc environment"),EXACT(Metadata!P474,"sediment"),EXACT(Metadata!P474,"soil"),EXACT(Metadata!P474,"wastewater/sludge"),EXACT(Metadata!P474,"water")))</f>
        <v>0</v>
      </c>
      <c r="BD474" t="b">
        <f>IF(Metadata!Q474="",FALSE,TRUE)</f>
        <v>0</v>
      </c>
      <c r="BE474" t="b">
        <f>IF(Metadata!R474="",FALSE,TRUE)</f>
        <v>0</v>
      </c>
      <c r="BF474" t="b">
        <f>OR(AND(IF(Metadata!S474="",FALSE,TRUE),OR(EXACT(Metadata!S474,"not collected"),EXACT(Metadata!S474,"not provided"),EXACT(Metadata!S474,"restricted access"))),AND(IF(Metadata!S474="",FALSE,ISNUMBER(VALUE(Metadata!S474))),Metadata!S474&gt;=-90,Metadata!S474&lt;=90))</f>
        <v>0</v>
      </c>
      <c r="BG474" t="b">
        <f>AND(IF(Metadata!T474="",FALSE,TRUE),EXACT(Metadata!T474,"Decimal degrees"))</f>
        <v>0</v>
      </c>
      <c r="BH474" t="b">
        <f>OR(AND(IF(Metadata!U474="",FALSE,TRUE),OR(EXACT(Metadata!U474,"not applicable"),EXACT(Metadata!U474,"not collected"))),IF(Metadata!U474="",FALSE,TRUE))</f>
        <v>0</v>
      </c>
      <c r="BI474" t="b">
        <f>OR(AND(IF(Metadata!V474="",FALSE,TRUE),OR(EXACT(Metadata!V474,"not collected"),EXACT(Metadata!V474,"not provided"),EXACT(Metadata!V474,"restricted access"))),AND(IF(Metadata!V474="",FALSE,ISNUMBER(VALUE(Metadata!V474))),Metadata!V474&gt;=-180,Metadata!V474&lt;=180))</f>
        <v>0</v>
      </c>
      <c r="BJ474" t="b">
        <f>AND(IF(Metadata!W474="",FALSE,TRUE),EXACT(Metadata!W474,"Decimal degrees"))</f>
        <v>0</v>
      </c>
      <c r="BK474" t="b">
        <f>IF(Metadata!X474="",FALSE,TRUE)</f>
        <v>0</v>
      </c>
      <c r="BL474" t="b">
        <f>OR(AND(IF(Metadata!Y474="",FALSE,TRUE),OR(EXACT(Metadata!Y474,"not collected"),EXACT(Metadata!Y474,"not provided"),EXACT(Metadata!Y474,"restricted access"))),AND(IF(Metadata!Y474="",FALSE,TRUE),OR(EXACT(Metadata!Y474,"TRUE"),EXACT(Metadata!Y474,"FALSE"))))</f>
        <v>0</v>
      </c>
      <c r="BM474" t="b">
        <f>OR(AND(IF(Metadata!Z474="",FALSE,TRUE),EXACT(Metadata!Z474,"not applicable")),AND(IF(Metadata!Z474="",FALSE,TRUE),OR(EXACT(Metadata!Z474,"beer"),EXACT(Metadata!Z474,"cheese"),EXACT(Metadata!Z474,"fresh water"),EXACT(Metadata!Z474,"marine sediment"),EXACT(Metadata!Z474,"sea water"),EXACT(Metadata!Z474,"sediment"),EXACT(Metadata!Z474,"soil"),EXACT(Metadata!Z474,"waste water"))))</f>
        <v>0</v>
      </c>
      <c r="BN474" t="b">
        <f>AND(IF(Metadata!AA474="",FALSE,TRUE),EXACT(Metadata!AA474,"metagenome"))</f>
        <v>0</v>
      </c>
      <c r="BO474" t="b">
        <f>AND(IF(Metadata!AB474="",FALSE,TRUE),EXACT(Metadata!AB474,"256318"))</f>
        <v>0</v>
      </c>
      <c r="BP474" t="b">
        <f>IF(Metadata!AC474="",FALSE,TRUE)</f>
        <v>0</v>
      </c>
      <c r="BQ474" t="b">
        <f>IF(Metadata!AD474="",FALSE,TRUE)</f>
        <v>0</v>
      </c>
    </row>
    <row r="475" spans="1:69" x14ac:dyDescent="0.2">
      <c r="A475" s="4" t="e">
        <f ca="1">IF(B475=" "," ",HYPERLINK(CONCATENATE("#metadata!",ADDRESS(INDEX($AJ$2:$AJ$1001,MATCH(ROWS($AH$2:AH475),$AH$2:$AH$1001,0),0),2)),INDEX($AM$2:$AM$1001,MATCH(ROWS($AH$2:AH475),$AH$2:$AH$1001,0),0)))</f>
        <v>#N/A</v>
      </c>
      <c r="B475" s="5" t="e">
        <f ca="1">IF(OR(INDEX($AI$2:$AI$1001,MATCH(ROWS($AH$2:AH475),$AH$2:$AH$1001,0),1)&gt;=100000,INDEX($AO$1005:$BQ$1005,1,MATCH(COLUMNS($AO$1006:AO1006),$AO$1006:$BQ$1006,0))&gt;=100000), " ",IF(INDEX($AO$2:$BQ$1001,MATCH(ROWS($AH$2:AH475),$AH$2:$AH$1001,0),MATCH(COLUMNS($AO$1006:AO1006),$AO$1006:$BQ$1006,0)), HYPERLINK("#",""), HYPERLINK(CONCATENATE("#Metadata!", ADDRESS(INDEX($AJ$2:$AJ$1001,MATCH(ROWS($AH$2:AH475),$AH$2:$AH$1001,0),0), INDEX($AO$1004:$BQ$1004,1,MATCH(COLUMNS($AO$1006:AO1006),$AO$1006:$BQ$1006,0)))),"Fix")))</f>
        <v>#N/A</v>
      </c>
      <c r="C475" s="5" t="e">
        <f ca="1">IF(OR(INDEX($AI$2:$AI$1001,MATCH(ROWS($AH$2:AH475),$AH$2:$AH$1001,0),1)&gt;=100000,INDEX($AO$1005:$BQ$1005,1,MATCH(COLUMNS($AO$1006:AP1006),$AO$1006:$BQ$1006,0))&gt;=100000), " ",IF(INDEX($AO$2:$BQ$1001,MATCH(ROWS($AH$2:AH475),$AH$2:$AH$1001,0),MATCH(COLUMNS($AO$1006:AP1006),$AO$1006:$BQ$1006,0)), HYPERLINK("#",""), HYPERLINK(CONCATENATE("#Metadata!", ADDRESS(INDEX($AJ$2:$AJ$1001,MATCH(ROWS($AH$2:AH475),$AH$2:$AH$1001,0),0), INDEX($AO$1004:$BQ$1004,1,MATCH(COLUMNS($AO$1006:AP1006),$AO$1006:$BQ$1006,0)))),"Fix")))</f>
        <v>#N/A</v>
      </c>
      <c r="D475" s="5" t="e">
        <f ca="1">IF(OR(INDEX($AI$2:$AI$1001,MATCH(ROWS($AH$2:AH475),$AH$2:$AH$1001,0),1)&gt;=100000,INDEX($AO$1005:$BQ$1005,1,MATCH(COLUMNS($AO$1006:AQ1006),$AO$1006:$BQ$1006,0))&gt;=100000), " ",IF(INDEX($AO$2:$BQ$1001,MATCH(ROWS($AH$2:AH475),$AH$2:$AH$1001,0),MATCH(COLUMNS($AO$1006:AQ1006),$AO$1006:$BQ$1006,0)), HYPERLINK("#",""), HYPERLINK(CONCATENATE("#Metadata!", ADDRESS(INDEX($AJ$2:$AJ$1001,MATCH(ROWS($AH$2:AH475),$AH$2:$AH$1001,0),0), INDEX($AO$1004:$BQ$1004,1,MATCH(COLUMNS($AO$1006:AQ1006),$AO$1006:$BQ$1006,0)))),"Fix")))</f>
        <v>#N/A</v>
      </c>
      <c r="E475" s="5" t="e">
        <f ca="1">IF(OR(INDEX($AI$2:$AI$1001,MATCH(ROWS($AH$2:AH475),$AH$2:$AH$1001,0),1)&gt;=100000,INDEX($AO$1005:$BQ$1005,1,MATCH(COLUMNS($AO$1006:AR1006),$AO$1006:$BQ$1006,0))&gt;=100000), " ",IF(INDEX($AO$2:$BQ$1001,MATCH(ROWS($AH$2:AH475),$AH$2:$AH$1001,0),MATCH(COLUMNS($AO$1006:AR1006),$AO$1006:$BQ$1006,0)), HYPERLINK("#",""), HYPERLINK(CONCATENATE("#Metadata!", ADDRESS(INDEX($AJ$2:$AJ$1001,MATCH(ROWS($AH$2:AH475),$AH$2:$AH$1001,0),0), INDEX($AO$1004:$BQ$1004,1,MATCH(COLUMNS($AO$1006:AR1006),$AO$1006:$BQ$1006,0)))),"Fix")))</f>
        <v>#N/A</v>
      </c>
      <c r="F475" s="5" t="e">
        <f ca="1">IF(OR(INDEX($AI$2:$AI$1001,MATCH(ROWS($AH$2:AH475),$AH$2:$AH$1001,0),1)&gt;=100000,INDEX($AO$1005:$BQ$1005,1,MATCH(COLUMNS($AO$1006:AS1006),$AO$1006:$BQ$1006,0))&gt;=100000), " ",IF(INDEX($AO$2:$BQ$1001,MATCH(ROWS($AH$2:AH475),$AH$2:$AH$1001,0),MATCH(COLUMNS($AO$1006:AS1006),$AO$1006:$BQ$1006,0)), HYPERLINK("#",""), HYPERLINK(CONCATENATE("#Metadata!", ADDRESS(INDEX($AJ$2:$AJ$1001,MATCH(ROWS($AH$2:AH475),$AH$2:$AH$1001,0),0), INDEX($AO$1004:$BQ$1004,1,MATCH(COLUMNS($AO$1006:AS1006),$AO$1006:$BQ$1006,0)))),"Fix")))</f>
        <v>#N/A</v>
      </c>
      <c r="G475" s="5" t="e">
        <f ca="1">IF(OR(INDEX($AI$2:$AI$1001,MATCH(ROWS($AH$2:AH475),$AH$2:$AH$1001,0),1)&gt;=100000,INDEX($AO$1005:$BQ$1005,1,MATCH(COLUMNS($AO$1006:AT1006),$AO$1006:$BQ$1006,0))&gt;=100000), " ",IF(INDEX($AO$2:$BQ$1001,MATCH(ROWS($AH$2:AH475),$AH$2:$AH$1001,0),MATCH(COLUMNS($AO$1006:AT1006),$AO$1006:$BQ$1006,0)), HYPERLINK("#",""), HYPERLINK(CONCATENATE("#Metadata!", ADDRESS(INDEX($AJ$2:$AJ$1001,MATCH(ROWS($AH$2:AH475),$AH$2:$AH$1001,0),0), INDEX($AO$1004:$BQ$1004,1,MATCH(COLUMNS($AO$1006:AT1006),$AO$1006:$BQ$1006,0)))),"Fix")))</f>
        <v>#N/A</v>
      </c>
      <c r="H475" s="5" t="e">
        <f ca="1">IF(OR(INDEX($AI$2:$AI$1001,MATCH(ROWS($AH$2:AH475),$AH$2:$AH$1001,0),1)&gt;=100000,INDEX($AO$1005:$BQ$1005,1,MATCH(COLUMNS($AO$1006:AU1006),$AO$1006:$BQ$1006,0))&gt;=100000), " ",IF(INDEX($AO$2:$BQ$1001,MATCH(ROWS($AH$2:AH475),$AH$2:$AH$1001,0),MATCH(COLUMNS($AO$1006:AU1006),$AO$1006:$BQ$1006,0)), HYPERLINK("#",""), HYPERLINK(CONCATENATE("#Metadata!", ADDRESS(INDEX($AJ$2:$AJ$1001,MATCH(ROWS($AH$2:AH475),$AH$2:$AH$1001,0),0), INDEX($AO$1004:$BQ$1004,1,MATCH(COLUMNS($AO$1006:AU1006),$AO$1006:$BQ$1006,0)))),"Fix")))</f>
        <v>#N/A</v>
      </c>
      <c r="I475" s="5" t="e">
        <f ca="1">IF(OR(INDEX($AI$2:$AI$1001,MATCH(ROWS($AH$2:AH475),$AH$2:$AH$1001,0),1)&gt;=100000,INDEX($AO$1005:$BQ$1005,1,MATCH(COLUMNS($AO$1006:AV1006),$AO$1006:$BQ$1006,0))&gt;=100000), " ",IF(INDEX($AO$2:$BQ$1001,MATCH(ROWS($AH$2:AH475),$AH$2:$AH$1001,0),MATCH(COLUMNS($AO$1006:AV1006),$AO$1006:$BQ$1006,0)), HYPERLINK("#",""), HYPERLINK(CONCATENATE("#Metadata!", ADDRESS(INDEX($AJ$2:$AJ$1001,MATCH(ROWS($AH$2:AH475),$AH$2:$AH$1001,0),0), INDEX($AO$1004:$BQ$1004,1,MATCH(COLUMNS($AO$1006:AV1006),$AO$1006:$BQ$1006,0)))),"Fix")))</f>
        <v>#N/A</v>
      </c>
      <c r="J475" s="5" t="e">
        <f ca="1">IF(OR(INDEX($AI$2:$AI$1001,MATCH(ROWS($AH$2:AH475),$AH$2:$AH$1001,0),1)&gt;=100000,INDEX($AO$1005:$BQ$1005,1,MATCH(COLUMNS($AO$1006:AW1006),$AO$1006:$BQ$1006,0))&gt;=100000), " ",IF(INDEX($AO$2:$BQ$1001,MATCH(ROWS($AH$2:AH475),$AH$2:$AH$1001,0),MATCH(COLUMNS($AO$1006:AW1006),$AO$1006:$BQ$1006,0)), HYPERLINK("#",""), HYPERLINK(CONCATENATE("#Metadata!", ADDRESS(INDEX($AJ$2:$AJ$1001,MATCH(ROWS($AH$2:AH475),$AH$2:$AH$1001,0),0), INDEX($AO$1004:$BQ$1004,1,MATCH(COLUMNS($AO$1006:AW1006),$AO$1006:$BQ$1006,0)))),"Fix")))</f>
        <v>#N/A</v>
      </c>
      <c r="K475" s="5" t="e">
        <f ca="1">IF(OR(INDEX($AI$2:$AI$1001,MATCH(ROWS($AH$2:AH475),$AH$2:$AH$1001,0),1)&gt;=100000,INDEX($AO$1005:$BQ$1005,1,MATCH(COLUMNS($AO$1006:AX1006),$AO$1006:$BQ$1006,0))&gt;=100000), " ",IF(INDEX($AO$2:$BQ$1001,MATCH(ROWS($AH$2:AH475),$AH$2:$AH$1001,0),MATCH(COLUMNS($AO$1006:AX1006),$AO$1006:$BQ$1006,0)), HYPERLINK("#",""), HYPERLINK(CONCATENATE("#Metadata!", ADDRESS(INDEX($AJ$2:$AJ$1001,MATCH(ROWS($AH$2:AH475),$AH$2:$AH$1001,0),0), INDEX($AO$1004:$BQ$1004,1,MATCH(COLUMNS($AO$1006:AX1006),$AO$1006:$BQ$1006,0)))),"Fix")))</f>
        <v>#N/A</v>
      </c>
      <c r="L475" s="5" t="e">
        <f ca="1">IF(OR(INDEX($AI$2:$AI$1001,MATCH(ROWS($AH$2:AH475),$AH$2:$AH$1001,0),1)&gt;=100000,INDEX($AO$1005:$BQ$1005,1,MATCH(COLUMNS($AO$1006:AY1006),$AO$1006:$BQ$1006,0))&gt;=100000), " ",IF(INDEX($AO$2:$BQ$1001,MATCH(ROWS($AH$2:AH475),$AH$2:$AH$1001,0),MATCH(COLUMNS($AO$1006:AY1006),$AO$1006:$BQ$1006,0)), HYPERLINK("#",""), HYPERLINK(CONCATENATE("#Metadata!", ADDRESS(INDEX($AJ$2:$AJ$1001,MATCH(ROWS($AH$2:AH475),$AH$2:$AH$1001,0),0), INDEX($AO$1004:$BQ$1004,1,MATCH(COLUMNS($AO$1006:AY1006),$AO$1006:$BQ$1006,0)))),"Fix")))</f>
        <v>#N/A</v>
      </c>
      <c r="M475" s="5" t="e">
        <f ca="1">IF(OR(INDEX($AI$2:$AI$1001,MATCH(ROWS($AH$2:AH475),$AH$2:$AH$1001,0),1)&gt;=100000,INDEX($AO$1005:$BQ$1005,1,MATCH(COLUMNS($AO$1006:AZ1006),$AO$1006:$BQ$1006,0))&gt;=100000), " ",IF(INDEX($AO$2:$BQ$1001,MATCH(ROWS($AH$2:AH475),$AH$2:$AH$1001,0),MATCH(COLUMNS($AO$1006:AZ1006),$AO$1006:$BQ$1006,0)), HYPERLINK("#",""), HYPERLINK(CONCATENATE("#Metadata!", ADDRESS(INDEX($AJ$2:$AJ$1001,MATCH(ROWS($AH$2:AH475),$AH$2:$AH$1001,0),0), INDEX($AO$1004:$BQ$1004,1,MATCH(COLUMNS($AO$1006:AZ1006),$AO$1006:$BQ$1006,0)))),"Fix")))</f>
        <v>#N/A</v>
      </c>
      <c r="N475" s="5" t="e">
        <f ca="1">IF(OR(INDEX($AI$2:$AI$1001,MATCH(ROWS($AH$2:AH475),$AH$2:$AH$1001,0),1)&gt;=100000,INDEX($AO$1005:$BQ$1005,1,MATCH(COLUMNS($AO$1006:BA1006),$AO$1006:$BQ$1006,0))&gt;=100000), " ",IF(INDEX($AO$2:$BQ$1001,MATCH(ROWS($AH$2:AH475),$AH$2:$AH$1001,0),MATCH(COLUMNS($AO$1006:BA1006),$AO$1006:$BQ$1006,0)), HYPERLINK("#",""), HYPERLINK(CONCATENATE("#Metadata!", ADDRESS(INDEX($AJ$2:$AJ$1001,MATCH(ROWS($AH$2:AH475),$AH$2:$AH$1001,0),0), INDEX($AO$1004:$BQ$1004,1,MATCH(COLUMNS($AO$1006:BA1006),$AO$1006:$BQ$1006,0)))),"Fix")))</f>
        <v>#N/A</v>
      </c>
      <c r="O475" s="5" t="e">
        <f ca="1">IF(OR(INDEX($AI$2:$AI$1001,MATCH(ROWS($AH$2:AH475),$AH$2:$AH$1001,0),1)&gt;=100000,INDEX($AO$1005:$BQ$1005,1,MATCH(COLUMNS($AO$1006:BB1006),$AO$1006:$BQ$1006,0))&gt;=100000), " ",IF(INDEX($AO$2:$BQ$1001,MATCH(ROWS($AH$2:AH475),$AH$2:$AH$1001,0),MATCH(COLUMNS($AO$1006:BB1006),$AO$1006:$BQ$1006,0)), HYPERLINK("#",""), HYPERLINK(CONCATENATE("#Metadata!", ADDRESS(INDEX($AJ$2:$AJ$1001,MATCH(ROWS($AH$2:AH475),$AH$2:$AH$1001,0),0), INDEX($AO$1004:$BQ$1004,1,MATCH(COLUMNS($AO$1006:BB1006),$AO$1006:$BQ$1006,0)))),"Fix")))</f>
        <v>#N/A</v>
      </c>
      <c r="P475" s="5" t="e">
        <f ca="1">IF(OR(INDEX($AI$2:$AI$1001,MATCH(ROWS($AH$2:AH475),$AH$2:$AH$1001,0),1)&gt;=100000,INDEX($AO$1005:$BQ$1005,1,MATCH(COLUMNS($AO$1006:BC1006),$AO$1006:$BQ$1006,0))&gt;=100000), " ",IF(INDEX($AO$2:$BQ$1001,MATCH(ROWS($AH$2:AH475),$AH$2:$AH$1001,0),MATCH(COLUMNS($AO$1006:BC1006),$AO$1006:$BQ$1006,0)), HYPERLINK("#",""), HYPERLINK(CONCATENATE("#Metadata!", ADDRESS(INDEX($AJ$2:$AJ$1001,MATCH(ROWS($AH$2:AH475),$AH$2:$AH$1001,0),0), INDEX($AO$1004:$BQ$1004,1,MATCH(COLUMNS($AO$1006:BC1006),$AO$1006:$BQ$1006,0)))),"Fix")))</f>
        <v>#N/A</v>
      </c>
      <c r="Q475" s="5" t="e">
        <f ca="1">IF(OR(INDEX($AI$2:$AI$1001,MATCH(ROWS($AH$2:AH475),$AH$2:$AH$1001,0),1)&gt;=100000,INDEX($AO$1005:$BQ$1005,1,MATCH(COLUMNS($AO$1006:BD1006),$AO$1006:$BQ$1006,0))&gt;=100000), " ",IF(INDEX($AO$2:$BQ$1001,MATCH(ROWS($AH$2:AH475),$AH$2:$AH$1001,0),MATCH(COLUMNS($AO$1006:BD1006),$AO$1006:$BQ$1006,0)), HYPERLINK("#",""), HYPERLINK(CONCATENATE("#Metadata!", ADDRESS(INDEX($AJ$2:$AJ$1001,MATCH(ROWS($AH$2:AH475),$AH$2:$AH$1001,0),0), INDEX($AO$1004:$BQ$1004,1,MATCH(COLUMNS($AO$1006:BD1006),$AO$1006:$BQ$1006,0)))),"Fix")))</f>
        <v>#N/A</v>
      </c>
      <c r="R475" s="5" t="e">
        <f ca="1">IF(OR(INDEX($AI$2:$AI$1001,MATCH(ROWS($AH$2:AH475),$AH$2:$AH$1001,0),1)&gt;=100000,INDEX($AO$1005:$BQ$1005,1,MATCH(COLUMNS($AO$1006:BE1006),$AO$1006:$BQ$1006,0))&gt;=100000), " ",IF(INDEX($AO$2:$BQ$1001,MATCH(ROWS($AH$2:AH475),$AH$2:$AH$1001,0),MATCH(COLUMNS($AO$1006:BE1006),$AO$1006:$BQ$1006,0)), HYPERLINK("#",""), HYPERLINK(CONCATENATE("#Metadata!", ADDRESS(INDEX($AJ$2:$AJ$1001,MATCH(ROWS($AH$2:AH475),$AH$2:$AH$1001,0),0), INDEX($AO$1004:$BQ$1004,1,MATCH(COLUMNS($AO$1006:BE1006),$AO$1006:$BQ$1006,0)))),"Fix")))</f>
        <v>#N/A</v>
      </c>
      <c r="S475" s="5" t="e">
        <f ca="1">IF(OR(INDEX($AI$2:$AI$1001,MATCH(ROWS($AH$2:AH475),$AH$2:$AH$1001,0),1)&gt;=100000,INDEX($AO$1005:$BQ$1005,1,MATCH(COLUMNS($AO$1006:BF1006),$AO$1006:$BQ$1006,0))&gt;=100000), " ",IF(INDEX($AO$2:$BQ$1001,MATCH(ROWS($AH$2:AH475),$AH$2:$AH$1001,0),MATCH(COLUMNS($AO$1006:BF1006),$AO$1006:$BQ$1006,0)), HYPERLINK("#",""), HYPERLINK(CONCATENATE("#Metadata!", ADDRESS(INDEX($AJ$2:$AJ$1001,MATCH(ROWS($AH$2:AH475),$AH$2:$AH$1001,0),0), INDEX($AO$1004:$BQ$1004,1,MATCH(COLUMNS($AO$1006:BF1006),$AO$1006:$BQ$1006,0)))),"Fix")))</f>
        <v>#N/A</v>
      </c>
      <c r="T475" s="5" t="e">
        <f ca="1">IF(OR(INDEX($AI$2:$AI$1001,MATCH(ROWS($AH$2:AH475),$AH$2:$AH$1001,0),1)&gt;=100000,INDEX($AO$1005:$BQ$1005,1,MATCH(COLUMNS($AO$1006:BG1006),$AO$1006:$BQ$1006,0))&gt;=100000), " ",IF(INDEX($AO$2:$BQ$1001,MATCH(ROWS($AH$2:AH475),$AH$2:$AH$1001,0),MATCH(COLUMNS($AO$1006:BG1006),$AO$1006:$BQ$1006,0)), HYPERLINK("#",""), HYPERLINK(CONCATENATE("#Metadata!", ADDRESS(INDEX($AJ$2:$AJ$1001,MATCH(ROWS($AH$2:AH475),$AH$2:$AH$1001,0),0), INDEX($AO$1004:$BQ$1004,1,MATCH(COLUMNS($AO$1006:BG1006),$AO$1006:$BQ$1006,0)))),"Fix")))</f>
        <v>#N/A</v>
      </c>
      <c r="U475" s="5" t="e">
        <f ca="1">IF(OR(INDEX($AI$2:$AI$1001,MATCH(ROWS($AH$2:AH475),$AH$2:$AH$1001,0),1)&gt;=100000,INDEX($AO$1005:$BQ$1005,1,MATCH(COLUMNS($AO$1006:BH1006),$AO$1006:$BQ$1006,0))&gt;=100000), " ",IF(INDEX($AO$2:$BQ$1001,MATCH(ROWS($AH$2:AH475),$AH$2:$AH$1001,0),MATCH(COLUMNS($AO$1006:BH1006),$AO$1006:$BQ$1006,0)), HYPERLINK("#",""), HYPERLINK(CONCATENATE("#Metadata!", ADDRESS(INDEX($AJ$2:$AJ$1001,MATCH(ROWS($AH$2:AH475),$AH$2:$AH$1001,0),0), INDEX($AO$1004:$BQ$1004,1,MATCH(COLUMNS($AO$1006:BH1006),$AO$1006:$BQ$1006,0)))),"Fix")))</f>
        <v>#N/A</v>
      </c>
      <c r="V475" s="5" t="e">
        <f ca="1">IF(OR(INDEX($AI$2:$AI$1001,MATCH(ROWS($AH$2:AH475),$AH$2:$AH$1001,0),1)&gt;=100000,INDEX($AO$1005:$BQ$1005,1,MATCH(COLUMNS($AO$1006:BI1006),$AO$1006:$BQ$1006,0))&gt;=100000), " ",IF(INDEX($AO$2:$BQ$1001,MATCH(ROWS($AH$2:AH475),$AH$2:$AH$1001,0),MATCH(COLUMNS($AO$1006:BI1006),$AO$1006:$BQ$1006,0)), HYPERLINK("#",""), HYPERLINK(CONCATENATE("#Metadata!", ADDRESS(INDEX($AJ$2:$AJ$1001,MATCH(ROWS($AH$2:AH475),$AH$2:$AH$1001,0),0), INDEX($AO$1004:$BQ$1004,1,MATCH(COLUMNS($AO$1006:BI1006),$AO$1006:$BQ$1006,0)))),"Fix")))</f>
        <v>#N/A</v>
      </c>
      <c r="W475" s="5" t="e">
        <f ca="1">IF(OR(INDEX($AI$2:$AI$1001,MATCH(ROWS($AH$2:AH475),$AH$2:$AH$1001,0),1)&gt;=100000,INDEX($AO$1005:$BQ$1005,1,MATCH(COLUMNS($AO$1006:BJ1006),$AO$1006:$BQ$1006,0))&gt;=100000), " ",IF(INDEX($AO$2:$BQ$1001,MATCH(ROWS($AH$2:AH475),$AH$2:$AH$1001,0),MATCH(COLUMNS($AO$1006:BJ1006),$AO$1006:$BQ$1006,0)), HYPERLINK("#",""), HYPERLINK(CONCATENATE("#Metadata!", ADDRESS(INDEX($AJ$2:$AJ$1001,MATCH(ROWS($AH$2:AH475),$AH$2:$AH$1001,0),0), INDEX($AO$1004:$BQ$1004,1,MATCH(COLUMNS($AO$1006:BJ1006),$AO$1006:$BQ$1006,0)))),"Fix")))</f>
        <v>#N/A</v>
      </c>
      <c r="X475" s="5" t="e">
        <f ca="1">IF(OR(INDEX($AI$2:$AI$1001,MATCH(ROWS($AH$2:AH475),$AH$2:$AH$1001,0),1)&gt;=100000,INDEX($AO$1005:$BQ$1005,1,MATCH(COLUMNS($AO$1006:BK1006),$AO$1006:$BQ$1006,0))&gt;=100000), " ",IF(INDEX($AO$2:$BQ$1001,MATCH(ROWS($AH$2:AH475),$AH$2:$AH$1001,0),MATCH(COLUMNS($AO$1006:BK1006),$AO$1006:$BQ$1006,0)), HYPERLINK("#",""), HYPERLINK(CONCATENATE("#Metadata!", ADDRESS(INDEX($AJ$2:$AJ$1001,MATCH(ROWS($AH$2:AH475),$AH$2:$AH$1001,0),0), INDEX($AO$1004:$BQ$1004,1,MATCH(COLUMNS($AO$1006:BK1006),$AO$1006:$BQ$1006,0)))),"Fix")))</f>
        <v>#N/A</v>
      </c>
      <c r="Y475" s="5" t="e">
        <f ca="1">IF(OR(INDEX($AI$2:$AI$1001,MATCH(ROWS($AH$2:AH475),$AH$2:$AH$1001,0),1)&gt;=100000,INDEX($AO$1005:$BQ$1005,1,MATCH(COLUMNS($AO$1006:BL1006),$AO$1006:$BQ$1006,0))&gt;=100000), " ",IF(INDEX($AO$2:$BQ$1001,MATCH(ROWS($AH$2:AH475),$AH$2:$AH$1001,0),MATCH(COLUMNS($AO$1006:BL1006),$AO$1006:$BQ$1006,0)), HYPERLINK("#",""), HYPERLINK(CONCATENATE("#Metadata!", ADDRESS(INDEX($AJ$2:$AJ$1001,MATCH(ROWS($AH$2:AH475),$AH$2:$AH$1001,0),0), INDEX($AO$1004:$BQ$1004,1,MATCH(COLUMNS($AO$1006:BL1006),$AO$1006:$BQ$1006,0)))),"Fix")))</f>
        <v>#N/A</v>
      </c>
      <c r="Z475" s="5" t="e">
        <f ca="1">IF(OR(INDEX($AI$2:$AI$1001,MATCH(ROWS($AH$2:AH475),$AH$2:$AH$1001,0),1)&gt;=100000,INDEX($AO$1005:$BQ$1005,1,MATCH(COLUMNS($AO$1006:BM1006),$AO$1006:$BQ$1006,0))&gt;=100000), " ",IF(INDEX($AO$2:$BQ$1001,MATCH(ROWS($AH$2:AH475),$AH$2:$AH$1001,0),MATCH(COLUMNS($AO$1006:BM1006),$AO$1006:$BQ$1006,0)), HYPERLINK("#",""), HYPERLINK(CONCATENATE("#Metadata!", ADDRESS(INDEX($AJ$2:$AJ$1001,MATCH(ROWS($AH$2:AH475),$AH$2:$AH$1001,0),0), INDEX($AO$1004:$BQ$1004,1,MATCH(COLUMNS($AO$1006:BM1006),$AO$1006:$BQ$1006,0)))),"Fix")))</f>
        <v>#N/A</v>
      </c>
      <c r="AA475" s="5" t="e">
        <f ca="1">IF(OR(INDEX($AI$2:$AI$1001,MATCH(ROWS($AH$2:AH475),$AH$2:$AH$1001,0),1)&gt;=100000,INDEX($AO$1005:$BQ$1005,1,MATCH(COLUMNS($AO$1006:BN1006),$AO$1006:$BQ$1006,0))&gt;=100000), " ",IF(INDEX($AO$2:$BQ$1001,MATCH(ROWS($AH$2:AH475),$AH$2:$AH$1001,0),MATCH(COLUMNS($AO$1006:BN1006),$AO$1006:$BQ$1006,0)), HYPERLINK("#",""), HYPERLINK(CONCATENATE("#Metadata!", ADDRESS(INDEX($AJ$2:$AJ$1001,MATCH(ROWS($AH$2:AH475),$AH$2:$AH$1001,0),0), INDEX($AO$1004:$BQ$1004,1,MATCH(COLUMNS($AO$1006:BN1006),$AO$1006:$BQ$1006,0)))),"Fix")))</f>
        <v>#N/A</v>
      </c>
      <c r="AB475" s="5" t="e">
        <f ca="1">IF(OR(INDEX($AI$2:$AI$1001,MATCH(ROWS($AH$2:AH475),$AH$2:$AH$1001,0),1)&gt;=100000,INDEX($AO$1005:$BQ$1005,1,MATCH(COLUMNS($AO$1006:BO1006),$AO$1006:$BQ$1006,0))&gt;=100000), " ",IF(INDEX($AO$2:$BQ$1001,MATCH(ROWS($AH$2:AH475),$AH$2:$AH$1001,0),MATCH(COLUMNS($AO$1006:BO1006),$AO$1006:$BQ$1006,0)), HYPERLINK("#",""), HYPERLINK(CONCATENATE("#Metadata!", ADDRESS(INDEX($AJ$2:$AJ$1001,MATCH(ROWS($AH$2:AH475),$AH$2:$AH$1001,0),0), INDEX($AO$1004:$BQ$1004,1,MATCH(COLUMNS($AO$1006:BO1006),$AO$1006:$BQ$1006,0)))),"Fix")))</f>
        <v>#N/A</v>
      </c>
      <c r="AC475" s="5" t="e">
        <f ca="1">IF(OR(INDEX($AI$2:$AI$1001,MATCH(ROWS($AH$2:AH475),$AH$2:$AH$1001,0),1)&gt;=100000,INDEX($AO$1005:$BQ$1005,1,MATCH(COLUMNS($AO$1006:BP1006),$AO$1006:$BQ$1006,0))&gt;=100000), " ",IF(INDEX($AO$2:$BQ$1001,MATCH(ROWS($AH$2:AH475),$AH$2:$AH$1001,0),MATCH(COLUMNS($AO$1006:BP1006),$AO$1006:$BQ$1006,0)), HYPERLINK("#",""), HYPERLINK(CONCATENATE("#Metadata!", ADDRESS(INDEX($AJ$2:$AJ$1001,MATCH(ROWS($AH$2:AH475),$AH$2:$AH$1001,0),0), INDEX($AO$1004:$BQ$1004,1,MATCH(COLUMNS($AO$1006:BP1006),$AO$1006:$BQ$1006,0)))),"Fix")))</f>
        <v>#N/A</v>
      </c>
      <c r="AD475" s="5" t="e">
        <f ca="1">IF(OR(INDEX($AI$2:$AI$1001,MATCH(ROWS($AH$2:AH475),$AH$2:$AH$1001,0),1)&gt;=100000,INDEX($AO$1005:$BQ$1005,1,MATCH(COLUMNS($AO$1006:BQ1006),$AO$1006:$BQ$1006,0))&gt;=100000), " ",IF(INDEX($AO$2:$BQ$1001,MATCH(ROWS($AH$2:AH475),$AH$2:$AH$1001,0),MATCH(COLUMNS($AO$1006:BQ1006),$AO$1006:$BQ$1006,0)), HYPERLINK("#",""), HYPERLINK(CONCATENATE("#Metadata!", ADDRESS(INDEX($AJ$2:$AJ$1001,MATCH(ROWS($AH$2:AH475),$AH$2:$AH$1001,0),0), INDEX($AO$1004:$BQ$1004,1,MATCH(COLUMNS($AO$1006:BQ1006),$AO$1006:$BQ$1006,0)))),"Fix")))</f>
        <v>#REF!</v>
      </c>
      <c r="AH475">
        <f ca="1"/>
        <v>472</v>
      </c>
      <c r="AI475">
        <v>100475</v>
      </c>
      <c r="AJ475">
        <v>475</v>
      </c>
      <c r="AK475" t="b">
        <f t="shared" si="7"/>
        <v>1</v>
      </c>
      <c r="AL475" t="b">
        <f>COUNTBLANK(Metadata!B475:AD475)=COLUMNS(Metadata!B475:AD475)</f>
        <v>1</v>
      </c>
      <c r="AM475" t="str">
        <v/>
      </c>
      <c r="AO475" t="b">
        <f ca="1">AND(IF(Metadata!B475="",FALSE,TRUE),COUNTIF(Metadata!B:B, Metadata!B475) = 1,NOT(ISERROR(SUMPRODUCT(SEARCH(MID(Metadata!B475,ROW(INDIRECT("1:"&amp;LEN(Metadata!B475))), 1),"0123456789abcdefghijklmnopqrstuvwxyzABCDEFGHIJKLMNOPQRSTUVWXYZ.")))))</f>
        <v>0</v>
      </c>
      <c r="AP475" t="b">
        <f>IF(Metadata!C475="",FALSE,TRUE)</f>
        <v>0</v>
      </c>
      <c r="AQ475" t="b">
        <f>IF(Metadata!D475="",FALSE,TRUE)</f>
        <v>0</v>
      </c>
      <c r="AR475" t="b">
        <f ca="1">OR(AND(IF(Metadata!E475="",FALSE,TRUE),OR(EXACT(Metadata!E475,"not collected"),EXACT(Metadata!E475,"not provided"),EXACT(Metadata!E475,"restricted access"))),AND(IF(Metadata!E475="",FALSE,TRUE),AND(AND(IFERROR(INT(LEFT(Metadata!E475,4))&gt;1900,FALSE),IFERROR(INT(LEFT(Metadata!E475,4))&lt;=YEAR(NOW()),FALSE)), OR(MID(Metadata!E475,5,1)="", AND(AND(MID(Metadata!E475,5,1)="-",IFERROR(INT(MID(Metadata!E475,6,1))&gt;=0,FALSE),IFERROR(INT(MID(Metadata!E475,6,1))&lt;=1,FALSE),NOT(MID(Metadata!E475,7,1)=""),IFERROR(INT(MID(Metadata!E475,6,2))&gt;=1,FALSE),IFERROR(INT(MID(Metadata!E475,6,2))&lt;=12,FALSE)), OR(MID(Metadata!E475,8,1)="", AND(AND(MID(Metadata!E475,8,1)="-",IFERROR(INT(MID(Metadata!E475,9,1))&gt;=0,FALSE),IFERROR(INT(MID(Metadata!E475,9,1))&lt;=3,FALSE),NOT(MID(Metadata!E475,10,1)=""),IFERROR(INT(MID(Metadata!E475,9,2))&gt;=1,FALSE),IFERROR(INT(MID(Metadata!E475,9,2))&lt;=31,FALSE)), OR(MID(Metadata!E475,11,1)="", AND(AND(MID(Metadata!E475,11,1)=" ",IFERROR(INT(MID(Metadata!E475,12,1))&gt;=0,FALSE),IFERROR(INT(MID(Metadata!E475,12,1))&lt;=2,FALSE),NOT(MID(Metadata!E475,13,1)=""),IFERROR(INT(MID(Metadata!E475,12,2))&gt;=0,FALSE),IFERROR(INT(MID(Metadata!E475,12,2))&lt;=23,FALSE)), OR(MID(Metadata!E475,14,1)="", AND(AND(MID(Metadata!E475,14,1)=":",IFERROR(INT(MID(Metadata!E475,15,1))&gt;=0,FALSE),IFERROR(INT(MID(Metadata!E475,15,1))&lt;=5,FALSE),NOT(MID(Metadata!E475,16,1)=""),IFERROR(INT(MID(Metadata!E475,15,2))&gt;=0,FALSE),IFERROR(INT(MID(Metadata!E475,15,2))&lt;=59,FALSE)), OR(MID(Metadata!E475,17,1)="", AND(AND(MID(Metadata!E475,17,1)=":",IFERROR(INT(MID(Metadata!E475,18,1))&gt;=0,FALSE),IFERROR(INT(MID(Metadata!E475,18,1))&lt;=5,FALSE),NOT(MID(Metadata!E475,19,1)=""),IFERROR(INT(MID(Metadata!E475,18,2))&gt;=0,FALSE),IFERROR(INT(MID(Metadata!E475,18,2))&lt;=59,FALSE)), LEN(Metadata!E475)&lt;=19)))))))))))))</f>
        <v>0</v>
      </c>
      <c r="AS475" t="b">
        <f>IF(Metadata!F475="",FALSE,TRUE)</f>
        <v>0</v>
      </c>
      <c r="AT475" t="b">
        <f>OR(AND(IF(Metadata!G475="",FALSE,TRUE),OR(EXACT(Metadata!G475,"not collected"),EXACT(Metadata!G475,"not provided"))),AND(IF(Metadata!G475="",FALSE,TRUE),OR(EXACT(Metadata!G475,"TRUE"),EXACT(Metadata!G475,"FALSE"))))</f>
        <v>0</v>
      </c>
      <c r="AU475" t="b">
        <f>OR(AND(IF(Metadata!H475="",FALSE,TRUE),OR(EXACT(Metadata!H475,"not collected"),EXACT(Metadata!H475,"not provided"),EXACT(Metadata!H475,"restricted access"))),AND(IF(Metadata!H475="",FALSE,ISNUMBER(VALUE(Metadata!H475))),Metadata!H475&gt;=-413))</f>
        <v>0</v>
      </c>
      <c r="AV475" t="b">
        <f>AND(IF(Metadata!I475="",FALSE,TRUE),EXACT(Metadata!I475,"meters"))</f>
        <v>0</v>
      </c>
      <c r="AW475" t="b">
        <f>AND(IF(Metadata!J475="",FALSE,TRUE),EXACT(Metadata!J475,"free-living"))</f>
        <v>0</v>
      </c>
      <c r="AX475" t="b">
        <f>AND(IF(Metadata!K475="",FALSE,TRUE),OR(EXACT(Metadata!K475,"saline"),EXACT(Metadata!K475,"non-saline")))</f>
        <v>0</v>
      </c>
      <c r="AY475" t="b">
        <f>AND(IF(Metadata!L475="",FALSE,TRUE),OR(EXACT(Metadata!L475,"sub-surface (non-saline)"),EXACT(Metadata!L475,"surface (non-saline)"),EXACT(Metadata!L475,"water (non-saline)"),EXACT(Metadata!L475,"soil (non-saline)"),EXACT(Metadata!L475,"aerosol (non-saline)"),EXACT(Metadata!L475,"sediment (non-saline)"),EXACT(Metadata!L475,"surface (saline)"),EXACT(Metadata!L475,"water (saline)"),EXACT(Metadata!L475,"hypersaline (saline)"),EXACT(Metadata!L475,"aerosol (saline)"),EXACT(Metadata!L475,"sediment (saline)")))</f>
        <v>0</v>
      </c>
      <c r="AZ475" t="b">
        <f>IF(Metadata!M475="",FALSE,TRUE)</f>
        <v>0</v>
      </c>
      <c r="BA475" t="b">
        <f>IF(Metadata!N475="",FALSE,TRUE)</f>
        <v>0</v>
      </c>
      <c r="BB475" t="b">
        <f>IF(Metadata!O475="",FALSE,TRUE)</f>
        <v>0</v>
      </c>
      <c r="BC475" t="b">
        <f>AND(IF(Metadata!P475="",FALSE,TRUE),OR(EXACT(Metadata!P475,"air"),EXACT(Metadata!P475,"microbial mat/biofilm"),EXACT(Metadata!P475,"misc environment"),EXACT(Metadata!P475,"sediment"),EXACT(Metadata!P475,"soil"),EXACT(Metadata!P475,"wastewater/sludge"),EXACT(Metadata!P475,"water")))</f>
        <v>0</v>
      </c>
      <c r="BD475" t="b">
        <f>IF(Metadata!Q475="",FALSE,TRUE)</f>
        <v>0</v>
      </c>
      <c r="BE475" t="b">
        <f>IF(Metadata!R475="",FALSE,TRUE)</f>
        <v>0</v>
      </c>
      <c r="BF475" t="b">
        <f>OR(AND(IF(Metadata!S475="",FALSE,TRUE),OR(EXACT(Metadata!S475,"not collected"),EXACT(Metadata!S475,"not provided"),EXACT(Metadata!S475,"restricted access"))),AND(IF(Metadata!S475="",FALSE,ISNUMBER(VALUE(Metadata!S475))),Metadata!S475&gt;=-90,Metadata!S475&lt;=90))</f>
        <v>0</v>
      </c>
      <c r="BG475" t="b">
        <f>AND(IF(Metadata!T475="",FALSE,TRUE),EXACT(Metadata!T475,"Decimal degrees"))</f>
        <v>0</v>
      </c>
      <c r="BH475" t="b">
        <f>OR(AND(IF(Metadata!U475="",FALSE,TRUE),OR(EXACT(Metadata!U475,"not applicable"),EXACT(Metadata!U475,"not collected"))),IF(Metadata!U475="",FALSE,TRUE))</f>
        <v>0</v>
      </c>
      <c r="BI475" t="b">
        <f>OR(AND(IF(Metadata!V475="",FALSE,TRUE),OR(EXACT(Metadata!V475,"not collected"),EXACT(Metadata!V475,"not provided"),EXACT(Metadata!V475,"restricted access"))),AND(IF(Metadata!V475="",FALSE,ISNUMBER(VALUE(Metadata!V475))),Metadata!V475&gt;=-180,Metadata!V475&lt;=180))</f>
        <v>0</v>
      </c>
      <c r="BJ475" t="b">
        <f>AND(IF(Metadata!W475="",FALSE,TRUE),EXACT(Metadata!W475,"Decimal degrees"))</f>
        <v>0</v>
      </c>
      <c r="BK475" t="b">
        <f>IF(Metadata!X475="",FALSE,TRUE)</f>
        <v>0</v>
      </c>
      <c r="BL475" t="b">
        <f>OR(AND(IF(Metadata!Y475="",FALSE,TRUE),OR(EXACT(Metadata!Y475,"not collected"),EXACT(Metadata!Y475,"not provided"),EXACT(Metadata!Y475,"restricted access"))),AND(IF(Metadata!Y475="",FALSE,TRUE),OR(EXACT(Metadata!Y475,"TRUE"),EXACT(Metadata!Y475,"FALSE"))))</f>
        <v>0</v>
      </c>
      <c r="BM475" t="b">
        <f>OR(AND(IF(Metadata!Z475="",FALSE,TRUE),EXACT(Metadata!Z475,"not applicable")),AND(IF(Metadata!Z475="",FALSE,TRUE),OR(EXACT(Metadata!Z475,"beer"),EXACT(Metadata!Z475,"cheese"),EXACT(Metadata!Z475,"fresh water"),EXACT(Metadata!Z475,"marine sediment"),EXACT(Metadata!Z475,"sea water"),EXACT(Metadata!Z475,"sediment"),EXACT(Metadata!Z475,"soil"),EXACT(Metadata!Z475,"waste water"))))</f>
        <v>0</v>
      </c>
      <c r="BN475" t="b">
        <f>AND(IF(Metadata!AA475="",FALSE,TRUE),EXACT(Metadata!AA475,"metagenome"))</f>
        <v>0</v>
      </c>
      <c r="BO475" t="b">
        <f>AND(IF(Metadata!AB475="",FALSE,TRUE),EXACT(Metadata!AB475,"256318"))</f>
        <v>0</v>
      </c>
      <c r="BP475" t="b">
        <f>IF(Metadata!AC475="",FALSE,TRUE)</f>
        <v>0</v>
      </c>
      <c r="BQ475" t="b">
        <f>IF(Metadata!AD475="",FALSE,TRUE)</f>
        <v>0</v>
      </c>
    </row>
    <row r="476" spans="1:69" x14ac:dyDescent="0.2">
      <c r="A476" s="4" t="e">
        <f ca="1">IF(B476=" "," ",HYPERLINK(CONCATENATE("#metadata!",ADDRESS(INDEX($AJ$2:$AJ$1001,MATCH(ROWS($AH$2:AH476),$AH$2:$AH$1001,0),0),2)),INDEX($AM$2:$AM$1001,MATCH(ROWS($AH$2:AH476),$AH$2:$AH$1001,0),0)))</f>
        <v>#N/A</v>
      </c>
      <c r="B476" s="5" t="e">
        <f ca="1">IF(OR(INDEX($AI$2:$AI$1001,MATCH(ROWS($AH$2:AH476),$AH$2:$AH$1001,0),1)&gt;=100000,INDEX($AO$1005:$BQ$1005,1,MATCH(COLUMNS($AO$1006:AO1006),$AO$1006:$BQ$1006,0))&gt;=100000), " ",IF(INDEX($AO$2:$BQ$1001,MATCH(ROWS($AH$2:AH476),$AH$2:$AH$1001,0),MATCH(COLUMNS($AO$1006:AO1006),$AO$1006:$BQ$1006,0)), HYPERLINK("#",""), HYPERLINK(CONCATENATE("#Metadata!", ADDRESS(INDEX($AJ$2:$AJ$1001,MATCH(ROWS($AH$2:AH476),$AH$2:$AH$1001,0),0), INDEX($AO$1004:$BQ$1004,1,MATCH(COLUMNS($AO$1006:AO1006),$AO$1006:$BQ$1006,0)))),"Fix")))</f>
        <v>#N/A</v>
      </c>
      <c r="C476" s="5" t="e">
        <f ca="1">IF(OR(INDEX($AI$2:$AI$1001,MATCH(ROWS($AH$2:AH476),$AH$2:$AH$1001,0),1)&gt;=100000,INDEX($AO$1005:$BQ$1005,1,MATCH(COLUMNS($AO$1006:AP1006),$AO$1006:$BQ$1006,0))&gt;=100000), " ",IF(INDEX($AO$2:$BQ$1001,MATCH(ROWS($AH$2:AH476),$AH$2:$AH$1001,0),MATCH(COLUMNS($AO$1006:AP1006),$AO$1006:$BQ$1006,0)), HYPERLINK("#",""), HYPERLINK(CONCATENATE("#Metadata!", ADDRESS(INDEX($AJ$2:$AJ$1001,MATCH(ROWS($AH$2:AH476),$AH$2:$AH$1001,0),0), INDEX($AO$1004:$BQ$1004,1,MATCH(COLUMNS($AO$1006:AP1006),$AO$1006:$BQ$1006,0)))),"Fix")))</f>
        <v>#N/A</v>
      </c>
      <c r="D476" s="5" t="e">
        <f ca="1">IF(OR(INDEX($AI$2:$AI$1001,MATCH(ROWS($AH$2:AH476),$AH$2:$AH$1001,0),1)&gt;=100000,INDEX($AO$1005:$BQ$1005,1,MATCH(COLUMNS($AO$1006:AQ1006),$AO$1006:$BQ$1006,0))&gt;=100000), " ",IF(INDEX($AO$2:$BQ$1001,MATCH(ROWS($AH$2:AH476),$AH$2:$AH$1001,0),MATCH(COLUMNS($AO$1006:AQ1006),$AO$1006:$BQ$1006,0)), HYPERLINK("#",""), HYPERLINK(CONCATENATE("#Metadata!", ADDRESS(INDEX($AJ$2:$AJ$1001,MATCH(ROWS($AH$2:AH476),$AH$2:$AH$1001,0),0), INDEX($AO$1004:$BQ$1004,1,MATCH(COLUMNS($AO$1006:AQ1006),$AO$1006:$BQ$1006,0)))),"Fix")))</f>
        <v>#N/A</v>
      </c>
      <c r="E476" s="5" t="e">
        <f ca="1">IF(OR(INDEX($AI$2:$AI$1001,MATCH(ROWS($AH$2:AH476),$AH$2:$AH$1001,0),1)&gt;=100000,INDEX($AO$1005:$BQ$1005,1,MATCH(COLUMNS($AO$1006:AR1006),$AO$1006:$BQ$1006,0))&gt;=100000), " ",IF(INDEX($AO$2:$BQ$1001,MATCH(ROWS($AH$2:AH476),$AH$2:$AH$1001,0),MATCH(COLUMNS($AO$1006:AR1006),$AO$1006:$BQ$1006,0)), HYPERLINK("#",""), HYPERLINK(CONCATENATE("#Metadata!", ADDRESS(INDEX($AJ$2:$AJ$1001,MATCH(ROWS($AH$2:AH476),$AH$2:$AH$1001,0),0), INDEX($AO$1004:$BQ$1004,1,MATCH(COLUMNS($AO$1006:AR1006),$AO$1006:$BQ$1006,0)))),"Fix")))</f>
        <v>#N/A</v>
      </c>
      <c r="F476" s="5" t="e">
        <f ca="1">IF(OR(INDEX($AI$2:$AI$1001,MATCH(ROWS($AH$2:AH476),$AH$2:$AH$1001,0),1)&gt;=100000,INDEX($AO$1005:$BQ$1005,1,MATCH(COLUMNS($AO$1006:AS1006),$AO$1006:$BQ$1006,0))&gt;=100000), " ",IF(INDEX($AO$2:$BQ$1001,MATCH(ROWS($AH$2:AH476),$AH$2:$AH$1001,0),MATCH(COLUMNS($AO$1006:AS1006),$AO$1006:$BQ$1006,0)), HYPERLINK("#",""), HYPERLINK(CONCATENATE("#Metadata!", ADDRESS(INDEX($AJ$2:$AJ$1001,MATCH(ROWS($AH$2:AH476),$AH$2:$AH$1001,0),0), INDEX($AO$1004:$BQ$1004,1,MATCH(COLUMNS($AO$1006:AS1006),$AO$1006:$BQ$1006,0)))),"Fix")))</f>
        <v>#N/A</v>
      </c>
      <c r="G476" s="5" t="e">
        <f ca="1">IF(OR(INDEX($AI$2:$AI$1001,MATCH(ROWS($AH$2:AH476),$AH$2:$AH$1001,0),1)&gt;=100000,INDEX($AO$1005:$BQ$1005,1,MATCH(COLUMNS($AO$1006:AT1006),$AO$1006:$BQ$1006,0))&gt;=100000), " ",IF(INDEX($AO$2:$BQ$1001,MATCH(ROWS($AH$2:AH476),$AH$2:$AH$1001,0),MATCH(COLUMNS($AO$1006:AT1006),$AO$1006:$BQ$1006,0)), HYPERLINK("#",""), HYPERLINK(CONCATENATE("#Metadata!", ADDRESS(INDEX($AJ$2:$AJ$1001,MATCH(ROWS($AH$2:AH476),$AH$2:$AH$1001,0),0), INDEX($AO$1004:$BQ$1004,1,MATCH(COLUMNS($AO$1006:AT1006),$AO$1006:$BQ$1006,0)))),"Fix")))</f>
        <v>#N/A</v>
      </c>
      <c r="H476" s="5" t="e">
        <f ca="1">IF(OR(INDEX($AI$2:$AI$1001,MATCH(ROWS($AH$2:AH476),$AH$2:$AH$1001,0),1)&gt;=100000,INDEX($AO$1005:$BQ$1005,1,MATCH(COLUMNS($AO$1006:AU1006),$AO$1006:$BQ$1006,0))&gt;=100000), " ",IF(INDEX($AO$2:$BQ$1001,MATCH(ROWS($AH$2:AH476),$AH$2:$AH$1001,0),MATCH(COLUMNS($AO$1006:AU1006),$AO$1006:$BQ$1006,0)), HYPERLINK("#",""), HYPERLINK(CONCATENATE("#Metadata!", ADDRESS(INDEX($AJ$2:$AJ$1001,MATCH(ROWS($AH$2:AH476),$AH$2:$AH$1001,0),0), INDEX($AO$1004:$BQ$1004,1,MATCH(COLUMNS($AO$1006:AU1006),$AO$1006:$BQ$1006,0)))),"Fix")))</f>
        <v>#N/A</v>
      </c>
      <c r="I476" s="5" t="e">
        <f ca="1">IF(OR(INDEX($AI$2:$AI$1001,MATCH(ROWS($AH$2:AH476),$AH$2:$AH$1001,0),1)&gt;=100000,INDEX($AO$1005:$BQ$1005,1,MATCH(COLUMNS($AO$1006:AV1006),$AO$1006:$BQ$1006,0))&gt;=100000), " ",IF(INDEX($AO$2:$BQ$1001,MATCH(ROWS($AH$2:AH476),$AH$2:$AH$1001,0),MATCH(COLUMNS($AO$1006:AV1006),$AO$1006:$BQ$1006,0)), HYPERLINK("#",""), HYPERLINK(CONCATENATE("#Metadata!", ADDRESS(INDEX($AJ$2:$AJ$1001,MATCH(ROWS($AH$2:AH476),$AH$2:$AH$1001,0),0), INDEX($AO$1004:$BQ$1004,1,MATCH(COLUMNS($AO$1006:AV1006),$AO$1006:$BQ$1006,0)))),"Fix")))</f>
        <v>#N/A</v>
      </c>
      <c r="J476" s="5" t="e">
        <f ca="1">IF(OR(INDEX($AI$2:$AI$1001,MATCH(ROWS($AH$2:AH476),$AH$2:$AH$1001,0),1)&gt;=100000,INDEX($AO$1005:$BQ$1005,1,MATCH(COLUMNS($AO$1006:AW1006),$AO$1006:$BQ$1006,0))&gt;=100000), " ",IF(INDEX($AO$2:$BQ$1001,MATCH(ROWS($AH$2:AH476),$AH$2:$AH$1001,0),MATCH(COLUMNS($AO$1006:AW1006),$AO$1006:$BQ$1006,0)), HYPERLINK("#",""), HYPERLINK(CONCATENATE("#Metadata!", ADDRESS(INDEX($AJ$2:$AJ$1001,MATCH(ROWS($AH$2:AH476),$AH$2:$AH$1001,0),0), INDEX($AO$1004:$BQ$1004,1,MATCH(COLUMNS($AO$1006:AW1006),$AO$1006:$BQ$1006,0)))),"Fix")))</f>
        <v>#N/A</v>
      </c>
      <c r="K476" s="5" t="e">
        <f ca="1">IF(OR(INDEX($AI$2:$AI$1001,MATCH(ROWS($AH$2:AH476),$AH$2:$AH$1001,0),1)&gt;=100000,INDEX($AO$1005:$BQ$1005,1,MATCH(COLUMNS($AO$1006:AX1006),$AO$1006:$BQ$1006,0))&gt;=100000), " ",IF(INDEX($AO$2:$BQ$1001,MATCH(ROWS($AH$2:AH476),$AH$2:$AH$1001,0),MATCH(COLUMNS($AO$1006:AX1006),$AO$1006:$BQ$1006,0)), HYPERLINK("#",""), HYPERLINK(CONCATENATE("#Metadata!", ADDRESS(INDEX($AJ$2:$AJ$1001,MATCH(ROWS($AH$2:AH476),$AH$2:$AH$1001,0),0), INDEX($AO$1004:$BQ$1004,1,MATCH(COLUMNS($AO$1006:AX1006),$AO$1006:$BQ$1006,0)))),"Fix")))</f>
        <v>#N/A</v>
      </c>
      <c r="L476" s="5" t="e">
        <f ca="1">IF(OR(INDEX($AI$2:$AI$1001,MATCH(ROWS($AH$2:AH476),$AH$2:$AH$1001,0),1)&gt;=100000,INDEX($AO$1005:$BQ$1005,1,MATCH(COLUMNS($AO$1006:AY1006),$AO$1006:$BQ$1006,0))&gt;=100000), " ",IF(INDEX($AO$2:$BQ$1001,MATCH(ROWS($AH$2:AH476),$AH$2:$AH$1001,0),MATCH(COLUMNS($AO$1006:AY1006),$AO$1006:$BQ$1006,0)), HYPERLINK("#",""), HYPERLINK(CONCATENATE("#Metadata!", ADDRESS(INDEX($AJ$2:$AJ$1001,MATCH(ROWS($AH$2:AH476),$AH$2:$AH$1001,0),0), INDEX($AO$1004:$BQ$1004,1,MATCH(COLUMNS($AO$1006:AY1006),$AO$1006:$BQ$1006,0)))),"Fix")))</f>
        <v>#N/A</v>
      </c>
      <c r="M476" s="5" t="e">
        <f ca="1">IF(OR(INDEX($AI$2:$AI$1001,MATCH(ROWS($AH$2:AH476),$AH$2:$AH$1001,0),1)&gt;=100000,INDEX($AO$1005:$BQ$1005,1,MATCH(COLUMNS($AO$1006:AZ1006),$AO$1006:$BQ$1006,0))&gt;=100000), " ",IF(INDEX($AO$2:$BQ$1001,MATCH(ROWS($AH$2:AH476),$AH$2:$AH$1001,0),MATCH(COLUMNS($AO$1006:AZ1006),$AO$1006:$BQ$1006,0)), HYPERLINK("#",""), HYPERLINK(CONCATENATE("#Metadata!", ADDRESS(INDEX($AJ$2:$AJ$1001,MATCH(ROWS($AH$2:AH476),$AH$2:$AH$1001,0),0), INDEX($AO$1004:$BQ$1004,1,MATCH(COLUMNS($AO$1006:AZ1006),$AO$1006:$BQ$1006,0)))),"Fix")))</f>
        <v>#N/A</v>
      </c>
      <c r="N476" s="5" t="e">
        <f ca="1">IF(OR(INDEX($AI$2:$AI$1001,MATCH(ROWS($AH$2:AH476),$AH$2:$AH$1001,0),1)&gt;=100000,INDEX($AO$1005:$BQ$1005,1,MATCH(COLUMNS($AO$1006:BA1006),$AO$1006:$BQ$1006,0))&gt;=100000), " ",IF(INDEX($AO$2:$BQ$1001,MATCH(ROWS($AH$2:AH476),$AH$2:$AH$1001,0),MATCH(COLUMNS($AO$1006:BA1006),$AO$1006:$BQ$1006,0)), HYPERLINK("#",""), HYPERLINK(CONCATENATE("#Metadata!", ADDRESS(INDEX($AJ$2:$AJ$1001,MATCH(ROWS($AH$2:AH476),$AH$2:$AH$1001,0),0), INDEX($AO$1004:$BQ$1004,1,MATCH(COLUMNS($AO$1006:BA1006),$AO$1006:$BQ$1006,0)))),"Fix")))</f>
        <v>#N/A</v>
      </c>
      <c r="O476" s="5" t="e">
        <f ca="1">IF(OR(INDEX($AI$2:$AI$1001,MATCH(ROWS($AH$2:AH476),$AH$2:$AH$1001,0),1)&gt;=100000,INDEX($AO$1005:$BQ$1005,1,MATCH(COLUMNS($AO$1006:BB1006),$AO$1006:$BQ$1006,0))&gt;=100000), " ",IF(INDEX($AO$2:$BQ$1001,MATCH(ROWS($AH$2:AH476),$AH$2:$AH$1001,0),MATCH(COLUMNS($AO$1006:BB1006),$AO$1006:$BQ$1006,0)), HYPERLINK("#",""), HYPERLINK(CONCATENATE("#Metadata!", ADDRESS(INDEX($AJ$2:$AJ$1001,MATCH(ROWS($AH$2:AH476),$AH$2:$AH$1001,0),0), INDEX($AO$1004:$BQ$1004,1,MATCH(COLUMNS($AO$1006:BB1006),$AO$1006:$BQ$1006,0)))),"Fix")))</f>
        <v>#N/A</v>
      </c>
      <c r="P476" s="5" t="e">
        <f ca="1">IF(OR(INDEX($AI$2:$AI$1001,MATCH(ROWS($AH$2:AH476),$AH$2:$AH$1001,0),1)&gt;=100000,INDEX($AO$1005:$BQ$1005,1,MATCH(COLUMNS($AO$1006:BC1006),$AO$1006:$BQ$1006,0))&gt;=100000), " ",IF(INDEX($AO$2:$BQ$1001,MATCH(ROWS($AH$2:AH476),$AH$2:$AH$1001,0),MATCH(COLUMNS($AO$1006:BC1006),$AO$1006:$BQ$1006,0)), HYPERLINK("#",""), HYPERLINK(CONCATENATE("#Metadata!", ADDRESS(INDEX($AJ$2:$AJ$1001,MATCH(ROWS($AH$2:AH476),$AH$2:$AH$1001,0),0), INDEX($AO$1004:$BQ$1004,1,MATCH(COLUMNS($AO$1006:BC1006),$AO$1006:$BQ$1006,0)))),"Fix")))</f>
        <v>#N/A</v>
      </c>
      <c r="Q476" s="5" t="e">
        <f ca="1">IF(OR(INDEX($AI$2:$AI$1001,MATCH(ROWS($AH$2:AH476),$AH$2:$AH$1001,0),1)&gt;=100000,INDEX($AO$1005:$BQ$1005,1,MATCH(COLUMNS($AO$1006:BD1006),$AO$1006:$BQ$1006,0))&gt;=100000), " ",IF(INDEX($AO$2:$BQ$1001,MATCH(ROWS($AH$2:AH476),$AH$2:$AH$1001,0),MATCH(COLUMNS($AO$1006:BD1006),$AO$1006:$BQ$1006,0)), HYPERLINK("#",""), HYPERLINK(CONCATENATE("#Metadata!", ADDRESS(INDEX($AJ$2:$AJ$1001,MATCH(ROWS($AH$2:AH476),$AH$2:$AH$1001,0),0), INDEX($AO$1004:$BQ$1004,1,MATCH(COLUMNS($AO$1006:BD1006),$AO$1006:$BQ$1006,0)))),"Fix")))</f>
        <v>#N/A</v>
      </c>
      <c r="R476" s="5" t="e">
        <f ca="1">IF(OR(INDEX($AI$2:$AI$1001,MATCH(ROWS($AH$2:AH476),$AH$2:$AH$1001,0),1)&gt;=100000,INDEX($AO$1005:$BQ$1005,1,MATCH(COLUMNS($AO$1006:BE1006),$AO$1006:$BQ$1006,0))&gt;=100000), " ",IF(INDEX($AO$2:$BQ$1001,MATCH(ROWS($AH$2:AH476),$AH$2:$AH$1001,0),MATCH(COLUMNS($AO$1006:BE1006),$AO$1006:$BQ$1006,0)), HYPERLINK("#",""), HYPERLINK(CONCATENATE("#Metadata!", ADDRESS(INDEX($AJ$2:$AJ$1001,MATCH(ROWS($AH$2:AH476),$AH$2:$AH$1001,0),0), INDEX($AO$1004:$BQ$1004,1,MATCH(COLUMNS($AO$1006:BE1006),$AO$1006:$BQ$1006,0)))),"Fix")))</f>
        <v>#N/A</v>
      </c>
      <c r="S476" s="5" t="e">
        <f ca="1">IF(OR(INDEX($AI$2:$AI$1001,MATCH(ROWS($AH$2:AH476),$AH$2:$AH$1001,0),1)&gt;=100000,INDEX($AO$1005:$BQ$1005,1,MATCH(COLUMNS($AO$1006:BF1006),$AO$1006:$BQ$1006,0))&gt;=100000), " ",IF(INDEX($AO$2:$BQ$1001,MATCH(ROWS($AH$2:AH476),$AH$2:$AH$1001,0),MATCH(COLUMNS($AO$1006:BF1006),$AO$1006:$BQ$1006,0)), HYPERLINK("#",""), HYPERLINK(CONCATENATE("#Metadata!", ADDRESS(INDEX($AJ$2:$AJ$1001,MATCH(ROWS($AH$2:AH476),$AH$2:$AH$1001,0),0), INDEX($AO$1004:$BQ$1004,1,MATCH(COLUMNS($AO$1006:BF1006),$AO$1006:$BQ$1006,0)))),"Fix")))</f>
        <v>#N/A</v>
      </c>
      <c r="T476" s="5" t="e">
        <f ca="1">IF(OR(INDEX($AI$2:$AI$1001,MATCH(ROWS($AH$2:AH476),$AH$2:$AH$1001,0),1)&gt;=100000,INDEX($AO$1005:$BQ$1005,1,MATCH(COLUMNS($AO$1006:BG1006),$AO$1006:$BQ$1006,0))&gt;=100000), " ",IF(INDEX($AO$2:$BQ$1001,MATCH(ROWS($AH$2:AH476),$AH$2:$AH$1001,0),MATCH(COLUMNS($AO$1006:BG1006),$AO$1006:$BQ$1006,0)), HYPERLINK("#",""), HYPERLINK(CONCATENATE("#Metadata!", ADDRESS(INDEX($AJ$2:$AJ$1001,MATCH(ROWS($AH$2:AH476),$AH$2:$AH$1001,0),0), INDEX($AO$1004:$BQ$1004,1,MATCH(COLUMNS($AO$1006:BG1006),$AO$1006:$BQ$1006,0)))),"Fix")))</f>
        <v>#N/A</v>
      </c>
      <c r="U476" s="5" t="e">
        <f ca="1">IF(OR(INDEX($AI$2:$AI$1001,MATCH(ROWS($AH$2:AH476),$AH$2:$AH$1001,0),1)&gt;=100000,INDEX($AO$1005:$BQ$1005,1,MATCH(COLUMNS($AO$1006:BH1006),$AO$1006:$BQ$1006,0))&gt;=100000), " ",IF(INDEX($AO$2:$BQ$1001,MATCH(ROWS($AH$2:AH476),$AH$2:$AH$1001,0),MATCH(COLUMNS($AO$1006:BH1006),$AO$1006:$BQ$1006,0)), HYPERLINK("#",""), HYPERLINK(CONCATENATE("#Metadata!", ADDRESS(INDEX($AJ$2:$AJ$1001,MATCH(ROWS($AH$2:AH476),$AH$2:$AH$1001,0),0), INDEX($AO$1004:$BQ$1004,1,MATCH(COLUMNS($AO$1006:BH1006),$AO$1006:$BQ$1006,0)))),"Fix")))</f>
        <v>#N/A</v>
      </c>
      <c r="V476" s="5" t="e">
        <f ca="1">IF(OR(INDEX($AI$2:$AI$1001,MATCH(ROWS($AH$2:AH476),$AH$2:$AH$1001,0),1)&gt;=100000,INDEX($AO$1005:$BQ$1005,1,MATCH(COLUMNS($AO$1006:BI1006),$AO$1006:$BQ$1006,0))&gt;=100000), " ",IF(INDEX($AO$2:$BQ$1001,MATCH(ROWS($AH$2:AH476),$AH$2:$AH$1001,0),MATCH(COLUMNS($AO$1006:BI1006),$AO$1006:$BQ$1006,0)), HYPERLINK("#",""), HYPERLINK(CONCATENATE("#Metadata!", ADDRESS(INDEX($AJ$2:$AJ$1001,MATCH(ROWS($AH$2:AH476),$AH$2:$AH$1001,0),0), INDEX($AO$1004:$BQ$1004,1,MATCH(COLUMNS($AO$1006:BI1006),$AO$1006:$BQ$1006,0)))),"Fix")))</f>
        <v>#N/A</v>
      </c>
      <c r="W476" s="5" t="e">
        <f ca="1">IF(OR(INDEX($AI$2:$AI$1001,MATCH(ROWS($AH$2:AH476),$AH$2:$AH$1001,0),1)&gt;=100000,INDEX($AO$1005:$BQ$1005,1,MATCH(COLUMNS($AO$1006:BJ1006),$AO$1006:$BQ$1006,0))&gt;=100000), " ",IF(INDEX($AO$2:$BQ$1001,MATCH(ROWS($AH$2:AH476),$AH$2:$AH$1001,0),MATCH(COLUMNS($AO$1006:BJ1006),$AO$1006:$BQ$1006,0)), HYPERLINK("#",""), HYPERLINK(CONCATENATE("#Metadata!", ADDRESS(INDEX($AJ$2:$AJ$1001,MATCH(ROWS($AH$2:AH476),$AH$2:$AH$1001,0),0), INDEX($AO$1004:$BQ$1004,1,MATCH(COLUMNS($AO$1006:BJ1006),$AO$1006:$BQ$1006,0)))),"Fix")))</f>
        <v>#N/A</v>
      </c>
      <c r="X476" s="5" t="e">
        <f ca="1">IF(OR(INDEX($AI$2:$AI$1001,MATCH(ROWS($AH$2:AH476),$AH$2:$AH$1001,0),1)&gt;=100000,INDEX($AO$1005:$BQ$1005,1,MATCH(COLUMNS($AO$1006:BK1006),$AO$1006:$BQ$1006,0))&gt;=100000), " ",IF(INDEX($AO$2:$BQ$1001,MATCH(ROWS($AH$2:AH476),$AH$2:$AH$1001,0),MATCH(COLUMNS($AO$1006:BK1006),$AO$1006:$BQ$1006,0)), HYPERLINK("#",""), HYPERLINK(CONCATENATE("#Metadata!", ADDRESS(INDEX($AJ$2:$AJ$1001,MATCH(ROWS($AH$2:AH476),$AH$2:$AH$1001,0),0), INDEX($AO$1004:$BQ$1004,1,MATCH(COLUMNS($AO$1006:BK1006),$AO$1006:$BQ$1006,0)))),"Fix")))</f>
        <v>#N/A</v>
      </c>
      <c r="Y476" s="5" t="e">
        <f ca="1">IF(OR(INDEX($AI$2:$AI$1001,MATCH(ROWS($AH$2:AH476),$AH$2:$AH$1001,0),1)&gt;=100000,INDEX($AO$1005:$BQ$1005,1,MATCH(COLUMNS($AO$1006:BL1006),$AO$1006:$BQ$1006,0))&gt;=100000), " ",IF(INDEX($AO$2:$BQ$1001,MATCH(ROWS($AH$2:AH476),$AH$2:$AH$1001,0),MATCH(COLUMNS($AO$1006:BL1006),$AO$1006:$BQ$1006,0)), HYPERLINK("#",""), HYPERLINK(CONCATENATE("#Metadata!", ADDRESS(INDEX($AJ$2:$AJ$1001,MATCH(ROWS($AH$2:AH476),$AH$2:$AH$1001,0),0), INDEX($AO$1004:$BQ$1004,1,MATCH(COLUMNS($AO$1006:BL1006),$AO$1006:$BQ$1006,0)))),"Fix")))</f>
        <v>#N/A</v>
      </c>
      <c r="Z476" s="5" t="e">
        <f ca="1">IF(OR(INDEX($AI$2:$AI$1001,MATCH(ROWS($AH$2:AH476),$AH$2:$AH$1001,0),1)&gt;=100000,INDEX($AO$1005:$BQ$1005,1,MATCH(COLUMNS($AO$1006:BM1006),$AO$1006:$BQ$1006,0))&gt;=100000), " ",IF(INDEX($AO$2:$BQ$1001,MATCH(ROWS($AH$2:AH476),$AH$2:$AH$1001,0),MATCH(COLUMNS($AO$1006:BM1006),$AO$1006:$BQ$1006,0)), HYPERLINK("#",""), HYPERLINK(CONCATENATE("#Metadata!", ADDRESS(INDEX($AJ$2:$AJ$1001,MATCH(ROWS($AH$2:AH476),$AH$2:$AH$1001,0),0), INDEX($AO$1004:$BQ$1004,1,MATCH(COLUMNS($AO$1006:BM1006),$AO$1006:$BQ$1006,0)))),"Fix")))</f>
        <v>#N/A</v>
      </c>
      <c r="AA476" s="5" t="e">
        <f ca="1">IF(OR(INDEX($AI$2:$AI$1001,MATCH(ROWS($AH$2:AH476),$AH$2:$AH$1001,0),1)&gt;=100000,INDEX($AO$1005:$BQ$1005,1,MATCH(COLUMNS($AO$1006:BN1006),$AO$1006:$BQ$1006,0))&gt;=100000), " ",IF(INDEX($AO$2:$BQ$1001,MATCH(ROWS($AH$2:AH476),$AH$2:$AH$1001,0),MATCH(COLUMNS($AO$1006:BN1006),$AO$1006:$BQ$1006,0)), HYPERLINK("#",""), HYPERLINK(CONCATENATE("#Metadata!", ADDRESS(INDEX($AJ$2:$AJ$1001,MATCH(ROWS($AH$2:AH476),$AH$2:$AH$1001,0),0), INDEX($AO$1004:$BQ$1004,1,MATCH(COLUMNS($AO$1006:BN1006),$AO$1006:$BQ$1006,0)))),"Fix")))</f>
        <v>#N/A</v>
      </c>
      <c r="AB476" s="5" t="e">
        <f ca="1">IF(OR(INDEX($AI$2:$AI$1001,MATCH(ROWS($AH$2:AH476),$AH$2:$AH$1001,0),1)&gt;=100000,INDEX($AO$1005:$BQ$1005,1,MATCH(COLUMNS($AO$1006:BO1006),$AO$1006:$BQ$1006,0))&gt;=100000), " ",IF(INDEX($AO$2:$BQ$1001,MATCH(ROWS($AH$2:AH476),$AH$2:$AH$1001,0),MATCH(COLUMNS($AO$1006:BO1006),$AO$1006:$BQ$1006,0)), HYPERLINK("#",""), HYPERLINK(CONCATENATE("#Metadata!", ADDRESS(INDEX($AJ$2:$AJ$1001,MATCH(ROWS($AH$2:AH476),$AH$2:$AH$1001,0),0), INDEX($AO$1004:$BQ$1004,1,MATCH(COLUMNS($AO$1006:BO1006),$AO$1006:$BQ$1006,0)))),"Fix")))</f>
        <v>#N/A</v>
      </c>
      <c r="AC476" s="5" t="e">
        <f ca="1">IF(OR(INDEX($AI$2:$AI$1001,MATCH(ROWS($AH$2:AH476),$AH$2:$AH$1001,0),1)&gt;=100000,INDEX($AO$1005:$BQ$1005,1,MATCH(COLUMNS($AO$1006:BP1006),$AO$1006:$BQ$1006,0))&gt;=100000), " ",IF(INDEX($AO$2:$BQ$1001,MATCH(ROWS($AH$2:AH476),$AH$2:$AH$1001,0),MATCH(COLUMNS($AO$1006:BP1006),$AO$1006:$BQ$1006,0)), HYPERLINK("#",""), HYPERLINK(CONCATENATE("#Metadata!", ADDRESS(INDEX($AJ$2:$AJ$1001,MATCH(ROWS($AH$2:AH476),$AH$2:$AH$1001,0),0), INDEX($AO$1004:$BQ$1004,1,MATCH(COLUMNS($AO$1006:BP1006),$AO$1006:$BQ$1006,0)))),"Fix")))</f>
        <v>#N/A</v>
      </c>
      <c r="AD476" s="5" t="e">
        <f ca="1">IF(OR(INDEX($AI$2:$AI$1001,MATCH(ROWS($AH$2:AH476),$AH$2:$AH$1001,0),1)&gt;=100000,INDEX($AO$1005:$BQ$1005,1,MATCH(COLUMNS($AO$1006:BQ1006),$AO$1006:$BQ$1006,0))&gt;=100000), " ",IF(INDEX($AO$2:$BQ$1001,MATCH(ROWS($AH$2:AH476),$AH$2:$AH$1001,0),MATCH(COLUMNS($AO$1006:BQ1006),$AO$1006:$BQ$1006,0)), HYPERLINK("#",""), HYPERLINK(CONCATENATE("#Metadata!", ADDRESS(INDEX($AJ$2:$AJ$1001,MATCH(ROWS($AH$2:AH476),$AH$2:$AH$1001,0),0), INDEX($AO$1004:$BQ$1004,1,MATCH(COLUMNS($AO$1006:BQ1006),$AO$1006:$BQ$1006,0)))),"Fix")))</f>
        <v>#REF!</v>
      </c>
      <c r="AH476">
        <f ca="1"/>
        <v>473</v>
      </c>
      <c r="AI476">
        <v>100476</v>
      </c>
      <c r="AJ476">
        <v>476</v>
      </c>
      <c r="AK476" t="b">
        <f t="shared" si="7"/>
        <v>1</v>
      </c>
      <c r="AL476" t="b">
        <f>COUNTBLANK(Metadata!B476:AD476)=COLUMNS(Metadata!B476:AD476)</f>
        <v>1</v>
      </c>
      <c r="AM476" t="str">
        <v/>
      </c>
      <c r="AO476" t="b">
        <f ca="1">AND(IF(Metadata!B476="",FALSE,TRUE),COUNTIF(Metadata!B:B, Metadata!B476) = 1,NOT(ISERROR(SUMPRODUCT(SEARCH(MID(Metadata!B476,ROW(INDIRECT("1:"&amp;LEN(Metadata!B476))), 1),"0123456789abcdefghijklmnopqrstuvwxyzABCDEFGHIJKLMNOPQRSTUVWXYZ.")))))</f>
        <v>0</v>
      </c>
      <c r="AP476" t="b">
        <f>IF(Metadata!C476="",FALSE,TRUE)</f>
        <v>0</v>
      </c>
      <c r="AQ476" t="b">
        <f>IF(Metadata!D476="",FALSE,TRUE)</f>
        <v>0</v>
      </c>
      <c r="AR476" t="b">
        <f ca="1">OR(AND(IF(Metadata!E476="",FALSE,TRUE),OR(EXACT(Metadata!E476,"not collected"),EXACT(Metadata!E476,"not provided"),EXACT(Metadata!E476,"restricted access"))),AND(IF(Metadata!E476="",FALSE,TRUE),AND(AND(IFERROR(INT(LEFT(Metadata!E476,4))&gt;1900,FALSE),IFERROR(INT(LEFT(Metadata!E476,4))&lt;=YEAR(NOW()),FALSE)), OR(MID(Metadata!E476,5,1)="", AND(AND(MID(Metadata!E476,5,1)="-",IFERROR(INT(MID(Metadata!E476,6,1))&gt;=0,FALSE),IFERROR(INT(MID(Metadata!E476,6,1))&lt;=1,FALSE),NOT(MID(Metadata!E476,7,1)=""),IFERROR(INT(MID(Metadata!E476,6,2))&gt;=1,FALSE),IFERROR(INT(MID(Metadata!E476,6,2))&lt;=12,FALSE)), OR(MID(Metadata!E476,8,1)="", AND(AND(MID(Metadata!E476,8,1)="-",IFERROR(INT(MID(Metadata!E476,9,1))&gt;=0,FALSE),IFERROR(INT(MID(Metadata!E476,9,1))&lt;=3,FALSE),NOT(MID(Metadata!E476,10,1)=""),IFERROR(INT(MID(Metadata!E476,9,2))&gt;=1,FALSE),IFERROR(INT(MID(Metadata!E476,9,2))&lt;=31,FALSE)), OR(MID(Metadata!E476,11,1)="", AND(AND(MID(Metadata!E476,11,1)=" ",IFERROR(INT(MID(Metadata!E476,12,1))&gt;=0,FALSE),IFERROR(INT(MID(Metadata!E476,12,1))&lt;=2,FALSE),NOT(MID(Metadata!E476,13,1)=""),IFERROR(INT(MID(Metadata!E476,12,2))&gt;=0,FALSE),IFERROR(INT(MID(Metadata!E476,12,2))&lt;=23,FALSE)), OR(MID(Metadata!E476,14,1)="", AND(AND(MID(Metadata!E476,14,1)=":",IFERROR(INT(MID(Metadata!E476,15,1))&gt;=0,FALSE),IFERROR(INT(MID(Metadata!E476,15,1))&lt;=5,FALSE),NOT(MID(Metadata!E476,16,1)=""),IFERROR(INT(MID(Metadata!E476,15,2))&gt;=0,FALSE),IFERROR(INT(MID(Metadata!E476,15,2))&lt;=59,FALSE)), OR(MID(Metadata!E476,17,1)="", AND(AND(MID(Metadata!E476,17,1)=":",IFERROR(INT(MID(Metadata!E476,18,1))&gt;=0,FALSE),IFERROR(INT(MID(Metadata!E476,18,1))&lt;=5,FALSE),NOT(MID(Metadata!E476,19,1)=""),IFERROR(INT(MID(Metadata!E476,18,2))&gt;=0,FALSE),IFERROR(INT(MID(Metadata!E476,18,2))&lt;=59,FALSE)), LEN(Metadata!E476)&lt;=19)))))))))))))</f>
        <v>0</v>
      </c>
      <c r="AS476" t="b">
        <f>IF(Metadata!F476="",FALSE,TRUE)</f>
        <v>0</v>
      </c>
      <c r="AT476" t="b">
        <f>OR(AND(IF(Metadata!G476="",FALSE,TRUE),OR(EXACT(Metadata!G476,"not collected"),EXACT(Metadata!G476,"not provided"))),AND(IF(Metadata!G476="",FALSE,TRUE),OR(EXACT(Metadata!G476,"TRUE"),EXACT(Metadata!G476,"FALSE"))))</f>
        <v>0</v>
      </c>
      <c r="AU476" t="b">
        <f>OR(AND(IF(Metadata!H476="",FALSE,TRUE),OR(EXACT(Metadata!H476,"not collected"),EXACT(Metadata!H476,"not provided"),EXACT(Metadata!H476,"restricted access"))),AND(IF(Metadata!H476="",FALSE,ISNUMBER(VALUE(Metadata!H476))),Metadata!H476&gt;=-413))</f>
        <v>0</v>
      </c>
      <c r="AV476" t="b">
        <f>AND(IF(Metadata!I476="",FALSE,TRUE),EXACT(Metadata!I476,"meters"))</f>
        <v>0</v>
      </c>
      <c r="AW476" t="b">
        <f>AND(IF(Metadata!J476="",FALSE,TRUE),EXACT(Metadata!J476,"free-living"))</f>
        <v>0</v>
      </c>
      <c r="AX476" t="b">
        <f>AND(IF(Metadata!K476="",FALSE,TRUE),OR(EXACT(Metadata!K476,"saline"),EXACT(Metadata!K476,"non-saline")))</f>
        <v>0</v>
      </c>
      <c r="AY476" t="b">
        <f>AND(IF(Metadata!L476="",FALSE,TRUE),OR(EXACT(Metadata!L476,"sub-surface (non-saline)"),EXACT(Metadata!L476,"surface (non-saline)"),EXACT(Metadata!L476,"water (non-saline)"),EXACT(Metadata!L476,"soil (non-saline)"),EXACT(Metadata!L476,"aerosol (non-saline)"),EXACT(Metadata!L476,"sediment (non-saline)"),EXACT(Metadata!L476,"surface (saline)"),EXACT(Metadata!L476,"water (saline)"),EXACT(Metadata!L476,"hypersaline (saline)"),EXACT(Metadata!L476,"aerosol (saline)"),EXACT(Metadata!L476,"sediment (saline)")))</f>
        <v>0</v>
      </c>
      <c r="AZ476" t="b">
        <f>IF(Metadata!M476="",FALSE,TRUE)</f>
        <v>0</v>
      </c>
      <c r="BA476" t="b">
        <f>IF(Metadata!N476="",FALSE,TRUE)</f>
        <v>0</v>
      </c>
      <c r="BB476" t="b">
        <f>IF(Metadata!O476="",FALSE,TRUE)</f>
        <v>0</v>
      </c>
      <c r="BC476" t="b">
        <f>AND(IF(Metadata!P476="",FALSE,TRUE),OR(EXACT(Metadata!P476,"air"),EXACT(Metadata!P476,"microbial mat/biofilm"),EXACT(Metadata!P476,"misc environment"),EXACT(Metadata!P476,"sediment"),EXACT(Metadata!P476,"soil"),EXACT(Metadata!P476,"wastewater/sludge"),EXACT(Metadata!P476,"water")))</f>
        <v>0</v>
      </c>
      <c r="BD476" t="b">
        <f>IF(Metadata!Q476="",FALSE,TRUE)</f>
        <v>0</v>
      </c>
      <c r="BE476" t="b">
        <f>IF(Metadata!R476="",FALSE,TRUE)</f>
        <v>0</v>
      </c>
      <c r="BF476" t="b">
        <f>OR(AND(IF(Metadata!S476="",FALSE,TRUE),OR(EXACT(Metadata!S476,"not collected"),EXACT(Metadata!S476,"not provided"),EXACT(Metadata!S476,"restricted access"))),AND(IF(Metadata!S476="",FALSE,ISNUMBER(VALUE(Metadata!S476))),Metadata!S476&gt;=-90,Metadata!S476&lt;=90))</f>
        <v>0</v>
      </c>
      <c r="BG476" t="b">
        <f>AND(IF(Metadata!T476="",FALSE,TRUE),EXACT(Metadata!T476,"Decimal degrees"))</f>
        <v>0</v>
      </c>
      <c r="BH476" t="b">
        <f>OR(AND(IF(Metadata!U476="",FALSE,TRUE),OR(EXACT(Metadata!U476,"not applicable"),EXACT(Metadata!U476,"not collected"))),IF(Metadata!U476="",FALSE,TRUE))</f>
        <v>0</v>
      </c>
      <c r="BI476" t="b">
        <f>OR(AND(IF(Metadata!V476="",FALSE,TRUE),OR(EXACT(Metadata!V476,"not collected"),EXACT(Metadata!V476,"not provided"),EXACT(Metadata!V476,"restricted access"))),AND(IF(Metadata!V476="",FALSE,ISNUMBER(VALUE(Metadata!V476))),Metadata!V476&gt;=-180,Metadata!V476&lt;=180))</f>
        <v>0</v>
      </c>
      <c r="BJ476" t="b">
        <f>AND(IF(Metadata!W476="",FALSE,TRUE),EXACT(Metadata!W476,"Decimal degrees"))</f>
        <v>0</v>
      </c>
      <c r="BK476" t="b">
        <f>IF(Metadata!X476="",FALSE,TRUE)</f>
        <v>0</v>
      </c>
      <c r="BL476" t="b">
        <f>OR(AND(IF(Metadata!Y476="",FALSE,TRUE),OR(EXACT(Metadata!Y476,"not collected"),EXACT(Metadata!Y476,"not provided"),EXACT(Metadata!Y476,"restricted access"))),AND(IF(Metadata!Y476="",FALSE,TRUE),OR(EXACT(Metadata!Y476,"TRUE"),EXACT(Metadata!Y476,"FALSE"))))</f>
        <v>0</v>
      </c>
      <c r="BM476" t="b">
        <f>OR(AND(IF(Metadata!Z476="",FALSE,TRUE),EXACT(Metadata!Z476,"not applicable")),AND(IF(Metadata!Z476="",FALSE,TRUE),OR(EXACT(Metadata!Z476,"beer"),EXACT(Metadata!Z476,"cheese"),EXACT(Metadata!Z476,"fresh water"),EXACT(Metadata!Z476,"marine sediment"),EXACT(Metadata!Z476,"sea water"),EXACT(Metadata!Z476,"sediment"),EXACT(Metadata!Z476,"soil"),EXACT(Metadata!Z476,"waste water"))))</f>
        <v>0</v>
      </c>
      <c r="BN476" t="b">
        <f>AND(IF(Metadata!AA476="",FALSE,TRUE),EXACT(Metadata!AA476,"metagenome"))</f>
        <v>0</v>
      </c>
      <c r="BO476" t="b">
        <f>AND(IF(Metadata!AB476="",FALSE,TRUE),EXACT(Metadata!AB476,"256318"))</f>
        <v>0</v>
      </c>
      <c r="BP476" t="b">
        <f>IF(Metadata!AC476="",FALSE,TRUE)</f>
        <v>0</v>
      </c>
      <c r="BQ476" t="b">
        <f>IF(Metadata!AD476="",FALSE,TRUE)</f>
        <v>0</v>
      </c>
    </row>
    <row r="477" spans="1:69" x14ac:dyDescent="0.2">
      <c r="A477" s="4" t="e">
        <f ca="1">IF(B477=" "," ",HYPERLINK(CONCATENATE("#metadata!",ADDRESS(INDEX($AJ$2:$AJ$1001,MATCH(ROWS($AH$2:AH477),$AH$2:$AH$1001,0),0),2)),INDEX($AM$2:$AM$1001,MATCH(ROWS($AH$2:AH477),$AH$2:$AH$1001,0),0)))</f>
        <v>#N/A</v>
      </c>
      <c r="B477" s="5" t="e">
        <f ca="1">IF(OR(INDEX($AI$2:$AI$1001,MATCH(ROWS($AH$2:AH477),$AH$2:$AH$1001,0),1)&gt;=100000,INDEX($AO$1005:$BQ$1005,1,MATCH(COLUMNS($AO$1006:AO1006),$AO$1006:$BQ$1006,0))&gt;=100000), " ",IF(INDEX($AO$2:$BQ$1001,MATCH(ROWS($AH$2:AH477),$AH$2:$AH$1001,0),MATCH(COLUMNS($AO$1006:AO1006),$AO$1006:$BQ$1006,0)), HYPERLINK("#",""), HYPERLINK(CONCATENATE("#Metadata!", ADDRESS(INDEX($AJ$2:$AJ$1001,MATCH(ROWS($AH$2:AH477),$AH$2:$AH$1001,0),0), INDEX($AO$1004:$BQ$1004,1,MATCH(COLUMNS($AO$1006:AO1006),$AO$1006:$BQ$1006,0)))),"Fix")))</f>
        <v>#N/A</v>
      </c>
      <c r="C477" s="5" t="e">
        <f ca="1">IF(OR(INDEX($AI$2:$AI$1001,MATCH(ROWS($AH$2:AH477),$AH$2:$AH$1001,0),1)&gt;=100000,INDEX($AO$1005:$BQ$1005,1,MATCH(COLUMNS($AO$1006:AP1006),$AO$1006:$BQ$1006,0))&gt;=100000), " ",IF(INDEX($AO$2:$BQ$1001,MATCH(ROWS($AH$2:AH477),$AH$2:$AH$1001,0),MATCH(COLUMNS($AO$1006:AP1006),$AO$1006:$BQ$1006,0)), HYPERLINK("#",""), HYPERLINK(CONCATENATE("#Metadata!", ADDRESS(INDEX($AJ$2:$AJ$1001,MATCH(ROWS($AH$2:AH477),$AH$2:$AH$1001,0),0), INDEX($AO$1004:$BQ$1004,1,MATCH(COLUMNS($AO$1006:AP1006),$AO$1006:$BQ$1006,0)))),"Fix")))</f>
        <v>#N/A</v>
      </c>
      <c r="D477" s="5" t="e">
        <f ca="1">IF(OR(INDEX($AI$2:$AI$1001,MATCH(ROWS($AH$2:AH477),$AH$2:$AH$1001,0),1)&gt;=100000,INDEX($AO$1005:$BQ$1005,1,MATCH(COLUMNS($AO$1006:AQ1006),$AO$1006:$BQ$1006,0))&gt;=100000), " ",IF(INDEX($AO$2:$BQ$1001,MATCH(ROWS($AH$2:AH477),$AH$2:$AH$1001,0),MATCH(COLUMNS($AO$1006:AQ1006),$AO$1006:$BQ$1006,0)), HYPERLINK("#",""), HYPERLINK(CONCATENATE("#Metadata!", ADDRESS(INDEX($AJ$2:$AJ$1001,MATCH(ROWS($AH$2:AH477),$AH$2:$AH$1001,0),0), INDEX($AO$1004:$BQ$1004,1,MATCH(COLUMNS($AO$1006:AQ1006),$AO$1006:$BQ$1006,0)))),"Fix")))</f>
        <v>#N/A</v>
      </c>
      <c r="E477" s="5" t="e">
        <f ca="1">IF(OR(INDEX($AI$2:$AI$1001,MATCH(ROWS($AH$2:AH477),$AH$2:$AH$1001,0),1)&gt;=100000,INDEX($AO$1005:$BQ$1005,1,MATCH(COLUMNS($AO$1006:AR1006),$AO$1006:$BQ$1006,0))&gt;=100000), " ",IF(INDEX($AO$2:$BQ$1001,MATCH(ROWS($AH$2:AH477),$AH$2:$AH$1001,0),MATCH(COLUMNS($AO$1006:AR1006),$AO$1006:$BQ$1006,0)), HYPERLINK("#",""), HYPERLINK(CONCATENATE("#Metadata!", ADDRESS(INDEX($AJ$2:$AJ$1001,MATCH(ROWS($AH$2:AH477),$AH$2:$AH$1001,0),0), INDEX($AO$1004:$BQ$1004,1,MATCH(COLUMNS($AO$1006:AR1006),$AO$1006:$BQ$1006,0)))),"Fix")))</f>
        <v>#N/A</v>
      </c>
      <c r="F477" s="5" t="e">
        <f ca="1">IF(OR(INDEX($AI$2:$AI$1001,MATCH(ROWS($AH$2:AH477),$AH$2:$AH$1001,0),1)&gt;=100000,INDEX($AO$1005:$BQ$1005,1,MATCH(COLUMNS($AO$1006:AS1006),$AO$1006:$BQ$1006,0))&gt;=100000), " ",IF(INDEX($AO$2:$BQ$1001,MATCH(ROWS($AH$2:AH477),$AH$2:$AH$1001,0),MATCH(COLUMNS($AO$1006:AS1006),$AO$1006:$BQ$1006,0)), HYPERLINK("#",""), HYPERLINK(CONCATENATE("#Metadata!", ADDRESS(INDEX($AJ$2:$AJ$1001,MATCH(ROWS($AH$2:AH477),$AH$2:$AH$1001,0),0), INDEX($AO$1004:$BQ$1004,1,MATCH(COLUMNS($AO$1006:AS1006),$AO$1006:$BQ$1006,0)))),"Fix")))</f>
        <v>#N/A</v>
      </c>
      <c r="G477" s="5" t="e">
        <f ca="1">IF(OR(INDEX($AI$2:$AI$1001,MATCH(ROWS($AH$2:AH477),$AH$2:$AH$1001,0),1)&gt;=100000,INDEX($AO$1005:$BQ$1005,1,MATCH(COLUMNS($AO$1006:AT1006),$AO$1006:$BQ$1006,0))&gt;=100000), " ",IF(INDEX($AO$2:$BQ$1001,MATCH(ROWS($AH$2:AH477),$AH$2:$AH$1001,0),MATCH(COLUMNS($AO$1006:AT1006),$AO$1006:$BQ$1006,0)), HYPERLINK("#",""), HYPERLINK(CONCATENATE("#Metadata!", ADDRESS(INDEX($AJ$2:$AJ$1001,MATCH(ROWS($AH$2:AH477),$AH$2:$AH$1001,0),0), INDEX($AO$1004:$BQ$1004,1,MATCH(COLUMNS($AO$1006:AT1006),$AO$1006:$BQ$1006,0)))),"Fix")))</f>
        <v>#N/A</v>
      </c>
      <c r="H477" s="5" t="e">
        <f ca="1">IF(OR(INDEX($AI$2:$AI$1001,MATCH(ROWS($AH$2:AH477),$AH$2:$AH$1001,0),1)&gt;=100000,INDEX($AO$1005:$BQ$1005,1,MATCH(COLUMNS($AO$1006:AU1006),$AO$1006:$BQ$1006,0))&gt;=100000), " ",IF(INDEX($AO$2:$BQ$1001,MATCH(ROWS($AH$2:AH477),$AH$2:$AH$1001,0),MATCH(COLUMNS($AO$1006:AU1006),$AO$1006:$BQ$1006,0)), HYPERLINK("#",""), HYPERLINK(CONCATENATE("#Metadata!", ADDRESS(INDEX($AJ$2:$AJ$1001,MATCH(ROWS($AH$2:AH477),$AH$2:$AH$1001,0),0), INDEX($AO$1004:$BQ$1004,1,MATCH(COLUMNS($AO$1006:AU1006),$AO$1006:$BQ$1006,0)))),"Fix")))</f>
        <v>#N/A</v>
      </c>
      <c r="I477" s="5" t="e">
        <f ca="1">IF(OR(INDEX($AI$2:$AI$1001,MATCH(ROWS($AH$2:AH477),$AH$2:$AH$1001,0),1)&gt;=100000,INDEX($AO$1005:$BQ$1005,1,MATCH(COLUMNS($AO$1006:AV1006),$AO$1006:$BQ$1006,0))&gt;=100000), " ",IF(INDEX($AO$2:$BQ$1001,MATCH(ROWS($AH$2:AH477),$AH$2:$AH$1001,0),MATCH(COLUMNS($AO$1006:AV1006),$AO$1006:$BQ$1006,0)), HYPERLINK("#",""), HYPERLINK(CONCATENATE("#Metadata!", ADDRESS(INDEX($AJ$2:$AJ$1001,MATCH(ROWS($AH$2:AH477),$AH$2:$AH$1001,0),0), INDEX($AO$1004:$BQ$1004,1,MATCH(COLUMNS($AO$1006:AV1006),$AO$1006:$BQ$1006,0)))),"Fix")))</f>
        <v>#N/A</v>
      </c>
      <c r="J477" s="5" t="e">
        <f ca="1">IF(OR(INDEX($AI$2:$AI$1001,MATCH(ROWS($AH$2:AH477),$AH$2:$AH$1001,0),1)&gt;=100000,INDEX($AO$1005:$BQ$1005,1,MATCH(COLUMNS($AO$1006:AW1006),$AO$1006:$BQ$1006,0))&gt;=100000), " ",IF(INDEX($AO$2:$BQ$1001,MATCH(ROWS($AH$2:AH477),$AH$2:$AH$1001,0),MATCH(COLUMNS($AO$1006:AW1006),$AO$1006:$BQ$1006,0)), HYPERLINK("#",""), HYPERLINK(CONCATENATE("#Metadata!", ADDRESS(INDEX($AJ$2:$AJ$1001,MATCH(ROWS($AH$2:AH477),$AH$2:$AH$1001,0),0), INDEX($AO$1004:$BQ$1004,1,MATCH(COLUMNS($AO$1006:AW1006),$AO$1006:$BQ$1006,0)))),"Fix")))</f>
        <v>#N/A</v>
      </c>
      <c r="K477" s="5" t="e">
        <f ca="1">IF(OR(INDEX($AI$2:$AI$1001,MATCH(ROWS($AH$2:AH477),$AH$2:$AH$1001,0),1)&gt;=100000,INDEX($AO$1005:$BQ$1005,1,MATCH(COLUMNS($AO$1006:AX1006),$AO$1006:$BQ$1006,0))&gt;=100000), " ",IF(INDEX($AO$2:$BQ$1001,MATCH(ROWS($AH$2:AH477),$AH$2:$AH$1001,0),MATCH(COLUMNS($AO$1006:AX1006),$AO$1006:$BQ$1006,0)), HYPERLINK("#",""), HYPERLINK(CONCATENATE("#Metadata!", ADDRESS(INDEX($AJ$2:$AJ$1001,MATCH(ROWS($AH$2:AH477),$AH$2:$AH$1001,0),0), INDEX($AO$1004:$BQ$1004,1,MATCH(COLUMNS($AO$1006:AX1006),$AO$1006:$BQ$1006,0)))),"Fix")))</f>
        <v>#N/A</v>
      </c>
      <c r="L477" s="5" t="e">
        <f ca="1">IF(OR(INDEX($AI$2:$AI$1001,MATCH(ROWS($AH$2:AH477),$AH$2:$AH$1001,0),1)&gt;=100000,INDEX($AO$1005:$BQ$1005,1,MATCH(COLUMNS($AO$1006:AY1006),$AO$1006:$BQ$1006,0))&gt;=100000), " ",IF(INDEX($AO$2:$BQ$1001,MATCH(ROWS($AH$2:AH477),$AH$2:$AH$1001,0),MATCH(COLUMNS($AO$1006:AY1006),$AO$1006:$BQ$1006,0)), HYPERLINK("#",""), HYPERLINK(CONCATENATE("#Metadata!", ADDRESS(INDEX($AJ$2:$AJ$1001,MATCH(ROWS($AH$2:AH477),$AH$2:$AH$1001,0),0), INDEX($AO$1004:$BQ$1004,1,MATCH(COLUMNS($AO$1006:AY1006),$AO$1006:$BQ$1006,0)))),"Fix")))</f>
        <v>#N/A</v>
      </c>
      <c r="M477" s="5" t="e">
        <f ca="1">IF(OR(INDEX($AI$2:$AI$1001,MATCH(ROWS($AH$2:AH477),$AH$2:$AH$1001,0),1)&gt;=100000,INDEX($AO$1005:$BQ$1005,1,MATCH(COLUMNS($AO$1006:AZ1006),$AO$1006:$BQ$1006,0))&gt;=100000), " ",IF(INDEX($AO$2:$BQ$1001,MATCH(ROWS($AH$2:AH477),$AH$2:$AH$1001,0),MATCH(COLUMNS($AO$1006:AZ1006),$AO$1006:$BQ$1006,0)), HYPERLINK("#",""), HYPERLINK(CONCATENATE("#Metadata!", ADDRESS(INDEX($AJ$2:$AJ$1001,MATCH(ROWS($AH$2:AH477),$AH$2:$AH$1001,0),0), INDEX($AO$1004:$BQ$1004,1,MATCH(COLUMNS($AO$1006:AZ1006),$AO$1006:$BQ$1006,0)))),"Fix")))</f>
        <v>#N/A</v>
      </c>
      <c r="N477" s="5" t="e">
        <f ca="1">IF(OR(INDEX($AI$2:$AI$1001,MATCH(ROWS($AH$2:AH477),$AH$2:$AH$1001,0),1)&gt;=100000,INDEX($AO$1005:$BQ$1005,1,MATCH(COLUMNS($AO$1006:BA1006),$AO$1006:$BQ$1006,0))&gt;=100000), " ",IF(INDEX($AO$2:$BQ$1001,MATCH(ROWS($AH$2:AH477),$AH$2:$AH$1001,0),MATCH(COLUMNS($AO$1006:BA1006),$AO$1006:$BQ$1006,0)), HYPERLINK("#",""), HYPERLINK(CONCATENATE("#Metadata!", ADDRESS(INDEX($AJ$2:$AJ$1001,MATCH(ROWS($AH$2:AH477),$AH$2:$AH$1001,0),0), INDEX($AO$1004:$BQ$1004,1,MATCH(COLUMNS($AO$1006:BA1006),$AO$1006:$BQ$1006,0)))),"Fix")))</f>
        <v>#N/A</v>
      </c>
      <c r="O477" s="5" t="e">
        <f ca="1">IF(OR(INDEX($AI$2:$AI$1001,MATCH(ROWS($AH$2:AH477),$AH$2:$AH$1001,0),1)&gt;=100000,INDEX($AO$1005:$BQ$1005,1,MATCH(COLUMNS($AO$1006:BB1006),$AO$1006:$BQ$1006,0))&gt;=100000), " ",IF(INDEX($AO$2:$BQ$1001,MATCH(ROWS($AH$2:AH477),$AH$2:$AH$1001,0),MATCH(COLUMNS($AO$1006:BB1006),$AO$1006:$BQ$1006,0)), HYPERLINK("#",""), HYPERLINK(CONCATENATE("#Metadata!", ADDRESS(INDEX($AJ$2:$AJ$1001,MATCH(ROWS($AH$2:AH477),$AH$2:$AH$1001,0),0), INDEX($AO$1004:$BQ$1004,1,MATCH(COLUMNS($AO$1006:BB1006),$AO$1006:$BQ$1006,0)))),"Fix")))</f>
        <v>#N/A</v>
      </c>
      <c r="P477" s="5" t="e">
        <f ca="1">IF(OR(INDEX($AI$2:$AI$1001,MATCH(ROWS($AH$2:AH477),$AH$2:$AH$1001,0),1)&gt;=100000,INDEX($AO$1005:$BQ$1005,1,MATCH(COLUMNS($AO$1006:BC1006),$AO$1006:$BQ$1006,0))&gt;=100000), " ",IF(INDEX($AO$2:$BQ$1001,MATCH(ROWS($AH$2:AH477),$AH$2:$AH$1001,0),MATCH(COLUMNS($AO$1006:BC1006),$AO$1006:$BQ$1006,0)), HYPERLINK("#",""), HYPERLINK(CONCATENATE("#Metadata!", ADDRESS(INDEX($AJ$2:$AJ$1001,MATCH(ROWS($AH$2:AH477),$AH$2:$AH$1001,0),0), INDEX($AO$1004:$BQ$1004,1,MATCH(COLUMNS($AO$1006:BC1006),$AO$1006:$BQ$1006,0)))),"Fix")))</f>
        <v>#N/A</v>
      </c>
      <c r="Q477" s="5" t="e">
        <f ca="1">IF(OR(INDEX($AI$2:$AI$1001,MATCH(ROWS($AH$2:AH477),$AH$2:$AH$1001,0),1)&gt;=100000,INDEX($AO$1005:$BQ$1005,1,MATCH(COLUMNS($AO$1006:BD1006),$AO$1006:$BQ$1006,0))&gt;=100000), " ",IF(INDEX($AO$2:$BQ$1001,MATCH(ROWS($AH$2:AH477),$AH$2:$AH$1001,0),MATCH(COLUMNS($AO$1006:BD1006),$AO$1006:$BQ$1006,0)), HYPERLINK("#",""), HYPERLINK(CONCATENATE("#Metadata!", ADDRESS(INDEX($AJ$2:$AJ$1001,MATCH(ROWS($AH$2:AH477),$AH$2:$AH$1001,0),0), INDEX($AO$1004:$BQ$1004,1,MATCH(COLUMNS($AO$1006:BD1006),$AO$1006:$BQ$1006,0)))),"Fix")))</f>
        <v>#N/A</v>
      </c>
      <c r="R477" s="5" t="e">
        <f ca="1">IF(OR(INDEX($AI$2:$AI$1001,MATCH(ROWS($AH$2:AH477),$AH$2:$AH$1001,0),1)&gt;=100000,INDEX($AO$1005:$BQ$1005,1,MATCH(COLUMNS($AO$1006:BE1006),$AO$1006:$BQ$1006,0))&gt;=100000), " ",IF(INDEX($AO$2:$BQ$1001,MATCH(ROWS($AH$2:AH477),$AH$2:$AH$1001,0),MATCH(COLUMNS($AO$1006:BE1006),$AO$1006:$BQ$1006,0)), HYPERLINK("#",""), HYPERLINK(CONCATENATE("#Metadata!", ADDRESS(INDEX($AJ$2:$AJ$1001,MATCH(ROWS($AH$2:AH477),$AH$2:$AH$1001,0),0), INDEX($AO$1004:$BQ$1004,1,MATCH(COLUMNS($AO$1006:BE1006),$AO$1006:$BQ$1006,0)))),"Fix")))</f>
        <v>#N/A</v>
      </c>
      <c r="S477" s="5" t="e">
        <f ca="1">IF(OR(INDEX($AI$2:$AI$1001,MATCH(ROWS($AH$2:AH477),$AH$2:$AH$1001,0),1)&gt;=100000,INDEX($AO$1005:$BQ$1005,1,MATCH(COLUMNS($AO$1006:BF1006),$AO$1006:$BQ$1006,0))&gt;=100000), " ",IF(INDEX($AO$2:$BQ$1001,MATCH(ROWS($AH$2:AH477),$AH$2:$AH$1001,0),MATCH(COLUMNS($AO$1006:BF1006),$AO$1006:$BQ$1006,0)), HYPERLINK("#",""), HYPERLINK(CONCATENATE("#Metadata!", ADDRESS(INDEX($AJ$2:$AJ$1001,MATCH(ROWS($AH$2:AH477),$AH$2:$AH$1001,0),0), INDEX($AO$1004:$BQ$1004,1,MATCH(COLUMNS($AO$1006:BF1006),$AO$1006:$BQ$1006,0)))),"Fix")))</f>
        <v>#N/A</v>
      </c>
      <c r="T477" s="5" t="e">
        <f ca="1">IF(OR(INDEX($AI$2:$AI$1001,MATCH(ROWS($AH$2:AH477),$AH$2:$AH$1001,0),1)&gt;=100000,INDEX($AO$1005:$BQ$1005,1,MATCH(COLUMNS($AO$1006:BG1006),$AO$1006:$BQ$1006,0))&gt;=100000), " ",IF(INDEX($AO$2:$BQ$1001,MATCH(ROWS($AH$2:AH477),$AH$2:$AH$1001,0),MATCH(COLUMNS($AO$1006:BG1006),$AO$1006:$BQ$1006,0)), HYPERLINK("#",""), HYPERLINK(CONCATENATE("#Metadata!", ADDRESS(INDEX($AJ$2:$AJ$1001,MATCH(ROWS($AH$2:AH477),$AH$2:$AH$1001,0),0), INDEX($AO$1004:$BQ$1004,1,MATCH(COLUMNS($AO$1006:BG1006),$AO$1006:$BQ$1006,0)))),"Fix")))</f>
        <v>#N/A</v>
      </c>
      <c r="U477" s="5" t="e">
        <f ca="1">IF(OR(INDEX($AI$2:$AI$1001,MATCH(ROWS($AH$2:AH477),$AH$2:$AH$1001,0),1)&gt;=100000,INDEX($AO$1005:$BQ$1005,1,MATCH(COLUMNS($AO$1006:BH1006),$AO$1006:$BQ$1006,0))&gt;=100000), " ",IF(INDEX($AO$2:$BQ$1001,MATCH(ROWS($AH$2:AH477),$AH$2:$AH$1001,0),MATCH(COLUMNS($AO$1006:BH1006),$AO$1006:$BQ$1006,0)), HYPERLINK("#",""), HYPERLINK(CONCATENATE("#Metadata!", ADDRESS(INDEX($AJ$2:$AJ$1001,MATCH(ROWS($AH$2:AH477),$AH$2:$AH$1001,0),0), INDEX($AO$1004:$BQ$1004,1,MATCH(COLUMNS($AO$1006:BH1006),$AO$1006:$BQ$1006,0)))),"Fix")))</f>
        <v>#N/A</v>
      </c>
      <c r="V477" s="5" t="e">
        <f ca="1">IF(OR(INDEX($AI$2:$AI$1001,MATCH(ROWS($AH$2:AH477),$AH$2:$AH$1001,0),1)&gt;=100000,INDEX($AO$1005:$BQ$1005,1,MATCH(COLUMNS($AO$1006:BI1006),$AO$1006:$BQ$1006,0))&gt;=100000), " ",IF(INDEX($AO$2:$BQ$1001,MATCH(ROWS($AH$2:AH477),$AH$2:$AH$1001,0),MATCH(COLUMNS($AO$1006:BI1006),$AO$1006:$BQ$1006,0)), HYPERLINK("#",""), HYPERLINK(CONCATENATE("#Metadata!", ADDRESS(INDEX($AJ$2:$AJ$1001,MATCH(ROWS($AH$2:AH477),$AH$2:$AH$1001,0),0), INDEX($AO$1004:$BQ$1004,1,MATCH(COLUMNS($AO$1006:BI1006),$AO$1006:$BQ$1006,0)))),"Fix")))</f>
        <v>#N/A</v>
      </c>
      <c r="W477" s="5" t="e">
        <f ca="1">IF(OR(INDEX($AI$2:$AI$1001,MATCH(ROWS($AH$2:AH477),$AH$2:$AH$1001,0),1)&gt;=100000,INDEX($AO$1005:$BQ$1005,1,MATCH(COLUMNS($AO$1006:BJ1006),$AO$1006:$BQ$1006,0))&gt;=100000), " ",IF(INDEX($AO$2:$BQ$1001,MATCH(ROWS($AH$2:AH477),$AH$2:$AH$1001,0),MATCH(COLUMNS($AO$1006:BJ1006),$AO$1006:$BQ$1006,0)), HYPERLINK("#",""), HYPERLINK(CONCATENATE("#Metadata!", ADDRESS(INDEX($AJ$2:$AJ$1001,MATCH(ROWS($AH$2:AH477),$AH$2:$AH$1001,0),0), INDEX($AO$1004:$BQ$1004,1,MATCH(COLUMNS($AO$1006:BJ1006),$AO$1006:$BQ$1006,0)))),"Fix")))</f>
        <v>#N/A</v>
      </c>
      <c r="X477" s="5" t="e">
        <f ca="1">IF(OR(INDEX($AI$2:$AI$1001,MATCH(ROWS($AH$2:AH477),$AH$2:$AH$1001,0),1)&gt;=100000,INDEX($AO$1005:$BQ$1005,1,MATCH(COLUMNS($AO$1006:BK1006),$AO$1006:$BQ$1006,0))&gt;=100000), " ",IF(INDEX($AO$2:$BQ$1001,MATCH(ROWS($AH$2:AH477),$AH$2:$AH$1001,0),MATCH(COLUMNS($AO$1006:BK1006),$AO$1006:$BQ$1006,0)), HYPERLINK("#",""), HYPERLINK(CONCATENATE("#Metadata!", ADDRESS(INDEX($AJ$2:$AJ$1001,MATCH(ROWS($AH$2:AH477),$AH$2:$AH$1001,0),0), INDEX($AO$1004:$BQ$1004,1,MATCH(COLUMNS($AO$1006:BK1006),$AO$1006:$BQ$1006,0)))),"Fix")))</f>
        <v>#N/A</v>
      </c>
      <c r="Y477" s="5" t="e">
        <f ca="1">IF(OR(INDEX($AI$2:$AI$1001,MATCH(ROWS($AH$2:AH477),$AH$2:$AH$1001,0),1)&gt;=100000,INDEX($AO$1005:$BQ$1005,1,MATCH(COLUMNS($AO$1006:BL1006),$AO$1006:$BQ$1006,0))&gt;=100000), " ",IF(INDEX($AO$2:$BQ$1001,MATCH(ROWS($AH$2:AH477),$AH$2:$AH$1001,0),MATCH(COLUMNS($AO$1006:BL1006),$AO$1006:$BQ$1006,0)), HYPERLINK("#",""), HYPERLINK(CONCATENATE("#Metadata!", ADDRESS(INDEX($AJ$2:$AJ$1001,MATCH(ROWS($AH$2:AH477),$AH$2:$AH$1001,0),0), INDEX($AO$1004:$BQ$1004,1,MATCH(COLUMNS($AO$1006:BL1006),$AO$1006:$BQ$1006,0)))),"Fix")))</f>
        <v>#N/A</v>
      </c>
      <c r="Z477" s="5" t="e">
        <f ca="1">IF(OR(INDEX($AI$2:$AI$1001,MATCH(ROWS($AH$2:AH477),$AH$2:$AH$1001,0),1)&gt;=100000,INDEX($AO$1005:$BQ$1005,1,MATCH(COLUMNS($AO$1006:BM1006),$AO$1006:$BQ$1006,0))&gt;=100000), " ",IF(INDEX($AO$2:$BQ$1001,MATCH(ROWS($AH$2:AH477),$AH$2:$AH$1001,0),MATCH(COLUMNS($AO$1006:BM1006),$AO$1006:$BQ$1006,0)), HYPERLINK("#",""), HYPERLINK(CONCATENATE("#Metadata!", ADDRESS(INDEX($AJ$2:$AJ$1001,MATCH(ROWS($AH$2:AH477),$AH$2:$AH$1001,0),0), INDEX($AO$1004:$BQ$1004,1,MATCH(COLUMNS($AO$1006:BM1006),$AO$1006:$BQ$1006,0)))),"Fix")))</f>
        <v>#N/A</v>
      </c>
      <c r="AA477" s="5" t="e">
        <f ca="1">IF(OR(INDEX($AI$2:$AI$1001,MATCH(ROWS($AH$2:AH477),$AH$2:$AH$1001,0),1)&gt;=100000,INDEX($AO$1005:$BQ$1005,1,MATCH(COLUMNS($AO$1006:BN1006),$AO$1006:$BQ$1006,0))&gt;=100000), " ",IF(INDEX($AO$2:$BQ$1001,MATCH(ROWS($AH$2:AH477),$AH$2:$AH$1001,0),MATCH(COLUMNS($AO$1006:BN1006),$AO$1006:$BQ$1006,0)), HYPERLINK("#",""), HYPERLINK(CONCATENATE("#Metadata!", ADDRESS(INDEX($AJ$2:$AJ$1001,MATCH(ROWS($AH$2:AH477),$AH$2:$AH$1001,0),0), INDEX($AO$1004:$BQ$1004,1,MATCH(COLUMNS($AO$1006:BN1006),$AO$1006:$BQ$1006,0)))),"Fix")))</f>
        <v>#N/A</v>
      </c>
      <c r="AB477" s="5" t="e">
        <f ca="1">IF(OR(INDEX($AI$2:$AI$1001,MATCH(ROWS($AH$2:AH477),$AH$2:$AH$1001,0),1)&gt;=100000,INDEX($AO$1005:$BQ$1005,1,MATCH(COLUMNS($AO$1006:BO1006),$AO$1006:$BQ$1006,0))&gt;=100000), " ",IF(INDEX($AO$2:$BQ$1001,MATCH(ROWS($AH$2:AH477),$AH$2:$AH$1001,0),MATCH(COLUMNS($AO$1006:BO1006),$AO$1006:$BQ$1006,0)), HYPERLINK("#",""), HYPERLINK(CONCATENATE("#Metadata!", ADDRESS(INDEX($AJ$2:$AJ$1001,MATCH(ROWS($AH$2:AH477),$AH$2:$AH$1001,0),0), INDEX($AO$1004:$BQ$1004,1,MATCH(COLUMNS($AO$1006:BO1006),$AO$1006:$BQ$1006,0)))),"Fix")))</f>
        <v>#N/A</v>
      </c>
      <c r="AC477" s="5" t="e">
        <f ca="1">IF(OR(INDEX($AI$2:$AI$1001,MATCH(ROWS($AH$2:AH477),$AH$2:$AH$1001,0),1)&gt;=100000,INDEX($AO$1005:$BQ$1005,1,MATCH(COLUMNS($AO$1006:BP1006),$AO$1006:$BQ$1006,0))&gt;=100000), " ",IF(INDEX($AO$2:$BQ$1001,MATCH(ROWS($AH$2:AH477),$AH$2:$AH$1001,0),MATCH(COLUMNS($AO$1006:BP1006),$AO$1006:$BQ$1006,0)), HYPERLINK("#",""), HYPERLINK(CONCATENATE("#Metadata!", ADDRESS(INDEX($AJ$2:$AJ$1001,MATCH(ROWS($AH$2:AH477),$AH$2:$AH$1001,0),0), INDEX($AO$1004:$BQ$1004,1,MATCH(COLUMNS($AO$1006:BP1006),$AO$1006:$BQ$1006,0)))),"Fix")))</f>
        <v>#N/A</v>
      </c>
      <c r="AD477" s="5" t="e">
        <f ca="1">IF(OR(INDEX($AI$2:$AI$1001,MATCH(ROWS($AH$2:AH477),$AH$2:$AH$1001,0),1)&gt;=100000,INDEX($AO$1005:$BQ$1005,1,MATCH(COLUMNS($AO$1006:BQ1006),$AO$1006:$BQ$1006,0))&gt;=100000), " ",IF(INDEX($AO$2:$BQ$1001,MATCH(ROWS($AH$2:AH477),$AH$2:$AH$1001,0),MATCH(COLUMNS($AO$1006:BQ1006),$AO$1006:$BQ$1006,0)), HYPERLINK("#",""), HYPERLINK(CONCATENATE("#Metadata!", ADDRESS(INDEX($AJ$2:$AJ$1001,MATCH(ROWS($AH$2:AH477),$AH$2:$AH$1001,0),0), INDEX($AO$1004:$BQ$1004,1,MATCH(COLUMNS($AO$1006:BQ1006),$AO$1006:$BQ$1006,0)))),"Fix")))</f>
        <v>#REF!</v>
      </c>
      <c r="AH477">
        <f ca="1"/>
        <v>474</v>
      </c>
      <c r="AI477">
        <v>100477</v>
      </c>
      <c r="AJ477">
        <v>477</v>
      </c>
      <c r="AK477" t="b">
        <f t="shared" si="7"/>
        <v>1</v>
      </c>
      <c r="AL477" t="b">
        <f>COUNTBLANK(Metadata!B477:AD477)=COLUMNS(Metadata!B477:AD477)</f>
        <v>1</v>
      </c>
      <c r="AM477" t="str">
        <v/>
      </c>
      <c r="AO477" t="b">
        <f ca="1">AND(IF(Metadata!B477="",FALSE,TRUE),COUNTIF(Metadata!B:B, Metadata!B477) = 1,NOT(ISERROR(SUMPRODUCT(SEARCH(MID(Metadata!B477,ROW(INDIRECT("1:"&amp;LEN(Metadata!B477))), 1),"0123456789abcdefghijklmnopqrstuvwxyzABCDEFGHIJKLMNOPQRSTUVWXYZ.")))))</f>
        <v>0</v>
      </c>
      <c r="AP477" t="b">
        <f>IF(Metadata!C477="",FALSE,TRUE)</f>
        <v>0</v>
      </c>
      <c r="AQ477" t="b">
        <f>IF(Metadata!D477="",FALSE,TRUE)</f>
        <v>0</v>
      </c>
      <c r="AR477" t="b">
        <f ca="1">OR(AND(IF(Metadata!E477="",FALSE,TRUE),OR(EXACT(Metadata!E477,"not collected"),EXACT(Metadata!E477,"not provided"),EXACT(Metadata!E477,"restricted access"))),AND(IF(Metadata!E477="",FALSE,TRUE),AND(AND(IFERROR(INT(LEFT(Metadata!E477,4))&gt;1900,FALSE),IFERROR(INT(LEFT(Metadata!E477,4))&lt;=YEAR(NOW()),FALSE)), OR(MID(Metadata!E477,5,1)="", AND(AND(MID(Metadata!E477,5,1)="-",IFERROR(INT(MID(Metadata!E477,6,1))&gt;=0,FALSE),IFERROR(INT(MID(Metadata!E477,6,1))&lt;=1,FALSE),NOT(MID(Metadata!E477,7,1)=""),IFERROR(INT(MID(Metadata!E477,6,2))&gt;=1,FALSE),IFERROR(INT(MID(Metadata!E477,6,2))&lt;=12,FALSE)), OR(MID(Metadata!E477,8,1)="", AND(AND(MID(Metadata!E477,8,1)="-",IFERROR(INT(MID(Metadata!E477,9,1))&gt;=0,FALSE),IFERROR(INT(MID(Metadata!E477,9,1))&lt;=3,FALSE),NOT(MID(Metadata!E477,10,1)=""),IFERROR(INT(MID(Metadata!E477,9,2))&gt;=1,FALSE),IFERROR(INT(MID(Metadata!E477,9,2))&lt;=31,FALSE)), OR(MID(Metadata!E477,11,1)="", AND(AND(MID(Metadata!E477,11,1)=" ",IFERROR(INT(MID(Metadata!E477,12,1))&gt;=0,FALSE),IFERROR(INT(MID(Metadata!E477,12,1))&lt;=2,FALSE),NOT(MID(Metadata!E477,13,1)=""),IFERROR(INT(MID(Metadata!E477,12,2))&gt;=0,FALSE),IFERROR(INT(MID(Metadata!E477,12,2))&lt;=23,FALSE)), OR(MID(Metadata!E477,14,1)="", AND(AND(MID(Metadata!E477,14,1)=":",IFERROR(INT(MID(Metadata!E477,15,1))&gt;=0,FALSE),IFERROR(INT(MID(Metadata!E477,15,1))&lt;=5,FALSE),NOT(MID(Metadata!E477,16,1)=""),IFERROR(INT(MID(Metadata!E477,15,2))&gt;=0,FALSE),IFERROR(INT(MID(Metadata!E477,15,2))&lt;=59,FALSE)), OR(MID(Metadata!E477,17,1)="", AND(AND(MID(Metadata!E477,17,1)=":",IFERROR(INT(MID(Metadata!E477,18,1))&gt;=0,FALSE),IFERROR(INT(MID(Metadata!E477,18,1))&lt;=5,FALSE),NOT(MID(Metadata!E477,19,1)=""),IFERROR(INT(MID(Metadata!E477,18,2))&gt;=0,FALSE),IFERROR(INT(MID(Metadata!E477,18,2))&lt;=59,FALSE)), LEN(Metadata!E477)&lt;=19)))))))))))))</f>
        <v>0</v>
      </c>
      <c r="AS477" t="b">
        <f>IF(Metadata!F477="",FALSE,TRUE)</f>
        <v>0</v>
      </c>
      <c r="AT477" t="b">
        <f>OR(AND(IF(Metadata!G477="",FALSE,TRUE),OR(EXACT(Metadata!G477,"not collected"),EXACT(Metadata!G477,"not provided"))),AND(IF(Metadata!G477="",FALSE,TRUE),OR(EXACT(Metadata!G477,"TRUE"),EXACT(Metadata!G477,"FALSE"))))</f>
        <v>0</v>
      </c>
      <c r="AU477" t="b">
        <f>OR(AND(IF(Metadata!H477="",FALSE,TRUE),OR(EXACT(Metadata!H477,"not collected"),EXACT(Metadata!H477,"not provided"),EXACT(Metadata!H477,"restricted access"))),AND(IF(Metadata!H477="",FALSE,ISNUMBER(VALUE(Metadata!H477))),Metadata!H477&gt;=-413))</f>
        <v>0</v>
      </c>
      <c r="AV477" t="b">
        <f>AND(IF(Metadata!I477="",FALSE,TRUE),EXACT(Metadata!I477,"meters"))</f>
        <v>0</v>
      </c>
      <c r="AW477" t="b">
        <f>AND(IF(Metadata!J477="",FALSE,TRUE),EXACT(Metadata!J477,"free-living"))</f>
        <v>0</v>
      </c>
      <c r="AX477" t="b">
        <f>AND(IF(Metadata!K477="",FALSE,TRUE),OR(EXACT(Metadata!K477,"saline"),EXACT(Metadata!K477,"non-saline")))</f>
        <v>0</v>
      </c>
      <c r="AY477" t="b">
        <f>AND(IF(Metadata!L477="",FALSE,TRUE),OR(EXACT(Metadata!L477,"sub-surface (non-saline)"),EXACT(Metadata!L477,"surface (non-saline)"),EXACT(Metadata!L477,"water (non-saline)"),EXACT(Metadata!L477,"soil (non-saline)"),EXACT(Metadata!L477,"aerosol (non-saline)"),EXACT(Metadata!L477,"sediment (non-saline)"),EXACT(Metadata!L477,"surface (saline)"),EXACT(Metadata!L477,"water (saline)"),EXACT(Metadata!L477,"hypersaline (saline)"),EXACT(Metadata!L477,"aerosol (saline)"),EXACT(Metadata!L477,"sediment (saline)")))</f>
        <v>0</v>
      </c>
      <c r="AZ477" t="b">
        <f>IF(Metadata!M477="",FALSE,TRUE)</f>
        <v>0</v>
      </c>
      <c r="BA477" t="b">
        <f>IF(Metadata!N477="",FALSE,TRUE)</f>
        <v>0</v>
      </c>
      <c r="BB477" t="b">
        <f>IF(Metadata!O477="",FALSE,TRUE)</f>
        <v>0</v>
      </c>
      <c r="BC477" t="b">
        <f>AND(IF(Metadata!P477="",FALSE,TRUE),OR(EXACT(Metadata!P477,"air"),EXACT(Metadata!P477,"microbial mat/biofilm"),EXACT(Metadata!P477,"misc environment"),EXACT(Metadata!P477,"sediment"),EXACT(Metadata!P477,"soil"),EXACT(Metadata!P477,"wastewater/sludge"),EXACT(Metadata!P477,"water")))</f>
        <v>0</v>
      </c>
      <c r="BD477" t="b">
        <f>IF(Metadata!Q477="",FALSE,TRUE)</f>
        <v>0</v>
      </c>
      <c r="BE477" t="b">
        <f>IF(Metadata!R477="",FALSE,TRUE)</f>
        <v>0</v>
      </c>
      <c r="BF477" t="b">
        <f>OR(AND(IF(Metadata!S477="",FALSE,TRUE),OR(EXACT(Metadata!S477,"not collected"),EXACT(Metadata!S477,"not provided"),EXACT(Metadata!S477,"restricted access"))),AND(IF(Metadata!S477="",FALSE,ISNUMBER(VALUE(Metadata!S477))),Metadata!S477&gt;=-90,Metadata!S477&lt;=90))</f>
        <v>0</v>
      </c>
      <c r="BG477" t="b">
        <f>AND(IF(Metadata!T477="",FALSE,TRUE),EXACT(Metadata!T477,"Decimal degrees"))</f>
        <v>0</v>
      </c>
      <c r="BH477" t="b">
        <f>OR(AND(IF(Metadata!U477="",FALSE,TRUE),OR(EXACT(Metadata!U477,"not applicable"),EXACT(Metadata!U477,"not collected"))),IF(Metadata!U477="",FALSE,TRUE))</f>
        <v>0</v>
      </c>
      <c r="BI477" t="b">
        <f>OR(AND(IF(Metadata!V477="",FALSE,TRUE),OR(EXACT(Metadata!V477,"not collected"),EXACT(Metadata!V477,"not provided"),EXACT(Metadata!V477,"restricted access"))),AND(IF(Metadata!V477="",FALSE,ISNUMBER(VALUE(Metadata!V477))),Metadata!V477&gt;=-180,Metadata!V477&lt;=180))</f>
        <v>0</v>
      </c>
      <c r="BJ477" t="b">
        <f>AND(IF(Metadata!W477="",FALSE,TRUE),EXACT(Metadata!W477,"Decimal degrees"))</f>
        <v>0</v>
      </c>
      <c r="BK477" t="b">
        <f>IF(Metadata!X477="",FALSE,TRUE)</f>
        <v>0</v>
      </c>
      <c r="BL477" t="b">
        <f>OR(AND(IF(Metadata!Y477="",FALSE,TRUE),OR(EXACT(Metadata!Y477,"not collected"),EXACT(Metadata!Y477,"not provided"),EXACT(Metadata!Y477,"restricted access"))),AND(IF(Metadata!Y477="",FALSE,TRUE),OR(EXACT(Metadata!Y477,"TRUE"),EXACT(Metadata!Y477,"FALSE"))))</f>
        <v>0</v>
      </c>
      <c r="BM477" t="b">
        <f>OR(AND(IF(Metadata!Z477="",FALSE,TRUE),EXACT(Metadata!Z477,"not applicable")),AND(IF(Metadata!Z477="",FALSE,TRUE),OR(EXACT(Metadata!Z477,"beer"),EXACT(Metadata!Z477,"cheese"),EXACT(Metadata!Z477,"fresh water"),EXACT(Metadata!Z477,"marine sediment"),EXACT(Metadata!Z477,"sea water"),EXACT(Metadata!Z477,"sediment"),EXACT(Metadata!Z477,"soil"),EXACT(Metadata!Z477,"waste water"))))</f>
        <v>0</v>
      </c>
      <c r="BN477" t="b">
        <f>AND(IF(Metadata!AA477="",FALSE,TRUE),EXACT(Metadata!AA477,"metagenome"))</f>
        <v>0</v>
      </c>
      <c r="BO477" t="b">
        <f>AND(IF(Metadata!AB477="",FALSE,TRUE),EXACT(Metadata!AB477,"256318"))</f>
        <v>0</v>
      </c>
      <c r="BP477" t="b">
        <f>IF(Metadata!AC477="",FALSE,TRUE)</f>
        <v>0</v>
      </c>
      <c r="BQ477" t="b">
        <f>IF(Metadata!AD477="",FALSE,TRUE)</f>
        <v>0</v>
      </c>
    </row>
    <row r="478" spans="1:69" x14ac:dyDescent="0.2">
      <c r="A478" s="4" t="e">
        <f ca="1">IF(B478=" "," ",HYPERLINK(CONCATENATE("#metadata!",ADDRESS(INDEX($AJ$2:$AJ$1001,MATCH(ROWS($AH$2:AH478),$AH$2:$AH$1001,0),0),2)),INDEX($AM$2:$AM$1001,MATCH(ROWS($AH$2:AH478),$AH$2:$AH$1001,0),0)))</f>
        <v>#N/A</v>
      </c>
      <c r="B478" s="5" t="e">
        <f ca="1">IF(OR(INDEX($AI$2:$AI$1001,MATCH(ROWS($AH$2:AH478),$AH$2:$AH$1001,0),1)&gt;=100000,INDEX($AO$1005:$BQ$1005,1,MATCH(COLUMNS($AO$1006:AO1006),$AO$1006:$BQ$1006,0))&gt;=100000), " ",IF(INDEX($AO$2:$BQ$1001,MATCH(ROWS($AH$2:AH478),$AH$2:$AH$1001,0),MATCH(COLUMNS($AO$1006:AO1006),$AO$1006:$BQ$1006,0)), HYPERLINK("#",""), HYPERLINK(CONCATENATE("#Metadata!", ADDRESS(INDEX($AJ$2:$AJ$1001,MATCH(ROWS($AH$2:AH478),$AH$2:$AH$1001,0),0), INDEX($AO$1004:$BQ$1004,1,MATCH(COLUMNS($AO$1006:AO1006),$AO$1006:$BQ$1006,0)))),"Fix")))</f>
        <v>#N/A</v>
      </c>
      <c r="C478" s="5" t="e">
        <f ca="1">IF(OR(INDEX($AI$2:$AI$1001,MATCH(ROWS($AH$2:AH478),$AH$2:$AH$1001,0),1)&gt;=100000,INDEX($AO$1005:$BQ$1005,1,MATCH(COLUMNS($AO$1006:AP1006),$AO$1006:$BQ$1006,0))&gt;=100000), " ",IF(INDEX($AO$2:$BQ$1001,MATCH(ROWS($AH$2:AH478),$AH$2:$AH$1001,0),MATCH(COLUMNS($AO$1006:AP1006),$AO$1006:$BQ$1006,0)), HYPERLINK("#",""), HYPERLINK(CONCATENATE("#Metadata!", ADDRESS(INDEX($AJ$2:$AJ$1001,MATCH(ROWS($AH$2:AH478),$AH$2:$AH$1001,0),0), INDEX($AO$1004:$BQ$1004,1,MATCH(COLUMNS($AO$1006:AP1006),$AO$1006:$BQ$1006,0)))),"Fix")))</f>
        <v>#N/A</v>
      </c>
      <c r="D478" s="5" t="e">
        <f ca="1">IF(OR(INDEX($AI$2:$AI$1001,MATCH(ROWS($AH$2:AH478),$AH$2:$AH$1001,0),1)&gt;=100000,INDEX($AO$1005:$BQ$1005,1,MATCH(COLUMNS($AO$1006:AQ1006),$AO$1006:$BQ$1006,0))&gt;=100000), " ",IF(INDEX($AO$2:$BQ$1001,MATCH(ROWS($AH$2:AH478),$AH$2:$AH$1001,0),MATCH(COLUMNS($AO$1006:AQ1006),$AO$1006:$BQ$1006,0)), HYPERLINK("#",""), HYPERLINK(CONCATENATE("#Metadata!", ADDRESS(INDEX($AJ$2:$AJ$1001,MATCH(ROWS($AH$2:AH478),$AH$2:$AH$1001,0),0), INDEX($AO$1004:$BQ$1004,1,MATCH(COLUMNS($AO$1006:AQ1006),$AO$1006:$BQ$1006,0)))),"Fix")))</f>
        <v>#N/A</v>
      </c>
      <c r="E478" s="5" t="e">
        <f ca="1">IF(OR(INDEX($AI$2:$AI$1001,MATCH(ROWS($AH$2:AH478),$AH$2:$AH$1001,0),1)&gt;=100000,INDEX($AO$1005:$BQ$1005,1,MATCH(COLUMNS($AO$1006:AR1006),$AO$1006:$BQ$1006,0))&gt;=100000), " ",IF(INDEX($AO$2:$BQ$1001,MATCH(ROWS($AH$2:AH478),$AH$2:$AH$1001,0),MATCH(COLUMNS($AO$1006:AR1006),$AO$1006:$BQ$1006,0)), HYPERLINK("#",""), HYPERLINK(CONCATENATE("#Metadata!", ADDRESS(INDEX($AJ$2:$AJ$1001,MATCH(ROWS($AH$2:AH478),$AH$2:$AH$1001,0),0), INDEX($AO$1004:$BQ$1004,1,MATCH(COLUMNS($AO$1006:AR1006),$AO$1006:$BQ$1006,0)))),"Fix")))</f>
        <v>#N/A</v>
      </c>
      <c r="F478" s="5" t="e">
        <f ca="1">IF(OR(INDEX($AI$2:$AI$1001,MATCH(ROWS($AH$2:AH478),$AH$2:$AH$1001,0),1)&gt;=100000,INDEX($AO$1005:$BQ$1005,1,MATCH(COLUMNS($AO$1006:AS1006),$AO$1006:$BQ$1006,0))&gt;=100000), " ",IF(INDEX($AO$2:$BQ$1001,MATCH(ROWS($AH$2:AH478),$AH$2:$AH$1001,0),MATCH(COLUMNS($AO$1006:AS1006),$AO$1006:$BQ$1006,0)), HYPERLINK("#",""), HYPERLINK(CONCATENATE("#Metadata!", ADDRESS(INDEX($AJ$2:$AJ$1001,MATCH(ROWS($AH$2:AH478),$AH$2:$AH$1001,0),0), INDEX($AO$1004:$BQ$1004,1,MATCH(COLUMNS($AO$1006:AS1006),$AO$1006:$BQ$1006,0)))),"Fix")))</f>
        <v>#N/A</v>
      </c>
      <c r="G478" s="5" t="e">
        <f ca="1">IF(OR(INDEX($AI$2:$AI$1001,MATCH(ROWS($AH$2:AH478),$AH$2:$AH$1001,0),1)&gt;=100000,INDEX($AO$1005:$BQ$1005,1,MATCH(COLUMNS($AO$1006:AT1006),$AO$1006:$BQ$1006,0))&gt;=100000), " ",IF(INDEX($AO$2:$BQ$1001,MATCH(ROWS($AH$2:AH478),$AH$2:$AH$1001,0),MATCH(COLUMNS($AO$1006:AT1006),$AO$1006:$BQ$1006,0)), HYPERLINK("#",""), HYPERLINK(CONCATENATE("#Metadata!", ADDRESS(INDEX($AJ$2:$AJ$1001,MATCH(ROWS($AH$2:AH478),$AH$2:$AH$1001,0),0), INDEX($AO$1004:$BQ$1004,1,MATCH(COLUMNS($AO$1006:AT1006),$AO$1006:$BQ$1006,0)))),"Fix")))</f>
        <v>#N/A</v>
      </c>
      <c r="H478" s="5" t="e">
        <f ca="1">IF(OR(INDEX($AI$2:$AI$1001,MATCH(ROWS($AH$2:AH478),$AH$2:$AH$1001,0),1)&gt;=100000,INDEX($AO$1005:$BQ$1005,1,MATCH(COLUMNS($AO$1006:AU1006),$AO$1006:$BQ$1006,0))&gt;=100000), " ",IF(INDEX($AO$2:$BQ$1001,MATCH(ROWS($AH$2:AH478),$AH$2:$AH$1001,0),MATCH(COLUMNS($AO$1006:AU1006),$AO$1006:$BQ$1006,0)), HYPERLINK("#",""), HYPERLINK(CONCATENATE("#Metadata!", ADDRESS(INDEX($AJ$2:$AJ$1001,MATCH(ROWS($AH$2:AH478),$AH$2:$AH$1001,0),0), INDEX($AO$1004:$BQ$1004,1,MATCH(COLUMNS($AO$1006:AU1006),$AO$1006:$BQ$1006,0)))),"Fix")))</f>
        <v>#N/A</v>
      </c>
      <c r="I478" s="5" t="e">
        <f ca="1">IF(OR(INDEX($AI$2:$AI$1001,MATCH(ROWS($AH$2:AH478),$AH$2:$AH$1001,0),1)&gt;=100000,INDEX($AO$1005:$BQ$1005,1,MATCH(COLUMNS($AO$1006:AV1006),$AO$1006:$BQ$1006,0))&gt;=100000), " ",IF(INDEX($AO$2:$BQ$1001,MATCH(ROWS($AH$2:AH478),$AH$2:$AH$1001,0),MATCH(COLUMNS($AO$1006:AV1006),$AO$1006:$BQ$1006,0)), HYPERLINK("#",""), HYPERLINK(CONCATENATE("#Metadata!", ADDRESS(INDEX($AJ$2:$AJ$1001,MATCH(ROWS($AH$2:AH478),$AH$2:$AH$1001,0),0), INDEX($AO$1004:$BQ$1004,1,MATCH(COLUMNS($AO$1006:AV1006),$AO$1006:$BQ$1006,0)))),"Fix")))</f>
        <v>#N/A</v>
      </c>
      <c r="J478" s="5" t="e">
        <f ca="1">IF(OR(INDEX($AI$2:$AI$1001,MATCH(ROWS($AH$2:AH478),$AH$2:$AH$1001,0),1)&gt;=100000,INDEX($AO$1005:$BQ$1005,1,MATCH(COLUMNS($AO$1006:AW1006),$AO$1006:$BQ$1006,0))&gt;=100000), " ",IF(INDEX($AO$2:$BQ$1001,MATCH(ROWS($AH$2:AH478),$AH$2:$AH$1001,0),MATCH(COLUMNS($AO$1006:AW1006),$AO$1006:$BQ$1006,0)), HYPERLINK("#",""), HYPERLINK(CONCATENATE("#Metadata!", ADDRESS(INDEX($AJ$2:$AJ$1001,MATCH(ROWS($AH$2:AH478),$AH$2:$AH$1001,0),0), INDEX($AO$1004:$BQ$1004,1,MATCH(COLUMNS($AO$1006:AW1006),$AO$1006:$BQ$1006,0)))),"Fix")))</f>
        <v>#N/A</v>
      </c>
      <c r="K478" s="5" t="e">
        <f ca="1">IF(OR(INDEX($AI$2:$AI$1001,MATCH(ROWS($AH$2:AH478),$AH$2:$AH$1001,0),1)&gt;=100000,INDEX($AO$1005:$BQ$1005,1,MATCH(COLUMNS($AO$1006:AX1006),$AO$1006:$BQ$1006,0))&gt;=100000), " ",IF(INDEX($AO$2:$BQ$1001,MATCH(ROWS($AH$2:AH478),$AH$2:$AH$1001,0),MATCH(COLUMNS($AO$1006:AX1006),$AO$1006:$BQ$1006,0)), HYPERLINK("#",""), HYPERLINK(CONCATENATE("#Metadata!", ADDRESS(INDEX($AJ$2:$AJ$1001,MATCH(ROWS($AH$2:AH478),$AH$2:$AH$1001,0),0), INDEX($AO$1004:$BQ$1004,1,MATCH(COLUMNS($AO$1006:AX1006),$AO$1006:$BQ$1006,0)))),"Fix")))</f>
        <v>#N/A</v>
      </c>
      <c r="L478" s="5" t="e">
        <f ca="1">IF(OR(INDEX($AI$2:$AI$1001,MATCH(ROWS($AH$2:AH478),$AH$2:$AH$1001,0),1)&gt;=100000,INDEX($AO$1005:$BQ$1005,1,MATCH(COLUMNS($AO$1006:AY1006),$AO$1006:$BQ$1006,0))&gt;=100000), " ",IF(INDEX($AO$2:$BQ$1001,MATCH(ROWS($AH$2:AH478),$AH$2:$AH$1001,0),MATCH(COLUMNS($AO$1006:AY1006),$AO$1006:$BQ$1006,0)), HYPERLINK("#",""), HYPERLINK(CONCATENATE("#Metadata!", ADDRESS(INDEX($AJ$2:$AJ$1001,MATCH(ROWS($AH$2:AH478),$AH$2:$AH$1001,0),0), INDEX($AO$1004:$BQ$1004,1,MATCH(COLUMNS($AO$1006:AY1006),$AO$1006:$BQ$1006,0)))),"Fix")))</f>
        <v>#N/A</v>
      </c>
      <c r="M478" s="5" t="e">
        <f ca="1">IF(OR(INDEX($AI$2:$AI$1001,MATCH(ROWS($AH$2:AH478),$AH$2:$AH$1001,0),1)&gt;=100000,INDEX($AO$1005:$BQ$1005,1,MATCH(COLUMNS($AO$1006:AZ1006),$AO$1006:$BQ$1006,0))&gt;=100000), " ",IF(INDEX($AO$2:$BQ$1001,MATCH(ROWS($AH$2:AH478),$AH$2:$AH$1001,0),MATCH(COLUMNS($AO$1006:AZ1006),$AO$1006:$BQ$1006,0)), HYPERLINK("#",""), HYPERLINK(CONCATENATE("#Metadata!", ADDRESS(INDEX($AJ$2:$AJ$1001,MATCH(ROWS($AH$2:AH478),$AH$2:$AH$1001,0),0), INDEX($AO$1004:$BQ$1004,1,MATCH(COLUMNS($AO$1006:AZ1006),$AO$1006:$BQ$1006,0)))),"Fix")))</f>
        <v>#N/A</v>
      </c>
      <c r="N478" s="5" t="e">
        <f ca="1">IF(OR(INDEX($AI$2:$AI$1001,MATCH(ROWS($AH$2:AH478),$AH$2:$AH$1001,0),1)&gt;=100000,INDEX($AO$1005:$BQ$1005,1,MATCH(COLUMNS($AO$1006:BA1006),$AO$1006:$BQ$1006,0))&gt;=100000), " ",IF(INDEX($AO$2:$BQ$1001,MATCH(ROWS($AH$2:AH478),$AH$2:$AH$1001,0),MATCH(COLUMNS($AO$1006:BA1006),$AO$1006:$BQ$1006,0)), HYPERLINK("#",""), HYPERLINK(CONCATENATE("#Metadata!", ADDRESS(INDEX($AJ$2:$AJ$1001,MATCH(ROWS($AH$2:AH478),$AH$2:$AH$1001,0),0), INDEX($AO$1004:$BQ$1004,1,MATCH(COLUMNS($AO$1006:BA1006),$AO$1006:$BQ$1006,0)))),"Fix")))</f>
        <v>#N/A</v>
      </c>
      <c r="O478" s="5" t="e">
        <f ca="1">IF(OR(INDEX($AI$2:$AI$1001,MATCH(ROWS($AH$2:AH478),$AH$2:$AH$1001,0),1)&gt;=100000,INDEX($AO$1005:$BQ$1005,1,MATCH(COLUMNS($AO$1006:BB1006),$AO$1006:$BQ$1006,0))&gt;=100000), " ",IF(INDEX($AO$2:$BQ$1001,MATCH(ROWS($AH$2:AH478),$AH$2:$AH$1001,0),MATCH(COLUMNS($AO$1006:BB1006),$AO$1006:$BQ$1006,0)), HYPERLINK("#",""), HYPERLINK(CONCATENATE("#Metadata!", ADDRESS(INDEX($AJ$2:$AJ$1001,MATCH(ROWS($AH$2:AH478),$AH$2:$AH$1001,0),0), INDEX($AO$1004:$BQ$1004,1,MATCH(COLUMNS($AO$1006:BB1006),$AO$1006:$BQ$1006,0)))),"Fix")))</f>
        <v>#N/A</v>
      </c>
      <c r="P478" s="5" t="e">
        <f ca="1">IF(OR(INDEX($AI$2:$AI$1001,MATCH(ROWS($AH$2:AH478),$AH$2:$AH$1001,0),1)&gt;=100000,INDEX($AO$1005:$BQ$1005,1,MATCH(COLUMNS($AO$1006:BC1006),$AO$1006:$BQ$1006,0))&gt;=100000), " ",IF(INDEX($AO$2:$BQ$1001,MATCH(ROWS($AH$2:AH478),$AH$2:$AH$1001,0),MATCH(COLUMNS($AO$1006:BC1006),$AO$1006:$BQ$1006,0)), HYPERLINK("#",""), HYPERLINK(CONCATENATE("#Metadata!", ADDRESS(INDEX($AJ$2:$AJ$1001,MATCH(ROWS($AH$2:AH478),$AH$2:$AH$1001,0),0), INDEX($AO$1004:$BQ$1004,1,MATCH(COLUMNS($AO$1006:BC1006),$AO$1006:$BQ$1006,0)))),"Fix")))</f>
        <v>#N/A</v>
      </c>
      <c r="Q478" s="5" t="e">
        <f ca="1">IF(OR(INDEX($AI$2:$AI$1001,MATCH(ROWS($AH$2:AH478),$AH$2:$AH$1001,0),1)&gt;=100000,INDEX($AO$1005:$BQ$1005,1,MATCH(COLUMNS($AO$1006:BD1006),$AO$1006:$BQ$1006,0))&gt;=100000), " ",IF(INDEX($AO$2:$BQ$1001,MATCH(ROWS($AH$2:AH478),$AH$2:$AH$1001,0),MATCH(COLUMNS($AO$1006:BD1006),$AO$1006:$BQ$1006,0)), HYPERLINK("#",""), HYPERLINK(CONCATENATE("#Metadata!", ADDRESS(INDEX($AJ$2:$AJ$1001,MATCH(ROWS($AH$2:AH478),$AH$2:$AH$1001,0),0), INDEX($AO$1004:$BQ$1004,1,MATCH(COLUMNS($AO$1006:BD1006),$AO$1006:$BQ$1006,0)))),"Fix")))</f>
        <v>#N/A</v>
      </c>
      <c r="R478" s="5" t="e">
        <f ca="1">IF(OR(INDEX($AI$2:$AI$1001,MATCH(ROWS($AH$2:AH478),$AH$2:$AH$1001,0),1)&gt;=100000,INDEX($AO$1005:$BQ$1005,1,MATCH(COLUMNS($AO$1006:BE1006),$AO$1006:$BQ$1006,0))&gt;=100000), " ",IF(INDEX($AO$2:$BQ$1001,MATCH(ROWS($AH$2:AH478),$AH$2:$AH$1001,0),MATCH(COLUMNS($AO$1006:BE1006),$AO$1006:$BQ$1006,0)), HYPERLINK("#",""), HYPERLINK(CONCATENATE("#Metadata!", ADDRESS(INDEX($AJ$2:$AJ$1001,MATCH(ROWS($AH$2:AH478),$AH$2:$AH$1001,0),0), INDEX($AO$1004:$BQ$1004,1,MATCH(COLUMNS($AO$1006:BE1006),$AO$1006:$BQ$1006,0)))),"Fix")))</f>
        <v>#N/A</v>
      </c>
      <c r="S478" s="5" t="e">
        <f ca="1">IF(OR(INDEX($AI$2:$AI$1001,MATCH(ROWS($AH$2:AH478),$AH$2:$AH$1001,0),1)&gt;=100000,INDEX($AO$1005:$BQ$1005,1,MATCH(COLUMNS($AO$1006:BF1006),$AO$1006:$BQ$1006,0))&gt;=100000), " ",IF(INDEX($AO$2:$BQ$1001,MATCH(ROWS($AH$2:AH478),$AH$2:$AH$1001,0),MATCH(COLUMNS($AO$1006:BF1006),$AO$1006:$BQ$1006,0)), HYPERLINK("#",""), HYPERLINK(CONCATENATE("#Metadata!", ADDRESS(INDEX($AJ$2:$AJ$1001,MATCH(ROWS($AH$2:AH478),$AH$2:$AH$1001,0),0), INDEX($AO$1004:$BQ$1004,1,MATCH(COLUMNS($AO$1006:BF1006),$AO$1006:$BQ$1006,0)))),"Fix")))</f>
        <v>#N/A</v>
      </c>
      <c r="T478" s="5" t="e">
        <f ca="1">IF(OR(INDEX($AI$2:$AI$1001,MATCH(ROWS($AH$2:AH478),$AH$2:$AH$1001,0),1)&gt;=100000,INDEX($AO$1005:$BQ$1005,1,MATCH(COLUMNS($AO$1006:BG1006),$AO$1006:$BQ$1006,0))&gt;=100000), " ",IF(INDEX($AO$2:$BQ$1001,MATCH(ROWS($AH$2:AH478),$AH$2:$AH$1001,0),MATCH(COLUMNS($AO$1006:BG1006),$AO$1006:$BQ$1006,0)), HYPERLINK("#",""), HYPERLINK(CONCATENATE("#Metadata!", ADDRESS(INDEX($AJ$2:$AJ$1001,MATCH(ROWS($AH$2:AH478),$AH$2:$AH$1001,0),0), INDEX($AO$1004:$BQ$1004,1,MATCH(COLUMNS($AO$1006:BG1006),$AO$1006:$BQ$1006,0)))),"Fix")))</f>
        <v>#N/A</v>
      </c>
      <c r="U478" s="5" t="e">
        <f ca="1">IF(OR(INDEX($AI$2:$AI$1001,MATCH(ROWS($AH$2:AH478),$AH$2:$AH$1001,0),1)&gt;=100000,INDEX($AO$1005:$BQ$1005,1,MATCH(COLUMNS($AO$1006:BH1006),$AO$1006:$BQ$1006,0))&gt;=100000), " ",IF(INDEX($AO$2:$BQ$1001,MATCH(ROWS($AH$2:AH478),$AH$2:$AH$1001,0),MATCH(COLUMNS($AO$1006:BH1006),$AO$1006:$BQ$1006,0)), HYPERLINK("#",""), HYPERLINK(CONCATENATE("#Metadata!", ADDRESS(INDEX($AJ$2:$AJ$1001,MATCH(ROWS($AH$2:AH478),$AH$2:$AH$1001,0),0), INDEX($AO$1004:$BQ$1004,1,MATCH(COLUMNS($AO$1006:BH1006),$AO$1006:$BQ$1006,0)))),"Fix")))</f>
        <v>#N/A</v>
      </c>
      <c r="V478" s="5" t="e">
        <f ca="1">IF(OR(INDEX($AI$2:$AI$1001,MATCH(ROWS($AH$2:AH478),$AH$2:$AH$1001,0),1)&gt;=100000,INDEX($AO$1005:$BQ$1005,1,MATCH(COLUMNS($AO$1006:BI1006),$AO$1006:$BQ$1006,0))&gt;=100000), " ",IF(INDEX($AO$2:$BQ$1001,MATCH(ROWS($AH$2:AH478),$AH$2:$AH$1001,0),MATCH(COLUMNS($AO$1006:BI1006),$AO$1006:$BQ$1006,0)), HYPERLINK("#",""), HYPERLINK(CONCATENATE("#Metadata!", ADDRESS(INDEX($AJ$2:$AJ$1001,MATCH(ROWS($AH$2:AH478),$AH$2:$AH$1001,0),0), INDEX($AO$1004:$BQ$1004,1,MATCH(COLUMNS($AO$1006:BI1006),$AO$1006:$BQ$1006,0)))),"Fix")))</f>
        <v>#N/A</v>
      </c>
      <c r="W478" s="5" t="e">
        <f ca="1">IF(OR(INDEX($AI$2:$AI$1001,MATCH(ROWS($AH$2:AH478),$AH$2:$AH$1001,0),1)&gt;=100000,INDEX($AO$1005:$BQ$1005,1,MATCH(COLUMNS($AO$1006:BJ1006),$AO$1006:$BQ$1006,0))&gt;=100000), " ",IF(INDEX($AO$2:$BQ$1001,MATCH(ROWS($AH$2:AH478),$AH$2:$AH$1001,0),MATCH(COLUMNS($AO$1006:BJ1006),$AO$1006:$BQ$1006,0)), HYPERLINK("#",""), HYPERLINK(CONCATENATE("#Metadata!", ADDRESS(INDEX($AJ$2:$AJ$1001,MATCH(ROWS($AH$2:AH478),$AH$2:$AH$1001,0),0), INDEX($AO$1004:$BQ$1004,1,MATCH(COLUMNS($AO$1006:BJ1006),$AO$1006:$BQ$1006,0)))),"Fix")))</f>
        <v>#N/A</v>
      </c>
      <c r="X478" s="5" t="e">
        <f ca="1">IF(OR(INDEX($AI$2:$AI$1001,MATCH(ROWS($AH$2:AH478),$AH$2:$AH$1001,0),1)&gt;=100000,INDEX($AO$1005:$BQ$1005,1,MATCH(COLUMNS($AO$1006:BK1006),$AO$1006:$BQ$1006,0))&gt;=100000), " ",IF(INDEX($AO$2:$BQ$1001,MATCH(ROWS($AH$2:AH478),$AH$2:$AH$1001,0),MATCH(COLUMNS($AO$1006:BK1006),$AO$1006:$BQ$1006,0)), HYPERLINK("#",""), HYPERLINK(CONCATENATE("#Metadata!", ADDRESS(INDEX($AJ$2:$AJ$1001,MATCH(ROWS($AH$2:AH478),$AH$2:$AH$1001,0),0), INDEX($AO$1004:$BQ$1004,1,MATCH(COLUMNS($AO$1006:BK1006),$AO$1006:$BQ$1006,0)))),"Fix")))</f>
        <v>#N/A</v>
      </c>
      <c r="Y478" s="5" t="e">
        <f ca="1">IF(OR(INDEX($AI$2:$AI$1001,MATCH(ROWS($AH$2:AH478),$AH$2:$AH$1001,0),1)&gt;=100000,INDEX($AO$1005:$BQ$1005,1,MATCH(COLUMNS($AO$1006:BL1006),$AO$1006:$BQ$1006,0))&gt;=100000), " ",IF(INDEX($AO$2:$BQ$1001,MATCH(ROWS($AH$2:AH478),$AH$2:$AH$1001,0),MATCH(COLUMNS($AO$1006:BL1006),$AO$1006:$BQ$1006,0)), HYPERLINK("#",""), HYPERLINK(CONCATENATE("#Metadata!", ADDRESS(INDEX($AJ$2:$AJ$1001,MATCH(ROWS($AH$2:AH478),$AH$2:$AH$1001,0),0), INDEX($AO$1004:$BQ$1004,1,MATCH(COLUMNS($AO$1006:BL1006),$AO$1006:$BQ$1006,0)))),"Fix")))</f>
        <v>#N/A</v>
      </c>
      <c r="Z478" s="5" t="e">
        <f ca="1">IF(OR(INDEX($AI$2:$AI$1001,MATCH(ROWS($AH$2:AH478),$AH$2:$AH$1001,0),1)&gt;=100000,INDEX($AO$1005:$BQ$1005,1,MATCH(COLUMNS($AO$1006:BM1006),$AO$1006:$BQ$1006,0))&gt;=100000), " ",IF(INDEX($AO$2:$BQ$1001,MATCH(ROWS($AH$2:AH478),$AH$2:$AH$1001,0),MATCH(COLUMNS($AO$1006:BM1006),$AO$1006:$BQ$1006,0)), HYPERLINK("#",""), HYPERLINK(CONCATENATE("#Metadata!", ADDRESS(INDEX($AJ$2:$AJ$1001,MATCH(ROWS($AH$2:AH478),$AH$2:$AH$1001,0),0), INDEX($AO$1004:$BQ$1004,1,MATCH(COLUMNS($AO$1006:BM1006),$AO$1006:$BQ$1006,0)))),"Fix")))</f>
        <v>#N/A</v>
      </c>
      <c r="AA478" s="5" t="e">
        <f ca="1">IF(OR(INDEX($AI$2:$AI$1001,MATCH(ROWS($AH$2:AH478),$AH$2:$AH$1001,0),1)&gt;=100000,INDEX($AO$1005:$BQ$1005,1,MATCH(COLUMNS($AO$1006:BN1006),$AO$1006:$BQ$1006,0))&gt;=100000), " ",IF(INDEX($AO$2:$BQ$1001,MATCH(ROWS($AH$2:AH478),$AH$2:$AH$1001,0),MATCH(COLUMNS($AO$1006:BN1006),$AO$1006:$BQ$1006,0)), HYPERLINK("#",""), HYPERLINK(CONCATENATE("#Metadata!", ADDRESS(INDEX($AJ$2:$AJ$1001,MATCH(ROWS($AH$2:AH478),$AH$2:$AH$1001,0),0), INDEX($AO$1004:$BQ$1004,1,MATCH(COLUMNS($AO$1006:BN1006),$AO$1006:$BQ$1006,0)))),"Fix")))</f>
        <v>#N/A</v>
      </c>
      <c r="AB478" s="5" t="e">
        <f ca="1">IF(OR(INDEX($AI$2:$AI$1001,MATCH(ROWS($AH$2:AH478),$AH$2:$AH$1001,0),1)&gt;=100000,INDEX($AO$1005:$BQ$1005,1,MATCH(COLUMNS($AO$1006:BO1006),$AO$1006:$BQ$1006,0))&gt;=100000), " ",IF(INDEX($AO$2:$BQ$1001,MATCH(ROWS($AH$2:AH478),$AH$2:$AH$1001,0),MATCH(COLUMNS($AO$1006:BO1006),$AO$1006:$BQ$1006,0)), HYPERLINK("#",""), HYPERLINK(CONCATENATE("#Metadata!", ADDRESS(INDEX($AJ$2:$AJ$1001,MATCH(ROWS($AH$2:AH478),$AH$2:$AH$1001,0),0), INDEX($AO$1004:$BQ$1004,1,MATCH(COLUMNS($AO$1006:BO1006),$AO$1006:$BQ$1006,0)))),"Fix")))</f>
        <v>#N/A</v>
      </c>
      <c r="AC478" s="5" t="e">
        <f ca="1">IF(OR(INDEX($AI$2:$AI$1001,MATCH(ROWS($AH$2:AH478),$AH$2:$AH$1001,0),1)&gt;=100000,INDEX($AO$1005:$BQ$1005,1,MATCH(COLUMNS($AO$1006:BP1006),$AO$1006:$BQ$1006,0))&gt;=100000), " ",IF(INDEX($AO$2:$BQ$1001,MATCH(ROWS($AH$2:AH478),$AH$2:$AH$1001,0),MATCH(COLUMNS($AO$1006:BP1006),$AO$1006:$BQ$1006,0)), HYPERLINK("#",""), HYPERLINK(CONCATENATE("#Metadata!", ADDRESS(INDEX($AJ$2:$AJ$1001,MATCH(ROWS($AH$2:AH478),$AH$2:$AH$1001,0),0), INDEX($AO$1004:$BQ$1004,1,MATCH(COLUMNS($AO$1006:BP1006),$AO$1006:$BQ$1006,0)))),"Fix")))</f>
        <v>#N/A</v>
      </c>
      <c r="AD478" s="5" t="e">
        <f ca="1">IF(OR(INDEX($AI$2:$AI$1001,MATCH(ROWS($AH$2:AH478),$AH$2:$AH$1001,0),1)&gt;=100000,INDEX($AO$1005:$BQ$1005,1,MATCH(COLUMNS($AO$1006:BQ1006),$AO$1006:$BQ$1006,0))&gt;=100000), " ",IF(INDEX($AO$2:$BQ$1001,MATCH(ROWS($AH$2:AH478),$AH$2:$AH$1001,0),MATCH(COLUMNS($AO$1006:BQ1006),$AO$1006:$BQ$1006,0)), HYPERLINK("#",""), HYPERLINK(CONCATENATE("#Metadata!", ADDRESS(INDEX($AJ$2:$AJ$1001,MATCH(ROWS($AH$2:AH478),$AH$2:$AH$1001,0),0), INDEX($AO$1004:$BQ$1004,1,MATCH(COLUMNS($AO$1006:BQ1006),$AO$1006:$BQ$1006,0)))),"Fix")))</f>
        <v>#REF!</v>
      </c>
      <c r="AH478">
        <f ca="1"/>
        <v>475</v>
      </c>
      <c r="AI478">
        <v>100478</v>
      </c>
      <c r="AJ478">
        <v>478</v>
      </c>
      <c r="AK478" t="b">
        <f t="shared" si="7"/>
        <v>1</v>
      </c>
      <c r="AL478" t="b">
        <f>COUNTBLANK(Metadata!B478:AD478)=COLUMNS(Metadata!B478:AD478)</f>
        <v>1</v>
      </c>
      <c r="AM478" t="str">
        <v/>
      </c>
      <c r="AO478" t="b">
        <f ca="1">AND(IF(Metadata!B478="",FALSE,TRUE),COUNTIF(Metadata!B:B, Metadata!B478) = 1,NOT(ISERROR(SUMPRODUCT(SEARCH(MID(Metadata!B478,ROW(INDIRECT("1:"&amp;LEN(Metadata!B478))), 1),"0123456789abcdefghijklmnopqrstuvwxyzABCDEFGHIJKLMNOPQRSTUVWXYZ.")))))</f>
        <v>0</v>
      </c>
      <c r="AP478" t="b">
        <f>IF(Metadata!C478="",FALSE,TRUE)</f>
        <v>0</v>
      </c>
      <c r="AQ478" t="b">
        <f>IF(Metadata!D478="",FALSE,TRUE)</f>
        <v>0</v>
      </c>
      <c r="AR478" t="b">
        <f ca="1">OR(AND(IF(Metadata!E478="",FALSE,TRUE),OR(EXACT(Metadata!E478,"not collected"),EXACT(Metadata!E478,"not provided"),EXACT(Metadata!E478,"restricted access"))),AND(IF(Metadata!E478="",FALSE,TRUE),AND(AND(IFERROR(INT(LEFT(Metadata!E478,4))&gt;1900,FALSE),IFERROR(INT(LEFT(Metadata!E478,4))&lt;=YEAR(NOW()),FALSE)), OR(MID(Metadata!E478,5,1)="", AND(AND(MID(Metadata!E478,5,1)="-",IFERROR(INT(MID(Metadata!E478,6,1))&gt;=0,FALSE),IFERROR(INT(MID(Metadata!E478,6,1))&lt;=1,FALSE),NOT(MID(Metadata!E478,7,1)=""),IFERROR(INT(MID(Metadata!E478,6,2))&gt;=1,FALSE),IFERROR(INT(MID(Metadata!E478,6,2))&lt;=12,FALSE)), OR(MID(Metadata!E478,8,1)="", AND(AND(MID(Metadata!E478,8,1)="-",IFERROR(INT(MID(Metadata!E478,9,1))&gt;=0,FALSE),IFERROR(INT(MID(Metadata!E478,9,1))&lt;=3,FALSE),NOT(MID(Metadata!E478,10,1)=""),IFERROR(INT(MID(Metadata!E478,9,2))&gt;=1,FALSE),IFERROR(INT(MID(Metadata!E478,9,2))&lt;=31,FALSE)), OR(MID(Metadata!E478,11,1)="", AND(AND(MID(Metadata!E478,11,1)=" ",IFERROR(INT(MID(Metadata!E478,12,1))&gt;=0,FALSE),IFERROR(INT(MID(Metadata!E478,12,1))&lt;=2,FALSE),NOT(MID(Metadata!E478,13,1)=""),IFERROR(INT(MID(Metadata!E478,12,2))&gt;=0,FALSE),IFERROR(INT(MID(Metadata!E478,12,2))&lt;=23,FALSE)), OR(MID(Metadata!E478,14,1)="", AND(AND(MID(Metadata!E478,14,1)=":",IFERROR(INT(MID(Metadata!E478,15,1))&gt;=0,FALSE),IFERROR(INT(MID(Metadata!E478,15,1))&lt;=5,FALSE),NOT(MID(Metadata!E478,16,1)=""),IFERROR(INT(MID(Metadata!E478,15,2))&gt;=0,FALSE),IFERROR(INT(MID(Metadata!E478,15,2))&lt;=59,FALSE)), OR(MID(Metadata!E478,17,1)="", AND(AND(MID(Metadata!E478,17,1)=":",IFERROR(INT(MID(Metadata!E478,18,1))&gt;=0,FALSE),IFERROR(INT(MID(Metadata!E478,18,1))&lt;=5,FALSE),NOT(MID(Metadata!E478,19,1)=""),IFERROR(INT(MID(Metadata!E478,18,2))&gt;=0,FALSE),IFERROR(INT(MID(Metadata!E478,18,2))&lt;=59,FALSE)), LEN(Metadata!E478)&lt;=19)))))))))))))</f>
        <v>0</v>
      </c>
      <c r="AS478" t="b">
        <f>IF(Metadata!F478="",FALSE,TRUE)</f>
        <v>0</v>
      </c>
      <c r="AT478" t="b">
        <f>OR(AND(IF(Metadata!G478="",FALSE,TRUE),OR(EXACT(Metadata!G478,"not collected"),EXACT(Metadata!G478,"not provided"))),AND(IF(Metadata!G478="",FALSE,TRUE),OR(EXACT(Metadata!G478,"TRUE"),EXACT(Metadata!G478,"FALSE"))))</f>
        <v>0</v>
      </c>
      <c r="AU478" t="b">
        <f>OR(AND(IF(Metadata!H478="",FALSE,TRUE),OR(EXACT(Metadata!H478,"not collected"),EXACT(Metadata!H478,"not provided"),EXACT(Metadata!H478,"restricted access"))),AND(IF(Metadata!H478="",FALSE,ISNUMBER(VALUE(Metadata!H478))),Metadata!H478&gt;=-413))</f>
        <v>0</v>
      </c>
      <c r="AV478" t="b">
        <f>AND(IF(Metadata!I478="",FALSE,TRUE),EXACT(Metadata!I478,"meters"))</f>
        <v>0</v>
      </c>
      <c r="AW478" t="b">
        <f>AND(IF(Metadata!J478="",FALSE,TRUE),EXACT(Metadata!J478,"free-living"))</f>
        <v>0</v>
      </c>
      <c r="AX478" t="b">
        <f>AND(IF(Metadata!K478="",FALSE,TRUE),OR(EXACT(Metadata!K478,"saline"),EXACT(Metadata!K478,"non-saline")))</f>
        <v>0</v>
      </c>
      <c r="AY478" t="b">
        <f>AND(IF(Metadata!L478="",FALSE,TRUE),OR(EXACT(Metadata!L478,"sub-surface (non-saline)"),EXACT(Metadata!L478,"surface (non-saline)"),EXACT(Metadata!L478,"water (non-saline)"),EXACT(Metadata!L478,"soil (non-saline)"),EXACT(Metadata!L478,"aerosol (non-saline)"),EXACT(Metadata!L478,"sediment (non-saline)"),EXACT(Metadata!L478,"surface (saline)"),EXACT(Metadata!L478,"water (saline)"),EXACT(Metadata!L478,"hypersaline (saline)"),EXACT(Metadata!L478,"aerosol (saline)"),EXACT(Metadata!L478,"sediment (saline)")))</f>
        <v>0</v>
      </c>
      <c r="AZ478" t="b">
        <f>IF(Metadata!M478="",FALSE,TRUE)</f>
        <v>0</v>
      </c>
      <c r="BA478" t="b">
        <f>IF(Metadata!N478="",FALSE,TRUE)</f>
        <v>0</v>
      </c>
      <c r="BB478" t="b">
        <f>IF(Metadata!O478="",FALSE,TRUE)</f>
        <v>0</v>
      </c>
      <c r="BC478" t="b">
        <f>AND(IF(Metadata!P478="",FALSE,TRUE),OR(EXACT(Metadata!P478,"air"),EXACT(Metadata!P478,"microbial mat/biofilm"),EXACT(Metadata!P478,"misc environment"),EXACT(Metadata!P478,"sediment"),EXACT(Metadata!P478,"soil"),EXACT(Metadata!P478,"wastewater/sludge"),EXACT(Metadata!P478,"water")))</f>
        <v>0</v>
      </c>
      <c r="BD478" t="b">
        <f>IF(Metadata!Q478="",FALSE,TRUE)</f>
        <v>0</v>
      </c>
      <c r="BE478" t="b">
        <f>IF(Metadata!R478="",FALSE,TRUE)</f>
        <v>0</v>
      </c>
      <c r="BF478" t="b">
        <f>OR(AND(IF(Metadata!S478="",FALSE,TRUE),OR(EXACT(Metadata!S478,"not collected"),EXACT(Metadata!S478,"not provided"),EXACT(Metadata!S478,"restricted access"))),AND(IF(Metadata!S478="",FALSE,ISNUMBER(VALUE(Metadata!S478))),Metadata!S478&gt;=-90,Metadata!S478&lt;=90))</f>
        <v>0</v>
      </c>
      <c r="BG478" t="b">
        <f>AND(IF(Metadata!T478="",FALSE,TRUE),EXACT(Metadata!T478,"Decimal degrees"))</f>
        <v>0</v>
      </c>
      <c r="BH478" t="b">
        <f>OR(AND(IF(Metadata!U478="",FALSE,TRUE),OR(EXACT(Metadata!U478,"not applicable"),EXACT(Metadata!U478,"not collected"))),IF(Metadata!U478="",FALSE,TRUE))</f>
        <v>0</v>
      </c>
      <c r="BI478" t="b">
        <f>OR(AND(IF(Metadata!V478="",FALSE,TRUE),OR(EXACT(Metadata!V478,"not collected"),EXACT(Metadata!V478,"not provided"),EXACT(Metadata!V478,"restricted access"))),AND(IF(Metadata!V478="",FALSE,ISNUMBER(VALUE(Metadata!V478))),Metadata!V478&gt;=-180,Metadata!V478&lt;=180))</f>
        <v>0</v>
      </c>
      <c r="BJ478" t="b">
        <f>AND(IF(Metadata!W478="",FALSE,TRUE),EXACT(Metadata!W478,"Decimal degrees"))</f>
        <v>0</v>
      </c>
      <c r="BK478" t="b">
        <f>IF(Metadata!X478="",FALSE,TRUE)</f>
        <v>0</v>
      </c>
      <c r="BL478" t="b">
        <f>OR(AND(IF(Metadata!Y478="",FALSE,TRUE),OR(EXACT(Metadata!Y478,"not collected"),EXACT(Metadata!Y478,"not provided"),EXACT(Metadata!Y478,"restricted access"))),AND(IF(Metadata!Y478="",FALSE,TRUE),OR(EXACT(Metadata!Y478,"TRUE"),EXACT(Metadata!Y478,"FALSE"))))</f>
        <v>0</v>
      </c>
      <c r="BM478" t="b">
        <f>OR(AND(IF(Metadata!Z478="",FALSE,TRUE),EXACT(Metadata!Z478,"not applicable")),AND(IF(Metadata!Z478="",FALSE,TRUE),OR(EXACT(Metadata!Z478,"beer"),EXACT(Metadata!Z478,"cheese"),EXACT(Metadata!Z478,"fresh water"),EXACT(Metadata!Z478,"marine sediment"),EXACT(Metadata!Z478,"sea water"),EXACT(Metadata!Z478,"sediment"),EXACT(Metadata!Z478,"soil"),EXACT(Metadata!Z478,"waste water"))))</f>
        <v>0</v>
      </c>
      <c r="BN478" t="b">
        <f>AND(IF(Metadata!AA478="",FALSE,TRUE),EXACT(Metadata!AA478,"metagenome"))</f>
        <v>0</v>
      </c>
      <c r="BO478" t="b">
        <f>AND(IF(Metadata!AB478="",FALSE,TRUE),EXACT(Metadata!AB478,"256318"))</f>
        <v>0</v>
      </c>
      <c r="BP478" t="b">
        <f>IF(Metadata!AC478="",FALSE,TRUE)</f>
        <v>0</v>
      </c>
      <c r="BQ478" t="b">
        <f>IF(Metadata!AD478="",FALSE,TRUE)</f>
        <v>0</v>
      </c>
    </row>
    <row r="479" spans="1:69" x14ac:dyDescent="0.2">
      <c r="A479" s="4" t="e">
        <f ca="1">IF(B479=" "," ",HYPERLINK(CONCATENATE("#metadata!",ADDRESS(INDEX($AJ$2:$AJ$1001,MATCH(ROWS($AH$2:AH479),$AH$2:$AH$1001,0),0),2)),INDEX($AM$2:$AM$1001,MATCH(ROWS($AH$2:AH479),$AH$2:$AH$1001,0),0)))</f>
        <v>#N/A</v>
      </c>
      <c r="B479" s="5" t="e">
        <f ca="1">IF(OR(INDEX($AI$2:$AI$1001,MATCH(ROWS($AH$2:AH479),$AH$2:$AH$1001,0),1)&gt;=100000,INDEX($AO$1005:$BQ$1005,1,MATCH(COLUMNS($AO$1006:AO1006),$AO$1006:$BQ$1006,0))&gt;=100000), " ",IF(INDEX($AO$2:$BQ$1001,MATCH(ROWS($AH$2:AH479),$AH$2:$AH$1001,0),MATCH(COLUMNS($AO$1006:AO1006),$AO$1006:$BQ$1006,0)), HYPERLINK("#",""), HYPERLINK(CONCATENATE("#Metadata!", ADDRESS(INDEX($AJ$2:$AJ$1001,MATCH(ROWS($AH$2:AH479),$AH$2:$AH$1001,0),0), INDEX($AO$1004:$BQ$1004,1,MATCH(COLUMNS($AO$1006:AO1006),$AO$1006:$BQ$1006,0)))),"Fix")))</f>
        <v>#N/A</v>
      </c>
      <c r="C479" s="5" t="e">
        <f ca="1">IF(OR(INDEX($AI$2:$AI$1001,MATCH(ROWS($AH$2:AH479),$AH$2:$AH$1001,0),1)&gt;=100000,INDEX($AO$1005:$BQ$1005,1,MATCH(COLUMNS($AO$1006:AP1006),$AO$1006:$BQ$1006,0))&gt;=100000), " ",IF(INDEX($AO$2:$BQ$1001,MATCH(ROWS($AH$2:AH479),$AH$2:$AH$1001,0),MATCH(COLUMNS($AO$1006:AP1006),$AO$1006:$BQ$1006,0)), HYPERLINK("#",""), HYPERLINK(CONCATENATE("#Metadata!", ADDRESS(INDEX($AJ$2:$AJ$1001,MATCH(ROWS($AH$2:AH479),$AH$2:$AH$1001,0),0), INDEX($AO$1004:$BQ$1004,1,MATCH(COLUMNS($AO$1006:AP1006),$AO$1006:$BQ$1006,0)))),"Fix")))</f>
        <v>#N/A</v>
      </c>
      <c r="D479" s="5" t="e">
        <f ca="1">IF(OR(INDEX($AI$2:$AI$1001,MATCH(ROWS($AH$2:AH479),$AH$2:$AH$1001,0),1)&gt;=100000,INDEX($AO$1005:$BQ$1005,1,MATCH(COLUMNS($AO$1006:AQ1006),$AO$1006:$BQ$1006,0))&gt;=100000), " ",IF(INDEX($AO$2:$BQ$1001,MATCH(ROWS($AH$2:AH479),$AH$2:$AH$1001,0),MATCH(COLUMNS($AO$1006:AQ1006),$AO$1006:$BQ$1006,0)), HYPERLINK("#",""), HYPERLINK(CONCATENATE("#Metadata!", ADDRESS(INDEX($AJ$2:$AJ$1001,MATCH(ROWS($AH$2:AH479),$AH$2:$AH$1001,0),0), INDEX($AO$1004:$BQ$1004,1,MATCH(COLUMNS($AO$1006:AQ1006),$AO$1006:$BQ$1006,0)))),"Fix")))</f>
        <v>#N/A</v>
      </c>
      <c r="E479" s="5" t="e">
        <f ca="1">IF(OR(INDEX($AI$2:$AI$1001,MATCH(ROWS($AH$2:AH479),$AH$2:$AH$1001,0),1)&gt;=100000,INDEX($AO$1005:$BQ$1005,1,MATCH(COLUMNS($AO$1006:AR1006),$AO$1006:$BQ$1006,0))&gt;=100000), " ",IF(INDEX($AO$2:$BQ$1001,MATCH(ROWS($AH$2:AH479),$AH$2:$AH$1001,0),MATCH(COLUMNS($AO$1006:AR1006),$AO$1006:$BQ$1006,0)), HYPERLINK("#",""), HYPERLINK(CONCATENATE("#Metadata!", ADDRESS(INDEX($AJ$2:$AJ$1001,MATCH(ROWS($AH$2:AH479),$AH$2:$AH$1001,0),0), INDEX($AO$1004:$BQ$1004,1,MATCH(COLUMNS($AO$1006:AR1006),$AO$1006:$BQ$1006,0)))),"Fix")))</f>
        <v>#N/A</v>
      </c>
      <c r="F479" s="5" t="e">
        <f ca="1">IF(OR(INDEX($AI$2:$AI$1001,MATCH(ROWS($AH$2:AH479),$AH$2:$AH$1001,0),1)&gt;=100000,INDEX($AO$1005:$BQ$1005,1,MATCH(COLUMNS($AO$1006:AS1006),$AO$1006:$BQ$1006,0))&gt;=100000), " ",IF(INDEX($AO$2:$BQ$1001,MATCH(ROWS($AH$2:AH479),$AH$2:$AH$1001,0),MATCH(COLUMNS($AO$1006:AS1006),$AO$1006:$BQ$1006,0)), HYPERLINK("#",""), HYPERLINK(CONCATENATE("#Metadata!", ADDRESS(INDEX($AJ$2:$AJ$1001,MATCH(ROWS($AH$2:AH479),$AH$2:$AH$1001,0),0), INDEX($AO$1004:$BQ$1004,1,MATCH(COLUMNS($AO$1006:AS1006),$AO$1006:$BQ$1006,0)))),"Fix")))</f>
        <v>#N/A</v>
      </c>
      <c r="G479" s="5" t="e">
        <f ca="1">IF(OR(INDEX($AI$2:$AI$1001,MATCH(ROWS($AH$2:AH479),$AH$2:$AH$1001,0),1)&gt;=100000,INDEX($AO$1005:$BQ$1005,1,MATCH(COLUMNS($AO$1006:AT1006),$AO$1006:$BQ$1006,0))&gt;=100000), " ",IF(INDEX($AO$2:$BQ$1001,MATCH(ROWS($AH$2:AH479),$AH$2:$AH$1001,0),MATCH(COLUMNS($AO$1006:AT1006),$AO$1006:$BQ$1006,0)), HYPERLINK("#",""), HYPERLINK(CONCATENATE("#Metadata!", ADDRESS(INDEX($AJ$2:$AJ$1001,MATCH(ROWS($AH$2:AH479),$AH$2:$AH$1001,0),0), INDEX($AO$1004:$BQ$1004,1,MATCH(COLUMNS($AO$1006:AT1006),$AO$1006:$BQ$1006,0)))),"Fix")))</f>
        <v>#N/A</v>
      </c>
      <c r="H479" s="5" t="e">
        <f ca="1">IF(OR(INDEX($AI$2:$AI$1001,MATCH(ROWS($AH$2:AH479),$AH$2:$AH$1001,0),1)&gt;=100000,INDEX($AO$1005:$BQ$1005,1,MATCH(COLUMNS($AO$1006:AU1006),$AO$1006:$BQ$1006,0))&gt;=100000), " ",IF(INDEX($AO$2:$BQ$1001,MATCH(ROWS($AH$2:AH479),$AH$2:$AH$1001,0),MATCH(COLUMNS($AO$1006:AU1006),$AO$1006:$BQ$1006,0)), HYPERLINK("#",""), HYPERLINK(CONCATENATE("#Metadata!", ADDRESS(INDEX($AJ$2:$AJ$1001,MATCH(ROWS($AH$2:AH479),$AH$2:$AH$1001,0),0), INDEX($AO$1004:$BQ$1004,1,MATCH(COLUMNS($AO$1006:AU1006),$AO$1006:$BQ$1006,0)))),"Fix")))</f>
        <v>#N/A</v>
      </c>
      <c r="I479" s="5" t="e">
        <f ca="1">IF(OR(INDEX($AI$2:$AI$1001,MATCH(ROWS($AH$2:AH479),$AH$2:$AH$1001,0),1)&gt;=100000,INDEX($AO$1005:$BQ$1005,1,MATCH(COLUMNS($AO$1006:AV1006),$AO$1006:$BQ$1006,0))&gt;=100000), " ",IF(INDEX($AO$2:$BQ$1001,MATCH(ROWS($AH$2:AH479),$AH$2:$AH$1001,0),MATCH(COLUMNS($AO$1006:AV1006),$AO$1006:$BQ$1006,0)), HYPERLINK("#",""), HYPERLINK(CONCATENATE("#Metadata!", ADDRESS(INDEX($AJ$2:$AJ$1001,MATCH(ROWS($AH$2:AH479),$AH$2:$AH$1001,0),0), INDEX($AO$1004:$BQ$1004,1,MATCH(COLUMNS($AO$1006:AV1006),$AO$1006:$BQ$1006,0)))),"Fix")))</f>
        <v>#N/A</v>
      </c>
      <c r="J479" s="5" t="e">
        <f ca="1">IF(OR(INDEX($AI$2:$AI$1001,MATCH(ROWS($AH$2:AH479),$AH$2:$AH$1001,0),1)&gt;=100000,INDEX($AO$1005:$BQ$1005,1,MATCH(COLUMNS($AO$1006:AW1006),$AO$1006:$BQ$1006,0))&gt;=100000), " ",IF(INDEX($AO$2:$BQ$1001,MATCH(ROWS($AH$2:AH479),$AH$2:$AH$1001,0),MATCH(COLUMNS($AO$1006:AW1006),$AO$1006:$BQ$1006,0)), HYPERLINK("#",""), HYPERLINK(CONCATENATE("#Metadata!", ADDRESS(INDEX($AJ$2:$AJ$1001,MATCH(ROWS($AH$2:AH479),$AH$2:$AH$1001,0),0), INDEX($AO$1004:$BQ$1004,1,MATCH(COLUMNS($AO$1006:AW1006),$AO$1006:$BQ$1006,0)))),"Fix")))</f>
        <v>#N/A</v>
      </c>
      <c r="K479" s="5" t="e">
        <f ca="1">IF(OR(INDEX($AI$2:$AI$1001,MATCH(ROWS($AH$2:AH479),$AH$2:$AH$1001,0),1)&gt;=100000,INDEX($AO$1005:$BQ$1005,1,MATCH(COLUMNS($AO$1006:AX1006),$AO$1006:$BQ$1006,0))&gt;=100000), " ",IF(INDEX($AO$2:$BQ$1001,MATCH(ROWS($AH$2:AH479),$AH$2:$AH$1001,0),MATCH(COLUMNS($AO$1006:AX1006),$AO$1006:$BQ$1006,0)), HYPERLINK("#",""), HYPERLINK(CONCATENATE("#Metadata!", ADDRESS(INDEX($AJ$2:$AJ$1001,MATCH(ROWS($AH$2:AH479),$AH$2:$AH$1001,0),0), INDEX($AO$1004:$BQ$1004,1,MATCH(COLUMNS($AO$1006:AX1006),$AO$1006:$BQ$1006,0)))),"Fix")))</f>
        <v>#N/A</v>
      </c>
      <c r="L479" s="5" t="e">
        <f ca="1">IF(OR(INDEX($AI$2:$AI$1001,MATCH(ROWS($AH$2:AH479),$AH$2:$AH$1001,0),1)&gt;=100000,INDEX($AO$1005:$BQ$1005,1,MATCH(COLUMNS($AO$1006:AY1006),$AO$1006:$BQ$1006,0))&gt;=100000), " ",IF(INDEX($AO$2:$BQ$1001,MATCH(ROWS($AH$2:AH479),$AH$2:$AH$1001,0),MATCH(COLUMNS($AO$1006:AY1006),$AO$1006:$BQ$1006,0)), HYPERLINK("#",""), HYPERLINK(CONCATENATE("#Metadata!", ADDRESS(INDEX($AJ$2:$AJ$1001,MATCH(ROWS($AH$2:AH479),$AH$2:$AH$1001,0),0), INDEX($AO$1004:$BQ$1004,1,MATCH(COLUMNS($AO$1006:AY1006),$AO$1006:$BQ$1006,0)))),"Fix")))</f>
        <v>#N/A</v>
      </c>
      <c r="M479" s="5" t="e">
        <f ca="1">IF(OR(INDEX($AI$2:$AI$1001,MATCH(ROWS($AH$2:AH479),$AH$2:$AH$1001,0),1)&gt;=100000,INDEX($AO$1005:$BQ$1005,1,MATCH(COLUMNS($AO$1006:AZ1006),$AO$1006:$BQ$1006,0))&gt;=100000), " ",IF(INDEX($AO$2:$BQ$1001,MATCH(ROWS($AH$2:AH479),$AH$2:$AH$1001,0),MATCH(COLUMNS($AO$1006:AZ1006),$AO$1006:$BQ$1006,0)), HYPERLINK("#",""), HYPERLINK(CONCATENATE("#Metadata!", ADDRESS(INDEX($AJ$2:$AJ$1001,MATCH(ROWS($AH$2:AH479),$AH$2:$AH$1001,0),0), INDEX($AO$1004:$BQ$1004,1,MATCH(COLUMNS($AO$1006:AZ1006),$AO$1006:$BQ$1006,0)))),"Fix")))</f>
        <v>#N/A</v>
      </c>
      <c r="N479" s="5" t="e">
        <f ca="1">IF(OR(INDEX($AI$2:$AI$1001,MATCH(ROWS($AH$2:AH479),$AH$2:$AH$1001,0),1)&gt;=100000,INDEX($AO$1005:$BQ$1005,1,MATCH(COLUMNS($AO$1006:BA1006),$AO$1006:$BQ$1006,0))&gt;=100000), " ",IF(INDEX($AO$2:$BQ$1001,MATCH(ROWS($AH$2:AH479),$AH$2:$AH$1001,0),MATCH(COLUMNS($AO$1006:BA1006),$AO$1006:$BQ$1006,0)), HYPERLINK("#",""), HYPERLINK(CONCATENATE("#Metadata!", ADDRESS(INDEX($AJ$2:$AJ$1001,MATCH(ROWS($AH$2:AH479),$AH$2:$AH$1001,0),0), INDEX($AO$1004:$BQ$1004,1,MATCH(COLUMNS($AO$1006:BA1006),$AO$1006:$BQ$1006,0)))),"Fix")))</f>
        <v>#N/A</v>
      </c>
      <c r="O479" s="5" t="e">
        <f ca="1">IF(OR(INDEX($AI$2:$AI$1001,MATCH(ROWS($AH$2:AH479),$AH$2:$AH$1001,0),1)&gt;=100000,INDEX($AO$1005:$BQ$1005,1,MATCH(COLUMNS($AO$1006:BB1006),$AO$1006:$BQ$1006,0))&gt;=100000), " ",IF(INDEX($AO$2:$BQ$1001,MATCH(ROWS($AH$2:AH479),$AH$2:$AH$1001,0),MATCH(COLUMNS($AO$1006:BB1006),$AO$1006:$BQ$1006,0)), HYPERLINK("#",""), HYPERLINK(CONCATENATE("#Metadata!", ADDRESS(INDEX($AJ$2:$AJ$1001,MATCH(ROWS($AH$2:AH479),$AH$2:$AH$1001,0),0), INDEX($AO$1004:$BQ$1004,1,MATCH(COLUMNS($AO$1006:BB1006),$AO$1006:$BQ$1006,0)))),"Fix")))</f>
        <v>#N/A</v>
      </c>
      <c r="P479" s="5" t="e">
        <f ca="1">IF(OR(INDEX($AI$2:$AI$1001,MATCH(ROWS($AH$2:AH479),$AH$2:$AH$1001,0),1)&gt;=100000,INDEX($AO$1005:$BQ$1005,1,MATCH(COLUMNS($AO$1006:BC1006),$AO$1006:$BQ$1006,0))&gt;=100000), " ",IF(INDEX($AO$2:$BQ$1001,MATCH(ROWS($AH$2:AH479),$AH$2:$AH$1001,0),MATCH(COLUMNS($AO$1006:BC1006),$AO$1006:$BQ$1006,0)), HYPERLINK("#",""), HYPERLINK(CONCATENATE("#Metadata!", ADDRESS(INDEX($AJ$2:$AJ$1001,MATCH(ROWS($AH$2:AH479),$AH$2:$AH$1001,0),0), INDEX($AO$1004:$BQ$1004,1,MATCH(COLUMNS($AO$1006:BC1006),$AO$1006:$BQ$1006,0)))),"Fix")))</f>
        <v>#N/A</v>
      </c>
      <c r="Q479" s="5" t="e">
        <f ca="1">IF(OR(INDEX($AI$2:$AI$1001,MATCH(ROWS($AH$2:AH479),$AH$2:$AH$1001,0),1)&gt;=100000,INDEX($AO$1005:$BQ$1005,1,MATCH(COLUMNS($AO$1006:BD1006),$AO$1006:$BQ$1006,0))&gt;=100000), " ",IF(INDEX($AO$2:$BQ$1001,MATCH(ROWS($AH$2:AH479),$AH$2:$AH$1001,0),MATCH(COLUMNS($AO$1006:BD1006),$AO$1006:$BQ$1006,0)), HYPERLINK("#",""), HYPERLINK(CONCATENATE("#Metadata!", ADDRESS(INDEX($AJ$2:$AJ$1001,MATCH(ROWS($AH$2:AH479),$AH$2:$AH$1001,0),0), INDEX($AO$1004:$BQ$1004,1,MATCH(COLUMNS($AO$1006:BD1006),$AO$1006:$BQ$1006,0)))),"Fix")))</f>
        <v>#N/A</v>
      </c>
      <c r="R479" s="5" t="e">
        <f ca="1">IF(OR(INDEX($AI$2:$AI$1001,MATCH(ROWS($AH$2:AH479),$AH$2:$AH$1001,0),1)&gt;=100000,INDEX($AO$1005:$BQ$1005,1,MATCH(COLUMNS($AO$1006:BE1006),$AO$1006:$BQ$1006,0))&gt;=100000), " ",IF(INDEX($AO$2:$BQ$1001,MATCH(ROWS($AH$2:AH479),$AH$2:$AH$1001,0),MATCH(COLUMNS($AO$1006:BE1006),$AO$1006:$BQ$1006,0)), HYPERLINK("#",""), HYPERLINK(CONCATENATE("#Metadata!", ADDRESS(INDEX($AJ$2:$AJ$1001,MATCH(ROWS($AH$2:AH479),$AH$2:$AH$1001,0),0), INDEX($AO$1004:$BQ$1004,1,MATCH(COLUMNS($AO$1006:BE1006),$AO$1006:$BQ$1006,0)))),"Fix")))</f>
        <v>#N/A</v>
      </c>
      <c r="S479" s="5" t="e">
        <f ca="1">IF(OR(INDEX($AI$2:$AI$1001,MATCH(ROWS($AH$2:AH479),$AH$2:$AH$1001,0),1)&gt;=100000,INDEX($AO$1005:$BQ$1005,1,MATCH(COLUMNS($AO$1006:BF1006),$AO$1006:$BQ$1006,0))&gt;=100000), " ",IF(INDEX($AO$2:$BQ$1001,MATCH(ROWS($AH$2:AH479),$AH$2:$AH$1001,0),MATCH(COLUMNS($AO$1006:BF1006),$AO$1006:$BQ$1006,0)), HYPERLINK("#",""), HYPERLINK(CONCATENATE("#Metadata!", ADDRESS(INDEX($AJ$2:$AJ$1001,MATCH(ROWS($AH$2:AH479),$AH$2:$AH$1001,0),0), INDEX($AO$1004:$BQ$1004,1,MATCH(COLUMNS($AO$1006:BF1006),$AO$1006:$BQ$1006,0)))),"Fix")))</f>
        <v>#N/A</v>
      </c>
      <c r="T479" s="5" t="e">
        <f ca="1">IF(OR(INDEX($AI$2:$AI$1001,MATCH(ROWS($AH$2:AH479),$AH$2:$AH$1001,0),1)&gt;=100000,INDEX($AO$1005:$BQ$1005,1,MATCH(COLUMNS($AO$1006:BG1006),$AO$1006:$BQ$1006,0))&gt;=100000), " ",IF(INDEX($AO$2:$BQ$1001,MATCH(ROWS($AH$2:AH479),$AH$2:$AH$1001,0),MATCH(COLUMNS($AO$1006:BG1006),$AO$1006:$BQ$1006,0)), HYPERLINK("#",""), HYPERLINK(CONCATENATE("#Metadata!", ADDRESS(INDEX($AJ$2:$AJ$1001,MATCH(ROWS($AH$2:AH479),$AH$2:$AH$1001,0),0), INDEX($AO$1004:$BQ$1004,1,MATCH(COLUMNS($AO$1006:BG1006),$AO$1006:$BQ$1006,0)))),"Fix")))</f>
        <v>#N/A</v>
      </c>
      <c r="U479" s="5" t="e">
        <f ca="1">IF(OR(INDEX($AI$2:$AI$1001,MATCH(ROWS($AH$2:AH479),$AH$2:$AH$1001,0),1)&gt;=100000,INDEX($AO$1005:$BQ$1005,1,MATCH(COLUMNS($AO$1006:BH1006),$AO$1006:$BQ$1006,0))&gt;=100000), " ",IF(INDEX($AO$2:$BQ$1001,MATCH(ROWS($AH$2:AH479),$AH$2:$AH$1001,0),MATCH(COLUMNS($AO$1006:BH1006),$AO$1006:$BQ$1006,0)), HYPERLINK("#",""), HYPERLINK(CONCATENATE("#Metadata!", ADDRESS(INDEX($AJ$2:$AJ$1001,MATCH(ROWS($AH$2:AH479),$AH$2:$AH$1001,0),0), INDEX($AO$1004:$BQ$1004,1,MATCH(COLUMNS($AO$1006:BH1006),$AO$1006:$BQ$1006,0)))),"Fix")))</f>
        <v>#N/A</v>
      </c>
      <c r="V479" s="5" t="e">
        <f ca="1">IF(OR(INDEX($AI$2:$AI$1001,MATCH(ROWS($AH$2:AH479),$AH$2:$AH$1001,0),1)&gt;=100000,INDEX($AO$1005:$BQ$1005,1,MATCH(COLUMNS($AO$1006:BI1006),$AO$1006:$BQ$1006,0))&gt;=100000), " ",IF(INDEX($AO$2:$BQ$1001,MATCH(ROWS($AH$2:AH479),$AH$2:$AH$1001,0),MATCH(COLUMNS($AO$1006:BI1006),$AO$1006:$BQ$1006,0)), HYPERLINK("#",""), HYPERLINK(CONCATENATE("#Metadata!", ADDRESS(INDEX($AJ$2:$AJ$1001,MATCH(ROWS($AH$2:AH479),$AH$2:$AH$1001,0),0), INDEX($AO$1004:$BQ$1004,1,MATCH(COLUMNS($AO$1006:BI1006),$AO$1006:$BQ$1006,0)))),"Fix")))</f>
        <v>#N/A</v>
      </c>
      <c r="W479" s="5" t="e">
        <f ca="1">IF(OR(INDEX($AI$2:$AI$1001,MATCH(ROWS($AH$2:AH479),$AH$2:$AH$1001,0),1)&gt;=100000,INDEX($AO$1005:$BQ$1005,1,MATCH(COLUMNS($AO$1006:BJ1006),$AO$1006:$BQ$1006,0))&gt;=100000), " ",IF(INDEX($AO$2:$BQ$1001,MATCH(ROWS($AH$2:AH479),$AH$2:$AH$1001,0),MATCH(COLUMNS($AO$1006:BJ1006),$AO$1006:$BQ$1006,0)), HYPERLINK("#",""), HYPERLINK(CONCATENATE("#Metadata!", ADDRESS(INDEX($AJ$2:$AJ$1001,MATCH(ROWS($AH$2:AH479),$AH$2:$AH$1001,0),0), INDEX($AO$1004:$BQ$1004,1,MATCH(COLUMNS($AO$1006:BJ1006),$AO$1006:$BQ$1006,0)))),"Fix")))</f>
        <v>#N/A</v>
      </c>
      <c r="X479" s="5" t="e">
        <f ca="1">IF(OR(INDEX($AI$2:$AI$1001,MATCH(ROWS($AH$2:AH479),$AH$2:$AH$1001,0),1)&gt;=100000,INDEX($AO$1005:$BQ$1005,1,MATCH(COLUMNS($AO$1006:BK1006),$AO$1006:$BQ$1006,0))&gt;=100000), " ",IF(INDEX($AO$2:$BQ$1001,MATCH(ROWS($AH$2:AH479),$AH$2:$AH$1001,0),MATCH(COLUMNS($AO$1006:BK1006),$AO$1006:$BQ$1006,0)), HYPERLINK("#",""), HYPERLINK(CONCATENATE("#Metadata!", ADDRESS(INDEX($AJ$2:$AJ$1001,MATCH(ROWS($AH$2:AH479),$AH$2:$AH$1001,0),0), INDEX($AO$1004:$BQ$1004,1,MATCH(COLUMNS($AO$1006:BK1006),$AO$1006:$BQ$1006,0)))),"Fix")))</f>
        <v>#N/A</v>
      </c>
      <c r="Y479" s="5" t="e">
        <f ca="1">IF(OR(INDEX($AI$2:$AI$1001,MATCH(ROWS($AH$2:AH479),$AH$2:$AH$1001,0),1)&gt;=100000,INDEX($AO$1005:$BQ$1005,1,MATCH(COLUMNS($AO$1006:BL1006),$AO$1006:$BQ$1006,0))&gt;=100000), " ",IF(INDEX($AO$2:$BQ$1001,MATCH(ROWS($AH$2:AH479),$AH$2:$AH$1001,0),MATCH(COLUMNS($AO$1006:BL1006),$AO$1006:$BQ$1006,0)), HYPERLINK("#",""), HYPERLINK(CONCATENATE("#Metadata!", ADDRESS(INDEX($AJ$2:$AJ$1001,MATCH(ROWS($AH$2:AH479),$AH$2:$AH$1001,0),0), INDEX($AO$1004:$BQ$1004,1,MATCH(COLUMNS($AO$1006:BL1006),$AO$1006:$BQ$1006,0)))),"Fix")))</f>
        <v>#N/A</v>
      </c>
      <c r="Z479" s="5" t="e">
        <f ca="1">IF(OR(INDEX($AI$2:$AI$1001,MATCH(ROWS($AH$2:AH479),$AH$2:$AH$1001,0),1)&gt;=100000,INDEX($AO$1005:$BQ$1005,1,MATCH(COLUMNS($AO$1006:BM1006),$AO$1006:$BQ$1006,0))&gt;=100000), " ",IF(INDEX($AO$2:$BQ$1001,MATCH(ROWS($AH$2:AH479),$AH$2:$AH$1001,0),MATCH(COLUMNS($AO$1006:BM1006),$AO$1006:$BQ$1006,0)), HYPERLINK("#",""), HYPERLINK(CONCATENATE("#Metadata!", ADDRESS(INDEX($AJ$2:$AJ$1001,MATCH(ROWS($AH$2:AH479),$AH$2:$AH$1001,0),0), INDEX($AO$1004:$BQ$1004,1,MATCH(COLUMNS($AO$1006:BM1006),$AO$1006:$BQ$1006,0)))),"Fix")))</f>
        <v>#N/A</v>
      </c>
      <c r="AA479" s="5" t="e">
        <f ca="1">IF(OR(INDEX($AI$2:$AI$1001,MATCH(ROWS($AH$2:AH479),$AH$2:$AH$1001,0),1)&gt;=100000,INDEX($AO$1005:$BQ$1005,1,MATCH(COLUMNS($AO$1006:BN1006),$AO$1006:$BQ$1006,0))&gt;=100000), " ",IF(INDEX($AO$2:$BQ$1001,MATCH(ROWS($AH$2:AH479),$AH$2:$AH$1001,0),MATCH(COLUMNS($AO$1006:BN1006),$AO$1006:$BQ$1006,0)), HYPERLINK("#",""), HYPERLINK(CONCATENATE("#Metadata!", ADDRESS(INDEX($AJ$2:$AJ$1001,MATCH(ROWS($AH$2:AH479),$AH$2:$AH$1001,0),0), INDEX($AO$1004:$BQ$1004,1,MATCH(COLUMNS($AO$1006:BN1006),$AO$1006:$BQ$1006,0)))),"Fix")))</f>
        <v>#N/A</v>
      </c>
      <c r="AB479" s="5" t="e">
        <f ca="1">IF(OR(INDEX($AI$2:$AI$1001,MATCH(ROWS($AH$2:AH479),$AH$2:$AH$1001,0),1)&gt;=100000,INDEX($AO$1005:$BQ$1005,1,MATCH(COLUMNS($AO$1006:BO1006),$AO$1006:$BQ$1006,0))&gt;=100000), " ",IF(INDEX($AO$2:$BQ$1001,MATCH(ROWS($AH$2:AH479),$AH$2:$AH$1001,0),MATCH(COLUMNS($AO$1006:BO1006),$AO$1006:$BQ$1006,0)), HYPERLINK("#",""), HYPERLINK(CONCATENATE("#Metadata!", ADDRESS(INDEX($AJ$2:$AJ$1001,MATCH(ROWS($AH$2:AH479),$AH$2:$AH$1001,0),0), INDEX($AO$1004:$BQ$1004,1,MATCH(COLUMNS($AO$1006:BO1006),$AO$1006:$BQ$1006,0)))),"Fix")))</f>
        <v>#N/A</v>
      </c>
      <c r="AC479" s="5" t="e">
        <f ca="1">IF(OR(INDEX($AI$2:$AI$1001,MATCH(ROWS($AH$2:AH479),$AH$2:$AH$1001,0),1)&gt;=100000,INDEX($AO$1005:$BQ$1005,1,MATCH(COLUMNS($AO$1006:BP1006),$AO$1006:$BQ$1006,0))&gt;=100000), " ",IF(INDEX($AO$2:$BQ$1001,MATCH(ROWS($AH$2:AH479),$AH$2:$AH$1001,0),MATCH(COLUMNS($AO$1006:BP1006),$AO$1006:$BQ$1006,0)), HYPERLINK("#",""), HYPERLINK(CONCATENATE("#Metadata!", ADDRESS(INDEX($AJ$2:$AJ$1001,MATCH(ROWS($AH$2:AH479),$AH$2:$AH$1001,0),0), INDEX($AO$1004:$BQ$1004,1,MATCH(COLUMNS($AO$1006:BP1006),$AO$1006:$BQ$1006,0)))),"Fix")))</f>
        <v>#N/A</v>
      </c>
      <c r="AD479" s="5" t="e">
        <f ca="1">IF(OR(INDEX($AI$2:$AI$1001,MATCH(ROWS($AH$2:AH479),$AH$2:$AH$1001,0),1)&gt;=100000,INDEX($AO$1005:$BQ$1005,1,MATCH(COLUMNS($AO$1006:BQ1006),$AO$1006:$BQ$1006,0))&gt;=100000), " ",IF(INDEX($AO$2:$BQ$1001,MATCH(ROWS($AH$2:AH479),$AH$2:$AH$1001,0),MATCH(COLUMNS($AO$1006:BQ1006),$AO$1006:$BQ$1006,0)), HYPERLINK("#",""), HYPERLINK(CONCATENATE("#Metadata!", ADDRESS(INDEX($AJ$2:$AJ$1001,MATCH(ROWS($AH$2:AH479),$AH$2:$AH$1001,0),0), INDEX($AO$1004:$BQ$1004,1,MATCH(COLUMNS($AO$1006:BQ1006),$AO$1006:$BQ$1006,0)))),"Fix")))</f>
        <v>#REF!</v>
      </c>
      <c r="AH479">
        <f ca="1"/>
        <v>476</v>
      </c>
      <c r="AI479">
        <v>100479</v>
      </c>
      <c r="AJ479">
        <v>479</v>
      </c>
      <c r="AK479" t="b">
        <f t="shared" si="7"/>
        <v>1</v>
      </c>
      <c r="AL479" t="b">
        <f>COUNTBLANK(Metadata!B479:AD479)=COLUMNS(Metadata!B479:AD479)</f>
        <v>1</v>
      </c>
      <c r="AM479" t="str">
        <v/>
      </c>
      <c r="AO479" t="b">
        <f ca="1">AND(IF(Metadata!B479="",FALSE,TRUE),COUNTIF(Metadata!B:B, Metadata!B479) = 1,NOT(ISERROR(SUMPRODUCT(SEARCH(MID(Metadata!B479,ROW(INDIRECT("1:"&amp;LEN(Metadata!B479))), 1),"0123456789abcdefghijklmnopqrstuvwxyzABCDEFGHIJKLMNOPQRSTUVWXYZ.")))))</f>
        <v>0</v>
      </c>
      <c r="AP479" t="b">
        <f>IF(Metadata!C479="",FALSE,TRUE)</f>
        <v>0</v>
      </c>
      <c r="AQ479" t="b">
        <f>IF(Metadata!D479="",FALSE,TRUE)</f>
        <v>0</v>
      </c>
      <c r="AR479" t="b">
        <f ca="1">OR(AND(IF(Metadata!E479="",FALSE,TRUE),OR(EXACT(Metadata!E479,"not collected"),EXACT(Metadata!E479,"not provided"),EXACT(Metadata!E479,"restricted access"))),AND(IF(Metadata!E479="",FALSE,TRUE),AND(AND(IFERROR(INT(LEFT(Metadata!E479,4))&gt;1900,FALSE),IFERROR(INT(LEFT(Metadata!E479,4))&lt;=YEAR(NOW()),FALSE)), OR(MID(Metadata!E479,5,1)="", AND(AND(MID(Metadata!E479,5,1)="-",IFERROR(INT(MID(Metadata!E479,6,1))&gt;=0,FALSE),IFERROR(INT(MID(Metadata!E479,6,1))&lt;=1,FALSE),NOT(MID(Metadata!E479,7,1)=""),IFERROR(INT(MID(Metadata!E479,6,2))&gt;=1,FALSE),IFERROR(INT(MID(Metadata!E479,6,2))&lt;=12,FALSE)), OR(MID(Metadata!E479,8,1)="", AND(AND(MID(Metadata!E479,8,1)="-",IFERROR(INT(MID(Metadata!E479,9,1))&gt;=0,FALSE),IFERROR(INT(MID(Metadata!E479,9,1))&lt;=3,FALSE),NOT(MID(Metadata!E479,10,1)=""),IFERROR(INT(MID(Metadata!E479,9,2))&gt;=1,FALSE),IFERROR(INT(MID(Metadata!E479,9,2))&lt;=31,FALSE)), OR(MID(Metadata!E479,11,1)="", AND(AND(MID(Metadata!E479,11,1)=" ",IFERROR(INT(MID(Metadata!E479,12,1))&gt;=0,FALSE),IFERROR(INT(MID(Metadata!E479,12,1))&lt;=2,FALSE),NOT(MID(Metadata!E479,13,1)=""),IFERROR(INT(MID(Metadata!E479,12,2))&gt;=0,FALSE),IFERROR(INT(MID(Metadata!E479,12,2))&lt;=23,FALSE)), OR(MID(Metadata!E479,14,1)="", AND(AND(MID(Metadata!E479,14,1)=":",IFERROR(INT(MID(Metadata!E479,15,1))&gt;=0,FALSE),IFERROR(INT(MID(Metadata!E479,15,1))&lt;=5,FALSE),NOT(MID(Metadata!E479,16,1)=""),IFERROR(INT(MID(Metadata!E479,15,2))&gt;=0,FALSE),IFERROR(INT(MID(Metadata!E479,15,2))&lt;=59,FALSE)), OR(MID(Metadata!E479,17,1)="", AND(AND(MID(Metadata!E479,17,1)=":",IFERROR(INT(MID(Metadata!E479,18,1))&gt;=0,FALSE),IFERROR(INT(MID(Metadata!E479,18,1))&lt;=5,FALSE),NOT(MID(Metadata!E479,19,1)=""),IFERROR(INT(MID(Metadata!E479,18,2))&gt;=0,FALSE),IFERROR(INT(MID(Metadata!E479,18,2))&lt;=59,FALSE)), LEN(Metadata!E479)&lt;=19)))))))))))))</f>
        <v>0</v>
      </c>
      <c r="AS479" t="b">
        <f>IF(Metadata!F479="",FALSE,TRUE)</f>
        <v>0</v>
      </c>
      <c r="AT479" t="b">
        <f>OR(AND(IF(Metadata!G479="",FALSE,TRUE),OR(EXACT(Metadata!G479,"not collected"),EXACT(Metadata!G479,"not provided"))),AND(IF(Metadata!G479="",FALSE,TRUE),OR(EXACT(Metadata!G479,"TRUE"),EXACT(Metadata!G479,"FALSE"))))</f>
        <v>0</v>
      </c>
      <c r="AU479" t="b">
        <f>OR(AND(IF(Metadata!H479="",FALSE,TRUE),OR(EXACT(Metadata!H479,"not collected"),EXACT(Metadata!H479,"not provided"),EXACT(Metadata!H479,"restricted access"))),AND(IF(Metadata!H479="",FALSE,ISNUMBER(VALUE(Metadata!H479))),Metadata!H479&gt;=-413))</f>
        <v>0</v>
      </c>
      <c r="AV479" t="b">
        <f>AND(IF(Metadata!I479="",FALSE,TRUE),EXACT(Metadata!I479,"meters"))</f>
        <v>0</v>
      </c>
      <c r="AW479" t="b">
        <f>AND(IF(Metadata!J479="",FALSE,TRUE),EXACT(Metadata!J479,"free-living"))</f>
        <v>0</v>
      </c>
      <c r="AX479" t="b">
        <f>AND(IF(Metadata!K479="",FALSE,TRUE),OR(EXACT(Metadata!K479,"saline"),EXACT(Metadata!K479,"non-saline")))</f>
        <v>0</v>
      </c>
      <c r="AY479" t="b">
        <f>AND(IF(Metadata!L479="",FALSE,TRUE),OR(EXACT(Metadata!L479,"sub-surface (non-saline)"),EXACT(Metadata!L479,"surface (non-saline)"),EXACT(Metadata!L479,"water (non-saline)"),EXACT(Metadata!L479,"soil (non-saline)"),EXACT(Metadata!L479,"aerosol (non-saline)"),EXACT(Metadata!L479,"sediment (non-saline)"),EXACT(Metadata!L479,"surface (saline)"),EXACT(Metadata!L479,"water (saline)"),EXACT(Metadata!L479,"hypersaline (saline)"),EXACT(Metadata!L479,"aerosol (saline)"),EXACT(Metadata!L479,"sediment (saline)")))</f>
        <v>0</v>
      </c>
      <c r="AZ479" t="b">
        <f>IF(Metadata!M479="",FALSE,TRUE)</f>
        <v>0</v>
      </c>
      <c r="BA479" t="b">
        <f>IF(Metadata!N479="",FALSE,TRUE)</f>
        <v>0</v>
      </c>
      <c r="BB479" t="b">
        <f>IF(Metadata!O479="",FALSE,TRUE)</f>
        <v>0</v>
      </c>
      <c r="BC479" t="b">
        <f>AND(IF(Metadata!P479="",FALSE,TRUE),OR(EXACT(Metadata!P479,"air"),EXACT(Metadata!P479,"microbial mat/biofilm"),EXACT(Metadata!P479,"misc environment"),EXACT(Metadata!P479,"sediment"),EXACT(Metadata!P479,"soil"),EXACT(Metadata!P479,"wastewater/sludge"),EXACT(Metadata!P479,"water")))</f>
        <v>0</v>
      </c>
      <c r="BD479" t="b">
        <f>IF(Metadata!Q479="",FALSE,TRUE)</f>
        <v>0</v>
      </c>
      <c r="BE479" t="b">
        <f>IF(Metadata!R479="",FALSE,TRUE)</f>
        <v>0</v>
      </c>
      <c r="BF479" t="b">
        <f>OR(AND(IF(Metadata!S479="",FALSE,TRUE),OR(EXACT(Metadata!S479,"not collected"),EXACT(Metadata!S479,"not provided"),EXACT(Metadata!S479,"restricted access"))),AND(IF(Metadata!S479="",FALSE,ISNUMBER(VALUE(Metadata!S479))),Metadata!S479&gt;=-90,Metadata!S479&lt;=90))</f>
        <v>0</v>
      </c>
      <c r="BG479" t="b">
        <f>AND(IF(Metadata!T479="",FALSE,TRUE),EXACT(Metadata!T479,"Decimal degrees"))</f>
        <v>0</v>
      </c>
      <c r="BH479" t="b">
        <f>OR(AND(IF(Metadata!U479="",FALSE,TRUE),OR(EXACT(Metadata!U479,"not applicable"),EXACT(Metadata!U479,"not collected"))),IF(Metadata!U479="",FALSE,TRUE))</f>
        <v>0</v>
      </c>
      <c r="BI479" t="b">
        <f>OR(AND(IF(Metadata!V479="",FALSE,TRUE),OR(EXACT(Metadata!V479,"not collected"),EXACT(Metadata!V479,"not provided"),EXACT(Metadata!V479,"restricted access"))),AND(IF(Metadata!V479="",FALSE,ISNUMBER(VALUE(Metadata!V479))),Metadata!V479&gt;=-180,Metadata!V479&lt;=180))</f>
        <v>0</v>
      </c>
      <c r="BJ479" t="b">
        <f>AND(IF(Metadata!W479="",FALSE,TRUE),EXACT(Metadata!W479,"Decimal degrees"))</f>
        <v>0</v>
      </c>
      <c r="BK479" t="b">
        <f>IF(Metadata!X479="",FALSE,TRUE)</f>
        <v>0</v>
      </c>
      <c r="BL479" t="b">
        <f>OR(AND(IF(Metadata!Y479="",FALSE,TRUE),OR(EXACT(Metadata!Y479,"not collected"),EXACT(Metadata!Y479,"not provided"),EXACT(Metadata!Y479,"restricted access"))),AND(IF(Metadata!Y479="",FALSE,TRUE),OR(EXACT(Metadata!Y479,"TRUE"),EXACT(Metadata!Y479,"FALSE"))))</f>
        <v>0</v>
      </c>
      <c r="BM479" t="b">
        <f>OR(AND(IF(Metadata!Z479="",FALSE,TRUE),EXACT(Metadata!Z479,"not applicable")),AND(IF(Metadata!Z479="",FALSE,TRUE),OR(EXACT(Metadata!Z479,"beer"),EXACT(Metadata!Z479,"cheese"),EXACT(Metadata!Z479,"fresh water"),EXACT(Metadata!Z479,"marine sediment"),EXACT(Metadata!Z479,"sea water"),EXACT(Metadata!Z479,"sediment"),EXACT(Metadata!Z479,"soil"),EXACT(Metadata!Z479,"waste water"))))</f>
        <v>0</v>
      </c>
      <c r="BN479" t="b">
        <f>AND(IF(Metadata!AA479="",FALSE,TRUE),EXACT(Metadata!AA479,"metagenome"))</f>
        <v>0</v>
      </c>
      <c r="BO479" t="b">
        <f>AND(IF(Metadata!AB479="",FALSE,TRUE),EXACT(Metadata!AB479,"256318"))</f>
        <v>0</v>
      </c>
      <c r="BP479" t="b">
        <f>IF(Metadata!AC479="",FALSE,TRUE)</f>
        <v>0</v>
      </c>
      <c r="BQ479" t="b">
        <f>IF(Metadata!AD479="",FALSE,TRUE)</f>
        <v>0</v>
      </c>
    </row>
    <row r="480" spans="1:69" x14ac:dyDescent="0.2">
      <c r="A480" s="4" t="e">
        <f ca="1">IF(B480=" "," ",HYPERLINK(CONCATENATE("#metadata!",ADDRESS(INDEX($AJ$2:$AJ$1001,MATCH(ROWS($AH$2:AH480),$AH$2:$AH$1001,0),0),2)),INDEX($AM$2:$AM$1001,MATCH(ROWS($AH$2:AH480),$AH$2:$AH$1001,0),0)))</f>
        <v>#N/A</v>
      </c>
      <c r="B480" s="5" t="e">
        <f ca="1">IF(OR(INDEX($AI$2:$AI$1001,MATCH(ROWS($AH$2:AH480),$AH$2:$AH$1001,0),1)&gt;=100000,INDEX($AO$1005:$BQ$1005,1,MATCH(COLUMNS($AO$1006:AO1006),$AO$1006:$BQ$1006,0))&gt;=100000), " ",IF(INDEX($AO$2:$BQ$1001,MATCH(ROWS($AH$2:AH480),$AH$2:$AH$1001,0),MATCH(COLUMNS($AO$1006:AO1006),$AO$1006:$BQ$1006,0)), HYPERLINK("#",""), HYPERLINK(CONCATENATE("#Metadata!", ADDRESS(INDEX($AJ$2:$AJ$1001,MATCH(ROWS($AH$2:AH480),$AH$2:$AH$1001,0),0), INDEX($AO$1004:$BQ$1004,1,MATCH(COLUMNS($AO$1006:AO1006),$AO$1006:$BQ$1006,0)))),"Fix")))</f>
        <v>#N/A</v>
      </c>
      <c r="C480" s="5" t="e">
        <f ca="1">IF(OR(INDEX($AI$2:$AI$1001,MATCH(ROWS($AH$2:AH480),$AH$2:$AH$1001,0),1)&gt;=100000,INDEX($AO$1005:$BQ$1005,1,MATCH(COLUMNS($AO$1006:AP1006),$AO$1006:$BQ$1006,0))&gt;=100000), " ",IF(INDEX($AO$2:$BQ$1001,MATCH(ROWS($AH$2:AH480),$AH$2:$AH$1001,0),MATCH(COLUMNS($AO$1006:AP1006),$AO$1006:$BQ$1006,0)), HYPERLINK("#",""), HYPERLINK(CONCATENATE("#Metadata!", ADDRESS(INDEX($AJ$2:$AJ$1001,MATCH(ROWS($AH$2:AH480),$AH$2:$AH$1001,0),0), INDEX($AO$1004:$BQ$1004,1,MATCH(COLUMNS($AO$1006:AP1006),$AO$1006:$BQ$1006,0)))),"Fix")))</f>
        <v>#N/A</v>
      </c>
      <c r="D480" s="5" t="e">
        <f ca="1">IF(OR(INDEX($AI$2:$AI$1001,MATCH(ROWS($AH$2:AH480),$AH$2:$AH$1001,0),1)&gt;=100000,INDEX($AO$1005:$BQ$1005,1,MATCH(COLUMNS($AO$1006:AQ1006),$AO$1006:$BQ$1006,0))&gt;=100000), " ",IF(INDEX($AO$2:$BQ$1001,MATCH(ROWS($AH$2:AH480),$AH$2:$AH$1001,0),MATCH(COLUMNS($AO$1006:AQ1006),$AO$1006:$BQ$1006,0)), HYPERLINK("#",""), HYPERLINK(CONCATENATE("#Metadata!", ADDRESS(INDEX($AJ$2:$AJ$1001,MATCH(ROWS($AH$2:AH480),$AH$2:$AH$1001,0),0), INDEX($AO$1004:$BQ$1004,1,MATCH(COLUMNS($AO$1006:AQ1006),$AO$1006:$BQ$1006,0)))),"Fix")))</f>
        <v>#N/A</v>
      </c>
      <c r="E480" s="5" t="e">
        <f ca="1">IF(OR(INDEX($AI$2:$AI$1001,MATCH(ROWS($AH$2:AH480),$AH$2:$AH$1001,0),1)&gt;=100000,INDEX($AO$1005:$BQ$1005,1,MATCH(COLUMNS($AO$1006:AR1006),$AO$1006:$BQ$1006,0))&gt;=100000), " ",IF(INDEX($AO$2:$BQ$1001,MATCH(ROWS($AH$2:AH480),$AH$2:$AH$1001,0),MATCH(COLUMNS($AO$1006:AR1006),$AO$1006:$BQ$1006,0)), HYPERLINK("#",""), HYPERLINK(CONCATENATE("#Metadata!", ADDRESS(INDEX($AJ$2:$AJ$1001,MATCH(ROWS($AH$2:AH480),$AH$2:$AH$1001,0),0), INDEX($AO$1004:$BQ$1004,1,MATCH(COLUMNS($AO$1006:AR1006),$AO$1006:$BQ$1006,0)))),"Fix")))</f>
        <v>#N/A</v>
      </c>
      <c r="F480" s="5" t="e">
        <f ca="1">IF(OR(INDEX($AI$2:$AI$1001,MATCH(ROWS($AH$2:AH480),$AH$2:$AH$1001,0),1)&gt;=100000,INDEX($AO$1005:$BQ$1005,1,MATCH(COLUMNS($AO$1006:AS1006),$AO$1006:$BQ$1006,0))&gt;=100000), " ",IF(INDEX($AO$2:$BQ$1001,MATCH(ROWS($AH$2:AH480),$AH$2:$AH$1001,0),MATCH(COLUMNS($AO$1006:AS1006),$AO$1006:$BQ$1006,0)), HYPERLINK("#",""), HYPERLINK(CONCATENATE("#Metadata!", ADDRESS(INDEX($AJ$2:$AJ$1001,MATCH(ROWS($AH$2:AH480),$AH$2:$AH$1001,0),0), INDEX($AO$1004:$BQ$1004,1,MATCH(COLUMNS($AO$1006:AS1006),$AO$1006:$BQ$1006,0)))),"Fix")))</f>
        <v>#N/A</v>
      </c>
      <c r="G480" s="5" t="e">
        <f ca="1">IF(OR(INDEX($AI$2:$AI$1001,MATCH(ROWS($AH$2:AH480),$AH$2:$AH$1001,0),1)&gt;=100000,INDEX($AO$1005:$BQ$1005,1,MATCH(COLUMNS($AO$1006:AT1006),$AO$1006:$BQ$1006,0))&gt;=100000), " ",IF(INDEX($AO$2:$BQ$1001,MATCH(ROWS($AH$2:AH480),$AH$2:$AH$1001,0),MATCH(COLUMNS($AO$1006:AT1006),$AO$1006:$BQ$1006,0)), HYPERLINK("#",""), HYPERLINK(CONCATENATE("#Metadata!", ADDRESS(INDEX($AJ$2:$AJ$1001,MATCH(ROWS($AH$2:AH480),$AH$2:$AH$1001,0),0), INDEX($AO$1004:$BQ$1004,1,MATCH(COLUMNS($AO$1006:AT1006),$AO$1006:$BQ$1006,0)))),"Fix")))</f>
        <v>#N/A</v>
      </c>
      <c r="H480" s="5" t="e">
        <f ca="1">IF(OR(INDEX($AI$2:$AI$1001,MATCH(ROWS($AH$2:AH480),$AH$2:$AH$1001,0),1)&gt;=100000,INDEX($AO$1005:$BQ$1005,1,MATCH(COLUMNS($AO$1006:AU1006),$AO$1006:$BQ$1006,0))&gt;=100000), " ",IF(INDEX($AO$2:$BQ$1001,MATCH(ROWS($AH$2:AH480),$AH$2:$AH$1001,0),MATCH(COLUMNS($AO$1006:AU1006),$AO$1006:$BQ$1006,0)), HYPERLINK("#",""), HYPERLINK(CONCATENATE("#Metadata!", ADDRESS(INDEX($AJ$2:$AJ$1001,MATCH(ROWS($AH$2:AH480),$AH$2:$AH$1001,0),0), INDEX($AO$1004:$BQ$1004,1,MATCH(COLUMNS($AO$1006:AU1006),$AO$1006:$BQ$1006,0)))),"Fix")))</f>
        <v>#N/A</v>
      </c>
      <c r="I480" s="5" t="e">
        <f ca="1">IF(OR(INDEX($AI$2:$AI$1001,MATCH(ROWS($AH$2:AH480),$AH$2:$AH$1001,0),1)&gt;=100000,INDEX($AO$1005:$BQ$1005,1,MATCH(COLUMNS($AO$1006:AV1006),$AO$1006:$BQ$1006,0))&gt;=100000), " ",IF(INDEX($AO$2:$BQ$1001,MATCH(ROWS($AH$2:AH480),$AH$2:$AH$1001,0),MATCH(COLUMNS($AO$1006:AV1006),$AO$1006:$BQ$1006,0)), HYPERLINK("#",""), HYPERLINK(CONCATENATE("#Metadata!", ADDRESS(INDEX($AJ$2:$AJ$1001,MATCH(ROWS($AH$2:AH480),$AH$2:$AH$1001,0),0), INDEX($AO$1004:$BQ$1004,1,MATCH(COLUMNS($AO$1006:AV1006),$AO$1006:$BQ$1006,0)))),"Fix")))</f>
        <v>#N/A</v>
      </c>
      <c r="J480" s="5" t="e">
        <f ca="1">IF(OR(INDEX($AI$2:$AI$1001,MATCH(ROWS($AH$2:AH480),$AH$2:$AH$1001,0),1)&gt;=100000,INDEX($AO$1005:$BQ$1005,1,MATCH(COLUMNS($AO$1006:AW1006),$AO$1006:$BQ$1006,0))&gt;=100000), " ",IF(INDEX($AO$2:$BQ$1001,MATCH(ROWS($AH$2:AH480),$AH$2:$AH$1001,0),MATCH(COLUMNS($AO$1006:AW1006),$AO$1006:$BQ$1006,0)), HYPERLINK("#",""), HYPERLINK(CONCATENATE("#Metadata!", ADDRESS(INDEX($AJ$2:$AJ$1001,MATCH(ROWS($AH$2:AH480),$AH$2:$AH$1001,0),0), INDEX($AO$1004:$BQ$1004,1,MATCH(COLUMNS($AO$1006:AW1006),$AO$1006:$BQ$1006,0)))),"Fix")))</f>
        <v>#N/A</v>
      </c>
      <c r="K480" s="5" t="e">
        <f ca="1">IF(OR(INDEX($AI$2:$AI$1001,MATCH(ROWS($AH$2:AH480),$AH$2:$AH$1001,0),1)&gt;=100000,INDEX($AO$1005:$BQ$1005,1,MATCH(COLUMNS($AO$1006:AX1006),$AO$1006:$BQ$1006,0))&gt;=100000), " ",IF(INDEX($AO$2:$BQ$1001,MATCH(ROWS($AH$2:AH480),$AH$2:$AH$1001,0),MATCH(COLUMNS($AO$1006:AX1006),$AO$1006:$BQ$1006,0)), HYPERLINK("#",""), HYPERLINK(CONCATENATE("#Metadata!", ADDRESS(INDEX($AJ$2:$AJ$1001,MATCH(ROWS($AH$2:AH480),$AH$2:$AH$1001,0),0), INDEX($AO$1004:$BQ$1004,1,MATCH(COLUMNS($AO$1006:AX1006),$AO$1006:$BQ$1006,0)))),"Fix")))</f>
        <v>#N/A</v>
      </c>
      <c r="L480" s="5" t="e">
        <f ca="1">IF(OR(INDEX($AI$2:$AI$1001,MATCH(ROWS($AH$2:AH480),$AH$2:$AH$1001,0),1)&gt;=100000,INDEX($AO$1005:$BQ$1005,1,MATCH(COLUMNS($AO$1006:AY1006),$AO$1006:$BQ$1006,0))&gt;=100000), " ",IF(INDEX($AO$2:$BQ$1001,MATCH(ROWS($AH$2:AH480),$AH$2:$AH$1001,0),MATCH(COLUMNS($AO$1006:AY1006),$AO$1006:$BQ$1006,0)), HYPERLINK("#",""), HYPERLINK(CONCATENATE("#Metadata!", ADDRESS(INDEX($AJ$2:$AJ$1001,MATCH(ROWS($AH$2:AH480),$AH$2:$AH$1001,0),0), INDEX($AO$1004:$BQ$1004,1,MATCH(COLUMNS($AO$1006:AY1006),$AO$1006:$BQ$1006,0)))),"Fix")))</f>
        <v>#N/A</v>
      </c>
      <c r="M480" s="5" t="e">
        <f ca="1">IF(OR(INDEX($AI$2:$AI$1001,MATCH(ROWS($AH$2:AH480),$AH$2:$AH$1001,0),1)&gt;=100000,INDEX($AO$1005:$BQ$1005,1,MATCH(COLUMNS($AO$1006:AZ1006),$AO$1006:$BQ$1006,0))&gt;=100000), " ",IF(INDEX($AO$2:$BQ$1001,MATCH(ROWS($AH$2:AH480),$AH$2:$AH$1001,0),MATCH(COLUMNS($AO$1006:AZ1006),$AO$1006:$BQ$1006,0)), HYPERLINK("#",""), HYPERLINK(CONCATENATE("#Metadata!", ADDRESS(INDEX($AJ$2:$AJ$1001,MATCH(ROWS($AH$2:AH480),$AH$2:$AH$1001,0),0), INDEX($AO$1004:$BQ$1004,1,MATCH(COLUMNS($AO$1006:AZ1006),$AO$1006:$BQ$1006,0)))),"Fix")))</f>
        <v>#N/A</v>
      </c>
      <c r="N480" s="5" t="e">
        <f ca="1">IF(OR(INDEX($AI$2:$AI$1001,MATCH(ROWS($AH$2:AH480),$AH$2:$AH$1001,0),1)&gt;=100000,INDEX($AO$1005:$BQ$1005,1,MATCH(COLUMNS($AO$1006:BA1006),$AO$1006:$BQ$1006,0))&gt;=100000), " ",IF(INDEX($AO$2:$BQ$1001,MATCH(ROWS($AH$2:AH480),$AH$2:$AH$1001,0),MATCH(COLUMNS($AO$1006:BA1006),$AO$1006:$BQ$1006,0)), HYPERLINK("#",""), HYPERLINK(CONCATENATE("#Metadata!", ADDRESS(INDEX($AJ$2:$AJ$1001,MATCH(ROWS($AH$2:AH480),$AH$2:$AH$1001,0),0), INDEX($AO$1004:$BQ$1004,1,MATCH(COLUMNS($AO$1006:BA1006),$AO$1006:$BQ$1006,0)))),"Fix")))</f>
        <v>#N/A</v>
      </c>
      <c r="O480" s="5" t="e">
        <f ca="1">IF(OR(INDEX($AI$2:$AI$1001,MATCH(ROWS($AH$2:AH480),$AH$2:$AH$1001,0),1)&gt;=100000,INDEX($AO$1005:$BQ$1005,1,MATCH(COLUMNS($AO$1006:BB1006),$AO$1006:$BQ$1006,0))&gt;=100000), " ",IF(INDEX($AO$2:$BQ$1001,MATCH(ROWS($AH$2:AH480),$AH$2:$AH$1001,0),MATCH(COLUMNS($AO$1006:BB1006),$AO$1006:$BQ$1006,0)), HYPERLINK("#",""), HYPERLINK(CONCATENATE("#Metadata!", ADDRESS(INDEX($AJ$2:$AJ$1001,MATCH(ROWS($AH$2:AH480),$AH$2:$AH$1001,0),0), INDEX($AO$1004:$BQ$1004,1,MATCH(COLUMNS($AO$1006:BB1006),$AO$1006:$BQ$1006,0)))),"Fix")))</f>
        <v>#N/A</v>
      </c>
      <c r="P480" s="5" t="e">
        <f ca="1">IF(OR(INDEX($AI$2:$AI$1001,MATCH(ROWS($AH$2:AH480),$AH$2:$AH$1001,0),1)&gt;=100000,INDEX($AO$1005:$BQ$1005,1,MATCH(COLUMNS($AO$1006:BC1006),$AO$1006:$BQ$1006,0))&gt;=100000), " ",IF(INDEX($AO$2:$BQ$1001,MATCH(ROWS($AH$2:AH480),$AH$2:$AH$1001,0),MATCH(COLUMNS($AO$1006:BC1006),$AO$1006:$BQ$1006,0)), HYPERLINK("#",""), HYPERLINK(CONCATENATE("#Metadata!", ADDRESS(INDEX($AJ$2:$AJ$1001,MATCH(ROWS($AH$2:AH480),$AH$2:$AH$1001,0),0), INDEX($AO$1004:$BQ$1004,1,MATCH(COLUMNS($AO$1006:BC1006),$AO$1006:$BQ$1006,0)))),"Fix")))</f>
        <v>#N/A</v>
      </c>
      <c r="Q480" s="5" t="e">
        <f ca="1">IF(OR(INDEX($AI$2:$AI$1001,MATCH(ROWS($AH$2:AH480),$AH$2:$AH$1001,0),1)&gt;=100000,INDEX($AO$1005:$BQ$1005,1,MATCH(COLUMNS($AO$1006:BD1006),$AO$1006:$BQ$1006,0))&gt;=100000), " ",IF(INDEX($AO$2:$BQ$1001,MATCH(ROWS($AH$2:AH480),$AH$2:$AH$1001,0),MATCH(COLUMNS($AO$1006:BD1006),$AO$1006:$BQ$1006,0)), HYPERLINK("#",""), HYPERLINK(CONCATENATE("#Metadata!", ADDRESS(INDEX($AJ$2:$AJ$1001,MATCH(ROWS($AH$2:AH480),$AH$2:$AH$1001,0),0), INDEX($AO$1004:$BQ$1004,1,MATCH(COLUMNS($AO$1006:BD1006),$AO$1006:$BQ$1006,0)))),"Fix")))</f>
        <v>#N/A</v>
      </c>
      <c r="R480" s="5" t="e">
        <f ca="1">IF(OR(INDEX($AI$2:$AI$1001,MATCH(ROWS($AH$2:AH480),$AH$2:$AH$1001,0),1)&gt;=100000,INDEX($AO$1005:$BQ$1005,1,MATCH(COLUMNS($AO$1006:BE1006),$AO$1006:$BQ$1006,0))&gt;=100000), " ",IF(INDEX($AO$2:$BQ$1001,MATCH(ROWS($AH$2:AH480),$AH$2:$AH$1001,0),MATCH(COLUMNS($AO$1006:BE1006),$AO$1006:$BQ$1006,0)), HYPERLINK("#",""), HYPERLINK(CONCATENATE("#Metadata!", ADDRESS(INDEX($AJ$2:$AJ$1001,MATCH(ROWS($AH$2:AH480),$AH$2:$AH$1001,0),0), INDEX($AO$1004:$BQ$1004,1,MATCH(COLUMNS($AO$1006:BE1006),$AO$1006:$BQ$1006,0)))),"Fix")))</f>
        <v>#N/A</v>
      </c>
      <c r="S480" s="5" t="e">
        <f ca="1">IF(OR(INDEX($AI$2:$AI$1001,MATCH(ROWS($AH$2:AH480),$AH$2:$AH$1001,0),1)&gt;=100000,INDEX($AO$1005:$BQ$1005,1,MATCH(COLUMNS($AO$1006:BF1006),$AO$1006:$BQ$1006,0))&gt;=100000), " ",IF(INDEX($AO$2:$BQ$1001,MATCH(ROWS($AH$2:AH480),$AH$2:$AH$1001,0),MATCH(COLUMNS($AO$1006:BF1006),$AO$1006:$BQ$1006,0)), HYPERLINK("#",""), HYPERLINK(CONCATENATE("#Metadata!", ADDRESS(INDEX($AJ$2:$AJ$1001,MATCH(ROWS($AH$2:AH480),$AH$2:$AH$1001,0),0), INDEX($AO$1004:$BQ$1004,1,MATCH(COLUMNS($AO$1006:BF1006),$AO$1006:$BQ$1006,0)))),"Fix")))</f>
        <v>#N/A</v>
      </c>
      <c r="T480" s="5" t="e">
        <f ca="1">IF(OR(INDEX($AI$2:$AI$1001,MATCH(ROWS($AH$2:AH480),$AH$2:$AH$1001,0),1)&gt;=100000,INDEX($AO$1005:$BQ$1005,1,MATCH(COLUMNS($AO$1006:BG1006),$AO$1006:$BQ$1006,0))&gt;=100000), " ",IF(INDEX($AO$2:$BQ$1001,MATCH(ROWS($AH$2:AH480),$AH$2:$AH$1001,0),MATCH(COLUMNS($AO$1006:BG1006),$AO$1006:$BQ$1006,0)), HYPERLINK("#",""), HYPERLINK(CONCATENATE("#Metadata!", ADDRESS(INDEX($AJ$2:$AJ$1001,MATCH(ROWS($AH$2:AH480),$AH$2:$AH$1001,0),0), INDEX($AO$1004:$BQ$1004,1,MATCH(COLUMNS($AO$1006:BG1006),$AO$1006:$BQ$1006,0)))),"Fix")))</f>
        <v>#N/A</v>
      </c>
      <c r="U480" s="5" t="e">
        <f ca="1">IF(OR(INDEX($AI$2:$AI$1001,MATCH(ROWS($AH$2:AH480),$AH$2:$AH$1001,0),1)&gt;=100000,INDEX($AO$1005:$BQ$1005,1,MATCH(COLUMNS($AO$1006:BH1006),$AO$1006:$BQ$1006,0))&gt;=100000), " ",IF(INDEX($AO$2:$BQ$1001,MATCH(ROWS($AH$2:AH480),$AH$2:$AH$1001,0),MATCH(COLUMNS($AO$1006:BH1006),$AO$1006:$BQ$1006,0)), HYPERLINK("#",""), HYPERLINK(CONCATENATE("#Metadata!", ADDRESS(INDEX($AJ$2:$AJ$1001,MATCH(ROWS($AH$2:AH480),$AH$2:$AH$1001,0),0), INDEX($AO$1004:$BQ$1004,1,MATCH(COLUMNS($AO$1006:BH1006),$AO$1006:$BQ$1006,0)))),"Fix")))</f>
        <v>#N/A</v>
      </c>
      <c r="V480" s="5" t="e">
        <f ca="1">IF(OR(INDEX($AI$2:$AI$1001,MATCH(ROWS($AH$2:AH480),$AH$2:$AH$1001,0),1)&gt;=100000,INDEX($AO$1005:$BQ$1005,1,MATCH(COLUMNS($AO$1006:BI1006),$AO$1006:$BQ$1006,0))&gt;=100000), " ",IF(INDEX($AO$2:$BQ$1001,MATCH(ROWS($AH$2:AH480),$AH$2:$AH$1001,0),MATCH(COLUMNS($AO$1006:BI1006),$AO$1006:$BQ$1006,0)), HYPERLINK("#",""), HYPERLINK(CONCATENATE("#Metadata!", ADDRESS(INDEX($AJ$2:$AJ$1001,MATCH(ROWS($AH$2:AH480),$AH$2:$AH$1001,0),0), INDEX($AO$1004:$BQ$1004,1,MATCH(COLUMNS($AO$1006:BI1006),$AO$1006:$BQ$1006,0)))),"Fix")))</f>
        <v>#N/A</v>
      </c>
      <c r="W480" s="5" t="e">
        <f ca="1">IF(OR(INDEX($AI$2:$AI$1001,MATCH(ROWS($AH$2:AH480),$AH$2:$AH$1001,0),1)&gt;=100000,INDEX($AO$1005:$BQ$1005,1,MATCH(COLUMNS($AO$1006:BJ1006),$AO$1006:$BQ$1006,0))&gt;=100000), " ",IF(INDEX($AO$2:$BQ$1001,MATCH(ROWS($AH$2:AH480),$AH$2:$AH$1001,0),MATCH(COLUMNS($AO$1006:BJ1006),$AO$1006:$BQ$1006,0)), HYPERLINK("#",""), HYPERLINK(CONCATENATE("#Metadata!", ADDRESS(INDEX($AJ$2:$AJ$1001,MATCH(ROWS($AH$2:AH480),$AH$2:$AH$1001,0),0), INDEX($AO$1004:$BQ$1004,1,MATCH(COLUMNS($AO$1006:BJ1006),$AO$1006:$BQ$1006,0)))),"Fix")))</f>
        <v>#N/A</v>
      </c>
      <c r="X480" s="5" t="e">
        <f ca="1">IF(OR(INDEX($AI$2:$AI$1001,MATCH(ROWS($AH$2:AH480),$AH$2:$AH$1001,0),1)&gt;=100000,INDEX($AO$1005:$BQ$1005,1,MATCH(COLUMNS($AO$1006:BK1006),$AO$1006:$BQ$1006,0))&gt;=100000), " ",IF(INDEX($AO$2:$BQ$1001,MATCH(ROWS($AH$2:AH480),$AH$2:$AH$1001,0),MATCH(COLUMNS($AO$1006:BK1006),$AO$1006:$BQ$1006,0)), HYPERLINK("#",""), HYPERLINK(CONCATENATE("#Metadata!", ADDRESS(INDEX($AJ$2:$AJ$1001,MATCH(ROWS($AH$2:AH480),$AH$2:$AH$1001,0),0), INDEX($AO$1004:$BQ$1004,1,MATCH(COLUMNS($AO$1006:BK1006),$AO$1006:$BQ$1006,0)))),"Fix")))</f>
        <v>#N/A</v>
      </c>
      <c r="Y480" s="5" t="e">
        <f ca="1">IF(OR(INDEX($AI$2:$AI$1001,MATCH(ROWS($AH$2:AH480),$AH$2:$AH$1001,0),1)&gt;=100000,INDEX($AO$1005:$BQ$1005,1,MATCH(COLUMNS($AO$1006:BL1006),$AO$1006:$BQ$1006,0))&gt;=100000), " ",IF(INDEX($AO$2:$BQ$1001,MATCH(ROWS($AH$2:AH480),$AH$2:$AH$1001,0),MATCH(COLUMNS($AO$1006:BL1006),$AO$1006:$BQ$1006,0)), HYPERLINK("#",""), HYPERLINK(CONCATENATE("#Metadata!", ADDRESS(INDEX($AJ$2:$AJ$1001,MATCH(ROWS($AH$2:AH480),$AH$2:$AH$1001,0),0), INDEX($AO$1004:$BQ$1004,1,MATCH(COLUMNS($AO$1006:BL1006),$AO$1006:$BQ$1006,0)))),"Fix")))</f>
        <v>#N/A</v>
      </c>
      <c r="Z480" s="5" t="e">
        <f ca="1">IF(OR(INDEX($AI$2:$AI$1001,MATCH(ROWS($AH$2:AH480),$AH$2:$AH$1001,0),1)&gt;=100000,INDEX($AO$1005:$BQ$1005,1,MATCH(COLUMNS($AO$1006:BM1006),$AO$1006:$BQ$1006,0))&gt;=100000), " ",IF(INDEX($AO$2:$BQ$1001,MATCH(ROWS($AH$2:AH480),$AH$2:$AH$1001,0),MATCH(COLUMNS($AO$1006:BM1006),$AO$1006:$BQ$1006,0)), HYPERLINK("#",""), HYPERLINK(CONCATENATE("#Metadata!", ADDRESS(INDEX($AJ$2:$AJ$1001,MATCH(ROWS($AH$2:AH480),$AH$2:$AH$1001,0),0), INDEX($AO$1004:$BQ$1004,1,MATCH(COLUMNS($AO$1006:BM1006),$AO$1006:$BQ$1006,0)))),"Fix")))</f>
        <v>#N/A</v>
      </c>
      <c r="AA480" s="5" t="e">
        <f ca="1">IF(OR(INDEX($AI$2:$AI$1001,MATCH(ROWS($AH$2:AH480),$AH$2:$AH$1001,0),1)&gt;=100000,INDEX($AO$1005:$BQ$1005,1,MATCH(COLUMNS($AO$1006:BN1006),$AO$1006:$BQ$1006,0))&gt;=100000), " ",IF(INDEX($AO$2:$BQ$1001,MATCH(ROWS($AH$2:AH480),$AH$2:$AH$1001,0),MATCH(COLUMNS($AO$1006:BN1006),$AO$1006:$BQ$1006,0)), HYPERLINK("#",""), HYPERLINK(CONCATENATE("#Metadata!", ADDRESS(INDEX($AJ$2:$AJ$1001,MATCH(ROWS($AH$2:AH480),$AH$2:$AH$1001,0),0), INDEX($AO$1004:$BQ$1004,1,MATCH(COLUMNS($AO$1006:BN1006),$AO$1006:$BQ$1006,0)))),"Fix")))</f>
        <v>#N/A</v>
      </c>
      <c r="AB480" s="5" t="e">
        <f ca="1">IF(OR(INDEX($AI$2:$AI$1001,MATCH(ROWS($AH$2:AH480),$AH$2:$AH$1001,0),1)&gt;=100000,INDEX($AO$1005:$BQ$1005,1,MATCH(COLUMNS($AO$1006:BO1006),$AO$1006:$BQ$1006,0))&gt;=100000), " ",IF(INDEX($AO$2:$BQ$1001,MATCH(ROWS($AH$2:AH480),$AH$2:$AH$1001,0),MATCH(COLUMNS($AO$1006:BO1006),$AO$1006:$BQ$1006,0)), HYPERLINK("#",""), HYPERLINK(CONCATENATE("#Metadata!", ADDRESS(INDEX($AJ$2:$AJ$1001,MATCH(ROWS($AH$2:AH480),$AH$2:$AH$1001,0),0), INDEX($AO$1004:$BQ$1004,1,MATCH(COLUMNS($AO$1006:BO1006),$AO$1006:$BQ$1006,0)))),"Fix")))</f>
        <v>#N/A</v>
      </c>
      <c r="AC480" s="5" t="e">
        <f ca="1">IF(OR(INDEX($AI$2:$AI$1001,MATCH(ROWS($AH$2:AH480),$AH$2:$AH$1001,0),1)&gt;=100000,INDEX($AO$1005:$BQ$1005,1,MATCH(COLUMNS($AO$1006:BP1006),$AO$1006:$BQ$1006,0))&gt;=100000), " ",IF(INDEX($AO$2:$BQ$1001,MATCH(ROWS($AH$2:AH480),$AH$2:$AH$1001,0),MATCH(COLUMNS($AO$1006:BP1006),$AO$1006:$BQ$1006,0)), HYPERLINK("#",""), HYPERLINK(CONCATENATE("#Metadata!", ADDRESS(INDEX($AJ$2:$AJ$1001,MATCH(ROWS($AH$2:AH480),$AH$2:$AH$1001,0),0), INDEX($AO$1004:$BQ$1004,1,MATCH(COLUMNS($AO$1006:BP1006),$AO$1006:$BQ$1006,0)))),"Fix")))</f>
        <v>#N/A</v>
      </c>
      <c r="AD480" s="5" t="e">
        <f ca="1">IF(OR(INDEX($AI$2:$AI$1001,MATCH(ROWS($AH$2:AH480),$AH$2:$AH$1001,0),1)&gt;=100000,INDEX($AO$1005:$BQ$1005,1,MATCH(COLUMNS($AO$1006:BQ1006),$AO$1006:$BQ$1006,0))&gt;=100000), " ",IF(INDEX($AO$2:$BQ$1001,MATCH(ROWS($AH$2:AH480),$AH$2:$AH$1001,0),MATCH(COLUMNS($AO$1006:BQ1006),$AO$1006:$BQ$1006,0)), HYPERLINK("#",""), HYPERLINK(CONCATENATE("#Metadata!", ADDRESS(INDEX($AJ$2:$AJ$1001,MATCH(ROWS($AH$2:AH480),$AH$2:$AH$1001,0),0), INDEX($AO$1004:$BQ$1004,1,MATCH(COLUMNS($AO$1006:BQ1006),$AO$1006:$BQ$1006,0)))),"Fix")))</f>
        <v>#REF!</v>
      </c>
      <c r="AH480">
        <f ca="1"/>
        <v>477</v>
      </c>
      <c r="AI480">
        <v>100480</v>
      </c>
      <c r="AJ480">
        <v>480</v>
      </c>
      <c r="AK480" t="b">
        <f t="shared" si="7"/>
        <v>1</v>
      </c>
      <c r="AL480" t="b">
        <f>COUNTBLANK(Metadata!B480:AD480)=COLUMNS(Metadata!B480:AD480)</f>
        <v>1</v>
      </c>
      <c r="AM480" t="str">
        <v/>
      </c>
      <c r="AO480" t="b">
        <f ca="1">AND(IF(Metadata!B480="",FALSE,TRUE),COUNTIF(Metadata!B:B, Metadata!B480) = 1,NOT(ISERROR(SUMPRODUCT(SEARCH(MID(Metadata!B480,ROW(INDIRECT("1:"&amp;LEN(Metadata!B480))), 1),"0123456789abcdefghijklmnopqrstuvwxyzABCDEFGHIJKLMNOPQRSTUVWXYZ.")))))</f>
        <v>0</v>
      </c>
      <c r="AP480" t="b">
        <f>IF(Metadata!C480="",FALSE,TRUE)</f>
        <v>0</v>
      </c>
      <c r="AQ480" t="b">
        <f>IF(Metadata!D480="",FALSE,TRUE)</f>
        <v>0</v>
      </c>
      <c r="AR480" t="b">
        <f ca="1">OR(AND(IF(Metadata!E480="",FALSE,TRUE),OR(EXACT(Metadata!E480,"not collected"),EXACT(Metadata!E480,"not provided"),EXACT(Metadata!E480,"restricted access"))),AND(IF(Metadata!E480="",FALSE,TRUE),AND(AND(IFERROR(INT(LEFT(Metadata!E480,4))&gt;1900,FALSE),IFERROR(INT(LEFT(Metadata!E480,4))&lt;=YEAR(NOW()),FALSE)), OR(MID(Metadata!E480,5,1)="", AND(AND(MID(Metadata!E480,5,1)="-",IFERROR(INT(MID(Metadata!E480,6,1))&gt;=0,FALSE),IFERROR(INT(MID(Metadata!E480,6,1))&lt;=1,FALSE),NOT(MID(Metadata!E480,7,1)=""),IFERROR(INT(MID(Metadata!E480,6,2))&gt;=1,FALSE),IFERROR(INT(MID(Metadata!E480,6,2))&lt;=12,FALSE)), OR(MID(Metadata!E480,8,1)="", AND(AND(MID(Metadata!E480,8,1)="-",IFERROR(INT(MID(Metadata!E480,9,1))&gt;=0,FALSE),IFERROR(INT(MID(Metadata!E480,9,1))&lt;=3,FALSE),NOT(MID(Metadata!E480,10,1)=""),IFERROR(INT(MID(Metadata!E480,9,2))&gt;=1,FALSE),IFERROR(INT(MID(Metadata!E480,9,2))&lt;=31,FALSE)), OR(MID(Metadata!E480,11,1)="", AND(AND(MID(Metadata!E480,11,1)=" ",IFERROR(INT(MID(Metadata!E480,12,1))&gt;=0,FALSE),IFERROR(INT(MID(Metadata!E480,12,1))&lt;=2,FALSE),NOT(MID(Metadata!E480,13,1)=""),IFERROR(INT(MID(Metadata!E480,12,2))&gt;=0,FALSE),IFERROR(INT(MID(Metadata!E480,12,2))&lt;=23,FALSE)), OR(MID(Metadata!E480,14,1)="", AND(AND(MID(Metadata!E480,14,1)=":",IFERROR(INT(MID(Metadata!E480,15,1))&gt;=0,FALSE),IFERROR(INT(MID(Metadata!E480,15,1))&lt;=5,FALSE),NOT(MID(Metadata!E480,16,1)=""),IFERROR(INT(MID(Metadata!E480,15,2))&gt;=0,FALSE),IFERROR(INT(MID(Metadata!E480,15,2))&lt;=59,FALSE)), OR(MID(Metadata!E480,17,1)="", AND(AND(MID(Metadata!E480,17,1)=":",IFERROR(INT(MID(Metadata!E480,18,1))&gt;=0,FALSE),IFERROR(INT(MID(Metadata!E480,18,1))&lt;=5,FALSE),NOT(MID(Metadata!E480,19,1)=""),IFERROR(INT(MID(Metadata!E480,18,2))&gt;=0,FALSE),IFERROR(INT(MID(Metadata!E480,18,2))&lt;=59,FALSE)), LEN(Metadata!E480)&lt;=19)))))))))))))</f>
        <v>0</v>
      </c>
      <c r="AS480" t="b">
        <f>IF(Metadata!F480="",FALSE,TRUE)</f>
        <v>0</v>
      </c>
      <c r="AT480" t="b">
        <f>OR(AND(IF(Metadata!G480="",FALSE,TRUE),OR(EXACT(Metadata!G480,"not collected"),EXACT(Metadata!G480,"not provided"))),AND(IF(Metadata!G480="",FALSE,TRUE),OR(EXACT(Metadata!G480,"TRUE"),EXACT(Metadata!G480,"FALSE"))))</f>
        <v>0</v>
      </c>
      <c r="AU480" t="b">
        <f>OR(AND(IF(Metadata!H480="",FALSE,TRUE),OR(EXACT(Metadata!H480,"not collected"),EXACT(Metadata!H480,"not provided"),EXACT(Metadata!H480,"restricted access"))),AND(IF(Metadata!H480="",FALSE,ISNUMBER(VALUE(Metadata!H480))),Metadata!H480&gt;=-413))</f>
        <v>0</v>
      </c>
      <c r="AV480" t="b">
        <f>AND(IF(Metadata!I480="",FALSE,TRUE),EXACT(Metadata!I480,"meters"))</f>
        <v>0</v>
      </c>
      <c r="AW480" t="b">
        <f>AND(IF(Metadata!J480="",FALSE,TRUE),EXACT(Metadata!J480,"free-living"))</f>
        <v>0</v>
      </c>
      <c r="AX480" t="b">
        <f>AND(IF(Metadata!K480="",FALSE,TRUE),OR(EXACT(Metadata!K480,"saline"),EXACT(Metadata!K480,"non-saline")))</f>
        <v>0</v>
      </c>
      <c r="AY480" t="b">
        <f>AND(IF(Metadata!L480="",FALSE,TRUE),OR(EXACT(Metadata!L480,"sub-surface (non-saline)"),EXACT(Metadata!L480,"surface (non-saline)"),EXACT(Metadata!L480,"water (non-saline)"),EXACT(Metadata!L480,"soil (non-saline)"),EXACT(Metadata!L480,"aerosol (non-saline)"),EXACT(Metadata!L480,"sediment (non-saline)"),EXACT(Metadata!L480,"surface (saline)"),EXACT(Metadata!L480,"water (saline)"),EXACT(Metadata!L480,"hypersaline (saline)"),EXACT(Metadata!L480,"aerosol (saline)"),EXACT(Metadata!L480,"sediment (saline)")))</f>
        <v>0</v>
      </c>
      <c r="AZ480" t="b">
        <f>IF(Metadata!M480="",FALSE,TRUE)</f>
        <v>0</v>
      </c>
      <c r="BA480" t="b">
        <f>IF(Metadata!N480="",FALSE,TRUE)</f>
        <v>0</v>
      </c>
      <c r="BB480" t="b">
        <f>IF(Metadata!O480="",FALSE,TRUE)</f>
        <v>0</v>
      </c>
      <c r="BC480" t="b">
        <f>AND(IF(Metadata!P480="",FALSE,TRUE),OR(EXACT(Metadata!P480,"air"),EXACT(Metadata!P480,"microbial mat/biofilm"),EXACT(Metadata!P480,"misc environment"),EXACT(Metadata!P480,"sediment"),EXACT(Metadata!P480,"soil"),EXACT(Metadata!P480,"wastewater/sludge"),EXACT(Metadata!P480,"water")))</f>
        <v>0</v>
      </c>
      <c r="BD480" t="b">
        <f>IF(Metadata!Q480="",FALSE,TRUE)</f>
        <v>0</v>
      </c>
      <c r="BE480" t="b">
        <f>IF(Metadata!R480="",FALSE,TRUE)</f>
        <v>0</v>
      </c>
      <c r="BF480" t="b">
        <f>OR(AND(IF(Metadata!S480="",FALSE,TRUE),OR(EXACT(Metadata!S480,"not collected"),EXACT(Metadata!S480,"not provided"),EXACT(Metadata!S480,"restricted access"))),AND(IF(Metadata!S480="",FALSE,ISNUMBER(VALUE(Metadata!S480))),Metadata!S480&gt;=-90,Metadata!S480&lt;=90))</f>
        <v>0</v>
      </c>
      <c r="BG480" t="b">
        <f>AND(IF(Metadata!T480="",FALSE,TRUE),EXACT(Metadata!T480,"Decimal degrees"))</f>
        <v>0</v>
      </c>
      <c r="BH480" t="b">
        <f>OR(AND(IF(Metadata!U480="",FALSE,TRUE),OR(EXACT(Metadata!U480,"not applicable"),EXACT(Metadata!U480,"not collected"))),IF(Metadata!U480="",FALSE,TRUE))</f>
        <v>0</v>
      </c>
      <c r="BI480" t="b">
        <f>OR(AND(IF(Metadata!V480="",FALSE,TRUE),OR(EXACT(Metadata!V480,"not collected"),EXACT(Metadata!V480,"not provided"),EXACT(Metadata!V480,"restricted access"))),AND(IF(Metadata!V480="",FALSE,ISNUMBER(VALUE(Metadata!V480))),Metadata!V480&gt;=-180,Metadata!V480&lt;=180))</f>
        <v>0</v>
      </c>
      <c r="BJ480" t="b">
        <f>AND(IF(Metadata!W480="",FALSE,TRUE),EXACT(Metadata!W480,"Decimal degrees"))</f>
        <v>0</v>
      </c>
      <c r="BK480" t="b">
        <f>IF(Metadata!X480="",FALSE,TRUE)</f>
        <v>0</v>
      </c>
      <c r="BL480" t="b">
        <f>OR(AND(IF(Metadata!Y480="",FALSE,TRUE),OR(EXACT(Metadata!Y480,"not collected"),EXACT(Metadata!Y480,"not provided"),EXACT(Metadata!Y480,"restricted access"))),AND(IF(Metadata!Y480="",FALSE,TRUE),OR(EXACT(Metadata!Y480,"TRUE"),EXACT(Metadata!Y480,"FALSE"))))</f>
        <v>0</v>
      </c>
      <c r="BM480" t="b">
        <f>OR(AND(IF(Metadata!Z480="",FALSE,TRUE),EXACT(Metadata!Z480,"not applicable")),AND(IF(Metadata!Z480="",FALSE,TRUE),OR(EXACT(Metadata!Z480,"beer"),EXACT(Metadata!Z480,"cheese"),EXACT(Metadata!Z480,"fresh water"),EXACT(Metadata!Z480,"marine sediment"),EXACT(Metadata!Z480,"sea water"),EXACT(Metadata!Z480,"sediment"),EXACT(Metadata!Z480,"soil"),EXACT(Metadata!Z480,"waste water"))))</f>
        <v>0</v>
      </c>
      <c r="BN480" t="b">
        <f>AND(IF(Metadata!AA480="",FALSE,TRUE),EXACT(Metadata!AA480,"metagenome"))</f>
        <v>0</v>
      </c>
      <c r="BO480" t="b">
        <f>AND(IF(Metadata!AB480="",FALSE,TRUE),EXACT(Metadata!AB480,"256318"))</f>
        <v>0</v>
      </c>
      <c r="BP480" t="b">
        <f>IF(Metadata!AC480="",FALSE,TRUE)</f>
        <v>0</v>
      </c>
      <c r="BQ480" t="b">
        <f>IF(Metadata!AD480="",FALSE,TRUE)</f>
        <v>0</v>
      </c>
    </row>
    <row r="481" spans="1:69" x14ac:dyDescent="0.2">
      <c r="A481" s="4" t="e">
        <f ca="1">IF(B481=" "," ",HYPERLINK(CONCATENATE("#metadata!",ADDRESS(INDEX($AJ$2:$AJ$1001,MATCH(ROWS($AH$2:AH481),$AH$2:$AH$1001,0),0),2)),INDEX($AM$2:$AM$1001,MATCH(ROWS($AH$2:AH481),$AH$2:$AH$1001,0),0)))</f>
        <v>#N/A</v>
      </c>
      <c r="B481" s="5" t="e">
        <f ca="1">IF(OR(INDEX($AI$2:$AI$1001,MATCH(ROWS($AH$2:AH481),$AH$2:$AH$1001,0),1)&gt;=100000,INDEX($AO$1005:$BQ$1005,1,MATCH(COLUMNS($AO$1006:AO1006),$AO$1006:$BQ$1006,0))&gt;=100000), " ",IF(INDEX($AO$2:$BQ$1001,MATCH(ROWS($AH$2:AH481),$AH$2:$AH$1001,0),MATCH(COLUMNS($AO$1006:AO1006),$AO$1006:$BQ$1006,0)), HYPERLINK("#",""), HYPERLINK(CONCATENATE("#Metadata!", ADDRESS(INDEX($AJ$2:$AJ$1001,MATCH(ROWS($AH$2:AH481),$AH$2:$AH$1001,0),0), INDEX($AO$1004:$BQ$1004,1,MATCH(COLUMNS($AO$1006:AO1006),$AO$1006:$BQ$1006,0)))),"Fix")))</f>
        <v>#N/A</v>
      </c>
      <c r="C481" s="5" t="e">
        <f ca="1">IF(OR(INDEX($AI$2:$AI$1001,MATCH(ROWS($AH$2:AH481),$AH$2:$AH$1001,0),1)&gt;=100000,INDEX($AO$1005:$BQ$1005,1,MATCH(COLUMNS($AO$1006:AP1006),$AO$1006:$BQ$1006,0))&gt;=100000), " ",IF(INDEX($AO$2:$BQ$1001,MATCH(ROWS($AH$2:AH481),$AH$2:$AH$1001,0),MATCH(COLUMNS($AO$1006:AP1006),$AO$1006:$BQ$1006,0)), HYPERLINK("#",""), HYPERLINK(CONCATENATE("#Metadata!", ADDRESS(INDEX($AJ$2:$AJ$1001,MATCH(ROWS($AH$2:AH481),$AH$2:$AH$1001,0),0), INDEX($AO$1004:$BQ$1004,1,MATCH(COLUMNS($AO$1006:AP1006),$AO$1006:$BQ$1006,0)))),"Fix")))</f>
        <v>#N/A</v>
      </c>
      <c r="D481" s="5" t="e">
        <f ca="1">IF(OR(INDEX($AI$2:$AI$1001,MATCH(ROWS($AH$2:AH481),$AH$2:$AH$1001,0),1)&gt;=100000,INDEX($AO$1005:$BQ$1005,1,MATCH(COLUMNS($AO$1006:AQ1006),$AO$1006:$BQ$1006,0))&gt;=100000), " ",IF(INDEX($AO$2:$BQ$1001,MATCH(ROWS($AH$2:AH481),$AH$2:$AH$1001,0),MATCH(COLUMNS($AO$1006:AQ1006),$AO$1006:$BQ$1006,0)), HYPERLINK("#",""), HYPERLINK(CONCATENATE("#Metadata!", ADDRESS(INDEX($AJ$2:$AJ$1001,MATCH(ROWS($AH$2:AH481),$AH$2:$AH$1001,0),0), INDEX($AO$1004:$BQ$1004,1,MATCH(COLUMNS($AO$1006:AQ1006),$AO$1006:$BQ$1006,0)))),"Fix")))</f>
        <v>#N/A</v>
      </c>
      <c r="E481" s="5" t="e">
        <f ca="1">IF(OR(INDEX($AI$2:$AI$1001,MATCH(ROWS($AH$2:AH481),$AH$2:$AH$1001,0),1)&gt;=100000,INDEX($AO$1005:$BQ$1005,1,MATCH(COLUMNS($AO$1006:AR1006),$AO$1006:$BQ$1006,0))&gt;=100000), " ",IF(INDEX($AO$2:$BQ$1001,MATCH(ROWS($AH$2:AH481),$AH$2:$AH$1001,0),MATCH(COLUMNS($AO$1006:AR1006),$AO$1006:$BQ$1006,0)), HYPERLINK("#",""), HYPERLINK(CONCATENATE("#Metadata!", ADDRESS(INDEX($AJ$2:$AJ$1001,MATCH(ROWS($AH$2:AH481),$AH$2:$AH$1001,0),0), INDEX($AO$1004:$BQ$1004,1,MATCH(COLUMNS($AO$1006:AR1006),$AO$1006:$BQ$1006,0)))),"Fix")))</f>
        <v>#N/A</v>
      </c>
      <c r="F481" s="5" t="e">
        <f ca="1">IF(OR(INDEX($AI$2:$AI$1001,MATCH(ROWS($AH$2:AH481),$AH$2:$AH$1001,0),1)&gt;=100000,INDEX($AO$1005:$BQ$1005,1,MATCH(COLUMNS($AO$1006:AS1006),$AO$1006:$BQ$1006,0))&gt;=100000), " ",IF(INDEX($AO$2:$BQ$1001,MATCH(ROWS($AH$2:AH481),$AH$2:$AH$1001,0),MATCH(COLUMNS($AO$1006:AS1006),$AO$1006:$BQ$1006,0)), HYPERLINK("#",""), HYPERLINK(CONCATENATE("#Metadata!", ADDRESS(INDEX($AJ$2:$AJ$1001,MATCH(ROWS($AH$2:AH481),$AH$2:$AH$1001,0),0), INDEX($AO$1004:$BQ$1004,1,MATCH(COLUMNS($AO$1006:AS1006),$AO$1006:$BQ$1006,0)))),"Fix")))</f>
        <v>#N/A</v>
      </c>
      <c r="G481" s="5" t="e">
        <f ca="1">IF(OR(INDEX($AI$2:$AI$1001,MATCH(ROWS($AH$2:AH481),$AH$2:$AH$1001,0),1)&gt;=100000,INDEX($AO$1005:$BQ$1005,1,MATCH(COLUMNS($AO$1006:AT1006),$AO$1006:$BQ$1006,0))&gt;=100000), " ",IF(INDEX($AO$2:$BQ$1001,MATCH(ROWS($AH$2:AH481),$AH$2:$AH$1001,0),MATCH(COLUMNS($AO$1006:AT1006),$AO$1006:$BQ$1006,0)), HYPERLINK("#",""), HYPERLINK(CONCATENATE("#Metadata!", ADDRESS(INDEX($AJ$2:$AJ$1001,MATCH(ROWS($AH$2:AH481),$AH$2:$AH$1001,0),0), INDEX($AO$1004:$BQ$1004,1,MATCH(COLUMNS($AO$1006:AT1006),$AO$1006:$BQ$1006,0)))),"Fix")))</f>
        <v>#N/A</v>
      </c>
      <c r="H481" s="5" t="e">
        <f ca="1">IF(OR(INDEX($AI$2:$AI$1001,MATCH(ROWS($AH$2:AH481),$AH$2:$AH$1001,0),1)&gt;=100000,INDEX($AO$1005:$BQ$1005,1,MATCH(COLUMNS($AO$1006:AU1006),$AO$1006:$BQ$1006,0))&gt;=100000), " ",IF(INDEX($AO$2:$BQ$1001,MATCH(ROWS($AH$2:AH481),$AH$2:$AH$1001,0),MATCH(COLUMNS($AO$1006:AU1006),$AO$1006:$BQ$1006,0)), HYPERLINK("#",""), HYPERLINK(CONCATENATE("#Metadata!", ADDRESS(INDEX($AJ$2:$AJ$1001,MATCH(ROWS($AH$2:AH481),$AH$2:$AH$1001,0),0), INDEX($AO$1004:$BQ$1004,1,MATCH(COLUMNS($AO$1006:AU1006),$AO$1006:$BQ$1006,0)))),"Fix")))</f>
        <v>#N/A</v>
      </c>
      <c r="I481" s="5" t="e">
        <f ca="1">IF(OR(INDEX($AI$2:$AI$1001,MATCH(ROWS($AH$2:AH481),$AH$2:$AH$1001,0),1)&gt;=100000,INDEX($AO$1005:$BQ$1005,1,MATCH(COLUMNS($AO$1006:AV1006),$AO$1006:$BQ$1006,0))&gt;=100000), " ",IF(INDEX($AO$2:$BQ$1001,MATCH(ROWS($AH$2:AH481),$AH$2:$AH$1001,0),MATCH(COLUMNS($AO$1006:AV1006),$AO$1006:$BQ$1006,0)), HYPERLINK("#",""), HYPERLINK(CONCATENATE("#Metadata!", ADDRESS(INDEX($AJ$2:$AJ$1001,MATCH(ROWS($AH$2:AH481),$AH$2:$AH$1001,0),0), INDEX($AO$1004:$BQ$1004,1,MATCH(COLUMNS($AO$1006:AV1006),$AO$1006:$BQ$1006,0)))),"Fix")))</f>
        <v>#N/A</v>
      </c>
      <c r="J481" s="5" t="e">
        <f ca="1">IF(OR(INDEX($AI$2:$AI$1001,MATCH(ROWS($AH$2:AH481),$AH$2:$AH$1001,0),1)&gt;=100000,INDEX($AO$1005:$BQ$1005,1,MATCH(COLUMNS($AO$1006:AW1006),$AO$1006:$BQ$1006,0))&gt;=100000), " ",IF(INDEX($AO$2:$BQ$1001,MATCH(ROWS($AH$2:AH481),$AH$2:$AH$1001,0),MATCH(COLUMNS($AO$1006:AW1006),$AO$1006:$BQ$1006,0)), HYPERLINK("#",""), HYPERLINK(CONCATENATE("#Metadata!", ADDRESS(INDEX($AJ$2:$AJ$1001,MATCH(ROWS($AH$2:AH481),$AH$2:$AH$1001,0),0), INDEX($AO$1004:$BQ$1004,1,MATCH(COLUMNS($AO$1006:AW1006),$AO$1006:$BQ$1006,0)))),"Fix")))</f>
        <v>#N/A</v>
      </c>
      <c r="K481" s="5" t="e">
        <f ca="1">IF(OR(INDEX($AI$2:$AI$1001,MATCH(ROWS($AH$2:AH481),$AH$2:$AH$1001,0),1)&gt;=100000,INDEX($AO$1005:$BQ$1005,1,MATCH(COLUMNS($AO$1006:AX1006),$AO$1006:$BQ$1006,0))&gt;=100000), " ",IF(INDEX($AO$2:$BQ$1001,MATCH(ROWS($AH$2:AH481),$AH$2:$AH$1001,0),MATCH(COLUMNS($AO$1006:AX1006),$AO$1006:$BQ$1006,0)), HYPERLINK("#",""), HYPERLINK(CONCATENATE("#Metadata!", ADDRESS(INDEX($AJ$2:$AJ$1001,MATCH(ROWS($AH$2:AH481),$AH$2:$AH$1001,0),0), INDEX($AO$1004:$BQ$1004,1,MATCH(COLUMNS($AO$1006:AX1006),$AO$1006:$BQ$1006,0)))),"Fix")))</f>
        <v>#N/A</v>
      </c>
      <c r="L481" s="5" t="e">
        <f ca="1">IF(OR(INDEX($AI$2:$AI$1001,MATCH(ROWS($AH$2:AH481),$AH$2:$AH$1001,0),1)&gt;=100000,INDEX($AO$1005:$BQ$1005,1,MATCH(COLUMNS($AO$1006:AY1006),$AO$1006:$BQ$1006,0))&gt;=100000), " ",IF(INDEX($AO$2:$BQ$1001,MATCH(ROWS($AH$2:AH481),$AH$2:$AH$1001,0),MATCH(COLUMNS($AO$1006:AY1006),$AO$1006:$BQ$1006,0)), HYPERLINK("#",""), HYPERLINK(CONCATENATE("#Metadata!", ADDRESS(INDEX($AJ$2:$AJ$1001,MATCH(ROWS($AH$2:AH481),$AH$2:$AH$1001,0),0), INDEX($AO$1004:$BQ$1004,1,MATCH(COLUMNS($AO$1006:AY1006),$AO$1006:$BQ$1006,0)))),"Fix")))</f>
        <v>#N/A</v>
      </c>
      <c r="M481" s="5" t="e">
        <f ca="1">IF(OR(INDEX($AI$2:$AI$1001,MATCH(ROWS($AH$2:AH481),$AH$2:$AH$1001,0),1)&gt;=100000,INDEX($AO$1005:$BQ$1005,1,MATCH(COLUMNS($AO$1006:AZ1006),$AO$1006:$BQ$1006,0))&gt;=100000), " ",IF(INDEX($AO$2:$BQ$1001,MATCH(ROWS($AH$2:AH481),$AH$2:$AH$1001,0),MATCH(COLUMNS($AO$1006:AZ1006),$AO$1006:$BQ$1006,0)), HYPERLINK("#",""), HYPERLINK(CONCATENATE("#Metadata!", ADDRESS(INDEX($AJ$2:$AJ$1001,MATCH(ROWS($AH$2:AH481),$AH$2:$AH$1001,0),0), INDEX($AO$1004:$BQ$1004,1,MATCH(COLUMNS($AO$1006:AZ1006),$AO$1006:$BQ$1006,0)))),"Fix")))</f>
        <v>#N/A</v>
      </c>
      <c r="N481" s="5" t="e">
        <f ca="1">IF(OR(INDEX($AI$2:$AI$1001,MATCH(ROWS($AH$2:AH481),$AH$2:$AH$1001,0),1)&gt;=100000,INDEX($AO$1005:$BQ$1005,1,MATCH(COLUMNS($AO$1006:BA1006),$AO$1006:$BQ$1006,0))&gt;=100000), " ",IF(INDEX($AO$2:$BQ$1001,MATCH(ROWS($AH$2:AH481),$AH$2:$AH$1001,0),MATCH(COLUMNS($AO$1006:BA1006),$AO$1006:$BQ$1006,0)), HYPERLINK("#",""), HYPERLINK(CONCATENATE("#Metadata!", ADDRESS(INDEX($AJ$2:$AJ$1001,MATCH(ROWS($AH$2:AH481),$AH$2:$AH$1001,0),0), INDEX($AO$1004:$BQ$1004,1,MATCH(COLUMNS($AO$1006:BA1006),$AO$1006:$BQ$1006,0)))),"Fix")))</f>
        <v>#N/A</v>
      </c>
      <c r="O481" s="5" t="e">
        <f ca="1">IF(OR(INDEX($AI$2:$AI$1001,MATCH(ROWS($AH$2:AH481),$AH$2:$AH$1001,0),1)&gt;=100000,INDEX($AO$1005:$BQ$1005,1,MATCH(COLUMNS($AO$1006:BB1006),$AO$1006:$BQ$1006,0))&gt;=100000), " ",IF(INDEX($AO$2:$BQ$1001,MATCH(ROWS($AH$2:AH481),$AH$2:$AH$1001,0),MATCH(COLUMNS($AO$1006:BB1006),$AO$1006:$BQ$1006,0)), HYPERLINK("#",""), HYPERLINK(CONCATENATE("#Metadata!", ADDRESS(INDEX($AJ$2:$AJ$1001,MATCH(ROWS($AH$2:AH481),$AH$2:$AH$1001,0),0), INDEX($AO$1004:$BQ$1004,1,MATCH(COLUMNS($AO$1006:BB1006),$AO$1006:$BQ$1006,0)))),"Fix")))</f>
        <v>#N/A</v>
      </c>
      <c r="P481" s="5" t="e">
        <f ca="1">IF(OR(INDEX($AI$2:$AI$1001,MATCH(ROWS($AH$2:AH481),$AH$2:$AH$1001,0),1)&gt;=100000,INDEX($AO$1005:$BQ$1005,1,MATCH(COLUMNS($AO$1006:BC1006),$AO$1006:$BQ$1006,0))&gt;=100000), " ",IF(INDEX($AO$2:$BQ$1001,MATCH(ROWS($AH$2:AH481),$AH$2:$AH$1001,0),MATCH(COLUMNS($AO$1006:BC1006),$AO$1006:$BQ$1006,0)), HYPERLINK("#",""), HYPERLINK(CONCATENATE("#Metadata!", ADDRESS(INDEX($AJ$2:$AJ$1001,MATCH(ROWS($AH$2:AH481),$AH$2:$AH$1001,0),0), INDEX($AO$1004:$BQ$1004,1,MATCH(COLUMNS($AO$1006:BC1006),$AO$1006:$BQ$1006,0)))),"Fix")))</f>
        <v>#N/A</v>
      </c>
      <c r="Q481" s="5" t="e">
        <f ca="1">IF(OR(INDEX($AI$2:$AI$1001,MATCH(ROWS($AH$2:AH481),$AH$2:$AH$1001,0),1)&gt;=100000,INDEX($AO$1005:$BQ$1005,1,MATCH(COLUMNS($AO$1006:BD1006),$AO$1006:$BQ$1006,0))&gt;=100000), " ",IF(INDEX($AO$2:$BQ$1001,MATCH(ROWS($AH$2:AH481),$AH$2:$AH$1001,0),MATCH(COLUMNS($AO$1006:BD1006),$AO$1006:$BQ$1006,0)), HYPERLINK("#",""), HYPERLINK(CONCATENATE("#Metadata!", ADDRESS(INDEX($AJ$2:$AJ$1001,MATCH(ROWS($AH$2:AH481),$AH$2:$AH$1001,0),0), INDEX($AO$1004:$BQ$1004,1,MATCH(COLUMNS($AO$1006:BD1006),$AO$1006:$BQ$1006,0)))),"Fix")))</f>
        <v>#N/A</v>
      </c>
      <c r="R481" s="5" t="e">
        <f ca="1">IF(OR(INDEX($AI$2:$AI$1001,MATCH(ROWS($AH$2:AH481),$AH$2:$AH$1001,0),1)&gt;=100000,INDEX($AO$1005:$BQ$1005,1,MATCH(COLUMNS($AO$1006:BE1006),$AO$1006:$BQ$1006,0))&gt;=100000), " ",IF(INDEX($AO$2:$BQ$1001,MATCH(ROWS($AH$2:AH481),$AH$2:$AH$1001,0),MATCH(COLUMNS($AO$1006:BE1006),$AO$1006:$BQ$1006,0)), HYPERLINK("#",""), HYPERLINK(CONCATENATE("#Metadata!", ADDRESS(INDEX($AJ$2:$AJ$1001,MATCH(ROWS($AH$2:AH481),$AH$2:$AH$1001,0),0), INDEX($AO$1004:$BQ$1004,1,MATCH(COLUMNS($AO$1006:BE1006),$AO$1006:$BQ$1006,0)))),"Fix")))</f>
        <v>#N/A</v>
      </c>
      <c r="S481" s="5" t="e">
        <f ca="1">IF(OR(INDEX($AI$2:$AI$1001,MATCH(ROWS($AH$2:AH481),$AH$2:$AH$1001,0),1)&gt;=100000,INDEX($AO$1005:$BQ$1005,1,MATCH(COLUMNS($AO$1006:BF1006),$AO$1006:$BQ$1006,0))&gt;=100000), " ",IF(INDEX($AO$2:$BQ$1001,MATCH(ROWS($AH$2:AH481),$AH$2:$AH$1001,0),MATCH(COLUMNS($AO$1006:BF1006),$AO$1006:$BQ$1006,0)), HYPERLINK("#",""), HYPERLINK(CONCATENATE("#Metadata!", ADDRESS(INDEX($AJ$2:$AJ$1001,MATCH(ROWS($AH$2:AH481),$AH$2:$AH$1001,0),0), INDEX($AO$1004:$BQ$1004,1,MATCH(COLUMNS($AO$1006:BF1006),$AO$1006:$BQ$1006,0)))),"Fix")))</f>
        <v>#N/A</v>
      </c>
      <c r="T481" s="5" t="e">
        <f ca="1">IF(OR(INDEX($AI$2:$AI$1001,MATCH(ROWS($AH$2:AH481),$AH$2:$AH$1001,0),1)&gt;=100000,INDEX($AO$1005:$BQ$1005,1,MATCH(COLUMNS($AO$1006:BG1006),$AO$1006:$BQ$1006,0))&gt;=100000), " ",IF(INDEX($AO$2:$BQ$1001,MATCH(ROWS($AH$2:AH481),$AH$2:$AH$1001,0),MATCH(COLUMNS($AO$1006:BG1006),$AO$1006:$BQ$1006,0)), HYPERLINK("#",""), HYPERLINK(CONCATENATE("#Metadata!", ADDRESS(INDEX($AJ$2:$AJ$1001,MATCH(ROWS($AH$2:AH481),$AH$2:$AH$1001,0),0), INDEX($AO$1004:$BQ$1004,1,MATCH(COLUMNS($AO$1006:BG1006),$AO$1006:$BQ$1006,0)))),"Fix")))</f>
        <v>#N/A</v>
      </c>
      <c r="U481" s="5" t="e">
        <f ca="1">IF(OR(INDEX($AI$2:$AI$1001,MATCH(ROWS($AH$2:AH481),$AH$2:$AH$1001,0),1)&gt;=100000,INDEX($AO$1005:$BQ$1005,1,MATCH(COLUMNS($AO$1006:BH1006),$AO$1006:$BQ$1006,0))&gt;=100000), " ",IF(INDEX($AO$2:$BQ$1001,MATCH(ROWS($AH$2:AH481),$AH$2:$AH$1001,0),MATCH(COLUMNS($AO$1006:BH1006),$AO$1006:$BQ$1006,0)), HYPERLINK("#",""), HYPERLINK(CONCATENATE("#Metadata!", ADDRESS(INDEX($AJ$2:$AJ$1001,MATCH(ROWS($AH$2:AH481),$AH$2:$AH$1001,0),0), INDEX($AO$1004:$BQ$1004,1,MATCH(COLUMNS($AO$1006:BH1006),$AO$1006:$BQ$1006,0)))),"Fix")))</f>
        <v>#N/A</v>
      </c>
      <c r="V481" s="5" t="e">
        <f ca="1">IF(OR(INDEX($AI$2:$AI$1001,MATCH(ROWS($AH$2:AH481),$AH$2:$AH$1001,0),1)&gt;=100000,INDEX($AO$1005:$BQ$1005,1,MATCH(COLUMNS($AO$1006:BI1006),$AO$1006:$BQ$1006,0))&gt;=100000), " ",IF(INDEX($AO$2:$BQ$1001,MATCH(ROWS($AH$2:AH481),$AH$2:$AH$1001,0),MATCH(COLUMNS($AO$1006:BI1006),$AO$1006:$BQ$1006,0)), HYPERLINK("#",""), HYPERLINK(CONCATENATE("#Metadata!", ADDRESS(INDEX($AJ$2:$AJ$1001,MATCH(ROWS($AH$2:AH481),$AH$2:$AH$1001,0),0), INDEX($AO$1004:$BQ$1004,1,MATCH(COLUMNS($AO$1006:BI1006),$AO$1006:$BQ$1006,0)))),"Fix")))</f>
        <v>#N/A</v>
      </c>
      <c r="W481" s="5" t="e">
        <f ca="1">IF(OR(INDEX($AI$2:$AI$1001,MATCH(ROWS($AH$2:AH481),$AH$2:$AH$1001,0),1)&gt;=100000,INDEX($AO$1005:$BQ$1005,1,MATCH(COLUMNS($AO$1006:BJ1006),$AO$1006:$BQ$1006,0))&gt;=100000), " ",IF(INDEX($AO$2:$BQ$1001,MATCH(ROWS($AH$2:AH481),$AH$2:$AH$1001,0),MATCH(COLUMNS($AO$1006:BJ1006),$AO$1006:$BQ$1006,0)), HYPERLINK("#",""), HYPERLINK(CONCATENATE("#Metadata!", ADDRESS(INDEX($AJ$2:$AJ$1001,MATCH(ROWS($AH$2:AH481),$AH$2:$AH$1001,0),0), INDEX($AO$1004:$BQ$1004,1,MATCH(COLUMNS($AO$1006:BJ1006),$AO$1006:$BQ$1006,0)))),"Fix")))</f>
        <v>#N/A</v>
      </c>
      <c r="X481" s="5" t="e">
        <f ca="1">IF(OR(INDEX($AI$2:$AI$1001,MATCH(ROWS($AH$2:AH481),$AH$2:$AH$1001,0),1)&gt;=100000,INDEX($AO$1005:$BQ$1005,1,MATCH(COLUMNS($AO$1006:BK1006),$AO$1006:$BQ$1006,0))&gt;=100000), " ",IF(INDEX($AO$2:$BQ$1001,MATCH(ROWS($AH$2:AH481),$AH$2:$AH$1001,0),MATCH(COLUMNS($AO$1006:BK1006),$AO$1006:$BQ$1006,0)), HYPERLINK("#",""), HYPERLINK(CONCATENATE("#Metadata!", ADDRESS(INDEX($AJ$2:$AJ$1001,MATCH(ROWS($AH$2:AH481),$AH$2:$AH$1001,0),0), INDEX($AO$1004:$BQ$1004,1,MATCH(COLUMNS($AO$1006:BK1006),$AO$1006:$BQ$1006,0)))),"Fix")))</f>
        <v>#N/A</v>
      </c>
      <c r="Y481" s="5" t="e">
        <f ca="1">IF(OR(INDEX($AI$2:$AI$1001,MATCH(ROWS($AH$2:AH481),$AH$2:$AH$1001,0),1)&gt;=100000,INDEX($AO$1005:$BQ$1005,1,MATCH(COLUMNS($AO$1006:BL1006),$AO$1006:$BQ$1006,0))&gt;=100000), " ",IF(INDEX($AO$2:$BQ$1001,MATCH(ROWS($AH$2:AH481),$AH$2:$AH$1001,0),MATCH(COLUMNS($AO$1006:BL1006),$AO$1006:$BQ$1006,0)), HYPERLINK("#",""), HYPERLINK(CONCATENATE("#Metadata!", ADDRESS(INDEX($AJ$2:$AJ$1001,MATCH(ROWS($AH$2:AH481),$AH$2:$AH$1001,0),0), INDEX($AO$1004:$BQ$1004,1,MATCH(COLUMNS($AO$1006:BL1006),$AO$1006:$BQ$1006,0)))),"Fix")))</f>
        <v>#N/A</v>
      </c>
      <c r="Z481" s="5" t="e">
        <f ca="1">IF(OR(INDEX($AI$2:$AI$1001,MATCH(ROWS($AH$2:AH481),$AH$2:$AH$1001,0),1)&gt;=100000,INDEX($AO$1005:$BQ$1005,1,MATCH(COLUMNS($AO$1006:BM1006),$AO$1006:$BQ$1006,0))&gt;=100000), " ",IF(INDEX($AO$2:$BQ$1001,MATCH(ROWS($AH$2:AH481),$AH$2:$AH$1001,0),MATCH(COLUMNS($AO$1006:BM1006),$AO$1006:$BQ$1006,0)), HYPERLINK("#",""), HYPERLINK(CONCATENATE("#Metadata!", ADDRESS(INDEX($AJ$2:$AJ$1001,MATCH(ROWS($AH$2:AH481),$AH$2:$AH$1001,0),0), INDEX($AO$1004:$BQ$1004,1,MATCH(COLUMNS($AO$1006:BM1006),$AO$1006:$BQ$1006,0)))),"Fix")))</f>
        <v>#N/A</v>
      </c>
      <c r="AA481" s="5" t="e">
        <f ca="1">IF(OR(INDEX($AI$2:$AI$1001,MATCH(ROWS($AH$2:AH481),$AH$2:$AH$1001,0),1)&gt;=100000,INDEX($AO$1005:$BQ$1005,1,MATCH(COLUMNS($AO$1006:BN1006),$AO$1006:$BQ$1006,0))&gt;=100000), " ",IF(INDEX($AO$2:$BQ$1001,MATCH(ROWS($AH$2:AH481),$AH$2:$AH$1001,0),MATCH(COLUMNS($AO$1006:BN1006),$AO$1006:$BQ$1006,0)), HYPERLINK("#",""), HYPERLINK(CONCATENATE("#Metadata!", ADDRESS(INDEX($AJ$2:$AJ$1001,MATCH(ROWS($AH$2:AH481),$AH$2:$AH$1001,0),0), INDEX($AO$1004:$BQ$1004,1,MATCH(COLUMNS($AO$1006:BN1006),$AO$1006:$BQ$1006,0)))),"Fix")))</f>
        <v>#N/A</v>
      </c>
      <c r="AB481" s="5" t="e">
        <f ca="1">IF(OR(INDEX($AI$2:$AI$1001,MATCH(ROWS($AH$2:AH481),$AH$2:$AH$1001,0),1)&gt;=100000,INDEX($AO$1005:$BQ$1005,1,MATCH(COLUMNS($AO$1006:BO1006),$AO$1006:$BQ$1006,0))&gt;=100000), " ",IF(INDEX($AO$2:$BQ$1001,MATCH(ROWS($AH$2:AH481),$AH$2:$AH$1001,0),MATCH(COLUMNS($AO$1006:BO1006),$AO$1006:$BQ$1006,0)), HYPERLINK("#",""), HYPERLINK(CONCATENATE("#Metadata!", ADDRESS(INDEX($AJ$2:$AJ$1001,MATCH(ROWS($AH$2:AH481),$AH$2:$AH$1001,0),0), INDEX($AO$1004:$BQ$1004,1,MATCH(COLUMNS($AO$1006:BO1006),$AO$1006:$BQ$1006,0)))),"Fix")))</f>
        <v>#N/A</v>
      </c>
      <c r="AC481" s="5" t="e">
        <f ca="1">IF(OR(INDEX($AI$2:$AI$1001,MATCH(ROWS($AH$2:AH481),$AH$2:$AH$1001,0),1)&gt;=100000,INDEX($AO$1005:$BQ$1005,1,MATCH(COLUMNS($AO$1006:BP1006),$AO$1006:$BQ$1006,0))&gt;=100000), " ",IF(INDEX($AO$2:$BQ$1001,MATCH(ROWS($AH$2:AH481),$AH$2:$AH$1001,0),MATCH(COLUMNS($AO$1006:BP1006),$AO$1006:$BQ$1006,0)), HYPERLINK("#",""), HYPERLINK(CONCATENATE("#Metadata!", ADDRESS(INDEX($AJ$2:$AJ$1001,MATCH(ROWS($AH$2:AH481),$AH$2:$AH$1001,0),0), INDEX($AO$1004:$BQ$1004,1,MATCH(COLUMNS($AO$1006:BP1006),$AO$1006:$BQ$1006,0)))),"Fix")))</f>
        <v>#N/A</v>
      </c>
      <c r="AD481" s="5" t="e">
        <f ca="1">IF(OR(INDEX($AI$2:$AI$1001,MATCH(ROWS($AH$2:AH481),$AH$2:$AH$1001,0),1)&gt;=100000,INDEX($AO$1005:$BQ$1005,1,MATCH(COLUMNS($AO$1006:BQ1006),$AO$1006:$BQ$1006,0))&gt;=100000), " ",IF(INDEX($AO$2:$BQ$1001,MATCH(ROWS($AH$2:AH481),$AH$2:$AH$1001,0),MATCH(COLUMNS($AO$1006:BQ1006),$AO$1006:$BQ$1006,0)), HYPERLINK("#",""), HYPERLINK(CONCATENATE("#Metadata!", ADDRESS(INDEX($AJ$2:$AJ$1001,MATCH(ROWS($AH$2:AH481),$AH$2:$AH$1001,0),0), INDEX($AO$1004:$BQ$1004,1,MATCH(COLUMNS($AO$1006:BQ1006),$AO$1006:$BQ$1006,0)))),"Fix")))</f>
        <v>#REF!</v>
      </c>
      <c r="AH481">
        <f ca="1"/>
        <v>478</v>
      </c>
      <c r="AI481">
        <v>100481</v>
      </c>
      <c r="AJ481">
        <v>481</v>
      </c>
      <c r="AK481" t="b">
        <f t="shared" si="7"/>
        <v>1</v>
      </c>
      <c r="AL481" t="b">
        <f>COUNTBLANK(Metadata!B481:AD481)=COLUMNS(Metadata!B481:AD481)</f>
        <v>1</v>
      </c>
      <c r="AM481" t="str">
        <v/>
      </c>
      <c r="AO481" t="b">
        <f ca="1">AND(IF(Metadata!B481="",FALSE,TRUE),COUNTIF(Metadata!B:B, Metadata!B481) = 1,NOT(ISERROR(SUMPRODUCT(SEARCH(MID(Metadata!B481,ROW(INDIRECT("1:"&amp;LEN(Metadata!B481))), 1),"0123456789abcdefghijklmnopqrstuvwxyzABCDEFGHIJKLMNOPQRSTUVWXYZ.")))))</f>
        <v>0</v>
      </c>
      <c r="AP481" t="b">
        <f>IF(Metadata!C481="",FALSE,TRUE)</f>
        <v>0</v>
      </c>
      <c r="AQ481" t="b">
        <f>IF(Metadata!D481="",FALSE,TRUE)</f>
        <v>0</v>
      </c>
      <c r="AR481" t="b">
        <f ca="1">OR(AND(IF(Metadata!E481="",FALSE,TRUE),OR(EXACT(Metadata!E481,"not collected"),EXACT(Metadata!E481,"not provided"),EXACT(Metadata!E481,"restricted access"))),AND(IF(Metadata!E481="",FALSE,TRUE),AND(AND(IFERROR(INT(LEFT(Metadata!E481,4))&gt;1900,FALSE),IFERROR(INT(LEFT(Metadata!E481,4))&lt;=YEAR(NOW()),FALSE)), OR(MID(Metadata!E481,5,1)="", AND(AND(MID(Metadata!E481,5,1)="-",IFERROR(INT(MID(Metadata!E481,6,1))&gt;=0,FALSE),IFERROR(INT(MID(Metadata!E481,6,1))&lt;=1,FALSE),NOT(MID(Metadata!E481,7,1)=""),IFERROR(INT(MID(Metadata!E481,6,2))&gt;=1,FALSE),IFERROR(INT(MID(Metadata!E481,6,2))&lt;=12,FALSE)), OR(MID(Metadata!E481,8,1)="", AND(AND(MID(Metadata!E481,8,1)="-",IFERROR(INT(MID(Metadata!E481,9,1))&gt;=0,FALSE),IFERROR(INT(MID(Metadata!E481,9,1))&lt;=3,FALSE),NOT(MID(Metadata!E481,10,1)=""),IFERROR(INT(MID(Metadata!E481,9,2))&gt;=1,FALSE),IFERROR(INT(MID(Metadata!E481,9,2))&lt;=31,FALSE)), OR(MID(Metadata!E481,11,1)="", AND(AND(MID(Metadata!E481,11,1)=" ",IFERROR(INT(MID(Metadata!E481,12,1))&gt;=0,FALSE),IFERROR(INT(MID(Metadata!E481,12,1))&lt;=2,FALSE),NOT(MID(Metadata!E481,13,1)=""),IFERROR(INT(MID(Metadata!E481,12,2))&gt;=0,FALSE),IFERROR(INT(MID(Metadata!E481,12,2))&lt;=23,FALSE)), OR(MID(Metadata!E481,14,1)="", AND(AND(MID(Metadata!E481,14,1)=":",IFERROR(INT(MID(Metadata!E481,15,1))&gt;=0,FALSE),IFERROR(INT(MID(Metadata!E481,15,1))&lt;=5,FALSE),NOT(MID(Metadata!E481,16,1)=""),IFERROR(INT(MID(Metadata!E481,15,2))&gt;=0,FALSE),IFERROR(INT(MID(Metadata!E481,15,2))&lt;=59,FALSE)), OR(MID(Metadata!E481,17,1)="", AND(AND(MID(Metadata!E481,17,1)=":",IFERROR(INT(MID(Metadata!E481,18,1))&gt;=0,FALSE),IFERROR(INT(MID(Metadata!E481,18,1))&lt;=5,FALSE),NOT(MID(Metadata!E481,19,1)=""),IFERROR(INT(MID(Metadata!E481,18,2))&gt;=0,FALSE),IFERROR(INT(MID(Metadata!E481,18,2))&lt;=59,FALSE)), LEN(Metadata!E481)&lt;=19)))))))))))))</f>
        <v>0</v>
      </c>
      <c r="AS481" t="b">
        <f>IF(Metadata!F481="",FALSE,TRUE)</f>
        <v>0</v>
      </c>
      <c r="AT481" t="b">
        <f>OR(AND(IF(Metadata!G481="",FALSE,TRUE),OR(EXACT(Metadata!G481,"not collected"),EXACT(Metadata!G481,"not provided"))),AND(IF(Metadata!G481="",FALSE,TRUE),OR(EXACT(Metadata!G481,"TRUE"),EXACT(Metadata!G481,"FALSE"))))</f>
        <v>0</v>
      </c>
      <c r="AU481" t="b">
        <f>OR(AND(IF(Metadata!H481="",FALSE,TRUE),OR(EXACT(Metadata!H481,"not collected"),EXACT(Metadata!H481,"not provided"),EXACT(Metadata!H481,"restricted access"))),AND(IF(Metadata!H481="",FALSE,ISNUMBER(VALUE(Metadata!H481))),Metadata!H481&gt;=-413))</f>
        <v>0</v>
      </c>
      <c r="AV481" t="b">
        <f>AND(IF(Metadata!I481="",FALSE,TRUE),EXACT(Metadata!I481,"meters"))</f>
        <v>0</v>
      </c>
      <c r="AW481" t="b">
        <f>AND(IF(Metadata!J481="",FALSE,TRUE),EXACT(Metadata!J481,"free-living"))</f>
        <v>0</v>
      </c>
      <c r="AX481" t="b">
        <f>AND(IF(Metadata!K481="",FALSE,TRUE),OR(EXACT(Metadata!K481,"saline"),EXACT(Metadata!K481,"non-saline")))</f>
        <v>0</v>
      </c>
      <c r="AY481" t="b">
        <f>AND(IF(Metadata!L481="",FALSE,TRUE),OR(EXACT(Metadata!L481,"sub-surface (non-saline)"),EXACT(Metadata!L481,"surface (non-saline)"),EXACT(Metadata!L481,"water (non-saline)"),EXACT(Metadata!L481,"soil (non-saline)"),EXACT(Metadata!L481,"aerosol (non-saline)"),EXACT(Metadata!L481,"sediment (non-saline)"),EXACT(Metadata!L481,"surface (saline)"),EXACT(Metadata!L481,"water (saline)"),EXACT(Metadata!L481,"hypersaline (saline)"),EXACT(Metadata!L481,"aerosol (saline)"),EXACT(Metadata!L481,"sediment (saline)")))</f>
        <v>0</v>
      </c>
      <c r="AZ481" t="b">
        <f>IF(Metadata!M481="",FALSE,TRUE)</f>
        <v>0</v>
      </c>
      <c r="BA481" t="b">
        <f>IF(Metadata!N481="",FALSE,TRUE)</f>
        <v>0</v>
      </c>
      <c r="BB481" t="b">
        <f>IF(Metadata!O481="",FALSE,TRUE)</f>
        <v>0</v>
      </c>
      <c r="BC481" t="b">
        <f>AND(IF(Metadata!P481="",FALSE,TRUE),OR(EXACT(Metadata!P481,"air"),EXACT(Metadata!P481,"microbial mat/biofilm"),EXACT(Metadata!P481,"misc environment"),EXACT(Metadata!P481,"sediment"),EXACT(Metadata!P481,"soil"),EXACT(Metadata!P481,"wastewater/sludge"),EXACT(Metadata!P481,"water")))</f>
        <v>0</v>
      </c>
      <c r="BD481" t="b">
        <f>IF(Metadata!Q481="",FALSE,TRUE)</f>
        <v>0</v>
      </c>
      <c r="BE481" t="b">
        <f>IF(Metadata!R481="",FALSE,TRUE)</f>
        <v>0</v>
      </c>
      <c r="BF481" t="b">
        <f>OR(AND(IF(Metadata!S481="",FALSE,TRUE),OR(EXACT(Metadata!S481,"not collected"),EXACT(Metadata!S481,"not provided"),EXACT(Metadata!S481,"restricted access"))),AND(IF(Metadata!S481="",FALSE,ISNUMBER(VALUE(Metadata!S481))),Metadata!S481&gt;=-90,Metadata!S481&lt;=90))</f>
        <v>0</v>
      </c>
      <c r="BG481" t="b">
        <f>AND(IF(Metadata!T481="",FALSE,TRUE),EXACT(Metadata!T481,"Decimal degrees"))</f>
        <v>0</v>
      </c>
      <c r="BH481" t="b">
        <f>OR(AND(IF(Metadata!U481="",FALSE,TRUE),OR(EXACT(Metadata!U481,"not applicable"),EXACT(Metadata!U481,"not collected"))),IF(Metadata!U481="",FALSE,TRUE))</f>
        <v>0</v>
      </c>
      <c r="BI481" t="b">
        <f>OR(AND(IF(Metadata!V481="",FALSE,TRUE),OR(EXACT(Metadata!V481,"not collected"),EXACT(Metadata!V481,"not provided"),EXACT(Metadata!V481,"restricted access"))),AND(IF(Metadata!V481="",FALSE,ISNUMBER(VALUE(Metadata!V481))),Metadata!V481&gt;=-180,Metadata!V481&lt;=180))</f>
        <v>0</v>
      </c>
      <c r="BJ481" t="b">
        <f>AND(IF(Metadata!W481="",FALSE,TRUE),EXACT(Metadata!W481,"Decimal degrees"))</f>
        <v>0</v>
      </c>
      <c r="BK481" t="b">
        <f>IF(Metadata!X481="",FALSE,TRUE)</f>
        <v>0</v>
      </c>
      <c r="BL481" t="b">
        <f>OR(AND(IF(Metadata!Y481="",FALSE,TRUE),OR(EXACT(Metadata!Y481,"not collected"),EXACT(Metadata!Y481,"not provided"),EXACT(Metadata!Y481,"restricted access"))),AND(IF(Metadata!Y481="",FALSE,TRUE),OR(EXACT(Metadata!Y481,"TRUE"),EXACT(Metadata!Y481,"FALSE"))))</f>
        <v>0</v>
      </c>
      <c r="BM481" t="b">
        <f>OR(AND(IF(Metadata!Z481="",FALSE,TRUE),EXACT(Metadata!Z481,"not applicable")),AND(IF(Metadata!Z481="",FALSE,TRUE),OR(EXACT(Metadata!Z481,"beer"),EXACT(Metadata!Z481,"cheese"),EXACT(Metadata!Z481,"fresh water"),EXACT(Metadata!Z481,"marine sediment"),EXACT(Metadata!Z481,"sea water"),EXACT(Metadata!Z481,"sediment"),EXACT(Metadata!Z481,"soil"),EXACT(Metadata!Z481,"waste water"))))</f>
        <v>0</v>
      </c>
      <c r="BN481" t="b">
        <f>AND(IF(Metadata!AA481="",FALSE,TRUE),EXACT(Metadata!AA481,"metagenome"))</f>
        <v>0</v>
      </c>
      <c r="BO481" t="b">
        <f>AND(IF(Metadata!AB481="",FALSE,TRUE),EXACT(Metadata!AB481,"256318"))</f>
        <v>0</v>
      </c>
      <c r="BP481" t="b">
        <f>IF(Metadata!AC481="",FALSE,TRUE)</f>
        <v>0</v>
      </c>
      <c r="BQ481" t="b">
        <f>IF(Metadata!AD481="",FALSE,TRUE)</f>
        <v>0</v>
      </c>
    </row>
    <row r="482" spans="1:69" x14ac:dyDescent="0.2">
      <c r="A482" s="4" t="e">
        <f ca="1">IF(B482=" "," ",HYPERLINK(CONCATENATE("#metadata!",ADDRESS(INDEX($AJ$2:$AJ$1001,MATCH(ROWS($AH$2:AH482),$AH$2:$AH$1001,0),0),2)),INDEX($AM$2:$AM$1001,MATCH(ROWS($AH$2:AH482),$AH$2:$AH$1001,0),0)))</f>
        <v>#N/A</v>
      </c>
      <c r="B482" s="5" t="e">
        <f ca="1">IF(OR(INDEX($AI$2:$AI$1001,MATCH(ROWS($AH$2:AH482),$AH$2:$AH$1001,0),1)&gt;=100000,INDEX($AO$1005:$BQ$1005,1,MATCH(COLUMNS($AO$1006:AO1006),$AO$1006:$BQ$1006,0))&gt;=100000), " ",IF(INDEX($AO$2:$BQ$1001,MATCH(ROWS($AH$2:AH482),$AH$2:$AH$1001,0),MATCH(COLUMNS($AO$1006:AO1006),$AO$1006:$BQ$1006,0)), HYPERLINK("#",""), HYPERLINK(CONCATENATE("#Metadata!", ADDRESS(INDEX($AJ$2:$AJ$1001,MATCH(ROWS($AH$2:AH482),$AH$2:$AH$1001,0),0), INDEX($AO$1004:$BQ$1004,1,MATCH(COLUMNS($AO$1006:AO1006),$AO$1006:$BQ$1006,0)))),"Fix")))</f>
        <v>#N/A</v>
      </c>
      <c r="C482" s="5" t="e">
        <f ca="1">IF(OR(INDEX($AI$2:$AI$1001,MATCH(ROWS($AH$2:AH482),$AH$2:$AH$1001,0),1)&gt;=100000,INDEX($AO$1005:$BQ$1005,1,MATCH(COLUMNS($AO$1006:AP1006),$AO$1006:$BQ$1006,0))&gt;=100000), " ",IF(INDEX($AO$2:$BQ$1001,MATCH(ROWS($AH$2:AH482),$AH$2:$AH$1001,0),MATCH(COLUMNS($AO$1006:AP1006),$AO$1006:$BQ$1006,0)), HYPERLINK("#",""), HYPERLINK(CONCATENATE("#Metadata!", ADDRESS(INDEX($AJ$2:$AJ$1001,MATCH(ROWS($AH$2:AH482),$AH$2:$AH$1001,0),0), INDEX($AO$1004:$BQ$1004,1,MATCH(COLUMNS($AO$1006:AP1006),$AO$1006:$BQ$1006,0)))),"Fix")))</f>
        <v>#N/A</v>
      </c>
      <c r="D482" s="5" t="e">
        <f ca="1">IF(OR(INDEX($AI$2:$AI$1001,MATCH(ROWS($AH$2:AH482),$AH$2:$AH$1001,0),1)&gt;=100000,INDEX($AO$1005:$BQ$1005,1,MATCH(COLUMNS($AO$1006:AQ1006),$AO$1006:$BQ$1006,0))&gt;=100000), " ",IF(INDEX($AO$2:$BQ$1001,MATCH(ROWS($AH$2:AH482),$AH$2:$AH$1001,0),MATCH(COLUMNS($AO$1006:AQ1006),$AO$1006:$BQ$1006,0)), HYPERLINK("#",""), HYPERLINK(CONCATENATE("#Metadata!", ADDRESS(INDEX($AJ$2:$AJ$1001,MATCH(ROWS($AH$2:AH482),$AH$2:$AH$1001,0),0), INDEX($AO$1004:$BQ$1004,1,MATCH(COLUMNS($AO$1006:AQ1006),$AO$1006:$BQ$1006,0)))),"Fix")))</f>
        <v>#N/A</v>
      </c>
      <c r="E482" s="5" t="e">
        <f ca="1">IF(OR(INDEX($AI$2:$AI$1001,MATCH(ROWS($AH$2:AH482),$AH$2:$AH$1001,0),1)&gt;=100000,INDEX($AO$1005:$BQ$1005,1,MATCH(COLUMNS($AO$1006:AR1006),$AO$1006:$BQ$1006,0))&gt;=100000), " ",IF(INDEX($AO$2:$BQ$1001,MATCH(ROWS($AH$2:AH482),$AH$2:$AH$1001,0),MATCH(COLUMNS($AO$1006:AR1006),$AO$1006:$BQ$1006,0)), HYPERLINK("#",""), HYPERLINK(CONCATENATE("#Metadata!", ADDRESS(INDEX($AJ$2:$AJ$1001,MATCH(ROWS($AH$2:AH482),$AH$2:$AH$1001,0),0), INDEX($AO$1004:$BQ$1004,1,MATCH(COLUMNS($AO$1006:AR1006),$AO$1006:$BQ$1006,0)))),"Fix")))</f>
        <v>#N/A</v>
      </c>
      <c r="F482" s="5" t="e">
        <f ca="1">IF(OR(INDEX($AI$2:$AI$1001,MATCH(ROWS($AH$2:AH482),$AH$2:$AH$1001,0),1)&gt;=100000,INDEX($AO$1005:$BQ$1005,1,MATCH(COLUMNS($AO$1006:AS1006),$AO$1006:$BQ$1006,0))&gt;=100000), " ",IF(INDEX($AO$2:$BQ$1001,MATCH(ROWS($AH$2:AH482),$AH$2:$AH$1001,0),MATCH(COLUMNS($AO$1006:AS1006),$AO$1006:$BQ$1006,0)), HYPERLINK("#",""), HYPERLINK(CONCATENATE("#Metadata!", ADDRESS(INDEX($AJ$2:$AJ$1001,MATCH(ROWS($AH$2:AH482),$AH$2:$AH$1001,0),0), INDEX($AO$1004:$BQ$1004,1,MATCH(COLUMNS($AO$1006:AS1006),$AO$1006:$BQ$1006,0)))),"Fix")))</f>
        <v>#N/A</v>
      </c>
      <c r="G482" s="5" t="e">
        <f ca="1">IF(OR(INDEX($AI$2:$AI$1001,MATCH(ROWS($AH$2:AH482),$AH$2:$AH$1001,0),1)&gt;=100000,INDEX($AO$1005:$BQ$1005,1,MATCH(COLUMNS($AO$1006:AT1006),$AO$1006:$BQ$1006,0))&gt;=100000), " ",IF(INDEX($AO$2:$BQ$1001,MATCH(ROWS($AH$2:AH482),$AH$2:$AH$1001,0),MATCH(COLUMNS($AO$1006:AT1006),$AO$1006:$BQ$1006,0)), HYPERLINK("#",""), HYPERLINK(CONCATENATE("#Metadata!", ADDRESS(INDEX($AJ$2:$AJ$1001,MATCH(ROWS($AH$2:AH482),$AH$2:$AH$1001,0),0), INDEX($AO$1004:$BQ$1004,1,MATCH(COLUMNS($AO$1006:AT1006),$AO$1006:$BQ$1006,0)))),"Fix")))</f>
        <v>#N/A</v>
      </c>
      <c r="H482" s="5" t="e">
        <f ca="1">IF(OR(INDEX($AI$2:$AI$1001,MATCH(ROWS($AH$2:AH482),$AH$2:$AH$1001,0),1)&gt;=100000,INDEX($AO$1005:$BQ$1005,1,MATCH(COLUMNS($AO$1006:AU1006),$AO$1006:$BQ$1006,0))&gt;=100000), " ",IF(INDEX($AO$2:$BQ$1001,MATCH(ROWS($AH$2:AH482),$AH$2:$AH$1001,0),MATCH(COLUMNS($AO$1006:AU1006),$AO$1006:$BQ$1006,0)), HYPERLINK("#",""), HYPERLINK(CONCATENATE("#Metadata!", ADDRESS(INDEX($AJ$2:$AJ$1001,MATCH(ROWS($AH$2:AH482),$AH$2:$AH$1001,0),0), INDEX($AO$1004:$BQ$1004,1,MATCH(COLUMNS($AO$1006:AU1006),$AO$1006:$BQ$1006,0)))),"Fix")))</f>
        <v>#N/A</v>
      </c>
      <c r="I482" s="5" t="e">
        <f ca="1">IF(OR(INDEX($AI$2:$AI$1001,MATCH(ROWS($AH$2:AH482),$AH$2:$AH$1001,0),1)&gt;=100000,INDEX($AO$1005:$BQ$1005,1,MATCH(COLUMNS($AO$1006:AV1006),$AO$1006:$BQ$1006,0))&gt;=100000), " ",IF(INDEX($AO$2:$BQ$1001,MATCH(ROWS($AH$2:AH482),$AH$2:$AH$1001,0),MATCH(COLUMNS($AO$1006:AV1006),$AO$1006:$BQ$1006,0)), HYPERLINK("#",""), HYPERLINK(CONCATENATE("#Metadata!", ADDRESS(INDEX($AJ$2:$AJ$1001,MATCH(ROWS($AH$2:AH482),$AH$2:$AH$1001,0),0), INDEX($AO$1004:$BQ$1004,1,MATCH(COLUMNS($AO$1006:AV1006),$AO$1006:$BQ$1006,0)))),"Fix")))</f>
        <v>#N/A</v>
      </c>
      <c r="J482" s="5" t="e">
        <f ca="1">IF(OR(INDEX($AI$2:$AI$1001,MATCH(ROWS($AH$2:AH482),$AH$2:$AH$1001,0),1)&gt;=100000,INDEX($AO$1005:$BQ$1005,1,MATCH(COLUMNS($AO$1006:AW1006),$AO$1006:$BQ$1006,0))&gt;=100000), " ",IF(INDEX($AO$2:$BQ$1001,MATCH(ROWS($AH$2:AH482),$AH$2:$AH$1001,0),MATCH(COLUMNS($AO$1006:AW1006),$AO$1006:$BQ$1006,0)), HYPERLINK("#",""), HYPERLINK(CONCATENATE("#Metadata!", ADDRESS(INDEX($AJ$2:$AJ$1001,MATCH(ROWS($AH$2:AH482),$AH$2:$AH$1001,0),0), INDEX($AO$1004:$BQ$1004,1,MATCH(COLUMNS($AO$1006:AW1006),$AO$1006:$BQ$1006,0)))),"Fix")))</f>
        <v>#N/A</v>
      </c>
      <c r="K482" s="5" t="e">
        <f ca="1">IF(OR(INDEX($AI$2:$AI$1001,MATCH(ROWS($AH$2:AH482),$AH$2:$AH$1001,0),1)&gt;=100000,INDEX($AO$1005:$BQ$1005,1,MATCH(COLUMNS($AO$1006:AX1006),$AO$1006:$BQ$1006,0))&gt;=100000), " ",IF(INDEX($AO$2:$BQ$1001,MATCH(ROWS($AH$2:AH482),$AH$2:$AH$1001,0),MATCH(COLUMNS($AO$1006:AX1006),$AO$1006:$BQ$1006,0)), HYPERLINK("#",""), HYPERLINK(CONCATENATE("#Metadata!", ADDRESS(INDEX($AJ$2:$AJ$1001,MATCH(ROWS($AH$2:AH482),$AH$2:$AH$1001,0),0), INDEX($AO$1004:$BQ$1004,1,MATCH(COLUMNS($AO$1006:AX1006),$AO$1006:$BQ$1006,0)))),"Fix")))</f>
        <v>#N/A</v>
      </c>
      <c r="L482" s="5" t="e">
        <f ca="1">IF(OR(INDEX($AI$2:$AI$1001,MATCH(ROWS($AH$2:AH482),$AH$2:$AH$1001,0),1)&gt;=100000,INDEX($AO$1005:$BQ$1005,1,MATCH(COLUMNS($AO$1006:AY1006),$AO$1006:$BQ$1006,0))&gt;=100000), " ",IF(INDEX($AO$2:$BQ$1001,MATCH(ROWS($AH$2:AH482),$AH$2:$AH$1001,0),MATCH(COLUMNS($AO$1006:AY1006),$AO$1006:$BQ$1006,0)), HYPERLINK("#",""), HYPERLINK(CONCATENATE("#Metadata!", ADDRESS(INDEX($AJ$2:$AJ$1001,MATCH(ROWS($AH$2:AH482),$AH$2:$AH$1001,0),0), INDEX($AO$1004:$BQ$1004,1,MATCH(COLUMNS($AO$1006:AY1006),$AO$1006:$BQ$1006,0)))),"Fix")))</f>
        <v>#N/A</v>
      </c>
      <c r="M482" s="5" t="e">
        <f ca="1">IF(OR(INDEX($AI$2:$AI$1001,MATCH(ROWS($AH$2:AH482),$AH$2:$AH$1001,0),1)&gt;=100000,INDEX($AO$1005:$BQ$1005,1,MATCH(COLUMNS($AO$1006:AZ1006),$AO$1006:$BQ$1006,0))&gt;=100000), " ",IF(INDEX($AO$2:$BQ$1001,MATCH(ROWS($AH$2:AH482),$AH$2:$AH$1001,0),MATCH(COLUMNS($AO$1006:AZ1006),$AO$1006:$BQ$1006,0)), HYPERLINK("#",""), HYPERLINK(CONCATENATE("#Metadata!", ADDRESS(INDEX($AJ$2:$AJ$1001,MATCH(ROWS($AH$2:AH482),$AH$2:$AH$1001,0),0), INDEX($AO$1004:$BQ$1004,1,MATCH(COLUMNS($AO$1006:AZ1006),$AO$1006:$BQ$1006,0)))),"Fix")))</f>
        <v>#N/A</v>
      </c>
      <c r="N482" s="5" t="e">
        <f ca="1">IF(OR(INDEX($AI$2:$AI$1001,MATCH(ROWS($AH$2:AH482),$AH$2:$AH$1001,0),1)&gt;=100000,INDEX($AO$1005:$BQ$1005,1,MATCH(COLUMNS($AO$1006:BA1006),$AO$1006:$BQ$1006,0))&gt;=100000), " ",IF(INDEX($AO$2:$BQ$1001,MATCH(ROWS($AH$2:AH482),$AH$2:$AH$1001,0),MATCH(COLUMNS($AO$1006:BA1006),$AO$1006:$BQ$1006,0)), HYPERLINK("#",""), HYPERLINK(CONCATENATE("#Metadata!", ADDRESS(INDEX($AJ$2:$AJ$1001,MATCH(ROWS($AH$2:AH482),$AH$2:$AH$1001,0),0), INDEX($AO$1004:$BQ$1004,1,MATCH(COLUMNS($AO$1006:BA1006),$AO$1006:$BQ$1006,0)))),"Fix")))</f>
        <v>#N/A</v>
      </c>
      <c r="O482" s="5" t="e">
        <f ca="1">IF(OR(INDEX($AI$2:$AI$1001,MATCH(ROWS($AH$2:AH482),$AH$2:$AH$1001,0),1)&gt;=100000,INDEX($AO$1005:$BQ$1005,1,MATCH(COLUMNS($AO$1006:BB1006),$AO$1006:$BQ$1006,0))&gt;=100000), " ",IF(INDEX($AO$2:$BQ$1001,MATCH(ROWS($AH$2:AH482),$AH$2:$AH$1001,0),MATCH(COLUMNS($AO$1006:BB1006),$AO$1006:$BQ$1006,0)), HYPERLINK("#",""), HYPERLINK(CONCATENATE("#Metadata!", ADDRESS(INDEX($AJ$2:$AJ$1001,MATCH(ROWS($AH$2:AH482),$AH$2:$AH$1001,0),0), INDEX($AO$1004:$BQ$1004,1,MATCH(COLUMNS($AO$1006:BB1006),$AO$1006:$BQ$1006,0)))),"Fix")))</f>
        <v>#N/A</v>
      </c>
      <c r="P482" s="5" t="e">
        <f ca="1">IF(OR(INDEX($AI$2:$AI$1001,MATCH(ROWS($AH$2:AH482),$AH$2:$AH$1001,0),1)&gt;=100000,INDEX($AO$1005:$BQ$1005,1,MATCH(COLUMNS($AO$1006:BC1006),$AO$1006:$BQ$1006,0))&gt;=100000), " ",IF(INDEX($AO$2:$BQ$1001,MATCH(ROWS($AH$2:AH482),$AH$2:$AH$1001,0),MATCH(COLUMNS($AO$1006:BC1006),$AO$1006:$BQ$1006,0)), HYPERLINK("#",""), HYPERLINK(CONCATENATE("#Metadata!", ADDRESS(INDEX($AJ$2:$AJ$1001,MATCH(ROWS($AH$2:AH482),$AH$2:$AH$1001,0),0), INDEX($AO$1004:$BQ$1004,1,MATCH(COLUMNS($AO$1006:BC1006),$AO$1006:$BQ$1006,0)))),"Fix")))</f>
        <v>#N/A</v>
      </c>
      <c r="Q482" s="5" t="e">
        <f ca="1">IF(OR(INDEX($AI$2:$AI$1001,MATCH(ROWS($AH$2:AH482),$AH$2:$AH$1001,0),1)&gt;=100000,INDEX($AO$1005:$BQ$1005,1,MATCH(COLUMNS($AO$1006:BD1006),$AO$1006:$BQ$1006,0))&gt;=100000), " ",IF(INDEX($AO$2:$BQ$1001,MATCH(ROWS($AH$2:AH482),$AH$2:$AH$1001,0),MATCH(COLUMNS($AO$1006:BD1006),$AO$1006:$BQ$1006,0)), HYPERLINK("#",""), HYPERLINK(CONCATENATE("#Metadata!", ADDRESS(INDEX($AJ$2:$AJ$1001,MATCH(ROWS($AH$2:AH482),$AH$2:$AH$1001,0),0), INDEX($AO$1004:$BQ$1004,1,MATCH(COLUMNS($AO$1006:BD1006),$AO$1006:$BQ$1006,0)))),"Fix")))</f>
        <v>#N/A</v>
      </c>
      <c r="R482" s="5" t="e">
        <f ca="1">IF(OR(INDEX($AI$2:$AI$1001,MATCH(ROWS($AH$2:AH482),$AH$2:$AH$1001,0),1)&gt;=100000,INDEX($AO$1005:$BQ$1005,1,MATCH(COLUMNS($AO$1006:BE1006),$AO$1006:$BQ$1006,0))&gt;=100000), " ",IF(INDEX($AO$2:$BQ$1001,MATCH(ROWS($AH$2:AH482),$AH$2:$AH$1001,0),MATCH(COLUMNS($AO$1006:BE1006),$AO$1006:$BQ$1006,0)), HYPERLINK("#",""), HYPERLINK(CONCATENATE("#Metadata!", ADDRESS(INDEX($AJ$2:$AJ$1001,MATCH(ROWS($AH$2:AH482),$AH$2:$AH$1001,0),0), INDEX($AO$1004:$BQ$1004,1,MATCH(COLUMNS($AO$1006:BE1006),$AO$1006:$BQ$1006,0)))),"Fix")))</f>
        <v>#N/A</v>
      </c>
      <c r="S482" s="5" t="e">
        <f ca="1">IF(OR(INDEX($AI$2:$AI$1001,MATCH(ROWS($AH$2:AH482),$AH$2:$AH$1001,0),1)&gt;=100000,INDEX($AO$1005:$BQ$1005,1,MATCH(COLUMNS($AO$1006:BF1006),$AO$1006:$BQ$1006,0))&gt;=100000), " ",IF(INDEX($AO$2:$BQ$1001,MATCH(ROWS($AH$2:AH482),$AH$2:$AH$1001,0),MATCH(COLUMNS($AO$1006:BF1006),$AO$1006:$BQ$1006,0)), HYPERLINK("#",""), HYPERLINK(CONCATENATE("#Metadata!", ADDRESS(INDEX($AJ$2:$AJ$1001,MATCH(ROWS($AH$2:AH482),$AH$2:$AH$1001,0),0), INDEX($AO$1004:$BQ$1004,1,MATCH(COLUMNS($AO$1006:BF1006),$AO$1006:$BQ$1006,0)))),"Fix")))</f>
        <v>#N/A</v>
      </c>
      <c r="T482" s="5" t="e">
        <f ca="1">IF(OR(INDEX($AI$2:$AI$1001,MATCH(ROWS($AH$2:AH482),$AH$2:$AH$1001,0),1)&gt;=100000,INDEX($AO$1005:$BQ$1005,1,MATCH(COLUMNS($AO$1006:BG1006),$AO$1006:$BQ$1006,0))&gt;=100000), " ",IF(INDEX($AO$2:$BQ$1001,MATCH(ROWS($AH$2:AH482),$AH$2:$AH$1001,0),MATCH(COLUMNS($AO$1006:BG1006),$AO$1006:$BQ$1006,0)), HYPERLINK("#",""), HYPERLINK(CONCATENATE("#Metadata!", ADDRESS(INDEX($AJ$2:$AJ$1001,MATCH(ROWS($AH$2:AH482),$AH$2:$AH$1001,0),0), INDEX($AO$1004:$BQ$1004,1,MATCH(COLUMNS($AO$1006:BG1006),$AO$1006:$BQ$1006,0)))),"Fix")))</f>
        <v>#N/A</v>
      </c>
      <c r="U482" s="5" t="e">
        <f ca="1">IF(OR(INDEX($AI$2:$AI$1001,MATCH(ROWS($AH$2:AH482),$AH$2:$AH$1001,0),1)&gt;=100000,INDEX($AO$1005:$BQ$1005,1,MATCH(COLUMNS($AO$1006:BH1006),$AO$1006:$BQ$1006,0))&gt;=100000), " ",IF(INDEX($AO$2:$BQ$1001,MATCH(ROWS($AH$2:AH482),$AH$2:$AH$1001,0),MATCH(COLUMNS($AO$1006:BH1006),$AO$1006:$BQ$1006,0)), HYPERLINK("#",""), HYPERLINK(CONCATENATE("#Metadata!", ADDRESS(INDEX($AJ$2:$AJ$1001,MATCH(ROWS($AH$2:AH482),$AH$2:$AH$1001,0),0), INDEX($AO$1004:$BQ$1004,1,MATCH(COLUMNS($AO$1006:BH1006),$AO$1006:$BQ$1006,0)))),"Fix")))</f>
        <v>#N/A</v>
      </c>
      <c r="V482" s="5" t="e">
        <f ca="1">IF(OR(INDEX($AI$2:$AI$1001,MATCH(ROWS($AH$2:AH482),$AH$2:$AH$1001,0),1)&gt;=100000,INDEX($AO$1005:$BQ$1005,1,MATCH(COLUMNS($AO$1006:BI1006),$AO$1006:$BQ$1006,0))&gt;=100000), " ",IF(INDEX($AO$2:$BQ$1001,MATCH(ROWS($AH$2:AH482),$AH$2:$AH$1001,0),MATCH(COLUMNS($AO$1006:BI1006),$AO$1006:$BQ$1006,0)), HYPERLINK("#",""), HYPERLINK(CONCATENATE("#Metadata!", ADDRESS(INDEX($AJ$2:$AJ$1001,MATCH(ROWS($AH$2:AH482),$AH$2:$AH$1001,0),0), INDEX($AO$1004:$BQ$1004,1,MATCH(COLUMNS($AO$1006:BI1006),$AO$1006:$BQ$1006,0)))),"Fix")))</f>
        <v>#N/A</v>
      </c>
      <c r="W482" s="5" t="e">
        <f ca="1">IF(OR(INDEX($AI$2:$AI$1001,MATCH(ROWS($AH$2:AH482),$AH$2:$AH$1001,0),1)&gt;=100000,INDEX($AO$1005:$BQ$1005,1,MATCH(COLUMNS($AO$1006:BJ1006),$AO$1006:$BQ$1006,0))&gt;=100000), " ",IF(INDEX($AO$2:$BQ$1001,MATCH(ROWS($AH$2:AH482),$AH$2:$AH$1001,0),MATCH(COLUMNS($AO$1006:BJ1006),$AO$1006:$BQ$1006,0)), HYPERLINK("#",""), HYPERLINK(CONCATENATE("#Metadata!", ADDRESS(INDEX($AJ$2:$AJ$1001,MATCH(ROWS($AH$2:AH482),$AH$2:$AH$1001,0),0), INDEX($AO$1004:$BQ$1004,1,MATCH(COLUMNS($AO$1006:BJ1006),$AO$1006:$BQ$1006,0)))),"Fix")))</f>
        <v>#N/A</v>
      </c>
      <c r="X482" s="5" t="e">
        <f ca="1">IF(OR(INDEX($AI$2:$AI$1001,MATCH(ROWS($AH$2:AH482),$AH$2:$AH$1001,0),1)&gt;=100000,INDEX($AO$1005:$BQ$1005,1,MATCH(COLUMNS($AO$1006:BK1006),$AO$1006:$BQ$1006,0))&gt;=100000), " ",IF(INDEX($AO$2:$BQ$1001,MATCH(ROWS($AH$2:AH482),$AH$2:$AH$1001,0),MATCH(COLUMNS($AO$1006:BK1006),$AO$1006:$BQ$1006,0)), HYPERLINK("#",""), HYPERLINK(CONCATENATE("#Metadata!", ADDRESS(INDEX($AJ$2:$AJ$1001,MATCH(ROWS($AH$2:AH482),$AH$2:$AH$1001,0),0), INDEX($AO$1004:$BQ$1004,1,MATCH(COLUMNS($AO$1006:BK1006),$AO$1006:$BQ$1006,0)))),"Fix")))</f>
        <v>#N/A</v>
      </c>
      <c r="Y482" s="5" t="e">
        <f ca="1">IF(OR(INDEX($AI$2:$AI$1001,MATCH(ROWS($AH$2:AH482),$AH$2:$AH$1001,0),1)&gt;=100000,INDEX($AO$1005:$BQ$1005,1,MATCH(COLUMNS($AO$1006:BL1006),$AO$1006:$BQ$1006,0))&gt;=100000), " ",IF(INDEX($AO$2:$BQ$1001,MATCH(ROWS($AH$2:AH482),$AH$2:$AH$1001,0),MATCH(COLUMNS($AO$1006:BL1006),$AO$1006:$BQ$1006,0)), HYPERLINK("#",""), HYPERLINK(CONCATENATE("#Metadata!", ADDRESS(INDEX($AJ$2:$AJ$1001,MATCH(ROWS($AH$2:AH482),$AH$2:$AH$1001,0),0), INDEX($AO$1004:$BQ$1004,1,MATCH(COLUMNS($AO$1006:BL1006),$AO$1006:$BQ$1006,0)))),"Fix")))</f>
        <v>#N/A</v>
      </c>
      <c r="Z482" s="5" t="e">
        <f ca="1">IF(OR(INDEX($AI$2:$AI$1001,MATCH(ROWS($AH$2:AH482),$AH$2:$AH$1001,0),1)&gt;=100000,INDEX($AO$1005:$BQ$1005,1,MATCH(COLUMNS($AO$1006:BM1006),$AO$1006:$BQ$1006,0))&gt;=100000), " ",IF(INDEX($AO$2:$BQ$1001,MATCH(ROWS($AH$2:AH482),$AH$2:$AH$1001,0),MATCH(COLUMNS($AO$1006:BM1006),$AO$1006:$BQ$1006,0)), HYPERLINK("#",""), HYPERLINK(CONCATENATE("#Metadata!", ADDRESS(INDEX($AJ$2:$AJ$1001,MATCH(ROWS($AH$2:AH482),$AH$2:$AH$1001,0),0), INDEX($AO$1004:$BQ$1004,1,MATCH(COLUMNS($AO$1006:BM1006),$AO$1006:$BQ$1006,0)))),"Fix")))</f>
        <v>#N/A</v>
      </c>
      <c r="AA482" s="5" t="e">
        <f ca="1">IF(OR(INDEX($AI$2:$AI$1001,MATCH(ROWS($AH$2:AH482),$AH$2:$AH$1001,0),1)&gt;=100000,INDEX($AO$1005:$BQ$1005,1,MATCH(COLUMNS($AO$1006:BN1006),$AO$1006:$BQ$1006,0))&gt;=100000), " ",IF(INDEX($AO$2:$BQ$1001,MATCH(ROWS($AH$2:AH482),$AH$2:$AH$1001,0),MATCH(COLUMNS($AO$1006:BN1006),$AO$1006:$BQ$1006,0)), HYPERLINK("#",""), HYPERLINK(CONCATENATE("#Metadata!", ADDRESS(INDEX($AJ$2:$AJ$1001,MATCH(ROWS($AH$2:AH482),$AH$2:$AH$1001,0),0), INDEX($AO$1004:$BQ$1004,1,MATCH(COLUMNS($AO$1006:BN1006),$AO$1006:$BQ$1006,0)))),"Fix")))</f>
        <v>#N/A</v>
      </c>
      <c r="AB482" s="5" t="e">
        <f ca="1">IF(OR(INDEX($AI$2:$AI$1001,MATCH(ROWS($AH$2:AH482),$AH$2:$AH$1001,0),1)&gt;=100000,INDEX($AO$1005:$BQ$1005,1,MATCH(COLUMNS($AO$1006:BO1006),$AO$1006:$BQ$1006,0))&gt;=100000), " ",IF(INDEX($AO$2:$BQ$1001,MATCH(ROWS($AH$2:AH482),$AH$2:$AH$1001,0),MATCH(COLUMNS($AO$1006:BO1006),$AO$1006:$BQ$1006,0)), HYPERLINK("#",""), HYPERLINK(CONCATENATE("#Metadata!", ADDRESS(INDEX($AJ$2:$AJ$1001,MATCH(ROWS($AH$2:AH482),$AH$2:$AH$1001,0),0), INDEX($AO$1004:$BQ$1004,1,MATCH(COLUMNS($AO$1006:BO1006),$AO$1006:$BQ$1006,0)))),"Fix")))</f>
        <v>#N/A</v>
      </c>
      <c r="AC482" s="5" t="e">
        <f ca="1">IF(OR(INDEX($AI$2:$AI$1001,MATCH(ROWS($AH$2:AH482),$AH$2:$AH$1001,0),1)&gt;=100000,INDEX($AO$1005:$BQ$1005,1,MATCH(COLUMNS($AO$1006:BP1006),$AO$1006:$BQ$1006,0))&gt;=100000), " ",IF(INDEX($AO$2:$BQ$1001,MATCH(ROWS($AH$2:AH482),$AH$2:$AH$1001,0),MATCH(COLUMNS($AO$1006:BP1006),$AO$1006:$BQ$1006,0)), HYPERLINK("#",""), HYPERLINK(CONCATENATE("#Metadata!", ADDRESS(INDEX($AJ$2:$AJ$1001,MATCH(ROWS($AH$2:AH482),$AH$2:$AH$1001,0),0), INDEX($AO$1004:$BQ$1004,1,MATCH(COLUMNS($AO$1006:BP1006),$AO$1006:$BQ$1006,0)))),"Fix")))</f>
        <v>#N/A</v>
      </c>
      <c r="AD482" s="5" t="e">
        <f ca="1">IF(OR(INDEX($AI$2:$AI$1001,MATCH(ROWS($AH$2:AH482),$AH$2:$AH$1001,0),1)&gt;=100000,INDEX($AO$1005:$BQ$1005,1,MATCH(COLUMNS($AO$1006:BQ1006),$AO$1006:$BQ$1006,0))&gt;=100000), " ",IF(INDEX($AO$2:$BQ$1001,MATCH(ROWS($AH$2:AH482),$AH$2:$AH$1001,0),MATCH(COLUMNS($AO$1006:BQ1006),$AO$1006:$BQ$1006,0)), HYPERLINK("#",""), HYPERLINK(CONCATENATE("#Metadata!", ADDRESS(INDEX($AJ$2:$AJ$1001,MATCH(ROWS($AH$2:AH482),$AH$2:$AH$1001,0),0), INDEX($AO$1004:$BQ$1004,1,MATCH(COLUMNS($AO$1006:BQ1006),$AO$1006:$BQ$1006,0)))),"Fix")))</f>
        <v>#REF!</v>
      </c>
      <c r="AH482">
        <f ca="1"/>
        <v>479</v>
      </c>
      <c r="AI482">
        <v>100482</v>
      </c>
      <c r="AJ482">
        <v>482</v>
      </c>
      <c r="AK482" t="b">
        <f t="shared" si="7"/>
        <v>1</v>
      </c>
      <c r="AL482" t="b">
        <f>COUNTBLANK(Metadata!B482:AD482)=COLUMNS(Metadata!B482:AD482)</f>
        <v>1</v>
      </c>
      <c r="AM482" t="str">
        <v/>
      </c>
      <c r="AO482" t="b">
        <f ca="1">AND(IF(Metadata!B482="",FALSE,TRUE),COUNTIF(Metadata!B:B, Metadata!B482) = 1,NOT(ISERROR(SUMPRODUCT(SEARCH(MID(Metadata!B482,ROW(INDIRECT("1:"&amp;LEN(Metadata!B482))), 1),"0123456789abcdefghijklmnopqrstuvwxyzABCDEFGHIJKLMNOPQRSTUVWXYZ.")))))</f>
        <v>0</v>
      </c>
      <c r="AP482" t="b">
        <f>IF(Metadata!C482="",FALSE,TRUE)</f>
        <v>0</v>
      </c>
      <c r="AQ482" t="b">
        <f>IF(Metadata!D482="",FALSE,TRUE)</f>
        <v>0</v>
      </c>
      <c r="AR482" t="b">
        <f ca="1">OR(AND(IF(Metadata!E482="",FALSE,TRUE),OR(EXACT(Metadata!E482,"not collected"),EXACT(Metadata!E482,"not provided"),EXACT(Metadata!E482,"restricted access"))),AND(IF(Metadata!E482="",FALSE,TRUE),AND(AND(IFERROR(INT(LEFT(Metadata!E482,4))&gt;1900,FALSE),IFERROR(INT(LEFT(Metadata!E482,4))&lt;=YEAR(NOW()),FALSE)), OR(MID(Metadata!E482,5,1)="", AND(AND(MID(Metadata!E482,5,1)="-",IFERROR(INT(MID(Metadata!E482,6,1))&gt;=0,FALSE),IFERROR(INT(MID(Metadata!E482,6,1))&lt;=1,FALSE),NOT(MID(Metadata!E482,7,1)=""),IFERROR(INT(MID(Metadata!E482,6,2))&gt;=1,FALSE),IFERROR(INT(MID(Metadata!E482,6,2))&lt;=12,FALSE)), OR(MID(Metadata!E482,8,1)="", AND(AND(MID(Metadata!E482,8,1)="-",IFERROR(INT(MID(Metadata!E482,9,1))&gt;=0,FALSE),IFERROR(INT(MID(Metadata!E482,9,1))&lt;=3,FALSE),NOT(MID(Metadata!E482,10,1)=""),IFERROR(INT(MID(Metadata!E482,9,2))&gt;=1,FALSE),IFERROR(INT(MID(Metadata!E482,9,2))&lt;=31,FALSE)), OR(MID(Metadata!E482,11,1)="", AND(AND(MID(Metadata!E482,11,1)=" ",IFERROR(INT(MID(Metadata!E482,12,1))&gt;=0,FALSE),IFERROR(INT(MID(Metadata!E482,12,1))&lt;=2,FALSE),NOT(MID(Metadata!E482,13,1)=""),IFERROR(INT(MID(Metadata!E482,12,2))&gt;=0,FALSE),IFERROR(INT(MID(Metadata!E482,12,2))&lt;=23,FALSE)), OR(MID(Metadata!E482,14,1)="", AND(AND(MID(Metadata!E482,14,1)=":",IFERROR(INT(MID(Metadata!E482,15,1))&gt;=0,FALSE),IFERROR(INT(MID(Metadata!E482,15,1))&lt;=5,FALSE),NOT(MID(Metadata!E482,16,1)=""),IFERROR(INT(MID(Metadata!E482,15,2))&gt;=0,FALSE),IFERROR(INT(MID(Metadata!E482,15,2))&lt;=59,FALSE)), OR(MID(Metadata!E482,17,1)="", AND(AND(MID(Metadata!E482,17,1)=":",IFERROR(INT(MID(Metadata!E482,18,1))&gt;=0,FALSE),IFERROR(INT(MID(Metadata!E482,18,1))&lt;=5,FALSE),NOT(MID(Metadata!E482,19,1)=""),IFERROR(INT(MID(Metadata!E482,18,2))&gt;=0,FALSE),IFERROR(INT(MID(Metadata!E482,18,2))&lt;=59,FALSE)), LEN(Metadata!E482)&lt;=19)))))))))))))</f>
        <v>0</v>
      </c>
      <c r="AS482" t="b">
        <f>IF(Metadata!F482="",FALSE,TRUE)</f>
        <v>0</v>
      </c>
      <c r="AT482" t="b">
        <f>OR(AND(IF(Metadata!G482="",FALSE,TRUE),OR(EXACT(Metadata!G482,"not collected"),EXACT(Metadata!G482,"not provided"))),AND(IF(Metadata!G482="",FALSE,TRUE),OR(EXACT(Metadata!G482,"TRUE"),EXACT(Metadata!G482,"FALSE"))))</f>
        <v>0</v>
      </c>
      <c r="AU482" t="b">
        <f>OR(AND(IF(Metadata!H482="",FALSE,TRUE),OR(EXACT(Metadata!H482,"not collected"),EXACT(Metadata!H482,"not provided"),EXACT(Metadata!H482,"restricted access"))),AND(IF(Metadata!H482="",FALSE,ISNUMBER(VALUE(Metadata!H482))),Metadata!H482&gt;=-413))</f>
        <v>0</v>
      </c>
      <c r="AV482" t="b">
        <f>AND(IF(Metadata!I482="",FALSE,TRUE),EXACT(Metadata!I482,"meters"))</f>
        <v>0</v>
      </c>
      <c r="AW482" t="b">
        <f>AND(IF(Metadata!J482="",FALSE,TRUE),EXACT(Metadata!J482,"free-living"))</f>
        <v>0</v>
      </c>
      <c r="AX482" t="b">
        <f>AND(IF(Metadata!K482="",FALSE,TRUE),OR(EXACT(Metadata!K482,"saline"),EXACT(Metadata!K482,"non-saline")))</f>
        <v>0</v>
      </c>
      <c r="AY482" t="b">
        <f>AND(IF(Metadata!L482="",FALSE,TRUE),OR(EXACT(Metadata!L482,"sub-surface (non-saline)"),EXACT(Metadata!L482,"surface (non-saline)"),EXACT(Metadata!L482,"water (non-saline)"),EXACT(Metadata!L482,"soil (non-saline)"),EXACT(Metadata!L482,"aerosol (non-saline)"),EXACT(Metadata!L482,"sediment (non-saline)"),EXACT(Metadata!L482,"surface (saline)"),EXACT(Metadata!L482,"water (saline)"),EXACT(Metadata!L482,"hypersaline (saline)"),EXACT(Metadata!L482,"aerosol (saline)"),EXACT(Metadata!L482,"sediment (saline)")))</f>
        <v>0</v>
      </c>
      <c r="AZ482" t="b">
        <f>IF(Metadata!M482="",FALSE,TRUE)</f>
        <v>0</v>
      </c>
      <c r="BA482" t="b">
        <f>IF(Metadata!N482="",FALSE,TRUE)</f>
        <v>0</v>
      </c>
      <c r="BB482" t="b">
        <f>IF(Metadata!O482="",FALSE,TRUE)</f>
        <v>0</v>
      </c>
      <c r="BC482" t="b">
        <f>AND(IF(Metadata!P482="",FALSE,TRUE),OR(EXACT(Metadata!P482,"air"),EXACT(Metadata!P482,"microbial mat/biofilm"),EXACT(Metadata!P482,"misc environment"),EXACT(Metadata!P482,"sediment"),EXACT(Metadata!P482,"soil"),EXACT(Metadata!P482,"wastewater/sludge"),EXACT(Metadata!P482,"water")))</f>
        <v>0</v>
      </c>
      <c r="BD482" t="b">
        <f>IF(Metadata!Q482="",FALSE,TRUE)</f>
        <v>0</v>
      </c>
      <c r="BE482" t="b">
        <f>IF(Metadata!R482="",FALSE,TRUE)</f>
        <v>0</v>
      </c>
      <c r="BF482" t="b">
        <f>OR(AND(IF(Metadata!S482="",FALSE,TRUE),OR(EXACT(Metadata!S482,"not collected"),EXACT(Metadata!S482,"not provided"),EXACT(Metadata!S482,"restricted access"))),AND(IF(Metadata!S482="",FALSE,ISNUMBER(VALUE(Metadata!S482))),Metadata!S482&gt;=-90,Metadata!S482&lt;=90))</f>
        <v>0</v>
      </c>
      <c r="BG482" t="b">
        <f>AND(IF(Metadata!T482="",FALSE,TRUE),EXACT(Metadata!T482,"Decimal degrees"))</f>
        <v>0</v>
      </c>
      <c r="BH482" t="b">
        <f>OR(AND(IF(Metadata!U482="",FALSE,TRUE),OR(EXACT(Metadata!U482,"not applicable"),EXACT(Metadata!U482,"not collected"))),IF(Metadata!U482="",FALSE,TRUE))</f>
        <v>0</v>
      </c>
      <c r="BI482" t="b">
        <f>OR(AND(IF(Metadata!V482="",FALSE,TRUE),OR(EXACT(Metadata!V482,"not collected"),EXACT(Metadata!V482,"not provided"),EXACT(Metadata!V482,"restricted access"))),AND(IF(Metadata!V482="",FALSE,ISNUMBER(VALUE(Metadata!V482))),Metadata!V482&gt;=-180,Metadata!V482&lt;=180))</f>
        <v>0</v>
      </c>
      <c r="BJ482" t="b">
        <f>AND(IF(Metadata!W482="",FALSE,TRUE),EXACT(Metadata!W482,"Decimal degrees"))</f>
        <v>0</v>
      </c>
      <c r="BK482" t="b">
        <f>IF(Metadata!X482="",FALSE,TRUE)</f>
        <v>0</v>
      </c>
      <c r="BL482" t="b">
        <f>OR(AND(IF(Metadata!Y482="",FALSE,TRUE),OR(EXACT(Metadata!Y482,"not collected"),EXACT(Metadata!Y482,"not provided"),EXACT(Metadata!Y482,"restricted access"))),AND(IF(Metadata!Y482="",FALSE,TRUE),OR(EXACT(Metadata!Y482,"TRUE"),EXACT(Metadata!Y482,"FALSE"))))</f>
        <v>0</v>
      </c>
      <c r="BM482" t="b">
        <f>OR(AND(IF(Metadata!Z482="",FALSE,TRUE),EXACT(Metadata!Z482,"not applicable")),AND(IF(Metadata!Z482="",FALSE,TRUE),OR(EXACT(Metadata!Z482,"beer"),EXACT(Metadata!Z482,"cheese"),EXACT(Metadata!Z482,"fresh water"),EXACT(Metadata!Z482,"marine sediment"),EXACT(Metadata!Z482,"sea water"),EXACT(Metadata!Z482,"sediment"),EXACT(Metadata!Z482,"soil"),EXACT(Metadata!Z482,"waste water"))))</f>
        <v>0</v>
      </c>
      <c r="BN482" t="b">
        <f>AND(IF(Metadata!AA482="",FALSE,TRUE),EXACT(Metadata!AA482,"metagenome"))</f>
        <v>0</v>
      </c>
      <c r="BO482" t="b">
        <f>AND(IF(Metadata!AB482="",FALSE,TRUE),EXACT(Metadata!AB482,"256318"))</f>
        <v>0</v>
      </c>
      <c r="BP482" t="b">
        <f>IF(Metadata!AC482="",FALSE,TRUE)</f>
        <v>0</v>
      </c>
      <c r="BQ482" t="b">
        <f>IF(Metadata!AD482="",FALSE,TRUE)</f>
        <v>0</v>
      </c>
    </row>
    <row r="483" spans="1:69" x14ac:dyDescent="0.2">
      <c r="A483" s="4" t="e">
        <f ca="1">IF(B483=" "," ",HYPERLINK(CONCATENATE("#metadata!",ADDRESS(INDEX($AJ$2:$AJ$1001,MATCH(ROWS($AH$2:AH483),$AH$2:$AH$1001,0),0),2)),INDEX($AM$2:$AM$1001,MATCH(ROWS($AH$2:AH483),$AH$2:$AH$1001,0),0)))</f>
        <v>#N/A</v>
      </c>
      <c r="B483" s="5" t="e">
        <f ca="1">IF(OR(INDEX($AI$2:$AI$1001,MATCH(ROWS($AH$2:AH483),$AH$2:$AH$1001,0),1)&gt;=100000,INDEX($AO$1005:$BQ$1005,1,MATCH(COLUMNS($AO$1006:AO1006),$AO$1006:$BQ$1006,0))&gt;=100000), " ",IF(INDEX($AO$2:$BQ$1001,MATCH(ROWS($AH$2:AH483),$AH$2:$AH$1001,0),MATCH(COLUMNS($AO$1006:AO1006),$AO$1006:$BQ$1006,0)), HYPERLINK("#",""), HYPERLINK(CONCATENATE("#Metadata!", ADDRESS(INDEX($AJ$2:$AJ$1001,MATCH(ROWS($AH$2:AH483),$AH$2:$AH$1001,0),0), INDEX($AO$1004:$BQ$1004,1,MATCH(COLUMNS($AO$1006:AO1006),$AO$1006:$BQ$1006,0)))),"Fix")))</f>
        <v>#N/A</v>
      </c>
      <c r="C483" s="5" t="e">
        <f ca="1">IF(OR(INDEX($AI$2:$AI$1001,MATCH(ROWS($AH$2:AH483),$AH$2:$AH$1001,0),1)&gt;=100000,INDEX($AO$1005:$BQ$1005,1,MATCH(COLUMNS($AO$1006:AP1006),$AO$1006:$BQ$1006,0))&gt;=100000), " ",IF(INDEX($AO$2:$BQ$1001,MATCH(ROWS($AH$2:AH483),$AH$2:$AH$1001,0),MATCH(COLUMNS($AO$1006:AP1006),$AO$1006:$BQ$1006,0)), HYPERLINK("#",""), HYPERLINK(CONCATENATE("#Metadata!", ADDRESS(INDEX($AJ$2:$AJ$1001,MATCH(ROWS($AH$2:AH483),$AH$2:$AH$1001,0),0), INDEX($AO$1004:$BQ$1004,1,MATCH(COLUMNS($AO$1006:AP1006),$AO$1006:$BQ$1006,0)))),"Fix")))</f>
        <v>#N/A</v>
      </c>
      <c r="D483" s="5" t="e">
        <f ca="1">IF(OR(INDEX($AI$2:$AI$1001,MATCH(ROWS($AH$2:AH483),$AH$2:$AH$1001,0),1)&gt;=100000,INDEX($AO$1005:$BQ$1005,1,MATCH(COLUMNS($AO$1006:AQ1006),$AO$1006:$BQ$1006,0))&gt;=100000), " ",IF(INDEX($AO$2:$BQ$1001,MATCH(ROWS($AH$2:AH483),$AH$2:$AH$1001,0),MATCH(COLUMNS($AO$1006:AQ1006),$AO$1006:$BQ$1006,0)), HYPERLINK("#",""), HYPERLINK(CONCATENATE("#Metadata!", ADDRESS(INDEX($AJ$2:$AJ$1001,MATCH(ROWS($AH$2:AH483),$AH$2:$AH$1001,0),0), INDEX($AO$1004:$BQ$1004,1,MATCH(COLUMNS($AO$1006:AQ1006),$AO$1006:$BQ$1006,0)))),"Fix")))</f>
        <v>#N/A</v>
      </c>
      <c r="E483" s="5" t="e">
        <f ca="1">IF(OR(INDEX($AI$2:$AI$1001,MATCH(ROWS($AH$2:AH483),$AH$2:$AH$1001,0),1)&gt;=100000,INDEX($AO$1005:$BQ$1005,1,MATCH(COLUMNS($AO$1006:AR1006),$AO$1006:$BQ$1006,0))&gt;=100000), " ",IF(INDEX($AO$2:$BQ$1001,MATCH(ROWS($AH$2:AH483),$AH$2:$AH$1001,0),MATCH(COLUMNS($AO$1006:AR1006),$AO$1006:$BQ$1006,0)), HYPERLINK("#",""), HYPERLINK(CONCATENATE("#Metadata!", ADDRESS(INDEX($AJ$2:$AJ$1001,MATCH(ROWS($AH$2:AH483),$AH$2:$AH$1001,0),0), INDEX($AO$1004:$BQ$1004,1,MATCH(COLUMNS($AO$1006:AR1006),$AO$1006:$BQ$1006,0)))),"Fix")))</f>
        <v>#N/A</v>
      </c>
      <c r="F483" s="5" t="e">
        <f ca="1">IF(OR(INDEX($AI$2:$AI$1001,MATCH(ROWS($AH$2:AH483),$AH$2:$AH$1001,0),1)&gt;=100000,INDEX($AO$1005:$BQ$1005,1,MATCH(COLUMNS($AO$1006:AS1006),$AO$1006:$BQ$1006,0))&gt;=100000), " ",IF(INDEX($AO$2:$BQ$1001,MATCH(ROWS($AH$2:AH483),$AH$2:$AH$1001,0),MATCH(COLUMNS($AO$1006:AS1006),$AO$1006:$BQ$1006,0)), HYPERLINK("#",""), HYPERLINK(CONCATENATE("#Metadata!", ADDRESS(INDEX($AJ$2:$AJ$1001,MATCH(ROWS($AH$2:AH483),$AH$2:$AH$1001,0),0), INDEX($AO$1004:$BQ$1004,1,MATCH(COLUMNS($AO$1006:AS1006),$AO$1006:$BQ$1006,0)))),"Fix")))</f>
        <v>#N/A</v>
      </c>
      <c r="G483" s="5" t="e">
        <f ca="1">IF(OR(INDEX($AI$2:$AI$1001,MATCH(ROWS($AH$2:AH483),$AH$2:$AH$1001,0),1)&gt;=100000,INDEX($AO$1005:$BQ$1005,1,MATCH(COLUMNS($AO$1006:AT1006),$AO$1006:$BQ$1006,0))&gt;=100000), " ",IF(INDEX($AO$2:$BQ$1001,MATCH(ROWS($AH$2:AH483),$AH$2:$AH$1001,0),MATCH(COLUMNS($AO$1006:AT1006),$AO$1006:$BQ$1006,0)), HYPERLINK("#",""), HYPERLINK(CONCATENATE("#Metadata!", ADDRESS(INDEX($AJ$2:$AJ$1001,MATCH(ROWS($AH$2:AH483),$AH$2:$AH$1001,0),0), INDEX($AO$1004:$BQ$1004,1,MATCH(COLUMNS($AO$1006:AT1006),$AO$1006:$BQ$1006,0)))),"Fix")))</f>
        <v>#N/A</v>
      </c>
      <c r="H483" s="5" t="e">
        <f ca="1">IF(OR(INDEX($AI$2:$AI$1001,MATCH(ROWS($AH$2:AH483),$AH$2:$AH$1001,0),1)&gt;=100000,INDEX($AO$1005:$BQ$1005,1,MATCH(COLUMNS($AO$1006:AU1006),$AO$1006:$BQ$1006,0))&gt;=100000), " ",IF(INDEX($AO$2:$BQ$1001,MATCH(ROWS($AH$2:AH483),$AH$2:$AH$1001,0),MATCH(COLUMNS($AO$1006:AU1006),$AO$1006:$BQ$1006,0)), HYPERLINK("#",""), HYPERLINK(CONCATENATE("#Metadata!", ADDRESS(INDEX($AJ$2:$AJ$1001,MATCH(ROWS($AH$2:AH483),$AH$2:$AH$1001,0),0), INDEX($AO$1004:$BQ$1004,1,MATCH(COLUMNS($AO$1006:AU1006),$AO$1006:$BQ$1006,0)))),"Fix")))</f>
        <v>#N/A</v>
      </c>
      <c r="I483" s="5" t="e">
        <f ca="1">IF(OR(INDEX($AI$2:$AI$1001,MATCH(ROWS($AH$2:AH483),$AH$2:$AH$1001,0),1)&gt;=100000,INDEX($AO$1005:$BQ$1005,1,MATCH(COLUMNS($AO$1006:AV1006),$AO$1006:$BQ$1006,0))&gt;=100000), " ",IF(INDEX($AO$2:$BQ$1001,MATCH(ROWS($AH$2:AH483),$AH$2:$AH$1001,0),MATCH(COLUMNS($AO$1006:AV1006),$AO$1006:$BQ$1006,0)), HYPERLINK("#",""), HYPERLINK(CONCATENATE("#Metadata!", ADDRESS(INDEX($AJ$2:$AJ$1001,MATCH(ROWS($AH$2:AH483),$AH$2:$AH$1001,0),0), INDEX($AO$1004:$BQ$1004,1,MATCH(COLUMNS($AO$1006:AV1006),$AO$1006:$BQ$1006,0)))),"Fix")))</f>
        <v>#N/A</v>
      </c>
      <c r="J483" s="5" t="e">
        <f ca="1">IF(OR(INDEX($AI$2:$AI$1001,MATCH(ROWS($AH$2:AH483),$AH$2:$AH$1001,0),1)&gt;=100000,INDEX($AO$1005:$BQ$1005,1,MATCH(COLUMNS($AO$1006:AW1006),$AO$1006:$BQ$1006,0))&gt;=100000), " ",IF(INDEX($AO$2:$BQ$1001,MATCH(ROWS($AH$2:AH483),$AH$2:$AH$1001,0),MATCH(COLUMNS($AO$1006:AW1006),$AO$1006:$BQ$1006,0)), HYPERLINK("#",""), HYPERLINK(CONCATENATE("#Metadata!", ADDRESS(INDEX($AJ$2:$AJ$1001,MATCH(ROWS($AH$2:AH483),$AH$2:$AH$1001,0),0), INDEX($AO$1004:$BQ$1004,1,MATCH(COLUMNS($AO$1006:AW1006),$AO$1006:$BQ$1006,0)))),"Fix")))</f>
        <v>#N/A</v>
      </c>
      <c r="K483" s="5" t="e">
        <f ca="1">IF(OR(INDEX($AI$2:$AI$1001,MATCH(ROWS($AH$2:AH483),$AH$2:$AH$1001,0),1)&gt;=100000,INDEX($AO$1005:$BQ$1005,1,MATCH(COLUMNS($AO$1006:AX1006),$AO$1006:$BQ$1006,0))&gt;=100000), " ",IF(INDEX($AO$2:$BQ$1001,MATCH(ROWS($AH$2:AH483),$AH$2:$AH$1001,0),MATCH(COLUMNS($AO$1006:AX1006),$AO$1006:$BQ$1006,0)), HYPERLINK("#",""), HYPERLINK(CONCATENATE("#Metadata!", ADDRESS(INDEX($AJ$2:$AJ$1001,MATCH(ROWS($AH$2:AH483),$AH$2:$AH$1001,0),0), INDEX($AO$1004:$BQ$1004,1,MATCH(COLUMNS($AO$1006:AX1006),$AO$1006:$BQ$1006,0)))),"Fix")))</f>
        <v>#N/A</v>
      </c>
      <c r="L483" s="5" t="e">
        <f ca="1">IF(OR(INDEX($AI$2:$AI$1001,MATCH(ROWS($AH$2:AH483),$AH$2:$AH$1001,0),1)&gt;=100000,INDEX($AO$1005:$BQ$1005,1,MATCH(COLUMNS($AO$1006:AY1006),$AO$1006:$BQ$1006,0))&gt;=100000), " ",IF(INDEX($AO$2:$BQ$1001,MATCH(ROWS($AH$2:AH483),$AH$2:$AH$1001,0),MATCH(COLUMNS($AO$1006:AY1006),$AO$1006:$BQ$1006,0)), HYPERLINK("#",""), HYPERLINK(CONCATENATE("#Metadata!", ADDRESS(INDEX($AJ$2:$AJ$1001,MATCH(ROWS($AH$2:AH483),$AH$2:$AH$1001,0),0), INDEX($AO$1004:$BQ$1004,1,MATCH(COLUMNS($AO$1006:AY1006),$AO$1006:$BQ$1006,0)))),"Fix")))</f>
        <v>#N/A</v>
      </c>
      <c r="M483" s="5" t="e">
        <f ca="1">IF(OR(INDEX($AI$2:$AI$1001,MATCH(ROWS($AH$2:AH483),$AH$2:$AH$1001,0),1)&gt;=100000,INDEX($AO$1005:$BQ$1005,1,MATCH(COLUMNS($AO$1006:AZ1006),$AO$1006:$BQ$1006,0))&gt;=100000), " ",IF(INDEX($AO$2:$BQ$1001,MATCH(ROWS($AH$2:AH483),$AH$2:$AH$1001,0),MATCH(COLUMNS($AO$1006:AZ1006),$AO$1006:$BQ$1006,0)), HYPERLINK("#",""), HYPERLINK(CONCATENATE("#Metadata!", ADDRESS(INDEX($AJ$2:$AJ$1001,MATCH(ROWS($AH$2:AH483),$AH$2:$AH$1001,0),0), INDEX($AO$1004:$BQ$1004,1,MATCH(COLUMNS($AO$1006:AZ1006),$AO$1006:$BQ$1006,0)))),"Fix")))</f>
        <v>#N/A</v>
      </c>
      <c r="N483" s="5" t="e">
        <f ca="1">IF(OR(INDEX($AI$2:$AI$1001,MATCH(ROWS($AH$2:AH483),$AH$2:$AH$1001,0),1)&gt;=100000,INDEX($AO$1005:$BQ$1005,1,MATCH(COLUMNS($AO$1006:BA1006),$AO$1006:$BQ$1006,0))&gt;=100000), " ",IF(INDEX($AO$2:$BQ$1001,MATCH(ROWS($AH$2:AH483),$AH$2:$AH$1001,0),MATCH(COLUMNS($AO$1006:BA1006),$AO$1006:$BQ$1006,0)), HYPERLINK("#",""), HYPERLINK(CONCATENATE("#Metadata!", ADDRESS(INDEX($AJ$2:$AJ$1001,MATCH(ROWS($AH$2:AH483),$AH$2:$AH$1001,0),0), INDEX($AO$1004:$BQ$1004,1,MATCH(COLUMNS($AO$1006:BA1006),$AO$1006:$BQ$1006,0)))),"Fix")))</f>
        <v>#N/A</v>
      </c>
      <c r="O483" s="5" t="e">
        <f ca="1">IF(OR(INDEX($AI$2:$AI$1001,MATCH(ROWS($AH$2:AH483),$AH$2:$AH$1001,0),1)&gt;=100000,INDEX($AO$1005:$BQ$1005,1,MATCH(COLUMNS($AO$1006:BB1006),$AO$1006:$BQ$1006,0))&gt;=100000), " ",IF(INDEX($AO$2:$BQ$1001,MATCH(ROWS($AH$2:AH483),$AH$2:$AH$1001,0),MATCH(COLUMNS($AO$1006:BB1006),$AO$1006:$BQ$1006,0)), HYPERLINK("#",""), HYPERLINK(CONCATENATE("#Metadata!", ADDRESS(INDEX($AJ$2:$AJ$1001,MATCH(ROWS($AH$2:AH483),$AH$2:$AH$1001,0),0), INDEX($AO$1004:$BQ$1004,1,MATCH(COLUMNS($AO$1006:BB1006),$AO$1006:$BQ$1006,0)))),"Fix")))</f>
        <v>#N/A</v>
      </c>
      <c r="P483" s="5" t="e">
        <f ca="1">IF(OR(INDEX($AI$2:$AI$1001,MATCH(ROWS($AH$2:AH483),$AH$2:$AH$1001,0),1)&gt;=100000,INDEX($AO$1005:$BQ$1005,1,MATCH(COLUMNS($AO$1006:BC1006),$AO$1006:$BQ$1006,0))&gt;=100000), " ",IF(INDEX($AO$2:$BQ$1001,MATCH(ROWS($AH$2:AH483),$AH$2:$AH$1001,0),MATCH(COLUMNS($AO$1006:BC1006),$AO$1006:$BQ$1006,0)), HYPERLINK("#",""), HYPERLINK(CONCATENATE("#Metadata!", ADDRESS(INDEX($AJ$2:$AJ$1001,MATCH(ROWS($AH$2:AH483),$AH$2:$AH$1001,0),0), INDEX($AO$1004:$BQ$1004,1,MATCH(COLUMNS($AO$1006:BC1006),$AO$1006:$BQ$1006,0)))),"Fix")))</f>
        <v>#N/A</v>
      </c>
      <c r="Q483" s="5" t="e">
        <f ca="1">IF(OR(INDEX($AI$2:$AI$1001,MATCH(ROWS($AH$2:AH483),$AH$2:$AH$1001,0),1)&gt;=100000,INDEX($AO$1005:$BQ$1005,1,MATCH(COLUMNS($AO$1006:BD1006),$AO$1006:$BQ$1006,0))&gt;=100000), " ",IF(INDEX($AO$2:$BQ$1001,MATCH(ROWS($AH$2:AH483),$AH$2:$AH$1001,0),MATCH(COLUMNS($AO$1006:BD1006),$AO$1006:$BQ$1006,0)), HYPERLINK("#",""), HYPERLINK(CONCATENATE("#Metadata!", ADDRESS(INDEX($AJ$2:$AJ$1001,MATCH(ROWS($AH$2:AH483),$AH$2:$AH$1001,0),0), INDEX($AO$1004:$BQ$1004,1,MATCH(COLUMNS($AO$1006:BD1006),$AO$1006:$BQ$1006,0)))),"Fix")))</f>
        <v>#N/A</v>
      </c>
      <c r="R483" s="5" t="e">
        <f ca="1">IF(OR(INDEX($AI$2:$AI$1001,MATCH(ROWS($AH$2:AH483),$AH$2:$AH$1001,0),1)&gt;=100000,INDEX($AO$1005:$BQ$1005,1,MATCH(COLUMNS($AO$1006:BE1006),$AO$1006:$BQ$1006,0))&gt;=100000), " ",IF(INDEX($AO$2:$BQ$1001,MATCH(ROWS($AH$2:AH483),$AH$2:$AH$1001,0),MATCH(COLUMNS($AO$1006:BE1006),$AO$1006:$BQ$1006,0)), HYPERLINK("#",""), HYPERLINK(CONCATENATE("#Metadata!", ADDRESS(INDEX($AJ$2:$AJ$1001,MATCH(ROWS($AH$2:AH483),$AH$2:$AH$1001,0),0), INDEX($AO$1004:$BQ$1004,1,MATCH(COLUMNS($AO$1006:BE1006),$AO$1006:$BQ$1006,0)))),"Fix")))</f>
        <v>#N/A</v>
      </c>
      <c r="S483" s="5" t="e">
        <f ca="1">IF(OR(INDEX($AI$2:$AI$1001,MATCH(ROWS($AH$2:AH483),$AH$2:$AH$1001,0),1)&gt;=100000,INDEX($AO$1005:$BQ$1005,1,MATCH(COLUMNS($AO$1006:BF1006),$AO$1006:$BQ$1006,0))&gt;=100000), " ",IF(INDEX($AO$2:$BQ$1001,MATCH(ROWS($AH$2:AH483),$AH$2:$AH$1001,0),MATCH(COLUMNS($AO$1006:BF1006),$AO$1006:$BQ$1006,0)), HYPERLINK("#",""), HYPERLINK(CONCATENATE("#Metadata!", ADDRESS(INDEX($AJ$2:$AJ$1001,MATCH(ROWS($AH$2:AH483),$AH$2:$AH$1001,0),0), INDEX($AO$1004:$BQ$1004,1,MATCH(COLUMNS($AO$1006:BF1006),$AO$1006:$BQ$1006,0)))),"Fix")))</f>
        <v>#N/A</v>
      </c>
      <c r="T483" s="5" t="e">
        <f ca="1">IF(OR(INDEX($AI$2:$AI$1001,MATCH(ROWS($AH$2:AH483),$AH$2:$AH$1001,0),1)&gt;=100000,INDEX($AO$1005:$BQ$1005,1,MATCH(COLUMNS($AO$1006:BG1006),$AO$1006:$BQ$1006,0))&gt;=100000), " ",IF(INDEX($AO$2:$BQ$1001,MATCH(ROWS($AH$2:AH483),$AH$2:$AH$1001,0),MATCH(COLUMNS($AO$1006:BG1006),$AO$1006:$BQ$1006,0)), HYPERLINK("#",""), HYPERLINK(CONCATENATE("#Metadata!", ADDRESS(INDEX($AJ$2:$AJ$1001,MATCH(ROWS($AH$2:AH483),$AH$2:$AH$1001,0),0), INDEX($AO$1004:$BQ$1004,1,MATCH(COLUMNS($AO$1006:BG1006),$AO$1006:$BQ$1006,0)))),"Fix")))</f>
        <v>#N/A</v>
      </c>
      <c r="U483" s="5" t="e">
        <f ca="1">IF(OR(INDEX($AI$2:$AI$1001,MATCH(ROWS($AH$2:AH483),$AH$2:$AH$1001,0),1)&gt;=100000,INDEX($AO$1005:$BQ$1005,1,MATCH(COLUMNS($AO$1006:BH1006),$AO$1006:$BQ$1006,0))&gt;=100000), " ",IF(INDEX($AO$2:$BQ$1001,MATCH(ROWS($AH$2:AH483),$AH$2:$AH$1001,0),MATCH(COLUMNS($AO$1006:BH1006),$AO$1006:$BQ$1006,0)), HYPERLINK("#",""), HYPERLINK(CONCATENATE("#Metadata!", ADDRESS(INDEX($AJ$2:$AJ$1001,MATCH(ROWS($AH$2:AH483),$AH$2:$AH$1001,0),0), INDEX($AO$1004:$BQ$1004,1,MATCH(COLUMNS($AO$1006:BH1006),$AO$1006:$BQ$1006,0)))),"Fix")))</f>
        <v>#N/A</v>
      </c>
      <c r="V483" s="5" t="e">
        <f ca="1">IF(OR(INDEX($AI$2:$AI$1001,MATCH(ROWS($AH$2:AH483),$AH$2:$AH$1001,0),1)&gt;=100000,INDEX($AO$1005:$BQ$1005,1,MATCH(COLUMNS($AO$1006:BI1006),$AO$1006:$BQ$1006,0))&gt;=100000), " ",IF(INDEX($AO$2:$BQ$1001,MATCH(ROWS($AH$2:AH483),$AH$2:$AH$1001,0),MATCH(COLUMNS($AO$1006:BI1006),$AO$1006:$BQ$1006,0)), HYPERLINK("#",""), HYPERLINK(CONCATENATE("#Metadata!", ADDRESS(INDEX($AJ$2:$AJ$1001,MATCH(ROWS($AH$2:AH483),$AH$2:$AH$1001,0),0), INDEX($AO$1004:$BQ$1004,1,MATCH(COLUMNS($AO$1006:BI1006),$AO$1006:$BQ$1006,0)))),"Fix")))</f>
        <v>#N/A</v>
      </c>
      <c r="W483" s="5" t="e">
        <f ca="1">IF(OR(INDEX($AI$2:$AI$1001,MATCH(ROWS($AH$2:AH483),$AH$2:$AH$1001,0),1)&gt;=100000,INDEX($AO$1005:$BQ$1005,1,MATCH(COLUMNS($AO$1006:BJ1006),$AO$1006:$BQ$1006,0))&gt;=100000), " ",IF(INDEX($AO$2:$BQ$1001,MATCH(ROWS($AH$2:AH483),$AH$2:$AH$1001,0),MATCH(COLUMNS($AO$1006:BJ1006),$AO$1006:$BQ$1006,0)), HYPERLINK("#",""), HYPERLINK(CONCATENATE("#Metadata!", ADDRESS(INDEX($AJ$2:$AJ$1001,MATCH(ROWS($AH$2:AH483),$AH$2:$AH$1001,0),0), INDEX($AO$1004:$BQ$1004,1,MATCH(COLUMNS($AO$1006:BJ1006),$AO$1006:$BQ$1006,0)))),"Fix")))</f>
        <v>#N/A</v>
      </c>
      <c r="X483" s="5" t="e">
        <f ca="1">IF(OR(INDEX($AI$2:$AI$1001,MATCH(ROWS($AH$2:AH483),$AH$2:$AH$1001,0),1)&gt;=100000,INDEX($AO$1005:$BQ$1005,1,MATCH(COLUMNS($AO$1006:BK1006),$AO$1006:$BQ$1006,0))&gt;=100000), " ",IF(INDEX($AO$2:$BQ$1001,MATCH(ROWS($AH$2:AH483),$AH$2:$AH$1001,0),MATCH(COLUMNS($AO$1006:BK1006),$AO$1006:$BQ$1006,0)), HYPERLINK("#",""), HYPERLINK(CONCATENATE("#Metadata!", ADDRESS(INDEX($AJ$2:$AJ$1001,MATCH(ROWS($AH$2:AH483),$AH$2:$AH$1001,0),0), INDEX($AO$1004:$BQ$1004,1,MATCH(COLUMNS($AO$1006:BK1006),$AO$1006:$BQ$1006,0)))),"Fix")))</f>
        <v>#N/A</v>
      </c>
      <c r="Y483" s="5" t="e">
        <f ca="1">IF(OR(INDEX($AI$2:$AI$1001,MATCH(ROWS($AH$2:AH483),$AH$2:$AH$1001,0),1)&gt;=100000,INDEX($AO$1005:$BQ$1005,1,MATCH(COLUMNS($AO$1006:BL1006),$AO$1006:$BQ$1006,0))&gt;=100000), " ",IF(INDEX($AO$2:$BQ$1001,MATCH(ROWS($AH$2:AH483),$AH$2:$AH$1001,0),MATCH(COLUMNS($AO$1006:BL1006),$AO$1006:$BQ$1006,0)), HYPERLINK("#",""), HYPERLINK(CONCATENATE("#Metadata!", ADDRESS(INDEX($AJ$2:$AJ$1001,MATCH(ROWS($AH$2:AH483),$AH$2:$AH$1001,0),0), INDEX($AO$1004:$BQ$1004,1,MATCH(COLUMNS($AO$1006:BL1006),$AO$1006:$BQ$1006,0)))),"Fix")))</f>
        <v>#N/A</v>
      </c>
      <c r="Z483" s="5" t="e">
        <f ca="1">IF(OR(INDEX($AI$2:$AI$1001,MATCH(ROWS($AH$2:AH483),$AH$2:$AH$1001,0),1)&gt;=100000,INDEX($AO$1005:$BQ$1005,1,MATCH(COLUMNS($AO$1006:BM1006),$AO$1006:$BQ$1006,0))&gt;=100000), " ",IF(INDEX($AO$2:$BQ$1001,MATCH(ROWS($AH$2:AH483),$AH$2:$AH$1001,0),MATCH(COLUMNS($AO$1006:BM1006),$AO$1006:$BQ$1006,0)), HYPERLINK("#",""), HYPERLINK(CONCATENATE("#Metadata!", ADDRESS(INDEX($AJ$2:$AJ$1001,MATCH(ROWS($AH$2:AH483),$AH$2:$AH$1001,0),0), INDEX($AO$1004:$BQ$1004,1,MATCH(COLUMNS($AO$1006:BM1006),$AO$1006:$BQ$1006,0)))),"Fix")))</f>
        <v>#N/A</v>
      </c>
      <c r="AA483" s="5" t="e">
        <f ca="1">IF(OR(INDEX($AI$2:$AI$1001,MATCH(ROWS($AH$2:AH483),$AH$2:$AH$1001,0),1)&gt;=100000,INDEX($AO$1005:$BQ$1005,1,MATCH(COLUMNS($AO$1006:BN1006),$AO$1006:$BQ$1006,0))&gt;=100000), " ",IF(INDEX($AO$2:$BQ$1001,MATCH(ROWS($AH$2:AH483),$AH$2:$AH$1001,0),MATCH(COLUMNS($AO$1006:BN1006),$AO$1006:$BQ$1006,0)), HYPERLINK("#",""), HYPERLINK(CONCATENATE("#Metadata!", ADDRESS(INDEX($AJ$2:$AJ$1001,MATCH(ROWS($AH$2:AH483),$AH$2:$AH$1001,0),0), INDEX($AO$1004:$BQ$1004,1,MATCH(COLUMNS($AO$1006:BN1006),$AO$1006:$BQ$1006,0)))),"Fix")))</f>
        <v>#N/A</v>
      </c>
      <c r="AB483" s="5" t="e">
        <f ca="1">IF(OR(INDEX($AI$2:$AI$1001,MATCH(ROWS($AH$2:AH483),$AH$2:$AH$1001,0),1)&gt;=100000,INDEX($AO$1005:$BQ$1005,1,MATCH(COLUMNS($AO$1006:BO1006),$AO$1006:$BQ$1006,0))&gt;=100000), " ",IF(INDEX($AO$2:$BQ$1001,MATCH(ROWS($AH$2:AH483),$AH$2:$AH$1001,0),MATCH(COLUMNS($AO$1006:BO1006),$AO$1006:$BQ$1006,0)), HYPERLINK("#",""), HYPERLINK(CONCATENATE("#Metadata!", ADDRESS(INDEX($AJ$2:$AJ$1001,MATCH(ROWS($AH$2:AH483),$AH$2:$AH$1001,0),0), INDEX($AO$1004:$BQ$1004,1,MATCH(COLUMNS($AO$1006:BO1006),$AO$1006:$BQ$1006,0)))),"Fix")))</f>
        <v>#N/A</v>
      </c>
      <c r="AC483" s="5" t="e">
        <f ca="1">IF(OR(INDEX($AI$2:$AI$1001,MATCH(ROWS($AH$2:AH483),$AH$2:$AH$1001,0),1)&gt;=100000,INDEX($AO$1005:$BQ$1005,1,MATCH(COLUMNS($AO$1006:BP1006),$AO$1006:$BQ$1006,0))&gt;=100000), " ",IF(INDEX($AO$2:$BQ$1001,MATCH(ROWS($AH$2:AH483),$AH$2:$AH$1001,0),MATCH(COLUMNS($AO$1006:BP1006),$AO$1006:$BQ$1006,0)), HYPERLINK("#",""), HYPERLINK(CONCATENATE("#Metadata!", ADDRESS(INDEX($AJ$2:$AJ$1001,MATCH(ROWS($AH$2:AH483),$AH$2:$AH$1001,0),0), INDEX($AO$1004:$BQ$1004,1,MATCH(COLUMNS($AO$1006:BP1006),$AO$1006:$BQ$1006,0)))),"Fix")))</f>
        <v>#N/A</v>
      </c>
      <c r="AD483" s="5" t="e">
        <f ca="1">IF(OR(INDEX($AI$2:$AI$1001,MATCH(ROWS($AH$2:AH483),$AH$2:$AH$1001,0),1)&gt;=100000,INDEX($AO$1005:$BQ$1005,1,MATCH(COLUMNS($AO$1006:BQ1006),$AO$1006:$BQ$1006,0))&gt;=100000), " ",IF(INDEX($AO$2:$BQ$1001,MATCH(ROWS($AH$2:AH483),$AH$2:$AH$1001,0),MATCH(COLUMNS($AO$1006:BQ1006),$AO$1006:$BQ$1006,0)), HYPERLINK("#",""), HYPERLINK(CONCATENATE("#Metadata!", ADDRESS(INDEX($AJ$2:$AJ$1001,MATCH(ROWS($AH$2:AH483),$AH$2:$AH$1001,0),0), INDEX($AO$1004:$BQ$1004,1,MATCH(COLUMNS($AO$1006:BQ1006),$AO$1006:$BQ$1006,0)))),"Fix")))</f>
        <v>#REF!</v>
      </c>
      <c r="AH483">
        <f ca="1"/>
        <v>480</v>
      </c>
      <c r="AI483">
        <v>100483</v>
      </c>
      <c r="AJ483">
        <v>483</v>
      </c>
      <c r="AK483" t="b">
        <f t="shared" si="7"/>
        <v>1</v>
      </c>
      <c r="AL483" t="b">
        <f>COUNTBLANK(Metadata!B483:AD483)=COLUMNS(Metadata!B483:AD483)</f>
        <v>1</v>
      </c>
      <c r="AM483" t="str">
        <v/>
      </c>
      <c r="AO483" t="b">
        <f ca="1">AND(IF(Metadata!B483="",FALSE,TRUE),COUNTIF(Metadata!B:B, Metadata!B483) = 1,NOT(ISERROR(SUMPRODUCT(SEARCH(MID(Metadata!B483,ROW(INDIRECT("1:"&amp;LEN(Metadata!B483))), 1),"0123456789abcdefghijklmnopqrstuvwxyzABCDEFGHIJKLMNOPQRSTUVWXYZ.")))))</f>
        <v>0</v>
      </c>
      <c r="AP483" t="b">
        <f>IF(Metadata!C483="",FALSE,TRUE)</f>
        <v>0</v>
      </c>
      <c r="AQ483" t="b">
        <f>IF(Metadata!D483="",FALSE,TRUE)</f>
        <v>0</v>
      </c>
      <c r="AR483" t="b">
        <f ca="1">OR(AND(IF(Metadata!E483="",FALSE,TRUE),OR(EXACT(Metadata!E483,"not collected"),EXACT(Metadata!E483,"not provided"),EXACT(Metadata!E483,"restricted access"))),AND(IF(Metadata!E483="",FALSE,TRUE),AND(AND(IFERROR(INT(LEFT(Metadata!E483,4))&gt;1900,FALSE),IFERROR(INT(LEFT(Metadata!E483,4))&lt;=YEAR(NOW()),FALSE)), OR(MID(Metadata!E483,5,1)="", AND(AND(MID(Metadata!E483,5,1)="-",IFERROR(INT(MID(Metadata!E483,6,1))&gt;=0,FALSE),IFERROR(INT(MID(Metadata!E483,6,1))&lt;=1,FALSE),NOT(MID(Metadata!E483,7,1)=""),IFERROR(INT(MID(Metadata!E483,6,2))&gt;=1,FALSE),IFERROR(INT(MID(Metadata!E483,6,2))&lt;=12,FALSE)), OR(MID(Metadata!E483,8,1)="", AND(AND(MID(Metadata!E483,8,1)="-",IFERROR(INT(MID(Metadata!E483,9,1))&gt;=0,FALSE),IFERROR(INT(MID(Metadata!E483,9,1))&lt;=3,FALSE),NOT(MID(Metadata!E483,10,1)=""),IFERROR(INT(MID(Metadata!E483,9,2))&gt;=1,FALSE),IFERROR(INT(MID(Metadata!E483,9,2))&lt;=31,FALSE)), OR(MID(Metadata!E483,11,1)="", AND(AND(MID(Metadata!E483,11,1)=" ",IFERROR(INT(MID(Metadata!E483,12,1))&gt;=0,FALSE),IFERROR(INT(MID(Metadata!E483,12,1))&lt;=2,FALSE),NOT(MID(Metadata!E483,13,1)=""),IFERROR(INT(MID(Metadata!E483,12,2))&gt;=0,FALSE),IFERROR(INT(MID(Metadata!E483,12,2))&lt;=23,FALSE)), OR(MID(Metadata!E483,14,1)="", AND(AND(MID(Metadata!E483,14,1)=":",IFERROR(INT(MID(Metadata!E483,15,1))&gt;=0,FALSE),IFERROR(INT(MID(Metadata!E483,15,1))&lt;=5,FALSE),NOT(MID(Metadata!E483,16,1)=""),IFERROR(INT(MID(Metadata!E483,15,2))&gt;=0,FALSE),IFERROR(INT(MID(Metadata!E483,15,2))&lt;=59,FALSE)), OR(MID(Metadata!E483,17,1)="", AND(AND(MID(Metadata!E483,17,1)=":",IFERROR(INT(MID(Metadata!E483,18,1))&gt;=0,FALSE),IFERROR(INT(MID(Metadata!E483,18,1))&lt;=5,FALSE),NOT(MID(Metadata!E483,19,1)=""),IFERROR(INT(MID(Metadata!E483,18,2))&gt;=0,FALSE),IFERROR(INT(MID(Metadata!E483,18,2))&lt;=59,FALSE)), LEN(Metadata!E483)&lt;=19)))))))))))))</f>
        <v>0</v>
      </c>
      <c r="AS483" t="b">
        <f>IF(Metadata!F483="",FALSE,TRUE)</f>
        <v>0</v>
      </c>
      <c r="AT483" t="b">
        <f>OR(AND(IF(Metadata!G483="",FALSE,TRUE),OR(EXACT(Metadata!G483,"not collected"),EXACT(Metadata!G483,"not provided"))),AND(IF(Metadata!G483="",FALSE,TRUE),OR(EXACT(Metadata!G483,"TRUE"),EXACT(Metadata!G483,"FALSE"))))</f>
        <v>0</v>
      </c>
      <c r="AU483" t="b">
        <f>OR(AND(IF(Metadata!H483="",FALSE,TRUE),OR(EXACT(Metadata!H483,"not collected"),EXACT(Metadata!H483,"not provided"),EXACT(Metadata!H483,"restricted access"))),AND(IF(Metadata!H483="",FALSE,ISNUMBER(VALUE(Metadata!H483))),Metadata!H483&gt;=-413))</f>
        <v>0</v>
      </c>
      <c r="AV483" t="b">
        <f>AND(IF(Metadata!I483="",FALSE,TRUE),EXACT(Metadata!I483,"meters"))</f>
        <v>0</v>
      </c>
      <c r="AW483" t="b">
        <f>AND(IF(Metadata!J483="",FALSE,TRUE),EXACT(Metadata!J483,"free-living"))</f>
        <v>0</v>
      </c>
      <c r="AX483" t="b">
        <f>AND(IF(Metadata!K483="",FALSE,TRUE),OR(EXACT(Metadata!K483,"saline"),EXACT(Metadata!K483,"non-saline")))</f>
        <v>0</v>
      </c>
      <c r="AY483" t="b">
        <f>AND(IF(Metadata!L483="",FALSE,TRUE),OR(EXACT(Metadata!L483,"sub-surface (non-saline)"),EXACT(Metadata!L483,"surface (non-saline)"),EXACT(Metadata!L483,"water (non-saline)"),EXACT(Metadata!L483,"soil (non-saline)"),EXACT(Metadata!L483,"aerosol (non-saline)"),EXACT(Metadata!L483,"sediment (non-saline)"),EXACT(Metadata!L483,"surface (saline)"),EXACT(Metadata!L483,"water (saline)"),EXACT(Metadata!L483,"hypersaline (saline)"),EXACT(Metadata!L483,"aerosol (saline)"),EXACT(Metadata!L483,"sediment (saline)")))</f>
        <v>0</v>
      </c>
      <c r="AZ483" t="b">
        <f>IF(Metadata!M483="",FALSE,TRUE)</f>
        <v>0</v>
      </c>
      <c r="BA483" t="b">
        <f>IF(Metadata!N483="",FALSE,TRUE)</f>
        <v>0</v>
      </c>
      <c r="BB483" t="b">
        <f>IF(Metadata!O483="",FALSE,TRUE)</f>
        <v>0</v>
      </c>
      <c r="BC483" t="b">
        <f>AND(IF(Metadata!P483="",FALSE,TRUE),OR(EXACT(Metadata!P483,"air"),EXACT(Metadata!P483,"microbial mat/biofilm"),EXACT(Metadata!P483,"misc environment"),EXACT(Metadata!P483,"sediment"),EXACT(Metadata!P483,"soil"),EXACT(Metadata!P483,"wastewater/sludge"),EXACT(Metadata!P483,"water")))</f>
        <v>0</v>
      </c>
      <c r="BD483" t="b">
        <f>IF(Metadata!Q483="",FALSE,TRUE)</f>
        <v>0</v>
      </c>
      <c r="BE483" t="b">
        <f>IF(Metadata!R483="",FALSE,TRUE)</f>
        <v>0</v>
      </c>
      <c r="BF483" t="b">
        <f>OR(AND(IF(Metadata!S483="",FALSE,TRUE),OR(EXACT(Metadata!S483,"not collected"),EXACT(Metadata!S483,"not provided"),EXACT(Metadata!S483,"restricted access"))),AND(IF(Metadata!S483="",FALSE,ISNUMBER(VALUE(Metadata!S483))),Metadata!S483&gt;=-90,Metadata!S483&lt;=90))</f>
        <v>0</v>
      </c>
      <c r="BG483" t="b">
        <f>AND(IF(Metadata!T483="",FALSE,TRUE),EXACT(Metadata!T483,"Decimal degrees"))</f>
        <v>0</v>
      </c>
      <c r="BH483" t="b">
        <f>OR(AND(IF(Metadata!U483="",FALSE,TRUE),OR(EXACT(Metadata!U483,"not applicable"),EXACT(Metadata!U483,"not collected"))),IF(Metadata!U483="",FALSE,TRUE))</f>
        <v>0</v>
      </c>
      <c r="BI483" t="b">
        <f>OR(AND(IF(Metadata!V483="",FALSE,TRUE),OR(EXACT(Metadata!V483,"not collected"),EXACT(Metadata!V483,"not provided"),EXACT(Metadata!V483,"restricted access"))),AND(IF(Metadata!V483="",FALSE,ISNUMBER(VALUE(Metadata!V483))),Metadata!V483&gt;=-180,Metadata!V483&lt;=180))</f>
        <v>0</v>
      </c>
      <c r="BJ483" t="b">
        <f>AND(IF(Metadata!W483="",FALSE,TRUE),EXACT(Metadata!W483,"Decimal degrees"))</f>
        <v>0</v>
      </c>
      <c r="BK483" t="b">
        <f>IF(Metadata!X483="",FALSE,TRUE)</f>
        <v>0</v>
      </c>
      <c r="BL483" t="b">
        <f>OR(AND(IF(Metadata!Y483="",FALSE,TRUE),OR(EXACT(Metadata!Y483,"not collected"),EXACT(Metadata!Y483,"not provided"),EXACT(Metadata!Y483,"restricted access"))),AND(IF(Metadata!Y483="",FALSE,TRUE),OR(EXACT(Metadata!Y483,"TRUE"),EXACT(Metadata!Y483,"FALSE"))))</f>
        <v>0</v>
      </c>
      <c r="BM483" t="b">
        <f>OR(AND(IF(Metadata!Z483="",FALSE,TRUE),EXACT(Metadata!Z483,"not applicable")),AND(IF(Metadata!Z483="",FALSE,TRUE),OR(EXACT(Metadata!Z483,"beer"),EXACT(Metadata!Z483,"cheese"),EXACT(Metadata!Z483,"fresh water"),EXACT(Metadata!Z483,"marine sediment"),EXACT(Metadata!Z483,"sea water"),EXACT(Metadata!Z483,"sediment"),EXACT(Metadata!Z483,"soil"),EXACT(Metadata!Z483,"waste water"))))</f>
        <v>0</v>
      </c>
      <c r="BN483" t="b">
        <f>AND(IF(Metadata!AA483="",FALSE,TRUE),EXACT(Metadata!AA483,"metagenome"))</f>
        <v>0</v>
      </c>
      <c r="BO483" t="b">
        <f>AND(IF(Metadata!AB483="",FALSE,TRUE),EXACT(Metadata!AB483,"256318"))</f>
        <v>0</v>
      </c>
      <c r="BP483" t="b">
        <f>IF(Metadata!AC483="",FALSE,TRUE)</f>
        <v>0</v>
      </c>
      <c r="BQ483" t="b">
        <f>IF(Metadata!AD483="",FALSE,TRUE)</f>
        <v>0</v>
      </c>
    </row>
    <row r="484" spans="1:69" x14ac:dyDescent="0.2">
      <c r="A484" s="4" t="e">
        <f ca="1">IF(B484=" "," ",HYPERLINK(CONCATENATE("#metadata!",ADDRESS(INDEX($AJ$2:$AJ$1001,MATCH(ROWS($AH$2:AH484),$AH$2:$AH$1001,0),0),2)),INDEX($AM$2:$AM$1001,MATCH(ROWS($AH$2:AH484),$AH$2:$AH$1001,0),0)))</f>
        <v>#N/A</v>
      </c>
      <c r="B484" s="5" t="e">
        <f ca="1">IF(OR(INDEX($AI$2:$AI$1001,MATCH(ROWS($AH$2:AH484),$AH$2:$AH$1001,0),1)&gt;=100000,INDEX($AO$1005:$BQ$1005,1,MATCH(COLUMNS($AO$1006:AO1006),$AO$1006:$BQ$1006,0))&gt;=100000), " ",IF(INDEX($AO$2:$BQ$1001,MATCH(ROWS($AH$2:AH484),$AH$2:$AH$1001,0),MATCH(COLUMNS($AO$1006:AO1006),$AO$1006:$BQ$1006,0)), HYPERLINK("#",""), HYPERLINK(CONCATENATE("#Metadata!", ADDRESS(INDEX($AJ$2:$AJ$1001,MATCH(ROWS($AH$2:AH484),$AH$2:$AH$1001,0),0), INDEX($AO$1004:$BQ$1004,1,MATCH(COLUMNS($AO$1006:AO1006),$AO$1006:$BQ$1006,0)))),"Fix")))</f>
        <v>#N/A</v>
      </c>
      <c r="C484" s="5" t="e">
        <f ca="1">IF(OR(INDEX($AI$2:$AI$1001,MATCH(ROWS($AH$2:AH484),$AH$2:$AH$1001,0),1)&gt;=100000,INDEX($AO$1005:$BQ$1005,1,MATCH(COLUMNS($AO$1006:AP1006),$AO$1006:$BQ$1006,0))&gt;=100000), " ",IF(INDEX($AO$2:$BQ$1001,MATCH(ROWS($AH$2:AH484),$AH$2:$AH$1001,0),MATCH(COLUMNS($AO$1006:AP1006),$AO$1006:$BQ$1006,0)), HYPERLINK("#",""), HYPERLINK(CONCATENATE("#Metadata!", ADDRESS(INDEX($AJ$2:$AJ$1001,MATCH(ROWS($AH$2:AH484),$AH$2:$AH$1001,0),0), INDEX($AO$1004:$BQ$1004,1,MATCH(COLUMNS($AO$1006:AP1006),$AO$1006:$BQ$1006,0)))),"Fix")))</f>
        <v>#N/A</v>
      </c>
      <c r="D484" s="5" t="e">
        <f ca="1">IF(OR(INDEX($AI$2:$AI$1001,MATCH(ROWS($AH$2:AH484),$AH$2:$AH$1001,0),1)&gt;=100000,INDEX($AO$1005:$BQ$1005,1,MATCH(COLUMNS($AO$1006:AQ1006),$AO$1006:$BQ$1006,0))&gt;=100000), " ",IF(INDEX($AO$2:$BQ$1001,MATCH(ROWS($AH$2:AH484),$AH$2:$AH$1001,0),MATCH(COLUMNS($AO$1006:AQ1006),$AO$1006:$BQ$1006,0)), HYPERLINK("#",""), HYPERLINK(CONCATENATE("#Metadata!", ADDRESS(INDEX($AJ$2:$AJ$1001,MATCH(ROWS($AH$2:AH484),$AH$2:$AH$1001,0),0), INDEX($AO$1004:$BQ$1004,1,MATCH(COLUMNS($AO$1006:AQ1006),$AO$1006:$BQ$1006,0)))),"Fix")))</f>
        <v>#N/A</v>
      </c>
      <c r="E484" s="5" t="e">
        <f ca="1">IF(OR(INDEX($AI$2:$AI$1001,MATCH(ROWS($AH$2:AH484),$AH$2:$AH$1001,0),1)&gt;=100000,INDEX($AO$1005:$BQ$1005,1,MATCH(COLUMNS($AO$1006:AR1006),$AO$1006:$BQ$1006,0))&gt;=100000), " ",IF(INDEX($AO$2:$BQ$1001,MATCH(ROWS($AH$2:AH484),$AH$2:$AH$1001,0),MATCH(COLUMNS($AO$1006:AR1006),$AO$1006:$BQ$1006,0)), HYPERLINK("#",""), HYPERLINK(CONCATENATE("#Metadata!", ADDRESS(INDEX($AJ$2:$AJ$1001,MATCH(ROWS($AH$2:AH484),$AH$2:$AH$1001,0),0), INDEX($AO$1004:$BQ$1004,1,MATCH(COLUMNS($AO$1006:AR1006),$AO$1006:$BQ$1006,0)))),"Fix")))</f>
        <v>#N/A</v>
      </c>
      <c r="F484" s="5" t="e">
        <f ca="1">IF(OR(INDEX($AI$2:$AI$1001,MATCH(ROWS($AH$2:AH484),$AH$2:$AH$1001,0),1)&gt;=100000,INDEX($AO$1005:$BQ$1005,1,MATCH(COLUMNS($AO$1006:AS1006),$AO$1006:$BQ$1006,0))&gt;=100000), " ",IF(INDEX($AO$2:$BQ$1001,MATCH(ROWS($AH$2:AH484),$AH$2:$AH$1001,0),MATCH(COLUMNS($AO$1006:AS1006),$AO$1006:$BQ$1006,0)), HYPERLINK("#",""), HYPERLINK(CONCATENATE("#Metadata!", ADDRESS(INDEX($AJ$2:$AJ$1001,MATCH(ROWS($AH$2:AH484),$AH$2:$AH$1001,0),0), INDEX($AO$1004:$BQ$1004,1,MATCH(COLUMNS($AO$1006:AS1006),$AO$1006:$BQ$1006,0)))),"Fix")))</f>
        <v>#N/A</v>
      </c>
      <c r="G484" s="5" t="e">
        <f ca="1">IF(OR(INDEX($AI$2:$AI$1001,MATCH(ROWS($AH$2:AH484),$AH$2:$AH$1001,0),1)&gt;=100000,INDEX($AO$1005:$BQ$1005,1,MATCH(COLUMNS($AO$1006:AT1006),$AO$1006:$BQ$1006,0))&gt;=100000), " ",IF(INDEX($AO$2:$BQ$1001,MATCH(ROWS($AH$2:AH484),$AH$2:$AH$1001,0),MATCH(COLUMNS($AO$1006:AT1006),$AO$1006:$BQ$1006,0)), HYPERLINK("#",""), HYPERLINK(CONCATENATE("#Metadata!", ADDRESS(INDEX($AJ$2:$AJ$1001,MATCH(ROWS($AH$2:AH484),$AH$2:$AH$1001,0),0), INDEX($AO$1004:$BQ$1004,1,MATCH(COLUMNS($AO$1006:AT1006),$AO$1006:$BQ$1006,0)))),"Fix")))</f>
        <v>#N/A</v>
      </c>
      <c r="H484" s="5" t="e">
        <f ca="1">IF(OR(INDEX($AI$2:$AI$1001,MATCH(ROWS($AH$2:AH484),$AH$2:$AH$1001,0),1)&gt;=100000,INDEX($AO$1005:$BQ$1005,1,MATCH(COLUMNS($AO$1006:AU1006),$AO$1006:$BQ$1006,0))&gt;=100000), " ",IF(INDEX($AO$2:$BQ$1001,MATCH(ROWS($AH$2:AH484),$AH$2:$AH$1001,0),MATCH(COLUMNS($AO$1006:AU1006),$AO$1006:$BQ$1006,0)), HYPERLINK("#",""), HYPERLINK(CONCATENATE("#Metadata!", ADDRESS(INDEX($AJ$2:$AJ$1001,MATCH(ROWS($AH$2:AH484),$AH$2:$AH$1001,0),0), INDEX($AO$1004:$BQ$1004,1,MATCH(COLUMNS($AO$1006:AU1006),$AO$1006:$BQ$1006,0)))),"Fix")))</f>
        <v>#N/A</v>
      </c>
      <c r="I484" s="5" t="e">
        <f ca="1">IF(OR(INDEX($AI$2:$AI$1001,MATCH(ROWS($AH$2:AH484),$AH$2:$AH$1001,0),1)&gt;=100000,INDEX($AO$1005:$BQ$1005,1,MATCH(COLUMNS($AO$1006:AV1006),$AO$1006:$BQ$1006,0))&gt;=100000), " ",IF(INDEX($AO$2:$BQ$1001,MATCH(ROWS($AH$2:AH484),$AH$2:$AH$1001,0),MATCH(COLUMNS($AO$1006:AV1006),$AO$1006:$BQ$1006,0)), HYPERLINK("#",""), HYPERLINK(CONCATENATE("#Metadata!", ADDRESS(INDEX($AJ$2:$AJ$1001,MATCH(ROWS($AH$2:AH484),$AH$2:$AH$1001,0),0), INDEX($AO$1004:$BQ$1004,1,MATCH(COLUMNS($AO$1006:AV1006),$AO$1006:$BQ$1006,0)))),"Fix")))</f>
        <v>#N/A</v>
      </c>
      <c r="J484" s="5" t="e">
        <f ca="1">IF(OR(INDEX($AI$2:$AI$1001,MATCH(ROWS($AH$2:AH484),$AH$2:$AH$1001,0),1)&gt;=100000,INDEX($AO$1005:$BQ$1005,1,MATCH(COLUMNS($AO$1006:AW1006),$AO$1006:$BQ$1006,0))&gt;=100000), " ",IF(INDEX($AO$2:$BQ$1001,MATCH(ROWS($AH$2:AH484),$AH$2:$AH$1001,0),MATCH(COLUMNS($AO$1006:AW1006),$AO$1006:$BQ$1006,0)), HYPERLINK("#",""), HYPERLINK(CONCATENATE("#Metadata!", ADDRESS(INDEX($AJ$2:$AJ$1001,MATCH(ROWS($AH$2:AH484),$AH$2:$AH$1001,0),0), INDEX($AO$1004:$BQ$1004,1,MATCH(COLUMNS($AO$1006:AW1006),$AO$1006:$BQ$1006,0)))),"Fix")))</f>
        <v>#N/A</v>
      </c>
      <c r="K484" s="5" t="e">
        <f ca="1">IF(OR(INDEX($AI$2:$AI$1001,MATCH(ROWS($AH$2:AH484),$AH$2:$AH$1001,0),1)&gt;=100000,INDEX($AO$1005:$BQ$1005,1,MATCH(COLUMNS($AO$1006:AX1006),$AO$1006:$BQ$1006,0))&gt;=100000), " ",IF(INDEX($AO$2:$BQ$1001,MATCH(ROWS($AH$2:AH484),$AH$2:$AH$1001,0),MATCH(COLUMNS($AO$1006:AX1006),$AO$1006:$BQ$1006,0)), HYPERLINK("#",""), HYPERLINK(CONCATENATE("#Metadata!", ADDRESS(INDEX($AJ$2:$AJ$1001,MATCH(ROWS($AH$2:AH484),$AH$2:$AH$1001,0),0), INDEX($AO$1004:$BQ$1004,1,MATCH(COLUMNS($AO$1006:AX1006),$AO$1006:$BQ$1006,0)))),"Fix")))</f>
        <v>#N/A</v>
      </c>
      <c r="L484" s="5" t="e">
        <f ca="1">IF(OR(INDEX($AI$2:$AI$1001,MATCH(ROWS($AH$2:AH484),$AH$2:$AH$1001,0),1)&gt;=100000,INDEX($AO$1005:$BQ$1005,1,MATCH(COLUMNS($AO$1006:AY1006),$AO$1006:$BQ$1006,0))&gt;=100000), " ",IF(INDEX($AO$2:$BQ$1001,MATCH(ROWS($AH$2:AH484),$AH$2:$AH$1001,0),MATCH(COLUMNS($AO$1006:AY1006),$AO$1006:$BQ$1006,0)), HYPERLINK("#",""), HYPERLINK(CONCATENATE("#Metadata!", ADDRESS(INDEX($AJ$2:$AJ$1001,MATCH(ROWS($AH$2:AH484),$AH$2:$AH$1001,0),0), INDEX($AO$1004:$BQ$1004,1,MATCH(COLUMNS($AO$1006:AY1006),$AO$1006:$BQ$1006,0)))),"Fix")))</f>
        <v>#N/A</v>
      </c>
      <c r="M484" s="5" t="e">
        <f ca="1">IF(OR(INDEX($AI$2:$AI$1001,MATCH(ROWS($AH$2:AH484),$AH$2:$AH$1001,0),1)&gt;=100000,INDEX($AO$1005:$BQ$1005,1,MATCH(COLUMNS($AO$1006:AZ1006),$AO$1006:$BQ$1006,0))&gt;=100000), " ",IF(INDEX($AO$2:$BQ$1001,MATCH(ROWS($AH$2:AH484),$AH$2:$AH$1001,0),MATCH(COLUMNS($AO$1006:AZ1006),$AO$1006:$BQ$1006,0)), HYPERLINK("#",""), HYPERLINK(CONCATENATE("#Metadata!", ADDRESS(INDEX($AJ$2:$AJ$1001,MATCH(ROWS($AH$2:AH484),$AH$2:$AH$1001,0),0), INDEX($AO$1004:$BQ$1004,1,MATCH(COLUMNS($AO$1006:AZ1006),$AO$1006:$BQ$1006,0)))),"Fix")))</f>
        <v>#N/A</v>
      </c>
      <c r="N484" s="5" t="e">
        <f ca="1">IF(OR(INDEX($AI$2:$AI$1001,MATCH(ROWS($AH$2:AH484),$AH$2:$AH$1001,0),1)&gt;=100000,INDEX($AO$1005:$BQ$1005,1,MATCH(COLUMNS($AO$1006:BA1006),$AO$1006:$BQ$1006,0))&gt;=100000), " ",IF(INDEX($AO$2:$BQ$1001,MATCH(ROWS($AH$2:AH484),$AH$2:$AH$1001,0),MATCH(COLUMNS($AO$1006:BA1006),$AO$1006:$BQ$1006,0)), HYPERLINK("#",""), HYPERLINK(CONCATENATE("#Metadata!", ADDRESS(INDEX($AJ$2:$AJ$1001,MATCH(ROWS($AH$2:AH484),$AH$2:$AH$1001,0),0), INDEX($AO$1004:$BQ$1004,1,MATCH(COLUMNS($AO$1006:BA1006),$AO$1006:$BQ$1006,0)))),"Fix")))</f>
        <v>#N/A</v>
      </c>
      <c r="O484" s="5" t="e">
        <f ca="1">IF(OR(INDEX($AI$2:$AI$1001,MATCH(ROWS($AH$2:AH484),$AH$2:$AH$1001,0),1)&gt;=100000,INDEX($AO$1005:$BQ$1005,1,MATCH(COLUMNS($AO$1006:BB1006),$AO$1006:$BQ$1006,0))&gt;=100000), " ",IF(INDEX($AO$2:$BQ$1001,MATCH(ROWS($AH$2:AH484),$AH$2:$AH$1001,0),MATCH(COLUMNS($AO$1006:BB1006),$AO$1006:$BQ$1006,0)), HYPERLINK("#",""), HYPERLINK(CONCATENATE("#Metadata!", ADDRESS(INDEX($AJ$2:$AJ$1001,MATCH(ROWS($AH$2:AH484),$AH$2:$AH$1001,0),0), INDEX($AO$1004:$BQ$1004,1,MATCH(COLUMNS($AO$1006:BB1006),$AO$1006:$BQ$1006,0)))),"Fix")))</f>
        <v>#N/A</v>
      </c>
      <c r="P484" s="5" t="e">
        <f ca="1">IF(OR(INDEX($AI$2:$AI$1001,MATCH(ROWS($AH$2:AH484),$AH$2:$AH$1001,0),1)&gt;=100000,INDEX($AO$1005:$BQ$1005,1,MATCH(COLUMNS($AO$1006:BC1006),$AO$1006:$BQ$1006,0))&gt;=100000), " ",IF(INDEX($AO$2:$BQ$1001,MATCH(ROWS($AH$2:AH484),$AH$2:$AH$1001,0),MATCH(COLUMNS($AO$1006:BC1006),$AO$1006:$BQ$1006,0)), HYPERLINK("#",""), HYPERLINK(CONCATENATE("#Metadata!", ADDRESS(INDEX($AJ$2:$AJ$1001,MATCH(ROWS($AH$2:AH484),$AH$2:$AH$1001,0),0), INDEX($AO$1004:$BQ$1004,1,MATCH(COLUMNS($AO$1006:BC1006),$AO$1006:$BQ$1006,0)))),"Fix")))</f>
        <v>#N/A</v>
      </c>
      <c r="Q484" s="5" t="e">
        <f ca="1">IF(OR(INDEX($AI$2:$AI$1001,MATCH(ROWS($AH$2:AH484),$AH$2:$AH$1001,0),1)&gt;=100000,INDEX($AO$1005:$BQ$1005,1,MATCH(COLUMNS($AO$1006:BD1006),$AO$1006:$BQ$1006,0))&gt;=100000), " ",IF(INDEX($AO$2:$BQ$1001,MATCH(ROWS($AH$2:AH484),$AH$2:$AH$1001,0),MATCH(COLUMNS($AO$1006:BD1006),$AO$1006:$BQ$1006,0)), HYPERLINK("#",""), HYPERLINK(CONCATENATE("#Metadata!", ADDRESS(INDEX($AJ$2:$AJ$1001,MATCH(ROWS($AH$2:AH484),$AH$2:$AH$1001,0),0), INDEX($AO$1004:$BQ$1004,1,MATCH(COLUMNS($AO$1006:BD1006),$AO$1006:$BQ$1006,0)))),"Fix")))</f>
        <v>#N/A</v>
      </c>
      <c r="R484" s="5" t="e">
        <f ca="1">IF(OR(INDEX($AI$2:$AI$1001,MATCH(ROWS($AH$2:AH484),$AH$2:$AH$1001,0),1)&gt;=100000,INDEX($AO$1005:$BQ$1005,1,MATCH(COLUMNS($AO$1006:BE1006),$AO$1006:$BQ$1006,0))&gt;=100000), " ",IF(INDEX($AO$2:$BQ$1001,MATCH(ROWS($AH$2:AH484),$AH$2:$AH$1001,0),MATCH(COLUMNS($AO$1006:BE1006),$AO$1006:$BQ$1006,0)), HYPERLINK("#",""), HYPERLINK(CONCATENATE("#Metadata!", ADDRESS(INDEX($AJ$2:$AJ$1001,MATCH(ROWS($AH$2:AH484),$AH$2:$AH$1001,0),0), INDEX($AO$1004:$BQ$1004,1,MATCH(COLUMNS($AO$1006:BE1006),$AO$1006:$BQ$1006,0)))),"Fix")))</f>
        <v>#N/A</v>
      </c>
      <c r="S484" s="5" t="e">
        <f ca="1">IF(OR(INDEX($AI$2:$AI$1001,MATCH(ROWS($AH$2:AH484),$AH$2:$AH$1001,0),1)&gt;=100000,INDEX($AO$1005:$BQ$1005,1,MATCH(COLUMNS($AO$1006:BF1006),$AO$1006:$BQ$1006,0))&gt;=100000), " ",IF(INDEX($AO$2:$BQ$1001,MATCH(ROWS($AH$2:AH484),$AH$2:$AH$1001,0),MATCH(COLUMNS($AO$1006:BF1006),$AO$1006:$BQ$1006,0)), HYPERLINK("#",""), HYPERLINK(CONCATENATE("#Metadata!", ADDRESS(INDEX($AJ$2:$AJ$1001,MATCH(ROWS($AH$2:AH484),$AH$2:$AH$1001,0),0), INDEX($AO$1004:$BQ$1004,1,MATCH(COLUMNS($AO$1006:BF1006),$AO$1006:$BQ$1006,0)))),"Fix")))</f>
        <v>#N/A</v>
      </c>
      <c r="T484" s="5" t="e">
        <f ca="1">IF(OR(INDEX($AI$2:$AI$1001,MATCH(ROWS($AH$2:AH484),$AH$2:$AH$1001,0),1)&gt;=100000,INDEX($AO$1005:$BQ$1005,1,MATCH(COLUMNS($AO$1006:BG1006),$AO$1006:$BQ$1006,0))&gt;=100000), " ",IF(INDEX($AO$2:$BQ$1001,MATCH(ROWS($AH$2:AH484),$AH$2:$AH$1001,0),MATCH(COLUMNS($AO$1006:BG1006),$AO$1006:$BQ$1006,0)), HYPERLINK("#",""), HYPERLINK(CONCATENATE("#Metadata!", ADDRESS(INDEX($AJ$2:$AJ$1001,MATCH(ROWS($AH$2:AH484),$AH$2:$AH$1001,0),0), INDEX($AO$1004:$BQ$1004,1,MATCH(COLUMNS($AO$1006:BG1006),$AO$1006:$BQ$1006,0)))),"Fix")))</f>
        <v>#N/A</v>
      </c>
      <c r="U484" s="5" t="e">
        <f ca="1">IF(OR(INDEX($AI$2:$AI$1001,MATCH(ROWS($AH$2:AH484),$AH$2:$AH$1001,0),1)&gt;=100000,INDEX($AO$1005:$BQ$1005,1,MATCH(COLUMNS($AO$1006:BH1006),$AO$1006:$BQ$1006,0))&gt;=100000), " ",IF(INDEX($AO$2:$BQ$1001,MATCH(ROWS($AH$2:AH484),$AH$2:$AH$1001,0),MATCH(COLUMNS($AO$1006:BH1006),$AO$1006:$BQ$1006,0)), HYPERLINK("#",""), HYPERLINK(CONCATENATE("#Metadata!", ADDRESS(INDEX($AJ$2:$AJ$1001,MATCH(ROWS($AH$2:AH484),$AH$2:$AH$1001,0),0), INDEX($AO$1004:$BQ$1004,1,MATCH(COLUMNS($AO$1006:BH1006),$AO$1006:$BQ$1006,0)))),"Fix")))</f>
        <v>#N/A</v>
      </c>
      <c r="V484" s="5" t="e">
        <f ca="1">IF(OR(INDEX($AI$2:$AI$1001,MATCH(ROWS($AH$2:AH484),$AH$2:$AH$1001,0),1)&gt;=100000,INDEX($AO$1005:$BQ$1005,1,MATCH(COLUMNS($AO$1006:BI1006),$AO$1006:$BQ$1006,0))&gt;=100000), " ",IF(INDEX($AO$2:$BQ$1001,MATCH(ROWS($AH$2:AH484),$AH$2:$AH$1001,0),MATCH(COLUMNS($AO$1006:BI1006),$AO$1006:$BQ$1006,0)), HYPERLINK("#",""), HYPERLINK(CONCATENATE("#Metadata!", ADDRESS(INDEX($AJ$2:$AJ$1001,MATCH(ROWS($AH$2:AH484),$AH$2:$AH$1001,0),0), INDEX($AO$1004:$BQ$1004,1,MATCH(COLUMNS($AO$1006:BI1006),$AO$1006:$BQ$1006,0)))),"Fix")))</f>
        <v>#N/A</v>
      </c>
      <c r="W484" s="5" t="e">
        <f ca="1">IF(OR(INDEX($AI$2:$AI$1001,MATCH(ROWS($AH$2:AH484),$AH$2:$AH$1001,0),1)&gt;=100000,INDEX($AO$1005:$BQ$1005,1,MATCH(COLUMNS($AO$1006:BJ1006),$AO$1006:$BQ$1006,0))&gt;=100000), " ",IF(INDEX($AO$2:$BQ$1001,MATCH(ROWS($AH$2:AH484),$AH$2:$AH$1001,0),MATCH(COLUMNS($AO$1006:BJ1006),$AO$1006:$BQ$1006,0)), HYPERLINK("#",""), HYPERLINK(CONCATENATE("#Metadata!", ADDRESS(INDEX($AJ$2:$AJ$1001,MATCH(ROWS($AH$2:AH484),$AH$2:$AH$1001,0),0), INDEX($AO$1004:$BQ$1004,1,MATCH(COLUMNS($AO$1006:BJ1006),$AO$1006:$BQ$1006,0)))),"Fix")))</f>
        <v>#N/A</v>
      </c>
      <c r="X484" s="5" t="e">
        <f ca="1">IF(OR(INDEX($AI$2:$AI$1001,MATCH(ROWS($AH$2:AH484),$AH$2:$AH$1001,0),1)&gt;=100000,INDEX($AO$1005:$BQ$1005,1,MATCH(COLUMNS($AO$1006:BK1006),$AO$1006:$BQ$1006,0))&gt;=100000), " ",IF(INDEX($AO$2:$BQ$1001,MATCH(ROWS($AH$2:AH484),$AH$2:$AH$1001,0),MATCH(COLUMNS($AO$1006:BK1006),$AO$1006:$BQ$1006,0)), HYPERLINK("#",""), HYPERLINK(CONCATENATE("#Metadata!", ADDRESS(INDEX($AJ$2:$AJ$1001,MATCH(ROWS($AH$2:AH484),$AH$2:$AH$1001,0),0), INDEX($AO$1004:$BQ$1004,1,MATCH(COLUMNS($AO$1006:BK1006),$AO$1006:$BQ$1006,0)))),"Fix")))</f>
        <v>#N/A</v>
      </c>
      <c r="Y484" s="5" t="e">
        <f ca="1">IF(OR(INDEX($AI$2:$AI$1001,MATCH(ROWS($AH$2:AH484),$AH$2:$AH$1001,0),1)&gt;=100000,INDEX($AO$1005:$BQ$1005,1,MATCH(COLUMNS($AO$1006:BL1006),$AO$1006:$BQ$1006,0))&gt;=100000), " ",IF(INDEX($AO$2:$BQ$1001,MATCH(ROWS($AH$2:AH484),$AH$2:$AH$1001,0),MATCH(COLUMNS($AO$1006:BL1006),$AO$1006:$BQ$1006,0)), HYPERLINK("#",""), HYPERLINK(CONCATENATE("#Metadata!", ADDRESS(INDEX($AJ$2:$AJ$1001,MATCH(ROWS($AH$2:AH484),$AH$2:$AH$1001,0),0), INDEX($AO$1004:$BQ$1004,1,MATCH(COLUMNS($AO$1006:BL1006),$AO$1006:$BQ$1006,0)))),"Fix")))</f>
        <v>#N/A</v>
      </c>
      <c r="Z484" s="5" t="e">
        <f ca="1">IF(OR(INDEX($AI$2:$AI$1001,MATCH(ROWS($AH$2:AH484),$AH$2:$AH$1001,0),1)&gt;=100000,INDEX($AO$1005:$BQ$1005,1,MATCH(COLUMNS($AO$1006:BM1006),$AO$1006:$BQ$1006,0))&gt;=100000), " ",IF(INDEX($AO$2:$BQ$1001,MATCH(ROWS($AH$2:AH484),$AH$2:$AH$1001,0),MATCH(COLUMNS($AO$1006:BM1006),$AO$1006:$BQ$1006,0)), HYPERLINK("#",""), HYPERLINK(CONCATENATE("#Metadata!", ADDRESS(INDEX($AJ$2:$AJ$1001,MATCH(ROWS($AH$2:AH484),$AH$2:$AH$1001,0),0), INDEX($AO$1004:$BQ$1004,1,MATCH(COLUMNS($AO$1006:BM1006),$AO$1006:$BQ$1006,0)))),"Fix")))</f>
        <v>#N/A</v>
      </c>
      <c r="AA484" s="5" t="e">
        <f ca="1">IF(OR(INDEX($AI$2:$AI$1001,MATCH(ROWS($AH$2:AH484),$AH$2:$AH$1001,0),1)&gt;=100000,INDEX($AO$1005:$BQ$1005,1,MATCH(COLUMNS($AO$1006:BN1006),$AO$1006:$BQ$1006,0))&gt;=100000), " ",IF(INDEX($AO$2:$BQ$1001,MATCH(ROWS($AH$2:AH484),$AH$2:$AH$1001,0),MATCH(COLUMNS($AO$1006:BN1006),$AO$1006:$BQ$1006,0)), HYPERLINK("#",""), HYPERLINK(CONCATENATE("#Metadata!", ADDRESS(INDEX($AJ$2:$AJ$1001,MATCH(ROWS($AH$2:AH484),$AH$2:$AH$1001,0),0), INDEX($AO$1004:$BQ$1004,1,MATCH(COLUMNS($AO$1006:BN1006),$AO$1006:$BQ$1006,0)))),"Fix")))</f>
        <v>#N/A</v>
      </c>
      <c r="AB484" s="5" t="e">
        <f ca="1">IF(OR(INDEX($AI$2:$AI$1001,MATCH(ROWS($AH$2:AH484),$AH$2:$AH$1001,0),1)&gt;=100000,INDEX($AO$1005:$BQ$1005,1,MATCH(COLUMNS($AO$1006:BO1006),$AO$1006:$BQ$1006,0))&gt;=100000), " ",IF(INDEX($AO$2:$BQ$1001,MATCH(ROWS($AH$2:AH484),$AH$2:$AH$1001,0),MATCH(COLUMNS($AO$1006:BO1006),$AO$1006:$BQ$1006,0)), HYPERLINK("#",""), HYPERLINK(CONCATENATE("#Metadata!", ADDRESS(INDEX($AJ$2:$AJ$1001,MATCH(ROWS($AH$2:AH484),$AH$2:$AH$1001,0),0), INDEX($AO$1004:$BQ$1004,1,MATCH(COLUMNS($AO$1006:BO1006),$AO$1006:$BQ$1006,0)))),"Fix")))</f>
        <v>#N/A</v>
      </c>
      <c r="AC484" s="5" t="e">
        <f ca="1">IF(OR(INDEX($AI$2:$AI$1001,MATCH(ROWS($AH$2:AH484),$AH$2:$AH$1001,0),1)&gt;=100000,INDEX($AO$1005:$BQ$1005,1,MATCH(COLUMNS($AO$1006:BP1006),$AO$1006:$BQ$1006,0))&gt;=100000), " ",IF(INDEX($AO$2:$BQ$1001,MATCH(ROWS($AH$2:AH484),$AH$2:$AH$1001,0),MATCH(COLUMNS($AO$1006:BP1006),$AO$1006:$BQ$1006,0)), HYPERLINK("#",""), HYPERLINK(CONCATENATE("#Metadata!", ADDRESS(INDEX($AJ$2:$AJ$1001,MATCH(ROWS($AH$2:AH484),$AH$2:$AH$1001,0),0), INDEX($AO$1004:$BQ$1004,1,MATCH(COLUMNS($AO$1006:BP1006),$AO$1006:$BQ$1006,0)))),"Fix")))</f>
        <v>#N/A</v>
      </c>
      <c r="AD484" s="5" t="e">
        <f ca="1">IF(OR(INDEX($AI$2:$AI$1001,MATCH(ROWS($AH$2:AH484),$AH$2:$AH$1001,0),1)&gt;=100000,INDEX($AO$1005:$BQ$1005,1,MATCH(COLUMNS($AO$1006:BQ1006),$AO$1006:$BQ$1006,0))&gt;=100000), " ",IF(INDEX($AO$2:$BQ$1001,MATCH(ROWS($AH$2:AH484),$AH$2:$AH$1001,0),MATCH(COLUMNS($AO$1006:BQ1006),$AO$1006:$BQ$1006,0)), HYPERLINK("#",""), HYPERLINK(CONCATENATE("#Metadata!", ADDRESS(INDEX($AJ$2:$AJ$1001,MATCH(ROWS($AH$2:AH484),$AH$2:$AH$1001,0),0), INDEX($AO$1004:$BQ$1004,1,MATCH(COLUMNS($AO$1006:BQ1006),$AO$1006:$BQ$1006,0)))),"Fix")))</f>
        <v>#REF!</v>
      </c>
      <c r="AH484">
        <f ca="1"/>
        <v>481</v>
      </c>
      <c r="AI484">
        <v>100484</v>
      </c>
      <c r="AJ484">
        <v>484</v>
      </c>
      <c r="AK484" t="b">
        <f t="shared" si="7"/>
        <v>1</v>
      </c>
      <c r="AL484" t="b">
        <f>COUNTBLANK(Metadata!B484:AD484)=COLUMNS(Metadata!B484:AD484)</f>
        <v>1</v>
      </c>
      <c r="AM484" t="str">
        <v/>
      </c>
      <c r="AO484" t="b">
        <f ca="1">AND(IF(Metadata!B484="",FALSE,TRUE),COUNTIF(Metadata!B:B, Metadata!B484) = 1,NOT(ISERROR(SUMPRODUCT(SEARCH(MID(Metadata!B484,ROW(INDIRECT("1:"&amp;LEN(Metadata!B484))), 1),"0123456789abcdefghijklmnopqrstuvwxyzABCDEFGHIJKLMNOPQRSTUVWXYZ.")))))</f>
        <v>0</v>
      </c>
      <c r="AP484" t="b">
        <f>IF(Metadata!C484="",FALSE,TRUE)</f>
        <v>0</v>
      </c>
      <c r="AQ484" t="b">
        <f>IF(Metadata!D484="",FALSE,TRUE)</f>
        <v>0</v>
      </c>
      <c r="AR484" t="b">
        <f ca="1">OR(AND(IF(Metadata!E484="",FALSE,TRUE),OR(EXACT(Metadata!E484,"not collected"),EXACT(Metadata!E484,"not provided"),EXACT(Metadata!E484,"restricted access"))),AND(IF(Metadata!E484="",FALSE,TRUE),AND(AND(IFERROR(INT(LEFT(Metadata!E484,4))&gt;1900,FALSE),IFERROR(INT(LEFT(Metadata!E484,4))&lt;=YEAR(NOW()),FALSE)), OR(MID(Metadata!E484,5,1)="", AND(AND(MID(Metadata!E484,5,1)="-",IFERROR(INT(MID(Metadata!E484,6,1))&gt;=0,FALSE),IFERROR(INT(MID(Metadata!E484,6,1))&lt;=1,FALSE),NOT(MID(Metadata!E484,7,1)=""),IFERROR(INT(MID(Metadata!E484,6,2))&gt;=1,FALSE),IFERROR(INT(MID(Metadata!E484,6,2))&lt;=12,FALSE)), OR(MID(Metadata!E484,8,1)="", AND(AND(MID(Metadata!E484,8,1)="-",IFERROR(INT(MID(Metadata!E484,9,1))&gt;=0,FALSE),IFERROR(INT(MID(Metadata!E484,9,1))&lt;=3,FALSE),NOT(MID(Metadata!E484,10,1)=""),IFERROR(INT(MID(Metadata!E484,9,2))&gt;=1,FALSE),IFERROR(INT(MID(Metadata!E484,9,2))&lt;=31,FALSE)), OR(MID(Metadata!E484,11,1)="", AND(AND(MID(Metadata!E484,11,1)=" ",IFERROR(INT(MID(Metadata!E484,12,1))&gt;=0,FALSE),IFERROR(INT(MID(Metadata!E484,12,1))&lt;=2,FALSE),NOT(MID(Metadata!E484,13,1)=""),IFERROR(INT(MID(Metadata!E484,12,2))&gt;=0,FALSE),IFERROR(INT(MID(Metadata!E484,12,2))&lt;=23,FALSE)), OR(MID(Metadata!E484,14,1)="", AND(AND(MID(Metadata!E484,14,1)=":",IFERROR(INT(MID(Metadata!E484,15,1))&gt;=0,FALSE),IFERROR(INT(MID(Metadata!E484,15,1))&lt;=5,FALSE),NOT(MID(Metadata!E484,16,1)=""),IFERROR(INT(MID(Metadata!E484,15,2))&gt;=0,FALSE),IFERROR(INT(MID(Metadata!E484,15,2))&lt;=59,FALSE)), OR(MID(Metadata!E484,17,1)="", AND(AND(MID(Metadata!E484,17,1)=":",IFERROR(INT(MID(Metadata!E484,18,1))&gt;=0,FALSE),IFERROR(INT(MID(Metadata!E484,18,1))&lt;=5,FALSE),NOT(MID(Metadata!E484,19,1)=""),IFERROR(INT(MID(Metadata!E484,18,2))&gt;=0,FALSE),IFERROR(INT(MID(Metadata!E484,18,2))&lt;=59,FALSE)), LEN(Metadata!E484)&lt;=19)))))))))))))</f>
        <v>0</v>
      </c>
      <c r="AS484" t="b">
        <f>IF(Metadata!F484="",FALSE,TRUE)</f>
        <v>0</v>
      </c>
      <c r="AT484" t="b">
        <f>OR(AND(IF(Metadata!G484="",FALSE,TRUE),OR(EXACT(Metadata!G484,"not collected"),EXACT(Metadata!G484,"not provided"))),AND(IF(Metadata!G484="",FALSE,TRUE),OR(EXACT(Metadata!G484,"TRUE"),EXACT(Metadata!G484,"FALSE"))))</f>
        <v>0</v>
      </c>
      <c r="AU484" t="b">
        <f>OR(AND(IF(Metadata!H484="",FALSE,TRUE),OR(EXACT(Metadata!H484,"not collected"),EXACT(Metadata!H484,"not provided"),EXACT(Metadata!H484,"restricted access"))),AND(IF(Metadata!H484="",FALSE,ISNUMBER(VALUE(Metadata!H484))),Metadata!H484&gt;=-413))</f>
        <v>0</v>
      </c>
      <c r="AV484" t="b">
        <f>AND(IF(Metadata!I484="",FALSE,TRUE),EXACT(Metadata!I484,"meters"))</f>
        <v>0</v>
      </c>
      <c r="AW484" t="b">
        <f>AND(IF(Metadata!J484="",FALSE,TRUE),EXACT(Metadata!J484,"free-living"))</f>
        <v>0</v>
      </c>
      <c r="AX484" t="b">
        <f>AND(IF(Metadata!K484="",FALSE,TRUE),OR(EXACT(Metadata!K484,"saline"),EXACT(Metadata!K484,"non-saline")))</f>
        <v>0</v>
      </c>
      <c r="AY484" t="b">
        <f>AND(IF(Metadata!L484="",FALSE,TRUE),OR(EXACT(Metadata!L484,"sub-surface (non-saline)"),EXACT(Metadata!L484,"surface (non-saline)"),EXACT(Metadata!L484,"water (non-saline)"),EXACT(Metadata!L484,"soil (non-saline)"),EXACT(Metadata!L484,"aerosol (non-saline)"),EXACT(Metadata!L484,"sediment (non-saline)"),EXACT(Metadata!L484,"surface (saline)"),EXACT(Metadata!L484,"water (saline)"),EXACT(Metadata!L484,"hypersaline (saline)"),EXACT(Metadata!L484,"aerosol (saline)"),EXACT(Metadata!L484,"sediment (saline)")))</f>
        <v>0</v>
      </c>
      <c r="AZ484" t="b">
        <f>IF(Metadata!M484="",FALSE,TRUE)</f>
        <v>0</v>
      </c>
      <c r="BA484" t="b">
        <f>IF(Metadata!N484="",FALSE,TRUE)</f>
        <v>0</v>
      </c>
      <c r="BB484" t="b">
        <f>IF(Metadata!O484="",FALSE,TRUE)</f>
        <v>0</v>
      </c>
      <c r="BC484" t="b">
        <f>AND(IF(Metadata!P484="",FALSE,TRUE),OR(EXACT(Metadata!P484,"air"),EXACT(Metadata!P484,"microbial mat/biofilm"),EXACT(Metadata!P484,"misc environment"),EXACT(Metadata!P484,"sediment"),EXACT(Metadata!P484,"soil"),EXACT(Metadata!P484,"wastewater/sludge"),EXACT(Metadata!P484,"water")))</f>
        <v>0</v>
      </c>
      <c r="BD484" t="b">
        <f>IF(Metadata!Q484="",FALSE,TRUE)</f>
        <v>0</v>
      </c>
      <c r="BE484" t="b">
        <f>IF(Metadata!R484="",FALSE,TRUE)</f>
        <v>0</v>
      </c>
      <c r="BF484" t="b">
        <f>OR(AND(IF(Metadata!S484="",FALSE,TRUE),OR(EXACT(Metadata!S484,"not collected"),EXACT(Metadata!S484,"not provided"),EXACT(Metadata!S484,"restricted access"))),AND(IF(Metadata!S484="",FALSE,ISNUMBER(VALUE(Metadata!S484))),Metadata!S484&gt;=-90,Metadata!S484&lt;=90))</f>
        <v>0</v>
      </c>
      <c r="BG484" t="b">
        <f>AND(IF(Metadata!T484="",FALSE,TRUE),EXACT(Metadata!T484,"Decimal degrees"))</f>
        <v>0</v>
      </c>
      <c r="BH484" t="b">
        <f>OR(AND(IF(Metadata!U484="",FALSE,TRUE),OR(EXACT(Metadata!U484,"not applicable"),EXACT(Metadata!U484,"not collected"))),IF(Metadata!U484="",FALSE,TRUE))</f>
        <v>0</v>
      </c>
      <c r="BI484" t="b">
        <f>OR(AND(IF(Metadata!V484="",FALSE,TRUE),OR(EXACT(Metadata!V484,"not collected"),EXACT(Metadata!V484,"not provided"),EXACT(Metadata!V484,"restricted access"))),AND(IF(Metadata!V484="",FALSE,ISNUMBER(VALUE(Metadata!V484))),Metadata!V484&gt;=-180,Metadata!V484&lt;=180))</f>
        <v>0</v>
      </c>
      <c r="BJ484" t="b">
        <f>AND(IF(Metadata!W484="",FALSE,TRUE),EXACT(Metadata!W484,"Decimal degrees"))</f>
        <v>0</v>
      </c>
      <c r="BK484" t="b">
        <f>IF(Metadata!X484="",FALSE,TRUE)</f>
        <v>0</v>
      </c>
      <c r="BL484" t="b">
        <f>OR(AND(IF(Metadata!Y484="",FALSE,TRUE),OR(EXACT(Metadata!Y484,"not collected"),EXACT(Metadata!Y484,"not provided"),EXACT(Metadata!Y484,"restricted access"))),AND(IF(Metadata!Y484="",FALSE,TRUE),OR(EXACT(Metadata!Y484,"TRUE"),EXACT(Metadata!Y484,"FALSE"))))</f>
        <v>0</v>
      </c>
      <c r="BM484" t="b">
        <f>OR(AND(IF(Metadata!Z484="",FALSE,TRUE),EXACT(Metadata!Z484,"not applicable")),AND(IF(Metadata!Z484="",FALSE,TRUE),OR(EXACT(Metadata!Z484,"beer"),EXACT(Metadata!Z484,"cheese"),EXACT(Metadata!Z484,"fresh water"),EXACT(Metadata!Z484,"marine sediment"),EXACT(Metadata!Z484,"sea water"),EXACT(Metadata!Z484,"sediment"),EXACT(Metadata!Z484,"soil"),EXACT(Metadata!Z484,"waste water"))))</f>
        <v>0</v>
      </c>
      <c r="BN484" t="b">
        <f>AND(IF(Metadata!AA484="",FALSE,TRUE),EXACT(Metadata!AA484,"metagenome"))</f>
        <v>0</v>
      </c>
      <c r="BO484" t="b">
        <f>AND(IF(Metadata!AB484="",FALSE,TRUE),EXACT(Metadata!AB484,"256318"))</f>
        <v>0</v>
      </c>
      <c r="BP484" t="b">
        <f>IF(Metadata!AC484="",FALSE,TRUE)</f>
        <v>0</v>
      </c>
      <c r="BQ484" t="b">
        <f>IF(Metadata!AD484="",FALSE,TRUE)</f>
        <v>0</v>
      </c>
    </row>
    <row r="485" spans="1:69" x14ac:dyDescent="0.2">
      <c r="A485" s="4" t="e">
        <f ca="1">IF(B485=" "," ",HYPERLINK(CONCATENATE("#metadata!",ADDRESS(INDEX($AJ$2:$AJ$1001,MATCH(ROWS($AH$2:AH485),$AH$2:$AH$1001,0),0),2)),INDEX($AM$2:$AM$1001,MATCH(ROWS($AH$2:AH485),$AH$2:$AH$1001,0),0)))</f>
        <v>#N/A</v>
      </c>
      <c r="B485" s="5" t="e">
        <f ca="1">IF(OR(INDEX($AI$2:$AI$1001,MATCH(ROWS($AH$2:AH485),$AH$2:$AH$1001,0),1)&gt;=100000,INDEX($AO$1005:$BQ$1005,1,MATCH(COLUMNS($AO$1006:AO1006),$AO$1006:$BQ$1006,0))&gt;=100000), " ",IF(INDEX($AO$2:$BQ$1001,MATCH(ROWS($AH$2:AH485),$AH$2:$AH$1001,0),MATCH(COLUMNS($AO$1006:AO1006),$AO$1006:$BQ$1006,0)), HYPERLINK("#",""), HYPERLINK(CONCATENATE("#Metadata!", ADDRESS(INDEX($AJ$2:$AJ$1001,MATCH(ROWS($AH$2:AH485),$AH$2:$AH$1001,0),0), INDEX($AO$1004:$BQ$1004,1,MATCH(COLUMNS($AO$1006:AO1006),$AO$1006:$BQ$1006,0)))),"Fix")))</f>
        <v>#N/A</v>
      </c>
      <c r="C485" s="5" t="e">
        <f ca="1">IF(OR(INDEX($AI$2:$AI$1001,MATCH(ROWS($AH$2:AH485),$AH$2:$AH$1001,0),1)&gt;=100000,INDEX($AO$1005:$BQ$1005,1,MATCH(COLUMNS($AO$1006:AP1006),$AO$1006:$BQ$1006,0))&gt;=100000), " ",IF(INDEX($AO$2:$BQ$1001,MATCH(ROWS($AH$2:AH485),$AH$2:$AH$1001,0),MATCH(COLUMNS($AO$1006:AP1006),$AO$1006:$BQ$1006,0)), HYPERLINK("#",""), HYPERLINK(CONCATENATE("#Metadata!", ADDRESS(INDEX($AJ$2:$AJ$1001,MATCH(ROWS($AH$2:AH485),$AH$2:$AH$1001,0),0), INDEX($AO$1004:$BQ$1004,1,MATCH(COLUMNS($AO$1006:AP1006),$AO$1006:$BQ$1006,0)))),"Fix")))</f>
        <v>#N/A</v>
      </c>
      <c r="D485" s="5" t="e">
        <f ca="1">IF(OR(INDEX($AI$2:$AI$1001,MATCH(ROWS($AH$2:AH485),$AH$2:$AH$1001,0),1)&gt;=100000,INDEX($AO$1005:$BQ$1005,1,MATCH(COLUMNS($AO$1006:AQ1006),$AO$1006:$BQ$1006,0))&gt;=100000), " ",IF(INDEX($AO$2:$BQ$1001,MATCH(ROWS($AH$2:AH485),$AH$2:$AH$1001,0),MATCH(COLUMNS($AO$1006:AQ1006),$AO$1006:$BQ$1006,0)), HYPERLINK("#",""), HYPERLINK(CONCATENATE("#Metadata!", ADDRESS(INDEX($AJ$2:$AJ$1001,MATCH(ROWS($AH$2:AH485),$AH$2:$AH$1001,0),0), INDEX($AO$1004:$BQ$1004,1,MATCH(COLUMNS($AO$1006:AQ1006),$AO$1006:$BQ$1006,0)))),"Fix")))</f>
        <v>#N/A</v>
      </c>
      <c r="E485" s="5" t="e">
        <f ca="1">IF(OR(INDEX($AI$2:$AI$1001,MATCH(ROWS($AH$2:AH485),$AH$2:$AH$1001,0),1)&gt;=100000,INDEX($AO$1005:$BQ$1005,1,MATCH(COLUMNS($AO$1006:AR1006),$AO$1006:$BQ$1006,0))&gt;=100000), " ",IF(INDEX($AO$2:$BQ$1001,MATCH(ROWS($AH$2:AH485),$AH$2:$AH$1001,0),MATCH(COLUMNS($AO$1006:AR1006),$AO$1006:$BQ$1006,0)), HYPERLINK("#",""), HYPERLINK(CONCATENATE("#Metadata!", ADDRESS(INDEX($AJ$2:$AJ$1001,MATCH(ROWS($AH$2:AH485),$AH$2:$AH$1001,0),0), INDEX($AO$1004:$BQ$1004,1,MATCH(COLUMNS($AO$1006:AR1006),$AO$1006:$BQ$1006,0)))),"Fix")))</f>
        <v>#N/A</v>
      </c>
      <c r="F485" s="5" t="e">
        <f ca="1">IF(OR(INDEX($AI$2:$AI$1001,MATCH(ROWS($AH$2:AH485),$AH$2:$AH$1001,0),1)&gt;=100000,INDEX($AO$1005:$BQ$1005,1,MATCH(COLUMNS($AO$1006:AS1006),$AO$1006:$BQ$1006,0))&gt;=100000), " ",IF(INDEX($AO$2:$BQ$1001,MATCH(ROWS($AH$2:AH485),$AH$2:$AH$1001,0),MATCH(COLUMNS($AO$1006:AS1006),$AO$1006:$BQ$1006,0)), HYPERLINK("#",""), HYPERLINK(CONCATENATE("#Metadata!", ADDRESS(INDEX($AJ$2:$AJ$1001,MATCH(ROWS($AH$2:AH485),$AH$2:$AH$1001,0),0), INDEX($AO$1004:$BQ$1004,1,MATCH(COLUMNS($AO$1006:AS1006),$AO$1006:$BQ$1006,0)))),"Fix")))</f>
        <v>#N/A</v>
      </c>
      <c r="G485" s="5" t="e">
        <f ca="1">IF(OR(INDEX($AI$2:$AI$1001,MATCH(ROWS($AH$2:AH485),$AH$2:$AH$1001,0),1)&gt;=100000,INDEX($AO$1005:$BQ$1005,1,MATCH(COLUMNS($AO$1006:AT1006),$AO$1006:$BQ$1006,0))&gt;=100000), " ",IF(INDEX($AO$2:$BQ$1001,MATCH(ROWS($AH$2:AH485),$AH$2:$AH$1001,0),MATCH(COLUMNS($AO$1006:AT1006),$AO$1006:$BQ$1006,0)), HYPERLINK("#",""), HYPERLINK(CONCATENATE("#Metadata!", ADDRESS(INDEX($AJ$2:$AJ$1001,MATCH(ROWS($AH$2:AH485),$AH$2:$AH$1001,0),0), INDEX($AO$1004:$BQ$1004,1,MATCH(COLUMNS($AO$1006:AT1006),$AO$1006:$BQ$1006,0)))),"Fix")))</f>
        <v>#N/A</v>
      </c>
      <c r="H485" s="5" t="e">
        <f ca="1">IF(OR(INDEX($AI$2:$AI$1001,MATCH(ROWS($AH$2:AH485),$AH$2:$AH$1001,0),1)&gt;=100000,INDEX($AO$1005:$BQ$1005,1,MATCH(COLUMNS($AO$1006:AU1006),$AO$1006:$BQ$1006,0))&gt;=100000), " ",IF(INDEX($AO$2:$BQ$1001,MATCH(ROWS($AH$2:AH485),$AH$2:$AH$1001,0),MATCH(COLUMNS($AO$1006:AU1006),$AO$1006:$BQ$1006,0)), HYPERLINK("#",""), HYPERLINK(CONCATENATE("#Metadata!", ADDRESS(INDEX($AJ$2:$AJ$1001,MATCH(ROWS($AH$2:AH485),$AH$2:$AH$1001,0),0), INDEX($AO$1004:$BQ$1004,1,MATCH(COLUMNS($AO$1006:AU1006),$AO$1006:$BQ$1006,0)))),"Fix")))</f>
        <v>#N/A</v>
      </c>
      <c r="I485" s="5" t="e">
        <f ca="1">IF(OR(INDEX($AI$2:$AI$1001,MATCH(ROWS($AH$2:AH485),$AH$2:$AH$1001,0),1)&gt;=100000,INDEX($AO$1005:$BQ$1005,1,MATCH(COLUMNS($AO$1006:AV1006),$AO$1006:$BQ$1006,0))&gt;=100000), " ",IF(INDEX($AO$2:$BQ$1001,MATCH(ROWS($AH$2:AH485),$AH$2:$AH$1001,0),MATCH(COLUMNS($AO$1006:AV1006),$AO$1006:$BQ$1006,0)), HYPERLINK("#",""), HYPERLINK(CONCATENATE("#Metadata!", ADDRESS(INDEX($AJ$2:$AJ$1001,MATCH(ROWS($AH$2:AH485),$AH$2:$AH$1001,0),0), INDEX($AO$1004:$BQ$1004,1,MATCH(COLUMNS($AO$1006:AV1006),$AO$1006:$BQ$1006,0)))),"Fix")))</f>
        <v>#N/A</v>
      </c>
      <c r="J485" s="5" t="e">
        <f ca="1">IF(OR(INDEX($AI$2:$AI$1001,MATCH(ROWS($AH$2:AH485),$AH$2:$AH$1001,0),1)&gt;=100000,INDEX($AO$1005:$BQ$1005,1,MATCH(COLUMNS($AO$1006:AW1006),$AO$1006:$BQ$1006,0))&gt;=100000), " ",IF(INDEX($AO$2:$BQ$1001,MATCH(ROWS($AH$2:AH485),$AH$2:$AH$1001,0),MATCH(COLUMNS($AO$1006:AW1006),$AO$1006:$BQ$1006,0)), HYPERLINK("#",""), HYPERLINK(CONCATENATE("#Metadata!", ADDRESS(INDEX($AJ$2:$AJ$1001,MATCH(ROWS($AH$2:AH485),$AH$2:$AH$1001,0),0), INDEX($AO$1004:$BQ$1004,1,MATCH(COLUMNS($AO$1006:AW1006),$AO$1006:$BQ$1006,0)))),"Fix")))</f>
        <v>#N/A</v>
      </c>
      <c r="K485" s="5" t="e">
        <f ca="1">IF(OR(INDEX($AI$2:$AI$1001,MATCH(ROWS($AH$2:AH485),$AH$2:$AH$1001,0),1)&gt;=100000,INDEX($AO$1005:$BQ$1005,1,MATCH(COLUMNS($AO$1006:AX1006),$AO$1006:$BQ$1006,0))&gt;=100000), " ",IF(INDEX($AO$2:$BQ$1001,MATCH(ROWS($AH$2:AH485),$AH$2:$AH$1001,0),MATCH(COLUMNS($AO$1006:AX1006),$AO$1006:$BQ$1006,0)), HYPERLINK("#",""), HYPERLINK(CONCATENATE("#Metadata!", ADDRESS(INDEX($AJ$2:$AJ$1001,MATCH(ROWS($AH$2:AH485),$AH$2:$AH$1001,0),0), INDEX($AO$1004:$BQ$1004,1,MATCH(COLUMNS($AO$1006:AX1006),$AO$1006:$BQ$1006,0)))),"Fix")))</f>
        <v>#N/A</v>
      </c>
      <c r="L485" s="5" t="e">
        <f ca="1">IF(OR(INDEX($AI$2:$AI$1001,MATCH(ROWS($AH$2:AH485),$AH$2:$AH$1001,0),1)&gt;=100000,INDEX($AO$1005:$BQ$1005,1,MATCH(COLUMNS($AO$1006:AY1006),$AO$1006:$BQ$1006,0))&gt;=100000), " ",IF(INDEX($AO$2:$BQ$1001,MATCH(ROWS($AH$2:AH485),$AH$2:$AH$1001,0),MATCH(COLUMNS($AO$1006:AY1006),$AO$1006:$BQ$1006,0)), HYPERLINK("#",""), HYPERLINK(CONCATENATE("#Metadata!", ADDRESS(INDEX($AJ$2:$AJ$1001,MATCH(ROWS($AH$2:AH485),$AH$2:$AH$1001,0),0), INDEX($AO$1004:$BQ$1004,1,MATCH(COLUMNS($AO$1006:AY1006),$AO$1006:$BQ$1006,0)))),"Fix")))</f>
        <v>#N/A</v>
      </c>
      <c r="M485" s="5" t="e">
        <f ca="1">IF(OR(INDEX($AI$2:$AI$1001,MATCH(ROWS($AH$2:AH485),$AH$2:$AH$1001,0),1)&gt;=100000,INDEX($AO$1005:$BQ$1005,1,MATCH(COLUMNS($AO$1006:AZ1006),$AO$1006:$BQ$1006,0))&gt;=100000), " ",IF(INDEX($AO$2:$BQ$1001,MATCH(ROWS($AH$2:AH485),$AH$2:$AH$1001,0),MATCH(COLUMNS($AO$1006:AZ1006),$AO$1006:$BQ$1006,0)), HYPERLINK("#",""), HYPERLINK(CONCATENATE("#Metadata!", ADDRESS(INDEX($AJ$2:$AJ$1001,MATCH(ROWS($AH$2:AH485),$AH$2:$AH$1001,0),0), INDEX($AO$1004:$BQ$1004,1,MATCH(COLUMNS($AO$1006:AZ1006),$AO$1006:$BQ$1006,0)))),"Fix")))</f>
        <v>#N/A</v>
      </c>
      <c r="N485" s="5" t="e">
        <f ca="1">IF(OR(INDEX($AI$2:$AI$1001,MATCH(ROWS($AH$2:AH485),$AH$2:$AH$1001,0),1)&gt;=100000,INDEX($AO$1005:$BQ$1005,1,MATCH(COLUMNS($AO$1006:BA1006),$AO$1006:$BQ$1006,0))&gt;=100000), " ",IF(INDEX($AO$2:$BQ$1001,MATCH(ROWS($AH$2:AH485),$AH$2:$AH$1001,0),MATCH(COLUMNS($AO$1006:BA1006),$AO$1006:$BQ$1006,0)), HYPERLINK("#",""), HYPERLINK(CONCATENATE("#Metadata!", ADDRESS(INDEX($AJ$2:$AJ$1001,MATCH(ROWS($AH$2:AH485),$AH$2:$AH$1001,0),0), INDEX($AO$1004:$BQ$1004,1,MATCH(COLUMNS($AO$1006:BA1006),$AO$1006:$BQ$1006,0)))),"Fix")))</f>
        <v>#N/A</v>
      </c>
      <c r="O485" s="5" t="e">
        <f ca="1">IF(OR(INDEX($AI$2:$AI$1001,MATCH(ROWS($AH$2:AH485),$AH$2:$AH$1001,0),1)&gt;=100000,INDEX($AO$1005:$BQ$1005,1,MATCH(COLUMNS($AO$1006:BB1006),$AO$1006:$BQ$1006,0))&gt;=100000), " ",IF(INDEX($AO$2:$BQ$1001,MATCH(ROWS($AH$2:AH485),$AH$2:$AH$1001,0),MATCH(COLUMNS($AO$1006:BB1006),$AO$1006:$BQ$1006,0)), HYPERLINK("#",""), HYPERLINK(CONCATENATE("#Metadata!", ADDRESS(INDEX($AJ$2:$AJ$1001,MATCH(ROWS($AH$2:AH485),$AH$2:$AH$1001,0),0), INDEX($AO$1004:$BQ$1004,1,MATCH(COLUMNS($AO$1006:BB1006),$AO$1006:$BQ$1006,0)))),"Fix")))</f>
        <v>#N/A</v>
      </c>
      <c r="P485" s="5" t="e">
        <f ca="1">IF(OR(INDEX($AI$2:$AI$1001,MATCH(ROWS($AH$2:AH485),$AH$2:$AH$1001,0),1)&gt;=100000,INDEX($AO$1005:$BQ$1005,1,MATCH(COLUMNS($AO$1006:BC1006),$AO$1006:$BQ$1006,0))&gt;=100000), " ",IF(INDEX($AO$2:$BQ$1001,MATCH(ROWS($AH$2:AH485),$AH$2:$AH$1001,0),MATCH(COLUMNS($AO$1006:BC1006),$AO$1006:$BQ$1006,0)), HYPERLINK("#",""), HYPERLINK(CONCATENATE("#Metadata!", ADDRESS(INDEX($AJ$2:$AJ$1001,MATCH(ROWS($AH$2:AH485),$AH$2:$AH$1001,0),0), INDEX($AO$1004:$BQ$1004,1,MATCH(COLUMNS($AO$1006:BC1006),$AO$1006:$BQ$1006,0)))),"Fix")))</f>
        <v>#N/A</v>
      </c>
      <c r="Q485" s="5" t="e">
        <f ca="1">IF(OR(INDEX($AI$2:$AI$1001,MATCH(ROWS($AH$2:AH485),$AH$2:$AH$1001,0),1)&gt;=100000,INDEX($AO$1005:$BQ$1005,1,MATCH(COLUMNS($AO$1006:BD1006),$AO$1006:$BQ$1006,0))&gt;=100000), " ",IF(INDEX($AO$2:$BQ$1001,MATCH(ROWS($AH$2:AH485),$AH$2:$AH$1001,0),MATCH(COLUMNS($AO$1006:BD1006),$AO$1006:$BQ$1006,0)), HYPERLINK("#",""), HYPERLINK(CONCATENATE("#Metadata!", ADDRESS(INDEX($AJ$2:$AJ$1001,MATCH(ROWS($AH$2:AH485),$AH$2:$AH$1001,0),0), INDEX($AO$1004:$BQ$1004,1,MATCH(COLUMNS($AO$1006:BD1006),$AO$1006:$BQ$1006,0)))),"Fix")))</f>
        <v>#N/A</v>
      </c>
      <c r="R485" s="5" t="e">
        <f ca="1">IF(OR(INDEX($AI$2:$AI$1001,MATCH(ROWS($AH$2:AH485),$AH$2:$AH$1001,0),1)&gt;=100000,INDEX($AO$1005:$BQ$1005,1,MATCH(COLUMNS($AO$1006:BE1006),$AO$1006:$BQ$1006,0))&gt;=100000), " ",IF(INDEX($AO$2:$BQ$1001,MATCH(ROWS($AH$2:AH485),$AH$2:$AH$1001,0),MATCH(COLUMNS($AO$1006:BE1006),$AO$1006:$BQ$1006,0)), HYPERLINK("#",""), HYPERLINK(CONCATENATE("#Metadata!", ADDRESS(INDEX($AJ$2:$AJ$1001,MATCH(ROWS($AH$2:AH485),$AH$2:$AH$1001,0),0), INDEX($AO$1004:$BQ$1004,1,MATCH(COLUMNS($AO$1006:BE1006),$AO$1006:$BQ$1006,0)))),"Fix")))</f>
        <v>#N/A</v>
      </c>
      <c r="S485" s="5" t="e">
        <f ca="1">IF(OR(INDEX($AI$2:$AI$1001,MATCH(ROWS($AH$2:AH485),$AH$2:$AH$1001,0),1)&gt;=100000,INDEX($AO$1005:$BQ$1005,1,MATCH(COLUMNS($AO$1006:BF1006),$AO$1006:$BQ$1006,0))&gt;=100000), " ",IF(INDEX($AO$2:$BQ$1001,MATCH(ROWS($AH$2:AH485),$AH$2:$AH$1001,0),MATCH(COLUMNS($AO$1006:BF1006),$AO$1006:$BQ$1006,0)), HYPERLINK("#",""), HYPERLINK(CONCATENATE("#Metadata!", ADDRESS(INDEX($AJ$2:$AJ$1001,MATCH(ROWS($AH$2:AH485),$AH$2:$AH$1001,0),0), INDEX($AO$1004:$BQ$1004,1,MATCH(COLUMNS($AO$1006:BF1006),$AO$1006:$BQ$1006,0)))),"Fix")))</f>
        <v>#N/A</v>
      </c>
      <c r="T485" s="5" t="e">
        <f ca="1">IF(OR(INDEX($AI$2:$AI$1001,MATCH(ROWS($AH$2:AH485),$AH$2:$AH$1001,0),1)&gt;=100000,INDEX($AO$1005:$BQ$1005,1,MATCH(COLUMNS($AO$1006:BG1006),$AO$1006:$BQ$1006,0))&gt;=100000), " ",IF(INDEX($AO$2:$BQ$1001,MATCH(ROWS($AH$2:AH485),$AH$2:$AH$1001,0),MATCH(COLUMNS($AO$1006:BG1006),$AO$1006:$BQ$1006,0)), HYPERLINK("#",""), HYPERLINK(CONCATENATE("#Metadata!", ADDRESS(INDEX($AJ$2:$AJ$1001,MATCH(ROWS($AH$2:AH485),$AH$2:$AH$1001,0),0), INDEX($AO$1004:$BQ$1004,1,MATCH(COLUMNS($AO$1006:BG1006),$AO$1006:$BQ$1006,0)))),"Fix")))</f>
        <v>#N/A</v>
      </c>
      <c r="U485" s="5" t="e">
        <f ca="1">IF(OR(INDEX($AI$2:$AI$1001,MATCH(ROWS($AH$2:AH485),$AH$2:$AH$1001,0),1)&gt;=100000,INDEX($AO$1005:$BQ$1005,1,MATCH(COLUMNS($AO$1006:BH1006),$AO$1006:$BQ$1006,0))&gt;=100000), " ",IF(INDEX($AO$2:$BQ$1001,MATCH(ROWS($AH$2:AH485),$AH$2:$AH$1001,0),MATCH(COLUMNS($AO$1006:BH1006),$AO$1006:$BQ$1006,0)), HYPERLINK("#",""), HYPERLINK(CONCATENATE("#Metadata!", ADDRESS(INDEX($AJ$2:$AJ$1001,MATCH(ROWS($AH$2:AH485),$AH$2:$AH$1001,0),0), INDEX($AO$1004:$BQ$1004,1,MATCH(COLUMNS($AO$1006:BH1006),$AO$1006:$BQ$1006,0)))),"Fix")))</f>
        <v>#N/A</v>
      </c>
      <c r="V485" s="5" t="e">
        <f ca="1">IF(OR(INDEX($AI$2:$AI$1001,MATCH(ROWS($AH$2:AH485),$AH$2:$AH$1001,0),1)&gt;=100000,INDEX($AO$1005:$BQ$1005,1,MATCH(COLUMNS($AO$1006:BI1006),$AO$1006:$BQ$1006,0))&gt;=100000), " ",IF(INDEX($AO$2:$BQ$1001,MATCH(ROWS($AH$2:AH485),$AH$2:$AH$1001,0),MATCH(COLUMNS($AO$1006:BI1006),$AO$1006:$BQ$1006,0)), HYPERLINK("#",""), HYPERLINK(CONCATENATE("#Metadata!", ADDRESS(INDEX($AJ$2:$AJ$1001,MATCH(ROWS($AH$2:AH485),$AH$2:$AH$1001,0),0), INDEX($AO$1004:$BQ$1004,1,MATCH(COLUMNS($AO$1006:BI1006),$AO$1006:$BQ$1006,0)))),"Fix")))</f>
        <v>#N/A</v>
      </c>
      <c r="W485" s="5" t="e">
        <f ca="1">IF(OR(INDEX($AI$2:$AI$1001,MATCH(ROWS($AH$2:AH485),$AH$2:$AH$1001,0),1)&gt;=100000,INDEX($AO$1005:$BQ$1005,1,MATCH(COLUMNS($AO$1006:BJ1006),$AO$1006:$BQ$1006,0))&gt;=100000), " ",IF(INDEX($AO$2:$BQ$1001,MATCH(ROWS($AH$2:AH485),$AH$2:$AH$1001,0),MATCH(COLUMNS($AO$1006:BJ1006),$AO$1006:$BQ$1006,0)), HYPERLINK("#",""), HYPERLINK(CONCATENATE("#Metadata!", ADDRESS(INDEX($AJ$2:$AJ$1001,MATCH(ROWS($AH$2:AH485),$AH$2:$AH$1001,0),0), INDEX($AO$1004:$BQ$1004,1,MATCH(COLUMNS($AO$1006:BJ1006),$AO$1006:$BQ$1006,0)))),"Fix")))</f>
        <v>#N/A</v>
      </c>
      <c r="X485" s="5" t="e">
        <f ca="1">IF(OR(INDEX($AI$2:$AI$1001,MATCH(ROWS($AH$2:AH485),$AH$2:$AH$1001,0),1)&gt;=100000,INDEX($AO$1005:$BQ$1005,1,MATCH(COLUMNS($AO$1006:BK1006),$AO$1006:$BQ$1006,0))&gt;=100000), " ",IF(INDEX($AO$2:$BQ$1001,MATCH(ROWS($AH$2:AH485),$AH$2:$AH$1001,0),MATCH(COLUMNS($AO$1006:BK1006),$AO$1006:$BQ$1006,0)), HYPERLINK("#",""), HYPERLINK(CONCATENATE("#Metadata!", ADDRESS(INDEX($AJ$2:$AJ$1001,MATCH(ROWS($AH$2:AH485),$AH$2:$AH$1001,0),0), INDEX($AO$1004:$BQ$1004,1,MATCH(COLUMNS($AO$1006:BK1006),$AO$1006:$BQ$1006,0)))),"Fix")))</f>
        <v>#N/A</v>
      </c>
      <c r="Y485" s="5" t="e">
        <f ca="1">IF(OR(INDEX($AI$2:$AI$1001,MATCH(ROWS($AH$2:AH485),$AH$2:$AH$1001,0),1)&gt;=100000,INDEX($AO$1005:$BQ$1005,1,MATCH(COLUMNS($AO$1006:BL1006),$AO$1006:$BQ$1006,0))&gt;=100000), " ",IF(INDEX($AO$2:$BQ$1001,MATCH(ROWS($AH$2:AH485),$AH$2:$AH$1001,0),MATCH(COLUMNS($AO$1006:BL1006),$AO$1006:$BQ$1006,0)), HYPERLINK("#",""), HYPERLINK(CONCATENATE("#Metadata!", ADDRESS(INDEX($AJ$2:$AJ$1001,MATCH(ROWS($AH$2:AH485),$AH$2:$AH$1001,0),0), INDEX($AO$1004:$BQ$1004,1,MATCH(COLUMNS($AO$1006:BL1006),$AO$1006:$BQ$1006,0)))),"Fix")))</f>
        <v>#N/A</v>
      </c>
      <c r="Z485" s="5" t="e">
        <f ca="1">IF(OR(INDEX($AI$2:$AI$1001,MATCH(ROWS($AH$2:AH485),$AH$2:$AH$1001,0),1)&gt;=100000,INDEX($AO$1005:$BQ$1005,1,MATCH(COLUMNS($AO$1006:BM1006),$AO$1006:$BQ$1006,0))&gt;=100000), " ",IF(INDEX($AO$2:$BQ$1001,MATCH(ROWS($AH$2:AH485),$AH$2:$AH$1001,0),MATCH(COLUMNS($AO$1006:BM1006),$AO$1006:$BQ$1006,0)), HYPERLINK("#",""), HYPERLINK(CONCATENATE("#Metadata!", ADDRESS(INDEX($AJ$2:$AJ$1001,MATCH(ROWS($AH$2:AH485),$AH$2:$AH$1001,0),0), INDEX($AO$1004:$BQ$1004,1,MATCH(COLUMNS($AO$1006:BM1006),$AO$1006:$BQ$1006,0)))),"Fix")))</f>
        <v>#N/A</v>
      </c>
      <c r="AA485" s="5" t="e">
        <f ca="1">IF(OR(INDEX($AI$2:$AI$1001,MATCH(ROWS($AH$2:AH485),$AH$2:$AH$1001,0),1)&gt;=100000,INDEX($AO$1005:$BQ$1005,1,MATCH(COLUMNS($AO$1006:BN1006),$AO$1006:$BQ$1006,0))&gt;=100000), " ",IF(INDEX($AO$2:$BQ$1001,MATCH(ROWS($AH$2:AH485),$AH$2:$AH$1001,0),MATCH(COLUMNS($AO$1006:BN1006),$AO$1006:$BQ$1006,0)), HYPERLINK("#",""), HYPERLINK(CONCATENATE("#Metadata!", ADDRESS(INDEX($AJ$2:$AJ$1001,MATCH(ROWS($AH$2:AH485),$AH$2:$AH$1001,0),0), INDEX($AO$1004:$BQ$1004,1,MATCH(COLUMNS($AO$1006:BN1006),$AO$1006:$BQ$1006,0)))),"Fix")))</f>
        <v>#N/A</v>
      </c>
      <c r="AB485" s="5" t="e">
        <f ca="1">IF(OR(INDEX($AI$2:$AI$1001,MATCH(ROWS($AH$2:AH485),$AH$2:$AH$1001,0),1)&gt;=100000,INDEX($AO$1005:$BQ$1005,1,MATCH(COLUMNS($AO$1006:BO1006),$AO$1006:$BQ$1006,0))&gt;=100000), " ",IF(INDEX($AO$2:$BQ$1001,MATCH(ROWS($AH$2:AH485),$AH$2:$AH$1001,0),MATCH(COLUMNS($AO$1006:BO1006),$AO$1006:$BQ$1006,0)), HYPERLINK("#",""), HYPERLINK(CONCATENATE("#Metadata!", ADDRESS(INDEX($AJ$2:$AJ$1001,MATCH(ROWS($AH$2:AH485),$AH$2:$AH$1001,0),0), INDEX($AO$1004:$BQ$1004,1,MATCH(COLUMNS($AO$1006:BO1006),$AO$1006:$BQ$1006,0)))),"Fix")))</f>
        <v>#N/A</v>
      </c>
      <c r="AC485" s="5" t="e">
        <f ca="1">IF(OR(INDEX($AI$2:$AI$1001,MATCH(ROWS($AH$2:AH485),$AH$2:$AH$1001,0),1)&gt;=100000,INDEX($AO$1005:$BQ$1005,1,MATCH(COLUMNS($AO$1006:BP1006),$AO$1006:$BQ$1006,0))&gt;=100000), " ",IF(INDEX($AO$2:$BQ$1001,MATCH(ROWS($AH$2:AH485),$AH$2:$AH$1001,0),MATCH(COLUMNS($AO$1006:BP1006),$AO$1006:$BQ$1006,0)), HYPERLINK("#",""), HYPERLINK(CONCATENATE("#Metadata!", ADDRESS(INDEX($AJ$2:$AJ$1001,MATCH(ROWS($AH$2:AH485),$AH$2:$AH$1001,0),0), INDEX($AO$1004:$BQ$1004,1,MATCH(COLUMNS($AO$1006:BP1006),$AO$1006:$BQ$1006,0)))),"Fix")))</f>
        <v>#N/A</v>
      </c>
      <c r="AD485" s="5" t="e">
        <f ca="1">IF(OR(INDEX($AI$2:$AI$1001,MATCH(ROWS($AH$2:AH485),$AH$2:$AH$1001,0),1)&gt;=100000,INDEX($AO$1005:$BQ$1005,1,MATCH(COLUMNS($AO$1006:BQ1006),$AO$1006:$BQ$1006,0))&gt;=100000), " ",IF(INDEX($AO$2:$BQ$1001,MATCH(ROWS($AH$2:AH485),$AH$2:$AH$1001,0),MATCH(COLUMNS($AO$1006:BQ1006),$AO$1006:$BQ$1006,0)), HYPERLINK("#",""), HYPERLINK(CONCATENATE("#Metadata!", ADDRESS(INDEX($AJ$2:$AJ$1001,MATCH(ROWS($AH$2:AH485),$AH$2:$AH$1001,0),0), INDEX($AO$1004:$BQ$1004,1,MATCH(COLUMNS($AO$1006:BQ1006),$AO$1006:$BQ$1006,0)))),"Fix")))</f>
        <v>#REF!</v>
      </c>
      <c r="AH485">
        <f ca="1"/>
        <v>482</v>
      </c>
      <c r="AI485">
        <v>100485</v>
      </c>
      <c r="AJ485">
        <v>485</v>
      </c>
      <c r="AK485" t="b">
        <f t="shared" si="7"/>
        <v>1</v>
      </c>
      <c r="AL485" t="b">
        <f>COUNTBLANK(Metadata!B485:AD485)=COLUMNS(Metadata!B485:AD485)</f>
        <v>1</v>
      </c>
      <c r="AM485" t="str">
        <v/>
      </c>
      <c r="AO485" t="b">
        <f ca="1">AND(IF(Metadata!B485="",FALSE,TRUE),COUNTIF(Metadata!B:B, Metadata!B485) = 1,NOT(ISERROR(SUMPRODUCT(SEARCH(MID(Metadata!B485,ROW(INDIRECT("1:"&amp;LEN(Metadata!B485))), 1),"0123456789abcdefghijklmnopqrstuvwxyzABCDEFGHIJKLMNOPQRSTUVWXYZ.")))))</f>
        <v>0</v>
      </c>
      <c r="AP485" t="b">
        <f>IF(Metadata!C485="",FALSE,TRUE)</f>
        <v>0</v>
      </c>
      <c r="AQ485" t="b">
        <f>IF(Metadata!D485="",FALSE,TRUE)</f>
        <v>0</v>
      </c>
      <c r="AR485" t="b">
        <f ca="1">OR(AND(IF(Metadata!E485="",FALSE,TRUE),OR(EXACT(Metadata!E485,"not collected"),EXACT(Metadata!E485,"not provided"),EXACT(Metadata!E485,"restricted access"))),AND(IF(Metadata!E485="",FALSE,TRUE),AND(AND(IFERROR(INT(LEFT(Metadata!E485,4))&gt;1900,FALSE),IFERROR(INT(LEFT(Metadata!E485,4))&lt;=YEAR(NOW()),FALSE)), OR(MID(Metadata!E485,5,1)="", AND(AND(MID(Metadata!E485,5,1)="-",IFERROR(INT(MID(Metadata!E485,6,1))&gt;=0,FALSE),IFERROR(INT(MID(Metadata!E485,6,1))&lt;=1,FALSE),NOT(MID(Metadata!E485,7,1)=""),IFERROR(INT(MID(Metadata!E485,6,2))&gt;=1,FALSE),IFERROR(INT(MID(Metadata!E485,6,2))&lt;=12,FALSE)), OR(MID(Metadata!E485,8,1)="", AND(AND(MID(Metadata!E485,8,1)="-",IFERROR(INT(MID(Metadata!E485,9,1))&gt;=0,FALSE),IFERROR(INT(MID(Metadata!E485,9,1))&lt;=3,FALSE),NOT(MID(Metadata!E485,10,1)=""),IFERROR(INT(MID(Metadata!E485,9,2))&gt;=1,FALSE),IFERROR(INT(MID(Metadata!E485,9,2))&lt;=31,FALSE)), OR(MID(Metadata!E485,11,1)="", AND(AND(MID(Metadata!E485,11,1)=" ",IFERROR(INT(MID(Metadata!E485,12,1))&gt;=0,FALSE),IFERROR(INT(MID(Metadata!E485,12,1))&lt;=2,FALSE),NOT(MID(Metadata!E485,13,1)=""),IFERROR(INT(MID(Metadata!E485,12,2))&gt;=0,FALSE),IFERROR(INT(MID(Metadata!E485,12,2))&lt;=23,FALSE)), OR(MID(Metadata!E485,14,1)="", AND(AND(MID(Metadata!E485,14,1)=":",IFERROR(INT(MID(Metadata!E485,15,1))&gt;=0,FALSE),IFERROR(INT(MID(Metadata!E485,15,1))&lt;=5,FALSE),NOT(MID(Metadata!E485,16,1)=""),IFERROR(INT(MID(Metadata!E485,15,2))&gt;=0,FALSE),IFERROR(INT(MID(Metadata!E485,15,2))&lt;=59,FALSE)), OR(MID(Metadata!E485,17,1)="", AND(AND(MID(Metadata!E485,17,1)=":",IFERROR(INT(MID(Metadata!E485,18,1))&gt;=0,FALSE),IFERROR(INT(MID(Metadata!E485,18,1))&lt;=5,FALSE),NOT(MID(Metadata!E485,19,1)=""),IFERROR(INT(MID(Metadata!E485,18,2))&gt;=0,FALSE),IFERROR(INT(MID(Metadata!E485,18,2))&lt;=59,FALSE)), LEN(Metadata!E485)&lt;=19)))))))))))))</f>
        <v>0</v>
      </c>
      <c r="AS485" t="b">
        <f>IF(Metadata!F485="",FALSE,TRUE)</f>
        <v>0</v>
      </c>
      <c r="AT485" t="b">
        <f>OR(AND(IF(Metadata!G485="",FALSE,TRUE),OR(EXACT(Metadata!G485,"not collected"),EXACT(Metadata!G485,"not provided"))),AND(IF(Metadata!G485="",FALSE,TRUE),OR(EXACT(Metadata!G485,"TRUE"),EXACT(Metadata!G485,"FALSE"))))</f>
        <v>0</v>
      </c>
      <c r="AU485" t="b">
        <f>OR(AND(IF(Metadata!H485="",FALSE,TRUE),OR(EXACT(Metadata!H485,"not collected"),EXACT(Metadata!H485,"not provided"),EXACT(Metadata!H485,"restricted access"))),AND(IF(Metadata!H485="",FALSE,ISNUMBER(VALUE(Metadata!H485))),Metadata!H485&gt;=-413))</f>
        <v>0</v>
      </c>
      <c r="AV485" t="b">
        <f>AND(IF(Metadata!I485="",FALSE,TRUE),EXACT(Metadata!I485,"meters"))</f>
        <v>0</v>
      </c>
      <c r="AW485" t="b">
        <f>AND(IF(Metadata!J485="",FALSE,TRUE),EXACT(Metadata!J485,"free-living"))</f>
        <v>0</v>
      </c>
      <c r="AX485" t="b">
        <f>AND(IF(Metadata!K485="",FALSE,TRUE),OR(EXACT(Metadata!K485,"saline"),EXACT(Metadata!K485,"non-saline")))</f>
        <v>0</v>
      </c>
      <c r="AY485" t="b">
        <f>AND(IF(Metadata!L485="",FALSE,TRUE),OR(EXACT(Metadata!L485,"sub-surface (non-saline)"),EXACT(Metadata!L485,"surface (non-saline)"),EXACT(Metadata!L485,"water (non-saline)"),EXACT(Metadata!L485,"soil (non-saline)"),EXACT(Metadata!L485,"aerosol (non-saline)"),EXACT(Metadata!L485,"sediment (non-saline)"),EXACT(Metadata!L485,"surface (saline)"),EXACT(Metadata!L485,"water (saline)"),EXACT(Metadata!L485,"hypersaline (saline)"),EXACT(Metadata!L485,"aerosol (saline)"),EXACT(Metadata!L485,"sediment (saline)")))</f>
        <v>0</v>
      </c>
      <c r="AZ485" t="b">
        <f>IF(Metadata!M485="",FALSE,TRUE)</f>
        <v>0</v>
      </c>
      <c r="BA485" t="b">
        <f>IF(Metadata!N485="",FALSE,TRUE)</f>
        <v>0</v>
      </c>
      <c r="BB485" t="b">
        <f>IF(Metadata!O485="",FALSE,TRUE)</f>
        <v>0</v>
      </c>
      <c r="BC485" t="b">
        <f>AND(IF(Metadata!P485="",FALSE,TRUE),OR(EXACT(Metadata!P485,"air"),EXACT(Metadata!P485,"microbial mat/biofilm"),EXACT(Metadata!P485,"misc environment"),EXACT(Metadata!P485,"sediment"),EXACT(Metadata!P485,"soil"),EXACT(Metadata!P485,"wastewater/sludge"),EXACT(Metadata!P485,"water")))</f>
        <v>0</v>
      </c>
      <c r="BD485" t="b">
        <f>IF(Metadata!Q485="",FALSE,TRUE)</f>
        <v>0</v>
      </c>
      <c r="BE485" t="b">
        <f>IF(Metadata!R485="",FALSE,TRUE)</f>
        <v>0</v>
      </c>
      <c r="BF485" t="b">
        <f>OR(AND(IF(Metadata!S485="",FALSE,TRUE),OR(EXACT(Metadata!S485,"not collected"),EXACT(Metadata!S485,"not provided"),EXACT(Metadata!S485,"restricted access"))),AND(IF(Metadata!S485="",FALSE,ISNUMBER(VALUE(Metadata!S485))),Metadata!S485&gt;=-90,Metadata!S485&lt;=90))</f>
        <v>0</v>
      </c>
      <c r="BG485" t="b">
        <f>AND(IF(Metadata!T485="",FALSE,TRUE),EXACT(Metadata!T485,"Decimal degrees"))</f>
        <v>0</v>
      </c>
      <c r="BH485" t="b">
        <f>OR(AND(IF(Metadata!U485="",FALSE,TRUE),OR(EXACT(Metadata!U485,"not applicable"),EXACT(Metadata!U485,"not collected"))),IF(Metadata!U485="",FALSE,TRUE))</f>
        <v>0</v>
      </c>
      <c r="BI485" t="b">
        <f>OR(AND(IF(Metadata!V485="",FALSE,TRUE),OR(EXACT(Metadata!V485,"not collected"),EXACT(Metadata!V485,"not provided"),EXACT(Metadata!V485,"restricted access"))),AND(IF(Metadata!V485="",FALSE,ISNUMBER(VALUE(Metadata!V485))),Metadata!V485&gt;=-180,Metadata!V485&lt;=180))</f>
        <v>0</v>
      </c>
      <c r="BJ485" t="b">
        <f>AND(IF(Metadata!W485="",FALSE,TRUE),EXACT(Metadata!W485,"Decimal degrees"))</f>
        <v>0</v>
      </c>
      <c r="BK485" t="b">
        <f>IF(Metadata!X485="",FALSE,TRUE)</f>
        <v>0</v>
      </c>
      <c r="BL485" t="b">
        <f>OR(AND(IF(Metadata!Y485="",FALSE,TRUE),OR(EXACT(Metadata!Y485,"not collected"),EXACT(Metadata!Y485,"not provided"),EXACT(Metadata!Y485,"restricted access"))),AND(IF(Metadata!Y485="",FALSE,TRUE),OR(EXACT(Metadata!Y485,"TRUE"),EXACT(Metadata!Y485,"FALSE"))))</f>
        <v>0</v>
      </c>
      <c r="BM485" t="b">
        <f>OR(AND(IF(Metadata!Z485="",FALSE,TRUE),EXACT(Metadata!Z485,"not applicable")),AND(IF(Metadata!Z485="",FALSE,TRUE),OR(EXACT(Metadata!Z485,"beer"),EXACT(Metadata!Z485,"cheese"),EXACT(Metadata!Z485,"fresh water"),EXACT(Metadata!Z485,"marine sediment"),EXACT(Metadata!Z485,"sea water"),EXACT(Metadata!Z485,"sediment"),EXACT(Metadata!Z485,"soil"),EXACT(Metadata!Z485,"waste water"))))</f>
        <v>0</v>
      </c>
      <c r="BN485" t="b">
        <f>AND(IF(Metadata!AA485="",FALSE,TRUE),EXACT(Metadata!AA485,"metagenome"))</f>
        <v>0</v>
      </c>
      <c r="BO485" t="b">
        <f>AND(IF(Metadata!AB485="",FALSE,TRUE),EXACT(Metadata!AB485,"256318"))</f>
        <v>0</v>
      </c>
      <c r="BP485" t="b">
        <f>IF(Metadata!AC485="",FALSE,TRUE)</f>
        <v>0</v>
      </c>
      <c r="BQ485" t="b">
        <f>IF(Metadata!AD485="",FALSE,TRUE)</f>
        <v>0</v>
      </c>
    </row>
    <row r="486" spans="1:69" x14ac:dyDescent="0.2">
      <c r="A486" s="4" t="e">
        <f ca="1">IF(B486=" "," ",HYPERLINK(CONCATENATE("#metadata!",ADDRESS(INDEX($AJ$2:$AJ$1001,MATCH(ROWS($AH$2:AH486),$AH$2:$AH$1001,0),0),2)),INDEX($AM$2:$AM$1001,MATCH(ROWS($AH$2:AH486),$AH$2:$AH$1001,0),0)))</f>
        <v>#N/A</v>
      </c>
      <c r="B486" s="5" t="e">
        <f ca="1">IF(OR(INDEX($AI$2:$AI$1001,MATCH(ROWS($AH$2:AH486),$AH$2:$AH$1001,0),1)&gt;=100000,INDEX($AO$1005:$BQ$1005,1,MATCH(COLUMNS($AO$1006:AO1006),$AO$1006:$BQ$1006,0))&gt;=100000), " ",IF(INDEX($AO$2:$BQ$1001,MATCH(ROWS($AH$2:AH486),$AH$2:$AH$1001,0),MATCH(COLUMNS($AO$1006:AO1006),$AO$1006:$BQ$1006,0)), HYPERLINK("#",""), HYPERLINK(CONCATENATE("#Metadata!", ADDRESS(INDEX($AJ$2:$AJ$1001,MATCH(ROWS($AH$2:AH486),$AH$2:$AH$1001,0),0), INDEX($AO$1004:$BQ$1004,1,MATCH(COLUMNS($AO$1006:AO1006),$AO$1006:$BQ$1006,0)))),"Fix")))</f>
        <v>#N/A</v>
      </c>
      <c r="C486" s="5" t="e">
        <f ca="1">IF(OR(INDEX($AI$2:$AI$1001,MATCH(ROWS($AH$2:AH486),$AH$2:$AH$1001,0),1)&gt;=100000,INDEX($AO$1005:$BQ$1005,1,MATCH(COLUMNS($AO$1006:AP1006),$AO$1006:$BQ$1006,0))&gt;=100000), " ",IF(INDEX($AO$2:$BQ$1001,MATCH(ROWS($AH$2:AH486),$AH$2:$AH$1001,0),MATCH(COLUMNS($AO$1006:AP1006),$AO$1006:$BQ$1006,0)), HYPERLINK("#",""), HYPERLINK(CONCATENATE("#Metadata!", ADDRESS(INDEX($AJ$2:$AJ$1001,MATCH(ROWS($AH$2:AH486),$AH$2:$AH$1001,0),0), INDEX($AO$1004:$BQ$1004,1,MATCH(COLUMNS($AO$1006:AP1006),$AO$1006:$BQ$1006,0)))),"Fix")))</f>
        <v>#N/A</v>
      </c>
      <c r="D486" s="5" t="e">
        <f ca="1">IF(OR(INDEX($AI$2:$AI$1001,MATCH(ROWS($AH$2:AH486),$AH$2:$AH$1001,0),1)&gt;=100000,INDEX($AO$1005:$BQ$1005,1,MATCH(COLUMNS($AO$1006:AQ1006),$AO$1006:$BQ$1006,0))&gt;=100000), " ",IF(INDEX($AO$2:$BQ$1001,MATCH(ROWS($AH$2:AH486),$AH$2:$AH$1001,0),MATCH(COLUMNS($AO$1006:AQ1006),$AO$1006:$BQ$1006,0)), HYPERLINK("#",""), HYPERLINK(CONCATENATE("#Metadata!", ADDRESS(INDEX($AJ$2:$AJ$1001,MATCH(ROWS($AH$2:AH486),$AH$2:$AH$1001,0),0), INDEX($AO$1004:$BQ$1004,1,MATCH(COLUMNS($AO$1006:AQ1006),$AO$1006:$BQ$1006,0)))),"Fix")))</f>
        <v>#N/A</v>
      </c>
      <c r="E486" s="5" t="e">
        <f ca="1">IF(OR(INDEX($AI$2:$AI$1001,MATCH(ROWS($AH$2:AH486),$AH$2:$AH$1001,0),1)&gt;=100000,INDEX($AO$1005:$BQ$1005,1,MATCH(COLUMNS($AO$1006:AR1006),$AO$1006:$BQ$1006,0))&gt;=100000), " ",IF(INDEX($AO$2:$BQ$1001,MATCH(ROWS($AH$2:AH486),$AH$2:$AH$1001,0),MATCH(COLUMNS($AO$1006:AR1006),$AO$1006:$BQ$1006,0)), HYPERLINK("#",""), HYPERLINK(CONCATENATE("#Metadata!", ADDRESS(INDEX($AJ$2:$AJ$1001,MATCH(ROWS($AH$2:AH486),$AH$2:$AH$1001,0),0), INDEX($AO$1004:$BQ$1004,1,MATCH(COLUMNS($AO$1006:AR1006),$AO$1006:$BQ$1006,0)))),"Fix")))</f>
        <v>#N/A</v>
      </c>
      <c r="F486" s="5" t="e">
        <f ca="1">IF(OR(INDEX($AI$2:$AI$1001,MATCH(ROWS($AH$2:AH486),$AH$2:$AH$1001,0),1)&gt;=100000,INDEX($AO$1005:$BQ$1005,1,MATCH(COLUMNS($AO$1006:AS1006),$AO$1006:$BQ$1006,0))&gt;=100000), " ",IF(INDEX($AO$2:$BQ$1001,MATCH(ROWS($AH$2:AH486),$AH$2:$AH$1001,0),MATCH(COLUMNS($AO$1006:AS1006),$AO$1006:$BQ$1006,0)), HYPERLINK("#",""), HYPERLINK(CONCATENATE("#Metadata!", ADDRESS(INDEX($AJ$2:$AJ$1001,MATCH(ROWS($AH$2:AH486),$AH$2:$AH$1001,0),0), INDEX($AO$1004:$BQ$1004,1,MATCH(COLUMNS($AO$1006:AS1006),$AO$1006:$BQ$1006,0)))),"Fix")))</f>
        <v>#N/A</v>
      </c>
      <c r="G486" s="5" t="e">
        <f ca="1">IF(OR(INDEX($AI$2:$AI$1001,MATCH(ROWS($AH$2:AH486),$AH$2:$AH$1001,0),1)&gt;=100000,INDEX($AO$1005:$BQ$1005,1,MATCH(COLUMNS($AO$1006:AT1006),$AO$1006:$BQ$1006,0))&gt;=100000), " ",IF(INDEX($AO$2:$BQ$1001,MATCH(ROWS($AH$2:AH486),$AH$2:$AH$1001,0),MATCH(COLUMNS($AO$1006:AT1006),$AO$1006:$BQ$1006,0)), HYPERLINK("#",""), HYPERLINK(CONCATENATE("#Metadata!", ADDRESS(INDEX($AJ$2:$AJ$1001,MATCH(ROWS($AH$2:AH486),$AH$2:$AH$1001,0),0), INDEX($AO$1004:$BQ$1004,1,MATCH(COLUMNS($AO$1006:AT1006),$AO$1006:$BQ$1006,0)))),"Fix")))</f>
        <v>#N/A</v>
      </c>
      <c r="H486" s="5" t="e">
        <f ca="1">IF(OR(INDEX($AI$2:$AI$1001,MATCH(ROWS($AH$2:AH486),$AH$2:$AH$1001,0),1)&gt;=100000,INDEX($AO$1005:$BQ$1005,1,MATCH(COLUMNS($AO$1006:AU1006),$AO$1006:$BQ$1006,0))&gt;=100000), " ",IF(INDEX($AO$2:$BQ$1001,MATCH(ROWS($AH$2:AH486),$AH$2:$AH$1001,0),MATCH(COLUMNS($AO$1006:AU1006),$AO$1006:$BQ$1006,0)), HYPERLINK("#",""), HYPERLINK(CONCATENATE("#Metadata!", ADDRESS(INDEX($AJ$2:$AJ$1001,MATCH(ROWS($AH$2:AH486),$AH$2:$AH$1001,0),0), INDEX($AO$1004:$BQ$1004,1,MATCH(COLUMNS($AO$1006:AU1006),$AO$1006:$BQ$1006,0)))),"Fix")))</f>
        <v>#N/A</v>
      </c>
      <c r="I486" s="5" t="e">
        <f ca="1">IF(OR(INDEX($AI$2:$AI$1001,MATCH(ROWS($AH$2:AH486),$AH$2:$AH$1001,0),1)&gt;=100000,INDEX($AO$1005:$BQ$1005,1,MATCH(COLUMNS($AO$1006:AV1006),$AO$1006:$BQ$1006,0))&gt;=100000), " ",IF(INDEX($AO$2:$BQ$1001,MATCH(ROWS($AH$2:AH486),$AH$2:$AH$1001,0),MATCH(COLUMNS($AO$1006:AV1006),$AO$1006:$BQ$1006,0)), HYPERLINK("#",""), HYPERLINK(CONCATENATE("#Metadata!", ADDRESS(INDEX($AJ$2:$AJ$1001,MATCH(ROWS($AH$2:AH486),$AH$2:$AH$1001,0),0), INDEX($AO$1004:$BQ$1004,1,MATCH(COLUMNS($AO$1006:AV1006),$AO$1006:$BQ$1006,0)))),"Fix")))</f>
        <v>#N/A</v>
      </c>
      <c r="J486" s="5" t="e">
        <f ca="1">IF(OR(INDEX($AI$2:$AI$1001,MATCH(ROWS($AH$2:AH486),$AH$2:$AH$1001,0),1)&gt;=100000,INDEX($AO$1005:$BQ$1005,1,MATCH(COLUMNS($AO$1006:AW1006),$AO$1006:$BQ$1006,0))&gt;=100000), " ",IF(INDEX($AO$2:$BQ$1001,MATCH(ROWS($AH$2:AH486),$AH$2:$AH$1001,0),MATCH(COLUMNS($AO$1006:AW1006),$AO$1006:$BQ$1006,0)), HYPERLINK("#",""), HYPERLINK(CONCATENATE("#Metadata!", ADDRESS(INDEX($AJ$2:$AJ$1001,MATCH(ROWS($AH$2:AH486),$AH$2:$AH$1001,0),0), INDEX($AO$1004:$BQ$1004,1,MATCH(COLUMNS($AO$1006:AW1006),$AO$1006:$BQ$1006,0)))),"Fix")))</f>
        <v>#N/A</v>
      </c>
      <c r="K486" s="5" t="e">
        <f ca="1">IF(OR(INDEX($AI$2:$AI$1001,MATCH(ROWS($AH$2:AH486),$AH$2:$AH$1001,0),1)&gt;=100000,INDEX($AO$1005:$BQ$1005,1,MATCH(COLUMNS($AO$1006:AX1006),$AO$1006:$BQ$1006,0))&gt;=100000), " ",IF(INDEX($AO$2:$BQ$1001,MATCH(ROWS($AH$2:AH486),$AH$2:$AH$1001,0),MATCH(COLUMNS($AO$1006:AX1006),$AO$1006:$BQ$1006,0)), HYPERLINK("#",""), HYPERLINK(CONCATENATE("#Metadata!", ADDRESS(INDEX($AJ$2:$AJ$1001,MATCH(ROWS($AH$2:AH486),$AH$2:$AH$1001,0),0), INDEX($AO$1004:$BQ$1004,1,MATCH(COLUMNS($AO$1006:AX1006),$AO$1006:$BQ$1006,0)))),"Fix")))</f>
        <v>#N/A</v>
      </c>
      <c r="L486" s="5" t="e">
        <f ca="1">IF(OR(INDEX($AI$2:$AI$1001,MATCH(ROWS($AH$2:AH486),$AH$2:$AH$1001,0),1)&gt;=100000,INDEX($AO$1005:$BQ$1005,1,MATCH(COLUMNS($AO$1006:AY1006),$AO$1006:$BQ$1006,0))&gt;=100000), " ",IF(INDEX($AO$2:$BQ$1001,MATCH(ROWS($AH$2:AH486),$AH$2:$AH$1001,0),MATCH(COLUMNS($AO$1006:AY1006),$AO$1006:$BQ$1006,0)), HYPERLINK("#",""), HYPERLINK(CONCATENATE("#Metadata!", ADDRESS(INDEX($AJ$2:$AJ$1001,MATCH(ROWS($AH$2:AH486),$AH$2:$AH$1001,0),0), INDEX($AO$1004:$BQ$1004,1,MATCH(COLUMNS($AO$1006:AY1006),$AO$1006:$BQ$1006,0)))),"Fix")))</f>
        <v>#N/A</v>
      </c>
      <c r="M486" s="5" t="e">
        <f ca="1">IF(OR(INDEX($AI$2:$AI$1001,MATCH(ROWS($AH$2:AH486),$AH$2:$AH$1001,0),1)&gt;=100000,INDEX($AO$1005:$BQ$1005,1,MATCH(COLUMNS($AO$1006:AZ1006),$AO$1006:$BQ$1006,0))&gt;=100000), " ",IF(INDEX($AO$2:$BQ$1001,MATCH(ROWS($AH$2:AH486),$AH$2:$AH$1001,0),MATCH(COLUMNS($AO$1006:AZ1006),$AO$1006:$BQ$1006,0)), HYPERLINK("#",""), HYPERLINK(CONCATENATE("#Metadata!", ADDRESS(INDEX($AJ$2:$AJ$1001,MATCH(ROWS($AH$2:AH486),$AH$2:$AH$1001,0),0), INDEX($AO$1004:$BQ$1004,1,MATCH(COLUMNS($AO$1006:AZ1006),$AO$1006:$BQ$1006,0)))),"Fix")))</f>
        <v>#N/A</v>
      </c>
      <c r="N486" s="5" t="e">
        <f ca="1">IF(OR(INDEX($AI$2:$AI$1001,MATCH(ROWS($AH$2:AH486),$AH$2:$AH$1001,0),1)&gt;=100000,INDEX($AO$1005:$BQ$1005,1,MATCH(COLUMNS($AO$1006:BA1006),$AO$1006:$BQ$1006,0))&gt;=100000), " ",IF(INDEX($AO$2:$BQ$1001,MATCH(ROWS($AH$2:AH486),$AH$2:$AH$1001,0),MATCH(COLUMNS($AO$1006:BA1006),$AO$1006:$BQ$1006,0)), HYPERLINK("#",""), HYPERLINK(CONCATENATE("#Metadata!", ADDRESS(INDEX($AJ$2:$AJ$1001,MATCH(ROWS($AH$2:AH486),$AH$2:$AH$1001,0),0), INDEX($AO$1004:$BQ$1004,1,MATCH(COLUMNS($AO$1006:BA1006),$AO$1006:$BQ$1006,0)))),"Fix")))</f>
        <v>#N/A</v>
      </c>
      <c r="O486" s="5" t="e">
        <f ca="1">IF(OR(INDEX($AI$2:$AI$1001,MATCH(ROWS($AH$2:AH486),$AH$2:$AH$1001,0),1)&gt;=100000,INDEX($AO$1005:$BQ$1005,1,MATCH(COLUMNS($AO$1006:BB1006),$AO$1006:$BQ$1006,0))&gt;=100000), " ",IF(INDEX($AO$2:$BQ$1001,MATCH(ROWS($AH$2:AH486),$AH$2:$AH$1001,0),MATCH(COLUMNS($AO$1006:BB1006),$AO$1006:$BQ$1006,0)), HYPERLINK("#",""), HYPERLINK(CONCATENATE("#Metadata!", ADDRESS(INDEX($AJ$2:$AJ$1001,MATCH(ROWS($AH$2:AH486),$AH$2:$AH$1001,0),0), INDEX($AO$1004:$BQ$1004,1,MATCH(COLUMNS($AO$1006:BB1006),$AO$1006:$BQ$1006,0)))),"Fix")))</f>
        <v>#N/A</v>
      </c>
      <c r="P486" s="5" t="e">
        <f ca="1">IF(OR(INDEX($AI$2:$AI$1001,MATCH(ROWS($AH$2:AH486),$AH$2:$AH$1001,0),1)&gt;=100000,INDEX($AO$1005:$BQ$1005,1,MATCH(COLUMNS($AO$1006:BC1006),$AO$1006:$BQ$1006,0))&gt;=100000), " ",IF(INDEX($AO$2:$BQ$1001,MATCH(ROWS($AH$2:AH486),$AH$2:$AH$1001,0),MATCH(COLUMNS($AO$1006:BC1006),$AO$1006:$BQ$1006,0)), HYPERLINK("#",""), HYPERLINK(CONCATENATE("#Metadata!", ADDRESS(INDEX($AJ$2:$AJ$1001,MATCH(ROWS($AH$2:AH486),$AH$2:$AH$1001,0),0), INDEX($AO$1004:$BQ$1004,1,MATCH(COLUMNS($AO$1006:BC1006),$AO$1006:$BQ$1006,0)))),"Fix")))</f>
        <v>#N/A</v>
      </c>
      <c r="Q486" s="5" t="e">
        <f ca="1">IF(OR(INDEX($AI$2:$AI$1001,MATCH(ROWS($AH$2:AH486),$AH$2:$AH$1001,0),1)&gt;=100000,INDEX($AO$1005:$BQ$1005,1,MATCH(COLUMNS($AO$1006:BD1006),$AO$1006:$BQ$1006,0))&gt;=100000), " ",IF(INDEX($AO$2:$BQ$1001,MATCH(ROWS($AH$2:AH486),$AH$2:$AH$1001,0),MATCH(COLUMNS($AO$1006:BD1006),$AO$1006:$BQ$1006,0)), HYPERLINK("#",""), HYPERLINK(CONCATENATE("#Metadata!", ADDRESS(INDEX($AJ$2:$AJ$1001,MATCH(ROWS($AH$2:AH486),$AH$2:$AH$1001,0),0), INDEX($AO$1004:$BQ$1004,1,MATCH(COLUMNS($AO$1006:BD1006),$AO$1006:$BQ$1006,0)))),"Fix")))</f>
        <v>#N/A</v>
      </c>
      <c r="R486" s="5" t="e">
        <f ca="1">IF(OR(INDEX($AI$2:$AI$1001,MATCH(ROWS($AH$2:AH486),$AH$2:$AH$1001,0),1)&gt;=100000,INDEX($AO$1005:$BQ$1005,1,MATCH(COLUMNS($AO$1006:BE1006),$AO$1006:$BQ$1006,0))&gt;=100000), " ",IF(INDEX($AO$2:$BQ$1001,MATCH(ROWS($AH$2:AH486),$AH$2:$AH$1001,0),MATCH(COLUMNS($AO$1006:BE1006),$AO$1006:$BQ$1006,0)), HYPERLINK("#",""), HYPERLINK(CONCATENATE("#Metadata!", ADDRESS(INDEX($AJ$2:$AJ$1001,MATCH(ROWS($AH$2:AH486),$AH$2:$AH$1001,0),0), INDEX($AO$1004:$BQ$1004,1,MATCH(COLUMNS($AO$1006:BE1006),$AO$1006:$BQ$1006,0)))),"Fix")))</f>
        <v>#N/A</v>
      </c>
      <c r="S486" s="5" t="e">
        <f ca="1">IF(OR(INDEX($AI$2:$AI$1001,MATCH(ROWS($AH$2:AH486),$AH$2:$AH$1001,0),1)&gt;=100000,INDEX($AO$1005:$BQ$1005,1,MATCH(COLUMNS($AO$1006:BF1006),$AO$1006:$BQ$1006,0))&gt;=100000), " ",IF(INDEX($AO$2:$BQ$1001,MATCH(ROWS($AH$2:AH486),$AH$2:$AH$1001,0),MATCH(COLUMNS($AO$1006:BF1006),$AO$1006:$BQ$1006,0)), HYPERLINK("#",""), HYPERLINK(CONCATENATE("#Metadata!", ADDRESS(INDEX($AJ$2:$AJ$1001,MATCH(ROWS($AH$2:AH486),$AH$2:$AH$1001,0),0), INDEX($AO$1004:$BQ$1004,1,MATCH(COLUMNS($AO$1006:BF1006),$AO$1006:$BQ$1006,0)))),"Fix")))</f>
        <v>#N/A</v>
      </c>
      <c r="T486" s="5" t="e">
        <f ca="1">IF(OR(INDEX($AI$2:$AI$1001,MATCH(ROWS($AH$2:AH486),$AH$2:$AH$1001,0),1)&gt;=100000,INDEX($AO$1005:$BQ$1005,1,MATCH(COLUMNS($AO$1006:BG1006),$AO$1006:$BQ$1006,0))&gt;=100000), " ",IF(INDEX($AO$2:$BQ$1001,MATCH(ROWS($AH$2:AH486),$AH$2:$AH$1001,0),MATCH(COLUMNS($AO$1006:BG1006),$AO$1006:$BQ$1006,0)), HYPERLINK("#",""), HYPERLINK(CONCATENATE("#Metadata!", ADDRESS(INDEX($AJ$2:$AJ$1001,MATCH(ROWS($AH$2:AH486),$AH$2:$AH$1001,0),0), INDEX($AO$1004:$BQ$1004,1,MATCH(COLUMNS($AO$1006:BG1006),$AO$1006:$BQ$1006,0)))),"Fix")))</f>
        <v>#N/A</v>
      </c>
      <c r="U486" s="5" t="e">
        <f ca="1">IF(OR(INDEX($AI$2:$AI$1001,MATCH(ROWS($AH$2:AH486),$AH$2:$AH$1001,0),1)&gt;=100000,INDEX($AO$1005:$BQ$1005,1,MATCH(COLUMNS($AO$1006:BH1006),$AO$1006:$BQ$1006,0))&gt;=100000), " ",IF(INDEX($AO$2:$BQ$1001,MATCH(ROWS($AH$2:AH486),$AH$2:$AH$1001,0),MATCH(COLUMNS($AO$1006:BH1006),$AO$1006:$BQ$1006,0)), HYPERLINK("#",""), HYPERLINK(CONCATENATE("#Metadata!", ADDRESS(INDEX($AJ$2:$AJ$1001,MATCH(ROWS($AH$2:AH486),$AH$2:$AH$1001,0),0), INDEX($AO$1004:$BQ$1004,1,MATCH(COLUMNS($AO$1006:BH1006),$AO$1006:$BQ$1006,0)))),"Fix")))</f>
        <v>#N/A</v>
      </c>
      <c r="V486" s="5" t="e">
        <f ca="1">IF(OR(INDEX($AI$2:$AI$1001,MATCH(ROWS($AH$2:AH486),$AH$2:$AH$1001,0),1)&gt;=100000,INDEX($AO$1005:$BQ$1005,1,MATCH(COLUMNS($AO$1006:BI1006),$AO$1006:$BQ$1006,0))&gt;=100000), " ",IF(INDEX($AO$2:$BQ$1001,MATCH(ROWS($AH$2:AH486),$AH$2:$AH$1001,0),MATCH(COLUMNS($AO$1006:BI1006),$AO$1006:$BQ$1006,0)), HYPERLINK("#",""), HYPERLINK(CONCATENATE("#Metadata!", ADDRESS(INDEX($AJ$2:$AJ$1001,MATCH(ROWS($AH$2:AH486),$AH$2:$AH$1001,0),0), INDEX($AO$1004:$BQ$1004,1,MATCH(COLUMNS($AO$1006:BI1006),$AO$1006:$BQ$1006,0)))),"Fix")))</f>
        <v>#N/A</v>
      </c>
      <c r="W486" s="5" t="e">
        <f ca="1">IF(OR(INDEX($AI$2:$AI$1001,MATCH(ROWS($AH$2:AH486),$AH$2:$AH$1001,0),1)&gt;=100000,INDEX($AO$1005:$BQ$1005,1,MATCH(COLUMNS($AO$1006:BJ1006),$AO$1006:$BQ$1006,0))&gt;=100000), " ",IF(INDEX($AO$2:$BQ$1001,MATCH(ROWS($AH$2:AH486),$AH$2:$AH$1001,0),MATCH(COLUMNS($AO$1006:BJ1006),$AO$1006:$BQ$1006,0)), HYPERLINK("#",""), HYPERLINK(CONCATENATE("#Metadata!", ADDRESS(INDEX($AJ$2:$AJ$1001,MATCH(ROWS($AH$2:AH486),$AH$2:$AH$1001,0),0), INDEX($AO$1004:$BQ$1004,1,MATCH(COLUMNS($AO$1006:BJ1006),$AO$1006:$BQ$1006,0)))),"Fix")))</f>
        <v>#N/A</v>
      </c>
      <c r="X486" s="5" t="e">
        <f ca="1">IF(OR(INDEX($AI$2:$AI$1001,MATCH(ROWS($AH$2:AH486),$AH$2:$AH$1001,0),1)&gt;=100000,INDEX($AO$1005:$BQ$1005,1,MATCH(COLUMNS($AO$1006:BK1006),$AO$1006:$BQ$1006,0))&gt;=100000), " ",IF(INDEX($AO$2:$BQ$1001,MATCH(ROWS($AH$2:AH486),$AH$2:$AH$1001,0),MATCH(COLUMNS($AO$1006:BK1006),$AO$1006:$BQ$1006,0)), HYPERLINK("#",""), HYPERLINK(CONCATENATE("#Metadata!", ADDRESS(INDEX($AJ$2:$AJ$1001,MATCH(ROWS($AH$2:AH486),$AH$2:$AH$1001,0),0), INDEX($AO$1004:$BQ$1004,1,MATCH(COLUMNS($AO$1006:BK1006),$AO$1006:$BQ$1006,0)))),"Fix")))</f>
        <v>#N/A</v>
      </c>
      <c r="Y486" s="5" t="e">
        <f ca="1">IF(OR(INDEX($AI$2:$AI$1001,MATCH(ROWS($AH$2:AH486),$AH$2:$AH$1001,0),1)&gt;=100000,INDEX($AO$1005:$BQ$1005,1,MATCH(COLUMNS($AO$1006:BL1006),$AO$1006:$BQ$1006,0))&gt;=100000), " ",IF(INDEX($AO$2:$BQ$1001,MATCH(ROWS($AH$2:AH486),$AH$2:$AH$1001,0),MATCH(COLUMNS($AO$1006:BL1006),$AO$1006:$BQ$1006,0)), HYPERLINK("#",""), HYPERLINK(CONCATENATE("#Metadata!", ADDRESS(INDEX($AJ$2:$AJ$1001,MATCH(ROWS($AH$2:AH486),$AH$2:$AH$1001,0),0), INDEX($AO$1004:$BQ$1004,1,MATCH(COLUMNS($AO$1006:BL1006),$AO$1006:$BQ$1006,0)))),"Fix")))</f>
        <v>#N/A</v>
      </c>
      <c r="Z486" s="5" t="e">
        <f ca="1">IF(OR(INDEX($AI$2:$AI$1001,MATCH(ROWS($AH$2:AH486),$AH$2:$AH$1001,0),1)&gt;=100000,INDEX($AO$1005:$BQ$1005,1,MATCH(COLUMNS($AO$1006:BM1006),$AO$1006:$BQ$1006,0))&gt;=100000), " ",IF(INDEX($AO$2:$BQ$1001,MATCH(ROWS($AH$2:AH486),$AH$2:$AH$1001,0),MATCH(COLUMNS($AO$1006:BM1006),$AO$1006:$BQ$1006,0)), HYPERLINK("#",""), HYPERLINK(CONCATENATE("#Metadata!", ADDRESS(INDEX($AJ$2:$AJ$1001,MATCH(ROWS($AH$2:AH486),$AH$2:$AH$1001,0),0), INDEX($AO$1004:$BQ$1004,1,MATCH(COLUMNS($AO$1006:BM1006),$AO$1006:$BQ$1006,0)))),"Fix")))</f>
        <v>#N/A</v>
      </c>
      <c r="AA486" s="5" t="e">
        <f ca="1">IF(OR(INDEX($AI$2:$AI$1001,MATCH(ROWS($AH$2:AH486),$AH$2:$AH$1001,0),1)&gt;=100000,INDEX($AO$1005:$BQ$1005,1,MATCH(COLUMNS($AO$1006:BN1006),$AO$1006:$BQ$1006,0))&gt;=100000), " ",IF(INDEX($AO$2:$BQ$1001,MATCH(ROWS($AH$2:AH486),$AH$2:$AH$1001,0),MATCH(COLUMNS($AO$1006:BN1006),$AO$1006:$BQ$1006,0)), HYPERLINK("#",""), HYPERLINK(CONCATENATE("#Metadata!", ADDRESS(INDEX($AJ$2:$AJ$1001,MATCH(ROWS($AH$2:AH486),$AH$2:$AH$1001,0),0), INDEX($AO$1004:$BQ$1004,1,MATCH(COLUMNS($AO$1006:BN1006),$AO$1006:$BQ$1006,0)))),"Fix")))</f>
        <v>#N/A</v>
      </c>
      <c r="AB486" s="5" t="e">
        <f ca="1">IF(OR(INDEX($AI$2:$AI$1001,MATCH(ROWS($AH$2:AH486),$AH$2:$AH$1001,0),1)&gt;=100000,INDEX($AO$1005:$BQ$1005,1,MATCH(COLUMNS($AO$1006:BO1006),$AO$1006:$BQ$1006,0))&gt;=100000), " ",IF(INDEX($AO$2:$BQ$1001,MATCH(ROWS($AH$2:AH486),$AH$2:$AH$1001,0),MATCH(COLUMNS($AO$1006:BO1006),$AO$1006:$BQ$1006,0)), HYPERLINK("#",""), HYPERLINK(CONCATENATE("#Metadata!", ADDRESS(INDEX($AJ$2:$AJ$1001,MATCH(ROWS($AH$2:AH486),$AH$2:$AH$1001,0),0), INDEX($AO$1004:$BQ$1004,1,MATCH(COLUMNS($AO$1006:BO1006),$AO$1006:$BQ$1006,0)))),"Fix")))</f>
        <v>#N/A</v>
      </c>
      <c r="AC486" s="5" t="e">
        <f ca="1">IF(OR(INDEX($AI$2:$AI$1001,MATCH(ROWS($AH$2:AH486),$AH$2:$AH$1001,0),1)&gt;=100000,INDEX($AO$1005:$BQ$1005,1,MATCH(COLUMNS($AO$1006:BP1006),$AO$1006:$BQ$1006,0))&gt;=100000), " ",IF(INDEX($AO$2:$BQ$1001,MATCH(ROWS($AH$2:AH486),$AH$2:$AH$1001,0),MATCH(COLUMNS($AO$1006:BP1006),$AO$1006:$BQ$1006,0)), HYPERLINK("#",""), HYPERLINK(CONCATENATE("#Metadata!", ADDRESS(INDEX($AJ$2:$AJ$1001,MATCH(ROWS($AH$2:AH486),$AH$2:$AH$1001,0),0), INDEX($AO$1004:$BQ$1004,1,MATCH(COLUMNS($AO$1006:BP1006),$AO$1006:$BQ$1006,0)))),"Fix")))</f>
        <v>#N/A</v>
      </c>
      <c r="AD486" s="5" t="e">
        <f ca="1">IF(OR(INDEX($AI$2:$AI$1001,MATCH(ROWS($AH$2:AH486),$AH$2:$AH$1001,0),1)&gt;=100000,INDEX($AO$1005:$BQ$1005,1,MATCH(COLUMNS($AO$1006:BQ1006),$AO$1006:$BQ$1006,0))&gt;=100000), " ",IF(INDEX($AO$2:$BQ$1001,MATCH(ROWS($AH$2:AH486),$AH$2:$AH$1001,0),MATCH(COLUMNS($AO$1006:BQ1006),$AO$1006:$BQ$1006,0)), HYPERLINK("#",""), HYPERLINK(CONCATENATE("#Metadata!", ADDRESS(INDEX($AJ$2:$AJ$1001,MATCH(ROWS($AH$2:AH486),$AH$2:$AH$1001,0),0), INDEX($AO$1004:$BQ$1004,1,MATCH(COLUMNS($AO$1006:BQ1006),$AO$1006:$BQ$1006,0)))),"Fix")))</f>
        <v>#REF!</v>
      </c>
      <c r="AH486">
        <f ca="1"/>
        <v>483</v>
      </c>
      <c r="AI486">
        <v>100486</v>
      </c>
      <c r="AJ486">
        <v>486</v>
      </c>
      <c r="AK486" t="b">
        <f t="shared" si="7"/>
        <v>1</v>
      </c>
      <c r="AL486" t="b">
        <f>COUNTBLANK(Metadata!B486:AD486)=COLUMNS(Metadata!B486:AD486)</f>
        <v>1</v>
      </c>
      <c r="AM486" t="str">
        <v/>
      </c>
      <c r="AO486" t="b">
        <f ca="1">AND(IF(Metadata!B486="",FALSE,TRUE),COUNTIF(Metadata!B:B, Metadata!B486) = 1,NOT(ISERROR(SUMPRODUCT(SEARCH(MID(Metadata!B486,ROW(INDIRECT("1:"&amp;LEN(Metadata!B486))), 1),"0123456789abcdefghijklmnopqrstuvwxyzABCDEFGHIJKLMNOPQRSTUVWXYZ.")))))</f>
        <v>0</v>
      </c>
      <c r="AP486" t="b">
        <f>IF(Metadata!C486="",FALSE,TRUE)</f>
        <v>0</v>
      </c>
      <c r="AQ486" t="b">
        <f>IF(Metadata!D486="",FALSE,TRUE)</f>
        <v>0</v>
      </c>
      <c r="AR486" t="b">
        <f ca="1">OR(AND(IF(Metadata!E486="",FALSE,TRUE),OR(EXACT(Metadata!E486,"not collected"),EXACT(Metadata!E486,"not provided"),EXACT(Metadata!E486,"restricted access"))),AND(IF(Metadata!E486="",FALSE,TRUE),AND(AND(IFERROR(INT(LEFT(Metadata!E486,4))&gt;1900,FALSE),IFERROR(INT(LEFT(Metadata!E486,4))&lt;=YEAR(NOW()),FALSE)), OR(MID(Metadata!E486,5,1)="", AND(AND(MID(Metadata!E486,5,1)="-",IFERROR(INT(MID(Metadata!E486,6,1))&gt;=0,FALSE),IFERROR(INT(MID(Metadata!E486,6,1))&lt;=1,FALSE),NOT(MID(Metadata!E486,7,1)=""),IFERROR(INT(MID(Metadata!E486,6,2))&gt;=1,FALSE),IFERROR(INT(MID(Metadata!E486,6,2))&lt;=12,FALSE)), OR(MID(Metadata!E486,8,1)="", AND(AND(MID(Metadata!E486,8,1)="-",IFERROR(INT(MID(Metadata!E486,9,1))&gt;=0,FALSE),IFERROR(INT(MID(Metadata!E486,9,1))&lt;=3,FALSE),NOT(MID(Metadata!E486,10,1)=""),IFERROR(INT(MID(Metadata!E486,9,2))&gt;=1,FALSE),IFERROR(INT(MID(Metadata!E486,9,2))&lt;=31,FALSE)), OR(MID(Metadata!E486,11,1)="", AND(AND(MID(Metadata!E486,11,1)=" ",IFERROR(INT(MID(Metadata!E486,12,1))&gt;=0,FALSE),IFERROR(INT(MID(Metadata!E486,12,1))&lt;=2,FALSE),NOT(MID(Metadata!E486,13,1)=""),IFERROR(INT(MID(Metadata!E486,12,2))&gt;=0,FALSE),IFERROR(INT(MID(Metadata!E486,12,2))&lt;=23,FALSE)), OR(MID(Metadata!E486,14,1)="", AND(AND(MID(Metadata!E486,14,1)=":",IFERROR(INT(MID(Metadata!E486,15,1))&gt;=0,FALSE),IFERROR(INT(MID(Metadata!E486,15,1))&lt;=5,FALSE),NOT(MID(Metadata!E486,16,1)=""),IFERROR(INT(MID(Metadata!E486,15,2))&gt;=0,FALSE),IFERROR(INT(MID(Metadata!E486,15,2))&lt;=59,FALSE)), OR(MID(Metadata!E486,17,1)="", AND(AND(MID(Metadata!E486,17,1)=":",IFERROR(INT(MID(Metadata!E486,18,1))&gt;=0,FALSE),IFERROR(INT(MID(Metadata!E486,18,1))&lt;=5,FALSE),NOT(MID(Metadata!E486,19,1)=""),IFERROR(INT(MID(Metadata!E486,18,2))&gt;=0,FALSE),IFERROR(INT(MID(Metadata!E486,18,2))&lt;=59,FALSE)), LEN(Metadata!E486)&lt;=19)))))))))))))</f>
        <v>0</v>
      </c>
      <c r="AS486" t="b">
        <f>IF(Metadata!F486="",FALSE,TRUE)</f>
        <v>0</v>
      </c>
      <c r="AT486" t="b">
        <f>OR(AND(IF(Metadata!G486="",FALSE,TRUE),OR(EXACT(Metadata!G486,"not collected"),EXACT(Metadata!G486,"not provided"))),AND(IF(Metadata!G486="",FALSE,TRUE),OR(EXACT(Metadata!G486,"TRUE"),EXACT(Metadata!G486,"FALSE"))))</f>
        <v>0</v>
      </c>
      <c r="AU486" t="b">
        <f>OR(AND(IF(Metadata!H486="",FALSE,TRUE),OR(EXACT(Metadata!H486,"not collected"),EXACT(Metadata!H486,"not provided"),EXACT(Metadata!H486,"restricted access"))),AND(IF(Metadata!H486="",FALSE,ISNUMBER(VALUE(Metadata!H486))),Metadata!H486&gt;=-413))</f>
        <v>0</v>
      </c>
      <c r="AV486" t="b">
        <f>AND(IF(Metadata!I486="",FALSE,TRUE),EXACT(Metadata!I486,"meters"))</f>
        <v>0</v>
      </c>
      <c r="AW486" t="b">
        <f>AND(IF(Metadata!J486="",FALSE,TRUE),EXACT(Metadata!J486,"free-living"))</f>
        <v>0</v>
      </c>
      <c r="AX486" t="b">
        <f>AND(IF(Metadata!K486="",FALSE,TRUE),OR(EXACT(Metadata!K486,"saline"),EXACT(Metadata!K486,"non-saline")))</f>
        <v>0</v>
      </c>
      <c r="AY486" t="b">
        <f>AND(IF(Metadata!L486="",FALSE,TRUE),OR(EXACT(Metadata!L486,"sub-surface (non-saline)"),EXACT(Metadata!L486,"surface (non-saline)"),EXACT(Metadata!L486,"water (non-saline)"),EXACT(Metadata!L486,"soil (non-saline)"),EXACT(Metadata!L486,"aerosol (non-saline)"),EXACT(Metadata!L486,"sediment (non-saline)"),EXACT(Metadata!L486,"surface (saline)"),EXACT(Metadata!L486,"water (saline)"),EXACT(Metadata!L486,"hypersaline (saline)"),EXACT(Metadata!L486,"aerosol (saline)"),EXACT(Metadata!L486,"sediment (saline)")))</f>
        <v>0</v>
      </c>
      <c r="AZ486" t="b">
        <f>IF(Metadata!M486="",FALSE,TRUE)</f>
        <v>0</v>
      </c>
      <c r="BA486" t="b">
        <f>IF(Metadata!N486="",FALSE,TRUE)</f>
        <v>0</v>
      </c>
      <c r="BB486" t="b">
        <f>IF(Metadata!O486="",FALSE,TRUE)</f>
        <v>0</v>
      </c>
      <c r="BC486" t="b">
        <f>AND(IF(Metadata!P486="",FALSE,TRUE),OR(EXACT(Metadata!P486,"air"),EXACT(Metadata!P486,"microbial mat/biofilm"),EXACT(Metadata!P486,"misc environment"),EXACT(Metadata!P486,"sediment"),EXACT(Metadata!P486,"soil"),EXACT(Metadata!P486,"wastewater/sludge"),EXACT(Metadata!P486,"water")))</f>
        <v>0</v>
      </c>
      <c r="BD486" t="b">
        <f>IF(Metadata!Q486="",FALSE,TRUE)</f>
        <v>0</v>
      </c>
      <c r="BE486" t="b">
        <f>IF(Metadata!R486="",FALSE,TRUE)</f>
        <v>0</v>
      </c>
      <c r="BF486" t="b">
        <f>OR(AND(IF(Metadata!S486="",FALSE,TRUE),OR(EXACT(Metadata!S486,"not collected"),EXACT(Metadata!S486,"not provided"),EXACT(Metadata!S486,"restricted access"))),AND(IF(Metadata!S486="",FALSE,ISNUMBER(VALUE(Metadata!S486))),Metadata!S486&gt;=-90,Metadata!S486&lt;=90))</f>
        <v>0</v>
      </c>
      <c r="BG486" t="b">
        <f>AND(IF(Metadata!T486="",FALSE,TRUE),EXACT(Metadata!T486,"Decimal degrees"))</f>
        <v>0</v>
      </c>
      <c r="BH486" t="b">
        <f>OR(AND(IF(Metadata!U486="",FALSE,TRUE),OR(EXACT(Metadata!U486,"not applicable"),EXACT(Metadata!U486,"not collected"))),IF(Metadata!U486="",FALSE,TRUE))</f>
        <v>0</v>
      </c>
      <c r="BI486" t="b">
        <f>OR(AND(IF(Metadata!V486="",FALSE,TRUE),OR(EXACT(Metadata!V486,"not collected"),EXACT(Metadata!V486,"not provided"),EXACT(Metadata!V486,"restricted access"))),AND(IF(Metadata!V486="",FALSE,ISNUMBER(VALUE(Metadata!V486))),Metadata!V486&gt;=-180,Metadata!V486&lt;=180))</f>
        <v>0</v>
      </c>
      <c r="BJ486" t="b">
        <f>AND(IF(Metadata!W486="",FALSE,TRUE),EXACT(Metadata!W486,"Decimal degrees"))</f>
        <v>0</v>
      </c>
      <c r="BK486" t="b">
        <f>IF(Metadata!X486="",FALSE,TRUE)</f>
        <v>0</v>
      </c>
      <c r="BL486" t="b">
        <f>OR(AND(IF(Metadata!Y486="",FALSE,TRUE),OR(EXACT(Metadata!Y486,"not collected"),EXACT(Metadata!Y486,"not provided"),EXACT(Metadata!Y486,"restricted access"))),AND(IF(Metadata!Y486="",FALSE,TRUE),OR(EXACT(Metadata!Y486,"TRUE"),EXACT(Metadata!Y486,"FALSE"))))</f>
        <v>0</v>
      </c>
      <c r="BM486" t="b">
        <f>OR(AND(IF(Metadata!Z486="",FALSE,TRUE),EXACT(Metadata!Z486,"not applicable")),AND(IF(Metadata!Z486="",FALSE,TRUE),OR(EXACT(Metadata!Z486,"beer"),EXACT(Metadata!Z486,"cheese"),EXACT(Metadata!Z486,"fresh water"),EXACT(Metadata!Z486,"marine sediment"),EXACT(Metadata!Z486,"sea water"),EXACT(Metadata!Z486,"sediment"),EXACT(Metadata!Z486,"soil"),EXACT(Metadata!Z486,"waste water"))))</f>
        <v>0</v>
      </c>
      <c r="BN486" t="b">
        <f>AND(IF(Metadata!AA486="",FALSE,TRUE),EXACT(Metadata!AA486,"metagenome"))</f>
        <v>0</v>
      </c>
      <c r="BO486" t="b">
        <f>AND(IF(Metadata!AB486="",FALSE,TRUE),EXACT(Metadata!AB486,"256318"))</f>
        <v>0</v>
      </c>
      <c r="BP486" t="b">
        <f>IF(Metadata!AC486="",FALSE,TRUE)</f>
        <v>0</v>
      </c>
      <c r="BQ486" t="b">
        <f>IF(Metadata!AD486="",FALSE,TRUE)</f>
        <v>0</v>
      </c>
    </row>
    <row r="487" spans="1:69" x14ac:dyDescent="0.2">
      <c r="A487" s="4" t="e">
        <f ca="1">IF(B487=" "," ",HYPERLINK(CONCATENATE("#metadata!",ADDRESS(INDEX($AJ$2:$AJ$1001,MATCH(ROWS($AH$2:AH487),$AH$2:$AH$1001,0),0),2)),INDEX($AM$2:$AM$1001,MATCH(ROWS($AH$2:AH487),$AH$2:$AH$1001,0),0)))</f>
        <v>#N/A</v>
      </c>
      <c r="B487" s="5" t="e">
        <f ca="1">IF(OR(INDEX($AI$2:$AI$1001,MATCH(ROWS($AH$2:AH487),$AH$2:$AH$1001,0),1)&gt;=100000,INDEX($AO$1005:$BQ$1005,1,MATCH(COLUMNS($AO$1006:AO1006),$AO$1006:$BQ$1006,0))&gt;=100000), " ",IF(INDEX($AO$2:$BQ$1001,MATCH(ROWS($AH$2:AH487),$AH$2:$AH$1001,0),MATCH(COLUMNS($AO$1006:AO1006),$AO$1006:$BQ$1006,0)), HYPERLINK("#",""), HYPERLINK(CONCATENATE("#Metadata!", ADDRESS(INDEX($AJ$2:$AJ$1001,MATCH(ROWS($AH$2:AH487),$AH$2:$AH$1001,0),0), INDEX($AO$1004:$BQ$1004,1,MATCH(COLUMNS($AO$1006:AO1006),$AO$1006:$BQ$1006,0)))),"Fix")))</f>
        <v>#N/A</v>
      </c>
      <c r="C487" s="5" t="e">
        <f ca="1">IF(OR(INDEX($AI$2:$AI$1001,MATCH(ROWS($AH$2:AH487),$AH$2:$AH$1001,0),1)&gt;=100000,INDEX($AO$1005:$BQ$1005,1,MATCH(COLUMNS($AO$1006:AP1006),$AO$1006:$BQ$1006,0))&gt;=100000), " ",IF(INDEX($AO$2:$BQ$1001,MATCH(ROWS($AH$2:AH487),$AH$2:$AH$1001,0),MATCH(COLUMNS($AO$1006:AP1006),$AO$1006:$BQ$1006,0)), HYPERLINK("#",""), HYPERLINK(CONCATENATE("#Metadata!", ADDRESS(INDEX($AJ$2:$AJ$1001,MATCH(ROWS($AH$2:AH487),$AH$2:$AH$1001,0),0), INDEX($AO$1004:$BQ$1004,1,MATCH(COLUMNS($AO$1006:AP1006),$AO$1006:$BQ$1006,0)))),"Fix")))</f>
        <v>#N/A</v>
      </c>
      <c r="D487" s="5" t="e">
        <f ca="1">IF(OR(INDEX($AI$2:$AI$1001,MATCH(ROWS($AH$2:AH487),$AH$2:$AH$1001,0),1)&gt;=100000,INDEX($AO$1005:$BQ$1005,1,MATCH(COLUMNS($AO$1006:AQ1006),$AO$1006:$BQ$1006,0))&gt;=100000), " ",IF(INDEX($AO$2:$BQ$1001,MATCH(ROWS($AH$2:AH487),$AH$2:$AH$1001,0),MATCH(COLUMNS($AO$1006:AQ1006),$AO$1006:$BQ$1006,0)), HYPERLINK("#",""), HYPERLINK(CONCATENATE("#Metadata!", ADDRESS(INDEX($AJ$2:$AJ$1001,MATCH(ROWS($AH$2:AH487),$AH$2:$AH$1001,0),0), INDEX($AO$1004:$BQ$1004,1,MATCH(COLUMNS($AO$1006:AQ1006),$AO$1006:$BQ$1006,0)))),"Fix")))</f>
        <v>#N/A</v>
      </c>
      <c r="E487" s="5" t="e">
        <f ca="1">IF(OR(INDEX($AI$2:$AI$1001,MATCH(ROWS($AH$2:AH487),$AH$2:$AH$1001,0),1)&gt;=100000,INDEX($AO$1005:$BQ$1005,1,MATCH(COLUMNS($AO$1006:AR1006),$AO$1006:$BQ$1006,0))&gt;=100000), " ",IF(INDEX($AO$2:$BQ$1001,MATCH(ROWS($AH$2:AH487),$AH$2:$AH$1001,0),MATCH(COLUMNS($AO$1006:AR1006),$AO$1006:$BQ$1006,0)), HYPERLINK("#",""), HYPERLINK(CONCATENATE("#Metadata!", ADDRESS(INDEX($AJ$2:$AJ$1001,MATCH(ROWS($AH$2:AH487),$AH$2:$AH$1001,0),0), INDEX($AO$1004:$BQ$1004,1,MATCH(COLUMNS($AO$1006:AR1006),$AO$1006:$BQ$1006,0)))),"Fix")))</f>
        <v>#N/A</v>
      </c>
      <c r="F487" s="5" t="e">
        <f ca="1">IF(OR(INDEX($AI$2:$AI$1001,MATCH(ROWS($AH$2:AH487),$AH$2:$AH$1001,0),1)&gt;=100000,INDEX($AO$1005:$BQ$1005,1,MATCH(COLUMNS($AO$1006:AS1006),$AO$1006:$BQ$1006,0))&gt;=100000), " ",IF(INDEX($AO$2:$BQ$1001,MATCH(ROWS($AH$2:AH487),$AH$2:$AH$1001,0),MATCH(COLUMNS($AO$1006:AS1006),$AO$1006:$BQ$1006,0)), HYPERLINK("#",""), HYPERLINK(CONCATENATE("#Metadata!", ADDRESS(INDEX($AJ$2:$AJ$1001,MATCH(ROWS($AH$2:AH487),$AH$2:$AH$1001,0),0), INDEX($AO$1004:$BQ$1004,1,MATCH(COLUMNS($AO$1006:AS1006),$AO$1006:$BQ$1006,0)))),"Fix")))</f>
        <v>#N/A</v>
      </c>
      <c r="G487" s="5" t="e">
        <f ca="1">IF(OR(INDEX($AI$2:$AI$1001,MATCH(ROWS($AH$2:AH487),$AH$2:$AH$1001,0),1)&gt;=100000,INDEX($AO$1005:$BQ$1005,1,MATCH(COLUMNS($AO$1006:AT1006),$AO$1006:$BQ$1006,0))&gt;=100000), " ",IF(INDEX($AO$2:$BQ$1001,MATCH(ROWS($AH$2:AH487),$AH$2:$AH$1001,0),MATCH(COLUMNS($AO$1006:AT1006),$AO$1006:$BQ$1006,0)), HYPERLINK("#",""), HYPERLINK(CONCATENATE("#Metadata!", ADDRESS(INDEX($AJ$2:$AJ$1001,MATCH(ROWS($AH$2:AH487),$AH$2:$AH$1001,0),0), INDEX($AO$1004:$BQ$1004,1,MATCH(COLUMNS($AO$1006:AT1006),$AO$1006:$BQ$1006,0)))),"Fix")))</f>
        <v>#N/A</v>
      </c>
      <c r="H487" s="5" t="e">
        <f ca="1">IF(OR(INDEX($AI$2:$AI$1001,MATCH(ROWS($AH$2:AH487),$AH$2:$AH$1001,0),1)&gt;=100000,INDEX($AO$1005:$BQ$1005,1,MATCH(COLUMNS($AO$1006:AU1006),$AO$1006:$BQ$1006,0))&gt;=100000), " ",IF(INDEX($AO$2:$BQ$1001,MATCH(ROWS($AH$2:AH487),$AH$2:$AH$1001,0),MATCH(COLUMNS($AO$1006:AU1006),$AO$1006:$BQ$1006,0)), HYPERLINK("#",""), HYPERLINK(CONCATENATE("#Metadata!", ADDRESS(INDEX($AJ$2:$AJ$1001,MATCH(ROWS($AH$2:AH487),$AH$2:$AH$1001,0),0), INDEX($AO$1004:$BQ$1004,1,MATCH(COLUMNS($AO$1006:AU1006),$AO$1006:$BQ$1006,0)))),"Fix")))</f>
        <v>#N/A</v>
      </c>
      <c r="I487" s="5" t="e">
        <f ca="1">IF(OR(INDEX($AI$2:$AI$1001,MATCH(ROWS($AH$2:AH487),$AH$2:$AH$1001,0),1)&gt;=100000,INDEX($AO$1005:$BQ$1005,1,MATCH(COLUMNS($AO$1006:AV1006),$AO$1006:$BQ$1006,0))&gt;=100000), " ",IF(INDEX($AO$2:$BQ$1001,MATCH(ROWS($AH$2:AH487),$AH$2:$AH$1001,0),MATCH(COLUMNS($AO$1006:AV1006),$AO$1006:$BQ$1006,0)), HYPERLINK("#",""), HYPERLINK(CONCATENATE("#Metadata!", ADDRESS(INDEX($AJ$2:$AJ$1001,MATCH(ROWS($AH$2:AH487),$AH$2:$AH$1001,0),0), INDEX($AO$1004:$BQ$1004,1,MATCH(COLUMNS($AO$1006:AV1006),$AO$1006:$BQ$1006,0)))),"Fix")))</f>
        <v>#N/A</v>
      </c>
      <c r="J487" s="5" t="e">
        <f ca="1">IF(OR(INDEX($AI$2:$AI$1001,MATCH(ROWS($AH$2:AH487),$AH$2:$AH$1001,0),1)&gt;=100000,INDEX($AO$1005:$BQ$1005,1,MATCH(COLUMNS($AO$1006:AW1006),$AO$1006:$BQ$1006,0))&gt;=100000), " ",IF(INDEX($AO$2:$BQ$1001,MATCH(ROWS($AH$2:AH487),$AH$2:$AH$1001,0),MATCH(COLUMNS($AO$1006:AW1006),$AO$1006:$BQ$1006,0)), HYPERLINK("#",""), HYPERLINK(CONCATENATE("#Metadata!", ADDRESS(INDEX($AJ$2:$AJ$1001,MATCH(ROWS($AH$2:AH487),$AH$2:$AH$1001,0),0), INDEX($AO$1004:$BQ$1004,1,MATCH(COLUMNS($AO$1006:AW1006),$AO$1006:$BQ$1006,0)))),"Fix")))</f>
        <v>#N/A</v>
      </c>
      <c r="K487" s="5" t="e">
        <f ca="1">IF(OR(INDEX($AI$2:$AI$1001,MATCH(ROWS($AH$2:AH487),$AH$2:$AH$1001,0),1)&gt;=100000,INDEX($AO$1005:$BQ$1005,1,MATCH(COLUMNS($AO$1006:AX1006),$AO$1006:$BQ$1006,0))&gt;=100000), " ",IF(INDEX($AO$2:$BQ$1001,MATCH(ROWS($AH$2:AH487),$AH$2:$AH$1001,0),MATCH(COLUMNS($AO$1006:AX1006),$AO$1006:$BQ$1006,0)), HYPERLINK("#",""), HYPERLINK(CONCATENATE("#Metadata!", ADDRESS(INDEX($AJ$2:$AJ$1001,MATCH(ROWS($AH$2:AH487),$AH$2:$AH$1001,0),0), INDEX($AO$1004:$BQ$1004,1,MATCH(COLUMNS($AO$1006:AX1006),$AO$1006:$BQ$1006,0)))),"Fix")))</f>
        <v>#N/A</v>
      </c>
      <c r="L487" s="5" t="e">
        <f ca="1">IF(OR(INDEX($AI$2:$AI$1001,MATCH(ROWS($AH$2:AH487),$AH$2:$AH$1001,0),1)&gt;=100000,INDEX($AO$1005:$BQ$1005,1,MATCH(COLUMNS($AO$1006:AY1006),$AO$1006:$BQ$1006,0))&gt;=100000), " ",IF(INDEX($AO$2:$BQ$1001,MATCH(ROWS($AH$2:AH487),$AH$2:$AH$1001,0),MATCH(COLUMNS($AO$1006:AY1006),$AO$1006:$BQ$1006,0)), HYPERLINK("#",""), HYPERLINK(CONCATENATE("#Metadata!", ADDRESS(INDEX($AJ$2:$AJ$1001,MATCH(ROWS($AH$2:AH487),$AH$2:$AH$1001,0),0), INDEX($AO$1004:$BQ$1004,1,MATCH(COLUMNS($AO$1006:AY1006),$AO$1006:$BQ$1006,0)))),"Fix")))</f>
        <v>#N/A</v>
      </c>
      <c r="M487" s="5" t="e">
        <f ca="1">IF(OR(INDEX($AI$2:$AI$1001,MATCH(ROWS($AH$2:AH487),$AH$2:$AH$1001,0),1)&gt;=100000,INDEX($AO$1005:$BQ$1005,1,MATCH(COLUMNS($AO$1006:AZ1006),$AO$1006:$BQ$1006,0))&gt;=100000), " ",IF(INDEX($AO$2:$BQ$1001,MATCH(ROWS($AH$2:AH487),$AH$2:$AH$1001,0),MATCH(COLUMNS($AO$1006:AZ1006),$AO$1006:$BQ$1006,0)), HYPERLINK("#",""), HYPERLINK(CONCATENATE("#Metadata!", ADDRESS(INDEX($AJ$2:$AJ$1001,MATCH(ROWS($AH$2:AH487),$AH$2:$AH$1001,0),0), INDEX($AO$1004:$BQ$1004,1,MATCH(COLUMNS($AO$1006:AZ1006),$AO$1006:$BQ$1006,0)))),"Fix")))</f>
        <v>#N/A</v>
      </c>
      <c r="N487" s="5" t="e">
        <f ca="1">IF(OR(INDEX($AI$2:$AI$1001,MATCH(ROWS($AH$2:AH487),$AH$2:$AH$1001,0),1)&gt;=100000,INDEX($AO$1005:$BQ$1005,1,MATCH(COLUMNS($AO$1006:BA1006),$AO$1006:$BQ$1006,0))&gt;=100000), " ",IF(INDEX($AO$2:$BQ$1001,MATCH(ROWS($AH$2:AH487),$AH$2:$AH$1001,0),MATCH(COLUMNS($AO$1006:BA1006),$AO$1006:$BQ$1006,0)), HYPERLINK("#",""), HYPERLINK(CONCATENATE("#Metadata!", ADDRESS(INDEX($AJ$2:$AJ$1001,MATCH(ROWS($AH$2:AH487),$AH$2:$AH$1001,0),0), INDEX($AO$1004:$BQ$1004,1,MATCH(COLUMNS($AO$1006:BA1006),$AO$1006:$BQ$1006,0)))),"Fix")))</f>
        <v>#N/A</v>
      </c>
      <c r="O487" s="5" t="e">
        <f ca="1">IF(OR(INDEX($AI$2:$AI$1001,MATCH(ROWS($AH$2:AH487),$AH$2:$AH$1001,0),1)&gt;=100000,INDEX($AO$1005:$BQ$1005,1,MATCH(COLUMNS($AO$1006:BB1006),$AO$1006:$BQ$1006,0))&gt;=100000), " ",IF(INDEX($AO$2:$BQ$1001,MATCH(ROWS($AH$2:AH487),$AH$2:$AH$1001,0),MATCH(COLUMNS($AO$1006:BB1006),$AO$1006:$BQ$1006,0)), HYPERLINK("#",""), HYPERLINK(CONCATENATE("#Metadata!", ADDRESS(INDEX($AJ$2:$AJ$1001,MATCH(ROWS($AH$2:AH487),$AH$2:$AH$1001,0),0), INDEX($AO$1004:$BQ$1004,1,MATCH(COLUMNS($AO$1006:BB1006),$AO$1006:$BQ$1006,0)))),"Fix")))</f>
        <v>#N/A</v>
      </c>
      <c r="P487" s="5" t="e">
        <f ca="1">IF(OR(INDEX($AI$2:$AI$1001,MATCH(ROWS($AH$2:AH487),$AH$2:$AH$1001,0),1)&gt;=100000,INDEX($AO$1005:$BQ$1005,1,MATCH(COLUMNS($AO$1006:BC1006),$AO$1006:$BQ$1006,0))&gt;=100000), " ",IF(INDEX($AO$2:$BQ$1001,MATCH(ROWS($AH$2:AH487),$AH$2:$AH$1001,0),MATCH(COLUMNS($AO$1006:BC1006),$AO$1006:$BQ$1006,0)), HYPERLINK("#",""), HYPERLINK(CONCATENATE("#Metadata!", ADDRESS(INDEX($AJ$2:$AJ$1001,MATCH(ROWS($AH$2:AH487),$AH$2:$AH$1001,0),0), INDEX($AO$1004:$BQ$1004,1,MATCH(COLUMNS($AO$1006:BC1006),$AO$1006:$BQ$1006,0)))),"Fix")))</f>
        <v>#N/A</v>
      </c>
      <c r="Q487" s="5" t="e">
        <f ca="1">IF(OR(INDEX($AI$2:$AI$1001,MATCH(ROWS($AH$2:AH487),$AH$2:$AH$1001,0),1)&gt;=100000,INDEX($AO$1005:$BQ$1005,1,MATCH(COLUMNS($AO$1006:BD1006),$AO$1006:$BQ$1006,0))&gt;=100000), " ",IF(INDEX($AO$2:$BQ$1001,MATCH(ROWS($AH$2:AH487),$AH$2:$AH$1001,0),MATCH(COLUMNS($AO$1006:BD1006),$AO$1006:$BQ$1006,0)), HYPERLINK("#",""), HYPERLINK(CONCATENATE("#Metadata!", ADDRESS(INDEX($AJ$2:$AJ$1001,MATCH(ROWS($AH$2:AH487),$AH$2:$AH$1001,0),0), INDEX($AO$1004:$BQ$1004,1,MATCH(COLUMNS($AO$1006:BD1006),$AO$1006:$BQ$1006,0)))),"Fix")))</f>
        <v>#N/A</v>
      </c>
      <c r="R487" s="5" t="e">
        <f ca="1">IF(OR(INDEX($AI$2:$AI$1001,MATCH(ROWS($AH$2:AH487),$AH$2:$AH$1001,0),1)&gt;=100000,INDEX($AO$1005:$BQ$1005,1,MATCH(COLUMNS($AO$1006:BE1006),$AO$1006:$BQ$1006,0))&gt;=100000), " ",IF(INDEX($AO$2:$BQ$1001,MATCH(ROWS($AH$2:AH487),$AH$2:$AH$1001,0),MATCH(COLUMNS($AO$1006:BE1006),$AO$1006:$BQ$1006,0)), HYPERLINK("#",""), HYPERLINK(CONCATENATE("#Metadata!", ADDRESS(INDEX($AJ$2:$AJ$1001,MATCH(ROWS($AH$2:AH487),$AH$2:$AH$1001,0),0), INDEX($AO$1004:$BQ$1004,1,MATCH(COLUMNS($AO$1006:BE1006),$AO$1006:$BQ$1006,0)))),"Fix")))</f>
        <v>#N/A</v>
      </c>
      <c r="S487" s="5" t="e">
        <f ca="1">IF(OR(INDEX($AI$2:$AI$1001,MATCH(ROWS($AH$2:AH487),$AH$2:$AH$1001,0),1)&gt;=100000,INDEX($AO$1005:$BQ$1005,1,MATCH(COLUMNS($AO$1006:BF1006),$AO$1006:$BQ$1006,0))&gt;=100000), " ",IF(INDEX($AO$2:$BQ$1001,MATCH(ROWS($AH$2:AH487),$AH$2:$AH$1001,0),MATCH(COLUMNS($AO$1006:BF1006),$AO$1006:$BQ$1006,0)), HYPERLINK("#",""), HYPERLINK(CONCATENATE("#Metadata!", ADDRESS(INDEX($AJ$2:$AJ$1001,MATCH(ROWS($AH$2:AH487),$AH$2:$AH$1001,0),0), INDEX($AO$1004:$BQ$1004,1,MATCH(COLUMNS($AO$1006:BF1006),$AO$1006:$BQ$1006,0)))),"Fix")))</f>
        <v>#N/A</v>
      </c>
      <c r="T487" s="5" t="e">
        <f ca="1">IF(OR(INDEX($AI$2:$AI$1001,MATCH(ROWS($AH$2:AH487),$AH$2:$AH$1001,0),1)&gt;=100000,INDEX($AO$1005:$BQ$1005,1,MATCH(COLUMNS($AO$1006:BG1006),$AO$1006:$BQ$1006,0))&gt;=100000), " ",IF(INDEX($AO$2:$BQ$1001,MATCH(ROWS($AH$2:AH487),$AH$2:$AH$1001,0),MATCH(COLUMNS($AO$1006:BG1006),$AO$1006:$BQ$1006,0)), HYPERLINK("#",""), HYPERLINK(CONCATENATE("#Metadata!", ADDRESS(INDEX($AJ$2:$AJ$1001,MATCH(ROWS($AH$2:AH487),$AH$2:$AH$1001,0),0), INDEX($AO$1004:$BQ$1004,1,MATCH(COLUMNS($AO$1006:BG1006),$AO$1006:$BQ$1006,0)))),"Fix")))</f>
        <v>#N/A</v>
      </c>
      <c r="U487" s="5" t="e">
        <f ca="1">IF(OR(INDEX($AI$2:$AI$1001,MATCH(ROWS($AH$2:AH487),$AH$2:$AH$1001,0),1)&gt;=100000,INDEX($AO$1005:$BQ$1005,1,MATCH(COLUMNS($AO$1006:BH1006),$AO$1006:$BQ$1006,0))&gt;=100000), " ",IF(INDEX($AO$2:$BQ$1001,MATCH(ROWS($AH$2:AH487),$AH$2:$AH$1001,0),MATCH(COLUMNS($AO$1006:BH1006),$AO$1006:$BQ$1006,0)), HYPERLINK("#",""), HYPERLINK(CONCATENATE("#Metadata!", ADDRESS(INDEX($AJ$2:$AJ$1001,MATCH(ROWS($AH$2:AH487),$AH$2:$AH$1001,0),0), INDEX($AO$1004:$BQ$1004,1,MATCH(COLUMNS($AO$1006:BH1006),$AO$1006:$BQ$1006,0)))),"Fix")))</f>
        <v>#N/A</v>
      </c>
      <c r="V487" s="5" t="e">
        <f ca="1">IF(OR(INDEX($AI$2:$AI$1001,MATCH(ROWS($AH$2:AH487),$AH$2:$AH$1001,0),1)&gt;=100000,INDEX($AO$1005:$BQ$1005,1,MATCH(COLUMNS($AO$1006:BI1006),$AO$1006:$BQ$1006,0))&gt;=100000), " ",IF(INDEX($AO$2:$BQ$1001,MATCH(ROWS($AH$2:AH487),$AH$2:$AH$1001,0),MATCH(COLUMNS($AO$1006:BI1006),$AO$1006:$BQ$1006,0)), HYPERLINK("#",""), HYPERLINK(CONCATENATE("#Metadata!", ADDRESS(INDEX($AJ$2:$AJ$1001,MATCH(ROWS($AH$2:AH487),$AH$2:$AH$1001,0),0), INDEX($AO$1004:$BQ$1004,1,MATCH(COLUMNS($AO$1006:BI1006),$AO$1006:$BQ$1006,0)))),"Fix")))</f>
        <v>#N/A</v>
      </c>
      <c r="W487" s="5" t="e">
        <f ca="1">IF(OR(INDEX($AI$2:$AI$1001,MATCH(ROWS($AH$2:AH487),$AH$2:$AH$1001,0),1)&gt;=100000,INDEX($AO$1005:$BQ$1005,1,MATCH(COLUMNS($AO$1006:BJ1006),$AO$1006:$BQ$1006,0))&gt;=100000), " ",IF(INDEX($AO$2:$BQ$1001,MATCH(ROWS($AH$2:AH487),$AH$2:$AH$1001,0),MATCH(COLUMNS($AO$1006:BJ1006),$AO$1006:$BQ$1006,0)), HYPERLINK("#",""), HYPERLINK(CONCATENATE("#Metadata!", ADDRESS(INDEX($AJ$2:$AJ$1001,MATCH(ROWS($AH$2:AH487),$AH$2:$AH$1001,0),0), INDEX($AO$1004:$BQ$1004,1,MATCH(COLUMNS($AO$1006:BJ1006),$AO$1006:$BQ$1006,0)))),"Fix")))</f>
        <v>#N/A</v>
      </c>
      <c r="X487" s="5" t="e">
        <f ca="1">IF(OR(INDEX($AI$2:$AI$1001,MATCH(ROWS($AH$2:AH487),$AH$2:$AH$1001,0),1)&gt;=100000,INDEX($AO$1005:$BQ$1005,1,MATCH(COLUMNS($AO$1006:BK1006),$AO$1006:$BQ$1006,0))&gt;=100000), " ",IF(INDEX($AO$2:$BQ$1001,MATCH(ROWS($AH$2:AH487),$AH$2:$AH$1001,0),MATCH(COLUMNS($AO$1006:BK1006),$AO$1006:$BQ$1006,0)), HYPERLINK("#",""), HYPERLINK(CONCATENATE("#Metadata!", ADDRESS(INDEX($AJ$2:$AJ$1001,MATCH(ROWS($AH$2:AH487),$AH$2:$AH$1001,0),0), INDEX($AO$1004:$BQ$1004,1,MATCH(COLUMNS($AO$1006:BK1006),$AO$1006:$BQ$1006,0)))),"Fix")))</f>
        <v>#N/A</v>
      </c>
      <c r="Y487" s="5" t="e">
        <f ca="1">IF(OR(INDEX($AI$2:$AI$1001,MATCH(ROWS($AH$2:AH487),$AH$2:$AH$1001,0),1)&gt;=100000,INDEX($AO$1005:$BQ$1005,1,MATCH(COLUMNS($AO$1006:BL1006),$AO$1006:$BQ$1006,0))&gt;=100000), " ",IF(INDEX($AO$2:$BQ$1001,MATCH(ROWS($AH$2:AH487),$AH$2:$AH$1001,0),MATCH(COLUMNS($AO$1006:BL1006),$AO$1006:$BQ$1006,0)), HYPERLINK("#",""), HYPERLINK(CONCATENATE("#Metadata!", ADDRESS(INDEX($AJ$2:$AJ$1001,MATCH(ROWS($AH$2:AH487),$AH$2:$AH$1001,0),0), INDEX($AO$1004:$BQ$1004,1,MATCH(COLUMNS($AO$1006:BL1006),$AO$1006:$BQ$1006,0)))),"Fix")))</f>
        <v>#N/A</v>
      </c>
      <c r="Z487" s="5" t="e">
        <f ca="1">IF(OR(INDEX($AI$2:$AI$1001,MATCH(ROWS($AH$2:AH487),$AH$2:$AH$1001,0),1)&gt;=100000,INDEX($AO$1005:$BQ$1005,1,MATCH(COLUMNS($AO$1006:BM1006),$AO$1006:$BQ$1006,0))&gt;=100000), " ",IF(INDEX($AO$2:$BQ$1001,MATCH(ROWS($AH$2:AH487),$AH$2:$AH$1001,0),MATCH(COLUMNS($AO$1006:BM1006),$AO$1006:$BQ$1006,0)), HYPERLINK("#",""), HYPERLINK(CONCATENATE("#Metadata!", ADDRESS(INDEX($AJ$2:$AJ$1001,MATCH(ROWS($AH$2:AH487),$AH$2:$AH$1001,0),0), INDEX($AO$1004:$BQ$1004,1,MATCH(COLUMNS($AO$1006:BM1006),$AO$1006:$BQ$1006,0)))),"Fix")))</f>
        <v>#N/A</v>
      </c>
      <c r="AA487" s="5" t="e">
        <f ca="1">IF(OR(INDEX($AI$2:$AI$1001,MATCH(ROWS($AH$2:AH487),$AH$2:$AH$1001,0),1)&gt;=100000,INDEX($AO$1005:$BQ$1005,1,MATCH(COLUMNS($AO$1006:BN1006),$AO$1006:$BQ$1006,0))&gt;=100000), " ",IF(INDEX($AO$2:$BQ$1001,MATCH(ROWS($AH$2:AH487),$AH$2:$AH$1001,0),MATCH(COLUMNS($AO$1006:BN1006),$AO$1006:$BQ$1006,0)), HYPERLINK("#",""), HYPERLINK(CONCATENATE("#Metadata!", ADDRESS(INDEX($AJ$2:$AJ$1001,MATCH(ROWS($AH$2:AH487),$AH$2:$AH$1001,0),0), INDEX($AO$1004:$BQ$1004,1,MATCH(COLUMNS($AO$1006:BN1006),$AO$1006:$BQ$1006,0)))),"Fix")))</f>
        <v>#N/A</v>
      </c>
      <c r="AB487" s="5" t="e">
        <f ca="1">IF(OR(INDEX($AI$2:$AI$1001,MATCH(ROWS($AH$2:AH487),$AH$2:$AH$1001,0),1)&gt;=100000,INDEX($AO$1005:$BQ$1005,1,MATCH(COLUMNS($AO$1006:BO1006),$AO$1006:$BQ$1006,0))&gt;=100000), " ",IF(INDEX($AO$2:$BQ$1001,MATCH(ROWS($AH$2:AH487),$AH$2:$AH$1001,0),MATCH(COLUMNS($AO$1006:BO1006),$AO$1006:$BQ$1006,0)), HYPERLINK("#",""), HYPERLINK(CONCATENATE("#Metadata!", ADDRESS(INDEX($AJ$2:$AJ$1001,MATCH(ROWS($AH$2:AH487),$AH$2:$AH$1001,0),0), INDEX($AO$1004:$BQ$1004,1,MATCH(COLUMNS($AO$1006:BO1006),$AO$1006:$BQ$1006,0)))),"Fix")))</f>
        <v>#N/A</v>
      </c>
      <c r="AC487" s="5" t="e">
        <f ca="1">IF(OR(INDEX($AI$2:$AI$1001,MATCH(ROWS($AH$2:AH487),$AH$2:$AH$1001,0),1)&gt;=100000,INDEX($AO$1005:$BQ$1005,1,MATCH(COLUMNS($AO$1006:BP1006),$AO$1006:$BQ$1006,0))&gt;=100000), " ",IF(INDEX($AO$2:$BQ$1001,MATCH(ROWS($AH$2:AH487),$AH$2:$AH$1001,0),MATCH(COLUMNS($AO$1006:BP1006),$AO$1006:$BQ$1006,0)), HYPERLINK("#",""), HYPERLINK(CONCATENATE("#Metadata!", ADDRESS(INDEX($AJ$2:$AJ$1001,MATCH(ROWS($AH$2:AH487),$AH$2:$AH$1001,0),0), INDEX($AO$1004:$BQ$1004,1,MATCH(COLUMNS($AO$1006:BP1006),$AO$1006:$BQ$1006,0)))),"Fix")))</f>
        <v>#N/A</v>
      </c>
      <c r="AD487" s="5" t="e">
        <f ca="1">IF(OR(INDEX($AI$2:$AI$1001,MATCH(ROWS($AH$2:AH487),$AH$2:$AH$1001,0),1)&gt;=100000,INDEX($AO$1005:$BQ$1005,1,MATCH(COLUMNS($AO$1006:BQ1006),$AO$1006:$BQ$1006,0))&gt;=100000), " ",IF(INDEX($AO$2:$BQ$1001,MATCH(ROWS($AH$2:AH487),$AH$2:$AH$1001,0),MATCH(COLUMNS($AO$1006:BQ1006),$AO$1006:$BQ$1006,0)), HYPERLINK("#",""), HYPERLINK(CONCATENATE("#Metadata!", ADDRESS(INDEX($AJ$2:$AJ$1001,MATCH(ROWS($AH$2:AH487),$AH$2:$AH$1001,0),0), INDEX($AO$1004:$BQ$1004,1,MATCH(COLUMNS($AO$1006:BQ1006),$AO$1006:$BQ$1006,0)))),"Fix")))</f>
        <v>#REF!</v>
      </c>
      <c r="AH487">
        <f ca="1"/>
        <v>484</v>
      </c>
      <c r="AI487">
        <v>100487</v>
      </c>
      <c r="AJ487">
        <v>487</v>
      </c>
      <c r="AK487" t="b">
        <f t="shared" si="7"/>
        <v>1</v>
      </c>
      <c r="AL487" t="b">
        <f>COUNTBLANK(Metadata!B487:AD487)=COLUMNS(Metadata!B487:AD487)</f>
        <v>1</v>
      </c>
      <c r="AM487" t="str">
        <v/>
      </c>
      <c r="AO487" t="b">
        <f ca="1">AND(IF(Metadata!B487="",FALSE,TRUE),COUNTIF(Metadata!B:B, Metadata!B487) = 1,NOT(ISERROR(SUMPRODUCT(SEARCH(MID(Metadata!B487,ROW(INDIRECT("1:"&amp;LEN(Metadata!B487))), 1),"0123456789abcdefghijklmnopqrstuvwxyzABCDEFGHIJKLMNOPQRSTUVWXYZ.")))))</f>
        <v>0</v>
      </c>
      <c r="AP487" t="b">
        <f>IF(Metadata!C487="",FALSE,TRUE)</f>
        <v>0</v>
      </c>
      <c r="AQ487" t="b">
        <f>IF(Metadata!D487="",FALSE,TRUE)</f>
        <v>0</v>
      </c>
      <c r="AR487" t="b">
        <f ca="1">OR(AND(IF(Metadata!E487="",FALSE,TRUE),OR(EXACT(Metadata!E487,"not collected"),EXACT(Metadata!E487,"not provided"),EXACT(Metadata!E487,"restricted access"))),AND(IF(Metadata!E487="",FALSE,TRUE),AND(AND(IFERROR(INT(LEFT(Metadata!E487,4))&gt;1900,FALSE),IFERROR(INT(LEFT(Metadata!E487,4))&lt;=YEAR(NOW()),FALSE)), OR(MID(Metadata!E487,5,1)="", AND(AND(MID(Metadata!E487,5,1)="-",IFERROR(INT(MID(Metadata!E487,6,1))&gt;=0,FALSE),IFERROR(INT(MID(Metadata!E487,6,1))&lt;=1,FALSE),NOT(MID(Metadata!E487,7,1)=""),IFERROR(INT(MID(Metadata!E487,6,2))&gt;=1,FALSE),IFERROR(INT(MID(Metadata!E487,6,2))&lt;=12,FALSE)), OR(MID(Metadata!E487,8,1)="", AND(AND(MID(Metadata!E487,8,1)="-",IFERROR(INT(MID(Metadata!E487,9,1))&gt;=0,FALSE),IFERROR(INT(MID(Metadata!E487,9,1))&lt;=3,FALSE),NOT(MID(Metadata!E487,10,1)=""),IFERROR(INT(MID(Metadata!E487,9,2))&gt;=1,FALSE),IFERROR(INT(MID(Metadata!E487,9,2))&lt;=31,FALSE)), OR(MID(Metadata!E487,11,1)="", AND(AND(MID(Metadata!E487,11,1)=" ",IFERROR(INT(MID(Metadata!E487,12,1))&gt;=0,FALSE),IFERROR(INT(MID(Metadata!E487,12,1))&lt;=2,FALSE),NOT(MID(Metadata!E487,13,1)=""),IFERROR(INT(MID(Metadata!E487,12,2))&gt;=0,FALSE),IFERROR(INT(MID(Metadata!E487,12,2))&lt;=23,FALSE)), OR(MID(Metadata!E487,14,1)="", AND(AND(MID(Metadata!E487,14,1)=":",IFERROR(INT(MID(Metadata!E487,15,1))&gt;=0,FALSE),IFERROR(INT(MID(Metadata!E487,15,1))&lt;=5,FALSE),NOT(MID(Metadata!E487,16,1)=""),IFERROR(INT(MID(Metadata!E487,15,2))&gt;=0,FALSE),IFERROR(INT(MID(Metadata!E487,15,2))&lt;=59,FALSE)), OR(MID(Metadata!E487,17,1)="", AND(AND(MID(Metadata!E487,17,1)=":",IFERROR(INT(MID(Metadata!E487,18,1))&gt;=0,FALSE),IFERROR(INT(MID(Metadata!E487,18,1))&lt;=5,FALSE),NOT(MID(Metadata!E487,19,1)=""),IFERROR(INT(MID(Metadata!E487,18,2))&gt;=0,FALSE),IFERROR(INT(MID(Metadata!E487,18,2))&lt;=59,FALSE)), LEN(Metadata!E487)&lt;=19)))))))))))))</f>
        <v>0</v>
      </c>
      <c r="AS487" t="b">
        <f>IF(Metadata!F487="",FALSE,TRUE)</f>
        <v>0</v>
      </c>
      <c r="AT487" t="b">
        <f>OR(AND(IF(Metadata!G487="",FALSE,TRUE),OR(EXACT(Metadata!G487,"not collected"),EXACT(Metadata!G487,"not provided"))),AND(IF(Metadata!G487="",FALSE,TRUE),OR(EXACT(Metadata!G487,"TRUE"),EXACT(Metadata!G487,"FALSE"))))</f>
        <v>0</v>
      </c>
      <c r="AU487" t="b">
        <f>OR(AND(IF(Metadata!H487="",FALSE,TRUE),OR(EXACT(Metadata!H487,"not collected"),EXACT(Metadata!H487,"not provided"),EXACT(Metadata!H487,"restricted access"))),AND(IF(Metadata!H487="",FALSE,ISNUMBER(VALUE(Metadata!H487))),Metadata!H487&gt;=-413))</f>
        <v>0</v>
      </c>
      <c r="AV487" t="b">
        <f>AND(IF(Metadata!I487="",FALSE,TRUE),EXACT(Metadata!I487,"meters"))</f>
        <v>0</v>
      </c>
      <c r="AW487" t="b">
        <f>AND(IF(Metadata!J487="",FALSE,TRUE),EXACT(Metadata!J487,"free-living"))</f>
        <v>0</v>
      </c>
      <c r="AX487" t="b">
        <f>AND(IF(Metadata!K487="",FALSE,TRUE),OR(EXACT(Metadata!K487,"saline"),EXACT(Metadata!K487,"non-saline")))</f>
        <v>0</v>
      </c>
      <c r="AY487" t="b">
        <f>AND(IF(Metadata!L487="",FALSE,TRUE),OR(EXACT(Metadata!L487,"sub-surface (non-saline)"),EXACT(Metadata!L487,"surface (non-saline)"),EXACT(Metadata!L487,"water (non-saline)"),EXACT(Metadata!L487,"soil (non-saline)"),EXACT(Metadata!L487,"aerosol (non-saline)"),EXACT(Metadata!L487,"sediment (non-saline)"),EXACT(Metadata!L487,"surface (saline)"),EXACT(Metadata!L487,"water (saline)"),EXACT(Metadata!L487,"hypersaline (saline)"),EXACT(Metadata!L487,"aerosol (saline)"),EXACT(Metadata!L487,"sediment (saline)")))</f>
        <v>0</v>
      </c>
      <c r="AZ487" t="b">
        <f>IF(Metadata!M487="",FALSE,TRUE)</f>
        <v>0</v>
      </c>
      <c r="BA487" t="b">
        <f>IF(Metadata!N487="",FALSE,TRUE)</f>
        <v>0</v>
      </c>
      <c r="BB487" t="b">
        <f>IF(Metadata!O487="",FALSE,TRUE)</f>
        <v>0</v>
      </c>
      <c r="BC487" t="b">
        <f>AND(IF(Metadata!P487="",FALSE,TRUE),OR(EXACT(Metadata!P487,"air"),EXACT(Metadata!P487,"microbial mat/biofilm"),EXACT(Metadata!P487,"misc environment"),EXACT(Metadata!P487,"sediment"),EXACT(Metadata!P487,"soil"),EXACT(Metadata!P487,"wastewater/sludge"),EXACT(Metadata!P487,"water")))</f>
        <v>0</v>
      </c>
      <c r="BD487" t="b">
        <f>IF(Metadata!Q487="",FALSE,TRUE)</f>
        <v>0</v>
      </c>
      <c r="BE487" t="b">
        <f>IF(Metadata!R487="",FALSE,TRUE)</f>
        <v>0</v>
      </c>
      <c r="BF487" t="b">
        <f>OR(AND(IF(Metadata!S487="",FALSE,TRUE),OR(EXACT(Metadata!S487,"not collected"),EXACT(Metadata!S487,"not provided"),EXACT(Metadata!S487,"restricted access"))),AND(IF(Metadata!S487="",FALSE,ISNUMBER(VALUE(Metadata!S487))),Metadata!S487&gt;=-90,Metadata!S487&lt;=90))</f>
        <v>0</v>
      </c>
      <c r="BG487" t="b">
        <f>AND(IF(Metadata!T487="",FALSE,TRUE),EXACT(Metadata!T487,"Decimal degrees"))</f>
        <v>0</v>
      </c>
      <c r="BH487" t="b">
        <f>OR(AND(IF(Metadata!U487="",FALSE,TRUE),OR(EXACT(Metadata!U487,"not applicable"),EXACT(Metadata!U487,"not collected"))),IF(Metadata!U487="",FALSE,TRUE))</f>
        <v>0</v>
      </c>
      <c r="BI487" t="b">
        <f>OR(AND(IF(Metadata!V487="",FALSE,TRUE),OR(EXACT(Metadata!V487,"not collected"),EXACT(Metadata!V487,"not provided"),EXACT(Metadata!V487,"restricted access"))),AND(IF(Metadata!V487="",FALSE,ISNUMBER(VALUE(Metadata!V487))),Metadata!V487&gt;=-180,Metadata!V487&lt;=180))</f>
        <v>0</v>
      </c>
      <c r="BJ487" t="b">
        <f>AND(IF(Metadata!W487="",FALSE,TRUE),EXACT(Metadata!W487,"Decimal degrees"))</f>
        <v>0</v>
      </c>
      <c r="BK487" t="b">
        <f>IF(Metadata!X487="",FALSE,TRUE)</f>
        <v>0</v>
      </c>
      <c r="BL487" t="b">
        <f>OR(AND(IF(Metadata!Y487="",FALSE,TRUE),OR(EXACT(Metadata!Y487,"not collected"),EXACT(Metadata!Y487,"not provided"),EXACT(Metadata!Y487,"restricted access"))),AND(IF(Metadata!Y487="",FALSE,TRUE),OR(EXACT(Metadata!Y487,"TRUE"),EXACT(Metadata!Y487,"FALSE"))))</f>
        <v>0</v>
      </c>
      <c r="BM487" t="b">
        <f>OR(AND(IF(Metadata!Z487="",FALSE,TRUE),EXACT(Metadata!Z487,"not applicable")),AND(IF(Metadata!Z487="",FALSE,TRUE),OR(EXACT(Metadata!Z487,"beer"),EXACT(Metadata!Z487,"cheese"),EXACT(Metadata!Z487,"fresh water"),EXACT(Metadata!Z487,"marine sediment"),EXACT(Metadata!Z487,"sea water"),EXACT(Metadata!Z487,"sediment"),EXACT(Metadata!Z487,"soil"),EXACT(Metadata!Z487,"waste water"))))</f>
        <v>0</v>
      </c>
      <c r="BN487" t="b">
        <f>AND(IF(Metadata!AA487="",FALSE,TRUE),EXACT(Metadata!AA487,"metagenome"))</f>
        <v>0</v>
      </c>
      <c r="BO487" t="b">
        <f>AND(IF(Metadata!AB487="",FALSE,TRUE),EXACT(Metadata!AB487,"256318"))</f>
        <v>0</v>
      </c>
      <c r="BP487" t="b">
        <f>IF(Metadata!AC487="",FALSE,TRUE)</f>
        <v>0</v>
      </c>
      <c r="BQ487" t="b">
        <f>IF(Metadata!AD487="",FALSE,TRUE)</f>
        <v>0</v>
      </c>
    </row>
    <row r="488" spans="1:69" x14ac:dyDescent="0.2">
      <c r="A488" s="4" t="e">
        <f ca="1">IF(B488=" "," ",HYPERLINK(CONCATENATE("#metadata!",ADDRESS(INDEX($AJ$2:$AJ$1001,MATCH(ROWS($AH$2:AH488),$AH$2:$AH$1001,0),0),2)),INDEX($AM$2:$AM$1001,MATCH(ROWS($AH$2:AH488),$AH$2:$AH$1001,0),0)))</f>
        <v>#N/A</v>
      </c>
      <c r="B488" s="5" t="e">
        <f ca="1">IF(OR(INDEX($AI$2:$AI$1001,MATCH(ROWS($AH$2:AH488),$AH$2:$AH$1001,0),1)&gt;=100000,INDEX($AO$1005:$BQ$1005,1,MATCH(COLUMNS($AO$1006:AO1006),$AO$1006:$BQ$1006,0))&gt;=100000), " ",IF(INDEX($AO$2:$BQ$1001,MATCH(ROWS($AH$2:AH488),$AH$2:$AH$1001,0),MATCH(COLUMNS($AO$1006:AO1006),$AO$1006:$BQ$1006,0)), HYPERLINK("#",""), HYPERLINK(CONCATENATE("#Metadata!", ADDRESS(INDEX($AJ$2:$AJ$1001,MATCH(ROWS($AH$2:AH488),$AH$2:$AH$1001,0),0), INDEX($AO$1004:$BQ$1004,1,MATCH(COLUMNS($AO$1006:AO1006),$AO$1006:$BQ$1006,0)))),"Fix")))</f>
        <v>#N/A</v>
      </c>
      <c r="C488" s="5" t="e">
        <f ca="1">IF(OR(INDEX($AI$2:$AI$1001,MATCH(ROWS($AH$2:AH488),$AH$2:$AH$1001,0),1)&gt;=100000,INDEX($AO$1005:$BQ$1005,1,MATCH(COLUMNS($AO$1006:AP1006),$AO$1006:$BQ$1006,0))&gt;=100000), " ",IF(INDEX($AO$2:$BQ$1001,MATCH(ROWS($AH$2:AH488),$AH$2:$AH$1001,0),MATCH(COLUMNS($AO$1006:AP1006),$AO$1006:$BQ$1006,0)), HYPERLINK("#",""), HYPERLINK(CONCATENATE("#Metadata!", ADDRESS(INDEX($AJ$2:$AJ$1001,MATCH(ROWS($AH$2:AH488),$AH$2:$AH$1001,0),0), INDEX($AO$1004:$BQ$1004,1,MATCH(COLUMNS($AO$1006:AP1006),$AO$1006:$BQ$1006,0)))),"Fix")))</f>
        <v>#N/A</v>
      </c>
      <c r="D488" s="5" t="e">
        <f ca="1">IF(OR(INDEX($AI$2:$AI$1001,MATCH(ROWS($AH$2:AH488),$AH$2:$AH$1001,0),1)&gt;=100000,INDEX($AO$1005:$BQ$1005,1,MATCH(COLUMNS($AO$1006:AQ1006),$AO$1006:$BQ$1006,0))&gt;=100000), " ",IF(INDEX($AO$2:$BQ$1001,MATCH(ROWS($AH$2:AH488),$AH$2:$AH$1001,0),MATCH(COLUMNS($AO$1006:AQ1006),$AO$1006:$BQ$1006,0)), HYPERLINK("#",""), HYPERLINK(CONCATENATE("#Metadata!", ADDRESS(INDEX($AJ$2:$AJ$1001,MATCH(ROWS($AH$2:AH488),$AH$2:$AH$1001,0),0), INDEX($AO$1004:$BQ$1004,1,MATCH(COLUMNS($AO$1006:AQ1006),$AO$1006:$BQ$1006,0)))),"Fix")))</f>
        <v>#N/A</v>
      </c>
      <c r="E488" s="5" t="e">
        <f ca="1">IF(OR(INDEX($AI$2:$AI$1001,MATCH(ROWS($AH$2:AH488),$AH$2:$AH$1001,0),1)&gt;=100000,INDEX($AO$1005:$BQ$1005,1,MATCH(COLUMNS($AO$1006:AR1006),$AO$1006:$BQ$1006,0))&gt;=100000), " ",IF(INDEX($AO$2:$BQ$1001,MATCH(ROWS($AH$2:AH488),$AH$2:$AH$1001,0),MATCH(COLUMNS($AO$1006:AR1006),$AO$1006:$BQ$1006,0)), HYPERLINK("#",""), HYPERLINK(CONCATENATE("#Metadata!", ADDRESS(INDEX($AJ$2:$AJ$1001,MATCH(ROWS($AH$2:AH488),$AH$2:$AH$1001,0),0), INDEX($AO$1004:$BQ$1004,1,MATCH(COLUMNS($AO$1006:AR1006),$AO$1006:$BQ$1006,0)))),"Fix")))</f>
        <v>#N/A</v>
      </c>
      <c r="F488" s="5" t="e">
        <f ca="1">IF(OR(INDEX($AI$2:$AI$1001,MATCH(ROWS($AH$2:AH488),$AH$2:$AH$1001,0),1)&gt;=100000,INDEX($AO$1005:$BQ$1005,1,MATCH(COLUMNS($AO$1006:AS1006),$AO$1006:$BQ$1006,0))&gt;=100000), " ",IF(INDEX($AO$2:$BQ$1001,MATCH(ROWS($AH$2:AH488),$AH$2:$AH$1001,0),MATCH(COLUMNS($AO$1006:AS1006),$AO$1006:$BQ$1006,0)), HYPERLINK("#",""), HYPERLINK(CONCATENATE("#Metadata!", ADDRESS(INDEX($AJ$2:$AJ$1001,MATCH(ROWS($AH$2:AH488),$AH$2:$AH$1001,0),0), INDEX($AO$1004:$BQ$1004,1,MATCH(COLUMNS($AO$1006:AS1006),$AO$1006:$BQ$1006,0)))),"Fix")))</f>
        <v>#N/A</v>
      </c>
      <c r="G488" s="5" t="e">
        <f ca="1">IF(OR(INDEX($AI$2:$AI$1001,MATCH(ROWS($AH$2:AH488),$AH$2:$AH$1001,0),1)&gt;=100000,INDEX($AO$1005:$BQ$1005,1,MATCH(COLUMNS($AO$1006:AT1006),$AO$1006:$BQ$1006,0))&gt;=100000), " ",IF(INDEX($AO$2:$BQ$1001,MATCH(ROWS($AH$2:AH488),$AH$2:$AH$1001,0),MATCH(COLUMNS($AO$1006:AT1006),$AO$1006:$BQ$1006,0)), HYPERLINK("#",""), HYPERLINK(CONCATENATE("#Metadata!", ADDRESS(INDEX($AJ$2:$AJ$1001,MATCH(ROWS($AH$2:AH488),$AH$2:$AH$1001,0),0), INDEX($AO$1004:$BQ$1004,1,MATCH(COLUMNS($AO$1006:AT1006),$AO$1006:$BQ$1006,0)))),"Fix")))</f>
        <v>#N/A</v>
      </c>
      <c r="H488" s="5" t="e">
        <f ca="1">IF(OR(INDEX($AI$2:$AI$1001,MATCH(ROWS($AH$2:AH488),$AH$2:$AH$1001,0),1)&gt;=100000,INDEX($AO$1005:$BQ$1005,1,MATCH(COLUMNS($AO$1006:AU1006),$AO$1006:$BQ$1006,0))&gt;=100000), " ",IF(INDEX($AO$2:$BQ$1001,MATCH(ROWS($AH$2:AH488),$AH$2:$AH$1001,0),MATCH(COLUMNS($AO$1006:AU1006),$AO$1006:$BQ$1006,0)), HYPERLINK("#",""), HYPERLINK(CONCATENATE("#Metadata!", ADDRESS(INDEX($AJ$2:$AJ$1001,MATCH(ROWS($AH$2:AH488),$AH$2:$AH$1001,0),0), INDEX($AO$1004:$BQ$1004,1,MATCH(COLUMNS($AO$1006:AU1006),$AO$1006:$BQ$1006,0)))),"Fix")))</f>
        <v>#N/A</v>
      </c>
      <c r="I488" s="5" t="e">
        <f ca="1">IF(OR(INDEX($AI$2:$AI$1001,MATCH(ROWS($AH$2:AH488),$AH$2:$AH$1001,0),1)&gt;=100000,INDEX($AO$1005:$BQ$1005,1,MATCH(COLUMNS($AO$1006:AV1006),$AO$1006:$BQ$1006,0))&gt;=100000), " ",IF(INDEX($AO$2:$BQ$1001,MATCH(ROWS($AH$2:AH488),$AH$2:$AH$1001,0),MATCH(COLUMNS($AO$1006:AV1006),$AO$1006:$BQ$1006,0)), HYPERLINK("#",""), HYPERLINK(CONCATENATE("#Metadata!", ADDRESS(INDEX($AJ$2:$AJ$1001,MATCH(ROWS($AH$2:AH488),$AH$2:$AH$1001,0),0), INDEX($AO$1004:$BQ$1004,1,MATCH(COLUMNS($AO$1006:AV1006),$AO$1006:$BQ$1006,0)))),"Fix")))</f>
        <v>#N/A</v>
      </c>
      <c r="J488" s="5" t="e">
        <f ca="1">IF(OR(INDEX($AI$2:$AI$1001,MATCH(ROWS($AH$2:AH488),$AH$2:$AH$1001,0),1)&gt;=100000,INDEX($AO$1005:$BQ$1005,1,MATCH(COLUMNS($AO$1006:AW1006),$AO$1006:$BQ$1006,0))&gt;=100000), " ",IF(INDEX($AO$2:$BQ$1001,MATCH(ROWS($AH$2:AH488),$AH$2:$AH$1001,0),MATCH(COLUMNS($AO$1006:AW1006),$AO$1006:$BQ$1006,0)), HYPERLINK("#",""), HYPERLINK(CONCATENATE("#Metadata!", ADDRESS(INDEX($AJ$2:$AJ$1001,MATCH(ROWS($AH$2:AH488),$AH$2:$AH$1001,0),0), INDEX($AO$1004:$BQ$1004,1,MATCH(COLUMNS($AO$1006:AW1006),$AO$1006:$BQ$1006,0)))),"Fix")))</f>
        <v>#N/A</v>
      </c>
      <c r="K488" s="5" t="e">
        <f ca="1">IF(OR(INDEX($AI$2:$AI$1001,MATCH(ROWS($AH$2:AH488),$AH$2:$AH$1001,0),1)&gt;=100000,INDEX($AO$1005:$BQ$1005,1,MATCH(COLUMNS($AO$1006:AX1006),$AO$1006:$BQ$1006,0))&gt;=100000), " ",IF(INDEX($AO$2:$BQ$1001,MATCH(ROWS($AH$2:AH488),$AH$2:$AH$1001,0),MATCH(COLUMNS($AO$1006:AX1006),$AO$1006:$BQ$1006,0)), HYPERLINK("#",""), HYPERLINK(CONCATENATE("#Metadata!", ADDRESS(INDEX($AJ$2:$AJ$1001,MATCH(ROWS($AH$2:AH488),$AH$2:$AH$1001,0),0), INDEX($AO$1004:$BQ$1004,1,MATCH(COLUMNS($AO$1006:AX1006),$AO$1006:$BQ$1006,0)))),"Fix")))</f>
        <v>#N/A</v>
      </c>
      <c r="L488" s="5" t="e">
        <f ca="1">IF(OR(INDEX($AI$2:$AI$1001,MATCH(ROWS($AH$2:AH488),$AH$2:$AH$1001,0),1)&gt;=100000,INDEX($AO$1005:$BQ$1005,1,MATCH(COLUMNS($AO$1006:AY1006),$AO$1006:$BQ$1006,0))&gt;=100000), " ",IF(INDEX($AO$2:$BQ$1001,MATCH(ROWS($AH$2:AH488),$AH$2:$AH$1001,0),MATCH(COLUMNS($AO$1006:AY1006),$AO$1006:$BQ$1006,0)), HYPERLINK("#",""), HYPERLINK(CONCATENATE("#Metadata!", ADDRESS(INDEX($AJ$2:$AJ$1001,MATCH(ROWS($AH$2:AH488),$AH$2:$AH$1001,0),0), INDEX($AO$1004:$BQ$1004,1,MATCH(COLUMNS($AO$1006:AY1006),$AO$1006:$BQ$1006,0)))),"Fix")))</f>
        <v>#N/A</v>
      </c>
      <c r="M488" s="5" t="e">
        <f ca="1">IF(OR(INDEX($AI$2:$AI$1001,MATCH(ROWS($AH$2:AH488),$AH$2:$AH$1001,0),1)&gt;=100000,INDEX($AO$1005:$BQ$1005,1,MATCH(COLUMNS($AO$1006:AZ1006),$AO$1006:$BQ$1006,0))&gt;=100000), " ",IF(INDEX($AO$2:$BQ$1001,MATCH(ROWS($AH$2:AH488),$AH$2:$AH$1001,0),MATCH(COLUMNS($AO$1006:AZ1006),$AO$1006:$BQ$1006,0)), HYPERLINK("#",""), HYPERLINK(CONCATENATE("#Metadata!", ADDRESS(INDEX($AJ$2:$AJ$1001,MATCH(ROWS($AH$2:AH488),$AH$2:$AH$1001,0),0), INDEX($AO$1004:$BQ$1004,1,MATCH(COLUMNS($AO$1006:AZ1006),$AO$1006:$BQ$1006,0)))),"Fix")))</f>
        <v>#N/A</v>
      </c>
      <c r="N488" s="5" t="e">
        <f ca="1">IF(OR(INDEX($AI$2:$AI$1001,MATCH(ROWS($AH$2:AH488),$AH$2:$AH$1001,0),1)&gt;=100000,INDEX($AO$1005:$BQ$1005,1,MATCH(COLUMNS($AO$1006:BA1006),$AO$1006:$BQ$1006,0))&gt;=100000), " ",IF(INDEX($AO$2:$BQ$1001,MATCH(ROWS($AH$2:AH488),$AH$2:$AH$1001,0),MATCH(COLUMNS($AO$1006:BA1006),$AO$1006:$BQ$1006,0)), HYPERLINK("#",""), HYPERLINK(CONCATENATE("#Metadata!", ADDRESS(INDEX($AJ$2:$AJ$1001,MATCH(ROWS($AH$2:AH488),$AH$2:$AH$1001,0),0), INDEX($AO$1004:$BQ$1004,1,MATCH(COLUMNS($AO$1006:BA1006),$AO$1006:$BQ$1006,0)))),"Fix")))</f>
        <v>#N/A</v>
      </c>
      <c r="O488" s="5" t="e">
        <f ca="1">IF(OR(INDEX($AI$2:$AI$1001,MATCH(ROWS($AH$2:AH488),$AH$2:$AH$1001,0),1)&gt;=100000,INDEX($AO$1005:$BQ$1005,1,MATCH(COLUMNS($AO$1006:BB1006),$AO$1006:$BQ$1006,0))&gt;=100000), " ",IF(INDEX($AO$2:$BQ$1001,MATCH(ROWS($AH$2:AH488),$AH$2:$AH$1001,0),MATCH(COLUMNS($AO$1006:BB1006),$AO$1006:$BQ$1006,0)), HYPERLINK("#",""), HYPERLINK(CONCATENATE("#Metadata!", ADDRESS(INDEX($AJ$2:$AJ$1001,MATCH(ROWS($AH$2:AH488),$AH$2:$AH$1001,0),0), INDEX($AO$1004:$BQ$1004,1,MATCH(COLUMNS($AO$1006:BB1006),$AO$1006:$BQ$1006,0)))),"Fix")))</f>
        <v>#N/A</v>
      </c>
      <c r="P488" s="5" t="e">
        <f ca="1">IF(OR(INDEX($AI$2:$AI$1001,MATCH(ROWS($AH$2:AH488),$AH$2:$AH$1001,0),1)&gt;=100000,INDEX($AO$1005:$BQ$1005,1,MATCH(COLUMNS($AO$1006:BC1006),$AO$1006:$BQ$1006,0))&gt;=100000), " ",IF(INDEX($AO$2:$BQ$1001,MATCH(ROWS($AH$2:AH488),$AH$2:$AH$1001,0),MATCH(COLUMNS($AO$1006:BC1006),$AO$1006:$BQ$1006,0)), HYPERLINK("#",""), HYPERLINK(CONCATENATE("#Metadata!", ADDRESS(INDEX($AJ$2:$AJ$1001,MATCH(ROWS($AH$2:AH488),$AH$2:$AH$1001,0),0), INDEX($AO$1004:$BQ$1004,1,MATCH(COLUMNS($AO$1006:BC1006),$AO$1006:$BQ$1006,0)))),"Fix")))</f>
        <v>#N/A</v>
      </c>
      <c r="Q488" s="5" t="e">
        <f ca="1">IF(OR(INDEX($AI$2:$AI$1001,MATCH(ROWS($AH$2:AH488),$AH$2:$AH$1001,0),1)&gt;=100000,INDEX($AO$1005:$BQ$1005,1,MATCH(COLUMNS($AO$1006:BD1006),$AO$1006:$BQ$1006,0))&gt;=100000), " ",IF(INDEX($AO$2:$BQ$1001,MATCH(ROWS($AH$2:AH488),$AH$2:$AH$1001,0),MATCH(COLUMNS($AO$1006:BD1006),$AO$1006:$BQ$1006,0)), HYPERLINK("#",""), HYPERLINK(CONCATENATE("#Metadata!", ADDRESS(INDEX($AJ$2:$AJ$1001,MATCH(ROWS($AH$2:AH488),$AH$2:$AH$1001,0),0), INDEX($AO$1004:$BQ$1004,1,MATCH(COLUMNS($AO$1006:BD1006),$AO$1006:$BQ$1006,0)))),"Fix")))</f>
        <v>#N/A</v>
      </c>
      <c r="R488" s="5" t="e">
        <f ca="1">IF(OR(INDEX($AI$2:$AI$1001,MATCH(ROWS($AH$2:AH488),$AH$2:$AH$1001,0),1)&gt;=100000,INDEX($AO$1005:$BQ$1005,1,MATCH(COLUMNS($AO$1006:BE1006),$AO$1006:$BQ$1006,0))&gt;=100000), " ",IF(INDEX($AO$2:$BQ$1001,MATCH(ROWS($AH$2:AH488),$AH$2:$AH$1001,0),MATCH(COLUMNS($AO$1006:BE1006),$AO$1006:$BQ$1006,0)), HYPERLINK("#",""), HYPERLINK(CONCATENATE("#Metadata!", ADDRESS(INDEX($AJ$2:$AJ$1001,MATCH(ROWS($AH$2:AH488),$AH$2:$AH$1001,0),0), INDEX($AO$1004:$BQ$1004,1,MATCH(COLUMNS($AO$1006:BE1006),$AO$1006:$BQ$1006,0)))),"Fix")))</f>
        <v>#N/A</v>
      </c>
      <c r="S488" s="5" t="e">
        <f ca="1">IF(OR(INDEX($AI$2:$AI$1001,MATCH(ROWS($AH$2:AH488),$AH$2:$AH$1001,0),1)&gt;=100000,INDEX($AO$1005:$BQ$1005,1,MATCH(COLUMNS($AO$1006:BF1006),$AO$1006:$BQ$1006,0))&gt;=100000), " ",IF(INDEX($AO$2:$BQ$1001,MATCH(ROWS($AH$2:AH488),$AH$2:$AH$1001,0),MATCH(COLUMNS($AO$1006:BF1006),$AO$1006:$BQ$1006,0)), HYPERLINK("#",""), HYPERLINK(CONCATENATE("#Metadata!", ADDRESS(INDEX($AJ$2:$AJ$1001,MATCH(ROWS($AH$2:AH488),$AH$2:$AH$1001,0),0), INDEX($AO$1004:$BQ$1004,1,MATCH(COLUMNS($AO$1006:BF1006),$AO$1006:$BQ$1006,0)))),"Fix")))</f>
        <v>#N/A</v>
      </c>
      <c r="T488" s="5" t="e">
        <f ca="1">IF(OR(INDEX($AI$2:$AI$1001,MATCH(ROWS($AH$2:AH488),$AH$2:$AH$1001,0),1)&gt;=100000,INDEX($AO$1005:$BQ$1005,1,MATCH(COLUMNS($AO$1006:BG1006),$AO$1006:$BQ$1006,0))&gt;=100000), " ",IF(INDEX($AO$2:$BQ$1001,MATCH(ROWS($AH$2:AH488),$AH$2:$AH$1001,0),MATCH(COLUMNS($AO$1006:BG1006),$AO$1006:$BQ$1006,0)), HYPERLINK("#",""), HYPERLINK(CONCATENATE("#Metadata!", ADDRESS(INDEX($AJ$2:$AJ$1001,MATCH(ROWS($AH$2:AH488),$AH$2:$AH$1001,0),0), INDEX($AO$1004:$BQ$1004,1,MATCH(COLUMNS($AO$1006:BG1006),$AO$1006:$BQ$1006,0)))),"Fix")))</f>
        <v>#N/A</v>
      </c>
      <c r="U488" s="5" t="e">
        <f ca="1">IF(OR(INDEX($AI$2:$AI$1001,MATCH(ROWS($AH$2:AH488),$AH$2:$AH$1001,0),1)&gt;=100000,INDEX($AO$1005:$BQ$1005,1,MATCH(COLUMNS($AO$1006:BH1006),$AO$1006:$BQ$1006,0))&gt;=100000), " ",IF(INDEX($AO$2:$BQ$1001,MATCH(ROWS($AH$2:AH488),$AH$2:$AH$1001,0),MATCH(COLUMNS($AO$1006:BH1006),$AO$1006:$BQ$1006,0)), HYPERLINK("#",""), HYPERLINK(CONCATENATE("#Metadata!", ADDRESS(INDEX($AJ$2:$AJ$1001,MATCH(ROWS($AH$2:AH488),$AH$2:$AH$1001,0),0), INDEX($AO$1004:$BQ$1004,1,MATCH(COLUMNS($AO$1006:BH1006),$AO$1006:$BQ$1006,0)))),"Fix")))</f>
        <v>#N/A</v>
      </c>
      <c r="V488" s="5" t="e">
        <f ca="1">IF(OR(INDEX($AI$2:$AI$1001,MATCH(ROWS($AH$2:AH488),$AH$2:$AH$1001,0),1)&gt;=100000,INDEX($AO$1005:$BQ$1005,1,MATCH(COLUMNS($AO$1006:BI1006),$AO$1006:$BQ$1006,0))&gt;=100000), " ",IF(INDEX($AO$2:$BQ$1001,MATCH(ROWS($AH$2:AH488),$AH$2:$AH$1001,0),MATCH(COLUMNS($AO$1006:BI1006),$AO$1006:$BQ$1006,0)), HYPERLINK("#",""), HYPERLINK(CONCATENATE("#Metadata!", ADDRESS(INDEX($AJ$2:$AJ$1001,MATCH(ROWS($AH$2:AH488),$AH$2:$AH$1001,0),0), INDEX($AO$1004:$BQ$1004,1,MATCH(COLUMNS($AO$1006:BI1006),$AO$1006:$BQ$1006,0)))),"Fix")))</f>
        <v>#N/A</v>
      </c>
      <c r="W488" s="5" t="e">
        <f ca="1">IF(OR(INDEX($AI$2:$AI$1001,MATCH(ROWS($AH$2:AH488),$AH$2:$AH$1001,0),1)&gt;=100000,INDEX($AO$1005:$BQ$1005,1,MATCH(COLUMNS($AO$1006:BJ1006),$AO$1006:$BQ$1006,0))&gt;=100000), " ",IF(INDEX($AO$2:$BQ$1001,MATCH(ROWS($AH$2:AH488),$AH$2:$AH$1001,0),MATCH(COLUMNS($AO$1006:BJ1006),$AO$1006:$BQ$1006,0)), HYPERLINK("#",""), HYPERLINK(CONCATENATE("#Metadata!", ADDRESS(INDEX($AJ$2:$AJ$1001,MATCH(ROWS($AH$2:AH488),$AH$2:$AH$1001,0),0), INDEX($AO$1004:$BQ$1004,1,MATCH(COLUMNS($AO$1006:BJ1006),$AO$1006:$BQ$1006,0)))),"Fix")))</f>
        <v>#N/A</v>
      </c>
      <c r="X488" s="5" t="e">
        <f ca="1">IF(OR(INDEX($AI$2:$AI$1001,MATCH(ROWS($AH$2:AH488),$AH$2:$AH$1001,0),1)&gt;=100000,INDEX($AO$1005:$BQ$1005,1,MATCH(COLUMNS($AO$1006:BK1006),$AO$1006:$BQ$1006,0))&gt;=100000), " ",IF(INDEX($AO$2:$BQ$1001,MATCH(ROWS($AH$2:AH488),$AH$2:$AH$1001,0),MATCH(COLUMNS($AO$1006:BK1006),$AO$1006:$BQ$1006,0)), HYPERLINK("#",""), HYPERLINK(CONCATENATE("#Metadata!", ADDRESS(INDEX($AJ$2:$AJ$1001,MATCH(ROWS($AH$2:AH488),$AH$2:$AH$1001,0),0), INDEX($AO$1004:$BQ$1004,1,MATCH(COLUMNS($AO$1006:BK1006),$AO$1006:$BQ$1006,0)))),"Fix")))</f>
        <v>#N/A</v>
      </c>
      <c r="Y488" s="5" t="e">
        <f ca="1">IF(OR(INDEX($AI$2:$AI$1001,MATCH(ROWS($AH$2:AH488),$AH$2:$AH$1001,0),1)&gt;=100000,INDEX($AO$1005:$BQ$1005,1,MATCH(COLUMNS($AO$1006:BL1006),$AO$1006:$BQ$1006,0))&gt;=100000), " ",IF(INDEX($AO$2:$BQ$1001,MATCH(ROWS($AH$2:AH488),$AH$2:$AH$1001,0),MATCH(COLUMNS($AO$1006:BL1006),$AO$1006:$BQ$1006,0)), HYPERLINK("#",""), HYPERLINK(CONCATENATE("#Metadata!", ADDRESS(INDEX($AJ$2:$AJ$1001,MATCH(ROWS($AH$2:AH488),$AH$2:$AH$1001,0),0), INDEX($AO$1004:$BQ$1004,1,MATCH(COLUMNS($AO$1006:BL1006),$AO$1006:$BQ$1006,0)))),"Fix")))</f>
        <v>#N/A</v>
      </c>
      <c r="Z488" s="5" t="e">
        <f ca="1">IF(OR(INDEX($AI$2:$AI$1001,MATCH(ROWS($AH$2:AH488),$AH$2:$AH$1001,0),1)&gt;=100000,INDEX($AO$1005:$BQ$1005,1,MATCH(COLUMNS($AO$1006:BM1006),$AO$1006:$BQ$1006,0))&gt;=100000), " ",IF(INDEX($AO$2:$BQ$1001,MATCH(ROWS($AH$2:AH488),$AH$2:$AH$1001,0),MATCH(COLUMNS($AO$1006:BM1006),$AO$1006:$BQ$1006,0)), HYPERLINK("#",""), HYPERLINK(CONCATENATE("#Metadata!", ADDRESS(INDEX($AJ$2:$AJ$1001,MATCH(ROWS($AH$2:AH488),$AH$2:$AH$1001,0),0), INDEX($AO$1004:$BQ$1004,1,MATCH(COLUMNS($AO$1006:BM1006),$AO$1006:$BQ$1006,0)))),"Fix")))</f>
        <v>#N/A</v>
      </c>
      <c r="AA488" s="5" t="e">
        <f ca="1">IF(OR(INDEX($AI$2:$AI$1001,MATCH(ROWS($AH$2:AH488),$AH$2:$AH$1001,0),1)&gt;=100000,INDEX($AO$1005:$BQ$1005,1,MATCH(COLUMNS($AO$1006:BN1006),$AO$1006:$BQ$1006,0))&gt;=100000), " ",IF(INDEX($AO$2:$BQ$1001,MATCH(ROWS($AH$2:AH488),$AH$2:$AH$1001,0),MATCH(COLUMNS($AO$1006:BN1006),$AO$1006:$BQ$1006,0)), HYPERLINK("#",""), HYPERLINK(CONCATENATE("#Metadata!", ADDRESS(INDEX($AJ$2:$AJ$1001,MATCH(ROWS($AH$2:AH488),$AH$2:$AH$1001,0),0), INDEX($AO$1004:$BQ$1004,1,MATCH(COLUMNS($AO$1006:BN1006),$AO$1006:$BQ$1006,0)))),"Fix")))</f>
        <v>#N/A</v>
      </c>
      <c r="AB488" s="5" t="e">
        <f ca="1">IF(OR(INDEX($AI$2:$AI$1001,MATCH(ROWS($AH$2:AH488),$AH$2:$AH$1001,0),1)&gt;=100000,INDEX($AO$1005:$BQ$1005,1,MATCH(COLUMNS($AO$1006:BO1006),$AO$1006:$BQ$1006,0))&gt;=100000), " ",IF(INDEX($AO$2:$BQ$1001,MATCH(ROWS($AH$2:AH488),$AH$2:$AH$1001,0),MATCH(COLUMNS($AO$1006:BO1006),$AO$1006:$BQ$1006,0)), HYPERLINK("#",""), HYPERLINK(CONCATENATE("#Metadata!", ADDRESS(INDEX($AJ$2:$AJ$1001,MATCH(ROWS($AH$2:AH488),$AH$2:$AH$1001,0),0), INDEX($AO$1004:$BQ$1004,1,MATCH(COLUMNS($AO$1006:BO1006),$AO$1006:$BQ$1006,0)))),"Fix")))</f>
        <v>#N/A</v>
      </c>
      <c r="AC488" s="5" t="e">
        <f ca="1">IF(OR(INDEX($AI$2:$AI$1001,MATCH(ROWS($AH$2:AH488),$AH$2:$AH$1001,0),1)&gt;=100000,INDEX($AO$1005:$BQ$1005,1,MATCH(COLUMNS($AO$1006:BP1006),$AO$1006:$BQ$1006,0))&gt;=100000), " ",IF(INDEX($AO$2:$BQ$1001,MATCH(ROWS($AH$2:AH488),$AH$2:$AH$1001,0),MATCH(COLUMNS($AO$1006:BP1006),$AO$1006:$BQ$1006,0)), HYPERLINK("#",""), HYPERLINK(CONCATENATE("#Metadata!", ADDRESS(INDEX($AJ$2:$AJ$1001,MATCH(ROWS($AH$2:AH488),$AH$2:$AH$1001,0),0), INDEX($AO$1004:$BQ$1004,1,MATCH(COLUMNS($AO$1006:BP1006),$AO$1006:$BQ$1006,0)))),"Fix")))</f>
        <v>#N/A</v>
      </c>
      <c r="AD488" s="5" t="e">
        <f ca="1">IF(OR(INDEX($AI$2:$AI$1001,MATCH(ROWS($AH$2:AH488),$AH$2:$AH$1001,0),1)&gt;=100000,INDEX($AO$1005:$BQ$1005,1,MATCH(COLUMNS($AO$1006:BQ1006),$AO$1006:$BQ$1006,0))&gt;=100000), " ",IF(INDEX($AO$2:$BQ$1001,MATCH(ROWS($AH$2:AH488),$AH$2:$AH$1001,0),MATCH(COLUMNS($AO$1006:BQ1006),$AO$1006:$BQ$1006,0)), HYPERLINK("#",""), HYPERLINK(CONCATENATE("#Metadata!", ADDRESS(INDEX($AJ$2:$AJ$1001,MATCH(ROWS($AH$2:AH488),$AH$2:$AH$1001,0),0), INDEX($AO$1004:$BQ$1004,1,MATCH(COLUMNS($AO$1006:BQ1006),$AO$1006:$BQ$1006,0)))),"Fix")))</f>
        <v>#REF!</v>
      </c>
      <c r="AH488">
        <f ca="1"/>
        <v>485</v>
      </c>
      <c r="AI488">
        <v>100488</v>
      </c>
      <c r="AJ488">
        <v>488</v>
      </c>
      <c r="AK488" t="b">
        <f t="shared" si="7"/>
        <v>1</v>
      </c>
      <c r="AL488" t="b">
        <f>COUNTBLANK(Metadata!B488:AD488)=COLUMNS(Metadata!B488:AD488)</f>
        <v>1</v>
      </c>
      <c r="AM488" t="str">
        <v/>
      </c>
      <c r="AO488" t="b">
        <f ca="1">AND(IF(Metadata!B488="",FALSE,TRUE),COUNTIF(Metadata!B:B, Metadata!B488) = 1,NOT(ISERROR(SUMPRODUCT(SEARCH(MID(Metadata!B488,ROW(INDIRECT("1:"&amp;LEN(Metadata!B488))), 1),"0123456789abcdefghijklmnopqrstuvwxyzABCDEFGHIJKLMNOPQRSTUVWXYZ.")))))</f>
        <v>0</v>
      </c>
      <c r="AP488" t="b">
        <f>IF(Metadata!C488="",FALSE,TRUE)</f>
        <v>0</v>
      </c>
      <c r="AQ488" t="b">
        <f>IF(Metadata!D488="",FALSE,TRUE)</f>
        <v>0</v>
      </c>
      <c r="AR488" t="b">
        <f ca="1">OR(AND(IF(Metadata!E488="",FALSE,TRUE),OR(EXACT(Metadata!E488,"not collected"),EXACT(Metadata!E488,"not provided"),EXACT(Metadata!E488,"restricted access"))),AND(IF(Metadata!E488="",FALSE,TRUE),AND(AND(IFERROR(INT(LEFT(Metadata!E488,4))&gt;1900,FALSE),IFERROR(INT(LEFT(Metadata!E488,4))&lt;=YEAR(NOW()),FALSE)), OR(MID(Metadata!E488,5,1)="", AND(AND(MID(Metadata!E488,5,1)="-",IFERROR(INT(MID(Metadata!E488,6,1))&gt;=0,FALSE),IFERROR(INT(MID(Metadata!E488,6,1))&lt;=1,FALSE),NOT(MID(Metadata!E488,7,1)=""),IFERROR(INT(MID(Metadata!E488,6,2))&gt;=1,FALSE),IFERROR(INT(MID(Metadata!E488,6,2))&lt;=12,FALSE)), OR(MID(Metadata!E488,8,1)="", AND(AND(MID(Metadata!E488,8,1)="-",IFERROR(INT(MID(Metadata!E488,9,1))&gt;=0,FALSE),IFERROR(INT(MID(Metadata!E488,9,1))&lt;=3,FALSE),NOT(MID(Metadata!E488,10,1)=""),IFERROR(INT(MID(Metadata!E488,9,2))&gt;=1,FALSE),IFERROR(INT(MID(Metadata!E488,9,2))&lt;=31,FALSE)), OR(MID(Metadata!E488,11,1)="", AND(AND(MID(Metadata!E488,11,1)=" ",IFERROR(INT(MID(Metadata!E488,12,1))&gt;=0,FALSE),IFERROR(INT(MID(Metadata!E488,12,1))&lt;=2,FALSE),NOT(MID(Metadata!E488,13,1)=""),IFERROR(INT(MID(Metadata!E488,12,2))&gt;=0,FALSE),IFERROR(INT(MID(Metadata!E488,12,2))&lt;=23,FALSE)), OR(MID(Metadata!E488,14,1)="", AND(AND(MID(Metadata!E488,14,1)=":",IFERROR(INT(MID(Metadata!E488,15,1))&gt;=0,FALSE),IFERROR(INT(MID(Metadata!E488,15,1))&lt;=5,FALSE),NOT(MID(Metadata!E488,16,1)=""),IFERROR(INT(MID(Metadata!E488,15,2))&gt;=0,FALSE),IFERROR(INT(MID(Metadata!E488,15,2))&lt;=59,FALSE)), OR(MID(Metadata!E488,17,1)="", AND(AND(MID(Metadata!E488,17,1)=":",IFERROR(INT(MID(Metadata!E488,18,1))&gt;=0,FALSE),IFERROR(INT(MID(Metadata!E488,18,1))&lt;=5,FALSE),NOT(MID(Metadata!E488,19,1)=""),IFERROR(INT(MID(Metadata!E488,18,2))&gt;=0,FALSE),IFERROR(INT(MID(Metadata!E488,18,2))&lt;=59,FALSE)), LEN(Metadata!E488)&lt;=19)))))))))))))</f>
        <v>0</v>
      </c>
      <c r="AS488" t="b">
        <f>IF(Metadata!F488="",FALSE,TRUE)</f>
        <v>0</v>
      </c>
      <c r="AT488" t="b">
        <f>OR(AND(IF(Metadata!G488="",FALSE,TRUE),OR(EXACT(Metadata!G488,"not collected"),EXACT(Metadata!G488,"not provided"))),AND(IF(Metadata!G488="",FALSE,TRUE),OR(EXACT(Metadata!G488,"TRUE"),EXACT(Metadata!G488,"FALSE"))))</f>
        <v>0</v>
      </c>
      <c r="AU488" t="b">
        <f>OR(AND(IF(Metadata!H488="",FALSE,TRUE),OR(EXACT(Metadata!H488,"not collected"),EXACT(Metadata!H488,"not provided"),EXACT(Metadata!H488,"restricted access"))),AND(IF(Metadata!H488="",FALSE,ISNUMBER(VALUE(Metadata!H488))),Metadata!H488&gt;=-413))</f>
        <v>0</v>
      </c>
      <c r="AV488" t="b">
        <f>AND(IF(Metadata!I488="",FALSE,TRUE),EXACT(Metadata!I488,"meters"))</f>
        <v>0</v>
      </c>
      <c r="AW488" t="b">
        <f>AND(IF(Metadata!J488="",FALSE,TRUE),EXACT(Metadata!J488,"free-living"))</f>
        <v>0</v>
      </c>
      <c r="AX488" t="b">
        <f>AND(IF(Metadata!K488="",FALSE,TRUE),OR(EXACT(Metadata!K488,"saline"),EXACT(Metadata!K488,"non-saline")))</f>
        <v>0</v>
      </c>
      <c r="AY488" t="b">
        <f>AND(IF(Metadata!L488="",FALSE,TRUE),OR(EXACT(Metadata!L488,"sub-surface (non-saline)"),EXACT(Metadata!L488,"surface (non-saline)"),EXACT(Metadata!L488,"water (non-saline)"),EXACT(Metadata!L488,"soil (non-saline)"),EXACT(Metadata!L488,"aerosol (non-saline)"),EXACT(Metadata!L488,"sediment (non-saline)"),EXACT(Metadata!L488,"surface (saline)"),EXACT(Metadata!L488,"water (saline)"),EXACT(Metadata!L488,"hypersaline (saline)"),EXACT(Metadata!L488,"aerosol (saline)"),EXACT(Metadata!L488,"sediment (saline)")))</f>
        <v>0</v>
      </c>
      <c r="AZ488" t="b">
        <f>IF(Metadata!M488="",FALSE,TRUE)</f>
        <v>0</v>
      </c>
      <c r="BA488" t="b">
        <f>IF(Metadata!N488="",FALSE,TRUE)</f>
        <v>0</v>
      </c>
      <c r="BB488" t="b">
        <f>IF(Metadata!O488="",FALSE,TRUE)</f>
        <v>0</v>
      </c>
      <c r="BC488" t="b">
        <f>AND(IF(Metadata!P488="",FALSE,TRUE),OR(EXACT(Metadata!P488,"air"),EXACT(Metadata!P488,"microbial mat/biofilm"),EXACT(Metadata!P488,"misc environment"),EXACT(Metadata!P488,"sediment"),EXACT(Metadata!P488,"soil"),EXACT(Metadata!P488,"wastewater/sludge"),EXACT(Metadata!P488,"water")))</f>
        <v>0</v>
      </c>
      <c r="BD488" t="b">
        <f>IF(Metadata!Q488="",FALSE,TRUE)</f>
        <v>0</v>
      </c>
      <c r="BE488" t="b">
        <f>IF(Metadata!R488="",FALSE,TRUE)</f>
        <v>0</v>
      </c>
      <c r="BF488" t="b">
        <f>OR(AND(IF(Metadata!S488="",FALSE,TRUE),OR(EXACT(Metadata!S488,"not collected"),EXACT(Metadata!S488,"not provided"),EXACT(Metadata!S488,"restricted access"))),AND(IF(Metadata!S488="",FALSE,ISNUMBER(VALUE(Metadata!S488))),Metadata!S488&gt;=-90,Metadata!S488&lt;=90))</f>
        <v>0</v>
      </c>
      <c r="BG488" t="b">
        <f>AND(IF(Metadata!T488="",FALSE,TRUE),EXACT(Metadata!T488,"Decimal degrees"))</f>
        <v>0</v>
      </c>
      <c r="BH488" t="b">
        <f>OR(AND(IF(Metadata!U488="",FALSE,TRUE),OR(EXACT(Metadata!U488,"not applicable"),EXACT(Metadata!U488,"not collected"))),IF(Metadata!U488="",FALSE,TRUE))</f>
        <v>0</v>
      </c>
      <c r="BI488" t="b">
        <f>OR(AND(IF(Metadata!V488="",FALSE,TRUE),OR(EXACT(Metadata!V488,"not collected"),EXACT(Metadata!V488,"not provided"),EXACT(Metadata!V488,"restricted access"))),AND(IF(Metadata!V488="",FALSE,ISNUMBER(VALUE(Metadata!V488))),Metadata!V488&gt;=-180,Metadata!V488&lt;=180))</f>
        <v>0</v>
      </c>
      <c r="BJ488" t="b">
        <f>AND(IF(Metadata!W488="",FALSE,TRUE),EXACT(Metadata!W488,"Decimal degrees"))</f>
        <v>0</v>
      </c>
      <c r="BK488" t="b">
        <f>IF(Metadata!X488="",FALSE,TRUE)</f>
        <v>0</v>
      </c>
      <c r="BL488" t="b">
        <f>OR(AND(IF(Metadata!Y488="",FALSE,TRUE),OR(EXACT(Metadata!Y488,"not collected"),EXACT(Metadata!Y488,"not provided"),EXACT(Metadata!Y488,"restricted access"))),AND(IF(Metadata!Y488="",FALSE,TRUE),OR(EXACT(Metadata!Y488,"TRUE"),EXACT(Metadata!Y488,"FALSE"))))</f>
        <v>0</v>
      </c>
      <c r="BM488" t="b">
        <f>OR(AND(IF(Metadata!Z488="",FALSE,TRUE),EXACT(Metadata!Z488,"not applicable")),AND(IF(Metadata!Z488="",FALSE,TRUE),OR(EXACT(Metadata!Z488,"beer"),EXACT(Metadata!Z488,"cheese"),EXACT(Metadata!Z488,"fresh water"),EXACT(Metadata!Z488,"marine sediment"),EXACT(Metadata!Z488,"sea water"),EXACT(Metadata!Z488,"sediment"),EXACT(Metadata!Z488,"soil"),EXACT(Metadata!Z488,"waste water"))))</f>
        <v>0</v>
      </c>
      <c r="BN488" t="b">
        <f>AND(IF(Metadata!AA488="",FALSE,TRUE),EXACT(Metadata!AA488,"metagenome"))</f>
        <v>0</v>
      </c>
      <c r="BO488" t="b">
        <f>AND(IF(Metadata!AB488="",FALSE,TRUE),EXACT(Metadata!AB488,"256318"))</f>
        <v>0</v>
      </c>
      <c r="BP488" t="b">
        <f>IF(Metadata!AC488="",FALSE,TRUE)</f>
        <v>0</v>
      </c>
      <c r="BQ488" t="b">
        <f>IF(Metadata!AD488="",FALSE,TRUE)</f>
        <v>0</v>
      </c>
    </row>
    <row r="489" spans="1:69" x14ac:dyDescent="0.2">
      <c r="A489" s="4" t="e">
        <f ca="1">IF(B489=" "," ",HYPERLINK(CONCATENATE("#metadata!",ADDRESS(INDEX($AJ$2:$AJ$1001,MATCH(ROWS($AH$2:AH489),$AH$2:$AH$1001,0),0),2)),INDEX($AM$2:$AM$1001,MATCH(ROWS($AH$2:AH489),$AH$2:$AH$1001,0),0)))</f>
        <v>#N/A</v>
      </c>
      <c r="B489" s="5" t="e">
        <f ca="1">IF(OR(INDEX($AI$2:$AI$1001,MATCH(ROWS($AH$2:AH489),$AH$2:$AH$1001,0),1)&gt;=100000,INDEX($AO$1005:$BQ$1005,1,MATCH(COLUMNS($AO$1006:AO1006),$AO$1006:$BQ$1006,0))&gt;=100000), " ",IF(INDEX($AO$2:$BQ$1001,MATCH(ROWS($AH$2:AH489),$AH$2:$AH$1001,0),MATCH(COLUMNS($AO$1006:AO1006),$AO$1006:$BQ$1006,0)), HYPERLINK("#",""), HYPERLINK(CONCATENATE("#Metadata!", ADDRESS(INDEX($AJ$2:$AJ$1001,MATCH(ROWS($AH$2:AH489),$AH$2:$AH$1001,0),0), INDEX($AO$1004:$BQ$1004,1,MATCH(COLUMNS($AO$1006:AO1006),$AO$1006:$BQ$1006,0)))),"Fix")))</f>
        <v>#N/A</v>
      </c>
      <c r="C489" s="5" t="e">
        <f ca="1">IF(OR(INDEX($AI$2:$AI$1001,MATCH(ROWS($AH$2:AH489),$AH$2:$AH$1001,0),1)&gt;=100000,INDEX($AO$1005:$BQ$1005,1,MATCH(COLUMNS($AO$1006:AP1006),$AO$1006:$BQ$1006,0))&gt;=100000), " ",IF(INDEX($AO$2:$BQ$1001,MATCH(ROWS($AH$2:AH489),$AH$2:$AH$1001,0),MATCH(COLUMNS($AO$1006:AP1006),$AO$1006:$BQ$1006,0)), HYPERLINK("#",""), HYPERLINK(CONCATENATE("#Metadata!", ADDRESS(INDEX($AJ$2:$AJ$1001,MATCH(ROWS($AH$2:AH489),$AH$2:$AH$1001,0),0), INDEX($AO$1004:$BQ$1004,1,MATCH(COLUMNS($AO$1006:AP1006),$AO$1006:$BQ$1006,0)))),"Fix")))</f>
        <v>#N/A</v>
      </c>
      <c r="D489" s="5" t="e">
        <f ca="1">IF(OR(INDEX($AI$2:$AI$1001,MATCH(ROWS($AH$2:AH489),$AH$2:$AH$1001,0),1)&gt;=100000,INDEX($AO$1005:$BQ$1005,1,MATCH(COLUMNS($AO$1006:AQ1006),$AO$1006:$BQ$1006,0))&gt;=100000), " ",IF(INDEX($AO$2:$BQ$1001,MATCH(ROWS($AH$2:AH489),$AH$2:$AH$1001,0),MATCH(COLUMNS($AO$1006:AQ1006),$AO$1006:$BQ$1006,0)), HYPERLINK("#",""), HYPERLINK(CONCATENATE("#Metadata!", ADDRESS(INDEX($AJ$2:$AJ$1001,MATCH(ROWS($AH$2:AH489),$AH$2:$AH$1001,0),0), INDEX($AO$1004:$BQ$1004,1,MATCH(COLUMNS($AO$1006:AQ1006),$AO$1006:$BQ$1006,0)))),"Fix")))</f>
        <v>#N/A</v>
      </c>
      <c r="E489" s="5" t="e">
        <f ca="1">IF(OR(INDEX($AI$2:$AI$1001,MATCH(ROWS($AH$2:AH489),$AH$2:$AH$1001,0),1)&gt;=100000,INDEX($AO$1005:$BQ$1005,1,MATCH(COLUMNS($AO$1006:AR1006),$AO$1006:$BQ$1006,0))&gt;=100000), " ",IF(INDEX($AO$2:$BQ$1001,MATCH(ROWS($AH$2:AH489),$AH$2:$AH$1001,0),MATCH(COLUMNS($AO$1006:AR1006),$AO$1006:$BQ$1006,0)), HYPERLINK("#",""), HYPERLINK(CONCATENATE("#Metadata!", ADDRESS(INDEX($AJ$2:$AJ$1001,MATCH(ROWS($AH$2:AH489),$AH$2:$AH$1001,0),0), INDEX($AO$1004:$BQ$1004,1,MATCH(COLUMNS($AO$1006:AR1006),$AO$1006:$BQ$1006,0)))),"Fix")))</f>
        <v>#N/A</v>
      </c>
      <c r="F489" s="5" t="e">
        <f ca="1">IF(OR(INDEX($AI$2:$AI$1001,MATCH(ROWS($AH$2:AH489),$AH$2:$AH$1001,0),1)&gt;=100000,INDEX($AO$1005:$BQ$1005,1,MATCH(COLUMNS($AO$1006:AS1006),$AO$1006:$BQ$1006,0))&gt;=100000), " ",IF(INDEX($AO$2:$BQ$1001,MATCH(ROWS($AH$2:AH489),$AH$2:$AH$1001,0),MATCH(COLUMNS($AO$1006:AS1006),$AO$1006:$BQ$1006,0)), HYPERLINK("#",""), HYPERLINK(CONCATENATE("#Metadata!", ADDRESS(INDEX($AJ$2:$AJ$1001,MATCH(ROWS($AH$2:AH489),$AH$2:$AH$1001,0),0), INDEX($AO$1004:$BQ$1004,1,MATCH(COLUMNS($AO$1006:AS1006),$AO$1006:$BQ$1006,0)))),"Fix")))</f>
        <v>#N/A</v>
      </c>
      <c r="G489" s="5" t="e">
        <f ca="1">IF(OR(INDEX($AI$2:$AI$1001,MATCH(ROWS($AH$2:AH489),$AH$2:$AH$1001,0),1)&gt;=100000,INDEX($AO$1005:$BQ$1005,1,MATCH(COLUMNS($AO$1006:AT1006),$AO$1006:$BQ$1006,0))&gt;=100000), " ",IF(INDEX($AO$2:$BQ$1001,MATCH(ROWS($AH$2:AH489),$AH$2:$AH$1001,0),MATCH(COLUMNS($AO$1006:AT1006),$AO$1006:$BQ$1006,0)), HYPERLINK("#",""), HYPERLINK(CONCATENATE("#Metadata!", ADDRESS(INDEX($AJ$2:$AJ$1001,MATCH(ROWS($AH$2:AH489),$AH$2:$AH$1001,0),0), INDEX($AO$1004:$BQ$1004,1,MATCH(COLUMNS($AO$1006:AT1006),$AO$1006:$BQ$1006,0)))),"Fix")))</f>
        <v>#N/A</v>
      </c>
      <c r="H489" s="5" t="e">
        <f ca="1">IF(OR(INDEX($AI$2:$AI$1001,MATCH(ROWS($AH$2:AH489),$AH$2:$AH$1001,0),1)&gt;=100000,INDEX($AO$1005:$BQ$1005,1,MATCH(COLUMNS($AO$1006:AU1006),$AO$1006:$BQ$1006,0))&gt;=100000), " ",IF(INDEX($AO$2:$BQ$1001,MATCH(ROWS($AH$2:AH489),$AH$2:$AH$1001,0),MATCH(COLUMNS($AO$1006:AU1006),$AO$1006:$BQ$1006,0)), HYPERLINK("#",""), HYPERLINK(CONCATENATE("#Metadata!", ADDRESS(INDEX($AJ$2:$AJ$1001,MATCH(ROWS($AH$2:AH489),$AH$2:$AH$1001,0),0), INDEX($AO$1004:$BQ$1004,1,MATCH(COLUMNS($AO$1006:AU1006),$AO$1006:$BQ$1006,0)))),"Fix")))</f>
        <v>#N/A</v>
      </c>
      <c r="I489" s="5" t="e">
        <f ca="1">IF(OR(INDEX($AI$2:$AI$1001,MATCH(ROWS($AH$2:AH489),$AH$2:$AH$1001,0),1)&gt;=100000,INDEX($AO$1005:$BQ$1005,1,MATCH(COLUMNS($AO$1006:AV1006),$AO$1006:$BQ$1006,0))&gt;=100000), " ",IF(INDEX($AO$2:$BQ$1001,MATCH(ROWS($AH$2:AH489),$AH$2:$AH$1001,0),MATCH(COLUMNS($AO$1006:AV1006),$AO$1006:$BQ$1006,0)), HYPERLINK("#",""), HYPERLINK(CONCATENATE("#Metadata!", ADDRESS(INDEX($AJ$2:$AJ$1001,MATCH(ROWS($AH$2:AH489),$AH$2:$AH$1001,0),0), INDEX($AO$1004:$BQ$1004,1,MATCH(COLUMNS($AO$1006:AV1006),$AO$1006:$BQ$1006,0)))),"Fix")))</f>
        <v>#N/A</v>
      </c>
      <c r="J489" s="5" t="e">
        <f ca="1">IF(OR(INDEX($AI$2:$AI$1001,MATCH(ROWS($AH$2:AH489),$AH$2:$AH$1001,0),1)&gt;=100000,INDEX($AO$1005:$BQ$1005,1,MATCH(COLUMNS($AO$1006:AW1006),$AO$1006:$BQ$1006,0))&gt;=100000), " ",IF(INDEX($AO$2:$BQ$1001,MATCH(ROWS($AH$2:AH489),$AH$2:$AH$1001,0),MATCH(COLUMNS($AO$1006:AW1006),$AO$1006:$BQ$1006,0)), HYPERLINK("#",""), HYPERLINK(CONCATENATE("#Metadata!", ADDRESS(INDEX($AJ$2:$AJ$1001,MATCH(ROWS($AH$2:AH489),$AH$2:$AH$1001,0),0), INDEX($AO$1004:$BQ$1004,1,MATCH(COLUMNS($AO$1006:AW1006),$AO$1006:$BQ$1006,0)))),"Fix")))</f>
        <v>#N/A</v>
      </c>
      <c r="K489" s="5" t="e">
        <f ca="1">IF(OR(INDEX($AI$2:$AI$1001,MATCH(ROWS($AH$2:AH489),$AH$2:$AH$1001,0),1)&gt;=100000,INDEX($AO$1005:$BQ$1005,1,MATCH(COLUMNS($AO$1006:AX1006),$AO$1006:$BQ$1006,0))&gt;=100000), " ",IF(INDEX($AO$2:$BQ$1001,MATCH(ROWS($AH$2:AH489),$AH$2:$AH$1001,0),MATCH(COLUMNS($AO$1006:AX1006),$AO$1006:$BQ$1006,0)), HYPERLINK("#",""), HYPERLINK(CONCATENATE("#Metadata!", ADDRESS(INDEX($AJ$2:$AJ$1001,MATCH(ROWS($AH$2:AH489),$AH$2:$AH$1001,0),0), INDEX($AO$1004:$BQ$1004,1,MATCH(COLUMNS($AO$1006:AX1006),$AO$1006:$BQ$1006,0)))),"Fix")))</f>
        <v>#N/A</v>
      </c>
      <c r="L489" s="5" t="e">
        <f ca="1">IF(OR(INDEX($AI$2:$AI$1001,MATCH(ROWS($AH$2:AH489),$AH$2:$AH$1001,0),1)&gt;=100000,INDEX($AO$1005:$BQ$1005,1,MATCH(COLUMNS($AO$1006:AY1006),$AO$1006:$BQ$1006,0))&gt;=100000), " ",IF(INDEX($AO$2:$BQ$1001,MATCH(ROWS($AH$2:AH489),$AH$2:$AH$1001,0),MATCH(COLUMNS($AO$1006:AY1006),$AO$1006:$BQ$1006,0)), HYPERLINK("#",""), HYPERLINK(CONCATENATE("#Metadata!", ADDRESS(INDEX($AJ$2:$AJ$1001,MATCH(ROWS($AH$2:AH489),$AH$2:$AH$1001,0),0), INDEX($AO$1004:$BQ$1004,1,MATCH(COLUMNS($AO$1006:AY1006),$AO$1006:$BQ$1006,0)))),"Fix")))</f>
        <v>#N/A</v>
      </c>
      <c r="M489" s="5" t="e">
        <f ca="1">IF(OR(INDEX($AI$2:$AI$1001,MATCH(ROWS($AH$2:AH489),$AH$2:$AH$1001,0),1)&gt;=100000,INDEX($AO$1005:$BQ$1005,1,MATCH(COLUMNS($AO$1006:AZ1006),$AO$1006:$BQ$1006,0))&gt;=100000), " ",IF(INDEX($AO$2:$BQ$1001,MATCH(ROWS($AH$2:AH489),$AH$2:$AH$1001,0),MATCH(COLUMNS($AO$1006:AZ1006),$AO$1006:$BQ$1006,0)), HYPERLINK("#",""), HYPERLINK(CONCATENATE("#Metadata!", ADDRESS(INDEX($AJ$2:$AJ$1001,MATCH(ROWS($AH$2:AH489),$AH$2:$AH$1001,0),0), INDEX($AO$1004:$BQ$1004,1,MATCH(COLUMNS($AO$1006:AZ1006),$AO$1006:$BQ$1006,0)))),"Fix")))</f>
        <v>#N/A</v>
      </c>
      <c r="N489" s="5" t="e">
        <f ca="1">IF(OR(INDEX($AI$2:$AI$1001,MATCH(ROWS($AH$2:AH489),$AH$2:$AH$1001,0),1)&gt;=100000,INDEX($AO$1005:$BQ$1005,1,MATCH(COLUMNS($AO$1006:BA1006),$AO$1006:$BQ$1006,0))&gt;=100000), " ",IF(INDEX($AO$2:$BQ$1001,MATCH(ROWS($AH$2:AH489),$AH$2:$AH$1001,0),MATCH(COLUMNS($AO$1006:BA1006),$AO$1006:$BQ$1006,0)), HYPERLINK("#",""), HYPERLINK(CONCATENATE("#Metadata!", ADDRESS(INDEX($AJ$2:$AJ$1001,MATCH(ROWS($AH$2:AH489),$AH$2:$AH$1001,0),0), INDEX($AO$1004:$BQ$1004,1,MATCH(COLUMNS($AO$1006:BA1006),$AO$1006:$BQ$1006,0)))),"Fix")))</f>
        <v>#N/A</v>
      </c>
      <c r="O489" s="5" t="e">
        <f ca="1">IF(OR(INDEX($AI$2:$AI$1001,MATCH(ROWS($AH$2:AH489),$AH$2:$AH$1001,0),1)&gt;=100000,INDEX($AO$1005:$BQ$1005,1,MATCH(COLUMNS($AO$1006:BB1006),$AO$1006:$BQ$1006,0))&gt;=100000), " ",IF(INDEX($AO$2:$BQ$1001,MATCH(ROWS($AH$2:AH489),$AH$2:$AH$1001,0),MATCH(COLUMNS($AO$1006:BB1006),$AO$1006:$BQ$1006,0)), HYPERLINK("#",""), HYPERLINK(CONCATENATE("#Metadata!", ADDRESS(INDEX($AJ$2:$AJ$1001,MATCH(ROWS($AH$2:AH489),$AH$2:$AH$1001,0),0), INDEX($AO$1004:$BQ$1004,1,MATCH(COLUMNS($AO$1006:BB1006),$AO$1006:$BQ$1006,0)))),"Fix")))</f>
        <v>#N/A</v>
      </c>
      <c r="P489" s="5" t="e">
        <f ca="1">IF(OR(INDEX($AI$2:$AI$1001,MATCH(ROWS($AH$2:AH489),$AH$2:$AH$1001,0),1)&gt;=100000,INDEX($AO$1005:$BQ$1005,1,MATCH(COLUMNS($AO$1006:BC1006),$AO$1006:$BQ$1006,0))&gt;=100000), " ",IF(INDEX($AO$2:$BQ$1001,MATCH(ROWS($AH$2:AH489),$AH$2:$AH$1001,0),MATCH(COLUMNS($AO$1006:BC1006),$AO$1006:$BQ$1006,0)), HYPERLINK("#",""), HYPERLINK(CONCATENATE("#Metadata!", ADDRESS(INDEX($AJ$2:$AJ$1001,MATCH(ROWS($AH$2:AH489),$AH$2:$AH$1001,0),0), INDEX($AO$1004:$BQ$1004,1,MATCH(COLUMNS($AO$1006:BC1006),$AO$1006:$BQ$1006,0)))),"Fix")))</f>
        <v>#N/A</v>
      </c>
      <c r="Q489" s="5" t="e">
        <f ca="1">IF(OR(INDEX($AI$2:$AI$1001,MATCH(ROWS($AH$2:AH489),$AH$2:$AH$1001,0),1)&gt;=100000,INDEX($AO$1005:$BQ$1005,1,MATCH(COLUMNS($AO$1006:BD1006),$AO$1006:$BQ$1006,0))&gt;=100000), " ",IF(INDEX($AO$2:$BQ$1001,MATCH(ROWS($AH$2:AH489),$AH$2:$AH$1001,0),MATCH(COLUMNS($AO$1006:BD1006),$AO$1006:$BQ$1006,0)), HYPERLINK("#",""), HYPERLINK(CONCATENATE("#Metadata!", ADDRESS(INDEX($AJ$2:$AJ$1001,MATCH(ROWS($AH$2:AH489),$AH$2:$AH$1001,0),0), INDEX($AO$1004:$BQ$1004,1,MATCH(COLUMNS($AO$1006:BD1006),$AO$1006:$BQ$1006,0)))),"Fix")))</f>
        <v>#N/A</v>
      </c>
      <c r="R489" s="5" t="e">
        <f ca="1">IF(OR(INDEX($AI$2:$AI$1001,MATCH(ROWS($AH$2:AH489),$AH$2:$AH$1001,0),1)&gt;=100000,INDEX($AO$1005:$BQ$1005,1,MATCH(COLUMNS($AO$1006:BE1006),$AO$1006:$BQ$1006,0))&gt;=100000), " ",IF(INDEX($AO$2:$BQ$1001,MATCH(ROWS($AH$2:AH489),$AH$2:$AH$1001,0),MATCH(COLUMNS($AO$1006:BE1006),$AO$1006:$BQ$1006,0)), HYPERLINK("#",""), HYPERLINK(CONCATENATE("#Metadata!", ADDRESS(INDEX($AJ$2:$AJ$1001,MATCH(ROWS($AH$2:AH489),$AH$2:$AH$1001,0),0), INDEX($AO$1004:$BQ$1004,1,MATCH(COLUMNS($AO$1006:BE1006),$AO$1006:$BQ$1006,0)))),"Fix")))</f>
        <v>#N/A</v>
      </c>
      <c r="S489" s="5" t="e">
        <f ca="1">IF(OR(INDEX($AI$2:$AI$1001,MATCH(ROWS($AH$2:AH489),$AH$2:$AH$1001,0),1)&gt;=100000,INDEX($AO$1005:$BQ$1005,1,MATCH(COLUMNS($AO$1006:BF1006),$AO$1006:$BQ$1006,0))&gt;=100000), " ",IF(INDEX($AO$2:$BQ$1001,MATCH(ROWS($AH$2:AH489),$AH$2:$AH$1001,0),MATCH(COLUMNS($AO$1006:BF1006),$AO$1006:$BQ$1006,0)), HYPERLINK("#",""), HYPERLINK(CONCATENATE("#Metadata!", ADDRESS(INDEX($AJ$2:$AJ$1001,MATCH(ROWS($AH$2:AH489),$AH$2:$AH$1001,0),0), INDEX($AO$1004:$BQ$1004,1,MATCH(COLUMNS($AO$1006:BF1006),$AO$1006:$BQ$1006,0)))),"Fix")))</f>
        <v>#N/A</v>
      </c>
      <c r="T489" s="5" t="e">
        <f ca="1">IF(OR(INDEX($AI$2:$AI$1001,MATCH(ROWS($AH$2:AH489),$AH$2:$AH$1001,0),1)&gt;=100000,INDEX($AO$1005:$BQ$1005,1,MATCH(COLUMNS($AO$1006:BG1006),$AO$1006:$BQ$1006,0))&gt;=100000), " ",IF(INDEX($AO$2:$BQ$1001,MATCH(ROWS($AH$2:AH489),$AH$2:$AH$1001,0),MATCH(COLUMNS($AO$1006:BG1006),$AO$1006:$BQ$1006,0)), HYPERLINK("#",""), HYPERLINK(CONCATENATE("#Metadata!", ADDRESS(INDEX($AJ$2:$AJ$1001,MATCH(ROWS($AH$2:AH489),$AH$2:$AH$1001,0),0), INDEX($AO$1004:$BQ$1004,1,MATCH(COLUMNS($AO$1006:BG1006),$AO$1006:$BQ$1006,0)))),"Fix")))</f>
        <v>#N/A</v>
      </c>
      <c r="U489" s="5" t="e">
        <f ca="1">IF(OR(INDEX($AI$2:$AI$1001,MATCH(ROWS($AH$2:AH489),$AH$2:$AH$1001,0),1)&gt;=100000,INDEX($AO$1005:$BQ$1005,1,MATCH(COLUMNS($AO$1006:BH1006),$AO$1006:$BQ$1006,0))&gt;=100000), " ",IF(INDEX($AO$2:$BQ$1001,MATCH(ROWS($AH$2:AH489),$AH$2:$AH$1001,0),MATCH(COLUMNS($AO$1006:BH1006),$AO$1006:$BQ$1006,0)), HYPERLINK("#",""), HYPERLINK(CONCATENATE("#Metadata!", ADDRESS(INDEX($AJ$2:$AJ$1001,MATCH(ROWS($AH$2:AH489),$AH$2:$AH$1001,0),0), INDEX($AO$1004:$BQ$1004,1,MATCH(COLUMNS($AO$1006:BH1006),$AO$1006:$BQ$1006,0)))),"Fix")))</f>
        <v>#N/A</v>
      </c>
      <c r="V489" s="5" t="e">
        <f ca="1">IF(OR(INDEX($AI$2:$AI$1001,MATCH(ROWS($AH$2:AH489),$AH$2:$AH$1001,0),1)&gt;=100000,INDEX($AO$1005:$BQ$1005,1,MATCH(COLUMNS($AO$1006:BI1006),$AO$1006:$BQ$1006,0))&gt;=100000), " ",IF(INDEX($AO$2:$BQ$1001,MATCH(ROWS($AH$2:AH489),$AH$2:$AH$1001,0),MATCH(COLUMNS($AO$1006:BI1006),$AO$1006:$BQ$1006,0)), HYPERLINK("#",""), HYPERLINK(CONCATENATE("#Metadata!", ADDRESS(INDEX($AJ$2:$AJ$1001,MATCH(ROWS($AH$2:AH489),$AH$2:$AH$1001,0),0), INDEX($AO$1004:$BQ$1004,1,MATCH(COLUMNS($AO$1006:BI1006),$AO$1006:$BQ$1006,0)))),"Fix")))</f>
        <v>#N/A</v>
      </c>
      <c r="W489" s="5" t="e">
        <f ca="1">IF(OR(INDEX($AI$2:$AI$1001,MATCH(ROWS($AH$2:AH489),$AH$2:$AH$1001,0),1)&gt;=100000,INDEX($AO$1005:$BQ$1005,1,MATCH(COLUMNS($AO$1006:BJ1006),$AO$1006:$BQ$1006,0))&gt;=100000), " ",IF(INDEX($AO$2:$BQ$1001,MATCH(ROWS($AH$2:AH489),$AH$2:$AH$1001,0),MATCH(COLUMNS($AO$1006:BJ1006),$AO$1006:$BQ$1006,0)), HYPERLINK("#",""), HYPERLINK(CONCATENATE("#Metadata!", ADDRESS(INDEX($AJ$2:$AJ$1001,MATCH(ROWS($AH$2:AH489),$AH$2:$AH$1001,0),0), INDEX($AO$1004:$BQ$1004,1,MATCH(COLUMNS($AO$1006:BJ1006),$AO$1006:$BQ$1006,0)))),"Fix")))</f>
        <v>#N/A</v>
      </c>
      <c r="X489" s="5" t="e">
        <f ca="1">IF(OR(INDEX($AI$2:$AI$1001,MATCH(ROWS($AH$2:AH489),$AH$2:$AH$1001,0),1)&gt;=100000,INDEX($AO$1005:$BQ$1005,1,MATCH(COLUMNS($AO$1006:BK1006),$AO$1006:$BQ$1006,0))&gt;=100000), " ",IF(INDEX($AO$2:$BQ$1001,MATCH(ROWS($AH$2:AH489),$AH$2:$AH$1001,0),MATCH(COLUMNS($AO$1006:BK1006),$AO$1006:$BQ$1006,0)), HYPERLINK("#",""), HYPERLINK(CONCATENATE("#Metadata!", ADDRESS(INDEX($AJ$2:$AJ$1001,MATCH(ROWS($AH$2:AH489),$AH$2:$AH$1001,0),0), INDEX($AO$1004:$BQ$1004,1,MATCH(COLUMNS($AO$1006:BK1006),$AO$1006:$BQ$1006,0)))),"Fix")))</f>
        <v>#N/A</v>
      </c>
      <c r="Y489" s="5" t="e">
        <f ca="1">IF(OR(INDEX($AI$2:$AI$1001,MATCH(ROWS($AH$2:AH489),$AH$2:$AH$1001,0),1)&gt;=100000,INDEX($AO$1005:$BQ$1005,1,MATCH(COLUMNS($AO$1006:BL1006),$AO$1006:$BQ$1006,0))&gt;=100000), " ",IF(INDEX($AO$2:$BQ$1001,MATCH(ROWS($AH$2:AH489),$AH$2:$AH$1001,0),MATCH(COLUMNS($AO$1006:BL1006),$AO$1006:$BQ$1006,0)), HYPERLINK("#",""), HYPERLINK(CONCATENATE("#Metadata!", ADDRESS(INDEX($AJ$2:$AJ$1001,MATCH(ROWS($AH$2:AH489),$AH$2:$AH$1001,0),0), INDEX($AO$1004:$BQ$1004,1,MATCH(COLUMNS($AO$1006:BL1006),$AO$1006:$BQ$1006,0)))),"Fix")))</f>
        <v>#N/A</v>
      </c>
      <c r="Z489" s="5" t="e">
        <f ca="1">IF(OR(INDEX($AI$2:$AI$1001,MATCH(ROWS($AH$2:AH489),$AH$2:$AH$1001,0),1)&gt;=100000,INDEX($AO$1005:$BQ$1005,1,MATCH(COLUMNS($AO$1006:BM1006),$AO$1006:$BQ$1006,0))&gt;=100000), " ",IF(INDEX($AO$2:$BQ$1001,MATCH(ROWS($AH$2:AH489),$AH$2:$AH$1001,0),MATCH(COLUMNS($AO$1006:BM1006),$AO$1006:$BQ$1006,0)), HYPERLINK("#",""), HYPERLINK(CONCATENATE("#Metadata!", ADDRESS(INDEX($AJ$2:$AJ$1001,MATCH(ROWS($AH$2:AH489),$AH$2:$AH$1001,0),0), INDEX($AO$1004:$BQ$1004,1,MATCH(COLUMNS($AO$1006:BM1006),$AO$1006:$BQ$1006,0)))),"Fix")))</f>
        <v>#N/A</v>
      </c>
      <c r="AA489" s="5" t="e">
        <f ca="1">IF(OR(INDEX($AI$2:$AI$1001,MATCH(ROWS($AH$2:AH489),$AH$2:$AH$1001,0),1)&gt;=100000,INDEX($AO$1005:$BQ$1005,1,MATCH(COLUMNS($AO$1006:BN1006),$AO$1006:$BQ$1006,0))&gt;=100000), " ",IF(INDEX($AO$2:$BQ$1001,MATCH(ROWS($AH$2:AH489),$AH$2:$AH$1001,0),MATCH(COLUMNS($AO$1006:BN1006),$AO$1006:$BQ$1006,0)), HYPERLINK("#",""), HYPERLINK(CONCATENATE("#Metadata!", ADDRESS(INDEX($AJ$2:$AJ$1001,MATCH(ROWS($AH$2:AH489),$AH$2:$AH$1001,0),0), INDEX($AO$1004:$BQ$1004,1,MATCH(COLUMNS($AO$1006:BN1006),$AO$1006:$BQ$1006,0)))),"Fix")))</f>
        <v>#N/A</v>
      </c>
      <c r="AB489" s="5" t="e">
        <f ca="1">IF(OR(INDEX($AI$2:$AI$1001,MATCH(ROWS($AH$2:AH489),$AH$2:$AH$1001,0),1)&gt;=100000,INDEX($AO$1005:$BQ$1005,1,MATCH(COLUMNS($AO$1006:BO1006),$AO$1006:$BQ$1006,0))&gt;=100000), " ",IF(INDEX($AO$2:$BQ$1001,MATCH(ROWS($AH$2:AH489),$AH$2:$AH$1001,0),MATCH(COLUMNS($AO$1006:BO1006),$AO$1006:$BQ$1006,0)), HYPERLINK("#",""), HYPERLINK(CONCATENATE("#Metadata!", ADDRESS(INDEX($AJ$2:$AJ$1001,MATCH(ROWS($AH$2:AH489),$AH$2:$AH$1001,0),0), INDEX($AO$1004:$BQ$1004,1,MATCH(COLUMNS($AO$1006:BO1006),$AO$1006:$BQ$1006,0)))),"Fix")))</f>
        <v>#N/A</v>
      </c>
      <c r="AC489" s="5" t="e">
        <f ca="1">IF(OR(INDEX($AI$2:$AI$1001,MATCH(ROWS($AH$2:AH489),$AH$2:$AH$1001,0),1)&gt;=100000,INDEX($AO$1005:$BQ$1005,1,MATCH(COLUMNS($AO$1006:BP1006),$AO$1006:$BQ$1006,0))&gt;=100000), " ",IF(INDEX($AO$2:$BQ$1001,MATCH(ROWS($AH$2:AH489),$AH$2:$AH$1001,0),MATCH(COLUMNS($AO$1006:BP1006),$AO$1006:$BQ$1006,0)), HYPERLINK("#",""), HYPERLINK(CONCATENATE("#Metadata!", ADDRESS(INDEX($AJ$2:$AJ$1001,MATCH(ROWS($AH$2:AH489),$AH$2:$AH$1001,0),0), INDEX($AO$1004:$BQ$1004,1,MATCH(COLUMNS($AO$1006:BP1006),$AO$1006:$BQ$1006,0)))),"Fix")))</f>
        <v>#N/A</v>
      </c>
      <c r="AD489" s="5" t="e">
        <f ca="1">IF(OR(INDEX($AI$2:$AI$1001,MATCH(ROWS($AH$2:AH489),$AH$2:$AH$1001,0),1)&gt;=100000,INDEX($AO$1005:$BQ$1005,1,MATCH(COLUMNS($AO$1006:BQ1006),$AO$1006:$BQ$1006,0))&gt;=100000), " ",IF(INDEX($AO$2:$BQ$1001,MATCH(ROWS($AH$2:AH489),$AH$2:$AH$1001,0),MATCH(COLUMNS($AO$1006:BQ1006),$AO$1006:$BQ$1006,0)), HYPERLINK("#",""), HYPERLINK(CONCATENATE("#Metadata!", ADDRESS(INDEX($AJ$2:$AJ$1001,MATCH(ROWS($AH$2:AH489),$AH$2:$AH$1001,0),0), INDEX($AO$1004:$BQ$1004,1,MATCH(COLUMNS($AO$1006:BQ1006),$AO$1006:$BQ$1006,0)))),"Fix")))</f>
        <v>#REF!</v>
      </c>
      <c r="AH489">
        <f ca="1"/>
        <v>486</v>
      </c>
      <c r="AI489">
        <v>100489</v>
      </c>
      <c r="AJ489">
        <v>489</v>
      </c>
      <c r="AK489" t="b">
        <f t="shared" si="7"/>
        <v>1</v>
      </c>
      <c r="AL489" t="b">
        <f>COUNTBLANK(Metadata!B489:AD489)=COLUMNS(Metadata!B489:AD489)</f>
        <v>1</v>
      </c>
      <c r="AM489" t="str">
        <v/>
      </c>
      <c r="AO489" t="b">
        <f ca="1">AND(IF(Metadata!B489="",FALSE,TRUE),COUNTIF(Metadata!B:B, Metadata!B489) = 1,NOT(ISERROR(SUMPRODUCT(SEARCH(MID(Metadata!B489,ROW(INDIRECT("1:"&amp;LEN(Metadata!B489))), 1),"0123456789abcdefghijklmnopqrstuvwxyzABCDEFGHIJKLMNOPQRSTUVWXYZ.")))))</f>
        <v>0</v>
      </c>
      <c r="AP489" t="b">
        <f>IF(Metadata!C489="",FALSE,TRUE)</f>
        <v>0</v>
      </c>
      <c r="AQ489" t="b">
        <f>IF(Metadata!D489="",FALSE,TRUE)</f>
        <v>0</v>
      </c>
      <c r="AR489" t="b">
        <f ca="1">OR(AND(IF(Metadata!E489="",FALSE,TRUE),OR(EXACT(Metadata!E489,"not collected"),EXACT(Metadata!E489,"not provided"),EXACT(Metadata!E489,"restricted access"))),AND(IF(Metadata!E489="",FALSE,TRUE),AND(AND(IFERROR(INT(LEFT(Metadata!E489,4))&gt;1900,FALSE),IFERROR(INT(LEFT(Metadata!E489,4))&lt;=YEAR(NOW()),FALSE)), OR(MID(Metadata!E489,5,1)="", AND(AND(MID(Metadata!E489,5,1)="-",IFERROR(INT(MID(Metadata!E489,6,1))&gt;=0,FALSE),IFERROR(INT(MID(Metadata!E489,6,1))&lt;=1,FALSE),NOT(MID(Metadata!E489,7,1)=""),IFERROR(INT(MID(Metadata!E489,6,2))&gt;=1,FALSE),IFERROR(INT(MID(Metadata!E489,6,2))&lt;=12,FALSE)), OR(MID(Metadata!E489,8,1)="", AND(AND(MID(Metadata!E489,8,1)="-",IFERROR(INT(MID(Metadata!E489,9,1))&gt;=0,FALSE),IFERROR(INT(MID(Metadata!E489,9,1))&lt;=3,FALSE),NOT(MID(Metadata!E489,10,1)=""),IFERROR(INT(MID(Metadata!E489,9,2))&gt;=1,FALSE),IFERROR(INT(MID(Metadata!E489,9,2))&lt;=31,FALSE)), OR(MID(Metadata!E489,11,1)="", AND(AND(MID(Metadata!E489,11,1)=" ",IFERROR(INT(MID(Metadata!E489,12,1))&gt;=0,FALSE),IFERROR(INT(MID(Metadata!E489,12,1))&lt;=2,FALSE),NOT(MID(Metadata!E489,13,1)=""),IFERROR(INT(MID(Metadata!E489,12,2))&gt;=0,FALSE),IFERROR(INT(MID(Metadata!E489,12,2))&lt;=23,FALSE)), OR(MID(Metadata!E489,14,1)="", AND(AND(MID(Metadata!E489,14,1)=":",IFERROR(INT(MID(Metadata!E489,15,1))&gt;=0,FALSE),IFERROR(INT(MID(Metadata!E489,15,1))&lt;=5,FALSE),NOT(MID(Metadata!E489,16,1)=""),IFERROR(INT(MID(Metadata!E489,15,2))&gt;=0,FALSE),IFERROR(INT(MID(Metadata!E489,15,2))&lt;=59,FALSE)), OR(MID(Metadata!E489,17,1)="", AND(AND(MID(Metadata!E489,17,1)=":",IFERROR(INT(MID(Metadata!E489,18,1))&gt;=0,FALSE),IFERROR(INT(MID(Metadata!E489,18,1))&lt;=5,FALSE),NOT(MID(Metadata!E489,19,1)=""),IFERROR(INT(MID(Metadata!E489,18,2))&gt;=0,FALSE),IFERROR(INT(MID(Metadata!E489,18,2))&lt;=59,FALSE)), LEN(Metadata!E489)&lt;=19)))))))))))))</f>
        <v>0</v>
      </c>
      <c r="AS489" t="b">
        <f>IF(Metadata!F489="",FALSE,TRUE)</f>
        <v>0</v>
      </c>
      <c r="AT489" t="b">
        <f>OR(AND(IF(Metadata!G489="",FALSE,TRUE),OR(EXACT(Metadata!G489,"not collected"),EXACT(Metadata!G489,"not provided"))),AND(IF(Metadata!G489="",FALSE,TRUE),OR(EXACT(Metadata!G489,"TRUE"),EXACT(Metadata!G489,"FALSE"))))</f>
        <v>0</v>
      </c>
      <c r="AU489" t="b">
        <f>OR(AND(IF(Metadata!H489="",FALSE,TRUE),OR(EXACT(Metadata!H489,"not collected"),EXACT(Metadata!H489,"not provided"),EXACT(Metadata!H489,"restricted access"))),AND(IF(Metadata!H489="",FALSE,ISNUMBER(VALUE(Metadata!H489))),Metadata!H489&gt;=-413))</f>
        <v>0</v>
      </c>
      <c r="AV489" t="b">
        <f>AND(IF(Metadata!I489="",FALSE,TRUE),EXACT(Metadata!I489,"meters"))</f>
        <v>0</v>
      </c>
      <c r="AW489" t="b">
        <f>AND(IF(Metadata!J489="",FALSE,TRUE),EXACT(Metadata!J489,"free-living"))</f>
        <v>0</v>
      </c>
      <c r="AX489" t="b">
        <f>AND(IF(Metadata!K489="",FALSE,TRUE),OR(EXACT(Metadata!K489,"saline"),EXACT(Metadata!K489,"non-saline")))</f>
        <v>0</v>
      </c>
      <c r="AY489" t="b">
        <f>AND(IF(Metadata!L489="",FALSE,TRUE),OR(EXACT(Metadata!L489,"sub-surface (non-saline)"),EXACT(Metadata!L489,"surface (non-saline)"),EXACT(Metadata!L489,"water (non-saline)"),EXACT(Metadata!L489,"soil (non-saline)"),EXACT(Metadata!L489,"aerosol (non-saline)"),EXACT(Metadata!L489,"sediment (non-saline)"),EXACT(Metadata!L489,"surface (saline)"),EXACT(Metadata!L489,"water (saline)"),EXACT(Metadata!L489,"hypersaline (saline)"),EXACT(Metadata!L489,"aerosol (saline)"),EXACT(Metadata!L489,"sediment (saline)")))</f>
        <v>0</v>
      </c>
      <c r="AZ489" t="b">
        <f>IF(Metadata!M489="",FALSE,TRUE)</f>
        <v>0</v>
      </c>
      <c r="BA489" t="b">
        <f>IF(Metadata!N489="",FALSE,TRUE)</f>
        <v>0</v>
      </c>
      <c r="BB489" t="b">
        <f>IF(Metadata!O489="",FALSE,TRUE)</f>
        <v>0</v>
      </c>
      <c r="BC489" t="b">
        <f>AND(IF(Metadata!P489="",FALSE,TRUE),OR(EXACT(Metadata!P489,"air"),EXACT(Metadata!P489,"microbial mat/biofilm"),EXACT(Metadata!P489,"misc environment"),EXACT(Metadata!P489,"sediment"),EXACT(Metadata!P489,"soil"),EXACT(Metadata!P489,"wastewater/sludge"),EXACT(Metadata!P489,"water")))</f>
        <v>0</v>
      </c>
      <c r="BD489" t="b">
        <f>IF(Metadata!Q489="",FALSE,TRUE)</f>
        <v>0</v>
      </c>
      <c r="BE489" t="b">
        <f>IF(Metadata!R489="",FALSE,TRUE)</f>
        <v>0</v>
      </c>
      <c r="BF489" t="b">
        <f>OR(AND(IF(Metadata!S489="",FALSE,TRUE),OR(EXACT(Metadata!S489,"not collected"),EXACT(Metadata!S489,"not provided"),EXACT(Metadata!S489,"restricted access"))),AND(IF(Metadata!S489="",FALSE,ISNUMBER(VALUE(Metadata!S489))),Metadata!S489&gt;=-90,Metadata!S489&lt;=90))</f>
        <v>0</v>
      </c>
      <c r="BG489" t="b">
        <f>AND(IF(Metadata!T489="",FALSE,TRUE),EXACT(Metadata!T489,"Decimal degrees"))</f>
        <v>0</v>
      </c>
      <c r="BH489" t="b">
        <f>OR(AND(IF(Metadata!U489="",FALSE,TRUE),OR(EXACT(Metadata!U489,"not applicable"),EXACT(Metadata!U489,"not collected"))),IF(Metadata!U489="",FALSE,TRUE))</f>
        <v>0</v>
      </c>
      <c r="BI489" t="b">
        <f>OR(AND(IF(Metadata!V489="",FALSE,TRUE),OR(EXACT(Metadata!V489,"not collected"),EXACT(Metadata!V489,"not provided"),EXACT(Metadata!V489,"restricted access"))),AND(IF(Metadata!V489="",FALSE,ISNUMBER(VALUE(Metadata!V489))),Metadata!V489&gt;=-180,Metadata!V489&lt;=180))</f>
        <v>0</v>
      </c>
      <c r="BJ489" t="b">
        <f>AND(IF(Metadata!W489="",FALSE,TRUE),EXACT(Metadata!W489,"Decimal degrees"))</f>
        <v>0</v>
      </c>
      <c r="BK489" t="b">
        <f>IF(Metadata!X489="",FALSE,TRUE)</f>
        <v>0</v>
      </c>
      <c r="BL489" t="b">
        <f>OR(AND(IF(Metadata!Y489="",FALSE,TRUE),OR(EXACT(Metadata!Y489,"not collected"),EXACT(Metadata!Y489,"not provided"),EXACT(Metadata!Y489,"restricted access"))),AND(IF(Metadata!Y489="",FALSE,TRUE),OR(EXACT(Metadata!Y489,"TRUE"),EXACT(Metadata!Y489,"FALSE"))))</f>
        <v>0</v>
      </c>
      <c r="BM489" t="b">
        <f>OR(AND(IF(Metadata!Z489="",FALSE,TRUE),EXACT(Metadata!Z489,"not applicable")),AND(IF(Metadata!Z489="",FALSE,TRUE),OR(EXACT(Metadata!Z489,"beer"),EXACT(Metadata!Z489,"cheese"),EXACT(Metadata!Z489,"fresh water"),EXACT(Metadata!Z489,"marine sediment"),EXACT(Metadata!Z489,"sea water"),EXACT(Metadata!Z489,"sediment"),EXACT(Metadata!Z489,"soil"),EXACT(Metadata!Z489,"waste water"))))</f>
        <v>0</v>
      </c>
      <c r="BN489" t="b">
        <f>AND(IF(Metadata!AA489="",FALSE,TRUE),EXACT(Metadata!AA489,"metagenome"))</f>
        <v>0</v>
      </c>
      <c r="BO489" t="b">
        <f>AND(IF(Metadata!AB489="",FALSE,TRUE),EXACT(Metadata!AB489,"256318"))</f>
        <v>0</v>
      </c>
      <c r="BP489" t="b">
        <f>IF(Metadata!AC489="",FALSE,TRUE)</f>
        <v>0</v>
      </c>
      <c r="BQ489" t="b">
        <f>IF(Metadata!AD489="",FALSE,TRUE)</f>
        <v>0</v>
      </c>
    </row>
    <row r="490" spans="1:69" x14ac:dyDescent="0.2">
      <c r="A490" s="4" t="e">
        <f ca="1">IF(B490=" "," ",HYPERLINK(CONCATENATE("#metadata!",ADDRESS(INDEX($AJ$2:$AJ$1001,MATCH(ROWS($AH$2:AH490),$AH$2:$AH$1001,0),0),2)),INDEX($AM$2:$AM$1001,MATCH(ROWS($AH$2:AH490),$AH$2:$AH$1001,0),0)))</f>
        <v>#N/A</v>
      </c>
      <c r="B490" s="5" t="e">
        <f ca="1">IF(OR(INDEX($AI$2:$AI$1001,MATCH(ROWS($AH$2:AH490),$AH$2:$AH$1001,0),1)&gt;=100000,INDEX($AO$1005:$BQ$1005,1,MATCH(COLUMNS($AO$1006:AO1006),$AO$1006:$BQ$1006,0))&gt;=100000), " ",IF(INDEX($AO$2:$BQ$1001,MATCH(ROWS($AH$2:AH490),$AH$2:$AH$1001,0),MATCH(COLUMNS($AO$1006:AO1006),$AO$1006:$BQ$1006,0)), HYPERLINK("#",""), HYPERLINK(CONCATENATE("#Metadata!", ADDRESS(INDEX($AJ$2:$AJ$1001,MATCH(ROWS($AH$2:AH490),$AH$2:$AH$1001,0),0), INDEX($AO$1004:$BQ$1004,1,MATCH(COLUMNS($AO$1006:AO1006),$AO$1006:$BQ$1006,0)))),"Fix")))</f>
        <v>#N/A</v>
      </c>
      <c r="C490" s="5" t="e">
        <f ca="1">IF(OR(INDEX($AI$2:$AI$1001,MATCH(ROWS($AH$2:AH490),$AH$2:$AH$1001,0),1)&gt;=100000,INDEX($AO$1005:$BQ$1005,1,MATCH(COLUMNS($AO$1006:AP1006),$AO$1006:$BQ$1006,0))&gt;=100000), " ",IF(INDEX($AO$2:$BQ$1001,MATCH(ROWS($AH$2:AH490),$AH$2:$AH$1001,0),MATCH(COLUMNS($AO$1006:AP1006),$AO$1006:$BQ$1006,0)), HYPERLINK("#",""), HYPERLINK(CONCATENATE("#Metadata!", ADDRESS(INDEX($AJ$2:$AJ$1001,MATCH(ROWS($AH$2:AH490),$AH$2:$AH$1001,0),0), INDEX($AO$1004:$BQ$1004,1,MATCH(COLUMNS($AO$1006:AP1006),$AO$1006:$BQ$1006,0)))),"Fix")))</f>
        <v>#N/A</v>
      </c>
      <c r="D490" s="5" t="e">
        <f ca="1">IF(OR(INDEX($AI$2:$AI$1001,MATCH(ROWS($AH$2:AH490),$AH$2:$AH$1001,0),1)&gt;=100000,INDEX($AO$1005:$BQ$1005,1,MATCH(COLUMNS($AO$1006:AQ1006),$AO$1006:$BQ$1006,0))&gt;=100000), " ",IF(INDEX($AO$2:$BQ$1001,MATCH(ROWS($AH$2:AH490),$AH$2:$AH$1001,0),MATCH(COLUMNS($AO$1006:AQ1006),$AO$1006:$BQ$1006,0)), HYPERLINK("#",""), HYPERLINK(CONCATENATE("#Metadata!", ADDRESS(INDEX($AJ$2:$AJ$1001,MATCH(ROWS($AH$2:AH490),$AH$2:$AH$1001,0),0), INDEX($AO$1004:$BQ$1004,1,MATCH(COLUMNS($AO$1006:AQ1006),$AO$1006:$BQ$1006,0)))),"Fix")))</f>
        <v>#N/A</v>
      </c>
      <c r="E490" s="5" t="e">
        <f ca="1">IF(OR(INDEX($AI$2:$AI$1001,MATCH(ROWS($AH$2:AH490),$AH$2:$AH$1001,0),1)&gt;=100000,INDEX($AO$1005:$BQ$1005,1,MATCH(COLUMNS($AO$1006:AR1006),$AO$1006:$BQ$1006,0))&gt;=100000), " ",IF(INDEX($AO$2:$BQ$1001,MATCH(ROWS($AH$2:AH490),$AH$2:$AH$1001,0),MATCH(COLUMNS($AO$1006:AR1006),$AO$1006:$BQ$1006,0)), HYPERLINK("#",""), HYPERLINK(CONCATENATE("#Metadata!", ADDRESS(INDEX($AJ$2:$AJ$1001,MATCH(ROWS($AH$2:AH490),$AH$2:$AH$1001,0),0), INDEX($AO$1004:$BQ$1004,1,MATCH(COLUMNS($AO$1006:AR1006),$AO$1006:$BQ$1006,0)))),"Fix")))</f>
        <v>#N/A</v>
      </c>
      <c r="F490" s="5" t="e">
        <f ca="1">IF(OR(INDEX($AI$2:$AI$1001,MATCH(ROWS($AH$2:AH490),$AH$2:$AH$1001,0),1)&gt;=100000,INDEX($AO$1005:$BQ$1005,1,MATCH(COLUMNS($AO$1006:AS1006),$AO$1006:$BQ$1006,0))&gt;=100000), " ",IF(INDEX($AO$2:$BQ$1001,MATCH(ROWS($AH$2:AH490),$AH$2:$AH$1001,0),MATCH(COLUMNS($AO$1006:AS1006),$AO$1006:$BQ$1006,0)), HYPERLINK("#",""), HYPERLINK(CONCATENATE("#Metadata!", ADDRESS(INDEX($AJ$2:$AJ$1001,MATCH(ROWS($AH$2:AH490),$AH$2:$AH$1001,0),0), INDEX($AO$1004:$BQ$1004,1,MATCH(COLUMNS($AO$1006:AS1006),$AO$1006:$BQ$1006,0)))),"Fix")))</f>
        <v>#N/A</v>
      </c>
      <c r="G490" s="5" t="e">
        <f ca="1">IF(OR(INDEX($AI$2:$AI$1001,MATCH(ROWS($AH$2:AH490),$AH$2:$AH$1001,0),1)&gt;=100000,INDEX($AO$1005:$BQ$1005,1,MATCH(COLUMNS($AO$1006:AT1006),$AO$1006:$BQ$1006,0))&gt;=100000), " ",IF(INDEX($AO$2:$BQ$1001,MATCH(ROWS($AH$2:AH490),$AH$2:$AH$1001,0),MATCH(COLUMNS($AO$1006:AT1006),$AO$1006:$BQ$1006,0)), HYPERLINK("#",""), HYPERLINK(CONCATENATE("#Metadata!", ADDRESS(INDEX($AJ$2:$AJ$1001,MATCH(ROWS($AH$2:AH490),$AH$2:$AH$1001,0),0), INDEX($AO$1004:$BQ$1004,1,MATCH(COLUMNS($AO$1006:AT1006),$AO$1006:$BQ$1006,0)))),"Fix")))</f>
        <v>#N/A</v>
      </c>
      <c r="H490" s="5" t="e">
        <f ca="1">IF(OR(INDEX($AI$2:$AI$1001,MATCH(ROWS($AH$2:AH490),$AH$2:$AH$1001,0),1)&gt;=100000,INDEX($AO$1005:$BQ$1005,1,MATCH(COLUMNS($AO$1006:AU1006),$AO$1006:$BQ$1006,0))&gt;=100000), " ",IF(INDEX($AO$2:$BQ$1001,MATCH(ROWS($AH$2:AH490),$AH$2:$AH$1001,0),MATCH(COLUMNS($AO$1006:AU1006),$AO$1006:$BQ$1006,0)), HYPERLINK("#",""), HYPERLINK(CONCATENATE("#Metadata!", ADDRESS(INDEX($AJ$2:$AJ$1001,MATCH(ROWS($AH$2:AH490),$AH$2:$AH$1001,0),0), INDEX($AO$1004:$BQ$1004,1,MATCH(COLUMNS($AO$1006:AU1006),$AO$1006:$BQ$1006,0)))),"Fix")))</f>
        <v>#N/A</v>
      </c>
      <c r="I490" s="5" t="e">
        <f ca="1">IF(OR(INDEX($AI$2:$AI$1001,MATCH(ROWS($AH$2:AH490),$AH$2:$AH$1001,0),1)&gt;=100000,INDEX($AO$1005:$BQ$1005,1,MATCH(COLUMNS($AO$1006:AV1006),$AO$1006:$BQ$1006,0))&gt;=100000), " ",IF(INDEX($AO$2:$BQ$1001,MATCH(ROWS($AH$2:AH490),$AH$2:$AH$1001,0),MATCH(COLUMNS($AO$1006:AV1006),$AO$1006:$BQ$1006,0)), HYPERLINK("#",""), HYPERLINK(CONCATENATE("#Metadata!", ADDRESS(INDEX($AJ$2:$AJ$1001,MATCH(ROWS($AH$2:AH490),$AH$2:$AH$1001,0),0), INDEX($AO$1004:$BQ$1004,1,MATCH(COLUMNS($AO$1006:AV1006),$AO$1006:$BQ$1006,0)))),"Fix")))</f>
        <v>#N/A</v>
      </c>
      <c r="J490" s="5" t="e">
        <f ca="1">IF(OR(INDEX($AI$2:$AI$1001,MATCH(ROWS($AH$2:AH490),$AH$2:$AH$1001,0),1)&gt;=100000,INDEX($AO$1005:$BQ$1005,1,MATCH(COLUMNS($AO$1006:AW1006),$AO$1006:$BQ$1006,0))&gt;=100000), " ",IF(INDEX($AO$2:$BQ$1001,MATCH(ROWS($AH$2:AH490),$AH$2:$AH$1001,0),MATCH(COLUMNS($AO$1006:AW1006),$AO$1006:$BQ$1006,0)), HYPERLINK("#",""), HYPERLINK(CONCATENATE("#Metadata!", ADDRESS(INDEX($AJ$2:$AJ$1001,MATCH(ROWS($AH$2:AH490),$AH$2:$AH$1001,0),0), INDEX($AO$1004:$BQ$1004,1,MATCH(COLUMNS($AO$1006:AW1006),$AO$1006:$BQ$1006,0)))),"Fix")))</f>
        <v>#N/A</v>
      </c>
      <c r="K490" s="5" t="e">
        <f ca="1">IF(OR(INDEX($AI$2:$AI$1001,MATCH(ROWS($AH$2:AH490),$AH$2:$AH$1001,0),1)&gt;=100000,INDEX($AO$1005:$BQ$1005,1,MATCH(COLUMNS($AO$1006:AX1006),$AO$1006:$BQ$1006,0))&gt;=100000), " ",IF(INDEX($AO$2:$BQ$1001,MATCH(ROWS($AH$2:AH490),$AH$2:$AH$1001,0),MATCH(COLUMNS($AO$1006:AX1006),$AO$1006:$BQ$1006,0)), HYPERLINK("#",""), HYPERLINK(CONCATENATE("#Metadata!", ADDRESS(INDEX($AJ$2:$AJ$1001,MATCH(ROWS($AH$2:AH490),$AH$2:$AH$1001,0),0), INDEX($AO$1004:$BQ$1004,1,MATCH(COLUMNS($AO$1006:AX1006),$AO$1006:$BQ$1006,0)))),"Fix")))</f>
        <v>#N/A</v>
      </c>
      <c r="L490" s="5" t="e">
        <f ca="1">IF(OR(INDEX($AI$2:$AI$1001,MATCH(ROWS($AH$2:AH490),$AH$2:$AH$1001,0),1)&gt;=100000,INDEX($AO$1005:$BQ$1005,1,MATCH(COLUMNS($AO$1006:AY1006),$AO$1006:$BQ$1006,0))&gt;=100000), " ",IF(INDEX($AO$2:$BQ$1001,MATCH(ROWS($AH$2:AH490),$AH$2:$AH$1001,0),MATCH(COLUMNS($AO$1006:AY1006),$AO$1006:$BQ$1006,0)), HYPERLINK("#",""), HYPERLINK(CONCATENATE("#Metadata!", ADDRESS(INDEX($AJ$2:$AJ$1001,MATCH(ROWS($AH$2:AH490),$AH$2:$AH$1001,0),0), INDEX($AO$1004:$BQ$1004,1,MATCH(COLUMNS($AO$1006:AY1006),$AO$1006:$BQ$1006,0)))),"Fix")))</f>
        <v>#N/A</v>
      </c>
      <c r="M490" s="5" t="e">
        <f ca="1">IF(OR(INDEX($AI$2:$AI$1001,MATCH(ROWS($AH$2:AH490),$AH$2:$AH$1001,0),1)&gt;=100000,INDEX($AO$1005:$BQ$1005,1,MATCH(COLUMNS($AO$1006:AZ1006),$AO$1006:$BQ$1006,0))&gt;=100000), " ",IF(INDEX($AO$2:$BQ$1001,MATCH(ROWS($AH$2:AH490),$AH$2:$AH$1001,0),MATCH(COLUMNS($AO$1006:AZ1006),$AO$1006:$BQ$1006,0)), HYPERLINK("#",""), HYPERLINK(CONCATENATE("#Metadata!", ADDRESS(INDEX($AJ$2:$AJ$1001,MATCH(ROWS($AH$2:AH490),$AH$2:$AH$1001,0),0), INDEX($AO$1004:$BQ$1004,1,MATCH(COLUMNS($AO$1006:AZ1006),$AO$1006:$BQ$1006,0)))),"Fix")))</f>
        <v>#N/A</v>
      </c>
      <c r="N490" s="5" t="e">
        <f ca="1">IF(OR(INDEX($AI$2:$AI$1001,MATCH(ROWS($AH$2:AH490),$AH$2:$AH$1001,0),1)&gt;=100000,INDEX($AO$1005:$BQ$1005,1,MATCH(COLUMNS($AO$1006:BA1006),$AO$1006:$BQ$1006,0))&gt;=100000), " ",IF(INDEX($AO$2:$BQ$1001,MATCH(ROWS($AH$2:AH490),$AH$2:$AH$1001,0),MATCH(COLUMNS($AO$1006:BA1006),$AO$1006:$BQ$1006,0)), HYPERLINK("#",""), HYPERLINK(CONCATENATE("#Metadata!", ADDRESS(INDEX($AJ$2:$AJ$1001,MATCH(ROWS($AH$2:AH490),$AH$2:$AH$1001,0),0), INDEX($AO$1004:$BQ$1004,1,MATCH(COLUMNS($AO$1006:BA1006),$AO$1006:$BQ$1006,0)))),"Fix")))</f>
        <v>#N/A</v>
      </c>
      <c r="O490" s="5" t="e">
        <f ca="1">IF(OR(INDEX($AI$2:$AI$1001,MATCH(ROWS($AH$2:AH490),$AH$2:$AH$1001,0),1)&gt;=100000,INDEX($AO$1005:$BQ$1005,1,MATCH(COLUMNS($AO$1006:BB1006),$AO$1006:$BQ$1006,0))&gt;=100000), " ",IF(INDEX($AO$2:$BQ$1001,MATCH(ROWS($AH$2:AH490),$AH$2:$AH$1001,0),MATCH(COLUMNS($AO$1006:BB1006),$AO$1006:$BQ$1006,0)), HYPERLINK("#",""), HYPERLINK(CONCATENATE("#Metadata!", ADDRESS(INDEX($AJ$2:$AJ$1001,MATCH(ROWS($AH$2:AH490),$AH$2:$AH$1001,0),0), INDEX($AO$1004:$BQ$1004,1,MATCH(COLUMNS($AO$1006:BB1006),$AO$1006:$BQ$1006,0)))),"Fix")))</f>
        <v>#N/A</v>
      </c>
      <c r="P490" s="5" t="e">
        <f ca="1">IF(OR(INDEX($AI$2:$AI$1001,MATCH(ROWS($AH$2:AH490),$AH$2:$AH$1001,0),1)&gt;=100000,INDEX($AO$1005:$BQ$1005,1,MATCH(COLUMNS($AO$1006:BC1006),$AO$1006:$BQ$1006,0))&gt;=100000), " ",IF(INDEX($AO$2:$BQ$1001,MATCH(ROWS($AH$2:AH490),$AH$2:$AH$1001,0),MATCH(COLUMNS($AO$1006:BC1006),$AO$1006:$BQ$1006,0)), HYPERLINK("#",""), HYPERLINK(CONCATENATE("#Metadata!", ADDRESS(INDEX($AJ$2:$AJ$1001,MATCH(ROWS($AH$2:AH490),$AH$2:$AH$1001,0),0), INDEX($AO$1004:$BQ$1004,1,MATCH(COLUMNS($AO$1006:BC1006),$AO$1006:$BQ$1006,0)))),"Fix")))</f>
        <v>#N/A</v>
      </c>
      <c r="Q490" s="5" t="e">
        <f ca="1">IF(OR(INDEX($AI$2:$AI$1001,MATCH(ROWS($AH$2:AH490),$AH$2:$AH$1001,0),1)&gt;=100000,INDEX($AO$1005:$BQ$1005,1,MATCH(COLUMNS($AO$1006:BD1006),$AO$1006:$BQ$1006,0))&gt;=100000), " ",IF(INDEX($AO$2:$BQ$1001,MATCH(ROWS($AH$2:AH490),$AH$2:$AH$1001,0),MATCH(COLUMNS($AO$1006:BD1006),$AO$1006:$BQ$1006,0)), HYPERLINK("#",""), HYPERLINK(CONCATENATE("#Metadata!", ADDRESS(INDEX($AJ$2:$AJ$1001,MATCH(ROWS($AH$2:AH490),$AH$2:$AH$1001,0),0), INDEX($AO$1004:$BQ$1004,1,MATCH(COLUMNS($AO$1006:BD1006),$AO$1006:$BQ$1006,0)))),"Fix")))</f>
        <v>#N/A</v>
      </c>
      <c r="R490" s="5" t="e">
        <f ca="1">IF(OR(INDEX($AI$2:$AI$1001,MATCH(ROWS($AH$2:AH490),$AH$2:$AH$1001,0),1)&gt;=100000,INDEX($AO$1005:$BQ$1005,1,MATCH(COLUMNS($AO$1006:BE1006),$AO$1006:$BQ$1006,0))&gt;=100000), " ",IF(INDEX($AO$2:$BQ$1001,MATCH(ROWS($AH$2:AH490),$AH$2:$AH$1001,0),MATCH(COLUMNS($AO$1006:BE1006),$AO$1006:$BQ$1006,0)), HYPERLINK("#",""), HYPERLINK(CONCATENATE("#Metadata!", ADDRESS(INDEX($AJ$2:$AJ$1001,MATCH(ROWS($AH$2:AH490),$AH$2:$AH$1001,0),0), INDEX($AO$1004:$BQ$1004,1,MATCH(COLUMNS($AO$1006:BE1006),$AO$1006:$BQ$1006,0)))),"Fix")))</f>
        <v>#N/A</v>
      </c>
      <c r="S490" s="5" t="e">
        <f ca="1">IF(OR(INDEX($AI$2:$AI$1001,MATCH(ROWS($AH$2:AH490),$AH$2:$AH$1001,0),1)&gt;=100000,INDEX($AO$1005:$BQ$1005,1,MATCH(COLUMNS($AO$1006:BF1006),$AO$1006:$BQ$1006,0))&gt;=100000), " ",IF(INDEX($AO$2:$BQ$1001,MATCH(ROWS($AH$2:AH490),$AH$2:$AH$1001,0),MATCH(COLUMNS($AO$1006:BF1006),$AO$1006:$BQ$1006,0)), HYPERLINK("#",""), HYPERLINK(CONCATENATE("#Metadata!", ADDRESS(INDEX($AJ$2:$AJ$1001,MATCH(ROWS($AH$2:AH490),$AH$2:$AH$1001,0),0), INDEX($AO$1004:$BQ$1004,1,MATCH(COLUMNS($AO$1006:BF1006),$AO$1006:$BQ$1006,0)))),"Fix")))</f>
        <v>#N/A</v>
      </c>
      <c r="T490" s="5" t="e">
        <f ca="1">IF(OR(INDEX($AI$2:$AI$1001,MATCH(ROWS($AH$2:AH490),$AH$2:$AH$1001,0),1)&gt;=100000,INDEX($AO$1005:$BQ$1005,1,MATCH(COLUMNS($AO$1006:BG1006),$AO$1006:$BQ$1006,0))&gt;=100000), " ",IF(INDEX($AO$2:$BQ$1001,MATCH(ROWS($AH$2:AH490),$AH$2:$AH$1001,0),MATCH(COLUMNS($AO$1006:BG1006),$AO$1006:$BQ$1006,0)), HYPERLINK("#",""), HYPERLINK(CONCATENATE("#Metadata!", ADDRESS(INDEX($AJ$2:$AJ$1001,MATCH(ROWS($AH$2:AH490),$AH$2:$AH$1001,0),0), INDEX($AO$1004:$BQ$1004,1,MATCH(COLUMNS($AO$1006:BG1006),$AO$1006:$BQ$1006,0)))),"Fix")))</f>
        <v>#N/A</v>
      </c>
      <c r="U490" s="5" t="e">
        <f ca="1">IF(OR(INDEX($AI$2:$AI$1001,MATCH(ROWS($AH$2:AH490),$AH$2:$AH$1001,0),1)&gt;=100000,INDEX($AO$1005:$BQ$1005,1,MATCH(COLUMNS($AO$1006:BH1006),$AO$1006:$BQ$1006,0))&gt;=100000), " ",IF(INDEX($AO$2:$BQ$1001,MATCH(ROWS($AH$2:AH490),$AH$2:$AH$1001,0),MATCH(COLUMNS($AO$1006:BH1006),$AO$1006:$BQ$1006,0)), HYPERLINK("#",""), HYPERLINK(CONCATENATE("#Metadata!", ADDRESS(INDEX($AJ$2:$AJ$1001,MATCH(ROWS($AH$2:AH490),$AH$2:$AH$1001,0),0), INDEX($AO$1004:$BQ$1004,1,MATCH(COLUMNS($AO$1006:BH1006),$AO$1006:$BQ$1006,0)))),"Fix")))</f>
        <v>#N/A</v>
      </c>
      <c r="V490" s="5" t="e">
        <f ca="1">IF(OR(INDEX($AI$2:$AI$1001,MATCH(ROWS($AH$2:AH490),$AH$2:$AH$1001,0),1)&gt;=100000,INDEX($AO$1005:$BQ$1005,1,MATCH(COLUMNS($AO$1006:BI1006),$AO$1006:$BQ$1006,0))&gt;=100000), " ",IF(INDEX($AO$2:$BQ$1001,MATCH(ROWS($AH$2:AH490),$AH$2:$AH$1001,0),MATCH(COLUMNS($AO$1006:BI1006),$AO$1006:$BQ$1006,0)), HYPERLINK("#",""), HYPERLINK(CONCATENATE("#Metadata!", ADDRESS(INDEX($AJ$2:$AJ$1001,MATCH(ROWS($AH$2:AH490),$AH$2:$AH$1001,0),0), INDEX($AO$1004:$BQ$1004,1,MATCH(COLUMNS($AO$1006:BI1006),$AO$1006:$BQ$1006,0)))),"Fix")))</f>
        <v>#N/A</v>
      </c>
      <c r="W490" s="5" t="e">
        <f ca="1">IF(OR(INDEX($AI$2:$AI$1001,MATCH(ROWS($AH$2:AH490),$AH$2:$AH$1001,0),1)&gt;=100000,INDEX($AO$1005:$BQ$1005,1,MATCH(COLUMNS($AO$1006:BJ1006),$AO$1006:$BQ$1006,0))&gt;=100000), " ",IF(INDEX($AO$2:$BQ$1001,MATCH(ROWS($AH$2:AH490),$AH$2:$AH$1001,0),MATCH(COLUMNS($AO$1006:BJ1006),$AO$1006:$BQ$1006,0)), HYPERLINK("#",""), HYPERLINK(CONCATENATE("#Metadata!", ADDRESS(INDEX($AJ$2:$AJ$1001,MATCH(ROWS($AH$2:AH490),$AH$2:$AH$1001,0),0), INDEX($AO$1004:$BQ$1004,1,MATCH(COLUMNS($AO$1006:BJ1006),$AO$1006:$BQ$1006,0)))),"Fix")))</f>
        <v>#N/A</v>
      </c>
      <c r="X490" s="5" t="e">
        <f ca="1">IF(OR(INDEX($AI$2:$AI$1001,MATCH(ROWS($AH$2:AH490),$AH$2:$AH$1001,0),1)&gt;=100000,INDEX($AO$1005:$BQ$1005,1,MATCH(COLUMNS($AO$1006:BK1006),$AO$1006:$BQ$1006,0))&gt;=100000), " ",IF(INDEX($AO$2:$BQ$1001,MATCH(ROWS($AH$2:AH490),$AH$2:$AH$1001,0),MATCH(COLUMNS($AO$1006:BK1006),$AO$1006:$BQ$1006,0)), HYPERLINK("#",""), HYPERLINK(CONCATENATE("#Metadata!", ADDRESS(INDEX($AJ$2:$AJ$1001,MATCH(ROWS($AH$2:AH490),$AH$2:$AH$1001,0),0), INDEX($AO$1004:$BQ$1004,1,MATCH(COLUMNS($AO$1006:BK1006),$AO$1006:$BQ$1006,0)))),"Fix")))</f>
        <v>#N/A</v>
      </c>
      <c r="Y490" s="5" t="e">
        <f ca="1">IF(OR(INDEX($AI$2:$AI$1001,MATCH(ROWS($AH$2:AH490),$AH$2:$AH$1001,0),1)&gt;=100000,INDEX($AO$1005:$BQ$1005,1,MATCH(COLUMNS($AO$1006:BL1006),$AO$1006:$BQ$1006,0))&gt;=100000), " ",IF(INDEX($AO$2:$BQ$1001,MATCH(ROWS($AH$2:AH490),$AH$2:$AH$1001,0),MATCH(COLUMNS($AO$1006:BL1006),$AO$1006:$BQ$1006,0)), HYPERLINK("#",""), HYPERLINK(CONCATENATE("#Metadata!", ADDRESS(INDEX($AJ$2:$AJ$1001,MATCH(ROWS($AH$2:AH490),$AH$2:$AH$1001,0),0), INDEX($AO$1004:$BQ$1004,1,MATCH(COLUMNS($AO$1006:BL1006),$AO$1006:$BQ$1006,0)))),"Fix")))</f>
        <v>#N/A</v>
      </c>
      <c r="Z490" s="5" t="e">
        <f ca="1">IF(OR(INDEX($AI$2:$AI$1001,MATCH(ROWS($AH$2:AH490),$AH$2:$AH$1001,0),1)&gt;=100000,INDEX($AO$1005:$BQ$1005,1,MATCH(COLUMNS($AO$1006:BM1006),$AO$1006:$BQ$1006,0))&gt;=100000), " ",IF(INDEX($AO$2:$BQ$1001,MATCH(ROWS($AH$2:AH490),$AH$2:$AH$1001,0),MATCH(COLUMNS($AO$1006:BM1006),$AO$1006:$BQ$1006,0)), HYPERLINK("#",""), HYPERLINK(CONCATENATE("#Metadata!", ADDRESS(INDEX($AJ$2:$AJ$1001,MATCH(ROWS($AH$2:AH490),$AH$2:$AH$1001,0),0), INDEX($AO$1004:$BQ$1004,1,MATCH(COLUMNS($AO$1006:BM1006),$AO$1006:$BQ$1006,0)))),"Fix")))</f>
        <v>#N/A</v>
      </c>
      <c r="AA490" s="5" t="e">
        <f ca="1">IF(OR(INDEX($AI$2:$AI$1001,MATCH(ROWS($AH$2:AH490),$AH$2:$AH$1001,0),1)&gt;=100000,INDEX($AO$1005:$BQ$1005,1,MATCH(COLUMNS($AO$1006:BN1006),$AO$1006:$BQ$1006,0))&gt;=100000), " ",IF(INDEX($AO$2:$BQ$1001,MATCH(ROWS($AH$2:AH490),$AH$2:$AH$1001,0),MATCH(COLUMNS($AO$1006:BN1006),$AO$1006:$BQ$1006,0)), HYPERLINK("#",""), HYPERLINK(CONCATENATE("#Metadata!", ADDRESS(INDEX($AJ$2:$AJ$1001,MATCH(ROWS($AH$2:AH490),$AH$2:$AH$1001,0),0), INDEX($AO$1004:$BQ$1004,1,MATCH(COLUMNS($AO$1006:BN1006),$AO$1006:$BQ$1006,0)))),"Fix")))</f>
        <v>#N/A</v>
      </c>
      <c r="AB490" s="5" t="e">
        <f ca="1">IF(OR(INDEX($AI$2:$AI$1001,MATCH(ROWS($AH$2:AH490),$AH$2:$AH$1001,0),1)&gt;=100000,INDEX($AO$1005:$BQ$1005,1,MATCH(COLUMNS($AO$1006:BO1006),$AO$1006:$BQ$1006,0))&gt;=100000), " ",IF(INDEX($AO$2:$BQ$1001,MATCH(ROWS($AH$2:AH490),$AH$2:$AH$1001,0),MATCH(COLUMNS($AO$1006:BO1006),$AO$1006:$BQ$1006,0)), HYPERLINK("#",""), HYPERLINK(CONCATENATE("#Metadata!", ADDRESS(INDEX($AJ$2:$AJ$1001,MATCH(ROWS($AH$2:AH490),$AH$2:$AH$1001,0),0), INDEX($AO$1004:$BQ$1004,1,MATCH(COLUMNS($AO$1006:BO1006),$AO$1006:$BQ$1006,0)))),"Fix")))</f>
        <v>#N/A</v>
      </c>
      <c r="AC490" s="5" t="e">
        <f ca="1">IF(OR(INDEX($AI$2:$AI$1001,MATCH(ROWS($AH$2:AH490),$AH$2:$AH$1001,0),1)&gt;=100000,INDEX($AO$1005:$BQ$1005,1,MATCH(COLUMNS($AO$1006:BP1006),$AO$1006:$BQ$1006,0))&gt;=100000), " ",IF(INDEX($AO$2:$BQ$1001,MATCH(ROWS($AH$2:AH490),$AH$2:$AH$1001,0),MATCH(COLUMNS($AO$1006:BP1006),$AO$1006:$BQ$1006,0)), HYPERLINK("#",""), HYPERLINK(CONCATENATE("#Metadata!", ADDRESS(INDEX($AJ$2:$AJ$1001,MATCH(ROWS($AH$2:AH490),$AH$2:$AH$1001,0),0), INDEX($AO$1004:$BQ$1004,1,MATCH(COLUMNS($AO$1006:BP1006),$AO$1006:$BQ$1006,0)))),"Fix")))</f>
        <v>#N/A</v>
      </c>
      <c r="AD490" s="5" t="e">
        <f ca="1">IF(OR(INDEX($AI$2:$AI$1001,MATCH(ROWS($AH$2:AH490),$AH$2:$AH$1001,0),1)&gt;=100000,INDEX($AO$1005:$BQ$1005,1,MATCH(COLUMNS($AO$1006:BQ1006),$AO$1006:$BQ$1006,0))&gt;=100000), " ",IF(INDEX($AO$2:$BQ$1001,MATCH(ROWS($AH$2:AH490),$AH$2:$AH$1001,0),MATCH(COLUMNS($AO$1006:BQ1006),$AO$1006:$BQ$1006,0)), HYPERLINK("#",""), HYPERLINK(CONCATENATE("#Metadata!", ADDRESS(INDEX($AJ$2:$AJ$1001,MATCH(ROWS($AH$2:AH490),$AH$2:$AH$1001,0),0), INDEX($AO$1004:$BQ$1004,1,MATCH(COLUMNS($AO$1006:BQ1006),$AO$1006:$BQ$1006,0)))),"Fix")))</f>
        <v>#REF!</v>
      </c>
      <c r="AH490">
        <f ca="1"/>
        <v>487</v>
      </c>
      <c r="AI490">
        <v>100490</v>
      </c>
      <c r="AJ490">
        <v>490</v>
      </c>
      <c r="AK490" t="b">
        <f t="shared" si="7"/>
        <v>1</v>
      </c>
      <c r="AL490" t="b">
        <f>COUNTBLANK(Metadata!B490:AD490)=COLUMNS(Metadata!B490:AD490)</f>
        <v>1</v>
      </c>
      <c r="AM490" t="str">
        <v/>
      </c>
      <c r="AO490" t="b">
        <f ca="1">AND(IF(Metadata!B490="",FALSE,TRUE),COUNTIF(Metadata!B:B, Metadata!B490) = 1,NOT(ISERROR(SUMPRODUCT(SEARCH(MID(Metadata!B490,ROW(INDIRECT("1:"&amp;LEN(Metadata!B490))), 1),"0123456789abcdefghijklmnopqrstuvwxyzABCDEFGHIJKLMNOPQRSTUVWXYZ.")))))</f>
        <v>0</v>
      </c>
      <c r="AP490" t="b">
        <f>IF(Metadata!C490="",FALSE,TRUE)</f>
        <v>0</v>
      </c>
      <c r="AQ490" t="b">
        <f>IF(Metadata!D490="",FALSE,TRUE)</f>
        <v>0</v>
      </c>
      <c r="AR490" t="b">
        <f ca="1">OR(AND(IF(Metadata!E490="",FALSE,TRUE),OR(EXACT(Metadata!E490,"not collected"),EXACT(Metadata!E490,"not provided"),EXACT(Metadata!E490,"restricted access"))),AND(IF(Metadata!E490="",FALSE,TRUE),AND(AND(IFERROR(INT(LEFT(Metadata!E490,4))&gt;1900,FALSE),IFERROR(INT(LEFT(Metadata!E490,4))&lt;=YEAR(NOW()),FALSE)), OR(MID(Metadata!E490,5,1)="", AND(AND(MID(Metadata!E490,5,1)="-",IFERROR(INT(MID(Metadata!E490,6,1))&gt;=0,FALSE),IFERROR(INT(MID(Metadata!E490,6,1))&lt;=1,FALSE),NOT(MID(Metadata!E490,7,1)=""),IFERROR(INT(MID(Metadata!E490,6,2))&gt;=1,FALSE),IFERROR(INT(MID(Metadata!E490,6,2))&lt;=12,FALSE)), OR(MID(Metadata!E490,8,1)="", AND(AND(MID(Metadata!E490,8,1)="-",IFERROR(INT(MID(Metadata!E490,9,1))&gt;=0,FALSE),IFERROR(INT(MID(Metadata!E490,9,1))&lt;=3,FALSE),NOT(MID(Metadata!E490,10,1)=""),IFERROR(INT(MID(Metadata!E490,9,2))&gt;=1,FALSE),IFERROR(INT(MID(Metadata!E490,9,2))&lt;=31,FALSE)), OR(MID(Metadata!E490,11,1)="", AND(AND(MID(Metadata!E490,11,1)=" ",IFERROR(INT(MID(Metadata!E490,12,1))&gt;=0,FALSE),IFERROR(INT(MID(Metadata!E490,12,1))&lt;=2,FALSE),NOT(MID(Metadata!E490,13,1)=""),IFERROR(INT(MID(Metadata!E490,12,2))&gt;=0,FALSE),IFERROR(INT(MID(Metadata!E490,12,2))&lt;=23,FALSE)), OR(MID(Metadata!E490,14,1)="", AND(AND(MID(Metadata!E490,14,1)=":",IFERROR(INT(MID(Metadata!E490,15,1))&gt;=0,FALSE),IFERROR(INT(MID(Metadata!E490,15,1))&lt;=5,FALSE),NOT(MID(Metadata!E490,16,1)=""),IFERROR(INT(MID(Metadata!E490,15,2))&gt;=0,FALSE),IFERROR(INT(MID(Metadata!E490,15,2))&lt;=59,FALSE)), OR(MID(Metadata!E490,17,1)="", AND(AND(MID(Metadata!E490,17,1)=":",IFERROR(INT(MID(Metadata!E490,18,1))&gt;=0,FALSE),IFERROR(INT(MID(Metadata!E490,18,1))&lt;=5,FALSE),NOT(MID(Metadata!E490,19,1)=""),IFERROR(INT(MID(Metadata!E490,18,2))&gt;=0,FALSE),IFERROR(INT(MID(Metadata!E490,18,2))&lt;=59,FALSE)), LEN(Metadata!E490)&lt;=19)))))))))))))</f>
        <v>0</v>
      </c>
      <c r="AS490" t="b">
        <f>IF(Metadata!F490="",FALSE,TRUE)</f>
        <v>0</v>
      </c>
      <c r="AT490" t="b">
        <f>OR(AND(IF(Metadata!G490="",FALSE,TRUE),OR(EXACT(Metadata!G490,"not collected"),EXACT(Metadata!G490,"not provided"))),AND(IF(Metadata!G490="",FALSE,TRUE),OR(EXACT(Metadata!G490,"TRUE"),EXACT(Metadata!G490,"FALSE"))))</f>
        <v>0</v>
      </c>
      <c r="AU490" t="b">
        <f>OR(AND(IF(Metadata!H490="",FALSE,TRUE),OR(EXACT(Metadata!H490,"not collected"),EXACT(Metadata!H490,"not provided"),EXACT(Metadata!H490,"restricted access"))),AND(IF(Metadata!H490="",FALSE,ISNUMBER(VALUE(Metadata!H490))),Metadata!H490&gt;=-413))</f>
        <v>0</v>
      </c>
      <c r="AV490" t="b">
        <f>AND(IF(Metadata!I490="",FALSE,TRUE),EXACT(Metadata!I490,"meters"))</f>
        <v>0</v>
      </c>
      <c r="AW490" t="b">
        <f>AND(IF(Metadata!J490="",FALSE,TRUE),EXACT(Metadata!J490,"free-living"))</f>
        <v>0</v>
      </c>
      <c r="AX490" t="b">
        <f>AND(IF(Metadata!K490="",FALSE,TRUE),OR(EXACT(Metadata!K490,"saline"),EXACT(Metadata!K490,"non-saline")))</f>
        <v>0</v>
      </c>
      <c r="AY490" t="b">
        <f>AND(IF(Metadata!L490="",FALSE,TRUE),OR(EXACT(Metadata!L490,"sub-surface (non-saline)"),EXACT(Metadata!L490,"surface (non-saline)"),EXACT(Metadata!L490,"water (non-saline)"),EXACT(Metadata!L490,"soil (non-saline)"),EXACT(Metadata!L490,"aerosol (non-saline)"),EXACT(Metadata!L490,"sediment (non-saline)"),EXACT(Metadata!L490,"surface (saline)"),EXACT(Metadata!L490,"water (saline)"),EXACT(Metadata!L490,"hypersaline (saline)"),EXACT(Metadata!L490,"aerosol (saline)"),EXACT(Metadata!L490,"sediment (saline)")))</f>
        <v>0</v>
      </c>
      <c r="AZ490" t="b">
        <f>IF(Metadata!M490="",FALSE,TRUE)</f>
        <v>0</v>
      </c>
      <c r="BA490" t="b">
        <f>IF(Metadata!N490="",FALSE,TRUE)</f>
        <v>0</v>
      </c>
      <c r="BB490" t="b">
        <f>IF(Metadata!O490="",FALSE,TRUE)</f>
        <v>0</v>
      </c>
      <c r="BC490" t="b">
        <f>AND(IF(Metadata!P490="",FALSE,TRUE),OR(EXACT(Metadata!P490,"air"),EXACT(Metadata!P490,"microbial mat/biofilm"),EXACT(Metadata!P490,"misc environment"),EXACT(Metadata!P490,"sediment"),EXACT(Metadata!P490,"soil"),EXACT(Metadata!P490,"wastewater/sludge"),EXACT(Metadata!P490,"water")))</f>
        <v>0</v>
      </c>
      <c r="BD490" t="b">
        <f>IF(Metadata!Q490="",FALSE,TRUE)</f>
        <v>0</v>
      </c>
      <c r="BE490" t="b">
        <f>IF(Metadata!R490="",FALSE,TRUE)</f>
        <v>0</v>
      </c>
      <c r="BF490" t="b">
        <f>OR(AND(IF(Metadata!S490="",FALSE,TRUE),OR(EXACT(Metadata!S490,"not collected"),EXACT(Metadata!S490,"not provided"),EXACT(Metadata!S490,"restricted access"))),AND(IF(Metadata!S490="",FALSE,ISNUMBER(VALUE(Metadata!S490))),Metadata!S490&gt;=-90,Metadata!S490&lt;=90))</f>
        <v>0</v>
      </c>
      <c r="BG490" t="b">
        <f>AND(IF(Metadata!T490="",FALSE,TRUE),EXACT(Metadata!T490,"Decimal degrees"))</f>
        <v>0</v>
      </c>
      <c r="BH490" t="b">
        <f>OR(AND(IF(Metadata!U490="",FALSE,TRUE),OR(EXACT(Metadata!U490,"not applicable"),EXACT(Metadata!U490,"not collected"))),IF(Metadata!U490="",FALSE,TRUE))</f>
        <v>0</v>
      </c>
      <c r="BI490" t="b">
        <f>OR(AND(IF(Metadata!V490="",FALSE,TRUE),OR(EXACT(Metadata!V490,"not collected"),EXACT(Metadata!V490,"not provided"),EXACT(Metadata!V490,"restricted access"))),AND(IF(Metadata!V490="",FALSE,ISNUMBER(VALUE(Metadata!V490))),Metadata!V490&gt;=-180,Metadata!V490&lt;=180))</f>
        <v>0</v>
      </c>
      <c r="BJ490" t="b">
        <f>AND(IF(Metadata!W490="",FALSE,TRUE),EXACT(Metadata!W490,"Decimal degrees"))</f>
        <v>0</v>
      </c>
      <c r="BK490" t="b">
        <f>IF(Metadata!X490="",FALSE,TRUE)</f>
        <v>0</v>
      </c>
      <c r="BL490" t="b">
        <f>OR(AND(IF(Metadata!Y490="",FALSE,TRUE),OR(EXACT(Metadata!Y490,"not collected"),EXACT(Metadata!Y490,"not provided"),EXACT(Metadata!Y490,"restricted access"))),AND(IF(Metadata!Y490="",FALSE,TRUE),OR(EXACT(Metadata!Y490,"TRUE"),EXACT(Metadata!Y490,"FALSE"))))</f>
        <v>0</v>
      </c>
      <c r="BM490" t="b">
        <f>OR(AND(IF(Metadata!Z490="",FALSE,TRUE),EXACT(Metadata!Z490,"not applicable")),AND(IF(Metadata!Z490="",FALSE,TRUE),OR(EXACT(Metadata!Z490,"beer"),EXACT(Metadata!Z490,"cheese"),EXACT(Metadata!Z490,"fresh water"),EXACT(Metadata!Z490,"marine sediment"),EXACT(Metadata!Z490,"sea water"),EXACT(Metadata!Z490,"sediment"),EXACT(Metadata!Z490,"soil"),EXACT(Metadata!Z490,"waste water"))))</f>
        <v>0</v>
      </c>
      <c r="BN490" t="b">
        <f>AND(IF(Metadata!AA490="",FALSE,TRUE),EXACT(Metadata!AA490,"metagenome"))</f>
        <v>0</v>
      </c>
      <c r="BO490" t="b">
        <f>AND(IF(Metadata!AB490="",FALSE,TRUE),EXACT(Metadata!AB490,"256318"))</f>
        <v>0</v>
      </c>
      <c r="BP490" t="b">
        <f>IF(Metadata!AC490="",FALSE,TRUE)</f>
        <v>0</v>
      </c>
      <c r="BQ490" t="b">
        <f>IF(Metadata!AD490="",FALSE,TRUE)</f>
        <v>0</v>
      </c>
    </row>
    <row r="491" spans="1:69" x14ac:dyDescent="0.2">
      <c r="A491" s="4" t="e">
        <f ca="1">IF(B491=" "," ",HYPERLINK(CONCATENATE("#metadata!",ADDRESS(INDEX($AJ$2:$AJ$1001,MATCH(ROWS($AH$2:AH491),$AH$2:$AH$1001,0),0),2)),INDEX($AM$2:$AM$1001,MATCH(ROWS($AH$2:AH491),$AH$2:$AH$1001,0),0)))</f>
        <v>#N/A</v>
      </c>
      <c r="B491" s="5" t="e">
        <f ca="1">IF(OR(INDEX($AI$2:$AI$1001,MATCH(ROWS($AH$2:AH491),$AH$2:$AH$1001,0),1)&gt;=100000,INDEX($AO$1005:$BQ$1005,1,MATCH(COLUMNS($AO$1006:AO1006),$AO$1006:$BQ$1006,0))&gt;=100000), " ",IF(INDEX($AO$2:$BQ$1001,MATCH(ROWS($AH$2:AH491),$AH$2:$AH$1001,0),MATCH(COLUMNS($AO$1006:AO1006),$AO$1006:$BQ$1006,0)), HYPERLINK("#",""), HYPERLINK(CONCATENATE("#Metadata!", ADDRESS(INDEX($AJ$2:$AJ$1001,MATCH(ROWS($AH$2:AH491),$AH$2:$AH$1001,0),0), INDEX($AO$1004:$BQ$1004,1,MATCH(COLUMNS($AO$1006:AO1006),$AO$1006:$BQ$1006,0)))),"Fix")))</f>
        <v>#N/A</v>
      </c>
      <c r="C491" s="5" t="e">
        <f ca="1">IF(OR(INDEX($AI$2:$AI$1001,MATCH(ROWS($AH$2:AH491),$AH$2:$AH$1001,0),1)&gt;=100000,INDEX($AO$1005:$BQ$1005,1,MATCH(COLUMNS($AO$1006:AP1006),$AO$1006:$BQ$1006,0))&gt;=100000), " ",IF(INDEX($AO$2:$BQ$1001,MATCH(ROWS($AH$2:AH491),$AH$2:$AH$1001,0),MATCH(COLUMNS($AO$1006:AP1006),$AO$1006:$BQ$1006,0)), HYPERLINK("#",""), HYPERLINK(CONCATENATE("#Metadata!", ADDRESS(INDEX($AJ$2:$AJ$1001,MATCH(ROWS($AH$2:AH491),$AH$2:$AH$1001,0),0), INDEX($AO$1004:$BQ$1004,1,MATCH(COLUMNS($AO$1006:AP1006),$AO$1006:$BQ$1006,0)))),"Fix")))</f>
        <v>#N/A</v>
      </c>
      <c r="D491" s="5" t="e">
        <f ca="1">IF(OR(INDEX($AI$2:$AI$1001,MATCH(ROWS($AH$2:AH491),$AH$2:$AH$1001,0),1)&gt;=100000,INDEX($AO$1005:$BQ$1005,1,MATCH(COLUMNS($AO$1006:AQ1006),$AO$1006:$BQ$1006,0))&gt;=100000), " ",IF(INDEX($AO$2:$BQ$1001,MATCH(ROWS($AH$2:AH491),$AH$2:$AH$1001,0),MATCH(COLUMNS($AO$1006:AQ1006),$AO$1006:$BQ$1006,0)), HYPERLINK("#",""), HYPERLINK(CONCATENATE("#Metadata!", ADDRESS(INDEX($AJ$2:$AJ$1001,MATCH(ROWS($AH$2:AH491),$AH$2:$AH$1001,0),0), INDEX($AO$1004:$BQ$1004,1,MATCH(COLUMNS($AO$1006:AQ1006),$AO$1006:$BQ$1006,0)))),"Fix")))</f>
        <v>#N/A</v>
      </c>
      <c r="E491" s="5" t="e">
        <f ca="1">IF(OR(INDEX($AI$2:$AI$1001,MATCH(ROWS($AH$2:AH491),$AH$2:$AH$1001,0),1)&gt;=100000,INDEX($AO$1005:$BQ$1005,1,MATCH(COLUMNS($AO$1006:AR1006),$AO$1006:$BQ$1006,0))&gt;=100000), " ",IF(INDEX($AO$2:$BQ$1001,MATCH(ROWS($AH$2:AH491),$AH$2:$AH$1001,0),MATCH(COLUMNS($AO$1006:AR1006),$AO$1006:$BQ$1006,0)), HYPERLINK("#",""), HYPERLINK(CONCATENATE("#Metadata!", ADDRESS(INDEX($AJ$2:$AJ$1001,MATCH(ROWS($AH$2:AH491),$AH$2:$AH$1001,0),0), INDEX($AO$1004:$BQ$1004,1,MATCH(COLUMNS($AO$1006:AR1006),$AO$1006:$BQ$1006,0)))),"Fix")))</f>
        <v>#N/A</v>
      </c>
      <c r="F491" s="5" t="e">
        <f ca="1">IF(OR(INDEX($AI$2:$AI$1001,MATCH(ROWS($AH$2:AH491),$AH$2:$AH$1001,0),1)&gt;=100000,INDEX($AO$1005:$BQ$1005,1,MATCH(COLUMNS($AO$1006:AS1006),$AO$1006:$BQ$1006,0))&gt;=100000), " ",IF(INDEX($AO$2:$BQ$1001,MATCH(ROWS($AH$2:AH491),$AH$2:$AH$1001,0),MATCH(COLUMNS($AO$1006:AS1006),$AO$1006:$BQ$1006,0)), HYPERLINK("#",""), HYPERLINK(CONCATENATE("#Metadata!", ADDRESS(INDEX($AJ$2:$AJ$1001,MATCH(ROWS($AH$2:AH491),$AH$2:$AH$1001,0),0), INDEX($AO$1004:$BQ$1004,1,MATCH(COLUMNS($AO$1006:AS1006),$AO$1006:$BQ$1006,0)))),"Fix")))</f>
        <v>#N/A</v>
      </c>
      <c r="G491" s="5" t="e">
        <f ca="1">IF(OR(INDEX($AI$2:$AI$1001,MATCH(ROWS($AH$2:AH491),$AH$2:$AH$1001,0),1)&gt;=100000,INDEX($AO$1005:$BQ$1005,1,MATCH(COLUMNS($AO$1006:AT1006),$AO$1006:$BQ$1006,0))&gt;=100000), " ",IF(INDEX($AO$2:$BQ$1001,MATCH(ROWS($AH$2:AH491),$AH$2:$AH$1001,0),MATCH(COLUMNS($AO$1006:AT1006),$AO$1006:$BQ$1006,0)), HYPERLINK("#",""), HYPERLINK(CONCATENATE("#Metadata!", ADDRESS(INDEX($AJ$2:$AJ$1001,MATCH(ROWS($AH$2:AH491),$AH$2:$AH$1001,0),0), INDEX($AO$1004:$BQ$1004,1,MATCH(COLUMNS($AO$1006:AT1006),$AO$1006:$BQ$1006,0)))),"Fix")))</f>
        <v>#N/A</v>
      </c>
      <c r="H491" s="5" t="e">
        <f ca="1">IF(OR(INDEX($AI$2:$AI$1001,MATCH(ROWS($AH$2:AH491),$AH$2:$AH$1001,0),1)&gt;=100000,INDEX($AO$1005:$BQ$1005,1,MATCH(COLUMNS($AO$1006:AU1006),$AO$1006:$BQ$1006,0))&gt;=100000), " ",IF(INDEX($AO$2:$BQ$1001,MATCH(ROWS($AH$2:AH491),$AH$2:$AH$1001,0),MATCH(COLUMNS($AO$1006:AU1006),$AO$1006:$BQ$1006,0)), HYPERLINK("#",""), HYPERLINK(CONCATENATE("#Metadata!", ADDRESS(INDEX($AJ$2:$AJ$1001,MATCH(ROWS($AH$2:AH491),$AH$2:$AH$1001,0),0), INDEX($AO$1004:$BQ$1004,1,MATCH(COLUMNS($AO$1006:AU1006),$AO$1006:$BQ$1006,0)))),"Fix")))</f>
        <v>#N/A</v>
      </c>
      <c r="I491" s="5" t="e">
        <f ca="1">IF(OR(INDEX($AI$2:$AI$1001,MATCH(ROWS($AH$2:AH491),$AH$2:$AH$1001,0),1)&gt;=100000,INDEX($AO$1005:$BQ$1005,1,MATCH(COLUMNS($AO$1006:AV1006),$AO$1006:$BQ$1006,0))&gt;=100000), " ",IF(INDEX($AO$2:$BQ$1001,MATCH(ROWS($AH$2:AH491),$AH$2:$AH$1001,0),MATCH(COLUMNS($AO$1006:AV1006),$AO$1006:$BQ$1006,0)), HYPERLINK("#",""), HYPERLINK(CONCATENATE("#Metadata!", ADDRESS(INDEX($AJ$2:$AJ$1001,MATCH(ROWS($AH$2:AH491),$AH$2:$AH$1001,0),0), INDEX($AO$1004:$BQ$1004,1,MATCH(COLUMNS($AO$1006:AV1006),$AO$1006:$BQ$1006,0)))),"Fix")))</f>
        <v>#N/A</v>
      </c>
      <c r="J491" s="5" t="e">
        <f ca="1">IF(OR(INDEX($AI$2:$AI$1001,MATCH(ROWS($AH$2:AH491),$AH$2:$AH$1001,0),1)&gt;=100000,INDEX($AO$1005:$BQ$1005,1,MATCH(COLUMNS($AO$1006:AW1006),$AO$1006:$BQ$1006,0))&gt;=100000), " ",IF(INDEX($AO$2:$BQ$1001,MATCH(ROWS($AH$2:AH491),$AH$2:$AH$1001,0),MATCH(COLUMNS($AO$1006:AW1006),$AO$1006:$BQ$1006,0)), HYPERLINK("#",""), HYPERLINK(CONCATENATE("#Metadata!", ADDRESS(INDEX($AJ$2:$AJ$1001,MATCH(ROWS($AH$2:AH491),$AH$2:$AH$1001,0),0), INDEX($AO$1004:$BQ$1004,1,MATCH(COLUMNS($AO$1006:AW1006),$AO$1006:$BQ$1006,0)))),"Fix")))</f>
        <v>#N/A</v>
      </c>
      <c r="K491" s="5" t="e">
        <f ca="1">IF(OR(INDEX($AI$2:$AI$1001,MATCH(ROWS($AH$2:AH491),$AH$2:$AH$1001,0),1)&gt;=100000,INDEX($AO$1005:$BQ$1005,1,MATCH(COLUMNS($AO$1006:AX1006),$AO$1006:$BQ$1006,0))&gt;=100000), " ",IF(INDEX($AO$2:$BQ$1001,MATCH(ROWS($AH$2:AH491),$AH$2:$AH$1001,0),MATCH(COLUMNS($AO$1006:AX1006),$AO$1006:$BQ$1006,0)), HYPERLINK("#",""), HYPERLINK(CONCATENATE("#Metadata!", ADDRESS(INDEX($AJ$2:$AJ$1001,MATCH(ROWS($AH$2:AH491),$AH$2:$AH$1001,0),0), INDEX($AO$1004:$BQ$1004,1,MATCH(COLUMNS($AO$1006:AX1006),$AO$1006:$BQ$1006,0)))),"Fix")))</f>
        <v>#N/A</v>
      </c>
      <c r="L491" s="5" t="e">
        <f ca="1">IF(OR(INDEX($AI$2:$AI$1001,MATCH(ROWS($AH$2:AH491),$AH$2:$AH$1001,0),1)&gt;=100000,INDEX($AO$1005:$BQ$1005,1,MATCH(COLUMNS($AO$1006:AY1006),$AO$1006:$BQ$1006,0))&gt;=100000), " ",IF(INDEX($AO$2:$BQ$1001,MATCH(ROWS($AH$2:AH491),$AH$2:$AH$1001,0),MATCH(COLUMNS($AO$1006:AY1006),$AO$1006:$BQ$1006,0)), HYPERLINK("#",""), HYPERLINK(CONCATENATE("#Metadata!", ADDRESS(INDEX($AJ$2:$AJ$1001,MATCH(ROWS($AH$2:AH491),$AH$2:$AH$1001,0),0), INDEX($AO$1004:$BQ$1004,1,MATCH(COLUMNS($AO$1006:AY1006),$AO$1006:$BQ$1006,0)))),"Fix")))</f>
        <v>#N/A</v>
      </c>
      <c r="M491" s="5" t="e">
        <f ca="1">IF(OR(INDEX($AI$2:$AI$1001,MATCH(ROWS($AH$2:AH491),$AH$2:$AH$1001,0),1)&gt;=100000,INDEX($AO$1005:$BQ$1005,1,MATCH(COLUMNS($AO$1006:AZ1006),$AO$1006:$BQ$1006,0))&gt;=100000), " ",IF(INDEX($AO$2:$BQ$1001,MATCH(ROWS($AH$2:AH491),$AH$2:$AH$1001,0),MATCH(COLUMNS($AO$1006:AZ1006),$AO$1006:$BQ$1006,0)), HYPERLINK("#",""), HYPERLINK(CONCATENATE("#Metadata!", ADDRESS(INDEX($AJ$2:$AJ$1001,MATCH(ROWS($AH$2:AH491),$AH$2:$AH$1001,0),0), INDEX($AO$1004:$BQ$1004,1,MATCH(COLUMNS($AO$1006:AZ1006),$AO$1006:$BQ$1006,0)))),"Fix")))</f>
        <v>#N/A</v>
      </c>
      <c r="N491" s="5" t="e">
        <f ca="1">IF(OR(INDEX($AI$2:$AI$1001,MATCH(ROWS($AH$2:AH491),$AH$2:$AH$1001,0),1)&gt;=100000,INDEX($AO$1005:$BQ$1005,1,MATCH(COLUMNS($AO$1006:BA1006),$AO$1006:$BQ$1006,0))&gt;=100000), " ",IF(INDEX($AO$2:$BQ$1001,MATCH(ROWS($AH$2:AH491),$AH$2:$AH$1001,0),MATCH(COLUMNS($AO$1006:BA1006),$AO$1006:$BQ$1006,0)), HYPERLINK("#",""), HYPERLINK(CONCATENATE("#Metadata!", ADDRESS(INDEX($AJ$2:$AJ$1001,MATCH(ROWS($AH$2:AH491),$AH$2:$AH$1001,0),0), INDEX($AO$1004:$BQ$1004,1,MATCH(COLUMNS($AO$1006:BA1006),$AO$1006:$BQ$1006,0)))),"Fix")))</f>
        <v>#N/A</v>
      </c>
      <c r="O491" s="5" t="e">
        <f ca="1">IF(OR(INDEX($AI$2:$AI$1001,MATCH(ROWS($AH$2:AH491),$AH$2:$AH$1001,0),1)&gt;=100000,INDEX($AO$1005:$BQ$1005,1,MATCH(COLUMNS($AO$1006:BB1006),$AO$1006:$BQ$1006,0))&gt;=100000), " ",IF(INDEX($AO$2:$BQ$1001,MATCH(ROWS($AH$2:AH491),$AH$2:$AH$1001,0),MATCH(COLUMNS($AO$1006:BB1006),$AO$1006:$BQ$1006,0)), HYPERLINK("#",""), HYPERLINK(CONCATENATE("#Metadata!", ADDRESS(INDEX($AJ$2:$AJ$1001,MATCH(ROWS($AH$2:AH491),$AH$2:$AH$1001,0),0), INDEX($AO$1004:$BQ$1004,1,MATCH(COLUMNS($AO$1006:BB1006),$AO$1006:$BQ$1006,0)))),"Fix")))</f>
        <v>#N/A</v>
      </c>
      <c r="P491" s="5" t="e">
        <f ca="1">IF(OR(INDEX($AI$2:$AI$1001,MATCH(ROWS($AH$2:AH491),$AH$2:$AH$1001,0),1)&gt;=100000,INDEX($AO$1005:$BQ$1005,1,MATCH(COLUMNS($AO$1006:BC1006),$AO$1006:$BQ$1006,0))&gt;=100000), " ",IF(INDEX($AO$2:$BQ$1001,MATCH(ROWS($AH$2:AH491),$AH$2:$AH$1001,0),MATCH(COLUMNS($AO$1006:BC1006),$AO$1006:$BQ$1006,0)), HYPERLINK("#",""), HYPERLINK(CONCATENATE("#Metadata!", ADDRESS(INDEX($AJ$2:$AJ$1001,MATCH(ROWS($AH$2:AH491),$AH$2:$AH$1001,0),0), INDEX($AO$1004:$BQ$1004,1,MATCH(COLUMNS($AO$1006:BC1006),$AO$1006:$BQ$1006,0)))),"Fix")))</f>
        <v>#N/A</v>
      </c>
      <c r="Q491" s="5" t="e">
        <f ca="1">IF(OR(INDEX($AI$2:$AI$1001,MATCH(ROWS($AH$2:AH491),$AH$2:$AH$1001,0),1)&gt;=100000,INDEX($AO$1005:$BQ$1005,1,MATCH(COLUMNS($AO$1006:BD1006),$AO$1006:$BQ$1006,0))&gt;=100000), " ",IF(INDEX($AO$2:$BQ$1001,MATCH(ROWS($AH$2:AH491),$AH$2:$AH$1001,0),MATCH(COLUMNS($AO$1006:BD1006),$AO$1006:$BQ$1006,0)), HYPERLINK("#",""), HYPERLINK(CONCATENATE("#Metadata!", ADDRESS(INDEX($AJ$2:$AJ$1001,MATCH(ROWS($AH$2:AH491),$AH$2:$AH$1001,0),0), INDEX($AO$1004:$BQ$1004,1,MATCH(COLUMNS($AO$1006:BD1006),$AO$1006:$BQ$1006,0)))),"Fix")))</f>
        <v>#N/A</v>
      </c>
      <c r="R491" s="5" t="e">
        <f ca="1">IF(OR(INDEX($AI$2:$AI$1001,MATCH(ROWS($AH$2:AH491),$AH$2:$AH$1001,0),1)&gt;=100000,INDEX($AO$1005:$BQ$1005,1,MATCH(COLUMNS($AO$1006:BE1006),$AO$1006:$BQ$1006,0))&gt;=100000), " ",IF(INDEX($AO$2:$BQ$1001,MATCH(ROWS($AH$2:AH491),$AH$2:$AH$1001,0),MATCH(COLUMNS($AO$1006:BE1006),$AO$1006:$BQ$1006,0)), HYPERLINK("#",""), HYPERLINK(CONCATENATE("#Metadata!", ADDRESS(INDEX($AJ$2:$AJ$1001,MATCH(ROWS($AH$2:AH491),$AH$2:$AH$1001,0),0), INDEX($AO$1004:$BQ$1004,1,MATCH(COLUMNS($AO$1006:BE1006),$AO$1006:$BQ$1006,0)))),"Fix")))</f>
        <v>#N/A</v>
      </c>
      <c r="S491" s="5" t="e">
        <f ca="1">IF(OR(INDEX($AI$2:$AI$1001,MATCH(ROWS($AH$2:AH491),$AH$2:$AH$1001,0),1)&gt;=100000,INDEX($AO$1005:$BQ$1005,1,MATCH(COLUMNS($AO$1006:BF1006),$AO$1006:$BQ$1006,0))&gt;=100000), " ",IF(INDEX($AO$2:$BQ$1001,MATCH(ROWS($AH$2:AH491),$AH$2:$AH$1001,0),MATCH(COLUMNS($AO$1006:BF1006),$AO$1006:$BQ$1006,0)), HYPERLINK("#",""), HYPERLINK(CONCATENATE("#Metadata!", ADDRESS(INDEX($AJ$2:$AJ$1001,MATCH(ROWS($AH$2:AH491),$AH$2:$AH$1001,0),0), INDEX($AO$1004:$BQ$1004,1,MATCH(COLUMNS($AO$1006:BF1006),$AO$1006:$BQ$1006,0)))),"Fix")))</f>
        <v>#N/A</v>
      </c>
      <c r="T491" s="5" t="e">
        <f ca="1">IF(OR(INDEX($AI$2:$AI$1001,MATCH(ROWS($AH$2:AH491),$AH$2:$AH$1001,0),1)&gt;=100000,INDEX($AO$1005:$BQ$1005,1,MATCH(COLUMNS($AO$1006:BG1006),$AO$1006:$BQ$1006,0))&gt;=100000), " ",IF(INDEX($AO$2:$BQ$1001,MATCH(ROWS($AH$2:AH491),$AH$2:$AH$1001,0),MATCH(COLUMNS($AO$1006:BG1006),$AO$1006:$BQ$1006,0)), HYPERLINK("#",""), HYPERLINK(CONCATENATE("#Metadata!", ADDRESS(INDEX($AJ$2:$AJ$1001,MATCH(ROWS($AH$2:AH491),$AH$2:$AH$1001,0),0), INDEX($AO$1004:$BQ$1004,1,MATCH(COLUMNS($AO$1006:BG1006),$AO$1006:$BQ$1006,0)))),"Fix")))</f>
        <v>#N/A</v>
      </c>
      <c r="U491" s="5" t="e">
        <f ca="1">IF(OR(INDEX($AI$2:$AI$1001,MATCH(ROWS($AH$2:AH491),$AH$2:$AH$1001,0),1)&gt;=100000,INDEX($AO$1005:$BQ$1005,1,MATCH(COLUMNS($AO$1006:BH1006),$AO$1006:$BQ$1006,0))&gt;=100000), " ",IF(INDEX($AO$2:$BQ$1001,MATCH(ROWS($AH$2:AH491),$AH$2:$AH$1001,0),MATCH(COLUMNS($AO$1006:BH1006),$AO$1006:$BQ$1006,0)), HYPERLINK("#",""), HYPERLINK(CONCATENATE("#Metadata!", ADDRESS(INDEX($AJ$2:$AJ$1001,MATCH(ROWS($AH$2:AH491),$AH$2:$AH$1001,0),0), INDEX($AO$1004:$BQ$1004,1,MATCH(COLUMNS($AO$1006:BH1006),$AO$1006:$BQ$1006,0)))),"Fix")))</f>
        <v>#N/A</v>
      </c>
      <c r="V491" s="5" t="e">
        <f ca="1">IF(OR(INDEX($AI$2:$AI$1001,MATCH(ROWS($AH$2:AH491),$AH$2:$AH$1001,0),1)&gt;=100000,INDEX($AO$1005:$BQ$1005,1,MATCH(COLUMNS($AO$1006:BI1006),$AO$1006:$BQ$1006,0))&gt;=100000), " ",IF(INDEX($AO$2:$BQ$1001,MATCH(ROWS($AH$2:AH491),$AH$2:$AH$1001,0),MATCH(COLUMNS($AO$1006:BI1006),$AO$1006:$BQ$1006,0)), HYPERLINK("#",""), HYPERLINK(CONCATENATE("#Metadata!", ADDRESS(INDEX($AJ$2:$AJ$1001,MATCH(ROWS($AH$2:AH491),$AH$2:$AH$1001,0),0), INDEX($AO$1004:$BQ$1004,1,MATCH(COLUMNS($AO$1006:BI1006),$AO$1006:$BQ$1006,0)))),"Fix")))</f>
        <v>#N/A</v>
      </c>
      <c r="W491" s="5" t="e">
        <f ca="1">IF(OR(INDEX($AI$2:$AI$1001,MATCH(ROWS($AH$2:AH491),$AH$2:$AH$1001,0),1)&gt;=100000,INDEX($AO$1005:$BQ$1005,1,MATCH(COLUMNS($AO$1006:BJ1006),$AO$1006:$BQ$1006,0))&gt;=100000), " ",IF(INDEX($AO$2:$BQ$1001,MATCH(ROWS($AH$2:AH491),$AH$2:$AH$1001,0),MATCH(COLUMNS($AO$1006:BJ1006),$AO$1006:$BQ$1006,0)), HYPERLINK("#",""), HYPERLINK(CONCATENATE("#Metadata!", ADDRESS(INDEX($AJ$2:$AJ$1001,MATCH(ROWS($AH$2:AH491),$AH$2:$AH$1001,0),0), INDEX($AO$1004:$BQ$1004,1,MATCH(COLUMNS($AO$1006:BJ1006),$AO$1006:$BQ$1006,0)))),"Fix")))</f>
        <v>#N/A</v>
      </c>
      <c r="X491" s="5" t="e">
        <f ca="1">IF(OR(INDEX($AI$2:$AI$1001,MATCH(ROWS($AH$2:AH491),$AH$2:$AH$1001,0),1)&gt;=100000,INDEX($AO$1005:$BQ$1005,1,MATCH(COLUMNS($AO$1006:BK1006),$AO$1006:$BQ$1006,0))&gt;=100000), " ",IF(INDEX($AO$2:$BQ$1001,MATCH(ROWS($AH$2:AH491),$AH$2:$AH$1001,0),MATCH(COLUMNS($AO$1006:BK1006),$AO$1006:$BQ$1006,0)), HYPERLINK("#",""), HYPERLINK(CONCATENATE("#Metadata!", ADDRESS(INDEX($AJ$2:$AJ$1001,MATCH(ROWS($AH$2:AH491),$AH$2:$AH$1001,0),0), INDEX($AO$1004:$BQ$1004,1,MATCH(COLUMNS($AO$1006:BK1006),$AO$1006:$BQ$1006,0)))),"Fix")))</f>
        <v>#N/A</v>
      </c>
      <c r="Y491" s="5" t="e">
        <f ca="1">IF(OR(INDEX($AI$2:$AI$1001,MATCH(ROWS($AH$2:AH491),$AH$2:$AH$1001,0),1)&gt;=100000,INDEX($AO$1005:$BQ$1005,1,MATCH(COLUMNS($AO$1006:BL1006),$AO$1006:$BQ$1006,0))&gt;=100000), " ",IF(INDEX($AO$2:$BQ$1001,MATCH(ROWS($AH$2:AH491),$AH$2:$AH$1001,0),MATCH(COLUMNS($AO$1006:BL1006),$AO$1006:$BQ$1006,0)), HYPERLINK("#",""), HYPERLINK(CONCATENATE("#Metadata!", ADDRESS(INDEX($AJ$2:$AJ$1001,MATCH(ROWS($AH$2:AH491),$AH$2:$AH$1001,0),0), INDEX($AO$1004:$BQ$1004,1,MATCH(COLUMNS($AO$1006:BL1006),$AO$1006:$BQ$1006,0)))),"Fix")))</f>
        <v>#N/A</v>
      </c>
      <c r="Z491" s="5" t="e">
        <f ca="1">IF(OR(INDEX($AI$2:$AI$1001,MATCH(ROWS($AH$2:AH491),$AH$2:$AH$1001,0),1)&gt;=100000,INDEX($AO$1005:$BQ$1005,1,MATCH(COLUMNS($AO$1006:BM1006),$AO$1006:$BQ$1006,0))&gt;=100000), " ",IF(INDEX($AO$2:$BQ$1001,MATCH(ROWS($AH$2:AH491),$AH$2:$AH$1001,0),MATCH(COLUMNS($AO$1006:BM1006),$AO$1006:$BQ$1006,0)), HYPERLINK("#",""), HYPERLINK(CONCATENATE("#Metadata!", ADDRESS(INDEX($AJ$2:$AJ$1001,MATCH(ROWS($AH$2:AH491),$AH$2:$AH$1001,0),0), INDEX($AO$1004:$BQ$1004,1,MATCH(COLUMNS($AO$1006:BM1006),$AO$1006:$BQ$1006,0)))),"Fix")))</f>
        <v>#N/A</v>
      </c>
      <c r="AA491" s="5" t="e">
        <f ca="1">IF(OR(INDEX($AI$2:$AI$1001,MATCH(ROWS($AH$2:AH491),$AH$2:$AH$1001,0),1)&gt;=100000,INDEX($AO$1005:$BQ$1005,1,MATCH(COLUMNS($AO$1006:BN1006),$AO$1006:$BQ$1006,0))&gt;=100000), " ",IF(INDEX($AO$2:$BQ$1001,MATCH(ROWS($AH$2:AH491),$AH$2:$AH$1001,0),MATCH(COLUMNS($AO$1006:BN1006),$AO$1006:$BQ$1006,0)), HYPERLINK("#",""), HYPERLINK(CONCATENATE("#Metadata!", ADDRESS(INDEX($AJ$2:$AJ$1001,MATCH(ROWS($AH$2:AH491),$AH$2:$AH$1001,0),0), INDEX($AO$1004:$BQ$1004,1,MATCH(COLUMNS($AO$1006:BN1006),$AO$1006:$BQ$1006,0)))),"Fix")))</f>
        <v>#N/A</v>
      </c>
      <c r="AB491" s="5" t="e">
        <f ca="1">IF(OR(INDEX($AI$2:$AI$1001,MATCH(ROWS($AH$2:AH491),$AH$2:$AH$1001,0),1)&gt;=100000,INDEX($AO$1005:$BQ$1005,1,MATCH(COLUMNS($AO$1006:BO1006),$AO$1006:$BQ$1006,0))&gt;=100000), " ",IF(INDEX($AO$2:$BQ$1001,MATCH(ROWS($AH$2:AH491),$AH$2:$AH$1001,0),MATCH(COLUMNS($AO$1006:BO1006),$AO$1006:$BQ$1006,0)), HYPERLINK("#",""), HYPERLINK(CONCATENATE("#Metadata!", ADDRESS(INDEX($AJ$2:$AJ$1001,MATCH(ROWS($AH$2:AH491),$AH$2:$AH$1001,0),0), INDEX($AO$1004:$BQ$1004,1,MATCH(COLUMNS($AO$1006:BO1006),$AO$1006:$BQ$1006,0)))),"Fix")))</f>
        <v>#N/A</v>
      </c>
      <c r="AC491" s="5" t="e">
        <f ca="1">IF(OR(INDEX($AI$2:$AI$1001,MATCH(ROWS($AH$2:AH491),$AH$2:$AH$1001,0),1)&gt;=100000,INDEX($AO$1005:$BQ$1005,1,MATCH(COLUMNS($AO$1006:BP1006),$AO$1006:$BQ$1006,0))&gt;=100000), " ",IF(INDEX($AO$2:$BQ$1001,MATCH(ROWS($AH$2:AH491),$AH$2:$AH$1001,0),MATCH(COLUMNS($AO$1006:BP1006),$AO$1006:$BQ$1006,0)), HYPERLINK("#",""), HYPERLINK(CONCATENATE("#Metadata!", ADDRESS(INDEX($AJ$2:$AJ$1001,MATCH(ROWS($AH$2:AH491),$AH$2:$AH$1001,0),0), INDEX($AO$1004:$BQ$1004,1,MATCH(COLUMNS($AO$1006:BP1006),$AO$1006:$BQ$1006,0)))),"Fix")))</f>
        <v>#N/A</v>
      </c>
      <c r="AD491" s="5" t="e">
        <f ca="1">IF(OR(INDEX($AI$2:$AI$1001,MATCH(ROWS($AH$2:AH491),$AH$2:$AH$1001,0),1)&gt;=100000,INDEX($AO$1005:$BQ$1005,1,MATCH(COLUMNS($AO$1006:BQ1006),$AO$1006:$BQ$1006,0))&gt;=100000), " ",IF(INDEX($AO$2:$BQ$1001,MATCH(ROWS($AH$2:AH491),$AH$2:$AH$1001,0),MATCH(COLUMNS($AO$1006:BQ1006),$AO$1006:$BQ$1006,0)), HYPERLINK("#",""), HYPERLINK(CONCATENATE("#Metadata!", ADDRESS(INDEX($AJ$2:$AJ$1001,MATCH(ROWS($AH$2:AH491),$AH$2:$AH$1001,0),0), INDEX($AO$1004:$BQ$1004,1,MATCH(COLUMNS($AO$1006:BQ1006),$AO$1006:$BQ$1006,0)))),"Fix")))</f>
        <v>#REF!</v>
      </c>
      <c r="AH491">
        <f ca="1"/>
        <v>488</v>
      </c>
      <c r="AI491">
        <v>100491</v>
      </c>
      <c r="AJ491">
        <v>491</v>
      </c>
      <c r="AK491" t="b">
        <f t="shared" si="7"/>
        <v>1</v>
      </c>
      <c r="AL491" t="b">
        <f>COUNTBLANK(Metadata!B491:AD491)=COLUMNS(Metadata!B491:AD491)</f>
        <v>1</v>
      </c>
      <c r="AM491" t="str">
        <v/>
      </c>
      <c r="AO491" t="b">
        <f ca="1">AND(IF(Metadata!B491="",FALSE,TRUE),COUNTIF(Metadata!B:B, Metadata!B491) = 1,NOT(ISERROR(SUMPRODUCT(SEARCH(MID(Metadata!B491,ROW(INDIRECT("1:"&amp;LEN(Metadata!B491))), 1),"0123456789abcdefghijklmnopqrstuvwxyzABCDEFGHIJKLMNOPQRSTUVWXYZ.")))))</f>
        <v>0</v>
      </c>
      <c r="AP491" t="b">
        <f>IF(Metadata!C491="",FALSE,TRUE)</f>
        <v>0</v>
      </c>
      <c r="AQ491" t="b">
        <f>IF(Metadata!D491="",FALSE,TRUE)</f>
        <v>0</v>
      </c>
      <c r="AR491" t="b">
        <f ca="1">OR(AND(IF(Metadata!E491="",FALSE,TRUE),OR(EXACT(Metadata!E491,"not collected"),EXACT(Metadata!E491,"not provided"),EXACT(Metadata!E491,"restricted access"))),AND(IF(Metadata!E491="",FALSE,TRUE),AND(AND(IFERROR(INT(LEFT(Metadata!E491,4))&gt;1900,FALSE),IFERROR(INT(LEFT(Metadata!E491,4))&lt;=YEAR(NOW()),FALSE)), OR(MID(Metadata!E491,5,1)="", AND(AND(MID(Metadata!E491,5,1)="-",IFERROR(INT(MID(Metadata!E491,6,1))&gt;=0,FALSE),IFERROR(INT(MID(Metadata!E491,6,1))&lt;=1,FALSE),NOT(MID(Metadata!E491,7,1)=""),IFERROR(INT(MID(Metadata!E491,6,2))&gt;=1,FALSE),IFERROR(INT(MID(Metadata!E491,6,2))&lt;=12,FALSE)), OR(MID(Metadata!E491,8,1)="", AND(AND(MID(Metadata!E491,8,1)="-",IFERROR(INT(MID(Metadata!E491,9,1))&gt;=0,FALSE),IFERROR(INT(MID(Metadata!E491,9,1))&lt;=3,FALSE),NOT(MID(Metadata!E491,10,1)=""),IFERROR(INT(MID(Metadata!E491,9,2))&gt;=1,FALSE),IFERROR(INT(MID(Metadata!E491,9,2))&lt;=31,FALSE)), OR(MID(Metadata!E491,11,1)="", AND(AND(MID(Metadata!E491,11,1)=" ",IFERROR(INT(MID(Metadata!E491,12,1))&gt;=0,FALSE),IFERROR(INT(MID(Metadata!E491,12,1))&lt;=2,FALSE),NOT(MID(Metadata!E491,13,1)=""),IFERROR(INT(MID(Metadata!E491,12,2))&gt;=0,FALSE),IFERROR(INT(MID(Metadata!E491,12,2))&lt;=23,FALSE)), OR(MID(Metadata!E491,14,1)="", AND(AND(MID(Metadata!E491,14,1)=":",IFERROR(INT(MID(Metadata!E491,15,1))&gt;=0,FALSE),IFERROR(INT(MID(Metadata!E491,15,1))&lt;=5,FALSE),NOT(MID(Metadata!E491,16,1)=""),IFERROR(INT(MID(Metadata!E491,15,2))&gt;=0,FALSE),IFERROR(INT(MID(Metadata!E491,15,2))&lt;=59,FALSE)), OR(MID(Metadata!E491,17,1)="", AND(AND(MID(Metadata!E491,17,1)=":",IFERROR(INT(MID(Metadata!E491,18,1))&gt;=0,FALSE),IFERROR(INT(MID(Metadata!E491,18,1))&lt;=5,FALSE),NOT(MID(Metadata!E491,19,1)=""),IFERROR(INT(MID(Metadata!E491,18,2))&gt;=0,FALSE),IFERROR(INT(MID(Metadata!E491,18,2))&lt;=59,FALSE)), LEN(Metadata!E491)&lt;=19)))))))))))))</f>
        <v>0</v>
      </c>
      <c r="AS491" t="b">
        <f>IF(Metadata!F491="",FALSE,TRUE)</f>
        <v>0</v>
      </c>
      <c r="AT491" t="b">
        <f>OR(AND(IF(Metadata!G491="",FALSE,TRUE),OR(EXACT(Metadata!G491,"not collected"),EXACT(Metadata!G491,"not provided"))),AND(IF(Metadata!G491="",FALSE,TRUE),OR(EXACT(Metadata!G491,"TRUE"),EXACT(Metadata!G491,"FALSE"))))</f>
        <v>0</v>
      </c>
      <c r="AU491" t="b">
        <f>OR(AND(IF(Metadata!H491="",FALSE,TRUE),OR(EXACT(Metadata!H491,"not collected"),EXACT(Metadata!H491,"not provided"),EXACT(Metadata!H491,"restricted access"))),AND(IF(Metadata!H491="",FALSE,ISNUMBER(VALUE(Metadata!H491))),Metadata!H491&gt;=-413))</f>
        <v>0</v>
      </c>
      <c r="AV491" t="b">
        <f>AND(IF(Metadata!I491="",FALSE,TRUE),EXACT(Metadata!I491,"meters"))</f>
        <v>0</v>
      </c>
      <c r="AW491" t="b">
        <f>AND(IF(Metadata!J491="",FALSE,TRUE),EXACT(Metadata!J491,"free-living"))</f>
        <v>0</v>
      </c>
      <c r="AX491" t="b">
        <f>AND(IF(Metadata!K491="",FALSE,TRUE),OR(EXACT(Metadata!K491,"saline"),EXACT(Metadata!K491,"non-saline")))</f>
        <v>0</v>
      </c>
      <c r="AY491" t="b">
        <f>AND(IF(Metadata!L491="",FALSE,TRUE),OR(EXACT(Metadata!L491,"sub-surface (non-saline)"),EXACT(Metadata!L491,"surface (non-saline)"),EXACT(Metadata!L491,"water (non-saline)"),EXACT(Metadata!L491,"soil (non-saline)"),EXACT(Metadata!L491,"aerosol (non-saline)"),EXACT(Metadata!L491,"sediment (non-saline)"),EXACT(Metadata!L491,"surface (saline)"),EXACT(Metadata!L491,"water (saline)"),EXACT(Metadata!L491,"hypersaline (saline)"),EXACT(Metadata!L491,"aerosol (saline)"),EXACT(Metadata!L491,"sediment (saline)")))</f>
        <v>0</v>
      </c>
      <c r="AZ491" t="b">
        <f>IF(Metadata!M491="",FALSE,TRUE)</f>
        <v>0</v>
      </c>
      <c r="BA491" t="b">
        <f>IF(Metadata!N491="",FALSE,TRUE)</f>
        <v>0</v>
      </c>
      <c r="BB491" t="b">
        <f>IF(Metadata!O491="",FALSE,TRUE)</f>
        <v>0</v>
      </c>
      <c r="BC491" t="b">
        <f>AND(IF(Metadata!P491="",FALSE,TRUE),OR(EXACT(Metadata!P491,"air"),EXACT(Metadata!P491,"microbial mat/biofilm"),EXACT(Metadata!P491,"misc environment"),EXACT(Metadata!P491,"sediment"),EXACT(Metadata!P491,"soil"),EXACT(Metadata!P491,"wastewater/sludge"),EXACT(Metadata!P491,"water")))</f>
        <v>0</v>
      </c>
      <c r="BD491" t="b">
        <f>IF(Metadata!Q491="",FALSE,TRUE)</f>
        <v>0</v>
      </c>
      <c r="BE491" t="b">
        <f>IF(Metadata!R491="",FALSE,TRUE)</f>
        <v>0</v>
      </c>
      <c r="BF491" t="b">
        <f>OR(AND(IF(Metadata!S491="",FALSE,TRUE),OR(EXACT(Metadata!S491,"not collected"),EXACT(Metadata!S491,"not provided"),EXACT(Metadata!S491,"restricted access"))),AND(IF(Metadata!S491="",FALSE,ISNUMBER(VALUE(Metadata!S491))),Metadata!S491&gt;=-90,Metadata!S491&lt;=90))</f>
        <v>0</v>
      </c>
      <c r="BG491" t="b">
        <f>AND(IF(Metadata!T491="",FALSE,TRUE),EXACT(Metadata!T491,"Decimal degrees"))</f>
        <v>0</v>
      </c>
      <c r="BH491" t="b">
        <f>OR(AND(IF(Metadata!U491="",FALSE,TRUE),OR(EXACT(Metadata!U491,"not applicable"),EXACT(Metadata!U491,"not collected"))),IF(Metadata!U491="",FALSE,TRUE))</f>
        <v>0</v>
      </c>
      <c r="BI491" t="b">
        <f>OR(AND(IF(Metadata!V491="",FALSE,TRUE),OR(EXACT(Metadata!V491,"not collected"),EXACT(Metadata!V491,"not provided"),EXACT(Metadata!V491,"restricted access"))),AND(IF(Metadata!V491="",FALSE,ISNUMBER(VALUE(Metadata!V491))),Metadata!V491&gt;=-180,Metadata!V491&lt;=180))</f>
        <v>0</v>
      </c>
      <c r="BJ491" t="b">
        <f>AND(IF(Metadata!W491="",FALSE,TRUE),EXACT(Metadata!W491,"Decimal degrees"))</f>
        <v>0</v>
      </c>
      <c r="BK491" t="b">
        <f>IF(Metadata!X491="",FALSE,TRUE)</f>
        <v>0</v>
      </c>
      <c r="BL491" t="b">
        <f>OR(AND(IF(Metadata!Y491="",FALSE,TRUE),OR(EXACT(Metadata!Y491,"not collected"),EXACT(Metadata!Y491,"not provided"),EXACT(Metadata!Y491,"restricted access"))),AND(IF(Metadata!Y491="",FALSE,TRUE),OR(EXACT(Metadata!Y491,"TRUE"),EXACT(Metadata!Y491,"FALSE"))))</f>
        <v>0</v>
      </c>
      <c r="BM491" t="b">
        <f>OR(AND(IF(Metadata!Z491="",FALSE,TRUE),EXACT(Metadata!Z491,"not applicable")),AND(IF(Metadata!Z491="",FALSE,TRUE),OR(EXACT(Metadata!Z491,"beer"),EXACT(Metadata!Z491,"cheese"),EXACT(Metadata!Z491,"fresh water"),EXACT(Metadata!Z491,"marine sediment"),EXACT(Metadata!Z491,"sea water"),EXACT(Metadata!Z491,"sediment"),EXACT(Metadata!Z491,"soil"),EXACT(Metadata!Z491,"waste water"))))</f>
        <v>0</v>
      </c>
      <c r="BN491" t="b">
        <f>AND(IF(Metadata!AA491="",FALSE,TRUE),EXACT(Metadata!AA491,"metagenome"))</f>
        <v>0</v>
      </c>
      <c r="BO491" t="b">
        <f>AND(IF(Metadata!AB491="",FALSE,TRUE),EXACT(Metadata!AB491,"256318"))</f>
        <v>0</v>
      </c>
      <c r="BP491" t="b">
        <f>IF(Metadata!AC491="",FALSE,TRUE)</f>
        <v>0</v>
      </c>
      <c r="BQ491" t="b">
        <f>IF(Metadata!AD491="",FALSE,TRUE)</f>
        <v>0</v>
      </c>
    </row>
    <row r="492" spans="1:69" x14ac:dyDescent="0.2">
      <c r="A492" s="4" t="e">
        <f ca="1">IF(B492=" "," ",HYPERLINK(CONCATENATE("#metadata!",ADDRESS(INDEX($AJ$2:$AJ$1001,MATCH(ROWS($AH$2:AH492),$AH$2:$AH$1001,0),0),2)),INDEX($AM$2:$AM$1001,MATCH(ROWS($AH$2:AH492),$AH$2:$AH$1001,0),0)))</f>
        <v>#N/A</v>
      </c>
      <c r="B492" s="5" t="e">
        <f ca="1">IF(OR(INDEX($AI$2:$AI$1001,MATCH(ROWS($AH$2:AH492),$AH$2:$AH$1001,0),1)&gt;=100000,INDEX($AO$1005:$BQ$1005,1,MATCH(COLUMNS($AO$1006:AO1006),$AO$1006:$BQ$1006,0))&gt;=100000), " ",IF(INDEX($AO$2:$BQ$1001,MATCH(ROWS($AH$2:AH492),$AH$2:$AH$1001,0),MATCH(COLUMNS($AO$1006:AO1006),$AO$1006:$BQ$1006,0)), HYPERLINK("#",""), HYPERLINK(CONCATENATE("#Metadata!", ADDRESS(INDEX($AJ$2:$AJ$1001,MATCH(ROWS($AH$2:AH492),$AH$2:$AH$1001,0),0), INDEX($AO$1004:$BQ$1004,1,MATCH(COLUMNS($AO$1006:AO1006),$AO$1006:$BQ$1006,0)))),"Fix")))</f>
        <v>#N/A</v>
      </c>
      <c r="C492" s="5" t="e">
        <f ca="1">IF(OR(INDEX($AI$2:$AI$1001,MATCH(ROWS($AH$2:AH492),$AH$2:$AH$1001,0),1)&gt;=100000,INDEX($AO$1005:$BQ$1005,1,MATCH(COLUMNS($AO$1006:AP1006),$AO$1006:$BQ$1006,0))&gt;=100000), " ",IF(INDEX($AO$2:$BQ$1001,MATCH(ROWS($AH$2:AH492),$AH$2:$AH$1001,0),MATCH(COLUMNS($AO$1006:AP1006),$AO$1006:$BQ$1006,0)), HYPERLINK("#",""), HYPERLINK(CONCATENATE("#Metadata!", ADDRESS(INDEX($AJ$2:$AJ$1001,MATCH(ROWS($AH$2:AH492),$AH$2:$AH$1001,0),0), INDEX($AO$1004:$BQ$1004,1,MATCH(COLUMNS($AO$1006:AP1006),$AO$1006:$BQ$1006,0)))),"Fix")))</f>
        <v>#N/A</v>
      </c>
      <c r="D492" s="5" t="e">
        <f ca="1">IF(OR(INDEX($AI$2:$AI$1001,MATCH(ROWS($AH$2:AH492),$AH$2:$AH$1001,0),1)&gt;=100000,INDEX($AO$1005:$BQ$1005,1,MATCH(COLUMNS($AO$1006:AQ1006),$AO$1006:$BQ$1006,0))&gt;=100000), " ",IF(INDEX($AO$2:$BQ$1001,MATCH(ROWS($AH$2:AH492),$AH$2:$AH$1001,0),MATCH(COLUMNS($AO$1006:AQ1006),$AO$1006:$BQ$1006,0)), HYPERLINK("#",""), HYPERLINK(CONCATENATE("#Metadata!", ADDRESS(INDEX($AJ$2:$AJ$1001,MATCH(ROWS($AH$2:AH492),$AH$2:$AH$1001,0),0), INDEX($AO$1004:$BQ$1004,1,MATCH(COLUMNS($AO$1006:AQ1006),$AO$1006:$BQ$1006,0)))),"Fix")))</f>
        <v>#N/A</v>
      </c>
      <c r="E492" s="5" t="e">
        <f ca="1">IF(OR(INDEX($AI$2:$AI$1001,MATCH(ROWS($AH$2:AH492),$AH$2:$AH$1001,0),1)&gt;=100000,INDEX($AO$1005:$BQ$1005,1,MATCH(COLUMNS($AO$1006:AR1006),$AO$1006:$BQ$1006,0))&gt;=100000), " ",IF(INDEX($AO$2:$BQ$1001,MATCH(ROWS($AH$2:AH492),$AH$2:$AH$1001,0),MATCH(COLUMNS($AO$1006:AR1006),$AO$1006:$BQ$1006,0)), HYPERLINK("#",""), HYPERLINK(CONCATENATE("#Metadata!", ADDRESS(INDEX($AJ$2:$AJ$1001,MATCH(ROWS($AH$2:AH492),$AH$2:$AH$1001,0),0), INDEX($AO$1004:$BQ$1004,1,MATCH(COLUMNS($AO$1006:AR1006),$AO$1006:$BQ$1006,0)))),"Fix")))</f>
        <v>#N/A</v>
      </c>
      <c r="F492" s="5" t="e">
        <f ca="1">IF(OR(INDEX($AI$2:$AI$1001,MATCH(ROWS($AH$2:AH492),$AH$2:$AH$1001,0),1)&gt;=100000,INDEX($AO$1005:$BQ$1005,1,MATCH(COLUMNS($AO$1006:AS1006),$AO$1006:$BQ$1006,0))&gt;=100000), " ",IF(INDEX($AO$2:$BQ$1001,MATCH(ROWS($AH$2:AH492),$AH$2:$AH$1001,0),MATCH(COLUMNS($AO$1006:AS1006),$AO$1006:$BQ$1006,0)), HYPERLINK("#",""), HYPERLINK(CONCATENATE("#Metadata!", ADDRESS(INDEX($AJ$2:$AJ$1001,MATCH(ROWS($AH$2:AH492),$AH$2:$AH$1001,0),0), INDEX($AO$1004:$BQ$1004,1,MATCH(COLUMNS($AO$1006:AS1006),$AO$1006:$BQ$1006,0)))),"Fix")))</f>
        <v>#N/A</v>
      </c>
      <c r="G492" s="5" t="e">
        <f ca="1">IF(OR(INDEX($AI$2:$AI$1001,MATCH(ROWS($AH$2:AH492),$AH$2:$AH$1001,0),1)&gt;=100000,INDEX($AO$1005:$BQ$1005,1,MATCH(COLUMNS($AO$1006:AT1006),$AO$1006:$BQ$1006,0))&gt;=100000), " ",IF(INDEX($AO$2:$BQ$1001,MATCH(ROWS($AH$2:AH492),$AH$2:$AH$1001,0),MATCH(COLUMNS($AO$1006:AT1006),$AO$1006:$BQ$1006,0)), HYPERLINK("#",""), HYPERLINK(CONCATENATE("#Metadata!", ADDRESS(INDEX($AJ$2:$AJ$1001,MATCH(ROWS($AH$2:AH492),$AH$2:$AH$1001,0),0), INDEX($AO$1004:$BQ$1004,1,MATCH(COLUMNS($AO$1006:AT1006),$AO$1006:$BQ$1006,0)))),"Fix")))</f>
        <v>#N/A</v>
      </c>
      <c r="H492" s="5" t="e">
        <f ca="1">IF(OR(INDEX($AI$2:$AI$1001,MATCH(ROWS($AH$2:AH492),$AH$2:$AH$1001,0),1)&gt;=100000,INDEX($AO$1005:$BQ$1005,1,MATCH(COLUMNS($AO$1006:AU1006),$AO$1006:$BQ$1006,0))&gt;=100000), " ",IF(INDEX($AO$2:$BQ$1001,MATCH(ROWS($AH$2:AH492),$AH$2:$AH$1001,0),MATCH(COLUMNS($AO$1006:AU1006),$AO$1006:$BQ$1006,0)), HYPERLINK("#",""), HYPERLINK(CONCATENATE("#Metadata!", ADDRESS(INDEX($AJ$2:$AJ$1001,MATCH(ROWS($AH$2:AH492),$AH$2:$AH$1001,0),0), INDEX($AO$1004:$BQ$1004,1,MATCH(COLUMNS($AO$1006:AU1006),$AO$1006:$BQ$1006,0)))),"Fix")))</f>
        <v>#N/A</v>
      </c>
      <c r="I492" s="5" t="e">
        <f ca="1">IF(OR(INDEX($AI$2:$AI$1001,MATCH(ROWS($AH$2:AH492),$AH$2:$AH$1001,0),1)&gt;=100000,INDEX($AO$1005:$BQ$1005,1,MATCH(COLUMNS($AO$1006:AV1006),$AO$1006:$BQ$1006,0))&gt;=100000), " ",IF(INDEX($AO$2:$BQ$1001,MATCH(ROWS($AH$2:AH492),$AH$2:$AH$1001,0),MATCH(COLUMNS($AO$1006:AV1006),$AO$1006:$BQ$1006,0)), HYPERLINK("#",""), HYPERLINK(CONCATENATE("#Metadata!", ADDRESS(INDEX($AJ$2:$AJ$1001,MATCH(ROWS($AH$2:AH492),$AH$2:$AH$1001,0),0), INDEX($AO$1004:$BQ$1004,1,MATCH(COLUMNS($AO$1006:AV1006),$AO$1006:$BQ$1006,0)))),"Fix")))</f>
        <v>#N/A</v>
      </c>
      <c r="J492" s="5" t="e">
        <f ca="1">IF(OR(INDEX($AI$2:$AI$1001,MATCH(ROWS($AH$2:AH492),$AH$2:$AH$1001,0),1)&gt;=100000,INDEX($AO$1005:$BQ$1005,1,MATCH(COLUMNS($AO$1006:AW1006),$AO$1006:$BQ$1006,0))&gt;=100000), " ",IF(INDEX($AO$2:$BQ$1001,MATCH(ROWS($AH$2:AH492),$AH$2:$AH$1001,0),MATCH(COLUMNS($AO$1006:AW1006),$AO$1006:$BQ$1006,0)), HYPERLINK("#",""), HYPERLINK(CONCATENATE("#Metadata!", ADDRESS(INDEX($AJ$2:$AJ$1001,MATCH(ROWS($AH$2:AH492),$AH$2:$AH$1001,0),0), INDEX($AO$1004:$BQ$1004,1,MATCH(COLUMNS($AO$1006:AW1006),$AO$1006:$BQ$1006,0)))),"Fix")))</f>
        <v>#N/A</v>
      </c>
      <c r="K492" s="5" t="e">
        <f ca="1">IF(OR(INDEX($AI$2:$AI$1001,MATCH(ROWS($AH$2:AH492),$AH$2:$AH$1001,0),1)&gt;=100000,INDEX($AO$1005:$BQ$1005,1,MATCH(COLUMNS($AO$1006:AX1006),$AO$1006:$BQ$1006,0))&gt;=100000), " ",IF(INDEX($AO$2:$BQ$1001,MATCH(ROWS($AH$2:AH492),$AH$2:$AH$1001,0),MATCH(COLUMNS($AO$1006:AX1006),$AO$1006:$BQ$1006,0)), HYPERLINK("#",""), HYPERLINK(CONCATENATE("#Metadata!", ADDRESS(INDEX($AJ$2:$AJ$1001,MATCH(ROWS($AH$2:AH492),$AH$2:$AH$1001,0),0), INDEX($AO$1004:$BQ$1004,1,MATCH(COLUMNS($AO$1006:AX1006),$AO$1006:$BQ$1006,0)))),"Fix")))</f>
        <v>#N/A</v>
      </c>
      <c r="L492" s="5" t="e">
        <f ca="1">IF(OR(INDEX($AI$2:$AI$1001,MATCH(ROWS($AH$2:AH492),$AH$2:$AH$1001,0),1)&gt;=100000,INDEX($AO$1005:$BQ$1005,1,MATCH(COLUMNS($AO$1006:AY1006),$AO$1006:$BQ$1006,0))&gt;=100000), " ",IF(INDEX($AO$2:$BQ$1001,MATCH(ROWS($AH$2:AH492),$AH$2:$AH$1001,0),MATCH(COLUMNS($AO$1006:AY1006),$AO$1006:$BQ$1006,0)), HYPERLINK("#",""), HYPERLINK(CONCATENATE("#Metadata!", ADDRESS(INDEX($AJ$2:$AJ$1001,MATCH(ROWS($AH$2:AH492),$AH$2:$AH$1001,0),0), INDEX($AO$1004:$BQ$1004,1,MATCH(COLUMNS($AO$1006:AY1006),$AO$1006:$BQ$1006,0)))),"Fix")))</f>
        <v>#N/A</v>
      </c>
      <c r="M492" s="5" t="e">
        <f ca="1">IF(OR(INDEX($AI$2:$AI$1001,MATCH(ROWS($AH$2:AH492),$AH$2:$AH$1001,0),1)&gt;=100000,INDEX($AO$1005:$BQ$1005,1,MATCH(COLUMNS($AO$1006:AZ1006),$AO$1006:$BQ$1006,0))&gt;=100000), " ",IF(INDEX($AO$2:$BQ$1001,MATCH(ROWS($AH$2:AH492),$AH$2:$AH$1001,0),MATCH(COLUMNS($AO$1006:AZ1006),$AO$1006:$BQ$1006,0)), HYPERLINK("#",""), HYPERLINK(CONCATENATE("#Metadata!", ADDRESS(INDEX($AJ$2:$AJ$1001,MATCH(ROWS($AH$2:AH492),$AH$2:$AH$1001,0),0), INDEX($AO$1004:$BQ$1004,1,MATCH(COLUMNS($AO$1006:AZ1006),$AO$1006:$BQ$1006,0)))),"Fix")))</f>
        <v>#N/A</v>
      </c>
      <c r="N492" s="5" t="e">
        <f ca="1">IF(OR(INDEX($AI$2:$AI$1001,MATCH(ROWS($AH$2:AH492),$AH$2:$AH$1001,0),1)&gt;=100000,INDEX($AO$1005:$BQ$1005,1,MATCH(COLUMNS($AO$1006:BA1006),$AO$1006:$BQ$1006,0))&gt;=100000), " ",IF(INDEX($AO$2:$BQ$1001,MATCH(ROWS($AH$2:AH492),$AH$2:$AH$1001,0),MATCH(COLUMNS($AO$1006:BA1006),$AO$1006:$BQ$1006,0)), HYPERLINK("#",""), HYPERLINK(CONCATENATE("#Metadata!", ADDRESS(INDEX($AJ$2:$AJ$1001,MATCH(ROWS($AH$2:AH492),$AH$2:$AH$1001,0),0), INDEX($AO$1004:$BQ$1004,1,MATCH(COLUMNS($AO$1006:BA1006),$AO$1006:$BQ$1006,0)))),"Fix")))</f>
        <v>#N/A</v>
      </c>
      <c r="O492" s="5" t="e">
        <f ca="1">IF(OR(INDEX($AI$2:$AI$1001,MATCH(ROWS($AH$2:AH492),$AH$2:$AH$1001,0),1)&gt;=100000,INDEX($AO$1005:$BQ$1005,1,MATCH(COLUMNS($AO$1006:BB1006),$AO$1006:$BQ$1006,0))&gt;=100000), " ",IF(INDEX($AO$2:$BQ$1001,MATCH(ROWS($AH$2:AH492),$AH$2:$AH$1001,0),MATCH(COLUMNS($AO$1006:BB1006),$AO$1006:$BQ$1006,0)), HYPERLINK("#",""), HYPERLINK(CONCATENATE("#Metadata!", ADDRESS(INDEX($AJ$2:$AJ$1001,MATCH(ROWS($AH$2:AH492),$AH$2:$AH$1001,0),0), INDEX($AO$1004:$BQ$1004,1,MATCH(COLUMNS($AO$1006:BB1006),$AO$1006:$BQ$1006,0)))),"Fix")))</f>
        <v>#N/A</v>
      </c>
      <c r="P492" s="5" t="e">
        <f ca="1">IF(OR(INDEX($AI$2:$AI$1001,MATCH(ROWS($AH$2:AH492),$AH$2:$AH$1001,0),1)&gt;=100000,INDEX($AO$1005:$BQ$1005,1,MATCH(COLUMNS($AO$1006:BC1006),$AO$1006:$BQ$1006,0))&gt;=100000), " ",IF(INDEX($AO$2:$BQ$1001,MATCH(ROWS($AH$2:AH492),$AH$2:$AH$1001,0),MATCH(COLUMNS($AO$1006:BC1006),$AO$1006:$BQ$1006,0)), HYPERLINK("#",""), HYPERLINK(CONCATENATE("#Metadata!", ADDRESS(INDEX($AJ$2:$AJ$1001,MATCH(ROWS($AH$2:AH492),$AH$2:$AH$1001,0),0), INDEX($AO$1004:$BQ$1004,1,MATCH(COLUMNS($AO$1006:BC1006),$AO$1006:$BQ$1006,0)))),"Fix")))</f>
        <v>#N/A</v>
      </c>
      <c r="Q492" s="5" t="e">
        <f ca="1">IF(OR(INDEX($AI$2:$AI$1001,MATCH(ROWS($AH$2:AH492),$AH$2:$AH$1001,0),1)&gt;=100000,INDEX($AO$1005:$BQ$1005,1,MATCH(COLUMNS($AO$1006:BD1006),$AO$1006:$BQ$1006,0))&gt;=100000), " ",IF(INDEX($AO$2:$BQ$1001,MATCH(ROWS($AH$2:AH492),$AH$2:$AH$1001,0),MATCH(COLUMNS($AO$1006:BD1006),$AO$1006:$BQ$1006,0)), HYPERLINK("#",""), HYPERLINK(CONCATENATE("#Metadata!", ADDRESS(INDEX($AJ$2:$AJ$1001,MATCH(ROWS($AH$2:AH492),$AH$2:$AH$1001,0),0), INDEX($AO$1004:$BQ$1004,1,MATCH(COLUMNS($AO$1006:BD1006),$AO$1006:$BQ$1006,0)))),"Fix")))</f>
        <v>#N/A</v>
      </c>
      <c r="R492" s="5" t="e">
        <f ca="1">IF(OR(INDEX($AI$2:$AI$1001,MATCH(ROWS($AH$2:AH492),$AH$2:$AH$1001,0),1)&gt;=100000,INDEX($AO$1005:$BQ$1005,1,MATCH(COLUMNS($AO$1006:BE1006),$AO$1006:$BQ$1006,0))&gt;=100000), " ",IF(INDEX($AO$2:$BQ$1001,MATCH(ROWS($AH$2:AH492),$AH$2:$AH$1001,0),MATCH(COLUMNS($AO$1006:BE1006),$AO$1006:$BQ$1006,0)), HYPERLINK("#",""), HYPERLINK(CONCATENATE("#Metadata!", ADDRESS(INDEX($AJ$2:$AJ$1001,MATCH(ROWS($AH$2:AH492),$AH$2:$AH$1001,0),0), INDEX($AO$1004:$BQ$1004,1,MATCH(COLUMNS($AO$1006:BE1006),$AO$1006:$BQ$1006,0)))),"Fix")))</f>
        <v>#N/A</v>
      </c>
      <c r="S492" s="5" t="e">
        <f ca="1">IF(OR(INDEX($AI$2:$AI$1001,MATCH(ROWS($AH$2:AH492),$AH$2:$AH$1001,0),1)&gt;=100000,INDEX($AO$1005:$BQ$1005,1,MATCH(COLUMNS($AO$1006:BF1006),$AO$1006:$BQ$1006,0))&gt;=100000), " ",IF(INDEX($AO$2:$BQ$1001,MATCH(ROWS($AH$2:AH492),$AH$2:$AH$1001,0),MATCH(COLUMNS($AO$1006:BF1006),$AO$1006:$BQ$1006,0)), HYPERLINK("#",""), HYPERLINK(CONCATENATE("#Metadata!", ADDRESS(INDEX($AJ$2:$AJ$1001,MATCH(ROWS($AH$2:AH492),$AH$2:$AH$1001,0),0), INDEX($AO$1004:$BQ$1004,1,MATCH(COLUMNS($AO$1006:BF1006),$AO$1006:$BQ$1006,0)))),"Fix")))</f>
        <v>#N/A</v>
      </c>
      <c r="T492" s="5" t="e">
        <f ca="1">IF(OR(INDEX($AI$2:$AI$1001,MATCH(ROWS($AH$2:AH492),$AH$2:$AH$1001,0),1)&gt;=100000,INDEX($AO$1005:$BQ$1005,1,MATCH(COLUMNS($AO$1006:BG1006),$AO$1006:$BQ$1006,0))&gt;=100000), " ",IF(INDEX($AO$2:$BQ$1001,MATCH(ROWS($AH$2:AH492),$AH$2:$AH$1001,0),MATCH(COLUMNS($AO$1006:BG1006),$AO$1006:$BQ$1006,0)), HYPERLINK("#",""), HYPERLINK(CONCATENATE("#Metadata!", ADDRESS(INDEX($AJ$2:$AJ$1001,MATCH(ROWS($AH$2:AH492),$AH$2:$AH$1001,0),0), INDEX($AO$1004:$BQ$1004,1,MATCH(COLUMNS($AO$1006:BG1006),$AO$1006:$BQ$1006,0)))),"Fix")))</f>
        <v>#N/A</v>
      </c>
      <c r="U492" s="5" t="e">
        <f ca="1">IF(OR(INDEX($AI$2:$AI$1001,MATCH(ROWS($AH$2:AH492),$AH$2:$AH$1001,0),1)&gt;=100000,INDEX($AO$1005:$BQ$1005,1,MATCH(COLUMNS($AO$1006:BH1006),$AO$1006:$BQ$1006,0))&gt;=100000), " ",IF(INDEX($AO$2:$BQ$1001,MATCH(ROWS($AH$2:AH492),$AH$2:$AH$1001,0),MATCH(COLUMNS($AO$1006:BH1006),$AO$1006:$BQ$1006,0)), HYPERLINK("#",""), HYPERLINK(CONCATENATE("#Metadata!", ADDRESS(INDEX($AJ$2:$AJ$1001,MATCH(ROWS($AH$2:AH492),$AH$2:$AH$1001,0),0), INDEX($AO$1004:$BQ$1004,1,MATCH(COLUMNS($AO$1006:BH1006),$AO$1006:$BQ$1006,0)))),"Fix")))</f>
        <v>#N/A</v>
      </c>
      <c r="V492" s="5" t="e">
        <f ca="1">IF(OR(INDEX($AI$2:$AI$1001,MATCH(ROWS($AH$2:AH492),$AH$2:$AH$1001,0),1)&gt;=100000,INDEX($AO$1005:$BQ$1005,1,MATCH(COLUMNS($AO$1006:BI1006),$AO$1006:$BQ$1006,0))&gt;=100000), " ",IF(INDEX($AO$2:$BQ$1001,MATCH(ROWS($AH$2:AH492),$AH$2:$AH$1001,0),MATCH(COLUMNS($AO$1006:BI1006),$AO$1006:$BQ$1006,0)), HYPERLINK("#",""), HYPERLINK(CONCATENATE("#Metadata!", ADDRESS(INDEX($AJ$2:$AJ$1001,MATCH(ROWS($AH$2:AH492),$AH$2:$AH$1001,0),0), INDEX($AO$1004:$BQ$1004,1,MATCH(COLUMNS($AO$1006:BI1006),$AO$1006:$BQ$1006,0)))),"Fix")))</f>
        <v>#N/A</v>
      </c>
      <c r="W492" s="5" t="e">
        <f ca="1">IF(OR(INDEX($AI$2:$AI$1001,MATCH(ROWS($AH$2:AH492),$AH$2:$AH$1001,0),1)&gt;=100000,INDEX($AO$1005:$BQ$1005,1,MATCH(COLUMNS($AO$1006:BJ1006),$AO$1006:$BQ$1006,0))&gt;=100000), " ",IF(INDEX($AO$2:$BQ$1001,MATCH(ROWS($AH$2:AH492),$AH$2:$AH$1001,0),MATCH(COLUMNS($AO$1006:BJ1006),$AO$1006:$BQ$1006,0)), HYPERLINK("#",""), HYPERLINK(CONCATENATE("#Metadata!", ADDRESS(INDEX($AJ$2:$AJ$1001,MATCH(ROWS($AH$2:AH492),$AH$2:$AH$1001,0),0), INDEX($AO$1004:$BQ$1004,1,MATCH(COLUMNS($AO$1006:BJ1006),$AO$1006:$BQ$1006,0)))),"Fix")))</f>
        <v>#N/A</v>
      </c>
      <c r="X492" s="5" t="e">
        <f ca="1">IF(OR(INDEX($AI$2:$AI$1001,MATCH(ROWS($AH$2:AH492),$AH$2:$AH$1001,0),1)&gt;=100000,INDEX($AO$1005:$BQ$1005,1,MATCH(COLUMNS($AO$1006:BK1006),$AO$1006:$BQ$1006,0))&gt;=100000), " ",IF(INDEX($AO$2:$BQ$1001,MATCH(ROWS($AH$2:AH492),$AH$2:$AH$1001,0),MATCH(COLUMNS($AO$1006:BK1006),$AO$1006:$BQ$1006,0)), HYPERLINK("#",""), HYPERLINK(CONCATENATE("#Metadata!", ADDRESS(INDEX($AJ$2:$AJ$1001,MATCH(ROWS($AH$2:AH492),$AH$2:$AH$1001,0),0), INDEX($AO$1004:$BQ$1004,1,MATCH(COLUMNS($AO$1006:BK1006),$AO$1006:$BQ$1006,0)))),"Fix")))</f>
        <v>#N/A</v>
      </c>
      <c r="Y492" s="5" t="e">
        <f ca="1">IF(OR(INDEX($AI$2:$AI$1001,MATCH(ROWS($AH$2:AH492),$AH$2:$AH$1001,0),1)&gt;=100000,INDEX($AO$1005:$BQ$1005,1,MATCH(COLUMNS($AO$1006:BL1006),$AO$1006:$BQ$1006,0))&gt;=100000), " ",IF(INDEX($AO$2:$BQ$1001,MATCH(ROWS($AH$2:AH492),$AH$2:$AH$1001,0),MATCH(COLUMNS($AO$1006:BL1006),$AO$1006:$BQ$1006,0)), HYPERLINK("#",""), HYPERLINK(CONCATENATE("#Metadata!", ADDRESS(INDEX($AJ$2:$AJ$1001,MATCH(ROWS($AH$2:AH492),$AH$2:$AH$1001,0),0), INDEX($AO$1004:$BQ$1004,1,MATCH(COLUMNS($AO$1006:BL1006),$AO$1006:$BQ$1006,0)))),"Fix")))</f>
        <v>#N/A</v>
      </c>
      <c r="Z492" s="5" t="e">
        <f ca="1">IF(OR(INDEX($AI$2:$AI$1001,MATCH(ROWS($AH$2:AH492),$AH$2:$AH$1001,0),1)&gt;=100000,INDEX($AO$1005:$BQ$1005,1,MATCH(COLUMNS($AO$1006:BM1006),$AO$1006:$BQ$1006,0))&gt;=100000), " ",IF(INDEX($AO$2:$BQ$1001,MATCH(ROWS($AH$2:AH492),$AH$2:$AH$1001,0),MATCH(COLUMNS($AO$1006:BM1006),$AO$1006:$BQ$1006,0)), HYPERLINK("#",""), HYPERLINK(CONCATENATE("#Metadata!", ADDRESS(INDEX($AJ$2:$AJ$1001,MATCH(ROWS($AH$2:AH492),$AH$2:$AH$1001,0),0), INDEX($AO$1004:$BQ$1004,1,MATCH(COLUMNS($AO$1006:BM1006),$AO$1006:$BQ$1006,0)))),"Fix")))</f>
        <v>#N/A</v>
      </c>
      <c r="AA492" s="5" t="e">
        <f ca="1">IF(OR(INDEX($AI$2:$AI$1001,MATCH(ROWS($AH$2:AH492),$AH$2:$AH$1001,0),1)&gt;=100000,INDEX($AO$1005:$BQ$1005,1,MATCH(COLUMNS($AO$1006:BN1006),$AO$1006:$BQ$1006,0))&gt;=100000), " ",IF(INDEX($AO$2:$BQ$1001,MATCH(ROWS($AH$2:AH492),$AH$2:$AH$1001,0),MATCH(COLUMNS($AO$1006:BN1006),$AO$1006:$BQ$1006,0)), HYPERLINK("#",""), HYPERLINK(CONCATENATE("#Metadata!", ADDRESS(INDEX($AJ$2:$AJ$1001,MATCH(ROWS($AH$2:AH492),$AH$2:$AH$1001,0),0), INDEX($AO$1004:$BQ$1004,1,MATCH(COLUMNS($AO$1006:BN1006),$AO$1006:$BQ$1006,0)))),"Fix")))</f>
        <v>#N/A</v>
      </c>
      <c r="AB492" s="5" t="e">
        <f ca="1">IF(OR(INDEX($AI$2:$AI$1001,MATCH(ROWS($AH$2:AH492),$AH$2:$AH$1001,0),1)&gt;=100000,INDEX($AO$1005:$BQ$1005,1,MATCH(COLUMNS($AO$1006:BO1006),$AO$1006:$BQ$1006,0))&gt;=100000), " ",IF(INDEX($AO$2:$BQ$1001,MATCH(ROWS($AH$2:AH492),$AH$2:$AH$1001,0),MATCH(COLUMNS($AO$1006:BO1006),$AO$1006:$BQ$1006,0)), HYPERLINK("#",""), HYPERLINK(CONCATENATE("#Metadata!", ADDRESS(INDEX($AJ$2:$AJ$1001,MATCH(ROWS($AH$2:AH492),$AH$2:$AH$1001,0),0), INDEX($AO$1004:$BQ$1004,1,MATCH(COLUMNS($AO$1006:BO1006),$AO$1006:$BQ$1006,0)))),"Fix")))</f>
        <v>#N/A</v>
      </c>
      <c r="AC492" s="5" t="e">
        <f ca="1">IF(OR(INDEX($AI$2:$AI$1001,MATCH(ROWS($AH$2:AH492),$AH$2:$AH$1001,0),1)&gt;=100000,INDEX($AO$1005:$BQ$1005,1,MATCH(COLUMNS($AO$1006:BP1006),$AO$1006:$BQ$1006,0))&gt;=100000), " ",IF(INDEX($AO$2:$BQ$1001,MATCH(ROWS($AH$2:AH492),$AH$2:$AH$1001,0),MATCH(COLUMNS($AO$1006:BP1006),$AO$1006:$BQ$1006,0)), HYPERLINK("#",""), HYPERLINK(CONCATENATE("#Metadata!", ADDRESS(INDEX($AJ$2:$AJ$1001,MATCH(ROWS($AH$2:AH492),$AH$2:$AH$1001,0),0), INDEX($AO$1004:$BQ$1004,1,MATCH(COLUMNS($AO$1006:BP1006),$AO$1006:$BQ$1006,0)))),"Fix")))</f>
        <v>#N/A</v>
      </c>
      <c r="AD492" s="5" t="e">
        <f ca="1">IF(OR(INDEX($AI$2:$AI$1001,MATCH(ROWS($AH$2:AH492),$AH$2:$AH$1001,0),1)&gt;=100000,INDEX($AO$1005:$BQ$1005,1,MATCH(COLUMNS($AO$1006:BQ1006),$AO$1006:$BQ$1006,0))&gt;=100000), " ",IF(INDEX($AO$2:$BQ$1001,MATCH(ROWS($AH$2:AH492),$AH$2:$AH$1001,0),MATCH(COLUMNS($AO$1006:BQ1006),$AO$1006:$BQ$1006,0)), HYPERLINK("#",""), HYPERLINK(CONCATENATE("#Metadata!", ADDRESS(INDEX($AJ$2:$AJ$1001,MATCH(ROWS($AH$2:AH492),$AH$2:$AH$1001,0),0), INDEX($AO$1004:$BQ$1004,1,MATCH(COLUMNS($AO$1006:BQ1006),$AO$1006:$BQ$1006,0)))),"Fix")))</f>
        <v>#REF!</v>
      </c>
      <c r="AH492">
        <f ca="1"/>
        <v>489</v>
      </c>
      <c r="AI492">
        <v>100492</v>
      </c>
      <c r="AJ492">
        <v>492</v>
      </c>
      <c r="AK492" t="b">
        <f t="shared" si="7"/>
        <v>1</v>
      </c>
      <c r="AL492" t="b">
        <f>COUNTBLANK(Metadata!B492:AD492)=COLUMNS(Metadata!B492:AD492)</f>
        <v>1</v>
      </c>
      <c r="AM492" t="str">
        <v/>
      </c>
      <c r="AO492" t="b">
        <f ca="1">AND(IF(Metadata!B492="",FALSE,TRUE),COUNTIF(Metadata!B:B, Metadata!B492) = 1,NOT(ISERROR(SUMPRODUCT(SEARCH(MID(Metadata!B492,ROW(INDIRECT("1:"&amp;LEN(Metadata!B492))), 1),"0123456789abcdefghijklmnopqrstuvwxyzABCDEFGHIJKLMNOPQRSTUVWXYZ.")))))</f>
        <v>0</v>
      </c>
      <c r="AP492" t="b">
        <f>IF(Metadata!C492="",FALSE,TRUE)</f>
        <v>0</v>
      </c>
      <c r="AQ492" t="b">
        <f>IF(Metadata!D492="",FALSE,TRUE)</f>
        <v>0</v>
      </c>
      <c r="AR492" t="b">
        <f ca="1">OR(AND(IF(Metadata!E492="",FALSE,TRUE),OR(EXACT(Metadata!E492,"not collected"),EXACT(Metadata!E492,"not provided"),EXACT(Metadata!E492,"restricted access"))),AND(IF(Metadata!E492="",FALSE,TRUE),AND(AND(IFERROR(INT(LEFT(Metadata!E492,4))&gt;1900,FALSE),IFERROR(INT(LEFT(Metadata!E492,4))&lt;=YEAR(NOW()),FALSE)), OR(MID(Metadata!E492,5,1)="", AND(AND(MID(Metadata!E492,5,1)="-",IFERROR(INT(MID(Metadata!E492,6,1))&gt;=0,FALSE),IFERROR(INT(MID(Metadata!E492,6,1))&lt;=1,FALSE),NOT(MID(Metadata!E492,7,1)=""),IFERROR(INT(MID(Metadata!E492,6,2))&gt;=1,FALSE),IFERROR(INT(MID(Metadata!E492,6,2))&lt;=12,FALSE)), OR(MID(Metadata!E492,8,1)="", AND(AND(MID(Metadata!E492,8,1)="-",IFERROR(INT(MID(Metadata!E492,9,1))&gt;=0,FALSE),IFERROR(INT(MID(Metadata!E492,9,1))&lt;=3,FALSE),NOT(MID(Metadata!E492,10,1)=""),IFERROR(INT(MID(Metadata!E492,9,2))&gt;=1,FALSE),IFERROR(INT(MID(Metadata!E492,9,2))&lt;=31,FALSE)), OR(MID(Metadata!E492,11,1)="", AND(AND(MID(Metadata!E492,11,1)=" ",IFERROR(INT(MID(Metadata!E492,12,1))&gt;=0,FALSE),IFERROR(INT(MID(Metadata!E492,12,1))&lt;=2,FALSE),NOT(MID(Metadata!E492,13,1)=""),IFERROR(INT(MID(Metadata!E492,12,2))&gt;=0,FALSE),IFERROR(INT(MID(Metadata!E492,12,2))&lt;=23,FALSE)), OR(MID(Metadata!E492,14,1)="", AND(AND(MID(Metadata!E492,14,1)=":",IFERROR(INT(MID(Metadata!E492,15,1))&gt;=0,FALSE),IFERROR(INT(MID(Metadata!E492,15,1))&lt;=5,FALSE),NOT(MID(Metadata!E492,16,1)=""),IFERROR(INT(MID(Metadata!E492,15,2))&gt;=0,FALSE),IFERROR(INT(MID(Metadata!E492,15,2))&lt;=59,FALSE)), OR(MID(Metadata!E492,17,1)="", AND(AND(MID(Metadata!E492,17,1)=":",IFERROR(INT(MID(Metadata!E492,18,1))&gt;=0,FALSE),IFERROR(INT(MID(Metadata!E492,18,1))&lt;=5,FALSE),NOT(MID(Metadata!E492,19,1)=""),IFERROR(INT(MID(Metadata!E492,18,2))&gt;=0,FALSE),IFERROR(INT(MID(Metadata!E492,18,2))&lt;=59,FALSE)), LEN(Metadata!E492)&lt;=19)))))))))))))</f>
        <v>0</v>
      </c>
      <c r="AS492" t="b">
        <f>IF(Metadata!F492="",FALSE,TRUE)</f>
        <v>0</v>
      </c>
      <c r="AT492" t="b">
        <f>OR(AND(IF(Metadata!G492="",FALSE,TRUE),OR(EXACT(Metadata!G492,"not collected"),EXACT(Metadata!G492,"not provided"))),AND(IF(Metadata!G492="",FALSE,TRUE),OR(EXACT(Metadata!G492,"TRUE"),EXACT(Metadata!G492,"FALSE"))))</f>
        <v>0</v>
      </c>
      <c r="AU492" t="b">
        <f>OR(AND(IF(Metadata!H492="",FALSE,TRUE),OR(EXACT(Metadata!H492,"not collected"),EXACT(Metadata!H492,"not provided"),EXACT(Metadata!H492,"restricted access"))),AND(IF(Metadata!H492="",FALSE,ISNUMBER(VALUE(Metadata!H492))),Metadata!H492&gt;=-413))</f>
        <v>0</v>
      </c>
      <c r="AV492" t="b">
        <f>AND(IF(Metadata!I492="",FALSE,TRUE),EXACT(Metadata!I492,"meters"))</f>
        <v>0</v>
      </c>
      <c r="AW492" t="b">
        <f>AND(IF(Metadata!J492="",FALSE,TRUE),EXACT(Metadata!J492,"free-living"))</f>
        <v>0</v>
      </c>
      <c r="AX492" t="b">
        <f>AND(IF(Metadata!K492="",FALSE,TRUE),OR(EXACT(Metadata!K492,"saline"),EXACT(Metadata!K492,"non-saline")))</f>
        <v>0</v>
      </c>
      <c r="AY492" t="b">
        <f>AND(IF(Metadata!L492="",FALSE,TRUE),OR(EXACT(Metadata!L492,"sub-surface (non-saline)"),EXACT(Metadata!L492,"surface (non-saline)"),EXACT(Metadata!L492,"water (non-saline)"),EXACT(Metadata!L492,"soil (non-saline)"),EXACT(Metadata!L492,"aerosol (non-saline)"),EXACT(Metadata!L492,"sediment (non-saline)"),EXACT(Metadata!L492,"surface (saline)"),EXACT(Metadata!L492,"water (saline)"),EXACT(Metadata!L492,"hypersaline (saline)"),EXACT(Metadata!L492,"aerosol (saline)"),EXACT(Metadata!L492,"sediment (saline)")))</f>
        <v>0</v>
      </c>
      <c r="AZ492" t="b">
        <f>IF(Metadata!M492="",FALSE,TRUE)</f>
        <v>0</v>
      </c>
      <c r="BA492" t="b">
        <f>IF(Metadata!N492="",FALSE,TRUE)</f>
        <v>0</v>
      </c>
      <c r="BB492" t="b">
        <f>IF(Metadata!O492="",FALSE,TRUE)</f>
        <v>0</v>
      </c>
      <c r="BC492" t="b">
        <f>AND(IF(Metadata!P492="",FALSE,TRUE),OR(EXACT(Metadata!P492,"air"),EXACT(Metadata!P492,"microbial mat/biofilm"),EXACT(Metadata!P492,"misc environment"),EXACT(Metadata!P492,"sediment"),EXACT(Metadata!P492,"soil"),EXACT(Metadata!P492,"wastewater/sludge"),EXACT(Metadata!P492,"water")))</f>
        <v>0</v>
      </c>
      <c r="BD492" t="b">
        <f>IF(Metadata!Q492="",FALSE,TRUE)</f>
        <v>0</v>
      </c>
      <c r="BE492" t="b">
        <f>IF(Metadata!R492="",FALSE,TRUE)</f>
        <v>0</v>
      </c>
      <c r="BF492" t="b">
        <f>OR(AND(IF(Metadata!S492="",FALSE,TRUE),OR(EXACT(Metadata!S492,"not collected"),EXACT(Metadata!S492,"not provided"),EXACT(Metadata!S492,"restricted access"))),AND(IF(Metadata!S492="",FALSE,ISNUMBER(VALUE(Metadata!S492))),Metadata!S492&gt;=-90,Metadata!S492&lt;=90))</f>
        <v>0</v>
      </c>
      <c r="BG492" t="b">
        <f>AND(IF(Metadata!T492="",FALSE,TRUE),EXACT(Metadata!T492,"Decimal degrees"))</f>
        <v>0</v>
      </c>
      <c r="BH492" t="b">
        <f>OR(AND(IF(Metadata!U492="",FALSE,TRUE),OR(EXACT(Metadata!U492,"not applicable"),EXACT(Metadata!U492,"not collected"))),IF(Metadata!U492="",FALSE,TRUE))</f>
        <v>0</v>
      </c>
      <c r="BI492" t="b">
        <f>OR(AND(IF(Metadata!V492="",FALSE,TRUE),OR(EXACT(Metadata!V492,"not collected"),EXACT(Metadata!V492,"not provided"),EXACT(Metadata!V492,"restricted access"))),AND(IF(Metadata!V492="",FALSE,ISNUMBER(VALUE(Metadata!V492))),Metadata!V492&gt;=-180,Metadata!V492&lt;=180))</f>
        <v>0</v>
      </c>
      <c r="BJ492" t="b">
        <f>AND(IF(Metadata!W492="",FALSE,TRUE),EXACT(Metadata!W492,"Decimal degrees"))</f>
        <v>0</v>
      </c>
      <c r="BK492" t="b">
        <f>IF(Metadata!X492="",FALSE,TRUE)</f>
        <v>0</v>
      </c>
      <c r="BL492" t="b">
        <f>OR(AND(IF(Metadata!Y492="",FALSE,TRUE),OR(EXACT(Metadata!Y492,"not collected"),EXACT(Metadata!Y492,"not provided"),EXACT(Metadata!Y492,"restricted access"))),AND(IF(Metadata!Y492="",FALSE,TRUE),OR(EXACT(Metadata!Y492,"TRUE"),EXACT(Metadata!Y492,"FALSE"))))</f>
        <v>0</v>
      </c>
      <c r="BM492" t="b">
        <f>OR(AND(IF(Metadata!Z492="",FALSE,TRUE),EXACT(Metadata!Z492,"not applicable")),AND(IF(Metadata!Z492="",FALSE,TRUE),OR(EXACT(Metadata!Z492,"beer"),EXACT(Metadata!Z492,"cheese"),EXACT(Metadata!Z492,"fresh water"),EXACT(Metadata!Z492,"marine sediment"),EXACT(Metadata!Z492,"sea water"),EXACT(Metadata!Z492,"sediment"),EXACT(Metadata!Z492,"soil"),EXACT(Metadata!Z492,"waste water"))))</f>
        <v>0</v>
      </c>
      <c r="BN492" t="b">
        <f>AND(IF(Metadata!AA492="",FALSE,TRUE),EXACT(Metadata!AA492,"metagenome"))</f>
        <v>0</v>
      </c>
      <c r="BO492" t="b">
        <f>AND(IF(Metadata!AB492="",FALSE,TRUE),EXACT(Metadata!AB492,"256318"))</f>
        <v>0</v>
      </c>
      <c r="BP492" t="b">
        <f>IF(Metadata!AC492="",FALSE,TRUE)</f>
        <v>0</v>
      </c>
      <c r="BQ492" t="b">
        <f>IF(Metadata!AD492="",FALSE,TRUE)</f>
        <v>0</v>
      </c>
    </row>
    <row r="493" spans="1:69" x14ac:dyDescent="0.2">
      <c r="A493" s="4" t="e">
        <f ca="1">IF(B493=" "," ",HYPERLINK(CONCATENATE("#metadata!",ADDRESS(INDEX($AJ$2:$AJ$1001,MATCH(ROWS($AH$2:AH493),$AH$2:$AH$1001,0),0),2)),INDEX($AM$2:$AM$1001,MATCH(ROWS($AH$2:AH493),$AH$2:$AH$1001,0),0)))</f>
        <v>#N/A</v>
      </c>
      <c r="B493" s="5" t="e">
        <f ca="1">IF(OR(INDEX($AI$2:$AI$1001,MATCH(ROWS($AH$2:AH493),$AH$2:$AH$1001,0),1)&gt;=100000,INDEX($AO$1005:$BQ$1005,1,MATCH(COLUMNS($AO$1006:AO1006),$AO$1006:$BQ$1006,0))&gt;=100000), " ",IF(INDEX($AO$2:$BQ$1001,MATCH(ROWS($AH$2:AH493),$AH$2:$AH$1001,0),MATCH(COLUMNS($AO$1006:AO1006),$AO$1006:$BQ$1006,0)), HYPERLINK("#",""), HYPERLINK(CONCATENATE("#Metadata!", ADDRESS(INDEX($AJ$2:$AJ$1001,MATCH(ROWS($AH$2:AH493),$AH$2:$AH$1001,0),0), INDEX($AO$1004:$BQ$1004,1,MATCH(COLUMNS($AO$1006:AO1006),$AO$1006:$BQ$1006,0)))),"Fix")))</f>
        <v>#N/A</v>
      </c>
      <c r="C493" s="5" t="e">
        <f ca="1">IF(OR(INDEX($AI$2:$AI$1001,MATCH(ROWS($AH$2:AH493),$AH$2:$AH$1001,0),1)&gt;=100000,INDEX($AO$1005:$BQ$1005,1,MATCH(COLUMNS($AO$1006:AP1006),$AO$1006:$BQ$1006,0))&gt;=100000), " ",IF(INDEX($AO$2:$BQ$1001,MATCH(ROWS($AH$2:AH493),$AH$2:$AH$1001,0),MATCH(COLUMNS($AO$1006:AP1006),$AO$1006:$BQ$1006,0)), HYPERLINK("#",""), HYPERLINK(CONCATENATE("#Metadata!", ADDRESS(INDEX($AJ$2:$AJ$1001,MATCH(ROWS($AH$2:AH493),$AH$2:$AH$1001,0),0), INDEX($AO$1004:$BQ$1004,1,MATCH(COLUMNS($AO$1006:AP1006),$AO$1006:$BQ$1006,0)))),"Fix")))</f>
        <v>#N/A</v>
      </c>
      <c r="D493" s="5" t="e">
        <f ca="1">IF(OR(INDEX($AI$2:$AI$1001,MATCH(ROWS($AH$2:AH493),$AH$2:$AH$1001,0),1)&gt;=100000,INDEX($AO$1005:$BQ$1005,1,MATCH(COLUMNS($AO$1006:AQ1006),$AO$1006:$BQ$1006,0))&gt;=100000), " ",IF(INDEX($AO$2:$BQ$1001,MATCH(ROWS($AH$2:AH493),$AH$2:$AH$1001,0),MATCH(COLUMNS($AO$1006:AQ1006),$AO$1006:$BQ$1006,0)), HYPERLINK("#",""), HYPERLINK(CONCATENATE("#Metadata!", ADDRESS(INDEX($AJ$2:$AJ$1001,MATCH(ROWS($AH$2:AH493),$AH$2:$AH$1001,0),0), INDEX($AO$1004:$BQ$1004,1,MATCH(COLUMNS($AO$1006:AQ1006),$AO$1006:$BQ$1006,0)))),"Fix")))</f>
        <v>#N/A</v>
      </c>
      <c r="E493" s="5" t="e">
        <f ca="1">IF(OR(INDEX($AI$2:$AI$1001,MATCH(ROWS($AH$2:AH493),$AH$2:$AH$1001,0),1)&gt;=100000,INDEX($AO$1005:$BQ$1005,1,MATCH(COLUMNS($AO$1006:AR1006),$AO$1006:$BQ$1006,0))&gt;=100000), " ",IF(INDEX($AO$2:$BQ$1001,MATCH(ROWS($AH$2:AH493),$AH$2:$AH$1001,0),MATCH(COLUMNS($AO$1006:AR1006),$AO$1006:$BQ$1006,0)), HYPERLINK("#",""), HYPERLINK(CONCATENATE("#Metadata!", ADDRESS(INDEX($AJ$2:$AJ$1001,MATCH(ROWS($AH$2:AH493),$AH$2:$AH$1001,0),0), INDEX($AO$1004:$BQ$1004,1,MATCH(COLUMNS($AO$1006:AR1006),$AO$1006:$BQ$1006,0)))),"Fix")))</f>
        <v>#N/A</v>
      </c>
      <c r="F493" s="5" t="e">
        <f ca="1">IF(OR(INDEX($AI$2:$AI$1001,MATCH(ROWS($AH$2:AH493),$AH$2:$AH$1001,0),1)&gt;=100000,INDEX($AO$1005:$BQ$1005,1,MATCH(COLUMNS($AO$1006:AS1006),$AO$1006:$BQ$1006,0))&gt;=100000), " ",IF(INDEX($AO$2:$BQ$1001,MATCH(ROWS($AH$2:AH493),$AH$2:$AH$1001,0),MATCH(COLUMNS($AO$1006:AS1006),$AO$1006:$BQ$1006,0)), HYPERLINK("#",""), HYPERLINK(CONCATENATE("#Metadata!", ADDRESS(INDEX($AJ$2:$AJ$1001,MATCH(ROWS($AH$2:AH493),$AH$2:$AH$1001,0),0), INDEX($AO$1004:$BQ$1004,1,MATCH(COLUMNS($AO$1006:AS1006),$AO$1006:$BQ$1006,0)))),"Fix")))</f>
        <v>#N/A</v>
      </c>
      <c r="G493" s="5" t="e">
        <f ca="1">IF(OR(INDEX($AI$2:$AI$1001,MATCH(ROWS($AH$2:AH493),$AH$2:$AH$1001,0),1)&gt;=100000,INDEX($AO$1005:$BQ$1005,1,MATCH(COLUMNS($AO$1006:AT1006),$AO$1006:$BQ$1006,0))&gt;=100000), " ",IF(INDEX($AO$2:$BQ$1001,MATCH(ROWS($AH$2:AH493),$AH$2:$AH$1001,0),MATCH(COLUMNS($AO$1006:AT1006),$AO$1006:$BQ$1006,0)), HYPERLINK("#",""), HYPERLINK(CONCATENATE("#Metadata!", ADDRESS(INDEX($AJ$2:$AJ$1001,MATCH(ROWS($AH$2:AH493),$AH$2:$AH$1001,0),0), INDEX($AO$1004:$BQ$1004,1,MATCH(COLUMNS($AO$1006:AT1006),$AO$1006:$BQ$1006,0)))),"Fix")))</f>
        <v>#N/A</v>
      </c>
      <c r="H493" s="5" t="e">
        <f ca="1">IF(OR(INDEX($AI$2:$AI$1001,MATCH(ROWS($AH$2:AH493),$AH$2:$AH$1001,0),1)&gt;=100000,INDEX($AO$1005:$BQ$1005,1,MATCH(COLUMNS($AO$1006:AU1006),$AO$1006:$BQ$1006,0))&gt;=100000), " ",IF(INDEX($AO$2:$BQ$1001,MATCH(ROWS($AH$2:AH493),$AH$2:$AH$1001,0),MATCH(COLUMNS($AO$1006:AU1006),$AO$1006:$BQ$1006,0)), HYPERLINK("#",""), HYPERLINK(CONCATENATE("#Metadata!", ADDRESS(INDEX($AJ$2:$AJ$1001,MATCH(ROWS($AH$2:AH493),$AH$2:$AH$1001,0),0), INDEX($AO$1004:$BQ$1004,1,MATCH(COLUMNS($AO$1006:AU1006),$AO$1006:$BQ$1006,0)))),"Fix")))</f>
        <v>#N/A</v>
      </c>
      <c r="I493" s="5" t="e">
        <f ca="1">IF(OR(INDEX($AI$2:$AI$1001,MATCH(ROWS($AH$2:AH493),$AH$2:$AH$1001,0),1)&gt;=100000,INDEX($AO$1005:$BQ$1005,1,MATCH(COLUMNS($AO$1006:AV1006),$AO$1006:$BQ$1006,0))&gt;=100000), " ",IF(INDEX($AO$2:$BQ$1001,MATCH(ROWS($AH$2:AH493),$AH$2:$AH$1001,0),MATCH(COLUMNS($AO$1006:AV1006),$AO$1006:$BQ$1006,0)), HYPERLINK("#",""), HYPERLINK(CONCATENATE("#Metadata!", ADDRESS(INDEX($AJ$2:$AJ$1001,MATCH(ROWS($AH$2:AH493),$AH$2:$AH$1001,0),0), INDEX($AO$1004:$BQ$1004,1,MATCH(COLUMNS($AO$1006:AV1006),$AO$1006:$BQ$1006,0)))),"Fix")))</f>
        <v>#N/A</v>
      </c>
      <c r="J493" s="5" t="e">
        <f ca="1">IF(OR(INDEX($AI$2:$AI$1001,MATCH(ROWS($AH$2:AH493),$AH$2:$AH$1001,0),1)&gt;=100000,INDEX($AO$1005:$BQ$1005,1,MATCH(COLUMNS($AO$1006:AW1006),$AO$1006:$BQ$1006,0))&gt;=100000), " ",IF(INDEX($AO$2:$BQ$1001,MATCH(ROWS($AH$2:AH493),$AH$2:$AH$1001,0),MATCH(COLUMNS($AO$1006:AW1006),$AO$1006:$BQ$1006,0)), HYPERLINK("#",""), HYPERLINK(CONCATENATE("#Metadata!", ADDRESS(INDEX($AJ$2:$AJ$1001,MATCH(ROWS($AH$2:AH493),$AH$2:$AH$1001,0),0), INDEX($AO$1004:$BQ$1004,1,MATCH(COLUMNS($AO$1006:AW1006),$AO$1006:$BQ$1006,0)))),"Fix")))</f>
        <v>#N/A</v>
      </c>
      <c r="K493" s="5" t="e">
        <f ca="1">IF(OR(INDEX($AI$2:$AI$1001,MATCH(ROWS($AH$2:AH493),$AH$2:$AH$1001,0),1)&gt;=100000,INDEX($AO$1005:$BQ$1005,1,MATCH(COLUMNS($AO$1006:AX1006),$AO$1006:$BQ$1006,0))&gt;=100000), " ",IF(INDEX($AO$2:$BQ$1001,MATCH(ROWS($AH$2:AH493),$AH$2:$AH$1001,0),MATCH(COLUMNS($AO$1006:AX1006),$AO$1006:$BQ$1006,0)), HYPERLINK("#",""), HYPERLINK(CONCATENATE("#Metadata!", ADDRESS(INDEX($AJ$2:$AJ$1001,MATCH(ROWS($AH$2:AH493),$AH$2:$AH$1001,0),0), INDEX($AO$1004:$BQ$1004,1,MATCH(COLUMNS($AO$1006:AX1006),$AO$1006:$BQ$1006,0)))),"Fix")))</f>
        <v>#N/A</v>
      </c>
      <c r="L493" s="5" t="e">
        <f ca="1">IF(OR(INDEX($AI$2:$AI$1001,MATCH(ROWS($AH$2:AH493),$AH$2:$AH$1001,0),1)&gt;=100000,INDEX($AO$1005:$BQ$1005,1,MATCH(COLUMNS($AO$1006:AY1006),$AO$1006:$BQ$1006,0))&gt;=100000), " ",IF(INDEX($AO$2:$BQ$1001,MATCH(ROWS($AH$2:AH493),$AH$2:$AH$1001,0),MATCH(COLUMNS($AO$1006:AY1006),$AO$1006:$BQ$1006,0)), HYPERLINK("#",""), HYPERLINK(CONCATENATE("#Metadata!", ADDRESS(INDEX($AJ$2:$AJ$1001,MATCH(ROWS($AH$2:AH493),$AH$2:$AH$1001,0),0), INDEX($AO$1004:$BQ$1004,1,MATCH(COLUMNS($AO$1006:AY1006),$AO$1006:$BQ$1006,0)))),"Fix")))</f>
        <v>#N/A</v>
      </c>
      <c r="M493" s="5" t="e">
        <f ca="1">IF(OR(INDEX($AI$2:$AI$1001,MATCH(ROWS($AH$2:AH493),$AH$2:$AH$1001,0),1)&gt;=100000,INDEX($AO$1005:$BQ$1005,1,MATCH(COLUMNS($AO$1006:AZ1006),$AO$1006:$BQ$1006,0))&gt;=100000), " ",IF(INDEX($AO$2:$BQ$1001,MATCH(ROWS($AH$2:AH493),$AH$2:$AH$1001,0),MATCH(COLUMNS($AO$1006:AZ1006),$AO$1006:$BQ$1006,0)), HYPERLINK("#",""), HYPERLINK(CONCATENATE("#Metadata!", ADDRESS(INDEX($AJ$2:$AJ$1001,MATCH(ROWS($AH$2:AH493),$AH$2:$AH$1001,0),0), INDEX($AO$1004:$BQ$1004,1,MATCH(COLUMNS($AO$1006:AZ1006),$AO$1006:$BQ$1006,0)))),"Fix")))</f>
        <v>#N/A</v>
      </c>
      <c r="N493" s="5" t="e">
        <f ca="1">IF(OR(INDEX($AI$2:$AI$1001,MATCH(ROWS($AH$2:AH493),$AH$2:$AH$1001,0),1)&gt;=100000,INDEX($AO$1005:$BQ$1005,1,MATCH(COLUMNS($AO$1006:BA1006),$AO$1006:$BQ$1006,0))&gt;=100000), " ",IF(INDEX($AO$2:$BQ$1001,MATCH(ROWS($AH$2:AH493),$AH$2:$AH$1001,0),MATCH(COLUMNS($AO$1006:BA1006),$AO$1006:$BQ$1006,0)), HYPERLINK("#",""), HYPERLINK(CONCATENATE("#Metadata!", ADDRESS(INDEX($AJ$2:$AJ$1001,MATCH(ROWS($AH$2:AH493),$AH$2:$AH$1001,0),0), INDEX($AO$1004:$BQ$1004,1,MATCH(COLUMNS($AO$1006:BA1006),$AO$1006:$BQ$1006,0)))),"Fix")))</f>
        <v>#N/A</v>
      </c>
      <c r="O493" s="5" t="e">
        <f ca="1">IF(OR(INDEX($AI$2:$AI$1001,MATCH(ROWS($AH$2:AH493),$AH$2:$AH$1001,0),1)&gt;=100000,INDEX($AO$1005:$BQ$1005,1,MATCH(COLUMNS($AO$1006:BB1006),$AO$1006:$BQ$1006,0))&gt;=100000), " ",IF(INDEX($AO$2:$BQ$1001,MATCH(ROWS($AH$2:AH493),$AH$2:$AH$1001,0),MATCH(COLUMNS($AO$1006:BB1006),$AO$1006:$BQ$1006,0)), HYPERLINK("#",""), HYPERLINK(CONCATENATE("#Metadata!", ADDRESS(INDEX($AJ$2:$AJ$1001,MATCH(ROWS($AH$2:AH493),$AH$2:$AH$1001,0),0), INDEX($AO$1004:$BQ$1004,1,MATCH(COLUMNS($AO$1006:BB1006),$AO$1006:$BQ$1006,0)))),"Fix")))</f>
        <v>#N/A</v>
      </c>
      <c r="P493" s="5" t="e">
        <f ca="1">IF(OR(INDEX($AI$2:$AI$1001,MATCH(ROWS($AH$2:AH493),$AH$2:$AH$1001,0),1)&gt;=100000,INDEX($AO$1005:$BQ$1005,1,MATCH(COLUMNS($AO$1006:BC1006),$AO$1006:$BQ$1006,0))&gt;=100000), " ",IF(INDEX($AO$2:$BQ$1001,MATCH(ROWS($AH$2:AH493),$AH$2:$AH$1001,0),MATCH(COLUMNS($AO$1006:BC1006),$AO$1006:$BQ$1006,0)), HYPERLINK("#",""), HYPERLINK(CONCATENATE("#Metadata!", ADDRESS(INDEX($AJ$2:$AJ$1001,MATCH(ROWS($AH$2:AH493),$AH$2:$AH$1001,0),0), INDEX($AO$1004:$BQ$1004,1,MATCH(COLUMNS($AO$1006:BC1006),$AO$1006:$BQ$1006,0)))),"Fix")))</f>
        <v>#N/A</v>
      </c>
      <c r="Q493" s="5" t="e">
        <f ca="1">IF(OR(INDEX($AI$2:$AI$1001,MATCH(ROWS($AH$2:AH493),$AH$2:$AH$1001,0),1)&gt;=100000,INDEX($AO$1005:$BQ$1005,1,MATCH(COLUMNS($AO$1006:BD1006),$AO$1006:$BQ$1006,0))&gt;=100000), " ",IF(INDEX($AO$2:$BQ$1001,MATCH(ROWS($AH$2:AH493),$AH$2:$AH$1001,0),MATCH(COLUMNS($AO$1006:BD1006),$AO$1006:$BQ$1006,0)), HYPERLINK("#",""), HYPERLINK(CONCATENATE("#Metadata!", ADDRESS(INDEX($AJ$2:$AJ$1001,MATCH(ROWS($AH$2:AH493),$AH$2:$AH$1001,0),0), INDEX($AO$1004:$BQ$1004,1,MATCH(COLUMNS($AO$1006:BD1006),$AO$1006:$BQ$1006,0)))),"Fix")))</f>
        <v>#N/A</v>
      </c>
      <c r="R493" s="5" t="e">
        <f ca="1">IF(OR(INDEX($AI$2:$AI$1001,MATCH(ROWS($AH$2:AH493),$AH$2:$AH$1001,0),1)&gt;=100000,INDEX($AO$1005:$BQ$1005,1,MATCH(COLUMNS($AO$1006:BE1006),$AO$1006:$BQ$1006,0))&gt;=100000), " ",IF(INDEX($AO$2:$BQ$1001,MATCH(ROWS($AH$2:AH493),$AH$2:$AH$1001,0),MATCH(COLUMNS($AO$1006:BE1006),$AO$1006:$BQ$1006,0)), HYPERLINK("#",""), HYPERLINK(CONCATENATE("#Metadata!", ADDRESS(INDEX($AJ$2:$AJ$1001,MATCH(ROWS($AH$2:AH493),$AH$2:$AH$1001,0),0), INDEX($AO$1004:$BQ$1004,1,MATCH(COLUMNS($AO$1006:BE1006),$AO$1006:$BQ$1006,0)))),"Fix")))</f>
        <v>#N/A</v>
      </c>
      <c r="S493" s="5" t="e">
        <f ca="1">IF(OR(INDEX($AI$2:$AI$1001,MATCH(ROWS($AH$2:AH493),$AH$2:$AH$1001,0),1)&gt;=100000,INDEX($AO$1005:$BQ$1005,1,MATCH(COLUMNS($AO$1006:BF1006),$AO$1006:$BQ$1006,0))&gt;=100000), " ",IF(INDEX($AO$2:$BQ$1001,MATCH(ROWS($AH$2:AH493),$AH$2:$AH$1001,0),MATCH(COLUMNS($AO$1006:BF1006),$AO$1006:$BQ$1006,0)), HYPERLINK("#",""), HYPERLINK(CONCATENATE("#Metadata!", ADDRESS(INDEX($AJ$2:$AJ$1001,MATCH(ROWS($AH$2:AH493),$AH$2:$AH$1001,0),0), INDEX($AO$1004:$BQ$1004,1,MATCH(COLUMNS($AO$1006:BF1006),$AO$1006:$BQ$1006,0)))),"Fix")))</f>
        <v>#N/A</v>
      </c>
      <c r="T493" s="5" t="e">
        <f ca="1">IF(OR(INDEX($AI$2:$AI$1001,MATCH(ROWS($AH$2:AH493),$AH$2:$AH$1001,0),1)&gt;=100000,INDEX($AO$1005:$BQ$1005,1,MATCH(COLUMNS($AO$1006:BG1006),$AO$1006:$BQ$1006,0))&gt;=100000), " ",IF(INDEX($AO$2:$BQ$1001,MATCH(ROWS($AH$2:AH493),$AH$2:$AH$1001,0),MATCH(COLUMNS($AO$1006:BG1006),$AO$1006:$BQ$1006,0)), HYPERLINK("#",""), HYPERLINK(CONCATENATE("#Metadata!", ADDRESS(INDEX($AJ$2:$AJ$1001,MATCH(ROWS($AH$2:AH493),$AH$2:$AH$1001,0),0), INDEX($AO$1004:$BQ$1004,1,MATCH(COLUMNS($AO$1006:BG1006),$AO$1006:$BQ$1006,0)))),"Fix")))</f>
        <v>#N/A</v>
      </c>
      <c r="U493" s="5" t="e">
        <f ca="1">IF(OR(INDEX($AI$2:$AI$1001,MATCH(ROWS($AH$2:AH493),$AH$2:$AH$1001,0),1)&gt;=100000,INDEX($AO$1005:$BQ$1005,1,MATCH(COLUMNS($AO$1006:BH1006),$AO$1006:$BQ$1006,0))&gt;=100000), " ",IF(INDEX($AO$2:$BQ$1001,MATCH(ROWS($AH$2:AH493),$AH$2:$AH$1001,0),MATCH(COLUMNS($AO$1006:BH1006),$AO$1006:$BQ$1006,0)), HYPERLINK("#",""), HYPERLINK(CONCATENATE("#Metadata!", ADDRESS(INDEX($AJ$2:$AJ$1001,MATCH(ROWS($AH$2:AH493),$AH$2:$AH$1001,0),0), INDEX($AO$1004:$BQ$1004,1,MATCH(COLUMNS($AO$1006:BH1006),$AO$1006:$BQ$1006,0)))),"Fix")))</f>
        <v>#N/A</v>
      </c>
      <c r="V493" s="5" t="e">
        <f ca="1">IF(OR(INDEX($AI$2:$AI$1001,MATCH(ROWS($AH$2:AH493),$AH$2:$AH$1001,0),1)&gt;=100000,INDEX($AO$1005:$BQ$1005,1,MATCH(COLUMNS($AO$1006:BI1006),$AO$1006:$BQ$1006,0))&gt;=100000), " ",IF(INDEX($AO$2:$BQ$1001,MATCH(ROWS($AH$2:AH493),$AH$2:$AH$1001,0),MATCH(COLUMNS($AO$1006:BI1006),$AO$1006:$BQ$1006,0)), HYPERLINK("#",""), HYPERLINK(CONCATENATE("#Metadata!", ADDRESS(INDEX($AJ$2:$AJ$1001,MATCH(ROWS($AH$2:AH493),$AH$2:$AH$1001,0),0), INDEX($AO$1004:$BQ$1004,1,MATCH(COLUMNS($AO$1006:BI1006),$AO$1006:$BQ$1006,0)))),"Fix")))</f>
        <v>#N/A</v>
      </c>
      <c r="W493" s="5" t="e">
        <f ca="1">IF(OR(INDEX($AI$2:$AI$1001,MATCH(ROWS($AH$2:AH493),$AH$2:$AH$1001,0),1)&gt;=100000,INDEX($AO$1005:$BQ$1005,1,MATCH(COLUMNS($AO$1006:BJ1006),$AO$1006:$BQ$1006,0))&gt;=100000), " ",IF(INDEX($AO$2:$BQ$1001,MATCH(ROWS($AH$2:AH493),$AH$2:$AH$1001,0),MATCH(COLUMNS($AO$1006:BJ1006),$AO$1006:$BQ$1006,0)), HYPERLINK("#",""), HYPERLINK(CONCATENATE("#Metadata!", ADDRESS(INDEX($AJ$2:$AJ$1001,MATCH(ROWS($AH$2:AH493),$AH$2:$AH$1001,0),0), INDEX($AO$1004:$BQ$1004,1,MATCH(COLUMNS($AO$1006:BJ1006),$AO$1006:$BQ$1006,0)))),"Fix")))</f>
        <v>#N/A</v>
      </c>
      <c r="X493" s="5" t="e">
        <f ca="1">IF(OR(INDEX($AI$2:$AI$1001,MATCH(ROWS($AH$2:AH493),$AH$2:$AH$1001,0),1)&gt;=100000,INDEX($AO$1005:$BQ$1005,1,MATCH(COLUMNS($AO$1006:BK1006),$AO$1006:$BQ$1006,0))&gt;=100000), " ",IF(INDEX($AO$2:$BQ$1001,MATCH(ROWS($AH$2:AH493),$AH$2:$AH$1001,0),MATCH(COLUMNS($AO$1006:BK1006),$AO$1006:$BQ$1006,0)), HYPERLINK("#",""), HYPERLINK(CONCATENATE("#Metadata!", ADDRESS(INDEX($AJ$2:$AJ$1001,MATCH(ROWS($AH$2:AH493),$AH$2:$AH$1001,0),0), INDEX($AO$1004:$BQ$1004,1,MATCH(COLUMNS($AO$1006:BK1006),$AO$1006:$BQ$1006,0)))),"Fix")))</f>
        <v>#N/A</v>
      </c>
      <c r="Y493" s="5" t="e">
        <f ca="1">IF(OR(INDEX($AI$2:$AI$1001,MATCH(ROWS($AH$2:AH493),$AH$2:$AH$1001,0),1)&gt;=100000,INDEX($AO$1005:$BQ$1005,1,MATCH(COLUMNS($AO$1006:BL1006),$AO$1006:$BQ$1006,0))&gt;=100000), " ",IF(INDEX($AO$2:$BQ$1001,MATCH(ROWS($AH$2:AH493),$AH$2:$AH$1001,0),MATCH(COLUMNS($AO$1006:BL1006),$AO$1006:$BQ$1006,0)), HYPERLINK("#",""), HYPERLINK(CONCATENATE("#Metadata!", ADDRESS(INDEX($AJ$2:$AJ$1001,MATCH(ROWS($AH$2:AH493),$AH$2:$AH$1001,0),0), INDEX($AO$1004:$BQ$1004,1,MATCH(COLUMNS($AO$1006:BL1006),$AO$1006:$BQ$1006,0)))),"Fix")))</f>
        <v>#N/A</v>
      </c>
      <c r="Z493" s="5" t="e">
        <f ca="1">IF(OR(INDEX($AI$2:$AI$1001,MATCH(ROWS($AH$2:AH493),$AH$2:$AH$1001,0),1)&gt;=100000,INDEX($AO$1005:$BQ$1005,1,MATCH(COLUMNS($AO$1006:BM1006),$AO$1006:$BQ$1006,0))&gt;=100000), " ",IF(INDEX($AO$2:$BQ$1001,MATCH(ROWS($AH$2:AH493),$AH$2:$AH$1001,0),MATCH(COLUMNS($AO$1006:BM1006),$AO$1006:$BQ$1006,0)), HYPERLINK("#",""), HYPERLINK(CONCATENATE("#Metadata!", ADDRESS(INDEX($AJ$2:$AJ$1001,MATCH(ROWS($AH$2:AH493),$AH$2:$AH$1001,0),0), INDEX($AO$1004:$BQ$1004,1,MATCH(COLUMNS($AO$1006:BM1006),$AO$1006:$BQ$1006,0)))),"Fix")))</f>
        <v>#N/A</v>
      </c>
      <c r="AA493" s="5" t="e">
        <f ca="1">IF(OR(INDEX($AI$2:$AI$1001,MATCH(ROWS($AH$2:AH493),$AH$2:$AH$1001,0),1)&gt;=100000,INDEX($AO$1005:$BQ$1005,1,MATCH(COLUMNS($AO$1006:BN1006),$AO$1006:$BQ$1006,0))&gt;=100000), " ",IF(INDEX($AO$2:$BQ$1001,MATCH(ROWS($AH$2:AH493),$AH$2:$AH$1001,0),MATCH(COLUMNS($AO$1006:BN1006),$AO$1006:$BQ$1006,0)), HYPERLINK("#",""), HYPERLINK(CONCATENATE("#Metadata!", ADDRESS(INDEX($AJ$2:$AJ$1001,MATCH(ROWS($AH$2:AH493),$AH$2:$AH$1001,0),0), INDEX($AO$1004:$BQ$1004,1,MATCH(COLUMNS($AO$1006:BN1006),$AO$1006:$BQ$1006,0)))),"Fix")))</f>
        <v>#N/A</v>
      </c>
      <c r="AB493" s="5" t="e">
        <f ca="1">IF(OR(INDEX($AI$2:$AI$1001,MATCH(ROWS($AH$2:AH493),$AH$2:$AH$1001,0),1)&gt;=100000,INDEX($AO$1005:$BQ$1005,1,MATCH(COLUMNS($AO$1006:BO1006),$AO$1006:$BQ$1006,0))&gt;=100000), " ",IF(INDEX($AO$2:$BQ$1001,MATCH(ROWS($AH$2:AH493),$AH$2:$AH$1001,0),MATCH(COLUMNS($AO$1006:BO1006),$AO$1006:$BQ$1006,0)), HYPERLINK("#",""), HYPERLINK(CONCATENATE("#Metadata!", ADDRESS(INDEX($AJ$2:$AJ$1001,MATCH(ROWS($AH$2:AH493),$AH$2:$AH$1001,0),0), INDEX($AO$1004:$BQ$1004,1,MATCH(COLUMNS($AO$1006:BO1006),$AO$1006:$BQ$1006,0)))),"Fix")))</f>
        <v>#N/A</v>
      </c>
      <c r="AC493" s="5" t="e">
        <f ca="1">IF(OR(INDEX($AI$2:$AI$1001,MATCH(ROWS($AH$2:AH493),$AH$2:$AH$1001,0),1)&gt;=100000,INDEX($AO$1005:$BQ$1005,1,MATCH(COLUMNS($AO$1006:BP1006),$AO$1006:$BQ$1006,0))&gt;=100000), " ",IF(INDEX($AO$2:$BQ$1001,MATCH(ROWS($AH$2:AH493),$AH$2:$AH$1001,0),MATCH(COLUMNS($AO$1006:BP1006),$AO$1006:$BQ$1006,0)), HYPERLINK("#",""), HYPERLINK(CONCATENATE("#Metadata!", ADDRESS(INDEX($AJ$2:$AJ$1001,MATCH(ROWS($AH$2:AH493),$AH$2:$AH$1001,0),0), INDEX($AO$1004:$BQ$1004,1,MATCH(COLUMNS($AO$1006:BP1006),$AO$1006:$BQ$1006,0)))),"Fix")))</f>
        <v>#N/A</v>
      </c>
      <c r="AD493" s="5" t="e">
        <f ca="1">IF(OR(INDEX($AI$2:$AI$1001,MATCH(ROWS($AH$2:AH493),$AH$2:$AH$1001,0),1)&gt;=100000,INDEX($AO$1005:$BQ$1005,1,MATCH(COLUMNS($AO$1006:BQ1006),$AO$1006:$BQ$1006,0))&gt;=100000), " ",IF(INDEX($AO$2:$BQ$1001,MATCH(ROWS($AH$2:AH493),$AH$2:$AH$1001,0),MATCH(COLUMNS($AO$1006:BQ1006),$AO$1006:$BQ$1006,0)), HYPERLINK("#",""), HYPERLINK(CONCATENATE("#Metadata!", ADDRESS(INDEX($AJ$2:$AJ$1001,MATCH(ROWS($AH$2:AH493),$AH$2:$AH$1001,0),0), INDEX($AO$1004:$BQ$1004,1,MATCH(COLUMNS($AO$1006:BQ1006),$AO$1006:$BQ$1006,0)))),"Fix")))</f>
        <v>#REF!</v>
      </c>
      <c r="AH493">
        <f ca="1"/>
        <v>490</v>
      </c>
      <c r="AI493">
        <v>100493</v>
      </c>
      <c r="AJ493">
        <v>493</v>
      </c>
      <c r="AK493" t="b">
        <f t="shared" si="7"/>
        <v>1</v>
      </c>
      <c r="AL493" t="b">
        <f>COUNTBLANK(Metadata!B493:AD493)=COLUMNS(Metadata!B493:AD493)</f>
        <v>1</v>
      </c>
      <c r="AM493" t="str">
        <v/>
      </c>
      <c r="AO493" t="b">
        <f ca="1">AND(IF(Metadata!B493="",FALSE,TRUE),COUNTIF(Metadata!B:B, Metadata!B493) = 1,NOT(ISERROR(SUMPRODUCT(SEARCH(MID(Metadata!B493,ROW(INDIRECT("1:"&amp;LEN(Metadata!B493))), 1),"0123456789abcdefghijklmnopqrstuvwxyzABCDEFGHIJKLMNOPQRSTUVWXYZ.")))))</f>
        <v>0</v>
      </c>
      <c r="AP493" t="b">
        <f>IF(Metadata!C493="",FALSE,TRUE)</f>
        <v>0</v>
      </c>
      <c r="AQ493" t="b">
        <f>IF(Metadata!D493="",FALSE,TRUE)</f>
        <v>0</v>
      </c>
      <c r="AR493" t="b">
        <f ca="1">OR(AND(IF(Metadata!E493="",FALSE,TRUE),OR(EXACT(Metadata!E493,"not collected"),EXACT(Metadata!E493,"not provided"),EXACT(Metadata!E493,"restricted access"))),AND(IF(Metadata!E493="",FALSE,TRUE),AND(AND(IFERROR(INT(LEFT(Metadata!E493,4))&gt;1900,FALSE),IFERROR(INT(LEFT(Metadata!E493,4))&lt;=YEAR(NOW()),FALSE)), OR(MID(Metadata!E493,5,1)="", AND(AND(MID(Metadata!E493,5,1)="-",IFERROR(INT(MID(Metadata!E493,6,1))&gt;=0,FALSE),IFERROR(INT(MID(Metadata!E493,6,1))&lt;=1,FALSE),NOT(MID(Metadata!E493,7,1)=""),IFERROR(INT(MID(Metadata!E493,6,2))&gt;=1,FALSE),IFERROR(INT(MID(Metadata!E493,6,2))&lt;=12,FALSE)), OR(MID(Metadata!E493,8,1)="", AND(AND(MID(Metadata!E493,8,1)="-",IFERROR(INT(MID(Metadata!E493,9,1))&gt;=0,FALSE),IFERROR(INT(MID(Metadata!E493,9,1))&lt;=3,FALSE),NOT(MID(Metadata!E493,10,1)=""),IFERROR(INT(MID(Metadata!E493,9,2))&gt;=1,FALSE),IFERROR(INT(MID(Metadata!E493,9,2))&lt;=31,FALSE)), OR(MID(Metadata!E493,11,1)="", AND(AND(MID(Metadata!E493,11,1)=" ",IFERROR(INT(MID(Metadata!E493,12,1))&gt;=0,FALSE),IFERROR(INT(MID(Metadata!E493,12,1))&lt;=2,FALSE),NOT(MID(Metadata!E493,13,1)=""),IFERROR(INT(MID(Metadata!E493,12,2))&gt;=0,FALSE),IFERROR(INT(MID(Metadata!E493,12,2))&lt;=23,FALSE)), OR(MID(Metadata!E493,14,1)="", AND(AND(MID(Metadata!E493,14,1)=":",IFERROR(INT(MID(Metadata!E493,15,1))&gt;=0,FALSE),IFERROR(INT(MID(Metadata!E493,15,1))&lt;=5,FALSE),NOT(MID(Metadata!E493,16,1)=""),IFERROR(INT(MID(Metadata!E493,15,2))&gt;=0,FALSE),IFERROR(INT(MID(Metadata!E493,15,2))&lt;=59,FALSE)), OR(MID(Metadata!E493,17,1)="", AND(AND(MID(Metadata!E493,17,1)=":",IFERROR(INT(MID(Metadata!E493,18,1))&gt;=0,FALSE),IFERROR(INT(MID(Metadata!E493,18,1))&lt;=5,FALSE),NOT(MID(Metadata!E493,19,1)=""),IFERROR(INT(MID(Metadata!E493,18,2))&gt;=0,FALSE),IFERROR(INT(MID(Metadata!E493,18,2))&lt;=59,FALSE)), LEN(Metadata!E493)&lt;=19)))))))))))))</f>
        <v>0</v>
      </c>
      <c r="AS493" t="b">
        <f>IF(Metadata!F493="",FALSE,TRUE)</f>
        <v>0</v>
      </c>
      <c r="AT493" t="b">
        <f>OR(AND(IF(Metadata!G493="",FALSE,TRUE),OR(EXACT(Metadata!G493,"not collected"),EXACT(Metadata!G493,"not provided"))),AND(IF(Metadata!G493="",FALSE,TRUE),OR(EXACT(Metadata!G493,"TRUE"),EXACT(Metadata!G493,"FALSE"))))</f>
        <v>0</v>
      </c>
      <c r="AU493" t="b">
        <f>OR(AND(IF(Metadata!H493="",FALSE,TRUE),OR(EXACT(Metadata!H493,"not collected"),EXACT(Metadata!H493,"not provided"),EXACT(Metadata!H493,"restricted access"))),AND(IF(Metadata!H493="",FALSE,ISNUMBER(VALUE(Metadata!H493))),Metadata!H493&gt;=-413))</f>
        <v>0</v>
      </c>
      <c r="AV493" t="b">
        <f>AND(IF(Metadata!I493="",FALSE,TRUE),EXACT(Metadata!I493,"meters"))</f>
        <v>0</v>
      </c>
      <c r="AW493" t="b">
        <f>AND(IF(Metadata!J493="",FALSE,TRUE),EXACT(Metadata!J493,"free-living"))</f>
        <v>0</v>
      </c>
      <c r="AX493" t="b">
        <f>AND(IF(Metadata!K493="",FALSE,TRUE),OR(EXACT(Metadata!K493,"saline"),EXACT(Metadata!K493,"non-saline")))</f>
        <v>0</v>
      </c>
      <c r="AY493" t="b">
        <f>AND(IF(Metadata!L493="",FALSE,TRUE),OR(EXACT(Metadata!L493,"sub-surface (non-saline)"),EXACT(Metadata!L493,"surface (non-saline)"),EXACT(Metadata!L493,"water (non-saline)"),EXACT(Metadata!L493,"soil (non-saline)"),EXACT(Metadata!L493,"aerosol (non-saline)"),EXACT(Metadata!L493,"sediment (non-saline)"),EXACT(Metadata!L493,"surface (saline)"),EXACT(Metadata!L493,"water (saline)"),EXACT(Metadata!L493,"hypersaline (saline)"),EXACT(Metadata!L493,"aerosol (saline)"),EXACT(Metadata!L493,"sediment (saline)")))</f>
        <v>0</v>
      </c>
      <c r="AZ493" t="b">
        <f>IF(Metadata!M493="",FALSE,TRUE)</f>
        <v>0</v>
      </c>
      <c r="BA493" t="b">
        <f>IF(Metadata!N493="",FALSE,TRUE)</f>
        <v>0</v>
      </c>
      <c r="BB493" t="b">
        <f>IF(Metadata!O493="",FALSE,TRUE)</f>
        <v>0</v>
      </c>
      <c r="BC493" t="b">
        <f>AND(IF(Metadata!P493="",FALSE,TRUE),OR(EXACT(Metadata!P493,"air"),EXACT(Metadata!P493,"microbial mat/biofilm"),EXACT(Metadata!P493,"misc environment"),EXACT(Metadata!P493,"sediment"),EXACT(Metadata!P493,"soil"),EXACT(Metadata!P493,"wastewater/sludge"),EXACT(Metadata!P493,"water")))</f>
        <v>0</v>
      </c>
      <c r="BD493" t="b">
        <f>IF(Metadata!Q493="",FALSE,TRUE)</f>
        <v>0</v>
      </c>
      <c r="BE493" t="b">
        <f>IF(Metadata!R493="",FALSE,TRUE)</f>
        <v>0</v>
      </c>
      <c r="BF493" t="b">
        <f>OR(AND(IF(Metadata!S493="",FALSE,TRUE),OR(EXACT(Metadata!S493,"not collected"),EXACT(Metadata!S493,"not provided"),EXACT(Metadata!S493,"restricted access"))),AND(IF(Metadata!S493="",FALSE,ISNUMBER(VALUE(Metadata!S493))),Metadata!S493&gt;=-90,Metadata!S493&lt;=90))</f>
        <v>0</v>
      </c>
      <c r="BG493" t="b">
        <f>AND(IF(Metadata!T493="",FALSE,TRUE),EXACT(Metadata!T493,"Decimal degrees"))</f>
        <v>0</v>
      </c>
      <c r="BH493" t="b">
        <f>OR(AND(IF(Metadata!U493="",FALSE,TRUE),OR(EXACT(Metadata!U493,"not applicable"),EXACT(Metadata!U493,"not collected"))),IF(Metadata!U493="",FALSE,TRUE))</f>
        <v>0</v>
      </c>
      <c r="BI493" t="b">
        <f>OR(AND(IF(Metadata!V493="",FALSE,TRUE),OR(EXACT(Metadata!V493,"not collected"),EXACT(Metadata!V493,"not provided"),EXACT(Metadata!V493,"restricted access"))),AND(IF(Metadata!V493="",FALSE,ISNUMBER(VALUE(Metadata!V493))),Metadata!V493&gt;=-180,Metadata!V493&lt;=180))</f>
        <v>0</v>
      </c>
      <c r="BJ493" t="b">
        <f>AND(IF(Metadata!W493="",FALSE,TRUE),EXACT(Metadata!W493,"Decimal degrees"))</f>
        <v>0</v>
      </c>
      <c r="BK493" t="b">
        <f>IF(Metadata!X493="",FALSE,TRUE)</f>
        <v>0</v>
      </c>
      <c r="BL493" t="b">
        <f>OR(AND(IF(Metadata!Y493="",FALSE,TRUE),OR(EXACT(Metadata!Y493,"not collected"),EXACT(Metadata!Y493,"not provided"),EXACT(Metadata!Y493,"restricted access"))),AND(IF(Metadata!Y493="",FALSE,TRUE),OR(EXACT(Metadata!Y493,"TRUE"),EXACT(Metadata!Y493,"FALSE"))))</f>
        <v>0</v>
      </c>
      <c r="BM493" t="b">
        <f>OR(AND(IF(Metadata!Z493="",FALSE,TRUE),EXACT(Metadata!Z493,"not applicable")),AND(IF(Metadata!Z493="",FALSE,TRUE),OR(EXACT(Metadata!Z493,"beer"),EXACT(Metadata!Z493,"cheese"),EXACT(Metadata!Z493,"fresh water"),EXACT(Metadata!Z493,"marine sediment"),EXACT(Metadata!Z493,"sea water"),EXACT(Metadata!Z493,"sediment"),EXACT(Metadata!Z493,"soil"),EXACT(Metadata!Z493,"waste water"))))</f>
        <v>0</v>
      </c>
      <c r="BN493" t="b">
        <f>AND(IF(Metadata!AA493="",FALSE,TRUE),EXACT(Metadata!AA493,"metagenome"))</f>
        <v>0</v>
      </c>
      <c r="BO493" t="b">
        <f>AND(IF(Metadata!AB493="",FALSE,TRUE),EXACT(Metadata!AB493,"256318"))</f>
        <v>0</v>
      </c>
      <c r="BP493" t="b">
        <f>IF(Metadata!AC493="",FALSE,TRUE)</f>
        <v>0</v>
      </c>
      <c r="BQ493" t="b">
        <f>IF(Metadata!AD493="",FALSE,TRUE)</f>
        <v>0</v>
      </c>
    </row>
    <row r="494" spans="1:69" x14ac:dyDescent="0.2">
      <c r="A494" s="4" t="e">
        <f ca="1">IF(B494=" "," ",HYPERLINK(CONCATENATE("#metadata!",ADDRESS(INDEX($AJ$2:$AJ$1001,MATCH(ROWS($AH$2:AH494),$AH$2:$AH$1001,0),0),2)),INDEX($AM$2:$AM$1001,MATCH(ROWS($AH$2:AH494),$AH$2:$AH$1001,0),0)))</f>
        <v>#N/A</v>
      </c>
      <c r="B494" s="5" t="e">
        <f ca="1">IF(OR(INDEX($AI$2:$AI$1001,MATCH(ROWS($AH$2:AH494),$AH$2:$AH$1001,0),1)&gt;=100000,INDEX($AO$1005:$BQ$1005,1,MATCH(COLUMNS($AO$1006:AO1006),$AO$1006:$BQ$1006,0))&gt;=100000), " ",IF(INDEX($AO$2:$BQ$1001,MATCH(ROWS($AH$2:AH494),$AH$2:$AH$1001,0),MATCH(COLUMNS($AO$1006:AO1006),$AO$1006:$BQ$1006,0)), HYPERLINK("#",""), HYPERLINK(CONCATENATE("#Metadata!", ADDRESS(INDEX($AJ$2:$AJ$1001,MATCH(ROWS($AH$2:AH494),$AH$2:$AH$1001,0),0), INDEX($AO$1004:$BQ$1004,1,MATCH(COLUMNS($AO$1006:AO1006),$AO$1006:$BQ$1006,0)))),"Fix")))</f>
        <v>#N/A</v>
      </c>
      <c r="C494" s="5" t="e">
        <f ca="1">IF(OR(INDEX($AI$2:$AI$1001,MATCH(ROWS($AH$2:AH494),$AH$2:$AH$1001,0),1)&gt;=100000,INDEX($AO$1005:$BQ$1005,1,MATCH(COLUMNS($AO$1006:AP1006),$AO$1006:$BQ$1006,0))&gt;=100000), " ",IF(INDEX($AO$2:$BQ$1001,MATCH(ROWS($AH$2:AH494),$AH$2:$AH$1001,0),MATCH(COLUMNS($AO$1006:AP1006),$AO$1006:$BQ$1006,0)), HYPERLINK("#",""), HYPERLINK(CONCATENATE("#Metadata!", ADDRESS(INDEX($AJ$2:$AJ$1001,MATCH(ROWS($AH$2:AH494),$AH$2:$AH$1001,0),0), INDEX($AO$1004:$BQ$1004,1,MATCH(COLUMNS($AO$1006:AP1006),$AO$1006:$BQ$1006,0)))),"Fix")))</f>
        <v>#N/A</v>
      </c>
      <c r="D494" s="5" t="e">
        <f ca="1">IF(OR(INDEX($AI$2:$AI$1001,MATCH(ROWS($AH$2:AH494),$AH$2:$AH$1001,0),1)&gt;=100000,INDEX($AO$1005:$BQ$1005,1,MATCH(COLUMNS($AO$1006:AQ1006),$AO$1006:$BQ$1006,0))&gt;=100000), " ",IF(INDEX($AO$2:$BQ$1001,MATCH(ROWS($AH$2:AH494),$AH$2:$AH$1001,0),MATCH(COLUMNS($AO$1006:AQ1006),$AO$1006:$BQ$1006,0)), HYPERLINK("#",""), HYPERLINK(CONCATENATE("#Metadata!", ADDRESS(INDEX($AJ$2:$AJ$1001,MATCH(ROWS($AH$2:AH494),$AH$2:$AH$1001,0),0), INDEX($AO$1004:$BQ$1004,1,MATCH(COLUMNS($AO$1006:AQ1006),$AO$1006:$BQ$1006,0)))),"Fix")))</f>
        <v>#N/A</v>
      </c>
      <c r="E494" s="5" t="e">
        <f ca="1">IF(OR(INDEX($AI$2:$AI$1001,MATCH(ROWS($AH$2:AH494),$AH$2:$AH$1001,0),1)&gt;=100000,INDEX($AO$1005:$BQ$1005,1,MATCH(COLUMNS($AO$1006:AR1006),$AO$1006:$BQ$1006,0))&gt;=100000), " ",IF(INDEX($AO$2:$BQ$1001,MATCH(ROWS($AH$2:AH494),$AH$2:$AH$1001,0),MATCH(COLUMNS($AO$1006:AR1006),$AO$1006:$BQ$1006,0)), HYPERLINK("#",""), HYPERLINK(CONCATENATE("#Metadata!", ADDRESS(INDEX($AJ$2:$AJ$1001,MATCH(ROWS($AH$2:AH494),$AH$2:$AH$1001,0),0), INDEX($AO$1004:$BQ$1004,1,MATCH(COLUMNS($AO$1006:AR1006),$AO$1006:$BQ$1006,0)))),"Fix")))</f>
        <v>#N/A</v>
      </c>
      <c r="F494" s="5" t="e">
        <f ca="1">IF(OR(INDEX($AI$2:$AI$1001,MATCH(ROWS($AH$2:AH494),$AH$2:$AH$1001,0),1)&gt;=100000,INDEX($AO$1005:$BQ$1005,1,MATCH(COLUMNS($AO$1006:AS1006),$AO$1006:$BQ$1006,0))&gt;=100000), " ",IF(INDEX($AO$2:$BQ$1001,MATCH(ROWS($AH$2:AH494),$AH$2:$AH$1001,0),MATCH(COLUMNS($AO$1006:AS1006),$AO$1006:$BQ$1006,0)), HYPERLINK("#",""), HYPERLINK(CONCATENATE("#Metadata!", ADDRESS(INDEX($AJ$2:$AJ$1001,MATCH(ROWS($AH$2:AH494),$AH$2:$AH$1001,0),0), INDEX($AO$1004:$BQ$1004,1,MATCH(COLUMNS($AO$1006:AS1006),$AO$1006:$BQ$1006,0)))),"Fix")))</f>
        <v>#N/A</v>
      </c>
      <c r="G494" s="5" t="e">
        <f ca="1">IF(OR(INDEX($AI$2:$AI$1001,MATCH(ROWS($AH$2:AH494),$AH$2:$AH$1001,0),1)&gt;=100000,INDEX($AO$1005:$BQ$1005,1,MATCH(COLUMNS($AO$1006:AT1006),$AO$1006:$BQ$1006,0))&gt;=100000), " ",IF(INDEX($AO$2:$BQ$1001,MATCH(ROWS($AH$2:AH494),$AH$2:$AH$1001,0),MATCH(COLUMNS($AO$1006:AT1006),$AO$1006:$BQ$1006,0)), HYPERLINK("#",""), HYPERLINK(CONCATENATE("#Metadata!", ADDRESS(INDEX($AJ$2:$AJ$1001,MATCH(ROWS($AH$2:AH494),$AH$2:$AH$1001,0),0), INDEX($AO$1004:$BQ$1004,1,MATCH(COLUMNS($AO$1006:AT1006),$AO$1006:$BQ$1006,0)))),"Fix")))</f>
        <v>#N/A</v>
      </c>
      <c r="H494" s="5" t="e">
        <f ca="1">IF(OR(INDEX($AI$2:$AI$1001,MATCH(ROWS($AH$2:AH494),$AH$2:$AH$1001,0),1)&gt;=100000,INDEX($AO$1005:$BQ$1005,1,MATCH(COLUMNS($AO$1006:AU1006),$AO$1006:$BQ$1006,0))&gt;=100000), " ",IF(INDEX($AO$2:$BQ$1001,MATCH(ROWS($AH$2:AH494),$AH$2:$AH$1001,0),MATCH(COLUMNS($AO$1006:AU1006),$AO$1006:$BQ$1006,0)), HYPERLINK("#",""), HYPERLINK(CONCATENATE("#Metadata!", ADDRESS(INDEX($AJ$2:$AJ$1001,MATCH(ROWS($AH$2:AH494),$AH$2:$AH$1001,0),0), INDEX($AO$1004:$BQ$1004,1,MATCH(COLUMNS($AO$1006:AU1006),$AO$1006:$BQ$1006,0)))),"Fix")))</f>
        <v>#N/A</v>
      </c>
      <c r="I494" s="5" t="e">
        <f ca="1">IF(OR(INDEX($AI$2:$AI$1001,MATCH(ROWS($AH$2:AH494),$AH$2:$AH$1001,0),1)&gt;=100000,INDEX($AO$1005:$BQ$1005,1,MATCH(COLUMNS($AO$1006:AV1006),$AO$1006:$BQ$1006,0))&gt;=100000), " ",IF(INDEX($AO$2:$BQ$1001,MATCH(ROWS($AH$2:AH494),$AH$2:$AH$1001,0),MATCH(COLUMNS($AO$1006:AV1006),$AO$1006:$BQ$1006,0)), HYPERLINK("#",""), HYPERLINK(CONCATENATE("#Metadata!", ADDRESS(INDEX($AJ$2:$AJ$1001,MATCH(ROWS($AH$2:AH494),$AH$2:$AH$1001,0),0), INDEX($AO$1004:$BQ$1004,1,MATCH(COLUMNS($AO$1006:AV1006),$AO$1006:$BQ$1006,0)))),"Fix")))</f>
        <v>#N/A</v>
      </c>
      <c r="J494" s="5" t="e">
        <f ca="1">IF(OR(INDEX($AI$2:$AI$1001,MATCH(ROWS($AH$2:AH494),$AH$2:$AH$1001,0),1)&gt;=100000,INDEX($AO$1005:$BQ$1005,1,MATCH(COLUMNS($AO$1006:AW1006),$AO$1006:$BQ$1006,0))&gt;=100000), " ",IF(INDEX($AO$2:$BQ$1001,MATCH(ROWS($AH$2:AH494),$AH$2:$AH$1001,0),MATCH(COLUMNS($AO$1006:AW1006),$AO$1006:$BQ$1006,0)), HYPERLINK("#",""), HYPERLINK(CONCATENATE("#Metadata!", ADDRESS(INDEX($AJ$2:$AJ$1001,MATCH(ROWS($AH$2:AH494),$AH$2:$AH$1001,0),0), INDEX($AO$1004:$BQ$1004,1,MATCH(COLUMNS($AO$1006:AW1006),$AO$1006:$BQ$1006,0)))),"Fix")))</f>
        <v>#N/A</v>
      </c>
      <c r="K494" s="5" t="e">
        <f ca="1">IF(OR(INDEX($AI$2:$AI$1001,MATCH(ROWS($AH$2:AH494),$AH$2:$AH$1001,0),1)&gt;=100000,INDEX($AO$1005:$BQ$1005,1,MATCH(COLUMNS($AO$1006:AX1006),$AO$1006:$BQ$1006,0))&gt;=100000), " ",IF(INDEX($AO$2:$BQ$1001,MATCH(ROWS($AH$2:AH494),$AH$2:$AH$1001,0),MATCH(COLUMNS($AO$1006:AX1006),$AO$1006:$BQ$1006,0)), HYPERLINK("#",""), HYPERLINK(CONCATENATE("#Metadata!", ADDRESS(INDEX($AJ$2:$AJ$1001,MATCH(ROWS($AH$2:AH494),$AH$2:$AH$1001,0),0), INDEX($AO$1004:$BQ$1004,1,MATCH(COLUMNS($AO$1006:AX1006),$AO$1006:$BQ$1006,0)))),"Fix")))</f>
        <v>#N/A</v>
      </c>
      <c r="L494" s="5" t="e">
        <f ca="1">IF(OR(INDEX($AI$2:$AI$1001,MATCH(ROWS($AH$2:AH494),$AH$2:$AH$1001,0),1)&gt;=100000,INDEX($AO$1005:$BQ$1005,1,MATCH(COLUMNS($AO$1006:AY1006),$AO$1006:$BQ$1006,0))&gt;=100000), " ",IF(INDEX($AO$2:$BQ$1001,MATCH(ROWS($AH$2:AH494),$AH$2:$AH$1001,0),MATCH(COLUMNS($AO$1006:AY1006),$AO$1006:$BQ$1006,0)), HYPERLINK("#",""), HYPERLINK(CONCATENATE("#Metadata!", ADDRESS(INDEX($AJ$2:$AJ$1001,MATCH(ROWS($AH$2:AH494),$AH$2:$AH$1001,0),0), INDEX($AO$1004:$BQ$1004,1,MATCH(COLUMNS($AO$1006:AY1006),$AO$1006:$BQ$1006,0)))),"Fix")))</f>
        <v>#N/A</v>
      </c>
      <c r="M494" s="5" t="e">
        <f ca="1">IF(OR(INDEX($AI$2:$AI$1001,MATCH(ROWS($AH$2:AH494),$AH$2:$AH$1001,0),1)&gt;=100000,INDEX($AO$1005:$BQ$1005,1,MATCH(COLUMNS($AO$1006:AZ1006),$AO$1006:$BQ$1006,0))&gt;=100000), " ",IF(INDEX($AO$2:$BQ$1001,MATCH(ROWS($AH$2:AH494),$AH$2:$AH$1001,0),MATCH(COLUMNS($AO$1006:AZ1006),$AO$1006:$BQ$1006,0)), HYPERLINK("#",""), HYPERLINK(CONCATENATE("#Metadata!", ADDRESS(INDEX($AJ$2:$AJ$1001,MATCH(ROWS($AH$2:AH494),$AH$2:$AH$1001,0),0), INDEX($AO$1004:$BQ$1004,1,MATCH(COLUMNS($AO$1006:AZ1006),$AO$1006:$BQ$1006,0)))),"Fix")))</f>
        <v>#N/A</v>
      </c>
      <c r="N494" s="5" t="e">
        <f ca="1">IF(OR(INDEX($AI$2:$AI$1001,MATCH(ROWS($AH$2:AH494),$AH$2:$AH$1001,0),1)&gt;=100000,INDEX($AO$1005:$BQ$1005,1,MATCH(COLUMNS($AO$1006:BA1006),$AO$1006:$BQ$1006,0))&gt;=100000), " ",IF(INDEX($AO$2:$BQ$1001,MATCH(ROWS($AH$2:AH494),$AH$2:$AH$1001,0),MATCH(COLUMNS($AO$1006:BA1006),$AO$1006:$BQ$1006,0)), HYPERLINK("#",""), HYPERLINK(CONCATENATE("#Metadata!", ADDRESS(INDEX($AJ$2:$AJ$1001,MATCH(ROWS($AH$2:AH494),$AH$2:$AH$1001,0),0), INDEX($AO$1004:$BQ$1004,1,MATCH(COLUMNS($AO$1006:BA1006),$AO$1006:$BQ$1006,0)))),"Fix")))</f>
        <v>#N/A</v>
      </c>
      <c r="O494" s="5" t="e">
        <f ca="1">IF(OR(INDEX($AI$2:$AI$1001,MATCH(ROWS($AH$2:AH494),$AH$2:$AH$1001,0),1)&gt;=100000,INDEX($AO$1005:$BQ$1005,1,MATCH(COLUMNS($AO$1006:BB1006),$AO$1006:$BQ$1006,0))&gt;=100000), " ",IF(INDEX($AO$2:$BQ$1001,MATCH(ROWS($AH$2:AH494),$AH$2:$AH$1001,0),MATCH(COLUMNS($AO$1006:BB1006),$AO$1006:$BQ$1006,0)), HYPERLINK("#",""), HYPERLINK(CONCATENATE("#Metadata!", ADDRESS(INDEX($AJ$2:$AJ$1001,MATCH(ROWS($AH$2:AH494),$AH$2:$AH$1001,0),0), INDEX($AO$1004:$BQ$1004,1,MATCH(COLUMNS($AO$1006:BB1006),$AO$1006:$BQ$1006,0)))),"Fix")))</f>
        <v>#N/A</v>
      </c>
      <c r="P494" s="5" t="e">
        <f ca="1">IF(OR(INDEX($AI$2:$AI$1001,MATCH(ROWS($AH$2:AH494),$AH$2:$AH$1001,0),1)&gt;=100000,INDEX($AO$1005:$BQ$1005,1,MATCH(COLUMNS($AO$1006:BC1006),$AO$1006:$BQ$1006,0))&gt;=100000), " ",IF(INDEX($AO$2:$BQ$1001,MATCH(ROWS($AH$2:AH494),$AH$2:$AH$1001,0),MATCH(COLUMNS($AO$1006:BC1006),$AO$1006:$BQ$1006,0)), HYPERLINK("#",""), HYPERLINK(CONCATENATE("#Metadata!", ADDRESS(INDEX($AJ$2:$AJ$1001,MATCH(ROWS($AH$2:AH494),$AH$2:$AH$1001,0),0), INDEX($AO$1004:$BQ$1004,1,MATCH(COLUMNS($AO$1006:BC1006),$AO$1006:$BQ$1006,0)))),"Fix")))</f>
        <v>#N/A</v>
      </c>
      <c r="Q494" s="5" t="e">
        <f ca="1">IF(OR(INDEX($AI$2:$AI$1001,MATCH(ROWS($AH$2:AH494),$AH$2:$AH$1001,0),1)&gt;=100000,INDEX($AO$1005:$BQ$1005,1,MATCH(COLUMNS($AO$1006:BD1006),$AO$1006:$BQ$1006,0))&gt;=100000), " ",IF(INDEX($AO$2:$BQ$1001,MATCH(ROWS($AH$2:AH494),$AH$2:$AH$1001,0),MATCH(COLUMNS($AO$1006:BD1006),$AO$1006:$BQ$1006,0)), HYPERLINK("#",""), HYPERLINK(CONCATENATE("#Metadata!", ADDRESS(INDEX($AJ$2:$AJ$1001,MATCH(ROWS($AH$2:AH494),$AH$2:$AH$1001,0),0), INDEX($AO$1004:$BQ$1004,1,MATCH(COLUMNS($AO$1006:BD1006),$AO$1006:$BQ$1006,0)))),"Fix")))</f>
        <v>#N/A</v>
      </c>
      <c r="R494" s="5" t="e">
        <f ca="1">IF(OR(INDEX($AI$2:$AI$1001,MATCH(ROWS($AH$2:AH494),$AH$2:$AH$1001,0),1)&gt;=100000,INDEX($AO$1005:$BQ$1005,1,MATCH(COLUMNS($AO$1006:BE1006),$AO$1006:$BQ$1006,0))&gt;=100000), " ",IF(INDEX($AO$2:$BQ$1001,MATCH(ROWS($AH$2:AH494),$AH$2:$AH$1001,0),MATCH(COLUMNS($AO$1006:BE1006),$AO$1006:$BQ$1006,0)), HYPERLINK("#",""), HYPERLINK(CONCATENATE("#Metadata!", ADDRESS(INDEX($AJ$2:$AJ$1001,MATCH(ROWS($AH$2:AH494),$AH$2:$AH$1001,0),0), INDEX($AO$1004:$BQ$1004,1,MATCH(COLUMNS($AO$1006:BE1006),$AO$1006:$BQ$1006,0)))),"Fix")))</f>
        <v>#N/A</v>
      </c>
      <c r="S494" s="5" t="e">
        <f ca="1">IF(OR(INDEX($AI$2:$AI$1001,MATCH(ROWS($AH$2:AH494),$AH$2:$AH$1001,0),1)&gt;=100000,INDEX($AO$1005:$BQ$1005,1,MATCH(COLUMNS($AO$1006:BF1006),$AO$1006:$BQ$1006,0))&gt;=100000), " ",IF(INDEX($AO$2:$BQ$1001,MATCH(ROWS($AH$2:AH494),$AH$2:$AH$1001,0),MATCH(COLUMNS($AO$1006:BF1006),$AO$1006:$BQ$1006,0)), HYPERLINK("#",""), HYPERLINK(CONCATENATE("#Metadata!", ADDRESS(INDEX($AJ$2:$AJ$1001,MATCH(ROWS($AH$2:AH494),$AH$2:$AH$1001,0),0), INDEX($AO$1004:$BQ$1004,1,MATCH(COLUMNS($AO$1006:BF1006),$AO$1006:$BQ$1006,0)))),"Fix")))</f>
        <v>#N/A</v>
      </c>
      <c r="T494" s="5" t="e">
        <f ca="1">IF(OR(INDEX($AI$2:$AI$1001,MATCH(ROWS($AH$2:AH494),$AH$2:$AH$1001,0),1)&gt;=100000,INDEX($AO$1005:$BQ$1005,1,MATCH(COLUMNS($AO$1006:BG1006),$AO$1006:$BQ$1006,0))&gt;=100000), " ",IF(INDEX($AO$2:$BQ$1001,MATCH(ROWS($AH$2:AH494),$AH$2:$AH$1001,0),MATCH(COLUMNS($AO$1006:BG1006),$AO$1006:$BQ$1006,0)), HYPERLINK("#",""), HYPERLINK(CONCATENATE("#Metadata!", ADDRESS(INDEX($AJ$2:$AJ$1001,MATCH(ROWS($AH$2:AH494),$AH$2:$AH$1001,0),0), INDEX($AO$1004:$BQ$1004,1,MATCH(COLUMNS($AO$1006:BG1006),$AO$1006:$BQ$1006,0)))),"Fix")))</f>
        <v>#N/A</v>
      </c>
      <c r="U494" s="5" t="e">
        <f ca="1">IF(OR(INDEX($AI$2:$AI$1001,MATCH(ROWS($AH$2:AH494),$AH$2:$AH$1001,0),1)&gt;=100000,INDEX($AO$1005:$BQ$1005,1,MATCH(COLUMNS($AO$1006:BH1006),$AO$1006:$BQ$1006,0))&gt;=100000), " ",IF(INDEX($AO$2:$BQ$1001,MATCH(ROWS($AH$2:AH494),$AH$2:$AH$1001,0),MATCH(COLUMNS($AO$1006:BH1006),$AO$1006:$BQ$1006,0)), HYPERLINK("#",""), HYPERLINK(CONCATENATE("#Metadata!", ADDRESS(INDEX($AJ$2:$AJ$1001,MATCH(ROWS($AH$2:AH494),$AH$2:$AH$1001,0),0), INDEX($AO$1004:$BQ$1004,1,MATCH(COLUMNS($AO$1006:BH1006),$AO$1006:$BQ$1006,0)))),"Fix")))</f>
        <v>#N/A</v>
      </c>
      <c r="V494" s="5" t="e">
        <f ca="1">IF(OR(INDEX($AI$2:$AI$1001,MATCH(ROWS($AH$2:AH494),$AH$2:$AH$1001,0),1)&gt;=100000,INDEX($AO$1005:$BQ$1005,1,MATCH(COLUMNS($AO$1006:BI1006),$AO$1006:$BQ$1006,0))&gt;=100000), " ",IF(INDEX($AO$2:$BQ$1001,MATCH(ROWS($AH$2:AH494),$AH$2:$AH$1001,0),MATCH(COLUMNS($AO$1006:BI1006),$AO$1006:$BQ$1006,0)), HYPERLINK("#",""), HYPERLINK(CONCATENATE("#Metadata!", ADDRESS(INDEX($AJ$2:$AJ$1001,MATCH(ROWS($AH$2:AH494),$AH$2:$AH$1001,0),0), INDEX($AO$1004:$BQ$1004,1,MATCH(COLUMNS($AO$1006:BI1006),$AO$1006:$BQ$1006,0)))),"Fix")))</f>
        <v>#N/A</v>
      </c>
      <c r="W494" s="5" t="e">
        <f ca="1">IF(OR(INDEX($AI$2:$AI$1001,MATCH(ROWS($AH$2:AH494),$AH$2:$AH$1001,0),1)&gt;=100000,INDEX($AO$1005:$BQ$1005,1,MATCH(COLUMNS($AO$1006:BJ1006),$AO$1006:$BQ$1006,0))&gt;=100000), " ",IF(INDEX($AO$2:$BQ$1001,MATCH(ROWS($AH$2:AH494),$AH$2:$AH$1001,0),MATCH(COLUMNS($AO$1006:BJ1006),$AO$1006:$BQ$1006,0)), HYPERLINK("#",""), HYPERLINK(CONCATENATE("#Metadata!", ADDRESS(INDEX($AJ$2:$AJ$1001,MATCH(ROWS($AH$2:AH494),$AH$2:$AH$1001,0),0), INDEX($AO$1004:$BQ$1004,1,MATCH(COLUMNS($AO$1006:BJ1006),$AO$1006:$BQ$1006,0)))),"Fix")))</f>
        <v>#N/A</v>
      </c>
      <c r="X494" s="5" t="e">
        <f ca="1">IF(OR(INDEX($AI$2:$AI$1001,MATCH(ROWS($AH$2:AH494),$AH$2:$AH$1001,0),1)&gt;=100000,INDEX($AO$1005:$BQ$1005,1,MATCH(COLUMNS($AO$1006:BK1006),$AO$1006:$BQ$1006,0))&gt;=100000), " ",IF(INDEX($AO$2:$BQ$1001,MATCH(ROWS($AH$2:AH494),$AH$2:$AH$1001,0),MATCH(COLUMNS($AO$1006:BK1006),$AO$1006:$BQ$1006,0)), HYPERLINK("#",""), HYPERLINK(CONCATENATE("#Metadata!", ADDRESS(INDEX($AJ$2:$AJ$1001,MATCH(ROWS($AH$2:AH494),$AH$2:$AH$1001,0),0), INDEX($AO$1004:$BQ$1004,1,MATCH(COLUMNS($AO$1006:BK1006),$AO$1006:$BQ$1006,0)))),"Fix")))</f>
        <v>#N/A</v>
      </c>
      <c r="Y494" s="5" t="e">
        <f ca="1">IF(OR(INDEX($AI$2:$AI$1001,MATCH(ROWS($AH$2:AH494),$AH$2:$AH$1001,0),1)&gt;=100000,INDEX($AO$1005:$BQ$1005,1,MATCH(COLUMNS($AO$1006:BL1006),$AO$1006:$BQ$1006,0))&gt;=100000), " ",IF(INDEX($AO$2:$BQ$1001,MATCH(ROWS($AH$2:AH494),$AH$2:$AH$1001,0),MATCH(COLUMNS($AO$1006:BL1006),$AO$1006:$BQ$1006,0)), HYPERLINK("#",""), HYPERLINK(CONCATENATE("#Metadata!", ADDRESS(INDEX($AJ$2:$AJ$1001,MATCH(ROWS($AH$2:AH494),$AH$2:$AH$1001,0),0), INDEX($AO$1004:$BQ$1004,1,MATCH(COLUMNS($AO$1006:BL1006),$AO$1006:$BQ$1006,0)))),"Fix")))</f>
        <v>#N/A</v>
      </c>
      <c r="Z494" s="5" t="e">
        <f ca="1">IF(OR(INDEX($AI$2:$AI$1001,MATCH(ROWS($AH$2:AH494),$AH$2:$AH$1001,0),1)&gt;=100000,INDEX($AO$1005:$BQ$1005,1,MATCH(COLUMNS($AO$1006:BM1006),$AO$1006:$BQ$1006,0))&gt;=100000), " ",IF(INDEX($AO$2:$BQ$1001,MATCH(ROWS($AH$2:AH494),$AH$2:$AH$1001,0),MATCH(COLUMNS($AO$1006:BM1006),$AO$1006:$BQ$1006,0)), HYPERLINK("#",""), HYPERLINK(CONCATENATE("#Metadata!", ADDRESS(INDEX($AJ$2:$AJ$1001,MATCH(ROWS($AH$2:AH494),$AH$2:$AH$1001,0),0), INDEX($AO$1004:$BQ$1004,1,MATCH(COLUMNS($AO$1006:BM1006),$AO$1006:$BQ$1006,0)))),"Fix")))</f>
        <v>#N/A</v>
      </c>
      <c r="AA494" s="5" t="e">
        <f ca="1">IF(OR(INDEX($AI$2:$AI$1001,MATCH(ROWS($AH$2:AH494),$AH$2:$AH$1001,0),1)&gt;=100000,INDEX($AO$1005:$BQ$1005,1,MATCH(COLUMNS($AO$1006:BN1006),$AO$1006:$BQ$1006,0))&gt;=100000), " ",IF(INDEX($AO$2:$BQ$1001,MATCH(ROWS($AH$2:AH494),$AH$2:$AH$1001,0),MATCH(COLUMNS($AO$1006:BN1006),$AO$1006:$BQ$1006,0)), HYPERLINK("#",""), HYPERLINK(CONCATENATE("#Metadata!", ADDRESS(INDEX($AJ$2:$AJ$1001,MATCH(ROWS($AH$2:AH494),$AH$2:$AH$1001,0),0), INDEX($AO$1004:$BQ$1004,1,MATCH(COLUMNS($AO$1006:BN1006),$AO$1006:$BQ$1006,0)))),"Fix")))</f>
        <v>#N/A</v>
      </c>
      <c r="AB494" s="5" t="e">
        <f ca="1">IF(OR(INDEX($AI$2:$AI$1001,MATCH(ROWS($AH$2:AH494),$AH$2:$AH$1001,0),1)&gt;=100000,INDEX($AO$1005:$BQ$1005,1,MATCH(COLUMNS($AO$1006:BO1006),$AO$1006:$BQ$1006,0))&gt;=100000), " ",IF(INDEX($AO$2:$BQ$1001,MATCH(ROWS($AH$2:AH494),$AH$2:$AH$1001,0),MATCH(COLUMNS($AO$1006:BO1006),$AO$1006:$BQ$1006,0)), HYPERLINK("#",""), HYPERLINK(CONCATENATE("#Metadata!", ADDRESS(INDEX($AJ$2:$AJ$1001,MATCH(ROWS($AH$2:AH494),$AH$2:$AH$1001,0),0), INDEX($AO$1004:$BQ$1004,1,MATCH(COLUMNS($AO$1006:BO1006),$AO$1006:$BQ$1006,0)))),"Fix")))</f>
        <v>#N/A</v>
      </c>
      <c r="AC494" s="5" t="e">
        <f ca="1">IF(OR(INDEX($AI$2:$AI$1001,MATCH(ROWS($AH$2:AH494),$AH$2:$AH$1001,0),1)&gt;=100000,INDEX($AO$1005:$BQ$1005,1,MATCH(COLUMNS($AO$1006:BP1006),$AO$1006:$BQ$1006,0))&gt;=100000), " ",IF(INDEX($AO$2:$BQ$1001,MATCH(ROWS($AH$2:AH494),$AH$2:$AH$1001,0),MATCH(COLUMNS($AO$1006:BP1006),$AO$1006:$BQ$1006,0)), HYPERLINK("#",""), HYPERLINK(CONCATENATE("#Metadata!", ADDRESS(INDEX($AJ$2:$AJ$1001,MATCH(ROWS($AH$2:AH494),$AH$2:$AH$1001,0),0), INDEX($AO$1004:$BQ$1004,1,MATCH(COLUMNS($AO$1006:BP1006),$AO$1006:$BQ$1006,0)))),"Fix")))</f>
        <v>#N/A</v>
      </c>
      <c r="AD494" s="5" t="e">
        <f ca="1">IF(OR(INDEX($AI$2:$AI$1001,MATCH(ROWS($AH$2:AH494),$AH$2:$AH$1001,0),1)&gt;=100000,INDEX($AO$1005:$BQ$1005,1,MATCH(COLUMNS($AO$1006:BQ1006),$AO$1006:$BQ$1006,0))&gt;=100000), " ",IF(INDEX($AO$2:$BQ$1001,MATCH(ROWS($AH$2:AH494),$AH$2:$AH$1001,0),MATCH(COLUMNS($AO$1006:BQ1006),$AO$1006:$BQ$1006,0)), HYPERLINK("#",""), HYPERLINK(CONCATENATE("#Metadata!", ADDRESS(INDEX($AJ$2:$AJ$1001,MATCH(ROWS($AH$2:AH494),$AH$2:$AH$1001,0),0), INDEX($AO$1004:$BQ$1004,1,MATCH(COLUMNS($AO$1006:BQ1006),$AO$1006:$BQ$1006,0)))),"Fix")))</f>
        <v>#REF!</v>
      </c>
      <c r="AH494">
        <f ca="1"/>
        <v>491</v>
      </c>
      <c r="AI494">
        <v>100494</v>
      </c>
      <c r="AJ494">
        <v>494</v>
      </c>
      <c r="AK494" t="b">
        <f t="shared" si="7"/>
        <v>1</v>
      </c>
      <c r="AL494" t="b">
        <f>COUNTBLANK(Metadata!B494:AD494)=COLUMNS(Metadata!B494:AD494)</f>
        <v>1</v>
      </c>
      <c r="AM494" t="str">
        <v/>
      </c>
      <c r="AO494" t="b">
        <f ca="1">AND(IF(Metadata!B494="",FALSE,TRUE),COUNTIF(Metadata!B:B, Metadata!B494) = 1,NOT(ISERROR(SUMPRODUCT(SEARCH(MID(Metadata!B494,ROW(INDIRECT("1:"&amp;LEN(Metadata!B494))), 1),"0123456789abcdefghijklmnopqrstuvwxyzABCDEFGHIJKLMNOPQRSTUVWXYZ.")))))</f>
        <v>0</v>
      </c>
      <c r="AP494" t="b">
        <f>IF(Metadata!C494="",FALSE,TRUE)</f>
        <v>0</v>
      </c>
      <c r="AQ494" t="b">
        <f>IF(Metadata!D494="",FALSE,TRUE)</f>
        <v>0</v>
      </c>
      <c r="AR494" t="b">
        <f ca="1">OR(AND(IF(Metadata!E494="",FALSE,TRUE),OR(EXACT(Metadata!E494,"not collected"),EXACT(Metadata!E494,"not provided"),EXACT(Metadata!E494,"restricted access"))),AND(IF(Metadata!E494="",FALSE,TRUE),AND(AND(IFERROR(INT(LEFT(Metadata!E494,4))&gt;1900,FALSE),IFERROR(INT(LEFT(Metadata!E494,4))&lt;=YEAR(NOW()),FALSE)), OR(MID(Metadata!E494,5,1)="", AND(AND(MID(Metadata!E494,5,1)="-",IFERROR(INT(MID(Metadata!E494,6,1))&gt;=0,FALSE),IFERROR(INT(MID(Metadata!E494,6,1))&lt;=1,FALSE),NOT(MID(Metadata!E494,7,1)=""),IFERROR(INT(MID(Metadata!E494,6,2))&gt;=1,FALSE),IFERROR(INT(MID(Metadata!E494,6,2))&lt;=12,FALSE)), OR(MID(Metadata!E494,8,1)="", AND(AND(MID(Metadata!E494,8,1)="-",IFERROR(INT(MID(Metadata!E494,9,1))&gt;=0,FALSE),IFERROR(INT(MID(Metadata!E494,9,1))&lt;=3,FALSE),NOT(MID(Metadata!E494,10,1)=""),IFERROR(INT(MID(Metadata!E494,9,2))&gt;=1,FALSE),IFERROR(INT(MID(Metadata!E494,9,2))&lt;=31,FALSE)), OR(MID(Metadata!E494,11,1)="", AND(AND(MID(Metadata!E494,11,1)=" ",IFERROR(INT(MID(Metadata!E494,12,1))&gt;=0,FALSE),IFERROR(INT(MID(Metadata!E494,12,1))&lt;=2,FALSE),NOT(MID(Metadata!E494,13,1)=""),IFERROR(INT(MID(Metadata!E494,12,2))&gt;=0,FALSE),IFERROR(INT(MID(Metadata!E494,12,2))&lt;=23,FALSE)), OR(MID(Metadata!E494,14,1)="", AND(AND(MID(Metadata!E494,14,1)=":",IFERROR(INT(MID(Metadata!E494,15,1))&gt;=0,FALSE),IFERROR(INT(MID(Metadata!E494,15,1))&lt;=5,FALSE),NOT(MID(Metadata!E494,16,1)=""),IFERROR(INT(MID(Metadata!E494,15,2))&gt;=0,FALSE),IFERROR(INT(MID(Metadata!E494,15,2))&lt;=59,FALSE)), OR(MID(Metadata!E494,17,1)="", AND(AND(MID(Metadata!E494,17,1)=":",IFERROR(INT(MID(Metadata!E494,18,1))&gt;=0,FALSE),IFERROR(INT(MID(Metadata!E494,18,1))&lt;=5,FALSE),NOT(MID(Metadata!E494,19,1)=""),IFERROR(INT(MID(Metadata!E494,18,2))&gt;=0,FALSE),IFERROR(INT(MID(Metadata!E494,18,2))&lt;=59,FALSE)), LEN(Metadata!E494)&lt;=19)))))))))))))</f>
        <v>0</v>
      </c>
      <c r="AS494" t="b">
        <f>IF(Metadata!F494="",FALSE,TRUE)</f>
        <v>0</v>
      </c>
      <c r="AT494" t="b">
        <f>OR(AND(IF(Metadata!G494="",FALSE,TRUE),OR(EXACT(Metadata!G494,"not collected"),EXACT(Metadata!G494,"not provided"))),AND(IF(Metadata!G494="",FALSE,TRUE),OR(EXACT(Metadata!G494,"TRUE"),EXACT(Metadata!G494,"FALSE"))))</f>
        <v>0</v>
      </c>
      <c r="AU494" t="b">
        <f>OR(AND(IF(Metadata!H494="",FALSE,TRUE),OR(EXACT(Metadata!H494,"not collected"),EXACT(Metadata!H494,"not provided"),EXACT(Metadata!H494,"restricted access"))),AND(IF(Metadata!H494="",FALSE,ISNUMBER(VALUE(Metadata!H494))),Metadata!H494&gt;=-413))</f>
        <v>0</v>
      </c>
      <c r="AV494" t="b">
        <f>AND(IF(Metadata!I494="",FALSE,TRUE),EXACT(Metadata!I494,"meters"))</f>
        <v>0</v>
      </c>
      <c r="AW494" t="b">
        <f>AND(IF(Metadata!J494="",FALSE,TRUE),EXACT(Metadata!J494,"free-living"))</f>
        <v>0</v>
      </c>
      <c r="AX494" t="b">
        <f>AND(IF(Metadata!K494="",FALSE,TRUE),OR(EXACT(Metadata!K494,"saline"),EXACT(Metadata!K494,"non-saline")))</f>
        <v>0</v>
      </c>
      <c r="AY494" t="b">
        <f>AND(IF(Metadata!L494="",FALSE,TRUE),OR(EXACT(Metadata!L494,"sub-surface (non-saline)"),EXACT(Metadata!L494,"surface (non-saline)"),EXACT(Metadata!L494,"water (non-saline)"),EXACT(Metadata!L494,"soil (non-saline)"),EXACT(Metadata!L494,"aerosol (non-saline)"),EXACT(Metadata!L494,"sediment (non-saline)"),EXACT(Metadata!L494,"surface (saline)"),EXACT(Metadata!L494,"water (saline)"),EXACT(Metadata!L494,"hypersaline (saline)"),EXACT(Metadata!L494,"aerosol (saline)"),EXACT(Metadata!L494,"sediment (saline)")))</f>
        <v>0</v>
      </c>
      <c r="AZ494" t="b">
        <f>IF(Metadata!M494="",FALSE,TRUE)</f>
        <v>0</v>
      </c>
      <c r="BA494" t="b">
        <f>IF(Metadata!N494="",FALSE,TRUE)</f>
        <v>0</v>
      </c>
      <c r="BB494" t="b">
        <f>IF(Metadata!O494="",FALSE,TRUE)</f>
        <v>0</v>
      </c>
      <c r="BC494" t="b">
        <f>AND(IF(Metadata!P494="",FALSE,TRUE),OR(EXACT(Metadata!P494,"air"),EXACT(Metadata!P494,"microbial mat/biofilm"),EXACT(Metadata!P494,"misc environment"),EXACT(Metadata!P494,"sediment"),EXACT(Metadata!P494,"soil"),EXACT(Metadata!P494,"wastewater/sludge"),EXACT(Metadata!P494,"water")))</f>
        <v>0</v>
      </c>
      <c r="BD494" t="b">
        <f>IF(Metadata!Q494="",FALSE,TRUE)</f>
        <v>0</v>
      </c>
      <c r="BE494" t="b">
        <f>IF(Metadata!R494="",FALSE,TRUE)</f>
        <v>0</v>
      </c>
      <c r="BF494" t="b">
        <f>OR(AND(IF(Metadata!S494="",FALSE,TRUE),OR(EXACT(Metadata!S494,"not collected"),EXACT(Metadata!S494,"not provided"),EXACT(Metadata!S494,"restricted access"))),AND(IF(Metadata!S494="",FALSE,ISNUMBER(VALUE(Metadata!S494))),Metadata!S494&gt;=-90,Metadata!S494&lt;=90))</f>
        <v>0</v>
      </c>
      <c r="BG494" t="b">
        <f>AND(IF(Metadata!T494="",FALSE,TRUE),EXACT(Metadata!T494,"Decimal degrees"))</f>
        <v>0</v>
      </c>
      <c r="BH494" t="b">
        <f>OR(AND(IF(Metadata!U494="",FALSE,TRUE),OR(EXACT(Metadata!U494,"not applicable"),EXACT(Metadata!U494,"not collected"))),IF(Metadata!U494="",FALSE,TRUE))</f>
        <v>0</v>
      </c>
      <c r="BI494" t="b">
        <f>OR(AND(IF(Metadata!V494="",FALSE,TRUE),OR(EXACT(Metadata!V494,"not collected"),EXACT(Metadata!V494,"not provided"),EXACT(Metadata!V494,"restricted access"))),AND(IF(Metadata!V494="",FALSE,ISNUMBER(VALUE(Metadata!V494))),Metadata!V494&gt;=-180,Metadata!V494&lt;=180))</f>
        <v>0</v>
      </c>
      <c r="BJ494" t="b">
        <f>AND(IF(Metadata!W494="",FALSE,TRUE),EXACT(Metadata!W494,"Decimal degrees"))</f>
        <v>0</v>
      </c>
      <c r="BK494" t="b">
        <f>IF(Metadata!X494="",FALSE,TRUE)</f>
        <v>0</v>
      </c>
      <c r="BL494" t="b">
        <f>OR(AND(IF(Metadata!Y494="",FALSE,TRUE),OR(EXACT(Metadata!Y494,"not collected"),EXACT(Metadata!Y494,"not provided"),EXACT(Metadata!Y494,"restricted access"))),AND(IF(Metadata!Y494="",FALSE,TRUE),OR(EXACT(Metadata!Y494,"TRUE"),EXACT(Metadata!Y494,"FALSE"))))</f>
        <v>0</v>
      </c>
      <c r="BM494" t="b">
        <f>OR(AND(IF(Metadata!Z494="",FALSE,TRUE),EXACT(Metadata!Z494,"not applicable")),AND(IF(Metadata!Z494="",FALSE,TRUE),OR(EXACT(Metadata!Z494,"beer"),EXACT(Metadata!Z494,"cheese"),EXACT(Metadata!Z494,"fresh water"),EXACT(Metadata!Z494,"marine sediment"),EXACT(Metadata!Z494,"sea water"),EXACT(Metadata!Z494,"sediment"),EXACT(Metadata!Z494,"soil"),EXACT(Metadata!Z494,"waste water"))))</f>
        <v>0</v>
      </c>
      <c r="BN494" t="b">
        <f>AND(IF(Metadata!AA494="",FALSE,TRUE),EXACT(Metadata!AA494,"metagenome"))</f>
        <v>0</v>
      </c>
      <c r="BO494" t="b">
        <f>AND(IF(Metadata!AB494="",FALSE,TRUE),EXACT(Metadata!AB494,"256318"))</f>
        <v>0</v>
      </c>
      <c r="BP494" t="b">
        <f>IF(Metadata!AC494="",FALSE,TRUE)</f>
        <v>0</v>
      </c>
      <c r="BQ494" t="b">
        <f>IF(Metadata!AD494="",FALSE,TRUE)</f>
        <v>0</v>
      </c>
    </row>
    <row r="495" spans="1:69" x14ac:dyDescent="0.2">
      <c r="A495" s="4" t="e">
        <f ca="1">IF(B495=" "," ",HYPERLINK(CONCATENATE("#metadata!",ADDRESS(INDEX($AJ$2:$AJ$1001,MATCH(ROWS($AH$2:AH495),$AH$2:$AH$1001,0),0),2)),INDEX($AM$2:$AM$1001,MATCH(ROWS($AH$2:AH495),$AH$2:$AH$1001,0),0)))</f>
        <v>#N/A</v>
      </c>
      <c r="B495" s="5" t="e">
        <f ca="1">IF(OR(INDEX($AI$2:$AI$1001,MATCH(ROWS($AH$2:AH495),$AH$2:$AH$1001,0),1)&gt;=100000,INDEX($AO$1005:$BQ$1005,1,MATCH(COLUMNS($AO$1006:AO1006),$AO$1006:$BQ$1006,0))&gt;=100000), " ",IF(INDEX($AO$2:$BQ$1001,MATCH(ROWS($AH$2:AH495),$AH$2:$AH$1001,0),MATCH(COLUMNS($AO$1006:AO1006),$AO$1006:$BQ$1006,0)), HYPERLINK("#",""), HYPERLINK(CONCATENATE("#Metadata!", ADDRESS(INDEX($AJ$2:$AJ$1001,MATCH(ROWS($AH$2:AH495),$AH$2:$AH$1001,0),0), INDEX($AO$1004:$BQ$1004,1,MATCH(COLUMNS($AO$1006:AO1006),$AO$1006:$BQ$1006,0)))),"Fix")))</f>
        <v>#N/A</v>
      </c>
      <c r="C495" s="5" t="e">
        <f ca="1">IF(OR(INDEX($AI$2:$AI$1001,MATCH(ROWS($AH$2:AH495),$AH$2:$AH$1001,0),1)&gt;=100000,INDEX($AO$1005:$BQ$1005,1,MATCH(COLUMNS($AO$1006:AP1006),$AO$1006:$BQ$1006,0))&gt;=100000), " ",IF(INDEX($AO$2:$BQ$1001,MATCH(ROWS($AH$2:AH495),$AH$2:$AH$1001,0),MATCH(COLUMNS($AO$1006:AP1006),$AO$1006:$BQ$1006,0)), HYPERLINK("#",""), HYPERLINK(CONCATENATE("#Metadata!", ADDRESS(INDEX($AJ$2:$AJ$1001,MATCH(ROWS($AH$2:AH495),$AH$2:$AH$1001,0),0), INDEX($AO$1004:$BQ$1004,1,MATCH(COLUMNS($AO$1006:AP1006),$AO$1006:$BQ$1006,0)))),"Fix")))</f>
        <v>#N/A</v>
      </c>
      <c r="D495" s="5" t="e">
        <f ca="1">IF(OR(INDEX($AI$2:$AI$1001,MATCH(ROWS($AH$2:AH495),$AH$2:$AH$1001,0),1)&gt;=100000,INDEX($AO$1005:$BQ$1005,1,MATCH(COLUMNS($AO$1006:AQ1006),$AO$1006:$BQ$1006,0))&gt;=100000), " ",IF(INDEX($AO$2:$BQ$1001,MATCH(ROWS($AH$2:AH495),$AH$2:$AH$1001,0),MATCH(COLUMNS($AO$1006:AQ1006),$AO$1006:$BQ$1006,0)), HYPERLINK("#",""), HYPERLINK(CONCATENATE("#Metadata!", ADDRESS(INDEX($AJ$2:$AJ$1001,MATCH(ROWS($AH$2:AH495),$AH$2:$AH$1001,0),0), INDEX($AO$1004:$BQ$1004,1,MATCH(COLUMNS($AO$1006:AQ1006),$AO$1006:$BQ$1006,0)))),"Fix")))</f>
        <v>#N/A</v>
      </c>
      <c r="E495" s="5" t="e">
        <f ca="1">IF(OR(INDEX($AI$2:$AI$1001,MATCH(ROWS($AH$2:AH495),$AH$2:$AH$1001,0),1)&gt;=100000,INDEX($AO$1005:$BQ$1005,1,MATCH(COLUMNS($AO$1006:AR1006),$AO$1006:$BQ$1006,0))&gt;=100000), " ",IF(INDEX($AO$2:$BQ$1001,MATCH(ROWS($AH$2:AH495),$AH$2:$AH$1001,0),MATCH(COLUMNS($AO$1006:AR1006),$AO$1006:$BQ$1006,0)), HYPERLINK("#",""), HYPERLINK(CONCATENATE("#Metadata!", ADDRESS(INDEX($AJ$2:$AJ$1001,MATCH(ROWS($AH$2:AH495),$AH$2:$AH$1001,0),0), INDEX($AO$1004:$BQ$1004,1,MATCH(COLUMNS($AO$1006:AR1006),$AO$1006:$BQ$1006,0)))),"Fix")))</f>
        <v>#N/A</v>
      </c>
      <c r="F495" s="5" t="e">
        <f ca="1">IF(OR(INDEX($AI$2:$AI$1001,MATCH(ROWS($AH$2:AH495),$AH$2:$AH$1001,0),1)&gt;=100000,INDEX($AO$1005:$BQ$1005,1,MATCH(COLUMNS($AO$1006:AS1006),$AO$1006:$BQ$1006,0))&gt;=100000), " ",IF(INDEX($AO$2:$BQ$1001,MATCH(ROWS($AH$2:AH495),$AH$2:$AH$1001,0),MATCH(COLUMNS($AO$1006:AS1006),$AO$1006:$BQ$1006,0)), HYPERLINK("#",""), HYPERLINK(CONCATENATE("#Metadata!", ADDRESS(INDEX($AJ$2:$AJ$1001,MATCH(ROWS($AH$2:AH495),$AH$2:$AH$1001,0),0), INDEX($AO$1004:$BQ$1004,1,MATCH(COLUMNS($AO$1006:AS1006),$AO$1006:$BQ$1006,0)))),"Fix")))</f>
        <v>#N/A</v>
      </c>
      <c r="G495" s="5" t="e">
        <f ca="1">IF(OR(INDEX($AI$2:$AI$1001,MATCH(ROWS($AH$2:AH495),$AH$2:$AH$1001,0),1)&gt;=100000,INDEX($AO$1005:$BQ$1005,1,MATCH(COLUMNS($AO$1006:AT1006),$AO$1006:$BQ$1006,0))&gt;=100000), " ",IF(INDEX($AO$2:$BQ$1001,MATCH(ROWS($AH$2:AH495),$AH$2:$AH$1001,0),MATCH(COLUMNS($AO$1006:AT1006),$AO$1006:$BQ$1006,0)), HYPERLINK("#",""), HYPERLINK(CONCATENATE("#Metadata!", ADDRESS(INDEX($AJ$2:$AJ$1001,MATCH(ROWS($AH$2:AH495),$AH$2:$AH$1001,0),0), INDEX($AO$1004:$BQ$1004,1,MATCH(COLUMNS($AO$1006:AT1006),$AO$1006:$BQ$1006,0)))),"Fix")))</f>
        <v>#N/A</v>
      </c>
      <c r="H495" s="5" t="e">
        <f ca="1">IF(OR(INDEX($AI$2:$AI$1001,MATCH(ROWS($AH$2:AH495),$AH$2:$AH$1001,0),1)&gt;=100000,INDEX($AO$1005:$BQ$1005,1,MATCH(COLUMNS($AO$1006:AU1006),$AO$1006:$BQ$1006,0))&gt;=100000), " ",IF(INDEX($AO$2:$BQ$1001,MATCH(ROWS($AH$2:AH495),$AH$2:$AH$1001,0),MATCH(COLUMNS($AO$1006:AU1006),$AO$1006:$BQ$1006,0)), HYPERLINK("#",""), HYPERLINK(CONCATENATE("#Metadata!", ADDRESS(INDEX($AJ$2:$AJ$1001,MATCH(ROWS($AH$2:AH495),$AH$2:$AH$1001,0),0), INDEX($AO$1004:$BQ$1004,1,MATCH(COLUMNS($AO$1006:AU1006),$AO$1006:$BQ$1006,0)))),"Fix")))</f>
        <v>#N/A</v>
      </c>
      <c r="I495" s="5" t="e">
        <f ca="1">IF(OR(INDEX($AI$2:$AI$1001,MATCH(ROWS($AH$2:AH495),$AH$2:$AH$1001,0),1)&gt;=100000,INDEX($AO$1005:$BQ$1005,1,MATCH(COLUMNS($AO$1006:AV1006),$AO$1006:$BQ$1006,0))&gt;=100000), " ",IF(INDEX($AO$2:$BQ$1001,MATCH(ROWS($AH$2:AH495),$AH$2:$AH$1001,0),MATCH(COLUMNS($AO$1006:AV1006),$AO$1006:$BQ$1006,0)), HYPERLINK("#",""), HYPERLINK(CONCATENATE("#Metadata!", ADDRESS(INDEX($AJ$2:$AJ$1001,MATCH(ROWS($AH$2:AH495),$AH$2:$AH$1001,0),0), INDEX($AO$1004:$BQ$1004,1,MATCH(COLUMNS($AO$1006:AV1006),$AO$1006:$BQ$1006,0)))),"Fix")))</f>
        <v>#N/A</v>
      </c>
      <c r="J495" s="5" t="e">
        <f ca="1">IF(OR(INDEX($AI$2:$AI$1001,MATCH(ROWS($AH$2:AH495),$AH$2:$AH$1001,0),1)&gt;=100000,INDEX($AO$1005:$BQ$1005,1,MATCH(COLUMNS($AO$1006:AW1006),$AO$1006:$BQ$1006,0))&gt;=100000), " ",IF(INDEX($AO$2:$BQ$1001,MATCH(ROWS($AH$2:AH495),$AH$2:$AH$1001,0),MATCH(COLUMNS($AO$1006:AW1006),$AO$1006:$BQ$1006,0)), HYPERLINK("#",""), HYPERLINK(CONCATENATE("#Metadata!", ADDRESS(INDEX($AJ$2:$AJ$1001,MATCH(ROWS($AH$2:AH495),$AH$2:$AH$1001,0),0), INDEX($AO$1004:$BQ$1004,1,MATCH(COLUMNS($AO$1006:AW1006),$AO$1006:$BQ$1006,0)))),"Fix")))</f>
        <v>#N/A</v>
      </c>
      <c r="K495" s="5" t="e">
        <f ca="1">IF(OR(INDEX($AI$2:$AI$1001,MATCH(ROWS($AH$2:AH495),$AH$2:$AH$1001,0),1)&gt;=100000,INDEX($AO$1005:$BQ$1005,1,MATCH(COLUMNS($AO$1006:AX1006),$AO$1006:$BQ$1006,0))&gt;=100000), " ",IF(INDEX($AO$2:$BQ$1001,MATCH(ROWS($AH$2:AH495),$AH$2:$AH$1001,0),MATCH(COLUMNS($AO$1006:AX1006),$AO$1006:$BQ$1006,0)), HYPERLINK("#",""), HYPERLINK(CONCATENATE("#Metadata!", ADDRESS(INDEX($AJ$2:$AJ$1001,MATCH(ROWS($AH$2:AH495),$AH$2:$AH$1001,0),0), INDEX($AO$1004:$BQ$1004,1,MATCH(COLUMNS($AO$1006:AX1006),$AO$1006:$BQ$1006,0)))),"Fix")))</f>
        <v>#N/A</v>
      </c>
      <c r="L495" s="5" t="e">
        <f ca="1">IF(OR(INDEX($AI$2:$AI$1001,MATCH(ROWS($AH$2:AH495),$AH$2:$AH$1001,0),1)&gt;=100000,INDEX($AO$1005:$BQ$1005,1,MATCH(COLUMNS($AO$1006:AY1006),$AO$1006:$BQ$1006,0))&gt;=100000), " ",IF(INDEX($AO$2:$BQ$1001,MATCH(ROWS($AH$2:AH495),$AH$2:$AH$1001,0),MATCH(COLUMNS($AO$1006:AY1006),$AO$1006:$BQ$1006,0)), HYPERLINK("#",""), HYPERLINK(CONCATENATE("#Metadata!", ADDRESS(INDEX($AJ$2:$AJ$1001,MATCH(ROWS($AH$2:AH495),$AH$2:$AH$1001,0),0), INDEX($AO$1004:$BQ$1004,1,MATCH(COLUMNS($AO$1006:AY1006),$AO$1006:$BQ$1006,0)))),"Fix")))</f>
        <v>#N/A</v>
      </c>
      <c r="M495" s="5" t="e">
        <f ca="1">IF(OR(INDEX($AI$2:$AI$1001,MATCH(ROWS($AH$2:AH495),$AH$2:$AH$1001,0),1)&gt;=100000,INDEX($AO$1005:$BQ$1005,1,MATCH(COLUMNS($AO$1006:AZ1006),$AO$1006:$BQ$1006,0))&gt;=100000), " ",IF(INDEX($AO$2:$BQ$1001,MATCH(ROWS($AH$2:AH495),$AH$2:$AH$1001,0),MATCH(COLUMNS($AO$1006:AZ1006),$AO$1006:$BQ$1006,0)), HYPERLINK("#",""), HYPERLINK(CONCATENATE("#Metadata!", ADDRESS(INDEX($AJ$2:$AJ$1001,MATCH(ROWS($AH$2:AH495),$AH$2:$AH$1001,0),0), INDEX($AO$1004:$BQ$1004,1,MATCH(COLUMNS($AO$1006:AZ1006),$AO$1006:$BQ$1006,0)))),"Fix")))</f>
        <v>#N/A</v>
      </c>
      <c r="N495" s="5" t="e">
        <f ca="1">IF(OR(INDEX($AI$2:$AI$1001,MATCH(ROWS($AH$2:AH495),$AH$2:$AH$1001,0),1)&gt;=100000,INDEX($AO$1005:$BQ$1005,1,MATCH(COLUMNS($AO$1006:BA1006),$AO$1006:$BQ$1006,0))&gt;=100000), " ",IF(INDEX($AO$2:$BQ$1001,MATCH(ROWS($AH$2:AH495),$AH$2:$AH$1001,0),MATCH(COLUMNS($AO$1006:BA1006),$AO$1006:$BQ$1006,0)), HYPERLINK("#",""), HYPERLINK(CONCATENATE("#Metadata!", ADDRESS(INDEX($AJ$2:$AJ$1001,MATCH(ROWS($AH$2:AH495),$AH$2:$AH$1001,0),0), INDEX($AO$1004:$BQ$1004,1,MATCH(COLUMNS($AO$1006:BA1006),$AO$1006:$BQ$1006,0)))),"Fix")))</f>
        <v>#N/A</v>
      </c>
      <c r="O495" s="5" t="e">
        <f ca="1">IF(OR(INDEX($AI$2:$AI$1001,MATCH(ROWS($AH$2:AH495),$AH$2:$AH$1001,0),1)&gt;=100000,INDEX($AO$1005:$BQ$1005,1,MATCH(COLUMNS($AO$1006:BB1006),$AO$1006:$BQ$1006,0))&gt;=100000), " ",IF(INDEX($AO$2:$BQ$1001,MATCH(ROWS($AH$2:AH495),$AH$2:$AH$1001,0),MATCH(COLUMNS($AO$1006:BB1006),$AO$1006:$BQ$1006,0)), HYPERLINK("#",""), HYPERLINK(CONCATENATE("#Metadata!", ADDRESS(INDEX($AJ$2:$AJ$1001,MATCH(ROWS($AH$2:AH495),$AH$2:$AH$1001,0),0), INDEX($AO$1004:$BQ$1004,1,MATCH(COLUMNS($AO$1006:BB1006),$AO$1006:$BQ$1006,0)))),"Fix")))</f>
        <v>#N/A</v>
      </c>
      <c r="P495" s="5" t="e">
        <f ca="1">IF(OR(INDEX($AI$2:$AI$1001,MATCH(ROWS($AH$2:AH495),$AH$2:$AH$1001,0),1)&gt;=100000,INDEX($AO$1005:$BQ$1005,1,MATCH(COLUMNS($AO$1006:BC1006),$AO$1006:$BQ$1006,0))&gt;=100000), " ",IF(INDEX($AO$2:$BQ$1001,MATCH(ROWS($AH$2:AH495),$AH$2:$AH$1001,0),MATCH(COLUMNS($AO$1006:BC1006),$AO$1006:$BQ$1006,0)), HYPERLINK("#",""), HYPERLINK(CONCATENATE("#Metadata!", ADDRESS(INDEX($AJ$2:$AJ$1001,MATCH(ROWS($AH$2:AH495),$AH$2:$AH$1001,0),0), INDEX($AO$1004:$BQ$1004,1,MATCH(COLUMNS($AO$1006:BC1006),$AO$1006:$BQ$1006,0)))),"Fix")))</f>
        <v>#N/A</v>
      </c>
      <c r="Q495" s="5" t="e">
        <f ca="1">IF(OR(INDEX($AI$2:$AI$1001,MATCH(ROWS($AH$2:AH495),$AH$2:$AH$1001,0),1)&gt;=100000,INDEX($AO$1005:$BQ$1005,1,MATCH(COLUMNS($AO$1006:BD1006),$AO$1006:$BQ$1006,0))&gt;=100000), " ",IF(INDEX($AO$2:$BQ$1001,MATCH(ROWS($AH$2:AH495),$AH$2:$AH$1001,0),MATCH(COLUMNS($AO$1006:BD1006),$AO$1006:$BQ$1006,0)), HYPERLINK("#",""), HYPERLINK(CONCATENATE("#Metadata!", ADDRESS(INDEX($AJ$2:$AJ$1001,MATCH(ROWS($AH$2:AH495),$AH$2:$AH$1001,0),0), INDEX($AO$1004:$BQ$1004,1,MATCH(COLUMNS($AO$1006:BD1006),$AO$1006:$BQ$1006,0)))),"Fix")))</f>
        <v>#N/A</v>
      </c>
      <c r="R495" s="5" t="e">
        <f ca="1">IF(OR(INDEX($AI$2:$AI$1001,MATCH(ROWS($AH$2:AH495),$AH$2:$AH$1001,0),1)&gt;=100000,INDEX($AO$1005:$BQ$1005,1,MATCH(COLUMNS($AO$1006:BE1006),$AO$1006:$BQ$1006,0))&gt;=100000), " ",IF(INDEX($AO$2:$BQ$1001,MATCH(ROWS($AH$2:AH495),$AH$2:$AH$1001,0),MATCH(COLUMNS($AO$1006:BE1006),$AO$1006:$BQ$1006,0)), HYPERLINK("#",""), HYPERLINK(CONCATENATE("#Metadata!", ADDRESS(INDEX($AJ$2:$AJ$1001,MATCH(ROWS($AH$2:AH495),$AH$2:$AH$1001,0),0), INDEX($AO$1004:$BQ$1004,1,MATCH(COLUMNS($AO$1006:BE1006),$AO$1006:$BQ$1006,0)))),"Fix")))</f>
        <v>#N/A</v>
      </c>
      <c r="S495" s="5" t="e">
        <f ca="1">IF(OR(INDEX($AI$2:$AI$1001,MATCH(ROWS($AH$2:AH495),$AH$2:$AH$1001,0),1)&gt;=100000,INDEX($AO$1005:$BQ$1005,1,MATCH(COLUMNS($AO$1006:BF1006),$AO$1006:$BQ$1006,0))&gt;=100000), " ",IF(INDEX($AO$2:$BQ$1001,MATCH(ROWS($AH$2:AH495),$AH$2:$AH$1001,0),MATCH(COLUMNS($AO$1006:BF1006),$AO$1006:$BQ$1006,0)), HYPERLINK("#",""), HYPERLINK(CONCATENATE("#Metadata!", ADDRESS(INDEX($AJ$2:$AJ$1001,MATCH(ROWS($AH$2:AH495),$AH$2:$AH$1001,0),0), INDEX($AO$1004:$BQ$1004,1,MATCH(COLUMNS($AO$1006:BF1006),$AO$1006:$BQ$1006,0)))),"Fix")))</f>
        <v>#N/A</v>
      </c>
      <c r="T495" s="5" t="e">
        <f ca="1">IF(OR(INDEX($AI$2:$AI$1001,MATCH(ROWS($AH$2:AH495),$AH$2:$AH$1001,0),1)&gt;=100000,INDEX($AO$1005:$BQ$1005,1,MATCH(COLUMNS($AO$1006:BG1006),$AO$1006:$BQ$1006,0))&gt;=100000), " ",IF(INDEX($AO$2:$BQ$1001,MATCH(ROWS($AH$2:AH495),$AH$2:$AH$1001,0),MATCH(COLUMNS($AO$1006:BG1006),$AO$1006:$BQ$1006,0)), HYPERLINK("#",""), HYPERLINK(CONCATENATE("#Metadata!", ADDRESS(INDEX($AJ$2:$AJ$1001,MATCH(ROWS($AH$2:AH495),$AH$2:$AH$1001,0),0), INDEX($AO$1004:$BQ$1004,1,MATCH(COLUMNS($AO$1006:BG1006),$AO$1006:$BQ$1006,0)))),"Fix")))</f>
        <v>#N/A</v>
      </c>
      <c r="U495" s="5" t="e">
        <f ca="1">IF(OR(INDEX($AI$2:$AI$1001,MATCH(ROWS($AH$2:AH495),$AH$2:$AH$1001,0),1)&gt;=100000,INDEX($AO$1005:$BQ$1005,1,MATCH(COLUMNS($AO$1006:BH1006),$AO$1006:$BQ$1006,0))&gt;=100000), " ",IF(INDEX($AO$2:$BQ$1001,MATCH(ROWS($AH$2:AH495),$AH$2:$AH$1001,0),MATCH(COLUMNS($AO$1006:BH1006),$AO$1006:$BQ$1006,0)), HYPERLINK("#",""), HYPERLINK(CONCATENATE("#Metadata!", ADDRESS(INDEX($AJ$2:$AJ$1001,MATCH(ROWS($AH$2:AH495),$AH$2:$AH$1001,0),0), INDEX($AO$1004:$BQ$1004,1,MATCH(COLUMNS($AO$1006:BH1006),$AO$1006:$BQ$1006,0)))),"Fix")))</f>
        <v>#N/A</v>
      </c>
      <c r="V495" s="5" t="e">
        <f ca="1">IF(OR(INDEX($AI$2:$AI$1001,MATCH(ROWS($AH$2:AH495),$AH$2:$AH$1001,0),1)&gt;=100000,INDEX($AO$1005:$BQ$1005,1,MATCH(COLUMNS($AO$1006:BI1006),$AO$1006:$BQ$1006,0))&gt;=100000), " ",IF(INDEX($AO$2:$BQ$1001,MATCH(ROWS($AH$2:AH495),$AH$2:$AH$1001,0),MATCH(COLUMNS($AO$1006:BI1006),$AO$1006:$BQ$1006,0)), HYPERLINK("#",""), HYPERLINK(CONCATENATE("#Metadata!", ADDRESS(INDEX($AJ$2:$AJ$1001,MATCH(ROWS($AH$2:AH495),$AH$2:$AH$1001,0),0), INDEX($AO$1004:$BQ$1004,1,MATCH(COLUMNS($AO$1006:BI1006),$AO$1006:$BQ$1006,0)))),"Fix")))</f>
        <v>#N/A</v>
      </c>
      <c r="W495" s="5" t="e">
        <f ca="1">IF(OR(INDEX($AI$2:$AI$1001,MATCH(ROWS($AH$2:AH495),$AH$2:$AH$1001,0),1)&gt;=100000,INDEX($AO$1005:$BQ$1005,1,MATCH(COLUMNS($AO$1006:BJ1006),$AO$1006:$BQ$1006,0))&gt;=100000), " ",IF(INDEX($AO$2:$BQ$1001,MATCH(ROWS($AH$2:AH495),$AH$2:$AH$1001,0),MATCH(COLUMNS($AO$1006:BJ1006),$AO$1006:$BQ$1006,0)), HYPERLINK("#",""), HYPERLINK(CONCATENATE("#Metadata!", ADDRESS(INDEX($AJ$2:$AJ$1001,MATCH(ROWS($AH$2:AH495),$AH$2:$AH$1001,0),0), INDEX($AO$1004:$BQ$1004,1,MATCH(COLUMNS($AO$1006:BJ1006),$AO$1006:$BQ$1006,0)))),"Fix")))</f>
        <v>#N/A</v>
      </c>
      <c r="X495" s="5" t="e">
        <f ca="1">IF(OR(INDEX($AI$2:$AI$1001,MATCH(ROWS($AH$2:AH495),$AH$2:$AH$1001,0),1)&gt;=100000,INDEX($AO$1005:$BQ$1005,1,MATCH(COLUMNS($AO$1006:BK1006),$AO$1006:$BQ$1006,0))&gt;=100000), " ",IF(INDEX($AO$2:$BQ$1001,MATCH(ROWS($AH$2:AH495),$AH$2:$AH$1001,0),MATCH(COLUMNS($AO$1006:BK1006),$AO$1006:$BQ$1006,0)), HYPERLINK("#",""), HYPERLINK(CONCATENATE("#Metadata!", ADDRESS(INDEX($AJ$2:$AJ$1001,MATCH(ROWS($AH$2:AH495),$AH$2:$AH$1001,0),0), INDEX($AO$1004:$BQ$1004,1,MATCH(COLUMNS($AO$1006:BK1006),$AO$1006:$BQ$1006,0)))),"Fix")))</f>
        <v>#N/A</v>
      </c>
      <c r="Y495" s="5" t="e">
        <f ca="1">IF(OR(INDEX($AI$2:$AI$1001,MATCH(ROWS($AH$2:AH495),$AH$2:$AH$1001,0),1)&gt;=100000,INDEX($AO$1005:$BQ$1005,1,MATCH(COLUMNS($AO$1006:BL1006),$AO$1006:$BQ$1006,0))&gt;=100000), " ",IF(INDEX($AO$2:$BQ$1001,MATCH(ROWS($AH$2:AH495),$AH$2:$AH$1001,0),MATCH(COLUMNS($AO$1006:BL1006),$AO$1006:$BQ$1006,0)), HYPERLINK("#",""), HYPERLINK(CONCATENATE("#Metadata!", ADDRESS(INDEX($AJ$2:$AJ$1001,MATCH(ROWS($AH$2:AH495),$AH$2:$AH$1001,0),0), INDEX($AO$1004:$BQ$1004,1,MATCH(COLUMNS($AO$1006:BL1006),$AO$1006:$BQ$1006,0)))),"Fix")))</f>
        <v>#N/A</v>
      </c>
      <c r="Z495" s="5" t="e">
        <f ca="1">IF(OR(INDEX($AI$2:$AI$1001,MATCH(ROWS($AH$2:AH495),$AH$2:$AH$1001,0),1)&gt;=100000,INDEX($AO$1005:$BQ$1005,1,MATCH(COLUMNS($AO$1006:BM1006),$AO$1006:$BQ$1006,0))&gt;=100000), " ",IF(INDEX($AO$2:$BQ$1001,MATCH(ROWS($AH$2:AH495),$AH$2:$AH$1001,0),MATCH(COLUMNS($AO$1006:BM1006),$AO$1006:$BQ$1006,0)), HYPERLINK("#",""), HYPERLINK(CONCATENATE("#Metadata!", ADDRESS(INDEX($AJ$2:$AJ$1001,MATCH(ROWS($AH$2:AH495),$AH$2:$AH$1001,0),0), INDEX($AO$1004:$BQ$1004,1,MATCH(COLUMNS($AO$1006:BM1006),$AO$1006:$BQ$1006,0)))),"Fix")))</f>
        <v>#N/A</v>
      </c>
      <c r="AA495" s="5" t="e">
        <f ca="1">IF(OR(INDEX($AI$2:$AI$1001,MATCH(ROWS($AH$2:AH495),$AH$2:$AH$1001,0),1)&gt;=100000,INDEX($AO$1005:$BQ$1005,1,MATCH(COLUMNS($AO$1006:BN1006),$AO$1006:$BQ$1006,0))&gt;=100000), " ",IF(INDEX($AO$2:$BQ$1001,MATCH(ROWS($AH$2:AH495),$AH$2:$AH$1001,0),MATCH(COLUMNS($AO$1006:BN1006),$AO$1006:$BQ$1006,0)), HYPERLINK("#",""), HYPERLINK(CONCATENATE("#Metadata!", ADDRESS(INDEX($AJ$2:$AJ$1001,MATCH(ROWS($AH$2:AH495),$AH$2:$AH$1001,0),0), INDEX($AO$1004:$BQ$1004,1,MATCH(COLUMNS($AO$1006:BN1006),$AO$1006:$BQ$1006,0)))),"Fix")))</f>
        <v>#N/A</v>
      </c>
      <c r="AB495" s="5" t="e">
        <f ca="1">IF(OR(INDEX($AI$2:$AI$1001,MATCH(ROWS($AH$2:AH495),$AH$2:$AH$1001,0),1)&gt;=100000,INDEX($AO$1005:$BQ$1005,1,MATCH(COLUMNS($AO$1006:BO1006),$AO$1006:$BQ$1006,0))&gt;=100000), " ",IF(INDEX($AO$2:$BQ$1001,MATCH(ROWS($AH$2:AH495),$AH$2:$AH$1001,0),MATCH(COLUMNS($AO$1006:BO1006),$AO$1006:$BQ$1006,0)), HYPERLINK("#",""), HYPERLINK(CONCATENATE("#Metadata!", ADDRESS(INDEX($AJ$2:$AJ$1001,MATCH(ROWS($AH$2:AH495),$AH$2:$AH$1001,0),0), INDEX($AO$1004:$BQ$1004,1,MATCH(COLUMNS($AO$1006:BO1006),$AO$1006:$BQ$1006,0)))),"Fix")))</f>
        <v>#N/A</v>
      </c>
      <c r="AC495" s="5" t="e">
        <f ca="1">IF(OR(INDEX($AI$2:$AI$1001,MATCH(ROWS($AH$2:AH495),$AH$2:$AH$1001,0),1)&gt;=100000,INDEX($AO$1005:$BQ$1005,1,MATCH(COLUMNS($AO$1006:BP1006),$AO$1006:$BQ$1006,0))&gt;=100000), " ",IF(INDEX($AO$2:$BQ$1001,MATCH(ROWS($AH$2:AH495),$AH$2:$AH$1001,0),MATCH(COLUMNS($AO$1006:BP1006),$AO$1006:$BQ$1006,0)), HYPERLINK("#",""), HYPERLINK(CONCATENATE("#Metadata!", ADDRESS(INDEX($AJ$2:$AJ$1001,MATCH(ROWS($AH$2:AH495),$AH$2:$AH$1001,0),0), INDEX($AO$1004:$BQ$1004,1,MATCH(COLUMNS($AO$1006:BP1006),$AO$1006:$BQ$1006,0)))),"Fix")))</f>
        <v>#N/A</v>
      </c>
      <c r="AD495" s="5" t="e">
        <f ca="1">IF(OR(INDEX($AI$2:$AI$1001,MATCH(ROWS($AH$2:AH495),$AH$2:$AH$1001,0),1)&gt;=100000,INDEX($AO$1005:$BQ$1005,1,MATCH(COLUMNS($AO$1006:BQ1006),$AO$1006:$BQ$1006,0))&gt;=100000), " ",IF(INDEX($AO$2:$BQ$1001,MATCH(ROWS($AH$2:AH495),$AH$2:$AH$1001,0),MATCH(COLUMNS($AO$1006:BQ1006),$AO$1006:$BQ$1006,0)), HYPERLINK("#",""), HYPERLINK(CONCATENATE("#Metadata!", ADDRESS(INDEX($AJ$2:$AJ$1001,MATCH(ROWS($AH$2:AH495),$AH$2:$AH$1001,0),0), INDEX($AO$1004:$BQ$1004,1,MATCH(COLUMNS($AO$1006:BQ1006),$AO$1006:$BQ$1006,0)))),"Fix")))</f>
        <v>#REF!</v>
      </c>
      <c r="AH495">
        <f ca="1"/>
        <v>492</v>
      </c>
      <c r="AI495">
        <v>100495</v>
      </c>
      <c r="AJ495">
        <v>495</v>
      </c>
      <c r="AK495" t="b">
        <f t="shared" si="7"/>
        <v>1</v>
      </c>
      <c r="AL495" t="b">
        <f>COUNTBLANK(Metadata!B495:AD495)=COLUMNS(Metadata!B495:AD495)</f>
        <v>1</v>
      </c>
      <c r="AM495" t="str">
        <v/>
      </c>
      <c r="AO495" t="b">
        <f ca="1">AND(IF(Metadata!B495="",FALSE,TRUE),COUNTIF(Metadata!B:B, Metadata!B495) = 1,NOT(ISERROR(SUMPRODUCT(SEARCH(MID(Metadata!B495,ROW(INDIRECT("1:"&amp;LEN(Metadata!B495))), 1),"0123456789abcdefghijklmnopqrstuvwxyzABCDEFGHIJKLMNOPQRSTUVWXYZ.")))))</f>
        <v>0</v>
      </c>
      <c r="AP495" t="b">
        <f>IF(Metadata!C495="",FALSE,TRUE)</f>
        <v>0</v>
      </c>
      <c r="AQ495" t="b">
        <f>IF(Metadata!D495="",FALSE,TRUE)</f>
        <v>0</v>
      </c>
      <c r="AR495" t="b">
        <f ca="1">OR(AND(IF(Metadata!E495="",FALSE,TRUE),OR(EXACT(Metadata!E495,"not collected"),EXACT(Metadata!E495,"not provided"),EXACT(Metadata!E495,"restricted access"))),AND(IF(Metadata!E495="",FALSE,TRUE),AND(AND(IFERROR(INT(LEFT(Metadata!E495,4))&gt;1900,FALSE),IFERROR(INT(LEFT(Metadata!E495,4))&lt;=YEAR(NOW()),FALSE)), OR(MID(Metadata!E495,5,1)="", AND(AND(MID(Metadata!E495,5,1)="-",IFERROR(INT(MID(Metadata!E495,6,1))&gt;=0,FALSE),IFERROR(INT(MID(Metadata!E495,6,1))&lt;=1,FALSE),NOT(MID(Metadata!E495,7,1)=""),IFERROR(INT(MID(Metadata!E495,6,2))&gt;=1,FALSE),IFERROR(INT(MID(Metadata!E495,6,2))&lt;=12,FALSE)), OR(MID(Metadata!E495,8,1)="", AND(AND(MID(Metadata!E495,8,1)="-",IFERROR(INT(MID(Metadata!E495,9,1))&gt;=0,FALSE),IFERROR(INT(MID(Metadata!E495,9,1))&lt;=3,FALSE),NOT(MID(Metadata!E495,10,1)=""),IFERROR(INT(MID(Metadata!E495,9,2))&gt;=1,FALSE),IFERROR(INT(MID(Metadata!E495,9,2))&lt;=31,FALSE)), OR(MID(Metadata!E495,11,1)="", AND(AND(MID(Metadata!E495,11,1)=" ",IFERROR(INT(MID(Metadata!E495,12,1))&gt;=0,FALSE),IFERROR(INT(MID(Metadata!E495,12,1))&lt;=2,FALSE),NOT(MID(Metadata!E495,13,1)=""),IFERROR(INT(MID(Metadata!E495,12,2))&gt;=0,FALSE),IFERROR(INT(MID(Metadata!E495,12,2))&lt;=23,FALSE)), OR(MID(Metadata!E495,14,1)="", AND(AND(MID(Metadata!E495,14,1)=":",IFERROR(INT(MID(Metadata!E495,15,1))&gt;=0,FALSE),IFERROR(INT(MID(Metadata!E495,15,1))&lt;=5,FALSE),NOT(MID(Metadata!E495,16,1)=""),IFERROR(INT(MID(Metadata!E495,15,2))&gt;=0,FALSE),IFERROR(INT(MID(Metadata!E495,15,2))&lt;=59,FALSE)), OR(MID(Metadata!E495,17,1)="", AND(AND(MID(Metadata!E495,17,1)=":",IFERROR(INT(MID(Metadata!E495,18,1))&gt;=0,FALSE),IFERROR(INT(MID(Metadata!E495,18,1))&lt;=5,FALSE),NOT(MID(Metadata!E495,19,1)=""),IFERROR(INT(MID(Metadata!E495,18,2))&gt;=0,FALSE),IFERROR(INT(MID(Metadata!E495,18,2))&lt;=59,FALSE)), LEN(Metadata!E495)&lt;=19)))))))))))))</f>
        <v>0</v>
      </c>
      <c r="AS495" t="b">
        <f>IF(Metadata!F495="",FALSE,TRUE)</f>
        <v>0</v>
      </c>
      <c r="AT495" t="b">
        <f>OR(AND(IF(Metadata!G495="",FALSE,TRUE),OR(EXACT(Metadata!G495,"not collected"),EXACT(Metadata!G495,"not provided"))),AND(IF(Metadata!G495="",FALSE,TRUE),OR(EXACT(Metadata!G495,"TRUE"),EXACT(Metadata!G495,"FALSE"))))</f>
        <v>0</v>
      </c>
      <c r="AU495" t="b">
        <f>OR(AND(IF(Metadata!H495="",FALSE,TRUE),OR(EXACT(Metadata!H495,"not collected"),EXACT(Metadata!H495,"not provided"),EXACT(Metadata!H495,"restricted access"))),AND(IF(Metadata!H495="",FALSE,ISNUMBER(VALUE(Metadata!H495))),Metadata!H495&gt;=-413))</f>
        <v>0</v>
      </c>
      <c r="AV495" t="b">
        <f>AND(IF(Metadata!I495="",FALSE,TRUE),EXACT(Metadata!I495,"meters"))</f>
        <v>0</v>
      </c>
      <c r="AW495" t="b">
        <f>AND(IF(Metadata!J495="",FALSE,TRUE),EXACT(Metadata!J495,"free-living"))</f>
        <v>0</v>
      </c>
      <c r="AX495" t="b">
        <f>AND(IF(Metadata!K495="",FALSE,TRUE),OR(EXACT(Metadata!K495,"saline"),EXACT(Metadata!K495,"non-saline")))</f>
        <v>0</v>
      </c>
      <c r="AY495" t="b">
        <f>AND(IF(Metadata!L495="",FALSE,TRUE),OR(EXACT(Metadata!L495,"sub-surface (non-saline)"),EXACT(Metadata!L495,"surface (non-saline)"),EXACT(Metadata!L495,"water (non-saline)"),EXACT(Metadata!L495,"soil (non-saline)"),EXACT(Metadata!L495,"aerosol (non-saline)"),EXACT(Metadata!L495,"sediment (non-saline)"),EXACT(Metadata!L495,"surface (saline)"),EXACT(Metadata!L495,"water (saline)"),EXACT(Metadata!L495,"hypersaline (saline)"),EXACT(Metadata!L495,"aerosol (saline)"),EXACT(Metadata!L495,"sediment (saline)")))</f>
        <v>0</v>
      </c>
      <c r="AZ495" t="b">
        <f>IF(Metadata!M495="",FALSE,TRUE)</f>
        <v>0</v>
      </c>
      <c r="BA495" t="b">
        <f>IF(Metadata!N495="",FALSE,TRUE)</f>
        <v>0</v>
      </c>
      <c r="BB495" t="b">
        <f>IF(Metadata!O495="",FALSE,TRUE)</f>
        <v>0</v>
      </c>
      <c r="BC495" t="b">
        <f>AND(IF(Metadata!P495="",FALSE,TRUE),OR(EXACT(Metadata!P495,"air"),EXACT(Metadata!P495,"microbial mat/biofilm"),EXACT(Metadata!P495,"misc environment"),EXACT(Metadata!P495,"sediment"),EXACT(Metadata!P495,"soil"),EXACT(Metadata!P495,"wastewater/sludge"),EXACT(Metadata!P495,"water")))</f>
        <v>0</v>
      </c>
      <c r="BD495" t="b">
        <f>IF(Metadata!Q495="",FALSE,TRUE)</f>
        <v>0</v>
      </c>
      <c r="BE495" t="b">
        <f>IF(Metadata!R495="",FALSE,TRUE)</f>
        <v>0</v>
      </c>
      <c r="BF495" t="b">
        <f>OR(AND(IF(Metadata!S495="",FALSE,TRUE),OR(EXACT(Metadata!S495,"not collected"),EXACT(Metadata!S495,"not provided"),EXACT(Metadata!S495,"restricted access"))),AND(IF(Metadata!S495="",FALSE,ISNUMBER(VALUE(Metadata!S495))),Metadata!S495&gt;=-90,Metadata!S495&lt;=90))</f>
        <v>0</v>
      </c>
      <c r="BG495" t="b">
        <f>AND(IF(Metadata!T495="",FALSE,TRUE),EXACT(Metadata!T495,"Decimal degrees"))</f>
        <v>0</v>
      </c>
      <c r="BH495" t="b">
        <f>OR(AND(IF(Metadata!U495="",FALSE,TRUE),OR(EXACT(Metadata!U495,"not applicable"),EXACT(Metadata!U495,"not collected"))),IF(Metadata!U495="",FALSE,TRUE))</f>
        <v>0</v>
      </c>
      <c r="BI495" t="b">
        <f>OR(AND(IF(Metadata!V495="",FALSE,TRUE),OR(EXACT(Metadata!V495,"not collected"),EXACT(Metadata!V495,"not provided"),EXACT(Metadata!V495,"restricted access"))),AND(IF(Metadata!V495="",FALSE,ISNUMBER(VALUE(Metadata!V495))),Metadata!V495&gt;=-180,Metadata!V495&lt;=180))</f>
        <v>0</v>
      </c>
      <c r="BJ495" t="b">
        <f>AND(IF(Metadata!W495="",FALSE,TRUE),EXACT(Metadata!W495,"Decimal degrees"))</f>
        <v>0</v>
      </c>
      <c r="BK495" t="b">
        <f>IF(Metadata!X495="",FALSE,TRUE)</f>
        <v>0</v>
      </c>
      <c r="BL495" t="b">
        <f>OR(AND(IF(Metadata!Y495="",FALSE,TRUE),OR(EXACT(Metadata!Y495,"not collected"),EXACT(Metadata!Y495,"not provided"),EXACT(Metadata!Y495,"restricted access"))),AND(IF(Metadata!Y495="",FALSE,TRUE),OR(EXACT(Metadata!Y495,"TRUE"),EXACT(Metadata!Y495,"FALSE"))))</f>
        <v>0</v>
      </c>
      <c r="BM495" t="b">
        <f>OR(AND(IF(Metadata!Z495="",FALSE,TRUE),EXACT(Metadata!Z495,"not applicable")),AND(IF(Metadata!Z495="",FALSE,TRUE),OR(EXACT(Metadata!Z495,"beer"),EXACT(Metadata!Z495,"cheese"),EXACT(Metadata!Z495,"fresh water"),EXACT(Metadata!Z495,"marine sediment"),EXACT(Metadata!Z495,"sea water"),EXACT(Metadata!Z495,"sediment"),EXACT(Metadata!Z495,"soil"),EXACT(Metadata!Z495,"waste water"))))</f>
        <v>0</v>
      </c>
      <c r="BN495" t="b">
        <f>AND(IF(Metadata!AA495="",FALSE,TRUE),EXACT(Metadata!AA495,"metagenome"))</f>
        <v>0</v>
      </c>
      <c r="BO495" t="b">
        <f>AND(IF(Metadata!AB495="",FALSE,TRUE),EXACT(Metadata!AB495,"256318"))</f>
        <v>0</v>
      </c>
      <c r="BP495" t="b">
        <f>IF(Metadata!AC495="",FALSE,TRUE)</f>
        <v>0</v>
      </c>
      <c r="BQ495" t="b">
        <f>IF(Metadata!AD495="",FALSE,TRUE)</f>
        <v>0</v>
      </c>
    </row>
    <row r="496" spans="1:69" x14ac:dyDescent="0.2">
      <c r="A496" s="4" t="e">
        <f ca="1">IF(B496=" "," ",HYPERLINK(CONCATENATE("#metadata!",ADDRESS(INDEX($AJ$2:$AJ$1001,MATCH(ROWS($AH$2:AH496),$AH$2:$AH$1001,0),0),2)),INDEX($AM$2:$AM$1001,MATCH(ROWS($AH$2:AH496),$AH$2:$AH$1001,0),0)))</f>
        <v>#N/A</v>
      </c>
      <c r="B496" s="5" t="e">
        <f ca="1">IF(OR(INDEX($AI$2:$AI$1001,MATCH(ROWS($AH$2:AH496),$AH$2:$AH$1001,0),1)&gt;=100000,INDEX($AO$1005:$BQ$1005,1,MATCH(COLUMNS($AO$1006:AO1006),$AO$1006:$BQ$1006,0))&gt;=100000), " ",IF(INDEX($AO$2:$BQ$1001,MATCH(ROWS($AH$2:AH496),$AH$2:$AH$1001,0),MATCH(COLUMNS($AO$1006:AO1006),$AO$1006:$BQ$1006,0)), HYPERLINK("#",""), HYPERLINK(CONCATENATE("#Metadata!", ADDRESS(INDEX($AJ$2:$AJ$1001,MATCH(ROWS($AH$2:AH496),$AH$2:$AH$1001,0),0), INDEX($AO$1004:$BQ$1004,1,MATCH(COLUMNS($AO$1006:AO1006),$AO$1006:$BQ$1006,0)))),"Fix")))</f>
        <v>#N/A</v>
      </c>
      <c r="C496" s="5" t="e">
        <f ca="1">IF(OR(INDEX($AI$2:$AI$1001,MATCH(ROWS($AH$2:AH496),$AH$2:$AH$1001,0),1)&gt;=100000,INDEX($AO$1005:$BQ$1005,1,MATCH(COLUMNS($AO$1006:AP1006),$AO$1006:$BQ$1006,0))&gt;=100000), " ",IF(INDEX($AO$2:$BQ$1001,MATCH(ROWS($AH$2:AH496),$AH$2:$AH$1001,0),MATCH(COLUMNS($AO$1006:AP1006),$AO$1006:$BQ$1006,0)), HYPERLINK("#",""), HYPERLINK(CONCATENATE("#Metadata!", ADDRESS(INDEX($AJ$2:$AJ$1001,MATCH(ROWS($AH$2:AH496),$AH$2:$AH$1001,0),0), INDEX($AO$1004:$BQ$1004,1,MATCH(COLUMNS($AO$1006:AP1006),$AO$1006:$BQ$1006,0)))),"Fix")))</f>
        <v>#N/A</v>
      </c>
      <c r="D496" s="5" t="e">
        <f ca="1">IF(OR(INDEX($AI$2:$AI$1001,MATCH(ROWS($AH$2:AH496),$AH$2:$AH$1001,0),1)&gt;=100000,INDEX($AO$1005:$BQ$1005,1,MATCH(COLUMNS($AO$1006:AQ1006),$AO$1006:$BQ$1006,0))&gt;=100000), " ",IF(INDEX($AO$2:$BQ$1001,MATCH(ROWS($AH$2:AH496),$AH$2:$AH$1001,0),MATCH(COLUMNS($AO$1006:AQ1006),$AO$1006:$BQ$1006,0)), HYPERLINK("#",""), HYPERLINK(CONCATENATE("#Metadata!", ADDRESS(INDEX($AJ$2:$AJ$1001,MATCH(ROWS($AH$2:AH496),$AH$2:$AH$1001,0),0), INDEX($AO$1004:$BQ$1004,1,MATCH(COLUMNS($AO$1006:AQ1006),$AO$1006:$BQ$1006,0)))),"Fix")))</f>
        <v>#N/A</v>
      </c>
      <c r="E496" s="5" t="e">
        <f ca="1">IF(OR(INDEX($AI$2:$AI$1001,MATCH(ROWS($AH$2:AH496),$AH$2:$AH$1001,0),1)&gt;=100000,INDEX($AO$1005:$BQ$1005,1,MATCH(COLUMNS($AO$1006:AR1006),$AO$1006:$BQ$1006,0))&gt;=100000), " ",IF(INDEX($AO$2:$BQ$1001,MATCH(ROWS($AH$2:AH496),$AH$2:$AH$1001,0),MATCH(COLUMNS($AO$1006:AR1006),$AO$1006:$BQ$1006,0)), HYPERLINK("#",""), HYPERLINK(CONCATENATE("#Metadata!", ADDRESS(INDEX($AJ$2:$AJ$1001,MATCH(ROWS($AH$2:AH496),$AH$2:$AH$1001,0),0), INDEX($AO$1004:$BQ$1004,1,MATCH(COLUMNS($AO$1006:AR1006),$AO$1006:$BQ$1006,0)))),"Fix")))</f>
        <v>#N/A</v>
      </c>
      <c r="F496" s="5" t="e">
        <f ca="1">IF(OR(INDEX($AI$2:$AI$1001,MATCH(ROWS($AH$2:AH496),$AH$2:$AH$1001,0),1)&gt;=100000,INDEX($AO$1005:$BQ$1005,1,MATCH(COLUMNS($AO$1006:AS1006),$AO$1006:$BQ$1006,0))&gt;=100000), " ",IF(INDEX($AO$2:$BQ$1001,MATCH(ROWS($AH$2:AH496),$AH$2:$AH$1001,0),MATCH(COLUMNS($AO$1006:AS1006),$AO$1006:$BQ$1006,0)), HYPERLINK("#",""), HYPERLINK(CONCATENATE("#Metadata!", ADDRESS(INDEX($AJ$2:$AJ$1001,MATCH(ROWS($AH$2:AH496),$AH$2:$AH$1001,0),0), INDEX($AO$1004:$BQ$1004,1,MATCH(COLUMNS($AO$1006:AS1006),$AO$1006:$BQ$1006,0)))),"Fix")))</f>
        <v>#N/A</v>
      </c>
      <c r="G496" s="5" t="e">
        <f ca="1">IF(OR(INDEX($AI$2:$AI$1001,MATCH(ROWS($AH$2:AH496),$AH$2:$AH$1001,0),1)&gt;=100000,INDEX($AO$1005:$BQ$1005,1,MATCH(COLUMNS($AO$1006:AT1006),$AO$1006:$BQ$1006,0))&gt;=100000), " ",IF(INDEX($AO$2:$BQ$1001,MATCH(ROWS($AH$2:AH496),$AH$2:$AH$1001,0),MATCH(COLUMNS($AO$1006:AT1006),$AO$1006:$BQ$1006,0)), HYPERLINK("#",""), HYPERLINK(CONCATENATE("#Metadata!", ADDRESS(INDEX($AJ$2:$AJ$1001,MATCH(ROWS($AH$2:AH496),$AH$2:$AH$1001,0),0), INDEX($AO$1004:$BQ$1004,1,MATCH(COLUMNS($AO$1006:AT1006),$AO$1006:$BQ$1006,0)))),"Fix")))</f>
        <v>#N/A</v>
      </c>
      <c r="H496" s="5" t="e">
        <f ca="1">IF(OR(INDEX($AI$2:$AI$1001,MATCH(ROWS($AH$2:AH496),$AH$2:$AH$1001,0),1)&gt;=100000,INDEX($AO$1005:$BQ$1005,1,MATCH(COLUMNS($AO$1006:AU1006),$AO$1006:$BQ$1006,0))&gt;=100000), " ",IF(INDEX($AO$2:$BQ$1001,MATCH(ROWS($AH$2:AH496),$AH$2:$AH$1001,0),MATCH(COLUMNS($AO$1006:AU1006),$AO$1006:$BQ$1006,0)), HYPERLINK("#",""), HYPERLINK(CONCATENATE("#Metadata!", ADDRESS(INDEX($AJ$2:$AJ$1001,MATCH(ROWS($AH$2:AH496),$AH$2:$AH$1001,0),0), INDEX($AO$1004:$BQ$1004,1,MATCH(COLUMNS($AO$1006:AU1006),$AO$1006:$BQ$1006,0)))),"Fix")))</f>
        <v>#N/A</v>
      </c>
      <c r="I496" s="5" t="e">
        <f ca="1">IF(OR(INDEX($AI$2:$AI$1001,MATCH(ROWS($AH$2:AH496),$AH$2:$AH$1001,0),1)&gt;=100000,INDEX($AO$1005:$BQ$1005,1,MATCH(COLUMNS($AO$1006:AV1006),$AO$1006:$BQ$1006,0))&gt;=100000), " ",IF(INDEX($AO$2:$BQ$1001,MATCH(ROWS($AH$2:AH496),$AH$2:$AH$1001,0),MATCH(COLUMNS($AO$1006:AV1006),$AO$1006:$BQ$1006,0)), HYPERLINK("#",""), HYPERLINK(CONCATENATE("#Metadata!", ADDRESS(INDEX($AJ$2:$AJ$1001,MATCH(ROWS($AH$2:AH496),$AH$2:$AH$1001,0),0), INDEX($AO$1004:$BQ$1004,1,MATCH(COLUMNS($AO$1006:AV1006),$AO$1006:$BQ$1006,0)))),"Fix")))</f>
        <v>#N/A</v>
      </c>
      <c r="J496" s="5" t="e">
        <f ca="1">IF(OR(INDEX($AI$2:$AI$1001,MATCH(ROWS($AH$2:AH496),$AH$2:$AH$1001,0),1)&gt;=100000,INDEX($AO$1005:$BQ$1005,1,MATCH(COLUMNS($AO$1006:AW1006),$AO$1006:$BQ$1006,0))&gt;=100000), " ",IF(INDEX($AO$2:$BQ$1001,MATCH(ROWS($AH$2:AH496),$AH$2:$AH$1001,0),MATCH(COLUMNS($AO$1006:AW1006),$AO$1006:$BQ$1006,0)), HYPERLINK("#",""), HYPERLINK(CONCATENATE("#Metadata!", ADDRESS(INDEX($AJ$2:$AJ$1001,MATCH(ROWS($AH$2:AH496),$AH$2:$AH$1001,0),0), INDEX($AO$1004:$BQ$1004,1,MATCH(COLUMNS($AO$1006:AW1006),$AO$1006:$BQ$1006,0)))),"Fix")))</f>
        <v>#N/A</v>
      </c>
      <c r="K496" s="5" t="e">
        <f ca="1">IF(OR(INDEX($AI$2:$AI$1001,MATCH(ROWS($AH$2:AH496),$AH$2:$AH$1001,0),1)&gt;=100000,INDEX($AO$1005:$BQ$1005,1,MATCH(COLUMNS($AO$1006:AX1006),$AO$1006:$BQ$1006,0))&gt;=100000), " ",IF(INDEX($AO$2:$BQ$1001,MATCH(ROWS($AH$2:AH496),$AH$2:$AH$1001,0),MATCH(COLUMNS($AO$1006:AX1006),$AO$1006:$BQ$1006,0)), HYPERLINK("#",""), HYPERLINK(CONCATENATE("#Metadata!", ADDRESS(INDEX($AJ$2:$AJ$1001,MATCH(ROWS($AH$2:AH496),$AH$2:$AH$1001,0),0), INDEX($AO$1004:$BQ$1004,1,MATCH(COLUMNS($AO$1006:AX1006),$AO$1006:$BQ$1006,0)))),"Fix")))</f>
        <v>#N/A</v>
      </c>
      <c r="L496" s="5" t="e">
        <f ca="1">IF(OR(INDEX($AI$2:$AI$1001,MATCH(ROWS($AH$2:AH496),$AH$2:$AH$1001,0),1)&gt;=100000,INDEX($AO$1005:$BQ$1005,1,MATCH(COLUMNS($AO$1006:AY1006),$AO$1006:$BQ$1006,0))&gt;=100000), " ",IF(INDEX($AO$2:$BQ$1001,MATCH(ROWS($AH$2:AH496),$AH$2:$AH$1001,0),MATCH(COLUMNS($AO$1006:AY1006),$AO$1006:$BQ$1006,0)), HYPERLINK("#",""), HYPERLINK(CONCATENATE("#Metadata!", ADDRESS(INDEX($AJ$2:$AJ$1001,MATCH(ROWS($AH$2:AH496),$AH$2:$AH$1001,0),0), INDEX($AO$1004:$BQ$1004,1,MATCH(COLUMNS($AO$1006:AY1006),$AO$1006:$BQ$1006,0)))),"Fix")))</f>
        <v>#N/A</v>
      </c>
      <c r="M496" s="5" t="e">
        <f ca="1">IF(OR(INDEX($AI$2:$AI$1001,MATCH(ROWS($AH$2:AH496),$AH$2:$AH$1001,0),1)&gt;=100000,INDEX($AO$1005:$BQ$1005,1,MATCH(COLUMNS($AO$1006:AZ1006),$AO$1006:$BQ$1006,0))&gt;=100000), " ",IF(INDEX($AO$2:$BQ$1001,MATCH(ROWS($AH$2:AH496),$AH$2:$AH$1001,0),MATCH(COLUMNS($AO$1006:AZ1006),$AO$1006:$BQ$1006,0)), HYPERLINK("#",""), HYPERLINK(CONCATENATE("#Metadata!", ADDRESS(INDEX($AJ$2:$AJ$1001,MATCH(ROWS($AH$2:AH496),$AH$2:$AH$1001,0),0), INDEX($AO$1004:$BQ$1004,1,MATCH(COLUMNS($AO$1006:AZ1006),$AO$1006:$BQ$1006,0)))),"Fix")))</f>
        <v>#N/A</v>
      </c>
      <c r="N496" s="5" t="e">
        <f ca="1">IF(OR(INDEX($AI$2:$AI$1001,MATCH(ROWS($AH$2:AH496),$AH$2:$AH$1001,0),1)&gt;=100000,INDEX($AO$1005:$BQ$1005,1,MATCH(COLUMNS($AO$1006:BA1006),$AO$1006:$BQ$1006,0))&gt;=100000), " ",IF(INDEX($AO$2:$BQ$1001,MATCH(ROWS($AH$2:AH496),$AH$2:$AH$1001,0),MATCH(COLUMNS($AO$1006:BA1006),$AO$1006:$BQ$1006,0)), HYPERLINK("#",""), HYPERLINK(CONCATENATE("#Metadata!", ADDRESS(INDEX($AJ$2:$AJ$1001,MATCH(ROWS($AH$2:AH496),$AH$2:$AH$1001,0),0), INDEX($AO$1004:$BQ$1004,1,MATCH(COLUMNS($AO$1006:BA1006),$AO$1006:$BQ$1006,0)))),"Fix")))</f>
        <v>#N/A</v>
      </c>
      <c r="O496" s="5" t="e">
        <f ca="1">IF(OR(INDEX($AI$2:$AI$1001,MATCH(ROWS($AH$2:AH496),$AH$2:$AH$1001,0),1)&gt;=100000,INDEX($AO$1005:$BQ$1005,1,MATCH(COLUMNS($AO$1006:BB1006),$AO$1006:$BQ$1006,0))&gt;=100000), " ",IF(INDEX($AO$2:$BQ$1001,MATCH(ROWS($AH$2:AH496),$AH$2:$AH$1001,0),MATCH(COLUMNS($AO$1006:BB1006),$AO$1006:$BQ$1006,0)), HYPERLINK("#",""), HYPERLINK(CONCATENATE("#Metadata!", ADDRESS(INDEX($AJ$2:$AJ$1001,MATCH(ROWS($AH$2:AH496),$AH$2:$AH$1001,0),0), INDEX($AO$1004:$BQ$1004,1,MATCH(COLUMNS($AO$1006:BB1006),$AO$1006:$BQ$1006,0)))),"Fix")))</f>
        <v>#N/A</v>
      </c>
      <c r="P496" s="5" t="e">
        <f ca="1">IF(OR(INDEX($AI$2:$AI$1001,MATCH(ROWS($AH$2:AH496),$AH$2:$AH$1001,0),1)&gt;=100000,INDEX($AO$1005:$BQ$1005,1,MATCH(COLUMNS($AO$1006:BC1006),$AO$1006:$BQ$1006,0))&gt;=100000), " ",IF(INDEX($AO$2:$BQ$1001,MATCH(ROWS($AH$2:AH496),$AH$2:$AH$1001,0),MATCH(COLUMNS($AO$1006:BC1006),$AO$1006:$BQ$1006,0)), HYPERLINK("#",""), HYPERLINK(CONCATENATE("#Metadata!", ADDRESS(INDEX($AJ$2:$AJ$1001,MATCH(ROWS($AH$2:AH496),$AH$2:$AH$1001,0),0), INDEX($AO$1004:$BQ$1004,1,MATCH(COLUMNS($AO$1006:BC1006),$AO$1006:$BQ$1006,0)))),"Fix")))</f>
        <v>#N/A</v>
      </c>
      <c r="Q496" s="5" t="e">
        <f ca="1">IF(OR(INDEX($AI$2:$AI$1001,MATCH(ROWS($AH$2:AH496),$AH$2:$AH$1001,0),1)&gt;=100000,INDEX($AO$1005:$BQ$1005,1,MATCH(COLUMNS($AO$1006:BD1006),$AO$1006:$BQ$1006,0))&gt;=100000), " ",IF(INDEX($AO$2:$BQ$1001,MATCH(ROWS($AH$2:AH496),$AH$2:$AH$1001,0),MATCH(COLUMNS($AO$1006:BD1006),$AO$1006:$BQ$1006,0)), HYPERLINK("#",""), HYPERLINK(CONCATENATE("#Metadata!", ADDRESS(INDEX($AJ$2:$AJ$1001,MATCH(ROWS($AH$2:AH496),$AH$2:$AH$1001,0),0), INDEX($AO$1004:$BQ$1004,1,MATCH(COLUMNS($AO$1006:BD1006),$AO$1006:$BQ$1006,0)))),"Fix")))</f>
        <v>#N/A</v>
      </c>
      <c r="R496" s="5" t="e">
        <f ca="1">IF(OR(INDEX($AI$2:$AI$1001,MATCH(ROWS($AH$2:AH496),$AH$2:$AH$1001,0),1)&gt;=100000,INDEX($AO$1005:$BQ$1005,1,MATCH(COLUMNS($AO$1006:BE1006),$AO$1006:$BQ$1006,0))&gt;=100000), " ",IF(INDEX($AO$2:$BQ$1001,MATCH(ROWS($AH$2:AH496),$AH$2:$AH$1001,0),MATCH(COLUMNS($AO$1006:BE1006),$AO$1006:$BQ$1006,0)), HYPERLINK("#",""), HYPERLINK(CONCATENATE("#Metadata!", ADDRESS(INDEX($AJ$2:$AJ$1001,MATCH(ROWS($AH$2:AH496),$AH$2:$AH$1001,0),0), INDEX($AO$1004:$BQ$1004,1,MATCH(COLUMNS($AO$1006:BE1006),$AO$1006:$BQ$1006,0)))),"Fix")))</f>
        <v>#N/A</v>
      </c>
      <c r="S496" s="5" t="e">
        <f ca="1">IF(OR(INDEX($AI$2:$AI$1001,MATCH(ROWS($AH$2:AH496),$AH$2:$AH$1001,0),1)&gt;=100000,INDEX($AO$1005:$BQ$1005,1,MATCH(COLUMNS($AO$1006:BF1006),$AO$1006:$BQ$1006,0))&gt;=100000), " ",IF(INDEX($AO$2:$BQ$1001,MATCH(ROWS($AH$2:AH496),$AH$2:$AH$1001,0),MATCH(COLUMNS($AO$1006:BF1006),$AO$1006:$BQ$1006,0)), HYPERLINK("#",""), HYPERLINK(CONCATENATE("#Metadata!", ADDRESS(INDEX($AJ$2:$AJ$1001,MATCH(ROWS($AH$2:AH496),$AH$2:$AH$1001,0),0), INDEX($AO$1004:$BQ$1004,1,MATCH(COLUMNS($AO$1006:BF1006),$AO$1006:$BQ$1006,0)))),"Fix")))</f>
        <v>#N/A</v>
      </c>
      <c r="T496" s="5" t="e">
        <f ca="1">IF(OR(INDEX($AI$2:$AI$1001,MATCH(ROWS($AH$2:AH496),$AH$2:$AH$1001,0),1)&gt;=100000,INDEX($AO$1005:$BQ$1005,1,MATCH(COLUMNS($AO$1006:BG1006),$AO$1006:$BQ$1006,0))&gt;=100000), " ",IF(INDEX($AO$2:$BQ$1001,MATCH(ROWS($AH$2:AH496),$AH$2:$AH$1001,0),MATCH(COLUMNS($AO$1006:BG1006),$AO$1006:$BQ$1006,0)), HYPERLINK("#",""), HYPERLINK(CONCATENATE("#Metadata!", ADDRESS(INDEX($AJ$2:$AJ$1001,MATCH(ROWS($AH$2:AH496),$AH$2:$AH$1001,0),0), INDEX($AO$1004:$BQ$1004,1,MATCH(COLUMNS($AO$1006:BG1006),$AO$1006:$BQ$1006,0)))),"Fix")))</f>
        <v>#N/A</v>
      </c>
      <c r="U496" s="5" t="e">
        <f ca="1">IF(OR(INDEX($AI$2:$AI$1001,MATCH(ROWS($AH$2:AH496),$AH$2:$AH$1001,0),1)&gt;=100000,INDEX($AO$1005:$BQ$1005,1,MATCH(COLUMNS($AO$1006:BH1006),$AO$1006:$BQ$1006,0))&gt;=100000), " ",IF(INDEX($AO$2:$BQ$1001,MATCH(ROWS($AH$2:AH496),$AH$2:$AH$1001,0),MATCH(COLUMNS($AO$1006:BH1006),$AO$1006:$BQ$1006,0)), HYPERLINK("#",""), HYPERLINK(CONCATENATE("#Metadata!", ADDRESS(INDEX($AJ$2:$AJ$1001,MATCH(ROWS($AH$2:AH496),$AH$2:$AH$1001,0),0), INDEX($AO$1004:$BQ$1004,1,MATCH(COLUMNS($AO$1006:BH1006),$AO$1006:$BQ$1006,0)))),"Fix")))</f>
        <v>#N/A</v>
      </c>
      <c r="V496" s="5" t="e">
        <f ca="1">IF(OR(INDEX($AI$2:$AI$1001,MATCH(ROWS($AH$2:AH496),$AH$2:$AH$1001,0),1)&gt;=100000,INDEX($AO$1005:$BQ$1005,1,MATCH(COLUMNS($AO$1006:BI1006),$AO$1006:$BQ$1006,0))&gt;=100000), " ",IF(INDEX($AO$2:$BQ$1001,MATCH(ROWS($AH$2:AH496),$AH$2:$AH$1001,0),MATCH(COLUMNS($AO$1006:BI1006),$AO$1006:$BQ$1006,0)), HYPERLINK("#",""), HYPERLINK(CONCATENATE("#Metadata!", ADDRESS(INDEX($AJ$2:$AJ$1001,MATCH(ROWS($AH$2:AH496),$AH$2:$AH$1001,0),0), INDEX($AO$1004:$BQ$1004,1,MATCH(COLUMNS($AO$1006:BI1006),$AO$1006:$BQ$1006,0)))),"Fix")))</f>
        <v>#N/A</v>
      </c>
      <c r="W496" s="5" t="e">
        <f ca="1">IF(OR(INDEX($AI$2:$AI$1001,MATCH(ROWS($AH$2:AH496),$AH$2:$AH$1001,0),1)&gt;=100000,INDEX($AO$1005:$BQ$1005,1,MATCH(COLUMNS($AO$1006:BJ1006),$AO$1006:$BQ$1006,0))&gt;=100000), " ",IF(INDEX($AO$2:$BQ$1001,MATCH(ROWS($AH$2:AH496),$AH$2:$AH$1001,0),MATCH(COLUMNS($AO$1006:BJ1006),$AO$1006:$BQ$1006,0)), HYPERLINK("#",""), HYPERLINK(CONCATENATE("#Metadata!", ADDRESS(INDEX($AJ$2:$AJ$1001,MATCH(ROWS($AH$2:AH496),$AH$2:$AH$1001,0),0), INDEX($AO$1004:$BQ$1004,1,MATCH(COLUMNS($AO$1006:BJ1006),$AO$1006:$BQ$1006,0)))),"Fix")))</f>
        <v>#N/A</v>
      </c>
      <c r="X496" s="5" t="e">
        <f ca="1">IF(OR(INDEX($AI$2:$AI$1001,MATCH(ROWS($AH$2:AH496),$AH$2:$AH$1001,0),1)&gt;=100000,INDEX($AO$1005:$BQ$1005,1,MATCH(COLUMNS($AO$1006:BK1006),$AO$1006:$BQ$1006,0))&gt;=100000), " ",IF(INDEX($AO$2:$BQ$1001,MATCH(ROWS($AH$2:AH496),$AH$2:$AH$1001,0),MATCH(COLUMNS($AO$1006:BK1006),$AO$1006:$BQ$1006,0)), HYPERLINK("#",""), HYPERLINK(CONCATENATE("#Metadata!", ADDRESS(INDEX($AJ$2:$AJ$1001,MATCH(ROWS($AH$2:AH496),$AH$2:$AH$1001,0),0), INDEX($AO$1004:$BQ$1004,1,MATCH(COLUMNS($AO$1006:BK1006),$AO$1006:$BQ$1006,0)))),"Fix")))</f>
        <v>#N/A</v>
      </c>
      <c r="Y496" s="5" t="e">
        <f ca="1">IF(OR(INDEX($AI$2:$AI$1001,MATCH(ROWS($AH$2:AH496),$AH$2:$AH$1001,0),1)&gt;=100000,INDEX($AO$1005:$BQ$1005,1,MATCH(COLUMNS($AO$1006:BL1006),$AO$1006:$BQ$1006,0))&gt;=100000), " ",IF(INDEX($AO$2:$BQ$1001,MATCH(ROWS($AH$2:AH496),$AH$2:$AH$1001,0),MATCH(COLUMNS($AO$1006:BL1006),$AO$1006:$BQ$1006,0)), HYPERLINK("#",""), HYPERLINK(CONCATENATE("#Metadata!", ADDRESS(INDEX($AJ$2:$AJ$1001,MATCH(ROWS($AH$2:AH496),$AH$2:$AH$1001,0),0), INDEX($AO$1004:$BQ$1004,1,MATCH(COLUMNS($AO$1006:BL1006),$AO$1006:$BQ$1006,0)))),"Fix")))</f>
        <v>#N/A</v>
      </c>
      <c r="Z496" s="5" t="e">
        <f ca="1">IF(OR(INDEX($AI$2:$AI$1001,MATCH(ROWS($AH$2:AH496),$AH$2:$AH$1001,0),1)&gt;=100000,INDEX($AO$1005:$BQ$1005,1,MATCH(COLUMNS($AO$1006:BM1006),$AO$1006:$BQ$1006,0))&gt;=100000), " ",IF(INDEX($AO$2:$BQ$1001,MATCH(ROWS($AH$2:AH496),$AH$2:$AH$1001,0),MATCH(COLUMNS($AO$1006:BM1006),$AO$1006:$BQ$1006,0)), HYPERLINK("#",""), HYPERLINK(CONCATENATE("#Metadata!", ADDRESS(INDEX($AJ$2:$AJ$1001,MATCH(ROWS($AH$2:AH496),$AH$2:$AH$1001,0),0), INDEX($AO$1004:$BQ$1004,1,MATCH(COLUMNS($AO$1006:BM1006),$AO$1006:$BQ$1006,0)))),"Fix")))</f>
        <v>#N/A</v>
      </c>
      <c r="AA496" s="5" t="e">
        <f ca="1">IF(OR(INDEX($AI$2:$AI$1001,MATCH(ROWS($AH$2:AH496),$AH$2:$AH$1001,0),1)&gt;=100000,INDEX($AO$1005:$BQ$1005,1,MATCH(COLUMNS($AO$1006:BN1006),$AO$1006:$BQ$1006,0))&gt;=100000), " ",IF(INDEX($AO$2:$BQ$1001,MATCH(ROWS($AH$2:AH496),$AH$2:$AH$1001,0),MATCH(COLUMNS($AO$1006:BN1006),$AO$1006:$BQ$1006,0)), HYPERLINK("#",""), HYPERLINK(CONCATENATE("#Metadata!", ADDRESS(INDEX($AJ$2:$AJ$1001,MATCH(ROWS($AH$2:AH496),$AH$2:$AH$1001,0),0), INDEX($AO$1004:$BQ$1004,1,MATCH(COLUMNS($AO$1006:BN1006),$AO$1006:$BQ$1006,0)))),"Fix")))</f>
        <v>#N/A</v>
      </c>
      <c r="AB496" s="5" t="e">
        <f ca="1">IF(OR(INDEX($AI$2:$AI$1001,MATCH(ROWS($AH$2:AH496),$AH$2:$AH$1001,0),1)&gt;=100000,INDEX($AO$1005:$BQ$1005,1,MATCH(COLUMNS($AO$1006:BO1006),$AO$1006:$BQ$1006,0))&gt;=100000), " ",IF(INDEX($AO$2:$BQ$1001,MATCH(ROWS($AH$2:AH496),$AH$2:$AH$1001,0),MATCH(COLUMNS($AO$1006:BO1006),$AO$1006:$BQ$1006,0)), HYPERLINK("#",""), HYPERLINK(CONCATENATE("#Metadata!", ADDRESS(INDEX($AJ$2:$AJ$1001,MATCH(ROWS($AH$2:AH496),$AH$2:$AH$1001,0),0), INDEX($AO$1004:$BQ$1004,1,MATCH(COLUMNS($AO$1006:BO1006),$AO$1006:$BQ$1006,0)))),"Fix")))</f>
        <v>#N/A</v>
      </c>
      <c r="AC496" s="5" t="e">
        <f ca="1">IF(OR(INDEX($AI$2:$AI$1001,MATCH(ROWS($AH$2:AH496),$AH$2:$AH$1001,0),1)&gt;=100000,INDEX($AO$1005:$BQ$1005,1,MATCH(COLUMNS($AO$1006:BP1006),$AO$1006:$BQ$1006,0))&gt;=100000), " ",IF(INDEX($AO$2:$BQ$1001,MATCH(ROWS($AH$2:AH496),$AH$2:$AH$1001,0),MATCH(COLUMNS($AO$1006:BP1006),$AO$1006:$BQ$1006,0)), HYPERLINK("#",""), HYPERLINK(CONCATENATE("#Metadata!", ADDRESS(INDEX($AJ$2:$AJ$1001,MATCH(ROWS($AH$2:AH496),$AH$2:$AH$1001,0),0), INDEX($AO$1004:$BQ$1004,1,MATCH(COLUMNS($AO$1006:BP1006),$AO$1006:$BQ$1006,0)))),"Fix")))</f>
        <v>#N/A</v>
      </c>
      <c r="AD496" s="5" t="e">
        <f ca="1">IF(OR(INDEX($AI$2:$AI$1001,MATCH(ROWS($AH$2:AH496),$AH$2:$AH$1001,0),1)&gt;=100000,INDEX($AO$1005:$BQ$1005,1,MATCH(COLUMNS($AO$1006:BQ1006),$AO$1006:$BQ$1006,0))&gt;=100000), " ",IF(INDEX($AO$2:$BQ$1001,MATCH(ROWS($AH$2:AH496),$AH$2:$AH$1001,0),MATCH(COLUMNS($AO$1006:BQ1006),$AO$1006:$BQ$1006,0)), HYPERLINK("#",""), HYPERLINK(CONCATENATE("#Metadata!", ADDRESS(INDEX($AJ$2:$AJ$1001,MATCH(ROWS($AH$2:AH496),$AH$2:$AH$1001,0),0), INDEX($AO$1004:$BQ$1004,1,MATCH(COLUMNS($AO$1006:BQ1006),$AO$1006:$BQ$1006,0)))),"Fix")))</f>
        <v>#REF!</v>
      </c>
      <c r="AH496">
        <f ca="1"/>
        <v>493</v>
      </c>
      <c r="AI496">
        <v>100496</v>
      </c>
      <c r="AJ496">
        <v>496</v>
      </c>
      <c r="AK496" t="b">
        <f t="shared" si="7"/>
        <v>1</v>
      </c>
      <c r="AL496" t="b">
        <f>COUNTBLANK(Metadata!B496:AD496)=COLUMNS(Metadata!B496:AD496)</f>
        <v>1</v>
      </c>
      <c r="AM496" t="str">
        <v/>
      </c>
      <c r="AO496" t="b">
        <f ca="1">AND(IF(Metadata!B496="",FALSE,TRUE),COUNTIF(Metadata!B:B, Metadata!B496) = 1,NOT(ISERROR(SUMPRODUCT(SEARCH(MID(Metadata!B496,ROW(INDIRECT("1:"&amp;LEN(Metadata!B496))), 1),"0123456789abcdefghijklmnopqrstuvwxyzABCDEFGHIJKLMNOPQRSTUVWXYZ.")))))</f>
        <v>0</v>
      </c>
      <c r="AP496" t="b">
        <f>IF(Metadata!C496="",FALSE,TRUE)</f>
        <v>0</v>
      </c>
      <c r="AQ496" t="b">
        <f>IF(Metadata!D496="",FALSE,TRUE)</f>
        <v>0</v>
      </c>
      <c r="AR496" t="b">
        <f ca="1">OR(AND(IF(Metadata!E496="",FALSE,TRUE),OR(EXACT(Metadata!E496,"not collected"),EXACT(Metadata!E496,"not provided"),EXACT(Metadata!E496,"restricted access"))),AND(IF(Metadata!E496="",FALSE,TRUE),AND(AND(IFERROR(INT(LEFT(Metadata!E496,4))&gt;1900,FALSE),IFERROR(INT(LEFT(Metadata!E496,4))&lt;=YEAR(NOW()),FALSE)), OR(MID(Metadata!E496,5,1)="", AND(AND(MID(Metadata!E496,5,1)="-",IFERROR(INT(MID(Metadata!E496,6,1))&gt;=0,FALSE),IFERROR(INT(MID(Metadata!E496,6,1))&lt;=1,FALSE),NOT(MID(Metadata!E496,7,1)=""),IFERROR(INT(MID(Metadata!E496,6,2))&gt;=1,FALSE),IFERROR(INT(MID(Metadata!E496,6,2))&lt;=12,FALSE)), OR(MID(Metadata!E496,8,1)="", AND(AND(MID(Metadata!E496,8,1)="-",IFERROR(INT(MID(Metadata!E496,9,1))&gt;=0,FALSE),IFERROR(INT(MID(Metadata!E496,9,1))&lt;=3,FALSE),NOT(MID(Metadata!E496,10,1)=""),IFERROR(INT(MID(Metadata!E496,9,2))&gt;=1,FALSE),IFERROR(INT(MID(Metadata!E496,9,2))&lt;=31,FALSE)), OR(MID(Metadata!E496,11,1)="", AND(AND(MID(Metadata!E496,11,1)=" ",IFERROR(INT(MID(Metadata!E496,12,1))&gt;=0,FALSE),IFERROR(INT(MID(Metadata!E496,12,1))&lt;=2,FALSE),NOT(MID(Metadata!E496,13,1)=""),IFERROR(INT(MID(Metadata!E496,12,2))&gt;=0,FALSE),IFERROR(INT(MID(Metadata!E496,12,2))&lt;=23,FALSE)), OR(MID(Metadata!E496,14,1)="", AND(AND(MID(Metadata!E496,14,1)=":",IFERROR(INT(MID(Metadata!E496,15,1))&gt;=0,FALSE),IFERROR(INT(MID(Metadata!E496,15,1))&lt;=5,FALSE),NOT(MID(Metadata!E496,16,1)=""),IFERROR(INT(MID(Metadata!E496,15,2))&gt;=0,FALSE),IFERROR(INT(MID(Metadata!E496,15,2))&lt;=59,FALSE)), OR(MID(Metadata!E496,17,1)="", AND(AND(MID(Metadata!E496,17,1)=":",IFERROR(INT(MID(Metadata!E496,18,1))&gt;=0,FALSE),IFERROR(INT(MID(Metadata!E496,18,1))&lt;=5,FALSE),NOT(MID(Metadata!E496,19,1)=""),IFERROR(INT(MID(Metadata!E496,18,2))&gt;=0,FALSE),IFERROR(INT(MID(Metadata!E496,18,2))&lt;=59,FALSE)), LEN(Metadata!E496)&lt;=19)))))))))))))</f>
        <v>0</v>
      </c>
      <c r="AS496" t="b">
        <f>IF(Metadata!F496="",FALSE,TRUE)</f>
        <v>0</v>
      </c>
      <c r="AT496" t="b">
        <f>OR(AND(IF(Metadata!G496="",FALSE,TRUE),OR(EXACT(Metadata!G496,"not collected"),EXACT(Metadata!G496,"not provided"))),AND(IF(Metadata!G496="",FALSE,TRUE),OR(EXACT(Metadata!G496,"TRUE"),EXACT(Metadata!G496,"FALSE"))))</f>
        <v>0</v>
      </c>
      <c r="AU496" t="b">
        <f>OR(AND(IF(Metadata!H496="",FALSE,TRUE),OR(EXACT(Metadata!H496,"not collected"),EXACT(Metadata!H496,"not provided"),EXACT(Metadata!H496,"restricted access"))),AND(IF(Metadata!H496="",FALSE,ISNUMBER(VALUE(Metadata!H496))),Metadata!H496&gt;=-413))</f>
        <v>0</v>
      </c>
      <c r="AV496" t="b">
        <f>AND(IF(Metadata!I496="",FALSE,TRUE),EXACT(Metadata!I496,"meters"))</f>
        <v>0</v>
      </c>
      <c r="AW496" t="b">
        <f>AND(IF(Metadata!J496="",FALSE,TRUE),EXACT(Metadata!J496,"free-living"))</f>
        <v>0</v>
      </c>
      <c r="AX496" t="b">
        <f>AND(IF(Metadata!K496="",FALSE,TRUE),OR(EXACT(Metadata!K496,"saline"),EXACT(Metadata!K496,"non-saline")))</f>
        <v>0</v>
      </c>
      <c r="AY496" t="b">
        <f>AND(IF(Metadata!L496="",FALSE,TRUE),OR(EXACT(Metadata!L496,"sub-surface (non-saline)"),EXACT(Metadata!L496,"surface (non-saline)"),EXACT(Metadata!L496,"water (non-saline)"),EXACT(Metadata!L496,"soil (non-saline)"),EXACT(Metadata!L496,"aerosol (non-saline)"),EXACT(Metadata!L496,"sediment (non-saline)"),EXACT(Metadata!L496,"surface (saline)"),EXACT(Metadata!L496,"water (saline)"),EXACT(Metadata!L496,"hypersaline (saline)"),EXACT(Metadata!L496,"aerosol (saline)"),EXACT(Metadata!L496,"sediment (saline)")))</f>
        <v>0</v>
      </c>
      <c r="AZ496" t="b">
        <f>IF(Metadata!M496="",FALSE,TRUE)</f>
        <v>0</v>
      </c>
      <c r="BA496" t="b">
        <f>IF(Metadata!N496="",FALSE,TRUE)</f>
        <v>0</v>
      </c>
      <c r="BB496" t="b">
        <f>IF(Metadata!O496="",FALSE,TRUE)</f>
        <v>0</v>
      </c>
      <c r="BC496" t="b">
        <f>AND(IF(Metadata!P496="",FALSE,TRUE),OR(EXACT(Metadata!P496,"air"),EXACT(Metadata!P496,"microbial mat/biofilm"),EXACT(Metadata!P496,"misc environment"),EXACT(Metadata!P496,"sediment"),EXACT(Metadata!P496,"soil"),EXACT(Metadata!P496,"wastewater/sludge"),EXACT(Metadata!P496,"water")))</f>
        <v>0</v>
      </c>
      <c r="BD496" t="b">
        <f>IF(Metadata!Q496="",FALSE,TRUE)</f>
        <v>0</v>
      </c>
      <c r="BE496" t="b">
        <f>IF(Metadata!R496="",FALSE,TRUE)</f>
        <v>0</v>
      </c>
      <c r="BF496" t="b">
        <f>OR(AND(IF(Metadata!S496="",FALSE,TRUE),OR(EXACT(Metadata!S496,"not collected"),EXACT(Metadata!S496,"not provided"),EXACT(Metadata!S496,"restricted access"))),AND(IF(Metadata!S496="",FALSE,ISNUMBER(VALUE(Metadata!S496))),Metadata!S496&gt;=-90,Metadata!S496&lt;=90))</f>
        <v>0</v>
      </c>
      <c r="BG496" t="b">
        <f>AND(IF(Metadata!T496="",FALSE,TRUE),EXACT(Metadata!T496,"Decimal degrees"))</f>
        <v>0</v>
      </c>
      <c r="BH496" t="b">
        <f>OR(AND(IF(Metadata!U496="",FALSE,TRUE),OR(EXACT(Metadata!U496,"not applicable"),EXACT(Metadata!U496,"not collected"))),IF(Metadata!U496="",FALSE,TRUE))</f>
        <v>0</v>
      </c>
      <c r="BI496" t="b">
        <f>OR(AND(IF(Metadata!V496="",FALSE,TRUE),OR(EXACT(Metadata!V496,"not collected"),EXACT(Metadata!V496,"not provided"),EXACT(Metadata!V496,"restricted access"))),AND(IF(Metadata!V496="",FALSE,ISNUMBER(VALUE(Metadata!V496))),Metadata!V496&gt;=-180,Metadata!V496&lt;=180))</f>
        <v>0</v>
      </c>
      <c r="BJ496" t="b">
        <f>AND(IF(Metadata!W496="",FALSE,TRUE),EXACT(Metadata!W496,"Decimal degrees"))</f>
        <v>0</v>
      </c>
      <c r="BK496" t="b">
        <f>IF(Metadata!X496="",FALSE,TRUE)</f>
        <v>0</v>
      </c>
      <c r="BL496" t="b">
        <f>OR(AND(IF(Metadata!Y496="",FALSE,TRUE),OR(EXACT(Metadata!Y496,"not collected"),EXACT(Metadata!Y496,"not provided"),EXACT(Metadata!Y496,"restricted access"))),AND(IF(Metadata!Y496="",FALSE,TRUE),OR(EXACT(Metadata!Y496,"TRUE"),EXACT(Metadata!Y496,"FALSE"))))</f>
        <v>0</v>
      </c>
      <c r="BM496" t="b">
        <f>OR(AND(IF(Metadata!Z496="",FALSE,TRUE),EXACT(Metadata!Z496,"not applicable")),AND(IF(Metadata!Z496="",FALSE,TRUE),OR(EXACT(Metadata!Z496,"beer"),EXACT(Metadata!Z496,"cheese"),EXACT(Metadata!Z496,"fresh water"),EXACT(Metadata!Z496,"marine sediment"),EXACT(Metadata!Z496,"sea water"),EXACT(Metadata!Z496,"sediment"),EXACT(Metadata!Z496,"soil"),EXACT(Metadata!Z496,"waste water"))))</f>
        <v>0</v>
      </c>
      <c r="BN496" t="b">
        <f>AND(IF(Metadata!AA496="",FALSE,TRUE),EXACT(Metadata!AA496,"metagenome"))</f>
        <v>0</v>
      </c>
      <c r="BO496" t="b">
        <f>AND(IF(Metadata!AB496="",FALSE,TRUE),EXACT(Metadata!AB496,"256318"))</f>
        <v>0</v>
      </c>
      <c r="BP496" t="b">
        <f>IF(Metadata!AC496="",FALSE,TRUE)</f>
        <v>0</v>
      </c>
      <c r="BQ496" t="b">
        <f>IF(Metadata!AD496="",FALSE,TRUE)</f>
        <v>0</v>
      </c>
    </row>
    <row r="497" spans="1:69" x14ac:dyDescent="0.2">
      <c r="A497" s="4" t="e">
        <f ca="1">IF(B497=" "," ",HYPERLINK(CONCATENATE("#metadata!",ADDRESS(INDEX($AJ$2:$AJ$1001,MATCH(ROWS($AH$2:AH497),$AH$2:$AH$1001,0),0),2)),INDEX($AM$2:$AM$1001,MATCH(ROWS($AH$2:AH497),$AH$2:$AH$1001,0),0)))</f>
        <v>#N/A</v>
      </c>
      <c r="B497" s="5" t="e">
        <f ca="1">IF(OR(INDEX($AI$2:$AI$1001,MATCH(ROWS($AH$2:AH497),$AH$2:$AH$1001,0),1)&gt;=100000,INDEX($AO$1005:$BQ$1005,1,MATCH(COLUMNS($AO$1006:AO1006),$AO$1006:$BQ$1006,0))&gt;=100000), " ",IF(INDEX($AO$2:$BQ$1001,MATCH(ROWS($AH$2:AH497),$AH$2:$AH$1001,0),MATCH(COLUMNS($AO$1006:AO1006),$AO$1006:$BQ$1006,0)), HYPERLINK("#",""), HYPERLINK(CONCATENATE("#Metadata!", ADDRESS(INDEX($AJ$2:$AJ$1001,MATCH(ROWS($AH$2:AH497),$AH$2:$AH$1001,0),0), INDEX($AO$1004:$BQ$1004,1,MATCH(COLUMNS($AO$1006:AO1006),$AO$1006:$BQ$1006,0)))),"Fix")))</f>
        <v>#N/A</v>
      </c>
      <c r="C497" s="5" t="e">
        <f ca="1">IF(OR(INDEX($AI$2:$AI$1001,MATCH(ROWS($AH$2:AH497),$AH$2:$AH$1001,0),1)&gt;=100000,INDEX($AO$1005:$BQ$1005,1,MATCH(COLUMNS($AO$1006:AP1006),$AO$1006:$BQ$1006,0))&gt;=100000), " ",IF(INDEX($AO$2:$BQ$1001,MATCH(ROWS($AH$2:AH497),$AH$2:$AH$1001,0),MATCH(COLUMNS($AO$1006:AP1006),$AO$1006:$BQ$1006,0)), HYPERLINK("#",""), HYPERLINK(CONCATENATE("#Metadata!", ADDRESS(INDEX($AJ$2:$AJ$1001,MATCH(ROWS($AH$2:AH497),$AH$2:$AH$1001,0),0), INDEX($AO$1004:$BQ$1004,1,MATCH(COLUMNS($AO$1006:AP1006),$AO$1006:$BQ$1006,0)))),"Fix")))</f>
        <v>#N/A</v>
      </c>
      <c r="D497" s="5" t="e">
        <f ca="1">IF(OR(INDEX($AI$2:$AI$1001,MATCH(ROWS($AH$2:AH497),$AH$2:$AH$1001,0),1)&gt;=100000,INDEX($AO$1005:$BQ$1005,1,MATCH(COLUMNS($AO$1006:AQ1006),$AO$1006:$BQ$1006,0))&gt;=100000), " ",IF(INDEX($AO$2:$BQ$1001,MATCH(ROWS($AH$2:AH497),$AH$2:$AH$1001,0),MATCH(COLUMNS($AO$1006:AQ1006),$AO$1006:$BQ$1006,0)), HYPERLINK("#",""), HYPERLINK(CONCATENATE("#Metadata!", ADDRESS(INDEX($AJ$2:$AJ$1001,MATCH(ROWS($AH$2:AH497),$AH$2:$AH$1001,0),0), INDEX($AO$1004:$BQ$1004,1,MATCH(COLUMNS($AO$1006:AQ1006),$AO$1006:$BQ$1006,0)))),"Fix")))</f>
        <v>#N/A</v>
      </c>
      <c r="E497" s="5" t="e">
        <f ca="1">IF(OR(INDEX($AI$2:$AI$1001,MATCH(ROWS($AH$2:AH497),$AH$2:$AH$1001,0),1)&gt;=100000,INDEX($AO$1005:$BQ$1005,1,MATCH(COLUMNS($AO$1006:AR1006),$AO$1006:$BQ$1006,0))&gt;=100000), " ",IF(INDEX($AO$2:$BQ$1001,MATCH(ROWS($AH$2:AH497),$AH$2:$AH$1001,0),MATCH(COLUMNS($AO$1006:AR1006),$AO$1006:$BQ$1006,0)), HYPERLINK("#",""), HYPERLINK(CONCATENATE("#Metadata!", ADDRESS(INDEX($AJ$2:$AJ$1001,MATCH(ROWS($AH$2:AH497),$AH$2:$AH$1001,0),0), INDEX($AO$1004:$BQ$1004,1,MATCH(COLUMNS($AO$1006:AR1006),$AO$1006:$BQ$1006,0)))),"Fix")))</f>
        <v>#N/A</v>
      </c>
      <c r="F497" s="5" t="e">
        <f ca="1">IF(OR(INDEX($AI$2:$AI$1001,MATCH(ROWS($AH$2:AH497),$AH$2:$AH$1001,0),1)&gt;=100000,INDEX($AO$1005:$BQ$1005,1,MATCH(COLUMNS($AO$1006:AS1006),$AO$1006:$BQ$1006,0))&gt;=100000), " ",IF(INDEX($AO$2:$BQ$1001,MATCH(ROWS($AH$2:AH497),$AH$2:$AH$1001,0),MATCH(COLUMNS($AO$1006:AS1006),$AO$1006:$BQ$1006,0)), HYPERLINK("#",""), HYPERLINK(CONCATENATE("#Metadata!", ADDRESS(INDEX($AJ$2:$AJ$1001,MATCH(ROWS($AH$2:AH497),$AH$2:$AH$1001,0),0), INDEX($AO$1004:$BQ$1004,1,MATCH(COLUMNS($AO$1006:AS1006),$AO$1006:$BQ$1006,0)))),"Fix")))</f>
        <v>#N/A</v>
      </c>
      <c r="G497" s="5" t="e">
        <f ca="1">IF(OR(INDEX($AI$2:$AI$1001,MATCH(ROWS($AH$2:AH497),$AH$2:$AH$1001,0),1)&gt;=100000,INDEX($AO$1005:$BQ$1005,1,MATCH(COLUMNS($AO$1006:AT1006),$AO$1006:$BQ$1006,0))&gt;=100000), " ",IF(INDEX($AO$2:$BQ$1001,MATCH(ROWS($AH$2:AH497),$AH$2:$AH$1001,0),MATCH(COLUMNS($AO$1006:AT1006),$AO$1006:$BQ$1006,0)), HYPERLINK("#",""), HYPERLINK(CONCATENATE("#Metadata!", ADDRESS(INDEX($AJ$2:$AJ$1001,MATCH(ROWS($AH$2:AH497),$AH$2:$AH$1001,0),0), INDEX($AO$1004:$BQ$1004,1,MATCH(COLUMNS($AO$1006:AT1006),$AO$1006:$BQ$1006,0)))),"Fix")))</f>
        <v>#N/A</v>
      </c>
      <c r="H497" s="5" t="e">
        <f ca="1">IF(OR(INDEX($AI$2:$AI$1001,MATCH(ROWS($AH$2:AH497),$AH$2:$AH$1001,0),1)&gt;=100000,INDEX($AO$1005:$BQ$1005,1,MATCH(COLUMNS($AO$1006:AU1006),$AO$1006:$BQ$1006,0))&gt;=100000), " ",IF(INDEX($AO$2:$BQ$1001,MATCH(ROWS($AH$2:AH497),$AH$2:$AH$1001,0),MATCH(COLUMNS($AO$1006:AU1006),$AO$1006:$BQ$1006,0)), HYPERLINK("#",""), HYPERLINK(CONCATENATE("#Metadata!", ADDRESS(INDEX($AJ$2:$AJ$1001,MATCH(ROWS($AH$2:AH497),$AH$2:$AH$1001,0),0), INDEX($AO$1004:$BQ$1004,1,MATCH(COLUMNS($AO$1006:AU1006),$AO$1006:$BQ$1006,0)))),"Fix")))</f>
        <v>#N/A</v>
      </c>
      <c r="I497" s="5" t="e">
        <f ca="1">IF(OR(INDEX($AI$2:$AI$1001,MATCH(ROWS($AH$2:AH497),$AH$2:$AH$1001,0),1)&gt;=100000,INDEX($AO$1005:$BQ$1005,1,MATCH(COLUMNS($AO$1006:AV1006),$AO$1006:$BQ$1006,0))&gt;=100000), " ",IF(INDEX($AO$2:$BQ$1001,MATCH(ROWS($AH$2:AH497),$AH$2:$AH$1001,0),MATCH(COLUMNS($AO$1006:AV1006),$AO$1006:$BQ$1006,0)), HYPERLINK("#",""), HYPERLINK(CONCATENATE("#Metadata!", ADDRESS(INDEX($AJ$2:$AJ$1001,MATCH(ROWS($AH$2:AH497),$AH$2:$AH$1001,0),0), INDEX($AO$1004:$BQ$1004,1,MATCH(COLUMNS($AO$1006:AV1006),$AO$1006:$BQ$1006,0)))),"Fix")))</f>
        <v>#N/A</v>
      </c>
      <c r="J497" s="5" t="e">
        <f ca="1">IF(OR(INDEX($AI$2:$AI$1001,MATCH(ROWS($AH$2:AH497),$AH$2:$AH$1001,0),1)&gt;=100000,INDEX($AO$1005:$BQ$1005,1,MATCH(COLUMNS($AO$1006:AW1006),$AO$1006:$BQ$1006,0))&gt;=100000), " ",IF(INDEX($AO$2:$BQ$1001,MATCH(ROWS($AH$2:AH497),$AH$2:$AH$1001,0),MATCH(COLUMNS($AO$1006:AW1006),$AO$1006:$BQ$1006,0)), HYPERLINK("#",""), HYPERLINK(CONCATENATE("#Metadata!", ADDRESS(INDEX($AJ$2:$AJ$1001,MATCH(ROWS($AH$2:AH497),$AH$2:$AH$1001,0),0), INDEX($AO$1004:$BQ$1004,1,MATCH(COLUMNS($AO$1006:AW1006),$AO$1006:$BQ$1006,0)))),"Fix")))</f>
        <v>#N/A</v>
      </c>
      <c r="K497" s="5" t="e">
        <f ca="1">IF(OR(INDEX($AI$2:$AI$1001,MATCH(ROWS($AH$2:AH497),$AH$2:$AH$1001,0),1)&gt;=100000,INDEX($AO$1005:$BQ$1005,1,MATCH(COLUMNS($AO$1006:AX1006),$AO$1006:$BQ$1006,0))&gt;=100000), " ",IF(INDEX($AO$2:$BQ$1001,MATCH(ROWS($AH$2:AH497),$AH$2:$AH$1001,0),MATCH(COLUMNS($AO$1006:AX1006),$AO$1006:$BQ$1006,0)), HYPERLINK("#",""), HYPERLINK(CONCATENATE("#Metadata!", ADDRESS(INDEX($AJ$2:$AJ$1001,MATCH(ROWS($AH$2:AH497),$AH$2:$AH$1001,0),0), INDEX($AO$1004:$BQ$1004,1,MATCH(COLUMNS($AO$1006:AX1006),$AO$1006:$BQ$1006,0)))),"Fix")))</f>
        <v>#N/A</v>
      </c>
      <c r="L497" s="5" t="e">
        <f ca="1">IF(OR(INDEX($AI$2:$AI$1001,MATCH(ROWS($AH$2:AH497),$AH$2:$AH$1001,0),1)&gt;=100000,INDEX($AO$1005:$BQ$1005,1,MATCH(COLUMNS($AO$1006:AY1006),$AO$1006:$BQ$1006,0))&gt;=100000), " ",IF(INDEX($AO$2:$BQ$1001,MATCH(ROWS($AH$2:AH497),$AH$2:$AH$1001,0),MATCH(COLUMNS($AO$1006:AY1006),$AO$1006:$BQ$1006,0)), HYPERLINK("#",""), HYPERLINK(CONCATENATE("#Metadata!", ADDRESS(INDEX($AJ$2:$AJ$1001,MATCH(ROWS($AH$2:AH497),$AH$2:$AH$1001,0),0), INDEX($AO$1004:$BQ$1004,1,MATCH(COLUMNS($AO$1006:AY1006),$AO$1006:$BQ$1006,0)))),"Fix")))</f>
        <v>#N/A</v>
      </c>
      <c r="M497" s="5" t="e">
        <f ca="1">IF(OR(INDEX($AI$2:$AI$1001,MATCH(ROWS($AH$2:AH497),$AH$2:$AH$1001,0),1)&gt;=100000,INDEX($AO$1005:$BQ$1005,1,MATCH(COLUMNS($AO$1006:AZ1006),$AO$1006:$BQ$1006,0))&gt;=100000), " ",IF(INDEX($AO$2:$BQ$1001,MATCH(ROWS($AH$2:AH497),$AH$2:$AH$1001,0),MATCH(COLUMNS($AO$1006:AZ1006),$AO$1006:$BQ$1006,0)), HYPERLINK("#",""), HYPERLINK(CONCATENATE("#Metadata!", ADDRESS(INDEX($AJ$2:$AJ$1001,MATCH(ROWS($AH$2:AH497),$AH$2:$AH$1001,0),0), INDEX($AO$1004:$BQ$1004,1,MATCH(COLUMNS($AO$1006:AZ1006),$AO$1006:$BQ$1006,0)))),"Fix")))</f>
        <v>#N/A</v>
      </c>
      <c r="N497" s="5" t="e">
        <f ca="1">IF(OR(INDEX($AI$2:$AI$1001,MATCH(ROWS($AH$2:AH497),$AH$2:$AH$1001,0),1)&gt;=100000,INDEX($AO$1005:$BQ$1005,1,MATCH(COLUMNS($AO$1006:BA1006),$AO$1006:$BQ$1006,0))&gt;=100000), " ",IF(INDEX($AO$2:$BQ$1001,MATCH(ROWS($AH$2:AH497),$AH$2:$AH$1001,0),MATCH(COLUMNS($AO$1006:BA1006),$AO$1006:$BQ$1006,0)), HYPERLINK("#",""), HYPERLINK(CONCATENATE("#Metadata!", ADDRESS(INDEX($AJ$2:$AJ$1001,MATCH(ROWS($AH$2:AH497),$AH$2:$AH$1001,0),0), INDEX($AO$1004:$BQ$1004,1,MATCH(COLUMNS($AO$1006:BA1006),$AO$1006:$BQ$1006,0)))),"Fix")))</f>
        <v>#N/A</v>
      </c>
      <c r="O497" s="5" t="e">
        <f ca="1">IF(OR(INDEX($AI$2:$AI$1001,MATCH(ROWS($AH$2:AH497),$AH$2:$AH$1001,0),1)&gt;=100000,INDEX($AO$1005:$BQ$1005,1,MATCH(COLUMNS($AO$1006:BB1006),$AO$1006:$BQ$1006,0))&gt;=100000), " ",IF(INDEX($AO$2:$BQ$1001,MATCH(ROWS($AH$2:AH497),$AH$2:$AH$1001,0),MATCH(COLUMNS($AO$1006:BB1006),$AO$1006:$BQ$1006,0)), HYPERLINK("#",""), HYPERLINK(CONCATENATE("#Metadata!", ADDRESS(INDEX($AJ$2:$AJ$1001,MATCH(ROWS($AH$2:AH497),$AH$2:$AH$1001,0),0), INDEX($AO$1004:$BQ$1004,1,MATCH(COLUMNS($AO$1006:BB1006),$AO$1006:$BQ$1006,0)))),"Fix")))</f>
        <v>#N/A</v>
      </c>
      <c r="P497" s="5" t="e">
        <f ca="1">IF(OR(INDEX($AI$2:$AI$1001,MATCH(ROWS($AH$2:AH497),$AH$2:$AH$1001,0),1)&gt;=100000,INDEX($AO$1005:$BQ$1005,1,MATCH(COLUMNS($AO$1006:BC1006),$AO$1006:$BQ$1006,0))&gt;=100000), " ",IF(INDEX($AO$2:$BQ$1001,MATCH(ROWS($AH$2:AH497),$AH$2:$AH$1001,0),MATCH(COLUMNS($AO$1006:BC1006),$AO$1006:$BQ$1006,0)), HYPERLINK("#",""), HYPERLINK(CONCATENATE("#Metadata!", ADDRESS(INDEX($AJ$2:$AJ$1001,MATCH(ROWS($AH$2:AH497),$AH$2:$AH$1001,0),0), INDEX($AO$1004:$BQ$1004,1,MATCH(COLUMNS($AO$1006:BC1006),$AO$1006:$BQ$1006,0)))),"Fix")))</f>
        <v>#N/A</v>
      </c>
      <c r="Q497" s="5" t="e">
        <f ca="1">IF(OR(INDEX($AI$2:$AI$1001,MATCH(ROWS($AH$2:AH497),$AH$2:$AH$1001,0),1)&gt;=100000,INDEX($AO$1005:$BQ$1005,1,MATCH(COLUMNS($AO$1006:BD1006),$AO$1006:$BQ$1006,0))&gt;=100000), " ",IF(INDEX($AO$2:$BQ$1001,MATCH(ROWS($AH$2:AH497),$AH$2:$AH$1001,0),MATCH(COLUMNS($AO$1006:BD1006),$AO$1006:$BQ$1006,0)), HYPERLINK("#",""), HYPERLINK(CONCATENATE("#Metadata!", ADDRESS(INDEX($AJ$2:$AJ$1001,MATCH(ROWS($AH$2:AH497),$AH$2:$AH$1001,0),0), INDEX($AO$1004:$BQ$1004,1,MATCH(COLUMNS($AO$1006:BD1006),$AO$1006:$BQ$1006,0)))),"Fix")))</f>
        <v>#N/A</v>
      </c>
      <c r="R497" s="5" t="e">
        <f ca="1">IF(OR(INDEX($AI$2:$AI$1001,MATCH(ROWS($AH$2:AH497),$AH$2:$AH$1001,0),1)&gt;=100000,INDEX($AO$1005:$BQ$1005,1,MATCH(COLUMNS($AO$1006:BE1006),$AO$1006:$BQ$1006,0))&gt;=100000), " ",IF(INDEX($AO$2:$BQ$1001,MATCH(ROWS($AH$2:AH497),$AH$2:$AH$1001,0),MATCH(COLUMNS($AO$1006:BE1006),$AO$1006:$BQ$1006,0)), HYPERLINK("#",""), HYPERLINK(CONCATENATE("#Metadata!", ADDRESS(INDEX($AJ$2:$AJ$1001,MATCH(ROWS($AH$2:AH497),$AH$2:$AH$1001,0),0), INDEX($AO$1004:$BQ$1004,1,MATCH(COLUMNS($AO$1006:BE1006),$AO$1006:$BQ$1006,0)))),"Fix")))</f>
        <v>#N/A</v>
      </c>
      <c r="S497" s="5" t="e">
        <f ca="1">IF(OR(INDEX($AI$2:$AI$1001,MATCH(ROWS($AH$2:AH497),$AH$2:$AH$1001,0),1)&gt;=100000,INDEX($AO$1005:$BQ$1005,1,MATCH(COLUMNS($AO$1006:BF1006),$AO$1006:$BQ$1006,0))&gt;=100000), " ",IF(INDEX($AO$2:$BQ$1001,MATCH(ROWS($AH$2:AH497),$AH$2:$AH$1001,0),MATCH(COLUMNS($AO$1006:BF1006),$AO$1006:$BQ$1006,0)), HYPERLINK("#",""), HYPERLINK(CONCATENATE("#Metadata!", ADDRESS(INDEX($AJ$2:$AJ$1001,MATCH(ROWS($AH$2:AH497),$AH$2:$AH$1001,0),0), INDEX($AO$1004:$BQ$1004,1,MATCH(COLUMNS($AO$1006:BF1006),$AO$1006:$BQ$1006,0)))),"Fix")))</f>
        <v>#N/A</v>
      </c>
      <c r="T497" s="5" t="e">
        <f ca="1">IF(OR(INDEX($AI$2:$AI$1001,MATCH(ROWS($AH$2:AH497),$AH$2:$AH$1001,0),1)&gt;=100000,INDEX($AO$1005:$BQ$1005,1,MATCH(COLUMNS($AO$1006:BG1006),$AO$1006:$BQ$1006,0))&gt;=100000), " ",IF(INDEX($AO$2:$BQ$1001,MATCH(ROWS($AH$2:AH497),$AH$2:$AH$1001,0),MATCH(COLUMNS($AO$1006:BG1006),$AO$1006:$BQ$1006,0)), HYPERLINK("#",""), HYPERLINK(CONCATENATE("#Metadata!", ADDRESS(INDEX($AJ$2:$AJ$1001,MATCH(ROWS($AH$2:AH497),$AH$2:$AH$1001,0),0), INDEX($AO$1004:$BQ$1004,1,MATCH(COLUMNS($AO$1006:BG1006),$AO$1006:$BQ$1006,0)))),"Fix")))</f>
        <v>#N/A</v>
      </c>
      <c r="U497" s="5" t="e">
        <f ca="1">IF(OR(INDEX($AI$2:$AI$1001,MATCH(ROWS($AH$2:AH497),$AH$2:$AH$1001,0),1)&gt;=100000,INDEX($AO$1005:$BQ$1005,1,MATCH(COLUMNS($AO$1006:BH1006),$AO$1006:$BQ$1006,0))&gt;=100000), " ",IF(INDEX($AO$2:$BQ$1001,MATCH(ROWS($AH$2:AH497),$AH$2:$AH$1001,0),MATCH(COLUMNS($AO$1006:BH1006),$AO$1006:$BQ$1006,0)), HYPERLINK("#",""), HYPERLINK(CONCATENATE("#Metadata!", ADDRESS(INDEX($AJ$2:$AJ$1001,MATCH(ROWS($AH$2:AH497),$AH$2:$AH$1001,0),0), INDEX($AO$1004:$BQ$1004,1,MATCH(COLUMNS($AO$1006:BH1006),$AO$1006:$BQ$1006,0)))),"Fix")))</f>
        <v>#N/A</v>
      </c>
      <c r="V497" s="5" t="e">
        <f ca="1">IF(OR(INDEX($AI$2:$AI$1001,MATCH(ROWS($AH$2:AH497),$AH$2:$AH$1001,0),1)&gt;=100000,INDEX($AO$1005:$BQ$1005,1,MATCH(COLUMNS($AO$1006:BI1006),$AO$1006:$BQ$1006,0))&gt;=100000), " ",IF(INDEX($AO$2:$BQ$1001,MATCH(ROWS($AH$2:AH497),$AH$2:$AH$1001,0),MATCH(COLUMNS($AO$1006:BI1006),$AO$1006:$BQ$1006,0)), HYPERLINK("#",""), HYPERLINK(CONCATENATE("#Metadata!", ADDRESS(INDEX($AJ$2:$AJ$1001,MATCH(ROWS($AH$2:AH497),$AH$2:$AH$1001,0),0), INDEX($AO$1004:$BQ$1004,1,MATCH(COLUMNS($AO$1006:BI1006),$AO$1006:$BQ$1006,0)))),"Fix")))</f>
        <v>#N/A</v>
      </c>
      <c r="W497" s="5" t="e">
        <f ca="1">IF(OR(INDEX($AI$2:$AI$1001,MATCH(ROWS($AH$2:AH497),$AH$2:$AH$1001,0),1)&gt;=100000,INDEX($AO$1005:$BQ$1005,1,MATCH(COLUMNS($AO$1006:BJ1006),$AO$1006:$BQ$1006,0))&gt;=100000), " ",IF(INDEX($AO$2:$BQ$1001,MATCH(ROWS($AH$2:AH497),$AH$2:$AH$1001,0),MATCH(COLUMNS($AO$1006:BJ1006),$AO$1006:$BQ$1006,0)), HYPERLINK("#",""), HYPERLINK(CONCATENATE("#Metadata!", ADDRESS(INDEX($AJ$2:$AJ$1001,MATCH(ROWS($AH$2:AH497),$AH$2:$AH$1001,0),0), INDEX($AO$1004:$BQ$1004,1,MATCH(COLUMNS($AO$1006:BJ1006),$AO$1006:$BQ$1006,0)))),"Fix")))</f>
        <v>#N/A</v>
      </c>
      <c r="X497" s="5" t="e">
        <f ca="1">IF(OR(INDEX($AI$2:$AI$1001,MATCH(ROWS($AH$2:AH497),$AH$2:$AH$1001,0),1)&gt;=100000,INDEX($AO$1005:$BQ$1005,1,MATCH(COLUMNS($AO$1006:BK1006),$AO$1006:$BQ$1006,0))&gt;=100000), " ",IF(INDEX($AO$2:$BQ$1001,MATCH(ROWS($AH$2:AH497),$AH$2:$AH$1001,0),MATCH(COLUMNS($AO$1006:BK1006),$AO$1006:$BQ$1006,0)), HYPERLINK("#",""), HYPERLINK(CONCATENATE("#Metadata!", ADDRESS(INDEX($AJ$2:$AJ$1001,MATCH(ROWS($AH$2:AH497),$AH$2:$AH$1001,0),0), INDEX($AO$1004:$BQ$1004,1,MATCH(COLUMNS($AO$1006:BK1006),$AO$1006:$BQ$1006,0)))),"Fix")))</f>
        <v>#N/A</v>
      </c>
      <c r="Y497" s="5" t="e">
        <f ca="1">IF(OR(INDEX($AI$2:$AI$1001,MATCH(ROWS($AH$2:AH497),$AH$2:$AH$1001,0),1)&gt;=100000,INDEX($AO$1005:$BQ$1005,1,MATCH(COLUMNS($AO$1006:BL1006),$AO$1006:$BQ$1006,0))&gt;=100000), " ",IF(INDEX($AO$2:$BQ$1001,MATCH(ROWS($AH$2:AH497),$AH$2:$AH$1001,0),MATCH(COLUMNS($AO$1006:BL1006),$AO$1006:$BQ$1006,0)), HYPERLINK("#",""), HYPERLINK(CONCATENATE("#Metadata!", ADDRESS(INDEX($AJ$2:$AJ$1001,MATCH(ROWS($AH$2:AH497),$AH$2:$AH$1001,0),0), INDEX($AO$1004:$BQ$1004,1,MATCH(COLUMNS($AO$1006:BL1006),$AO$1006:$BQ$1006,0)))),"Fix")))</f>
        <v>#N/A</v>
      </c>
      <c r="Z497" s="5" t="e">
        <f ca="1">IF(OR(INDEX($AI$2:$AI$1001,MATCH(ROWS($AH$2:AH497),$AH$2:$AH$1001,0),1)&gt;=100000,INDEX($AO$1005:$BQ$1005,1,MATCH(COLUMNS($AO$1006:BM1006),$AO$1006:$BQ$1006,0))&gt;=100000), " ",IF(INDEX($AO$2:$BQ$1001,MATCH(ROWS($AH$2:AH497),$AH$2:$AH$1001,0),MATCH(COLUMNS($AO$1006:BM1006),$AO$1006:$BQ$1006,0)), HYPERLINK("#",""), HYPERLINK(CONCATENATE("#Metadata!", ADDRESS(INDEX($AJ$2:$AJ$1001,MATCH(ROWS($AH$2:AH497),$AH$2:$AH$1001,0),0), INDEX($AO$1004:$BQ$1004,1,MATCH(COLUMNS($AO$1006:BM1006),$AO$1006:$BQ$1006,0)))),"Fix")))</f>
        <v>#N/A</v>
      </c>
      <c r="AA497" s="5" t="e">
        <f ca="1">IF(OR(INDEX($AI$2:$AI$1001,MATCH(ROWS($AH$2:AH497),$AH$2:$AH$1001,0),1)&gt;=100000,INDEX($AO$1005:$BQ$1005,1,MATCH(COLUMNS($AO$1006:BN1006),$AO$1006:$BQ$1006,0))&gt;=100000), " ",IF(INDEX($AO$2:$BQ$1001,MATCH(ROWS($AH$2:AH497),$AH$2:$AH$1001,0),MATCH(COLUMNS($AO$1006:BN1006),$AO$1006:$BQ$1006,0)), HYPERLINK("#",""), HYPERLINK(CONCATENATE("#Metadata!", ADDRESS(INDEX($AJ$2:$AJ$1001,MATCH(ROWS($AH$2:AH497),$AH$2:$AH$1001,0),0), INDEX($AO$1004:$BQ$1004,1,MATCH(COLUMNS($AO$1006:BN1006),$AO$1006:$BQ$1006,0)))),"Fix")))</f>
        <v>#N/A</v>
      </c>
      <c r="AB497" s="5" t="e">
        <f ca="1">IF(OR(INDEX($AI$2:$AI$1001,MATCH(ROWS($AH$2:AH497),$AH$2:$AH$1001,0),1)&gt;=100000,INDEX($AO$1005:$BQ$1005,1,MATCH(COLUMNS($AO$1006:BO1006),$AO$1006:$BQ$1006,0))&gt;=100000), " ",IF(INDEX($AO$2:$BQ$1001,MATCH(ROWS($AH$2:AH497),$AH$2:$AH$1001,0),MATCH(COLUMNS($AO$1006:BO1006),$AO$1006:$BQ$1006,0)), HYPERLINK("#",""), HYPERLINK(CONCATENATE("#Metadata!", ADDRESS(INDEX($AJ$2:$AJ$1001,MATCH(ROWS($AH$2:AH497),$AH$2:$AH$1001,0),0), INDEX($AO$1004:$BQ$1004,1,MATCH(COLUMNS($AO$1006:BO1006),$AO$1006:$BQ$1006,0)))),"Fix")))</f>
        <v>#N/A</v>
      </c>
      <c r="AC497" s="5" t="e">
        <f ca="1">IF(OR(INDEX($AI$2:$AI$1001,MATCH(ROWS($AH$2:AH497),$AH$2:$AH$1001,0),1)&gt;=100000,INDEX($AO$1005:$BQ$1005,1,MATCH(COLUMNS($AO$1006:BP1006),$AO$1006:$BQ$1006,0))&gt;=100000), " ",IF(INDEX($AO$2:$BQ$1001,MATCH(ROWS($AH$2:AH497),$AH$2:$AH$1001,0),MATCH(COLUMNS($AO$1006:BP1006),$AO$1006:$BQ$1006,0)), HYPERLINK("#",""), HYPERLINK(CONCATENATE("#Metadata!", ADDRESS(INDEX($AJ$2:$AJ$1001,MATCH(ROWS($AH$2:AH497),$AH$2:$AH$1001,0),0), INDEX($AO$1004:$BQ$1004,1,MATCH(COLUMNS($AO$1006:BP1006),$AO$1006:$BQ$1006,0)))),"Fix")))</f>
        <v>#N/A</v>
      </c>
      <c r="AD497" s="5" t="e">
        <f ca="1">IF(OR(INDEX($AI$2:$AI$1001,MATCH(ROWS($AH$2:AH497),$AH$2:$AH$1001,0),1)&gt;=100000,INDEX($AO$1005:$BQ$1005,1,MATCH(COLUMNS($AO$1006:BQ1006),$AO$1006:$BQ$1006,0))&gt;=100000), " ",IF(INDEX($AO$2:$BQ$1001,MATCH(ROWS($AH$2:AH497),$AH$2:$AH$1001,0),MATCH(COLUMNS($AO$1006:BQ1006),$AO$1006:$BQ$1006,0)), HYPERLINK("#",""), HYPERLINK(CONCATENATE("#Metadata!", ADDRESS(INDEX($AJ$2:$AJ$1001,MATCH(ROWS($AH$2:AH497),$AH$2:$AH$1001,0),0), INDEX($AO$1004:$BQ$1004,1,MATCH(COLUMNS($AO$1006:BQ1006),$AO$1006:$BQ$1006,0)))),"Fix")))</f>
        <v>#REF!</v>
      </c>
      <c r="AH497">
        <f ca="1"/>
        <v>494</v>
      </c>
      <c r="AI497">
        <v>100497</v>
      </c>
      <c r="AJ497">
        <v>497</v>
      </c>
      <c r="AK497" t="b">
        <f t="shared" si="7"/>
        <v>1</v>
      </c>
      <c r="AL497" t="b">
        <f>COUNTBLANK(Metadata!B497:AD497)=COLUMNS(Metadata!B497:AD497)</f>
        <v>1</v>
      </c>
      <c r="AM497" t="str">
        <v/>
      </c>
      <c r="AO497" t="b">
        <f ca="1">AND(IF(Metadata!B497="",FALSE,TRUE),COUNTIF(Metadata!B:B, Metadata!B497) = 1,NOT(ISERROR(SUMPRODUCT(SEARCH(MID(Metadata!B497,ROW(INDIRECT("1:"&amp;LEN(Metadata!B497))), 1),"0123456789abcdefghijklmnopqrstuvwxyzABCDEFGHIJKLMNOPQRSTUVWXYZ.")))))</f>
        <v>0</v>
      </c>
      <c r="AP497" t="b">
        <f>IF(Metadata!C497="",FALSE,TRUE)</f>
        <v>0</v>
      </c>
      <c r="AQ497" t="b">
        <f>IF(Metadata!D497="",FALSE,TRUE)</f>
        <v>0</v>
      </c>
      <c r="AR497" t="b">
        <f ca="1">OR(AND(IF(Metadata!E497="",FALSE,TRUE),OR(EXACT(Metadata!E497,"not collected"),EXACT(Metadata!E497,"not provided"),EXACT(Metadata!E497,"restricted access"))),AND(IF(Metadata!E497="",FALSE,TRUE),AND(AND(IFERROR(INT(LEFT(Metadata!E497,4))&gt;1900,FALSE),IFERROR(INT(LEFT(Metadata!E497,4))&lt;=YEAR(NOW()),FALSE)), OR(MID(Metadata!E497,5,1)="", AND(AND(MID(Metadata!E497,5,1)="-",IFERROR(INT(MID(Metadata!E497,6,1))&gt;=0,FALSE),IFERROR(INT(MID(Metadata!E497,6,1))&lt;=1,FALSE),NOT(MID(Metadata!E497,7,1)=""),IFERROR(INT(MID(Metadata!E497,6,2))&gt;=1,FALSE),IFERROR(INT(MID(Metadata!E497,6,2))&lt;=12,FALSE)), OR(MID(Metadata!E497,8,1)="", AND(AND(MID(Metadata!E497,8,1)="-",IFERROR(INT(MID(Metadata!E497,9,1))&gt;=0,FALSE),IFERROR(INT(MID(Metadata!E497,9,1))&lt;=3,FALSE),NOT(MID(Metadata!E497,10,1)=""),IFERROR(INT(MID(Metadata!E497,9,2))&gt;=1,FALSE),IFERROR(INT(MID(Metadata!E497,9,2))&lt;=31,FALSE)), OR(MID(Metadata!E497,11,1)="", AND(AND(MID(Metadata!E497,11,1)=" ",IFERROR(INT(MID(Metadata!E497,12,1))&gt;=0,FALSE),IFERROR(INT(MID(Metadata!E497,12,1))&lt;=2,FALSE),NOT(MID(Metadata!E497,13,1)=""),IFERROR(INT(MID(Metadata!E497,12,2))&gt;=0,FALSE),IFERROR(INT(MID(Metadata!E497,12,2))&lt;=23,FALSE)), OR(MID(Metadata!E497,14,1)="", AND(AND(MID(Metadata!E497,14,1)=":",IFERROR(INT(MID(Metadata!E497,15,1))&gt;=0,FALSE),IFERROR(INT(MID(Metadata!E497,15,1))&lt;=5,FALSE),NOT(MID(Metadata!E497,16,1)=""),IFERROR(INT(MID(Metadata!E497,15,2))&gt;=0,FALSE),IFERROR(INT(MID(Metadata!E497,15,2))&lt;=59,FALSE)), OR(MID(Metadata!E497,17,1)="", AND(AND(MID(Metadata!E497,17,1)=":",IFERROR(INT(MID(Metadata!E497,18,1))&gt;=0,FALSE),IFERROR(INT(MID(Metadata!E497,18,1))&lt;=5,FALSE),NOT(MID(Metadata!E497,19,1)=""),IFERROR(INT(MID(Metadata!E497,18,2))&gt;=0,FALSE),IFERROR(INT(MID(Metadata!E497,18,2))&lt;=59,FALSE)), LEN(Metadata!E497)&lt;=19)))))))))))))</f>
        <v>0</v>
      </c>
      <c r="AS497" t="b">
        <f>IF(Metadata!F497="",FALSE,TRUE)</f>
        <v>0</v>
      </c>
      <c r="AT497" t="b">
        <f>OR(AND(IF(Metadata!G497="",FALSE,TRUE),OR(EXACT(Metadata!G497,"not collected"),EXACT(Metadata!G497,"not provided"))),AND(IF(Metadata!G497="",FALSE,TRUE),OR(EXACT(Metadata!G497,"TRUE"),EXACT(Metadata!G497,"FALSE"))))</f>
        <v>0</v>
      </c>
      <c r="AU497" t="b">
        <f>OR(AND(IF(Metadata!H497="",FALSE,TRUE),OR(EXACT(Metadata!H497,"not collected"),EXACT(Metadata!H497,"not provided"),EXACT(Metadata!H497,"restricted access"))),AND(IF(Metadata!H497="",FALSE,ISNUMBER(VALUE(Metadata!H497))),Metadata!H497&gt;=-413))</f>
        <v>0</v>
      </c>
      <c r="AV497" t="b">
        <f>AND(IF(Metadata!I497="",FALSE,TRUE),EXACT(Metadata!I497,"meters"))</f>
        <v>0</v>
      </c>
      <c r="AW497" t="b">
        <f>AND(IF(Metadata!J497="",FALSE,TRUE),EXACT(Metadata!J497,"free-living"))</f>
        <v>0</v>
      </c>
      <c r="AX497" t="b">
        <f>AND(IF(Metadata!K497="",FALSE,TRUE),OR(EXACT(Metadata!K497,"saline"),EXACT(Metadata!K497,"non-saline")))</f>
        <v>0</v>
      </c>
      <c r="AY497" t="b">
        <f>AND(IF(Metadata!L497="",FALSE,TRUE),OR(EXACT(Metadata!L497,"sub-surface (non-saline)"),EXACT(Metadata!L497,"surface (non-saline)"),EXACT(Metadata!L497,"water (non-saline)"),EXACT(Metadata!L497,"soil (non-saline)"),EXACT(Metadata!L497,"aerosol (non-saline)"),EXACT(Metadata!L497,"sediment (non-saline)"),EXACT(Metadata!L497,"surface (saline)"),EXACT(Metadata!L497,"water (saline)"),EXACT(Metadata!L497,"hypersaline (saline)"),EXACT(Metadata!L497,"aerosol (saline)"),EXACT(Metadata!L497,"sediment (saline)")))</f>
        <v>0</v>
      </c>
      <c r="AZ497" t="b">
        <f>IF(Metadata!M497="",FALSE,TRUE)</f>
        <v>0</v>
      </c>
      <c r="BA497" t="b">
        <f>IF(Metadata!N497="",FALSE,TRUE)</f>
        <v>0</v>
      </c>
      <c r="BB497" t="b">
        <f>IF(Metadata!O497="",FALSE,TRUE)</f>
        <v>0</v>
      </c>
      <c r="BC497" t="b">
        <f>AND(IF(Metadata!P497="",FALSE,TRUE),OR(EXACT(Metadata!P497,"air"),EXACT(Metadata!P497,"microbial mat/biofilm"),EXACT(Metadata!P497,"misc environment"),EXACT(Metadata!P497,"sediment"),EXACT(Metadata!P497,"soil"),EXACT(Metadata!P497,"wastewater/sludge"),EXACT(Metadata!P497,"water")))</f>
        <v>0</v>
      </c>
      <c r="BD497" t="b">
        <f>IF(Metadata!Q497="",FALSE,TRUE)</f>
        <v>0</v>
      </c>
      <c r="BE497" t="b">
        <f>IF(Metadata!R497="",FALSE,TRUE)</f>
        <v>0</v>
      </c>
      <c r="BF497" t="b">
        <f>OR(AND(IF(Metadata!S497="",FALSE,TRUE),OR(EXACT(Metadata!S497,"not collected"),EXACT(Metadata!S497,"not provided"),EXACT(Metadata!S497,"restricted access"))),AND(IF(Metadata!S497="",FALSE,ISNUMBER(VALUE(Metadata!S497))),Metadata!S497&gt;=-90,Metadata!S497&lt;=90))</f>
        <v>0</v>
      </c>
      <c r="BG497" t="b">
        <f>AND(IF(Metadata!T497="",FALSE,TRUE),EXACT(Metadata!T497,"Decimal degrees"))</f>
        <v>0</v>
      </c>
      <c r="BH497" t="b">
        <f>OR(AND(IF(Metadata!U497="",FALSE,TRUE),OR(EXACT(Metadata!U497,"not applicable"),EXACT(Metadata!U497,"not collected"))),IF(Metadata!U497="",FALSE,TRUE))</f>
        <v>0</v>
      </c>
      <c r="BI497" t="b">
        <f>OR(AND(IF(Metadata!V497="",FALSE,TRUE),OR(EXACT(Metadata!V497,"not collected"),EXACT(Metadata!V497,"not provided"),EXACT(Metadata!V497,"restricted access"))),AND(IF(Metadata!V497="",FALSE,ISNUMBER(VALUE(Metadata!V497))),Metadata!V497&gt;=-180,Metadata!V497&lt;=180))</f>
        <v>0</v>
      </c>
      <c r="BJ497" t="b">
        <f>AND(IF(Metadata!W497="",FALSE,TRUE),EXACT(Metadata!W497,"Decimal degrees"))</f>
        <v>0</v>
      </c>
      <c r="BK497" t="b">
        <f>IF(Metadata!X497="",FALSE,TRUE)</f>
        <v>0</v>
      </c>
      <c r="BL497" t="b">
        <f>OR(AND(IF(Metadata!Y497="",FALSE,TRUE),OR(EXACT(Metadata!Y497,"not collected"),EXACT(Metadata!Y497,"not provided"),EXACT(Metadata!Y497,"restricted access"))),AND(IF(Metadata!Y497="",FALSE,TRUE),OR(EXACT(Metadata!Y497,"TRUE"),EXACT(Metadata!Y497,"FALSE"))))</f>
        <v>0</v>
      </c>
      <c r="BM497" t="b">
        <f>OR(AND(IF(Metadata!Z497="",FALSE,TRUE),EXACT(Metadata!Z497,"not applicable")),AND(IF(Metadata!Z497="",FALSE,TRUE),OR(EXACT(Metadata!Z497,"beer"),EXACT(Metadata!Z497,"cheese"),EXACT(Metadata!Z497,"fresh water"),EXACT(Metadata!Z497,"marine sediment"),EXACT(Metadata!Z497,"sea water"),EXACT(Metadata!Z497,"sediment"),EXACT(Metadata!Z497,"soil"),EXACT(Metadata!Z497,"waste water"))))</f>
        <v>0</v>
      </c>
      <c r="BN497" t="b">
        <f>AND(IF(Metadata!AA497="",FALSE,TRUE),EXACT(Metadata!AA497,"metagenome"))</f>
        <v>0</v>
      </c>
      <c r="BO497" t="b">
        <f>AND(IF(Metadata!AB497="",FALSE,TRUE),EXACT(Metadata!AB497,"256318"))</f>
        <v>0</v>
      </c>
      <c r="BP497" t="b">
        <f>IF(Metadata!AC497="",FALSE,TRUE)</f>
        <v>0</v>
      </c>
      <c r="BQ497" t="b">
        <f>IF(Metadata!AD497="",FALSE,TRUE)</f>
        <v>0</v>
      </c>
    </row>
    <row r="498" spans="1:69" x14ac:dyDescent="0.2">
      <c r="A498" s="4" t="e">
        <f ca="1">IF(B498=" "," ",HYPERLINK(CONCATENATE("#metadata!",ADDRESS(INDEX($AJ$2:$AJ$1001,MATCH(ROWS($AH$2:AH498),$AH$2:$AH$1001,0),0),2)),INDEX($AM$2:$AM$1001,MATCH(ROWS($AH$2:AH498),$AH$2:$AH$1001,0),0)))</f>
        <v>#N/A</v>
      </c>
      <c r="B498" s="5" t="e">
        <f ca="1">IF(OR(INDEX($AI$2:$AI$1001,MATCH(ROWS($AH$2:AH498),$AH$2:$AH$1001,0),1)&gt;=100000,INDEX($AO$1005:$BQ$1005,1,MATCH(COLUMNS($AO$1006:AO1006),$AO$1006:$BQ$1006,0))&gt;=100000), " ",IF(INDEX($AO$2:$BQ$1001,MATCH(ROWS($AH$2:AH498),$AH$2:$AH$1001,0),MATCH(COLUMNS($AO$1006:AO1006),$AO$1006:$BQ$1006,0)), HYPERLINK("#",""), HYPERLINK(CONCATENATE("#Metadata!", ADDRESS(INDEX($AJ$2:$AJ$1001,MATCH(ROWS($AH$2:AH498),$AH$2:$AH$1001,0),0), INDEX($AO$1004:$BQ$1004,1,MATCH(COLUMNS($AO$1006:AO1006),$AO$1006:$BQ$1006,0)))),"Fix")))</f>
        <v>#N/A</v>
      </c>
      <c r="C498" s="5" t="e">
        <f ca="1">IF(OR(INDEX($AI$2:$AI$1001,MATCH(ROWS($AH$2:AH498),$AH$2:$AH$1001,0),1)&gt;=100000,INDEX($AO$1005:$BQ$1005,1,MATCH(COLUMNS($AO$1006:AP1006),$AO$1006:$BQ$1006,0))&gt;=100000), " ",IF(INDEX($AO$2:$BQ$1001,MATCH(ROWS($AH$2:AH498),$AH$2:$AH$1001,0),MATCH(COLUMNS($AO$1006:AP1006),$AO$1006:$BQ$1006,0)), HYPERLINK("#",""), HYPERLINK(CONCATENATE("#Metadata!", ADDRESS(INDEX($AJ$2:$AJ$1001,MATCH(ROWS($AH$2:AH498),$AH$2:$AH$1001,0),0), INDEX($AO$1004:$BQ$1004,1,MATCH(COLUMNS($AO$1006:AP1006),$AO$1006:$BQ$1006,0)))),"Fix")))</f>
        <v>#N/A</v>
      </c>
      <c r="D498" s="5" t="e">
        <f ca="1">IF(OR(INDEX($AI$2:$AI$1001,MATCH(ROWS($AH$2:AH498),$AH$2:$AH$1001,0),1)&gt;=100000,INDEX($AO$1005:$BQ$1005,1,MATCH(COLUMNS($AO$1006:AQ1006),$AO$1006:$BQ$1006,0))&gt;=100000), " ",IF(INDEX($AO$2:$BQ$1001,MATCH(ROWS($AH$2:AH498),$AH$2:$AH$1001,0),MATCH(COLUMNS($AO$1006:AQ1006),$AO$1006:$BQ$1006,0)), HYPERLINK("#",""), HYPERLINK(CONCATENATE("#Metadata!", ADDRESS(INDEX($AJ$2:$AJ$1001,MATCH(ROWS($AH$2:AH498),$AH$2:$AH$1001,0),0), INDEX($AO$1004:$BQ$1004,1,MATCH(COLUMNS($AO$1006:AQ1006),$AO$1006:$BQ$1006,0)))),"Fix")))</f>
        <v>#N/A</v>
      </c>
      <c r="E498" s="5" t="e">
        <f ca="1">IF(OR(INDEX($AI$2:$AI$1001,MATCH(ROWS($AH$2:AH498),$AH$2:$AH$1001,0),1)&gt;=100000,INDEX($AO$1005:$BQ$1005,1,MATCH(COLUMNS($AO$1006:AR1006),$AO$1006:$BQ$1006,0))&gt;=100000), " ",IF(INDEX($AO$2:$BQ$1001,MATCH(ROWS($AH$2:AH498),$AH$2:$AH$1001,0),MATCH(COLUMNS($AO$1006:AR1006),$AO$1006:$BQ$1006,0)), HYPERLINK("#",""), HYPERLINK(CONCATENATE("#Metadata!", ADDRESS(INDEX($AJ$2:$AJ$1001,MATCH(ROWS($AH$2:AH498),$AH$2:$AH$1001,0),0), INDEX($AO$1004:$BQ$1004,1,MATCH(COLUMNS($AO$1006:AR1006),$AO$1006:$BQ$1006,0)))),"Fix")))</f>
        <v>#N/A</v>
      </c>
      <c r="F498" s="5" t="e">
        <f ca="1">IF(OR(INDEX($AI$2:$AI$1001,MATCH(ROWS($AH$2:AH498),$AH$2:$AH$1001,0),1)&gt;=100000,INDEX($AO$1005:$BQ$1005,1,MATCH(COLUMNS($AO$1006:AS1006),$AO$1006:$BQ$1006,0))&gt;=100000), " ",IF(INDEX($AO$2:$BQ$1001,MATCH(ROWS($AH$2:AH498),$AH$2:$AH$1001,0),MATCH(COLUMNS($AO$1006:AS1006),$AO$1006:$BQ$1006,0)), HYPERLINK("#",""), HYPERLINK(CONCATENATE("#Metadata!", ADDRESS(INDEX($AJ$2:$AJ$1001,MATCH(ROWS($AH$2:AH498),$AH$2:$AH$1001,0),0), INDEX($AO$1004:$BQ$1004,1,MATCH(COLUMNS($AO$1006:AS1006),$AO$1006:$BQ$1006,0)))),"Fix")))</f>
        <v>#N/A</v>
      </c>
      <c r="G498" s="5" t="e">
        <f ca="1">IF(OR(INDEX($AI$2:$AI$1001,MATCH(ROWS($AH$2:AH498),$AH$2:$AH$1001,0),1)&gt;=100000,INDEX($AO$1005:$BQ$1005,1,MATCH(COLUMNS($AO$1006:AT1006),$AO$1006:$BQ$1006,0))&gt;=100000), " ",IF(INDEX($AO$2:$BQ$1001,MATCH(ROWS($AH$2:AH498),$AH$2:$AH$1001,0),MATCH(COLUMNS($AO$1006:AT1006),$AO$1006:$BQ$1006,0)), HYPERLINK("#",""), HYPERLINK(CONCATENATE("#Metadata!", ADDRESS(INDEX($AJ$2:$AJ$1001,MATCH(ROWS($AH$2:AH498),$AH$2:$AH$1001,0),0), INDEX($AO$1004:$BQ$1004,1,MATCH(COLUMNS($AO$1006:AT1006),$AO$1006:$BQ$1006,0)))),"Fix")))</f>
        <v>#N/A</v>
      </c>
      <c r="H498" s="5" t="e">
        <f ca="1">IF(OR(INDEX($AI$2:$AI$1001,MATCH(ROWS($AH$2:AH498),$AH$2:$AH$1001,0),1)&gt;=100000,INDEX($AO$1005:$BQ$1005,1,MATCH(COLUMNS($AO$1006:AU1006),$AO$1006:$BQ$1006,0))&gt;=100000), " ",IF(INDEX($AO$2:$BQ$1001,MATCH(ROWS($AH$2:AH498),$AH$2:$AH$1001,0),MATCH(COLUMNS($AO$1006:AU1006),$AO$1006:$BQ$1006,0)), HYPERLINK("#",""), HYPERLINK(CONCATENATE("#Metadata!", ADDRESS(INDEX($AJ$2:$AJ$1001,MATCH(ROWS($AH$2:AH498),$AH$2:$AH$1001,0),0), INDEX($AO$1004:$BQ$1004,1,MATCH(COLUMNS($AO$1006:AU1006),$AO$1006:$BQ$1006,0)))),"Fix")))</f>
        <v>#N/A</v>
      </c>
      <c r="I498" s="5" t="e">
        <f ca="1">IF(OR(INDEX($AI$2:$AI$1001,MATCH(ROWS($AH$2:AH498),$AH$2:$AH$1001,0),1)&gt;=100000,INDEX($AO$1005:$BQ$1005,1,MATCH(COLUMNS($AO$1006:AV1006),$AO$1006:$BQ$1006,0))&gt;=100000), " ",IF(INDEX($AO$2:$BQ$1001,MATCH(ROWS($AH$2:AH498),$AH$2:$AH$1001,0),MATCH(COLUMNS($AO$1006:AV1006),$AO$1006:$BQ$1006,0)), HYPERLINK("#",""), HYPERLINK(CONCATENATE("#Metadata!", ADDRESS(INDEX($AJ$2:$AJ$1001,MATCH(ROWS($AH$2:AH498),$AH$2:$AH$1001,0),0), INDEX($AO$1004:$BQ$1004,1,MATCH(COLUMNS($AO$1006:AV1006),$AO$1006:$BQ$1006,0)))),"Fix")))</f>
        <v>#N/A</v>
      </c>
      <c r="J498" s="5" t="e">
        <f ca="1">IF(OR(INDEX($AI$2:$AI$1001,MATCH(ROWS($AH$2:AH498),$AH$2:$AH$1001,0),1)&gt;=100000,INDEX($AO$1005:$BQ$1005,1,MATCH(COLUMNS($AO$1006:AW1006),$AO$1006:$BQ$1006,0))&gt;=100000), " ",IF(INDEX($AO$2:$BQ$1001,MATCH(ROWS($AH$2:AH498),$AH$2:$AH$1001,0),MATCH(COLUMNS($AO$1006:AW1006),$AO$1006:$BQ$1006,0)), HYPERLINK("#",""), HYPERLINK(CONCATENATE("#Metadata!", ADDRESS(INDEX($AJ$2:$AJ$1001,MATCH(ROWS($AH$2:AH498),$AH$2:$AH$1001,0),0), INDEX($AO$1004:$BQ$1004,1,MATCH(COLUMNS($AO$1006:AW1006),$AO$1006:$BQ$1006,0)))),"Fix")))</f>
        <v>#N/A</v>
      </c>
      <c r="K498" s="5" t="e">
        <f ca="1">IF(OR(INDEX($AI$2:$AI$1001,MATCH(ROWS($AH$2:AH498),$AH$2:$AH$1001,0),1)&gt;=100000,INDEX($AO$1005:$BQ$1005,1,MATCH(COLUMNS($AO$1006:AX1006),$AO$1006:$BQ$1006,0))&gt;=100000), " ",IF(INDEX($AO$2:$BQ$1001,MATCH(ROWS($AH$2:AH498),$AH$2:$AH$1001,0),MATCH(COLUMNS($AO$1006:AX1006),$AO$1006:$BQ$1006,0)), HYPERLINK("#",""), HYPERLINK(CONCATENATE("#Metadata!", ADDRESS(INDEX($AJ$2:$AJ$1001,MATCH(ROWS($AH$2:AH498),$AH$2:$AH$1001,0),0), INDEX($AO$1004:$BQ$1004,1,MATCH(COLUMNS($AO$1006:AX1006),$AO$1006:$BQ$1006,0)))),"Fix")))</f>
        <v>#N/A</v>
      </c>
      <c r="L498" s="5" t="e">
        <f ca="1">IF(OR(INDEX($AI$2:$AI$1001,MATCH(ROWS($AH$2:AH498),$AH$2:$AH$1001,0),1)&gt;=100000,INDEX($AO$1005:$BQ$1005,1,MATCH(COLUMNS($AO$1006:AY1006),$AO$1006:$BQ$1006,0))&gt;=100000), " ",IF(INDEX($AO$2:$BQ$1001,MATCH(ROWS($AH$2:AH498),$AH$2:$AH$1001,0),MATCH(COLUMNS($AO$1006:AY1006),$AO$1006:$BQ$1006,0)), HYPERLINK("#",""), HYPERLINK(CONCATENATE("#Metadata!", ADDRESS(INDEX($AJ$2:$AJ$1001,MATCH(ROWS($AH$2:AH498),$AH$2:$AH$1001,0),0), INDEX($AO$1004:$BQ$1004,1,MATCH(COLUMNS($AO$1006:AY1006),$AO$1006:$BQ$1006,0)))),"Fix")))</f>
        <v>#N/A</v>
      </c>
      <c r="M498" s="5" t="e">
        <f ca="1">IF(OR(INDEX($AI$2:$AI$1001,MATCH(ROWS($AH$2:AH498),$AH$2:$AH$1001,0),1)&gt;=100000,INDEX($AO$1005:$BQ$1005,1,MATCH(COLUMNS($AO$1006:AZ1006),$AO$1006:$BQ$1006,0))&gt;=100000), " ",IF(INDEX($AO$2:$BQ$1001,MATCH(ROWS($AH$2:AH498),$AH$2:$AH$1001,0),MATCH(COLUMNS($AO$1006:AZ1006),$AO$1006:$BQ$1006,0)), HYPERLINK("#",""), HYPERLINK(CONCATENATE("#Metadata!", ADDRESS(INDEX($AJ$2:$AJ$1001,MATCH(ROWS($AH$2:AH498),$AH$2:$AH$1001,0),0), INDEX($AO$1004:$BQ$1004,1,MATCH(COLUMNS($AO$1006:AZ1006),$AO$1006:$BQ$1006,0)))),"Fix")))</f>
        <v>#N/A</v>
      </c>
      <c r="N498" s="5" t="e">
        <f ca="1">IF(OR(INDEX($AI$2:$AI$1001,MATCH(ROWS($AH$2:AH498),$AH$2:$AH$1001,0),1)&gt;=100000,INDEX($AO$1005:$BQ$1005,1,MATCH(COLUMNS($AO$1006:BA1006),$AO$1006:$BQ$1006,0))&gt;=100000), " ",IF(INDEX($AO$2:$BQ$1001,MATCH(ROWS($AH$2:AH498),$AH$2:$AH$1001,0),MATCH(COLUMNS($AO$1006:BA1006),$AO$1006:$BQ$1006,0)), HYPERLINK("#",""), HYPERLINK(CONCATENATE("#Metadata!", ADDRESS(INDEX($AJ$2:$AJ$1001,MATCH(ROWS($AH$2:AH498),$AH$2:$AH$1001,0),0), INDEX($AO$1004:$BQ$1004,1,MATCH(COLUMNS($AO$1006:BA1006),$AO$1006:$BQ$1006,0)))),"Fix")))</f>
        <v>#N/A</v>
      </c>
      <c r="O498" s="5" t="e">
        <f ca="1">IF(OR(INDEX($AI$2:$AI$1001,MATCH(ROWS($AH$2:AH498),$AH$2:$AH$1001,0),1)&gt;=100000,INDEX($AO$1005:$BQ$1005,1,MATCH(COLUMNS($AO$1006:BB1006),$AO$1006:$BQ$1006,0))&gt;=100000), " ",IF(INDEX($AO$2:$BQ$1001,MATCH(ROWS($AH$2:AH498),$AH$2:$AH$1001,0),MATCH(COLUMNS($AO$1006:BB1006),$AO$1006:$BQ$1006,0)), HYPERLINK("#",""), HYPERLINK(CONCATENATE("#Metadata!", ADDRESS(INDEX($AJ$2:$AJ$1001,MATCH(ROWS($AH$2:AH498),$AH$2:$AH$1001,0),0), INDEX($AO$1004:$BQ$1004,1,MATCH(COLUMNS($AO$1006:BB1006),$AO$1006:$BQ$1006,0)))),"Fix")))</f>
        <v>#N/A</v>
      </c>
      <c r="P498" s="5" t="e">
        <f ca="1">IF(OR(INDEX($AI$2:$AI$1001,MATCH(ROWS($AH$2:AH498),$AH$2:$AH$1001,0),1)&gt;=100000,INDEX($AO$1005:$BQ$1005,1,MATCH(COLUMNS($AO$1006:BC1006),$AO$1006:$BQ$1006,0))&gt;=100000), " ",IF(INDEX($AO$2:$BQ$1001,MATCH(ROWS($AH$2:AH498),$AH$2:$AH$1001,0),MATCH(COLUMNS($AO$1006:BC1006),$AO$1006:$BQ$1006,0)), HYPERLINK("#",""), HYPERLINK(CONCATENATE("#Metadata!", ADDRESS(INDEX($AJ$2:$AJ$1001,MATCH(ROWS($AH$2:AH498),$AH$2:$AH$1001,0),0), INDEX($AO$1004:$BQ$1004,1,MATCH(COLUMNS($AO$1006:BC1006),$AO$1006:$BQ$1006,0)))),"Fix")))</f>
        <v>#N/A</v>
      </c>
      <c r="Q498" s="5" t="e">
        <f ca="1">IF(OR(INDEX($AI$2:$AI$1001,MATCH(ROWS($AH$2:AH498),$AH$2:$AH$1001,0),1)&gt;=100000,INDEX($AO$1005:$BQ$1005,1,MATCH(COLUMNS($AO$1006:BD1006),$AO$1006:$BQ$1006,0))&gt;=100000), " ",IF(INDEX($AO$2:$BQ$1001,MATCH(ROWS($AH$2:AH498),$AH$2:$AH$1001,0),MATCH(COLUMNS($AO$1006:BD1006),$AO$1006:$BQ$1006,0)), HYPERLINK("#",""), HYPERLINK(CONCATENATE("#Metadata!", ADDRESS(INDEX($AJ$2:$AJ$1001,MATCH(ROWS($AH$2:AH498),$AH$2:$AH$1001,0),0), INDEX($AO$1004:$BQ$1004,1,MATCH(COLUMNS($AO$1006:BD1006),$AO$1006:$BQ$1006,0)))),"Fix")))</f>
        <v>#N/A</v>
      </c>
      <c r="R498" s="5" t="e">
        <f ca="1">IF(OR(INDEX($AI$2:$AI$1001,MATCH(ROWS($AH$2:AH498),$AH$2:$AH$1001,0),1)&gt;=100000,INDEX($AO$1005:$BQ$1005,1,MATCH(COLUMNS($AO$1006:BE1006),$AO$1006:$BQ$1006,0))&gt;=100000), " ",IF(INDEX($AO$2:$BQ$1001,MATCH(ROWS($AH$2:AH498),$AH$2:$AH$1001,0),MATCH(COLUMNS($AO$1006:BE1006),$AO$1006:$BQ$1006,0)), HYPERLINK("#",""), HYPERLINK(CONCATENATE("#Metadata!", ADDRESS(INDEX($AJ$2:$AJ$1001,MATCH(ROWS($AH$2:AH498),$AH$2:$AH$1001,0),0), INDEX($AO$1004:$BQ$1004,1,MATCH(COLUMNS($AO$1006:BE1006),$AO$1006:$BQ$1006,0)))),"Fix")))</f>
        <v>#N/A</v>
      </c>
      <c r="S498" s="5" t="e">
        <f ca="1">IF(OR(INDEX($AI$2:$AI$1001,MATCH(ROWS($AH$2:AH498),$AH$2:$AH$1001,0),1)&gt;=100000,INDEX($AO$1005:$BQ$1005,1,MATCH(COLUMNS($AO$1006:BF1006),$AO$1006:$BQ$1006,0))&gt;=100000), " ",IF(INDEX($AO$2:$BQ$1001,MATCH(ROWS($AH$2:AH498),$AH$2:$AH$1001,0),MATCH(COLUMNS($AO$1006:BF1006),$AO$1006:$BQ$1006,0)), HYPERLINK("#",""), HYPERLINK(CONCATENATE("#Metadata!", ADDRESS(INDEX($AJ$2:$AJ$1001,MATCH(ROWS($AH$2:AH498),$AH$2:$AH$1001,0),0), INDEX($AO$1004:$BQ$1004,1,MATCH(COLUMNS($AO$1006:BF1006),$AO$1006:$BQ$1006,0)))),"Fix")))</f>
        <v>#N/A</v>
      </c>
      <c r="T498" s="5" t="e">
        <f ca="1">IF(OR(INDEX($AI$2:$AI$1001,MATCH(ROWS($AH$2:AH498),$AH$2:$AH$1001,0),1)&gt;=100000,INDEX($AO$1005:$BQ$1005,1,MATCH(COLUMNS($AO$1006:BG1006),$AO$1006:$BQ$1006,0))&gt;=100000), " ",IF(INDEX($AO$2:$BQ$1001,MATCH(ROWS($AH$2:AH498),$AH$2:$AH$1001,0),MATCH(COLUMNS($AO$1006:BG1006),$AO$1006:$BQ$1006,0)), HYPERLINK("#",""), HYPERLINK(CONCATENATE("#Metadata!", ADDRESS(INDEX($AJ$2:$AJ$1001,MATCH(ROWS($AH$2:AH498),$AH$2:$AH$1001,0),0), INDEX($AO$1004:$BQ$1004,1,MATCH(COLUMNS($AO$1006:BG1006),$AO$1006:$BQ$1006,0)))),"Fix")))</f>
        <v>#N/A</v>
      </c>
      <c r="U498" s="5" t="e">
        <f ca="1">IF(OR(INDEX($AI$2:$AI$1001,MATCH(ROWS($AH$2:AH498),$AH$2:$AH$1001,0),1)&gt;=100000,INDEX($AO$1005:$BQ$1005,1,MATCH(COLUMNS($AO$1006:BH1006),$AO$1006:$BQ$1006,0))&gt;=100000), " ",IF(INDEX($AO$2:$BQ$1001,MATCH(ROWS($AH$2:AH498),$AH$2:$AH$1001,0),MATCH(COLUMNS($AO$1006:BH1006),$AO$1006:$BQ$1006,0)), HYPERLINK("#",""), HYPERLINK(CONCATENATE("#Metadata!", ADDRESS(INDEX($AJ$2:$AJ$1001,MATCH(ROWS($AH$2:AH498),$AH$2:$AH$1001,0),0), INDEX($AO$1004:$BQ$1004,1,MATCH(COLUMNS($AO$1006:BH1006),$AO$1006:$BQ$1006,0)))),"Fix")))</f>
        <v>#N/A</v>
      </c>
      <c r="V498" s="5" t="e">
        <f ca="1">IF(OR(INDEX($AI$2:$AI$1001,MATCH(ROWS($AH$2:AH498),$AH$2:$AH$1001,0),1)&gt;=100000,INDEX($AO$1005:$BQ$1005,1,MATCH(COLUMNS($AO$1006:BI1006),$AO$1006:$BQ$1006,0))&gt;=100000), " ",IF(INDEX($AO$2:$BQ$1001,MATCH(ROWS($AH$2:AH498),$AH$2:$AH$1001,0),MATCH(COLUMNS($AO$1006:BI1006),$AO$1006:$BQ$1006,0)), HYPERLINK("#",""), HYPERLINK(CONCATENATE("#Metadata!", ADDRESS(INDEX($AJ$2:$AJ$1001,MATCH(ROWS($AH$2:AH498),$AH$2:$AH$1001,0),0), INDEX($AO$1004:$BQ$1004,1,MATCH(COLUMNS($AO$1006:BI1006),$AO$1006:$BQ$1006,0)))),"Fix")))</f>
        <v>#N/A</v>
      </c>
      <c r="W498" s="5" t="e">
        <f ca="1">IF(OR(INDEX($AI$2:$AI$1001,MATCH(ROWS($AH$2:AH498),$AH$2:$AH$1001,0),1)&gt;=100000,INDEX($AO$1005:$BQ$1005,1,MATCH(COLUMNS($AO$1006:BJ1006),$AO$1006:$BQ$1006,0))&gt;=100000), " ",IF(INDEX($AO$2:$BQ$1001,MATCH(ROWS($AH$2:AH498),$AH$2:$AH$1001,0),MATCH(COLUMNS($AO$1006:BJ1006),$AO$1006:$BQ$1006,0)), HYPERLINK("#",""), HYPERLINK(CONCATENATE("#Metadata!", ADDRESS(INDEX($AJ$2:$AJ$1001,MATCH(ROWS($AH$2:AH498),$AH$2:$AH$1001,0),0), INDEX($AO$1004:$BQ$1004,1,MATCH(COLUMNS($AO$1006:BJ1006),$AO$1006:$BQ$1006,0)))),"Fix")))</f>
        <v>#N/A</v>
      </c>
      <c r="X498" s="5" t="e">
        <f ca="1">IF(OR(INDEX($AI$2:$AI$1001,MATCH(ROWS($AH$2:AH498),$AH$2:$AH$1001,0),1)&gt;=100000,INDEX($AO$1005:$BQ$1005,1,MATCH(COLUMNS($AO$1006:BK1006),$AO$1006:$BQ$1006,0))&gt;=100000), " ",IF(INDEX($AO$2:$BQ$1001,MATCH(ROWS($AH$2:AH498),$AH$2:$AH$1001,0),MATCH(COLUMNS($AO$1006:BK1006),$AO$1006:$BQ$1006,0)), HYPERLINK("#",""), HYPERLINK(CONCATENATE("#Metadata!", ADDRESS(INDEX($AJ$2:$AJ$1001,MATCH(ROWS($AH$2:AH498),$AH$2:$AH$1001,0),0), INDEX($AO$1004:$BQ$1004,1,MATCH(COLUMNS($AO$1006:BK1006),$AO$1006:$BQ$1006,0)))),"Fix")))</f>
        <v>#N/A</v>
      </c>
      <c r="Y498" s="5" t="e">
        <f ca="1">IF(OR(INDEX($AI$2:$AI$1001,MATCH(ROWS($AH$2:AH498),$AH$2:$AH$1001,0),1)&gt;=100000,INDEX($AO$1005:$BQ$1005,1,MATCH(COLUMNS($AO$1006:BL1006),$AO$1006:$BQ$1006,0))&gt;=100000), " ",IF(INDEX($AO$2:$BQ$1001,MATCH(ROWS($AH$2:AH498),$AH$2:$AH$1001,0),MATCH(COLUMNS($AO$1006:BL1006),$AO$1006:$BQ$1006,0)), HYPERLINK("#",""), HYPERLINK(CONCATENATE("#Metadata!", ADDRESS(INDEX($AJ$2:$AJ$1001,MATCH(ROWS($AH$2:AH498),$AH$2:$AH$1001,0),0), INDEX($AO$1004:$BQ$1004,1,MATCH(COLUMNS($AO$1006:BL1006),$AO$1006:$BQ$1006,0)))),"Fix")))</f>
        <v>#N/A</v>
      </c>
      <c r="Z498" s="5" t="e">
        <f ca="1">IF(OR(INDEX($AI$2:$AI$1001,MATCH(ROWS($AH$2:AH498),$AH$2:$AH$1001,0),1)&gt;=100000,INDEX($AO$1005:$BQ$1005,1,MATCH(COLUMNS($AO$1006:BM1006),$AO$1006:$BQ$1006,0))&gt;=100000), " ",IF(INDEX($AO$2:$BQ$1001,MATCH(ROWS($AH$2:AH498),$AH$2:$AH$1001,0),MATCH(COLUMNS($AO$1006:BM1006),$AO$1006:$BQ$1006,0)), HYPERLINK("#",""), HYPERLINK(CONCATENATE("#Metadata!", ADDRESS(INDEX($AJ$2:$AJ$1001,MATCH(ROWS($AH$2:AH498),$AH$2:$AH$1001,0),0), INDEX($AO$1004:$BQ$1004,1,MATCH(COLUMNS($AO$1006:BM1006),$AO$1006:$BQ$1006,0)))),"Fix")))</f>
        <v>#N/A</v>
      </c>
      <c r="AA498" s="5" t="e">
        <f ca="1">IF(OR(INDEX($AI$2:$AI$1001,MATCH(ROWS($AH$2:AH498),$AH$2:$AH$1001,0),1)&gt;=100000,INDEX($AO$1005:$BQ$1005,1,MATCH(COLUMNS($AO$1006:BN1006),$AO$1006:$BQ$1006,0))&gt;=100000), " ",IF(INDEX($AO$2:$BQ$1001,MATCH(ROWS($AH$2:AH498),$AH$2:$AH$1001,0),MATCH(COLUMNS($AO$1006:BN1006),$AO$1006:$BQ$1006,0)), HYPERLINK("#",""), HYPERLINK(CONCATENATE("#Metadata!", ADDRESS(INDEX($AJ$2:$AJ$1001,MATCH(ROWS($AH$2:AH498),$AH$2:$AH$1001,0),0), INDEX($AO$1004:$BQ$1004,1,MATCH(COLUMNS($AO$1006:BN1006),$AO$1006:$BQ$1006,0)))),"Fix")))</f>
        <v>#N/A</v>
      </c>
      <c r="AB498" s="5" t="e">
        <f ca="1">IF(OR(INDEX($AI$2:$AI$1001,MATCH(ROWS($AH$2:AH498),$AH$2:$AH$1001,0),1)&gt;=100000,INDEX($AO$1005:$BQ$1005,1,MATCH(COLUMNS($AO$1006:BO1006),$AO$1006:$BQ$1006,0))&gt;=100000), " ",IF(INDEX($AO$2:$BQ$1001,MATCH(ROWS($AH$2:AH498),$AH$2:$AH$1001,0),MATCH(COLUMNS($AO$1006:BO1006),$AO$1006:$BQ$1006,0)), HYPERLINK("#",""), HYPERLINK(CONCATENATE("#Metadata!", ADDRESS(INDEX($AJ$2:$AJ$1001,MATCH(ROWS($AH$2:AH498),$AH$2:$AH$1001,0),0), INDEX($AO$1004:$BQ$1004,1,MATCH(COLUMNS($AO$1006:BO1006),$AO$1006:$BQ$1006,0)))),"Fix")))</f>
        <v>#N/A</v>
      </c>
      <c r="AC498" s="5" t="e">
        <f ca="1">IF(OR(INDEX($AI$2:$AI$1001,MATCH(ROWS($AH$2:AH498),$AH$2:$AH$1001,0),1)&gt;=100000,INDEX($AO$1005:$BQ$1005,1,MATCH(COLUMNS($AO$1006:BP1006),$AO$1006:$BQ$1006,0))&gt;=100000), " ",IF(INDEX($AO$2:$BQ$1001,MATCH(ROWS($AH$2:AH498),$AH$2:$AH$1001,0),MATCH(COLUMNS($AO$1006:BP1006),$AO$1006:$BQ$1006,0)), HYPERLINK("#",""), HYPERLINK(CONCATENATE("#Metadata!", ADDRESS(INDEX($AJ$2:$AJ$1001,MATCH(ROWS($AH$2:AH498),$AH$2:$AH$1001,0),0), INDEX($AO$1004:$BQ$1004,1,MATCH(COLUMNS($AO$1006:BP1006),$AO$1006:$BQ$1006,0)))),"Fix")))</f>
        <v>#N/A</v>
      </c>
      <c r="AD498" s="5" t="e">
        <f ca="1">IF(OR(INDEX($AI$2:$AI$1001,MATCH(ROWS($AH$2:AH498),$AH$2:$AH$1001,0),1)&gt;=100000,INDEX($AO$1005:$BQ$1005,1,MATCH(COLUMNS($AO$1006:BQ1006),$AO$1006:$BQ$1006,0))&gt;=100000), " ",IF(INDEX($AO$2:$BQ$1001,MATCH(ROWS($AH$2:AH498),$AH$2:$AH$1001,0),MATCH(COLUMNS($AO$1006:BQ1006),$AO$1006:$BQ$1006,0)), HYPERLINK("#",""), HYPERLINK(CONCATENATE("#Metadata!", ADDRESS(INDEX($AJ$2:$AJ$1001,MATCH(ROWS($AH$2:AH498),$AH$2:$AH$1001,0),0), INDEX($AO$1004:$BQ$1004,1,MATCH(COLUMNS($AO$1006:BQ1006),$AO$1006:$BQ$1006,0)))),"Fix")))</f>
        <v>#REF!</v>
      </c>
      <c r="AH498">
        <f ca="1"/>
        <v>495</v>
      </c>
      <c r="AI498">
        <v>100498</v>
      </c>
      <c r="AJ498">
        <v>498</v>
      </c>
      <c r="AK498" t="b">
        <f t="shared" si="7"/>
        <v>1</v>
      </c>
      <c r="AL498" t="b">
        <f>COUNTBLANK(Metadata!B498:AD498)=COLUMNS(Metadata!B498:AD498)</f>
        <v>1</v>
      </c>
      <c r="AM498" t="str">
        <v/>
      </c>
      <c r="AO498" t="b">
        <f ca="1">AND(IF(Metadata!B498="",FALSE,TRUE),COUNTIF(Metadata!B:B, Metadata!B498) = 1,NOT(ISERROR(SUMPRODUCT(SEARCH(MID(Metadata!B498,ROW(INDIRECT("1:"&amp;LEN(Metadata!B498))), 1),"0123456789abcdefghijklmnopqrstuvwxyzABCDEFGHIJKLMNOPQRSTUVWXYZ.")))))</f>
        <v>0</v>
      </c>
      <c r="AP498" t="b">
        <f>IF(Metadata!C498="",FALSE,TRUE)</f>
        <v>0</v>
      </c>
      <c r="AQ498" t="b">
        <f>IF(Metadata!D498="",FALSE,TRUE)</f>
        <v>0</v>
      </c>
      <c r="AR498" t="b">
        <f ca="1">OR(AND(IF(Metadata!E498="",FALSE,TRUE),OR(EXACT(Metadata!E498,"not collected"),EXACT(Metadata!E498,"not provided"),EXACT(Metadata!E498,"restricted access"))),AND(IF(Metadata!E498="",FALSE,TRUE),AND(AND(IFERROR(INT(LEFT(Metadata!E498,4))&gt;1900,FALSE),IFERROR(INT(LEFT(Metadata!E498,4))&lt;=YEAR(NOW()),FALSE)), OR(MID(Metadata!E498,5,1)="", AND(AND(MID(Metadata!E498,5,1)="-",IFERROR(INT(MID(Metadata!E498,6,1))&gt;=0,FALSE),IFERROR(INT(MID(Metadata!E498,6,1))&lt;=1,FALSE),NOT(MID(Metadata!E498,7,1)=""),IFERROR(INT(MID(Metadata!E498,6,2))&gt;=1,FALSE),IFERROR(INT(MID(Metadata!E498,6,2))&lt;=12,FALSE)), OR(MID(Metadata!E498,8,1)="", AND(AND(MID(Metadata!E498,8,1)="-",IFERROR(INT(MID(Metadata!E498,9,1))&gt;=0,FALSE),IFERROR(INT(MID(Metadata!E498,9,1))&lt;=3,FALSE),NOT(MID(Metadata!E498,10,1)=""),IFERROR(INT(MID(Metadata!E498,9,2))&gt;=1,FALSE),IFERROR(INT(MID(Metadata!E498,9,2))&lt;=31,FALSE)), OR(MID(Metadata!E498,11,1)="", AND(AND(MID(Metadata!E498,11,1)=" ",IFERROR(INT(MID(Metadata!E498,12,1))&gt;=0,FALSE),IFERROR(INT(MID(Metadata!E498,12,1))&lt;=2,FALSE),NOT(MID(Metadata!E498,13,1)=""),IFERROR(INT(MID(Metadata!E498,12,2))&gt;=0,FALSE),IFERROR(INT(MID(Metadata!E498,12,2))&lt;=23,FALSE)), OR(MID(Metadata!E498,14,1)="", AND(AND(MID(Metadata!E498,14,1)=":",IFERROR(INT(MID(Metadata!E498,15,1))&gt;=0,FALSE),IFERROR(INT(MID(Metadata!E498,15,1))&lt;=5,FALSE),NOT(MID(Metadata!E498,16,1)=""),IFERROR(INT(MID(Metadata!E498,15,2))&gt;=0,FALSE),IFERROR(INT(MID(Metadata!E498,15,2))&lt;=59,FALSE)), OR(MID(Metadata!E498,17,1)="", AND(AND(MID(Metadata!E498,17,1)=":",IFERROR(INT(MID(Metadata!E498,18,1))&gt;=0,FALSE),IFERROR(INT(MID(Metadata!E498,18,1))&lt;=5,FALSE),NOT(MID(Metadata!E498,19,1)=""),IFERROR(INT(MID(Metadata!E498,18,2))&gt;=0,FALSE),IFERROR(INT(MID(Metadata!E498,18,2))&lt;=59,FALSE)), LEN(Metadata!E498)&lt;=19)))))))))))))</f>
        <v>0</v>
      </c>
      <c r="AS498" t="b">
        <f>IF(Metadata!F498="",FALSE,TRUE)</f>
        <v>0</v>
      </c>
      <c r="AT498" t="b">
        <f>OR(AND(IF(Metadata!G498="",FALSE,TRUE),OR(EXACT(Metadata!G498,"not collected"),EXACT(Metadata!G498,"not provided"))),AND(IF(Metadata!G498="",FALSE,TRUE),OR(EXACT(Metadata!G498,"TRUE"),EXACT(Metadata!G498,"FALSE"))))</f>
        <v>0</v>
      </c>
      <c r="AU498" t="b">
        <f>OR(AND(IF(Metadata!H498="",FALSE,TRUE),OR(EXACT(Metadata!H498,"not collected"),EXACT(Metadata!H498,"not provided"),EXACT(Metadata!H498,"restricted access"))),AND(IF(Metadata!H498="",FALSE,ISNUMBER(VALUE(Metadata!H498))),Metadata!H498&gt;=-413))</f>
        <v>0</v>
      </c>
      <c r="AV498" t="b">
        <f>AND(IF(Metadata!I498="",FALSE,TRUE),EXACT(Metadata!I498,"meters"))</f>
        <v>0</v>
      </c>
      <c r="AW498" t="b">
        <f>AND(IF(Metadata!J498="",FALSE,TRUE),EXACT(Metadata!J498,"free-living"))</f>
        <v>0</v>
      </c>
      <c r="AX498" t="b">
        <f>AND(IF(Metadata!K498="",FALSE,TRUE),OR(EXACT(Metadata!K498,"saline"),EXACT(Metadata!K498,"non-saline")))</f>
        <v>0</v>
      </c>
      <c r="AY498" t="b">
        <f>AND(IF(Metadata!L498="",FALSE,TRUE),OR(EXACT(Metadata!L498,"sub-surface (non-saline)"),EXACT(Metadata!L498,"surface (non-saline)"),EXACT(Metadata!L498,"water (non-saline)"),EXACT(Metadata!L498,"soil (non-saline)"),EXACT(Metadata!L498,"aerosol (non-saline)"),EXACT(Metadata!L498,"sediment (non-saline)"),EXACT(Metadata!L498,"surface (saline)"),EXACT(Metadata!L498,"water (saline)"),EXACT(Metadata!L498,"hypersaline (saline)"),EXACT(Metadata!L498,"aerosol (saline)"),EXACT(Metadata!L498,"sediment (saline)")))</f>
        <v>0</v>
      </c>
      <c r="AZ498" t="b">
        <f>IF(Metadata!M498="",FALSE,TRUE)</f>
        <v>0</v>
      </c>
      <c r="BA498" t="b">
        <f>IF(Metadata!N498="",FALSE,TRUE)</f>
        <v>0</v>
      </c>
      <c r="BB498" t="b">
        <f>IF(Metadata!O498="",FALSE,TRUE)</f>
        <v>0</v>
      </c>
      <c r="BC498" t="b">
        <f>AND(IF(Metadata!P498="",FALSE,TRUE),OR(EXACT(Metadata!P498,"air"),EXACT(Metadata!P498,"microbial mat/biofilm"),EXACT(Metadata!P498,"misc environment"),EXACT(Metadata!P498,"sediment"),EXACT(Metadata!P498,"soil"),EXACT(Metadata!P498,"wastewater/sludge"),EXACT(Metadata!P498,"water")))</f>
        <v>0</v>
      </c>
      <c r="BD498" t="b">
        <f>IF(Metadata!Q498="",FALSE,TRUE)</f>
        <v>0</v>
      </c>
      <c r="BE498" t="b">
        <f>IF(Metadata!R498="",FALSE,TRUE)</f>
        <v>0</v>
      </c>
      <c r="BF498" t="b">
        <f>OR(AND(IF(Metadata!S498="",FALSE,TRUE),OR(EXACT(Metadata!S498,"not collected"),EXACT(Metadata!S498,"not provided"),EXACT(Metadata!S498,"restricted access"))),AND(IF(Metadata!S498="",FALSE,ISNUMBER(VALUE(Metadata!S498))),Metadata!S498&gt;=-90,Metadata!S498&lt;=90))</f>
        <v>0</v>
      </c>
      <c r="BG498" t="b">
        <f>AND(IF(Metadata!T498="",FALSE,TRUE),EXACT(Metadata!T498,"Decimal degrees"))</f>
        <v>0</v>
      </c>
      <c r="BH498" t="b">
        <f>OR(AND(IF(Metadata!U498="",FALSE,TRUE),OR(EXACT(Metadata!U498,"not applicable"),EXACT(Metadata!U498,"not collected"))),IF(Metadata!U498="",FALSE,TRUE))</f>
        <v>0</v>
      </c>
      <c r="BI498" t="b">
        <f>OR(AND(IF(Metadata!V498="",FALSE,TRUE),OR(EXACT(Metadata!V498,"not collected"),EXACT(Metadata!V498,"not provided"),EXACT(Metadata!V498,"restricted access"))),AND(IF(Metadata!V498="",FALSE,ISNUMBER(VALUE(Metadata!V498))),Metadata!V498&gt;=-180,Metadata!V498&lt;=180))</f>
        <v>0</v>
      </c>
      <c r="BJ498" t="b">
        <f>AND(IF(Metadata!W498="",FALSE,TRUE),EXACT(Metadata!W498,"Decimal degrees"))</f>
        <v>0</v>
      </c>
      <c r="BK498" t="b">
        <f>IF(Metadata!X498="",FALSE,TRUE)</f>
        <v>0</v>
      </c>
      <c r="BL498" t="b">
        <f>OR(AND(IF(Metadata!Y498="",FALSE,TRUE),OR(EXACT(Metadata!Y498,"not collected"),EXACT(Metadata!Y498,"not provided"),EXACT(Metadata!Y498,"restricted access"))),AND(IF(Metadata!Y498="",FALSE,TRUE),OR(EXACT(Metadata!Y498,"TRUE"),EXACT(Metadata!Y498,"FALSE"))))</f>
        <v>0</v>
      </c>
      <c r="BM498" t="b">
        <f>OR(AND(IF(Metadata!Z498="",FALSE,TRUE),EXACT(Metadata!Z498,"not applicable")),AND(IF(Metadata!Z498="",FALSE,TRUE),OR(EXACT(Metadata!Z498,"beer"),EXACT(Metadata!Z498,"cheese"),EXACT(Metadata!Z498,"fresh water"),EXACT(Metadata!Z498,"marine sediment"),EXACT(Metadata!Z498,"sea water"),EXACT(Metadata!Z498,"sediment"),EXACT(Metadata!Z498,"soil"),EXACT(Metadata!Z498,"waste water"))))</f>
        <v>0</v>
      </c>
      <c r="BN498" t="b">
        <f>AND(IF(Metadata!AA498="",FALSE,TRUE),EXACT(Metadata!AA498,"metagenome"))</f>
        <v>0</v>
      </c>
      <c r="BO498" t="b">
        <f>AND(IF(Metadata!AB498="",FALSE,TRUE),EXACT(Metadata!AB498,"256318"))</f>
        <v>0</v>
      </c>
      <c r="BP498" t="b">
        <f>IF(Metadata!AC498="",FALSE,TRUE)</f>
        <v>0</v>
      </c>
      <c r="BQ498" t="b">
        <f>IF(Metadata!AD498="",FALSE,TRUE)</f>
        <v>0</v>
      </c>
    </row>
    <row r="499" spans="1:69" x14ac:dyDescent="0.2">
      <c r="A499" s="4" t="e">
        <f ca="1">IF(B499=" "," ",HYPERLINK(CONCATENATE("#metadata!",ADDRESS(INDEX($AJ$2:$AJ$1001,MATCH(ROWS($AH$2:AH499),$AH$2:$AH$1001,0),0),2)),INDEX($AM$2:$AM$1001,MATCH(ROWS($AH$2:AH499),$AH$2:$AH$1001,0),0)))</f>
        <v>#N/A</v>
      </c>
      <c r="B499" s="5" t="e">
        <f ca="1">IF(OR(INDEX($AI$2:$AI$1001,MATCH(ROWS($AH$2:AH499),$AH$2:$AH$1001,0),1)&gt;=100000,INDEX($AO$1005:$BQ$1005,1,MATCH(COLUMNS($AO$1006:AO1006),$AO$1006:$BQ$1006,0))&gt;=100000), " ",IF(INDEX($AO$2:$BQ$1001,MATCH(ROWS($AH$2:AH499),$AH$2:$AH$1001,0),MATCH(COLUMNS($AO$1006:AO1006),$AO$1006:$BQ$1006,0)), HYPERLINK("#",""), HYPERLINK(CONCATENATE("#Metadata!", ADDRESS(INDEX($AJ$2:$AJ$1001,MATCH(ROWS($AH$2:AH499),$AH$2:$AH$1001,0),0), INDEX($AO$1004:$BQ$1004,1,MATCH(COLUMNS($AO$1006:AO1006),$AO$1006:$BQ$1006,0)))),"Fix")))</f>
        <v>#N/A</v>
      </c>
      <c r="C499" s="5" t="e">
        <f ca="1">IF(OR(INDEX($AI$2:$AI$1001,MATCH(ROWS($AH$2:AH499),$AH$2:$AH$1001,0),1)&gt;=100000,INDEX($AO$1005:$BQ$1005,1,MATCH(COLUMNS($AO$1006:AP1006),$AO$1006:$BQ$1006,0))&gt;=100000), " ",IF(INDEX($AO$2:$BQ$1001,MATCH(ROWS($AH$2:AH499),$AH$2:$AH$1001,0),MATCH(COLUMNS($AO$1006:AP1006),$AO$1006:$BQ$1006,0)), HYPERLINK("#",""), HYPERLINK(CONCATENATE("#Metadata!", ADDRESS(INDEX($AJ$2:$AJ$1001,MATCH(ROWS($AH$2:AH499),$AH$2:$AH$1001,0),0), INDEX($AO$1004:$BQ$1004,1,MATCH(COLUMNS($AO$1006:AP1006),$AO$1006:$BQ$1006,0)))),"Fix")))</f>
        <v>#N/A</v>
      </c>
      <c r="D499" s="5" t="e">
        <f ca="1">IF(OR(INDEX($AI$2:$AI$1001,MATCH(ROWS($AH$2:AH499),$AH$2:$AH$1001,0),1)&gt;=100000,INDEX($AO$1005:$BQ$1005,1,MATCH(COLUMNS($AO$1006:AQ1006),$AO$1006:$BQ$1006,0))&gt;=100000), " ",IF(INDEX($AO$2:$BQ$1001,MATCH(ROWS($AH$2:AH499),$AH$2:$AH$1001,0),MATCH(COLUMNS($AO$1006:AQ1006),$AO$1006:$BQ$1006,0)), HYPERLINK("#",""), HYPERLINK(CONCATENATE("#Metadata!", ADDRESS(INDEX($AJ$2:$AJ$1001,MATCH(ROWS($AH$2:AH499),$AH$2:$AH$1001,0),0), INDEX($AO$1004:$BQ$1004,1,MATCH(COLUMNS($AO$1006:AQ1006),$AO$1006:$BQ$1006,0)))),"Fix")))</f>
        <v>#N/A</v>
      </c>
      <c r="E499" s="5" t="e">
        <f ca="1">IF(OR(INDEX($AI$2:$AI$1001,MATCH(ROWS($AH$2:AH499),$AH$2:$AH$1001,0),1)&gt;=100000,INDEX($AO$1005:$BQ$1005,1,MATCH(COLUMNS($AO$1006:AR1006),$AO$1006:$BQ$1006,0))&gt;=100000), " ",IF(INDEX($AO$2:$BQ$1001,MATCH(ROWS($AH$2:AH499),$AH$2:$AH$1001,0),MATCH(COLUMNS($AO$1006:AR1006),$AO$1006:$BQ$1006,0)), HYPERLINK("#",""), HYPERLINK(CONCATENATE("#Metadata!", ADDRESS(INDEX($AJ$2:$AJ$1001,MATCH(ROWS($AH$2:AH499),$AH$2:$AH$1001,0),0), INDEX($AO$1004:$BQ$1004,1,MATCH(COLUMNS($AO$1006:AR1006),$AO$1006:$BQ$1006,0)))),"Fix")))</f>
        <v>#N/A</v>
      </c>
      <c r="F499" s="5" t="e">
        <f ca="1">IF(OR(INDEX($AI$2:$AI$1001,MATCH(ROWS($AH$2:AH499),$AH$2:$AH$1001,0),1)&gt;=100000,INDEX($AO$1005:$BQ$1005,1,MATCH(COLUMNS($AO$1006:AS1006),$AO$1006:$BQ$1006,0))&gt;=100000), " ",IF(INDEX($AO$2:$BQ$1001,MATCH(ROWS($AH$2:AH499),$AH$2:$AH$1001,0),MATCH(COLUMNS($AO$1006:AS1006),$AO$1006:$BQ$1006,0)), HYPERLINK("#",""), HYPERLINK(CONCATENATE("#Metadata!", ADDRESS(INDEX($AJ$2:$AJ$1001,MATCH(ROWS($AH$2:AH499),$AH$2:$AH$1001,0),0), INDEX($AO$1004:$BQ$1004,1,MATCH(COLUMNS($AO$1006:AS1006),$AO$1006:$BQ$1006,0)))),"Fix")))</f>
        <v>#N/A</v>
      </c>
      <c r="G499" s="5" t="e">
        <f ca="1">IF(OR(INDEX($AI$2:$AI$1001,MATCH(ROWS($AH$2:AH499),$AH$2:$AH$1001,0),1)&gt;=100000,INDEX($AO$1005:$BQ$1005,1,MATCH(COLUMNS($AO$1006:AT1006),$AO$1006:$BQ$1006,0))&gt;=100000), " ",IF(INDEX($AO$2:$BQ$1001,MATCH(ROWS($AH$2:AH499),$AH$2:$AH$1001,0),MATCH(COLUMNS($AO$1006:AT1006),$AO$1006:$BQ$1006,0)), HYPERLINK("#",""), HYPERLINK(CONCATENATE("#Metadata!", ADDRESS(INDEX($AJ$2:$AJ$1001,MATCH(ROWS($AH$2:AH499),$AH$2:$AH$1001,0),0), INDEX($AO$1004:$BQ$1004,1,MATCH(COLUMNS($AO$1006:AT1006),$AO$1006:$BQ$1006,0)))),"Fix")))</f>
        <v>#N/A</v>
      </c>
      <c r="H499" s="5" t="e">
        <f ca="1">IF(OR(INDEX($AI$2:$AI$1001,MATCH(ROWS($AH$2:AH499),$AH$2:$AH$1001,0),1)&gt;=100000,INDEX($AO$1005:$BQ$1005,1,MATCH(COLUMNS($AO$1006:AU1006),$AO$1006:$BQ$1006,0))&gt;=100000), " ",IF(INDEX($AO$2:$BQ$1001,MATCH(ROWS($AH$2:AH499),$AH$2:$AH$1001,0),MATCH(COLUMNS($AO$1006:AU1006),$AO$1006:$BQ$1006,0)), HYPERLINK("#",""), HYPERLINK(CONCATENATE("#Metadata!", ADDRESS(INDEX($AJ$2:$AJ$1001,MATCH(ROWS($AH$2:AH499),$AH$2:$AH$1001,0),0), INDEX($AO$1004:$BQ$1004,1,MATCH(COLUMNS($AO$1006:AU1006),$AO$1006:$BQ$1006,0)))),"Fix")))</f>
        <v>#N/A</v>
      </c>
      <c r="I499" s="5" t="e">
        <f ca="1">IF(OR(INDEX($AI$2:$AI$1001,MATCH(ROWS($AH$2:AH499),$AH$2:$AH$1001,0),1)&gt;=100000,INDEX($AO$1005:$BQ$1005,1,MATCH(COLUMNS($AO$1006:AV1006),$AO$1006:$BQ$1006,0))&gt;=100000), " ",IF(INDEX($AO$2:$BQ$1001,MATCH(ROWS($AH$2:AH499),$AH$2:$AH$1001,0),MATCH(COLUMNS($AO$1006:AV1006),$AO$1006:$BQ$1006,0)), HYPERLINK("#",""), HYPERLINK(CONCATENATE("#Metadata!", ADDRESS(INDEX($AJ$2:$AJ$1001,MATCH(ROWS($AH$2:AH499),$AH$2:$AH$1001,0),0), INDEX($AO$1004:$BQ$1004,1,MATCH(COLUMNS($AO$1006:AV1006),$AO$1006:$BQ$1006,0)))),"Fix")))</f>
        <v>#N/A</v>
      </c>
      <c r="J499" s="5" t="e">
        <f ca="1">IF(OR(INDEX($AI$2:$AI$1001,MATCH(ROWS($AH$2:AH499),$AH$2:$AH$1001,0),1)&gt;=100000,INDEX($AO$1005:$BQ$1005,1,MATCH(COLUMNS($AO$1006:AW1006),$AO$1006:$BQ$1006,0))&gt;=100000), " ",IF(INDEX($AO$2:$BQ$1001,MATCH(ROWS($AH$2:AH499),$AH$2:$AH$1001,0),MATCH(COLUMNS($AO$1006:AW1006),$AO$1006:$BQ$1006,0)), HYPERLINK("#",""), HYPERLINK(CONCATENATE("#Metadata!", ADDRESS(INDEX($AJ$2:$AJ$1001,MATCH(ROWS($AH$2:AH499),$AH$2:$AH$1001,0),0), INDEX($AO$1004:$BQ$1004,1,MATCH(COLUMNS($AO$1006:AW1006),$AO$1006:$BQ$1006,0)))),"Fix")))</f>
        <v>#N/A</v>
      </c>
      <c r="K499" s="5" t="e">
        <f ca="1">IF(OR(INDEX($AI$2:$AI$1001,MATCH(ROWS($AH$2:AH499),$AH$2:$AH$1001,0),1)&gt;=100000,INDEX($AO$1005:$BQ$1005,1,MATCH(COLUMNS($AO$1006:AX1006),$AO$1006:$BQ$1006,0))&gt;=100000), " ",IF(INDEX($AO$2:$BQ$1001,MATCH(ROWS($AH$2:AH499),$AH$2:$AH$1001,0),MATCH(COLUMNS($AO$1006:AX1006),$AO$1006:$BQ$1006,0)), HYPERLINK("#",""), HYPERLINK(CONCATENATE("#Metadata!", ADDRESS(INDEX($AJ$2:$AJ$1001,MATCH(ROWS($AH$2:AH499),$AH$2:$AH$1001,0),0), INDEX($AO$1004:$BQ$1004,1,MATCH(COLUMNS($AO$1006:AX1006),$AO$1006:$BQ$1006,0)))),"Fix")))</f>
        <v>#N/A</v>
      </c>
      <c r="L499" s="5" t="e">
        <f ca="1">IF(OR(INDEX($AI$2:$AI$1001,MATCH(ROWS($AH$2:AH499),$AH$2:$AH$1001,0),1)&gt;=100000,INDEX($AO$1005:$BQ$1005,1,MATCH(COLUMNS($AO$1006:AY1006),$AO$1006:$BQ$1006,0))&gt;=100000), " ",IF(INDEX($AO$2:$BQ$1001,MATCH(ROWS($AH$2:AH499),$AH$2:$AH$1001,0),MATCH(COLUMNS($AO$1006:AY1006),$AO$1006:$BQ$1006,0)), HYPERLINK("#",""), HYPERLINK(CONCATENATE("#Metadata!", ADDRESS(INDEX($AJ$2:$AJ$1001,MATCH(ROWS($AH$2:AH499),$AH$2:$AH$1001,0),0), INDEX($AO$1004:$BQ$1004,1,MATCH(COLUMNS($AO$1006:AY1006),$AO$1006:$BQ$1006,0)))),"Fix")))</f>
        <v>#N/A</v>
      </c>
      <c r="M499" s="5" t="e">
        <f ca="1">IF(OR(INDEX($AI$2:$AI$1001,MATCH(ROWS($AH$2:AH499),$AH$2:$AH$1001,0),1)&gt;=100000,INDEX($AO$1005:$BQ$1005,1,MATCH(COLUMNS($AO$1006:AZ1006),$AO$1006:$BQ$1006,0))&gt;=100000), " ",IF(INDEX($AO$2:$BQ$1001,MATCH(ROWS($AH$2:AH499),$AH$2:$AH$1001,0),MATCH(COLUMNS($AO$1006:AZ1006),$AO$1006:$BQ$1006,0)), HYPERLINK("#",""), HYPERLINK(CONCATENATE("#Metadata!", ADDRESS(INDEX($AJ$2:$AJ$1001,MATCH(ROWS($AH$2:AH499),$AH$2:$AH$1001,0),0), INDEX($AO$1004:$BQ$1004,1,MATCH(COLUMNS($AO$1006:AZ1006),$AO$1006:$BQ$1006,0)))),"Fix")))</f>
        <v>#N/A</v>
      </c>
      <c r="N499" s="5" t="e">
        <f ca="1">IF(OR(INDEX($AI$2:$AI$1001,MATCH(ROWS($AH$2:AH499),$AH$2:$AH$1001,0),1)&gt;=100000,INDEX($AO$1005:$BQ$1005,1,MATCH(COLUMNS($AO$1006:BA1006),$AO$1006:$BQ$1006,0))&gt;=100000), " ",IF(INDEX($AO$2:$BQ$1001,MATCH(ROWS($AH$2:AH499),$AH$2:$AH$1001,0),MATCH(COLUMNS($AO$1006:BA1006),$AO$1006:$BQ$1006,0)), HYPERLINK("#",""), HYPERLINK(CONCATENATE("#Metadata!", ADDRESS(INDEX($AJ$2:$AJ$1001,MATCH(ROWS($AH$2:AH499),$AH$2:$AH$1001,0),0), INDEX($AO$1004:$BQ$1004,1,MATCH(COLUMNS($AO$1006:BA1006),$AO$1006:$BQ$1006,0)))),"Fix")))</f>
        <v>#N/A</v>
      </c>
      <c r="O499" s="5" t="e">
        <f ca="1">IF(OR(INDEX($AI$2:$AI$1001,MATCH(ROWS($AH$2:AH499),$AH$2:$AH$1001,0),1)&gt;=100000,INDEX($AO$1005:$BQ$1005,1,MATCH(COLUMNS($AO$1006:BB1006),$AO$1006:$BQ$1006,0))&gt;=100000), " ",IF(INDEX($AO$2:$BQ$1001,MATCH(ROWS($AH$2:AH499),$AH$2:$AH$1001,0),MATCH(COLUMNS($AO$1006:BB1006),$AO$1006:$BQ$1006,0)), HYPERLINK("#",""), HYPERLINK(CONCATENATE("#Metadata!", ADDRESS(INDEX($AJ$2:$AJ$1001,MATCH(ROWS($AH$2:AH499),$AH$2:$AH$1001,0),0), INDEX($AO$1004:$BQ$1004,1,MATCH(COLUMNS($AO$1006:BB1006),$AO$1006:$BQ$1006,0)))),"Fix")))</f>
        <v>#N/A</v>
      </c>
      <c r="P499" s="5" t="e">
        <f ca="1">IF(OR(INDEX($AI$2:$AI$1001,MATCH(ROWS($AH$2:AH499),$AH$2:$AH$1001,0),1)&gt;=100000,INDEX($AO$1005:$BQ$1005,1,MATCH(COLUMNS($AO$1006:BC1006),$AO$1006:$BQ$1006,0))&gt;=100000), " ",IF(INDEX($AO$2:$BQ$1001,MATCH(ROWS($AH$2:AH499),$AH$2:$AH$1001,0),MATCH(COLUMNS($AO$1006:BC1006),$AO$1006:$BQ$1006,0)), HYPERLINK("#",""), HYPERLINK(CONCATENATE("#Metadata!", ADDRESS(INDEX($AJ$2:$AJ$1001,MATCH(ROWS($AH$2:AH499),$AH$2:$AH$1001,0),0), INDEX($AO$1004:$BQ$1004,1,MATCH(COLUMNS($AO$1006:BC1006),$AO$1006:$BQ$1006,0)))),"Fix")))</f>
        <v>#N/A</v>
      </c>
      <c r="Q499" s="5" t="e">
        <f ca="1">IF(OR(INDEX($AI$2:$AI$1001,MATCH(ROWS($AH$2:AH499),$AH$2:$AH$1001,0),1)&gt;=100000,INDEX($AO$1005:$BQ$1005,1,MATCH(COLUMNS($AO$1006:BD1006),$AO$1006:$BQ$1006,0))&gt;=100000), " ",IF(INDEX($AO$2:$BQ$1001,MATCH(ROWS($AH$2:AH499),$AH$2:$AH$1001,0),MATCH(COLUMNS($AO$1006:BD1006),$AO$1006:$BQ$1006,0)), HYPERLINK("#",""), HYPERLINK(CONCATENATE("#Metadata!", ADDRESS(INDEX($AJ$2:$AJ$1001,MATCH(ROWS($AH$2:AH499),$AH$2:$AH$1001,0),0), INDEX($AO$1004:$BQ$1004,1,MATCH(COLUMNS($AO$1006:BD1006),$AO$1006:$BQ$1006,0)))),"Fix")))</f>
        <v>#N/A</v>
      </c>
      <c r="R499" s="5" t="e">
        <f ca="1">IF(OR(INDEX($AI$2:$AI$1001,MATCH(ROWS($AH$2:AH499),$AH$2:$AH$1001,0),1)&gt;=100000,INDEX($AO$1005:$BQ$1005,1,MATCH(COLUMNS($AO$1006:BE1006),$AO$1006:$BQ$1006,0))&gt;=100000), " ",IF(INDEX($AO$2:$BQ$1001,MATCH(ROWS($AH$2:AH499),$AH$2:$AH$1001,0),MATCH(COLUMNS($AO$1006:BE1006),$AO$1006:$BQ$1006,0)), HYPERLINK("#",""), HYPERLINK(CONCATENATE("#Metadata!", ADDRESS(INDEX($AJ$2:$AJ$1001,MATCH(ROWS($AH$2:AH499),$AH$2:$AH$1001,0),0), INDEX($AO$1004:$BQ$1004,1,MATCH(COLUMNS($AO$1006:BE1006),$AO$1006:$BQ$1006,0)))),"Fix")))</f>
        <v>#N/A</v>
      </c>
      <c r="S499" s="5" t="e">
        <f ca="1">IF(OR(INDEX($AI$2:$AI$1001,MATCH(ROWS($AH$2:AH499),$AH$2:$AH$1001,0),1)&gt;=100000,INDEX($AO$1005:$BQ$1005,1,MATCH(COLUMNS($AO$1006:BF1006),$AO$1006:$BQ$1006,0))&gt;=100000), " ",IF(INDEX($AO$2:$BQ$1001,MATCH(ROWS($AH$2:AH499),$AH$2:$AH$1001,0),MATCH(COLUMNS($AO$1006:BF1006),$AO$1006:$BQ$1006,0)), HYPERLINK("#",""), HYPERLINK(CONCATENATE("#Metadata!", ADDRESS(INDEX($AJ$2:$AJ$1001,MATCH(ROWS($AH$2:AH499),$AH$2:$AH$1001,0),0), INDEX($AO$1004:$BQ$1004,1,MATCH(COLUMNS($AO$1006:BF1006),$AO$1006:$BQ$1006,0)))),"Fix")))</f>
        <v>#N/A</v>
      </c>
      <c r="T499" s="5" t="e">
        <f ca="1">IF(OR(INDEX($AI$2:$AI$1001,MATCH(ROWS($AH$2:AH499),$AH$2:$AH$1001,0),1)&gt;=100000,INDEX($AO$1005:$BQ$1005,1,MATCH(COLUMNS($AO$1006:BG1006),$AO$1006:$BQ$1006,0))&gt;=100000), " ",IF(INDEX($AO$2:$BQ$1001,MATCH(ROWS($AH$2:AH499),$AH$2:$AH$1001,0),MATCH(COLUMNS($AO$1006:BG1006),$AO$1006:$BQ$1006,0)), HYPERLINK("#",""), HYPERLINK(CONCATENATE("#Metadata!", ADDRESS(INDEX($AJ$2:$AJ$1001,MATCH(ROWS($AH$2:AH499),$AH$2:$AH$1001,0),0), INDEX($AO$1004:$BQ$1004,1,MATCH(COLUMNS($AO$1006:BG1006),$AO$1006:$BQ$1006,0)))),"Fix")))</f>
        <v>#N/A</v>
      </c>
      <c r="U499" s="5" t="e">
        <f ca="1">IF(OR(INDEX($AI$2:$AI$1001,MATCH(ROWS($AH$2:AH499),$AH$2:$AH$1001,0),1)&gt;=100000,INDEX($AO$1005:$BQ$1005,1,MATCH(COLUMNS($AO$1006:BH1006),$AO$1006:$BQ$1006,0))&gt;=100000), " ",IF(INDEX($AO$2:$BQ$1001,MATCH(ROWS($AH$2:AH499),$AH$2:$AH$1001,0),MATCH(COLUMNS($AO$1006:BH1006),$AO$1006:$BQ$1006,0)), HYPERLINK("#",""), HYPERLINK(CONCATENATE("#Metadata!", ADDRESS(INDEX($AJ$2:$AJ$1001,MATCH(ROWS($AH$2:AH499),$AH$2:$AH$1001,0),0), INDEX($AO$1004:$BQ$1004,1,MATCH(COLUMNS($AO$1006:BH1006),$AO$1006:$BQ$1006,0)))),"Fix")))</f>
        <v>#N/A</v>
      </c>
      <c r="V499" s="5" t="e">
        <f ca="1">IF(OR(INDEX($AI$2:$AI$1001,MATCH(ROWS($AH$2:AH499),$AH$2:$AH$1001,0),1)&gt;=100000,INDEX($AO$1005:$BQ$1005,1,MATCH(COLUMNS($AO$1006:BI1006),$AO$1006:$BQ$1006,0))&gt;=100000), " ",IF(INDEX($AO$2:$BQ$1001,MATCH(ROWS($AH$2:AH499),$AH$2:$AH$1001,0),MATCH(COLUMNS($AO$1006:BI1006),$AO$1006:$BQ$1006,0)), HYPERLINK("#",""), HYPERLINK(CONCATENATE("#Metadata!", ADDRESS(INDEX($AJ$2:$AJ$1001,MATCH(ROWS($AH$2:AH499),$AH$2:$AH$1001,0),0), INDEX($AO$1004:$BQ$1004,1,MATCH(COLUMNS($AO$1006:BI1006),$AO$1006:$BQ$1006,0)))),"Fix")))</f>
        <v>#N/A</v>
      </c>
      <c r="W499" s="5" t="e">
        <f ca="1">IF(OR(INDEX($AI$2:$AI$1001,MATCH(ROWS($AH$2:AH499),$AH$2:$AH$1001,0),1)&gt;=100000,INDEX($AO$1005:$BQ$1005,1,MATCH(COLUMNS($AO$1006:BJ1006),$AO$1006:$BQ$1006,0))&gt;=100000), " ",IF(INDEX($AO$2:$BQ$1001,MATCH(ROWS($AH$2:AH499),$AH$2:$AH$1001,0),MATCH(COLUMNS($AO$1006:BJ1006),$AO$1006:$BQ$1006,0)), HYPERLINK("#",""), HYPERLINK(CONCATENATE("#Metadata!", ADDRESS(INDEX($AJ$2:$AJ$1001,MATCH(ROWS($AH$2:AH499),$AH$2:$AH$1001,0),0), INDEX($AO$1004:$BQ$1004,1,MATCH(COLUMNS($AO$1006:BJ1006),$AO$1006:$BQ$1006,0)))),"Fix")))</f>
        <v>#N/A</v>
      </c>
      <c r="X499" s="5" t="e">
        <f ca="1">IF(OR(INDEX($AI$2:$AI$1001,MATCH(ROWS($AH$2:AH499),$AH$2:$AH$1001,0),1)&gt;=100000,INDEX($AO$1005:$BQ$1005,1,MATCH(COLUMNS($AO$1006:BK1006),$AO$1006:$BQ$1006,0))&gt;=100000), " ",IF(INDEX($AO$2:$BQ$1001,MATCH(ROWS($AH$2:AH499),$AH$2:$AH$1001,0),MATCH(COLUMNS($AO$1006:BK1006),$AO$1006:$BQ$1006,0)), HYPERLINK("#",""), HYPERLINK(CONCATENATE("#Metadata!", ADDRESS(INDEX($AJ$2:$AJ$1001,MATCH(ROWS($AH$2:AH499),$AH$2:$AH$1001,0),0), INDEX($AO$1004:$BQ$1004,1,MATCH(COLUMNS($AO$1006:BK1006),$AO$1006:$BQ$1006,0)))),"Fix")))</f>
        <v>#N/A</v>
      </c>
      <c r="Y499" s="5" t="e">
        <f ca="1">IF(OR(INDEX($AI$2:$AI$1001,MATCH(ROWS($AH$2:AH499),$AH$2:$AH$1001,0),1)&gt;=100000,INDEX($AO$1005:$BQ$1005,1,MATCH(COLUMNS($AO$1006:BL1006),$AO$1006:$BQ$1006,0))&gt;=100000), " ",IF(INDEX($AO$2:$BQ$1001,MATCH(ROWS($AH$2:AH499),$AH$2:$AH$1001,0),MATCH(COLUMNS($AO$1006:BL1006),$AO$1006:$BQ$1006,0)), HYPERLINK("#",""), HYPERLINK(CONCATENATE("#Metadata!", ADDRESS(INDEX($AJ$2:$AJ$1001,MATCH(ROWS($AH$2:AH499),$AH$2:$AH$1001,0),0), INDEX($AO$1004:$BQ$1004,1,MATCH(COLUMNS($AO$1006:BL1006),$AO$1006:$BQ$1006,0)))),"Fix")))</f>
        <v>#N/A</v>
      </c>
      <c r="Z499" s="5" t="e">
        <f ca="1">IF(OR(INDEX($AI$2:$AI$1001,MATCH(ROWS($AH$2:AH499),$AH$2:$AH$1001,0),1)&gt;=100000,INDEX($AO$1005:$BQ$1005,1,MATCH(COLUMNS($AO$1006:BM1006),$AO$1006:$BQ$1006,0))&gt;=100000), " ",IF(INDEX($AO$2:$BQ$1001,MATCH(ROWS($AH$2:AH499),$AH$2:$AH$1001,0),MATCH(COLUMNS($AO$1006:BM1006),$AO$1006:$BQ$1006,0)), HYPERLINK("#",""), HYPERLINK(CONCATENATE("#Metadata!", ADDRESS(INDEX($AJ$2:$AJ$1001,MATCH(ROWS($AH$2:AH499),$AH$2:$AH$1001,0),0), INDEX($AO$1004:$BQ$1004,1,MATCH(COLUMNS($AO$1006:BM1006),$AO$1006:$BQ$1006,0)))),"Fix")))</f>
        <v>#N/A</v>
      </c>
      <c r="AA499" s="5" t="e">
        <f ca="1">IF(OR(INDEX($AI$2:$AI$1001,MATCH(ROWS($AH$2:AH499),$AH$2:$AH$1001,0),1)&gt;=100000,INDEX($AO$1005:$BQ$1005,1,MATCH(COLUMNS($AO$1006:BN1006),$AO$1006:$BQ$1006,0))&gt;=100000), " ",IF(INDEX($AO$2:$BQ$1001,MATCH(ROWS($AH$2:AH499),$AH$2:$AH$1001,0),MATCH(COLUMNS($AO$1006:BN1006),$AO$1006:$BQ$1006,0)), HYPERLINK("#",""), HYPERLINK(CONCATENATE("#Metadata!", ADDRESS(INDEX($AJ$2:$AJ$1001,MATCH(ROWS($AH$2:AH499),$AH$2:$AH$1001,0),0), INDEX($AO$1004:$BQ$1004,1,MATCH(COLUMNS($AO$1006:BN1006),$AO$1006:$BQ$1006,0)))),"Fix")))</f>
        <v>#N/A</v>
      </c>
      <c r="AB499" s="5" t="e">
        <f ca="1">IF(OR(INDEX($AI$2:$AI$1001,MATCH(ROWS($AH$2:AH499),$AH$2:$AH$1001,0),1)&gt;=100000,INDEX($AO$1005:$BQ$1005,1,MATCH(COLUMNS($AO$1006:BO1006),$AO$1006:$BQ$1006,0))&gt;=100000), " ",IF(INDEX($AO$2:$BQ$1001,MATCH(ROWS($AH$2:AH499),$AH$2:$AH$1001,0),MATCH(COLUMNS($AO$1006:BO1006),$AO$1006:$BQ$1006,0)), HYPERLINK("#",""), HYPERLINK(CONCATENATE("#Metadata!", ADDRESS(INDEX($AJ$2:$AJ$1001,MATCH(ROWS($AH$2:AH499),$AH$2:$AH$1001,0),0), INDEX($AO$1004:$BQ$1004,1,MATCH(COLUMNS($AO$1006:BO1006),$AO$1006:$BQ$1006,0)))),"Fix")))</f>
        <v>#N/A</v>
      </c>
      <c r="AC499" s="5" t="e">
        <f ca="1">IF(OR(INDEX($AI$2:$AI$1001,MATCH(ROWS($AH$2:AH499),$AH$2:$AH$1001,0),1)&gt;=100000,INDEX($AO$1005:$BQ$1005,1,MATCH(COLUMNS($AO$1006:BP1006),$AO$1006:$BQ$1006,0))&gt;=100000), " ",IF(INDEX($AO$2:$BQ$1001,MATCH(ROWS($AH$2:AH499),$AH$2:$AH$1001,0),MATCH(COLUMNS($AO$1006:BP1006),$AO$1006:$BQ$1006,0)), HYPERLINK("#",""), HYPERLINK(CONCATENATE("#Metadata!", ADDRESS(INDEX($AJ$2:$AJ$1001,MATCH(ROWS($AH$2:AH499),$AH$2:$AH$1001,0),0), INDEX($AO$1004:$BQ$1004,1,MATCH(COLUMNS($AO$1006:BP1006),$AO$1006:$BQ$1006,0)))),"Fix")))</f>
        <v>#N/A</v>
      </c>
      <c r="AD499" s="5" t="e">
        <f ca="1">IF(OR(INDEX($AI$2:$AI$1001,MATCH(ROWS($AH$2:AH499),$AH$2:$AH$1001,0),1)&gt;=100000,INDEX($AO$1005:$BQ$1005,1,MATCH(COLUMNS($AO$1006:BQ1006),$AO$1006:$BQ$1006,0))&gt;=100000), " ",IF(INDEX($AO$2:$BQ$1001,MATCH(ROWS($AH$2:AH499),$AH$2:$AH$1001,0),MATCH(COLUMNS($AO$1006:BQ1006),$AO$1006:$BQ$1006,0)), HYPERLINK("#",""), HYPERLINK(CONCATENATE("#Metadata!", ADDRESS(INDEX($AJ$2:$AJ$1001,MATCH(ROWS($AH$2:AH499),$AH$2:$AH$1001,0),0), INDEX($AO$1004:$BQ$1004,1,MATCH(COLUMNS($AO$1006:BQ1006),$AO$1006:$BQ$1006,0)))),"Fix")))</f>
        <v>#REF!</v>
      </c>
      <c r="AH499">
        <f ca="1"/>
        <v>496</v>
      </c>
      <c r="AI499">
        <v>100499</v>
      </c>
      <c r="AJ499">
        <v>499</v>
      </c>
      <c r="AK499" t="b">
        <f t="shared" si="7"/>
        <v>1</v>
      </c>
      <c r="AL499" t="b">
        <f>COUNTBLANK(Metadata!B499:AD499)=COLUMNS(Metadata!B499:AD499)</f>
        <v>1</v>
      </c>
      <c r="AM499" t="str">
        <v/>
      </c>
      <c r="AO499" t="b">
        <f ca="1">AND(IF(Metadata!B499="",FALSE,TRUE),COUNTIF(Metadata!B:B, Metadata!B499) = 1,NOT(ISERROR(SUMPRODUCT(SEARCH(MID(Metadata!B499,ROW(INDIRECT("1:"&amp;LEN(Metadata!B499))), 1),"0123456789abcdefghijklmnopqrstuvwxyzABCDEFGHIJKLMNOPQRSTUVWXYZ.")))))</f>
        <v>0</v>
      </c>
      <c r="AP499" t="b">
        <f>IF(Metadata!C499="",FALSE,TRUE)</f>
        <v>0</v>
      </c>
      <c r="AQ499" t="b">
        <f>IF(Metadata!D499="",FALSE,TRUE)</f>
        <v>0</v>
      </c>
      <c r="AR499" t="b">
        <f ca="1">OR(AND(IF(Metadata!E499="",FALSE,TRUE),OR(EXACT(Metadata!E499,"not collected"),EXACT(Metadata!E499,"not provided"),EXACT(Metadata!E499,"restricted access"))),AND(IF(Metadata!E499="",FALSE,TRUE),AND(AND(IFERROR(INT(LEFT(Metadata!E499,4))&gt;1900,FALSE),IFERROR(INT(LEFT(Metadata!E499,4))&lt;=YEAR(NOW()),FALSE)), OR(MID(Metadata!E499,5,1)="", AND(AND(MID(Metadata!E499,5,1)="-",IFERROR(INT(MID(Metadata!E499,6,1))&gt;=0,FALSE),IFERROR(INT(MID(Metadata!E499,6,1))&lt;=1,FALSE),NOT(MID(Metadata!E499,7,1)=""),IFERROR(INT(MID(Metadata!E499,6,2))&gt;=1,FALSE),IFERROR(INT(MID(Metadata!E499,6,2))&lt;=12,FALSE)), OR(MID(Metadata!E499,8,1)="", AND(AND(MID(Metadata!E499,8,1)="-",IFERROR(INT(MID(Metadata!E499,9,1))&gt;=0,FALSE),IFERROR(INT(MID(Metadata!E499,9,1))&lt;=3,FALSE),NOT(MID(Metadata!E499,10,1)=""),IFERROR(INT(MID(Metadata!E499,9,2))&gt;=1,FALSE),IFERROR(INT(MID(Metadata!E499,9,2))&lt;=31,FALSE)), OR(MID(Metadata!E499,11,1)="", AND(AND(MID(Metadata!E499,11,1)=" ",IFERROR(INT(MID(Metadata!E499,12,1))&gt;=0,FALSE),IFERROR(INT(MID(Metadata!E499,12,1))&lt;=2,FALSE),NOT(MID(Metadata!E499,13,1)=""),IFERROR(INT(MID(Metadata!E499,12,2))&gt;=0,FALSE),IFERROR(INT(MID(Metadata!E499,12,2))&lt;=23,FALSE)), OR(MID(Metadata!E499,14,1)="", AND(AND(MID(Metadata!E499,14,1)=":",IFERROR(INT(MID(Metadata!E499,15,1))&gt;=0,FALSE),IFERROR(INT(MID(Metadata!E499,15,1))&lt;=5,FALSE),NOT(MID(Metadata!E499,16,1)=""),IFERROR(INT(MID(Metadata!E499,15,2))&gt;=0,FALSE),IFERROR(INT(MID(Metadata!E499,15,2))&lt;=59,FALSE)), OR(MID(Metadata!E499,17,1)="", AND(AND(MID(Metadata!E499,17,1)=":",IFERROR(INT(MID(Metadata!E499,18,1))&gt;=0,FALSE),IFERROR(INT(MID(Metadata!E499,18,1))&lt;=5,FALSE),NOT(MID(Metadata!E499,19,1)=""),IFERROR(INT(MID(Metadata!E499,18,2))&gt;=0,FALSE),IFERROR(INT(MID(Metadata!E499,18,2))&lt;=59,FALSE)), LEN(Metadata!E499)&lt;=19)))))))))))))</f>
        <v>0</v>
      </c>
      <c r="AS499" t="b">
        <f>IF(Metadata!F499="",FALSE,TRUE)</f>
        <v>0</v>
      </c>
      <c r="AT499" t="b">
        <f>OR(AND(IF(Metadata!G499="",FALSE,TRUE),OR(EXACT(Metadata!G499,"not collected"),EXACT(Metadata!G499,"not provided"))),AND(IF(Metadata!G499="",FALSE,TRUE),OR(EXACT(Metadata!G499,"TRUE"),EXACT(Metadata!G499,"FALSE"))))</f>
        <v>0</v>
      </c>
      <c r="AU499" t="b">
        <f>OR(AND(IF(Metadata!H499="",FALSE,TRUE),OR(EXACT(Metadata!H499,"not collected"),EXACT(Metadata!H499,"not provided"),EXACT(Metadata!H499,"restricted access"))),AND(IF(Metadata!H499="",FALSE,ISNUMBER(VALUE(Metadata!H499))),Metadata!H499&gt;=-413))</f>
        <v>0</v>
      </c>
      <c r="AV499" t="b">
        <f>AND(IF(Metadata!I499="",FALSE,TRUE),EXACT(Metadata!I499,"meters"))</f>
        <v>0</v>
      </c>
      <c r="AW499" t="b">
        <f>AND(IF(Metadata!J499="",FALSE,TRUE),EXACT(Metadata!J499,"free-living"))</f>
        <v>0</v>
      </c>
      <c r="AX499" t="b">
        <f>AND(IF(Metadata!K499="",FALSE,TRUE),OR(EXACT(Metadata!K499,"saline"),EXACT(Metadata!K499,"non-saline")))</f>
        <v>0</v>
      </c>
      <c r="AY499" t="b">
        <f>AND(IF(Metadata!L499="",FALSE,TRUE),OR(EXACT(Metadata!L499,"sub-surface (non-saline)"),EXACT(Metadata!L499,"surface (non-saline)"),EXACT(Metadata!L499,"water (non-saline)"),EXACT(Metadata!L499,"soil (non-saline)"),EXACT(Metadata!L499,"aerosol (non-saline)"),EXACT(Metadata!L499,"sediment (non-saline)"),EXACT(Metadata!L499,"surface (saline)"),EXACT(Metadata!L499,"water (saline)"),EXACT(Metadata!L499,"hypersaline (saline)"),EXACT(Metadata!L499,"aerosol (saline)"),EXACT(Metadata!L499,"sediment (saline)")))</f>
        <v>0</v>
      </c>
      <c r="AZ499" t="b">
        <f>IF(Metadata!M499="",FALSE,TRUE)</f>
        <v>0</v>
      </c>
      <c r="BA499" t="b">
        <f>IF(Metadata!N499="",FALSE,TRUE)</f>
        <v>0</v>
      </c>
      <c r="BB499" t="b">
        <f>IF(Metadata!O499="",FALSE,TRUE)</f>
        <v>0</v>
      </c>
      <c r="BC499" t="b">
        <f>AND(IF(Metadata!P499="",FALSE,TRUE),OR(EXACT(Metadata!P499,"air"),EXACT(Metadata!P499,"microbial mat/biofilm"),EXACT(Metadata!P499,"misc environment"),EXACT(Metadata!P499,"sediment"),EXACT(Metadata!P499,"soil"),EXACT(Metadata!P499,"wastewater/sludge"),EXACT(Metadata!P499,"water")))</f>
        <v>0</v>
      </c>
      <c r="BD499" t="b">
        <f>IF(Metadata!Q499="",FALSE,TRUE)</f>
        <v>0</v>
      </c>
      <c r="BE499" t="b">
        <f>IF(Metadata!R499="",FALSE,TRUE)</f>
        <v>0</v>
      </c>
      <c r="BF499" t="b">
        <f>OR(AND(IF(Metadata!S499="",FALSE,TRUE),OR(EXACT(Metadata!S499,"not collected"),EXACT(Metadata!S499,"not provided"),EXACT(Metadata!S499,"restricted access"))),AND(IF(Metadata!S499="",FALSE,ISNUMBER(VALUE(Metadata!S499))),Metadata!S499&gt;=-90,Metadata!S499&lt;=90))</f>
        <v>0</v>
      </c>
      <c r="BG499" t="b">
        <f>AND(IF(Metadata!T499="",FALSE,TRUE),EXACT(Metadata!T499,"Decimal degrees"))</f>
        <v>0</v>
      </c>
      <c r="BH499" t="b">
        <f>OR(AND(IF(Metadata!U499="",FALSE,TRUE),OR(EXACT(Metadata!U499,"not applicable"),EXACT(Metadata!U499,"not collected"))),IF(Metadata!U499="",FALSE,TRUE))</f>
        <v>0</v>
      </c>
      <c r="BI499" t="b">
        <f>OR(AND(IF(Metadata!V499="",FALSE,TRUE),OR(EXACT(Metadata!V499,"not collected"),EXACT(Metadata!V499,"not provided"),EXACT(Metadata!V499,"restricted access"))),AND(IF(Metadata!V499="",FALSE,ISNUMBER(VALUE(Metadata!V499))),Metadata!V499&gt;=-180,Metadata!V499&lt;=180))</f>
        <v>0</v>
      </c>
      <c r="BJ499" t="b">
        <f>AND(IF(Metadata!W499="",FALSE,TRUE),EXACT(Metadata!W499,"Decimal degrees"))</f>
        <v>0</v>
      </c>
      <c r="BK499" t="b">
        <f>IF(Metadata!X499="",FALSE,TRUE)</f>
        <v>0</v>
      </c>
      <c r="BL499" t="b">
        <f>OR(AND(IF(Metadata!Y499="",FALSE,TRUE),OR(EXACT(Metadata!Y499,"not collected"),EXACT(Metadata!Y499,"not provided"),EXACT(Metadata!Y499,"restricted access"))),AND(IF(Metadata!Y499="",FALSE,TRUE),OR(EXACT(Metadata!Y499,"TRUE"),EXACT(Metadata!Y499,"FALSE"))))</f>
        <v>0</v>
      </c>
      <c r="BM499" t="b">
        <f>OR(AND(IF(Metadata!Z499="",FALSE,TRUE),EXACT(Metadata!Z499,"not applicable")),AND(IF(Metadata!Z499="",FALSE,TRUE),OR(EXACT(Metadata!Z499,"beer"),EXACT(Metadata!Z499,"cheese"),EXACT(Metadata!Z499,"fresh water"),EXACT(Metadata!Z499,"marine sediment"),EXACT(Metadata!Z499,"sea water"),EXACT(Metadata!Z499,"sediment"),EXACT(Metadata!Z499,"soil"),EXACT(Metadata!Z499,"waste water"))))</f>
        <v>0</v>
      </c>
      <c r="BN499" t="b">
        <f>AND(IF(Metadata!AA499="",FALSE,TRUE),EXACT(Metadata!AA499,"metagenome"))</f>
        <v>0</v>
      </c>
      <c r="BO499" t="b">
        <f>AND(IF(Metadata!AB499="",FALSE,TRUE),EXACT(Metadata!AB499,"256318"))</f>
        <v>0</v>
      </c>
      <c r="BP499" t="b">
        <f>IF(Metadata!AC499="",FALSE,TRUE)</f>
        <v>0</v>
      </c>
      <c r="BQ499" t="b">
        <f>IF(Metadata!AD499="",FALSE,TRUE)</f>
        <v>0</v>
      </c>
    </row>
    <row r="500" spans="1:69" x14ac:dyDescent="0.2">
      <c r="A500" s="4" t="e">
        <f ca="1">IF(B500=" "," ",HYPERLINK(CONCATENATE("#metadata!",ADDRESS(INDEX($AJ$2:$AJ$1001,MATCH(ROWS($AH$2:AH500),$AH$2:$AH$1001,0),0),2)),INDEX($AM$2:$AM$1001,MATCH(ROWS($AH$2:AH500),$AH$2:$AH$1001,0),0)))</f>
        <v>#N/A</v>
      </c>
      <c r="B500" s="5" t="e">
        <f ca="1">IF(OR(INDEX($AI$2:$AI$1001,MATCH(ROWS($AH$2:AH500),$AH$2:$AH$1001,0),1)&gt;=100000,INDEX($AO$1005:$BQ$1005,1,MATCH(COLUMNS($AO$1006:AO1006),$AO$1006:$BQ$1006,0))&gt;=100000), " ",IF(INDEX($AO$2:$BQ$1001,MATCH(ROWS($AH$2:AH500),$AH$2:$AH$1001,0),MATCH(COLUMNS($AO$1006:AO1006),$AO$1006:$BQ$1006,0)), HYPERLINK("#",""), HYPERLINK(CONCATENATE("#Metadata!", ADDRESS(INDEX($AJ$2:$AJ$1001,MATCH(ROWS($AH$2:AH500),$AH$2:$AH$1001,0),0), INDEX($AO$1004:$BQ$1004,1,MATCH(COLUMNS($AO$1006:AO1006),$AO$1006:$BQ$1006,0)))),"Fix")))</f>
        <v>#N/A</v>
      </c>
      <c r="C500" s="5" t="e">
        <f ca="1">IF(OR(INDEX($AI$2:$AI$1001,MATCH(ROWS($AH$2:AH500),$AH$2:$AH$1001,0),1)&gt;=100000,INDEX($AO$1005:$BQ$1005,1,MATCH(COLUMNS($AO$1006:AP1006),$AO$1006:$BQ$1006,0))&gt;=100000), " ",IF(INDEX($AO$2:$BQ$1001,MATCH(ROWS($AH$2:AH500),$AH$2:$AH$1001,0),MATCH(COLUMNS($AO$1006:AP1006),$AO$1006:$BQ$1006,0)), HYPERLINK("#",""), HYPERLINK(CONCATENATE("#Metadata!", ADDRESS(INDEX($AJ$2:$AJ$1001,MATCH(ROWS($AH$2:AH500),$AH$2:$AH$1001,0),0), INDEX($AO$1004:$BQ$1004,1,MATCH(COLUMNS($AO$1006:AP1006),$AO$1006:$BQ$1006,0)))),"Fix")))</f>
        <v>#N/A</v>
      </c>
      <c r="D500" s="5" t="e">
        <f ca="1">IF(OR(INDEX($AI$2:$AI$1001,MATCH(ROWS($AH$2:AH500),$AH$2:$AH$1001,0),1)&gt;=100000,INDEX($AO$1005:$BQ$1005,1,MATCH(COLUMNS($AO$1006:AQ1006),$AO$1006:$BQ$1006,0))&gt;=100000), " ",IF(INDEX($AO$2:$BQ$1001,MATCH(ROWS($AH$2:AH500),$AH$2:$AH$1001,0),MATCH(COLUMNS($AO$1006:AQ1006),$AO$1006:$BQ$1006,0)), HYPERLINK("#",""), HYPERLINK(CONCATENATE("#Metadata!", ADDRESS(INDEX($AJ$2:$AJ$1001,MATCH(ROWS($AH$2:AH500),$AH$2:$AH$1001,0),0), INDEX($AO$1004:$BQ$1004,1,MATCH(COLUMNS($AO$1006:AQ1006),$AO$1006:$BQ$1006,0)))),"Fix")))</f>
        <v>#N/A</v>
      </c>
      <c r="E500" s="5" t="e">
        <f ca="1">IF(OR(INDEX($AI$2:$AI$1001,MATCH(ROWS($AH$2:AH500),$AH$2:$AH$1001,0),1)&gt;=100000,INDEX($AO$1005:$BQ$1005,1,MATCH(COLUMNS($AO$1006:AR1006),$AO$1006:$BQ$1006,0))&gt;=100000), " ",IF(INDEX($AO$2:$BQ$1001,MATCH(ROWS($AH$2:AH500),$AH$2:$AH$1001,0),MATCH(COLUMNS($AO$1006:AR1006),$AO$1006:$BQ$1006,0)), HYPERLINK("#",""), HYPERLINK(CONCATENATE("#Metadata!", ADDRESS(INDEX($AJ$2:$AJ$1001,MATCH(ROWS($AH$2:AH500),$AH$2:$AH$1001,0),0), INDEX($AO$1004:$BQ$1004,1,MATCH(COLUMNS($AO$1006:AR1006),$AO$1006:$BQ$1006,0)))),"Fix")))</f>
        <v>#N/A</v>
      </c>
      <c r="F500" s="5" t="e">
        <f ca="1">IF(OR(INDEX($AI$2:$AI$1001,MATCH(ROWS($AH$2:AH500),$AH$2:$AH$1001,0),1)&gt;=100000,INDEX($AO$1005:$BQ$1005,1,MATCH(COLUMNS($AO$1006:AS1006),$AO$1006:$BQ$1006,0))&gt;=100000), " ",IF(INDEX($AO$2:$BQ$1001,MATCH(ROWS($AH$2:AH500),$AH$2:$AH$1001,0),MATCH(COLUMNS($AO$1006:AS1006),$AO$1006:$BQ$1006,0)), HYPERLINK("#",""), HYPERLINK(CONCATENATE("#Metadata!", ADDRESS(INDEX($AJ$2:$AJ$1001,MATCH(ROWS($AH$2:AH500),$AH$2:$AH$1001,0),0), INDEX($AO$1004:$BQ$1004,1,MATCH(COLUMNS($AO$1006:AS1006),$AO$1006:$BQ$1006,0)))),"Fix")))</f>
        <v>#N/A</v>
      </c>
      <c r="G500" s="5" t="e">
        <f ca="1">IF(OR(INDEX($AI$2:$AI$1001,MATCH(ROWS($AH$2:AH500),$AH$2:$AH$1001,0),1)&gt;=100000,INDEX($AO$1005:$BQ$1005,1,MATCH(COLUMNS($AO$1006:AT1006),$AO$1006:$BQ$1006,0))&gt;=100000), " ",IF(INDEX($AO$2:$BQ$1001,MATCH(ROWS($AH$2:AH500),$AH$2:$AH$1001,0),MATCH(COLUMNS($AO$1006:AT1006),$AO$1006:$BQ$1006,0)), HYPERLINK("#",""), HYPERLINK(CONCATENATE("#Metadata!", ADDRESS(INDEX($AJ$2:$AJ$1001,MATCH(ROWS($AH$2:AH500),$AH$2:$AH$1001,0),0), INDEX($AO$1004:$BQ$1004,1,MATCH(COLUMNS($AO$1006:AT1006),$AO$1006:$BQ$1006,0)))),"Fix")))</f>
        <v>#N/A</v>
      </c>
      <c r="H500" s="5" t="e">
        <f ca="1">IF(OR(INDEX($AI$2:$AI$1001,MATCH(ROWS($AH$2:AH500),$AH$2:$AH$1001,0),1)&gt;=100000,INDEX($AO$1005:$BQ$1005,1,MATCH(COLUMNS($AO$1006:AU1006),$AO$1006:$BQ$1006,0))&gt;=100000), " ",IF(INDEX($AO$2:$BQ$1001,MATCH(ROWS($AH$2:AH500),$AH$2:$AH$1001,0),MATCH(COLUMNS($AO$1006:AU1006),$AO$1006:$BQ$1006,0)), HYPERLINK("#",""), HYPERLINK(CONCATENATE("#Metadata!", ADDRESS(INDEX($AJ$2:$AJ$1001,MATCH(ROWS($AH$2:AH500),$AH$2:$AH$1001,0),0), INDEX($AO$1004:$BQ$1004,1,MATCH(COLUMNS($AO$1006:AU1006),$AO$1006:$BQ$1006,0)))),"Fix")))</f>
        <v>#N/A</v>
      </c>
      <c r="I500" s="5" t="e">
        <f ca="1">IF(OR(INDEX($AI$2:$AI$1001,MATCH(ROWS($AH$2:AH500),$AH$2:$AH$1001,0),1)&gt;=100000,INDEX($AO$1005:$BQ$1005,1,MATCH(COLUMNS($AO$1006:AV1006),$AO$1006:$BQ$1006,0))&gt;=100000), " ",IF(INDEX($AO$2:$BQ$1001,MATCH(ROWS($AH$2:AH500),$AH$2:$AH$1001,0),MATCH(COLUMNS($AO$1006:AV1006),$AO$1006:$BQ$1006,0)), HYPERLINK("#",""), HYPERLINK(CONCATENATE("#Metadata!", ADDRESS(INDEX($AJ$2:$AJ$1001,MATCH(ROWS($AH$2:AH500),$AH$2:$AH$1001,0),0), INDEX($AO$1004:$BQ$1004,1,MATCH(COLUMNS($AO$1006:AV1006),$AO$1006:$BQ$1006,0)))),"Fix")))</f>
        <v>#N/A</v>
      </c>
      <c r="J500" s="5" t="e">
        <f ca="1">IF(OR(INDEX($AI$2:$AI$1001,MATCH(ROWS($AH$2:AH500),$AH$2:$AH$1001,0),1)&gt;=100000,INDEX($AO$1005:$BQ$1005,1,MATCH(COLUMNS($AO$1006:AW1006),$AO$1006:$BQ$1006,0))&gt;=100000), " ",IF(INDEX($AO$2:$BQ$1001,MATCH(ROWS($AH$2:AH500),$AH$2:$AH$1001,0),MATCH(COLUMNS($AO$1006:AW1006),$AO$1006:$BQ$1006,0)), HYPERLINK("#",""), HYPERLINK(CONCATENATE("#Metadata!", ADDRESS(INDEX($AJ$2:$AJ$1001,MATCH(ROWS($AH$2:AH500),$AH$2:$AH$1001,0),0), INDEX($AO$1004:$BQ$1004,1,MATCH(COLUMNS($AO$1006:AW1006),$AO$1006:$BQ$1006,0)))),"Fix")))</f>
        <v>#N/A</v>
      </c>
      <c r="K500" s="5" t="e">
        <f ca="1">IF(OR(INDEX($AI$2:$AI$1001,MATCH(ROWS($AH$2:AH500),$AH$2:$AH$1001,0),1)&gt;=100000,INDEX($AO$1005:$BQ$1005,1,MATCH(COLUMNS($AO$1006:AX1006),$AO$1006:$BQ$1006,0))&gt;=100000), " ",IF(INDEX($AO$2:$BQ$1001,MATCH(ROWS($AH$2:AH500),$AH$2:$AH$1001,0),MATCH(COLUMNS($AO$1006:AX1006),$AO$1006:$BQ$1006,0)), HYPERLINK("#",""), HYPERLINK(CONCATENATE("#Metadata!", ADDRESS(INDEX($AJ$2:$AJ$1001,MATCH(ROWS($AH$2:AH500),$AH$2:$AH$1001,0),0), INDEX($AO$1004:$BQ$1004,1,MATCH(COLUMNS($AO$1006:AX1006),$AO$1006:$BQ$1006,0)))),"Fix")))</f>
        <v>#N/A</v>
      </c>
      <c r="L500" s="5" t="e">
        <f ca="1">IF(OR(INDEX($AI$2:$AI$1001,MATCH(ROWS($AH$2:AH500),$AH$2:$AH$1001,0),1)&gt;=100000,INDEX($AO$1005:$BQ$1005,1,MATCH(COLUMNS($AO$1006:AY1006),$AO$1006:$BQ$1006,0))&gt;=100000), " ",IF(INDEX($AO$2:$BQ$1001,MATCH(ROWS($AH$2:AH500),$AH$2:$AH$1001,0),MATCH(COLUMNS($AO$1006:AY1006),$AO$1006:$BQ$1006,0)), HYPERLINK("#",""), HYPERLINK(CONCATENATE("#Metadata!", ADDRESS(INDEX($AJ$2:$AJ$1001,MATCH(ROWS($AH$2:AH500),$AH$2:$AH$1001,0),0), INDEX($AO$1004:$BQ$1004,1,MATCH(COLUMNS($AO$1006:AY1006),$AO$1006:$BQ$1006,0)))),"Fix")))</f>
        <v>#N/A</v>
      </c>
      <c r="M500" s="5" t="e">
        <f ca="1">IF(OR(INDEX($AI$2:$AI$1001,MATCH(ROWS($AH$2:AH500),$AH$2:$AH$1001,0),1)&gt;=100000,INDEX($AO$1005:$BQ$1005,1,MATCH(COLUMNS($AO$1006:AZ1006),$AO$1006:$BQ$1006,0))&gt;=100000), " ",IF(INDEX($AO$2:$BQ$1001,MATCH(ROWS($AH$2:AH500),$AH$2:$AH$1001,0),MATCH(COLUMNS($AO$1006:AZ1006),$AO$1006:$BQ$1006,0)), HYPERLINK("#",""), HYPERLINK(CONCATENATE("#Metadata!", ADDRESS(INDEX($AJ$2:$AJ$1001,MATCH(ROWS($AH$2:AH500),$AH$2:$AH$1001,0),0), INDEX($AO$1004:$BQ$1004,1,MATCH(COLUMNS($AO$1006:AZ1006),$AO$1006:$BQ$1006,0)))),"Fix")))</f>
        <v>#N/A</v>
      </c>
      <c r="N500" s="5" t="e">
        <f ca="1">IF(OR(INDEX($AI$2:$AI$1001,MATCH(ROWS($AH$2:AH500),$AH$2:$AH$1001,0),1)&gt;=100000,INDEX($AO$1005:$BQ$1005,1,MATCH(COLUMNS($AO$1006:BA1006),$AO$1006:$BQ$1006,0))&gt;=100000), " ",IF(INDEX($AO$2:$BQ$1001,MATCH(ROWS($AH$2:AH500),$AH$2:$AH$1001,0),MATCH(COLUMNS($AO$1006:BA1006),$AO$1006:$BQ$1006,0)), HYPERLINK("#",""), HYPERLINK(CONCATENATE("#Metadata!", ADDRESS(INDEX($AJ$2:$AJ$1001,MATCH(ROWS($AH$2:AH500),$AH$2:$AH$1001,0),0), INDEX($AO$1004:$BQ$1004,1,MATCH(COLUMNS($AO$1006:BA1006),$AO$1006:$BQ$1006,0)))),"Fix")))</f>
        <v>#N/A</v>
      </c>
      <c r="O500" s="5" t="e">
        <f ca="1">IF(OR(INDEX($AI$2:$AI$1001,MATCH(ROWS($AH$2:AH500),$AH$2:$AH$1001,0),1)&gt;=100000,INDEX($AO$1005:$BQ$1005,1,MATCH(COLUMNS($AO$1006:BB1006),$AO$1006:$BQ$1006,0))&gt;=100000), " ",IF(INDEX($AO$2:$BQ$1001,MATCH(ROWS($AH$2:AH500),$AH$2:$AH$1001,0),MATCH(COLUMNS($AO$1006:BB1006),$AO$1006:$BQ$1006,0)), HYPERLINK("#",""), HYPERLINK(CONCATENATE("#Metadata!", ADDRESS(INDEX($AJ$2:$AJ$1001,MATCH(ROWS($AH$2:AH500),$AH$2:$AH$1001,0),0), INDEX($AO$1004:$BQ$1004,1,MATCH(COLUMNS($AO$1006:BB1006),$AO$1006:$BQ$1006,0)))),"Fix")))</f>
        <v>#N/A</v>
      </c>
      <c r="P500" s="5" t="e">
        <f ca="1">IF(OR(INDEX($AI$2:$AI$1001,MATCH(ROWS($AH$2:AH500),$AH$2:$AH$1001,0),1)&gt;=100000,INDEX($AO$1005:$BQ$1005,1,MATCH(COLUMNS($AO$1006:BC1006),$AO$1006:$BQ$1006,0))&gt;=100000), " ",IF(INDEX($AO$2:$BQ$1001,MATCH(ROWS($AH$2:AH500),$AH$2:$AH$1001,0),MATCH(COLUMNS($AO$1006:BC1006),$AO$1006:$BQ$1006,0)), HYPERLINK("#",""), HYPERLINK(CONCATENATE("#Metadata!", ADDRESS(INDEX($AJ$2:$AJ$1001,MATCH(ROWS($AH$2:AH500),$AH$2:$AH$1001,0),0), INDEX($AO$1004:$BQ$1004,1,MATCH(COLUMNS($AO$1006:BC1006),$AO$1006:$BQ$1006,0)))),"Fix")))</f>
        <v>#N/A</v>
      </c>
      <c r="Q500" s="5" t="e">
        <f ca="1">IF(OR(INDEX($AI$2:$AI$1001,MATCH(ROWS($AH$2:AH500),$AH$2:$AH$1001,0),1)&gt;=100000,INDEX($AO$1005:$BQ$1005,1,MATCH(COLUMNS($AO$1006:BD1006),$AO$1006:$BQ$1006,0))&gt;=100000), " ",IF(INDEX($AO$2:$BQ$1001,MATCH(ROWS($AH$2:AH500),$AH$2:$AH$1001,0),MATCH(COLUMNS($AO$1006:BD1006),$AO$1006:$BQ$1006,0)), HYPERLINK("#",""), HYPERLINK(CONCATENATE("#Metadata!", ADDRESS(INDEX($AJ$2:$AJ$1001,MATCH(ROWS($AH$2:AH500),$AH$2:$AH$1001,0),0), INDEX($AO$1004:$BQ$1004,1,MATCH(COLUMNS($AO$1006:BD1006),$AO$1006:$BQ$1006,0)))),"Fix")))</f>
        <v>#N/A</v>
      </c>
      <c r="R500" s="5" t="e">
        <f ca="1">IF(OR(INDEX($AI$2:$AI$1001,MATCH(ROWS($AH$2:AH500),$AH$2:$AH$1001,0),1)&gt;=100000,INDEX($AO$1005:$BQ$1005,1,MATCH(COLUMNS($AO$1006:BE1006),$AO$1006:$BQ$1006,0))&gt;=100000), " ",IF(INDEX($AO$2:$BQ$1001,MATCH(ROWS($AH$2:AH500),$AH$2:$AH$1001,0),MATCH(COLUMNS($AO$1006:BE1006),$AO$1006:$BQ$1006,0)), HYPERLINK("#",""), HYPERLINK(CONCATENATE("#Metadata!", ADDRESS(INDEX($AJ$2:$AJ$1001,MATCH(ROWS($AH$2:AH500),$AH$2:$AH$1001,0),0), INDEX($AO$1004:$BQ$1004,1,MATCH(COLUMNS($AO$1006:BE1006),$AO$1006:$BQ$1006,0)))),"Fix")))</f>
        <v>#N/A</v>
      </c>
      <c r="S500" s="5" t="e">
        <f ca="1">IF(OR(INDEX($AI$2:$AI$1001,MATCH(ROWS($AH$2:AH500),$AH$2:$AH$1001,0),1)&gt;=100000,INDEX($AO$1005:$BQ$1005,1,MATCH(COLUMNS($AO$1006:BF1006),$AO$1006:$BQ$1006,0))&gt;=100000), " ",IF(INDEX($AO$2:$BQ$1001,MATCH(ROWS($AH$2:AH500),$AH$2:$AH$1001,0),MATCH(COLUMNS($AO$1006:BF1006),$AO$1006:$BQ$1006,0)), HYPERLINK("#",""), HYPERLINK(CONCATENATE("#Metadata!", ADDRESS(INDEX($AJ$2:$AJ$1001,MATCH(ROWS($AH$2:AH500),$AH$2:$AH$1001,0),0), INDEX($AO$1004:$BQ$1004,1,MATCH(COLUMNS($AO$1006:BF1006),$AO$1006:$BQ$1006,0)))),"Fix")))</f>
        <v>#N/A</v>
      </c>
      <c r="T500" s="5" t="e">
        <f ca="1">IF(OR(INDEX($AI$2:$AI$1001,MATCH(ROWS($AH$2:AH500),$AH$2:$AH$1001,0),1)&gt;=100000,INDEX($AO$1005:$BQ$1005,1,MATCH(COLUMNS($AO$1006:BG1006),$AO$1006:$BQ$1006,0))&gt;=100000), " ",IF(INDEX($AO$2:$BQ$1001,MATCH(ROWS($AH$2:AH500),$AH$2:$AH$1001,0),MATCH(COLUMNS($AO$1006:BG1006),$AO$1006:$BQ$1006,0)), HYPERLINK("#",""), HYPERLINK(CONCATENATE("#Metadata!", ADDRESS(INDEX($AJ$2:$AJ$1001,MATCH(ROWS($AH$2:AH500),$AH$2:$AH$1001,0),0), INDEX($AO$1004:$BQ$1004,1,MATCH(COLUMNS($AO$1006:BG1006),$AO$1006:$BQ$1006,0)))),"Fix")))</f>
        <v>#N/A</v>
      </c>
      <c r="U500" s="5" t="e">
        <f ca="1">IF(OR(INDEX($AI$2:$AI$1001,MATCH(ROWS($AH$2:AH500),$AH$2:$AH$1001,0),1)&gt;=100000,INDEX($AO$1005:$BQ$1005,1,MATCH(COLUMNS($AO$1006:BH1006),$AO$1006:$BQ$1006,0))&gt;=100000), " ",IF(INDEX($AO$2:$BQ$1001,MATCH(ROWS($AH$2:AH500),$AH$2:$AH$1001,0),MATCH(COLUMNS($AO$1006:BH1006),$AO$1006:$BQ$1006,0)), HYPERLINK("#",""), HYPERLINK(CONCATENATE("#Metadata!", ADDRESS(INDEX($AJ$2:$AJ$1001,MATCH(ROWS($AH$2:AH500),$AH$2:$AH$1001,0),0), INDEX($AO$1004:$BQ$1004,1,MATCH(COLUMNS($AO$1006:BH1006),$AO$1006:$BQ$1006,0)))),"Fix")))</f>
        <v>#N/A</v>
      </c>
      <c r="V500" s="5" t="e">
        <f ca="1">IF(OR(INDEX($AI$2:$AI$1001,MATCH(ROWS($AH$2:AH500),$AH$2:$AH$1001,0),1)&gt;=100000,INDEX($AO$1005:$BQ$1005,1,MATCH(COLUMNS($AO$1006:BI1006),$AO$1006:$BQ$1006,0))&gt;=100000), " ",IF(INDEX($AO$2:$BQ$1001,MATCH(ROWS($AH$2:AH500),$AH$2:$AH$1001,0),MATCH(COLUMNS($AO$1006:BI1006),$AO$1006:$BQ$1006,0)), HYPERLINK("#",""), HYPERLINK(CONCATENATE("#Metadata!", ADDRESS(INDEX($AJ$2:$AJ$1001,MATCH(ROWS($AH$2:AH500),$AH$2:$AH$1001,0),0), INDEX($AO$1004:$BQ$1004,1,MATCH(COLUMNS($AO$1006:BI1006),$AO$1006:$BQ$1006,0)))),"Fix")))</f>
        <v>#N/A</v>
      </c>
      <c r="W500" s="5" t="e">
        <f ca="1">IF(OR(INDEX($AI$2:$AI$1001,MATCH(ROWS($AH$2:AH500),$AH$2:$AH$1001,0),1)&gt;=100000,INDEX($AO$1005:$BQ$1005,1,MATCH(COLUMNS($AO$1006:BJ1006),$AO$1006:$BQ$1006,0))&gt;=100000), " ",IF(INDEX($AO$2:$BQ$1001,MATCH(ROWS($AH$2:AH500),$AH$2:$AH$1001,0),MATCH(COLUMNS($AO$1006:BJ1006),$AO$1006:$BQ$1006,0)), HYPERLINK("#",""), HYPERLINK(CONCATENATE("#Metadata!", ADDRESS(INDEX($AJ$2:$AJ$1001,MATCH(ROWS($AH$2:AH500),$AH$2:$AH$1001,0),0), INDEX($AO$1004:$BQ$1004,1,MATCH(COLUMNS($AO$1006:BJ1006),$AO$1006:$BQ$1006,0)))),"Fix")))</f>
        <v>#N/A</v>
      </c>
      <c r="X500" s="5" t="e">
        <f ca="1">IF(OR(INDEX($AI$2:$AI$1001,MATCH(ROWS($AH$2:AH500),$AH$2:$AH$1001,0),1)&gt;=100000,INDEX($AO$1005:$BQ$1005,1,MATCH(COLUMNS($AO$1006:BK1006),$AO$1006:$BQ$1006,0))&gt;=100000), " ",IF(INDEX($AO$2:$BQ$1001,MATCH(ROWS($AH$2:AH500),$AH$2:$AH$1001,0),MATCH(COLUMNS($AO$1006:BK1006),$AO$1006:$BQ$1006,0)), HYPERLINK("#",""), HYPERLINK(CONCATENATE("#Metadata!", ADDRESS(INDEX($AJ$2:$AJ$1001,MATCH(ROWS($AH$2:AH500),$AH$2:$AH$1001,0),0), INDEX($AO$1004:$BQ$1004,1,MATCH(COLUMNS($AO$1006:BK1006),$AO$1006:$BQ$1006,0)))),"Fix")))</f>
        <v>#N/A</v>
      </c>
      <c r="Y500" s="5" t="e">
        <f ca="1">IF(OR(INDEX($AI$2:$AI$1001,MATCH(ROWS($AH$2:AH500),$AH$2:$AH$1001,0),1)&gt;=100000,INDEX($AO$1005:$BQ$1005,1,MATCH(COLUMNS($AO$1006:BL1006),$AO$1006:$BQ$1006,0))&gt;=100000), " ",IF(INDEX($AO$2:$BQ$1001,MATCH(ROWS($AH$2:AH500),$AH$2:$AH$1001,0),MATCH(COLUMNS($AO$1006:BL1006),$AO$1006:$BQ$1006,0)), HYPERLINK("#",""), HYPERLINK(CONCATENATE("#Metadata!", ADDRESS(INDEX($AJ$2:$AJ$1001,MATCH(ROWS($AH$2:AH500),$AH$2:$AH$1001,0),0), INDEX($AO$1004:$BQ$1004,1,MATCH(COLUMNS($AO$1006:BL1006),$AO$1006:$BQ$1006,0)))),"Fix")))</f>
        <v>#N/A</v>
      </c>
      <c r="Z500" s="5" t="e">
        <f ca="1">IF(OR(INDEX($AI$2:$AI$1001,MATCH(ROWS($AH$2:AH500),$AH$2:$AH$1001,0),1)&gt;=100000,INDEX($AO$1005:$BQ$1005,1,MATCH(COLUMNS($AO$1006:BM1006),$AO$1006:$BQ$1006,0))&gt;=100000), " ",IF(INDEX($AO$2:$BQ$1001,MATCH(ROWS($AH$2:AH500),$AH$2:$AH$1001,0),MATCH(COLUMNS($AO$1006:BM1006),$AO$1006:$BQ$1006,0)), HYPERLINK("#",""), HYPERLINK(CONCATENATE("#Metadata!", ADDRESS(INDEX($AJ$2:$AJ$1001,MATCH(ROWS($AH$2:AH500),$AH$2:$AH$1001,0),0), INDEX($AO$1004:$BQ$1004,1,MATCH(COLUMNS($AO$1006:BM1006),$AO$1006:$BQ$1006,0)))),"Fix")))</f>
        <v>#N/A</v>
      </c>
      <c r="AA500" s="5" t="e">
        <f ca="1">IF(OR(INDEX($AI$2:$AI$1001,MATCH(ROWS($AH$2:AH500),$AH$2:$AH$1001,0),1)&gt;=100000,INDEX($AO$1005:$BQ$1005,1,MATCH(COLUMNS($AO$1006:BN1006),$AO$1006:$BQ$1006,0))&gt;=100000), " ",IF(INDEX($AO$2:$BQ$1001,MATCH(ROWS($AH$2:AH500),$AH$2:$AH$1001,0),MATCH(COLUMNS($AO$1006:BN1006),$AO$1006:$BQ$1006,0)), HYPERLINK("#",""), HYPERLINK(CONCATENATE("#Metadata!", ADDRESS(INDEX($AJ$2:$AJ$1001,MATCH(ROWS($AH$2:AH500),$AH$2:$AH$1001,0),0), INDEX($AO$1004:$BQ$1004,1,MATCH(COLUMNS($AO$1006:BN1006),$AO$1006:$BQ$1006,0)))),"Fix")))</f>
        <v>#N/A</v>
      </c>
      <c r="AB500" s="5" t="e">
        <f ca="1">IF(OR(INDEX($AI$2:$AI$1001,MATCH(ROWS($AH$2:AH500),$AH$2:$AH$1001,0),1)&gt;=100000,INDEX($AO$1005:$BQ$1005,1,MATCH(COLUMNS($AO$1006:BO1006),$AO$1006:$BQ$1006,0))&gt;=100000), " ",IF(INDEX($AO$2:$BQ$1001,MATCH(ROWS($AH$2:AH500),$AH$2:$AH$1001,0),MATCH(COLUMNS($AO$1006:BO1006),$AO$1006:$BQ$1006,0)), HYPERLINK("#",""), HYPERLINK(CONCATENATE("#Metadata!", ADDRESS(INDEX($AJ$2:$AJ$1001,MATCH(ROWS($AH$2:AH500),$AH$2:$AH$1001,0),0), INDEX($AO$1004:$BQ$1004,1,MATCH(COLUMNS($AO$1006:BO1006),$AO$1006:$BQ$1006,0)))),"Fix")))</f>
        <v>#N/A</v>
      </c>
      <c r="AC500" s="5" t="e">
        <f ca="1">IF(OR(INDEX($AI$2:$AI$1001,MATCH(ROWS($AH$2:AH500),$AH$2:$AH$1001,0),1)&gt;=100000,INDEX($AO$1005:$BQ$1005,1,MATCH(COLUMNS($AO$1006:BP1006),$AO$1006:$BQ$1006,0))&gt;=100000), " ",IF(INDEX($AO$2:$BQ$1001,MATCH(ROWS($AH$2:AH500),$AH$2:$AH$1001,0),MATCH(COLUMNS($AO$1006:BP1006),$AO$1006:$BQ$1006,0)), HYPERLINK("#",""), HYPERLINK(CONCATENATE("#Metadata!", ADDRESS(INDEX($AJ$2:$AJ$1001,MATCH(ROWS($AH$2:AH500),$AH$2:$AH$1001,0),0), INDEX($AO$1004:$BQ$1004,1,MATCH(COLUMNS($AO$1006:BP1006),$AO$1006:$BQ$1006,0)))),"Fix")))</f>
        <v>#N/A</v>
      </c>
      <c r="AD500" s="5" t="e">
        <f ca="1">IF(OR(INDEX($AI$2:$AI$1001,MATCH(ROWS($AH$2:AH500),$AH$2:$AH$1001,0),1)&gt;=100000,INDEX($AO$1005:$BQ$1005,1,MATCH(COLUMNS($AO$1006:BQ1006),$AO$1006:$BQ$1006,0))&gt;=100000), " ",IF(INDEX($AO$2:$BQ$1001,MATCH(ROWS($AH$2:AH500),$AH$2:$AH$1001,0),MATCH(COLUMNS($AO$1006:BQ1006),$AO$1006:$BQ$1006,0)), HYPERLINK("#",""), HYPERLINK(CONCATENATE("#Metadata!", ADDRESS(INDEX($AJ$2:$AJ$1001,MATCH(ROWS($AH$2:AH500),$AH$2:$AH$1001,0),0), INDEX($AO$1004:$BQ$1004,1,MATCH(COLUMNS($AO$1006:BQ1006),$AO$1006:$BQ$1006,0)))),"Fix")))</f>
        <v>#REF!</v>
      </c>
      <c r="AH500">
        <f ca="1"/>
        <v>497</v>
      </c>
      <c r="AI500">
        <v>100500</v>
      </c>
      <c r="AJ500">
        <v>500</v>
      </c>
      <c r="AK500" t="b">
        <f t="shared" si="7"/>
        <v>1</v>
      </c>
      <c r="AL500" t="b">
        <f>COUNTBLANK(Metadata!B500:AD500)=COLUMNS(Metadata!B500:AD500)</f>
        <v>1</v>
      </c>
      <c r="AM500" t="str">
        <v/>
      </c>
      <c r="AO500" t="b">
        <f ca="1">AND(IF(Metadata!B500="",FALSE,TRUE),COUNTIF(Metadata!B:B, Metadata!B500) = 1,NOT(ISERROR(SUMPRODUCT(SEARCH(MID(Metadata!B500,ROW(INDIRECT("1:"&amp;LEN(Metadata!B500))), 1),"0123456789abcdefghijklmnopqrstuvwxyzABCDEFGHIJKLMNOPQRSTUVWXYZ.")))))</f>
        <v>0</v>
      </c>
      <c r="AP500" t="b">
        <f>IF(Metadata!C500="",FALSE,TRUE)</f>
        <v>0</v>
      </c>
      <c r="AQ500" t="b">
        <f>IF(Metadata!D500="",FALSE,TRUE)</f>
        <v>0</v>
      </c>
      <c r="AR500" t="b">
        <f ca="1">OR(AND(IF(Metadata!E500="",FALSE,TRUE),OR(EXACT(Metadata!E500,"not collected"),EXACT(Metadata!E500,"not provided"),EXACT(Metadata!E500,"restricted access"))),AND(IF(Metadata!E500="",FALSE,TRUE),AND(AND(IFERROR(INT(LEFT(Metadata!E500,4))&gt;1900,FALSE),IFERROR(INT(LEFT(Metadata!E500,4))&lt;=YEAR(NOW()),FALSE)), OR(MID(Metadata!E500,5,1)="", AND(AND(MID(Metadata!E500,5,1)="-",IFERROR(INT(MID(Metadata!E500,6,1))&gt;=0,FALSE),IFERROR(INT(MID(Metadata!E500,6,1))&lt;=1,FALSE),NOT(MID(Metadata!E500,7,1)=""),IFERROR(INT(MID(Metadata!E500,6,2))&gt;=1,FALSE),IFERROR(INT(MID(Metadata!E500,6,2))&lt;=12,FALSE)), OR(MID(Metadata!E500,8,1)="", AND(AND(MID(Metadata!E500,8,1)="-",IFERROR(INT(MID(Metadata!E500,9,1))&gt;=0,FALSE),IFERROR(INT(MID(Metadata!E500,9,1))&lt;=3,FALSE),NOT(MID(Metadata!E500,10,1)=""),IFERROR(INT(MID(Metadata!E500,9,2))&gt;=1,FALSE),IFERROR(INT(MID(Metadata!E500,9,2))&lt;=31,FALSE)), OR(MID(Metadata!E500,11,1)="", AND(AND(MID(Metadata!E500,11,1)=" ",IFERROR(INT(MID(Metadata!E500,12,1))&gt;=0,FALSE),IFERROR(INT(MID(Metadata!E500,12,1))&lt;=2,FALSE),NOT(MID(Metadata!E500,13,1)=""),IFERROR(INT(MID(Metadata!E500,12,2))&gt;=0,FALSE),IFERROR(INT(MID(Metadata!E500,12,2))&lt;=23,FALSE)), OR(MID(Metadata!E500,14,1)="", AND(AND(MID(Metadata!E500,14,1)=":",IFERROR(INT(MID(Metadata!E500,15,1))&gt;=0,FALSE),IFERROR(INT(MID(Metadata!E500,15,1))&lt;=5,FALSE),NOT(MID(Metadata!E500,16,1)=""),IFERROR(INT(MID(Metadata!E500,15,2))&gt;=0,FALSE),IFERROR(INT(MID(Metadata!E500,15,2))&lt;=59,FALSE)), OR(MID(Metadata!E500,17,1)="", AND(AND(MID(Metadata!E500,17,1)=":",IFERROR(INT(MID(Metadata!E500,18,1))&gt;=0,FALSE),IFERROR(INT(MID(Metadata!E500,18,1))&lt;=5,FALSE),NOT(MID(Metadata!E500,19,1)=""),IFERROR(INT(MID(Metadata!E500,18,2))&gt;=0,FALSE),IFERROR(INT(MID(Metadata!E500,18,2))&lt;=59,FALSE)), LEN(Metadata!E500)&lt;=19)))))))))))))</f>
        <v>0</v>
      </c>
      <c r="AS500" t="b">
        <f>IF(Metadata!F500="",FALSE,TRUE)</f>
        <v>0</v>
      </c>
      <c r="AT500" t="b">
        <f>OR(AND(IF(Metadata!G500="",FALSE,TRUE),OR(EXACT(Metadata!G500,"not collected"),EXACT(Metadata!G500,"not provided"))),AND(IF(Metadata!G500="",FALSE,TRUE),OR(EXACT(Metadata!G500,"TRUE"),EXACT(Metadata!G500,"FALSE"))))</f>
        <v>0</v>
      </c>
      <c r="AU500" t="b">
        <f>OR(AND(IF(Metadata!H500="",FALSE,TRUE),OR(EXACT(Metadata!H500,"not collected"),EXACT(Metadata!H500,"not provided"),EXACT(Metadata!H500,"restricted access"))),AND(IF(Metadata!H500="",FALSE,ISNUMBER(VALUE(Metadata!H500))),Metadata!H500&gt;=-413))</f>
        <v>0</v>
      </c>
      <c r="AV500" t="b">
        <f>AND(IF(Metadata!I500="",FALSE,TRUE),EXACT(Metadata!I500,"meters"))</f>
        <v>0</v>
      </c>
      <c r="AW500" t="b">
        <f>AND(IF(Metadata!J500="",FALSE,TRUE),EXACT(Metadata!J500,"free-living"))</f>
        <v>0</v>
      </c>
      <c r="AX500" t="b">
        <f>AND(IF(Metadata!K500="",FALSE,TRUE),OR(EXACT(Metadata!K500,"saline"),EXACT(Metadata!K500,"non-saline")))</f>
        <v>0</v>
      </c>
      <c r="AY500" t="b">
        <f>AND(IF(Metadata!L500="",FALSE,TRUE),OR(EXACT(Metadata!L500,"sub-surface (non-saline)"),EXACT(Metadata!L500,"surface (non-saline)"),EXACT(Metadata!L500,"water (non-saline)"),EXACT(Metadata!L500,"soil (non-saline)"),EXACT(Metadata!L500,"aerosol (non-saline)"),EXACT(Metadata!L500,"sediment (non-saline)"),EXACT(Metadata!L500,"surface (saline)"),EXACT(Metadata!L500,"water (saline)"),EXACT(Metadata!L500,"hypersaline (saline)"),EXACT(Metadata!L500,"aerosol (saline)"),EXACT(Metadata!L500,"sediment (saline)")))</f>
        <v>0</v>
      </c>
      <c r="AZ500" t="b">
        <f>IF(Metadata!M500="",FALSE,TRUE)</f>
        <v>0</v>
      </c>
      <c r="BA500" t="b">
        <f>IF(Metadata!N500="",FALSE,TRUE)</f>
        <v>0</v>
      </c>
      <c r="BB500" t="b">
        <f>IF(Metadata!O500="",FALSE,TRUE)</f>
        <v>0</v>
      </c>
      <c r="BC500" t="b">
        <f>AND(IF(Metadata!P500="",FALSE,TRUE),OR(EXACT(Metadata!P500,"air"),EXACT(Metadata!P500,"microbial mat/biofilm"),EXACT(Metadata!P500,"misc environment"),EXACT(Metadata!P500,"sediment"),EXACT(Metadata!P500,"soil"),EXACT(Metadata!P500,"wastewater/sludge"),EXACT(Metadata!P500,"water")))</f>
        <v>0</v>
      </c>
      <c r="BD500" t="b">
        <f>IF(Metadata!Q500="",FALSE,TRUE)</f>
        <v>0</v>
      </c>
      <c r="BE500" t="b">
        <f>IF(Metadata!R500="",FALSE,TRUE)</f>
        <v>0</v>
      </c>
      <c r="BF500" t="b">
        <f>OR(AND(IF(Metadata!S500="",FALSE,TRUE),OR(EXACT(Metadata!S500,"not collected"),EXACT(Metadata!S500,"not provided"),EXACT(Metadata!S500,"restricted access"))),AND(IF(Metadata!S500="",FALSE,ISNUMBER(VALUE(Metadata!S500))),Metadata!S500&gt;=-90,Metadata!S500&lt;=90))</f>
        <v>0</v>
      </c>
      <c r="BG500" t="b">
        <f>AND(IF(Metadata!T500="",FALSE,TRUE),EXACT(Metadata!T500,"Decimal degrees"))</f>
        <v>0</v>
      </c>
      <c r="BH500" t="b">
        <f>OR(AND(IF(Metadata!U500="",FALSE,TRUE),OR(EXACT(Metadata!U500,"not applicable"),EXACT(Metadata!U500,"not collected"))),IF(Metadata!U500="",FALSE,TRUE))</f>
        <v>0</v>
      </c>
      <c r="BI500" t="b">
        <f>OR(AND(IF(Metadata!V500="",FALSE,TRUE),OR(EXACT(Metadata!V500,"not collected"),EXACT(Metadata!V500,"not provided"),EXACT(Metadata!V500,"restricted access"))),AND(IF(Metadata!V500="",FALSE,ISNUMBER(VALUE(Metadata!V500))),Metadata!V500&gt;=-180,Metadata!V500&lt;=180))</f>
        <v>0</v>
      </c>
      <c r="BJ500" t="b">
        <f>AND(IF(Metadata!W500="",FALSE,TRUE),EXACT(Metadata!W500,"Decimal degrees"))</f>
        <v>0</v>
      </c>
      <c r="BK500" t="b">
        <f>IF(Metadata!X500="",FALSE,TRUE)</f>
        <v>0</v>
      </c>
      <c r="BL500" t="b">
        <f>OR(AND(IF(Metadata!Y500="",FALSE,TRUE),OR(EXACT(Metadata!Y500,"not collected"),EXACT(Metadata!Y500,"not provided"),EXACT(Metadata!Y500,"restricted access"))),AND(IF(Metadata!Y500="",FALSE,TRUE),OR(EXACT(Metadata!Y500,"TRUE"),EXACT(Metadata!Y500,"FALSE"))))</f>
        <v>0</v>
      </c>
      <c r="BM500" t="b">
        <f>OR(AND(IF(Metadata!Z500="",FALSE,TRUE),EXACT(Metadata!Z500,"not applicable")),AND(IF(Metadata!Z500="",FALSE,TRUE),OR(EXACT(Metadata!Z500,"beer"),EXACT(Metadata!Z500,"cheese"),EXACT(Metadata!Z500,"fresh water"),EXACT(Metadata!Z500,"marine sediment"),EXACT(Metadata!Z500,"sea water"),EXACT(Metadata!Z500,"sediment"),EXACT(Metadata!Z500,"soil"),EXACT(Metadata!Z500,"waste water"))))</f>
        <v>0</v>
      </c>
      <c r="BN500" t="b">
        <f>AND(IF(Metadata!AA500="",FALSE,TRUE),EXACT(Metadata!AA500,"metagenome"))</f>
        <v>0</v>
      </c>
      <c r="BO500" t="b">
        <f>AND(IF(Metadata!AB500="",FALSE,TRUE),EXACT(Metadata!AB500,"256318"))</f>
        <v>0</v>
      </c>
      <c r="BP500" t="b">
        <f>IF(Metadata!AC500="",FALSE,TRUE)</f>
        <v>0</v>
      </c>
      <c r="BQ500" t="b">
        <f>IF(Metadata!AD500="",FALSE,TRUE)</f>
        <v>0</v>
      </c>
    </row>
    <row r="501" spans="1:69" x14ac:dyDescent="0.2">
      <c r="A501" s="4" t="e">
        <f ca="1">IF(B501=" "," ",HYPERLINK(CONCATENATE("#metadata!",ADDRESS(INDEX($AJ$2:$AJ$1001,MATCH(ROWS($AH$2:AH501),$AH$2:$AH$1001,0),0),2)),INDEX($AM$2:$AM$1001,MATCH(ROWS($AH$2:AH501),$AH$2:$AH$1001,0),0)))</f>
        <v>#N/A</v>
      </c>
      <c r="B501" s="5" t="e">
        <f ca="1">IF(OR(INDEX($AI$2:$AI$1001,MATCH(ROWS($AH$2:AH501),$AH$2:$AH$1001,0),1)&gt;=100000,INDEX($AO$1005:$BQ$1005,1,MATCH(COLUMNS($AO$1006:AO1006),$AO$1006:$BQ$1006,0))&gt;=100000), " ",IF(INDEX($AO$2:$BQ$1001,MATCH(ROWS($AH$2:AH501),$AH$2:$AH$1001,0),MATCH(COLUMNS($AO$1006:AO1006),$AO$1006:$BQ$1006,0)), HYPERLINK("#",""), HYPERLINK(CONCATENATE("#Metadata!", ADDRESS(INDEX($AJ$2:$AJ$1001,MATCH(ROWS($AH$2:AH501),$AH$2:$AH$1001,0),0), INDEX($AO$1004:$BQ$1004,1,MATCH(COLUMNS($AO$1006:AO1006),$AO$1006:$BQ$1006,0)))),"Fix")))</f>
        <v>#N/A</v>
      </c>
      <c r="C501" s="5" t="e">
        <f ca="1">IF(OR(INDEX($AI$2:$AI$1001,MATCH(ROWS($AH$2:AH501),$AH$2:$AH$1001,0),1)&gt;=100000,INDEX($AO$1005:$BQ$1005,1,MATCH(COLUMNS($AO$1006:AP1006),$AO$1006:$BQ$1006,0))&gt;=100000), " ",IF(INDEX($AO$2:$BQ$1001,MATCH(ROWS($AH$2:AH501),$AH$2:$AH$1001,0),MATCH(COLUMNS($AO$1006:AP1006),$AO$1006:$BQ$1006,0)), HYPERLINK("#",""), HYPERLINK(CONCATENATE("#Metadata!", ADDRESS(INDEX($AJ$2:$AJ$1001,MATCH(ROWS($AH$2:AH501),$AH$2:$AH$1001,0),0), INDEX($AO$1004:$BQ$1004,1,MATCH(COLUMNS($AO$1006:AP1006),$AO$1006:$BQ$1006,0)))),"Fix")))</f>
        <v>#N/A</v>
      </c>
      <c r="D501" s="5" t="e">
        <f ca="1">IF(OR(INDEX($AI$2:$AI$1001,MATCH(ROWS($AH$2:AH501),$AH$2:$AH$1001,0),1)&gt;=100000,INDEX($AO$1005:$BQ$1005,1,MATCH(COLUMNS($AO$1006:AQ1006),$AO$1006:$BQ$1006,0))&gt;=100000), " ",IF(INDEX($AO$2:$BQ$1001,MATCH(ROWS($AH$2:AH501),$AH$2:$AH$1001,0),MATCH(COLUMNS($AO$1006:AQ1006),$AO$1006:$BQ$1006,0)), HYPERLINK("#",""), HYPERLINK(CONCATENATE("#Metadata!", ADDRESS(INDEX($AJ$2:$AJ$1001,MATCH(ROWS($AH$2:AH501),$AH$2:$AH$1001,0),0), INDEX($AO$1004:$BQ$1004,1,MATCH(COLUMNS($AO$1006:AQ1006),$AO$1006:$BQ$1006,0)))),"Fix")))</f>
        <v>#N/A</v>
      </c>
      <c r="E501" s="5" t="e">
        <f ca="1">IF(OR(INDEX($AI$2:$AI$1001,MATCH(ROWS($AH$2:AH501),$AH$2:$AH$1001,0),1)&gt;=100000,INDEX($AO$1005:$BQ$1005,1,MATCH(COLUMNS($AO$1006:AR1006),$AO$1006:$BQ$1006,0))&gt;=100000), " ",IF(INDEX($AO$2:$BQ$1001,MATCH(ROWS($AH$2:AH501),$AH$2:$AH$1001,0),MATCH(COLUMNS($AO$1006:AR1006),$AO$1006:$BQ$1006,0)), HYPERLINK("#",""), HYPERLINK(CONCATENATE("#Metadata!", ADDRESS(INDEX($AJ$2:$AJ$1001,MATCH(ROWS($AH$2:AH501),$AH$2:$AH$1001,0),0), INDEX($AO$1004:$BQ$1004,1,MATCH(COLUMNS($AO$1006:AR1006),$AO$1006:$BQ$1006,0)))),"Fix")))</f>
        <v>#N/A</v>
      </c>
      <c r="F501" s="5" t="e">
        <f ca="1">IF(OR(INDEX($AI$2:$AI$1001,MATCH(ROWS($AH$2:AH501),$AH$2:$AH$1001,0),1)&gt;=100000,INDEX($AO$1005:$BQ$1005,1,MATCH(COLUMNS($AO$1006:AS1006),$AO$1006:$BQ$1006,0))&gt;=100000), " ",IF(INDEX($AO$2:$BQ$1001,MATCH(ROWS($AH$2:AH501),$AH$2:$AH$1001,0),MATCH(COLUMNS($AO$1006:AS1006),$AO$1006:$BQ$1006,0)), HYPERLINK("#",""), HYPERLINK(CONCATENATE("#Metadata!", ADDRESS(INDEX($AJ$2:$AJ$1001,MATCH(ROWS($AH$2:AH501),$AH$2:$AH$1001,0),0), INDEX($AO$1004:$BQ$1004,1,MATCH(COLUMNS($AO$1006:AS1006),$AO$1006:$BQ$1006,0)))),"Fix")))</f>
        <v>#N/A</v>
      </c>
      <c r="G501" s="5" t="e">
        <f ca="1">IF(OR(INDEX($AI$2:$AI$1001,MATCH(ROWS($AH$2:AH501),$AH$2:$AH$1001,0),1)&gt;=100000,INDEX($AO$1005:$BQ$1005,1,MATCH(COLUMNS($AO$1006:AT1006),$AO$1006:$BQ$1006,0))&gt;=100000), " ",IF(INDEX($AO$2:$BQ$1001,MATCH(ROWS($AH$2:AH501),$AH$2:$AH$1001,0),MATCH(COLUMNS($AO$1006:AT1006),$AO$1006:$BQ$1006,0)), HYPERLINK("#",""), HYPERLINK(CONCATENATE("#Metadata!", ADDRESS(INDEX($AJ$2:$AJ$1001,MATCH(ROWS($AH$2:AH501),$AH$2:$AH$1001,0),0), INDEX($AO$1004:$BQ$1004,1,MATCH(COLUMNS($AO$1006:AT1006),$AO$1006:$BQ$1006,0)))),"Fix")))</f>
        <v>#N/A</v>
      </c>
      <c r="H501" s="5" t="e">
        <f ca="1">IF(OR(INDEX($AI$2:$AI$1001,MATCH(ROWS($AH$2:AH501),$AH$2:$AH$1001,0),1)&gt;=100000,INDEX($AO$1005:$BQ$1005,1,MATCH(COLUMNS($AO$1006:AU1006),$AO$1006:$BQ$1006,0))&gt;=100000), " ",IF(INDEX($AO$2:$BQ$1001,MATCH(ROWS($AH$2:AH501),$AH$2:$AH$1001,0),MATCH(COLUMNS($AO$1006:AU1006),$AO$1006:$BQ$1006,0)), HYPERLINK("#",""), HYPERLINK(CONCATENATE("#Metadata!", ADDRESS(INDEX($AJ$2:$AJ$1001,MATCH(ROWS($AH$2:AH501),$AH$2:$AH$1001,0),0), INDEX($AO$1004:$BQ$1004,1,MATCH(COLUMNS($AO$1006:AU1006),$AO$1006:$BQ$1006,0)))),"Fix")))</f>
        <v>#N/A</v>
      </c>
      <c r="I501" s="5" t="e">
        <f ca="1">IF(OR(INDEX($AI$2:$AI$1001,MATCH(ROWS($AH$2:AH501),$AH$2:$AH$1001,0),1)&gt;=100000,INDEX($AO$1005:$BQ$1005,1,MATCH(COLUMNS($AO$1006:AV1006),$AO$1006:$BQ$1006,0))&gt;=100000), " ",IF(INDEX($AO$2:$BQ$1001,MATCH(ROWS($AH$2:AH501),$AH$2:$AH$1001,0),MATCH(COLUMNS($AO$1006:AV1006),$AO$1006:$BQ$1006,0)), HYPERLINK("#",""), HYPERLINK(CONCATENATE("#Metadata!", ADDRESS(INDEX($AJ$2:$AJ$1001,MATCH(ROWS($AH$2:AH501),$AH$2:$AH$1001,0),0), INDEX($AO$1004:$BQ$1004,1,MATCH(COLUMNS($AO$1006:AV1006),$AO$1006:$BQ$1006,0)))),"Fix")))</f>
        <v>#N/A</v>
      </c>
      <c r="J501" s="5" t="e">
        <f ca="1">IF(OR(INDEX($AI$2:$AI$1001,MATCH(ROWS($AH$2:AH501),$AH$2:$AH$1001,0),1)&gt;=100000,INDEX($AO$1005:$BQ$1005,1,MATCH(COLUMNS($AO$1006:AW1006),$AO$1006:$BQ$1006,0))&gt;=100000), " ",IF(INDEX($AO$2:$BQ$1001,MATCH(ROWS($AH$2:AH501),$AH$2:$AH$1001,0),MATCH(COLUMNS($AO$1006:AW1006),$AO$1006:$BQ$1006,0)), HYPERLINK("#",""), HYPERLINK(CONCATENATE("#Metadata!", ADDRESS(INDEX($AJ$2:$AJ$1001,MATCH(ROWS($AH$2:AH501),$AH$2:$AH$1001,0),0), INDEX($AO$1004:$BQ$1004,1,MATCH(COLUMNS($AO$1006:AW1006),$AO$1006:$BQ$1006,0)))),"Fix")))</f>
        <v>#N/A</v>
      </c>
      <c r="K501" s="5" t="e">
        <f ca="1">IF(OR(INDEX($AI$2:$AI$1001,MATCH(ROWS($AH$2:AH501),$AH$2:$AH$1001,0),1)&gt;=100000,INDEX($AO$1005:$BQ$1005,1,MATCH(COLUMNS($AO$1006:AX1006),$AO$1006:$BQ$1006,0))&gt;=100000), " ",IF(INDEX($AO$2:$BQ$1001,MATCH(ROWS($AH$2:AH501),$AH$2:$AH$1001,0),MATCH(COLUMNS($AO$1006:AX1006),$AO$1006:$BQ$1006,0)), HYPERLINK("#",""), HYPERLINK(CONCATENATE("#Metadata!", ADDRESS(INDEX($AJ$2:$AJ$1001,MATCH(ROWS($AH$2:AH501),$AH$2:$AH$1001,0),0), INDEX($AO$1004:$BQ$1004,1,MATCH(COLUMNS($AO$1006:AX1006),$AO$1006:$BQ$1006,0)))),"Fix")))</f>
        <v>#N/A</v>
      </c>
      <c r="L501" s="5" t="e">
        <f ca="1">IF(OR(INDEX($AI$2:$AI$1001,MATCH(ROWS($AH$2:AH501),$AH$2:$AH$1001,0),1)&gt;=100000,INDEX($AO$1005:$BQ$1005,1,MATCH(COLUMNS($AO$1006:AY1006),$AO$1006:$BQ$1006,0))&gt;=100000), " ",IF(INDEX($AO$2:$BQ$1001,MATCH(ROWS($AH$2:AH501),$AH$2:$AH$1001,0),MATCH(COLUMNS($AO$1006:AY1006),$AO$1006:$BQ$1006,0)), HYPERLINK("#",""), HYPERLINK(CONCATENATE("#Metadata!", ADDRESS(INDEX($AJ$2:$AJ$1001,MATCH(ROWS($AH$2:AH501),$AH$2:$AH$1001,0),0), INDEX($AO$1004:$BQ$1004,1,MATCH(COLUMNS($AO$1006:AY1006),$AO$1006:$BQ$1006,0)))),"Fix")))</f>
        <v>#N/A</v>
      </c>
      <c r="M501" s="5" t="e">
        <f ca="1">IF(OR(INDEX($AI$2:$AI$1001,MATCH(ROWS($AH$2:AH501),$AH$2:$AH$1001,0),1)&gt;=100000,INDEX($AO$1005:$BQ$1005,1,MATCH(COLUMNS($AO$1006:AZ1006),$AO$1006:$BQ$1006,0))&gt;=100000), " ",IF(INDEX($AO$2:$BQ$1001,MATCH(ROWS($AH$2:AH501),$AH$2:$AH$1001,0),MATCH(COLUMNS($AO$1006:AZ1006),$AO$1006:$BQ$1006,0)), HYPERLINK("#",""), HYPERLINK(CONCATENATE("#Metadata!", ADDRESS(INDEX($AJ$2:$AJ$1001,MATCH(ROWS($AH$2:AH501),$AH$2:$AH$1001,0),0), INDEX($AO$1004:$BQ$1004,1,MATCH(COLUMNS($AO$1006:AZ1006),$AO$1006:$BQ$1006,0)))),"Fix")))</f>
        <v>#N/A</v>
      </c>
      <c r="N501" s="5" t="e">
        <f ca="1">IF(OR(INDEX($AI$2:$AI$1001,MATCH(ROWS($AH$2:AH501),$AH$2:$AH$1001,0),1)&gt;=100000,INDEX($AO$1005:$BQ$1005,1,MATCH(COLUMNS($AO$1006:BA1006),$AO$1006:$BQ$1006,0))&gt;=100000), " ",IF(INDEX($AO$2:$BQ$1001,MATCH(ROWS($AH$2:AH501),$AH$2:$AH$1001,0),MATCH(COLUMNS($AO$1006:BA1006),$AO$1006:$BQ$1006,0)), HYPERLINK("#",""), HYPERLINK(CONCATENATE("#Metadata!", ADDRESS(INDEX($AJ$2:$AJ$1001,MATCH(ROWS($AH$2:AH501),$AH$2:$AH$1001,0),0), INDEX($AO$1004:$BQ$1004,1,MATCH(COLUMNS($AO$1006:BA1006),$AO$1006:$BQ$1006,0)))),"Fix")))</f>
        <v>#N/A</v>
      </c>
      <c r="O501" s="5" t="e">
        <f ca="1">IF(OR(INDEX($AI$2:$AI$1001,MATCH(ROWS($AH$2:AH501),$AH$2:$AH$1001,0),1)&gt;=100000,INDEX($AO$1005:$BQ$1005,1,MATCH(COLUMNS($AO$1006:BB1006),$AO$1006:$BQ$1006,0))&gt;=100000), " ",IF(INDEX($AO$2:$BQ$1001,MATCH(ROWS($AH$2:AH501),$AH$2:$AH$1001,0),MATCH(COLUMNS($AO$1006:BB1006),$AO$1006:$BQ$1006,0)), HYPERLINK("#",""), HYPERLINK(CONCATENATE("#Metadata!", ADDRESS(INDEX($AJ$2:$AJ$1001,MATCH(ROWS($AH$2:AH501),$AH$2:$AH$1001,0),0), INDEX($AO$1004:$BQ$1004,1,MATCH(COLUMNS($AO$1006:BB1006),$AO$1006:$BQ$1006,0)))),"Fix")))</f>
        <v>#N/A</v>
      </c>
      <c r="P501" s="5" t="e">
        <f ca="1">IF(OR(INDEX($AI$2:$AI$1001,MATCH(ROWS($AH$2:AH501),$AH$2:$AH$1001,0),1)&gt;=100000,INDEX($AO$1005:$BQ$1005,1,MATCH(COLUMNS($AO$1006:BC1006),$AO$1006:$BQ$1006,0))&gt;=100000), " ",IF(INDEX($AO$2:$BQ$1001,MATCH(ROWS($AH$2:AH501),$AH$2:$AH$1001,0),MATCH(COLUMNS($AO$1006:BC1006),$AO$1006:$BQ$1006,0)), HYPERLINK("#",""), HYPERLINK(CONCATENATE("#Metadata!", ADDRESS(INDEX($AJ$2:$AJ$1001,MATCH(ROWS($AH$2:AH501),$AH$2:$AH$1001,0),0), INDEX($AO$1004:$BQ$1004,1,MATCH(COLUMNS($AO$1006:BC1006),$AO$1006:$BQ$1006,0)))),"Fix")))</f>
        <v>#N/A</v>
      </c>
      <c r="Q501" s="5" t="e">
        <f ca="1">IF(OR(INDEX($AI$2:$AI$1001,MATCH(ROWS($AH$2:AH501),$AH$2:$AH$1001,0),1)&gt;=100000,INDEX($AO$1005:$BQ$1005,1,MATCH(COLUMNS($AO$1006:BD1006),$AO$1006:$BQ$1006,0))&gt;=100000), " ",IF(INDEX($AO$2:$BQ$1001,MATCH(ROWS($AH$2:AH501),$AH$2:$AH$1001,0),MATCH(COLUMNS($AO$1006:BD1006),$AO$1006:$BQ$1006,0)), HYPERLINK("#",""), HYPERLINK(CONCATENATE("#Metadata!", ADDRESS(INDEX($AJ$2:$AJ$1001,MATCH(ROWS($AH$2:AH501),$AH$2:$AH$1001,0),0), INDEX($AO$1004:$BQ$1004,1,MATCH(COLUMNS($AO$1006:BD1006),$AO$1006:$BQ$1006,0)))),"Fix")))</f>
        <v>#N/A</v>
      </c>
      <c r="R501" s="5" t="e">
        <f ca="1">IF(OR(INDEX($AI$2:$AI$1001,MATCH(ROWS($AH$2:AH501),$AH$2:$AH$1001,0),1)&gt;=100000,INDEX($AO$1005:$BQ$1005,1,MATCH(COLUMNS($AO$1006:BE1006),$AO$1006:$BQ$1006,0))&gt;=100000), " ",IF(INDEX($AO$2:$BQ$1001,MATCH(ROWS($AH$2:AH501),$AH$2:$AH$1001,0),MATCH(COLUMNS($AO$1006:BE1006),$AO$1006:$BQ$1006,0)), HYPERLINK("#",""), HYPERLINK(CONCATENATE("#Metadata!", ADDRESS(INDEX($AJ$2:$AJ$1001,MATCH(ROWS($AH$2:AH501),$AH$2:$AH$1001,0),0), INDEX($AO$1004:$BQ$1004,1,MATCH(COLUMNS($AO$1006:BE1006),$AO$1006:$BQ$1006,0)))),"Fix")))</f>
        <v>#N/A</v>
      </c>
      <c r="S501" s="5" t="e">
        <f ca="1">IF(OR(INDEX($AI$2:$AI$1001,MATCH(ROWS($AH$2:AH501),$AH$2:$AH$1001,0),1)&gt;=100000,INDEX($AO$1005:$BQ$1005,1,MATCH(COLUMNS($AO$1006:BF1006),$AO$1006:$BQ$1006,0))&gt;=100000), " ",IF(INDEX($AO$2:$BQ$1001,MATCH(ROWS($AH$2:AH501),$AH$2:$AH$1001,0),MATCH(COLUMNS($AO$1006:BF1006),$AO$1006:$BQ$1006,0)), HYPERLINK("#",""), HYPERLINK(CONCATENATE("#Metadata!", ADDRESS(INDEX($AJ$2:$AJ$1001,MATCH(ROWS($AH$2:AH501),$AH$2:$AH$1001,0),0), INDEX($AO$1004:$BQ$1004,1,MATCH(COLUMNS($AO$1006:BF1006),$AO$1006:$BQ$1006,0)))),"Fix")))</f>
        <v>#N/A</v>
      </c>
      <c r="T501" s="5" t="e">
        <f ca="1">IF(OR(INDEX($AI$2:$AI$1001,MATCH(ROWS($AH$2:AH501),$AH$2:$AH$1001,0),1)&gt;=100000,INDEX($AO$1005:$BQ$1005,1,MATCH(COLUMNS($AO$1006:BG1006),$AO$1006:$BQ$1006,0))&gt;=100000), " ",IF(INDEX($AO$2:$BQ$1001,MATCH(ROWS($AH$2:AH501),$AH$2:$AH$1001,0),MATCH(COLUMNS($AO$1006:BG1006),$AO$1006:$BQ$1006,0)), HYPERLINK("#",""), HYPERLINK(CONCATENATE("#Metadata!", ADDRESS(INDEX($AJ$2:$AJ$1001,MATCH(ROWS($AH$2:AH501),$AH$2:$AH$1001,0),0), INDEX($AO$1004:$BQ$1004,1,MATCH(COLUMNS($AO$1006:BG1006),$AO$1006:$BQ$1006,0)))),"Fix")))</f>
        <v>#N/A</v>
      </c>
      <c r="U501" s="5" t="e">
        <f ca="1">IF(OR(INDEX($AI$2:$AI$1001,MATCH(ROWS($AH$2:AH501),$AH$2:$AH$1001,0),1)&gt;=100000,INDEX($AO$1005:$BQ$1005,1,MATCH(COLUMNS($AO$1006:BH1006),$AO$1006:$BQ$1006,0))&gt;=100000), " ",IF(INDEX($AO$2:$BQ$1001,MATCH(ROWS($AH$2:AH501),$AH$2:$AH$1001,0),MATCH(COLUMNS($AO$1006:BH1006),$AO$1006:$BQ$1006,0)), HYPERLINK("#",""), HYPERLINK(CONCATENATE("#Metadata!", ADDRESS(INDEX($AJ$2:$AJ$1001,MATCH(ROWS($AH$2:AH501),$AH$2:$AH$1001,0),0), INDEX($AO$1004:$BQ$1004,1,MATCH(COLUMNS($AO$1006:BH1006),$AO$1006:$BQ$1006,0)))),"Fix")))</f>
        <v>#N/A</v>
      </c>
      <c r="V501" s="5" t="e">
        <f ca="1">IF(OR(INDEX($AI$2:$AI$1001,MATCH(ROWS($AH$2:AH501),$AH$2:$AH$1001,0),1)&gt;=100000,INDEX($AO$1005:$BQ$1005,1,MATCH(COLUMNS($AO$1006:BI1006),$AO$1006:$BQ$1006,0))&gt;=100000), " ",IF(INDEX($AO$2:$BQ$1001,MATCH(ROWS($AH$2:AH501),$AH$2:$AH$1001,0),MATCH(COLUMNS($AO$1006:BI1006),$AO$1006:$BQ$1006,0)), HYPERLINK("#",""), HYPERLINK(CONCATENATE("#Metadata!", ADDRESS(INDEX($AJ$2:$AJ$1001,MATCH(ROWS($AH$2:AH501),$AH$2:$AH$1001,0),0), INDEX($AO$1004:$BQ$1004,1,MATCH(COLUMNS($AO$1006:BI1006),$AO$1006:$BQ$1006,0)))),"Fix")))</f>
        <v>#N/A</v>
      </c>
      <c r="W501" s="5" t="e">
        <f ca="1">IF(OR(INDEX($AI$2:$AI$1001,MATCH(ROWS($AH$2:AH501),$AH$2:$AH$1001,0),1)&gt;=100000,INDEX($AO$1005:$BQ$1005,1,MATCH(COLUMNS($AO$1006:BJ1006),$AO$1006:$BQ$1006,0))&gt;=100000), " ",IF(INDEX($AO$2:$BQ$1001,MATCH(ROWS($AH$2:AH501),$AH$2:$AH$1001,0),MATCH(COLUMNS($AO$1006:BJ1006),$AO$1006:$BQ$1006,0)), HYPERLINK("#",""), HYPERLINK(CONCATENATE("#Metadata!", ADDRESS(INDEX($AJ$2:$AJ$1001,MATCH(ROWS($AH$2:AH501),$AH$2:$AH$1001,0),0), INDEX($AO$1004:$BQ$1004,1,MATCH(COLUMNS($AO$1006:BJ1006),$AO$1006:$BQ$1006,0)))),"Fix")))</f>
        <v>#N/A</v>
      </c>
      <c r="X501" s="5" t="e">
        <f ca="1">IF(OR(INDEX($AI$2:$AI$1001,MATCH(ROWS($AH$2:AH501),$AH$2:$AH$1001,0),1)&gt;=100000,INDEX($AO$1005:$BQ$1005,1,MATCH(COLUMNS($AO$1006:BK1006),$AO$1006:$BQ$1006,0))&gt;=100000), " ",IF(INDEX($AO$2:$BQ$1001,MATCH(ROWS($AH$2:AH501),$AH$2:$AH$1001,0),MATCH(COLUMNS($AO$1006:BK1006),$AO$1006:$BQ$1006,0)), HYPERLINK("#",""), HYPERLINK(CONCATENATE("#Metadata!", ADDRESS(INDEX($AJ$2:$AJ$1001,MATCH(ROWS($AH$2:AH501),$AH$2:$AH$1001,0),0), INDEX($AO$1004:$BQ$1004,1,MATCH(COLUMNS($AO$1006:BK1006),$AO$1006:$BQ$1006,0)))),"Fix")))</f>
        <v>#N/A</v>
      </c>
      <c r="Y501" s="5" t="e">
        <f ca="1">IF(OR(INDEX($AI$2:$AI$1001,MATCH(ROWS($AH$2:AH501),$AH$2:$AH$1001,0),1)&gt;=100000,INDEX($AO$1005:$BQ$1005,1,MATCH(COLUMNS($AO$1006:BL1006),$AO$1006:$BQ$1006,0))&gt;=100000), " ",IF(INDEX($AO$2:$BQ$1001,MATCH(ROWS($AH$2:AH501),$AH$2:$AH$1001,0),MATCH(COLUMNS($AO$1006:BL1006),$AO$1006:$BQ$1006,0)), HYPERLINK("#",""), HYPERLINK(CONCATENATE("#Metadata!", ADDRESS(INDEX($AJ$2:$AJ$1001,MATCH(ROWS($AH$2:AH501),$AH$2:$AH$1001,0),0), INDEX($AO$1004:$BQ$1004,1,MATCH(COLUMNS($AO$1006:BL1006),$AO$1006:$BQ$1006,0)))),"Fix")))</f>
        <v>#N/A</v>
      </c>
      <c r="Z501" s="5" t="e">
        <f ca="1">IF(OR(INDEX($AI$2:$AI$1001,MATCH(ROWS($AH$2:AH501),$AH$2:$AH$1001,0),1)&gt;=100000,INDEX($AO$1005:$BQ$1005,1,MATCH(COLUMNS($AO$1006:BM1006),$AO$1006:$BQ$1006,0))&gt;=100000), " ",IF(INDEX($AO$2:$BQ$1001,MATCH(ROWS($AH$2:AH501),$AH$2:$AH$1001,0),MATCH(COLUMNS($AO$1006:BM1006),$AO$1006:$BQ$1006,0)), HYPERLINK("#",""), HYPERLINK(CONCATENATE("#Metadata!", ADDRESS(INDEX($AJ$2:$AJ$1001,MATCH(ROWS($AH$2:AH501),$AH$2:$AH$1001,0),0), INDEX($AO$1004:$BQ$1004,1,MATCH(COLUMNS($AO$1006:BM1006),$AO$1006:$BQ$1006,0)))),"Fix")))</f>
        <v>#N/A</v>
      </c>
      <c r="AA501" s="5" t="e">
        <f ca="1">IF(OR(INDEX($AI$2:$AI$1001,MATCH(ROWS($AH$2:AH501),$AH$2:$AH$1001,0),1)&gt;=100000,INDEX($AO$1005:$BQ$1005,1,MATCH(COLUMNS($AO$1006:BN1006),$AO$1006:$BQ$1006,0))&gt;=100000), " ",IF(INDEX($AO$2:$BQ$1001,MATCH(ROWS($AH$2:AH501),$AH$2:$AH$1001,0),MATCH(COLUMNS($AO$1006:BN1006),$AO$1006:$BQ$1006,0)), HYPERLINK("#",""), HYPERLINK(CONCATENATE("#Metadata!", ADDRESS(INDEX($AJ$2:$AJ$1001,MATCH(ROWS($AH$2:AH501),$AH$2:$AH$1001,0),0), INDEX($AO$1004:$BQ$1004,1,MATCH(COLUMNS($AO$1006:BN1006),$AO$1006:$BQ$1006,0)))),"Fix")))</f>
        <v>#N/A</v>
      </c>
      <c r="AB501" s="5" t="e">
        <f ca="1">IF(OR(INDEX($AI$2:$AI$1001,MATCH(ROWS($AH$2:AH501),$AH$2:$AH$1001,0),1)&gt;=100000,INDEX($AO$1005:$BQ$1005,1,MATCH(COLUMNS($AO$1006:BO1006),$AO$1006:$BQ$1006,0))&gt;=100000), " ",IF(INDEX($AO$2:$BQ$1001,MATCH(ROWS($AH$2:AH501),$AH$2:$AH$1001,0),MATCH(COLUMNS($AO$1006:BO1006),$AO$1006:$BQ$1006,0)), HYPERLINK("#",""), HYPERLINK(CONCATENATE("#Metadata!", ADDRESS(INDEX($AJ$2:$AJ$1001,MATCH(ROWS($AH$2:AH501),$AH$2:$AH$1001,0),0), INDEX($AO$1004:$BQ$1004,1,MATCH(COLUMNS($AO$1006:BO1006),$AO$1006:$BQ$1006,0)))),"Fix")))</f>
        <v>#N/A</v>
      </c>
      <c r="AC501" s="5" t="e">
        <f ca="1">IF(OR(INDEX($AI$2:$AI$1001,MATCH(ROWS($AH$2:AH501),$AH$2:$AH$1001,0),1)&gt;=100000,INDEX($AO$1005:$BQ$1005,1,MATCH(COLUMNS($AO$1006:BP1006),$AO$1006:$BQ$1006,0))&gt;=100000), " ",IF(INDEX($AO$2:$BQ$1001,MATCH(ROWS($AH$2:AH501),$AH$2:$AH$1001,0),MATCH(COLUMNS($AO$1006:BP1006),$AO$1006:$BQ$1006,0)), HYPERLINK("#",""), HYPERLINK(CONCATENATE("#Metadata!", ADDRESS(INDEX($AJ$2:$AJ$1001,MATCH(ROWS($AH$2:AH501),$AH$2:$AH$1001,0),0), INDEX($AO$1004:$BQ$1004,1,MATCH(COLUMNS($AO$1006:BP1006),$AO$1006:$BQ$1006,0)))),"Fix")))</f>
        <v>#N/A</v>
      </c>
      <c r="AD501" s="5" t="e">
        <f ca="1">IF(OR(INDEX($AI$2:$AI$1001,MATCH(ROWS($AH$2:AH501),$AH$2:$AH$1001,0),1)&gt;=100000,INDEX($AO$1005:$BQ$1005,1,MATCH(COLUMNS($AO$1006:BQ1006),$AO$1006:$BQ$1006,0))&gt;=100000), " ",IF(INDEX($AO$2:$BQ$1001,MATCH(ROWS($AH$2:AH501),$AH$2:$AH$1001,0),MATCH(COLUMNS($AO$1006:BQ1006),$AO$1006:$BQ$1006,0)), HYPERLINK("#",""), HYPERLINK(CONCATENATE("#Metadata!", ADDRESS(INDEX($AJ$2:$AJ$1001,MATCH(ROWS($AH$2:AH501),$AH$2:$AH$1001,0),0), INDEX($AO$1004:$BQ$1004,1,MATCH(COLUMNS($AO$1006:BQ1006),$AO$1006:$BQ$1006,0)))),"Fix")))</f>
        <v>#REF!</v>
      </c>
      <c r="AH501">
        <f ca="1"/>
        <v>498</v>
      </c>
      <c r="AI501">
        <v>100501</v>
      </c>
      <c r="AJ501">
        <v>501</v>
      </c>
      <c r="AK501" t="b">
        <f t="shared" si="7"/>
        <v>1</v>
      </c>
      <c r="AL501" t="b">
        <f>COUNTBLANK(Metadata!B501:AD501)=COLUMNS(Metadata!B501:AD501)</f>
        <v>1</v>
      </c>
      <c r="AM501" t="str">
        <v/>
      </c>
      <c r="AO501" t="b">
        <f ca="1">AND(IF(Metadata!B501="",FALSE,TRUE),COUNTIF(Metadata!B:B, Metadata!B501) = 1,NOT(ISERROR(SUMPRODUCT(SEARCH(MID(Metadata!B501,ROW(INDIRECT("1:"&amp;LEN(Metadata!B501))), 1),"0123456789abcdefghijklmnopqrstuvwxyzABCDEFGHIJKLMNOPQRSTUVWXYZ.")))))</f>
        <v>0</v>
      </c>
      <c r="AP501" t="b">
        <f>IF(Metadata!C501="",FALSE,TRUE)</f>
        <v>0</v>
      </c>
      <c r="AQ501" t="b">
        <f>IF(Metadata!D501="",FALSE,TRUE)</f>
        <v>0</v>
      </c>
      <c r="AR501" t="b">
        <f ca="1">OR(AND(IF(Metadata!E501="",FALSE,TRUE),OR(EXACT(Metadata!E501,"not collected"),EXACT(Metadata!E501,"not provided"),EXACT(Metadata!E501,"restricted access"))),AND(IF(Metadata!E501="",FALSE,TRUE),AND(AND(IFERROR(INT(LEFT(Metadata!E501,4))&gt;1900,FALSE),IFERROR(INT(LEFT(Metadata!E501,4))&lt;=YEAR(NOW()),FALSE)), OR(MID(Metadata!E501,5,1)="", AND(AND(MID(Metadata!E501,5,1)="-",IFERROR(INT(MID(Metadata!E501,6,1))&gt;=0,FALSE),IFERROR(INT(MID(Metadata!E501,6,1))&lt;=1,FALSE),NOT(MID(Metadata!E501,7,1)=""),IFERROR(INT(MID(Metadata!E501,6,2))&gt;=1,FALSE),IFERROR(INT(MID(Metadata!E501,6,2))&lt;=12,FALSE)), OR(MID(Metadata!E501,8,1)="", AND(AND(MID(Metadata!E501,8,1)="-",IFERROR(INT(MID(Metadata!E501,9,1))&gt;=0,FALSE),IFERROR(INT(MID(Metadata!E501,9,1))&lt;=3,FALSE),NOT(MID(Metadata!E501,10,1)=""),IFERROR(INT(MID(Metadata!E501,9,2))&gt;=1,FALSE),IFERROR(INT(MID(Metadata!E501,9,2))&lt;=31,FALSE)), OR(MID(Metadata!E501,11,1)="", AND(AND(MID(Metadata!E501,11,1)=" ",IFERROR(INT(MID(Metadata!E501,12,1))&gt;=0,FALSE),IFERROR(INT(MID(Metadata!E501,12,1))&lt;=2,FALSE),NOT(MID(Metadata!E501,13,1)=""),IFERROR(INT(MID(Metadata!E501,12,2))&gt;=0,FALSE),IFERROR(INT(MID(Metadata!E501,12,2))&lt;=23,FALSE)), OR(MID(Metadata!E501,14,1)="", AND(AND(MID(Metadata!E501,14,1)=":",IFERROR(INT(MID(Metadata!E501,15,1))&gt;=0,FALSE),IFERROR(INT(MID(Metadata!E501,15,1))&lt;=5,FALSE),NOT(MID(Metadata!E501,16,1)=""),IFERROR(INT(MID(Metadata!E501,15,2))&gt;=0,FALSE),IFERROR(INT(MID(Metadata!E501,15,2))&lt;=59,FALSE)), OR(MID(Metadata!E501,17,1)="", AND(AND(MID(Metadata!E501,17,1)=":",IFERROR(INT(MID(Metadata!E501,18,1))&gt;=0,FALSE),IFERROR(INT(MID(Metadata!E501,18,1))&lt;=5,FALSE),NOT(MID(Metadata!E501,19,1)=""),IFERROR(INT(MID(Metadata!E501,18,2))&gt;=0,FALSE),IFERROR(INT(MID(Metadata!E501,18,2))&lt;=59,FALSE)), LEN(Metadata!E501)&lt;=19)))))))))))))</f>
        <v>0</v>
      </c>
      <c r="AS501" t="b">
        <f>IF(Metadata!F501="",FALSE,TRUE)</f>
        <v>0</v>
      </c>
      <c r="AT501" t="b">
        <f>OR(AND(IF(Metadata!G501="",FALSE,TRUE),OR(EXACT(Metadata!G501,"not collected"),EXACT(Metadata!G501,"not provided"))),AND(IF(Metadata!G501="",FALSE,TRUE),OR(EXACT(Metadata!G501,"TRUE"),EXACT(Metadata!G501,"FALSE"))))</f>
        <v>0</v>
      </c>
      <c r="AU501" t="b">
        <f>OR(AND(IF(Metadata!H501="",FALSE,TRUE),OR(EXACT(Metadata!H501,"not collected"),EXACT(Metadata!H501,"not provided"),EXACT(Metadata!H501,"restricted access"))),AND(IF(Metadata!H501="",FALSE,ISNUMBER(VALUE(Metadata!H501))),Metadata!H501&gt;=-413))</f>
        <v>0</v>
      </c>
      <c r="AV501" t="b">
        <f>AND(IF(Metadata!I501="",FALSE,TRUE),EXACT(Metadata!I501,"meters"))</f>
        <v>0</v>
      </c>
      <c r="AW501" t="b">
        <f>AND(IF(Metadata!J501="",FALSE,TRUE),EXACT(Metadata!J501,"free-living"))</f>
        <v>0</v>
      </c>
      <c r="AX501" t="b">
        <f>AND(IF(Metadata!K501="",FALSE,TRUE),OR(EXACT(Metadata!K501,"saline"),EXACT(Metadata!K501,"non-saline")))</f>
        <v>0</v>
      </c>
      <c r="AY501" t="b">
        <f>AND(IF(Metadata!L501="",FALSE,TRUE),OR(EXACT(Metadata!L501,"sub-surface (non-saline)"),EXACT(Metadata!L501,"surface (non-saline)"),EXACT(Metadata!L501,"water (non-saline)"),EXACT(Metadata!L501,"soil (non-saline)"),EXACT(Metadata!L501,"aerosol (non-saline)"),EXACT(Metadata!L501,"sediment (non-saline)"),EXACT(Metadata!L501,"surface (saline)"),EXACT(Metadata!L501,"water (saline)"),EXACT(Metadata!L501,"hypersaline (saline)"),EXACT(Metadata!L501,"aerosol (saline)"),EXACT(Metadata!L501,"sediment (saline)")))</f>
        <v>0</v>
      </c>
      <c r="AZ501" t="b">
        <f>IF(Metadata!M501="",FALSE,TRUE)</f>
        <v>0</v>
      </c>
      <c r="BA501" t="b">
        <f>IF(Metadata!N501="",FALSE,TRUE)</f>
        <v>0</v>
      </c>
      <c r="BB501" t="b">
        <f>IF(Metadata!O501="",FALSE,TRUE)</f>
        <v>0</v>
      </c>
      <c r="BC501" t="b">
        <f>AND(IF(Metadata!P501="",FALSE,TRUE),OR(EXACT(Metadata!P501,"air"),EXACT(Metadata!P501,"microbial mat/biofilm"),EXACT(Metadata!P501,"misc environment"),EXACT(Metadata!P501,"sediment"),EXACT(Metadata!P501,"soil"),EXACT(Metadata!P501,"wastewater/sludge"),EXACT(Metadata!P501,"water")))</f>
        <v>0</v>
      </c>
      <c r="BD501" t="b">
        <f>IF(Metadata!Q501="",FALSE,TRUE)</f>
        <v>0</v>
      </c>
      <c r="BE501" t="b">
        <f>IF(Metadata!R501="",FALSE,TRUE)</f>
        <v>0</v>
      </c>
      <c r="BF501" t="b">
        <f>OR(AND(IF(Metadata!S501="",FALSE,TRUE),OR(EXACT(Metadata!S501,"not collected"),EXACT(Metadata!S501,"not provided"),EXACT(Metadata!S501,"restricted access"))),AND(IF(Metadata!S501="",FALSE,ISNUMBER(VALUE(Metadata!S501))),Metadata!S501&gt;=-90,Metadata!S501&lt;=90))</f>
        <v>0</v>
      </c>
      <c r="BG501" t="b">
        <f>AND(IF(Metadata!T501="",FALSE,TRUE),EXACT(Metadata!T501,"Decimal degrees"))</f>
        <v>0</v>
      </c>
      <c r="BH501" t="b">
        <f>OR(AND(IF(Metadata!U501="",FALSE,TRUE),OR(EXACT(Metadata!U501,"not applicable"),EXACT(Metadata!U501,"not collected"))),IF(Metadata!U501="",FALSE,TRUE))</f>
        <v>0</v>
      </c>
      <c r="BI501" t="b">
        <f>OR(AND(IF(Metadata!V501="",FALSE,TRUE),OR(EXACT(Metadata!V501,"not collected"),EXACT(Metadata!V501,"not provided"),EXACT(Metadata!V501,"restricted access"))),AND(IF(Metadata!V501="",FALSE,ISNUMBER(VALUE(Metadata!V501))),Metadata!V501&gt;=-180,Metadata!V501&lt;=180))</f>
        <v>0</v>
      </c>
      <c r="BJ501" t="b">
        <f>AND(IF(Metadata!W501="",FALSE,TRUE),EXACT(Metadata!W501,"Decimal degrees"))</f>
        <v>0</v>
      </c>
      <c r="BK501" t="b">
        <f>IF(Metadata!X501="",FALSE,TRUE)</f>
        <v>0</v>
      </c>
      <c r="BL501" t="b">
        <f>OR(AND(IF(Metadata!Y501="",FALSE,TRUE),OR(EXACT(Metadata!Y501,"not collected"),EXACT(Metadata!Y501,"not provided"),EXACT(Metadata!Y501,"restricted access"))),AND(IF(Metadata!Y501="",FALSE,TRUE),OR(EXACT(Metadata!Y501,"TRUE"),EXACT(Metadata!Y501,"FALSE"))))</f>
        <v>0</v>
      </c>
      <c r="BM501" t="b">
        <f>OR(AND(IF(Metadata!Z501="",FALSE,TRUE),EXACT(Metadata!Z501,"not applicable")),AND(IF(Metadata!Z501="",FALSE,TRUE),OR(EXACT(Metadata!Z501,"beer"),EXACT(Metadata!Z501,"cheese"),EXACT(Metadata!Z501,"fresh water"),EXACT(Metadata!Z501,"marine sediment"),EXACT(Metadata!Z501,"sea water"),EXACT(Metadata!Z501,"sediment"),EXACT(Metadata!Z501,"soil"),EXACT(Metadata!Z501,"waste water"))))</f>
        <v>0</v>
      </c>
      <c r="BN501" t="b">
        <f>AND(IF(Metadata!AA501="",FALSE,TRUE),EXACT(Metadata!AA501,"metagenome"))</f>
        <v>0</v>
      </c>
      <c r="BO501" t="b">
        <f>AND(IF(Metadata!AB501="",FALSE,TRUE),EXACT(Metadata!AB501,"256318"))</f>
        <v>0</v>
      </c>
      <c r="BP501" t="b">
        <f>IF(Metadata!AC501="",FALSE,TRUE)</f>
        <v>0</v>
      </c>
      <c r="BQ501" t="b">
        <f>IF(Metadata!AD501="",FALSE,TRUE)</f>
        <v>0</v>
      </c>
    </row>
    <row r="502" spans="1:69" x14ac:dyDescent="0.2">
      <c r="A502" s="4" t="e">
        <f ca="1">IF(B502=" "," ",HYPERLINK(CONCATENATE("#metadata!",ADDRESS(INDEX($AJ$2:$AJ$1001,MATCH(ROWS($AH$2:AH502),$AH$2:$AH$1001,0),0),2)),INDEX($AM$2:$AM$1001,MATCH(ROWS($AH$2:AH502),$AH$2:$AH$1001,0),0)))</f>
        <v>#N/A</v>
      </c>
      <c r="B502" s="5" t="e">
        <f ca="1">IF(OR(INDEX($AI$2:$AI$1001,MATCH(ROWS($AH$2:AH502),$AH$2:$AH$1001,0),1)&gt;=100000,INDEX($AO$1005:$BQ$1005,1,MATCH(COLUMNS($AO$1006:AO1006),$AO$1006:$BQ$1006,0))&gt;=100000), " ",IF(INDEX($AO$2:$BQ$1001,MATCH(ROWS($AH$2:AH502),$AH$2:$AH$1001,0),MATCH(COLUMNS($AO$1006:AO1006),$AO$1006:$BQ$1006,0)), HYPERLINK("#",""), HYPERLINK(CONCATENATE("#Metadata!", ADDRESS(INDEX($AJ$2:$AJ$1001,MATCH(ROWS($AH$2:AH502),$AH$2:$AH$1001,0),0), INDEX($AO$1004:$BQ$1004,1,MATCH(COLUMNS($AO$1006:AO1006),$AO$1006:$BQ$1006,0)))),"Fix")))</f>
        <v>#N/A</v>
      </c>
      <c r="C502" s="5" t="e">
        <f ca="1">IF(OR(INDEX($AI$2:$AI$1001,MATCH(ROWS($AH$2:AH502),$AH$2:$AH$1001,0),1)&gt;=100000,INDEX($AO$1005:$BQ$1005,1,MATCH(COLUMNS($AO$1006:AP1006),$AO$1006:$BQ$1006,0))&gt;=100000), " ",IF(INDEX($AO$2:$BQ$1001,MATCH(ROWS($AH$2:AH502),$AH$2:$AH$1001,0),MATCH(COLUMNS($AO$1006:AP1006),$AO$1006:$BQ$1006,0)), HYPERLINK("#",""), HYPERLINK(CONCATENATE("#Metadata!", ADDRESS(INDEX($AJ$2:$AJ$1001,MATCH(ROWS($AH$2:AH502),$AH$2:$AH$1001,0),0), INDEX($AO$1004:$BQ$1004,1,MATCH(COLUMNS($AO$1006:AP1006),$AO$1006:$BQ$1006,0)))),"Fix")))</f>
        <v>#N/A</v>
      </c>
      <c r="D502" s="5" t="e">
        <f ca="1">IF(OR(INDEX($AI$2:$AI$1001,MATCH(ROWS($AH$2:AH502),$AH$2:$AH$1001,0),1)&gt;=100000,INDEX($AO$1005:$BQ$1005,1,MATCH(COLUMNS($AO$1006:AQ1006),$AO$1006:$BQ$1006,0))&gt;=100000), " ",IF(INDEX($AO$2:$BQ$1001,MATCH(ROWS($AH$2:AH502),$AH$2:$AH$1001,0),MATCH(COLUMNS($AO$1006:AQ1006),$AO$1006:$BQ$1006,0)), HYPERLINK("#",""), HYPERLINK(CONCATENATE("#Metadata!", ADDRESS(INDEX($AJ$2:$AJ$1001,MATCH(ROWS($AH$2:AH502),$AH$2:$AH$1001,0),0), INDEX($AO$1004:$BQ$1004,1,MATCH(COLUMNS($AO$1006:AQ1006),$AO$1006:$BQ$1006,0)))),"Fix")))</f>
        <v>#N/A</v>
      </c>
      <c r="E502" s="5" t="e">
        <f ca="1">IF(OR(INDEX($AI$2:$AI$1001,MATCH(ROWS($AH$2:AH502),$AH$2:$AH$1001,0),1)&gt;=100000,INDEX($AO$1005:$BQ$1005,1,MATCH(COLUMNS($AO$1006:AR1006),$AO$1006:$BQ$1006,0))&gt;=100000), " ",IF(INDEX($AO$2:$BQ$1001,MATCH(ROWS($AH$2:AH502),$AH$2:$AH$1001,0),MATCH(COLUMNS($AO$1006:AR1006),$AO$1006:$BQ$1006,0)), HYPERLINK("#",""), HYPERLINK(CONCATENATE("#Metadata!", ADDRESS(INDEX($AJ$2:$AJ$1001,MATCH(ROWS($AH$2:AH502),$AH$2:$AH$1001,0),0), INDEX($AO$1004:$BQ$1004,1,MATCH(COLUMNS($AO$1006:AR1006),$AO$1006:$BQ$1006,0)))),"Fix")))</f>
        <v>#N/A</v>
      </c>
      <c r="F502" s="5" t="e">
        <f ca="1">IF(OR(INDEX($AI$2:$AI$1001,MATCH(ROWS($AH$2:AH502),$AH$2:$AH$1001,0),1)&gt;=100000,INDEX($AO$1005:$BQ$1005,1,MATCH(COLUMNS($AO$1006:AS1006),$AO$1006:$BQ$1006,0))&gt;=100000), " ",IF(INDEX($AO$2:$BQ$1001,MATCH(ROWS($AH$2:AH502),$AH$2:$AH$1001,0),MATCH(COLUMNS($AO$1006:AS1006),$AO$1006:$BQ$1006,0)), HYPERLINK("#",""), HYPERLINK(CONCATENATE("#Metadata!", ADDRESS(INDEX($AJ$2:$AJ$1001,MATCH(ROWS($AH$2:AH502),$AH$2:$AH$1001,0),0), INDEX($AO$1004:$BQ$1004,1,MATCH(COLUMNS($AO$1006:AS1006),$AO$1006:$BQ$1006,0)))),"Fix")))</f>
        <v>#N/A</v>
      </c>
      <c r="G502" s="5" t="e">
        <f ca="1">IF(OR(INDEX($AI$2:$AI$1001,MATCH(ROWS($AH$2:AH502),$AH$2:$AH$1001,0),1)&gt;=100000,INDEX($AO$1005:$BQ$1005,1,MATCH(COLUMNS($AO$1006:AT1006),$AO$1006:$BQ$1006,0))&gt;=100000), " ",IF(INDEX($AO$2:$BQ$1001,MATCH(ROWS($AH$2:AH502),$AH$2:$AH$1001,0),MATCH(COLUMNS($AO$1006:AT1006),$AO$1006:$BQ$1006,0)), HYPERLINK("#",""), HYPERLINK(CONCATENATE("#Metadata!", ADDRESS(INDEX($AJ$2:$AJ$1001,MATCH(ROWS($AH$2:AH502),$AH$2:$AH$1001,0),0), INDEX($AO$1004:$BQ$1004,1,MATCH(COLUMNS($AO$1006:AT1006),$AO$1006:$BQ$1006,0)))),"Fix")))</f>
        <v>#N/A</v>
      </c>
      <c r="H502" s="5" t="e">
        <f ca="1">IF(OR(INDEX($AI$2:$AI$1001,MATCH(ROWS($AH$2:AH502),$AH$2:$AH$1001,0),1)&gt;=100000,INDEX($AO$1005:$BQ$1005,1,MATCH(COLUMNS($AO$1006:AU1006),$AO$1006:$BQ$1006,0))&gt;=100000), " ",IF(INDEX($AO$2:$BQ$1001,MATCH(ROWS($AH$2:AH502),$AH$2:$AH$1001,0),MATCH(COLUMNS($AO$1006:AU1006),$AO$1006:$BQ$1006,0)), HYPERLINK("#",""), HYPERLINK(CONCATENATE("#Metadata!", ADDRESS(INDEX($AJ$2:$AJ$1001,MATCH(ROWS($AH$2:AH502),$AH$2:$AH$1001,0),0), INDEX($AO$1004:$BQ$1004,1,MATCH(COLUMNS($AO$1006:AU1006),$AO$1006:$BQ$1006,0)))),"Fix")))</f>
        <v>#N/A</v>
      </c>
      <c r="I502" s="5" t="e">
        <f ca="1">IF(OR(INDEX($AI$2:$AI$1001,MATCH(ROWS($AH$2:AH502),$AH$2:$AH$1001,0),1)&gt;=100000,INDEX($AO$1005:$BQ$1005,1,MATCH(COLUMNS($AO$1006:AV1006),$AO$1006:$BQ$1006,0))&gt;=100000), " ",IF(INDEX($AO$2:$BQ$1001,MATCH(ROWS($AH$2:AH502),$AH$2:$AH$1001,0),MATCH(COLUMNS($AO$1006:AV1006),$AO$1006:$BQ$1006,0)), HYPERLINK("#",""), HYPERLINK(CONCATENATE("#Metadata!", ADDRESS(INDEX($AJ$2:$AJ$1001,MATCH(ROWS($AH$2:AH502),$AH$2:$AH$1001,0),0), INDEX($AO$1004:$BQ$1004,1,MATCH(COLUMNS($AO$1006:AV1006),$AO$1006:$BQ$1006,0)))),"Fix")))</f>
        <v>#N/A</v>
      </c>
      <c r="J502" s="5" t="e">
        <f ca="1">IF(OR(INDEX($AI$2:$AI$1001,MATCH(ROWS($AH$2:AH502),$AH$2:$AH$1001,0),1)&gt;=100000,INDEX($AO$1005:$BQ$1005,1,MATCH(COLUMNS($AO$1006:AW1006),$AO$1006:$BQ$1006,0))&gt;=100000), " ",IF(INDEX($AO$2:$BQ$1001,MATCH(ROWS($AH$2:AH502),$AH$2:$AH$1001,0),MATCH(COLUMNS($AO$1006:AW1006),$AO$1006:$BQ$1006,0)), HYPERLINK("#",""), HYPERLINK(CONCATENATE("#Metadata!", ADDRESS(INDEX($AJ$2:$AJ$1001,MATCH(ROWS($AH$2:AH502),$AH$2:$AH$1001,0),0), INDEX($AO$1004:$BQ$1004,1,MATCH(COLUMNS($AO$1006:AW1006),$AO$1006:$BQ$1006,0)))),"Fix")))</f>
        <v>#N/A</v>
      </c>
      <c r="K502" s="5" t="e">
        <f ca="1">IF(OR(INDEX($AI$2:$AI$1001,MATCH(ROWS($AH$2:AH502),$AH$2:$AH$1001,0),1)&gt;=100000,INDEX($AO$1005:$BQ$1005,1,MATCH(COLUMNS($AO$1006:AX1006),$AO$1006:$BQ$1006,0))&gt;=100000), " ",IF(INDEX($AO$2:$BQ$1001,MATCH(ROWS($AH$2:AH502),$AH$2:$AH$1001,0),MATCH(COLUMNS($AO$1006:AX1006),$AO$1006:$BQ$1006,0)), HYPERLINK("#",""), HYPERLINK(CONCATENATE("#Metadata!", ADDRESS(INDEX($AJ$2:$AJ$1001,MATCH(ROWS($AH$2:AH502),$AH$2:$AH$1001,0),0), INDEX($AO$1004:$BQ$1004,1,MATCH(COLUMNS($AO$1006:AX1006),$AO$1006:$BQ$1006,0)))),"Fix")))</f>
        <v>#N/A</v>
      </c>
      <c r="L502" s="5" t="e">
        <f ca="1">IF(OR(INDEX($AI$2:$AI$1001,MATCH(ROWS($AH$2:AH502),$AH$2:$AH$1001,0),1)&gt;=100000,INDEX($AO$1005:$BQ$1005,1,MATCH(COLUMNS($AO$1006:AY1006),$AO$1006:$BQ$1006,0))&gt;=100000), " ",IF(INDEX($AO$2:$BQ$1001,MATCH(ROWS($AH$2:AH502),$AH$2:$AH$1001,0),MATCH(COLUMNS($AO$1006:AY1006),$AO$1006:$BQ$1006,0)), HYPERLINK("#",""), HYPERLINK(CONCATENATE("#Metadata!", ADDRESS(INDEX($AJ$2:$AJ$1001,MATCH(ROWS($AH$2:AH502),$AH$2:$AH$1001,0),0), INDEX($AO$1004:$BQ$1004,1,MATCH(COLUMNS($AO$1006:AY1006),$AO$1006:$BQ$1006,0)))),"Fix")))</f>
        <v>#N/A</v>
      </c>
      <c r="M502" s="5" t="e">
        <f ca="1">IF(OR(INDEX($AI$2:$AI$1001,MATCH(ROWS($AH$2:AH502),$AH$2:$AH$1001,0),1)&gt;=100000,INDEX($AO$1005:$BQ$1005,1,MATCH(COLUMNS($AO$1006:AZ1006),$AO$1006:$BQ$1006,0))&gt;=100000), " ",IF(INDEX($AO$2:$BQ$1001,MATCH(ROWS($AH$2:AH502),$AH$2:$AH$1001,0),MATCH(COLUMNS($AO$1006:AZ1006),$AO$1006:$BQ$1006,0)), HYPERLINK("#",""), HYPERLINK(CONCATENATE("#Metadata!", ADDRESS(INDEX($AJ$2:$AJ$1001,MATCH(ROWS($AH$2:AH502),$AH$2:$AH$1001,0),0), INDEX($AO$1004:$BQ$1004,1,MATCH(COLUMNS($AO$1006:AZ1006),$AO$1006:$BQ$1006,0)))),"Fix")))</f>
        <v>#N/A</v>
      </c>
      <c r="N502" s="5" t="e">
        <f ca="1">IF(OR(INDEX($AI$2:$AI$1001,MATCH(ROWS($AH$2:AH502),$AH$2:$AH$1001,0),1)&gt;=100000,INDEX($AO$1005:$BQ$1005,1,MATCH(COLUMNS($AO$1006:BA1006),$AO$1006:$BQ$1006,0))&gt;=100000), " ",IF(INDEX($AO$2:$BQ$1001,MATCH(ROWS($AH$2:AH502),$AH$2:$AH$1001,0),MATCH(COLUMNS($AO$1006:BA1006),$AO$1006:$BQ$1006,0)), HYPERLINK("#",""), HYPERLINK(CONCATENATE("#Metadata!", ADDRESS(INDEX($AJ$2:$AJ$1001,MATCH(ROWS($AH$2:AH502),$AH$2:$AH$1001,0),0), INDEX($AO$1004:$BQ$1004,1,MATCH(COLUMNS($AO$1006:BA1006),$AO$1006:$BQ$1006,0)))),"Fix")))</f>
        <v>#N/A</v>
      </c>
      <c r="O502" s="5" t="e">
        <f ca="1">IF(OR(INDEX($AI$2:$AI$1001,MATCH(ROWS($AH$2:AH502),$AH$2:$AH$1001,0),1)&gt;=100000,INDEX($AO$1005:$BQ$1005,1,MATCH(COLUMNS($AO$1006:BB1006),$AO$1006:$BQ$1006,0))&gt;=100000), " ",IF(INDEX($AO$2:$BQ$1001,MATCH(ROWS($AH$2:AH502),$AH$2:$AH$1001,0),MATCH(COLUMNS($AO$1006:BB1006),$AO$1006:$BQ$1006,0)), HYPERLINK("#",""), HYPERLINK(CONCATENATE("#Metadata!", ADDRESS(INDEX($AJ$2:$AJ$1001,MATCH(ROWS($AH$2:AH502),$AH$2:$AH$1001,0),0), INDEX($AO$1004:$BQ$1004,1,MATCH(COLUMNS($AO$1006:BB1006),$AO$1006:$BQ$1006,0)))),"Fix")))</f>
        <v>#N/A</v>
      </c>
      <c r="P502" s="5" t="e">
        <f ca="1">IF(OR(INDEX($AI$2:$AI$1001,MATCH(ROWS($AH$2:AH502),$AH$2:$AH$1001,0),1)&gt;=100000,INDEX($AO$1005:$BQ$1005,1,MATCH(COLUMNS($AO$1006:BC1006),$AO$1006:$BQ$1006,0))&gt;=100000), " ",IF(INDEX($AO$2:$BQ$1001,MATCH(ROWS($AH$2:AH502),$AH$2:$AH$1001,0),MATCH(COLUMNS($AO$1006:BC1006),$AO$1006:$BQ$1006,0)), HYPERLINK("#",""), HYPERLINK(CONCATENATE("#Metadata!", ADDRESS(INDEX($AJ$2:$AJ$1001,MATCH(ROWS($AH$2:AH502),$AH$2:$AH$1001,0),0), INDEX($AO$1004:$BQ$1004,1,MATCH(COLUMNS($AO$1006:BC1006),$AO$1006:$BQ$1006,0)))),"Fix")))</f>
        <v>#N/A</v>
      </c>
      <c r="Q502" s="5" t="e">
        <f ca="1">IF(OR(INDEX($AI$2:$AI$1001,MATCH(ROWS($AH$2:AH502),$AH$2:$AH$1001,0),1)&gt;=100000,INDEX($AO$1005:$BQ$1005,1,MATCH(COLUMNS($AO$1006:BD1006),$AO$1006:$BQ$1006,0))&gt;=100000), " ",IF(INDEX($AO$2:$BQ$1001,MATCH(ROWS($AH$2:AH502),$AH$2:$AH$1001,0),MATCH(COLUMNS($AO$1006:BD1006),$AO$1006:$BQ$1006,0)), HYPERLINK("#",""), HYPERLINK(CONCATENATE("#Metadata!", ADDRESS(INDEX($AJ$2:$AJ$1001,MATCH(ROWS($AH$2:AH502),$AH$2:$AH$1001,0),0), INDEX($AO$1004:$BQ$1004,1,MATCH(COLUMNS($AO$1006:BD1006),$AO$1006:$BQ$1006,0)))),"Fix")))</f>
        <v>#N/A</v>
      </c>
      <c r="R502" s="5" t="e">
        <f ca="1">IF(OR(INDEX($AI$2:$AI$1001,MATCH(ROWS($AH$2:AH502),$AH$2:$AH$1001,0),1)&gt;=100000,INDEX($AO$1005:$BQ$1005,1,MATCH(COLUMNS($AO$1006:BE1006),$AO$1006:$BQ$1006,0))&gt;=100000), " ",IF(INDEX($AO$2:$BQ$1001,MATCH(ROWS($AH$2:AH502),$AH$2:$AH$1001,0),MATCH(COLUMNS($AO$1006:BE1006),$AO$1006:$BQ$1006,0)), HYPERLINK("#",""), HYPERLINK(CONCATENATE("#Metadata!", ADDRESS(INDEX($AJ$2:$AJ$1001,MATCH(ROWS($AH$2:AH502),$AH$2:$AH$1001,0),0), INDEX($AO$1004:$BQ$1004,1,MATCH(COLUMNS($AO$1006:BE1006),$AO$1006:$BQ$1006,0)))),"Fix")))</f>
        <v>#N/A</v>
      </c>
      <c r="S502" s="5" t="e">
        <f ca="1">IF(OR(INDEX($AI$2:$AI$1001,MATCH(ROWS($AH$2:AH502),$AH$2:$AH$1001,0),1)&gt;=100000,INDEX($AO$1005:$BQ$1005,1,MATCH(COLUMNS($AO$1006:BF1006),$AO$1006:$BQ$1006,0))&gt;=100000), " ",IF(INDEX($AO$2:$BQ$1001,MATCH(ROWS($AH$2:AH502),$AH$2:$AH$1001,0),MATCH(COLUMNS($AO$1006:BF1006),$AO$1006:$BQ$1006,0)), HYPERLINK("#",""), HYPERLINK(CONCATENATE("#Metadata!", ADDRESS(INDEX($AJ$2:$AJ$1001,MATCH(ROWS($AH$2:AH502),$AH$2:$AH$1001,0),0), INDEX($AO$1004:$BQ$1004,1,MATCH(COLUMNS($AO$1006:BF1006),$AO$1006:$BQ$1006,0)))),"Fix")))</f>
        <v>#N/A</v>
      </c>
      <c r="T502" s="5" t="e">
        <f ca="1">IF(OR(INDEX($AI$2:$AI$1001,MATCH(ROWS($AH$2:AH502),$AH$2:$AH$1001,0),1)&gt;=100000,INDEX($AO$1005:$BQ$1005,1,MATCH(COLUMNS($AO$1006:BG1006),$AO$1006:$BQ$1006,0))&gt;=100000), " ",IF(INDEX($AO$2:$BQ$1001,MATCH(ROWS($AH$2:AH502),$AH$2:$AH$1001,0),MATCH(COLUMNS($AO$1006:BG1006),$AO$1006:$BQ$1006,0)), HYPERLINK("#",""), HYPERLINK(CONCATENATE("#Metadata!", ADDRESS(INDEX($AJ$2:$AJ$1001,MATCH(ROWS($AH$2:AH502),$AH$2:$AH$1001,0),0), INDEX($AO$1004:$BQ$1004,1,MATCH(COLUMNS($AO$1006:BG1006),$AO$1006:$BQ$1006,0)))),"Fix")))</f>
        <v>#N/A</v>
      </c>
      <c r="U502" s="5" t="e">
        <f ca="1">IF(OR(INDEX($AI$2:$AI$1001,MATCH(ROWS($AH$2:AH502),$AH$2:$AH$1001,0),1)&gt;=100000,INDEX($AO$1005:$BQ$1005,1,MATCH(COLUMNS($AO$1006:BH1006),$AO$1006:$BQ$1006,0))&gt;=100000), " ",IF(INDEX($AO$2:$BQ$1001,MATCH(ROWS($AH$2:AH502),$AH$2:$AH$1001,0),MATCH(COLUMNS($AO$1006:BH1006),$AO$1006:$BQ$1006,0)), HYPERLINK("#",""), HYPERLINK(CONCATENATE("#Metadata!", ADDRESS(INDEX($AJ$2:$AJ$1001,MATCH(ROWS($AH$2:AH502),$AH$2:$AH$1001,0),0), INDEX($AO$1004:$BQ$1004,1,MATCH(COLUMNS($AO$1006:BH1006),$AO$1006:$BQ$1006,0)))),"Fix")))</f>
        <v>#N/A</v>
      </c>
      <c r="V502" s="5" t="e">
        <f ca="1">IF(OR(INDEX($AI$2:$AI$1001,MATCH(ROWS($AH$2:AH502),$AH$2:$AH$1001,0),1)&gt;=100000,INDEX($AO$1005:$BQ$1005,1,MATCH(COLUMNS($AO$1006:BI1006),$AO$1006:$BQ$1006,0))&gt;=100000), " ",IF(INDEX($AO$2:$BQ$1001,MATCH(ROWS($AH$2:AH502),$AH$2:$AH$1001,0),MATCH(COLUMNS($AO$1006:BI1006),$AO$1006:$BQ$1006,0)), HYPERLINK("#",""), HYPERLINK(CONCATENATE("#Metadata!", ADDRESS(INDEX($AJ$2:$AJ$1001,MATCH(ROWS($AH$2:AH502),$AH$2:$AH$1001,0),0), INDEX($AO$1004:$BQ$1004,1,MATCH(COLUMNS($AO$1006:BI1006),$AO$1006:$BQ$1006,0)))),"Fix")))</f>
        <v>#N/A</v>
      </c>
      <c r="W502" s="5" t="e">
        <f ca="1">IF(OR(INDEX($AI$2:$AI$1001,MATCH(ROWS($AH$2:AH502),$AH$2:$AH$1001,0),1)&gt;=100000,INDEX($AO$1005:$BQ$1005,1,MATCH(COLUMNS($AO$1006:BJ1006),$AO$1006:$BQ$1006,0))&gt;=100000), " ",IF(INDEX($AO$2:$BQ$1001,MATCH(ROWS($AH$2:AH502),$AH$2:$AH$1001,0),MATCH(COLUMNS($AO$1006:BJ1006),$AO$1006:$BQ$1006,0)), HYPERLINK("#",""), HYPERLINK(CONCATENATE("#Metadata!", ADDRESS(INDEX($AJ$2:$AJ$1001,MATCH(ROWS($AH$2:AH502),$AH$2:$AH$1001,0),0), INDEX($AO$1004:$BQ$1004,1,MATCH(COLUMNS($AO$1006:BJ1006),$AO$1006:$BQ$1006,0)))),"Fix")))</f>
        <v>#N/A</v>
      </c>
      <c r="X502" s="5" t="e">
        <f ca="1">IF(OR(INDEX($AI$2:$AI$1001,MATCH(ROWS($AH$2:AH502),$AH$2:$AH$1001,0),1)&gt;=100000,INDEX($AO$1005:$BQ$1005,1,MATCH(COLUMNS($AO$1006:BK1006),$AO$1006:$BQ$1006,0))&gt;=100000), " ",IF(INDEX($AO$2:$BQ$1001,MATCH(ROWS($AH$2:AH502),$AH$2:$AH$1001,0),MATCH(COLUMNS($AO$1006:BK1006),$AO$1006:$BQ$1006,0)), HYPERLINK("#",""), HYPERLINK(CONCATENATE("#Metadata!", ADDRESS(INDEX($AJ$2:$AJ$1001,MATCH(ROWS($AH$2:AH502),$AH$2:$AH$1001,0),0), INDEX($AO$1004:$BQ$1004,1,MATCH(COLUMNS($AO$1006:BK1006),$AO$1006:$BQ$1006,0)))),"Fix")))</f>
        <v>#N/A</v>
      </c>
      <c r="Y502" s="5" t="e">
        <f ca="1">IF(OR(INDEX($AI$2:$AI$1001,MATCH(ROWS($AH$2:AH502),$AH$2:$AH$1001,0),1)&gt;=100000,INDEX($AO$1005:$BQ$1005,1,MATCH(COLUMNS($AO$1006:BL1006),$AO$1006:$BQ$1006,0))&gt;=100000), " ",IF(INDEX($AO$2:$BQ$1001,MATCH(ROWS($AH$2:AH502),$AH$2:$AH$1001,0),MATCH(COLUMNS($AO$1006:BL1006),$AO$1006:$BQ$1006,0)), HYPERLINK("#",""), HYPERLINK(CONCATENATE("#Metadata!", ADDRESS(INDEX($AJ$2:$AJ$1001,MATCH(ROWS($AH$2:AH502),$AH$2:$AH$1001,0),0), INDEX($AO$1004:$BQ$1004,1,MATCH(COLUMNS($AO$1006:BL1006),$AO$1006:$BQ$1006,0)))),"Fix")))</f>
        <v>#N/A</v>
      </c>
      <c r="Z502" s="5" t="e">
        <f ca="1">IF(OR(INDEX($AI$2:$AI$1001,MATCH(ROWS($AH$2:AH502),$AH$2:$AH$1001,0),1)&gt;=100000,INDEX($AO$1005:$BQ$1005,1,MATCH(COLUMNS($AO$1006:BM1006),$AO$1006:$BQ$1006,0))&gt;=100000), " ",IF(INDEX($AO$2:$BQ$1001,MATCH(ROWS($AH$2:AH502),$AH$2:$AH$1001,0),MATCH(COLUMNS($AO$1006:BM1006),$AO$1006:$BQ$1006,0)), HYPERLINK("#",""), HYPERLINK(CONCATENATE("#Metadata!", ADDRESS(INDEX($AJ$2:$AJ$1001,MATCH(ROWS($AH$2:AH502),$AH$2:$AH$1001,0),0), INDEX($AO$1004:$BQ$1004,1,MATCH(COLUMNS($AO$1006:BM1006),$AO$1006:$BQ$1006,0)))),"Fix")))</f>
        <v>#N/A</v>
      </c>
      <c r="AA502" s="5" t="e">
        <f ca="1">IF(OR(INDEX($AI$2:$AI$1001,MATCH(ROWS($AH$2:AH502),$AH$2:$AH$1001,0),1)&gt;=100000,INDEX($AO$1005:$BQ$1005,1,MATCH(COLUMNS($AO$1006:BN1006),$AO$1006:$BQ$1006,0))&gt;=100000), " ",IF(INDEX($AO$2:$BQ$1001,MATCH(ROWS($AH$2:AH502),$AH$2:$AH$1001,0),MATCH(COLUMNS($AO$1006:BN1006),$AO$1006:$BQ$1006,0)), HYPERLINK("#",""), HYPERLINK(CONCATENATE("#Metadata!", ADDRESS(INDEX($AJ$2:$AJ$1001,MATCH(ROWS($AH$2:AH502),$AH$2:$AH$1001,0),0), INDEX($AO$1004:$BQ$1004,1,MATCH(COLUMNS($AO$1006:BN1006),$AO$1006:$BQ$1006,0)))),"Fix")))</f>
        <v>#N/A</v>
      </c>
      <c r="AB502" s="5" t="e">
        <f ca="1">IF(OR(INDEX($AI$2:$AI$1001,MATCH(ROWS($AH$2:AH502),$AH$2:$AH$1001,0),1)&gt;=100000,INDEX($AO$1005:$BQ$1005,1,MATCH(COLUMNS($AO$1006:BO1006),$AO$1006:$BQ$1006,0))&gt;=100000), " ",IF(INDEX($AO$2:$BQ$1001,MATCH(ROWS($AH$2:AH502),$AH$2:$AH$1001,0),MATCH(COLUMNS($AO$1006:BO1006),$AO$1006:$BQ$1006,0)), HYPERLINK("#",""), HYPERLINK(CONCATENATE("#Metadata!", ADDRESS(INDEX($AJ$2:$AJ$1001,MATCH(ROWS($AH$2:AH502),$AH$2:$AH$1001,0),0), INDEX($AO$1004:$BQ$1004,1,MATCH(COLUMNS($AO$1006:BO1006),$AO$1006:$BQ$1006,0)))),"Fix")))</f>
        <v>#N/A</v>
      </c>
      <c r="AC502" s="5" t="e">
        <f ca="1">IF(OR(INDEX($AI$2:$AI$1001,MATCH(ROWS($AH$2:AH502),$AH$2:$AH$1001,0),1)&gt;=100000,INDEX($AO$1005:$BQ$1005,1,MATCH(COLUMNS($AO$1006:BP1006),$AO$1006:$BQ$1006,0))&gt;=100000), " ",IF(INDEX($AO$2:$BQ$1001,MATCH(ROWS($AH$2:AH502),$AH$2:$AH$1001,0),MATCH(COLUMNS($AO$1006:BP1006),$AO$1006:$BQ$1006,0)), HYPERLINK("#",""), HYPERLINK(CONCATENATE("#Metadata!", ADDRESS(INDEX($AJ$2:$AJ$1001,MATCH(ROWS($AH$2:AH502),$AH$2:$AH$1001,0),0), INDEX($AO$1004:$BQ$1004,1,MATCH(COLUMNS($AO$1006:BP1006),$AO$1006:$BQ$1006,0)))),"Fix")))</f>
        <v>#N/A</v>
      </c>
      <c r="AD502" s="5" t="e">
        <f ca="1">IF(OR(INDEX($AI$2:$AI$1001,MATCH(ROWS($AH$2:AH502),$AH$2:$AH$1001,0),1)&gt;=100000,INDEX($AO$1005:$BQ$1005,1,MATCH(COLUMNS($AO$1006:BQ1006),$AO$1006:$BQ$1006,0))&gt;=100000), " ",IF(INDEX($AO$2:$BQ$1001,MATCH(ROWS($AH$2:AH502),$AH$2:$AH$1001,0),MATCH(COLUMNS($AO$1006:BQ1006),$AO$1006:$BQ$1006,0)), HYPERLINK("#",""), HYPERLINK(CONCATENATE("#Metadata!", ADDRESS(INDEX($AJ$2:$AJ$1001,MATCH(ROWS($AH$2:AH502),$AH$2:$AH$1001,0),0), INDEX($AO$1004:$BQ$1004,1,MATCH(COLUMNS($AO$1006:BQ1006),$AO$1006:$BQ$1006,0)))),"Fix")))</f>
        <v>#REF!</v>
      </c>
      <c r="AH502">
        <f ca="1"/>
        <v>499</v>
      </c>
      <c r="AI502">
        <v>100502</v>
      </c>
      <c r="AJ502">
        <v>502</v>
      </c>
      <c r="AK502" t="b">
        <f t="shared" si="7"/>
        <v>1</v>
      </c>
      <c r="AL502" t="b">
        <f>COUNTBLANK(Metadata!B502:AD502)=COLUMNS(Metadata!B502:AD502)</f>
        <v>1</v>
      </c>
      <c r="AM502" t="str">
        <v/>
      </c>
      <c r="AO502" t="b">
        <f ca="1">AND(IF(Metadata!B502="",FALSE,TRUE),COUNTIF(Metadata!B:B, Metadata!B502) = 1,NOT(ISERROR(SUMPRODUCT(SEARCH(MID(Metadata!B502,ROW(INDIRECT("1:"&amp;LEN(Metadata!B502))), 1),"0123456789abcdefghijklmnopqrstuvwxyzABCDEFGHIJKLMNOPQRSTUVWXYZ.")))))</f>
        <v>0</v>
      </c>
      <c r="AP502" t="b">
        <f>IF(Metadata!C502="",FALSE,TRUE)</f>
        <v>0</v>
      </c>
      <c r="AQ502" t="b">
        <f>IF(Metadata!D502="",FALSE,TRUE)</f>
        <v>0</v>
      </c>
      <c r="AR502" t="b">
        <f ca="1">OR(AND(IF(Metadata!E502="",FALSE,TRUE),OR(EXACT(Metadata!E502,"not collected"),EXACT(Metadata!E502,"not provided"),EXACT(Metadata!E502,"restricted access"))),AND(IF(Metadata!E502="",FALSE,TRUE),AND(AND(IFERROR(INT(LEFT(Metadata!E502,4))&gt;1900,FALSE),IFERROR(INT(LEFT(Metadata!E502,4))&lt;=YEAR(NOW()),FALSE)), OR(MID(Metadata!E502,5,1)="", AND(AND(MID(Metadata!E502,5,1)="-",IFERROR(INT(MID(Metadata!E502,6,1))&gt;=0,FALSE),IFERROR(INT(MID(Metadata!E502,6,1))&lt;=1,FALSE),NOT(MID(Metadata!E502,7,1)=""),IFERROR(INT(MID(Metadata!E502,6,2))&gt;=1,FALSE),IFERROR(INT(MID(Metadata!E502,6,2))&lt;=12,FALSE)), OR(MID(Metadata!E502,8,1)="", AND(AND(MID(Metadata!E502,8,1)="-",IFERROR(INT(MID(Metadata!E502,9,1))&gt;=0,FALSE),IFERROR(INT(MID(Metadata!E502,9,1))&lt;=3,FALSE),NOT(MID(Metadata!E502,10,1)=""),IFERROR(INT(MID(Metadata!E502,9,2))&gt;=1,FALSE),IFERROR(INT(MID(Metadata!E502,9,2))&lt;=31,FALSE)), OR(MID(Metadata!E502,11,1)="", AND(AND(MID(Metadata!E502,11,1)=" ",IFERROR(INT(MID(Metadata!E502,12,1))&gt;=0,FALSE),IFERROR(INT(MID(Metadata!E502,12,1))&lt;=2,FALSE),NOT(MID(Metadata!E502,13,1)=""),IFERROR(INT(MID(Metadata!E502,12,2))&gt;=0,FALSE),IFERROR(INT(MID(Metadata!E502,12,2))&lt;=23,FALSE)), OR(MID(Metadata!E502,14,1)="", AND(AND(MID(Metadata!E502,14,1)=":",IFERROR(INT(MID(Metadata!E502,15,1))&gt;=0,FALSE),IFERROR(INT(MID(Metadata!E502,15,1))&lt;=5,FALSE),NOT(MID(Metadata!E502,16,1)=""),IFERROR(INT(MID(Metadata!E502,15,2))&gt;=0,FALSE),IFERROR(INT(MID(Metadata!E502,15,2))&lt;=59,FALSE)), OR(MID(Metadata!E502,17,1)="", AND(AND(MID(Metadata!E502,17,1)=":",IFERROR(INT(MID(Metadata!E502,18,1))&gt;=0,FALSE),IFERROR(INT(MID(Metadata!E502,18,1))&lt;=5,FALSE),NOT(MID(Metadata!E502,19,1)=""),IFERROR(INT(MID(Metadata!E502,18,2))&gt;=0,FALSE),IFERROR(INT(MID(Metadata!E502,18,2))&lt;=59,FALSE)), LEN(Metadata!E502)&lt;=19)))))))))))))</f>
        <v>0</v>
      </c>
      <c r="AS502" t="b">
        <f>IF(Metadata!F502="",FALSE,TRUE)</f>
        <v>0</v>
      </c>
      <c r="AT502" t="b">
        <f>OR(AND(IF(Metadata!G502="",FALSE,TRUE),OR(EXACT(Metadata!G502,"not collected"),EXACT(Metadata!G502,"not provided"))),AND(IF(Metadata!G502="",FALSE,TRUE),OR(EXACT(Metadata!G502,"TRUE"),EXACT(Metadata!G502,"FALSE"))))</f>
        <v>0</v>
      </c>
      <c r="AU502" t="b">
        <f>OR(AND(IF(Metadata!H502="",FALSE,TRUE),OR(EXACT(Metadata!H502,"not collected"),EXACT(Metadata!H502,"not provided"),EXACT(Metadata!H502,"restricted access"))),AND(IF(Metadata!H502="",FALSE,ISNUMBER(VALUE(Metadata!H502))),Metadata!H502&gt;=-413))</f>
        <v>0</v>
      </c>
      <c r="AV502" t="b">
        <f>AND(IF(Metadata!I502="",FALSE,TRUE),EXACT(Metadata!I502,"meters"))</f>
        <v>0</v>
      </c>
      <c r="AW502" t="b">
        <f>AND(IF(Metadata!J502="",FALSE,TRUE),EXACT(Metadata!J502,"free-living"))</f>
        <v>0</v>
      </c>
      <c r="AX502" t="b">
        <f>AND(IF(Metadata!K502="",FALSE,TRUE),OR(EXACT(Metadata!K502,"saline"),EXACT(Metadata!K502,"non-saline")))</f>
        <v>0</v>
      </c>
      <c r="AY502" t="b">
        <f>AND(IF(Metadata!L502="",FALSE,TRUE),OR(EXACT(Metadata!L502,"sub-surface (non-saline)"),EXACT(Metadata!L502,"surface (non-saline)"),EXACT(Metadata!L502,"water (non-saline)"),EXACT(Metadata!L502,"soil (non-saline)"),EXACT(Metadata!L502,"aerosol (non-saline)"),EXACT(Metadata!L502,"sediment (non-saline)"),EXACT(Metadata!L502,"surface (saline)"),EXACT(Metadata!L502,"water (saline)"),EXACT(Metadata!L502,"hypersaline (saline)"),EXACT(Metadata!L502,"aerosol (saline)"),EXACT(Metadata!L502,"sediment (saline)")))</f>
        <v>0</v>
      </c>
      <c r="AZ502" t="b">
        <f>IF(Metadata!M502="",FALSE,TRUE)</f>
        <v>0</v>
      </c>
      <c r="BA502" t="b">
        <f>IF(Metadata!N502="",FALSE,TRUE)</f>
        <v>0</v>
      </c>
      <c r="BB502" t="b">
        <f>IF(Metadata!O502="",FALSE,TRUE)</f>
        <v>0</v>
      </c>
      <c r="BC502" t="b">
        <f>AND(IF(Metadata!P502="",FALSE,TRUE),OR(EXACT(Metadata!P502,"air"),EXACT(Metadata!P502,"microbial mat/biofilm"),EXACT(Metadata!P502,"misc environment"),EXACT(Metadata!P502,"sediment"),EXACT(Metadata!P502,"soil"),EXACT(Metadata!P502,"wastewater/sludge"),EXACT(Metadata!P502,"water")))</f>
        <v>0</v>
      </c>
      <c r="BD502" t="b">
        <f>IF(Metadata!Q502="",FALSE,TRUE)</f>
        <v>0</v>
      </c>
      <c r="BE502" t="b">
        <f>IF(Metadata!R502="",FALSE,TRUE)</f>
        <v>0</v>
      </c>
      <c r="BF502" t="b">
        <f>OR(AND(IF(Metadata!S502="",FALSE,TRUE),OR(EXACT(Metadata!S502,"not collected"),EXACT(Metadata!S502,"not provided"),EXACT(Metadata!S502,"restricted access"))),AND(IF(Metadata!S502="",FALSE,ISNUMBER(VALUE(Metadata!S502))),Metadata!S502&gt;=-90,Metadata!S502&lt;=90))</f>
        <v>0</v>
      </c>
      <c r="BG502" t="b">
        <f>AND(IF(Metadata!T502="",FALSE,TRUE),EXACT(Metadata!T502,"Decimal degrees"))</f>
        <v>0</v>
      </c>
      <c r="BH502" t="b">
        <f>OR(AND(IF(Metadata!U502="",FALSE,TRUE),OR(EXACT(Metadata!U502,"not applicable"),EXACT(Metadata!U502,"not collected"))),IF(Metadata!U502="",FALSE,TRUE))</f>
        <v>0</v>
      </c>
      <c r="BI502" t="b">
        <f>OR(AND(IF(Metadata!V502="",FALSE,TRUE),OR(EXACT(Metadata!V502,"not collected"),EXACT(Metadata!V502,"not provided"),EXACT(Metadata!V502,"restricted access"))),AND(IF(Metadata!V502="",FALSE,ISNUMBER(VALUE(Metadata!V502))),Metadata!V502&gt;=-180,Metadata!V502&lt;=180))</f>
        <v>0</v>
      </c>
      <c r="BJ502" t="b">
        <f>AND(IF(Metadata!W502="",FALSE,TRUE),EXACT(Metadata!W502,"Decimal degrees"))</f>
        <v>0</v>
      </c>
      <c r="BK502" t="b">
        <f>IF(Metadata!X502="",FALSE,TRUE)</f>
        <v>0</v>
      </c>
      <c r="BL502" t="b">
        <f>OR(AND(IF(Metadata!Y502="",FALSE,TRUE),OR(EXACT(Metadata!Y502,"not collected"),EXACT(Metadata!Y502,"not provided"),EXACT(Metadata!Y502,"restricted access"))),AND(IF(Metadata!Y502="",FALSE,TRUE),OR(EXACT(Metadata!Y502,"TRUE"),EXACT(Metadata!Y502,"FALSE"))))</f>
        <v>0</v>
      </c>
      <c r="BM502" t="b">
        <f>OR(AND(IF(Metadata!Z502="",FALSE,TRUE),EXACT(Metadata!Z502,"not applicable")),AND(IF(Metadata!Z502="",FALSE,TRUE),OR(EXACT(Metadata!Z502,"beer"),EXACT(Metadata!Z502,"cheese"),EXACT(Metadata!Z502,"fresh water"),EXACT(Metadata!Z502,"marine sediment"),EXACT(Metadata!Z502,"sea water"),EXACT(Metadata!Z502,"sediment"),EXACT(Metadata!Z502,"soil"),EXACT(Metadata!Z502,"waste water"))))</f>
        <v>0</v>
      </c>
      <c r="BN502" t="b">
        <f>AND(IF(Metadata!AA502="",FALSE,TRUE),EXACT(Metadata!AA502,"metagenome"))</f>
        <v>0</v>
      </c>
      <c r="BO502" t="b">
        <f>AND(IF(Metadata!AB502="",FALSE,TRUE),EXACT(Metadata!AB502,"256318"))</f>
        <v>0</v>
      </c>
      <c r="BP502" t="b">
        <f>IF(Metadata!AC502="",FALSE,TRUE)</f>
        <v>0</v>
      </c>
      <c r="BQ502" t="b">
        <f>IF(Metadata!AD502="",FALSE,TRUE)</f>
        <v>0</v>
      </c>
    </row>
    <row r="503" spans="1:69" x14ac:dyDescent="0.2">
      <c r="A503" s="4" t="e">
        <f ca="1">IF(B503=" "," ",HYPERLINK(CONCATENATE("#metadata!",ADDRESS(INDEX($AJ$2:$AJ$1001,MATCH(ROWS($AH$2:AH503),$AH$2:$AH$1001,0),0),2)),INDEX($AM$2:$AM$1001,MATCH(ROWS($AH$2:AH503),$AH$2:$AH$1001,0),0)))</f>
        <v>#N/A</v>
      </c>
      <c r="B503" s="5" t="e">
        <f ca="1">IF(OR(INDEX($AI$2:$AI$1001,MATCH(ROWS($AH$2:AH503),$AH$2:$AH$1001,0),1)&gt;=100000,INDEX($AO$1005:$BQ$1005,1,MATCH(COLUMNS($AO$1006:AO1006),$AO$1006:$BQ$1006,0))&gt;=100000), " ",IF(INDEX($AO$2:$BQ$1001,MATCH(ROWS($AH$2:AH503),$AH$2:$AH$1001,0),MATCH(COLUMNS($AO$1006:AO1006),$AO$1006:$BQ$1006,0)), HYPERLINK("#",""), HYPERLINK(CONCATENATE("#Metadata!", ADDRESS(INDEX($AJ$2:$AJ$1001,MATCH(ROWS($AH$2:AH503),$AH$2:$AH$1001,0),0), INDEX($AO$1004:$BQ$1004,1,MATCH(COLUMNS($AO$1006:AO1006),$AO$1006:$BQ$1006,0)))),"Fix")))</f>
        <v>#N/A</v>
      </c>
      <c r="C503" s="5" t="e">
        <f ca="1">IF(OR(INDEX($AI$2:$AI$1001,MATCH(ROWS($AH$2:AH503),$AH$2:$AH$1001,0),1)&gt;=100000,INDEX($AO$1005:$BQ$1005,1,MATCH(COLUMNS($AO$1006:AP1006),$AO$1006:$BQ$1006,0))&gt;=100000), " ",IF(INDEX($AO$2:$BQ$1001,MATCH(ROWS($AH$2:AH503),$AH$2:$AH$1001,0),MATCH(COLUMNS($AO$1006:AP1006),$AO$1006:$BQ$1006,0)), HYPERLINK("#",""), HYPERLINK(CONCATENATE("#Metadata!", ADDRESS(INDEX($AJ$2:$AJ$1001,MATCH(ROWS($AH$2:AH503),$AH$2:$AH$1001,0),0), INDEX($AO$1004:$BQ$1004,1,MATCH(COLUMNS($AO$1006:AP1006),$AO$1006:$BQ$1006,0)))),"Fix")))</f>
        <v>#N/A</v>
      </c>
      <c r="D503" s="5" t="e">
        <f ca="1">IF(OR(INDEX($AI$2:$AI$1001,MATCH(ROWS($AH$2:AH503),$AH$2:$AH$1001,0),1)&gt;=100000,INDEX($AO$1005:$BQ$1005,1,MATCH(COLUMNS($AO$1006:AQ1006),$AO$1006:$BQ$1006,0))&gt;=100000), " ",IF(INDEX($AO$2:$BQ$1001,MATCH(ROWS($AH$2:AH503),$AH$2:$AH$1001,0),MATCH(COLUMNS($AO$1006:AQ1006),$AO$1006:$BQ$1006,0)), HYPERLINK("#",""), HYPERLINK(CONCATENATE("#Metadata!", ADDRESS(INDEX($AJ$2:$AJ$1001,MATCH(ROWS($AH$2:AH503),$AH$2:$AH$1001,0),0), INDEX($AO$1004:$BQ$1004,1,MATCH(COLUMNS($AO$1006:AQ1006),$AO$1006:$BQ$1006,0)))),"Fix")))</f>
        <v>#N/A</v>
      </c>
      <c r="E503" s="5" t="e">
        <f ca="1">IF(OR(INDEX($AI$2:$AI$1001,MATCH(ROWS($AH$2:AH503),$AH$2:$AH$1001,0),1)&gt;=100000,INDEX($AO$1005:$BQ$1005,1,MATCH(COLUMNS($AO$1006:AR1006),$AO$1006:$BQ$1006,0))&gt;=100000), " ",IF(INDEX($AO$2:$BQ$1001,MATCH(ROWS($AH$2:AH503),$AH$2:$AH$1001,0),MATCH(COLUMNS($AO$1006:AR1006),$AO$1006:$BQ$1006,0)), HYPERLINK("#",""), HYPERLINK(CONCATENATE("#Metadata!", ADDRESS(INDEX($AJ$2:$AJ$1001,MATCH(ROWS($AH$2:AH503),$AH$2:$AH$1001,0),0), INDEX($AO$1004:$BQ$1004,1,MATCH(COLUMNS($AO$1006:AR1006),$AO$1006:$BQ$1006,0)))),"Fix")))</f>
        <v>#N/A</v>
      </c>
      <c r="F503" s="5" t="e">
        <f ca="1">IF(OR(INDEX($AI$2:$AI$1001,MATCH(ROWS($AH$2:AH503),$AH$2:$AH$1001,0),1)&gt;=100000,INDEX($AO$1005:$BQ$1005,1,MATCH(COLUMNS($AO$1006:AS1006),$AO$1006:$BQ$1006,0))&gt;=100000), " ",IF(INDEX($AO$2:$BQ$1001,MATCH(ROWS($AH$2:AH503),$AH$2:$AH$1001,0),MATCH(COLUMNS($AO$1006:AS1006),$AO$1006:$BQ$1006,0)), HYPERLINK("#",""), HYPERLINK(CONCATENATE("#Metadata!", ADDRESS(INDEX($AJ$2:$AJ$1001,MATCH(ROWS($AH$2:AH503),$AH$2:$AH$1001,0),0), INDEX($AO$1004:$BQ$1004,1,MATCH(COLUMNS($AO$1006:AS1006),$AO$1006:$BQ$1006,0)))),"Fix")))</f>
        <v>#N/A</v>
      </c>
      <c r="G503" s="5" t="e">
        <f ca="1">IF(OR(INDEX($AI$2:$AI$1001,MATCH(ROWS($AH$2:AH503),$AH$2:$AH$1001,0),1)&gt;=100000,INDEX($AO$1005:$BQ$1005,1,MATCH(COLUMNS($AO$1006:AT1006),$AO$1006:$BQ$1006,0))&gt;=100000), " ",IF(INDEX($AO$2:$BQ$1001,MATCH(ROWS($AH$2:AH503),$AH$2:$AH$1001,0),MATCH(COLUMNS($AO$1006:AT1006),$AO$1006:$BQ$1006,0)), HYPERLINK("#",""), HYPERLINK(CONCATENATE("#Metadata!", ADDRESS(INDEX($AJ$2:$AJ$1001,MATCH(ROWS($AH$2:AH503),$AH$2:$AH$1001,0),0), INDEX($AO$1004:$BQ$1004,1,MATCH(COLUMNS($AO$1006:AT1006),$AO$1006:$BQ$1006,0)))),"Fix")))</f>
        <v>#N/A</v>
      </c>
      <c r="H503" s="5" t="e">
        <f ca="1">IF(OR(INDEX($AI$2:$AI$1001,MATCH(ROWS($AH$2:AH503),$AH$2:$AH$1001,0),1)&gt;=100000,INDEX($AO$1005:$BQ$1005,1,MATCH(COLUMNS($AO$1006:AU1006),$AO$1006:$BQ$1006,0))&gt;=100000), " ",IF(INDEX($AO$2:$BQ$1001,MATCH(ROWS($AH$2:AH503),$AH$2:$AH$1001,0),MATCH(COLUMNS($AO$1006:AU1006),$AO$1006:$BQ$1006,0)), HYPERLINK("#",""), HYPERLINK(CONCATENATE("#Metadata!", ADDRESS(INDEX($AJ$2:$AJ$1001,MATCH(ROWS($AH$2:AH503),$AH$2:$AH$1001,0),0), INDEX($AO$1004:$BQ$1004,1,MATCH(COLUMNS($AO$1006:AU1006),$AO$1006:$BQ$1006,0)))),"Fix")))</f>
        <v>#N/A</v>
      </c>
      <c r="I503" s="5" t="e">
        <f ca="1">IF(OR(INDEX($AI$2:$AI$1001,MATCH(ROWS($AH$2:AH503),$AH$2:$AH$1001,0),1)&gt;=100000,INDEX($AO$1005:$BQ$1005,1,MATCH(COLUMNS($AO$1006:AV1006),$AO$1006:$BQ$1006,0))&gt;=100000), " ",IF(INDEX($AO$2:$BQ$1001,MATCH(ROWS($AH$2:AH503),$AH$2:$AH$1001,0),MATCH(COLUMNS($AO$1006:AV1006),$AO$1006:$BQ$1006,0)), HYPERLINK("#",""), HYPERLINK(CONCATENATE("#Metadata!", ADDRESS(INDEX($AJ$2:$AJ$1001,MATCH(ROWS($AH$2:AH503),$AH$2:$AH$1001,0),0), INDEX($AO$1004:$BQ$1004,1,MATCH(COLUMNS($AO$1006:AV1006),$AO$1006:$BQ$1006,0)))),"Fix")))</f>
        <v>#N/A</v>
      </c>
      <c r="J503" s="5" t="e">
        <f ca="1">IF(OR(INDEX($AI$2:$AI$1001,MATCH(ROWS($AH$2:AH503),$AH$2:$AH$1001,0),1)&gt;=100000,INDEX($AO$1005:$BQ$1005,1,MATCH(COLUMNS($AO$1006:AW1006),$AO$1006:$BQ$1006,0))&gt;=100000), " ",IF(INDEX($AO$2:$BQ$1001,MATCH(ROWS($AH$2:AH503),$AH$2:$AH$1001,0),MATCH(COLUMNS($AO$1006:AW1006),$AO$1006:$BQ$1006,0)), HYPERLINK("#",""), HYPERLINK(CONCATENATE("#Metadata!", ADDRESS(INDEX($AJ$2:$AJ$1001,MATCH(ROWS($AH$2:AH503),$AH$2:$AH$1001,0),0), INDEX($AO$1004:$BQ$1004,1,MATCH(COLUMNS($AO$1006:AW1006),$AO$1006:$BQ$1006,0)))),"Fix")))</f>
        <v>#N/A</v>
      </c>
      <c r="K503" s="5" t="e">
        <f ca="1">IF(OR(INDEX($AI$2:$AI$1001,MATCH(ROWS($AH$2:AH503),$AH$2:$AH$1001,0),1)&gt;=100000,INDEX($AO$1005:$BQ$1005,1,MATCH(COLUMNS($AO$1006:AX1006),$AO$1006:$BQ$1006,0))&gt;=100000), " ",IF(INDEX($AO$2:$BQ$1001,MATCH(ROWS($AH$2:AH503),$AH$2:$AH$1001,0),MATCH(COLUMNS($AO$1006:AX1006),$AO$1006:$BQ$1006,0)), HYPERLINK("#",""), HYPERLINK(CONCATENATE("#Metadata!", ADDRESS(INDEX($AJ$2:$AJ$1001,MATCH(ROWS($AH$2:AH503),$AH$2:$AH$1001,0),0), INDEX($AO$1004:$BQ$1004,1,MATCH(COLUMNS($AO$1006:AX1006),$AO$1006:$BQ$1006,0)))),"Fix")))</f>
        <v>#N/A</v>
      </c>
      <c r="L503" s="5" t="e">
        <f ca="1">IF(OR(INDEX($AI$2:$AI$1001,MATCH(ROWS($AH$2:AH503),$AH$2:$AH$1001,0),1)&gt;=100000,INDEX($AO$1005:$BQ$1005,1,MATCH(COLUMNS($AO$1006:AY1006),$AO$1006:$BQ$1006,0))&gt;=100000), " ",IF(INDEX($AO$2:$BQ$1001,MATCH(ROWS($AH$2:AH503),$AH$2:$AH$1001,0),MATCH(COLUMNS($AO$1006:AY1006),$AO$1006:$BQ$1006,0)), HYPERLINK("#",""), HYPERLINK(CONCATENATE("#Metadata!", ADDRESS(INDEX($AJ$2:$AJ$1001,MATCH(ROWS($AH$2:AH503),$AH$2:$AH$1001,0),0), INDEX($AO$1004:$BQ$1004,1,MATCH(COLUMNS($AO$1006:AY1006),$AO$1006:$BQ$1006,0)))),"Fix")))</f>
        <v>#N/A</v>
      </c>
      <c r="M503" s="5" t="e">
        <f ca="1">IF(OR(INDEX($AI$2:$AI$1001,MATCH(ROWS($AH$2:AH503),$AH$2:$AH$1001,0),1)&gt;=100000,INDEX($AO$1005:$BQ$1005,1,MATCH(COLUMNS($AO$1006:AZ1006),$AO$1006:$BQ$1006,0))&gt;=100000), " ",IF(INDEX($AO$2:$BQ$1001,MATCH(ROWS($AH$2:AH503),$AH$2:$AH$1001,0),MATCH(COLUMNS($AO$1006:AZ1006),$AO$1006:$BQ$1006,0)), HYPERLINK("#",""), HYPERLINK(CONCATENATE("#Metadata!", ADDRESS(INDEX($AJ$2:$AJ$1001,MATCH(ROWS($AH$2:AH503),$AH$2:$AH$1001,0),0), INDEX($AO$1004:$BQ$1004,1,MATCH(COLUMNS($AO$1006:AZ1006),$AO$1006:$BQ$1006,0)))),"Fix")))</f>
        <v>#N/A</v>
      </c>
      <c r="N503" s="5" t="e">
        <f ca="1">IF(OR(INDEX($AI$2:$AI$1001,MATCH(ROWS($AH$2:AH503),$AH$2:$AH$1001,0),1)&gt;=100000,INDEX($AO$1005:$BQ$1005,1,MATCH(COLUMNS($AO$1006:BA1006),$AO$1006:$BQ$1006,0))&gt;=100000), " ",IF(INDEX($AO$2:$BQ$1001,MATCH(ROWS($AH$2:AH503),$AH$2:$AH$1001,0),MATCH(COLUMNS($AO$1006:BA1006),$AO$1006:$BQ$1006,0)), HYPERLINK("#",""), HYPERLINK(CONCATENATE("#Metadata!", ADDRESS(INDEX($AJ$2:$AJ$1001,MATCH(ROWS($AH$2:AH503),$AH$2:$AH$1001,0),0), INDEX($AO$1004:$BQ$1004,1,MATCH(COLUMNS($AO$1006:BA1006),$AO$1006:$BQ$1006,0)))),"Fix")))</f>
        <v>#N/A</v>
      </c>
      <c r="O503" s="5" t="e">
        <f ca="1">IF(OR(INDEX($AI$2:$AI$1001,MATCH(ROWS($AH$2:AH503),$AH$2:$AH$1001,0),1)&gt;=100000,INDEX($AO$1005:$BQ$1005,1,MATCH(COLUMNS($AO$1006:BB1006),$AO$1006:$BQ$1006,0))&gt;=100000), " ",IF(INDEX($AO$2:$BQ$1001,MATCH(ROWS($AH$2:AH503),$AH$2:$AH$1001,0),MATCH(COLUMNS($AO$1006:BB1006),$AO$1006:$BQ$1006,0)), HYPERLINK("#",""), HYPERLINK(CONCATENATE("#Metadata!", ADDRESS(INDEX($AJ$2:$AJ$1001,MATCH(ROWS($AH$2:AH503),$AH$2:$AH$1001,0),0), INDEX($AO$1004:$BQ$1004,1,MATCH(COLUMNS($AO$1006:BB1006),$AO$1006:$BQ$1006,0)))),"Fix")))</f>
        <v>#N/A</v>
      </c>
      <c r="P503" s="5" t="e">
        <f ca="1">IF(OR(INDEX($AI$2:$AI$1001,MATCH(ROWS($AH$2:AH503),$AH$2:$AH$1001,0),1)&gt;=100000,INDEX($AO$1005:$BQ$1005,1,MATCH(COLUMNS($AO$1006:BC1006),$AO$1006:$BQ$1006,0))&gt;=100000), " ",IF(INDEX($AO$2:$BQ$1001,MATCH(ROWS($AH$2:AH503),$AH$2:$AH$1001,0),MATCH(COLUMNS($AO$1006:BC1006),$AO$1006:$BQ$1006,0)), HYPERLINK("#",""), HYPERLINK(CONCATENATE("#Metadata!", ADDRESS(INDEX($AJ$2:$AJ$1001,MATCH(ROWS($AH$2:AH503),$AH$2:$AH$1001,0),0), INDEX($AO$1004:$BQ$1004,1,MATCH(COLUMNS($AO$1006:BC1006),$AO$1006:$BQ$1006,0)))),"Fix")))</f>
        <v>#N/A</v>
      </c>
      <c r="Q503" s="5" t="e">
        <f ca="1">IF(OR(INDEX($AI$2:$AI$1001,MATCH(ROWS($AH$2:AH503),$AH$2:$AH$1001,0),1)&gt;=100000,INDEX($AO$1005:$BQ$1005,1,MATCH(COLUMNS($AO$1006:BD1006),$AO$1006:$BQ$1006,0))&gt;=100000), " ",IF(INDEX($AO$2:$BQ$1001,MATCH(ROWS($AH$2:AH503),$AH$2:$AH$1001,0),MATCH(COLUMNS($AO$1006:BD1006),$AO$1006:$BQ$1006,0)), HYPERLINK("#",""), HYPERLINK(CONCATENATE("#Metadata!", ADDRESS(INDEX($AJ$2:$AJ$1001,MATCH(ROWS($AH$2:AH503),$AH$2:$AH$1001,0),0), INDEX($AO$1004:$BQ$1004,1,MATCH(COLUMNS($AO$1006:BD1006),$AO$1006:$BQ$1006,0)))),"Fix")))</f>
        <v>#N/A</v>
      </c>
      <c r="R503" s="5" t="e">
        <f ca="1">IF(OR(INDEX($AI$2:$AI$1001,MATCH(ROWS($AH$2:AH503),$AH$2:$AH$1001,0),1)&gt;=100000,INDEX($AO$1005:$BQ$1005,1,MATCH(COLUMNS($AO$1006:BE1006),$AO$1006:$BQ$1006,0))&gt;=100000), " ",IF(INDEX($AO$2:$BQ$1001,MATCH(ROWS($AH$2:AH503),$AH$2:$AH$1001,0),MATCH(COLUMNS($AO$1006:BE1006),$AO$1006:$BQ$1006,0)), HYPERLINK("#",""), HYPERLINK(CONCATENATE("#Metadata!", ADDRESS(INDEX($AJ$2:$AJ$1001,MATCH(ROWS($AH$2:AH503),$AH$2:$AH$1001,0),0), INDEX($AO$1004:$BQ$1004,1,MATCH(COLUMNS($AO$1006:BE1006),$AO$1006:$BQ$1006,0)))),"Fix")))</f>
        <v>#N/A</v>
      </c>
      <c r="S503" s="5" t="e">
        <f ca="1">IF(OR(INDEX($AI$2:$AI$1001,MATCH(ROWS($AH$2:AH503),$AH$2:$AH$1001,0),1)&gt;=100000,INDEX($AO$1005:$BQ$1005,1,MATCH(COLUMNS($AO$1006:BF1006),$AO$1006:$BQ$1006,0))&gt;=100000), " ",IF(INDEX($AO$2:$BQ$1001,MATCH(ROWS($AH$2:AH503),$AH$2:$AH$1001,0),MATCH(COLUMNS($AO$1006:BF1006),$AO$1006:$BQ$1006,0)), HYPERLINK("#",""), HYPERLINK(CONCATENATE("#Metadata!", ADDRESS(INDEX($AJ$2:$AJ$1001,MATCH(ROWS($AH$2:AH503),$AH$2:$AH$1001,0),0), INDEX($AO$1004:$BQ$1004,1,MATCH(COLUMNS($AO$1006:BF1006),$AO$1006:$BQ$1006,0)))),"Fix")))</f>
        <v>#N/A</v>
      </c>
      <c r="T503" s="5" t="e">
        <f ca="1">IF(OR(INDEX($AI$2:$AI$1001,MATCH(ROWS($AH$2:AH503),$AH$2:$AH$1001,0),1)&gt;=100000,INDEX($AO$1005:$BQ$1005,1,MATCH(COLUMNS($AO$1006:BG1006),$AO$1006:$BQ$1006,0))&gt;=100000), " ",IF(INDEX($AO$2:$BQ$1001,MATCH(ROWS($AH$2:AH503),$AH$2:$AH$1001,0),MATCH(COLUMNS($AO$1006:BG1006),$AO$1006:$BQ$1006,0)), HYPERLINK("#",""), HYPERLINK(CONCATENATE("#Metadata!", ADDRESS(INDEX($AJ$2:$AJ$1001,MATCH(ROWS($AH$2:AH503),$AH$2:$AH$1001,0),0), INDEX($AO$1004:$BQ$1004,1,MATCH(COLUMNS($AO$1006:BG1006),$AO$1006:$BQ$1006,0)))),"Fix")))</f>
        <v>#N/A</v>
      </c>
      <c r="U503" s="5" t="e">
        <f ca="1">IF(OR(INDEX($AI$2:$AI$1001,MATCH(ROWS($AH$2:AH503),$AH$2:$AH$1001,0),1)&gt;=100000,INDEX($AO$1005:$BQ$1005,1,MATCH(COLUMNS($AO$1006:BH1006),$AO$1006:$BQ$1006,0))&gt;=100000), " ",IF(INDEX($AO$2:$BQ$1001,MATCH(ROWS($AH$2:AH503),$AH$2:$AH$1001,0),MATCH(COLUMNS($AO$1006:BH1006),$AO$1006:$BQ$1006,0)), HYPERLINK("#",""), HYPERLINK(CONCATENATE("#Metadata!", ADDRESS(INDEX($AJ$2:$AJ$1001,MATCH(ROWS($AH$2:AH503),$AH$2:$AH$1001,0),0), INDEX($AO$1004:$BQ$1004,1,MATCH(COLUMNS($AO$1006:BH1006),$AO$1006:$BQ$1006,0)))),"Fix")))</f>
        <v>#N/A</v>
      </c>
      <c r="V503" s="5" t="e">
        <f ca="1">IF(OR(INDEX($AI$2:$AI$1001,MATCH(ROWS($AH$2:AH503),$AH$2:$AH$1001,0),1)&gt;=100000,INDEX($AO$1005:$BQ$1005,1,MATCH(COLUMNS($AO$1006:BI1006),$AO$1006:$BQ$1006,0))&gt;=100000), " ",IF(INDEX($AO$2:$BQ$1001,MATCH(ROWS($AH$2:AH503),$AH$2:$AH$1001,0),MATCH(COLUMNS($AO$1006:BI1006),$AO$1006:$BQ$1006,0)), HYPERLINK("#",""), HYPERLINK(CONCATENATE("#Metadata!", ADDRESS(INDEX($AJ$2:$AJ$1001,MATCH(ROWS($AH$2:AH503),$AH$2:$AH$1001,0),0), INDEX($AO$1004:$BQ$1004,1,MATCH(COLUMNS($AO$1006:BI1006),$AO$1006:$BQ$1006,0)))),"Fix")))</f>
        <v>#N/A</v>
      </c>
      <c r="W503" s="5" t="e">
        <f ca="1">IF(OR(INDEX($AI$2:$AI$1001,MATCH(ROWS($AH$2:AH503),$AH$2:$AH$1001,0),1)&gt;=100000,INDEX($AO$1005:$BQ$1005,1,MATCH(COLUMNS($AO$1006:BJ1006),$AO$1006:$BQ$1006,0))&gt;=100000), " ",IF(INDEX($AO$2:$BQ$1001,MATCH(ROWS($AH$2:AH503),$AH$2:$AH$1001,0),MATCH(COLUMNS($AO$1006:BJ1006),$AO$1006:$BQ$1006,0)), HYPERLINK("#",""), HYPERLINK(CONCATENATE("#Metadata!", ADDRESS(INDEX($AJ$2:$AJ$1001,MATCH(ROWS($AH$2:AH503),$AH$2:$AH$1001,0),0), INDEX($AO$1004:$BQ$1004,1,MATCH(COLUMNS($AO$1006:BJ1006),$AO$1006:$BQ$1006,0)))),"Fix")))</f>
        <v>#N/A</v>
      </c>
      <c r="X503" s="5" t="e">
        <f ca="1">IF(OR(INDEX($AI$2:$AI$1001,MATCH(ROWS($AH$2:AH503),$AH$2:$AH$1001,0),1)&gt;=100000,INDEX($AO$1005:$BQ$1005,1,MATCH(COLUMNS($AO$1006:BK1006),$AO$1006:$BQ$1006,0))&gt;=100000), " ",IF(INDEX($AO$2:$BQ$1001,MATCH(ROWS($AH$2:AH503),$AH$2:$AH$1001,0),MATCH(COLUMNS($AO$1006:BK1006),$AO$1006:$BQ$1006,0)), HYPERLINK("#",""), HYPERLINK(CONCATENATE("#Metadata!", ADDRESS(INDEX($AJ$2:$AJ$1001,MATCH(ROWS($AH$2:AH503),$AH$2:$AH$1001,0),0), INDEX($AO$1004:$BQ$1004,1,MATCH(COLUMNS($AO$1006:BK1006),$AO$1006:$BQ$1006,0)))),"Fix")))</f>
        <v>#N/A</v>
      </c>
      <c r="Y503" s="5" t="e">
        <f ca="1">IF(OR(INDEX($AI$2:$AI$1001,MATCH(ROWS($AH$2:AH503),$AH$2:$AH$1001,0),1)&gt;=100000,INDEX($AO$1005:$BQ$1005,1,MATCH(COLUMNS($AO$1006:BL1006),$AO$1006:$BQ$1006,0))&gt;=100000), " ",IF(INDEX($AO$2:$BQ$1001,MATCH(ROWS($AH$2:AH503),$AH$2:$AH$1001,0),MATCH(COLUMNS($AO$1006:BL1006),$AO$1006:$BQ$1006,0)), HYPERLINK("#",""), HYPERLINK(CONCATENATE("#Metadata!", ADDRESS(INDEX($AJ$2:$AJ$1001,MATCH(ROWS($AH$2:AH503),$AH$2:$AH$1001,0),0), INDEX($AO$1004:$BQ$1004,1,MATCH(COLUMNS($AO$1006:BL1006),$AO$1006:$BQ$1006,0)))),"Fix")))</f>
        <v>#N/A</v>
      </c>
      <c r="Z503" s="5" t="e">
        <f ca="1">IF(OR(INDEX($AI$2:$AI$1001,MATCH(ROWS($AH$2:AH503),$AH$2:$AH$1001,0),1)&gt;=100000,INDEX($AO$1005:$BQ$1005,1,MATCH(COLUMNS($AO$1006:BM1006),$AO$1006:$BQ$1006,0))&gt;=100000), " ",IF(INDEX($AO$2:$BQ$1001,MATCH(ROWS($AH$2:AH503),$AH$2:$AH$1001,0),MATCH(COLUMNS($AO$1006:BM1006),$AO$1006:$BQ$1006,0)), HYPERLINK("#",""), HYPERLINK(CONCATENATE("#Metadata!", ADDRESS(INDEX($AJ$2:$AJ$1001,MATCH(ROWS($AH$2:AH503),$AH$2:$AH$1001,0),0), INDEX($AO$1004:$BQ$1004,1,MATCH(COLUMNS($AO$1006:BM1006),$AO$1006:$BQ$1006,0)))),"Fix")))</f>
        <v>#N/A</v>
      </c>
      <c r="AA503" s="5" t="e">
        <f ca="1">IF(OR(INDEX($AI$2:$AI$1001,MATCH(ROWS($AH$2:AH503),$AH$2:$AH$1001,0),1)&gt;=100000,INDEX($AO$1005:$BQ$1005,1,MATCH(COLUMNS($AO$1006:BN1006),$AO$1006:$BQ$1006,0))&gt;=100000), " ",IF(INDEX($AO$2:$BQ$1001,MATCH(ROWS($AH$2:AH503),$AH$2:$AH$1001,0),MATCH(COLUMNS($AO$1006:BN1006),$AO$1006:$BQ$1006,0)), HYPERLINK("#",""), HYPERLINK(CONCATENATE("#Metadata!", ADDRESS(INDEX($AJ$2:$AJ$1001,MATCH(ROWS($AH$2:AH503),$AH$2:$AH$1001,0),0), INDEX($AO$1004:$BQ$1004,1,MATCH(COLUMNS($AO$1006:BN1006),$AO$1006:$BQ$1006,0)))),"Fix")))</f>
        <v>#N/A</v>
      </c>
      <c r="AB503" s="5" t="e">
        <f ca="1">IF(OR(INDEX($AI$2:$AI$1001,MATCH(ROWS($AH$2:AH503),$AH$2:$AH$1001,0),1)&gt;=100000,INDEX($AO$1005:$BQ$1005,1,MATCH(COLUMNS($AO$1006:BO1006),$AO$1006:$BQ$1006,0))&gt;=100000), " ",IF(INDEX($AO$2:$BQ$1001,MATCH(ROWS($AH$2:AH503),$AH$2:$AH$1001,0),MATCH(COLUMNS($AO$1006:BO1006),$AO$1006:$BQ$1006,0)), HYPERLINK("#",""), HYPERLINK(CONCATENATE("#Metadata!", ADDRESS(INDEX($AJ$2:$AJ$1001,MATCH(ROWS($AH$2:AH503),$AH$2:$AH$1001,0),0), INDEX($AO$1004:$BQ$1004,1,MATCH(COLUMNS($AO$1006:BO1006),$AO$1006:$BQ$1006,0)))),"Fix")))</f>
        <v>#N/A</v>
      </c>
      <c r="AC503" s="5" t="e">
        <f ca="1">IF(OR(INDEX($AI$2:$AI$1001,MATCH(ROWS($AH$2:AH503),$AH$2:$AH$1001,0),1)&gt;=100000,INDEX($AO$1005:$BQ$1005,1,MATCH(COLUMNS($AO$1006:BP1006),$AO$1006:$BQ$1006,0))&gt;=100000), " ",IF(INDEX($AO$2:$BQ$1001,MATCH(ROWS($AH$2:AH503),$AH$2:$AH$1001,0),MATCH(COLUMNS($AO$1006:BP1006),$AO$1006:$BQ$1006,0)), HYPERLINK("#",""), HYPERLINK(CONCATENATE("#Metadata!", ADDRESS(INDEX($AJ$2:$AJ$1001,MATCH(ROWS($AH$2:AH503),$AH$2:$AH$1001,0),0), INDEX($AO$1004:$BQ$1004,1,MATCH(COLUMNS($AO$1006:BP1006),$AO$1006:$BQ$1006,0)))),"Fix")))</f>
        <v>#N/A</v>
      </c>
      <c r="AD503" s="5" t="e">
        <f ca="1">IF(OR(INDEX($AI$2:$AI$1001,MATCH(ROWS($AH$2:AH503),$AH$2:$AH$1001,0),1)&gt;=100000,INDEX($AO$1005:$BQ$1005,1,MATCH(COLUMNS($AO$1006:BQ1006),$AO$1006:$BQ$1006,0))&gt;=100000), " ",IF(INDEX($AO$2:$BQ$1001,MATCH(ROWS($AH$2:AH503),$AH$2:$AH$1001,0),MATCH(COLUMNS($AO$1006:BQ1006),$AO$1006:$BQ$1006,0)), HYPERLINK("#",""), HYPERLINK(CONCATENATE("#Metadata!", ADDRESS(INDEX($AJ$2:$AJ$1001,MATCH(ROWS($AH$2:AH503),$AH$2:$AH$1001,0),0), INDEX($AO$1004:$BQ$1004,1,MATCH(COLUMNS($AO$1006:BQ1006),$AO$1006:$BQ$1006,0)))),"Fix")))</f>
        <v>#REF!</v>
      </c>
      <c r="AH503">
        <f ca="1"/>
        <v>500</v>
      </c>
      <c r="AI503">
        <v>100503</v>
      </c>
      <c r="AJ503">
        <v>503</v>
      </c>
      <c r="AK503" t="b">
        <f t="shared" si="7"/>
        <v>1</v>
      </c>
      <c r="AL503" t="b">
        <f>COUNTBLANK(Metadata!B503:AD503)=COLUMNS(Metadata!B503:AD503)</f>
        <v>1</v>
      </c>
      <c r="AM503" t="str">
        <v/>
      </c>
      <c r="AO503" t="b">
        <f ca="1">AND(IF(Metadata!B503="",FALSE,TRUE),COUNTIF(Metadata!B:B, Metadata!B503) = 1,NOT(ISERROR(SUMPRODUCT(SEARCH(MID(Metadata!B503,ROW(INDIRECT("1:"&amp;LEN(Metadata!B503))), 1),"0123456789abcdefghijklmnopqrstuvwxyzABCDEFGHIJKLMNOPQRSTUVWXYZ.")))))</f>
        <v>0</v>
      </c>
      <c r="AP503" t="b">
        <f>IF(Metadata!C503="",FALSE,TRUE)</f>
        <v>0</v>
      </c>
      <c r="AQ503" t="b">
        <f>IF(Metadata!D503="",FALSE,TRUE)</f>
        <v>0</v>
      </c>
      <c r="AR503" t="b">
        <f ca="1">OR(AND(IF(Metadata!E503="",FALSE,TRUE),OR(EXACT(Metadata!E503,"not collected"),EXACT(Metadata!E503,"not provided"),EXACT(Metadata!E503,"restricted access"))),AND(IF(Metadata!E503="",FALSE,TRUE),AND(AND(IFERROR(INT(LEFT(Metadata!E503,4))&gt;1900,FALSE),IFERROR(INT(LEFT(Metadata!E503,4))&lt;=YEAR(NOW()),FALSE)), OR(MID(Metadata!E503,5,1)="", AND(AND(MID(Metadata!E503,5,1)="-",IFERROR(INT(MID(Metadata!E503,6,1))&gt;=0,FALSE),IFERROR(INT(MID(Metadata!E503,6,1))&lt;=1,FALSE),NOT(MID(Metadata!E503,7,1)=""),IFERROR(INT(MID(Metadata!E503,6,2))&gt;=1,FALSE),IFERROR(INT(MID(Metadata!E503,6,2))&lt;=12,FALSE)), OR(MID(Metadata!E503,8,1)="", AND(AND(MID(Metadata!E503,8,1)="-",IFERROR(INT(MID(Metadata!E503,9,1))&gt;=0,FALSE),IFERROR(INT(MID(Metadata!E503,9,1))&lt;=3,FALSE),NOT(MID(Metadata!E503,10,1)=""),IFERROR(INT(MID(Metadata!E503,9,2))&gt;=1,FALSE),IFERROR(INT(MID(Metadata!E503,9,2))&lt;=31,FALSE)), OR(MID(Metadata!E503,11,1)="", AND(AND(MID(Metadata!E503,11,1)=" ",IFERROR(INT(MID(Metadata!E503,12,1))&gt;=0,FALSE),IFERROR(INT(MID(Metadata!E503,12,1))&lt;=2,FALSE),NOT(MID(Metadata!E503,13,1)=""),IFERROR(INT(MID(Metadata!E503,12,2))&gt;=0,FALSE),IFERROR(INT(MID(Metadata!E503,12,2))&lt;=23,FALSE)), OR(MID(Metadata!E503,14,1)="", AND(AND(MID(Metadata!E503,14,1)=":",IFERROR(INT(MID(Metadata!E503,15,1))&gt;=0,FALSE),IFERROR(INT(MID(Metadata!E503,15,1))&lt;=5,FALSE),NOT(MID(Metadata!E503,16,1)=""),IFERROR(INT(MID(Metadata!E503,15,2))&gt;=0,FALSE),IFERROR(INT(MID(Metadata!E503,15,2))&lt;=59,FALSE)), OR(MID(Metadata!E503,17,1)="", AND(AND(MID(Metadata!E503,17,1)=":",IFERROR(INT(MID(Metadata!E503,18,1))&gt;=0,FALSE),IFERROR(INT(MID(Metadata!E503,18,1))&lt;=5,FALSE),NOT(MID(Metadata!E503,19,1)=""),IFERROR(INT(MID(Metadata!E503,18,2))&gt;=0,FALSE),IFERROR(INT(MID(Metadata!E503,18,2))&lt;=59,FALSE)), LEN(Metadata!E503)&lt;=19)))))))))))))</f>
        <v>0</v>
      </c>
      <c r="AS503" t="b">
        <f>IF(Metadata!F503="",FALSE,TRUE)</f>
        <v>0</v>
      </c>
      <c r="AT503" t="b">
        <f>OR(AND(IF(Metadata!G503="",FALSE,TRUE),OR(EXACT(Metadata!G503,"not collected"),EXACT(Metadata!G503,"not provided"))),AND(IF(Metadata!G503="",FALSE,TRUE),OR(EXACT(Metadata!G503,"TRUE"),EXACT(Metadata!G503,"FALSE"))))</f>
        <v>0</v>
      </c>
      <c r="AU503" t="b">
        <f>OR(AND(IF(Metadata!H503="",FALSE,TRUE),OR(EXACT(Metadata!H503,"not collected"),EXACT(Metadata!H503,"not provided"),EXACT(Metadata!H503,"restricted access"))),AND(IF(Metadata!H503="",FALSE,ISNUMBER(VALUE(Metadata!H503))),Metadata!H503&gt;=-413))</f>
        <v>0</v>
      </c>
      <c r="AV503" t="b">
        <f>AND(IF(Metadata!I503="",FALSE,TRUE),EXACT(Metadata!I503,"meters"))</f>
        <v>0</v>
      </c>
      <c r="AW503" t="b">
        <f>AND(IF(Metadata!J503="",FALSE,TRUE),EXACT(Metadata!J503,"free-living"))</f>
        <v>0</v>
      </c>
      <c r="AX503" t="b">
        <f>AND(IF(Metadata!K503="",FALSE,TRUE),OR(EXACT(Metadata!K503,"saline"),EXACT(Metadata!K503,"non-saline")))</f>
        <v>0</v>
      </c>
      <c r="AY503" t="b">
        <f>AND(IF(Metadata!L503="",FALSE,TRUE),OR(EXACT(Metadata!L503,"sub-surface (non-saline)"),EXACT(Metadata!L503,"surface (non-saline)"),EXACT(Metadata!L503,"water (non-saline)"),EXACT(Metadata!L503,"soil (non-saline)"),EXACT(Metadata!L503,"aerosol (non-saline)"),EXACT(Metadata!L503,"sediment (non-saline)"),EXACT(Metadata!L503,"surface (saline)"),EXACT(Metadata!L503,"water (saline)"),EXACT(Metadata!L503,"hypersaline (saline)"),EXACT(Metadata!L503,"aerosol (saline)"),EXACT(Metadata!L503,"sediment (saline)")))</f>
        <v>0</v>
      </c>
      <c r="AZ503" t="b">
        <f>IF(Metadata!M503="",FALSE,TRUE)</f>
        <v>0</v>
      </c>
      <c r="BA503" t="b">
        <f>IF(Metadata!N503="",FALSE,TRUE)</f>
        <v>0</v>
      </c>
      <c r="BB503" t="b">
        <f>IF(Metadata!O503="",FALSE,TRUE)</f>
        <v>0</v>
      </c>
      <c r="BC503" t="b">
        <f>AND(IF(Metadata!P503="",FALSE,TRUE),OR(EXACT(Metadata!P503,"air"),EXACT(Metadata!P503,"microbial mat/biofilm"),EXACT(Metadata!P503,"misc environment"),EXACT(Metadata!P503,"sediment"),EXACT(Metadata!P503,"soil"),EXACT(Metadata!P503,"wastewater/sludge"),EXACT(Metadata!P503,"water")))</f>
        <v>0</v>
      </c>
      <c r="BD503" t="b">
        <f>IF(Metadata!Q503="",FALSE,TRUE)</f>
        <v>0</v>
      </c>
      <c r="BE503" t="b">
        <f>IF(Metadata!R503="",FALSE,TRUE)</f>
        <v>0</v>
      </c>
      <c r="BF503" t="b">
        <f>OR(AND(IF(Metadata!S503="",FALSE,TRUE),OR(EXACT(Metadata!S503,"not collected"),EXACT(Metadata!S503,"not provided"),EXACT(Metadata!S503,"restricted access"))),AND(IF(Metadata!S503="",FALSE,ISNUMBER(VALUE(Metadata!S503))),Metadata!S503&gt;=-90,Metadata!S503&lt;=90))</f>
        <v>0</v>
      </c>
      <c r="BG503" t="b">
        <f>AND(IF(Metadata!T503="",FALSE,TRUE),EXACT(Metadata!T503,"Decimal degrees"))</f>
        <v>0</v>
      </c>
      <c r="BH503" t="b">
        <f>OR(AND(IF(Metadata!U503="",FALSE,TRUE),OR(EXACT(Metadata!U503,"not applicable"),EXACT(Metadata!U503,"not collected"))),IF(Metadata!U503="",FALSE,TRUE))</f>
        <v>0</v>
      </c>
      <c r="BI503" t="b">
        <f>OR(AND(IF(Metadata!V503="",FALSE,TRUE),OR(EXACT(Metadata!V503,"not collected"),EXACT(Metadata!V503,"not provided"),EXACT(Metadata!V503,"restricted access"))),AND(IF(Metadata!V503="",FALSE,ISNUMBER(VALUE(Metadata!V503))),Metadata!V503&gt;=-180,Metadata!V503&lt;=180))</f>
        <v>0</v>
      </c>
      <c r="BJ503" t="b">
        <f>AND(IF(Metadata!W503="",FALSE,TRUE),EXACT(Metadata!W503,"Decimal degrees"))</f>
        <v>0</v>
      </c>
      <c r="BK503" t="b">
        <f>IF(Metadata!X503="",FALSE,TRUE)</f>
        <v>0</v>
      </c>
      <c r="BL503" t="b">
        <f>OR(AND(IF(Metadata!Y503="",FALSE,TRUE),OR(EXACT(Metadata!Y503,"not collected"),EXACT(Metadata!Y503,"not provided"),EXACT(Metadata!Y503,"restricted access"))),AND(IF(Metadata!Y503="",FALSE,TRUE),OR(EXACT(Metadata!Y503,"TRUE"),EXACT(Metadata!Y503,"FALSE"))))</f>
        <v>0</v>
      </c>
      <c r="BM503" t="b">
        <f>OR(AND(IF(Metadata!Z503="",FALSE,TRUE),EXACT(Metadata!Z503,"not applicable")),AND(IF(Metadata!Z503="",FALSE,TRUE),OR(EXACT(Metadata!Z503,"beer"),EXACT(Metadata!Z503,"cheese"),EXACT(Metadata!Z503,"fresh water"),EXACT(Metadata!Z503,"marine sediment"),EXACT(Metadata!Z503,"sea water"),EXACT(Metadata!Z503,"sediment"),EXACT(Metadata!Z503,"soil"),EXACT(Metadata!Z503,"waste water"))))</f>
        <v>0</v>
      </c>
      <c r="BN503" t="b">
        <f>AND(IF(Metadata!AA503="",FALSE,TRUE),EXACT(Metadata!AA503,"metagenome"))</f>
        <v>0</v>
      </c>
      <c r="BO503" t="b">
        <f>AND(IF(Metadata!AB503="",FALSE,TRUE),EXACT(Metadata!AB503,"256318"))</f>
        <v>0</v>
      </c>
      <c r="BP503" t="b">
        <f>IF(Metadata!AC503="",FALSE,TRUE)</f>
        <v>0</v>
      </c>
      <c r="BQ503" t="b">
        <f>IF(Metadata!AD503="",FALSE,TRUE)</f>
        <v>0</v>
      </c>
    </row>
    <row r="504" spans="1:69" x14ac:dyDescent="0.2">
      <c r="A504" s="4" t="e">
        <f ca="1">IF(B504=" "," ",HYPERLINK(CONCATENATE("#metadata!",ADDRESS(INDEX($AJ$2:$AJ$1001,MATCH(ROWS($AH$2:AH504),$AH$2:$AH$1001,0),0),2)),INDEX($AM$2:$AM$1001,MATCH(ROWS($AH$2:AH504),$AH$2:$AH$1001,0),0)))</f>
        <v>#N/A</v>
      </c>
      <c r="B504" s="5" t="e">
        <f ca="1">IF(OR(INDEX($AI$2:$AI$1001,MATCH(ROWS($AH$2:AH504),$AH$2:$AH$1001,0),1)&gt;=100000,INDEX($AO$1005:$BQ$1005,1,MATCH(COLUMNS($AO$1006:AO1006),$AO$1006:$BQ$1006,0))&gt;=100000), " ",IF(INDEX($AO$2:$BQ$1001,MATCH(ROWS($AH$2:AH504),$AH$2:$AH$1001,0),MATCH(COLUMNS($AO$1006:AO1006),$AO$1006:$BQ$1006,0)), HYPERLINK("#",""), HYPERLINK(CONCATENATE("#Metadata!", ADDRESS(INDEX($AJ$2:$AJ$1001,MATCH(ROWS($AH$2:AH504),$AH$2:$AH$1001,0),0), INDEX($AO$1004:$BQ$1004,1,MATCH(COLUMNS($AO$1006:AO1006),$AO$1006:$BQ$1006,0)))),"Fix")))</f>
        <v>#N/A</v>
      </c>
      <c r="C504" s="5" t="e">
        <f ca="1">IF(OR(INDEX($AI$2:$AI$1001,MATCH(ROWS($AH$2:AH504),$AH$2:$AH$1001,0),1)&gt;=100000,INDEX($AO$1005:$BQ$1005,1,MATCH(COLUMNS($AO$1006:AP1006),$AO$1006:$BQ$1006,0))&gt;=100000), " ",IF(INDEX($AO$2:$BQ$1001,MATCH(ROWS($AH$2:AH504),$AH$2:$AH$1001,0),MATCH(COLUMNS($AO$1006:AP1006),$AO$1006:$BQ$1006,0)), HYPERLINK("#",""), HYPERLINK(CONCATENATE("#Metadata!", ADDRESS(INDEX($AJ$2:$AJ$1001,MATCH(ROWS($AH$2:AH504),$AH$2:$AH$1001,0),0), INDEX($AO$1004:$BQ$1004,1,MATCH(COLUMNS($AO$1006:AP1006),$AO$1006:$BQ$1006,0)))),"Fix")))</f>
        <v>#N/A</v>
      </c>
      <c r="D504" s="5" t="e">
        <f ca="1">IF(OR(INDEX($AI$2:$AI$1001,MATCH(ROWS($AH$2:AH504),$AH$2:$AH$1001,0),1)&gt;=100000,INDEX($AO$1005:$BQ$1005,1,MATCH(COLUMNS($AO$1006:AQ1006),$AO$1006:$BQ$1006,0))&gt;=100000), " ",IF(INDEX($AO$2:$BQ$1001,MATCH(ROWS($AH$2:AH504),$AH$2:$AH$1001,0),MATCH(COLUMNS($AO$1006:AQ1006),$AO$1006:$BQ$1006,0)), HYPERLINK("#",""), HYPERLINK(CONCATENATE("#Metadata!", ADDRESS(INDEX($AJ$2:$AJ$1001,MATCH(ROWS($AH$2:AH504),$AH$2:$AH$1001,0),0), INDEX($AO$1004:$BQ$1004,1,MATCH(COLUMNS($AO$1006:AQ1006),$AO$1006:$BQ$1006,0)))),"Fix")))</f>
        <v>#N/A</v>
      </c>
      <c r="E504" s="5" t="e">
        <f ca="1">IF(OR(INDEX($AI$2:$AI$1001,MATCH(ROWS($AH$2:AH504),$AH$2:$AH$1001,0),1)&gt;=100000,INDEX($AO$1005:$BQ$1005,1,MATCH(COLUMNS($AO$1006:AR1006),$AO$1006:$BQ$1006,0))&gt;=100000), " ",IF(INDEX($AO$2:$BQ$1001,MATCH(ROWS($AH$2:AH504),$AH$2:$AH$1001,0),MATCH(COLUMNS($AO$1006:AR1006),$AO$1006:$BQ$1006,0)), HYPERLINK("#",""), HYPERLINK(CONCATENATE("#Metadata!", ADDRESS(INDEX($AJ$2:$AJ$1001,MATCH(ROWS($AH$2:AH504),$AH$2:$AH$1001,0),0), INDEX($AO$1004:$BQ$1004,1,MATCH(COLUMNS($AO$1006:AR1006),$AO$1006:$BQ$1006,0)))),"Fix")))</f>
        <v>#N/A</v>
      </c>
      <c r="F504" s="5" t="e">
        <f ca="1">IF(OR(INDEX($AI$2:$AI$1001,MATCH(ROWS($AH$2:AH504),$AH$2:$AH$1001,0),1)&gt;=100000,INDEX($AO$1005:$BQ$1005,1,MATCH(COLUMNS($AO$1006:AS1006),$AO$1006:$BQ$1006,0))&gt;=100000), " ",IF(INDEX($AO$2:$BQ$1001,MATCH(ROWS($AH$2:AH504),$AH$2:$AH$1001,0),MATCH(COLUMNS($AO$1006:AS1006),$AO$1006:$BQ$1006,0)), HYPERLINK("#",""), HYPERLINK(CONCATENATE("#Metadata!", ADDRESS(INDEX($AJ$2:$AJ$1001,MATCH(ROWS($AH$2:AH504),$AH$2:$AH$1001,0),0), INDEX($AO$1004:$BQ$1004,1,MATCH(COLUMNS($AO$1006:AS1006),$AO$1006:$BQ$1006,0)))),"Fix")))</f>
        <v>#N/A</v>
      </c>
      <c r="G504" s="5" t="e">
        <f ca="1">IF(OR(INDEX($AI$2:$AI$1001,MATCH(ROWS($AH$2:AH504),$AH$2:$AH$1001,0),1)&gt;=100000,INDEX($AO$1005:$BQ$1005,1,MATCH(COLUMNS($AO$1006:AT1006),$AO$1006:$BQ$1006,0))&gt;=100000), " ",IF(INDEX($AO$2:$BQ$1001,MATCH(ROWS($AH$2:AH504),$AH$2:$AH$1001,0),MATCH(COLUMNS($AO$1006:AT1006),$AO$1006:$BQ$1006,0)), HYPERLINK("#",""), HYPERLINK(CONCATENATE("#Metadata!", ADDRESS(INDEX($AJ$2:$AJ$1001,MATCH(ROWS($AH$2:AH504),$AH$2:$AH$1001,0),0), INDEX($AO$1004:$BQ$1004,1,MATCH(COLUMNS($AO$1006:AT1006),$AO$1006:$BQ$1006,0)))),"Fix")))</f>
        <v>#N/A</v>
      </c>
      <c r="H504" s="5" t="e">
        <f ca="1">IF(OR(INDEX($AI$2:$AI$1001,MATCH(ROWS($AH$2:AH504),$AH$2:$AH$1001,0),1)&gt;=100000,INDEX($AO$1005:$BQ$1005,1,MATCH(COLUMNS($AO$1006:AU1006),$AO$1006:$BQ$1006,0))&gt;=100000), " ",IF(INDEX($AO$2:$BQ$1001,MATCH(ROWS($AH$2:AH504),$AH$2:$AH$1001,0),MATCH(COLUMNS($AO$1006:AU1006),$AO$1006:$BQ$1006,0)), HYPERLINK("#",""), HYPERLINK(CONCATENATE("#Metadata!", ADDRESS(INDEX($AJ$2:$AJ$1001,MATCH(ROWS($AH$2:AH504),$AH$2:$AH$1001,0),0), INDEX($AO$1004:$BQ$1004,1,MATCH(COLUMNS($AO$1006:AU1006),$AO$1006:$BQ$1006,0)))),"Fix")))</f>
        <v>#N/A</v>
      </c>
      <c r="I504" s="5" t="e">
        <f ca="1">IF(OR(INDEX($AI$2:$AI$1001,MATCH(ROWS($AH$2:AH504),$AH$2:$AH$1001,0),1)&gt;=100000,INDEX($AO$1005:$BQ$1005,1,MATCH(COLUMNS($AO$1006:AV1006),$AO$1006:$BQ$1006,0))&gt;=100000), " ",IF(INDEX($AO$2:$BQ$1001,MATCH(ROWS($AH$2:AH504),$AH$2:$AH$1001,0),MATCH(COLUMNS($AO$1006:AV1006),$AO$1006:$BQ$1006,0)), HYPERLINK("#",""), HYPERLINK(CONCATENATE("#Metadata!", ADDRESS(INDEX($AJ$2:$AJ$1001,MATCH(ROWS($AH$2:AH504),$AH$2:$AH$1001,0),0), INDEX($AO$1004:$BQ$1004,1,MATCH(COLUMNS($AO$1006:AV1006),$AO$1006:$BQ$1006,0)))),"Fix")))</f>
        <v>#N/A</v>
      </c>
      <c r="J504" s="5" t="e">
        <f ca="1">IF(OR(INDEX($AI$2:$AI$1001,MATCH(ROWS($AH$2:AH504),$AH$2:$AH$1001,0),1)&gt;=100000,INDEX($AO$1005:$BQ$1005,1,MATCH(COLUMNS($AO$1006:AW1006),$AO$1006:$BQ$1006,0))&gt;=100000), " ",IF(INDEX($AO$2:$BQ$1001,MATCH(ROWS($AH$2:AH504),$AH$2:$AH$1001,0),MATCH(COLUMNS($AO$1006:AW1006),$AO$1006:$BQ$1006,0)), HYPERLINK("#",""), HYPERLINK(CONCATENATE("#Metadata!", ADDRESS(INDEX($AJ$2:$AJ$1001,MATCH(ROWS($AH$2:AH504),$AH$2:$AH$1001,0),0), INDEX($AO$1004:$BQ$1004,1,MATCH(COLUMNS($AO$1006:AW1006),$AO$1006:$BQ$1006,0)))),"Fix")))</f>
        <v>#N/A</v>
      </c>
      <c r="K504" s="5" t="e">
        <f ca="1">IF(OR(INDEX($AI$2:$AI$1001,MATCH(ROWS($AH$2:AH504),$AH$2:$AH$1001,0),1)&gt;=100000,INDEX($AO$1005:$BQ$1005,1,MATCH(COLUMNS($AO$1006:AX1006),$AO$1006:$BQ$1006,0))&gt;=100000), " ",IF(INDEX($AO$2:$BQ$1001,MATCH(ROWS($AH$2:AH504),$AH$2:$AH$1001,0),MATCH(COLUMNS($AO$1006:AX1006),$AO$1006:$BQ$1006,0)), HYPERLINK("#",""), HYPERLINK(CONCATENATE("#Metadata!", ADDRESS(INDEX($AJ$2:$AJ$1001,MATCH(ROWS($AH$2:AH504),$AH$2:$AH$1001,0),0), INDEX($AO$1004:$BQ$1004,1,MATCH(COLUMNS($AO$1006:AX1006),$AO$1006:$BQ$1006,0)))),"Fix")))</f>
        <v>#N/A</v>
      </c>
      <c r="L504" s="5" t="e">
        <f ca="1">IF(OR(INDEX($AI$2:$AI$1001,MATCH(ROWS($AH$2:AH504),$AH$2:$AH$1001,0),1)&gt;=100000,INDEX($AO$1005:$BQ$1005,1,MATCH(COLUMNS($AO$1006:AY1006),$AO$1006:$BQ$1006,0))&gt;=100000), " ",IF(INDEX($AO$2:$BQ$1001,MATCH(ROWS($AH$2:AH504),$AH$2:$AH$1001,0),MATCH(COLUMNS($AO$1006:AY1006),$AO$1006:$BQ$1006,0)), HYPERLINK("#",""), HYPERLINK(CONCATENATE("#Metadata!", ADDRESS(INDEX($AJ$2:$AJ$1001,MATCH(ROWS($AH$2:AH504),$AH$2:$AH$1001,0),0), INDEX($AO$1004:$BQ$1004,1,MATCH(COLUMNS($AO$1006:AY1006),$AO$1006:$BQ$1006,0)))),"Fix")))</f>
        <v>#N/A</v>
      </c>
      <c r="M504" s="5" t="e">
        <f ca="1">IF(OR(INDEX($AI$2:$AI$1001,MATCH(ROWS($AH$2:AH504),$AH$2:$AH$1001,0),1)&gt;=100000,INDEX($AO$1005:$BQ$1005,1,MATCH(COLUMNS($AO$1006:AZ1006),$AO$1006:$BQ$1006,0))&gt;=100000), " ",IF(INDEX($AO$2:$BQ$1001,MATCH(ROWS($AH$2:AH504),$AH$2:$AH$1001,0),MATCH(COLUMNS($AO$1006:AZ1006),$AO$1006:$BQ$1006,0)), HYPERLINK("#",""), HYPERLINK(CONCATENATE("#Metadata!", ADDRESS(INDEX($AJ$2:$AJ$1001,MATCH(ROWS($AH$2:AH504),$AH$2:$AH$1001,0),0), INDEX($AO$1004:$BQ$1004,1,MATCH(COLUMNS($AO$1006:AZ1006),$AO$1006:$BQ$1006,0)))),"Fix")))</f>
        <v>#N/A</v>
      </c>
      <c r="N504" s="5" t="e">
        <f ca="1">IF(OR(INDEX($AI$2:$AI$1001,MATCH(ROWS($AH$2:AH504),$AH$2:$AH$1001,0),1)&gt;=100000,INDEX($AO$1005:$BQ$1005,1,MATCH(COLUMNS($AO$1006:BA1006),$AO$1006:$BQ$1006,0))&gt;=100000), " ",IF(INDEX($AO$2:$BQ$1001,MATCH(ROWS($AH$2:AH504),$AH$2:$AH$1001,0),MATCH(COLUMNS($AO$1006:BA1006),$AO$1006:$BQ$1006,0)), HYPERLINK("#",""), HYPERLINK(CONCATENATE("#Metadata!", ADDRESS(INDEX($AJ$2:$AJ$1001,MATCH(ROWS($AH$2:AH504),$AH$2:$AH$1001,0),0), INDEX($AO$1004:$BQ$1004,1,MATCH(COLUMNS($AO$1006:BA1006),$AO$1006:$BQ$1006,0)))),"Fix")))</f>
        <v>#N/A</v>
      </c>
      <c r="O504" s="5" t="e">
        <f ca="1">IF(OR(INDEX($AI$2:$AI$1001,MATCH(ROWS($AH$2:AH504),$AH$2:$AH$1001,0),1)&gt;=100000,INDEX($AO$1005:$BQ$1005,1,MATCH(COLUMNS($AO$1006:BB1006),$AO$1006:$BQ$1006,0))&gt;=100000), " ",IF(INDEX($AO$2:$BQ$1001,MATCH(ROWS($AH$2:AH504),$AH$2:$AH$1001,0),MATCH(COLUMNS($AO$1006:BB1006),$AO$1006:$BQ$1006,0)), HYPERLINK("#",""), HYPERLINK(CONCATENATE("#Metadata!", ADDRESS(INDEX($AJ$2:$AJ$1001,MATCH(ROWS($AH$2:AH504),$AH$2:$AH$1001,0),0), INDEX($AO$1004:$BQ$1004,1,MATCH(COLUMNS($AO$1006:BB1006),$AO$1006:$BQ$1006,0)))),"Fix")))</f>
        <v>#N/A</v>
      </c>
      <c r="P504" s="5" t="e">
        <f ca="1">IF(OR(INDEX($AI$2:$AI$1001,MATCH(ROWS($AH$2:AH504),$AH$2:$AH$1001,0),1)&gt;=100000,INDEX($AO$1005:$BQ$1005,1,MATCH(COLUMNS($AO$1006:BC1006),$AO$1006:$BQ$1006,0))&gt;=100000), " ",IF(INDEX($AO$2:$BQ$1001,MATCH(ROWS($AH$2:AH504),$AH$2:$AH$1001,0),MATCH(COLUMNS($AO$1006:BC1006),$AO$1006:$BQ$1006,0)), HYPERLINK("#",""), HYPERLINK(CONCATENATE("#Metadata!", ADDRESS(INDEX($AJ$2:$AJ$1001,MATCH(ROWS($AH$2:AH504),$AH$2:$AH$1001,0),0), INDEX($AO$1004:$BQ$1004,1,MATCH(COLUMNS($AO$1006:BC1006),$AO$1006:$BQ$1006,0)))),"Fix")))</f>
        <v>#N/A</v>
      </c>
      <c r="Q504" s="5" t="e">
        <f ca="1">IF(OR(INDEX($AI$2:$AI$1001,MATCH(ROWS($AH$2:AH504),$AH$2:$AH$1001,0),1)&gt;=100000,INDEX($AO$1005:$BQ$1005,1,MATCH(COLUMNS($AO$1006:BD1006),$AO$1006:$BQ$1006,0))&gt;=100000), " ",IF(INDEX($AO$2:$BQ$1001,MATCH(ROWS($AH$2:AH504),$AH$2:$AH$1001,0),MATCH(COLUMNS($AO$1006:BD1006),$AO$1006:$BQ$1006,0)), HYPERLINK("#",""), HYPERLINK(CONCATENATE("#Metadata!", ADDRESS(INDEX($AJ$2:$AJ$1001,MATCH(ROWS($AH$2:AH504),$AH$2:$AH$1001,0),0), INDEX($AO$1004:$BQ$1004,1,MATCH(COLUMNS($AO$1006:BD1006),$AO$1006:$BQ$1006,0)))),"Fix")))</f>
        <v>#N/A</v>
      </c>
      <c r="R504" s="5" t="e">
        <f ca="1">IF(OR(INDEX($AI$2:$AI$1001,MATCH(ROWS($AH$2:AH504),$AH$2:$AH$1001,0),1)&gt;=100000,INDEX($AO$1005:$BQ$1005,1,MATCH(COLUMNS($AO$1006:BE1006),$AO$1006:$BQ$1006,0))&gt;=100000), " ",IF(INDEX($AO$2:$BQ$1001,MATCH(ROWS($AH$2:AH504),$AH$2:$AH$1001,0),MATCH(COLUMNS($AO$1006:BE1006),$AO$1006:$BQ$1006,0)), HYPERLINK("#",""), HYPERLINK(CONCATENATE("#Metadata!", ADDRESS(INDEX($AJ$2:$AJ$1001,MATCH(ROWS($AH$2:AH504),$AH$2:$AH$1001,0),0), INDEX($AO$1004:$BQ$1004,1,MATCH(COLUMNS($AO$1006:BE1006),$AO$1006:$BQ$1006,0)))),"Fix")))</f>
        <v>#N/A</v>
      </c>
      <c r="S504" s="5" t="e">
        <f ca="1">IF(OR(INDEX($AI$2:$AI$1001,MATCH(ROWS($AH$2:AH504),$AH$2:$AH$1001,0),1)&gt;=100000,INDEX($AO$1005:$BQ$1005,1,MATCH(COLUMNS($AO$1006:BF1006),$AO$1006:$BQ$1006,0))&gt;=100000), " ",IF(INDEX($AO$2:$BQ$1001,MATCH(ROWS($AH$2:AH504),$AH$2:$AH$1001,0),MATCH(COLUMNS($AO$1006:BF1006),$AO$1006:$BQ$1006,0)), HYPERLINK("#",""), HYPERLINK(CONCATENATE("#Metadata!", ADDRESS(INDEX($AJ$2:$AJ$1001,MATCH(ROWS($AH$2:AH504),$AH$2:$AH$1001,0),0), INDEX($AO$1004:$BQ$1004,1,MATCH(COLUMNS($AO$1006:BF1006),$AO$1006:$BQ$1006,0)))),"Fix")))</f>
        <v>#N/A</v>
      </c>
      <c r="T504" s="5" t="e">
        <f ca="1">IF(OR(INDEX($AI$2:$AI$1001,MATCH(ROWS($AH$2:AH504),$AH$2:$AH$1001,0),1)&gt;=100000,INDEX($AO$1005:$BQ$1005,1,MATCH(COLUMNS($AO$1006:BG1006),$AO$1006:$BQ$1006,0))&gt;=100000), " ",IF(INDEX($AO$2:$BQ$1001,MATCH(ROWS($AH$2:AH504),$AH$2:$AH$1001,0),MATCH(COLUMNS($AO$1006:BG1006),$AO$1006:$BQ$1006,0)), HYPERLINK("#",""), HYPERLINK(CONCATENATE("#Metadata!", ADDRESS(INDEX($AJ$2:$AJ$1001,MATCH(ROWS($AH$2:AH504),$AH$2:$AH$1001,0),0), INDEX($AO$1004:$BQ$1004,1,MATCH(COLUMNS($AO$1006:BG1006),$AO$1006:$BQ$1006,0)))),"Fix")))</f>
        <v>#N/A</v>
      </c>
      <c r="U504" s="5" t="e">
        <f ca="1">IF(OR(INDEX($AI$2:$AI$1001,MATCH(ROWS($AH$2:AH504),$AH$2:$AH$1001,0),1)&gt;=100000,INDEX($AO$1005:$BQ$1005,1,MATCH(COLUMNS($AO$1006:BH1006),$AO$1006:$BQ$1006,0))&gt;=100000), " ",IF(INDEX($AO$2:$BQ$1001,MATCH(ROWS($AH$2:AH504),$AH$2:$AH$1001,0),MATCH(COLUMNS($AO$1006:BH1006),$AO$1006:$BQ$1006,0)), HYPERLINK("#",""), HYPERLINK(CONCATENATE("#Metadata!", ADDRESS(INDEX($AJ$2:$AJ$1001,MATCH(ROWS($AH$2:AH504),$AH$2:$AH$1001,0),0), INDEX($AO$1004:$BQ$1004,1,MATCH(COLUMNS($AO$1006:BH1006),$AO$1006:$BQ$1006,0)))),"Fix")))</f>
        <v>#N/A</v>
      </c>
      <c r="V504" s="5" t="e">
        <f ca="1">IF(OR(INDEX($AI$2:$AI$1001,MATCH(ROWS($AH$2:AH504),$AH$2:$AH$1001,0),1)&gt;=100000,INDEX($AO$1005:$BQ$1005,1,MATCH(COLUMNS($AO$1006:BI1006),$AO$1006:$BQ$1006,0))&gt;=100000), " ",IF(INDEX($AO$2:$BQ$1001,MATCH(ROWS($AH$2:AH504),$AH$2:$AH$1001,0),MATCH(COLUMNS($AO$1006:BI1006),$AO$1006:$BQ$1006,0)), HYPERLINK("#",""), HYPERLINK(CONCATENATE("#Metadata!", ADDRESS(INDEX($AJ$2:$AJ$1001,MATCH(ROWS($AH$2:AH504),$AH$2:$AH$1001,0),0), INDEX($AO$1004:$BQ$1004,1,MATCH(COLUMNS($AO$1006:BI1006),$AO$1006:$BQ$1006,0)))),"Fix")))</f>
        <v>#N/A</v>
      </c>
      <c r="W504" s="5" t="e">
        <f ca="1">IF(OR(INDEX($AI$2:$AI$1001,MATCH(ROWS($AH$2:AH504),$AH$2:$AH$1001,0),1)&gt;=100000,INDEX($AO$1005:$BQ$1005,1,MATCH(COLUMNS($AO$1006:BJ1006),$AO$1006:$BQ$1006,0))&gt;=100000), " ",IF(INDEX($AO$2:$BQ$1001,MATCH(ROWS($AH$2:AH504),$AH$2:$AH$1001,0),MATCH(COLUMNS($AO$1006:BJ1006),$AO$1006:$BQ$1006,0)), HYPERLINK("#",""), HYPERLINK(CONCATENATE("#Metadata!", ADDRESS(INDEX($AJ$2:$AJ$1001,MATCH(ROWS($AH$2:AH504),$AH$2:$AH$1001,0),0), INDEX($AO$1004:$BQ$1004,1,MATCH(COLUMNS($AO$1006:BJ1006),$AO$1006:$BQ$1006,0)))),"Fix")))</f>
        <v>#N/A</v>
      </c>
      <c r="X504" s="5" t="e">
        <f ca="1">IF(OR(INDEX($AI$2:$AI$1001,MATCH(ROWS($AH$2:AH504),$AH$2:$AH$1001,0),1)&gt;=100000,INDEX($AO$1005:$BQ$1005,1,MATCH(COLUMNS($AO$1006:BK1006),$AO$1006:$BQ$1006,0))&gt;=100000), " ",IF(INDEX($AO$2:$BQ$1001,MATCH(ROWS($AH$2:AH504),$AH$2:$AH$1001,0),MATCH(COLUMNS($AO$1006:BK1006),$AO$1006:$BQ$1006,0)), HYPERLINK("#",""), HYPERLINK(CONCATENATE("#Metadata!", ADDRESS(INDEX($AJ$2:$AJ$1001,MATCH(ROWS($AH$2:AH504),$AH$2:$AH$1001,0),0), INDEX($AO$1004:$BQ$1004,1,MATCH(COLUMNS($AO$1006:BK1006),$AO$1006:$BQ$1006,0)))),"Fix")))</f>
        <v>#N/A</v>
      </c>
      <c r="Y504" s="5" t="e">
        <f ca="1">IF(OR(INDEX($AI$2:$AI$1001,MATCH(ROWS($AH$2:AH504),$AH$2:$AH$1001,0),1)&gt;=100000,INDEX($AO$1005:$BQ$1005,1,MATCH(COLUMNS($AO$1006:BL1006),$AO$1006:$BQ$1006,0))&gt;=100000), " ",IF(INDEX($AO$2:$BQ$1001,MATCH(ROWS($AH$2:AH504),$AH$2:$AH$1001,0),MATCH(COLUMNS($AO$1006:BL1006),$AO$1006:$BQ$1006,0)), HYPERLINK("#",""), HYPERLINK(CONCATENATE("#Metadata!", ADDRESS(INDEX($AJ$2:$AJ$1001,MATCH(ROWS($AH$2:AH504),$AH$2:$AH$1001,0),0), INDEX($AO$1004:$BQ$1004,1,MATCH(COLUMNS($AO$1006:BL1006),$AO$1006:$BQ$1006,0)))),"Fix")))</f>
        <v>#N/A</v>
      </c>
      <c r="Z504" s="5" t="e">
        <f ca="1">IF(OR(INDEX($AI$2:$AI$1001,MATCH(ROWS($AH$2:AH504),$AH$2:$AH$1001,0),1)&gt;=100000,INDEX($AO$1005:$BQ$1005,1,MATCH(COLUMNS($AO$1006:BM1006),$AO$1006:$BQ$1006,0))&gt;=100000), " ",IF(INDEX($AO$2:$BQ$1001,MATCH(ROWS($AH$2:AH504),$AH$2:$AH$1001,0),MATCH(COLUMNS($AO$1006:BM1006),$AO$1006:$BQ$1006,0)), HYPERLINK("#",""), HYPERLINK(CONCATENATE("#Metadata!", ADDRESS(INDEX($AJ$2:$AJ$1001,MATCH(ROWS($AH$2:AH504),$AH$2:$AH$1001,0),0), INDEX($AO$1004:$BQ$1004,1,MATCH(COLUMNS($AO$1006:BM1006),$AO$1006:$BQ$1006,0)))),"Fix")))</f>
        <v>#N/A</v>
      </c>
      <c r="AA504" s="5" t="e">
        <f ca="1">IF(OR(INDEX($AI$2:$AI$1001,MATCH(ROWS($AH$2:AH504),$AH$2:$AH$1001,0),1)&gt;=100000,INDEX($AO$1005:$BQ$1005,1,MATCH(COLUMNS($AO$1006:BN1006),$AO$1006:$BQ$1006,0))&gt;=100000), " ",IF(INDEX($AO$2:$BQ$1001,MATCH(ROWS($AH$2:AH504),$AH$2:$AH$1001,0),MATCH(COLUMNS($AO$1006:BN1006),$AO$1006:$BQ$1006,0)), HYPERLINK("#",""), HYPERLINK(CONCATENATE("#Metadata!", ADDRESS(INDEX($AJ$2:$AJ$1001,MATCH(ROWS($AH$2:AH504),$AH$2:$AH$1001,0),0), INDEX($AO$1004:$BQ$1004,1,MATCH(COLUMNS($AO$1006:BN1006),$AO$1006:$BQ$1006,0)))),"Fix")))</f>
        <v>#N/A</v>
      </c>
      <c r="AB504" s="5" t="e">
        <f ca="1">IF(OR(INDEX($AI$2:$AI$1001,MATCH(ROWS($AH$2:AH504),$AH$2:$AH$1001,0),1)&gt;=100000,INDEX($AO$1005:$BQ$1005,1,MATCH(COLUMNS($AO$1006:BO1006),$AO$1006:$BQ$1006,0))&gt;=100000), " ",IF(INDEX($AO$2:$BQ$1001,MATCH(ROWS($AH$2:AH504),$AH$2:$AH$1001,0),MATCH(COLUMNS($AO$1006:BO1006),$AO$1006:$BQ$1006,0)), HYPERLINK("#",""), HYPERLINK(CONCATENATE("#Metadata!", ADDRESS(INDEX($AJ$2:$AJ$1001,MATCH(ROWS($AH$2:AH504),$AH$2:$AH$1001,0),0), INDEX($AO$1004:$BQ$1004,1,MATCH(COLUMNS($AO$1006:BO1006),$AO$1006:$BQ$1006,0)))),"Fix")))</f>
        <v>#N/A</v>
      </c>
      <c r="AC504" s="5" t="e">
        <f ca="1">IF(OR(INDEX($AI$2:$AI$1001,MATCH(ROWS($AH$2:AH504),$AH$2:$AH$1001,0),1)&gt;=100000,INDEX($AO$1005:$BQ$1005,1,MATCH(COLUMNS($AO$1006:BP1006),$AO$1006:$BQ$1006,0))&gt;=100000), " ",IF(INDEX($AO$2:$BQ$1001,MATCH(ROWS($AH$2:AH504),$AH$2:$AH$1001,0),MATCH(COLUMNS($AO$1006:BP1006),$AO$1006:$BQ$1006,0)), HYPERLINK("#",""), HYPERLINK(CONCATENATE("#Metadata!", ADDRESS(INDEX($AJ$2:$AJ$1001,MATCH(ROWS($AH$2:AH504),$AH$2:$AH$1001,0),0), INDEX($AO$1004:$BQ$1004,1,MATCH(COLUMNS($AO$1006:BP1006),$AO$1006:$BQ$1006,0)))),"Fix")))</f>
        <v>#N/A</v>
      </c>
      <c r="AD504" s="5" t="e">
        <f ca="1">IF(OR(INDEX($AI$2:$AI$1001,MATCH(ROWS($AH$2:AH504),$AH$2:$AH$1001,0),1)&gt;=100000,INDEX($AO$1005:$BQ$1005,1,MATCH(COLUMNS($AO$1006:BQ1006),$AO$1006:$BQ$1006,0))&gt;=100000), " ",IF(INDEX($AO$2:$BQ$1001,MATCH(ROWS($AH$2:AH504),$AH$2:$AH$1001,0),MATCH(COLUMNS($AO$1006:BQ1006),$AO$1006:$BQ$1006,0)), HYPERLINK("#",""), HYPERLINK(CONCATENATE("#Metadata!", ADDRESS(INDEX($AJ$2:$AJ$1001,MATCH(ROWS($AH$2:AH504),$AH$2:$AH$1001,0),0), INDEX($AO$1004:$BQ$1004,1,MATCH(COLUMNS($AO$1006:BQ1006),$AO$1006:$BQ$1006,0)))),"Fix")))</f>
        <v>#REF!</v>
      </c>
      <c r="AH504">
        <f ca="1"/>
        <v>501</v>
      </c>
      <c r="AI504">
        <v>100504</v>
      </c>
      <c r="AJ504">
        <v>504</v>
      </c>
      <c r="AK504" t="b">
        <f t="shared" si="7"/>
        <v>1</v>
      </c>
      <c r="AL504" t="b">
        <f>COUNTBLANK(Metadata!B504:AD504)=COLUMNS(Metadata!B504:AD504)</f>
        <v>1</v>
      </c>
      <c r="AM504" t="str">
        <v/>
      </c>
      <c r="AO504" t="b">
        <f ca="1">AND(IF(Metadata!B504="",FALSE,TRUE),COUNTIF(Metadata!B:B, Metadata!B504) = 1,NOT(ISERROR(SUMPRODUCT(SEARCH(MID(Metadata!B504,ROW(INDIRECT("1:"&amp;LEN(Metadata!B504))), 1),"0123456789abcdefghijklmnopqrstuvwxyzABCDEFGHIJKLMNOPQRSTUVWXYZ.")))))</f>
        <v>0</v>
      </c>
      <c r="AP504" t="b">
        <f>IF(Metadata!C504="",FALSE,TRUE)</f>
        <v>0</v>
      </c>
      <c r="AQ504" t="b">
        <f>IF(Metadata!D504="",FALSE,TRUE)</f>
        <v>0</v>
      </c>
      <c r="AR504" t="b">
        <f ca="1">OR(AND(IF(Metadata!E504="",FALSE,TRUE),OR(EXACT(Metadata!E504,"not collected"),EXACT(Metadata!E504,"not provided"),EXACT(Metadata!E504,"restricted access"))),AND(IF(Metadata!E504="",FALSE,TRUE),AND(AND(IFERROR(INT(LEFT(Metadata!E504,4))&gt;1900,FALSE),IFERROR(INT(LEFT(Metadata!E504,4))&lt;=YEAR(NOW()),FALSE)), OR(MID(Metadata!E504,5,1)="", AND(AND(MID(Metadata!E504,5,1)="-",IFERROR(INT(MID(Metadata!E504,6,1))&gt;=0,FALSE),IFERROR(INT(MID(Metadata!E504,6,1))&lt;=1,FALSE),NOT(MID(Metadata!E504,7,1)=""),IFERROR(INT(MID(Metadata!E504,6,2))&gt;=1,FALSE),IFERROR(INT(MID(Metadata!E504,6,2))&lt;=12,FALSE)), OR(MID(Metadata!E504,8,1)="", AND(AND(MID(Metadata!E504,8,1)="-",IFERROR(INT(MID(Metadata!E504,9,1))&gt;=0,FALSE),IFERROR(INT(MID(Metadata!E504,9,1))&lt;=3,FALSE),NOT(MID(Metadata!E504,10,1)=""),IFERROR(INT(MID(Metadata!E504,9,2))&gt;=1,FALSE),IFERROR(INT(MID(Metadata!E504,9,2))&lt;=31,FALSE)), OR(MID(Metadata!E504,11,1)="", AND(AND(MID(Metadata!E504,11,1)=" ",IFERROR(INT(MID(Metadata!E504,12,1))&gt;=0,FALSE),IFERROR(INT(MID(Metadata!E504,12,1))&lt;=2,FALSE),NOT(MID(Metadata!E504,13,1)=""),IFERROR(INT(MID(Metadata!E504,12,2))&gt;=0,FALSE),IFERROR(INT(MID(Metadata!E504,12,2))&lt;=23,FALSE)), OR(MID(Metadata!E504,14,1)="", AND(AND(MID(Metadata!E504,14,1)=":",IFERROR(INT(MID(Metadata!E504,15,1))&gt;=0,FALSE),IFERROR(INT(MID(Metadata!E504,15,1))&lt;=5,FALSE),NOT(MID(Metadata!E504,16,1)=""),IFERROR(INT(MID(Metadata!E504,15,2))&gt;=0,FALSE),IFERROR(INT(MID(Metadata!E504,15,2))&lt;=59,FALSE)), OR(MID(Metadata!E504,17,1)="", AND(AND(MID(Metadata!E504,17,1)=":",IFERROR(INT(MID(Metadata!E504,18,1))&gt;=0,FALSE),IFERROR(INT(MID(Metadata!E504,18,1))&lt;=5,FALSE),NOT(MID(Metadata!E504,19,1)=""),IFERROR(INT(MID(Metadata!E504,18,2))&gt;=0,FALSE),IFERROR(INT(MID(Metadata!E504,18,2))&lt;=59,FALSE)), LEN(Metadata!E504)&lt;=19)))))))))))))</f>
        <v>0</v>
      </c>
      <c r="AS504" t="b">
        <f>IF(Metadata!F504="",FALSE,TRUE)</f>
        <v>0</v>
      </c>
      <c r="AT504" t="b">
        <f>OR(AND(IF(Metadata!G504="",FALSE,TRUE),OR(EXACT(Metadata!G504,"not collected"),EXACT(Metadata!G504,"not provided"))),AND(IF(Metadata!G504="",FALSE,TRUE),OR(EXACT(Metadata!G504,"TRUE"),EXACT(Metadata!G504,"FALSE"))))</f>
        <v>0</v>
      </c>
      <c r="AU504" t="b">
        <f>OR(AND(IF(Metadata!H504="",FALSE,TRUE),OR(EXACT(Metadata!H504,"not collected"),EXACT(Metadata!H504,"not provided"),EXACT(Metadata!H504,"restricted access"))),AND(IF(Metadata!H504="",FALSE,ISNUMBER(VALUE(Metadata!H504))),Metadata!H504&gt;=-413))</f>
        <v>0</v>
      </c>
      <c r="AV504" t="b">
        <f>AND(IF(Metadata!I504="",FALSE,TRUE),EXACT(Metadata!I504,"meters"))</f>
        <v>0</v>
      </c>
      <c r="AW504" t="b">
        <f>AND(IF(Metadata!J504="",FALSE,TRUE),EXACT(Metadata!J504,"free-living"))</f>
        <v>0</v>
      </c>
      <c r="AX504" t="b">
        <f>AND(IF(Metadata!K504="",FALSE,TRUE),OR(EXACT(Metadata!K504,"saline"),EXACT(Metadata!K504,"non-saline")))</f>
        <v>0</v>
      </c>
      <c r="AY504" t="b">
        <f>AND(IF(Metadata!L504="",FALSE,TRUE),OR(EXACT(Metadata!L504,"sub-surface (non-saline)"),EXACT(Metadata!L504,"surface (non-saline)"),EXACT(Metadata!L504,"water (non-saline)"),EXACT(Metadata!L504,"soil (non-saline)"),EXACT(Metadata!L504,"aerosol (non-saline)"),EXACT(Metadata!L504,"sediment (non-saline)"),EXACT(Metadata!L504,"surface (saline)"),EXACT(Metadata!L504,"water (saline)"),EXACT(Metadata!L504,"hypersaline (saline)"),EXACT(Metadata!L504,"aerosol (saline)"),EXACT(Metadata!L504,"sediment (saline)")))</f>
        <v>0</v>
      </c>
      <c r="AZ504" t="b">
        <f>IF(Metadata!M504="",FALSE,TRUE)</f>
        <v>0</v>
      </c>
      <c r="BA504" t="b">
        <f>IF(Metadata!N504="",FALSE,TRUE)</f>
        <v>0</v>
      </c>
      <c r="BB504" t="b">
        <f>IF(Metadata!O504="",FALSE,TRUE)</f>
        <v>0</v>
      </c>
      <c r="BC504" t="b">
        <f>AND(IF(Metadata!P504="",FALSE,TRUE),OR(EXACT(Metadata!P504,"air"),EXACT(Metadata!P504,"microbial mat/biofilm"),EXACT(Metadata!P504,"misc environment"),EXACT(Metadata!P504,"sediment"),EXACT(Metadata!P504,"soil"),EXACT(Metadata!P504,"wastewater/sludge"),EXACT(Metadata!P504,"water")))</f>
        <v>0</v>
      </c>
      <c r="BD504" t="b">
        <f>IF(Metadata!Q504="",FALSE,TRUE)</f>
        <v>0</v>
      </c>
      <c r="BE504" t="b">
        <f>IF(Metadata!R504="",FALSE,TRUE)</f>
        <v>0</v>
      </c>
      <c r="BF504" t="b">
        <f>OR(AND(IF(Metadata!S504="",FALSE,TRUE),OR(EXACT(Metadata!S504,"not collected"),EXACT(Metadata!S504,"not provided"),EXACT(Metadata!S504,"restricted access"))),AND(IF(Metadata!S504="",FALSE,ISNUMBER(VALUE(Metadata!S504))),Metadata!S504&gt;=-90,Metadata!S504&lt;=90))</f>
        <v>0</v>
      </c>
      <c r="BG504" t="b">
        <f>AND(IF(Metadata!T504="",FALSE,TRUE),EXACT(Metadata!T504,"Decimal degrees"))</f>
        <v>0</v>
      </c>
      <c r="BH504" t="b">
        <f>OR(AND(IF(Metadata!U504="",FALSE,TRUE),OR(EXACT(Metadata!U504,"not applicable"),EXACT(Metadata!U504,"not collected"))),IF(Metadata!U504="",FALSE,TRUE))</f>
        <v>0</v>
      </c>
      <c r="BI504" t="b">
        <f>OR(AND(IF(Metadata!V504="",FALSE,TRUE),OR(EXACT(Metadata!V504,"not collected"),EXACT(Metadata!V504,"not provided"),EXACT(Metadata!V504,"restricted access"))),AND(IF(Metadata!V504="",FALSE,ISNUMBER(VALUE(Metadata!V504))),Metadata!V504&gt;=-180,Metadata!V504&lt;=180))</f>
        <v>0</v>
      </c>
      <c r="BJ504" t="b">
        <f>AND(IF(Metadata!W504="",FALSE,TRUE),EXACT(Metadata!W504,"Decimal degrees"))</f>
        <v>0</v>
      </c>
      <c r="BK504" t="b">
        <f>IF(Metadata!X504="",FALSE,TRUE)</f>
        <v>0</v>
      </c>
      <c r="BL504" t="b">
        <f>OR(AND(IF(Metadata!Y504="",FALSE,TRUE),OR(EXACT(Metadata!Y504,"not collected"),EXACT(Metadata!Y504,"not provided"),EXACT(Metadata!Y504,"restricted access"))),AND(IF(Metadata!Y504="",FALSE,TRUE),OR(EXACT(Metadata!Y504,"TRUE"),EXACT(Metadata!Y504,"FALSE"))))</f>
        <v>0</v>
      </c>
      <c r="BM504" t="b">
        <f>OR(AND(IF(Metadata!Z504="",FALSE,TRUE),EXACT(Metadata!Z504,"not applicable")),AND(IF(Metadata!Z504="",FALSE,TRUE),OR(EXACT(Metadata!Z504,"beer"),EXACT(Metadata!Z504,"cheese"),EXACT(Metadata!Z504,"fresh water"),EXACT(Metadata!Z504,"marine sediment"),EXACT(Metadata!Z504,"sea water"),EXACT(Metadata!Z504,"sediment"),EXACT(Metadata!Z504,"soil"),EXACT(Metadata!Z504,"waste water"))))</f>
        <v>0</v>
      </c>
      <c r="BN504" t="b">
        <f>AND(IF(Metadata!AA504="",FALSE,TRUE),EXACT(Metadata!AA504,"metagenome"))</f>
        <v>0</v>
      </c>
      <c r="BO504" t="b">
        <f>AND(IF(Metadata!AB504="",FALSE,TRUE),EXACT(Metadata!AB504,"256318"))</f>
        <v>0</v>
      </c>
      <c r="BP504" t="b">
        <f>IF(Metadata!AC504="",FALSE,TRUE)</f>
        <v>0</v>
      </c>
      <c r="BQ504" t="b">
        <f>IF(Metadata!AD504="",FALSE,TRUE)</f>
        <v>0</v>
      </c>
    </row>
    <row r="505" spans="1:69" x14ac:dyDescent="0.2">
      <c r="A505" s="4" t="e">
        <f ca="1">IF(B505=" "," ",HYPERLINK(CONCATENATE("#metadata!",ADDRESS(INDEX($AJ$2:$AJ$1001,MATCH(ROWS($AH$2:AH505),$AH$2:$AH$1001,0),0),2)),INDEX($AM$2:$AM$1001,MATCH(ROWS($AH$2:AH505),$AH$2:$AH$1001,0),0)))</f>
        <v>#N/A</v>
      </c>
      <c r="B505" s="5" t="e">
        <f ca="1">IF(OR(INDEX($AI$2:$AI$1001,MATCH(ROWS($AH$2:AH505),$AH$2:$AH$1001,0),1)&gt;=100000,INDEX($AO$1005:$BQ$1005,1,MATCH(COLUMNS($AO$1006:AO1006),$AO$1006:$BQ$1006,0))&gt;=100000), " ",IF(INDEX($AO$2:$BQ$1001,MATCH(ROWS($AH$2:AH505),$AH$2:$AH$1001,0),MATCH(COLUMNS($AO$1006:AO1006),$AO$1006:$BQ$1006,0)), HYPERLINK("#",""), HYPERLINK(CONCATENATE("#Metadata!", ADDRESS(INDEX($AJ$2:$AJ$1001,MATCH(ROWS($AH$2:AH505),$AH$2:$AH$1001,0),0), INDEX($AO$1004:$BQ$1004,1,MATCH(COLUMNS($AO$1006:AO1006),$AO$1006:$BQ$1006,0)))),"Fix")))</f>
        <v>#N/A</v>
      </c>
      <c r="C505" s="5" t="e">
        <f ca="1">IF(OR(INDEX($AI$2:$AI$1001,MATCH(ROWS($AH$2:AH505),$AH$2:$AH$1001,0),1)&gt;=100000,INDEX($AO$1005:$BQ$1005,1,MATCH(COLUMNS($AO$1006:AP1006),$AO$1006:$BQ$1006,0))&gt;=100000), " ",IF(INDEX($AO$2:$BQ$1001,MATCH(ROWS($AH$2:AH505),$AH$2:$AH$1001,0),MATCH(COLUMNS($AO$1006:AP1006),$AO$1006:$BQ$1006,0)), HYPERLINK("#",""), HYPERLINK(CONCATENATE("#Metadata!", ADDRESS(INDEX($AJ$2:$AJ$1001,MATCH(ROWS($AH$2:AH505),$AH$2:$AH$1001,0),0), INDEX($AO$1004:$BQ$1004,1,MATCH(COLUMNS($AO$1006:AP1006),$AO$1006:$BQ$1006,0)))),"Fix")))</f>
        <v>#N/A</v>
      </c>
      <c r="D505" s="5" t="e">
        <f ca="1">IF(OR(INDEX($AI$2:$AI$1001,MATCH(ROWS($AH$2:AH505),$AH$2:$AH$1001,0),1)&gt;=100000,INDEX($AO$1005:$BQ$1005,1,MATCH(COLUMNS($AO$1006:AQ1006),$AO$1006:$BQ$1006,0))&gt;=100000), " ",IF(INDEX($AO$2:$BQ$1001,MATCH(ROWS($AH$2:AH505),$AH$2:$AH$1001,0),MATCH(COLUMNS($AO$1006:AQ1006),$AO$1006:$BQ$1006,0)), HYPERLINK("#",""), HYPERLINK(CONCATENATE("#Metadata!", ADDRESS(INDEX($AJ$2:$AJ$1001,MATCH(ROWS($AH$2:AH505),$AH$2:$AH$1001,0),0), INDEX($AO$1004:$BQ$1004,1,MATCH(COLUMNS($AO$1006:AQ1006),$AO$1006:$BQ$1006,0)))),"Fix")))</f>
        <v>#N/A</v>
      </c>
      <c r="E505" s="5" t="e">
        <f ca="1">IF(OR(INDEX($AI$2:$AI$1001,MATCH(ROWS($AH$2:AH505),$AH$2:$AH$1001,0),1)&gt;=100000,INDEX($AO$1005:$BQ$1005,1,MATCH(COLUMNS($AO$1006:AR1006),$AO$1006:$BQ$1006,0))&gt;=100000), " ",IF(INDEX($AO$2:$BQ$1001,MATCH(ROWS($AH$2:AH505),$AH$2:$AH$1001,0),MATCH(COLUMNS($AO$1006:AR1006),$AO$1006:$BQ$1006,0)), HYPERLINK("#",""), HYPERLINK(CONCATENATE("#Metadata!", ADDRESS(INDEX($AJ$2:$AJ$1001,MATCH(ROWS($AH$2:AH505),$AH$2:$AH$1001,0),0), INDEX($AO$1004:$BQ$1004,1,MATCH(COLUMNS($AO$1006:AR1006),$AO$1006:$BQ$1006,0)))),"Fix")))</f>
        <v>#N/A</v>
      </c>
      <c r="F505" s="5" t="e">
        <f ca="1">IF(OR(INDEX($AI$2:$AI$1001,MATCH(ROWS($AH$2:AH505),$AH$2:$AH$1001,0),1)&gt;=100000,INDEX($AO$1005:$BQ$1005,1,MATCH(COLUMNS($AO$1006:AS1006),$AO$1006:$BQ$1006,0))&gt;=100000), " ",IF(INDEX($AO$2:$BQ$1001,MATCH(ROWS($AH$2:AH505),$AH$2:$AH$1001,0),MATCH(COLUMNS($AO$1006:AS1006),$AO$1006:$BQ$1006,0)), HYPERLINK("#",""), HYPERLINK(CONCATENATE("#Metadata!", ADDRESS(INDEX($AJ$2:$AJ$1001,MATCH(ROWS($AH$2:AH505),$AH$2:$AH$1001,0),0), INDEX($AO$1004:$BQ$1004,1,MATCH(COLUMNS($AO$1006:AS1006),$AO$1006:$BQ$1006,0)))),"Fix")))</f>
        <v>#N/A</v>
      </c>
      <c r="G505" s="5" t="e">
        <f ca="1">IF(OR(INDEX($AI$2:$AI$1001,MATCH(ROWS($AH$2:AH505),$AH$2:$AH$1001,0),1)&gt;=100000,INDEX($AO$1005:$BQ$1005,1,MATCH(COLUMNS($AO$1006:AT1006),$AO$1006:$BQ$1006,0))&gt;=100000), " ",IF(INDEX($AO$2:$BQ$1001,MATCH(ROWS($AH$2:AH505),$AH$2:$AH$1001,0),MATCH(COLUMNS($AO$1006:AT1006),$AO$1006:$BQ$1006,0)), HYPERLINK("#",""), HYPERLINK(CONCATENATE("#Metadata!", ADDRESS(INDEX($AJ$2:$AJ$1001,MATCH(ROWS($AH$2:AH505),$AH$2:$AH$1001,0),0), INDEX($AO$1004:$BQ$1004,1,MATCH(COLUMNS($AO$1006:AT1006),$AO$1006:$BQ$1006,0)))),"Fix")))</f>
        <v>#N/A</v>
      </c>
      <c r="H505" s="5" t="e">
        <f ca="1">IF(OR(INDEX($AI$2:$AI$1001,MATCH(ROWS($AH$2:AH505),$AH$2:$AH$1001,0),1)&gt;=100000,INDEX($AO$1005:$BQ$1005,1,MATCH(COLUMNS($AO$1006:AU1006),$AO$1006:$BQ$1006,0))&gt;=100000), " ",IF(INDEX($AO$2:$BQ$1001,MATCH(ROWS($AH$2:AH505),$AH$2:$AH$1001,0),MATCH(COLUMNS($AO$1006:AU1006),$AO$1006:$BQ$1006,0)), HYPERLINK("#",""), HYPERLINK(CONCATENATE("#Metadata!", ADDRESS(INDEX($AJ$2:$AJ$1001,MATCH(ROWS($AH$2:AH505),$AH$2:$AH$1001,0),0), INDEX($AO$1004:$BQ$1004,1,MATCH(COLUMNS($AO$1006:AU1006),$AO$1006:$BQ$1006,0)))),"Fix")))</f>
        <v>#N/A</v>
      </c>
      <c r="I505" s="5" t="e">
        <f ca="1">IF(OR(INDEX($AI$2:$AI$1001,MATCH(ROWS($AH$2:AH505),$AH$2:$AH$1001,0),1)&gt;=100000,INDEX($AO$1005:$BQ$1005,1,MATCH(COLUMNS($AO$1006:AV1006),$AO$1006:$BQ$1006,0))&gt;=100000), " ",IF(INDEX($AO$2:$BQ$1001,MATCH(ROWS($AH$2:AH505),$AH$2:$AH$1001,0),MATCH(COLUMNS($AO$1006:AV1006),$AO$1006:$BQ$1006,0)), HYPERLINK("#",""), HYPERLINK(CONCATENATE("#Metadata!", ADDRESS(INDEX($AJ$2:$AJ$1001,MATCH(ROWS($AH$2:AH505),$AH$2:$AH$1001,0),0), INDEX($AO$1004:$BQ$1004,1,MATCH(COLUMNS($AO$1006:AV1006),$AO$1006:$BQ$1006,0)))),"Fix")))</f>
        <v>#N/A</v>
      </c>
      <c r="J505" s="5" t="e">
        <f ca="1">IF(OR(INDEX($AI$2:$AI$1001,MATCH(ROWS($AH$2:AH505),$AH$2:$AH$1001,0),1)&gt;=100000,INDEX($AO$1005:$BQ$1005,1,MATCH(COLUMNS($AO$1006:AW1006),$AO$1006:$BQ$1006,0))&gt;=100000), " ",IF(INDEX($AO$2:$BQ$1001,MATCH(ROWS($AH$2:AH505),$AH$2:$AH$1001,0),MATCH(COLUMNS($AO$1006:AW1006),$AO$1006:$BQ$1006,0)), HYPERLINK("#",""), HYPERLINK(CONCATENATE("#Metadata!", ADDRESS(INDEX($AJ$2:$AJ$1001,MATCH(ROWS($AH$2:AH505),$AH$2:$AH$1001,0),0), INDEX($AO$1004:$BQ$1004,1,MATCH(COLUMNS($AO$1006:AW1006),$AO$1006:$BQ$1006,0)))),"Fix")))</f>
        <v>#N/A</v>
      </c>
      <c r="K505" s="5" t="e">
        <f ca="1">IF(OR(INDEX($AI$2:$AI$1001,MATCH(ROWS($AH$2:AH505),$AH$2:$AH$1001,0),1)&gt;=100000,INDEX($AO$1005:$BQ$1005,1,MATCH(COLUMNS($AO$1006:AX1006),$AO$1006:$BQ$1006,0))&gt;=100000), " ",IF(INDEX($AO$2:$BQ$1001,MATCH(ROWS($AH$2:AH505),$AH$2:$AH$1001,0),MATCH(COLUMNS($AO$1006:AX1006),$AO$1006:$BQ$1006,0)), HYPERLINK("#",""), HYPERLINK(CONCATENATE("#Metadata!", ADDRESS(INDEX($AJ$2:$AJ$1001,MATCH(ROWS($AH$2:AH505),$AH$2:$AH$1001,0),0), INDEX($AO$1004:$BQ$1004,1,MATCH(COLUMNS($AO$1006:AX1006),$AO$1006:$BQ$1006,0)))),"Fix")))</f>
        <v>#N/A</v>
      </c>
      <c r="L505" s="5" t="e">
        <f ca="1">IF(OR(INDEX($AI$2:$AI$1001,MATCH(ROWS($AH$2:AH505),$AH$2:$AH$1001,0),1)&gt;=100000,INDEX($AO$1005:$BQ$1005,1,MATCH(COLUMNS($AO$1006:AY1006),$AO$1006:$BQ$1006,0))&gt;=100000), " ",IF(INDEX($AO$2:$BQ$1001,MATCH(ROWS($AH$2:AH505),$AH$2:$AH$1001,0),MATCH(COLUMNS($AO$1006:AY1006),$AO$1006:$BQ$1006,0)), HYPERLINK("#",""), HYPERLINK(CONCATENATE("#Metadata!", ADDRESS(INDEX($AJ$2:$AJ$1001,MATCH(ROWS($AH$2:AH505),$AH$2:$AH$1001,0),0), INDEX($AO$1004:$BQ$1004,1,MATCH(COLUMNS($AO$1006:AY1006),$AO$1006:$BQ$1006,0)))),"Fix")))</f>
        <v>#N/A</v>
      </c>
      <c r="M505" s="5" t="e">
        <f ca="1">IF(OR(INDEX($AI$2:$AI$1001,MATCH(ROWS($AH$2:AH505),$AH$2:$AH$1001,0),1)&gt;=100000,INDEX($AO$1005:$BQ$1005,1,MATCH(COLUMNS($AO$1006:AZ1006),$AO$1006:$BQ$1006,0))&gt;=100000), " ",IF(INDEX($AO$2:$BQ$1001,MATCH(ROWS($AH$2:AH505),$AH$2:$AH$1001,0),MATCH(COLUMNS($AO$1006:AZ1006),$AO$1006:$BQ$1006,0)), HYPERLINK("#",""), HYPERLINK(CONCATENATE("#Metadata!", ADDRESS(INDEX($AJ$2:$AJ$1001,MATCH(ROWS($AH$2:AH505),$AH$2:$AH$1001,0),0), INDEX($AO$1004:$BQ$1004,1,MATCH(COLUMNS($AO$1006:AZ1006),$AO$1006:$BQ$1006,0)))),"Fix")))</f>
        <v>#N/A</v>
      </c>
      <c r="N505" s="5" t="e">
        <f ca="1">IF(OR(INDEX($AI$2:$AI$1001,MATCH(ROWS($AH$2:AH505),$AH$2:$AH$1001,0),1)&gt;=100000,INDEX($AO$1005:$BQ$1005,1,MATCH(COLUMNS($AO$1006:BA1006),$AO$1006:$BQ$1006,0))&gt;=100000), " ",IF(INDEX($AO$2:$BQ$1001,MATCH(ROWS($AH$2:AH505),$AH$2:$AH$1001,0),MATCH(COLUMNS($AO$1006:BA1006),$AO$1006:$BQ$1006,0)), HYPERLINK("#",""), HYPERLINK(CONCATENATE("#Metadata!", ADDRESS(INDEX($AJ$2:$AJ$1001,MATCH(ROWS($AH$2:AH505),$AH$2:$AH$1001,0),0), INDEX($AO$1004:$BQ$1004,1,MATCH(COLUMNS($AO$1006:BA1006),$AO$1006:$BQ$1006,0)))),"Fix")))</f>
        <v>#N/A</v>
      </c>
      <c r="O505" s="5" t="e">
        <f ca="1">IF(OR(INDEX($AI$2:$AI$1001,MATCH(ROWS($AH$2:AH505),$AH$2:$AH$1001,0),1)&gt;=100000,INDEX($AO$1005:$BQ$1005,1,MATCH(COLUMNS($AO$1006:BB1006),$AO$1006:$BQ$1006,0))&gt;=100000), " ",IF(INDEX($AO$2:$BQ$1001,MATCH(ROWS($AH$2:AH505),$AH$2:$AH$1001,0),MATCH(COLUMNS($AO$1006:BB1006),$AO$1006:$BQ$1006,0)), HYPERLINK("#",""), HYPERLINK(CONCATENATE("#Metadata!", ADDRESS(INDEX($AJ$2:$AJ$1001,MATCH(ROWS($AH$2:AH505),$AH$2:$AH$1001,0),0), INDEX($AO$1004:$BQ$1004,1,MATCH(COLUMNS($AO$1006:BB1006),$AO$1006:$BQ$1006,0)))),"Fix")))</f>
        <v>#N/A</v>
      </c>
      <c r="P505" s="5" t="e">
        <f ca="1">IF(OR(INDEX($AI$2:$AI$1001,MATCH(ROWS($AH$2:AH505),$AH$2:$AH$1001,0),1)&gt;=100000,INDEX($AO$1005:$BQ$1005,1,MATCH(COLUMNS($AO$1006:BC1006),$AO$1006:$BQ$1006,0))&gt;=100000), " ",IF(INDEX($AO$2:$BQ$1001,MATCH(ROWS($AH$2:AH505),$AH$2:$AH$1001,0),MATCH(COLUMNS($AO$1006:BC1006),$AO$1006:$BQ$1006,0)), HYPERLINK("#",""), HYPERLINK(CONCATENATE("#Metadata!", ADDRESS(INDEX($AJ$2:$AJ$1001,MATCH(ROWS($AH$2:AH505),$AH$2:$AH$1001,0),0), INDEX($AO$1004:$BQ$1004,1,MATCH(COLUMNS($AO$1006:BC1006),$AO$1006:$BQ$1006,0)))),"Fix")))</f>
        <v>#N/A</v>
      </c>
      <c r="Q505" s="5" t="e">
        <f ca="1">IF(OR(INDEX($AI$2:$AI$1001,MATCH(ROWS($AH$2:AH505),$AH$2:$AH$1001,0),1)&gt;=100000,INDEX($AO$1005:$BQ$1005,1,MATCH(COLUMNS($AO$1006:BD1006),$AO$1006:$BQ$1006,0))&gt;=100000), " ",IF(INDEX($AO$2:$BQ$1001,MATCH(ROWS($AH$2:AH505),$AH$2:$AH$1001,0),MATCH(COLUMNS($AO$1006:BD1006),$AO$1006:$BQ$1006,0)), HYPERLINK("#",""), HYPERLINK(CONCATENATE("#Metadata!", ADDRESS(INDEX($AJ$2:$AJ$1001,MATCH(ROWS($AH$2:AH505),$AH$2:$AH$1001,0),0), INDEX($AO$1004:$BQ$1004,1,MATCH(COLUMNS($AO$1006:BD1006),$AO$1006:$BQ$1006,0)))),"Fix")))</f>
        <v>#N/A</v>
      </c>
      <c r="R505" s="5" t="e">
        <f ca="1">IF(OR(INDEX($AI$2:$AI$1001,MATCH(ROWS($AH$2:AH505),$AH$2:$AH$1001,0),1)&gt;=100000,INDEX($AO$1005:$BQ$1005,1,MATCH(COLUMNS($AO$1006:BE1006),$AO$1006:$BQ$1006,0))&gt;=100000), " ",IF(INDEX($AO$2:$BQ$1001,MATCH(ROWS($AH$2:AH505),$AH$2:$AH$1001,0),MATCH(COLUMNS($AO$1006:BE1006),$AO$1006:$BQ$1006,0)), HYPERLINK("#",""), HYPERLINK(CONCATENATE("#Metadata!", ADDRESS(INDEX($AJ$2:$AJ$1001,MATCH(ROWS($AH$2:AH505),$AH$2:$AH$1001,0),0), INDEX($AO$1004:$BQ$1004,1,MATCH(COLUMNS($AO$1006:BE1006),$AO$1006:$BQ$1006,0)))),"Fix")))</f>
        <v>#N/A</v>
      </c>
      <c r="S505" s="5" t="e">
        <f ca="1">IF(OR(INDEX($AI$2:$AI$1001,MATCH(ROWS($AH$2:AH505),$AH$2:$AH$1001,0),1)&gt;=100000,INDEX($AO$1005:$BQ$1005,1,MATCH(COLUMNS($AO$1006:BF1006),$AO$1006:$BQ$1006,0))&gt;=100000), " ",IF(INDEX($AO$2:$BQ$1001,MATCH(ROWS($AH$2:AH505),$AH$2:$AH$1001,0),MATCH(COLUMNS($AO$1006:BF1006),$AO$1006:$BQ$1006,0)), HYPERLINK("#",""), HYPERLINK(CONCATENATE("#Metadata!", ADDRESS(INDEX($AJ$2:$AJ$1001,MATCH(ROWS($AH$2:AH505),$AH$2:$AH$1001,0),0), INDEX($AO$1004:$BQ$1004,1,MATCH(COLUMNS($AO$1006:BF1006),$AO$1006:$BQ$1006,0)))),"Fix")))</f>
        <v>#N/A</v>
      </c>
      <c r="T505" s="5" t="e">
        <f ca="1">IF(OR(INDEX($AI$2:$AI$1001,MATCH(ROWS($AH$2:AH505),$AH$2:$AH$1001,0),1)&gt;=100000,INDEX($AO$1005:$BQ$1005,1,MATCH(COLUMNS($AO$1006:BG1006),$AO$1006:$BQ$1006,0))&gt;=100000), " ",IF(INDEX($AO$2:$BQ$1001,MATCH(ROWS($AH$2:AH505),$AH$2:$AH$1001,0),MATCH(COLUMNS($AO$1006:BG1006),$AO$1006:$BQ$1006,0)), HYPERLINK("#",""), HYPERLINK(CONCATENATE("#Metadata!", ADDRESS(INDEX($AJ$2:$AJ$1001,MATCH(ROWS($AH$2:AH505),$AH$2:$AH$1001,0),0), INDEX($AO$1004:$BQ$1004,1,MATCH(COLUMNS($AO$1006:BG1006),$AO$1006:$BQ$1006,0)))),"Fix")))</f>
        <v>#N/A</v>
      </c>
      <c r="U505" s="5" t="e">
        <f ca="1">IF(OR(INDEX($AI$2:$AI$1001,MATCH(ROWS($AH$2:AH505),$AH$2:$AH$1001,0),1)&gt;=100000,INDEX($AO$1005:$BQ$1005,1,MATCH(COLUMNS($AO$1006:BH1006),$AO$1006:$BQ$1006,0))&gt;=100000), " ",IF(INDEX($AO$2:$BQ$1001,MATCH(ROWS($AH$2:AH505),$AH$2:$AH$1001,0),MATCH(COLUMNS($AO$1006:BH1006),$AO$1006:$BQ$1006,0)), HYPERLINK("#",""), HYPERLINK(CONCATENATE("#Metadata!", ADDRESS(INDEX($AJ$2:$AJ$1001,MATCH(ROWS($AH$2:AH505),$AH$2:$AH$1001,0),0), INDEX($AO$1004:$BQ$1004,1,MATCH(COLUMNS($AO$1006:BH1006),$AO$1006:$BQ$1006,0)))),"Fix")))</f>
        <v>#N/A</v>
      </c>
      <c r="V505" s="5" t="e">
        <f ca="1">IF(OR(INDEX($AI$2:$AI$1001,MATCH(ROWS($AH$2:AH505),$AH$2:$AH$1001,0),1)&gt;=100000,INDEX($AO$1005:$BQ$1005,1,MATCH(COLUMNS($AO$1006:BI1006),$AO$1006:$BQ$1006,0))&gt;=100000), " ",IF(INDEX($AO$2:$BQ$1001,MATCH(ROWS($AH$2:AH505),$AH$2:$AH$1001,0),MATCH(COLUMNS($AO$1006:BI1006),$AO$1006:$BQ$1006,0)), HYPERLINK("#",""), HYPERLINK(CONCATENATE("#Metadata!", ADDRESS(INDEX($AJ$2:$AJ$1001,MATCH(ROWS($AH$2:AH505),$AH$2:$AH$1001,0),0), INDEX($AO$1004:$BQ$1004,1,MATCH(COLUMNS($AO$1006:BI1006),$AO$1006:$BQ$1006,0)))),"Fix")))</f>
        <v>#N/A</v>
      </c>
      <c r="W505" s="5" t="e">
        <f ca="1">IF(OR(INDEX($AI$2:$AI$1001,MATCH(ROWS($AH$2:AH505),$AH$2:$AH$1001,0),1)&gt;=100000,INDEX($AO$1005:$BQ$1005,1,MATCH(COLUMNS($AO$1006:BJ1006),$AO$1006:$BQ$1006,0))&gt;=100000), " ",IF(INDEX($AO$2:$BQ$1001,MATCH(ROWS($AH$2:AH505),$AH$2:$AH$1001,0),MATCH(COLUMNS($AO$1006:BJ1006),$AO$1006:$BQ$1006,0)), HYPERLINK("#",""), HYPERLINK(CONCATENATE("#Metadata!", ADDRESS(INDEX($AJ$2:$AJ$1001,MATCH(ROWS($AH$2:AH505),$AH$2:$AH$1001,0),0), INDEX($AO$1004:$BQ$1004,1,MATCH(COLUMNS($AO$1006:BJ1006),$AO$1006:$BQ$1006,0)))),"Fix")))</f>
        <v>#N/A</v>
      </c>
      <c r="X505" s="5" t="e">
        <f ca="1">IF(OR(INDEX($AI$2:$AI$1001,MATCH(ROWS($AH$2:AH505),$AH$2:$AH$1001,0),1)&gt;=100000,INDEX($AO$1005:$BQ$1005,1,MATCH(COLUMNS($AO$1006:BK1006),$AO$1006:$BQ$1006,0))&gt;=100000), " ",IF(INDEX($AO$2:$BQ$1001,MATCH(ROWS($AH$2:AH505),$AH$2:$AH$1001,0),MATCH(COLUMNS($AO$1006:BK1006),$AO$1006:$BQ$1006,0)), HYPERLINK("#",""), HYPERLINK(CONCATENATE("#Metadata!", ADDRESS(INDEX($AJ$2:$AJ$1001,MATCH(ROWS($AH$2:AH505),$AH$2:$AH$1001,0),0), INDEX($AO$1004:$BQ$1004,1,MATCH(COLUMNS($AO$1006:BK1006),$AO$1006:$BQ$1006,0)))),"Fix")))</f>
        <v>#N/A</v>
      </c>
      <c r="Y505" s="5" t="e">
        <f ca="1">IF(OR(INDEX($AI$2:$AI$1001,MATCH(ROWS($AH$2:AH505),$AH$2:$AH$1001,0),1)&gt;=100000,INDEX($AO$1005:$BQ$1005,1,MATCH(COLUMNS($AO$1006:BL1006),$AO$1006:$BQ$1006,0))&gt;=100000), " ",IF(INDEX($AO$2:$BQ$1001,MATCH(ROWS($AH$2:AH505),$AH$2:$AH$1001,0),MATCH(COLUMNS($AO$1006:BL1006),$AO$1006:$BQ$1006,0)), HYPERLINK("#",""), HYPERLINK(CONCATENATE("#Metadata!", ADDRESS(INDEX($AJ$2:$AJ$1001,MATCH(ROWS($AH$2:AH505),$AH$2:$AH$1001,0),0), INDEX($AO$1004:$BQ$1004,1,MATCH(COLUMNS($AO$1006:BL1006),$AO$1006:$BQ$1006,0)))),"Fix")))</f>
        <v>#N/A</v>
      </c>
      <c r="Z505" s="5" t="e">
        <f ca="1">IF(OR(INDEX($AI$2:$AI$1001,MATCH(ROWS($AH$2:AH505),$AH$2:$AH$1001,0),1)&gt;=100000,INDEX($AO$1005:$BQ$1005,1,MATCH(COLUMNS($AO$1006:BM1006),$AO$1006:$BQ$1006,0))&gt;=100000), " ",IF(INDEX($AO$2:$BQ$1001,MATCH(ROWS($AH$2:AH505),$AH$2:$AH$1001,0),MATCH(COLUMNS($AO$1006:BM1006),$AO$1006:$BQ$1006,0)), HYPERLINK("#",""), HYPERLINK(CONCATENATE("#Metadata!", ADDRESS(INDEX($AJ$2:$AJ$1001,MATCH(ROWS($AH$2:AH505),$AH$2:$AH$1001,0),0), INDEX($AO$1004:$BQ$1004,1,MATCH(COLUMNS($AO$1006:BM1006),$AO$1006:$BQ$1006,0)))),"Fix")))</f>
        <v>#N/A</v>
      </c>
      <c r="AA505" s="5" t="e">
        <f ca="1">IF(OR(INDEX($AI$2:$AI$1001,MATCH(ROWS($AH$2:AH505),$AH$2:$AH$1001,0),1)&gt;=100000,INDEX($AO$1005:$BQ$1005,1,MATCH(COLUMNS($AO$1006:BN1006),$AO$1006:$BQ$1006,0))&gt;=100000), " ",IF(INDEX($AO$2:$BQ$1001,MATCH(ROWS($AH$2:AH505),$AH$2:$AH$1001,0),MATCH(COLUMNS($AO$1006:BN1006),$AO$1006:$BQ$1006,0)), HYPERLINK("#",""), HYPERLINK(CONCATENATE("#Metadata!", ADDRESS(INDEX($AJ$2:$AJ$1001,MATCH(ROWS($AH$2:AH505),$AH$2:$AH$1001,0),0), INDEX($AO$1004:$BQ$1004,1,MATCH(COLUMNS($AO$1006:BN1006),$AO$1006:$BQ$1006,0)))),"Fix")))</f>
        <v>#N/A</v>
      </c>
      <c r="AB505" s="5" t="e">
        <f ca="1">IF(OR(INDEX($AI$2:$AI$1001,MATCH(ROWS($AH$2:AH505),$AH$2:$AH$1001,0),1)&gt;=100000,INDEX($AO$1005:$BQ$1005,1,MATCH(COLUMNS($AO$1006:BO1006),$AO$1006:$BQ$1006,0))&gt;=100000), " ",IF(INDEX($AO$2:$BQ$1001,MATCH(ROWS($AH$2:AH505),$AH$2:$AH$1001,0),MATCH(COLUMNS($AO$1006:BO1006),$AO$1006:$BQ$1006,0)), HYPERLINK("#",""), HYPERLINK(CONCATENATE("#Metadata!", ADDRESS(INDEX($AJ$2:$AJ$1001,MATCH(ROWS($AH$2:AH505),$AH$2:$AH$1001,0),0), INDEX($AO$1004:$BQ$1004,1,MATCH(COLUMNS($AO$1006:BO1006),$AO$1006:$BQ$1006,0)))),"Fix")))</f>
        <v>#N/A</v>
      </c>
      <c r="AC505" s="5" t="e">
        <f ca="1">IF(OR(INDEX($AI$2:$AI$1001,MATCH(ROWS($AH$2:AH505),$AH$2:$AH$1001,0),1)&gt;=100000,INDEX($AO$1005:$BQ$1005,1,MATCH(COLUMNS($AO$1006:BP1006),$AO$1006:$BQ$1006,0))&gt;=100000), " ",IF(INDEX($AO$2:$BQ$1001,MATCH(ROWS($AH$2:AH505),$AH$2:$AH$1001,0),MATCH(COLUMNS($AO$1006:BP1006),$AO$1006:$BQ$1006,0)), HYPERLINK("#",""), HYPERLINK(CONCATENATE("#Metadata!", ADDRESS(INDEX($AJ$2:$AJ$1001,MATCH(ROWS($AH$2:AH505),$AH$2:$AH$1001,0),0), INDEX($AO$1004:$BQ$1004,1,MATCH(COLUMNS($AO$1006:BP1006),$AO$1006:$BQ$1006,0)))),"Fix")))</f>
        <v>#N/A</v>
      </c>
      <c r="AD505" s="5" t="e">
        <f ca="1">IF(OR(INDEX($AI$2:$AI$1001,MATCH(ROWS($AH$2:AH505),$AH$2:$AH$1001,0),1)&gt;=100000,INDEX($AO$1005:$BQ$1005,1,MATCH(COLUMNS($AO$1006:BQ1006),$AO$1006:$BQ$1006,0))&gt;=100000), " ",IF(INDEX($AO$2:$BQ$1001,MATCH(ROWS($AH$2:AH505),$AH$2:$AH$1001,0),MATCH(COLUMNS($AO$1006:BQ1006),$AO$1006:$BQ$1006,0)), HYPERLINK("#",""), HYPERLINK(CONCATENATE("#Metadata!", ADDRESS(INDEX($AJ$2:$AJ$1001,MATCH(ROWS($AH$2:AH505),$AH$2:$AH$1001,0),0), INDEX($AO$1004:$BQ$1004,1,MATCH(COLUMNS($AO$1006:BQ1006),$AO$1006:$BQ$1006,0)))),"Fix")))</f>
        <v>#REF!</v>
      </c>
      <c r="AH505">
        <f ca="1"/>
        <v>502</v>
      </c>
      <c r="AI505">
        <v>100505</v>
      </c>
      <c r="AJ505">
        <v>505</v>
      </c>
      <c r="AK505" t="b">
        <f t="shared" si="7"/>
        <v>1</v>
      </c>
      <c r="AL505" t="b">
        <f>COUNTBLANK(Metadata!B505:AD505)=COLUMNS(Metadata!B505:AD505)</f>
        <v>1</v>
      </c>
      <c r="AM505" t="str">
        <v/>
      </c>
      <c r="AO505" t="b">
        <f ca="1">AND(IF(Metadata!B505="",FALSE,TRUE),COUNTIF(Metadata!B:B, Metadata!B505) = 1,NOT(ISERROR(SUMPRODUCT(SEARCH(MID(Metadata!B505,ROW(INDIRECT("1:"&amp;LEN(Metadata!B505))), 1),"0123456789abcdefghijklmnopqrstuvwxyzABCDEFGHIJKLMNOPQRSTUVWXYZ.")))))</f>
        <v>0</v>
      </c>
      <c r="AP505" t="b">
        <f>IF(Metadata!C505="",FALSE,TRUE)</f>
        <v>0</v>
      </c>
      <c r="AQ505" t="b">
        <f>IF(Metadata!D505="",FALSE,TRUE)</f>
        <v>0</v>
      </c>
      <c r="AR505" t="b">
        <f ca="1">OR(AND(IF(Metadata!E505="",FALSE,TRUE),OR(EXACT(Metadata!E505,"not collected"),EXACT(Metadata!E505,"not provided"),EXACT(Metadata!E505,"restricted access"))),AND(IF(Metadata!E505="",FALSE,TRUE),AND(AND(IFERROR(INT(LEFT(Metadata!E505,4))&gt;1900,FALSE),IFERROR(INT(LEFT(Metadata!E505,4))&lt;=YEAR(NOW()),FALSE)), OR(MID(Metadata!E505,5,1)="", AND(AND(MID(Metadata!E505,5,1)="-",IFERROR(INT(MID(Metadata!E505,6,1))&gt;=0,FALSE),IFERROR(INT(MID(Metadata!E505,6,1))&lt;=1,FALSE),NOT(MID(Metadata!E505,7,1)=""),IFERROR(INT(MID(Metadata!E505,6,2))&gt;=1,FALSE),IFERROR(INT(MID(Metadata!E505,6,2))&lt;=12,FALSE)), OR(MID(Metadata!E505,8,1)="", AND(AND(MID(Metadata!E505,8,1)="-",IFERROR(INT(MID(Metadata!E505,9,1))&gt;=0,FALSE),IFERROR(INT(MID(Metadata!E505,9,1))&lt;=3,FALSE),NOT(MID(Metadata!E505,10,1)=""),IFERROR(INT(MID(Metadata!E505,9,2))&gt;=1,FALSE),IFERROR(INT(MID(Metadata!E505,9,2))&lt;=31,FALSE)), OR(MID(Metadata!E505,11,1)="", AND(AND(MID(Metadata!E505,11,1)=" ",IFERROR(INT(MID(Metadata!E505,12,1))&gt;=0,FALSE),IFERROR(INT(MID(Metadata!E505,12,1))&lt;=2,FALSE),NOT(MID(Metadata!E505,13,1)=""),IFERROR(INT(MID(Metadata!E505,12,2))&gt;=0,FALSE),IFERROR(INT(MID(Metadata!E505,12,2))&lt;=23,FALSE)), OR(MID(Metadata!E505,14,1)="", AND(AND(MID(Metadata!E505,14,1)=":",IFERROR(INT(MID(Metadata!E505,15,1))&gt;=0,FALSE),IFERROR(INT(MID(Metadata!E505,15,1))&lt;=5,FALSE),NOT(MID(Metadata!E505,16,1)=""),IFERROR(INT(MID(Metadata!E505,15,2))&gt;=0,FALSE),IFERROR(INT(MID(Metadata!E505,15,2))&lt;=59,FALSE)), OR(MID(Metadata!E505,17,1)="", AND(AND(MID(Metadata!E505,17,1)=":",IFERROR(INT(MID(Metadata!E505,18,1))&gt;=0,FALSE),IFERROR(INT(MID(Metadata!E505,18,1))&lt;=5,FALSE),NOT(MID(Metadata!E505,19,1)=""),IFERROR(INT(MID(Metadata!E505,18,2))&gt;=0,FALSE),IFERROR(INT(MID(Metadata!E505,18,2))&lt;=59,FALSE)), LEN(Metadata!E505)&lt;=19)))))))))))))</f>
        <v>0</v>
      </c>
      <c r="AS505" t="b">
        <f>IF(Metadata!F505="",FALSE,TRUE)</f>
        <v>0</v>
      </c>
      <c r="AT505" t="b">
        <f>OR(AND(IF(Metadata!G505="",FALSE,TRUE),OR(EXACT(Metadata!G505,"not collected"),EXACT(Metadata!G505,"not provided"))),AND(IF(Metadata!G505="",FALSE,TRUE),OR(EXACT(Metadata!G505,"TRUE"),EXACT(Metadata!G505,"FALSE"))))</f>
        <v>0</v>
      </c>
      <c r="AU505" t="b">
        <f>OR(AND(IF(Metadata!H505="",FALSE,TRUE),OR(EXACT(Metadata!H505,"not collected"),EXACT(Metadata!H505,"not provided"),EXACT(Metadata!H505,"restricted access"))),AND(IF(Metadata!H505="",FALSE,ISNUMBER(VALUE(Metadata!H505))),Metadata!H505&gt;=-413))</f>
        <v>0</v>
      </c>
      <c r="AV505" t="b">
        <f>AND(IF(Metadata!I505="",FALSE,TRUE),EXACT(Metadata!I505,"meters"))</f>
        <v>0</v>
      </c>
      <c r="AW505" t="b">
        <f>AND(IF(Metadata!J505="",FALSE,TRUE),EXACT(Metadata!J505,"free-living"))</f>
        <v>0</v>
      </c>
      <c r="AX505" t="b">
        <f>AND(IF(Metadata!K505="",FALSE,TRUE),OR(EXACT(Metadata!K505,"saline"),EXACT(Metadata!K505,"non-saline")))</f>
        <v>0</v>
      </c>
      <c r="AY505" t="b">
        <f>AND(IF(Metadata!L505="",FALSE,TRUE),OR(EXACT(Metadata!L505,"sub-surface (non-saline)"),EXACT(Metadata!L505,"surface (non-saline)"),EXACT(Metadata!L505,"water (non-saline)"),EXACT(Metadata!L505,"soil (non-saline)"),EXACT(Metadata!L505,"aerosol (non-saline)"),EXACT(Metadata!L505,"sediment (non-saline)"),EXACT(Metadata!L505,"surface (saline)"),EXACT(Metadata!L505,"water (saline)"),EXACT(Metadata!L505,"hypersaline (saline)"),EXACT(Metadata!L505,"aerosol (saline)"),EXACT(Metadata!L505,"sediment (saline)")))</f>
        <v>0</v>
      </c>
      <c r="AZ505" t="b">
        <f>IF(Metadata!M505="",FALSE,TRUE)</f>
        <v>0</v>
      </c>
      <c r="BA505" t="b">
        <f>IF(Metadata!N505="",FALSE,TRUE)</f>
        <v>0</v>
      </c>
      <c r="BB505" t="b">
        <f>IF(Metadata!O505="",FALSE,TRUE)</f>
        <v>0</v>
      </c>
      <c r="BC505" t="b">
        <f>AND(IF(Metadata!P505="",FALSE,TRUE),OR(EXACT(Metadata!P505,"air"),EXACT(Metadata!P505,"microbial mat/biofilm"),EXACT(Metadata!P505,"misc environment"),EXACT(Metadata!P505,"sediment"),EXACT(Metadata!P505,"soil"),EXACT(Metadata!P505,"wastewater/sludge"),EXACT(Metadata!P505,"water")))</f>
        <v>0</v>
      </c>
      <c r="BD505" t="b">
        <f>IF(Metadata!Q505="",FALSE,TRUE)</f>
        <v>0</v>
      </c>
      <c r="BE505" t="b">
        <f>IF(Metadata!R505="",FALSE,TRUE)</f>
        <v>0</v>
      </c>
      <c r="BF505" t="b">
        <f>OR(AND(IF(Metadata!S505="",FALSE,TRUE),OR(EXACT(Metadata!S505,"not collected"),EXACT(Metadata!S505,"not provided"),EXACT(Metadata!S505,"restricted access"))),AND(IF(Metadata!S505="",FALSE,ISNUMBER(VALUE(Metadata!S505))),Metadata!S505&gt;=-90,Metadata!S505&lt;=90))</f>
        <v>0</v>
      </c>
      <c r="BG505" t="b">
        <f>AND(IF(Metadata!T505="",FALSE,TRUE),EXACT(Metadata!T505,"Decimal degrees"))</f>
        <v>0</v>
      </c>
      <c r="BH505" t="b">
        <f>OR(AND(IF(Metadata!U505="",FALSE,TRUE),OR(EXACT(Metadata!U505,"not applicable"),EXACT(Metadata!U505,"not collected"))),IF(Metadata!U505="",FALSE,TRUE))</f>
        <v>0</v>
      </c>
      <c r="BI505" t="b">
        <f>OR(AND(IF(Metadata!V505="",FALSE,TRUE),OR(EXACT(Metadata!V505,"not collected"),EXACT(Metadata!V505,"not provided"),EXACT(Metadata!V505,"restricted access"))),AND(IF(Metadata!V505="",FALSE,ISNUMBER(VALUE(Metadata!V505))),Metadata!V505&gt;=-180,Metadata!V505&lt;=180))</f>
        <v>0</v>
      </c>
      <c r="BJ505" t="b">
        <f>AND(IF(Metadata!W505="",FALSE,TRUE),EXACT(Metadata!W505,"Decimal degrees"))</f>
        <v>0</v>
      </c>
      <c r="BK505" t="b">
        <f>IF(Metadata!X505="",FALSE,TRUE)</f>
        <v>0</v>
      </c>
      <c r="BL505" t="b">
        <f>OR(AND(IF(Metadata!Y505="",FALSE,TRUE),OR(EXACT(Metadata!Y505,"not collected"),EXACT(Metadata!Y505,"not provided"),EXACT(Metadata!Y505,"restricted access"))),AND(IF(Metadata!Y505="",FALSE,TRUE),OR(EXACT(Metadata!Y505,"TRUE"),EXACT(Metadata!Y505,"FALSE"))))</f>
        <v>0</v>
      </c>
      <c r="BM505" t="b">
        <f>OR(AND(IF(Metadata!Z505="",FALSE,TRUE),EXACT(Metadata!Z505,"not applicable")),AND(IF(Metadata!Z505="",FALSE,TRUE),OR(EXACT(Metadata!Z505,"beer"),EXACT(Metadata!Z505,"cheese"),EXACT(Metadata!Z505,"fresh water"),EXACT(Metadata!Z505,"marine sediment"),EXACT(Metadata!Z505,"sea water"),EXACT(Metadata!Z505,"sediment"),EXACT(Metadata!Z505,"soil"),EXACT(Metadata!Z505,"waste water"))))</f>
        <v>0</v>
      </c>
      <c r="BN505" t="b">
        <f>AND(IF(Metadata!AA505="",FALSE,TRUE),EXACT(Metadata!AA505,"metagenome"))</f>
        <v>0</v>
      </c>
      <c r="BO505" t="b">
        <f>AND(IF(Metadata!AB505="",FALSE,TRUE),EXACT(Metadata!AB505,"256318"))</f>
        <v>0</v>
      </c>
      <c r="BP505" t="b">
        <f>IF(Metadata!AC505="",FALSE,TRUE)</f>
        <v>0</v>
      </c>
      <c r="BQ505" t="b">
        <f>IF(Metadata!AD505="",FALSE,TRUE)</f>
        <v>0</v>
      </c>
    </row>
    <row r="506" spans="1:69" x14ac:dyDescent="0.2">
      <c r="A506" s="4" t="e">
        <f ca="1">IF(B506=" "," ",HYPERLINK(CONCATENATE("#metadata!",ADDRESS(INDEX($AJ$2:$AJ$1001,MATCH(ROWS($AH$2:AH506),$AH$2:$AH$1001,0),0),2)),INDEX($AM$2:$AM$1001,MATCH(ROWS($AH$2:AH506),$AH$2:$AH$1001,0),0)))</f>
        <v>#N/A</v>
      </c>
      <c r="B506" s="5" t="e">
        <f ca="1">IF(OR(INDEX($AI$2:$AI$1001,MATCH(ROWS($AH$2:AH506),$AH$2:$AH$1001,0),1)&gt;=100000,INDEX($AO$1005:$BQ$1005,1,MATCH(COLUMNS($AO$1006:AO1006),$AO$1006:$BQ$1006,0))&gt;=100000), " ",IF(INDEX($AO$2:$BQ$1001,MATCH(ROWS($AH$2:AH506),$AH$2:$AH$1001,0),MATCH(COLUMNS($AO$1006:AO1006),$AO$1006:$BQ$1006,0)), HYPERLINK("#",""), HYPERLINK(CONCATENATE("#Metadata!", ADDRESS(INDEX($AJ$2:$AJ$1001,MATCH(ROWS($AH$2:AH506),$AH$2:$AH$1001,0),0), INDEX($AO$1004:$BQ$1004,1,MATCH(COLUMNS($AO$1006:AO1006),$AO$1006:$BQ$1006,0)))),"Fix")))</f>
        <v>#N/A</v>
      </c>
      <c r="C506" s="5" t="e">
        <f ca="1">IF(OR(INDEX($AI$2:$AI$1001,MATCH(ROWS($AH$2:AH506),$AH$2:$AH$1001,0),1)&gt;=100000,INDEX($AO$1005:$BQ$1005,1,MATCH(COLUMNS($AO$1006:AP1006),$AO$1006:$BQ$1006,0))&gt;=100000), " ",IF(INDEX($AO$2:$BQ$1001,MATCH(ROWS($AH$2:AH506),$AH$2:$AH$1001,0),MATCH(COLUMNS($AO$1006:AP1006),$AO$1006:$BQ$1006,0)), HYPERLINK("#",""), HYPERLINK(CONCATENATE("#Metadata!", ADDRESS(INDEX($AJ$2:$AJ$1001,MATCH(ROWS($AH$2:AH506),$AH$2:$AH$1001,0),0), INDEX($AO$1004:$BQ$1004,1,MATCH(COLUMNS($AO$1006:AP1006),$AO$1006:$BQ$1006,0)))),"Fix")))</f>
        <v>#N/A</v>
      </c>
      <c r="D506" s="5" t="e">
        <f ca="1">IF(OR(INDEX($AI$2:$AI$1001,MATCH(ROWS($AH$2:AH506),$AH$2:$AH$1001,0),1)&gt;=100000,INDEX($AO$1005:$BQ$1005,1,MATCH(COLUMNS($AO$1006:AQ1006),$AO$1006:$BQ$1006,0))&gt;=100000), " ",IF(INDEX($AO$2:$BQ$1001,MATCH(ROWS($AH$2:AH506),$AH$2:$AH$1001,0),MATCH(COLUMNS($AO$1006:AQ1006),$AO$1006:$BQ$1006,0)), HYPERLINK("#",""), HYPERLINK(CONCATENATE("#Metadata!", ADDRESS(INDEX($AJ$2:$AJ$1001,MATCH(ROWS($AH$2:AH506),$AH$2:$AH$1001,0),0), INDEX($AO$1004:$BQ$1004,1,MATCH(COLUMNS($AO$1006:AQ1006),$AO$1006:$BQ$1006,0)))),"Fix")))</f>
        <v>#N/A</v>
      </c>
      <c r="E506" s="5" t="e">
        <f ca="1">IF(OR(INDEX($AI$2:$AI$1001,MATCH(ROWS($AH$2:AH506),$AH$2:$AH$1001,0),1)&gt;=100000,INDEX($AO$1005:$BQ$1005,1,MATCH(COLUMNS($AO$1006:AR1006),$AO$1006:$BQ$1006,0))&gt;=100000), " ",IF(INDEX($AO$2:$BQ$1001,MATCH(ROWS($AH$2:AH506),$AH$2:$AH$1001,0),MATCH(COLUMNS($AO$1006:AR1006),$AO$1006:$BQ$1006,0)), HYPERLINK("#",""), HYPERLINK(CONCATENATE("#Metadata!", ADDRESS(INDEX($AJ$2:$AJ$1001,MATCH(ROWS($AH$2:AH506),$AH$2:$AH$1001,0),0), INDEX($AO$1004:$BQ$1004,1,MATCH(COLUMNS($AO$1006:AR1006),$AO$1006:$BQ$1006,0)))),"Fix")))</f>
        <v>#N/A</v>
      </c>
      <c r="F506" s="5" t="e">
        <f ca="1">IF(OR(INDEX($AI$2:$AI$1001,MATCH(ROWS($AH$2:AH506),$AH$2:$AH$1001,0),1)&gt;=100000,INDEX($AO$1005:$BQ$1005,1,MATCH(COLUMNS($AO$1006:AS1006),$AO$1006:$BQ$1006,0))&gt;=100000), " ",IF(INDEX($AO$2:$BQ$1001,MATCH(ROWS($AH$2:AH506),$AH$2:$AH$1001,0),MATCH(COLUMNS($AO$1006:AS1006),$AO$1006:$BQ$1006,0)), HYPERLINK("#",""), HYPERLINK(CONCATENATE("#Metadata!", ADDRESS(INDEX($AJ$2:$AJ$1001,MATCH(ROWS($AH$2:AH506),$AH$2:$AH$1001,0),0), INDEX($AO$1004:$BQ$1004,1,MATCH(COLUMNS($AO$1006:AS1006),$AO$1006:$BQ$1006,0)))),"Fix")))</f>
        <v>#N/A</v>
      </c>
      <c r="G506" s="5" t="e">
        <f ca="1">IF(OR(INDEX($AI$2:$AI$1001,MATCH(ROWS($AH$2:AH506),$AH$2:$AH$1001,0),1)&gt;=100000,INDEX($AO$1005:$BQ$1005,1,MATCH(COLUMNS($AO$1006:AT1006),$AO$1006:$BQ$1006,0))&gt;=100000), " ",IF(INDEX($AO$2:$BQ$1001,MATCH(ROWS($AH$2:AH506),$AH$2:$AH$1001,0),MATCH(COLUMNS($AO$1006:AT1006),$AO$1006:$BQ$1006,0)), HYPERLINK("#",""), HYPERLINK(CONCATENATE("#Metadata!", ADDRESS(INDEX($AJ$2:$AJ$1001,MATCH(ROWS($AH$2:AH506),$AH$2:$AH$1001,0),0), INDEX($AO$1004:$BQ$1004,1,MATCH(COLUMNS($AO$1006:AT1006),$AO$1006:$BQ$1006,0)))),"Fix")))</f>
        <v>#N/A</v>
      </c>
      <c r="H506" s="5" t="e">
        <f ca="1">IF(OR(INDEX($AI$2:$AI$1001,MATCH(ROWS($AH$2:AH506),$AH$2:$AH$1001,0),1)&gt;=100000,INDEX($AO$1005:$BQ$1005,1,MATCH(COLUMNS($AO$1006:AU1006),$AO$1006:$BQ$1006,0))&gt;=100000), " ",IF(INDEX($AO$2:$BQ$1001,MATCH(ROWS($AH$2:AH506),$AH$2:$AH$1001,0),MATCH(COLUMNS($AO$1006:AU1006),$AO$1006:$BQ$1006,0)), HYPERLINK("#",""), HYPERLINK(CONCATENATE("#Metadata!", ADDRESS(INDEX($AJ$2:$AJ$1001,MATCH(ROWS($AH$2:AH506),$AH$2:$AH$1001,0),0), INDEX($AO$1004:$BQ$1004,1,MATCH(COLUMNS($AO$1006:AU1006),$AO$1006:$BQ$1006,0)))),"Fix")))</f>
        <v>#N/A</v>
      </c>
      <c r="I506" s="5" t="e">
        <f ca="1">IF(OR(INDEX($AI$2:$AI$1001,MATCH(ROWS($AH$2:AH506),$AH$2:$AH$1001,0),1)&gt;=100000,INDEX($AO$1005:$BQ$1005,1,MATCH(COLUMNS($AO$1006:AV1006),$AO$1006:$BQ$1006,0))&gt;=100000), " ",IF(INDEX($AO$2:$BQ$1001,MATCH(ROWS($AH$2:AH506),$AH$2:$AH$1001,0),MATCH(COLUMNS($AO$1006:AV1006),$AO$1006:$BQ$1006,0)), HYPERLINK("#",""), HYPERLINK(CONCATENATE("#Metadata!", ADDRESS(INDEX($AJ$2:$AJ$1001,MATCH(ROWS($AH$2:AH506),$AH$2:$AH$1001,0),0), INDEX($AO$1004:$BQ$1004,1,MATCH(COLUMNS($AO$1006:AV1006),$AO$1006:$BQ$1006,0)))),"Fix")))</f>
        <v>#N/A</v>
      </c>
      <c r="J506" s="5" t="e">
        <f ca="1">IF(OR(INDEX($AI$2:$AI$1001,MATCH(ROWS($AH$2:AH506),$AH$2:$AH$1001,0),1)&gt;=100000,INDEX($AO$1005:$BQ$1005,1,MATCH(COLUMNS($AO$1006:AW1006),$AO$1006:$BQ$1006,0))&gt;=100000), " ",IF(INDEX($AO$2:$BQ$1001,MATCH(ROWS($AH$2:AH506),$AH$2:$AH$1001,0),MATCH(COLUMNS($AO$1006:AW1006),$AO$1006:$BQ$1006,0)), HYPERLINK("#",""), HYPERLINK(CONCATENATE("#Metadata!", ADDRESS(INDEX($AJ$2:$AJ$1001,MATCH(ROWS($AH$2:AH506),$AH$2:$AH$1001,0),0), INDEX($AO$1004:$BQ$1004,1,MATCH(COLUMNS($AO$1006:AW1006),$AO$1006:$BQ$1006,0)))),"Fix")))</f>
        <v>#N/A</v>
      </c>
      <c r="K506" s="5" t="e">
        <f ca="1">IF(OR(INDEX($AI$2:$AI$1001,MATCH(ROWS($AH$2:AH506),$AH$2:$AH$1001,0),1)&gt;=100000,INDEX($AO$1005:$BQ$1005,1,MATCH(COLUMNS($AO$1006:AX1006),$AO$1006:$BQ$1006,0))&gt;=100000), " ",IF(INDEX($AO$2:$BQ$1001,MATCH(ROWS($AH$2:AH506),$AH$2:$AH$1001,0),MATCH(COLUMNS($AO$1006:AX1006),$AO$1006:$BQ$1006,0)), HYPERLINK("#",""), HYPERLINK(CONCATENATE("#Metadata!", ADDRESS(INDEX($AJ$2:$AJ$1001,MATCH(ROWS($AH$2:AH506),$AH$2:$AH$1001,0),0), INDEX($AO$1004:$BQ$1004,1,MATCH(COLUMNS($AO$1006:AX1006),$AO$1006:$BQ$1006,0)))),"Fix")))</f>
        <v>#N/A</v>
      </c>
      <c r="L506" s="5" t="e">
        <f ca="1">IF(OR(INDEX($AI$2:$AI$1001,MATCH(ROWS($AH$2:AH506),$AH$2:$AH$1001,0),1)&gt;=100000,INDEX($AO$1005:$BQ$1005,1,MATCH(COLUMNS($AO$1006:AY1006),$AO$1006:$BQ$1006,0))&gt;=100000), " ",IF(INDEX($AO$2:$BQ$1001,MATCH(ROWS($AH$2:AH506),$AH$2:$AH$1001,0),MATCH(COLUMNS($AO$1006:AY1006),$AO$1006:$BQ$1006,0)), HYPERLINK("#",""), HYPERLINK(CONCATENATE("#Metadata!", ADDRESS(INDEX($AJ$2:$AJ$1001,MATCH(ROWS($AH$2:AH506),$AH$2:$AH$1001,0),0), INDEX($AO$1004:$BQ$1004,1,MATCH(COLUMNS($AO$1006:AY1006),$AO$1006:$BQ$1006,0)))),"Fix")))</f>
        <v>#N/A</v>
      </c>
      <c r="M506" s="5" t="e">
        <f ca="1">IF(OR(INDEX($AI$2:$AI$1001,MATCH(ROWS($AH$2:AH506),$AH$2:$AH$1001,0),1)&gt;=100000,INDEX($AO$1005:$BQ$1005,1,MATCH(COLUMNS($AO$1006:AZ1006),$AO$1006:$BQ$1006,0))&gt;=100000), " ",IF(INDEX($AO$2:$BQ$1001,MATCH(ROWS($AH$2:AH506),$AH$2:$AH$1001,0),MATCH(COLUMNS($AO$1006:AZ1006),$AO$1006:$BQ$1006,0)), HYPERLINK("#",""), HYPERLINK(CONCATENATE("#Metadata!", ADDRESS(INDEX($AJ$2:$AJ$1001,MATCH(ROWS($AH$2:AH506),$AH$2:$AH$1001,0),0), INDEX($AO$1004:$BQ$1004,1,MATCH(COLUMNS($AO$1006:AZ1006),$AO$1006:$BQ$1006,0)))),"Fix")))</f>
        <v>#N/A</v>
      </c>
      <c r="N506" s="5" t="e">
        <f ca="1">IF(OR(INDEX($AI$2:$AI$1001,MATCH(ROWS($AH$2:AH506),$AH$2:$AH$1001,0),1)&gt;=100000,INDEX($AO$1005:$BQ$1005,1,MATCH(COLUMNS($AO$1006:BA1006),$AO$1006:$BQ$1006,0))&gt;=100000), " ",IF(INDEX($AO$2:$BQ$1001,MATCH(ROWS($AH$2:AH506),$AH$2:$AH$1001,0),MATCH(COLUMNS($AO$1006:BA1006),$AO$1006:$BQ$1006,0)), HYPERLINK("#",""), HYPERLINK(CONCATENATE("#Metadata!", ADDRESS(INDEX($AJ$2:$AJ$1001,MATCH(ROWS($AH$2:AH506),$AH$2:$AH$1001,0),0), INDEX($AO$1004:$BQ$1004,1,MATCH(COLUMNS($AO$1006:BA1006),$AO$1006:$BQ$1006,0)))),"Fix")))</f>
        <v>#N/A</v>
      </c>
      <c r="O506" s="5" t="e">
        <f ca="1">IF(OR(INDEX($AI$2:$AI$1001,MATCH(ROWS($AH$2:AH506),$AH$2:$AH$1001,0),1)&gt;=100000,INDEX($AO$1005:$BQ$1005,1,MATCH(COLUMNS($AO$1006:BB1006),$AO$1006:$BQ$1006,0))&gt;=100000), " ",IF(INDEX($AO$2:$BQ$1001,MATCH(ROWS($AH$2:AH506),$AH$2:$AH$1001,0),MATCH(COLUMNS($AO$1006:BB1006),$AO$1006:$BQ$1006,0)), HYPERLINK("#",""), HYPERLINK(CONCATENATE("#Metadata!", ADDRESS(INDEX($AJ$2:$AJ$1001,MATCH(ROWS($AH$2:AH506),$AH$2:$AH$1001,0),0), INDEX($AO$1004:$BQ$1004,1,MATCH(COLUMNS($AO$1006:BB1006),$AO$1006:$BQ$1006,0)))),"Fix")))</f>
        <v>#N/A</v>
      </c>
      <c r="P506" s="5" t="e">
        <f ca="1">IF(OR(INDEX($AI$2:$AI$1001,MATCH(ROWS($AH$2:AH506),$AH$2:$AH$1001,0),1)&gt;=100000,INDEX($AO$1005:$BQ$1005,1,MATCH(COLUMNS($AO$1006:BC1006),$AO$1006:$BQ$1006,0))&gt;=100000), " ",IF(INDEX($AO$2:$BQ$1001,MATCH(ROWS($AH$2:AH506),$AH$2:$AH$1001,0),MATCH(COLUMNS($AO$1006:BC1006),$AO$1006:$BQ$1006,0)), HYPERLINK("#",""), HYPERLINK(CONCATENATE("#Metadata!", ADDRESS(INDEX($AJ$2:$AJ$1001,MATCH(ROWS($AH$2:AH506),$AH$2:$AH$1001,0),0), INDEX($AO$1004:$BQ$1004,1,MATCH(COLUMNS($AO$1006:BC1006),$AO$1006:$BQ$1006,0)))),"Fix")))</f>
        <v>#N/A</v>
      </c>
      <c r="Q506" s="5" t="e">
        <f ca="1">IF(OR(INDEX($AI$2:$AI$1001,MATCH(ROWS($AH$2:AH506),$AH$2:$AH$1001,0),1)&gt;=100000,INDEX($AO$1005:$BQ$1005,1,MATCH(COLUMNS($AO$1006:BD1006),$AO$1006:$BQ$1006,0))&gt;=100000), " ",IF(INDEX($AO$2:$BQ$1001,MATCH(ROWS($AH$2:AH506),$AH$2:$AH$1001,0),MATCH(COLUMNS($AO$1006:BD1006),$AO$1006:$BQ$1006,0)), HYPERLINK("#",""), HYPERLINK(CONCATENATE("#Metadata!", ADDRESS(INDEX($AJ$2:$AJ$1001,MATCH(ROWS($AH$2:AH506),$AH$2:$AH$1001,0),0), INDEX($AO$1004:$BQ$1004,1,MATCH(COLUMNS($AO$1006:BD1006),$AO$1006:$BQ$1006,0)))),"Fix")))</f>
        <v>#N/A</v>
      </c>
      <c r="R506" s="5" t="e">
        <f ca="1">IF(OR(INDEX($AI$2:$AI$1001,MATCH(ROWS($AH$2:AH506),$AH$2:$AH$1001,0),1)&gt;=100000,INDEX($AO$1005:$BQ$1005,1,MATCH(COLUMNS($AO$1006:BE1006),$AO$1006:$BQ$1006,0))&gt;=100000), " ",IF(INDEX($AO$2:$BQ$1001,MATCH(ROWS($AH$2:AH506),$AH$2:$AH$1001,0),MATCH(COLUMNS($AO$1006:BE1006),$AO$1006:$BQ$1006,0)), HYPERLINK("#",""), HYPERLINK(CONCATENATE("#Metadata!", ADDRESS(INDEX($AJ$2:$AJ$1001,MATCH(ROWS($AH$2:AH506),$AH$2:$AH$1001,0),0), INDEX($AO$1004:$BQ$1004,1,MATCH(COLUMNS($AO$1006:BE1006),$AO$1006:$BQ$1006,0)))),"Fix")))</f>
        <v>#N/A</v>
      </c>
      <c r="S506" s="5" t="e">
        <f ca="1">IF(OR(INDEX($AI$2:$AI$1001,MATCH(ROWS($AH$2:AH506),$AH$2:$AH$1001,0),1)&gt;=100000,INDEX($AO$1005:$BQ$1005,1,MATCH(COLUMNS($AO$1006:BF1006),$AO$1006:$BQ$1006,0))&gt;=100000), " ",IF(INDEX($AO$2:$BQ$1001,MATCH(ROWS($AH$2:AH506),$AH$2:$AH$1001,0),MATCH(COLUMNS($AO$1006:BF1006),$AO$1006:$BQ$1006,0)), HYPERLINK("#",""), HYPERLINK(CONCATENATE("#Metadata!", ADDRESS(INDEX($AJ$2:$AJ$1001,MATCH(ROWS($AH$2:AH506),$AH$2:$AH$1001,0),0), INDEX($AO$1004:$BQ$1004,1,MATCH(COLUMNS($AO$1006:BF1006),$AO$1006:$BQ$1006,0)))),"Fix")))</f>
        <v>#N/A</v>
      </c>
      <c r="T506" s="5" t="e">
        <f ca="1">IF(OR(INDEX($AI$2:$AI$1001,MATCH(ROWS($AH$2:AH506),$AH$2:$AH$1001,0),1)&gt;=100000,INDEX($AO$1005:$BQ$1005,1,MATCH(COLUMNS($AO$1006:BG1006),$AO$1006:$BQ$1006,0))&gt;=100000), " ",IF(INDEX($AO$2:$BQ$1001,MATCH(ROWS($AH$2:AH506),$AH$2:$AH$1001,0),MATCH(COLUMNS($AO$1006:BG1006),$AO$1006:$BQ$1006,0)), HYPERLINK("#",""), HYPERLINK(CONCATENATE("#Metadata!", ADDRESS(INDEX($AJ$2:$AJ$1001,MATCH(ROWS($AH$2:AH506),$AH$2:$AH$1001,0),0), INDEX($AO$1004:$BQ$1004,1,MATCH(COLUMNS($AO$1006:BG1006),$AO$1006:$BQ$1006,0)))),"Fix")))</f>
        <v>#N/A</v>
      </c>
      <c r="U506" s="5" t="e">
        <f ca="1">IF(OR(INDEX($AI$2:$AI$1001,MATCH(ROWS($AH$2:AH506),$AH$2:$AH$1001,0),1)&gt;=100000,INDEX($AO$1005:$BQ$1005,1,MATCH(COLUMNS($AO$1006:BH1006),$AO$1006:$BQ$1006,0))&gt;=100000), " ",IF(INDEX($AO$2:$BQ$1001,MATCH(ROWS($AH$2:AH506),$AH$2:$AH$1001,0),MATCH(COLUMNS($AO$1006:BH1006),$AO$1006:$BQ$1006,0)), HYPERLINK("#",""), HYPERLINK(CONCATENATE("#Metadata!", ADDRESS(INDEX($AJ$2:$AJ$1001,MATCH(ROWS($AH$2:AH506),$AH$2:$AH$1001,0),0), INDEX($AO$1004:$BQ$1004,1,MATCH(COLUMNS($AO$1006:BH1006),$AO$1006:$BQ$1006,0)))),"Fix")))</f>
        <v>#N/A</v>
      </c>
      <c r="V506" s="5" t="e">
        <f ca="1">IF(OR(INDEX($AI$2:$AI$1001,MATCH(ROWS($AH$2:AH506),$AH$2:$AH$1001,0),1)&gt;=100000,INDEX($AO$1005:$BQ$1005,1,MATCH(COLUMNS($AO$1006:BI1006),$AO$1006:$BQ$1006,0))&gt;=100000), " ",IF(INDEX($AO$2:$BQ$1001,MATCH(ROWS($AH$2:AH506),$AH$2:$AH$1001,0),MATCH(COLUMNS($AO$1006:BI1006),$AO$1006:$BQ$1006,0)), HYPERLINK("#",""), HYPERLINK(CONCATENATE("#Metadata!", ADDRESS(INDEX($AJ$2:$AJ$1001,MATCH(ROWS($AH$2:AH506),$AH$2:$AH$1001,0),0), INDEX($AO$1004:$BQ$1004,1,MATCH(COLUMNS($AO$1006:BI1006),$AO$1006:$BQ$1006,0)))),"Fix")))</f>
        <v>#N/A</v>
      </c>
      <c r="W506" s="5" t="e">
        <f ca="1">IF(OR(INDEX($AI$2:$AI$1001,MATCH(ROWS($AH$2:AH506),$AH$2:$AH$1001,0),1)&gt;=100000,INDEX($AO$1005:$BQ$1005,1,MATCH(COLUMNS($AO$1006:BJ1006),$AO$1006:$BQ$1006,0))&gt;=100000), " ",IF(INDEX($AO$2:$BQ$1001,MATCH(ROWS($AH$2:AH506),$AH$2:$AH$1001,0),MATCH(COLUMNS($AO$1006:BJ1006),$AO$1006:$BQ$1006,0)), HYPERLINK("#",""), HYPERLINK(CONCATENATE("#Metadata!", ADDRESS(INDEX($AJ$2:$AJ$1001,MATCH(ROWS($AH$2:AH506),$AH$2:$AH$1001,0),0), INDEX($AO$1004:$BQ$1004,1,MATCH(COLUMNS($AO$1006:BJ1006),$AO$1006:$BQ$1006,0)))),"Fix")))</f>
        <v>#N/A</v>
      </c>
      <c r="X506" s="5" t="e">
        <f ca="1">IF(OR(INDEX($AI$2:$AI$1001,MATCH(ROWS($AH$2:AH506),$AH$2:$AH$1001,0),1)&gt;=100000,INDEX($AO$1005:$BQ$1005,1,MATCH(COLUMNS($AO$1006:BK1006),$AO$1006:$BQ$1006,0))&gt;=100000), " ",IF(INDEX($AO$2:$BQ$1001,MATCH(ROWS($AH$2:AH506),$AH$2:$AH$1001,0),MATCH(COLUMNS($AO$1006:BK1006),$AO$1006:$BQ$1006,0)), HYPERLINK("#",""), HYPERLINK(CONCATENATE("#Metadata!", ADDRESS(INDEX($AJ$2:$AJ$1001,MATCH(ROWS($AH$2:AH506),$AH$2:$AH$1001,0),0), INDEX($AO$1004:$BQ$1004,1,MATCH(COLUMNS($AO$1006:BK1006),$AO$1006:$BQ$1006,0)))),"Fix")))</f>
        <v>#N/A</v>
      </c>
      <c r="Y506" s="5" t="e">
        <f ca="1">IF(OR(INDEX($AI$2:$AI$1001,MATCH(ROWS($AH$2:AH506),$AH$2:$AH$1001,0),1)&gt;=100000,INDEX($AO$1005:$BQ$1005,1,MATCH(COLUMNS($AO$1006:BL1006),$AO$1006:$BQ$1006,0))&gt;=100000), " ",IF(INDEX($AO$2:$BQ$1001,MATCH(ROWS($AH$2:AH506),$AH$2:$AH$1001,0),MATCH(COLUMNS($AO$1006:BL1006),$AO$1006:$BQ$1006,0)), HYPERLINK("#",""), HYPERLINK(CONCATENATE("#Metadata!", ADDRESS(INDEX($AJ$2:$AJ$1001,MATCH(ROWS($AH$2:AH506),$AH$2:$AH$1001,0),0), INDEX($AO$1004:$BQ$1004,1,MATCH(COLUMNS($AO$1006:BL1006),$AO$1006:$BQ$1006,0)))),"Fix")))</f>
        <v>#N/A</v>
      </c>
      <c r="Z506" s="5" t="e">
        <f ca="1">IF(OR(INDEX($AI$2:$AI$1001,MATCH(ROWS($AH$2:AH506),$AH$2:$AH$1001,0),1)&gt;=100000,INDEX($AO$1005:$BQ$1005,1,MATCH(COLUMNS($AO$1006:BM1006),$AO$1006:$BQ$1006,0))&gt;=100000), " ",IF(INDEX($AO$2:$BQ$1001,MATCH(ROWS($AH$2:AH506),$AH$2:$AH$1001,0),MATCH(COLUMNS($AO$1006:BM1006),$AO$1006:$BQ$1006,0)), HYPERLINK("#",""), HYPERLINK(CONCATENATE("#Metadata!", ADDRESS(INDEX($AJ$2:$AJ$1001,MATCH(ROWS($AH$2:AH506),$AH$2:$AH$1001,0),0), INDEX($AO$1004:$BQ$1004,1,MATCH(COLUMNS($AO$1006:BM1006),$AO$1006:$BQ$1006,0)))),"Fix")))</f>
        <v>#N/A</v>
      </c>
      <c r="AA506" s="5" t="e">
        <f ca="1">IF(OR(INDEX($AI$2:$AI$1001,MATCH(ROWS($AH$2:AH506),$AH$2:$AH$1001,0),1)&gt;=100000,INDEX($AO$1005:$BQ$1005,1,MATCH(COLUMNS($AO$1006:BN1006),$AO$1006:$BQ$1006,0))&gt;=100000), " ",IF(INDEX($AO$2:$BQ$1001,MATCH(ROWS($AH$2:AH506),$AH$2:$AH$1001,0),MATCH(COLUMNS($AO$1006:BN1006),$AO$1006:$BQ$1006,0)), HYPERLINK("#",""), HYPERLINK(CONCATENATE("#Metadata!", ADDRESS(INDEX($AJ$2:$AJ$1001,MATCH(ROWS($AH$2:AH506),$AH$2:$AH$1001,0),0), INDEX($AO$1004:$BQ$1004,1,MATCH(COLUMNS($AO$1006:BN1006),$AO$1006:$BQ$1006,0)))),"Fix")))</f>
        <v>#N/A</v>
      </c>
      <c r="AB506" s="5" t="e">
        <f ca="1">IF(OR(INDEX($AI$2:$AI$1001,MATCH(ROWS($AH$2:AH506),$AH$2:$AH$1001,0),1)&gt;=100000,INDEX($AO$1005:$BQ$1005,1,MATCH(COLUMNS($AO$1006:BO1006),$AO$1006:$BQ$1006,0))&gt;=100000), " ",IF(INDEX($AO$2:$BQ$1001,MATCH(ROWS($AH$2:AH506),$AH$2:$AH$1001,0),MATCH(COLUMNS($AO$1006:BO1006),$AO$1006:$BQ$1006,0)), HYPERLINK("#",""), HYPERLINK(CONCATENATE("#Metadata!", ADDRESS(INDEX($AJ$2:$AJ$1001,MATCH(ROWS($AH$2:AH506),$AH$2:$AH$1001,0),0), INDEX($AO$1004:$BQ$1004,1,MATCH(COLUMNS($AO$1006:BO1006),$AO$1006:$BQ$1006,0)))),"Fix")))</f>
        <v>#N/A</v>
      </c>
      <c r="AC506" s="5" t="e">
        <f ca="1">IF(OR(INDEX($AI$2:$AI$1001,MATCH(ROWS($AH$2:AH506),$AH$2:$AH$1001,0),1)&gt;=100000,INDEX($AO$1005:$BQ$1005,1,MATCH(COLUMNS($AO$1006:BP1006),$AO$1006:$BQ$1006,0))&gt;=100000), " ",IF(INDEX($AO$2:$BQ$1001,MATCH(ROWS($AH$2:AH506),$AH$2:$AH$1001,0),MATCH(COLUMNS($AO$1006:BP1006),$AO$1006:$BQ$1006,0)), HYPERLINK("#",""), HYPERLINK(CONCATENATE("#Metadata!", ADDRESS(INDEX($AJ$2:$AJ$1001,MATCH(ROWS($AH$2:AH506),$AH$2:$AH$1001,0),0), INDEX($AO$1004:$BQ$1004,1,MATCH(COLUMNS($AO$1006:BP1006),$AO$1006:$BQ$1006,0)))),"Fix")))</f>
        <v>#N/A</v>
      </c>
      <c r="AD506" s="5" t="e">
        <f ca="1">IF(OR(INDEX($AI$2:$AI$1001,MATCH(ROWS($AH$2:AH506),$AH$2:$AH$1001,0),1)&gt;=100000,INDEX($AO$1005:$BQ$1005,1,MATCH(COLUMNS($AO$1006:BQ1006),$AO$1006:$BQ$1006,0))&gt;=100000), " ",IF(INDEX($AO$2:$BQ$1001,MATCH(ROWS($AH$2:AH506),$AH$2:$AH$1001,0),MATCH(COLUMNS($AO$1006:BQ1006),$AO$1006:$BQ$1006,0)), HYPERLINK("#",""), HYPERLINK(CONCATENATE("#Metadata!", ADDRESS(INDEX($AJ$2:$AJ$1001,MATCH(ROWS($AH$2:AH506),$AH$2:$AH$1001,0),0), INDEX($AO$1004:$BQ$1004,1,MATCH(COLUMNS($AO$1006:BQ1006),$AO$1006:$BQ$1006,0)))),"Fix")))</f>
        <v>#REF!</v>
      </c>
      <c r="AH506">
        <f ca="1"/>
        <v>503</v>
      </c>
      <c r="AI506">
        <v>100506</v>
      </c>
      <c r="AJ506">
        <v>506</v>
      </c>
      <c r="AK506" t="b">
        <f t="shared" si="7"/>
        <v>1</v>
      </c>
      <c r="AL506" t="b">
        <f>COUNTBLANK(Metadata!B506:AD506)=COLUMNS(Metadata!B506:AD506)</f>
        <v>1</v>
      </c>
      <c r="AM506" t="str">
        <v/>
      </c>
      <c r="AO506" t="b">
        <f ca="1">AND(IF(Metadata!B506="",FALSE,TRUE),COUNTIF(Metadata!B:B, Metadata!B506) = 1,NOT(ISERROR(SUMPRODUCT(SEARCH(MID(Metadata!B506,ROW(INDIRECT("1:"&amp;LEN(Metadata!B506))), 1),"0123456789abcdefghijklmnopqrstuvwxyzABCDEFGHIJKLMNOPQRSTUVWXYZ.")))))</f>
        <v>0</v>
      </c>
      <c r="AP506" t="b">
        <f>IF(Metadata!C506="",FALSE,TRUE)</f>
        <v>0</v>
      </c>
      <c r="AQ506" t="b">
        <f>IF(Metadata!D506="",FALSE,TRUE)</f>
        <v>0</v>
      </c>
      <c r="AR506" t="b">
        <f ca="1">OR(AND(IF(Metadata!E506="",FALSE,TRUE),OR(EXACT(Metadata!E506,"not collected"),EXACT(Metadata!E506,"not provided"),EXACT(Metadata!E506,"restricted access"))),AND(IF(Metadata!E506="",FALSE,TRUE),AND(AND(IFERROR(INT(LEFT(Metadata!E506,4))&gt;1900,FALSE),IFERROR(INT(LEFT(Metadata!E506,4))&lt;=YEAR(NOW()),FALSE)), OR(MID(Metadata!E506,5,1)="", AND(AND(MID(Metadata!E506,5,1)="-",IFERROR(INT(MID(Metadata!E506,6,1))&gt;=0,FALSE),IFERROR(INT(MID(Metadata!E506,6,1))&lt;=1,FALSE),NOT(MID(Metadata!E506,7,1)=""),IFERROR(INT(MID(Metadata!E506,6,2))&gt;=1,FALSE),IFERROR(INT(MID(Metadata!E506,6,2))&lt;=12,FALSE)), OR(MID(Metadata!E506,8,1)="", AND(AND(MID(Metadata!E506,8,1)="-",IFERROR(INT(MID(Metadata!E506,9,1))&gt;=0,FALSE),IFERROR(INT(MID(Metadata!E506,9,1))&lt;=3,FALSE),NOT(MID(Metadata!E506,10,1)=""),IFERROR(INT(MID(Metadata!E506,9,2))&gt;=1,FALSE),IFERROR(INT(MID(Metadata!E506,9,2))&lt;=31,FALSE)), OR(MID(Metadata!E506,11,1)="", AND(AND(MID(Metadata!E506,11,1)=" ",IFERROR(INT(MID(Metadata!E506,12,1))&gt;=0,FALSE),IFERROR(INT(MID(Metadata!E506,12,1))&lt;=2,FALSE),NOT(MID(Metadata!E506,13,1)=""),IFERROR(INT(MID(Metadata!E506,12,2))&gt;=0,FALSE),IFERROR(INT(MID(Metadata!E506,12,2))&lt;=23,FALSE)), OR(MID(Metadata!E506,14,1)="", AND(AND(MID(Metadata!E506,14,1)=":",IFERROR(INT(MID(Metadata!E506,15,1))&gt;=0,FALSE),IFERROR(INT(MID(Metadata!E506,15,1))&lt;=5,FALSE),NOT(MID(Metadata!E506,16,1)=""),IFERROR(INT(MID(Metadata!E506,15,2))&gt;=0,FALSE),IFERROR(INT(MID(Metadata!E506,15,2))&lt;=59,FALSE)), OR(MID(Metadata!E506,17,1)="", AND(AND(MID(Metadata!E506,17,1)=":",IFERROR(INT(MID(Metadata!E506,18,1))&gt;=0,FALSE),IFERROR(INT(MID(Metadata!E506,18,1))&lt;=5,FALSE),NOT(MID(Metadata!E506,19,1)=""),IFERROR(INT(MID(Metadata!E506,18,2))&gt;=0,FALSE),IFERROR(INT(MID(Metadata!E506,18,2))&lt;=59,FALSE)), LEN(Metadata!E506)&lt;=19)))))))))))))</f>
        <v>0</v>
      </c>
      <c r="AS506" t="b">
        <f>IF(Metadata!F506="",FALSE,TRUE)</f>
        <v>0</v>
      </c>
      <c r="AT506" t="b">
        <f>OR(AND(IF(Metadata!G506="",FALSE,TRUE),OR(EXACT(Metadata!G506,"not collected"),EXACT(Metadata!G506,"not provided"))),AND(IF(Metadata!G506="",FALSE,TRUE),OR(EXACT(Metadata!G506,"TRUE"),EXACT(Metadata!G506,"FALSE"))))</f>
        <v>0</v>
      </c>
      <c r="AU506" t="b">
        <f>OR(AND(IF(Metadata!H506="",FALSE,TRUE),OR(EXACT(Metadata!H506,"not collected"),EXACT(Metadata!H506,"not provided"),EXACT(Metadata!H506,"restricted access"))),AND(IF(Metadata!H506="",FALSE,ISNUMBER(VALUE(Metadata!H506))),Metadata!H506&gt;=-413))</f>
        <v>0</v>
      </c>
      <c r="AV506" t="b">
        <f>AND(IF(Metadata!I506="",FALSE,TRUE),EXACT(Metadata!I506,"meters"))</f>
        <v>0</v>
      </c>
      <c r="AW506" t="b">
        <f>AND(IF(Metadata!J506="",FALSE,TRUE),EXACT(Metadata!J506,"free-living"))</f>
        <v>0</v>
      </c>
      <c r="AX506" t="b">
        <f>AND(IF(Metadata!K506="",FALSE,TRUE),OR(EXACT(Metadata!K506,"saline"),EXACT(Metadata!K506,"non-saline")))</f>
        <v>0</v>
      </c>
      <c r="AY506" t="b">
        <f>AND(IF(Metadata!L506="",FALSE,TRUE),OR(EXACT(Metadata!L506,"sub-surface (non-saline)"),EXACT(Metadata!L506,"surface (non-saline)"),EXACT(Metadata!L506,"water (non-saline)"),EXACT(Metadata!L506,"soil (non-saline)"),EXACT(Metadata!L506,"aerosol (non-saline)"),EXACT(Metadata!L506,"sediment (non-saline)"),EXACT(Metadata!L506,"surface (saline)"),EXACT(Metadata!L506,"water (saline)"),EXACT(Metadata!L506,"hypersaline (saline)"),EXACT(Metadata!L506,"aerosol (saline)"),EXACT(Metadata!L506,"sediment (saline)")))</f>
        <v>0</v>
      </c>
      <c r="AZ506" t="b">
        <f>IF(Metadata!M506="",FALSE,TRUE)</f>
        <v>0</v>
      </c>
      <c r="BA506" t="b">
        <f>IF(Metadata!N506="",FALSE,TRUE)</f>
        <v>0</v>
      </c>
      <c r="BB506" t="b">
        <f>IF(Metadata!O506="",FALSE,TRUE)</f>
        <v>0</v>
      </c>
      <c r="BC506" t="b">
        <f>AND(IF(Metadata!P506="",FALSE,TRUE),OR(EXACT(Metadata!P506,"air"),EXACT(Metadata!P506,"microbial mat/biofilm"),EXACT(Metadata!P506,"misc environment"),EXACT(Metadata!P506,"sediment"),EXACT(Metadata!P506,"soil"),EXACT(Metadata!P506,"wastewater/sludge"),EXACT(Metadata!P506,"water")))</f>
        <v>0</v>
      </c>
      <c r="BD506" t="b">
        <f>IF(Metadata!Q506="",FALSE,TRUE)</f>
        <v>0</v>
      </c>
      <c r="BE506" t="b">
        <f>IF(Metadata!R506="",FALSE,TRUE)</f>
        <v>0</v>
      </c>
      <c r="BF506" t="b">
        <f>OR(AND(IF(Metadata!S506="",FALSE,TRUE),OR(EXACT(Metadata!S506,"not collected"),EXACT(Metadata!S506,"not provided"),EXACT(Metadata!S506,"restricted access"))),AND(IF(Metadata!S506="",FALSE,ISNUMBER(VALUE(Metadata!S506))),Metadata!S506&gt;=-90,Metadata!S506&lt;=90))</f>
        <v>0</v>
      </c>
      <c r="BG506" t="b">
        <f>AND(IF(Metadata!T506="",FALSE,TRUE),EXACT(Metadata!T506,"Decimal degrees"))</f>
        <v>0</v>
      </c>
      <c r="BH506" t="b">
        <f>OR(AND(IF(Metadata!U506="",FALSE,TRUE),OR(EXACT(Metadata!U506,"not applicable"),EXACT(Metadata!U506,"not collected"))),IF(Metadata!U506="",FALSE,TRUE))</f>
        <v>0</v>
      </c>
      <c r="BI506" t="b">
        <f>OR(AND(IF(Metadata!V506="",FALSE,TRUE),OR(EXACT(Metadata!V506,"not collected"),EXACT(Metadata!V506,"not provided"),EXACT(Metadata!V506,"restricted access"))),AND(IF(Metadata!V506="",FALSE,ISNUMBER(VALUE(Metadata!V506))),Metadata!V506&gt;=-180,Metadata!V506&lt;=180))</f>
        <v>0</v>
      </c>
      <c r="BJ506" t="b">
        <f>AND(IF(Metadata!W506="",FALSE,TRUE),EXACT(Metadata!W506,"Decimal degrees"))</f>
        <v>0</v>
      </c>
      <c r="BK506" t="b">
        <f>IF(Metadata!X506="",FALSE,TRUE)</f>
        <v>0</v>
      </c>
      <c r="BL506" t="b">
        <f>OR(AND(IF(Metadata!Y506="",FALSE,TRUE),OR(EXACT(Metadata!Y506,"not collected"),EXACT(Metadata!Y506,"not provided"),EXACT(Metadata!Y506,"restricted access"))),AND(IF(Metadata!Y506="",FALSE,TRUE),OR(EXACT(Metadata!Y506,"TRUE"),EXACT(Metadata!Y506,"FALSE"))))</f>
        <v>0</v>
      </c>
      <c r="BM506" t="b">
        <f>OR(AND(IF(Metadata!Z506="",FALSE,TRUE),EXACT(Metadata!Z506,"not applicable")),AND(IF(Metadata!Z506="",FALSE,TRUE),OR(EXACT(Metadata!Z506,"beer"),EXACT(Metadata!Z506,"cheese"),EXACT(Metadata!Z506,"fresh water"),EXACT(Metadata!Z506,"marine sediment"),EXACT(Metadata!Z506,"sea water"),EXACT(Metadata!Z506,"sediment"),EXACT(Metadata!Z506,"soil"),EXACT(Metadata!Z506,"waste water"))))</f>
        <v>0</v>
      </c>
      <c r="BN506" t="b">
        <f>AND(IF(Metadata!AA506="",FALSE,TRUE),EXACT(Metadata!AA506,"metagenome"))</f>
        <v>0</v>
      </c>
      <c r="BO506" t="b">
        <f>AND(IF(Metadata!AB506="",FALSE,TRUE),EXACT(Metadata!AB506,"256318"))</f>
        <v>0</v>
      </c>
      <c r="BP506" t="b">
        <f>IF(Metadata!AC506="",FALSE,TRUE)</f>
        <v>0</v>
      </c>
      <c r="BQ506" t="b">
        <f>IF(Metadata!AD506="",FALSE,TRUE)</f>
        <v>0</v>
      </c>
    </row>
    <row r="507" spans="1:69" x14ac:dyDescent="0.2">
      <c r="A507" s="4" t="e">
        <f ca="1">IF(B507=" "," ",HYPERLINK(CONCATENATE("#metadata!",ADDRESS(INDEX($AJ$2:$AJ$1001,MATCH(ROWS($AH$2:AH507),$AH$2:$AH$1001,0),0),2)),INDEX($AM$2:$AM$1001,MATCH(ROWS($AH$2:AH507),$AH$2:$AH$1001,0),0)))</f>
        <v>#N/A</v>
      </c>
      <c r="B507" s="5" t="e">
        <f ca="1">IF(OR(INDEX($AI$2:$AI$1001,MATCH(ROWS($AH$2:AH507),$AH$2:$AH$1001,0),1)&gt;=100000,INDEX($AO$1005:$BQ$1005,1,MATCH(COLUMNS($AO$1006:AO1006),$AO$1006:$BQ$1006,0))&gt;=100000), " ",IF(INDEX($AO$2:$BQ$1001,MATCH(ROWS($AH$2:AH507),$AH$2:$AH$1001,0),MATCH(COLUMNS($AO$1006:AO1006),$AO$1006:$BQ$1006,0)), HYPERLINK("#",""), HYPERLINK(CONCATENATE("#Metadata!", ADDRESS(INDEX($AJ$2:$AJ$1001,MATCH(ROWS($AH$2:AH507),$AH$2:$AH$1001,0),0), INDEX($AO$1004:$BQ$1004,1,MATCH(COLUMNS($AO$1006:AO1006),$AO$1006:$BQ$1006,0)))),"Fix")))</f>
        <v>#N/A</v>
      </c>
      <c r="C507" s="5" t="e">
        <f ca="1">IF(OR(INDEX($AI$2:$AI$1001,MATCH(ROWS($AH$2:AH507),$AH$2:$AH$1001,0),1)&gt;=100000,INDEX($AO$1005:$BQ$1005,1,MATCH(COLUMNS($AO$1006:AP1006),$AO$1006:$BQ$1006,0))&gt;=100000), " ",IF(INDEX($AO$2:$BQ$1001,MATCH(ROWS($AH$2:AH507),$AH$2:$AH$1001,0),MATCH(COLUMNS($AO$1006:AP1006),$AO$1006:$BQ$1006,0)), HYPERLINK("#",""), HYPERLINK(CONCATENATE("#Metadata!", ADDRESS(INDEX($AJ$2:$AJ$1001,MATCH(ROWS($AH$2:AH507),$AH$2:$AH$1001,0),0), INDEX($AO$1004:$BQ$1004,1,MATCH(COLUMNS($AO$1006:AP1006),$AO$1006:$BQ$1006,0)))),"Fix")))</f>
        <v>#N/A</v>
      </c>
      <c r="D507" s="5" t="e">
        <f ca="1">IF(OR(INDEX($AI$2:$AI$1001,MATCH(ROWS($AH$2:AH507),$AH$2:$AH$1001,0),1)&gt;=100000,INDEX($AO$1005:$BQ$1005,1,MATCH(COLUMNS($AO$1006:AQ1006),$AO$1006:$BQ$1006,0))&gt;=100000), " ",IF(INDEX($AO$2:$BQ$1001,MATCH(ROWS($AH$2:AH507),$AH$2:$AH$1001,0),MATCH(COLUMNS($AO$1006:AQ1006),$AO$1006:$BQ$1006,0)), HYPERLINK("#",""), HYPERLINK(CONCATENATE("#Metadata!", ADDRESS(INDEX($AJ$2:$AJ$1001,MATCH(ROWS($AH$2:AH507),$AH$2:$AH$1001,0),0), INDEX($AO$1004:$BQ$1004,1,MATCH(COLUMNS($AO$1006:AQ1006),$AO$1006:$BQ$1006,0)))),"Fix")))</f>
        <v>#N/A</v>
      </c>
      <c r="E507" s="5" t="e">
        <f ca="1">IF(OR(INDEX($AI$2:$AI$1001,MATCH(ROWS($AH$2:AH507),$AH$2:$AH$1001,0),1)&gt;=100000,INDEX($AO$1005:$BQ$1005,1,MATCH(COLUMNS($AO$1006:AR1006),$AO$1006:$BQ$1006,0))&gt;=100000), " ",IF(INDEX($AO$2:$BQ$1001,MATCH(ROWS($AH$2:AH507),$AH$2:$AH$1001,0),MATCH(COLUMNS($AO$1006:AR1006),$AO$1006:$BQ$1006,0)), HYPERLINK("#",""), HYPERLINK(CONCATENATE("#Metadata!", ADDRESS(INDEX($AJ$2:$AJ$1001,MATCH(ROWS($AH$2:AH507),$AH$2:$AH$1001,0),0), INDEX($AO$1004:$BQ$1004,1,MATCH(COLUMNS($AO$1006:AR1006),$AO$1006:$BQ$1006,0)))),"Fix")))</f>
        <v>#N/A</v>
      </c>
      <c r="F507" s="5" t="e">
        <f ca="1">IF(OR(INDEX($AI$2:$AI$1001,MATCH(ROWS($AH$2:AH507),$AH$2:$AH$1001,0),1)&gt;=100000,INDEX($AO$1005:$BQ$1005,1,MATCH(COLUMNS($AO$1006:AS1006),$AO$1006:$BQ$1006,0))&gt;=100000), " ",IF(INDEX($AO$2:$BQ$1001,MATCH(ROWS($AH$2:AH507),$AH$2:$AH$1001,0),MATCH(COLUMNS($AO$1006:AS1006),$AO$1006:$BQ$1006,0)), HYPERLINK("#",""), HYPERLINK(CONCATENATE("#Metadata!", ADDRESS(INDEX($AJ$2:$AJ$1001,MATCH(ROWS($AH$2:AH507),$AH$2:$AH$1001,0),0), INDEX($AO$1004:$BQ$1004,1,MATCH(COLUMNS($AO$1006:AS1006),$AO$1006:$BQ$1006,0)))),"Fix")))</f>
        <v>#N/A</v>
      </c>
      <c r="G507" s="5" t="e">
        <f ca="1">IF(OR(INDEX($AI$2:$AI$1001,MATCH(ROWS($AH$2:AH507),$AH$2:$AH$1001,0),1)&gt;=100000,INDEX($AO$1005:$BQ$1005,1,MATCH(COLUMNS($AO$1006:AT1006),$AO$1006:$BQ$1006,0))&gt;=100000), " ",IF(INDEX($AO$2:$BQ$1001,MATCH(ROWS($AH$2:AH507),$AH$2:$AH$1001,0),MATCH(COLUMNS($AO$1006:AT1006),$AO$1006:$BQ$1006,0)), HYPERLINK("#",""), HYPERLINK(CONCATENATE("#Metadata!", ADDRESS(INDEX($AJ$2:$AJ$1001,MATCH(ROWS($AH$2:AH507),$AH$2:$AH$1001,0),0), INDEX($AO$1004:$BQ$1004,1,MATCH(COLUMNS($AO$1006:AT1006),$AO$1006:$BQ$1006,0)))),"Fix")))</f>
        <v>#N/A</v>
      </c>
      <c r="H507" s="5" t="e">
        <f ca="1">IF(OR(INDEX($AI$2:$AI$1001,MATCH(ROWS($AH$2:AH507),$AH$2:$AH$1001,0),1)&gt;=100000,INDEX($AO$1005:$BQ$1005,1,MATCH(COLUMNS($AO$1006:AU1006),$AO$1006:$BQ$1006,0))&gt;=100000), " ",IF(INDEX($AO$2:$BQ$1001,MATCH(ROWS($AH$2:AH507),$AH$2:$AH$1001,0),MATCH(COLUMNS($AO$1006:AU1006),$AO$1006:$BQ$1006,0)), HYPERLINK("#",""), HYPERLINK(CONCATENATE("#Metadata!", ADDRESS(INDEX($AJ$2:$AJ$1001,MATCH(ROWS($AH$2:AH507),$AH$2:$AH$1001,0),0), INDEX($AO$1004:$BQ$1004,1,MATCH(COLUMNS($AO$1006:AU1006),$AO$1006:$BQ$1006,0)))),"Fix")))</f>
        <v>#N/A</v>
      </c>
      <c r="I507" s="5" t="e">
        <f ca="1">IF(OR(INDEX($AI$2:$AI$1001,MATCH(ROWS($AH$2:AH507),$AH$2:$AH$1001,0),1)&gt;=100000,INDEX($AO$1005:$BQ$1005,1,MATCH(COLUMNS($AO$1006:AV1006),$AO$1006:$BQ$1006,0))&gt;=100000), " ",IF(INDEX($AO$2:$BQ$1001,MATCH(ROWS($AH$2:AH507),$AH$2:$AH$1001,0),MATCH(COLUMNS($AO$1006:AV1006),$AO$1006:$BQ$1006,0)), HYPERLINK("#",""), HYPERLINK(CONCATENATE("#Metadata!", ADDRESS(INDEX($AJ$2:$AJ$1001,MATCH(ROWS($AH$2:AH507),$AH$2:$AH$1001,0),0), INDEX($AO$1004:$BQ$1004,1,MATCH(COLUMNS($AO$1006:AV1006),$AO$1006:$BQ$1006,0)))),"Fix")))</f>
        <v>#N/A</v>
      </c>
      <c r="J507" s="5" t="e">
        <f ca="1">IF(OR(INDEX($AI$2:$AI$1001,MATCH(ROWS($AH$2:AH507),$AH$2:$AH$1001,0),1)&gt;=100000,INDEX($AO$1005:$BQ$1005,1,MATCH(COLUMNS($AO$1006:AW1006),$AO$1006:$BQ$1006,0))&gt;=100000), " ",IF(INDEX($AO$2:$BQ$1001,MATCH(ROWS($AH$2:AH507),$AH$2:$AH$1001,0),MATCH(COLUMNS($AO$1006:AW1006),$AO$1006:$BQ$1006,0)), HYPERLINK("#",""), HYPERLINK(CONCATENATE("#Metadata!", ADDRESS(INDEX($AJ$2:$AJ$1001,MATCH(ROWS($AH$2:AH507),$AH$2:$AH$1001,0),0), INDEX($AO$1004:$BQ$1004,1,MATCH(COLUMNS($AO$1006:AW1006),$AO$1006:$BQ$1006,0)))),"Fix")))</f>
        <v>#N/A</v>
      </c>
      <c r="K507" s="5" t="e">
        <f ca="1">IF(OR(INDEX($AI$2:$AI$1001,MATCH(ROWS($AH$2:AH507),$AH$2:$AH$1001,0),1)&gt;=100000,INDEX($AO$1005:$BQ$1005,1,MATCH(COLUMNS($AO$1006:AX1006),$AO$1006:$BQ$1006,0))&gt;=100000), " ",IF(INDEX($AO$2:$BQ$1001,MATCH(ROWS($AH$2:AH507),$AH$2:$AH$1001,0),MATCH(COLUMNS($AO$1006:AX1006),$AO$1006:$BQ$1006,0)), HYPERLINK("#",""), HYPERLINK(CONCATENATE("#Metadata!", ADDRESS(INDEX($AJ$2:$AJ$1001,MATCH(ROWS($AH$2:AH507),$AH$2:$AH$1001,0),0), INDEX($AO$1004:$BQ$1004,1,MATCH(COLUMNS($AO$1006:AX1006),$AO$1006:$BQ$1006,0)))),"Fix")))</f>
        <v>#N/A</v>
      </c>
      <c r="L507" s="5" t="e">
        <f ca="1">IF(OR(INDEX($AI$2:$AI$1001,MATCH(ROWS($AH$2:AH507),$AH$2:$AH$1001,0),1)&gt;=100000,INDEX($AO$1005:$BQ$1005,1,MATCH(COLUMNS($AO$1006:AY1006),$AO$1006:$BQ$1006,0))&gt;=100000), " ",IF(INDEX($AO$2:$BQ$1001,MATCH(ROWS($AH$2:AH507),$AH$2:$AH$1001,0),MATCH(COLUMNS($AO$1006:AY1006),$AO$1006:$BQ$1006,0)), HYPERLINK("#",""), HYPERLINK(CONCATENATE("#Metadata!", ADDRESS(INDEX($AJ$2:$AJ$1001,MATCH(ROWS($AH$2:AH507),$AH$2:$AH$1001,0),0), INDEX($AO$1004:$BQ$1004,1,MATCH(COLUMNS($AO$1006:AY1006),$AO$1006:$BQ$1006,0)))),"Fix")))</f>
        <v>#N/A</v>
      </c>
      <c r="M507" s="5" t="e">
        <f ca="1">IF(OR(INDEX($AI$2:$AI$1001,MATCH(ROWS($AH$2:AH507),$AH$2:$AH$1001,0),1)&gt;=100000,INDEX($AO$1005:$BQ$1005,1,MATCH(COLUMNS($AO$1006:AZ1006),$AO$1006:$BQ$1006,0))&gt;=100000), " ",IF(INDEX($AO$2:$BQ$1001,MATCH(ROWS($AH$2:AH507),$AH$2:$AH$1001,0),MATCH(COLUMNS($AO$1006:AZ1006),$AO$1006:$BQ$1006,0)), HYPERLINK("#",""), HYPERLINK(CONCATENATE("#Metadata!", ADDRESS(INDEX($AJ$2:$AJ$1001,MATCH(ROWS($AH$2:AH507),$AH$2:$AH$1001,0),0), INDEX($AO$1004:$BQ$1004,1,MATCH(COLUMNS($AO$1006:AZ1006),$AO$1006:$BQ$1006,0)))),"Fix")))</f>
        <v>#N/A</v>
      </c>
      <c r="N507" s="5" t="e">
        <f ca="1">IF(OR(INDEX($AI$2:$AI$1001,MATCH(ROWS($AH$2:AH507),$AH$2:$AH$1001,0),1)&gt;=100000,INDEX($AO$1005:$BQ$1005,1,MATCH(COLUMNS($AO$1006:BA1006),$AO$1006:$BQ$1006,0))&gt;=100000), " ",IF(INDEX($AO$2:$BQ$1001,MATCH(ROWS($AH$2:AH507),$AH$2:$AH$1001,0),MATCH(COLUMNS($AO$1006:BA1006),$AO$1006:$BQ$1006,0)), HYPERLINK("#",""), HYPERLINK(CONCATENATE("#Metadata!", ADDRESS(INDEX($AJ$2:$AJ$1001,MATCH(ROWS($AH$2:AH507),$AH$2:$AH$1001,0),0), INDEX($AO$1004:$BQ$1004,1,MATCH(COLUMNS($AO$1006:BA1006),$AO$1006:$BQ$1006,0)))),"Fix")))</f>
        <v>#N/A</v>
      </c>
      <c r="O507" s="5" t="e">
        <f ca="1">IF(OR(INDEX($AI$2:$AI$1001,MATCH(ROWS($AH$2:AH507),$AH$2:$AH$1001,0),1)&gt;=100000,INDEX($AO$1005:$BQ$1005,1,MATCH(COLUMNS($AO$1006:BB1006),$AO$1006:$BQ$1006,0))&gt;=100000), " ",IF(INDEX($AO$2:$BQ$1001,MATCH(ROWS($AH$2:AH507),$AH$2:$AH$1001,0),MATCH(COLUMNS($AO$1006:BB1006),$AO$1006:$BQ$1006,0)), HYPERLINK("#",""), HYPERLINK(CONCATENATE("#Metadata!", ADDRESS(INDEX($AJ$2:$AJ$1001,MATCH(ROWS($AH$2:AH507),$AH$2:$AH$1001,0),0), INDEX($AO$1004:$BQ$1004,1,MATCH(COLUMNS($AO$1006:BB1006),$AO$1006:$BQ$1006,0)))),"Fix")))</f>
        <v>#N/A</v>
      </c>
      <c r="P507" s="5" t="e">
        <f ca="1">IF(OR(INDEX($AI$2:$AI$1001,MATCH(ROWS($AH$2:AH507),$AH$2:$AH$1001,0),1)&gt;=100000,INDEX($AO$1005:$BQ$1005,1,MATCH(COLUMNS($AO$1006:BC1006),$AO$1006:$BQ$1006,0))&gt;=100000), " ",IF(INDEX($AO$2:$BQ$1001,MATCH(ROWS($AH$2:AH507),$AH$2:$AH$1001,0),MATCH(COLUMNS($AO$1006:BC1006),$AO$1006:$BQ$1006,0)), HYPERLINK("#",""), HYPERLINK(CONCATENATE("#Metadata!", ADDRESS(INDEX($AJ$2:$AJ$1001,MATCH(ROWS($AH$2:AH507),$AH$2:$AH$1001,0),0), INDEX($AO$1004:$BQ$1004,1,MATCH(COLUMNS($AO$1006:BC1006),$AO$1006:$BQ$1006,0)))),"Fix")))</f>
        <v>#N/A</v>
      </c>
      <c r="Q507" s="5" t="e">
        <f ca="1">IF(OR(INDEX($AI$2:$AI$1001,MATCH(ROWS($AH$2:AH507),$AH$2:$AH$1001,0),1)&gt;=100000,INDEX($AO$1005:$BQ$1005,1,MATCH(COLUMNS($AO$1006:BD1006),$AO$1006:$BQ$1006,0))&gt;=100000), " ",IF(INDEX($AO$2:$BQ$1001,MATCH(ROWS($AH$2:AH507),$AH$2:$AH$1001,0),MATCH(COLUMNS($AO$1006:BD1006),$AO$1006:$BQ$1006,0)), HYPERLINK("#",""), HYPERLINK(CONCATENATE("#Metadata!", ADDRESS(INDEX($AJ$2:$AJ$1001,MATCH(ROWS($AH$2:AH507),$AH$2:$AH$1001,0),0), INDEX($AO$1004:$BQ$1004,1,MATCH(COLUMNS($AO$1006:BD1006),$AO$1006:$BQ$1006,0)))),"Fix")))</f>
        <v>#N/A</v>
      </c>
      <c r="R507" s="5" t="e">
        <f ca="1">IF(OR(INDEX($AI$2:$AI$1001,MATCH(ROWS($AH$2:AH507),$AH$2:$AH$1001,0),1)&gt;=100000,INDEX($AO$1005:$BQ$1005,1,MATCH(COLUMNS($AO$1006:BE1006),$AO$1006:$BQ$1006,0))&gt;=100000), " ",IF(INDEX($AO$2:$BQ$1001,MATCH(ROWS($AH$2:AH507),$AH$2:$AH$1001,0),MATCH(COLUMNS($AO$1006:BE1006),$AO$1006:$BQ$1006,0)), HYPERLINK("#",""), HYPERLINK(CONCATENATE("#Metadata!", ADDRESS(INDEX($AJ$2:$AJ$1001,MATCH(ROWS($AH$2:AH507),$AH$2:$AH$1001,0),0), INDEX($AO$1004:$BQ$1004,1,MATCH(COLUMNS($AO$1006:BE1006),$AO$1006:$BQ$1006,0)))),"Fix")))</f>
        <v>#N/A</v>
      </c>
      <c r="S507" s="5" t="e">
        <f ca="1">IF(OR(INDEX($AI$2:$AI$1001,MATCH(ROWS($AH$2:AH507),$AH$2:$AH$1001,0),1)&gt;=100000,INDEX($AO$1005:$BQ$1005,1,MATCH(COLUMNS($AO$1006:BF1006),$AO$1006:$BQ$1006,0))&gt;=100000), " ",IF(INDEX($AO$2:$BQ$1001,MATCH(ROWS($AH$2:AH507),$AH$2:$AH$1001,0),MATCH(COLUMNS($AO$1006:BF1006),$AO$1006:$BQ$1006,0)), HYPERLINK("#",""), HYPERLINK(CONCATENATE("#Metadata!", ADDRESS(INDEX($AJ$2:$AJ$1001,MATCH(ROWS($AH$2:AH507),$AH$2:$AH$1001,0),0), INDEX($AO$1004:$BQ$1004,1,MATCH(COLUMNS($AO$1006:BF1006),$AO$1006:$BQ$1006,0)))),"Fix")))</f>
        <v>#N/A</v>
      </c>
      <c r="T507" s="5" t="e">
        <f ca="1">IF(OR(INDEX($AI$2:$AI$1001,MATCH(ROWS($AH$2:AH507),$AH$2:$AH$1001,0),1)&gt;=100000,INDEX($AO$1005:$BQ$1005,1,MATCH(COLUMNS($AO$1006:BG1006),$AO$1006:$BQ$1006,0))&gt;=100000), " ",IF(INDEX($AO$2:$BQ$1001,MATCH(ROWS($AH$2:AH507),$AH$2:$AH$1001,0),MATCH(COLUMNS($AO$1006:BG1006),$AO$1006:$BQ$1006,0)), HYPERLINK("#",""), HYPERLINK(CONCATENATE("#Metadata!", ADDRESS(INDEX($AJ$2:$AJ$1001,MATCH(ROWS($AH$2:AH507),$AH$2:$AH$1001,0),0), INDEX($AO$1004:$BQ$1004,1,MATCH(COLUMNS($AO$1006:BG1006),$AO$1006:$BQ$1006,0)))),"Fix")))</f>
        <v>#N/A</v>
      </c>
      <c r="U507" s="5" t="e">
        <f ca="1">IF(OR(INDEX($AI$2:$AI$1001,MATCH(ROWS($AH$2:AH507),$AH$2:$AH$1001,0),1)&gt;=100000,INDEX($AO$1005:$BQ$1005,1,MATCH(COLUMNS($AO$1006:BH1006),$AO$1006:$BQ$1006,0))&gt;=100000), " ",IF(INDEX($AO$2:$BQ$1001,MATCH(ROWS($AH$2:AH507),$AH$2:$AH$1001,0),MATCH(COLUMNS($AO$1006:BH1006),$AO$1006:$BQ$1006,0)), HYPERLINK("#",""), HYPERLINK(CONCATENATE("#Metadata!", ADDRESS(INDEX($AJ$2:$AJ$1001,MATCH(ROWS($AH$2:AH507),$AH$2:$AH$1001,0),0), INDEX($AO$1004:$BQ$1004,1,MATCH(COLUMNS($AO$1006:BH1006),$AO$1006:$BQ$1006,0)))),"Fix")))</f>
        <v>#N/A</v>
      </c>
      <c r="V507" s="5" t="e">
        <f ca="1">IF(OR(INDEX($AI$2:$AI$1001,MATCH(ROWS($AH$2:AH507),$AH$2:$AH$1001,0),1)&gt;=100000,INDEX($AO$1005:$BQ$1005,1,MATCH(COLUMNS($AO$1006:BI1006),$AO$1006:$BQ$1006,0))&gt;=100000), " ",IF(INDEX($AO$2:$BQ$1001,MATCH(ROWS($AH$2:AH507),$AH$2:$AH$1001,0),MATCH(COLUMNS($AO$1006:BI1006),$AO$1006:$BQ$1006,0)), HYPERLINK("#",""), HYPERLINK(CONCATENATE("#Metadata!", ADDRESS(INDEX($AJ$2:$AJ$1001,MATCH(ROWS($AH$2:AH507),$AH$2:$AH$1001,0),0), INDEX($AO$1004:$BQ$1004,1,MATCH(COLUMNS($AO$1006:BI1006),$AO$1006:$BQ$1006,0)))),"Fix")))</f>
        <v>#N/A</v>
      </c>
      <c r="W507" s="5" t="e">
        <f ca="1">IF(OR(INDEX($AI$2:$AI$1001,MATCH(ROWS($AH$2:AH507),$AH$2:$AH$1001,0),1)&gt;=100000,INDEX($AO$1005:$BQ$1005,1,MATCH(COLUMNS($AO$1006:BJ1006),$AO$1006:$BQ$1006,0))&gt;=100000), " ",IF(INDEX($AO$2:$BQ$1001,MATCH(ROWS($AH$2:AH507),$AH$2:$AH$1001,0),MATCH(COLUMNS($AO$1006:BJ1006),$AO$1006:$BQ$1006,0)), HYPERLINK("#",""), HYPERLINK(CONCATENATE("#Metadata!", ADDRESS(INDEX($AJ$2:$AJ$1001,MATCH(ROWS($AH$2:AH507),$AH$2:$AH$1001,0),0), INDEX($AO$1004:$BQ$1004,1,MATCH(COLUMNS($AO$1006:BJ1006),$AO$1006:$BQ$1006,0)))),"Fix")))</f>
        <v>#N/A</v>
      </c>
      <c r="X507" s="5" t="e">
        <f ca="1">IF(OR(INDEX($AI$2:$AI$1001,MATCH(ROWS($AH$2:AH507),$AH$2:$AH$1001,0),1)&gt;=100000,INDEX($AO$1005:$BQ$1005,1,MATCH(COLUMNS($AO$1006:BK1006),$AO$1006:$BQ$1006,0))&gt;=100000), " ",IF(INDEX($AO$2:$BQ$1001,MATCH(ROWS($AH$2:AH507),$AH$2:$AH$1001,0),MATCH(COLUMNS($AO$1006:BK1006),$AO$1006:$BQ$1006,0)), HYPERLINK("#",""), HYPERLINK(CONCATENATE("#Metadata!", ADDRESS(INDEX($AJ$2:$AJ$1001,MATCH(ROWS($AH$2:AH507),$AH$2:$AH$1001,0),0), INDEX($AO$1004:$BQ$1004,1,MATCH(COLUMNS($AO$1006:BK1006),$AO$1006:$BQ$1006,0)))),"Fix")))</f>
        <v>#N/A</v>
      </c>
      <c r="Y507" s="5" t="e">
        <f ca="1">IF(OR(INDEX($AI$2:$AI$1001,MATCH(ROWS($AH$2:AH507),$AH$2:$AH$1001,0),1)&gt;=100000,INDEX($AO$1005:$BQ$1005,1,MATCH(COLUMNS($AO$1006:BL1006),$AO$1006:$BQ$1006,0))&gt;=100000), " ",IF(INDEX($AO$2:$BQ$1001,MATCH(ROWS($AH$2:AH507),$AH$2:$AH$1001,0),MATCH(COLUMNS($AO$1006:BL1006),$AO$1006:$BQ$1006,0)), HYPERLINK("#",""), HYPERLINK(CONCATENATE("#Metadata!", ADDRESS(INDEX($AJ$2:$AJ$1001,MATCH(ROWS($AH$2:AH507),$AH$2:$AH$1001,0),0), INDEX($AO$1004:$BQ$1004,1,MATCH(COLUMNS($AO$1006:BL1006),$AO$1006:$BQ$1006,0)))),"Fix")))</f>
        <v>#N/A</v>
      </c>
      <c r="Z507" s="5" t="e">
        <f ca="1">IF(OR(INDEX($AI$2:$AI$1001,MATCH(ROWS($AH$2:AH507),$AH$2:$AH$1001,0),1)&gt;=100000,INDEX($AO$1005:$BQ$1005,1,MATCH(COLUMNS($AO$1006:BM1006),$AO$1006:$BQ$1006,0))&gt;=100000), " ",IF(INDEX($AO$2:$BQ$1001,MATCH(ROWS($AH$2:AH507),$AH$2:$AH$1001,0),MATCH(COLUMNS($AO$1006:BM1006),$AO$1006:$BQ$1006,0)), HYPERLINK("#",""), HYPERLINK(CONCATENATE("#Metadata!", ADDRESS(INDEX($AJ$2:$AJ$1001,MATCH(ROWS($AH$2:AH507),$AH$2:$AH$1001,0),0), INDEX($AO$1004:$BQ$1004,1,MATCH(COLUMNS($AO$1006:BM1006),$AO$1006:$BQ$1006,0)))),"Fix")))</f>
        <v>#N/A</v>
      </c>
      <c r="AA507" s="5" t="e">
        <f ca="1">IF(OR(INDEX($AI$2:$AI$1001,MATCH(ROWS($AH$2:AH507),$AH$2:$AH$1001,0),1)&gt;=100000,INDEX($AO$1005:$BQ$1005,1,MATCH(COLUMNS($AO$1006:BN1006),$AO$1006:$BQ$1006,0))&gt;=100000), " ",IF(INDEX($AO$2:$BQ$1001,MATCH(ROWS($AH$2:AH507),$AH$2:$AH$1001,0),MATCH(COLUMNS($AO$1006:BN1006),$AO$1006:$BQ$1006,0)), HYPERLINK("#",""), HYPERLINK(CONCATENATE("#Metadata!", ADDRESS(INDEX($AJ$2:$AJ$1001,MATCH(ROWS($AH$2:AH507),$AH$2:$AH$1001,0),0), INDEX($AO$1004:$BQ$1004,1,MATCH(COLUMNS($AO$1006:BN1006),$AO$1006:$BQ$1006,0)))),"Fix")))</f>
        <v>#N/A</v>
      </c>
      <c r="AB507" s="5" t="e">
        <f ca="1">IF(OR(INDEX($AI$2:$AI$1001,MATCH(ROWS($AH$2:AH507),$AH$2:$AH$1001,0),1)&gt;=100000,INDEX($AO$1005:$BQ$1005,1,MATCH(COLUMNS($AO$1006:BO1006),$AO$1006:$BQ$1006,0))&gt;=100000), " ",IF(INDEX($AO$2:$BQ$1001,MATCH(ROWS($AH$2:AH507),$AH$2:$AH$1001,0),MATCH(COLUMNS($AO$1006:BO1006),$AO$1006:$BQ$1006,0)), HYPERLINK("#",""), HYPERLINK(CONCATENATE("#Metadata!", ADDRESS(INDEX($AJ$2:$AJ$1001,MATCH(ROWS($AH$2:AH507),$AH$2:$AH$1001,0),0), INDEX($AO$1004:$BQ$1004,1,MATCH(COLUMNS($AO$1006:BO1006),$AO$1006:$BQ$1006,0)))),"Fix")))</f>
        <v>#N/A</v>
      </c>
      <c r="AC507" s="5" t="e">
        <f ca="1">IF(OR(INDEX($AI$2:$AI$1001,MATCH(ROWS($AH$2:AH507),$AH$2:$AH$1001,0),1)&gt;=100000,INDEX($AO$1005:$BQ$1005,1,MATCH(COLUMNS($AO$1006:BP1006),$AO$1006:$BQ$1006,0))&gt;=100000), " ",IF(INDEX($AO$2:$BQ$1001,MATCH(ROWS($AH$2:AH507),$AH$2:$AH$1001,0),MATCH(COLUMNS($AO$1006:BP1006),$AO$1006:$BQ$1006,0)), HYPERLINK("#",""), HYPERLINK(CONCATENATE("#Metadata!", ADDRESS(INDEX($AJ$2:$AJ$1001,MATCH(ROWS($AH$2:AH507),$AH$2:$AH$1001,0),0), INDEX($AO$1004:$BQ$1004,1,MATCH(COLUMNS($AO$1006:BP1006),$AO$1006:$BQ$1006,0)))),"Fix")))</f>
        <v>#N/A</v>
      </c>
      <c r="AD507" s="5" t="e">
        <f ca="1">IF(OR(INDEX($AI$2:$AI$1001,MATCH(ROWS($AH$2:AH507),$AH$2:$AH$1001,0),1)&gt;=100000,INDEX($AO$1005:$BQ$1005,1,MATCH(COLUMNS($AO$1006:BQ1006),$AO$1006:$BQ$1006,0))&gt;=100000), " ",IF(INDEX($AO$2:$BQ$1001,MATCH(ROWS($AH$2:AH507),$AH$2:$AH$1001,0),MATCH(COLUMNS($AO$1006:BQ1006),$AO$1006:$BQ$1006,0)), HYPERLINK("#",""), HYPERLINK(CONCATENATE("#Metadata!", ADDRESS(INDEX($AJ$2:$AJ$1001,MATCH(ROWS($AH$2:AH507),$AH$2:$AH$1001,0),0), INDEX($AO$1004:$BQ$1004,1,MATCH(COLUMNS($AO$1006:BQ1006),$AO$1006:$BQ$1006,0)))),"Fix")))</f>
        <v>#REF!</v>
      </c>
      <c r="AH507">
        <f ca="1"/>
        <v>504</v>
      </c>
      <c r="AI507">
        <v>100507</v>
      </c>
      <c r="AJ507">
        <v>507</v>
      </c>
      <c r="AK507" t="b">
        <f t="shared" si="7"/>
        <v>1</v>
      </c>
      <c r="AL507" t="b">
        <f>COUNTBLANK(Metadata!B507:AD507)=COLUMNS(Metadata!B507:AD507)</f>
        <v>1</v>
      </c>
      <c r="AM507" t="str">
        <v/>
      </c>
      <c r="AO507" t="b">
        <f ca="1">AND(IF(Metadata!B507="",FALSE,TRUE),COUNTIF(Metadata!B:B, Metadata!B507) = 1,NOT(ISERROR(SUMPRODUCT(SEARCH(MID(Metadata!B507,ROW(INDIRECT("1:"&amp;LEN(Metadata!B507))), 1),"0123456789abcdefghijklmnopqrstuvwxyzABCDEFGHIJKLMNOPQRSTUVWXYZ.")))))</f>
        <v>0</v>
      </c>
      <c r="AP507" t="b">
        <f>IF(Metadata!C507="",FALSE,TRUE)</f>
        <v>0</v>
      </c>
      <c r="AQ507" t="b">
        <f>IF(Metadata!D507="",FALSE,TRUE)</f>
        <v>0</v>
      </c>
      <c r="AR507" t="b">
        <f ca="1">OR(AND(IF(Metadata!E507="",FALSE,TRUE),OR(EXACT(Metadata!E507,"not collected"),EXACT(Metadata!E507,"not provided"),EXACT(Metadata!E507,"restricted access"))),AND(IF(Metadata!E507="",FALSE,TRUE),AND(AND(IFERROR(INT(LEFT(Metadata!E507,4))&gt;1900,FALSE),IFERROR(INT(LEFT(Metadata!E507,4))&lt;=YEAR(NOW()),FALSE)), OR(MID(Metadata!E507,5,1)="", AND(AND(MID(Metadata!E507,5,1)="-",IFERROR(INT(MID(Metadata!E507,6,1))&gt;=0,FALSE),IFERROR(INT(MID(Metadata!E507,6,1))&lt;=1,FALSE),NOT(MID(Metadata!E507,7,1)=""),IFERROR(INT(MID(Metadata!E507,6,2))&gt;=1,FALSE),IFERROR(INT(MID(Metadata!E507,6,2))&lt;=12,FALSE)), OR(MID(Metadata!E507,8,1)="", AND(AND(MID(Metadata!E507,8,1)="-",IFERROR(INT(MID(Metadata!E507,9,1))&gt;=0,FALSE),IFERROR(INT(MID(Metadata!E507,9,1))&lt;=3,FALSE),NOT(MID(Metadata!E507,10,1)=""),IFERROR(INT(MID(Metadata!E507,9,2))&gt;=1,FALSE),IFERROR(INT(MID(Metadata!E507,9,2))&lt;=31,FALSE)), OR(MID(Metadata!E507,11,1)="", AND(AND(MID(Metadata!E507,11,1)=" ",IFERROR(INT(MID(Metadata!E507,12,1))&gt;=0,FALSE),IFERROR(INT(MID(Metadata!E507,12,1))&lt;=2,FALSE),NOT(MID(Metadata!E507,13,1)=""),IFERROR(INT(MID(Metadata!E507,12,2))&gt;=0,FALSE),IFERROR(INT(MID(Metadata!E507,12,2))&lt;=23,FALSE)), OR(MID(Metadata!E507,14,1)="", AND(AND(MID(Metadata!E507,14,1)=":",IFERROR(INT(MID(Metadata!E507,15,1))&gt;=0,FALSE),IFERROR(INT(MID(Metadata!E507,15,1))&lt;=5,FALSE),NOT(MID(Metadata!E507,16,1)=""),IFERROR(INT(MID(Metadata!E507,15,2))&gt;=0,FALSE),IFERROR(INT(MID(Metadata!E507,15,2))&lt;=59,FALSE)), OR(MID(Metadata!E507,17,1)="", AND(AND(MID(Metadata!E507,17,1)=":",IFERROR(INT(MID(Metadata!E507,18,1))&gt;=0,FALSE),IFERROR(INT(MID(Metadata!E507,18,1))&lt;=5,FALSE),NOT(MID(Metadata!E507,19,1)=""),IFERROR(INT(MID(Metadata!E507,18,2))&gt;=0,FALSE),IFERROR(INT(MID(Metadata!E507,18,2))&lt;=59,FALSE)), LEN(Metadata!E507)&lt;=19)))))))))))))</f>
        <v>0</v>
      </c>
      <c r="AS507" t="b">
        <f>IF(Metadata!F507="",FALSE,TRUE)</f>
        <v>0</v>
      </c>
      <c r="AT507" t="b">
        <f>OR(AND(IF(Metadata!G507="",FALSE,TRUE),OR(EXACT(Metadata!G507,"not collected"),EXACT(Metadata!G507,"not provided"))),AND(IF(Metadata!G507="",FALSE,TRUE),OR(EXACT(Metadata!G507,"TRUE"),EXACT(Metadata!G507,"FALSE"))))</f>
        <v>0</v>
      </c>
      <c r="AU507" t="b">
        <f>OR(AND(IF(Metadata!H507="",FALSE,TRUE),OR(EXACT(Metadata!H507,"not collected"),EXACT(Metadata!H507,"not provided"),EXACT(Metadata!H507,"restricted access"))),AND(IF(Metadata!H507="",FALSE,ISNUMBER(VALUE(Metadata!H507))),Metadata!H507&gt;=-413))</f>
        <v>0</v>
      </c>
      <c r="AV507" t="b">
        <f>AND(IF(Metadata!I507="",FALSE,TRUE),EXACT(Metadata!I507,"meters"))</f>
        <v>0</v>
      </c>
      <c r="AW507" t="b">
        <f>AND(IF(Metadata!J507="",FALSE,TRUE),EXACT(Metadata!J507,"free-living"))</f>
        <v>0</v>
      </c>
      <c r="AX507" t="b">
        <f>AND(IF(Metadata!K507="",FALSE,TRUE),OR(EXACT(Metadata!K507,"saline"),EXACT(Metadata!K507,"non-saline")))</f>
        <v>0</v>
      </c>
      <c r="AY507" t="b">
        <f>AND(IF(Metadata!L507="",FALSE,TRUE),OR(EXACT(Metadata!L507,"sub-surface (non-saline)"),EXACT(Metadata!L507,"surface (non-saline)"),EXACT(Metadata!L507,"water (non-saline)"),EXACT(Metadata!L507,"soil (non-saline)"),EXACT(Metadata!L507,"aerosol (non-saline)"),EXACT(Metadata!L507,"sediment (non-saline)"),EXACT(Metadata!L507,"surface (saline)"),EXACT(Metadata!L507,"water (saline)"),EXACT(Metadata!L507,"hypersaline (saline)"),EXACT(Metadata!L507,"aerosol (saline)"),EXACT(Metadata!L507,"sediment (saline)")))</f>
        <v>0</v>
      </c>
      <c r="AZ507" t="b">
        <f>IF(Metadata!M507="",FALSE,TRUE)</f>
        <v>0</v>
      </c>
      <c r="BA507" t="b">
        <f>IF(Metadata!N507="",FALSE,TRUE)</f>
        <v>0</v>
      </c>
      <c r="BB507" t="b">
        <f>IF(Metadata!O507="",FALSE,TRUE)</f>
        <v>0</v>
      </c>
      <c r="BC507" t="b">
        <f>AND(IF(Metadata!P507="",FALSE,TRUE),OR(EXACT(Metadata!P507,"air"),EXACT(Metadata!P507,"microbial mat/biofilm"),EXACT(Metadata!P507,"misc environment"),EXACT(Metadata!P507,"sediment"),EXACT(Metadata!P507,"soil"),EXACT(Metadata!P507,"wastewater/sludge"),EXACT(Metadata!P507,"water")))</f>
        <v>0</v>
      </c>
      <c r="BD507" t="b">
        <f>IF(Metadata!Q507="",FALSE,TRUE)</f>
        <v>0</v>
      </c>
      <c r="BE507" t="b">
        <f>IF(Metadata!R507="",FALSE,TRUE)</f>
        <v>0</v>
      </c>
      <c r="BF507" t="b">
        <f>OR(AND(IF(Metadata!S507="",FALSE,TRUE),OR(EXACT(Metadata!S507,"not collected"),EXACT(Metadata!S507,"not provided"),EXACT(Metadata!S507,"restricted access"))),AND(IF(Metadata!S507="",FALSE,ISNUMBER(VALUE(Metadata!S507))),Metadata!S507&gt;=-90,Metadata!S507&lt;=90))</f>
        <v>0</v>
      </c>
      <c r="BG507" t="b">
        <f>AND(IF(Metadata!T507="",FALSE,TRUE),EXACT(Metadata!T507,"Decimal degrees"))</f>
        <v>0</v>
      </c>
      <c r="BH507" t="b">
        <f>OR(AND(IF(Metadata!U507="",FALSE,TRUE),OR(EXACT(Metadata!U507,"not applicable"),EXACT(Metadata!U507,"not collected"))),IF(Metadata!U507="",FALSE,TRUE))</f>
        <v>0</v>
      </c>
      <c r="BI507" t="b">
        <f>OR(AND(IF(Metadata!V507="",FALSE,TRUE),OR(EXACT(Metadata!V507,"not collected"),EXACT(Metadata!V507,"not provided"),EXACT(Metadata!V507,"restricted access"))),AND(IF(Metadata!V507="",FALSE,ISNUMBER(VALUE(Metadata!V507))),Metadata!V507&gt;=-180,Metadata!V507&lt;=180))</f>
        <v>0</v>
      </c>
      <c r="BJ507" t="b">
        <f>AND(IF(Metadata!W507="",FALSE,TRUE),EXACT(Metadata!W507,"Decimal degrees"))</f>
        <v>0</v>
      </c>
      <c r="BK507" t="b">
        <f>IF(Metadata!X507="",FALSE,TRUE)</f>
        <v>0</v>
      </c>
      <c r="BL507" t="b">
        <f>OR(AND(IF(Metadata!Y507="",FALSE,TRUE),OR(EXACT(Metadata!Y507,"not collected"),EXACT(Metadata!Y507,"not provided"),EXACT(Metadata!Y507,"restricted access"))),AND(IF(Metadata!Y507="",FALSE,TRUE),OR(EXACT(Metadata!Y507,"TRUE"),EXACT(Metadata!Y507,"FALSE"))))</f>
        <v>0</v>
      </c>
      <c r="BM507" t="b">
        <f>OR(AND(IF(Metadata!Z507="",FALSE,TRUE),EXACT(Metadata!Z507,"not applicable")),AND(IF(Metadata!Z507="",FALSE,TRUE),OR(EXACT(Metadata!Z507,"beer"),EXACT(Metadata!Z507,"cheese"),EXACT(Metadata!Z507,"fresh water"),EXACT(Metadata!Z507,"marine sediment"),EXACT(Metadata!Z507,"sea water"),EXACT(Metadata!Z507,"sediment"),EXACT(Metadata!Z507,"soil"),EXACT(Metadata!Z507,"waste water"))))</f>
        <v>0</v>
      </c>
      <c r="BN507" t="b">
        <f>AND(IF(Metadata!AA507="",FALSE,TRUE),EXACT(Metadata!AA507,"metagenome"))</f>
        <v>0</v>
      </c>
      <c r="BO507" t="b">
        <f>AND(IF(Metadata!AB507="",FALSE,TRUE),EXACT(Metadata!AB507,"256318"))</f>
        <v>0</v>
      </c>
      <c r="BP507" t="b">
        <f>IF(Metadata!AC507="",FALSE,TRUE)</f>
        <v>0</v>
      </c>
      <c r="BQ507" t="b">
        <f>IF(Metadata!AD507="",FALSE,TRUE)</f>
        <v>0</v>
      </c>
    </row>
    <row r="508" spans="1:69" x14ac:dyDescent="0.2">
      <c r="A508" s="4" t="e">
        <f ca="1">IF(B508=" "," ",HYPERLINK(CONCATENATE("#metadata!",ADDRESS(INDEX($AJ$2:$AJ$1001,MATCH(ROWS($AH$2:AH508),$AH$2:$AH$1001,0),0),2)),INDEX($AM$2:$AM$1001,MATCH(ROWS($AH$2:AH508),$AH$2:$AH$1001,0),0)))</f>
        <v>#N/A</v>
      </c>
      <c r="B508" s="5" t="e">
        <f ca="1">IF(OR(INDEX($AI$2:$AI$1001,MATCH(ROWS($AH$2:AH508),$AH$2:$AH$1001,0),1)&gt;=100000,INDEX($AO$1005:$BQ$1005,1,MATCH(COLUMNS($AO$1006:AO1006),$AO$1006:$BQ$1006,0))&gt;=100000), " ",IF(INDEX($AO$2:$BQ$1001,MATCH(ROWS($AH$2:AH508),$AH$2:$AH$1001,0),MATCH(COLUMNS($AO$1006:AO1006),$AO$1006:$BQ$1006,0)), HYPERLINK("#",""), HYPERLINK(CONCATENATE("#Metadata!", ADDRESS(INDEX($AJ$2:$AJ$1001,MATCH(ROWS($AH$2:AH508),$AH$2:$AH$1001,0),0), INDEX($AO$1004:$BQ$1004,1,MATCH(COLUMNS($AO$1006:AO1006),$AO$1006:$BQ$1006,0)))),"Fix")))</f>
        <v>#N/A</v>
      </c>
      <c r="C508" s="5" t="e">
        <f ca="1">IF(OR(INDEX($AI$2:$AI$1001,MATCH(ROWS($AH$2:AH508),$AH$2:$AH$1001,0),1)&gt;=100000,INDEX($AO$1005:$BQ$1005,1,MATCH(COLUMNS($AO$1006:AP1006),$AO$1006:$BQ$1006,0))&gt;=100000), " ",IF(INDEX($AO$2:$BQ$1001,MATCH(ROWS($AH$2:AH508),$AH$2:$AH$1001,0),MATCH(COLUMNS($AO$1006:AP1006),$AO$1006:$BQ$1006,0)), HYPERLINK("#",""), HYPERLINK(CONCATENATE("#Metadata!", ADDRESS(INDEX($AJ$2:$AJ$1001,MATCH(ROWS($AH$2:AH508),$AH$2:$AH$1001,0),0), INDEX($AO$1004:$BQ$1004,1,MATCH(COLUMNS($AO$1006:AP1006),$AO$1006:$BQ$1006,0)))),"Fix")))</f>
        <v>#N/A</v>
      </c>
      <c r="D508" s="5" t="e">
        <f ca="1">IF(OR(INDEX($AI$2:$AI$1001,MATCH(ROWS($AH$2:AH508),$AH$2:$AH$1001,0),1)&gt;=100000,INDEX($AO$1005:$BQ$1005,1,MATCH(COLUMNS($AO$1006:AQ1006),$AO$1006:$BQ$1006,0))&gt;=100000), " ",IF(INDEX($AO$2:$BQ$1001,MATCH(ROWS($AH$2:AH508),$AH$2:$AH$1001,0),MATCH(COLUMNS($AO$1006:AQ1006),$AO$1006:$BQ$1006,0)), HYPERLINK("#",""), HYPERLINK(CONCATENATE("#Metadata!", ADDRESS(INDEX($AJ$2:$AJ$1001,MATCH(ROWS($AH$2:AH508),$AH$2:$AH$1001,0),0), INDEX($AO$1004:$BQ$1004,1,MATCH(COLUMNS($AO$1006:AQ1006),$AO$1006:$BQ$1006,0)))),"Fix")))</f>
        <v>#N/A</v>
      </c>
      <c r="E508" s="5" t="e">
        <f ca="1">IF(OR(INDEX($AI$2:$AI$1001,MATCH(ROWS($AH$2:AH508),$AH$2:$AH$1001,0),1)&gt;=100000,INDEX($AO$1005:$BQ$1005,1,MATCH(COLUMNS($AO$1006:AR1006),$AO$1006:$BQ$1006,0))&gt;=100000), " ",IF(INDEX($AO$2:$BQ$1001,MATCH(ROWS($AH$2:AH508),$AH$2:$AH$1001,0),MATCH(COLUMNS($AO$1006:AR1006),$AO$1006:$BQ$1006,0)), HYPERLINK("#",""), HYPERLINK(CONCATENATE("#Metadata!", ADDRESS(INDEX($AJ$2:$AJ$1001,MATCH(ROWS($AH$2:AH508),$AH$2:$AH$1001,0),0), INDEX($AO$1004:$BQ$1004,1,MATCH(COLUMNS($AO$1006:AR1006),$AO$1006:$BQ$1006,0)))),"Fix")))</f>
        <v>#N/A</v>
      </c>
      <c r="F508" s="5" t="e">
        <f ca="1">IF(OR(INDEX($AI$2:$AI$1001,MATCH(ROWS($AH$2:AH508),$AH$2:$AH$1001,0),1)&gt;=100000,INDEX($AO$1005:$BQ$1005,1,MATCH(COLUMNS($AO$1006:AS1006),$AO$1006:$BQ$1006,0))&gt;=100000), " ",IF(INDEX($AO$2:$BQ$1001,MATCH(ROWS($AH$2:AH508),$AH$2:$AH$1001,0),MATCH(COLUMNS($AO$1006:AS1006),$AO$1006:$BQ$1006,0)), HYPERLINK("#",""), HYPERLINK(CONCATENATE("#Metadata!", ADDRESS(INDEX($AJ$2:$AJ$1001,MATCH(ROWS($AH$2:AH508),$AH$2:$AH$1001,0),0), INDEX($AO$1004:$BQ$1004,1,MATCH(COLUMNS($AO$1006:AS1006),$AO$1006:$BQ$1006,0)))),"Fix")))</f>
        <v>#N/A</v>
      </c>
      <c r="G508" s="5" t="e">
        <f ca="1">IF(OR(INDEX($AI$2:$AI$1001,MATCH(ROWS($AH$2:AH508),$AH$2:$AH$1001,0),1)&gt;=100000,INDEX($AO$1005:$BQ$1005,1,MATCH(COLUMNS($AO$1006:AT1006),$AO$1006:$BQ$1006,0))&gt;=100000), " ",IF(INDEX($AO$2:$BQ$1001,MATCH(ROWS($AH$2:AH508),$AH$2:$AH$1001,0),MATCH(COLUMNS($AO$1006:AT1006),$AO$1006:$BQ$1006,0)), HYPERLINK("#",""), HYPERLINK(CONCATENATE("#Metadata!", ADDRESS(INDEX($AJ$2:$AJ$1001,MATCH(ROWS($AH$2:AH508),$AH$2:$AH$1001,0),0), INDEX($AO$1004:$BQ$1004,1,MATCH(COLUMNS($AO$1006:AT1006),$AO$1006:$BQ$1006,0)))),"Fix")))</f>
        <v>#N/A</v>
      </c>
      <c r="H508" s="5" t="e">
        <f ca="1">IF(OR(INDEX($AI$2:$AI$1001,MATCH(ROWS($AH$2:AH508),$AH$2:$AH$1001,0),1)&gt;=100000,INDEX($AO$1005:$BQ$1005,1,MATCH(COLUMNS($AO$1006:AU1006),$AO$1006:$BQ$1006,0))&gt;=100000), " ",IF(INDEX($AO$2:$BQ$1001,MATCH(ROWS($AH$2:AH508),$AH$2:$AH$1001,0),MATCH(COLUMNS($AO$1006:AU1006),$AO$1006:$BQ$1006,0)), HYPERLINK("#",""), HYPERLINK(CONCATENATE("#Metadata!", ADDRESS(INDEX($AJ$2:$AJ$1001,MATCH(ROWS($AH$2:AH508),$AH$2:$AH$1001,0),0), INDEX($AO$1004:$BQ$1004,1,MATCH(COLUMNS($AO$1006:AU1006),$AO$1006:$BQ$1006,0)))),"Fix")))</f>
        <v>#N/A</v>
      </c>
      <c r="I508" s="5" t="e">
        <f ca="1">IF(OR(INDEX($AI$2:$AI$1001,MATCH(ROWS($AH$2:AH508),$AH$2:$AH$1001,0),1)&gt;=100000,INDEX($AO$1005:$BQ$1005,1,MATCH(COLUMNS($AO$1006:AV1006),$AO$1006:$BQ$1006,0))&gt;=100000), " ",IF(INDEX($AO$2:$BQ$1001,MATCH(ROWS($AH$2:AH508),$AH$2:$AH$1001,0),MATCH(COLUMNS($AO$1006:AV1006),$AO$1006:$BQ$1006,0)), HYPERLINK("#",""), HYPERLINK(CONCATENATE("#Metadata!", ADDRESS(INDEX($AJ$2:$AJ$1001,MATCH(ROWS($AH$2:AH508),$AH$2:$AH$1001,0),0), INDEX($AO$1004:$BQ$1004,1,MATCH(COLUMNS($AO$1006:AV1006),$AO$1006:$BQ$1006,0)))),"Fix")))</f>
        <v>#N/A</v>
      </c>
      <c r="J508" s="5" t="e">
        <f ca="1">IF(OR(INDEX($AI$2:$AI$1001,MATCH(ROWS($AH$2:AH508),$AH$2:$AH$1001,0),1)&gt;=100000,INDEX($AO$1005:$BQ$1005,1,MATCH(COLUMNS($AO$1006:AW1006),$AO$1006:$BQ$1006,0))&gt;=100000), " ",IF(INDEX($AO$2:$BQ$1001,MATCH(ROWS($AH$2:AH508),$AH$2:$AH$1001,0),MATCH(COLUMNS($AO$1006:AW1006),$AO$1006:$BQ$1006,0)), HYPERLINK("#",""), HYPERLINK(CONCATENATE("#Metadata!", ADDRESS(INDEX($AJ$2:$AJ$1001,MATCH(ROWS($AH$2:AH508),$AH$2:$AH$1001,0),0), INDEX($AO$1004:$BQ$1004,1,MATCH(COLUMNS($AO$1006:AW1006),$AO$1006:$BQ$1006,0)))),"Fix")))</f>
        <v>#N/A</v>
      </c>
      <c r="K508" s="5" t="e">
        <f ca="1">IF(OR(INDEX($AI$2:$AI$1001,MATCH(ROWS($AH$2:AH508),$AH$2:$AH$1001,0),1)&gt;=100000,INDEX($AO$1005:$BQ$1005,1,MATCH(COLUMNS($AO$1006:AX1006),$AO$1006:$BQ$1006,0))&gt;=100000), " ",IF(INDEX($AO$2:$BQ$1001,MATCH(ROWS($AH$2:AH508),$AH$2:$AH$1001,0),MATCH(COLUMNS($AO$1006:AX1006),$AO$1006:$BQ$1006,0)), HYPERLINK("#",""), HYPERLINK(CONCATENATE("#Metadata!", ADDRESS(INDEX($AJ$2:$AJ$1001,MATCH(ROWS($AH$2:AH508),$AH$2:$AH$1001,0),0), INDEX($AO$1004:$BQ$1004,1,MATCH(COLUMNS($AO$1006:AX1006),$AO$1006:$BQ$1006,0)))),"Fix")))</f>
        <v>#N/A</v>
      </c>
      <c r="L508" s="5" t="e">
        <f ca="1">IF(OR(INDEX($AI$2:$AI$1001,MATCH(ROWS($AH$2:AH508),$AH$2:$AH$1001,0),1)&gt;=100000,INDEX($AO$1005:$BQ$1005,1,MATCH(COLUMNS($AO$1006:AY1006),$AO$1006:$BQ$1006,0))&gt;=100000), " ",IF(INDEX($AO$2:$BQ$1001,MATCH(ROWS($AH$2:AH508),$AH$2:$AH$1001,0),MATCH(COLUMNS($AO$1006:AY1006),$AO$1006:$BQ$1006,0)), HYPERLINK("#",""), HYPERLINK(CONCATENATE("#Metadata!", ADDRESS(INDEX($AJ$2:$AJ$1001,MATCH(ROWS($AH$2:AH508),$AH$2:$AH$1001,0),0), INDEX($AO$1004:$BQ$1004,1,MATCH(COLUMNS($AO$1006:AY1006),$AO$1006:$BQ$1006,0)))),"Fix")))</f>
        <v>#N/A</v>
      </c>
      <c r="M508" s="5" t="e">
        <f ca="1">IF(OR(INDEX($AI$2:$AI$1001,MATCH(ROWS($AH$2:AH508),$AH$2:$AH$1001,0),1)&gt;=100000,INDEX($AO$1005:$BQ$1005,1,MATCH(COLUMNS($AO$1006:AZ1006),$AO$1006:$BQ$1006,0))&gt;=100000), " ",IF(INDEX($AO$2:$BQ$1001,MATCH(ROWS($AH$2:AH508),$AH$2:$AH$1001,0),MATCH(COLUMNS($AO$1006:AZ1006),$AO$1006:$BQ$1006,0)), HYPERLINK("#",""), HYPERLINK(CONCATENATE("#Metadata!", ADDRESS(INDEX($AJ$2:$AJ$1001,MATCH(ROWS($AH$2:AH508),$AH$2:$AH$1001,0),0), INDEX($AO$1004:$BQ$1004,1,MATCH(COLUMNS($AO$1006:AZ1006),$AO$1006:$BQ$1006,0)))),"Fix")))</f>
        <v>#N/A</v>
      </c>
      <c r="N508" s="5" t="e">
        <f ca="1">IF(OR(INDEX($AI$2:$AI$1001,MATCH(ROWS($AH$2:AH508),$AH$2:$AH$1001,0),1)&gt;=100000,INDEX($AO$1005:$BQ$1005,1,MATCH(COLUMNS($AO$1006:BA1006),$AO$1006:$BQ$1006,0))&gt;=100000), " ",IF(INDEX($AO$2:$BQ$1001,MATCH(ROWS($AH$2:AH508),$AH$2:$AH$1001,0),MATCH(COLUMNS($AO$1006:BA1006),$AO$1006:$BQ$1006,0)), HYPERLINK("#",""), HYPERLINK(CONCATENATE("#Metadata!", ADDRESS(INDEX($AJ$2:$AJ$1001,MATCH(ROWS($AH$2:AH508),$AH$2:$AH$1001,0),0), INDEX($AO$1004:$BQ$1004,1,MATCH(COLUMNS($AO$1006:BA1006),$AO$1006:$BQ$1006,0)))),"Fix")))</f>
        <v>#N/A</v>
      </c>
      <c r="O508" s="5" t="e">
        <f ca="1">IF(OR(INDEX($AI$2:$AI$1001,MATCH(ROWS($AH$2:AH508),$AH$2:$AH$1001,0),1)&gt;=100000,INDEX($AO$1005:$BQ$1005,1,MATCH(COLUMNS($AO$1006:BB1006),$AO$1006:$BQ$1006,0))&gt;=100000), " ",IF(INDEX($AO$2:$BQ$1001,MATCH(ROWS($AH$2:AH508),$AH$2:$AH$1001,0),MATCH(COLUMNS($AO$1006:BB1006),$AO$1006:$BQ$1006,0)), HYPERLINK("#",""), HYPERLINK(CONCATENATE("#Metadata!", ADDRESS(INDEX($AJ$2:$AJ$1001,MATCH(ROWS($AH$2:AH508),$AH$2:$AH$1001,0),0), INDEX($AO$1004:$BQ$1004,1,MATCH(COLUMNS($AO$1006:BB1006),$AO$1006:$BQ$1006,0)))),"Fix")))</f>
        <v>#N/A</v>
      </c>
      <c r="P508" s="5" t="e">
        <f ca="1">IF(OR(INDEX($AI$2:$AI$1001,MATCH(ROWS($AH$2:AH508),$AH$2:$AH$1001,0),1)&gt;=100000,INDEX($AO$1005:$BQ$1005,1,MATCH(COLUMNS($AO$1006:BC1006),$AO$1006:$BQ$1006,0))&gt;=100000), " ",IF(INDEX($AO$2:$BQ$1001,MATCH(ROWS($AH$2:AH508),$AH$2:$AH$1001,0),MATCH(COLUMNS($AO$1006:BC1006),$AO$1006:$BQ$1006,0)), HYPERLINK("#",""), HYPERLINK(CONCATENATE("#Metadata!", ADDRESS(INDEX($AJ$2:$AJ$1001,MATCH(ROWS($AH$2:AH508),$AH$2:$AH$1001,0),0), INDEX($AO$1004:$BQ$1004,1,MATCH(COLUMNS($AO$1006:BC1006),$AO$1006:$BQ$1006,0)))),"Fix")))</f>
        <v>#N/A</v>
      </c>
      <c r="Q508" s="5" t="e">
        <f ca="1">IF(OR(INDEX($AI$2:$AI$1001,MATCH(ROWS($AH$2:AH508),$AH$2:$AH$1001,0),1)&gt;=100000,INDEX($AO$1005:$BQ$1005,1,MATCH(COLUMNS($AO$1006:BD1006),$AO$1006:$BQ$1006,0))&gt;=100000), " ",IF(INDEX($AO$2:$BQ$1001,MATCH(ROWS($AH$2:AH508),$AH$2:$AH$1001,0),MATCH(COLUMNS($AO$1006:BD1006),$AO$1006:$BQ$1006,0)), HYPERLINK("#",""), HYPERLINK(CONCATENATE("#Metadata!", ADDRESS(INDEX($AJ$2:$AJ$1001,MATCH(ROWS($AH$2:AH508),$AH$2:$AH$1001,0),0), INDEX($AO$1004:$BQ$1004,1,MATCH(COLUMNS($AO$1006:BD1006),$AO$1006:$BQ$1006,0)))),"Fix")))</f>
        <v>#N/A</v>
      </c>
      <c r="R508" s="5" t="e">
        <f ca="1">IF(OR(INDEX($AI$2:$AI$1001,MATCH(ROWS($AH$2:AH508),$AH$2:$AH$1001,0),1)&gt;=100000,INDEX($AO$1005:$BQ$1005,1,MATCH(COLUMNS($AO$1006:BE1006),$AO$1006:$BQ$1006,0))&gt;=100000), " ",IF(INDEX($AO$2:$BQ$1001,MATCH(ROWS($AH$2:AH508),$AH$2:$AH$1001,0),MATCH(COLUMNS($AO$1006:BE1006),$AO$1006:$BQ$1006,0)), HYPERLINK("#",""), HYPERLINK(CONCATENATE("#Metadata!", ADDRESS(INDEX($AJ$2:$AJ$1001,MATCH(ROWS($AH$2:AH508),$AH$2:$AH$1001,0),0), INDEX($AO$1004:$BQ$1004,1,MATCH(COLUMNS($AO$1006:BE1006),$AO$1006:$BQ$1006,0)))),"Fix")))</f>
        <v>#N/A</v>
      </c>
      <c r="S508" s="5" t="e">
        <f ca="1">IF(OR(INDEX($AI$2:$AI$1001,MATCH(ROWS($AH$2:AH508),$AH$2:$AH$1001,0),1)&gt;=100000,INDEX($AO$1005:$BQ$1005,1,MATCH(COLUMNS($AO$1006:BF1006),$AO$1006:$BQ$1006,0))&gt;=100000), " ",IF(INDEX($AO$2:$BQ$1001,MATCH(ROWS($AH$2:AH508),$AH$2:$AH$1001,0),MATCH(COLUMNS($AO$1006:BF1006),$AO$1006:$BQ$1006,0)), HYPERLINK("#",""), HYPERLINK(CONCATENATE("#Metadata!", ADDRESS(INDEX($AJ$2:$AJ$1001,MATCH(ROWS($AH$2:AH508),$AH$2:$AH$1001,0),0), INDEX($AO$1004:$BQ$1004,1,MATCH(COLUMNS($AO$1006:BF1006),$AO$1006:$BQ$1006,0)))),"Fix")))</f>
        <v>#N/A</v>
      </c>
      <c r="T508" s="5" t="e">
        <f ca="1">IF(OR(INDEX($AI$2:$AI$1001,MATCH(ROWS($AH$2:AH508),$AH$2:$AH$1001,0),1)&gt;=100000,INDEX($AO$1005:$BQ$1005,1,MATCH(COLUMNS($AO$1006:BG1006),$AO$1006:$BQ$1006,0))&gt;=100000), " ",IF(INDEX($AO$2:$BQ$1001,MATCH(ROWS($AH$2:AH508),$AH$2:$AH$1001,0),MATCH(COLUMNS($AO$1006:BG1006),$AO$1006:$BQ$1006,0)), HYPERLINK("#",""), HYPERLINK(CONCATENATE("#Metadata!", ADDRESS(INDEX($AJ$2:$AJ$1001,MATCH(ROWS($AH$2:AH508),$AH$2:$AH$1001,0),0), INDEX($AO$1004:$BQ$1004,1,MATCH(COLUMNS($AO$1006:BG1006),$AO$1006:$BQ$1006,0)))),"Fix")))</f>
        <v>#N/A</v>
      </c>
      <c r="U508" s="5" t="e">
        <f ca="1">IF(OR(INDEX($AI$2:$AI$1001,MATCH(ROWS($AH$2:AH508),$AH$2:$AH$1001,0),1)&gt;=100000,INDEX($AO$1005:$BQ$1005,1,MATCH(COLUMNS($AO$1006:BH1006),$AO$1006:$BQ$1006,0))&gt;=100000), " ",IF(INDEX($AO$2:$BQ$1001,MATCH(ROWS($AH$2:AH508),$AH$2:$AH$1001,0),MATCH(COLUMNS($AO$1006:BH1006),$AO$1006:$BQ$1006,0)), HYPERLINK("#",""), HYPERLINK(CONCATENATE("#Metadata!", ADDRESS(INDEX($AJ$2:$AJ$1001,MATCH(ROWS($AH$2:AH508),$AH$2:$AH$1001,0),0), INDEX($AO$1004:$BQ$1004,1,MATCH(COLUMNS($AO$1006:BH1006),$AO$1006:$BQ$1006,0)))),"Fix")))</f>
        <v>#N/A</v>
      </c>
      <c r="V508" s="5" t="e">
        <f ca="1">IF(OR(INDEX($AI$2:$AI$1001,MATCH(ROWS($AH$2:AH508),$AH$2:$AH$1001,0),1)&gt;=100000,INDEX($AO$1005:$BQ$1005,1,MATCH(COLUMNS($AO$1006:BI1006),$AO$1006:$BQ$1006,0))&gt;=100000), " ",IF(INDEX($AO$2:$BQ$1001,MATCH(ROWS($AH$2:AH508),$AH$2:$AH$1001,0),MATCH(COLUMNS($AO$1006:BI1006),$AO$1006:$BQ$1006,0)), HYPERLINK("#",""), HYPERLINK(CONCATENATE("#Metadata!", ADDRESS(INDEX($AJ$2:$AJ$1001,MATCH(ROWS($AH$2:AH508),$AH$2:$AH$1001,0),0), INDEX($AO$1004:$BQ$1004,1,MATCH(COLUMNS($AO$1006:BI1006),$AO$1006:$BQ$1006,0)))),"Fix")))</f>
        <v>#N/A</v>
      </c>
      <c r="W508" s="5" t="e">
        <f ca="1">IF(OR(INDEX($AI$2:$AI$1001,MATCH(ROWS($AH$2:AH508),$AH$2:$AH$1001,0),1)&gt;=100000,INDEX($AO$1005:$BQ$1005,1,MATCH(COLUMNS($AO$1006:BJ1006),$AO$1006:$BQ$1006,0))&gt;=100000), " ",IF(INDEX($AO$2:$BQ$1001,MATCH(ROWS($AH$2:AH508),$AH$2:$AH$1001,0),MATCH(COLUMNS($AO$1006:BJ1006),$AO$1006:$BQ$1006,0)), HYPERLINK("#",""), HYPERLINK(CONCATENATE("#Metadata!", ADDRESS(INDEX($AJ$2:$AJ$1001,MATCH(ROWS($AH$2:AH508),$AH$2:$AH$1001,0),0), INDEX($AO$1004:$BQ$1004,1,MATCH(COLUMNS($AO$1006:BJ1006),$AO$1006:$BQ$1006,0)))),"Fix")))</f>
        <v>#N/A</v>
      </c>
      <c r="X508" s="5" t="e">
        <f ca="1">IF(OR(INDEX($AI$2:$AI$1001,MATCH(ROWS($AH$2:AH508),$AH$2:$AH$1001,0),1)&gt;=100000,INDEX($AO$1005:$BQ$1005,1,MATCH(COLUMNS($AO$1006:BK1006),$AO$1006:$BQ$1006,0))&gt;=100000), " ",IF(INDEX($AO$2:$BQ$1001,MATCH(ROWS($AH$2:AH508),$AH$2:$AH$1001,0),MATCH(COLUMNS($AO$1006:BK1006),$AO$1006:$BQ$1006,0)), HYPERLINK("#",""), HYPERLINK(CONCATENATE("#Metadata!", ADDRESS(INDEX($AJ$2:$AJ$1001,MATCH(ROWS($AH$2:AH508),$AH$2:$AH$1001,0),0), INDEX($AO$1004:$BQ$1004,1,MATCH(COLUMNS($AO$1006:BK1006),$AO$1006:$BQ$1006,0)))),"Fix")))</f>
        <v>#N/A</v>
      </c>
      <c r="Y508" s="5" t="e">
        <f ca="1">IF(OR(INDEX($AI$2:$AI$1001,MATCH(ROWS($AH$2:AH508),$AH$2:$AH$1001,0),1)&gt;=100000,INDEX($AO$1005:$BQ$1005,1,MATCH(COLUMNS($AO$1006:BL1006),$AO$1006:$BQ$1006,0))&gt;=100000), " ",IF(INDEX($AO$2:$BQ$1001,MATCH(ROWS($AH$2:AH508),$AH$2:$AH$1001,0),MATCH(COLUMNS($AO$1006:BL1006),$AO$1006:$BQ$1006,0)), HYPERLINK("#",""), HYPERLINK(CONCATENATE("#Metadata!", ADDRESS(INDEX($AJ$2:$AJ$1001,MATCH(ROWS($AH$2:AH508),$AH$2:$AH$1001,0),0), INDEX($AO$1004:$BQ$1004,1,MATCH(COLUMNS($AO$1006:BL1006),$AO$1006:$BQ$1006,0)))),"Fix")))</f>
        <v>#N/A</v>
      </c>
      <c r="Z508" s="5" t="e">
        <f ca="1">IF(OR(INDEX($AI$2:$AI$1001,MATCH(ROWS($AH$2:AH508),$AH$2:$AH$1001,0),1)&gt;=100000,INDEX($AO$1005:$BQ$1005,1,MATCH(COLUMNS($AO$1006:BM1006),$AO$1006:$BQ$1006,0))&gt;=100000), " ",IF(INDEX($AO$2:$BQ$1001,MATCH(ROWS($AH$2:AH508),$AH$2:$AH$1001,0),MATCH(COLUMNS($AO$1006:BM1006),$AO$1006:$BQ$1006,0)), HYPERLINK("#",""), HYPERLINK(CONCATENATE("#Metadata!", ADDRESS(INDEX($AJ$2:$AJ$1001,MATCH(ROWS($AH$2:AH508),$AH$2:$AH$1001,0),0), INDEX($AO$1004:$BQ$1004,1,MATCH(COLUMNS($AO$1006:BM1006),$AO$1006:$BQ$1006,0)))),"Fix")))</f>
        <v>#N/A</v>
      </c>
      <c r="AA508" s="5" t="e">
        <f ca="1">IF(OR(INDEX($AI$2:$AI$1001,MATCH(ROWS($AH$2:AH508),$AH$2:$AH$1001,0),1)&gt;=100000,INDEX($AO$1005:$BQ$1005,1,MATCH(COLUMNS($AO$1006:BN1006),$AO$1006:$BQ$1006,0))&gt;=100000), " ",IF(INDEX($AO$2:$BQ$1001,MATCH(ROWS($AH$2:AH508),$AH$2:$AH$1001,0),MATCH(COLUMNS($AO$1006:BN1006),$AO$1006:$BQ$1006,0)), HYPERLINK("#",""), HYPERLINK(CONCATENATE("#Metadata!", ADDRESS(INDEX($AJ$2:$AJ$1001,MATCH(ROWS($AH$2:AH508),$AH$2:$AH$1001,0),0), INDEX($AO$1004:$BQ$1004,1,MATCH(COLUMNS($AO$1006:BN1006),$AO$1006:$BQ$1006,0)))),"Fix")))</f>
        <v>#N/A</v>
      </c>
      <c r="AB508" s="5" t="e">
        <f ca="1">IF(OR(INDEX($AI$2:$AI$1001,MATCH(ROWS($AH$2:AH508),$AH$2:$AH$1001,0),1)&gt;=100000,INDEX($AO$1005:$BQ$1005,1,MATCH(COLUMNS($AO$1006:BO1006),$AO$1006:$BQ$1006,0))&gt;=100000), " ",IF(INDEX($AO$2:$BQ$1001,MATCH(ROWS($AH$2:AH508),$AH$2:$AH$1001,0),MATCH(COLUMNS($AO$1006:BO1006),$AO$1006:$BQ$1006,0)), HYPERLINK("#",""), HYPERLINK(CONCATENATE("#Metadata!", ADDRESS(INDEX($AJ$2:$AJ$1001,MATCH(ROWS($AH$2:AH508),$AH$2:$AH$1001,0),0), INDEX($AO$1004:$BQ$1004,1,MATCH(COLUMNS($AO$1006:BO1006),$AO$1006:$BQ$1006,0)))),"Fix")))</f>
        <v>#N/A</v>
      </c>
      <c r="AC508" s="5" t="e">
        <f ca="1">IF(OR(INDEX($AI$2:$AI$1001,MATCH(ROWS($AH$2:AH508),$AH$2:$AH$1001,0),1)&gt;=100000,INDEX($AO$1005:$BQ$1005,1,MATCH(COLUMNS($AO$1006:BP1006),$AO$1006:$BQ$1006,0))&gt;=100000), " ",IF(INDEX($AO$2:$BQ$1001,MATCH(ROWS($AH$2:AH508),$AH$2:$AH$1001,0),MATCH(COLUMNS($AO$1006:BP1006),$AO$1006:$BQ$1006,0)), HYPERLINK("#",""), HYPERLINK(CONCATENATE("#Metadata!", ADDRESS(INDEX($AJ$2:$AJ$1001,MATCH(ROWS($AH$2:AH508),$AH$2:$AH$1001,0),0), INDEX($AO$1004:$BQ$1004,1,MATCH(COLUMNS($AO$1006:BP1006),$AO$1006:$BQ$1006,0)))),"Fix")))</f>
        <v>#N/A</v>
      </c>
      <c r="AD508" s="5" t="e">
        <f ca="1">IF(OR(INDEX($AI$2:$AI$1001,MATCH(ROWS($AH$2:AH508),$AH$2:$AH$1001,0),1)&gt;=100000,INDEX($AO$1005:$BQ$1005,1,MATCH(COLUMNS($AO$1006:BQ1006),$AO$1006:$BQ$1006,0))&gt;=100000), " ",IF(INDEX($AO$2:$BQ$1001,MATCH(ROWS($AH$2:AH508),$AH$2:$AH$1001,0),MATCH(COLUMNS($AO$1006:BQ1006),$AO$1006:$BQ$1006,0)), HYPERLINK("#",""), HYPERLINK(CONCATENATE("#Metadata!", ADDRESS(INDEX($AJ$2:$AJ$1001,MATCH(ROWS($AH$2:AH508),$AH$2:$AH$1001,0),0), INDEX($AO$1004:$BQ$1004,1,MATCH(COLUMNS($AO$1006:BQ1006),$AO$1006:$BQ$1006,0)))),"Fix")))</f>
        <v>#REF!</v>
      </c>
      <c r="AH508">
        <f ca="1"/>
        <v>505</v>
      </c>
      <c r="AI508">
        <v>100508</v>
      </c>
      <c r="AJ508">
        <v>508</v>
      </c>
      <c r="AK508" t="b">
        <f t="shared" si="7"/>
        <v>1</v>
      </c>
      <c r="AL508" t="b">
        <f>COUNTBLANK(Metadata!B508:AD508)=COLUMNS(Metadata!B508:AD508)</f>
        <v>1</v>
      </c>
      <c r="AM508" t="str">
        <v/>
      </c>
      <c r="AO508" t="b">
        <f ca="1">AND(IF(Metadata!B508="",FALSE,TRUE),COUNTIF(Metadata!B:B, Metadata!B508) = 1,NOT(ISERROR(SUMPRODUCT(SEARCH(MID(Metadata!B508,ROW(INDIRECT("1:"&amp;LEN(Metadata!B508))), 1),"0123456789abcdefghijklmnopqrstuvwxyzABCDEFGHIJKLMNOPQRSTUVWXYZ.")))))</f>
        <v>0</v>
      </c>
      <c r="AP508" t="b">
        <f>IF(Metadata!C508="",FALSE,TRUE)</f>
        <v>0</v>
      </c>
      <c r="AQ508" t="b">
        <f>IF(Metadata!D508="",FALSE,TRUE)</f>
        <v>0</v>
      </c>
      <c r="AR508" t="b">
        <f ca="1">OR(AND(IF(Metadata!E508="",FALSE,TRUE),OR(EXACT(Metadata!E508,"not collected"),EXACT(Metadata!E508,"not provided"),EXACT(Metadata!E508,"restricted access"))),AND(IF(Metadata!E508="",FALSE,TRUE),AND(AND(IFERROR(INT(LEFT(Metadata!E508,4))&gt;1900,FALSE),IFERROR(INT(LEFT(Metadata!E508,4))&lt;=YEAR(NOW()),FALSE)), OR(MID(Metadata!E508,5,1)="", AND(AND(MID(Metadata!E508,5,1)="-",IFERROR(INT(MID(Metadata!E508,6,1))&gt;=0,FALSE),IFERROR(INT(MID(Metadata!E508,6,1))&lt;=1,FALSE),NOT(MID(Metadata!E508,7,1)=""),IFERROR(INT(MID(Metadata!E508,6,2))&gt;=1,FALSE),IFERROR(INT(MID(Metadata!E508,6,2))&lt;=12,FALSE)), OR(MID(Metadata!E508,8,1)="", AND(AND(MID(Metadata!E508,8,1)="-",IFERROR(INT(MID(Metadata!E508,9,1))&gt;=0,FALSE),IFERROR(INT(MID(Metadata!E508,9,1))&lt;=3,FALSE),NOT(MID(Metadata!E508,10,1)=""),IFERROR(INT(MID(Metadata!E508,9,2))&gt;=1,FALSE),IFERROR(INT(MID(Metadata!E508,9,2))&lt;=31,FALSE)), OR(MID(Metadata!E508,11,1)="", AND(AND(MID(Metadata!E508,11,1)=" ",IFERROR(INT(MID(Metadata!E508,12,1))&gt;=0,FALSE),IFERROR(INT(MID(Metadata!E508,12,1))&lt;=2,FALSE),NOT(MID(Metadata!E508,13,1)=""),IFERROR(INT(MID(Metadata!E508,12,2))&gt;=0,FALSE),IFERROR(INT(MID(Metadata!E508,12,2))&lt;=23,FALSE)), OR(MID(Metadata!E508,14,1)="", AND(AND(MID(Metadata!E508,14,1)=":",IFERROR(INT(MID(Metadata!E508,15,1))&gt;=0,FALSE),IFERROR(INT(MID(Metadata!E508,15,1))&lt;=5,FALSE),NOT(MID(Metadata!E508,16,1)=""),IFERROR(INT(MID(Metadata!E508,15,2))&gt;=0,FALSE),IFERROR(INT(MID(Metadata!E508,15,2))&lt;=59,FALSE)), OR(MID(Metadata!E508,17,1)="", AND(AND(MID(Metadata!E508,17,1)=":",IFERROR(INT(MID(Metadata!E508,18,1))&gt;=0,FALSE),IFERROR(INT(MID(Metadata!E508,18,1))&lt;=5,FALSE),NOT(MID(Metadata!E508,19,1)=""),IFERROR(INT(MID(Metadata!E508,18,2))&gt;=0,FALSE),IFERROR(INT(MID(Metadata!E508,18,2))&lt;=59,FALSE)), LEN(Metadata!E508)&lt;=19)))))))))))))</f>
        <v>0</v>
      </c>
      <c r="AS508" t="b">
        <f>IF(Metadata!F508="",FALSE,TRUE)</f>
        <v>0</v>
      </c>
      <c r="AT508" t="b">
        <f>OR(AND(IF(Metadata!G508="",FALSE,TRUE),OR(EXACT(Metadata!G508,"not collected"),EXACT(Metadata!G508,"not provided"))),AND(IF(Metadata!G508="",FALSE,TRUE),OR(EXACT(Metadata!G508,"TRUE"),EXACT(Metadata!G508,"FALSE"))))</f>
        <v>0</v>
      </c>
      <c r="AU508" t="b">
        <f>OR(AND(IF(Metadata!H508="",FALSE,TRUE),OR(EXACT(Metadata!H508,"not collected"),EXACT(Metadata!H508,"not provided"),EXACT(Metadata!H508,"restricted access"))),AND(IF(Metadata!H508="",FALSE,ISNUMBER(VALUE(Metadata!H508))),Metadata!H508&gt;=-413))</f>
        <v>0</v>
      </c>
      <c r="AV508" t="b">
        <f>AND(IF(Metadata!I508="",FALSE,TRUE),EXACT(Metadata!I508,"meters"))</f>
        <v>0</v>
      </c>
      <c r="AW508" t="b">
        <f>AND(IF(Metadata!J508="",FALSE,TRUE),EXACT(Metadata!J508,"free-living"))</f>
        <v>0</v>
      </c>
      <c r="AX508" t="b">
        <f>AND(IF(Metadata!K508="",FALSE,TRUE),OR(EXACT(Metadata!K508,"saline"),EXACT(Metadata!K508,"non-saline")))</f>
        <v>0</v>
      </c>
      <c r="AY508" t="b">
        <f>AND(IF(Metadata!L508="",FALSE,TRUE),OR(EXACT(Metadata!L508,"sub-surface (non-saline)"),EXACT(Metadata!L508,"surface (non-saline)"),EXACT(Metadata!L508,"water (non-saline)"),EXACT(Metadata!L508,"soil (non-saline)"),EXACT(Metadata!L508,"aerosol (non-saline)"),EXACT(Metadata!L508,"sediment (non-saline)"),EXACT(Metadata!L508,"surface (saline)"),EXACT(Metadata!L508,"water (saline)"),EXACT(Metadata!L508,"hypersaline (saline)"),EXACT(Metadata!L508,"aerosol (saline)"),EXACT(Metadata!L508,"sediment (saline)")))</f>
        <v>0</v>
      </c>
      <c r="AZ508" t="b">
        <f>IF(Metadata!M508="",FALSE,TRUE)</f>
        <v>0</v>
      </c>
      <c r="BA508" t="b">
        <f>IF(Metadata!N508="",FALSE,TRUE)</f>
        <v>0</v>
      </c>
      <c r="BB508" t="b">
        <f>IF(Metadata!O508="",FALSE,TRUE)</f>
        <v>0</v>
      </c>
      <c r="BC508" t="b">
        <f>AND(IF(Metadata!P508="",FALSE,TRUE),OR(EXACT(Metadata!P508,"air"),EXACT(Metadata!P508,"microbial mat/biofilm"),EXACT(Metadata!P508,"misc environment"),EXACT(Metadata!P508,"sediment"),EXACT(Metadata!P508,"soil"),EXACT(Metadata!P508,"wastewater/sludge"),EXACT(Metadata!P508,"water")))</f>
        <v>0</v>
      </c>
      <c r="BD508" t="b">
        <f>IF(Metadata!Q508="",FALSE,TRUE)</f>
        <v>0</v>
      </c>
      <c r="BE508" t="b">
        <f>IF(Metadata!R508="",FALSE,TRUE)</f>
        <v>0</v>
      </c>
      <c r="BF508" t="b">
        <f>OR(AND(IF(Metadata!S508="",FALSE,TRUE),OR(EXACT(Metadata!S508,"not collected"),EXACT(Metadata!S508,"not provided"),EXACT(Metadata!S508,"restricted access"))),AND(IF(Metadata!S508="",FALSE,ISNUMBER(VALUE(Metadata!S508))),Metadata!S508&gt;=-90,Metadata!S508&lt;=90))</f>
        <v>0</v>
      </c>
      <c r="BG508" t="b">
        <f>AND(IF(Metadata!T508="",FALSE,TRUE),EXACT(Metadata!T508,"Decimal degrees"))</f>
        <v>0</v>
      </c>
      <c r="BH508" t="b">
        <f>OR(AND(IF(Metadata!U508="",FALSE,TRUE),OR(EXACT(Metadata!U508,"not applicable"),EXACT(Metadata!U508,"not collected"))),IF(Metadata!U508="",FALSE,TRUE))</f>
        <v>0</v>
      </c>
      <c r="BI508" t="b">
        <f>OR(AND(IF(Metadata!V508="",FALSE,TRUE),OR(EXACT(Metadata!V508,"not collected"),EXACT(Metadata!V508,"not provided"),EXACT(Metadata!V508,"restricted access"))),AND(IF(Metadata!V508="",FALSE,ISNUMBER(VALUE(Metadata!V508))),Metadata!V508&gt;=-180,Metadata!V508&lt;=180))</f>
        <v>0</v>
      </c>
      <c r="BJ508" t="b">
        <f>AND(IF(Metadata!W508="",FALSE,TRUE),EXACT(Metadata!W508,"Decimal degrees"))</f>
        <v>0</v>
      </c>
      <c r="BK508" t="b">
        <f>IF(Metadata!X508="",FALSE,TRUE)</f>
        <v>0</v>
      </c>
      <c r="BL508" t="b">
        <f>OR(AND(IF(Metadata!Y508="",FALSE,TRUE),OR(EXACT(Metadata!Y508,"not collected"),EXACT(Metadata!Y508,"not provided"),EXACT(Metadata!Y508,"restricted access"))),AND(IF(Metadata!Y508="",FALSE,TRUE),OR(EXACT(Metadata!Y508,"TRUE"),EXACT(Metadata!Y508,"FALSE"))))</f>
        <v>0</v>
      </c>
      <c r="BM508" t="b">
        <f>OR(AND(IF(Metadata!Z508="",FALSE,TRUE),EXACT(Metadata!Z508,"not applicable")),AND(IF(Metadata!Z508="",FALSE,TRUE),OR(EXACT(Metadata!Z508,"beer"),EXACT(Metadata!Z508,"cheese"),EXACT(Metadata!Z508,"fresh water"),EXACT(Metadata!Z508,"marine sediment"),EXACT(Metadata!Z508,"sea water"),EXACT(Metadata!Z508,"sediment"),EXACT(Metadata!Z508,"soil"),EXACT(Metadata!Z508,"waste water"))))</f>
        <v>0</v>
      </c>
      <c r="BN508" t="b">
        <f>AND(IF(Metadata!AA508="",FALSE,TRUE),EXACT(Metadata!AA508,"metagenome"))</f>
        <v>0</v>
      </c>
      <c r="BO508" t="b">
        <f>AND(IF(Metadata!AB508="",FALSE,TRUE),EXACT(Metadata!AB508,"256318"))</f>
        <v>0</v>
      </c>
      <c r="BP508" t="b">
        <f>IF(Metadata!AC508="",FALSE,TRUE)</f>
        <v>0</v>
      </c>
      <c r="BQ508" t="b">
        <f>IF(Metadata!AD508="",FALSE,TRUE)</f>
        <v>0</v>
      </c>
    </row>
    <row r="509" spans="1:69" x14ac:dyDescent="0.2">
      <c r="A509" s="4" t="e">
        <f ca="1">IF(B509=" "," ",HYPERLINK(CONCATENATE("#metadata!",ADDRESS(INDEX($AJ$2:$AJ$1001,MATCH(ROWS($AH$2:AH509),$AH$2:$AH$1001,0),0),2)),INDEX($AM$2:$AM$1001,MATCH(ROWS($AH$2:AH509),$AH$2:$AH$1001,0),0)))</f>
        <v>#N/A</v>
      </c>
      <c r="B509" s="5" t="e">
        <f ca="1">IF(OR(INDEX($AI$2:$AI$1001,MATCH(ROWS($AH$2:AH509),$AH$2:$AH$1001,0),1)&gt;=100000,INDEX($AO$1005:$BQ$1005,1,MATCH(COLUMNS($AO$1006:AO1006),$AO$1006:$BQ$1006,0))&gt;=100000), " ",IF(INDEX($AO$2:$BQ$1001,MATCH(ROWS($AH$2:AH509),$AH$2:$AH$1001,0),MATCH(COLUMNS($AO$1006:AO1006),$AO$1006:$BQ$1006,0)), HYPERLINK("#",""), HYPERLINK(CONCATENATE("#Metadata!", ADDRESS(INDEX($AJ$2:$AJ$1001,MATCH(ROWS($AH$2:AH509),$AH$2:$AH$1001,0),0), INDEX($AO$1004:$BQ$1004,1,MATCH(COLUMNS($AO$1006:AO1006),$AO$1006:$BQ$1006,0)))),"Fix")))</f>
        <v>#N/A</v>
      </c>
      <c r="C509" s="5" t="e">
        <f ca="1">IF(OR(INDEX($AI$2:$AI$1001,MATCH(ROWS($AH$2:AH509),$AH$2:$AH$1001,0),1)&gt;=100000,INDEX($AO$1005:$BQ$1005,1,MATCH(COLUMNS($AO$1006:AP1006),$AO$1006:$BQ$1006,0))&gt;=100000), " ",IF(INDEX($AO$2:$BQ$1001,MATCH(ROWS($AH$2:AH509),$AH$2:$AH$1001,0),MATCH(COLUMNS($AO$1006:AP1006),$AO$1006:$BQ$1006,0)), HYPERLINK("#",""), HYPERLINK(CONCATENATE("#Metadata!", ADDRESS(INDEX($AJ$2:$AJ$1001,MATCH(ROWS($AH$2:AH509),$AH$2:$AH$1001,0),0), INDEX($AO$1004:$BQ$1004,1,MATCH(COLUMNS($AO$1006:AP1006),$AO$1006:$BQ$1006,0)))),"Fix")))</f>
        <v>#N/A</v>
      </c>
      <c r="D509" s="5" t="e">
        <f ca="1">IF(OR(INDEX($AI$2:$AI$1001,MATCH(ROWS($AH$2:AH509),$AH$2:$AH$1001,0),1)&gt;=100000,INDEX($AO$1005:$BQ$1005,1,MATCH(COLUMNS($AO$1006:AQ1006),$AO$1006:$BQ$1006,0))&gt;=100000), " ",IF(INDEX($AO$2:$BQ$1001,MATCH(ROWS($AH$2:AH509),$AH$2:$AH$1001,0),MATCH(COLUMNS($AO$1006:AQ1006),$AO$1006:$BQ$1006,0)), HYPERLINK("#",""), HYPERLINK(CONCATENATE("#Metadata!", ADDRESS(INDEX($AJ$2:$AJ$1001,MATCH(ROWS($AH$2:AH509),$AH$2:$AH$1001,0),0), INDEX($AO$1004:$BQ$1004,1,MATCH(COLUMNS($AO$1006:AQ1006),$AO$1006:$BQ$1006,0)))),"Fix")))</f>
        <v>#N/A</v>
      </c>
      <c r="E509" s="5" t="e">
        <f ca="1">IF(OR(INDEX($AI$2:$AI$1001,MATCH(ROWS($AH$2:AH509),$AH$2:$AH$1001,0),1)&gt;=100000,INDEX($AO$1005:$BQ$1005,1,MATCH(COLUMNS($AO$1006:AR1006),$AO$1006:$BQ$1006,0))&gt;=100000), " ",IF(INDEX($AO$2:$BQ$1001,MATCH(ROWS($AH$2:AH509),$AH$2:$AH$1001,0),MATCH(COLUMNS($AO$1006:AR1006),$AO$1006:$BQ$1006,0)), HYPERLINK("#",""), HYPERLINK(CONCATENATE("#Metadata!", ADDRESS(INDEX($AJ$2:$AJ$1001,MATCH(ROWS($AH$2:AH509),$AH$2:$AH$1001,0),0), INDEX($AO$1004:$BQ$1004,1,MATCH(COLUMNS($AO$1006:AR1006),$AO$1006:$BQ$1006,0)))),"Fix")))</f>
        <v>#N/A</v>
      </c>
      <c r="F509" s="5" t="e">
        <f ca="1">IF(OR(INDEX($AI$2:$AI$1001,MATCH(ROWS($AH$2:AH509),$AH$2:$AH$1001,0),1)&gt;=100000,INDEX($AO$1005:$BQ$1005,1,MATCH(COLUMNS($AO$1006:AS1006),$AO$1006:$BQ$1006,0))&gt;=100000), " ",IF(INDEX($AO$2:$BQ$1001,MATCH(ROWS($AH$2:AH509),$AH$2:$AH$1001,0),MATCH(COLUMNS($AO$1006:AS1006),$AO$1006:$BQ$1006,0)), HYPERLINK("#",""), HYPERLINK(CONCATENATE("#Metadata!", ADDRESS(INDEX($AJ$2:$AJ$1001,MATCH(ROWS($AH$2:AH509),$AH$2:$AH$1001,0),0), INDEX($AO$1004:$BQ$1004,1,MATCH(COLUMNS($AO$1006:AS1006),$AO$1006:$BQ$1006,0)))),"Fix")))</f>
        <v>#N/A</v>
      </c>
      <c r="G509" s="5" t="e">
        <f ca="1">IF(OR(INDEX($AI$2:$AI$1001,MATCH(ROWS($AH$2:AH509),$AH$2:$AH$1001,0),1)&gt;=100000,INDEX($AO$1005:$BQ$1005,1,MATCH(COLUMNS($AO$1006:AT1006),$AO$1006:$BQ$1006,0))&gt;=100000), " ",IF(INDEX($AO$2:$BQ$1001,MATCH(ROWS($AH$2:AH509),$AH$2:$AH$1001,0),MATCH(COLUMNS($AO$1006:AT1006),$AO$1006:$BQ$1006,0)), HYPERLINK("#",""), HYPERLINK(CONCATENATE("#Metadata!", ADDRESS(INDEX($AJ$2:$AJ$1001,MATCH(ROWS($AH$2:AH509),$AH$2:$AH$1001,0),0), INDEX($AO$1004:$BQ$1004,1,MATCH(COLUMNS($AO$1006:AT1006),$AO$1006:$BQ$1006,0)))),"Fix")))</f>
        <v>#N/A</v>
      </c>
      <c r="H509" s="5" t="e">
        <f ca="1">IF(OR(INDEX($AI$2:$AI$1001,MATCH(ROWS($AH$2:AH509),$AH$2:$AH$1001,0),1)&gt;=100000,INDEX($AO$1005:$BQ$1005,1,MATCH(COLUMNS($AO$1006:AU1006),$AO$1006:$BQ$1006,0))&gt;=100000), " ",IF(INDEX($AO$2:$BQ$1001,MATCH(ROWS($AH$2:AH509),$AH$2:$AH$1001,0),MATCH(COLUMNS($AO$1006:AU1006),$AO$1006:$BQ$1006,0)), HYPERLINK("#",""), HYPERLINK(CONCATENATE("#Metadata!", ADDRESS(INDEX($AJ$2:$AJ$1001,MATCH(ROWS($AH$2:AH509),$AH$2:$AH$1001,0),0), INDEX($AO$1004:$BQ$1004,1,MATCH(COLUMNS($AO$1006:AU1006),$AO$1006:$BQ$1006,0)))),"Fix")))</f>
        <v>#N/A</v>
      </c>
      <c r="I509" s="5" t="e">
        <f ca="1">IF(OR(INDEX($AI$2:$AI$1001,MATCH(ROWS($AH$2:AH509),$AH$2:$AH$1001,0),1)&gt;=100000,INDEX($AO$1005:$BQ$1005,1,MATCH(COLUMNS($AO$1006:AV1006),$AO$1006:$BQ$1006,0))&gt;=100000), " ",IF(INDEX($AO$2:$BQ$1001,MATCH(ROWS($AH$2:AH509),$AH$2:$AH$1001,0),MATCH(COLUMNS($AO$1006:AV1006),$AO$1006:$BQ$1006,0)), HYPERLINK("#",""), HYPERLINK(CONCATENATE("#Metadata!", ADDRESS(INDEX($AJ$2:$AJ$1001,MATCH(ROWS($AH$2:AH509),$AH$2:$AH$1001,0),0), INDEX($AO$1004:$BQ$1004,1,MATCH(COLUMNS($AO$1006:AV1006),$AO$1006:$BQ$1006,0)))),"Fix")))</f>
        <v>#N/A</v>
      </c>
      <c r="J509" s="5" t="e">
        <f ca="1">IF(OR(INDEX($AI$2:$AI$1001,MATCH(ROWS($AH$2:AH509),$AH$2:$AH$1001,0),1)&gt;=100000,INDEX($AO$1005:$BQ$1005,1,MATCH(COLUMNS($AO$1006:AW1006),$AO$1006:$BQ$1006,0))&gt;=100000), " ",IF(INDEX($AO$2:$BQ$1001,MATCH(ROWS($AH$2:AH509),$AH$2:$AH$1001,0),MATCH(COLUMNS($AO$1006:AW1006),$AO$1006:$BQ$1006,0)), HYPERLINK("#",""), HYPERLINK(CONCATENATE("#Metadata!", ADDRESS(INDEX($AJ$2:$AJ$1001,MATCH(ROWS($AH$2:AH509),$AH$2:$AH$1001,0),0), INDEX($AO$1004:$BQ$1004,1,MATCH(COLUMNS($AO$1006:AW1006),$AO$1006:$BQ$1006,0)))),"Fix")))</f>
        <v>#N/A</v>
      </c>
      <c r="K509" s="5" t="e">
        <f ca="1">IF(OR(INDEX($AI$2:$AI$1001,MATCH(ROWS($AH$2:AH509),$AH$2:$AH$1001,0),1)&gt;=100000,INDEX($AO$1005:$BQ$1005,1,MATCH(COLUMNS($AO$1006:AX1006),$AO$1006:$BQ$1006,0))&gt;=100000), " ",IF(INDEX($AO$2:$BQ$1001,MATCH(ROWS($AH$2:AH509),$AH$2:$AH$1001,0),MATCH(COLUMNS($AO$1006:AX1006),$AO$1006:$BQ$1006,0)), HYPERLINK("#",""), HYPERLINK(CONCATENATE("#Metadata!", ADDRESS(INDEX($AJ$2:$AJ$1001,MATCH(ROWS($AH$2:AH509),$AH$2:$AH$1001,0),0), INDEX($AO$1004:$BQ$1004,1,MATCH(COLUMNS($AO$1006:AX1006),$AO$1006:$BQ$1006,0)))),"Fix")))</f>
        <v>#N/A</v>
      </c>
      <c r="L509" s="5" t="e">
        <f ca="1">IF(OR(INDEX($AI$2:$AI$1001,MATCH(ROWS($AH$2:AH509),$AH$2:$AH$1001,0),1)&gt;=100000,INDEX($AO$1005:$BQ$1005,1,MATCH(COLUMNS($AO$1006:AY1006),$AO$1006:$BQ$1006,0))&gt;=100000), " ",IF(INDEX($AO$2:$BQ$1001,MATCH(ROWS($AH$2:AH509),$AH$2:$AH$1001,0),MATCH(COLUMNS($AO$1006:AY1006),$AO$1006:$BQ$1006,0)), HYPERLINK("#",""), HYPERLINK(CONCATENATE("#Metadata!", ADDRESS(INDEX($AJ$2:$AJ$1001,MATCH(ROWS($AH$2:AH509),$AH$2:$AH$1001,0),0), INDEX($AO$1004:$BQ$1004,1,MATCH(COLUMNS($AO$1006:AY1006),$AO$1006:$BQ$1006,0)))),"Fix")))</f>
        <v>#N/A</v>
      </c>
      <c r="M509" s="5" t="e">
        <f ca="1">IF(OR(INDEX($AI$2:$AI$1001,MATCH(ROWS($AH$2:AH509),$AH$2:$AH$1001,0),1)&gt;=100000,INDEX($AO$1005:$BQ$1005,1,MATCH(COLUMNS($AO$1006:AZ1006),$AO$1006:$BQ$1006,0))&gt;=100000), " ",IF(INDEX($AO$2:$BQ$1001,MATCH(ROWS($AH$2:AH509),$AH$2:$AH$1001,0),MATCH(COLUMNS($AO$1006:AZ1006),$AO$1006:$BQ$1006,0)), HYPERLINK("#",""), HYPERLINK(CONCATENATE("#Metadata!", ADDRESS(INDEX($AJ$2:$AJ$1001,MATCH(ROWS($AH$2:AH509),$AH$2:$AH$1001,0),0), INDEX($AO$1004:$BQ$1004,1,MATCH(COLUMNS($AO$1006:AZ1006),$AO$1006:$BQ$1006,0)))),"Fix")))</f>
        <v>#N/A</v>
      </c>
      <c r="N509" s="5" t="e">
        <f ca="1">IF(OR(INDEX($AI$2:$AI$1001,MATCH(ROWS($AH$2:AH509),$AH$2:$AH$1001,0),1)&gt;=100000,INDEX($AO$1005:$BQ$1005,1,MATCH(COLUMNS($AO$1006:BA1006),$AO$1006:$BQ$1006,0))&gt;=100000), " ",IF(INDEX($AO$2:$BQ$1001,MATCH(ROWS($AH$2:AH509),$AH$2:$AH$1001,0),MATCH(COLUMNS($AO$1006:BA1006),$AO$1006:$BQ$1006,0)), HYPERLINK("#",""), HYPERLINK(CONCATENATE("#Metadata!", ADDRESS(INDEX($AJ$2:$AJ$1001,MATCH(ROWS($AH$2:AH509),$AH$2:$AH$1001,0),0), INDEX($AO$1004:$BQ$1004,1,MATCH(COLUMNS($AO$1006:BA1006),$AO$1006:$BQ$1006,0)))),"Fix")))</f>
        <v>#N/A</v>
      </c>
      <c r="O509" s="5" t="e">
        <f ca="1">IF(OR(INDEX($AI$2:$AI$1001,MATCH(ROWS($AH$2:AH509),$AH$2:$AH$1001,0),1)&gt;=100000,INDEX($AO$1005:$BQ$1005,1,MATCH(COLUMNS($AO$1006:BB1006),$AO$1006:$BQ$1006,0))&gt;=100000), " ",IF(INDEX($AO$2:$BQ$1001,MATCH(ROWS($AH$2:AH509),$AH$2:$AH$1001,0),MATCH(COLUMNS($AO$1006:BB1006),$AO$1006:$BQ$1006,0)), HYPERLINK("#",""), HYPERLINK(CONCATENATE("#Metadata!", ADDRESS(INDEX($AJ$2:$AJ$1001,MATCH(ROWS($AH$2:AH509),$AH$2:$AH$1001,0),0), INDEX($AO$1004:$BQ$1004,1,MATCH(COLUMNS($AO$1006:BB1006),$AO$1006:$BQ$1006,0)))),"Fix")))</f>
        <v>#N/A</v>
      </c>
      <c r="P509" s="5" t="e">
        <f ca="1">IF(OR(INDEX($AI$2:$AI$1001,MATCH(ROWS($AH$2:AH509),$AH$2:$AH$1001,0),1)&gt;=100000,INDEX($AO$1005:$BQ$1005,1,MATCH(COLUMNS($AO$1006:BC1006),$AO$1006:$BQ$1006,0))&gt;=100000), " ",IF(INDEX($AO$2:$BQ$1001,MATCH(ROWS($AH$2:AH509),$AH$2:$AH$1001,0),MATCH(COLUMNS($AO$1006:BC1006),$AO$1006:$BQ$1006,0)), HYPERLINK("#",""), HYPERLINK(CONCATENATE("#Metadata!", ADDRESS(INDEX($AJ$2:$AJ$1001,MATCH(ROWS($AH$2:AH509),$AH$2:$AH$1001,0),0), INDEX($AO$1004:$BQ$1004,1,MATCH(COLUMNS($AO$1006:BC1006),$AO$1006:$BQ$1006,0)))),"Fix")))</f>
        <v>#N/A</v>
      </c>
      <c r="Q509" s="5" t="e">
        <f ca="1">IF(OR(INDEX($AI$2:$AI$1001,MATCH(ROWS($AH$2:AH509),$AH$2:$AH$1001,0),1)&gt;=100000,INDEX($AO$1005:$BQ$1005,1,MATCH(COLUMNS($AO$1006:BD1006),$AO$1006:$BQ$1006,0))&gt;=100000), " ",IF(INDEX($AO$2:$BQ$1001,MATCH(ROWS($AH$2:AH509),$AH$2:$AH$1001,0),MATCH(COLUMNS($AO$1006:BD1006),$AO$1006:$BQ$1006,0)), HYPERLINK("#",""), HYPERLINK(CONCATENATE("#Metadata!", ADDRESS(INDEX($AJ$2:$AJ$1001,MATCH(ROWS($AH$2:AH509),$AH$2:$AH$1001,0),0), INDEX($AO$1004:$BQ$1004,1,MATCH(COLUMNS($AO$1006:BD1006),$AO$1006:$BQ$1006,0)))),"Fix")))</f>
        <v>#N/A</v>
      </c>
      <c r="R509" s="5" t="e">
        <f ca="1">IF(OR(INDEX($AI$2:$AI$1001,MATCH(ROWS($AH$2:AH509),$AH$2:$AH$1001,0),1)&gt;=100000,INDEX($AO$1005:$BQ$1005,1,MATCH(COLUMNS($AO$1006:BE1006),$AO$1006:$BQ$1006,0))&gt;=100000), " ",IF(INDEX($AO$2:$BQ$1001,MATCH(ROWS($AH$2:AH509),$AH$2:$AH$1001,0),MATCH(COLUMNS($AO$1006:BE1006),$AO$1006:$BQ$1006,0)), HYPERLINK("#",""), HYPERLINK(CONCATENATE("#Metadata!", ADDRESS(INDEX($AJ$2:$AJ$1001,MATCH(ROWS($AH$2:AH509),$AH$2:$AH$1001,0),0), INDEX($AO$1004:$BQ$1004,1,MATCH(COLUMNS($AO$1006:BE1006),$AO$1006:$BQ$1006,0)))),"Fix")))</f>
        <v>#N/A</v>
      </c>
      <c r="S509" s="5" t="e">
        <f ca="1">IF(OR(INDEX($AI$2:$AI$1001,MATCH(ROWS($AH$2:AH509),$AH$2:$AH$1001,0),1)&gt;=100000,INDEX($AO$1005:$BQ$1005,1,MATCH(COLUMNS($AO$1006:BF1006),$AO$1006:$BQ$1006,0))&gt;=100000), " ",IF(INDEX($AO$2:$BQ$1001,MATCH(ROWS($AH$2:AH509),$AH$2:$AH$1001,0),MATCH(COLUMNS($AO$1006:BF1006),$AO$1006:$BQ$1006,0)), HYPERLINK("#",""), HYPERLINK(CONCATENATE("#Metadata!", ADDRESS(INDEX($AJ$2:$AJ$1001,MATCH(ROWS($AH$2:AH509),$AH$2:$AH$1001,0),0), INDEX($AO$1004:$BQ$1004,1,MATCH(COLUMNS($AO$1006:BF1006),$AO$1006:$BQ$1006,0)))),"Fix")))</f>
        <v>#N/A</v>
      </c>
      <c r="T509" s="5" t="e">
        <f ca="1">IF(OR(INDEX($AI$2:$AI$1001,MATCH(ROWS($AH$2:AH509),$AH$2:$AH$1001,0),1)&gt;=100000,INDEX($AO$1005:$BQ$1005,1,MATCH(COLUMNS($AO$1006:BG1006),$AO$1006:$BQ$1006,0))&gt;=100000), " ",IF(INDEX($AO$2:$BQ$1001,MATCH(ROWS($AH$2:AH509),$AH$2:$AH$1001,0),MATCH(COLUMNS($AO$1006:BG1006),$AO$1006:$BQ$1006,0)), HYPERLINK("#",""), HYPERLINK(CONCATENATE("#Metadata!", ADDRESS(INDEX($AJ$2:$AJ$1001,MATCH(ROWS($AH$2:AH509),$AH$2:$AH$1001,0),0), INDEX($AO$1004:$BQ$1004,1,MATCH(COLUMNS($AO$1006:BG1006),$AO$1006:$BQ$1006,0)))),"Fix")))</f>
        <v>#N/A</v>
      </c>
      <c r="U509" s="5" t="e">
        <f ca="1">IF(OR(INDEX($AI$2:$AI$1001,MATCH(ROWS($AH$2:AH509),$AH$2:$AH$1001,0),1)&gt;=100000,INDEX($AO$1005:$BQ$1005,1,MATCH(COLUMNS($AO$1006:BH1006),$AO$1006:$BQ$1006,0))&gt;=100000), " ",IF(INDEX($AO$2:$BQ$1001,MATCH(ROWS($AH$2:AH509),$AH$2:$AH$1001,0),MATCH(COLUMNS($AO$1006:BH1006),$AO$1006:$BQ$1006,0)), HYPERLINK("#",""), HYPERLINK(CONCATENATE("#Metadata!", ADDRESS(INDEX($AJ$2:$AJ$1001,MATCH(ROWS($AH$2:AH509),$AH$2:$AH$1001,0),0), INDEX($AO$1004:$BQ$1004,1,MATCH(COLUMNS($AO$1006:BH1006),$AO$1006:$BQ$1006,0)))),"Fix")))</f>
        <v>#N/A</v>
      </c>
      <c r="V509" s="5" t="e">
        <f ca="1">IF(OR(INDEX($AI$2:$AI$1001,MATCH(ROWS($AH$2:AH509),$AH$2:$AH$1001,0),1)&gt;=100000,INDEX($AO$1005:$BQ$1005,1,MATCH(COLUMNS($AO$1006:BI1006),$AO$1006:$BQ$1006,0))&gt;=100000), " ",IF(INDEX($AO$2:$BQ$1001,MATCH(ROWS($AH$2:AH509),$AH$2:$AH$1001,0),MATCH(COLUMNS($AO$1006:BI1006),$AO$1006:$BQ$1006,0)), HYPERLINK("#",""), HYPERLINK(CONCATENATE("#Metadata!", ADDRESS(INDEX($AJ$2:$AJ$1001,MATCH(ROWS($AH$2:AH509),$AH$2:$AH$1001,0),0), INDEX($AO$1004:$BQ$1004,1,MATCH(COLUMNS($AO$1006:BI1006),$AO$1006:$BQ$1006,0)))),"Fix")))</f>
        <v>#N/A</v>
      </c>
      <c r="W509" s="5" t="e">
        <f ca="1">IF(OR(INDEX($AI$2:$AI$1001,MATCH(ROWS($AH$2:AH509),$AH$2:$AH$1001,0),1)&gt;=100000,INDEX($AO$1005:$BQ$1005,1,MATCH(COLUMNS($AO$1006:BJ1006),$AO$1006:$BQ$1006,0))&gt;=100000), " ",IF(INDEX($AO$2:$BQ$1001,MATCH(ROWS($AH$2:AH509),$AH$2:$AH$1001,0),MATCH(COLUMNS($AO$1006:BJ1006),$AO$1006:$BQ$1006,0)), HYPERLINK("#",""), HYPERLINK(CONCATENATE("#Metadata!", ADDRESS(INDEX($AJ$2:$AJ$1001,MATCH(ROWS($AH$2:AH509),$AH$2:$AH$1001,0),0), INDEX($AO$1004:$BQ$1004,1,MATCH(COLUMNS($AO$1006:BJ1006),$AO$1006:$BQ$1006,0)))),"Fix")))</f>
        <v>#N/A</v>
      </c>
      <c r="X509" s="5" t="e">
        <f ca="1">IF(OR(INDEX($AI$2:$AI$1001,MATCH(ROWS($AH$2:AH509),$AH$2:$AH$1001,0),1)&gt;=100000,INDEX($AO$1005:$BQ$1005,1,MATCH(COLUMNS($AO$1006:BK1006),$AO$1006:$BQ$1006,0))&gt;=100000), " ",IF(INDEX($AO$2:$BQ$1001,MATCH(ROWS($AH$2:AH509),$AH$2:$AH$1001,0),MATCH(COLUMNS($AO$1006:BK1006),$AO$1006:$BQ$1006,0)), HYPERLINK("#",""), HYPERLINK(CONCATENATE("#Metadata!", ADDRESS(INDEX($AJ$2:$AJ$1001,MATCH(ROWS($AH$2:AH509),$AH$2:$AH$1001,0),0), INDEX($AO$1004:$BQ$1004,1,MATCH(COLUMNS($AO$1006:BK1006),$AO$1006:$BQ$1006,0)))),"Fix")))</f>
        <v>#N/A</v>
      </c>
      <c r="Y509" s="5" t="e">
        <f ca="1">IF(OR(INDEX($AI$2:$AI$1001,MATCH(ROWS($AH$2:AH509),$AH$2:$AH$1001,0),1)&gt;=100000,INDEX($AO$1005:$BQ$1005,1,MATCH(COLUMNS($AO$1006:BL1006),$AO$1006:$BQ$1006,0))&gt;=100000), " ",IF(INDEX($AO$2:$BQ$1001,MATCH(ROWS($AH$2:AH509),$AH$2:$AH$1001,0),MATCH(COLUMNS($AO$1006:BL1006),$AO$1006:$BQ$1006,0)), HYPERLINK("#",""), HYPERLINK(CONCATENATE("#Metadata!", ADDRESS(INDEX($AJ$2:$AJ$1001,MATCH(ROWS($AH$2:AH509),$AH$2:$AH$1001,0),0), INDEX($AO$1004:$BQ$1004,1,MATCH(COLUMNS($AO$1006:BL1006),$AO$1006:$BQ$1006,0)))),"Fix")))</f>
        <v>#N/A</v>
      </c>
      <c r="Z509" s="5" t="e">
        <f ca="1">IF(OR(INDEX($AI$2:$AI$1001,MATCH(ROWS($AH$2:AH509),$AH$2:$AH$1001,0),1)&gt;=100000,INDEX($AO$1005:$BQ$1005,1,MATCH(COLUMNS($AO$1006:BM1006),$AO$1006:$BQ$1006,0))&gt;=100000), " ",IF(INDEX($AO$2:$BQ$1001,MATCH(ROWS($AH$2:AH509),$AH$2:$AH$1001,0),MATCH(COLUMNS($AO$1006:BM1006),$AO$1006:$BQ$1006,0)), HYPERLINK("#",""), HYPERLINK(CONCATENATE("#Metadata!", ADDRESS(INDEX($AJ$2:$AJ$1001,MATCH(ROWS($AH$2:AH509),$AH$2:$AH$1001,0),0), INDEX($AO$1004:$BQ$1004,1,MATCH(COLUMNS($AO$1006:BM1006),$AO$1006:$BQ$1006,0)))),"Fix")))</f>
        <v>#N/A</v>
      </c>
      <c r="AA509" s="5" t="e">
        <f ca="1">IF(OR(INDEX($AI$2:$AI$1001,MATCH(ROWS($AH$2:AH509),$AH$2:$AH$1001,0),1)&gt;=100000,INDEX($AO$1005:$BQ$1005,1,MATCH(COLUMNS($AO$1006:BN1006),$AO$1006:$BQ$1006,0))&gt;=100000), " ",IF(INDEX($AO$2:$BQ$1001,MATCH(ROWS($AH$2:AH509),$AH$2:$AH$1001,0),MATCH(COLUMNS($AO$1006:BN1006),$AO$1006:$BQ$1006,0)), HYPERLINK("#",""), HYPERLINK(CONCATENATE("#Metadata!", ADDRESS(INDEX($AJ$2:$AJ$1001,MATCH(ROWS($AH$2:AH509),$AH$2:$AH$1001,0),0), INDEX($AO$1004:$BQ$1004,1,MATCH(COLUMNS($AO$1006:BN1006),$AO$1006:$BQ$1006,0)))),"Fix")))</f>
        <v>#N/A</v>
      </c>
      <c r="AB509" s="5" t="e">
        <f ca="1">IF(OR(INDEX($AI$2:$AI$1001,MATCH(ROWS($AH$2:AH509),$AH$2:$AH$1001,0),1)&gt;=100000,INDEX($AO$1005:$BQ$1005,1,MATCH(COLUMNS($AO$1006:BO1006),$AO$1006:$BQ$1006,0))&gt;=100000), " ",IF(INDEX($AO$2:$BQ$1001,MATCH(ROWS($AH$2:AH509),$AH$2:$AH$1001,0),MATCH(COLUMNS($AO$1006:BO1006),$AO$1006:$BQ$1006,0)), HYPERLINK("#",""), HYPERLINK(CONCATENATE("#Metadata!", ADDRESS(INDEX($AJ$2:$AJ$1001,MATCH(ROWS($AH$2:AH509),$AH$2:$AH$1001,0),0), INDEX($AO$1004:$BQ$1004,1,MATCH(COLUMNS($AO$1006:BO1006),$AO$1006:$BQ$1006,0)))),"Fix")))</f>
        <v>#N/A</v>
      </c>
      <c r="AC509" s="5" t="e">
        <f ca="1">IF(OR(INDEX($AI$2:$AI$1001,MATCH(ROWS($AH$2:AH509),$AH$2:$AH$1001,0),1)&gt;=100000,INDEX($AO$1005:$BQ$1005,1,MATCH(COLUMNS($AO$1006:BP1006),$AO$1006:$BQ$1006,0))&gt;=100000), " ",IF(INDEX($AO$2:$BQ$1001,MATCH(ROWS($AH$2:AH509),$AH$2:$AH$1001,0),MATCH(COLUMNS($AO$1006:BP1006),$AO$1006:$BQ$1006,0)), HYPERLINK("#",""), HYPERLINK(CONCATENATE("#Metadata!", ADDRESS(INDEX($AJ$2:$AJ$1001,MATCH(ROWS($AH$2:AH509),$AH$2:$AH$1001,0),0), INDEX($AO$1004:$BQ$1004,1,MATCH(COLUMNS($AO$1006:BP1006),$AO$1006:$BQ$1006,0)))),"Fix")))</f>
        <v>#N/A</v>
      </c>
      <c r="AD509" s="5" t="e">
        <f ca="1">IF(OR(INDEX($AI$2:$AI$1001,MATCH(ROWS($AH$2:AH509),$AH$2:$AH$1001,0),1)&gt;=100000,INDEX($AO$1005:$BQ$1005,1,MATCH(COLUMNS($AO$1006:BQ1006),$AO$1006:$BQ$1006,0))&gt;=100000), " ",IF(INDEX($AO$2:$BQ$1001,MATCH(ROWS($AH$2:AH509),$AH$2:$AH$1001,0),MATCH(COLUMNS($AO$1006:BQ1006),$AO$1006:$BQ$1006,0)), HYPERLINK("#",""), HYPERLINK(CONCATENATE("#Metadata!", ADDRESS(INDEX($AJ$2:$AJ$1001,MATCH(ROWS($AH$2:AH509),$AH$2:$AH$1001,0),0), INDEX($AO$1004:$BQ$1004,1,MATCH(COLUMNS($AO$1006:BQ1006),$AO$1006:$BQ$1006,0)))),"Fix")))</f>
        <v>#REF!</v>
      </c>
      <c r="AH509">
        <f ca="1"/>
        <v>506</v>
      </c>
      <c r="AI509">
        <v>100509</v>
      </c>
      <c r="AJ509">
        <v>509</v>
      </c>
      <c r="AK509" t="b">
        <f t="shared" si="7"/>
        <v>1</v>
      </c>
      <c r="AL509" t="b">
        <f>COUNTBLANK(Metadata!B509:AD509)=COLUMNS(Metadata!B509:AD509)</f>
        <v>1</v>
      </c>
      <c r="AM509" t="str">
        <v/>
      </c>
      <c r="AO509" t="b">
        <f ca="1">AND(IF(Metadata!B509="",FALSE,TRUE),COUNTIF(Metadata!B:B, Metadata!B509) = 1,NOT(ISERROR(SUMPRODUCT(SEARCH(MID(Metadata!B509,ROW(INDIRECT("1:"&amp;LEN(Metadata!B509))), 1),"0123456789abcdefghijklmnopqrstuvwxyzABCDEFGHIJKLMNOPQRSTUVWXYZ.")))))</f>
        <v>0</v>
      </c>
      <c r="AP509" t="b">
        <f>IF(Metadata!C509="",FALSE,TRUE)</f>
        <v>0</v>
      </c>
      <c r="AQ509" t="b">
        <f>IF(Metadata!D509="",FALSE,TRUE)</f>
        <v>0</v>
      </c>
      <c r="AR509" t="b">
        <f ca="1">OR(AND(IF(Metadata!E509="",FALSE,TRUE),OR(EXACT(Metadata!E509,"not collected"),EXACT(Metadata!E509,"not provided"),EXACT(Metadata!E509,"restricted access"))),AND(IF(Metadata!E509="",FALSE,TRUE),AND(AND(IFERROR(INT(LEFT(Metadata!E509,4))&gt;1900,FALSE),IFERROR(INT(LEFT(Metadata!E509,4))&lt;=YEAR(NOW()),FALSE)), OR(MID(Metadata!E509,5,1)="", AND(AND(MID(Metadata!E509,5,1)="-",IFERROR(INT(MID(Metadata!E509,6,1))&gt;=0,FALSE),IFERROR(INT(MID(Metadata!E509,6,1))&lt;=1,FALSE),NOT(MID(Metadata!E509,7,1)=""),IFERROR(INT(MID(Metadata!E509,6,2))&gt;=1,FALSE),IFERROR(INT(MID(Metadata!E509,6,2))&lt;=12,FALSE)), OR(MID(Metadata!E509,8,1)="", AND(AND(MID(Metadata!E509,8,1)="-",IFERROR(INT(MID(Metadata!E509,9,1))&gt;=0,FALSE),IFERROR(INT(MID(Metadata!E509,9,1))&lt;=3,FALSE),NOT(MID(Metadata!E509,10,1)=""),IFERROR(INT(MID(Metadata!E509,9,2))&gt;=1,FALSE),IFERROR(INT(MID(Metadata!E509,9,2))&lt;=31,FALSE)), OR(MID(Metadata!E509,11,1)="", AND(AND(MID(Metadata!E509,11,1)=" ",IFERROR(INT(MID(Metadata!E509,12,1))&gt;=0,FALSE),IFERROR(INT(MID(Metadata!E509,12,1))&lt;=2,FALSE),NOT(MID(Metadata!E509,13,1)=""),IFERROR(INT(MID(Metadata!E509,12,2))&gt;=0,FALSE),IFERROR(INT(MID(Metadata!E509,12,2))&lt;=23,FALSE)), OR(MID(Metadata!E509,14,1)="", AND(AND(MID(Metadata!E509,14,1)=":",IFERROR(INT(MID(Metadata!E509,15,1))&gt;=0,FALSE),IFERROR(INT(MID(Metadata!E509,15,1))&lt;=5,FALSE),NOT(MID(Metadata!E509,16,1)=""),IFERROR(INT(MID(Metadata!E509,15,2))&gt;=0,FALSE),IFERROR(INT(MID(Metadata!E509,15,2))&lt;=59,FALSE)), OR(MID(Metadata!E509,17,1)="", AND(AND(MID(Metadata!E509,17,1)=":",IFERROR(INT(MID(Metadata!E509,18,1))&gt;=0,FALSE),IFERROR(INT(MID(Metadata!E509,18,1))&lt;=5,FALSE),NOT(MID(Metadata!E509,19,1)=""),IFERROR(INT(MID(Metadata!E509,18,2))&gt;=0,FALSE),IFERROR(INT(MID(Metadata!E509,18,2))&lt;=59,FALSE)), LEN(Metadata!E509)&lt;=19)))))))))))))</f>
        <v>0</v>
      </c>
      <c r="AS509" t="b">
        <f>IF(Metadata!F509="",FALSE,TRUE)</f>
        <v>0</v>
      </c>
      <c r="AT509" t="b">
        <f>OR(AND(IF(Metadata!G509="",FALSE,TRUE),OR(EXACT(Metadata!G509,"not collected"),EXACT(Metadata!G509,"not provided"))),AND(IF(Metadata!G509="",FALSE,TRUE),OR(EXACT(Metadata!G509,"TRUE"),EXACT(Metadata!G509,"FALSE"))))</f>
        <v>0</v>
      </c>
      <c r="AU509" t="b">
        <f>OR(AND(IF(Metadata!H509="",FALSE,TRUE),OR(EXACT(Metadata!H509,"not collected"),EXACT(Metadata!H509,"not provided"),EXACT(Metadata!H509,"restricted access"))),AND(IF(Metadata!H509="",FALSE,ISNUMBER(VALUE(Metadata!H509))),Metadata!H509&gt;=-413))</f>
        <v>0</v>
      </c>
      <c r="AV509" t="b">
        <f>AND(IF(Metadata!I509="",FALSE,TRUE),EXACT(Metadata!I509,"meters"))</f>
        <v>0</v>
      </c>
      <c r="AW509" t="b">
        <f>AND(IF(Metadata!J509="",FALSE,TRUE),EXACT(Metadata!J509,"free-living"))</f>
        <v>0</v>
      </c>
      <c r="AX509" t="b">
        <f>AND(IF(Metadata!K509="",FALSE,TRUE),OR(EXACT(Metadata!K509,"saline"),EXACT(Metadata!K509,"non-saline")))</f>
        <v>0</v>
      </c>
      <c r="AY509" t="b">
        <f>AND(IF(Metadata!L509="",FALSE,TRUE),OR(EXACT(Metadata!L509,"sub-surface (non-saline)"),EXACT(Metadata!L509,"surface (non-saline)"),EXACT(Metadata!L509,"water (non-saline)"),EXACT(Metadata!L509,"soil (non-saline)"),EXACT(Metadata!L509,"aerosol (non-saline)"),EXACT(Metadata!L509,"sediment (non-saline)"),EXACT(Metadata!L509,"surface (saline)"),EXACT(Metadata!L509,"water (saline)"),EXACT(Metadata!L509,"hypersaline (saline)"),EXACT(Metadata!L509,"aerosol (saline)"),EXACT(Metadata!L509,"sediment (saline)")))</f>
        <v>0</v>
      </c>
      <c r="AZ509" t="b">
        <f>IF(Metadata!M509="",FALSE,TRUE)</f>
        <v>0</v>
      </c>
      <c r="BA509" t="b">
        <f>IF(Metadata!N509="",FALSE,TRUE)</f>
        <v>0</v>
      </c>
      <c r="BB509" t="b">
        <f>IF(Metadata!O509="",FALSE,TRUE)</f>
        <v>0</v>
      </c>
      <c r="BC509" t="b">
        <f>AND(IF(Metadata!P509="",FALSE,TRUE),OR(EXACT(Metadata!P509,"air"),EXACT(Metadata!P509,"microbial mat/biofilm"),EXACT(Metadata!P509,"misc environment"),EXACT(Metadata!P509,"sediment"),EXACT(Metadata!P509,"soil"),EXACT(Metadata!P509,"wastewater/sludge"),EXACT(Metadata!P509,"water")))</f>
        <v>0</v>
      </c>
      <c r="BD509" t="b">
        <f>IF(Metadata!Q509="",FALSE,TRUE)</f>
        <v>0</v>
      </c>
      <c r="BE509" t="b">
        <f>IF(Metadata!R509="",FALSE,TRUE)</f>
        <v>0</v>
      </c>
      <c r="BF509" t="b">
        <f>OR(AND(IF(Metadata!S509="",FALSE,TRUE),OR(EXACT(Metadata!S509,"not collected"),EXACT(Metadata!S509,"not provided"),EXACT(Metadata!S509,"restricted access"))),AND(IF(Metadata!S509="",FALSE,ISNUMBER(VALUE(Metadata!S509))),Metadata!S509&gt;=-90,Metadata!S509&lt;=90))</f>
        <v>0</v>
      </c>
      <c r="BG509" t="b">
        <f>AND(IF(Metadata!T509="",FALSE,TRUE),EXACT(Metadata!T509,"Decimal degrees"))</f>
        <v>0</v>
      </c>
      <c r="BH509" t="b">
        <f>OR(AND(IF(Metadata!U509="",FALSE,TRUE),OR(EXACT(Metadata!U509,"not applicable"),EXACT(Metadata!U509,"not collected"))),IF(Metadata!U509="",FALSE,TRUE))</f>
        <v>0</v>
      </c>
      <c r="BI509" t="b">
        <f>OR(AND(IF(Metadata!V509="",FALSE,TRUE),OR(EXACT(Metadata!V509,"not collected"),EXACT(Metadata!V509,"not provided"),EXACT(Metadata!V509,"restricted access"))),AND(IF(Metadata!V509="",FALSE,ISNUMBER(VALUE(Metadata!V509))),Metadata!V509&gt;=-180,Metadata!V509&lt;=180))</f>
        <v>0</v>
      </c>
      <c r="BJ509" t="b">
        <f>AND(IF(Metadata!W509="",FALSE,TRUE),EXACT(Metadata!W509,"Decimal degrees"))</f>
        <v>0</v>
      </c>
      <c r="BK509" t="b">
        <f>IF(Metadata!X509="",FALSE,TRUE)</f>
        <v>0</v>
      </c>
      <c r="BL509" t="b">
        <f>OR(AND(IF(Metadata!Y509="",FALSE,TRUE),OR(EXACT(Metadata!Y509,"not collected"),EXACT(Metadata!Y509,"not provided"),EXACT(Metadata!Y509,"restricted access"))),AND(IF(Metadata!Y509="",FALSE,TRUE),OR(EXACT(Metadata!Y509,"TRUE"),EXACT(Metadata!Y509,"FALSE"))))</f>
        <v>0</v>
      </c>
      <c r="BM509" t="b">
        <f>OR(AND(IF(Metadata!Z509="",FALSE,TRUE),EXACT(Metadata!Z509,"not applicable")),AND(IF(Metadata!Z509="",FALSE,TRUE),OR(EXACT(Metadata!Z509,"beer"),EXACT(Metadata!Z509,"cheese"),EXACT(Metadata!Z509,"fresh water"),EXACT(Metadata!Z509,"marine sediment"),EXACT(Metadata!Z509,"sea water"),EXACT(Metadata!Z509,"sediment"),EXACT(Metadata!Z509,"soil"),EXACT(Metadata!Z509,"waste water"))))</f>
        <v>0</v>
      </c>
      <c r="BN509" t="b">
        <f>AND(IF(Metadata!AA509="",FALSE,TRUE),EXACT(Metadata!AA509,"metagenome"))</f>
        <v>0</v>
      </c>
      <c r="BO509" t="b">
        <f>AND(IF(Metadata!AB509="",FALSE,TRUE),EXACT(Metadata!AB509,"256318"))</f>
        <v>0</v>
      </c>
      <c r="BP509" t="b">
        <f>IF(Metadata!AC509="",FALSE,TRUE)</f>
        <v>0</v>
      </c>
      <c r="BQ509" t="b">
        <f>IF(Metadata!AD509="",FALSE,TRUE)</f>
        <v>0</v>
      </c>
    </row>
    <row r="510" spans="1:69" x14ac:dyDescent="0.2">
      <c r="A510" s="4" t="e">
        <f ca="1">IF(B510=" "," ",HYPERLINK(CONCATENATE("#metadata!",ADDRESS(INDEX($AJ$2:$AJ$1001,MATCH(ROWS($AH$2:AH510),$AH$2:$AH$1001,0),0),2)),INDEX($AM$2:$AM$1001,MATCH(ROWS($AH$2:AH510),$AH$2:$AH$1001,0),0)))</f>
        <v>#N/A</v>
      </c>
      <c r="B510" s="5" t="e">
        <f ca="1">IF(OR(INDEX($AI$2:$AI$1001,MATCH(ROWS($AH$2:AH510),$AH$2:$AH$1001,0),1)&gt;=100000,INDEX($AO$1005:$BQ$1005,1,MATCH(COLUMNS($AO$1006:AO1006),$AO$1006:$BQ$1006,0))&gt;=100000), " ",IF(INDEX($AO$2:$BQ$1001,MATCH(ROWS($AH$2:AH510),$AH$2:$AH$1001,0),MATCH(COLUMNS($AO$1006:AO1006),$AO$1006:$BQ$1006,0)), HYPERLINK("#",""), HYPERLINK(CONCATENATE("#Metadata!", ADDRESS(INDEX($AJ$2:$AJ$1001,MATCH(ROWS($AH$2:AH510),$AH$2:$AH$1001,0),0), INDEX($AO$1004:$BQ$1004,1,MATCH(COLUMNS($AO$1006:AO1006),$AO$1006:$BQ$1006,0)))),"Fix")))</f>
        <v>#N/A</v>
      </c>
      <c r="C510" s="5" t="e">
        <f ca="1">IF(OR(INDEX($AI$2:$AI$1001,MATCH(ROWS($AH$2:AH510),$AH$2:$AH$1001,0),1)&gt;=100000,INDEX($AO$1005:$BQ$1005,1,MATCH(COLUMNS($AO$1006:AP1006),$AO$1006:$BQ$1006,0))&gt;=100000), " ",IF(INDEX($AO$2:$BQ$1001,MATCH(ROWS($AH$2:AH510),$AH$2:$AH$1001,0),MATCH(COLUMNS($AO$1006:AP1006),$AO$1006:$BQ$1006,0)), HYPERLINK("#",""), HYPERLINK(CONCATENATE("#Metadata!", ADDRESS(INDEX($AJ$2:$AJ$1001,MATCH(ROWS($AH$2:AH510),$AH$2:$AH$1001,0),0), INDEX($AO$1004:$BQ$1004,1,MATCH(COLUMNS($AO$1006:AP1006),$AO$1006:$BQ$1006,0)))),"Fix")))</f>
        <v>#N/A</v>
      </c>
      <c r="D510" s="5" t="e">
        <f ca="1">IF(OR(INDEX($AI$2:$AI$1001,MATCH(ROWS($AH$2:AH510),$AH$2:$AH$1001,0),1)&gt;=100000,INDEX($AO$1005:$BQ$1005,1,MATCH(COLUMNS($AO$1006:AQ1006),$AO$1006:$BQ$1006,0))&gt;=100000), " ",IF(INDEX($AO$2:$BQ$1001,MATCH(ROWS($AH$2:AH510),$AH$2:$AH$1001,0),MATCH(COLUMNS($AO$1006:AQ1006),$AO$1006:$BQ$1006,0)), HYPERLINK("#",""), HYPERLINK(CONCATENATE("#Metadata!", ADDRESS(INDEX($AJ$2:$AJ$1001,MATCH(ROWS($AH$2:AH510),$AH$2:$AH$1001,0),0), INDEX($AO$1004:$BQ$1004,1,MATCH(COLUMNS($AO$1006:AQ1006),$AO$1006:$BQ$1006,0)))),"Fix")))</f>
        <v>#N/A</v>
      </c>
      <c r="E510" s="5" t="e">
        <f ca="1">IF(OR(INDEX($AI$2:$AI$1001,MATCH(ROWS($AH$2:AH510),$AH$2:$AH$1001,0),1)&gt;=100000,INDEX($AO$1005:$BQ$1005,1,MATCH(COLUMNS($AO$1006:AR1006),$AO$1006:$BQ$1006,0))&gt;=100000), " ",IF(INDEX($AO$2:$BQ$1001,MATCH(ROWS($AH$2:AH510),$AH$2:$AH$1001,0),MATCH(COLUMNS($AO$1006:AR1006),$AO$1006:$BQ$1006,0)), HYPERLINK("#",""), HYPERLINK(CONCATENATE("#Metadata!", ADDRESS(INDEX($AJ$2:$AJ$1001,MATCH(ROWS($AH$2:AH510),$AH$2:$AH$1001,0),0), INDEX($AO$1004:$BQ$1004,1,MATCH(COLUMNS($AO$1006:AR1006),$AO$1006:$BQ$1006,0)))),"Fix")))</f>
        <v>#N/A</v>
      </c>
      <c r="F510" s="5" t="e">
        <f ca="1">IF(OR(INDEX($AI$2:$AI$1001,MATCH(ROWS($AH$2:AH510),$AH$2:$AH$1001,0),1)&gt;=100000,INDEX($AO$1005:$BQ$1005,1,MATCH(COLUMNS($AO$1006:AS1006),$AO$1006:$BQ$1006,0))&gt;=100000), " ",IF(INDEX($AO$2:$BQ$1001,MATCH(ROWS($AH$2:AH510),$AH$2:$AH$1001,0),MATCH(COLUMNS($AO$1006:AS1006),$AO$1006:$BQ$1006,0)), HYPERLINK("#",""), HYPERLINK(CONCATENATE("#Metadata!", ADDRESS(INDEX($AJ$2:$AJ$1001,MATCH(ROWS($AH$2:AH510),$AH$2:$AH$1001,0),0), INDEX($AO$1004:$BQ$1004,1,MATCH(COLUMNS($AO$1006:AS1006),$AO$1006:$BQ$1006,0)))),"Fix")))</f>
        <v>#N/A</v>
      </c>
      <c r="G510" s="5" t="e">
        <f ca="1">IF(OR(INDEX($AI$2:$AI$1001,MATCH(ROWS($AH$2:AH510),$AH$2:$AH$1001,0),1)&gt;=100000,INDEX($AO$1005:$BQ$1005,1,MATCH(COLUMNS($AO$1006:AT1006),$AO$1006:$BQ$1006,0))&gt;=100000), " ",IF(INDEX($AO$2:$BQ$1001,MATCH(ROWS($AH$2:AH510),$AH$2:$AH$1001,0),MATCH(COLUMNS($AO$1006:AT1006),$AO$1006:$BQ$1006,0)), HYPERLINK("#",""), HYPERLINK(CONCATENATE("#Metadata!", ADDRESS(INDEX($AJ$2:$AJ$1001,MATCH(ROWS($AH$2:AH510),$AH$2:$AH$1001,0),0), INDEX($AO$1004:$BQ$1004,1,MATCH(COLUMNS($AO$1006:AT1006),$AO$1006:$BQ$1006,0)))),"Fix")))</f>
        <v>#N/A</v>
      </c>
      <c r="H510" s="5" t="e">
        <f ca="1">IF(OR(INDEX($AI$2:$AI$1001,MATCH(ROWS($AH$2:AH510),$AH$2:$AH$1001,0),1)&gt;=100000,INDEX($AO$1005:$BQ$1005,1,MATCH(COLUMNS($AO$1006:AU1006),$AO$1006:$BQ$1006,0))&gt;=100000), " ",IF(INDEX($AO$2:$BQ$1001,MATCH(ROWS($AH$2:AH510),$AH$2:$AH$1001,0),MATCH(COLUMNS($AO$1006:AU1006),$AO$1006:$BQ$1006,0)), HYPERLINK("#",""), HYPERLINK(CONCATENATE("#Metadata!", ADDRESS(INDEX($AJ$2:$AJ$1001,MATCH(ROWS($AH$2:AH510),$AH$2:$AH$1001,0),0), INDEX($AO$1004:$BQ$1004,1,MATCH(COLUMNS($AO$1006:AU1006),$AO$1006:$BQ$1006,0)))),"Fix")))</f>
        <v>#N/A</v>
      </c>
      <c r="I510" s="5" t="e">
        <f ca="1">IF(OR(INDEX($AI$2:$AI$1001,MATCH(ROWS($AH$2:AH510),$AH$2:$AH$1001,0),1)&gt;=100000,INDEX($AO$1005:$BQ$1005,1,MATCH(COLUMNS($AO$1006:AV1006),$AO$1006:$BQ$1006,0))&gt;=100000), " ",IF(INDEX($AO$2:$BQ$1001,MATCH(ROWS($AH$2:AH510),$AH$2:$AH$1001,0),MATCH(COLUMNS($AO$1006:AV1006),$AO$1006:$BQ$1006,0)), HYPERLINK("#",""), HYPERLINK(CONCATENATE("#Metadata!", ADDRESS(INDEX($AJ$2:$AJ$1001,MATCH(ROWS($AH$2:AH510),$AH$2:$AH$1001,0),0), INDEX($AO$1004:$BQ$1004,1,MATCH(COLUMNS($AO$1006:AV1006),$AO$1006:$BQ$1006,0)))),"Fix")))</f>
        <v>#N/A</v>
      </c>
      <c r="J510" s="5" t="e">
        <f ca="1">IF(OR(INDEX($AI$2:$AI$1001,MATCH(ROWS($AH$2:AH510),$AH$2:$AH$1001,0),1)&gt;=100000,INDEX($AO$1005:$BQ$1005,1,MATCH(COLUMNS($AO$1006:AW1006),$AO$1006:$BQ$1006,0))&gt;=100000), " ",IF(INDEX($AO$2:$BQ$1001,MATCH(ROWS($AH$2:AH510),$AH$2:$AH$1001,0),MATCH(COLUMNS($AO$1006:AW1006),$AO$1006:$BQ$1006,0)), HYPERLINK("#",""), HYPERLINK(CONCATENATE("#Metadata!", ADDRESS(INDEX($AJ$2:$AJ$1001,MATCH(ROWS($AH$2:AH510),$AH$2:$AH$1001,0),0), INDEX($AO$1004:$BQ$1004,1,MATCH(COLUMNS($AO$1006:AW1006),$AO$1006:$BQ$1006,0)))),"Fix")))</f>
        <v>#N/A</v>
      </c>
      <c r="K510" s="5" t="e">
        <f ca="1">IF(OR(INDEX($AI$2:$AI$1001,MATCH(ROWS($AH$2:AH510),$AH$2:$AH$1001,0),1)&gt;=100000,INDEX($AO$1005:$BQ$1005,1,MATCH(COLUMNS($AO$1006:AX1006),$AO$1006:$BQ$1006,0))&gt;=100000), " ",IF(INDEX($AO$2:$BQ$1001,MATCH(ROWS($AH$2:AH510),$AH$2:$AH$1001,0),MATCH(COLUMNS($AO$1006:AX1006),$AO$1006:$BQ$1006,0)), HYPERLINK("#",""), HYPERLINK(CONCATENATE("#Metadata!", ADDRESS(INDEX($AJ$2:$AJ$1001,MATCH(ROWS($AH$2:AH510),$AH$2:$AH$1001,0),0), INDEX($AO$1004:$BQ$1004,1,MATCH(COLUMNS($AO$1006:AX1006),$AO$1006:$BQ$1006,0)))),"Fix")))</f>
        <v>#N/A</v>
      </c>
      <c r="L510" s="5" t="e">
        <f ca="1">IF(OR(INDEX($AI$2:$AI$1001,MATCH(ROWS($AH$2:AH510),$AH$2:$AH$1001,0),1)&gt;=100000,INDEX($AO$1005:$BQ$1005,1,MATCH(COLUMNS($AO$1006:AY1006),$AO$1006:$BQ$1006,0))&gt;=100000), " ",IF(INDEX($AO$2:$BQ$1001,MATCH(ROWS($AH$2:AH510),$AH$2:$AH$1001,0),MATCH(COLUMNS($AO$1006:AY1006),$AO$1006:$BQ$1006,0)), HYPERLINK("#",""), HYPERLINK(CONCATENATE("#Metadata!", ADDRESS(INDEX($AJ$2:$AJ$1001,MATCH(ROWS($AH$2:AH510),$AH$2:$AH$1001,0),0), INDEX($AO$1004:$BQ$1004,1,MATCH(COLUMNS($AO$1006:AY1006),$AO$1006:$BQ$1006,0)))),"Fix")))</f>
        <v>#N/A</v>
      </c>
      <c r="M510" s="5" t="e">
        <f ca="1">IF(OR(INDEX($AI$2:$AI$1001,MATCH(ROWS($AH$2:AH510),$AH$2:$AH$1001,0),1)&gt;=100000,INDEX($AO$1005:$BQ$1005,1,MATCH(COLUMNS($AO$1006:AZ1006),$AO$1006:$BQ$1006,0))&gt;=100000), " ",IF(INDEX($AO$2:$BQ$1001,MATCH(ROWS($AH$2:AH510),$AH$2:$AH$1001,0),MATCH(COLUMNS($AO$1006:AZ1006),$AO$1006:$BQ$1006,0)), HYPERLINK("#",""), HYPERLINK(CONCATENATE("#Metadata!", ADDRESS(INDEX($AJ$2:$AJ$1001,MATCH(ROWS($AH$2:AH510),$AH$2:$AH$1001,0),0), INDEX($AO$1004:$BQ$1004,1,MATCH(COLUMNS($AO$1006:AZ1006),$AO$1006:$BQ$1006,0)))),"Fix")))</f>
        <v>#N/A</v>
      </c>
      <c r="N510" s="5" t="e">
        <f ca="1">IF(OR(INDEX($AI$2:$AI$1001,MATCH(ROWS($AH$2:AH510),$AH$2:$AH$1001,0),1)&gt;=100000,INDEX($AO$1005:$BQ$1005,1,MATCH(COLUMNS($AO$1006:BA1006),$AO$1006:$BQ$1006,0))&gt;=100000), " ",IF(INDEX($AO$2:$BQ$1001,MATCH(ROWS($AH$2:AH510),$AH$2:$AH$1001,0),MATCH(COLUMNS($AO$1006:BA1006),$AO$1006:$BQ$1006,0)), HYPERLINK("#",""), HYPERLINK(CONCATENATE("#Metadata!", ADDRESS(INDEX($AJ$2:$AJ$1001,MATCH(ROWS($AH$2:AH510),$AH$2:$AH$1001,0),0), INDEX($AO$1004:$BQ$1004,1,MATCH(COLUMNS($AO$1006:BA1006),$AO$1006:$BQ$1006,0)))),"Fix")))</f>
        <v>#N/A</v>
      </c>
      <c r="O510" s="5" t="e">
        <f ca="1">IF(OR(INDEX($AI$2:$AI$1001,MATCH(ROWS($AH$2:AH510),$AH$2:$AH$1001,0),1)&gt;=100000,INDEX($AO$1005:$BQ$1005,1,MATCH(COLUMNS($AO$1006:BB1006),$AO$1006:$BQ$1006,0))&gt;=100000), " ",IF(INDEX($AO$2:$BQ$1001,MATCH(ROWS($AH$2:AH510),$AH$2:$AH$1001,0),MATCH(COLUMNS($AO$1006:BB1006),$AO$1006:$BQ$1006,0)), HYPERLINK("#",""), HYPERLINK(CONCATENATE("#Metadata!", ADDRESS(INDEX($AJ$2:$AJ$1001,MATCH(ROWS($AH$2:AH510),$AH$2:$AH$1001,0),0), INDEX($AO$1004:$BQ$1004,1,MATCH(COLUMNS($AO$1006:BB1006),$AO$1006:$BQ$1006,0)))),"Fix")))</f>
        <v>#N/A</v>
      </c>
      <c r="P510" s="5" t="e">
        <f ca="1">IF(OR(INDEX($AI$2:$AI$1001,MATCH(ROWS($AH$2:AH510),$AH$2:$AH$1001,0),1)&gt;=100000,INDEX($AO$1005:$BQ$1005,1,MATCH(COLUMNS($AO$1006:BC1006),$AO$1006:$BQ$1006,0))&gt;=100000), " ",IF(INDEX($AO$2:$BQ$1001,MATCH(ROWS($AH$2:AH510),$AH$2:$AH$1001,0),MATCH(COLUMNS($AO$1006:BC1006),$AO$1006:$BQ$1006,0)), HYPERLINK("#",""), HYPERLINK(CONCATENATE("#Metadata!", ADDRESS(INDEX($AJ$2:$AJ$1001,MATCH(ROWS($AH$2:AH510),$AH$2:$AH$1001,0),0), INDEX($AO$1004:$BQ$1004,1,MATCH(COLUMNS($AO$1006:BC1006),$AO$1006:$BQ$1006,0)))),"Fix")))</f>
        <v>#N/A</v>
      </c>
      <c r="Q510" s="5" t="e">
        <f ca="1">IF(OR(INDEX($AI$2:$AI$1001,MATCH(ROWS($AH$2:AH510),$AH$2:$AH$1001,0),1)&gt;=100000,INDEX($AO$1005:$BQ$1005,1,MATCH(COLUMNS($AO$1006:BD1006),$AO$1006:$BQ$1006,0))&gt;=100000), " ",IF(INDEX($AO$2:$BQ$1001,MATCH(ROWS($AH$2:AH510),$AH$2:$AH$1001,0),MATCH(COLUMNS($AO$1006:BD1006),$AO$1006:$BQ$1006,0)), HYPERLINK("#",""), HYPERLINK(CONCATENATE("#Metadata!", ADDRESS(INDEX($AJ$2:$AJ$1001,MATCH(ROWS($AH$2:AH510),$AH$2:$AH$1001,0),0), INDEX($AO$1004:$BQ$1004,1,MATCH(COLUMNS($AO$1006:BD1006),$AO$1006:$BQ$1006,0)))),"Fix")))</f>
        <v>#N/A</v>
      </c>
      <c r="R510" s="5" t="e">
        <f ca="1">IF(OR(INDEX($AI$2:$AI$1001,MATCH(ROWS($AH$2:AH510),$AH$2:$AH$1001,0),1)&gt;=100000,INDEX($AO$1005:$BQ$1005,1,MATCH(COLUMNS($AO$1006:BE1006),$AO$1006:$BQ$1006,0))&gt;=100000), " ",IF(INDEX($AO$2:$BQ$1001,MATCH(ROWS($AH$2:AH510),$AH$2:$AH$1001,0),MATCH(COLUMNS($AO$1006:BE1006),$AO$1006:$BQ$1006,0)), HYPERLINK("#",""), HYPERLINK(CONCATENATE("#Metadata!", ADDRESS(INDEX($AJ$2:$AJ$1001,MATCH(ROWS($AH$2:AH510),$AH$2:$AH$1001,0),0), INDEX($AO$1004:$BQ$1004,1,MATCH(COLUMNS($AO$1006:BE1006),$AO$1006:$BQ$1006,0)))),"Fix")))</f>
        <v>#N/A</v>
      </c>
      <c r="S510" s="5" t="e">
        <f ca="1">IF(OR(INDEX($AI$2:$AI$1001,MATCH(ROWS($AH$2:AH510),$AH$2:$AH$1001,0),1)&gt;=100000,INDEX($AO$1005:$BQ$1005,1,MATCH(COLUMNS($AO$1006:BF1006),$AO$1006:$BQ$1006,0))&gt;=100000), " ",IF(INDEX($AO$2:$BQ$1001,MATCH(ROWS($AH$2:AH510),$AH$2:$AH$1001,0),MATCH(COLUMNS($AO$1006:BF1006),$AO$1006:$BQ$1006,0)), HYPERLINK("#",""), HYPERLINK(CONCATENATE("#Metadata!", ADDRESS(INDEX($AJ$2:$AJ$1001,MATCH(ROWS($AH$2:AH510),$AH$2:$AH$1001,0),0), INDEX($AO$1004:$BQ$1004,1,MATCH(COLUMNS($AO$1006:BF1006),$AO$1006:$BQ$1006,0)))),"Fix")))</f>
        <v>#N/A</v>
      </c>
      <c r="T510" s="5" t="e">
        <f ca="1">IF(OR(INDEX($AI$2:$AI$1001,MATCH(ROWS($AH$2:AH510),$AH$2:$AH$1001,0),1)&gt;=100000,INDEX($AO$1005:$BQ$1005,1,MATCH(COLUMNS($AO$1006:BG1006),$AO$1006:$BQ$1006,0))&gt;=100000), " ",IF(INDEX($AO$2:$BQ$1001,MATCH(ROWS($AH$2:AH510),$AH$2:$AH$1001,0),MATCH(COLUMNS($AO$1006:BG1006),$AO$1006:$BQ$1006,0)), HYPERLINK("#",""), HYPERLINK(CONCATENATE("#Metadata!", ADDRESS(INDEX($AJ$2:$AJ$1001,MATCH(ROWS($AH$2:AH510),$AH$2:$AH$1001,0),0), INDEX($AO$1004:$BQ$1004,1,MATCH(COLUMNS($AO$1006:BG1006),$AO$1006:$BQ$1006,0)))),"Fix")))</f>
        <v>#N/A</v>
      </c>
      <c r="U510" s="5" t="e">
        <f ca="1">IF(OR(INDEX($AI$2:$AI$1001,MATCH(ROWS($AH$2:AH510),$AH$2:$AH$1001,0),1)&gt;=100000,INDEX($AO$1005:$BQ$1005,1,MATCH(COLUMNS($AO$1006:BH1006),$AO$1006:$BQ$1006,0))&gt;=100000), " ",IF(INDEX($AO$2:$BQ$1001,MATCH(ROWS($AH$2:AH510),$AH$2:$AH$1001,0),MATCH(COLUMNS($AO$1006:BH1006),$AO$1006:$BQ$1006,0)), HYPERLINK("#",""), HYPERLINK(CONCATENATE("#Metadata!", ADDRESS(INDEX($AJ$2:$AJ$1001,MATCH(ROWS($AH$2:AH510),$AH$2:$AH$1001,0),0), INDEX($AO$1004:$BQ$1004,1,MATCH(COLUMNS($AO$1006:BH1006),$AO$1006:$BQ$1006,0)))),"Fix")))</f>
        <v>#N/A</v>
      </c>
      <c r="V510" s="5" t="e">
        <f ca="1">IF(OR(INDEX($AI$2:$AI$1001,MATCH(ROWS($AH$2:AH510),$AH$2:$AH$1001,0),1)&gt;=100000,INDEX($AO$1005:$BQ$1005,1,MATCH(COLUMNS($AO$1006:BI1006),$AO$1006:$BQ$1006,0))&gt;=100000), " ",IF(INDEX($AO$2:$BQ$1001,MATCH(ROWS($AH$2:AH510),$AH$2:$AH$1001,0),MATCH(COLUMNS($AO$1006:BI1006),$AO$1006:$BQ$1006,0)), HYPERLINK("#",""), HYPERLINK(CONCATENATE("#Metadata!", ADDRESS(INDEX($AJ$2:$AJ$1001,MATCH(ROWS($AH$2:AH510),$AH$2:$AH$1001,0),0), INDEX($AO$1004:$BQ$1004,1,MATCH(COLUMNS($AO$1006:BI1006),$AO$1006:$BQ$1006,0)))),"Fix")))</f>
        <v>#N/A</v>
      </c>
      <c r="W510" s="5" t="e">
        <f ca="1">IF(OR(INDEX($AI$2:$AI$1001,MATCH(ROWS($AH$2:AH510),$AH$2:$AH$1001,0),1)&gt;=100000,INDEX($AO$1005:$BQ$1005,1,MATCH(COLUMNS($AO$1006:BJ1006),$AO$1006:$BQ$1006,0))&gt;=100000), " ",IF(INDEX($AO$2:$BQ$1001,MATCH(ROWS($AH$2:AH510),$AH$2:$AH$1001,0),MATCH(COLUMNS($AO$1006:BJ1006),$AO$1006:$BQ$1006,0)), HYPERLINK("#",""), HYPERLINK(CONCATENATE("#Metadata!", ADDRESS(INDEX($AJ$2:$AJ$1001,MATCH(ROWS($AH$2:AH510),$AH$2:$AH$1001,0),0), INDEX($AO$1004:$BQ$1004,1,MATCH(COLUMNS($AO$1006:BJ1006),$AO$1006:$BQ$1006,0)))),"Fix")))</f>
        <v>#N/A</v>
      </c>
      <c r="X510" s="5" t="e">
        <f ca="1">IF(OR(INDEX($AI$2:$AI$1001,MATCH(ROWS($AH$2:AH510),$AH$2:$AH$1001,0),1)&gt;=100000,INDEX($AO$1005:$BQ$1005,1,MATCH(COLUMNS($AO$1006:BK1006),$AO$1006:$BQ$1006,0))&gt;=100000), " ",IF(INDEX($AO$2:$BQ$1001,MATCH(ROWS($AH$2:AH510),$AH$2:$AH$1001,0),MATCH(COLUMNS($AO$1006:BK1006),$AO$1006:$BQ$1006,0)), HYPERLINK("#",""), HYPERLINK(CONCATENATE("#Metadata!", ADDRESS(INDEX($AJ$2:$AJ$1001,MATCH(ROWS($AH$2:AH510),$AH$2:$AH$1001,0),0), INDEX($AO$1004:$BQ$1004,1,MATCH(COLUMNS($AO$1006:BK1006),$AO$1006:$BQ$1006,0)))),"Fix")))</f>
        <v>#N/A</v>
      </c>
      <c r="Y510" s="5" t="e">
        <f ca="1">IF(OR(INDEX($AI$2:$AI$1001,MATCH(ROWS($AH$2:AH510),$AH$2:$AH$1001,0),1)&gt;=100000,INDEX($AO$1005:$BQ$1005,1,MATCH(COLUMNS($AO$1006:BL1006),$AO$1006:$BQ$1006,0))&gt;=100000), " ",IF(INDEX($AO$2:$BQ$1001,MATCH(ROWS($AH$2:AH510),$AH$2:$AH$1001,0),MATCH(COLUMNS($AO$1006:BL1006),$AO$1006:$BQ$1006,0)), HYPERLINK("#",""), HYPERLINK(CONCATENATE("#Metadata!", ADDRESS(INDEX($AJ$2:$AJ$1001,MATCH(ROWS($AH$2:AH510),$AH$2:$AH$1001,0),0), INDEX($AO$1004:$BQ$1004,1,MATCH(COLUMNS($AO$1006:BL1006),$AO$1006:$BQ$1006,0)))),"Fix")))</f>
        <v>#N/A</v>
      </c>
      <c r="Z510" s="5" t="e">
        <f ca="1">IF(OR(INDEX($AI$2:$AI$1001,MATCH(ROWS($AH$2:AH510),$AH$2:$AH$1001,0),1)&gt;=100000,INDEX($AO$1005:$BQ$1005,1,MATCH(COLUMNS($AO$1006:BM1006),$AO$1006:$BQ$1006,0))&gt;=100000), " ",IF(INDEX($AO$2:$BQ$1001,MATCH(ROWS($AH$2:AH510),$AH$2:$AH$1001,0),MATCH(COLUMNS($AO$1006:BM1006),$AO$1006:$BQ$1006,0)), HYPERLINK("#",""), HYPERLINK(CONCATENATE("#Metadata!", ADDRESS(INDEX($AJ$2:$AJ$1001,MATCH(ROWS($AH$2:AH510),$AH$2:$AH$1001,0),0), INDEX($AO$1004:$BQ$1004,1,MATCH(COLUMNS($AO$1006:BM1006),$AO$1006:$BQ$1006,0)))),"Fix")))</f>
        <v>#N/A</v>
      </c>
      <c r="AA510" s="5" t="e">
        <f ca="1">IF(OR(INDEX($AI$2:$AI$1001,MATCH(ROWS($AH$2:AH510),$AH$2:$AH$1001,0),1)&gt;=100000,INDEX($AO$1005:$BQ$1005,1,MATCH(COLUMNS($AO$1006:BN1006),$AO$1006:$BQ$1006,0))&gt;=100000), " ",IF(INDEX($AO$2:$BQ$1001,MATCH(ROWS($AH$2:AH510),$AH$2:$AH$1001,0),MATCH(COLUMNS($AO$1006:BN1006),$AO$1006:$BQ$1006,0)), HYPERLINK("#",""), HYPERLINK(CONCATENATE("#Metadata!", ADDRESS(INDEX($AJ$2:$AJ$1001,MATCH(ROWS($AH$2:AH510),$AH$2:$AH$1001,0),0), INDEX($AO$1004:$BQ$1004,1,MATCH(COLUMNS($AO$1006:BN1006),$AO$1006:$BQ$1006,0)))),"Fix")))</f>
        <v>#N/A</v>
      </c>
      <c r="AB510" s="5" t="e">
        <f ca="1">IF(OR(INDEX($AI$2:$AI$1001,MATCH(ROWS($AH$2:AH510),$AH$2:$AH$1001,0),1)&gt;=100000,INDEX($AO$1005:$BQ$1005,1,MATCH(COLUMNS($AO$1006:BO1006),$AO$1006:$BQ$1006,0))&gt;=100000), " ",IF(INDEX($AO$2:$BQ$1001,MATCH(ROWS($AH$2:AH510),$AH$2:$AH$1001,0),MATCH(COLUMNS($AO$1006:BO1006),$AO$1006:$BQ$1006,0)), HYPERLINK("#",""), HYPERLINK(CONCATENATE("#Metadata!", ADDRESS(INDEX($AJ$2:$AJ$1001,MATCH(ROWS($AH$2:AH510),$AH$2:$AH$1001,0),0), INDEX($AO$1004:$BQ$1004,1,MATCH(COLUMNS($AO$1006:BO1006),$AO$1006:$BQ$1006,0)))),"Fix")))</f>
        <v>#N/A</v>
      </c>
      <c r="AC510" s="5" t="e">
        <f ca="1">IF(OR(INDEX($AI$2:$AI$1001,MATCH(ROWS($AH$2:AH510),$AH$2:$AH$1001,0),1)&gt;=100000,INDEX($AO$1005:$BQ$1005,1,MATCH(COLUMNS($AO$1006:BP1006),$AO$1006:$BQ$1006,0))&gt;=100000), " ",IF(INDEX($AO$2:$BQ$1001,MATCH(ROWS($AH$2:AH510),$AH$2:$AH$1001,0),MATCH(COLUMNS($AO$1006:BP1006),$AO$1006:$BQ$1006,0)), HYPERLINK("#",""), HYPERLINK(CONCATENATE("#Metadata!", ADDRESS(INDEX($AJ$2:$AJ$1001,MATCH(ROWS($AH$2:AH510),$AH$2:$AH$1001,0),0), INDEX($AO$1004:$BQ$1004,1,MATCH(COLUMNS($AO$1006:BP1006),$AO$1006:$BQ$1006,0)))),"Fix")))</f>
        <v>#N/A</v>
      </c>
      <c r="AD510" s="5" t="e">
        <f ca="1">IF(OR(INDEX($AI$2:$AI$1001,MATCH(ROWS($AH$2:AH510),$AH$2:$AH$1001,0),1)&gt;=100000,INDEX($AO$1005:$BQ$1005,1,MATCH(COLUMNS($AO$1006:BQ1006),$AO$1006:$BQ$1006,0))&gt;=100000), " ",IF(INDEX($AO$2:$BQ$1001,MATCH(ROWS($AH$2:AH510),$AH$2:$AH$1001,0),MATCH(COLUMNS($AO$1006:BQ1006),$AO$1006:$BQ$1006,0)), HYPERLINK("#",""), HYPERLINK(CONCATENATE("#Metadata!", ADDRESS(INDEX($AJ$2:$AJ$1001,MATCH(ROWS($AH$2:AH510),$AH$2:$AH$1001,0),0), INDEX($AO$1004:$BQ$1004,1,MATCH(COLUMNS($AO$1006:BQ1006),$AO$1006:$BQ$1006,0)))),"Fix")))</f>
        <v>#REF!</v>
      </c>
      <c r="AH510">
        <f ca="1"/>
        <v>507</v>
      </c>
      <c r="AI510">
        <v>100510</v>
      </c>
      <c r="AJ510">
        <v>510</v>
      </c>
      <c r="AK510" t="b">
        <f t="shared" si="7"/>
        <v>1</v>
      </c>
      <c r="AL510" t="b">
        <f>COUNTBLANK(Metadata!B510:AD510)=COLUMNS(Metadata!B510:AD510)</f>
        <v>1</v>
      </c>
      <c r="AM510" t="str">
        <v/>
      </c>
      <c r="AO510" t="b">
        <f ca="1">AND(IF(Metadata!B510="",FALSE,TRUE),COUNTIF(Metadata!B:B, Metadata!B510) = 1,NOT(ISERROR(SUMPRODUCT(SEARCH(MID(Metadata!B510,ROW(INDIRECT("1:"&amp;LEN(Metadata!B510))), 1),"0123456789abcdefghijklmnopqrstuvwxyzABCDEFGHIJKLMNOPQRSTUVWXYZ.")))))</f>
        <v>0</v>
      </c>
      <c r="AP510" t="b">
        <f>IF(Metadata!C510="",FALSE,TRUE)</f>
        <v>0</v>
      </c>
      <c r="AQ510" t="b">
        <f>IF(Metadata!D510="",FALSE,TRUE)</f>
        <v>0</v>
      </c>
      <c r="AR510" t="b">
        <f ca="1">OR(AND(IF(Metadata!E510="",FALSE,TRUE),OR(EXACT(Metadata!E510,"not collected"),EXACT(Metadata!E510,"not provided"),EXACT(Metadata!E510,"restricted access"))),AND(IF(Metadata!E510="",FALSE,TRUE),AND(AND(IFERROR(INT(LEFT(Metadata!E510,4))&gt;1900,FALSE),IFERROR(INT(LEFT(Metadata!E510,4))&lt;=YEAR(NOW()),FALSE)), OR(MID(Metadata!E510,5,1)="", AND(AND(MID(Metadata!E510,5,1)="-",IFERROR(INT(MID(Metadata!E510,6,1))&gt;=0,FALSE),IFERROR(INT(MID(Metadata!E510,6,1))&lt;=1,FALSE),NOT(MID(Metadata!E510,7,1)=""),IFERROR(INT(MID(Metadata!E510,6,2))&gt;=1,FALSE),IFERROR(INT(MID(Metadata!E510,6,2))&lt;=12,FALSE)), OR(MID(Metadata!E510,8,1)="", AND(AND(MID(Metadata!E510,8,1)="-",IFERROR(INT(MID(Metadata!E510,9,1))&gt;=0,FALSE),IFERROR(INT(MID(Metadata!E510,9,1))&lt;=3,FALSE),NOT(MID(Metadata!E510,10,1)=""),IFERROR(INT(MID(Metadata!E510,9,2))&gt;=1,FALSE),IFERROR(INT(MID(Metadata!E510,9,2))&lt;=31,FALSE)), OR(MID(Metadata!E510,11,1)="", AND(AND(MID(Metadata!E510,11,1)=" ",IFERROR(INT(MID(Metadata!E510,12,1))&gt;=0,FALSE),IFERROR(INT(MID(Metadata!E510,12,1))&lt;=2,FALSE),NOT(MID(Metadata!E510,13,1)=""),IFERROR(INT(MID(Metadata!E510,12,2))&gt;=0,FALSE),IFERROR(INT(MID(Metadata!E510,12,2))&lt;=23,FALSE)), OR(MID(Metadata!E510,14,1)="", AND(AND(MID(Metadata!E510,14,1)=":",IFERROR(INT(MID(Metadata!E510,15,1))&gt;=0,FALSE),IFERROR(INT(MID(Metadata!E510,15,1))&lt;=5,FALSE),NOT(MID(Metadata!E510,16,1)=""),IFERROR(INT(MID(Metadata!E510,15,2))&gt;=0,FALSE),IFERROR(INT(MID(Metadata!E510,15,2))&lt;=59,FALSE)), OR(MID(Metadata!E510,17,1)="", AND(AND(MID(Metadata!E510,17,1)=":",IFERROR(INT(MID(Metadata!E510,18,1))&gt;=0,FALSE),IFERROR(INT(MID(Metadata!E510,18,1))&lt;=5,FALSE),NOT(MID(Metadata!E510,19,1)=""),IFERROR(INT(MID(Metadata!E510,18,2))&gt;=0,FALSE),IFERROR(INT(MID(Metadata!E510,18,2))&lt;=59,FALSE)), LEN(Metadata!E510)&lt;=19)))))))))))))</f>
        <v>0</v>
      </c>
      <c r="AS510" t="b">
        <f>IF(Metadata!F510="",FALSE,TRUE)</f>
        <v>0</v>
      </c>
      <c r="AT510" t="b">
        <f>OR(AND(IF(Metadata!G510="",FALSE,TRUE),OR(EXACT(Metadata!G510,"not collected"),EXACT(Metadata!G510,"not provided"))),AND(IF(Metadata!G510="",FALSE,TRUE),OR(EXACT(Metadata!G510,"TRUE"),EXACT(Metadata!G510,"FALSE"))))</f>
        <v>0</v>
      </c>
      <c r="AU510" t="b">
        <f>OR(AND(IF(Metadata!H510="",FALSE,TRUE),OR(EXACT(Metadata!H510,"not collected"),EXACT(Metadata!H510,"not provided"),EXACT(Metadata!H510,"restricted access"))),AND(IF(Metadata!H510="",FALSE,ISNUMBER(VALUE(Metadata!H510))),Metadata!H510&gt;=-413))</f>
        <v>0</v>
      </c>
      <c r="AV510" t="b">
        <f>AND(IF(Metadata!I510="",FALSE,TRUE),EXACT(Metadata!I510,"meters"))</f>
        <v>0</v>
      </c>
      <c r="AW510" t="b">
        <f>AND(IF(Metadata!J510="",FALSE,TRUE),EXACT(Metadata!J510,"free-living"))</f>
        <v>0</v>
      </c>
      <c r="AX510" t="b">
        <f>AND(IF(Metadata!K510="",FALSE,TRUE),OR(EXACT(Metadata!K510,"saline"),EXACT(Metadata!K510,"non-saline")))</f>
        <v>0</v>
      </c>
      <c r="AY510" t="b">
        <f>AND(IF(Metadata!L510="",FALSE,TRUE),OR(EXACT(Metadata!L510,"sub-surface (non-saline)"),EXACT(Metadata!L510,"surface (non-saline)"),EXACT(Metadata!L510,"water (non-saline)"),EXACT(Metadata!L510,"soil (non-saline)"),EXACT(Metadata!L510,"aerosol (non-saline)"),EXACT(Metadata!L510,"sediment (non-saline)"),EXACT(Metadata!L510,"surface (saline)"),EXACT(Metadata!L510,"water (saline)"),EXACT(Metadata!L510,"hypersaline (saline)"),EXACT(Metadata!L510,"aerosol (saline)"),EXACT(Metadata!L510,"sediment (saline)")))</f>
        <v>0</v>
      </c>
      <c r="AZ510" t="b">
        <f>IF(Metadata!M510="",FALSE,TRUE)</f>
        <v>0</v>
      </c>
      <c r="BA510" t="b">
        <f>IF(Metadata!N510="",FALSE,TRUE)</f>
        <v>0</v>
      </c>
      <c r="BB510" t="b">
        <f>IF(Metadata!O510="",FALSE,TRUE)</f>
        <v>0</v>
      </c>
      <c r="BC510" t="b">
        <f>AND(IF(Metadata!P510="",FALSE,TRUE),OR(EXACT(Metadata!P510,"air"),EXACT(Metadata!P510,"microbial mat/biofilm"),EXACT(Metadata!P510,"misc environment"),EXACT(Metadata!P510,"sediment"),EXACT(Metadata!P510,"soil"),EXACT(Metadata!P510,"wastewater/sludge"),EXACT(Metadata!P510,"water")))</f>
        <v>0</v>
      </c>
      <c r="BD510" t="b">
        <f>IF(Metadata!Q510="",FALSE,TRUE)</f>
        <v>0</v>
      </c>
      <c r="BE510" t="b">
        <f>IF(Metadata!R510="",FALSE,TRUE)</f>
        <v>0</v>
      </c>
      <c r="BF510" t="b">
        <f>OR(AND(IF(Metadata!S510="",FALSE,TRUE),OR(EXACT(Metadata!S510,"not collected"),EXACT(Metadata!S510,"not provided"),EXACT(Metadata!S510,"restricted access"))),AND(IF(Metadata!S510="",FALSE,ISNUMBER(VALUE(Metadata!S510))),Metadata!S510&gt;=-90,Metadata!S510&lt;=90))</f>
        <v>0</v>
      </c>
      <c r="BG510" t="b">
        <f>AND(IF(Metadata!T510="",FALSE,TRUE),EXACT(Metadata!T510,"Decimal degrees"))</f>
        <v>0</v>
      </c>
      <c r="BH510" t="b">
        <f>OR(AND(IF(Metadata!U510="",FALSE,TRUE),OR(EXACT(Metadata!U510,"not applicable"),EXACT(Metadata!U510,"not collected"))),IF(Metadata!U510="",FALSE,TRUE))</f>
        <v>0</v>
      </c>
      <c r="BI510" t="b">
        <f>OR(AND(IF(Metadata!V510="",FALSE,TRUE),OR(EXACT(Metadata!V510,"not collected"),EXACT(Metadata!V510,"not provided"),EXACT(Metadata!V510,"restricted access"))),AND(IF(Metadata!V510="",FALSE,ISNUMBER(VALUE(Metadata!V510))),Metadata!V510&gt;=-180,Metadata!V510&lt;=180))</f>
        <v>0</v>
      </c>
      <c r="BJ510" t="b">
        <f>AND(IF(Metadata!W510="",FALSE,TRUE),EXACT(Metadata!W510,"Decimal degrees"))</f>
        <v>0</v>
      </c>
      <c r="BK510" t="b">
        <f>IF(Metadata!X510="",FALSE,TRUE)</f>
        <v>0</v>
      </c>
      <c r="BL510" t="b">
        <f>OR(AND(IF(Metadata!Y510="",FALSE,TRUE),OR(EXACT(Metadata!Y510,"not collected"),EXACT(Metadata!Y510,"not provided"),EXACT(Metadata!Y510,"restricted access"))),AND(IF(Metadata!Y510="",FALSE,TRUE),OR(EXACT(Metadata!Y510,"TRUE"),EXACT(Metadata!Y510,"FALSE"))))</f>
        <v>0</v>
      </c>
      <c r="BM510" t="b">
        <f>OR(AND(IF(Metadata!Z510="",FALSE,TRUE),EXACT(Metadata!Z510,"not applicable")),AND(IF(Metadata!Z510="",FALSE,TRUE),OR(EXACT(Metadata!Z510,"beer"),EXACT(Metadata!Z510,"cheese"),EXACT(Metadata!Z510,"fresh water"),EXACT(Metadata!Z510,"marine sediment"),EXACT(Metadata!Z510,"sea water"),EXACT(Metadata!Z510,"sediment"),EXACT(Metadata!Z510,"soil"),EXACT(Metadata!Z510,"waste water"))))</f>
        <v>0</v>
      </c>
      <c r="BN510" t="b">
        <f>AND(IF(Metadata!AA510="",FALSE,TRUE),EXACT(Metadata!AA510,"metagenome"))</f>
        <v>0</v>
      </c>
      <c r="BO510" t="b">
        <f>AND(IF(Metadata!AB510="",FALSE,TRUE),EXACT(Metadata!AB510,"256318"))</f>
        <v>0</v>
      </c>
      <c r="BP510" t="b">
        <f>IF(Metadata!AC510="",FALSE,TRUE)</f>
        <v>0</v>
      </c>
      <c r="BQ510" t="b">
        <f>IF(Metadata!AD510="",FALSE,TRUE)</f>
        <v>0</v>
      </c>
    </row>
    <row r="511" spans="1:69" x14ac:dyDescent="0.2">
      <c r="A511" s="4" t="e">
        <f ca="1">IF(B511=" "," ",HYPERLINK(CONCATENATE("#metadata!",ADDRESS(INDEX($AJ$2:$AJ$1001,MATCH(ROWS($AH$2:AH511),$AH$2:$AH$1001,0),0),2)),INDEX($AM$2:$AM$1001,MATCH(ROWS($AH$2:AH511),$AH$2:$AH$1001,0),0)))</f>
        <v>#N/A</v>
      </c>
      <c r="B511" s="5" t="e">
        <f ca="1">IF(OR(INDEX($AI$2:$AI$1001,MATCH(ROWS($AH$2:AH511),$AH$2:$AH$1001,0),1)&gt;=100000,INDEX($AO$1005:$BQ$1005,1,MATCH(COLUMNS($AO$1006:AO1006),$AO$1006:$BQ$1006,0))&gt;=100000), " ",IF(INDEX($AO$2:$BQ$1001,MATCH(ROWS($AH$2:AH511),$AH$2:$AH$1001,0),MATCH(COLUMNS($AO$1006:AO1006),$AO$1006:$BQ$1006,0)), HYPERLINK("#",""), HYPERLINK(CONCATENATE("#Metadata!", ADDRESS(INDEX($AJ$2:$AJ$1001,MATCH(ROWS($AH$2:AH511),$AH$2:$AH$1001,0),0), INDEX($AO$1004:$BQ$1004,1,MATCH(COLUMNS($AO$1006:AO1006),$AO$1006:$BQ$1006,0)))),"Fix")))</f>
        <v>#N/A</v>
      </c>
      <c r="C511" s="5" t="e">
        <f ca="1">IF(OR(INDEX($AI$2:$AI$1001,MATCH(ROWS($AH$2:AH511),$AH$2:$AH$1001,0),1)&gt;=100000,INDEX($AO$1005:$BQ$1005,1,MATCH(COLUMNS($AO$1006:AP1006),$AO$1006:$BQ$1006,0))&gt;=100000), " ",IF(INDEX($AO$2:$BQ$1001,MATCH(ROWS($AH$2:AH511),$AH$2:$AH$1001,0),MATCH(COLUMNS($AO$1006:AP1006),$AO$1006:$BQ$1006,0)), HYPERLINK("#",""), HYPERLINK(CONCATENATE("#Metadata!", ADDRESS(INDEX($AJ$2:$AJ$1001,MATCH(ROWS($AH$2:AH511),$AH$2:$AH$1001,0),0), INDEX($AO$1004:$BQ$1004,1,MATCH(COLUMNS($AO$1006:AP1006),$AO$1006:$BQ$1006,0)))),"Fix")))</f>
        <v>#N/A</v>
      </c>
      <c r="D511" s="5" t="e">
        <f ca="1">IF(OR(INDEX($AI$2:$AI$1001,MATCH(ROWS($AH$2:AH511),$AH$2:$AH$1001,0),1)&gt;=100000,INDEX($AO$1005:$BQ$1005,1,MATCH(COLUMNS($AO$1006:AQ1006),$AO$1006:$BQ$1006,0))&gt;=100000), " ",IF(INDEX($AO$2:$BQ$1001,MATCH(ROWS($AH$2:AH511),$AH$2:$AH$1001,0),MATCH(COLUMNS($AO$1006:AQ1006),$AO$1006:$BQ$1006,0)), HYPERLINK("#",""), HYPERLINK(CONCATENATE("#Metadata!", ADDRESS(INDEX($AJ$2:$AJ$1001,MATCH(ROWS($AH$2:AH511),$AH$2:$AH$1001,0),0), INDEX($AO$1004:$BQ$1004,1,MATCH(COLUMNS($AO$1006:AQ1006),$AO$1006:$BQ$1006,0)))),"Fix")))</f>
        <v>#N/A</v>
      </c>
      <c r="E511" s="5" t="e">
        <f ca="1">IF(OR(INDEX($AI$2:$AI$1001,MATCH(ROWS($AH$2:AH511),$AH$2:$AH$1001,0),1)&gt;=100000,INDEX($AO$1005:$BQ$1005,1,MATCH(COLUMNS($AO$1006:AR1006),$AO$1006:$BQ$1006,0))&gt;=100000), " ",IF(INDEX($AO$2:$BQ$1001,MATCH(ROWS($AH$2:AH511),$AH$2:$AH$1001,0),MATCH(COLUMNS($AO$1006:AR1006),$AO$1006:$BQ$1006,0)), HYPERLINK("#",""), HYPERLINK(CONCATENATE("#Metadata!", ADDRESS(INDEX($AJ$2:$AJ$1001,MATCH(ROWS($AH$2:AH511),$AH$2:$AH$1001,0),0), INDEX($AO$1004:$BQ$1004,1,MATCH(COLUMNS($AO$1006:AR1006),$AO$1006:$BQ$1006,0)))),"Fix")))</f>
        <v>#N/A</v>
      </c>
      <c r="F511" s="5" t="e">
        <f ca="1">IF(OR(INDEX($AI$2:$AI$1001,MATCH(ROWS($AH$2:AH511),$AH$2:$AH$1001,0),1)&gt;=100000,INDEX($AO$1005:$BQ$1005,1,MATCH(COLUMNS($AO$1006:AS1006),$AO$1006:$BQ$1006,0))&gt;=100000), " ",IF(INDEX($AO$2:$BQ$1001,MATCH(ROWS($AH$2:AH511),$AH$2:$AH$1001,0),MATCH(COLUMNS($AO$1006:AS1006),$AO$1006:$BQ$1006,0)), HYPERLINK("#",""), HYPERLINK(CONCATENATE("#Metadata!", ADDRESS(INDEX($AJ$2:$AJ$1001,MATCH(ROWS($AH$2:AH511),$AH$2:$AH$1001,0),0), INDEX($AO$1004:$BQ$1004,1,MATCH(COLUMNS($AO$1006:AS1006),$AO$1006:$BQ$1006,0)))),"Fix")))</f>
        <v>#N/A</v>
      </c>
      <c r="G511" s="5" t="e">
        <f ca="1">IF(OR(INDEX($AI$2:$AI$1001,MATCH(ROWS($AH$2:AH511),$AH$2:$AH$1001,0),1)&gt;=100000,INDEX($AO$1005:$BQ$1005,1,MATCH(COLUMNS($AO$1006:AT1006),$AO$1006:$BQ$1006,0))&gt;=100000), " ",IF(INDEX($AO$2:$BQ$1001,MATCH(ROWS($AH$2:AH511),$AH$2:$AH$1001,0),MATCH(COLUMNS($AO$1006:AT1006),$AO$1006:$BQ$1006,0)), HYPERLINK("#",""), HYPERLINK(CONCATENATE("#Metadata!", ADDRESS(INDEX($AJ$2:$AJ$1001,MATCH(ROWS($AH$2:AH511),$AH$2:$AH$1001,0),0), INDEX($AO$1004:$BQ$1004,1,MATCH(COLUMNS($AO$1006:AT1006),$AO$1006:$BQ$1006,0)))),"Fix")))</f>
        <v>#N/A</v>
      </c>
      <c r="H511" s="5" t="e">
        <f ca="1">IF(OR(INDEX($AI$2:$AI$1001,MATCH(ROWS($AH$2:AH511),$AH$2:$AH$1001,0),1)&gt;=100000,INDEX($AO$1005:$BQ$1005,1,MATCH(COLUMNS($AO$1006:AU1006),$AO$1006:$BQ$1006,0))&gt;=100000), " ",IF(INDEX($AO$2:$BQ$1001,MATCH(ROWS($AH$2:AH511),$AH$2:$AH$1001,0),MATCH(COLUMNS($AO$1006:AU1006),$AO$1006:$BQ$1006,0)), HYPERLINK("#",""), HYPERLINK(CONCATENATE("#Metadata!", ADDRESS(INDEX($AJ$2:$AJ$1001,MATCH(ROWS($AH$2:AH511),$AH$2:$AH$1001,0),0), INDEX($AO$1004:$BQ$1004,1,MATCH(COLUMNS($AO$1006:AU1006),$AO$1006:$BQ$1006,0)))),"Fix")))</f>
        <v>#N/A</v>
      </c>
      <c r="I511" s="5" t="e">
        <f ca="1">IF(OR(INDEX($AI$2:$AI$1001,MATCH(ROWS($AH$2:AH511),$AH$2:$AH$1001,0),1)&gt;=100000,INDEX($AO$1005:$BQ$1005,1,MATCH(COLUMNS($AO$1006:AV1006),$AO$1006:$BQ$1006,0))&gt;=100000), " ",IF(INDEX($AO$2:$BQ$1001,MATCH(ROWS($AH$2:AH511),$AH$2:$AH$1001,0),MATCH(COLUMNS($AO$1006:AV1006),$AO$1006:$BQ$1006,0)), HYPERLINK("#",""), HYPERLINK(CONCATENATE("#Metadata!", ADDRESS(INDEX($AJ$2:$AJ$1001,MATCH(ROWS($AH$2:AH511),$AH$2:$AH$1001,0),0), INDEX($AO$1004:$BQ$1004,1,MATCH(COLUMNS($AO$1006:AV1006),$AO$1006:$BQ$1006,0)))),"Fix")))</f>
        <v>#N/A</v>
      </c>
      <c r="J511" s="5" t="e">
        <f ca="1">IF(OR(INDEX($AI$2:$AI$1001,MATCH(ROWS($AH$2:AH511),$AH$2:$AH$1001,0),1)&gt;=100000,INDEX($AO$1005:$BQ$1005,1,MATCH(COLUMNS($AO$1006:AW1006),$AO$1006:$BQ$1006,0))&gt;=100000), " ",IF(INDEX($AO$2:$BQ$1001,MATCH(ROWS($AH$2:AH511),$AH$2:$AH$1001,0),MATCH(COLUMNS($AO$1006:AW1006),$AO$1006:$BQ$1006,0)), HYPERLINK("#",""), HYPERLINK(CONCATENATE("#Metadata!", ADDRESS(INDEX($AJ$2:$AJ$1001,MATCH(ROWS($AH$2:AH511),$AH$2:$AH$1001,0),0), INDEX($AO$1004:$BQ$1004,1,MATCH(COLUMNS($AO$1006:AW1006),$AO$1006:$BQ$1006,0)))),"Fix")))</f>
        <v>#N/A</v>
      </c>
      <c r="K511" s="5" t="e">
        <f ca="1">IF(OR(INDEX($AI$2:$AI$1001,MATCH(ROWS($AH$2:AH511),$AH$2:$AH$1001,0),1)&gt;=100000,INDEX($AO$1005:$BQ$1005,1,MATCH(COLUMNS($AO$1006:AX1006),$AO$1006:$BQ$1006,0))&gt;=100000), " ",IF(INDEX($AO$2:$BQ$1001,MATCH(ROWS($AH$2:AH511),$AH$2:$AH$1001,0),MATCH(COLUMNS($AO$1006:AX1006),$AO$1006:$BQ$1006,0)), HYPERLINK("#",""), HYPERLINK(CONCATENATE("#Metadata!", ADDRESS(INDEX($AJ$2:$AJ$1001,MATCH(ROWS($AH$2:AH511),$AH$2:$AH$1001,0),0), INDEX($AO$1004:$BQ$1004,1,MATCH(COLUMNS($AO$1006:AX1006),$AO$1006:$BQ$1006,0)))),"Fix")))</f>
        <v>#N/A</v>
      </c>
      <c r="L511" s="5" t="e">
        <f ca="1">IF(OR(INDEX($AI$2:$AI$1001,MATCH(ROWS($AH$2:AH511),$AH$2:$AH$1001,0),1)&gt;=100000,INDEX($AO$1005:$BQ$1005,1,MATCH(COLUMNS($AO$1006:AY1006),$AO$1006:$BQ$1006,0))&gt;=100000), " ",IF(INDEX($AO$2:$BQ$1001,MATCH(ROWS($AH$2:AH511),$AH$2:$AH$1001,0),MATCH(COLUMNS($AO$1006:AY1006),$AO$1006:$BQ$1006,0)), HYPERLINK("#",""), HYPERLINK(CONCATENATE("#Metadata!", ADDRESS(INDEX($AJ$2:$AJ$1001,MATCH(ROWS($AH$2:AH511),$AH$2:$AH$1001,0),0), INDEX($AO$1004:$BQ$1004,1,MATCH(COLUMNS($AO$1006:AY1006),$AO$1006:$BQ$1006,0)))),"Fix")))</f>
        <v>#N/A</v>
      </c>
      <c r="M511" s="5" t="e">
        <f ca="1">IF(OR(INDEX($AI$2:$AI$1001,MATCH(ROWS($AH$2:AH511),$AH$2:$AH$1001,0),1)&gt;=100000,INDEX($AO$1005:$BQ$1005,1,MATCH(COLUMNS($AO$1006:AZ1006),$AO$1006:$BQ$1006,0))&gt;=100000), " ",IF(INDEX($AO$2:$BQ$1001,MATCH(ROWS($AH$2:AH511),$AH$2:$AH$1001,0),MATCH(COLUMNS($AO$1006:AZ1006),$AO$1006:$BQ$1006,0)), HYPERLINK("#",""), HYPERLINK(CONCATENATE("#Metadata!", ADDRESS(INDEX($AJ$2:$AJ$1001,MATCH(ROWS($AH$2:AH511),$AH$2:$AH$1001,0),0), INDEX($AO$1004:$BQ$1004,1,MATCH(COLUMNS($AO$1006:AZ1006),$AO$1006:$BQ$1006,0)))),"Fix")))</f>
        <v>#N/A</v>
      </c>
      <c r="N511" s="5" t="e">
        <f ca="1">IF(OR(INDEX($AI$2:$AI$1001,MATCH(ROWS($AH$2:AH511),$AH$2:$AH$1001,0),1)&gt;=100000,INDEX($AO$1005:$BQ$1005,1,MATCH(COLUMNS($AO$1006:BA1006),$AO$1006:$BQ$1006,0))&gt;=100000), " ",IF(INDEX($AO$2:$BQ$1001,MATCH(ROWS($AH$2:AH511),$AH$2:$AH$1001,0),MATCH(COLUMNS($AO$1006:BA1006),$AO$1006:$BQ$1006,0)), HYPERLINK("#",""), HYPERLINK(CONCATENATE("#Metadata!", ADDRESS(INDEX($AJ$2:$AJ$1001,MATCH(ROWS($AH$2:AH511),$AH$2:$AH$1001,0),0), INDEX($AO$1004:$BQ$1004,1,MATCH(COLUMNS($AO$1006:BA1006),$AO$1006:$BQ$1006,0)))),"Fix")))</f>
        <v>#N/A</v>
      </c>
      <c r="O511" s="5" t="e">
        <f ca="1">IF(OR(INDEX($AI$2:$AI$1001,MATCH(ROWS($AH$2:AH511),$AH$2:$AH$1001,0),1)&gt;=100000,INDEX($AO$1005:$BQ$1005,1,MATCH(COLUMNS($AO$1006:BB1006),$AO$1006:$BQ$1006,0))&gt;=100000), " ",IF(INDEX($AO$2:$BQ$1001,MATCH(ROWS($AH$2:AH511),$AH$2:$AH$1001,0),MATCH(COLUMNS($AO$1006:BB1006),$AO$1006:$BQ$1006,0)), HYPERLINK("#",""), HYPERLINK(CONCATENATE("#Metadata!", ADDRESS(INDEX($AJ$2:$AJ$1001,MATCH(ROWS($AH$2:AH511),$AH$2:$AH$1001,0),0), INDEX($AO$1004:$BQ$1004,1,MATCH(COLUMNS($AO$1006:BB1006),$AO$1006:$BQ$1006,0)))),"Fix")))</f>
        <v>#N/A</v>
      </c>
      <c r="P511" s="5" t="e">
        <f ca="1">IF(OR(INDEX($AI$2:$AI$1001,MATCH(ROWS($AH$2:AH511),$AH$2:$AH$1001,0),1)&gt;=100000,INDEX($AO$1005:$BQ$1005,1,MATCH(COLUMNS($AO$1006:BC1006),$AO$1006:$BQ$1006,0))&gt;=100000), " ",IF(INDEX($AO$2:$BQ$1001,MATCH(ROWS($AH$2:AH511),$AH$2:$AH$1001,0),MATCH(COLUMNS($AO$1006:BC1006),$AO$1006:$BQ$1006,0)), HYPERLINK("#",""), HYPERLINK(CONCATENATE("#Metadata!", ADDRESS(INDEX($AJ$2:$AJ$1001,MATCH(ROWS($AH$2:AH511),$AH$2:$AH$1001,0),0), INDEX($AO$1004:$BQ$1004,1,MATCH(COLUMNS($AO$1006:BC1006),$AO$1006:$BQ$1006,0)))),"Fix")))</f>
        <v>#N/A</v>
      </c>
      <c r="Q511" s="5" t="e">
        <f ca="1">IF(OR(INDEX($AI$2:$AI$1001,MATCH(ROWS($AH$2:AH511),$AH$2:$AH$1001,0),1)&gt;=100000,INDEX($AO$1005:$BQ$1005,1,MATCH(COLUMNS($AO$1006:BD1006),$AO$1006:$BQ$1006,0))&gt;=100000), " ",IF(INDEX($AO$2:$BQ$1001,MATCH(ROWS($AH$2:AH511),$AH$2:$AH$1001,0),MATCH(COLUMNS($AO$1006:BD1006),$AO$1006:$BQ$1006,0)), HYPERLINK("#",""), HYPERLINK(CONCATENATE("#Metadata!", ADDRESS(INDEX($AJ$2:$AJ$1001,MATCH(ROWS($AH$2:AH511),$AH$2:$AH$1001,0),0), INDEX($AO$1004:$BQ$1004,1,MATCH(COLUMNS($AO$1006:BD1006),$AO$1006:$BQ$1006,0)))),"Fix")))</f>
        <v>#N/A</v>
      </c>
      <c r="R511" s="5" t="e">
        <f ca="1">IF(OR(INDEX($AI$2:$AI$1001,MATCH(ROWS($AH$2:AH511),$AH$2:$AH$1001,0),1)&gt;=100000,INDEX($AO$1005:$BQ$1005,1,MATCH(COLUMNS($AO$1006:BE1006),$AO$1006:$BQ$1006,0))&gt;=100000), " ",IF(INDEX($AO$2:$BQ$1001,MATCH(ROWS($AH$2:AH511),$AH$2:$AH$1001,0),MATCH(COLUMNS($AO$1006:BE1006),$AO$1006:$BQ$1006,0)), HYPERLINK("#",""), HYPERLINK(CONCATENATE("#Metadata!", ADDRESS(INDEX($AJ$2:$AJ$1001,MATCH(ROWS($AH$2:AH511),$AH$2:$AH$1001,0),0), INDEX($AO$1004:$BQ$1004,1,MATCH(COLUMNS($AO$1006:BE1006),$AO$1006:$BQ$1006,0)))),"Fix")))</f>
        <v>#N/A</v>
      </c>
      <c r="S511" s="5" t="e">
        <f ca="1">IF(OR(INDEX($AI$2:$AI$1001,MATCH(ROWS($AH$2:AH511),$AH$2:$AH$1001,0),1)&gt;=100000,INDEX($AO$1005:$BQ$1005,1,MATCH(COLUMNS($AO$1006:BF1006),$AO$1006:$BQ$1006,0))&gt;=100000), " ",IF(INDEX($AO$2:$BQ$1001,MATCH(ROWS($AH$2:AH511),$AH$2:$AH$1001,0),MATCH(COLUMNS($AO$1006:BF1006),$AO$1006:$BQ$1006,0)), HYPERLINK("#",""), HYPERLINK(CONCATENATE("#Metadata!", ADDRESS(INDEX($AJ$2:$AJ$1001,MATCH(ROWS($AH$2:AH511),$AH$2:$AH$1001,0),0), INDEX($AO$1004:$BQ$1004,1,MATCH(COLUMNS($AO$1006:BF1006),$AO$1006:$BQ$1006,0)))),"Fix")))</f>
        <v>#N/A</v>
      </c>
      <c r="T511" s="5" t="e">
        <f ca="1">IF(OR(INDEX($AI$2:$AI$1001,MATCH(ROWS($AH$2:AH511),$AH$2:$AH$1001,0),1)&gt;=100000,INDEX($AO$1005:$BQ$1005,1,MATCH(COLUMNS($AO$1006:BG1006),$AO$1006:$BQ$1006,0))&gt;=100000), " ",IF(INDEX($AO$2:$BQ$1001,MATCH(ROWS($AH$2:AH511),$AH$2:$AH$1001,0),MATCH(COLUMNS($AO$1006:BG1006),$AO$1006:$BQ$1006,0)), HYPERLINK("#",""), HYPERLINK(CONCATENATE("#Metadata!", ADDRESS(INDEX($AJ$2:$AJ$1001,MATCH(ROWS($AH$2:AH511),$AH$2:$AH$1001,0),0), INDEX($AO$1004:$BQ$1004,1,MATCH(COLUMNS($AO$1006:BG1006),$AO$1006:$BQ$1006,0)))),"Fix")))</f>
        <v>#N/A</v>
      </c>
      <c r="U511" s="5" t="e">
        <f ca="1">IF(OR(INDEX($AI$2:$AI$1001,MATCH(ROWS($AH$2:AH511),$AH$2:$AH$1001,0),1)&gt;=100000,INDEX($AO$1005:$BQ$1005,1,MATCH(COLUMNS($AO$1006:BH1006),$AO$1006:$BQ$1006,0))&gt;=100000), " ",IF(INDEX($AO$2:$BQ$1001,MATCH(ROWS($AH$2:AH511),$AH$2:$AH$1001,0),MATCH(COLUMNS($AO$1006:BH1006),$AO$1006:$BQ$1006,0)), HYPERLINK("#",""), HYPERLINK(CONCATENATE("#Metadata!", ADDRESS(INDEX($AJ$2:$AJ$1001,MATCH(ROWS($AH$2:AH511),$AH$2:$AH$1001,0),0), INDEX($AO$1004:$BQ$1004,1,MATCH(COLUMNS($AO$1006:BH1006),$AO$1006:$BQ$1006,0)))),"Fix")))</f>
        <v>#N/A</v>
      </c>
      <c r="V511" s="5" t="e">
        <f ca="1">IF(OR(INDEX($AI$2:$AI$1001,MATCH(ROWS($AH$2:AH511),$AH$2:$AH$1001,0),1)&gt;=100000,INDEX($AO$1005:$BQ$1005,1,MATCH(COLUMNS($AO$1006:BI1006),$AO$1006:$BQ$1006,0))&gt;=100000), " ",IF(INDEX($AO$2:$BQ$1001,MATCH(ROWS($AH$2:AH511),$AH$2:$AH$1001,0),MATCH(COLUMNS($AO$1006:BI1006),$AO$1006:$BQ$1006,0)), HYPERLINK("#",""), HYPERLINK(CONCATENATE("#Metadata!", ADDRESS(INDEX($AJ$2:$AJ$1001,MATCH(ROWS($AH$2:AH511),$AH$2:$AH$1001,0),0), INDEX($AO$1004:$BQ$1004,1,MATCH(COLUMNS($AO$1006:BI1006),$AO$1006:$BQ$1006,0)))),"Fix")))</f>
        <v>#N/A</v>
      </c>
      <c r="W511" s="5" t="e">
        <f ca="1">IF(OR(INDEX($AI$2:$AI$1001,MATCH(ROWS($AH$2:AH511),$AH$2:$AH$1001,0),1)&gt;=100000,INDEX($AO$1005:$BQ$1005,1,MATCH(COLUMNS($AO$1006:BJ1006),$AO$1006:$BQ$1006,0))&gt;=100000), " ",IF(INDEX($AO$2:$BQ$1001,MATCH(ROWS($AH$2:AH511),$AH$2:$AH$1001,0),MATCH(COLUMNS($AO$1006:BJ1006),$AO$1006:$BQ$1006,0)), HYPERLINK("#",""), HYPERLINK(CONCATENATE("#Metadata!", ADDRESS(INDEX($AJ$2:$AJ$1001,MATCH(ROWS($AH$2:AH511),$AH$2:$AH$1001,0),0), INDEX($AO$1004:$BQ$1004,1,MATCH(COLUMNS($AO$1006:BJ1006),$AO$1006:$BQ$1006,0)))),"Fix")))</f>
        <v>#N/A</v>
      </c>
      <c r="X511" s="5" t="e">
        <f ca="1">IF(OR(INDEX($AI$2:$AI$1001,MATCH(ROWS($AH$2:AH511),$AH$2:$AH$1001,0),1)&gt;=100000,INDEX($AO$1005:$BQ$1005,1,MATCH(COLUMNS($AO$1006:BK1006),$AO$1006:$BQ$1006,0))&gt;=100000), " ",IF(INDEX($AO$2:$BQ$1001,MATCH(ROWS($AH$2:AH511),$AH$2:$AH$1001,0),MATCH(COLUMNS($AO$1006:BK1006),$AO$1006:$BQ$1006,0)), HYPERLINK("#",""), HYPERLINK(CONCATENATE("#Metadata!", ADDRESS(INDEX($AJ$2:$AJ$1001,MATCH(ROWS($AH$2:AH511),$AH$2:$AH$1001,0),0), INDEX($AO$1004:$BQ$1004,1,MATCH(COLUMNS($AO$1006:BK1006),$AO$1006:$BQ$1006,0)))),"Fix")))</f>
        <v>#N/A</v>
      </c>
      <c r="Y511" s="5" t="e">
        <f ca="1">IF(OR(INDEX($AI$2:$AI$1001,MATCH(ROWS($AH$2:AH511),$AH$2:$AH$1001,0),1)&gt;=100000,INDEX($AO$1005:$BQ$1005,1,MATCH(COLUMNS($AO$1006:BL1006),$AO$1006:$BQ$1006,0))&gt;=100000), " ",IF(INDEX($AO$2:$BQ$1001,MATCH(ROWS($AH$2:AH511),$AH$2:$AH$1001,0),MATCH(COLUMNS($AO$1006:BL1006),$AO$1006:$BQ$1006,0)), HYPERLINK("#",""), HYPERLINK(CONCATENATE("#Metadata!", ADDRESS(INDEX($AJ$2:$AJ$1001,MATCH(ROWS($AH$2:AH511),$AH$2:$AH$1001,0),0), INDEX($AO$1004:$BQ$1004,1,MATCH(COLUMNS($AO$1006:BL1006),$AO$1006:$BQ$1006,0)))),"Fix")))</f>
        <v>#N/A</v>
      </c>
      <c r="Z511" s="5" t="e">
        <f ca="1">IF(OR(INDEX($AI$2:$AI$1001,MATCH(ROWS($AH$2:AH511),$AH$2:$AH$1001,0),1)&gt;=100000,INDEX($AO$1005:$BQ$1005,1,MATCH(COLUMNS($AO$1006:BM1006),$AO$1006:$BQ$1006,0))&gt;=100000), " ",IF(INDEX($AO$2:$BQ$1001,MATCH(ROWS($AH$2:AH511),$AH$2:$AH$1001,0),MATCH(COLUMNS($AO$1006:BM1006),$AO$1006:$BQ$1006,0)), HYPERLINK("#",""), HYPERLINK(CONCATENATE("#Metadata!", ADDRESS(INDEX($AJ$2:$AJ$1001,MATCH(ROWS($AH$2:AH511),$AH$2:$AH$1001,0),0), INDEX($AO$1004:$BQ$1004,1,MATCH(COLUMNS($AO$1006:BM1006),$AO$1006:$BQ$1006,0)))),"Fix")))</f>
        <v>#N/A</v>
      </c>
      <c r="AA511" s="5" t="e">
        <f ca="1">IF(OR(INDEX($AI$2:$AI$1001,MATCH(ROWS($AH$2:AH511),$AH$2:$AH$1001,0),1)&gt;=100000,INDEX($AO$1005:$BQ$1005,1,MATCH(COLUMNS($AO$1006:BN1006),$AO$1006:$BQ$1006,0))&gt;=100000), " ",IF(INDEX($AO$2:$BQ$1001,MATCH(ROWS($AH$2:AH511),$AH$2:$AH$1001,0),MATCH(COLUMNS($AO$1006:BN1006),$AO$1006:$BQ$1006,0)), HYPERLINK("#",""), HYPERLINK(CONCATENATE("#Metadata!", ADDRESS(INDEX($AJ$2:$AJ$1001,MATCH(ROWS($AH$2:AH511),$AH$2:$AH$1001,0),0), INDEX($AO$1004:$BQ$1004,1,MATCH(COLUMNS($AO$1006:BN1006),$AO$1006:$BQ$1006,0)))),"Fix")))</f>
        <v>#N/A</v>
      </c>
      <c r="AB511" s="5" t="e">
        <f ca="1">IF(OR(INDEX($AI$2:$AI$1001,MATCH(ROWS($AH$2:AH511),$AH$2:$AH$1001,0),1)&gt;=100000,INDEX($AO$1005:$BQ$1005,1,MATCH(COLUMNS($AO$1006:BO1006),$AO$1006:$BQ$1006,0))&gt;=100000), " ",IF(INDEX($AO$2:$BQ$1001,MATCH(ROWS($AH$2:AH511),$AH$2:$AH$1001,0),MATCH(COLUMNS($AO$1006:BO1006),$AO$1006:$BQ$1006,0)), HYPERLINK("#",""), HYPERLINK(CONCATENATE("#Metadata!", ADDRESS(INDEX($AJ$2:$AJ$1001,MATCH(ROWS($AH$2:AH511),$AH$2:$AH$1001,0),0), INDEX($AO$1004:$BQ$1004,1,MATCH(COLUMNS($AO$1006:BO1006),$AO$1006:$BQ$1006,0)))),"Fix")))</f>
        <v>#N/A</v>
      </c>
      <c r="AC511" s="5" t="e">
        <f ca="1">IF(OR(INDEX($AI$2:$AI$1001,MATCH(ROWS($AH$2:AH511),$AH$2:$AH$1001,0),1)&gt;=100000,INDEX($AO$1005:$BQ$1005,1,MATCH(COLUMNS($AO$1006:BP1006),$AO$1006:$BQ$1006,0))&gt;=100000), " ",IF(INDEX($AO$2:$BQ$1001,MATCH(ROWS($AH$2:AH511),$AH$2:$AH$1001,0),MATCH(COLUMNS($AO$1006:BP1006),$AO$1006:$BQ$1006,0)), HYPERLINK("#",""), HYPERLINK(CONCATENATE("#Metadata!", ADDRESS(INDEX($AJ$2:$AJ$1001,MATCH(ROWS($AH$2:AH511),$AH$2:$AH$1001,0),0), INDEX($AO$1004:$BQ$1004,1,MATCH(COLUMNS($AO$1006:BP1006),$AO$1006:$BQ$1006,0)))),"Fix")))</f>
        <v>#N/A</v>
      </c>
      <c r="AD511" s="5" t="e">
        <f ca="1">IF(OR(INDEX($AI$2:$AI$1001,MATCH(ROWS($AH$2:AH511),$AH$2:$AH$1001,0),1)&gt;=100000,INDEX($AO$1005:$BQ$1005,1,MATCH(COLUMNS($AO$1006:BQ1006),$AO$1006:$BQ$1006,0))&gt;=100000), " ",IF(INDEX($AO$2:$BQ$1001,MATCH(ROWS($AH$2:AH511),$AH$2:$AH$1001,0),MATCH(COLUMNS($AO$1006:BQ1006),$AO$1006:$BQ$1006,0)), HYPERLINK("#",""), HYPERLINK(CONCATENATE("#Metadata!", ADDRESS(INDEX($AJ$2:$AJ$1001,MATCH(ROWS($AH$2:AH511),$AH$2:$AH$1001,0),0), INDEX($AO$1004:$BQ$1004,1,MATCH(COLUMNS($AO$1006:BQ1006),$AO$1006:$BQ$1006,0)))),"Fix")))</f>
        <v>#REF!</v>
      </c>
      <c r="AH511">
        <f ca="1"/>
        <v>508</v>
      </c>
      <c r="AI511">
        <v>100511</v>
      </c>
      <c r="AJ511">
        <v>511</v>
      </c>
      <c r="AK511" t="b">
        <f t="shared" si="7"/>
        <v>1</v>
      </c>
      <c r="AL511" t="b">
        <f>COUNTBLANK(Metadata!B511:AD511)=COLUMNS(Metadata!B511:AD511)</f>
        <v>1</v>
      </c>
      <c r="AM511" t="str">
        <v/>
      </c>
      <c r="AO511" t="b">
        <f ca="1">AND(IF(Metadata!B511="",FALSE,TRUE),COUNTIF(Metadata!B:B, Metadata!B511) = 1,NOT(ISERROR(SUMPRODUCT(SEARCH(MID(Metadata!B511,ROW(INDIRECT("1:"&amp;LEN(Metadata!B511))), 1),"0123456789abcdefghijklmnopqrstuvwxyzABCDEFGHIJKLMNOPQRSTUVWXYZ.")))))</f>
        <v>0</v>
      </c>
      <c r="AP511" t="b">
        <f>IF(Metadata!C511="",FALSE,TRUE)</f>
        <v>0</v>
      </c>
      <c r="AQ511" t="b">
        <f>IF(Metadata!D511="",FALSE,TRUE)</f>
        <v>0</v>
      </c>
      <c r="AR511" t="b">
        <f ca="1">OR(AND(IF(Metadata!E511="",FALSE,TRUE),OR(EXACT(Metadata!E511,"not collected"),EXACT(Metadata!E511,"not provided"),EXACT(Metadata!E511,"restricted access"))),AND(IF(Metadata!E511="",FALSE,TRUE),AND(AND(IFERROR(INT(LEFT(Metadata!E511,4))&gt;1900,FALSE),IFERROR(INT(LEFT(Metadata!E511,4))&lt;=YEAR(NOW()),FALSE)), OR(MID(Metadata!E511,5,1)="", AND(AND(MID(Metadata!E511,5,1)="-",IFERROR(INT(MID(Metadata!E511,6,1))&gt;=0,FALSE),IFERROR(INT(MID(Metadata!E511,6,1))&lt;=1,FALSE),NOT(MID(Metadata!E511,7,1)=""),IFERROR(INT(MID(Metadata!E511,6,2))&gt;=1,FALSE),IFERROR(INT(MID(Metadata!E511,6,2))&lt;=12,FALSE)), OR(MID(Metadata!E511,8,1)="", AND(AND(MID(Metadata!E511,8,1)="-",IFERROR(INT(MID(Metadata!E511,9,1))&gt;=0,FALSE),IFERROR(INT(MID(Metadata!E511,9,1))&lt;=3,FALSE),NOT(MID(Metadata!E511,10,1)=""),IFERROR(INT(MID(Metadata!E511,9,2))&gt;=1,FALSE),IFERROR(INT(MID(Metadata!E511,9,2))&lt;=31,FALSE)), OR(MID(Metadata!E511,11,1)="", AND(AND(MID(Metadata!E511,11,1)=" ",IFERROR(INT(MID(Metadata!E511,12,1))&gt;=0,FALSE),IFERROR(INT(MID(Metadata!E511,12,1))&lt;=2,FALSE),NOT(MID(Metadata!E511,13,1)=""),IFERROR(INT(MID(Metadata!E511,12,2))&gt;=0,FALSE),IFERROR(INT(MID(Metadata!E511,12,2))&lt;=23,FALSE)), OR(MID(Metadata!E511,14,1)="", AND(AND(MID(Metadata!E511,14,1)=":",IFERROR(INT(MID(Metadata!E511,15,1))&gt;=0,FALSE),IFERROR(INT(MID(Metadata!E511,15,1))&lt;=5,FALSE),NOT(MID(Metadata!E511,16,1)=""),IFERROR(INT(MID(Metadata!E511,15,2))&gt;=0,FALSE),IFERROR(INT(MID(Metadata!E511,15,2))&lt;=59,FALSE)), OR(MID(Metadata!E511,17,1)="", AND(AND(MID(Metadata!E511,17,1)=":",IFERROR(INT(MID(Metadata!E511,18,1))&gt;=0,FALSE),IFERROR(INT(MID(Metadata!E511,18,1))&lt;=5,FALSE),NOT(MID(Metadata!E511,19,1)=""),IFERROR(INT(MID(Metadata!E511,18,2))&gt;=0,FALSE),IFERROR(INT(MID(Metadata!E511,18,2))&lt;=59,FALSE)), LEN(Metadata!E511)&lt;=19)))))))))))))</f>
        <v>0</v>
      </c>
      <c r="AS511" t="b">
        <f>IF(Metadata!F511="",FALSE,TRUE)</f>
        <v>0</v>
      </c>
      <c r="AT511" t="b">
        <f>OR(AND(IF(Metadata!G511="",FALSE,TRUE),OR(EXACT(Metadata!G511,"not collected"),EXACT(Metadata!G511,"not provided"))),AND(IF(Metadata!G511="",FALSE,TRUE),OR(EXACT(Metadata!G511,"TRUE"),EXACT(Metadata!G511,"FALSE"))))</f>
        <v>0</v>
      </c>
      <c r="AU511" t="b">
        <f>OR(AND(IF(Metadata!H511="",FALSE,TRUE),OR(EXACT(Metadata!H511,"not collected"),EXACT(Metadata!H511,"not provided"),EXACT(Metadata!H511,"restricted access"))),AND(IF(Metadata!H511="",FALSE,ISNUMBER(VALUE(Metadata!H511))),Metadata!H511&gt;=-413))</f>
        <v>0</v>
      </c>
      <c r="AV511" t="b">
        <f>AND(IF(Metadata!I511="",FALSE,TRUE),EXACT(Metadata!I511,"meters"))</f>
        <v>0</v>
      </c>
      <c r="AW511" t="b">
        <f>AND(IF(Metadata!J511="",FALSE,TRUE),EXACT(Metadata!J511,"free-living"))</f>
        <v>0</v>
      </c>
      <c r="AX511" t="b">
        <f>AND(IF(Metadata!K511="",FALSE,TRUE),OR(EXACT(Metadata!K511,"saline"),EXACT(Metadata!K511,"non-saline")))</f>
        <v>0</v>
      </c>
      <c r="AY511" t="b">
        <f>AND(IF(Metadata!L511="",FALSE,TRUE),OR(EXACT(Metadata!L511,"sub-surface (non-saline)"),EXACT(Metadata!L511,"surface (non-saline)"),EXACT(Metadata!L511,"water (non-saline)"),EXACT(Metadata!L511,"soil (non-saline)"),EXACT(Metadata!L511,"aerosol (non-saline)"),EXACT(Metadata!L511,"sediment (non-saline)"),EXACT(Metadata!L511,"surface (saline)"),EXACT(Metadata!L511,"water (saline)"),EXACT(Metadata!L511,"hypersaline (saline)"),EXACT(Metadata!L511,"aerosol (saline)"),EXACT(Metadata!L511,"sediment (saline)")))</f>
        <v>0</v>
      </c>
      <c r="AZ511" t="b">
        <f>IF(Metadata!M511="",FALSE,TRUE)</f>
        <v>0</v>
      </c>
      <c r="BA511" t="b">
        <f>IF(Metadata!N511="",FALSE,TRUE)</f>
        <v>0</v>
      </c>
      <c r="BB511" t="b">
        <f>IF(Metadata!O511="",FALSE,TRUE)</f>
        <v>0</v>
      </c>
      <c r="BC511" t="b">
        <f>AND(IF(Metadata!P511="",FALSE,TRUE),OR(EXACT(Metadata!P511,"air"),EXACT(Metadata!P511,"microbial mat/biofilm"),EXACT(Metadata!P511,"misc environment"),EXACT(Metadata!P511,"sediment"),EXACT(Metadata!P511,"soil"),EXACT(Metadata!P511,"wastewater/sludge"),EXACT(Metadata!P511,"water")))</f>
        <v>0</v>
      </c>
      <c r="BD511" t="b">
        <f>IF(Metadata!Q511="",FALSE,TRUE)</f>
        <v>0</v>
      </c>
      <c r="BE511" t="b">
        <f>IF(Metadata!R511="",FALSE,TRUE)</f>
        <v>0</v>
      </c>
      <c r="BF511" t="b">
        <f>OR(AND(IF(Metadata!S511="",FALSE,TRUE),OR(EXACT(Metadata!S511,"not collected"),EXACT(Metadata!S511,"not provided"),EXACT(Metadata!S511,"restricted access"))),AND(IF(Metadata!S511="",FALSE,ISNUMBER(VALUE(Metadata!S511))),Metadata!S511&gt;=-90,Metadata!S511&lt;=90))</f>
        <v>0</v>
      </c>
      <c r="BG511" t="b">
        <f>AND(IF(Metadata!T511="",FALSE,TRUE),EXACT(Metadata!T511,"Decimal degrees"))</f>
        <v>0</v>
      </c>
      <c r="BH511" t="b">
        <f>OR(AND(IF(Metadata!U511="",FALSE,TRUE),OR(EXACT(Metadata!U511,"not applicable"),EXACT(Metadata!U511,"not collected"))),IF(Metadata!U511="",FALSE,TRUE))</f>
        <v>0</v>
      </c>
      <c r="BI511" t="b">
        <f>OR(AND(IF(Metadata!V511="",FALSE,TRUE),OR(EXACT(Metadata!V511,"not collected"),EXACT(Metadata!V511,"not provided"),EXACT(Metadata!V511,"restricted access"))),AND(IF(Metadata!V511="",FALSE,ISNUMBER(VALUE(Metadata!V511))),Metadata!V511&gt;=-180,Metadata!V511&lt;=180))</f>
        <v>0</v>
      </c>
      <c r="BJ511" t="b">
        <f>AND(IF(Metadata!W511="",FALSE,TRUE),EXACT(Metadata!W511,"Decimal degrees"))</f>
        <v>0</v>
      </c>
      <c r="BK511" t="b">
        <f>IF(Metadata!X511="",FALSE,TRUE)</f>
        <v>0</v>
      </c>
      <c r="BL511" t="b">
        <f>OR(AND(IF(Metadata!Y511="",FALSE,TRUE),OR(EXACT(Metadata!Y511,"not collected"),EXACT(Metadata!Y511,"not provided"),EXACT(Metadata!Y511,"restricted access"))),AND(IF(Metadata!Y511="",FALSE,TRUE),OR(EXACT(Metadata!Y511,"TRUE"),EXACT(Metadata!Y511,"FALSE"))))</f>
        <v>0</v>
      </c>
      <c r="BM511" t="b">
        <f>OR(AND(IF(Metadata!Z511="",FALSE,TRUE),EXACT(Metadata!Z511,"not applicable")),AND(IF(Metadata!Z511="",FALSE,TRUE),OR(EXACT(Metadata!Z511,"beer"),EXACT(Metadata!Z511,"cheese"),EXACT(Metadata!Z511,"fresh water"),EXACT(Metadata!Z511,"marine sediment"),EXACT(Metadata!Z511,"sea water"),EXACT(Metadata!Z511,"sediment"),EXACT(Metadata!Z511,"soil"),EXACT(Metadata!Z511,"waste water"))))</f>
        <v>0</v>
      </c>
      <c r="BN511" t="b">
        <f>AND(IF(Metadata!AA511="",FALSE,TRUE),EXACT(Metadata!AA511,"metagenome"))</f>
        <v>0</v>
      </c>
      <c r="BO511" t="b">
        <f>AND(IF(Metadata!AB511="",FALSE,TRUE),EXACT(Metadata!AB511,"256318"))</f>
        <v>0</v>
      </c>
      <c r="BP511" t="b">
        <f>IF(Metadata!AC511="",FALSE,TRUE)</f>
        <v>0</v>
      </c>
      <c r="BQ511" t="b">
        <f>IF(Metadata!AD511="",FALSE,TRUE)</f>
        <v>0</v>
      </c>
    </row>
    <row r="512" spans="1:69" x14ac:dyDescent="0.2">
      <c r="A512" s="4" t="e">
        <f ca="1">IF(B512=" "," ",HYPERLINK(CONCATENATE("#metadata!",ADDRESS(INDEX($AJ$2:$AJ$1001,MATCH(ROWS($AH$2:AH512),$AH$2:$AH$1001,0),0),2)),INDEX($AM$2:$AM$1001,MATCH(ROWS($AH$2:AH512),$AH$2:$AH$1001,0),0)))</f>
        <v>#N/A</v>
      </c>
      <c r="B512" s="5" t="e">
        <f ca="1">IF(OR(INDEX($AI$2:$AI$1001,MATCH(ROWS($AH$2:AH512),$AH$2:$AH$1001,0),1)&gt;=100000,INDEX($AO$1005:$BQ$1005,1,MATCH(COLUMNS($AO$1006:AO1006),$AO$1006:$BQ$1006,0))&gt;=100000), " ",IF(INDEX($AO$2:$BQ$1001,MATCH(ROWS($AH$2:AH512),$AH$2:$AH$1001,0),MATCH(COLUMNS($AO$1006:AO1006),$AO$1006:$BQ$1006,0)), HYPERLINK("#",""), HYPERLINK(CONCATENATE("#Metadata!", ADDRESS(INDEX($AJ$2:$AJ$1001,MATCH(ROWS($AH$2:AH512),$AH$2:$AH$1001,0),0), INDEX($AO$1004:$BQ$1004,1,MATCH(COLUMNS($AO$1006:AO1006),$AO$1006:$BQ$1006,0)))),"Fix")))</f>
        <v>#N/A</v>
      </c>
      <c r="C512" s="5" t="e">
        <f ca="1">IF(OR(INDEX($AI$2:$AI$1001,MATCH(ROWS($AH$2:AH512),$AH$2:$AH$1001,0),1)&gt;=100000,INDEX($AO$1005:$BQ$1005,1,MATCH(COLUMNS($AO$1006:AP1006),$AO$1006:$BQ$1006,0))&gt;=100000), " ",IF(INDEX($AO$2:$BQ$1001,MATCH(ROWS($AH$2:AH512),$AH$2:$AH$1001,0),MATCH(COLUMNS($AO$1006:AP1006),$AO$1006:$BQ$1006,0)), HYPERLINK("#",""), HYPERLINK(CONCATENATE("#Metadata!", ADDRESS(INDEX($AJ$2:$AJ$1001,MATCH(ROWS($AH$2:AH512),$AH$2:$AH$1001,0),0), INDEX($AO$1004:$BQ$1004,1,MATCH(COLUMNS($AO$1006:AP1006),$AO$1006:$BQ$1006,0)))),"Fix")))</f>
        <v>#N/A</v>
      </c>
      <c r="D512" s="5" t="e">
        <f ca="1">IF(OR(INDEX($AI$2:$AI$1001,MATCH(ROWS($AH$2:AH512),$AH$2:$AH$1001,0),1)&gt;=100000,INDEX($AO$1005:$BQ$1005,1,MATCH(COLUMNS($AO$1006:AQ1006),$AO$1006:$BQ$1006,0))&gt;=100000), " ",IF(INDEX($AO$2:$BQ$1001,MATCH(ROWS($AH$2:AH512),$AH$2:$AH$1001,0),MATCH(COLUMNS($AO$1006:AQ1006),$AO$1006:$BQ$1006,0)), HYPERLINK("#",""), HYPERLINK(CONCATENATE("#Metadata!", ADDRESS(INDEX($AJ$2:$AJ$1001,MATCH(ROWS($AH$2:AH512),$AH$2:$AH$1001,0),0), INDEX($AO$1004:$BQ$1004,1,MATCH(COLUMNS($AO$1006:AQ1006),$AO$1006:$BQ$1006,0)))),"Fix")))</f>
        <v>#N/A</v>
      </c>
      <c r="E512" s="5" t="e">
        <f ca="1">IF(OR(INDEX($AI$2:$AI$1001,MATCH(ROWS($AH$2:AH512),$AH$2:$AH$1001,0),1)&gt;=100000,INDEX($AO$1005:$BQ$1005,1,MATCH(COLUMNS($AO$1006:AR1006),$AO$1006:$BQ$1006,0))&gt;=100000), " ",IF(INDEX($AO$2:$BQ$1001,MATCH(ROWS($AH$2:AH512),$AH$2:$AH$1001,0),MATCH(COLUMNS($AO$1006:AR1006),$AO$1006:$BQ$1006,0)), HYPERLINK("#",""), HYPERLINK(CONCATENATE("#Metadata!", ADDRESS(INDEX($AJ$2:$AJ$1001,MATCH(ROWS($AH$2:AH512),$AH$2:$AH$1001,0),0), INDEX($AO$1004:$BQ$1004,1,MATCH(COLUMNS($AO$1006:AR1006),$AO$1006:$BQ$1006,0)))),"Fix")))</f>
        <v>#N/A</v>
      </c>
      <c r="F512" s="5" t="e">
        <f ca="1">IF(OR(INDEX($AI$2:$AI$1001,MATCH(ROWS($AH$2:AH512),$AH$2:$AH$1001,0),1)&gt;=100000,INDEX($AO$1005:$BQ$1005,1,MATCH(COLUMNS($AO$1006:AS1006),$AO$1006:$BQ$1006,0))&gt;=100000), " ",IF(INDEX($AO$2:$BQ$1001,MATCH(ROWS($AH$2:AH512),$AH$2:$AH$1001,0),MATCH(COLUMNS($AO$1006:AS1006),$AO$1006:$BQ$1006,0)), HYPERLINK("#",""), HYPERLINK(CONCATENATE("#Metadata!", ADDRESS(INDEX($AJ$2:$AJ$1001,MATCH(ROWS($AH$2:AH512),$AH$2:$AH$1001,0),0), INDEX($AO$1004:$BQ$1004,1,MATCH(COLUMNS($AO$1006:AS1006),$AO$1006:$BQ$1006,0)))),"Fix")))</f>
        <v>#N/A</v>
      </c>
      <c r="G512" s="5" t="e">
        <f ca="1">IF(OR(INDEX($AI$2:$AI$1001,MATCH(ROWS($AH$2:AH512),$AH$2:$AH$1001,0),1)&gt;=100000,INDEX($AO$1005:$BQ$1005,1,MATCH(COLUMNS($AO$1006:AT1006),$AO$1006:$BQ$1006,0))&gt;=100000), " ",IF(INDEX($AO$2:$BQ$1001,MATCH(ROWS($AH$2:AH512),$AH$2:$AH$1001,0),MATCH(COLUMNS($AO$1006:AT1006),$AO$1006:$BQ$1006,0)), HYPERLINK("#",""), HYPERLINK(CONCATENATE("#Metadata!", ADDRESS(INDEX($AJ$2:$AJ$1001,MATCH(ROWS($AH$2:AH512),$AH$2:$AH$1001,0),0), INDEX($AO$1004:$BQ$1004,1,MATCH(COLUMNS($AO$1006:AT1006),$AO$1006:$BQ$1006,0)))),"Fix")))</f>
        <v>#N/A</v>
      </c>
      <c r="H512" s="5" t="e">
        <f ca="1">IF(OR(INDEX($AI$2:$AI$1001,MATCH(ROWS($AH$2:AH512),$AH$2:$AH$1001,0),1)&gt;=100000,INDEX($AO$1005:$BQ$1005,1,MATCH(COLUMNS($AO$1006:AU1006),$AO$1006:$BQ$1006,0))&gt;=100000), " ",IF(INDEX($AO$2:$BQ$1001,MATCH(ROWS($AH$2:AH512),$AH$2:$AH$1001,0),MATCH(COLUMNS($AO$1006:AU1006),$AO$1006:$BQ$1006,0)), HYPERLINK("#",""), HYPERLINK(CONCATENATE("#Metadata!", ADDRESS(INDEX($AJ$2:$AJ$1001,MATCH(ROWS($AH$2:AH512),$AH$2:$AH$1001,0),0), INDEX($AO$1004:$BQ$1004,1,MATCH(COLUMNS($AO$1006:AU1006),$AO$1006:$BQ$1006,0)))),"Fix")))</f>
        <v>#N/A</v>
      </c>
      <c r="I512" s="5" t="e">
        <f ca="1">IF(OR(INDEX($AI$2:$AI$1001,MATCH(ROWS($AH$2:AH512),$AH$2:$AH$1001,0),1)&gt;=100000,INDEX($AO$1005:$BQ$1005,1,MATCH(COLUMNS($AO$1006:AV1006),$AO$1006:$BQ$1006,0))&gt;=100000), " ",IF(INDEX($AO$2:$BQ$1001,MATCH(ROWS($AH$2:AH512),$AH$2:$AH$1001,0),MATCH(COLUMNS($AO$1006:AV1006),$AO$1006:$BQ$1006,0)), HYPERLINK("#",""), HYPERLINK(CONCATENATE("#Metadata!", ADDRESS(INDEX($AJ$2:$AJ$1001,MATCH(ROWS($AH$2:AH512),$AH$2:$AH$1001,0),0), INDEX($AO$1004:$BQ$1004,1,MATCH(COLUMNS($AO$1006:AV1006),$AO$1006:$BQ$1006,0)))),"Fix")))</f>
        <v>#N/A</v>
      </c>
      <c r="J512" s="5" t="e">
        <f ca="1">IF(OR(INDEX($AI$2:$AI$1001,MATCH(ROWS($AH$2:AH512),$AH$2:$AH$1001,0),1)&gt;=100000,INDEX($AO$1005:$BQ$1005,1,MATCH(COLUMNS($AO$1006:AW1006),$AO$1006:$BQ$1006,0))&gt;=100000), " ",IF(INDEX($AO$2:$BQ$1001,MATCH(ROWS($AH$2:AH512),$AH$2:$AH$1001,0),MATCH(COLUMNS($AO$1006:AW1006),$AO$1006:$BQ$1006,0)), HYPERLINK("#",""), HYPERLINK(CONCATENATE("#Metadata!", ADDRESS(INDEX($AJ$2:$AJ$1001,MATCH(ROWS($AH$2:AH512),$AH$2:$AH$1001,0),0), INDEX($AO$1004:$BQ$1004,1,MATCH(COLUMNS($AO$1006:AW1006),$AO$1006:$BQ$1006,0)))),"Fix")))</f>
        <v>#N/A</v>
      </c>
      <c r="K512" s="5" t="e">
        <f ca="1">IF(OR(INDEX($AI$2:$AI$1001,MATCH(ROWS($AH$2:AH512),$AH$2:$AH$1001,0),1)&gt;=100000,INDEX($AO$1005:$BQ$1005,1,MATCH(COLUMNS($AO$1006:AX1006),$AO$1006:$BQ$1006,0))&gt;=100000), " ",IF(INDEX($AO$2:$BQ$1001,MATCH(ROWS($AH$2:AH512),$AH$2:$AH$1001,0),MATCH(COLUMNS($AO$1006:AX1006),$AO$1006:$BQ$1006,0)), HYPERLINK("#",""), HYPERLINK(CONCATENATE("#Metadata!", ADDRESS(INDEX($AJ$2:$AJ$1001,MATCH(ROWS($AH$2:AH512),$AH$2:$AH$1001,0),0), INDEX($AO$1004:$BQ$1004,1,MATCH(COLUMNS($AO$1006:AX1006),$AO$1006:$BQ$1006,0)))),"Fix")))</f>
        <v>#N/A</v>
      </c>
      <c r="L512" s="5" t="e">
        <f ca="1">IF(OR(INDEX($AI$2:$AI$1001,MATCH(ROWS($AH$2:AH512),$AH$2:$AH$1001,0),1)&gt;=100000,INDEX($AO$1005:$BQ$1005,1,MATCH(COLUMNS($AO$1006:AY1006),$AO$1006:$BQ$1006,0))&gt;=100000), " ",IF(INDEX($AO$2:$BQ$1001,MATCH(ROWS($AH$2:AH512),$AH$2:$AH$1001,0),MATCH(COLUMNS($AO$1006:AY1006),$AO$1006:$BQ$1006,0)), HYPERLINK("#",""), HYPERLINK(CONCATENATE("#Metadata!", ADDRESS(INDEX($AJ$2:$AJ$1001,MATCH(ROWS($AH$2:AH512),$AH$2:$AH$1001,0),0), INDEX($AO$1004:$BQ$1004,1,MATCH(COLUMNS($AO$1006:AY1006),$AO$1006:$BQ$1006,0)))),"Fix")))</f>
        <v>#N/A</v>
      </c>
      <c r="M512" s="5" t="e">
        <f ca="1">IF(OR(INDEX($AI$2:$AI$1001,MATCH(ROWS($AH$2:AH512),$AH$2:$AH$1001,0),1)&gt;=100000,INDEX($AO$1005:$BQ$1005,1,MATCH(COLUMNS($AO$1006:AZ1006),$AO$1006:$BQ$1006,0))&gt;=100000), " ",IF(INDEX($AO$2:$BQ$1001,MATCH(ROWS($AH$2:AH512),$AH$2:$AH$1001,0),MATCH(COLUMNS($AO$1006:AZ1006),$AO$1006:$BQ$1006,0)), HYPERLINK("#",""), HYPERLINK(CONCATENATE("#Metadata!", ADDRESS(INDEX($AJ$2:$AJ$1001,MATCH(ROWS($AH$2:AH512),$AH$2:$AH$1001,0),0), INDEX($AO$1004:$BQ$1004,1,MATCH(COLUMNS($AO$1006:AZ1006),$AO$1006:$BQ$1006,0)))),"Fix")))</f>
        <v>#N/A</v>
      </c>
      <c r="N512" s="5" t="e">
        <f ca="1">IF(OR(INDEX($AI$2:$AI$1001,MATCH(ROWS($AH$2:AH512),$AH$2:$AH$1001,0),1)&gt;=100000,INDEX($AO$1005:$BQ$1005,1,MATCH(COLUMNS($AO$1006:BA1006),$AO$1006:$BQ$1006,0))&gt;=100000), " ",IF(INDEX($AO$2:$BQ$1001,MATCH(ROWS($AH$2:AH512),$AH$2:$AH$1001,0),MATCH(COLUMNS($AO$1006:BA1006),$AO$1006:$BQ$1006,0)), HYPERLINK("#",""), HYPERLINK(CONCATENATE("#Metadata!", ADDRESS(INDEX($AJ$2:$AJ$1001,MATCH(ROWS($AH$2:AH512),$AH$2:$AH$1001,0),0), INDEX($AO$1004:$BQ$1004,1,MATCH(COLUMNS($AO$1006:BA1006),$AO$1006:$BQ$1006,0)))),"Fix")))</f>
        <v>#N/A</v>
      </c>
      <c r="O512" s="5" t="e">
        <f ca="1">IF(OR(INDEX($AI$2:$AI$1001,MATCH(ROWS($AH$2:AH512),$AH$2:$AH$1001,0),1)&gt;=100000,INDEX($AO$1005:$BQ$1005,1,MATCH(COLUMNS($AO$1006:BB1006),$AO$1006:$BQ$1006,0))&gt;=100000), " ",IF(INDEX($AO$2:$BQ$1001,MATCH(ROWS($AH$2:AH512),$AH$2:$AH$1001,0),MATCH(COLUMNS($AO$1006:BB1006),$AO$1006:$BQ$1006,0)), HYPERLINK("#",""), HYPERLINK(CONCATENATE("#Metadata!", ADDRESS(INDEX($AJ$2:$AJ$1001,MATCH(ROWS($AH$2:AH512),$AH$2:$AH$1001,0),0), INDEX($AO$1004:$BQ$1004,1,MATCH(COLUMNS($AO$1006:BB1006),$AO$1006:$BQ$1006,0)))),"Fix")))</f>
        <v>#N/A</v>
      </c>
      <c r="P512" s="5" t="e">
        <f ca="1">IF(OR(INDEX($AI$2:$AI$1001,MATCH(ROWS($AH$2:AH512),$AH$2:$AH$1001,0),1)&gt;=100000,INDEX($AO$1005:$BQ$1005,1,MATCH(COLUMNS($AO$1006:BC1006),$AO$1006:$BQ$1006,0))&gt;=100000), " ",IF(INDEX($AO$2:$BQ$1001,MATCH(ROWS($AH$2:AH512),$AH$2:$AH$1001,0),MATCH(COLUMNS($AO$1006:BC1006),$AO$1006:$BQ$1006,0)), HYPERLINK("#",""), HYPERLINK(CONCATENATE("#Metadata!", ADDRESS(INDEX($AJ$2:$AJ$1001,MATCH(ROWS($AH$2:AH512),$AH$2:$AH$1001,0),0), INDEX($AO$1004:$BQ$1004,1,MATCH(COLUMNS($AO$1006:BC1006),$AO$1006:$BQ$1006,0)))),"Fix")))</f>
        <v>#N/A</v>
      </c>
      <c r="Q512" s="5" t="e">
        <f ca="1">IF(OR(INDEX($AI$2:$AI$1001,MATCH(ROWS($AH$2:AH512),$AH$2:$AH$1001,0),1)&gt;=100000,INDEX($AO$1005:$BQ$1005,1,MATCH(COLUMNS($AO$1006:BD1006),$AO$1006:$BQ$1006,0))&gt;=100000), " ",IF(INDEX($AO$2:$BQ$1001,MATCH(ROWS($AH$2:AH512),$AH$2:$AH$1001,0),MATCH(COLUMNS($AO$1006:BD1006),$AO$1006:$BQ$1006,0)), HYPERLINK("#",""), HYPERLINK(CONCATENATE("#Metadata!", ADDRESS(INDEX($AJ$2:$AJ$1001,MATCH(ROWS($AH$2:AH512),$AH$2:$AH$1001,0),0), INDEX($AO$1004:$BQ$1004,1,MATCH(COLUMNS($AO$1006:BD1006),$AO$1006:$BQ$1006,0)))),"Fix")))</f>
        <v>#N/A</v>
      </c>
      <c r="R512" s="5" t="e">
        <f ca="1">IF(OR(INDEX($AI$2:$AI$1001,MATCH(ROWS($AH$2:AH512),$AH$2:$AH$1001,0),1)&gt;=100000,INDEX($AO$1005:$BQ$1005,1,MATCH(COLUMNS($AO$1006:BE1006),$AO$1006:$BQ$1006,0))&gt;=100000), " ",IF(INDEX($AO$2:$BQ$1001,MATCH(ROWS($AH$2:AH512),$AH$2:$AH$1001,0),MATCH(COLUMNS($AO$1006:BE1006),$AO$1006:$BQ$1006,0)), HYPERLINK("#",""), HYPERLINK(CONCATENATE("#Metadata!", ADDRESS(INDEX($AJ$2:$AJ$1001,MATCH(ROWS($AH$2:AH512),$AH$2:$AH$1001,0),0), INDEX($AO$1004:$BQ$1004,1,MATCH(COLUMNS($AO$1006:BE1006),$AO$1006:$BQ$1006,0)))),"Fix")))</f>
        <v>#N/A</v>
      </c>
      <c r="S512" s="5" t="e">
        <f ca="1">IF(OR(INDEX($AI$2:$AI$1001,MATCH(ROWS($AH$2:AH512),$AH$2:$AH$1001,0),1)&gt;=100000,INDEX($AO$1005:$BQ$1005,1,MATCH(COLUMNS($AO$1006:BF1006),$AO$1006:$BQ$1006,0))&gt;=100000), " ",IF(INDEX($AO$2:$BQ$1001,MATCH(ROWS($AH$2:AH512),$AH$2:$AH$1001,0),MATCH(COLUMNS($AO$1006:BF1006),$AO$1006:$BQ$1006,0)), HYPERLINK("#",""), HYPERLINK(CONCATENATE("#Metadata!", ADDRESS(INDEX($AJ$2:$AJ$1001,MATCH(ROWS($AH$2:AH512),$AH$2:$AH$1001,0),0), INDEX($AO$1004:$BQ$1004,1,MATCH(COLUMNS($AO$1006:BF1006),$AO$1006:$BQ$1006,0)))),"Fix")))</f>
        <v>#N/A</v>
      </c>
      <c r="T512" s="5" t="e">
        <f ca="1">IF(OR(INDEX($AI$2:$AI$1001,MATCH(ROWS($AH$2:AH512),$AH$2:$AH$1001,0),1)&gt;=100000,INDEX($AO$1005:$BQ$1005,1,MATCH(COLUMNS($AO$1006:BG1006),$AO$1006:$BQ$1006,0))&gt;=100000), " ",IF(INDEX($AO$2:$BQ$1001,MATCH(ROWS($AH$2:AH512),$AH$2:$AH$1001,0),MATCH(COLUMNS($AO$1006:BG1006),$AO$1006:$BQ$1006,0)), HYPERLINK("#",""), HYPERLINK(CONCATENATE("#Metadata!", ADDRESS(INDEX($AJ$2:$AJ$1001,MATCH(ROWS($AH$2:AH512),$AH$2:$AH$1001,0),0), INDEX($AO$1004:$BQ$1004,1,MATCH(COLUMNS($AO$1006:BG1006),$AO$1006:$BQ$1006,0)))),"Fix")))</f>
        <v>#N/A</v>
      </c>
      <c r="U512" s="5" t="e">
        <f ca="1">IF(OR(INDEX($AI$2:$AI$1001,MATCH(ROWS($AH$2:AH512),$AH$2:$AH$1001,0),1)&gt;=100000,INDEX($AO$1005:$BQ$1005,1,MATCH(COLUMNS($AO$1006:BH1006),$AO$1006:$BQ$1006,0))&gt;=100000), " ",IF(INDEX($AO$2:$BQ$1001,MATCH(ROWS($AH$2:AH512),$AH$2:$AH$1001,0),MATCH(COLUMNS($AO$1006:BH1006),$AO$1006:$BQ$1006,0)), HYPERLINK("#",""), HYPERLINK(CONCATENATE("#Metadata!", ADDRESS(INDEX($AJ$2:$AJ$1001,MATCH(ROWS($AH$2:AH512),$AH$2:$AH$1001,0),0), INDEX($AO$1004:$BQ$1004,1,MATCH(COLUMNS($AO$1006:BH1006),$AO$1006:$BQ$1006,0)))),"Fix")))</f>
        <v>#N/A</v>
      </c>
      <c r="V512" s="5" t="e">
        <f ca="1">IF(OR(INDEX($AI$2:$AI$1001,MATCH(ROWS($AH$2:AH512),$AH$2:$AH$1001,0),1)&gt;=100000,INDEX($AO$1005:$BQ$1005,1,MATCH(COLUMNS($AO$1006:BI1006),$AO$1006:$BQ$1006,0))&gt;=100000), " ",IF(INDEX($AO$2:$BQ$1001,MATCH(ROWS($AH$2:AH512),$AH$2:$AH$1001,0),MATCH(COLUMNS($AO$1006:BI1006),$AO$1006:$BQ$1006,0)), HYPERLINK("#",""), HYPERLINK(CONCATENATE("#Metadata!", ADDRESS(INDEX($AJ$2:$AJ$1001,MATCH(ROWS($AH$2:AH512),$AH$2:$AH$1001,0),0), INDEX($AO$1004:$BQ$1004,1,MATCH(COLUMNS($AO$1006:BI1006),$AO$1006:$BQ$1006,0)))),"Fix")))</f>
        <v>#N/A</v>
      </c>
      <c r="W512" s="5" t="e">
        <f ca="1">IF(OR(INDEX($AI$2:$AI$1001,MATCH(ROWS($AH$2:AH512),$AH$2:$AH$1001,0),1)&gt;=100000,INDEX($AO$1005:$BQ$1005,1,MATCH(COLUMNS($AO$1006:BJ1006),$AO$1006:$BQ$1006,0))&gt;=100000), " ",IF(INDEX($AO$2:$BQ$1001,MATCH(ROWS($AH$2:AH512),$AH$2:$AH$1001,0),MATCH(COLUMNS($AO$1006:BJ1006),$AO$1006:$BQ$1006,0)), HYPERLINK("#",""), HYPERLINK(CONCATENATE("#Metadata!", ADDRESS(INDEX($AJ$2:$AJ$1001,MATCH(ROWS($AH$2:AH512),$AH$2:$AH$1001,0),0), INDEX($AO$1004:$BQ$1004,1,MATCH(COLUMNS($AO$1006:BJ1006),$AO$1006:$BQ$1006,0)))),"Fix")))</f>
        <v>#N/A</v>
      </c>
      <c r="X512" s="5" t="e">
        <f ca="1">IF(OR(INDEX($AI$2:$AI$1001,MATCH(ROWS($AH$2:AH512),$AH$2:$AH$1001,0),1)&gt;=100000,INDEX($AO$1005:$BQ$1005,1,MATCH(COLUMNS($AO$1006:BK1006),$AO$1006:$BQ$1006,0))&gt;=100000), " ",IF(INDEX($AO$2:$BQ$1001,MATCH(ROWS($AH$2:AH512),$AH$2:$AH$1001,0),MATCH(COLUMNS($AO$1006:BK1006),$AO$1006:$BQ$1006,0)), HYPERLINK("#",""), HYPERLINK(CONCATENATE("#Metadata!", ADDRESS(INDEX($AJ$2:$AJ$1001,MATCH(ROWS($AH$2:AH512),$AH$2:$AH$1001,0),0), INDEX($AO$1004:$BQ$1004,1,MATCH(COLUMNS($AO$1006:BK1006),$AO$1006:$BQ$1006,0)))),"Fix")))</f>
        <v>#N/A</v>
      </c>
      <c r="Y512" s="5" t="e">
        <f ca="1">IF(OR(INDEX($AI$2:$AI$1001,MATCH(ROWS($AH$2:AH512),$AH$2:$AH$1001,0),1)&gt;=100000,INDEX($AO$1005:$BQ$1005,1,MATCH(COLUMNS($AO$1006:BL1006),$AO$1006:$BQ$1006,0))&gt;=100000), " ",IF(INDEX($AO$2:$BQ$1001,MATCH(ROWS($AH$2:AH512),$AH$2:$AH$1001,0),MATCH(COLUMNS($AO$1006:BL1006),$AO$1006:$BQ$1006,0)), HYPERLINK("#",""), HYPERLINK(CONCATENATE("#Metadata!", ADDRESS(INDEX($AJ$2:$AJ$1001,MATCH(ROWS($AH$2:AH512),$AH$2:$AH$1001,0),0), INDEX($AO$1004:$BQ$1004,1,MATCH(COLUMNS($AO$1006:BL1006),$AO$1006:$BQ$1006,0)))),"Fix")))</f>
        <v>#N/A</v>
      </c>
      <c r="Z512" s="5" t="e">
        <f ca="1">IF(OR(INDEX($AI$2:$AI$1001,MATCH(ROWS($AH$2:AH512),$AH$2:$AH$1001,0),1)&gt;=100000,INDEX($AO$1005:$BQ$1005,1,MATCH(COLUMNS($AO$1006:BM1006),$AO$1006:$BQ$1006,0))&gt;=100000), " ",IF(INDEX($AO$2:$BQ$1001,MATCH(ROWS($AH$2:AH512),$AH$2:$AH$1001,0),MATCH(COLUMNS($AO$1006:BM1006),$AO$1006:$BQ$1006,0)), HYPERLINK("#",""), HYPERLINK(CONCATENATE("#Metadata!", ADDRESS(INDEX($AJ$2:$AJ$1001,MATCH(ROWS($AH$2:AH512),$AH$2:$AH$1001,0),0), INDEX($AO$1004:$BQ$1004,1,MATCH(COLUMNS($AO$1006:BM1006),$AO$1006:$BQ$1006,0)))),"Fix")))</f>
        <v>#N/A</v>
      </c>
      <c r="AA512" s="5" t="e">
        <f ca="1">IF(OR(INDEX($AI$2:$AI$1001,MATCH(ROWS($AH$2:AH512),$AH$2:$AH$1001,0),1)&gt;=100000,INDEX($AO$1005:$BQ$1005,1,MATCH(COLUMNS($AO$1006:BN1006),$AO$1006:$BQ$1006,0))&gt;=100000), " ",IF(INDEX($AO$2:$BQ$1001,MATCH(ROWS($AH$2:AH512),$AH$2:$AH$1001,0),MATCH(COLUMNS($AO$1006:BN1006),$AO$1006:$BQ$1006,0)), HYPERLINK("#",""), HYPERLINK(CONCATENATE("#Metadata!", ADDRESS(INDEX($AJ$2:$AJ$1001,MATCH(ROWS($AH$2:AH512),$AH$2:$AH$1001,0),0), INDEX($AO$1004:$BQ$1004,1,MATCH(COLUMNS($AO$1006:BN1006),$AO$1006:$BQ$1006,0)))),"Fix")))</f>
        <v>#N/A</v>
      </c>
      <c r="AB512" s="5" t="e">
        <f ca="1">IF(OR(INDEX($AI$2:$AI$1001,MATCH(ROWS($AH$2:AH512),$AH$2:$AH$1001,0),1)&gt;=100000,INDEX($AO$1005:$BQ$1005,1,MATCH(COLUMNS($AO$1006:BO1006),$AO$1006:$BQ$1006,0))&gt;=100000), " ",IF(INDEX($AO$2:$BQ$1001,MATCH(ROWS($AH$2:AH512),$AH$2:$AH$1001,0),MATCH(COLUMNS($AO$1006:BO1006),$AO$1006:$BQ$1006,0)), HYPERLINK("#",""), HYPERLINK(CONCATENATE("#Metadata!", ADDRESS(INDEX($AJ$2:$AJ$1001,MATCH(ROWS($AH$2:AH512),$AH$2:$AH$1001,0),0), INDEX($AO$1004:$BQ$1004,1,MATCH(COLUMNS($AO$1006:BO1006),$AO$1006:$BQ$1006,0)))),"Fix")))</f>
        <v>#N/A</v>
      </c>
      <c r="AC512" s="5" t="e">
        <f ca="1">IF(OR(INDEX($AI$2:$AI$1001,MATCH(ROWS($AH$2:AH512),$AH$2:$AH$1001,0),1)&gt;=100000,INDEX($AO$1005:$BQ$1005,1,MATCH(COLUMNS($AO$1006:BP1006),$AO$1006:$BQ$1006,0))&gt;=100000), " ",IF(INDEX($AO$2:$BQ$1001,MATCH(ROWS($AH$2:AH512),$AH$2:$AH$1001,0),MATCH(COLUMNS($AO$1006:BP1006),$AO$1006:$BQ$1006,0)), HYPERLINK("#",""), HYPERLINK(CONCATENATE("#Metadata!", ADDRESS(INDEX($AJ$2:$AJ$1001,MATCH(ROWS($AH$2:AH512),$AH$2:$AH$1001,0),0), INDEX($AO$1004:$BQ$1004,1,MATCH(COLUMNS($AO$1006:BP1006),$AO$1006:$BQ$1006,0)))),"Fix")))</f>
        <v>#N/A</v>
      </c>
      <c r="AD512" s="5" t="e">
        <f ca="1">IF(OR(INDEX($AI$2:$AI$1001,MATCH(ROWS($AH$2:AH512),$AH$2:$AH$1001,0),1)&gt;=100000,INDEX($AO$1005:$BQ$1005,1,MATCH(COLUMNS($AO$1006:BQ1006),$AO$1006:$BQ$1006,0))&gt;=100000), " ",IF(INDEX($AO$2:$BQ$1001,MATCH(ROWS($AH$2:AH512),$AH$2:$AH$1001,0),MATCH(COLUMNS($AO$1006:BQ1006),$AO$1006:$BQ$1006,0)), HYPERLINK("#",""), HYPERLINK(CONCATENATE("#Metadata!", ADDRESS(INDEX($AJ$2:$AJ$1001,MATCH(ROWS($AH$2:AH512),$AH$2:$AH$1001,0),0), INDEX($AO$1004:$BQ$1004,1,MATCH(COLUMNS($AO$1006:BQ1006),$AO$1006:$BQ$1006,0)))),"Fix")))</f>
        <v>#REF!</v>
      </c>
      <c r="AH512">
        <f ca="1"/>
        <v>509</v>
      </c>
      <c r="AI512">
        <v>100512</v>
      </c>
      <c r="AJ512">
        <v>512</v>
      </c>
      <c r="AK512" t="b">
        <f t="shared" si="7"/>
        <v>1</v>
      </c>
      <c r="AL512" t="b">
        <f>COUNTBLANK(Metadata!B512:AD512)=COLUMNS(Metadata!B512:AD512)</f>
        <v>1</v>
      </c>
      <c r="AM512" t="str">
        <v/>
      </c>
      <c r="AO512" t="b">
        <f ca="1">AND(IF(Metadata!B512="",FALSE,TRUE),COUNTIF(Metadata!B:B, Metadata!B512) = 1,NOT(ISERROR(SUMPRODUCT(SEARCH(MID(Metadata!B512,ROW(INDIRECT("1:"&amp;LEN(Metadata!B512))), 1),"0123456789abcdefghijklmnopqrstuvwxyzABCDEFGHIJKLMNOPQRSTUVWXYZ.")))))</f>
        <v>0</v>
      </c>
      <c r="AP512" t="b">
        <f>IF(Metadata!C512="",FALSE,TRUE)</f>
        <v>0</v>
      </c>
      <c r="AQ512" t="b">
        <f>IF(Metadata!D512="",FALSE,TRUE)</f>
        <v>0</v>
      </c>
      <c r="AR512" t="b">
        <f ca="1">OR(AND(IF(Metadata!E512="",FALSE,TRUE),OR(EXACT(Metadata!E512,"not collected"),EXACT(Metadata!E512,"not provided"),EXACT(Metadata!E512,"restricted access"))),AND(IF(Metadata!E512="",FALSE,TRUE),AND(AND(IFERROR(INT(LEFT(Metadata!E512,4))&gt;1900,FALSE),IFERROR(INT(LEFT(Metadata!E512,4))&lt;=YEAR(NOW()),FALSE)), OR(MID(Metadata!E512,5,1)="", AND(AND(MID(Metadata!E512,5,1)="-",IFERROR(INT(MID(Metadata!E512,6,1))&gt;=0,FALSE),IFERROR(INT(MID(Metadata!E512,6,1))&lt;=1,FALSE),NOT(MID(Metadata!E512,7,1)=""),IFERROR(INT(MID(Metadata!E512,6,2))&gt;=1,FALSE),IFERROR(INT(MID(Metadata!E512,6,2))&lt;=12,FALSE)), OR(MID(Metadata!E512,8,1)="", AND(AND(MID(Metadata!E512,8,1)="-",IFERROR(INT(MID(Metadata!E512,9,1))&gt;=0,FALSE),IFERROR(INT(MID(Metadata!E512,9,1))&lt;=3,FALSE),NOT(MID(Metadata!E512,10,1)=""),IFERROR(INT(MID(Metadata!E512,9,2))&gt;=1,FALSE),IFERROR(INT(MID(Metadata!E512,9,2))&lt;=31,FALSE)), OR(MID(Metadata!E512,11,1)="", AND(AND(MID(Metadata!E512,11,1)=" ",IFERROR(INT(MID(Metadata!E512,12,1))&gt;=0,FALSE),IFERROR(INT(MID(Metadata!E512,12,1))&lt;=2,FALSE),NOT(MID(Metadata!E512,13,1)=""),IFERROR(INT(MID(Metadata!E512,12,2))&gt;=0,FALSE),IFERROR(INT(MID(Metadata!E512,12,2))&lt;=23,FALSE)), OR(MID(Metadata!E512,14,1)="", AND(AND(MID(Metadata!E512,14,1)=":",IFERROR(INT(MID(Metadata!E512,15,1))&gt;=0,FALSE),IFERROR(INT(MID(Metadata!E512,15,1))&lt;=5,FALSE),NOT(MID(Metadata!E512,16,1)=""),IFERROR(INT(MID(Metadata!E512,15,2))&gt;=0,FALSE),IFERROR(INT(MID(Metadata!E512,15,2))&lt;=59,FALSE)), OR(MID(Metadata!E512,17,1)="", AND(AND(MID(Metadata!E512,17,1)=":",IFERROR(INT(MID(Metadata!E512,18,1))&gt;=0,FALSE),IFERROR(INT(MID(Metadata!E512,18,1))&lt;=5,FALSE),NOT(MID(Metadata!E512,19,1)=""),IFERROR(INT(MID(Metadata!E512,18,2))&gt;=0,FALSE),IFERROR(INT(MID(Metadata!E512,18,2))&lt;=59,FALSE)), LEN(Metadata!E512)&lt;=19)))))))))))))</f>
        <v>0</v>
      </c>
      <c r="AS512" t="b">
        <f>IF(Metadata!F512="",FALSE,TRUE)</f>
        <v>0</v>
      </c>
      <c r="AT512" t="b">
        <f>OR(AND(IF(Metadata!G512="",FALSE,TRUE),OR(EXACT(Metadata!G512,"not collected"),EXACT(Metadata!G512,"not provided"))),AND(IF(Metadata!G512="",FALSE,TRUE),OR(EXACT(Metadata!G512,"TRUE"),EXACT(Metadata!G512,"FALSE"))))</f>
        <v>0</v>
      </c>
      <c r="AU512" t="b">
        <f>OR(AND(IF(Metadata!H512="",FALSE,TRUE),OR(EXACT(Metadata!H512,"not collected"),EXACT(Metadata!H512,"not provided"),EXACT(Metadata!H512,"restricted access"))),AND(IF(Metadata!H512="",FALSE,ISNUMBER(VALUE(Metadata!H512))),Metadata!H512&gt;=-413))</f>
        <v>0</v>
      </c>
      <c r="AV512" t="b">
        <f>AND(IF(Metadata!I512="",FALSE,TRUE),EXACT(Metadata!I512,"meters"))</f>
        <v>0</v>
      </c>
      <c r="AW512" t="b">
        <f>AND(IF(Metadata!J512="",FALSE,TRUE),EXACT(Metadata!J512,"free-living"))</f>
        <v>0</v>
      </c>
      <c r="AX512" t="b">
        <f>AND(IF(Metadata!K512="",FALSE,TRUE),OR(EXACT(Metadata!K512,"saline"),EXACT(Metadata!K512,"non-saline")))</f>
        <v>0</v>
      </c>
      <c r="AY512" t="b">
        <f>AND(IF(Metadata!L512="",FALSE,TRUE),OR(EXACT(Metadata!L512,"sub-surface (non-saline)"),EXACT(Metadata!L512,"surface (non-saline)"),EXACT(Metadata!L512,"water (non-saline)"),EXACT(Metadata!L512,"soil (non-saline)"),EXACT(Metadata!L512,"aerosol (non-saline)"),EXACT(Metadata!L512,"sediment (non-saline)"),EXACT(Metadata!L512,"surface (saline)"),EXACT(Metadata!L512,"water (saline)"),EXACT(Metadata!L512,"hypersaline (saline)"),EXACT(Metadata!L512,"aerosol (saline)"),EXACT(Metadata!L512,"sediment (saline)")))</f>
        <v>0</v>
      </c>
      <c r="AZ512" t="b">
        <f>IF(Metadata!M512="",FALSE,TRUE)</f>
        <v>0</v>
      </c>
      <c r="BA512" t="b">
        <f>IF(Metadata!N512="",FALSE,TRUE)</f>
        <v>0</v>
      </c>
      <c r="BB512" t="b">
        <f>IF(Metadata!O512="",FALSE,TRUE)</f>
        <v>0</v>
      </c>
      <c r="BC512" t="b">
        <f>AND(IF(Metadata!P512="",FALSE,TRUE),OR(EXACT(Metadata!P512,"air"),EXACT(Metadata!P512,"microbial mat/biofilm"),EXACT(Metadata!P512,"misc environment"),EXACT(Metadata!P512,"sediment"),EXACT(Metadata!P512,"soil"),EXACT(Metadata!P512,"wastewater/sludge"),EXACT(Metadata!P512,"water")))</f>
        <v>0</v>
      </c>
      <c r="BD512" t="b">
        <f>IF(Metadata!Q512="",FALSE,TRUE)</f>
        <v>0</v>
      </c>
      <c r="BE512" t="b">
        <f>IF(Metadata!R512="",FALSE,TRUE)</f>
        <v>0</v>
      </c>
      <c r="BF512" t="b">
        <f>OR(AND(IF(Metadata!S512="",FALSE,TRUE),OR(EXACT(Metadata!S512,"not collected"),EXACT(Metadata!S512,"not provided"),EXACT(Metadata!S512,"restricted access"))),AND(IF(Metadata!S512="",FALSE,ISNUMBER(VALUE(Metadata!S512))),Metadata!S512&gt;=-90,Metadata!S512&lt;=90))</f>
        <v>0</v>
      </c>
      <c r="BG512" t="b">
        <f>AND(IF(Metadata!T512="",FALSE,TRUE),EXACT(Metadata!T512,"Decimal degrees"))</f>
        <v>0</v>
      </c>
      <c r="BH512" t="b">
        <f>OR(AND(IF(Metadata!U512="",FALSE,TRUE),OR(EXACT(Metadata!U512,"not applicable"),EXACT(Metadata!U512,"not collected"))),IF(Metadata!U512="",FALSE,TRUE))</f>
        <v>0</v>
      </c>
      <c r="BI512" t="b">
        <f>OR(AND(IF(Metadata!V512="",FALSE,TRUE),OR(EXACT(Metadata!V512,"not collected"),EXACT(Metadata!V512,"not provided"),EXACT(Metadata!V512,"restricted access"))),AND(IF(Metadata!V512="",FALSE,ISNUMBER(VALUE(Metadata!V512))),Metadata!V512&gt;=-180,Metadata!V512&lt;=180))</f>
        <v>0</v>
      </c>
      <c r="BJ512" t="b">
        <f>AND(IF(Metadata!W512="",FALSE,TRUE),EXACT(Metadata!W512,"Decimal degrees"))</f>
        <v>0</v>
      </c>
      <c r="BK512" t="b">
        <f>IF(Metadata!X512="",FALSE,TRUE)</f>
        <v>0</v>
      </c>
      <c r="BL512" t="b">
        <f>OR(AND(IF(Metadata!Y512="",FALSE,TRUE),OR(EXACT(Metadata!Y512,"not collected"),EXACT(Metadata!Y512,"not provided"),EXACT(Metadata!Y512,"restricted access"))),AND(IF(Metadata!Y512="",FALSE,TRUE),OR(EXACT(Metadata!Y512,"TRUE"),EXACT(Metadata!Y512,"FALSE"))))</f>
        <v>0</v>
      </c>
      <c r="BM512" t="b">
        <f>OR(AND(IF(Metadata!Z512="",FALSE,TRUE),EXACT(Metadata!Z512,"not applicable")),AND(IF(Metadata!Z512="",FALSE,TRUE),OR(EXACT(Metadata!Z512,"beer"),EXACT(Metadata!Z512,"cheese"),EXACT(Metadata!Z512,"fresh water"),EXACT(Metadata!Z512,"marine sediment"),EXACT(Metadata!Z512,"sea water"),EXACT(Metadata!Z512,"sediment"),EXACT(Metadata!Z512,"soil"),EXACT(Metadata!Z512,"waste water"))))</f>
        <v>0</v>
      </c>
      <c r="BN512" t="b">
        <f>AND(IF(Metadata!AA512="",FALSE,TRUE),EXACT(Metadata!AA512,"metagenome"))</f>
        <v>0</v>
      </c>
      <c r="BO512" t="b">
        <f>AND(IF(Metadata!AB512="",FALSE,TRUE),EXACT(Metadata!AB512,"256318"))</f>
        <v>0</v>
      </c>
      <c r="BP512" t="b">
        <f>IF(Metadata!AC512="",FALSE,TRUE)</f>
        <v>0</v>
      </c>
      <c r="BQ512" t="b">
        <f>IF(Metadata!AD512="",FALSE,TRUE)</f>
        <v>0</v>
      </c>
    </row>
    <row r="513" spans="1:69" x14ac:dyDescent="0.2">
      <c r="A513" s="4" t="e">
        <f ca="1">IF(B513=" "," ",HYPERLINK(CONCATENATE("#metadata!",ADDRESS(INDEX($AJ$2:$AJ$1001,MATCH(ROWS($AH$2:AH513),$AH$2:$AH$1001,0),0),2)),INDEX($AM$2:$AM$1001,MATCH(ROWS($AH$2:AH513),$AH$2:$AH$1001,0),0)))</f>
        <v>#N/A</v>
      </c>
      <c r="B513" s="5" t="e">
        <f ca="1">IF(OR(INDEX($AI$2:$AI$1001,MATCH(ROWS($AH$2:AH513),$AH$2:$AH$1001,0),1)&gt;=100000,INDEX($AO$1005:$BQ$1005,1,MATCH(COLUMNS($AO$1006:AO1006),$AO$1006:$BQ$1006,0))&gt;=100000), " ",IF(INDEX($AO$2:$BQ$1001,MATCH(ROWS($AH$2:AH513),$AH$2:$AH$1001,0),MATCH(COLUMNS($AO$1006:AO1006),$AO$1006:$BQ$1006,0)), HYPERLINK("#",""), HYPERLINK(CONCATENATE("#Metadata!", ADDRESS(INDEX($AJ$2:$AJ$1001,MATCH(ROWS($AH$2:AH513),$AH$2:$AH$1001,0),0), INDEX($AO$1004:$BQ$1004,1,MATCH(COLUMNS($AO$1006:AO1006),$AO$1006:$BQ$1006,0)))),"Fix")))</f>
        <v>#N/A</v>
      </c>
      <c r="C513" s="5" t="e">
        <f ca="1">IF(OR(INDEX($AI$2:$AI$1001,MATCH(ROWS($AH$2:AH513),$AH$2:$AH$1001,0),1)&gt;=100000,INDEX($AO$1005:$BQ$1005,1,MATCH(COLUMNS($AO$1006:AP1006),$AO$1006:$BQ$1006,0))&gt;=100000), " ",IF(INDEX($AO$2:$BQ$1001,MATCH(ROWS($AH$2:AH513),$AH$2:$AH$1001,0),MATCH(COLUMNS($AO$1006:AP1006),$AO$1006:$BQ$1006,0)), HYPERLINK("#",""), HYPERLINK(CONCATENATE("#Metadata!", ADDRESS(INDEX($AJ$2:$AJ$1001,MATCH(ROWS($AH$2:AH513),$AH$2:$AH$1001,0),0), INDEX($AO$1004:$BQ$1004,1,MATCH(COLUMNS($AO$1006:AP1006),$AO$1006:$BQ$1006,0)))),"Fix")))</f>
        <v>#N/A</v>
      </c>
      <c r="D513" s="5" t="e">
        <f ca="1">IF(OR(INDEX($AI$2:$AI$1001,MATCH(ROWS($AH$2:AH513),$AH$2:$AH$1001,0),1)&gt;=100000,INDEX($AO$1005:$BQ$1005,1,MATCH(COLUMNS($AO$1006:AQ1006),$AO$1006:$BQ$1006,0))&gt;=100000), " ",IF(INDEX($AO$2:$BQ$1001,MATCH(ROWS($AH$2:AH513),$AH$2:$AH$1001,0),MATCH(COLUMNS($AO$1006:AQ1006),$AO$1006:$BQ$1006,0)), HYPERLINK("#",""), HYPERLINK(CONCATENATE("#Metadata!", ADDRESS(INDEX($AJ$2:$AJ$1001,MATCH(ROWS($AH$2:AH513),$AH$2:$AH$1001,0),0), INDEX($AO$1004:$BQ$1004,1,MATCH(COLUMNS($AO$1006:AQ1006),$AO$1006:$BQ$1006,0)))),"Fix")))</f>
        <v>#N/A</v>
      </c>
      <c r="E513" s="5" t="e">
        <f ca="1">IF(OR(INDEX($AI$2:$AI$1001,MATCH(ROWS($AH$2:AH513),$AH$2:$AH$1001,0),1)&gt;=100000,INDEX($AO$1005:$BQ$1005,1,MATCH(COLUMNS($AO$1006:AR1006),$AO$1006:$BQ$1006,0))&gt;=100000), " ",IF(INDEX($AO$2:$BQ$1001,MATCH(ROWS($AH$2:AH513),$AH$2:$AH$1001,0),MATCH(COLUMNS($AO$1006:AR1006),$AO$1006:$BQ$1006,0)), HYPERLINK("#",""), HYPERLINK(CONCATENATE("#Metadata!", ADDRESS(INDEX($AJ$2:$AJ$1001,MATCH(ROWS($AH$2:AH513),$AH$2:$AH$1001,0),0), INDEX($AO$1004:$BQ$1004,1,MATCH(COLUMNS($AO$1006:AR1006),$AO$1006:$BQ$1006,0)))),"Fix")))</f>
        <v>#N/A</v>
      </c>
      <c r="F513" s="5" t="e">
        <f ca="1">IF(OR(INDEX($AI$2:$AI$1001,MATCH(ROWS($AH$2:AH513),$AH$2:$AH$1001,0),1)&gt;=100000,INDEX($AO$1005:$BQ$1005,1,MATCH(COLUMNS($AO$1006:AS1006),$AO$1006:$BQ$1006,0))&gt;=100000), " ",IF(INDEX($AO$2:$BQ$1001,MATCH(ROWS($AH$2:AH513),$AH$2:$AH$1001,0),MATCH(COLUMNS($AO$1006:AS1006),$AO$1006:$BQ$1006,0)), HYPERLINK("#",""), HYPERLINK(CONCATENATE("#Metadata!", ADDRESS(INDEX($AJ$2:$AJ$1001,MATCH(ROWS($AH$2:AH513),$AH$2:$AH$1001,0),0), INDEX($AO$1004:$BQ$1004,1,MATCH(COLUMNS($AO$1006:AS1006),$AO$1006:$BQ$1006,0)))),"Fix")))</f>
        <v>#N/A</v>
      </c>
      <c r="G513" s="5" t="e">
        <f ca="1">IF(OR(INDEX($AI$2:$AI$1001,MATCH(ROWS($AH$2:AH513),$AH$2:$AH$1001,0),1)&gt;=100000,INDEX($AO$1005:$BQ$1005,1,MATCH(COLUMNS($AO$1006:AT1006),$AO$1006:$BQ$1006,0))&gt;=100000), " ",IF(INDEX($AO$2:$BQ$1001,MATCH(ROWS($AH$2:AH513),$AH$2:$AH$1001,0),MATCH(COLUMNS($AO$1006:AT1006),$AO$1006:$BQ$1006,0)), HYPERLINK("#",""), HYPERLINK(CONCATENATE("#Metadata!", ADDRESS(INDEX($AJ$2:$AJ$1001,MATCH(ROWS($AH$2:AH513),$AH$2:$AH$1001,0),0), INDEX($AO$1004:$BQ$1004,1,MATCH(COLUMNS($AO$1006:AT1006),$AO$1006:$BQ$1006,0)))),"Fix")))</f>
        <v>#N/A</v>
      </c>
      <c r="H513" s="5" t="e">
        <f ca="1">IF(OR(INDEX($AI$2:$AI$1001,MATCH(ROWS($AH$2:AH513),$AH$2:$AH$1001,0),1)&gt;=100000,INDEX($AO$1005:$BQ$1005,1,MATCH(COLUMNS($AO$1006:AU1006),$AO$1006:$BQ$1006,0))&gt;=100000), " ",IF(INDEX($AO$2:$BQ$1001,MATCH(ROWS($AH$2:AH513),$AH$2:$AH$1001,0),MATCH(COLUMNS($AO$1006:AU1006),$AO$1006:$BQ$1006,0)), HYPERLINK("#",""), HYPERLINK(CONCATENATE("#Metadata!", ADDRESS(INDEX($AJ$2:$AJ$1001,MATCH(ROWS($AH$2:AH513),$AH$2:$AH$1001,0),0), INDEX($AO$1004:$BQ$1004,1,MATCH(COLUMNS($AO$1006:AU1006),$AO$1006:$BQ$1006,0)))),"Fix")))</f>
        <v>#N/A</v>
      </c>
      <c r="I513" s="5" t="e">
        <f ca="1">IF(OR(INDEX($AI$2:$AI$1001,MATCH(ROWS($AH$2:AH513),$AH$2:$AH$1001,0),1)&gt;=100000,INDEX($AO$1005:$BQ$1005,1,MATCH(COLUMNS($AO$1006:AV1006),$AO$1006:$BQ$1006,0))&gt;=100000), " ",IF(INDEX($AO$2:$BQ$1001,MATCH(ROWS($AH$2:AH513),$AH$2:$AH$1001,0),MATCH(COLUMNS($AO$1006:AV1006),$AO$1006:$BQ$1006,0)), HYPERLINK("#",""), HYPERLINK(CONCATENATE("#Metadata!", ADDRESS(INDEX($AJ$2:$AJ$1001,MATCH(ROWS($AH$2:AH513),$AH$2:$AH$1001,0),0), INDEX($AO$1004:$BQ$1004,1,MATCH(COLUMNS($AO$1006:AV1006),$AO$1006:$BQ$1006,0)))),"Fix")))</f>
        <v>#N/A</v>
      </c>
      <c r="J513" s="5" t="e">
        <f ca="1">IF(OR(INDEX($AI$2:$AI$1001,MATCH(ROWS($AH$2:AH513),$AH$2:$AH$1001,0),1)&gt;=100000,INDEX($AO$1005:$BQ$1005,1,MATCH(COLUMNS($AO$1006:AW1006),$AO$1006:$BQ$1006,0))&gt;=100000), " ",IF(INDEX($AO$2:$BQ$1001,MATCH(ROWS($AH$2:AH513),$AH$2:$AH$1001,0),MATCH(COLUMNS($AO$1006:AW1006),$AO$1006:$BQ$1006,0)), HYPERLINK("#",""), HYPERLINK(CONCATENATE("#Metadata!", ADDRESS(INDEX($AJ$2:$AJ$1001,MATCH(ROWS($AH$2:AH513),$AH$2:$AH$1001,0),0), INDEX($AO$1004:$BQ$1004,1,MATCH(COLUMNS($AO$1006:AW1006),$AO$1006:$BQ$1006,0)))),"Fix")))</f>
        <v>#N/A</v>
      </c>
      <c r="K513" s="5" t="e">
        <f ca="1">IF(OR(INDEX($AI$2:$AI$1001,MATCH(ROWS($AH$2:AH513),$AH$2:$AH$1001,0),1)&gt;=100000,INDEX($AO$1005:$BQ$1005,1,MATCH(COLUMNS($AO$1006:AX1006),$AO$1006:$BQ$1006,0))&gt;=100000), " ",IF(INDEX($AO$2:$BQ$1001,MATCH(ROWS($AH$2:AH513),$AH$2:$AH$1001,0),MATCH(COLUMNS($AO$1006:AX1006),$AO$1006:$BQ$1006,0)), HYPERLINK("#",""), HYPERLINK(CONCATENATE("#Metadata!", ADDRESS(INDEX($AJ$2:$AJ$1001,MATCH(ROWS($AH$2:AH513),$AH$2:$AH$1001,0),0), INDEX($AO$1004:$BQ$1004,1,MATCH(COLUMNS($AO$1006:AX1006),$AO$1006:$BQ$1006,0)))),"Fix")))</f>
        <v>#N/A</v>
      </c>
      <c r="L513" s="5" t="e">
        <f ca="1">IF(OR(INDEX($AI$2:$AI$1001,MATCH(ROWS($AH$2:AH513),$AH$2:$AH$1001,0),1)&gt;=100000,INDEX($AO$1005:$BQ$1005,1,MATCH(COLUMNS($AO$1006:AY1006),$AO$1006:$BQ$1006,0))&gt;=100000), " ",IF(INDEX($AO$2:$BQ$1001,MATCH(ROWS($AH$2:AH513),$AH$2:$AH$1001,0),MATCH(COLUMNS($AO$1006:AY1006),$AO$1006:$BQ$1006,0)), HYPERLINK("#",""), HYPERLINK(CONCATENATE("#Metadata!", ADDRESS(INDEX($AJ$2:$AJ$1001,MATCH(ROWS($AH$2:AH513),$AH$2:$AH$1001,0),0), INDEX($AO$1004:$BQ$1004,1,MATCH(COLUMNS($AO$1006:AY1006),$AO$1006:$BQ$1006,0)))),"Fix")))</f>
        <v>#N/A</v>
      </c>
      <c r="M513" s="5" t="e">
        <f ca="1">IF(OR(INDEX($AI$2:$AI$1001,MATCH(ROWS($AH$2:AH513),$AH$2:$AH$1001,0),1)&gt;=100000,INDEX($AO$1005:$BQ$1005,1,MATCH(COLUMNS($AO$1006:AZ1006),$AO$1006:$BQ$1006,0))&gt;=100000), " ",IF(INDEX($AO$2:$BQ$1001,MATCH(ROWS($AH$2:AH513),$AH$2:$AH$1001,0),MATCH(COLUMNS($AO$1006:AZ1006),$AO$1006:$BQ$1006,0)), HYPERLINK("#",""), HYPERLINK(CONCATENATE("#Metadata!", ADDRESS(INDEX($AJ$2:$AJ$1001,MATCH(ROWS($AH$2:AH513),$AH$2:$AH$1001,0),0), INDEX($AO$1004:$BQ$1004,1,MATCH(COLUMNS($AO$1006:AZ1006),$AO$1006:$BQ$1006,0)))),"Fix")))</f>
        <v>#N/A</v>
      </c>
      <c r="N513" s="5" t="e">
        <f ca="1">IF(OR(INDEX($AI$2:$AI$1001,MATCH(ROWS($AH$2:AH513),$AH$2:$AH$1001,0),1)&gt;=100000,INDEX($AO$1005:$BQ$1005,1,MATCH(COLUMNS($AO$1006:BA1006),$AO$1006:$BQ$1006,0))&gt;=100000), " ",IF(INDEX($AO$2:$BQ$1001,MATCH(ROWS($AH$2:AH513),$AH$2:$AH$1001,0),MATCH(COLUMNS($AO$1006:BA1006),$AO$1006:$BQ$1006,0)), HYPERLINK("#",""), HYPERLINK(CONCATENATE("#Metadata!", ADDRESS(INDEX($AJ$2:$AJ$1001,MATCH(ROWS($AH$2:AH513),$AH$2:$AH$1001,0),0), INDEX($AO$1004:$BQ$1004,1,MATCH(COLUMNS($AO$1006:BA1006),$AO$1006:$BQ$1006,0)))),"Fix")))</f>
        <v>#N/A</v>
      </c>
      <c r="O513" s="5" t="e">
        <f ca="1">IF(OR(INDEX($AI$2:$AI$1001,MATCH(ROWS($AH$2:AH513),$AH$2:$AH$1001,0),1)&gt;=100000,INDEX($AO$1005:$BQ$1005,1,MATCH(COLUMNS($AO$1006:BB1006),$AO$1006:$BQ$1006,0))&gt;=100000), " ",IF(INDEX($AO$2:$BQ$1001,MATCH(ROWS($AH$2:AH513),$AH$2:$AH$1001,0),MATCH(COLUMNS($AO$1006:BB1006),$AO$1006:$BQ$1006,0)), HYPERLINK("#",""), HYPERLINK(CONCATENATE("#Metadata!", ADDRESS(INDEX($AJ$2:$AJ$1001,MATCH(ROWS($AH$2:AH513),$AH$2:$AH$1001,0),0), INDEX($AO$1004:$BQ$1004,1,MATCH(COLUMNS($AO$1006:BB1006),$AO$1006:$BQ$1006,0)))),"Fix")))</f>
        <v>#N/A</v>
      </c>
      <c r="P513" s="5" t="e">
        <f ca="1">IF(OR(INDEX($AI$2:$AI$1001,MATCH(ROWS($AH$2:AH513),$AH$2:$AH$1001,0),1)&gt;=100000,INDEX($AO$1005:$BQ$1005,1,MATCH(COLUMNS($AO$1006:BC1006),$AO$1006:$BQ$1006,0))&gt;=100000), " ",IF(INDEX($AO$2:$BQ$1001,MATCH(ROWS($AH$2:AH513),$AH$2:$AH$1001,0),MATCH(COLUMNS($AO$1006:BC1006),$AO$1006:$BQ$1006,0)), HYPERLINK("#",""), HYPERLINK(CONCATENATE("#Metadata!", ADDRESS(INDEX($AJ$2:$AJ$1001,MATCH(ROWS($AH$2:AH513),$AH$2:$AH$1001,0),0), INDEX($AO$1004:$BQ$1004,1,MATCH(COLUMNS($AO$1006:BC1006),$AO$1006:$BQ$1006,0)))),"Fix")))</f>
        <v>#N/A</v>
      </c>
      <c r="Q513" s="5" t="e">
        <f ca="1">IF(OR(INDEX($AI$2:$AI$1001,MATCH(ROWS($AH$2:AH513),$AH$2:$AH$1001,0),1)&gt;=100000,INDEX($AO$1005:$BQ$1005,1,MATCH(COLUMNS($AO$1006:BD1006),$AO$1006:$BQ$1006,0))&gt;=100000), " ",IF(INDEX($AO$2:$BQ$1001,MATCH(ROWS($AH$2:AH513),$AH$2:$AH$1001,0),MATCH(COLUMNS($AO$1006:BD1006),$AO$1006:$BQ$1006,0)), HYPERLINK("#",""), HYPERLINK(CONCATENATE("#Metadata!", ADDRESS(INDEX($AJ$2:$AJ$1001,MATCH(ROWS($AH$2:AH513),$AH$2:$AH$1001,0),0), INDEX($AO$1004:$BQ$1004,1,MATCH(COLUMNS($AO$1006:BD1006),$AO$1006:$BQ$1006,0)))),"Fix")))</f>
        <v>#N/A</v>
      </c>
      <c r="R513" s="5" t="e">
        <f ca="1">IF(OR(INDEX($AI$2:$AI$1001,MATCH(ROWS($AH$2:AH513),$AH$2:$AH$1001,0),1)&gt;=100000,INDEX($AO$1005:$BQ$1005,1,MATCH(COLUMNS($AO$1006:BE1006),$AO$1006:$BQ$1006,0))&gt;=100000), " ",IF(INDEX($AO$2:$BQ$1001,MATCH(ROWS($AH$2:AH513),$AH$2:$AH$1001,0),MATCH(COLUMNS($AO$1006:BE1006),$AO$1006:$BQ$1006,0)), HYPERLINK("#",""), HYPERLINK(CONCATENATE("#Metadata!", ADDRESS(INDEX($AJ$2:$AJ$1001,MATCH(ROWS($AH$2:AH513),$AH$2:$AH$1001,0),0), INDEX($AO$1004:$BQ$1004,1,MATCH(COLUMNS($AO$1006:BE1006),$AO$1006:$BQ$1006,0)))),"Fix")))</f>
        <v>#N/A</v>
      </c>
      <c r="S513" s="5" t="e">
        <f ca="1">IF(OR(INDEX($AI$2:$AI$1001,MATCH(ROWS($AH$2:AH513),$AH$2:$AH$1001,0),1)&gt;=100000,INDEX($AO$1005:$BQ$1005,1,MATCH(COLUMNS($AO$1006:BF1006),$AO$1006:$BQ$1006,0))&gt;=100000), " ",IF(INDEX($AO$2:$BQ$1001,MATCH(ROWS($AH$2:AH513),$AH$2:$AH$1001,0),MATCH(COLUMNS($AO$1006:BF1006),$AO$1006:$BQ$1006,0)), HYPERLINK("#",""), HYPERLINK(CONCATENATE("#Metadata!", ADDRESS(INDEX($AJ$2:$AJ$1001,MATCH(ROWS($AH$2:AH513),$AH$2:$AH$1001,0),0), INDEX($AO$1004:$BQ$1004,1,MATCH(COLUMNS($AO$1006:BF1006),$AO$1006:$BQ$1006,0)))),"Fix")))</f>
        <v>#N/A</v>
      </c>
      <c r="T513" s="5" t="e">
        <f ca="1">IF(OR(INDEX($AI$2:$AI$1001,MATCH(ROWS($AH$2:AH513),$AH$2:$AH$1001,0),1)&gt;=100000,INDEX($AO$1005:$BQ$1005,1,MATCH(COLUMNS($AO$1006:BG1006),$AO$1006:$BQ$1006,0))&gt;=100000), " ",IF(INDEX($AO$2:$BQ$1001,MATCH(ROWS($AH$2:AH513),$AH$2:$AH$1001,0),MATCH(COLUMNS($AO$1006:BG1006),$AO$1006:$BQ$1006,0)), HYPERLINK("#",""), HYPERLINK(CONCATENATE("#Metadata!", ADDRESS(INDEX($AJ$2:$AJ$1001,MATCH(ROWS($AH$2:AH513),$AH$2:$AH$1001,0),0), INDEX($AO$1004:$BQ$1004,1,MATCH(COLUMNS($AO$1006:BG1006),$AO$1006:$BQ$1006,0)))),"Fix")))</f>
        <v>#N/A</v>
      </c>
      <c r="U513" s="5" t="e">
        <f ca="1">IF(OR(INDEX($AI$2:$AI$1001,MATCH(ROWS($AH$2:AH513),$AH$2:$AH$1001,0),1)&gt;=100000,INDEX($AO$1005:$BQ$1005,1,MATCH(COLUMNS($AO$1006:BH1006),$AO$1006:$BQ$1006,0))&gt;=100000), " ",IF(INDEX($AO$2:$BQ$1001,MATCH(ROWS($AH$2:AH513),$AH$2:$AH$1001,0),MATCH(COLUMNS($AO$1006:BH1006),$AO$1006:$BQ$1006,0)), HYPERLINK("#",""), HYPERLINK(CONCATENATE("#Metadata!", ADDRESS(INDEX($AJ$2:$AJ$1001,MATCH(ROWS($AH$2:AH513),$AH$2:$AH$1001,0),0), INDEX($AO$1004:$BQ$1004,1,MATCH(COLUMNS($AO$1006:BH1006),$AO$1006:$BQ$1006,0)))),"Fix")))</f>
        <v>#N/A</v>
      </c>
      <c r="V513" s="5" t="e">
        <f ca="1">IF(OR(INDEX($AI$2:$AI$1001,MATCH(ROWS($AH$2:AH513),$AH$2:$AH$1001,0),1)&gt;=100000,INDEX($AO$1005:$BQ$1005,1,MATCH(COLUMNS($AO$1006:BI1006),$AO$1006:$BQ$1006,0))&gt;=100000), " ",IF(INDEX($AO$2:$BQ$1001,MATCH(ROWS($AH$2:AH513),$AH$2:$AH$1001,0),MATCH(COLUMNS($AO$1006:BI1006),$AO$1006:$BQ$1006,0)), HYPERLINK("#",""), HYPERLINK(CONCATENATE("#Metadata!", ADDRESS(INDEX($AJ$2:$AJ$1001,MATCH(ROWS($AH$2:AH513),$AH$2:$AH$1001,0),0), INDEX($AO$1004:$BQ$1004,1,MATCH(COLUMNS($AO$1006:BI1006),$AO$1006:$BQ$1006,0)))),"Fix")))</f>
        <v>#N/A</v>
      </c>
      <c r="W513" s="5" t="e">
        <f ca="1">IF(OR(INDEX($AI$2:$AI$1001,MATCH(ROWS($AH$2:AH513),$AH$2:$AH$1001,0),1)&gt;=100000,INDEX($AO$1005:$BQ$1005,1,MATCH(COLUMNS($AO$1006:BJ1006),$AO$1006:$BQ$1006,0))&gt;=100000), " ",IF(INDEX($AO$2:$BQ$1001,MATCH(ROWS($AH$2:AH513),$AH$2:$AH$1001,0),MATCH(COLUMNS($AO$1006:BJ1006),$AO$1006:$BQ$1006,0)), HYPERLINK("#",""), HYPERLINK(CONCATENATE("#Metadata!", ADDRESS(INDEX($AJ$2:$AJ$1001,MATCH(ROWS($AH$2:AH513),$AH$2:$AH$1001,0),0), INDEX($AO$1004:$BQ$1004,1,MATCH(COLUMNS($AO$1006:BJ1006),$AO$1006:$BQ$1006,0)))),"Fix")))</f>
        <v>#N/A</v>
      </c>
      <c r="X513" s="5" t="e">
        <f ca="1">IF(OR(INDEX($AI$2:$AI$1001,MATCH(ROWS($AH$2:AH513),$AH$2:$AH$1001,0),1)&gt;=100000,INDEX($AO$1005:$BQ$1005,1,MATCH(COLUMNS($AO$1006:BK1006),$AO$1006:$BQ$1006,0))&gt;=100000), " ",IF(INDEX($AO$2:$BQ$1001,MATCH(ROWS($AH$2:AH513),$AH$2:$AH$1001,0),MATCH(COLUMNS($AO$1006:BK1006),$AO$1006:$BQ$1006,0)), HYPERLINK("#",""), HYPERLINK(CONCATENATE("#Metadata!", ADDRESS(INDEX($AJ$2:$AJ$1001,MATCH(ROWS($AH$2:AH513),$AH$2:$AH$1001,0),0), INDEX($AO$1004:$BQ$1004,1,MATCH(COLUMNS($AO$1006:BK1006),$AO$1006:$BQ$1006,0)))),"Fix")))</f>
        <v>#N/A</v>
      </c>
      <c r="Y513" s="5" t="e">
        <f ca="1">IF(OR(INDEX($AI$2:$AI$1001,MATCH(ROWS($AH$2:AH513),$AH$2:$AH$1001,0),1)&gt;=100000,INDEX($AO$1005:$BQ$1005,1,MATCH(COLUMNS($AO$1006:BL1006),$AO$1006:$BQ$1006,0))&gt;=100000), " ",IF(INDEX($AO$2:$BQ$1001,MATCH(ROWS($AH$2:AH513),$AH$2:$AH$1001,0),MATCH(COLUMNS($AO$1006:BL1006),$AO$1006:$BQ$1006,0)), HYPERLINK("#",""), HYPERLINK(CONCATENATE("#Metadata!", ADDRESS(INDEX($AJ$2:$AJ$1001,MATCH(ROWS($AH$2:AH513),$AH$2:$AH$1001,0),0), INDEX($AO$1004:$BQ$1004,1,MATCH(COLUMNS($AO$1006:BL1006),$AO$1006:$BQ$1006,0)))),"Fix")))</f>
        <v>#N/A</v>
      </c>
      <c r="Z513" s="5" t="e">
        <f ca="1">IF(OR(INDEX($AI$2:$AI$1001,MATCH(ROWS($AH$2:AH513),$AH$2:$AH$1001,0),1)&gt;=100000,INDEX($AO$1005:$BQ$1005,1,MATCH(COLUMNS($AO$1006:BM1006),$AO$1006:$BQ$1006,0))&gt;=100000), " ",IF(INDEX($AO$2:$BQ$1001,MATCH(ROWS($AH$2:AH513),$AH$2:$AH$1001,0),MATCH(COLUMNS($AO$1006:BM1006),$AO$1006:$BQ$1006,0)), HYPERLINK("#",""), HYPERLINK(CONCATENATE("#Metadata!", ADDRESS(INDEX($AJ$2:$AJ$1001,MATCH(ROWS($AH$2:AH513),$AH$2:$AH$1001,0),0), INDEX($AO$1004:$BQ$1004,1,MATCH(COLUMNS($AO$1006:BM1006),$AO$1006:$BQ$1006,0)))),"Fix")))</f>
        <v>#N/A</v>
      </c>
      <c r="AA513" s="5" t="e">
        <f ca="1">IF(OR(INDEX($AI$2:$AI$1001,MATCH(ROWS($AH$2:AH513),$AH$2:$AH$1001,0),1)&gt;=100000,INDEX($AO$1005:$BQ$1005,1,MATCH(COLUMNS($AO$1006:BN1006),$AO$1006:$BQ$1006,0))&gt;=100000), " ",IF(INDEX($AO$2:$BQ$1001,MATCH(ROWS($AH$2:AH513),$AH$2:$AH$1001,0),MATCH(COLUMNS($AO$1006:BN1006),$AO$1006:$BQ$1006,0)), HYPERLINK("#",""), HYPERLINK(CONCATENATE("#Metadata!", ADDRESS(INDEX($AJ$2:$AJ$1001,MATCH(ROWS($AH$2:AH513),$AH$2:$AH$1001,0),0), INDEX($AO$1004:$BQ$1004,1,MATCH(COLUMNS($AO$1006:BN1006),$AO$1006:$BQ$1006,0)))),"Fix")))</f>
        <v>#N/A</v>
      </c>
      <c r="AB513" s="5" t="e">
        <f ca="1">IF(OR(INDEX($AI$2:$AI$1001,MATCH(ROWS($AH$2:AH513),$AH$2:$AH$1001,0),1)&gt;=100000,INDEX($AO$1005:$BQ$1005,1,MATCH(COLUMNS($AO$1006:BO1006),$AO$1006:$BQ$1006,0))&gt;=100000), " ",IF(INDEX($AO$2:$BQ$1001,MATCH(ROWS($AH$2:AH513),$AH$2:$AH$1001,0),MATCH(COLUMNS($AO$1006:BO1006),$AO$1006:$BQ$1006,0)), HYPERLINK("#",""), HYPERLINK(CONCATENATE("#Metadata!", ADDRESS(INDEX($AJ$2:$AJ$1001,MATCH(ROWS($AH$2:AH513),$AH$2:$AH$1001,0),0), INDEX($AO$1004:$BQ$1004,1,MATCH(COLUMNS($AO$1006:BO1006),$AO$1006:$BQ$1006,0)))),"Fix")))</f>
        <v>#N/A</v>
      </c>
      <c r="AC513" s="5" t="e">
        <f ca="1">IF(OR(INDEX($AI$2:$AI$1001,MATCH(ROWS($AH$2:AH513),$AH$2:$AH$1001,0),1)&gt;=100000,INDEX($AO$1005:$BQ$1005,1,MATCH(COLUMNS($AO$1006:BP1006),$AO$1006:$BQ$1006,0))&gt;=100000), " ",IF(INDEX($AO$2:$BQ$1001,MATCH(ROWS($AH$2:AH513),$AH$2:$AH$1001,0),MATCH(COLUMNS($AO$1006:BP1006),$AO$1006:$BQ$1006,0)), HYPERLINK("#",""), HYPERLINK(CONCATENATE("#Metadata!", ADDRESS(INDEX($AJ$2:$AJ$1001,MATCH(ROWS($AH$2:AH513),$AH$2:$AH$1001,0),0), INDEX($AO$1004:$BQ$1004,1,MATCH(COLUMNS($AO$1006:BP1006),$AO$1006:$BQ$1006,0)))),"Fix")))</f>
        <v>#N/A</v>
      </c>
      <c r="AD513" s="5" t="e">
        <f ca="1">IF(OR(INDEX($AI$2:$AI$1001,MATCH(ROWS($AH$2:AH513),$AH$2:$AH$1001,0),1)&gt;=100000,INDEX($AO$1005:$BQ$1005,1,MATCH(COLUMNS($AO$1006:BQ1006),$AO$1006:$BQ$1006,0))&gt;=100000), " ",IF(INDEX($AO$2:$BQ$1001,MATCH(ROWS($AH$2:AH513),$AH$2:$AH$1001,0),MATCH(COLUMNS($AO$1006:BQ1006),$AO$1006:$BQ$1006,0)), HYPERLINK("#",""), HYPERLINK(CONCATENATE("#Metadata!", ADDRESS(INDEX($AJ$2:$AJ$1001,MATCH(ROWS($AH$2:AH513),$AH$2:$AH$1001,0),0), INDEX($AO$1004:$BQ$1004,1,MATCH(COLUMNS($AO$1006:BQ1006),$AO$1006:$BQ$1006,0)))),"Fix")))</f>
        <v>#REF!</v>
      </c>
      <c r="AH513">
        <f ca="1"/>
        <v>510</v>
      </c>
      <c r="AI513">
        <v>100513</v>
      </c>
      <c r="AJ513">
        <v>513</v>
      </c>
      <c r="AK513" t="b">
        <f t="shared" si="7"/>
        <v>1</v>
      </c>
      <c r="AL513" t="b">
        <f>COUNTBLANK(Metadata!B513:AD513)=COLUMNS(Metadata!B513:AD513)</f>
        <v>1</v>
      </c>
      <c r="AM513" t="str">
        <v/>
      </c>
      <c r="AO513" t="b">
        <f ca="1">AND(IF(Metadata!B513="",FALSE,TRUE),COUNTIF(Metadata!B:B, Metadata!B513) = 1,NOT(ISERROR(SUMPRODUCT(SEARCH(MID(Metadata!B513,ROW(INDIRECT("1:"&amp;LEN(Metadata!B513))), 1),"0123456789abcdefghijklmnopqrstuvwxyzABCDEFGHIJKLMNOPQRSTUVWXYZ.")))))</f>
        <v>0</v>
      </c>
      <c r="AP513" t="b">
        <f>IF(Metadata!C513="",FALSE,TRUE)</f>
        <v>0</v>
      </c>
      <c r="AQ513" t="b">
        <f>IF(Metadata!D513="",FALSE,TRUE)</f>
        <v>0</v>
      </c>
      <c r="AR513" t="b">
        <f ca="1">OR(AND(IF(Metadata!E513="",FALSE,TRUE),OR(EXACT(Metadata!E513,"not collected"),EXACT(Metadata!E513,"not provided"),EXACT(Metadata!E513,"restricted access"))),AND(IF(Metadata!E513="",FALSE,TRUE),AND(AND(IFERROR(INT(LEFT(Metadata!E513,4))&gt;1900,FALSE),IFERROR(INT(LEFT(Metadata!E513,4))&lt;=YEAR(NOW()),FALSE)), OR(MID(Metadata!E513,5,1)="", AND(AND(MID(Metadata!E513,5,1)="-",IFERROR(INT(MID(Metadata!E513,6,1))&gt;=0,FALSE),IFERROR(INT(MID(Metadata!E513,6,1))&lt;=1,FALSE),NOT(MID(Metadata!E513,7,1)=""),IFERROR(INT(MID(Metadata!E513,6,2))&gt;=1,FALSE),IFERROR(INT(MID(Metadata!E513,6,2))&lt;=12,FALSE)), OR(MID(Metadata!E513,8,1)="", AND(AND(MID(Metadata!E513,8,1)="-",IFERROR(INT(MID(Metadata!E513,9,1))&gt;=0,FALSE),IFERROR(INT(MID(Metadata!E513,9,1))&lt;=3,FALSE),NOT(MID(Metadata!E513,10,1)=""),IFERROR(INT(MID(Metadata!E513,9,2))&gt;=1,FALSE),IFERROR(INT(MID(Metadata!E513,9,2))&lt;=31,FALSE)), OR(MID(Metadata!E513,11,1)="", AND(AND(MID(Metadata!E513,11,1)=" ",IFERROR(INT(MID(Metadata!E513,12,1))&gt;=0,FALSE),IFERROR(INT(MID(Metadata!E513,12,1))&lt;=2,FALSE),NOT(MID(Metadata!E513,13,1)=""),IFERROR(INT(MID(Metadata!E513,12,2))&gt;=0,FALSE),IFERROR(INT(MID(Metadata!E513,12,2))&lt;=23,FALSE)), OR(MID(Metadata!E513,14,1)="", AND(AND(MID(Metadata!E513,14,1)=":",IFERROR(INT(MID(Metadata!E513,15,1))&gt;=0,FALSE),IFERROR(INT(MID(Metadata!E513,15,1))&lt;=5,FALSE),NOT(MID(Metadata!E513,16,1)=""),IFERROR(INT(MID(Metadata!E513,15,2))&gt;=0,FALSE),IFERROR(INT(MID(Metadata!E513,15,2))&lt;=59,FALSE)), OR(MID(Metadata!E513,17,1)="", AND(AND(MID(Metadata!E513,17,1)=":",IFERROR(INT(MID(Metadata!E513,18,1))&gt;=0,FALSE),IFERROR(INT(MID(Metadata!E513,18,1))&lt;=5,FALSE),NOT(MID(Metadata!E513,19,1)=""),IFERROR(INT(MID(Metadata!E513,18,2))&gt;=0,FALSE),IFERROR(INT(MID(Metadata!E513,18,2))&lt;=59,FALSE)), LEN(Metadata!E513)&lt;=19)))))))))))))</f>
        <v>0</v>
      </c>
      <c r="AS513" t="b">
        <f>IF(Metadata!F513="",FALSE,TRUE)</f>
        <v>0</v>
      </c>
      <c r="AT513" t="b">
        <f>OR(AND(IF(Metadata!G513="",FALSE,TRUE),OR(EXACT(Metadata!G513,"not collected"),EXACT(Metadata!G513,"not provided"))),AND(IF(Metadata!G513="",FALSE,TRUE),OR(EXACT(Metadata!G513,"TRUE"),EXACT(Metadata!G513,"FALSE"))))</f>
        <v>0</v>
      </c>
      <c r="AU513" t="b">
        <f>OR(AND(IF(Metadata!H513="",FALSE,TRUE),OR(EXACT(Metadata!H513,"not collected"),EXACT(Metadata!H513,"not provided"),EXACT(Metadata!H513,"restricted access"))),AND(IF(Metadata!H513="",FALSE,ISNUMBER(VALUE(Metadata!H513))),Metadata!H513&gt;=-413))</f>
        <v>0</v>
      </c>
      <c r="AV513" t="b">
        <f>AND(IF(Metadata!I513="",FALSE,TRUE),EXACT(Metadata!I513,"meters"))</f>
        <v>0</v>
      </c>
      <c r="AW513" t="b">
        <f>AND(IF(Metadata!J513="",FALSE,TRUE),EXACT(Metadata!J513,"free-living"))</f>
        <v>0</v>
      </c>
      <c r="AX513" t="b">
        <f>AND(IF(Metadata!K513="",FALSE,TRUE),OR(EXACT(Metadata!K513,"saline"),EXACT(Metadata!K513,"non-saline")))</f>
        <v>0</v>
      </c>
      <c r="AY513" t="b">
        <f>AND(IF(Metadata!L513="",FALSE,TRUE),OR(EXACT(Metadata!L513,"sub-surface (non-saline)"),EXACT(Metadata!L513,"surface (non-saline)"),EXACT(Metadata!L513,"water (non-saline)"),EXACT(Metadata!L513,"soil (non-saline)"),EXACT(Metadata!L513,"aerosol (non-saline)"),EXACT(Metadata!L513,"sediment (non-saline)"),EXACT(Metadata!L513,"surface (saline)"),EXACT(Metadata!L513,"water (saline)"),EXACT(Metadata!L513,"hypersaline (saline)"),EXACT(Metadata!L513,"aerosol (saline)"),EXACT(Metadata!L513,"sediment (saline)")))</f>
        <v>0</v>
      </c>
      <c r="AZ513" t="b">
        <f>IF(Metadata!M513="",FALSE,TRUE)</f>
        <v>0</v>
      </c>
      <c r="BA513" t="b">
        <f>IF(Metadata!N513="",FALSE,TRUE)</f>
        <v>0</v>
      </c>
      <c r="BB513" t="b">
        <f>IF(Metadata!O513="",FALSE,TRUE)</f>
        <v>0</v>
      </c>
      <c r="BC513" t="b">
        <f>AND(IF(Metadata!P513="",FALSE,TRUE),OR(EXACT(Metadata!P513,"air"),EXACT(Metadata!P513,"microbial mat/biofilm"),EXACT(Metadata!P513,"misc environment"),EXACT(Metadata!P513,"sediment"),EXACT(Metadata!P513,"soil"),EXACT(Metadata!P513,"wastewater/sludge"),EXACT(Metadata!P513,"water")))</f>
        <v>0</v>
      </c>
      <c r="BD513" t="b">
        <f>IF(Metadata!Q513="",FALSE,TRUE)</f>
        <v>0</v>
      </c>
      <c r="BE513" t="b">
        <f>IF(Metadata!R513="",FALSE,TRUE)</f>
        <v>0</v>
      </c>
      <c r="BF513" t="b">
        <f>OR(AND(IF(Metadata!S513="",FALSE,TRUE),OR(EXACT(Metadata!S513,"not collected"),EXACT(Metadata!S513,"not provided"),EXACT(Metadata!S513,"restricted access"))),AND(IF(Metadata!S513="",FALSE,ISNUMBER(VALUE(Metadata!S513))),Metadata!S513&gt;=-90,Metadata!S513&lt;=90))</f>
        <v>0</v>
      </c>
      <c r="BG513" t="b">
        <f>AND(IF(Metadata!T513="",FALSE,TRUE),EXACT(Metadata!T513,"Decimal degrees"))</f>
        <v>0</v>
      </c>
      <c r="BH513" t="b">
        <f>OR(AND(IF(Metadata!U513="",FALSE,TRUE),OR(EXACT(Metadata!U513,"not applicable"),EXACT(Metadata!U513,"not collected"))),IF(Metadata!U513="",FALSE,TRUE))</f>
        <v>0</v>
      </c>
      <c r="BI513" t="b">
        <f>OR(AND(IF(Metadata!V513="",FALSE,TRUE),OR(EXACT(Metadata!V513,"not collected"),EXACT(Metadata!V513,"not provided"),EXACT(Metadata!V513,"restricted access"))),AND(IF(Metadata!V513="",FALSE,ISNUMBER(VALUE(Metadata!V513))),Metadata!V513&gt;=-180,Metadata!V513&lt;=180))</f>
        <v>0</v>
      </c>
      <c r="BJ513" t="b">
        <f>AND(IF(Metadata!W513="",FALSE,TRUE),EXACT(Metadata!W513,"Decimal degrees"))</f>
        <v>0</v>
      </c>
      <c r="BK513" t="b">
        <f>IF(Metadata!X513="",FALSE,TRUE)</f>
        <v>0</v>
      </c>
      <c r="BL513" t="b">
        <f>OR(AND(IF(Metadata!Y513="",FALSE,TRUE),OR(EXACT(Metadata!Y513,"not collected"),EXACT(Metadata!Y513,"not provided"),EXACT(Metadata!Y513,"restricted access"))),AND(IF(Metadata!Y513="",FALSE,TRUE),OR(EXACT(Metadata!Y513,"TRUE"),EXACT(Metadata!Y513,"FALSE"))))</f>
        <v>0</v>
      </c>
      <c r="BM513" t="b">
        <f>OR(AND(IF(Metadata!Z513="",FALSE,TRUE),EXACT(Metadata!Z513,"not applicable")),AND(IF(Metadata!Z513="",FALSE,TRUE),OR(EXACT(Metadata!Z513,"beer"),EXACT(Metadata!Z513,"cheese"),EXACT(Metadata!Z513,"fresh water"),EXACT(Metadata!Z513,"marine sediment"),EXACT(Metadata!Z513,"sea water"),EXACT(Metadata!Z513,"sediment"),EXACT(Metadata!Z513,"soil"),EXACT(Metadata!Z513,"waste water"))))</f>
        <v>0</v>
      </c>
      <c r="BN513" t="b">
        <f>AND(IF(Metadata!AA513="",FALSE,TRUE),EXACT(Metadata!AA513,"metagenome"))</f>
        <v>0</v>
      </c>
      <c r="BO513" t="b">
        <f>AND(IF(Metadata!AB513="",FALSE,TRUE),EXACT(Metadata!AB513,"256318"))</f>
        <v>0</v>
      </c>
      <c r="BP513" t="b">
        <f>IF(Metadata!AC513="",FALSE,TRUE)</f>
        <v>0</v>
      </c>
      <c r="BQ513" t="b">
        <f>IF(Metadata!AD513="",FALSE,TRUE)</f>
        <v>0</v>
      </c>
    </row>
    <row r="514" spans="1:69" x14ac:dyDescent="0.2">
      <c r="A514" s="4" t="e">
        <f ca="1">IF(B514=" "," ",HYPERLINK(CONCATENATE("#metadata!",ADDRESS(INDEX($AJ$2:$AJ$1001,MATCH(ROWS($AH$2:AH514),$AH$2:$AH$1001,0),0),2)),INDEX($AM$2:$AM$1001,MATCH(ROWS($AH$2:AH514),$AH$2:$AH$1001,0),0)))</f>
        <v>#N/A</v>
      </c>
      <c r="B514" s="5" t="e">
        <f ca="1">IF(OR(INDEX($AI$2:$AI$1001,MATCH(ROWS($AH$2:AH514),$AH$2:$AH$1001,0),1)&gt;=100000,INDEX($AO$1005:$BQ$1005,1,MATCH(COLUMNS($AO$1006:AO1006),$AO$1006:$BQ$1006,0))&gt;=100000), " ",IF(INDEX($AO$2:$BQ$1001,MATCH(ROWS($AH$2:AH514),$AH$2:$AH$1001,0),MATCH(COLUMNS($AO$1006:AO1006),$AO$1006:$BQ$1006,0)), HYPERLINK("#",""), HYPERLINK(CONCATENATE("#Metadata!", ADDRESS(INDEX($AJ$2:$AJ$1001,MATCH(ROWS($AH$2:AH514),$AH$2:$AH$1001,0),0), INDEX($AO$1004:$BQ$1004,1,MATCH(COLUMNS($AO$1006:AO1006),$AO$1006:$BQ$1006,0)))),"Fix")))</f>
        <v>#N/A</v>
      </c>
      <c r="C514" s="5" t="e">
        <f ca="1">IF(OR(INDEX($AI$2:$AI$1001,MATCH(ROWS($AH$2:AH514),$AH$2:$AH$1001,0),1)&gt;=100000,INDEX($AO$1005:$BQ$1005,1,MATCH(COLUMNS($AO$1006:AP1006),$AO$1006:$BQ$1006,0))&gt;=100000), " ",IF(INDEX($AO$2:$BQ$1001,MATCH(ROWS($AH$2:AH514),$AH$2:$AH$1001,0),MATCH(COLUMNS($AO$1006:AP1006),$AO$1006:$BQ$1006,0)), HYPERLINK("#",""), HYPERLINK(CONCATENATE("#Metadata!", ADDRESS(INDEX($AJ$2:$AJ$1001,MATCH(ROWS($AH$2:AH514),$AH$2:$AH$1001,0),0), INDEX($AO$1004:$BQ$1004,1,MATCH(COLUMNS($AO$1006:AP1006),$AO$1006:$BQ$1006,0)))),"Fix")))</f>
        <v>#N/A</v>
      </c>
      <c r="D514" s="5" t="e">
        <f ca="1">IF(OR(INDEX($AI$2:$AI$1001,MATCH(ROWS($AH$2:AH514),$AH$2:$AH$1001,0),1)&gt;=100000,INDEX($AO$1005:$BQ$1005,1,MATCH(COLUMNS($AO$1006:AQ1006),$AO$1006:$BQ$1006,0))&gt;=100000), " ",IF(INDEX($AO$2:$BQ$1001,MATCH(ROWS($AH$2:AH514),$AH$2:$AH$1001,0),MATCH(COLUMNS($AO$1006:AQ1006),$AO$1006:$BQ$1006,0)), HYPERLINK("#",""), HYPERLINK(CONCATENATE("#Metadata!", ADDRESS(INDEX($AJ$2:$AJ$1001,MATCH(ROWS($AH$2:AH514),$AH$2:$AH$1001,0),0), INDEX($AO$1004:$BQ$1004,1,MATCH(COLUMNS($AO$1006:AQ1006),$AO$1006:$BQ$1006,0)))),"Fix")))</f>
        <v>#N/A</v>
      </c>
      <c r="E514" s="5" t="e">
        <f ca="1">IF(OR(INDEX($AI$2:$AI$1001,MATCH(ROWS($AH$2:AH514),$AH$2:$AH$1001,0),1)&gt;=100000,INDEX($AO$1005:$BQ$1005,1,MATCH(COLUMNS($AO$1006:AR1006),$AO$1006:$BQ$1006,0))&gt;=100000), " ",IF(INDEX($AO$2:$BQ$1001,MATCH(ROWS($AH$2:AH514),$AH$2:$AH$1001,0),MATCH(COLUMNS($AO$1006:AR1006),$AO$1006:$BQ$1006,0)), HYPERLINK("#",""), HYPERLINK(CONCATENATE("#Metadata!", ADDRESS(INDEX($AJ$2:$AJ$1001,MATCH(ROWS($AH$2:AH514),$AH$2:$AH$1001,0),0), INDEX($AO$1004:$BQ$1004,1,MATCH(COLUMNS($AO$1006:AR1006),$AO$1006:$BQ$1006,0)))),"Fix")))</f>
        <v>#N/A</v>
      </c>
      <c r="F514" s="5" t="e">
        <f ca="1">IF(OR(INDEX($AI$2:$AI$1001,MATCH(ROWS($AH$2:AH514),$AH$2:$AH$1001,0),1)&gt;=100000,INDEX($AO$1005:$BQ$1005,1,MATCH(COLUMNS($AO$1006:AS1006),$AO$1006:$BQ$1006,0))&gt;=100000), " ",IF(INDEX($AO$2:$BQ$1001,MATCH(ROWS($AH$2:AH514),$AH$2:$AH$1001,0),MATCH(COLUMNS($AO$1006:AS1006),$AO$1006:$BQ$1006,0)), HYPERLINK("#",""), HYPERLINK(CONCATENATE("#Metadata!", ADDRESS(INDEX($AJ$2:$AJ$1001,MATCH(ROWS($AH$2:AH514),$AH$2:$AH$1001,0),0), INDEX($AO$1004:$BQ$1004,1,MATCH(COLUMNS($AO$1006:AS1006),$AO$1006:$BQ$1006,0)))),"Fix")))</f>
        <v>#N/A</v>
      </c>
      <c r="G514" s="5" t="e">
        <f ca="1">IF(OR(INDEX($AI$2:$AI$1001,MATCH(ROWS($AH$2:AH514),$AH$2:$AH$1001,0),1)&gt;=100000,INDEX($AO$1005:$BQ$1005,1,MATCH(COLUMNS($AO$1006:AT1006),$AO$1006:$BQ$1006,0))&gt;=100000), " ",IF(INDEX($AO$2:$BQ$1001,MATCH(ROWS($AH$2:AH514),$AH$2:$AH$1001,0),MATCH(COLUMNS($AO$1006:AT1006),$AO$1006:$BQ$1006,0)), HYPERLINK("#",""), HYPERLINK(CONCATENATE("#Metadata!", ADDRESS(INDEX($AJ$2:$AJ$1001,MATCH(ROWS($AH$2:AH514),$AH$2:$AH$1001,0),0), INDEX($AO$1004:$BQ$1004,1,MATCH(COLUMNS($AO$1006:AT1006),$AO$1006:$BQ$1006,0)))),"Fix")))</f>
        <v>#N/A</v>
      </c>
      <c r="H514" s="5" t="e">
        <f ca="1">IF(OR(INDEX($AI$2:$AI$1001,MATCH(ROWS($AH$2:AH514),$AH$2:$AH$1001,0),1)&gt;=100000,INDEX($AO$1005:$BQ$1005,1,MATCH(COLUMNS($AO$1006:AU1006),$AO$1006:$BQ$1006,0))&gt;=100000), " ",IF(INDEX($AO$2:$BQ$1001,MATCH(ROWS($AH$2:AH514),$AH$2:$AH$1001,0),MATCH(COLUMNS($AO$1006:AU1006),$AO$1006:$BQ$1006,0)), HYPERLINK("#",""), HYPERLINK(CONCATENATE("#Metadata!", ADDRESS(INDEX($AJ$2:$AJ$1001,MATCH(ROWS($AH$2:AH514),$AH$2:$AH$1001,0),0), INDEX($AO$1004:$BQ$1004,1,MATCH(COLUMNS($AO$1006:AU1006),$AO$1006:$BQ$1006,0)))),"Fix")))</f>
        <v>#N/A</v>
      </c>
      <c r="I514" s="5" t="e">
        <f ca="1">IF(OR(INDEX($AI$2:$AI$1001,MATCH(ROWS($AH$2:AH514),$AH$2:$AH$1001,0),1)&gt;=100000,INDEX($AO$1005:$BQ$1005,1,MATCH(COLUMNS($AO$1006:AV1006),$AO$1006:$BQ$1006,0))&gt;=100000), " ",IF(INDEX($AO$2:$BQ$1001,MATCH(ROWS($AH$2:AH514),$AH$2:$AH$1001,0),MATCH(COLUMNS($AO$1006:AV1006),$AO$1006:$BQ$1006,0)), HYPERLINK("#",""), HYPERLINK(CONCATENATE("#Metadata!", ADDRESS(INDEX($AJ$2:$AJ$1001,MATCH(ROWS($AH$2:AH514),$AH$2:$AH$1001,0),0), INDEX($AO$1004:$BQ$1004,1,MATCH(COLUMNS($AO$1006:AV1006),$AO$1006:$BQ$1006,0)))),"Fix")))</f>
        <v>#N/A</v>
      </c>
      <c r="J514" s="5" t="e">
        <f ca="1">IF(OR(INDEX($AI$2:$AI$1001,MATCH(ROWS($AH$2:AH514),$AH$2:$AH$1001,0),1)&gt;=100000,INDEX($AO$1005:$BQ$1005,1,MATCH(COLUMNS($AO$1006:AW1006),$AO$1006:$BQ$1006,0))&gt;=100000), " ",IF(INDEX($AO$2:$BQ$1001,MATCH(ROWS($AH$2:AH514),$AH$2:$AH$1001,0),MATCH(COLUMNS($AO$1006:AW1006),$AO$1006:$BQ$1006,0)), HYPERLINK("#",""), HYPERLINK(CONCATENATE("#Metadata!", ADDRESS(INDEX($AJ$2:$AJ$1001,MATCH(ROWS($AH$2:AH514),$AH$2:$AH$1001,0),0), INDEX($AO$1004:$BQ$1004,1,MATCH(COLUMNS($AO$1006:AW1006),$AO$1006:$BQ$1006,0)))),"Fix")))</f>
        <v>#N/A</v>
      </c>
      <c r="K514" s="5" t="e">
        <f ca="1">IF(OR(INDEX($AI$2:$AI$1001,MATCH(ROWS($AH$2:AH514),$AH$2:$AH$1001,0),1)&gt;=100000,INDEX($AO$1005:$BQ$1005,1,MATCH(COLUMNS($AO$1006:AX1006),$AO$1006:$BQ$1006,0))&gt;=100000), " ",IF(INDEX($AO$2:$BQ$1001,MATCH(ROWS($AH$2:AH514),$AH$2:$AH$1001,0),MATCH(COLUMNS($AO$1006:AX1006),$AO$1006:$BQ$1006,0)), HYPERLINK("#",""), HYPERLINK(CONCATENATE("#Metadata!", ADDRESS(INDEX($AJ$2:$AJ$1001,MATCH(ROWS($AH$2:AH514),$AH$2:$AH$1001,0),0), INDEX($AO$1004:$BQ$1004,1,MATCH(COLUMNS($AO$1006:AX1006),$AO$1006:$BQ$1006,0)))),"Fix")))</f>
        <v>#N/A</v>
      </c>
      <c r="L514" s="5" t="e">
        <f ca="1">IF(OR(INDEX($AI$2:$AI$1001,MATCH(ROWS($AH$2:AH514),$AH$2:$AH$1001,0),1)&gt;=100000,INDEX($AO$1005:$BQ$1005,1,MATCH(COLUMNS($AO$1006:AY1006),$AO$1006:$BQ$1006,0))&gt;=100000), " ",IF(INDEX($AO$2:$BQ$1001,MATCH(ROWS($AH$2:AH514),$AH$2:$AH$1001,0),MATCH(COLUMNS($AO$1006:AY1006),$AO$1006:$BQ$1006,0)), HYPERLINK("#",""), HYPERLINK(CONCATENATE("#Metadata!", ADDRESS(INDEX($AJ$2:$AJ$1001,MATCH(ROWS($AH$2:AH514),$AH$2:$AH$1001,0),0), INDEX($AO$1004:$BQ$1004,1,MATCH(COLUMNS($AO$1006:AY1006),$AO$1006:$BQ$1006,0)))),"Fix")))</f>
        <v>#N/A</v>
      </c>
      <c r="M514" s="5" t="e">
        <f ca="1">IF(OR(INDEX($AI$2:$AI$1001,MATCH(ROWS($AH$2:AH514),$AH$2:$AH$1001,0),1)&gt;=100000,INDEX($AO$1005:$BQ$1005,1,MATCH(COLUMNS($AO$1006:AZ1006),$AO$1006:$BQ$1006,0))&gt;=100000), " ",IF(INDEX($AO$2:$BQ$1001,MATCH(ROWS($AH$2:AH514),$AH$2:$AH$1001,0),MATCH(COLUMNS($AO$1006:AZ1006),$AO$1006:$BQ$1006,0)), HYPERLINK("#",""), HYPERLINK(CONCATENATE("#Metadata!", ADDRESS(INDEX($AJ$2:$AJ$1001,MATCH(ROWS($AH$2:AH514),$AH$2:$AH$1001,0),0), INDEX($AO$1004:$BQ$1004,1,MATCH(COLUMNS($AO$1006:AZ1006),$AO$1006:$BQ$1006,0)))),"Fix")))</f>
        <v>#N/A</v>
      </c>
      <c r="N514" s="5" t="e">
        <f ca="1">IF(OR(INDEX($AI$2:$AI$1001,MATCH(ROWS($AH$2:AH514),$AH$2:$AH$1001,0),1)&gt;=100000,INDEX($AO$1005:$BQ$1005,1,MATCH(COLUMNS($AO$1006:BA1006),$AO$1006:$BQ$1006,0))&gt;=100000), " ",IF(INDEX($AO$2:$BQ$1001,MATCH(ROWS($AH$2:AH514),$AH$2:$AH$1001,0),MATCH(COLUMNS($AO$1006:BA1006),$AO$1006:$BQ$1006,0)), HYPERLINK("#",""), HYPERLINK(CONCATENATE("#Metadata!", ADDRESS(INDEX($AJ$2:$AJ$1001,MATCH(ROWS($AH$2:AH514),$AH$2:$AH$1001,0),0), INDEX($AO$1004:$BQ$1004,1,MATCH(COLUMNS($AO$1006:BA1006),$AO$1006:$BQ$1006,0)))),"Fix")))</f>
        <v>#N/A</v>
      </c>
      <c r="O514" s="5" t="e">
        <f ca="1">IF(OR(INDEX($AI$2:$AI$1001,MATCH(ROWS($AH$2:AH514),$AH$2:$AH$1001,0),1)&gt;=100000,INDEX($AO$1005:$BQ$1005,1,MATCH(COLUMNS($AO$1006:BB1006),$AO$1006:$BQ$1006,0))&gt;=100000), " ",IF(INDEX($AO$2:$BQ$1001,MATCH(ROWS($AH$2:AH514),$AH$2:$AH$1001,0),MATCH(COLUMNS($AO$1006:BB1006),$AO$1006:$BQ$1006,0)), HYPERLINK("#",""), HYPERLINK(CONCATENATE("#Metadata!", ADDRESS(INDEX($AJ$2:$AJ$1001,MATCH(ROWS($AH$2:AH514),$AH$2:$AH$1001,0),0), INDEX($AO$1004:$BQ$1004,1,MATCH(COLUMNS($AO$1006:BB1006),$AO$1006:$BQ$1006,0)))),"Fix")))</f>
        <v>#N/A</v>
      </c>
      <c r="P514" s="5" t="e">
        <f ca="1">IF(OR(INDEX($AI$2:$AI$1001,MATCH(ROWS($AH$2:AH514),$AH$2:$AH$1001,0),1)&gt;=100000,INDEX($AO$1005:$BQ$1005,1,MATCH(COLUMNS($AO$1006:BC1006),$AO$1006:$BQ$1006,0))&gt;=100000), " ",IF(INDEX($AO$2:$BQ$1001,MATCH(ROWS($AH$2:AH514),$AH$2:$AH$1001,0),MATCH(COLUMNS($AO$1006:BC1006),$AO$1006:$BQ$1006,0)), HYPERLINK("#",""), HYPERLINK(CONCATENATE("#Metadata!", ADDRESS(INDEX($AJ$2:$AJ$1001,MATCH(ROWS($AH$2:AH514),$AH$2:$AH$1001,0),0), INDEX($AO$1004:$BQ$1004,1,MATCH(COLUMNS($AO$1006:BC1006),$AO$1006:$BQ$1006,0)))),"Fix")))</f>
        <v>#N/A</v>
      </c>
      <c r="Q514" s="5" t="e">
        <f ca="1">IF(OR(INDEX($AI$2:$AI$1001,MATCH(ROWS($AH$2:AH514),$AH$2:$AH$1001,0),1)&gt;=100000,INDEX($AO$1005:$BQ$1005,1,MATCH(COLUMNS($AO$1006:BD1006),$AO$1006:$BQ$1006,0))&gt;=100000), " ",IF(INDEX($AO$2:$BQ$1001,MATCH(ROWS($AH$2:AH514),$AH$2:$AH$1001,0),MATCH(COLUMNS($AO$1006:BD1006),$AO$1006:$BQ$1006,0)), HYPERLINK("#",""), HYPERLINK(CONCATENATE("#Metadata!", ADDRESS(INDEX($AJ$2:$AJ$1001,MATCH(ROWS($AH$2:AH514),$AH$2:$AH$1001,0),0), INDEX($AO$1004:$BQ$1004,1,MATCH(COLUMNS($AO$1006:BD1006),$AO$1006:$BQ$1006,0)))),"Fix")))</f>
        <v>#N/A</v>
      </c>
      <c r="R514" s="5" t="e">
        <f ca="1">IF(OR(INDEX($AI$2:$AI$1001,MATCH(ROWS($AH$2:AH514),$AH$2:$AH$1001,0),1)&gt;=100000,INDEX($AO$1005:$BQ$1005,1,MATCH(COLUMNS($AO$1006:BE1006),$AO$1006:$BQ$1006,0))&gt;=100000), " ",IF(INDEX($AO$2:$BQ$1001,MATCH(ROWS($AH$2:AH514),$AH$2:$AH$1001,0),MATCH(COLUMNS($AO$1006:BE1006),$AO$1006:$BQ$1006,0)), HYPERLINK("#",""), HYPERLINK(CONCATENATE("#Metadata!", ADDRESS(INDEX($AJ$2:$AJ$1001,MATCH(ROWS($AH$2:AH514),$AH$2:$AH$1001,0),0), INDEX($AO$1004:$BQ$1004,1,MATCH(COLUMNS($AO$1006:BE1006),$AO$1006:$BQ$1006,0)))),"Fix")))</f>
        <v>#N/A</v>
      </c>
      <c r="S514" s="5" t="e">
        <f ca="1">IF(OR(INDEX($AI$2:$AI$1001,MATCH(ROWS($AH$2:AH514),$AH$2:$AH$1001,0),1)&gt;=100000,INDEX($AO$1005:$BQ$1005,1,MATCH(COLUMNS($AO$1006:BF1006),$AO$1006:$BQ$1006,0))&gt;=100000), " ",IF(INDEX($AO$2:$BQ$1001,MATCH(ROWS($AH$2:AH514),$AH$2:$AH$1001,0),MATCH(COLUMNS($AO$1006:BF1006),$AO$1006:$BQ$1006,0)), HYPERLINK("#",""), HYPERLINK(CONCATENATE("#Metadata!", ADDRESS(INDEX($AJ$2:$AJ$1001,MATCH(ROWS($AH$2:AH514),$AH$2:$AH$1001,0),0), INDEX($AO$1004:$BQ$1004,1,MATCH(COLUMNS($AO$1006:BF1006),$AO$1006:$BQ$1006,0)))),"Fix")))</f>
        <v>#N/A</v>
      </c>
      <c r="T514" s="5" t="e">
        <f ca="1">IF(OR(INDEX($AI$2:$AI$1001,MATCH(ROWS($AH$2:AH514),$AH$2:$AH$1001,0),1)&gt;=100000,INDEX($AO$1005:$BQ$1005,1,MATCH(COLUMNS($AO$1006:BG1006),$AO$1006:$BQ$1006,0))&gt;=100000), " ",IF(INDEX($AO$2:$BQ$1001,MATCH(ROWS($AH$2:AH514),$AH$2:$AH$1001,0),MATCH(COLUMNS($AO$1006:BG1006),$AO$1006:$BQ$1006,0)), HYPERLINK("#",""), HYPERLINK(CONCATENATE("#Metadata!", ADDRESS(INDEX($AJ$2:$AJ$1001,MATCH(ROWS($AH$2:AH514),$AH$2:$AH$1001,0),0), INDEX($AO$1004:$BQ$1004,1,MATCH(COLUMNS($AO$1006:BG1006),$AO$1006:$BQ$1006,0)))),"Fix")))</f>
        <v>#N/A</v>
      </c>
      <c r="U514" s="5" t="e">
        <f ca="1">IF(OR(INDEX($AI$2:$AI$1001,MATCH(ROWS($AH$2:AH514),$AH$2:$AH$1001,0),1)&gt;=100000,INDEX($AO$1005:$BQ$1005,1,MATCH(COLUMNS($AO$1006:BH1006),$AO$1006:$BQ$1006,0))&gt;=100000), " ",IF(INDEX($AO$2:$BQ$1001,MATCH(ROWS($AH$2:AH514),$AH$2:$AH$1001,0),MATCH(COLUMNS($AO$1006:BH1006),$AO$1006:$BQ$1006,0)), HYPERLINK("#",""), HYPERLINK(CONCATENATE("#Metadata!", ADDRESS(INDEX($AJ$2:$AJ$1001,MATCH(ROWS($AH$2:AH514),$AH$2:$AH$1001,0),0), INDEX($AO$1004:$BQ$1004,1,MATCH(COLUMNS($AO$1006:BH1006),$AO$1006:$BQ$1006,0)))),"Fix")))</f>
        <v>#N/A</v>
      </c>
      <c r="V514" s="5" t="e">
        <f ca="1">IF(OR(INDEX($AI$2:$AI$1001,MATCH(ROWS($AH$2:AH514),$AH$2:$AH$1001,0),1)&gt;=100000,INDEX($AO$1005:$BQ$1005,1,MATCH(COLUMNS($AO$1006:BI1006),$AO$1006:$BQ$1006,0))&gt;=100000), " ",IF(INDEX($AO$2:$BQ$1001,MATCH(ROWS($AH$2:AH514),$AH$2:$AH$1001,0),MATCH(COLUMNS($AO$1006:BI1006),$AO$1006:$BQ$1006,0)), HYPERLINK("#",""), HYPERLINK(CONCATENATE("#Metadata!", ADDRESS(INDEX($AJ$2:$AJ$1001,MATCH(ROWS($AH$2:AH514),$AH$2:$AH$1001,0),0), INDEX($AO$1004:$BQ$1004,1,MATCH(COLUMNS($AO$1006:BI1006),$AO$1006:$BQ$1006,0)))),"Fix")))</f>
        <v>#N/A</v>
      </c>
      <c r="W514" s="5" t="e">
        <f ca="1">IF(OR(INDEX($AI$2:$AI$1001,MATCH(ROWS($AH$2:AH514),$AH$2:$AH$1001,0),1)&gt;=100000,INDEX($AO$1005:$BQ$1005,1,MATCH(COLUMNS($AO$1006:BJ1006),$AO$1006:$BQ$1006,0))&gt;=100000), " ",IF(INDEX($AO$2:$BQ$1001,MATCH(ROWS($AH$2:AH514),$AH$2:$AH$1001,0),MATCH(COLUMNS($AO$1006:BJ1006),$AO$1006:$BQ$1006,0)), HYPERLINK("#",""), HYPERLINK(CONCATENATE("#Metadata!", ADDRESS(INDEX($AJ$2:$AJ$1001,MATCH(ROWS($AH$2:AH514),$AH$2:$AH$1001,0),0), INDEX($AO$1004:$BQ$1004,1,MATCH(COLUMNS($AO$1006:BJ1006),$AO$1006:$BQ$1006,0)))),"Fix")))</f>
        <v>#N/A</v>
      </c>
      <c r="X514" s="5" t="e">
        <f ca="1">IF(OR(INDEX($AI$2:$AI$1001,MATCH(ROWS($AH$2:AH514),$AH$2:$AH$1001,0),1)&gt;=100000,INDEX($AO$1005:$BQ$1005,1,MATCH(COLUMNS($AO$1006:BK1006),$AO$1006:$BQ$1006,0))&gt;=100000), " ",IF(INDEX($AO$2:$BQ$1001,MATCH(ROWS($AH$2:AH514),$AH$2:$AH$1001,0),MATCH(COLUMNS($AO$1006:BK1006),$AO$1006:$BQ$1006,0)), HYPERLINK("#",""), HYPERLINK(CONCATENATE("#Metadata!", ADDRESS(INDEX($AJ$2:$AJ$1001,MATCH(ROWS($AH$2:AH514),$AH$2:$AH$1001,0),0), INDEX($AO$1004:$BQ$1004,1,MATCH(COLUMNS($AO$1006:BK1006),$AO$1006:$BQ$1006,0)))),"Fix")))</f>
        <v>#N/A</v>
      </c>
      <c r="Y514" s="5" t="e">
        <f ca="1">IF(OR(INDEX($AI$2:$AI$1001,MATCH(ROWS($AH$2:AH514),$AH$2:$AH$1001,0),1)&gt;=100000,INDEX($AO$1005:$BQ$1005,1,MATCH(COLUMNS($AO$1006:BL1006),$AO$1006:$BQ$1006,0))&gt;=100000), " ",IF(INDEX($AO$2:$BQ$1001,MATCH(ROWS($AH$2:AH514),$AH$2:$AH$1001,0),MATCH(COLUMNS($AO$1006:BL1006),$AO$1006:$BQ$1006,0)), HYPERLINK("#",""), HYPERLINK(CONCATENATE("#Metadata!", ADDRESS(INDEX($AJ$2:$AJ$1001,MATCH(ROWS($AH$2:AH514),$AH$2:$AH$1001,0),0), INDEX($AO$1004:$BQ$1004,1,MATCH(COLUMNS($AO$1006:BL1006),$AO$1006:$BQ$1006,0)))),"Fix")))</f>
        <v>#N/A</v>
      </c>
      <c r="Z514" s="5" t="e">
        <f ca="1">IF(OR(INDEX($AI$2:$AI$1001,MATCH(ROWS($AH$2:AH514),$AH$2:$AH$1001,0),1)&gt;=100000,INDEX($AO$1005:$BQ$1005,1,MATCH(COLUMNS($AO$1006:BM1006),$AO$1006:$BQ$1006,0))&gt;=100000), " ",IF(INDEX($AO$2:$BQ$1001,MATCH(ROWS($AH$2:AH514),$AH$2:$AH$1001,0),MATCH(COLUMNS($AO$1006:BM1006),$AO$1006:$BQ$1006,0)), HYPERLINK("#",""), HYPERLINK(CONCATENATE("#Metadata!", ADDRESS(INDEX($AJ$2:$AJ$1001,MATCH(ROWS($AH$2:AH514),$AH$2:$AH$1001,0),0), INDEX($AO$1004:$BQ$1004,1,MATCH(COLUMNS($AO$1006:BM1006),$AO$1006:$BQ$1006,0)))),"Fix")))</f>
        <v>#N/A</v>
      </c>
      <c r="AA514" s="5" t="e">
        <f ca="1">IF(OR(INDEX($AI$2:$AI$1001,MATCH(ROWS($AH$2:AH514),$AH$2:$AH$1001,0),1)&gt;=100000,INDEX($AO$1005:$BQ$1005,1,MATCH(COLUMNS($AO$1006:BN1006),$AO$1006:$BQ$1006,0))&gt;=100000), " ",IF(INDEX($AO$2:$BQ$1001,MATCH(ROWS($AH$2:AH514),$AH$2:$AH$1001,0),MATCH(COLUMNS($AO$1006:BN1006),$AO$1006:$BQ$1006,0)), HYPERLINK("#",""), HYPERLINK(CONCATENATE("#Metadata!", ADDRESS(INDEX($AJ$2:$AJ$1001,MATCH(ROWS($AH$2:AH514),$AH$2:$AH$1001,0),0), INDEX($AO$1004:$BQ$1004,1,MATCH(COLUMNS($AO$1006:BN1006),$AO$1006:$BQ$1006,0)))),"Fix")))</f>
        <v>#N/A</v>
      </c>
      <c r="AB514" s="5" t="e">
        <f ca="1">IF(OR(INDEX($AI$2:$AI$1001,MATCH(ROWS($AH$2:AH514),$AH$2:$AH$1001,0),1)&gt;=100000,INDEX($AO$1005:$BQ$1005,1,MATCH(COLUMNS($AO$1006:BO1006),$AO$1006:$BQ$1006,0))&gt;=100000), " ",IF(INDEX($AO$2:$BQ$1001,MATCH(ROWS($AH$2:AH514),$AH$2:$AH$1001,0),MATCH(COLUMNS($AO$1006:BO1006),$AO$1006:$BQ$1006,0)), HYPERLINK("#",""), HYPERLINK(CONCATENATE("#Metadata!", ADDRESS(INDEX($AJ$2:$AJ$1001,MATCH(ROWS($AH$2:AH514),$AH$2:$AH$1001,0),0), INDEX($AO$1004:$BQ$1004,1,MATCH(COLUMNS($AO$1006:BO1006),$AO$1006:$BQ$1006,0)))),"Fix")))</f>
        <v>#N/A</v>
      </c>
      <c r="AC514" s="5" t="e">
        <f ca="1">IF(OR(INDEX($AI$2:$AI$1001,MATCH(ROWS($AH$2:AH514),$AH$2:$AH$1001,0),1)&gt;=100000,INDEX($AO$1005:$BQ$1005,1,MATCH(COLUMNS($AO$1006:BP1006),$AO$1006:$BQ$1006,0))&gt;=100000), " ",IF(INDEX($AO$2:$BQ$1001,MATCH(ROWS($AH$2:AH514),$AH$2:$AH$1001,0),MATCH(COLUMNS($AO$1006:BP1006),$AO$1006:$BQ$1006,0)), HYPERLINK("#",""), HYPERLINK(CONCATENATE("#Metadata!", ADDRESS(INDEX($AJ$2:$AJ$1001,MATCH(ROWS($AH$2:AH514),$AH$2:$AH$1001,0),0), INDEX($AO$1004:$BQ$1004,1,MATCH(COLUMNS($AO$1006:BP1006),$AO$1006:$BQ$1006,0)))),"Fix")))</f>
        <v>#N/A</v>
      </c>
      <c r="AD514" s="5" t="e">
        <f ca="1">IF(OR(INDEX($AI$2:$AI$1001,MATCH(ROWS($AH$2:AH514),$AH$2:$AH$1001,0),1)&gt;=100000,INDEX($AO$1005:$BQ$1005,1,MATCH(COLUMNS($AO$1006:BQ1006),$AO$1006:$BQ$1006,0))&gt;=100000), " ",IF(INDEX($AO$2:$BQ$1001,MATCH(ROWS($AH$2:AH514),$AH$2:$AH$1001,0),MATCH(COLUMNS($AO$1006:BQ1006),$AO$1006:$BQ$1006,0)), HYPERLINK("#",""), HYPERLINK(CONCATENATE("#Metadata!", ADDRESS(INDEX($AJ$2:$AJ$1001,MATCH(ROWS($AH$2:AH514),$AH$2:$AH$1001,0),0), INDEX($AO$1004:$BQ$1004,1,MATCH(COLUMNS($AO$1006:BQ1006),$AO$1006:$BQ$1006,0)))),"Fix")))</f>
        <v>#REF!</v>
      </c>
      <c r="AH514">
        <f ca="1"/>
        <v>511</v>
      </c>
      <c r="AI514">
        <v>100514</v>
      </c>
      <c r="AJ514">
        <v>514</v>
      </c>
      <c r="AK514" t="b">
        <f t="shared" ref="AK514:AK577" si="8">IF(AL514,TRUE,AND(AO514:BQ514))</f>
        <v>1</v>
      </c>
      <c r="AL514" t="b">
        <f>COUNTBLANK(Metadata!B514:AD514)=COLUMNS(Metadata!B514:AD514)</f>
        <v>1</v>
      </c>
      <c r="AM514" t="str">
        <v/>
      </c>
      <c r="AO514" t="b">
        <f ca="1">AND(IF(Metadata!B514="",FALSE,TRUE),COUNTIF(Metadata!B:B, Metadata!B514) = 1,NOT(ISERROR(SUMPRODUCT(SEARCH(MID(Metadata!B514,ROW(INDIRECT("1:"&amp;LEN(Metadata!B514))), 1),"0123456789abcdefghijklmnopqrstuvwxyzABCDEFGHIJKLMNOPQRSTUVWXYZ.")))))</f>
        <v>0</v>
      </c>
      <c r="AP514" t="b">
        <f>IF(Metadata!C514="",FALSE,TRUE)</f>
        <v>0</v>
      </c>
      <c r="AQ514" t="b">
        <f>IF(Metadata!D514="",FALSE,TRUE)</f>
        <v>0</v>
      </c>
      <c r="AR514" t="b">
        <f ca="1">OR(AND(IF(Metadata!E514="",FALSE,TRUE),OR(EXACT(Metadata!E514,"not collected"),EXACT(Metadata!E514,"not provided"),EXACT(Metadata!E514,"restricted access"))),AND(IF(Metadata!E514="",FALSE,TRUE),AND(AND(IFERROR(INT(LEFT(Metadata!E514,4))&gt;1900,FALSE),IFERROR(INT(LEFT(Metadata!E514,4))&lt;=YEAR(NOW()),FALSE)), OR(MID(Metadata!E514,5,1)="", AND(AND(MID(Metadata!E514,5,1)="-",IFERROR(INT(MID(Metadata!E514,6,1))&gt;=0,FALSE),IFERROR(INT(MID(Metadata!E514,6,1))&lt;=1,FALSE),NOT(MID(Metadata!E514,7,1)=""),IFERROR(INT(MID(Metadata!E514,6,2))&gt;=1,FALSE),IFERROR(INT(MID(Metadata!E514,6,2))&lt;=12,FALSE)), OR(MID(Metadata!E514,8,1)="", AND(AND(MID(Metadata!E514,8,1)="-",IFERROR(INT(MID(Metadata!E514,9,1))&gt;=0,FALSE),IFERROR(INT(MID(Metadata!E514,9,1))&lt;=3,FALSE),NOT(MID(Metadata!E514,10,1)=""),IFERROR(INT(MID(Metadata!E514,9,2))&gt;=1,FALSE),IFERROR(INT(MID(Metadata!E514,9,2))&lt;=31,FALSE)), OR(MID(Metadata!E514,11,1)="", AND(AND(MID(Metadata!E514,11,1)=" ",IFERROR(INT(MID(Metadata!E514,12,1))&gt;=0,FALSE),IFERROR(INT(MID(Metadata!E514,12,1))&lt;=2,FALSE),NOT(MID(Metadata!E514,13,1)=""),IFERROR(INT(MID(Metadata!E514,12,2))&gt;=0,FALSE),IFERROR(INT(MID(Metadata!E514,12,2))&lt;=23,FALSE)), OR(MID(Metadata!E514,14,1)="", AND(AND(MID(Metadata!E514,14,1)=":",IFERROR(INT(MID(Metadata!E514,15,1))&gt;=0,FALSE),IFERROR(INT(MID(Metadata!E514,15,1))&lt;=5,FALSE),NOT(MID(Metadata!E514,16,1)=""),IFERROR(INT(MID(Metadata!E514,15,2))&gt;=0,FALSE),IFERROR(INT(MID(Metadata!E514,15,2))&lt;=59,FALSE)), OR(MID(Metadata!E514,17,1)="", AND(AND(MID(Metadata!E514,17,1)=":",IFERROR(INT(MID(Metadata!E514,18,1))&gt;=0,FALSE),IFERROR(INT(MID(Metadata!E514,18,1))&lt;=5,FALSE),NOT(MID(Metadata!E514,19,1)=""),IFERROR(INT(MID(Metadata!E514,18,2))&gt;=0,FALSE),IFERROR(INT(MID(Metadata!E514,18,2))&lt;=59,FALSE)), LEN(Metadata!E514)&lt;=19)))))))))))))</f>
        <v>0</v>
      </c>
      <c r="AS514" t="b">
        <f>IF(Metadata!F514="",FALSE,TRUE)</f>
        <v>0</v>
      </c>
      <c r="AT514" t="b">
        <f>OR(AND(IF(Metadata!G514="",FALSE,TRUE),OR(EXACT(Metadata!G514,"not collected"),EXACT(Metadata!G514,"not provided"))),AND(IF(Metadata!G514="",FALSE,TRUE),OR(EXACT(Metadata!G514,"TRUE"),EXACT(Metadata!G514,"FALSE"))))</f>
        <v>0</v>
      </c>
      <c r="AU514" t="b">
        <f>OR(AND(IF(Metadata!H514="",FALSE,TRUE),OR(EXACT(Metadata!H514,"not collected"),EXACT(Metadata!H514,"not provided"),EXACT(Metadata!H514,"restricted access"))),AND(IF(Metadata!H514="",FALSE,ISNUMBER(VALUE(Metadata!H514))),Metadata!H514&gt;=-413))</f>
        <v>0</v>
      </c>
      <c r="AV514" t="b">
        <f>AND(IF(Metadata!I514="",FALSE,TRUE),EXACT(Metadata!I514,"meters"))</f>
        <v>0</v>
      </c>
      <c r="AW514" t="b">
        <f>AND(IF(Metadata!J514="",FALSE,TRUE),EXACT(Metadata!J514,"free-living"))</f>
        <v>0</v>
      </c>
      <c r="AX514" t="b">
        <f>AND(IF(Metadata!K514="",FALSE,TRUE),OR(EXACT(Metadata!K514,"saline"),EXACT(Metadata!K514,"non-saline")))</f>
        <v>0</v>
      </c>
      <c r="AY514" t="b">
        <f>AND(IF(Metadata!L514="",FALSE,TRUE),OR(EXACT(Metadata!L514,"sub-surface (non-saline)"),EXACT(Metadata!L514,"surface (non-saline)"),EXACT(Metadata!L514,"water (non-saline)"),EXACT(Metadata!L514,"soil (non-saline)"),EXACT(Metadata!L514,"aerosol (non-saline)"),EXACT(Metadata!L514,"sediment (non-saline)"),EXACT(Metadata!L514,"surface (saline)"),EXACT(Metadata!L514,"water (saline)"),EXACT(Metadata!L514,"hypersaline (saline)"),EXACT(Metadata!L514,"aerosol (saline)"),EXACT(Metadata!L514,"sediment (saline)")))</f>
        <v>0</v>
      </c>
      <c r="AZ514" t="b">
        <f>IF(Metadata!M514="",FALSE,TRUE)</f>
        <v>0</v>
      </c>
      <c r="BA514" t="b">
        <f>IF(Metadata!N514="",FALSE,TRUE)</f>
        <v>0</v>
      </c>
      <c r="BB514" t="b">
        <f>IF(Metadata!O514="",FALSE,TRUE)</f>
        <v>0</v>
      </c>
      <c r="BC514" t="b">
        <f>AND(IF(Metadata!P514="",FALSE,TRUE),OR(EXACT(Metadata!P514,"air"),EXACT(Metadata!P514,"microbial mat/biofilm"),EXACT(Metadata!P514,"misc environment"),EXACT(Metadata!P514,"sediment"),EXACT(Metadata!P514,"soil"),EXACT(Metadata!P514,"wastewater/sludge"),EXACT(Metadata!P514,"water")))</f>
        <v>0</v>
      </c>
      <c r="BD514" t="b">
        <f>IF(Metadata!Q514="",FALSE,TRUE)</f>
        <v>0</v>
      </c>
      <c r="BE514" t="b">
        <f>IF(Metadata!R514="",FALSE,TRUE)</f>
        <v>0</v>
      </c>
      <c r="BF514" t="b">
        <f>OR(AND(IF(Metadata!S514="",FALSE,TRUE),OR(EXACT(Metadata!S514,"not collected"),EXACT(Metadata!S514,"not provided"),EXACT(Metadata!S514,"restricted access"))),AND(IF(Metadata!S514="",FALSE,ISNUMBER(VALUE(Metadata!S514))),Metadata!S514&gt;=-90,Metadata!S514&lt;=90))</f>
        <v>0</v>
      </c>
      <c r="BG514" t="b">
        <f>AND(IF(Metadata!T514="",FALSE,TRUE),EXACT(Metadata!T514,"Decimal degrees"))</f>
        <v>0</v>
      </c>
      <c r="BH514" t="b">
        <f>OR(AND(IF(Metadata!U514="",FALSE,TRUE),OR(EXACT(Metadata!U514,"not applicable"),EXACT(Metadata!U514,"not collected"))),IF(Metadata!U514="",FALSE,TRUE))</f>
        <v>0</v>
      </c>
      <c r="BI514" t="b">
        <f>OR(AND(IF(Metadata!V514="",FALSE,TRUE),OR(EXACT(Metadata!V514,"not collected"),EXACT(Metadata!V514,"not provided"),EXACT(Metadata!V514,"restricted access"))),AND(IF(Metadata!V514="",FALSE,ISNUMBER(VALUE(Metadata!V514))),Metadata!V514&gt;=-180,Metadata!V514&lt;=180))</f>
        <v>0</v>
      </c>
      <c r="BJ514" t="b">
        <f>AND(IF(Metadata!W514="",FALSE,TRUE),EXACT(Metadata!W514,"Decimal degrees"))</f>
        <v>0</v>
      </c>
      <c r="BK514" t="b">
        <f>IF(Metadata!X514="",FALSE,TRUE)</f>
        <v>0</v>
      </c>
      <c r="BL514" t="b">
        <f>OR(AND(IF(Metadata!Y514="",FALSE,TRUE),OR(EXACT(Metadata!Y514,"not collected"),EXACT(Metadata!Y514,"not provided"),EXACT(Metadata!Y514,"restricted access"))),AND(IF(Metadata!Y514="",FALSE,TRUE),OR(EXACT(Metadata!Y514,"TRUE"),EXACT(Metadata!Y514,"FALSE"))))</f>
        <v>0</v>
      </c>
      <c r="BM514" t="b">
        <f>OR(AND(IF(Metadata!Z514="",FALSE,TRUE),EXACT(Metadata!Z514,"not applicable")),AND(IF(Metadata!Z514="",FALSE,TRUE),OR(EXACT(Metadata!Z514,"beer"),EXACT(Metadata!Z514,"cheese"),EXACT(Metadata!Z514,"fresh water"),EXACT(Metadata!Z514,"marine sediment"),EXACT(Metadata!Z514,"sea water"),EXACT(Metadata!Z514,"sediment"),EXACT(Metadata!Z514,"soil"),EXACT(Metadata!Z514,"waste water"))))</f>
        <v>0</v>
      </c>
      <c r="BN514" t="b">
        <f>AND(IF(Metadata!AA514="",FALSE,TRUE),EXACT(Metadata!AA514,"metagenome"))</f>
        <v>0</v>
      </c>
      <c r="BO514" t="b">
        <f>AND(IF(Metadata!AB514="",FALSE,TRUE),EXACT(Metadata!AB514,"256318"))</f>
        <v>0</v>
      </c>
      <c r="BP514" t="b">
        <f>IF(Metadata!AC514="",FALSE,TRUE)</f>
        <v>0</v>
      </c>
      <c r="BQ514" t="b">
        <f>IF(Metadata!AD514="",FALSE,TRUE)</f>
        <v>0</v>
      </c>
    </row>
    <row r="515" spans="1:69" x14ac:dyDescent="0.2">
      <c r="A515" s="4" t="e">
        <f ca="1">IF(B515=" "," ",HYPERLINK(CONCATENATE("#metadata!",ADDRESS(INDEX($AJ$2:$AJ$1001,MATCH(ROWS($AH$2:AH515),$AH$2:$AH$1001,0),0),2)),INDEX($AM$2:$AM$1001,MATCH(ROWS($AH$2:AH515),$AH$2:$AH$1001,0),0)))</f>
        <v>#N/A</v>
      </c>
      <c r="B515" s="5" t="e">
        <f ca="1">IF(OR(INDEX($AI$2:$AI$1001,MATCH(ROWS($AH$2:AH515),$AH$2:$AH$1001,0),1)&gt;=100000,INDEX($AO$1005:$BQ$1005,1,MATCH(COLUMNS($AO$1006:AO1006),$AO$1006:$BQ$1006,0))&gt;=100000), " ",IF(INDEX($AO$2:$BQ$1001,MATCH(ROWS($AH$2:AH515),$AH$2:$AH$1001,0),MATCH(COLUMNS($AO$1006:AO1006),$AO$1006:$BQ$1006,0)), HYPERLINK("#",""), HYPERLINK(CONCATENATE("#Metadata!", ADDRESS(INDEX($AJ$2:$AJ$1001,MATCH(ROWS($AH$2:AH515),$AH$2:$AH$1001,0),0), INDEX($AO$1004:$BQ$1004,1,MATCH(COLUMNS($AO$1006:AO1006),$AO$1006:$BQ$1006,0)))),"Fix")))</f>
        <v>#N/A</v>
      </c>
      <c r="C515" s="5" t="e">
        <f ca="1">IF(OR(INDEX($AI$2:$AI$1001,MATCH(ROWS($AH$2:AH515),$AH$2:$AH$1001,0),1)&gt;=100000,INDEX($AO$1005:$BQ$1005,1,MATCH(COLUMNS($AO$1006:AP1006),$AO$1006:$BQ$1006,0))&gt;=100000), " ",IF(INDEX($AO$2:$BQ$1001,MATCH(ROWS($AH$2:AH515),$AH$2:$AH$1001,0),MATCH(COLUMNS($AO$1006:AP1006),$AO$1006:$BQ$1006,0)), HYPERLINK("#",""), HYPERLINK(CONCATENATE("#Metadata!", ADDRESS(INDEX($AJ$2:$AJ$1001,MATCH(ROWS($AH$2:AH515),$AH$2:$AH$1001,0),0), INDEX($AO$1004:$BQ$1004,1,MATCH(COLUMNS($AO$1006:AP1006),$AO$1006:$BQ$1006,0)))),"Fix")))</f>
        <v>#N/A</v>
      </c>
      <c r="D515" s="5" t="e">
        <f ca="1">IF(OR(INDEX($AI$2:$AI$1001,MATCH(ROWS($AH$2:AH515),$AH$2:$AH$1001,0),1)&gt;=100000,INDEX($AO$1005:$BQ$1005,1,MATCH(COLUMNS($AO$1006:AQ1006),$AO$1006:$BQ$1006,0))&gt;=100000), " ",IF(INDEX($AO$2:$BQ$1001,MATCH(ROWS($AH$2:AH515),$AH$2:$AH$1001,0),MATCH(COLUMNS($AO$1006:AQ1006),$AO$1006:$BQ$1006,0)), HYPERLINK("#",""), HYPERLINK(CONCATENATE("#Metadata!", ADDRESS(INDEX($AJ$2:$AJ$1001,MATCH(ROWS($AH$2:AH515),$AH$2:$AH$1001,0),0), INDEX($AO$1004:$BQ$1004,1,MATCH(COLUMNS($AO$1006:AQ1006),$AO$1006:$BQ$1006,0)))),"Fix")))</f>
        <v>#N/A</v>
      </c>
      <c r="E515" s="5" t="e">
        <f ca="1">IF(OR(INDEX($AI$2:$AI$1001,MATCH(ROWS($AH$2:AH515),$AH$2:$AH$1001,0),1)&gt;=100000,INDEX($AO$1005:$BQ$1005,1,MATCH(COLUMNS($AO$1006:AR1006),$AO$1006:$BQ$1006,0))&gt;=100000), " ",IF(INDEX($AO$2:$BQ$1001,MATCH(ROWS($AH$2:AH515),$AH$2:$AH$1001,0),MATCH(COLUMNS($AO$1006:AR1006),$AO$1006:$BQ$1006,0)), HYPERLINK("#",""), HYPERLINK(CONCATENATE("#Metadata!", ADDRESS(INDEX($AJ$2:$AJ$1001,MATCH(ROWS($AH$2:AH515),$AH$2:$AH$1001,0),0), INDEX($AO$1004:$BQ$1004,1,MATCH(COLUMNS($AO$1006:AR1006),$AO$1006:$BQ$1006,0)))),"Fix")))</f>
        <v>#N/A</v>
      </c>
      <c r="F515" s="5" t="e">
        <f ca="1">IF(OR(INDEX($AI$2:$AI$1001,MATCH(ROWS($AH$2:AH515),$AH$2:$AH$1001,0),1)&gt;=100000,INDEX($AO$1005:$BQ$1005,1,MATCH(COLUMNS($AO$1006:AS1006),$AO$1006:$BQ$1006,0))&gt;=100000), " ",IF(INDEX($AO$2:$BQ$1001,MATCH(ROWS($AH$2:AH515),$AH$2:$AH$1001,0),MATCH(COLUMNS($AO$1006:AS1006),$AO$1006:$BQ$1006,0)), HYPERLINK("#",""), HYPERLINK(CONCATENATE("#Metadata!", ADDRESS(INDEX($AJ$2:$AJ$1001,MATCH(ROWS($AH$2:AH515),$AH$2:$AH$1001,0),0), INDEX($AO$1004:$BQ$1004,1,MATCH(COLUMNS($AO$1006:AS1006),$AO$1006:$BQ$1006,0)))),"Fix")))</f>
        <v>#N/A</v>
      </c>
      <c r="G515" s="5" t="e">
        <f ca="1">IF(OR(INDEX($AI$2:$AI$1001,MATCH(ROWS($AH$2:AH515),$AH$2:$AH$1001,0),1)&gt;=100000,INDEX($AO$1005:$BQ$1005,1,MATCH(COLUMNS($AO$1006:AT1006),$AO$1006:$BQ$1006,0))&gt;=100000), " ",IF(INDEX($AO$2:$BQ$1001,MATCH(ROWS($AH$2:AH515),$AH$2:$AH$1001,0),MATCH(COLUMNS($AO$1006:AT1006),$AO$1006:$BQ$1006,0)), HYPERLINK("#",""), HYPERLINK(CONCATENATE("#Metadata!", ADDRESS(INDEX($AJ$2:$AJ$1001,MATCH(ROWS($AH$2:AH515),$AH$2:$AH$1001,0),0), INDEX($AO$1004:$BQ$1004,1,MATCH(COLUMNS($AO$1006:AT1006),$AO$1006:$BQ$1006,0)))),"Fix")))</f>
        <v>#N/A</v>
      </c>
      <c r="H515" s="5" t="e">
        <f ca="1">IF(OR(INDEX($AI$2:$AI$1001,MATCH(ROWS($AH$2:AH515),$AH$2:$AH$1001,0),1)&gt;=100000,INDEX($AO$1005:$BQ$1005,1,MATCH(COLUMNS($AO$1006:AU1006),$AO$1006:$BQ$1006,0))&gt;=100000), " ",IF(INDEX($AO$2:$BQ$1001,MATCH(ROWS($AH$2:AH515),$AH$2:$AH$1001,0),MATCH(COLUMNS($AO$1006:AU1006),$AO$1006:$BQ$1006,0)), HYPERLINK("#",""), HYPERLINK(CONCATENATE("#Metadata!", ADDRESS(INDEX($AJ$2:$AJ$1001,MATCH(ROWS($AH$2:AH515),$AH$2:$AH$1001,0),0), INDEX($AO$1004:$BQ$1004,1,MATCH(COLUMNS($AO$1006:AU1006),$AO$1006:$BQ$1006,0)))),"Fix")))</f>
        <v>#N/A</v>
      </c>
      <c r="I515" s="5" t="e">
        <f ca="1">IF(OR(INDEX($AI$2:$AI$1001,MATCH(ROWS($AH$2:AH515),$AH$2:$AH$1001,0),1)&gt;=100000,INDEX($AO$1005:$BQ$1005,1,MATCH(COLUMNS($AO$1006:AV1006),$AO$1006:$BQ$1006,0))&gt;=100000), " ",IF(INDEX($AO$2:$BQ$1001,MATCH(ROWS($AH$2:AH515),$AH$2:$AH$1001,0),MATCH(COLUMNS($AO$1006:AV1006),$AO$1006:$BQ$1006,0)), HYPERLINK("#",""), HYPERLINK(CONCATENATE("#Metadata!", ADDRESS(INDEX($AJ$2:$AJ$1001,MATCH(ROWS($AH$2:AH515),$AH$2:$AH$1001,0),0), INDEX($AO$1004:$BQ$1004,1,MATCH(COLUMNS($AO$1006:AV1006),$AO$1006:$BQ$1006,0)))),"Fix")))</f>
        <v>#N/A</v>
      </c>
      <c r="J515" s="5" t="e">
        <f ca="1">IF(OR(INDEX($AI$2:$AI$1001,MATCH(ROWS($AH$2:AH515),$AH$2:$AH$1001,0),1)&gt;=100000,INDEX($AO$1005:$BQ$1005,1,MATCH(COLUMNS($AO$1006:AW1006),$AO$1006:$BQ$1006,0))&gt;=100000), " ",IF(INDEX($AO$2:$BQ$1001,MATCH(ROWS($AH$2:AH515),$AH$2:$AH$1001,0),MATCH(COLUMNS($AO$1006:AW1006),$AO$1006:$BQ$1006,0)), HYPERLINK("#",""), HYPERLINK(CONCATENATE("#Metadata!", ADDRESS(INDEX($AJ$2:$AJ$1001,MATCH(ROWS($AH$2:AH515),$AH$2:$AH$1001,0),0), INDEX($AO$1004:$BQ$1004,1,MATCH(COLUMNS($AO$1006:AW1006),$AO$1006:$BQ$1006,0)))),"Fix")))</f>
        <v>#N/A</v>
      </c>
      <c r="K515" s="5" t="e">
        <f ca="1">IF(OR(INDEX($AI$2:$AI$1001,MATCH(ROWS($AH$2:AH515),$AH$2:$AH$1001,0),1)&gt;=100000,INDEX($AO$1005:$BQ$1005,1,MATCH(COLUMNS($AO$1006:AX1006),$AO$1006:$BQ$1006,0))&gt;=100000), " ",IF(INDEX($AO$2:$BQ$1001,MATCH(ROWS($AH$2:AH515),$AH$2:$AH$1001,0),MATCH(COLUMNS($AO$1006:AX1006),$AO$1006:$BQ$1006,0)), HYPERLINK("#",""), HYPERLINK(CONCATENATE("#Metadata!", ADDRESS(INDEX($AJ$2:$AJ$1001,MATCH(ROWS($AH$2:AH515),$AH$2:$AH$1001,0),0), INDEX($AO$1004:$BQ$1004,1,MATCH(COLUMNS($AO$1006:AX1006),$AO$1006:$BQ$1006,0)))),"Fix")))</f>
        <v>#N/A</v>
      </c>
      <c r="L515" s="5" t="e">
        <f ca="1">IF(OR(INDEX($AI$2:$AI$1001,MATCH(ROWS($AH$2:AH515),$AH$2:$AH$1001,0),1)&gt;=100000,INDEX($AO$1005:$BQ$1005,1,MATCH(COLUMNS($AO$1006:AY1006),$AO$1006:$BQ$1006,0))&gt;=100000), " ",IF(INDEX($AO$2:$BQ$1001,MATCH(ROWS($AH$2:AH515),$AH$2:$AH$1001,0),MATCH(COLUMNS($AO$1006:AY1006),$AO$1006:$BQ$1006,0)), HYPERLINK("#",""), HYPERLINK(CONCATENATE("#Metadata!", ADDRESS(INDEX($AJ$2:$AJ$1001,MATCH(ROWS($AH$2:AH515),$AH$2:$AH$1001,0),0), INDEX($AO$1004:$BQ$1004,1,MATCH(COLUMNS($AO$1006:AY1006),$AO$1006:$BQ$1006,0)))),"Fix")))</f>
        <v>#N/A</v>
      </c>
      <c r="M515" s="5" t="e">
        <f ca="1">IF(OR(INDEX($AI$2:$AI$1001,MATCH(ROWS($AH$2:AH515),$AH$2:$AH$1001,0),1)&gt;=100000,INDEX($AO$1005:$BQ$1005,1,MATCH(COLUMNS($AO$1006:AZ1006),$AO$1006:$BQ$1006,0))&gt;=100000), " ",IF(INDEX($AO$2:$BQ$1001,MATCH(ROWS($AH$2:AH515),$AH$2:$AH$1001,0),MATCH(COLUMNS($AO$1006:AZ1006),$AO$1006:$BQ$1006,0)), HYPERLINK("#",""), HYPERLINK(CONCATENATE("#Metadata!", ADDRESS(INDEX($AJ$2:$AJ$1001,MATCH(ROWS($AH$2:AH515),$AH$2:$AH$1001,0),0), INDEX($AO$1004:$BQ$1004,1,MATCH(COLUMNS($AO$1006:AZ1006),$AO$1006:$BQ$1006,0)))),"Fix")))</f>
        <v>#N/A</v>
      </c>
      <c r="N515" s="5" t="e">
        <f ca="1">IF(OR(INDEX($AI$2:$AI$1001,MATCH(ROWS($AH$2:AH515),$AH$2:$AH$1001,0),1)&gt;=100000,INDEX($AO$1005:$BQ$1005,1,MATCH(COLUMNS($AO$1006:BA1006),$AO$1006:$BQ$1006,0))&gt;=100000), " ",IF(INDEX($AO$2:$BQ$1001,MATCH(ROWS($AH$2:AH515),$AH$2:$AH$1001,0),MATCH(COLUMNS($AO$1006:BA1006),$AO$1006:$BQ$1006,0)), HYPERLINK("#",""), HYPERLINK(CONCATENATE("#Metadata!", ADDRESS(INDEX($AJ$2:$AJ$1001,MATCH(ROWS($AH$2:AH515),$AH$2:$AH$1001,0),0), INDEX($AO$1004:$BQ$1004,1,MATCH(COLUMNS($AO$1006:BA1006),$AO$1006:$BQ$1006,0)))),"Fix")))</f>
        <v>#N/A</v>
      </c>
      <c r="O515" s="5" t="e">
        <f ca="1">IF(OR(INDEX($AI$2:$AI$1001,MATCH(ROWS($AH$2:AH515),$AH$2:$AH$1001,0),1)&gt;=100000,INDEX($AO$1005:$BQ$1005,1,MATCH(COLUMNS($AO$1006:BB1006),$AO$1006:$BQ$1006,0))&gt;=100000), " ",IF(INDEX($AO$2:$BQ$1001,MATCH(ROWS($AH$2:AH515),$AH$2:$AH$1001,0),MATCH(COLUMNS($AO$1006:BB1006),$AO$1006:$BQ$1006,0)), HYPERLINK("#",""), HYPERLINK(CONCATENATE("#Metadata!", ADDRESS(INDEX($AJ$2:$AJ$1001,MATCH(ROWS($AH$2:AH515),$AH$2:$AH$1001,0),0), INDEX($AO$1004:$BQ$1004,1,MATCH(COLUMNS($AO$1006:BB1006),$AO$1006:$BQ$1006,0)))),"Fix")))</f>
        <v>#N/A</v>
      </c>
      <c r="P515" s="5" t="e">
        <f ca="1">IF(OR(INDEX($AI$2:$AI$1001,MATCH(ROWS($AH$2:AH515),$AH$2:$AH$1001,0),1)&gt;=100000,INDEX($AO$1005:$BQ$1005,1,MATCH(COLUMNS($AO$1006:BC1006),$AO$1006:$BQ$1006,0))&gt;=100000), " ",IF(INDEX($AO$2:$BQ$1001,MATCH(ROWS($AH$2:AH515),$AH$2:$AH$1001,0),MATCH(COLUMNS($AO$1006:BC1006),$AO$1006:$BQ$1006,0)), HYPERLINK("#",""), HYPERLINK(CONCATENATE("#Metadata!", ADDRESS(INDEX($AJ$2:$AJ$1001,MATCH(ROWS($AH$2:AH515),$AH$2:$AH$1001,0),0), INDEX($AO$1004:$BQ$1004,1,MATCH(COLUMNS($AO$1006:BC1006),$AO$1006:$BQ$1006,0)))),"Fix")))</f>
        <v>#N/A</v>
      </c>
      <c r="Q515" s="5" t="e">
        <f ca="1">IF(OR(INDEX($AI$2:$AI$1001,MATCH(ROWS($AH$2:AH515),$AH$2:$AH$1001,0),1)&gt;=100000,INDEX($AO$1005:$BQ$1005,1,MATCH(COLUMNS($AO$1006:BD1006),$AO$1006:$BQ$1006,0))&gt;=100000), " ",IF(INDEX($AO$2:$BQ$1001,MATCH(ROWS($AH$2:AH515),$AH$2:$AH$1001,0),MATCH(COLUMNS($AO$1006:BD1006),$AO$1006:$BQ$1006,0)), HYPERLINK("#",""), HYPERLINK(CONCATENATE("#Metadata!", ADDRESS(INDEX($AJ$2:$AJ$1001,MATCH(ROWS($AH$2:AH515),$AH$2:$AH$1001,0),0), INDEX($AO$1004:$BQ$1004,1,MATCH(COLUMNS($AO$1006:BD1006),$AO$1006:$BQ$1006,0)))),"Fix")))</f>
        <v>#N/A</v>
      </c>
      <c r="R515" s="5" t="e">
        <f ca="1">IF(OR(INDEX($AI$2:$AI$1001,MATCH(ROWS($AH$2:AH515),$AH$2:$AH$1001,0),1)&gt;=100000,INDEX($AO$1005:$BQ$1005,1,MATCH(COLUMNS($AO$1006:BE1006),$AO$1006:$BQ$1006,0))&gt;=100000), " ",IF(INDEX($AO$2:$BQ$1001,MATCH(ROWS($AH$2:AH515),$AH$2:$AH$1001,0),MATCH(COLUMNS($AO$1006:BE1006),$AO$1006:$BQ$1006,0)), HYPERLINK("#",""), HYPERLINK(CONCATENATE("#Metadata!", ADDRESS(INDEX($AJ$2:$AJ$1001,MATCH(ROWS($AH$2:AH515),$AH$2:$AH$1001,0),0), INDEX($AO$1004:$BQ$1004,1,MATCH(COLUMNS($AO$1006:BE1006),$AO$1006:$BQ$1006,0)))),"Fix")))</f>
        <v>#N/A</v>
      </c>
      <c r="S515" s="5" t="e">
        <f ca="1">IF(OR(INDEX($AI$2:$AI$1001,MATCH(ROWS($AH$2:AH515),$AH$2:$AH$1001,0),1)&gt;=100000,INDEX($AO$1005:$BQ$1005,1,MATCH(COLUMNS($AO$1006:BF1006),$AO$1006:$BQ$1006,0))&gt;=100000), " ",IF(INDEX($AO$2:$BQ$1001,MATCH(ROWS($AH$2:AH515),$AH$2:$AH$1001,0),MATCH(COLUMNS($AO$1006:BF1006),$AO$1006:$BQ$1006,0)), HYPERLINK("#",""), HYPERLINK(CONCATENATE("#Metadata!", ADDRESS(INDEX($AJ$2:$AJ$1001,MATCH(ROWS($AH$2:AH515),$AH$2:$AH$1001,0),0), INDEX($AO$1004:$BQ$1004,1,MATCH(COLUMNS($AO$1006:BF1006),$AO$1006:$BQ$1006,0)))),"Fix")))</f>
        <v>#N/A</v>
      </c>
      <c r="T515" s="5" t="e">
        <f ca="1">IF(OR(INDEX($AI$2:$AI$1001,MATCH(ROWS($AH$2:AH515),$AH$2:$AH$1001,0),1)&gt;=100000,INDEX($AO$1005:$BQ$1005,1,MATCH(COLUMNS($AO$1006:BG1006),$AO$1006:$BQ$1006,0))&gt;=100000), " ",IF(INDEX($AO$2:$BQ$1001,MATCH(ROWS($AH$2:AH515),$AH$2:$AH$1001,0),MATCH(COLUMNS($AO$1006:BG1006),$AO$1006:$BQ$1006,0)), HYPERLINK("#",""), HYPERLINK(CONCATENATE("#Metadata!", ADDRESS(INDEX($AJ$2:$AJ$1001,MATCH(ROWS($AH$2:AH515),$AH$2:$AH$1001,0),0), INDEX($AO$1004:$BQ$1004,1,MATCH(COLUMNS($AO$1006:BG1006),$AO$1006:$BQ$1006,0)))),"Fix")))</f>
        <v>#N/A</v>
      </c>
      <c r="U515" s="5" t="e">
        <f ca="1">IF(OR(INDEX($AI$2:$AI$1001,MATCH(ROWS($AH$2:AH515),$AH$2:$AH$1001,0),1)&gt;=100000,INDEX($AO$1005:$BQ$1005,1,MATCH(COLUMNS($AO$1006:BH1006),$AO$1006:$BQ$1006,0))&gt;=100000), " ",IF(INDEX($AO$2:$BQ$1001,MATCH(ROWS($AH$2:AH515),$AH$2:$AH$1001,0),MATCH(COLUMNS($AO$1006:BH1006),$AO$1006:$BQ$1006,0)), HYPERLINK("#",""), HYPERLINK(CONCATENATE("#Metadata!", ADDRESS(INDEX($AJ$2:$AJ$1001,MATCH(ROWS($AH$2:AH515),$AH$2:$AH$1001,0),0), INDEX($AO$1004:$BQ$1004,1,MATCH(COLUMNS($AO$1006:BH1006),$AO$1006:$BQ$1006,0)))),"Fix")))</f>
        <v>#N/A</v>
      </c>
      <c r="V515" s="5" t="e">
        <f ca="1">IF(OR(INDEX($AI$2:$AI$1001,MATCH(ROWS($AH$2:AH515),$AH$2:$AH$1001,0),1)&gt;=100000,INDEX($AO$1005:$BQ$1005,1,MATCH(COLUMNS($AO$1006:BI1006),$AO$1006:$BQ$1006,0))&gt;=100000), " ",IF(INDEX($AO$2:$BQ$1001,MATCH(ROWS($AH$2:AH515),$AH$2:$AH$1001,0),MATCH(COLUMNS($AO$1006:BI1006),$AO$1006:$BQ$1006,0)), HYPERLINK("#",""), HYPERLINK(CONCATENATE("#Metadata!", ADDRESS(INDEX($AJ$2:$AJ$1001,MATCH(ROWS($AH$2:AH515),$AH$2:$AH$1001,0),0), INDEX($AO$1004:$BQ$1004,1,MATCH(COLUMNS($AO$1006:BI1006),$AO$1006:$BQ$1006,0)))),"Fix")))</f>
        <v>#N/A</v>
      </c>
      <c r="W515" s="5" t="e">
        <f ca="1">IF(OR(INDEX($AI$2:$AI$1001,MATCH(ROWS($AH$2:AH515),$AH$2:$AH$1001,0),1)&gt;=100000,INDEX($AO$1005:$BQ$1005,1,MATCH(COLUMNS($AO$1006:BJ1006),$AO$1006:$BQ$1006,0))&gt;=100000), " ",IF(INDEX($AO$2:$BQ$1001,MATCH(ROWS($AH$2:AH515),$AH$2:$AH$1001,0),MATCH(COLUMNS($AO$1006:BJ1006),$AO$1006:$BQ$1006,0)), HYPERLINK("#",""), HYPERLINK(CONCATENATE("#Metadata!", ADDRESS(INDEX($AJ$2:$AJ$1001,MATCH(ROWS($AH$2:AH515),$AH$2:$AH$1001,0),0), INDEX($AO$1004:$BQ$1004,1,MATCH(COLUMNS($AO$1006:BJ1006),$AO$1006:$BQ$1006,0)))),"Fix")))</f>
        <v>#N/A</v>
      </c>
      <c r="X515" s="5" t="e">
        <f ca="1">IF(OR(INDEX($AI$2:$AI$1001,MATCH(ROWS($AH$2:AH515),$AH$2:$AH$1001,0),1)&gt;=100000,INDEX($AO$1005:$BQ$1005,1,MATCH(COLUMNS($AO$1006:BK1006),$AO$1006:$BQ$1006,0))&gt;=100000), " ",IF(INDEX($AO$2:$BQ$1001,MATCH(ROWS($AH$2:AH515),$AH$2:$AH$1001,0),MATCH(COLUMNS($AO$1006:BK1006),$AO$1006:$BQ$1006,0)), HYPERLINK("#",""), HYPERLINK(CONCATENATE("#Metadata!", ADDRESS(INDEX($AJ$2:$AJ$1001,MATCH(ROWS($AH$2:AH515),$AH$2:$AH$1001,0),0), INDEX($AO$1004:$BQ$1004,1,MATCH(COLUMNS($AO$1006:BK1006),$AO$1006:$BQ$1006,0)))),"Fix")))</f>
        <v>#N/A</v>
      </c>
      <c r="Y515" s="5" t="e">
        <f ca="1">IF(OR(INDEX($AI$2:$AI$1001,MATCH(ROWS($AH$2:AH515),$AH$2:$AH$1001,0),1)&gt;=100000,INDEX($AO$1005:$BQ$1005,1,MATCH(COLUMNS($AO$1006:BL1006),$AO$1006:$BQ$1006,0))&gt;=100000), " ",IF(INDEX($AO$2:$BQ$1001,MATCH(ROWS($AH$2:AH515),$AH$2:$AH$1001,0),MATCH(COLUMNS($AO$1006:BL1006),$AO$1006:$BQ$1006,0)), HYPERLINK("#",""), HYPERLINK(CONCATENATE("#Metadata!", ADDRESS(INDEX($AJ$2:$AJ$1001,MATCH(ROWS($AH$2:AH515),$AH$2:$AH$1001,0),0), INDEX($AO$1004:$BQ$1004,1,MATCH(COLUMNS($AO$1006:BL1006),$AO$1006:$BQ$1006,0)))),"Fix")))</f>
        <v>#N/A</v>
      </c>
      <c r="Z515" s="5" t="e">
        <f ca="1">IF(OR(INDEX($AI$2:$AI$1001,MATCH(ROWS($AH$2:AH515),$AH$2:$AH$1001,0),1)&gt;=100000,INDEX($AO$1005:$BQ$1005,1,MATCH(COLUMNS($AO$1006:BM1006),$AO$1006:$BQ$1006,0))&gt;=100000), " ",IF(INDEX($AO$2:$BQ$1001,MATCH(ROWS($AH$2:AH515),$AH$2:$AH$1001,0),MATCH(COLUMNS($AO$1006:BM1006),$AO$1006:$BQ$1006,0)), HYPERLINK("#",""), HYPERLINK(CONCATENATE("#Metadata!", ADDRESS(INDEX($AJ$2:$AJ$1001,MATCH(ROWS($AH$2:AH515),$AH$2:$AH$1001,0),0), INDEX($AO$1004:$BQ$1004,1,MATCH(COLUMNS($AO$1006:BM1006),$AO$1006:$BQ$1006,0)))),"Fix")))</f>
        <v>#N/A</v>
      </c>
      <c r="AA515" s="5" t="e">
        <f ca="1">IF(OR(INDEX($AI$2:$AI$1001,MATCH(ROWS($AH$2:AH515),$AH$2:$AH$1001,0),1)&gt;=100000,INDEX($AO$1005:$BQ$1005,1,MATCH(COLUMNS($AO$1006:BN1006),$AO$1006:$BQ$1006,0))&gt;=100000), " ",IF(INDEX($AO$2:$BQ$1001,MATCH(ROWS($AH$2:AH515),$AH$2:$AH$1001,0),MATCH(COLUMNS($AO$1006:BN1006),$AO$1006:$BQ$1006,0)), HYPERLINK("#",""), HYPERLINK(CONCATENATE("#Metadata!", ADDRESS(INDEX($AJ$2:$AJ$1001,MATCH(ROWS($AH$2:AH515),$AH$2:$AH$1001,0),0), INDEX($AO$1004:$BQ$1004,1,MATCH(COLUMNS($AO$1006:BN1006),$AO$1006:$BQ$1006,0)))),"Fix")))</f>
        <v>#N/A</v>
      </c>
      <c r="AB515" s="5" t="e">
        <f ca="1">IF(OR(INDEX($AI$2:$AI$1001,MATCH(ROWS($AH$2:AH515),$AH$2:$AH$1001,0),1)&gt;=100000,INDEX($AO$1005:$BQ$1005,1,MATCH(COLUMNS($AO$1006:BO1006),$AO$1006:$BQ$1006,0))&gt;=100000), " ",IF(INDEX($AO$2:$BQ$1001,MATCH(ROWS($AH$2:AH515),$AH$2:$AH$1001,0),MATCH(COLUMNS($AO$1006:BO1006),$AO$1006:$BQ$1006,0)), HYPERLINK("#",""), HYPERLINK(CONCATENATE("#Metadata!", ADDRESS(INDEX($AJ$2:$AJ$1001,MATCH(ROWS($AH$2:AH515),$AH$2:$AH$1001,0),0), INDEX($AO$1004:$BQ$1004,1,MATCH(COLUMNS($AO$1006:BO1006),$AO$1006:$BQ$1006,0)))),"Fix")))</f>
        <v>#N/A</v>
      </c>
      <c r="AC515" s="5" t="e">
        <f ca="1">IF(OR(INDEX($AI$2:$AI$1001,MATCH(ROWS($AH$2:AH515),$AH$2:$AH$1001,0),1)&gt;=100000,INDEX($AO$1005:$BQ$1005,1,MATCH(COLUMNS($AO$1006:BP1006),$AO$1006:$BQ$1006,0))&gt;=100000), " ",IF(INDEX($AO$2:$BQ$1001,MATCH(ROWS($AH$2:AH515),$AH$2:$AH$1001,0),MATCH(COLUMNS($AO$1006:BP1006),$AO$1006:$BQ$1006,0)), HYPERLINK("#",""), HYPERLINK(CONCATENATE("#Metadata!", ADDRESS(INDEX($AJ$2:$AJ$1001,MATCH(ROWS($AH$2:AH515),$AH$2:$AH$1001,0),0), INDEX($AO$1004:$BQ$1004,1,MATCH(COLUMNS($AO$1006:BP1006),$AO$1006:$BQ$1006,0)))),"Fix")))</f>
        <v>#N/A</v>
      </c>
      <c r="AD515" s="5" t="e">
        <f ca="1">IF(OR(INDEX($AI$2:$AI$1001,MATCH(ROWS($AH$2:AH515),$AH$2:$AH$1001,0),1)&gt;=100000,INDEX($AO$1005:$BQ$1005,1,MATCH(COLUMNS($AO$1006:BQ1006),$AO$1006:$BQ$1006,0))&gt;=100000), " ",IF(INDEX($AO$2:$BQ$1001,MATCH(ROWS($AH$2:AH515),$AH$2:$AH$1001,0),MATCH(COLUMNS($AO$1006:BQ1006),$AO$1006:$BQ$1006,0)), HYPERLINK("#",""), HYPERLINK(CONCATENATE("#Metadata!", ADDRESS(INDEX($AJ$2:$AJ$1001,MATCH(ROWS($AH$2:AH515),$AH$2:$AH$1001,0),0), INDEX($AO$1004:$BQ$1004,1,MATCH(COLUMNS($AO$1006:BQ1006),$AO$1006:$BQ$1006,0)))),"Fix")))</f>
        <v>#REF!</v>
      </c>
      <c r="AH515">
        <f ca="1"/>
        <v>512</v>
      </c>
      <c r="AI515">
        <v>100515</v>
      </c>
      <c r="AJ515">
        <v>515</v>
      </c>
      <c r="AK515" t="b">
        <f t="shared" si="8"/>
        <v>1</v>
      </c>
      <c r="AL515" t="b">
        <f>COUNTBLANK(Metadata!B515:AD515)=COLUMNS(Metadata!B515:AD515)</f>
        <v>1</v>
      </c>
      <c r="AM515" t="str">
        <v/>
      </c>
      <c r="AO515" t="b">
        <f ca="1">AND(IF(Metadata!B515="",FALSE,TRUE),COUNTIF(Metadata!B:B, Metadata!B515) = 1,NOT(ISERROR(SUMPRODUCT(SEARCH(MID(Metadata!B515,ROW(INDIRECT("1:"&amp;LEN(Metadata!B515))), 1),"0123456789abcdefghijklmnopqrstuvwxyzABCDEFGHIJKLMNOPQRSTUVWXYZ.")))))</f>
        <v>0</v>
      </c>
      <c r="AP515" t="b">
        <f>IF(Metadata!C515="",FALSE,TRUE)</f>
        <v>0</v>
      </c>
      <c r="AQ515" t="b">
        <f>IF(Metadata!D515="",FALSE,TRUE)</f>
        <v>0</v>
      </c>
      <c r="AR515" t="b">
        <f ca="1">OR(AND(IF(Metadata!E515="",FALSE,TRUE),OR(EXACT(Metadata!E515,"not collected"),EXACT(Metadata!E515,"not provided"),EXACT(Metadata!E515,"restricted access"))),AND(IF(Metadata!E515="",FALSE,TRUE),AND(AND(IFERROR(INT(LEFT(Metadata!E515,4))&gt;1900,FALSE),IFERROR(INT(LEFT(Metadata!E515,4))&lt;=YEAR(NOW()),FALSE)), OR(MID(Metadata!E515,5,1)="", AND(AND(MID(Metadata!E515,5,1)="-",IFERROR(INT(MID(Metadata!E515,6,1))&gt;=0,FALSE),IFERROR(INT(MID(Metadata!E515,6,1))&lt;=1,FALSE),NOT(MID(Metadata!E515,7,1)=""),IFERROR(INT(MID(Metadata!E515,6,2))&gt;=1,FALSE),IFERROR(INT(MID(Metadata!E515,6,2))&lt;=12,FALSE)), OR(MID(Metadata!E515,8,1)="", AND(AND(MID(Metadata!E515,8,1)="-",IFERROR(INT(MID(Metadata!E515,9,1))&gt;=0,FALSE),IFERROR(INT(MID(Metadata!E515,9,1))&lt;=3,FALSE),NOT(MID(Metadata!E515,10,1)=""),IFERROR(INT(MID(Metadata!E515,9,2))&gt;=1,FALSE),IFERROR(INT(MID(Metadata!E515,9,2))&lt;=31,FALSE)), OR(MID(Metadata!E515,11,1)="", AND(AND(MID(Metadata!E515,11,1)=" ",IFERROR(INT(MID(Metadata!E515,12,1))&gt;=0,FALSE),IFERROR(INT(MID(Metadata!E515,12,1))&lt;=2,FALSE),NOT(MID(Metadata!E515,13,1)=""),IFERROR(INT(MID(Metadata!E515,12,2))&gt;=0,FALSE),IFERROR(INT(MID(Metadata!E515,12,2))&lt;=23,FALSE)), OR(MID(Metadata!E515,14,1)="", AND(AND(MID(Metadata!E515,14,1)=":",IFERROR(INT(MID(Metadata!E515,15,1))&gt;=0,FALSE),IFERROR(INT(MID(Metadata!E515,15,1))&lt;=5,FALSE),NOT(MID(Metadata!E515,16,1)=""),IFERROR(INT(MID(Metadata!E515,15,2))&gt;=0,FALSE),IFERROR(INT(MID(Metadata!E515,15,2))&lt;=59,FALSE)), OR(MID(Metadata!E515,17,1)="", AND(AND(MID(Metadata!E515,17,1)=":",IFERROR(INT(MID(Metadata!E515,18,1))&gt;=0,FALSE),IFERROR(INT(MID(Metadata!E515,18,1))&lt;=5,FALSE),NOT(MID(Metadata!E515,19,1)=""),IFERROR(INT(MID(Metadata!E515,18,2))&gt;=0,FALSE),IFERROR(INT(MID(Metadata!E515,18,2))&lt;=59,FALSE)), LEN(Metadata!E515)&lt;=19)))))))))))))</f>
        <v>0</v>
      </c>
      <c r="AS515" t="b">
        <f>IF(Metadata!F515="",FALSE,TRUE)</f>
        <v>0</v>
      </c>
      <c r="AT515" t="b">
        <f>OR(AND(IF(Metadata!G515="",FALSE,TRUE),OR(EXACT(Metadata!G515,"not collected"),EXACT(Metadata!G515,"not provided"))),AND(IF(Metadata!G515="",FALSE,TRUE),OR(EXACT(Metadata!G515,"TRUE"),EXACT(Metadata!G515,"FALSE"))))</f>
        <v>0</v>
      </c>
      <c r="AU515" t="b">
        <f>OR(AND(IF(Metadata!H515="",FALSE,TRUE),OR(EXACT(Metadata!H515,"not collected"),EXACT(Metadata!H515,"not provided"),EXACT(Metadata!H515,"restricted access"))),AND(IF(Metadata!H515="",FALSE,ISNUMBER(VALUE(Metadata!H515))),Metadata!H515&gt;=-413))</f>
        <v>0</v>
      </c>
      <c r="AV515" t="b">
        <f>AND(IF(Metadata!I515="",FALSE,TRUE),EXACT(Metadata!I515,"meters"))</f>
        <v>0</v>
      </c>
      <c r="AW515" t="b">
        <f>AND(IF(Metadata!J515="",FALSE,TRUE),EXACT(Metadata!J515,"free-living"))</f>
        <v>0</v>
      </c>
      <c r="AX515" t="b">
        <f>AND(IF(Metadata!K515="",FALSE,TRUE),OR(EXACT(Metadata!K515,"saline"),EXACT(Metadata!K515,"non-saline")))</f>
        <v>0</v>
      </c>
      <c r="AY515" t="b">
        <f>AND(IF(Metadata!L515="",FALSE,TRUE),OR(EXACT(Metadata!L515,"sub-surface (non-saline)"),EXACT(Metadata!L515,"surface (non-saline)"),EXACT(Metadata!L515,"water (non-saline)"),EXACT(Metadata!L515,"soil (non-saline)"),EXACT(Metadata!L515,"aerosol (non-saline)"),EXACT(Metadata!L515,"sediment (non-saline)"),EXACT(Metadata!L515,"surface (saline)"),EXACT(Metadata!L515,"water (saline)"),EXACT(Metadata!L515,"hypersaline (saline)"),EXACT(Metadata!L515,"aerosol (saline)"),EXACT(Metadata!L515,"sediment (saline)")))</f>
        <v>0</v>
      </c>
      <c r="AZ515" t="b">
        <f>IF(Metadata!M515="",FALSE,TRUE)</f>
        <v>0</v>
      </c>
      <c r="BA515" t="b">
        <f>IF(Metadata!N515="",FALSE,TRUE)</f>
        <v>0</v>
      </c>
      <c r="BB515" t="b">
        <f>IF(Metadata!O515="",FALSE,TRUE)</f>
        <v>0</v>
      </c>
      <c r="BC515" t="b">
        <f>AND(IF(Metadata!P515="",FALSE,TRUE),OR(EXACT(Metadata!P515,"air"),EXACT(Metadata!P515,"microbial mat/biofilm"),EXACT(Metadata!P515,"misc environment"),EXACT(Metadata!P515,"sediment"),EXACT(Metadata!P515,"soil"),EXACT(Metadata!P515,"wastewater/sludge"),EXACT(Metadata!P515,"water")))</f>
        <v>0</v>
      </c>
      <c r="BD515" t="b">
        <f>IF(Metadata!Q515="",FALSE,TRUE)</f>
        <v>0</v>
      </c>
      <c r="BE515" t="b">
        <f>IF(Metadata!R515="",FALSE,TRUE)</f>
        <v>0</v>
      </c>
      <c r="BF515" t="b">
        <f>OR(AND(IF(Metadata!S515="",FALSE,TRUE),OR(EXACT(Metadata!S515,"not collected"),EXACT(Metadata!S515,"not provided"),EXACT(Metadata!S515,"restricted access"))),AND(IF(Metadata!S515="",FALSE,ISNUMBER(VALUE(Metadata!S515))),Metadata!S515&gt;=-90,Metadata!S515&lt;=90))</f>
        <v>0</v>
      </c>
      <c r="BG515" t="b">
        <f>AND(IF(Metadata!T515="",FALSE,TRUE),EXACT(Metadata!T515,"Decimal degrees"))</f>
        <v>0</v>
      </c>
      <c r="BH515" t="b">
        <f>OR(AND(IF(Metadata!U515="",FALSE,TRUE),OR(EXACT(Metadata!U515,"not applicable"),EXACT(Metadata!U515,"not collected"))),IF(Metadata!U515="",FALSE,TRUE))</f>
        <v>0</v>
      </c>
      <c r="BI515" t="b">
        <f>OR(AND(IF(Metadata!V515="",FALSE,TRUE),OR(EXACT(Metadata!V515,"not collected"),EXACT(Metadata!V515,"not provided"),EXACT(Metadata!V515,"restricted access"))),AND(IF(Metadata!V515="",FALSE,ISNUMBER(VALUE(Metadata!V515))),Metadata!V515&gt;=-180,Metadata!V515&lt;=180))</f>
        <v>0</v>
      </c>
      <c r="BJ515" t="b">
        <f>AND(IF(Metadata!W515="",FALSE,TRUE),EXACT(Metadata!W515,"Decimal degrees"))</f>
        <v>0</v>
      </c>
      <c r="BK515" t="b">
        <f>IF(Metadata!X515="",FALSE,TRUE)</f>
        <v>0</v>
      </c>
      <c r="BL515" t="b">
        <f>OR(AND(IF(Metadata!Y515="",FALSE,TRUE),OR(EXACT(Metadata!Y515,"not collected"),EXACT(Metadata!Y515,"not provided"),EXACT(Metadata!Y515,"restricted access"))),AND(IF(Metadata!Y515="",FALSE,TRUE),OR(EXACT(Metadata!Y515,"TRUE"),EXACT(Metadata!Y515,"FALSE"))))</f>
        <v>0</v>
      </c>
      <c r="BM515" t="b">
        <f>OR(AND(IF(Metadata!Z515="",FALSE,TRUE),EXACT(Metadata!Z515,"not applicable")),AND(IF(Metadata!Z515="",FALSE,TRUE),OR(EXACT(Metadata!Z515,"beer"),EXACT(Metadata!Z515,"cheese"),EXACT(Metadata!Z515,"fresh water"),EXACT(Metadata!Z515,"marine sediment"),EXACT(Metadata!Z515,"sea water"),EXACT(Metadata!Z515,"sediment"),EXACT(Metadata!Z515,"soil"),EXACT(Metadata!Z515,"waste water"))))</f>
        <v>0</v>
      </c>
      <c r="BN515" t="b">
        <f>AND(IF(Metadata!AA515="",FALSE,TRUE),EXACT(Metadata!AA515,"metagenome"))</f>
        <v>0</v>
      </c>
      <c r="BO515" t="b">
        <f>AND(IF(Metadata!AB515="",FALSE,TRUE),EXACT(Metadata!AB515,"256318"))</f>
        <v>0</v>
      </c>
      <c r="BP515" t="b">
        <f>IF(Metadata!AC515="",FALSE,TRUE)</f>
        <v>0</v>
      </c>
      <c r="BQ515" t="b">
        <f>IF(Metadata!AD515="",FALSE,TRUE)</f>
        <v>0</v>
      </c>
    </row>
    <row r="516" spans="1:69" x14ac:dyDescent="0.2">
      <c r="A516" s="4" t="e">
        <f ca="1">IF(B516=" "," ",HYPERLINK(CONCATENATE("#metadata!",ADDRESS(INDEX($AJ$2:$AJ$1001,MATCH(ROWS($AH$2:AH516),$AH$2:$AH$1001,0),0),2)),INDEX($AM$2:$AM$1001,MATCH(ROWS($AH$2:AH516),$AH$2:$AH$1001,0),0)))</f>
        <v>#N/A</v>
      </c>
      <c r="B516" s="5" t="e">
        <f ca="1">IF(OR(INDEX($AI$2:$AI$1001,MATCH(ROWS($AH$2:AH516),$AH$2:$AH$1001,0),1)&gt;=100000,INDEX($AO$1005:$BQ$1005,1,MATCH(COLUMNS($AO$1006:AO1006),$AO$1006:$BQ$1006,0))&gt;=100000), " ",IF(INDEX($AO$2:$BQ$1001,MATCH(ROWS($AH$2:AH516),$AH$2:$AH$1001,0),MATCH(COLUMNS($AO$1006:AO1006),$AO$1006:$BQ$1006,0)), HYPERLINK("#",""), HYPERLINK(CONCATENATE("#Metadata!", ADDRESS(INDEX($AJ$2:$AJ$1001,MATCH(ROWS($AH$2:AH516),$AH$2:$AH$1001,0),0), INDEX($AO$1004:$BQ$1004,1,MATCH(COLUMNS($AO$1006:AO1006),$AO$1006:$BQ$1006,0)))),"Fix")))</f>
        <v>#N/A</v>
      </c>
      <c r="C516" s="5" t="e">
        <f ca="1">IF(OR(INDEX($AI$2:$AI$1001,MATCH(ROWS($AH$2:AH516),$AH$2:$AH$1001,0),1)&gt;=100000,INDEX($AO$1005:$BQ$1005,1,MATCH(COLUMNS($AO$1006:AP1006),$AO$1006:$BQ$1006,0))&gt;=100000), " ",IF(INDEX($AO$2:$BQ$1001,MATCH(ROWS($AH$2:AH516),$AH$2:$AH$1001,0),MATCH(COLUMNS($AO$1006:AP1006),$AO$1006:$BQ$1006,0)), HYPERLINK("#",""), HYPERLINK(CONCATENATE("#Metadata!", ADDRESS(INDEX($AJ$2:$AJ$1001,MATCH(ROWS($AH$2:AH516),$AH$2:$AH$1001,0),0), INDEX($AO$1004:$BQ$1004,1,MATCH(COLUMNS($AO$1006:AP1006),$AO$1006:$BQ$1006,0)))),"Fix")))</f>
        <v>#N/A</v>
      </c>
      <c r="D516" s="5" t="e">
        <f ca="1">IF(OR(INDEX($AI$2:$AI$1001,MATCH(ROWS($AH$2:AH516),$AH$2:$AH$1001,0),1)&gt;=100000,INDEX($AO$1005:$BQ$1005,1,MATCH(COLUMNS($AO$1006:AQ1006),$AO$1006:$BQ$1006,0))&gt;=100000), " ",IF(INDEX($AO$2:$BQ$1001,MATCH(ROWS($AH$2:AH516),$AH$2:$AH$1001,0),MATCH(COLUMNS($AO$1006:AQ1006),$AO$1006:$BQ$1006,0)), HYPERLINK("#",""), HYPERLINK(CONCATENATE("#Metadata!", ADDRESS(INDEX($AJ$2:$AJ$1001,MATCH(ROWS($AH$2:AH516),$AH$2:$AH$1001,0),0), INDEX($AO$1004:$BQ$1004,1,MATCH(COLUMNS($AO$1006:AQ1006),$AO$1006:$BQ$1006,0)))),"Fix")))</f>
        <v>#N/A</v>
      </c>
      <c r="E516" s="5" t="e">
        <f ca="1">IF(OR(INDEX($AI$2:$AI$1001,MATCH(ROWS($AH$2:AH516),$AH$2:$AH$1001,0),1)&gt;=100000,INDEX($AO$1005:$BQ$1005,1,MATCH(COLUMNS($AO$1006:AR1006),$AO$1006:$BQ$1006,0))&gt;=100000), " ",IF(INDEX($AO$2:$BQ$1001,MATCH(ROWS($AH$2:AH516),$AH$2:$AH$1001,0),MATCH(COLUMNS($AO$1006:AR1006),$AO$1006:$BQ$1006,0)), HYPERLINK("#",""), HYPERLINK(CONCATENATE("#Metadata!", ADDRESS(INDEX($AJ$2:$AJ$1001,MATCH(ROWS($AH$2:AH516),$AH$2:$AH$1001,0),0), INDEX($AO$1004:$BQ$1004,1,MATCH(COLUMNS($AO$1006:AR1006),$AO$1006:$BQ$1006,0)))),"Fix")))</f>
        <v>#N/A</v>
      </c>
      <c r="F516" s="5" t="e">
        <f ca="1">IF(OR(INDEX($AI$2:$AI$1001,MATCH(ROWS($AH$2:AH516),$AH$2:$AH$1001,0),1)&gt;=100000,INDEX($AO$1005:$BQ$1005,1,MATCH(COLUMNS($AO$1006:AS1006),$AO$1006:$BQ$1006,0))&gt;=100000), " ",IF(INDEX($AO$2:$BQ$1001,MATCH(ROWS($AH$2:AH516),$AH$2:$AH$1001,0),MATCH(COLUMNS($AO$1006:AS1006),$AO$1006:$BQ$1006,0)), HYPERLINK("#",""), HYPERLINK(CONCATENATE("#Metadata!", ADDRESS(INDEX($AJ$2:$AJ$1001,MATCH(ROWS($AH$2:AH516),$AH$2:$AH$1001,0),0), INDEX($AO$1004:$BQ$1004,1,MATCH(COLUMNS($AO$1006:AS1006),$AO$1006:$BQ$1006,0)))),"Fix")))</f>
        <v>#N/A</v>
      </c>
      <c r="G516" s="5" t="e">
        <f ca="1">IF(OR(INDEX($AI$2:$AI$1001,MATCH(ROWS($AH$2:AH516),$AH$2:$AH$1001,0),1)&gt;=100000,INDEX($AO$1005:$BQ$1005,1,MATCH(COLUMNS($AO$1006:AT1006),$AO$1006:$BQ$1006,0))&gt;=100000), " ",IF(INDEX($AO$2:$BQ$1001,MATCH(ROWS($AH$2:AH516),$AH$2:$AH$1001,0),MATCH(COLUMNS($AO$1006:AT1006),$AO$1006:$BQ$1006,0)), HYPERLINK("#",""), HYPERLINK(CONCATENATE("#Metadata!", ADDRESS(INDEX($AJ$2:$AJ$1001,MATCH(ROWS($AH$2:AH516),$AH$2:$AH$1001,0),0), INDEX($AO$1004:$BQ$1004,1,MATCH(COLUMNS($AO$1006:AT1006),$AO$1006:$BQ$1006,0)))),"Fix")))</f>
        <v>#N/A</v>
      </c>
      <c r="H516" s="5" t="e">
        <f ca="1">IF(OR(INDEX($AI$2:$AI$1001,MATCH(ROWS($AH$2:AH516),$AH$2:$AH$1001,0),1)&gt;=100000,INDEX($AO$1005:$BQ$1005,1,MATCH(COLUMNS($AO$1006:AU1006),$AO$1006:$BQ$1006,0))&gt;=100000), " ",IF(INDEX($AO$2:$BQ$1001,MATCH(ROWS($AH$2:AH516),$AH$2:$AH$1001,0),MATCH(COLUMNS($AO$1006:AU1006),$AO$1006:$BQ$1006,0)), HYPERLINK("#",""), HYPERLINK(CONCATENATE("#Metadata!", ADDRESS(INDEX($AJ$2:$AJ$1001,MATCH(ROWS($AH$2:AH516),$AH$2:$AH$1001,0),0), INDEX($AO$1004:$BQ$1004,1,MATCH(COLUMNS($AO$1006:AU1006),$AO$1006:$BQ$1006,0)))),"Fix")))</f>
        <v>#N/A</v>
      </c>
      <c r="I516" s="5" t="e">
        <f ca="1">IF(OR(INDEX($AI$2:$AI$1001,MATCH(ROWS($AH$2:AH516),$AH$2:$AH$1001,0),1)&gt;=100000,INDEX($AO$1005:$BQ$1005,1,MATCH(COLUMNS($AO$1006:AV1006),$AO$1006:$BQ$1006,0))&gt;=100000), " ",IF(INDEX($AO$2:$BQ$1001,MATCH(ROWS($AH$2:AH516),$AH$2:$AH$1001,0),MATCH(COLUMNS($AO$1006:AV1006),$AO$1006:$BQ$1006,0)), HYPERLINK("#",""), HYPERLINK(CONCATENATE("#Metadata!", ADDRESS(INDEX($AJ$2:$AJ$1001,MATCH(ROWS($AH$2:AH516),$AH$2:$AH$1001,0),0), INDEX($AO$1004:$BQ$1004,1,MATCH(COLUMNS($AO$1006:AV1006),$AO$1006:$BQ$1006,0)))),"Fix")))</f>
        <v>#N/A</v>
      </c>
      <c r="J516" s="5" t="e">
        <f ca="1">IF(OR(INDEX($AI$2:$AI$1001,MATCH(ROWS($AH$2:AH516),$AH$2:$AH$1001,0),1)&gt;=100000,INDEX($AO$1005:$BQ$1005,1,MATCH(COLUMNS($AO$1006:AW1006),$AO$1006:$BQ$1006,0))&gt;=100000), " ",IF(INDEX($AO$2:$BQ$1001,MATCH(ROWS($AH$2:AH516),$AH$2:$AH$1001,0),MATCH(COLUMNS($AO$1006:AW1006),$AO$1006:$BQ$1006,0)), HYPERLINK("#",""), HYPERLINK(CONCATENATE("#Metadata!", ADDRESS(INDEX($AJ$2:$AJ$1001,MATCH(ROWS($AH$2:AH516),$AH$2:$AH$1001,0),0), INDEX($AO$1004:$BQ$1004,1,MATCH(COLUMNS($AO$1006:AW1006),$AO$1006:$BQ$1006,0)))),"Fix")))</f>
        <v>#N/A</v>
      </c>
      <c r="K516" s="5" t="e">
        <f ca="1">IF(OR(INDEX($AI$2:$AI$1001,MATCH(ROWS($AH$2:AH516),$AH$2:$AH$1001,0),1)&gt;=100000,INDEX($AO$1005:$BQ$1005,1,MATCH(COLUMNS($AO$1006:AX1006),$AO$1006:$BQ$1006,0))&gt;=100000), " ",IF(INDEX($AO$2:$BQ$1001,MATCH(ROWS($AH$2:AH516),$AH$2:$AH$1001,0),MATCH(COLUMNS($AO$1006:AX1006),$AO$1006:$BQ$1006,0)), HYPERLINK("#",""), HYPERLINK(CONCATENATE("#Metadata!", ADDRESS(INDEX($AJ$2:$AJ$1001,MATCH(ROWS($AH$2:AH516),$AH$2:$AH$1001,0),0), INDEX($AO$1004:$BQ$1004,1,MATCH(COLUMNS($AO$1006:AX1006),$AO$1006:$BQ$1006,0)))),"Fix")))</f>
        <v>#N/A</v>
      </c>
      <c r="L516" s="5" t="e">
        <f ca="1">IF(OR(INDEX($AI$2:$AI$1001,MATCH(ROWS($AH$2:AH516),$AH$2:$AH$1001,0),1)&gt;=100000,INDEX($AO$1005:$BQ$1005,1,MATCH(COLUMNS($AO$1006:AY1006),$AO$1006:$BQ$1006,0))&gt;=100000), " ",IF(INDEX($AO$2:$BQ$1001,MATCH(ROWS($AH$2:AH516),$AH$2:$AH$1001,0),MATCH(COLUMNS($AO$1006:AY1006),$AO$1006:$BQ$1006,0)), HYPERLINK("#",""), HYPERLINK(CONCATENATE("#Metadata!", ADDRESS(INDEX($AJ$2:$AJ$1001,MATCH(ROWS($AH$2:AH516),$AH$2:$AH$1001,0),0), INDEX($AO$1004:$BQ$1004,1,MATCH(COLUMNS($AO$1006:AY1006),$AO$1006:$BQ$1006,0)))),"Fix")))</f>
        <v>#N/A</v>
      </c>
      <c r="M516" s="5" t="e">
        <f ca="1">IF(OR(INDEX($AI$2:$AI$1001,MATCH(ROWS($AH$2:AH516),$AH$2:$AH$1001,0),1)&gt;=100000,INDEX($AO$1005:$BQ$1005,1,MATCH(COLUMNS($AO$1006:AZ1006),$AO$1006:$BQ$1006,0))&gt;=100000), " ",IF(INDEX($AO$2:$BQ$1001,MATCH(ROWS($AH$2:AH516),$AH$2:$AH$1001,0),MATCH(COLUMNS($AO$1006:AZ1006),$AO$1006:$BQ$1006,0)), HYPERLINK("#",""), HYPERLINK(CONCATENATE("#Metadata!", ADDRESS(INDEX($AJ$2:$AJ$1001,MATCH(ROWS($AH$2:AH516),$AH$2:$AH$1001,0),0), INDEX($AO$1004:$BQ$1004,1,MATCH(COLUMNS($AO$1006:AZ1006),$AO$1006:$BQ$1006,0)))),"Fix")))</f>
        <v>#N/A</v>
      </c>
      <c r="N516" s="5" t="e">
        <f ca="1">IF(OR(INDEX($AI$2:$AI$1001,MATCH(ROWS($AH$2:AH516),$AH$2:$AH$1001,0),1)&gt;=100000,INDEX($AO$1005:$BQ$1005,1,MATCH(COLUMNS($AO$1006:BA1006),$AO$1006:$BQ$1006,0))&gt;=100000), " ",IF(INDEX($AO$2:$BQ$1001,MATCH(ROWS($AH$2:AH516),$AH$2:$AH$1001,0),MATCH(COLUMNS($AO$1006:BA1006),$AO$1006:$BQ$1006,0)), HYPERLINK("#",""), HYPERLINK(CONCATENATE("#Metadata!", ADDRESS(INDEX($AJ$2:$AJ$1001,MATCH(ROWS($AH$2:AH516),$AH$2:$AH$1001,0),0), INDEX($AO$1004:$BQ$1004,1,MATCH(COLUMNS($AO$1006:BA1006),$AO$1006:$BQ$1006,0)))),"Fix")))</f>
        <v>#N/A</v>
      </c>
      <c r="O516" s="5" t="e">
        <f ca="1">IF(OR(INDEX($AI$2:$AI$1001,MATCH(ROWS($AH$2:AH516),$AH$2:$AH$1001,0),1)&gt;=100000,INDEX($AO$1005:$BQ$1005,1,MATCH(COLUMNS($AO$1006:BB1006),$AO$1006:$BQ$1006,0))&gt;=100000), " ",IF(INDEX($AO$2:$BQ$1001,MATCH(ROWS($AH$2:AH516),$AH$2:$AH$1001,0),MATCH(COLUMNS($AO$1006:BB1006),$AO$1006:$BQ$1006,0)), HYPERLINK("#",""), HYPERLINK(CONCATENATE("#Metadata!", ADDRESS(INDEX($AJ$2:$AJ$1001,MATCH(ROWS($AH$2:AH516),$AH$2:$AH$1001,0),0), INDEX($AO$1004:$BQ$1004,1,MATCH(COLUMNS($AO$1006:BB1006),$AO$1006:$BQ$1006,0)))),"Fix")))</f>
        <v>#N/A</v>
      </c>
      <c r="P516" s="5" t="e">
        <f ca="1">IF(OR(INDEX($AI$2:$AI$1001,MATCH(ROWS($AH$2:AH516),$AH$2:$AH$1001,0),1)&gt;=100000,INDEX($AO$1005:$BQ$1005,1,MATCH(COLUMNS($AO$1006:BC1006),$AO$1006:$BQ$1006,0))&gt;=100000), " ",IF(INDEX($AO$2:$BQ$1001,MATCH(ROWS($AH$2:AH516),$AH$2:$AH$1001,0),MATCH(COLUMNS($AO$1006:BC1006),$AO$1006:$BQ$1006,0)), HYPERLINK("#",""), HYPERLINK(CONCATENATE("#Metadata!", ADDRESS(INDEX($AJ$2:$AJ$1001,MATCH(ROWS($AH$2:AH516),$AH$2:$AH$1001,0),0), INDEX($AO$1004:$BQ$1004,1,MATCH(COLUMNS($AO$1006:BC1006),$AO$1006:$BQ$1006,0)))),"Fix")))</f>
        <v>#N/A</v>
      </c>
      <c r="Q516" s="5" t="e">
        <f ca="1">IF(OR(INDEX($AI$2:$AI$1001,MATCH(ROWS($AH$2:AH516),$AH$2:$AH$1001,0),1)&gt;=100000,INDEX($AO$1005:$BQ$1005,1,MATCH(COLUMNS($AO$1006:BD1006),$AO$1006:$BQ$1006,0))&gt;=100000), " ",IF(INDEX($AO$2:$BQ$1001,MATCH(ROWS($AH$2:AH516),$AH$2:$AH$1001,0),MATCH(COLUMNS($AO$1006:BD1006),$AO$1006:$BQ$1006,0)), HYPERLINK("#",""), HYPERLINK(CONCATENATE("#Metadata!", ADDRESS(INDEX($AJ$2:$AJ$1001,MATCH(ROWS($AH$2:AH516),$AH$2:$AH$1001,0),0), INDEX($AO$1004:$BQ$1004,1,MATCH(COLUMNS($AO$1006:BD1006),$AO$1006:$BQ$1006,0)))),"Fix")))</f>
        <v>#N/A</v>
      </c>
      <c r="R516" s="5" t="e">
        <f ca="1">IF(OR(INDEX($AI$2:$AI$1001,MATCH(ROWS($AH$2:AH516),$AH$2:$AH$1001,0),1)&gt;=100000,INDEX($AO$1005:$BQ$1005,1,MATCH(COLUMNS($AO$1006:BE1006),$AO$1006:$BQ$1006,0))&gt;=100000), " ",IF(INDEX($AO$2:$BQ$1001,MATCH(ROWS($AH$2:AH516),$AH$2:$AH$1001,0),MATCH(COLUMNS($AO$1006:BE1006),$AO$1006:$BQ$1006,0)), HYPERLINK("#",""), HYPERLINK(CONCATENATE("#Metadata!", ADDRESS(INDEX($AJ$2:$AJ$1001,MATCH(ROWS($AH$2:AH516),$AH$2:$AH$1001,0),0), INDEX($AO$1004:$BQ$1004,1,MATCH(COLUMNS($AO$1006:BE1006),$AO$1006:$BQ$1006,0)))),"Fix")))</f>
        <v>#N/A</v>
      </c>
      <c r="S516" s="5" t="e">
        <f ca="1">IF(OR(INDEX($AI$2:$AI$1001,MATCH(ROWS($AH$2:AH516),$AH$2:$AH$1001,0),1)&gt;=100000,INDEX($AO$1005:$BQ$1005,1,MATCH(COLUMNS($AO$1006:BF1006),$AO$1006:$BQ$1006,0))&gt;=100000), " ",IF(INDEX($AO$2:$BQ$1001,MATCH(ROWS($AH$2:AH516),$AH$2:$AH$1001,0),MATCH(COLUMNS($AO$1006:BF1006),$AO$1006:$BQ$1006,0)), HYPERLINK("#",""), HYPERLINK(CONCATENATE("#Metadata!", ADDRESS(INDEX($AJ$2:$AJ$1001,MATCH(ROWS($AH$2:AH516),$AH$2:$AH$1001,0),0), INDEX($AO$1004:$BQ$1004,1,MATCH(COLUMNS($AO$1006:BF1006),$AO$1006:$BQ$1006,0)))),"Fix")))</f>
        <v>#N/A</v>
      </c>
      <c r="T516" s="5" t="e">
        <f ca="1">IF(OR(INDEX($AI$2:$AI$1001,MATCH(ROWS($AH$2:AH516),$AH$2:$AH$1001,0),1)&gt;=100000,INDEX($AO$1005:$BQ$1005,1,MATCH(COLUMNS($AO$1006:BG1006),$AO$1006:$BQ$1006,0))&gt;=100000), " ",IF(INDEX($AO$2:$BQ$1001,MATCH(ROWS($AH$2:AH516),$AH$2:$AH$1001,0),MATCH(COLUMNS($AO$1006:BG1006),$AO$1006:$BQ$1006,0)), HYPERLINK("#",""), HYPERLINK(CONCATENATE("#Metadata!", ADDRESS(INDEX($AJ$2:$AJ$1001,MATCH(ROWS($AH$2:AH516),$AH$2:$AH$1001,0),0), INDEX($AO$1004:$BQ$1004,1,MATCH(COLUMNS($AO$1006:BG1006),$AO$1006:$BQ$1006,0)))),"Fix")))</f>
        <v>#N/A</v>
      </c>
      <c r="U516" s="5" t="e">
        <f ca="1">IF(OR(INDEX($AI$2:$AI$1001,MATCH(ROWS($AH$2:AH516),$AH$2:$AH$1001,0),1)&gt;=100000,INDEX($AO$1005:$BQ$1005,1,MATCH(COLUMNS($AO$1006:BH1006),$AO$1006:$BQ$1006,0))&gt;=100000), " ",IF(INDEX($AO$2:$BQ$1001,MATCH(ROWS($AH$2:AH516),$AH$2:$AH$1001,0),MATCH(COLUMNS($AO$1006:BH1006),$AO$1006:$BQ$1006,0)), HYPERLINK("#",""), HYPERLINK(CONCATENATE("#Metadata!", ADDRESS(INDEX($AJ$2:$AJ$1001,MATCH(ROWS($AH$2:AH516),$AH$2:$AH$1001,0),0), INDEX($AO$1004:$BQ$1004,1,MATCH(COLUMNS($AO$1006:BH1006),$AO$1006:$BQ$1006,0)))),"Fix")))</f>
        <v>#N/A</v>
      </c>
      <c r="V516" s="5" t="e">
        <f ca="1">IF(OR(INDEX($AI$2:$AI$1001,MATCH(ROWS($AH$2:AH516),$AH$2:$AH$1001,0),1)&gt;=100000,INDEX($AO$1005:$BQ$1005,1,MATCH(COLUMNS($AO$1006:BI1006),$AO$1006:$BQ$1006,0))&gt;=100000), " ",IF(INDEX($AO$2:$BQ$1001,MATCH(ROWS($AH$2:AH516),$AH$2:$AH$1001,0),MATCH(COLUMNS($AO$1006:BI1006),$AO$1006:$BQ$1006,0)), HYPERLINK("#",""), HYPERLINK(CONCATENATE("#Metadata!", ADDRESS(INDEX($AJ$2:$AJ$1001,MATCH(ROWS($AH$2:AH516),$AH$2:$AH$1001,0),0), INDEX($AO$1004:$BQ$1004,1,MATCH(COLUMNS($AO$1006:BI1006),$AO$1006:$BQ$1006,0)))),"Fix")))</f>
        <v>#N/A</v>
      </c>
      <c r="W516" s="5" t="e">
        <f ca="1">IF(OR(INDEX($AI$2:$AI$1001,MATCH(ROWS($AH$2:AH516),$AH$2:$AH$1001,0),1)&gt;=100000,INDEX($AO$1005:$BQ$1005,1,MATCH(COLUMNS($AO$1006:BJ1006),$AO$1006:$BQ$1006,0))&gt;=100000), " ",IF(INDEX($AO$2:$BQ$1001,MATCH(ROWS($AH$2:AH516),$AH$2:$AH$1001,0),MATCH(COLUMNS($AO$1006:BJ1006),$AO$1006:$BQ$1006,0)), HYPERLINK("#",""), HYPERLINK(CONCATENATE("#Metadata!", ADDRESS(INDEX($AJ$2:$AJ$1001,MATCH(ROWS($AH$2:AH516),$AH$2:$AH$1001,0),0), INDEX($AO$1004:$BQ$1004,1,MATCH(COLUMNS($AO$1006:BJ1006),$AO$1006:$BQ$1006,0)))),"Fix")))</f>
        <v>#N/A</v>
      </c>
      <c r="X516" s="5" t="e">
        <f ca="1">IF(OR(INDEX($AI$2:$AI$1001,MATCH(ROWS($AH$2:AH516),$AH$2:$AH$1001,0),1)&gt;=100000,INDEX($AO$1005:$BQ$1005,1,MATCH(COLUMNS($AO$1006:BK1006),$AO$1006:$BQ$1006,0))&gt;=100000), " ",IF(INDEX($AO$2:$BQ$1001,MATCH(ROWS($AH$2:AH516),$AH$2:$AH$1001,0),MATCH(COLUMNS($AO$1006:BK1006),$AO$1006:$BQ$1006,0)), HYPERLINK("#",""), HYPERLINK(CONCATENATE("#Metadata!", ADDRESS(INDEX($AJ$2:$AJ$1001,MATCH(ROWS($AH$2:AH516),$AH$2:$AH$1001,0),0), INDEX($AO$1004:$BQ$1004,1,MATCH(COLUMNS($AO$1006:BK1006),$AO$1006:$BQ$1006,0)))),"Fix")))</f>
        <v>#N/A</v>
      </c>
      <c r="Y516" s="5" t="e">
        <f ca="1">IF(OR(INDEX($AI$2:$AI$1001,MATCH(ROWS($AH$2:AH516),$AH$2:$AH$1001,0),1)&gt;=100000,INDEX($AO$1005:$BQ$1005,1,MATCH(COLUMNS($AO$1006:BL1006),$AO$1006:$BQ$1006,0))&gt;=100000), " ",IF(INDEX($AO$2:$BQ$1001,MATCH(ROWS($AH$2:AH516),$AH$2:$AH$1001,0),MATCH(COLUMNS($AO$1006:BL1006),$AO$1006:$BQ$1006,0)), HYPERLINK("#",""), HYPERLINK(CONCATENATE("#Metadata!", ADDRESS(INDEX($AJ$2:$AJ$1001,MATCH(ROWS($AH$2:AH516),$AH$2:$AH$1001,0),0), INDEX($AO$1004:$BQ$1004,1,MATCH(COLUMNS($AO$1006:BL1006),$AO$1006:$BQ$1006,0)))),"Fix")))</f>
        <v>#N/A</v>
      </c>
      <c r="Z516" s="5" t="e">
        <f ca="1">IF(OR(INDEX($AI$2:$AI$1001,MATCH(ROWS($AH$2:AH516),$AH$2:$AH$1001,0),1)&gt;=100000,INDEX($AO$1005:$BQ$1005,1,MATCH(COLUMNS($AO$1006:BM1006),$AO$1006:$BQ$1006,0))&gt;=100000), " ",IF(INDEX($AO$2:$BQ$1001,MATCH(ROWS($AH$2:AH516),$AH$2:$AH$1001,0),MATCH(COLUMNS($AO$1006:BM1006),$AO$1006:$BQ$1006,0)), HYPERLINK("#",""), HYPERLINK(CONCATENATE("#Metadata!", ADDRESS(INDEX($AJ$2:$AJ$1001,MATCH(ROWS($AH$2:AH516),$AH$2:$AH$1001,0),0), INDEX($AO$1004:$BQ$1004,1,MATCH(COLUMNS($AO$1006:BM1006),$AO$1006:$BQ$1006,0)))),"Fix")))</f>
        <v>#N/A</v>
      </c>
      <c r="AA516" s="5" t="e">
        <f ca="1">IF(OR(INDEX($AI$2:$AI$1001,MATCH(ROWS($AH$2:AH516),$AH$2:$AH$1001,0),1)&gt;=100000,INDEX($AO$1005:$BQ$1005,1,MATCH(COLUMNS($AO$1006:BN1006),$AO$1006:$BQ$1006,0))&gt;=100000), " ",IF(INDEX($AO$2:$BQ$1001,MATCH(ROWS($AH$2:AH516),$AH$2:$AH$1001,0),MATCH(COLUMNS($AO$1006:BN1006),$AO$1006:$BQ$1006,0)), HYPERLINK("#",""), HYPERLINK(CONCATENATE("#Metadata!", ADDRESS(INDEX($AJ$2:$AJ$1001,MATCH(ROWS($AH$2:AH516),$AH$2:$AH$1001,0),0), INDEX($AO$1004:$BQ$1004,1,MATCH(COLUMNS($AO$1006:BN1006),$AO$1006:$BQ$1006,0)))),"Fix")))</f>
        <v>#N/A</v>
      </c>
      <c r="AB516" s="5" t="e">
        <f ca="1">IF(OR(INDEX($AI$2:$AI$1001,MATCH(ROWS($AH$2:AH516),$AH$2:$AH$1001,0),1)&gt;=100000,INDEX($AO$1005:$BQ$1005,1,MATCH(COLUMNS($AO$1006:BO1006),$AO$1006:$BQ$1006,0))&gt;=100000), " ",IF(INDEX($AO$2:$BQ$1001,MATCH(ROWS($AH$2:AH516),$AH$2:$AH$1001,0),MATCH(COLUMNS($AO$1006:BO1006),$AO$1006:$BQ$1006,0)), HYPERLINK("#",""), HYPERLINK(CONCATENATE("#Metadata!", ADDRESS(INDEX($AJ$2:$AJ$1001,MATCH(ROWS($AH$2:AH516),$AH$2:$AH$1001,0),0), INDEX($AO$1004:$BQ$1004,1,MATCH(COLUMNS($AO$1006:BO1006),$AO$1006:$BQ$1006,0)))),"Fix")))</f>
        <v>#N/A</v>
      </c>
      <c r="AC516" s="5" t="e">
        <f ca="1">IF(OR(INDEX($AI$2:$AI$1001,MATCH(ROWS($AH$2:AH516),$AH$2:$AH$1001,0),1)&gt;=100000,INDEX($AO$1005:$BQ$1005,1,MATCH(COLUMNS($AO$1006:BP1006),$AO$1006:$BQ$1006,0))&gt;=100000), " ",IF(INDEX($AO$2:$BQ$1001,MATCH(ROWS($AH$2:AH516),$AH$2:$AH$1001,0),MATCH(COLUMNS($AO$1006:BP1006),$AO$1006:$BQ$1006,0)), HYPERLINK("#",""), HYPERLINK(CONCATENATE("#Metadata!", ADDRESS(INDEX($AJ$2:$AJ$1001,MATCH(ROWS($AH$2:AH516),$AH$2:$AH$1001,0),0), INDEX($AO$1004:$BQ$1004,1,MATCH(COLUMNS($AO$1006:BP1006),$AO$1006:$BQ$1006,0)))),"Fix")))</f>
        <v>#N/A</v>
      </c>
      <c r="AD516" s="5" t="e">
        <f ca="1">IF(OR(INDEX($AI$2:$AI$1001,MATCH(ROWS($AH$2:AH516),$AH$2:$AH$1001,0),1)&gt;=100000,INDEX($AO$1005:$BQ$1005,1,MATCH(COLUMNS($AO$1006:BQ1006),$AO$1006:$BQ$1006,0))&gt;=100000), " ",IF(INDEX($AO$2:$BQ$1001,MATCH(ROWS($AH$2:AH516),$AH$2:$AH$1001,0),MATCH(COLUMNS($AO$1006:BQ1006),$AO$1006:$BQ$1006,0)), HYPERLINK("#",""), HYPERLINK(CONCATENATE("#Metadata!", ADDRESS(INDEX($AJ$2:$AJ$1001,MATCH(ROWS($AH$2:AH516),$AH$2:$AH$1001,0),0), INDEX($AO$1004:$BQ$1004,1,MATCH(COLUMNS($AO$1006:BQ1006),$AO$1006:$BQ$1006,0)))),"Fix")))</f>
        <v>#REF!</v>
      </c>
      <c r="AH516">
        <f ca="1"/>
        <v>513</v>
      </c>
      <c r="AI516">
        <v>100516</v>
      </c>
      <c r="AJ516">
        <v>516</v>
      </c>
      <c r="AK516" t="b">
        <f t="shared" si="8"/>
        <v>1</v>
      </c>
      <c r="AL516" t="b">
        <f>COUNTBLANK(Metadata!B516:AD516)=COLUMNS(Metadata!B516:AD516)</f>
        <v>1</v>
      </c>
      <c r="AM516" t="str">
        <v/>
      </c>
      <c r="AO516" t="b">
        <f ca="1">AND(IF(Metadata!B516="",FALSE,TRUE),COUNTIF(Metadata!B:B, Metadata!B516) = 1,NOT(ISERROR(SUMPRODUCT(SEARCH(MID(Metadata!B516,ROW(INDIRECT("1:"&amp;LEN(Metadata!B516))), 1),"0123456789abcdefghijklmnopqrstuvwxyzABCDEFGHIJKLMNOPQRSTUVWXYZ.")))))</f>
        <v>0</v>
      </c>
      <c r="AP516" t="b">
        <f>IF(Metadata!C516="",FALSE,TRUE)</f>
        <v>0</v>
      </c>
      <c r="AQ516" t="b">
        <f>IF(Metadata!D516="",FALSE,TRUE)</f>
        <v>0</v>
      </c>
      <c r="AR516" t="b">
        <f ca="1">OR(AND(IF(Metadata!E516="",FALSE,TRUE),OR(EXACT(Metadata!E516,"not collected"),EXACT(Metadata!E516,"not provided"),EXACT(Metadata!E516,"restricted access"))),AND(IF(Metadata!E516="",FALSE,TRUE),AND(AND(IFERROR(INT(LEFT(Metadata!E516,4))&gt;1900,FALSE),IFERROR(INT(LEFT(Metadata!E516,4))&lt;=YEAR(NOW()),FALSE)), OR(MID(Metadata!E516,5,1)="", AND(AND(MID(Metadata!E516,5,1)="-",IFERROR(INT(MID(Metadata!E516,6,1))&gt;=0,FALSE),IFERROR(INT(MID(Metadata!E516,6,1))&lt;=1,FALSE),NOT(MID(Metadata!E516,7,1)=""),IFERROR(INT(MID(Metadata!E516,6,2))&gt;=1,FALSE),IFERROR(INT(MID(Metadata!E516,6,2))&lt;=12,FALSE)), OR(MID(Metadata!E516,8,1)="", AND(AND(MID(Metadata!E516,8,1)="-",IFERROR(INT(MID(Metadata!E516,9,1))&gt;=0,FALSE),IFERROR(INT(MID(Metadata!E516,9,1))&lt;=3,FALSE),NOT(MID(Metadata!E516,10,1)=""),IFERROR(INT(MID(Metadata!E516,9,2))&gt;=1,FALSE),IFERROR(INT(MID(Metadata!E516,9,2))&lt;=31,FALSE)), OR(MID(Metadata!E516,11,1)="", AND(AND(MID(Metadata!E516,11,1)=" ",IFERROR(INT(MID(Metadata!E516,12,1))&gt;=0,FALSE),IFERROR(INT(MID(Metadata!E516,12,1))&lt;=2,FALSE),NOT(MID(Metadata!E516,13,1)=""),IFERROR(INT(MID(Metadata!E516,12,2))&gt;=0,FALSE),IFERROR(INT(MID(Metadata!E516,12,2))&lt;=23,FALSE)), OR(MID(Metadata!E516,14,1)="", AND(AND(MID(Metadata!E516,14,1)=":",IFERROR(INT(MID(Metadata!E516,15,1))&gt;=0,FALSE),IFERROR(INT(MID(Metadata!E516,15,1))&lt;=5,FALSE),NOT(MID(Metadata!E516,16,1)=""),IFERROR(INT(MID(Metadata!E516,15,2))&gt;=0,FALSE),IFERROR(INT(MID(Metadata!E516,15,2))&lt;=59,FALSE)), OR(MID(Metadata!E516,17,1)="", AND(AND(MID(Metadata!E516,17,1)=":",IFERROR(INT(MID(Metadata!E516,18,1))&gt;=0,FALSE),IFERROR(INT(MID(Metadata!E516,18,1))&lt;=5,FALSE),NOT(MID(Metadata!E516,19,1)=""),IFERROR(INT(MID(Metadata!E516,18,2))&gt;=0,FALSE),IFERROR(INT(MID(Metadata!E516,18,2))&lt;=59,FALSE)), LEN(Metadata!E516)&lt;=19)))))))))))))</f>
        <v>0</v>
      </c>
      <c r="AS516" t="b">
        <f>IF(Metadata!F516="",FALSE,TRUE)</f>
        <v>0</v>
      </c>
      <c r="AT516" t="b">
        <f>OR(AND(IF(Metadata!G516="",FALSE,TRUE),OR(EXACT(Metadata!G516,"not collected"),EXACT(Metadata!G516,"not provided"))),AND(IF(Metadata!G516="",FALSE,TRUE),OR(EXACT(Metadata!G516,"TRUE"),EXACT(Metadata!G516,"FALSE"))))</f>
        <v>0</v>
      </c>
      <c r="AU516" t="b">
        <f>OR(AND(IF(Metadata!H516="",FALSE,TRUE),OR(EXACT(Metadata!H516,"not collected"),EXACT(Metadata!H516,"not provided"),EXACT(Metadata!H516,"restricted access"))),AND(IF(Metadata!H516="",FALSE,ISNUMBER(VALUE(Metadata!H516))),Metadata!H516&gt;=-413))</f>
        <v>0</v>
      </c>
      <c r="AV516" t="b">
        <f>AND(IF(Metadata!I516="",FALSE,TRUE),EXACT(Metadata!I516,"meters"))</f>
        <v>0</v>
      </c>
      <c r="AW516" t="b">
        <f>AND(IF(Metadata!J516="",FALSE,TRUE),EXACT(Metadata!J516,"free-living"))</f>
        <v>0</v>
      </c>
      <c r="AX516" t="b">
        <f>AND(IF(Metadata!K516="",FALSE,TRUE),OR(EXACT(Metadata!K516,"saline"),EXACT(Metadata!K516,"non-saline")))</f>
        <v>0</v>
      </c>
      <c r="AY516" t="b">
        <f>AND(IF(Metadata!L516="",FALSE,TRUE),OR(EXACT(Metadata!L516,"sub-surface (non-saline)"),EXACT(Metadata!L516,"surface (non-saline)"),EXACT(Metadata!L516,"water (non-saline)"),EXACT(Metadata!L516,"soil (non-saline)"),EXACT(Metadata!L516,"aerosol (non-saline)"),EXACT(Metadata!L516,"sediment (non-saline)"),EXACT(Metadata!L516,"surface (saline)"),EXACT(Metadata!L516,"water (saline)"),EXACT(Metadata!L516,"hypersaline (saline)"),EXACT(Metadata!L516,"aerosol (saline)"),EXACT(Metadata!L516,"sediment (saline)")))</f>
        <v>0</v>
      </c>
      <c r="AZ516" t="b">
        <f>IF(Metadata!M516="",FALSE,TRUE)</f>
        <v>0</v>
      </c>
      <c r="BA516" t="b">
        <f>IF(Metadata!N516="",FALSE,TRUE)</f>
        <v>0</v>
      </c>
      <c r="BB516" t="b">
        <f>IF(Metadata!O516="",FALSE,TRUE)</f>
        <v>0</v>
      </c>
      <c r="BC516" t="b">
        <f>AND(IF(Metadata!P516="",FALSE,TRUE),OR(EXACT(Metadata!P516,"air"),EXACT(Metadata!P516,"microbial mat/biofilm"),EXACT(Metadata!P516,"misc environment"),EXACT(Metadata!P516,"sediment"),EXACT(Metadata!P516,"soil"),EXACT(Metadata!P516,"wastewater/sludge"),EXACT(Metadata!P516,"water")))</f>
        <v>0</v>
      </c>
      <c r="BD516" t="b">
        <f>IF(Metadata!Q516="",FALSE,TRUE)</f>
        <v>0</v>
      </c>
      <c r="BE516" t="b">
        <f>IF(Metadata!R516="",FALSE,TRUE)</f>
        <v>0</v>
      </c>
      <c r="BF516" t="b">
        <f>OR(AND(IF(Metadata!S516="",FALSE,TRUE),OR(EXACT(Metadata!S516,"not collected"),EXACT(Metadata!S516,"not provided"),EXACT(Metadata!S516,"restricted access"))),AND(IF(Metadata!S516="",FALSE,ISNUMBER(VALUE(Metadata!S516))),Metadata!S516&gt;=-90,Metadata!S516&lt;=90))</f>
        <v>0</v>
      </c>
      <c r="BG516" t="b">
        <f>AND(IF(Metadata!T516="",FALSE,TRUE),EXACT(Metadata!T516,"Decimal degrees"))</f>
        <v>0</v>
      </c>
      <c r="BH516" t="b">
        <f>OR(AND(IF(Metadata!U516="",FALSE,TRUE),OR(EXACT(Metadata!U516,"not applicable"),EXACT(Metadata!U516,"not collected"))),IF(Metadata!U516="",FALSE,TRUE))</f>
        <v>0</v>
      </c>
      <c r="BI516" t="b">
        <f>OR(AND(IF(Metadata!V516="",FALSE,TRUE),OR(EXACT(Metadata!V516,"not collected"),EXACT(Metadata!V516,"not provided"),EXACT(Metadata!V516,"restricted access"))),AND(IF(Metadata!V516="",FALSE,ISNUMBER(VALUE(Metadata!V516))),Metadata!V516&gt;=-180,Metadata!V516&lt;=180))</f>
        <v>0</v>
      </c>
      <c r="BJ516" t="b">
        <f>AND(IF(Metadata!W516="",FALSE,TRUE),EXACT(Metadata!W516,"Decimal degrees"))</f>
        <v>0</v>
      </c>
      <c r="BK516" t="b">
        <f>IF(Metadata!X516="",FALSE,TRUE)</f>
        <v>0</v>
      </c>
      <c r="BL516" t="b">
        <f>OR(AND(IF(Metadata!Y516="",FALSE,TRUE),OR(EXACT(Metadata!Y516,"not collected"),EXACT(Metadata!Y516,"not provided"),EXACT(Metadata!Y516,"restricted access"))),AND(IF(Metadata!Y516="",FALSE,TRUE),OR(EXACT(Metadata!Y516,"TRUE"),EXACT(Metadata!Y516,"FALSE"))))</f>
        <v>0</v>
      </c>
      <c r="BM516" t="b">
        <f>OR(AND(IF(Metadata!Z516="",FALSE,TRUE),EXACT(Metadata!Z516,"not applicable")),AND(IF(Metadata!Z516="",FALSE,TRUE),OR(EXACT(Metadata!Z516,"beer"),EXACT(Metadata!Z516,"cheese"),EXACT(Metadata!Z516,"fresh water"),EXACT(Metadata!Z516,"marine sediment"),EXACT(Metadata!Z516,"sea water"),EXACT(Metadata!Z516,"sediment"),EXACT(Metadata!Z516,"soil"),EXACT(Metadata!Z516,"waste water"))))</f>
        <v>0</v>
      </c>
      <c r="BN516" t="b">
        <f>AND(IF(Metadata!AA516="",FALSE,TRUE),EXACT(Metadata!AA516,"metagenome"))</f>
        <v>0</v>
      </c>
      <c r="BO516" t="b">
        <f>AND(IF(Metadata!AB516="",FALSE,TRUE),EXACT(Metadata!AB516,"256318"))</f>
        <v>0</v>
      </c>
      <c r="BP516" t="b">
        <f>IF(Metadata!AC516="",FALSE,TRUE)</f>
        <v>0</v>
      </c>
      <c r="BQ516" t="b">
        <f>IF(Metadata!AD516="",FALSE,TRUE)</f>
        <v>0</v>
      </c>
    </row>
    <row r="517" spans="1:69" x14ac:dyDescent="0.2">
      <c r="A517" s="4" t="e">
        <f ca="1">IF(B517=" "," ",HYPERLINK(CONCATENATE("#metadata!",ADDRESS(INDEX($AJ$2:$AJ$1001,MATCH(ROWS($AH$2:AH517),$AH$2:$AH$1001,0),0),2)),INDEX($AM$2:$AM$1001,MATCH(ROWS($AH$2:AH517),$AH$2:$AH$1001,0),0)))</f>
        <v>#N/A</v>
      </c>
      <c r="B517" s="5" t="e">
        <f ca="1">IF(OR(INDEX($AI$2:$AI$1001,MATCH(ROWS($AH$2:AH517),$AH$2:$AH$1001,0),1)&gt;=100000,INDEX($AO$1005:$BQ$1005,1,MATCH(COLUMNS($AO$1006:AO1006),$AO$1006:$BQ$1006,0))&gt;=100000), " ",IF(INDEX($AO$2:$BQ$1001,MATCH(ROWS($AH$2:AH517),$AH$2:$AH$1001,0),MATCH(COLUMNS($AO$1006:AO1006),$AO$1006:$BQ$1006,0)), HYPERLINK("#",""), HYPERLINK(CONCATENATE("#Metadata!", ADDRESS(INDEX($AJ$2:$AJ$1001,MATCH(ROWS($AH$2:AH517),$AH$2:$AH$1001,0),0), INDEX($AO$1004:$BQ$1004,1,MATCH(COLUMNS($AO$1006:AO1006),$AO$1006:$BQ$1006,0)))),"Fix")))</f>
        <v>#N/A</v>
      </c>
      <c r="C517" s="5" t="e">
        <f ca="1">IF(OR(INDEX($AI$2:$AI$1001,MATCH(ROWS($AH$2:AH517),$AH$2:$AH$1001,0),1)&gt;=100000,INDEX($AO$1005:$BQ$1005,1,MATCH(COLUMNS($AO$1006:AP1006),$AO$1006:$BQ$1006,0))&gt;=100000), " ",IF(INDEX($AO$2:$BQ$1001,MATCH(ROWS($AH$2:AH517),$AH$2:$AH$1001,0),MATCH(COLUMNS($AO$1006:AP1006),$AO$1006:$BQ$1006,0)), HYPERLINK("#",""), HYPERLINK(CONCATENATE("#Metadata!", ADDRESS(INDEX($AJ$2:$AJ$1001,MATCH(ROWS($AH$2:AH517),$AH$2:$AH$1001,0),0), INDEX($AO$1004:$BQ$1004,1,MATCH(COLUMNS($AO$1006:AP1006),$AO$1006:$BQ$1006,0)))),"Fix")))</f>
        <v>#N/A</v>
      </c>
      <c r="D517" s="5" t="e">
        <f ca="1">IF(OR(INDEX($AI$2:$AI$1001,MATCH(ROWS($AH$2:AH517),$AH$2:$AH$1001,0),1)&gt;=100000,INDEX($AO$1005:$BQ$1005,1,MATCH(COLUMNS($AO$1006:AQ1006),$AO$1006:$BQ$1006,0))&gt;=100000), " ",IF(INDEX($AO$2:$BQ$1001,MATCH(ROWS($AH$2:AH517),$AH$2:$AH$1001,0),MATCH(COLUMNS($AO$1006:AQ1006),$AO$1006:$BQ$1006,0)), HYPERLINK("#",""), HYPERLINK(CONCATENATE("#Metadata!", ADDRESS(INDEX($AJ$2:$AJ$1001,MATCH(ROWS($AH$2:AH517),$AH$2:$AH$1001,0),0), INDEX($AO$1004:$BQ$1004,1,MATCH(COLUMNS($AO$1006:AQ1006),$AO$1006:$BQ$1006,0)))),"Fix")))</f>
        <v>#N/A</v>
      </c>
      <c r="E517" s="5" t="e">
        <f ca="1">IF(OR(INDEX($AI$2:$AI$1001,MATCH(ROWS($AH$2:AH517),$AH$2:$AH$1001,0),1)&gt;=100000,INDEX($AO$1005:$BQ$1005,1,MATCH(COLUMNS($AO$1006:AR1006),$AO$1006:$BQ$1006,0))&gt;=100000), " ",IF(INDEX($AO$2:$BQ$1001,MATCH(ROWS($AH$2:AH517),$AH$2:$AH$1001,0),MATCH(COLUMNS($AO$1006:AR1006),$AO$1006:$BQ$1006,0)), HYPERLINK("#",""), HYPERLINK(CONCATENATE("#Metadata!", ADDRESS(INDEX($AJ$2:$AJ$1001,MATCH(ROWS($AH$2:AH517),$AH$2:$AH$1001,0),0), INDEX($AO$1004:$BQ$1004,1,MATCH(COLUMNS($AO$1006:AR1006),$AO$1006:$BQ$1006,0)))),"Fix")))</f>
        <v>#N/A</v>
      </c>
      <c r="F517" s="5" t="e">
        <f ca="1">IF(OR(INDEX($AI$2:$AI$1001,MATCH(ROWS($AH$2:AH517),$AH$2:$AH$1001,0),1)&gt;=100000,INDEX($AO$1005:$BQ$1005,1,MATCH(COLUMNS($AO$1006:AS1006),$AO$1006:$BQ$1006,0))&gt;=100000), " ",IF(INDEX($AO$2:$BQ$1001,MATCH(ROWS($AH$2:AH517),$AH$2:$AH$1001,0),MATCH(COLUMNS($AO$1006:AS1006),$AO$1006:$BQ$1006,0)), HYPERLINK("#",""), HYPERLINK(CONCATENATE("#Metadata!", ADDRESS(INDEX($AJ$2:$AJ$1001,MATCH(ROWS($AH$2:AH517),$AH$2:$AH$1001,0),0), INDEX($AO$1004:$BQ$1004,1,MATCH(COLUMNS($AO$1006:AS1006),$AO$1006:$BQ$1006,0)))),"Fix")))</f>
        <v>#N/A</v>
      </c>
      <c r="G517" s="5" t="e">
        <f ca="1">IF(OR(INDEX($AI$2:$AI$1001,MATCH(ROWS($AH$2:AH517),$AH$2:$AH$1001,0),1)&gt;=100000,INDEX($AO$1005:$BQ$1005,1,MATCH(COLUMNS($AO$1006:AT1006),$AO$1006:$BQ$1006,0))&gt;=100000), " ",IF(INDEX($AO$2:$BQ$1001,MATCH(ROWS($AH$2:AH517),$AH$2:$AH$1001,0),MATCH(COLUMNS($AO$1006:AT1006),$AO$1006:$BQ$1006,0)), HYPERLINK("#",""), HYPERLINK(CONCATENATE("#Metadata!", ADDRESS(INDEX($AJ$2:$AJ$1001,MATCH(ROWS($AH$2:AH517),$AH$2:$AH$1001,0),0), INDEX($AO$1004:$BQ$1004,1,MATCH(COLUMNS($AO$1006:AT1006),$AO$1006:$BQ$1006,0)))),"Fix")))</f>
        <v>#N/A</v>
      </c>
      <c r="H517" s="5" t="e">
        <f ca="1">IF(OR(INDEX($AI$2:$AI$1001,MATCH(ROWS($AH$2:AH517),$AH$2:$AH$1001,0),1)&gt;=100000,INDEX($AO$1005:$BQ$1005,1,MATCH(COLUMNS($AO$1006:AU1006),$AO$1006:$BQ$1006,0))&gt;=100000), " ",IF(INDEX($AO$2:$BQ$1001,MATCH(ROWS($AH$2:AH517),$AH$2:$AH$1001,0),MATCH(COLUMNS($AO$1006:AU1006),$AO$1006:$BQ$1006,0)), HYPERLINK("#",""), HYPERLINK(CONCATENATE("#Metadata!", ADDRESS(INDEX($AJ$2:$AJ$1001,MATCH(ROWS($AH$2:AH517),$AH$2:$AH$1001,0),0), INDEX($AO$1004:$BQ$1004,1,MATCH(COLUMNS($AO$1006:AU1006),$AO$1006:$BQ$1006,0)))),"Fix")))</f>
        <v>#N/A</v>
      </c>
      <c r="I517" s="5" t="e">
        <f ca="1">IF(OR(INDEX($AI$2:$AI$1001,MATCH(ROWS($AH$2:AH517),$AH$2:$AH$1001,0),1)&gt;=100000,INDEX($AO$1005:$BQ$1005,1,MATCH(COLUMNS($AO$1006:AV1006),$AO$1006:$BQ$1006,0))&gt;=100000), " ",IF(INDEX($AO$2:$BQ$1001,MATCH(ROWS($AH$2:AH517),$AH$2:$AH$1001,0),MATCH(COLUMNS($AO$1006:AV1006),$AO$1006:$BQ$1006,0)), HYPERLINK("#",""), HYPERLINK(CONCATENATE("#Metadata!", ADDRESS(INDEX($AJ$2:$AJ$1001,MATCH(ROWS($AH$2:AH517),$AH$2:$AH$1001,0),0), INDEX($AO$1004:$BQ$1004,1,MATCH(COLUMNS($AO$1006:AV1006),$AO$1006:$BQ$1006,0)))),"Fix")))</f>
        <v>#N/A</v>
      </c>
      <c r="J517" s="5" t="e">
        <f ca="1">IF(OR(INDEX($AI$2:$AI$1001,MATCH(ROWS($AH$2:AH517),$AH$2:$AH$1001,0),1)&gt;=100000,INDEX($AO$1005:$BQ$1005,1,MATCH(COLUMNS($AO$1006:AW1006),$AO$1006:$BQ$1006,0))&gt;=100000), " ",IF(INDEX($AO$2:$BQ$1001,MATCH(ROWS($AH$2:AH517),$AH$2:$AH$1001,0),MATCH(COLUMNS($AO$1006:AW1006),$AO$1006:$BQ$1006,0)), HYPERLINK("#",""), HYPERLINK(CONCATENATE("#Metadata!", ADDRESS(INDEX($AJ$2:$AJ$1001,MATCH(ROWS($AH$2:AH517),$AH$2:$AH$1001,0),0), INDEX($AO$1004:$BQ$1004,1,MATCH(COLUMNS($AO$1006:AW1006),$AO$1006:$BQ$1006,0)))),"Fix")))</f>
        <v>#N/A</v>
      </c>
      <c r="K517" s="5" t="e">
        <f ca="1">IF(OR(INDEX($AI$2:$AI$1001,MATCH(ROWS($AH$2:AH517),$AH$2:$AH$1001,0),1)&gt;=100000,INDEX($AO$1005:$BQ$1005,1,MATCH(COLUMNS($AO$1006:AX1006),$AO$1006:$BQ$1006,0))&gt;=100000), " ",IF(INDEX($AO$2:$BQ$1001,MATCH(ROWS($AH$2:AH517),$AH$2:$AH$1001,0),MATCH(COLUMNS($AO$1006:AX1006),$AO$1006:$BQ$1006,0)), HYPERLINK("#",""), HYPERLINK(CONCATENATE("#Metadata!", ADDRESS(INDEX($AJ$2:$AJ$1001,MATCH(ROWS($AH$2:AH517),$AH$2:$AH$1001,0),0), INDEX($AO$1004:$BQ$1004,1,MATCH(COLUMNS($AO$1006:AX1006),$AO$1006:$BQ$1006,0)))),"Fix")))</f>
        <v>#N/A</v>
      </c>
      <c r="L517" s="5" t="e">
        <f ca="1">IF(OR(INDEX($AI$2:$AI$1001,MATCH(ROWS($AH$2:AH517),$AH$2:$AH$1001,0),1)&gt;=100000,INDEX($AO$1005:$BQ$1005,1,MATCH(COLUMNS($AO$1006:AY1006),$AO$1006:$BQ$1006,0))&gt;=100000), " ",IF(INDEX($AO$2:$BQ$1001,MATCH(ROWS($AH$2:AH517),$AH$2:$AH$1001,0),MATCH(COLUMNS($AO$1006:AY1006),$AO$1006:$BQ$1006,0)), HYPERLINK("#",""), HYPERLINK(CONCATENATE("#Metadata!", ADDRESS(INDEX($AJ$2:$AJ$1001,MATCH(ROWS($AH$2:AH517),$AH$2:$AH$1001,0),0), INDEX($AO$1004:$BQ$1004,1,MATCH(COLUMNS($AO$1006:AY1006),$AO$1006:$BQ$1006,0)))),"Fix")))</f>
        <v>#N/A</v>
      </c>
      <c r="M517" s="5" t="e">
        <f ca="1">IF(OR(INDEX($AI$2:$AI$1001,MATCH(ROWS($AH$2:AH517),$AH$2:$AH$1001,0),1)&gt;=100000,INDEX($AO$1005:$BQ$1005,1,MATCH(COLUMNS($AO$1006:AZ1006),$AO$1006:$BQ$1006,0))&gt;=100000), " ",IF(INDEX($AO$2:$BQ$1001,MATCH(ROWS($AH$2:AH517),$AH$2:$AH$1001,0),MATCH(COLUMNS($AO$1006:AZ1006),$AO$1006:$BQ$1006,0)), HYPERLINK("#",""), HYPERLINK(CONCATENATE("#Metadata!", ADDRESS(INDEX($AJ$2:$AJ$1001,MATCH(ROWS($AH$2:AH517),$AH$2:$AH$1001,0),0), INDEX($AO$1004:$BQ$1004,1,MATCH(COLUMNS($AO$1006:AZ1006),$AO$1006:$BQ$1006,0)))),"Fix")))</f>
        <v>#N/A</v>
      </c>
      <c r="N517" s="5" t="e">
        <f ca="1">IF(OR(INDEX($AI$2:$AI$1001,MATCH(ROWS($AH$2:AH517),$AH$2:$AH$1001,0),1)&gt;=100000,INDEX($AO$1005:$BQ$1005,1,MATCH(COLUMNS($AO$1006:BA1006),$AO$1006:$BQ$1006,0))&gt;=100000), " ",IF(INDEX($AO$2:$BQ$1001,MATCH(ROWS($AH$2:AH517),$AH$2:$AH$1001,0),MATCH(COLUMNS($AO$1006:BA1006),$AO$1006:$BQ$1006,0)), HYPERLINK("#",""), HYPERLINK(CONCATENATE("#Metadata!", ADDRESS(INDEX($AJ$2:$AJ$1001,MATCH(ROWS($AH$2:AH517),$AH$2:$AH$1001,0),0), INDEX($AO$1004:$BQ$1004,1,MATCH(COLUMNS($AO$1006:BA1006),$AO$1006:$BQ$1006,0)))),"Fix")))</f>
        <v>#N/A</v>
      </c>
      <c r="O517" s="5" t="e">
        <f ca="1">IF(OR(INDEX($AI$2:$AI$1001,MATCH(ROWS($AH$2:AH517),$AH$2:$AH$1001,0),1)&gt;=100000,INDEX($AO$1005:$BQ$1005,1,MATCH(COLUMNS($AO$1006:BB1006),$AO$1006:$BQ$1006,0))&gt;=100000), " ",IF(INDEX($AO$2:$BQ$1001,MATCH(ROWS($AH$2:AH517),$AH$2:$AH$1001,0),MATCH(COLUMNS($AO$1006:BB1006),$AO$1006:$BQ$1006,0)), HYPERLINK("#",""), HYPERLINK(CONCATENATE("#Metadata!", ADDRESS(INDEX($AJ$2:$AJ$1001,MATCH(ROWS($AH$2:AH517),$AH$2:$AH$1001,0),0), INDEX($AO$1004:$BQ$1004,1,MATCH(COLUMNS($AO$1006:BB1006),$AO$1006:$BQ$1006,0)))),"Fix")))</f>
        <v>#N/A</v>
      </c>
      <c r="P517" s="5" t="e">
        <f ca="1">IF(OR(INDEX($AI$2:$AI$1001,MATCH(ROWS($AH$2:AH517),$AH$2:$AH$1001,0),1)&gt;=100000,INDEX($AO$1005:$BQ$1005,1,MATCH(COLUMNS($AO$1006:BC1006),$AO$1006:$BQ$1006,0))&gt;=100000), " ",IF(INDEX($AO$2:$BQ$1001,MATCH(ROWS($AH$2:AH517),$AH$2:$AH$1001,0),MATCH(COLUMNS($AO$1006:BC1006),$AO$1006:$BQ$1006,0)), HYPERLINK("#",""), HYPERLINK(CONCATENATE("#Metadata!", ADDRESS(INDEX($AJ$2:$AJ$1001,MATCH(ROWS($AH$2:AH517),$AH$2:$AH$1001,0),0), INDEX($AO$1004:$BQ$1004,1,MATCH(COLUMNS($AO$1006:BC1006),$AO$1006:$BQ$1006,0)))),"Fix")))</f>
        <v>#N/A</v>
      </c>
      <c r="Q517" s="5" t="e">
        <f ca="1">IF(OR(INDEX($AI$2:$AI$1001,MATCH(ROWS($AH$2:AH517),$AH$2:$AH$1001,0),1)&gt;=100000,INDEX($AO$1005:$BQ$1005,1,MATCH(COLUMNS($AO$1006:BD1006),$AO$1006:$BQ$1006,0))&gt;=100000), " ",IF(INDEX($AO$2:$BQ$1001,MATCH(ROWS($AH$2:AH517),$AH$2:$AH$1001,0),MATCH(COLUMNS($AO$1006:BD1006),$AO$1006:$BQ$1006,0)), HYPERLINK("#",""), HYPERLINK(CONCATENATE("#Metadata!", ADDRESS(INDEX($AJ$2:$AJ$1001,MATCH(ROWS($AH$2:AH517),$AH$2:$AH$1001,0),0), INDEX($AO$1004:$BQ$1004,1,MATCH(COLUMNS($AO$1006:BD1006),$AO$1006:$BQ$1006,0)))),"Fix")))</f>
        <v>#N/A</v>
      </c>
      <c r="R517" s="5" t="e">
        <f ca="1">IF(OR(INDEX($AI$2:$AI$1001,MATCH(ROWS($AH$2:AH517),$AH$2:$AH$1001,0),1)&gt;=100000,INDEX($AO$1005:$BQ$1005,1,MATCH(COLUMNS($AO$1006:BE1006),$AO$1006:$BQ$1006,0))&gt;=100000), " ",IF(INDEX($AO$2:$BQ$1001,MATCH(ROWS($AH$2:AH517),$AH$2:$AH$1001,0),MATCH(COLUMNS($AO$1006:BE1006),$AO$1006:$BQ$1006,0)), HYPERLINK("#",""), HYPERLINK(CONCATENATE("#Metadata!", ADDRESS(INDEX($AJ$2:$AJ$1001,MATCH(ROWS($AH$2:AH517),$AH$2:$AH$1001,0),0), INDEX($AO$1004:$BQ$1004,1,MATCH(COLUMNS($AO$1006:BE1006),$AO$1006:$BQ$1006,0)))),"Fix")))</f>
        <v>#N/A</v>
      </c>
      <c r="S517" s="5" t="e">
        <f ca="1">IF(OR(INDEX($AI$2:$AI$1001,MATCH(ROWS($AH$2:AH517),$AH$2:$AH$1001,0),1)&gt;=100000,INDEX($AO$1005:$BQ$1005,1,MATCH(COLUMNS($AO$1006:BF1006),$AO$1006:$BQ$1006,0))&gt;=100000), " ",IF(INDEX($AO$2:$BQ$1001,MATCH(ROWS($AH$2:AH517),$AH$2:$AH$1001,0),MATCH(COLUMNS($AO$1006:BF1006),$AO$1006:$BQ$1006,0)), HYPERLINK("#",""), HYPERLINK(CONCATENATE("#Metadata!", ADDRESS(INDEX($AJ$2:$AJ$1001,MATCH(ROWS($AH$2:AH517),$AH$2:$AH$1001,0),0), INDEX($AO$1004:$BQ$1004,1,MATCH(COLUMNS($AO$1006:BF1006),$AO$1006:$BQ$1006,0)))),"Fix")))</f>
        <v>#N/A</v>
      </c>
      <c r="T517" s="5" t="e">
        <f ca="1">IF(OR(INDEX($AI$2:$AI$1001,MATCH(ROWS($AH$2:AH517),$AH$2:$AH$1001,0),1)&gt;=100000,INDEX($AO$1005:$BQ$1005,1,MATCH(COLUMNS($AO$1006:BG1006),$AO$1006:$BQ$1006,0))&gt;=100000), " ",IF(INDEX($AO$2:$BQ$1001,MATCH(ROWS($AH$2:AH517),$AH$2:$AH$1001,0),MATCH(COLUMNS($AO$1006:BG1006),$AO$1006:$BQ$1006,0)), HYPERLINK("#",""), HYPERLINK(CONCATENATE("#Metadata!", ADDRESS(INDEX($AJ$2:$AJ$1001,MATCH(ROWS($AH$2:AH517),$AH$2:$AH$1001,0),0), INDEX($AO$1004:$BQ$1004,1,MATCH(COLUMNS($AO$1006:BG1006),$AO$1006:$BQ$1006,0)))),"Fix")))</f>
        <v>#N/A</v>
      </c>
      <c r="U517" s="5" t="e">
        <f ca="1">IF(OR(INDEX($AI$2:$AI$1001,MATCH(ROWS($AH$2:AH517),$AH$2:$AH$1001,0),1)&gt;=100000,INDEX($AO$1005:$BQ$1005,1,MATCH(COLUMNS($AO$1006:BH1006),$AO$1006:$BQ$1006,0))&gt;=100000), " ",IF(INDEX($AO$2:$BQ$1001,MATCH(ROWS($AH$2:AH517),$AH$2:$AH$1001,0),MATCH(COLUMNS($AO$1006:BH1006),$AO$1006:$BQ$1006,0)), HYPERLINK("#",""), HYPERLINK(CONCATENATE("#Metadata!", ADDRESS(INDEX($AJ$2:$AJ$1001,MATCH(ROWS($AH$2:AH517),$AH$2:$AH$1001,0),0), INDEX($AO$1004:$BQ$1004,1,MATCH(COLUMNS($AO$1006:BH1006),$AO$1006:$BQ$1006,0)))),"Fix")))</f>
        <v>#N/A</v>
      </c>
      <c r="V517" s="5" t="e">
        <f ca="1">IF(OR(INDEX($AI$2:$AI$1001,MATCH(ROWS($AH$2:AH517),$AH$2:$AH$1001,0),1)&gt;=100000,INDEX($AO$1005:$BQ$1005,1,MATCH(COLUMNS($AO$1006:BI1006),$AO$1006:$BQ$1006,0))&gt;=100000), " ",IF(INDEX($AO$2:$BQ$1001,MATCH(ROWS($AH$2:AH517),$AH$2:$AH$1001,0),MATCH(COLUMNS($AO$1006:BI1006),$AO$1006:$BQ$1006,0)), HYPERLINK("#",""), HYPERLINK(CONCATENATE("#Metadata!", ADDRESS(INDEX($AJ$2:$AJ$1001,MATCH(ROWS($AH$2:AH517),$AH$2:$AH$1001,0),0), INDEX($AO$1004:$BQ$1004,1,MATCH(COLUMNS($AO$1006:BI1006),$AO$1006:$BQ$1006,0)))),"Fix")))</f>
        <v>#N/A</v>
      </c>
      <c r="W517" s="5" t="e">
        <f ca="1">IF(OR(INDEX($AI$2:$AI$1001,MATCH(ROWS($AH$2:AH517),$AH$2:$AH$1001,0),1)&gt;=100000,INDEX($AO$1005:$BQ$1005,1,MATCH(COLUMNS($AO$1006:BJ1006),$AO$1006:$BQ$1006,0))&gt;=100000), " ",IF(INDEX($AO$2:$BQ$1001,MATCH(ROWS($AH$2:AH517),$AH$2:$AH$1001,0),MATCH(COLUMNS($AO$1006:BJ1006),$AO$1006:$BQ$1006,0)), HYPERLINK("#",""), HYPERLINK(CONCATENATE("#Metadata!", ADDRESS(INDEX($AJ$2:$AJ$1001,MATCH(ROWS($AH$2:AH517),$AH$2:$AH$1001,0),0), INDEX($AO$1004:$BQ$1004,1,MATCH(COLUMNS($AO$1006:BJ1006),$AO$1006:$BQ$1006,0)))),"Fix")))</f>
        <v>#N/A</v>
      </c>
      <c r="X517" s="5" t="e">
        <f ca="1">IF(OR(INDEX($AI$2:$AI$1001,MATCH(ROWS($AH$2:AH517),$AH$2:$AH$1001,0),1)&gt;=100000,INDEX($AO$1005:$BQ$1005,1,MATCH(COLUMNS($AO$1006:BK1006),$AO$1006:$BQ$1006,0))&gt;=100000), " ",IF(INDEX($AO$2:$BQ$1001,MATCH(ROWS($AH$2:AH517),$AH$2:$AH$1001,0),MATCH(COLUMNS($AO$1006:BK1006),$AO$1006:$BQ$1006,0)), HYPERLINK("#",""), HYPERLINK(CONCATENATE("#Metadata!", ADDRESS(INDEX($AJ$2:$AJ$1001,MATCH(ROWS($AH$2:AH517),$AH$2:$AH$1001,0),0), INDEX($AO$1004:$BQ$1004,1,MATCH(COLUMNS($AO$1006:BK1006),$AO$1006:$BQ$1006,0)))),"Fix")))</f>
        <v>#N/A</v>
      </c>
      <c r="Y517" s="5" t="e">
        <f ca="1">IF(OR(INDEX($AI$2:$AI$1001,MATCH(ROWS($AH$2:AH517),$AH$2:$AH$1001,0),1)&gt;=100000,INDEX($AO$1005:$BQ$1005,1,MATCH(COLUMNS($AO$1006:BL1006),$AO$1006:$BQ$1006,0))&gt;=100000), " ",IF(INDEX($AO$2:$BQ$1001,MATCH(ROWS($AH$2:AH517),$AH$2:$AH$1001,0),MATCH(COLUMNS($AO$1006:BL1006),$AO$1006:$BQ$1006,0)), HYPERLINK("#",""), HYPERLINK(CONCATENATE("#Metadata!", ADDRESS(INDEX($AJ$2:$AJ$1001,MATCH(ROWS($AH$2:AH517),$AH$2:$AH$1001,0),0), INDEX($AO$1004:$BQ$1004,1,MATCH(COLUMNS($AO$1006:BL1006),$AO$1006:$BQ$1006,0)))),"Fix")))</f>
        <v>#N/A</v>
      </c>
      <c r="Z517" s="5" t="e">
        <f ca="1">IF(OR(INDEX($AI$2:$AI$1001,MATCH(ROWS($AH$2:AH517),$AH$2:$AH$1001,0),1)&gt;=100000,INDEX($AO$1005:$BQ$1005,1,MATCH(COLUMNS($AO$1006:BM1006),$AO$1006:$BQ$1006,0))&gt;=100000), " ",IF(INDEX($AO$2:$BQ$1001,MATCH(ROWS($AH$2:AH517),$AH$2:$AH$1001,0),MATCH(COLUMNS($AO$1006:BM1006),$AO$1006:$BQ$1006,0)), HYPERLINK("#",""), HYPERLINK(CONCATENATE("#Metadata!", ADDRESS(INDEX($AJ$2:$AJ$1001,MATCH(ROWS($AH$2:AH517),$AH$2:$AH$1001,0),0), INDEX($AO$1004:$BQ$1004,1,MATCH(COLUMNS($AO$1006:BM1006),$AO$1006:$BQ$1006,0)))),"Fix")))</f>
        <v>#N/A</v>
      </c>
      <c r="AA517" s="5" t="e">
        <f ca="1">IF(OR(INDEX($AI$2:$AI$1001,MATCH(ROWS($AH$2:AH517),$AH$2:$AH$1001,0),1)&gt;=100000,INDEX($AO$1005:$BQ$1005,1,MATCH(COLUMNS($AO$1006:BN1006),$AO$1006:$BQ$1006,0))&gt;=100000), " ",IF(INDEX($AO$2:$BQ$1001,MATCH(ROWS($AH$2:AH517),$AH$2:$AH$1001,0),MATCH(COLUMNS($AO$1006:BN1006),$AO$1006:$BQ$1006,0)), HYPERLINK("#",""), HYPERLINK(CONCATENATE("#Metadata!", ADDRESS(INDEX($AJ$2:$AJ$1001,MATCH(ROWS($AH$2:AH517),$AH$2:$AH$1001,0),0), INDEX($AO$1004:$BQ$1004,1,MATCH(COLUMNS($AO$1006:BN1006),$AO$1006:$BQ$1006,0)))),"Fix")))</f>
        <v>#N/A</v>
      </c>
      <c r="AB517" s="5" t="e">
        <f ca="1">IF(OR(INDEX($AI$2:$AI$1001,MATCH(ROWS($AH$2:AH517),$AH$2:$AH$1001,0),1)&gt;=100000,INDEX($AO$1005:$BQ$1005,1,MATCH(COLUMNS($AO$1006:BO1006),$AO$1006:$BQ$1006,0))&gt;=100000), " ",IF(INDEX($AO$2:$BQ$1001,MATCH(ROWS($AH$2:AH517),$AH$2:$AH$1001,0),MATCH(COLUMNS($AO$1006:BO1006),$AO$1006:$BQ$1006,0)), HYPERLINK("#",""), HYPERLINK(CONCATENATE("#Metadata!", ADDRESS(INDEX($AJ$2:$AJ$1001,MATCH(ROWS($AH$2:AH517),$AH$2:$AH$1001,0),0), INDEX($AO$1004:$BQ$1004,1,MATCH(COLUMNS($AO$1006:BO1006),$AO$1006:$BQ$1006,0)))),"Fix")))</f>
        <v>#N/A</v>
      </c>
      <c r="AC517" s="5" t="e">
        <f ca="1">IF(OR(INDEX($AI$2:$AI$1001,MATCH(ROWS($AH$2:AH517),$AH$2:$AH$1001,0),1)&gt;=100000,INDEX($AO$1005:$BQ$1005,1,MATCH(COLUMNS($AO$1006:BP1006),$AO$1006:$BQ$1006,0))&gt;=100000), " ",IF(INDEX($AO$2:$BQ$1001,MATCH(ROWS($AH$2:AH517),$AH$2:$AH$1001,0),MATCH(COLUMNS($AO$1006:BP1006),$AO$1006:$BQ$1006,0)), HYPERLINK("#",""), HYPERLINK(CONCATENATE("#Metadata!", ADDRESS(INDEX($AJ$2:$AJ$1001,MATCH(ROWS($AH$2:AH517),$AH$2:$AH$1001,0),0), INDEX($AO$1004:$BQ$1004,1,MATCH(COLUMNS($AO$1006:BP1006),$AO$1006:$BQ$1006,0)))),"Fix")))</f>
        <v>#N/A</v>
      </c>
      <c r="AD517" s="5" t="e">
        <f ca="1">IF(OR(INDEX($AI$2:$AI$1001,MATCH(ROWS($AH$2:AH517),$AH$2:$AH$1001,0),1)&gt;=100000,INDEX($AO$1005:$BQ$1005,1,MATCH(COLUMNS($AO$1006:BQ1006),$AO$1006:$BQ$1006,0))&gt;=100000), " ",IF(INDEX($AO$2:$BQ$1001,MATCH(ROWS($AH$2:AH517),$AH$2:$AH$1001,0),MATCH(COLUMNS($AO$1006:BQ1006),$AO$1006:$BQ$1006,0)), HYPERLINK("#",""), HYPERLINK(CONCATENATE("#Metadata!", ADDRESS(INDEX($AJ$2:$AJ$1001,MATCH(ROWS($AH$2:AH517),$AH$2:$AH$1001,0),0), INDEX($AO$1004:$BQ$1004,1,MATCH(COLUMNS($AO$1006:BQ1006),$AO$1006:$BQ$1006,0)))),"Fix")))</f>
        <v>#REF!</v>
      </c>
      <c r="AH517">
        <f ca="1"/>
        <v>514</v>
      </c>
      <c r="AI517">
        <v>100517</v>
      </c>
      <c r="AJ517">
        <v>517</v>
      </c>
      <c r="AK517" t="b">
        <f t="shared" si="8"/>
        <v>1</v>
      </c>
      <c r="AL517" t="b">
        <f>COUNTBLANK(Metadata!B517:AD517)=COLUMNS(Metadata!B517:AD517)</f>
        <v>1</v>
      </c>
      <c r="AM517" t="str">
        <v/>
      </c>
      <c r="AO517" t="b">
        <f ca="1">AND(IF(Metadata!B517="",FALSE,TRUE),COUNTIF(Metadata!B:B, Metadata!B517) = 1,NOT(ISERROR(SUMPRODUCT(SEARCH(MID(Metadata!B517,ROW(INDIRECT("1:"&amp;LEN(Metadata!B517))), 1),"0123456789abcdefghijklmnopqrstuvwxyzABCDEFGHIJKLMNOPQRSTUVWXYZ.")))))</f>
        <v>0</v>
      </c>
      <c r="AP517" t="b">
        <f>IF(Metadata!C517="",FALSE,TRUE)</f>
        <v>0</v>
      </c>
      <c r="AQ517" t="b">
        <f>IF(Metadata!D517="",FALSE,TRUE)</f>
        <v>0</v>
      </c>
      <c r="AR517" t="b">
        <f ca="1">OR(AND(IF(Metadata!E517="",FALSE,TRUE),OR(EXACT(Metadata!E517,"not collected"),EXACT(Metadata!E517,"not provided"),EXACT(Metadata!E517,"restricted access"))),AND(IF(Metadata!E517="",FALSE,TRUE),AND(AND(IFERROR(INT(LEFT(Metadata!E517,4))&gt;1900,FALSE),IFERROR(INT(LEFT(Metadata!E517,4))&lt;=YEAR(NOW()),FALSE)), OR(MID(Metadata!E517,5,1)="", AND(AND(MID(Metadata!E517,5,1)="-",IFERROR(INT(MID(Metadata!E517,6,1))&gt;=0,FALSE),IFERROR(INT(MID(Metadata!E517,6,1))&lt;=1,FALSE),NOT(MID(Metadata!E517,7,1)=""),IFERROR(INT(MID(Metadata!E517,6,2))&gt;=1,FALSE),IFERROR(INT(MID(Metadata!E517,6,2))&lt;=12,FALSE)), OR(MID(Metadata!E517,8,1)="", AND(AND(MID(Metadata!E517,8,1)="-",IFERROR(INT(MID(Metadata!E517,9,1))&gt;=0,FALSE),IFERROR(INT(MID(Metadata!E517,9,1))&lt;=3,FALSE),NOT(MID(Metadata!E517,10,1)=""),IFERROR(INT(MID(Metadata!E517,9,2))&gt;=1,FALSE),IFERROR(INT(MID(Metadata!E517,9,2))&lt;=31,FALSE)), OR(MID(Metadata!E517,11,1)="", AND(AND(MID(Metadata!E517,11,1)=" ",IFERROR(INT(MID(Metadata!E517,12,1))&gt;=0,FALSE),IFERROR(INT(MID(Metadata!E517,12,1))&lt;=2,FALSE),NOT(MID(Metadata!E517,13,1)=""),IFERROR(INT(MID(Metadata!E517,12,2))&gt;=0,FALSE),IFERROR(INT(MID(Metadata!E517,12,2))&lt;=23,FALSE)), OR(MID(Metadata!E517,14,1)="", AND(AND(MID(Metadata!E517,14,1)=":",IFERROR(INT(MID(Metadata!E517,15,1))&gt;=0,FALSE),IFERROR(INT(MID(Metadata!E517,15,1))&lt;=5,FALSE),NOT(MID(Metadata!E517,16,1)=""),IFERROR(INT(MID(Metadata!E517,15,2))&gt;=0,FALSE),IFERROR(INT(MID(Metadata!E517,15,2))&lt;=59,FALSE)), OR(MID(Metadata!E517,17,1)="", AND(AND(MID(Metadata!E517,17,1)=":",IFERROR(INT(MID(Metadata!E517,18,1))&gt;=0,FALSE),IFERROR(INT(MID(Metadata!E517,18,1))&lt;=5,FALSE),NOT(MID(Metadata!E517,19,1)=""),IFERROR(INT(MID(Metadata!E517,18,2))&gt;=0,FALSE),IFERROR(INT(MID(Metadata!E517,18,2))&lt;=59,FALSE)), LEN(Metadata!E517)&lt;=19)))))))))))))</f>
        <v>0</v>
      </c>
      <c r="AS517" t="b">
        <f>IF(Metadata!F517="",FALSE,TRUE)</f>
        <v>0</v>
      </c>
      <c r="AT517" t="b">
        <f>OR(AND(IF(Metadata!G517="",FALSE,TRUE),OR(EXACT(Metadata!G517,"not collected"),EXACT(Metadata!G517,"not provided"))),AND(IF(Metadata!G517="",FALSE,TRUE),OR(EXACT(Metadata!G517,"TRUE"),EXACT(Metadata!G517,"FALSE"))))</f>
        <v>0</v>
      </c>
      <c r="AU517" t="b">
        <f>OR(AND(IF(Metadata!H517="",FALSE,TRUE),OR(EXACT(Metadata!H517,"not collected"),EXACT(Metadata!H517,"not provided"),EXACT(Metadata!H517,"restricted access"))),AND(IF(Metadata!H517="",FALSE,ISNUMBER(VALUE(Metadata!H517))),Metadata!H517&gt;=-413))</f>
        <v>0</v>
      </c>
      <c r="AV517" t="b">
        <f>AND(IF(Metadata!I517="",FALSE,TRUE),EXACT(Metadata!I517,"meters"))</f>
        <v>0</v>
      </c>
      <c r="AW517" t="b">
        <f>AND(IF(Metadata!J517="",FALSE,TRUE),EXACT(Metadata!J517,"free-living"))</f>
        <v>0</v>
      </c>
      <c r="AX517" t="b">
        <f>AND(IF(Metadata!K517="",FALSE,TRUE),OR(EXACT(Metadata!K517,"saline"),EXACT(Metadata!K517,"non-saline")))</f>
        <v>0</v>
      </c>
      <c r="AY517" t="b">
        <f>AND(IF(Metadata!L517="",FALSE,TRUE),OR(EXACT(Metadata!L517,"sub-surface (non-saline)"),EXACT(Metadata!L517,"surface (non-saline)"),EXACT(Metadata!L517,"water (non-saline)"),EXACT(Metadata!L517,"soil (non-saline)"),EXACT(Metadata!L517,"aerosol (non-saline)"),EXACT(Metadata!L517,"sediment (non-saline)"),EXACT(Metadata!L517,"surface (saline)"),EXACT(Metadata!L517,"water (saline)"),EXACT(Metadata!L517,"hypersaline (saline)"),EXACT(Metadata!L517,"aerosol (saline)"),EXACT(Metadata!L517,"sediment (saline)")))</f>
        <v>0</v>
      </c>
      <c r="AZ517" t="b">
        <f>IF(Metadata!M517="",FALSE,TRUE)</f>
        <v>0</v>
      </c>
      <c r="BA517" t="b">
        <f>IF(Metadata!N517="",FALSE,TRUE)</f>
        <v>0</v>
      </c>
      <c r="BB517" t="b">
        <f>IF(Metadata!O517="",FALSE,TRUE)</f>
        <v>0</v>
      </c>
      <c r="BC517" t="b">
        <f>AND(IF(Metadata!P517="",FALSE,TRUE),OR(EXACT(Metadata!P517,"air"),EXACT(Metadata!P517,"microbial mat/biofilm"),EXACT(Metadata!P517,"misc environment"),EXACT(Metadata!P517,"sediment"),EXACT(Metadata!P517,"soil"),EXACT(Metadata!P517,"wastewater/sludge"),EXACT(Metadata!P517,"water")))</f>
        <v>0</v>
      </c>
      <c r="BD517" t="b">
        <f>IF(Metadata!Q517="",FALSE,TRUE)</f>
        <v>0</v>
      </c>
      <c r="BE517" t="b">
        <f>IF(Metadata!R517="",FALSE,TRUE)</f>
        <v>0</v>
      </c>
      <c r="BF517" t="b">
        <f>OR(AND(IF(Metadata!S517="",FALSE,TRUE),OR(EXACT(Metadata!S517,"not collected"),EXACT(Metadata!S517,"not provided"),EXACT(Metadata!S517,"restricted access"))),AND(IF(Metadata!S517="",FALSE,ISNUMBER(VALUE(Metadata!S517))),Metadata!S517&gt;=-90,Metadata!S517&lt;=90))</f>
        <v>0</v>
      </c>
      <c r="BG517" t="b">
        <f>AND(IF(Metadata!T517="",FALSE,TRUE),EXACT(Metadata!T517,"Decimal degrees"))</f>
        <v>0</v>
      </c>
      <c r="BH517" t="b">
        <f>OR(AND(IF(Metadata!U517="",FALSE,TRUE),OR(EXACT(Metadata!U517,"not applicable"),EXACT(Metadata!U517,"not collected"))),IF(Metadata!U517="",FALSE,TRUE))</f>
        <v>0</v>
      </c>
      <c r="BI517" t="b">
        <f>OR(AND(IF(Metadata!V517="",FALSE,TRUE),OR(EXACT(Metadata!V517,"not collected"),EXACT(Metadata!V517,"not provided"),EXACT(Metadata!V517,"restricted access"))),AND(IF(Metadata!V517="",FALSE,ISNUMBER(VALUE(Metadata!V517))),Metadata!V517&gt;=-180,Metadata!V517&lt;=180))</f>
        <v>0</v>
      </c>
      <c r="BJ517" t="b">
        <f>AND(IF(Metadata!W517="",FALSE,TRUE),EXACT(Metadata!W517,"Decimal degrees"))</f>
        <v>0</v>
      </c>
      <c r="BK517" t="b">
        <f>IF(Metadata!X517="",FALSE,TRUE)</f>
        <v>0</v>
      </c>
      <c r="BL517" t="b">
        <f>OR(AND(IF(Metadata!Y517="",FALSE,TRUE),OR(EXACT(Metadata!Y517,"not collected"),EXACT(Metadata!Y517,"not provided"),EXACT(Metadata!Y517,"restricted access"))),AND(IF(Metadata!Y517="",FALSE,TRUE),OR(EXACT(Metadata!Y517,"TRUE"),EXACT(Metadata!Y517,"FALSE"))))</f>
        <v>0</v>
      </c>
      <c r="BM517" t="b">
        <f>OR(AND(IF(Metadata!Z517="",FALSE,TRUE),EXACT(Metadata!Z517,"not applicable")),AND(IF(Metadata!Z517="",FALSE,TRUE),OR(EXACT(Metadata!Z517,"beer"),EXACT(Metadata!Z517,"cheese"),EXACT(Metadata!Z517,"fresh water"),EXACT(Metadata!Z517,"marine sediment"),EXACT(Metadata!Z517,"sea water"),EXACT(Metadata!Z517,"sediment"),EXACT(Metadata!Z517,"soil"),EXACT(Metadata!Z517,"waste water"))))</f>
        <v>0</v>
      </c>
      <c r="BN517" t="b">
        <f>AND(IF(Metadata!AA517="",FALSE,TRUE),EXACT(Metadata!AA517,"metagenome"))</f>
        <v>0</v>
      </c>
      <c r="BO517" t="b">
        <f>AND(IF(Metadata!AB517="",FALSE,TRUE),EXACT(Metadata!AB517,"256318"))</f>
        <v>0</v>
      </c>
      <c r="BP517" t="b">
        <f>IF(Metadata!AC517="",FALSE,TRUE)</f>
        <v>0</v>
      </c>
      <c r="BQ517" t="b">
        <f>IF(Metadata!AD517="",FALSE,TRUE)</f>
        <v>0</v>
      </c>
    </row>
    <row r="518" spans="1:69" x14ac:dyDescent="0.2">
      <c r="A518" s="4" t="e">
        <f ca="1">IF(B518=" "," ",HYPERLINK(CONCATENATE("#metadata!",ADDRESS(INDEX($AJ$2:$AJ$1001,MATCH(ROWS($AH$2:AH518),$AH$2:$AH$1001,0),0),2)),INDEX($AM$2:$AM$1001,MATCH(ROWS($AH$2:AH518),$AH$2:$AH$1001,0),0)))</f>
        <v>#N/A</v>
      </c>
      <c r="B518" s="5" t="e">
        <f ca="1">IF(OR(INDEX($AI$2:$AI$1001,MATCH(ROWS($AH$2:AH518),$AH$2:$AH$1001,0),1)&gt;=100000,INDEX($AO$1005:$BQ$1005,1,MATCH(COLUMNS($AO$1006:AO1006),$AO$1006:$BQ$1006,0))&gt;=100000), " ",IF(INDEX($AO$2:$BQ$1001,MATCH(ROWS($AH$2:AH518),$AH$2:$AH$1001,0),MATCH(COLUMNS($AO$1006:AO1006),$AO$1006:$BQ$1006,0)), HYPERLINK("#",""), HYPERLINK(CONCATENATE("#Metadata!", ADDRESS(INDEX($AJ$2:$AJ$1001,MATCH(ROWS($AH$2:AH518),$AH$2:$AH$1001,0),0), INDEX($AO$1004:$BQ$1004,1,MATCH(COLUMNS($AO$1006:AO1006),$AO$1006:$BQ$1006,0)))),"Fix")))</f>
        <v>#N/A</v>
      </c>
      <c r="C518" s="5" t="e">
        <f ca="1">IF(OR(INDEX($AI$2:$AI$1001,MATCH(ROWS($AH$2:AH518),$AH$2:$AH$1001,0),1)&gt;=100000,INDEX($AO$1005:$BQ$1005,1,MATCH(COLUMNS($AO$1006:AP1006),$AO$1006:$BQ$1006,0))&gt;=100000), " ",IF(INDEX($AO$2:$BQ$1001,MATCH(ROWS($AH$2:AH518),$AH$2:$AH$1001,0),MATCH(COLUMNS($AO$1006:AP1006),$AO$1006:$BQ$1006,0)), HYPERLINK("#",""), HYPERLINK(CONCATENATE("#Metadata!", ADDRESS(INDEX($AJ$2:$AJ$1001,MATCH(ROWS($AH$2:AH518),$AH$2:$AH$1001,0),0), INDEX($AO$1004:$BQ$1004,1,MATCH(COLUMNS($AO$1006:AP1006),$AO$1006:$BQ$1006,0)))),"Fix")))</f>
        <v>#N/A</v>
      </c>
      <c r="D518" s="5" t="e">
        <f ca="1">IF(OR(INDEX($AI$2:$AI$1001,MATCH(ROWS($AH$2:AH518),$AH$2:$AH$1001,0),1)&gt;=100000,INDEX($AO$1005:$BQ$1005,1,MATCH(COLUMNS($AO$1006:AQ1006),$AO$1006:$BQ$1006,0))&gt;=100000), " ",IF(INDEX($AO$2:$BQ$1001,MATCH(ROWS($AH$2:AH518),$AH$2:$AH$1001,0),MATCH(COLUMNS($AO$1006:AQ1006),$AO$1006:$BQ$1006,0)), HYPERLINK("#",""), HYPERLINK(CONCATENATE("#Metadata!", ADDRESS(INDEX($AJ$2:$AJ$1001,MATCH(ROWS($AH$2:AH518),$AH$2:$AH$1001,0),0), INDEX($AO$1004:$BQ$1004,1,MATCH(COLUMNS($AO$1006:AQ1006),$AO$1006:$BQ$1006,0)))),"Fix")))</f>
        <v>#N/A</v>
      </c>
      <c r="E518" s="5" t="e">
        <f ca="1">IF(OR(INDEX($AI$2:$AI$1001,MATCH(ROWS($AH$2:AH518),$AH$2:$AH$1001,0),1)&gt;=100000,INDEX($AO$1005:$BQ$1005,1,MATCH(COLUMNS($AO$1006:AR1006),$AO$1006:$BQ$1006,0))&gt;=100000), " ",IF(INDEX($AO$2:$BQ$1001,MATCH(ROWS($AH$2:AH518),$AH$2:$AH$1001,0),MATCH(COLUMNS($AO$1006:AR1006),$AO$1006:$BQ$1006,0)), HYPERLINK("#",""), HYPERLINK(CONCATENATE("#Metadata!", ADDRESS(INDEX($AJ$2:$AJ$1001,MATCH(ROWS($AH$2:AH518),$AH$2:$AH$1001,0),0), INDEX($AO$1004:$BQ$1004,1,MATCH(COLUMNS($AO$1006:AR1006),$AO$1006:$BQ$1006,0)))),"Fix")))</f>
        <v>#N/A</v>
      </c>
      <c r="F518" s="5" t="e">
        <f ca="1">IF(OR(INDEX($AI$2:$AI$1001,MATCH(ROWS($AH$2:AH518),$AH$2:$AH$1001,0),1)&gt;=100000,INDEX($AO$1005:$BQ$1005,1,MATCH(COLUMNS($AO$1006:AS1006),$AO$1006:$BQ$1006,0))&gt;=100000), " ",IF(INDEX($AO$2:$BQ$1001,MATCH(ROWS($AH$2:AH518),$AH$2:$AH$1001,0),MATCH(COLUMNS($AO$1006:AS1006),$AO$1006:$BQ$1006,0)), HYPERLINK("#",""), HYPERLINK(CONCATENATE("#Metadata!", ADDRESS(INDEX($AJ$2:$AJ$1001,MATCH(ROWS($AH$2:AH518),$AH$2:$AH$1001,0),0), INDEX($AO$1004:$BQ$1004,1,MATCH(COLUMNS($AO$1006:AS1006),$AO$1006:$BQ$1006,0)))),"Fix")))</f>
        <v>#N/A</v>
      </c>
      <c r="G518" s="5" t="e">
        <f ca="1">IF(OR(INDEX($AI$2:$AI$1001,MATCH(ROWS($AH$2:AH518),$AH$2:$AH$1001,0),1)&gt;=100000,INDEX($AO$1005:$BQ$1005,1,MATCH(COLUMNS($AO$1006:AT1006),$AO$1006:$BQ$1006,0))&gt;=100000), " ",IF(INDEX($AO$2:$BQ$1001,MATCH(ROWS($AH$2:AH518),$AH$2:$AH$1001,0),MATCH(COLUMNS($AO$1006:AT1006),$AO$1006:$BQ$1006,0)), HYPERLINK("#",""), HYPERLINK(CONCATENATE("#Metadata!", ADDRESS(INDEX($AJ$2:$AJ$1001,MATCH(ROWS($AH$2:AH518),$AH$2:$AH$1001,0),0), INDEX($AO$1004:$BQ$1004,1,MATCH(COLUMNS($AO$1006:AT1006),$AO$1006:$BQ$1006,0)))),"Fix")))</f>
        <v>#N/A</v>
      </c>
      <c r="H518" s="5" t="e">
        <f ca="1">IF(OR(INDEX($AI$2:$AI$1001,MATCH(ROWS($AH$2:AH518),$AH$2:$AH$1001,0),1)&gt;=100000,INDEX($AO$1005:$BQ$1005,1,MATCH(COLUMNS($AO$1006:AU1006),$AO$1006:$BQ$1006,0))&gt;=100000), " ",IF(INDEX($AO$2:$BQ$1001,MATCH(ROWS($AH$2:AH518),$AH$2:$AH$1001,0),MATCH(COLUMNS($AO$1006:AU1006),$AO$1006:$BQ$1006,0)), HYPERLINK("#",""), HYPERLINK(CONCATENATE("#Metadata!", ADDRESS(INDEX($AJ$2:$AJ$1001,MATCH(ROWS($AH$2:AH518),$AH$2:$AH$1001,0),0), INDEX($AO$1004:$BQ$1004,1,MATCH(COLUMNS($AO$1006:AU1006),$AO$1006:$BQ$1006,0)))),"Fix")))</f>
        <v>#N/A</v>
      </c>
      <c r="I518" s="5" t="e">
        <f ca="1">IF(OR(INDEX($AI$2:$AI$1001,MATCH(ROWS($AH$2:AH518),$AH$2:$AH$1001,0),1)&gt;=100000,INDEX($AO$1005:$BQ$1005,1,MATCH(COLUMNS($AO$1006:AV1006),$AO$1006:$BQ$1006,0))&gt;=100000), " ",IF(INDEX($AO$2:$BQ$1001,MATCH(ROWS($AH$2:AH518),$AH$2:$AH$1001,0),MATCH(COLUMNS($AO$1006:AV1006),$AO$1006:$BQ$1006,0)), HYPERLINK("#",""), HYPERLINK(CONCATENATE("#Metadata!", ADDRESS(INDEX($AJ$2:$AJ$1001,MATCH(ROWS($AH$2:AH518),$AH$2:$AH$1001,0),0), INDEX($AO$1004:$BQ$1004,1,MATCH(COLUMNS($AO$1006:AV1006),$AO$1006:$BQ$1006,0)))),"Fix")))</f>
        <v>#N/A</v>
      </c>
      <c r="J518" s="5" t="e">
        <f ca="1">IF(OR(INDEX($AI$2:$AI$1001,MATCH(ROWS($AH$2:AH518),$AH$2:$AH$1001,0),1)&gt;=100000,INDEX($AO$1005:$BQ$1005,1,MATCH(COLUMNS($AO$1006:AW1006),$AO$1006:$BQ$1006,0))&gt;=100000), " ",IF(INDEX($AO$2:$BQ$1001,MATCH(ROWS($AH$2:AH518),$AH$2:$AH$1001,0),MATCH(COLUMNS($AO$1006:AW1006),$AO$1006:$BQ$1006,0)), HYPERLINK("#",""), HYPERLINK(CONCATENATE("#Metadata!", ADDRESS(INDEX($AJ$2:$AJ$1001,MATCH(ROWS($AH$2:AH518),$AH$2:$AH$1001,0),0), INDEX($AO$1004:$BQ$1004,1,MATCH(COLUMNS($AO$1006:AW1006),$AO$1006:$BQ$1006,0)))),"Fix")))</f>
        <v>#N/A</v>
      </c>
      <c r="K518" s="5" t="e">
        <f ca="1">IF(OR(INDEX($AI$2:$AI$1001,MATCH(ROWS($AH$2:AH518),$AH$2:$AH$1001,0),1)&gt;=100000,INDEX($AO$1005:$BQ$1005,1,MATCH(COLUMNS($AO$1006:AX1006),$AO$1006:$BQ$1006,0))&gt;=100000), " ",IF(INDEX($AO$2:$BQ$1001,MATCH(ROWS($AH$2:AH518),$AH$2:$AH$1001,0),MATCH(COLUMNS($AO$1006:AX1006),$AO$1006:$BQ$1006,0)), HYPERLINK("#",""), HYPERLINK(CONCATENATE("#Metadata!", ADDRESS(INDEX($AJ$2:$AJ$1001,MATCH(ROWS($AH$2:AH518),$AH$2:$AH$1001,0),0), INDEX($AO$1004:$BQ$1004,1,MATCH(COLUMNS($AO$1006:AX1006),$AO$1006:$BQ$1006,0)))),"Fix")))</f>
        <v>#N/A</v>
      </c>
      <c r="L518" s="5" t="e">
        <f ca="1">IF(OR(INDEX($AI$2:$AI$1001,MATCH(ROWS($AH$2:AH518),$AH$2:$AH$1001,0),1)&gt;=100000,INDEX($AO$1005:$BQ$1005,1,MATCH(COLUMNS($AO$1006:AY1006),$AO$1006:$BQ$1006,0))&gt;=100000), " ",IF(INDEX($AO$2:$BQ$1001,MATCH(ROWS($AH$2:AH518),$AH$2:$AH$1001,0),MATCH(COLUMNS($AO$1006:AY1006),$AO$1006:$BQ$1006,0)), HYPERLINK("#",""), HYPERLINK(CONCATENATE("#Metadata!", ADDRESS(INDEX($AJ$2:$AJ$1001,MATCH(ROWS($AH$2:AH518),$AH$2:$AH$1001,0),0), INDEX($AO$1004:$BQ$1004,1,MATCH(COLUMNS($AO$1006:AY1006),$AO$1006:$BQ$1006,0)))),"Fix")))</f>
        <v>#N/A</v>
      </c>
      <c r="M518" s="5" t="e">
        <f ca="1">IF(OR(INDEX($AI$2:$AI$1001,MATCH(ROWS($AH$2:AH518),$AH$2:$AH$1001,0),1)&gt;=100000,INDEX($AO$1005:$BQ$1005,1,MATCH(COLUMNS($AO$1006:AZ1006),$AO$1006:$BQ$1006,0))&gt;=100000), " ",IF(INDEX($AO$2:$BQ$1001,MATCH(ROWS($AH$2:AH518),$AH$2:$AH$1001,0),MATCH(COLUMNS($AO$1006:AZ1006),$AO$1006:$BQ$1006,0)), HYPERLINK("#",""), HYPERLINK(CONCATENATE("#Metadata!", ADDRESS(INDEX($AJ$2:$AJ$1001,MATCH(ROWS($AH$2:AH518),$AH$2:$AH$1001,0),0), INDEX($AO$1004:$BQ$1004,1,MATCH(COLUMNS($AO$1006:AZ1006),$AO$1006:$BQ$1006,0)))),"Fix")))</f>
        <v>#N/A</v>
      </c>
      <c r="N518" s="5" t="e">
        <f ca="1">IF(OR(INDEX($AI$2:$AI$1001,MATCH(ROWS($AH$2:AH518),$AH$2:$AH$1001,0),1)&gt;=100000,INDEX($AO$1005:$BQ$1005,1,MATCH(COLUMNS($AO$1006:BA1006),$AO$1006:$BQ$1006,0))&gt;=100000), " ",IF(INDEX($AO$2:$BQ$1001,MATCH(ROWS($AH$2:AH518),$AH$2:$AH$1001,0),MATCH(COLUMNS($AO$1006:BA1006),$AO$1006:$BQ$1006,0)), HYPERLINK("#",""), HYPERLINK(CONCATENATE("#Metadata!", ADDRESS(INDEX($AJ$2:$AJ$1001,MATCH(ROWS($AH$2:AH518),$AH$2:$AH$1001,0),0), INDEX($AO$1004:$BQ$1004,1,MATCH(COLUMNS($AO$1006:BA1006),$AO$1006:$BQ$1006,0)))),"Fix")))</f>
        <v>#N/A</v>
      </c>
      <c r="O518" s="5" t="e">
        <f ca="1">IF(OR(INDEX($AI$2:$AI$1001,MATCH(ROWS($AH$2:AH518),$AH$2:$AH$1001,0),1)&gt;=100000,INDEX($AO$1005:$BQ$1005,1,MATCH(COLUMNS($AO$1006:BB1006),$AO$1006:$BQ$1006,0))&gt;=100000), " ",IF(INDEX($AO$2:$BQ$1001,MATCH(ROWS($AH$2:AH518),$AH$2:$AH$1001,0),MATCH(COLUMNS($AO$1006:BB1006),$AO$1006:$BQ$1006,0)), HYPERLINK("#",""), HYPERLINK(CONCATENATE("#Metadata!", ADDRESS(INDEX($AJ$2:$AJ$1001,MATCH(ROWS($AH$2:AH518),$AH$2:$AH$1001,0),0), INDEX($AO$1004:$BQ$1004,1,MATCH(COLUMNS($AO$1006:BB1006),$AO$1006:$BQ$1006,0)))),"Fix")))</f>
        <v>#N/A</v>
      </c>
      <c r="P518" s="5" t="e">
        <f ca="1">IF(OR(INDEX($AI$2:$AI$1001,MATCH(ROWS($AH$2:AH518),$AH$2:$AH$1001,0),1)&gt;=100000,INDEX($AO$1005:$BQ$1005,1,MATCH(COLUMNS($AO$1006:BC1006),$AO$1006:$BQ$1006,0))&gt;=100000), " ",IF(INDEX($AO$2:$BQ$1001,MATCH(ROWS($AH$2:AH518),$AH$2:$AH$1001,0),MATCH(COLUMNS($AO$1006:BC1006),$AO$1006:$BQ$1006,0)), HYPERLINK("#",""), HYPERLINK(CONCATENATE("#Metadata!", ADDRESS(INDEX($AJ$2:$AJ$1001,MATCH(ROWS($AH$2:AH518),$AH$2:$AH$1001,0),0), INDEX($AO$1004:$BQ$1004,1,MATCH(COLUMNS($AO$1006:BC1006),$AO$1006:$BQ$1006,0)))),"Fix")))</f>
        <v>#N/A</v>
      </c>
      <c r="Q518" s="5" t="e">
        <f ca="1">IF(OR(INDEX($AI$2:$AI$1001,MATCH(ROWS($AH$2:AH518),$AH$2:$AH$1001,0),1)&gt;=100000,INDEX($AO$1005:$BQ$1005,1,MATCH(COLUMNS($AO$1006:BD1006),$AO$1006:$BQ$1006,0))&gt;=100000), " ",IF(INDEX($AO$2:$BQ$1001,MATCH(ROWS($AH$2:AH518),$AH$2:$AH$1001,0),MATCH(COLUMNS($AO$1006:BD1006),$AO$1006:$BQ$1006,0)), HYPERLINK("#",""), HYPERLINK(CONCATENATE("#Metadata!", ADDRESS(INDEX($AJ$2:$AJ$1001,MATCH(ROWS($AH$2:AH518),$AH$2:$AH$1001,0),0), INDEX($AO$1004:$BQ$1004,1,MATCH(COLUMNS($AO$1006:BD1006),$AO$1006:$BQ$1006,0)))),"Fix")))</f>
        <v>#N/A</v>
      </c>
      <c r="R518" s="5" t="e">
        <f ca="1">IF(OR(INDEX($AI$2:$AI$1001,MATCH(ROWS($AH$2:AH518),$AH$2:$AH$1001,0),1)&gt;=100000,INDEX($AO$1005:$BQ$1005,1,MATCH(COLUMNS($AO$1006:BE1006),$AO$1006:$BQ$1006,0))&gt;=100000), " ",IF(INDEX($AO$2:$BQ$1001,MATCH(ROWS($AH$2:AH518),$AH$2:$AH$1001,0),MATCH(COLUMNS($AO$1006:BE1006),$AO$1006:$BQ$1006,0)), HYPERLINK("#",""), HYPERLINK(CONCATENATE("#Metadata!", ADDRESS(INDEX($AJ$2:$AJ$1001,MATCH(ROWS($AH$2:AH518),$AH$2:$AH$1001,0),0), INDEX($AO$1004:$BQ$1004,1,MATCH(COLUMNS($AO$1006:BE1006),$AO$1006:$BQ$1006,0)))),"Fix")))</f>
        <v>#N/A</v>
      </c>
      <c r="S518" s="5" t="e">
        <f ca="1">IF(OR(INDEX($AI$2:$AI$1001,MATCH(ROWS($AH$2:AH518),$AH$2:$AH$1001,0),1)&gt;=100000,INDEX($AO$1005:$BQ$1005,1,MATCH(COLUMNS($AO$1006:BF1006),$AO$1006:$BQ$1006,0))&gt;=100000), " ",IF(INDEX($AO$2:$BQ$1001,MATCH(ROWS($AH$2:AH518),$AH$2:$AH$1001,0),MATCH(COLUMNS($AO$1006:BF1006),$AO$1006:$BQ$1006,0)), HYPERLINK("#",""), HYPERLINK(CONCATENATE("#Metadata!", ADDRESS(INDEX($AJ$2:$AJ$1001,MATCH(ROWS($AH$2:AH518),$AH$2:$AH$1001,0),0), INDEX($AO$1004:$BQ$1004,1,MATCH(COLUMNS($AO$1006:BF1006),$AO$1006:$BQ$1006,0)))),"Fix")))</f>
        <v>#N/A</v>
      </c>
      <c r="T518" s="5" t="e">
        <f ca="1">IF(OR(INDEX($AI$2:$AI$1001,MATCH(ROWS($AH$2:AH518),$AH$2:$AH$1001,0),1)&gt;=100000,INDEX($AO$1005:$BQ$1005,1,MATCH(COLUMNS($AO$1006:BG1006),$AO$1006:$BQ$1006,0))&gt;=100000), " ",IF(INDEX($AO$2:$BQ$1001,MATCH(ROWS($AH$2:AH518),$AH$2:$AH$1001,0),MATCH(COLUMNS($AO$1006:BG1006),$AO$1006:$BQ$1006,0)), HYPERLINK("#",""), HYPERLINK(CONCATENATE("#Metadata!", ADDRESS(INDEX($AJ$2:$AJ$1001,MATCH(ROWS($AH$2:AH518),$AH$2:$AH$1001,0),0), INDEX($AO$1004:$BQ$1004,1,MATCH(COLUMNS($AO$1006:BG1006),$AO$1006:$BQ$1006,0)))),"Fix")))</f>
        <v>#N/A</v>
      </c>
      <c r="U518" s="5" t="e">
        <f ca="1">IF(OR(INDEX($AI$2:$AI$1001,MATCH(ROWS($AH$2:AH518),$AH$2:$AH$1001,0),1)&gt;=100000,INDEX($AO$1005:$BQ$1005,1,MATCH(COLUMNS($AO$1006:BH1006),$AO$1006:$BQ$1006,0))&gt;=100000), " ",IF(INDEX($AO$2:$BQ$1001,MATCH(ROWS($AH$2:AH518),$AH$2:$AH$1001,0),MATCH(COLUMNS($AO$1006:BH1006),$AO$1006:$BQ$1006,0)), HYPERLINK("#",""), HYPERLINK(CONCATENATE("#Metadata!", ADDRESS(INDEX($AJ$2:$AJ$1001,MATCH(ROWS($AH$2:AH518),$AH$2:$AH$1001,0),0), INDEX($AO$1004:$BQ$1004,1,MATCH(COLUMNS($AO$1006:BH1006),$AO$1006:$BQ$1006,0)))),"Fix")))</f>
        <v>#N/A</v>
      </c>
      <c r="V518" s="5" t="e">
        <f ca="1">IF(OR(INDEX($AI$2:$AI$1001,MATCH(ROWS($AH$2:AH518),$AH$2:$AH$1001,0),1)&gt;=100000,INDEX($AO$1005:$BQ$1005,1,MATCH(COLUMNS($AO$1006:BI1006),$AO$1006:$BQ$1006,0))&gt;=100000), " ",IF(INDEX($AO$2:$BQ$1001,MATCH(ROWS($AH$2:AH518),$AH$2:$AH$1001,0),MATCH(COLUMNS($AO$1006:BI1006),$AO$1006:$BQ$1006,0)), HYPERLINK("#",""), HYPERLINK(CONCATENATE("#Metadata!", ADDRESS(INDEX($AJ$2:$AJ$1001,MATCH(ROWS($AH$2:AH518),$AH$2:$AH$1001,0),0), INDEX($AO$1004:$BQ$1004,1,MATCH(COLUMNS($AO$1006:BI1006),$AO$1006:$BQ$1006,0)))),"Fix")))</f>
        <v>#N/A</v>
      </c>
      <c r="W518" s="5" t="e">
        <f ca="1">IF(OR(INDEX($AI$2:$AI$1001,MATCH(ROWS($AH$2:AH518),$AH$2:$AH$1001,0),1)&gt;=100000,INDEX($AO$1005:$BQ$1005,1,MATCH(COLUMNS($AO$1006:BJ1006),$AO$1006:$BQ$1006,0))&gt;=100000), " ",IF(INDEX($AO$2:$BQ$1001,MATCH(ROWS($AH$2:AH518),$AH$2:$AH$1001,0),MATCH(COLUMNS($AO$1006:BJ1006),$AO$1006:$BQ$1006,0)), HYPERLINK("#",""), HYPERLINK(CONCATENATE("#Metadata!", ADDRESS(INDEX($AJ$2:$AJ$1001,MATCH(ROWS($AH$2:AH518),$AH$2:$AH$1001,0),0), INDEX($AO$1004:$BQ$1004,1,MATCH(COLUMNS($AO$1006:BJ1006),$AO$1006:$BQ$1006,0)))),"Fix")))</f>
        <v>#N/A</v>
      </c>
      <c r="X518" s="5" t="e">
        <f ca="1">IF(OR(INDEX($AI$2:$AI$1001,MATCH(ROWS($AH$2:AH518),$AH$2:$AH$1001,0),1)&gt;=100000,INDEX($AO$1005:$BQ$1005,1,MATCH(COLUMNS($AO$1006:BK1006),$AO$1006:$BQ$1006,0))&gt;=100000), " ",IF(INDEX($AO$2:$BQ$1001,MATCH(ROWS($AH$2:AH518),$AH$2:$AH$1001,0),MATCH(COLUMNS($AO$1006:BK1006),$AO$1006:$BQ$1006,0)), HYPERLINK("#",""), HYPERLINK(CONCATENATE("#Metadata!", ADDRESS(INDEX($AJ$2:$AJ$1001,MATCH(ROWS($AH$2:AH518),$AH$2:$AH$1001,0),0), INDEX($AO$1004:$BQ$1004,1,MATCH(COLUMNS($AO$1006:BK1006),$AO$1006:$BQ$1006,0)))),"Fix")))</f>
        <v>#N/A</v>
      </c>
      <c r="Y518" s="5" t="e">
        <f ca="1">IF(OR(INDEX($AI$2:$AI$1001,MATCH(ROWS($AH$2:AH518),$AH$2:$AH$1001,0),1)&gt;=100000,INDEX($AO$1005:$BQ$1005,1,MATCH(COLUMNS($AO$1006:BL1006),$AO$1006:$BQ$1006,0))&gt;=100000), " ",IF(INDEX($AO$2:$BQ$1001,MATCH(ROWS($AH$2:AH518),$AH$2:$AH$1001,0),MATCH(COLUMNS($AO$1006:BL1006),$AO$1006:$BQ$1006,0)), HYPERLINK("#",""), HYPERLINK(CONCATENATE("#Metadata!", ADDRESS(INDEX($AJ$2:$AJ$1001,MATCH(ROWS($AH$2:AH518),$AH$2:$AH$1001,0),0), INDEX($AO$1004:$BQ$1004,1,MATCH(COLUMNS($AO$1006:BL1006),$AO$1006:$BQ$1006,0)))),"Fix")))</f>
        <v>#N/A</v>
      </c>
      <c r="Z518" s="5" t="e">
        <f ca="1">IF(OR(INDEX($AI$2:$AI$1001,MATCH(ROWS($AH$2:AH518),$AH$2:$AH$1001,0),1)&gt;=100000,INDEX($AO$1005:$BQ$1005,1,MATCH(COLUMNS($AO$1006:BM1006),$AO$1006:$BQ$1006,0))&gt;=100000), " ",IF(INDEX($AO$2:$BQ$1001,MATCH(ROWS($AH$2:AH518),$AH$2:$AH$1001,0),MATCH(COLUMNS($AO$1006:BM1006),$AO$1006:$BQ$1006,0)), HYPERLINK("#",""), HYPERLINK(CONCATENATE("#Metadata!", ADDRESS(INDEX($AJ$2:$AJ$1001,MATCH(ROWS($AH$2:AH518),$AH$2:$AH$1001,0),0), INDEX($AO$1004:$BQ$1004,1,MATCH(COLUMNS($AO$1006:BM1006),$AO$1006:$BQ$1006,0)))),"Fix")))</f>
        <v>#N/A</v>
      </c>
      <c r="AA518" s="5" t="e">
        <f ca="1">IF(OR(INDEX($AI$2:$AI$1001,MATCH(ROWS($AH$2:AH518),$AH$2:$AH$1001,0),1)&gt;=100000,INDEX($AO$1005:$BQ$1005,1,MATCH(COLUMNS($AO$1006:BN1006),$AO$1006:$BQ$1006,0))&gt;=100000), " ",IF(INDEX($AO$2:$BQ$1001,MATCH(ROWS($AH$2:AH518),$AH$2:$AH$1001,0),MATCH(COLUMNS($AO$1006:BN1006),$AO$1006:$BQ$1006,0)), HYPERLINK("#",""), HYPERLINK(CONCATENATE("#Metadata!", ADDRESS(INDEX($AJ$2:$AJ$1001,MATCH(ROWS($AH$2:AH518),$AH$2:$AH$1001,0),0), INDEX($AO$1004:$BQ$1004,1,MATCH(COLUMNS($AO$1006:BN1006),$AO$1006:$BQ$1006,0)))),"Fix")))</f>
        <v>#N/A</v>
      </c>
      <c r="AB518" s="5" t="e">
        <f ca="1">IF(OR(INDEX($AI$2:$AI$1001,MATCH(ROWS($AH$2:AH518),$AH$2:$AH$1001,0),1)&gt;=100000,INDEX($AO$1005:$BQ$1005,1,MATCH(COLUMNS($AO$1006:BO1006),$AO$1006:$BQ$1006,0))&gt;=100000), " ",IF(INDEX($AO$2:$BQ$1001,MATCH(ROWS($AH$2:AH518),$AH$2:$AH$1001,0),MATCH(COLUMNS($AO$1006:BO1006),$AO$1006:$BQ$1006,0)), HYPERLINK("#",""), HYPERLINK(CONCATENATE("#Metadata!", ADDRESS(INDEX($AJ$2:$AJ$1001,MATCH(ROWS($AH$2:AH518),$AH$2:$AH$1001,0),0), INDEX($AO$1004:$BQ$1004,1,MATCH(COLUMNS($AO$1006:BO1006),$AO$1006:$BQ$1006,0)))),"Fix")))</f>
        <v>#N/A</v>
      </c>
      <c r="AC518" s="5" t="e">
        <f ca="1">IF(OR(INDEX($AI$2:$AI$1001,MATCH(ROWS($AH$2:AH518),$AH$2:$AH$1001,0),1)&gt;=100000,INDEX($AO$1005:$BQ$1005,1,MATCH(COLUMNS($AO$1006:BP1006),$AO$1006:$BQ$1006,0))&gt;=100000), " ",IF(INDEX($AO$2:$BQ$1001,MATCH(ROWS($AH$2:AH518),$AH$2:$AH$1001,0),MATCH(COLUMNS($AO$1006:BP1006),$AO$1006:$BQ$1006,0)), HYPERLINK("#",""), HYPERLINK(CONCATENATE("#Metadata!", ADDRESS(INDEX($AJ$2:$AJ$1001,MATCH(ROWS($AH$2:AH518),$AH$2:$AH$1001,0),0), INDEX($AO$1004:$BQ$1004,1,MATCH(COLUMNS($AO$1006:BP1006),$AO$1006:$BQ$1006,0)))),"Fix")))</f>
        <v>#N/A</v>
      </c>
      <c r="AD518" s="5" t="e">
        <f ca="1">IF(OR(INDEX($AI$2:$AI$1001,MATCH(ROWS($AH$2:AH518),$AH$2:$AH$1001,0),1)&gt;=100000,INDEX($AO$1005:$BQ$1005,1,MATCH(COLUMNS($AO$1006:BQ1006),$AO$1006:$BQ$1006,0))&gt;=100000), " ",IF(INDEX($AO$2:$BQ$1001,MATCH(ROWS($AH$2:AH518),$AH$2:$AH$1001,0),MATCH(COLUMNS($AO$1006:BQ1006),$AO$1006:$BQ$1006,0)), HYPERLINK("#",""), HYPERLINK(CONCATENATE("#Metadata!", ADDRESS(INDEX($AJ$2:$AJ$1001,MATCH(ROWS($AH$2:AH518),$AH$2:$AH$1001,0),0), INDEX($AO$1004:$BQ$1004,1,MATCH(COLUMNS($AO$1006:BQ1006),$AO$1006:$BQ$1006,0)))),"Fix")))</f>
        <v>#REF!</v>
      </c>
      <c r="AH518">
        <f ca="1"/>
        <v>515</v>
      </c>
      <c r="AI518">
        <v>100518</v>
      </c>
      <c r="AJ518">
        <v>518</v>
      </c>
      <c r="AK518" t="b">
        <f t="shared" si="8"/>
        <v>1</v>
      </c>
      <c r="AL518" t="b">
        <f>COUNTBLANK(Metadata!B518:AD518)=COLUMNS(Metadata!B518:AD518)</f>
        <v>1</v>
      </c>
      <c r="AM518" t="str">
        <v/>
      </c>
      <c r="AO518" t="b">
        <f ca="1">AND(IF(Metadata!B518="",FALSE,TRUE),COUNTIF(Metadata!B:B, Metadata!B518) = 1,NOT(ISERROR(SUMPRODUCT(SEARCH(MID(Metadata!B518,ROW(INDIRECT("1:"&amp;LEN(Metadata!B518))), 1),"0123456789abcdefghijklmnopqrstuvwxyzABCDEFGHIJKLMNOPQRSTUVWXYZ.")))))</f>
        <v>0</v>
      </c>
      <c r="AP518" t="b">
        <f>IF(Metadata!C518="",FALSE,TRUE)</f>
        <v>0</v>
      </c>
      <c r="AQ518" t="b">
        <f>IF(Metadata!D518="",FALSE,TRUE)</f>
        <v>0</v>
      </c>
      <c r="AR518" t="b">
        <f ca="1">OR(AND(IF(Metadata!E518="",FALSE,TRUE),OR(EXACT(Metadata!E518,"not collected"),EXACT(Metadata!E518,"not provided"),EXACT(Metadata!E518,"restricted access"))),AND(IF(Metadata!E518="",FALSE,TRUE),AND(AND(IFERROR(INT(LEFT(Metadata!E518,4))&gt;1900,FALSE),IFERROR(INT(LEFT(Metadata!E518,4))&lt;=YEAR(NOW()),FALSE)), OR(MID(Metadata!E518,5,1)="", AND(AND(MID(Metadata!E518,5,1)="-",IFERROR(INT(MID(Metadata!E518,6,1))&gt;=0,FALSE),IFERROR(INT(MID(Metadata!E518,6,1))&lt;=1,FALSE),NOT(MID(Metadata!E518,7,1)=""),IFERROR(INT(MID(Metadata!E518,6,2))&gt;=1,FALSE),IFERROR(INT(MID(Metadata!E518,6,2))&lt;=12,FALSE)), OR(MID(Metadata!E518,8,1)="", AND(AND(MID(Metadata!E518,8,1)="-",IFERROR(INT(MID(Metadata!E518,9,1))&gt;=0,FALSE),IFERROR(INT(MID(Metadata!E518,9,1))&lt;=3,FALSE),NOT(MID(Metadata!E518,10,1)=""),IFERROR(INT(MID(Metadata!E518,9,2))&gt;=1,FALSE),IFERROR(INT(MID(Metadata!E518,9,2))&lt;=31,FALSE)), OR(MID(Metadata!E518,11,1)="", AND(AND(MID(Metadata!E518,11,1)=" ",IFERROR(INT(MID(Metadata!E518,12,1))&gt;=0,FALSE),IFERROR(INT(MID(Metadata!E518,12,1))&lt;=2,FALSE),NOT(MID(Metadata!E518,13,1)=""),IFERROR(INT(MID(Metadata!E518,12,2))&gt;=0,FALSE),IFERROR(INT(MID(Metadata!E518,12,2))&lt;=23,FALSE)), OR(MID(Metadata!E518,14,1)="", AND(AND(MID(Metadata!E518,14,1)=":",IFERROR(INT(MID(Metadata!E518,15,1))&gt;=0,FALSE),IFERROR(INT(MID(Metadata!E518,15,1))&lt;=5,FALSE),NOT(MID(Metadata!E518,16,1)=""),IFERROR(INT(MID(Metadata!E518,15,2))&gt;=0,FALSE),IFERROR(INT(MID(Metadata!E518,15,2))&lt;=59,FALSE)), OR(MID(Metadata!E518,17,1)="", AND(AND(MID(Metadata!E518,17,1)=":",IFERROR(INT(MID(Metadata!E518,18,1))&gt;=0,FALSE),IFERROR(INT(MID(Metadata!E518,18,1))&lt;=5,FALSE),NOT(MID(Metadata!E518,19,1)=""),IFERROR(INT(MID(Metadata!E518,18,2))&gt;=0,FALSE),IFERROR(INT(MID(Metadata!E518,18,2))&lt;=59,FALSE)), LEN(Metadata!E518)&lt;=19)))))))))))))</f>
        <v>0</v>
      </c>
      <c r="AS518" t="b">
        <f>IF(Metadata!F518="",FALSE,TRUE)</f>
        <v>0</v>
      </c>
      <c r="AT518" t="b">
        <f>OR(AND(IF(Metadata!G518="",FALSE,TRUE),OR(EXACT(Metadata!G518,"not collected"),EXACT(Metadata!G518,"not provided"))),AND(IF(Metadata!G518="",FALSE,TRUE),OR(EXACT(Metadata!G518,"TRUE"),EXACT(Metadata!G518,"FALSE"))))</f>
        <v>0</v>
      </c>
      <c r="AU518" t="b">
        <f>OR(AND(IF(Metadata!H518="",FALSE,TRUE),OR(EXACT(Metadata!H518,"not collected"),EXACT(Metadata!H518,"not provided"),EXACT(Metadata!H518,"restricted access"))),AND(IF(Metadata!H518="",FALSE,ISNUMBER(VALUE(Metadata!H518))),Metadata!H518&gt;=-413))</f>
        <v>0</v>
      </c>
      <c r="AV518" t="b">
        <f>AND(IF(Metadata!I518="",FALSE,TRUE),EXACT(Metadata!I518,"meters"))</f>
        <v>0</v>
      </c>
      <c r="AW518" t="b">
        <f>AND(IF(Metadata!J518="",FALSE,TRUE),EXACT(Metadata!J518,"free-living"))</f>
        <v>0</v>
      </c>
      <c r="AX518" t="b">
        <f>AND(IF(Metadata!K518="",FALSE,TRUE),OR(EXACT(Metadata!K518,"saline"),EXACT(Metadata!K518,"non-saline")))</f>
        <v>0</v>
      </c>
      <c r="AY518" t="b">
        <f>AND(IF(Metadata!L518="",FALSE,TRUE),OR(EXACT(Metadata!L518,"sub-surface (non-saline)"),EXACT(Metadata!L518,"surface (non-saline)"),EXACT(Metadata!L518,"water (non-saline)"),EXACT(Metadata!L518,"soil (non-saline)"),EXACT(Metadata!L518,"aerosol (non-saline)"),EXACT(Metadata!L518,"sediment (non-saline)"),EXACT(Metadata!L518,"surface (saline)"),EXACT(Metadata!L518,"water (saline)"),EXACT(Metadata!L518,"hypersaline (saline)"),EXACT(Metadata!L518,"aerosol (saline)"),EXACT(Metadata!L518,"sediment (saline)")))</f>
        <v>0</v>
      </c>
      <c r="AZ518" t="b">
        <f>IF(Metadata!M518="",FALSE,TRUE)</f>
        <v>0</v>
      </c>
      <c r="BA518" t="b">
        <f>IF(Metadata!N518="",FALSE,TRUE)</f>
        <v>0</v>
      </c>
      <c r="BB518" t="b">
        <f>IF(Metadata!O518="",FALSE,TRUE)</f>
        <v>0</v>
      </c>
      <c r="BC518" t="b">
        <f>AND(IF(Metadata!P518="",FALSE,TRUE),OR(EXACT(Metadata!P518,"air"),EXACT(Metadata!P518,"microbial mat/biofilm"),EXACT(Metadata!P518,"misc environment"),EXACT(Metadata!P518,"sediment"),EXACT(Metadata!P518,"soil"),EXACT(Metadata!P518,"wastewater/sludge"),EXACT(Metadata!P518,"water")))</f>
        <v>0</v>
      </c>
      <c r="BD518" t="b">
        <f>IF(Metadata!Q518="",FALSE,TRUE)</f>
        <v>0</v>
      </c>
      <c r="BE518" t="b">
        <f>IF(Metadata!R518="",FALSE,TRUE)</f>
        <v>0</v>
      </c>
      <c r="BF518" t="b">
        <f>OR(AND(IF(Metadata!S518="",FALSE,TRUE),OR(EXACT(Metadata!S518,"not collected"),EXACT(Metadata!S518,"not provided"),EXACT(Metadata!S518,"restricted access"))),AND(IF(Metadata!S518="",FALSE,ISNUMBER(VALUE(Metadata!S518))),Metadata!S518&gt;=-90,Metadata!S518&lt;=90))</f>
        <v>0</v>
      </c>
      <c r="BG518" t="b">
        <f>AND(IF(Metadata!T518="",FALSE,TRUE),EXACT(Metadata!T518,"Decimal degrees"))</f>
        <v>0</v>
      </c>
      <c r="BH518" t="b">
        <f>OR(AND(IF(Metadata!U518="",FALSE,TRUE),OR(EXACT(Metadata!U518,"not applicable"),EXACT(Metadata!U518,"not collected"))),IF(Metadata!U518="",FALSE,TRUE))</f>
        <v>0</v>
      </c>
      <c r="BI518" t="b">
        <f>OR(AND(IF(Metadata!V518="",FALSE,TRUE),OR(EXACT(Metadata!V518,"not collected"),EXACT(Metadata!V518,"not provided"),EXACT(Metadata!V518,"restricted access"))),AND(IF(Metadata!V518="",FALSE,ISNUMBER(VALUE(Metadata!V518))),Metadata!V518&gt;=-180,Metadata!V518&lt;=180))</f>
        <v>0</v>
      </c>
      <c r="BJ518" t="b">
        <f>AND(IF(Metadata!W518="",FALSE,TRUE),EXACT(Metadata!W518,"Decimal degrees"))</f>
        <v>0</v>
      </c>
      <c r="BK518" t="b">
        <f>IF(Metadata!X518="",FALSE,TRUE)</f>
        <v>0</v>
      </c>
      <c r="BL518" t="b">
        <f>OR(AND(IF(Metadata!Y518="",FALSE,TRUE),OR(EXACT(Metadata!Y518,"not collected"),EXACT(Metadata!Y518,"not provided"),EXACT(Metadata!Y518,"restricted access"))),AND(IF(Metadata!Y518="",FALSE,TRUE),OR(EXACT(Metadata!Y518,"TRUE"),EXACT(Metadata!Y518,"FALSE"))))</f>
        <v>0</v>
      </c>
      <c r="BM518" t="b">
        <f>OR(AND(IF(Metadata!Z518="",FALSE,TRUE),EXACT(Metadata!Z518,"not applicable")),AND(IF(Metadata!Z518="",FALSE,TRUE),OR(EXACT(Metadata!Z518,"beer"),EXACT(Metadata!Z518,"cheese"),EXACT(Metadata!Z518,"fresh water"),EXACT(Metadata!Z518,"marine sediment"),EXACT(Metadata!Z518,"sea water"),EXACT(Metadata!Z518,"sediment"),EXACT(Metadata!Z518,"soil"),EXACT(Metadata!Z518,"waste water"))))</f>
        <v>0</v>
      </c>
      <c r="BN518" t="b">
        <f>AND(IF(Metadata!AA518="",FALSE,TRUE),EXACT(Metadata!AA518,"metagenome"))</f>
        <v>0</v>
      </c>
      <c r="BO518" t="b">
        <f>AND(IF(Metadata!AB518="",FALSE,TRUE),EXACT(Metadata!AB518,"256318"))</f>
        <v>0</v>
      </c>
      <c r="BP518" t="b">
        <f>IF(Metadata!AC518="",FALSE,TRUE)</f>
        <v>0</v>
      </c>
      <c r="BQ518" t="b">
        <f>IF(Metadata!AD518="",FALSE,TRUE)</f>
        <v>0</v>
      </c>
    </row>
    <row r="519" spans="1:69" x14ac:dyDescent="0.2">
      <c r="A519" s="4" t="e">
        <f ca="1">IF(B519=" "," ",HYPERLINK(CONCATENATE("#metadata!",ADDRESS(INDEX($AJ$2:$AJ$1001,MATCH(ROWS($AH$2:AH519),$AH$2:$AH$1001,0),0),2)),INDEX($AM$2:$AM$1001,MATCH(ROWS($AH$2:AH519),$AH$2:$AH$1001,0),0)))</f>
        <v>#N/A</v>
      </c>
      <c r="B519" s="5" t="e">
        <f ca="1">IF(OR(INDEX($AI$2:$AI$1001,MATCH(ROWS($AH$2:AH519),$AH$2:$AH$1001,0),1)&gt;=100000,INDEX($AO$1005:$BQ$1005,1,MATCH(COLUMNS($AO$1006:AO1006),$AO$1006:$BQ$1006,0))&gt;=100000), " ",IF(INDEX($AO$2:$BQ$1001,MATCH(ROWS($AH$2:AH519),$AH$2:$AH$1001,0),MATCH(COLUMNS($AO$1006:AO1006),$AO$1006:$BQ$1006,0)), HYPERLINK("#",""), HYPERLINK(CONCATENATE("#Metadata!", ADDRESS(INDEX($AJ$2:$AJ$1001,MATCH(ROWS($AH$2:AH519),$AH$2:$AH$1001,0),0), INDEX($AO$1004:$BQ$1004,1,MATCH(COLUMNS($AO$1006:AO1006),$AO$1006:$BQ$1006,0)))),"Fix")))</f>
        <v>#N/A</v>
      </c>
      <c r="C519" s="5" t="e">
        <f ca="1">IF(OR(INDEX($AI$2:$AI$1001,MATCH(ROWS($AH$2:AH519),$AH$2:$AH$1001,0),1)&gt;=100000,INDEX($AO$1005:$BQ$1005,1,MATCH(COLUMNS($AO$1006:AP1006),$AO$1006:$BQ$1006,0))&gt;=100000), " ",IF(INDEX($AO$2:$BQ$1001,MATCH(ROWS($AH$2:AH519),$AH$2:$AH$1001,0),MATCH(COLUMNS($AO$1006:AP1006),$AO$1006:$BQ$1006,0)), HYPERLINK("#",""), HYPERLINK(CONCATENATE("#Metadata!", ADDRESS(INDEX($AJ$2:$AJ$1001,MATCH(ROWS($AH$2:AH519),$AH$2:$AH$1001,0),0), INDEX($AO$1004:$BQ$1004,1,MATCH(COLUMNS($AO$1006:AP1006),$AO$1006:$BQ$1006,0)))),"Fix")))</f>
        <v>#N/A</v>
      </c>
      <c r="D519" s="5" t="e">
        <f ca="1">IF(OR(INDEX($AI$2:$AI$1001,MATCH(ROWS($AH$2:AH519),$AH$2:$AH$1001,0),1)&gt;=100000,INDEX($AO$1005:$BQ$1005,1,MATCH(COLUMNS($AO$1006:AQ1006),$AO$1006:$BQ$1006,0))&gt;=100000), " ",IF(INDEX($AO$2:$BQ$1001,MATCH(ROWS($AH$2:AH519),$AH$2:$AH$1001,0),MATCH(COLUMNS($AO$1006:AQ1006),$AO$1006:$BQ$1006,0)), HYPERLINK("#",""), HYPERLINK(CONCATENATE("#Metadata!", ADDRESS(INDEX($AJ$2:$AJ$1001,MATCH(ROWS($AH$2:AH519),$AH$2:$AH$1001,0),0), INDEX($AO$1004:$BQ$1004,1,MATCH(COLUMNS($AO$1006:AQ1006),$AO$1006:$BQ$1006,0)))),"Fix")))</f>
        <v>#N/A</v>
      </c>
      <c r="E519" s="5" t="e">
        <f ca="1">IF(OR(INDEX($AI$2:$AI$1001,MATCH(ROWS($AH$2:AH519),$AH$2:$AH$1001,0),1)&gt;=100000,INDEX($AO$1005:$BQ$1005,1,MATCH(COLUMNS($AO$1006:AR1006),$AO$1006:$BQ$1006,0))&gt;=100000), " ",IF(INDEX($AO$2:$BQ$1001,MATCH(ROWS($AH$2:AH519),$AH$2:$AH$1001,0),MATCH(COLUMNS($AO$1006:AR1006),$AO$1006:$BQ$1006,0)), HYPERLINK("#",""), HYPERLINK(CONCATENATE("#Metadata!", ADDRESS(INDEX($AJ$2:$AJ$1001,MATCH(ROWS($AH$2:AH519),$AH$2:$AH$1001,0),0), INDEX($AO$1004:$BQ$1004,1,MATCH(COLUMNS($AO$1006:AR1006),$AO$1006:$BQ$1006,0)))),"Fix")))</f>
        <v>#N/A</v>
      </c>
      <c r="F519" s="5" t="e">
        <f ca="1">IF(OR(INDEX($AI$2:$AI$1001,MATCH(ROWS($AH$2:AH519),$AH$2:$AH$1001,0),1)&gt;=100000,INDEX($AO$1005:$BQ$1005,1,MATCH(COLUMNS($AO$1006:AS1006),$AO$1006:$BQ$1006,0))&gt;=100000), " ",IF(INDEX($AO$2:$BQ$1001,MATCH(ROWS($AH$2:AH519),$AH$2:$AH$1001,0),MATCH(COLUMNS($AO$1006:AS1006),$AO$1006:$BQ$1006,0)), HYPERLINK("#",""), HYPERLINK(CONCATENATE("#Metadata!", ADDRESS(INDEX($AJ$2:$AJ$1001,MATCH(ROWS($AH$2:AH519),$AH$2:$AH$1001,0),0), INDEX($AO$1004:$BQ$1004,1,MATCH(COLUMNS($AO$1006:AS1006),$AO$1006:$BQ$1006,0)))),"Fix")))</f>
        <v>#N/A</v>
      </c>
      <c r="G519" s="5" t="e">
        <f ca="1">IF(OR(INDEX($AI$2:$AI$1001,MATCH(ROWS($AH$2:AH519),$AH$2:$AH$1001,0),1)&gt;=100000,INDEX($AO$1005:$BQ$1005,1,MATCH(COLUMNS($AO$1006:AT1006),$AO$1006:$BQ$1006,0))&gt;=100000), " ",IF(INDEX($AO$2:$BQ$1001,MATCH(ROWS($AH$2:AH519),$AH$2:$AH$1001,0),MATCH(COLUMNS($AO$1006:AT1006),$AO$1006:$BQ$1006,0)), HYPERLINK("#",""), HYPERLINK(CONCATENATE("#Metadata!", ADDRESS(INDEX($AJ$2:$AJ$1001,MATCH(ROWS($AH$2:AH519),$AH$2:$AH$1001,0),0), INDEX($AO$1004:$BQ$1004,1,MATCH(COLUMNS($AO$1006:AT1006),$AO$1006:$BQ$1006,0)))),"Fix")))</f>
        <v>#N/A</v>
      </c>
      <c r="H519" s="5" t="e">
        <f ca="1">IF(OR(INDEX($AI$2:$AI$1001,MATCH(ROWS($AH$2:AH519),$AH$2:$AH$1001,0),1)&gt;=100000,INDEX($AO$1005:$BQ$1005,1,MATCH(COLUMNS($AO$1006:AU1006),$AO$1006:$BQ$1006,0))&gt;=100000), " ",IF(INDEX($AO$2:$BQ$1001,MATCH(ROWS($AH$2:AH519),$AH$2:$AH$1001,0),MATCH(COLUMNS($AO$1006:AU1006),$AO$1006:$BQ$1006,0)), HYPERLINK("#",""), HYPERLINK(CONCATENATE("#Metadata!", ADDRESS(INDEX($AJ$2:$AJ$1001,MATCH(ROWS($AH$2:AH519),$AH$2:$AH$1001,0),0), INDEX($AO$1004:$BQ$1004,1,MATCH(COLUMNS($AO$1006:AU1006),$AO$1006:$BQ$1006,0)))),"Fix")))</f>
        <v>#N/A</v>
      </c>
      <c r="I519" s="5" t="e">
        <f ca="1">IF(OR(INDEX($AI$2:$AI$1001,MATCH(ROWS($AH$2:AH519),$AH$2:$AH$1001,0),1)&gt;=100000,INDEX($AO$1005:$BQ$1005,1,MATCH(COLUMNS($AO$1006:AV1006),$AO$1006:$BQ$1006,0))&gt;=100000), " ",IF(INDEX($AO$2:$BQ$1001,MATCH(ROWS($AH$2:AH519),$AH$2:$AH$1001,0),MATCH(COLUMNS($AO$1006:AV1006),$AO$1006:$BQ$1006,0)), HYPERLINK("#",""), HYPERLINK(CONCATENATE("#Metadata!", ADDRESS(INDEX($AJ$2:$AJ$1001,MATCH(ROWS($AH$2:AH519),$AH$2:$AH$1001,0),0), INDEX($AO$1004:$BQ$1004,1,MATCH(COLUMNS($AO$1006:AV1006),$AO$1006:$BQ$1006,0)))),"Fix")))</f>
        <v>#N/A</v>
      </c>
      <c r="J519" s="5" t="e">
        <f ca="1">IF(OR(INDEX($AI$2:$AI$1001,MATCH(ROWS($AH$2:AH519),$AH$2:$AH$1001,0),1)&gt;=100000,INDEX($AO$1005:$BQ$1005,1,MATCH(COLUMNS($AO$1006:AW1006),$AO$1006:$BQ$1006,0))&gt;=100000), " ",IF(INDEX($AO$2:$BQ$1001,MATCH(ROWS($AH$2:AH519),$AH$2:$AH$1001,0),MATCH(COLUMNS($AO$1006:AW1006),$AO$1006:$BQ$1006,0)), HYPERLINK("#",""), HYPERLINK(CONCATENATE("#Metadata!", ADDRESS(INDEX($AJ$2:$AJ$1001,MATCH(ROWS($AH$2:AH519),$AH$2:$AH$1001,0),0), INDEX($AO$1004:$BQ$1004,1,MATCH(COLUMNS($AO$1006:AW1006),$AO$1006:$BQ$1006,0)))),"Fix")))</f>
        <v>#N/A</v>
      </c>
      <c r="K519" s="5" t="e">
        <f ca="1">IF(OR(INDEX($AI$2:$AI$1001,MATCH(ROWS($AH$2:AH519),$AH$2:$AH$1001,0),1)&gt;=100000,INDEX($AO$1005:$BQ$1005,1,MATCH(COLUMNS($AO$1006:AX1006),$AO$1006:$BQ$1006,0))&gt;=100000), " ",IF(INDEX($AO$2:$BQ$1001,MATCH(ROWS($AH$2:AH519),$AH$2:$AH$1001,0),MATCH(COLUMNS($AO$1006:AX1006),$AO$1006:$BQ$1006,0)), HYPERLINK("#",""), HYPERLINK(CONCATENATE("#Metadata!", ADDRESS(INDEX($AJ$2:$AJ$1001,MATCH(ROWS($AH$2:AH519),$AH$2:$AH$1001,0),0), INDEX($AO$1004:$BQ$1004,1,MATCH(COLUMNS($AO$1006:AX1006),$AO$1006:$BQ$1006,0)))),"Fix")))</f>
        <v>#N/A</v>
      </c>
      <c r="L519" s="5" t="e">
        <f ca="1">IF(OR(INDEX($AI$2:$AI$1001,MATCH(ROWS($AH$2:AH519),$AH$2:$AH$1001,0),1)&gt;=100000,INDEX($AO$1005:$BQ$1005,1,MATCH(COLUMNS($AO$1006:AY1006),$AO$1006:$BQ$1006,0))&gt;=100000), " ",IF(INDEX($AO$2:$BQ$1001,MATCH(ROWS($AH$2:AH519),$AH$2:$AH$1001,0),MATCH(COLUMNS($AO$1006:AY1006),$AO$1006:$BQ$1006,0)), HYPERLINK("#",""), HYPERLINK(CONCATENATE("#Metadata!", ADDRESS(INDEX($AJ$2:$AJ$1001,MATCH(ROWS($AH$2:AH519),$AH$2:$AH$1001,0),0), INDEX($AO$1004:$BQ$1004,1,MATCH(COLUMNS($AO$1006:AY1006),$AO$1006:$BQ$1006,0)))),"Fix")))</f>
        <v>#N/A</v>
      </c>
      <c r="M519" s="5" t="e">
        <f ca="1">IF(OR(INDEX($AI$2:$AI$1001,MATCH(ROWS($AH$2:AH519),$AH$2:$AH$1001,0),1)&gt;=100000,INDEX($AO$1005:$BQ$1005,1,MATCH(COLUMNS($AO$1006:AZ1006),$AO$1006:$BQ$1006,0))&gt;=100000), " ",IF(INDEX($AO$2:$BQ$1001,MATCH(ROWS($AH$2:AH519),$AH$2:$AH$1001,0),MATCH(COLUMNS($AO$1006:AZ1006),$AO$1006:$BQ$1006,0)), HYPERLINK("#",""), HYPERLINK(CONCATENATE("#Metadata!", ADDRESS(INDEX($AJ$2:$AJ$1001,MATCH(ROWS($AH$2:AH519),$AH$2:$AH$1001,0),0), INDEX($AO$1004:$BQ$1004,1,MATCH(COLUMNS($AO$1006:AZ1006),$AO$1006:$BQ$1006,0)))),"Fix")))</f>
        <v>#N/A</v>
      </c>
      <c r="N519" s="5" t="e">
        <f ca="1">IF(OR(INDEX($AI$2:$AI$1001,MATCH(ROWS($AH$2:AH519),$AH$2:$AH$1001,0),1)&gt;=100000,INDEX($AO$1005:$BQ$1005,1,MATCH(COLUMNS($AO$1006:BA1006),$AO$1006:$BQ$1006,0))&gt;=100000), " ",IF(INDEX($AO$2:$BQ$1001,MATCH(ROWS($AH$2:AH519),$AH$2:$AH$1001,0),MATCH(COLUMNS($AO$1006:BA1006),$AO$1006:$BQ$1006,0)), HYPERLINK("#",""), HYPERLINK(CONCATENATE("#Metadata!", ADDRESS(INDEX($AJ$2:$AJ$1001,MATCH(ROWS($AH$2:AH519),$AH$2:$AH$1001,0),0), INDEX($AO$1004:$BQ$1004,1,MATCH(COLUMNS($AO$1006:BA1006),$AO$1006:$BQ$1006,0)))),"Fix")))</f>
        <v>#N/A</v>
      </c>
      <c r="O519" s="5" t="e">
        <f ca="1">IF(OR(INDEX($AI$2:$AI$1001,MATCH(ROWS($AH$2:AH519),$AH$2:$AH$1001,0),1)&gt;=100000,INDEX($AO$1005:$BQ$1005,1,MATCH(COLUMNS($AO$1006:BB1006),$AO$1006:$BQ$1006,0))&gt;=100000), " ",IF(INDEX($AO$2:$BQ$1001,MATCH(ROWS($AH$2:AH519),$AH$2:$AH$1001,0),MATCH(COLUMNS($AO$1006:BB1006),$AO$1006:$BQ$1006,0)), HYPERLINK("#",""), HYPERLINK(CONCATENATE("#Metadata!", ADDRESS(INDEX($AJ$2:$AJ$1001,MATCH(ROWS($AH$2:AH519),$AH$2:$AH$1001,0),0), INDEX($AO$1004:$BQ$1004,1,MATCH(COLUMNS($AO$1006:BB1006),$AO$1006:$BQ$1006,0)))),"Fix")))</f>
        <v>#N/A</v>
      </c>
      <c r="P519" s="5" t="e">
        <f ca="1">IF(OR(INDEX($AI$2:$AI$1001,MATCH(ROWS($AH$2:AH519),$AH$2:$AH$1001,0),1)&gt;=100000,INDEX($AO$1005:$BQ$1005,1,MATCH(COLUMNS($AO$1006:BC1006),$AO$1006:$BQ$1006,0))&gt;=100000), " ",IF(INDEX($AO$2:$BQ$1001,MATCH(ROWS($AH$2:AH519),$AH$2:$AH$1001,0),MATCH(COLUMNS($AO$1006:BC1006),$AO$1006:$BQ$1006,0)), HYPERLINK("#",""), HYPERLINK(CONCATENATE("#Metadata!", ADDRESS(INDEX($AJ$2:$AJ$1001,MATCH(ROWS($AH$2:AH519),$AH$2:$AH$1001,0),0), INDEX($AO$1004:$BQ$1004,1,MATCH(COLUMNS($AO$1006:BC1006),$AO$1006:$BQ$1006,0)))),"Fix")))</f>
        <v>#N/A</v>
      </c>
      <c r="Q519" s="5" t="e">
        <f ca="1">IF(OR(INDEX($AI$2:$AI$1001,MATCH(ROWS($AH$2:AH519),$AH$2:$AH$1001,0),1)&gt;=100000,INDEX($AO$1005:$BQ$1005,1,MATCH(COLUMNS($AO$1006:BD1006),$AO$1006:$BQ$1006,0))&gt;=100000), " ",IF(INDEX($AO$2:$BQ$1001,MATCH(ROWS($AH$2:AH519),$AH$2:$AH$1001,0),MATCH(COLUMNS($AO$1006:BD1006),$AO$1006:$BQ$1006,0)), HYPERLINK("#",""), HYPERLINK(CONCATENATE("#Metadata!", ADDRESS(INDEX($AJ$2:$AJ$1001,MATCH(ROWS($AH$2:AH519),$AH$2:$AH$1001,0),0), INDEX($AO$1004:$BQ$1004,1,MATCH(COLUMNS($AO$1006:BD1006),$AO$1006:$BQ$1006,0)))),"Fix")))</f>
        <v>#N/A</v>
      </c>
      <c r="R519" s="5" t="e">
        <f ca="1">IF(OR(INDEX($AI$2:$AI$1001,MATCH(ROWS($AH$2:AH519),$AH$2:$AH$1001,0),1)&gt;=100000,INDEX($AO$1005:$BQ$1005,1,MATCH(COLUMNS($AO$1006:BE1006),$AO$1006:$BQ$1006,0))&gt;=100000), " ",IF(INDEX($AO$2:$BQ$1001,MATCH(ROWS($AH$2:AH519),$AH$2:$AH$1001,0),MATCH(COLUMNS($AO$1006:BE1006),$AO$1006:$BQ$1006,0)), HYPERLINK("#",""), HYPERLINK(CONCATENATE("#Metadata!", ADDRESS(INDEX($AJ$2:$AJ$1001,MATCH(ROWS($AH$2:AH519),$AH$2:$AH$1001,0),0), INDEX($AO$1004:$BQ$1004,1,MATCH(COLUMNS($AO$1006:BE1006),$AO$1006:$BQ$1006,0)))),"Fix")))</f>
        <v>#N/A</v>
      </c>
      <c r="S519" s="5" t="e">
        <f ca="1">IF(OR(INDEX($AI$2:$AI$1001,MATCH(ROWS($AH$2:AH519),$AH$2:$AH$1001,0),1)&gt;=100000,INDEX($AO$1005:$BQ$1005,1,MATCH(COLUMNS($AO$1006:BF1006),$AO$1006:$BQ$1006,0))&gt;=100000), " ",IF(INDEX($AO$2:$BQ$1001,MATCH(ROWS($AH$2:AH519),$AH$2:$AH$1001,0),MATCH(COLUMNS($AO$1006:BF1006),$AO$1006:$BQ$1006,0)), HYPERLINK("#",""), HYPERLINK(CONCATENATE("#Metadata!", ADDRESS(INDEX($AJ$2:$AJ$1001,MATCH(ROWS($AH$2:AH519),$AH$2:$AH$1001,0),0), INDEX($AO$1004:$BQ$1004,1,MATCH(COLUMNS($AO$1006:BF1006),$AO$1006:$BQ$1006,0)))),"Fix")))</f>
        <v>#N/A</v>
      </c>
      <c r="T519" s="5" t="e">
        <f ca="1">IF(OR(INDEX($AI$2:$AI$1001,MATCH(ROWS($AH$2:AH519),$AH$2:$AH$1001,0),1)&gt;=100000,INDEX($AO$1005:$BQ$1005,1,MATCH(COLUMNS($AO$1006:BG1006),$AO$1006:$BQ$1006,0))&gt;=100000), " ",IF(INDEX($AO$2:$BQ$1001,MATCH(ROWS($AH$2:AH519),$AH$2:$AH$1001,0),MATCH(COLUMNS($AO$1006:BG1006),$AO$1006:$BQ$1006,0)), HYPERLINK("#",""), HYPERLINK(CONCATENATE("#Metadata!", ADDRESS(INDEX($AJ$2:$AJ$1001,MATCH(ROWS($AH$2:AH519),$AH$2:$AH$1001,0),0), INDEX($AO$1004:$BQ$1004,1,MATCH(COLUMNS($AO$1006:BG1006),$AO$1006:$BQ$1006,0)))),"Fix")))</f>
        <v>#N/A</v>
      </c>
      <c r="U519" s="5" t="e">
        <f ca="1">IF(OR(INDEX($AI$2:$AI$1001,MATCH(ROWS($AH$2:AH519),$AH$2:$AH$1001,0),1)&gt;=100000,INDEX($AO$1005:$BQ$1005,1,MATCH(COLUMNS($AO$1006:BH1006),$AO$1006:$BQ$1006,0))&gt;=100000), " ",IF(INDEX($AO$2:$BQ$1001,MATCH(ROWS($AH$2:AH519),$AH$2:$AH$1001,0),MATCH(COLUMNS($AO$1006:BH1006),$AO$1006:$BQ$1006,0)), HYPERLINK("#",""), HYPERLINK(CONCATENATE("#Metadata!", ADDRESS(INDEX($AJ$2:$AJ$1001,MATCH(ROWS($AH$2:AH519),$AH$2:$AH$1001,0),0), INDEX($AO$1004:$BQ$1004,1,MATCH(COLUMNS($AO$1006:BH1006),$AO$1006:$BQ$1006,0)))),"Fix")))</f>
        <v>#N/A</v>
      </c>
      <c r="V519" s="5" t="e">
        <f ca="1">IF(OR(INDEX($AI$2:$AI$1001,MATCH(ROWS($AH$2:AH519),$AH$2:$AH$1001,0),1)&gt;=100000,INDEX($AO$1005:$BQ$1005,1,MATCH(COLUMNS($AO$1006:BI1006),$AO$1006:$BQ$1006,0))&gt;=100000), " ",IF(INDEX($AO$2:$BQ$1001,MATCH(ROWS($AH$2:AH519),$AH$2:$AH$1001,0),MATCH(COLUMNS($AO$1006:BI1006),$AO$1006:$BQ$1006,0)), HYPERLINK("#",""), HYPERLINK(CONCATENATE("#Metadata!", ADDRESS(INDEX($AJ$2:$AJ$1001,MATCH(ROWS($AH$2:AH519),$AH$2:$AH$1001,0),0), INDEX($AO$1004:$BQ$1004,1,MATCH(COLUMNS($AO$1006:BI1006),$AO$1006:$BQ$1006,0)))),"Fix")))</f>
        <v>#N/A</v>
      </c>
      <c r="W519" s="5" t="e">
        <f ca="1">IF(OR(INDEX($AI$2:$AI$1001,MATCH(ROWS($AH$2:AH519),$AH$2:$AH$1001,0),1)&gt;=100000,INDEX($AO$1005:$BQ$1005,1,MATCH(COLUMNS($AO$1006:BJ1006),$AO$1006:$BQ$1006,0))&gt;=100000), " ",IF(INDEX($AO$2:$BQ$1001,MATCH(ROWS($AH$2:AH519),$AH$2:$AH$1001,0),MATCH(COLUMNS($AO$1006:BJ1006),$AO$1006:$BQ$1006,0)), HYPERLINK("#",""), HYPERLINK(CONCATENATE("#Metadata!", ADDRESS(INDEX($AJ$2:$AJ$1001,MATCH(ROWS($AH$2:AH519),$AH$2:$AH$1001,0),0), INDEX($AO$1004:$BQ$1004,1,MATCH(COLUMNS($AO$1006:BJ1006),$AO$1006:$BQ$1006,0)))),"Fix")))</f>
        <v>#N/A</v>
      </c>
      <c r="X519" s="5" t="e">
        <f ca="1">IF(OR(INDEX($AI$2:$AI$1001,MATCH(ROWS($AH$2:AH519),$AH$2:$AH$1001,0),1)&gt;=100000,INDEX($AO$1005:$BQ$1005,1,MATCH(COLUMNS($AO$1006:BK1006),$AO$1006:$BQ$1006,0))&gt;=100000), " ",IF(INDEX($AO$2:$BQ$1001,MATCH(ROWS($AH$2:AH519),$AH$2:$AH$1001,0),MATCH(COLUMNS($AO$1006:BK1006),$AO$1006:$BQ$1006,0)), HYPERLINK("#",""), HYPERLINK(CONCATENATE("#Metadata!", ADDRESS(INDEX($AJ$2:$AJ$1001,MATCH(ROWS($AH$2:AH519),$AH$2:$AH$1001,0),0), INDEX($AO$1004:$BQ$1004,1,MATCH(COLUMNS($AO$1006:BK1006),$AO$1006:$BQ$1006,0)))),"Fix")))</f>
        <v>#N/A</v>
      </c>
      <c r="Y519" s="5" t="e">
        <f ca="1">IF(OR(INDEX($AI$2:$AI$1001,MATCH(ROWS($AH$2:AH519),$AH$2:$AH$1001,0),1)&gt;=100000,INDEX($AO$1005:$BQ$1005,1,MATCH(COLUMNS($AO$1006:BL1006),$AO$1006:$BQ$1006,0))&gt;=100000), " ",IF(INDEX($AO$2:$BQ$1001,MATCH(ROWS($AH$2:AH519),$AH$2:$AH$1001,0),MATCH(COLUMNS($AO$1006:BL1006),$AO$1006:$BQ$1006,0)), HYPERLINK("#",""), HYPERLINK(CONCATENATE("#Metadata!", ADDRESS(INDEX($AJ$2:$AJ$1001,MATCH(ROWS($AH$2:AH519),$AH$2:$AH$1001,0),0), INDEX($AO$1004:$BQ$1004,1,MATCH(COLUMNS($AO$1006:BL1006),$AO$1006:$BQ$1006,0)))),"Fix")))</f>
        <v>#N/A</v>
      </c>
      <c r="Z519" s="5" t="e">
        <f ca="1">IF(OR(INDEX($AI$2:$AI$1001,MATCH(ROWS($AH$2:AH519),$AH$2:$AH$1001,0),1)&gt;=100000,INDEX($AO$1005:$BQ$1005,1,MATCH(COLUMNS($AO$1006:BM1006),$AO$1006:$BQ$1006,0))&gt;=100000), " ",IF(INDEX($AO$2:$BQ$1001,MATCH(ROWS($AH$2:AH519),$AH$2:$AH$1001,0),MATCH(COLUMNS($AO$1006:BM1006),$AO$1006:$BQ$1006,0)), HYPERLINK("#",""), HYPERLINK(CONCATENATE("#Metadata!", ADDRESS(INDEX($AJ$2:$AJ$1001,MATCH(ROWS($AH$2:AH519),$AH$2:$AH$1001,0),0), INDEX($AO$1004:$BQ$1004,1,MATCH(COLUMNS($AO$1006:BM1006),$AO$1006:$BQ$1006,0)))),"Fix")))</f>
        <v>#N/A</v>
      </c>
      <c r="AA519" s="5" t="e">
        <f ca="1">IF(OR(INDEX($AI$2:$AI$1001,MATCH(ROWS($AH$2:AH519),$AH$2:$AH$1001,0),1)&gt;=100000,INDEX($AO$1005:$BQ$1005,1,MATCH(COLUMNS($AO$1006:BN1006),$AO$1006:$BQ$1006,0))&gt;=100000), " ",IF(INDEX($AO$2:$BQ$1001,MATCH(ROWS($AH$2:AH519),$AH$2:$AH$1001,0),MATCH(COLUMNS($AO$1006:BN1006),$AO$1006:$BQ$1006,0)), HYPERLINK("#",""), HYPERLINK(CONCATENATE("#Metadata!", ADDRESS(INDEX($AJ$2:$AJ$1001,MATCH(ROWS($AH$2:AH519),$AH$2:$AH$1001,0),0), INDEX($AO$1004:$BQ$1004,1,MATCH(COLUMNS($AO$1006:BN1006),$AO$1006:$BQ$1006,0)))),"Fix")))</f>
        <v>#N/A</v>
      </c>
      <c r="AB519" s="5" t="e">
        <f ca="1">IF(OR(INDEX($AI$2:$AI$1001,MATCH(ROWS($AH$2:AH519),$AH$2:$AH$1001,0),1)&gt;=100000,INDEX($AO$1005:$BQ$1005,1,MATCH(COLUMNS($AO$1006:BO1006),$AO$1006:$BQ$1006,0))&gt;=100000), " ",IF(INDEX($AO$2:$BQ$1001,MATCH(ROWS($AH$2:AH519),$AH$2:$AH$1001,0),MATCH(COLUMNS($AO$1006:BO1006),$AO$1006:$BQ$1006,0)), HYPERLINK("#",""), HYPERLINK(CONCATENATE("#Metadata!", ADDRESS(INDEX($AJ$2:$AJ$1001,MATCH(ROWS($AH$2:AH519),$AH$2:$AH$1001,0),0), INDEX($AO$1004:$BQ$1004,1,MATCH(COLUMNS($AO$1006:BO1006),$AO$1006:$BQ$1006,0)))),"Fix")))</f>
        <v>#N/A</v>
      </c>
      <c r="AC519" s="5" t="e">
        <f ca="1">IF(OR(INDEX($AI$2:$AI$1001,MATCH(ROWS($AH$2:AH519),$AH$2:$AH$1001,0),1)&gt;=100000,INDEX($AO$1005:$BQ$1005,1,MATCH(COLUMNS($AO$1006:BP1006),$AO$1006:$BQ$1006,0))&gt;=100000), " ",IF(INDEX($AO$2:$BQ$1001,MATCH(ROWS($AH$2:AH519),$AH$2:$AH$1001,0),MATCH(COLUMNS($AO$1006:BP1006),$AO$1006:$BQ$1006,0)), HYPERLINK("#",""), HYPERLINK(CONCATENATE("#Metadata!", ADDRESS(INDEX($AJ$2:$AJ$1001,MATCH(ROWS($AH$2:AH519),$AH$2:$AH$1001,0),0), INDEX($AO$1004:$BQ$1004,1,MATCH(COLUMNS($AO$1006:BP1006),$AO$1006:$BQ$1006,0)))),"Fix")))</f>
        <v>#N/A</v>
      </c>
      <c r="AD519" s="5" t="e">
        <f ca="1">IF(OR(INDEX($AI$2:$AI$1001,MATCH(ROWS($AH$2:AH519),$AH$2:$AH$1001,0),1)&gt;=100000,INDEX($AO$1005:$BQ$1005,1,MATCH(COLUMNS($AO$1006:BQ1006),$AO$1006:$BQ$1006,0))&gt;=100000), " ",IF(INDEX($AO$2:$BQ$1001,MATCH(ROWS($AH$2:AH519),$AH$2:$AH$1001,0),MATCH(COLUMNS($AO$1006:BQ1006),$AO$1006:$BQ$1006,0)), HYPERLINK("#",""), HYPERLINK(CONCATENATE("#Metadata!", ADDRESS(INDEX($AJ$2:$AJ$1001,MATCH(ROWS($AH$2:AH519),$AH$2:$AH$1001,0),0), INDEX($AO$1004:$BQ$1004,1,MATCH(COLUMNS($AO$1006:BQ1006),$AO$1006:$BQ$1006,0)))),"Fix")))</f>
        <v>#REF!</v>
      </c>
      <c r="AH519">
        <f ca="1"/>
        <v>516</v>
      </c>
      <c r="AI519">
        <v>100519</v>
      </c>
      <c r="AJ519">
        <v>519</v>
      </c>
      <c r="AK519" t="b">
        <f t="shared" si="8"/>
        <v>1</v>
      </c>
      <c r="AL519" t="b">
        <f>COUNTBLANK(Metadata!B519:AD519)=COLUMNS(Metadata!B519:AD519)</f>
        <v>1</v>
      </c>
      <c r="AM519" t="str">
        <v/>
      </c>
      <c r="AO519" t="b">
        <f ca="1">AND(IF(Metadata!B519="",FALSE,TRUE),COUNTIF(Metadata!B:B, Metadata!B519) = 1,NOT(ISERROR(SUMPRODUCT(SEARCH(MID(Metadata!B519,ROW(INDIRECT("1:"&amp;LEN(Metadata!B519))), 1),"0123456789abcdefghijklmnopqrstuvwxyzABCDEFGHIJKLMNOPQRSTUVWXYZ.")))))</f>
        <v>0</v>
      </c>
      <c r="AP519" t="b">
        <f>IF(Metadata!C519="",FALSE,TRUE)</f>
        <v>0</v>
      </c>
      <c r="AQ519" t="b">
        <f>IF(Metadata!D519="",FALSE,TRUE)</f>
        <v>0</v>
      </c>
      <c r="AR519" t="b">
        <f ca="1">OR(AND(IF(Metadata!E519="",FALSE,TRUE),OR(EXACT(Metadata!E519,"not collected"),EXACT(Metadata!E519,"not provided"),EXACT(Metadata!E519,"restricted access"))),AND(IF(Metadata!E519="",FALSE,TRUE),AND(AND(IFERROR(INT(LEFT(Metadata!E519,4))&gt;1900,FALSE),IFERROR(INT(LEFT(Metadata!E519,4))&lt;=YEAR(NOW()),FALSE)), OR(MID(Metadata!E519,5,1)="", AND(AND(MID(Metadata!E519,5,1)="-",IFERROR(INT(MID(Metadata!E519,6,1))&gt;=0,FALSE),IFERROR(INT(MID(Metadata!E519,6,1))&lt;=1,FALSE),NOT(MID(Metadata!E519,7,1)=""),IFERROR(INT(MID(Metadata!E519,6,2))&gt;=1,FALSE),IFERROR(INT(MID(Metadata!E519,6,2))&lt;=12,FALSE)), OR(MID(Metadata!E519,8,1)="", AND(AND(MID(Metadata!E519,8,1)="-",IFERROR(INT(MID(Metadata!E519,9,1))&gt;=0,FALSE),IFERROR(INT(MID(Metadata!E519,9,1))&lt;=3,FALSE),NOT(MID(Metadata!E519,10,1)=""),IFERROR(INT(MID(Metadata!E519,9,2))&gt;=1,FALSE),IFERROR(INT(MID(Metadata!E519,9,2))&lt;=31,FALSE)), OR(MID(Metadata!E519,11,1)="", AND(AND(MID(Metadata!E519,11,1)=" ",IFERROR(INT(MID(Metadata!E519,12,1))&gt;=0,FALSE),IFERROR(INT(MID(Metadata!E519,12,1))&lt;=2,FALSE),NOT(MID(Metadata!E519,13,1)=""),IFERROR(INT(MID(Metadata!E519,12,2))&gt;=0,FALSE),IFERROR(INT(MID(Metadata!E519,12,2))&lt;=23,FALSE)), OR(MID(Metadata!E519,14,1)="", AND(AND(MID(Metadata!E519,14,1)=":",IFERROR(INT(MID(Metadata!E519,15,1))&gt;=0,FALSE),IFERROR(INT(MID(Metadata!E519,15,1))&lt;=5,FALSE),NOT(MID(Metadata!E519,16,1)=""),IFERROR(INT(MID(Metadata!E519,15,2))&gt;=0,FALSE),IFERROR(INT(MID(Metadata!E519,15,2))&lt;=59,FALSE)), OR(MID(Metadata!E519,17,1)="", AND(AND(MID(Metadata!E519,17,1)=":",IFERROR(INT(MID(Metadata!E519,18,1))&gt;=0,FALSE),IFERROR(INT(MID(Metadata!E519,18,1))&lt;=5,FALSE),NOT(MID(Metadata!E519,19,1)=""),IFERROR(INT(MID(Metadata!E519,18,2))&gt;=0,FALSE),IFERROR(INT(MID(Metadata!E519,18,2))&lt;=59,FALSE)), LEN(Metadata!E519)&lt;=19)))))))))))))</f>
        <v>0</v>
      </c>
      <c r="AS519" t="b">
        <f>IF(Metadata!F519="",FALSE,TRUE)</f>
        <v>0</v>
      </c>
      <c r="AT519" t="b">
        <f>OR(AND(IF(Metadata!G519="",FALSE,TRUE),OR(EXACT(Metadata!G519,"not collected"),EXACT(Metadata!G519,"not provided"))),AND(IF(Metadata!G519="",FALSE,TRUE),OR(EXACT(Metadata!G519,"TRUE"),EXACT(Metadata!G519,"FALSE"))))</f>
        <v>0</v>
      </c>
      <c r="AU519" t="b">
        <f>OR(AND(IF(Metadata!H519="",FALSE,TRUE),OR(EXACT(Metadata!H519,"not collected"),EXACT(Metadata!H519,"not provided"),EXACT(Metadata!H519,"restricted access"))),AND(IF(Metadata!H519="",FALSE,ISNUMBER(VALUE(Metadata!H519))),Metadata!H519&gt;=-413))</f>
        <v>0</v>
      </c>
      <c r="AV519" t="b">
        <f>AND(IF(Metadata!I519="",FALSE,TRUE),EXACT(Metadata!I519,"meters"))</f>
        <v>0</v>
      </c>
      <c r="AW519" t="b">
        <f>AND(IF(Metadata!J519="",FALSE,TRUE),EXACT(Metadata!J519,"free-living"))</f>
        <v>0</v>
      </c>
      <c r="AX519" t="b">
        <f>AND(IF(Metadata!K519="",FALSE,TRUE),OR(EXACT(Metadata!K519,"saline"),EXACT(Metadata!K519,"non-saline")))</f>
        <v>0</v>
      </c>
      <c r="AY519" t="b">
        <f>AND(IF(Metadata!L519="",FALSE,TRUE),OR(EXACT(Metadata!L519,"sub-surface (non-saline)"),EXACT(Metadata!L519,"surface (non-saline)"),EXACT(Metadata!L519,"water (non-saline)"),EXACT(Metadata!L519,"soil (non-saline)"),EXACT(Metadata!L519,"aerosol (non-saline)"),EXACT(Metadata!L519,"sediment (non-saline)"),EXACT(Metadata!L519,"surface (saline)"),EXACT(Metadata!L519,"water (saline)"),EXACT(Metadata!L519,"hypersaline (saline)"),EXACT(Metadata!L519,"aerosol (saline)"),EXACT(Metadata!L519,"sediment (saline)")))</f>
        <v>0</v>
      </c>
      <c r="AZ519" t="b">
        <f>IF(Metadata!M519="",FALSE,TRUE)</f>
        <v>0</v>
      </c>
      <c r="BA519" t="b">
        <f>IF(Metadata!N519="",FALSE,TRUE)</f>
        <v>0</v>
      </c>
      <c r="BB519" t="b">
        <f>IF(Metadata!O519="",FALSE,TRUE)</f>
        <v>0</v>
      </c>
      <c r="BC519" t="b">
        <f>AND(IF(Metadata!P519="",FALSE,TRUE),OR(EXACT(Metadata!P519,"air"),EXACT(Metadata!P519,"microbial mat/biofilm"),EXACT(Metadata!P519,"misc environment"),EXACT(Metadata!P519,"sediment"),EXACT(Metadata!P519,"soil"),EXACT(Metadata!P519,"wastewater/sludge"),EXACT(Metadata!P519,"water")))</f>
        <v>0</v>
      </c>
      <c r="BD519" t="b">
        <f>IF(Metadata!Q519="",FALSE,TRUE)</f>
        <v>0</v>
      </c>
      <c r="BE519" t="b">
        <f>IF(Metadata!R519="",FALSE,TRUE)</f>
        <v>0</v>
      </c>
      <c r="BF519" t="b">
        <f>OR(AND(IF(Metadata!S519="",FALSE,TRUE),OR(EXACT(Metadata!S519,"not collected"),EXACT(Metadata!S519,"not provided"),EXACT(Metadata!S519,"restricted access"))),AND(IF(Metadata!S519="",FALSE,ISNUMBER(VALUE(Metadata!S519))),Metadata!S519&gt;=-90,Metadata!S519&lt;=90))</f>
        <v>0</v>
      </c>
      <c r="BG519" t="b">
        <f>AND(IF(Metadata!T519="",FALSE,TRUE),EXACT(Metadata!T519,"Decimal degrees"))</f>
        <v>0</v>
      </c>
      <c r="BH519" t="b">
        <f>OR(AND(IF(Metadata!U519="",FALSE,TRUE),OR(EXACT(Metadata!U519,"not applicable"),EXACT(Metadata!U519,"not collected"))),IF(Metadata!U519="",FALSE,TRUE))</f>
        <v>0</v>
      </c>
      <c r="BI519" t="b">
        <f>OR(AND(IF(Metadata!V519="",FALSE,TRUE),OR(EXACT(Metadata!V519,"not collected"),EXACT(Metadata!V519,"not provided"),EXACT(Metadata!V519,"restricted access"))),AND(IF(Metadata!V519="",FALSE,ISNUMBER(VALUE(Metadata!V519))),Metadata!V519&gt;=-180,Metadata!V519&lt;=180))</f>
        <v>0</v>
      </c>
      <c r="BJ519" t="b">
        <f>AND(IF(Metadata!W519="",FALSE,TRUE),EXACT(Metadata!W519,"Decimal degrees"))</f>
        <v>0</v>
      </c>
      <c r="BK519" t="b">
        <f>IF(Metadata!X519="",FALSE,TRUE)</f>
        <v>0</v>
      </c>
      <c r="BL519" t="b">
        <f>OR(AND(IF(Metadata!Y519="",FALSE,TRUE),OR(EXACT(Metadata!Y519,"not collected"),EXACT(Metadata!Y519,"not provided"),EXACT(Metadata!Y519,"restricted access"))),AND(IF(Metadata!Y519="",FALSE,TRUE),OR(EXACT(Metadata!Y519,"TRUE"),EXACT(Metadata!Y519,"FALSE"))))</f>
        <v>0</v>
      </c>
      <c r="BM519" t="b">
        <f>OR(AND(IF(Metadata!Z519="",FALSE,TRUE),EXACT(Metadata!Z519,"not applicable")),AND(IF(Metadata!Z519="",FALSE,TRUE),OR(EXACT(Metadata!Z519,"beer"),EXACT(Metadata!Z519,"cheese"),EXACT(Metadata!Z519,"fresh water"),EXACT(Metadata!Z519,"marine sediment"),EXACT(Metadata!Z519,"sea water"),EXACT(Metadata!Z519,"sediment"),EXACT(Metadata!Z519,"soil"),EXACT(Metadata!Z519,"waste water"))))</f>
        <v>0</v>
      </c>
      <c r="BN519" t="b">
        <f>AND(IF(Metadata!AA519="",FALSE,TRUE),EXACT(Metadata!AA519,"metagenome"))</f>
        <v>0</v>
      </c>
      <c r="BO519" t="b">
        <f>AND(IF(Metadata!AB519="",FALSE,TRUE),EXACT(Metadata!AB519,"256318"))</f>
        <v>0</v>
      </c>
      <c r="BP519" t="b">
        <f>IF(Metadata!AC519="",FALSE,TRUE)</f>
        <v>0</v>
      </c>
      <c r="BQ519" t="b">
        <f>IF(Metadata!AD519="",FALSE,TRUE)</f>
        <v>0</v>
      </c>
    </row>
    <row r="520" spans="1:69" x14ac:dyDescent="0.2">
      <c r="A520" s="4" t="e">
        <f ca="1">IF(B520=" "," ",HYPERLINK(CONCATENATE("#metadata!",ADDRESS(INDEX($AJ$2:$AJ$1001,MATCH(ROWS($AH$2:AH520),$AH$2:$AH$1001,0),0),2)),INDEX($AM$2:$AM$1001,MATCH(ROWS($AH$2:AH520),$AH$2:$AH$1001,0),0)))</f>
        <v>#N/A</v>
      </c>
      <c r="B520" s="5" t="e">
        <f ca="1">IF(OR(INDEX($AI$2:$AI$1001,MATCH(ROWS($AH$2:AH520),$AH$2:$AH$1001,0),1)&gt;=100000,INDEX($AO$1005:$BQ$1005,1,MATCH(COLUMNS($AO$1006:AO1006),$AO$1006:$BQ$1006,0))&gt;=100000), " ",IF(INDEX($AO$2:$BQ$1001,MATCH(ROWS($AH$2:AH520),$AH$2:$AH$1001,0),MATCH(COLUMNS($AO$1006:AO1006),$AO$1006:$BQ$1006,0)), HYPERLINK("#",""), HYPERLINK(CONCATENATE("#Metadata!", ADDRESS(INDEX($AJ$2:$AJ$1001,MATCH(ROWS($AH$2:AH520),$AH$2:$AH$1001,0),0), INDEX($AO$1004:$BQ$1004,1,MATCH(COLUMNS($AO$1006:AO1006),$AO$1006:$BQ$1006,0)))),"Fix")))</f>
        <v>#N/A</v>
      </c>
      <c r="C520" s="5" t="e">
        <f ca="1">IF(OR(INDEX($AI$2:$AI$1001,MATCH(ROWS($AH$2:AH520),$AH$2:$AH$1001,0),1)&gt;=100000,INDEX($AO$1005:$BQ$1005,1,MATCH(COLUMNS($AO$1006:AP1006),$AO$1006:$BQ$1006,0))&gt;=100000), " ",IF(INDEX($AO$2:$BQ$1001,MATCH(ROWS($AH$2:AH520),$AH$2:$AH$1001,0),MATCH(COLUMNS($AO$1006:AP1006),$AO$1006:$BQ$1006,0)), HYPERLINK("#",""), HYPERLINK(CONCATENATE("#Metadata!", ADDRESS(INDEX($AJ$2:$AJ$1001,MATCH(ROWS($AH$2:AH520),$AH$2:$AH$1001,0),0), INDEX($AO$1004:$BQ$1004,1,MATCH(COLUMNS($AO$1006:AP1006),$AO$1006:$BQ$1006,0)))),"Fix")))</f>
        <v>#N/A</v>
      </c>
      <c r="D520" s="5" t="e">
        <f ca="1">IF(OR(INDEX($AI$2:$AI$1001,MATCH(ROWS($AH$2:AH520),$AH$2:$AH$1001,0),1)&gt;=100000,INDEX($AO$1005:$BQ$1005,1,MATCH(COLUMNS($AO$1006:AQ1006),$AO$1006:$BQ$1006,0))&gt;=100000), " ",IF(INDEX($AO$2:$BQ$1001,MATCH(ROWS($AH$2:AH520),$AH$2:$AH$1001,0),MATCH(COLUMNS($AO$1006:AQ1006),$AO$1006:$BQ$1006,0)), HYPERLINK("#",""), HYPERLINK(CONCATENATE("#Metadata!", ADDRESS(INDEX($AJ$2:$AJ$1001,MATCH(ROWS($AH$2:AH520),$AH$2:$AH$1001,0),0), INDEX($AO$1004:$BQ$1004,1,MATCH(COLUMNS($AO$1006:AQ1006),$AO$1006:$BQ$1006,0)))),"Fix")))</f>
        <v>#N/A</v>
      </c>
      <c r="E520" s="5" t="e">
        <f ca="1">IF(OR(INDEX($AI$2:$AI$1001,MATCH(ROWS($AH$2:AH520),$AH$2:$AH$1001,0),1)&gt;=100000,INDEX($AO$1005:$BQ$1005,1,MATCH(COLUMNS($AO$1006:AR1006),$AO$1006:$BQ$1006,0))&gt;=100000), " ",IF(INDEX($AO$2:$BQ$1001,MATCH(ROWS($AH$2:AH520),$AH$2:$AH$1001,0),MATCH(COLUMNS($AO$1006:AR1006),$AO$1006:$BQ$1006,0)), HYPERLINK("#",""), HYPERLINK(CONCATENATE("#Metadata!", ADDRESS(INDEX($AJ$2:$AJ$1001,MATCH(ROWS($AH$2:AH520),$AH$2:$AH$1001,0),0), INDEX($AO$1004:$BQ$1004,1,MATCH(COLUMNS($AO$1006:AR1006),$AO$1006:$BQ$1006,0)))),"Fix")))</f>
        <v>#N/A</v>
      </c>
      <c r="F520" s="5" t="e">
        <f ca="1">IF(OR(INDEX($AI$2:$AI$1001,MATCH(ROWS($AH$2:AH520),$AH$2:$AH$1001,0),1)&gt;=100000,INDEX($AO$1005:$BQ$1005,1,MATCH(COLUMNS($AO$1006:AS1006),$AO$1006:$BQ$1006,0))&gt;=100000), " ",IF(INDEX($AO$2:$BQ$1001,MATCH(ROWS($AH$2:AH520),$AH$2:$AH$1001,0),MATCH(COLUMNS($AO$1006:AS1006),$AO$1006:$BQ$1006,0)), HYPERLINK("#",""), HYPERLINK(CONCATENATE("#Metadata!", ADDRESS(INDEX($AJ$2:$AJ$1001,MATCH(ROWS($AH$2:AH520),$AH$2:$AH$1001,0),0), INDEX($AO$1004:$BQ$1004,1,MATCH(COLUMNS($AO$1006:AS1006),$AO$1006:$BQ$1006,0)))),"Fix")))</f>
        <v>#N/A</v>
      </c>
      <c r="G520" s="5" t="e">
        <f ca="1">IF(OR(INDEX($AI$2:$AI$1001,MATCH(ROWS($AH$2:AH520),$AH$2:$AH$1001,0),1)&gt;=100000,INDEX($AO$1005:$BQ$1005,1,MATCH(COLUMNS($AO$1006:AT1006),$AO$1006:$BQ$1006,0))&gt;=100000), " ",IF(INDEX($AO$2:$BQ$1001,MATCH(ROWS($AH$2:AH520),$AH$2:$AH$1001,0),MATCH(COLUMNS($AO$1006:AT1006),$AO$1006:$BQ$1006,0)), HYPERLINK("#",""), HYPERLINK(CONCATENATE("#Metadata!", ADDRESS(INDEX($AJ$2:$AJ$1001,MATCH(ROWS($AH$2:AH520),$AH$2:$AH$1001,0),0), INDEX($AO$1004:$BQ$1004,1,MATCH(COLUMNS($AO$1006:AT1006),$AO$1006:$BQ$1006,0)))),"Fix")))</f>
        <v>#N/A</v>
      </c>
      <c r="H520" s="5" t="e">
        <f ca="1">IF(OR(INDEX($AI$2:$AI$1001,MATCH(ROWS($AH$2:AH520),$AH$2:$AH$1001,0),1)&gt;=100000,INDEX($AO$1005:$BQ$1005,1,MATCH(COLUMNS($AO$1006:AU1006),$AO$1006:$BQ$1006,0))&gt;=100000), " ",IF(INDEX($AO$2:$BQ$1001,MATCH(ROWS($AH$2:AH520),$AH$2:$AH$1001,0),MATCH(COLUMNS($AO$1006:AU1006),$AO$1006:$BQ$1006,0)), HYPERLINK("#",""), HYPERLINK(CONCATENATE("#Metadata!", ADDRESS(INDEX($AJ$2:$AJ$1001,MATCH(ROWS($AH$2:AH520),$AH$2:$AH$1001,0),0), INDEX($AO$1004:$BQ$1004,1,MATCH(COLUMNS($AO$1006:AU1006),$AO$1006:$BQ$1006,0)))),"Fix")))</f>
        <v>#N/A</v>
      </c>
      <c r="I520" s="5" t="e">
        <f ca="1">IF(OR(INDEX($AI$2:$AI$1001,MATCH(ROWS($AH$2:AH520),$AH$2:$AH$1001,0),1)&gt;=100000,INDEX($AO$1005:$BQ$1005,1,MATCH(COLUMNS($AO$1006:AV1006),$AO$1006:$BQ$1006,0))&gt;=100000), " ",IF(INDEX($AO$2:$BQ$1001,MATCH(ROWS($AH$2:AH520),$AH$2:$AH$1001,0),MATCH(COLUMNS($AO$1006:AV1006),$AO$1006:$BQ$1006,0)), HYPERLINK("#",""), HYPERLINK(CONCATENATE("#Metadata!", ADDRESS(INDEX($AJ$2:$AJ$1001,MATCH(ROWS($AH$2:AH520),$AH$2:$AH$1001,0),0), INDEX($AO$1004:$BQ$1004,1,MATCH(COLUMNS($AO$1006:AV1006),$AO$1006:$BQ$1006,0)))),"Fix")))</f>
        <v>#N/A</v>
      </c>
      <c r="J520" s="5" t="e">
        <f ca="1">IF(OR(INDEX($AI$2:$AI$1001,MATCH(ROWS($AH$2:AH520),$AH$2:$AH$1001,0),1)&gt;=100000,INDEX($AO$1005:$BQ$1005,1,MATCH(COLUMNS($AO$1006:AW1006),$AO$1006:$BQ$1006,0))&gt;=100000), " ",IF(INDEX($AO$2:$BQ$1001,MATCH(ROWS($AH$2:AH520),$AH$2:$AH$1001,0),MATCH(COLUMNS($AO$1006:AW1006),$AO$1006:$BQ$1006,0)), HYPERLINK("#",""), HYPERLINK(CONCATENATE("#Metadata!", ADDRESS(INDEX($AJ$2:$AJ$1001,MATCH(ROWS($AH$2:AH520),$AH$2:$AH$1001,0),0), INDEX($AO$1004:$BQ$1004,1,MATCH(COLUMNS($AO$1006:AW1006),$AO$1006:$BQ$1006,0)))),"Fix")))</f>
        <v>#N/A</v>
      </c>
      <c r="K520" s="5" t="e">
        <f ca="1">IF(OR(INDEX($AI$2:$AI$1001,MATCH(ROWS($AH$2:AH520),$AH$2:$AH$1001,0),1)&gt;=100000,INDEX($AO$1005:$BQ$1005,1,MATCH(COLUMNS($AO$1006:AX1006),$AO$1006:$BQ$1006,0))&gt;=100000), " ",IF(INDEX($AO$2:$BQ$1001,MATCH(ROWS($AH$2:AH520),$AH$2:$AH$1001,0),MATCH(COLUMNS($AO$1006:AX1006),$AO$1006:$BQ$1006,0)), HYPERLINK("#",""), HYPERLINK(CONCATENATE("#Metadata!", ADDRESS(INDEX($AJ$2:$AJ$1001,MATCH(ROWS($AH$2:AH520),$AH$2:$AH$1001,0),0), INDEX($AO$1004:$BQ$1004,1,MATCH(COLUMNS($AO$1006:AX1006),$AO$1006:$BQ$1006,0)))),"Fix")))</f>
        <v>#N/A</v>
      </c>
      <c r="L520" s="5" t="e">
        <f ca="1">IF(OR(INDEX($AI$2:$AI$1001,MATCH(ROWS($AH$2:AH520),$AH$2:$AH$1001,0),1)&gt;=100000,INDEX($AO$1005:$BQ$1005,1,MATCH(COLUMNS($AO$1006:AY1006),$AO$1006:$BQ$1006,0))&gt;=100000), " ",IF(INDEX($AO$2:$BQ$1001,MATCH(ROWS($AH$2:AH520),$AH$2:$AH$1001,0),MATCH(COLUMNS($AO$1006:AY1006),$AO$1006:$BQ$1006,0)), HYPERLINK("#",""), HYPERLINK(CONCATENATE("#Metadata!", ADDRESS(INDEX($AJ$2:$AJ$1001,MATCH(ROWS($AH$2:AH520),$AH$2:$AH$1001,0),0), INDEX($AO$1004:$BQ$1004,1,MATCH(COLUMNS($AO$1006:AY1006),$AO$1006:$BQ$1006,0)))),"Fix")))</f>
        <v>#N/A</v>
      </c>
      <c r="M520" s="5" t="e">
        <f ca="1">IF(OR(INDEX($AI$2:$AI$1001,MATCH(ROWS($AH$2:AH520),$AH$2:$AH$1001,0),1)&gt;=100000,INDEX($AO$1005:$BQ$1005,1,MATCH(COLUMNS($AO$1006:AZ1006),$AO$1006:$BQ$1006,0))&gt;=100000), " ",IF(INDEX($AO$2:$BQ$1001,MATCH(ROWS($AH$2:AH520),$AH$2:$AH$1001,0),MATCH(COLUMNS($AO$1006:AZ1006),$AO$1006:$BQ$1006,0)), HYPERLINK("#",""), HYPERLINK(CONCATENATE("#Metadata!", ADDRESS(INDEX($AJ$2:$AJ$1001,MATCH(ROWS($AH$2:AH520),$AH$2:$AH$1001,0),0), INDEX($AO$1004:$BQ$1004,1,MATCH(COLUMNS($AO$1006:AZ1006),$AO$1006:$BQ$1006,0)))),"Fix")))</f>
        <v>#N/A</v>
      </c>
      <c r="N520" s="5" t="e">
        <f ca="1">IF(OR(INDEX($AI$2:$AI$1001,MATCH(ROWS($AH$2:AH520),$AH$2:$AH$1001,0),1)&gt;=100000,INDEX($AO$1005:$BQ$1005,1,MATCH(COLUMNS($AO$1006:BA1006),$AO$1006:$BQ$1006,0))&gt;=100000), " ",IF(INDEX($AO$2:$BQ$1001,MATCH(ROWS($AH$2:AH520),$AH$2:$AH$1001,0),MATCH(COLUMNS($AO$1006:BA1006),$AO$1006:$BQ$1006,0)), HYPERLINK("#",""), HYPERLINK(CONCATENATE("#Metadata!", ADDRESS(INDEX($AJ$2:$AJ$1001,MATCH(ROWS($AH$2:AH520),$AH$2:$AH$1001,0),0), INDEX($AO$1004:$BQ$1004,1,MATCH(COLUMNS($AO$1006:BA1006),$AO$1006:$BQ$1006,0)))),"Fix")))</f>
        <v>#N/A</v>
      </c>
      <c r="O520" s="5" t="e">
        <f ca="1">IF(OR(INDEX($AI$2:$AI$1001,MATCH(ROWS($AH$2:AH520),$AH$2:$AH$1001,0),1)&gt;=100000,INDEX($AO$1005:$BQ$1005,1,MATCH(COLUMNS($AO$1006:BB1006),$AO$1006:$BQ$1006,0))&gt;=100000), " ",IF(INDEX($AO$2:$BQ$1001,MATCH(ROWS($AH$2:AH520),$AH$2:$AH$1001,0),MATCH(COLUMNS($AO$1006:BB1006),$AO$1006:$BQ$1006,0)), HYPERLINK("#",""), HYPERLINK(CONCATENATE("#Metadata!", ADDRESS(INDEX($AJ$2:$AJ$1001,MATCH(ROWS($AH$2:AH520),$AH$2:$AH$1001,0),0), INDEX($AO$1004:$BQ$1004,1,MATCH(COLUMNS($AO$1006:BB1006),$AO$1006:$BQ$1006,0)))),"Fix")))</f>
        <v>#N/A</v>
      </c>
      <c r="P520" s="5" t="e">
        <f ca="1">IF(OR(INDEX($AI$2:$AI$1001,MATCH(ROWS($AH$2:AH520),$AH$2:$AH$1001,0),1)&gt;=100000,INDEX($AO$1005:$BQ$1005,1,MATCH(COLUMNS($AO$1006:BC1006),$AO$1006:$BQ$1006,0))&gt;=100000), " ",IF(INDEX($AO$2:$BQ$1001,MATCH(ROWS($AH$2:AH520),$AH$2:$AH$1001,0),MATCH(COLUMNS($AO$1006:BC1006),$AO$1006:$BQ$1006,0)), HYPERLINK("#",""), HYPERLINK(CONCATENATE("#Metadata!", ADDRESS(INDEX($AJ$2:$AJ$1001,MATCH(ROWS($AH$2:AH520),$AH$2:$AH$1001,0),0), INDEX($AO$1004:$BQ$1004,1,MATCH(COLUMNS($AO$1006:BC1006),$AO$1006:$BQ$1006,0)))),"Fix")))</f>
        <v>#N/A</v>
      </c>
      <c r="Q520" s="5" t="e">
        <f ca="1">IF(OR(INDEX($AI$2:$AI$1001,MATCH(ROWS($AH$2:AH520),$AH$2:$AH$1001,0),1)&gt;=100000,INDEX($AO$1005:$BQ$1005,1,MATCH(COLUMNS($AO$1006:BD1006),$AO$1006:$BQ$1006,0))&gt;=100000), " ",IF(INDEX($AO$2:$BQ$1001,MATCH(ROWS($AH$2:AH520),$AH$2:$AH$1001,0),MATCH(COLUMNS($AO$1006:BD1006),$AO$1006:$BQ$1006,0)), HYPERLINK("#",""), HYPERLINK(CONCATENATE("#Metadata!", ADDRESS(INDEX($AJ$2:$AJ$1001,MATCH(ROWS($AH$2:AH520),$AH$2:$AH$1001,0),0), INDEX($AO$1004:$BQ$1004,1,MATCH(COLUMNS($AO$1006:BD1006),$AO$1006:$BQ$1006,0)))),"Fix")))</f>
        <v>#N/A</v>
      </c>
      <c r="R520" s="5" t="e">
        <f ca="1">IF(OR(INDEX($AI$2:$AI$1001,MATCH(ROWS($AH$2:AH520),$AH$2:$AH$1001,0),1)&gt;=100000,INDEX($AO$1005:$BQ$1005,1,MATCH(COLUMNS($AO$1006:BE1006),$AO$1006:$BQ$1006,0))&gt;=100000), " ",IF(INDEX($AO$2:$BQ$1001,MATCH(ROWS($AH$2:AH520),$AH$2:$AH$1001,0),MATCH(COLUMNS($AO$1006:BE1006),$AO$1006:$BQ$1006,0)), HYPERLINK("#",""), HYPERLINK(CONCATENATE("#Metadata!", ADDRESS(INDEX($AJ$2:$AJ$1001,MATCH(ROWS($AH$2:AH520),$AH$2:$AH$1001,0),0), INDEX($AO$1004:$BQ$1004,1,MATCH(COLUMNS($AO$1006:BE1006),$AO$1006:$BQ$1006,0)))),"Fix")))</f>
        <v>#N/A</v>
      </c>
      <c r="S520" s="5" t="e">
        <f ca="1">IF(OR(INDEX($AI$2:$AI$1001,MATCH(ROWS($AH$2:AH520),$AH$2:$AH$1001,0),1)&gt;=100000,INDEX($AO$1005:$BQ$1005,1,MATCH(COLUMNS($AO$1006:BF1006),$AO$1006:$BQ$1006,0))&gt;=100000), " ",IF(INDEX($AO$2:$BQ$1001,MATCH(ROWS($AH$2:AH520),$AH$2:$AH$1001,0),MATCH(COLUMNS($AO$1006:BF1006),$AO$1006:$BQ$1006,0)), HYPERLINK("#",""), HYPERLINK(CONCATENATE("#Metadata!", ADDRESS(INDEX($AJ$2:$AJ$1001,MATCH(ROWS($AH$2:AH520),$AH$2:$AH$1001,0),0), INDEX($AO$1004:$BQ$1004,1,MATCH(COLUMNS($AO$1006:BF1006),$AO$1006:$BQ$1006,0)))),"Fix")))</f>
        <v>#N/A</v>
      </c>
      <c r="T520" s="5" t="e">
        <f ca="1">IF(OR(INDEX($AI$2:$AI$1001,MATCH(ROWS($AH$2:AH520),$AH$2:$AH$1001,0),1)&gt;=100000,INDEX($AO$1005:$BQ$1005,1,MATCH(COLUMNS($AO$1006:BG1006),$AO$1006:$BQ$1006,0))&gt;=100000), " ",IF(INDEX($AO$2:$BQ$1001,MATCH(ROWS($AH$2:AH520),$AH$2:$AH$1001,0),MATCH(COLUMNS($AO$1006:BG1006),$AO$1006:$BQ$1006,0)), HYPERLINK("#",""), HYPERLINK(CONCATENATE("#Metadata!", ADDRESS(INDEX($AJ$2:$AJ$1001,MATCH(ROWS($AH$2:AH520),$AH$2:$AH$1001,0),0), INDEX($AO$1004:$BQ$1004,1,MATCH(COLUMNS($AO$1006:BG1006),$AO$1006:$BQ$1006,0)))),"Fix")))</f>
        <v>#N/A</v>
      </c>
      <c r="U520" s="5" t="e">
        <f ca="1">IF(OR(INDEX($AI$2:$AI$1001,MATCH(ROWS($AH$2:AH520),$AH$2:$AH$1001,0),1)&gt;=100000,INDEX($AO$1005:$BQ$1005,1,MATCH(COLUMNS($AO$1006:BH1006),$AO$1006:$BQ$1006,0))&gt;=100000), " ",IF(INDEX($AO$2:$BQ$1001,MATCH(ROWS($AH$2:AH520),$AH$2:$AH$1001,0),MATCH(COLUMNS($AO$1006:BH1006),$AO$1006:$BQ$1006,0)), HYPERLINK("#",""), HYPERLINK(CONCATENATE("#Metadata!", ADDRESS(INDEX($AJ$2:$AJ$1001,MATCH(ROWS($AH$2:AH520),$AH$2:$AH$1001,0),0), INDEX($AO$1004:$BQ$1004,1,MATCH(COLUMNS($AO$1006:BH1006),$AO$1006:$BQ$1006,0)))),"Fix")))</f>
        <v>#N/A</v>
      </c>
      <c r="V520" s="5" t="e">
        <f ca="1">IF(OR(INDEX($AI$2:$AI$1001,MATCH(ROWS($AH$2:AH520),$AH$2:$AH$1001,0),1)&gt;=100000,INDEX($AO$1005:$BQ$1005,1,MATCH(COLUMNS($AO$1006:BI1006),$AO$1006:$BQ$1006,0))&gt;=100000), " ",IF(INDEX($AO$2:$BQ$1001,MATCH(ROWS($AH$2:AH520),$AH$2:$AH$1001,0),MATCH(COLUMNS($AO$1006:BI1006),$AO$1006:$BQ$1006,0)), HYPERLINK("#",""), HYPERLINK(CONCATENATE("#Metadata!", ADDRESS(INDEX($AJ$2:$AJ$1001,MATCH(ROWS($AH$2:AH520),$AH$2:$AH$1001,0),0), INDEX($AO$1004:$BQ$1004,1,MATCH(COLUMNS($AO$1006:BI1006),$AO$1006:$BQ$1006,0)))),"Fix")))</f>
        <v>#N/A</v>
      </c>
      <c r="W520" s="5" t="e">
        <f ca="1">IF(OR(INDEX($AI$2:$AI$1001,MATCH(ROWS($AH$2:AH520),$AH$2:$AH$1001,0),1)&gt;=100000,INDEX($AO$1005:$BQ$1005,1,MATCH(COLUMNS($AO$1006:BJ1006),$AO$1006:$BQ$1006,0))&gt;=100000), " ",IF(INDEX($AO$2:$BQ$1001,MATCH(ROWS($AH$2:AH520),$AH$2:$AH$1001,0),MATCH(COLUMNS($AO$1006:BJ1006),$AO$1006:$BQ$1006,0)), HYPERLINK("#",""), HYPERLINK(CONCATENATE("#Metadata!", ADDRESS(INDEX($AJ$2:$AJ$1001,MATCH(ROWS($AH$2:AH520),$AH$2:$AH$1001,0),0), INDEX($AO$1004:$BQ$1004,1,MATCH(COLUMNS($AO$1006:BJ1006),$AO$1006:$BQ$1006,0)))),"Fix")))</f>
        <v>#N/A</v>
      </c>
      <c r="X520" s="5" t="e">
        <f ca="1">IF(OR(INDEX($AI$2:$AI$1001,MATCH(ROWS($AH$2:AH520),$AH$2:$AH$1001,0),1)&gt;=100000,INDEX($AO$1005:$BQ$1005,1,MATCH(COLUMNS($AO$1006:BK1006),$AO$1006:$BQ$1006,0))&gt;=100000), " ",IF(INDEX($AO$2:$BQ$1001,MATCH(ROWS($AH$2:AH520),$AH$2:$AH$1001,0),MATCH(COLUMNS($AO$1006:BK1006),$AO$1006:$BQ$1006,0)), HYPERLINK("#",""), HYPERLINK(CONCATENATE("#Metadata!", ADDRESS(INDEX($AJ$2:$AJ$1001,MATCH(ROWS($AH$2:AH520),$AH$2:$AH$1001,0),0), INDEX($AO$1004:$BQ$1004,1,MATCH(COLUMNS($AO$1006:BK1006),$AO$1006:$BQ$1006,0)))),"Fix")))</f>
        <v>#N/A</v>
      </c>
      <c r="Y520" s="5" t="e">
        <f ca="1">IF(OR(INDEX($AI$2:$AI$1001,MATCH(ROWS($AH$2:AH520),$AH$2:$AH$1001,0),1)&gt;=100000,INDEX($AO$1005:$BQ$1005,1,MATCH(COLUMNS($AO$1006:BL1006),$AO$1006:$BQ$1006,0))&gt;=100000), " ",IF(INDEX($AO$2:$BQ$1001,MATCH(ROWS($AH$2:AH520),$AH$2:$AH$1001,0),MATCH(COLUMNS($AO$1006:BL1006),$AO$1006:$BQ$1006,0)), HYPERLINK("#",""), HYPERLINK(CONCATENATE("#Metadata!", ADDRESS(INDEX($AJ$2:$AJ$1001,MATCH(ROWS($AH$2:AH520),$AH$2:$AH$1001,0),0), INDEX($AO$1004:$BQ$1004,1,MATCH(COLUMNS($AO$1006:BL1006),$AO$1006:$BQ$1006,0)))),"Fix")))</f>
        <v>#N/A</v>
      </c>
      <c r="Z520" s="5" t="e">
        <f ca="1">IF(OR(INDEX($AI$2:$AI$1001,MATCH(ROWS($AH$2:AH520),$AH$2:$AH$1001,0),1)&gt;=100000,INDEX($AO$1005:$BQ$1005,1,MATCH(COLUMNS($AO$1006:BM1006),$AO$1006:$BQ$1006,0))&gt;=100000), " ",IF(INDEX($AO$2:$BQ$1001,MATCH(ROWS($AH$2:AH520),$AH$2:$AH$1001,0),MATCH(COLUMNS($AO$1006:BM1006),$AO$1006:$BQ$1006,0)), HYPERLINK("#",""), HYPERLINK(CONCATENATE("#Metadata!", ADDRESS(INDEX($AJ$2:$AJ$1001,MATCH(ROWS($AH$2:AH520),$AH$2:$AH$1001,0),0), INDEX($AO$1004:$BQ$1004,1,MATCH(COLUMNS($AO$1006:BM1006),$AO$1006:$BQ$1006,0)))),"Fix")))</f>
        <v>#N/A</v>
      </c>
      <c r="AA520" s="5" t="e">
        <f ca="1">IF(OR(INDEX($AI$2:$AI$1001,MATCH(ROWS($AH$2:AH520),$AH$2:$AH$1001,0),1)&gt;=100000,INDEX($AO$1005:$BQ$1005,1,MATCH(COLUMNS($AO$1006:BN1006),$AO$1006:$BQ$1006,0))&gt;=100000), " ",IF(INDEX($AO$2:$BQ$1001,MATCH(ROWS($AH$2:AH520),$AH$2:$AH$1001,0),MATCH(COLUMNS($AO$1006:BN1006),$AO$1006:$BQ$1006,0)), HYPERLINK("#",""), HYPERLINK(CONCATENATE("#Metadata!", ADDRESS(INDEX($AJ$2:$AJ$1001,MATCH(ROWS($AH$2:AH520),$AH$2:$AH$1001,0),0), INDEX($AO$1004:$BQ$1004,1,MATCH(COLUMNS($AO$1006:BN1006),$AO$1006:$BQ$1006,0)))),"Fix")))</f>
        <v>#N/A</v>
      </c>
      <c r="AB520" s="5" t="e">
        <f ca="1">IF(OR(INDEX($AI$2:$AI$1001,MATCH(ROWS($AH$2:AH520),$AH$2:$AH$1001,0),1)&gt;=100000,INDEX($AO$1005:$BQ$1005,1,MATCH(COLUMNS($AO$1006:BO1006),$AO$1006:$BQ$1006,0))&gt;=100000), " ",IF(INDEX($AO$2:$BQ$1001,MATCH(ROWS($AH$2:AH520),$AH$2:$AH$1001,0),MATCH(COLUMNS($AO$1006:BO1006),$AO$1006:$BQ$1006,0)), HYPERLINK("#",""), HYPERLINK(CONCATENATE("#Metadata!", ADDRESS(INDEX($AJ$2:$AJ$1001,MATCH(ROWS($AH$2:AH520),$AH$2:$AH$1001,0),0), INDEX($AO$1004:$BQ$1004,1,MATCH(COLUMNS($AO$1006:BO1006),$AO$1006:$BQ$1006,0)))),"Fix")))</f>
        <v>#N/A</v>
      </c>
      <c r="AC520" s="5" t="e">
        <f ca="1">IF(OR(INDEX($AI$2:$AI$1001,MATCH(ROWS($AH$2:AH520),$AH$2:$AH$1001,0),1)&gt;=100000,INDEX($AO$1005:$BQ$1005,1,MATCH(COLUMNS($AO$1006:BP1006),$AO$1006:$BQ$1006,0))&gt;=100000), " ",IF(INDEX($AO$2:$BQ$1001,MATCH(ROWS($AH$2:AH520),$AH$2:$AH$1001,0),MATCH(COLUMNS($AO$1006:BP1006),$AO$1006:$BQ$1006,0)), HYPERLINK("#",""), HYPERLINK(CONCATENATE("#Metadata!", ADDRESS(INDEX($AJ$2:$AJ$1001,MATCH(ROWS($AH$2:AH520),$AH$2:$AH$1001,0),0), INDEX($AO$1004:$BQ$1004,1,MATCH(COLUMNS($AO$1006:BP1006),$AO$1006:$BQ$1006,0)))),"Fix")))</f>
        <v>#N/A</v>
      </c>
      <c r="AD520" s="5" t="e">
        <f ca="1">IF(OR(INDEX($AI$2:$AI$1001,MATCH(ROWS($AH$2:AH520),$AH$2:$AH$1001,0),1)&gt;=100000,INDEX($AO$1005:$BQ$1005,1,MATCH(COLUMNS($AO$1006:BQ1006),$AO$1006:$BQ$1006,0))&gt;=100000), " ",IF(INDEX($AO$2:$BQ$1001,MATCH(ROWS($AH$2:AH520),$AH$2:$AH$1001,0),MATCH(COLUMNS($AO$1006:BQ1006),$AO$1006:$BQ$1006,0)), HYPERLINK("#",""), HYPERLINK(CONCATENATE("#Metadata!", ADDRESS(INDEX($AJ$2:$AJ$1001,MATCH(ROWS($AH$2:AH520),$AH$2:$AH$1001,0),0), INDEX($AO$1004:$BQ$1004,1,MATCH(COLUMNS($AO$1006:BQ1006),$AO$1006:$BQ$1006,0)))),"Fix")))</f>
        <v>#REF!</v>
      </c>
      <c r="AH520">
        <f ca="1"/>
        <v>517</v>
      </c>
      <c r="AI520">
        <v>100520</v>
      </c>
      <c r="AJ520">
        <v>520</v>
      </c>
      <c r="AK520" t="b">
        <f t="shared" si="8"/>
        <v>1</v>
      </c>
      <c r="AL520" t="b">
        <f>COUNTBLANK(Metadata!B520:AD520)=COLUMNS(Metadata!B520:AD520)</f>
        <v>1</v>
      </c>
      <c r="AM520" t="str">
        <v/>
      </c>
      <c r="AO520" t="b">
        <f ca="1">AND(IF(Metadata!B520="",FALSE,TRUE),COUNTIF(Metadata!B:B, Metadata!B520) = 1,NOT(ISERROR(SUMPRODUCT(SEARCH(MID(Metadata!B520,ROW(INDIRECT("1:"&amp;LEN(Metadata!B520))), 1),"0123456789abcdefghijklmnopqrstuvwxyzABCDEFGHIJKLMNOPQRSTUVWXYZ.")))))</f>
        <v>0</v>
      </c>
      <c r="AP520" t="b">
        <f>IF(Metadata!C520="",FALSE,TRUE)</f>
        <v>0</v>
      </c>
      <c r="AQ520" t="b">
        <f>IF(Metadata!D520="",FALSE,TRUE)</f>
        <v>0</v>
      </c>
      <c r="AR520" t="b">
        <f ca="1">OR(AND(IF(Metadata!E520="",FALSE,TRUE),OR(EXACT(Metadata!E520,"not collected"),EXACT(Metadata!E520,"not provided"),EXACT(Metadata!E520,"restricted access"))),AND(IF(Metadata!E520="",FALSE,TRUE),AND(AND(IFERROR(INT(LEFT(Metadata!E520,4))&gt;1900,FALSE),IFERROR(INT(LEFT(Metadata!E520,4))&lt;=YEAR(NOW()),FALSE)), OR(MID(Metadata!E520,5,1)="", AND(AND(MID(Metadata!E520,5,1)="-",IFERROR(INT(MID(Metadata!E520,6,1))&gt;=0,FALSE),IFERROR(INT(MID(Metadata!E520,6,1))&lt;=1,FALSE),NOT(MID(Metadata!E520,7,1)=""),IFERROR(INT(MID(Metadata!E520,6,2))&gt;=1,FALSE),IFERROR(INT(MID(Metadata!E520,6,2))&lt;=12,FALSE)), OR(MID(Metadata!E520,8,1)="", AND(AND(MID(Metadata!E520,8,1)="-",IFERROR(INT(MID(Metadata!E520,9,1))&gt;=0,FALSE),IFERROR(INT(MID(Metadata!E520,9,1))&lt;=3,FALSE),NOT(MID(Metadata!E520,10,1)=""),IFERROR(INT(MID(Metadata!E520,9,2))&gt;=1,FALSE),IFERROR(INT(MID(Metadata!E520,9,2))&lt;=31,FALSE)), OR(MID(Metadata!E520,11,1)="", AND(AND(MID(Metadata!E520,11,1)=" ",IFERROR(INT(MID(Metadata!E520,12,1))&gt;=0,FALSE),IFERROR(INT(MID(Metadata!E520,12,1))&lt;=2,FALSE),NOT(MID(Metadata!E520,13,1)=""),IFERROR(INT(MID(Metadata!E520,12,2))&gt;=0,FALSE),IFERROR(INT(MID(Metadata!E520,12,2))&lt;=23,FALSE)), OR(MID(Metadata!E520,14,1)="", AND(AND(MID(Metadata!E520,14,1)=":",IFERROR(INT(MID(Metadata!E520,15,1))&gt;=0,FALSE),IFERROR(INT(MID(Metadata!E520,15,1))&lt;=5,FALSE),NOT(MID(Metadata!E520,16,1)=""),IFERROR(INT(MID(Metadata!E520,15,2))&gt;=0,FALSE),IFERROR(INT(MID(Metadata!E520,15,2))&lt;=59,FALSE)), OR(MID(Metadata!E520,17,1)="", AND(AND(MID(Metadata!E520,17,1)=":",IFERROR(INT(MID(Metadata!E520,18,1))&gt;=0,FALSE),IFERROR(INT(MID(Metadata!E520,18,1))&lt;=5,FALSE),NOT(MID(Metadata!E520,19,1)=""),IFERROR(INT(MID(Metadata!E520,18,2))&gt;=0,FALSE),IFERROR(INT(MID(Metadata!E520,18,2))&lt;=59,FALSE)), LEN(Metadata!E520)&lt;=19)))))))))))))</f>
        <v>0</v>
      </c>
      <c r="AS520" t="b">
        <f>IF(Metadata!F520="",FALSE,TRUE)</f>
        <v>0</v>
      </c>
      <c r="AT520" t="b">
        <f>OR(AND(IF(Metadata!G520="",FALSE,TRUE),OR(EXACT(Metadata!G520,"not collected"),EXACT(Metadata!G520,"not provided"))),AND(IF(Metadata!G520="",FALSE,TRUE),OR(EXACT(Metadata!G520,"TRUE"),EXACT(Metadata!G520,"FALSE"))))</f>
        <v>0</v>
      </c>
      <c r="AU520" t="b">
        <f>OR(AND(IF(Metadata!H520="",FALSE,TRUE),OR(EXACT(Metadata!H520,"not collected"),EXACT(Metadata!H520,"not provided"),EXACT(Metadata!H520,"restricted access"))),AND(IF(Metadata!H520="",FALSE,ISNUMBER(VALUE(Metadata!H520))),Metadata!H520&gt;=-413))</f>
        <v>0</v>
      </c>
      <c r="AV520" t="b">
        <f>AND(IF(Metadata!I520="",FALSE,TRUE),EXACT(Metadata!I520,"meters"))</f>
        <v>0</v>
      </c>
      <c r="AW520" t="b">
        <f>AND(IF(Metadata!J520="",FALSE,TRUE),EXACT(Metadata!J520,"free-living"))</f>
        <v>0</v>
      </c>
      <c r="AX520" t="b">
        <f>AND(IF(Metadata!K520="",FALSE,TRUE),OR(EXACT(Metadata!K520,"saline"),EXACT(Metadata!K520,"non-saline")))</f>
        <v>0</v>
      </c>
      <c r="AY520" t="b">
        <f>AND(IF(Metadata!L520="",FALSE,TRUE),OR(EXACT(Metadata!L520,"sub-surface (non-saline)"),EXACT(Metadata!L520,"surface (non-saline)"),EXACT(Metadata!L520,"water (non-saline)"),EXACT(Metadata!L520,"soil (non-saline)"),EXACT(Metadata!L520,"aerosol (non-saline)"),EXACT(Metadata!L520,"sediment (non-saline)"),EXACT(Metadata!L520,"surface (saline)"),EXACT(Metadata!L520,"water (saline)"),EXACT(Metadata!L520,"hypersaline (saline)"),EXACT(Metadata!L520,"aerosol (saline)"),EXACT(Metadata!L520,"sediment (saline)")))</f>
        <v>0</v>
      </c>
      <c r="AZ520" t="b">
        <f>IF(Metadata!M520="",FALSE,TRUE)</f>
        <v>0</v>
      </c>
      <c r="BA520" t="b">
        <f>IF(Metadata!N520="",FALSE,TRUE)</f>
        <v>0</v>
      </c>
      <c r="BB520" t="b">
        <f>IF(Metadata!O520="",FALSE,TRUE)</f>
        <v>0</v>
      </c>
      <c r="BC520" t="b">
        <f>AND(IF(Metadata!P520="",FALSE,TRUE),OR(EXACT(Metadata!P520,"air"),EXACT(Metadata!P520,"microbial mat/biofilm"),EXACT(Metadata!P520,"misc environment"),EXACT(Metadata!P520,"sediment"),EXACT(Metadata!P520,"soil"),EXACT(Metadata!P520,"wastewater/sludge"),EXACT(Metadata!P520,"water")))</f>
        <v>0</v>
      </c>
      <c r="BD520" t="b">
        <f>IF(Metadata!Q520="",FALSE,TRUE)</f>
        <v>0</v>
      </c>
      <c r="BE520" t="b">
        <f>IF(Metadata!R520="",FALSE,TRUE)</f>
        <v>0</v>
      </c>
      <c r="BF520" t="b">
        <f>OR(AND(IF(Metadata!S520="",FALSE,TRUE),OR(EXACT(Metadata!S520,"not collected"),EXACT(Metadata!S520,"not provided"),EXACT(Metadata!S520,"restricted access"))),AND(IF(Metadata!S520="",FALSE,ISNUMBER(VALUE(Metadata!S520))),Metadata!S520&gt;=-90,Metadata!S520&lt;=90))</f>
        <v>0</v>
      </c>
      <c r="BG520" t="b">
        <f>AND(IF(Metadata!T520="",FALSE,TRUE),EXACT(Metadata!T520,"Decimal degrees"))</f>
        <v>0</v>
      </c>
      <c r="BH520" t="b">
        <f>OR(AND(IF(Metadata!U520="",FALSE,TRUE),OR(EXACT(Metadata!U520,"not applicable"),EXACT(Metadata!U520,"not collected"))),IF(Metadata!U520="",FALSE,TRUE))</f>
        <v>0</v>
      </c>
      <c r="BI520" t="b">
        <f>OR(AND(IF(Metadata!V520="",FALSE,TRUE),OR(EXACT(Metadata!V520,"not collected"),EXACT(Metadata!V520,"not provided"),EXACT(Metadata!V520,"restricted access"))),AND(IF(Metadata!V520="",FALSE,ISNUMBER(VALUE(Metadata!V520))),Metadata!V520&gt;=-180,Metadata!V520&lt;=180))</f>
        <v>0</v>
      </c>
      <c r="BJ520" t="b">
        <f>AND(IF(Metadata!W520="",FALSE,TRUE),EXACT(Metadata!W520,"Decimal degrees"))</f>
        <v>0</v>
      </c>
      <c r="BK520" t="b">
        <f>IF(Metadata!X520="",FALSE,TRUE)</f>
        <v>0</v>
      </c>
      <c r="BL520" t="b">
        <f>OR(AND(IF(Metadata!Y520="",FALSE,TRUE),OR(EXACT(Metadata!Y520,"not collected"),EXACT(Metadata!Y520,"not provided"),EXACT(Metadata!Y520,"restricted access"))),AND(IF(Metadata!Y520="",FALSE,TRUE),OR(EXACT(Metadata!Y520,"TRUE"),EXACT(Metadata!Y520,"FALSE"))))</f>
        <v>0</v>
      </c>
      <c r="BM520" t="b">
        <f>OR(AND(IF(Metadata!Z520="",FALSE,TRUE),EXACT(Metadata!Z520,"not applicable")),AND(IF(Metadata!Z520="",FALSE,TRUE),OR(EXACT(Metadata!Z520,"beer"),EXACT(Metadata!Z520,"cheese"),EXACT(Metadata!Z520,"fresh water"),EXACT(Metadata!Z520,"marine sediment"),EXACT(Metadata!Z520,"sea water"),EXACT(Metadata!Z520,"sediment"),EXACT(Metadata!Z520,"soil"),EXACT(Metadata!Z520,"waste water"))))</f>
        <v>0</v>
      </c>
      <c r="BN520" t="b">
        <f>AND(IF(Metadata!AA520="",FALSE,TRUE),EXACT(Metadata!AA520,"metagenome"))</f>
        <v>0</v>
      </c>
      <c r="BO520" t="b">
        <f>AND(IF(Metadata!AB520="",FALSE,TRUE),EXACT(Metadata!AB520,"256318"))</f>
        <v>0</v>
      </c>
      <c r="BP520" t="b">
        <f>IF(Metadata!AC520="",FALSE,TRUE)</f>
        <v>0</v>
      </c>
      <c r="BQ520" t="b">
        <f>IF(Metadata!AD520="",FALSE,TRUE)</f>
        <v>0</v>
      </c>
    </row>
    <row r="521" spans="1:69" x14ac:dyDescent="0.2">
      <c r="A521" s="4" t="e">
        <f ca="1">IF(B521=" "," ",HYPERLINK(CONCATENATE("#metadata!",ADDRESS(INDEX($AJ$2:$AJ$1001,MATCH(ROWS($AH$2:AH521),$AH$2:$AH$1001,0),0),2)),INDEX($AM$2:$AM$1001,MATCH(ROWS($AH$2:AH521),$AH$2:$AH$1001,0),0)))</f>
        <v>#N/A</v>
      </c>
      <c r="B521" s="5" t="e">
        <f ca="1">IF(OR(INDEX($AI$2:$AI$1001,MATCH(ROWS($AH$2:AH521),$AH$2:$AH$1001,0),1)&gt;=100000,INDEX($AO$1005:$BQ$1005,1,MATCH(COLUMNS($AO$1006:AO1006),$AO$1006:$BQ$1006,0))&gt;=100000), " ",IF(INDEX($AO$2:$BQ$1001,MATCH(ROWS($AH$2:AH521),$AH$2:$AH$1001,0),MATCH(COLUMNS($AO$1006:AO1006),$AO$1006:$BQ$1006,0)), HYPERLINK("#",""), HYPERLINK(CONCATENATE("#Metadata!", ADDRESS(INDEX($AJ$2:$AJ$1001,MATCH(ROWS($AH$2:AH521),$AH$2:$AH$1001,0),0), INDEX($AO$1004:$BQ$1004,1,MATCH(COLUMNS($AO$1006:AO1006),$AO$1006:$BQ$1006,0)))),"Fix")))</f>
        <v>#N/A</v>
      </c>
      <c r="C521" s="5" t="e">
        <f ca="1">IF(OR(INDEX($AI$2:$AI$1001,MATCH(ROWS($AH$2:AH521),$AH$2:$AH$1001,0),1)&gt;=100000,INDEX($AO$1005:$BQ$1005,1,MATCH(COLUMNS($AO$1006:AP1006),$AO$1006:$BQ$1006,0))&gt;=100000), " ",IF(INDEX($AO$2:$BQ$1001,MATCH(ROWS($AH$2:AH521),$AH$2:$AH$1001,0),MATCH(COLUMNS($AO$1006:AP1006),$AO$1006:$BQ$1006,0)), HYPERLINK("#",""), HYPERLINK(CONCATENATE("#Metadata!", ADDRESS(INDEX($AJ$2:$AJ$1001,MATCH(ROWS($AH$2:AH521),$AH$2:$AH$1001,0),0), INDEX($AO$1004:$BQ$1004,1,MATCH(COLUMNS($AO$1006:AP1006),$AO$1006:$BQ$1006,0)))),"Fix")))</f>
        <v>#N/A</v>
      </c>
      <c r="D521" s="5" t="e">
        <f ca="1">IF(OR(INDEX($AI$2:$AI$1001,MATCH(ROWS($AH$2:AH521),$AH$2:$AH$1001,0),1)&gt;=100000,INDEX($AO$1005:$BQ$1005,1,MATCH(COLUMNS($AO$1006:AQ1006),$AO$1006:$BQ$1006,0))&gt;=100000), " ",IF(INDEX($AO$2:$BQ$1001,MATCH(ROWS($AH$2:AH521),$AH$2:$AH$1001,0),MATCH(COLUMNS($AO$1006:AQ1006),$AO$1006:$BQ$1006,0)), HYPERLINK("#",""), HYPERLINK(CONCATENATE("#Metadata!", ADDRESS(INDEX($AJ$2:$AJ$1001,MATCH(ROWS($AH$2:AH521),$AH$2:$AH$1001,0),0), INDEX($AO$1004:$BQ$1004,1,MATCH(COLUMNS($AO$1006:AQ1006),$AO$1006:$BQ$1006,0)))),"Fix")))</f>
        <v>#N/A</v>
      </c>
      <c r="E521" s="5" t="e">
        <f ca="1">IF(OR(INDEX($AI$2:$AI$1001,MATCH(ROWS($AH$2:AH521),$AH$2:$AH$1001,0),1)&gt;=100000,INDEX($AO$1005:$BQ$1005,1,MATCH(COLUMNS($AO$1006:AR1006),$AO$1006:$BQ$1006,0))&gt;=100000), " ",IF(INDEX($AO$2:$BQ$1001,MATCH(ROWS($AH$2:AH521),$AH$2:$AH$1001,0),MATCH(COLUMNS($AO$1006:AR1006),$AO$1006:$BQ$1006,0)), HYPERLINK("#",""), HYPERLINK(CONCATENATE("#Metadata!", ADDRESS(INDEX($AJ$2:$AJ$1001,MATCH(ROWS($AH$2:AH521),$AH$2:$AH$1001,0),0), INDEX($AO$1004:$BQ$1004,1,MATCH(COLUMNS($AO$1006:AR1006),$AO$1006:$BQ$1006,0)))),"Fix")))</f>
        <v>#N/A</v>
      </c>
      <c r="F521" s="5" t="e">
        <f ca="1">IF(OR(INDEX($AI$2:$AI$1001,MATCH(ROWS($AH$2:AH521),$AH$2:$AH$1001,0),1)&gt;=100000,INDEX($AO$1005:$BQ$1005,1,MATCH(COLUMNS($AO$1006:AS1006),$AO$1006:$BQ$1006,0))&gt;=100000), " ",IF(INDEX($AO$2:$BQ$1001,MATCH(ROWS($AH$2:AH521),$AH$2:$AH$1001,0),MATCH(COLUMNS($AO$1006:AS1006),$AO$1006:$BQ$1006,0)), HYPERLINK("#",""), HYPERLINK(CONCATENATE("#Metadata!", ADDRESS(INDEX($AJ$2:$AJ$1001,MATCH(ROWS($AH$2:AH521),$AH$2:$AH$1001,0),0), INDEX($AO$1004:$BQ$1004,1,MATCH(COLUMNS($AO$1006:AS1006),$AO$1006:$BQ$1006,0)))),"Fix")))</f>
        <v>#N/A</v>
      </c>
      <c r="G521" s="5" t="e">
        <f ca="1">IF(OR(INDEX($AI$2:$AI$1001,MATCH(ROWS($AH$2:AH521),$AH$2:$AH$1001,0),1)&gt;=100000,INDEX($AO$1005:$BQ$1005,1,MATCH(COLUMNS($AO$1006:AT1006),$AO$1006:$BQ$1006,0))&gt;=100000), " ",IF(INDEX($AO$2:$BQ$1001,MATCH(ROWS($AH$2:AH521),$AH$2:$AH$1001,0),MATCH(COLUMNS($AO$1006:AT1006),$AO$1006:$BQ$1006,0)), HYPERLINK("#",""), HYPERLINK(CONCATENATE("#Metadata!", ADDRESS(INDEX($AJ$2:$AJ$1001,MATCH(ROWS($AH$2:AH521),$AH$2:$AH$1001,0),0), INDEX($AO$1004:$BQ$1004,1,MATCH(COLUMNS($AO$1006:AT1006),$AO$1006:$BQ$1006,0)))),"Fix")))</f>
        <v>#N/A</v>
      </c>
      <c r="H521" s="5" t="e">
        <f ca="1">IF(OR(INDEX($AI$2:$AI$1001,MATCH(ROWS($AH$2:AH521),$AH$2:$AH$1001,0),1)&gt;=100000,INDEX($AO$1005:$BQ$1005,1,MATCH(COLUMNS($AO$1006:AU1006),$AO$1006:$BQ$1006,0))&gt;=100000), " ",IF(INDEX($AO$2:$BQ$1001,MATCH(ROWS($AH$2:AH521),$AH$2:$AH$1001,0),MATCH(COLUMNS($AO$1006:AU1006),$AO$1006:$BQ$1006,0)), HYPERLINK("#",""), HYPERLINK(CONCATENATE("#Metadata!", ADDRESS(INDEX($AJ$2:$AJ$1001,MATCH(ROWS($AH$2:AH521),$AH$2:$AH$1001,0),0), INDEX($AO$1004:$BQ$1004,1,MATCH(COLUMNS($AO$1006:AU1006),$AO$1006:$BQ$1006,0)))),"Fix")))</f>
        <v>#N/A</v>
      </c>
      <c r="I521" s="5" t="e">
        <f ca="1">IF(OR(INDEX($AI$2:$AI$1001,MATCH(ROWS($AH$2:AH521),$AH$2:$AH$1001,0),1)&gt;=100000,INDEX($AO$1005:$BQ$1005,1,MATCH(COLUMNS($AO$1006:AV1006),$AO$1006:$BQ$1006,0))&gt;=100000), " ",IF(INDEX($AO$2:$BQ$1001,MATCH(ROWS($AH$2:AH521),$AH$2:$AH$1001,0),MATCH(COLUMNS($AO$1006:AV1006),$AO$1006:$BQ$1006,0)), HYPERLINK("#",""), HYPERLINK(CONCATENATE("#Metadata!", ADDRESS(INDEX($AJ$2:$AJ$1001,MATCH(ROWS($AH$2:AH521),$AH$2:$AH$1001,0),0), INDEX($AO$1004:$BQ$1004,1,MATCH(COLUMNS($AO$1006:AV1006),$AO$1006:$BQ$1006,0)))),"Fix")))</f>
        <v>#N/A</v>
      </c>
      <c r="J521" s="5" t="e">
        <f ca="1">IF(OR(INDEX($AI$2:$AI$1001,MATCH(ROWS($AH$2:AH521),$AH$2:$AH$1001,0),1)&gt;=100000,INDEX($AO$1005:$BQ$1005,1,MATCH(COLUMNS($AO$1006:AW1006),$AO$1006:$BQ$1006,0))&gt;=100000), " ",IF(INDEX($AO$2:$BQ$1001,MATCH(ROWS($AH$2:AH521),$AH$2:$AH$1001,0),MATCH(COLUMNS($AO$1006:AW1006),$AO$1006:$BQ$1006,0)), HYPERLINK("#",""), HYPERLINK(CONCATENATE("#Metadata!", ADDRESS(INDEX($AJ$2:$AJ$1001,MATCH(ROWS($AH$2:AH521),$AH$2:$AH$1001,0),0), INDEX($AO$1004:$BQ$1004,1,MATCH(COLUMNS($AO$1006:AW1006),$AO$1006:$BQ$1006,0)))),"Fix")))</f>
        <v>#N/A</v>
      </c>
      <c r="K521" s="5" t="e">
        <f ca="1">IF(OR(INDEX($AI$2:$AI$1001,MATCH(ROWS($AH$2:AH521),$AH$2:$AH$1001,0),1)&gt;=100000,INDEX($AO$1005:$BQ$1005,1,MATCH(COLUMNS($AO$1006:AX1006),$AO$1006:$BQ$1006,0))&gt;=100000), " ",IF(INDEX($AO$2:$BQ$1001,MATCH(ROWS($AH$2:AH521),$AH$2:$AH$1001,0),MATCH(COLUMNS($AO$1006:AX1006),$AO$1006:$BQ$1006,0)), HYPERLINK("#",""), HYPERLINK(CONCATENATE("#Metadata!", ADDRESS(INDEX($AJ$2:$AJ$1001,MATCH(ROWS($AH$2:AH521),$AH$2:$AH$1001,0),0), INDEX($AO$1004:$BQ$1004,1,MATCH(COLUMNS($AO$1006:AX1006),$AO$1006:$BQ$1006,0)))),"Fix")))</f>
        <v>#N/A</v>
      </c>
      <c r="L521" s="5" t="e">
        <f ca="1">IF(OR(INDEX($AI$2:$AI$1001,MATCH(ROWS($AH$2:AH521),$AH$2:$AH$1001,0),1)&gt;=100000,INDEX($AO$1005:$BQ$1005,1,MATCH(COLUMNS($AO$1006:AY1006),$AO$1006:$BQ$1006,0))&gt;=100000), " ",IF(INDEX($AO$2:$BQ$1001,MATCH(ROWS($AH$2:AH521),$AH$2:$AH$1001,0),MATCH(COLUMNS($AO$1006:AY1006),$AO$1006:$BQ$1006,0)), HYPERLINK("#",""), HYPERLINK(CONCATENATE("#Metadata!", ADDRESS(INDEX($AJ$2:$AJ$1001,MATCH(ROWS($AH$2:AH521),$AH$2:$AH$1001,0),0), INDEX($AO$1004:$BQ$1004,1,MATCH(COLUMNS($AO$1006:AY1006),$AO$1006:$BQ$1006,0)))),"Fix")))</f>
        <v>#N/A</v>
      </c>
      <c r="M521" s="5" t="e">
        <f ca="1">IF(OR(INDEX($AI$2:$AI$1001,MATCH(ROWS($AH$2:AH521),$AH$2:$AH$1001,0),1)&gt;=100000,INDEX($AO$1005:$BQ$1005,1,MATCH(COLUMNS($AO$1006:AZ1006),$AO$1006:$BQ$1006,0))&gt;=100000), " ",IF(INDEX($AO$2:$BQ$1001,MATCH(ROWS($AH$2:AH521),$AH$2:$AH$1001,0),MATCH(COLUMNS($AO$1006:AZ1006),$AO$1006:$BQ$1006,0)), HYPERLINK("#",""), HYPERLINK(CONCATENATE("#Metadata!", ADDRESS(INDEX($AJ$2:$AJ$1001,MATCH(ROWS($AH$2:AH521),$AH$2:$AH$1001,0),0), INDEX($AO$1004:$BQ$1004,1,MATCH(COLUMNS($AO$1006:AZ1006),$AO$1006:$BQ$1006,0)))),"Fix")))</f>
        <v>#N/A</v>
      </c>
      <c r="N521" s="5" t="e">
        <f ca="1">IF(OR(INDEX($AI$2:$AI$1001,MATCH(ROWS($AH$2:AH521),$AH$2:$AH$1001,0),1)&gt;=100000,INDEX($AO$1005:$BQ$1005,1,MATCH(COLUMNS($AO$1006:BA1006),$AO$1006:$BQ$1006,0))&gt;=100000), " ",IF(INDEX($AO$2:$BQ$1001,MATCH(ROWS($AH$2:AH521),$AH$2:$AH$1001,0),MATCH(COLUMNS($AO$1006:BA1006),$AO$1006:$BQ$1006,0)), HYPERLINK("#",""), HYPERLINK(CONCATENATE("#Metadata!", ADDRESS(INDEX($AJ$2:$AJ$1001,MATCH(ROWS($AH$2:AH521),$AH$2:$AH$1001,0),0), INDEX($AO$1004:$BQ$1004,1,MATCH(COLUMNS($AO$1006:BA1006),$AO$1006:$BQ$1006,0)))),"Fix")))</f>
        <v>#N/A</v>
      </c>
      <c r="O521" s="5" t="e">
        <f ca="1">IF(OR(INDEX($AI$2:$AI$1001,MATCH(ROWS($AH$2:AH521),$AH$2:$AH$1001,0),1)&gt;=100000,INDEX($AO$1005:$BQ$1005,1,MATCH(COLUMNS($AO$1006:BB1006),$AO$1006:$BQ$1006,0))&gt;=100000), " ",IF(INDEX($AO$2:$BQ$1001,MATCH(ROWS($AH$2:AH521),$AH$2:$AH$1001,0),MATCH(COLUMNS($AO$1006:BB1006),$AO$1006:$BQ$1006,0)), HYPERLINK("#",""), HYPERLINK(CONCATENATE("#Metadata!", ADDRESS(INDEX($AJ$2:$AJ$1001,MATCH(ROWS($AH$2:AH521),$AH$2:$AH$1001,0),0), INDEX($AO$1004:$BQ$1004,1,MATCH(COLUMNS($AO$1006:BB1006),$AO$1006:$BQ$1006,0)))),"Fix")))</f>
        <v>#N/A</v>
      </c>
      <c r="P521" s="5" t="e">
        <f ca="1">IF(OR(INDEX($AI$2:$AI$1001,MATCH(ROWS($AH$2:AH521),$AH$2:$AH$1001,0),1)&gt;=100000,INDEX($AO$1005:$BQ$1005,1,MATCH(COLUMNS($AO$1006:BC1006),$AO$1006:$BQ$1006,0))&gt;=100000), " ",IF(INDEX($AO$2:$BQ$1001,MATCH(ROWS($AH$2:AH521),$AH$2:$AH$1001,0),MATCH(COLUMNS($AO$1006:BC1006),$AO$1006:$BQ$1006,0)), HYPERLINK("#",""), HYPERLINK(CONCATENATE("#Metadata!", ADDRESS(INDEX($AJ$2:$AJ$1001,MATCH(ROWS($AH$2:AH521),$AH$2:$AH$1001,0),0), INDEX($AO$1004:$BQ$1004,1,MATCH(COLUMNS($AO$1006:BC1006),$AO$1006:$BQ$1006,0)))),"Fix")))</f>
        <v>#N/A</v>
      </c>
      <c r="Q521" s="5" t="e">
        <f ca="1">IF(OR(INDEX($AI$2:$AI$1001,MATCH(ROWS($AH$2:AH521),$AH$2:$AH$1001,0),1)&gt;=100000,INDEX($AO$1005:$BQ$1005,1,MATCH(COLUMNS($AO$1006:BD1006),$AO$1006:$BQ$1006,0))&gt;=100000), " ",IF(INDEX($AO$2:$BQ$1001,MATCH(ROWS($AH$2:AH521),$AH$2:$AH$1001,0),MATCH(COLUMNS($AO$1006:BD1006),$AO$1006:$BQ$1006,0)), HYPERLINK("#",""), HYPERLINK(CONCATENATE("#Metadata!", ADDRESS(INDEX($AJ$2:$AJ$1001,MATCH(ROWS($AH$2:AH521),$AH$2:$AH$1001,0),0), INDEX($AO$1004:$BQ$1004,1,MATCH(COLUMNS($AO$1006:BD1006),$AO$1006:$BQ$1006,0)))),"Fix")))</f>
        <v>#N/A</v>
      </c>
      <c r="R521" s="5" t="e">
        <f ca="1">IF(OR(INDEX($AI$2:$AI$1001,MATCH(ROWS($AH$2:AH521),$AH$2:$AH$1001,0),1)&gt;=100000,INDEX($AO$1005:$BQ$1005,1,MATCH(COLUMNS($AO$1006:BE1006),$AO$1006:$BQ$1006,0))&gt;=100000), " ",IF(INDEX($AO$2:$BQ$1001,MATCH(ROWS($AH$2:AH521),$AH$2:$AH$1001,0),MATCH(COLUMNS($AO$1006:BE1006),$AO$1006:$BQ$1006,0)), HYPERLINK("#",""), HYPERLINK(CONCATENATE("#Metadata!", ADDRESS(INDEX($AJ$2:$AJ$1001,MATCH(ROWS($AH$2:AH521),$AH$2:$AH$1001,0),0), INDEX($AO$1004:$BQ$1004,1,MATCH(COLUMNS($AO$1006:BE1006),$AO$1006:$BQ$1006,0)))),"Fix")))</f>
        <v>#N/A</v>
      </c>
      <c r="S521" s="5" t="e">
        <f ca="1">IF(OR(INDEX($AI$2:$AI$1001,MATCH(ROWS($AH$2:AH521),$AH$2:$AH$1001,0),1)&gt;=100000,INDEX($AO$1005:$BQ$1005,1,MATCH(COLUMNS($AO$1006:BF1006),$AO$1006:$BQ$1006,0))&gt;=100000), " ",IF(INDEX($AO$2:$BQ$1001,MATCH(ROWS($AH$2:AH521),$AH$2:$AH$1001,0),MATCH(COLUMNS($AO$1006:BF1006),$AO$1006:$BQ$1006,0)), HYPERLINK("#",""), HYPERLINK(CONCATENATE("#Metadata!", ADDRESS(INDEX($AJ$2:$AJ$1001,MATCH(ROWS($AH$2:AH521),$AH$2:$AH$1001,0),0), INDEX($AO$1004:$BQ$1004,1,MATCH(COLUMNS($AO$1006:BF1006),$AO$1006:$BQ$1006,0)))),"Fix")))</f>
        <v>#N/A</v>
      </c>
      <c r="T521" s="5" t="e">
        <f ca="1">IF(OR(INDEX($AI$2:$AI$1001,MATCH(ROWS($AH$2:AH521),$AH$2:$AH$1001,0),1)&gt;=100000,INDEX($AO$1005:$BQ$1005,1,MATCH(COLUMNS($AO$1006:BG1006),$AO$1006:$BQ$1006,0))&gt;=100000), " ",IF(INDEX($AO$2:$BQ$1001,MATCH(ROWS($AH$2:AH521),$AH$2:$AH$1001,0),MATCH(COLUMNS($AO$1006:BG1006),$AO$1006:$BQ$1006,0)), HYPERLINK("#",""), HYPERLINK(CONCATENATE("#Metadata!", ADDRESS(INDEX($AJ$2:$AJ$1001,MATCH(ROWS($AH$2:AH521),$AH$2:$AH$1001,0),0), INDEX($AO$1004:$BQ$1004,1,MATCH(COLUMNS($AO$1006:BG1006),$AO$1006:$BQ$1006,0)))),"Fix")))</f>
        <v>#N/A</v>
      </c>
      <c r="U521" s="5" t="e">
        <f ca="1">IF(OR(INDEX($AI$2:$AI$1001,MATCH(ROWS($AH$2:AH521),$AH$2:$AH$1001,0),1)&gt;=100000,INDEX($AO$1005:$BQ$1005,1,MATCH(COLUMNS($AO$1006:BH1006),$AO$1006:$BQ$1006,0))&gt;=100000), " ",IF(INDEX($AO$2:$BQ$1001,MATCH(ROWS($AH$2:AH521),$AH$2:$AH$1001,0),MATCH(COLUMNS($AO$1006:BH1006),$AO$1006:$BQ$1006,0)), HYPERLINK("#",""), HYPERLINK(CONCATENATE("#Metadata!", ADDRESS(INDEX($AJ$2:$AJ$1001,MATCH(ROWS($AH$2:AH521),$AH$2:$AH$1001,0),0), INDEX($AO$1004:$BQ$1004,1,MATCH(COLUMNS($AO$1006:BH1006),$AO$1006:$BQ$1006,0)))),"Fix")))</f>
        <v>#N/A</v>
      </c>
      <c r="V521" s="5" t="e">
        <f ca="1">IF(OR(INDEX($AI$2:$AI$1001,MATCH(ROWS($AH$2:AH521),$AH$2:$AH$1001,0),1)&gt;=100000,INDEX($AO$1005:$BQ$1005,1,MATCH(COLUMNS($AO$1006:BI1006),$AO$1006:$BQ$1006,0))&gt;=100000), " ",IF(INDEX($AO$2:$BQ$1001,MATCH(ROWS($AH$2:AH521),$AH$2:$AH$1001,0),MATCH(COLUMNS($AO$1006:BI1006),$AO$1006:$BQ$1006,0)), HYPERLINK("#",""), HYPERLINK(CONCATENATE("#Metadata!", ADDRESS(INDEX($AJ$2:$AJ$1001,MATCH(ROWS($AH$2:AH521),$AH$2:$AH$1001,0),0), INDEX($AO$1004:$BQ$1004,1,MATCH(COLUMNS($AO$1006:BI1006),$AO$1006:$BQ$1006,0)))),"Fix")))</f>
        <v>#N/A</v>
      </c>
      <c r="W521" s="5" t="e">
        <f ca="1">IF(OR(INDEX($AI$2:$AI$1001,MATCH(ROWS($AH$2:AH521),$AH$2:$AH$1001,0),1)&gt;=100000,INDEX($AO$1005:$BQ$1005,1,MATCH(COLUMNS($AO$1006:BJ1006),$AO$1006:$BQ$1006,0))&gt;=100000), " ",IF(INDEX($AO$2:$BQ$1001,MATCH(ROWS($AH$2:AH521),$AH$2:$AH$1001,0),MATCH(COLUMNS($AO$1006:BJ1006),$AO$1006:$BQ$1006,0)), HYPERLINK("#",""), HYPERLINK(CONCATENATE("#Metadata!", ADDRESS(INDEX($AJ$2:$AJ$1001,MATCH(ROWS($AH$2:AH521),$AH$2:$AH$1001,0),0), INDEX($AO$1004:$BQ$1004,1,MATCH(COLUMNS($AO$1006:BJ1006),$AO$1006:$BQ$1006,0)))),"Fix")))</f>
        <v>#N/A</v>
      </c>
      <c r="X521" s="5" t="e">
        <f ca="1">IF(OR(INDEX($AI$2:$AI$1001,MATCH(ROWS($AH$2:AH521),$AH$2:$AH$1001,0),1)&gt;=100000,INDEX($AO$1005:$BQ$1005,1,MATCH(COLUMNS($AO$1006:BK1006),$AO$1006:$BQ$1006,0))&gt;=100000), " ",IF(INDEX($AO$2:$BQ$1001,MATCH(ROWS($AH$2:AH521),$AH$2:$AH$1001,0),MATCH(COLUMNS($AO$1006:BK1006),$AO$1006:$BQ$1006,0)), HYPERLINK("#",""), HYPERLINK(CONCATENATE("#Metadata!", ADDRESS(INDEX($AJ$2:$AJ$1001,MATCH(ROWS($AH$2:AH521),$AH$2:$AH$1001,0),0), INDEX($AO$1004:$BQ$1004,1,MATCH(COLUMNS($AO$1006:BK1006),$AO$1006:$BQ$1006,0)))),"Fix")))</f>
        <v>#N/A</v>
      </c>
      <c r="Y521" s="5" t="e">
        <f ca="1">IF(OR(INDEX($AI$2:$AI$1001,MATCH(ROWS($AH$2:AH521),$AH$2:$AH$1001,0),1)&gt;=100000,INDEX($AO$1005:$BQ$1005,1,MATCH(COLUMNS($AO$1006:BL1006),$AO$1006:$BQ$1006,0))&gt;=100000), " ",IF(INDEX($AO$2:$BQ$1001,MATCH(ROWS($AH$2:AH521),$AH$2:$AH$1001,0),MATCH(COLUMNS($AO$1006:BL1006),$AO$1006:$BQ$1006,0)), HYPERLINK("#",""), HYPERLINK(CONCATENATE("#Metadata!", ADDRESS(INDEX($AJ$2:$AJ$1001,MATCH(ROWS($AH$2:AH521),$AH$2:$AH$1001,0),0), INDEX($AO$1004:$BQ$1004,1,MATCH(COLUMNS($AO$1006:BL1006),$AO$1006:$BQ$1006,0)))),"Fix")))</f>
        <v>#N/A</v>
      </c>
      <c r="Z521" s="5" t="e">
        <f ca="1">IF(OR(INDEX($AI$2:$AI$1001,MATCH(ROWS($AH$2:AH521),$AH$2:$AH$1001,0),1)&gt;=100000,INDEX($AO$1005:$BQ$1005,1,MATCH(COLUMNS($AO$1006:BM1006),$AO$1006:$BQ$1006,0))&gt;=100000), " ",IF(INDEX($AO$2:$BQ$1001,MATCH(ROWS($AH$2:AH521),$AH$2:$AH$1001,0),MATCH(COLUMNS($AO$1006:BM1006),$AO$1006:$BQ$1006,0)), HYPERLINK("#",""), HYPERLINK(CONCATENATE("#Metadata!", ADDRESS(INDEX($AJ$2:$AJ$1001,MATCH(ROWS($AH$2:AH521),$AH$2:$AH$1001,0),0), INDEX($AO$1004:$BQ$1004,1,MATCH(COLUMNS($AO$1006:BM1006),$AO$1006:$BQ$1006,0)))),"Fix")))</f>
        <v>#N/A</v>
      </c>
      <c r="AA521" s="5" t="e">
        <f ca="1">IF(OR(INDEX($AI$2:$AI$1001,MATCH(ROWS($AH$2:AH521),$AH$2:$AH$1001,0),1)&gt;=100000,INDEX($AO$1005:$BQ$1005,1,MATCH(COLUMNS($AO$1006:BN1006),$AO$1006:$BQ$1006,0))&gt;=100000), " ",IF(INDEX($AO$2:$BQ$1001,MATCH(ROWS($AH$2:AH521),$AH$2:$AH$1001,0),MATCH(COLUMNS($AO$1006:BN1006),$AO$1006:$BQ$1006,0)), HYPERLINK("#",""), HYPERLINK(CONCATENATE("#Metadata!", ADDRESS(INDEX($AJ$2:$AJ$1001,MATCH(ROWS($AH$2:AH521),$AH$2:$AH$1001,0),0), INDEX($AO$1004:$BQ$1004,1,MATCH(COLUMNS($AO$1006:BN1006),$AO$1006:$BQ$1006,0)))),"Fix")))</f>
        <v>#N/A</v>
      </c>
      <c r="AB521" s="5" t="e">
        <f ca="1">IF(OR(INDEX($AI$2:$AI$1001,MATCH(ROWS($AH$2:AH521),$AH$2:$AH$1001,0),1)&gt;=100000,INDEX($AO$1005:$BQ$1005,1,MATCH(COLUMNS($AO$1006:BO1006),$AO$1006:$BQ$1006,0))&gt;=100000), " ",IF(INDEX($AO$2:$BQ$1001,MATCH(ROWS($AH$2:AH521),$AH$2:$AH$1001,0),MATCH(COLUMNS($AO$1006:BO1006),$AO$1006:$BQ$1006,0)), HYPERLINK("#",""), HYPERLINK(CONCATENATE("#Metadata!", ADDRESS(INDEX($AJ$2:$AJ$1001,MATCH(ROWS($AH$2:AH521),$AH$2:$AH$1001,0),0), INDEX($AO$1004:$BQ$1004,1,MATCH(COLUMNS($AO$1006:BO1006),$AO$1006:$BQ$1006,0)))),"Fix")))</f>
        <v>#N/A</v>
      </c>
      <c r="AC521" s="5" t="e">
        <f ca="1">IF(OR(INDEX($AI$2:$AI$1001,MATCH(ROWS($AH$2:AH521),$AH$2:$AH$1001,0),1)&gt;=100000,INDEX($AO$1005:$BQ$1005,1,MATCH(COLUMNS($AO$1006:BP1006),$AO$1006:$BQ$1006,0))&gt;=100000), " ",IF(INDEX($AO$2:$BQ$1001,MATCH(ROWS($AH$2:AH521),$AH$2:$AH$1001,0),MATCH(COLUMNS($AO$1006:BP1006),$AO$1006:$BQ$1006,0)), HYPERLINK("#",""), HYPERLINK(CONCATENATE("#Metadata!", ADDRESS(INDEX($AJ$2:$AJ$1001,MATCH(ROWS($AH$2:AH521),$AH$2:$AH$1001,0),0), INDEX($AO$1004:$BQ$1004,1,MATCH(COLUMNS($AO$1006:BP1006),$AO$1006:$BQ$1006,0)))),"Fix")))</f>
        <v>#N/A</v>
      </c>
      <c r="AD521" s="5" t="e">
        <f ca="1">IF(OR(INDEX($AI$2:$AI$1001,MATCH(ROWS($AH$2:AH521),$AH$2:$AH$1001,0),1)&gt;=100000,INDEX($AO$1005:$BQ$1005,1,MATCH(COLUMNS($AO$1006:BQ1006),$AO$1006:$BQ$1006,0))&gt;=100000), " ",IF(INDEX($AO$2:$BQ$1001,MATCH(ROWS($AH$2:AH521),$AH$2:$AH$1001,0),MATCH(COLUMNS($AO$1006:BQ1006),$AO$1006:$BQ$1006,0)), HYPERLINK("#",""), HYPERLINK(CONCATENATE("#Metadata!", ADDRESS(INDEX($AJ$2:$AJ$1001,MATCH(ROWS($AH$2:AH521),$AH$2:$AH$1001,0),0), INDEX($AO$1004:$BQ$1004,1,MATCH(COLUMNS($AO$1006:BQ1006),$AO$1006:$BQ$1006,0)))),"Fix")))</f>
        <v>#REF!</v>
      </c>
      <c r="AH521">
        <f ca="1"/>
        <v>518</v>
      </c>
      <c r="AI521">
        <v>100521</v>
      </c>
      <c r="AJ521">
        <v>521</v>
      </c>
      <c r="AK521" t="b">
        <f t="shared" si="8"/>
        <v>1</v>
      </c>
      <c r="AL521" t="b">
        <f>COUNTBLANK(Metadata!B521:AD521)=COLUMNS(Metadata!B521:AD521)</f>
        <v>1</v>
      </c>
      <c r="AM521" t="str">
        <v/>
      </c>
      <c r="AO521" t="b">
        <f ca="1">AND(IF(Metadata!B521="",FALSE,TRUE),COUNTIF(Metadata!B:B, Metadata!B521) = 1,NOT(ISERROR(SUMPRODUCT(SEARCH(MID(Metadata!B521,ROW(INDIRECT("1:"&amp;LEN(Metadata!B521))), 1),"0123456789abcdefghijklmnopqrstuvwxyzABCDEFGHIJKLMNOPQRSTUVWXYZ.")))))</f>
        <v>0</v>
      </c>
      <c r="AP521" t="b">
        <f>IF(Metadata!C521="",FALSE,TRUE)</f>
        <v>0</v>
      </c>
      <c r="AQ521" t="b">
        <f>IF(Metadata!D521="",FALSE,TRUE)</f>
        <v>0</v>
      </c>
      <c r="AR521" t="b">
        <f ca="1">OR(AND(IF(Metadata!E521="",FALSE,TRUE),OR(EXACT(Metadata!E521,"not collected"),EXACT(Metadata!E521,"not provided"),EXACT(Metadata!E521,"restricted access"))),AND(IF(Metadata!E521="",FALSE,TRUE),AND(AND(IFERROR(INT(LEFT(Metadata!E521,4))&gt;1900,FALSE),IFERROR(INT(LEFT(Metadata!E521,4))&lt;=YEAR(NOW()),FALSE)), OR(MID(Metadata!E521,5,1)="", AND(AND(MID(Metadata!E521,5,1)="-",IFERROR(INT(MID(Metadata!E521,6,1))&gt;=0,FALSE),IFERROR(INT(MID(Metadata!E521,6,1))&lt;=1,FALSE),NOT(MID(Metadata!E521,7,1)=""),IFERROR(INT(MID(Metadata!E521,6,2))&gt;=1,FALSE),IFERROR(INT(MID(Metadata!E521,6,2))&lt;=12,FALSE)), OR(MID(Metadata!E521,8,1)="", AND(AND(MID(Metadata!E521,8,1)="-",IFERROR(INT(MID(Metadata!E521,9,1))&gt;=0,FALSE),IFERROR(INT(MID(Metadata!E521,9,1))&lt;=3,FALSE),NOT(MID(Metadata!E521,10,1)=""),IFERROR(INT(MID(Metadata!E521,9,2))&gt;=1,FALSE),IFERROR(INT(MID(Metadata!E521,9,2))&lt;=31,FALSE)), OR(MID(Metadata!E521,11,1)="", AND(AND(MID(Metadata!E521,11,1)=" ",IFERROR(INT(MID(Metadata!E521,12,1))&gt;=0,FALSE),IFERROR(INT(MID(Metadata!E521,12,1))&lt;=2,FALSE),NOT(MID(Metadata!E521,13,1)=""),IFERROR(INT(MID(Metadata!E521,12,2))&gt;=0,FALSE),IFERROR(INT(MID(Metadata!E521,12,2))&lt;=23,FALSE)), OR(MID(Metadata!E521,14,1)="", AND(AND(MID(Metadata!E521,14,1)=":",IFERROR(INT(MID(Metadata!E521,15,1))&gt;=0,FALSE),IFERROR(INT(MID(Metadata!E521,15,1))&lt;=5,FALSE),NOT(MID(Metadata!E521,16,1)=""),IFERROR(INT(MID(Metadata!E521,15,2))&gt;=0,FALSE),IFERROR(INT(MID(Metadata!E521,15,2))&lt;=59,FALSE)), OR(MID(Metadata!E521,17,1)="", AND(AND(MID(Metadata!E521,17,1)=":",IFERROR(INT(MID(Metadata!E521,18,1))&gt;=0,FALSE),IFERROR(INT(MID(Metadata!E521,18,1))&lt;=5,FALSE),NOT(MID(Metadata!E521,19,1)=""),IFERROR(INT(MID(Metadata!E521,18,2))&gt;=0,FALSE),IFERROR(INT(MID(Metadata!E521,18,2))&lt;=59,FALSE)), LEN(Metadata!E521)&lt;=19)))))))))))))</f>
        <v>0</v>
      </c>
      <c r="AS521" t="b">
        <f>IF(Metadata!F521="",FALSE,TRUE)</f>
        <v>0</v>
      </c>
      <c r="AT521" t="b">
        <f>OR(AND(IF(Metadata!G521="",FALSE,TRUE),OR(EXACT(Metadata!G521,"not collected"),EXACT(Metadata!G521,"not provided"))),AND(IF(Metadata!G521="",FALSE,TRUE),OR(EXACT(Metadata!G521,"TRUE"),EXACT(Metadata!G521,"FALSE"))))</f>
        <v>0</v>
      </c>
      <c r="AU521" t="b">
        <f>OR(AND(IF(Metadata!H521="",FALSE,TRUE),OR(EXACT(Metadata!H521,"not collected"),EXACT(Metadata!H521,"not provided"),EXACT(Metadata!H521,"restricted access"))),AND(IF(Metadata!H521="",FALSE,ISNUMBER(VALUE(Metadata!H521))),Metadata!H521&gt;=-413))</f>
        <v>0</v>
      </c>
      <c r="AV521" t="b">
        <f>AND(IF(Metadata!I521="",FALSE,TRUE),EXACT(Metadata!I521,"meters"))</f>
        <v>0</v>
      </c>
      <c r="AW521" t="b">
        <f>AND(IF(Metadata!J521="",FALSE,TRUE),EXACT(Metadata!J521,"free-living"))</f>
        <v>0</v>
      </c>
      <c r="AX521" t="b">
        <f>AND(IF(Metadata!K521="",FALSE,TRUE),OR(EXACT(Metadata!K521,"saline"),EXACT(Metadata!K521,"non-saline")))</f>
        <v>0</v>
      </c>
      <c r="AY521" t="b">
        <f>AND(IF(Metadata!L521="",FALSE,TRUE),OR(EXACT(Metadata!L521,"sub-surface (non-saline)"),EXACT(Metadata!L521,"surface (non-saline)"),EXACT(Metadata!L521,"water (non-saline)"),EXACT(Metadata!L521,"soil (non-saline)"),EXACT(Metadata!L521,"aerosol (non-saline)"),EXACT(Metadata!L521,"sediment (non-saline)"),EXACT(Metadata!L521,"surface (saline)"),EXACT(Metadata!L521,"water (saline)"),EXACT(Metadata!L521,"hypersaline (saline)"),EXACT(Metadata!L521,"aerosol (saline)"),EXACT(Metadata!L521,"sediment (saline)")))</f>
        <v>0</v>
      </c>
      <c r="AZ521" t="b">
        <f>IF(Metadata!M521="",FALSE,TRUE)</f>
        <v>0</v>
      </c>
      <c r="BA521" t="b">
        <f>IF(Metadata!N521="",FALSE,TRUE)</f>
        <v>0</v>
      </c>
      <c r="BB521" t="b">
        <f>IF(Metadata!O521="",FALSE,TRUE)</f>
        <v>0</v>
      </c>
      <c r="BC521" t="b">
        <f>AND(IF(Metadata!P521="",FALSE,TRUE),OR(EXACT(Metadata!P521,"air"),EXACT(Metadata!P521,"microbial mat/biofilm"),EXACT(Metadata!P521,"misc environment"),EXACT(Metadata!P521,"sediment"),EXACT(Metadata!P521,"soil"),EXACT(Metadata!P521,"wastewater/sludge"),EXACT(Metadata!P521,"water")))</f>
        <v>0</v>
      </c>
      <c r="BD521" t="b">
        <f>IF(Metadata!Q521="",FALSE,TRUE)</f>
        <v>0</v>
      </c>
      <c r="BE521" t="b">
        <f>IF(Metadata!R521="",FALSE,TRUE)</f>
        <v>0</v>
      </c>
      <c r="BF521" t="b">
        <f>OR(AND(IF(Metadata!S521="",FALSE,TRUE),OR(EXACT(Metadata!S521,"not collected"),EXACT(Metadata!S521,"not provided"),EXACT(Metadata!S521,"restricted access"))),AND(IF(Metadata!S521="",FALSE,ISNUMBER(VALUE(Metadata!S521))),Metadata!S521&gt;=-90,Metadata!S521&lt;=90))</f>
        <v>0</v>
      </c>
      <c r="BG521" t="b">
        <f>AND(IF(Metadata!T521="",FALSE,TRUE),EXACT(Metadata!T521,"Decimal degrees"))</f>
        <v>0</v>
      </c>
      <c r="BH521" t="b">
        <f>OR(AND(IF(Metadata!U521="",FALSE,TRUE),OR(EXACT(Metadata!U521,"not applicable"),EXACT(Metadata!U521,"not collected"))),IF(Metadata!U521="",FALSE,TRUE))</f>
        <v>0</v>
      </c>
      <c r="BI521" t="b">
        <f>OR(AND(IF(Metadata!V521="",FALSE,TRUE),OR(EXACT(Metadata!V521,"not collected"),EXACT(Metadata!V521,"not provided"),EXACT(Metadata!V521,"restricted access"))),AND(IF(Metadata!V521="",FALSE,ISNUMBER(VALUE(Metadata!V521))),Metadata!V521&gt;=-180,Metadata!V521&lt;=180))</f>
        <v>0</v>
      </c>
      <c r="BJ521" t="b">
        <f>AND(IF(Metadata!W521="",FALSE,TRUE),EXACT(Metadata!W521,"Decimal degrees"))</f>
        <v>0</v>
      </c>
      <c r="BK521" t="b">
        <f>IF(Metadata!X521="",FALSE,TRUE)</f>
        <v>0</v>
      </c>
      <c r="BL521" t="b">
        <f>OR(AND(IF(Metadata!Y521="",FALSE,TRUE),OR(EXACT(Metadata!Y521,"not collected"),EXACT(Metadata!Y521,"not provided"),EXACT(Metadata!Y521,"restricted access"))),AND(IF(Metadata!Y521="",FALSE,TRUE),OR(EXACT(Metadata!Y521,"TRUE"),EXACT(Metadata!Y521,"FALSE"))))</f>
        <v>0</v>
      </c>
      <c r="BM521" t="b">
        <f>OR(AND(IF(Metadata!Z521="",FALSE,TRUE),EXACT(Metadata!Z521,"not applicable")),AND(IF(Metadata!Z521="",FALSE,TRUE),OR(EXACT(Metadata!Z521,"beer"),EXACT(Metadata!Z521,"cheese"),EXACT(Metadata!Z521,"fresh water"),EXACT(Metadata!Z521,"marine sediment"),EXACT(Metadata!Z521,"sea water"),EXACT(Metadata!Z521,"sediment"),EXACT(Metadata!Z521,"soil"),EXACT(Metadata!Z521,"waste water"))))</f>
        <v>0</v>
      </c>
      <c r="BN521" t="b">
        <f>AND(IF(Metadata!AA521="",FALSE,TRUE),EXACT(Metadata!AA521,"metagenome"))</f>
        <v>0</v>
      </c>
      <c r="BO521" t="b">
        <f>AND(IF(Metadata!AB521="",FALSE,TRUE),EXACT(Metadata!AB521,"256318"))</f>
        <v>0</v>
      </c>
      <c r="BP521" t="b">
        <f>IF(Metadata!AC521="",FALSE,TRUE)</f>
        <v>0</v>
      </c>
      <c r="BQ521" t="b">
        <f>IF(Metadata!AD521="",FALSE,TRUE)</f>
        <v>0</v>
      </c>
    </row>
    <row r="522" spans="1:69" x14ac:dyDescent="0.2">
      <c r="A522" s="4" t="e">
        <f ca="1">IF(B522=" "," ",HYPERLINK(CONCATENATE("#metadata!",ADDRESS(INDEX($AJ$2:$AJ$1001,MATCH(ROWS($AH$2:AH522),$AH$2:$AH$1001,0),0),2)),INDEX($AM$2:$AM$1001,MATCH(ROWS($AH$2:AH522),$AH$2:$AH$1001,0),0)))</f>
        <v>#N/A</v>
      </c>
      <c r="B522" s="5" t="e">
        <f ca="1">IF(OR(INDEX($AI$2:$AI$1001,MATCH(ROWS($AH$2:AH522),$AH$2:$AH$1001,0),1)&gt;=100000,INDEX($AO$1005:$BQ$1005,1,MATCH(COLUMNS($AO$1006:AO1006),$AO$1006:$BQ$1006,0))&gt;=100000), " ",IF(INDEX($AO$2:$BQ$1001,MATCH(ROWS($AH$2:AH522),$AH$2:$AH$1001,0),MATCH(COLUMNS($AO$1006:AO1006),$AO$1006:$BQ$1006,0)), HYPERLINK("#",""), HYPERLINK(CONCATENATE("#Metadata!", ADDRESS(INDEX($AJ$2:$AJ$1001,MATCH(ROWS($AH$2:AH522),$AH$2:$AH$1001,0),0), INDEX($AO$1004:$BQ$1004,1,MATCH(COLUMNS($AO$1006:AO1006),$AO$1006:$BQ$1006,0)))),"Fix")))</f>
        <v>#N/A</v>
      </c>
      <c r="C522" s="5" t="e">
        <f ca="1">IF(OR(INDEX($AI$2:$AI$1001,MATCH(ROWS($AH$2:AH522),$AH$2:$AH$1001,0),1)&gt;=100000,INDEX($AO$1005:$BQ$1005,1,MATCH(COLUMNS($AO$1006:AP1006),$AO$1006:$BQ$1006,0))&gt;=100000), " ",IF(INDEX($AO$2:$BQ$1001,MATCH(ROWS($AH$2:AH522),$AH$2:$AH$1001,0),MATCH(COLUMNS($AO$1006:AP1006),$AO$1006:$BQ$1006,0)), HYPERLINK("#",""), HYPERLINK(CONCATENATE("#Metadata!", ADDRESS(INDEX($AJ$2:$AJ$1001,MATCH(ROWS($AH$2:AH522),$AH$2:$AH$1001,0),0), INDEX($AO$1004:$BQ$1004,1,MATCH(COLUMNS($AO$1006:AP1006),$AO$1006:$BQ$1006,0)))),"Fix")))</f>
        <v>#N/A</v>
      </c>
      <c r="D522" s="5" t="e">
        <f ca="1">IF(OR(INDEX($AI$2:$AI$1001,MATCH(ROWS($AH$2:AH522),$AH$2:$AH$1001,0),1)&gt;=100000,INDEX($AO$1005:$BQ$1005,1,MATCH(COLUMNS($AO$1006:AQ1006),$AO$1006:$BQ$1006,0))&gt;=100000), " ",IF(INDEX($AO$2:$BQ$1001,MATCH(ROWS($AH$2:AH522),$AH$2:$AH$1001,0),MATCH(COLUMNS($AO$1006:AQ1006),$AO$1006:$BQ$1006,0)), HYPERLINK("#",""), HYPERLINK(CONCATENATE("#Metadata!", ADDRESS(INDEX($AJ$2:$AJ$1001,MATCH(ROWS($AH$2:AH522),$AH$2:$AH$1001,0),0), INDEX($AO$1004:$BQ$1004,1,MATCH(COLUMNS($AO$1006:AQ1006),$AO$1006:$BQ$1006,0)))),"Fix")))</f>
        <v>#N/A</v>
      </c>
      <c r="E522" s="5" t="e">
        <f ca="1">IF(OR(INDEX($AI$2:$AI$1001,MATCH(ROWS($AH$2:AH522),$AH$2:$AH$1001,0),1)&gt;=100000,INDEX($AO$1005:$BQ$1005,1,MATCH(COLUMNS($AO$1006:AR1006),$AO$1006:$BQ$1006,0))&gt;=100000), " ",IF(INDEX($AO$2:$BQ$1001,MATCH(ROWS($AH$2:AH522),$AH$2:$AH$1001,0),MATCH(COLUMNS($AO$1006:AR1006),$AO$1006:$BQ$1006,0)), HYPERLINK("#",""), HYPERLINK(CONCATENATE("#Metadata!", ADDRESS(INDEX($AJ$2:$AJ$1001,MATCH(ROWS($AH$2:AH522),$AH$2:$AH$1001,0),0), INDEX($AO$1004:$BQ$1004,1,MATCH(COLUMNS($AO$1006:AR1006),$AO$1006:$BQ$1006,0)))),"Fix")))</f>
        <v>#N/A</v>
      </c>
      <c r="F522" s="5" t="e">
        <f ca="1">IF(OR(INDEX($AI$2:$AI$1001,MATCH(ROWS($AH$2:AH522),$AH$2:$AH$1001,0),1)&gt;=100000,INDEX($AO$1005:$BQ$1005,1,MATCH(COLUMNS($AO$1006:AS1006),$AO$1006:$BQ$1006,0))&gt;=100000), " ",IF(INDEX($AO$2:$BQ$1001,MATCH(ROWS($AH$2:AH522),$AH$2:$AH$1001,0),MATCH(COLUMNS($AO$1006:AS1006),$AO$1006:$BQ$1006,0)), HYPERLINK("#",""), HYPERLINK(CONCATENATE("#Metadata!", ADDRESS(INDEX($AJ$2:$AJ$1001,MATCH(ROWS($AH$2:AH522),$AH$2:$AH$1001,0),0), INDEX($AO$1004:$BQ$1004,1,MATCH(COLUMNS($AO$1006:AS1006),$AO$1006:$BQ$1006,0)))),"Fix")))</f>
        <v>#N/A</v>
      </c>
      <c r="G522" s="5" t="e">
        <f ca="1">IF(OR(INDEX($AI$2:$AI$1001,MATCH(ROWS($AH$2:AH522),$AH$2:$AH$1001,0),1)&gt;=100000,INDEX($AO$1005:$BQ$1005,1,MATCH(COLUMNS($AO$1006:AT1006),$AO$1006:$BQ$1006,0))&gt;=100000), " ",IF(INDEX($AO$2:$BQ$1001,MATCH(ROWS($AH$2:AH522),$AH$2:$AH$1001,0),MATCH(COLUMNS($AO$1006:AT1006),$AO$1006:$BQ$1006,0)), HYPERLINK("#",""), HYPERLINK(CONCATENATE("#Metadata!", ADDRESS(INDEX($AJ$2:$AJ$1001,MATCH(ROWS($AH$2:AH522),$AH$2:$AH$1001,0),0), INDEX($AO$1004:$BQ$1004,1,MATCH(COLUMNS($AO$1006:AT1006),$AO$1006:$BQ$1006,0)))),"Fix")))</f>
        <v>#N/A</v>
      </c>
      <c r="H522" s="5" t="e">
        <f ca="1">IF(OR(INDEX($AI$2:$AI$1001,MATCH(ROWS($AH$2:AH522),$AH$2:$AH$1001,0),1)&gt;=100000,INDEX($AO$1005:$BQ$1005,1,MATCH(COLUMNS($AO$1006:AU1006),$AO$1006:$BQ$1006,0))&gt;=100000), " ",IF(INDEX($AO$2:$BQ$1001,MATCH(ROWS($AH$2:AH522),$AH$2:$AH$1001,0),MATCH(COLUMNS($AO$1006:AU1006),$AO$1006:$BQ$1006,0)), HYPERLINK("#",""), HYPERLINK(CONCATENATE("#Metadata!", ADDRESS(INDEX($AJ$2:$AJ$1001,MATCH(ROWS($AH$2:AH522),$AH$2:$AH$1001,0),0), INDEX($AO$1004:$BQ$1004,1,MATCH(COLUMNS($AO$1006:AU1006),$AO$1006:$BQ$1006,0)))),"Fix")))</f>
        <v>#N/A</v>
      </c>
      <c r="I522" s="5" t="e">
        <f ca="1">IF(OR(INDEX($AI$2:$AI$1001,MATCH(ROWS($AH$2:AH522),$AH$2:$AH$1001,0),1)&gt;=100000,INDEX($AO$1005:$BQ$1005,1,MATCH(COLUMNS($AO$1006:AV1006),$AO$1006:$BQ$1006,0))&gt;=100000), " ",IF(INDEX($AO$2:$BQ$1001,MATCH(ROWS($AH$2:AH522),$AH$2:$AH$1001,0),MATCH(COLUMNS($AO$1006:AV1006),$AO$1006:$BQ$1006,0)), HYPERLINK("#",""), HYPERLINK(CONCATENATE("#Metadata!", ADDRESS(INDEX($AJ$2:$AJ$1001,MATCH(ROWS($AH$2:AH522),$AH$2:$AH$1001,0),0), INDEX($AO$1004:$BQ$1004,1,MATCH(COLUMNS($AO$1006:AV1006),$AO$1006:$BQ$1006,0)))),"Fix")))</f>
        <v>#N/A</v>
      </c>
      <c r="J522" s="5" t="e">
        <f ca="1">IF(OR(INDEX($AI$2:$AI$1001,MATCH(ROWS($AH$2:AH522),$AH$2:$AH$1001,0),1)&gt;=100000,INDEX($AO$1005:$BQ$1005,1,MATCH(COLUMNS($AO$1006:AW1006),$AO$1006:$BQ$1006,0))&gt;=100000), " ",IF(INDEX($AO$2:$BQ$1001,MATCH(ROWS($AH$2:AH522),$AH$2:$AH$1001,0),MATCH(COLUMNS($AO$1006:AW1006),$AO$1006:$BQ$1006,0)), HYPERLINK("#",""), HYPERLINK(CONCATENATE("#Metadata!", ADDRESS(INDEX($AJ$2:$AJ$1001,MATCH(ROWS($AH$2:AH522),$AH$2:$AH$1001,0),0), INDEX($AO$1004:$BQ$1004,1,MATCH(COLUMNS($AO$1006:AW1006),$AO$1006:$BQ$1006,0)))),"Fix")))</f>
        <v>#N/A</v>
      </c>
      <c r="K522" s="5" t="e">
        <f ca="1">IF(OR(INDEX($AI$2:$AI$1001,MATCH(ROWS($AH$2:AH522),$AH$2:$AH$1001,0),1)&gt;=100000,INDEX($AO$1005:$BQ$1005,1,MATCH(COLUMNS($AO$1006:AX1006),$AO$1006:$BQ$1006,0))&gt;=100000), " ",IF(INDEX($AO$2:$BQ$1001,MATCH(ROWS($AH$2:AH522),$AH$2:$AH$1001,0),MATCH(COLUMNS($AO$1006:AX1006),$AO$1006:$BQ$1006,0)), HYPERLINK("#",""), HYPERLINK(CONCATENATE("#Metadata!", ADDRESS(INDEX($AJ$2:$AJ$1001,MATCH(ROWS($AH$2:AH522),$AH$2:$AH$1001,0),0), INDEX($AO$1004:$BQ$1004,1,MATCH(COLUMNS($AO$1006:AX1006),$AO$1006:$BQ$1006,0)))),"Fix")))</f>
        <v>#N/A</v>
      </c>
      <c r="L522" s="5" t="e">
        <f ca="1">IF(OR(INDEX($AI$2:$AI$1001,MATCH(ROWS($AH$2:AH522),$AH$2:$AH$1001,0),1)&gt;=100000,INDEX($AO$1005:$BQ$1005,1,MATCH(COLUMNS($AO$1006:AY1006),$AO$1006:$BQ$1006,0))&gt;=100000), " ",IF(INDEX($AO$2:$BQ$1001,MATCH(ROWS($AH$2:AH522),$AH$2:$AH$1001,0),MATCH(COLUMNS($AO$1006:AY1006),$AO$1006:$BQ$1006,0)), HYPERLINK("#",""), HYPERLINK(CONCATENATE("#Metadata!", ADDRESS(INDEX($AJ$2:$AJ$1001,MATCH(ROWS($AH$2:AH522),$AH$2:$AH$1001,0),0), INDEX($AO$1004:$BQ$1004,1,MATCH(COLUMNS($AO$1006:AY1006),$AO$1006:$BQ$1006,0)))),"Fix")))</f>
        <v>#N/A</v>
      </c>
      <c r="M522" s="5" t="e">
        <f ca="1">IF(OR(INDEX($AI$2:$AI$1001,MATCH(ROWS($AH$2:AH522),$AH$2:$AH$1001,0),1)&gt;=100000,INDEX($AO$1005:$BQ$1005,1,MATCH(COLUMNS($AO$1006:AZ1006),$AO$1006:$BQ$1006,0))&gt;=100000), " ",IF(INDEX($AO$2:$BQ$1001,MATCH(ROWS($AH$2:AH522),$AH$2:$AH$1001,0),MATCH(COLUMNS($AO$1006:AZ1006),$AO$1006:$BQ$1006,0)), HYPERLINK("#",""), HYPERLINK(CONCATENATE("#Metadata!", ADDRESS(INDEX($AJ$2:$AJ$1001,MATCH(ROWS($AH$2:AH522),$AH$2:$AH$1001,0),0), INDEX($AO$1004:$BQ$1004,1,MATCH(COLUMNS($AO$1006:AZ1006),$AO$1006:$BQ$1006,0)))),"Fix")))</f>
        <v>#N/A</v>
      </c>
      <c r="N522" s="5" t="e">
        <f ca="1">IF(OR(INDEX($AI$2:$AI$1001,MATCH(ROWS($AH$2:AH522),$AH$2:$AH$1001,0),1)&gt;=100000,INDEX($AO$1005:$BQ$1005,1,MATCH(COLUMNS($AO$1006:BA1006),$AO$1006:$BQ$1006,0))&gt;=100000), " ",IF(INDEX($AO$2:$BQ$1001,MATCH(ROWS($AH$2:AH522),$AH$2:$AH$1001,0),MATCH(COLUMNS($AO$1006:BA1006),$AO$1006:$BQ$1006,0)), HYPERLINK("#",""), HYPERLINK(CONCATENATE("#Metadata!", ADDRESS(INDEX($AJ$2:$AJ$1001,MATCH(ROWS($AH$2:AH522),$AH$2:$AH$1001,0),0), INDEX($AO$1004:$BQ$1004,1,MATCH(COLUMNS($AO$1006:BA1006),$AO$1006:$BQ$1006,0)))),"Fix")))</f>
        <v>#N/A</v>
      </c>
      <c r="O522" s="5" t="e">
        <f ca="1">IF(OR(INDEX($AI$2:$AI$1001,MATCH(ROWS($AH$2:AH522),$AH$2:$AH$1001,0),1)&gt;=100000,INDEX($AO$1005:$BQ$1005,1,MATCH(COLUMNS($AO$1006:BB1006),$AO$1006:$BQ$1006,0))&gt;=100000), " ",IF(INDEX($AO$2:$BQ$1001,MATCH(ROWS($AH$2:AH522),$AH$2:$AH$1001,0),MATCH(COLUMNS($AO$1006:BB1006),$AO$1006:$BQ$1006,0)), HYPERLINK("#",""), HYPERLINK(CONCATENATE("#Metadata!", ADDRESS(INDEX($AJ$2:$AJ$1001,MATCH(ROWS($AH$2:AH522),$AH$2:$AH$1001,0),0), INDEX($AO$1004:$BQ$1004,1,MATCH(COLUMNS($AO$1006:BB1006),$AO$1006:$BQ$1006,0)))),"Fix")))</f>
        <v>#N/A</v>
      </c>
      <c r="P522" s="5" t="e">
        <f ca="1">IF(OR(INDEX($AI$2:$AI$1001,MATCH(ROWS($AH$2:AH522),$AH$2:$AH$1001,0),1)&gt;=100000,INDEX($AO$1005:$BQ$1005,1,MATCH(COLUMNS($AO$1006:BC1006),$AO$1006:$BQ$1006,0))&gt;=100000), " ",IF(INDEX($AO$2:$BQ$1001,MATCH(ROWS($AH$2:AH522),$AH$2:$AH$1001,0),MATCH(COLUMNS($AO$1006:BC1006),$AO$1006:$BQ$1006,0)), HYPERLINK("#",""), HYPERLINK(CONCATENATE("#Metadata!", ADDRESS(INDEX($AJ$2:$AJ$1001,MATCH(ROWS($AH$2:AH522),$AH$2:$AH$1001,0),0), INDEX($AO$1004:$BQ$1004,1,MATCH(COLUMNS($AO$1006:BC1006),$AO$1006:$BQ$1006,0)))),"Fix")))</f>
        <v>#N/A</v>
      </c>
      <c r="Q522" s="5" t="e">
        <f ca="1">IF(OR(INDEX($AI$2:$AI$1001,MATCH(ROWS($AH$2:AH522),$AH$2:$AH$1001,0),1)&gt;=100000,INDEX($AO$1005:$BQ$1005,1,MATCH(COLUMNS($AO$1006:BD1006),$AO$1006:$BQ$1006,0))&gt;=100000), " ",IF(INDEX($AO$2:$BQ$1001,MATCH(ROWS($AH$2:AH522),$AH$2:$AH$1001,0),MATCH(COLUMNS($AO$1006:BD1006),$AO$1006:$BQ$1006,0)), HYPERLINK("#",""), HYPERLINK(CONCATENATE("#Metadata!", ADDRESS(INDEX($AJ$2:$AJ$1001,MATCH(ROWS($AH$2:AH522),$AH$2:$AH$1001,0),0), INDEX($AO$1004:$BQ$1004,1,MATCH(COLUMNS($AO$1006:BD1006),$AO$1006:$BQ$1006,0)))),"Fix")))</f>
        <v>#N/A</v>
      </c>
      <c r="R522" s="5" t="e">
        <f ca="1">IF(OR(INDEX($AI$2:$AI$1001,MATCH(ROWS($AH$2:AH522),$AH$2:$AH$1001,0),1)&gt;=100000,INDEX($AO$1005:$BQ$1005,1,MATCH(COLUMNS($AO$1006:BE1006),$AO$1006:$BQ$1006,0))&gt;=100000), " ",IF(INDEX($AO$2:$BQ$1001,MATCH(ROWS($AH$2:AH522),$AH$2:$AH$1001,0),MATCH(COLUMNS($AO$1006:BE1006),$AO$1006:$BQ$1006,0)), HYPERLINK("#",""), HYPERLINK(CONCATENATE("#Metadata!", ADDRESS(INDEX($AJ$2:$AJ$1001,MATCH(ROWS($AH$2:AH522),$AH$2:$AH$1001,0),0), INDEX($AO$1004:$BQ$1004,1,MATCH(COLUMNS($AO$1006:BE1006),$AO$1006:$BQ$1006,0)))),"Fix")))</f>
        <v>#N/A</v>
      </c>
      <c r="S522" s="5" t="e">
        <f ca="1">IF(OR(INDEX($AI$2:$AI$1001,MATCH(ROWS($AH$2:AH522),$AH$2:$AH$1001,0),1)&gt;=100000,INDEX($AO$1005:$BQ$1005,1,MATCH(COLUMNS($AO$1006:BF1006),$AO$1006:$BQ$1006,0))&gt;=100000), " ",IF(INDEX($AO$2:$BQ$1001,MATCH(ROWS($AH$2:AH522),$AH$2:$AH$1001,0),MATCH(COLUMNS($AO$1006:BF1006),$AO$1006:$BQ$1006,0)), HYPERLINK("#",""), HYPERLINK(CONCATENATE("#Metadata!", ADDRESS(INDEX($AJ$2:$AJ$1001,MATCH(ROWS($AH$2:AH522),$AH$2:$AH$1001,0),0), INDEX($AO$1004:$BQ$1004,1,MATCH(COLUMNS($AO$1006:BF1006),$AO$1006:$BQ$1006,0)))),"Fix")))</f>
        <v>#N/A</v>
      </c>
      <c r="T522" s="5" t="e">
        <f ca="1">IF(OR(INDEX($AI$2:$AI$1001,MATCH(ROWS($AH$2:AH522),$AH$2:$AH$1001,0),1)&gt;=100000,INDEX($AO$1005:$BQ$1005,1,MATCH(COLUMNS($AO$1006:BG1006),$AO$1006:$BQ$1006,0))&gt;=100000), " ",IF(INDEX($AO$2:$BQ$1001,MATCH(ROWS($AH$2:AH522),$AH$2:$AH$1001,0),MATCH(COLUMNS($AO$1006:BG1006),$AO$1006:$BQ$1006,0)), HYPERLINK("#",""), HYPERLINK(CONCATENATE("#Metadata!", ADDRESS(INDEX($AJ$2:$AJ$1001,MATCH(ROWS($AH$2:AH522),$AH$2:$AH$1001,0),0), INDEX($AO$1004:$BQ$1004,1,MATCH(COLUMNS($AO$1006:BG1006),$AO$1006:$BQ$1006,0)))),"Fix")))</f>
        <v>#N/A</v>
      </c>
      <c r="U522" s="5" t="e">
        <f ca="1">IF(OR(INDEX($AI$2:$AI$1001,MATCH(ROWS($AH$2:AH522),$AH$2:$AH$1001,0),1)&gt;=100000,INDEX($AO$1005:$BQ$1005,1,MATCH(COLUMNS($AO$1006:BH1006),$AO$1006:$BQ$1006,0))&gt;=100000), " ",IF(INDEX($AO$2:$BQ$1001,MATCH(ROWS($AH$2:AH522),$AH$2:$AH$1001,0),MATCH(COLUMNS($AO$1006:BH1006),$AO$1006:$BQ$1006,0)), HYPERLINK("#",""), HYPERLINK(CONCATENATE("#Metadata!", ADDRESS(INDEX($AJ$2:$AJ$1001,MATCH(ROWS($AH$2:AH522),$AH$2:$AH$1001,0),0), INDEX($AO$1004:$BQ$1004,1,MATCH(COLUMNS($AO$1006:BH1006),$AO$1006:$BQ$1006,0)))),"Fix")))</f>
        <v>#N/A</v>
      </c>
      <c r="V522" s="5" t="e">
        <f ca="1">IF(OR(INDEX($AI$2:$AI$1001,MATCH(ROWS($AH$2:AH522),$AH$2:$AH$1001,0),1)&gt;=100000,INDEX($AO$1005:$BQ$1005,1,MATCH(COLUMNS($AO$1006:BI1006),$AO$1006:$BQ$1006,0))&gt;=100000), " ",IF(INDEX($AO$2:$BQ$1001,MATCH(ROWS($AH$2:AH522),$AH$2:$AH$1001,0),MATCH(COLUMNS($AO$1006:BI1006),$AO$1006:$BQ$1006,0)), HYPERLINK("#",""), HYPERLINK(CONCATENATE("#Metadata!", ADDRESS(INDEX($AJ$2:$AJ$1001,MATCH(ROWS($AH$2:AH522),$AH$2:$AH$1001,0),0), INDEX($AO$1004:$BQ$1004,1,MATCH(COLUMNS($AO$1006:BI1006),$AO$1006:$BQ$1006,0)))),"Fix")))</f>
        <v>#N/A</v>
      </c>
      <c r="W522" s="5" t="e">
        <f ca="1">IF(OR(INDEX($AI$2:$AI$1001,MATCH(ROWS($AH$2:AH522),$AH$2:$AH$1001,0),1)&gt;=100000,INDEX($AO$1005:$BQ$1005,1,MATCH(COLUMNS($AO$1006:BJ1006),$AO$1006:$BQ$1006,0))&gt;=100000), " ",IF(INDEX($AO$2:$BQ$1001,MATCH(ROWS($AH$2:AH522),$AH$2:$AH$1001,0),MATCH(COLUMNS($AO$1006:BJ1006),$AO$1006:$BQ$1006,0)), HYPERLINK("#",""), HYPERLINK(CONCATENATE("#Metadata!", ADDRESS(INDEX($AJ$2:$AJ$1001,MATCH(ROWS($AH$2:AH522),$AH$2:$AH$1001,0),0), INDEX($AO$1004:$BQ$1004,1,MATCH(COLUMNS($AO$1006:BJ1006),$AO$1006:$BQ$1006,0)))),"Fix")))</f>
        <v>#N/A</v>
      </c>
      <c r="X522" s="5" t="e">
        <f ca="1">IF(OR(INDEX($AI$2:$AI$1001,MATCH(ROWS($AH$2:AH522),$AH$2:$AH$1001,0),1)&gt;=100000,INDEX($AO$1005:$BQ$1005,1,MATCH(COLUMNS($AO$1006:BK1006),$AO$1006:$BQ$1006,0))&gt;=100000), " ",IF(INDEX($AO$2:$BQ$1001,MATCH(ROWS($AH$2:AH522),$AH$2:$AH$1001,0),MATCH(COLUMNS($AO$1006:BK1006),$AO$1006:$BQ$1006,0)), HYPERLINK("#",""), HYPERLINK(CONCATENATE("#Metadata!", ADDRESS(INDEX($AJ$2:$AJ$1001,MATCH(ROWS($AH$2:AH522),$AH$2:$AH$1001,0),0), INDEX($AO$1004:$BQ$1004,1,MATCH(COLUMNS($AO$1006:BK1006),$AO$1006:$BQ$1006,0)))),"Fix")))</f>
        <v>#N/A</v>
      </c>
      <c r="Y522" s="5" t="e">
        <f ca="1">IF(OR(INDEX($AI$2:$AI$1001,MATCH(ROWS($AH$2:AH522),$AH$2:$AH$1001,0),1)&gt;=100000,INDEX($AO$1005:$BQ$1005,1,MATCH(COLUMNS($AO$1006:BL1006),$AO$1006:$BQ$1006,0))&gt;=100000), " ",IF(INDEX($AO$2:$BQ$1001,MATCH(ROWS($AH$2:AH522),$AH$2:$AH$1001,0),MATCH(COLUMNS($AO$1006:BL1006),$AO$1006:$BQ$1006,0)), HYPERLINK("#",""), HYPERLINK(CONCATENATE("#Metadata!", ADDRESS(INDEX($AJ$2:$AJ$1001,MATCH(ROWS($AH$2:AH522),$AH$2:$AH$1001,0),0), INDEX($AO$1004:$BQ$1004,1,MATCH(COLUMNS($AO$1006:BL1006),$AO$1006:$BQ$1006,0)))),"Fix")))</f>
        <v>#N/A</v>
      </c>
      <c r="Z522" s="5" t="e">
        <f ca="1">IF(OR(INDEX($AI$2:$AI$1001,MATCH(ROWS($AH$2:AH522),$AH$2:$AH$1001,0),1)&gt;=100000,INDEX($AO$1005:$BQ$1005,1,MATCH(COLUMNS($AO$1006:BM1006),$AO$1006:$BQ$1006,0))&gt;=100000), " ",IF(INDEX($AO$2:$BQ$1001,MATCH(ROWS($AH$2:AH522),$AH$2:$AH$1001,0),MATCH(COLUMNS($AO$1006:BM1006),$AO$1006:$BQ$1006,0)), HYPERLINK("#",""), HYPERLINK(CONCATENATE("#Metadata!", ADDRESS(INDEX($AJ$2:$AJ$1001,MATCH(ROWS($AH$2:AH522),$AH$2:$AH$1001,0),0), INDEX($AO$1004:$BQ$1004,1,MATCH(COLUMNS($AO$1006:BM1006),$AO$1006:$BQ$1006,0)))),"Fix")))</f>
        <v>#N/A</v>
      </c>
      <c r="AA522" s="5" t="e">
        <f ca="1">IF(OR(INDEX($AI$2:$AI$1001,MATCH(ROWS($AH$2:AH522),$AH$2:$AH$1001,0),1)&gt;=100000,INDEX($AO$1005:$BQ$1005,1,MATCH(COLUMNS($AO$1006:BN1006),$AO$1006:$BQ$1006,0))&gt;=100000), " ",IF(INDEX($AO$2:$BQ$1001,MATCH(ROWS($AH$2:AH522),$AH$2:$AH$1001,0),MATCH(COLUMNS($AO$1006:BN1006),$AO$1006:$BQ$1006,0)), HYPERLINK("#",""), HYPERLINK(CONCATENATE("#Metadata!", ADDRESS(INDEX($AJ$2:$AJ$1001,MATCH(ROWS($AH$2:AH522),$AH$2:$AH$1001,0),0), INDEX($AO$1004:$BQ$1004,1,MATCH(COLUMNS($AO$1006:BN1006),$AO$1006:$BQ$1006,0)))),"Fix")))</f>
        <v>#N/A</v>
      </c>
      <c r="AB522" s="5" t="e">
        <f ca="1">IF(OR(INDEX($AI$2:$AI$1001,MATCH(ROWS($AH$2:AH522),$AH$2:$AH$1001,0),1)&gt;=100000,INDEX($AO$1005:$BQ$1005,1,MATCH(COLUMNS($AO$1006:BO1006),$AO$1006:$BQ$1006,0))&gt;=100000), " ",IF(INDEX($AO$2:$BQ$1001,MATCH(ROWS($AH$2:AH522),$AH$2:$AH$1001,0),MATCH(COLUMNS($AO$1006:BO1006),$AO$1006:$BQ$1006,0)), HYPERLINK("#",""), HYPERLINK(CONCATENATE("#Metadata!", ADDRESS(INDEX($AJ$2:$AJ$1001,MATCH(ROWS($AH$2:AH522),$AH$2:$AH$1001,0),0), INDEX($AO$1004:$BQ$1004,1,MATCH(COLUMNS($AO$1006:BO1006),$AO$1006:$BQ$1006,0)))),"Fix")))</f>
        <v>#N/A</v>
      </c>
      <c r="AC522" s="5" t="e">
        <f ca="1">IF(OR(INDEX($AI$2:$AI$1001,MATCH(ROWS($AH$2:AH522),$AH$2:$AH$1001,0),1)&gt;=100000,INDEX($AO$1005:$BQ$1005,1,MATCH(COLUMNS($AO$1006:BP1006),$AO$1006:$BQ$1006,0))&gt;=100000), " ",IF(INDEX($AO$2:$BQ$1001,MATCH(ROWS($AH$2:AH522),$AH$2:$AH$1001,0),MATCH(COLUMNS($AO$1006:BP1006),$AO$1006:$BQ$1006,0)), HYPERLINK("#",""), HYPERLINK(CONCATENATE("#Metadata!", ADDRESS(INDEX($AJ$2:$AJ$1001,MATCH(ROWS($AH$2:AH522),$AH$2:$AH$1001,0),0), INDEX($AO$1004:$BQ$1004,1,MATCH(COLUMNS($AO$1006:BP1006),$AO$1006:$BQ$1006,0)))),"Fix")))</f>
        <v>#N/A</v>
      </c>
      <c r="AD522" s="5" t="e">
        <f ca="1">IF(OR(INDEX($AI$2:$AI$1001,MATCH(ROWS($AH$2:AH522),$AH$2:$AH$1001,0),1)&gt;=100000,INDEX($AO$1005:$BQ$1005,1,MATCH(COLUMNS($AO$1006:BQ1006),$AO$1006:$BQ$1006,0))&gt;=100000), " ",IF(INDEX($AO$2:$BQ$1001,MATCH(ROWS($AH$2:AH522),$AH$2:$AH$1001,0),MATCH(COLUMNS($AO$1006:BQ1006),$AO$1006:$BQ$1006,0)), HYPERLINK("#",""), HYPERLINK(CONCATENATE("#Metadata!", ADDRESS(INDEX($AJ$2:$AJ$1001,MATCH(ROWS($AH$2:AH522),$AH$2:$AH$1001,0),0), INDEX($AO$1004:$BQ$1004,1,MATCH(COLUMNS($AO$1006:BQ1006),$AO$1006:$BQ$1006,0)))),"Fix")))</f>
        <v>#REF!</v>
      </c>
      <c r="AH522">
        <f ca="1"/>
        <v>519</v>
      </c>
      <c r="AI522">
        <v>100522</v>
      </c>
      <c r="AJ522">
        <v>522</v>
      </c>
      <c r="AK522" t="b">
        <f t="shared" si="8"/>
        <v>1</v>
      </c>
      <c r="AL522" t="b">
        <f>COUNTBLANK(Metadata!B522:AD522)=COLUMNS(Metadata!B522:AD522)</f>
        <v>1</v>
      </c>
      <c r="AM522" t="str">
        <v/>
      </c>
      <c r="AO522" t="b">
        <f ca="1">AND(IF(Metadata!B522="",FALSE,TRUE),COUNTIF(Metadata!B:B, Metadata!B522) = 1,NOT(ISERROR(SUMPRODUCT(SEARCH(MID(Metadata!B522,ROW(INDIRECT("1:"&amp;LEN(Metadata!B522))), 1),"0123456789abcdefghijklmnopqrstuvwxyzABCDEFGHIJKLMNOPQRSTUVWXYZ.")))))</f>
        <v>0</v>
      </c>
      <c r="AP522" t="b">
        <f>IF(Metadata!C522="",FALSE,TRUE)</f>
        <v>0</v>
      </c>
      <c r="AQ522" t="b">
        <f>IF(Metadata!D522="",FALSE,TRUE)</f>
        <v>0</v>
      </c>
      <c r="AR522" t="b">
        <f ca="1">OR(AND(IF(Metadata!E522="",FALSE,TRUE),OR(EXACT(Metadata!E522,"not collected"),EXACT(Metadata!E522,"not provided"),EXACT(Metadata!E522,"restricted access"))),AND(IF(Metadata!E522="",FALSE,TRUE),AND(AND(IFERROR(INT(LEFT(Metadata!E522,4))&gt;1900,FALSE),IFERROR(INT(LEFT(Metadata!E522,4))&lt;=YEAR(NOW()),FALSE)), OR(MID(Metadata!E522,5,1)="", AND(AND(MID(Metadata!E522,5,1)="-",IFERROR(INT(MID(Metadata!E522,6,1))&gt;=0,FALSE),IFERROR(INT(MID(Metadata!E522,6,1))&lt;=1,FALSE),NOT(MID(Metadata!E522,7,1)=""),IFERROR(INT(MID(Metadata!E522,6,2))&gt;=1,FALSE),IFERROR(INT(MID(Metadata!E522,6,2))&lt;=12,FALSE)), OR(MID(Metadata!E522,8,1)="", AND(AND(MID(Metadata!E522,8,1)="-",IFERROR(INT(MID(Metadata!E522,9,1))&gt;=0,FALSE),IFERROR(INT(MID(Metadata!E522,9,1))&lt;=3,FALSE),NOT(MID(Metadata!E522,10,1)=""),IFERROR(INT(MID(Metadata!E522,9,2))&gt;=1,FALSE),IFERROR(INT(MID(Metadata!E522,9,2))&lt;=31,FALSE)), OR(MID(Metadata!E522,11,1)="", AND(AND(MID(Metadata!E522,11,1)=" ",IFERROR(INT(MID(Metadata!E522,12,1))&gt;=0,FALSE),IFERROR(INT(MID(Metadata!E522,12,1))&lt;=2,FALSE),NOT(MID(Metadata!E522,13,1)=""),IFERROR(INT(MID(Metadata!E522,12,2))&gt;=0,FALSE),IFERROR(INT(MID(Metadata!E522,12,2))&lt;=23,FALSE)), OR(MID(Metadata!E522,14,1)="", AND(AND(MID(Metadata!E522,14,1)=":",IFERROR(INT(MID(Metadata!E522,15,1))&gt;=0,FALSE),IFERROR(INT(MID(Metadata!E522,15,1))&lt;=5,FALSE),NOT(MID(Metadata!E522,16,1)=""),IFERROR(INT(MID(Metadata!E522,15,2))&gt;=0,FALSE),IFERROR(INT(MID(Metadata!E522,15,2))&lt;=59,FALSE)), OR(MID(Metadata!E522,17,1)="", AND(AND(MID(Metadata!E522,17,1)=":",IFERROR(INT(MID(Metadata!E522,18,1))&gt;=0,FALSE),IFERROR(INT(MID(Metadata!E522,18,1))&lt;=5,FALSE),NOT(MID(Metadata!E522,19,1)=""),IFERROR(INT(MID(Metadata!E522,18,2))&gt;=0,FALSE),IFERROR(INT(MID(Metadata!E522,18,2))&lt;=59,FALSE)), LEN(Metadata!E522)&lt;=19)))))))))))))</f>
        <v>0</v>
      </c>
      <c r="AS522" t="b">
        <f>IF(Metadata!F522="",FALSE,TRUE)</f>
        <v>0</v>
      </c>
      <c r="AT522" t="b">
        <f>OR(AND(IF(Metadata!G522="",FALSE,TRUE),OR(EXACT(Metadata!G522,"not collected"),EXACT(Metadata!G522,"not provided"))),AND(IF(Metadata!G522="",FALSE,TRUE),OR(EXACT(Metadata!G522,"TRUE"),EXACT(Metadata!G522,"FALSE"))))</f>
        <v>0</v>
      </c>
      <c r="AU522" t="b">
        <f>OR(AND(IF(Metadata!H522="",FALSE,TRUE),OR(EXACT(Metadata!H522,"not collected"),EXACT(Metadata!H522,"not provided"),EXACT(Metadata!H522,"restricted access"))),AND(IF(Metadata!H522="",FALSE,ISNUMBER(VALUE(Metadata!H522))),Metadata!H522&gt;=-413))</f>
        <v>0</v>
      </c>
      <c r="AV522" t="b">
        <f>AND(IF(Metadata!I522="",FALSE,TRUE),EXACT(Metadata!I522,"meters"))</f>
        <v>0</v>
      </c>
      <c r="AW522" t="b">
        <f>AND(IF(Metadata!J522="",FALSE,TRUE),EXACT(Metadata!J522,"free-living"))</f>
        <v>0</v>
      </c>
      <c r="AX522" t="b">
        <f>AND(IF(Metadata!K522="",FALSE,TRUE),OR(EXACT(Metadata!K522,"saline"),EXACT(Metadata!K522,"non-saline")))</f>
        <v>0</v>
      </c>
      <c r="AY522" t="b">
        <f>AND(IF(Metadata!L522="",FALSE,TRUE),OR(EXACT(Metadata!L522,"sub-surface (non-saline)"),EXACT(Metadata!L522,"surface (non-saline)"),EXACT(Metadata!L522,"water (non-saline)"),EXACT(Metadata!L522,"soil (non-saline)"),EXACT(Metadata!L522,"aerosol (non-saline)"),EXACT(Metadata!L522,"sediment (non-saline)"),EXACT(Metadata!L522,"surface (saline)"),EXACT(Metadata!L522,"water (saline)"),EXACT(Metadata!L522,"hypersaline (saline)"),EXACT(Metadata!L522,"aerosol (saline)"),EXACT(Metadata!L522,"sediment (saline)")))</f>
        <v>0</v>
      </c>
      <c r="AZ522" t="b">
        <f>IF(Metadata!M522="",FALSE,TRUE)</f>
        <v>0</v>
      </c>
      <c r="BA522" t="b">
        <f>IF(Metadata!N522="",FALSE,TRUE)</f>
        <v>0</v>
      </c>
      <c r="BB522" t="b">
        <f>IF(Metadata!O522="",FALSE,TRUE)</f>
        <v>0</v>
      </c>
      <c r="BC522" t="b">
        <f>AND(IF(Metadata!P522="",FALSE,TRUE),OR(EXACT(Metadata!P522,"air"),EXACT(Metadata!P522,"microbial mat/biofilm"),EXACT(Metadata!P522,"misc environment"),EXACT(Metadata!P522,"sediment"),EXACT(Metadata!P522,"soil"),EXACT(Metadata!P522,"wastewater/sludge"),EXACT(Metadata!P522,"water")))</f>
        <v>0</v>
      </c>
      <c r="BD522" t="b">
        <f>IF(Metadata!Q522="",FALSE,TRUE)</f>
        <v>0</v>
      </c>
      <c r="BE522" t="b">
        <f>IF(Metadata!R522="",FALSE,TRUE)</f>
        <v>0</v>
      </c>
      <c r="BF522" t="b">
        <f>OR(AND(IF(Metadata!S522="",FALSE,TRUE),OR(EXACT(Metadata!S522,"not collected"),EXACT(Metadata!S522,"not provided"),EXACT(Metadata!S522,"restricted access"))),AND(IF(Metadata!S522="",FALSE,ISNUMBER(VALUE(Metadata!S522))),Metadata!S522&gt;=-90,Metadata!S522&lt;=90))</f>
        <v>0</v>
      </c>
      <c r="BG522" t="b">
        <f>AND(IF(Metadata!T522="",FALSE,TRUE),EXACT(Metadata!T522,"Decimal degrees"))</f>
        <v>0</v>
      </c>
      <c r="BH522" t="b">
        <f>OR(AND(IF(Metadata!U522="",FALSE,TRUE),OR(EXACT(Metadata!U522,"not applicable"),EXACT(Metadata!U522,"not collected"))),IF(Metadata!U522="",FALSE,TRUE))</f>
        <v>0</v>
      </c>
      <c r="BI522" t="b">
        <f>OR(AND(IF(Metadata!V522="",FALSE,TRUE),OR(EXACT(Metadata!V522,"not collected"),EXACT(Metadata!V522,"not provided"),EXACT(Metadata!V522,"restricted access"))),AND(IF(Metadata!V522="",FALSE,ISNUMBER(VALUE(Metadata!V522))),Metadata!V522&gt;=-180,Metadata!V522&lt;=180))</f>
        <v>0</v>
      </c>
      <c r="BJ522" t="b">
        <f>AND(IF(Metadata!W522="",FALSE,TRUE),EXACT(Metadata!W522,"Decimal degrees"))</f>
        <v>0</v>
      </c>
      <c r="BK522" t="b">
        <f>IF(Metadata!X522="",FALSE,TRUE)</f>
        <v>0</v>
      </c>
      <c r="BL522" t="b">
        <f>OR(AND(IF(Metadata!Y522="",FALSE,TRUE),OR(EXACT(Metadata!Y522,"not collected"),EXACT(Metadata!Y522,"not provided"),EXACT(Metadata!Y522,"restricted access"))),AND(IF(Metadata!Y522="",FALSE,TRUE),OR(EXACT(Metadata!Y522,"TRUE"),EXACT(Metadata!Y522,"FALSE"))))</f>
        <v>0</v>
      </c>
      <c r="BM522" t="b">
        <f>OR(AND(IF(Metadata!Z522="",FALSE,TRUE),EXACT(Metadata!Z522,"not applicable")),AND(IF(Metadata!Z522="",FALSE,TRUE),OR(EXACT(Metadata!Z522,"beer"),EXACT(Metadata!Z522,"cheese"),EXACT(Metadata!Z522,"fresh water"),EXACT(Metadata!Z522,"marine sediment"),EXACT(Metadata!Z522,"sea water"),EXACT(Metadata!Z522,"sediment"),EXACT(Metadata!Z522,"soil"),EXACT(Metadata!Z522,"waste water"))))</f>
        <v>0</v>
      </c>
      <c r="BN522" t="b">
        <f>AND(IF(Metadata!AA522="",FALSE,TRUE),EXACT(Metadata!AA522,"metagenome"))</f>
        <v>0</v>
      </c>
      <c r="BO522" t="b">
        <f>AND(IF(Metadata!AB522="",FALSE,TRUE),EXACT(Metadata!AB522,"256318"))</f>
        <v>0</v>
      </c>
      <c r="BP522" t="b">
        <f>IF(Metadata!AC522="",FALSE,TRUE)</f>
        <v>0</v>
      </c>
      <c r="BQ522" t="b">
        <f>IF(Metadata!AD522="",FALSE,TRUE)</f>
        <v>0</v>
      </c>
    </row>
    <row r="523" spans="1:69" x14ac:dyDescent="0.2">
      <c r="A523" s="4" t="e">
        <f ca="1">IF(B523=" "," ",HYPERLINK(CONCATENATE("#metadata!",ADDRESS(INDEX($AJ$2:$AJ$1001,MATCH(ROWS($AH$2:AH523),$AH$2:$AH$1001,0),0),2)),INDEX($AM$2:$AM$1001,MATCH(ROWS($AH$2:AH523),$AH$2:$AH$1001,0),0)))</f>
        <v>#N/A</v>
      </c>
      <c r="B523" s="5" t="e">
        <f ca="1">IF(OR(INDEX($AI$2:$AI$1001,MATCH(ROWS($AH$2:AH523),$AH$2:$AH$1001,0),1)&gt;=100000,INDEX($AO$1005:$BQ$1005,1,MATCH(COLUMNS($AO$1006:AO1006),$AO$1006:$BQ$1006,0))&gt;=100000), " ",IF(INDEX($AO$2:$BQ$1001,MATCH(ROWS($AH$2:AH523),$AH$2:$AH$1001,0),MATCH(COLUMNS($AO$1006:AO1006),$AO$1006:$BQ$1006,0)), HYPERLINK("#",""), HYPERLINK(CONCATENATE("#Metadata!", ADDRESS(INDEX($AJ$2:$AJ$1001,MATCH(ROWS($AH$2:AH523),$AH$2:$AH$1001,0),0), INDEX($AO$1004:$BQ$1004,1,MATCH(COLUMNS($AO$1006:AO1006),$AO$1006:$BQ$1006,0)))),"Fix")))</f>
        <v>#N/A</v>
      </c>
      <c r="C523" s="5" t="e">
        <f ca="1">IF(OR(INDEX($AI$2:$AI$1001,MATCH(ROWS($AH$2:AH523),$AH$2:$AH$1001,0),1)&gt;=100000,INDEX($AO$1005:$BQ$1005,1,MATCH(COLUMNS($AO$1006:AP1006),$AO$1006:$BQ$1006,0))&gt;=100000), " ",IF(INDEX($AO$2:$BQ$1001,MATCH(ROWS($AH$2:AH523),$AH$2:$AH$1001,0),MATCH(COLUMNS($AO$1006:AP1006),$AO$1006:$BQ$1006,0)), HYPERLINK("#",""), HYPERLINK(CONCATENATE("#Metadata!", ADDRESS(INDEX($AJ$2:$AJ$1001,MATCH(ROWS($AH$2:AH523),$AH$2:$AH$1001,0),0), INDEX($AO$1004:$BQ$1004,1,MATCH(COLUMNS($AO$1006:AP1006),$AO$1006:$BQ$1006,0)))),"Fix")))</f>
        <v>#N/A</v>
      </c>
      <c r="D523" s="5" t="e">
        <f ca="1">IF(OR(INDEX($AI$2:$AI$1001,MATCH(ROWS($AH$2:AH523),$AH$2:$AH$1001,0),1)&gt;=100000,INDEX($AO$1005:$BQ$1005,1,MATCH(COLUMNS($AO$1006:AQ1006),$AO$1006:$BQ$1006,0))&gt;=100000), " ",IF(INDEX($AO$2:$BQ$1001,MATCH(ROWS($AH$2:AH523),$AH$2:$AH$1001,0),MATCH(COLUMNS($AO$1006:AQ1006),$AO$1006:$BQ$1006,0)), HYPERLINK("#",""), HYPERLINK(CONCATENATE("#Metadata!", ADDRESS(INDEX($AJ$2:$AJ$1001,MATCH(ROWS($AH$2:AH523),$AH$2:$AH$1001,0),0), INDEX($AO$1004:$BQ$1004,1,MATCH(COLUMNS($AO$1006:AQ1006),$AO$1006:$BQ$1006,0)))),"Fix")))</f>
        <v>#N/A</v>
      </c>
      <c r="E523" s="5" t="e">
        <f ca="1">IF(OR(INDEX($AI$2:$AI$1001,MATCH(ROWS($AH$2:AH523),$AH$2:$AH$1001,0),1)&gt;=100000,INDEX($AO$1005:$BQ$1005,1,MATCH(COLUMNS($AO$1006:AR1006),$AO$1006:$BQ$1006,0))&gt;=100000), " ",IF(INDEX($AO$2:$BQ$1001,MATCH(ROWS($AH$2:AH523),$AH$2:$AH$1001,0),MATCH(COLUMNS($AO$1006:AR1006),$AO$1006:$BQ$1006,0)), HYPERLINK("#",""), HYPERLINK(CONCATENATE("#Metadata!", ADDRESS(INDEX($AJ$2:$AJ$1001,MATCH(ROWS($AH$2:AH523),$AH$2:$AH$1001,0),0), INDEX($AO$1004:$BQ$1004,1,MATCH(COLUMNS($AO$1006:AR1006),$AO$1006:$BQ$1006,0)))),"Fix")))</f>
        <v>#N/A</v>
      </c>
      <c r="F523" s="5" t="e">
        <f ca="1">IF(OR(INDEX($AI$2:$AI$1001,MATCH(ROWS($AH$2:AH523),$AH$2:$AH$1001,0),1)&gt;=100000,INDEX($AO$1005:$BQ$1005,1,MATCH(COLUMNS($AO$1006:AS1006),$AO$1006:$BQ$1006,0))&gt;=100000), " ",IF(INDEX($AO$2:$BQ$1001,MATCH(ROWS($AH$2:AH523),$AH$2:$AH$1001,0),MATCH(COLUMNS($AO$1006:AS1006),$AO$1006:$BQ$1006,0)), HYPERLINK("#",""), HYPERLINK(CONCATENATE("#Metadata!", ADDRESS(INDEX($AJ$2:$AJ$1001,MATCH(ROWS($AH$2:AH523),$AH$2:$AH$1001,0),0), INDEX($AO$1004:$BQ$1004,1,MATCH(COLUMNS($AO$1006:AS1006),$AO$1006:$BQ$1006,0)))),"Fix")))</f>
        <v>#N/A</v>
      </c>
      <c r="G523" s="5" t="e">
        <f ca="1">IF(OR(INDEX($AI$2:$AI$1001,MATCH(ROWS($AH$2:AH523),$AH$2:$AH$1001,0),1)&gt;=100000,INDEX($AO$1005:$BQ$1005,1,MATCH(COLUMNS($AO$1006:AT1006),$AO$1006:$BQ$1006,0))&gt;=100000), " ",IF(INDEX($AO$2:$BQ$1001,MATCH(ROWS($AH$2:AH523),$AH$2:$AH$1001,0),MATCH(COLUMNS($AO$1006:AT1006),$AO$1006:$BQ$1006,0)), HYPERLINK("#",""), HYPERLINK(CONCATENATE("#Metadata!", ADDRESS(INDEX($AJ$2:$AJ$1001,MATCH(ROWS($AH$2:AH523),$AH$2:$AH$1001,0),0), INDEX($AO$1004:$BQ$1004,1,MATCH(COLUMNS($AO$1006:AT1006),$AO$1006:$BQ$1006,0)))),"Fix")))</f>
        <v>#N/A</v>
      </c>
      <c r="H523" s="5" t="e">
        <f ca="1">IF(OR(INDEX($AI$2:$AI$1001,MATCH(ROWS($AH$2:AH523),$AH$2:$AH$1001,0),1)&gt;=100000,INDEX($AO$1005:$BQ$1005,1,MATCH(COLUMNS($AO$1006:AU1006),$AO$1006:$BQ$1006,0))&gt;=100000), " ",IF(INDEX($AO$2:$BQ$1001,MATCH(ROWS($AH$2:AH523),$AH$2:$AH$1001,0),MATCH(COLUMNS($AO$1006:AU1006),$AO$1006:$BQ$1006,0)), HYPERLINK("#",""), HYPERLINK(CONCATENATE("#Metadata!", ADDRESS(INDEX($AJ$2:$AJ$1001,MATCH(ROWS($AH$2:AH523),$AH$2:$AH$1001,0),0), INDEX($AO$1004:$BQ$1004,1,MATCH(COLUMNS($AO$1006:AU1006),$AO$1006:$BQ$1006,0)))),"Fix")))</f>
        <v>#N/A</v>
      </c>
      <c r="I523" s="5" t="e">
        <f ca="1">IF(OR(INDEX($AI$2:$AI$1001,MATCH(ROWS($AH$2:AH523),$AH$2:$AH$1001,0),1)&gt;=100000,INDEX($AO$1005:$BQ$1005,1,MATCH(COLUMNS($AO$1006:AV1006),$AO$1006:$BQ$1006,0))&gt;=100000), " ",IF(INDEX($AO$2:$BQ$1001,MATCH(ROWS($AH$2:AH523),$AH$2:$AH$1001,0),MATCH(COLUMNS($AO$1006:AV1006),$AO$1006:$BQ$1006,0)), HYPERLINK("#",""), HYPERLINK(CONCATENATE("#Metadata!", ADDRESS(INDEX($AJ$2:$AJ$1001,MATCH(ROWS($AH$2:AH523),$AH$2:$AH$1001,0),0), INDEX($AO$1004:$BQ$1004,1,MATCH(COLUMNS($AO$1006:AV1006),$AO$1006:$BQ$1006,0)))),"Fix")))</f>
        <v>#N/A</v>
      </c>
      <c r="J523" s="5" t="e">
        <f ca="1">IF(OR(INDEX($AI$2:$AI$1001,MATCH(ROWS($AH$2:AH523),$AH$2:$AH$1001,0),1)&gt;=100000,INDEX($AO$1005:$BQ$1005,1,MATCH(COLUMNS($AO$1006:AW1006),$AO$1006:$BQ$1006,0))&gt;=100000), " ",IF(INDEX($AO$2:$BQ$1001,MATCH(ROWS($AH$2:AH523),$AH$2:$AH$1001,0),MATCH(COLUMNS($AO$1006:AW1006),$AO$1006:$BQ$1006,0)), HYPERLINK("#",""), HYPERLINK(CONCATENATE("#Metadata!", ADDRESS(INDEX($AJ$2:$AJ$1001,MATCH(ROWS($AH$2:AH523),$AH$2:$AH$1001,0),0), INDEX($AO$1004:$BQ$1004,1,MATCH(COLUMNS($AO$1006:AW1006),$AO$1006:$BQ$1006,0)))),"Fix")))</f>
        <v>#N/A</v>
      </c>
      <c r="K523" s="5" t="e">
        <f ca="1">IF(OR(INDEX($AI$2:$AI$1001,MATCH(ROWS($AH$2:AH523),$AH$2:$AH$1001,0),1)&gt;=100000,INDEX($AO$1005:$BQ$1005,1,MATCH(COLUMNS($AO$1006:AX1006),$AO$1006:$BQ$1006,0))&gt;=100000), " ",IF(INDEX($AO$2:$BQ$1001,MATCH(ROWS($AH$2:AH523),$AH$2:$AH$1001,0),MATCH(COLUMNS($AO$1006:AX1006),$AO$1006:$BQ$1006,0)), HYPERLINK("#",""), HYPERLINK(CONCATENATE("#Metadata!", ADDRESS(INDEX($AJ$2:$AJ$1001,MATCH(ROWS($AH$2:AH523),$AH$2:$AH$1001,0),0), INDEX($AO$1004:$BQ$1004,1,MATCH(COLUMNS($AO$1006:AX1006),$AO$1006:$BQ$1006,0)))),"Fix")))</f>
        <v>#N/A</v>
      </c>
      <c r="L523" s="5" t="e">
        <f ca="1">IF(OR(INDEX($AI$2:$AI$1001,MATCH(ROWS($AH$2:AH523),$AH$2:$AH$1001,0),1)&gt;=100000,INDEX($AO$1005:$BQ$1005,1,MATCH(COLUMNS($AO$1006:AY1006),$AO$1006:$BQ$1006,0))&gt;=100000), " ",IF(INDEX($AO$2:$BQ$1001,MATCH(ROWS($AH$2:AH523),$AH$2:$AH$1001,0),MATCH(COLUMNS($AO$1006:AY1006),$AO$1006:$BQ$1006,0)), HYPERLINK("#",""), HYPERLINK(CONCATENATE("#Metadata!", ADDRESS(INDEX($AJ$2:$AJ$1001,MATCH(ROWS($AH$2:AH523),$AH$2:$AH$1001,0),0), INDEX($AO$1004:$BQ$1004,1,MATCH(COLUMNS($AO$1006:AY1006),$AO$1006:$BQ$1006,0)))),"Fix")))</f>
        <v>#N/A</v>
      </c>
      <c r="M523" s="5" t="e">
        <f ca="1">IF(OR(INDEX($AI$2:$AI$1001,MATCH(ROWS($AH$2:AH523),$AH$2:$AH$1001,0),1)&gt;=100000,INDEX($AO$1005:$BQ$1005,1,MATCH(COLUMNS($AO$1006:AZ1006),$AO$1006:$BQ$1006,0))&gt;=100000), " ",IF(INDEX($AO$2:$BQ$1001,MATCH(ROWS($AH$2:AH523),$AH$2:$AH$1001,0),MATCH(COLUMNS($AO$1006:AZ1006),$AO$1006:$BQ$1006,0)), HYPERLINK("#",""), HYPERLINK(CONCATENATE("#Metadata!", ADDRESS(INDEX($AJ$2:$AJ$1001,MATCH(ROWS($AH$2:AH523),$AH$2:$AH$1001,0),0), INDEX($AO$1004:$BQ$1004,1,MATCH(COLUMNS($AO$1006:AZ1006),$AO$1006:$BQ$1006,0)))),"Fix")))</f>
        <v>#N/A</v>
      </c>
      <c r="N523" s="5" t="e">
        <f ca="1">IF(OR(INDEX($AI$2:$AI$1001,MATCH(ROWS($AH$2:AH523),$AH$2:$AH$1001,0),1)&gt;=100000,INDEX($AO$1005:$BQ$1005,1,MATCH(COLUMNS($AO$1006:BA1006),$AO$1006:$BQ$1006,0))&gt;=100000), " ",IF(INDEX($AO$2:$BQ$1001,MATCH(ROWS($AH$2:AH523),$AH$2:$AH$1001,0),MATCH(COLUMNS($AO$1006:BA1006),$AO$1006:$BQ$1006,0)), HYPERLINK("#",""), HYPERLINK(CONCATENATE("#Metadata!", ADDRESS(INDEX($AJ$2:$AJ$1001,MATCH(ROWS($AH$2:AH523),$AH$2:$AH$1001,0),0), INDEX($AO$1004:$BQ$1004,1,MATCH(COLUMNS($AO$1006:BA1006),$AO$1006:$BQ$1006,0)))),"Fix")))</f>
        <v>#N/A</v>
      </c>
      <c r="O523" s="5" t="e">
        <f ca="1">IF(OR(INDEX($AI$2:$AI$1001,MATCH(ROWS($AH$2:AH523),$AH$2:$AH$1001,0),1)&gt;=100000,INDEX($AO$1005:$BQ$1005,1,MATCH(COLUMNS($AO$1006:BB1006),$AO$1006:$BQ$1006,0))&gt;=100000), " ",IF(INDEX($AO$2:$BQ$1001,MATCH(ROWS($AH$2:AH523),$AH$2:$AH$1001,0),MATCH(COLUMNS($AO$1006:BB1006),$AO$1006:$BQ$1006,0)), HYPERLINK("#",""), HYPERLINK(CONCATENATE("#Metadata!", ADDRESS(INDEX($AJ$2:$AJ$1001,MATCH(ROWS($AH$2:AH523),$AH$2:$AH$1001,0),0), INDEX($AO$1004:$BQ$1004,1,MATCH(COLUMNS($AO$1006:BB1006),$AO$1006:$BQ$1006,0)))),"Fix")))</f>
        <v>#N/A</v>
      </c>
      <c r="P523" s="5" t="e">
        <f ca="1">IF(OR(INDEX($AI$2:$AI$1001,MATCH(ROWS($AH$2:AH523),$AH$2:$AH$1001,0),1)&gt;=100000,INDEX($AO$1005:$BQ$1005,1,MATCH(COLUMNS($AO$1006:BC1006),$AO$1006:$BQ$1006,0))&gt;=100000), " ",IF(INDEX($AO$2:$BQ$1001,MATCH(ROWS($AH$2:AH523),$AH$2:$AH$1001,0),MATCH(COLUMNS($AO$1006:BC1006),$AO$1006:$BQ$1006,0)), HYPERLINK("#",""), HYPERLINK(CONCATENATE("#Metadata!", ADDRESS(INDEX($AJ$2:$AJ$1001,MATCH(ROWS($AH$2:AH523),$AH$2:$AH$1001,0),0), INDEX($AO$1004:$BQ$1004,1,MATCH(COLUMNS($AO$1006:BC1006),$AO$1006:$BQ$1006,0)))),"Fix")))</f>
        <v>#N/A</v>
      </c>
      <c r="Q523" s="5" t="e">
        <f ca="1">IF(OR(INDEX($AI$2:$AI$1001,MATCH(ROWS($AH$2:AH523),$AH$2:$AH$1001,0),1)&gt;=100000,INDEX($AO$1005:$BQ$1005,1,MATCH(COLUMNS($AO$1006:BD1006),$AO$1006:$BQ$1006,0))&gt;=100000), " ",IF(INDEX($AO$2:$BQ$1001,MATCH(ROWS($AH$2:AH523),$AH$2:$AH$1001,0),MATCH(COLUMNS($AO$1006:BD1006),$AO$1006:$BQ$1006,0)), HYPERLINK("#",""), HYPERLINK(CONCATENATE("#Metadata!", ADDRESS(INDEX($AJ$2:$AJ$1001,MATCH(ROWS($AH$2:AH523),$AH$2:$AH$1001,0),0), INDEX($AO$1004:$BQ$1004,1,MATCH(COLUMNS($AO$1006:BD1006),$AO$1006:$BQ$1006,0)))),"Fix")))</f>
        <v>#N/A</v>
      </c>
      <c r="R523" s="5" t="e">
        <f ca="1">IF(OR(INDEX($AI$2:$AI$1001,MATCH(ROWS($AH$2:AH523),$AH$2:$AH$1001,0),1)&gt;=100000,INDEX($AO$1005:$BQ$1005,1,MATCH(COLUMNS($AO$1006:BE1006),$AO$1006:$BQ$1006,0))&gt;=100000), " ",IF(INDEX($AO$2:$BQ$1001,MATCH(ROWS($AH$2:AH523),$AH$2:$AH$1001,0),MATCH(COLUMNS($AO$1006:BE1006),$AO$1006:$BQ$1006,0)), HYPERLINK("#",""), HYPERLINK(CONCATENATE("#Metadata!", ADDRESS(INDEX($AJ$2:$AJ$1001,MATCH(ROWS($AH$2:AH523),$AH$2:$AH$1001,0),0), INDEX($AO$1004:$BQ$1004,1,MATCH(COLUMNS($AO$1006:BE1006),$AO$1006:$BQ$1006,0)))),"Fix")))</f>
        <v>#N/A</v>
      </c>
      <c r="S523" s="5" t="e">
        <f ca="1">IF(OR(INDEX($AI$2:$AI$1001,MATCH(ROWS($AH$2:AH523),$AH$2:$AH$1001,0),1)&gt;=100000,INDEX($AO$1005:$BQ$1005,1,MATCH(COLUMNS($AO$1006:BF1006),$AO$1006:$BQ$1006,0))&gt;=100000), " ",IF(INDEX($AO$2:$BQ$1001,MATCH(ROWS($AH$2:AH523),$AH$2:$AH$1001,0),MATCH(COLUMNS($AO$1006:BF1006),$AO$1006:$BQ$1006,0)), HYPERLINK("#",""), HYPERLINK(CONCATENATE("#Metadata!", ADDRESS(INDEX($AJ$2:$AJ$1001,MATCH(ROWS($AH$2:AH523),$AH$2:$AH$1001,0),0), INDEX($AO$1004:$BQ$1004,1,MATCH(COLUMNS($AO$1006:BF1006),$AO$1006:$BQ$1006,0)))),"Fix")))</f>
        <v>#N/A</v>
      </c>
      <c r="T523" s="5" t="e">
        <f ca="1">IF(OR(INDEX($AI$2:$AI$1001,MATCH(ROWS($AH$2:AH523),$AH$2:$AH$1001,0),1)&gt;=100000,INDEX($AO$1005:$BQ$1005,1,MATCH(COLUMNS($AO$1006:BG1006),$AO$1006:$BQ$1006,0))&gt;=100000), " ",IF(INDEX($AO$2:$BQ$1001,MATCH(ROWS($AH$2:AH523),$AH$2:$AH$1001,0),MATCH(COLUMNS($AO$1006:BG1006),$AO$1006:$BQ$1006,0)), HYPERLINK("#",""), HYPERLINK(CONCATENATE("#Metadata!", ADDRESS(INDEX($AJ$2:$AJ$1001,MATCH(ROWS($AH$2:AH523),$AH$2:$AH$1001,0),0), INDEX($AO$1004:$BQ$1004,1,MATCH(COLUMNS($AO$1006:BG1006),$AO$1006:$BQ$1006,0)))),"Fix")))</f>
        <v>#N/A</v>
      </c>
      <c r="U523" s="5" t="e">
        <f ca="1">IF(OR(INDEX($AI$2:$AI$1001,MATCH(ROWS($AH$2:AH523),$AH$2:$AH$1001,0),1)&gt;=100000,INDEX($AO$1005:$BQ$1005,1,MATCH(COLUMNS($AO$1006:BH1006),$AO$1006:$BQ$1006,0))&gt;=100000), " ",IF(INDEX($AO$2:$BQ$1001,MATCH(ROWS($AH$2:AH523),$AH$2:$AH$1001,0),MATCH(COLUMNS($AO$1006:BH1006),$AO$1006:$BQ$1006,0)), HYPERLINK("#",""), HYPERLINK(CONCATENATE("#Metadata!", ADDRESS(INDEX($AJ$2:$AJ$1001,MATCH(ROWS($AH$2:AH523),$AH$2:$AH$1001,0),0), INDEX($AO$1004:$BQ$1004,1,MATCH(COLUMNS($AO$1006:BH1006),$AO$1006:$BQ$1006,0)))),"Fix")))</f>
        <v>#N/A</v>
      </c>
      <c r="V523" s="5" t="e">
        <f ca="1">IF(OR(INDEX($AI$2:$AI$1001,MATCH(ROWS($AH$2:AH523),$AH$2:$AH$1001,0),1)&gt;=100000,INDEX($AO$1005:$BQ$1005,1,MATCH(COLUMNS($AO$1006:BI1006),$AO$1006:$BQ$1006,0))&gt;=100000), " ",IF(INDEX($AO$2:$BQ$1001,MATCH(ROWS($AH$2:AH523),$AH$2:$AH$1001,0),MATCH(COLUMNS($AO$1006:BI1006),$AO$1006:$BQ$1006,0)), HYPERLINK("#",""), HYPERLINK(CONCATENATE("#Metadata!", ADDRESS(INDEX($AJ$2:$AJ$1001,MATCH(ROWS($AH$2:AH523),$AH$2:$AH$1001,0),0), INDEX($AO$1004:$BQ$1004,1,MATCH(COLUMNS($AO$1006:BI1006),$AO$1006:$BQ$1006,0)))),"Fix")))</f>
        <v>#N/A</v>
      </c>
      <c r="W523" s="5" t="e">
        <f ca="1">IF(OR(INDEX($AI$2:$AI$1001,MATCH(ROWS($AH$2:AH523),$AH$2:$AH$1001,0),1)&gt;=100000,INDEX($AO$1005:$BQ$1005,1,MATCH(COLUMNS($AO$1006:BJ1006),$AO$1006:$BQ$1006,0))&gt;=100000), " ",IF(INDEX($AO$2:$BQ$1001,MATCH(ROWS($AH$2:AH523),$AH$2:$AH$1001,0),MATCH(COLUMNS($AO$1006:BJ1006),$AO$1006:$BQ$1006,0)), HYPERLINK("#",""), HYPERLINK(CONCATENATE("#Metadata!", ADDRESS(INDEX($AJ$2:$AJ$1001,MATCH(ROWS($AH$2:AH523),$AH$2:$AH$1001,0),0), INDEX($AO$1004:$BQ$1004,1,MATCH(COLUMNS($AO$1006:BJ1006),$AO$1006:$BQ$1006,0)))),"Fix")))</f>
        <v>#N/A</v>
      </c>
      <c r="X523" s="5" t="e">
        <f ca="1">IF(OR(INDEX($AI$2:$AI$1001,MATCH(ROWS($AH$2:AH523),$AH$2:$AH$1001,0),1)&gt;=100000,INDEX($AO$1005:$BQ$1005,1,MATCH(COLUMNS($AO$1006:BK1006),$AO$1006:$BQ$1006,0))&gt;=100000), " ",IF(INDEX($AO$2:$BQ$1001,MATCH(ROWS($AH$2:AH523),$AH$2:$AH$1001,0),MATCH(COLUMNS($AO$1006:BK1006),$AO$1006:$BQ$1006,0)), HYPERLINK("#",""), HYPERLINK(CONCATENATE("#Metadata!", ADDRESS(INDEX($AJ$2:$AJ$1001,MATCH(ROWS($AH$2:AH523),$AH$2:$AH$1001,0),0), INDEX($AO$1004:$BQ$1004,1,MATCH(COLUMNS($AO$1006:BK1006),$AO$1006:$BQ$1006,0)))),"Fix")))</f>
        <v>#N/A</v>
      </c>
      <c r="Y523" s="5" t="e">
        <f ca="1">IF(OR(INDEX($AI$2:$AI$1001,MATCH(ROWS($AH$2:AH523),$AH$2:$AH$1001,0),1)&gt;=100000,INDEX($AO$1005:$BQ$1005,1,MATCH(COLUMNS($AO$1006:BL1006),$AO$1006:$BQ$1006,0))&gt;=100000), " ",IF(INDEX($AO$2:$BQ$1001,MATCH(ROWS($AH$2:AH523),$AH$2:$AH$1001,0),MATCH(COLUMNS($AO$1006:BL1006),$AO$1006:$BQ$1006,0)), HYPERLINK("#",""), HYPERLINK(CONCATENATE("#Metadata!", ADDRESS(INDEX($AJ$2:$AJ$1001,MATCH(ROWS($AH$2:AH523),$AH$2:$AH$1001,0),0), INDEX($AO$1004:$BQ$1004,1,MATCH(COLUMNS($AO$1006:BL1006),$AO$1006:$BQ$1006,0)))),"Fix")))</f>
        <v>#N/A</v>
      </c>
      <c r="Z523" s="5" t="e">
        <f ca="1">IF(OR(INDEX($AI$2:$AI$1001,MATCH(ROWS($AH$2:AH523),$AH$2:$AH$1001,0),1)&gt;=100000,INDEX($AO$1005:$BQ$1005,1,MATCH(COLUMNS($AO$1006:BM1006),$AO$1006:$BQ$1006,0))&gt;=100000), " ",IF(INDEX($AO$2:$BQ$1001,MATCH(ROWS($AH$2:AH523),$AH$2:$AH$1001,0),MATCH(COLUMNS($AO$1006:BM1006),$AO$1006:$BQ$1006,0)), HYPERLINK("#",""), HYPERLINK(CONCATENATE("#Metadata!", ADDRESS(INDEX($AJ$2:$AJ$1001,MATCH(ROWS($AH$2:AH523),$AH$2:$AH$1001,0),0), INDEX($AO$1004:$BQ$1004,1,MATCH(COLUMNS($AO$1006:BM1006),$AO$1006:$BQ$1006,0)))),"Fix")))</f>
        <v>#N/A</v>
      </c>
      <c r="AA523" s="5" t="e">
        <f ca="1">IF(OR(INDEX($AI$2:$AI$1001,MATCH(ROWS($AH$2:AH523),$AH$2:$AH$1001,0),1)&gt;=100000,INDEX($AO$1005:$BQ$1005,1,MATCH(COLUMNS($AO$1006:BN1006),$AO$1006:$BQ$1006,0))&gt;=100000), " ",IF(INDEX($AO$2:$BQ$1001,MATCH(ROWS($AH$2:AH523),$AH$2:$AH$1001,0),MATCH(COLUMNS($AO$1006:BN1006),$AO$1006:$BQ$1006,0)), HYPERLINK("#",""), HYPERLINK(CONCATENATE("#Metadata!", ADDRESS(INDEX($AJ$2:$AJ$1001,MATCH(ROWS($AH$2:AH523),$AH$2:$AH$1001,0),0), INDEX($AO$1004:$BQ$1004,1,MATCH(COLUMNS($AO$1006:BN1006),$AO$1006:$BQ$1006,0)))),"Fix")))</f>
        <v>#N/A</v>
      </c>
      <c r="AB523" s="5" t="e">
        <f ca="1">IF(OR(INDEX($AI$2:$AI$1001,MATCH(ROWS($AH$2:AH523),$AH$2:$AH$1001,0),1)&gt;=100000,INDEX($AO$1005:$BQ$1005,1,MATCH(COLUMNS($AO$1006:BO1006),$AO$1006:$BQ$1006,0))&gt;=100000), " ",IF(INDEX($AO$2:$BQ$1001,MATCH(ROWS($AH$2:AH523),$AH$2:$AH$1001,0),MATCH(COLUMNS($AO$1006:BO1006),$AO$1006:$BQ$1006,0)), HYPERLINK("#",""), HYPERLINK(CONCATENATE("#Metadata!", ADDRESS(INDEX($AJ$2:$AJ$1001,MATCH(ROWS($AH$2:AH523),$AH$2:$AH$1001,0),0), INDEX($AO$1004:$BQ$1004,1,MATCH(COLUMNS($AO$1006:BO1006),$AO$1006:$BQ$1006,0)))),"Fix")))</f>
        <v>#N/A</v>
      </c>
      <c r="AC523" s="5" t="e">
        <f ca="1">IF(OR(INDEX($AI$2:$AI$1001,MATCH(ROWS($AH$2:AH523),$AH$2:$AH$1001,0),1)&gt;=100000,INDEX($AO$1005:$BQ$1005,1,MATCH(COLUMNS($AO$1006:BP1006),$AO$1006:$BQ$1006,0))&gt;=100000), " ",IF(INDEX($AO$2:$BQ$1001,MATCH(ROWS($AH$2:AH523),$AH$2:$AH$1001,0),MATCH(COLUMNS($AO$1006:BP1006),$AO$1006:$BQ$1006,0)), HYPERLINK("#",""), HYPERLINK(CONCATENATE("#Metadata!", ADDRESS(INDEX($AJ$2:$AJ$1001,MATCH(ROWS($AH$2:AH523),$AH$2:$AH$1001,0),0), INDEX($AO$1004:$BQ$1004,1,MATCH(COLUMNS($AO$1006:BP1006),$AO$1006:$BQ$1006,0)))),"Fix")))</f>
        <v>#N/A</v>
      </c>
      <c r="AD523" s="5" t="e">
        <f ca="1">IF(OR(INDEX($AI$2:$AI$1001,MATCH(ROWS($AH$2:AH523),$AH$2:$AH$1001,0),1)&gt;=100000,INDEX($AO$1005:$BQ$1005,1,MATCH(COLUMNS($AO$1006:BQ1006),$AO$1006:$BQ$1006,0))&gt;=100000), " ",IF(INDEX($AO$2:$BQ$1001,MATCH(ROWS($AH$2:AH523),$AH$2:$AH$1001,0),MATCH(COLUMNS($AO$1006:BQ1006),$AO$1006:$BQ$1006,0)), HYPERLINK("#",""), HYPERLINK(CONCATENATE("#Metadata!", ADDRESS(INDEX($AJ$2:$AJ$1001,MATCH(ROWS($AH$2:AH523),$AH$2:$AH$1001,0),0), INDEX($AO$1004:$BQ$1004,1,MATCH(COLUMNS($AO$1006:BQ1006),$AO$1006:$BQ$1006,0)))),"Fix")))</f>
        <v>#REF!</v>
      </c>
      <c r="AH523">
        <f ca="1"/>
        <v>520</v>
      </c>
      <c r="AI523">
        <v>100523</v>
      </c>
      <c r="AJ523">
        <v>523</v>
      </c>
      <c r="AK523" t="b">
        <f t="shared" si="8"/>
        <v>1</v>
      </c>
      <c r="AL523" t="b">
        <f>COUNTBLANK(Metadata!B523:AD523)=COLUMNS(Metadata!B523:AD523)</f>
        <v>1</v>
      </c>
      <c r="AM523" t="str">
        <v/>
      </c>
      <c r="AO523" t="b">
        <f ca="1">AND(IF(Metadata!B523="",FALSE,TRUE),COUNTIF(Metadata!B:B, Metadata!B523) = 1,NOT(ISERROR(SUMPRODUCT(SEARCH(MID(Metadata!B523,ROW(INDIRECT("1:"&amp;LEN(Metadata!B523))), 1),"0123456789abcdefghijklmnopqrstuvwxyzABCDEFGHIJKLMNOPQRSTUVWXYZ.")))))</f>
        <v>0</v>
      </c>
      <c r="AP523" t="b">
        <f>IF(Metadata!C523="",FALSE,TRUE)</f>
        <v>0</v>
      </c>
      <c r="AQ523" t="b">
        <f>IF(Metadata!D523="",FALSE,TRUE)</f>
        <v>0</v>
      </c>
      <c r="AR523" t="b">
        <f ca="1">OR(AND(IF(Metadata!E523="",FALSE,TRUE),OR(EXACT(Metadata!E523,"not collected"),EXACT(Metadata!E523,"not provided"),EXACT(Metadata!E523,"restricted access"))),AND(IF(Metadata!E523="",FALSE,TRUE),AND(AND(IFERROR(INT(LEFT(Metadata!E523,4))&gt;1900,FALSE),IFERROR(INT(LEFT(Metadata!E523,4))&lt;=YEAR(NOW()),FALSE)), OR(MID(Metadata!E523,5,1)="", AND(AND(MID(Metadata!E523,5,1)="-",IFERROR(INT(MID(Metadata!E523,6,1))&gt;=0,FALSE),IFERROR(INT(MID(Metadata!E523,6,1))&lt;=1,FALSE),NOT(MID(Metadata!E523,7,1)=""),IFERROR(INT(MID(Metadata!E523,6,2))&gt;=1,FALSE),IFERROR(INT(MID(Metadata!E523,6,2))&lt;=12,FALSE)), OR(MID(Metadata!E523,8,1)="", AND(AND(MID(Metadata!E523,8,1)="-",IFERROR(INT(MID(Metadata!E523,9,1))&gt;=0,FALSE),IFERROR(INT(MID(Metadata!E523,9,1))&lt;=3,FALSE),NOT(MID(Metadata!E523,10,1)=""),IFERROR(INT(MID(Metadata!E523,9,2))&gt;=1,FALSE),IFERROR(INT(MID(Metadata!E523,9,2))&lt;=31,FALSE)), OR(MID(Metadata!E523,11,1)="", AND(AND(MID(Metadata!E523,11,1)=" ",IFERROR(INT(MID(Metadata!E523,12,1))&gt;=0,FALSE),IFERROR(INT(MID(Metadata!E523,12,1))&lt;=2,FALSE),NOT(MID(Metadata!E523,13,1)=""),IFERROR(INT(MID(Metadata!E523,12,2))&gt;=0,FALSE),IFERROR(INT(MID(Metadata!E523,12,2))&lt;=23,FALSE)), OR(MID(Metadata!E523,14,1)="", AND(AND(MID(Metadata!E523,14,1)=":",IFERROR(INT(MID(Metadata!E523,15,1))&gt;=0,FALSE),IFERROR(INT(MID(Metadata!E523,15,1))&lt;=5,FALSE),NOT(MID(Metadata!E523,16,1)=""),IFERROR(INT(MID(Metadata!E523,15,2))&gt;=0,FALSE),IFERROR(INT(MID(Metadata!E523,15,2))&lt;=59,FALSE)), OR(MID(Metadata!E523,17,1)="", AND(AND(MID(Metadata!E523,17,1)=":",IFERROR(INT(MID(Metadata!E523,18,1))&gt;=0,FALSE),IFERROR(INT(MID(Metadata!E523,18,1))&lt;=5,FALSE),NOT(MID(Metadata!E523,19,1)=""),IFERROR(INT(MID(Metadata!E523,18,2))&gt;=0,FALSE),IFERROR(INT(MID(Metadata!E523,18,2))&lt;=59,FALSE)), LEN(Metadata!E523)&lt;=19)))))))))))))</f>
        <v>0</v>
      </c>
      <c r="AS523" t="b">
        <f>IF(Metadata!F523="",FALSE,TRUE)</f>
        <v>0</v>
      </c>
      <c r="AT523" t="b">
        <f>OR(AND(IF(Metadata!G523="",FALSE,TRUE),OR(EXACT(Metadata!G523,"not collected"),EXACT(Metadata!G523,"not provided"))),AND(IF(Metadata!G523="",FALSE,TRUE),OR(EXACT(Metadata!G523,"TRUE"),EXACT(Metadata!G523,"FALSE"))))</f>
        <v>0</v>
      </c>
      <c r="AU523" t="b">
        <f>OR(AND(IF(Metadata!H523="",FALSE,TRUE),OR(EXACT(Metadata!H523,"not collected"),EXACT(Metadata!H523,"not provided"),EXACT(Metadata!H523,"restricted access"))),AND(IF(Metadata!H523="",FALSE,ISNUMBER(VALUE(Metadata!H523))),Metadata!H523&gt;=-413))</f>
        <v>0</v>
      </c>
      <c r="AV523" t="b">
        <f>AND(IF(Metadata!I523="",FALSE,TRUE),EXACT(Metadata!I523,"meters"))</f>
        <v>0</v>
      </c>
      <c r="AW523" t="b">
        <f>AND(IF(Metadata!J523="",FALSE,TRUE),EXACT(Metadata!J523,"free-living"))</f>
        <v>0</v>
      </c>
      <c r="AX523" t="b">
        <f>AND(IF(Metadata!K523="",FALSE,TRUE),OR(EXACT(Metadata!K523,"saline"),EXACT(Metadata!K523,"non-saline")))</f>
        <v>0</v>
      </c>
      <c r="AY523" t="b">
        <f>AND(IF(Metadata!L523="",FALSE,TRUE),OR(EXACT(Metadata!L523,"sub-surface (non-saline)"),EXACT(Metadata!L523,"surface (non-saline)"),EXACT(Metadata!L523,"water (non-saline)"),EXACT(Metadata!L523,"soil (non-saline)"),EXACT(Metadata!L523,"aerosol (non-saline)"),EXACT(Metadata!L523,"sediment (non-saline)"),EXACT(Metadata!L523,"surface (saline)"),EXACT(Metadata!L523,"water (saline)"),EXACT(Metadata!L523,"hypersaline (saline)"),EXACT(Metadata!L523,"aerosol (saline)"),EXACT(Metadata!L523,"sediment (saline)")))</f>
        <v>0</v>
      </c>
      <c r="AZ523" t="b">
        <f>IF(Metadata!M523="",FALSE,TRUE)</f>
        <v>0</v>
      </c>
      <c r="BA523" t="b">
        <f>IF(Metadata!N523="",FALSE,TRUE)</f>
        <v>0</v>
      </c>
      <c r="BB523" t="b">
        <f>IF(Metadata!O523="",FALSE,TRUE)</f>
        <v>0</v>
      </c>
      <c r="BC523" t="b">
        <f>AND(IF(Metadata!P523="",FALSE,TRUE),OR(EXACT(Metadata!P523,"air"),EXACT(Metadata!P523,"microbial mat/biofilm"),EXACT(Metadata!P523,"misc environment"),EXACT(Metadata!P523,"sediment"),EXACT(Metadata!P523,"soil"),EXACT(Metadata!P523,"wastewater/sludge"),EXACT(Metadata!P523,"water")))</f>
        <v>0</v>
      </c>
      <c r="BD523" t="b">
        <f>IF(Metadata!Q523="",FALSE,TRUE)</f>
        <v>0</v>
      </c>
      <c r="BE523" t="b">
        <f>IF(Metadata!R523="",FALSE,TRUE)</f>
        <v>0</v>
      </c>
      <c r="BF523" t="b">
        <f>OR(AND(IF(Metadata!S523="",FALSE,TRUE),OR(EXACT(Metadata!S523,"not collected"),EXACT(Metadata!S523,"not provided"),EXACT(Metadata!S523,"restricted access"))),AND(IF(Metadata!S523="",FALSE,ISNUMBER(VALUE(Metadata!S523))),Metadata!S523&gt;=-90,Metadata!S523&lt;=90))</f>
        <v>0</v>
      </c>
      <c r="BG523" t="b">
        <f>AND(IF(Metadata!T523="",FALSE,TRUE),EXACT(Metadata!T523,"Decimal degrees"))</f>
        <v>0</v>
      </c>
      <c r="BH523" t="b">
        <f>OR(AND(IF(Metadata!U523="",FALSE,TRUE),OR(EXACT(Metadata!U523,"not applicable"),EXACT(Metadata!U523,"not collected"))),IF(Metadata!U523="",FALSE,TRUE))</f>
        <v>0</v>
      </c>
      <c r="BI523" t="b">
        <f>OR(AND(IF(Metadata!V523="",FALSE,TRUE),OR(EXACT(Metadata!V523,"not collected"),EXACT(Metadata!V523,"not provided"),EXACT(Metadata!V523,"restricted access"))),AND(IF(Metadata!V523="",FALSE,ISNUMBER(VALUE(Metadata!V523))),Metadata!V523&gt;=-180,Metadata!V523&lt;=180))</f>
        <v>0</v>
      </c>
      <c r="BJ523" t="b">
        <f>AND(IF(Metadata!W523="",FALSE,TRUE),EXACT(Metadata!W523,"Decimal degrees"))</f>
        <v>0</v>
      </c>
      <c r="BK523" t="b">
        <f>IF(Metadata!X523="",FALSE,TRUE)</f>
        <v>0</v>
      </c>
      <c r="BL523" t="b">
        <f>OR(AND(IF(Metadata!Y523="",FALSE,TRUE),OR(EXACT(Metadata!Y523,"not collected"),EXACT(Metadata!Y523,"not provided"),EXACT(Metadata!Y523,"restricted access"))),AND(IF(Metadata!Y523="",FALSE,TRUE),OR(EXACT(Metadata!Y523,"TRUE"),EXACT(Metadata!Y523,"FALSE"))))</f>
        <v>0</v>
      </c>
      <c r="BM523" t="b">
        <f>OR(AND(IF(Metadata!Z523="",FALSE,TRUE),EXACT(Metadata!Z523,"not applicable")),AND(IF(Metadata!Z523="",FALSE,TRUE),OR(EXACT(Metadata!Z523,"beer"),EXACT(Metadata!Z523,"cheese"),EXACT(Metadata!Z523,"fresh water"),EXACT(Metadata!Z523,"marine sediment"),EXACT(Metadata!Z523,"sea water"),EXACT(Metadata!Z523,"sediment"),EXACT(Metadata!Z523,"soil"),EXACT(Metadata!Z523,"waste water"))))</f>
        <v>0</v>
      </c>
      <c r="BN523" t="b">
        <f>AND(IF(Metadata!AA523="",FALSE,TRUE),EXACT(Metadata!AA523,"metagenome"))</f>
        <v>0</v>
      </c>
      <c r="BO523" t="b">
        <f>AND(IF(Metadata!AB523="",FALSE,TRUE),EXACT(Metadata!AB523,"256318"))</f>
        <v>0</v>
      </c>
      <c r="BP523" t="b">
        <f>IF(Metadata!AC523="",FALSE,TRUE)</f>
        <v>0</v>
      </c>
      <c r="BQ523" t="b">
        <f>IF(Metadata!AD523="",FALSE,TRUE)</f>
        <v>0</v>
      </c>
    </row>
    <row r="524" spans="1:69" x14ac:dyDescent="0.2">
      <c r="A524" s="4" t="e">
        <f ca="1">IF(B524=" "," ",HYPERLINK(CONCATENATE("#metadata!",ADDRESS(INDEX($AJ$2:$AJ$1001,MATCH(ROWS($AH$2:AH524),$AH$2:$AH$1001,0),0),2)),INDEX($AM$2:$AM$1001,MATCH(ROWS($AH$2:AH524),$AH$2:$AH$1001,0),0)))</f>
        <v>#N/A</v>
      </c>
      <c r="B524" s="5" t="e">
        <f ca="1">IF(OR(INDEX($AI$2:$AI$1001,MATCH(ROWS($AH$2:AH524),$AH$2:$AH$1001,0),1)&gt;=100000,INDEX($AO$1005:$BQ$1005,1,MATCH(COLUMNS($AO$1006:AO1006),$AO$1006:$BQ$1006,0))&gt;=100000), " ",IF(INDEX($AO$2:$BQ$1001,MATCH(ROWS($AH$2:AH524),$AH$2:$AH$1001,0),MATCH(COLUMNS($AO$1006:AO1006),$AO$1006:$BQ$1006,0)), HYPERLINK("#",""), HYPERLINK(CONCATENATE("#Metadata!", ADDRESS(INDEX($AJ$2:$AJ$1001,MATCH(ROWS($AH$2:AH524),$AH$2:$AH$1001,0),0), INDEX($AO$1004:$BQ$1004,1,MATCH(COLUMNS($AO$1006:AO1006),$AO$1006:$BQ$1006,0)))),"Fix")))</f>
        <v>#N/A</v>
      </c>
      <c r="C524" s="5" t="e">
        <f ca="1">IF(OR(INDEX($AI$2:$AI$1001,MATCH(ROWS($AH$2:AH524),$AH$2:$AH$1001,0),1)&gt;=100000,INDEX($AO$1005:$BQ$1005,1,MATCH(COLUMNS($AO$1006:AP1006),$AO$1006:$BQ$1006,0))&gt;=100000), " ",IF(INDEX($AO$2:$BQ$1001,MATCH(ROWS($AH$2:AH524),$AH$2:$AH$1001,0),MATCH(COLUMNS($AO$1006:AP1006),$AO$1006:$BQ$1006,0)), HYPERLINK("#",""), HYPERLINK(CONCATENATE("#Metadata!", ADDRESS(INDEX($AJ$2:$AJ$1001,MATCH(ROWS($AH$2:AH524),$AH$2:$AH$1001,0),0), INDEX($AO$1004:$BQ$1004,1,MATCH(COLUMNS($AO$1006:AP1006),$AO$1006:$BQ$1006,0)))),"Fix")))</f>
        <v>#N/A</v>
      </c>
      <c r="D524" s="5" t="e">
        <f ca="1">IF(OR(INDEX($AI$2:$AI$1001,MATCH(ROWS($AH$2:AH524),$AH$2:$AH$1001,0),1)&gt;=100000,INDEX($AO$1005:$BQ$1005,1,MATCH(COLUMNS($AO$1006:AQ1006),$AO$1006:$BQ$1006,0))&gt;=100000), " ",IF(INDEX($AO$2:$BQ$1001,MATCH(ROWS($AH$2:AH524),$AH$2:$AH$1001,0),MATCH(COLUMNS($AO$1006:AQ1006),$AO$1006:$BQ$1006,0)), HYPERLINK("#",""), HYPERLINK(CONCATENATE("#Metadata!", ADDRESS(INDEX($AJ$2:$AJ$1001,MATCH(ROWS($AH$2:AH524),$AH$2:$AH$1001,0),0), INDEX($AO$1004:$BQ$1004,1,MATCH(COLUMNS($AO$1006:AQ1006),$AO$1006:$BQ$1006,0)))),"Fix")))</f>
        <v>#N/A</v>
      </c>
      <c r="E524" s="5" t="e">
        <f ca="1">IF(OR(INDEX($AI$2:$AI$1001,MATCH(ROWS($AH$2:AH524),$AH$2:$AH$1001,0),1)&gt;=100000,INDEX($AO$1005:$BQ$1005,1,MATCH(COLUMNS($AO$1006:AR1006),$AO$1006:$BQ$1006,0))&gt;=100000), " ",IF(INDEX($AO$2:$BQ$1001,MATCH(ROWS($AH$2:AH524),$AH$2:$AH$1001,0),MATCH(COLUMNS($AO$1006:AR1006),$AO$1006:$BQ$1006,0)), HYPERLINK("#",""), HYPERLINK(CONCATENATE("#Metadata!", ADDRESS(INDEX($AJ$2:$AJ$1001,MATCH(ROWS($AH$2:AH524),$AH$2:$AH$1001,0),0), INDEX($AO$1004:$BQ$1004,1,MATCH(COLUMNS($AO$1006:AR1006),$AO$1006:$BQ$1006,0)))),"Fix")))</f>
        <v>#N/A</v>
      </c>
      <c r="F524" s="5" t="e">
        <f ca="1">IF(OR(INDEX($AI$2:$AI$1001,MATCH(ROWS($AH$2:AH524),$AH$2:$AH$1001,0),1)&gt;=100000,INDEX($AO$1005:$BQ$1005,1,MATCH(COLUMNS($AO$1006:AS1006),$AO$1006:$BQ$1006,0))&gt;=100000), " ",IF(INDEX($AO$2:$BQ$1001,MATCH(ROWS($AH$2:AH524),$AH$2:$AH$1001,0),MATCH(COLUMNS($AO$1006:AS1006),$AO$1006:$BQ$1006,0)), HYPERLINK("#",""), HYPERLINK(CONCATENATE("#Metadata!", ADDRESS(INDEX($AJ$2:$AJ$1001,MATCH(ROWS($AH$2:AH524),$AH$2:$AH$1001,0),0), INDEX($AO$1004:$BQ$1004,1,MATCH(COLUMNS($AO$1006:AS1006),$AO$1006:$BQ$1006,0)))),"Fix")))</f>
        <v>#N/A</v>
      </c>
      <c r="G524" s="5" t="e">
        <f ca="1">IF(OR(INDEX($AI$2:$AI$1001,MATCH(ROWS($AH$2:AH524),$AH$2:$AH$1001,0),1)&gt;=100000,INDEX($AO$1005:$BQ$1005,1,MATCH(COLUMNS($AO$1006:AT1006),$AO$1006:$BQ$1006,0))&gt;=100000), " ",IF(INDEX($AO$2:$BQ$1001,MATCH(ROWS($AH$2:AH524),$AH$2:$AH$1001,0),MATCH(COLUMNS($AO$1006:AT1006),$AO$1006:$BQ$1006,0)), HYPERLINK("#",""), HYPERLINK(CONCATENATE("#Metadata!", ADDRESS(INDEX($AJ$2:$AJ$1001,MATCH(ROWS($AH$2:AH524),$AH$2:$AH$1001,0),0), INDEX($AO$1004:$BQ$1004,1,MATCH(COLUMNS($AO$1006:AT1006),$AO$1006:$BQ$1006,0)))),"Fix")))</f>
        <v>#N/A</v>
      </c>
      <c r="H524" s="5" t="e">
        <f ca="1">IF(OR(INDEX($AI$2:$AI$1001,MATCH(ROWS($AH$2:AH524),$AH$2:$AH$1001,0),1)&gt;=100000,INDEX($AO$1005:$BQ$1005,1,MATCH(COLUMNS($AO$1006:AU1006),$AO$1006:$BQ$1006,0))&gt;=100000), " ",IF(INDEX($AO$2:$BQ$1001,MATCH(ROWS($AH$2:AH524),$AH$2:$AH$1001,0),MATCH(COLUMNS($AO$1006:AU1006),$AO$1006:$BQ$1006,0)), HYPERLINK("#",""), HYPERLINK(CONCATENATE("#Metadata!", ADDRESS(INDEX($AJ$2:$AJ$1001,MATCH(ROWS($AH$2:AH524),$AH$2:$AH$1001,0),0), INDEX($AO$1004:$BQ$1004,1,MATCH(COLUMNS($AO$1006:AU1006),$AO$1006:$BQ$1006,0)))),"Fix")))</f>
        <v>#N/A</v>
      </c>
      <c r="I524" s="5" t="e">
        <f ca="1">IF(OR(INDEX($AI$2:$AI$1001,MATCH(ROWS($AH$2:AH524),$AH$2:$AH$1001,0),1)&gt;=100000,INDEX($AO$1005:$BQ$1005,1,MATCH(COLUMNS($AO$1006:AV1006),$AO$1006:$BQ$1006,0))&gt;=100000), " ",IF(INDEX($AO$2:$BQ$1001,MATCH(ROWS($AH$2:AH524),$AH$2:$AH$1001,0),MATCH(COLUMNS($AO$1006:AV1006),$AO$1006:$BQ$1006,0)), HYPERLINK("#",""), HYPERLINK(CONCATENATE("#Metadata!", ADDRESS(INDEX($AJ$2:$AJ$1001,MATCH(ROWS($AH$2:AH524),$AH$2:$AH$1001,0),0), INDEX($AO$1004:$BQ$1004,1,MATCH(COLUMNS($AO$1006:AV1006),$AO$1006:$BQ$1006,0)))),"Fix")))</f>
        <v>#N/A</v>
      </c>
      <c r="J524" s="5" t="e">
        <f ca="1">IF(OR(INDEX($AI$2:$AI$1001,MATCH(ROWS($AH$2:AH524),$AH$2:$AH$1001,0),1)&gt;=100000,INDEX($AO$1005:$BQ$1005,1,MATCH(COLUMNS($AO$1006:AW1006),$AO$1006:$BQ$1006,0))&gt;=100000), " ",IF(INDEX($AO$2:$BQ$1001,MATCH(ROWS($AH$2:AH524),$AH$2:$AH$1001,0),MATCH(COLUMNS($AO$1006:AW1006),$AO$1006:$BQ$1006,0)), HYPERLINK("#",""), HYPERLINK(CONCATENATE("#Metadata!", ADDRESS(INDEX($AJ$2:$AJ$1001,MATCH(ROWS($AH$2:AH524),$AH$2:$AH$1001,0),0), INDEX($AO$1004:$BQ$1004,1,MATCH(COLUMNS($AO$1006:AW1006),$AO$1006:$BQ$1006,0)))),"Fix")))</f>
        <v>#N/A</v>
      </c>
      <c r="K524" s="5" t="e">
        <f ca="1">IF(OR(INDEX($AI$2:$AI$1001,MATCH(ROWS($AH$2:AH524),$AH$2:$AH$1001,0),1)&gt;=100000,INDEX($AO$1005:$BQ$1005,1,MATCH(COLUMNS($AO$1006:AX1006),$AO$1006:$BQ$1006,0))&gt;=100000), " ",IF(INDEX($AO$2:$BQ$1001,MATCH(ROWS($AH$2:AH524),$AH$2:$AH$1001,0),MATCH(COLUMNS($AO$1006:AX1006),$AO$1006:$BQ$1006,0)), HYPERLINK("#",""), HYPERLINK(CONCATENATE("#Metadata!", ADDRESS(INDEX($AJ$2:$AJ$1001,MATCH(ROWS($AH$2:AH524),$AH$2:$AH$1001,0),0), INDEX($AO$1004:$BQ$1004,1,MATCH(COLUMNS($AO$1006:AX1006),$AO$1006:$BQ$1006,0)))),"Fix")))</f>
        <v>#N/A</v>
      </c>
      <c r="L524" s="5" t="e">
        <f ca="1">IF(OR(INDEX($AI$2:$AI$1001,MATCH(ROWS($AH$2:AH524),$AH$2:$AH$1001,0),1)&gt;=100000,INDEX($AO$1005:$BQ$1005,1,MATCH(COLUMNS($AO$1006:AY1006),$AO$1006:$BQ$1006,0))&gt;=100000), " ",IF(INDEX($AO$2:$BQ$1001,MATCH(ROWS($AH$2:AH524),$AH$2:$AH$1001,0),MATCH(COLUMNS($AO$1006:AY1006),$AO$1006:$BQ$1006,0)), HYPERLINK("#",""), HYPERLINK(CONCATENATE("#Metadata!", ADDRESS(INDEX($AJ$2:$AJ$1001,MATCH(ROWS($AH$2:AH524),$AH$2:$AH$1001,0),0), INDEX($AO$1004:$BQ$1004,1,MATCH(COLUMNS($AO$1006:AY1006),$AO$1006:$BQ$1006,0)))),"Fix")))</f>
        <v>#N/A</v>
      </c>
      <c r="M524" s="5" t="e">
        <f ca="1">IF(OR(INDEX($AI$2:$AI$1001,MATCH(ROWS($AH$2:AH524),$AH$2:$AH$1001,0),1)&gt;=100000,INDEX($AO$1005:$BQ$1005,1,MATCH(COLUMNS($AO$1006:AZ1006),$AO$1006:$BQ$1006,0))&gt;=100000), " ",IF(INDEX($AO$2:$BQ$1001,MATCH(ROWS($AH$2:AH524),$AH$2:$AH$1001,0),MATCH(COLUMNS($AO$1006:AZ1006),$AO$1006:$BQ$1006,0)), HYPERLINK("#",""), HYPERLINK(CONCATENATE("#Metadata!", ADDRESS(INDEX($AJ$2:$AJ$1001,MATCH(ROWS($AH$2:AH524),$AH$2:$AH$1001,0),0), INDEX($AO$1004:$BQ$1004,1,MATCH(COLUMNS($AO$1006:AZ1006),$AO$1006:$BQ$1006,0)))),"Fix")))</f>
        <v>#N/A</v>
      </c>
      <c r="N524" s="5" t="e">
        <f ca="1">IF(OR(INDEX($AI$2:$AI$1001,MATCH(ROWS($AH$2:AH524),$AH$2:$AH$1001,0),1)&gt;=100000,INDEX($AO$1005:$BQ$1005,1,MATCH(COLUMNS($AO$1006:BA1006),$AO$1006:$BQ$1006,0))&gt;=100000), " ",IF(INDEX($AO$2:$BQ$1001,MATCH(ROWS($AH$2:AH524),$AH$2:$AH$1001,0),MATCH(COLUMNS($AO$1006:BA1006),$AO$1006:$BQ$1006,0)), HYPERLINK("#",""), HYPERLINK(CONCATENATE("#Metadata!", ADDRESS(INDEX($AJ$2:$AJ$1001,MATCH(ROWS($AH$2:AH524),$AH$2:$AH$1001,0),0), INDEX($AO$1004:$BQ$1004,1,MATCH(COLUMNS($AO$1006:BA1006),$AO$1006:$BQ$1006,0)))),"Fix")))</f>
        <v>#N/A</v>
      </c>
      <c r="O524" s="5" t="e">
        <f ca="1">IF(OR(INDEX($AI$2:$AI$1001,MATCH(ROWS($AH$2:AH524),$AH$2:$AH$1001,0),1)&gt;=100000,INDEX($AO$1005:$BQ$1005,1,MATCH(COLUMNS($AO$1006:BB1006),$AO$1006:$BQ$1006,0))&gt;=100000), " ",IF(INDEX($AO$2:$BQ$1001,MATCH(ROWS($AH$2:AH524),$AH$2:$AH$1001,0),MATCH(COLUMNS($AO$1006:BB1006),$AO$1006:$BQ$1006,0)), HYPERLINK("#",""), HYPERLINK(CONCATENATE("#Metadata!", ADDRESS(INDEX($AJ$2:$AJ$1001,MATCH(ROWS($AH$2:AH524),$AH$2:$AH$1001,0),0), INDEX($AO$1004:$BQ$1004,1,MATCH(COLUMNS($AO$1006:BB1006),$AO$1006:$BQ$1006,0)))),"Fix")))</f>
        <v>#N/A</v>
      </c>
      <c r="P524" s="5" t="e">
        <f ca="1">IF(OR(INDEX($AI$2:$AI$1001,MATCH(ROWS($AH$2:AH524),$AH$2:$AH$1001,0),1)&gt;=100000,INDEX($AO$1005:$BQ$1005,1,MATCH(COLUMNS($AO$1006:BC1006),$AO$1006:$BQ$1006,0))&gt;=100000), " ",IF(INDEX($AO$2:$BQ$1001,MATCH(ROWS($AH$2:AH524),$AH$2:$AH$1001,0),MATCH(COLUMNS($AO$1006:BC1006),$AO$1006:$BQ$1006,0)), HYPERLINK("#",""), HYPERLINK(CONCATENATE("#Metadata!", ADDRESS(INDEX($AJ$2:$AJ$1001,MATCH(ROWS($AH$2:AH524),$AH$2:$AH$1001,0),0), INDEX($AO$1004:$BQ$1004,1,MATCH(COLUMNS($AO$1006:BC1006),$AO$1006:$BQ$1006,0)))),"Fix")))</f>
        <v>#N/A</v>
      </c>
      <c r="Q524" s="5" t="e">
        <f ca="1">IF(OR(INDEX($AI$2:$AI$1001,MATCH(ROWS($AH$2:AH524),$AH$2:$AH$1001,0),1)&gt;=100000,INDEX($AO$1005:$BQ$1005,1,MATCH(COLUMNS($AO$1006:BD1006),$AO$1006:$BQ$1006,0))&gt;=100000), " ",IF(INDEX($AO$2:$BQ$1001,MATCH(ROWS($AH$2:AH524),$AH$2:$AH$1001,0),MATCH(COLUMNS($AO$1006:BD1006),$AO$1006:$BQ$1006,0)), HYPERLINK("#",""), HYPERLINK(CONCATENATE("#Metadata!", ADDRESS(INDEX($AJ$2:$AJ$1001,MATCH(ROWS($AH$2:AH524),$AH$2:$AH$1001,0),0), INDEX($AO$1004:$BQ$1004,1,MATCH(COLUMNS($AO$1006:BD1006),$AO$1006:$BQ$1006,0)))),"Fix")))</f>
        <v>#N/A</v>
      </c>
      <c r="R524" s="5" t="e">
        <f ca="1">IF(OR(INDEX($AI$2:$AI$1001,MATCH(ROWS($AH$2:AH524),$AH$2:$AH$1001,0),1)&gt;=100000,INDEX($AO$1005:$BQ$1005,1,MATCH(COLUMNS($AO$1006:BE1006),$AO$1006:$BQ$1006,0))&gt;=100000), " ",IF(INDEX($AO$2:$BQ$1001,MATCH(ROWS($AH$2:AH524),$AH$2:$AH$1001,0),MATCH(COLUMNS($AO$1006:BE1006),$AO$1006:$BQ$1006,0)), HYPERLINK("#",""), HYPERLINK(CONCATENATE("#Metadata!", ADDRESS(INDEX($AJ$2:$AJ$1001,MATCH(ROWS($AH$2:AH524),$AH$2:$AH$1001,0),0), INDEX($AO$1004:$BQ$1004,1,MATCH(COLUMNS($AO$1006:BE1006),$AO$1006:$BQ$1006,0)))),"Fix")))</f>
        <v>#N/A</v>
      </c>
      <c r="S524" s="5" t="e">
        <f ca="1">IF(OR(INDEX($AI$2:$AI$1001,MATCH(ROWS($AH$2:AH524),$AH$2:$AH$1001,0),1)&gt;=100000,INDEX($AO$1005:$BQ$1005,1,MATCH(COLUMNS($AO$1006:BF1006),$AO$1006:$BQ$1006,0))&gt;=100000), " ",IF(INDEX($AO$2:$BQ$1001,MATCH(ROWS($AH$2:AH524),$AH$2:$AH$1001,0),MATCH(COLUMNS($AO$1006:BF1006),$AO$1006:$BQ$1006,0)), HYPERLINK("#",""), HYPERLINK(CONCATENATE("#Metadata!", ADDRESS(INDEX($AJ$2:$AJ$1001,MATCH(ROWS($AH$2:AH524),$AH$2:$AH$1001,0),0), INDEX($AO$1004:$BQ$1004,1,MATCH(COLUMNS($AO$1006:BF1006),$AO$1006:$BQ$1006,0)))),"Fix")))</f>
        <v>#N/A</v>
      </c>
      <c r="T524" s="5" t="e">
        <f ca="1">IF(OR(INDEX($AI$2:$AI$1001,MATCH(ROWS($AH$2:AH524),$AH$2:$AH$1001,0),1)&gt;=100000,INDEX($AO$1005:$BQ$1005,1,MATCH(COLUMNS($AO$1006:BG1006),$AO$1006:$BQ$1006,0))&gt;=100000), " ",IF(INDEX($AO$2:$BQ$1001,MATCH(ROWS($AH$2:AH524),$AH$2:$AH$1001,0),MATCH(COLUMNS($AO$1006:BG1006),$AO$1006:$BQ$1006,0)), HYPERLINK("#",""), HYPERLINK(CONCATENATE("#Metadata!", ADDRESS(INDEX($AJ$2:$AJ$1001,MATCH(ROWS($AH$2:AH524),$AH$2:$AH$1001,0),0), INDEX($AO$1004:$BQ$1004,1,MATCH(COLUMNS($AO$1006:BG1006),$AO$1006:$BQ$1006,0)))),"Fix")))</f>
        <v>#N/A</v>
      </c>
      <c r="U524" s="5" t="e">
        <f ca="1">IF(OR(INDEX($AI$2:$AI$1001,MATCH(ROWS($AH$2:AH524),$AH$2:$AH$1001,0),1)&gt;=100000,INDEX($AO$1005:$BQ$1005,1,MATCH(COLUMNS($AO$1006:BH1006),$AO$1006:$BQ$1006,0))&gt;=100000), " ",IF(INDEX($AO$2:$BQ$1001,MATCH(ROWS($AH$2:AH524),$AH$2:$AH$1001,0),MATCH(COLUMNS($AO$1006:BH1006),$AO$1006:$BQ$1006,0)), HYPERLINK("#",""), HYPERLINK(CONCATENATE("#Metadata!", ADDRESS(INDEX($AJ$2:$AJ$1001,MATCH(ROWS($AH$2:AH524),$AH$2:$AH$1001,0),0), INDEX($AO$1004:$BQ$1004,1,MATCH(COLUMNS($AO$1006:BH1006),$AO$1006:$BQ$1006,0)))),"Fix")))</f>
        <v>#N/A</v>
      </c>
      <c r="V524" s="5" t="e">
        <f ca="1">IF(OR(INDEX($AI$2:$AI$1001,MATCH(ROWS($AH$2:AH524),$AH$2:$AH$1001,0),1)&gt;=100000,INDEX($AO$1005:$BQ$1005,1,MATCH(COLUMNS($AO$1006:BI1006),$AO$1006:$BQ$1006,0))&gt;=100000), " ",IF(INDEX($AO$2:$BQ$1001,MATCH(ROWS($AH$2:AH524),$AH$2:$AH$1001,0),MATCH(COLUMNS($AO$1006:BI1006),$AO$1006:$BQ$1006,0)), HYPERLINK("#",""), HYPERLINK(CONCATENATE("#Metadata!", ADDRESS(INDEX($AJ$2:$AJ$1001,MATCH(ROWS($AH$2:AH524),$AH$2:$AH$1001,0),0), INDEX($AO$1004:$BQ$1004,1,MATCH(COLUMNS($AO$1006:BI1006),$AO$1006:$BQ$1006,0)))),"Fix")))</f>
        <v>#N/A</v>
      </c>
      <c r="W524" s="5" t="e">
        <f ca="1">IF(OR(INDEX($AI$2:$AI$1001,MATCH(ROWS($AH$2:AH524),$AH$2:$AH$1001,0),1)&gt;=100000,INDEX($AO$1005:$BQ$1005,1,MATCH(COLUMNS($AO$1006:BJ1006),$AO$1006:$BQ$1006,0))&gt;=100000), " ",IF(INDEX($AO$2:$BQ$1001,MATCH(ROWS($AH$2:AH524),$AH$2:$AH$1001,0),MATCH(COLUMNS($AO$1006:BJ1006),$AO$1006:$BQ$1006,0)), HYPERLINK("#",""), HYPERLINK(CONCATENATE("#Metadata!", ADDRESS(INDEX($AJ$2:$AJ$1001,MATCH(ROWS($AH$2:AH524),$AH$2:$AH$1001,0),0), INDEX($AO$1004:$BQ$1004,1,MATCH(COLUMNS($AO$1006:BJ1006),$AO$1006:$BQ$1006,0)))),"Fix")))</f>
        <v>#N/A</v>
      </c>
      <c r="X524" s="5" t="e">
        <f ca="1">IF(OR(INDEX($AI$2:$AI$1001,MATCH(ROWS($AH$2:AH524),$AH$2:$AH$1001,0),1)&gt;=100000,INDEX($AO$1005:$BQ$1005,1,MATCH(COLUMNS($AO$1006:BK1006),$AO$1006:$BQ$1006,0))&gt;=100000), " ",IF(INDEX($AO$2:$BQ$1001,MATCH(ROWS($AH$2:AH524),$AH$2:$AH$1001,0),MATCH(COLUMNS($AO$1006:BK1006),$AO$1006:$BQ$1006,0)), HYPERLINK("#",""), HYPERLINK(CONCATENATE("#Metadata!", ADDRESS(INDEX($AJ$2:$AJ$1001,MATCH(ROWS($AH$2:AH524),$AH$2:$AH$1001,0),0), INDEX($AO$1004:$BQ$1004,1,MATCH(COLUMNS($AO$1006:BK1006),$AO$1006:$BQ$1006,0)))),"Fix")))</f>
        <v>#N/A</v>
      </c>
      <c r="Y524" s="5" t="e">
        <f ca="1">IF(OR(INDEX($AI$2:$AI$1001,MATCH(ROWS($AH$2:AH524),$AH$2:$AH$1001,0),1)&gt;=100000,INDEX($AO$1005:$BQ$1005,1,MATCH(COLUMNS($AO$1006:BL1006),$AO$1006:$BQ$1006,0))&gt;=100000), " ",IF(INDEX($AO$2:$BQ$1001,MATCH(ROWS($AH$2:AH524),$AH$2:$AH$1001,0),MATCH(COLUMNS($AO$1006:BL1006),$AO$1006:$BQ$1006,0)), HYPERLINK("#",""), HYPERLINK(CONCATENATE("#Metadata!", ADDRESS(INDEX($AJ$2:$AJ$1001,MATCH(ROWS($AH$2:AH524),$AH$2:$AH$1001,0),0), INDEX($AO$1004:$BQ$1004,1,MATCH(COLUMNS($AO$1006:BL1006),$AO$1006:$BQ$1006,0)))),"Fix")))</f>
        <v>#N/A</v>
      </c>
      <c r="Z524" s="5" t="e">
        <f ca="1">IF(OR(INDEX($AI$2:$AI$1001,MATCH(ROWS($AH$2:AH524),$AH$2:$AH$1001,0),1)&gt;=100000,INDEX($AO$1005:$BQ$1005,1,MATCH(COLUMNS($AO$1006:BM1006),$AO$1006:$BQ$1006,0))&gt;=100000), " ",IF(INDEX($AO$2:$BQ$1001,MATCH(ROWS($AH$2:AH524),$AH$2:$AH$1001,0),MATCH(COLUMNS($AO$1006:BM1006),$AO$1006:$BQ$1006,0)), HYPERLINK("#",""), HYPERLINK(CONCATENATE("#Metadata!", ADDRESS(INDEX($AJ$2:$AJ$1001,MATCH(ROWS($AH$2:AH524),$AH$2:$AH$1001,0),0), INDEX($AO$1004:$BQ$1004,1,MATCH(COLUMNS($AO$1006:BM1006),$AO$1006:$BQ$1006,0)))),"Fix")))</f>
        <v>#N/A</v>
      </c>
      <c r="AA524" s="5" t="e">
        <f ca="1">IF(OR(INDEX($AI$2:$AI$1001,MATCH(ROWS($AH$2:AH524),$AH$2:$AH$1001,0),1)&gt;=100000,INDEX($AO$1005:$BQ$1005,1,MATCH(COLUMNS($AO$1006:BN1006),$AO$1006:$BQ$1006,0))&gt;=100000), " ",IF(INDEX($AO$2:$BQ$1001,MATCH(ROWS($AH$2:AH524),$AH$2:$AH$1001,0),MATCH(COLUMNS($AO$1006:BN1006),$AO$1006:$BQ$1006,0)), HYPERLINK("#",""), HYPERLINK(CONCATENATE("#Metadata!", ADDRESS(INDEX($AJ$2:$AJ$1001,MATCH(ROWS($AH$2:AH524),$AH$2:$AH$1001,0),0), INDEX($AO$1004:$BQ$1004,1,MATCH(COLUMNS($AO$1006:BN1006),$AO$1006:$BQ$1006,0)))),"Fix")))</f>
        <v>#N/A</v>
      </c>
      <c r="AB524" s="5" t="e">
        <f ca="1">IF(OR(INDEX($AI$2:$AI$1001,MATCH(ROWS($AH$2:AH524),$AH$2:$AH$1001,0),1)&gt;=100000,INDEX($AO$1005:$BQ$1005,1,MATCH(COLUMNS($AO$1006:BO1006),$AO$1006:$BQ$1006,0))&gt;=100000), " ",IF(INDEX($AO$2:$BQ$1001,MATCH(ROWS($AH$2:AH524),$AH$2:$AH$1001,0),MATCH(COLUMNS($AO$1006:BO1006),$AO$1006:$BQ$1006,0)), HYPERLINK("#",""), HYPERLINK(CONCATENATE("#Metadata!", ADDRESS(INDEX($AJ$2:$AJ$1001,MATCH(ROWS($AH$2:AH524),$AH$2:$AH$1001,0),0), INDEX($AO$1004:$BQ$1004,1,MATCH(COLUMNS($AO$1006:BO1006),$AO$1006:$BQ$1006,0)))),"Fix")))</f>
        <v>#N/A</v>
      </c>
      <c r="AC524" s="5" t="e">
        <f ca="1">IF(OR(INDEX($AI$2:$AI$1001,MATCH(ROWS($AH$2:AH524),$AH$2:$AH$1001,0),1)&gt;=100000,INDEX($AO$1005:$BQ$1005,1,MATCH(COLUMNS($AO$1006:BP1006),$AO$1006:$BQ$1006,0))&gt;=100000), " ",IF(INDEX($AO$2:$BQ$1001,MATCH(ROWS($AH$2:AH524),$AH$2:$AH$1001,0),MATCH(COLUMNS($AO$1006:BP1006),$AO$1006:$BQ$1006,0)), HYPERLINK("#",""), HYPERLINK(CONCATENATE("#Metadata!", ADDRESS(INDEX($AJ$2:$AJ$1001,MATCH(ROWS($AH$2:AH524),$AH$2:$AH$1001,0),0), INDEX($AO$1004:$BQ$1004,1,MATCH(COLUMNS($AO$1006:BP1006),$AO$1006:$BQ$1006,0)))),"Fix")))</f>
        <v>#N/A</v>
      </c>
      <c r="AD524" s="5" t="e">
        <f ca="1">IF(OR(INDEX($AI$2:$AI$1001,MATCH(ROWS($AH$2:AH524),$AH$2:$AH$1001,0),1)&gt;=100000,INDEX($AO$1005:$BQ$1005,1,MATCH(COLUMNS($AO$1006:BQ1006),$AO$1006:$BQ$1006,0))&gt;=100000), " ",IF(INDEX($AO$2:$BQ$1001,MATCH(ROWS($AH$2:AH524),$AH$2:$AH$1001,0),MATCH(COLUMNS($AO$1006:BQ1006),$AO$1006:$BQ$1006,0)), HYPERLINK("#",""), HYPERLINK(CONCATENATE("#Metadata!", ADDRESS(INDEX($AJ$2:$AJ$1001,MATCH(ROWS($AH$2:AH524),$AH$2:$AH$1001,0),0), INDEX($AO$1004:$BQ$1004,1,MATCH(COLUMNS($AO$1006:BQ1006),$AO$1006:$BQ$1006,0)))),"Fix")))</f>
        <v>#REF!</v>
      </c>
      <c r="AH524">
        <f ca="1"/>
        <v>521</v>
      </c>
      <c r="AI524">
        <v>100524</v>
      </c>
      <c r="AJ524">
        <v>524</v>
      </c>
      <c r="AK524" t="b">
        <f t="shared" si="8"/>
        <v>1</v>
      </c>
      <c r="AL524" t="b">
        <f>COUNTBLANK(Metadata!B524:AD524)=COLUMNS(Metadata!B524:AD524)</f>
        <v>1</v>
      </c>
      <c r="AM524" t="str">
        <v/>
      </c>
      <c r="AO524" t="b">
        <f ca="1">AND(IF(Metadata!B524="",FALSE,TRUE),COUNTIF(Metadata!B:B, Metadata!B524) = 1,NOT(ISERROR(SUMPRODUCT(SEARCH(MID(Metadata!B524,ROW(INDIRECT("1:"&amp;LEN(Metadata!B524))), 1),"0123456789abcdefghijklmnopqrstuvwxyzABCDEFGHIJKLMNOPQRSTUVWXYZ.")))))</f>
        <v>0</v>
      </c>
      <c r="AP524" t="b">
        <f>IF(Metadata!C524="",FALSE,TRUE)</f>
        <v>0</v>
      </c>
      <c r="AQ524" t="b">
        <f>IF(Metadata!D524="",FALSE,TRUE)</f>
        <v>0</v>
      </c>
      <c r="AR524" t="b">
        <f ca="1">OR(AND(IF(Metadata!E524="",FALSE,TRUE),OR(EXACT(Metadata!E524,"not collected"),EXACT(Metadata!E524,"not provided"),EXACT(Metadata!E524,"restricted access"))),AND(IF(Metadata!E524="",FALSE,TRUE),AND(AND(IFERROR(INT(LEFT(Metadata!E524,4))&gt;1900,FALSE),IFERROR(INT(LEFT(Metadata!E524,4))&lt;=YEAR(NOW()),FALSE)), OR(MID(Metadata!E524,5,1)="", AND(AND(MID(Metadata!E524,5,1)="-",IFERROR(INT(MID(Metadata!E524,6,1))&gt;=0,FALSE),IFERROR(INT(MID(Metadata!E524,6,1))&lt;=1,FALSE),NOT(MID(Metadata!E524,7,1)=""),IFERROR(INT(MID(Metadata!E524,6,2))&gt;=1,FALSE),IFERROR(INT(MID(Metadata!E524,6,2))&lt;=12,FALSE)), OR(MID(Metadata!E524,8,1)="", AND(AND(MID(Metadata!E524,8,1)="-",IFERROR(INT(MID(Metadata!E524,9,1))&gt;=0,FALSE),IFERROR(INT(MID(Metadata!E524,9,1))&lt;=3,FALSE),NOT(MID(Metadata!E524,10,1)=""),IFERROR(INT(MID(Metadata!E524,9,2))&gt;=1,FALSE),IFERROR(INT(MID(Metadata!E524,9,2))&lt;=31,FALSE)), OR(MID(Metadata!E524,11,1)="", AND(AND(MID(Metadata!E524,11,1)=" ",IFERROR(INT(MID(Metadata!E524,12,1))&gt;=0,FALSE),IFERROR(INT(MID(Metadata!E524,12,1))&lt;=2,FALSE),NOT(MID(Metadata!E524,13,1)=""),IFERROR(INT(MID(Metadata!E524,12,2))&gt;=0,FALSE),IFERROR(INT(MID(Metadata!E524,12,2))&lt;=23,FALSE)), OR(MID(Metadata!E524,14,1)="", AND(AND(MID(Metadata!E524,14,1)=":",IFERROR(INT(MID(Metadata!E524,15,1))&gt;=0,FALSE),IFERROR(INT(MID(Metadata!E524,15,1))&lt;=5,FALSE),NOT(MID(Metadata!E524,16,1)=""),IFERROR(INT(MID(Metadata!E524,15,2))&gt;=0,FALSE),IFERROR(INT(MID(Metadata!E524,15,2))&lt;=59,FALSE)), OR(MID(Metadata!E524,17,1)="", AND(AND(MID(Metadata!E524,17,1)=":",IFERROR(INT(MID(Metadata!E524,18,1))&gt;=0,FALSE),IFERROR(INT(MID(Metadata!E524,18,1))&lt;=5,FALSE),NOT(MID(Metadata!E524,19,1)=""),IFERROR(INT(MID(Metadata!E524,18,2))&gt;=0,FALSE),IFERROR(INT(MID(Metadata!E524,18,2))&lt;=59,FALSE)), LEN(Metadata!E524)&lt;=19)))))))))))))</f>
        <v>0</v>
      </c>
      <c r="AS524" t="b">
        <f>IF(Metadata!F524="",FALSE,TRUE)</f>
        <v>0</v>
      </c>
      <c r="AT524" t="b">
        <f>OR(AND(IF(Metadata!G524="",FALSE,TRUE),OR(EXACT(Metadata!G524,"not collected"),EXACT(Metadata!G524,"not provided"))),AND(IF(Metadata!G524="",FALSE,TRUE),OR(EXACT(Metadata!G524,"TRUE"),EXACT(Metadata!G524,"FALSE"))))</f>
        <v>0</v>
      </c>
      <c r="AU524" t="b">
        <f>OR(AND(IF(Metadata!H524="",FALSE,TRUE),OR(EXACT(Metadata!H524,"not collected"),EXACT(Metadata!H524,"not provided"),EXACT(Metadata!H524,"restricted access"))),AND(IF(Metadata!H524="",FALSE,ISNUMBER(VALUE(Metadata!H524))),Metadata!H524&gt;=-413))</f>
        <v>0</v>
      </c>
      <c r="AV524" t="b">
        <f>AND(IF(Metadata!I524="",FALSE,TRUE),EXACT(Metadata!I524,"meters"))</f>
        <v>0</v>
      </c>
      <c r="AW524" t="b">
        <f>AND(IF(Metadata!J524="",FALSE,TRUE),EXACT(Metadata!J524,"free-living"))</f>
        <v>0</v>
      </c>
      <c r="AX524" t="b">
        <f>AND(IF(Metadata!K524="",FALSE,TRUE),OR(EXACT(Metadata!K524,"saline"),EXACT(Metadata!K524,"non-saline")))</f>
        <v>0</v>
      </c>
      <c r="AY524" t="b">
        <f>AND(IF(Metadata!L524="",FALSE,TRUE),OR(EXACT(Metadata!L524,"sub-surface (non-saline)"),EXACT(Metadata!L524,"surface (non-saline)"),EXACT(Metadata!L524,"water (non-saline)"),EXACT(Metadata!L524,"soil (non-saline)"),EXACT(Metadata!L524,"aerosol (non-saline)"),EXACT(Metadata!L524,"sediment (non-saline)"),EXACT(Metadata!L524,"surface (saline)"),EXACT(Metadata!L524,"water (saline)"),EXACT(Metadata!L524,"hypersaline (saline)"),EXACT(Metadata!L524,"aerosol (saline)"),EXACT(Metadata!L524,"sediment (saline)")))</f>
        <v>0</v>
      </c>
      <c r="AZ524" t="b">
        <f>IF(Metadata!M524="",FALSE,TRUE)</f>
        <v>0</v>
      </c>
      <c r="BA524" t="b">
        <f>IF(Metadata!N524="",FALSE,TRUE)</f>
        <v>0</v>
      </c>
      <c r="BB524" t="b">
        <f>IF(Metadata!O524="",FALSE,TRUE)</f>
        <v>0</v>
      </c>
      <c r="BC524" t="b">
        <f>AND(IF(Metadata!P524="",FALSE,TRUE),OR(EXACT(Metadata!P524,"air"),EXACT(Metadata!P524,"microbial mat/biofilm"),EXACT(Metadata!P524,"misc environment"),EXACT(Metadata!P524,"sediment"),EXACT(Metadata!P524,"soil"),EXACT(Metadata!P524,"wastewater/sludge"),EXACT(Metadata!P524,"water")))</f>
        <v>0</v>
      </c>
      <c r="BD524" t="b">
        <f>IF(Metadata!Q524="",FALSE,TRUE)</f>
        <v>0</v>
      </c>
      <c r="BE524" t="b">
        <f>IF(Metadata!R524="",FALSE,TRUE)</f>
        <v>0</v>
      </c>
      <c r="BF524" t="b">
        <f>OR(AND(IF(Metadata!S524="",FALSE,TRUE),OR(EXACT(Metadata!S524,"not collected"),EXACT(Metadata!S524,"not provided"),EXACT(Metadata!S524,"restricted access"))),AND(IF(Metadata!S524="",FALSE,ISNUMBER(VALUE(Metadata!S524))),Metadata!S524&gt;=-90,Metadata!S524&lt;=90))</f>
        <v>0</v>
      </c>
      <c r="BG524" t="b">
        <f>AND(IF(Metadata!T524="",FALSE,TRUE),EXACT(Metadata!T524,"Decimal degrees"))</f>
        <v>0</v>
      </c>
      <c r="BH524" t="b">
        <f>OR(AND(IF(Metadata!U524="",FALSE,TRUE),OR(EXACT(Metadata!U524,"not applicable"),EXACT(Metadata!U524,"not collected"))),IF(Metadata!U524="",FALSE,TRUE))</f>
        <v>0</v>
      </c>
      <c r="BI524" t="b">
        <f>OR(AND(IF(Metadata!V524="",FALSE,TRUE),OR(EXACT(Metadata!V524,"not collected"),EXACT(Metadata!V524,"not provided"),EXACT(Metadata!V524,"restricted access"))),AND(IF(Metadata!V524="",FALSE,ISNUMBER(VALUE(Metadata!V524))),Metadata!V524&gt;=-180,Metadata!V524&lt;=180))</f>
        <v>0</v>
      </c>
      <c r="BJ524" t="b">
        <f>AND(IF(Metadata!W524="",FALSE,TRUE),EXACT(Metadata!W524,"Decimal degrees"))</f>
        <v>0</v>
      </c>
      <c r="BK524" t="b">
        <f>IF(Metadata!X524="",FALSE,TRUE)</f>
        <v>0</v>
      </c>
      <c r="BL524" t="b">
        <f>OR(AND(IF(Metadata!Y524="",FALSE,TRUE),OR(EXACT(Metadata!Y524,"not collected"),EXACT(Metadata!Y524,"not provided"),EXACT(Metadata!Y524,"restricted access"))),AND(IF(Metadata!Y524="",FALSE,TRUE),OR(EXACT(Metadata!Y524,"TRUE"),EXACT(Metadata!Y524,"FALSE"))))</f>
        <v>0</v>
      </c>
      <c r="BM524" t="b">
        <f>OR(AND(IF(Metadata!Z524="",FALSE,TRUE),EXACT(Metadata!Z524,"not applicable")),AND(IF(Metadata!Z524="",FALSE,TRUE),OR(EXACT(Metadata!Z524,"beer"),EXACT(Metadata!Z524,"cheese"),EXACT(Metadata!Z524,"fresh water"),EXACT(Metadata!Z524,"marine sediment"),EXACT(Metadata!Z524,"sea water"),EXACT(Metadata!Z524,"sediment"),EXACT(Metadata!Z524,"soil"),EXACT(Metadata!Z524,"waste water"))))</f>
        <v>0</v>
      </c>
      <c r="BN524" t="b">
        <f>AND(IF(Metadata!AA524="",FALSE,TRUE),EXACT(Metadata!AA524,"metagenome"))</f>
        <v>0</v>
      </c>
      <c r="BO524" t="b">
        <f>AND(IF(Metadata!AB524="",FALSE,TRUE),EXACT(Metadata!AB524,"256318"))</f>
        <v>0</v>
      </c>
      <c r="BP524" t="b">
        <f>IF(Metadata!AC524="",FALSE,TRUE)</f>
        <v>0</v>
      </c>
      <c r="BQ524" t="b">
        <f>IF(Metadata!AD524="",FALSE,TRUE)</f>
        <v>0</v>
      </c>
    </row>
    <row r="525" spans="1:69" x14ac:dyDescent="0.2">
      <c r="A525" s="4" t="e">
        <f ca="1">IF(B525=" "," ",HYPERLINK(CONCATENATE("#metadata!",ADDRESS(INDEX($AJ$2:$AJ$1001,MATCH(ROWS($AH$2:AH525),$AH$2:$AH$1001,0),0),2)),INDEX($AM$2:$AM$1001,MATCH(ROWS($AH$2:AH525),$AH$2:$AH$1001,0),0)))</f>
        <v>#N/A</v>
      </c>
      <c r="B525" s="5" t="e">
        <f ca="1">IF(OR(INDEX($AI$2:$AI$1001,MATCH(ROWS($AH$2:AH525),$AH$2:$AH$1001,0),1)&gt;=100000,INDEX($AO$1005:$BQ$1005,1,MATCH(COLUMNS($AO$1006:AO1006),$AO$1006:$BQ$1006,0))&gt;=100000), " ",IF(INDEX($AO$2:$BQ$1001,MATCH(ROWS($AH$2:AH525),$AH$2:$AH$1001,0),MATCH(COLUMNS($AO$1006:AO1006),$AO$1006:$BQ$1006,0)), HYPERLINK("#",""), HYPERLINK(CONCATENATE("#Metadata!", ADDRESS(INDEX($AJ$2:$AJ$1001,MATCH(ROWS($AH$2:AH525),$AH$2:$AH$1001,0),0), INDEX($AO$1004:$BQ$1004,1,MATCH(COLUMNS($AO$1006:AO1006),$AO$1006:$BQ$1006,0)))),"Fix")))</f>
        <v>#N/A</v>
      </c>
      <c r="C525" s="5" t="e">
        <f ca="1">IF(OR(INDEX($AI$2:$AI$1001,MATCH(ROWS($AH$2:AH525),$AH$2:$AH$1001,0),1)&gt;=100000,INDEX($AO$1005:$BQ$1005,1,MATCH(COLUMNS($AO$1006:AP1006),$AO$1006:$BQ$1006,0))&gt;=100000), " ",IF(INDEX($AO$2:$BQ$1001,MATCH(ROWS($AH$2:AH525),$AH$2:$AH$1001,0),MATCH(COLUMNS($AO$1006:AP1006),$AO$1006:$BQ$1006,0)), HYPERLINK("#",""), HYPERLINK(CONCATENATE("#Metadata!", ADDRESS(INDEX($AJ$2:$AJ$1001,MATCH(ROWS($AH$2:AH525),$AH$2:$AH$1001,0),0), INDEX($AO$1004:$BQ$1004,1,MATCH(COLUMNS($AO$1006:AP1006),$AO$1006:$BQ$1006,0)))),"Fix")))</f>
        <v>#N/A</v>
      </c>
      <c r="D525" s="5" t="e">
        <f ca="1">IF(OR(INDEX($AI$2:$AI$1001,MATCH(ROWS($AH$2:AH525),$AH$2:$AH$1001,0),1)&gt;=100000,INDEX($AO$1005:$BQ$1005,1,MATCH(COLUMNS($AO$1006:AQ1006),$AO$1006:$BQ$1006,0))&gt;=100000), " ",IF(INDEX($AO$2:$BQ$1001,MATCH(ROWS($AH$2:AH525),$AH$2:$AH$1001,0),MATCH(COLUMNS($AO$1006:AQ1006),$AO$1006:$BQ$1006,0)), HYPERLINK("#",""), HYPERLINK(CONCATENATE("#Metadata!", ADDRESS(INDEX($AJ$2:$AJ$1001,MATCH(ROWS($AH$2:AH525),$AH$2:$AH$1001,0),0), INDEX($AO$1004:$BQ$1004,1,MATCH(COLUMNS($AO$1006:AQ1006),$AO$1006:$BQ$1006,0)))),"Fix")))</f>
        <v>#N/A</v>
      </c>
      <c r="E525" s="5" t="e">
        <f ca="1">IF(OR(INDEX($AI$2:$AI$1001,MATCH(ROWS($AH$2:AH525),$AH$2:$AH$1001,0),1)&gt;=100000,INDEX($AO$1005:$BQ$1005,1,MATCH(COLUMNS($AO$1006:AR1006),$AO$1006:$BQ$1006,0))&gt;=100000), " ",IF(INDEX($AO$2:$BQ$1001,MATCH(ROWS($AH$2:AH525),$AH$2:$AH$1001,0),MATCH(COLUMNS($AO$1006:AR1006),$AO$1006:$BQ$1006,0)), HYPERLINK("#",""), HYPERLINK(CONCATENATE("#Metadata!", ADDRESS(INDEX($AJ$2:$AJ$1001,MATCH(ROWS($AH$2:AH525),$AH$2:$AH$1001,0),0), INDEX($AO$1004:$BQ$1004,1,MATCH(COLUMNS($AO$1006:AR1006),$AO$1006:$BQ$1006,0)))),"Fix")))</f>
        <v>#N/A</v>
      </c>
      <c r="F525" s="5" t="e">
        <f ca="1">IF(OR(INDEX($AI$2:$AI$1001,MATCH(ROWS($AH$2:AH525),$AH$2:$AH$1001,0),1)&gt;=100000,INDEX($AO$1005:$BQ$1005,1,MATCH(COLUMNS($AO$1006:AS1006),$AO$1006:$BQ$1006,0))&gt;=100000), " ",IF(INDEX($AO$2:$BQ$1001,MATCH(ROWS($AH$2:AH525),$AH$2:$AH$1001,0),MATCH(COLUMNS($AO$1006:AS1006),$AO$1006:$BQ$1006,0)), HYPERLINK("#",""), HYPERLINK(CONCATENATE("#Metadata!", ADDRESS(INDEX($AJ$2:$AJ$1001,MATCH(ROWS($AH$2:AH525),$AH$2:$AH$1001,0),0), INDEX($AO$1004:$BQ$1004,1,MATCH(COLUMNS($AO$1006:AS1006),$AO$1006:$BQ$1006,0)))),"Fix")))</f>
        <v>#N/A</v>
      </c>
      <c r="G525" s="5" t="e">
        <f ca="1">IF(OR(INDEX($AI$2:$AI$1001,MATCH(ROWS($AH$2:AH525),$AH$2:$AH$1001,0),1)&gt;=100000,INDEX($AO$1005:$BQ$1005,1,MATCH(COLUMNS($AO$1006:AT1006),$AO$1006:$BQ$1006,0))&gt;=100000), " ",IF(INDEX($AO$2:$BQ$1001,MATCH(ROWS($AH$2:AH525),$AH$2:$AH$1001,0),MATCH(COLUMNS($AO$1006:AT1006),$AO$1006:$BQ$1006,0)), HYPERLINK("#",""), HYPERLINK(CONCATENATE("#Metadata!", ADDRESS(INDEX($AJ$2:$AJ$1001,MATCH(ROWS($AH$2:AH525),$AH$2:$AH$1001,0),0), INDEX($AO$1004:$BQ$1004,1,MATCH(COLUMNS($AO$1006:AT1006),$AO$1006:$BQ$1006,0)))),"Fix")))</f>
        <v>#N/A</v>
      </c>
      <c r="H525" s="5" t="e">
        <f ca="1">IF(OR(INDEX($AI$2:$AI$1001,MATCH(ROWS($AH$2:AH525),$AH$2:$AH$1001,0),1)&gt;=100000,INDEX($AO$1005:$BQ$1005,1,MATCH(COLUMNS($AO$1006:AU1006),$AO$1006:$BQ$1006,0))&gt;=100000), " ",IF(INDEX($AO$2:$BQ$1001,MATCH(ROWS($AH$2:AH525),$AH$2:$AH$1001,0),MATCH(COLUMNS($AO$1006:AU1006),$AO$1006:$BQ$1006,0)), HYPERLINK("#",""), HYPERLINK(CONCATENATE("#Metadata!", ADDRESS(INDEX($AJ$2:$AJ$1001,MATCH(ROWS($AH$2:AH525),$AH$2:$AH$1001,0),0), INDEX($AO$1004:$BQ$1004,1,MATCH(COLUMNS($AO$1006:AU1006),$AO$1006:$BQ$1006,0)))),"Fix")))</f>
        <v>#N/A</v>
      </c>
      <c r="I525" s="5" t="e">
        <f ca="1">IF(OR(INDEX($AI$2:$AI$1001,MATCH(ROWS($AH$2:AH525),$AH$2:$AH$1001,0),1)&gt;=100000,INDEX($AO$1005:$BQ$1005,1,MATCH(COLUMNS($AO$1006:AV1006),$AO$1006:$BQ$1006,0))&gt;=100000), " ",IF(INDEX($AO$2:$BQ$1001,MATCH(ROWS($AH$2:AH525),$AH$2:$AH$1001,0),MATCH(COLUMNS($AO$1006:AV1006),$AO$1006:$BQ$1006,0)), HYPERLINK("#",""), HYPERLINK(CONCATENATE("#Metadata!", ADDRESS(INDEX($AJ$2:$AJ$1001,MATCH(ROWS($AH$2:AH525),$AH$2:$AH$1001,0),0), INDEX($AO$1004:$BQ$1004,1,MATCH(COLUMNS($AO$1006:AV1006),$AO$1006:$BQ$1006,0)))),"Fix")))</f>
        <v>#N/A</v>
      </c>
      <c r="J525" s="5" t="e">
        <f ca="1">IF(OR(INDEX($AI$2:$AI$1001,MATCH(ROWS($AH$2:AH525),$AH$2:$AH$1001,0),1)&gt;=100000,INDEX($AO$1005:$BQ$1005,1,MATCH(COLUMNS($AO$1006:AW1006),$AO$1006:$BQ$1006,0))&gt;=100000), " ",IF(INDEX($AO$2:$BQ$1001,MATCH(ROWS($AH$2:AH525),$AH$2:$AH$1001,0),MATCH(COLUMNS($AO$1006:AW1006),$AO$1006:$BQ$1006,0)), HYPERLINK("#",""), HYPERLINK(CONCATENATE("#Metadata!", ADDRESS(INDEX($AJ$2:$AJ$1001,MATCH(ROWS($AH$2:AH525),$AH$2:$AH$1001,0),0), INDEX($AO$1004:$BQ$1004,1,MATCH(COLUMNS($AO$1006:AW1006),$AO$1006:$BQ$1006,0)))),"Fix")))</f>
        <v>#N/A</v>
      </c>
      <c r="K525" s="5" t="e">
        <f ca="1">IF(OR(INDEX($AI$2:$AI$1001,MATCH(ROWS($AH$2:AH525),$AH$2:$AH$1001,0),1)&gt;=100000,INDEX($AO$1005:$BQ$1005,1,MATCH(COLUMNS($AO$1006:AX1006),$AO$1006:$BQ$1006,0))&gt;=100000), " ",IF(INDEX($AO$2:$BQ$1001,MATCH(ROWS($AH$2:AH525),$AH$2:$AH$1001,0),MATCH(COLUMNS($AO$1006:AX1006),$AO$1006:$BQ$1006,0)), HYPERLINK("#",""), HYPERLINK(CONCATENATE("#Metadata!", ADDRESS(INDEX($AJ$2:$AJ$1001,MATCH(ROWS($AH$2:AH525),$AH$2:$AH$1001,0),0), INDEX($AO$1004:$BQ$1004,1,MATCH(COLUMNS($AO$1006:AX1006),$AO$1006:$BQ$1006,0)))),"Fix")))</f>
        <v>#N/A</v>
      </c>
      <c r="L525" s="5" t="e">
        <f ca="1">IF(OR(INDEX($AI$2:$AI$1001,MATCH(ROWS($AH$2:AH525),$AH$2:$AH$1001,0),1)&gt;=100000,INDEX($AO$1005:$BQ$1005,1,MATCH(COLUMNS($AO$1006:AY1006),$AO$1006:$BQ$1006,0))&gt;=100000), " ",IF(INDEX($AO$2:$BQ$1001,MATCH(ROWS($AH$2:AH525),$AH$2:$AH$1001,0),MATCH(COLUMNS($AO$1006:AY1006),$AO$1006:$BQ$1006,0)), HYPERLINK("#",""), HYPERLINK(CONCATENATE("#Metadata!", ADDRESS(INDEX($AJ$2:$AJ$1001,MATCH(ROWS($AH$2:AH525),$AH$2:$AH$1001,0),0), INDEX($AO$1004:$BQ$1004,1,MATCH(COLUMNS($AO$1006:AY1006),$AO$1006:$BQ$1006,0)))),"Fix")))</f>
        <v>#N/A</v>
      </c>
      <c r="M525" s="5" t="e">
        <f ca="1">IF(OR(INDEX($AI$2:$AI$1001,MATCH(ROWS($AH$2:AH525),$AH$2:$AH$1001,0),1)&gt;=100000,INDEX($AO$1005:$BQ$1005,1,MATCH(COLUMNS($AO$1006:AZ1006),$AO$1006:$BQ$1006,0))&gt;=100000), " ",IF(INDEX($AO$2:$BQ$1001,MATCH(ROWS($AH$2:AH525),$AH$2:$AH$1001,0),MATCH(COLUMNS($AO$1006:AZ1006),$AO$1006:$BQ$1006,0)), HYPERLINK("#",""), HYPERLINK(CONCATENATE("#Metadata!", ADDRESS(INDEX($AJ$2:$AJ$1001,MATCH(ROWS($AH$2:AH525),$AH$2:$AH$1001,0),0), INDEX($AO$1004:$BQ$1004,1,MATCH(COLUMNS($AO$1006:AZ1006),$AO$1006:$BQ$1006,0)))),"Fix")))</f>
        <v>#N/A</v>
      </c>
      <c r="N525" s="5" t="e">
        <f ca="1">IF(OR(INDEX($AI$2:$AI$1001,MATCH(ROWS($AH$2:AH525),$AH$2:$AH$1001,0),1)&gt;=100000,INDEX($AO$1005:$BQ$1005,1,MATCH(COLUMNS($AO$1006:BA1006),$AO$1006:$BQ$1006,0))&gt;=100000), " ",IF(INDEX($AO$2:$BQ$1001,MATCH(ROWS($AH$2:AH525),$AH$2:$AH$1001,0),MATCH(COLUMNS($AO$1006:BA1006),$AO$1006:$BQ$1006,0)), HYPERLINK("#",""), HYPERLINK(CONCATENATE("#Metadata!", ADDRESS(INDEX($AJ$2:$AJ$1001,MATCH(ROWS($AH$2:AH525),$AH$2:$AH$1001,0),0), INDEX($AO$1004:$BQ$1004,1,MATCH(COLUMNS($AO$1006:BA1006),$AO$1006:$BQ$1006,0)))),"Fix")))</f>
        <v>#N/A</v>
      </c>
      <c r="O525" s="5" t="e">
        <f ca="1">IF(OR(INDEX($AI$2:$AI$1001,MATCH(ROWS($AH$2:AH525),$AH$2:$AH$1001,0),1)&gt;=100000,INDEX($AO$1005:$BQ$1005,1,MATCH(COLUMNS($AO$1006:BB1006),$AO$1006:$BQ$1006,0))&gt;=100000), " ",IF(INDEX($AO$2:$BQ$1001,MATCH(ROWS($AH$2:AH525),$AH$2:$AH$1001,0),MATCH(COLUMNS($AO$1006:BB1006),$AO$1006:$BQ$1006,0)), HYPERLINK("#",""), HYPERLINK(CONCATENATE("#Metadata!", ADDRESS(INDEX($AJ$2:$AJ$1001,MATCH(ROWS($AH$2:AH525),$AH$2:$AH$1001,0),0), INDEX($AO$1004:$BQ$1004,1,MATCH(COLUMNS($AO$1006:BB1006),$AO$1006:$BQ$1006,0)))),"Fix")))</f>
        <v>#N/A</v>
      </c>
      <c r="P525" s="5" t="e">
        <f ca="1">IF(OR(INDEX($AI$2:$AI$1001,MATCH(ROWS($AH$2:AH525),$AH$2:$AH$1001,0),1)&gt;=100000,INDEX($AO$1005:$BQ$1005,1,MATCH(COLUMNS($AO$1006:BC1006),$AO$1006:$BQ$1006,0))&gt;=100000), " ",IF(INDEX($AO$2:$BQ$1001,MATCH(ROWS($AH$2:AH525),$AH$2:$AH$1001,0),MATCH(COLUMNS($AO$1006:BC1006),$AO$1006:$BQ$1006,0)), HYPERLINK("#",""), HYPERLINK(CONCATENATE("#Metadata!", ADDRESS(INDEX($AJ$2:$AJ$1001,MATCH(ROWS($AH$2:AH525),$AH$2:$AH$1001,0),0), INDEX($AO$1004:$BQ$1004,1,MATCH(COLUMNS($AO$1006:BC1006),$AO$1006:$BQ$1006,0)))),"Fix")))</f>
        <v>#N/A</v>
      </c>
      <c r="Q525" s="5" t="e">
        <f ca="1">IF(OR(INDEX($AI$2:$AI$1001,MATCH(ROWS($AH$2:AH525),$AH$2:$AH$1001,0),1)&gt;=100000,INDEX($AO$1005:$BQ$1005,1,MATCH(COLUMNS($AO$1006:BD1006),$AO$1006:$BQ$1006,0))&gt;=100000), " ",IF(INDEX($AO$2:$BQ$1001,MATCH(ROWS($AH$2:AH525),$AH$2:$AH$1001,0),MATCH(COLUMNS($AO$1006:BD1006),$AO$1006:$BQ$1006,0)), HYPERLINK("#",""), HYPERLINK(CONCATENATE("#Metadata!", ADDRESS(INDEX($AJ$2:$AJ$1001,MATCH(ROWS($AH$2:AH525),$AH$2:$AH$1001,0),0), INDEX($AO$1004:$BQ$1004,1,MATCH(COLUMNS($AO$1006:BD1006),$AO$1006:$BQ$1006,0)))),"Fix")))</f>
        <v>#N/A</v>
      </c>
      <c r="R525" s="5" t="e">
        <f ca="1">IF(OR(INDEX($AI$2:$AI$1001,MATCH(ROWS($AH$2:AH525),$AH$2:$AH$1001,0),1)&gt;=100000,INDEX($AO$1005:$BQ$1005,1,MATCH(COLUMNS($AO$1006:BE1006),$AO$1006:$BQ$1006,0))&gt;=100000), " ",IF(INDEX($AO$2:$BQ$1001,MATCH(ROWS($AH$2:AH525),$AH$2:$AH$1001,0),MATCH(COLUMNS($AO$1006:BE1006),$AO$1006:$BQ$1006,0)), HYPERLINK("#",""), HYPERLINK(CONCATENATE("#Metadata!", ADDRESS(INDEX($AJ$2:$AJ$1001,MATCH(ROWS($AH$2:AH525),$AH$2:$AH$1001,0),0), INDEX($AO$1004:$BQ$1004,1,MATCH(COLUMNS($AO$1006:BE1006),$AO$1006:$BQ$1006,0)))),"Fix")))</f>
        <v>#N/A</v>
      </c>
      <c r="S525" s="5" t="e">
        <f ca="1">IF(OR(INDEX($AI$2:$AI$1001,MATCH(ROWS($AH$2:AH525),$AH$2:$AH$1001,0),1)&gt;=100000,INDEX($AO$1005:$BQ$1005,1,MATCH(COLUMNS($AO$1006:BF1006),$AO$1006:$BQ$1006,0))&gt;=100000), " ",IF(INDEX($AO$2:$BQ$1001,MATCH(ROWS($AH$2:AH525),$AH$2:$AH$1001,0),MATCH(COLUMNS($AO$1006:BF1006),$AO$1006:$BQ$1006,0)), HYPERLINK("#",""), HYPERLINK(CONCATENATE("#Metadata!", ADDRESS(INDEX($AJ$2:$AJ$1001,MATCH(ROWS($AH$2:AH525),$AH$2:$AH$1001,0),0), INDEX($AO$1004:$BQ$1004,1,MATCH(COLUMNS($AO$1006:BF1006),$AO$1006:$BQ$1006,0)))),"Fix")))</f>
        <v>#N/A</v>
      </c>
      <c r="T525" s="5" t="e">
        <f ca="1">IF(OR(INDEX($AI$2:$AI$1001,MATCH(ROWS($AH$2:AH525),$AH$2:$AH$1001,0),1)&gt;=100000,INDEX($AO$1005:$BQ$1005,1,MATCH(COLUMNS($AO$1006:BG1006),$AO$1006:$BQ$1006,0))&gt;=100000), " ",IF(INDEX($AO$2:$BQ$1001,MATCH(ROWS($AH$2:AH525),$AH$2:$AH$1001,0),MATCH(COLUMNS($AO$1006:BG1006),$AO$1006:$BQ$1006,0)), HYPERLINK("#",""), HYPERLINK(CONCATENATE("#Metadata!", ADDRESS(INDEX($AJ$2:$AJ$1001,MATCH(ROWS($AH$2:AH525),$AH$2:$AH$1001,0),0), INDEX($AO$1004:$BQ$1004,1,MATCH(COLUMNS($AO$1006:BG1006),$AO$1006:$BQ$1006,0)))),"Fix")))</f>
        <v>#N/A</v>
      </c>
      <c r="U525" s="5" t="e">
        <f ca="1">IF(OR(INDEX($AI$2:$AI$1001,MATCH(ROWS($AH$2:AH525),$AH$2:$AH$1001,0),1)&gt;=100000,INDEX($AO$1005:$BQ$1005,1,MATCH(COLUMNS($AO$1006:BH1006),$AO$1006:$BQ$1006,0))&gt;=100000), " ",IF(INDEX($AO$2:$BQ$1001,MATCH(ROWS($AH$2:AH525),$AH$2:$AH$1001,0),MATCH(COLUMNS($AO$1006:BH1006),$AO$1006:$BQ$1006,0)), HYPERLINK("#",""), HYPERLINK(CONCATENATE("#Metadata!", ADDRESS(INDEX($AJ$2:$AJ$1001,MATCH(ROWS($AH$2:AH525),$AH$2:$AH$1001,0),0), INDEX($AO$1004:$BQ$1004,1,MATCH(COLUMNS($AO$1006:BH1006),$AO$1006:$BQ$1006,0)))),"Fix")))</f>
        <v>#N/A</v>
      </c>
      <c r="V525" s="5" t="e">
        <f ca="1">IF(OR(INDEX($AI$2:$AI$1001,MATCH(ROWS($AH$2:AH525),$AH$2:$AH$1001,0),1)&gt;=100000,INDEX($AO$1005:$BQ$1005,1,MATCH(COLUMNS($AO$1006:BI1006),$AO$1006:$BQ$1006,0))&gt;=100000), " ",IF(INDEX($AO$2:$BQ$1001,MATCH(ROWS($AH$2:AH525),$AH$2:$AH$1001,0),MATCH(COLUMNS($AO$1006:BI1006),$AO$1006:$BQ$1006,0)), HYPERLINK("#",""), HYPERLINK(CONCATENATE("#Metadata!", ADDRESS(INDEX($AJ$2:$AJ$1001,MATCH(ROWS($AH$2:AH525),$AH$2:$AH$1001,0),0), INDEX($AO$1004:$BQ$1004,1,MATCH(COLUMNS($AO$1006:BI1006),$AO$1006:$BQ$1006,0)))),"Fix")))</f>
        <v>#N/A</v>
      </c>
      <c r="W525" s="5" t="e">
        <f ca="1">IF(OR(INDEX($AI$2:$AI$1001,MATCH(ROWS($AH$2:AH525),$AH$2:$AH$1001,0),1)&gt;=100000,INDEX($AO$1005:$BQ$1005,1,MATCH(COLUMNS($AO$1006:BJ1006),$AO$1006:$BQ$1006,0))&gt;=100000), " ",IF(INDEX($AO$2:$BQ$1001,MATCH(ROWS($AH$2:AH525),$AH$2:$AH$1001,0),MATCH(COLUMNS($AO$1006:BJ1006),$AO$1006:$BQ$1006,0)), HYPERLINK("#",""), HYPERLINK(CONCATENATE("#Metadata!", ADDRESS(INDEX($AJ$2:$AJ$1001,MATCH(ROWS($AH$2:AH525),$AH$2:$AH$1001,0),0), INDEX($AO$1004:$BQ$1004,1,MATCH(COLUMNS($AO$1006:BJ1006),$AO$1006:$BQ$1006,0)))),"Fix")))</f>
        <v>#N/A</v>
      </c>
      <c r="X525" s="5" t="e">
        <f ca="1">IF(OR(INDEX($AI$2:$AI$1001,MATCH(ROWS($AH$2:AH525),$AH$2:$AH$1001,0),1)&gt;=100000,INDEX($AO$1005:$BQ$1005,1,MATCH(COLUMNS($AO$1006:BK1006),$AO$1006:$BQ$1006,0))&gt;=100000), " ",IF(INDEX($AO$2:$BQ$1001,MATCH(ROWS($AH$2:AH525),$AH$2:$AH$1001,0),MATCH(COLUMNS($AO$1006:BK1006),$AO$1006:$BQ$1006,0)), HYPERLINK("#",""), HYPERLINK(CONCATENATE("#Metadata!", ADDRESS(INDEX($AJ$2:$AJ$1001,MATCH(ROWS($AH$2:AH525),$AH$2:$AH$1001,0),0), INDEX($AO$1004:$BQ$1004,1,MATCH(COLUMNS($AO$1006:BK1006),$AO$1006:$BQ$1006,0)))),"Fix")))</f>
        <v>#N/A</v>
      </c>
      <c r="Y525" s="5" t="e">
        <f ca="1">IF(OR(INDEX($AI$2:$AI$1001,MATCH(ROWS($AH$2:AH525),$AH$2:$AH$1001,0),1)&gt;=100000,INDEX($AO$1005:$BQ$1005,1,MATCH(COLUMNS($AO$1006:BL1006),$AO$1006:$BQ$1006,0))&gt;=100000), " ",IF(INDEX($AO$2:$BQ$1001,MATCH(ROWS($AH$2:AH525),$AH$2:$AH$1001,0),MATCH(COLUMNS($AO$1006:BL1006),$AO$1006:$BQ$1006,0)), HYPERLINK("#",""), HYPERLINK(CONCATENATE("#Metadata!", ADDRESS(INDEX($AJ$2:$AJ$1001,MATCH(ROWS($AH$2:AH525),$AH$2:$AH$1001,0),0), INDEX($AO$1004:$BQ$1004,1,MATCH(COLUMNS($AO$1006:BL1006),$AO$1006:$BQ$1006,0)))),"Fix")))</f>
        <v>#N/A</v>
      </c>
      <c r="Z525" s="5" t="e">
        <f ca="1">IF(OR(INDEX($AI$2:$AI$1001,MATCH(ROWS($AH$2:AH525),$AH$2:$AH$1001,0),1)&gt;=100000,INDEX($AO$1005:$BQ$1005,1,MATCH(COLUMNS($AO$1006:BM1006),$AO$1006:$BQ$1006,0))&gt;=100000), " ",IF(INDEX($AO$2:$BQ$1001,MATCH(ROWS($AH$2:AH525),$AH$2:$AH$1001,0),MATCH(COLUMNS($AO$1006:BM1006),$AO$1006:$BQ$1006,0)), HYPERLINK("#",""), HYPERLINK(CONCATENATE("#Metadata!", ADDRESS(INDEX($AJ$2:$AJ$1001,MATCH(ROWS($AH$2:AH525),$AH$2:$AH$1001,0),0), INDEX($AO$1004:$BQ$1004,1,MATCH(COLUMNS($AO$1006:BM1006),$AO$1006:$BQ$1006,0)))),"Fix")))</f>
        <v>#N/A</v>
      </c>
      <c r="AA525" s="5" t="e">
        <f ca="1">IF(OR(INDEX($AI$2:$AI$1001,MATCH(ROWS($AH$2:AH525),$AH$2:$AH$1001,0),1)&gt;=100000,INDEX($AO$1005:$BQ$1005,1,MATCH(COLUMNS($AO$1006:BN1006),$AO$1006:$BQ$1006,0))&gt;=100000), " ",IF(INDEX($AO$2:$BQ$1001,MATCH(ROWS($AH$2:AH525),$AH$2:$AH$1001,0),MATCH(COLUMNS($AO$1006:BN1006),$AO$1006:$BQ$1006,0)), HYPERLINK("#",""), HYPERLINK(CONCATENATE("#Metadata!", ADDRESS(INDEX($AJ$2:$AJ$1001,MATCH(ROWS($AH$2:AH525),$AH$2:$AH$1001,0),0), INDEX($AO$1004:$BQ$1004,1,MATCH(COLUMNS($AO$1006:BN1006),$AO$1006:$BQ$1006,0)))),"Fix")))</f>
        <v>#N/A</v>
      </c>
      <c r="AB525" s="5" t="e">
        <f ca="1">IF(OR(INDEX($AI$2:$AI$1001,MATCH(ROWS($AH$2:AH525),$AH$2:$AH$1001,0),1)&gt;=100000,INDEX($AO$1005:$BQ$1005,1,MATCH(COLUMNS($AO$1006:BO1006),$AO$1006:$BQ$1006,0))&gt;=100000), " ",IF(INDEX($AO$2:$BQ$1001,MATCH(ROWS($AH$2:AH525),$AH$2:$AH$1001,0),MATCH(COLUMNS($AO$1006:BO1006),$AO$1006:$BQ$1006,0)), HYPERLINK("#",""), HYPERLINK(CONCATENATE("#Metadata!", ADDRESS(INDEX($AJ$2:$AJ$1001,MATCH(ROWS($AH$2:AH525),$AH$2:$AH$1001,0),0), INDEX($AO$1004:$BQ$1004,1,MATCH(COLUMNS($AO$1006:BO1006),$AO$1006:$BQ$1006,0)))),"Fix")))</f>
        <v>#N/A</v>
      </c>
      <c r="AC525" s="5" t="e">
        <f ca="1">IF(OR(INDEX($AI$2:$AI$1001,MATCH(ROWS($AH$2:AH525),$AH$2:$AH$1001,0),1)&gt;=100000,INDEX($AO$1005:$BQ$1005,1,MATCH(COLUMNS($AO$1006:BP1006),$AO$1006:$BQ$1006,0))&gt;=100000), " ",IF(INDEX($AO$2:$BQ$1001,MATCH(ROWS($AH$2:AH525),$AH$2:$AH$1001,0),MATCH(COLUMNS($AO$1006:BP1006),$AO$1006:$BQ$1006,0)), HYPERLINK("#",""), HYPERLINK(CONCATENATE("#Metadata!", ADDRESS(INDEX($AJ$2:$AJ$1001,MATCH(ROWS($AH$2:AH525),$AH$2:$AH$1001,0),0), INDEX($AO$1004:$BQ$1004,1,MATCH(COLUMNS($AO$1006:BP1006),$AO$1006:$BQ$1006,0)))),"Fix")))</f>
        <v>#N/A</v>
      </c>
      <c r="AD525" s="5" t="e">
        <f ca="1">IF(OR(INDEX($AI$2:$AI$1001,MATCH(ROWS($AH$2:AH525),$AH$2:$AH$1001,0),1)&gt;=100000,INDEX($AO$1005:$BQ$1005,1,MATCH(COLUMNS($AO$1006:BQ1006),$AO$1006:$BQ$1006,0))&gt;=100000), " ",IF(INDEX($AO$2:$BQ$1001,MATCH(ROWS($AH$2:AH525),$AH$2:$AH$1001,0),MATCH(COLUMNS($AO$1006:BQ1006),$AO$1006:$BQ$1006,0)), HYPERLINK("#",""), HYPERLINK(CONCATENATE("#Metadata!", ADDRESS(INDEX($AJ$2:$AJ$1001,MATCH(ROWS($AH$2:AH525),$AH$2:$AH$1001,0),0), INDEX($AO$1004:$BQ$1004,1,MATCH(COLUMNS($AO$1006:BQ1006),$AO$1006:$BQ$1006,0)))),"Fix")))</f>
        <v>#REF!</v>
      </c>
      <c r="AH525">
        <f ca="1"/>
        <v>522</v>
      </c>
      <c r="AI525">
        <v>100525</v>
      </c>
      <c r="AJ525">
        <v>525</v>
      </c>
      <c r="AK525" t="b">
        <f t="shared" si="8"/>
        <v>1</v>
      </c>
      <c r="AL525" t="b">
        <f>COUNTBLANK(Metadata!B525:AD525)=COLUMNS(Metadata!B525:AD525)</f>
        <v>1</v>
      </c>
      <c r="AM525" t="str">
        <v/>
      </c>
      <c r="AO525" t="b">
        <f ca="1">AND(IF(Metadata!B525="",FALSE,TRUE),COUNTIF(Metadata!B:B, Metadata!B525) = 1,NOT(ISERROR(SUMPRODUCT(SEARCH(MID(Metadata!B525,ROW(INDIRECT("1:"&amp;LEN(Metadata!B525))), 1),"0123456789abcdefghijklmnopqrstuvwxyzABCDEFGHIJKLMNOPQRSTUVWXYZ.")))))</f>
        <v>0</v>
      </c>
      <c r="AP525" t="b">
        <f>IF(Metadata!C525="",FALSE,TRUE)</f>
        <v>0</v>
      </c>
      <c r="AQ525" t="b">
        <f>IF(Metadata!D525="",FALSE,TRUE)</f>
        <v>0</v>
      </c>
      <c r="AR525" t="b">
        <f ca="1">OR(AND(IF(Metadata!E525="",FALSE,TRUE),OR(EXACT(Metadata!E525,"not collected"),EXACT(Metadata!E525,"not provided"),EXACT(Metadata!E525,"restricted access"))),AND(IF(Metadata!E525="",FALSE,TRUE),AND(AND(IFERROR(INT(LEFT(Metadata!E525,4))&gt;1900,FALSE),IFERROR(INT(LEFT(Metadata!E525,4))&lt;=YEAR(NOW()),FALSE)), OR(MID(Metadata!E525,5,1)="", AND(AND(MID(Metadata!E525,5,1)="-",IFERROR(INT(MID(Metadata!E525,6,1))&gt;=0,FALSE),IFERROR(INT(MID(Metadata!E525,6,1))&lt;=1,FALSE),NOT(MID(Metadata!E525,7,1)=""),IFERROR(INT(MID(Metadata!E525,6,2))&gt;=1,FALSE),IFERROR(INT(MID(Metadata!E525,6,2))&lt;=12,FALSE)), OR(MID(Metadata!E525,8,1)="", AND(AND(MID(Metadata!E525,8,1)="-",IFERROR(INT(MID(Metadata!E525,9,1))&gt;=0,FALSE),IFERROR(INT(MID(Metadata!E525,9,1))&lt;=3,FALSE),NOT(MID(Metadata!E525,10,1)=""),IFERROR(INT(MID(Metadata!E525,9,2))&gt;=1,FALSE),IFERROR(INT(MID(Metadata!E525,9,2))&lt;=31,FALSE)), OR(MID(Metadata!E525,11,1)="", AND(AND(MID(Metadata!E525,11,1)=" ",IFERROR(INT(MID(Metadata!E525,12,1))&gt;=0,FALSE),IFERROR(INT(MID(Metadata!E525,12,1))&lt;=2,FALSE),NOT(MID(Metadata!E525,13,1)=""),IFERROR(INT(MID(Metadata!E525,12,2))&gt;=0,FALSE),IFERROR(INT(MID(Metadata!E525,12,2))&lt;=23,FALSE)), OR(MID(Metadata!E525,14,1)="", AND(AND(MID(Metadata!E525,14,1)=":",IFERROR(INT(MID(Metadata!E525,15,1))&gt;=0,FALSE),IFERROR(INT(MID(Metadata!E525,15,1))&lt;=5,FALSE),NOT(MID(Metadata!E525,16,1)=""),IFERROR(INT(MID(Metadata!E525,15,2))&gt;=0,FALSE),IFERROR(INT(MID(Metadata!E525,15,2))&lt;=59,FALSE)), OR(MID(Metadata!E525,17,1)="", AND(AND(MID(Metadata!E525,17,1)=":",IFERROR(INT(MID(Metadata!E525,18,1))&gt;=0,FALSE),IFERROR(INT(MID(Metadata!E525,18,1))&lt;=5,FALSE),NOT(MID(Metadata!E525,19,1)=""),IFERROR(INT(MID(Metadata!E525,18,2))&gt;=0,FALSE),IFERROR(INT(MID(Metadata!E525,18,2))&lt;=59,FALSE)), LEN(Metadata!E525)&lt;=19)))))))))))))</f>
        <v>0</v>
      </c>
      <c r="AS525" t="b">
        <f>IF(Metadata!F525="",FALSE,TRUE)</f>
        <v>0</v>
      </c>
      <c r="AT525" t="b">
        <f>OR(AND(IF(Metadata!G525="",FALSE,TRUE),OR(EXACT(Metadata!G525,"not collected"),EXACT(Metadata!G525,"not provided"))),AND(IF(Metadata!G525="",FALSE,TRUE),OR(EXACT(Metadata!G525,"TRUE"),EXACT(Metadata!G525,"FALSE"))))</f>
        <v>0</v>
      </c>
      <c r="AU525" t="b">
        <f>OR(AND(IF(Metadata!H525="",FALSE,TRUE),OR(EXACT(Metadata!H525,"not collected"),EXACT(Metadata!H525,"not provided"),EXACT(Metadata!H525,"restricted access"))),AND(IF(Metadata!H525="",FALSE,ISNUMBER(VALUE(Metadata!H525))),Metadata!H525&gt;=-413))</f>
        <v>0</v>
      </c>
      <c r="AV525" t="b">
        <f>AND(IF(Metadata!I525="",FALSE,TRUE),EXACT(Metadata!I525,"meters"))</f>
        <v>0</v>
      </c>
      <c r="AW525" t="b">
        <f>AND(IF(Metadata!J525="",FALSE,TRUE),EXACT(Metadata!J525,"free-living"))</f>
        <v>0</v>
      </c>
      <c r="AX525" t="b">
        <f>AND(IF(Metadata!K525="",FALSE,TRUE),OR(EXACT(Metadata!K525,"saline"),EXACT(Metadata!K525,"non-saline")))</f>
        <v>0</v>
      </c>
      <c r="AY525" t="b">
        <f>AND(IF(Metadata!L525="",FALSE,TRUE),OR(EXACT(Metadata!L525,"sub-surface (non-saline)"),EXACT(Metadata!L525,"surface (non-saline)"),EXACT(Metadata!L525,"water (non-saline)"),EXACT(Metadata!L525,"soil (non-saline)"),EXACT(Metadata!L525,"aerosol (non-saline)"),EXACT(Metadata!L525,"sediment (non-saline)"),EXACT(Metadata!L525,"surface (saline)"),EXACT(Metadata!L525,"water (saline)"),EXACT(Metadata!L525,"hypersaline (saline)"),EXACT(Metadata!L525,"aerosol (saline)"),EXACT(Metadata!L525,"sediment (saline)")))</f>
        <v>0</v>
      </c>
      <c r="AZ525" t="b">
        <f>IF(Metadata!M525="",FALSE,TRUE)</f>
        <v>0</v>
      </c>
      <c r="BA525" t="b">
        <f>IF(Metadata!N525="",FALSE,TRUE)</f>
        <v>0</v>
      </c>
      <c r="BB525" t="b">
        <f>IF(Metadata!O525="",FALSE,TRUE)</f>
        <v>0</v>
      </c>
      <c r="BC525" t="b">
        <f>AND(IF(Metadata!P525="",FALSE,TRUE),OR(EXACT(Metadata!P525,"air"),EXACT(Metadata!P525,"microbial mat/biofilm"),EXACT(Metadata!P525,"misc environment"),EXACT(Metadata!P525,"sediment"),EXACT(Metadata!P525,"soil"),EXACT(Metadata!P525,"wastewater/sludge"),EXACT(Metadata!P525,"water")))</f>
        <v>0</v>
      </c>
      <c r="BD525" t="b">
        <f>IF(Metadata!Q525="",FALSE,TRUE)</f>
        <v>0</v>
      </c>
      <c r="BE525" t="b">
        <f>IF(Metadata!R525="",FALSE,TRUE)</f>
        <v>0</v>
      </c>
      <c r="BF525" t="b">
        <f>OR(AND(IF(Metadata!S525="",FALSE,TRUE),OR(EXACT(Metadata!S525,"not collected"),EXACT(Metadata!S525,"not provided"),EXACT(Metadata!S525,"restricted access"))),AND(IF(Metadata!S525="",FALSE,ISNUMBER(VALUE(Metadata!S525))),Metadata!S525&gt;=-90,Metadata!S525&lt;=90))</f>
        <v>0</v>
      </c>
      <c r="BG525" t="b">
        <f>AND(IF(Metadata!T525="",FALSE,TRUE),EXACT(Metadata!T525,"Decimal degrees"))</f>
        <v>0</v>
      </c>
      <c r="BH525" t="b">
        <f>OR(AND(IF(Metadata!U525="",FALSE,TRUE),OR(EXACT(Metadata!U525,"not applicable"),EXACT(Metadata!U525,"not collected"))),IF(Metadata!U525="",FALSE,TRUE))</f>
        <v>0</v>
      </c>
      <c r="BI525" t="b">
        <f>OR(AND(IF(Metadata!V525="",FALSE,TRUE),OR(EXACT(Metadata!V525,"not collected"),EXACT(Metadata!V525,"not provided"),EXACT(Metadata!V525,"restricted access"))),AND(IF(Metadata!V525="",FALSE,ISNUMBER(VALUE(Metadata!V525))),Metadata!V525&gt;=-180,Metadata!V525&lt;=180))</f>
        <v>0</v>
      </c>
      <c r="BJ525" t="b">
        <f>AND(IF(Metadata!W525="",FALSE,TRUE),EXACT(Metadata!W525,"Decimal degrees"))</f>
        <v>0</v>
      </c>
      <c r="BK525" t="b">
        <f>IF(Metadata!X525="",FALSE,TRUE)</f>
        <v>0</v>
      </c>
      <c r="BL525" t="b">
        <f>OR(AND(IF(Metadata!Y525="",FALSE,TRUE),OR(EXACT(Metadata!Y525,"not collected"),EXACT(Metadata!Y525,"not provided"),EXACT(Metadata!Y525,"restricted access"))),AND(IF(Metadata!Y525="",FALSE,TRUE),OR(EXACT(Metadata!Y525,"TRUE"),EXACT(Metadata!Y525,"FALSE"))))</f>
        <v>0</v>
      </c>
      <c r="BM525" t="b">
        <f>OR(AND(IF(Metadata!Z525="",FALSE,TRUE),EXACT(Metadata!Z525,"not applicable")),AND(IF(Metadata!Z525="",FALSE,TRUE),OR(EXACT(Metadata!Z525,"beer"),EXACT(Metadata!Z525,"cheese"),EXACT(Metadata!Z525,"fresh water"),EXACT(Metadata!Z525,"marine sediment"),EXACT(Metadata!Z525,"sea water"),EXACT(Metadata!Z525,"sediment"),EXACT(Metadata!Z525,"soil"),EXACT(Metadata!Z525,"waste water"))))</f>
        <v>0</v>
      </c>
      <c r="BN525" t="b">
        <f>AND(IF(Metadata!AA525="",FALSE,TRUE),EXACT(Metadata!AA525,"metagenome"))</f>
        <v>0</v>
      </c>
      <c r="BO525" t="b">
        <f>AND(IF(Metadata!AB525="",FALSE,TRUE),EXACT(Metadata!AB525,"256318"))</f>
        <v>0</v>
      </c>
      <c r="BP525" t="b">
        <f>IF(Metadata!AC525="",FALSE,TRUE)</f>
        <v>0</v>
      </c>
      <c r="BQ525" t="b">
        <f>IF(Metadata!AD525="",FALSE,TRUE)</f>
        <v>0</v>
      </c>
    </row>
    <row r="526" spans="1:69" x14ac:dyDescent="0.2">
      <c r="A526" s="4" t="e">
        <f ca="1">IF(B526=" "," ",HYPERLINK(CONCATENATE("#metadata!",ADDRESS(INDEX($AJ$2:$AJ$1001,MATCH(ROWS($AH$2:AH526),$AH$2:$AH$1001,0),0),2)),INDEX($AM$2:$AM$1001,MATCH(ROWS($AH$2:AH526),$AH$2:$AH$1001,0),0)))</f>
        <v>#N/A</v>
      </c>
      <c r="B526" s="5" t="e">
        <f ca="1">IF(OR(INDEX($AI$2:$AI$1001,MATCH(ROWS($AH$2:AH526),$AH$2:$AH$1001,0),1)&gt;=100000,INDEX($AO$1005:$BQ$1005,1,MATCH(COLUMNS($AO$1006:AO1006),$AO$1006:$BQ$1006,0))&gt;=100000), " ",IF(INDEX($AO$2:$BQ$1001,MATCH(ROWS($AH$2:AH526),$AH$2:$AH$1001,0),MATCH(COLUMNS($AO$1006:AO1006),$AO$1006:$BQ$1006,0)), HYPERLINK("#",""), HYPERLINK(CONCATENATE("#Metadata!", ADDRESS(INDEX($AJ$2:$AJ$1001,MATCH(ROWS($AH$2:AH526),$AH$2:$AH$1001,0),0), INDEX($AO$1004:$BQ$1004,1,MATCH(COLUMNS($AO$1006:AO1006),$AO$1006:$BQ$1006,0)))),"Fix")))</f>
        <v>#N/A</v>
      </c>
      <c r="C526" s="5" t="e">
        <f ca="1">IF(OR(INDEX($AI$2:$AI$1001,MATCH(ROWS($AH$2:AH526),$AH$2:$AH$1001,0),1)&gt;=100000,INDEX($AO$1005:$BQ$1005,1,MATCH(COLUMNS($AO$1006:AP1006),$AO$1006:$BQ$1006,0))&gt;=100000), " ",IF(INDEX($AO$2:$BQ$1001,MATCH(ROWS($AH$2:AH526),$AH$2:$AH$1001,0),MATCH(COLUMNS($AO$1006:AP1006),$AO$1006:$BQ$1006,0)), HYPERLINK("#",""), HYPERLINK(CONCATENATE("#Metadata!", ADDRESS(INDEX($AJ$2:$AJ$1001,MATCH(ROWS($AH$2:AH526),$AH$2:$AH$1001,0),0), INDEX($AO$1004:$BQ$1004,1,MATCH(COLUMNS($AO$1006:AP1006),$AO$1006:$BQ$1006,0)))),"Fix")))</f>
        <v>#N/A</v>
      </c>
      <c r="D526" s="5" t="e">
        <f ca="1">IF(OR(INDEX($AI$2:$AI$1001,MATCH(ROWS($AH$2:AH526),$AH$2:$AH$1001,0),1)&gt;=100000,INDEX($AO$1005:$BQ$1005,1,MATCH(COLUMNS($AO$1006:AQ1006),$AO$1006:$BQ$1006,0))&gt;=100000), " ",IF(INDEX($AO$2:$BQ$1001,MATCH(ROWS($AH$2:AH526),$AH$2:$AH$1001,0),MATCH(COLUMNS($AO$1006:AQ1006),$AO$1006:$BQ$1006,0)), HYPERLINK("#",""), HYPERLINK(CONCATENATE("#Metadata!", ADDRESS(INDEX($AJ$2:$AJ$1001,MATCH(ROWS($AH$2:AH526),$AH$2:$AH$1001,0),0), INDEX($AO$1004:$BQ$1004,1,MATCH(COLUMNS($AO$1006:AQ1006),$AO$1006:$BQ$1006,0)))),"Fix")))</f>
        <v>#N/A</v>
      </c>
      <c r="E526" s="5" t="e">
        <f ca="1">IF(OR(INDEX($AI$2:$AI$1001,MATCH(ROWS($AH$2:AH526),$AH$2:$AH$1001,0),1)&gt;=100000,INDEX($AO$1005:$BQ$1005,1,MATCH(COLUMNS($AO$1006:AR1006),$AO$1006:$BQ$1006,0))&gt;=100000), " ",IF(INDEX($AO$2:$BQ$1001,MATCH(ROWS($AH$2:AH526),$AH$2:$AH$1001,0),MATCH(COLUMNS($AO$1006:AR1006),$AO$1006:$BQ$1006,0)), HYPERLINK("#",""), HYPERLINK(CONCATENATE("#Metadata!", ADDRESS(INDEX($AJ$2:$AJ$1001,MATCH(ROWS($AH$2:AH526),$AH$2:$AH$1001,0),0), INDEX($AO$1004:$BQ$1004,1,MATCH(COLUMNS($AO$1006:AR1006),$AO$1006:$BQ$1006,0)))),"Fix")))</f>
        <v>#N/A</v>
      </c>
      <c r="F526" s="5" t="e">
        <f ca="1">IF(OR(INDEX($AI$2:$AI$1001,MATCH(ROWS($AH$2:AH526),$AH$2:$AH$1001,0),1)&gt;=100000,INDEX($AO$1005:$BQ$1005,1,MATCH(COLUMNS($AO$1006:AS1006),$AO$1006:$BQ$1006,0))&gt;=100000), " ",IF(INDEX($AO$2:$BQ$1001,MATCH(ROWS($AH$2:AH526),$AH$2:$AH$1001,0),MATCH(COLUMNS($AO$1006:AS1006),$AO$1006:$BQ$1006,0)), HYPERLINK("#",""), HYPERLINK(CONCATENATE("#Metadata!", ADDRESS(INDEX($AJ$2:$AJ$1001,MATCH(ROWS($AH$2:AH526),$AH$2:$AH$1001,0),0), INDEX($AO$1004:$BQ$1004,1,MATCH(COLUMNS($AO$1006:AS1006),$AO$1006:$BQ$1006,0)))),"Fix")))</f>
        <v>#N/A</v>
      </c>
      <c r="G526" s="5" t="e">
        <f ca="1">IF(OR(INDEX($AI$2:$AI$1001,MATCH(ROWS($AH$2:AH526),$AH$2:$AH$1001,0),1)&gt;=100000,INDEX($AO$1005:$BQ$1005,1,MATCH(COLUMNS($AO$1006:AT1006),$AO$1006:$BQ$1006,0))&gt;=100000), " ",IF(INDEX($AO$2:$BQ$1001,MATCH(ROWS($AH$2:AH526),$AH$2:$AH$1001,0),MATCH(COLUMNS($AO$1006:AT1006),$AO$1006:$BQ$1006,0)), HYPERLINK("#",""), HYPERLINK(CONCATENATE("#Metadata!", ADDRESS(INDEX($AJ$2:$AJ$1001,MATCH(ROWS($AH$2:AH526),$AH$2:$AH$1001,0),0), INDEX($AO$1004:$BQ$1004,1,MATCH(COLUMNS($AO$1006:AT1006),$AO$1006:$BQ$1006,0)))),"Fix")))</f>
        <v>#N/A</v>
      </c>
      <c r="H526" s="5" t="e">
        <f ca="1">IF(OR(INDEX($AI$2:$AI$1001,MATCH(ROWS($AH$2:AH526),$AH$2:$AH$1001,0),1)&gt;=100000,INDEX($AO$1005:$BQ$1005,1,MATCH(COLUMNS($AO$1006:AU1006),$AO$1006:$BQ$1006,0))&gt;=100000), " ",IF(INDEX($AO$2:$BQ$1001,MATCH(ROWS($AH$2:AH526),$AH$2:$AH$1001,0),MATCH(COLUMNS($AO$1006:AU1006),$AO$1006:$BQ$1006,0)), HYPERLINK("#",""), HYPERLINK(CONCATENATE("#Metadata!", ADDRESS(INDEX($AJ$2:$AJ$1001,MATCH(ROWS($AH$2:AH526),$AH$2:$AH$1001,0),0), INDEX($AO$1004:$BQ$1004,1,MATCH(COLUMNS($AO$1006:AU1006),$AO$1006:$BQ$1006,0)))),"Fix")))</f>
        <v>#N/A</v>
      </c>
      <c r="I526" s="5" t="e">
        <f ca="1">IF(OR(INDEX($AI$2:$AI$1001,MATCH(ROWS($AH$2:AH526),$AH$2:$AH$1001,0),1)&gt;=100000,INDEX($AO$1005:$BQ$1005,1,MATCH(COLUMNS($AO$1006:AV1006),$AO$1006:$BQ$1006,0))&gt;=100000), " ",IF(INDEX($AO$2:$BQ$1001,MATCH(ROWS($AH$2:AH526),$AH$2:$AH$1001,0),MATCH(COLUMNS($AO$1006:AV1006),$AO$1006:$BQ$1006,0)), HYPERLINK("#",""), HYPERLINK(CONCATENATE("#Metadata!", ADDRESS(INDEX($AJ$2:$AJ$1001,MATCH(ROWS($AH$2:AH526),$AH$2:$AH$1001,0),0), INDEX($AO$1004:$BQ$1004,1,MATCH(COLUMNS($AO$1006:AV1006),$AO$1006:$BQ$1006,0)))),"Fix")))</f>
        <v>#N/A</v>
      </c>
      <c r="J526" s="5" t="e">
        <f ca="1">IF(OR(INDEX($AI$2:$AI$1001,MATCH(ROWS($AH$2:AH526),$AH$2:$AH$1001,0),1)&gt;=100000,INDEX($AO$1005:$BQ$1005,1,MATCH(COLUMNS($AO$1006:AW1006),$AO$1006:$BQ$1006,0))&gt;=100000), " ",IF(INDEX($AO$2:$BQ$1001,MATCH(ROWS($AH$2:AH526),$AH$2:$AH$1001,0),MATCH(COLUMNS($AO$1006:AW1006),$AO$1006:$BQ$1006,0)), HYPERLINK("#",""), HYPERLINK(CONCATENATE("#Metadata!", ADDRESS(INDEX($AJ$2:$AJ$1001,MATCH(ROWS($AH$2:AH526),$AH$2:$AH$1001,0),0), INDEX($AO$1004:$BQ$1004,1,MATCH(COLUMNS($AO$1006:AW1006),$AO$1006:$BQ$1006,0)))),"Fix")))</f>
        <v>#N/A</v>
      </c>
      <c r="K526" s="5" t="e">
        <f ca="1">IF(OR(INDEX($AI$2:$AI$1001,MATCH(ROWS($AH$2:AH526),$AH$2:$AH$1001,0),1)&gt;=100000,INDEX($AO$1005:$BQ$1005,1,MATCH(COLUMNS($AO$1006:AX1006),$AO$1006:$BQ$1006,0))&gt;=100000), " ",IF(INDEX($AO$2:$BQ$1001,MATCH(ROWS($AH$2:AH526),$AH$2:$AH$1001,0),MATCH(COLUMNS($AO$1006:AX1006),$AO$1006:$BQ$1006,0)), HYPERLINK("#",""), HYPERLINK(CONCATENATE("#Metadata!", ADDRESS(INDEX($AJ$2:$AJ$1001,MATCH(ROWS($AH$2:AH526),$AH$2:$AH$1001,0),0), INDEX($AO$1004:$BQ$1004,1,MATCH(COLUMNS($AO$1006:AX1006),$AO$1006:$BQ$1006,0)))),"Fix")))</f>
        <v>#N/A</v>
      </c>
      <c r="L526" s="5" t="e">
        <f ca="1">IF(OR(INDEX($AI$2:$AI$1001,MATCH(ROWS($AH$2:AH526),$AH$2:$AH$1001,0),1)&gt;=100000,INDEX($AO$1005:$BQ$1005,1,MATCH(COLUMNS($AO$1006:AY1006),$AO$1006:$BQ$1006,0))&gt;=100000), " ",IF(INDEX($AO$2:$BQ$1001,MATCH(ROWS($AH$2:AH526),$AH$2:$AH$1001,0),MATCH(COLUMNS($AO$1006:AY1006),$AO$1006:$BQ$1006,0)), HYPERLINK("#",""), HYPERLINK(CONCATENATE("#Metadata!", ADDRESS(INDEX($AJ$2:$AJ$1001,MATCH(ROWS($AH$2:AH526),$AH$2:$AH$1001,0),0), INDEX($AO$1004:$BQ$1004,1,MATCH(COLUMNS($AO$1006:AY1006),$AO$1006:$BQ$1006,0)))),"Fix")))</f>
        <v>#N/A</v>
      </c>
      <c r="M526" s="5" t="e">
        <f ca="1">IF(OR(INDEX($AI$2:$AI$1001,MATCH(ROWS($AH$2:AH526),$AH$2:$AH$1001,0),1)&gt;=100000,INDEX($AO$1005:$BQ$1005,1,MATCH(COLUMNS($AO$1006:AZ1006),$AO$1006:$BQ$1006,0))&gt;=100000), " ",IF(INDEX($AO$2:$BQ$1001,MATCH(ROWS($AH$2:AH526),$AH$2:$AH$1001,0),MATCH(COLUMNS($AO$1006:AZ1006),$AO$1006:$BQ$1006,0)), HYPERLINK("#",""), HYPERLINK(CONCATENATE("#Metadata!", ADDRESS(INDEX($AJ$2:$AJ$1001,MATCH(ROWS($AH$2:AH526),$AH$2:$AH$1001,0),0), INDEX($AO$1004:$BQ$1004,1,MATCH(COLUMNS($AO$1006:AZ1006),$AO$1006:$BQ$1006,0)))),"Fix")))</f>
        <v>#N/A</v>
      </c>
      <c r="N526" s="5" t="e">
        <f ca="1">IF(OR(INDEX($AI$2:$AI$1001,MATCH(ROWS($AH$2:AH526),$AH$2:$AH$1001,0),1)&gt;=100000,INDEX($AO$1005:$BQ$1005,1,MATCH(COLUMNS($AO$1006:BA1006),$AO$1006:$BQ$1006,0))&gt;=100000), " ",IF(INDEX($AO$2:$BQ$1001,MATCH(ROWS($AH$2:AH526),$AH$2:$AH$1001,0),MATCH(COLUMNS($AO$1006:BA1006),$AO$1006:$BQ$1006,0)), HYPERLINK("#",""), HYPERLINK(CONCATENATE("#Metadata!", ADDRESS(INDEX($AJ$2:$AJ$1001,MATCH(ROWS($AH$2:AH526),$AH$2:$AH$1001,0),0), INDEX($AO$1004:$BQ$1004,1,MATCH(COLUMNS($AO$1006:BA1006),$AO$1006:$BQ$1006,0)))),"Fix")))</f>
        <v>#N/A</v>
      </c>
      <c r="O526" s="5" t="e">
        <f ca="1">IF(OR(INDEX($AI$2:$AI$1001,MATCH(ROWS($AH$2:AH526),$AH$2:$AH$1001,0),1)&gt;=100000,INDEX($AO$1005:$BQ$1005,1,MATCH(COLUMNS($AO$1006:BB1006),$AO$1006:$BQ$1006,0))&gt;=100000), " ",IF(INDEX($AO$2:$BQ$1001,MATCH(ROWS($AH$2:AH526),$AH$2:$AH$1001,0),MATCH(COLUMNS($AO$1006:BB1006),$AO$1006:$BQ$1006,0)), HYPERLINK("#",""), HYPERLINK(CONCATENATE("#Metadata!", ADDRESS(INDEX($AJ$2:$AJ$1001,MATCH(ROWS($AH$2:AH526),$AH$2:$AH$1001,0),0), INDEX($AO$1004:$BQ$1004,1,MATCH(COLUMNS($AO$1006:BB1006),$AO$1006:$BQ$1006,0)))),"Fix")))</f>
        <v>#N/A</v>
      </c>
      <c r="P526" s="5" t="e">
        <f ca="1">IF(OR(INDEX($AI$2:$AI$1001,MATCH(ROWS($AH$2:AH526),$AH$2:$AH$1001,0),1)&gt;=100000,INDEX($AO$1005:$BQ$1005,1,MATCH(COLUMNS($AO$1006:BC1006),$AO$1006:$BQ$1006,0))&gt;=100000), " ",IF(INDEX($AO$2:$BQ$1001,MATCH(ROWS($AH$2:AH526),$AH$2:$AH$1001,0),MATCH(COLUMNS($AO$1006:BC1006),$AO$1006:$BQ$1006,0)), HYPERLINK("#",""), HYPERLINK(CONCATENATE("#Metadata!", ADDRESS(INDEX($AJ$2:$AJ$1001,MATCH(ROWS($AH$2:AH526),$AH$2:$AH$1001,0),0), INDEX($AO$1004:$BQ$1004,1,MATCH(COLUMNS($AO$1006:BC1006),$AO$1006:$BQ$1006,0)))),"Fix")))</f>
        <v>#N/A</v>
      </c>
      <c r="Q526" s="5" t="e">
        <f ca="1">IF(OR(INDEX($AI$2:$AI$1001,MATCH(ROWS($AH$2:AH526),$AH$2:$AH$1001,0),1)&gt;=100000,INDEX($AO$1005:$BQ$1005,1,MATCH(COLUMNS($AO$1006:BD1006),$AO$1006:$BQ$1006,0))&gt;=100000), " ",IF(INDEX($AO$2:$BQ$1001,MATCH(ROWS($AH$2:AH526),$AH$2:$AH$1001,0),MATCH(COLUMNS($AO$1006:BD1006),$AO$1006:$BQ$1006,0)), HYPERLINK("#",""), HYPERLINK(CONCATENATE("#Metadata!", ADDRESS(INDEX($AJ$2:$AJ$1001,MATCH(ROWS($AH$2:AH526),$AH$2:$AH$1001,0),0), INDEX($AO$1004:$BQ$1004,1,MATCH(COLUMNS($AO$1006:BD1006),$AO$1006:$BQ$1006,0)))),"Fix")))</f>
        <v>#N/A</v>
      </c>
      <c r="R526" s="5" t="e">
        <f ca="1">IF(OR(INDEX($AI$2:$AI$1001,MATCH(ROWS($AH$2:AH526),$AH$2:$AH$1001,0),1)&gt;=100000,INDEX($AO$1005:$BQ$1005,1,MATCH(COLUMNS($AO$1006:BE1006),$AO$1006:$BQ$1006,0))&gt;=100000), " ",IF(INDEX($AO$2:$BQ$1001,MATCH(ROWS($AH$2:AH526),$AH$2:$AH$1001,0),MATCH(COLUMNS($AO$1006:BE1006),$AO$1006:$BQ$1006,0)), HYPERLINK("#",""), HYPERLINK(CONCATENATE("#Metadata!", ADDRESS(INDEX($AJ$2:$AJ$1001,MATCH(ROWS($AH$2:AH526),$AH$2:$AH$1001,0),0), INDEX($AO$1004:$BQ$1004,1,MATCH(COLUMNS($AO$1006:BE1006),$AO$1006:$BQ$1006,0)))),"Fix")))</f>
        <v>#N/A</v>
      </c>
      <c r="S526" s="5" t="e">
        <f ca="1">IF(OR(INDEX($AI$2:$AI$1001,MATCH(ROWS($AH$2:AH526),$AH$2:$AH$1001,0),1)&gt;=100000,INDEX($AO$1005:$BQ$1005,1,MATCH(COLUMNS($AO$1006:BF1006),$AO$1006:$BQ$1006,0))&gt;=100000), " ",IF(INDEX($AO$2:$BQ$1001,MATCH(ROWS($AH$2:AH526),$AH$2:$AH$1001,0),MATCH(COLUMNS($AO$1006:BF1006),$AO$1006:$BQ$1006,0)), HYPERLINK("#",""), HYPERLINK(CONCATENATE("#Metadata!", ADDRESS(INDEX($AJ$2:$AJ$1001,MATCH(ROWS($AH$2:AH526),$AH$2:$AH$1001,0),0), INDEX($AO$1004:$BQ$1004,1,MATCH(COLUMNS($AO$1006:BF1006),$AO$1006:$BQ$1006,0)))),"Fix")))</f>
        <v>#N/A</v>
      </c>
      <c r="T526" s="5" t="e">
        <f ca="1">IF(OR(INDEX($AI$2:$AI$1001,MATCH(ROWS($AH$2:AH526),$AH$2:$AH$1001,0),1)&gt;=100000,INDEX($AO$1005:$BQ$1005,1,MATCH(COLUMNS($AO$1006:BG1006),$AO$1006:$BQ$1006,0))&gt;=100000), " ",IF(INDEX($AO$2:$BQ$1001,MATCH(ROWS($AH$2:AH526),$AH$2:$AH$1001,0),MATCH(COLUMNS($AO$1006:BG1006),$AO$1006:$BQ$1006,0)), HYPERLINK("#",""), HYPERLINK(CONCATENATE("#Metadata!", ADDRESS(INDEX($AJ$2:$AJ$1001,MATCH(ROWS($AH$2:AH526),$AH$2:$AH$1001,0),0), INDEX($AO$1004:$BQ$1004,1,MATCH(COLUMNS($AO$1006:BG1006),$AO$1006:$BQ$1006,0)))),"Fix")))</f>
        <v>#N/A</v>
      </c>
      <c r="U526" s="5" t="e">
        <f ca="1">IF(OR(INDEX($AI$2:$AI$1001,MATCH(ROWS($AH$2:AH526),$AH$2:$AH$1001,0),1)&gt;=100000,INDEX($AO$1005:$BQ$1005,1,MATCH(COLUMNS($AO$1006:BH1006),$AO$1006:$BQ$1006,0))&gt;=100000), " ",IF(INDEX($AO$2:$BQ$1001,MATCH(ROWS($AH$2:AH526),$AH$2:$AH$1001,0),MATCH(COLUMNS($AO$1006:BH1006),$AO$1006:$BQ$1006,0)), HYPERLINK("#",""), HYPERLINK(CONCATENATE("#Metadata!", ADDRESS(INDEX($AJ$2:$AJ$1001,MATCH(ROWS($AH$2:AH526),$AH$2:$AH$1001,0),0), INDEX($AO$1004:$BQ$1004,1,MATCH(COLUMNS($AO$1006:BH1006),$AO$1006:$BQ$1006,0)))),"Fix")))</f>
        <v>#N/A</v>
      </c>
      <c r="V526" s="5" t="e">
        <f ca="1">IF(OR(INDEX($AI$2:$AI$1001,MATCH(ROWS($AH$2:AH526),$AH$2:$AH$1001,0),1)&gt;=100000,INDEX($AO$1005:$BQ$1005,1,MATCH(COLUMNS($AO$1006:BI1006),$AO$1006:$BQ$1006,0))&gt;=100000), " ",IF(INDEX($AO$2:$BQ$1001,MATCH(ROWS($AH$2:AH526),$AH$2:$AH$1001,0),MATCH(COLUMNS($AO$1006:BI1006),$AO$1006:$BQ$1006,0)), HYPERLINK("#",""), HYPERLINK(CONCATENATE("#Metadata!", ADDRESS(INDEX($AJ$2:$AJ$1001,MATCH(ROWS($AH$2:AH526),$AH$2:$AH$1001,0),0), INDEX($AO$1004:$BQ$1004,1,MATCH(COLUMNS($AO$1006:BI1006),$AO$1006:$BQ$1006,0)))),"Fix")))</f>
        <v>#N/A</v>
      </c>
      <c r="W526" s="5" t="e">
        <f ca="1">IF(OR(INDEX($AI$2:$AI$1001,MATCH(ROWS($AH$2:AH526),$AH$2:$AH$1001,0),1)&gt;=100000,INDEX($AO$1005:$BQ$1005,1,MATCH(COLUMNS($AO$1006:BJ1006),$AO$1006:$BQ$1006,0))&gt;=100000), " ",IF(INDEX($AO$2:$BQ$1001,MATCH(ROWS($AH$2:AH526),$AH$2:$AH$1001,0),MATCH(COLUMNS($AO$1006:BJ1006),$AO$1006:$BQ$1006,0)), HYPERLINK("#",""), HYPERLINK(CONCATENATE("#Metadata!", ADDRESS(INDEX($AJ$2:$AJ$1001,MATCH(ROWS($AH$2:AH526),$AH$2:$AH$1001,0),0), INDEX($AO$1004:$BQ$1004,1,MATCH(COLUMNS($AO$1006:BJ1006),$AO$1006:$BQ$1006,0)))),"Fix")))</f>
        <v>#N/A</v>
      </c>
      <c r="X526" s="5" t="e">
        <f ca="1">IF(OR(INDEX($AI$2:$AI$1001,MATCH(ROWS($AH$2:AH526),$AH$2:$AH$1001,0),1)&gt;=100000,INDEX($AO$1005:$BQ$1005,1,MATCH(COLUMNS($AO$1006:BK1006),$AO$1006:$BQ$1006,0))&gt;=100000), " ",IF(INDEX($AO$2:$BQ$1001,MATCH(ROWS($AH$2:AH526),$AH$2:$AH$1001,0),MATCH(COLUMNS($AO$1006:BK1006),$AO$1006:$BQ$1006,0)), HYPERLINK("#",""), HYPERLINK(CONCATENATE("#Metadata!", ADDRESS(INDEX($AJ$2:$AJ$1001,MATCH(ROWS($AH$2:AH526),$AH$2:$AH$1001,0),0), INDEX($AO$1004:$BQ$1004,1,MATCH(COLUMNS($AO$1006:BK1006),$AO$1006:$BQ$1006,0)))),"Fix")))</f>
        <v>#N/A</v>
      </c>
      <c r="Y526" s="5" t="e">
        <f ca="1">IF(OR(INDEX($AI$2:$AI$1001,MATCH(ROWS($AH$2:AH526),$AH$2:$AH$1001,0),1)&gt;=100000,INDEX($AO$1005:$BQ$1005,1,MATCH(COLUMNS($AO$1006:BL1006),$AO$1006:$BQ$1006,0))&gt;=100000), " ",IF(INDEX($AO$2:$BQ$1001,MATCH(ROWS($AH$2:AH526),$AH$2:$AH$1001,0),MATCH(COLUMNS($AO$1006:BL1006),$AO$1006:$BQ$1006,0)), HYPERLINK("#",""), HYPERLINK(CONCATENATE("#Metadata!", ADDRESS(INDEX($AJ$2:$AJ$1001,MATCH(ROWS($AH$2:AH526),$AH$2:$AH$1001,0),0), INDEX($AO$1004:$BQ$1004,1,MATCH(COLUMNS($AO$1006:BL1006),$AO$1006:$BQ$1006,0)))),"Fix")))</f>
        <v>#N/A</v>
      </c>
      <c r="Z526" s="5" t="e">
        <f ca="1">IF(OR(INDEX($AI$2:$AI$1001,MATCH(ROWS($AH$2:AH526),$AH$2:$AH$1001,0),1)&gt;=100000,INDEX($AO$1005:$BQ$1005,1,MATCH(COLUMNS($AO$1006:BM1006),$AO$1006:$BQ$1006,0))&gt;=100000), " ",IF(INDEX($AO$2:$BQ$1001,MATCH(ROWS($AH$2:AH526),$AH$2:$AH$1001,0),MATCH(COLUMNS($AO$1006:BM1006),$AO$1006:$BQ$1006,0)), HYPERLINK("#",""), HYPERLINK(CONCATENATE("#Metadata!", ADDRESS(INDEX($AJ$2:$AJ$1001,MATCH(ROWS($AH$2:AH526),$AH$2:$AH$1001,0),0), INDEX($AO$1004:$BQ$1004,1,MATCH(COLUMNS($AO$1006:BM1006),$AO$1006:$BQ$1006,0)))),"Fix")))</f>
        <v>#N/A</v>
      </c>
      <c r="AA526" s="5" t="e">
        <f ca="1">IF(OR(INDEX($AI$2:$AI$1001,MATCH(ROWS($AH$2:AH526),$AH$2:$AH$1001,0),1)&gt;=100000,INDEX($AO$1005:$BQ$1005,1,MATCH(COLUMNS($AO$1006:BN1006),$AO$1006:$BQ$1006,0))&gt;=100000), " ",IF(INDEX($AO$2:$BQ$1001,MATCH(ROWS($AH$2:AH526),$AH$2:$AH$1001,0),MATCH(COLUMNS($AO$1006:BN1006),$AO$1006:$BQ$1006,0)), HYPERLINK("#",""), HYPERLINK(CONCATENATE("#Metadata!", ADDRESS(INDEX($AJ$2:$AJ$1001,MATCH(ROWS($AH$2:AH526),$AH$2:$AH$1001,0),0), INDEX($AO$1004:$BQ$1004,1,MATCH(COLUMNS($AO$1006:BN1006),$AO$1006:$BQ$1006,0)))),"Fix")))</f>
        <v>#N/A</v>
      </c>
      <c r="AB526" s="5" t="e">
        <f ca="1">IF(OR(INDEX($AI$2:$AI$1001,MATCH(ROWS($AH$2:AH526),$AH$2:$AH$1001,0),1)&gt;=100000,INDEX($AO$1005:$BQ$1005,1,MATCH(COLUMNS($AO$1006:BO1006),$AO$1006:$BQ$1006,0))&gt;=100000), " ",IF(INDEX($AO$2:$BQ$1001,MATCH(ROWS($AH$2:AH526),$AH$2:$AH$1001,0),MATCH(COLUMNS($AO$1006:BO1006),$AO$1006:$BQ$1006,0)), HYPERLINK("#",""), HYPERLINK(CONCATENATE("#Metadata!", ADDRESS(INDEX($AJ$2:$AJ$1001,MATCH(ROWS($AH$2:AH526),$AH$2:$AH$1001,0),0), INDEX($AO$1004:$BQ$1004,1,MATCH(COLUMNS($AO$1006:BO1006),$AO$1006:$BQ$1006,0)))),"Fix")))</f>
        <v>#N/A</v>
      </c>
      <c r="AC526" s="5" t="e">
        <f ca="1">IF(OR(INDEX($AI$2:$AI$1001,MATCH(ROWS($AH$2:AH526),$AH$2:$AH$1001,0),1)&gt;=100000,INDEX($AO$1005:$BQ$1005,1,MATCH(COLUMNS($AO$1006:BP1006),$AO$1006:$BQ$1006,0))&gt;=100000), " ",IF(INDEX($AO$2:$BQ$1001,MATCH(ROWS($AH$2:AH526),$AH$2:$AH$1001,0),MATCH(COLUMNS($AO$1006:BP1006),$AO$1006:$BQ$1006,0)), HYPERLINK("#",""), HYPERLINK(CONCATENATE("#Metadata!", ADDRESS(INDEX($AJ$2:$AJ$1001,MATCH(ROWS($AH$2:AH526),$AH$2:$AH$1001,0),0), INDEX($AO$1004:$BQ$1004,1,MATCH(COLUMNS($AO$1006:BP1006),$AO$1006:$BQ$1006,0)))),"Fix")))</f>
        <v>#N/A</v>
      </c>
      <c r="AD526" s="5" t="e">
        <f ca="1">IF(OR(INDEX($AI$2:$AI$1001,MATCH(ROWS($AH$2:AH526),$AH$2:$AH$1001,0),1)&gt;=100000,INDEX($AO$1005:$BQ$1005,1,MATCH(COLUMNS($AO$1006:BQ1006),$AO$1006:$BQ$1006,0))&gt;=100000), " ",IF(INDEX($AO$2:$BQ$1001,MATCH(ROWS($AH$2:AH526),$AH$2:$AH$1001,0),MATCH(COLUMNS($AO$1006:BQ1006),$AO$1006:$BQ$1006,0)), HYPERLINK("#",""), HYPERLINK(CONCATENATE("#Metadata!", ADDRESS(INDEX($AJ$2:$AJ$1001,MATCH(ROWS($AH$2:AH526),$AH$2:$AH$1001,0),0), INDEX($AO$1004:$BQ$1004,1,MATCH(COLUMNS($AO$1006:BQ1006),$AO$1006:$BQ$1006,0)))),"Fix")))</f>
        <v>#REF!</v>
      </c>
      <c r="AH526">
        <f ca="1"/>
        <v>523</v>
      </c>
      <c r="AI526">
        <v>100526</v>
      </c>
      <c r="AJ526">
        <v>526</v>
      </c>
      <c r="AK526" t="b">
        <f t="shared" si="8"/>
        <v>1</v>
      </c>
      <c r="AL526" t="b">
        <f>COUNTBLANK(Metadata!B526:AD526)=COLUMNS(Metadata!B526:AD526)</f>
        <v>1</v>
      </c>
      <c r="AM526" t="str">
        <v/>
      </c>
      <c r="AO526" t="b">
        <f ca="1">AND(IF(Metadata!B526="",FALSE,TRUE),COUNTIF(Metadata!B:B, Metadata!B526) = 1,NOT(ISERROR(SUMPRODUCT(SEARCH(MID(Metadata!B526,ROW(INDIRECT("1:"&amp;LEN(Metadata!B526))), 1),"0123456789abcdefghijklmnopqrstuvwxyzABCDEFGHIJKLMNOPQRSTUVWXYZ.")))))</f>
        <v>0</v>
      </c>
      <c r="AP526" t="b">
        <f>IF(Metadata!C526="",FALSE,TRUE)</f>
        <v>0</v>
      </c>
      <c r="AQ526" t="b">
        <f>IF(Metadata!D526="",FALSE,TRUE)</f>
        <v>0</v>
      </c>
      <c r="AR526" t="b">
        <f ca="1">OR(AND(IF(Metadata!E526="",FALSE,TRUE),OR(EXACT(Metadata!E526,"not collected"),EXACT(Metadata!E526,"not provided"),EXACT(Metadata!E526,"restricted access"))),AND(IF(Metadata!E526="",FALSE,TRUE),AND(AND(IFERROR(INT(LEFT(Metadata!E526,4))&gt;1900,FALSE),IFERROR(INT(LEFT(Metadata!E526,4))&lt;=YEAR(NOW()),FALSE)), OR(MID(Metadata!E526,5,1)="", AND(AND(MID(Metadata!E526,5,1)="-",IFERROR(INT(MID(Metadata!E526,6,1))&gt;=0,FALSE),IFERROR(INT(MID(Metadata!E526,6,1))&lt;=1,FALSE),NOT(MID(Metadata!E526,7,1)=""),IFERROR(INT(MID(Metadata!E526,6,2))&gt;=1,FALSE),IFERROR(INT(MID(Metadata!E526,6,2))&lt;=12,FALSE)), OR(MID(Metadata!E526,8,1)="", AND(AND(MID(Metadata!E526,8,1)="-",IFERROR(INT(MID(Metadata!E526,9,1))&gt;=0,FALSE),IFERROR(INT(MID(Metadata!E526,9,1))&lt;=3,FALSE),NOT(MID(Metadata!E526,10,1)=""),IFERROR(INT(MID(Metadata!E526,9,2))&gt;=1,FALSE),IFERROR(INT(MID(Metadata!E526,9,2))&lt;=31,FALSE)), OR(MID(Metadata!E526,11,1)="", AND(AND(MID(Metadata!E526,11,1)=" ",IFERROR(INT(MID(Metadata!E526,12,1))&gt;=0,FALSE),IFERROR(INT(MID(Metadata!E526,12,1))&lt;=2,FALSE),NOT(MID(Metadata!E526,13,1)=""),IFERROR(INT(MID(Metadata!E526,12,2))&gt;=0,FALSE),IFERROR(INT(MID(Metadata!E526,12,2))&lt;=23,FALSE)), OR(MID(Metadata!E526,14,1)="", AND(AND(MID(Metadata!E526,14,1)=":",IFERROR(INT(MID(Metadata!E526,15,1))&gt;=0,FALSE),IFERROR(INT(MID(Metadata!E526,15,1))&lt;=5,FALSE),NOT(MID(Metadata!E526,16,1)=""),IFERROR(INT(MID(Metadata!E526,15,2))&gt;=0,FALSE),IFERROR(INT(MID(Metadata!E526,15,2))&lt;=59,FALSE)), OR(MID(Metadata!E526,17,1)="", AND(AND(MID(Metadata!E526,17,1)=":",IFERROR(INT(MID(Metadata!E526,18,1))&gt;=0,FALSE),IFERROR(INT(MID(Metadata!E526,18,1))&lt;=5,FALSE),NOT(MID(Metadata!E526,19,1)=""),IFERROR(INT(MID(Metadata!E526,18,2))&gt;=0,FALSE),IFERROR(INT(MID(Metadata!E526,18,2))&lt;=59,FALSE)), LEN(Metadata!E526)&lt;=19)))))))))))))</f>
        <v>0</v>
      </c>
      <c r="AS526" t="b">
        <f>IF(Metadata!F526="",FALSE,TRUE)</f>
        <v>0</v>
      </c>
      <c r="AT526" t="b">
        <f>OR(AND(IF(Metadata!G526="",FALSE,TRUE),OR(EXACT(Metadata!G526,"not collected"),EXACT(Metadata!G526,"not provided"))),AND(IF(Metadata!G526="",FALSE,TRUE),OR(EXACT(Metadata!G526,"TRUE"),EXACT(Metadata!G526,"FALSE"))))</f>
        <v>0</v>
      </c>
      <c r="AU526" t="b">
        <f>OR(AND(IF(Metadata!H526="",FALSE,TRUE),OR(EXACT(Metadata!H526,"not collected"),EXACT(Metadata!H526,"not provided"),EXACT(Metadata!H526,"restricted access"))),AND(IF(Metadata!H526="",FALSE,ISNUMBER(VALUE(Metadata!H526))),Metadata!H526&gt;=-413))</f>
        <v>0</v>
      </c>
      <c r="AV526" t="b">
        <f>AND(IF(Metadata!I526="",FALSE,TRUE),EXACT(Metadata!I526,"meters"))</f>
        <v>0</v>
      </c>
      <c r="AW526" t="b">
        <f>AND(IF(Metadata!J526="",FALSE,TRUE),EXACT(Metadata!J526,"free-living"))</f>
        <v>0</v>
      </c>
      <c r="AX526" t="b">
        <f>AND(IF(Metadata!K526="",FALSE,TRUE),OR(EXACT(Metadata!K526,"saline"),EXACT(Metadata!K526,"non-saline")))</f>
        <v>0</v>
      </c>
      <c r="AY526" t="b">
        <f>AND(IF(Metadata!L526="",FALSE,TRUE),OR(EXACT(Metadata!L526,"sub-surface (non-saline)"),EXACT(Metadata!L526,"surface (non-saline)"),EXACT(Metadata!L526,"water (non-saline)"),EXACT(Metadata!L526,"soil (non-saline)"),EXACT(Metadata!L526,"aerosol (non-saline)"),EXACT(Metadata!L526,"sediment (non-saline)"),EXACT(Metadata!L526,"surface (saline)"),EXACT(Metadata!L526,"water (saline)"),EXACT(Metadata!L526,"hypersaline (saline)"),EXACT(Metadata!L526,"aerosol (saline)"),EXACT(Metadata!L526,"sediment (saline)")))</f>
        <v>0</v>
      </c>
      <c r="AZ526" t="b">
        <f>IF(Metadata!M526="",FALSE,TRUE)</f>
        <v>0</v>
      </c>
      <c r="BA526" t="b">
        <f>IF(Metadata!N526="",FALSE,TRUE)</f>
        <v>0</v>
      </c>
      <c r="BB526" t="b">
        <f>IF(Metadata!O526="",FALSE,TRUE)</f>
        <v>0</v>
      </c>
      <c r="BC526" t="b">
        <f>AND(IF(Metadata!P526="",FALSE,TRUE),OR(EXACT(Metadata!P526,"air"),EXACT(Metadata!P526,"microbial mat/biofilm"),EXACT(Metadata!P526,"misc environment"),EXACT(Metadata!P526,"sediment"),EXACT(Metadata!P526,"soil"),EXACT(Metadata!P526,"wastewater/sludge"),EXACT(Metadata!P526,"water")))</f>
        <v>0</v>
      </c>
      <c r="BD526" t="b">
        <f>IF(Metadata!Q526="",FALSE,TRUE)</f>
        <v>0</v>
      </c>
      <c r="BE526" t="b">
        <f>IF(Metadata!R526="",FALSE,TRUE)</f>
        <v>0</v>
      </c>
      <c r="BF526" t="b">
        <f>OR(AND(IF(Metadata!S526="",FALSE,TRUE),OR(EXACT(Metadata!S526,"not collected"),EXACT(Metadata!S526,"not provided"),EXACT(Metadata!S526,"restricted access"))),AND(IF(Metadata!S526="",FALSE,ISNUMBER(VALUE(Metadata!S526))),Metadata!S526&gt;=-90,Metadata!S526&lt;=90))</f>
        <v>0</v>
      </c>
      <c r="BG526" t="b">
        <f>AND(IF(Metadata!T526="",FALSE,TRUE),EXACT(Metadata!T526,"Decimal degrees"))</f>
        <v>0</v>
      </c>
      <c r="BH526" t="b">
        <f>OR(AND(IF(Metadata!U526="",FALSE,TRUE),OR(EXACT(Metadata!U526,"not applicable"),EXACT(Metadata!U526,"not collected"))),IF(Metadata!U526="",FALSE,TRUE))</f>
        <v>0</v>
      </c>
      <c r="BI526" t="b">
        <f>OR(AND(IF(Metadata!V526="",FALSE,TRUE),OR(EXACT(Metadata!V526,"not collected"),EXACT(Metadata!V526,"not provided"),EXACT(Metadata!V526,"restricted access"))),AND(IF(Metadata!V526="",FALSE,ISNUMBER(VALUE(Metadata!V526))),Metadata!V526&gt;=-180,Metadata!V526&lt;=180))</f>
        <v>0</v>
      </c>
      <c r="BJ526" t="b">
        <f>AND(IF(Metadata!W526="",FALSE,TRUE),EXACT(Metadata!W526,"Decimal degrees"))</f>
        <v>0</v>
      </c>
      <c r="BK526" t="b">
        <f>IF(Metadata!X526="",FALSE,TRUE)</f>
        <v>0</v>
      </c>
      <c r="BL526" t="b">
        <f>OR(AND(IF(Metadata!Y526="",FALSE,TRUE),OR(EXACT(Metadata!Y526,"not collected"),EXACT(Metadata!Y526,"not provided"),EXACT(Metadata!Y526,"restricted access"))),AND(IF(Metadata!Y526="",FALSE,TRUE),OR(EXACT(Metadata!Y526,"TRUE"),EXACT(Metadata!Y526,"FALSE"))))</f>
        <v>0</v>
      </c>
      <c r="BM526" t="b">
        <f>OR(AND(IF(Metadata!Z526="",FALSE,TRUE),EXACT(Metadata!Z526,"not applicable")),AND(IF(Metadata!Z526="",FALSE,TRUE),OR(EXACT(Metadata!Z526,"beer"),EXACT(Metadata!Z526,"cheese"),EXACT(Metadata!Z526,"fresh water"),EXACT(Metadata!Z526,"marine sediment"),EXACT(Metadata!Z526,"sea water"),EXACT(Metadata!Z526,"sediment"),EXACT(Metadata!Z526,"soil"),EXACT(Metadata!Z526,"waste water"))))</f>
        <v>0</v>
      </c>
      <c r="BN526" t="b">
        <f>AND(IF(Metadata!AA526="",FALSE,TRUE),EXACT(Metadata!AA526,"metagenome"))</f>
        <v>0</v>
      </c>
      <c r="BO526" t="b">
        <f>AND(IF(Metadata!AB526="",FALSE,TRUE),EXACT(Metadata!AB526,"256318"))</f>
        <v>0</v>
      </c>
      <c r="BP526" t="b">
        <f>IF(Metadata!AC526="",FALSE,TRUE)</f>
        <v>0</v>
      </c>
      <c r="BQ526" t="b">
        <f>IF(Metadata!AD526="",FALSE,TRUE)</f>
        <v>0</v>
      </c>
    </row>
    <row r="527" spans="1:69" x14ac:dyDescent="0.2">
      <c r="A527" s="4" t="e">
        <f ca="1">IF(B527=" "," ",HYPERLINK(CONCATENATE("#metadata!",ADDRESS(INDEX($AJ$2:$AJ$1001,MATCH(ROWS($AH$2:AH527),$AH$2:$AH$1001,0),0),2)),INDEX($AM$2:$AM$1001,MATCH(ROWS($AH$2:AH527),$AH$2:$AH$1001,0),0)))</f>
        <v>#N/A</v>
      </c>
      <c r="B527" s="5" t="e">
        <f ca="1">IF(OR(INDEX($AI$2:$AI$1001,MATCH(ROWS($AH$2:AH527),$AH$2:$AH$1001,0),1)&gt;=100000,INDEX($AO$1005:$BQ$1005,1,MATCH(COLUMNS($AO$1006:AO1006),$AO$1006:$BQ$1006,0))&gt;=100000), " ",IF(INDEX($AO$2:$BQ$1001,MATCH(ROWS($AH$2:AH527),$AH$2:$AH$1001,0),MATCH(COLUMNS($AO$1006:AO1006),$AO$1006:$BQ$1006,0)), HYPERLINK("#",""), HYPERLINK(CONCATENATE("#Metadata!", ADDRESS(INDEX($AJ$2:$AJ$1001,MATCH(ROWS($AH$2:AH527),$AH$2:$AH$1001,0),0), INDEX($AO$1004:$BQ$1004,1,MATCH(COLUMNS($AO$1006:AO1006),$AO$1006:$BQ$1006,0)))),"Fix")))</f>
        <v>#N/A</v>
      </c>
      <c r="C527" s="5" t="e">
        <f ca="1">IF(OR(INDEX($AI$2:$AI$1001,MATCH(ROWS($AH$2:AH527),$AH$2:$AH$1001,0),1)&gt;=100000,INDEX($AO$1005:$BQ$1005,1,MATCH(COLUMNS($AO$1006:AP1006),$AO$1006:$BQ$1006,0))&gt;=100000), " ",IF(INDEX($AO$2:$BQ$1001,MATCH(ROWS($AH$2:AH527),$AH$2:$AH$1001,0),MATCH(COLUMNS($AO$1006:AP1006),$AO$1006:$BQ$1006,0)), HYPERLINK("#",""), HYPERLINK(CONCATENATE("#Metadata!", ADDRESS(INDEX($AJ$2:$AJ$1001,MATCH(ROWS($AH$2:AH527),$AH$2:$AH$1001,0),0), INDEX($AO$1004:$BQ$1004,1,MATCH(COLUMNS($AO$1006:AP1006),$AO$1006:$BQ$1006,0)))),"Fix")))</f>
        <v>#N/A</v>
      </c>
      <c r="D527" s="5" t="e">
        <f ca="1">IF(OR(INDEX($AI$2:$AI$1001,MATCH(ROWS($AH$2:AH527),$AH$2:$AH$1001,0),1)&gt;=100000,INDEX($AO$1005:$BQ$1005,1,MATCH(COLUMNS($AO$1006:AQ1006),$AO$1006:$BQ$1006,0))&gt;=100000), " ",IF(INDEX($AO$2:$BQ$1001,MATCH(ROWS($AH$2:AH527),$AH$2:$AH$1001,0),MATCH(COLUMNS($AO$1006:AQ1006),$AO$1006:$BQ$1006,0)), HYPERLINK("#",""), HYPERLINK(CONCATENATE("#Metadata!", ADDRESS(INDEX($AJ$2:$AJ$1001,MATCH(ROWS($AH$2:AH527),$AH$2:$AH$1001,0),0), INDEX($AO$1004:$BQ$1004,1,MATCH(COLUMNS($AO$1006:AQ1006),$AO$1006:$BQ$1006,0)))),"Fix")))</f>
        <v>#N/A</v>
      </c>
      <c r="E527" s="5" t="e">
        <f ca="1">IF(OR(INDEX($AI$2:$AI$1001,MATCH(ROWS($AH$2:AH527),$AH$2:$AH$1001,0),1)&gt;=100000,INDEX($AO$1005:$BQ$1005,1,MATCH(COLUMNS($AO$1006:AR1006),$AO$1006:$BQ$1006,0))&gt;=100000), " ",IF(INDEX($AO$2:$BQ$1001,MATCH(ROWS($AH$2:AH527),$AH$2:$AH$1001,0),MATCH(COLUMNS($AO$1006:AR1006),$AO$1006:$BQ$1006,0)), HYPERLINK("#",""), HYPERLINK(CONCATENATE("#Metadata!", ADDRESS(INDEX($AJ$2:$AJ$1001,MATCH(ROWS($AH$2:AH527),$AH$2:$AH$1001,0),0), INDEX($AO$1004:$BQ$1004,1,MATCH(COLUMNS($AO$1006:AR1006),$AO$1006:$BQ$1006,0)))),"Fix")))</f>
        <v>#N/A</v>
      </c>
      <c r="F527" s="5" t="e">
        <f ca="1">IF(OR(INDEX($AI$2:$AI$1001,MATCH(ROWS($AH$2:AH527),$AH$2:$AH$1001,0),1)&gt;=100000,INDEX($AO$1005:$BQ$1005,1,MATCH(COLUMNS($AO$1006:AS1006),$AO$1006:$BQ$1006,0))&gt;=100000), " ",IF(INDEX($AO$2:$BQ$1001,MATCH(ROWS($AH$2:AH527),$AH$2:$AH$1001,0),MATCH(COLUMNS($AO$1006:AS1006),$AO$1006:$BQ$1006,0)), HYPERLINK("#",""), HYPERLINK(CONCATENATE("#Metadata!", ADDRESS(INDEX($AJ$2:$AJ$1001,MATCH(ROWS($AH$2:AH527),$AH$2:$AH$1001,0),0), INDEX($AO$1004:$BQ$1004,1,MATCH(COLUMNS($AO$1006:AS1006),$AO$1006:$BQ$1006,0)))),"Fix")))</f>
        <v>#N/A</v>
      </c>
      <c r="G527" s="5" t="e">
        <f ca="1">IF(OR(INDEX($AI$2:$AI$1001,MATCH(ROWS($AH$2:AH527),$AH$2:$AH$1001,0),1)&gt;=100000,INDEX($AO$1005:$BQ$1005,1,MATCH(COLUMNS($AO$1006:AT1006),$AO$1006:$BQ$1006,0))&gt;=100000), " ",IF(INDEX($AO$2:$BQ$1001,MATCH(ROWS($AH$2:AH527),$AH$2:$AH$1001,0),MATCH(COLUMNS($AO$1006:AT1006),$AO$1006:$BQ$1006,0)), HYPERLINK("#",""), HYPERLINK(CONCATENATE("#Metadata!", ADDRESS(INDEX($AJ$2:$AJ$1001,MATCH(ROWS($AH$2:AH527),$AH$2:$AH$1001,0),0), INDEX($AO$1004:$BQ$1004,1,MATCH(COLUMNS($AO$1006:AT1006),$AO$1006:$BQ$1006,0)))),"Fix")))</f>
        <v>#N/A</v>
      </c>
      <c r="H527" s="5" t="e">
        <f ca="1">IF(OR(INDEX($AI$2:$AI$1001,MATCH(ROWS($AH$2:AH527),$AH$2:$AH$1001,0),1)&gt;=100000,INDEX($AO$1005:$BQ$1005,1,MATCH(COLUMNS($AO$1006:AU1006),$AO$1006:$BQ$1006,0))&gt;=100000), " ",IF(INDEX($AO$2:$BQ$1001,MATCH(ROWS($AH$2:AH527),$AH$2:$AH$1001,0),MATCH(COLUMNS($AO$1006:AU1006),$AO$1006:$BQ$1006,0)), HYPERLINK("#",""), HYPERLINK(CONCATENATE("#Metadata!", ADDRESS(INDEX($AJ$2:$AJ$1001,MATCH(ROWS($AH$2:AH527),$AH$2:$AH$1001,0),0), INDEX($AO$1004:$BQ$1004,1,MATCH(COLUMNS($AO$1006:AU1006),$AO$1006:$BQ$1006,0)))),"Fix")))</f>
        <v>#N/A</v>
      </c>
      <c r="I527" s="5" t="e">
        <f ca="1">IF(OR(INDEX($AI$2:$AI$1001,MATCH(ROWS($AH$2:AH527),$AH$2:$AH$1001,0),1)&gt;=100000,INDEX($AO$1005:$BQ$1005,1,MATCH(COLUMNS($AO$1006:AV1006),$AO$1006:$BQ$1006,0))&gt;=100000), " ",IF(INDEX($AO$2:$BQ$1001,MATCH(ROWS($AH$2:AH527),$AH$2:$AH$1001,0),MATCH(COLUMNS($AO$1006:AV1006),$AO$1006:$BQ$1006,0)), HYPERLINK("#",""), HYPERLINK(CONCATENATE("#Metadata!", ADDRESS(INDEX($AJ$2:$AJ$1001,MATCH(ROWS($AH$2:AH527),$AH$2:$AH$1001,0),0), INDEX($AO$1004:$BQ$1004,1,MATCH(COLUMNS($AO$1006:AV1006),$AO$1006:$BQ$1006,0)))),"Fix")))</f>
        <v>#N/A</v>
      </c>
      <c r="J527" s="5" t="e">
        <f ca="1">IF(OR(INDEX($AI$2:$AI$1001,MATCH(ROWS($AH$2:AH527),$AH$2:$AH$1001,0),1)&gt;=100000,INDEX($AO$1005:$BQ$1005,1,MATCH(COLUMNS($AO$1006:AW1006),$AO$1006:$BQ$1006,0))&gt;=100000), " ",IF(INDEX($AO$2:$BQ$1001,MATCH(ROWS($AH$2:AH527),$AH$2:$AH$1001,0),MATCH(COLUMNS($AO$1006:AW1006),$AO$1006:$BQ$1006,0)), HYPERLINK("#",""), HYPERLINK(CONCATENATE("#Metadata!", ADDRESS(INDEX($AJ$2:$AJ$1001,MATCH(ROWS($AH$2:AH527),$AH$2:$AH$1001,0),0), INDEX($AO$1004:$BQ$1004,1,MATCH(COLUMNS($AO$1006:AW1006),$AO$1006:$BQ$1006,0)))),"Fix")))</f>
        <v>#N/A</v>
      </c>
      <c r="K527" s="5" t="e">
        <f ca="1">IF(OR(INDEX($AI$2:$AI$1001,MATCH(ROWS($AH$2:AH527),$AH$2:$AH$1001,0),1)&gt;=100000,INDEX($AO$1005:$BQ$1005,1,MATCH(COLUMNS($AO$1006:AX1006),$AO$1006:$BQ$1006,0))&gt;=100000), " ",IF(INDEX($AO$2:$BQ$1001,MATCH(ROWS($AH$2:AH527),$AH$2:$AH$1001,0),MATCH(COLUMNS($AO$1006:AX1006),$AO$1006:$BQ$1006,0)), HYPERLINK("#",""), HYPERLINK(CONCATENATE("#Metadata!", ADDRESS(INDEX($AJ$2:$AJ$1001,MATCH(ROWS($AH$2:AH527),$AH$2:$AH$1001,0),0), INDEX($AO$1004:$BQ$1004,1,MATCH(COLUMNS($AO$1006:AX1006),$AO$1006:$BQ$1006,0)))),"Fix")))</f>
        <v>#N/A</v>
      </c>
      <c r="L527" s="5" t="e">
        <f ca="1">IF(OR(INDEX($AI$2:$AI$1001,MATCH(ROWS($AH$2:AH527),$AH$2:$AH$1001,0),1)&gt;=100000,INDEX($AO$1005:$BQ$1005,1,MATCH(COLUMNS($AO$1006:AY1006),$AO$1006:$BQ$1006,0))&gt;=100000), " ",IF(INDEX($AO$2:$BQ$1001,MATCH(ROWS($AH$2:AH527),$AH$2:$AH$1001,0),MATCH(COLUMNS($AO$1006:AY1006),$AO$1006:$BQ$1006,0)), HYPERLINK("#",""), HYPERLINK(CONCATENATE("#Metadata!", ADDRESS(INDEX($AJ$2:$AJ$1001,MATCH(ROWS($AH$2:AH527),$AH$2:$AH$1001,0),0), INDEX($AO$1004:$BQ$1004,1,MATCH(COLUMNS($AO$1006:AY1006),$AO$1006:$BQ$1006,0)))),"Fix")))</f>
        <v>#N/A</v>
      </c>
      <c r="M527" s="5" t="e">
        <f ca="1">IF(OR(INDEX($AI$2:$AI$1001,MATCH(ROWS($AH$2:AH527),$AH$2:$AH$1001,0),1)&gt;=100000,INDEX($AO$1005:$BQ$1005,1,MATCH(COLUMNS($AO$1006:AZ1006),$AO$1006:$BQ$1006,0))&gt;=100000), " ",IF(INDEX($AO$2:$BQ$1001,MATCH(ROWS($AH$2:AH527),$AH$2:$AH$1001,0),MATCH(COLUMNS($AO$1006:AZ1006),$AO$1006:$BQ$1006,0)), HYPERLINK("#",""), HYPERLINK(CONCATENATE("#Metadata!", ADDRESS(INDEX($AJ$2:$AJ$1001,MATCH(ROWS($AH$2:AH527),$AH$2:$AH$1001,0),0), INDEX($AO$1004:$BQ$1004,1,MATCH(COLUMNS($AO$1006:AZ1006),$AO$1006:$BQ$1006,0)))),"Fix")))</f>
        <v>#N/A</v>
      </c>
      <c r="N527" s="5" t="e">
        <f ca="1">IF(OR(INDEX($AI$2:$AI$1001,MATCH(ROWS($AH$2:AH527),$AH$2:$AH$1001,0),1)&gt;=100000,INDEX($AO$1005:$BQ$1005,1,MATCH(COLUMNS($AO$1006:BA1006),$AO$1006:$BQ$1006,0))&gt;=100000), " ",IF(INDEX($AO$2:$BQ$1001,MATCH(ROWS($AH$2:AH527),$AH$2:$AH$1001,0),MATCH(COLUMNS($AO$1006:BA1006),$AO$1006:$BQ$1006,0)), HYPERLINK("#",""), HYPERLINK(CONCATENATE("#Metadata!", ADDRESS(INDEX($AJ$2:$AJ$1001,MATCH(ROWS($AH$2:AH527),$AH$2:$AH$1001,0),0), INDEX($AO$1004:$BQ$1004,1,MATCH(COLUMNS($AO$1006:BA1006),$AO$1006:$BQ$1006,0)))),"Fix")))</f>
        <v>#N/A</v>
      </c>
      <c r="O527" s="5" t="e">
        <f ca="1">IF(OR(INDEX($AI$2:$AI$1001,MATCH(ROWS($AH$2:AH527),$AH$2:$AH$1001,0),1)&gt;=100000,INDEX($AO$1005:$BQ$1005,1,MATCH(COLUMNS($AO$1006:BB1006),$AO$1006:$BQ$1006,0))&gt;=100000), " ",IF(INDEX($AO$2:$BQ$1001,MATCH(ROWS($AH$2:AH527),$AH$2:$AH$1001,0),MATCH(COLUMNS($AO$1006:BB1006),$AO$1006:$BQ$1006,0)), HYPERLINK("#",""), HYPERLINK(CONCATENATE("#Metadata!", ADDRESS(INDEX($AJ$2:$AJ$1001,MATCH(ROWS($AH$2:AH527),$AH$2:$AH$1001,0),0), INDEX($AO$1004:$BQ$1004,1,MATCH(COLUMNS($AO$1006:BB1006),$AO$1006:$BQ$1006,0)))),"Fix")))</f>
        <v>#N/A</v>
      </c>
      <c r="P527" s="5" t="e">
        <f ca="1">IF(OR(INDEX($AI$2:$AI$1001,MATCH(ROWS($AH$2:AH527),$AH$2:$AH$1001,0),1)&gt;=100000,INDEX($AO$1005:$BQ$1005,1,MATCH(COLUMNS($AO$1006:BC1006),$AO$1006:$BQ$1006,0))&gt;=100000), " ",IF(INDEX($AO$2:$BQ$1001,MATCH(ROWS($AH$2:AH527),$AH$2:$AH$1001,0),MATCH(COLUMNS($AO$1006:BC1006),$AO$1006:$BQ$1006,0)), HYPERLINK("#",""), HYPERLINK(CONCATENATE("#Metadata!", ADDRESS(INDEX($AJ$2:$AJ$1001,MATCH(ROWS($AH$2:AH527),$AH$2:$AH$1001,0),0), INDEX($AO$1004:$BQ$1004,1,MATCH(COLUMNS($AO$1006:BC1006),$AO$1006:$BQ$1006,0)))),"Fix")))</f>
        <v>#N/A</v>
      </c>
      <c r="Q527" s="5" t="e">
        <f ca="1">IF(OR(INDEX($AI$2:$AI$1001,MATCH(ROWS($AH$2:AH527),$AH$2:$AH$1001,0),1)&gt;=100000,INDEX($AO$1005:$BQ$1005,1,MATCH(COLUMNS($AO$1006:BD1006),$AO$1006:$BQ$1006,0))&gt;=100000), " ",IF(INDEX($AO$2:$BQ$1001,MATCH(ROWS($AH$2:AH527),$AH$2:$AH$1001,0),MATCH(COLUMNS($AO$1006:BD1006),$AO$1006:$BQ$1006,0)), HYPERLINK("#",""), HYPERLINK(CONCATENATE("#Metadata!", ADDRESS(INDEX($AJ$2:$AJ$1001,MATCH(ROWS($AH$2:AH527),$AH$2:$AH$1001,0),0), INDEX($AO$1004:$BQ$1004,1,MATCH(COLUMNS($AO$1006:BD1006),$AO$1006:$BQ$1006,0)))),"Fix")))</f>
        <v>#N/A</v>
      </c>
      <c r="R527" s="5" t="e">
        <f ca="1">IF(OR(INDEX($AI$2:$AI$1001,MATCH(ROWS($AH$2:AH527),$AH$2:$AH$1001,0),1)&gt;=100000,INDEX($AO$1005:$BQ$1005,1,MATCH(COLUMNS($AO$1006:BE1006),$AO$1006:$BQ$1006,0))&gt;=100000), " ",IF(INDEX($AO$2:$BQ$1001,MATCH(ROWS($AH$2:AH527),$AH$2:$AH$1001,0),MATCH(COLUMNS($AO$1006:BE1006),$AO$1006:$BQ$1006,0)), HYPERLINK("#",""), HYPERLINK(CONCATENATE("#Metadata!", ADDRESS(INDEX($AJ$2:$AJ$1001,MATCH(ROWS($AH$2:AH527),$AH$2:$AH$1001,0),0), INDEX($AO$1004:$BQ$1004,1,MATCH(COLUMNS($AO$1006:BE1006),$AO$1006:$BQ$1006,0)))),"Fix")))</f>
        <v>#N/A</v>
      </c>
      <c r="S527" s="5" t="e">
        <f ca="1">IF(OR(INDEX($AI$2:$AI$1001,MATCH(ROWS($AH$2:AH527),$AH$2:$AH$1001,0),1)&gt;=100000,INDEX($AO$1005:$BQ$1005,1,MATCH(COLUMNS($AO$1006:BF1006),$AO$1006:$BQ$1006,0))&gt;=100000), " ",IF(INDEX($AO$2:$BQ$1001,MATCH(ROWS($AH$2:AH527),$AH$2:$AH$1001,0),MATCH(COLUMNS($AO$1006:BF1006),$AO$1006:$BQ$1006,0)), HYPERLINK("#",""), HYPERLINK(CONCATENATE("#Metadata!", ADDRESS(INDEX($AJ$2:$AJ$1001,MATCH(ROWS($AH$2:AH527),$AH$2:$AH$1001,0),0), INDEX($AO$1004:$BQ$1004,1,MATCH(COLUMNS($AO$1006:BF1006),$AO$1006:$BQ$1006,0)))),"Fix")))</f>
        <v>#N/A</v>
      </c>
      <c r="T527" s="5" t="e">
        <f ca="1">IF(OR(INDEX($AI$2:$AI$1001,MATCH(ROWS($AH$2:AH527),$AH$2:$AH$1001,0),1)&gt;=100000,INDEX($AO$1005:$BQ$1005,1,MATCH(COLUMNS($AO$1006:BG1006),$AO$1006:$BQ$1006,0))&gt;=100000), " ",IF(INDEX($AO$2:$BQ$1001,MATCH(ROWS($AH$2:AH527),$AH$2:$AH$1001,0),MATCH(COLUMNS($AO$1006:BG1006),$AO$1006:$BQ$1006,0)), HYPERLINK("#",""), HYPERLINK(CONCATENATE("#Metadata!", ADDRESS(INDEX($AJ$2:$AJ$1001,MATCH(ROWS($AH$2:AH527),$AH$2:$AH$1001,0),0), INDEX($AO$1004:$BQ$1004,1,MATCH(COLUMNS($AO$1006:BG1006),$AO$1006:$BQ$1006,0)))),"Fix")))</f>
        <v>#N/A</v>
      </c>
      <c r="U527" s="5" t="e">
        <f ca="1">IF(OR(INDEX($AI$2:$AI$1001,MATCH(ROWS($AH$2:AH527),$AH$2:$AH$1001,0),1)&gt;=100000,INDEX($AO$1005:$BQ$1005,1,MATCH(COLUMNS($AO$1006:BH1006),$AO$1006:$BQ$1006,0))&gt;=100000), " ",IF(INDEX($AO$2:$BQ$1001,MATCH(ROWS($AH$2:AH527),$AH$2:$AH$1001,0),MATCH(COLUMNS($AO$1006:BH1006),$AO$1006:$BQ$1006,0)), HYPERLINK("#",""), HYPERLINK(CONCATENATE("#Metadata!", ADDRESS(INDEX($AJ$2:$AJ$1001,MATCH(ROWS($AH$2:AH527),$AH$2:$AH$1001,0),0), INDEX($AO$1004:$BQ$1004,1,MATCH(COLUMNS($AO$1006:BH1006),$AO$1006:$BQ$1006,0)))),"Fix")))</f>
        <v>#N/A</v>
      </c>
      <c r="V527" s="5" t="e">
        <f ca="1">IF(OR(INDEX($AI$2:$AI$1001,MATCH(ROWS($AH$2:AH527),$AH$2:$AH$1001,0),1)&gt;=100000,INDEX($AO$1005:$BQ$1005,1,MATCH(COLUMNS($AO$1006:BI1006),$AO$1006:$BQ$1006,0))&gt;=100000), " ",IF(INDEX($AO$2:$BQ$1001,MATCH(ROWS($AH$2:AH527),$AH$2:$AH$1001,0),MATCH(COLUMNS($AO$1006:BI1006),$AO$1006:$BQ$1006,0)), HYPERLINK("#",""), HYPERLINK(CONCATENATE("#Metadata!", ADDRESS(INDEX($AJ$2:$AJ$1001,MATCH(ROWS($AH$2:AH527),$AH$2:$AH$1001,0),0), INDEX($AO$1004:$BQ$1004,1,MATCH(COLUMNS($AO$1006:BI1006),$AO$1006:$BQ$1006,0)))),"Fix")))</f>
        <v>#N/A</v>
      </c>
      <c r="W527" s="5" t="e">
        <f ca="1">IF(OR(INDEX($AI$2:$AI$1001,MATCH(ROWS($AH$2:AH527),$AH$2:$AH$1001,0),1)&gt;=100000,INDEX($AO$1005:$BQ$1005,1,MATCH(COLUMNS($AO$1006:BJ1006),$AO$1006:$BQ$1006,0))&gt;=100000), " ",IF(INDEX($AO$2:$BQ$1001,MATCH(ROWS($AH$2:AH527),$AH$2:$AH$1001,0),MATCH(COLUMNS($AO$1006:BJ1006),$AO$1006:$BQ$1006,0)), HYPERLINK("#",""), HYPERLINK(CONCATENATE("#Metadata!", ADDRESS(INDEX($AJ$2:$AJ$1001,MATCH(ROWS($AH$2:AH527),$AH$2:$AH$1001,0),0), INDEX($AO$1004:$BQ$1004,1,MATCH(COLUMNS($AO$1006:BJ1006),$AO$1006:$BQ$1006,0)))),"Fix")))</f>
        <v>#N/A</v>
      </c>
      <c r="X527" s="5" t="e">
        <f ca="1">IF(OR(INDEX($AI$2:$AI$1001,MATCH(ROWS($AH$2:AH527),$AH$2:$AH$1001,0),1)&gt;=100000,INDEX($AO$1005:$BQ$1005,1,MATCH(COLUMNS($AO$1006:BK1006),$AO$1006:$BQ$1006,0))&gt;=100000), " ",IF(INDEX($AO$2:$BQ$1001,MATCH(ROWS($AH$2:AH527),$AH$2:$AH$1001,0),MATCH(COLUMNS($AO$1006:BK1006),$AO$1006:$BQ$1006,0)), HYPERLINK("#",""), HYPERLINK(CONCATENATE("#Metadata!", ADDRESS(INDEX($AJ$2:$AJ$1001,MATCH(ROWS($AH$2:AH527),$AH$2:$AH$1001,0),0), INDEX($AO$1004:$BQ$1004,1,MATCH(COLUMNS($AO$1006:BK1006),$AO$1006:$BQ$1006,0)))),"Fix")))</f>
        <v>#N/A</v>
      </c>
      <c r="Y527" s="5" t="e">
        <f ca="1">IF(OR(INDEX($AI$2:$AI$1001,MATCH(ROWS($AH$2:AH527),$AH$2:$AH$1001,0),1)&gt;=100000,INDEX($AO$1005:$BQ$1005,1,MATCH(COLUMNS($AO$1006:BL1006),$AO$1006:$BQ$1006,0))&gt;=100000), " ",IF(INDEX($AO$2:$BQ$1001,MATCH(ROWS($AH$2:AH527),$AH$2:$AH$1001,0),MATCH(COLUMNS($AO$1006:BL1006),$AO$1006:$BQ$1006,0)), HYPERLINK("#",""), HYPERLINK(CONCATENATE("#Metadata!", ADDRESS(INDEX($AJ$2:$AJ$1001,MATCH(ROWS($AH$2:AH527),$AH$2:$AH$1001,0),0), INDEX($AO$1004:$BQ$1004,1,MATCH(COLUMNS($AO$1006:BL1006),$AO$1006:$BQ$1006,0)))),"Fix")))</f>
        <v>#N/A</v>
      </c>
      <c r="Z527" s="5" t="e">
        <f ca="1">IF(OR(INDEX($AI$2:$AI$1001,MATCH(ROWS($AH$2:AH527),$AH$2:$AH$1001,0),1)&gt;=100000,INDEX($AO$1005:$BQ$1005,1,MATCH(COLUMNS($AO$1006:BM1006),$AO$1006:$BQ$1006,0))&gt;=100000), " ",IF(INDEX($AO$2:$BQ$1001,MATCH(ROWS($AH$2:AH527),$AH$2:$AH$1001,0),MATCH(COLUMNS($AO$1006:BM1006),$AO$1006:$BQ$1006,0)), HYPERLINK("#",""), HYPERLINK(CONCATENATE("#Metadata!", ADDRESS(INDEX($AJ$2:$AJ$1001,MATCH(ROWS($AH$2:AH527),$AH$2:$AH$1001,0),0), INDEX($AO$1004:$BQ$1004,1,MATCH(COLUMNS($AO$1006:BM1006),$AO$1006:$BQ$1006,0)))),"Fix")))</f>
        <v>#N/A</v>
      </c>
      <c r="AA527" s="5" t="e">
        <f ca="1">IF(OR(INDEX($AI$2:$AI$1001,MATCH(ROWS($AH$2:AH527),$AH$2:$AH$1001,0),1)&gt;=100000,INDEX($AO$1005:$BQ$1005,1,MATCH(COLUMNS($AO$1006:BN1006),$AO$1006:$BQ$1006,0))&gt;=100000), " ",IF(INDEX($AO$2:$BQ$1001,MATCH(ROWS($AH$2:AH527),$AH$2:$AH$1001,0),MATCH(COLUMNS($AO$1006:BN1006),$AO$1006:$BQ$1006,0)), HYPERLINK("#",""), HYPERLINK(CONCATENATE("#Metadata!", ADDRESS(INDEX($AJ$2:$AJ$1001,MATCH(ROWS($AH$2:AH527),$AH$2:$AH$1001,0),0), INDEX($AO$1004:$BQ$1004,1,MATCH(COLUMNS($AO$1006:BN1006),$AO$1006:$BQ$1006,0)))),"Fix")))</f>
        <v>#N/A</v>
      </c>
      <c r="AB527" s="5" t="e">
        <f ca="1">IF(OR(INDEX($AI$2:$AI$1001,MATCH(ROWS($AH$2:AH527),$AH$2:$AH$1001,0),1)&gt;=100000,INDEX($AO$1005:$BQ$1005,1,MATCH(COLUMNS($AO$1006:BO1006),$AO$1006:$BQ$1006,0))&gt;=100000), " ",IF(INDEX($AO$2:$BQ$1001,MATCH(ROWS($AH$2:AH527),$AH$2:$AH$1001,0),MATCH(COLUMNS($AO$1006:BO1006),$AO$1006:$BQ$1006,0)), HYPERLINK("#",""), HYPERLINK(CONCATENATE("#Metadata!", ADDRESS(INDEX($AJ$2:$AJ$1001,MATCH(ROWS($AH$2:AH527),$AH$2:$AH$1001,0),0), INDEX($AO$1004:$BQ$1004,1,MATCH(COLUMNS($AO$1006:BO1006),$AO$1006:$BQ$1006,0)))),"Fix")))</f>
        <v>#N/A</v>
      </c>
      <c r="AC527" s="5" t="e">
        <f ca="1">IF(OR(INDEX($AI$2:$AI$1001,MATCH(ROWS($AH$2:AH527),$AH$2:$AH$1001,0),1)&gt;=100000,INDEX($AO$1005:$BQ$1005,1,MATCH(COLUMNS($AO$1006:BP1006),$AO$1006:$BQ$1006,0))&gt;=100000), " ",IF(INDEX($AO$2:$BQ$1001,MATCH(ROWS($AH$2:AH527),$AH$2:$AH$1001,0),MATCH(COLUMNS($AO$1006:BP1006),$AO$1006:$BQ$1006,0)), HYPERLINK("#",""), HYPERLINK(CONCATENATE("#Metadata!", ADDRESS(INDEX($AJ$2:$AJ$1001,MATCH(ROWS($AH$2:AH527),$AH$2:$AH$1001,0),0), INDEX($AO$1004:$BQ$1004,1,MATCH(COLUMNS($AO$1006:BP1006),$AO$1006:$BQ$1006,0)))),"Fix")))</f>
        <v>#N/A</v>
      </c>
      <c r="AD527" s="5" t="e">
        <f ca="1">IF(OR(INDEX($AI$2:$AI$1001,MATCH(ROWS($AH$2:AH527),$AH$2:$AH$1001,0),1)&gt;=100000,INDEX($AO$1005:$BQ$1005,1,MATCH(COLUMNS($AO$1006:BQ1006),$AO$1006:$BQ$1006,0))&gt;=100000), " ",IF(INDEX($AO$2:$BQ$1001,MATCH(ROWS($AH$2:AH527),$AH$2:$AH$1001,0),MATCH(COLUMNS($AO$1006:BQ1006),$AO$1006:$BQ$1006,0)), HYPERLINK("#",""), HYPERLINK(CONCATENATE("#Metadata!", ADDRESS(INDEX($AJ$2:$AJ$1001,MATCH(ROWS($AH$2:AH527),$AH$2:$AH$1001,0),0), INDEX($AO$1004:$BQ$1004,1,MATCH(COLUMNS($AO$1006:BQ1006),$AO$1006:$BQ$1006,0)))),"Fix")))</f>
        <v>#REF!</v>
      </c>
      <c r="AH527">
        <f ca="1"/>
        <v>524</v>
      </c>
      <c r="AI527">
        <v>100527</v>
      </c>
      <c r="AJ527">
        <v>527</v>
      </c>
      <c r="AK527" t="b">
        <f t="shared" si="8"/>
        <v>1</v>
      </c>
      <c r="AL527" t="b">
        <f>COUNTBLANK(Metadata!B527:AD527)=COLUMNS(Metadata!B527:AD527)</f>
        <v>1</v>
      </c>
      <c r="AM527" t="str">
        <v/>
      </c>
      <c r="AO527" t="b">
        <f ca="1">AND(IF(Metadata!B527="",FALSE,TRUE),COUNTIF(Metadata!B:B, Metadata!B527) = 1,NOT(ISERROR(SUMPRODUCT(SEARCH(MID(Metadata!B527,ROW(INDIRECT("1:"&amp;LEN(Metadata!B527))), 1),"0123456789abcdefghijklmnopqrstuvwxyzABCDEFGHIJKLMNOPQRSTUVWXYZ.")))))</f>
        <v>0</v>
      </c>
      <c r="AP527" t="b">
        <f>IF(Metadata!C527="",FALSE,TRUE)</f>
        <v>0</v>
      </c>
      <c r="AQ527" t="b">
        <f>IF(Metadata!D527="",FALSE,TRUE)</f>
        <v>0</v>
      </c>
      <c r="AR527" t="b">
        <f ca="1">OR(AND(IF(Metadata!E527="",FALSE,TRUE),OR(EXACT(Metadata!E527,"not collected"),EXACT(Metadata!E527,"not provided"),EXACT(Metadata!E527,"restricted access"))),AND(IF(Metadata!E527="",FALSE,TRUE),AND(AND(IFERROR(INT(LEFT(Metadata!E527,4))&gt;1900,FALSE),IFERROR(INT(LEFT(Metadata!E527,4))&lt;=YEAR(NOW()),FALSE)), OR(MID(Metadata!E527,5,1)="", AND(AND(MID(Metadata!E527,5,1)="-",IFERROR(INT(MID(Metadata!E527,6,1))&gt;=0,FALSE),IFERROR(INT(MID(Metadata!E527,6,1))&lt;=1,FALSE),NOT(MID(Metadata!E527,7,1)=""),IFERROR(INT(MID(Metadata!E527,6,2))&gt;=1,FALSE),IFERROR(INT(MID(Metadata!E527,6,2))&lt;=12,FALSE)), OR(MID(Metadata!E527,8,1)="", AND(AND(MID(Metadata!E527,8,1)="-",IFERROR(INT(MID(Metadata!E527,9,1))&gt;=0,FALSE),IFERROR(INT(MID(Metadata!E527,9,1))&lt;=3,FALSE),NOT(MID(Metadata!E527,10,1)=""),IFERROR(INT(MID(Metadata!E527,9,2))&gt;=1,FALSE),IFERROR(INT(MID(Metadata!E527,9,2))&lt;=31,FALSE)), OR(MID(Metadata!E527,11,1)="", AND(AND(MID(Metadata!E527,11,1)=" ",IFERROR(INT(MID(Metadata!E527,12,1))&gt;=0,FALSE),IFERROR(INT(MID(Metadata!E527,12,1))&lt;=2,FALSE),NOT(MID(Metadata!E527,13,1)=""),IFERROR(INT(MID(Metadata!E527,12,2))&gt;=0,FALSE),IFERROR(INT(MID(Metadata!E527,12,2))&lt;=23,FALSE)), OR(MID(Metadata!E527,14,1)="", AND(AND(MID(Metadata!E527,14,1)=":",IFERROR(INT(MID(Metadata!E527,15,1))&gt;=0,FALSE),IFERROR(INT(MID(Metadata!E527,15,1))&lt;=5,FALSE),NOT(MID(Metadata!E527,16,1)=""),IFERROR(INT(MID(Metadata!E527,15,2))&gt;=0,FALSE),IFERROR(INT(MID(Metadata!E527,15,2))&lt;=59,FALSE)), OR(MID(Metadata!E527,17,1)="", AND(AND(MID(Metadata!E527,17,1)=":",IFERROR(INT(MID(Metadata!E527,18,1))&gt;=0,FALSE),IFERROR(INT(MID(Metadata!E527,18,1))&lt;=5,FALSE),NOT(MID(Metadata!E527,19,1)=""),IFERROR(INT(MID(Metadata!E527,18,2))&gt;=0,FALSE),IFERROR(INT(MID(Metadata!E527,18,2))&lt;=59,FALSE)), LEN(Metadata!E527)&lt;=19)))))))))))))</f>
        <v>0</v>
      </c>
      <c r="AS527" t="b">
        <f>IF(Metadata!F527="",FALSE,TRUE)</f>
        <v>0</v>
      </c>
      <c r="AT527" t="b">
        <f>OR(AND(IF(Metadata!G527="",FALSE,TRUE),OR(EXACT(Metadata!G527,"not collected"),EXACT(Metadata!G527,"not provided"))),AND(IF(Metadata!G527="",FALSE,TRUE),OR(EXACT(Metadata!G527,"TRUE"),EXACT(Metadata!G527,"FALSE"))))</f>
        <v>0</v>
      </c>
      <c r="AU527" t="b">
        <f>OR(AND(IF(Metadata!H527="",FALSE,TRUE),OR(EXACT(Metadata!H527,"not collected"),EXACT(Metadata!H527,"not provided"),EXACT(Metadata!H527,"restricted access"))),AND(IF(Metadata!H527="",FALSE,ISNUMBER(VALUE(Metadata!H527))),Metadata!H527&gt;=-413))</f>
        <v>0</v>
      </c>
      <c r="AV527" t="b">
        <f>AND(IF(Metadata!I527="",FALSE,TRUE),EXACT(Metadata!I527,"meters"))</f>
        <v>0</v>
      </c>
      <c r="AW527" t="b">
        <f>AND(IF(Metadata!J527="",FALSE,TRUE),EXACT(Metadata!J527,"free-living"))</f>
        <v>0</v>
      </c>
      <c r="AX527" t="b">
        <f>AND(IF(Metadata!K527="",FALSE,TRUE),OR(EXACT(Metadata!K527,"saline"),EXACT(Metadata!K527,"non-saline")))</f>
        <v>0</v>
      </c>
      <c r="AY527" t="b">
        <f>AND(IF(Metadata!L527="",FALSE,TRUE),OR(EXACT(Metadata!L527,"sub-surface (non-saline)"),EXACT(Metadata!L527,"surface (non-saline)"),EXACT(Metadata!L527,"water (non-saline)"),EXACT(Metadata!L527,"soil (non-saline)"),EXACT(Metadata!L527,"aerosol (non-saline)"),EXACT(Metadata!L527,"sediment (non-saline)"),EXACT(Metadata!L527,"surface (saline)"),EXACT(Metadata!L527,"water (saline)"),EXACT(Metadata!L527,"hypersaline (saline)"),EXACT(Metadata!L527,"aerosol (saline)"),EXACT(Metadata!L527,"sediment (saline)")))</f>
        <v>0</v>
      </c>
      <c r="AZ527" t="b">
        <f>IF(Metadata!M527="",FALSE,TRUE)</f>
        <v>0</v>
      </c>
      <c r="BA527" t="b">
        <f>IF(Metadata!N527="",FALSE,TRUE)</f>
        <v>0</v>
      </c>
      <c r="BB527" t="b">
        <f>IF(Metadata!O527="",FALSE,TRUE)</f>
        <v>0</v>
      </c>
      <c r="BC527" t="b">
        <f>AND(IF(Metadata!P527="",FALSE,TRUE),OR(EXACT(Metadata!P527,"air"),EXACT(Metadata!P527,"microbial mat/biofilm"),EXACT(Metadata!P527,"misc environment"),EXACT(Metadata!P527,"sediment"),EXACT(Metadata!P527,"soil"),EXACT(Metadata!P527,"wastewater/sludge"),EXACT(Metadata!P527,"water")))</f>
        <v>0</v>
      </c>
      <c r="BD527" t="b">
        <f>IF(Metadata!Q527="",FALSE,TRUE)</f>
        <v>0</v>
      </c>
      <c r="BE527" t="b">
        <f>IF(Metadata!R527="",FALSE,TRUE)</f>
        <v>0</v>
      </c>
      <c r="BF527" t="b">
        <f>OR(AND(IF(Metadata!S527="",FALSE,TRUE),OR(EXACT(Metadata!S527,"not collected"),EXACT(Metadata!S527,"not provided"),EXACT(Metadata!S527,"restricted access"))),AND(IF(Metadata!S527="",FALSE,ISNUMBER(VALUE(Metadata!S527))),Metadata!S527&gt;=-90,Metadata!S527&lt;=90))</f>
        <v>0</v>
      </c>
      <c r="BG527" t="b">
        <f>AND(IF(Metadata!T527="",FALSE,TRUE),EXACT(Metadata!T527,"Decimal degrees"))</f>
        <v>0</v>
      </c>
      <c r="BH527" t="b">
        <f>OR(AND(IF(Metadata!U527="",FALSE,TRUE),OR(EXACT(Metadata!U527,"not applicable"),EXACT(Metadata!U527,"not collected"))),IF(Metadata!U527="",FALSE,TRUE))</f>
        <v>0</v>
      </c>
      <c r="BI527" t="b">
        <f>OR(AND(IF(Metadata!V527="",FALSE,TRUE),OR(EXACT(Metadata!V527,"not collected"),EXACT(Metadata!V527,"not provided"),EXACT(Metadata!V527,"restricted access"))),AND(IF(Metadata!V527="",FALSE,ISNUMBER(VALUE(Metadata!V527))),Metadata!V527&gt;=-180,Metadata!V527&lt;=180))</f>
        <v>0</v>
      </c>
      <c r="BJ527" t="b">
        <f>AND(IF(Metadata!W527="",FALSE,TRUE),EXACT(Metadata!W527,"Decimal degrees"))</f>
        <v>0</v>
      </c>
      <c r="BK527" t="b">
        <f>IF(Metadata!X527="",FALSE,TRUE)</f>
        <v>0</v>
      </c>
      <c r="BL527" t="b">
        <f>OR(AND(IF(Metadata!Y527="",FALSE,TRUE),OR(EXACT(Metadata!Y527,"not collected"),EXACT(Metadata!Y527,"not provided"),EXACT(Metadata!Y527,"restricted access"))),AND(IF(Metadata!Y527="",FALSE,TRUE),OR(EXACT(Metadata!Y527,"TRUE"),EXACT(Metadata!Y527,"FALSE"))))</f>
        <v>0</v>
      </c>
      <c r="BM527" t="b">
        <f>OR(AND(IF(Metadata!Z527="",FALSE,TRUE),EXACT(Metadata!Z527,"not applicable")),AND(IF(Metadata!Z527="",FALSE,TRUE),OR(EXACT(Metadata!Z527,"beer"),EXACT(Metadata!Z527,"cheese"),EXACT(Metadata!Z527,"fresh water"),EXACT(Metadata!Z527,"marine sediment"),EXACT(Metadata!Z527,"sea water"),EXACT(Metadata!Z527,"sediment"),EXACT(Metadata!Z527,"soil"),EXACT(Metadata!Z527,"waste water"))))</f>
        <v>0</v>
      </c>
      <c r="BN527" t="b">
        <f>AND(IF(Metadata!AA527="",FALSE,TRUE),EXACT(Metadata!AA527,"metagenome"))</f>
        <v>0</v>
      </c>
      <c r="BO527" t="b">
        <f>AND(IF(Metadata!AB527="",FALSE,TRUE),EXACT(Metadata!AB527,"256318"))</f>
        <v>0</v>
      </c>
      <c r="BP527" t="b">
        <f>IF(Metadata!AC527="",FALSE,TRUE)</f>
        <v>0</v>
      </c>
      <c r="BQ527" t="b">
        <f>IF(Metadata!AD527="",FALSE,TRUE)</f>
        <v>0</v>
      </c>
    </row>
    <row r="528" spans="1:69" x14ac:dyDescent="0.2">
      <c r="A528" s="4" t="e">
        <f ca="1">IF(B528=" "," ",HYPERLINK(CONCATENATE("#metadata!",ADDRESS(INDEX($AJ$2:$AJ$1001,MATCH(ROWS($AH$2:AH528),$AH$2:$AH$1001,0),0),2)),INDEX($AM$2:$AM$1001,MATCH(ROWS($AH$2:AH528),$AH$2:$AH$1001,0),0)))</f>
        <v>#N/A</v>
      </c>
      <c r="B528" s="5" t="e">
        <f ca="1">IF(OR(INDEX($AI$2:$AI$1001,MATCH(ROWS($AH$2:AH528),$AH$2:$AH$1001,0),1)&gt;=100000,INDEX($AO$1005:$BQ$1005,1,MATCH(COLUMNS($AO$1006:AO1006),$AO$1006:$BQ$1006,0))&gt;=100000), " ",IF(INDEX($AO$2:$BQ$1001,MATCH(ROWS($AH$2:AH528),$AH$2:$AH$1001,0),MATCH(COLUMNS($AO$1006:AO1006),$AO$1006:$BQ$1006,0)), HYPERLINK("#",""), HYPERLINK(CONCATENATE("#Metadata!", ADDRESS(INDEX($AJ$2:$AJ$1001,MATCH(ROWS($AH$2:AH528),$AH$2:$AH$1001,0),0), INDEX($AO$1004:$BQ$1004,1,MATCH(COLUMNS($AO$1006:AO1006),$AO$1006:$BQ$1006,0)))),"Fix")))</f>
        <v>#N/A</v>
      </c>
      <c r="C528" s="5" t="e">
        <f ca="1">IF(OR(INDEX($AI$2:$AI$1001,MATCH(ROWS($AH$2:AH528),$AH$2:$AH$1001,0),1)&gt;=100000,INDEX($AO$1005:$BQ$1005,1,MATCH(COLUMNS($AO$1006:AP1006),$AO$1006:$BQ$1006,0))&gt;=100000), " ",IF(INDEX($AO$2:$BQ$1001,MATCH(ROWS($AH$2:AH528),$AH$2:$AH$1001,0),MATCH(COLUMNS($AO$1006:AP1006),$AO$1006:$BQ$1006,0)), HYPERLINK("#",""), HYPERLINK(CONCATENATE("#Metadata!", ADDRESS(INDEX($AJ$2:$AJ$1001,MATCH(ROWS($AH$2:AH528),$AH$2:$AH$1001,0),0), INDEX($AO$1004:$BQ$1004,1,MATCH(COLUMNS($AO$1006:AP1006),$AO$1006:$BQ$1006,0)))),"Fix")))</f>
        <v>#N/A</v>
      </c>
      <c r="D528" s="5" t="e">
        <f ca="1">IF(OR(INDEX($AI$2:$AI$1001,MATCH(ROWS($AH$2:AH528),$AH$2:$AH$1001,0),1)&gt;=100000,INDEX($AO$1005:$BQ$1005,1,MATCH(COLUMNS($AO$1006:AQ1006),$AO$1006:$BQ$1006,0))&gt;=100000), " ",IF(INDEX($AO$2:$BQ$1001,MATCH(ROWS($AH$2:AH528),$AH$2:$AH$1001,0),MATCH(COLUMNS($AO$1006:AQ1006),$AO$1006:$BQ$1006,0)), HYPERLINK("#",""), HYPERLINK(CONCATENATE("#Metadata!", ADDRESS(INDEX($AJ$2:$AJ$1001,MATCH(ROWS($AH$2:AH528),$AH$2:$AH$1001,0),0), INDEX($AO$1004:$BQ$1004,1,MATCH(COLUMNS($AO$1006:AQ1006),$AO$1006:$BQ$1006,0)))),"Fix")))</f>
        <v>#N/A</v>
      </c>
      <c r="E528" s="5" t="e">
        <f ca="1">IF(OR(INDEX($AI$2:$AI$1001,MATCH(ROWS($AH$2:AH528),$AH$2:$AH$1001,0),1)&gt;=100000,INDEX($AO$1005:$BQ$1005,1,MATCH(COLUMNS($AO$1006:AR1006),$AO$1006:$BQ$1006,0))&gt;=100000), " ",IF(INDEX($AO$2:$BQ$1001,MATCH(ROWS($AH$2:AH528),$AH$2:$AH$1001,0),MATCH(COLUMNS($AO$1006:AR1006),$AO$1006:$BQ$1006,0)), HYPERLINK("#",""), HYPERLINK(CONCATENATE("#Metadata!", ADDRESS(INDEX($AJ$2:$AJ$1001,MATCH(ROWS($AH$2:AH528),$AH$2:$AH$1001,0),0), INDEX($AO$1004:$BQ$1004,1,MATCH(COLUMNS($AO$1006:AR1006),$AO$1006:$BQ$1006,0)))),"Fix")))</f>
        <v>#N/A</v>
      </c>
      <c r="F528" s="5" t="e">
        <f ca="1">IF(OR(INDEX($AI$2:$AI$1001,MATCH(ROWS($AH$2:AH528),$AH$2:$AH$1001,0),1)&gt;=100000,INDEX($AO$1005:$BQ$1005,1,MATCH(COLUMNS($AO$1006:AS1006),$AO$1006:$BQ$1006,0))&gt;=100000), " ",IF(INDEX($AO$2:$BQ$1001,MATCH(ROWS($AH$2:AH528),$AH$2:$AH$1001,0),MATCH(COLUMNS($AO$1006:AS1006),$AO$1006:$BQ$1006,0)), HYPERLINK("#",""), HYPERLINK(CONCATENATE("#Metadata!", ADDRESS(INDEX($AJ$2:$AJ$1001,MATCH(ROWS($AH$2:AH528),$AH$2:$AH$1001,0),0), INDEX($AO$1004:$BQ$1004,1,MATCH(COLUMNS($AO$1006:AS1006),$AO$1006:$BQ$1006,0)))),"Fix")))</f>
        <v>#N/A</v>
      </c>
      <c r="G528" s="5" t="e">
        <f ca="1">IF(OR(INDEX($AI$2:$AI$1001,MATCH(ROWS($AH$2:AH528),$AH$2:$AH$1001,0),1)&gt;=100000,INDEX($AO$1005:$BQ$1005,1,MATCH(COLUMNS($AO$1006:AT1006),$AO$1006:$BQ$1006,0))&gt;=100000), " ",IF(INDEX($AO$2:$BQ$1001,MATCH(ROWS($AH$2:AH528),$AH$2:$AH$1001,0),MATCH(COLUMNS($AO$1006:AT1006),$AO$1006:$BQ$1006,0)), HYPERLINK("#",""), HYPERLINK(CONCATENATE("#Metadata!", ADDRESS(INDEX($AJ$2:$AJ$1001,MATCH(ROWS($AH$2:AH528),$AH$2:$AH$1001,0),0), INDEX($AO$1004:$BQ$1004,1,MATCH(COLUMNS($AO$1006:AT1006),$AO$1006:$BQ$1006,0)))),"Fix")))</f>
        <v>#N/A</v>
      </c>
      <c r="H528" s="5" t="e">
        <f ca="1">IF(OR(INDEX($AI$2:$AI$1001,MATCH(ROWS($AH$2:AH528),$AH$2:$AH$1001,0),1)&gt;=100000,INDEX($AO$1005:$BQ$1005,1,MATCH(COLUMNS($AO$1006:AU1006),$AO$1006:$BQ$1006,0))&gt;=100000), " ",IF(INDEX($AO$2:$BQ$1001,MATCH(ROWS($AH$2:AH528),$AH$2:$AH$1001,0),MATCH(COLUMNS($AO$1006:AU1006),$AO$1006:$BQ$1006,0)), HYPERLINK("#",""), HYPERLINK(CONCATENATE("#Metadata!", ADDRESS(INDEX($AJ$2:$AJ$1001,MATCH(ROWS($AH$2:AH528),$AH$2:$AH$1001,0),0), INDEX($AO$1004:$BQ$1004,1,MATCH(COLUMNS($AO$1006:AU1006),$AO$1006:$BQ$1006,0)))),"Fix")))</f>
        <v>#N/A</v>
      </c>
      <c r="I528" s="5" t="e">
        <f ca="1">IF(OR(INDEX($AI$2:$AI$1001,MATCH(ROWS($AH$2:AH528),$AH$2:$AH$1001,0),1)&gt;=100000,INDEX($AO$1005:$BQ$1005,1,MATCH(COLUMNS($AO$1006:AV1006),$AO$1006:$BQ$1006,0))&gt;=100000), " ",IF(INDEX($AO$2:$BQ$1001,MATCH(ROWS($AH$2:AH528),$AH$2:$AH$1001,0),MATCH(COLUMNS($AO$1006:AV1006),$AO$1006:$BQ$1006,0)), HYPERLINK("#",""), HYPERLINK(CONCATENATE("#Metadata!", ADDRESS(INDEX($AJ$2:$AJ$1001,MATCH(ROWS($AH$2:AH528),$AH$2:$AH$1001,0),0), INDEX($AO$1004:$BQ$1004,1,MATCH(COLUMNS($AO$1006:AV1006),$AO$1006:$BQ$1006,0)))),"Fix")))</f>
        <v>#N/A</v>
      </c>
      <c r="J528" s="5" t="e">
        <f ca="1">IF(OR(INDEX($AI$2:$AI$1001,MATCH(ROWS($AH$2:AH528),$AH$2:$AH$1001,0),1)&gt;=100000,INDEX($AO$1005:$BQ$1005,1,MATCH(COLUMNS($AO$1006:AW1006),$AO$1006:$BQ$1006,0))&gt;=100000), " ",IF(INDEX($AO$2:$BQ$1001,MATCH(ROWS($AH$2:AH528),$AH$2:$AH$1001,0),MATCH(COLUMNS($AO$1006:AW1006),$AO$1006:$BQ$1006,0)), HYPERLINK("#",""), HYPERLINK(CONCATENATE("#Metadata!", ADDRESS(INDEX($AJ$2:$AJ$1001,MATCH(ROWS($AH$2:AH528),$AH$2:$AH$1001,0),0), INDEX($AO$1004:$BQ$1004,1,MATCH(COLUMNS($AO$1006:AW1006),$AO$1006:$BQ$1006,0)))),"Fix")))</f>
        <v>#N/A</v>
      </c>
      <c r="K528" s="5" t="e">
        <f ca="1">IF(OR(INDEX($AI$2:$AI$1001,MATCH(ROWS($AH$2:AH528),$AH$2:$AH$1001,0),1)&gt;=100000,INDEX($AO$1005:$BQ$1005,1,MATCH(COLUMNS($AO$1006:AX1006),$AO$1006:$BQ$1006,0))&gt;=100000), " ",IF(INDEX($AO$2:$BQ$1001,MATCH(ROWS($AH$2:AH528),$AH$2:$AH$1001,0),MATCH(COLUMNS($AO$1006:AX1006),$AO$1006:$BQ$1006,0)), HYPERLINK("#",""), HYPERLINK(CONCATENATE("#Metadata!", ADDRESS(INDEX($AJ$2:$AJ$1001,MATCH(ROWS($AH$2:AH528),$AH$2:$AH$1001,0),0), INDEX($AO$1004:$BQ$1004,1,MATCH(COLUMNS($AO$1006:AX1006),$AO$1006:$BQ$1006,0)))),"Fix")))</f>
        <v>#N/A</v>
      </c>
      <c r="L528" s="5" t="e">
        <f ca="1">IF(OR(INDEX($AI$2:$AI$1001,MATCH(ROWS($AH$2:AH528),$AH$2:$AH$1001,0),1)&gt;=100000,INDEX($AO$1005:$BQ$1005,1,MATCH(COLUMNS($AO$1006:AY1006),$AO$1006:$BQ$1006,0))&gt;=100000), " ",IF(INDEX($AO$2:$BQ$1001,MATCH(ROWS($AH$2:AH528),$AH$2:$AH$1001,0),MATCH(COLUMNS($AO$1006:AY1006),$AO$1006:$BQ$1006,0)), HYPERLINK("#",""), HYPERLINK(CONCATENATE("#Metadata!", ADDRESS(INDEX($AJ$2:$AJ$1001,MATCH(ROWS($AH$2:AH528),$AH$2:$AH$1001,0),0), INDEX($AO$1004:$BQ$1004,1,MATCH(COLUMNS($AO$1006:AY1006),$AO$1006:$BQ$1006,0)))),"Fix")))</f>
        <v>#N/A</v>
      </c>
      <c r="M528" s="5" t="e">
        <f ca="1">IF(OR(INDEX($AI$2:$AI$1001,MATCH(ROWS($AH$2:AH528),$AH$2:$AH$1001,0),1)&gt;=100000,INDEX($AO$1005:$BQ$1005,1,MATCH(COLUMNS($AO$1006:AZ1006),$AO$1006:$BQ$1006,0))&gt;=100000), " ",IF(INDEX($AO$2:$BQ$1001,MATCH(ROWS($AH$2:AH528),$AH$2:$AH$1001,0),MATCH(COLUMNS($AO$1006:AZ1006),$AO$1006:$BQ$1006,0)), HYPERLINK("#",""), HYPERLINK(CONCATENATE("#Metadata!", ADDRESS(INDEX($AJ$2:$AJ$1001,MATCH(ROWS($AH$2:AH528),$AH$2:$AH$1001,0),0), INDEX($AO$1004:$BQ$1004,1,MATCH(COLUMNS($AO$1006:AZ1006),$AO$1006:$BQ$1006,0)))),"Fix")))</f>
        <v>#N/A</v>
      </c>
      <c r="N528" s="5" t="e">
        <f ca="1">IF(OR(INDEX($AI$2:$AI$1001,MATCH(ROWS($AH$2:AH528),$AH$2:$AH$1001,0),1)&gt;=100000,INDEX($AO$1005:$BQ$1005,1,MATCH(COLUMNS($AO$1006:BA1006),$AO$1006:$BQ$1006,0))&gt;=100000), " ",IF(INDEX($AO$2:$BQ$1001,MATCH(ROWS($AH$2:AH528),$AH$2:$AH$1001,0),MATCH(COLUMNS($AO$1006:BA1006),$AO$1006:$BQ$1006,0)), HYPERLINK("#",""), HYPERLINK(CONCATENATE("#Metadata!", ADDRESS(INDEX($AJ$2:$AJ$1001,MATCH(ROWS($AH$2:AH528),$AH$2:$AH$1001,0),0), INDEX($AO$1004:$BQ$1004,1,MATCH(COLUMNS($AO$1006:BA1006),$AO$1006:$BQ$1006,0)))),"Fix")))</f>
        <v>#N/A</v>
      </c>
      <c r="O528" s="5" t="e">
        <f ca="1">IF(OR(INDEX($AI$2:$AI$1001,MATCH(ROWS($AH$2:AH528),$AH$2:$AH$1001,0),1)&gt;=100000,INDEX($AO$1005:$BQ$1005,1,MATCH(COLUMNS($AO$1006:BB1006),$AO$1006:$BQ$1006,0))&gt;=100000), " ",IF(INDEX($AO$2:$BQ$1001,MATCH(ROWS($AH$2:AH528),$AH$2:$AH$1001,0),MATCH(COLUMNS($AO$1006:BB1006),$AO$1006:$BQ$1006,0)), HYPERLINK("#",""), HYPERLINK(CONCATENATE("#Metadata!", ADDRESS(INDEX($AJ$2:$AJ$1001,MATCH(ROWS($AH$2:AH528),$AH$2:$AH$1001,0),0), INDEX($AO$1004:$BQ$1004,1,MATCH(COLUMNS($AO$1006:BB1006),$AO$1006:$BQ$1006,0)))),"Fix")))</f>
        <v>#N/A</v>
      </c>
      <c r="P528" s="5" t="e">
        <f ca="1">IF(OR(INDEX($AI$2:$AI$1001,MATCH(ROWS($AH$2:AH528),$AH$2:$AH$1001,0),1)&gt;=100000,INDEX($AO$1005:$BQ$1005,1,MATCH(COLUMNS($AO$1006:BC1006),$AO$1006:$BQ$1006,0))&gt;=100000), " ",IF(INDEX($AO$2:$BQ$1001,MATCH(ROWS($AH$2:AH528),$AH$2:$AH$1001,0),MATCH(COLUMNS($AO$1006:BC1006),$AO$1006:$BQ$1006,0)), HYPERLINK("#",""), HYPERLINK(CONCATENATE("#Metadata!", ADDRESS(INDEX($AJ$2:$AJ$1001,MATCH(ROWS($AH$2:AH528),$AH$2:$AH$1001,0),0), INDEX($AO$1004:$BQ$1004,1,MATCH(COLUMNS($AO$1006:BC1006),$AO$1006:$BQ$1006,0)))),"Fix")))</f>
        <v>#N/A</v>
      </c>
      <c r="Q528" s="5" t="e">
        <f ca="1">IF(OR(INDEX($AI$2:$AI$1001,MATCH(ROWS($AH$2:AH528),$AH$2:$AH$1001,0),1)&gt;=100000,INDEX($AO$1005:$BQ$1005,1,MATCH(COLUMNS($AO$1006:BD1006),$AO$1006:$BQ$1006,0))&gt;=100000), " ",IF(INDEX($AO$2:$BQ$1001,MATCH(ROWS($AH$2:AH528),$AH$2:$AH$1001,0),MATCH(COLUMNS($AO$1006:BD1006),$AO$1006:$BQ$1006,0)), HYPERLINK("#",""), HYPERLINK(CONCATENATE("#Metadata!", ADDRESS(INDEX($AJ$2:$AJ$1001,MATCH(ROWS($AH$2:AH528),$AH$2:$AH$1001,0),0), INDEX($AO$1004:$BQ$1004,1,MATCH(COLUMNS($AO$1006:BD1006),$AO$1006:$BQ$1006,0)))),"Fix")))</f>
        <v>#N/A</v>
      </c>
      <c r="R528" s="5" t="e">
        <f ca="1">IF(OR(INDEX($AI$2:$AI$1001,MATCH(ROWS($AH$2:AH528),$AH$2:$AH$1001,0),1)&gt;=100000,INDEX($AO$1005:$BQ$1005,1,MATCH(COLUMNS($AO$1006:BE1006),$AO$1006:$BQ$1006,0))&gt;=100000), " ",IF(INDEX($AO$2:$BQ$1001,MATCH(ROWS($AH$2:AH528),$AH$2:$AH$1001,0),MATCH(COLUMNS($AO$1006:BE1006),$AO$1006:$BQ$1006,0)), HYPERLINK("#",""), HYPERLINK(CONCATENATE("#Metadata!", ADDRESS(INDEX($AJ$2:$AJ$1001,MATCH(ROWS($AH$2:AH528),$AH$2:$AH$1001,0),0), INDEX($AO$1004:$BQ$1004,1,MATCH(COLUMNS($AO$1006:BE1006),$AO$1006:$BQ$1006,0)))),"Fix")))</f>
        <v>#N/A</v>
      </c>
      <c r="S528" s="5" t="e">
        <f ca="1">IF(OR(INDEX($AI$2:$AI$1001,MATCH(ROWS($AH$2:AH528),$AH$2:$AH$1001,0),1)&gt;=100000,INDEX($AO$1005:$BQ$1005,1,MATCH(COLUMNS($AO$1006:BF1006),$AO$1006:$BQ$1006,0))&gt;=100000), " ",IF(INDEX($AO$2:$BQ$1001,MATCH(ROWS($AH$2:AH528),$AH$2:$AH$1001,0),MATCH(COLUMNS($AO$1006:BF1006),$AO$1006:$BQ$1006,0)), HYPERLINK("#",""), HYPERLINK(CONCATENATE("#Metadata!", ADDRESS(INDEX($AJ$2:$AJ$1001,MATCH(ROWS($AH$2:AH528),$AH$2:$AH$1001,0),0), INDEX($AO$1004:$BQ$1004,1,MATCH(COLUMNS($AO$1006:BF1006),$AO$1006:$BQ$1006,0)))),"Fix")))</f>
        <v>#N/A</v>
      </c>
      <c r="T528" s="5" t="e">
        <f ca="1">IF(OR(INDEX($AI$2:$AI$1001,MATCH(ROWS($AH$2:AH528),$AH$2:$AH$1001,0),1)&gt;=100000,INDEX($AO$1005:$BQ$1005,1,MATCH(COLUMNS($AO$1006:BG1006),$AO$1006:$BQ$1006,0))&gt;=100000), " ",IF(INDEX($AO$2:$BQ$1001,MATCH(ROWS($AH$2:AH528),$AH$2:$AH$1001,0),MATCH(COLUMNS($AO$1006:BG1006),$AO$1006:$BQ$1006,0)), HYPERLINK("#",""), HYPERLINK(CONCATENATE("#Metadata!", ADDRESS(INDEX($AJ$2:$AJ$1001,MATCH(ROWS($AH$2:AH528),$AH$2:$AH$1001,0),0), INDEX($AO$1004:$BQ$1004,1,MATCH(COLUMNS($AO$1006:BG1006),$AO$1006:$BQ$1006,0)))),"Fix")))</f>
        <v>#N/A</v>
      </c>
      <c r="U528" s="5" t="e">
        <f ca="1">IF(OR(INDEX($AI$2:$AI$1001,MATCH(ROWS($AH$2:AH528),$AH$2:$AH$1001,0),1)&gt;=100000,INDEX($AO$1005:$BQ$1005,1,MATCH(COLUMNS($AO$1006:BH1006),$AO$1006:$BQ$1006,0))&gt;=100000), " ",IF(INDEX($AO$2:$BQ$1001,MATCH(ROWS($AH$2:AH528),$AH$2:$AH$1001,0),MATCH(COLUMNS($AO$1006:BH1006),$AO$1006:$BQ$1006,0)), HYPERLINK("#",""), HYPERLINK(CONCATENATE("#Metadata!", ADDRESS(INDEX($AJ$2:$AJ$1001,MATCH(ROWS($AH$2:AH528),$AH$2:$AH$1001,0),0), INDEX($AO$1004:$BQ$1004,1,MATCH(COLUMNS($AO$1006:BH1006),$AO$1006:$BQ$1006,0)))),"Fix")))</f>
        <v>#N/A</v>
      </c>
      <c r="V528" s="5" t="e">
        <f ca="1">IF(OR(INDEX($AI$2:$AI$1001,MATCH(ROWS($AH$2:AH528),$AH$2:$AH$1001,0),1)&gt;=100000,INDEX($AO$1005:$BQ$1005,1,MATCH(COLUMNS($AO$1006:BI1006),$AO$1006:$BQ$1006,0))&gt;=100000), " ",IF(INDEX($AO$2:$BQ$1001,MATCH(ROWS($AH$2:AH528),$AH$2:$AH$1001,0),MATCH(COLUMNS($AO$1006:BI1006),$AO$1006:$BQ$1006,0)), HYPERLINK("#",""), HYPERLINK(CONCATENATE("#Metadata!", ADDRESS(INDEX($AJ$2:$AJ$1001,MATCH(ROWS($AH$2:AH528),$AH$2:$AH$1001,0),0), INDEX($AO$1004:$BQ$1004,1,MATCH(COLUMNS($AO$1006:BI1006),$AO$1006:$BQ$1006,0)))),"Fix")))</f>
        <v>#N/A</v>
      </c>
      <c r="W528" s="5" t="e">
        <f ca="1">IF(OR(INDEX($AI$2:$AI$1001,MATCH(ROWS($AH$2:AH528),$AH$2:$AH$1001,0),1)&gt;=100000,INDEX($AO$1005:$BQ$1005,1,MATCH(COLUMNS($AO$1006:BJ1006),$AO$1006:$BQ$1006,0))&gt;=100000), " ",IF(INDEX($AO$2:$BQ$1001,MATCH(ROWS($AH$2:AH528),$AH$2:$AH$1001,0),MATCH(COLUMNS($AO$1006:BJ1006),$AO$1006:$BQ$1006,0)), HYPERLINK("#",""), HYPERLINK(CONCATENATE("#Metadata!", ADDRESS(INDEX($AJ$2:$AJ$1001,MATCH(ROWS($AH$2:AH528),$AH$2:$AH$1001,0),0), INDEX($AO$1004:$BQ$1004,1,MATCH(COLUMNS($AO$1006:BJ1006),$AO$1006:$BQ$1006,0)))),"Fix")))</f>
        <v>#N/A</v>
      </c>
      <c r="X528" s="5" t="e">
        <f ca="1">IF(OR(INDEX($AI$2:$AI$1001,MATCH(ROWS($AH$2:AH528),$AH$2:$AH$1001,0),1)&gt;=100000,INDEX($AO$1005:$BQ$1005,1,MATCH(COLUMNS($AO$1006:BK1006),$AO$1006:$BQ$1006,0))&gt;=100000), " ",IF(INDEX($AO$2:$BQ$1001,MATCH(ROWS($AH$2:AH528),$AH$2:$AH$1001,0),MATCH(COLUMNS($AO$1006:BK1006),$AO$1006:$BQ$1006,0)), HYPERLINK("#",""), HYPERLINK(CONCATENATE("#Metadata!", ADDRESS(INDEX($AJ$2:$AJ$1001,MATCH(ROWS($AH$2:AH528),$AH$2:$AH$1001,0),0), INDEX($AO$1004:$BQ$1004,1,MATCH(COLUMNS($AO$1006:BK1006),$AO$1006:$BQ$1006,0)))),"Fix")))</f>
        <v>#N/A</v>
      </c>
      <c r="Y528" s="5" t="e">
        <f ca="1">IF(OR(INDEX($AI$2:$AI$1001,MATCH(ROWS($AH$2:AH528),$AH$2:$AH$1001,0),1)&gt;=100000,INDEX($AO$1005:$BQ$1005,1,MATCH(COLUMNS($AO$1006:BL1006),$AO$1006:$BQ$1006,0))&gt;=100000), " ",IF(INDEX($AO$2:$BQ$1001,MATCH(ROWS($AH$2:AH528),$AH$2:$AH$1001,0),MATCH(COLUMNS($AO$1006:BL1006),$AO$1006:$BQ$1006,0)), HYPERLINK("#",""), HYPERLINK(CONCATENATE("#Metadata!", ADDRESS(INDEX($AJ$2:$AJ$1001,MATCH(ROWS($AH$2:AH528),$AH$2:$AH$1001,0),0), INDEX($AO$1004:$BQ$1004,1,MATCH(COLUMNS($AO$1006:BL1006),$AO$1006:$BQ$1006,0)))),"Fix")))</f>
        <v>#N/A</v>
      </c>
      <c r="Z528" s="5" t="e">
        <f ca="1">IF(OR(INDEX($AI$2:$AI$1001,MATCH(ROWS($AH$2:AH528),$AH$2:$AH$1001,0),1)&gt;=100000,INDEX($AO$1005:$BQ$1005,1,MATCH(COLUMNS($AO$1006:BM1006),$AO$1006:$BQ$1006,0))&gt;=100000), " ",IF(INDEX($AO$2:$BQ$1001,MATCH(ROWS($AH$2:AH528),$AH$2:$AH$1001,0),MATCH(COLUMNS($AO$1006:BM1006),$AO$1006:$BQ$1006,0)), HYPERLINK("#",""), HYPERLINK(CONCATENATE("#Metadata!", ADDRESS(INDEX($AJ$2:$AJ$1001,MATCH(ROWS($AH$2:AH528),$AH$2:$AH$1001,0),0), INDEX($AO$1004:$BQ$1004,1,MATCH(COLUMNS($AO$1006:BM1006),$AO$1006:$BQ$1006,0)))),"Fix")))</f>
        <v>#N/A</v>
      </c>
      <c r="AA528" s="5" t="e">
        <f ca="1">IF(OR(INDEX($AI$2:$AI$1001,MATCH(ROWS($AH$2:AH528),$AH$2:$AH$1001,0),1)&gt;=100000,INDEX($AO$1005:$BQ$1005,1,MATCH(COLUMNS($AO$1006:BN1006),$AO$1006:$BQ$1006,0))&gt;=100000), " ",IF(INDEX($AO$2:$BQ$1001,MATCH(ROWS($AH$2:AH528),$AH$2:$AH$1001,0),MATCH(COLUMNS($AO$1006:BN1006),$AO$1006:$BQ$1006,0)), HYPERLINK("#",""), HYPERLINK(CONCATENATE("#Metadata!", ADDRESS(INDEX($AJ$2:$AJ$1001,MATCH(ROWS($AH$2:AH528),$AH$2:$AH$1001,0),0), INDEX($AO$1004:$BQ$1004,1,MATCH(COLUMNS($AO$1006:BN1006),$AO$1006:$BQ$1006,0)))),"Fix")))</f>
        <v>#N/A</v>
      </c>
      <c r="AB528" s="5" t="e">
        <f ca="1">IF(OR(INDEX($AI$2:$AI$1001,MATCH(ROWS($AH$2:AH528),$AH$2:$AH$1001,0),1)&gt;=100000,INDEX($AO$1005:$BQ$1005,1,MATCH(COLUMNS($AO$1006:BO1006),$AO$1006:$BQ$1006,0))&gt;=100000), " ",IF(INDEX($AO$2:$BQ$1001,MATCH(ROWS($AH$2:AH528),$AH$2:$AH$1001,0),MATCH(COLUMNS($AO$1006:BO1006),$AO$1006:$BQ$1006,0)), HYPERLINK("#",""), HYPERLINK(CONCATENATE("#Metadata!", ADDRESS(INDEX($AJ$2:$AJ$1001,MATCH(ROWS($AH$2:AH528),$AH$2:$AH$1001,0),0), INDEX($AO$1004:$BQ$1004,1,MATCH(COLUMNS($AO$1006:BO1006),$AO$1006:$BQ$1006,0)))),"Fix")))</f>
        <v>#N/A</v>
      </c>
      <c r="AC528" s="5" t="e">
        <f ca="1">IF(OR(INDEX($AI$2:$AI$1001,MATCH(ROWS($AH$2:AH528),$AH$2:$AH$1001,0),1)&gt;=100000,INDEX($AO$1005:$BQ$1005,1,MATCH(COLUMNS($AO$1006:BP1006),$AO$1006:$BQ$1006,0))&gt;=100000), " ",IF(INDEX($AO$2:$BQ$1001,MATCH(ROWS($AH$2:AH528),$AH$2:$AH$1001,0),MATCH(COLUMNS($AO$1006:BP1006),$AO$1006:$BQ$1006,0)), HYPERLINK("#",""), HYPERLINK(CONCATENATE("#Metadata!", ADDRESS(INDEX($AJ$2:$AJ$1001,MATCH(ROWS($AH$2:AH528),$AH$2:$AH$1001,0),0), INDEX($AO$1004:$BQ$1004,1,MATCH(COLUMNS($AO$1006:BP1006),$AO$1006:$BQ$1006,0)))),"Fix")))</f>
        <v>#N/A</v>
      </c>
      <c r="AD528" s="5" t="e">
        <f ca="1">IF(OR(INDEX($AI$2:$AI$1001,MATCH(ROWS($AH$2:AH528),$AH$2:$AH$1001,0),1)&gt;=100000,INDEX($AO$1005:$BQ$1005,1,MATCH(COLUMNS($AO$1006:BQ1006),$AO$1006:$BQ$1006,0))&gt;=100000), " ",IF(INDEX($AO$2:$BQ$1001,MATCH(ROWS($AH$2:AH528),$AH$2:$AH$1001,0),MATCH(COLUMNS($AO$1006:BQ1006),$AO$1006:$BQ$1006,0)), HYPERLINK("#",""), HYPERLINK(CONCATENATE("#Metadata!", ADDRESS(INDEX($AJ$2:$AJ$1001,MATCH(ROWS($AH$2:AH528),$AH$2:$AH$1001,0),0), INDEX($AO$1004:$BQ$1004,1,MATCH(COLUMNS($AO$1006:BQ1006),$AO$1006:$BQ$1006,0)))),"Fix")))</f>
        <v>#REF!</v>
      </c>
      <c r="AH528">
        <f ca="1"/>
        <v>525</v>
      </c>
      <c r="AI528">
        <v>100528</v>
      </c>
      <c r="AJ528">
        <v>528</v>
      </c>
      <c r="AK528" t="b">
        <f t="shared" si="8"/>
        <v>1</v>
      </c>
      <c r="AL528" t="b">
        <f>COUNTBLANK(Metadata!B528:AD528)=COLUMNS(Metadata!B528:AD528)</f>
        <v>1</v>
      </c>
      <c r="AM528" t="str">
        <v/>
      </c>
      <c r="AO528" t="b">
        <f ca="1">AND(IF(Metadata!B528="",FALSE,TRUE),COUNTIF(Metadata!B:B, Metadata!B528) = 1,NOT(ISERROR(SUMPRODUCT(SEARCH(MID(Metadata!B528,ROW(INDIRECT("1:"&amp;LEN(Metadata!B528))), 1),"0123456789abcdefghijklmnopqrstuvwxyzABCDEFGHIJKLMNOPQRSTUVWXYZ.")))))</f>
        <v>0</v>
      </c>
      <c r="AP528" t="b">
        <f>IF(Metadata!C528="",FALSE,TRUE)</f>
        <v>0</v>
      </c>
      <c r="AQ528" t="b">
        <f>IF(Metadata!D528="",FALSE,TRUE)</f>
        <v>0</v>
      </c>
      <c r="AR528" t="b">
        <f ca="1">OR(AND(IF(Metadata!E528="",FALSE,TRUE),OR(EXACT(Metadata!E528,"not collected"),EXACT(Metadata!E528,"not provided"),EXACT(Metadata!E528,"restricted access"))),AND(IF(Metadata!E528="",FALSE,TRUE),AND(AND(IFERROR(INT(LEFT(Metadata!E528,4))&gt;1900,FALSE),IFERROR(INT(LEFT(Metadata!E528,4))&lt;=YEAR(NOW()),FALSE)), OR(MID(Metadata!E528,5,1)="", AND(AND(MID(Metadata!E528,5,1)="-",IFERROR(INT(MID(Metadata!E528,6,1))&gt;=0,FALSE),IFERROR(INT(MID(Metadata!E528,6,1))&lt;=1,FALSE),NOT(MID(Metadata!E528,7,1)=""),IFERROR(INT(MID(Metadata!E528,6,2))&gt;=1,FALSE),IFERROR(INT(MID(Metadata!E528,6,2))&lt;=12,FALSE)), OR(MID(Metadata!E528,8,1)="", AND(AND(MID(Metadata!E528,8,1)="-",IFERROR(INT(MID(Metadata!E528,9,1))&gt;=0,FALSE),IFERROR(INT(MID(Metadata!E528,9,1))&lt;=3,FALSE),NOT(MID(Metadata!E528,10,1)=""),IFERROR(INT(MID(Metadata!E528,9,2))&gt;=1,FALSE),IFERROR(INT(MID(Metadata!E528,9,2))&lt;=31,FALSE)), OR(MID(Metadata!E528,11,1)="", AND(AND(MID(Metadata!E528,11,1)=" ",IFERROR(INT(MID(Metadata!E528,12,1))&gt;=0,FALSE),IFERROR(INT(MID(Metadata!E528,12,1))&lt;=2,FALSE),NOT(MID(Metadata!E528,13,1)=""),IFERROR(INT(MID(Metadata!E528,12,2))&gt;=0,FALSE),IFERROR(INT(MID(Metadata!E528,12,2))&lt;=23,FALSE)), OR(MID(Metadata!E528,14,1)="", AND(AND(MID(Metadata!E528,14,1)=":",IFERROR(INT(MID(Metadata!E528,15,1))&gt;=0,FALSE),IFERROR(INT(MID(Metadata!E528,15,1))&lt;=5,FALSE),NOT(MID(Metadata!E528,16,1)=""),IFERROR(INT(MID(Metadata!E528,15,2))&gt;=0,FALSE),IFERROR(INT(MID(Metadata!E528,15,2))&lt;=59,FALSE)), OR(MID(Metadata!E528,17,1)="", AND(AND(MID(Metadata!E528,17,1)=":",IFERROR(INT(MID(Metadata!E528,18,1))&gt;=0,FALSE),IFERROR(INT(MID(Metadata!E528,18,1))&lt;=5,FALSE),NOT(MID(Metadata!E528,19,1)=""),IFERROR(INT(MID(Metadata!E528,18,2))&gt;=0,FALSE),IFERROR(INT(MID(Metadata!E528,18,2))&lt;=59,FALSE)), LEN(Metadata!E528)&lt;=19)))))))))))))</f>
        <v>0</v>
      </c>
      <c r="AS528" t="b">
        <f>IF(Metadata!F528="",FALSE,TRUE)</f>
        <v>0</v>
      </c>
      <c r="AT528" t="b">
        <f>OR(AND(IF(Metadata!G528="",FALSE,TRUE),OR(EXACT(Metadata!G528,"not collected"),EXACT(Metadata!G528,"not provided"))),AND(IF(Metadata!G528="",FALSE,TRUE),OR(EXACT(Metadata!G528,"TRUE"),EXACT(Metadata!G528,"FALSE"))))</f>
        <v>0</v>
      </c>
      <c r="AU528" t="b">
        <f>OR(AND(IF(Metadata!H528="",FALSE,TRUE),OR(EXACT(Metadata!H528,"not collected"),EXACT(Metadata!H528,"not provided"),EXACT(Metadata!H528,"restricted access"))),AND(IF(Metadata!H528="",FALSE,ISNUMBER(VALUE(Metadata!H528))),Metadata!H528&gt;=-413))</f>
        <v>0</v>
      </c>
      <c r="AV528" t="b">
        <f>AND(IF(Metadata!I528="",FALSE,TRUE),EXACT(Metadata!I528,"meters"))</f>
        <v>0</v>
      </c>
      <c r="AW528" t="b">
        <f>AND(IF(Metadata!J528="",FALSE,TRUE),EXACT(Metadata!J528,"free-living"))</f>
        <v>0</v>
      </c>
      <c r="AX528" t="b">
        <f>AND(IF(Metadata!K528="",FALSE,TRUE),OR(EXACT(Metadata!K528,"saline"),EXACT(Metadata!K528,"non-saline")))</f>
        <v>0</v>
      </c>
      <c r="AY528" t="b">
        <f>AND(IF(Metadata!L528="",FALSE,TRUE),OR(EXACT(Metadata!L528,"sub-surface (non-saline)"),EXACT(Metadata!L528,"surface (non-saline)"),EXACT(Metadata!L528,"water (non-saline)"),EXACT(Metadata!L528,"soil (non-saline)"),EXACT(Metadata!L528,"aerosol (non-saline)"),EXACT(Metadata!L528,"sediment (non-saline)"),EXACT(Metadata!L528,"surface (saline)"),EXACT(Metadata!L528,"water (saline)"),EXACT(Metadata!L528,"hypersaline (saline)"),EXACT(Metadata!L528,"aerosol (saline)"),EXACT(Metadata!L528,"sediment (saline)")))</f>
        <v>0</v>
      </c>
      <c r="AZ528" t="b">
        <f>IF(Metadata!M528="",FALSE,TRUE)</f>
        <v>0</v>
      </c>
      <c r="BA528" t="b">
        <f>IF(Metadata!N528="",FALSE,TRUE)</f>
        <v>0</v>
      </c>
      <c r="BB528" t="b">
        <f>IF(Metadata!O528="",FALSE,TRUE)</f>
        <v>0</v>
      </c>
      <c r="BC528" t="b">
        <f>AND(IF(Metadata!P528="",FALSE,TRUE),OR(EXACT(Metadata!P528,"air"),EXACT(Metadata!P528,"microbial mat/biofilm"),EXACT(Metadata!P528,"misc environment"),EXACT(Metadata!P528,"sediment"),EXACT(Metadata!P528,"soil"),EXACT(Metadata!P528,"wastewater/sludge"),EXACT(Metadata!P528,"water")))</f>
        <v>0</v>
      </c>
      <c r="BD528" t="b">
        <f>IF(Metadata!Q528="",FALSE,TRUE)</f>
        <v>0</v>
      </c>
      <c r="BE528" t="b">
        <f>IF(Metadata!R528="",FALSE,TRUE)</f>
        <v>0</v>
      </c>
      <c r="BF528" t="b">
        <f>OR(AND(IF(Metadata!S528="",FALSE,TRUE),OR(EXACT(Metadata!S528,"not collected"),EXACT(Metadata!S528,"not provided"),EXACT(Metadata!S528,"restricted access"))),AND(IF(Metadata!S528="",FALSE,ISNUMBER(VALUE(Metadata!S528))),Metadata!S528&gt;=-90,Metadata!S528&lt;=90))</f>
        <v>0</v>
      </c>
      <c r="BG528" t="b">
        <f>AND(IF(Metadata!T528="",FALSE,TRUE),EXACT(Metadata!T528,"Decimal degrees"))</f>
        <v>0</v>
      </c>
      <c r="BH528" t="b">
        <f>OR(AND(IF(Metadata!U528="",FALSE,TRUE),OR(EXACT(Metadata!U528,"not applicable"),EXACT(Metadata!U528,"not collected"))),IF(Metadata!U528="",FALSE,TRUE))</f>
        <v>0</v>
      </c>
      <c r="BI528" t="b">
        <f>OR(AND(IF(Metadata!V528="",FALSE,TRUE),OR(EXACT(Metadata!V528,"not collected"),EXACT(Metadata!V528,"not provided"),EXACT(Metadata!V528,"restricted access"))),AND(IF(Metadata!V528="",FALSE,ISNUMBER(VALUE(Metadata!V528))),Metadata!V528&gt;=-180,Metadata!V528&lt;=180))</f>
        <v>0</v>
      </c>
      <c r="BJ528" t="b">
        <f>AND(IF(Metadata!W528="",FALSE,TRUE),EXACT(Metadata!W528,"Decimal degrees"))</f>
        <v>0</v>
      </c>
      <c r="BK528" t="b">
        <f>IF(Metadata!X528="",FALSE,TRUE)</f>
        <v>0</v>
      </c>
      <c r="BL528" t="b">
        <f>OR(AND(IF(Metadata!Y528="",FALSE,TRUE),OR(EXACT(Metadata!Y528,"not collected"),EXACT(Metadata!Y528,"not provided"),EXACT(Metadata!Y528,"restricted access"))),AND(IF(Metadata!Y528="",FALSE,TRUE),OR(EXACT(Metadata!Y528,"TRUE"),EXACT(Metadata!Y528,"FALSE"))))</f>
        <v>0</v>
      </c>
      <c r="BM528" t="b">
        <f>OR(AND(IF(Metadata!Z528="",FALSE,TRUE),EXACT(Metadata!Z528,"not applicable")),AND(IF(Metadata!Z528="",FALSE,TRUE),OR(EXACT(Metadata!Z528,"beer"),EXACT(Metadata!Z528,"cheese"),EXACT(Metadata!Z528,"fresh water"),EXACT(Metadata!Z528,"marine sediment"),EXACT(Metadata!Z528,"sea water"),EXACT(Metadata!Z528,"sediment"),EXACT(Metadata!Z528,"soil"),EXACT(Metadata!Z528,"waste water"))))</f>
        <v>0</v>
      </c>
      <c r="BN528" t="b">
        <f>AND(IF(Metadata!AA528="",FALSE,TRUE),EXACT(Metadata!AA528,"metagenome"))</f>
        <v>0</v>
      </c>
      <c r="BO528" t="b">
        <f>AND(IF(Metadata!AB528="",FALSE,TRUE),EXACT(Metadata!AB528,"256318"))</f>
        <v>0</v>
      </c>
      <c r="BP528" t="b">
        <f>IF(Metadata!AC528="",FALSE,TRUE)</f>
        <v>0</v>
      </c>
      <c r="BQ528" t="b">
        <f>IF(Metadata!AD528="",FALSE,TRUE)</f>
        <v>0</v>
      </c>
    </row>
    <row r="529" spans="1:69" x14ac:dyDescent="0.2">
      <c r="A529" s="4" t="e">
        <f ca="1">IF(B529=" "," ",HYPERLINK(CONCATENATE("#metadata!",ADDRESS(INDEX($AJ$2:$AJ$1001,MATCH(ROWS($AH$2:AH529),$AH$2:$AH$1001,0),0),2)),INDEX($AM$2:$AM$1001,MATCH(ROWS($AH$2:AH529),$AH$2:$AH$1001,0),0)))</f>
        <v>#N/A</v>
      </c>
      <c r="B529" s="5" t="e">
        <f ca="1">IF(OR(INDEX($AI$2:$AI$1001,MATCH(ROWS($AH$2:AH529),$AH$2:$AH$1001,0),1)&gt;=100000,INDEX($AO$1005:$BQ$1005,1,MATCH(COLUMNS($AO$1006:AO1006),$AO$1006:$BQ$1006,0))&gt;=100000), " ",IF(INDEX($AO$2:$BQ$1001,MATCH(ROWS($AH$2:AH529),$AH$2:$AH$1001,0),MATCH(COLUMNS($AO$1006:AO1006),$AO$1006:$BQ$1006,0)), HYPERLINK("#",""), HYPERLINK(CONCATENATE("#Metadata!", ADDRESS(INDEX($AJ$2:$AJ$1001,MATCH(ROWS($AH$2:AH529),$AH$2:$AH$1001,0),0), INDEX($AO$1004:$BQ$1004,1,MATCH(COLUMNS($AO$1006:AO1006),$AO$1006:$BQ$1006,0)))),"Fix")))</f>
        <v>#N/A</v>
      </c>
      <c r="C529" s="5" t="e">
        <f ca="1">IF(OR(INDEX($AI$2:$AI$1001,MATCH(ROWS($AH$2:AH529),$AH$2:$AH$1001,0),1)&gt;=100000,INDEX($AO$1005:$BQ$1005,1,MATCH(COLUMNS($AO$1006:AP1006),$AO$1006:$BQ$1006,0))&gt;=100000), " ",IF(INDEX($AO$2:$BQ$1001,MATCH(ROWS($AH$2:AH529),$AH$2:$AH$1001,0),MATCH(COLUMNS($AO$1006:AP1006),$AO$1006:$BQ$1006,0)), HYPERLINK("#",""), HYPERLINK(CONCATENATE("#Metadata!", ADDRESS(INDEX($AJ$2:$AJ$1001,MATCH(ROWS($AH$2:AH529),$AH$2:$AH$1001,0),0), INDEX($AO$1004:$BQ$1004,1,MATCH(COLUMNS($AO$1006:AP1006),$AO$1006:$BQ$1006,0)))),"Fix")))</f>
        <v>#N/A</v>
      </c>
      <c r="D529" s="5" t="e">
        <f ca="1">IF(OR(INDEX($AI$2:$AI$1001,MATCH(ROWS($AH$2:AH529),$AH$2:$AH$1001,0),1)&gt;=100000,INDEX($AO$1005:$BQ$1005,1,MATCH(COLUMNS($AO$1006:AQ1006),$AO$1006:$BQ$1006,0))&gt;=100000), " ",IF(INDEX($AO$2:$BQ$1001,MATCH(ROWS($AH$2:AH529),$AH$2:$AH$1001,0),MATCH(COLUMNS($AO$1006:AQ1006),$AO$1006:$BQ$1006,0)), HYPERLINK("#",""), HYPERLINK(CONCATENATE("#Metadata!", ADDRESS(INDEX($AJ$2:$AJ$1001,MATCH(ROWS($AH$2:AH529),$AH$2:$AH$1001,0),0), INDEX($AO$1004:$BQ$1004,1,MATCH(COLUMNS($AO$1006:AQ1006),$AO$1006:$BQ$1006,0)))),"Fix")))</f>
        <v>#N/A</v>
      </c>
      <c r="E529" s="5" t="e">
        <f ca="1">IF(OR(INDEX($AI$2:$AI$1001,MATCH(ROWS($AH$2:AH529),$AH$2:$AH$1001,0),1)&gt;=100000,INDEX($AO$1005:$BQ$1005,1,MATCH(COLUMNS($AO$1006:AR1006),$AO$1006:$BQ$1006,0))&gt;=100000), " ",IF(INDEX($AO$2:$BQ$1001,MATCH(ROWS($AH$2:AH529),$AH$2:$AH$1001,0),MATCH(COLUMNS($AO$1006:AR1006),$AO$1006:$BQ$1006,0)), HYPERLINK("#",""), HYPERLINK(CONCATENATE("#Metadata!", ADDRESS(INDEX($AJ$2:$AJ$1001,MATCH(ROWS($AH$2:AH529),$AH$2:$AH$1001,0),0), INDEX($AO$1004:$BQ$1004,1,MATCH(COLUMNS($AO$1006:AR1006),$AO$1006:$BQ$1006,0)))),"Fix")))</f>
        <v>#N/A</v>
      </c>
      <c r="F529" s="5" t="e">
        <f ca="1">IF(OR(INDEX($AI$2:$AI$1001,MATCH(ROWS($AH$2:AH529),$AH$2:$AH$1001,0),1)&gt;=100000,INDEX($AO$1005:$BQ$1005,1,MATCH(COLUMNS($AO$1006:AS1006),$AO$1006:$BQ$1006,0))&gt;=100000), " ",IF(INDEX($AO$2:$BQ$1001,MATCH(ROWS($AH$2:AH529),$AH$2:$AH$1001,0),MATCH(COLUMNS($AO$1006:AS1006),$AO$1006:$BQ$1006,0)), HYPERLINK("#",""), HYPERLINK(CONCATENATE("#Metadata!", ADDRESS(INDEX($AJ$2:$AJ$1001,MATCH(ROWS($AH$2:AH529),$AH$2:$AH$1001,0),0), INDEX($AO$1004:$BQ$1004,1,MATCH(COLUMNS($AO$1006:AS1006),$AO$1006:$BQ$1006,0)))),"Fix")))</f>
        <v>#N/A</v>
      </c>
      <c r="G529" s="5" t="e">
        <f ca="1">IF(OR(INDEX($AI$2:$AI$1001,MATCH(ROWS($AH$2:AH529),$AH$2:$AH$1001,0),1)&gt;=100000,INDEX($AO$1005:$BQ$1005,1,MATCH(COLUMNS($AO$1006:AT1006),$AO$1006:$BQ$1006,0))&gt;=100000), " ",IF(INDEX($AO$2:$BQ$1001,MATCH(ROWS($AH$2:AH529),$AH$2:$AH$1001,0),MATCH(COLUMNS($AO$1006:AT1006),$AO$1006:$BQ$1006,0)), HYPERLINK("#",""), HYPERLINK(CONCATENATE("#Metadata!", ADDRESS(INDEX($AJ$2:$AJ$1001,MATCH(ROWS($AH$2:AH529),$AH$2:$AH$1001,0),0), INDEX($AO$1004:$BQ$1004,1,MATCH(COLUMNS($AO$1006:AT1006),$AO$1006:$BQ$1006,0)))),"Fix")))</f>
        <v>#N/A</v>
      </c>
      <c r="H529" s="5" t="e">
        <f ca="1">IF(OR(INDEX($AI$2:$AI$1001,MATCH(ROWS($AH$2:AH529),$AH$2:$AH$1001,0),1)&gt;=100000,INDEX($AO$1005:$BQ$1005,1,MATCH(COLUMNS($AO$1006:AU1006),$AO$1006:$BQ$1006,0))&gt;=100000), " ",IF(INDEX($AO$2:$BQ$1001,MATCH(ROWS($AH$2:AH529),$AH$2:$AH$1001,0),MATCH(COLUMNS($AO$1006:AU1006),$AO$1006:$BQ$1006,0)), HYPERLINK("#",""), HYPERLINK(CONCATENATE("#Metadata!", ADDRESS(INDEX($AJ$2:$AJ$1001,MATCH(ROWS($AH$2:AH529),$AH$2:$AH$1001,0),0), INDEX($AO$1004:$BQ$1004,1,MATCH(COLUMNS($AO$1006:AU1006),$AO$1006:$BQ$1006,0)))),"Fix")))</f>
        <v>#N/A</v>
      </c>
      <c r="I529" s="5" t="e">
        <f ca="1">IF(OR(INDEX($AI$2:$AI$1001,MATCH(ROWS($AH$2:AH529),$AH$2:$AH$1001,0),1)&gt;=100000,INDEX($AO$1005:$BQ$1005,1,MATCH(COLUMNS($AO$1006:AV1006),$AO$1006:$BQ$1006,0))&gt;=100000), " ",IF(INDEX($AO$2:$BQ$1001,MATCH(ROWS($AH$2:AH529),$AH$2:$AH$1001,0),MATCH(COLUMNS($AO$1006:AV1006),$AO$1006:$BQ$1006,0)), HYPERLINK("#",""), HYPERLINK(CONCATENATE("#Metadata!", ADDRESS(INDEX($AJ$2:$AJ$1001,MATCH(ROWS($AH$2:AH529),$AH$2:$AH$1001,0),0), INDEX($AO$1004:$BQ$1004,1,MATCH(COLUMNS($AO$1006:AV1006),$AO$1006:$BQ$1006,0)))),"Fix")))</f>
        <v>#N/A</v>
      </c>
      <c r="J529" s="5" t="e">
        <f ca="1">IF(OR(INDEX($AI$2:$AI$1001,MATCH(ROWS($AH$2:AH529),$AH$2:$AH$1001,0),1)&gt;=100000,INDEX($AO$1005:$BQ$1005,1,MATCH(COLUMNS($AO$1006:AW1006),$AO$1006:$BQ$1006,0))&gt;=100000), " ",IF(INDEX($AO$2:$BQ$1001,MATCH(ROWS($AH$2:AH529),$AH$2:$AH$1001,0),MATCH(COLUMNS($AO$1006:AW1006),$AO$1006:$BQ$1006,0)), HYPERLINK("#",""), HYPERLINK(CONCATENATE("#Metadata!", ADDRESS(INDEX($AJ$2:$AJ$1001,MATCH(ROWS($AH$2:AH529),$AH$2:$AH$1001,0),0), INDEX($AO$1004:$BQ$1004,1,MATCH(COLUMNS($AO$1006:AW1006),$AO$1006:$BQ$1006,0)))),"Fix")))</f>
        <v>#N/A</v>
      </c>
      <c r="K529" s="5" t="e">
        <f ca="1">IF(OR(INDEX($AI$2:$AI$1001,MATCH(ROWS($AH$2:AH529),$AH$2:$AH$1001,0),1)&gt;=100000,INDEX($AO$1005:$BQ$1005,1,MATCH(COLUMNS($AO$1006:AX1006),$AO$1006:$BQ$1006,0))&gt;=100000), " ",IF(INDEX($AO$2:$BQ$1001,MATCH(ROWS($AH$2:AH529),$AH$2:$AH$1001,0),MATCH(COLUMNS($AO$1006:AX1006),$AO$1006:$BQ$1006,0)), HYPERLINK("#",""), HYPERLINK(CONCATENATE("#Metadata!", ADDRESS(INDEX($AJ$2:$AJ$1001,MATCH(ROWS($AH$2:AH529),$AH$2:$AH$1001,0),0), INDEX($AO$1004:$BQ$1004,1,MATCH(COLUMNS($AO$1006:AX1006),$AO$1006:$BQ$1006,0)))),"Fix")))</f>
        <v>#N/A</v>
      </c>
      <c r="L529" s="5" t="e">
        <f ca="1">IF(OR(INDEX($AI$2:$AI$1001,MATCH(ROWS($AH$2:AH529),$AH$2:$AH$1001,0),1)&gt;=100000,INDEX($AO$1005:$BQ$1005,1,MATCH(COLUMNS($AO$1006:AY1006),$AO$1006:$BQ$1006,0))&gt;=100000), " ",IF(INDEX($AO$2:$BQ$1001,MATCH(ROWS($AH$2:AH529),$AH$2:$AH$1001,0),MATCH(COLUMNS($AO$1006:AY1006),$AO$1006:$BQ$1006,0)), HYPERLINK("#",""), HYPERLINK(CONCATENATE("#Metadata!", ADDRESS(INDEX($AJ$2:$AJ$1001,MATCH(ROWS($AH$2:AH529),$AH$2:$AH$1001,0),0), INDEX($AO$1004:$BQ$1004,1,MATCH(COLUMNS($AO$1006:AY1006),$AO$1006:$BQ$1006,0)))),"Fix")))</f>
        <v>#N/A</v>
      </c>
      <c r="M529" s="5" t="e">
        <f ca="1">IF(OR(INDEX($AI$2:$AI$1001,MATCH(ROWS($AH$2:AH529),$AH$2:$AH$1001,0),1)&gt;=100000,INDEX($AO$1005:$BQ$1005,1,MATCH(COLUMNS($AO$1006:AZ1006),$AO$1006:$BQ$1006,0))&gt;=100000), " ",IF(INDEX($AO$2:$BQ$1001,MATCH(ROWS($AH$2:AH529),$AH$2:$AH$1001,0),MATCH(COLUMNS($AO$1006:AZ1006),$AO$1006:$BQ$1006,0)), HYPERLINK("#",""), HYPERLINK(CONCATENATE("#Metadata!", ADDRESS(INDEX($AJ$2:$AJ$1001,MATCH(ROWS($AH$2:AH529),$AH$2:$AH$1001,0),0), INDEX($AO$1004:$BQ$1004,1,MATCH(COLUMNS($AO$1006:AZ1006),$AO$1006:$BQ$1006,0)))),"Fix")))</f>
        <v>#N/A</v>
      </c>
      <c r="N529" s="5" t="e">
        <f ca="1">IF(OR(INDEX($AI$2:$AI$1001,MATCH(ROWS($AH$2:AH529),$AH$2:$AH$1001,0),1)&gt;=100000,INDEX($AO$1005:$BQ$1005,1,MATCH(COLUMNS($AO$1006:BA1006),$AO$1006:$BQ$1006,0))&gt;=100000), " ",IF(INDEX($AO$2:$BQ$1001,MATCH(ROWS($AH$2:AH529),$AH$2:$AH$1001,0),MATCH(COLUMNS($AO$1006:BA1006),$AO$1006:$BQ$1006,0)), HYPERLINK("#",""), HYPERLINK(CONCATENATE("#Metadata!", ADDRESS(INDEX($AJ$2:$AJ$1001,MATCH(ROWS($AH$2:AH529),$AH$2:$AH$1001,0),0), INDEX($AO$1004:$BQ$1004,1,MATCH(COLUMNS($AO$1006:BA1006),$AO$1006:$BQ$1006,0)))),"Fix")))</f>
        <v>#N/A</v>
      </c>
      <c r="O529" s="5" t="e">
        <f ca="1">IF(OR(INDEX($AI$2:$AI$1001,MATCH(ROWS($AH$2:AH529),$AH$2:$AH$1001,0),1)&gt;=100000,INDEX($AO$1005:$BQ$1005,1,MATCH(COLUMNS($AO$1006:BB1006),$AO$1006:$BQ$1006,0))&gt;=100000), " ",IF(INDEX($AO$2:$BQ$1001,MATCH(ROWS($AH$2:AH529),$AH$2:$AH$1001,0),MATCH(COLUMNS($AO$1006:BB1006),$AO$1006:$BQ$1006,0)), HYPERLINK("#",""), HYPERLINK(CONCATENATE("#Metadata!", ADDRESS(INDEX($AJ$2:$AJ$1001,MATCH(ROWS($AH$2:AH529),$AH$2:$AH$1001,0),0), INDEX($AO$1004:$BQ$1004,1,MATCH(COLUMNS($AO$1006:BB1006),$AO$1006:$BQ$1006,0)))),"Fix")))</f>
        <v>#N/A</v>
      </c>
      <c r="P529" s="5" t="e">
        <f ca="1">IF(OR(INDEX($AI$2:$AI$1001,MATCH(ROWS($AH$2:AH529),$AH$2:$AH$1001,0),1)&gt;=100000,INDEX($AO$1005:$BQ$1005,1,MATCH(COLUMNS($AO$1006:BC1006),$AO$1006:$BQ$1006,0))&gt;=100000), " ",IF(INDEX($AO$2:$BQ$1001,MATCH(ROWS($AH$2:AH529),$AH$2:$AH$1001,0),MATCH(COLUMNS($AO$1006:BC1006),$AO$1006:$BQ$1006,0)), HYPERLINK("#",""), HYPERLINK(CONCATENATE("#Metadata!", ADDRESS(INDEX($AJ$2:$AJ$1001,MATCH(ROWS($AH$2:AH529),$AH$2:$AH$1001,0),0), INDEX($AO$1004:$BQ$1004,1,MATCH(COLUMNS($AO$1006:BC1006),$AO$1006:$BQ$1006,0)))),"Fix")))</f>
        <v>#N/A</v>
      </c>
      <c r="Q529" s="5" t="e">
        <f ca="1">IF(OR(INDEX($AI$2:$AI$1001,MATCH(ROWS($AH$2:AH529),$AH$2:$AH$1001,0),1)&gt;=100000,INDEX($AO$1005:$BQ$1005,1,MATCH(COLUMNS($AO$1006:BD1006),$AO$1006:$BQ$1006,0))&gt;=100000), " ",IF(INDEX($AO$2:$BQ$1001,MATCH(ROWS($AH$2:AH529),$AH$2:$AH$1001,0),MATCH(COLUMNS($AO$1006:BD1006),$AO$1006:$BQ$1006,0)), HYPERLINK("#",""), HYPERLINK(CONCATENATE("#Metadata!", ADDRESS(INDEX($AJ$2:$AJ$1001,MATCH(ROWS($AH$2:AH529),$AH$2:$AH$1001,0),0), INDEX($AO$1004:$BQ$1004,1,MATCH(COLUMNS($AO$1006:BD1006),$AO$1006:$BQ$1006,0)))),"Fix")))</f>
        <v>#N/A</v>
      </c>
      <c r="R529" s="5" t="e">
        <f ca="1">IF(OR(INDEX($AI$2:$AI$1001,MATCH(ROWS($AH$2:AH529),$AH$2:$AH$1001,0),1)&gt;=100000,INDEX($AO$1005:$BQ$1005,1,MATCH(COLUMNS($AO$1006:BE1006),$AO$1006:$BQ$1006,0))&gt;=100000), " ",IF(INDEX($AO$2:$BQ$1001,MATCH(ROWS($AH$2:AH529),$AH$2:$AH$1001,0),MATCH(COLUMNS($AO$1006:BE1006),$AO$1006:$BQ$1006,0)), HYPERLINK("#",""), HYPERLINK(CONCATENATE("#Metadata!", ADDRESS(INDEX($AJ$2:$AJ$1001,MATCH(ROWS($AH$2:AH529),$AH$2:$AH$1001,0),0), INDEX($AO$1004:$BQ$1004,1,MATCH(COLUMNS($AO$1006:BE1006),$AO$1006:$BQ$1006,0)))),"Fix")))</f>
        <v>#N/A</v>
      </c>
      <c r="S529" s="5" t="e">
        <f ca="1">IF(OR(INDEX($AI$2:$AI$1001,MATCH(ROWS($AH$2:AH529),$AH$2:$AH$1001,0),1)&gt;=100000,INDEX($AO$1005:$BQ$1005,1,MATCH(COLUMNS($AO$1006:BF1006),$AO$1006:$BQ$1006,0))&gt;=100000), " ",IF(INDEX($AO$2:$BQ$1001,MATCH(ROWS($AH$2:AH529),$AH$2:$AH$1001,0),MATCH(COLUMNS($AO$1006:BF1006),$AO$1006:$BQ$1006,0)), HYPERLINK("#",""), HYPERLINK(CONCATENATE("#Metadata!", ADDRESS(INDEX($AJ$2:$AJ$1001,MATCH(ROWS($AH$2:AH529),$AH$2:$AH$1001,0),0), INDEX($AO$1004:$BQ$1004,1,MATCH(COLUMNS($AO$1006:BF1006),$AO$1006:$BQ$1006,0)))),"Fix")))</f>
        <v>#N/A</v>
      </c>
      <c r="T529" s="5" t="e">
        <f ca="1">IF(OR(INDEX($AI$2:$AI$1001,MATCH(ROWS($AH$2:AH529),$AH$2:$AH$1001,0),1)&gt;=100000,INDEX($AO$1005:$BQ$1005,1,MATCH(COLUMNS($AO$1006:BG1006),$AO$1006:$BQ$1006,0))&gt;=100000), " ",IF(INDEX($AO$2:$BQ$1001,MATCH(ROWS($AH$2:AH529),$AH$2:$AH$1001,0),MATCH(COLUMNS($AO$1006:BG1006),$AO$1006:$BQ$1006,0)), HYPERLINK("#",""), HYPERLINK(CONCATENATE("#Metadata!", ADDRESS(INDEX($AJ$2:$AJ$1001,MATCH(ROWS($AH$2:AH529),$AH$2:$AH$1001,0),0), INDEX($AO$1004:$BQ$1004,1,MATCH(COLUMNS($AO$1006:BG1006),$AO$1006:$BQ$1006,0)))),"Fix")))</f>
        <v>#N/A</v>
      </c>
      <c r="U529" s="5" t="e">
        <f ca="1">IF(OR(INDEX($AI$2:$AI$1001,MATCH(ROWS($AH$2:AH529),$AH$2:$AH$1001,0),1)&gt;=100000,INDEX($AO$1005:$BQ$1005,1,MATCH(COLUMNS($AO$1006:BH1006),$AO$1006:$BQ$1006,0))&gt;=100000), " ",IF(INDEX($AO$2:$BQ$1001,MATCH(ROWS($AH$2:AH529),$AH$2:$AH$1001,0),MATCH(COLUMNS($AO$1006:BH1006),$AO$1006:$BQ$1006,0)), HYPERLINK("#",""), HYPERLINK(CONCATENATE("#Metadata!", ADDRESS(INDEX($AJ$2:$AJ$1001,MATCH(ROWS($AH$2:AH529),$AH$2:$AH$1001,0),0), INDEX($AO$1004:$BQ$1004,1,MATCH(COLUMNS($AO$1006:BH1006),$AO$1006:$BQ$1006,0)))),"Fix")))</f>
        <v>#N/A</v>
      </c>
      <c r="V529" s="5" t="e">
        <f ca="1">IF(OR(INDEX($AI$2:$AI$1001,MATCH(ROWS($AH$2:AH529),$AH$2:$AH$1001,0),1)&gt;=100000,INDEX($AO$1005:$BQ$1005,1,MATCH(COLUMNS($AO$1006:BI1006),$AO$1006:$BQ$1006,0))&gt;=100000), " ",IF(INDEX($AO$2:$BQ$1001,MATCH(ROWS($AH$2:AH529),$AH$2:$AH$1001,0),MATCH(COLUMNS($AO$1006:BI1006),$AO$1006:$BQ$1006,0)), HYPERLINK("#",""), HYPERLINK(CONCATENATE("#Metadata!", ADDRESS(INDEX($AJ$2:$AJ$1001,MATCH(ROWS($AH$2:AH529),$AH$2:$AH$1001,0),0), INDEX($AO$1004:$BQ$1004,1,MATCH(COLUMNS($AO$1006:BI1006),$AO$1006:$BQ$1006,0)))),"Fix")))</f>
        <v>#N/A</v>
      </c>
      <c r="W529" s="5" t="e">
        <f ca="1">IF(OR(INDEX($AI$2:$AI$1001,MATCH(ROWS($AH$2:AH529),$AH$2:$AH$1001,0),1)&gt;=100000,INDEX($AO$1005:$BQ$1005,1,MATCH(COLUMNS($AO$1006:BJ1006),$AO$1006:$BQ$1006,0))&gt;=100000), " ",IF(INDEX($AO$2:$BQ$1001,MATCH(ROWS($AH$2:AH529),$AH$2:$AH$1001,0),MATCH(COLUMNS($AO$1006:BJ1006),$AO$1006:$BQ$1006,0)), HYPERLINK("#",""), HYPERLINK(CONCATENATE("#Metadata!", ADDRESS(INDEX($AJ$2:$AJ$1001,MATCH(ROWS($AH$2:AH529),$AH$2:$AH$1001,0),0), INDEX($AO$1004:$BQ$1004,1,MATCH(COLUMNS($AO$1006:BJ1006),$AO$1006:$BQ$1006,0)))),"Fix")))</f>
        <v>#N/A</v>
      </c>
      <c r="X529" s="5" t="e">
        <f ca="1">IF(OR(INDEX($AI$2:$AI$1001,MATCH(ROWS($AH$2:AH529),$AH$2:$AH$1001,0),1)&gt;=100000,INDEX($AO$1005:$BQ$1005,1,MATCH(COLUMNS($AO$1006:BK1006),$AO$1006:$BQ$1006,0))&gt;=100000), " ",IF(INDEX($AO$2:$BQ$1001,MATCH(ROWS($AH$2:AH529),$AH$2:$AH$1001,0),MATCH(COLUMNS($AO$1006:BK1006),$AO$1006:$BQ$1006,0)), HYPERLINK("#",""), HYPERLINK(CONCATENATE("#Metadata!", ADDRESS(INDEX($AJ$2:$AJ$1001,MATCH(ROWS($AH$2:AH529),$AH$2:$AH$1001,0),0), INDEX($AO$1004:$BQ$1004,1,MATCH(COLUMNS($AO$1006:BK1006),$AO$1006:$BQ$1006,0)))),"Fix")))</f>
        <v>#N/A</v>
      </c>
      <c r="Y529" s="5" t="e">
        <f ca="1">IF(OR(INDEX($AI$2:$AI$1001,MATCH(ROWS($AH$2:AH529),$AH$2:$AH$1001,0),1)&gt;=100000,INDEX($AO$1005:$BQ$1005,1,MATCH(COLUMNS($AO$1006:BL1006),$AO$1006:$BQ$1006,0))&gt;=100000), " ",IF(INDEX($AO$2:$BQ$1001,MATCH(ROWS($AH$2:AH529),$AH$2:$AH$1001,0),MATCH(COLUMNS($AO$1006:BL1006),$AO$1006:$BQ$1006,0)), HYPERLINK("#",""), HYPERLINK(CONCATENATE("#Metadata!", ADDRESS(INDEX($AJ$2:$AJ$1001,MATCH(ROWS($AH$2:AH529),$AH$2:$AH$1001,0),0), INDEX($AO$1004:$BQ$1004,1,MATCH(COLUMNS($AO$1006:BL1006),$AO$1006:$BQ$1006,0)))),"Fix")))</f>
        <v>#N/A</v>
      </c>
      <c r="Z529" s="5" t="e">
        <f ca="1">IF(OR(INDEX($AI$2:$AI$1001,MATCH(ROWS($AH$2:AH529),$AH$2:$AH$1001,0),1)&gt;=100000,INDEX($AO$1005:$BQ$1005,1,MATCH(COLUMNS($AO$1006:BM1006),$AO$1006:$BQ$1006,0))&gt;=100000), " ",IF(INDEX($AO$2:$BQ$1001,MATCH(ROWS($AH$2:AH529),$AH$2:$AH$1001,0),MATCH(COLUMNS($AO$1006:BM1006),$AO$1006:$BQ$1006,0)), HYPERLINK("#",""), HYPERLINK(CONCATENATE("#Metadata!", ADDRESS(INDEX($AJ$2:$AJ$1001,MATCH(ROWS($AH$2:AH529),$AH$2:$AH$1001,0),0), INDEX($AO$1004:$BQ$1004,1,MATCH(COLUMNS($AO$1006:BM1006),$AO$1006:$BQ$1006,0)))),"Fix")))</f>
        <v>#N/A</v>
      </c>
      <c r="AA529" s="5" t="e">
        <f ca="1">IF(OR(INDEX($AI$2:$AI$1001,MATCH(ROWS($AH$2:AH529),$AH$2:$AH$1001,0),1)&gt;=100000,INDEX($AO$1005:$BQ$1005,1,MATCH(COLUMNS($AO$1006:BN1006),$AO$1006:$BQ$1006,0))&gt;=100000), " ",IF(INDEX($AO$2:$BQ$1001,MATCH(ROWS($AH$2:AH529),$AH$2:$AH$1001,0),MATCH(COLUMNS($AO$1006:BN1006),$AO$1006:$BQ$1006,0)), HYPERLINK("#",""), HYPERLINK(CONCATENATE("#Metadata!", ADDRESS(INDEX($AJ$2:$AJ$1001,MATCH(ROWS($AH$2:AH529),$AH$2:$AH$1001,0),0), INDEX($AO$1004:$BQ$1004,1,MATCH(COLUMNS($AO$1006:BN1006),$AO$1006:$BQ$1006,0)))),"Fix")))</f>
        <v>#N/A</v>
      </c>
      <c r="AB529" s="5" t="e">
        <f ca="1">IF(OR(INDEX($AI$2:$AI$1001,MATCH(ROWS($AH$2:AH529),$AH$2:$AH$1001,0),1)&gt;=100000,INDEX($AO$1005:$BQ$1005,1,MATCH(COLUMNS($AO$1006:BO1006),$AO$1006:$BQ$1006,0))&gt;=100000), " ",IF(INDEX($AO$2:$BQ$1001,MATCH(ROWS($AH$2:AH529),$AH$2:$AH$1001,0),MATCH(COLUMNS($AO$1006:BO1006),$AO$1006:$BQ$1006,0)), HYPERLINK("#",""), HYPERLINK(CONCATENATE("#Metadata!", ADDRESS(INDEX($AJ$2:$AJ$1001,MATCH(ROWS($AH$2:AH529),$AH$2:$AH$1001,0),0), INDEX($AO$1004:$BQ$1004,1,MATCH(COLUMNS($AO$1006:BO1006),$AO$1006:$BQ$1006,0)))),"Fix")))</f>
        <v>#N/A</v>
      </c>
      <c r="AC529" s="5" t="e">
        <f ca="1">IF(OR(INDEX($AI$2:$AI$1001,MATCH(ROWS($AH$2:AH529),$AH$2:$AH$1001,0),1)&gt;=100000,INDEX($AO$1005:$BQ$1005,1,MATCH(COLUMNS($AO$1006:BP1006),$AO$1006:$BQ$1006,0))&gt;=100000), " ",IF(INDEX($AO$2:$BQ$1001,MATCH(ROWS($AH$2:AH529),$AH$2:$AH$1001,0),MATCH(COLUMNS($AO$1006:BP1006),$AO$1006:$BQ$1006,0)), HYPERLINK("#",""), HYPERLINK(CONCATENATE("#Metadata!", ADDRESS(INDEX($AJ$2:$AJ$1001,MATCH(ROWS($AH$2:AH529),$AH$2:$AH$1001,0),0), INDEX($AO$1004:$BQ$1004,1,MATCH(COLUMNS($AO$1006:BP1006),$AO$1006:$BQ$1006,0)))),"Fix")))</f>
        <v>#N/A</v>
      </c>
      <c r="AD529" s="5" t="e">
        <f ca="1">IF(OR(INDEX($AI$2:$AI$1001,MATCH(ROWS($AH$2:AH529),$AH$2:$AH$1001,0),1)&gt;=100000,INDEX($AO$1005:$BQ$1005,1,MATCH(COLUMNS($AO$1006:BQ1006),$AO$1006:$BQ$1006,0))&gt;=100000), " ",IF(INDEX($AO$2:$BQ$1001,MATCH(ROWS($AH$2:AH529),$AH$2:$AH$1001,0),MATCH(COLUMNS($AO$1006:BQ1006),$AO$1006:$BQ$1006,0)), HYPERLINK("#",""), HYPERLINK(CONCATENATE("#Metadata!", ADDRESS(INDEX($AJ$2:$AJ$1001,MATCH(ROWS($AH$2:AH529),$AH$2:$AH$1001,0),0), INDEX($AO$1004:$BQ$1004,1,MATCH(COLUMNS($AO$1006:BQ1006),$AO$1006:$BQ$1006,0)))),"Fix")))</f>
        <v>#REF!</v>
      </c>
      <c r="AH529">
        <f ca="1"/>
        <v>526</v>
      </c>
      <c r="AI529">
        <v>100529</v>
      </c>
      <c r="AJ529">
        <v>529</v>
      </c>
      <c r="AK529" t="b">
        <f t="shared" si="8"/>
        <v>1</v>
      </c>
      <c r="AL529" t="b">
        <f>COUNTBLANK(Metadata!B529:AD529)=COLUMNS(Metadata!B529:AD529)</f>
        <v>1</v>
      </c>
      <c r="AM529" t="str">
        <v/>
      </c>
      <c r="AO529" t="b">
        <f ca="1">AND(IF(Metadata!B529="",FALSE,TRUE),COUNTIF(Metadata!B:B, Metadata!B529) = 1,NOT(ISERROR(SUMPRODUCT(SEARCH(MID(Metadata!B529,ROW(INDIRECT("1:"&amp;LEN(Metadata!B529))), 1),"0123456789abcdefghijklmnopqrstuvwxyzABCDEFGHIJKLMNOPQRSTUVWXYZ.")))))</f>
        <v>0</v>
      </c>
      <c r="AP529" t="b">
        <f>IF(Metadata!C529="",FALSE,TRUE)</f>
        <v>0</v>
      </c>
      <c r="AQ529" t="b">
        <f>IF(Metadata!D529="",FALSE,TRUE)</f>
        <v>0</v>
      </c>
      <c r="AR529" t="b">
        <f ca="1">OR(AND(IF(Metadata!E529="",FALSE,TRUE),OR(EXACT(Metadata!E529,"not collected"),EXACT(Metadata!E529,"not provided"),EXACT(Metadata!E529,"restricted access"))),AND(IF(Metadata!E529="",FALSE,TRUE),AND(AND(IFERROR(INT(LEFT(Metadata!E529,4))&gt;1900,FALSE),IFERROR(INT(LEFT(Metadata!E529,4))&lt;=YEAR(NOW()),FALSE)), OR(MID(Metadata!E529,5,1)="", AND(AND(MID(Metadata!E529,5,1)="-",IFERROR(INT(MID(Metadata!E529,6,1))&gt;=0,FALSE),IFERROR(INT(MID(Metadata!E529,6,1))&lt;=1,FALSE),NOT(MID(Metadata!E529,7,1)=""),IFERROR(INT(MID(Metadata!E529,6,2))&gt;=1,FALSE),IFERROR(INT(MID(Metadata!E529,6,2))&lt;=12,FALSE)), OR(MID(Metadata!E529,8,1)="", AND(AND(MID(Metadata!E529,8,1)="-",IFERROR(INT(MID(Metadata!E529,9,1))&gt;=0,FALSE),IFERROR(INT(MID(Metadata!E529,9,1))&lt;=3,FALSE),NOT(MID(Metadata!E529,10,1)=""),IFERROR(INT(MID(Metadata!E529,9,2))&gt;=1,FALSE),IFERROR(INT(MID(Metadata!E529,9,2))&lt;=31,FALSE)), OR(MID(Metadata!E529,11,1)="", AND(AND(MID(Metadata!E529,11,1)=" ",IFERROR(INT(MID(Metadata!E529,12,1))&gt;=0,FALSE),IFERROR(INT(MID(Metadata!E529,12,1))&lt;=2,FALSE),NOT(MID(Metadata!E529,13,1)=""),IFERROR(INT(MID(Metadata!E529,12,2))&gt;=0,FALSE),IFERROR(INT(MID(Metadata!E529,12,2))&lt;=23,FALSE)), OR(MID(Metadata!E529,14,1)="", AND(AND(MID(Metadata!E529,14,1)=":",IFERROR(INT(MID(Metadata!E529,15,1))&gt;=0,FALSE),IFERROR(INT(MID(Metadata!E529,15,1))&lt;=5,FALSE),NOT(MID(Metadata!E529,16,1)=""),IFERROR(INT(MID(Metadata!E529,15,2))&gt;=0,FALSE),IFERROR(INT(MID(Metadata!E529,15,2))&lt;=59,FALSE)), OR(MID(Metadata!E529,17,1)="", AND(AND(MID(Metadata!E529,17,1)=":",IFERROR(INT(MID(Metadata!E529,18,1))&gt;=0,FALSE),IFERROR(INT(MID(Metadata!E529,18,1))&lt;=5,FALSE),NOT(MID(Metadata!E529,19,1)=""),IFERROR(INT(MID(Metadata!E529,18,2))&gt;=0,FALSE),IFERROR(INT(MID(Metadata!E529,18,2))&lt;=59,FALSE)), LEN(Metadata!E529)&lt;=19)))))))))))))</f>
        <v>0</v>
      </c>
      <c r="AS529" t="b">
        <f>IF(Metadata!F529="",FALSE,TRUE)</f>
        <v>0</v>
      </c>
      <c r="AT529" t="b">
        <f>OR(AND(IF(Metadata!G529="",FALSE,TRUE),OR(EXACT(Metadata!G529,"not collected"),EXACT(Metadata!G529,"not provided"))),AND(IF(Metadata!G529="",FALSE,TRUE),OR(EXACT(Metadata!G529,"TRUE"),EXACT(Metadata!G529,"FALSE"))))</f>
        <v>0</v>
      </c>
      <c r="AU529" t="b">
        <f>OR(AND(IF(Metadata!H529="",FALSE,TRUE),OR(EXACT(Metadata!H529,"not collected"),EXACT(Metadata!H529,"not provided"),EXACT(Metadata!H529,"restricted access"))),AND(IF(Metadata!H529="",FALSE,ISNUMBER(VALUE(Metadata!H529))),Metadata!H529&gt;=-413))</f>
        <v>0</v>
      </c>
      <c r="AV529" t="b">
        <f>AND(IF(Metadata!I529="",FALSE,TRUE),EXACT(Metadata!I529,"meters"))</f>
        <v>0</v>
      </c>
      <c r="AW529" t="b">
        <f>AND(IF(Metadata!J529="",FALSE,TRUE),EXACT(Metadata!J529,"free-living"))</f>
        <v>0</v>
      </c>
      <c r="AX529" t="b">
        <f>AND(IF(Metadata!K529="",FALSE,TRUE),OR(EXACT(Metadata!K529,"saline"),EXACT(Metadata!K529,"non-saline")))</f>
        <v>0</v>
      </c>
      <c r="AY529" t="b">
        <f>AND(IF(Metadata!L529="",FALSE,TRUE),OR(EXACT(Metadata!L529,"sub-surface (non-saline)"),EXACT(Metadata!L529,"surface (non-saline)"),EXACT(Metadata!L529,"water (non-saline)"),EXACT(Metadata!L529,"soil (non-saline)"),EXACT(Metadata!L529,"aerosol (non-saline)"),EXACT(Metadata!L529,"sediment (non-saline)"),EXACT(Metadata!L529,"surface (saline)"),EXACT(Metadata!L529,"water (saline)"),EXACT(Metadata!L529,"hypersaline (saline)"),EXACT(Metadata!L529,"aerosol (saline)"),EXACT(Metadata!L529,"sediment (saline)")))</f>
        <v>0</v>
      </c>
      <c r="AZ529" t="b">
        <f>IF(Metadata!M529="",FALSE,TRUE)</f>
        <v>0</v>
      </c>
      <c r="BA529" t="b">
        <f>IF(Metadata!N529="",FALSE,TRUE)</f>
        <v>0</v>
      </c>
      <c r="BB529" t="b">
        <f>IF(Metadata!O529="",FALSE,TRUE)</f>
        <v>0</v>
      </c>
      <c r="BC529" t="b">
        <f>AND(IF(Metadata!P529="",FALSE,TRUE),OR(EXACT(Metadata!P529,"air"),EXACT(Metadata!P529,"microbial mat/biofilm"),EXACT(Metadata!P529,"misc environment"),EXACT(Metadata!P529,"sediment"),EXACT(Metadata!P529,"soil"),EXACT(Metadata!P529,"wastewater/sludge"),EXACT(Metadata!P529,"water")))</f>
        <v>0</v>
      </c>
      <c r="BD529" t="b">
        <f>IF(Metadata!Q529="",FALSE,TRUE)</f>
        <v>0</v>
      </c>
      <c r="BE529" t="b">
        <f>IF(Metadata!R529="",FALSE,TRUE)</f>
        <v>0</v>
      </c>
      <c r="BF529" t="b">
        <f>OR(AND(IF(Metadata!S529="",FALSE,TRUE),OR(EXACT(Metadata!S529,"not collected"),EXACT(Metadata!S529,"not provided"),EXACT(Metadata!S529,"restricted access"))),AND(IF(Metadata!S529="",FALSE,ISNUMBER(VALUE(Metadata!S529))),Metadata!S529&gt;=-90,Metadata!S529&lt;=90))</f>
        <v>0</v>
      </c>
      <c r="BG529" t="b">
        <f>AND(IF(Metadata!T529="",FALSE,TRUE),EXACT(Metadata!T529,"Decimal degrees"))</f>
        <v>0</v>
      </c>
      <c r="BH529" t="b">
        <f>OR(AND(IF(Metadata!U529="",FALSE,TRUE),OR(EXACT(Metadata!U529,"not applicable"),EXACT(Metadata!U529,"not collected"))),IF(Metadata!U529="",FALSE,TRUE))</f>
        <v>0</v>
      </c>
      <c r="BI529" t="b">
        <f>OR(AND(IF(Metadata!V529="",FALSE,TRUE),OR(EXACT(Metadata!V529,"not collected"),EXACT(Metadata!V529,"not provided"),EXACT(Metadata!V529,"restricted access"))),AND(IF(Metadata!V529="",FALSE,ISNUMBER(VALUE(Metadata!V529))),Metadata!V529&gt;=-180,Metadata!V529&lt;=180))</f>
        <v>0</v>
      </c>
      <c r="BJ529" t="b">
        <f>AND(IF(Metadata!W529="",FALSE,TRUE),EXACT(Metadata!W529,"Decimal degrees"))</f>
        <v>0</v>
      </c>
      <c r="BK529" t="b">
        <f>IF(Metadata!X529="",FALSE,TRUE)</f>
        <v>0</v>
      </c>
      <c r="BL529" t="b">
        <f>OR(AND(IF(Metadata!Y529="",FALSE,TRUE),OR(EXACT(Metadata!Y529,"not collected"),EXACT(Metadata!Y529,"not provided"),EXACT(Metadata!Y529,"restricted access"))),AND(IF(Metadata!Y529="",FALSE,TRUE),OR(EXACT(Metadata!Y529,"TRUE"),EXACT(Metadata!Y529,"FALSE"))))</f>
        <v>0</v>
      </c>
      <c r="BM529" t="b">
        <f>OR(AND(IF(Metadata!Z529="",FALSE,TRUE),EXACT(Metadata!Z529,"not applicable")),AND(IF(Metadata!Z529="",FALSE,TRUE),OR(EXACT(Metadata!Z529,"beer"),EXACT(Metadata!Z529,"cheese"),EXACT(Metadata!Z529,"fresh water"),EXACT(Metadata!Z529,"marine sediment"),EXACT(Metadata!Z529,"sea water"),EXACT(Metadata!Z529,"sediment"),EXACT(Metadata!Z529,"soil"),EXACT(Metadata!Z529,"waste water"))))</f>
        <v>0</v>
      </c>
      <c r="BN529" t="b">
        <f>AND(IF(Metadata!AA529="",FALSE,TRUE),EXACT(Metadata!AA529,"metagenome"))</f>
        <v>0</v>
      </c>
      <c r="BO529" t="b">
        <f>AND(IF(Metadata!AB529="",FALSE,TRUE),EXACT(Metadata!AB529,"256318"))</f>
        <v>0</v>
      </c>
      <c r="BP529" t="b">
        <f>IF(Metadata!AC529="",FALSE,TRUE)</f>
        <v>0</v>
      </c>
      <c r="BQ529" t="b">
        <f>IF(Metadata!AD529="",FALSE,TRUE)</f>
        <v>0</v>
      </c>
    </row>
    <row r="530" spans="1:69" x14ac:dyDescent="0.2">
      <c r="A530" s="4" t="e">
        <f ca="1">IF(B530=" "," ",HYPERLINK(CONCATENATE("#metadata!",ADDRESS(INDEX($AJ$2:$AJ$1001,MATCH(ROWS($AH$2:AH530),$AH$2:$AH$1001,0),0),2)),INDEX($AM$2:$AM$1001,MATCH(ROWS($AH$2:AH530),$AH$2:$AH$1001,0),0)))</f>
        <v>#N/A</v>
      </c>
      <c r="B530" s="5" t="e">
        <f ca="1">IF(OR(INDEX($AI$2:$AI$1001,MATCH(ROWS($AH$2:AH530),$AH$2:$AH$1001,0),1)&gt;=100000,INDEX($AO$1005:$BQ$1005,1,MATCH(COLUMNS($AO$1006:AO1006),$AO$1006:$BQ$1006,0))&gt;=100000), " ",IF(INDEX($AO$2:$BQ$1001,MATCH(ROWS($AH$2:AH530),$AH$2:$AH$1001,0),MATCH(COLUMNS($AO$1006:AO1006),$AO$1006:$BQ$1006,0)), HYPERLINK("#",""), HYPERLINK(CONCATENATE("#Metadata!", ADDRESS(INDEX($AJ$2:$AJ$1001,MATCH(ROWS($AH$2:AH530),$AH$2:$AH$1001,0),0), INDEX($AO$1004:$BQ$1004,1,MATCH(COLUMNS($AO$1006:AO1006),$AO$1006:$BQ$1006,0)))),"Fix")))</f>
        <v>#N/A</v>
      </c>
      <c r="C530" s="5" t="e">
        <f ca="1">IF(OR(INDEX($AI$2:$AI$1001,MATCH(ROWS($AH$2:AH530),$AH$2:$AH$1001,0),1)&gt;=100000,INDEX($AO$1005:$BQ$1005,1,MATCH(COLUMNS($AO$1006:AP1006),$AO$1006:$BQ$1006,0))&gt;=100000), " ",IF(INDEX($AO$2:$BQ$1001,MATCH(ROWS($AH$2:AH530),$AH$2:$AH$1001,0),MATCH(COLUMNS($AO$1006:AP1006),$AO$1006:$BQ$1006,0)), HYPERLINK("#",""), HYPERLINK(CONCATENATE("#Metadata!", ADDRESS(INDEX($AJ$2:$AJ$1001,MATCH(ROWS($AH$2:AH530),$AH$2:$AH$1001,0),0), INDEX($AO$1004:$BQ$1004,1,MATCH(COLUMNS($AO$1006:AP1006),$AO$1006:$BQ$1006,0)))),"Fix")))</f>
        <v>#N/A</v>
      </c>
      <c r="D530" s="5" t="e">
        <f ca="1">IF(OR(INDEX($AI$2:$AI$1001,MATCH(ROWS($AH$2:AH530),$AH$2:$AH$1001,0),1)&gt;=100000,INDEX($AO$1005:$BQ$1005,1,MATCH(COLUMNS($AO$1006:AQ1006),$AO$1006:$BQ$1006,0))&gt;=100000), " ",IF(INDEX($AO$2:$BQ$1001,MATCH(ROWS($AH$2:AH530),$AH$2:$AH$1001,0),MATCH(COLUMNS($AO$1006:AQ1006),$AO$1006:$BQ$1006,0)), HYPERLINK("#",""), HYPERLINK(CONCATENATE("#Metadata!", ADDRESS(INDEX($AJ$2:$AJ$1001,MATCH(ROWS($AH$2:AH530),$AH$2:$AH$1001,0),0), INDEX($AO$1004:$BQ$1004,1,MATCH(COLUMNS($AO$1006:AQ1006),$AO$1006:$BQ$1006,0)))),"Fix")))</f>
        <v>#N/A</v>
      </c>
      <c r="E530" s="5" t="e">
        <f ca="1">IF(OR(INDEX($AI$2:$AI$1001,MATCH(ROWS($AH$2:AH530),$AH$2:$AH$1001,0),1)&gt;=100000,INDEX($AO$1005:$BQ$1005,1,MATCH(COLUMNS($AO$1006:AR1006),$AO$1006:$BQ$1006,0))&gt;=100000), " ",IF(INDEX($AO$2:$BQ$1001,MATCH(ROWS($AH$2:AH530),$AH$2:$AH$1001,0),MATCH(COLUMNS($AO$1006:AR1006),$AO$1006:$BQ$1006,0)), HYPERLINK("#",""), HYPERLINK(CONCATENATE("#Metadata!", ADDRESS(INDEX($AJ$2:$AJ$1001,MATCH(ROWS($AH$2:AH530),$AH$2:$AH$1001,0),0), INDEX($AO$1004:$BQ$1004,1,MATCH(COLUMNS($AO$1006:AR1006),$AO$1006:$BQ$1006,0)))),"Fix")))</f>
        <v>#N/A</v>
      </c>
      <c r="F530" s="5" t="e">
        <f ca="1">IF(OR(INDEX($AI$2:$AI$1001,MATCH(ROWS($AH$2:AH530),$AH$2:$AH$1001,0),1)&gt;=100000,INDEX($AO$1005:$BQ$1005,1,MATCH(COLUMNS($AO$1006:AS1006),$AO$1006:$BQ$1006,0))&gt;=100000), " ",IF(INDEX($AO$2:$BQ$1001,MATCH(ROWS($AH$2:AH530),$AH$2:$AH$1001,0),MATCH(COLUMNS($AO$1006:AS1006),$AO$1006:$BQ$1006,0)), HYPERLINK("#",""), HYPERLINK(CONCATENATE("#Metadata!", ADDRESS(INDEX($AJ$2:$AJ$1001,MATCH(ROWS($AH$2:AH530),$AH$2:$AH$1001,0),0), INDEX($AO$1004:$BQ$1004,1,MATCH(COLUMNS($AO$1006:AS1006),$AO$1006:$BQ$1006,0)))),"Fix")))</f>
        <v>#N/A</v>
      </c>
      <c r="G530" s="5" t="e">
        <f ca="1">IF(OR(INDEX($AI$2:$AI$1001,MATCH(ROWS($AH$2:AH530),$AH$2:$AH$1001,0),1)&gt;=100000,INDEX($AO$1005:$BQ$1005,1,MATCH(COLUMNS($AO$1006:AT1006),$AO$1006:$BQ$1006,0))&gt;=100000), " ",IF(INDEX($AO$2:$BQ$1001,MATCH(ROWS($AH$2:AH530),$AH$2:$AH$1001,0),MATCH(COLUMNS($AO$1006:AT1006),$AO$1006:$BQ$1006,0)), HYPERLINK("#",""), HYPERLINK(CONCATENATE("#Metadata!", ADDRESS(INDEX($AJ$2:$AJ$1001,MATCH(ROWS($AH$2:AH530),$AH$2:$AH$1001,0),0), INDEX($AO$1004:$BQ$1004,1,MATCH(COLUMNS($AO$1006:AT1006),$AO$1006:$BQ$1006,0)))),"Fix")))</f>
        <v>#N/A</v>
      </c>
      <c r="H530" s="5" t="e">
        <f ca="1">IF(OR(INDEX($AI$2:$AI$1001,MATCH(ROWS($AH$2:AH530),$AH$2:$AH$1001,0),1)&gt;=100000,INDEX($AO$1005:$BQ$1005,1,MATCH(COLUMNS($AO$1006:AU1006),$AO$1006:$BQ$1006,0))&gt;=100000), " ",IF(INDEX($AO$2:$BQ$1001,MATCH(ROWS($AH$2:AH530),$AH$2:$AH$1001,0),MATCH(COLUMNS($AO$1006:AU1006),$AO$1006:$BQ$1006,0)), HYPERLINK("#",""), HYPERLINK(CONCATENATE("#Metadata!", ADDRESS(INDEX($AJ$2:$AJ$1001,MATCH(ROWS($AH$2:AH530),$AH$2:$AH$1001,0),0), INDEX($AO$1004:$BQ$1004,1,MATCH(COLUMNS($AO$1006:AU1006),$AO$1006:$BQ$1006,0)))),"Fix")))</f>
        <v>#N/A</v>
      </c>
      <c r="I530" s="5" t="e">
        <f ca="1">IF(OR(INDEX($AI$2:$AI$1001,MATCH(ROWS($AH$2:AH530),$AH$2:$AH$1001,0),1)&gt;=100000,INDEX($AO$1005:$BQ$1005,1,MATCH(COLUMNS($AO$1006:AV1006),$AO$1006:$BQ$1006,0))&gt;=100000), " ",IF(INDEX($AO$2:$BQ$1001,MATCH(ROWS($AH$2:AH530),$AH$2:$AH$1001,0),MATCH(COLUMNS($AO$1006:AV1006),$AO$1006:$BQ$1006,0)), HYPERLINK("#",""), HYPERLINK(CONCATENATE("#Metadata!", ADDRESS(INDEX($AJ$2:$AJ$1001,MATCH(ROWS($AH$2:AH530),$AH$2:$AH$1001,0),0), INDEX($AO$1004:$BQ$1004,1,MATCH(COLUMNS($AO$1006:AV1006),$AO$1006:$BQ$1006,0)))),"Fix")))</f>
        <v>#N/A</v>
      </c>
      <c r="J530" s="5" t="e">
        <f ca="1">IF(OR(INDEX($AI$2:$AI$1001,MATCH(ROWS($AH$2:AH530),$AH$2:$AH$1001,0),1)&gt;=100000,INDEX($AO$1005:$BQ$1005,1,MATCH(COLUMNS($AO$1006:AW1006),$AO$1006:$BQ$1006,0))&gt;=100000), " ",IF(INDEX($AO$2:$BQ$1001,MATCH(ROWS($AH$2:AH530),$AH$2:$AH$1001,0),MATCH(COLUMNS($AO$1006:AW1006),$AO$1006:$BQ$1006,0)), HYPERLINK("#",""), HYPERLINK(CONCATENATE("#Metadata!", ADDRESS(INDEX($AJ$2:$AJ$1001,MATCH(ROWS($AH$2:AH530),$AH$2:$AH$1001,0),0), INDEX($AO$1004:$BQ$1004,1,MATCH(COLUMNS($AO$1006:AW1006),$AO$1006:$BQ$1006,0)))),"Fix")))</f>
        <v>#N/A</v>
      </c>
      <c r="K530" s="5" t="e">
        <f ca="1">IF(OR(INDEX($AI$2:$AI$1001,MATCH(ROWS($AH$2:AH530),$AH$2:$AH$1001,0),1)&gt;=100000,INDEX($AO$1005:$BQ$1005,1,MATCH(COLUMNS($AO$1006:AX1006),$AO$1006:$BQ$1006,0))&gt;=100000), " ",IF(INDEX($AO$2:$BQ$1001,MATCH(ROWS($AH$2:AH530),$AH$2:$AH$1001,0),MATCH(COLUMNS($AO$1006:AX1006),$AO$1006:$BQ$1006,0)), HYPERLINK("#",""), HYPERLINK(CONCATENATE("#Metadata!", ADDRESS(INDEX($AJ$2:$AJ$1001,MATCH(ROWS($AH$2:AH530),$AH$2:$AH$1001,0),0), INDEX($AO$1004:$BQ$1004,1,MATCH(COLUMNS($AO$1006:AX1006),$AO$1006:$BQ$1006,0)))),"Fix")))</f>
        <v>#N/A</v>
      </c>
      <c r="L530" s="5" t="e">
        <f ca="1">IF(OR(INDEX($AI$2:$AI$1001,MATCH(ROWS($AH$2:AH530),$AH$2:$AH$1001,0),1)&gt;=100000,INDEX($AO$1005:$BQ$1005,1,MATCH(COLUMNS($AO$1006:AY1006),$AO$1006:$BQ$1006,0))&gt;=100000), " ",IF(INDEX($AO$2:$BQ$1001,MATCH(ROWS($AH$2:AH530),$AH$2:$AH$1001,0),MATCH(COLUMNS($AO$1006:AY1006),$AO$1006:$BQ$1006,0)), HYPERLINK("#",""), HYPERLINK(CONCATENATE("#Metadata!", ADDRESS(INDEX($AJ$2:$AJ$1001,MATCH(ROWS($AH$2:AH530),$AH$2:$AH$1001,0),0), INDEX($AO$1004:$BQ$1004,1,MATCH(COLUMNS($AO$1006:AY1006),$AO$1006:$BQ$1006,0)))),"Fix")))</f>
        <v>#N/A</v>
      </c>
      <c r="M530" s="5" t="e">
        <f ca="1">IF(OR(INDEX($AI$2:$AI$1001,MATCH(ROWS($AH$2:AH530),$AH$2:$AH$1001,0),1)&gt;=100000,INDEX($AO$1005:$BQ$1005,1,MATCH(COLUMNS($AO$1006:AZ1006),$AO$1006:$BQ$1006,0))&gt;=100000), " ",IF(INDEX($AO$2:$BQ$1001,MATCH(ROWS($AH$2:AH530),$AH$2:$AH$1001,0),MATCH(COLUMNS($AO$1006:AZ1006),$AO$1006:$BQ$1006,0)), HYPERLINK("#",""), HYPERLINK(CONCATENATE("#Metadata!", ADDRESS(INDEX($AJ$2:$AJ$1001,MATCH(ROWS($AH$2:AH530),$AH$2:$AH$1001,0),0), INDEX($AO$1004:$BQ$1004,1,MATCH(COLUMNS($AO$1006:AZ1006),$AO$1006:$BQ$1006,0)))),"Fix")))</f>
        <v>#N/A</v>
      </c>
      <c r="N530" s="5" t="e">
        <f ca="1">IF(OR(INDEX($AI$2:$AI$1001,MATCH(ROWS($AH$2:AH530),$AH$2:$AH$1001,0),1)&gt;=100000,INDEX($AO$1005:$BQ$1005,1,MATCH(COLUMNS($AO$1006:BA1006),$AO$1006:$BQ$1006,0))&gt;=100000), " ",IF(INDEX($AO$2:$BQ$1001,MATCH(ROWS($AH$2:AH530),$AH$2:$AH$1001,0),MATCH(COLUMNS($AO$1006:BA1006),$AO$1006:$BQ$1006,0)), HYPERLINK("#",""), HYPERLINK(CONCATENATE("#Metadata!", ADDRESS(INDEX($AJ$2:$AJ$1001,MATCH(ROWS($AH$2:AH530),$AH$2:$AH$1001,0),0), INDEX($AO$1004:$BQ$1004,1,MATCH(COLUMNS($AO$1006:BA1006),$AO$1006:$BQ$1006,0)))),"Fix")))</f>
        <v>#N/A</v>
      </c>
      <c r="O530" s="5" t="e">
        <f ca="1">IF(OR(INDEX($AI$2:$AI$1001,MATCH(ROWS($AH$2:AH530),$AH$2:$AH$1001,0),1)&gt;=100000,INDEX($AO$1005:$BQ$1005,1,MATCH(COLUMNS($AO$1006:BB1006),$AO$1006:$BQ$1006,0))&gt;=100000), " ",IF(INDEX($AO$2:$BQ$1001,MATCH(ROWS($AH$2:AH530),$AH$2:$AH$1001,0),MATCH(COLUMNS($AO$1006:BB1006),$AO$1006:$BQ$1006,0)), HYPERLINK("#",""), HYPERLINK(CONCATENATE("#Metadata!", ADDRESS(INDEX($AJ$2:$AJ$1001,MATCH(ROWS($AH$2:AH530),$AH$2:$AH$1001,0),0), INDEX($AO$1004:$BQ$1004,1,MATCH(COLUMNS($AO$1006:BB1006),$AO$1006:$BQ$1006,0)))),"Fix")))</f>
        <v>#N/A</v>
      </c>
      <c r="P530" s="5" t="e">
        <f ca="1">IF(OR(INDEX($AI$2:$AI$1001,MATCH(ROWS($AH$2:AH530),$AH$2:$AH$1001,0),1)&gt;=100000,INDEX($AO$1005:$BQ$1005,1,MATCH(COLUMNS($AO$1006:BC1006),$AO$1006:$BQ$1006,0))&gt;=100000), " ",IF(INDEX($AO$2:$BQ$1001,MATCH(ROWS($AH$2:AH530),$AH$2:$AH$1001,0),MATCH(COLUMNS($AO$1006:BC1006),$AO$1006:$BQ$1006,0)), HYPERLINK("#",""), HYPERLINK(CONCATENATE("#Metadata!", ADDRESS(INDEX($AJ$2:$AJ$1001,MATCH(ROWS($AH$2:AH530),$AH$2:$AH$1001,0),0), INDEX($AO$1004:$BQ$1004,1,MATCH(COLUMNS($AO$1006:BC1006),$AO$1006:$BQ$1006,0)))),"Fix")))</f>
        <v>#N/A</v>
      </c>
      <c r="Q530" s="5" t="e">
        <f ca="1">IF(OR(INDEX($AI$2:$AI$1001,MATCH(ROWS($AH$2:AH530),$AH$2:$AH$1001,0),1)&gt;=100000,INDEX($AO$1005:$BQ$1005,1,MATCH(COLUMNS($AO$1006:BD1006),$AO$1006:$BQ$1006,0))&gt;=100000), " ",IF(INDEX($AO$2:$BQ$1001,MATCH(ROWS($AH$2:AH530),$AH$2:$AH$1001,0),MATCH(COLUMNS($AO$1006:BD1006),$AO$1006:$BQ$1006,0)), HYPERLINK("#",""), HYPERLINK(CONCATENATE("#Metadata!", ADDRESS(INDEX($AJ$2:$AJ$1001,MATCH(ROWS($AH$2:AH530),$AH$2:$AH$1001,0),0), INDEX($AO$1004:$BQ$1004,1,MATCH(COLUMNS($AO$1006:BD1006),$AO$1006:$BQ$1006,0)))),"Fix")))</f>
        <v>#N/A</v>
      </c>
      <c r="R530" s="5" t="e">
        <f ca="1">IF(OR(INDEX($AI$2:$AI$1001,MATCH(ROWS($AH$2:AH530),$AH$2:$AH$1001,0),1)&gt;=100000,INDEX($AO$1005:$BQ$1005,1,MATCH(COLUMNS($AO$1006:BE1006),$AO$1006:$BQ$1006,0))&gt;=100000), " ",IF(INDEX($AO$2:$BQ$1001,MATCH(ROWS($AH$2:AH530),$AH$2:$AH$1001,0),MATCH(COLUMNS($AO$1006:BE1006),$AO$1006:$BQ$1006,0)), HYPERLINK("#",""), HYPERLINK(CONCATENATE("#Metadata!", ADDRESS(INDEX($AJ$2:$AJ$1001,MATCH(ROWS($AH$2:AH530),$AH$2:$AH$1001,0),0), INDEX($AO$1004:$BQ$1004,1,MATCH(COLUMNS($AO$1006:BE1006),$AO$1006:$BQ$1006,0)))),"Fix")))</f>
        <v>#N/A</v>
      </c>
      <c r="S530" s="5" t="e">
        <f ca="1">IF(OR(INDEX($AI$2:$AI$1001,MATCH(ROWS($AH$2:AH530),$AH$2:$AH$1001,0),1)&gt;=100000,INDEX($AO$1005:$BQ$1005,1,MATCH(COLUMNS($AO$1006:BF1006),$AO$1006:$BQ$1006,0))&gt;=100000), " ",IF(INDEX($AO$2:$BQ$1001,MATCH(ROWS($AH$2:AH530),$AH$2:$AH$1001,0),MATCH(COLUMNS($AO$1006:BF1006),$AO$1006:$BQ$1006,0)), HYPERLINK("#",""), HYPERLINK(CONCATENATE("#Metadata!", ADDRESS(INDEX($AJ$2:$AJ$1001,MATCH(ROWS($AH$2:AH530),$AH$2:$AH$1001,0),0), INDEX($AO$1004:$BQ$1004,1,MATCH(COLUMNS($AO$1006:BF1006),$AO$1006:$BQ$1006,0)))),"Fix")))</f>
        <v>#N/A</v>
      </c>
      <c r="T530" s="5" t="e">
        <f ca="1">IF(OR(INDEX($AI$2:$AI$1001,MATCH(ROWS($AH$2:AH530),$AH$2:$AH$1001,0),1)&gt;=100000,INDEX($AO$1005:$BQ$1005,1,MATCH(COLUMNS($AO$1006:BG1006),$AO$1006:$BQ$1006,0))&gt;=100000), " ",IF(INDEX($AO$2:$BQ$1001,MATCH(ROWS($AH$2:AH530),$AH$2:$AH$1001,0),MATCH(COLUMNS($AO$1006:BG1006),$AO$1006:$BQ$1006,0)), HYPERLINK("#",""), HYPERLINK(CONCATENATE("#Metadata!", ADDRESS(INDEX($AJ$2:$AJ$1001,MATCH(ROWS($AH$2:AH530),$AH$2:$AH$1001,0),0), INDEX($AO$1004:$BQ$1004,1,MATCH(COLUMNS($AO$1006:BG1006),$AO$1006:$BQ$1006,0)))),"Fix")))</f>
        <v>#N/A</v>
      </c>
      <c r="U530" s="5" t="e">
        <f ca="1">IF(OR(INDEX($AI$2:$AI$1001,MATCH(ROWS($AH$2:AH530),$AH$2:$AH$1001,0),1)&gt;=100000,INDEX($AO$1005:$BQ$1005,1,MATCH(COLUMNS($AO$1006:BH1006),$AO$1006:$BQ$1006,0))&gt;=100000), " ",IF(INDEX($AO$2:$BQ$1001,MATCH(ROWS($AH$2:AH530),$AH$2:$AH$1001,0),MATCH(COLUMNS($AO$1006:BH1006),$AO$1006:$BQ$1006,0)), HYPERLINK("#",""), HYPERLINK(CONCATENATE("#Metadata!", ADDRESS(INDEX($AJ$2:$AJ$1001,MATCH(ROWS($AH$2:AH530),$AH$2:$AH$1001,0),0), INDEX($AO$1004:$BQ$1004,1,MATCH(COLUMNS($AO$1006:BH1006),$AO$1006:$BQ$1006,0)))),"Fix")))</f>
        <v>#N/A</v>
      </c>
      <c r="V530" s="5" t="e">
        <f ca="1">IF(OR(INDEX($AI$2:$AI$1001,MATCH(ROWS($AH$2:AH530),$AH$2:$AH$1001,0),1)&gt;=100000,INDEX($AO$1005:$BQ$1005,1,MATCH(COLUMNS($AO$1006:BI1006),$AO$1006:$BQ$1006,0))&gt;=100000), " ",IF(INDEX($AO$2:$BQ$1001,MATCH(ROWS($AH$2:AH530),$AH$2:$AH$1001,0),MATCH(COLUMNS($AO$1006:BI1006),$AO$1006:$BQ$1006,0)), HYPERLINK("#",""), HYPERLINK(CONCATENATE("#Metadata!", ADDRESS(INDEX($AJ$2:$AJ$1001,MATCH(ROWS($AH$2:AH530),$AH$2:$AH$1001,0),0), INDEX($AO$1004:$BQ$1004,1,MATCH(COLUMNS($AO$1006:BI1006),$AO$1006:$BQ$1006,0)))),"Fix")))</f>
        <v>#N/A</v>
      </c>
      <c r="W530" s="5" t="e">
        <f ca="1">IF(OR(INDEX($AI$2:$AI$1001,MATCH(ROWS($AH$2:AH530),$AH$2:$AH$1001,0),1)&gt;=100000,INDEX($AO$1005:$BQ$1005,1,MATCH(COLUMNS($AO$1006:BJ1006),$AO$1006:$BQ$1006,0))&gt;=100000), " ",IF(INDEX($AO$2:$BQ$1001,MATCH(ROWS($AH$2:AH530),$AH$2:$AH$1001,0),MATCH(COLUMNS($AO$1006:BJ1006),$AO$1006:$BQ$1006,0)), HYPERLINK("#",""), HYPERLINK(CONCATENATE("#Metadata!", ADDRESS(INDEX($AJ$2:$AJ$1001,MATCH(ROWS($AH$2:AH530),$AH$2:$AH$1001,0),0), INDEX($AO$1004:$BQ$1004,1,MATCH(COLUMNS($AO$1006:BJ1006),$AO$1006:$BQ$1006,0)))),"Fix")))</f>
        <v>#N/A</v>
      </c>
      <c r="X530" s="5" t="e">
        <f ca="1">IF(OR(INDEX($AI$2:$AI$1001,MATCH(ROWS($AH$2:AH530),$AH$2:$AH$1001,0),1)&gt;=100000,INDEX($AO$1005:$BQ$1005,1,MATCH(COLUMNS($AO$1006:BK1006),$AO$1006:$BQ$1006,0))&gt;=100000), " ",IF(INDEX($AO$2:$BQ$1001,MATCH(ROWS($AH$2:AH530),$AH$2:$AH$1001,0),MATCH(COLUMNS($AO$1006:BK1006),$AO$1006:$BQ$1006,0)), HYPERLINK("#",""), HYPERLINK(CONCATENATE("#Metadata!", ADDRESS(INDEX($AJ$2:$AJ$1001,MATCH(ROWS($AH$2:AH530),$AH$2:$AH$1001,0),0), INDEX($AO$1004:$BQ$1004,1,MATCH(COLUMNS($AO$1006:BK1006),$AO$1006:$BQ$1006,0)))),"Fix")))</f>
        <v>#N/A</v>
      </c>
      <c r="Y530" s="5" t="e">
        <f ca="1">IF(OR(INDEX($AI$2:$AI$1001,MATCH(ROWS($AH$2:AH530),$AH$2:$AH$1001,0),1)&gt;=100000,INDEX($AO$1005:$BQ$1005,1,MATCH(COLUMNS($AO$1006:BL1006),$AO$1006:$BQ$1006,0))&gt;=100000), " ",IF(INDEX($AO$2:$BQ$1001,MATCH(ROWS($AH$2:AH530),$AH$2:$AH$1001,0),MATCH(COLUMNS($AO$1006:BL1006),$AO$1006:$BQ$1006,0)), HYPERLINK("#",""), HYPERLINK(CONCATENATE("#Metadata!", ADDRESS(INDEX($AJ$2:$AJ$1001,MATCH(ROWS($AH$2:AH530),$AH$2:$AH$1001,0),0), INDEX($AO$1004:$BQ$1004,1,MATCH(COLUMNS($AO$1006:BL1006),$AO$1006:$BQ$1006,0)))),"Fix")))</f>
        <v>#N/A</v>
      </c>
      <c r="Z530" s="5" t="e">
        <f ca="1">IF(OR(INDEX($AI$2:$AI$1001,MATCH(ROWS($AH$2:AH530),$AH$2:$AH$1001,0),1)&gt;=100000,INDEX($AO$1005:$BQ$1005,1,MATCH(COLUMNS($AO$1006:BM1006),$AO$1006:$BQ$1006,0))&gt;=100000), " ",IF(INDEX($AO$2:$BQ$1001,MATCH(ROWS($AH$2:AH530),$AH$2:$AH$1001,0),MATCH(COLUMNS($AO$1006:BM1006),$AO$1006:$BQ$1006,0)), HYPERLINK("#",""), HYPERLINK(CONCATENATE("#Metadata!", ADDRESS(INDEX($AJ$2:$AJ$1001,MATCH(ROWS($AH$2:AH530),$AH$2:$AH$1001,0),0), INDEX($AO$1004:$BQ$1004,1,MATCH(COLUMNS($AO$1006:BM1006),$AO$1006:$BQ$1006,0)))),"Fix")))</f>
        <v>#N/A</v>
      </c>
      <c r="AA530" s="5" t="e">
        <f ca="1">IF(OR(INDEX($AI$2:$AI$1001,MATCH(ROWS($AH$2:AH530),$AH$2:$AH$1001,0),1)&gt;=100000,INDEX($AO$1005:$BQ$1005,1,MATCH(COLUMNS($AO$1006:BN1006),$AO$1006:$BQ$1006,0))&gt;=100000), " ",IF(INDEX($AO$2:$BQ$1001,MATCH(ROWS($AH$2:AH530),$AH$2:$AH$1001,0),MATCH(COLUMNS($AO$1006:BN1006),$AO$1006:$BQ$1006,0)), HYPERLINK("#",""), HYPERLINK(CONCATENATE("#Metadata!", ADDRESS(INDEX($AJ$2:$AJ$1001,MATCH(ROWS($AH$2:AH530),$AH$2:$AH$1001,0),0), INDEX($AO$1004:$BQ$1004,1,MATCH(COLUMNS($AO$1006:BN1006),$AO$1006:$BQ$1006,0)))),"Fix")))</f>
        <v>#N/A</v>
      </c>
      <c r="AB530" s="5" t="e">
        <f ca="1">IF(OR(INDEX($AI$2:$AI$1001,MATCH(ROWS($AH$2:AH530),$AH$2:$AH$1001,0),1)&gt;=100000,INDEX($AO$1005:$BQ$1005,1,MATCH(COLUMNS($AO$1006:BO1006),$AO$1006:$BQ$1006,0))&gt;=100000), " ",IF(INDEX($AO$2:$BQ$1001,MATCH(ROWS($AH$2:AH530),$AH$2:$AH$1001,0),MATCH(COLUMNS($AO$1006:BO1006),$AO$1006:$BQ$1006,0)), HYPERLINK("#",""), HYPERLINK(CONCATENATE("#Metadata!", ADDRESS(INDEX($AJ$2:$AJ$1001,MATCH(ROWS($AH$2:AH530),$AH$2:$AH$1001,0),0), INDEX($AO$1004:$BQ$1004,1,MATCH(COLUMNS($AO$1006:BO1006),$AO$1006:$BQ$1006,0)))),"Fix")))</f>
        <v>#N/A</v>
      </c>
      <c r="AC530" s="5" t="e">
        <f ca="1">IF(OR(INDEX($AI$2:$AI$1001,MATCH(ROWS($AH$2:AH530),$AH$2:$AH$1001,0),1)&gt;=100000,INDEX($AO$1005:$BQ$1005,1,MATCH(COLUMNS($AO$1006:BP1006),$AO$1006:$BQ$1006,0))&gt;=100000), " ",IF(INDEX($AO$2:$BQ$1001,MATCH(ROWS($AH$2:AH530),$AH$2:$AH$1001,0),MATCH(COLUMNS($AO$1006:BP1006),$AO$1006:$BQ$1006,0)), HYPERLINK("#",""), HYPERLINK(CONCATENATE("#Metadata!", ADDRESS(INDEX($AJ$2:$AJ$1001,MATCH(ROWS($AH$2:AH530),$AH$2:$AH$1001,0),0), INDEX($AO$1004:$BQ$1004,1,MATCH(COLUMNS($AO$1006:BP1006),$AO$1006:$BQ$1006,0)))),"Fix")))</f>
        <v>#N/A</v>
      </c>
      <c r="AD530" s="5" t="e">
        <f ca="1">IF(OR(INDEX($AI$2:$AI$1001,MATCH(ROWS($AH$2:AH530),$AH$2:$AH$1001,0),1)&gt;=100000,INDEX($AO$1005:$BQ$1005,1,MATCH(COLUMNS($AO$1006:BQ1006),$AO$1006:$BQ$1006,0))&gt;=100000), " ",IF(INDEX($AO$2:$BQ$1001,MATCH(ROWS($AH$2:AH530),$AH$2:$AH$1001,0),MATCH(COLUMNS($AO$1006:BQ1006),$AO$1006:$BQ$1006,0)), HYPERLINK("#",""), HYPERLINK(CONCATENATE("#Metadata!", ADDRESS(INDEX($AJ$2:$AJ$1001,MATCH(ROWS($AH$2:AH530),$AH$2:$AH$1001,0),0), INDEX($AO$1004:$BQ$1004,1,MATCH(COLUMNS($AO$1006:BQ1006),$AO$1006:$BQ$1006,0)))),"Fix")))</f>
        <v>#REF!</v>
      </c>
      <c r="AH530">
        <f ca="1"/>
        <v>527</v>
      </c>
      <c r="AI530">
        <v>100530</v>
      </c>
      <c r="AJ530">
        <v>530</v>
      </c>
      <c r="AK530" t="b">
        <f t="shared" si="8"/>
        <v>1</v>
      </c>
      <c r="AL530" t="b">
        <f>COUNTBLANK(Metadata!B530:AD530)=COLUMNS(Metadata!B530:AD530)</f>
        <v>1</v>
      </c>
      <c r="AM530" t="str">
        <v/>
      </c>
      <c r="AO530" t="b">
        <f ca="1">AND(IF(Metadata!B530="",FALSE,TRUE),COUNTIF(Metadata!B:B, Metadata!B530) = 1,NOT(ISERROR(SUMPRODUCT(SEARCH(MID(Metadata!B530,ROW(INDIRECT("1:"&amp;LEN(Metadata!B530))), 1),"0123456789abcdefghijklmnopqrstuvwxyzABCDEFGHIJKLMNOPQRSTUVWXYZ.")))))</f>
        <v>0</v>
      </c>
      <c r="AP530" t="b">
        <f>IF(Metadata!C530="",FALSE,TRUE)</f>
        <v>0</v>
      </c>
      <c r="AQ530" t="b">
        <f>IF(Metadata!D530="",FALSE,TRUE)</f>
        <v>0</v>
      </c>
      <c r="AR530" t="b">
        <f ca="1">OR(AND(IF(Metadata!E530="",FALSE,TRUE),OR(EXACT(Metadata!E530,"not collected"),EXACT(Metadata!E530,"not provided"),EXACT(Metadata!E530,"restricted access"))),AND(IF(Metadata!E530="",FALSE,TRUE),AND(AND(IFERROR(INT(LEFT(Metadata!E530,4))&gt;1900,FALSE),IFERROR(INT(LEFT(Metadata!E530,4))&lt;=YEAR(NOW()),FALSE)), OR(MID(Metadata!E530,5,1)="", AND(AND(MID(Metadata!E530,5,1)="-",IFERROR(INT(MID(Metadata!E530,6,1))&gt;=0,FALSE),IFERROR(INT(MID(Metadata!E530,6,1))&lt;=1,FALSE),NOT(MID(Metadata!E530,7,1)=""),IFERROR(INT(MID(Metadata!E530,6,2))&gt;=1,FALSE),IFERROR(INT(MID(Metadata!E530,6,2))&lt;=12,FALSE)), OR(MID(Metadata!E530,8,1)="", AND(AND(MID(Metadata!E530,8,1)="-",IFERROR(INT(MID(Metadata!E530,9,1))&gt;=0,FALSE),IFERROR(INT(MID(Metadata!E530,9,1))&lt;=3,FALSE),NOT(MID(Metadata!E530,10,1)=""),IFERROR(INT(MID(Metadata!E530,9,2))&gt;=1,FALSE),IFERROR(INT(MID(Metadata!E530,9,2))&lt;=31,FALSE)), OR(MID(Metadata!E530,11,1)="", AND(AND(MID(Metadata!E530,11,1)=" ",IFERROR(INT(MID(Metadata!E530,12,1))&gt;=0,FALSE),IFERROR(INT(MID(Metadata!E530,12,1))&lt;=2,FALSE),NOT(MID(Metadata!E530,13,1)=""),IFERROR(INT(MID(Metadata!E530,12,2))&gt;=0,FALSE),IFERROR(INT(MID(Metadata!E530,12,2))&lt;=23,FALSE)), OR(MID(Metadata!E530,14,1)="", AND(AND(MID(Metadata!E530,14,1)=":",IFERROR(INT(MID(Metadata!E530,15,1))&gt;=0,FALSE),IFERROR(INT(MID(Metadata!E530,15,1))&lt;=5,FALSE),NOT(MID(Metadata!E530,16,1)=""),IFERROR(INT(MID(Metadata!E530,15,2))&gt;=0,FALSE),IFERROR(INT(MID(Metadata!E530,15,2))&lt;=59,FALSE)), OR(MID(Metadata!E530,17,1)="", AND(AND(MID(Metadata!E530,17,1)=":",IFERROR(INT(MID(Metadata!E530,18,1))&gt;=0,FALSE),IFERROR(INT(MID(Metadata!E530,18,1))&lt;=5,FALSE),NOT(MID(Metadata!E530,19,1)=""),IFERROR(INT(MID(Metadata!E530,18,2))&gt;=0,FALSE),IFERROR(INT(MID(Metadata!E530,18,2))&lt;=59,FALSE)), LEN(Metadata!E530)&lt;=19)))))))))))))</f>
        <v>0</v>
      </c>
      <c r="AS530" t="b">
        <f>IF(Metadata!F530="",FALSE,TRUE)</f>
        <v>0</v>
      </c>
      <c r="AT530" t="b">
        <f>OR(AND(IF(Metadata!G530="",FALSE,TRUE),OR(EXACT(Metadata!G530,"not collected"),EXACT(Metadata!G530,"not provided"))),AND(IF(Metadata!G530="",FALSE,TRUE),OR(EXACT(Metadata!G530,"TRUE"),EXACT(Metadata!G530,"FALSE"))))</f>
        <v>0</v>
      </c>
      <c r="AU530" t="b">
        <f>OR(AND(IF(Metadata!H530="",FALSE,TRUE),OR(EXACT(Metadata!H530,"not collected"),EXACT(Metadata!H530,"not provided"),EXACT(Metadata!H530,"restricted access"))),AND(IF(Metadata!H530="",FALSE,ISNUMBER(VALUE(Metadata!H530))),Metadata!H530&gt;=-413))</f>
        <v>0</v>
      </c>
      <c r="AV530" t="b">
        <f>AND(IF(Metadata!I530="",FALSE,TRUE),EXACT(Metadata!I530,"meters"))</f>
        <v>0</v>
      </c>
      <c r="AW530" t="b">
        <f>AND(IF(Metadata!J530="",FALSE,TRUE),EXACT(Metadata!J530,"free-living"))</f>
        <v>0</v>
      </c>
      <c r="AX530" t="b">
        <f>AND(IF(Metadata!K530="",FALSE,TRUE),OR(EXACT(Metadata!K530,"saline"),EXACT(Metadata!K530,"non-saline")))</f>
        <v>0</v>
      </c>
      <c r="AY530" t="b">
        <f>AND(IF(Metadata!L530="",FALSE,TRUE),OR(EXACT(Metadata!L530,"sub-surface (non-saline)"),EXACT(Metadata!L530,"surface (non-saline)"),EXACT(Metadata!L530,"water (non-saline)"),EXACT(Metadata!L530,"soil (non-saline)"),EXACT(Metadata!L530,"aerosol (non-saline)"),EXACT(Metadata!L530,"sediment (non-saline)"),EXACT(Metadata!L530,"surface (saline)"),EXACT(Metadata!L530,"water (saline)"),EXACT(Metadata!L530,"hypersaline (saline)"),EXACT(Metadata!L530,"aerosol (saline)"),EXACT(Metadata!L530,"sediment (saline)")))</f>
        <v>0</v>
      </c>
      <c r="AZ530" t="b">
        <f>IF(Metadata!M530="",FALSE,TRUE)</f>
        <v>0</v>
      </c>
      <c r="BA530" t="b">
        <f>IF(Metadata!N530="",FALSE,TRUE)</f>
        <v>0</v>
      </c>
      <c r="BB530" t="b">
        <f>IF(Metadata!O530="",FALSE,TRUE)</f>
        <v>0</v>
      </c>
      <c r="BC530" t="b">
        <f>AND(IF(Metadata!P530="",FALSE,TRUE),OR(EXACT(Metadata!P530,"air"),EXACT(Metadata!P530,"microbial mat/biofilm"),EXACT(Metadata!P530,"misc environment"),EXACT(Metadata!P530,"sediment"),EXACT(Metadata!P530,"soil"),EXACT(Metadata!P530,"wastewater/sludge"),EXACT(Metadata!P530,"water")))</f>
        <v>0</v>
      </c>
      <c r="BD530" t="b">
        <f>IF(Metadata!Q530="",FALSE,TRUE)</f>
        <v>0</v>
      </c>
      <c r="BE530" t="b">
        <f>IF(Metadata!R530="",FALSE,TRUE)</f>
        <v>0</v>
      </c>
      <c r="BF530" t="b">
        <f>OR(AND(IF(Metadata!S530="",FALSE,TRUE),OR(EXACT(Metadata!S530,"not collected"),EXACT(Metadata!S530,"not provided"),EXACT(Metadata!S530,"restricted access"))),AND(IF(Metadata!S530="",FALSE,ISNUMBER(VALUE(Metadata!S530))),Metadata!S530&gt;=-90,Metadata!S530&lt;=90))</f>
        <v>0</v>
      </c>
      <c r="BG530" t="b">
        <f>AND(IF(Metadata!T530="",FALSE,TRUE),EXACT(Metadata!T530,"Decimal degrees"))</f>
        <v>0</v>
      </c>
      <c r="BH530" t="b">
        <f>OR(AND(IF(Metadata!U530="",FALSE,TRUE),OR(EXACT(Metadata!U530,"not applicable"),EXACT(Metadata!U530,"not collected"))),IF(Metadata!U530="",FALSE,TRUE))</f>
        <v>0</v>
      </c>
      <c r="BI530" t="b">
        <f>OR(AND(IF(Metadata!V530="",FALSE,TRUE),OR(EXACT(Metadata!V530,"not collected"),EXACT(Metadata!V530,"not provided"),EXACT(Metadata!V530,"restricted access"))),AND(IF(Metadata!V530="",FALSE,ISNUMBER(VALUE(Metadata!V530))),Metadata!V530&gt;=-180,Metadata!V530&lt;=180))</f>
        <v>0</v>
      </c>
      <c r="BJ530" t="b">
        <f>AND(IF(Metadata!W530="",FALSE,TRUE),EXACT(Metadata!W530,"Decimal degrees"))</f>
        <v>0</v>
      </c>
      <c r="BK530" t="b">
        <f>IF(Metadata!X530="",FALSE,TRUE)</f>
        <v>0</v>
      </c>
      <c r="BL530" t="b">
        <f>OR(AND(IF(Metadata!Y530="",FALSE,TRUE),OR(EXACT(Metadata!Y530,"not collected"),EXACT(Metadata!Y530,"not provided"),EXACT(Metadata!Y530,"restricted access"))),AND(IF(Metadata!Y530="",FALSE,TRUE),OR(EXACT(Metadata!Y530,"TRUE"),EXACT(Metadata!Y530,"FALSE"))))</f>
        <v>0</v>
      </c>
      <c r="BM530" t="b">
        <f>OR(AND(IF(Metadata!Z530="",FALSE,TRUE),EXACT(Metadata!Z530,"not applicable")),AND(IF(Metadata!Z530="",FALSE,TRUE),OR(EXACT(Metadata!Z530,"beer"),EXACT(Metadata!Z530,"cheese"),EXACT(Metadata!Z530,"fresh water"),EXACT(Metadata!Z530,"marine sediment"),EXACT(Metadata!Z530,"sea water"),EXACT(Metadata!Z530,"sediment"),EXACT(Metadata!Z530,"soil"),EXACT(Metadata!Z530,"waste water"))))</f>
        <v>0</v>
      </c>
      <c r="BN530" t="b">
        <f>AND(IF(Metadata!AA530="",FALSE,TRUE),EXACT(Metadata!AA530,"metagenome"))</f>
        <v>0</v>
      </c>
      <c r="BO530" t="b">
        <f>AND(IF(Metadata!AB530="",FALSE,TRUE),EXACT(Metadata!AB530,"256318"))</f>
        <v>0</v>
      </c>
      <c r="BP530" t="b">
        <f>IF(Metadata!AC530="",FALSE,TRUE)</f>
        <v>0</v>
      </c>
      <c r="BQ530" t="b">
        <f>IF(Metadata!AD530="",FALSE,TRUE)</f>
        <v>0</v>
      </c>
    </row>
    <row r="531" spans="1:69" x14ac:dyDescent="0.2">
      <c r="A531" s="4" t="e">
        <f ca="1">IF(B531=" "," ",HYPERLINK(CONCATENATE("#metadata!",ADDRESS(INDEX($AJ$2:$AJ$1001,MATCH(ROWS($AH$2:AH531),$AH$2:$AH$1001,0),0),2)),INDEX($AM$2:$AM$1001,MATCH(ROWS($AH$2:AH531),$AH$2:$AH$1001,0),0)))</f>
        <v>#N/A</v>
      </c>
      <c r="B531" s="5" t="e">
        <f ca="1">IF(OR(INDEX($AI$2:$AI$1001,MATCH(ROWS($AH$2:AH531),$AH$2:$AH$1001,0),1)&gt;=100000,INDEX($AO$1005:$BQ$1005,1,MATCH(COLUMNS($AO$1006:AO1006),$AO$1006:$BQ$1006,0))&gt;=100000), " ",IF(INDEX($AO$2:$BQ$1001,MATCH(ROWS($AH$2:AH531),$AH$2:$AH$1001,0),MATCH(COLUMNS($AO$1006:AO1006),$AO$1006:$BQ$1006,0)), HYPERLINK("#",""), HYPERLINK(CONCATENATE("#Metadata!", ADDRESS(INDEX($AJ$2:$AJ$1001,MATCH(ROWS($AH$2:AH531),$AH$2:$AH$1001,0),0), INDEX($AO$1004:$BQ$1004,1,MATCH(COLUMNS($AO$1006:AO1006),$AO$1006:$BQ$1006,0)))),"Fix")))</f>
        <v>#N/A</v>
      </c>
      <c r="C531" s="5" t="e">
        <f ca="1">IF(OR(INDEX($AI$2:$AI$1001,MATCH(ROWS($AH$2:AH531),$AH$2:$AH$1001,0),1)&gt;=100000,INDEX($AO$1005:$BQ$1005,1,MATCH(COLUMNS($AO$1006:AP1006),$AO$1006:$BQ$1006,0))&gt;=100000), " ",IF(INDEX($AO$2:$BQ$1001,MATCH(ROWS($AH$2:AH531),$AH$2:$AH$1001,0),MATCH(COLUMNS($AO$1006:AP1006),$AO$1006:$BQ$1006,0)), HYPERLINK("#",""), HYPERLINK(CONCATENATE("#Metadata!", ADDRESS(INDEX($AJ$2:$AJ$1001,MATCH(ROWS($AH$2:AH531),$AH$2:$AH$1001,0),0), INDEX($AO$1004:$BQ$1004,1,MATCH(COLUMNS($AO$1006:AP1006),$AO$1006:$BQ$1006,0)))),"Fix")))</f>
        <v>#N/A</v>
      </c>
      <c r="D531" s="5" t="e">
        <f ca="1">IF(OR(INDEX($AI$2:$AI$1001,MATCH(ROWS($AH$2:AH531),$AH$2:$AH$1001,0),1)&gt;=100000,INDEX($AO$1005:$BQ$1005,1,MATCH(COLUMNS($AO$1006:AQ1006),$AO$1006:$BQ$1006,0))&gt;=100000), " ",IF(INDEX($AO$2:$BQ$1001,MATCH(ROWS($AH$2:AH531),$AH$2:$AH$1001,0),MATCH(COLUMNS($AO$1006:AQ1006),$AO$1006:$BQ$1006,0)), HYPERLINK("#",""), HYPERLINK(CONCATENATE("#Metadata!", ADDRESS(INDEX($AJ$2:$AJ$1001,MATCH(ROWS($AH$2:AH531),$AH$2:$AH$1001,0),0), INDEX($AO$1004:$BQ$1004,1,MATCH(COLUMNS($AO$1006:AQ1006),$AO$1006:$BQ$1006,0)))),"Fix")))</f>
        <v>#N/A</v>
      </c>
      <c r="E531" s="5" t="e">
        <f ca="1">IF(OR(INDEX($AI$2:$AI$1001,MATCH(ROWS($AH$2:AH531),$AH$2:$AH$1001,0),1)&gt;=100000,INDEX($AO$1005:$BQ$1005,1,MATCH(COLUMNS($AO$1006:AR1006),$AO$1006:$BQ$1006,0))&gt;=100000), " ",IF(INDEX($AO$2:$BQ$1001,MATCH(ROWS($AH$2:AH531),$AH$2:$AH$1001,0),MATCH(COLUMNS($AO$1006:AR1006),$AO$1006:$BQ$1006,0)), HYPERLINK("#",""), HYPERLINK(CONCATENATE("#Metadata!", ADDRESS(INDEX($AJ$2:$AJ$1001,MATCH(ROWS($AH$2:AH531),$AH$2:$AH$1001,0),0), INDEX($AO$1004:$BQ$1004,1,MATCH(COLUMNS($AO$1006:AR1006),$AO$1006:$BQ$1006,0)))),"Fix")))</f>
        <v>#N/A</v>
      </c>
      <c r="F531" s="5" t="e">
        <f ca="1">IF(OR(INDEX($AI$2:$AI$1001,MATCH(ROWS($AH$2:AH531),$AH$2:$AH$1001,0),1)&gt;=100000,INDEX($AO$1005:$BQ$1005,1,MATCH(COLUMNS($AO$1006:AS1006),$AO$1006:$BQ$1006,0))&gt;=100000), " ",IF(INDEX($AO$2:$BQ$1001,MATCH(ROWS($AH$2:AH531),$AH$2:$AH$1001,0),MATCH(COLUMNS($AO$1006:AS1006),$AO$1006:$BQ$1006,0)), HYPERLINK("#",""), HYPERLINK(CONCATENATE("#Metadata!", ADDRESS(INDEX($AJ$2:$AJ$1001,MATCH(ROWS($AH$2:AH531),$AH$2:$AH$1001,0),0), INDEX($AO$1004:$BQ$1004,1,MATCH(COLUMNS($AO$1006:AS1006),$AO$1006:$BQ$1006,0)))),"Fix")))</f>
        <v>#N/A</v>
      </c>
      <c r="G531" s="5" t="e">
        <f ca="1">IF(OR(INDEX($AI$2:$AI$1001,MATCH(ROWS($AH$2:AH531),$AH$2:$AH$1001,0),1)&gt;=100000,INDEX($AO$1005:$BQ$1005,1,MATCH(COLUMNS($AO$1006:AT1006),$AO$1006:$BQ$1006,0))&gt;=100000), " ",IF(INDEX($AO$2:$BQ$1001,MATCH(ROWS($AH$2:AH531),$AH$2:$AH$1001,0),MATCH(COLUMNS($AO$1006:AT1006),$AO$1006:$BQ$1006,0)), HYPERLINK("#",""), HYPERLINK(CONCATENATE("#Metadata!", ADDRESS(INDEX($AJ$2:$AJ$1001,MATCH(ROWS($AH$2:AH531),$AH$2:$AH$1001,0),0), INDEX($AO$1004:$BQ$1004,1,MATCH(COLUMNS($AO$1006:AT1006),$AO$1006:$BQ$1006,0)))),"Fix")))</f>
        <v>#N/A</v>
      </c>
      <c r="H531" s="5" t="e">
        <f ca="1">IF(OR(INDEX($AI$2:$AI$1001,MATCH(ROWS($AH$2:AH531),$AH$2:$AH$1001,0),1)&gt;=100000,INDEX($AO$1005:$BQ$1005,1,MATCH(COLUMNS($AO$1006:AU1006),$AO$1006:$BQ$1006,0))&gt;=100000), " ",IF(INDEX($AO$2:$BQ$1001,MATCH(ROWS($AH$2:AH531),$AH$2:$AH$1001,0),MATCH(COLUMNS($AO$1006:AU1006),$AO$1006:$BQ$1006,0)), HYPERLINK("#",""), HYPERLINK(CONCATENATE("#Metadata!", ADDRESS(INDEX($AJ$2:$AJ$1001,MATCH(ROWS($AH$2:AH531),$AH$2:$AH$1001,0),0), INDEX($AO$1004:$BQ$1004,1,MATCH(COLUMNS($AO$1006:AU1006),$AO$1006:$BQ$1006,0)))),"Fix")))</f>
        <v>#N/A</v>
      </c>
      <c r="I531" s="5" t="e">
        <f ca="1">IF(OR(INDEX($AI$2:$AI$1001,MATCH(ROWS($AH$2:AH531),$AH$2:$AH$1001,0),1)&gt;=100000,INDEX($AO$1005:$BQ$1005,1,MATCH(COLUMNS($AO$1006:AV1006),$AO$1006:$BQ$1006,0))&gt;=100000), " ",IF(INDEX($AO$2:$BQ$1001,MATCH(ROWS($AH$2:AH531),$AH$2:$AH$1001,0),MATCH(COLUMNS($AO$1006:AV1006),$AO$1006:$BQ$1006,0)), HYPERLINK("#",""), HYPERLINK(CONCATENATE("#Metadata!", ADDRESS(INDEX($AJ$2:$AJ$1001,MATCH(ROWS($AH$2:AH531),$AH$2:$AH$1001,0),0), INDEX($AO$1004:$BQ$1004,1,MATCH(COLUMNS($AO$1006:AV1006),$AO$1006:$BQ$1006,0)))),"Fix")))</f>
        <v>#N/A</v>
      </c>
      <c r="J531" s="5" t="e">
        <f ca="1">IF(OR(INDEX($AI$2:$AI$1001,MATCH(ROWS($AH$2:AH531),$AH$2:$AH$1001,0),1)&gt;=100000,INDEX($AO$1005:$BQ$1005,1,MATCH(COLUMNS($AO$1006:AW1006),$AO$1006:$BQ$1006,0))&gt;=100000), " ",IF(INDEX($AO$2:$BQ$1001,MATCH(ROWS($AH$2:AH531),$AH$2:$AH$1001,0),MATCH(COLUMNS($AO$1006:AW1006),$AO$1006:$BQ$1006,0)), HYPERLINK("#",""), HYPERLINK(CONCATENATE("#Metadata!", ADDRESS(INDEX($AJ$2:$AJ$1001,MATCH(ROWS($AH$2:AH531),$AH$2:$AH$1001,0),0), INDEX($AO$1004:$BQ$1004,1,MATCH(COLUMNS($AO$1006:AW1006),$AO$1006:$BQ$1006,0)))),"Fix")))</f>
        <v>#N/A</v>
      </c>
      <c r="K531" s="5" t="e">
        <f ca="1">IF(OR(INDEX($AI$2:$AI$1001,MATCH(ROWS($AH$2:AH531),$AH$2:$AH$1001,0),1)&gt;=100000,INDEX($AO$1005:$BQ$1005,1,MATCH(COLUMNS($AO$1006:AX1006),$AO$1006:$BQ$1006,0))&gt;=100000), " ",IF(INDEX($AO$2:$BQ$1001,MATCH(ROWS($AH$2:AH531),$AH$2:$AH$1001,0),MATCH(COLUMNS($AO$1006:AX1006),$AO$1006:$BQ$1006,0)), HYPERLINK("#",""), HYPERLINK(CONCATENATE("#Metadata!", ADDRESS(INDEX($AJ$2:$AJ$1001,MATCH(ROWS($AH$2:AH531),$AH$2:$AH$1001,0),0), INDEX($AO$1004:$BQ$1004,1,MATCH(COLUMNS($AO$1006:AX1006),$AO$1006:$BQ$1006,0)))),"Fix")))</f>
        <v>#N/A</v>
      </c>
      <c r="L531" s="5" t="e">
        <f ca="1">IF(OR(INDEX($AI$2:$AI$1001,MATCH(ROWS($AH$2:AH531),$AH$2:$AH$1001,0),1)&gt;=100000,INDEX($AO$1005:$BQ$1005,1,MATCH(COLUMNS($AO$1006:AY1006),$AO$1006:$BQ$1006,0))&gt;=100000), " ",IF(INDEX($AO$2:$BQ$1001,MATCH(ROWS($AH$2:AH531),$AH$2:$AH$1001,0),MATCH(COLUMNS($AO$1006:AY1006),$AO$1006:$BQ$1006,0)), HYPERLINK("#",""), HYPERLINK(CONCATENATE("#Metadata!", ADDRESS(INDEX($AJ$2:$AJ$1001,MATCH(ROWS($AH$2:AH531),$AH$2:$AH$1001,0),0), INDEX($AO$1004:$BQ$1004,1,MATCH(COLUMNS($AO$1006:AY1006),$AO$1006:$BQ$1006,0)))),"Fix")))</f>
        <v>#N/A</v>
      </c>
      <c r="M531" s="5" t="e">
        <f ca="1">IF(OR(INDEX($AI$2:$AI$1001,MATCH(ROWS($AH$2:AH531),$AH$2:$AH$1001,0),1)&gt;=100000,INDEX($AO$1005:$BQ$1005,1,MATCH(COLUMNS($AO$1006:AZ1006),$AO$1006:$BQ$1006,0))&gt;=100000), " ",IF(INDEX($AO$2:$BQ$1001,MATCH(ROWS($AH$2:AH531),$AH$2:$AH$1001,0),MATCH(COLUMNS($AO$1006:AZ1006),$AO$1006:$BQ$1006,0)), HYPERLINK("#",""), HYPERLINK(CONCATENATE("#Metadata!", ADDRESS(INDEX($AJ$2:$AJ$1001,MATCH(ROWS($AH$2:AH531),$AH$2:$AH$1001,0),0), INDEX($AO$1004:$BQ$1004,1,MATCH(COLUMNS($AO$1006:AZ1006),$AO$1006:$BQ$1006,0)))),"Fix")))</f>
        <v>#N/A</v>
      </c>
      <c r="N531" s="5" t="e">
        <f ca="1">IF(OR(INDEX($AI$2:$AI$1001,MATCH(ROWS($AH$2:AH531),$AH$2:$AH$1001,0),1)&gt;=100000,INDEX($AO$1005:$BQ$1005,1,MATCH(COLUMNS($AO$1006:BA1006),$AO$1006:$BQ$1006,0))&gt;=100000), " ",IF(INDEX($AO$2:$BQ$1001,MATCH(ROWS($AH$2:AH531),$AH$2:$AH$1001,0),MATCH(COLUMNS($AO$1006:BA1006),$AO$1006:$BQ$1006,0)), HYPERLINK("#",""), HYPERLINK(CONCATENATE("#Metadata!", ADDRESS(INDEX($AJ$2:$AJ$1001,MATCH(ROWS($AH$2:AH531),$AH$2:$AH$1001,0),0), INDEX($AO$1004:$BQ$1004,1,MATCH(COLUMNS($AO$1006:BA1006),$AO$1006:$BQ$1006,0)))),"Fix")))</f>
        <v>#N/A</v>
      </c>
      <c r="O531" s="5" t="e">
        <f ca="1">IF(OR(INDEX($AI$2:$AI$1001,MATCH(ROWS($AH$2:AH531),$AH$2:$AH$1001,0),1)&gt;=100000,INDEX($AO$1005:$BQ$1005,1,MATCH(COLUMNS($AO$1006:BB1006),$AO$1006:$BQ$1006,0))&gt;=100000), " ",IF(INDEX($AO$2:$BQ$1001,MATCH(ROWS($AH$2:AH531),$AH$2:$AH$1001,0),MATCH(COLUMNS($AO$1006:BB1006),$AO$1006:$BQ$1006,0)), HYPERLINK("#",""), HYPERLINK(CONCATENATE("#Metadata!", ADDRESS(INDEX($AJ$2:$AJ$1001,MATCH(ROWS($AH$2:AH531),$AH$2:$AH$1001,0),0), INDEX($AO$1004:$BQ$1004,1,MATCH(COLUMNS($AO$1006:BB1006),$AO$1006:$BQ$1006,0)))),"Fix")))</f>
        <v>#N/A</v>
      </c>
      <c r="P531" s="5" t="e">
        <f ca="1">IF(OR(INDEX($AI$2:$AI$1001,MATCH(ROWS($AH$2:AH531),$AH$2:$AH$1001,0),1)&gt;=100000,INDEX($AO$1005:$BQ$1005,1,MATCH(COLUMNS($AO$1006:BC1006),$AO$1006:$BQ$1006,0))&gt;=100000), " ",IF(INDEX($AO$2:$BQ$1001,MATCH(ROWS($AH$2:AH531),$AH$2:$AH$1001,0),MATCH(COLUMNS($AO$1006:BC1006),$AO$1006:$BQ$1006,0)), HYPERLINK("#",""), HYPERLINK(CONCATENATE("#Metadata!", ADDRESS(INDEX($AJ$2:$AJ$1001,MATCH(ROWS($AH$2:AH531),$AH$2:$AH$1001,0),0), INDEX($AO$1004:$BQ$1004,1,MATCH(COLUMNS($AO$1006:BC1006),$AO$1006:$BQ$1006,0)))),"Fix")))</f>
        <v>#N/A</v>
      </c>
      <c r="Q531" s="5" t="e">
        <f ca="1">IF(OR(INDEX($AI$2:$AI$1001,MATCH(ROWS($AH$2:AH531),$AH$2:$AH$1001,0),1)&gt;=100000,INDEX($AO$1005:$BQ$1005,1,MATCH(COLUMNS($AO$1006:BD1006),$AO$1006:$BQ$1006,0))&gt;=100000), " ",IF(INDEX($AO$2:$BQ$1001,MATCH(ROWS($AH$2:AH531),$AH$2:$AH$1001,0),MATCH(COLUMNS($AO$1006:BD1006),$AO$1006:$BQ$1006,0)), HYPERLINK("#",""), HYPERLINK(CONCATENATE("#Metadata!", ADDRESS(INDEX($AJ$2:$AJ$1001,MATCH(ROWS($AH$2:AH531),$AH$2:$AH$1001,0),0), INDEX($AO$1004:$BQ$1004,1,MATCH(COLUMNS($AO$1006:BD1006),$AO$1006:$BQ$1006,0)))),"Fix")))</f>
        <v>#N/A</v>
      </c>
      <c r="R531" s="5" t="e">
        <f ca="1">IF(OR(INDEX($AI$2:$AI$1001,MATCH(ROWS($AH$2:AH531),$AH$2:$AH$1001,0),1)&gt;=100000,INDEX($AO$1005:$BQ$1005,1,MATCH(COLUMNS($AO$1006:BE1006),$AO$1006:$BQ$1006,0))&gt;=100000), " ",IF(INDEX($AO$2:$BQ$1001,MATCH(ROWS($AH$2:AH531),$AH$2:$AH$1001,0),MATCH(COLUMNS($AO$1006:BE1006),$AO$1006:$BQ$1006,0)), HYPERLINK("#",""), HYPERLINK(CONCATENATE("#Metadata!", ADDRESS(INDEX($AJ$2:$AJ$1001,MATCH(ROWS($AH$2:AH531),$AH$2:$AH$1001,0),0), INDEX($AO$1004:$BQ$1004,1,MATCH(COLUMNS($AO$1006:BE1006),$AO$1006:$BQ$1006,0)))),"Fix")))</f>
        <v>#N/A</v>
      </c>
      <c r="S531" s="5" t="e">
        <f ca="1">IF(OR(INDEX($AI$2:$AI$1001,MATCH(ROWS($AH$2:AH531),$AH$2:$AH$1001,0),1)&gt;=100000,INDEX($AO$1005:$BQ$1005,1,MATCH(COLUMNS($AO$1006:BF1006),$AO$1006:$BQ$1006,0))&gt;=100000), " ",IF(INDEX($AO$2:$BQ$1001,MATCH(ROWS($AH$2:AH531),$AH$2:$AH$1001,0),MATCH(COLUMNS($AO$1006:BF1006),$AO$1006:$BQ$1006,0)), HYPERLINK("#",""), HYPERLINK(CONCATENATE("#Metadata!", ADDRESS(INDEX($AJ$2:$AJ$1001,MATCH(ROWS($AH$2:AH531),$AH$2:$AH$1001,0),0), INDEX($AO$1004:$BQ$1004,1,MATCH(COLUMNS($AO$1006:BF1006),$AO$1006:$BQ$1006,0)))),"Fix")))</f>
        <v>#N/A</v>
      </c>
      <c r="T531" s="5" t="e">
        <f ca="1">IF(OR(INDEX($AI$2:$AI$1001,MATCH(ROWS($AH$2:AH531),$AH$2:$AH$1001,0),1)&gt;=100000,INDEX($AO$1005:$BQ$1005,1,MATCH(COLUMNS($AO$1006:BG1006),$AO$1006:$BQ$1006,0))&gt;=100000), " ",IF(INDEX($AO$2:$BQ$1001,MATCH(ROWS($AH$2:AH531),$AH$2:$AH$1001,0),MATCH(COLUMNS($AO$1006:BG1006),$AO$1006:$BQ$1006,0)), HYPERLINK("#",""), HYPERLINK(CONCATENATE("#Metadata!", ADDRESS(INDEX($AJ$2:$AJ$1001,MATCH(ROWS($AH$2:AH531),$AH$2:$AH$1001,0),0), INDEX($AO$1004:$BQ$1004,1,MATCH(COLUMNS($AO$1006:BG1006),$AO$1006:$BQ$1006,0)))),"Fix")))</f>
        <v>#N/A</v>
      </c>
      <c r="U531" s="5" t="e">
        <f ca="1">IF(OR(INDEX($AI$2:$AI$1001,MATCH(ROWS($AH$2:AH531),$AH$2:$AH$1001,0),1)&gt;=100000,INDEX($AO$1005:$BQ$1005,1,MATCH(COLUMNS($AO$1006:BH1006),$AO$1006:$BQ$1006,0))&gt;=100000), " ",IF(INDEX($AO$2:$BQ$1001,MATCH(ROWS($AH$2:AH531),$AH$2:$AH$1001,0),MATCH(COLUMNS($AO$1006:BH1006),$AO$1006:$BQ$1006,0)), HYPERLINK("#",""), HYPERLINK(CONCATENATE("#Metadata!", ADDRESS(INDEX($AJ$2:$AJ$1001,MATCH(ROWS($AH$2:AH531),$AH$2:$AH$1001,0),0), INDEX($AO$1004:$BQ$1004,1,MATCH(COLUMNS($AO$1006:BH1006),$AO$1006:$BQ$1006,0)))),"Fix")))</f>
        <v>#N/A</v>
      </c>
      <c r="V531" s="5" t="e">
        <f ca="1">IF(OR(INDEX($AI$2:$AI$1001,MATCH(ROWS($AH$2:AH531),$AH$2:$AH$1001,0),1)&gt;=100000,INDEX($AO$1005:$BQ$1005,1,MATCH(COLUMNS($AO$1006:BI1006),$AO$1006:$BQ$1006,0))&gt;=100000), " ",IF(INDEX($AO$2:$BQ$1001,MATCH(ROWS($AH$2:AH531),$AH$2:$AH$1001,0),MATCH(COLUMNS($AO$1006:BI1006),$AO$1006:$BQ$1006,0)), HYPERLINK("#",""), HYPERLINK(CONCATENATE("#Metadata!", ADDRESS(INDEX($AJ$2:$AJ$1001,MATCH(ROWS($AH$2:AH531),$AH$2:$AH$1001,0),0), INDEX($AO$1004:$BQ$1004,1,MATCH(COLUMNS($AO$1006:BI1006),$AO$1006:$BQ$1006,0)))),"Fix")))</f>
        <v>#N/A</v>
      </c>
      <c r="W531" s="5" t="e">
        <f ca="1">IF(OR(INDEX($AI$2:$AI$1001,MATCH(ROWS($AH$2:AH531),$AH$2:$AH$1001,0),1)&gt;=100000,INDEX($AO$1005:$BQ$1005,1,MATCH(COLUMNS($AO$1006:BJ1006),$AO$1006:$BQ$1006,0))&gt;=100000), " ",IF(INDEX($AO$2:$BQ$1001,MATCH(ROWS($AH$2:AH531),$AH$2:$AH$1001,0),MATCH(COLUMNS($AO$1006:BJ1006),$AO$1006:$BQ$1006,0)), HYPERLINK("#",""), HYPERLINK(CONCATENATE("#Metadata!", ADDRESS(INDEX($AJ$2:$AJ$1001,MATCH(ROWS($AH$2:AH531),$AH$2:$AH$1001,0),0), INDEX($AO$1004:$BQ$1004,1,MATCH(COLUMNS($AO$1006:BJ1006),$AO$1006:$BQ$1006,0)))),"Fix")))</f>
        <v>#N/A</v>
      </c>
      <c r="X531" s="5" t="e">
        <f ca="1">IF(OR(INDEX($AI$2:$AI$1001,MATCH(ROWS($AH$2:AH531),$AH$2:$AH$1001,0),1)&gt;=100000,INDEX($AO$1005:$BQ$1005,1,MATCH(COLUMNS($AO$1006:BK1006),$AO$1006:$BQ$1006,0))&gt;=100000), " ",IF(INDEX($AO$2:$BQ$1001,MATCH(ROWS($AH$2:AH531),$AH$2:$AH$1001,0),MATCH(COLUMNS($AO$1006:BK1006),$AO$1006:$BQ$1006,0)), HYPERLINK("#",""), HYPERLINK(CONCATENATE("#Metadata!", ADDRESS(INDEX($AJ$2:$AJ$1001,MATCH(ROWS($AH$2:AH531),$AH$2:$AH$1001,0),0), INDEX($AO$1004:$BQ$1004,1,MATCH(COLUMNS($AO$1006:BK1006),$AO$1006:$BQ$1006,0)))),"Fix")))</f>
        <v>#N/A</v>
      </c>
      <c r="Y531" s="5" t="e">
        <f ca="1">IF(OR(INDEX($AI$2:$AI$1001,MATCH(ROWS($AH$2:AH531),$AH$2:$AH$1001,0),1)&gt;=100000,INDEX($AO$1005:$BQ$1005,1,MATCH(COLUMNS($AO$1006:BL1006),$AO$1006:$BQ$1006,0))&gt;=100000), " ",IF(INDEX($AO$2:$BQ$1001,MATCH(ROWS($AH$2:AH531),$AH$2:$AH$1001,0),MATCH(COLUMNS($AO$1006:BL1006),$AO$1006:$BQ$1006,0)), HYPERLINK("#",""), HYPERLINK(CONCATENATE("#Metadata!", ADDRESS(INDEX($AJ$2:$AJ$1001,MATCH(ROWS($AH$2:AH531),$AH$2:$AH$1001,0),0), INDEX($AO$1004:$BQ$1004,1,MATCH(COLUMNS($AO$1006:BL1006),$AO$1006:$BQ$1006,0)))),"Fix")))</f>
        <v>#N/A</v>
      </c>
      <c r="Z531" s="5" t="e">
        <f ca="1">IF(OR(INDEX($AI$2:$AI$1001,MATCH(ROWS($AH$2:AH531),$AH$2:$AH$1001,0),1)&gt;=100000,INDEX($AO$1005:$BQ$1005,1,MATCH(COLUMNS($AO$1006:BM1006),$AO$1006:$BQ$1006,0))&gt;=100000), " ",IF(INDEX($AO$2:$BQ$1001,MATCH(ROWS($AH$2:AH531),$AH$2:$AH$1001,0),MATCH(COLUMNS($AO$1006:BM1006),$AO$1006:$BQ$1006,0)), HYPERLINK("#",""), HYPERLINK(CONCATENATE("#Metadata!", ADDRESS(INDEX($AJ$2:$AJ$1001,MATCH(ROWS($AH$2:AH531),$AH$2:$AH$1001,0),0), INDEX($AO$1004:$BQ$1004,1,MATCH(COLUMNS($AO$1006:BM1006),$AO$1006:$BQ$1006,0)))),"Fix")))</f>
        <v>#N/A</v>
      </c>
      <c r="AA531" s="5" t="e">
        <f ca="1">IF(OR(INDEX($AI$2:$AI$1001,MATCH(ROWS($AH$2:AH531),$AH$2:$AH$1001,0),1)&gt;=100000,INDEX($AO$1005:$BQ$1005,1,MATCH(COLUMNS($AO$1006:BN1006),$AO$1006:$BQ$1006,0))&gt;=100000), " ",IF(INDEX($AO$2:$BQ$1001,MATCH(ROWS($AH$2:AH531),$AH$2:$AH$1001,0),MATCH(COLUMNS($AO$1006:BN1006),$AO$1006:$BQ$1006,0)), HYPERLINK("#",""), HYPERLINK(CONCATENATE("#Metadata!", ADDRESS(INDEX($AJ$2:$AJ$1001,MATCH(ROWS($AH$2:AH531),$AH$2:$AH$1001,0),0), INDEX($AO$1004:$BQ$1004,1,MATCH(COLUMNS($AO$1006:BN1006),$AO$1006:$BQ$1006,0)))),"Fix")))</f>
        <v>#N/A</v>
      </c>
      <c r="AB531" s="5" t="e">
        <f ca="1">IF(OR(INDEX($AI$2:$AI$1001,MATCH(ROWS($AH$2:AH531),$AH$2:$AH$1001,0),1)&gt;=100000,INDEX($AO$1005:$BQ$1005,1,MATCH(COLUMNS($AO$1006:BO1006),$AO$1006:$BQ$1006,0))&gt;=100000), " ",IF(INDEX($AO$2:$BQ$1001,MATCH(ROWS($AH$2:AH531),$AH$2:$AH$1001,0),MATCH(COLUMNS($AO$1006:BO1006),$AO$1006:$BQ$1006,0)), HYPERLINK("#",""), HYPERLINK(CONCATENATE("#Metadata!", ADDRESS(INDEX($AJ$2:$AJ$1001,MATCH(ROWS($AH$2:AH531),$AH$2:$AH$1001,0),0), INDEX($AO$1004:$BQ$1004,1,MATCH(COLUMNS($AO$1006:BO1006),$AO$1006:$BQ$1006,0)))),"Fix")))</f>
        <v>#N/A</v>
      </c>
      <c r="AC531" s="5" t="e">
        <f ca="1">IF(OR(INDEX($AI$2:$AI$1001,MATCH(ROWS($AH$2:AH531),$AH$2:$AH$1001,0),1)&gt;=100000,INDEX($AO$1005:$BQ$1005,1,MATCH(COLUMNS($AO$1006:BP1006),$AO$1006:$BQ$1006,0))&gt;=100000), " ",IF(INDEX($AO$2:$BQ$1001,MATCH(ROWS($AH$2:AH531),$AH$2:$AH$1001,0),MATCH(COLUMNS($AO$1006:BP1006),$AO$1006:$BQ$1006,0)), HYPERLINK("#",""), HYPERLINK(CONCATENATE("#Metadata!", ADDRESS(INDEX($AJ$2:$AJ$1001,MATCH(ROWS($AH$2:AH531),$AH$2:$AH$1001,0),0), INDEX($AO$1004:$BQ$1004,1,MATCH(COLUMNS($AO$1006:BP1006),$AO$1006:$BQ$1006,0)))),"Fix")))</f>
        <v>#N/A</v>
      </c>
      <c r="AD531" s="5" t="e">
        <f ca="1">IF(OR(INDEX($AI$2:$AI$1001,MATCH(ROWS($AH$2:AH531),$AH$2:$AH$1001,0),1)&gt;=100000,INDEX($AO$1005:$BQ$1005,1,MATCH(COLUMNS($AO$1006:BQ1006),$AO$1006:$BQ$1006,0))&gt;=100000), " ",IF(INDEX($AO$2:$BQ$1001,MATCH(ROWS($AH$2:AH531),$AH$2:$AH$1001,0),MATCH(COLUMNS($AO$1006:BQ1006),$AO$1006:$BQ$1006,0)), HYPERLINK("#",""), HYPERLINK(CONCATENATE("#Metadata!", ADDRESS(INDEX($AJ$2:$AJ$1001,MATCH(ROWS($AH$2:AH531),$AH$2:$AH$1001,0),0), INDEX($AO$1004:$BQ$1004,1,MATCH(COLUMNS($AO$1006:BQ1006),$AO$1006:$BQ$1006,0)))),"Fix")))</f>
        <v>#REF!</v>
      </c>
      <c r="AH531">
        <f ca="1"/>
        <v>528</v>
      </c>
      <c r="AI531">
        <v>100531</v>
      </c>
      <c r="AJ531">
        <v>531</v>
      </c>
      <c r="AK531" t="b">
        <f t="shared" si="8"/>
        <v>1</v>
      </c>
      <c r="AL531" t="b">
        <f>COUNTBLANK(Metadata!B531:AD531)=COLUMNS(Metadata!B531:AD531)</f>
        <v>1</v>
      </c>
      <c r="AM531" t="str">
        <v/>
      </c>
      <c r="AO531" t="b">
        <f ca="1">AND(IF(Metadata!B531="",FALSE,TRUE),COUNTIF(Metadata!B:B, Metadata!B531) = 1,NOT(ISERROR(SUMPRODUCT(SEARCH(MID(Metadata!B531,ROW(INDIRECT("1:"&amp;LEN(Metadata!B531))), 1),"0123456789abcdefghijklmnopqrstuvwxyzABCDEFGHIJKLMNOPQRSTUVWXYZ.")))))</f>
        <v>0</v>
      </c>
      <c r="AP531" t="b">
        <f>IF(Metadata!C531="",FALSE,TRUE)</f>
        <v>0</v>
      </c>
      <c r="AQ531" t="b">
        <f>IF(Metadata!D531="",FALSE,TRUE)</f>
        <v>0</v>
      </c>
      <c r="AR531" t="b">
        <f ca="1">OR(AND(IF(Metadata!E531="",FALSE,TRUE),OR(EXACT(Metadata!E531,"not collected"),EXACT(Metadata!E531,"not provided"),EXACT(Metadata!E531,"restricted access"))),AND(IF(Metadata!E531="",FALSE,TRUE),AND(AND(IFERROR(INT(LEFT(Metadata!E531,4))&gt;1900,FALSE),IFERROR(INT(LEFT(Metadata!E531,4))&lt;=YEAR(NOW()),FALSE)), OR(MID(Metadata!E531,5,1)="", AND(AND(MID(Metadata!E531,5,1)="-",IFERROR(INT(MID(Metadata!E531,6,1))&gt;=0,FALSE),IFERROR(INT(MID(Metadata!E531,6,1))&lt;=1,FALSE),NOT(MID(Metadata!E531,7,1)=""),IFERROR(INT(MID(Metadata!E531,6,2))&gt;=1,FALSE),IFERROR(INT(MID(Metadata!E531,6,2))&lt;=12,FALSE)), OR(MID(Metadata!E531,8,1)="", AND(AND(MID(Metadata!E531,8,1)="-",IFERROR(INT(MID(Metadata!E531,9,1))&gt;=0,FALSE),IFERROR(INT(MID(Metadata!E531,9,1))&lt;=3,FALSE),NOT(MID(Metadata!E531,10,1)=""),IFERROR(INT(MID(Metadata!E531,9,2))&gt;=1,FALSE),IFERROR(INT(MID(Metadata!E531,9,2))&lt;=31,FALSE)), OR(MID(Metadata!E531,11,1)="", AND(AND(MID(Metadata!E531,11,1)=" ",IFERROR(INT(MID(Metadata!E531,12,1))&gt;=0,FALSE),IFERROR(INT(MID(Metadata!E531,12,1))&lt;=2,FALSE),NOT(MID(Metadata!E531,13,1)=""),IFERROR(INT(MID(Metadata!E531,12,2))&gt;=0,FALSE),IFERROR(INT(MID(Metadata!E531,12,2))&lt;=23,FALSE)), OR(MID(Metadata!E531,14,1)="", AND(AND(MID(Metadata!E531,14,1)=":",IFERROR(INT(MID(Metadata!E531,15,1))&gt;=0,FALSE),IFERROR(INT(MID(Metadata!E531,15,1))&lt;=5,FALSE),NOT(MID(Metadata!E531,16,1)=""),IFERROR(INT(MID(Metadata!E531,15,2))&gt;=0,FALSE),IFERROR(INT(MID(Metadata!E531,15,2))&lt;=59,FALSE)), OR(MID(Metadata!E531,17,1)="", AND(AND(MID(Metadata!E531,17,1)=":",IFERROR(INT(MID(Metadata!E531,18,1))&gt;=0,FALSE),IFERROR(INT(MID(Metadata!E531,18,1))&lt;=5,FALSE),NOT(MID(Metadata!E531,19,1)=""),IFERROR(INT(MID(Metadata!E531,18,2))&gt;=0,FALSE),IFERROR(INT(MID(Metadata!E531,18,2))&lt;=59,FALSE)), LEN(Metadata!E531)&lt;=19)))))))))))))</f>
        <v>0</v>
      </c>
      <c r="AS531" t="b">
        <f>IF(Metadata!F531="",FALSE,TRUE)</f>
        <v>0</v>
      </c>
      <c r="AT531" t="b">
        <f>OR(AND(IF(Metadata!G531="",FALSE,TRUE),OR(EXACT(Metadata!G531,"not collected"),EXACT(Metadata!G531,"not provided"))),AND(IF(Metadata!G531="",FALSE,TRUE),OR(EXACT(Metadata!G531,"TRUE"),EXACT(Metadata!G531,"FALSE"))))</f>
        <v>0</v>
      </c>
      <c r="AU531" t="b">
        <f>OR(AND(IF(Metadata!H531="",FALSE,TRUE),OR(EXACT(Metadata!H531,"not collected"),EXACT(Metadata!H531,"not provided"),EXACT(Metadata!H531,"restricted access"))),AND(IF(Metadata!H531="",FALSE,ISNUMBER(VALUE(Metadata!H531))),Metadata!H531&gt;=-413))</f>
        <v>0</v>
      </c>
      <c r="AV531" t="b">
        <f>AND(IF(Metadata!I531="",FALSE,TRUE),EXACT(Metadata!I531,"meters"))</f>
        <v>0</v>
      </c>
      <c r="AW531" t="b">
        <f>AND(IF(Metadata!J531="",FALSE,TRUE),EXACT(Metadata!J531,"free-living"))</f>
        <v>0</v>
      </c>
      <c r="AX531" t="b">
        <f>AND(IF(Metadata!K531="",FALSE,TRUE),OR(EXACT(Metadata!K531,"saline"),EXACT(Metadata!K531,"non-saline")))</f>
        <v>0</v>
      </c>
      <c r="AY531" t="b">
        <f>AND(IF(Metadata!L531="",FALSE,TRUE),OR(EXACT(Metadata!L531,"sub-surface (non-saline)"),EXACT(Metadata!L531,"surface (non-saline)"),EXACT(Metadata!L531,"water (non-saline)"),EXACT(Metadata!L531,"soil (non-saline)"),EXACT(Metadata!L531,"aerosol (non-saline)"),EXACT(Metadata!L531,"sediment (non-saline)"),EXACT(Metadata!L531,"surface (saline)"),EXACT(Metadata!L531,"water (saline)"),EXACT(Metadata!L531,"hypersaline (saline)"),EXACT(Metadata!L531,"aerosol (saline)"),EXACT(Metadata!L531,"sediment (saline)")))</f>
        <v>0</v>
      </c>
      <c r="AZ531" t="b">
        <f>IF(Metadata!M531="",FALSE,TRUE)</f>
        <v>0</v>
      </c>
      <c r="BA531" t="b">
        <f>IF(Metadata!N531="",FALSE,TRUE)</f>
        <v>0</v>
      </c>
      <c r="BB531" t="b">
        <f>IF(Metadata!O531="",FALSE,TRUE)</f>
        <v>0</v>
      </c>
      <c r="BC531" t="b">
        <f>AND(IF(Metadata!P531="",FALSE,TRUE),OR(EXACT(Metadata!P531,"air"),EXACT(Metadata!P531,"microbial mat/biofilm"),EXACT(Metadata!P531,"misc environment"),EXACT(Metadata!P531,"sediment"),EXACT(Metadata!P531,"soil"),EXACT(Metadata!P531,"wastewater/sludge"),EXACT(Metadata!P531,"water")))</f>
        <v>0</v>
      </c>
      <c r="BD531" t="b">
        <f>IF(Metadata!Q531="",FALSE,TRUE)</f>
        <v>0</v>
      </c>
      <c r="BE531" t="b">
        <f>IF(Metadata!R531="",FALSE,TRUE)</f>
        <v>0</v>
      </c>
      <c r="BF531" t="b">
        <f>OR(AND(IF(Metadata!S531="",FALSE,TRUE),OR(EXACT(Metadata!S531,"not collected"),EXACT(Metadata!S531,"not provided"),EXACT(Metadata!S531,"restricted access"))),AND(IF(Metadata!S531="",FALSE,ISNUMBER(VALUE(Metadata!S531))),Metadata!S531&gt;=-90,Metadata!S531&lt;=90))</f>
        <v>0</v>
      </c>
      <c r="BG531" t="b">
        <f>AND(IF(Metadata!T531="",FALSE,TRUE),EXACT(Metadata!T531,"Decimal degrees"))</f>
        <v>0</v>
      </c>
      <c r="BH531" t="b">
        <f>OR(AND(IF(Metadata!U531="",FALSE,TRUE),OR(EXACT(Metadata!U531,"not applicable"),EXACT(Metadata!U531,"not collected"))),IF(Metadata!U531="",FALSE,TRUE))</f>
        <v>0</v>
      </c>
      <c r="BI531" t="b">
        <f>OR(AND(IF(Metadata!V531="",FALSE,TRUE),OR(EXACT(Metadata!V531,"not collected"),EXACT(Metadata!V531,"not provided"),EXACT(Metadata!V531,"restricted access"))),AND(IF(Metadata!V531="",FALSE,ISNUMBER(VALUE(Metadata!V531))),Metadata!V531&gt;=-180,Metadata!V531&lt;=180))</f>
        <v>0</v>
      </c>
      <c r="BJ531" t="b">
        <f>AND(IF(Metadata!W531="",FALSE,TRUE),EXACT(Metadata!W531,"Decimal degrees"))</f>
        <v>0</v>
      </c>
      <c r="BK531" t="b">
        <f>IF(Metadata!X531="",FALSE,TRUE)</f>
        <v>0</v>
      </c>
      <c r="BL531" t="b">
        <f>OR(AND(IF(Metadata!Y531="",FALSE,TRUE),OR(EXACT(Metadata!Y531,"not collected"),EXACT(Metadata!Y531,"not provided"),EXACT(Metadata!Y531,"restricted access"))),AND(IF(Metadata!Y531="",FALSE,TRUE),OR(EXACT(Metadata!Y531,"TRUE"),EXACT(Metadata!Y531,"FALSE"))))</f>
        <v>0</v>
      </c>
      <c r="BM531" t="b">
        <f>OR(AND(IF(Metadata!Z531="",FALSE,TRUE),EXACT(Metadata!Z531,"not applicable")),AND(IF(Metadata!Z531="",FALSE,TRUE),OR(EXACT(Metadata!Z531,"beer"),EXACT(Metadata!Z531,"cheese"),EXACT(Metadata!Z531,"fresh water"),EXACT(Metadata!Z531,"marine sediment"),EXACT(Metadata!Z531,"sea water"),EXACT(Metadata!Z531,"sediment"),EXACT(Metadata!Z531,"soil"),EXACT(Metadata!Z531,"waste water"))))</f>
        <v>0</v>
      </c>
      <c r="BN531" t="b">
        <f>AND(IF(Metadata!AA531="",FALSE,TRUE),EXACT(Metadata!AA531,"metagenome"))</f>
        <v>0</v>
      </c>
      <c r="BO531" t="b">
        <f>AND(IF(Metadata!AB531="",FALSE,TRUE),EXACT(Metadata!AB531,"256318"))</f>
        <v>0</v>
      </c>
      <c r="BP531" t="b">
        <f>IF(Metadata!AC531="",FALSE,TRUE)</f>
        <v>0</v>
      </c>
      <c r="BQ531" t="b">
        <f>IF(Metadata!AD531="",FALSE,TRUE)</f>
        <v>0</v>
      </c>
    </row>
    <row r="532" spans="1:69" x14ac:dyDescent="0.2">
      <c r="A532" s="4" t="e">
        <f ca="1">IF(B532=" "," ",HYPERLINK(CONCATENATE("#metadata!",ADDRESS(INDEX($AJ$2:$AJ$1001,MATCH(ROWS($AH$2:AH532),$AH$2:$AH$1001,0),0),2)),INDEX($AM$2:$AM$1001,MATCH(ROWS($AH$2:AH532),$AH$2:$AH$1001,0),0)))</f>
        <v>#N/A</v>
      </c>
      <c r="B532" s="5" t="e">
        <f ca="1">IF(OR(INDEX($AI$2:$AI$1001,MATCH(ROWS($AH$2:AH532),$AH$2:$AH$1001,0),1)&gt;=100000,INDEX($AO$1005:$BQ$1005,1,MATCH(COLUMNS($AO$1006:AO1006),$AO$1006:$BQ$1006,0))&gt;=100000), " ",IF(INDEX($AO$2:$BQ$1001,MATCH(ROWS($AH$2:AH532),$AH$2:$AH$1001,0),MATCH(COLUMNS($AO$1006:AO1006),$AO$1006:$BQ$1006,0)), HYPERLINK("#",""), HYPERLINK(CONCATENATE("#Metadata!", ADDRESS(INDEX($AJ$2:$AJ$1001,MATCH(ROWS($AH$2:AH532),$AH$2:$AH$1001,0),0), INDEX($AO$1004:$BQ$1004,1,MATCH(COLUMNS($AO$1006:AO1006),$AO$1006:$BQ$1006,0)))),"Fix")))</f>
        <v>#N/A</v>
      </c>
      <c r="C532" s="5" t="e">
        <f ca="1">IF(OR(INDEX($AI$2:$AI$1001,MATCH(ROWS($AH$2:AH532),$AH$2:$AH$1001,0),1)&gt;=100000,INDEX($AO$1005:$BQ$1005,1,MATCH(COLUMNS($AO$1006:AP1006),$AO$1006:$BQ$1006,0))&gt;=100000), " ",IF(INDEX($AO$2:$BQ$1001,MATCH(ROWS($AH$2:AH532),$AH$2:$AH$1001,0),MATCH(COLUMNS($AO$1006:AP1006),$AO$1006:$BQ$1006,0)), HYPERLINK("#",""), HYPERLINK(CONCATENATE("#Metadata!", ADDRESS(INDEX($AJ$2:$AJ$1001,MATCH(ROWS($AH$2:AH532),$AH$2:$AH$1001,0),0), INDEX($AO$1004:$BQ$1004,1,MATCH(COLUMNS($AO$1006:AP1006),$AO$1006:$BQ$1006,0)))),"Fix")))</f>
        <v>#N/A</v>
      </c>
      <c r="D532" s="5" t="e">
        <f ca="1">IF(OR(INDEX($AI$2:$AI$1001,MATCH(ROWS($AH$2:AH532),$AH$2:$AH$1001,0),1)&gt;=100000,INDEX($AO$1005:$BQ$1005,1,MATCH(COLUMNS($AO$1006:AQ1006),$AO$1006:$BQ$1006,0))&gt;=100000), " ",IF(INDEX($AO$2:$BQ$1001,MATCH(ROWS($AH$2:AH532),$AH$2:$AH$1001,0),MATCH(COLUMNS($AO$1006:AQ1006),$AO$1006:$BQ$1006,0)), HYPERLINK("#",""), HYPERLINK(CONCATENATE("#Metadata!", ADDRESS(INDEX($AJ$2:$AJ$1001,MATCH(ROWS($AH$2:AH532),$AH$2:$AH$1001,0),0), INDEX($AO$1004:$BQ$1004,1,MATCH(COLUMNS($AO$1006:AQ1006),$AO$1006:$BQ$1006,0)))),"Fix")))</f>
        <v>#N/A</v>
      </c>
      <c r="E532" s="5" t="e">
        <f ca="1">IF(OR(INDEX($AI$2:$AI$1001,MATCH(ROWS($AH$2:AH532),$AH$2:$AH$1001,0),1)&gt;=100000,INDEX($AO$1005:$BQ$1005,1,MATCH(COLUMNS($AO$1006:AR1006),$AO$1006:$BQ$1006,0))&gt;=100000), " ",IF(INDEX($AO$2:$BQ$1001,MATCH(ROWS($AH$2:AH532),$AH$2:$AH$1001,0),MATCH(COLUMNS($AO$1006:AR1006),$AO$1006:$BQ$1006,0)), HYPERLINK("#",""), HYPERLINK(CONCATENATE("#Metadata!", ADDRESS(INDEX($AJ$2:$AJ$1001,MATCH(ROWS($AH$2:AH532),$AH$2:$AH$1001,0),0), INDEX($AO$1004:$BQ$1004,1,MATCH(COLUMNS($AO$1006:AR1006),$AO$1006:$BQ$1006,0)))),"Fix")))</f>
        <v>#N/A</v>
      </c>
      <c r="F532" s="5" t="e">
        <f ca="1">IF(OR(INDEX($AI$2:$AI$1001,MATCH(ROWS($AH$2:AH532),$AH$2:$AH$1001,0),1)&gt;=100000,INDEX($AO$1005:$BQ$1005,1,MATCH(COLUMNS($AO$1006:AS1006),$AO$1006:$BQ$1006,0))&gt;=100000), " ",IF(INDEX($AO$2:$BQ$1001,MATCH(ROWS($AH$2:AH532),$AH$2:$AH$1001,0),MATCH(COLUMNS($AO$1006:AS1006),$AO$1006:$BQ$1006,0)), HYPERLINK("#",""), HYPERLINK(CONCATENATE("#Metadata!", ADDRESS(INDEX($AJ$2:$AJ$1001,MATCH(ROWS($AH$2:AH532),$AH$2:$AH$1001,0),0), INDEX($AO$1004:$BQ$1004,1,MATCH(COLUMNS($AO$1006:AS1006),$AO$1006:$BQ$1006,0)))),"Fix")))</f>
        <v>#N/A</v>
      </c>
      <c r="G532" s="5" t="e">
        <f ca="1">IF(OR(INDEX($AI$2:$AI$1001,MATCH(ROWS($AH$2:AH532),$AH$2:$AH$1001,0),1)&gt;=100000,INDEX($AO$1005:$BQ$1005,1,MATCH(COLUMNS($AO$1006:AT1006),$AO$1006:$BQ$1006,0))&gt;=100000), " ",IF(INDEX($AO$2:$BQ$1001,MATCH(ROWS($AH$2:AH532),$AH$2:$AH$1001,0),MATCH(COLUMNS($AO$1006:AT1006),$AO$1006:$BQ$1006,0)), HYPERLINK("#",""), HYPERLINK(CONCATENATE("#Metadata!", ADDRESS(INDEX($AJ$2:$AJ$1001,MATCH(ROWS($AH$2:AH532),$AH$2:$AH$1001,0),0), INDEX($AO$1004:$BQ$1004,1,MATCH(COLUMNS($AO$1006:AT1006),$AO$1006:$BQ$1006,0)))),"Fix")))</f>
        <v>#N/A</v>
      </c>
      <c r="H532" s="5" t="e">
        <f ca="1">IF(OR(INDEX($AI$2:$AI$1001,MATCH(ROWS($AH$2:AH532),$AH$2:$AH$1001,0),1)&gt;=100000,INDEX($AO$1005:$BQ$1005,1,MATCH(COLUMNS($AO$1006:AU1006),$AO$1006:$BQ$1006,0))&gt;=100000), " ",IF(INDEX($AO$2:$BQ$1001,MATCH(ROWS($AH$2:AH532),$AH$2:$AH$1001,0),MATCH(COLUMNS($AO$1006:AU1006),$AO$1006:$BQ$1006,0)), HYPERLINK("#",""), HYPERLINK(CONCATENATE("#Metadata!", ADDRESS(INDEX($AJ$2:$AJ$1001,MATCH(ROWS($AH$2:AH532),$AH$2:$AH$1001,0),0), INDEX($AO$1004:$BQ$1004,1,MATCH(COLUMNS($AO$1006:AU1006),$AO$1006:$BQ$1006,0)))),"Fix")))</f>
        <v>#N/A</v>
      </c>
      <c r="I532" s="5" t="e">
        <f ca="1">IF(OR(INDEX($AI$2:$AI$1001,MATCH(ROWS($AH$2:AH532),$AH$2:$AH$1001,0),1)&gt;=100000,INDEX($AO$1005:$BQ$1005,1,MATCH(COLUMNS($AO$1006:AV1006),$AO$1006:$BQ$1006,0))&gt;=100000), " ",IF(INDEX($AO$2:$BQ$1001,MATCH(ROWS($AH$2:AH532),$AH$2:$AH$1001,0),MATCH(COLUMNS($AO$1006:AV1006),$AO$1006:$BQ$1006,0)), HYPERLINK("#",""), HYPERLINK(CONCATENATE("#Metadata!", ADDRESS(INDEX($AJ$2:$AJ$1001,MATCH(ROWS($AH$2:AH532),$AH$2:$AH$1001,0),0), INDEX($AO$1004:$BQ$1004,1,MATCH(COLUMNS($AO$1006:AV1006),$AO$1006:$BQ$1006,0)))),"Fix")))</f>
        <v>#N/A</v>
      </c>
      <c r="J532" s="5" t="e">
        <f ca="1">IF(OR(INDEX($AI$2:$AI$1001,MATCH(ROWS($AH$2:AH532),$AH$2:$AH$1001,0),1)&gt;=100000,INDEX($AO$1005:$BQ$1005,1,MATCH(COLUMNS($AO$1006:AW1006),$AO$1006:$BQ$1006,0))&gt;=100000), " ",IF(INDEX($AO$2:$BQ$1001,MATCH(ROWS($AH$2:AH532),$AH$2:$AH$1001,0),MATCH(COLUMNS($AO$1006:AW1006),$AO$1006:$BQ$1006,0)), HYPERLINK("#",""), HYPERLINK(CONCATENATE("#Metadata!", ADDRESS(INDEX($AJ$2:$AJ$1001,MATCH(ROWS($AH$2:AH532),$AH$2:$AH$1001,0),0), INDEX($AO$1004:$BQ$1004,1,MATCH(COLUMNS($AO$1006:AW1006),$AO$1006:$BQ$1006,0)))),"Fix")))</f>
        <v>#N/A</v>
      </c>
      <c r="K532" s="5" t="e">
        <f ca="1">IF(OR(INDEX($AI$2:$AI$1001,MATCH(ROWS($AH$2:AH532),$AH$2:$AH$1001,0),1)&gt;=100000,INDEX($AO$1005:$BQ$1005,1,MATCH(COLUMNS($AO$1006:AX1006),$AO$1006:$BQ$1006,0))&gt;=100000), " ",IF(INDEX($AO$2:$BQ$1001,MATCH(ROWS($AH$2:AH532),$AH$2:$AH$1001,0),MATCH(COLUMNS($AO$1006:AX1006),$AO$1006:$BQ$1006,0)), HYPERLINK("#",""), HYPERLINK(CONCATENATE("#Metadata!", ADDRESS(INDEX($AJ$2:$AJ$1001,MATCH(ROWS($AH$2:AH532),$AH$2:$AH$1001,0),0), INDEX($AO$1004:$BQ$1004,1,MATCH(COLUMNS($AO$1006:AX1006),$AO$1006:$BQ$1006,0)))),"Fix")))</f>
        <v>#N/A</v>
      </c>
      <c r="L532" s="5" t="e">
        <f ca="1">IF(OR(INDEX($AI$2:$AI$1001,MATCH(ROWS($AH$2:AH532),$AH$2:$AH$1001,0),1)&gt;=100000,INDEX($AO$1005:$BQ$1005,1,MATCH(COLUMNS($AO$1006:AY1006),$AO$1006:$BQ$1006,0))&gt;=100000), " ",IF(INDEX($AO$2:$BQ$1001,MATCH(ROWS($AH$2:AH532),$AH$2:$AH$1001,0),MATCH(COLUMNS($AO$1006:AY1006),$AO$1006:$BQ$1006,0)), HYPERLINK("#",""), HYPERLINK(CONCATENATE("#Metadata!", ADDRESS(INDEX($AJ$2:$AJ$1001,MATCH(ROWS($AH$2:AH532),$AH$2:$AH$1001,0),0), INDEX($AO$1004:$BQ$1004,1,MATCH(COLUMNS($AO$1006:AY1006),$AO$1006:$BQ$1006,0)))),"Fix")))</f>
        <v>#N/A</v>
      </c>
      <c r="M532" s="5" t="e">
        <f ca="1">IF(OR(INDEX($AI$2:$AI$1001,MATCH(ROWS($AH$2:AH532),$AH$2:$AH$1001,0),1)&gt;=100000,INDEX($AO$1005:$BQ$1005,1,MATCH(COLUMNS($AO$1006:AZ1006),$AO$1006:$BQ$1006,0))&gt;=100000), " ",IF(INDEX($AO$2:$BQ$1001,MATCH(ROWS($AH$2:AH532),$AH$2:$AH$1001,0),MATCH(COLUMNS($AO$1006:AZ1006),$AO$1006:$BQ$1006,0)), HYPERLINK("#",""), HYPERLINK(CONCATENATE("#Metadata!", ADDRESS(INDEX($AJ$2:$AJ$1001,MATCH(ROWS($AH$2:AH532),$AH$2:$AH$1001,0),0), INDEX($AO$1004:$BQ$1004,1,MATCH(COLUMNS($AO$1006:AZ1006),$AO$1006:$BQ$1006,0)))),"Fix")))</f>
        <v>#N/A</v>
      </c>
      <c r="N532" s="5" t="e">
        <f ca="1">IF(OR(INDEX($AI$2:$AI$1001,MATCH(ROWS($AH$2:AH532),$AH$2:$AH$1001,0),1)&gt;=100000,INDEX($AO$1005:$BQ$1005,1,MATCH(COLUMNS($AO$1006:BA1006),$AO$1006:$BQ$1006,0))&gt;=100000), " ",IF(INDEX($AO$2:$BQ$1001,MATCH(ROWS($AH$2:AH532),$AH$2:$AH$1001,0),MATCH(COLUMNS($AO$1006:BA1006),$AO$1006:$BQ$1006,0)), HYPERLINK("#",""), HYPERLINK(CONCATENATE("#Metadata!", ADDRESS(INDEX($AJ$2:$AJ$1001,MATCH(ROWS($AH$2:AH532),$AH$2:$AH$1001,0),0), INDEX($AO$1004:$BQ$1004,1,MATCH(COLUMNS($AO$1006:BA1006),$AO$1006:$BQ$1006,0)))),"Fix")))</f>
        <v>#N/A</v>
      </c>
      <c r="O532" s="5" t="e">
        <f ca="1">IF(OR(INDEX($AI$2:$AI$1001,MATCH(ROWS($AH$2:AH532),$AH$2:$AH$1001,0),1)&gt;=100000,INDEX($AO$1005:$BQ$1005,1,MATCH(COLUMNS($AO$1006:BB1006),$AO$1006:$BQ$1006,0))&gt;=100000), " ",IF(INDEX($AO$2:$BQ$1001,MATCH(ROWS($AH$2:AH532),$AH$2:$AH$1001,0),MATCH(COLUMNS($AO$1006:BB1006),$AO$1006:$BQ$1006,0)), HYPERLINK("#",""), HYPERLINK(CONCATENATE("#Metadata!", ADDRESS(INDEX($AJ$2:$AJ$1001,MATCH(ROWS($AH$2:AH532),$AH$2:$AH$1001,0),0), INDEX($AO$1004:$BQ$1004,1,MATCH(COLUMNS($AO$1006:BB1006),$AO$1006:$BQ$1006,0)))),"Fix")))</f>
        <v>#N/A</v>
      </c>
      <c r="P532" s="5" t="e">
        <f ca="1">IF(OR(INDEX($AI$2:$AI$1001,MATCH(ROWS($AH$2:AH532),$AH$2:$AH$1001,0),1)&gt;=100000,INDEX($AO$1005:$BQ$1005,1,MATCH(COLUMNS($AO$1006:BC1006),$AO$1006:$BQ$1006,0))&gt;=100000), " ",IF(INDEX($AO$2:$BQ$1001,MATCH(ROWS($AH$2:AH532),$AH$2:$AH$1001,0),MATCH(COLUMNS($AO$1006:BC1006),$AO$1006:$BQ$1006,0)), HYPERLINK("#",""), HYPERLINK(CONCATENATE("#Metadata!", ADDRESS(INDEX($AJ$2:$AJ$1001,MATCH(ROWS($AH$2:AH532),$AH$2:$AH$1001,0),0), INDEX($AO$1004:$BQ$1004,1,MATCH(COLUMNS($AO$1006:BC1006),$AO$1006:$BQ$1006,0)))),"Fix")))</f>
        <v>#N/A</v>
      </c>
      <c r="Q532" s="5" t="e">
        <f ca="1">IF(OR(INDEX($AI$2:$AI$1001,MATCH(ROWS($AH$2:AH532),$AH$2:$AH$1001,0),1)&gt;=100000,INDEX($AO$1005:$BQ$1005,1,MATCH(COLUMNS($AO$1006:BD1006),$AO$1006:$BQ$1006,0))&gt;=100000), " ",IF(INDEX($AO$2:$BQ$1001,MATCH(ROWS($AH$2:AH532),$AH$2:$AH$1001,0),MATCH(COLUMNS($AO$1006:BD1006),$AO$1006:$BQ$1006,0)), HYPERLINK("#",""), HYPERLINK(CONCATENATE("#Metadata!", ADDRESS(INDEX($AJ$2:$AJ$1001,MATCH(ROWS($AH$2:AH532),$AH$2:$AH$1001,0),0), INDEX($AO$1004:$BQ$1004,1,MATCH(COLUMNS($AO$1006:BD1006),$AO$1006:$BQ$1006,0)))),"Fix")))</f>
        <v>#N/A</v>
      </c>
      <c r="R532" s="5" t="e">
        <f ca="1">IF(OR(INDEX($AI$2:$AI$1001,MATCH(ROWS($AH$2:AH532),$AH$2:$AH$1001,0),1)&gt;=100000,INDEX($AO$1005:$BQ$1005,1,MATCH(COLUMNS($AO$1006:BE1006),$AO$1006:$BQ$1006,0))&gt;=100000), " ",IF(INDEX($AO$2:$BQ$1001,MATCH(ROWS($AH$2:AH532),$AH$2:$AH$1001,0),MATCH(COLUMNS($AO$1006:BE1006),$AO$1006:$BQ$1006,0)), HYPERLINK("#",""), HYPERLINK(CONCATENATE("#Metadata!", ADDRESS(INDEX($AJ$2:$AJ$1001,MATCH(ROWS($AH$2:AH532),$AH$2:$AH$1001,0),0), INDEX($AO$1004:$BQ$1004,1,MATCH(COLUMNS($AO$1006:BE1006),$AO$1006:$BQ$1006,0)))),"Fix")))</f>
        <v>#N/A</v>
      </c>
      <c r="S532" s="5" t="e">
        <f ca="1">IF(OR(INDEX($AI$2:$AI$1001,MATCH(ROWS($AH$2:AH532),$AH$2:$AH$1001,0),1)&gt;=100000,INDEX($AO$1005:$BQ$1005,1,MATCH(COLUMNS($AO$1006:BF1006),$AO$1006:$BQ$1006,0))&gt;=100000), " ",IF(INDEX($AO$2:$BQ$1001,MATCH(ROWS($AH$2:AH532),$AH$2:$AH$1001,0),MATCH(COLUMNS($AO$1006:BF1006),$AO$1006:$BQ$1006,0)), HYPERLINK("#",""), HYPERLINK(CONCATENATE("#Metadata!", ADDRESS(INDEX($AJ$2:$AJ$1001,MATCH(ROWS($AH$2:AH532),$AH$2:$AH$1001,0),0), INDEX($AO$1004:$BQ$1004,1,MATCH(COLUMNS($AO$1006:BF1006),$AO$1006:$BQ$1006,0)))),"Fix")))</f>
        <v>#N/A</v>
      </c>
      <c r="T532" s="5" t="e">
        <f ca="1">IF(OR(INDEX($AI$2:$AI$1001,MATCH(ROWS($AH$2:AH532),$AH$2:$AH$1001,0),1)&gt;=100000,INDEX($AO$1005:$BQ$1005,1,MATCH(COLUMNS($AO$1006:BG1006),$AO$1006:$BQ$1006,0))&gt;=100000), " ",IF(INDEX($AO$2:$BQ$1001,MATCH(ROWS($AH$2:AH532),$AH$2:$AH$1001,0),MATCH(COLUMNS($AO$1006:BG1006),$AO$1006:$BQ$1006,0)), HYPERLINK("#",""), HYPERLINK(CONCATENATE("#Metadata!", ADDRESS(INDEX($AJ$2:$AJ$1001,MATCH(ROWS($AH$2:AH532),$AH$2:$AH$1001,0),0), INDEX($AO$1004:$BQ$1004,1,MATCH(COLUMNS($AO$1006:BG1006),$AO$1006:$BQ$1006,0)))),"Fix")))</f>
        <v>#N/A</v>
      </c>
      <c r="U532" s="5" t="e">
        <f ca="1">IF(OR(INDEX($AI$2:$AI$1001,MATCH(ROWS($AH$2:AH532),$AH$2:$AH$1001,0),1)&gt;=100000,INDEX($AO$1005:$BQ$1005,1,MATCH(COLUMNS($AO$1006:BH1006),$AO$1006:$BQ$1006,0))&gt;=100000), " ",IF(INDEX($AO$2:$BQ$1001,MATCH(ROWS($AH$2:AH532),$AH$2:$AH$1001,0),MATCH(COLUMNS($AO$1006:BH1006),$AO$1006:$BQ$1006,0)), HYPERLINK("#",""), HYPERLINK(CONCATENATE("#Metadata!", ADDRESS(INDEX($AJ$2:$AJ$1001,MATCH(ROWS($AH$2:AH532),$AH$2:$AH$1001,0),0), INDEX($AO$1004:$BQ$1004,1,MATCH(COLUMNS($AO$1006:BH1006),$AO$1006:$BQ$1006,0)))),"Fix")))</f>
        <v>#N/A</v>
      </c>
      <c r="V532" s="5" t="e">
        <f ca="1">IF(OR(INDEX($AI$2:$AI$1001,MATCH(ROWS($AH$2:AH532),$AH$2:$AH$1001,0),1)&gt;=100000,INDEX($AO$1005:$BQ$1005,1,MATCH(COLUMNS($AO$1006:BI1006),$AO$1006:$BQ$1006,0))&gt;=100000), " ",IF(INDEX($AO$2:$BQ$1001,MATCH(ROWS($AH$2:AH532),$AH$2:$AH$1001,0),MATCH(COLUMNS($AO$1006:BI1006),$AO$1006:$BQ$1006,0)), HYPERLINK("#",""), HYPERLINK(CONCATENATE("#Metadata!", ADDRESS(INDEX($AJ$2:$AJ$1001,MATCH(ROWS($AH$2:AH532),$AH$2:$AH$1001,0),0), INDEX($AO$1004:$BQ$1004,1,MATCH(COLUMNS($AO$1006:BI1006),$AO$1006:$BQ$1006,0)))),"Fix")))</f>
        <v>#N/A</v>
      </c>
      <c r="W532" s="5" t="e">
        <f ca="1">IF(OR(INDEX($AI$2:$AI$1001,MATCH(ROWS($AH$2:AH532),$AH$2:$AH$1001,0),1)&gt;=100000,INDEX($AO$1005:$BQ$1005,1,MATCH(COLUMNS($AO$1006:BJ1006),$AO$1006:$BQ$1006,0))&gt;=100000), " ",IF(INDEX($AO$2:$BQ$1001,MATCH(ROWS($AH$2:AH532),$AH$2:$AH$1001,0),MATCH(COLUMNS($AO$1006:BJ1006),$AO$1006:$BQ$1006,0)), HYPERLINK("#",""), HYPERLINK(CONCATENATE("#Metadata!", ADDRESS(INDEX($AJ$2:$AJ$1001,MATCH(ROWS($AH$2:AH532),$AH$2:$AH$1001,0),0), INDEX($AO$1004:$BQ$1004,1,MATCH(COLUMNS($AO$1006:BJ1006),$AO$1006:$BQ$1006,0)))),"Fix")))</f>
        <v>#N/A</v>
      </c>
      <c r="X532" s="5" t="e">
        <f ca="1">IF(OR(INDEX($AI$2:$AI$1001,MATCH(ROWS($AH$2:AH532),$AH$2:$AH$1001,0),1)&gt;=100000,INDEX($AO$1005:$BQ$1005,1,MATCH(COLUMNS($AO$1006:BK1006),$AO$1006:$BQ$1006,0))&gt;=100000), " ",IF(INDEX($AO$2:$BQ$1001,MATCH(ROWS($AH$2:AH532),$AH$2:$AH$1001,0),MATCH(COLUMNS($AO$1006:BK1006),$AO$1006:$BQ$1006,0)), HYPERLINK("#",""), HYPERLINK(CONCATENATE("#Metadata!", ADDRESS(INDEX($AJ$2:$AJ$1001,MATCH(ROWS($AH$2:AH532),$AH$2:$AH$1001,0),0), INDEX($AO$1004:$BQ$1004,1,MATCH(COLUMNS($AO$1006:BK1006),$AO$1006:$BQ$1006,0)))),"Fix")))</f>
        <v>#N/A</v>
      </c>
      <c r="Y532" s="5" t="e">
        <f ca="1">IF(OR(INDEX($AI$2:$AI$1001,MATCH(ROWS($AH$2:AH532),$AH$2:$AH$1001,0),1)&gt;=100000,INDEX($AO$1005:$BQ$1005,1,MATCH(COLUMNS($AO$1006:BL1006),$AO$1006:$BQ$1006,0))&gt;=100000), " ",IF(INDEX($AO$2:$BQ$1001,MATCH(ROWS($AH$2:AH532),$AH$2:$AH$1001,0),MATCH(COLUMNS($AO$1006:BL1006),$AO$1006:$BQ$1006,0)), HYPERLINK("#",""), HYPERLINK(CONCATENATE("#Metadata!", ADDRESS(INDEX($AJ$2:$AJ$1001,MATCH(ROWS($AH$2:AH532),$AH$2:$AH$1001,0),0), INDEX($AO$1004:$BQ$1004,1,MATCH(COLUMNS($AO$1006:BL1006),$AO$1006:$BQ$1006,0)))),"Fix")))</f>
        <v>#N/A</v>
      </c>
      <c r="Z532" s="5" t="e">
        <f ca="1">IF(OR(INDEX($AI$2:$AI$1001,MATCH(ROWS($AH$2:AH532),$AH$2:$AH$1001,0),1)&gt;=100000,INDEX($AO$1005:$BQ$1005,1,MATCH(COLUMNS($AO$1006:BM1006),$AO$1006:$BQ$1006,0))&gt;=100000), " ",IF(INDEX($AO$2:$BQ$1001,MATCH(ROWS($AH$2:AH532),$AH$2:$AH$1001,0),MATCH(COLUMNS($AO$1006:BM1006),$AO$1006:$BQ$1006,0)), HYPERLINK("#",""), HYPERLINK(CONCATENATE("#Metadata!", ADDRESS(INDEX($AJ$2:$AJ$1001,MATCH(ROWS($AH$2:AH532),$AH$2:$AH$1001,0),0), INDEX($AO$1004:$BQ$1004,1,MATCH(COLUMNS($AO$1006:BM1006),$AO$1006:$BQ$1006,0)))),"Fix")))</f>
        <v>#N/A</v>
      </c>
      <c r="AA532" s="5" t="e">
        <f ca="1">IF(OR(INDEX($AI$2:$AI$1001,MATCH(ROWS($AH$2:AH532),$AH$2:$AH$1001,0),1)&gt;=100000,INDEX($AO$1005:$BQ$1005,1,MATCH(COLUMNS($AO$1006:BN1006),$AO$1006:$BQ$1006,0))&gt;=100000), " ",IF(INDEX($AO$2:$BQ$1001,MATCH(ROWS($AH$2:AH532),$AH$2:$AH$1001,0),MATCH(COLUMNS($AO$1006:BN1006),$AO$1006:$BQ$1006,0)), HYPERLINK("#",""), HYPERLINK(CONCATENATE("#Metadata!", ADDRESS(INDEX($AJ$2:$AJ$1001,MATCH(ROWS($AH$2:AH532),$AH$2:$AH$1001,0),0), INDEX($AO$1004:$BQ$1004,1,MATCH(COLUMNS($AO$1006:BN1006),$AO$1006:$BQ$1006,0)))),"Fix")))</f>
        <v>#N/A</v>
      </c>
      <c r="AB532" s="5" t="e">
        <f ca="1">IF(OR(INDEX($AI$2:$AI$1001,MATCH(ROWS($AH$2:AH532),$AH$2:$AH$1001,0),1)&gt;=100000,INDEX($AO$1005:$BQ$1005,1,MATCH(COLUMNS($AO$1006:BO1006),$AO$1006:$BQ$1006,0))&gt;=100000), " ",IF(INDEX($AO$2:$BQ$1001,MATCH(ROWS($AH$2:AH532),$AH$2:$AH$1001,0),MATCH(COLUMNS($AO$1006:BO1006),$AO$1006:$BQ$1006,0)), HYPERLINK("#",""), HYPERLINK(CONCATENATE("#Metadata!", ADDRESS(INDEX($AJ$2:$AJ$1001,MATCH(ROWS($AH$2:AH532),$AH$2:$AH$1001,0),0), INDEX($AO$1004:$BQ$1004,1,MATCH(COLUMNS($AO$1006:BO1006),$AO$1006:$BQ$1006,0)))),"Fix")))</f>
        <v>#N/A</v>
      </c>
      <c r="AC532" s="5" t="e">
        <f ca="1">IF(OR(INDEX($AI$2:$AI$1001,MATCH(ROWS($AH$2:AH532),$AH$2:$AH$1001,0),1)&gt;=100000,INDEX($AO$1005:$BQ$1005,1,MATCH(COLUMNS($AO$1006:BP1006),$AO$1006:$BQ$1006,0))&gt;=100000), " ",IF(INDEX($AO$2:$BQ$1001,MATCH(ROWS($AH$2:AH532),$AH$2:$AH$1001,0),MATCH(COLUMNS($AO$1006:BP1006),$AO$1006:$BQ$1006,0)), HYPERLINK("#",""), HYPERLINK(CONCATENATE("#Metadata!", ADDRESS(INDEX($AJ$2:$AJ$1001,MATCH(ROWS($AH$2:AH532),$AH$2:$AH$1001,0),0), INDEX($AO$1004:$BQ$1004,1,MATCH(COLUMNS($AO$1006:BP1006),$AO$1006:$BQ$1006,0)))),"Fix")))</f>
        <v>#N/A</v>
      </c>
      <c r="AD532" s="5" t="e">
        <f ca="1">IF(OR(INDEX($AI$2:$AI$1001,MATCH(ROWS($AH$2:AH532),$AH$2:$AH$1001,0),1)&gt;=100000,INDEX($AO$1005:$BQ$1005,1,MATCH(COLUMNS($AO$1006:BQ1006),$AO$1006:$BQ$1006,0))&gt;=100000), " ",IF(INDEX($AO$2:$BQ$1001,MATCH(ROWS($AH$2:AH532),$AH$2:$AH$1001,0),MATCH(COLUMNS($AO$1006:BQ1006),$AO$1006:$BQ$1006,0)), HYPERLINK("#",""), HYPERLINK(CONCATENATE("#Metadata!", ADDRESS(INDEX($AJ$2:$AJ$1001,MATCH(ROWS($AH$2:AH532),$AH$2:$AH$1001,0),0), INDEX($AO$1004:$BQ$1004,1,MATCH(COLUMNS($AO$1006:BQ1006),$AO$1006:$BQ$1006,0)))),"Fix")))</f>
        <v>#REF!</v>
      </c>
      <c r="AH532">
        <f ca="1"/>
        <v>529</v>
      </c>
      <c r="AI532">
        <v>100532</v>
      </c>
      <c r="AJ532">
        <v>532</v>
      </c>
      <c r="AK532" t="b">
        <f t="shared" si="8"/>
        <v>1</v>
      </c>
      <c r="AL532" t="b">
        <f>COUNTBLANK(Metadata!B532:AD532)=COLUMNS(Metadata!B532:AD532)</f>
        <v>1</v>
      </c>
      <c r="AM532" t="str">
        <v/>
      </c>
      <c r="AO532" t="b">
        <f ca="1">AND(IF(Metadata!B532="",FALSE,TRUE),COUNTIF(Metadata!B:B, Metadata!B532) = 1,NOT(ISERROR(SUMPRODUCT(SEARCH(MID(Metadata!B532,ROW(INDIRECT("1:"&amp;LEN(Metadata!B532))), 1),"0123456789abcdefghijklmnopqrstuvwxyzABCDEFGHIJKLMNOPQRSTUVWXYZ.")))))</f>
        <v>0</v>
      </c>
      <c r="AP532" t="b">
        <f>IF(Metadata!C532="",FALSE,TRUE)</f>
        <v>0</v>
      </c>
      <c r="AQ532" t="b">
        <f>IF(Metadata!D532="",FALSE,TRUE)</f>
        <v>0</v>
      </c>
      <c r="AR532" t="b">
        <f ca="1">OR(AND(IF(Metadata!E532="",FALSE,TRUE),OR(EXACT(Metadata!E532,"not collected"),EXACT(Metadata!E532,"not provided"),EXACT(Metadata!E532,"restricted access"))),AND(IF(Metadata!E532="",FALSE,TRUE),AND(AND(IFERROR(INT(LEFT(Metadata!E532,4))&gt;1900,FALSE),IFERROR(INT(LEFT(Metadata!E532,4))&lt;=YEAR(NOW()),FALSE)), OR(MID(Metadata!E532,5,1)="", AND(AND(MID(Metadata!E532,5,1)="-",IFERROR(INT(MID(Metadata!E532,6,1))&gt;=0,FALSE),IFERROR(INT(MID(Metadata!E532,6,1))&lt;=1,FALSE),NOT(MID(Metadata!E532,7,1)=""),IFERROR(INT(MID(Metadata!E532,6,2))&gt;=1,FALSE),IFERROR(INT(MID(Metadata!E532,6,2))&lt;=12,FALSE)), OR(MID(Metadata!E532,8,1)="", AND(AND(MID(Metadata!E532,8,1)="-",IFERROR(INT(MID(Metadata!E532,9,1))&gt;=0,FALSE),IFERROR(INT(MID(Metadata!E532,9,1))&lt;=3,FALSE),NOT(MID(Metadata!E532,10,1)=""),IFERROR(INT(MID(Metadata!E532,9,2))&gt;=1,FALSE),IFERROR(INT(MID(Metadata!E532,9,2))&lt;=31,FALSE)), OR(MID(Metadata!E532,11,1)="", AND(AND(MID(Metadata!E532,11,1)=" ",IFERROR(INT(MID(Metadata!E532,12,1))&gt;=0,FALSE),IFERROR(INT(MID(Metadata!E532,12,1))&lt;=2,FALSE),NOT(MID(Metadata!E532,13,1)=""),IFERROR(INT(MID(Metadata!E532,12,2))&gt;=0,FALSE),IFERROR(INT(MID(Metadata!E532,12,2))&lt;=23,FALSE)), OR(MID(Metadata!E532,14,1)="", AND(AND(MID(Metadata!E532,14,1)=":",IFERROR(INT(MID(Metadata!E532,15,1))&gt;=0,FALSE),IFERROR(INT(MID(Metadata!E532,15,1))&lt;=5,FALSE),NOT(MID(Metadata!E532,16,1)=""),IFERROR(INT(MID(Metadata!E532,15,2))&gt;=0,FALSE),IFERROR(INT(MID(Metadata!E532,15,2))&lt;=59,FALSE)), OR(MID(Metadata!E532,17,1)="", AND(AND(MID(Metadata!E532,17,1)=":",IFERROR(INT(MID(Metadata!E532,18,1))&gt;=0,FALSE),IFERROR(INT(MID(Metadata!E532,18,1))&lt;=5,FALSE),NOT(MID(Metadata!E532,19,1)=""),IFERROR(INT(MID(Metadata!E532,18,2))&gt;=0,FALSE),IFERROR(INT(MID(Metadata!E532,18,2))&lt;=59,FALSE)), LEN(Metadata!E532)&lt;=19)))))))))))))</f>
        <v>0</v>
      </c>
      <c r="AS532" t="b">
        <f>IF(Metadata!F532="",FALSE,TRUE)</f>
        <v>0</v>
      </c>
      <c r="AT532" t="b">
        <f>OR(AND(IF(Metadata!G532="",FALSE,TRUE),OR(EXACT(Metadata!G532,"not collected"),EXACT(Metadata!G532,"not provided"))),AND(IF(Metadata!G532="",FALSE,TRUE),OR(EXACT(Metadata!G532,"TRUE"),EXACT(Metadata!G532,"FALSE"))))</f>
        <v>0</v>
      </c>
      <c r="AU532" t="b">
        <f>OR(AND(IF(Metadata!H532="",FALSE,TRUE),OR(EXACT(Metadata!H532,"not collected"),EXACT(Metadata!H532,"not provided"),EXACT(Metadata!H532,"restricted access"))),AND(IF(Metadata!H532="",FALSE,ISNUMBER(VALUE(Metadata!H532))),Metadata!H532&gt;=-413))</f>
        <v>0</v>
      </c>
      <c r="AV532" t="b">
        <f>AND(IF(Metadata!I532="",FALSE,TRUE),EXACT(Metadata!I532,"meters"))</f>
        <v>0</v>
      </c>
      <c r="AW532" t="b">
        <f>AND(IF(Metadata!J532="",FALSE,TRUE),EXACT(Metadata!J532,"free-living"))</f>
        <v>0</v>
      </c>
      <c r="AX532" t="b">
        <f>AND(IF(Metadata!K532="",FALSE,TRUE),OR(EXACT(Metadata!K532,"saline"),EXACT(Metadata!K532,"non-saline")))</f>
        <v>0</v>
      </c>
      <c r="AY532" t="b">
        <f>AND(IF(Metadata!L532="",FALSE,TRUE),OR(EXACT(Metadata!L532,"sub-surface (non-saline)"),EXACT(Metadata!L532,"surface (non-saline)"),EXACT(Metadata!L532,"water (non-saline)"),EXACT(Metadata!L532,"soil (non-saline)"),EXACT(Metadata!L532,"aerosol (non-saline)"),EXACT(Metadata!L532,"sediment (non-saline)"),EXACT(Metadata!L532,"surface (saline)"),EXACT(Metadata!L532,"water (saline)"),EXACT(Metadata!L532,"hypersaline (saline)"),EXACT(Metadata!L532,"aerosol (saline)"),EXACT(Metadata!L532,"sediment (saline)")))</f>
        <v>0</v>
      </c>
      <c r="AZ532" t="b">
        <f>IF(Metadata!M532="",FALSE,TRUE)</f>
        <v>0</v>
      </c>
      <c r="BA532" t="b">
        <f>IF(Metadata!N532="",FALSE,TRUE)</f>
        <v>0</v>
      </c>
      <c r="BB532" t="b">
        <f>IF(Metadata!O532="",FALSE,TRUE)</f>
        <v>0</v>
      </c>
      <c r="BC532" t="b">
        <f>AND(IF(Metadata!P532="",FALSE,TRUE),OR(EXACT(Metadata!P532,"air"),EXACT(Metadata!P532,"microbial mat/biofilm"),EXACT(Metadata!P532,"misc environment"),EXACT(Metadata!P532,"sediment"),EXACT(Metadata!P532,"soil"),EXACT(Metadata!P532,"wastewater/sludge"),EXACT(Metadata!P532,"water")))</f>
        <v>0</v>
      </c>
      <c r="BD532" t="b">
        <f>IF(Metadata!Q532="",FALSE,TRUE)</f>
        <v>0</v>
      </c>
      <c r="BE532" t="b">
        <f>IF(Metadata!R532="",FALSE,TRUE)</f>
        <v>0</v>
      </c>
      <c r="BF532" t="b">
        <f>OR(AND(IF(Metadata!S532="",FALSE,TRUE),OR(EXACT(Metadata!S532,"not collected"),EXACT(Metadata!S532,"not provided"),EXACT(Metadata!S532,"restricted access"))),AND(IF(Metadata!S532="",FALSE,ISNUMBER(VALUE(Metadata!S532))),Metadata!S532&gt;=-90,Metadata!S532&lt;=90))</f>
        <v>0</v>
      </c>
      <c r="BG532" t="b">
        <f>AND(IF(Metadata!T532="",FALSE,TRUE),EXACT(Metadata!T532,"Decimal degrees"))</f>
        <v>0</v>
      </c>
      <c r="BH532" t="b">
        <f>OR(AND(IF(Metadata!U532="",FALSE,TRUE),OR(EXACT(Metadata!U532,"not applicable"),EXACT(Metadata!U532,"not collected"))),IF(Metadata!U532="",FALSE,TRUE))</f>
        <v>0</v>
      </c>
      <c r="BI532" t="b">
        <f>OR(AND(IF(Metadata!V532="",FALSE,TRUE),OR(EXACT(Metadata!V532,"not collected"),EXACT(Metadata!V532,"not provided"),EXACT(Metadata!V532,"restricted access"))),AND(IF(Metadata!V532="",FALSE,ISNUMBER(VALUE(Metadata!V532))),Metadata!V532&gt;=-180,Metadata!V532&lt;=180))</f>
        <v>0</v>
      </c>
      <c r="BJ532" t="b">
        <f>AND(IF(Metadata!W532="",FALSE,TRUE),EXACT(Metadata!W532,"Decimal degrees"))</f>
        <v>0</v>
      </c>
      <c r="BK532" t="b">
        <f>IF(Metadata!X532="",FALSE,TRUE)</f>
        <v>0</v>
      </c>
      <c r="BL532" t="b">
        <f>OR(AND(IF(Metadata!Y532="",FALSE,TRUE),OR(EXACT(Metadata!Y532,"not collected"),EXACT(Metadata!Y532,"not provided"),EXACT(Metadata!Y532,"restricted access"))),AND(IF(Metadata!Y532="",FALSE,TRUE),OR(EXACT(Metadata!Y532,"TRUE"),EXACT(Metadata!Y532,"FALSE"))))</f>
        <v>0</v>
      </c>
      <c r="BM532" t="b">
        <f>OR(AND(IF(Metadata!Z532="",FALSE,TRUE),EXACT(Metadata!Z532,"not applicable")),AND(IF(Metadata!Z532="",FALSE,TRUE),OR(EXACT(Metadata!Z532,"beer"),EXACT(Metadata!Z532,"cheese"),EXACT(Metadata!Z532,"fresh water"),EXACT(Metadata!Z532,"marine sediment"),EXACT(Metadata!Z532,"sea water"),EXACT(Metadata!Z532,"sediment"),EXACT(Metadata!Z532,"soil"),EXACT(Metadata!Z532,"waste water"))))</f>
        <v>0</v>
      </c>
      <c r="BN532" t="b">
        <f>AND(IF(Metadata!AA532="",FALSE,TRUE),EXACT(Metadata!AA532,"metagenome"))</f>
        <v>0</v>
      </c>
      <c r="BO532" t="b">
        <f>AND(IF(Metadata!AB532="",FALSE,TRUE),EXACT(Metadata!AB532,"256318"))</f>
        <v>0</v>
      </c>
      <c r="BP532" t="b">
        <f>IF(Metadata!AC532="",FALSE,TRUE)</f>
        <v>0</v>
      </c>
      <c r="BQ532" t="b">
        <f>IF(Metadata!AD532="",FALSE,TRUE)</f>
        <v>0</v>
      </c>
    </row>
    <row r="533" spans="1:69" x14ac:dyDescent="0.2">
      <c r="A533" s="4" t="e">
        <f ca="1">IF(B533=" "," ",HYPERLINK(CONCATENATE("#metadata!",ADDRESS(INDEX($AJ$2:$AJ$1001,MATCH(ROWS($AH$2:AH533),$AH$2:$AH$1001,0),0),2)),INDEX($AM$2:$AM$1001,MATCH(ROWS($AH$2:AH533),$AH$2:$AH$1001,0),0)))</f>
        <v>#N/A</v>
      </c>
      <c r="B533" s="5" t="e">
        <f ca="1">IF(OR(INDEX($AI$2:$AI$1001,MATCH(ROWS($AH$2:AH533),$AH$2:$AH$1001,0),1)&gt;=100000,INDEX($AO$1005:$BQ$1005,1,MATCH(COLUMNS($AO$1006:AO1006),$AO$1006:$BQ$1006,0))&gt;=100000), " ",IF(INDEX($AO$2:$BQ$1001,MATCH(ROWS($AH$2:AH533),$AH$2:$AH$1001,0),MATCH(COLUMNS($AO$1006:AO1006),$AO$1006:$BQ$1006,0)), HYPERLINK("#",""), HYPERLINK(CONCATENATE("#Metadata!", ADDRESS(INDEX($AJ$2:$AJ$1001,MATCH(ROWS($AH$2:AH533),$AH$2:$AH$1001,0),0), INDEX($AO$1004:$BQ$1004,1,MATCH(COLUMNS($AO$1006:AO1006),$AO$1006:$BQ$1006,0)))),"Fix")))</f>
        <v>#N/A</v>
      </c>
      <c r="C533" s="5" t="e">
        <f ca="1">IF(OR(INDEX($AI$2:$AI$1001,MATCH(ROWS($AH$2:AH533),$AH$2:$AH$1001,0),1)&gt;=100000,INDEX($AO$1005:$BQ$1005,1,MATCH(COLUMNS($AO$1006:AP1006),$AO$1006:$BQ$1006,0))&gt;=100000), " ",IF(INDEX($AO$2:$BQ$1001,MATCH(ROWS($AH$2:AH533),$AH$2:$AH$1001,0),MATCH(COLUMNS($AO$1006:AP1006),$AO$1006:$BQ$1006,0)), HYPERLINK("#",""), HYPERLINK(CONCATENATE("#Metadata!", ADDRESS(INDEX($AJ$2:$AJ$1001,MATCH(ROWS($AH$2:AH533),$AH$2:$AH$1001,0),0), INDEX($AO$1004:$BQ$1004,1,MATCH(COLUMNS($AO$1006:AP1006),$AO$1006:$BQ$1006,0)))),"Fix")))</f>
        <v>#N/A</v>
      </c>
      <c r="D533" s="5" t="e">
        <f ca="1">IF(OR(INDEX($AI$2:$AI$1001,MATCH(ROWS($AH$2:AH533),$AH$2:$AH$1001,0),1)&gt;=100000,INDEX($AO$1005:$BQ$1005,1,MATCH(COLUMNS($AO$1006:AQ1006),$AO$1006:$BQ$1006,0))&gt;=100000), " ",IF(INDEX($AO$2:$BQ$1001,MATCH(ROWS($AH$2:AH533),$AH$2:$AH$1001,0),MATCH(COLUMNS($AO$1006:AQ1006),$AO$1006:$BQ$1006,0)), HYPERLINK("#",""), HYPERLINK(CONCATENATE("#Metadata!", ADDRESS(INDEX($AJ$2:$AJ$1001,MATCH(ROWS($AH$2:AH533),$AH$2:$AH$1001,0),0), INDEX($AO$1004:$BQ$1004,1,MATCH(COLUMNS($AO$1006:AQ1006),$AO$1006:$BQ$1006,0)))),"Fix")))</f>
        <v>#N/A</v>
      </c>
      <c r="E533" s="5" t="e">
        <f ca="1">IF(OR(INDEX($AI$2:$AI$1001,MATCH(ROWS($AH$2:AH533),$AH$2:$AH$1001,0),1)&gt;=100000,INDEX($AO$1005:$BQ$1005,1,MATCH(COLUMNS($AO$1006:AR1006),$AO$1006:$BQ$1006,0))&gt;=100000), " ",IF(INDEX($AO$2:$BQ$1001,MATCH(ROWS($AH$2:AH533),$AH$2:$AH$1001,0),MATCH(COLUMNS($AO$1006:AR1006),$AO$1006:$BQ$1006,0)), HYPERLINK("#",""), HYPERLINK(CONCATENATE("#Metadata!", ADDRESS(INDEX($AJ$2:$AJ$1001,MATCH(ROWS($AH$2:AH533),$AH$2:$AH$1001,0),0), INDEX($AO$1004:$BQ$1004,1,MATCH(COLUMNS($AO$1006:AR1006),$AO$1006:$BQ$1006,0)))),"Fix")))</f>
        <v>#N/A</v>
      </c>
      <c r="F533" s="5" t="e">
        <f ca="1">IF(OR(INDEX($AI$2:$AI$1001,MATCH(ROWS($AH$2:AH533),$AH$2:$AH$1001,0),1)&gt;=100000,INDEX($AO$1005:$BQ$1005,1,MATCH(COLUMNS($AO$1006:AS1006),$AO$1006:$BQ$1006,0))&gt;=100000), " ",IF(INDEX($AO$2:$BQ$1001,MATCH(ROWS($AH$2:AH533),$AH$2:$AH$1001,0),MATCH(COLUMNS($AO$1006:AS1006),$AO$1006:$BQ$1006,0)), HYPERLINK("#",""), HYPERLINK(CONCATENATE("#Metadata!", ADDRESS(INDEX($AJ$2:$AJ$1001,MATCH(ROWS($AH$2:AH533),$AH$2:$AH$1001,0),0), INDEX($AO$1004:$BQ$1004,1,MATCH(COLUMNS($AO$1006:AS1006),$AO$1006:$BQ$1006,0)))),"Fix")))</f>
        <v>#N/A</v>
      </c>
      <c r="G533" s="5" t="e">
        <f ca="1">IF(OR(INDEX($AI$2:$AI$1001,MATCH(ROWS($AH$2:AH533),$AH$2:$AH$1001,0),1)&gt;=100000,INDEX($AO$1005:$BQ$1005,1,MATCH(COLUMNS($AO$1006:AT1006),$AO$1006:$BQ$1006,0))&gt;=100000), " ",IF(INDEX($AO$2:$BQ$1001,MATCH(ROWS($AH$2:AH533),$AH$2:$AH$1001,0),MATCH(COLUMNS($AO$1006:AT1006),$AO$1006:$BQ$1006,0)), HYPERLINK("#",""), HYPERLINK(CONCATENATE("#Metadata!", ADDRESS(INDEX($AJ$2:$AJ$1001,MATCH(ROWS($AH$2:AH533),$AH$2:$AH$1001,0),0), INDEX($AO$1004:$BQ$1004,1,MATCH(COLUMNS($AO$1006:AT1006),$AO$1006:$BQ$1006,0)))),"Fix")))</f>
        <v>#N/A</v>
      </c>
      <c r="H533" s="5" t="e">
        <f ca="1">IF(OR(INDEX($AI$2:$AI$1001,MATCH(ROWS($AH$2:AH533),$AH$2:$AH$1001,0),1)&gt;=100000,INDEX($AO$1005:$BQ$1005,1,MATCH(COLUMNS($AO$1006:AU1006),$AO$1006:$BQ$1006,0))&gt;=100000), " ",IF(INDEX($AO$2:$BQ$1001,MATCH(ROWS($AH$2:AH533),$AH$2:$AH$1001,0),MATCH(COLUMNS($AO$1006:AU1006),$AO$1006:$BQ$1006,0)), HYPERLINK("#",""), HYPERLINK(CONCATENATE("#Metadata!", ADDRESS(INDEX($AJ$2:$AJ$1001,MATCH(ROWS($AH$2:AH533),$AH$2:$AH$1001,0),0), INDEX($AO$1004:$BQ$1004,1,MATCH(COLUMNS($AO$1006:AU1006),$AO$1006:$BQ$1006,0)))),"Fix")))</f>
        <v>#N/A</v>
      </c>
      <c r="I533" s="5" t="e">
        <f ca="1">IF(OR(INDEX($AI$2:$AI$1001,MATCH(ROWS($AH$2:AH533),$AH$2:$AH$1001,0),1)&gt;=100000,INDEX($AO$1005:$BQ$1005,1,MATCH(COLUMNS($AO$1006:AV1006),$AO$1006:$BQ$1006,0))&gt;=100000), " ",IF(INDEX($AO$2:$BQ$1001,MATCH(ROWS($AH$2:AH533),$AH$2:$AH$1001,0),MATCH(COLUMNS($AO$1006:AV1006),$AO$1006:$BQ$1006,0)), HYPERLINK("#",""), HYPERLINK(CONCATENATE("#Metadata!", ADDRESS(INDEX($AJ$2:$AJ$1001,MATCH(ROWS($AH$2:AH533),$AH$2:$AH$1001,0),0), INDEX($AO$1004:$BQ$1004,1,MATCH(COLUMNS($AO$1006:AV1006),$AO$1006:$BQ$1006,0)))),"Fix")))</f>
        <v>#N/A</v>
      </c>
      <c r="J533" s="5" t="e">
        <f ca="1">IF(OR(INDEX($AI$2:$AI$1001,MATCH(ROWS($AH$2:AH533),$AH$2:$AH$1001,0),1)&gt;=100000,INDEX($AO$1005:$BQ$1005,1,MATCH(COLUMNS($AO$1006:AW1006),$AO$1006:$BQ$1006,0))&gt;=100000), " ",IF(INDEX($AO$2:$BQ$1001,MATCH(ROWS($AH$2:AH533),$AH$2:$AH$1001,0),MATCH(COLUMNS($AO$1006:AW1006),$AO$1006:$BQ$1006,0)), HYPERLINK("#",""), HYPERLINK(CONCATENATE("#Metadata!", ADDRESS(INDEX($AJ$2:$AJ$1001,MATCH(ROWS($AH$2:AH533),$AH$2:$AH$1001,0),0), INDEX($AO$1004:$BQ$1004,1,MATCH(COLUMNS($AO$1006:AW1006),$AO$1006:$BQ$1006,0)))),"Fix")))</f>
        <v>#N/A</v>
      </c>
      <c r="K533" s="5" t="e">
        <f ca="1">IF(OR(INDEX($AI$2:$AI$1001,MATCH(ROWS($AH$2:AH533),$AH$2:$AH$1001,0),1)&gt;=100000,INDEX($AO$1005:$BQ$1005,1,MATCH(COLUMNS($AO$1006:AX1006),$AO$1006:$BQ$1006,0))&gt;=100000), " ",IF(INDEX($AO$2:$BQ$1001,MATCH(ROWS($AH$2:AH533),$AH$2:$AH$1001,0),MATCH(COLUMNS($AO$1006:AX1006),$AO$1006:$BQ$1006,0)), HYPERLINK("#",""), HYPERLINK(CONCATENATE("#Metadata!", ADDRESS(INDEX($AJ$2:$AJ$1001,MATCH(ROWS($AH$2:AH533),$AH$2:$AH$1001,0),0), INDEX($AO$1004:$BQ$1004,1,MATCH(COLUMNS($AO$1006:AX1006),$AO$1006:$BQ$1006,0)))),"Fix")))</f>
        <v>#N/A</v>
      </c>
      <c r="L533" s="5" t="e">
        <f ca="1">IF(OR(INDEX($AI$2:$AI$1001,MATCH(ROWS($AH$2:AH533),$AH$2:$AH$1001,0),1)&gt;=100000,INDEX($AO$1005:$BQ$1005,1,MATCH(COLUMNS($AO$1006:AY1006),$AO$1006:$BQ$1006,0))&gt;=100000), " ",IF(INDEX($AO$2:$BQ$1001,MATCH(ROWS($AH$2:AH533),$AH$2:$AH$1001,0),MATCH(COLUMNS($AO$1006:AY1006),$AO$1006:$BQ$1006,0)), HYPERLINK("#",""), HYPERLINK(CONCATENATE("#Metadata!", ADDRESS(INDEX($AJ$2:$AJ$1001,MATCH(ROWS($AH$2:AH533),$AH$2:$AH$1001,0),0), INDEX($AO$1004:$BQ$1004,1,MATCH(COLUMNS($AO$1006:AY1006),$AO$1006:$BQ$1006,0)))),"Fix")))</f>
        <v>#N/A</v>
      </c>
      <c r="M533" s="5" t="e">
        <f ca="1">IF(OR(INDEX($AI$2:$AI$1001,MATCH(ROWS($AH$2:AH533),$AH$2:$AH$1001,0),1)&gt;=100000,INDEX($AO$1005:$BQ$1005,1,MATCH(COLUMNS($AO$1006:AZ1006),$AO$1006:$BQ$1006,0))&gt;=100000), " ",IF(INDEX($AO$2:$BQ$1001,MATCH(ROWS($AH$2:AH533),$AH$2:$AH$1001,0),MATCH(COLUMNS($AO$1006:AZ1006),$AO$1006:$BQ$1006,0)), HYPERLINK("#",""), HYPERLINK(CONCATENATE("#Metadata!", ADDRESS(INDEX($AJ$2:$AJ$1001,MATCH(ROWS($AH$2:AH533),$AH$2:$AH$1001,0),0), INDEX($AO$1004:$BQ$1004,1,MATCH(COLUMNS($AO$1006:AZ1006),$AO$1006:$BQ$1006,0)))),"Fix")))</f>
        <v>#N/A</v>
      </c>
      <c r="N533" s="5" t="e">
        <f ca="1">IF(OR(INDEX($AI$2:$AI$1001,MATCH(ROWS($AH$2:AH533),$AH$2:$AH$1001,0),1)&gt;=100000,INDEX($AO$1005:$BQ$1005,1,MATCH(COLUMNS($AO$1006:BA1006),$AO$1006:$BQ$1006,0))&gt;=100000), " ",IF(INDEX($AO$2:$BQ$1001,MATCH(ROWS($AH$2:AH533),$AH$2:$AH$1001,0),MATCH(COLUMNS($AO$1006:BA1006),$AO$1006:$BQ$1006,0)), HYPERLINK("#",""), HYPERLINK(CONCATENATE("#Metadata!", ADDRESS(INDEX($AJ$2:$AJ$1001,MATCH(ROWS($AH$2:AH533),$AH$2:$AH$1001,0),0), INDEX($AO$1004:$BQ$1004,1,MATCH(COLUMNS($AO$1006:BA1006),$AO$1006:$BQ$1006,0)))),"Fix")))</f>
        <v>#N/A</v>
      </c>
      <c r="O533" s="5" t="e">
        <f ca="1">IF(OR(INDEX($AI$2:$AI$1001,MATCH(ROWS($AH$2:AH533),$AH$2:$AH$1001,0),1)&gt;=100000,INDEX($AO$1005:$BQ$1005,1,MATCH(COLUMNS($AO$1006:BB1006),$AO$1006:$BQ$1006,0))&gt;=100000), " ",IF(INDEX($AO$2:$BQ$1001,MATCH(ROWS($AH$2:AH533),$AH$2:$AH$1001,0),MATCH(COLUMNS($AO$1006:BB1006),$AO$1006:$BQ$1006,0)), HYPERLINK("#",""), HYPERLINK(CONCATENATE("#Metadata!", ADDRESS(INDEX($AJ$2:$AJ$1001,MATCH(ROWS($AH$2:AH533),$AH$2:$AH$1001,0),0), INDEX($AO$1004:$BQ$1004,1,MATCH(COLUMNS($AO$1006:BB1006),$AO$1006:$BQ$1006,0)))),"Fix")))</f>
        <v>#N/A</v>
      </c>
      <c r="P533" s="5" t="e">
        <f ca="1">IF(OR(INDEX($AI$2:$AI$1001,MATCH(ROWS($AH$2:AH533),$AH$2:$AH$1001,0),1)&gt;=100000,INDEX($AO$1005:$BQ$1005,1,MATCH(COLUMNS($AO$1006:BC1006),$AO$1006:$BQ$1006,0))&gt;=100000), " ",IF(INDEX($AO$2:$BQ$1001,MATCH(ROWS($AH$2:AH533),$AH$2:$AH$1001,0),MATCH(COLUMNS($AO$1006:BC1006),$AO$1006:$BQ$1006,0)), HYPERLINK("#",""), HYPERLINK(CONCATENATE("#Metadata!", ADDRESS(INDEX($AJ$2:$AJ$1001,MATCH(ROWS($AH$2:AH533),$AH$2:$AH$1001,0),0), INDEX($AO$1004:$BQ$1004,1,MATCH(COLUMNS($AO$1006:BC1006),$AO$1006:$BQ$1006,0)))),"Fix")))</f>
        <v>#N/A</v>
      </c>
      <c r="Q533" s="5" t="e">
        <f ca="1">IF(OR(INDEX($AI$2:$AI$1001,MATCH(ROWS($AH$2:AH533),$AH$2:$AH$1001,0),1)&gt;=100000,INDEX($AO$1005:$BQ$1005,1,MATCH(COLUMNS($AO$1006:BD1006),$AO$1006:$BQ$1006,0))&gt;=100000), " ",IF(INDEX($AO$2:$BQ$1001,MATCH(ROWS($AH$2:AH533),$AH$2:$AH$1001,0),MATCH(COLUMNS($AO$1006:BD1006),$AO$1006:$BQ$1006,0)), HYPERLINK("#",""), HYPERLINK(CONCATENATE("#Metadata!", ADDRESS(INDEX($AJ$2:$AJ$1001,MATCH(ROWS($AH$2:AH533),$AH$2:$AH$1001,0),0), INDEX($AO$1004:$BQ$1004,1,MATCH(COLUMNS($AO$1006:BD1006),$AO$1006:$BQ$1006,0)))),"Fix")))</f>
        <v>#N/A</v>
      </c>
      <c r="R533" s="5" t="e">
        <f ca="1">IF(OR(INDEX($AI$2:$AI$1001,MATCH(ROWS($AH$2:AH533),$AH$2:$AH$1001,0),1)&gt;=100000,INDEX($AO$1005:$BQ$1005,1,MATCH(COLUMNS($AO$1006:BE1006),$AO$1006:$BQ$1006,0))&gt;=100000), " ",IF(INDEX($AO$2:$BQ$1001,MATCH(ROWS($AH$2:AH533),$AH$2:$AH$1001,0),MATCH(COLUMNS($AO$1006:BE1006),$AO$1006:$BQ$1006,0)), HYPERLINK("#",""), HYPERLINK(CONCATENATE("#Metadata!", ADDRESS(INDEX($AJ$2:$AJ$1001,MATCH(ROWS($AH$2:AH533),$AH$2:$AH$1001,0),0), INDEX($AO$1004:$BQ$1004,1,MATCH(COLUMNS($AO$1006:BE1006),$AO$1006:$BQ$1006,0)))),"Fix")))</f>
        <v>#N/A</v>
      </c>
      <c r="S533" s="5" t="e">
        <f ca="1">IF(OR(INDEX($AI$2:$AI$1001,MATCH(ROWS($AH$2:AH533),$AH$2:$AH$1001,0),1)&gt;=100000,INDEX($AO$1005:$BQ$1005,1,MATCH(COLUMNS($AO$1006:BF1006),$AO$1006:$BQ$1006,0))&gt;=100000), " ",IF(INDEX($AO$2:$BQ$1001,MATCH(ROWS($AH$2:AH533),$AH$2:$AH$1001,0),MATCH(COLUMNS($AO$1006:BF1006),$AO$1006:$BQ$1006,0)), HYPERLINK("#",""), HYPERLINK(CONCATENATE("#Metadata!", ADDRESS(INDEX($AJ$2:$AJ$1001,MATCH(ROWS($AH$2:AH533),$AH$2:$AH$1001,0),0), INDEX($AO$1004:$BQ$1004,1,MATCH(COLUMNS($AO$1006:BF1006),$AO$1006:$BQ$1006,0)))),"Fix")))</f>
        <v>#N/A</v>
      </c>
      <c r="T533" s="5" t="e">
        <f ca="1">IF(OR(INDEX($AI$2:$AI$1001,MATCH(ROWS($AH$2:AH533),$AH$2:$AH$1001,0),1)&gt;=100000,INDEX($AO$1005:$BQ$1005,1,MATCH(COLUMNS($AO$1006:BG1006),$AO$1006:$BQ$1006,0))&gt;=100000), " ",IF(INDEX($AO$2:$BQ$1001,MATCH(ROWS($AH$2:AH533),$AH$2:$AH$1001,0),MATCH(COLUMNS($AO$1006:BG1006),$AO$1006:$BQ$1006,0)), HYPERLINK("#",""), HYPERLINK(CONCATENATE("#Metadata!", ADDRESS(INDEX($AJ$2:$AJ$1001,MATCH(ROWS($AH$2:AH533),$AH$2:$AH$1001,0),0), INDEX($AO$1004:$BQ$1004,1,MATCH(COLUMNS($AO$1006:BG1006),$AO$1006:$BQ$1006,0)))),"Fix")))</f>
        <v>#N/A</v>
      </c>
      <c r="U533" s="5" t="e">
        <f ca="1">IF(OR(INDEX($AI$2:$AI$1001,MATCH(ROWS($AH$2:AH533),$AH$2:$AH$1001,0),1)&gt;=100000,INDEX($AO$1005:$BQ$1005,1,MATCH(COLUMNS($AO$1006:BH1006),$AO$1006:$BQ$1006,0))&gt;=100000), " ",IF(INDEX($AO$2:$BQ$1001,MATCH(ROWS($AH$2:AH533),$AH$2:$AH$1001,0),MATCH(COLUMNS($AO$1006:BH1006),$AO$1006:$BQ$1006,0)), HYPERLINK("#",""), HYPERLINK(CONCATENATE("#Metadata!", ADDRESS(INDEX($AJ$2:$AJ$1001,MATCH(ROWS($AH$2:AH533),$AH$2:$AH$1001,0),0), INDEX($AO$1004:$BQ$1004,1,MATCH(COLUMNS($AO$1006:BH1006),$AO$1006:$BQ$1006,0)))),"Fix")))</f>
        <v>#N/A</v>
      </c>
      <c r="V533" s="5" t="e">
        <f ca="1">IF(OR(INDEX($AI$2:$AI$1001,MATCH(ROWS($AH$2:AH533),$AH$2:$AH$1001,0),1)&gt;=100000,INDEX($AO$1005:$BQ$1005,1,MATCH(COLUMNS($AO$1006:BI1006),$AO$1006:$BQ$1006,0))&gt;=100000), " ",IF(INDEX($AO$2:$BQ$1001,MATCH(ROWS($AH$2:AH533),$AH$2:$AH$1001,0),MATCH(COLUMNS($AO$1006:BI1006),$AO$1006:$BQ$1006,0)), HYPERLINK("#",""), HYPERLINK(CONCATENATE("#Metadata!", ADDRESS(INDEX($AJ$2:$AJ$1001,MATCH(ROWS($AH$2:AH533),$AH$2:$AH$1001,0),0), INDEX($AO$1004:$BQ$1004,1,MATCH(COLUMNS($AO$1006:BI1006),$AO$1006:$BQ$1006,0)))),"Fix")))</f>
        <v>#N/A</v>
      </c>
      <c r="W533" s="5" t="e">
        <f ca="1">IF(OR(INDEX($AI$2:$AI$1001,MATCH(ROWS($AH$2:AH533),$AH$2:$AH$1001,0),1)&gt;=100000,INDEX($AO$1005:$BQ$1005,1,MATCH(COLUMNS($AO$1006:BJ1006),$AO$1006:$BQ$1006,0))&gt;=100000), " ",IF(INDEX($AO$2:$BQ$1001,MATCH(ROWS($AH$2:AH533),$AH$2:$AH$1001,0),MATCH(COLUMNS($AO$1006:BJ1006),$AO$1006:$BQ$1006,0)), HYPERLINK("#",""), HYPERLINK(CONCATENATE("#Metadata!", ADDRESS(INDEX($AJ$2:$AJ$1001,MATCH(ROWS($AH$2:AH533),$AH$2:$AH$1001,0),0), INDEX($AO$1004:$BQ$1004,1,MATCH(COLUMNS($AO$1006:BJ1006),$AO$1006:$BQ$1006,0)))),"Fix")))</f>
        <v>#N/A</v>
      </c>
      <c r="X533" s="5" t="e">
        <f ca="1">IF(OR(INDEX($AI$2:$AI$1001,MATCH(ROWS($AH$2:AH533),$AH$2:$AH$1001,0),1)&gt;=100000,INDEX($AO$1005:$BQ$1005,1,MATCH(COLUMNS($AO$1006:BK1006),$AO$1006:$BQ$1006,0))&gt;=100000), " ",IF(INDEX($AO$2:$BQ$1001,MATCH(ROWS($AH$2:AH533),$AH$2:$AH$1001,0),MATCH(COLUMNS($AO$1006:BK1006),$AO$1006:$BQ$1006,0)), HYPERLINK("#",""), HYPERLINK(CONCATENATE("#Metadata!", ADDRESS(INDEX($AJ$2:$AJ$1001,MATCH(ROWS($AH$2:AH533),$AH$2:$AH$1001,0),0), INDEX($AO$1004:$BQ$1004,1,MATCH(COLUMNS($AO$1006:BK1006),$AO$1006:$BQ$1006,0)))),"Fix")))</f>
        <v>#N/A</v>
      </c>
      <c r="Y533" s="5" t="e">
        <f ca="1">IF(OR(INDEX($AI$2:$AI$1001,MATCH(ROWS($AH$2:AH533),$AH$2:$AH$1001,0),1)&gt;=100000,INDEX($AO$1005:$BQ$1005,1,MATCH(COLUMNS($AO$1006:BL1006),$AO$1006:$BQ$1006,0))&gt;=100000), " ",IF(INDEX($AO$2:$BQ$1001,MATCH(ROWS($AH$2:AH533),$AH$2:$AH$1001,0),MATCH(COLUMNS($AO$1006:BL1006),$AO$1006:$BQ$1006,0)), HYPERLINK("#",""), HYPERLINK(CONCATENATE("#Metadata!", ADDRESS(INDEX($AJ$2:$AJ$1001,MATCH(ROWS($AH$2:AH533),$AH$2:$AH$1001,0),0), INDEX($AO$1004:$BQ$1004,1,MATCH(COLUMNS($AO$1006:BL1006),$AO$1006:$BQ$1006,0)))),"Fix")))</f>
        <v>#N/A</v>
      </c>
      <c r="Z533" s="5" t="e">
        <f ca="1">IF(OR(INDEX($AI$2:$AI$1001,MATCH(ROWS($AH$2:AH533),$AH$2:$AH$1001,0),1)&gt;=100000,INDEX($AO$1005:$BQ$1005,1,MATCH(COLUMNS($AO$1006:BM1006),$AO$1006:$BQ$1006,0))&gt;=100000), " ",IF(INDEX($AO$2:$BQ$1001,MATCH(ROWS($AH$2:AH533),$AH$2:$AH$1001,0),MATCH(COLUMNS($AO$1006:BM1006),$AO$1006:$BQ$1006,0)), HYPERLINK("#",""), HYPERLINK(CONCATENATE("#Metadata!", ADDRESS(INDEX($AJ$2:$AJ$1001,MATCH(ROWS($AH$2:AH533),$AH$2:$AH$1001,0),0), INDEX($AO$1004:$BQ$1004,1,MATCH(COLUMNS($AO$1006:BM1006),$AO$1006:$BQ$1006,0)))),"Fix")))</f>
        <v>#N/A</v>
      </c>
      <c r="AA533" s="5" t="e">
        <f ca="1">IF(OR(INDEX($AI$2:$AI$1001,MATCH(ROWS($AH$2:AH533),$AH$2:$AH$1001,0),1)&gt;=100000,INDEX($AO$1005:$BQ$1005,1,MATCH(COLUMNS($AO$1006:BN1006),$AO$1006:$BQ$1006,0))&gt;=100000), " ",IF(INDEX($AO$2:$BQ$1001,MATCH(ROWS($AH$2:AH533),$AH$2:$AH$1001,0),MATCH(COLUMNS($AO$1006:BN1006),$AO$1006:$BQ$1006,0)), HYPERLINK("#",""), HYPERLINK(CONCATENATE("#Metadata!", ADDRESS(INDEX($AJ$2:$AJ$1001,MATCH(ROWS($AH$2:AH533),$AH$2:$AH$1001,0),0), INDEX($AO$1004:$BQ$1004,1,MATCH(COLUMNS($AO$1006:BN1006),$AO$1006:$BQ$1006,0)))),"Fix")))</f>
        <v>#N/A</v>
      </c>
      <c r="AB533" s="5" t="e">
        <f ca="1">IF(OR(INDEX($AI$2:$AI$1001,MATCH(ROWS($AH$2:AH533),$AH$2:$AH$1001,0),1)&gt;=100000,INDEX($AO$1005:$BQ$1005,1,MATCH(COLUMNS($AO$1006:BO1006),$AO$1006:$BQ$1006,0))&gt;=100000), " ",IF(INDEX($AO$2:$BQ$1001,MATCH(ROWS($AH$2:AH533),$AH$2:$AH$1001,0),MATCH(COLUMNS($AO$1006:BO1006),$AO$1006:$BQ$1006,0)), HYPERLINK("#",""), HYPERLINK(CONCATENATE("#Metadata!", ADDRESS(INDEX($AJ$2:$AJ$1001,MATCH(ROWS($AH$2:AH533),$AH$2:$AH$1001,0),0), INDEX($AO$1004:$BQ$1004,1,MATCH(COLUMNS($AO$1006:BO1006),$AO$1006:$BQ$1006,0)))),"Fix")))</f>
        <v>#N/A</v>
      </c>
      <c r="AC533" s="5" t="e">
        <f ca="1">IF(OR(INDEX($AI$2:$AI$1001,MATCH(ROWS($AH$2:AH533),$AH$2:$AH$1001,0),1)&gt;=100000,INDEX($AO$1005:$BQ$1005,1,MATCH(COLUMNS($AO$1006:BP1006),$AO$1006:$BQ$1006,0))&gt;=100000), " ",IF(INDEX($AO$2:$BQ$1001,MATCH(ROWS($AH$2:AH533),$AH$2:$AH$1001,0),MATCH(COLUMNS($AO$1006:BP1006),$AO$1006:$BQ$1006,0)), HYPERLINK("#",""), HYPERLINK(CONCATENATE("#Metadata!", ADDRESS(INDEX($AJ$2:$AJ$1001,MATCH(ROWS($AH$2:AH533),$AH$2:$AH$1001,0),0), INDEX($AO$1004:$BQ$1004,1,MATCH(COLUMNS($AO$1006:BP1006),$AO$1006:$BQ$1006,0)))),"Fix")))</f>
        <v>#N/A</v>
      </c>
      <c r="AD533" s="5" t="e">
        <f ca="1">IF(OR(INDEX($AI$2:$AI$1001,MATCH(ROWS($AH$2:AH533),$AH$2:$AH$1001,0),1)&gt;=100000,INDEX($AO$1005:$BQ$1005,1,MATCH(COLUMNS($AO$1006:BQ1006),$AO$1006:$BQ$1006,0))&gt;=100000), " ",IF(INDEX($AO$2:$BQ$1001,MATCH(ROWS($AH$2:AH533),$AH$2:$AH$1001,0),MATCH(COLUMNS($AO$1006:BQ1006),$AO$1006:$BQ$1006,0)), HYPERLINK("#",""), HYPERLINK(CONCATENATE("#Metadata!", ADDRESS(INDEX($AJ$2:$AJ$1001,MATCH(ROWS($AH$2:AH533),$AH$2:$AH$1001,0),0), INDEX($AO$1004:$BQ$1004,1,MATCH(COLUMNS($AO$1006:BQ1006),$AO$1006:$BQ$1006,0)))),"Fix")))</f>
        <v>#REF!</v>
      </c>
      <c r="AH533">
        <f ca="1"/>
        <v>530</v>
      </c>
      <c r="AI533">
        <v>100533</v>
      </c>
      <c r="AJ533">
        <v>533</v>
      </c>
      <c r="AK533" t="b">
        <f t="shared" si="8"/>
        <v>1</v>
      </c>
      <c r="AL533" t="b">
        <f>COUNTBLANK(Metadata!B533:AD533)=COLUMNS(Metadata!B533:AD533)</f>
        <v>1</v>
      </c>
      <c r="AM533" t="str">
        <v/>
      </c>
      <c r="AO533" t="b">
        <f ca="1">AND(IF(Metadata!B533="",FALSE,TRUE),COUNTIF(Metadata!B:B, Metadata!B533) = 1,NOT(ISERROR(SUMPRODUCT(SEARCH(MID(Metadata!B533,ROW(INDIRECT("1:"&amp;LEN(Metadata!B533))), 1),"0123456789abcdefghijklmnopqrstuvwxyzABCDEFGHIJKLMNOPQRSTUVWXYZ.")))))</f>
        <v>0</v>
      </c>
      <c r="AP533" t="b">
        <f>IF(Metadata!C533="",FALSE,TRUE)</f>
        <v>0</v>
      </c>
      <c r="AQ533" t="b">
        <f>IF(Metadata!D533="",FALSE,TRUE)</f>
        <v>0</v>
      </c>
      <c r="AR533" t="b">
        <f ca="1">OR(AND(IF(Metadata!E533="",FALSE,TRUE),OR(EXACT(Metadata!E533,"not collected"),EXACT(Metadata!E533,"not provided"),EXACT(Metadata!E533,"restricted access"))),AND(IF(Metadata!E533="",FALSE,TRUE),AND(AND(IFERROR(INT(LEFT(Metadata!E533,4))&gt;1900,FALSE),IFERROR(INT(LEFT(Metadata!E533,4))&lt;=YEAR(NOW()),FALSE)), OR(MID(Metadata!E533,5,1)="", AND(AND(MID(Metadata!E533,5,1)="-",IFERROR(INT(MID(Metadata!E533,6,1))&gt;=0,FALSE),IFERROR(INT(MID(Metadata!E533,6,1))&lt;=1,FALSE),NOT(MID(Metadata!E533,7,1)=""),IFERROR(INT(MID(Metadata!E533,6,2))&gt;=1,FALSE),IFERROR(INT(MID(Metadata!E533,6,2))&lt;=12,FALSE)), OR(MID(Metadata!E533,8,1)="", AND(AND(MID(Metadata!E533,8,1)="-",IFERROR(INT(MID(Metadata!E533,9,1))&gt;=0,FALSE),IFERROR(INT(MID(Metadata!E533,9,1))&lt;=3,FALSE),NOT(MID(Metadata!E533,10,1)=""),IFERROR(INT(MID(Metadata!E533,9,2))&gt;=1,FALSE),IFERROR(INT(MID(Metadata!E533,9,2))&lt;=31,FALSE)), OR(MID(Metadata!E533,11,1)="", AND(AND(MID(Metadata!E533,11,1)=" ",IFERROR(INT(MID(Metadata!E533,12,1))&gt;=0,FALSE),IFERROR(INT(MID(Metadata!E533,12,1))&lt;=2,FALSE),NOT(MID(Metadata!E533,13,1)=""),IFERROR(INT(MID(Metadata!E533,12,2))&gt;=0,FALSE),IFERROR(INT(MID(Metadata!E533,12,2))&lt;=23,FALSE)), OR(MID(Metadata!E533,14,1)="", AND(AND(MID(Metadata!E533,14,1)=":",IFERROR(INT(MID(Metadata!E533,15,1))&gt;=0,FALSE),IFERROR(INT(MID(Metadata!E533,15,1))&lt;=5,FALSE),NOT(MID(Metadata!E533,16,1)=""),IFERROR(INT(MID(Metadata!E533,15,2))&gt;=0,FALSE),IFERROR(INT(MID(Metadata!E533,15,2))&lt;=59,FALSE)), OR(MID(Metadata!E533,17,1)="", AND(AND(MID(Metadata!E533,17,1)=":",IFERROR(INT(MID(Metadata!E533,18,1))&gt;=0,FALSE),IFERROR(INT(MID(Metadata!E533,18,1))&lt;=5,FALSE),NOT(MID(Metadata!E533,19,1)=""),IFERROR(INT(MID(Metadata!E533,18,2))&gt;=0,FALSE),IFERROR(INT(MID(Metadata!E533,18,2))&lt;=59,FALSE)), LEN(Metadata!E533)&lt;=19)))))))))))))</f>
        <v>0</v>
      </c>
      <c r="AS533" t="b">
        <f>IF(Metadata!F533="",FALSE,TRUE)</f>
        <v>0</v>
      </c>
      <c r="AT533" t="b">
        <f>OR(AND(IF(Metadata!G533="",FALSE,TRUE),OR(EXACT(Metadata!G533,"not collected"),EXACT(Metadata!G533,"not provided"))),AND(IF(Metadata!G533="",FALSE,TRUE),OR(EXACT(Metadata!G533,"TRUE"),EXACT(Metadata!G533,"FALSE"))))</f>
        <v>0</v>
      </c>
      <c r="AU533" t="b">
        <f>OR(AND(IF(Metadata!H533="",FALSE,TRUE),OR(EXACT(Metadata!H533,"not collected"),EXACT(Metadata!H533,"not provided"),EXACT(Metadata!H533,"restricted access"))),AND(IF(Metadata!H533="",FALSE,ISNUMBER(VALUE(Metadata!H533))),Metadata!H533&gt;=-413))</f>
        <v>0</v>
      </c>
      <c r="AV533" t="b">
        <f>AND(IF(Metadata!I533="",FALSE,TRUE),EXACT(Metadata!I533,"meters"))</f>
        <v>0</v>
      </c>
      <c r="AW533" t="b">
        <f>AND(IF(Metadata!J533="",FALSE,TRUE),EXACT(Metadata!J533,"free-living"))</f>
        <v>0</v>
      </c>
      <c r="AX533" t="b">
        <f>AND(IF(Metadata!K533="",FALSE,TRUE),OR(EXACT(Metadata!K533,"saline"),EXACT(Metadata!K533,"non-saline")))</f>
        <v>0</v>
      </c>
      <c r="AY533" t="b">
        <f>AND(IF(Metadata!L533="",FALSE,TRUE),OR(EXACT(Metadata!L533,"sub-surface (non-saline)"),EXACT(Metadata!L533,"surface (non-saline)"),EXACT(Metadata!L533,"water (non-saline)"),EXACT(Metadata!L533,"soil (non-saline)"),EXACT(Metadata!L533,"aerosol (non-saline)"),EXACT(Metadata!L533,"sediment (non-saline)"),EXACT(Metadata!L533,"surface (saline)"),EXACT(Metadata!L533,"water (saline)"),EXACT(Metadata!L533,"hypersaline (saline)"),EXACT(Metadata!L533,"aerosol (saline)"),EXACT(Metadata!L533,"sediment (saline)")))</f>
        <v>0</v>
      </c>
      <c r="AZ533" t="b">
        <f>IF(Metadata!M533="",FALSE,TRUE)</f>
        <v>0</v>
      </c>
      <c r="BA533" t="b">
        <f>IF(Metadata!N533="",FALSE,TRUE)</f>
        <v>0</v>
      </c>
      <c r="BB533" t="b">
        <f>IF(Metadata!O533="",FALSE,TRUE)</f>
        <v>0</v>
      </c>
      <c r="BC533" t="b">
        <f>AND(IF(Metadata!P533="",FALSE,TRUE),OR(EXACT(Metadata!P533,"air"),EXACT(Metadata!P533,"microbial mat/biofilm"),EXACT(Metadata!P533,"misc environment"),EXACT(Metadata!P533,"sediment"),EXACT(Metadata!P533,"soil"),EXACT(Metadata!P533,"wastewater/sludge"),EXACT(Metadata!P533,"water")))</f>
        <v>0</v>
      </c>
      <c r="BD533" t="b">
        <f>IF(Metadata!Q533="",FALSE,TRUE)</f>
        <v>0</v>
      </c>
      <c r="BE533" t="b">
        <f>IF(Metadata!R533="",FALSE,TRUE)</f>
        <v>0</v>
      </c>
      <c r="BF533" t="b">
        <f>OR(AND(IF(Metadata!S533="",FALSE,TRUE),OR(EXACT(Metadata!S533,"not collected"),EXACT(Metadata!S533,"not provided"),EXACT(Metadata!S533,"restricted access"))),AND(IF(Metadata!S533="",FALSE,ISNUMBER(VALUE(Metadata!S533))),Metadata!S533&gt;=-90,Metadata!S533&lt;=90))</f>
        <v>0</v>
      </c>
      <c r="BG533" t="b">
        <f>AND(IF(Metadata!T533="",FALSE,TRUE),EXACT(Metadata!T533,"Decimal degrees"))</f>
        <v>0</v>
      </c>
      <c r="BH533" t="b">
        <f>OR(AND(IF(Metadata!U533="",FALSE,TRUE),OR(EXACT(Metadata!U533,"not applicable"),EXACT(Metadata!U533,"not collected"))),IF(Metadata!U533="",FALSE,TRUE))</f>
        <v>0</v>
      </c>
      <c r="BI533" t="b">
        <f>OR(AND(IF(Metadata!V533="",FALSE,TRUE),OR(EXACT(Metadata!V533,"not collected"),EXACT(Metadata!V533,"not provided"),EXACT(Metadata!V533,"restricted access"))),AND(IF(Metadata!V533="",FALSE,ISNUMBER(VALUE(Metadata!V533))),Metadata!V533&gt;=-180,Metadata!V533&lt;=180))</f>
        <v>0</v>
      </c>
      <c r="BJ533" t="b">
        <f>AND(IF(Metadata!W533="",FALSE,TRUE),EXACT(Metadata!W533,"Decimal degrees"))</f>
        <v>0</v>
      </c>
      <c r="BK533" t="b">
        <f>IF(Metadata!X533="",FALSE,TRUE)</f>
        <v>0</v>
      </c>
      <c r="BL533" t="b">
        <f>OR(AND(IF(Metadata!Y533="",FALSE,TRUE),OR(EXACT(Metadata!Y533,"not collected"),EXACT(Metadata!Y533,"not provided"),EXACT(Metadata!Y533,"restricted access"))),AND(IF(Metadata!Y533="",FALSE,TRUE),OR(EXACT(Metadata!Y533,"TRUE"),EXACT(Metadata!Y533,"FALSE"))))</f>
        <v>0</v>
      </c>
      <c r="BM533" t="b">
        <f>OR(AND(IF(Metadata!Z533="",FALSE,TRUE),EXACT(Metadata!Z533,"not applicable")),AND(IF(Metadata!Z533="",FALSE,TRUE),OR(EXACT(Metadata!Z533,"beer"),EXACT(Metadata!Z533,"cheese"),EXACT(Metadata!Z533,"fresh water"),EXACT(Metadata!Z533,"marine sediment"),EXACT(Metadata!Z533,"sea water"),EXACT(Metadata!Z533,"sediment"),EXACT(Metadata!Z533,"soil"),EXACT(Metadata!Z533,"waste water"))))</f>
        <v>0</v>
      </c>
      <c r="BN533" t="b">
        <f>AND(IF(Metadata!AA533="",FALSE,TRUE),EXACT(Metadata!AA533,"metagenome"))</f>
        <v>0</v>
      </c>
      <c r="BO533" t="b">
        <f>AND(IF(Metadata!AB533="",FALSE,TRUE),EXACT(Metadata!AB533,"256318"))</f>
        <v>0</v>
      </c>
      <c r="BP533" t="b">
        <f>IF(Metadata!AC533="",FALSE,TRUE)</f>
        <v>0</v>
      </c>
      <c r="BQ533" t="b">
        <f>IF(Metadata!AD533="",FALSE,TRUE)</f>
        <v>0</v>
      </c>
    </row>
    <row r="534" spans="1:69" x14ac:dyDescent="0.2">
      <c r="A534" s="4" t="e">
        <f ca="1">IF(B534=" "," ",HYPERLINK(CONCATENATE("#metadata!",ADDRESS(INDEX($AJ$2:$AJ$1001,MATCH(ROWS($AH$2:AH534),$AH$2:$AH$1001,0),0),2)),INDEX($AM$2:$AM$1001,MATCH(ROWS($AH$2:AH534),$AH$2:$AH$1001,0),0)))</f>
        <v>#N/A</v>
      </c>
      <c r="B534" s="5" t="e">
        <f ca="1">IF(OR(INDEX($AI$2:$AI$1001,MATCH(ROWS($AH$2:AH534),$AH$2:$AH$1001,0),1)&gt;=100000,INDEX($AO$1005:$BQ$1005,1,MATCH(COLUMNS($AO$1006:AO1006),$AO$1006:$BQ$1006,0))&gt;=100000), " ",IF(INDEX($AO$2:$BQ$1001,MATCH(ROWS($AH$2:AH534),$AH$2:$AH$1001,0),MATCH(COLUMNS($AO$1006:AO1006),$AO$1006:$BQ$1006,0)), HYPERLINK("#",""), HYPERLINK(CONCATENATE("#Metadata!", ADDRESS(INDEX($AJ$2:$AJ$1001,MATCH(ROWS($AH$2:AH534),$AH$2:$AH$1001,0),0), INDEX($AO$1004:$BQ$1004,1,MATCH(COLUMNS($AO$1006:AO1006),$AO$1006:$BQ$1006,0)))),"Fix")))</f>
        <v>#N/A</v>
      </c>
      <c r="C534" s="5" t="e">
        <f ca="1">IF(OR(INDEX($AI$2:$AI$1001,MATCH(ROWS($AH$2:AH534),$AH$2:$AH$1001,0),1)&gt;=100000,INDEX($AO$1005:$BQ$1005,1,MATCH(COLUMNS($AO$1006:AP1006),$AO$1006:$BQ$1006,0))&gt;=100000), " ",IF(INDEX($AO$2:$BQ$1001,MATCH(ROWS($AH$2:AH534),$AH$2:$AH$1001,0),MATCH(COLUMNS($AO$1006:AP1006),$AO$1006:$BQ$1006,0)), HYPERLINK("#",""), HYPERLINK(CONCATENATE("#Metadata!", ADDRESS(INDEX($AJ$2:$AJ$1001,MATCH(ROWS($AH$2:AH534),$AH$2:$AH$1001,0),0), INDEX($AO$1004:$BQ$1004,1,MATCH(COLUMNS($AO$1006:AP1006),$AO$1006:$BQ$1006,0)))),"Fix")))</f>
        <v>#N/A</v>
      </c>
      <c r="D534" s="5" t="e">
        <f ca="1">IF(OR(INDEX($AI$2:$AI$1001,MATCH(ROWS($AH$2:AH534),$AH$2:$AH$1001,0),1)&gt;=100000,INDEX($AO$1005:$BQ$1005,1,MATCH(COLUMNS($AO$1006:AQ1006),$AO$1006:$BQ$1006,0))&gt;=100000), " ",IF(INDEX($AO$2:$BQ$1001,MATCH(ROWS($AH$2:AH534),$AH$2:$AH$1001,0),MATCH(COLUMNS($AO$1006:AQ1006),$AO$1006:$BQ$1006,0)), HYPERLINK("#",""), HYPERLINK(CONCATENATE("#Metadata!", ADDRESS(INDEX($AJ$2:$AJ$1001,MATCH(ROWS($AH$2:AH534),$AH$2:$AH$1001,0),0), INDEX($AO$1004:$BQ$1004,1,MATCH(COLUMNS($AO$1006:AQ1006),$AO$1006:$BQ$1006,0)))),"Fix")))</f>
        <v>#N/A</v>
      </c>
      <c r="E534" s="5" t="e">
        <f ca="1">IF(OR(INDEX($AI$2:$AI$1001,MATCH(ROWS($AH$2:AH534),$AH$2:$AH$1001,0),1)&gt;=100000,INDEX($AO$1005:$BQ$1005,1,MATCH(COLUMNS($AO$1006:AR1006),$AO$1006:$BQ$1006,0))&gt;=100000), " ",IF(INDEX($AO$2:$BQ$1001,MATCH(ROWS($AH$2:AH534),$AH$2:$AH$1001,0),MATCH(COLUMNS($AO$1006:AR1006),$AO$1006:$BQ$1006,0)), HYPERLINK("#",""), HYPERLINK(CONCATENATE("#Metadata!", ADDRESS(INDEX($AJ$2:$AJ$1001,MATCH(ROWS($AH$2:AH534),$AH$2:$AH$1001,0),0), INDEX($AO$1004:$BQ$1004,1,MATCH(COLUMNS($AO$1006:AR1006),$AO$1006:$BQ$1006,0)))),"Fix")))</f>
        <v>#N/A</v>
      </c>
      <c r="F534" s="5" t="e">
        <f ca="1">IF(OR(INDEX($AI$2:$AI$1001,MATCH(ROWS($AH$2:AH534),$AH$2:$AH$1001,0),1)&gt;=100000,INDEX($AO$1005:$BQ$1005,1,MATCH(COLUMNS($AO$1006:AS1006),$AO$1006:$BQ$1006,0))&gt;=100000), " ",IF(INDEX($AO$2:$BQ$1001,MATCH(ROWS($AH$2:AH534),$AH$2:$AH$1001,0),MATCH(COLUMNS($AO$1006:AS1006),$AO$1006:$BQ$1006,0)), HYPERLINK("#",""), HYPERLINK(CONCATENATE("#Metadata!", ADDRESS(INDEX($AJ$2:$AJ$1001,MATCH(ROWS($AH$2:AH534),$AH$2:$AH$1001,0),0), INDEX($AO$1004:$BQ$1004,1,MATCH(COLUMNS($AO$1006:AS1006),$AO$1006:$BQ$1006,0)))),"Fix")))</f>
        <v>#N/A</v>
      </c>
      <c r="G534" s="5" t="e">
        <f ca="1">IF(OR(INDEX($AI$2:$AI$1001,MATCH(ROWS($AH$2:AH534),$AH$2:$AH$1001,0),1)&gt;=100000,INDEX($AO$1005:$BQ$1005,1,MATCH(COLUMNS($AO$1006:AT1006),$AO$1006:$BQ$1006,0))&gt;=100000), " ",IF(INDEX($AO$2:$BQ$1001,MATCH(ROWS($AH$2:AH534),$AH$2:$AH$1001,0),MATCH(COLUMNS($AO$1006:AT1006),$AO$1006:$BQ$1006,0)), HYPERLINK("#",""), HYPERLINK(CONCATENATE("#Metadata!", ADDRESS(INDEX($AJ$2:$AJ$1001,MATCH(ROWS($AH$2:AH534),$AH$2:$AH$1001,0),0), INDEX($AO$1004:$BQ$1004,1,MATCH(COLUMNS($AO$1006:AT1006),$AO$1006:$BQ$1006,0)))),"Fix")))</f>
        <v>#N/A</v>
      </c>
      <c r="H534" s="5" t="e">
        <f ca="1">IF(OR(INDEX($AI$2:$AI$1001,MATCH(ROWS($AH$2:AH534),$AH$2:$AH$1001,0),1)&gt;=100000,INDEX($AO$1005:$BQ$1005,1,MATCH(COLUMNS($AO$1006:AU1006),$AO$1006:$BQ$1006,0))&gt;=100000), " ",IF(INDEX($AO$2:$BQ$1001,MATCH(ROWS($AH$2:AH534),$AH$2:$AH$1001,0),MATCH(COLUMNS($AO$1006:AU1006),$AO$1006:$BQ$1006,0)), HYPERLINK("#",""), HYPERLINK(CONCATENATE("#Metadata!", ADDRESS(INDEX($AJ$2:$AJ$1001,MATCH(ROWS($AH$2:AH534),$AH$2:$AH$1001,0),0), INDEX($AO$1004:$BQ$1004,1,MATCH(COLUMNS($AO$1006:AU1006),$AO$1006:$BQ$1006,0)))),"Fix")))</f>
        <v>#N/A</v>
      </c>
      <c r="I534" s="5" t="e">
        <f ca="1">IF(OR(INDEX($AI$2:$AI$1001,MATCH(ROWS($AH$2:AH534),$AH$2:$AH$1001,0),1)&gt;=100000,INDEX($AO$1005:$BQ$1005,1,MATCH(COLUMNS($AO$1006:AV1006),$AO$1006:$BQ$1006,0))&gt;=100000), " ",IF(INDEX($AO$2:$BQ$1001,MATCH(ROWS($AH$2:AH534),$AH$2:$AH$1001,0),MATCH(COLUMNS($AO$1006:AV1006),$AO$1006:$BQ$1006,0)), HYPERLINK("#",""), HYPERLINK(CONCATENATE("#Metadata!", ADDRESS(INDEX($AJ$2:$AJ$1001,MATCH(ROWS($AH$2:AH534),$AH$2:$AH$1001,0),0), INDEX($AO$1004:$BQ$1004,1,MATCH(COLUMNS($AO$1006:AV1006),$AO$1006:$BQ$1006,0)))),"Fix")))</f>
        <v>#N/A</v>
      </c>
      <c r="J534" s="5" t="e">
        <f ca="1">IF(OR(INDEX($AI$2:$AI$1001,MATCH(ROWS($AH$2:AH534),$AH$2:$AH$1001,0),1)&gt;=100000,INDEX($AO$1005:$BQ$1005,1,MATCH(COLUMNS($AO$1006:AW1006),$AO$1006:$BQ$1006,0))&gt;=100000), " ",IF(INDEX($AO$2:$BQ$1001,MATCH(ROWS($AH$2:AH534),$AH$2:$AH$1001,0),MATCH(COLUMNS($AO$1006:AW1006),$AO$1006:$BQ$1006,0)), HYPERLINK("#",""), HYPERLINK(CONCATENATE("#Metadata!", ADDRESS(INDEX($AJ$2:$AJ$1001,MATCH(ROWS($AH$2:AH534),$AH$2:$AH$1001,0),0), INDEX($AO$1004:$BQ$1004,1,MATCH(COLUMNS($AO$1006:AW1006),$AO$1006:$BQ$1006,0)))),"Fix")))</f>
        <v>#N/A</v>
      </c>
      <c r="K534" s="5" t="e">
        <f ca="1">IF(OR(INDEX($AI$2:$AI$1001,MATCH(ROWS($AH$2:AH534),$AH$2:$AH$1001,0),1)&gt;=100000,INDEX($AO$1005:$BQ$1005,1,MATCH(COLUMNS($AO$1006:AX1006),$AO$1006:$BQ$1006,0))&gt;=100000), " ",IF(INDEX($AO$2:$BQ$1001,MATCH(ROWS($AH$2:AH534),$AH$2:$AH$1001,0),MATCH(COLUMNS($AO$1006:AX1006),$AO$1006:$BQ$1006,0)), HYPERLINK("#",""), HYPERLINK(CONCATENATE("#Metadata!", ADDRESS(INDEX($AJ$2:$AJ$1001,MATCH(ROWS($AH$2:AH534),$AH$2:$AH$1001,0),0), INDEX($AO$1004:$BQ$1004,1,MATCH(COLUMNS($AO$1006:AX1006),$AO$1006:$BQ$1006,0)))),"Fix")))</f>
        <v>#N/A</v>
      </c>
      <c r="L534" s="5" t="e">
        <f ca="1">IF(OR(INDEX($AI$2:$AI$1001,MATCH(ROWS($AH$2:AH534),$AH$2:$AH$1001,0),1)&gt;=100000,INDEX($AO$1005:$BQ$1005,1,MATCH(COLUMNS($AO$1006:AY1006),$AO$1006:$BQ$1006,0))&gt;=100000), " ",IF(INDEX($AO$2:$BQ$1001,MATCH(ROWS($AH$2:AH534),$AH$2:$AH$1001,0),MATCH(COLUMNS($AO$1006:AY1006),$AO$1006:$BQ$1006,0)), HYPERLINK("#",""), HYPERLINK(CONCATENATE("#Metadata!", ADDRESS(INDEX($AJ$2:$AJ$1001,MATCH(ROWS($AH$2:AH534),$AH$2:$AH$1001,0),0), INDEX($AO$1004:$BQ$1004,1,MATCH(COLUMNS($AO$1006:AY1006),$AO$1006:$BQ$1006,0)))),"Fix")))</f>
        <v>#N/A</v>
      </c>
      <c r="M534" s="5" t="e">
        <f ca="1">IF(OR(INDEX($AI$2:$AI$1001,MATCH(ROWS($AH$2:AH534),$AH$2:$AH$1001,0),1)&gt;=100000,INDEX($AO$1005:$BQ$1005,1,MATCH(COLUMNS($AO$1006:AZ1006),$AO$1006:$BQ$1006,0))&gt;=100000), " ",IF(INDEX($AO$2:$BQ$1001,MATCH(ROWS($AH$2:AH534),$AH$2:$AH$1001,0),MATCH(COLUMNS($AO$1006:AZ1006),$AO$1006:$BQ$1006,0)), HYPERLINK("#",""), HYPERLINK(CONCATENATE("#Metadata!", ADDRESS(INDEX($AJ$2:$AJ$1001,MATCH(ROWS($AH$2:AH534),$AH$2:$AH$1001,0),0), INDEX($AO$1004:$BQ$1004,1,MATCH(COLUMNS($AO$1006:AZ1006),$AO$1006:$BQ$1006,0)))),"Fix")))</f>
        <v>#N/A</v>
      </c>
      <c r="N534" s="5" t="e">
        <f ca="1">IF(OR(INDEX($AI$2:$AI$1001,MATCH(ROWS($AH$2:AH534),$AH$2:$AH$1001,0),1)&gt;=100000,INDEX($AO$1005:$BQ$1005,1,MATCH(COLUMNS($AO$1006:BA1006),$AO$1006:$BQ$1006,0))&gt;=100000), " ",IF(INDEX($AO$2:$BQ$1001,MATCH(ROWS($AH$2:AH534),$AH$2:$AH$1001,0),MATCH(COLUMNS($AO$1006:BA1006),$AO$1006:$BQ$1006,0)), HYPERLINK("#",""), HYPERLINK(CONCATENATE("#Metadata!", ADDRESS(INDEX($AJ$2:$AJ$1001,MATCH(ROWS($AH$2:AH534),$AH$2:$AH$1001,0),0), INDEX($AO$1004:$BQ$1004,1,MATCH(COLUMNS($AO$1006:BA1006),$AO$1006:$BQ$1006,0)))),"Fix")))</f>
        <v>#N/A</v>
      </c>
      <c r="O534" s="5" t="e">
        <f ca="1">IF(OR(INDEX($AI$2:$AI$1001,MATCH(ROWS($AH$2:AH534),$AH$2:$AH$1001,0),1)&gt;=100000,INDEX($AO$1005:$BQ$1005,1,MATCH(COLUMNS($AO$1006:BB1006),$AO$1006:$BQ$1006,0))&gt;=100000), " ",IF(INDEX($AO$2:$BQ$1001,MATCH(ROWS($AH$2:AH534),$AH$2:$AH$1001,0),MATCH(COLUMNS($AO$1006:BB1006),$AO$1006:$BQ$1006,0)), HYPERLINK("#",""), HYPERLINK(CONCATENATE("#Metadata!", ADDRESS(INDEX($AJ$2:$AJ$1001,MATCH(ROWS($AH$2:AH534),$AH$2:$AH$1001,0),0), INDEX($AO$1004:$BQ$1004,1,MATCH(COLUMNS($AO$1006:BB1006),$AO$1006:$BQ$1006,0)))),"Fix")))</f>
        <v>#N/A</v>
      </c>
      <c r="P534" s="5" t="e">
        <f ca="1">IF(OR(INDEX($AI$2:$AI$1001,MATCH(ROWS($AH$2:AH534),$AH$2:$AH$1001,0),1)&gt;=100000,INDEX($AO$1005:$BQ$1005,1,MATCH(COLUMNS($AO$1006:BC1006),$AO$1006:$BQ$1006,0))&gt;=100000), " ",IF(INDEX($AO$2:$BQ$1001,MATCH(ROWS($AH$2:AH534),$AH$2:$AH$1001,0),MATCH(COLUMNS($AO$1006:BC1006),$AO$1006:$BQ$1006,0)), HYPERLINK("#",""), HYPERLINK(CONCATENATE("#Metadata!", ADDRESS(INDEX($AJ$2:$AJ$1001,MATCH(ROWS($AH$2:AH534),$AH$2:$AH$1001,0),0), INDEX($AO$1004:$BQ$1004,1,MATCH(COLUMNS($AO$1006:BC1006),$AO$1006:$BQ$1006,0)))),"Fix")))</f>
        <v>#N/A</v>
      </c>
      <c r="Q534" s="5" t="e">
        <f ca="1">IF(OR(INDEX($AI$2:$AI$1001,MATCH(ROWS($AH$2:AH534),$AH$2:$AH$1001,0),1)&gt;=100000,INDEX($AO$1005:$BQ$1005,1,MATCH(COLUMNS($AO$1006:BD1006),$AO$1006:$BQ$1006,0))&gt;=100000), " ",IF(INDEX($AO$2:$BQ$1001,MATCH(ROWS($AH$2:AH534),$AH$2:$AH$1001,0),MATCH(COLUMNS($AO$1006:BD1006),$AO$1006:$BQ$1006,0)), HYPERLINK("#",""), HYPERLINK(CONCATENATE("#Metadata!", ADDRESS(INDEX($AJ$2:$AJ$1001,MATCH(ROWS($AH$2:AH534),$AH$2:$AH$1001,0),0), INDEX($AO$1004:$BQ$1004,1,MATCH(COLUMNS($AO$1006:BD1006),$AO$1006:$BQ$1006,0)))),"Fix")))</f>
        <v>#N/A</v>
      </c>
      <c r="R534" s="5" t="e">
        <f ca="1">IF(OR(INDEX($AI$2:$AI$1001,MATCH(ROWS($AH$2:AH534),$AH$2:$AH$1001,0),1)&gt;=100000,INDEX($AO$1005:$BQ$1005,1,MATCH(COLUMNS($AO$1006:BE1006),$AO$1006:$BQ$1006,0))&gt;=100000), " ",IF(INDEX($AO$2:$BQ$1001,MATCH(ROWS($AH$2:AH534),$AH$2:$AH$1001,0),MATCH(COLUMNS($AO$1006:BE1006),$AO$1006:$BQ$1006,0)), HYPERLINK("#",""), HYPERLINK(CONCATENATE("#Metadata!", ADDRESS(INDEX($AJ$2:$AJ$1001,MATCH(ROWS($AH$2:AH534),$AH$2:$AH$1001,0),0), INDEX($AO$1004:$BQ$1004,1,MATCH(COLUMNS($AO$1006:BE1006),$AO$1006:$BQ$1006,0)))),"Fix")))</f>
        <v>#N/A</v>
      </c>
      <c r="S534" s="5" t="e">
        <f ca="1">IF(OR(INDEX($AI$2:$AI$1001,MATCH(ROWS($AH$2:AH534),$AH$2:$AH$1001,0),1)&gt;=100000,INDEX($AO$1005:$BQ$1005,1,MATCH(COLUMNS($AO$1006:BF1006),$AO$1006:$BQ$1006,0))&gt;=100000), " ",IF(INDEX($AO$2:$BQ$1001,MATCH(ROWS($AH$2:AH534),$AH$2:$AH$1001,0),MATCH(COLUMNS($AO$1006:BF1006),$AO$1006:$BQ$1006,0)), HYPERLINK("#",""), HYPERLINK(CONCATENATE("#Metadata!", ADDRESS(INDEX($AJ$2:$AJ$1001,MATCH(ROWS($AH$2:AH534),$AH$2:$AH$1001,0),0), INDEX($AO$1004:$BQ$1004,1,MATCH(COLUMNS($AO$1006:BF1006),$AO$1006:$BQ$1006,0)))),"Fix")))</f>
        <v>#N/A</v>
      </c>
      <c r="T534" s="5" t="e">
        <f ca="1">IF(OR(INDEX($AI$2:$AI$1001,MATCH(ROWS($AH$2:AH534),$AH$2:$AH$1001,0),1)&gt;=100000,INDEX($AO$1005:$BQ$1005,1,MATCH(COLUMNS($AO$1006:BG1006),$AO$1006:$BQ$1006,0))&gt;=100000), " ",IF(INDEX($AO$2:$BQ$1001,MATCH(ROWS($AH$2:AH534),$AH$2:$AH$1001,0),MATCH(COLUMNS($AO$1006:BG1006),$AO$1006:$BQ$1006,0)), HYPERLINK("#",""), HYPERLINK(CONCATENATE("#Metadata!", ADDRESS(INDEX($AJ$2:$AJ$1001,MATCH(ROWS($AH$2:AH534),$AH$2:$AH$1001,0),0), INDEX($AO$1004:$BQ$1004,1,MATCH(COLUMNS($AO$1006:BG1006),$AO$1006:$BQ$1006,0)))),"Fix")))</f>
        <v>#N/A</v>
      </c>
      <c r="U534" s="5" t="e">
        <f ca="1">IF(OR(INDEX($AI$2:$AI$1001,MATCH(ROWS($AH$2:AH534),$AH$2:$AH$1001,0),1)&gt;=100000,INDEX($AO$1005:$BQ$1005,1,MATCH(COLUMNS($AO$1006:BH1006),$AO$1006:$BQ$1006,0))&gt;=100000), " ",IF(INDEX($AO$2:$BQ$1001,MATCH(ROWS($AH$2:AH534),$AH$2:$AH$1001,0),MATCH(COLUMNS($AO$1006:BH1006),$AO$1006:$BQ$1006,0)), HYPERLINK("#",""), HYPERLINK(CONCATENATE("#Metadata!", ADDRESS(INDEX($AJ$2:$AJ$1001,MATCH(ROWS($AH$2:AH534),$AH$2:$AH$1001,0),0), INDEX($AO$1004:$BQ$1004,1,MATCH(COLUMNS($AO$1006:BH1006),$AO$1006:$BQ$1006,0)))),"Fix")))</f>
        <v>#N/A</v>
      </c>
      <c r="V534" s="5" t="e">
        <f ca="1">IF(OR(INDEX($AI$2:$AI$1001,MATCH(ROWS($AH$2:AH534),$AH$2:$AH$1001,0),1)&gt;=100000,INDEX($AO$1005:$BQ$1005,1,MATCH(COLUMNS($AO$1006:BI1006),$AO$1006:$BQ$1006,0))&gt;=100000), " ",IF(INDEX($AO$2:$BQ$1001,MATCH(ROWS($AH$2:AH534),$AH$2:$AH$1001,0),MATCH(COLUMNS($AO$1006:BI1006),$AO$1006:$BQ$1006,0)), HYPERLINK("#",""), HYPERLINK(CONCATENATE("#Metadata!", ADDRESS(INDEX($AJ$2:$AJ$1001,MATCH(ROWS($AH$2:AH534),$AH$2:$AH$1001,0),0), INDEX($AO$1004:$BQ$1004,1,MATCH(COLUMNS($AO$1006:BI1006),$AO$1006:$BQ$1006,0)))),"Fix")))</f>
        <v>#N/A</v>
      </c>
      <c r="W534" s="5" t="e">
        <f ca="1">IF(OR(INDEX($AI$2:$AI$1001,MATCH(ROWS($AH$2:AH534),$AH$2:$AH$1001,0),1)&gt;=100000,INDEX($AO$1005:$BQ$1005,1,MATCH(COLUMNS($AO$1006:BJ1006),$AO$1006:$BQ$1006,0))&gt;=100000), " ",IF(INDEX($AO$2:$BQ$1001,MATCH(ROWS($AH$2:AH534),$AH$2:$AH$1001,0),MATCH(COLUMNS($AO$1006:BJ1006),$AO$1006:$BQ$1006,0)), HYPERLINK("#",""), HYPERLINK(CONCATENATE("#Metadata!", ADDRESS(INDEX($AJ$2:$AJ$1001,MATCH(ROWS($AH$2:AH534),$AH$2:$AH$1001,0),0), INDEX($AO$1004:$BQ$1004,1,MATCH(COLUMNS($AO$1006:BJ1006),$AO$1006:$BQ$1006,0)))),"Fix")))</f>
        <v>#N/A</v>
      </c>
      <c r="X534" s="5" t="e">
        <f ca="1">IF(OR(INDEX($AI$2:$AI$1001,MATCH(ROWS($AH$2:AH534),$AH$2:$AH$1001,0),1)&gt;=100000,INDEX($AO$1005:$BQ$1005,1,MATCH(COLUMNS($AO$1006:BK1006),$AO$1006:$BQ$1006,0))&gt;=100000), " ",IF(INDEX($AO$2:$BQ$1001,MATCH(ROWS($AH$2:AH534),$AH$2:$AH$1001,0),MATCH(COLUMNS($AO$1006:BK1006),$AO$1006:$BQ$1006,0)), HYPERLINK("#",""), HYPERLINK(CONCATENATE("#Metadata!", ADDRESS(INDEX($AJ$2:$AJ$1001,MATCH(ROWS($AH$2:AH534),$AH$2:$AH$1001,0),0), INDEX($AO$1004:$BQ$1004,1,MATCH(COLUMNS($AO$1006:BK1006),$AO$1006:$BQ$1006,0)))),"Fix")))</f>
        <v>#N/A</v>
      </c>
      <c r="Y534" s="5" t="e">
        <f ca="1">IF(OR(INDEX($AI$2:$AI$1001,MATCH(ROWS($AH$2:AH534),$AH$2:$AH$1001,0),1)&gt;=100000,INDEX($AO$1005:$BQ$1005,1,MATCH(COLUMNS($AO$1006:BL1006),$AO$1006:$BQ$1006,0))&gt;=100000), " ",IF(INDEX($AO$2:$BQ$1001,MATCH(ROWS($AH$2:AH534),$AH$2:$AH$1001,0),MATCH(COLUMNS($AO$1006:BL1006),$AO$1006:$BQ$1006,0)), HYPERLINK("#",""), HYPERLINK(CONCATENATE("#Metadata!", ADDRESS(INDEX($AJ$2:$AJ$1001,MATCH(ROWS($AH$2:AH534),$AH$2:$AH$1001,0),0), INDEX($AO$1004:$BQ$1004,1,MATCH(COLUMNS($AO$1006:BL1006),$AO$1006:$BQ$1006,0)))),"Fix")))</f>
        <v>#N/A</v>
      </c>
      <c r="Z534" s="5" t="e">
        <f ca="1">IF(OR(INDEX($AI$2:$AI$1001,MATCH(ROWS($AH$2:AH534),$AH$2:$AH$1001,0),1)&gt;=100000,INDEX($AO$1005:$BQ$1005,1,MATCH(COLUMNS($AO$1006:BM1006),$AO$1006:$BQ$1006,0))&gt;=100000), " ",IF(INDEX($AO$2:$BQ$1001,MATCH(ROWS($AH$2:AH534),$AH$2:$AH$1001,0),MATCH(COLUMNS($AO$1006:BM1006),$AO$1006:$BQ$1006,0)), HYPERLINK("#",""), HYPERLINK(CONCATENATE("#Metadata!", ADDRESS(INDEX($AJ$2:$AJ$1001,MATCH(ROWS($AH$2:AH534),$AH$2:$AH$1001,0),0), INDEX($AO$1004:$BQ$1004,1,MATCH(COLUMNS($AO$1006:BM1006),$AO$1006:$BQ$1006,0)))),"Fix")))</f>
        <v>#N/A</v>
      </c>
      <c r="AA534" s="5" t="e">
        <f ca="1">IF(OR(INDEX($AI$2:$AI$1001,MATCH(ROWS($AH$2:AH534),$AH$2:$AH$1001,0),1)&gt;=100000,INDEX($AO$1005:$BQ$1005,1,MATCH(COLUMNS($AO$1006:BN1006),$AO$1006:$BQ$1006,0))&gt;=100000), " ",IF(INDEX($AO$2:$BQ$1001,MATCH(ROWS($AH$2:AH534),$AH$2:$AH$1001,0),MATCH(COLUMNS($AO$1006:BN1006),$AO$1006:$BQ$1006,0)), HYPERLINK("#",""), HYPERLINK(CONCATENATE("#Metadata!", ADDRESS(INDEX($AJ$2:$AJ$1001,MATCH(ROWS($AH$2:AH534),$AH$2:$AH$1001,0),0), INDEX($AO$1004:$BQ$1004,1,MATCH(COLUMNS($AO$1006:BN1006),$AO$1006:$BQ$1006,0)))),"Fix")))</f>
        <v>#N/A</v>
      </c>
      <c r="AB534" s="5" t="e">
        <f ca="1">IF(OR(INDEX($AI$2:$AI$1001,MATCH(ROWS($AH$2:AH534),$AH$2:$AH$1001,0),1)&gt;=100000,INDEX($AO$1005:$BQ$1005,1,MATCH(COLUMNS($AO$1006:BO1006),$AO$1006:$BQ$1006,0))&gt;=100000), " ",IF(INDEX($AO$2:$BQ$1001,MATCH(ROWS($AH$2:AH534),$AH$2:$AH$1001,0),MATCH(COLUMNS($AO$1006:BO1006),$AO$1006:$BQ$1006,0)), HYPERLINK("#",""), HYPERLINK(CONCATENATE("#Metadata!", ADDRESS(INDEX($AJ$2:$AJ$1001,MATCH(ROWS($AH$2:AH534),$AH$2:$AH$1001,0),0), INDEX($AO$1004:$BQ$1004,1,MATCH(COLUMNS($AO$1006:BO1006),$AO$1006:$BQ$1006,0)))),"Fix")))</f>
        <v>#N/A</v>
      </c>
      <c r="AC534" s="5" t="e">
        <f ca="1">IF(OR(INDEX($AI$2:$AI$1001,MATCH(ROWS($AH$2:AH534),$AH$2:$AH$1001,0),1)&gt;=100000,INDEX($AO$1005:$BQ$1005,1,MATCH(COLUMNS($AO$1006:BP1006),$AO$1006:$BQ$1006,0))&gt;=100000), " ",IF(INDEX($AO$2:$BQ$1001,MATCH(ROWS($AH$2:AH534),$AH$2:$AH$1001,0),MATCH(COLUMNS($AO$1006:BP1006),$AO$1006:$BQ$1006,0)), HYPERLINK("#",""), HYPERLINK(CONCATENATE("#Metadata!", ADDRESS(INDEX($AJ$2:$AJ$1001,MATCH(ROWS($AH$2:AH534),$AH$2:$AH$1001,0),0), INDEX($AO$1004:$BQ$1004,1,MATCH(COLUMNS($AO$1006:BP1006),$AO$1006:$BQ$1006,0)))),"Fix")))</f>
        <v>#N/A</v>
      </c>
      <c r="AD534" s="5" t="e">
        <f ca="1">IF(OR(INDEX($AI$2:$AI$1001,MATCH(ROWS($AH$2:AH534),$AH$2:$AH$1001,0),1)&gt;=100000,INDEX($AO$1005:$BQ$1005,1,MATCH(COLUMNS($AO$1006:BQ1006),$AO$1006:$BQ$1006,0))&gt;=100000), " ",IF(INDEX($AO$2:$BQ$1001,MATCH(ROWS($AH$2:AH534),$AH$2:$AH$1001,0),MATCH(COLUMNS($AO$1006:BQ1006),$AO$1006:$BQ$1006,0)), HYPERLINK("#",""), HYPERLINK(CONCATENATE("#Metadata!", ADDRESS(INDEX($AJ$2:$AJ$1001,MATCH(ROWS($AH$2:AH534),$AH$2:$AH$1001,0),0), INDEX($AO$1004:$BQ$1004,1,MATCH(COLUMNS($AO$1006:BQ1006),$AO$1006:$BQ$1006,0)))),"Fix")))</f>
        <v>#REF!</v>
      </c>
      <c r="AH534">
        <f ca="1"/>
        <v>531</v>
      </c>
      <c r="AI534">
        <v>100534</v>
      </c>
      <c r="AJ534">
        <v>534</v>
      </c>
      <c r="AK534" t="b">
        <f t="shared" si="8"/>
        <v>1</v>
      </c>
      <c r="AL534" t="b">
        <f>COUNTBLANK(Metadata!B534:AD534)=COLUMNS(Metadata!B534:AD534)</f>
        <v>1</v>
      </c>
      <c r="AM534" t="str">
        <v/>
      </c>
      <c r="AO534" t="b">
        <f ca="1">AND(IF(Metadata!B534="",FALSE,TRUE),COUNTIF(Metadata!B:B, Metadata!B534) = 1,NOT(ISERROR(SUMPRODUCT(SEARCH(MID(Metadata!B534,ROW(INDIRECT("1:"&amp;LEN(Metadata!B534))), 1),"0123456789abcdefghijklmnopqrstuvwxyzABCDEFGHIJKLMNOPQRSTUVWXYZ.")))))</f>
        <v>0</v>
      </c>
      <c r="AP534" t="b">
        <f>IF(Metadata!C534="",FALSE,TRUE)</f>
        <v>0</v>
      </c>
      <c r="AQ534" t="b">
        <f>IF(Metadata!D534="",FALSE,TRUE)</f>
        <v>0</v>
      </c>
      <c r="AR534" t="b">
        <f ca="1">OR(AND(IF(Metadata!E534="",FALSE,TRUE),OR(EXACT(Metadata!E534,"not collected"),EXACT(Metadata!E534,"not provided"),EXACT(Metadata!E534,"restricted access"))),AND(IF(Metadata!E534="",FALSE,TRUE),AND(AND(IFERROR(INT(LEFT(Metadata!E534,4))&gt;1900,FALSE),IFERROR(INT(LEFT(Metadata!E534,4))&lt;=YEAR(NOW()),FALSE)), OR(MID(Metadata!E534,5,1)="", AND(AND(MID(Metadata!E534,5,1)="-",IFERROR(INT(MID(Metadata!E534,6,1))&gt;=0,FALSE),IFERROR(INT(MID(Metadata!E534,6,1))&lt;=1,FALSE),NOT(MID(Metadata!E534,7,1)=""),IFERROR(INT(MID(Metadata!E534,6,2))&gt;=1,FALSE),IFERROR(INT(MID(Metadata!E534,6,2))&lt;=12,FALSE)), OR(MID(Metadata!E534,8,1)="", AND(AND(MID(Metadata!E534,8,1)="-",IFERROR(INT(MID(Metadata!E534,9,1))&gt;=0,FALSE),IFERROR(INT(MID(Metadata!E534,9,1))&lt;=3,FALSE),NOT(MID(Metadata!E534,10,1)=""),IFERROR(INT(MID(Metadata!E534,9,2))&gt;=1,FALSE),IFERROR(INT(MID(Metadata!E534,9,2))&lt;=31,FALSE)), OR(MID(Metadata!E534,11,1)="", AND(AND(MID(Metadata!E534,11,1)=" ",IFERROR(INT(MID(Metadata!E534,12,1))&gt;=0,FALSE),IFERROR(INT(MID(Metadata!E534,12,1))&lt;=2,FALSE),NOT(MID(Metadata!E534,13,1)=""),IFERROR(INT(MID(Metadata!E534,12,2))&gt;=0,FALSE),IFERROR(INT(MID(Metadata!E534,12,2))&lt;=23,FALSE)), OR(MID(Metadata!E534,14,1)="", AND(AND(MID(Metadata!E534,14,1)=":",IFERROR(INT(MID(Metadata!E534,15,1))&gt;=0,FALSE),IFERROR(INT(MID(Metadata!E534,15,1))&lt;=5,FALSE),NOT(MID(Metadata!E534,16,1)=""),IFERROR(INT(MID(Metadata!E534,15,2))&gt;=0,FALSE),IFERROR(INT(MID(Metadata!E534,15,2))&lt;=59,FALSE)), OR(MID(Metadata!E534,17,1)="", AND(AND(MID(Metadata!E534,17,1)=":",IFERROR(INT(MID(Metadata!E534,18,1))&gt;=0,FALSE),IFERROR(INT(MID(Metadata!E534,18,1))&lt;=5,FALSE),NOT(MID(Metadata!E534,19,1)=""),IFERROR(INT(MID(Metadata!E534,18,2))&gt;=0,FALSE),IFERROR(INT(MID(Metadata!E534,18,2))&lt;=59,FALSE)), LEN(Metadata!E534)&lt;=19)))))))))))))</f>
        <v>0</v>
      </c>
      <c r="AS534" t="b">
        <f>IF(Metadata!F534="",FALSE,TRUE)</f>
        <v>0</v>
      </c>
      <c r="AT534" t="b">
        <f>OR(AND(IF(Metadata!G534="",FALSE,TRUE),OR(EXACT(Metadata!G534,"not collected"),EXACT(Metadata!G534,"not provided"))),AND(IF(Metadata!G534="",FALSE,TRUE),OR(EXACT(Metadata!G534,"TRUE"),EXACT(Metadata!G534,"FALSE"))))</f>
        <v>0</v>
      </c>
      <c r="AU534" t="b">
        <f>OR(AND(IF(Metadata!H534="",FALSE,TRUE),OR(EXACT(Metadata!H534,"not collected"),EXACT(Metadata!H534,"not provided"),EXACT(Metadata!H534,"restricted access"))),AND(IF(Metadata!H534="",FALSE,ISNUMBER(VALUE(Metadata!H534))),Metadata!H534&gt;=-413))</f>
        <v>0</v>
      </c>
      <c r="AV534" t="b">
        <f>AND(IF(Metadata!I534="",FALSE,TRUE),EXACT(Metadata!I534,"meters"))</f>
        <v>0</v>
      </c>
      <c r="AW534" t="b">
        <f>AND(IF(Metadata!J534="",FALSE,TRUE),EXACT(Metadata!J534,"free-living"))</f>
        <v>0</v>
      </c>
      <c r="AX534" t="b">
        <f>AND(IF(Metadata!K534="",FALSE,TRUE),OR(EXACT(Metadata!K534,"saline"),EXACT(Metadata!K534,"non-saline")))</f>
        <v>0</v>
      </c>
      <c r="AY534" t="b">
        <f>AND(IF(Metadata!L534="",FALSE,TRUE),OR(EXACT(Metadata!L534,"sub-surface (non-saline)"),EXACT(Metadata!L534,"surface (non-saline)"),EXACT(Metadata!L534,"water (non-saline)"),EXACT(Metadata!L534,"soil (non-saline)"),EXACT(Metadata!L534,"aerosol (non-saline)"),EXACT(Metadata!L534,"sediment (non-saline)"),EXACT(Metadata!L534,"surface (saline)"),EXACT(Metadata!L534,"water (saline)"),EXACT(Metadata!L534,"hypersaline (saline)"),EXACT(Metadata!L534,"aerosol (saline)"),EXACT(Metadata!L534,"sediment (saline)")))</f>
        <v>0</v>
      </c>
      <c r="AZ534" t="b">
        <f>IF(Metadata!M534="",FALSE,TRUE)</f>
        <v>0</v>
      </c>
      <c r="BA534" t="b">
        <f>IF(Metadata!N534="",FALSE,TRUE)</f>
        <v>0</v>
      </c>
      <c r="BB534" t="b">
        <f>IF(Metadata!O534="",FALSE,TRUE)</f>
        <v>0</v>
      </c>
      <c r="BC534" t="b">
        <f>AND(IF(Metadata!P534="",FALSE,TRUE),OR(EXACT(Metadata!P534,"air"),EXACT(Metadata!P534,"microbial mat/biofilm"),EXACT(Metadata!P534,"misc environment"),EXACT(Metadata!P534,"sediment"),EXACT(Metadata!P534,"soil"),EXACT(Metadata!P534,"wastewater/sludge"),EXACT(Metadata!P534,"water")))</f>
        <v>0</v>
      </c>
      <c r="BD534" t="b">
        <f>IF(Metadata!Q534="",FALSE,TRUE)</f>
        <v>0</v>
      </c>
      <c r="BE534" t="b">
        <f>IF(Metadata!R534="",FALSE,TRUE)</f>
        <v>0</v>
      </c>
      <c r="BF534" t="b">
        <f>OR(AND(IF(Metadata!S534="",FALSE,TRUE),OR(EXACT(Metadata!S534,"not collected"),EXACT(Metadata!S534,"not provided"),EXACT(Metadata!S534,"restricted access"))),AND(IF(Metadata!S534="",FALSE,ISNUMBER(VALUE(Metadata!S534))),Metadata!S534&gt;=-90,Metadata!S534&lt;=90))</f>
        <v>0</v>
      </c>
      <c r="BG534" t="b">
        <f>AND(IF(Metadata!T534="",FALSE,TRUE),EXACT(Metadata!T534,"Decimal degrees"))</f>
        <v>0</v>
      </c>
      <c r="BH534" t="b">
        <f>OR(AND(IF(Metadata!U534="",FALSE,TRUE),OR(EXACT(Metadata!U534,"not applicable"),EXACT(Metadata!U534,"not collected"))),IF(Metadata!U534="",FALSE,TRUE))</f>
        <v>0</v>
      </c>
      <c r="BI534" t="b">
        <f>OR(AND(IF(Metadata!V534="",FALSE,TRUE),OR(EXACT(Metadata!V534,"not collected"),EXACT(Metadata!V534,"not provided"),EXACT(Metadata!V534,"restricted access"))),AND(IF(Metadata!V534="",FALSE,ISNUMBER(VALUE(Metadata!V534))),Metadata!V534&gt;=-180,Metadata!V534&lt;=180))</f>
        <v>0</v>
      </c>
      <c r="BJ534" t="b">
        <f>AND(IF(Metadata!W534="",FALSE,TRUE),EXACT(Metadata!W534,"Decimal degrees"))</f>
        <v>0</v>
      </c>
      <c r="BK534" t="b">
        <f>IF(Metadata!X534="",FALSE,TRUE)</f>
        <v>0</v>
      </c>
      <c r="BL534" t="b">
        <f>OR(AND(IF(Metadata!Y534="",FALSE,TRUE),OR(EXACT(Metadata!Y534,"not collected"),EXACT(Metadata!Y534,"not provided"),EXACT(Metadata!Y534,"restricted access"))),AND(IF(Metadata!Y534="",FALSE,TRUE),OR(EXACT(Metadata!Y534,"TRUE"),EXACT(Metadata!Y534,"FALSE"))))</f>
        <v>0</v>
      </c>
      <c r="BM534" t="b">
        <f>OR(AND(IF(Metadata!Z534="",FALSE,TRUE),EXACT(Metadata!Z534,"not applicable")),AND(IF(Metadata!Z534="",FALSE,TRUE),OR(EXACT(Metadata!Z534,"beer"),EXACT(Metadata!Z534,"cheese"),EXACT(Metadata!Z534,"fresh water"),EXACT(Metadata!Z534,"marine sediment"),EXACT(Metadata!Z534,"sea water"),EXACT(Metadata!Z534,"sediment"),EXACT(Metadata!Z534,"soil"),EXACT(Metadata!Z534,"waste water"))))</f>
        <v>0</v>
      </c>
      <c r="BN534" t="b">
        <f>AND(IF(Metadata!AA534="",FALSE,TRUE),EXACT(Metadata!AA534,"metagenome"))</f>
        <v>0</v>
      </c>
      <c r="BO534" t="b">
        <f>AND(IF(Metadata!AB534="",FALSE,TRUE),EXACT(Metadata!AB534,"256318"))</f>
        <v>0</v>
      </c>
      <c r="BP534" t="b">
        <f>IF(Metadata!AC534="",FALSE,TRUE)</f>
        <v>0</v>
      </c>
      <c r="BQ534" t="b">
        <f>IF(Metadata!AD534="",FALSE,TRUE)</f>
        <v>0</v>
      </c>
    </row>
    <row r="535" spans="1:69" x14ac:dyDescent="0.2">
      <c r="A535" s="4" t="e">
        <f ca="1">IF(B535=" "," ",HYPERLINK(CONCATENATE("#metadata!",ADDRESS(INDEX($AJ$2:$AJ$1001,MATCH(ROWS($AH$2:AH535),$AH$2:$AH$1001,0),0),2)),INDEX($AM$2:$AM$1001,MATCH(ROWS($AH$2:AH535),$AH$2:$AH$1001,0),0)))</f>
        <v>#N/A</v>
      </c>
      <c r="B535" s="5" t="e">
        <f ca="1">IF(OR(INDEX($AI$2:$AI$1001,MATCH(ROWS($AH$2:AH535),$AH$2:$AH$1001,0),1)&gt;=100000,INDEX($AO$1005:$BQ$1005,1,MATCH(COLUMNS($AO$1006:AO1006),$AO$1006:$BQ$1006,0))&gt;=100000), " ",IF(INDEX($AO$2:$BQ$1001,MATCH(ROWS($AH$2:AH535),$AH$2:$AH$1001,0),MATCH(COLUMNS($AO$1006:AO1006),$AO$1006:$BQ$1006,0)), HYPERLINK("#",""), HYPERLINK(CONCATENATE("#Metadata!", ADDRESS(INDEX($AJ$2:$AJ$1001,MATCH(ROWS($AH$2:AH535),$AH$2:$AH$1001,0),0), INDEX($AO$1004:$BQ$1004,1,MATCH(COLUMNS($AO$1006:AO1006),$AO$1006:$BQ$1006,0)))),"Fix")))</f>
        <v>#N/A</v>
      </c>
      <c r="C535" s="5" t="e">
        <f ca="1">IF(OR(INDEX($AI$2:$AI$1001,MATCH(ROWS($AH$2:AH535),$AH$2:$AH$1001,0),1)&gt;=100000,INDEX($AO$1005:$BQ$1005,1,MATCH(COLUMNS($AO$1006:AP1006),$AO$1006:$BQ$1006,0))&gt;=100000), " ",IF(INDEX($AO$2:$BQ$1001,MATCH(ROWS($AH$2:AH535),$AH$2:$AH$1001,0),MATCH(COLUMNS($AO$1006:AP1006),$AO$1006:$BQ$1006,0)), HYPERLINK("#",""), HYPERLINK(CONCATENATE("#Metadata!", ADDRESS(INDEX($AJ$2:$AJ$1001,MATCH(ROWS($AH$2:AH535),$AH$2:$AH$1001,0),0), INDEX($AO$1004:$BQ$1004,1,MATCH(COLUMNS($AO$1006:AP1006),$AO$1006:$BQ$1006,0)))),"Fix")))</f>
        <v>#N/A</v>
      </c>
      <c r="D535" s="5" t="e">
        <f ca="1">IF(OR(INDEX($AI$2:$AI$1001,MATCH(ROWS($AH$2:AH535),$AH$2:$AH$1001,0),1)&gt;=100000,INDEX($AO$1005:$BQ$1005,1,MATCH(COLUMNS($AO$1006:AQ1006),$AO$1006:$BQ$1006,0))&gt;=100000), " ",IF(INDEX($AO$2:$BQ$1001,MATCH(ROWS($AH$2:AH535),$AH$2:$AH$1001,0),MATCH(COLUMNS($AO$1006:AQ1006),$AO$1006:$BQ$1006,0)), HYPERLINK("#",""), HYPERLINK(CONCATENATE("#Metadata!", ADDRESS(INDEX($AJ$2:$AJ$1001,MATCH(ROWS($AH$2:AH535),$AH$2:$AH$1001,0),0), INDEX($AO$1004:$BQ$1004,1,MATCH(COLUMNS($AO$1006:AQ1006),$AO$1006:$BQ$1006,0)))),"Fix")))</f>
        <v>#N/A</v>
      </c>
      <c r="E535" s="5" t="e">
        <f ca="1">IF(OR(INDEX($AI$2:$AI$1001,MATCH(ROWS($AH$2:AH535),$AH$2:$AH$1001,0),1)&gt;=100000,INDEX($AO$1005:$BQ$1005,1,MATCH(COLUMNS($AO$1006:AR1006),$AO$1006:$BQ$1006,0))&gt;=100000), " ",IF(INDEX($AO$2:$BQ$1001,MATCH(ROWS($AH$2:AH535),$AH$2:$AH$1001,0),MATCH(COLUMNS($AO$1006:AR1006),$AO$1006:$BQ$1006,0)), HYPERLINK("#",""), HYPERLINK(CONCATENATE("#Metadata!", ADDRESS(INDEX($AJ$2:$AJ$1001,MATCH(ROWS($AH$2:AH535),$AH$2:$AH$1001,0),0), INDEX($AO$1004:$BQ$1004,1,MATCH(COLUMNS($AO$1006:AR1006),$AO$1006:$BQ$1006,0)))),"Fix")))</f>
        <v>#N/A</v>
      </c>
      <c r="F535" s="5" t="e">
        <f ca="1">IF(OR(INDEX($AI$2:$AI$1001,MATCH(ROWS($AH$2:AH535),$AH$2:$AH$1001,0),1)&gt;=100000,INDEX($AO$1005:$BQ$1005,1,MATCH(COLUMNS($AO$1006:AS1006),$AO$1006:$BQ$1006,0))&gt;=100000), " ",IF(INDEX($AO$2:$BQ$1001,MATCH(ROWS($AH$2:AH535),$AH$2:$AH$1001,0),MATCH(COLUMNS($AO$1006:AS1006),$AO$1006:$BQ$1006,0)), HYPERLINK("#",""), HYPERLINK(CONCATENATE("#Metadata!", ADDRESS(INDEX($AJ$2:$AJ$1001,MATCH(ROWS($AH$2:AH535),$AH$2:$AH$1001,0),0), INDEX($AO$1004:$BQ$1004,1,MATCH(COLUMNS($AO$1006:AS1006),$AO$1006:$BQ$1006,0)))),"Fix")))</f>
        <v>#N/A</v>
      </c>
      <c r="G535" s="5" t="e">
        <f ca="1">IF(OR(INDEX($AI$2:$AI$1001,MATCH(ROWS($AH$2:AH535),$AH$2:$AH$1001,0),1)&gt;=100000,INDEX($AO$1005:$BQ$1005,1,MATCH(COLUMNS($AO$1006:AT1006),$AO$1006:$BQ$1006,0))&gt;=100000), " ",IF(INDEX($AO$2:$BQ$1001,MATCH(ROWS($AH$2:AH535),$AH$2:$AH$1001,0),MATCH(COLUMNS($AO$1006:AT1006),$AO$1006:$BQ$1006,0)), HYPERLINK("#",""), HYPERLINK(CONCATENATE("#Metadata!", ADDRESS(INDEX($AJ$2:$AJ$1001,MATCH(ROWS($AH$2:AH535),$AH$2:$AH$1001,0),0), INDEX($AO$1004:$BQ$1004,1,MATCH(COLUMNS($AO$1006:AT1006),$AO$1006:$BQ$1006,0)))),"Fix")))</f>
        <v>#N/A</v>
      </c>
      <c r="H535" s="5" t="e">
        <f ca="1">IF(OR(INDEX($AI$2:$AI$1001,MATCH(ROWS($AH$2:AH535),$AH$2:$AH$1001,0),1)&gt;=100000,INDEX($AO$1005:$BQ$1005,1,MATCH(COLUMNS($AO$1006:AU1006),$AO$1006:$BQ$1006,0))&gt;=100000), " ",IF(INDEX($AO$2:$BQ$1001,MATCH(ROWS($AH$2:AH535),$AH$2:$AH$1001,0),MATCH(COLUMNS($AO$1006:AU1006),$AO$1006:$BQ$1006,0)), HYPERLINK("#",""), HYPERLINK(CONCATENATE("#Metadata!", ADDRESS(INDEX($AJ$2:$AJ$1001,MATCH(ROWS($AH$2:AH535),$AH$2:$AH$1001,0),0), INDEX($AO$1004:$BQ$1004,1,MATCH(COLUMNS($AO$1006:AU1006),$AO$1006:$BQ$1006,0)))),"Fix")))</f>
        <v>#N/A</v>
      </c>
      <c r="I535" s="5" t="e">
        <f ca="1">IF(OR(INDEX($AI$2:$AI$1001,MATCH(ROWS($AH$2:AH535),$AH$2:$AH$1001,0),1)&gt;=100000,INDEX($AO$1005:$BQ$1005,1,MATCH(COLUMNS($AO$1006:AV1006),$AO$1006:$BQ$1006,0))&gt;=100000), " ",IF(INDEX($AO$2:$BQ$1001,MATCH(ROWS($AH$2:AH535),$AH$2:$AH$1001,0),MATCH(COLUMNS($AO$1006:AV1006),$AO$1006:$BQ$1006,0)), HYPERLINK("#",""), HYPERLINK(CONCATENATE("#Metadata!", ADDRESS(INDEX($AJ$2:$AJ$1001,MATCH(ROWS($AH$2:AH535),$AH$2:$AH$1001,0),0), INDEX($AO$1004:$BQ$1004,1,MATCH(COLUMNS($AO$1006:AV1006),$AO$1006:$BQ$1006,0)))),"Fix")))</f>
        <v>#N/A</v>
      </c>
      <c r="J535" s="5" t="e">
        <f ca="1">IF(OR(INDEX($AI$2:$AI$1001,MATCH(ROWS($AH$2:AH535),$AH$2:$AH$1001,0),1)&gt;=100000,INDEX($AO$1005:$BQ$1005,1,MATCH(COLUMNS($AO$1006:AW1006),$AO$1006:$BQ$1006,0))&gt;=100000), " ",IF(INDEX($AO$2:$BQ$1001,MATCH(ROWS($AH$2:AH535),$AH$2:$AH$1001,0),MATCH(COLUMNS($AO$1006:AW1006),$AO$1006:$BQ$1006,0)), HYPERLINK("#",""), HYPERLINK(CONCATENATE("#Metadata!", ADDRESS(INDEX($AJ$2:$AJ$1001,MATCH(ROWS($AH$2:AH535),$AH$2:$AH$1001,0),0), INDEX($AO$1004:$BQ$1004,1,MATCH(COLUMNS($AO$1006:AW1006),$AO$1006:$BQ$1006,0)))),"Fix")))</f>
        <v>#N/A</v>
      </c>
      <c r="K535" s="5" t="e">
        <f ca="1">IF(OR(INDEX($AI$2:$AI$1001,MATCH(ROWS($AH$2:AH535),$AH$2:$AH$1001,0),1)&gt;=100000,INDEX($AO$1005:$BQ$1005,1,MATCH(COLUMNS($AO$1006:AX1006),$AO$1006:$BQ$1006,0))&gt;=100000), " ",IF(INDEX($AO$2:$BQ$1001,MATCH(ROWS($AH$2:AH535),$AH$2:$AH$1001,0),MATCH(COLUMNS($AO$1006:AX1006),$AO$1006:$BQ$1006,0)), HYPERLINK("#",""), HYPERLINK(CONCATENATE("#Metadata!", ADDRESS(INDEX($AJ$2:$AJ$1001,MATCH(ROWS($AH$2:AH535),$AH$2:$AH$1001,0),0), INDEX($AO$1004:$BQ$1004,1,MATCH(COLUMNS($AO$1006:AX1006),$AO$1006:$BQ$1006,0)))),"Fix")))</f>
        <v>#N/A</v>
      </c>
      <c r="L535" s="5" t="e">
        <f ca="1">IF(OR(INDEX($AI$2:$AI$1001,MATCH(ROWS($AH$2:AH535),$AH$2:$AH$1001,0),1)&gt;=100000,INDEX($AO$1005:$BQ$1005,1,MATCH(COLUMNS($AO$1006:AY1006),$AO$1006:$BQ$1006,0))&gt;=100000), " ",IF(INDEX($AO$2:$BQ$1001,MATCH(ROWS($AH$2:AH535),$AH$2:$AH$1001,0),MATCH(COLUMNS($AO$1006:AY1006),$AO$1006:$BQ$1006,0)), HYPERLINK("#",""), HYPERLINK(CONCATENATE("#Metadata!", ADDRESS(INDEX($AJ$2:$AJ$1001,MATCH(ROWS($AH$2:AH535),$AH$2:$AH$1001,0),0), INDEX($AO$1004:$BQ$1004,1,MATCH(COLUMNS($AO$1006:AY1006),$AO$1006:$BQ$1006,0)))),"Fix")))</f>
        <v>#N/A</v>
      </c>
      <c r="M535" s="5" t="e">
        <f ca="1">IF(OR(INDEX($AI$2:$AI$1001,MATCH(ROWS($AH$2:AH535),$AH$2:$AH$1001,0),1)&gt;=100000,INDEX($AO$1005:$BQ$1005,1,MATCH(COLUMNS($AO$1006:AZ1006),$AO$1006:$BQ$1006,0))&gt;=100000), " ",IF(INDEX($AO$2:$BQ$1001,MATCH(ROWS($AH$2:AH535),$AH$2:$AH$1001,0),MATCH(COLUMNS($AO$1006:AZ1006),$AO$1006:$BQ$1006,0)), HYPERLINK("#",""), HYPERLINK(CONCATENATE("#Metadata!", ADDRESS(INDEX($AJ$2:$AJ$1001,MATCH(ROWS($AH$2:AH535),$AH$2:$AH$1001,0),0), INDEX($AO$1004:$BQ$1004,1,MATCH(COLUMNS($AO$1006:AZ1006),$AO$1006:$BQ$1006,0)))),"Fix")))</f>
        <v>#N/A</v>
      </c>
      <c r="N535" s="5" t="e">
        <f ca="1">IF(OR(INDEX($AI$2:$AI$1001,MATCH(ROWS($AH$2:AH535),$AH$2:$AH$1001,0),1)&gt;=100000,INDEX($AO$1005:$BQ$1005,1,MATCH(COLUMNS($AO$1006:BA1006),$AO$1006:$BQ$1006,0))&gt;=100000), " ",IF(INDEX($AO$2:$BQ$1001,MATCH(ROWS($AH$2:AH535),$AH$2:$AH$1001,0),MATCH(COLUMNS($AO$1006:BA1006),$AO$1006:$BQ$1006,0)), HYPERLINK("#",""), HYPERLINK(CONCATENATE("#Metadata!", ADDRESS(INDEX($AJ$2:$AJ$1001,MATCH(ROWS($AH$2:AH535),$AH$2:$AH$1001,0),0), INDEX($AO$1004:$BQ$1004,1,MATCH(COLUMNS($AO$1006:BA1006),$AO$1006:$BQ$1006,0)))),"Fix")))</f>
        <v>#N/A</v>
      </c>
      <c r="O535" s="5" t="e">
        <f ca="1">IF(OR(INDEX($AI$2:$AI$1001,MATCH(ROWS($AH$2:AH535),$AH$2:$AH$1001,0),1)&gt;=100000,INDEX($AO$1005:$BQ$1005,1,MATCH(COLUMNS($AO$1006:BB1006),$AO$1006:$BQ$1006,0))&gt;=100000), " ",IF(INDEX($AO$2:$BQ$1001,MATCH(ROWS($AH$2:AH535),$AH$2:$AH$1001,0),MATCH(COLUMNS($AO$1006:BB1006),$AO$1006:$BQ$1006,0)), HYPERLINK("#",""), HYPERLINK(CONCATENATE("#Metadata!", ADDRESS(INDEX($AJ$2:$AJ$1001,MATCH(ROWS($AH$2:AH535),$AH$2:$AH$1001,0),0), INDEX($AO$1004:$BQ$1004,1,MATCH(COLUMNS($AO$1006:BB1006),$AO$1006:$BQ$1006,0)))),"Fix")))</f>
        <v>#N/A</v>
      </c>
      <c r="P535" s="5" t="e">
        <f ca="1">IF(OR(INDEX($AI$2:$AI$1001,MATCH(ROWS($AH$2:AH535),$AH$2:$AH$1001,0),1)&gt;=100000,INDEX($AO$1005:$BQ$1005,1,MATCH(COLUMNS($AO$1006:BC1006),$AO$1006:$BQ$1006,0))&gt;=100000), " ",IF(INDEX($AO$2:$BQ$1001,MATCH(ROWS($AH$2:AH535),$AH$2:$AH$1001,0),MATCH(COLUMNS($AO$1006:BC1006),$AO$1006:$BQ$1006,0)), HYPERLINK("#",""), HYPERLINK(CONCATENATE("#Metadata!", ADDRESS(INDEX($AJ$2:$AJ$1001,MATCH(ROWS($AH$2:AH535),$AH$2:$AH$1001,0),0), INDEX($AO$1004:$BQ$1004,1,MATCH(COLUMNS($AO$1006:BC1006),$AO$1006:$BQ$1006,0)))),"Fix")))</f>
        <v>#N/A</v>
      </c>
      <c r="Q535" s="5" t="e">
        <f ca="1">IF(OR(INDEX($AI$2:$AI$1001,MATCH(ROWS($AH$2:AH535),$AH$2:$AH$1001,0),1)&gt;=100000,INDEX($AO$1005:$BQ$1005,1,MATCH(COLUMNS($AO$1006:BD1006),$AO$1006:$BQ$1006,0))&gt;=100000), " ",IF(INDEX($AO$2:$BQ$1001,MATCH(ROWS($AH$2:AH535),$AH$2:$AH$1001,0),MATCH(COLUMNS($AO$1006:BD1006),$AO$1006:$BQ$1006,0)), HYPERLINK("#",""), HYPERLINK(CONCATENATE("#Metadata!", ADDRESS(INDEX($AJ$2:$AJ$1001,MATCH(ROWS($AH$2:AH535),$AH$2:$AH$1001,0),0), INDEX($AO$1004:$BQ$1004,1,MATCH(COLUMNS($AO$1006:BD1006),$AO$1006:$BQ$1006,0)))),"Fix")))</f>
        <v>#N/A</v>
      </c>
      <c r="R535" s="5" t="e">
        <f ca="1">IF(OR(INDEX($AI$2:$AI$1001,MATCH(ROWS($AH$2:AH535),$AH$2:$AH$1001,0),1)&gt;=100000,INDEX($AO$1005:$BQ$1005,1,MATCH(COLUMNS($AO$1006:BE1006),$AO$1006:$BQ$1006,0))&gt;=100000), " ",IF(INDEX($AO$2:$BQ$1001,MATCH(ROWS($AH$2:AH535),$AH$2:$AH$1001,0),MATCH(COLUMNS($AO$1006:BE1006),$AO$1006:$BQ$1006,0)), HYPERLINK("#",""), HYPERLINK(CONCATENATE("#Metadata!", ADDRESS(INDEX($AJ$2:$AJ$1001,MATCH(ROWS($AH$2:AH535),$AH$2:$AH$1001,0),0), INDEX($AO$1004:$BQ$1004,1,MATCH(COLUMNS($AO$1006:BE1006),$AO$1006:$BQ$1006,0)))),"Fix")))</f>
        <v>#N/A</v>
      </c>
      <c r="S535" s="5" t="e">
        <f ca="1">IF(OR(INDEX($AI$2:$AI$1001,MATCH(ROWS($AH$2:AH535),$AH$2:$AH$1001,0),1)&gt;=100000,INDEX($AO$1005:$BQ$1005,1,MATCH(COLUMNS($AO$1006:BF1006),$AO$1006:$BQ$1006,0))&gt;=100000), " ",IF(INDEX($AO$2:$BQ$1001,MATCH(ROWS($AH$2:AH535),$AH$2:$AH$1001,0),MATCH(COLUMNS($AO$1006:BF1006),$AO$1006:$BQ$1006,0)), HYPERLINK("#",""), HYPERLINK(CONCATENATE("#Metadata!", ADDRESS(INDEX($AJ$2:$AJ$1001,MATCH(ROWS($AH$2:AH535),$AH$2:$AH$1001,0),0), INDEX($AO$1004:$BQ$1004,1,MATCH(COLUMNS($AO$1006:BF1006),$AO$1006:$BQ$1006,0)))),"Fix")))</f>
        <v>#N/A</v>
      </c>
      <c r="T535" s="5" t="e">
        <f ca="1">IF(OR(INDEX($AI$2:$AI$1001,MATCH(ROWS($AH$2:AH535),$AH$2:$AH$1001,0),1)&gt;=100000,INDEX($AO$1005:$BQ$1005,1,MATCH(COLUMNS($AO$1006:BG1006),$AO$1006:$BQ$1006,0))&gt;=100000), " ",IF(INDEX($AO$2:$BQ$1001,MATCH(ROWS($AH$2:AH535),$AH$2:$AH$1001,0),MATCH(COLUMNS($AO$1006:BG1006),$AO$1006:$BQ$1006,0)), HYPERLINK("#",""), HYPERLINK(CONCATENATE("#Metadata!", ADDRESS(INDEX($AJ$2:$AJ$1001,MATCH(ROWS($AH$2:AH535),$AH$2:$AH$1001,0),0), INDEX($AO$1004:$BQ$1004,1,MATCH(COLUMNS($AO$1006:BG1006),$AO$1006:$BQ$1006,0)))),"Fix")))</f>
        <v>#N/A</v>
      </c>
      <c r="U535" s="5" t="e">
        <f ca="1">IF(OR(INDEX($AI$2:$AI$1001,MATCH(ROWS($AH$2:AH535),$AH$2:$AH$1001,0),1)&gt;=100000,INDEX($AO$1005:$BQ$1005,1,MATCH(COLUMNS($AO$1006:BH1006),$AO$1006:$BQ$1006,0))&gt;=100000), " ",IF(INDEX($AO$2:$BQ$1001,MATCH(ROWS($AH$2:AH535),$AH$2:$AH$1001,0),MATCH(COLUMNS($AO$1006:BH1006),$AO$1006:$BQ$1006,0)), HYPERLINK("#",""), HYPERLINK(CONCATENATE("#Metadata!", ADDRESS(INDEX($AJ$2:$AJ$1001,MATCH(ROWS($AH$2:AH535),$AH$2:$AH$1001,0),0), INDEX($AO$1004:$BQ$1004,1,MATCH(COLUMNS($AO$1006:BH1006),$AO$1006:$BQ$1006,0)))),"Fix")))</f>
        <v>#N/A</v>
      </c>
      <c r="V535" s="5" t="e">
        <f ca="1">IF(OR(INDEX($AI$2:$AI$1001,MATCH(ROWS($AH$2:AH535),$AH$2:$AH$1001,0),1)&gt;=100000,INDEX($AO$1005:$BQ$1005,1,MATCH(COLUMNS($AO$1006:BI1006),$AO$1006:$BQ$1006,0))&gt;=100000), " ",IF(INDEX($AO$2:$BQ$1001,MATCH(ROWS($AH$2:AH535),$AH$2:$AH$1001,0),MATCH(COLUMNS($AO$1006:BI1006),$AO$1006:$BQ$1006,0)), HYPERLINK("#",""), HYPERLINK(CONCATENATE("#Metadata!", ADDRESS(INDEX($AJ$2:$AJ$1001,MATCH(ROWS($AH$2:AH535),$AH$2:$AH$1001,0),0), INDEX($AO$1004:$BQ$1004,1,MATCH(COLUMNS($AO$1006:BI1006),$AO$1006:$BQ$1006,0)))),"Fix")))</f>
        <v>#N/A</v>
      </c>
      <c r="W535" s="5" t="e">
        <f ca="1">IF(OR(INDEX($AI$2:$AI$1001,MATCH(ROWS($AH$2:AH535),$AH$2:$AH$1001,0),1)&gt;=100000,INDEX($AO$1005:$BQ$1005,1,MATCH(COLUMNS($AO$1006:BJ1006),$AO$1006:$BQ$1006,0))&gt;=100000), " ",IF(INDEX($AO$2:$BQ$1001,MATCH(ROWS($AH$2:AH535),$AH$2:$AH$1001,0),MATCH(COLUMNS($AO$1006:BJ1006),$AO$1006:$BQ$1006,0)), HYPERLINK("#",""), HYPERLINK(CONCATENATE("#Metadata!", ADDRESS(INDEX($AJ$2:$AJ$1001,MATCH(ROWS($AH$2:AH535),$AH$2:$AH$1001,0),0), INDEX($AO$1004:$BQ$1004,1,MATCH(COLUMNS($AO$1006:BJ1006),$AO$1006:$BQ$1006,0)))),"Fix")))</f>
        <v>#N/A</v>
      </c>
      <c r="X535" s="5" t="e">
        <f ca="1">IF(OR(INDEX($AI$2:$AI$1001,MATCH(ROWS($AH$2:AH535),$AH$2:$AH$1001,0),1)&gt;=100000,INDEX($AO$1005:$BQ$1005,1,MATCH(COLUMNS($AO$1006:BK1006),$AO$1006:$BQ$1006,0))&gt;=100000), " ",IF(INDEX($AO$2:$BQ$1001,MATCH(ROWS($AH$2:AH535),$AH$2:$AH$1001,0),MATCH(COLUMNS($AO$1006:BK1006),$AO$1006:$BQ$1006,0)), HYPERLINK("#",""), HYPERLINK(CONCATENATE("#Metadata!", ADDRESS(INDEX($AJ$2:$AJ$1001,MATCH(ROWS($AH$2:AH535),$AH$2:$AH$1001,0),0), INDEX($AO$1004:$BQ$1004,1,MATCH(COLUMNS($AO$1006:BK1006),$AO$1006:$BQ$1006,0)))),"Fix")))</f>
        <v>#N/A</v>
      </c>
      <c r="Y535" s="5" t="e">
        <f ca="1">IF(OR(INDEX($AI$2:$AI$1001,MATCH(ROWS($AH$2:AH535),$AH$2:$AH$1001,0),1)&gt;=100000,INDEX($AO$1005:$BQ$1005,1,MATCH(COLUMNS($AO$1006:BL1006),$AO$1006:$BQ$1006,0))&gt;=100000), " ",IF(INDEX($AO$2:$BQ$1001,MATCH(ROWS($AH$2:AH535),$AH$2:$AH$1001,0),MATCH(COLUMNS($AO$1006:BL1006),$AO$1006:$BQ$1006,0)), HYPERLINK("#",""), HYPERLINK(CONCATENATE("#Metadata!", ADDRESS(INDEX($AJ$2:$AJ$1001,MATCH(ROWS($AH$2:AH535),$AH$2:$AH$1001,0),0), INDEX($AO$1004:$BQ$1004,1,MATCH(COLUMNS($AO$1006:BL1006),$AO$1006:$BQ$1006,0)))),"Fix")))</f>
        <v>#N/A</v>
      </c>
      <c r="Z535" s="5" t="e">
        <f ca="1">IF(OR(INDEX($AI$2:$AI$1001,MATCH(ROWS($AH$2:AH535),$AH$2:$AH$1001,0),1)&gt;=100000,INDEX($AO$1005:$BQ$1005,1,MATCH(COLUMNS($AO$1006:BM1006),$AO$1006:$BQ$1006,0))&gt;=100000), " ",IF(INDEX($AO$2:$BQ$1001,MATCH(ROWS($AH$2:AH535),$AH$2:$AH$1001,0),MATCH(COLUMNS($AO$1006:BM1006),$AO$1006:$BQ$1006,0)), HYPERLINK("#",""), HYPERLINK(CONCATENATE("#Metadata!", ADDRESS(INDEX($AJ$2:$AJ$1001,MATCH(ROWS($AH$2:AH535),$AH$2:$AH$1001,0),0), INDEX($AO$1004:$BQ$1004,1,MATCH(COLUMNS($AO$1006:BM1006),$AO$1006:$BQ$1006,0)))),"Fix")))</f>
        <v>#N/A</v>
      </c>
      <c r="AA535" s="5" t="e">
        <f ca="1">IF(OR(INDEX($AI$2:$AI$1001,MATCH(ROWS($AH$2:AH535),$AH$2:$AH$1001,0),1)&gt;=100000,INDEX($AO$1005:$BQ$1005,1,MATCH(COLUMNS($AO$1006:BN1006),$AO$1006:$BQ$1006,0))&gt;=100000), " ",IF(INDEX($AO$2:$BQ$1001,MATCH(ROWS($AH$2:AH535),$AH$2:$AH$1001,0),MATCH(COLUMNS($AO$1006:BN1006),$AO$1006:$BQ$1006,0)), HYPERLINK("#",""), HYPERLINK(CONCATENATE("#Metadata!", ADDRESS(INDEX($AJ$2:$AJ$1001,MATCH(ROWS($AH$2:AH535),$AH$2:$AH$1001,0),0), INDEX($AO$1004:$BQ$1004,1,MATCH(COLUMNS($AO$1006:BN1006),$AO$1006:$BQ$1006,0)))),"Fix")))</f>
        <v>#N/A</v>
      </c>
      <c r="AB535" s="5" t="e">
        <f ca="1">IF(OR(INDEX($AI$2:$AI$1001,MATCH(ROWS($AH$2:AH535),$AH$2:$AH$1001,0),1)&gt;=100000,INDEX($AO$1005:$BQ$1005,1,MATCH(COLUMNS($AO$1006:BO1006),$AO$1006:$BQ$1006,0))&gt;=100000), " ",IF(INDEX($AO$2:$BQ$1001,MATCH(ROWS($AH$2:AH535),$AH$2:$AH$1001,0),MATCH(COLUMNS($AO$1006:BO1006),$AO$1006:$BQ$1006,0)), HYPERLINK("#",""), HYPERLINK(CONCATENATE("#Metadata!", ADDRESS(INDEX($AJ$2:$AJ$1001,MATCH(ROWS($AH$2:AH535),$AH$2:$AH$1001,0),0), INDEX($AO$1004:$BQ$1004,1,MATCH(COLUMNS($AO$1006:BO1006),$AO$1006:$BQ$1006,0)))),"Fix")))</f>
        <v>#N/A</v>
      </c>
      <c r="AC535" s="5" t="e">
        <f ca="1">IF(OR(INDEX($AI$2:$AI$1001,MATCH(ROWS($AH$2:AH535),$AH$2:$AH$1001,0),1)&gt;=100000,INDEX($AO$1005:$BQ$1005,1,MATCH(COLUMNS($AO$1006:BP1006),$AO$1006:$BQ$1006,0))&gt;=100000), " ",IF(INDEX($AO$2:$BQ$1001,MATCH(ROWS($AH$2:AH535),$AH$2:$AH$1001,0),MATCH(COLUMNS($AO$1006:BP1006),$AO$1006:$BQ$1006,0)), HYPERLINK("#",""), HYPERLINK(CONCATENATE("#Metadata!", ADDRESS(INDEX($AJ$2:$AJ$1001,MATCH(ROWS($AH$2:AH535),$AH$2:$AH$1001,0),0), INDEX($AO$1004:$BQ$1004,1,MATCH(COLUMNS($AO$1006:BP1006),$AO$1006:$BQ$1006,0)))),"Fix")))</f>
        <v>#N/A</v>
      </c>
      <c r="AD535" s="5" t="e">
        <f ca="1">IF(OR(INDEX($AI$2:$AI$1001,MATCH(ROWS($AH$2:AH535),$AH$2:$AH$1001,0),1)&gt;=100000,INDEX($AO$1005:$BQ$1005,1,MATCH(COLUMNS($AO$1006:BQ1006),$AO$1006:$BQ$1006,0))&gt;=100000), " ",IF(INDEX($AO$2:$BQ$1001,MATCH(ROWS($AH$2:AH535),$AH$2:$AH$1001,0),MATCH(COLUMNS($AO$1006:BQ1006),$AO$1006:$BQ$1006,0)), HYPERLINK("#",""), HYPERLINK(CONCATENATE("#Metadata!", ADDRESS(INDEX($AJ$2:$AJ$1001,MATCH(ROWS($AH$2:AH535),$AH$2:$AH$1001,0),0), INDEX($AO$1004:$BQ$1004,1,MATCH(COLUMNS($AO$1006:BQ1006),$AO$1006:$BQ$1006,0)))),"Fix")))</f>
        <v>#REF!</v>
      </c>
      <c r="AH535">
        <f ca="1"/>
        <v>532</v>
      </c>
      <c r="AI535">
        <v>100535</v>
      </c>
      <c r="AJ535">
        <v>535</v>
      </c>
      <c r="AK535" t="b">
        <f t="shared" si="8"/>
        <v>1</v>
      </c>
      <c r="AL535" t="b">
        <f>COUNTBLANK(Metadata!B535:AD535)=COLUMNS(Metadata!B535:AD535)</f>
        <v>1</v>
      </c>
      <c r="AM535" t="str">
        <v/>
      </c>
      <c r="AO535" t="b">
        <f ca="1">AND(IF(Metadata!B535="",FALSE,TRUE),COUNTIF(Metadata!B:B, Metadata!B535) = 1,NOT(ISERROR(SUMPRODUCT(SEARCH(MID(Metadata!B535,ROW(INDIRECT("1:"&amp;LEN(Metadata!B535))), 1),"0123456789abcdefghijklmnopqrstuvwxyzABCDEFGHIJKLMNOPQRSTUVWXYZ.")))))</f>
        <v>0</v>
      </c>
      <c r="AP535" t="b">
        <f>IF(Metadata!C535="",FALSE,TRUE)</f>
        <v>0</v>
      </c>
      <c r="AQ535" t="b">
        <f>IF(Metadata!D535="",FALSE,TRUE)</f>
        <v>0</v>
      </c>
      <c r="AR535" t="b">
        <f ca="1">OR(AND(IF(Metadata!E535="",FALSE,TRUE),OR(EXACT(Metadata!E535,"not collected"),EXACT(Metadata!E535,"not provided"),EXACT(Metadata!E535,"restricted access"))),AND(IF(Metadata!E535="",FALSE,TRUE),AND(AND(IFERROR(INT(LEFT(Metadata!E535,4))&gt;1900,FALSE),IFERROR(INT(LEFT(Metadata!E535,4))&lt;=YEAR(NOW()),FALSE)), OR(MID(Metadata!E535,5,1)="", AND(AND(MID(Metadata!E535,5,1)="-",IFERROR(INT(MID(Metadata!E535,6,1))&gt;=0,FALSE),IFERROR(INT(MID(Metadata!E535,6,1))&lt;=1,FALSE),NOT(MID(Metadata!E535,7,1)=""),IFERROR(INT(MID(Metadata!E535,6,2))&gt;=1,FALSE),IFERROR(INT(MID(Metadata!E535,6,2))&lt;=12,FALSE)), OR(MID(Metadata!E535,8,1)="", AND(AND(MID(Metadata!E535,8,1)="-",IFERROR(INT(MID(Metadata!E535,9,1))&gt;=0,FALSE),IFERROR(INT(MID(Metadata!E535,9,1))&lt;=3,FALSE),NOT(MID(Metadata!E535,10,1)=""),IFERROR(INT(MID(Metadata!E535,9,2))&gt;=1,FALSE),IFERROR(INT(MID(Metadata!E535,9,2))&lt;=31,FALSE)), OR(MID(Metadata!E535,11,1)="", AND(AND(MID(Metadata!E535,11,1)=" ",IFERROR(INT(MID(Metadata!E535,12,1))&gt;=0,FALSE),IFERROR(INT(MID(Metadata!E535,12,1))&lt;=2,FALSE),NOT(MID(Metadata!E535,13,1)=""),IFERROR(INT(MID(Metadata!E535,12,2))&gt;=0,FALSE),IFERROR(INT(MID(Metadata!E535,12,2))&lt;=23,FALSE)), OR(MID(Metadata!E535,14,1)="", AND(AND(MID(Metadata!E535,14,1)=":",IFERROR(INT(MID(Metadata!E535,15,1))&gt;=0,FALSE),IFERROR(INT(MID(Metadata!E535,15,1))&lt;=5,FALSE),NOT(MID(Metadata!E535,16,1)=""),IFERROR(INT(MID(Metadata!E535,15,2))&gt;=0,FALSE),IFERROR(INT(MID(Metadata!E535,15,2))&lt;=59,FALSE)), OR(MID(Metadata!E535,17,1)="", AND(AND(MID(Metadata!E535,17,1)=":",IFERROR(INT(MID(Metadata!E535,18,1))&gt;=0,FALSE),IFERROR(INT(MID(Metadata!E535,18,1))&lt;=5,FALSE),NOT(MID(Metadata!E535,19,1)=""),IFERROR(INT(MID(Metadata!E535,18,2))&gt;=0,FALSE),IFERROR(INT(MID(Metadata!E535,18,2))&lt;=59,FALSE)), LEN(Metadata!E535)&lt;=19)))))))))))))</f>
        <v>0</v>
      </c>
      <c r="AS535" t="b">
        <f>IF(Metadata!F535="",FALSE,TRUE)</f>
        <v>0</v>
      </c>
      <c r="AT535" t="b">
        <f>OR(AND(IF(Metadata!G535="",FALSE,TRUE),OR(EXACT(Metadata!G535,"not collected"),EXACT(Metadata!G535,"not provided"))),AND(IF(Metadata!G535="",FALSE,TRUE),OR(EXACT(Metadata!G535,"TRUE"),EXACT(Metadata!G535,"FALSE"))))</f>
        <v>0</v>
      </c>
      <c r="AU535" t="b">
        <f>OR(AND(IF(Metadata!H535="",FALSE,TRUE),OR(EXACT(Metadata!H535,"not collected"),EXACT(Metadata!H535,"not provided"),EXACT(Metadata!H535,"restricted access"))),AND(IF(Metadata!H535="",FALSE,ISNUMBER(VALUE(Metadata!H535))),Metadata!H535&gt;=-413))</f>
        <v>0</v>
      </c>
      <c r="AV535" t="b">
        <f>AND(IF(Metadata!I535="",FALSE,TRUE),EXACT(Metadata!I535,"meters"))</f>
        <v>0</v>
      </c>
      <c r="AW535" t="b">
        <f>AND(IF(Metadata!J535="",FALSE,TRUE),EXACT(Metadata!J535,"free-living"))</f>
        <v>0</v>
      </c>
      <c r="AX535" t="b">
        <f>AND(IF(Metadata!K535="",FALSE,TRUE),OR(EXACT(Metadata!K535,"saline"),EXACT(Metadata!K535,"non-saline")))</f>
        <v>0</v>
      </c>
      <c r="AY535" t="b">
        <f>AND(IF(Metadata!L535="",FALSE,TRUE),OR(EXACT(Metadata!L535,"sub-surface (non-saline)"),EXACT(Metadata!L535,"surface (non-saline)"),EXACT(Metadata!L535,"water (non-saline)"),EXACT(Metadata!L535,"soil (non-saline)"),EXACT(Metadata!L535,"aerosol (non-saline)"),EXACT(Metadata!L535,"sediment (non-saline)"),EXACT(Metadata!L535,"surface (saline)"),EXACT(Metadata!L535,"water (saline)"),EXACT(Metadata!L535,"hypersaline (saline)"),EXACT(Metadata!L535,"aerosol (saline)"),EXACT(Metadata!L535,"sediment (saline)")))</f>
        <v>0</v>
      </c>
      <c r="AZ535" t="b">
        <f>IF(Metadata!M535="",FALSE,TRUE)</f>
        <v>0</v>
      </c>
      <c r="BA535" t="b">
        <f>IF(Metadata!N535="",FALSE,TRUE)</f>
        <v>0</v>
      </c>
      <c r="BB535" t="b">
        <f>IF(Metadata!O535="",FALSE,TRUE)</f>
        <v>0</v>
      </c>
      <c r="BC535" t="b">
        <f>AND(IF(Metadata!P535="",FALSE,TRUE),OR(EXACT(Metadata!P535,"air"),EXACT(Metadata!P535,"microbial mat/biofilm"),EXACT(Metadata!P535,"misc environment"),EXACT(Metadata!P535,"sediment"),EXACT(Metadata!P535,"soil"),EXACT(Metadata!P535,"wastewater/sludge"),EXACT(Metadata!P535,"water")))</f>
        <v>0</v>
      </c>
      <c r="BD535" t="b">
        <f>IF(Metadata!Q535="",FALSE,TRUE)</f>
        <v>0</v>
      </c>
      <c r="BE535" t="b">
        <f>IF(Metadata!R535="",FALSE,TRUE)</f>
        <v>0</v>
      </c>
      <c r="BF535" t="b">
        <f>OR(AND(IF(Metadata!S535="",FALSE,TRUE),OR(EXACT(Metadata!S535,"not collected"),EXACT(Metadata!S535,"not provided"),EXACT(Metadata!S535,"restricted access"))),AND(IF(Metadata!S535="",FALSE,ISNUMBER(VALUE(Metadata!S535))),Metadata!S535&gt;=-90,Metadata!S535&lt;=90))</f>
        <v>0</v>
      </c>
      <c r="BG535" t="b">
        <f>AND(IF(Metadata!T535="",FALSE,TRUE),EXACT(Metadata!T535,"Decimal degrees"))</f>
        <v>0</v>
      </c>
      <c r="BH535" t="b">
        <f>OR(AND(IF(Metadata!U535="",FALSE,TRUE),OR(EXACT(Metadata!U535,"not applicable"),EXACT(Metadata!U535,"not collected"))),IF(Metadata!U535="",FALSE,TRUE))</f>
        <v>0</v>
      </c>
      <c r="BI535" t="b">
        <f>OR(AND(IF(Metadata!V535="",FALSE,TRUE),OR(EXACT(Metadata!V535,"not collected"),EXACT(Metadata!V535,"not provided"),EXACT(Metadata!V535,"restricted access"))),AND(IF(Metadata!V535="",FALSE,ISNUMBER(VALUE(Metadata!V535))),Metadata!V535&gt;=-180,Metadata!V535&lt;=180))</f>
        <v>0</v>
      </c>
      <c r="BJ535" t="b">
        <f>AND(IF(Metadata!W535="",FALSE,TRUE),EXACT(Metadata!W535,"Decimal degrees"))</f>
        <v>0</v>
      </c>
      <c r="BK535" t="b">
        <f>IF(Metadata!X535="",FALSE,TRUE)</f>
        <v>0</v>
      </c>
      <c r="BL535" t="b">
        <f>OR(AND(IF(Metadata!Y535="",FALSE,TRUE),OR(EXACT(Metadata!Y535,"not collected"),EXACT(Metadata!Y535,"not provided"),EXACT(Metadata!Y535,"restricted access"))),AND(IF(Metadata!Y535="",FALSE,TRUE),OR(EXACT(Metadata!Y535,"TRUE"),EXACT(Metadata!Y535,"FALSE"))))</f>
        <v>0</v>
      </c>
      <c r="BM535" t="b">
        <f>OR(AND(IF(Metadata!Z535="",FALSE,TRUE),EXACT(Metadata!Z535,"not applicable")),AND(IF(Metadata!Z535="",FALSE,TRUE),OR(EXACT(Metadata!Z535,"beer"),EXACT(Metadata!Z535,"cheese"),EXACT(Metadata!Z535,"fresh water"),EXACT(Metadata!Z535,"marine sediment"),EXACT(Metadata!Z535,"sea water"),EXACT(Metadata!Z535,"sediment"),EXACT(Metadata!Z535,"soil"),EXACT(Metadata!Z535,"waste water"))))</f>
        <v>0</v>
      </c>
      <c r="BN535" t="b">
        <f>AND(IF(Metadata!AA535="",FALSE,TRUE),EXACT(Metadata!AA535,"metagenome"))</f>
        <v>0</v>
      </c>
      <c r="BO535" t="b">
        <f>AND(IF(Metadata!AB535="",FALSE,TRUE),EXACT(Metadata!AB535,"256318"))</f>
        <v>0</v>
      </c>
      <c r="BP535" t="b">
        <f>IF(Metadata!AC535="",FALSE,TRUE)</f>
        <v>0</v>
      </c>
      <c r="BQ535" t="b">
        <f>IF(Metadata!AD535="",FALSE,TRUE)</f>
        <v>0</v>
      </c>
    </row>
    <row r="536" spans="1:69" x14ac:dyDescent="0.2">
      <c r="A536" s="4" t="e">
        <f ca="1">IF(B536=" "," ",HYPERLINK(CONCATENATE("#metadata!",ADDRESS(INDEX($AJ$2:$AJ$1001,MATCH(ROWS($AH$2:AH536),$AH$2:$AH$1001,0),0),2)),INDEX($AM$2:$AM$1001,MATCH(ROWS($AH$2:AH536),$AH$2:$AH$1001,0),0)))</f>
        <v>#N/A</v>
      </c>
      <c r="B536" s="5" t="e">
        <f ca="1">IF(OR(INDEX($AI$2:$AI$1001,MATCH(ROWS($AH$2:AH536),$AH$2:$AH$1001,0),1)&gt;=100000,INDEX($AO$1005:$BQ$1005,1,MATCH(COLUMNS($AO$1006:AO1006),$AO$1006:$BQ$1006,0))&gt;=100000), " ",IF(INDEX($AO$2:$BQ$1001,MATCH(ROWS($AH$2:AH536),$AH$2:$AH$1001,0),MATCH(COLUMNS($AO$1006:AO1006),$AO$1006:$BQ$1006,0)), HYPERLINK("#",""), HYPERLINK(CONCATENATE("#Metadata!", ADDRESS(INDEX($AJ$2:$AJ$1001,MATCH(ROWS($AH$2:AH536),$AH$2:$AH$1001,0),0), INDEX($AO$1004:$BQ$1004,1,MATCH(COLUMNS($AO$1006:AO1006),$AO$1006:$BQ$1006,0)))),"Fix")))</f>
        <v>#N/A</v>
      </c>
      <c r="C536" s="5" t="e">
        <f ca="1">IF(OR(INDEX($AI$2:$AI$1001,MATCH(ROWS($AH$2:AH536),$AH$2:$AH$1001,0),1)&gt;=100000,INDEX($AO$1005:$BQ$1005,1,MATCH(COLUMNS($AO$1006:AP1006),$AO$1006:$BQ$1006,0))&gt;=100000), " ",IF(INDEX($AO$2:$BQ$1001,MATCH(ROWS($AH$2:AH536),$AH$2:$AH$1001,0),MATCH(COLUMNS($AO$1006:AP1006),$AO$1006:$BQ$1006,0)), HYPERLINK("#",""), HYPERLINK(CONCATENATE("#Metadata!", ADDRESS(INDEX($AJ$2:$AJ$1001,MATCH(ROWS($AH$2:AH536),$AH$2:$AH$1001,0),0), INDEX($AO$1004:$BQ$1004,1,MATCH(COLUMNS($AO$1006:AP1006),$AO$1006:$BQ$1006,0)))),"Fix")))</f>
        <v>#N/A</v>
      </c>
      <c r="D536" s="5" t="e">
        <f ca="1">IF(OR(INDEX($AI$2:$AI$1001,MATCH(ROWS($AH$2:AH536),$AH$2:$AH$1001,0),1)&gt;=100000,INDEX($AO$1005:$BQ$1005,1,MATCH(COLUMNS($AO$1006:AQ1006),$AO$1006:$BQ$1006,0))&gt;=100000), " ",IF(INDEX($AO$2:$BQ$1001,MATCH(ROWS($AH$2:AH536),$AH$2:$AH$1001,0),MATCH(COLUMNS($AO$1006:AQ1006),$AO$1006:$BQ$1006,0)), HYPERLINK("#",""), HYPERLINK(CONCATENATE("#Metadata!", ADDRESS(INDEX($AJ$2:$AJ$1001,MATCH(ROWS($AH$2:AH536),$AH$2:$AH$1001,0),0), INDEX($AO$1004:$BQ$1004,1,MATCH(COLUMNS($AO$1006:AQ1006),$AO$1006:$BQ$1006,0)))),"Fix")))</f>
        <v>#N/A</v>
      </c>
      <c r="E536" s="5" t="e">
        <f ca="1">IF(OR(INDEX($AI$2:$AI$1001,MATCH(ROWS($AH$2:AH536),$AH$2:$AH$1001,0),1)&gt;=100000,INDEX($AO$1005:$BQ$1005,1,MATCH(COLUMNS($AO$1006:AR1006),$AO$1006:$BQ$1006,0))&gt;=100000), " ",IF(INDEX($AO$2:$BQ$1001,MATCH(ROWS($AH$2:AH536),$AH$2:$AH$1001,0),MATCH(COLUMNS($AO$1006:AR1006),$AO$1006:$BQ$1006,0)), HYPERLINK("#",""), HYPERLINK(CONCATENATE("#Metadata!", ADDRESS(INDEX($AJ$2:$AJ$1001,MATCH(ROWS($AH$2:AH536),$AH$2:$AH$1001,0),0), INDEX($AO$1004:$BQ$1004,1,MATCH(COLUMNS($AO$1006:AR1006),$AO$1006:$BQ$1006,0)))),"Fix")))</f>
        <v>#N/A</v>
      </c>
      <c r="F536" s="5" t="e">
        <f ca="1">IF(OR(INDEX($AI$2:$AI$1001,MATCH(ROWS($AH$2:AH536),$AH$2:$AH$1001,0),1)&gt;=100000,INDEX($AO$1005:$BQ$1005,1,MATCH(COLUMNS($AO$1006:AS1006),$AO$1006:$BQ$1006,0))&gt;=100000), " ",IF(INDEX($AO$2:$BQ$1001,MATCH(ROWS($AH$2:AH536),$AH$2:$AH$1001,0),MATCH(COLUMNS($AO$1006:AS1006),$AO$1006:$BQ$1006,0)), HYPERLINK("#",""), HYPERLINK(CONCATENATE("#Metadata!", ADDRESS(INDEX($AJ$2:$AJ$1001,MATCH(ROWS($AH$2:AH536),$AH$2:$AH$1001,0),0), INDEX($AO$1004:$BQ$1004,1,MATCH(COLUMNS($AO$1006:AS1006),$AO$1006:$BQ$1006,0)))),"Fix")))</f>
        <v>#N/A</v>
      </c>
      <c r="G536" s="5" t="e">
        <f ca="1">IF(OR(INDEX($AI$2:$AI$1001,MATCH(ROWS($AH$2:AH536),$AH$2:$AH$1001,0),1)&gt;=100000,INDEX($AO$1005:$BQ$1005,1,MATCH(COLUMNS($AO$1006:AT1006),$AO$1006:$BQ$1006,0))&gt;=100000), " ",IF(INDEX($AO$2:$BQ$1001,MATCH(ROWS($AH$2:AH536),$AH$2:$AH$1001,0),MATCH(COLUMNS($AO$1006:AT1006),$AO$1006:$BQ$1006,0)), HYPERLINK("#",""), HYPERLINK(CONCATENATE("#Metadata!", ADDRESS(INDEX($AJ$2:$AJ$1001,MATCH(ROWS($AH$2:AH536),$AH$2:$AH$1001,0),0), INDEX($AO$1004:$BQ$1004,1,MATCH(COLUMNS($AO$1006:AT1006),$AO$1006:$BQ$1006,0)))),"Fix")))</f>
        <v>#N/A</v>
      </c>
      <c r="H536" s="5" t="e">
        <f ca="1">IF(OR(INDEX($AI$2:$AI$1001,MATCH(ROWS($AH$2:AH536),$AH$2:$AH$1001,0),1)&gt;=100000,INDEX($AO$1005:$BQ$1005,1,MATCH(COLUMNS($AO$1006:AU1006),$AO$1006:$BQ$1006,0))&gt;=100000), " ",IF(INDEX($AO$2:$BQ$1001,MATCH(ROWS($AH$2:AH536),$AH$2:$AH$1001,0),MATCH(COLUMNS($AO$1006:AU1006),$AO$1006:$BQ$1006,0)), HYPERLINK("#",""), HYPERLINK(CONCATENATE("#Metadata!", ADDRESS(INDEX($AJ$2:$AJ$1001,MATCH(ROWS($AH$2:AH536),$AH$2:$AH$1001,0),0), INDEX($AO$1004:$BQ$1004,1,MATCH(COLUMNS($AO$1006:AU1006),$AO$1006:$BQ$1006,0)))),"Fix")))</f>
        <v>#N/A</v>
      </c>
      <c r="I536" s="5" t="e">
        <f ca="1">IF(OR(INDEX($AI$2:$AI$1001,MATCH(ROWS($AH$2:AH536),$AH$2:$AH$1001,0),1)&gt;=100000,INDEX($AO$1005:$BQ$1005,1,MATCH(COLUMNS($AO$1006:AV1006),$AO$1006:$BQ$1006,0))&gt;=100000), " ",IF(INDEX($AO$2:$BQ$1001,MATCH(ROWS($AH$2:AH536),$AH$2:$AH$1001,0),MATCH(COLUMNS($AO$1006:AV1006),$AO$1006:$BQ$1006,0)), HYPERLINK("#",""), HYPERLINK(CONCATENATE("#Metadata!", ADDRESS(INDEX($AJ$2:$AJ$1001,MATCH(ROWS($AH$2:AH536),$AH$2:$AH$1001,0),0), INDEX($AO$1004:$BQ$1004,1,MATCH(COLUMNS($AO$1006:AV1006),$AO$1006:$BQ$1006,0)))),"Fix")))</f>
        <v>#N/A</v>
      </c>
      <c r="J536" s="5" t="e">
        <f ca="1">IF(OR(INDEX($AI$2:$AI$1001,MATCH(ROWS($AH$2:AH536),$AH$2:$AH$1001,0),1)&gt;=100000,INDEX($AO$1005:$BQ$1005,1,MATCH(COLUMNS($AO$1006:AW1006),$AO$1006:$BQ$1006,0))&gt;=100000), " ",IF(INDEX($AO$2:$BQ$1001,MATCH(ROWS($AH$2:AH536),$AH$2:$AH$1001,0),MATCH(COLUMNS($AO$1006:AW1006),$AO$1006:$BQ$1006,0)), HYPERLINK("#",""), HYPERLINK(CONCATENATE("#Metadata!", ADDRESS(INDEX($AJ$2:$AJ$1001,MATCH(ROWS($AH$2:AH536),$AH$2:$AH$1001,0),0), INDEX($AO$1004:$BQ$1004,1,MATCH(COLUMNS($AO$1006:AW1006),$AO$1006:$BQ$1006,0)))),"Fix")))</f>
        <v>#N/A</v>
      </c>
      <c r="K536" s="5" t="e">
        <f ca="1">IF(OR(INDEX($AI$2:$AI$1001,MATCH(ROWS($AH$2:AH536),$AH$2:$AH$1001,0),1)&gt;=100000,INDEX($AO$1005:$BQ$1005,1,MATCH(COLUMNS($AO$1006:AX1006),$AO$1006:$BQ$1006,0))&gt;=100000), " ",IF(INDEX($AO$2:$BQ$1001,MATCH(ROWS($AH$2:AH536),$AH$2:$AH$1001,0),MATCH(COLUMNS($AO$1006:AX1006),$AO$1006:$BQ$1006,0)), HYPERLINK("#",""), HYPERLINK(CONCATENATE("#Metadata!", ADDRESS(INDEX($AJ$2:$AJ$1001,MATCH(ROWS($AH$2:AH536),$AH$2:$AH$1001,0),0), INDEX($AO$1004:$BQ$1004,1,MATCH(COLUMNS($AO$1006:AX1006),$AO$1006:$BQ$1006,0)))),"Fix")))</f>
        <v>#N/A</v>
      </c>
      <c r="L536" s="5" t="e">
        <f ca="1">IF(OR(INDEX($AI$2:$AI$1001,MATCH(ROWS($AH$2:AH536),$AH$2:$AH$1001,0),1)&gt;=100000,INDEX($AO$1005:$BQ$1005,1,MATCH(COLUMNS($AO$1006:AY1006),$AO$1006:$BQ$1006,0))&gt;=100000), " ",IF(INDEX($AO$2:$BQ$1001,MATCH(ROWS($AH$2:AH536),$AH$2:$AH$1001,0),MATCH(COLUMNS($AO$1006:AY1006),$AO$1006:$BQ$1006,0)), HYPERLINK("#",""), HYPERLINK(CONCATENATE("#Metadata!", ADDRESS(INDEX($AJ$2:$AJ$1001,MATCH(ROWS($AH$2:AH536),$AH$2:$AH$1001,0),0), INDEX($AO$1004:$BQ$1004,1,MATCH(COLUMNS($AO$1006:AY1006),$AO$1006:$BQ$1006,0)))),"Fix")))</f>
        <v>#N/A</v>
      </c>
      <c r="M536" s="5" t="e">
        <f ca="1">IF(OR(INDEX($AI$2:$AI$1001,MATCH(ROWS($AH$2:AH536),$AH$2:$AH$1001,0),1)&gt;=100000,INDEX($AO$1005:$BQ$1005,1,MATCH(COLUMNS($AO$1006:AZ1006),$AO$1006:$BQ$1006,0))&gt;=100000), " ",IF(INDEX($AO$2:$BQ$1001,MATCH(ROWS($AH$2:AH536),$AH$2:$AH$1001,0),MATCH(COLUMNS($AO$1006:AZ1006),$AO$1006:$BQ$1006,0)), HYPERLINK("#",""), HYPERLINK(CONCATENATE("#Metadata!", ADDRESS(INDEX($AJ$2:$AJ$1001,MATCH(ROWS($AH$2:AH536),$AH$2:$AH$1001,0),0), INDEX($AO$1004:$BQ$1004,1,MATCH(COLUMNS($AO$1006:AZ1006),$AO$1006:$BQ$1006,0)))),"Fix")))</f>
        <v>#N/A</v>
      </c>
      <c r="N536" s="5" t="e">
        <f ca="1">IF(OR(INDEX($AI$2:$AI$1001,MATCH(ROWS($AH$2:AH536),$AH$2:$AH$1001,0),1)&gt;=100000,INDEX($AO$1005:$BQ$1005,1,MATCH(COLUMNS($AO$1006:BA1006),$AO$1006:$BQ$1006,0))&gt;=100000), " ",IF(INDEX($AO$2:$BQ$1001,MATCH(ROWS($AH$2:AH536),$AH$2:$AH$1001,0),MATCH(COLUMNS($AO$1006:BA1006),$AO$1006:$BQ$1006,0)), HYPERLINK("#",""), HYPERLINK(CONCATENATE("#Metadata!", ADDRESS(INDEX($AJ$2:$AJ$1001,MATCH(ROWS($AH$2:AH536),$AH$2:$AH$1001,0),0), INDEX($AO$1004:$BQ$1004,1,MATCH(COLUMNS($AO$1006:BA1006),$AO$1006:$BQ$1006,0)))),"Fix")))</f>
        <v>#N/A</v>
      </c>
      <c r="O536" s="5" t="e">
        <f ca="1">IF(OR(INDEX($AI$2:$AI$1001,MATCH(ROWS($AH$2:AH536),$AH$2:$AH$1001,0),1)&gt;=100000,INDEX($AO$1005:$BQ$1005,1,MATCH(COLUMNS($AO$1006:BB1006),$AO$1006:$BQ$1006,0))&gt;=100000), " ",IF(INDEX($AO$2:$BQ$1001,MATCH(ROWS($AH$2:AH536),$AH$2:$AH$1001,0),MATCH(COLUMNS($AO$1006:BB1006),$AO$1006:$BQ$1006,0)), HYPERLINK("#",""), HYPERLINK(CONCATENATE("#Metadata!", ADDRESS(INDEX($AJ$2:$AJ$1001,MATCH(ROWS($AH$2:AH536),$AH$2:$AH$1001,0),0), INDEX($AO$1004:$BQ$1004,1,MATCH(COLUMNS($AO$1006:BB1006),$AO$1006:$BQ$1006,0)))),"Fix")))</f>
        <v>#N/A</v>
      </c>
      <c r="P536" s="5" t="e">
        <f ca="1">IF(OR(INDEX($AI$2:$AI$1001,MATCH(ROWS($AH$2:AH536),$AH$2:$AH$1001,0),1)&gt;=100000,INDEX($AO$1005:$BQ$1005,1,MATCH(COLUMNS($AO$1006:BC1006),$AO$1006:$BQ$1006,0))&gt;=100000), " ",IF(INDEX($AO$2:$BQ$1001,MATCH(ROWS($AH$2:AH536),$AH$2:$AH$1001,0),MATCH(COLUMNS($AO$1006:BC1006),$AO$1006:$BQ$1006,0)), HYPERLINK("#",""), HYPERLINK(CONCATENATE("#Metadata!", ADDRESS(INDEX($AJ$2:$AJ$1001,MATCH(ROWS($AH$2:AH536),$AH$2:$AH$1001,0),0), INDEX($AO$1004:$BQ$1004,1,MATCH(COLUMNS($AO$1006:BC1006),$AO$1006:$BQ$1006,0)))),"Fix")))</f>
        <v>#N/A</v>
      </c>
      <c r="Q536" s="5" t="e">
        <f ca="1">IF(OR(INDEX($AI$2:$AI$1001,MATCH(ROWS($AH$2:AH536),$AH$2:$AH$1001,0),1)&gt;=100000,INDEX($AO$1005:$BQ$1005,1,MATCH(COLUMNS($AO$1006:BD1006),$AO$1006:$BQ$1006,0))&gt;=100000), " ",IF(INDEX($AO$2:$BQ$1001,MATCH(ROWS($AH$2:AH536),$AH$2:$AH$1001,0),MATCH(COLUMNS($AO$1006:BD1006),$AO$1006:$BQ$1006,0)), HYPERLINK("#",""), HYPERLINK(CONCATENATE("#Metadata!", ADDRESS(INDEX($AJ$2:$AJ$1001,MATCH(ROWS($AH$2:AH536),$AH$2:$AH$1001,0),0), INDEX($AO$1004:$BQ$1004,1,MATCH(COLUMNS($AO$1006:BD1006),$AO$1006:$BQ$1006,0)))),"Fix")))</f>
        <v>#N/A</v>
      </c>
      <c r="R536" s="5" t="e">
        <f ca="1">IF(OR(INDEX($AI$2:$AI$1001,MATCH(ROWS($AH$2:AH536),$AH$2:$AH$1001,0),1)&gt;=100000,INDEX($AO$1005:$BQ$1005,1,MATCH(COLUMNS($AO$1006:BE1006),$AO$1006:$BQ$1006,0))&gt;=100000), " ",IF(INDEX($AO$2:$BQ$1001,MATCH(ROWS($AH$2:AH536),$AH$2:$AH$1001,0),MATCH(COLUMNS($AO$1006:BE1006),$AO$1006:$BQ$1006,0)), HYPERLINK("#",""), HYPERLINK(CONCATENATE("#Metadata!", ADDRESS(INDEX($AJ$2:$AJ$1001,MATCH(ROWS($AH$2:AH536),$AH$2:$AH$1001,0),0), INDEX($AO$1004:$BQ$1004,1,MATCH(COLUMNS($AO$1006:BE1006),$AO$1006:$BQ$1006,0)))),"Fix")))</f>
        <v>#N/A</v>
      </c>
      <c r="S536" s="5" t="e">
        <f ca="1">IF(OR(INDEX($AI$2:$AI$1001,MATCH(ROWS($AH$2:AH536),$AH$2:$AH$1001,0),1)&gt;=100000,INDEX($AO$1005:$BQ$1005,1,MATCH(COLUMNS($AO$1006:BF1006),$AO$1006:$BQ$1006,0))&gt;=100000), " ",IF(INDEX($AO$2:$BQ$1001,MATCH(ROWS($AH$2:AH536),$AH$2:$AH$1001,0),MATCH(COLUMNS($AO$1006:BF1006),$AO$1006:$BQ$1006,0)), HYPERLINK("#",""), HYPERLINK(CONCATENATE("#Metadata!", ADDRESS(INDEX($AJ$2:$AJ$1001,MATCH(ROWS($AH$2:AH536),$AH$2:$AH$1001,0),0), INDEX($AO$1004:$BQ$1004,1,MATCH(COLUMNS($AO$1006:BF1006),$AO$1006:$BQ$1006,0)))),"Fix")))</f>
        <v>#N/A</v>
      </c>
      <c r="T536" s="5" t="e">
        <f ca="1">IF(OR(INDEX($AI$2:$AI$1001,MATCH(ROWS($AH$2:AH536),$AH$2:$AH$1001,0),1)&gt;=100000,INDEX($AO$1005:$BQ$1005,1,MATCH(COLUMNS($AO$1006:BG1006),$AO$1006:$BQ$1006,0))&gt;=100000), " ",IF(INDEX($AO$2:$BQ$1001,MATCH(ROWS($AH$2:AH536),$AH$2:$AH$1001,0),MATCH(COLUMNS($AO$1006:BG1006),$AO$1006:$BQ$1006,0)), HYPERLINK("#",""), HYPERLINK(CONCATENATE("#Metadata!", ADDRESS(INDEX($AJ$2:$AJ$1001,MATCH(ROWS($AH$2:AH536),$AH$2:$AH$1001,0),0), INDEX($AO$1004:$BQ$1004,1,MATCH(COLUMNS($AO$1006:BG1006),$AO$1006:$BQ$1006,0)))),"Fix")))</f>
        <v>#N/A</v>
      </c>
      <c r="U536" s="5" t="e">
        <f ca="1">IF(OR(INDEX($AI$2:$AI$1001,MATCH(ROWS($AH$2:AH536),$AH$2:$AH$1001,0),1)&gt;=100000,INDEX($AO$1005:$BQ$1005,1,MATCH(COLUMNS($AO$1006:BH1006),$AO$1006:$BQ$1006,0))&gt;=100000), " ",IF(INDEX($AO$2:$BQ$1001,MATCH(ROWS($AH$2:AH536),$AH$2:$AH$1001,0),MATCH(COLUMNS($AO$1006:BH1006),$AO$1006:$BQ$1006,0)), HYPERLINK("#",""), HYPERLINK(CONCATENATE("#Metadata!", ADDRESS(INDEX($AJ$2:$AJ$1001,MATCH(ROWS($AH$2:AH536),$AH$2:$AH$1001,0),0), INDEX($AO$1004:$BQ$1004,1,MATCH(COLUMNS($AO$1006:BH1006),$AO$1006:$BQ$1006,0)))),"Fix")))</f>
        <v>#N/A</v>
      </c>
      <c r="V536" s="5" t="e">
        <f ca="1">IF(OR(INDEX($AI$2:$AI$1001,MATCH(ROWS($AH$2:AH536),$AH$2:$AH$1001,0),1)&gt;=100000,INDEX($AO$1005:$BQ$1005,1,MATCH(COLUMNS($AO$1006:BI1006),$AO$1006:$BQ$1006,0))&gt;=100000), " ",IF(INDEX($AO$2:$BQ$1001,MATCH(ROWS($AH$2:AH536),$AH$2:$AH$1001,0),MATCH(COLUMNS($AO$1006:BI1006),$AO$1006:$BQ$1006,0)), HYPERLINK("#",""), HYPERLINK(CONCATENATE("#Metadata!", ADDRESS(INDEX($AJ$2:$AJ$1001,MATCH(ROWS($AH$2:AH536),$AH$2:$AH$1001,0),0), INDEX($AO$1004:$BQ$1004,1,MATCH(COLUMNS($AO$1006:BI1006),$AO$1006:$BQ$1006,0)))),"Fix")))</f>
        <v>#N/A</v>
      </c>
      <c r="W536" s="5" t="e">
        <f ca="1">IF(OR(INDEX($AI$2:$AI$1001,MATCH(ROWS($AH$2:AH536),$AH$2:$AH$1001,0),1)&gt;=100000,INDEX($AO$1005:$BQ$1005,1,MATCH(COLUMNS($AO$1006:BJ1006),$AO$1006:$BQ$1006,0))&gt;=100000), " ",IF(INDEX($AO$2:$BQ$1001,MATCH(ROWS($AH$2:AH536),$AH$2:$AH$1001,0),MATCH(COLUMNS($AO$1006:BJ1006),$AO$1006:$BQ$1006,0)), HYPERLINK("#",""), HYPERLINK(CONCATENATE("#Metadata!", ADDRESS(INDEX($AJ$2:$AJ$1001,MATCH(ROWS($AH$2:AH536),$AH$2:$AH$1001,0),0), INDEX($AO$1004:$BQ$1004,1,MATCH(COLUMNS($AO$1006:BJ1006),$AO$1006:$BQ$1006,0)))),"Fix")))</f>
        <v>#N/A</v>
      </c>
      <c r="X536" s="5" t="e">
        <f ca="1">IF(OR(INDEX($AI$2:$AI$1001,MATCH(ROWS($AH$2:AH536),$AH$2:$AH$1001,0),1)&gt;=100000,INDEX($AO$1005:$BQ$1005,1,MATCH(COLUMNS($AO$1006:BK1006),$AO$1006:$BQ$1006,0))&gt;=100000), " ",IF(INDEX($AO$2:$BQ$1001,MATCH(ROWS($AH$2:AH536),$AH$2:$AH$1001,0),MATCH(COLUMNS($AO$1006:BK1006),$AO$1006:$BQ$1006,0)), HYPERLINK("#",""), HYPERLINK(CONCATENATE("#Metadata!", ADDRESS(INDEX($AJ$2:$AJ$1001,MATCH(ROWS($AH$2:AH536),$AH$2:$AH$1001,0),0), INDEX($AO$1004:$BQ$1004,1,MATCH(COLUMNS($AO$1006:BK1006),$AO$1006:$BQ$1006,0)))),"Fix")))</f>
        <v>#N/A</v>
      </c>
      <c r="Y536" s="5" t="e">
        <f ca="1">IF(OR(INDEX($AI$2:$AI$1001,MATCH(ROWS($AH$2:AH536),$AH$2:$AH$1001,0),1)&gt;=100000,INDEX($AO$1005:$BQ$1005,1,MATCH(COLUMNS($AO$1006:BL1006),$AO$1006:$BQ$1006,0))&gt;=100000), " ",IF(INDEX($AO$2:$BQ$1001,MATCH(ROWS($AH$2:AH536),$AH$2:$AH$1001,0),MATCH(COLUMNS($AO$1006:BL1006),$AO$1006:$BQ$1006,0)), HYPERLINK("#",""), HYPERLINK(CONCATENATE("#Metadata!", ADDRESS(INDEX($AJ$2:$AJ$1001,MATCH(ROWS($AH$2:AH536),$AH$2:$AH$1001,0),0), INDEX($AO$1004:$BQ$1004,1,MATCH(COLUMNS($AO$1006:BL1006),$AO$1006:$BQ$1006,0)))),"Fix")))</f>
        <v>#N/A</v>
      </c>
      <c r="Z536" s="5" t="e">
        <f ca="1">IF(OR(INDEX($AI$2:$AI$1001,MATCH(ROWS($AH$2:AH536),$AH$2:$AH$1001,0),1)&gt;=100000,INDEX($AO$1005:$BQ$1005,1,MATCH(COLUMNS($AO$1006:BM1006),$AO$1006:$BQ$1006,0))&gt;=100000), " ",IF(INDEX($AO$2:$BQ$1001,MATCH(ROWS($AH$2:AH536),$AH$2:$AH$1001,0),MATCH(COLUMNS($AO$1006:BM1006),$AO$1006:$BQ$1006,0)), HYPERLINK("#",""), HYPERLINK(CONCATENATE("#Metadata!", ADDRESS(INDEX($AJ$2:$AJ$1001,MATCH(ROWS($AH$2:AH536),$AH$2:$AH$1001,0),0), INDEX($AO$1004:$BQ$1004,1,MATCH(COLUMNS($AO$1006:BM1006),$AO$1006:$BQ$1006,0)))),"Fix")))</f>
        <v>#N/A</v>
      </c>
      <c r="AA536" s="5" t="e">
        <f ca="1">IF(OR(INDEX($AI$2:$AI$1001,MATCH(ROWS($AH$2:AH536),$AH$2:$AH$1001,0),1)&gt;=100000,INDEX($AO$1005:$BQ$1005,1,MATCH(COLUMNS($AO$1006:BN1006),$AO$1006:$BQ$1006,0))&gt;=100000), " ",IF(INDEX($AO$2:$BQ$1001,MATCH(ROWS($AH$2:AH536),$AH$2:$AH$1001,0),MATCH(COLUMNS($AO$1006:BN1006),$AO$1006:$BQ$1006,0)), HYPERLINK("#",""), HYPERLINK(CONCATENATE("#Metadata!", ADDRESS(INDEX($AJ$2:$AJ$1001,MATCH(ROWS($AH$2:AH536),$AH$2:$AH$1001,0),0), INDEX($AO$1004:$BQ$1004,1,MATCH(COLUMNS($AO$1006:BN1006),$AO$1006:$BQ$1006,0)))),"Fix")))</f>
        <v>#N/A</v>
      </c>
      <c r="AB536" s="5" t="e">
        <f ca="1">IF(OR(INDEX($AI$2:$AI$1001,MATCH(ROWS($AH$2:AH536),$AH$2:$AH$1001,0),1)&gt;=100000,INDEX($AO$1005:$BQ$1005,1,MATCH(COLUMNS($AO$1006:BO1006),$AO$1006:$BQ$1006,0))&gt;=100000), " ",IF(INDEX($AO$2:$BQ$1001,MATCH(ROWS($AH$2:AH536),$AH$2:$AH$1001,0),MATCH(COLUMNS($AO$1006:BO1006),$AO$1006:$BQ$1006,0)), HYPERLINK("#",""), HYPERLINK(CONCATENATE("#Metadata!", ADDRESS(INDEX($AJ$2:$AJ$1001,MATCH(ROWS($AH$2:AH536),$AH$2:$AH$1001,0),0), INDEX($AO$1004:$BQ$1004,1,MATCH(COLUMNS($AO$1006:BO1006),$AO$1006:$BQ$1006,0)))),"Fix")))</f>
        <v>#N/A</v>
      </c>
      <c r="AC536" s="5" t="e">
        <f ca="1">IF(OR(INDEX($AI$2:$AI$1001,MATCH(ROWS($AH$2:AH536),$AH$2:$AH$1001,0),1)&gt;=100000,INDEX($AO$1005:$BQ$1005,1,MATCH(COLUMNS($AO$1006:BP1006),$AO$1006:$BQ$1006,0))&gt;=100000), " ",IF(INDEX($AO$2:$BQ$1001,MATCH(ROWS($AH$2:AH536),$AH$2:$AH$1001,0),MATCH(COLUMNS($AO$1006:BP1006),$AO$1006:$BQ$1006,0)), HYPERLINK("#",""), HYPERLINK(CONCATENATE("#Metadata!", ADDRESS(INDEX($AJ$2:$AJ$1001,MATCH(ROWS($AH$2:AH536),$AH$2:$AH$1001,0),0), INDEX($AO$1004:$BQ$1004,1,MATCH(COLUMNS($AO$1006:BP1006),$AO$1006:$BQ$1006,0)))),"Fix")))</f>
        <v>#N/A</v>
      </c>
      <c r="AD536" s="5" t="e">
        <f ca="1">IF(OR(INDEX($AI$2:$AI$1001,MATCH(ROWS($AH$2:AH536),$AH$2:$AH$1001,0),1)&gt;=100000,INDEX($AO$1005:$BQ$1005,1,MATCH(COLUMNS($AO$1006:BQ1006),$AO$1006:$BQ$1006,0))&gt;=100000), " ",IF(INDEX($AO$2:$BQ$1001,MATCH(ROWS($AH$2:AH536),$AH$2:$AH$1001,0),MATCH(COLUMNS($AO$1006:BQ1006),$AO$1006:$BQ$1006,0)), HYPERLINK("#",""), HYPERLINK(CONCATENATE("#Metadata!", ADDRESS(INDEX($AJ$2:$AJ$1001,MATCH(ROWS($AH$2:AH536),$AH$2:$AH$1001,0),0), INDEX($AO$1004:$BQ$1004,1,MATCH(COLUMNS($AO$1006:BQ1006),$AO$1006:$BQ$1006,0)))),"Fix")))</f>
        <v>#REF!</v>
      </c>
      <c r="AH536">
        <f ca="1"/>
        <v>533</v>
      </c>
      <c r="AI536">
        <v>100536</v>
      </c>
      <c r="AJ536">
        <v>536</v>
      </c>
      <c r="AK536" t="b">
        <f t="shared" si="8"/>
        <v>1</v>
      </c>
      <c r="AL536" t="b">
        <f>COUNTBLANK(Metadata!B536:AD536)=COLUMNS(Metadata!B536:AD536)</f>
        <v>1</v>
      </c>
      <c r="AM536" t="str">
        <v/>
      </c>
      <c r="AO536" t="b">
        <f ca="1">AND(IF(Metadata!B536="",FALSE,TRUE),COUNTIF(Metadata!B:B, Metadata!B536) = 1,NOT(ISERROR(SUMPRODUCT(SEARCH(MID(Metadata!B536,ROW(INDIRECT("1:"&amp;LEN(Metadata!B536))), 1),"0123456789abcdefghijklmnopqrstuvwxyzABCDEFGHIJKLMNOPQRSTUVWXYZ.")))))</f>
        <v>0</v>
      </c>
      <c r="AP536" t="b">
        <f>IF(Metadata!C536="",FALSE,TRUE)</f>
        <v>0</v>
      </c>
      <c r="AQ536" t="b">
        <f>IF(Metadata!D536="",FALSE,TRUE)</f>
        <v>0</v>
      </c>
      <c r="AR536" t="b">
        <f ca="1">OR(AND(IF(Metadata!E536="",FALSE,TRUE),OR(EXACT(Metadata!E536,"not collected"),EXACT(Metadata!E536,"not provided"),EXACT(Metadata!E536,"restricted access"))),AND(IF(Metadata!E536="",FALSE,TRUE),AND(AND(IFERROR(INT(LEFT(Metadata!E536,4))&gt;1900,FALSE),IFERROR(INT(LEFT(Metadata!E536,4))&lt;=YEAR(NOW()),FALSE)), OR(MID(Metadata!E536,5,1)="", AND(AND(MID(Metadata!E536,5,1)="-",IFERROR(INT(MID(Metadata!E536,6,1))&gt;=0,FALSE),IFERROR(INT(MID(Metadata!E536,6,1))&lt;=1,FALSE),NOT(MID(Metadata!E536,7,1)=""),IFERROR(INT(MID(Metadata!E536,6,2))&gt;=1,FALSE),IFERROR(INT(MID(Metadata!E536,6,2))&lt;=12,FALSE)), OR(MID(Metadata!E536,8,1)="", AND(AND(MID(Metadata!E536,8,1)="-",IFERROR(INT(MID(Metadata!E536,9,1))&gt;=0,FALSE),IFERROR(INT(MID(Metadata!E536,9,1))&lt;=3,FALSE),NOT(MID(Metadata!E536,10,1)=""),IFERROR(INT(MID(Metadata!E536,9,2))&gt;=1,FALSE),IFERROR(INT(MID(Metadata!E536,9,2))&lt;=31,FALSE)), OR(MID(Metadata!E536,11,1)="", AND(AND(MID(Metadata!E536,11,1)=" ",IFERROR(INT(MID(Metadata!E536,12,1))&gt;=0,FALSE),IFERROR(INT(MID(Metadata!E536,12,1))&lt;=2,FALSE),NOT(MID(Metadata!E536,13,1)=""),IFERROR(INT(MID(Metadata!E536,12,2))&gt;=0,FALSE),IFERROR(INT(MID(Metadata!E536,12,2))&lt;=23,FALSE)), OR(MID(Metadata!E536,14,1)="", AND(AND(MID(Metadata!E536,14,1)=":",IFERROR(INT(MID(Metadata!E536,15,1))&gt;=0,FALSE),IFERROR(INT(MID(Metadata!E536,15,1))&lt;=5,FALSE),NOT(MID(Metadata!E536,16,1)=""),IFERROR(INT(MID(Metadata!E536,15,2))&gt;=0,FALSE),IFERROR(INT(MID(Metadata!E536,15,2))&lt;=59,FALSE)), OR(MID(Metadata!E536,17,1)="", AND(AND(MID(Metadata!E536,17,1)=":",IFERROR(INT(MID(Metadata!E536,18,1))&gt;=0,FALSE),IFERROR(INT(MID(Metadata!E536,18,1))&lt;=5,FALSE),NOT(MID(Metadata!E536,19,1)=""),IFERROR(INT(MID(Metadata!E536,18,2))&gt;=0,FALSE),IFERROR(INT(MID(Metadata!E536,18,2))&lt;=59,FALSE)), LEN(Metadata!E536)&lt;=19)))))))))))))</f>
        <v>0</v>
      </c>
      <c r="AS536" t="b">
        <f>IF(Metadata!F536="",FALSE,TRUE)</f>
        <v>0</v>
      </c>
      <c r="AT536" t="b">
        <f>OR(AND(IF(Metadata!G536="",FALSE,TRUE),OR(EXACT(Metadata!G536,"not collected"),EXACT(Metadata!G536,"not provided"))),AND(IF(Metadata!G536="",FALSE,TRUE),OR(EXACT(Metadata!G536,"TRUE"),EXACT(Metadata!G536,"FALSE"))))</f>
        <v>0</v>
      </c>
      <c r="AU536" t="b">
        <f>OR(AND(IF(Metadata!H536="",FALSE,TRUE),OR(EXACT(Metadata!H536,"not collected"),EXACT(Metadata!H536,"not provided"),EXACT(Metadata!H536,"restricted access"))),AND(IF(Metadata!H536="",FALSE,ISNUMBER(VALUE(Metadata!H536))),Metadata!H536&gt;=-413))</f>
        <v>0</v>
      </c>
      <c r="AV536" t="b">
        <f>AND(IF(Metadata!I536="",FALSE,TRUE),EXACT(Metadata!I536,"meters"))</f>
        <v>0</v>
      </c>
      <c r="AW536" t="b">
        <f>AND(IF(Metadata!J536="",FALSE,TRUE),EXACT(Metadata!J536,"free-living"))</f>
        <v>0</v>
      </c>
      <c r="AX536" t="b">
        <f>AND(IF(Metadata!K536="",FALSE,TRUE),OR(EXACT(Metadata!K536,"saline"),EXACT(Metadata!K536,"non-saline")))</f>
        <v>0</v>
      </c>
      <c r="AY536" t="b">
        <f>AND(IF(Metadata!L536="",FALSE,TRUE),OR(EXACT(Metadata!L536,"sub-surface (non-saline)"),EXACT(Metadata!L536,"surface (non-saline)"),EXACT(Metadata!L536,"water (non-saline)"),EXACT(Metadata!L536,"soil (non-saline)"),EXACT(Metadata!L536,"aerosol (non-saline)"),EXACT(Metadata!L536,"sediment (non-saline)"),EXACT(Metadata!L536,"surface (saline)"),EXACT(Metadata!L536,"water (saline)"),EXACT(Metadata!L536,"hypersaline (saline)"),EXACT(Metadata!L536,"aerosol (saline)"),EXACT(Metadata!L536,"sediment (saline)")))</f>
        <v>0</v>
      </c>
      <c r="AZ536" t="b">
        <f>IF(Metadata!M536="",FALSE,TRUE)</f>
        <v>0</v>
      </c>
      <c r="BA536" t="b">
        <f>IF(Metadata!N536="",FALSE,TRUE)</f>
        <v>0</v>
      </c>
      <c r="BB536" t="b">
        <f>IF(Metadata!O536="",FALSE,TRUE)</f>
        <v>0</v>
      </c>
      <c r="BC536" t="b">
        <f>AND(IF(Metadata!P536="",FALSE,TRUE),OR(EXACT(Metadata!P536,"air"),EXACT(Metadata!P536,"microbial mat/biofilm"),EXACT(Metadata!P536,"misc environment"),EXACT(Metadata!P536,"sediment"),EXACT(Metadata!P536,"soil"),EXACT(Metadata!P536,"wastewater/sludge"),EXACT(Metadata!P536,"water")))</f>
        <v>0</v>
      </c>
      <c r="BD536" t="b">
        <f>IF(Metadata!Q536="",FALSE,TRUE)</f>
        <v>0</v>
      </c>
      <c r="BE536" t="b">
        <f>IF(Metadata!R536="",FALSE,TRUE)</f>
        <v>0</v>
      </c>
      <c r="BF536" t="b">
        <f>OR(AND(IF(Metadata!S536="",FALSE,TRUE),OR(EXACT(Metadata!S536,"not collected"),EXACT(Metadata!S536,"not provided"),EXACT(Metadata!S536,"restricted access"))),AND(IF(Metadata!S536="",FALSE,ISNUMBER(VALUE(Metadata!S536))),Metadata!S536&gt;=-90,Metadata!S536&lt;=90))</f>
        <v>0</v>
      </c>
      <c r="BG536" t="b">
        <f>AND(IF(Metadata!T536="",FALSE,TRUE),EXACT(Metadata!T536,"Decimal degrees"))</f>
        <v>0</v>
      </c>
      <c r="BH536" t="b">
        <f>OR(AND(IF(Metadata!U536="",FALSE,TRUE),OR(EXACT(Metadata!U536,"not applicable"),EXACT(Metadata!U536,"not collected"))),IF(Metadata!U536="",FALSE,TRUE))</f>
        <v>0</v>
      </c>
      <c r="BI536" t="b">
        <f>OR(AND(IF(Metadata!V536="",FALSE,TRUE),OR(EXACT(Metadata!V536,"not collected"),EXACT(Metadata!V536,"not provided"),EXACT(Metadata!V536,"restricted access"))),AND(IF(Metadata!V536="",FALSE,ISNUMBER(VALUE(Metadata!V536))),Metadata!V536&gt;=-180,Metadata!V536&lt;=180))</f>
        <v>0</v>
      </c>
      <c r="BJ536" t="b">
        <f>AND(IF(Metadata!W536="",FALSE,TRUE),EXACT(Metadata!W536,"Decimal degrees"))</f>
        <v>0</v>
      </c>
      <c r="BK536" t="b">
        <f>IF(Metadata!X536="",FALSE,TRUE)</f>
        <v>0</v>
      </c>
      <c r="BL536" t="b">
        <f>OR(AND(IF(Metadata!Y536="",FALSE,TRUE),OR(EXACT(Metadata!Y536,"not collected"),EXACT(Metadata!Y536,"not provided"),EXACT(Metadata!Y536,"restricted access"))),AND(IF(Metadata!Y536="",FALSE,TRUE),OR(EXACT(Metadata!Y536,"TRUE"),EXACT(Metadata!Y536,"FALSE"))))</f>
        <v>0</v>
      </c>
      <c r="BM536" t="b">
        <f>OR(AND(IF(Metadata!Z536="",FALSE,TRUE),EXACT(Metadata!Z536,"not applicable")),AND(IF(Metadata!Z536="",FALSE,TRUE),OR(EXACT(Metadata!Z536,"beer"),EXACT(Metadata!Z536,"cheese"),EXACT(Metadata!Z536,"fresh water"),EXACT(Metadata!Z536,"marine sediment"),EXACT(Metadata!Z536,"sea water"),EXACT(Metadata!Z536,"sediment"),EXACT(Metadata!Z536,"soil"),EXACT(Metadata!Z536,"waste water"))))</f>
        <v>0</v>
      </c>
      <c r="BN536" t="b">
        <f>AND(IF(Metadata!AA536="",FALSE,TRUE),EXACT(Metadata!AA536,"metagenome"))</f>
        <v>0</v>
      </c>
      <c r="BO536" t="b">
        <f>AND(IF(Metadata!AB536="",FALSE,TRUE),EXACT(Metadata!AB536,"256318"))</f>
        <v>0</v>
      </c>
      <c r="BP536" t="b">
        <f>IF(Metadata!AC536="",FALSE,TRUE)</f>
        <v>0</v>
      </c>
      <c r="BQ536" t="b">
        <f>IF(Metadata!AD536="",FALSE,TRUE)</f>
        <v>0</v>
      </c>
    </row>
    <row r="537" spans="1:69" x14ac:dyDescent="0.2">
      <c r="A537" s="4" t="e">
        <f ca="1">IF(B537=" "," ",HYPERLINK(CONCATENATE("#metadata!",ADDRESS(INDEX($AJ$2:$AJ$1001,MATCH(ROWS($AH$2:AH537),$AH$2:$AH$1001,0),0),2)),INDEX($AM$2:$AM$1001,MATCH(ROWS($AH$2:AH537),$AH$2:$AH$1001,0),0)))</f>
        <v>#N/A</v>
      </c>
      <c r="B537" s="5" t="e">
        <f ca="1">IF(OR(INDEX($AI$2:$AI$1001,MATCH(ROWS($AH$2:AH537),$AH$2:$AH$1001,0),1)&gt;=100000,INDEX($AO$1005:$BQ$1005,1,MATCH(COLUMNS($AO$1006:AO1006),$AO$1006:$BQ$1006,0))&gt;=100000), " ",IF(INDEX($AO$2:$BQ$1001,MATCH(ROWS($AH$2:AH537),$AH$2:$AH$1001,0),MATCH(COLUMNS($AO$1006:AO1006),$AO$1006:$BQ$1006,0)), HYPERLINK("#",""), HYPERLINK(CONCATENATE("#Metadata!", ADDRESS(INDEX($AJ$2:$AJ$1001,MATCH(ROWS($AH$2:AH537),$AH$2:$AH$1001,0),0), INDEX($AO$1004:$BQ$1004,1,MATCH(COLUMNS($AO$1006:AO1006),$AO$1006:$BQ$1006,0)))),"Fix")))</f>
        <v>#N/A</v>
      </c>
      <c r="C537" s="5" t="e">
        <f ca="1">IF(OR(INDEX($AI$2:$AI$1001,MATCH(ROWS($AH$2:AH537),$AH$2:$AH$1001,0),1)&gt;=100000,INDEX($AO$1005:$BQ$1005,1,MATCH(COLUMNS($AO$1006:AP1006),$AO$1006:$BQ$1006,0))&gt;=100000), " ",IF(INDEX($AO$2:$BQ$1001,MATCH(ROWS($AH$2:AH537),$AH$2:$AH$1001,0),MATCH(COLUMNS($AO$1006:AP1006),$AO$1006:$BQ$1006,0)), HYPERLINK("#",""), HYPERLINK(CONCATENATE("#Metadata!", ADDRESS(INDEX($AJ$2:$AJ$1001,MATCH(ROWS($AH$2:AH537),$AH$2:$AH$1001,0),0), INDEX($AO$1004:$BQ$1004,1,MATCH(COLUMNS($AO$1006:AP1006),$AO$1006:$BQ$1006,0)))),"Fix")))</f>
        <v>#N/A</v>
      </c>
      <c r="D537" s="5" t="e">
        <f ca="1">IF(OR(INDEX($AI$2:$AI$1001,MATCH(ROWS($AH$2:AH537),$AH$2:$AH$1001,0),1)&gt;=100000,INDEX($AO$1005:$BQ$1005,1,MATCH(COLUMNS($AO$1006:AQ1006),$AO$1006:$BQ$1006,0))&gt;=100000), " ",IF(INDEX($AO$2:$BQ$1001,MATCH(ROWS($AH$2:AH537),$AH$2:$AH$1001,0),MATCH(COLUMNS($AO$1006:AQ1006),$AO$1006:$BQ$1006,0)), HYPERLINK("#",""), HYPERLINK(CONCATENATE("#Metadata!", ADDRESS(INDEX($AJ$2:$AJ$1001,MATCH(ROWS($AH$2:AH537),$AH$2:$AH$1001,0),0), INDEX($AO$1004:$BQ$1004,1,MATCH(COLUMNS($AO$1006:AQ1006),$AO$1006:$BQ$1006,0)))),"Fix")))</f>
        <v>#N/A</v>
      </c>
      <c r="E537" s="5" t="e">
        <f ca="1">IF(OR(INDEX($AI$2:$AI$1001,MATCH(ROWS($AH$2:AH537),$AH$2:$AH$1001,0),1)&gt;=100000,INDEX($AO$1005:$BQ$1005,1,MATCH(COLUMNS($AO$1006:AR1006),$AO$1006:$BQ$1006,0))&gt;=100000), " ",IF(INDEX($AO$2:$BQ$1001,MATCH(ROWS($AH$2:AH537),$AH$2:$AH$1001,0),MATCH(COLUMNS($AO$1006:AR1006),$AO$1006:$BQ$1006,0)), HYPERLINK("#",""), HYPERLINK(CONCATENATE("#Metadata!", ADDRESS(INDEX($AJ$2:$AJ$1001,MATCH(ROWS($AH$2:AH537),$AH$2:$AH$1001,0),0), INDEX($AO$1004:$BQ$1004,1,MATCH(COLUMNS($AO$1006:AR1006),$AO$1006:$BQ$1006,0)))),"Fix")))</f>
        <v>#N/A</v>
      </c>
      <c r="F537" s="5" t="e">
        <f ca="1">IF(OR(INDEX($AI$2:$AI$1001,MATCH(ROWS($AH$2:AH537),$AH$2:$AH$1001,0),1)&gt;=100000,INDEX($AO$1005:$BQ$1005,1,MATCH(COLUMNS($AO$1006:AS1006),$AO$1006:$BQ$1006,0))&gt;=100000), " ",IF(INDEX($AO$2:$BQ$1001,MATCH(ROWS($AH$2:AH537),$AH$2:$AH$1001,0),MATCH(COLUMNS($AO$1006:AS1006),$AO$1006:$BQ$1006,0)), HYPERLINK("#",""), HYPERLINK(CONCATENATE("#Metadata!", ADDRESS(INDEX($AJ$2:$AJ$1001,MATCH(ROWS($AH$2:AH537),$AH$2:$AH$1001,0),0), INDEX($AO$1004:$BQ$1004,1,MATCH(COLUMNS($AO$1006:AS1006),$AO$1006:$BQ$1006,0)))),"Fix")))</f>
        <v>#N/A</v>
      </c>
      <c r="G537" s="5" t="e">
        <f ca="1">IF(OR(INDEX($AI$2:$AI$1001,MATCH(ROWS($AH$2:AH537),$AH$2:$AH$1001,0),1)&gt;=100000,INDEX($AO$1005:$BQ$1005,1,MATCH(COLUMNS($AO$1006:AT1006),$AO$1006:$BQ$1006,0))&gt;=100000), " ",IF(INDEX($AO$2:$BQ$1001,MATCH(ROWS($AH$2:AH537),$AH$2:$AH$1001,0),MATCH(COLUMNS($AO$1006:AT1006),$AO$1006:$BQ$1006,0)), HYPERLINK("#",""), HYPERLINK(CONCATENATE("#Metadata!", ADDRESS(INDEX($AJ$2:$AJ$1001,MATCH(ROWS($AH$2:AH537),$AH$2:$AH$1001,0),0), INDEX($AO$1004:$BQ$1004,1,MATCH(COLUMNS($AO$1006:AT1006),$AO$1006:$BQ$1006,0)))),"Fix")))</f>
        <v>#N/A</v>
      </c>
      <c r="H537" s="5" t="e">
        <f ca="1">IF(OR(INDEX($AI$2:$AI$1001,MATCH(ROWS($AH$2:AH537),$AH$2:$AH$1001,0),1)&gt;=100000,INDEX($AO$1005:$BQ$1005,1,MATCH(COLUMNS($AO$1006:AU1006),$AO$1006:$BQ$1006,0))&gt;=100000), " ",IF(INDEX($AO$2:$BQ$1001,MATCH(ROWS($AH$2:AH537),$AH$2:$AH$1001,0),MATCH(COLUMNS($AO$1006:AU1006),$AO$1006:$BQ$1006,0)), HYPERLINK("#",""), HYPERLINK(CONCATENATE("#Metadata!", ADDRESS(INDEX($AJ$2:$AJ$1001,MATCH(ROWS($AH$2:AH537),$AH$2:$AH$1001,0),0), INDEX($AO$1004:$BQ$1004,1,MATCH(COLUMNS($AO$1006:AU1006),$AO$1006:$BQ$1006,0)))),"Fix")))</f>
        <v>#N/A</v>
      </c>
      <c r="I537" s="5" t="e">
        <f ca="1">IF(OR(INDEX($AI$2:$AI$1001,MATCH(ROWS($AH$2:AH537),$AH$2:$AH$1001,0),1)&gt;=100000,INDEX($AO$1005:$BQ$1005,1,MATCH(COLUMNS($AO$1006:AV1006),$AO$1006:$BQ$1006,0))&gt;=100000), " ",IF(INDEX($AO$2:$BQ$1001,MATCH(ROWS($AH$2:AH537),$AH$2:$AH$1001,0),MATCH(COLUMNS($AO$1006:AV1006),$AO$1006:$BQ$1006,0)), HYPERLINK("#",""), HYPERLINK(CONCATENATE("#Metadata!", ADDRESS(INDEX($AJ$2:$AJ$1001,MATCH(ROWS($AH$2:AH537),$AH$2:$AH$1001,0),0), INDEX($AO$1004:$BQ$1004,1,MATCH(COLUMNS($AO$1006:AV1006),$AO$1006:$BQ$1006,0)))),"Fix")))</f>
        <v>#N/A</v>
      </c>
      <c r="J537" s="5" t="e">
        <f ca="1">IF(OR(INDEX($AI$2:$AI$1001,MATCH(ROWS($AH$2:AH537),$AH$2:$AH$1001,0),1)&gt;=100000,INDEX($AO$1005:$BQ$1005,1,MATCH(COLUMNS($AO$1006:AW1006),$AO$1006:$BQ$1006,0))&gt;=100000), " ",IF(INDEX($AO$2:$BQ$1001,MATCH(ROWS($AH$2:AH537),$AH$2:$AH$1001,0),MATCH(COLUMNS($AO$1006:AW1006),$AO$1006:$BQ$1006,0)), HYPERLINK("#",""), HYPERLINK(CONCATENATE("#Metadata!", ADDRESS(INDEX($AJ$2:$AJ$1001,MATCH(ROWS($AH$2:AH537),$AH$2:$AH$1001,0),0), INDEX($AO$1004:$BQ$1004,1,MATCH(COLUMNS($AO$1006:AW1006),$AO$1006:$BQ$1006,0)))),"Fix")))</f>
        <v>#N/A</v>
      </c>
      <c r="K537" s="5" t="e">
        <f ca="1">IF(OR(INDEX($AI$2:$AI$1001,MATCH(ROWS($AH$2:AH537),$AH$2:$AH$1001,0),1)&gt;=100000,INDEX($AO$1005:$BQ$1005,1,MATCH(COLUMNS($AO$1006:AX1006),$AO$1006:$BQ$1006,0))&gt;=100000), " ",IF(INDEX($AO$2:$BQ$1001,MATCH(ROWS($AH$2:AH537),$AH$2:$AH$1001,0),MATCH(COLUMNS($AO$1006:AX1006),$AO$1006:$BQ$1006,0)), HYPERLINK("#",""), HYPERLINK(CONCATENATE("#Metadata!", ADDRESS(INDEX($AJ$2:$AJ$1001,MATCH(ROWS($AH$2:AH537),$AH$2:$AH$1001,0),0), INDEX($AO$1004:$BQ$1004,1,MATCH(COLUMNS($AO$1006:AX1006),$AO$1006:$BQ$1006,0)))),"Fix")))</f>
        <v>#N/A</v>
      </c>
      <c r="L537" s="5" t="e">
        <f ca="1">IF(OR(INDEX($AI$2:$AI$1001,MATCH(ROWS($AH$2:AH537),$AH$2:$AH$1001,0),1)&gt;=100000,INDEX($AO$1005:$BQ$1005,1,MATCH(COLUMNS($AO$1006:AY1006),$AO$1006:$BQ$1006,0))&gt;=100000), " ",IF(INDEX($AO$2:$BQ$1001,MATCH(ROWS($AH$2:AH537),$AH$2:$AH$1001,0),MATCH(COLUMNS($AO$1006:AY1006),$AO$1006:$BQ$1006,0)), HYPERLINK("#",""), HYPERLINK(CONCATENATE("#Metadata!", ADDRESS(INDEX($AJ$2:$AJ$1001,MATCH(ROWS($AH$2:AH537),$AH$2:$AH$1001,0),0), INDEX($AO$1004:$BQ$1004,1,MATCH(COLUMNS($AO$1006:AY1006),$AO$1006:$BQ$1006,0)))),"Fix")))</f>
        <v>#N/A</v>
      </c>
      <c r="M537" s="5" t="e">
        <f ca="1">IF(OR(INDEX($AI$2:$AI$1001,MATCH(ROWS($AH$2:AH537),$AH$2:$AH$1001,0),1)&gt;=100000,INDEX($AO$1005:$BQ$1005,1,MATCH(COLUMNS($AO$1006:AZ1006),$AO$1006:$BQ$1006,0))&gt;=100000), " ",IF(INDEX($AO$2:$BQ$1001,MATCH(ROWS($AH$2:AH537),$AH$2:$AH$1001,0),MATCH(COLUMNS($AO$1006:AZ1006),$AO$1006:$BQ$1006,0)), HYPERLINK("#",""), HYPERLINK(CONCATENATE("#Metadata!", ADDRESS(INDEX($AJ$2:$AJ$1001,MATCH(ROWS($AH$2:AH537),$AH$2:$AH$1001,0),0), INDEX($AO$1004:$BQ$1004,1,MATCH(COLUMNS($AO$1006:AZ1006),$AO$1006:$BQ$1006,0)))),"Fix")))</f>
        <v>#N/A</v>
      </c>
      <c r="N537" s="5" t="e">
        <f ca="1">IF(OR(INDEX($AI$2:$AI$1001,MATCH(ROWS($AH$2:AH537),$AH$2:$AH$1001,0),1)&gt;=100000,INDEX($AO$1005:$BQ$1005,1,MATCH(COLUMNS($AO$1006:BA1006),$AO$1006:$BQ$1006,0))&gt;=100000), " ",IF(INDEX($AO$2:$BQ$1001,MATCH(ROWS($AH$2:AH537),$AH$2:$AH$1001,0),MATCH(COLUMNS($AO$1006:BA1006),$AO$1006:$BQ$1006,0)), HYPERLINK("#",""), HYPERLINK(CONCATENATE("#Metadata!", ADDRESS(INDEX($AJ$2:$AJ$1001,MATCH(ROWS($AH$2:AH537),$AH$2:$AH$1001,0),0), INDEX($AO$1004:$BQ$1004,1,MATCH(COLUMNS($AO$1006:BA1006),$AO$1006:$BQ$1006,0)))),"Fix")))</f>
        <v>#N/A</v>
      </c>
      <c r="O537" s="5" t="e">
        <f ca="1">IF(OR(INDEX($AI$2:$AI$1001,MATCH(ROWS($AH$2:AH537),$AH$2:$AH$1001,0),1)&gt;=100000,INDEX($AO$1005:$BQ$1005,1,MATCH(COLUMNS($AO$1006:BB1006),$AO$1006:$BQ$1006,0))&gt;=100000), " ",IF(INDEX($AO$2:$BQ$1001,MATCH(ROWS($AH$2:AH537),$AH$2:$AH$1001,0),MATCH(COLUMNS($AO$1006:BB1006),$AO$1006:$BQ$1006,0)), HYPERLINK("#",""), HYPERLINK(CONCATENATE("#Metadata!", ADDRESS(INDEX($AJ$2:$AJ$1001,MATCH(ROWS($AH$2:AH537),$AH$2:$AH$1001,0),0), INDEX($AO$1004:$BQ$1004,1,MATCH(COLUMNS($AO$1006:BB1006),$AO$1006:$BQ$1006,0)))),"Fix")))</f>
        <v>#N/A</v>
      </c>
      <c r="P537" s="5" t="e">
        <f ca="1">IF(OR(INDEX($AI$2:$AI$1001,MATCH(ROWS($AH$2:AH537),$AH$2:$AH$1001,0),1)&gt;=100000,INDEX($AO$1005:$BQ$1005,1,MATCH(COLUMNS($AO$1006:BC1006),$AO$1006:$BQ$1006,0))&gt;=100000), " ",IF(INDEX($AO$2:$BQ$1001,MATCH(ROWS($AH$2:AH537),$AH$2:$AH$1001,0),MATCH(COLUMNS($AO$1006:BC1006),$AO$1006:$BQ$1006,0)), HYPERLINK("#",""), HYPERLINK(CONCATENATE("#Metadata!", ADDRESS(INDEX($AJ$2:$AJ$1001,MATCH(ROWS($AH$2:AH537),$AH$2:$AH$1001,0),0), INDEX($AO$1004:$BQ$1004,1,MATCH(COLUMNS($AO$1006:BC1006),$AO$1006:$BQ$1006,0)))),"Fix")))</f>
        <v>#N/A</v>
      </c>
      <c r="Q537" s="5" t="e">
        <f ca="1">IF(OR(INDEX($AI$2:$AI$1001,MATCH(ROWS($AH$2:AH537),$AH$2:$AH$1001,0),1)&gt;=100000,INDEX($AO$1005:$BQ$1005,1,MATCH(COLUMNS($AO$1006:BD1006),$AO$1006:$BQ$1006,0))&gt;=100000), " ",IF(INDEX($AO$2:$BQ$1001,MATCH(ROWS($AH$2:AH537),$AH$2:$AH$1001,0),MATCH(COLUMNS($AO$1006:BD1006),$AO$1006:$BQ$1006,0)), HYPERLINK("#",""), HYPERLINK(CONCATENATE("#Metadata!", ADDRESS(INDEX($AJ$2:$AJ$1001,MATCH(ROWS($AH$2:AH537),$AH$2:$AH$1001,0),0), INDEX($AO$1004:$BQ$1004,1,MATCH(COLUMNS($AO$1006:BD1006),$AO$1006:$BQ$1006,0)))),"Fix")))</f>
        <v>#N/A</v>
      </c>
      <c r="R537" s="5" t="e">
        <f ca="1">IF(OR(INDEX($AI$2:$AI$1001,MATCH(ROWS($AH$2:AH537),$AH$2:$AH$1001,0),1)&gt;=100000,INDEX($AO$1005:$BQ$1005,1,MATCH(COLUMNS($AO$1006:BE1006),$AO$1006:$BQ$1006,0))&gt;=100000), " ",IF(INDEX($AO$2:$BQ$1001,MATCH(ROWS($AH$2:AH537),$AH$2:$AH$1001,0),MATCH(COLUMNS($AO$1006:BE1006),$AO$1006:$BQ$1006,0)), HYPERLINK("#",""), HYPERLINK(CONCATENATE("#Metadata!", ADDRESS(INDEX($AJ$2:$AJ$1001,MATCH(ROWS($AH$2:AH537),$AH$2:$AH$1001,0),0), INDEX($AO$1004:$BQ$1004,1,MATCH(COLUMNS($AO$1006:BE1006),$AO$1006:$BQ$1006,0)))),"Fix")))</f>
        <v>#N/A</v>
      </c>
      <c r="S537" s="5" t="e">
        <f ca="1">IF(OR(INDEX($AI$2:$AI$1001,MATCH(ROWS($AH$2:AH537),$AH$2:$AH$1001,0),1)&gt;=100000,INDEX($AO$1005:$BQ$1005,1,MATCH(COLUMNS($AO$1006:BF1006),$AO$1006:$BQ$1006,0))&gt;=100000), " ",IF(INDEX($AO$2:$BQ$1001,MATCH(ROWS($AH$2:AH537),$AH$2:$AH$1001,0),MATCH(COLUMNS($AO$1006:BF1006),$AO$1006:$BQ$1006,0)), HYPERLINK("#",""), HYPERLINK(CONCATENATE("#Metadata!", ADDRESS(INDEX($AJ$2:$AJ$1001,MATCH(ROWS($AH$2:AH537),$AH$2:$AH$1001,0),0), INDEX($AO$1004:$BQ$1004,1,MATCH(COLUMNS($AO$1006:BF1006),$AO$1006:$BQ$1006,0)))),"Fix")))</f>
        <v>#N/A</v>
      </c>
      <c r="T537" s="5" t="e">
        <f ca="1">IF(OR(INDEX($AI$2:$AI$1001,MATCH(ROWS($AH$2:AH537),$AH$2:$AH$1001,0),1)&gt;=100000,INDEX($AO$1005:$BQ$1005,1,MATCH(COLUMNS($AO$1006:BG1006),$AO$1006:$BQ$1006,0))&gt;=100000), " ",IF(INDEX($AO$2:$BQ$1001,MATCH(ROWS($AH$2:AH537),$AH$2:$AH$1001,0),MATCH(COLUMNS($AO$1006:BG1006),$AO$1006:$BQ$1006,0)), HYPERLINK("#",""), HYPERLINK(CONCATENATE("#Metadata!", ADDRESS(INDEX($AJ$2:$AJ$1001,MATCH(ROWS($AH$2:AH537),$AH$2:$AH$1001,0),0), INDEX($AO$1004:$BQ$1004,1,MATCH(COLUMNS($AO$1006:BG1006),$AO$1006:$BQ$1006,0)))),"Fix")))</f>
        <v>#N/A</v>
      </c>
      <c r="U537" s="5" t="e">
        <f ca="1">IF(OR(INDEX($AI$2:$AI$1001,MATCH(ROWS($AH$2:AH537),$AH$2:$AH$1001,0),1)&gt;=100000,INDEX($AO$1005:$BQ$1005,1,MATCH(COLUMNS($AO$1006:BH1006),$AO$1006:$BQ$1006,0))&gt;=100000), " ",IF(INDEX($AO$2:$BQ$1001,MATCH(ROWS($AH$2:AH537),$AH$2:$AH$1001,0),MATCH(COLUMNS($AO$1006:BH1006),$AO$1006:$BQ$1006,0)), HYPERLINK("#",""), HYPERLINK(CONCATENATE("#Metadata!", ADDRESS(INDEX($AJ$2:$AJ$1001,MATCH(ROWS($AH$2:AH537),$AH$2:$AH$1001,0),0), INDEX($AO$1004:$BQ$1004,1,MATCH(COLUMNS($AO$1006:BH1006),$AO$1006:$BQ$1006,0)))),"Fix")))</f>
        <v>#N/A</v>
      </c>
      <c r="V537" s="5" t="e">
        <f ca="1">IF(OR(INDEX($AI$2:$AI$1001,MATCH(ROWS($AH$2:AH537),$AH$2:$AH$1001,0),1)&gt;=100000,INDEX($AO$1005:$BQ$1005,1,MATCH(COLUMNS($AO$1006:BI1006),$AO$1006:$BQ$1006,0))&gt;=100000), " ",IF(INDEX($AO$2:$BQ$1001,MATCH(ROWS($AH$2:AH537),$AH$2:$AH$1001,0),MATCH(COLUMNS($AO$1006:BI1006),$AO$1006:$BQ$1006,0)), HYPERLINK("#",""), HYPERLINK(CONCATENATE("#Metadata!", ADDRESS(INDEX($AJ$2:$AJ$1001,MATCH(ROWS($AH$2:AH537),$AH$2:$AH$1001,0),0), INDEX($AO$1004:$BQ$1004,1,MATCH(COLUMNS($AO$1006:BI1006),$AO$1006:$BQ$1006,0)))),"Fix")))</f>
        <v>#N/A</v>
      </c>
      <c r="W537" s="5" t="e">
        <f ca="1">IF(OR(INDEX($AI$2:$AI$1001,MATCH(ROWS($AH$2:AH537),$AH$2:$AH$1001,0),1)&gt;=100000,INDEX($AO$1005:$BQ$1005,1,MATCH(COLUMNS($AO$1006:BJ1006),$AO$1006:$BQ$1006,0))&gt;=100000), " ",IF(INDEX($AO$2:$BQ$1001,MATCH(ROWS($AH$2:AH537),$AH$2:$AH$1001,0),MATCH(COLUMNS($AO$1006:BJ1006),$AO$1006:$BQ$1006,0)), HYPERLINK("#",""), HYPERLINK(CONCATENATE("#Metadata!", ADDRESS(INDEX($AJ$2:$AJ$1001,MATCH(ROWS($AH$2:AH537),$AH$2:$AH$1001,0),0), INDEX($AO$1004:$BQ$1004,1,MATCH(COLUMNS($AO$1006:BJ1006),$AO$1006:$BQ$1006,0)))),"Fix")))</f>
        <v>#N/A</v>
      </c>
      <c r="X537" s="5" t="e">
        <f ca="1">IF(OR(INDEX($AI$2:$AI$1001,MATCH(ROWS($AH$2:AH537),$AH$2:$AH$1001,0),1)&gt;=100000,INDEX($AO$1005:$BQ$1005,1,MATCH(COLUMNS($AO$1006:BK1006),$AO$1006:$BQ$1006,0))&gt;=100000), " ",IF(INDEX($AO$2:$BQ$1001,MATCH(ROWS($AH$2:AH537),$AH$2:$AH$1001,0),MATCH(COLUMNS($AO$1006:BK1006),$AO$1006:$BQ$1006,0)), HYPERLINK("#",""), HYPERLINK(CONCATENATE("#Metadata!", ADDRESS(INDEX($AJ$2:$AJ$1001,MATCH(ROWS($AH$2:AH537),$AH$2:$AH$1001,0),0), INDEX($AO$1004:$BQ$1004,1,MATCH(COLUMNS($AO$1006:BK1006),$AO$1006:$BQ$1006,0)))),"Fix")))</f>
        <v>#N/A</v>
      </c>
      <c r="Y537" s="5" t="e">
        <f ca="1">IF(OR(INDEX($AI$2:$AI$1001,MATCH(ROWS($AH$2:AH537),$AH$2:$AH$1001,0),1)&gt;=100000,INDEX($AO$1005:$BQ$1005,1,MATCH(COLUMNS($AO$1006:BL1006),$AO$1006:$BQ$1006,0))&gt;=100000), " ",IF(INDEX($AO$2:$BQ$1001,MATCH(ROWS($AH$2:AH537),$AH$2:$AH$1001,0),MATCH(COLUMNS($AO$1006:BL1006),$AO$1006:$BQ$1006,0)), HYPERLINK("#",""), HYPERLINK(CONCATENATE("#Metadata!", ADDRESS(INDEX($AJ$2:$AJ$1001,MATCH(ROWS($AH$2:AH537),$AH$2:$AH$1001,0),0), INDEX($AO$1004:$BQ$1004,1,MATCH(COLUMNS($AO$1006:BL1006),$AO$1006:$BQ$1006,0)))),"Fix")))</f>
        <v>#N/A</v>
      </c>
      <c r="Z537" s="5" t="e">
        <f ca="1">IF(OR(INDEX($AI$2:$AI$1001,MATCH(ROWS($AH$2:AH537),$AH$2:$AH$1001,0),1)&gt;=100000,INDEX($AO$1005:$BQ$1005,1,MATCH(COLUMNS($AO$1006:BM1006),$AO$1006:$BQ$1006,0))&gt;=100000), " ",IF(INDEX($AO$2:$BQ$1001,MATCH(ROWS($AH$2:AH537),$AH$2:$AH$1001,0),MATCH(COLUMNS($AO$1006:BM1006),$AO$1006:$BQ$1006,0)), HYPERLINK("#",""), HYPERLINK(CONCATENATE("#Metadata!", ADDRESS(INDEX($AJ$2:$AJ$1001,MATCH(ROWS($AH$2:AH537),$AH$2:$AH$1001,0),0), INDEX($AO$1004:$BQ$1004,1,MATCH(COLUMNS($AO$1006:BM1006),$AO$1006:$BQ$1006,0)))),"Fix")))</f>
        <v>#N/A</v>
      </c>
      <c r="AA537" s="5" t="e">
        <f ca="1">IF(OR(INDEX($AI$2:$AI$1001,MATCH(ROWS($AH$2:AH537),$AH$2:$AH$1001,0),1)&gt;=100000,INDEX($AO$1005:$BQ$1005,1,MATCH(COLUMNS($AO$1006:BN1006),$AO$1006:$BQ$1006,0))&gt;=100000), " ",IF(INDEX($AO$2:$BQ$1001,MATCH(ROWS($AH$2:AH537),$AH$2:$AH$1001,0),MATCH(COLUMNS($AO$1006:BN1006),$AO$1006:$BQ$1006,0)), HYPERLINK("#",""), HYPERLINK(CONCATENATE("#Metadata!", ADDRESS(INDEX($AJ$2:$AJ$1001,MATCH(ROWS($AH$2:AH537),$AH$2:$AH$1001,0),0), INDEX($AO$1004:$BQ$1004,1,MATCH(COLUMNS($AO$1006:BN1006),$AO$1006:$BQ$1006,0)))),"Fix")))</f>
        <v>#N/A</v>
      </c>
      <c r="AB537" s="5" t="e">
        <f ca="1">IF(OR(INDEX($AI$2:$AI$1001,MATCH(ROWS($AH$2:AH537),$AH$2:$AH$1001,0),1)&gt;=100000,INDEX($AO$1005:$BQ$1005,1,MATCH(COLUMNS($AO$1006:BO1006),$AO$1006:$BQ$1006,0))&gt;=100000), " ",IF(INDEX($AO$2:$BQ$1001,MATCH(ROWS($AH$2:AH537),$AH$2:$AH$1001,0),MATCH(COLUMNS($AO$1006:BO1006),$AO$1006:$BQ$1006,0)), HYPERLINK("#",""), HYPERLINK(CONCATENATE("#Metadata!", ADDRESS(INDEX($AJ$2:$AJ$1001,MATCH(ROWS($AH$2:AH537),$AH$2:$AH$1001,0),0), INDEX($AO$1004:$BQ$1004,1,MATCH(COLUMNS($AO$1006:BO1006),$AO$1006:$BQ$1006,0)))),"Fix")))</f>
        <v>#N/A</v>
      </c>
      <c r="AC537" s="5" t="e">
        <f ca="1">IF(OR(INDEX($AI$2:$AI$1001,MATCH(ROWS($AH$2:AH537),$AH$2:$AH$1001,0),1)&gt;=100000,INDEX($AO$1005:$BQ$1005,1,MATCH(COLUMNS($AO$1006:BP1006),$AO$1006:$BQ$1006,0))&gt;=100000), " ",IF(INDEX($AO$2:$BQ$1001,MATCH(ROWS($AH$2:AH537),$AH$2:$AH$1001,0),MATCH(COLUMNS($AO$1006:BP1006),$AO$1006:$BQ$1006,0)), HYPERLINK("#",""), HYPERLINK(CONCATENATE("#Metadata!", ADDRESS(INDEX($AJ$2:$AJ$1001,MATCH(ROWS($AH$2:AH537),$AH$2:$AH$1001,0),0), INDEX($AO$1004:$BQ$1004,1,MATCH(COLUMNS($AO$1006:BP1006),$AO$1006:$BQ$1006,0)))),"Fix")))</f>
        <v>#N/A</v>
      </c>
      <c r="AD537" s="5" t="e">
        <f ca="1">IF(OR(INDEX($AI$2:$AI$1001,MATCH(ROWS($AH$2:AH537),$AH$2:$AH$1001,0),1)&gt;=100000,INDEX($AO$1005:$BQ$1005,1,MATCH(COLUMNS($AO$1006:BQ1006),$AO$1006:$BQ$1006,0))&gt;=100000), " ",IF(INDEX($AO$2:$BQ$1001,MATCH(ROWS($AH$2:AH537),$AH$2:$AH$1001,0),MATCH(COLUMNS($AO$1006:BQ1006),$AO$1006:$BQ$1006,0)), HYPERLINK("#",""), HYPERLINK(CONCATENATE("#Metadata!", ADDRESS(INDEX($AJ$2:$AJ$1001,MATCH(ROWS($AH$2:AH537),$AH$2:$AH$1001,0),0), INDEX($AO$1004:$BQ$1004,1,MATCH(COLUMNS($AO$1006:BQ1006),$AO$1006:$BQ$1006,0)))),"Fix")))</f>
        <v>#REF!</v>
      </c>
      <c r="AH537">
        <f ca="1"/>
        <v>534</v>
      </c>
      <c r="AI537">
        <v>100537</v>
      </c>
      <c r="AJ537">
        <v>537</v>
      </c>
      <c r="AK537" t="b">
        <f t="shared" si="8"/>
        <v>1</v>
      </c>
      <c r="AL537" t="b">
        <f>COUNTBLANK(Metadata!B537:AD537)=COLUMNS(Metadata!B537:AD537)</f>
        <v>1</v>
      </c>
      <c r="AM537" t="str">
        <v/>
      </c>
      <c r="AO537" t="b">
        <f ca="1">AND(IF(Metadata!B537="",FALSE,TRUE),COUNTIF(Metadata!B:B, Metadata!B537) = 1,NOT(ISERROR(SUMPRODUCT(SEARCH(MID(Metadata!B537,ROW(INDIRECT("1:"&amp;LEN(Metadata!B537))), 1),"0123456789abcdefghijklmnopqrstuvwxyzABCDEFGHIJKLMNOPQRSTUVWXYZ.")))))</f>
        <v>0</v>
      </c>
      <c r="AP537" t="b">
        <f>IF(Metadata!C537="",FALSE,TRUE)</f>
        <v>0</v>
      </c>
      <c r="AQ537" t="b">
        <f>IF(Metadata!D537="",FALSE,TRUE)</f>
        <v>0</v>
      </c>
      <c r="AR537" t="b">
        <f ca="1">OR(AND(IF(Metadata!E537="",FALSE,TRUE),OR(EXACT(Metadata!E537,"not collected"),EXACT(Metadata!E537,"not provided"),EXACT(Metadata!E537,"restricted access"))),AND(IF(Metadata!E537="",FALSE,TRUE),AND(AND(IFERROR(INT(LEFT(Metadata!E537,4))&gt;1900,FALSE),IFERROR(INT(LEFT(Metadata!E537,4))&lt;=YEAR(NOW()),FALSE)), OR(MID(Metadata!E537,5,1)="", AND(AND(MID(Metadata!E537,5,1)="-",IFERROR(INT(MID(Metadata!E537,6,1))&gt;=0,FALSE),IFERROR(INT(MID(Metadata!E537,6,1))&lt;=1,FALSE),NOT(MID(Metadata!E537,7,1)=""),IFERROR(INT(MID(Metadata!E537,6,2))&gt;=1,FALSE),IFERROR(INT(MID(Metadata!E537,6,2))&lt;=12,FALSE)), OR(MID(Metadata!E537,8,1)="", AND(AND(MID(Metadata!E537,8,1)="-",IFERROR(INT(MID(Metadata!E537,9,1))&gt;=0,FALSE),IFERROR(INT(MID(Metadata!E537,9,1))&lt;=3,FALSE),NOT(MID(Metadata!E537,10,1)=""),IFERROR(INT(MID(Metadata!E537,9,2))&gt;=1,FALSE),IFERROR(INT(MID(Metadata!E537,9,2))&lt;=31,FALSE)), OR(MID(Metadata!E537,11,1)="", AND(AND(MID(Metadata!E537,11,1)=" ",IFERROR(INT(MID(Metadata!E537,12,1))&gt;=0,FALSE),IFERROR(INT(MID(Metadata!E537,12,1))&lt;=2,FALSE),NOT(MID(Metadata!E537,13,1)=""),IFERROR(INT(MID(Metadata!E537,12,2))&gt;=0,FALSE),IFERROR(INT(MID(Metadata!E537,12,2))&lt;=23,FALSE)), OR(MID(Metadata!E537,14,1)="", AND(AND(MID(Metadata!E537,14,1)=":",IFERROR(INT(MID(Metadata!E537,15,1))&gt;=0,FALSE),IFERROR(INT(MID(Metadata!E537,15,1))&lt;=5,FALSE),NOT(MID(Metadata!E537,16,1)=""),IFERROR(INT(MID(Metadata!E537,15,2))&gt;=0,FALSE),IFERROR(INT(MID(Metadata!E537,15,2))&lt;=59,FALSE)), OR(MID(Metadata!E537,17,1)="", AND(AND(MID(Metadata!E537,17,1)=":",IFERROR(INT(MID(Metadata!E537,18,1))&gt;=0,FALSE),IFERROR(INT(MID(Metadata!E537,18,1))&lt;=5,FALSE),NOT(MID(Metadata!E537,19,1)=""),IFERROR(INT(MID(Metadata!E537,18,2))&gt;=0,FALSE),IFERROR(INT(MID(Metadata!E537,18,2))&lt;=59,FALSE)), LEN(Metadata!E537)&lt;=19)))))))))))))</f>
        <v>0</v>
      </c>
      <c r="AS537" t="b">
        <f>IF(Metadata!F537="",FALSE,TRUE)</f>
        <v>0</v>
      </c>
      <c r="AT537" t="b">
        <f>OR(AND(IF(Metadata!G537="",FALSE,TRUE),OR(EXACT(Metadata!G537,"not collected"),EXACT(Metadata!G537,"not provided"))),AND(IF(Metadata!G537="",FALSE,TRUE),OR(EXACT(Metadata!G537,"TRUE"),EXACT(Metadata!G537,"FALSE"))))</f>
        <v>0</v>
      </c>
      <c r="AU537" t="b">
        <f>OR(AND(IF(Metadata!H537="",FALSE,TRUE),OR(EXACT(Metadata!H537,"not collected"),EXACT(Metadata!H537,"not provided"),EXACT(Metadata!H537,"restricted access"))),AND(IF(Metadata!H537="",FALSE,ISNUMBER(VALUE(Metadata!H537))),Metadata!H537&gt;=-413))</f>
        <v>0</v>
      </c>
      <c r="AV537" t="b">
        <f>AND(IF(Metadata!I537="",FALSE,TRUE),EXACT(Metadata!I537,"meters"))</f>
        <v>0</v>
      </c>
      <c r="AW537" t="b">
        <f>AND(IF(Metadata!J537="",FALSE,TRUE),EXACT(Metadata!J537,"free-living"))</f>
        <v>0</v>
      </c>
      <c r="AX537" t="b">
        <f>AND(IF(Metadata!K537="",FALSE,TRUE),OR(EXACT(Metadata!K537,"saline"),EXACT(Metadata!K537,"non-saline")))</f>
        <v>0</v>
      </c>
      <c r="AY537" t="b">
        <f>AND(IF(Metadata!L537="",FALSE,TRUE),OR(EXACT(Metadata!L537,"sub-surface (non-saline)"),EXACT(Metadata!L537,"surface (non-saline)"),EXACT(Metadata!L537,"water (non-saline)"),EXACT(Metadata!L537,"soil (non-saline)"),EXACT(Metadata!L537,"aerosol (non-saline)"),EXACT(Metadata!L537,"sediment (non-saline)"),EXACT(Metadata!L537,"surface (saline)"),EXACT(Metadata!L537,"water (saline)"),EXACT(Metadata!L537,"hypersaline (saline)"),EXACT(Metadata!L537,"aerosol (saline)"),EXACT(Metadata!L537,"sediment (saline)")))</f>
        <v>0</v>
      </c>
      <c r="AZ537" t="b">
        <f>IF(Metadata!M537="",FALSE,TRUE)</f>
        <v>0</v>
      </c>
      <c r="BA537" t="b">
        <f>IF(Metadata!N537="",FALSE,TRUE)</f>
        <v>0</v>
      </c>
      <c r="BB537" t="b">
        <f>IF(Metadata!O537="",FALSE,TRUE)</f>
        <v>0</v>
      </c>
      <c r="BC537" t="b">
        <f>AND(IF(Metadata!P537="",FALSE,TRUE),OR(EXACT(Metadata!P537,"air"),EXACT(Metadata!P537,"microbial mat/biofilm"),EXACT(Metadata!P537,"misc environment"),EXACT(Metadata!P537,"sediment"),EXACT(Metadata!P537,"soil"),EXACT(Metadata!P537,"wastewater/sludge"),EXACT(Metadata!P537,"water")))</f>
        <v>0</v>
      </c>
      <c r="BD537" t="b">
        <f>IF(Metadata!Q537="",FALSE,TRUE)</f>
        <v>0</v>
      </c>
      <c r="BE537" t="b">
        <f>IF(Metadata!R537="",FALSE,TRUE)</f>
        <v>0</v>
      </c>
      <c r="BF537" t="b">
        <f>OR(AND(IF(Metadata!S537="",FALSE,TRUE),OR(EXACT(Metadata!S537,"not collected"),EXACT(Metadata!S537,"not provided"),EXACT(Metadata!S537,"restricted access"))),AND(IF(Metadata!S537="",FALSE,ISNUMBER(VALUE(Metadata!S537))),Metadata!S537&gt;=-90,Metadata!S537&lt;=90))</f>
        <v>0</v>
      </c>
      <c r="BG537" t="b">
        <f>AND(IF(Metadata!T537="",FALSE,TRUE),EXACT(Metadata!T537,"Decimal degrees"))</f>
        <v>0</v>
      </c>
      <c r="BH537" t="b">
        <f>OR(AND(IF(Metadata!U537="",FALSE,TRUE),OR(EXACT(Metadata!U537,"not applicable"),EXACT(Metadata!U537,"not collected"))),IF(Metadata!U537="",FALSE,TRUE))</f>
        <v>0</v>
      </c>
      <c r="BI537" t="b">
        <f>OR(AND(IF(Metadata!V537="",FALSE,TRUE),OR(EXACT(Metadata!V537,"not collected"),EXACT(Metadata!V537,"not provided"),EXACT(Metadata!V537,"restricted access"))),AND(IF(Metadata!V537="",FALSE,ISNUMBER(VALUE(Metadata!V537))),Metadata!V537&gt;=-180,Metadata!V537&lt;=180))</f>
        <v>0</v>
      </c>
      <c r="BJ537" t="b">
        <f>AND(IF(Metadata!W537="",FALSE,TRUE),EXACT(Metadata!W537,"Decimal degrees"))</f>
        <v>0</v>
      </c>
      <c r="BK537" t="b">
        <f>IF(Metadata!X537="",FALSE,TRUE)</f>
        <v>0</v>
      </c>
      <c r="BL537" t="b">
        <f>OR(AND(IF(Metadata!Y537="",FALSE,TRUE),OR(EXACT(Metadata!Y537,"not collected"),EXACT(Metadata!Y537,"not provided"),EXACT(Metadata!Y537,"restricted access"))),AND(IF(Metadata!Y537="",FALSE,TRUE),OR(EXACT(Metadata!Y537,"TRUE"),EXACT(Metadata!Y537,"FALSE"))))</f>
        <v>0</v>
      </c>
      <c r="BM537" t="b">
        <f>OR(AND(IF(Metadata!Z537="",FALSE,TRUE),EXACT(Metadata!Z537,"not applicable")),AND(IF(Metadata!Z537="",FALSE,TRUE),OR(EXACT(Metadata!Z537,"beer"),EXACT(Metadata!Z537,"cheese"),EXACT(Metadata!Z537,"fresh water"),EXACT(Metadata!Z537,"marine sediment"),EXACT(Metadata!Z537,"sea water"),EXACT(Metadata!Z537,"sediment"),EXACT(Metadata!Z537,"soil"),EXACT(Metadata!Z537,"waste water"))))</f>
        <v>0</v>
      </c>
      <c r="BN537" t="b">
        <f>AND(IF(Metadata!AA537="",FALSE,TRUE),EXACT(Metadata!AA537,"metagenome"))</f>
        <v>0</v>
      </c>
      <c r="BO537" t="b">
        <f>AND(IF(Metadata!AB537="",FALSE,TRUE),EXACT(Metadata!AB537,"256318"))</f>
        <v>0</v>
      </c>
      <c r="BP537" t="b">
        <f>IF(Metadata!AC537="",FALSE,TRUE)</f>
        <v>0</v>
      </c>
      <c r="BQ537" t="b">
        <f>IF(Metadata!AD537="",FALSE,TRUE)</f>
        <v>0</v>
      </c>
    </row>
    <row r="538" spans="1:69" x14ac:dyDescent="0.2">
      <c r="A538" s="4" t="e">
        <f ca="1">IF(B538=" "," ",HYPERLINK(CONCATENATE("#metadata!",ADDRESS(INDEX($AJ$2:$AJ$1001,MATCH(ROWS($AH$2:AH538),$AH$2:$AH$1001,0),0),2)),INDEX($AM$2:$AM$1001,MATCH(ROWS($AH$2:AH538),$AH$2:$AH$1001,0),0)))</f>
        <v>#N/A</v>
      </c>
      <c r="B538" s="5" t="e">
        <f ca="1">IF(OR(INDEX($AI$2:$AI$1001,MATCH(ROWS($AH$2:AH538),$AH$2:$AH$1001,0),1)&gt;=100000,INDEX($AO$1005:$BQ$1005,1,MATCH(COLUMNS($AO$1006:AO1006),$AO$1006:$BQ$1006,0))&gt;=100000), " ",IF(INDEX($AO$2:$BQ$1001,MATCH(ROWS($AH$2:AH538),$AH$2:$AH$1001,0),MATCH(COLUMNS($AO$1006:AO1006),$AO$1006:$BQ$1006,0)), HYPERLINK("#",""), HYPERLINK(CONCATENATE("#Metadata!", ADDRESS(INDEX($AJ$2:$AJ$1001,MATCH(ROWS($AH$2:AH538),$AH$2:$AH$1001,0),0), INDEX($AO$1004:$BQ$1004,1,MATCH(COLUMNS($AO$1006:AO1006),$AO$1006:$BQ$1006,0)))),"Fix")))</f>
        <v>#N/A</v>
      </c>
      <c r="C538" s="5" t="e">
        <f ca="1">IF(OR(INDEX($AI$2:$AI$1001,MATCH(ROWS($AH$2:AH538),$AH$2:$AH$1001,0),1)&gt;=100000,INDEX($AO$1005:$BQ$1005,1,MATCH(COLUMNS($AO$1006:AP1006),$AO$1006:$BQ$1006,0))&gt;=100000), " ",IF(INDEX($AO$2:$BQ$1001,MATCH(ROWS($AH$2:AH538),$AH$2:$AH$1001,0),MATCH(COLUMNS($AO$1006:AP1006),$AO$1006:$BQ$1006,0)), HYPERLINK("#",""), HYPERLINK(CONCATENATE("#Metadata!", ADDRESS(INDEX($AJ$2:$AJ$1001,MATCH(ROWS($AH$2:AH538),$AH$2:$AH$1001,0),0), INDEX($AO$1004:$BQ$1004,1,MATCH(COLUMNS($AO$1006:AP1006),$AO$1006:$BQ$1006,0)))),"Fix")))</f>
        <v>#N/A</v>
      </c>
      <c r="D538" s="5" t="e">
        <f ca="1">IF(OR(INDEX($AI$2:$AI$1001,MATCH(ROWS($AH$2:AH538),$AH$2:$AH$1001,0),1)&gt;=100000,INDEX($AO$1005:$BQ$1005,1,MATCH(COLUMNS($AO$1006:AQ1006),$AO$1006:$BQ$1006,0))&gt;=100000), " ",IF(INDEX($AO$2:$BQ$1001,MATCH(ROWS($AH$2:AH538),$AH$2:$AH$1001,0),MATCH(COLUMNS($AO$1006:AQ1006),$AO$1006:$BQ$1006,0)), HYPERLINK("#",""), HYPERLINK(CONCATENATE("#Metadata!", ADDRESS(INDEX($AJ$2:$AJ$1001,MATCH(ROWS($AH$2:AH538),$AH$2:$AH$1001,0),0), INDEX($AO$1004:$BQ$1004,1,MATCH(COLUMNS($AO$1006:AQ1006),$AO$1006:$BQ$1006,0)))),"Fix")))</f>
        <v>#N/A</v>
      </c>
      <c r="E538" s="5" t="e">
        <f ca="1">IF(OR(INDEX($AI$2:$AI$1001,MATCH(ROWS($AH$2:AH538),$AH$2:$AH$1001,0),1)&gt;=100000,INDEX($AO$1005:$BQ$1005,1,MATCH(COLUMNS($AO$1006:AR1006),$AO$1006:$BQ$1006,0))&gt;=100000), " ",IF(INDEX($AO$2:$BQ$1001,MATCH(ROWS($AH$2:AH538),$AH$2:$AH$1001,0),MATCH(COLUMNS($AO$1006:AR1006),$AO$1006:$BQ$1006,0)), HYPERLINK("#",""), HYPERLINK(CONCATENATE("#Metadata!", ADDRESS(INDEX($AJ$2:$AJ$1001,MATCH(ROWS($AH$2:AH538),$AH$2:$AH$1001,0),0), INDEX($AO$1004:$BQ$1004,1,MATCH(COLUMNS($AO$1006:AR1006),$AO$1006:$BQ$1006,0)))),"Fix")))</f>
        <v>#N/A</v>
      </c>
      <c r="F538" s="5" t="e">
        <f ca="1">IF(OR(INDEX($AI$2:$AI$1001,MATCH(ROWS($AH$2:AH538),$AH$2:$AH$1001,0),1)&gt;=100000,INDEX($AO$1005:$BQ$1005,1,MATCH(COLUMNS($AO$1006:AS1006),$AO$1006:$BQ$1006,0))&gt;=100000), " ",IF(INDEX($AO$2:$BQ$1001,MATCH(ROWS($AH$2:AH538),$AH$2:$AH$1001,0),MATCH(COLUMNS($AO$1006:AS1006),$AO$1006:$BQ$1006,0)), HYPERLINK("#",""), HYPERLINK(CONCATENATE("#Metadata!", ADDRESS(INDEX($AJ$2:$AJ$1001,MATCH(ROWS($AH$2:AH538),$AH$2:$AH$1001,0),0), INDEX($AO$1004:$BQ$1004,1,MATCH(COLUMNS($AO$1006:AS1006),$AO$1006:$BQ$1006,0)))),"Fix")))</f>
        <v>#N/A</v>
      </c>
      <c r="G538" s="5" t="e">
        <f ca="1">IF(OR(INDEX($AI$2:$AI$1001,MATCH(ROWS($AH$2:AH538),$AH$2:$AH$1001,0),1)&gt;=100000,INDEX($AO$1005:$BQ$1005,1,MATCH(COLUMNS($AO$1006:AT1006),$AO$1006:$BQ$1006,0))&gt;=100000), " ",IF(INDEX($AO$2:$BQ$1001,MATCH(ROWS($AH$2:AH538),$AH$2:$AH$1001,0),MATCH(COLUMNS($AO$1006:AT1006),$AO$1006:$BQ$1006,0)), HYPERLINK("#",""), HYPERLINK(CONCATENATE("#Metadata!", ADDRESS(INDEX($AJ$2:$AJ$1001,MATCH(ROWS($AH$2:AH538),$AH$2:$AH$1001,0),0), INDEX($AO$1004:$BQ$1004,1,MATCH(COLUMNS($AO$1006:AT1006),$AO$1006:$BQ$1006,0)))),"Fix")))</f>
        <v>#N/A</v>
      </c>
      <c r="H538" s="5" t="e">
        <f ca="1">IF(OR(INDEX($AI$2:$AI$1001,MATCH(ROWS($AH$2:AH538),$AH$2:$AH$1001,0),1)&gt;=100000,INDEX($AO$1005:$BQ$1005,1,MATCH(COLUMNS($AO$1006:AU1006),$AO$1006:$BQ$1006,0))&gt;=100000), " ",IF(INDEX($AO$2:$BQ$1001,MATCH(ROWS($AH$2:AH538),$AH$2:$AH$1001,0),MATCH(COLUMNS($AO$1006:AU1006),$AO$1006:$BQ$1006,0)), HYPERLINK("#",""), HYPERLINK(CONCATENATE("#Metadata!", ADDRESS(INDEX($AJ$2:$AJ$1001,MATCH(ROWS($AH$2:AH538),$AH$2:$AH$1001,0),0), INDEX($AO$1004:$BQ$1004,1,MATCH(COLUMNS($AO$1006:AU1006),$AO$1006:$BQ$1006,0)))),"Fix")))</f>
        <v>#N/A</v>
      </c>
      <c r="I538" s="5" t="e">
        <f ca="1">IF(OR(INDEX($AI$2:$AI$1001,MATCH(ROWS($AH$2:AH538),$AH$2:$AH$1001,0),1)&gt;=100000,INDEX($AO$1005:$BQ$1005,1,MATCH(COLUMNS($AO$1006:AV1006),$AO$1006:$BQ$1006,0))&gt;=100000), " ",IF(INDEX($AO$2:$BQ$1001,MATCH(ROWS($AH$2:AH538),$AH$2:$AH$1001,0),MATCH(COLUMNS($AO$1006:AV1006),$AO$1006:$BQ$1006,0)), HYPERLINK("#",""), HYPERLINK(CONCATENATE("#Metadata!", ADDRESS(INDEX($AJ$2:$AJ$1001,MATCH(ROWS($AH$2:AH538),$AH$2:$AH$1001,0),0), INDEX($AO$1004:$BQ$1004,1,MATCH(COLUMNS($AO$1006:AV1006),$AO$1006:$BQ$1006,0)))),"Fix")))</f>
        <v>#N/A</v>
      </c>
      <c r="J538" s="5" t="e">
        <f ca="1">IF(OR(INDEX($AI$2:$AI$1001,MATCH(ROWS($AH$2:AH538),$AH$2:$AH$1001,0),1)&gt;=100000,INDEX($AO$1005:$BQ$1005,1,MATCH(COLUMNS($AO$1006:AW1006),$AO$1006:$BQ$1006,0))&gt;=100000), " ",IF(INDEX($AO$2:$BQ$1001,MATCH(ROWS($AH$2:AH538),$AH$2:$AH$1001,0),MATCH(COLUMNS($AO$1006:AW1006),$AO$1006:$BQ$1006,0)), HYPERLINK("#",""), HYPERLINK(CONCATENATE("#Metadata!", ADDRESS(INDEX($AJ$2:$AJ$1001,MATCH(ROWS($AH$2:AH538),$AH$2:$AH$1001,0),0), INDEX($AO$1004:$BQ$1004,1,MATCH(COLUMNS($AO$1006:AW1006),$AO$1006:$BQ$1006,0)))),"Fix")))</f>
        <v>#N/A</v>
      </c>
      <c r="K538" s="5" t="e">
        <f ca="1">IF(OR(INDEX($AI$2:$AI$1001,MATCH(ROWS($AH$2:AH538),$AH$2:$AH$1001,0),1)&gt;=100000,INDEX($AO$1005:$BQ$1005,1,MATCH(COLUMNS($AO$1006:AX1006),$AO$1006:$BQ$1006,0))&gt;=100000), " ",IF(INDEX($AO$2:$BQ$1001,MATCH(ROWS($AH$2:AH538),$AH$2:$AH$1001,0),MATCH(COLUMNS($AO$1006:AX1006),$AO$1006:$BQ$1006,0)), HYPERLINK("#",""), HYPERLINK(CONCATENATE("#Metadata!", ADDRESS(INDEX($AJ$2:$AJ$1001,MATCH(ROWS($AH$2:AH538),$AH$2:$AH$1001,0),0), INDEX($AO$1004:$BQ$1004,1,MATCH(COLUMNS($AO$1006:AX1006),$AO$1006:$BQ$1006,0)))),"Fix")))</f>
        <v>#N/A</v>
      </c>
      <c r="L538" s="5" t="e">
        <f ca="1">IF(OR(INDEX($AI$2:$AI$1001,MATCH(ROWS($AH$2:AH538),$AH$2:$AH$1001,0),1)&gt;=100000,INDEX($AO$1005:$BQ$1005,1,MATCH(COLUMNS($AO$1006:AY1006),$AO$1006:$BQ$1006,0))&gt;=100000), " ",IF(INDEX($AO$2:$BQ$1001,MATCH(ROWS($AH$2:AH538),$AH$2:$AH$1001,0),MATCH(COLUMNS($AO$1006:AY1006),$AO$1006:$BQ$1006,0)), HYPERLINK("#",""), HYPERLINK(CONCATENATE("#Metadata!", ADDRESS(INDEX($AJ$2:$AJ$1001,MATCH(ROWS($AH$2:AH538),$AH$2:$AH$1001,0),0), INDEX($AO$1004:$BQ$1004,1,MATCH(COLUMNS($AO$1006:AY1006),$AO$1006:$BQ$1006,0)))),"Fix")))</f>
        <v>#N/A</v>
      </c>
      <c r="M538" s="5" t="e">
        <f ca="1">IF(OR(INDEX($AI$2:$AI$1001,MATCH(ROWS($AH$2:AH538),$AH$2:$AH$1001,0),1)&gt;=100000,INDEX($AO$1005:$BQ$1005,1,MATCH(COLUMNS($AO$1006:AZ1006),$AO$1006:$BQ$1006,0))&gt;=100000), " ",IF(INDEX($AO$2:$BQ$1001,MATCH(ROWS($AH$2:AH538),$AH$2:$AH$1001,0),MATCH(COLUMNS($AO$1006:AZ1006),$AO$1006:$BQ$1006,0)), HYPERLINK("#",""), HYPERLINK(CONCATENATE("#Metadata!", ADDRESS(INDEX($AJ$2:$AJ$1001,MATCH(ROWS($AH$2:AH538),$AH$2:$AH$1001,0),0), INDEX($AO$1004:$BQ$1004,1,MATCH(COLUMNS($AO$1006:AZ1006),$AO$1006:$BQ$1006,0)))),"Fix")))</f>
        <v>#N/A</v>
      </c>
      <c r="N538" s="5" t="e">
        <f ca="1">IF(OR(INDEX($AI$2:$AI$1001,MATCH(ROWS($AH$2:AH538),$AH$2:$AH$1001,0),1)&gt;=100000,INDEX($AO$1005:$BQ$1005,1,MATCH(COLUMNS($AO$1006:BA1006),$AO$1006:$BQ$1006,0))&gt;=100000), " ",IF(INDEX($AO$2:$BQ$1001,MATCH(ROWS($AH$2:AH538),$AH$2:$AH$1001,0),MATCH(COLUMNS($AO$1006:BA1006),$AO$1006:$BQ$1006,0)), HYPERLINK("#",""), HYPERLINK(CONCATENATE("#Metadata!", ADDRESS(INDEX($AJ$2:$AJ$1001,MATCH(ROWS($AH$2:AH538),$AH$2:$AH$1001,0),0), INDEX($AO$1004:$BQ$1004,1,MATCH(COLUMNS($AO$1006:BA1006),$AO$1006:$BQ$1006,0)))),"Fix")))</f>
        <v>#N/A</v>
      </c>
      <c r="O538" s="5" t="e">
        <f ca="1">IF(OR(INDEX($AI$2:$AI$1001,MATCH(ROWS($AH$2:AH538),$AH$2:$AH$1001,0),1)&gt;=100000,INDEX($AO$1005:$BQ$1005,1,MATCH(COLUMNS($AO$1006:BB1006),$AO$1006:$BQ$1006,0))&gt;=100000), " ",IF(INDEX($AO$2:$BQ$1001,MATCH(ROWS($AH$2:AH538),$AH$2:$AH$1001,0),MATCH(COLUMNS($AO$1006:BB1006),$AO$1006:$BQ$1006,0)), HYPERLINK("#",""), HYPERLINK(CONCATENATE("#Metadata!", ADDRESS(INDEX($AJ$2:$AJ$1001,MATCH(ROWS($AH$2:AH538),$AH$2:$AH$1001,0),0), INDEX($AO$1004:$BQ$1004,1,MATCH(COLUMNS($AO$1006:BB1006),$AO$1006:$BQ$1006,0)))),"Fix")))</f>
        <v>#N/A</v>
      </c>
      <c r="P538" s="5" t="e">
        <f ca="1">IF(OR(INDEX($AI$2:$AI$1001,MATCH(ROWS($AH$2:AH538),$AH$2:$AH$1001,0),1)&gt;=100000,INDEX($AO$1005:$BQ$1005,1,MATCH(COLUMNS($AO$1006:BC1006),$AO$1006:$BQ$1006,0))&gt;=100000), " ",IF(INDEX($AO$2:$BQ$1001,MATCH(ROWS($AH$2:AH538),$AH$2:$AH$1001,0),MATCH(COLUMNS($AO$1006:BC1006),$AO$1006:$BQ$1006,0)), HYPERLINK("#",""), HYPERLINK(CONCATENATE("#Metadata!", ADDRESS(INDEX($AJ$2:$AJ$1001,MATCH(ROWS($AH$2:AH538),$AH$2:$AH$1001,0),0), INDEX($AO$1004:$BQ$1004,1,MATCH(COLUMNS($AO$1006:BC1006),$AO$1006:$BQ$1006,0)))),"Fix")))</f>
        <v>#N/A</v>
      </c>
      <c r="Q538" s="5" t="e">
        <f ca="1">IF(OR(INDEX($AI$2:$AI$1001,MATCH(ROWS($AH$2:AH538),$AH$2:$AH$1001,0),1)&gt;=100000,INDEX($AO$1005:$BQ$1005,1,MATCH(COLUMNS($AO$1006:BD1006),$AO$1006:$BQ$1006,0))&gt;=100000), " ",IF(INDEX($AO$2:$BQ$1001,MATCH(ROWS($AH$2:AH538),$AH$2:$AH$1001,0),MATCH(COLUMNS($AO$1006:BD1006),$AO$1006:$BQ$1006,0)), HYPERLINK("#",""), HYPERLINK(CONCATENATE("#Metadata!", ADDRESS(INDEX($AJ$2:$AJ$1001,MATCH(ROWS($AH$2:AH538),$AH$2:$AH$1001,0),0), INDEX($AO$1004:$BQ$1004,1,MATCH(COLUMNS($AO$1006:BD1006),$AO$1006:$BQ$1006,0)))),"Fix")))</f>
        <v>#N/A</v>
      </c>
      <c r="R538" s="5" t="e">
        <f ca="1">IF(OR(INDEX($AI$2:$AI$1001,MATCH(ROWS($AH$2:AH538),$AH$2:$AH$1001,0),1)&gt;=100000,INDEX($AO$1005:$BQ$1005,1,MATCH(COLUMNS($AO$1006:BE1006),$AO$1006:$BQ$1006,0))&gt;=100000), " ",IF(INDEX($AO$2:$BQ$1001,MATCH(ROWS($AH$2:AH538),$AH$2:$AH$1001,0),MATCH(COLUMNS($AO$1006:BE1006),$AO$1006:$BQ$1006,0)), HYPERLINK("#",""), HYPERLINK(CONCATENATE("#Metadata!", ADDRESS(INDEX($AJ$2:$AJ$1001,MATCH(ROWS($AH$2:AH538),$AH$2:$AH$1001,0),0), INDEX($AO$1004:$BQ$1004,1,MATCH(COLUMNS($AO$1006:BE1006),$AO$1006:$BQ$1006,0)))),"Fix")))</f>
        <v>#N/A</v>
      </c>
      <c r="S538" s="5" t="e">
        <f ca="1">IF(OR(INDEX($AI$2:$AI$1001,MATCH(ROWS($AH$2:AH538),$AH$2:$AH$1001,0),1)&gt;=100000,INDEX($AO$1005:$BQ$1005,1,MATCH(COLUMNS($AO$1006:BF1006),$AO$1006:$BQ$1006,0))&gt;=100000), " ",IF(INDEX($AO$2:$BQ$1001,MATCH(ROWS($AH$2:AH538),$AH$2:$AH$1001,0),MATCH(COLUMNS($AO$1006:BF1006),$AO$1006:$BQ$1006,0)), HYPERLINK("#",""), HYPERLINK(CONCATENATE("#Metadata!", ADDRESS(INDEX($AJ$2:$AJ$1001,MATCH(ROWS($AH$2:AH538),$AH$2:$AH$1001,0),0), INDEX($AO$1004:$BQ$1004,1,MATCH(COLUMNS($AO$1006:BF1006),$AO$1006:$BQ$1006,0)))),"Fix")))</f>
        <v>#N/A</v>
      </c>
      <c r="T538" s="5" t="e">
        <f ca="1">IF(OR(INDEX($AI$2:$AI$1001,MATCH(ROWS($AH$2:AH538),$AH$2:$AH$1001,0),1)&gt;=100000,INDEX($AO$1005:$BQ$1005,1,MATCH(COLUMNS($AO$1006:BG1006),$AO$1006:$BQ$1006,0))&gt;=100000), " ",IF(INDEX($AO$2:$BQ$1001,MATCH(ROWS($AH$2:AH538),$AH$2:$AH$1001,0),MATCH(COLUMNS($AO$1006:BG1006),$AO$1006:$BQ$1006,0)), HYPERLINK("#",""), HYPERLINK(CONCATENATE("#Metadata!", ADDRESS(INDEX($AJ$2:$AJ$1001,MATCH(ROWS($AH$2:AH538),$AH$2:$AH$1001,0),0), INDEX($AO$1004:$BQ$1004,1,MATCH(COLUMNS($AO$1006:BG1006),$AO$1006:$BQ$1006,0)))),"Fix")))</f>
        <v>#N/A</v>
      </c>
      <c r="U538" s="5" t="e">
        <f ca="1">IF(OR(INDEX($AI$2:$AI$1001,MATCH(ROWS($AH$2:AH538),$AH$2:$AH$1001,0),1)&gt;=100000,INDEX($AO$1005:$BQ$1005,1,MATCH(COLUMNS($AO$1006:BH1006),$AO$1006:$BQ$1006,0))&gt;=100000), " ",IF(INDEX($AO$2:$BQ$1001,MATCH(ROWS($AH$2:AH538),$AH$2:$AH$1001,0),MATCH(COLUMNS($AO$1006:BH1006),$AO$1006:$BQ$1006,0)), HYPERLINK("#",""), HYPERLINK(CONCATENATE("#Metadata!", ADDRESS(INDEX($AJ$2:$AJ$1001,MATCH(ROWS($AH$2:AH538),$AH$2:$AH$1001,0),0), INDEX($AO$1004:$BQ$1004,1,MATCH(COLUMNS($AO$1006:BH1006),$AO$1006:$BQ$1006,0)))),"Fix")))</f>
        <v>#N/A</v>
      </c>
      <c r="V538" s="5" t="e">
        <f ca="1">IF(OR(INDEX($AI$2:$AI$1001,MATCH(ROWS($AH$2:AH538),$AH$2:$AH$1001,0),1)&gt;=100000,INDEX($AO$1005:$BQ$1005,1,MATCH(COLUMNS($AO$1006:BI1006),$AO$1006:$BQ$1006,0))&gt;=100000), " ",IF(INDEX($AO$2:$BQ$1001,MATCH(ROWS($AH$2:AH538),$AH$2:$AH$1001,0),MATCH(COLUMNS($AO$1006:BI1006),$AO$1006:$BQ$1006,0)), HYPERLINK("#",""), HYPERLINK(CONCATENATE("#Metadata!", ADDRESS(INDEX($AJ$2:$AJ$1001,MATCH(ROWS($AH$2:AH538),$AH$2:$AH$1001,0),0), INDEX($AO$1004:$BQ$1004,1,MATCH(COLUMNS($AO$1006:BI1006),$AO$1006:$BQ$1006,0)))),"Fix")))</f>
        <v>#N/A</v>
      </c>
      <c r="W538" s="5" t="e">
        <f ca="1">IF(OR(INDEX($AI$2:$AI$1001,MATCH(ROWS($AH$2:AH538),$AH$2:$AH$1001,0),1)&gt;=100000,INDEX($AO$1005:$BQ$1005,1,MATCH(COLUMNS($AO$1006:BJ1006),$AO$1006:$BQ$1006,0))&gt;=100000), " ",IF(INDEX($AO$2:$BQ$1001,MATCH(ROWS($AH$2:AH538),$AH$2:$AH$1001,0),MATCH(COLUMNS($AO$1006:BJ1006),$AO$1006:$BQ$1006,0)), HYPERLINK("#",""), HYPERLINK(CONCATENATE("#Metadata!", ADDRESS(INDEX($AJ$2:$AJ$1001,MATCH(ROWS($AH$2:AH538),$AH$2:$AH$1001,0),0), INDEX($AO$1004:$BQ$1004,1,MATCH(COLUMNS($AO$1006:BJ1006),$AO$1006:$BQ$1006,0)))),"Fix")))</f>
        <v>#N/A</v>
      </c>
      <c r="X538" s="5" t="e">
        <f ca="1">IF(OR(INDEX($AI$2:$AI$1001,MATCH(ROWS($AH$2:AH538),$AH$2:$AH$1001,0),1)&gt;=100000,INDEX($AO$1005:$BQ$1005,1,MATCH(COLUMNS($AO$1006:BK1006),$AO$1006:$BQ$1006,0))&gt;=100000), " ",IF(INDEX($AO$2:$BQ$1001,MATCH(ROWS($AH$2:AH538),$AH$2:$AH$1001,0),MATCH(COLUMNS($AO$1006:BK1006),$AO$1006:$BQ$1006,0)), HYPERLINK("#",""), HYPERLINK(CONCATENATE("#Metadata!", ADDRESS(INDEX($AJ$2:$AJ$1001,MATCH(ROWS($AH$2:AH538),$AH$2:$AH$1001,0),0), INDEX($AO$1004:$BQ$1004,1,MATCH(COLUMNS($AO$1006:BK1006),$AO$1006:$BQ$1006,0)))),"Fix")))</f>
        <v>#N/A</v>
      </c>
      <c r="Y538" s="5" t="e">
        <f ca="1">IF(OR(INDEX($AI$2:$AI$1001,MATCH(ROWS($AH$2:AH538),$AH$2:$AH$1001,0),1)&gt;=100000,INDEX($AO$1005:$BQ$1005,1,MATCH(COLUMNS($AO$1006:BL1006),$AO$1006:$BQ$1006,0))&gt;=100000), " ",IF(INDEX($AO$2:$BQ$1001,MATCH(ROWS($AH$2:AH538),$AH$2:$AH$1001,0),MATCH(COLUMNS($AO$1006:BL1006),$AO$1006:$BQ$1006,0)), HYPERLINK("#",""), HYPERLINK(CONCATENATE("#Metadata!", ADDRESS(INDEX($AJ$2:$AJ$1001,MATCH(ROWS($AH$2:AH538),$AH$2:$AH$1001,0),0), INDEX($AO$1004:$BQ$1004,1,MATCH(COLUMNS($AO$1006:BL1006),$AO$1006:$BQ$1006,0)))),"Fix")))</f>
        <v>#N/A</v>
      </c>
      <c r="Z538" s="5" t="e">
        <f ca="1">IF(OR(INDEX($AI$2:$AI$1001,MATCH(ROWS($AH$2:AH538),$AH$2:$AH$1001,0),1)&gt;=100000,INDEX($AO$1005:$BQ$1005,1,MATCH(COLUMNS($AO$1006:BM1006),$AO$1006:$BQ$1006,0))&gt;=100000), " ",IF(INDEX($AO$2:$BQ$1001,MATCH(ROWS($AH$2:AH538),$AH$2:$AH$1001,0),MATCH(COLUMNS($AO$1006:BM1006),$AO$1006:$BQ$1006,0)), HYPERLINK("#",""), HYPERLINK(CONCATENATE("#Metadata!", ADDRESS(INDEX($AJ$2:$AJ$1001,MATCH(ROWS($AH$2:AH538),$AH$2:$AH$1001,0),0), INDEX($AO$1004:$BQ$1004,1,MATCH(COLUMNS($AO$1006:BM1006),$AO$1006:$BQ$1006,0)))),"Fix")))</f>
        <v>#N/A</v>
      </c>
      <c r="AA538" s="5" t="e">
        <f ca="1">IF(OR(INDEX($AI$2:$AI$1001,MATCH(ROWS($AH$2:AH538),$AH$2:$AH$1001,0),1)&gt;=100000,INDEX($AO$1005:$BQ$1005,1,MATCH(COLUMNS($AO$1006:BN1006),$AO$1006:$BQ$1006,0))&gt;=100000), " ",IF(INDEX($AO$2:$BQ$1001,MATCH(ROWS($AH$2:AH538),$AH$2:$AH$1001,0),MATCH(COLUMNS($AO$1006:BN1006),$AO$1006:$BQ$1006,0)), HYPERLINK("#",""), HYPERLINK(CONCATENATE("#Metadata!", ADDRESS(INDEX($AJ$2:$AJ$1001,MATCH(ROWS($AH$2:AH538),$AH$2:$AH$1001,0),0), INDEX($AO$1004:$BQ$1004,1,MATCH(COLUMNS($AO$1006:BN1006),$AO$1006:$BQ$1006,0)))),"Fix")))</f>
        <v>#N/A</v>
      </c>
      <c r="AB538" s="5" t="e">
        <f ca="1">IF(OR(INDEX($AI$2:$AI$1001,MATCH(ROWS($AH$2:AH538),$AH$2:$AH$1001,0),1)&gt;=100000,INDEX($AO$1005:$BQ$1005,1,MATCH(COLUMNS($AO$1006:BO1006),$AO$1006:$BQ$1006,0))&gt;=100000), " ",IF(INDEX($AO$2:$BQ$1001,MATCH(ROWS($AH$2:AH538),$AH$2:$AH$1001,0),MATCH(COLUMNS($AO$1006:BO1006),$AO$1006:$BQ$1006,0)), HYPERLINK("#",""), HYPERLINK(CONCATENATE("#Metadata!", ADDRESS(INDEX($AJ$2:$AJ$1001,MATCH(ROWS($AH$2:AH538),$AH$2:$AH$1001,0),0), INDEX($AO$1004:$BQ$1004,1,MATCH(COLUMNS($AO$1006:BO1006),$AO$1006:$BQ$1006,0)))),"Fix")))</f>
        <v>#N/A</v>
      </c>
      <c r="AC538" s="5" t="e">
        <f ca="1">IF(OR(INDEX($AI$2:$AI$1001,MATCH(ROWS($AH$2:AH538),$AH$2:$AH$1001,0),1)&gt;=100000,INDEX($AO$1005:$BQ$1005,1,MATCH(COLUMNS($AO$1006:BP1006),$AO$1006:$BQ$1006,0))&gt;=100000), " ",IF(INDEX($AO$2:$BQ$1001,MATCH(ROWS($AH$2:AH538),$AH$2:$AH$1001,0),MATCH(COLUMNS($AO$1006:BP1006),$AO$1006:$BQ$1006,0)), HYPERLINK("#",""), HYPERLINK(CONCATENATE("#Metadata!", ADDRESS(INDEX($AJ$2:$AJ$1001,MATCH(ROWS($AH$2:AH538),$AH$2:$AH$1001,0),0), INDEX($AO$1004:$BQ$1004,1,MATCH(COLUMNS($AO$1006:BP1006),$AO$1006:$BQ$1006,0)))),"Fix")))</f>
        <v>#N/A</v>
      </c>
      <c r="AD538" s="5" t="e">
        <f ca="1">IF(OR(INDEX($AI$2:$AI$1001,MATCH(ROWS($AH$2:AH538),$AH$2:$AH$1001,0),1)&gt;=100000,INDEX($AO$1005:$BQ$1005,1,MATCH(COLUMNS($AO$1006:BQ1006),$AO$1006:$BQ$1006,0))&gt;=100000), " ",IF(INDEX($AO$2:$BQ$1001,MATCH(ROWS($AH$2:AH538),$AH$2:$AH$1001,0),MATCH(COLUMNS($AO$1006:BQ1006),$AO$1006:$BQ$1006,0)), HYPERLINK("#",""), HYPERLINK(CONCATENATE("#Metadata!", ADDRESS(INDEX($AJ$2:$AJ$1001,MATCH(ROWS($AH$2:AH538),$AH$2:$AH$1001,0),0), INDEX($AO$1004:$BQ$1004,1,MATCH(COLUMNS($AO$1006:BQ1006),$AO$1006:$BQ$1006,0)))),"Fix")))</f>
        <v>#REF!</v>
      </c>
      <c r="AH538">
        <f ca="1"/>
        <v>535</v>
      </c>
      <c r="AI538">
        <v>100538</v>
      </c>
      <c r="AJ538">
        <v>538</v>
      </c>
      <c r="AK538" t="b">
        <f t="shared" si="8"/>
        <v>1</v>
      </c>
      <c r="AL538" t="b">
        <f>COUNTBLANK(Metadata!B538:AD538)=COLUMNS(Metadata!B538:AD538)</f>
        <v>1</v>
      </c>
      <c r="AM538" t="str">
        <v/>
      </c>
      <c r="AO538" t="b">
        <f ca="1">AND(IF(Metadata!B538="",FALSE,TRUE),COUNTIF(Metadata!B:B, Metadata!B538) = 1,NOT(ISERROR(SUMPRODUCT(SEARCH(MID(Metadata!B538,ROW(INDIRECT("1:"&amp;LEN(Metadata!B538))), 1),"0123456789abcdefghijklmnopqrstuvwxyzABCDEFGHIJKLMNOPQRSTUVWXYZ.")))))</f>
        <v>0</v>
      </c>
      <c r="AP538" t="b">
        <f>IF(Metadata!C538="",FALSE,TRUE)</f>
        <v>0</v>
      </c>
      <c r="AQ538" t="b">
        <f>IF(Metadata!D538="",FALSE,TRUE)</f>
        <v>0</v>
      </c>
      <c r="AR538" t="b">
        <f ca="1">OR(AND(IF(Metadata!E538="",FALSE,TRUE),OR(EXACT(Metadata!E538,"not collected"),EXACT(Metadata!E538,"not provided"),EXACT(Metadata!E538,"restricted access"))),AND(IF(Metadata!E538="",FALSE,TRUE),AND(AND(IFERROR(INT(LEFT(Metadata!E538,4))&gt;1900,FALSE),IFERROR(INT(LEFT(Metadata!E538,4))&lt;=YEAR(NOW()),FALSE)), OR(MID(Metadata!E538,5,1)="", AND(AND(MID(Metadata!E538,5,1)="-",IFERROR(INT(MID(Metadata!E538,6,1))&gt;=0,FALSE),IFERROR(INT(MID(Metadata!E538,6,1))&lt;=1,FALSE),NOT(MID(Metadata!E538,7,1)=""),IFERROR(INT(MID(Metadata!E538,6,2))&gt;=1,FALSE),IFERROR(INT(MID(Metadata!E538,6,2))&lt;=12,FALSE)), OR(MID(Metadata!E538,8,1)="", AND(AND(MID(Metadata!E538,8,1)="-",IFERROR(INT(MID(Metadata!E538,9,1))&gt;=0,FALSE),IFERROR(INT(MID(Metadata!E538,9,1))&lt;=3,FALSE),NOT(MID(Metadata!E538,10,1)=""),IFERROR(INT(MID(Metadata!E538,9,2))&gt;=1,FALSE),IFERROR(INT(MID(Metadata!E538,9,2))&lt;=31,FALSE)), OR(MID(Metadata!E538,11,1)="", AND(AND(MID(Metadata!E538,11,1)=" ",IFERROR(INT(MID(Metadata!E538,12,1))&gt;=0,FALSE),IFERROR(INT(MID(Metadata!E538,12,1))&lt;=2,FALSE),NOT(MID(Metadata!E538,13,1)=""),IFERROR(INT(MID(Metadata!E538,12,2))&gt;=0,FALSE),IFERROR(INT(MID(Metadata!E538,12,2))&lt;=23,FALSE)), OR(MID(Metadata!E538,14,1)="", AND(AND(MID(Metadata!E538,14,1)=":",IFERROR(INT(MID(Metadata!E538,15,1))&gt;=0,FALSE),IFERROR(INT(MID(Metadata!E538,15,1))&lt;=5,FALSE),NOT(MID(Metadata!E538,16,1)=""),IFERROR(INT(MID(Metadata!E538,15,2))&gt;=0,FALSE),IFERROR(INT(MID(Metadata!E538,15,2))&lt;=59,FALSE)), OR(MID(Metadata!E538,17,1)="", AND(AND(MID(Metadata!E538,17,1)=":",IFERROR(INT(MID(Metadata!E538,18,1))&gt;=0,FALSE),IFERROR(INT(MID(Metadata!E538,18,1))&lt;=5,FALSE),NOT(MID(Metadata!E538,19,1)=""),IFERROR(INT(MID(Metadata!E538,18,2))&gt;=0,FALSE),IFERROR(INT(MID(Metadata!E538,18,2))&lt;=59,FALSE)), LEN(Metadata!E538)&lt;=19)))))))))))))</f>
        <v>0</v>
      </c>
      <c r="AS538" t="b">
        <f>IF(Metadata!F538="",FALSE,TRUE)</f>
        <v>0</v>
      </c>
      <c r="AT538" t="b">
        <f>OR(AND(IF(Metadata!G538="",FALSE,TRUE),OR(EXACT(Metadata!G538,"not collected"),EXACT(Metadata!G538,"not provided"))),AND(IF(Metadata!G538="",FALSE,TRUE),OR(EXACT(Metadata!G538,"TRUE"),EXACT(Metadata!G538,"FALSE"))))</f>
        <v>0</v>
      </c>
      <c r="AU538" t="b">
        <f>OR(AND(IF(Metadata!H538="",FALSE,TRUE),OR(EXACT(Metadata!H538,"not collected"),EXACT(Metadata!H538,"not provided"),EXACT(Metadata!H538,"restricted access"))),AND(IF(Metadata!H538="",FALSE,ISNUMBER(VALUE(Metadata!H538))),Metadata!H538&gt;=-413))</f>
        <v>0</v>
      </c>
      <c r="AV538" t="b">
        <f>AND(IF(Metadata!I538="",FALSE,TRUE),EXACT(Metadata!I538,"meters"))</f>
        <v>0</v>
      </c>
      <c r="AW538" t="b">
        <f>AND(IF(Metadata!J538="",FALSE,TRUE),EXACT(Metadata!J538,"free-living"))</f>
        <v>0</v>
      </c>
      <c r="AX538" t="b">
        <f>AND(IF(Metadata!K538="",FALSE,TRUE),OR(EXACT(Metadata!K538,"saline"),EXACT(Metadata!K538,"non-saline")))</f>
        <v>0</v>
      </c>
      <c r="AY538" t="b">
        <f>AND(IF(Metadata!L538="",FALSE,TRUE),OR(EXACT(Metadata!L538,"sub-surface (non-saline)"),EXACT(Metadata!L538,"surface (non-saline)"),EXACT(Metadata!L538,"water (non-saline)"),EXACT(Metadata!L538,"soil (non-saline)"),EXACT(Metadata!L538,"aerosol (non-saline)"),EXACT(Metadata!L538,"sediment (non-saline)"),EXACT(Metadata!L538,"surface (saline)"),EXACT(Metadata!L538,"water (saline)"),EXACT(Metadata!L538,"hypersaline (saline)"),EXACT(Metadata!L538,"aerosol (saline)"),EXACT(Metadata!L538,"sediment (saline)")))</f>
        <v>0</v>
      </c>
      <c r="AZ538" t="b">
        <f>IF(Metadata!M538="",FALSE,TRUE)</f>
        <v>0</v>
      </c>
      <c r="BA538" t="b">
        <f>IF(Metadata!N538="",FALSE,TRUE)</f>
        <v>0</v>
      </c>
      <c r="BB538" t="b">
        <f>IF(Metadata!O538="",FALSE,TRUE)</f>
        <v>0</v>
      </c>
      <c r="BC538" t="b">
        <f>AND(IF(Metadata!P538="",FALSE,TRUE),OR(EXACT(Metadata!P538,"air"),EXACT(Metadata!P538,"microbial mat/biofilm"),EXACT(Metadata!P538,"misc environment"),EXACT(Metadata!P538,"sediment"),EXACT(Metadata!P538,"soil"),EXACT(Metadata!P538,"wastewater/sludge"),EXACT(Metadata!P538,"water")))</f>
        <v>0</v>
      </c>
      <c r="BD538" t="b">
        <f>IF(Metadata!Q538="",FALSE,TRUE)</f>
        <v>0</v>
      </c>
      <c r="BE538" t="b">
        <f>IF(Metadata!R538="",FALSE,TRUE)</f>
        <v>0</v>
      </c>
      <c r="BF538" t="b">
        <f>OR(AND(IF(Metadata!S538="",FALSE,TRUE),OR(EXACT(Metadata!S538,"not collected"),EXACT(Metadata!S538,"not provided"),EXACT(Metadata!S538,"restricted access"))),AND(IF(Metadata!S538="",FALSE,ISNUMBER(VALUE(Metadata!S538))),Metadata!S538&gt;=-90,Metadata!S538&lt;=90))</f>
        <v>0</v>
      </c>
      <c r="BG538" t="b">
        <f>AND(IF(Metadata!T538="",FALSE,TRUE),EXACT(Metadata!T538,"Decimal degrees"))</f>
        <v>0</v>
      </c>
      <c r="BH538" t="b">
        <f>OR(AND(IF(Metadata!U538="",FALSE,TRUE),OR(EXACT(Metadata!U538,"not applicable"),EXACT(Metadata!U538,"not collected"))),IF(Metadata!U538="",FALSE,TRUE))</f>
        <v>0</v>
      </c>
      <c r="BI538" t="b">
        <f>OR(AND(IF(Metadata!V538="",FALSE,TRUE),OR(EXACT(Metadata!V538,"not collected"),EXACT(Metadata!V538,"not provided"),EXACT(Metadata!V538,"restricted access"))),AND(IF(Metadata!V538="",FALSE,ISNUMBER(VALUE(Metadata!V538))),Metadata!V538&gt;=-180,Metadata!V538&lt;=180))</f>
        <v>0</v>
      </c>
      <c r="BJ538" t="b">
        <f>AND(IF(Metadata!W538="",FALSE,TRUE),EXACT(Metadata!W538,"Decimal degrees"))</f>
        <v>0</v>
      </c>
      <c r="BK538" t="b">
        <f>IF(Metadata!X538="",FALSE,TRUE)</f>
        <v>0</v>
      </c>
      <c r="BL538" t="b">
        <f>OR(AND(IF(Metadata!Y538="",FALSE,TRUE),OR(EXACT(Metadata!Y538,"not collected"),EXACT(Metadata!Y538,"not provided"),EXACT(Metadata!Y538,"restricted access"))),AND(IF(Metadata!Y538="",FALSE,TRUE),OR(EXACT(Metadata!Y538,"TRUE"),EXACT(Metadata!Y538,"FALSE"))))</f>
        <v>0</v>
      </c>
      <c r="BM538" t="b">
        <f>OR(AND(IF(Metadata!Z538="",FALSE,TRUE),EXACT(Metadata!Z538,"not applicable")),AND(IF(Metadata!Z538="",FALSE,TRUE),OR(EXACT(Metadata!Z538,"beer"),EXACT(Metadata!Z538,"cheese"),EXACT(Metadata!Z538,"fresh water"),EXACT(Metadata!Z538,"marine sediment"),EXACT(Metadata!Z538,"sea water"),EXACT(Metadata!Z538,"sediment"),EXACT(Metadata!Z538,"soil"),EXACT(Metadata!Z538,"waste water"))))</f>
        <v>0</v>
      </c>
      <c r="BN538" t="b">
        <f>AND(IF(Metadata!AA538="",FALSE,TRUE),EXACT(Metadata!AA538,"metagenome"))</f>
        <v>0</v>
      </c>
      <c r="BO538" t="b">
        <f>AND(IF(Metadata!AB538="",FALSE,TRUE),EXACT(Metadata!AB538,"256318"))</f>
        <v>0</v>
      </c>
      <c r="BP538" t="b">
        <f>IF(Metadata!AC538="",FALSE,TRUE)</f>
        <v>0</v>
      </c>
      <c r="BQ538" t="b">
        <f>IF(Metadata!AD538="",FALSE,TRUE)</f>
        <v>0</v>
      </c>
    </row>
    <row r="539" spans="1:69" x14ac:dyDescent="0.2">
      <c r="A539" s="4" t="e">
        <f ca="1">IF(B539=" "," ",HYPERLINK(CONCATENATE("#metadata!",ADDRESS(INDEX($AJ$2:$AJ$1001,MATCH(ROWS($AH$2:AH539),$AH$2:$AH$1001,0),0),2)),INDEX($AM$2:$AM$1001,MATCH(ROWS($AH$2:AH539),$AH$2:$AH$1001,0),0)))</f>
        <v>#N/A</v>
      </c>
      <c r="B539" s="5" t="e">
        <f ca="1">IF(OR(INDEX($AI$2:$AI$1001,MATCH(ROWS($AH$2:AH539),$AH$2:$AH$1001,0),1)&gt;=100000,INDEX($AO$1005:$BQ$1005,1,MATCH(COLUMNS($AO$1006:AO1006),$AO$1006:$BQ$1006,0))&gt;=100000), " ",IF(INDEX($AO$2:$BQ$1001,MATCH(ROWS($AH$2:AH539),$AH$2:$AH$1001,0),MATCH(COLUMNS($AO$1006:AO1006),$AO$1006:$BQ$1006,0)), HYPERLINK("#",""), HYPERLINK(CONCATENATE("#Metadata!", ADDRESS(INDEX($AJ$2:$AJ$1001,MATCH(ROWS($AH$2:AH539),$AH$2:$AH$1001,0),0), INDEX($AO$1004:$BQ$1004,1,MATCH(COLUMNS($AO$1006:AO1006),$AO$1006:$BQ$1006,0)))),"Fix")))</f>
        <v>#N/A</v>
      </c>
      <c r="C539" s="5" t="e">
        <f ca="1">IF(OR(INDEX($AI$2:$AI$1001,MATCH(ROWS($AH$2:AH539),$AH$2:$AH$1001,0),1)&gt;=100000,INDEX($AO$1005:$BQ$1005,1,MATCH(COLUMNS($AO$1006:AP1006),$AO$1006:$BQ$1006,0))&gt;=100000), " ",IF(INDEX($AO$2:$BQ$1001,MATCH(ROWS($AH$2:AH539),$AH$2:$AH$1001,0),MATCH(COLUMNS($AO$1006:AP1006),$AO$1006:$BQ$1006,0)), HYPERLINK("#",""), HYPERLINK(CONCATENATE("#Metadata!", ADDRESS(INDEX($AJ$2:$AJ$1001,MATCH(ROWS($AH$2:AH539),$AH$2:$AH$1001,0),0), INDEX($AO$1004:$BQ$1004,1,MATCH(COLUMNS($AO$1006:AP1006),$AO$1006:$BQ$1006,0)))),"Fix")))</f>
        <v>#N/A</v>
      </c>
      <c r="D539" s="5" t="e">
        <f ca="1">IF(OR(INDEX($AI$2:$AI$1001,MATCH(ROWS($AH$2:AH539),$AH$2:$AH$1001,0),1)&gt;=100000,INDEX($AO$1005:$BQ$1005,1,MATCH(COLUMNS($AO$1006:AQ1006),$AO$1006:$BQ$1006,0))&gt;=100000), " ",IF(INDEX($AO$2:$BQ$1001,MATCH(ROWS($AH$2:AH539),$AH$2:$AH$1001,0),MATCH(COLUMNS($AO$1006:AQ1006),$AO$1006:$BQ$1006,0)), HYPERLINK("#",""), HYPERLINK(CONCATENATE("#Metadata!", ADDRESS(INDEX($AJ$2:$AJ$1001,MATCH(ROWS($AH$2:AH539),$AH$2:$AH$1001,0),0), INDEX($AO$1004:$BQ$1004,1,MATCH(COLUMNS($AO$1006:AQ1006),$AO$1006:$BQ$1006,0)))),"Fix")))</f>
        <v>#N/A</v>
      </c>
      <c r="E539" s="5" t="e">
        <f ca="1">IF(OR(INDEX($AI$2:$AI$1001,MATCH(ROWS($AH$2:AH539),$AH$2:$AH$1001,0),1)&gt;=100000,INDEX($AO$1005:$BQ$1005,1,MATCH(COLUMNS($AO$1006:AR1006),$AO$1006:$BQ$1006,0))&gt;=100000), " ",IF(INDEX($AO$2:$BQ$1001,MATCH(ROWS($AH$2:AH539),$AH$2:$AH$1001,0),MATCH(COLUMNS($AO$1006:AR1006),$AO$1006:$BQ$1006,0)), HYPERLINK("#",""), HYPERLINK(CONCATENATE("#Metadata!", ADDRESS(INDEX($AJ$2:$AJ$1001,MATCH(ROWS($AH$2:AH539),$AH$2:$AH$1001,0),0), INDEX($AO$1004:$BQ$1004,1,MATCH(COLUMNS($AO$1006:AR1006),$AO$1006:$BQ$1006,0)))),"Fix")))</f>
        <v>#N/A</v>
      </c>
      <c r="F539" s="5" t="e">
        <f ca="1">IF(OR(INDEX($AI$2:$AI$1001,MATCH(ROWS($AH$2:AH539),$AH$2:$AH$1001,0),1)&gt;=100000,INDEX($AO$1005:$BQ$1005,1,MATCH(COLUMNS($AO$1006:AS1006),$AO$1006:$BQ$1006,0))&gt;=100000), " ",IF(INDEX($AO$2:$BQ$1001,MATCH(ROWS($AH$2:AH539),$AH$2:$AH$1001,0),MATCH(COLUMNS($AO$1006:AS1006),$AO$1006:$BQ$1006,0)), HYPERLINK("#",""), HYPERLINK(CONCATENATE("#Metadata!", ADDRESS(INDEX($AJ$2:$AJ$1001,MATCH(ROWS($AH$2:AH539),$AH$2:$AH$1001,0),0), INDEX($AO$1004:$BQ$1004,1,MATCH(COLUMNS($AO$1006:AS1006),$AO$1006:$BQ$1006,0)))),"Fix")))</f>
        <v>#N/A</v>
      </c>
      <c r="G539" s="5" t="e">
        <f ca="1">IF(OR(INDEX($AI$2:$AI$1001,MATCH(ROWS($AH$2:AH539),$AH$2:$AH$1001,0),1)&gt;=100000,INDEX($AO$1005:$BQ$1005,1,MATCH(COLUMNS($AO$1006:AT1006),$AO$1006:$BQ$1006,0))&gt;=100000), " ",IF(INDEX($AO$2:$BQ$1001,MATCH(ROWS($AH$2:AH539),$AH$2:$AH$1001,0),MATCH(COLUMNS($AO$1006:AT1006),$AO$1006:$BQ$1006,0)), HYPERLINK("#",""), HYPERLINK(CONCATENATE("#Metadata!", ADDRESS(INDEX($AJ$2:$AJ$1001,MATCH(ROWS($AH$2:AH539),$AH$2:$AH$1001,0),0), INDEX($AO$1004:$BQ$1004,1,MATCH(COLUMNS($AO$1006:AT1006),$AO$1006:$BQ$1006,0)))),"Fix")))</f>
        <v>#N/A</v>
      </c>
      <c r="H539" s="5" t="e">
        <f ca="1">IF(OR(INDEX($AI$2:$AI$1001,MATCH(ROWS($AH$2:AH539),$AH$2:$AH$1001,0),1)&gt;=100000,INDEX($AO$1005:$BQ$1005,1,MATCH(COLUMNS($AO$1006:AU1006),$AO$1006:$BQ$1006,0))&gt;=100000), " ",IF(INDEX($AO$2:$BQ$1001,MATCH(ROWS($AH$2:AH539),$AH$2:$AH$1001,0),MATCH(COLUMNS($AO$1006:AU1006),$AO$1006:$BQ$1006,0)), HYPERLINK("#",""), HYPERLINK(CONCATENATE("#Metadata!", ADDRESS(INDEX($AJ$2:$AJ$1001,MATCH(ROWS($AH$2:AH539),$AH$2:$AH$1001,0),0), INDEX($AO$1004:$BQ$1004,1,MATCH(COLUMNS($AO$1006:AU1006),$AO$1006:$BQ$1006,0)))),"Fix")))</f>
        <v>#N/A</v>
      </c>
      <c r="I539" s="5" t="e">
        <f ca="1">IF(OR(INDEX($AI$2:$AI$1001,MATCH(ROWS($AH$2:AH539),$AH$2:$AH$1001,0),1)&gt;=100000,INDEX($AO$1005:$BQ$1005,1,MATCH(COLUMNS($AO$1006:AV1006),$AO$1006:$BQ$1006,0))&gt;=100000), " ",IF(INDEX($AO$2:$BQ$1001,MATCH(ROWS($AH$2:AH539),$AH$2:$AH$1001,0),MATCH(COLUMNS($AO$1006:AV1006),$AO$1006:$BQ$1006,0)), HYPERLINK("#",""), HYPERLINK(CONCATENATE("#Metadata!", ADDRESS(INDEX($AJ$2:$AJ$1001,MATCH(ROWS($AH$2:AH539),$AH$2:$AH$1001,0),0), INDEX($AO$1004:$BQ$1004,1,MATCH(COLUMNS($AO$1006:AV1006),$AO$1006:$BQ$1006,0)))),"Fix")))</f>
        <v>#N/A</v>
      </c>
      <c r="J539" s="5" t="e">
        <f ca="1">IF(OR(INDEX($AI$2:$AI$1001,MATCH(ROWS($AH$2:AH539),$AH$2:$AH$1001,0),1)&gt;=100000,INDEX($AO$1005:$BQ$1005,1,MATCH(COLUMNS($AO$1006:AW1006),$AO$1006:$BQ$1006,0))&gt;=100000), " ",IF(INDEX($AO$2:$BQ$1001,MATCH(ROWS($AH$2:AH539),$AH$2:$AH$1001,0),MATCH(COLUMNS($AO$1006:AW1006),$AO$1006:$BQ$1006,0)), HYPERLINK("#",""), HYPERLINK(CONCATENATE("#Metadata!", ADDRESS(INDEX($AJ$2:$AJ$1001,MATCH(ROWS($AH$2:AH539),$AH$2:$AH$1001,0),0), INDEX($AO$1004:$BQ$1004,1,MATCH(COLUMNS($AO$1006:AW1006),$AO$1006:$BQ$1006,0)))),"Fix")))</f>
        <v>#N/A</v>
      </c>
      <c r="K539" s="5" t="e">
        <f ca="1">IF(OR(INDEX($AI$2:$AI$1001,MATCH(ROWS($AH$2:AH539),$AH$2:$AH$1001,0),1)&gt;=100000,INDEX($AO$1005:$BQ$1005,1,MATCH(COLUMNS($AO$1006:AX1006),$AO$1006:$BQ$1006,0))&gt;=100000), " ",IF(INDEX($AO$2:$BQ$1001,MATCH(ROWS($AH$2:AH539),$AH$2:$AH$1001,0),MATCH(COLUMNS($AO$1006:AX1006),$AO$1006:$BQ$1006,0)), HYPERLINK("#",""), HYPERLINK(CONCATENATE("#Metadata!", ADDRESS(INDEX($AJ$2:$AJ$1001,MATCH(ROWS($AH$2:AH539),$AH$2:$AH$1001,0),0), INDEX($AO$1004:$BQ$1004,1,MATCH(COLUMNS($AO$1006:AX1006),$AO$1006:$BQ$1006,0)))),"Fix")))</f>
        <v>#N/A</v>
      </c>
      <c r="L539" s="5" t="e">
        <f ca="1">IF(OR(INDEX($AI$2:$AI$1001,MATCH(ROWS($AH$2:AH539),$AH$2:$AH$1001,0),1)&gt;=100000,INDEX($AO$1005:$BQ$1005,1,MATCH(COLUMNS($AO$1006:AY1006),$AO$1006:$BQ$1006,0))&gt;=100000), " ",IF(INDEX($AO$2:$BQ$1001,MATCH(ROWS($AH$2:AH539),$AH$2:$AH$1001,0),MATCH(COLUMNS($AO$1006:AY1006),$AO$1006:$BQ$1006,0)), HYPERLINK("#",""), HYPERLINK(CONCATENATE("#Metadata!", ADDRESS(INDEX($AJ$2:$AJ$1001,MATCH(ROWS($AH$2:AH539),$AH$2:$AH$1001,0),0), INDEX($AO$1004:$BQ$1004,1,MATCH(COLUMNS($AO$1006:AY1006),$AO$1006:$BQ$1006,0)))),"Fix")))</f>
        <v>#N/A</v>
      </c>
      <c r="M539" s="5" t="e">
        <f ca="1">IF(OR(INDEX($AI$2:$AI$1001,MATCH(ROWS($AH$2:AH539),$AH$2:$AH$1001,0),1)&gt;=100000,INDEX($AO$1005:$BQ$1005,1,MATCH(COLUMNS($AO$1006:AZ1006),$AO$1006:$BQ$1006,0))&gt;=100000), " ",IF(INDEX($AO$2:$BQ$1001,MATCH(ROWS($AH$2:AH539),$AH$2:$AH$1001,0),MATCH(COLUMNS($AO$1006:AZ1006),$AO$1006:$BQ$1006,0)), HYPERLINK("#",""), HYPERLINK(CONCATENATE("#Metadata!", ADDRESS(INDEX($AJ$2:$AJ$1001,MATCH(ROWS($AH$2:AH539),$AH$2:$AH$1001,0),0), INDEX($AO$1004:$BQ$1004,1,MATCH(COLUMNS($AO$1006:AZ1006),$AO$1006:$BQ$1006,0)))),"Fix")))</f>
        <v>#N/A</v>
      </c>
      <c r="N539" s="5" t="e">
        <f ca="1">IF(OR(INDEX($AI$2:$AI$1001,MATCH(ROWS($AH$2:AH539),$AH$2:$AH$1001,0),1)&gt;=100000,INDEX($AO$1005:$BQ$1005,1,MATCH(COLUMNS($AO$1006:BA1006),$AO$1006:$BQ$1006,0))&gt;=100000), " ",IF(INDEX($AO$2:$BQ$1001,MATCH(ROWS($AH$2:AH539),$AH$2:$AH$1001,0),MATCH(COLUMNS($AO$1006:BA1006),$AO$1006:$BQ$1006,0)), HYPERLINK("#",""), HYPERLINK(CONCATENATE("#Metadata!", ADDRESS(INDEX($AJ$2:$AJ$1001,MATCH(ROWS($AH$2:AH539),$AH$2:$AH$1001,0),0), INDEX($AO$1004:$BQ$1004,1,MATCH(COLUMNS($AO$1006:BA1006),$AO$1006:$BQ$1006,0)))),"Fix")))</f>
        <v>#N/A</v>
      </c>
      <c r="O539" s="5" t="e">
        <f ca="1">IF(OR(INDEX($AI$2:$AI$1001,MATCH(ROWS($AH$2:AH539),$AH$2:$AH$1001,0),1)&gt;=100000,INDEX($AO$1005:$BQ$1005,1,MATCH(COLUMNS($AO$1006:BB1006),$AO$1006:$BQ$1006,0))&gt;=100000), " ",IF(INDEX($AO$2:$BQ$1001,MATCH(ROWS($AH$2:AH539),$AH$2:$AH$1001,0),MATCH(COLUMNS($AO$1006:BB1006),$AO$1006:$BQ$1006,0)), HYPERLINK("#",""), HYPERLINK(CONCATENATE("#Metadata!", ADDRESS(INDEX($AJ$2:$AJ$1001,MATCH(ROWS($AH$2:AH539),$AH$2:$AH$1001,0),0), INDEX($AO$1004:$BQ$1004,1,MATCH(COLUMNS($AO$1006:BB1006),$AO$1006:$BQ$1006,0)))),"Fix")))</f>
        <v>#N/A</v>
      </c>
      <c r="P539" s="5" t="e">
        <f ca="1">IF(OR(INDEX($AI$2:$AI$1001,MATCH(ROWS($AH$2:AH539),$AH$2:$AH$1001,0),1)&gt;=100000,INDEX($AO$1005:$BQ$1005,1,MATCH(COLUMNS($AO$1006:BC1006),$AO$1006:$BQ$1006,0))&gt;=100000), " ",IF(INDEX($AO$2:$BQ$1001,MATCH(ROWS($AH$2:AH539),$AH$2:$AH$1001,0),MATCH(COLUMNS($AO$1006:BC1006),$AO$1006:$BQ$1006,0)), HYPERLINK("#",""), HYPERLINK(CONCATENATE("#Metadata!", ADDRESS(INDEX($AJ$2:$AJ$1001,MATCH(ROWS($AH$2:AH539),$AH$2:$AH$1001,0),0), INDEX($AO$1004:$BQ$1004,1,MATCH(COLUMNS($AO$1006:BC1006),$AO$1006:$BQ$1006,0)))),"Fix")))</f>
        <v>#N/A</v>
      </c>
      <c r="Q539" s="5" t="e">
        <f ca="1">IF(OR(INDEX($AI$2:$AI$1001,MATCH(ROWS($AH$2:AH539),$AH$2:$AH$1001,0),1)&gt;=100000,INDEX($AO$1005:$BQ$1005,1,MATCH(COLUMNS($AO$1006:BD1006),$AO$1006:$BQ$1006,0))&gt;=100000), " ",IF(INDEX($AO$2:$BQ$1001,MATCH(ROWS($AH$2:AH539),$AH$2:$AH$1001,0),MATCH(COLUMNS($AO$1006:BD1006),$AO$1006:$BQ$1006,0)), HYPERLINK("#",""), HYPERLINK(CONCATENATE("#Metadata!", ADDRESS(INDEX($AJ$2:$AJ$1001,MATCH(ROWS($AH$2:AH539),$AH$2:$AH$1001,0),0), INDEX($AO$1004:$BQ$1004,1,MATCH(COLUMNS($AO$1006:BD1006),$AO$1006:$BQ$1006,0)))),"Fix")))</f>
        <v>#N/A</v>
      </c>
      <c r="R539" s="5" t="e">
        <f ca="1">IF(OR(INDEX($AI$2:$AI$1001,MATCH(ROWS($AH$2:AH539),$AH$2:$AH$1001,0),1)&gt;=100000,INDEX($AO$1005:$BQ$1005,1,MATCH(COLUMNS($AO$1006:BE1006),$AO$1006:$BQ$1006,0))&gt;=100000), " ",IF(INDEX($AO$2:$BQ$1001,MATCH(ROWS($AH$2:AH539),$AH$2:$AH$1001,0),MATCH(COLUMNS($AO$1006:BE1006),$AO$1006:$BQ$1006,0)), HYPERLINK("#",""), HYPERLINK(CONCATENATE("#Metadata!", ADDRESS(INDEX($AJ$2:$AJ$1001,MATCH(ROWS($AH$2:AH539),$AH$2:$AH$1001,0),0), INDEX($AO$1004:$BQ$1004,1,MATCH(COLUMNS($AO$1006:BE1006),$AO$1006:$BQ$1006,0)))),"Fix")))</f>
        <v>#N/A</v>
      </c>
      <c r="S539" s="5" t="e">
        <f ca="1">IF(OR(INDEX($AI$2:$AI$1001,MATCH(ROWS($AH$2:AH539),$AH$2:$AH$1001,0),1)&gt;=100000,INDEX($AO$1005:$BQ$1005,1,MATCH(COLUMNS($AO$1006:BF1006),$AO$1006:$BQ$1006,0))&gt;=100000), " ",IF(INDEX($AO$2:$BQ$1001,MATCH(ROWS($AH$2:AH539),$AH$2:$AH$1001,0),MATCH(COLUMNS($AO$1006:BF1006),$AO$1006:$BQ$1006,0)), HYPERLINK("#",""), HYPERLINK(CONCATENATE("#Metadata!", ADDRESS(INDEX($AJ$2:$AJ$1001,MATCH(ROWS($AH$2:AH539),$AH$2:$AH$1001,0),0), INDEX($AO$1004:$BQ$1004,1,MATCH(COLUMNS($AO$1006:BF1006),$AO$1006:$BQ$1006,0)))),"Fix")))</f>
        <v>#N/A</v>
      </c>
      <c r="T539" s="5" t="e">
        <f ca="1">IF(OR(INDEX($AI$2:$AI$1001,MATCH(ROWS($AH$2:AH539),$AH$2:$AH$1001,0),1)&gt;=100000,INDEX($AO$1005:$BQ$1005,1,MATCH(COLUMNS($AO$1006:BG1006),$AO$1006:$BQ$1006,0))&gt;=100000), " ",IF(INDEX($AO$2:$BQ$1001,MATCH(ROWS($AH$2:AH539),$AH$2:$AH$1001,0),MATCH(COLUMNS($AO$1006:BG1006),$AO$1006:$BQ$1006,0)), HYPERLINK("#",""), HYPERLINK(CONCATENATE("#Metadata!", ADDRESS(INDEX($AJ$2:$AJ$1001,MATCH(ROWS($AH$2:AH539),$AH$2:$AH$1001,0),0), INDEX($AO$1004:$BQ$1004,1,MATCH(COLUMNS($AO$1006:BG1006),$AO$1006:$BQ$1006,0)))),"Fix")))</f>
        <v>#N/A</v>
      </c>
      <c r="U539" s="5" t="e">
        <f ca="1">IF(OR(INDEX($AI$2:$AI$1001,MATCH(ROWS($AH$2:AH539),$AH$2:$AH$1001,0),1)&gt;=100000,INDEX($AO$1005:$BQ$1005,1,MATCH(COLUMNS($AO$1006:BH1006),$AO$1006:$BQ$1006,0))&gt;=100000), " ",IF(INDEX($AO$2:$BQ$1001,MATCH(ROWS($AH$2:AH539),$AH$2:$AH$1001,0),MATCH(COLUMNS($AO$1006:BH1006),$AO$1006:$BQ$1006,0)), HYPERLINK("#",""), HYPERLINK(CONCATENATE("#Metadata!", ADDRESS(INDEX($AJ$2:$AJ$1001,MATCH(ROWS($AH$2:AH539),$AH$2:$AH$1001,0),0), INDEX($AO$1004:$BQ$1004,1,MATCH(COLUMNS($AO$1006:BH1006),$AO$1006:$BQ$1006,0)))),"Fix")))</f>
        <v>#N/A</v>
      </c>
      <c r="V539" s="5" t="e">
        <f ca="1">IF(OR(INDEX($AI$2:$AI$1001,MATCH(ROWS($AH$2:AH539),$AH$2:$AH$1001,0),1)&gt;=100000,INDEX($AO$1005:$BQ$1005,1,MATCH(COLUMNS($AO$1006:BI1006),$AO$1006:$BQ$1006,0))&gt;=100000), " ",IF(INDEX($AO$2:$BQ$1001,MATCH(ROWS($AH$2:AH539),$AH$2:$AH$1001,0),MATCH(COLUMNS($AO$1006:BI1006),$AO$1006:$BQ$1006,0)), HYPERLINK("#",""), HYPERLINK(CONCATENATE("#Metadata!", ADDRESS(INDEX($AJ$2:$AJ$1001,MATCH(ROWS($AH$2:AH539),$AH$2:$AH$1001,0),0), INDEX($AO$1004:$BQ$1004,1,MATCH(COLUMNS($AO$1006:BI1006),$AO$1006:$BQ$1006,0)))),"Fix")))</f>
        <v>#N/A</v>
      </c>
      <c r="W539" s="5" t="e">
        <f ca="1">IF(OR(INDEX($AI$2:$AI$1001,MATCH(ROWS($AH$2:AH539),$AH$2:$AH$1001,0),1)&gt;=100000,INDEX($AO$1005:$BQ$1005,1,MATCH(COLUMNS($AO$1006:BJ1006),$AO$1006:$BQ$1006,0))&gt;=100000), " ",IF(INDEX($AO$2:$BQ$1001,MATCH(ROWS($AH$2:AH539),$AH$2:$AH$1001,0),MATCH(COLUMNS($AO$1006:BJ1006),$AO$1006:$BQ$1006,0)), HYPERLINK("#",""), HYPERLINK(CONCATENATE("#Metadata!", ADDRESS(INDEX($AJ$2:$AJ$1001,MATCH(ROWS($AH$2:AH539),$AH$2:$AH$1001,0),0), INDEX($AO$1004:$BQ$1004,1,MATCH(COLUMNS($AO$1006:BJ1006),$AO$1006:$BQ$1006,0)))),"Fix")))</f>
        <v>#N/A</v>
      </c>
      <c r="X539" s="5" t="e">
        <f ca="1">IF(OR(INDEX($AI$2:$AI$1001,MATCH(ROWS($AH$2:AH539),$AH$2:$AH$1001,0),1)&gt;=100000,INDEX($AO$1005:$BQ$1005,1,MATCH(COLUMNS($AO$1006:BK1006),$AO$1006:$BQ$1006,0))&gt;=100000), " ",IF(INDEX($AO$2:$BQ$1001,MATCH(ROWS($AH$2:AH539),$AH$2:$AH$1001,0),MATCH(COLUMNS($AO$1006:BK1006),$AO$1006:$BQ$1006,0)), HYPERLINK("#",""), HYPERLINK(CONCATENATE("#Metadata!", ADDRESS(INDEX($AJ$2:$AJ$1001,MATCH(ROWS($AH$2:AH539),$AH$2:$AH$1001,0),0), INDEX($AO$1004:$BQ$1004,1,MATCH(COLUMNS($AO$1006:BK1006),$AO$1006:$BQ$1006,0)))),"Fix")))</f>
        <v>#N/A</v>
      </c>
      <c r="Y539" s="5" t="e">
        <f ca="1">IF(OR(INDEX($AI$2:$AI$1001,MATCH(ROWS($AH$2:AH539),$AH$2:$AH$1001,0),1)&gt;=100000,INDEX($AO$1005:$BQ$1005,1,MATCH(COLUMNS($AO$1006:BL1006),$AO$1006:$BQ$1006,0))&gt;=100000), " ",IF(INDEX($AO$2:$BQ$1001,MATCH(ROWS($AH$2:AH539),$AH$2:$AH$1001,0),MATCH(COLUMNS($AO$1006:BL1006),$AO$1006:$BQ$1006,0)), HYPERLINK("#",""), HYPERLINK(CONCATENATE("#Metadata!", ADDRESS(INDEX($AJ$2:$AJ$1001,MATCH(ROWS($AH$2:AH539),$AH$2:$AH$1001,0),0), INDEX($AO$1004:$BQ$1004,1,MATCH(COLUMNS($AO$1006:BL1006),$AO$1006:$BQ$1006,0)))),"Fix")))</f>
        <v>#N/A</v>
      </c>
      <c r="Z539" s="5" t="e">
        <f ca="1">IF(OR(INDEX($AI$2:$AI$1001,MATCH(ROWS($AH$2:AH539),$AH$2:$AH$1001,0),1)&gt;=100000,INDEX($AO$1005:$BQ$1005,1,MATCH(COLUMNS($AO$1006:BM1006),$AO$1006:$BQ$1006,0))&gt;=100000), " ",IF(INDEX($AO$2:$BQ$1001,MATCH(ROWS($AH$2:AH539),$AH$2:$AH$1001,0),MATCH(COLUMNS($AO$1006:BM1006),$AO$1006:$BQ$1006,0)), HYPERLINK("#",""), HYPERLINK(CONCATENATE("#Metadata!", ADDRESS(INDEX($AJ$2:$AJ$1001,MATCH(ROWS($AH$2:AH539),$AH$2:$AH$1001,0),0), INDEX($AO$1004:$BQ$1004,1,MATCH(COLUMNS($AO$1006:BM1006),$AO$1006:$BQ$1006,0)))),"Fix")))</f>
        <v>#N/A</v>
      </c>
      <c r="AA539" s="5" t="e">
        <f ca="1">IF(OR(INDEX($AI$2:$AI$1001,MATCH(ROWS($AH$2:AH539),$AH$2:$AH$1001,0),1)&gt;=100000,INDEX($AO$1005:$BQ$1005,1,MATCH(COLUMNS($AO$1006:BN1006),$AO$1006:$BQ$1006,0))&gt;=100000), " ",IF(INDEX($AO$2:$BQ$1001,MATCH(ROWS($AH$2:AH539),$AH$2:$AH$1001,0),MATCH(COLUMNS($AO$1006:BN1006),$AO$1006:$BQ$1006,0)), HYPERLINK("#",""), HYPERLINK(CONCATENATE("#Metadata!", ADDRESS(INDEX($AJ$2:$AJ$1001,MATCH(ROWS($AH$2:AH539),$AH$2:$AH$1001,0),0), INDEX($AO$1004:$BQ$1004,1,MATCH(COLUMNS($AO$1006:BN1006),$AO$1006:$BQ$1006,0)))),"Fix")))</f>
        <v>#N/A</v>
      </c>
      <c r="AB539" s="5" t="e">
        <f ca="1">IF(OR(INDEX($AI$2:$AI$1001,MATCH(ROWS($AH$2:AH539),$AH$2:$AH$1001,0),1)&gt;=100000,INDEX($AO$1005:$BQ$1005,1,MATCH(COLUMNS($AO$1006:BO1006),$AO$1006:$BQ$1006,0))&gt;=100000), " ",IF(INDEX($AO$2:$BQ$1001,MATCH(ROWS($AH$2:AH539),$AH$2:$AH$1001,0),MATCH(COLUMNS($AO$1006:BO1006),$AO$1006:$BQ$1006,0)), HYPERLINK("#",""), HYPERLINK(CONCATENATE("#Metadata!", ADDRESS(INDEX($AJ$2:$AJ$1001,MATCH(ROWS($AH$2:AH539),$AH$2:$AH$1001,0),0), INDEX($AO$1004:$BQ$1004,1,MATCH(COLUMNS($AO$1006:BO1006),$AO$1006:$BQ$1006,0)))),"Fix")))</f>
        <v>#N/A</v>
      </c>
      <c r="AC539" s="5" t="e">
        <f ca="1">IF(OR(INDEX($AI$2:$AI$1001,MATCH(ROWS($AH$2:AH539),$AH$2:$AH$1001,0),1)&gt;=100000,INDEX($AO$1005:$BQ$1005,1,MATCH(COLUMNS($AO$1006:BP1006),$AO$1006:$BQ$1006,0))&gt;=100000), " ",IF(INDEX($AO$2:$BQ$1001,MATCH(ROWS($AH$2:AH539),$AH$2:$AH$1001,0),MATCH(COLUMNS($AO$1006:BP1006),$AO$1006:$BQ$1006,0)), HYPERLINK("#",""), HYPERLINK(CONCATENATE("#Metadata!", ADDRESS(INDEX($AJ$2:$AJ$1001,MATCH(ROWS($AH$2:AH539),$AH$2:$AH$1001,0),0), INDEX($AO$1004:$BQ$1004,1,MATCH(COLUMNS($AO$1006:BP1006),$AO$1006:$BQ$1006,0)))),"Fix")))</f>
        <v>#N/A</v>
      </c>
      <c r="AD539" s="5" t="e">
        <f ca="1">IF(OR(INDEX($AI$2:$AI$1001,MATCH(ROWS($AH$2:AH539),$AH$2:$AH$1001,0),1)&gt;=100000,INDEX($AO$1005:$BQ$1005,1,MATCH(COLUMNS($AO$1006:BQ1006),$AO$1006:$BQ$1006,0))&gt;=100000), " ",IF(INDEX($AO$2:$BQ$1001,MATCH(ROWS($AH$2:AH539),$AH$2:$AH$1001,0),MATCH(COLUMNS($AO$1006:BQ1006),$AO$1006:$BQ$1006,0)), HYPERLINK("#",""), HYPERLINK(CONCATENATE("#Metadata!", ADDRESS(INDEX($AJ$2:$AJ$1001,MATCH(ROWS($AH$2:AH539),$AH$2:$AH$1001,0),0), INDEX($AO$1004:$BQ$1004,1,MATCH(COLUMNS($AO$1006:BQ1006),$AO$1006:$BQ$1006,0)))),"Fix")))</f>
        <v>#REF!</v>
      </c>
      <c r="AH539">
        <f ca="1"/>
        <v>536</v>
      </c>
      <c r="AI539">
        <v>100539</v>
      </c>
      <c r="AJ539">
        <v>539</v>
      </c>
      <c r="AK539" t="b">
        <f t="shared" si="8"/>
        <v>1</v>
      </c>
      <c r="AL539" t="b">
        <f>COUNTBLANK(Metadata!B539:AD539)=COLUMNS(Metadata!B539:AD539)</f>
        <v>1</v>
      </c>
      <c r="AM539" t="str">
        <v/>
      </c>
      <c r="AO539" t="b">
        <f ca="1">AND(IF(Metadata!B539="",FALSE,TRUE),COUNTIF(Metadata!B:B, Metadata!B539) = 1,NOT(ISERROR(SUMPRODUCT(SEARCH(MID(Metadata!B539,ROW(INDIRECT("1:"&amp;LEN(Metadata!B539))), 1),"0123456789abcdefghijklmnopqrstuvwxyzABCDEFGHIJKLMNOPQRSTUVWXYZ.")))))</f>
        <v>0</v>
      </c>
      <c r="AP539" t="b">
        <f>IF(Metadata!C539="",FALSE,TRUE)</f>
        <v>0</v>
      </c>
      <c r="AQ539" t="b">
        <f>IF(Metadata!D539="",FALSE,TRUE)</f>
        <v>0</v>
      </c>
      <c r="AR539" t="b">
        <f ca="1">OR(AND(IF(Metadata!E539="",FALSE,TRUE),OR(EXACT(Metadata!E539,"not collected"),EXACT(Metadata!E539,"not provided"),EXACT(Metadata!E539,"restricted access"))),AND(IF(Metadata!E539="",FALSE,TRUE),AND(AND(IFERROR(INT(LEFT(Metadata!E539,4))&gt;1900,FALSE),IFERROR(INT(LEFT(Metadata!E539,4))&lt;=YEAR(NOW()),FALSE)), OR(MID(Metadata!E539,5,1)="", AND(AND(MID(Metadata!E539,5,1)="-",IFERROR(INT(MID(Metadata!E539,6,1))&gt;=0,FALSE),IFERROR(INT(MID(Metadata!E539,6,1))&lt;=1,FALSE),NOT(MID(Metadata!E539,7,1)=""),IFERROR(INT(MID(Metadata!E539,6,2))&gt;=1,FALSE),IFERROR(INT(MID(Metadata!E539,6,2))&lt;=12,FALSE)), OR(MID(Metadata!E539,8,1)="", AND(AND(MID(Metadata!E539,8,1)="-",IFERROR(INT(MID(Metadata!E539,9,1))&gt;=0,FALSE),IFERROR(INT(MID(Metadata!E539,9,1))&lt;=3,FALSE),NOT(MID(Metadata!E539,10,1)=""),IFERROR(INT(MID(Metadata!E539,9,2))&gt;=1,FALSE),IFERROR(INT(MID(Metadata!E539,9,2))&lt;=31,FALSE)), OR(MID(Metadata!E539,11,1)="", AND(AND(MID(Metadata!E539,11,1)=" ",IFERROR(INT(MID(Metadata!E539,12,1))&gt;=0,FALSE),IFERROR(INT(MID(Metadata!E539,12,1))&lt;=2,FALSE),NOT(MID(Metadata!E539,13,1)=""),IFERROR(INT(MID(Metadata!E539,12,2))&gt;=0,FALSE),IFERROR(INT(MID(Metadata!E539,12,2))&lt;=23,FALSE)), OR(MID(Metadata!E539,14,1)="", AND(AND(MID(Metadata!E539,14,1)=":",IFERROR(INT(MID(Metadata!E539,15,1))&gt;=0,FALSE),IFERROR(INT(MID(Metadata!E539,15,1))&lt;=5,FALSE),NOT(MID(Metadata!E539,16,1)=""),IFERROR(INT(MID(Metadata!E539,15,2))&gt;=0,FALSE),IFERROR(INT(MID(Metadata!E539,15,2))&lt;=59,FALSE)), OR(MID(Metadata!E539,17,1)="", AND(AND(MID(Metadata!E539,17,1)=":",IFERROR(INT(MID(Metadata!E539,18,1))&gt;=0,FALSE),IFERROR(INT(MID(Metadata!E539,18,1))&lt;=5,FALSE),NOT(MID(Metadata!E539,19,1)=""),IFERROR(INT(MID(Metadata!E539,18,2))&gt;=0,FALSE),IFERROR(INT(MID(Metadata!E539,18,2))&lt;=59,FALSE)), LEN(Metadata!E539)&lt;=19)))))))))))))</f>
        <v>0</v>
      </c>
      <c r="AS539" t="b">
        <f>IF(Metadata!F539="",FALSE,TRUE)</f>
        <v>0</v>
      </c>
      <c r="AT539" t="b">
        <f>OR(AND(IF(Metadata!G539="",FALSE,TRUE),OR(EXACT(Metadata!G539,"not collected"),EXACT(Metadata!G539,"not provided"))),AND(IF(Metadata!G539="",FALSE,TRUE),OR(EXACT(Metadata!G539,"TRUE"),EXACT(Metadata!G539,"FALSE"))))</f>
        <v>0</v>
      </c>
      <c r="AU539" t="b">
        <f>OR(AND(IF(Metadata!H539="",FALSE,TRUE),OR(EXACT(Metadata!H539,"not collected"),EXACT(Metadata!H539,"not provided"),EXACT(Metadata!H539,"restricted access"))),AND(IF(Metadata!H539="",FALSE,ISNUMBER(VALUE(Metadata!H539))),Metadata!H539&gt;=-413))</f>
        <v>0</v>
      </c>
      <c r="AV539" t="b">
        <f>AND(IF(Metadata!I539="",FALSE,TRUE),EXACT(Metadata!I539,"meters"))</f>
        <v>0</v>
      </c>
      <c r="AW539" t="b">
        <f>AND(IF(Metadata!J539="",FALSE,TRUE),EXACT(Metadata!J539,"free-living"))</f>
        <v>0</v>
      </c>
      <c r="AX539" t="b">
        <f>AND(IF(Metadata!K539="",FALSE,TRUE),OR(EXACT(Metadata!K539,"saline"),EXACT(Metadata!K539,"non-saline")))</f>
        <v>0</v>
      </c>
      <c r="AY539" t="b">
        <f>AND(IF(Metadata!L539="",FALSE,TRUE),OR(EXACT(Metadata!L539,"sub-surface (non-saline)"),EXACT(Metadata!L539,"surface (non-saline)"),EXACT(Metadata!L539,"water (non-saline)"),EXACT(Metadata!L539,"soil (non-saline)"),EXACT(Metadata!L539,"aerosol (non-saline)"),EXACT(Metadata!L539,"sediment (non-saline)"),EXACT(Metadata!L539,"surface (saline)"),EXACT(Metadata!L539,"water (saline)"),EXACT(Metadata!L539,"hypersaline (saline)"),EXACT(Metadata!L539,"aerosol (saline)"),EXACT(Metadata!L539,"sediment (saline)")))</f>
        <v>0</v>
      </c>
      <c r="AZ539" t="b">
        <f>IF(Metadata!M539="",FALSE,TRUE)</f>
        <v>0</v>
      </c>
      <c r="BA539" t="b">
        <f>IF(Metadata!N539="",FALSE,TRUE)</f>
        <v>0</v>
      </c>
      <c r="BB539" t="b">
        <f>IF(Metadata!O539="",FALSE,TRUE)</f>
        <v>0</v>
      </c>
      <c r="BC539" t="b">
        <f>AND(IF(Metadata!P539="",FALSE,TRUE),OR(EXACT(Metadata!P539,"air"),EXACT(Metadata!P539,"microbial mat/biofilm"),EXACT(Metadata!P539,"misc environment"),EXACT(Metadata!P539,"sediment"),EXACT(Metadata!P539,"soil"),EXACT(Metadata!P539,"wastewater/sludge"),EXACT(Metadata!P539,"water")))</f>
        <v>0</v>
      </c>
      <c r="BD539" t="b">
        <f>IF(Metadata!Q539="",FALSE,TRUE)</f>
        <v>0</v>
      </c>
      <c r="BE539" t="b">
        <f>IF(Metadata!R539="",FALSE,TRUE)</f>
        <v>0</v>
      </c>
      <c r="BF539" t="b">
        <f>OR(AND(IF(Metadata!S539="",FALSE,TRUE),OR(EXACT(Metadata!S539,"not collected"),EXACT(Metadata!S539,"not provided"),EXACT(Metadata!S539,"restricted access"))),AND(IF(Metadata!S539="",FALSE,ISNUMBER(VALUE(Metadata!S539))),Metadata!S539&gt;=-90,Metadata!S539&lt;=90))</f>
        <v>0</v>
      </c>
      <c r="BG539" t="b">
        <f>AND(IF(Metadata!T539="",FALSE,TRUE),EXACT(Metadata!T539,"Decimal degrees"))</f>
        <v>0</v>
      </c>
      <c r="BH539" t="b">
        <f>OR(AND(IF(Metadata!U539="",FALSE,TRUE),OR(EXACT(Metadata!U539,"not applicable"),EXACT(Metadata!U539,"not collected"))),IF(Metadata!U539="",FALSE,TRUE))</f>
        <v>0</v>
      </c>
      <c r="BI539" t="b">
        <f>OR(AND(IF(Metadata!V539="",FALSE,TRUE),OR(EXACT(Metadata!V539,"not collected"),EXACT(Metadata!V539,"not provided"),EXACT(Metadata!V539,"restricted access"))),AND(IF(Metadata!V539="",FALSE,ISNUMBER(VALUE(Metadata!V539))),Metadata!V539&gt;=-180,Metadata!V539&lt;=180))</f>
        <v>0</v>
      </c>
      <c r="BJ539" t="b">
        <f>AND(IF(Metadata!W539="",FALSE,TRUE),EXACT(Metadata!W539,"Decimal degrees"))</f>
        <v>0</v>
      </c>
      <c r="BK539" t="b">
        <f>IF(Metadata!X539="",FALSE,TRUE)</f>
        <v>0</v>
      </c>
      <c r="BL539" t="b">
        <f>OR(AND(IF(Metadata!Y539="",FALSE,TRUE),OR(EXACT(Metadata!Y539,"not collected"),EXACT(Metadata!Y539,"not provided"),EXACT(Metadata!Y539,"restricted access"))),AND(IF(Metadata!Y539="",FALSE,TRUE),OR(EXACT(Metadata!Y539,"TRUE"),EXACT(Metadata!Y539,"FALSE"))))</f>
        <v>0</v>
      </c>
      <c r="BM539" t="b">
        <f>OR(AND(IF(Metadata!Z539="",FALSE,TRUE),EXACT(Metadata!Z539,"not applicable")),AND(IF(Metadata!Z539="",FALSE,TRUE),OR(EXACT(Metadata!Z539,"beer"),EXACT(Metadata!Z539,"cheese"),EXACT(Metadata!Z539,"fresh water"),EXACT(Metadata!Z539,"marine sediment"),EXACT(Metadata!Z539,"sea water"),EXACT(Metadata!Z539,"sediment"),EXACT(Metadata!Z539,"soil"),EXACT(Metadata!Z539,"waste water"))))</f>
        <v>0</v>
      </c>
      <c r="BN539" t="b">
        <f>AND(IF(Metadata!AA539="",FALSE,TRUE),EXACT(Metadata!AA539,"metagenome"))</f>
        <v>0</v>
      </c>
      <c r="BO539" t="b">
        <f>AND(IF(Metadata!AB539="",FALSE,TRUE),EXACT(Metadata!AB539,"256318"))</f>
        <v>0</v>
      </c>
      <c r="BP539" t="b">
        <f>IF(Metadata!AC539="",FALSE,TRUE)</f>
        <v>0</v>
      </c>
      <c r="BQ539" t="b">
        <f>IF(Metadata!AD539="",FALSE,TRUE)</f>
        <v>0</v>
      </c>
    </row>
    <row r="540" spans="1:69" x14ac:dyDescent="0.2">
      <c r="A540" s="4" t="e">
        <f ca="1">IF(B540=" "," ",HYPERLINK(CONCATENATE("#metadata!",ADDRESS(INDEX($AJ$2:$AJ$1001,MATCH(ROWS($AH$2:AH540),$AH$2:$AH$1001,0),0),2)),INDEX($AM$2:$AM$1001,MATCH(ROWS($AH$2:AH540),$AH$2:$AH$1001,0),0)))</f>
        <v>#N/A</v>
      </c>
      <c r="B540" s="5" t="e">
        <f ca="1">IF(OR(INDEX($AI$2:$AI$1001,MATCH(ROWS($AH$2:AH540),$AH$2:$AH$1001,0),1)&gt;=100000,INDEX($AO$1005:$BQ$1005,1,MATCH(COLUMNS($AO$1006:AO1006),$AO$1006:$BQ$1006,0))&gt;=100000), " ",IF(INDEX($AO$2:$BQ$1001,MATCH(ROWS($AH$2:AH540),$AH$2:$AH$1001,0),MATCH(COLUMNS($AO$1006:AO1006),$AO$1006:$BQ$1006,0)), HYPERLINK("#",""), HYPERLINK(CONCATENATE("#Metadata!", ADDRESS(INDEX($AJ$2:$AJ$1001,MATCH(ROWS($AH$2:AH540),$AH$2:$AH$1001,0),0), INDEX($AO$1004:$BQ$1004,1,MATCH(COLUMNS($AO$1006:AO1006),$AO$1006:$BQ$1006,0)))),"Fix")))</f>
        <v>#N/A</v>
      </c>
      <c r="C540" s="5" t="e">
        <f ca="1">IF(OR(INDEX($AI$2:$AI$1001,MATCH(ROWS($AH$2:AH540),$AH$2:$AH$1001,0),1)&gt;=100000,INDEX($AO$1005:$BQ$1005,1,MATCH(COLUMNS($AO$1006:AP1006),$AO$1006:$BQ$1006,0))&gt;=100000), " ",IF(INDEX($AO$2:$BQ$1001,MATCH(ROWS($AH$2:AH540),$AH$2:$AH$1001,0),MATCH(COLUMNS($AO$1006:AP1006),$AO$1006:$BQ$1006,0)), HYPERLINK("#",""), HYPERLINK(CONCATENATE("#Metadata!", ADDRESS(INDEX($AJ$2:$AJ$1001,MATCH(ROWS($AH$2:AH540),$AH$2:$AH$1001,0),0), INDEX($AO$1004:$BQ$1004,1,MATCH(COLUMNS($AO$1006:AP1006),$AO$1006:$BQ$1006,0)))),"Fix")))</f>
        <v>#N/A</v>
      </c>
      <c r="D540" s="5" t="e">
        <f ca="1">IF(OR(INDEX($AI$2:$AI$1001,MATCH(ROWS($AH$2:AH540),$AH$2:$AH$1001,0),1)&gt;=100000,INDEX($AO$1005:$BQ$1005,1,MATCH(COLUMNS($AO$1006:AQ1006),$AO$1006:$BQ$1006,0))&gt;=100000), " ",IF(INDEX($AO$2:$BQ$1001,MATCH(ROWS($AH$2:AH540),$AH$2:$AH$1001,0),MATCH(COLUMNS($AO$1006:AQ1006),$AO$1006:$BQ$1006,0)), HYPERLINK("#",""), HYPERLINK(CONCATENATE("#Metadata!", ADDRESS(INDEX($AJ$2:$AJ$1001,MATCH(ROWS($AH$2:AH540),$AH$2:$AH$1001,0),0), INDEX($AO$1004:$BQ$1004,1,MATCH(COLUMNS($AO$1006:AQ1006),$AO$1006:$BQ$1006,0)))),"Fix")))</f>
        <v>#N/A</v>
      </c>
      <c r="E540" s="5" t="e">
        <f ca="1">IF(OR(INDEX($AI$2:$AI$1001,MATCH(ROWS($AH$2:AH540),$AH$2:$AH$1001,0),1)&gt;=100000,INDEX($AO$1005:$BQ$1005,1,MATCH(COLUMNS($AO$1006:AR1006),$AO$1006:$BQ$1006,0))&gt;=100000), " ",IF(INDEX($AO$2:$BQ$1001,MATCH(ROWS($AH$2:AH540),$AH$2:$AH$1001,0),MATCH(COLUMNS($AO$1006:AR1006),$AO$1006:$BQ$1006,0)), HYPERLINK("#",""), HYPERLINK(CONCATENATE("#Metadata!", ADDRESS(INDEX($AJ$2:$AJ$1001,MATCH(ROWS($AH$2:AH540),$AH$2:$AH$1001,0),0), INDEX($AO$1004:$BQ$1004,1,MATCH(COLUMNS($AO$1006:AR1006),$AO$1006:$BQ$1006,0)))),"Fix")))</f>
        <v>#N/A</v>
      </c>
      <c r="F540" s="5" t="e">
        <f ca="1">IF(OR(INDEX($AI$2:$AI$1001,MATCH(ROWS($AH$2:AH540),$AH$2:$AH$1001,0),1)&gt;=100000,INDEX($AO$1005:$BQ$1005,1,MATCH(COLUMNS($AO$1006:AS1006),$AO$1006:$BQ$1006,0))&gt;=100000), " ",IF(INDEX($AO$2:$BQ$1001,MATCH(ROWS($AH$2:AH540),$AH$2:$AH$1001,0),MATCH(COLUMNS($AO$1006:AS1006),$AO$1006:$BQ$1006,0)), HYPERLINK("#",""), HYPERLINK(CONCATENATE("#Metadata!", ADDRESS(INDEX($AJ$2:$AJ$1001,MATCH(ROWS($AH$2:AH540),$AH$2:$AH$1001,0),0), INDEX($AO$1004:$BQ$1004,1,MATCH(COLUMNS($AO$1006:AS1006),$AO$1006:$BQ$1006,0)))),"Fix")))</f>
        <v>#N/A</v>
      </c>
      <c r="G540" s="5" t="e">
        <f ca="1">IF(OR(INDEX($AI$2:$AI$1001,MATCH(ROWS($AH$2:AH540),$AH$2:$AH$1001,0),1)&gt;=100000,INDEX($AO$1005:$BQ$1005,1,MATCH(COLUMNS($AO$1006:AT1006),$AO$1006:$BQ$1006,0))&gt;=100000), " ",IF(INDEX($AO$2:$BQ$1001,MATCH(ROWS($AH$2:AH540),$AH$2:$AH$1001,0),MATCH(COLUMNS($AO$1006:AT1006),$AO$1006:$BQ$1006,0)), HYPERLINK("#",""), HYPERLINK(CONCATENATE("#Metadata!", ADDRESS(INDEX($AJ$2:$AJ$1001,MATCH(ROWS($AH$2:AH540),$AH$2:$AH$1001,0),0), INDEX($AO$1004:$BQ$1004,1,MATCH(COLUMNS($AO$1006:AT1006),$AO$1006:$BQ$1006,0)))),"Fix")))</f>
        <v>#N/A</v>
      </c>
      <c r="H540" s="5" t="e">
        <f ca="1">IF(OR(INDEX($AI$2:$AI$1001,MATCH(ROWS($AH$2:AH540),$AH$2:$AH$1001,0),1)&gt;=100000,INDEX($AO$1005:$BQ$1005,1,MATCH(COLUMNS($AO$1006:AU1006),$AO$1006:$BQ$1006,0))&gt;=100000), " ",IF(INDEX($AO$2:$BQ$1001,MATCH(ROWS($AH$2:AH540),$AH$2:$AH$1001,0),MATCH(COLUMNS($AO$1006:AU1006),$AO$1006:$BQ$1006,0)), HYPERLINK("#",""), HYPERLINK(CONCATENATE("#Metadata!", ADDRESS(INDEX($AJ$2:$AJ$1001,MATCH(ROWS($AH$2:AH540),$AH$2:$AH$1001,0),0), INDEX($AO$1004:$BQ$1004,1,MATCH(COLUMNS($AO$1006:AU1006),$AO$1006:$BQ$1006,0)))),"Fix")))</f>
        <v>#N/A</v>
      </c>
      <c r="I540" s="5" t="e">
        <f ca="1">IF(OR(INDEX($AI$2:$AI$1001,MATCH(ROWS($AH$2:AH540),$AH$2:$AH$1001,0),1)&gt;=100000,INDEX($AO$1005:$BQ$1005,1,MATCH(COLUMNS($AO$1006:AV1006),$AO$1006:$BQ$1006,0))&gt;=100000), " ",IF(INDEX($AO$2:$BQ$1001,MATCH(ROWS($AH$2:AH540),$AH$2:$AH$1001,0),MATCH(COLUMNS($AO$1006:AV1006),$AO$1006:$BQ$1006,0)), HYPERLINK("#",""), HYPERLINK(CONCATENATE("#Metadata!", ADDRESS(INDEX($AJ$2:$AJ$1001,MATCH(ROWS($AH$2:AH540),$AH$2:$AH$1001,0),0), INDEX($AO$1004:$BQ$1004,1,MATCH(COLUMNS($AO$1006:AV1006),$AO$1006:$BQ$1006,0)))),"Fix")))</f>
        <v>#N/A</v>
      </c>
      <c r="J540" s="5" t="e">
        <f ca="1">IF(OR(INDEX($AI$2:$AI$1001,MATCH(ROWS($AH$2:AH540),$AH$2:$AH$1001,0),1)&gt;=100000,INDEX($AO$1005:$BQ$1005,1,MATCH(COLUMNS($AO$1006:AW1006),$AO$1006:$BQ$1006,0))&gt;=100000), " ",IF(INDEX($AO$2:$BQ$1001,MATCH(ROWS($AH$2:AH540),$AH$2:$AH$1001,0),MATCH(COLUMNS($AO$1006:AW1006),$AO$1006:$BQ$1006,0)), HYPERLINK("#",""), HYPERLINK(CONCATENATE("#Metadata!", ADDRESS(INDEX($AJ$2:$AJ$1001,MATCH(ROWS($AH$2:AH540),$AH$2:$AH$1001,0),0), INDEX($AO$1004:$BQ$1004,1,MATCH(COLUMNS($AO$1006:AW1006),$AO$1006:$BQ$1006,0)))),"Fix")))</f>
        <v>#N/A</v>
      </c>
      <c r="K540" s="5" t="e">
        <f ca="1">IF(OR(INDEX($AI$2:$AI$1001,MATCH(ROWS($AH$2:AH540),$AH$2:$AH$1001,0),1)&gt;=100000,INDEX($AO$1005:$BQ$1005,1,MATCH(COLUMNS($AO$1006:AX1006),$AO$1006:$BQ$1006,0))&gt;=100000), " ",IF(INDEX($AO$2:$BQ$1001,MATCH(ROWS($AH$2:AH540),$AH$2:$AH$1001,0),MATCH(COLUMNS($AO$1006:AX1006),$AO$1006:$BQ$1006,0)), HYPERLINK("#",""), HYPERLINK(CONCATENATE("#Metadata!", ADDRESS(INDEX($AJ$2:$AJ$1001,MATCH(ROWS($AH$2:AH540),$AH$2:$AH$1001,0),0), INDEX($AO$1004:$BQ$1004,1,MATCH(COLUMNS($AO$1006:AX1006),$AO$1006:$BQ$1006,0)))),"Fix")))</f>
        <v>#N/A</v>
      </c>
      <c r="L540" s="5" t="e">
        <f ca="1">IF(OR(INDEX($AI$2:$AI$1001,MATCH(ROWS($AH$2:AH540),$AH$2:$AH$1001,0),1)&gt;=100000,INDEX($AO$1005:$BQ$1005,1,MATCH(COLUMNS($AO$1006:AY1006),$AO$1006:$BQ$1006,0))&gt;=100000), " ",IF(INDEX($AO$2:$BQ$1001,MATCH(ROWS($AH$2:AH540),$AH$2:$AH$1001,0),MATCH(COLUMNS($AO$1006:AY1006),$AO$1006:$BQ$1006,0)), HYPERLINK("#",""), HYPERLINK(CONCATENATE("#Metadata!", ADDRESS(INDEX($AJ$2:$AJ$1001,MATCH(ROWS($AH$2:AH540),$AH$2:$AH$1001,0),0), INDEX($AO$1004:$BQ$1004,1,MATCH(COLUMNS($AO$1006:AY1006),$AO$1006:$BQ$1006,0)))),"Fix")))</f>
        <v>#N/A</v>
      </c>
      <c r="M540" s="5" t="e">
        <f ca="1">IF(OR(INDEX($AI$2:$AI$1001,MATCH(ROWS($AH$2:AH540),$AH$2:$AH$1001,0),1)&gt;=100000,INDEX($AO$1005:$BQ$1005,1,MATCH(COLUMNS($AO$1006:AZ1006),$AO$1006:$BQ$1006,0))&gt;=100000), " ",IF(INDEX($AO$2:$BQ$1001,MATCH(ROWS($AH$2:AH540),$AH$2:$AH$1001,0),MATCH(COLUMNS($AO$1006:AZ1006),$AO$1006:$BQ$1006,0)), HYPERLINK("#",""), HYPERLINK(CONCATENATE("#Metadata!", ADDRESS(INDEX($AJ$2:$AJ$1001,MATCH(ROWS($AH$2:AH540),$AH$2:$AH$1001,0),0), INDEX($AO$1004:$BQ$1004,1,MATCH(COLUMNS($AO$1006:AZ1006),$AO$1006:$BQ$1006,0)))),"Fix")))</f>
        <v>#N/A</v>
      </c>
      <c r="N540" s="5" t="e">
        <f ca="1">IF(OR(INDEX($AI$2:$AI$1001,MATCH(ROWS($AH$2:AH540),$AH$2:$AH$1001,0),1)&gt;=100000,INDEX($AO$1005:$BQ$1005,1,MATCH(COLUMNS($AO$1006:BA1006),$AO$1006:$BQ$1006,0))&gt;=100000), " ",IF(INDEX($AO$2:$BQ$1001,MATCH(ROWS($AH$2:AH540),$AH$2:$AH$1001,0),MATCH(COLUMNS($AO$1006:BA1006),$AO$1006:$BQ$1006,0)), HYPERLINK("#",""), HYPERLINK(CONCATENATE("#Metadata!", ADDRESS(INDEX($AJ$2:$AJ$1001,MATCH(ROWS($AH$2:AH540),$AH$2:$AH$1001,0),0), INDEX($AO$1004:$BQ$1004,1,MATCH(COLUMNS($AO$1006:BA1006),$AO$1006:$BQ$1006,0)))),"Fix")))</f>
        <v>#N/A</v>
      </c>
      <c r="O540" s="5" t="e">
        <f ca="1">IF(OR(INDEX($AI$2:$AI$1001,MATCH(ROWS($AH$2:AH540),$AH$2:$AH$1001,0),1)&gt;=100000,INDEX($AO$1005:$BQ$1005,1,MATCH(COLUMNS($AO$1006:BB1006),$AO$1006:$BQ$1006,0))&gt;=100000), " ",IF(INDEX($AO$2:$BQ$1001,MATCH(ROWS($AH$2:AH540),$AH$2:$AH$1001,0),MATCH(COLUMNS($AO$1006:BB1006),$AO$1006:$BQ$1006,0)), HYPERLINK("#",""), HYPERLINK(CONCATENATE("#Metadata!", ADDRESS(INDEX($AJ$2:$AJ$1001,MATCH(ROWS($AH$2:AH540),$AH$2:$AH$1001,0),0), INDEX($AO$1004:$BQ$1004,1,MATCH(COLUMNS($AO$1006:BB1006),$AO$1006:$BQ$1006,0)))),"Fix")))</f>
        <v>#N/A</v>
      </c>
      <c r="P540" s="5" t="e">
        <f ca="1">IF(OR(INDEX($AI$2:$AI$1001,MATCH(ROWS($AH$2:AH540),$AH$2:$AH$1001,0),1)&gt;=100000,INDEX($AO$1005:$BQ$1005,1,MATCH(COLUMNS($AO$1006:BC1006),$AO$1006:$BQ$1006,0))&gt;=100000), " ",IF(INDEX($AO$2:$BQ$1001,MATCH(ROWS($AH$2:AH540),$AH$2:$AH$1001,0),MATCH(COLUMNS($AO$1006:BC1006),$AO$1006:$BQ$1006,0)), HYPERLINK("#",""), HYPERLINK(CONCATENATE("#Metadata!", ADDRESS(INDEX($AJ$2:$AJ$1001,MATCH(ROWS($AH$2:AH540),$AH$2:$AH$1001,0),0), INDEX($AO$1004:$BQ$1004,1,MATCH(COLUMNS($AO$1006:BC1006),$AO$1006:$BQ$1006,0)))),"Fix")))</f>
        <v>#N/A</v>
      </c>
      <c r="Q540" s="5" t="e">
        <f ca="1">IF(OR(INDEX($AI$2:$AI$1001,MATCH(ROWS($AH$2:AH540),$AH$2:$AH$1001,0),1)&gt;=100000,INDEX($AO$1005:$BQ$1005,1,MATCH(COLUMNS($AO$1006:BD1006),$AO$1006:$BQ$1006,0))&gt;=100000), " ",IF(INDEX($AO$2:$BQ$1001,MATCH(ROWS($AH$2:AH540),$AH$2:$AH$1001,0),MATCH(COLUMNS($AO$1006:BD1006),$AO$1006:$BQ$1006,0)), HYPERLINK("#",""), HYPERLINK(CONCATENATE("#Metadata!", ADDRESS(INDEX($AJ$2:$AJ$1001,MATCH(ROWS($AH$2:AH540),$AH$2:$AH$1001,0),0), INDEX($AO$1004:$BQ$1004,1,MATCH(COLUMNS($AO$1006:BD1006),$AO$1006:$BQ$1006,0)))),"Fix")))</f>
        <v>#N/A</v>
      </c>
      <c r="R540" s="5" t="e">
        <f ca="1">IF(OR(INDEX($AI$2:$AI$1001,MATCH(ROWS($AH$2:AH540),$AH$2:$AH$1001,0),1)&gt;=100000,INDEX($AO$1005:$BQ$1005,1,MATCH(COLUMNS($AO$1006:BE1006),$AO$1006:$BQ$1006,0))&gt;=100000), " ",IF(INDEX($AO$2:$BQ$1001,MATCH(ROWS($AH$2:AH540),$AH$2:$AH$1001,0),MATCH(COLUMNS($AO$1006:BE1006),$AO$1006:$BQ$1006,0)), HYPERLINK("#",""), HYPERLINK(CONCATENATE("#Metadata!", ADDRESS(INDEX($AJ$2:$AJ$1001,MATCH(ROWS($AH$2:AH540),$AH$2:$AH$1001,0),0), INDEX($AO$1004:$BQ$1004,1,MATCH(COLUMNS($AO$1006:BE1006),$AO$1006:$BQ$1006,0)))),"Fix")))</f>
        <v>#N/A</v>
      </c>
      <c r="S540" s="5" t="e">
        <f ca="1">IF(OR(INDEX($AI$2:$AI$1001,MATCH(ROWS($AH$2:AH540),$AH$2:$AH$1001,0),1)&gt;=100000,INDEX($AO$1005:$BQ$1005,1,MATCH(COLUMNS($AO$1006:BF1006),$AO$1006:$BQ$1006,0))&gt;=100000), " ",IF(INDEX($AO$2:$BQ$1001,MATCH(ROWS($AH$2:AH540),$AH$2:$AH$1001,0),MATCH(COLUMNS($AO$1006:BF1006),$AO$1006:$BQ$1006,0)), HYPERLINK("#",""), HYPERLINK(CONCATENATE("#Metadata!", ADDRESS(INDEX($AJ$2:$AJ$1001,MATCH(ROWS($AH$2:AH540),$AH$2:$AH$1001,0),0), INDEX($AO$1004:$BQ$1004,1,MATCH(COLUMNS($AO$1006:BF1006),$AO$1006:$BQ$1006,0)))),"Fix")))</f>
        <v>#N/A</v>
      </c>
      <c r="T540" s="5" t="e">
        <f ca="1">IF(OR(INDEX($AI$2:$AI$1001,MATCH(ROWS($AH$2:AH540),$AH$2:$AH$1001,0),1)&gt;=100000,INDEX($AO$1005:$BQ$1005,1,MATCH(COLUMNS($AO$1006:BG1006),$AO$1006:$BQ$1006,0))&gt;=100000), " ",IF(INDEX($AO$2:$BQ$1001,MATCH(ROWS($AH$2:AH540),$AH$2:$AH$1001,0),MATCH(COLUMNS($AO$1006:BG1006),$AO$1006:$BQ$1006,0)), HYPERLINK("#",""), HYPERLINK(CONCATENATE("#Metadata!", ADDRESS(INDEX($AJ$2:$AJ$1001,MATCH(ROWS($AH$2:AH540),$AH$2:$AH$1001,0),0), INDEX($AO$1004:$BQ$1004,1,MATCH(COLUMNS($AO$1006:BG1006),$AO$1006:$BQ$1006,0)))),"Fix")))</f>
        <v>#N/A</v>
      </c>
      <c r="U540" s="5" t="e">
        <f ca="1">IF(OR(INDEX($AI$2:$AI$1001,MATCH(ROWS($AH$2:AH540),$AH$2:$AH$1001,0),1)&gt;=100000,INDEX($AO$1005:$BQ$1005,1,MATCH(COLUMNS($AO$1006:BH1006),$AO$1006:$BQ$1006,0))&gt;=100000), " ",IF(INDEX($AO$2:$BQ$1001,MATCH(ROWS($AH$2:AH540),$AH$2:$AH$1001,0),MATCH(COLUMNS($AO$1006:BH1006),$AO$1006:$BQ$1006,0)), HYPERLINK("#",""), HYPERLINK(CONCATENATE("#Metadata!", ADDRESS(INDEX($AJ$2:$AJ$1001,MATCH(ROWS($AH$2:AH540),$AH$2:$AH$1001,0),0), INDEX($AO$1004:$BQ$1004,1,MATCH(COLUMNS($AO$1006:BH1006),$AO$1006:$BQ$1006,0)))),"Fix")))</f>
        <v>#N/A</v>
      </c>
      <c r="V540" s="5" t="e">
        <f ca="1">IF(OR(INDEX($AI$2:$AI$1001,MATCH(ROWS($AH$2:AH540),$AH$2:$AH$1001,0),1)&gt;=100000,INDEX($AO$1005:$BQ$1005,1,MATCH(COLUMNS($AO$1006:BI1006),$AO$1006:$BQ$1006,0))&gt;=100000), " ",IF(INDEX($AO$2:$BQ$1001,MATCH(ROWS($AH$2:AH540),$AH$2:$AH$1001,0),MATCH(COLUMNS($AO$1006:BI1006),$AO$1006:$BQ$1006,0)), HYPERLINK("#",""), HYPERLINK(CONCATENATE("#Metadata!", ADDRESS(INDEX($AJ$2:$AJ$1001,MATCH(ROWS($AH$2:AH540),$AH$2:$AH$1001,0),0), INDEX($AO$1004:$BQ$1004,1,MATCH(COLUMNS($AO$1006:BI1006),$AO$1006:$BQ$1006,0)))),"Fix")))</f>
        <v>#N/A</v>
      </c>
      <c r="W540" s="5" t="e">
        <f ca="1">IF(OR(INDEX($AI$2:$AI$1001,MATCH(ROWS($AH$2:AH540),$AH$2:$AH$1001,0),1)&gt;=100000,INDEX($AO$1005:$BQ$1005,1,MATCH(COLUMNS($AO$1006:BJ1006),$AO$1006:$BQ$1006,0))&gt;=100000), " ",IF(INDEX($AO$2:$BQ$1001,MATCH(ROWS($AH$2:AH540),$AH$2:$AH$1001,0),MATCH(COLUMNS($AO$1006:BJ1006),$AO$1006:$BQ$1006,0)), HYPERLINK("#",""), HYPERLINK(CONCATENATE("#Metadata!", ADDRESS(INDEX($AJ$2:$AJ$1001,MATCH(ROWS($AH$2:AH540),$AH$2:$AH$1001,0),0), INDEX($AO$1004:$BQ$1004,1,MATCH(COLUMNS($AO$1006:BJ1006),$AO$1006:$BQ$1006,0)))),"Fix")))</f>
        <v>#N/A</v>
      </c>
      <c r="X540" s="5" t="e">
        <f ca="1">IF(OR(INDEX($AI$2:$AI$1001,MATCH(ROWS($AH$2:AH540),$AH$2:$AH$1001,0),1)&gt;=100000,INDEX($AO$1005:$BQ$1005,1,MATCH(COLUMNS($AO$1006:BK1006),$AO$1006:$BQ$1006,0))&gt;=100000), " ",IF(INDEX($AO$2:$BQ$1001,MATCH(ROWS($AH$2:AH540),$AH$2:$AH$1001,0),MATCH(COLUMNS($AO$1006:BK1006),$AO$1006:$BQ$1006,0)), HYPERLINK("#",""), HYPERLINK(CONCATENATE("#Metadata!", ADDRESS(INDEX($AJ$2:$AJ$1001,MATCH(ROWS($AH$2:AH540),$AH$2:$AH$1001,0),0), INDEX($AO$1004:$BQ$1004,1,MATCH(COLUMNS($AO$1006:BK1006),$AO$1006:$BQ$1006,0)))),"Fix")))</f>
        <v>#N/A</v>
      </c>
      <c r="Y540" s="5" t="e">
        <f ca="1">IF(OR(INDEX($AI$2:$AI$1001,MATCH(ROWS($AH$2:AH540),$AH$2:$AH$1001,0),1)&gt;=100000,INDEX($AO$1005:$BQ$1005,1,MATCH(COLUMNS($AO$1006:BL1006),$AO$1006:$BQ$1006,0))&gt;=100000), " ",IF(INDEX($AO$2:$BQ$1001,MATCH(ROWS($AH$2:AH540),$AH$2:$AH$1001,0),MATCH(COLUMNS($AO$1006:BL1006),$AO$1006:$BQ$1006,0)), HYPERLINK("#",""), HYPERLINK(CONCATENATE("#Metadata!", ADDRESS(INDEX($AJ$2:$AJ$1001,MATCH(ROWS($AH$2:AH540),$AH$2:$AH$1001,0),0), INDEX($AO$1004:$BQ$1004,1,MATCH(COLUMNS($AO$1006:BL1006),$AO$1006:$BQ$1006,0)))),"Fix")))</f>
        <v>#N/A</v>
      </c>
      <c r="Z540" s="5" t="e">
        <f ca="1">IF(OR(INDEX($AI$2:$AI$1001,MATCH(ROWS($AH$2:AH540),$AH$2:$AH$1001,0),1)&gt;=100000,INDEX($AO$1005:$BQ$1005,1,MATCH(COLUMNS($AO$1006:BM1006),$AO$1006:$BQ$1006,0))&gt;=100000), " ",IF(INDEX($AO$2:$BQ$1001,MATCH(ROWS($AH$2:AH540),$AH$2:$AH$1001,0),MATCH(COLUMNS($AO$1006:BM1006),$AO$1006:$BQ$1006,0)), HYPERLINK("#",""), HYPERLINK(CONCATENATE("#Metadata!", ADDRESS(INDEX($AJ$2:$AJ$1001,MATCH(ROWS($AH$2:AH540),$AH$2:$AH$1001,0),0), INDEX($AO$1004:$BQ$1004,1,MATCH(COLUMNS($AO$1006:BM1006),$AO$1006:$BQ$1006,0)))),"Fix")))</f>
        <v>#N/A</v>
      </c>
      <c r="AA540" s="5" t="e">
        <f ca="1">IF(OR(INDEX($AI$2:$AI$1001,MATCH(ROWS($AH$2:AH540),$AH$2:$AH$1001,0),1)&gt;=100000,INDEX($AO$1005:$BQ$1005,1,MATCH(COLUMNS($AO$1006:BN1006),$AO$1006:$BQ$1006,0))&gt;=100000), " ",IF(INDEX($AO$2:$BQ$1001,MATCH(ROWS($AH$2:AH540),$AH$2:$AH$1001,0),MATCH(COLUMNS($AO$1006:BN1006),$AO$1006:$BQ$1006,0)), HYPERLINK("#",""), HYPERLINK(CONCATENATE("#Metadata!", ADDRESS(INDEX($AJ$2:$AJ$1001,MATCH(ROWS($AH$2:AH540),$AH$2:$AH$1001,0),0), INDEX($AO$1004:$BQ$1004,1,MATCH(COLUMNS($AO$1006:BN1006),$AO$1006:$BQ$1006,0)))),"Fix")))</f>
        <v>#N/A</v>
      </c>
      <c r="AB540" s="5" t="e">
        <f ca="1">IF(OR(INDEX($AI$2:$AI$1001,MATCH(ROWS($AH$2:AH540),$AH$2:$AH$1001,0),1)&gt;=100000,INDEX($AO$1005:$BQ$1005,1,MATCH(COLUMNS($AO$1006:BO1006),$AO$1006:$BQ$1006,0))&gt;=100000), " ",IF(INDEX($AO$2:$BQ$1001,MATCH(ROWS($AH$2:AH540),$AH$2:$AH$1001,0),MATCH(COLUMNS($AO$1006:BO1006),$AO$1006:$BQ$1006,0)), HYPERLINK("#",""), HYPERLINK(CONCATENATE("#Metadata!", ADDRESS(INDEX($AJ$2:$AJ$1001,MATCH(ROWS($AH$2:AH540),$AH$2:$AH$1001,0),0), INDEX($AO$1004:$BQ$1004,1,MATCH(COLUMNS($AO$1006:BO1006),$AO$1006:$BQ$1006,0)))),"Fix")))</f>
        <v>#N/A</v>
      </c>
      <c r="AC540" s="5" t="e">
        <f ca="1">IF(OR(INDEX($AI$2:$AI$1001,MATCH(ROWS($AH$2:AH540),$AH$2:$AH$1001,0),1)&gt;=100000,INDEX($AO$1005:$BQ$1005,1,MATCH(COLUMNS($AO$1006:BP1006),$AO$1006:$BQ$1006,0))&gt;=100000), " ",IF(INDEX($AO$2:$BQ$1001,MATCH(ROWS($AH$2:AH540),$AH$2:$AH$1001,0),MATCH(COLUMNS($AO$1006:BP1006),$AO$1006:$BQ$1006,0)), HYPERLINK("#",""), HYPERLINK(CONCATENATE("#Metadata!", ADDRESS(INDEX($AJ$2:$AJ$1001,MATCH(ROWS($AH$2:AH540),$AH$2:$AH$1001,0),0), INDEX($AO$1004:$BQ$1004,1,MATCH(COLUMNS($AO$1006:BP1006),$AO$1006:$BQ$1006,0)))),"Fix")))</f>
        <v>#N/A</v>
      </c>
      <c r="AD540" s="5" t="e">
        <f ca="1">IF(OR(INDEX($AI$2:$AI$1001,MATCH(ROWS($AH$2:AH540),$AH$2:$AH$1001,0),1)&gt;=100000,INDEX($AO$1005:$BQ$1005,1,MATCH(COLUMNS($AO$1006:BQ1006),$AO$1006:$BQ$1006,0))&gt;=100000), " ",IF(INDEX($AO$2:$BQ$1001,MATCH(ROWS($AH$2:AH540),$AH$2:$AH$1001,0),MATCH(COLUMNS($AO$1006:BQ1006),$AO$1006:$BQ$1006,0)), HYPERLINK("#",""), HYPERLINK(CONCATENATE("#Metadata!", ADDRESS(INDEX($AJ$2:$AJ$1001,MATCH(ROWS($AH$2:AH540),$AH$2:$AH$1001,0),0), INDEX($AO$1004:$BQ$1004,1,MATCH(COLUMNS($AO$1006:BQ1006),$AO$1006:$BQ$1006,0)))),"Fix")))</f>
        <v>#REF!</v>
      </c>
      <c r="AH540">
        <f ca="1"/>
        <v>537</v>
      </c>
      <c r="AI540">
        <v>100540</v>
      </c>
      <c r="AJ540">
        <v>540</v>
      </c>
      <c r="AK540" t="b">
        <f t="shared" si="8"/>
        <v>1</v>
      </c>
      <c r="AL540" t="b">
        <f>COUNTBLANK(Metadata!B540:AD540)=COLUMNS(Metadata!B540:AD540)</f>
        <v>1</v>
      </c>
      <c r="AM540" t="str">
        <v/>
      </c>
      <c r="AO540" t="b">
        <f ca="1">AND(IF(Metadata!B540="",FALSE,TRUE),COUNTIF(Metadata!B:B, Metadata!B540) = 1,NOT(ISERROR(SUMPRODUCT(SEARCH(MID(Metadata!B540,ROW(INDIRECT("1:"&amp;LEN(Metadata!B540))), 1),"0123456789abcdefghijklmnopqrstuvwxyzABCDEFGHIJKLMNOPQRSTUVWXYZ.")))))</f>
        <v>0</v>
      </c>
      <c r="AP540" t="b">
        <f>IF(Metadata!C540="",FALSE,TRUE)</f>
        <v>0</v>
      </c>
      <c r="AQ540" t="b">
        <f>IF(Metadata!D540="",FALSE,TRUE)</f>
        <v>0</v>
      </c>
      <c r="AR540" t="b">
        <f ca="1">OR(AND(IF(Metadata!E540="",FALSE,TRUE),OR(EXACT(Metadata!E540,"not collected"),EXACT(Metadata!E540,"not provided"),EXACT(Metadata!E540,"restricted access"))),AND(IF(Metadata!E540="",FALSE,TRUE),AND(AND(IFERROR(INT(LEFT(Metadata!E540,4))&gt;1900,FALSE),IFERROR(INT(LEFT(Metadata!E540,4))&lt;=YEAR(NOW()),FALSE)), OR(MID(Metadata!E540,5,1)="", AND(AND(MID(Metadata!E540,5,1)="-",IFERROR(INT(MID(Metadata!E540,6,1))&gt;=0,FALSE),IFERROR(INT(MID(Metadata!E540,6,1))&lt;=1,FALSE),NOT(MID(Metadata!E540,7,1)=""),IFERROR(INT(MID(Metadata!E540,6,2))&gt;=1,FALSE),IFERROR(INT(MID(Metadata!E540,6,2))&lt;=12,FALSE)), OR(MID(Metadata!E540,8,1)="", AND(AND(MID(Metadata!E540,8,1)="-",IFERROR(INT(MID(Metadata!E540,9,1))&gt;=0,FALSE),IFERROR(INT(MID(Metadata!E540,9,1))&lt;=3,FALSE),NOT(MID(Metadata!E540,10,1)=""),IFERROR(INT(MID(Metadata!E540,9,2))&gt;=1,FALSE),IFERROR(INT(MID(Metadata!E540,9,2))&lt;=31,FALSE)), OR(MID(Metadata!E540,11,1)="", AND(AND(MID(Metadata!E540,11,1)=" ",IFERROR(INT(MID(Metadata!E540,12,1))&gt;=0,FALSE),IFERROR(INT(MID(Metadata!E540,12,1))&lt;=2,FALSE),NOT(MID(Metadata!E540,13,1)=""),IFERROR(INT(MID(Metadata!E540,12,2))&gt;=0,FALSE),IFERROR(INT(MID(Metadata!E540,12,2))&lt;=23,FALSE)), OR(MID(Metadata!E540,14,1)="", AND(AND(MID(Metadata!E540,14,1)=":",IFERROR(INT(MID(Metadata!E540,15,1))&gt;=0,FALSE),IFERROR(INT(MID(Metadata!E540,15,1))&lt;=5,FALSE),NOT(MID(Metadata!E540,16,1)=""),IFERROR(INT(MID(Metadata!E540,15,2))&gt;=0,FALSE),IFERROR(INT(MID(Metadata!E540,15,2))&lt;=59,FALSE)), OR(MID(Metadata!E540,17,1)="", AND(AND(MID(Metadata!E540,17,1)=":",IFERROR(INT(MID(Metadata!E540,18,1))&gt;=0,FALSE),IFERROR(INT(MID(Metadata!E540,18,1))&lt;=5,FALSE),NOT(MID(Metadata!E540,19,1)=""),IFERROR(INT(MID(Metadata!E540,18,2))&gt;=0,FALSE),IFERROR(INT(MID(Metadata!E540,18,2))&lt;=59,FALSE)), LEN(Metadata!E540)&lt;=19)))))))))))))</f>
        <v>0</v>
      </c>
      <c r="AS540" t="b">
        <f>IF(Metadata!F540="",FALSE,TRUE)</f>
        <v>0</v>
      </c>
      <c r="AT540" t="b">
        <f>OR(AND(IF(Metadata!G540="",FALSE,TRUE),OR(EXACT(Metadata!G540,"not collected"),EXACT(Metadata!G540,"not provided"))),AND(IF(Metadata!G540="",FALSE,TRUE),OR(EXACT(Metadata!G540,"TRUE"),EXACT(Metadata!G540,"FALSE"))))</f>
        <v>0</v>
      </c>
      <c r="AU540" t="b">
        <f>OR(AND(IF(Metadata!H540="",FALSE,TRUE),OR(EXACT(Metadata!H540,"not collected"),EXACT(Metadata!H540,"not provided"),EXACT(Metadata!H540,"restricted access"))),AND(IF(Metadata!H540="",FALSE,ISNUMBER(VALUE(Metadata!H540))),Metadata!H540&gt;=-413))</f>
        <v>0</v>
      </c>
      <c r="AV540" t="b">
        <f>AND(IF(Metadata!I540="",FALSE,TRUE),EXACT(Metadata!I540,"meters"))</f>
        <v>0</v>
      </c>
      <c r="AW540" t="b">
        <f>AND(IF(Metadata!J540="",FALSE,TRUE),EXACT(Metadata!J540,"free-living"))</f>
        <v>0</v>
      </c>
      <c r="AX540" t="b">
        <f>AND(IF(Metadata!K540="",FALSE,TRUE),OR(EXACT(Metadata!K540,"saline"),EXACT(Metadata!K540,"non-saline")))</f>
        <v>0</v>
      </c>
      <c r="AY540" t="b">
        <f>AND(IF(Metadata!L540="",FALSE,TRUE),OR(EXACT(Metadata!L540,"sub-surface (non-saline)"),EXACT(Metadata!L540,"surface (non-saline)"),EXACT(Metadata!L540,"water (non-saline)"),EXACT(Metadata!L540,"soil (non-saline)"),EXACT(Metadata!L540,"aerosol (non-saline)"),EXACT(Metadata!L540,"sediment (non-saline)"),EXACT(Metadata!L540,"surface (saline)"),EXACT(Metadata!L540,"water (saline)"),EXACT(Metadata!L540,"hypersaline (saline)"),EXACT(Metadata!L540,"aerosol (saline)"),EXACT(Metadata!L540,"sediment (saline)")))</f>
        <v>0</v>
      </c>
      <c r="AZ540" t="b">
        <f>IF(Metadata!M540="",FALSE,TRUE)</f>
        <v>0</v>
      </c>
      <c r="BA540" t="b">
        <f>IF(Metadata!N540="",FALSE,TRUE)</f>
        <v>0</v>
      </c>
      <c r="BB540" t="b">
        <f>IF(Metadata!O540="",FALSE,TRUE)</f>
        <v>0</v>
      </c>
      <c r="BC540" t="b">
        <f>AND(IF(Metadata!P540="",FALSE,TRUE),OR(EXACT(Metadata!P540,"air"),EXACT(Metadata!P540,"microbial mat/biofilm"),EXACT(Metadata!P540,"misc environment"),EXACT(Metadata!P540,"sediment"),EXACT(Metadata!P540,"soil"),EXACT(Metadata!P540,"wastewater/sludge"),EXACT(Metadata!P540,"water")))</f>
        <v>0</v>
      </c>
      <c r="BD540" t="b">
        <f>IF(Metadata!Q540="",FALSE,TRUE)</f>
        <v>0</v>
      </c>
      <c r="BE540" t="b">
        <f>IF(Metadata!R540="",FALSE,TRUE)</f>
        <v>0</v>
      </c>
      <c r="BF540" t="b">
        <f>OR(AND(IF(Metadata!S540="",FALSE,TRUE),OR(EXACT(Metadata!S540,"not collected"),EXACT(Metadata!S540,"not provided"),EXACT(Metadata!S540,"restricted access"))),AND(IF(Metadata!S540="",FALSE,ISNUMBER(VALUE(Metadata!S540))),Metadata!S540&gt;=-90,Metadata!S540&lt;=90))</f>
        <v>0</v>
      </c>
      <c r="BG540" t="b">
        <f>AND(IF(Metadata!T540="",FALSE,TRUE),EXACT(Metadata!T540,"Decimal degrees"))</f>
        <v>0</v>
      </c>
      <c r="BH540" t="b">
        <f>OR(AND(IF(Metadata!U540="",FALSE,TRUE),OR(EXACT(Metadata!U540,"not applicable"),EXACT(Metadata!U540,"not collected"))),IF(Metadata!U540="",FALSE,TRUE))</f>
        <v>0</v>
      </c>
      <c r="BI540" t="b">
        <f>OR(AND(IF(Metadata!V540="",FALSE,TRUE),OR(EXACT(Metadata!V540,"not collected"),EXACT(Metadata!V540,"not provided"),EXACT(Metadata!V540,"restricted access"))),AND(IF(Metadata!V540="",FALSE,ISNUMBER(VALUE(Metadata!V540))),Metadata!V540&gt;=-180,Metadata!V540&lt;=180))</f>
        <v>0</v>
      </c>
      <c r="BJ540" t="b">
        <f>AND(IF(Metadata!W540="",FALSE,TRUE),EXACT(Metadata!W540,"Decimal degrees"))</f>
        <v>0</v>
      </c>
      <c r="BK540" t="b">
        <f>IF(Metadata!X540="",FALSE,TRUE)</f>
        <v>0</v>
      </c>
      <c r="BL540" t="b">
        <f>OR(AND(IF(Metadata!Y540="",FALSE,TRUE),OR(EXACT(Metadata!Y540,"not collected"),EXACT(Metadata!Y540,"not provided"),EXACT(Metadata!Y540,"restricted access"))),AND(IF(Metadata!Y540="",FALSE,TRUE),OR(EXACT(Metadata!Y540,"TRUE"),EXACT(Metadata!Y540,"FALSE"))))</f>
        <v>0</v>
      </c>
      <c r="BM540" t="b">
        <f>OR(AND(IF(Metadata!Z540="",FALSE,TRUE),EXACT(Metadata!Z540,"not applicable")),AND(IF(Metadata!Z540="",FALSE,TRUE),OR(EXACT(Metadata!Z540,"beer"),EXACT(Metadata!Z540,"cheese"),EXACT(Metadata!Z540,"fresh water"),EXACT(Metadata!Z540,"marine sediment"),EXACT(Metadata!Z540,"sea water"),EXACT(Metadata!Z540,"sediment"),EXACT(Metadata!Z540,"soil"),EXACT(Metadata!Z540,"waste water"))))</f>
        <v>0</v>
      </c>
      <c r="BN540" t="b">
        <f>AND(IF(Metadata!AA540="",FALSE,TRUE),EXACT(Metadata!AA540,"metagenome"))</f>
        <v>0</v>
      </c>
      <c r="BO540" t="b">
        <f>AND(IF(Metadata!AB540="",FALSE,TRUE),EXACT(Metadata!AB540,"256318"))</f>
        <v>0</v>
      </c>
      <c r="BP540" t="b">
        <f>IF(Metadata!AC540="",FALSE,TRUE)</f>
        <v>0</v>
      </c>
      <c r="BQ540" t="b">
        <f>IF(Metadata!AD540="",FALSE,TRUE)</f>
        <v>0</v>
      </c>
    </row>
    <row r="541" spans="1:69" x14ac:dyDescent="0.2">
      <c r="A541" s="4" t="e">
        <f ca="1">IF(B541=" "," ",HYPERLINK(CONCATENATE("#metadata!",ADDRESS(INDEX($AJ$2:$AJ$1001,MATCH(ROWS($AH$2:AH541),$AH$2:$AH$1001,0),0),2)),INDEX($AM$2:$AM$1001,MATCH(ROWS($AH$2:AH541),$AH$2:$AH$1001,0),0)))</f>
        <v>#N/A</v>
      </c>
      <c r="B541" s="5" t="e">
        <f ca="1">IF(OR(INDEX($AI$2:$AI$1001,MATCH(ROWS($AH$2:AH541),$AH$2:$AH$1001,0),1)&gt;=100000,INDEX($AO$1005:$BQ$1005,1,MATCH(COLUMNS($AO$1006:AO1006),$AO$1006:$BQ$1006,0))&gt;=100000), " ",IF(INDEX($AO$2:$BQ$1001,MATCH(ROWS($AH$2:AH541),$AH$2:$AH$1001,0),MATCH(COLUMNS($AO$1006:AO1006),$AO$1006:$BQ$1006,0)), HYPERLINK("#",""), HYPERLINK(CONCATENATE("#Metadata!", ADDRESS(INDEX($AJ$2:$AJ$1001,MATCH(ROWS($AH$2:AH541),$AH$2:$AH$1001,0),0), INDEX($AO$1004:$BQ$1004,1,MATCH(COLUMNS($AO$1006:AO1006),$AO$1006:$BQ$1006,0)))),"Fix")))</f>
        <v>#N/A</v>
      </c>
      <c r="C541" s="5" t="e">
        <f ca="1">IF(OR(INDEX($AI$2:$AI$1001,MATCH(ROWS($AH$2:AH541),$AH$2:$AH$1001,0),1)&gt;=100000,INDEX($AO$1005:$BQ$1005,1,MATCH(COLUMNS($AO$1006:AP1006),$AO$1006:$BQ$1006,0))&gt;=100000), " ",IF(INDEX($AO$2:$BQ$1001,MATCH(ROWS($AH$2:AH541),$AH$2:$AH$1001,0),MATCH(COLUMNS($AO$1006:AP1006),$AO$1006:$BQ$1006,0)), HYPERLINK("#",""), HYPERLINK(CONCATENATE("#Metadata!", ADDRESS(INDEX($AJ$2:$AJ$1001,MATCH(ROWS($AH$2:AH541),$AH$2:$AH$1001,0),0), INDEX($AO$1004:$BQ$1004,1,MATCH(COLUMNS($AO$1006:AP1006),$AO$1006:$BQ$1006,0)))),"Fix")))</f>
        <v>#N/A</v>
      </c>
      <c r="D541" s="5" t="e">
        <f ca="1">IF(OR(INDEX($AI$2:$AI$1001,MATCH(ROWS($AH$2:AH541),$AH$2:$AH$1001,0),1)&gt;=100000,INDEX($AO$1005:$BQ$1005,1,MATCH(COLUMNS($AO$1006:AQ1006),$AO$1006:$BQ$1006,0))&gt;=100000), " ",IF(INDEX($AO$2:$BQ$1001,MATCH(ROWS($AH$2:AH541),$AH$2:$AH$1001,0),MATCH(COLUMNS($AO$1006:AQ1006),$AO$1006:$BQ$1006,0)), HYPERLINK("#",""), HYPERLINK(CONCATENATE("#Metadata!", ADDRESS(INDEX($AJ$2:$AJ$1001,MATCH(ROWS($AH$2:AH541),$AH$2:$AH$1001,0),0), INDEX($AO$1004:$BQ$1004,1,MATCH(COLUMNS($AO$1006:AQ1006),$AO$1006:$BQ$1006,0)))),"Fix")))</f>
        <v>#N/A</v>
      </c>
      <c r="E541" s="5" t="e">
        <f ca="1">IF(OR(INDEX($AI$2:$AI$1001,MATCH(ROWS($AH$2:AH541),$AH$2:$AH$1001,0),1)&gt;=100000,INDEX($AO$1005:$BQ$1005,1,MATCH(COLUMNS($AO$1006:AR1006),$AO$1006:$BQ$1006,0))&gt;=100000), " ",IF(INDEX($AO$2:$BQ$1001,MATCH(ROWS($AH$2:AH541),$AH$2:$AH$1001,0),MATCH(COLUMNS($AO$1006:AR1006),$AO$1006:$BQ$1006,0)), HYPERLINK("#",""), HYPERLINK(CONCATENATE("#Metadata!", ADDRESS(INDEX($AJ$2:$AJ$1001,MATCH(ROWS($AH$2:AH541),$AH$2:$AH$1001,0),0), INDEX($AO$1004:$BQ$1004,1,MATCH(COLUMNS($AO$1006:AR1006),$AO$1006:$BQ$1006,0)))),"Fix")))</f>
        <v>#N/A</v>
      </c>
      <c r="F541" s="5" t="e">
        <f ca="1">IF(OR(INDEX($AI$2:$AI$1001,MATCH(ROWS($AH$2:AH541),$AH$2:$AH$1001,0),1)&gt;=100000,INDEX($AO$1005:$BQ$1005,1,MATCH(COLUMNS($AO$1006:AS1006),$AO$1006:$BQ$1006,0))&gt;=100000), " ",IF(INDEX($AO$2:$BQ$1001,MATCH(ROWS($AH$2:AH541),$AH$2:$AH$1001,0),MATCH(COLUMNS($AO$1006:AS1006),$AO$1006:$BQ$1006,0)), HYPERLINK("#",""), HYPERLINK(CONCATENATE("#Metadata!", ADDRESS(INDEX($AJ$2:$AJ$1001,MATCH(ROWS($AH$2:AH541),$AH$2:$AH$1001,0),0), INDEX($AO$1004:$BQ$1004,1,MATCH(COLUMNS($AO$1006:AS1006),$AO$1006:$BQ$1006,0)))),"Fix")))</f>
        <v>#N/A</v>
      </c>
      <c r="G541" s="5" t="e">
        <f ca="1">IF(OR(INDEX($AI$2:$AI$1001,MATCH(ROWS($AH$2:AH541),$AH$2:$AH$1001,0),1)&gt;=100000,INDEX($AO$1005:$BQ$1005,1,MATCH(COLUMNS($AO$1006:AT1006),$AO$1006:$BQ$1006,0))&gt;=100000), " ",IF(INDEX($AO$2:$BQ$1001,MATCH(ROWS($AH$2:AH541),$AH$2:$AH$1001,0),MATCH(COLUMNS($AO$1006:AT1006),$AO$1006:$BQ$1006,0)), HYPERLINK("#",""), HYPERLINK(CONCATENATE("#Metadata!", ADDRESS(INDEX($AJ$2:$AJ$1001,MATCH(ROWS($AH$2:AH541),$AH$2:$AH$1001,0),0), INDEX($AO$1004:$BQ$1004,1,MATCH(COLUMNS($AO$1006:AT1006),$AO$1006:$BQ$1006,0)))),"Fix")))</f>
        <v>#N/A</v>
      </c>
      <c r="H541" s="5" t="e">
        <f ca="1">IF(OR(INDEX($AI$2:$AI$1001,MATCH(ROWS($AH$2:AH541),$AH$2:$AH$1001,0),1)&gt;=100000,INDEX($AO$1005:$BQ$1005,1,MATCH(COLUMNS($AO$1006:AU1006),$AO$1006:$BQ$1006,0))&gt;=100000), " ",IF(INDEX($AO$2:$BQ$1001,MATCH(ROWS($AH$2:AH541),$AH$2:$AH$1001,0),MATCH(COLUMNS($AO$1006:AU1006),$AO$1006:$BQ$1006,0)), HYPERLINK("#",""), HYPERLINK(CONCATENATE("#Metadata!", ADDRESS(INDEX($AJ$2:$AJ$1001,MATCH(ROWS($AH$2:AH541),$AH$2:$AH$1001,0),0), INDEX($AO$1004:$BQ$1004,1,MATCH(COLUMNS($AO$1006:AU1006),$AO$1006:$BQ$1006,0)))),"Fix")))</f>
        <v>#N/A</v>
      </c>
      <c r="I541" s="5" t="e">
        <f ca="1">IF(OR(INDEX($AI$2:$AI$1001,MATCH(ROWS($AH$2:AH541),$AH$2:$AH$1001,0),1)&gt;=100000,INDEX($AO$1005:$BQ$1005,1,MATCH(COLUMNS($AO$1006:AV1006),$AO$1006:$BQ$1006,0))&gt;=100000), " ",IF(INDEX($AO$2:$BQ$1001,MATCH(ROWS($AH$2:AH541),$AH$2:$AH$1001,0),MATCH(COLUMNS($AO$1006:AV1006),$AO$1006:$BQ$1006,0)), HYPERLINK("#",""), HYPERLINK(CONCATENATE("#Metadata!", ADDRESS(INDEX($AJ$2:$AJ$1001,MATCH(ROWS($AH$2:AH541),$AH$2:$AH$1001,0),0), INDEX($AO$1004:$BQ$1004,1,MATCH(COLUMNS($AO$1006:AV1006),$AO$1006:$BQ$1006,0)))),"Fix")))</f>
        <v>#N/A</v>
      </c>
      <c r="J541" s="5" t="e">
        <f ca="1">IF(OR(INDEX($AI$2:$AI$1001,MATCH(ROWS($AH$2:AH541),$AH$2:$AH$1001,0),1)&gt;=100000,INDEX($AO$1005:$BQ$1005,1,MATCH(COLUMNS($AO$1006:AW1006),$AO$1006:$BQ$1006,0))&gt;=100000), " ",IF(INDEX($AO$2:$BQ$1001,MATCH(ROWS($AH$2:AH541),$AH$2:$AH$1001,0),MATCH(COLUMNS($AO$1006:AW1006),$AO$1006:$BQ$1006,0)), HYPERLINK("#",""), HYPERLINK(CONCATENATE("#Metadata!", ADDRESS(INDEX($AJ$2:$AJ$1001,MATCH(ROWS($AH$2:AH541),$AH$2:$AH$1001,0),0), INDEX($AO$1004:$BQ$1004,1,MATCH(COLUMNS($AO$1006:AW1006),$AO$1006:$BQ$1006,0)))),"Fix")))</f>
        <v>#N/A</v>
      </c>
      <c r="K541" s="5" t="e">
        <f ca="1">IF(OR(INDEX($AI$2:$AI$1001,MATCH(ROWS($AH$2:AH541),$AH$2:$AH$1001,0),1)&gt;=100000,INDEX($AO$1005:$BQ$1005,1,MATCH(COLUMNS($AO$1006:AX1006),$AO$1006:$BQ$1006,0))&gt;=100000), " ",IF(INDEX($AO$2:$BQ$1001,MATCH(ROWS($AH$2:AH541),$AH$2:$AH$1001,0),MATCH(COLUMNS($AO$1006:AX1006),$AO$1006:$BQ$1006,0)), HYPERLINK("#",""), HYPERLINK(CONCATENATE("#Metadata!", ADDRESS(INDEX($AJ$2:$AJ$1001,MATCH(ROWS($AH$2:AH541),$AH$2:$AH$1001,0),0), INDEX($AO$1004:$BQ$1004,1,MATCH(COLUMNS($AO$1006:AX1006),$AO$1006:$BQ$1006,0)))),"Fix")))</f>
        <v>#N/A</v>
      </c>
      <c r="L541" s="5" t="e">
        <f ca="1">IF(OR(INDEX($AI$2:$AI$1001,MATCH(ROWS($AH$2:AH541),$AH$2:$AH$1001,0),1)&gt;=100000,INDEX($AO$1005:$BQ$1005,1,MATCH(COLUMNS($AO$1006:AY1006),$AO$1006:$BQ$1006,0))&gt;=100000), " ",IF(INDEX($AO$2:$BQ$1001,MATCH(ROWS($AH$2:AH541),$AH$2:$AH$1001,0),MATCH(COLUMNS($AO$1006:AY1006),$AO$1006:$BQ$1006,0)), HYPERLINK("#",""), HYPERLINK(CONCATENATE("#Metadata!", ADDRESS(INDEX($AJ$2:$AJ$1001,MATCH(ROWS($AH$2:AH541),$AH$2:$AH$1001,0),0), INDEX($AO$1004:$BQ$1004,1,MATCH(COLUMNS($AO$1006:AY1006),$AO$1006:$BQ$1006,0)))),"Fix")))</f>
        <v>#N/A</v>
      </c>
      <c r="M541" s="5" t="e">
        <f ca="1">IF(OR(INDEX($AI$2:$AI$1001,MATCH(ROWS($AH$2:AH541),$AH$2:$AH$1001,0),1)&gt;=100000,INDEX($AO$1005:$BQ$1005,1,MATCH(COLUMNS($AO$1006:AZ1006),$AO$1006:$BQ$1006,0))&gt;=100000), " ",IF(INDEX($AO$2:$BQ$1001,MATCH(ROWS($AH$2:AH541),$AH$2:$AH$1001,0),MATCH(COLUMNS($AO$1006:AZ1006),$AO$1006:$BQ$1006,0)), HYPERLINK("#",""), HYPERLINK(CONCATENATE("#Metadata!", ADDRESS(INDEX($AJ$2:$AJ$1001,MATCH(ROWS($AH$2:AH541),$AH$2:$AH$1001,0),0), INDEX($AO$1004:$BQ$1004,1,MATCH(COLUMNS($AO$1006:AZ1006),$AO$1006:$BQ$1006,0)))),"Fix")))</f>
        <v>#N/A</v>
      </c>
      <c r="N541" s="5" t="e">
        <f ca="1">IF(OR(INDEX($AI$2:$AI$1001,MATCH(ROWS($AH$2:AH541),$AH$2:$AH$1001,0),1)&gt;=100000,INDEX($AO$1005:$BQ$1005,1,MATCH(COLUMNS($AO$1006:BA1006),$AO$1006:$BQ$1006,0))&gt;=100000), " ",IF(INDEX($AO$2:$BQ$1001,MATCH(ROWS($AH$2:AH541),$AH$2:$AH$1001,0),MATCH(COLUMNS($AO$1006:BA1006),$AO$1006:$BQ$1006,0)), HYPERLINK("#",""), HYPERLINK(CONCATENATE("#Metadata!", ADDRESS(INDEX($AJ$2:$AJ$1001,MATCH(ROWS($AH$2:AH541),$AH$2:$AH$1001,0),0), INDEX($AO$1004:$BQ$1004,1,MATCH(COLUMNS($AO$1006:BA1006),$AO$1006:$BQ$1006,0)))),"Fix")))</f>
        <v>#N/A</v>
      </c>
      <c r="O541" s="5" t="e">
        <f ca="1">IF(OR(INDEX($AI$2:$AI$1001,MATCH(ROWS($AH$2:AH541),$AH$2:$AH$1001,0),1)&gt;=100000,INDEX($AO$1005:$BQ$1005,1,MATCH(COLUMNS($AO$1006:BB1006),$AO$1006:$BQ$1006,0))&gt;=100000), " ",IF(INDEX($AO$2:$BQ$1001,MATCH(ROWS($AH$2:AH541),$AH$2:$AH$1001,0),MATCH(COLUMNS($AO$1006:BB1006),$AO$1006:$BQ$1006,0)), HYPERLINK("#",""), HYPERLINK(CONCATENATE("#Metadata!", ADDRESS(INDEX($AJ$2:$AJ$1001,MATCH(ROWS($AH$2:AH541),$AH$2:$AH$1001,0),0), INDEX($AO$1004:$BQ$1004,1,MATCH(COLUMNS($AO$1006:BB1006),$AO$1006:$BQ$1006,0)))),"Fix")))</f>
        <v>#N/A</v>
      </c>
      <c r="P541" s="5" t="e">
        <f ca="1">IF(OR(INDEX($AI$2:$AI$1001,MATCH(ROWS($AH$2:AH541),$AH$2:$AH$1001,0),1)&gt;=100000,INDEX($AO$1005:$BQ$1005,1,MATCH(COLUMNS($AO$1006:BC1006),$AO$1006:$BQ$1006,0))&gt;=100000), " ",IF(INDEX($AO$2:$BQ$1001,MATCH(ROWS($AH$2:AH541),$AH$2:$AH$1001,0),MATCH(COLUMNS($AO$1006:BC1006),$AO$1006:$BQ$1006,0)), HYPERLINK("#",""), HYPERLINK(CONCATENATE("#Metadata!", ADDRESS(INDEX($AJ$2:$AJ$1001,MATCH(ROWS($AH$2:AH541),$AH$2:$AH$1001,0),0), INDEX($AO$1004:$BQ$1004,1,MATCH(COLUMNS($AO$1006:BC1006),$AO$1006:$BQ$1006,0)))),"Fix")))</f>
        <v>#N/A</v>
      </c>
      <c r="Q541" s="5" t="e">
        <f ca="1">IF(OR(INDEX($AI$2:$AI$1001,MATCH(ROWS($AH$2:AH541),$AH$2:$AH$1001,0),1)&gt;=100000,INDEX($AO$1005:$BQ$1005,1,MATCH(COLUMNS($AO$1006:BD1006),$AO$1006:$BQ$1006,0))&gt;=100000), " ",IF(INDEX($AO$2:$BQ$1001,MATCH(ROWS($AH$2:AH541),$AH$2:$AH$1001,0),MATCH(COLUMNS($AO$1006:BD1006),$AO$1006:$BQ$1006,0)), HYPERLINK("#",""), HYPERLINK(CONCATENATE("#Metadata!", ADDRESS(INDEX($AJ$2:$AJ$1001,MATCH(ROWS($AH$2:AH541),$AH$2:$AH$1001,0),0), INDEX($AO$1004:$BQ$1004,1,MATCH(COLUMNS($AO$1006:BD1006),$AO$1006:$BQ$1006,0)))),"Fix")))</f>
        <v>#N/A</v>
      </c>
      <c r="R541" s="5" t="e">
        <f ca="1">IF(OR(INDEX($AI$2:$AI$1001,MATCH(ROWS($AH$2:AH541),$AH$2:$AH$1001,0),1)&gt;=100000,INDEX($AO$1005:$BQ$1005,1,MATCH(COLUMNS($AO$1006:BE1006),$AO$1006:$BQ$1006,0))&gt;=100000), " ",IF(INDEX($AO$2:$BQ$1001,MATCH(ROWS($AH$2:AH541),$AH$2:$AH$1001,0),MATCH(COLUMNS($AO$1006:BE1006),$AO$1006:$BQ$1006,0)), HYPERLINK("#",""), HYPERLINK(CONCATENATE("#Metadata!", ADDRESS(INDEX($AJ$2:$AJ$1001,MATCH(ROWS($AH$2:AH541),$AH$2:$AH$1001,0),0), INDEX($AO$1004:$BQ$1004,1,MATCH(COLUMNS($AO$1006:BE1006),$AO$1006:$BQ$1006,0)))),"Fix")))</f>
        <v>#N/A</v>
      </c>
      <c r="S541" s="5" t="e">
        <f ca="1">IF(OR(INDEX($AI$2:$AI$1001,MATCH(ROWS($AH$2:AH541),$AH$2:$AH$1001,0),1)&gt;=100000,INDEX($AO$1005:$BQ$1005,1,MATCH(COLUMNS($AO$1006:BF1006),$AO$1006:$BQ$1006,0))&gt;=100000), " ",IF(INDEX($AO$2:$BQ$1001,MATCH(ROWS($AH$2:AH541),$AH$2:$AH$1001,0),MATCH(COLUMNS($AO$1006:BF1006),$AO$1006:$BQ$1006,0)), HYPERLINK("#",""), HYPERLINK(CONCATENATE("#Metadata!", ADDRESS(INDEX($AJ$2:$AJ$1001,MATCH(ROWS($AH$2:AH541),$AH$2:$AH$1001,0),0), INDEX($AO$1004:$BQ$1004,1,MATCH(COLUMNS($AO$1006:BF1006),$AO$1006:$BQ$1006,0)))),"Fix")))</f>
        <v>#N/A</v>
      </c>
      <c r="T541" s="5" t="e">
        <f ca="1">IF(OR(INDEX($AI$2:$AI$1001,MATCH(ROWS($AH$2:AH541),$AH$2:$AH$1001,0),1)&gt;=100000,INDEX($AO$1005:$BQ$1005,1,MATCH(COLUMNS($AO$1006:BG1006),$AO$1006:$BQ$1006,0))&gt;=100000), " ",IF(INDEX($AO$2:$BQ$1001,MATCH(ROWS($AH$2:AH541),$AH$2:$AH$1001,0),MATCH(COLUMNS($AO$1006:BG1006),$AO$1006:$BQ$1006,0)), HYPERLINK("#",""), HYPERLINK(CONCATENATE("#Metadata!", ADDRESS(INDEX($AJ$2:$AJ$1001,MATCH(ROWS($AH$2:AH541),$AH$2:$AH$1001,0),0), INDEX($AO$1004:$BQ$1004,1,MATCH(COLUMNS($AO$1006:BG1006),$AO$1006:$BQ$1006,0)))),"Fix")))</f>
        <v>#N/A</v>
      </c>
      <c r="U541" s="5" t="e">
        <f ca="1">IF(OR(INDEX($AI$2:$AI$1001,MATCH(ROWS($AH$2:AH541),$AH$2:$AH$1001,0),1)&gt;=100000,INDEX($AO$1005:$BQ$1005,1,MATCH(COLUMNS($AO$1006:BH1006),$AO$1006:$BQ$1006,0))&gt;=100000), " ",IF(INDEX($AO$2:$BQ$1001,MATCH(ROWS($AH$2:AH541),$AH$2:$AH$1001,0),MATCH(COLUMNS($AO$1006:BH1006),$AO$1006:$BQ$1006,0)), HYPERLINK("#",""), HYPERLINK(CONCATENATE("#Metadata!", ADDRESS(INDEX($AJ$2:$AJ$1001,MATCH(ROWS($AH$2:AH541),$AH$2:$AH$1001,0),0), INDEX($AO$1004:$BQ$1004,1,MATCH(COLUMNS($AO$1006:BH1006),$AO$1006:$BQ$1006,0)))),"Fix")))</f>
        <v>#N/A</v>
      </c>
      <c r="V541" s="5" t="e">
        <f ca="1">IF(OR(INDEX($AI$2:$AI$1001,MATCH(ROWS($AH$2:AH541),$AH$2:$AH$1001,0),1)&gt;=100000,INDEX($AO$1005:$BQ$1005,1,MATCH(COLUMNS($AO$1006:BI1006),$AO$1006:$BQ$1006,0))&gt;=100000), " ",IF(INDEX($AO$2:$BQ$1001,MATCH(ROWS($AH$2:AH541),$AH$2:$AH$1001,0),MATCH(COLUMNS($AO$1006:BI1006),$AO$1006:$BQ$1006,0)), HYPERLINK("#",""), HYPERLINK(CONCATENATE("#Metadata!", ADDRESS(INDEX($AJ$2:$AJ$1001,MATCH(ROWS($AH$2:AH541),$AH$2:$AH$1001,0),0), INDEX($AO$1004:$BQ$1004,1,MATCH(COLUMNS($AO$1006:BI1006),$AO$1006:$BQ$1006,0)))),"Fix")))</f>
        <v>#N/A</v>
      </c>
      <c r="W541" s="5" t="e">
        <f ca="1">IF(OR(INDEX($AI$2:$AI$1001,MATCH(ROWS($AH$2:AH541),$AH$2:$AH$1001,0),1)&gt;=100000,INDEX($AO$1005:$BQ$1005,1,MATCH(COLUMNS($AO$1006:BJ1006),$AO$1006:$BQ$1006,0))&gt;=100000), " ",IF(INDEX($AO$2:$BQ$1001,MATCH(ROWS($AH$2:AH541),$AH$2:$AH$1001,0),MATCH(COLUMNS($AO$1006:BJ1006),$AO$1006:$BQ$1006,0)), HYPERLINK("#",""), HYPERLINK(CONCATENATE("#Metadata!", ADDRESS(INDEX($AJ$2:$AJ$1001,MATCH(ROWS($AH$2:AH541),$AH$2:$AH$1001,0),0), INDEX($AO$1004:$BQ$1004,1,MATCH(COLUMNS($AO$1006:BJ1006),$AO$1006:$BQ$1006,0)))),"Fix")))</f>
        <v>#N/A</v>
      </c>
      <c r="X541" s="5" t="e">
        <f ca="1">IF(OR(INDEX($AI$2:$AI$1001,MATCH(ROWS($AH$2:AH541),$AH$2:$AH$1001,0),1)&gt;=100000,INDEX($AO$1005:$BQ$1005,1,MATCH(COLUMNS($AO$1006:BK1006),$AO$1006:$BQ$1006,0))&gt;=100000), " ",IF(INDEX($AO$2:$BQ$1001,MATCH(ROWS($AH$2:AH541),$AH$2:$AH$1001,0),MATCH(COLUMNS($AO$1006:BK1006),$AO$1006:$BQ$1006,0)), HYPERLINK("#",""), HYPERLINK(CONCATENATE("#Metadata!", ADDRESS(INDEX($AJ$2:$AJ$1001,MATCH(ROWS($AH$2:AH541),$AH$2:$AH$1001,0),0), INDEX($AO$1004:$BQ$1004,1,MATCH(COLUMNS($AO$1006:BK1006),$AO$1006:$BQ$1006,0)))),"Fix")))</f>
        <v>#N/A</v>
      </c>
      <c r="Y541" s="5" t="e">
        <f ca="1">IF(OR(INDEX($AI$2:$AI$1001,MATCH(ROWS($AH$2:AH541),$AH$2:$AH$1001,0),1)&gt;=100000,INDEX($AO$1005:$BQ$1005,1,MATCH(COLUMNS($AO$1006:BL1006),$AO$1006:$BQ$1006,0))&gt;=100000), " ",IF(INDEX($AO$2:$BQ$1001,MATCH(ROWS($AH$2:AH541),$AH$2:$AH$1001,0),MATCH(COLUMNS($AO$1006:BL1006),$AO$1006:$BQ$1006,0)), HYPERLINK("#",""), HYPERLINK(CONCATENATE("#Metadata!", ADDRESS(INDEX($AJ$2:$AJ$1001,MATCH(ROWS($AH$2:AH541),$AH$2:$AH$1001,0),0), INDEX($AO$1004:$BQ$1004,1,MATCH(COLUMNS($AO$1006:BL1006),$AO$1006:$BQ$1006,0)))),"Fix")))</f>
        <v>#N/A</v>
      </c>
      <c r="Z541" s="5" t="e">
        <f ca="1">IF(OR(INDEX($AI$2:$AI$1001,MATCH(ROWS($AH$2:AH541),$AH$2:$AH$1001,0),1)&gt;=100000,INDEX($AO$1005:$BQ$1005,1,MATCH(COLUMNS($AO$1006:BM1006),$AO$1006:$BQ$1006,0))&gt;=100000), " ",IF(INDEX($AO$2:$BQ$1001,MATCH(ROWS($AH$2:AH541),$AH$2:$AH$1001,0),MATCH(COLUMNS($AO$1006:BM1006),$AO$1006:$BQ$1006,0)), HYPERLINK("#",""), HYPERLINK(CONCATENATE("#Metadata!", ADDRESS(INDEX($AJ$2:$AJ$1001,MATCH(ROWS($AH$2:AH541),$AH$2:$AH$1001,0),0), INDEX($AO$1004:$BQ$1004,1,MATCH(COLUMNS($AO$1006:BM1006),$AO$1006:$BQ$1006,0)))),"Fix")))</f>
        <v>#N/A</v>
      </c>
      <c r="AA541" s="5" t="e">
        <f ca="1">IF(OR(INDEX($AI$2:$AI$1001,MATCH(ROWS($AH$2:AH541),$AH$2:$AH$1001,0),1)&gt;=100000,INDEX($AO$1005:$BQ$1005,1,MATCH(COLUMNS($AO$1006:BN1006),$AO$1006:$BQ$1006,0))&gt;=100000), " ",IF(INDEX($AO$2:$BQ$1001,MATCH(ROWS($AH$2:AH541),$AH$2:$AH$1001,0),MATCH(COLUMNS($AO$1006:BN1006),$AO$1006:$BQ$1006,0)), HYPERLINK("#",""), HYPERLINK(CONCATENATE("#Metadata!", ADDRESS(INDEX($AJ$2:$AJ$1001,MATCH(ROWS($AH$2:AH541),$AH$2:$AH$1001,0),0), INDEX($AO$1004:$BQ$1004,1,MATCH(COLUMNS($AO$1006:BN1006),$AO$1006:$BQ$1006,0)))),"Fix")))</f>
        <v>#N/A</v>
      </c>
      <c r="AB541" s="5" t="e">
        <f ca="1">IF(OR(INDEX($AI$2:$AI$1001,MATCH(ROWS($AH$2:AH541),$AH$2:$AH$1001,0),1)&gt;=100000,INDEX($AO$1005:$BQ$1005,1,MATCH(COLUMNS($AO$1006:BO1006),$AO$1006:$BQ$1006,0))&gt;=100000), " ",IF(INDEX($AO$2:$BQ$1001,MATCH(ROWS($AH$2:AH541),$AH$2:$AH$1001,0),MATCH(COLUMNS($AO$1006:BO1006),$AO$1006:$BQ$1006,0)), HYPERLINK("#",""), HYPERLINK(CONCATENATE("#Metadata!", ADDRESS(INDEX($AJ$2:$AJ$1001,MATCH(ROWS($AH$2:AH541),$AH$2:$AH$1001,0),0), INDEX($AO$1004:$BQ$1004,1,MATCH(COLUMNS($AO$1006:BO1006),$AO$1006:$BQ$1006,0)))),"Fix")))</f>
        <v>#N/A</v>
      </c>
      <c r="AC541" s="5" t="e">
        <f ca="1">IF(OR(INDEX($AI$2:$AI$1001,MATCH(ROWS($AH$2:AH541),$AH$2:$AH$1001,0),1)&gt;=100000,INDEX($AO$1005:$BQ$1005,1,MATCH(COLUMNS($AO$1006:BP1006),$AO$1006:$BQ$1006,0))&gt;=100000), " ",IF(INDEX($AO$2:$BQ$1001,MATCH(ROWS($AH$2:AH541),$AH$2:$AH$1001,0),MATCH(COLUMNS($AO$1006:BP1006),$AO$1006:$BQ$1006,0)), HYPERLINK("#",""), HYPERLINK(CONCATENATE("#Metadata!", ADDRESS(INDEX($AJ$2:$AJ$1001,MATCH(ROWS($AH$2:AH541),$AH$2:$AH$1001,0),0), INDEX($AO$1004:$BQ$1004,1,MATCH(COLUMNS($AO$1006:BP1006),$AO$1006:$BQ$1006,0)))),"Fix")))</f>
        <v>#N/A</v>
      </c>
      <c r="AD541" s="5" t="e">
        <f ca="1">IF(OR(INDEX($AI$2:$AI$1001,MATCH(ROWS($AH$2:AH541),$AH$2:$AH$1001,0),1)&gt;=100000,INDEX($AO$1005:$BQ$1005,1,MATCH(COLUMNS($AO$1006:BQ1006),$AO$1006:$BQ$1006,0))&gt;=100000), " ",IF(INDEX($AO$2:$BQ$1001,MATCH(ROWS($AH$2:AH541),$AH$2:$AH$1001,0),MATCH(COLUMNS($AO$1006:BQ1006),$AO$1006:$BQ$1006,0)), HYPERLINK("#",""), HYPERLINK(CONCATENATE("#Metadata!", ADDRESS(INDEX($AJ$2:$AJ$1001,MATCH(ROWS($AH$2:AH541),$AH$2:$AH$1001,0),0), INDEX($AO$1004:$BQ$1004,1,MATCH(COLUMNS($AO$1006:BQ1006),$AO$1006:$BQ$1006,0)))),"Fix")))</f>
        <v>#REF!</v>
      </c>
      <c r="AH541">
        <f ca="1"/>
        <v>538</v>
      </c>
      <c r="AI541">
        <v>100541</v>
      </c>
      <c r="AJ541">
        <v>541</v>
      </c>
      <c r="AK541" t="b">
        <f t="shared" si="8"/>
        <v>1</v>
      </c>
      <c r="AL541" t="b">
        <f>COUNTBLANK(Metadata!B541:AD541)=COLUMNS(Metadata!B541:AD541)</f>
        <v>1</v>
      </c>
      <c r="AM541" t="str">
        <v/>
      </c>
      <c r="AO541" t="b">
        <f ca="1">AND(IF(Metadata!B541="",FALSE,TRUE),COUNTIF(Metadata!B:B, Metadata!B541) = 1,NOT(ISERROR(SUMPRODUCT(SEARCH(MID(Metadata!B541,ROW(INDIRECT("1:"&amp;LEN(Metadata!B541))), 1),"0123456789abcdefghijklmnopqrstuvwxyzABCDEFGHIJKLMNOPQRSTUVWXYZ.")))))</f>
        <v>0</v>
      </c>
      <c r="AP541" t="b">
        <f>IF(Metadata!C541="",FALSE,TRUE)</f>
        <v>0</v>
      </c>
      <c r="AQ541" t="b">
        <f>IF(Metadata!D541="",FALSE,TRUE)</f>
        <v>0</v>
      </c>
      <c r="AR541" t="b">
        <f ca="1">OR(AND(IF(Metadata!E541="",FALSE,TRUE),OR(EXACT(Metadata!E541,"not collected"),EXACT(Metadata!E541,"not provided"),EXACT(Metadata!E541,"restricted access"))),AND(IF(Metadata!E541="",FALSE,TRUE),AND(AND(IFERROR(INT(LEFT(Metadata!E541,4))&gt;1900,FALSE),IFERROR(INT(LEFT(Metadata!E541,4))&lt;=YEAR(NOW()),FALSE)), OR(MID(Metadata!E541,5,1)="", AND(AND(MID(Metadata!E541,5,1)="-",IFERROR(INT(MID(Metadata!E541,6,1))&gt;=0,FALSE),IFERROR(INT(MID(Metadata!E541,6,1))&lt;=1,FALSE),NOT(MID(Metadata!E541,7,1)=""),IFERROR(INT(MID(Metadata!E541,6,2))&gt;=1,FALSE),IFERROR(INT(MID(Metadata!E541,6,2))&lt;=12,FALSE)), OR(MID(Metadata!E541,8,1)="", AND(AND(MID(Metadata!E541,8,1)="-",IFERROR(INT(MID(Metadata!E541,9,1))&gt;=0,FALSE),IFERROR(INT(MID(Metadata!E541,9,1))&lt;=3,FALSE),NOT(MID(Metadata!E541,10,1)=""),IFERROR(INT(MID(Metadata!E541,9,2))&gt;=1,FALSE),IFERROR(INT(MID(Metadata!E541,9,2))&lt;=31,FALSE)), OR(MID(Metadata!E541,11,1)="", AND(AND(MID(Metadata!E541,11,1)=" ",IFERROR(INT(MID(Metadata!E541,12,1))&gt;=0,FALSE),IFERROR(INT(MID(Metadata!E541,12,1))&lt;=2,FALSE),NOT(MID(Metadata!E541,13,1)=""),IFERROR(INT(MID(Metadata!E541,12,2))&gt;=0,FALSE),IFERROR(INT(MID(Metadata!E541,12,2))&lt;=23,FALSE)), OR(MID(Metadata!E541,14,1)="", AND(AND(MID(Metadata!E541,14,1)=":",IFERROR(INT(MID(Metadata!E541,15,1))&gt;=0,FALSE),IFERROR(INT(MID(Metadata!E541,15,1))&lt;=5,FALSE),NOT(MID(Metadata!E541,16,1)=""),IFERROR(INT(MID(Metadata!E541,15,2))&gt;=0,FALSE),IFERROR(INT(MID(Metadata!E541,15,2))&lt;=59,FALSE)), OR(MID(Metadata!E541,17,1)="", AND(AND(MID(Metadata!E541,17,1)=":",IFERROR(INT(MID(Metadata!E541,18,1))&gt;=0,FALSE),IFERROR(INT(MID(Metadata!E541,18,1))&lt;=5,FALSE),NOT(MID(Metadata!E541,19,1)=""),IFERROR(INT(MID(Metadata!E541,18,2))&gt;=0,FALSE),IFERROR(INT(MID(Metadata!E541,18,2))&lt;=59,FALSE)), LEN(Metadata!E541)&lt;=19)))))))))))))</f>
        <v>0</v>
      </c>
      <c r="AS541" t="b">
        <f>IF(Metadata!F541="",FALSE,TRUE)</f>
        <v>0</v>
      </c>
      <c r="AT541" t="b">
        <f>OR(AND(IF(Metadata!G541="",FALSE,TRUE),OR(EXACT(Metadata!G541,"not collected"),EXACT(Metadata!G541,"not provided"))),AND(IF(Metadata!G541="",FALSE,TRUE),OR(EXACT(Metadata!G541,"TRUE"),EXACT(Metadata!G541,"FALSE"))))</f>
        <v>0</v>
      </c>
      <c r="AU541" t="b">
        <f>OR(AND(IF(Metadata!H541="",FALSE,TRUE),OR(EXACT(Metadata!H541,"not collected"),EXACT(Metadata!H541,"not provided"),EXACT(Metadata!H541,"restricted access"))),AND(IF(Metadata!H541="",FALSE,ISNUMBER(VALUE(Metadata!H541))),Metadata!H541&gt;=-413))</f>
        <v>0</v>
      </c>
      <c r="AV541" t="b">
        <f>AND(IF(Metadata!I541="",FALSE,TRUE),EXACT(Metadata!I541,"meters"))</f>
        <v>0</v>
      </c>
      <c r="AW541" t="b">
        <f>AND(IF(Metadata!J541="",FALSE,TRUE),EXACT(Metadata!J541,"free-living"))</f>
        <v>0</v>
      </c>
      <c r="AX541" t="b">
        <f>AND(IF(Metadata!K541="",FALSE,TRUE),OR(EXACT(Metadata!K541,"saline"),EXACT(Metadata!K541,"non-saline")))</f>
        <v>0</v>
      </c>
      <c r="AY541" t="b">
        <f>AND(IF(Metadata!L541="",FALSE,TRUE),OR(EXACT(Metadata!L541,"sub-surface (non-saline)"),EXACT(Metadata!L541,"surface (non-saline)"),EXACT(Metadata!L541,"water (non-saline)"),EXACT(Metadata!L541,"soil (non-saline)"),EXACT(Metadata!L541,"aerosol (non-saline)"),EXACT(Metadata!L541,"sediment (non-saline)"),EXACT(Metadata!L541,"surface (saline)"),EXACT(Metadata!L541,"water (saline)"),EXACT(Metadata!L541,"hypersaline (saline)"),EXACT(Metadata!L541,"aerosol (saline)"),EXACT(Metadata!L541,"sediment (saline)")))</f>
        <v>0</v>
      </c>
      <c r="AZ541" t="b">
        <f>IF(Metadata!M541="",FALSE,TRUE)</f>
        <v>0</v>
      </c>
      <c r="BA541" t="b">
        <f>IF(Metadata!N541="",FALSE,TRUE)</f>
        <v>0</v>
      </c>
      <c r="BB541" t="b">
        <f>IF(Metadata!O541="",FALSE,TRUE)</f>
        <v>0</v>
      </c>
      <c r="BC541" t="b">
        <f>AND(IF(Metadata!P541="",FALSE,TRUE),OR(EXACT(Metadata!P541,"air"),EXACT(Metadata!P541,"microbial mat/biofilm"),EXACT(Metadata!P541,"misc environment"),EXACT(Metadata!P541,"sediment"),EXACT(Metadata!P541,"soil"),EXACT(Metadata!P541,"wastewater/sludge"),EXACT(Metadata!P541,"water")))</f>
        <v>0</v>
      </c>
      <c r="BD541" t="b">
        <f>IF(Metadata!Q541="",FALSE,TRUE)</f>
        <v>0</v>
      </c>
      <c r="BE541" t="b">
        <f>IF(Metadata!R541="",FALSE,TRUE)</f>
        <v>0</v>
      </c>
      <c r="BF541" t="b">
        <f>OR(AND(IF(Metadata!S541="",FALSE,TRUE),OR(EXACT(Metadata!S541,"not collected"),EXACT(Metadata!S541,"not provided"),EXACT(Metadata!S541,"restricted access"))),AND(IF(Metadata!S541="",FALSE,ISNUMBER(VALUE(Metadata!S541))),Metadata!S541&gt;=-90,Metadata!S541&lt;=90))</f>
        <v>0</v>
      </c>
      <c r="BG541" t="b">
        <f>AND(IF(Metadata!T541="",FALSE,TRUE),EXACT(Metadata!T541,"Decimal degrees"))</f>
        <v>0</v>
      </c>
      <c r="BH541" t="b">
        <f>OR(AND(IF(Metadata!U541="",FALSE,TRUE),OR(EXACT(Metadata!U541,"not applicable"),EXACT(Metadata!U541,"not collected"))),IF(Metadata!U541="",FALSE,TRUE))</f>
        <v>0</v>
      </c>
      <c r="BI541" t="b">
        <f>OR(AND(IF(Metadata!V541="",FALSE,TRUE),OR(EXACT(Metadata!V541,"not collected"),EXACT(Metadata!V541,"not provided"),EXACT(Metadata!V541,"restricted access"))),AND(IF(Metadata!V541="",FALSE,ISNUMBER(VALUE(Metadata!V541))),Metadata!V541&gt;=-180,Metadata!V541&lt;=180))</f>
        <v>0</v>
      </c>
      <c r="BJ541" t="b">
        <f>AND(IF(Metadata!W541="",FALSE,TRUE),EXACT(Metadata!W541,"Decimal degrees"))</f>
        <v>0</v>
      </c>
      <c r="BK541" t="b">
        <f>IF(Metadata!X541="",FALSE,TRUE)</f>
        <v>0</v>
      </c>
      <c r="BL541" t="b">
        <f>OR(AND(IF(Metadata!Y541="",FALSE,TRUE),OR(EXACT(Metadata!Y541,"not collected"),EXACT(Metadata!Y541,"not provided"),EXACT(Metadata!Y541,"restricted access"))),AND(IF(Metadata!Y541="",FALSE,TRUE),OR(EXACT(Metadata!Y541,"TRUE"),EXACT(Metadata!Y541,"FALSE"))))</f>
        <v>0</v>
      </c>
      <c r="BM541" t="b">
        <f>OR(AND(IF(Metadata!Z541="",FALSE,TRUE),EXACT(Metadata!Z541,"not applicable")),AND(IF(Metadata!Z541="",FALSE,TRUE),OR(EXACT(Metadata!Z541,"beer"),EXACT(Metadata!Z541,"cheese"),EXACT(Metadata!Z541,"fresh water"),EXACT(Metadata!Z541,"marine sediment"),EXACT(Metadata!Z541,"sea water"),EXACT(Metadata!Z541,"sediment"),EXACT(Metadata!Z541,"soil"),EXACT(Metadata!Z541,"waste water"))))</f>
        <v>0</v>
      </c>
      <c r="BN541" t="b">
        <f>AND(IF(Metadata!AA541="",FALSE,TRUE),EXACT(Metadata!AA541,"metagenome"))</f>
        <v>0</v>
      </c>
      <c r="BO541" t="b">
        <f>AND(IF(Metadata!AB541="",FALSE,TRUE),EXACT(Metadata!AB541,"256318"))</f>
        <v>0</v>
      </c>
      <c r="BP541" t="b">
        <f>IF(Metadata!AC541="",FALSE,TRUE)</f>
        <v>0</v>
      </c>
      <c r="BQ541" t="b">
        <f>IF(Metadata!AD541="",FALSE,TRUE)</f>
        <v>0</v>
      </c>
    </row>
    <row r="542" spans="1:69" x14ac:dyDescent="0.2">
      <c r="A542" s="4" t="e">
        <f ca="1">IF(B542=" "," ",HYPERLINK(CONCATENATE("#metadata!",ADDRESS(INDEX($AJ$2:$AJ$1001,MATCH(ROWS($AH$2:AH542),$AH$2:$AH$1001,0),0),2)),INDEX($AM$2:$AM$1001,MATCH(ROWS($AH$2:AH542),$AH$2:$AH$1001,0),0)))</f>
        <v>#N/A</v>
      </c>
      <c r="B542" s="5" t="e">
        <f ca="1">IF(OR(INDEX($AI$2:$AI$1001,MATCH(ROWS($AH$2:AH542),$AH$2:$AH$1001,0),1)&gt;=100000,INDEX($AO$1005:$BQ$1005,1,MATCH(COLUMNS($AO$1006:AO1006),$AO$1006:$BQ$1006,0))&gt;=100000), " ",IF(INDEX($AO$2:$BQ$1001,MATCH(ROWS($AH$2:AH542),$AH$2:$AH$1001,0),MATCH(COLUMNS($AO$1006:AO1006),$AO$1006:$BQ$1006,0)), HYPERLINK("#",""), HYPERLINK(CONCATENATE("#Metadata!", ADDRESS(INDEX($AJ$2:$AJ$1001,MATCH(ROWS($AH$2:AH542),$AH$2:$AH$1001,0),0), INDEX($AO$1004:$BQ$1004,1,MATCH(COLUMNS($AO$1006:AO1006),$AO$1006:$BQ$1006,0)))),"Fix")))</f>
        <v>#N/A</v>
      </c>
      <c r="C542" s="5" t="e">
        <f ca="1">IF(OR(INDEX($AI$2:$AI$1001,MATCH(ROWS($AH$2:AH542),$AH$2:$AH$1001,0),1)&gt;=100000,INDEX($AO$1005:$BQ$1005,1,MATCH(COLUMNS($AO$1006:AP1006),$AO$1006:$BQ$1006,0))&gt;=100000), " ",IF(INDEX($AO$2:$BQ$1001,MATCH(ROWS($AH$2:AH542),$AH$2:$AH$1001,0),MATCH(COLUMNS($AO$1006:AP1006),$AO$1006:$BQ$1006,0)), HYPERLINK("#",""), HYPERLINK(CONCATENATE("#Metadata!", ADDRESS(INDEX($AJ$2:$AJ$1001,MATCH(ROWS($AH$2:AH542),$AH$2:$AH$1001,0),0), INDEX($AO$1004:$BQ$1004,1,MATCH(COLUMNS($AO$1006:AP1006),$AO$1006:$BQ$1006,0)))),"Fix")))</f>
        <v>#N/A</v>
      </c>
      <c r="D542" s="5" t="e">
        <f ca="1">IF(OR(INDEX($AI$2:$AI$1001,MATCH(ROWS($AH$2:AH542),$AH$2:$AH$1001,0),1)&gt;=100000,INDEX($AO$1005:$BQ$1005,1,MATCH(COLUMNS($AO$1006:AQ1006),$AO$1006:$BQ$1006,0))&gt;=100000), " ",IF(INDEX($AO$2:$BQ$1001,MATCH(ROWS($AH$2:AH542),$AH$2:$AH$1001,0),MATCH(COLUMNS($AO$1006:AQ1006),$AO$1006:$BQ$1006,0)), HYPERLINK("#",""), HYPERLINK(CONCATENATE("#Metadata!", ADDRESS(INDEX($AJ$2:$AJ$1001,MATCH(ROWS($AH$2:AH542),$AH$2:$AH$1001,0),0), INDEX($AO$1004:$BQ$1004,1,MATCH(COLUMNS($AO$1006:AQ1006),$AO$1006:$BQ$1006,0)))),"Fix")))</f>
        <v>#N/A</v>
      </c>
      <c r="E542" s="5" t="e">
        <f ca="1">IF(OR(INDEX($AI$2:$AI$1001,MATCH(ROWS($AH$2:AH542),$AH$2:$AH$1001,0),1)&gt;=100000,INDEX($AO$1005:$BQ$1005,1,MATCH(COLUMNS($AO$1006:AR1006),$AO$1006:$BQ$1006,0))&gt;=100000), " ",IF(INDEX($AO$2:$BQ$1001,MATCH(ROWS($AH$2:AH542),$AH$2:$AH$1001,0),MATCH(COLUMNS($AO$1006:AR1006),$AO$1006:$BQ$1006,0)), HYPERLINK("#",""), HYPERLINK(CONCATENATE("#Metadata!", ADDRESS(INDEX($AJ$2:$AJ$1001,MATCH(ROWS($AH$2:AH542),$AH$2:$AH$1001,0),0), INDEX($AO$1004:$BQ$1004,1,MATCH(COLUMNS($AO$1006:AR1006),$AO$1006:$BQ$1006,0)))),"Fix")))</f>
        <v>#N/A</v>
      </c>
      <c r="F542" s="5" t="e">
        <f ca="1">IF(OR(INDEX($AI$2:$AI$1001,MATCH(ROWS($AH$2:AH542),$AH$2:$AH$1001,0),1)&gt;=100000,INDEX($AO$1005:$BQ$1005,1,MATCH(COLUMNS($AO$1006:AS1006),$AO$1006:$BQ$1006,0))&gt;=100000), " ",IF(INDEX($AO$2:$BQ$1001,MATCH(ROWS($AH$2:AH542),$AH$2:$AH$1001,0),MATCH(COLUMNS($AO$1006:AS1006),$AO$1006:$BQ$1006,0)), HYPERLINK("#",""), HYPERLINK(CONCATENATE("#Metadata!", ADDRESS(INDEX($AJ$2:$AJ$1001,MATCH(ROWS($AH$2:AH542),$AH$2:$AH$1001,0),0), INDEX($AO$1004:$BQ$1004,1,MATCH(COLUMNS($AO$1006:AS1006),$AO$1006:$BQ$1006,0)))),"Fix")))</f>
        <v>#N/A</v>
      </c>
      <c r="G542" s="5" t="e">
        <f ca="1">IF(OR(INDEX($AI$2:$AI$1001,MATCH(ROWS($AH$2:AH542),$AH$2:$AH$1001,0),1)&gt;=100000,INDEX($AO$1005:$BQ$1005,1,MATCH(COLUMNS($AO$1006:AT1006),$AO$1006:$BQ$1006,0))&gt;=100000), " ",IF(INDEX($AO$2:$BQ$1001,MATCH(ROWS($AH$2:AH542),$AH$2:$AH$1001,0),MATCH(COLUMNS($AO$1006:AT1006),$AO$1006:$BQ$1006,0)), HYPERLINK("#",""), HYPERLINK(CONCATENATE("#Metadata!", ADDRESS(INDEX($AJ$2:$AJ$1001,MATCH(ROWS($AH$2:AH542),$AH$2:$AH$1001,0),0), INDEX($AO$1004:$BQ$1004,1,MATCH(COLUMNS($AO$1006:AT1006),$AO$1006:$BQ$1006,0)))),"Fix")))</f>
        <v>#N/A</v>
      </c>
      <c r="H542" s="5" t="e">
        <f ca="1">IF(OR(INDEX($AI$2:$AI$1001,MATCH(ROWS($AH$2:AH542),$AH$2:$AH$1001,0),1)&gt;=100000,INDEX($AO$1005:$BQ$1005,1,MATCH(COLUMNS($AO$1006:AU1006),$AO$1006:$BQ$1006,0))&gt;=100000), " ",IF(INDEX($AO$2:$BQ$1001,MATCH(ROWS($AH$2:AH542),$AH$2:$AH$1001,0),MATCH(COLUMNS($AO$1006:AU1006),$AO$1006:$BQ$1006,0)), HYPERLINK("#",""), HYPERLINK(CONCATENATE("#Metadata!", ADDRESS(INDEX($AJ$2:$AJ$1001,MATCH(ROWS($AH$2:AH542),$AH$2:$AH$1001,0),0), INDEX($AO$1004:$BQ$1004,1,MATCH(COLUMNS($AO$1006:AU1006),$AO$1006:$BQ$1006,0)))),"Fix")))</f>
        <v>#N/A</v>
      </c>
      <c r="I542" s="5" t="e">
        <f ca="1">IF(OR(INDEX($AI$2:$AI$1001,MATCH(ROWS($AH$2:AH542),$AH$2:$AH$1001,0),1)&gt;=100000,INDEX($AO$1005:$BQ$1005,1,MATCH(COLUMNS($AO$1006:AV1006),$AO$1006:$BQ$1006,0))&gt;=100000), " ",IF(INDEX($AO$2:$BQ$1001,MATCH(ROWS($AH$2:AH542),$AH$2:$AH$1001,0),MATCH(COLUMNS($AO$1006:AV1006),$AO$1006:$BQ$1006,0)), HYPERLINK("#",""), HYPERLINK(CONCATENATE("#Metadata!", ADDRESS(INDEX($AJ$2:$AJ$1001,MATCH(ROWS($AH$2:AH542),$AH$2:$AH$1001,0),0), INDEX($AO$1004:$BQ$1004,1,MATCH(COLUMNS($AO$1006:AV1006),$AO$1006:$BQ$1006,0)))),"Fix")))</f>
        <v>#N/A</v>
      </c>
      <c r="J542" s="5" t="e">
        <f ca="1">IF(OR(INDEX($AI$2:$AI$1001,MATCH(ROWS($AH$2:AH542),$AH$2:$AH$1001,0),1)&gt;=100000,INDEX($AO$1005:$BQ$1005,1,MATCH(COLUMNS($AO$1006:AW1006),$AO$1006:$BQ$1006,0))&gt;=100000), " ",IF(INDEX($AO$2:$BQ$1001,MATCH(ROWS($AH$2:AH542),$AH$2:$AH$1001,0),MATCH(COLUMNS($AO$1006:AW1006),$AO$1006:$BQ$1006,0)), HYPERLINK("#",""), HYPERLINK(CONCATENATE("#Metadata!", ADDRESS(INDEX($AJ$2:$AJ$1001,MATCH(ROWS($AH$2:AH542),$AH$2:$AH$1001,0),0), INDEX($AO$1004:$BQ$1004,1,MATCH(COLUMNS($AO$1006:AW1006),$AO$1006:$BQ$1006,0)))),"Fix")))</f>
        <v>#N/A</v>
      </c>
      <c r="K542" s="5" t="e">
        <f ca="1">IF(OR(INDEX($AI$2:$AI$1001,MATCH(ROWS($AH$2:AH542),$AH$2:$AH$1001,0),1)&gt;=100000,INDEX($AO$1005:$BQ$1005,1,MATCH(COLUMNS($AO$1006:AX1006),$AO$1006:$BQ$1006,0))&gt;=100000), " ",IF(INDEX($AO$2:$BQ$1001,MATCH(ROWS($AH$2:AH542),$AH$2:$AH$1001,0),MATCH(COLUMNS($AO$1006:AX1006),$AO$1006:$BQ$1006,0)), HYPERLINK("#",""), HYPERLINK(CONCATENATE("#Metadata!", ADDRESS(INDEX($AJ$2:$AJ$1001,MATCH(ROWS($AH$2:AH542),$AH$2:$AH$1001,0),0), INDEX($AO$1004:$BQ$1004,1,MATCH(COLUMNS($AO$1006:AX1006),$AO$1006:$BQ$1006,0)))),"Fix")))</f>
        <v>#N/A</v>
      </c>
      <c r="L542" s="5" t="e">
        <f ca="1">IF(OR(INDEX($AI$2:$AI$1001,MATCH(ROWS($AH$2:AH542),$AH$2:$AH$1001,0),1)&gt;=100000,INDEX($AO$1005:$BQ$1005,1,MATCH(COLUMNS($AO$1006:AY1006),$AO$1006:$BQ$1006,0))&gt;=100000), " ",IF(INDEX($AO$2:$BQ$1001,MATCH(ROWS($AH$2:AH542),$AH$2:$AH$1001,0),MATCH(COLUMNS($AO$1006:AY1006),$AO$1006:$BQ$1006,0)), HYPERLINK("#",""), HYPERLINK(CONCATENATE("#Metadata!", ADDRESS(INDEX($AJ$2:$AJ$1001,MATCH(ROWS($AH$2:AH542),$AH$2:$AH$1001,0),0), INDEX($AO$1004:$BQ$1004,1,MATCH(COLUMNS($AO$1006:AY1006),$AO$1006:$BQ$1006,0)))),"Fix")))</f>
        <v>#N/A</v>
      </c>
      <c r="M542" s="5" t="e">
        <f ca="1">IF(OR(INDEX($AI$2:$AI$1001,MATCH(ROWS($AH$2:AH542),$AH$2:$AH$1001,0),1)&gt;=100000,INDEX($AO$1005:$BQ$1005,1,MATCH(COLUMNS($AO$1006:AZ1006),$AO$1006:$BQ$1006,0))&gt;=100000), " ",IF(INDEX($AO$2:$BQ$1001,MATCH(ROWS($AH$2:AH542),$AH$2:$AH$1001,0),MATCH(COLUMNS($AO$1006:AZ1006),$AO$1006:$BQ$1006,0)), HYPERLINK("#",""), HYPERLINK(CONCATENATE("#Metadata!", ADDRESS(INDEX($AJ$2:$AJ$1001,MATCH(ROWS($AH$2:AH542),$AH$2:$AH$1001,0),0), INDEX($AO$1004:$BQ$1004,1,MATCH(COLUMNS($AO$1006:AZ1006),$AO$1006:$BQ$1006,0)))),"Fix")))</f>
        <v>#N/A</v>
      </c>
      <c r="N542" s="5" t="e">
        <f ca="1">IF(OR(INDEX($AI$2:$AI$1001,MATCH(ROWS($AH$2:AH542),$AH$2:$AH$1001,0),1)&gt;=100000,INDEX($AO$1005:$BQ$1005,1,MATCH(COLUMNS($AO$1006:BA1006),$AO$1006:$BQ$1006,0))&gt;=100000), " ",IF(INDEX($AO$2:$BQ$1001,MATCH(ROWS($AH$2:AH542),$AH$2:$AH$1001,0),MATCH(COLUMNS($AO$1006:BA1006),$AO$1006:$BQ$1006,0)), HYPERLINK("#",""), HYPERLINK(CONCATENATE("#Metadata!", ADDRESS(INDEX($AJ$2:$AJ$1001,MATCH(ROWS($AH$2:AH542),$AH$2:$AH$1001,0),0), INDEX($AO$1004:$BQ$1004,1,MATCH(COLUMNS($AO$1006:BA1006),$AO$1006:$BQ$1006,0)))),"Fix")))</f>
        <v>#N/A</v>
      </c>
      <c r="O542" s="5" t="e">
        <f ca="1">IF(OR(INDEX($AI$2:$AI$1001,MATCH(ROWS($AH$2:AH542),$AH$2:$AH$1001,0),1)&gt;=100000,INDEX($AO$1005:$BQ$1005,1,MATCH(COLUMNS($AO$1006:BB1006),$AO$1006:$BQ$1006,0))&gt;=100000), " ",IF(INDEX($AO$2:$BQ$1001,MATCH(ROWS($AH$2:AH542),$AH$2:$AH$1001,0),MATCH(COLUMNS($AO$1006:BB1006),$AO$1006:$BQ$1006,0)), HYPERLINK("#",""), HYPERLINK(CONCATENATE("#Metadata!", ADDRESS(INDEX($AJ$2:$AJ$1001,MATCH(ROWS($AH$2:AH542),$AH$2:$AH$1001,0),0), INDEX($AO$1004:$BQ$1004,1,MATCH(COLUMNS($AO$1006:BB1006),$AO$1006:$BQ$1006,0)))),"Fix")))</f>
        <v>#N/A</v>
      </c>
      <c r="P542" s="5" t="e">
        <f ca="1">IF(OR(INDEX($AI$2:$AI$1001,MATCH(ROWS($AH$2:AH542),$AH$2:$AH$1001,0),1)&gt;=100000,INDEX($AO$1005:$BQ$1005,1,MATCH(COLUMNS($AO$1006:BC1006),$AO$1006:$BQ$1006,0))&gt;=100000), " ",IF(INDEX($AO$2:$BQ$1001,MATCH(ROWS($AH$2:AH542),$AH$2:$AH$1001,0),MATCH(COLUMNS($AO$1006:BC1006),$AO$1006:$BQ$1006,0)), HYPERLINK("#",""), HYPERLINK(CONCATENATE("#Metadata!", ADDRESS(INDEX($AJ$2:$AJ$1001,MATCH(ROWS($AH$2:AH542),$AH$2:$AH$1001,0),0), INDEX($AO$1004:$BQ$1004,1,MATCH(COLUMNS($AO$1006:BC1006),$AO$1006:$BQ$1006,0)))),"Fix")))</f>
        <v>#N/A</v>
      </c>
      <c r="Q542" s="5" t="e">
        <f ca="1">IF(OR(INDEX($AI$2:$AI$1001,MATCH(ROWS($AH$2:AH542),$AH$2:$AH$1001,0),1)&gt;=100000,INDEX($AO$1005:$BQ$1005,1,MATCH(COLUMNS($AO$1006:BD1006),$AO$1006:$BQ$1006,0))&gt;=100000), " ",IF(INDEX($AO$2:$BQ$1001,MATCH(ROWS($AH$2:AH542),$AH$2:$AH$1001,0),MATCH(COLUMNS($AO$1006:BD1006),$AO$1006:$BQ$1006,0)), HYPERLINK("#",""), HYPERLINK(CONCATENATE("#Metadata!", ADDRESS(INDEX($AJ$2:$AJ$1001,MATCH(ROWS($AH$2:AH542),$AH$2:$AH$1001,0),0), INDEX($AO$1004:$BQ$1004,1,MATCH(COLUMNS($AO$1006:BD1006),$AO$1006:$BQ$1006,0)))),"Fix")))</f>
        <v>#N/A</v>
      </c>
      <c r="R542" s="5" t="e">
        <f ca="1">IF(OR(INDEX($AI$2:$AI$1001,MATCH(ROWS($AH$2:AH542),$AH$2:$AH$1001,0),1)&gt;=100000,INDEX($AO$1005:$BQ$1005,1,MATCH(COLUMNS($AO$1006:BE1006),$AO$1006:$BQ$1006,0))&gt;=100000), " ",IF(INDEX($AO$2:$BQ$1001,MATCH(ROWS($AH$2:AH542),$AH$2:$AH$1001,0),MATCH(COLUMNS($AO$1006:BE1006),$AO$1006:$BQ$1006,0)), HYPERLINK("#",""), HYPERLINK(CONCATENATE("#Metadata!", ADDRESS(INDEX($AJ$2:$AJ$1001,MATCH(ROWS($AH$2:AH542),$AH$2:$AH$1001,0),0), INDEX($AO$1004:$BQ$1004,1,MATCH(COLUMNS($AO$1006:BE1006),$AO$1006:$BQ$1006,0)))),"Fix")))</f>
        <v>#N/A</v>
      </c>
      <c r="S542" s="5" t="e">
        <f ca="1">IF(OR(INDEX($AI$2:$AI$1001,MATCH(ROWS($AH$2:AH542),$AH$2:$AH$1001,0),1)&gt;=100000,INDEX($AO$1005:$BQ$1005,1,MATCH(COLUMNS($AO$1006:BF1006),$AO$1006:$BQ$1006,0))&gt;=100000), " ",IF(INDEX($AO$2:$BQ$1001,MATCH(ROWS($AH$2:AH542),$AH$2:$AH$1001,0),MATCH(COLUMNS($AO$1006:BF1006),$AO$1006:$BQ$1006,0)), HYPERLINK("#",""), HYPERLINK(CONCATENATE("#Metadata!", ADDRESS(INDEX($AJ$2:$AJ$1001,MATCH(ROWS($AH$2:AH542),$AH$2:$AH$1001,0),0), INDEX($AO$1004:$BQ$1004,1,MATCH(COLUMNS($AO$1006:BF1006),$AO$1006:$BQ$1006,0)))),"Fix")))</f>
        <v>#N/A</v>
      </c>
      <c r="T542" s="5" t="e">
        <f ca="1">IF(OR(INDEX($AI$2:$AI$1001,MATCH(ROWS($AH$2:AH542),$AH$2:$AH$1001,0),1)&gt;=100000,INDEX($AO$1005:$BQ$1005,1,MATCH(COLUMNS($AO$1006:BG1006),$AO$1006:$BQ$1006,0))&gt;=100000), " ",IF(INDEX($AO$2:$BQ$1001,MATCH(ROWS($AH$2:AH542),$AH$2:$AH$1001,0),MATCH(COLUMNS($AO$1006:BG1006),$AO$1006:$BQ$1006,0)), HYPERLINK("#",""), HYPERLINK(CONCATENATE("#Metadata!", ADDRESS(INDEX($AJ$2:$AJ$1001,MATCH(ROWS($AH$2:AH542),$AH$2:$AH$1001,0),0), INDEX($AO$1004:$BQ$1004,1,MATCH(COLUMNS($AO$1006:BG1006),$AO$1006:$BQ$1006,0)))),"Fix")))</f>
        <v>#N/A</v>
      </c>
      <c r="U542" s="5" t="e">
        <f ca="1">IF(OR(INDEX($AI$2:$AI$1001,MATCH(ROWS($AH$2:AH542),$AH$2:$AH$1001,0),1)&gt;=100000,INDEX($AO$1005:$BQ$1005,1,MATCH(COLUMNS($AO$1006:BH1006),$AO$1006:$BQ$1006,0))&gt;=100000), " ",IF(INDEX($AO$2:$BQ$1001,MATCH(ROWS($AH$2:AH542),$AH$2:$AH$1001,0),MATCH(COLUMNS($AO$1006:BH1006),$AO$1006:$BQ$1006,0)), HYPERLINK("#",""), HYPERLINK(CONCATENATE("#Metadata!", ADDRESS(INDEX($AJ$2:$AJ$1001,MATCH(ROWS($AH$2:AH542),$AH$2:$AH$1001,0),0), INDEX($AO$1004:$BQ$1004,1,MATCH(COLUMNS($AO$1006:BH1006),$AO$1006:$BQ$1006,0)))),"Fix")))</f>
        <v>#N/A</v>
      </c>
      <c r="V542" s="5" t="e">
        <f ca="1">IF(OR(INDEX($AI$2:$AI$1001,MATCH(ROWS($AH$2:AH542),$AH$2:$AH$1001,0),1)&gt;=100000,INDEX($AO$1005:$BQ$1005,1,MATCH(COLUMNS($AO$1006:BI1006),$AO$1006:$BQ$1006,0))&gt;=100000), " ",IF(INDEX($AO$2:$BQ$1001,MATCH(ROWS($AH$2:AH542),$AH$2:$AH$1001,0),MATCH(COLUMNS($AO$1006:BI1006),$AO$1006:$BQ$1006,0)), HYPERLINK("#",""), HYPERLINK(CONCATENATE("#Metadata!", ADDRESS(INDEX($AJ$2:$AJ$1001,MATCH(ROWS($AH$2:AH542),$AH$2:$AH$1001,0),0), INDEX($AO$1004:$BQ$1004,1,MATCH(COLUMNS($AO$1006:BI1006),$AO$1006:$BQ$1006,0)))),"Fix")))</f>
        <v>#N/A</v>
      </c>
      <c r="W542" s="5" t="e">
        <f ca="1">IF(OR(INDEX($AI$2:$AI$1001,MATCH(ROWS($AH$2:AH542),$AH$2:$AH$1001,0),1)&gt;=100000,INDEX($AO$1005:$BQ$1005,1,MATCH(COLUMNS($AO$1006:BJ1006),$AO$1006:$BQ$1006,0))&gt;=100000), " ",IF(INDEX($AO$2:$BQ$1001,MATCH(ROWS($AH$2:AH542),$AH$2:$AH$1001,0),MATCH(COLUMNS($AO$1006:BJ1006),$AO$1006:$BQ$1006,0)), HYPERLINK("#",""), HYPERLINK(CONCATENATE("#Metadata!", ADDRESS(INDEX($AJ$2:$AJ$1001,MATCH(ROWS($AH$2:AH542),$AH$2:$AH$1001,0),0), INDEX($AO$1004:$BQ$1004,1,MATCH(COLUMNS($AO$1006:BJ1006),$AO$1006:$BQ$1006,0)))),"Fix")))</f>
        <v>#N/A</v>
      </c>
      <c r="X542" s="5" t="e">
        <f ca="1">IF(OR(INDEX($AI$2:$AI$1001,MATCH(ROWS($AH$2:AH542),$AH$2:$AH$1001,0),1)&gt;=100000,INDEX($AO$1005:$BQ$1005,1,MATCH(COLUMNS($AO$1006:BK1006),$AO$1006:$BQ$1006,0))&gt;=100000), " ",IF(INDEX($AO$2:$BQ$1001,MATCH(ROWS($AH$2:AH542),$AH$2:$AH$1001,0),MATCH(COLUMNS($AO$1006:BK1006),$AO$1006:$BQ$1006,0)), HYPERLINK("#",""), HYPERLINK(CONCATENATE("#Metadata!", ADDRESS(INDEX($AJ$2:$AJ$1001,MATCH(ROWS($AH$2:AH542),$AH$2:$AH$1001,0),0), INDEX($AO$1004:$BQ$1004,1,MATCH(COLUMNS($AO$1006:BK1006),$AO$1006:$BQ$1006,0)))),"Fix")))</f>
        <v>#N/A</v>
      </c>
      <c r="Y542" s="5" t="e">
        <f ca="1">IF(OR(INDEX($AI$2:$AI$1001,MATCH(ROWS($AH$2:AH542),$AH$2:$AH$1001,0),1)&gt;=100000,INDEX($AO$1005:$BQ$1005,1,MATCH(COLUMNS($AO$1006:BL1006),$AO$1006:$BQ$1006,0))&gt;=100000), " ",IF(INDEX($AO$2:$BQ$1001,MATCH(ROWS($AH$2:AH542),$AH$2:$AH$1001,0),MATCH(COLUMNS($AO$1006:BL1006),$AO$1006:$BQ$1006,0)), HYPERLINK("#",""), HYPERLINK(CONCATENATE("#Metadata!", ADDRESS(INDEX($AJ$2:$AJ$1001,MATCH(ROWS($AH$2:AH542),$AH$2:$AH$1001,0),0), INDEX($AO$1004:$BQ$1004,1,MATCH(COLUMNS($AO$1006:BL1006),$AO$1006:$BQ$1006,0)))),"Fix")))</f>
        <v>#N/A</v>
      </c>
      <c r="Z542" s="5" t="e">
        <f ca="1">IF(OR(INDEX($AI$2:$AI$1001,MATCH(ROWS($AH$2:AH542),$AH$2:$AH$1001,0),1)&gt;=100000,INDEX($AO$1005:$BQ$1005,1,MATCH(COLUMNS($AO$1006:BM1006),$AO$1006:$BQ$1006,0))&gt;=100000), " ",IF(INDEX($AO$2:$BQ$1001,MATCH(ROWS($AH$2:AH542),$AH$2:$AH$1001,0),MATCH(COLUMNS($AO$1006:BM1006),$AO$1006:$BQ$1006,0)), HYPERLINK("#",""), HYPERLINK(CONCATENATE("#Metadata!", ADDRESS(INDEX($AJ$2:$AJ$1001,MATCH(ROWS($AH$2:AH542),$AH$2:$AH$1001,0),0), INDEX($AO$1004:$BQ$1004,1,MATCH(COLUMNS($AO$1006:BM1006),$AO$1006:$BQ$1006,0)))),"Fix")))</f>
        <v>#N/A</v>
      </c>
      <c r="AA542" s="5" t="e">
        <f ca="1">IF(OR(INDEX($AI$2:$AI$1001,MATCH(ROWS($AH$2:AH542),$AH$2:$AH$1001,0),1)&gt;=100000,INDEX($AO$1005:$BQ$1005,1,MATCH(COLUMNS($AO$1006:BN1006),$AO$1006:$BQ$1006,0))&gt;=100000), " ",IF(INDEX($AO$2:$BQ$1001,MATCH(ROWS($AH$2:AH542),$AH$2:$AH$1001,0),MATCH(COLUMNS($AO$1006:BN1006),$AO$1006:$BQ$1006,0)), HYPERLINK("#",""), HYPERLINK(CONCATENATE("#Metadata!", ADDRESS(INDEX($AJ$2:$AJ$1001,MATCH(ROWS($AH$2:AH542),$AH$2:$AH$1001,0),0), INDEX($AO$1004:$BQ$1004,1,MATCH(COLUMNS($AO$1006:BN1006),$AO$1006:$BQ$1006,0)))),"Fix")))</f>
        <v>#N/A</v>
      </c>
      <c r="AB542" s="5" t="e">
        <f ca="1">IF(OR(INDEX($AI$2:$AI$1001,MATCH(ROWS($AH$2:AH542),$AH$2:$AH$1001,0),1)&gt;=100000,INDEX($AO$1005:$BQ$1005,1,MATCH(COLUMNS($AO$1006:BO1006),$AO$1006:$BQ$1006,0))&gt;=100000), " ",IF(INDEX($AO$2:$BQ$1001,MATCH(ROWS($AH$2:AH542),$AH$2:$AH$1001,0),MATCH(COLUMNS($AO$1006:BO1006),$AO$1006:$BQ$1006,0)), HYPERLINK("#",""), HYPERLINK(CONCATENATE("#Metadata!", ADDRESS(INDEX($AJ$2:$AJ$1001,MATCH(ROWS($AH$2:AH542),$AH$2:$AH$1001,0),0), INDEX($AO$1004:$BQ$1004,1,MATCH(COLUMNS($AO$1006:BO1006),$AO$1006:$BQ$1006,0)))),"Fix")))</f>
        <v>#N/A</v>
      </c>
      <c r="AC542" s="5" t="e">
        <f ca="1">IF(OR(INDEX($AI$2:$AI$1001,MATCH(ROWS($AH$2:AH542),$AH$2:$AH$1001,0),1)&gt;=100000,INDEX($AO$1005:$BQ$1005,1,MATCH(COLUMNS($AO$1006:BP1006),$AO$1006:$BQ$1006,0))&gt;=100000), " ",IF(INDEX($AO$2:$BQ$1001,MATCH(ROWS($AH$2:AH542),$AH$2:$AH$1001,0),MATCH(COLUMNS($AO$1006:BP1006),$AO$1006:$BQ$1006,0)), HYPERLINK("#",""), HYPERLINK(CONCATENATE("#Metadata!", ADDRESS(INDEX($AJ$2:$AJ$1001,MATCH(ROWS($AH$2:AH542),$AH$2:$AH$1001,0),0), INDEX($AO$1004:$BQ$1004,1,MATCH(COLUMNS($AO$1006:BP1006),$AO$1006:$BQ$1006,0)))),"Fix")))</f>
        <v>#N/A</v>
      </c>
      <c r="AD542" s="5" t="e">
        <f ca="1">IF(OR(INDEX($AI$2:$AI$1001,MATCH(ROWS($AH$2:AH542),$AH$2:$AH$1001,0),1)&gt;=100000,INDEX($AO$1005:$BQ$1005,1,MATCH(COLUMNS($AO$1006:BQ1006),$AO$1006:$BQ$1006,0))&gt;=100000), " ",IF(INDEX($AO$2:$BQ$1001,MATCH(ROWS($AH$2:AH542),$AH$2:$AH$1001,0),MATCH(COLUMNS($AO$1006:BQ1006),$AO$1006:$BQ$1006,0)), HYPERLINK("#",""), HYPERLINK(CONCATENATE("#Metadata!", ADDRESS(INDEX($AJ$2:$AJ$1001,MATCH(ROWS($AH$2:AH542),$AH$2:$AH$1001,0),0), INDEX($AO$1004:$BQ$1004,1,MATCH(COLUMNS($AO$1006:BQ1006),$AO$1006:$BQ$1006,0)))),"Fix")))</f>
        <v>#REF!</v>
      </c>
      <c r="AH542">
        <f ca="1"/>
        <v>539</v>
      </c>
      <c r="AI542">
        <v>100542</v>
      </c>
      <c r="AJ542">
        <v>542</v>
      </c>
      <c r="AK542" t="b">
        <f t="shared" si="8"/>
        <v>1</v>
      </c>
      <c r="AL542" t="b">
        <f>COUNTBLANK(Metadata!B542:AD542)=COLUMNS(Metadata!B542:AD542)</f>
        <v>1</v>
      </c>
      <c r="AM542" t="str">
        <v/>
      </c>
      <c r="AO542" t="b">
        <f ca="1">AND(IF(Metadata!B542="",FALSE,TRUE),COUNTIF(Metadata!B:B, Metadata!B542) = 1,NOT(ISERROR(SUMPRODUCT(SEARCH(MID(Metadata!B542,ROW(INDIRECT("1:"&amp;LEN(Metadata!B542))), 1),"0123456789abcdefghijklmnopqrstuvwxyzABCDEFGHIJKLMNOPQRSTUVWXYZ.")))))</f>
        <v>0</v>
      </c>
      <c r="AP542" t="b">
        <f>IF(Metadata!C542="",FALSE,TRUE)</f>
        <v>0</v>
      </c>
      <c r="AQ542" t="b">
        <f>IF(Metadata!D542="",FALSE,TRUE)</f>
        <v>0</v>
      </c>
      <c r="AR542" t="b">
        <f ca="1">OR(AND(IF(Metadata!E542="",FALSE,TRUE),OR(EXACT(Metadata!E542,"not collected"),EXACT(Metadata!E542,"not provided"),EXACT(Metadata!E542,"restricted access"))),AND(IF(Metadata!E542="",FALSE,TRUE),AND(AND(IFERROR(INT(LEFT(Metadata!E542,4))&gt;1900,FALSE),IFERROR(INT(LEFT(Metadata!E542,4))&lt;=YEAR(NOW()),FALSE)), OR(MID(Metadata!E542,5,1)="", AND(AND(MID(Metadata!E542,5,1)="-",IFERROR(INT(MID(Metadata!E542,6,1))&gt;=0,FALSE),IFERROR(INT(MID(Metadata!E542,6,1))&lt;=1,FALSE),NOT(MID(Metadata!E542,7,1)=""),IFERROR(INT(MID(Metadata!E542,6,2))&gt;=1,FALSE),IFERROR(INT(MID(Metadata!E542,6,2))&lt;=12,FALSE)), OR(MID(Metadata!E542,8,1)="", AND(AND(MID(Metadata!E542,8,1)="-",IFERROR(INT(MID(Metadata!E542,9,1))&gt;=0,FALSE),IFERROR(INT(MID(Metadata!E542,9,1))&lt;=3,FALSE),NOT(MID(Metadata!E542,10,1)=""),IFERROR(INT(MID(Metadata!E542,9,2))&gt;=1,FALSE),IFERROR(INT(MID(Metadata!E542,9,2))&lt;=31,FALSE)), OR(MID(Metadata!E542,11,1)="", AND(AND(MID(Metadata!E542,11,1)=" ",IFERROR(INT(MID(Metadata!E542,12,1))&gt;=0,FALSE),IFERROR(INT(MID(Metadata!E542,12,1))&lt;=2,FALSE),NOT(MID(Metadata!E542,13,1)=""),IFERROR(INT(MID(Metadata!E542,12,2))&gt;=0,FALSE),IFERROR(INT(MID(Metadata!E542,12,2))&lt;=23,FALSE)), OR(MID(Metadata!E542,14,1)="", AND(AND(MID(Metadata!E542,14,1)=":",IFERROR(INT(MID(Metadata!E542,15,1))&gt;=0,FALSE),IFERROR(INT(MID(Metadata!E542,15,1))&lt;=5,FALSE),NOT(MID(Metadata!E542,16,1)=""),IFERROR(INT(MID(Metadata!E542,15,2))&gt;=0,FALSE),IFERROR(INT(MID(Metadata!E542,15,2))&lt;=59,FALSE)), OR(MID(Metadata!E542,17,1)="", AND(AND(MID(Metadata!E542,17,1)=":",IFERROR(INT(MID(Metadata!E542,18,1))&gt;=0,FALSE),IFERROR(INT(MID(Metadata!E542,18,1))&lt;=5,FALSE),NOT(MID(Metadata!E542,19,1)=""),IFERROR(INT(MID(Metadata!E542,18,2))&gt;=0,FALSE),IFERROR(INT(MID(Metadata!E542,18,2))&lt;=59,FALSE)), LEN(Metadata!E542)&lt;=19)))))))))))))</f>
        <v>0</v>
      </c>
      <c r="AS542" t="b">
        <f>IF(Metadata!F542="",FALSE,TRUE)</f>
        <v>0</v>
      </c>
      <c r="AT542" t="b">
        <f>OR(AND(IF(Metadata!G542="",FALSE,TRUE),OR(EXACT(Metadata!G542,"not collected"),EXACT(Metadata!G542,"not provided"))),AND(IF(Metadata!G542="",FALSE,TRUE),OR(EXACT(Metadata!G542,"TRUE"),EXACT(Metadata!G542,"FALSE"))))</f>
        <v>0</v>
      </c>
      <c r="AU542" t="b">
        <f>OR(AND(IF(Metadata!H542="",FALSE,TRUE),OR(EXACT(Metadata!H542,"not collected"),EXACT(Metadata!H542,"not provided"),EXACT(Metadata!H542,"restricted access"))),AND(IF(Metadata!H542="",FALSE,ISNUMBER(VALUE(Metadata!H542))),Metadata!H542&gt;=-413))</f>
        <v>0</v>
      </c>
      <c r="AV542" t="b">
        <f>AND(IF(Metadata!I542="",FALSE,TRUE),EXACT(Metadata!I542,"meters"))</f>
        <v>0</v>
      </c>
      <c r="AW542" t="b">
        <f>AND(IF(Metadata!J542="",FALSE,TRUE),EXACT(Metadata!J542,"free-living"))</f>
        <v>0</v>
      </c>
      <c r="AX542" t="b">
        <f>AND(IF(Metadata!K542="",FALSE,TRUE),OR(EXACT(Metadata!K542,"saline"),EXACT(Metadata!K542,"non-saline")))</f>
        <v>0</v>
      </c>
      <c r="AY542" t="b">
        <f>AND(IF(Metadata!L542="",FALSE,TRUE),OR(EXACT(Metadata!L542,"sub-surface (non-saline)"),EXACT(Metadata!L542,"surface (non-saline)"),EXACT(Metadata!L542,"water (non-saline)"),EXACT(Metadata!L542,"soil (non-saline)"),EXACT(Metadata!L542,"aerosol (non-saline)"),EXACT(Metadata!L542,"sediment (non-saline)"),EXACT(Metadata!L542,"surface (saline)"),EXACT(Metadata!L542,"water (saline)"),EXACT(Metadata!L542,"hypersaline (saline)"),EXACT(Metadata!L542,"aerosol (saline)"),EXACT(Metadata!L542,"sediment (saline)")))</f>
        <v>0</v>
      </c>
      <c r="AZ542" t="b">
        <f>IF(Metadata!M542="",FALSE,TRUE)</f>
        <v>0</v>
      </c>
      <c r="BA542" t="b">
        <f>IF(Metadata!N542="",FALSE,TRUE)</f>
        <v>0</v>
      </c>
      <c r="BB542" t="b">
        <f>IF(Metadata!O542="",FALSE,TRUE)</f>
        <v>0</v>
      </c>
      <c r="BC542" t="b">
        <f>AND(IF(Metadata!P542="",FALSE,TRUE),OR(EXACT(Metadata!P542,"air"),EXACT(Metadata!P542,"microbial mat/biofilm"),EXACT(Metadata!P542,"misc environment"),EXACT(Metadata!P542,"sediment"),EXACT(Metadata!P542,"soil"),EXACT(Metadata!P542,"wastewater/sludge"),EXACT(Metadata!P542,"water")))</f>
        <v>0</v>
      </c>
      <c r="BD542" t="b">
        <f>IF(Metadata!Q542="",FALSE,TRUE)</f>
        <v>0</v>
      </c>
      <c r="BE542" t="b">
        <f>IF(Metadata!R542="",FALSE,TRUE)</f>
        <v>0</v>
      </c>
      <c r="BF542" t="b">
        <f>OR(AND(IF(Metadata!S542="",FALSE,TRUE),OR(EXACT(Metadata!S542,"not collected"),EXACT(Metadata!S542,"not provided"),EXACT(Metadata!S542,"restricted access"))),AND(IF(Metadata!S542="",FALSE,ISNUMBER(VALUE(Metadata!S542))),Metadata!S542&gt;=-90,Metadata!S542&lt;=90))</f>
        <v>0</v>
      </c>
      <c r="BG542" t="b">
        <f>AND(IF(Metadata!T542="",FALSE,TRUE),EXACT(Metadata!T542,"Decimal degrees"))</f>
        <v>0</v>
      </c>
      <c r="BH542" t="b">
        <f>OR(AND(IF(Metadata!U542="",FALSE,TRUE),OR(EXACT(Metadata!U542,"not applicable"),EXACT(Metadata!U542,"not collected"))),IF(Metadata!U542="",FALSE,TRUE))</f>
        <v>0</v>
      </c>
      <c r="BI542" t="b">
        <f>OR(AND(IF(Metadata!V542="",FALSE,TRUE),OR(EXACT(Metadata!V542,"not collected"),EXACT(Metadata!V542,"not provided"),EXACT(Metadata!V542,"restricted access"))),AND(IF(Metadata!V542="",FALSE,ISNUMBER(VALUE(Metadata!V542))),Metadata!V542&gt;=-180,Metadata!V542&lt;=180))</f>
        <v>0</v>
      </c>
      <c r="BJ542" t="b">
        <f>AND(IF(Metadata!W542="",FALSE,TRUE),EXACT(Metadata!W542,"Decimal degrees"))</f>
        <v>0</v>
      </c>
      <c r="BK542" t="b">
        <f>IF(Metadata!X542="",FALSE,TRUE)</f>
        <v>0</v>
      </c>
      <c r="BL542" t="b">
        <f>OR(AND(IF(Metadata!Y542="",FALSE,TRUE),OR(EXACT(Metadata!Y542,"not collected"),EXACT(Metadata!Y542,"not provided"),EXACT(Metadata!Y542,"restricted access"))),AND(IF(Metadata!Y542="",FALSE,TRUE),OR(EXACT(Metadata!Y542,"TRUE"),EXACT(Metadata!Y542,"FALSE"))))</f>
        <v>0</v>
      </c>
      <c r="BM542" t="b">
        <f>OR(AND(IF(Metadata!Z542="",FALSE,TRUE),EXACT(Metadata!Z542,"not applicable")),AND(IF(Metadata!Z542="",FALSE,TRUE),OR(EXACT(Metadata!Z542,"beer"),EXACT(Metadata!Z542,"cheese"),EXACT(Metadata!Z542,"fresh water"),EXACT(Metadata!Z542,"marine sediment"),EXACT(Metadata!Z542,"sea water"),EXACT(Metadata!Z542,"sediment"),EXACT(Metadata!Z542,"soil"),EXACT(Metadata!Z542,"waste water"))))</f>
        <v>0</v>
      </c>
      <c r="BN542" t="b">
        <f>AND(IF(Metadata!AA542="",FALSE,TRUE),EXACT(Metadata!AA542,"metagenome"))</f>
        <v>0</v>
      </c>
      <c r="BO542" t="b">
        <f>AND(IF(Metadata!AB542="",FALSE,TRUE),EXACT(Metadata!AB542,"256318"))</f>
        <v>0</v>
      </c>
      <c r="BP542" t="b">
        <f>IF(Metadata!AC542="",FALSE,TRUE)</f>
        <v>0</v>
      </c>
      <c r="BQ542" t="b">
        <f>IF(Metadata!AD542="",FALSE,TRUE)</f>
        <v>0</v>
      </c>
    </row>
    <row r="543" spans="1:69" x14ac:dyDescent="0.2">
      <c r="A543" s="4" t="e">
        <f ca="1">IF(B543=" "," ",HYPERLINK(CONCATENATE("#metadata!",ADDRESS(INDEX($AJ$2:$AJ$1001,MATCH(ROWS($AH$2:AH543),$AH$2:$AH$1001,0),0),2)),INDEX($AM$2:$AM$1001,MATCH(ROWS($AH$2:AH543),$AH$2:$AH$1001,0),0)))</f>
        <v>#N/A</v>
      </c>
      <c r="B543" s="5" t="e">
        <f ca="1">IF(OR(INDEX($AI$2:$AI$1001,MATCH(ROWS($AH$2:AH543),$AH$2:$AH$1001,0),1)&gt;=100000,INDEX($AO$1005:$BQ$1005,1,MATCH(COLUMNS($AO$1006:AO1006),$AO$1006:$BQ$1006,0))&gt;=100000), " ",IF(INDEX($AO$2:$BQ$1001,MATCH(ROWS($AH$2:AH543),$AH$2:$AH$1001,0),MATCH(COLUMNS($AO$1006:AO1006),$AO$1006:$BQ$1006,0)), HYPERLINK("#",""), HYPERLINK(CONCATENATE("#Metadata!", ADDRESS(INDEX($AJ$2:$AJ$1001,MATCH(ROWS($AH$2:AH543),$AH$2:$AH$1001,0),0), INDEX($AO$1004:$BQ$1004,1,MATCH(COLUMNS($AO$1006:AO1006),$AO$1006:$BQ$1006,0)))),"Fix")))</f>
        <v>#N/A</v>
      </c>
      <c r="C543" s="5" t="e">
        <f ca="1">IF(OR(INDEX($AI$2:$AI$1001,MATCH(ROWS($AH$2:AH543),$AH$2:$AH$1001,0),1)&gt;=100000,INDEX($AO$1005:$BQ$1005,1,MATCH(COLUMNS($AO$1006:AP1006),$AO$1006:$BQ$1006,0))&gt;=100000), " ",IF(INDEX($AO$2:$BQ$1001,MATCH(ROWS($AH$2:AH543),$AH$2:$AH$1001,0),MATCH(COLUMNS($AO$1006:AP1006),$AO$1006:$BQ$1006,0)), HYPERLINK("#",""), HYPERLINK(CONCATENATE("#Metadata!", ADDRESS(INDEX($AJ$2:$AJ$1001,MATCH(ROWS($AH$2:AH543),$AH$2:$AH$1001,0),0), INDEX($AO$1004:$BQ$1004,1,MATCH(COLUMNS($AO$1006:AP1006),$AO$1006:$BQ$1006,0)))),"Fix")))</f>
        <v>#N/A</v>
      </c>
      <c r="D543" s="5" t="e">
        <f ca="1">IF(OR(INDEX($AI$2:$AI$1001,MATCH(ROWS($AH$2:AH543),$AH$2:$AH$1001,0),1)&gt;=100000,INDEX($AO$1005:$BQ$1005,1,MATCH(COLUMNS($AO$1006:AQ1006),$AO$1006:$BQ$1006,0))&gt;=100000), " ",IF(INDEX($AO$2:$BQ$1001,MATCH(ROWS($AH$2:AH543),$AH$2:$AH$1001,0),MATCH(COLUMNS($AO$1006:AQ1006),$AO$1006:$BQ$1006,0)), HYPERLINK("#",""), HYPERLINK(CONCATENATE("#Metadata!", ADDRESS(INDEX($AJ$2:$AJ$1001,MATCH(ROWS($AH$2:AH543),$AH$2:$AH$1001,0),0), INDEX($AO$1004:$BQ$1004,1,MATCH(COLUMNS($AO$1006:AQ1006),$AO$1006:$BQ$1006,0)))),"Fix")))</f>
        <v>#N/A</v>
      </c>
      <c r="E543" s="5" t="e">
        <f ca="1">IF(OR(INDEX($AI$2:$AI$1001,MATCH(ROWS($AH$2:AH543),$AH$2:$AH$1001,0),1)&gt;=100000,INDEX($AO$1005:$BQ$1005,1,MATCH(COLUMNS($AO$1006:AR1006),$AO$1006:$BQ$1006,0))&gt;=100000), " ",IF(INDEX($AO$2:$BQ$1001,MATCH(ROWS($AH$2:AH543),$AH$2:$AH$1001,0),MATCH(COLUMNS($AO$1006:AR1006),$AO$1006:$BQ$1006,0)), HYPERLINK("#",""), HYPERLINK(CONCATENATE("#Metadata!", ADDRESS(INDEX($AJ$2:$AJ$1001,MATCH(ROWS($AH$2:AH543),$AH$2:$AH$1001,0),0), INDEX($AO$1004:$BQ$1004,1,MATCH(COLUMNS($AO$1006:AR1006),$AO$1006:$BQ$1006,0)))),"Fix")))</f>
        <v>#N/A</v>
      </c>
      <c r="F543" s="5" t="e">
        <f ca="1">IF(OR(INDEX($AI$2:$AI$1001,MATCH(ROWS($AH$2:AH543),$AH$2:$AH$1001,0),1)&gt;=100000,INDEX($AO$1005:$BQ$1005,1,MATCH(COLUMNS($AO$1006:AS1006),$AO$1006:$BQ$1006,0))&gt;=100000), " ",IF(INDEX($AO$2:$BQ$1001,MATCH(ROWS($AH$2:AH543),$AH$2:$AH$1001,0),MATCH(COLUMNS($AO$1006:AS1006),$AO$1006:$BQ$1006,0)), HYPERLINK("#",""), HYPERLINK(CONCATENATE("#Metadata!", ADDRESS(INDEX($AJ$2:$AJ$1001,MATCH(ROWS($AH$2:AH543),$AH$2:$AH$1001,0),0), INDEX($AO$1004:$BQ$1004,1,MATCH(COLUMNS($AO$1006:AS1006),$AO$1006:$BQ$1006,0)))),"Fix")))</f>
        <v>#N/A</v>
      </c>
      <c r="G543" s="5" t="e">
        <f ca="1">IF(OR(INDEX($AI$2:$AI$1001,MATCH(ROWS($AH$2:AH543),$AH$2:$AH$1001,0),1)&gt;=100000,INDEX($AO$1005:$BQ$1005,1,MATCH(COLUMNS($AO$1006:AT1006),$AO$1006:$BQ$1006,0))&gt;=100000), " ",IF(INDEX($AO$2:$BQ$1001,MATCH(ROWS($AH$2:AH543),$AH$2:$AH$1001,0),MATCH(COLUMNS($AO$1006:AT1006),$AO$1006:$BQ$1006,0)), HYPERLINK("#",""), HYPERLINK(CONCATENATE("#Metadata!", ADDRESS(INDEX($AJ$2:$AJ$1001,MATCH(ROWS($AH$2:AH543),$AH$2:$AH$1001,0),0), INDEX($AO$1004:$BQ$1004,1,MATCH(COLUMNS($AO$1006:AT1006),$AO$1006:$BQ$1006,0)))),"Fix")))</f>
        <v>#N/A</v>
      </c>
      <c r="H543" s="5" t="e">
        <f ca="1">IF(OR(INDEX($AI$2:$AI$1001,MATCH(ROWS($AH$2:AH543),$AH$2:$AH$1001,0),1)&gt;=100000,INDEX($AO$1005:$BQ$1005,1,MATCH(COLUMNS($AO$1006:AU1006),$AO$1006:$BQ$1006,0))&gt;=100000), " ",IF(INDEX($AO$2:$BQ$1001,MATCH(ROWS($AH$2:AH543),$AH$2:$AH$1001,0),MATCH(COLUMNS($AO$1006:AU1006),$AO$1006:$BQ$1006,0)), HYPERLINK("#",""), HYPERLINK(CONCATENATE("#Metadata!", ADDRESS(INDEX($AJ$2:$AJ$1001,MATCH(ROWS($AH$2:AH543),$AH$2:$AH$1001,0),0), INDEX($AO$1004:$BQ$1004,1,MATCH(COLUMNS($AO$1006:AU1006),$AO$1006:$BQ$1006,0)))),"Fix")))</f>
        <v>#N/A</v>
      </c>
      <c r="I543" s="5" t="e">
        <f ca="1">IF(OR(INDEX($AI$2:$AI$1001,MATCH(ROWS($AH$2:AH543),$AH$2:$AH$1001,0),1)&gt;=100000,INDEX($AO$1005:$BQ$1005,1,MATCH(COLUMNS($AO$1006:AV1006),$AO$1006:$BQ$1006,0))&gt;=100000), " ",IF(INDEX($AO$2:$BQ$1001,MATCH(ROWS($AH$2:AH543),$AH$2:$AH$1001,0),MATCH(COLUMNS($AO$1006:AV1006),$AO$1006:$BQ$1006,0)), HYPERLINK("#",""), HYPERLINK(CONCATENATE("#Metadata!", ADDRESS(INDEX($AJ$2:$AJ$1001,MATCH(ROWS($AH$2:AH543),$AH$2:$AH$1001,0),0), INDEX($AO$1004:$BQ$1004,1,MATCH(COLUMNS($AO$1006:AV1006),$AO$1006:$BQ$1006,0)))),"Fix")))</f>
        <v>#N/A</v>
      </c>
      <c r="J543" s="5" t="e">
        <f ca="1">IF(OR(INDEX($AI$2:$AI$1001,MATCH(ROWS($AH$2:AH543),$AH$2:$AH$1001,0),1)&gt;=100000,INDEX($AO$1005:$BQ$1005,1,MATCH(COLUMNS($AO$1006:AW1006),$AO$1006:$BQ$1006,0))&gt;=100000), " ",IF(INDEX($AO$2:$BQ$1001,MATCH(ROWS($AH$2:AH543),$AH$2:$AH$1001,0),MATCH(COLUMNS($AO$1006:AW1006),$AO$1006:$BQ$1006,0)), HYPERLINK("#",""), HYPERLINK(CONCATENATE("#Metadata!", ADDRESS(INDEX($AJ$2:$AJ$1001,MATCH(ROWS($AH$2:AH543),$AH$2:$AH$1001,0),0), INDEX($AO$1004:$BQ$1004,1,MATCH(COLUMNS($AO$1006:AW1006),$AO$1006:$BQ$1006,0)))),"Fix")))</f>
        <v>#N/A</v>
      </c>
      <c r="K543" s="5" t="e">
        <f ca="1">IF(OR(INDEX($AI$2:$AI$1001,MATCH(ROWS($AH$2:AH543),$AH$2:$AH$1001,0),1)&gt;=100000,INDEX($AO$1005:$BQ$1005,1,MATCH(COLUMNS($AO$1006:AX1006),$AO$1006:$BQ$1006,0))&gt;=100000), " ",IF(INDEX($AO$2:$BQ$1001,MATCH(ROWS($AH$2:AH543),$AH$2:$AH$1001,0),MATCH(COLUMNS($AO$1006:AX1006),$AO$1006:$BQ$1006,0)), HYPERLINK("#",""), HYPERLINK(CONCATENATE("#Metadata!", ADDRESS(INDEX($AJ$2:$AJ$1001,MATCH(ROWS($AH$2:AH543),$AH$2:$AH$1001,0),0), INDEX($AO$1004:$BQ$1004,1,MATCH(COLUMNS($AO$1006:AX1006),$AO$1006:$BQ$1006,0)))),"Fix")))</f>
        <v>#N/A</v>
      </c>
      <c r="L543" s="5" t="e">
        <f ca="1">IF(OR(INDEX($AI$2:$AI$1001,MATCH(ROWS($AH$2:AH543),$AH$2:$AH$1001,0),1)&gt;=100000,INDEX($AO$1005:$BQ$1005,1,MATCH(COLUMNS($AO$1006:AY1006),$AO$1006:$BQ$1006,0))&gt;=100000), " ",IF(INDEX($AO$2:$BQ$1001,MATCH(ROWS($AH$2:AH543),$AH$2:$AH$1001,0),MATCH(COLUMNS($AO$1006:AY1006),$AO$1006:$BQ$1006,0)), HYPERLINK("#",""), HYPERLINK(CONCATENATE("#Metadata!", ADDRESS(INDEX($AJ$2:$AJ$1001,MATCH(ROWS($AH$2:AH543),$AH$2:$AH$1001,0),0), INDEX($AO$1004:$BQ$1004,1,MATCH(COLUMNS($AO$1006:AY1006),$AO$1006:$BQ$1006,0)))),"Fix")))</f>
        <v>#N/A</v>
      </c>
      <c r="M543" s="5" t="e">
        <f ca="1">IF(OR(INDEX($AI$2:$AI$1001,MATCH(ROWS($AH$2:AH543),$AH$2:$AH$1001,0),1)&gt;=100000,INDEX($AO$1005:$BQ$1005,1,MATCH(COLUMNS($AO$1006:AZ1006),$AO$1006:$BQ$1006,0))&gt;=100000), " ",IF(INDEX($AO$2:$BQ$1001,MATCH(ROWS($AH$2:AH543),$AH$2:$AH$1001,0),MATCH(COLUMNS($AO$1006:AZ1006),$AO$1006:$BQ$1006,0)), HYPERLINK("#",""), HYPERLINK(CONCATENATE("#Metadata!", ADDRESS(INDEX($AJ$2:$AJ$1001,MATCH(ROWS($AH$2:AH543),$AH$2:$AH$1001,0),0), INDEX($AO$1004:$BQ$1004,1,MATCH(COLUMNS($AO$1006:AZ1006),$AO$1006:$BQ$1006,0)))),"Fix")))</f>
        <v>#N/A</v>
      </c>
      <c r="N543" s="5" t="e">
        <f ca="1">IF(OR(INDEX($AI$2:$AI$1001,MATCH(ROWS($AH$2:AH543),$AH$2:$AH$1001,0),1)&gt;=100000,INDEX($AO$1005:$BQ$1005,1,MATCH(COLUMNS($AO$1006:BA1006),$AO$1006:$BQ$1006,0))&gt;=100000), " ",IF(INDEX($AO$2:$BQ$1001,MATCH(ROWS($AH$2:AH543),$AH$2:$AH$1001,0),MATCH(COLUMNS($AO$1006:BA1006),$AO$1006:$BQ$1006,0)), HYPERLINK("#",""), HYPERLINK(CONCATENATE("#Metadata!", ADDRESS(INDEX($AJ$2:$AJ$1001,MATCH(ROWS($AH$2:AH543),$AH$2:$AH$1001,0),0), INDEX($AO$1004:$BQ$1004,1,MATCH(COLUMNS($AO$1006:BA1006),$AO$1006:$BQ$1006,0)))),"Fix")))</f>
        <v>#N/A</v>
      </c>
      <c r="O543" s="5" t="e">
        <f ca="1">IF(OR(INDEX($AI$2:$AI$1001,MATCH(ROWS($AH$2:AH543),$AH$2:$AH$1001,0),1)&gt;=100000,INDEX($AO$1005:$BQ$1005,1,MATCH(COLUMNS($AO$1006:BB1006),$AO$1006:$BQ$1006,0))&gt;=100000), " ",IF(INDEX($AO$2:$BQ$1001,MATCH(ROWS($AH$2:AH543),$AH$2:$AH$1001,0),MATCH(COLUMNS($AO$1006:BB1006),$AO$1006:$BQ$1006,0)), HYPERLINK("#",""), HYPERLINK(CONCATENATE("#Metadata!", ADDRESS(INDEX($AJ$2:$AJ$1001,MATCH(ROWS($AH$2:AH543),$AH$2:$AH$1001,0),0), INDEX($AO$1004:$BQ$1004,1,MATCH(COLUMNS($AO$1006:BB1006),$AO$1006:$BQ$1006,0)))),"Fix")))</f>
        <v>#N/A</v>
      </c>
      <c r="P543" s="5" t="e">
        <f ca="1">IF(OR(INDEX($AI$2:$AI$1001,MATCH(ROWS($AH$2:AH543),$AH$2:$AH$1001,0),1)&gt;=100000,INDEX($AO$1005:$BQ$1005,1,MATCH(COLUMNS($AO$1006:BC1006),$AO$1006:$BQ$1006,0))&gt;=100000), " ",IF(INDEX($AO$2:$BQ$1001,MATCH(ROWS($AH$2:AH543),$AH$2:$AH$1001,0),MATCH(COLUMNS($AO$1006:BC1006),$AO$1006:$BQ$1006,0)), HYPERLINK("#",""), HYPERLINK(CONCATENATE("#Metadata!", ADDRESS(INDEX($AJ$2:$AJ$1001,MATCH(ROWS($AH$2:AH543),$AH$2:$AH$1001,0),0), INDEX($AO$1004:$BQ$1004,1,MATCH(COLUMNS($AO$1006:BC1006),$AO$1006:$BQ$1006,0)))),"Fix")))</f>
        <v>#N/A</v>
      </c>
      <c r="Q543" s="5" t="e">
        <f ca="1">IF(OR(INDEX($AI$2:$AI$1001,MATCH(ROWS($AH$2:AH543),$AH$2:$AH$1001,0),1)&gt;=100000,INDEX($AO$1005:$BQ$1005,1,MATCH(COLUMNS($AO$1006:BD1006),$AO$1006:$BQ$1006,0))&gt;=100000), " ",IF(INDEX($AO$2:$BQ$1001,MATCH(ROWS($AH$2:AH543),$AH$2:$AH$1001,0),MATCH(COLUMNS($AO$1006:BD1006),$AO$1006:$BQ$1006,0)), HYPERLINK("#",""), HYPERLINK(CONCATENATE("#Metadata!", ADDRESS(INDEX($AJ$2:$AJ$1001,MATCH(ROWS($AH$2:AH543),$AH$2:$AH$1001,0),0), INDEX($AO$1004:$BQ$1004,1,MATCH(COLUMNS($AO$1006:BD1006),$AO$1006:$BQ$1006,0)))),"Fix")))</f>
        <v>#N/A</v>
      </c>
      <c r="R543" s="5" t="e">
        <f ca="1">IF(OR(INDEX($AI$2:$AI$1001,MATCH(ROWS($AH$2:AH543),$AH$2:$AH$1001,0),1)&gt;=100000,INDEX($AO$1005:$BQ$1005,1,MATCH(COLUMNS($AO$1006:BE1006),$AO$1006:$BQ$1006,0))&gt;=100000), " ",IF(INDEX($AO$2:$BQ$1001,MATCH(ROWS($AH$2:AH543),$AH$2:$AH$1001,0),MATCH(COLUMNS($AO$1006:BE1006),$AO$1006:$BQ$1006,0)), HYPERLINK("#",""), HYPERLINK(CONCATENATE("#Metadata!", ADDRESS(INDEX($AJ$2:$AJ$1001,MATCH(ROWS($AH$2:AH543),$AH$2:$AH$1001,0),0), INDEX($AO$1004:$BQ$1004,1,MATCH(COLUMNS($AO$1006:BE1006),$AO$1006:$BQ$1006,0)))),"Fix")))</f>
        <v>#N/A</v>
      </c>
      <c r="S543" s="5" t="e">
        <f ca="1">IF(OR(INDEX($AI$2:$AI$1001,MATCH(ROWS($AH$2:AH543),$AH$2:$AH$1001,0),1)&gt;=100000,INDEX($AO$1005:$BQ$1005,1,MATCH(COLUMNS($AO$1006:BF1006),$AO$1006:$BQ$1006,0))&gt;=100000), " ",IF(INDEX($AO$2:$BQ$1001,MATCH(ROWS($AH$2:AH543),$AH$2:$AH$1001,0),MATCH(COLUMNS($AO$1006:BF1006),$AO$1006:$BQ$1006,0)), HYPERLINK("#",""), HYPERLINK(CONCATENATE("#Metadata!", ADDRESS(INDEX($AJ$2:$AJ$1001,MATCH(ROWS($AH$2:AH543),$AH$2:$AH$1001,0),0), INDEX($AO$1004:$BQ$1004,1,MATCH(COLUMNS($AO$1006:BF1006),$AO$1006:$BQ$1006,0)))),"Fix")))</f>
        <v>#N/A</v>
      </c>
      <c r="T543" s="5" t="e">
        <f ca="1">IF(OR(INDEX($AI$2:$AI$1001,MATCH(ROWS($AH$2:AH543),$AH$2:$AH$1001,0),1)&gt;=100000,INDEX($AO$1005:$BQ$1005,1,MATCH(COLUMNS($AO$1006:BG1006),$AO$1006:$BQ$1006,0))&gt;=100000), " ",IF(INDEX($AO$2:$BQ$1001,MATCH(ROWS($AH$2:AH543),$AH$2:$AH$1001,0),MATCH(COLUMNS($AO$1006:BG1006),$AO$1006:$BQ$1006,0)), HYPERLINK("#",""), HYPERLINK(CONCATENATE("#Metadata!", ADDRESS(INDEX($AJ$2:$AJ$1001,MATCH(ROWS($AH$2:AH543),$AH$2:$AH$1001,0),0), INDEX($AO$1004:$BQ$1004,1,MATCH(COLUMNS($AO$1006:BG1006),$AO$1006:$BQ$1006,0)))),"Fix")))</f>
        <v>#N/A</v>
      </c>
      <c r="U543" s="5" t="e">
        <f ca="1">IF(OR(INDEX($AI$2:$AI$1001,MATCH(ROWS($AH$2:AH543),$AH$2:$AH$1001,0),1)&gt;=100000,INDEX($AO$1005:$BQ$1005,1,MATCH(COLUMNS($AO$1006:BH1006),$AO$1006:$BQ$1006,0))&gt;=100000), " ",IF(INDEX($AO$2:$BQ$1001,MATCH(ROWS($AH$2:AH543),$AH$2:$AH$1001,0),MATCH(COLUMNS($AO$1006:BH1006),$AO$1006:$BQ$1006,0)), HYPERLINK("#",""), HYPERLINK(CONCATENATE("#Metadata!", ADDRESS(INDEX($AJ$2:$AJ$1001,MATCH(ROWS($AH$2:AH543),$AH$2:$AH$1001,0),0), INDEX($AO$1004:$BQ$1004,1,MATCH(COLUMNS($AO$1006:BH1006),$AO$1006:$BQ$1006,0)))),"Fix")))</f>
        <v>#N/A</v>
      </c>
      <c r="V543" s="5" t="e">
        <f ca="1">IF(OR(INDEX($AI$2:$AI$1001,MATCH(ROWS($AH$2:AH543),$AH$2:$AH$1001,0),1)&gt;=100000,INDEX($AO$1005:$BQ$1005,1,MATCH(COLUMNS($AO$1006:BI1006),$AO$1006:$BQ$1006,0))&gt;=100000), " ",IF(INDEX($AO$2:$BQ$1001,MATCH(ROWS($AH$2:AH543),$AH$2:$AH$1001,0),MATCH(COLUMNS($AO$1006:BI1006),$AO$1006:$BQ$1006,0)), HYPERLINK("#",""), HYPERLINK(CONCATENATE("#Metadata!", ADDRESS(INDEX($AJ$2:$AJ$1001,MATCH(ROWS($AH$2:AH543),$AH$2:$AH$1001,0),0), INDEX($AO$1004:$BQ$1004,1,MATCH(COLUMNS($AO$1006:BI1006),$AO$1006:$BQ$1006,0)))),"Fix")))</f>
        <v>#N/A</v>
      </c>
      <c r="W543" s="5" t="e">
        <f ca="1">IF(OR(INDEX($AI$2:$AI$1001,MATCH(ROWS($AH$2:AH543),$AH$2:$AH$1001,0),1)&gt;=100000,INDEX($AO$1005:$BQ$1005,1,MATCH(COLUMNS($AO$1006:BJ1006),$AO$1006:$BQ$1006,0))&gt;=100000), " ",IF(INDEX($AO$2:$BQ$1001,MATCH(ROWS($AH$2:AH543),$AH$2:$AH$1001,0),MATCH(COLUMNS($AO$1006:BJ1006),$AO$1006:$BQ$1006,0)), HYPERLINK("#",""), HYPERLINK(CONCATENATE("#Metadata!", ADDRESS(INDEX($AJ$2:$AJ$1001,MATCH(ROWS($AH$2:AH543),$AH$2:$AH$1001,0),0), INDEX($AO$1004:$BQ$1004,1,MATCH(COLUMNS($AO$1006:BJ1006),$AO$1006:$BQ$1006,0)))),"Fix")))</f>
        <v>#N/A</v>
      </c>
      <c r="X543" s="5" t="e">
        <f ca="1">IF(OR(INDEX($AI$2:$AI$1001,MATCH(ROWS($AH$2:AH543),$AH$2:$AH$1001,0),1)&gt;=100000,INDEX($AO$1005:$BQ$1005,1,MATCH(COLUMNS($AO$1006:BK1006),$AO$1006:$BQ$1006,0))&gt;=100000), " ",IF(INDEX($AO$2:$BQ$1001,MATCH(ROWS($AH$2:AH543),$AH$2:$AH$1001,0),MATCH(COLUMNS($AO$1006:BK1006),$AO$1006:$BQ$1006,0)), HYPERLINK("#",""), HYPERLINK(CONCATENATE("#Metadata!", ADDRESS(INDEX($AJ$2:$AJ$1001,MATCH(ROWS($AH$2:AH543),$AH$2:$AH$1001,0),0), INDEX($AO$1004:$BQ$1004,1,MATCH(COLUMNS($AO$1006:BK1006),$AO$1006:$BQ$1006,0)))),"Fix")))</f>
        <v>#N/A</v>
      </c>
      <c r="Y543" s="5" t="e">
        <f ca="1">IF(OR(INDEX($AI$2:$AI$1001,MATCH(ROWS($AH$2:AH543),$AH$2:$AH$1001,0),1)&gt;=100000,INDEX($AO$1005:$BQ$1005,1,MATCH(COLUMNS($AO$1006:BL1006),$AO$1006:$BQ$1006,0))&gt;=100000), " ",IF(INDEX($AO$2:$BQ$1001,MATCH(ROWS($AH$2:AH543),$AH$2:$AH$1001,0),MATCH(COLUMNS($AO$1006:BL1006),$AO$1006:$BQ$1006,0)), HYPERLINK("#",""), HYPERLINK(CONCATENATE("#Metadata!", ADDRESS(INDEX($AJ$2:$AJ$1001,MATCH(ROWS($AH$2:AH543),$AH$2:$AH$1001,0),0), INDEX($AO$1004:$BQ$1004,1,MATCH(COLUMNS($AO$1006:BL1006),$AO$1006:$BQ$1006,0)))),"Fix")))</f>
        <v>#N/A</v>
      </c>
      <c r="Z543" s="5" t="e">
        <f ca="1">IF(OR(INDEX($AI$2:$AI$1001,MATCH(ROWS($AH$2:AH543),$AH$2:$AH$1001,0),1)&gt;=100000,INDEX($AO$1005:$BQ$1005,1,MATCH(COLUMNS($AO$1006:BM1006),$AO$1006:$BQ$1006,0))&gt;=100000), " ",IF(INDEX($AO$2:$BQ$1001,MATCH(ROWS($AH$2:AH543),$AH$2:$AH$1001,0),MATCH(COLUMNS($AO$1006:BM1006),$AO$1006:$BQ$1006,0)), HYPERLINK("#",""), HYPERLINK(CONCATENATE("#Metadata!", ADDRESS(INDEX($AJ$2:$AJ$1001,MATCH(ROWS($AH$2:AH543),$AH$2:$AH$1001,0),0), INDEX($AO$1004:$BQ$1004,1,MATCH(COLUMNS($AO$1006:BM1006),$AO$1006:$BQ$1006,0)))),"Fix")))</f>
        <v>#N/A</v>
      </c>
      <c r="AA543" s="5" t="e">
        <f ca="1">IF(OR(INDEX($AI$2:$AI$1001,MATCH(ROWS($AH$2:AH543),$AH$2:$AH$1001,0),1)&gt;=100000,INDEX($AO$1005:$BQ$1005,1,MATCH(COLUMNS($AO$1006:BN1006),$AO$1006:$BQ$1006,0))&gt;=100000), " ",IF(INDEX($AO$2:$BQ$1001,MATCH(ROWS($AH$2:AH543),$AH$2:$AH$1001,0),MATCH(COLUMNS($AO$1006:BN1006),$AO$1006:$BQ$1006,0)), HYPERLINK("#",""), HYPERLINK(CONCATENATE("#Metadata!", ADDRESS(INDEX($AJ$2:$AJ$1001,MATCH(ROWS($AH$2:AH543),$AH$2:$AH$1001,0),0), INDEX($AO$1004:$BQ$1004,1,MATCH(COLUMNS($AO$1006:BN1006),$AO$1006:$BQ$1006,0)))),"Fix")))</f>
        <v>#N/A</v>
      </c>
      <c r="AB543" s="5" t="e">
        <f ca="1">IF(OR(INDEX($AI$2:$AI$1001,MATCH(ROWS($AH$2:AH543),$AH$2:$AH$1001,0),1)&gt;=100000,INDEX($AO$1005:$BQ$1005,1,MATCH(COLUMNS($AO$1006:BO1006),$AO$1006:$BQ$1006,0))&gt;=100000), " ",IF(INDEX($AO$2:$BQ$1001,MATCH(ROWS($AH$2:AH543),$AH$2:$AH$1001,0),MATCH(COLUMNS($AO$1006:BO1006),$AO$1006:$BQ$1006,0)), HYPERLINK("#",""), HYPERLINK(CONCATENATE("#Metadata!", ADDRESS(INDEX($AJ$2:$AJ$1001,MATCH(ROWS($AH$2:AH543),$AH$2:$AH$1001,0),0), INDEX($AO$1004:$BQ$1004,1,MATCH(COLUMNS($AO$1006:BO1006),$AO$1006:$BQ$1006,0)))),"Fix")))</f>
        <v>#N/A</v>
      </c>
      <c r="AC543" s="5" t="e">
        <f ca="1">IF(OR(INDEX($AI$2:$AI$1001,MATCH(ROWS($AH$2:AH543),$AH$2:$AH$1001,0),1)&gt;=100000,INDEX($AO$1005:$BQ$1005,1,MATCH(COLUMNS($AO$1006:BP1006),$AO$1006:$BQ$1006,0))&gt;=100000), " ",IF(INDEX($AO$2:$BQ$1001,MATCH(ROWS($AH$2:AH543),$AH$2:$AH$1001,0),MATCH(COLUMNS($AO$1006:BP1006),$AO$1006:$BQ$1006,0)), HYPERLINK("#",""), HYPERLINK(CONCATENATE("#Metadata!", ADDRESS(INDEX($AJ$2:$AJ$1001,MATCH(ROWS($AH$2:AH543),$AH$2:$AH$1001,0),0), INDEX($AO$1004:$BQ$1004,1,MATCH(COLUMNS($AO$1006:BP1006),$AO$1006:$BQ$1006,0)))),"Fix")))</f>
        <v>#N/A</v>
      </c>
      <c r="AD543" s="5" t="e">
        <f ca="1">IF(OR(INDEX($AI$2:$AI$1001,MATCH(ROWS($AH$2:AH543),$AH$2:$AH$1001,0),1)&gt;=100000,INDEX($AO$1005:$BQ$1005,1,MATCH(COLUMNS($AO$1006:BQ1006),$AO$1006:$BQ$1006,0))&gt;=100000), " ",IF(INDEX($AO$2:$BQ$1001,MATCH(ROWS($AH$2:AH543),$AH$2:$AH$1001,0),MATCH(COLUMNS($AO$1006:BQ1006),$AO$1006:$BQ$1006,0)), HYPERLINK("#",""), HYPERLINK(CONCATENATE("#Metadata!", ADDRESS(INDEX($AJ$2:$AJ$1001,MATCH(ROWS($AH$2:AH543),$AH$2:$AH$1001,0),0), INDEX($AO$1004:$BQ$1004,1,MATCH(COLUMNS($AO$1006:BQ1006),$AO$1006:$BQ$1006,0)))),"Fix")))</f>
        <v>#REF!</v>
      </c>
      <c r="AH543">
        <f ca="1"/>
        <v>540</v>
      </c>
      <c r="AI543">
        <v>100543</v>
      </c>
      <c r="AJ543">
        <v>543</v>
      </c>
      <c r="AK543" t="b">
        <f t="shared" si="8"/>
        <v>1</v>
      </c>
      <c r="AL543" t="b">
        <f>COUNTBLANK(Metadata!B543:AD543)=COLUMNS(Metadata!B543:AD543)</f>
        <v>1</v>
      </c>
      <c r="AM543" t="str">
        <v/>
      </c>
      <c r="AO543" t="b">
        <f ca="1">AND(IF(Metadata!B543="",FALSE,TRUE),COUNTIF(Metadata!B:B, Metadata!B543) = 1,NOT(ISERROR(SUMPRODUCT(SEARCH(MID(Metadata!B543,ROW(INDIRECT("1:"&amp;LEN(Metadata!B543))), 1),"0123456789abcdefghijklmnopqrstuvwxyzABCDEFGHIJKLMNOPQRSTUVWXYZ.")))))</f>
        <v>0</v>
      </c>
      <c r="AP543" t="b">
        <f>IF(Metadata!C543="",FALSE,TRUE)</f>
        <v>0</v>
      </c>
      <c r="AQ543" t="b">
        <f>IF(Metadata!D543="",FALSE,TRUE)</f>
        <v>0</v>
      </c>
      <c r="AR543" t="b">
        <f ca="1">OR(AND(IF(Metadata!E543="",FALSE,TRUE),OR(EXACT(Metadata!E543,"not collected"),EXACT(Metadata!E543,"not provided"),EXACT(Metadata!E543,"restricted access"))),AND(IF(Metadata!E543="",FALSE,TRUE),AND(AND(IFERROR(INT(LEFT(Metadata!E543,4))&gt;1900,FALSE),IFERROR(INT(LEFT(Metadata!E543,4))&lt;=YEAR(NOW()),FALSE)), OR(MID(Metadata!E543,5,1)="", AND(AND(MID(Metadata!E543,5,1)="-",IFERROR(INT(MID(Metadata!E543,6,1))&gt;=0,FALSE),IFERROR(INT(MID(Metadata!E543,6,1))&lt;=1,FALSE),NOT(MID(Metadata!E543,7,1)=""),IFERROR(INT(MID(Metadata!E543,6,2))&gt;=1,FALSE),IFERROR(INT(MID(Metadata!E543,6,2))&lt;=12,FALSE)), OR(MID(Metadata!E543,8,1)="", AND(AND(MID(Metadata!E543,8,1)="-",IFERROR(INT(MID(Metadata!E543,9,1))&gt;=0,FALSE),IFERROR(INT(MID(Metadata!E543,9,1))&lt;=3,FALSE),NOT(MID(Metadata!E543,10,1)=""),IFERROR(INT(MID(Metadata!E543,9,2))&gt;=1,FALSE),IFERROR(INT(MID(Metadata!E543,9,2))&lt;=31,FALSE)), OR(MID(Metadata!E543,11,1)="", AND(AND(MID(Metadata!E543,11,1)=" ",IFERROR(INT(MID(Metadata!E543,12,1))&gt;=0,FALSE),IFERROR(INT(MID(Metadata!E543,12,1))&lt;=2,FALSE),NOT(MID(Metadata!E543,13,1)=""),IFERROR(INT(MID(Metadata!E543,12,2))&gt;=0,FALSE),IFERROR(INT(MID(Metadata!E543,12,2))&lt;=23,FALSE)), OR(MID(Metadata!E543,14,1)="", AND(AND(MID(Metadata!E543,14,1)=":",IFERROR(INT(MID(Metadata!E543,15,1))&gt;=0,FALSE),IFERROR(INT(MID(Metadata!E543,15,1))&lt;=5,FALSE),NOT(MID(Metadata!E543,16,1)=""),IFERROR(INT(MID(Metadata!E543,15,2))&gt;=0,FALSE),IFERROR(INT(MID(Metadata!E543,15,2))&lt;=59,FALSE)), OR(MID(Metadata!E543,17,1)="", AND(AND(MID(Metadata!E543,17,1)=":",IFERROR(INT(MID(Metadata!E543,18,1))&gt;=0,FALSE),IFERROR(INT(MID(Metadata!E543,18,1))&lt;=5,FALSE),NOT(MID(Metadata!E543,19,1)=""),IFERROR(INT(MID(Metadata!E543,18,2))&gt;=0,FALSE),IFERROR(INT(MID(Metadata!E543,18,2))&lt;=59,FALSE)), LEN(Metadata!E543)&lt;=19)))))))))))))</f>
        <v>0</v>
      </c>
      <c r="AS543" t="b">
        <f>IF(Metadata!F543="",FALSE,TRUE)</f>
        <v>0</v>
      </c>
      <c r="AT543" t="b">
        <f>OR(AND(IF(Metadata!G543="",FALSE,TRUE),OR(EXACT(Metadata!G543,"not collected"),EXACT(Metadata!G543,"not provided"))),AND(IF(Metadata!G543="",FALSE,TRUE),OR(EXACT(Metadata!G543,"TRUE"),EXACT(Metadata!G543,"FALSE"))))</f>
        <v>0</v>
      </c>
      <c r="AU543" t="b">
        <f>OR(AND(IF(Metadata!H543="",FALSE,TRUE),OR(EXACT(Metadata!H543,"not collected"),EXACT(Metadata!H543,"not provided"),EXACT(Metadata!H543,"restricted access"))),AND(IF(Metadata!H543="",FALSE,ISNUMBER(VALUE(Metadata!H543))),Metadata!H543&gt;=-413))</f>
        <v>0</v>
      </c>
      <c r="AV543" t="b">
        <f>AND(IF(Metadata!I543="",FALSE,TRUE),EXACT(Metadata!I543,"meters"))</f>
        <v>0</v>
      </c>
      <c r="AW543" t="b">
        <f>AND(IF(Metadata!J543="",FALSE,TRUE),EXACT(Metadata!J543,"free-living"))</f>
        <v>0</v>
      </c>
      <c r="AX543" t="b">
        <f>AND(IF(Metadata!K543="",FALSE,TRUE),OR(EXACT(Metadata!K543,"saline"),EXACT(Metadata!K543,"non-saline")))</f>
        <v>0</v>
      </c>
      <c r="AY543" t="b">
        <f>AND(IF(Metadata!L543="",FALSE,TRUE),OR(EXACT(Metadata!L543,"sub-surface (non-saline)"),EXACT(Metadata!L543,"surface (non-saline)"),EXACT(Metadata!L543,"water (non-saline)"),EXACT(Metadata!L543,"soil (non-saline)"),EXACT(Metadata!L543,"aerosol (non-saline)"),EXACT(Metadata!L543,"sediment (non-saline)"),EXACT(Metadata!L543,"surface (saline)"),EXACT(Metadata!L543,"water (saline)"),EXACT(Metadata!L543,"hypersaline (saline)"),EXACT(Metadata!L543,"aerosol (saline)"),EXACT(Metadata!L543,"sediment (saline)")))</f>
        <v>0</v>
      </c>
      <c r="AZ543" t="b">
        <f>IF(Metadata!M543="",FALSE,TRUE)</f>
        <v>0</v>
      </c>
      <c r="BA543" t="b">
        <f>IF(Metadata!N543="",FALSE,TRUE)</f>
        <v>0</v>
      </c>
      <c r="BB543" t="b">
        <f>IF(Metadata!O543="",FALSE,TRUE)</f>
        <v>0</v>
      </c>
      <c r="BC543" t="b">
        <f>AND(IF(Metadata!P543="",FALSE,TRUE),OR(EXACT(Metadata!P543,"air"),EXACT(Metadata!P543,"microbial mat/biofilm"),EXACT(Metadata!P543,"misc environment"),EXACT(Metadata!P543,"sediment"),EXACT(Metadata!P543,"soil"),EXACT(Metadata!P543,"wastewater/sludge"),EXACT(Metadata!P543,"water")))</f>
        <v>0</v>
      </c>
      <c r="BD543" t="b">
        <f>IF(Metadata!Q543="",FALSE,TRUE)</f>
        <v>0</v>
      </c>
      <c r="BE543" t="b">
        <f>IF(Metadata!R543="",FALSE,TRUE)</f>
        <v>0</v>
      </c>
      <c r="BF543" t="b">
        <f>OR(AND(IF(Metadata!S543="",FALSE,TRUE),OR(EXACT(Metadata!S543,"not collected"),EXACT(Metadata!S543,"not provided"),EXACT(Metadata!S543,"restricted access"))),AND(IF(Metadata!S543="",FALSE,ISNUMBER(VALUE(Metadata!S543))),Metadata!S543&gt;=-90,Metadata!S543&lt;=90))</f>
        <v>0</v>
      </c>
      <c r="BG543" t="b">
        <f>AND(IF(Metadata!T543="",FALSE,TRUE),EXACT(Metadata!T543,"Decimal degrees"))</f>
        <v>0</v>
      </c>
      <c r="BH543" t="b">
        <f>OR(AND(IF(Metadata!U543="",FALSE,TRUE),OR(EXACT(Metadata!U543,"not applicable"),EXACT(Metadata!U543,"not collected"))),IF(Metadata!U543="",FALSE,TRUE))</f>
        <v>0</v>
      </c>
      <c r="BI543" t="b">
        <f>OR(AND(IF(Metadata!V543="",FALSE,TRUE),OR(EXACT(Metadata!V543,"not collected"),EXACT(Metadata!V543,"not provided"),EXACT(Metadata!V543,"restricted access"))),AND(IF(Metadata!V543="",FALSE,ISNUMBER(VALUE(Metadata!V543))),Metadata!V543&gt;=-180,Metadata!V543&lt;=180))</f>
        <v>0</v>
      </c>
      <c r="BJ543" t="b">
        <f>AND(IF(Metadata!W543="",FALSE,TRUE),EXACT(Metadata!W543,"Decimal degrees"))</f>
        <v>0</v>
      </c>
      <c r="BK543" t="b">
        <f>IF(Metadata!X543="",FALSE,TRUE)</f>
        <v>0</v>
      </c>
      <c r="BL543" t="b">
        <f>OR(AND(IF(Metadata!Y543="",FALSE,TRUE),OR(EXACT(Metadata!Y543,"not collected"),EXACT(Metadata!Y543,"not provided"),EXACT(Metadata!Y543,"restricted access"))),AND(IF(Metadata!Y543="",FALSE,TRUE),OR(EXACT(Metadata!Y543,"TRUE"),EXACT(Metadata!Y543,"FALSE"))))</f>
        <v>0</v>
      </c>
      <c r="BM543" t="b">
        <f>OR(AND(IF(Metadata!Z543="",FALSE,TRUE),EXACT(Metadata!Z543,"not applicable")),AND(IF(Metadata!Z543="",FALSE,TRUE),OR(EXACT(Metadata!Z543,"beer"),EXACT(Metadata!Z543,"cheese"),EXACT(Metadata!Z543,"fresh water"),EXACT(Metadata!Z543,"marine sediment"),EXACT(Metadata!Z543,"sea water"),EXACT(Metadata!Z543,"sediment"),EXACT(Metadata!Z543,"soil"),EXACT(Metadata!Z543,"waste water"))))</f>
        <v>0</v>
      </c>
      <c r="BN543" t="b">
        <f>AND(IF(Metadata!AA543="",FALSE,TRUE),EXACT(Metadata!AA543,"metagenome"))</f>
        <v>0</v>
      </c>
      <c r="BO543" t="b">
        <f>AND(IF(Metadata!AB543="",FALSE,TRUE),EXACT(Metadata!AB543,"256318"))</f>
        <v>0</v>
      </c>
      <c r="BP543" t="b">
        <f>IF(Metadata!AC543="",FALSE,TRUE)</f>
        <v>0</v>
      </c>
      <c r="BQ543" t="b">
        <f>IF(Metadata!AD543="",FALSE,TRUE)</f>
        <v>0</v>
      </c>
    </row>
    <row r="544" spans="1:69" x14ac:dyDescent="0.2">
      <c r="A544" s="4" t="e">
        <f ca="1">IF(B544=" "," ",HYPERLINK(CONCATENATE("#metadata!",ADDRESS(INDEX($AJ$2:$AJ$1001,MATCH(ROWS($AH$2:AH544),$AH$2:$AH$1001,0),0),2)),INDEX($AM$2:$AM$1001,MATCH(ROWS($AH$2:AH544),$AH$2:$AH$1001,0),0)))</f>
        <v>#N/A</v>
      </c>
      <c r="B544" s="5" t="e">
        <f ca="1">IF(OR(INDEX($AI$2:$AI$1001,MATCH(ROWS($AH$2:AH544),$AH$2:$AH$1001,0),1)&gt;=100000,INDEX($AO$1005:$BQ$1005,1,MATCH(COLUMNS($AO$1006:AO1006),$AO$1006:$BQ$1006,0))&gt;=100000), " ",IF(INDEX($AO$2:$BQ$1001,MATCH(ROWS($AH$2:AH544),$AH$2:$AH$1001,0),MATCH(COLUMNS($AO$1006:AO1006),$AO$1006:$BQ$1006,0)), HYPERLINK("#",""), HYPERLINK(CONCATENATE("#Metadata!", ADDRESS(INDEX($AJ$2:$AJ$1001,MATCH(ROWS($AH$2:AH544),$AH$2:$AH$1001,0),0), INDEX($AO$1004:$BQ$1004,1,MATCH(COLUMNS($AO$1006:AO1006),$AO$1006:$BQ$1006,0)))),"Fix")))</f>
        <v>#N/A</v>
      </c>
      <c r="C544" s="5" t="e">
        <f ca="1">IF(OR(INDEX($AI$2:$AI$1001,MATCH(ROWS($AH$2:AH544),$AH$2:$AH$1001,0),1)&gt;=100000,INDEX($AO$1005:$BQ$1005,1,MATCH(COLUMNS($AO$1006:AP1006),$AO$1006:$BQ$1006,0))&gt;=100000), " ",IF(INDEX($AO$2:$BQ$1001,MATCH(ROWS($AH$2:AH544),$AH$2:$AH$1001,0),MATCH(COLUMNS($AO$1006:AP1006),$AO$1006:$BQ$1006,0)), HYPERLINK("#",""), HYPERLINK(CONCATENATE("#Metadata!", ADDRESS(INDEX($AJ$2:$AJ$1001,MATCH(ROWS($AH$2:AH544),$AH$2:$AH$1001,0),0), INDEX($AO$1004:$BQ$1004,1,MATCH(COLUMNS($AO$1006:AP1006),$AO$1006:$BQ$1006,0)))),"Fix")))</f>
        <v>#N/A</v>
      </c>
      <c r="D544" s="5" t="e">
        <f ca="1">IF(OR(INDEX($AI$2:$AI$1001,MATCH(ROWS($AH$2:AH544),$AH$2:$AH$1001,0),1)&gt;=100000,INDEX($AO$1005:$BQ$1005,1,MATCH(COLUMNS($AO$1006:AQ1006),$AO$1006:$BQ$1006,0))&gt;=100000), " ",IF(INDEX($AO$2:$BQ$1001,MATCH(ROWS($AH$2:AH544),$AH$2:$AH$1001,0),MATCH(COLUMNS($AO$1006:AQ1006),$AO$1006:$BQ$1006,0)), HYPERLINK("#",""), HYPERLINK(CONCATENATE("#Metadata!", ADDRESS(INDEX($AJ$2:$AJ$1001,MATCH(ROWS($AH$2:AH544),$AH$2:$AH$1001,0),0), INDEX($AO$1004:$BQ$1004,1,MATCH(COLUMNS($AO$1006:AQ1006),$AO$1006:$BQ$1006,0)))),"Fix")))</f>
        <v>#N/A</v>
      </c>
      <c r="E544" s="5" t="e">
        <f ca="1">IF(OR(INDEX($AI$2:$AI$1001,MATCH(ROWS($AH$2:AH544),$AH$2:$AH$1001,0),1)&gt;=100000,INDEX($AO$1005:$BQ$1005,1,MATCH(COLUMNS($AO$1006:AR1006),$AO$1006:$BQ$1006,0))&gt;=100000), " ",IF(INDEX($AO$2:$BQ$1001,MATCH(ROWS($AH$2:AH544),$AH$2:$AH$1001,0),MATCH(COLUMNS($AO$1006:AR1006),$AO$1006:$BQ$1006,0)), HYPERLINK("#",""), HYPERLINK(CONCATENATE("#Metadata!", ADDRESS(INDEX($AJ$2:$AJ$1001,MATCH(ROWS($AH$2:AH544),$AH$2:$AH$1001,0),0), INDEX($AO$1004:$BQ$1004,1,MATCH(COLUMNS($AO$1006:AR1006),$AO$1006:$BQ$1006,0)))),"Fix")))</f>
        <v>#N/A</v>
      </c>
      <c r="F544" s="5" t="e">
        <f ca="1">IF(OR(INDEX($AI$2:$AI$1001,MATCH(ROWS($AH$2:AH544),$AH$2:$AH$1001,0),1)&gt;=100000,INDEX($AO$1005:$BQ$1005,1,MATCH(COLUMNS($AO$1006:AS1006),$AO$1006:$BQ$1006,0))&gt;=100000), " ",IF(INDEX($AO$2:$BQ$1001,MATCH(ROWS($AH$2:AH544),$AH$2:$AH$1001,0),MATCH(COLUMNS($AO$1006:AS1006),$AO$1006:$BQ$1006,0)), HYPERLINK("#",""), HYPERLINK(CONCATENATE("#Metadata!", ADDRESS(INDEX($AJ$2:$AJ$1001,MATCH(ROWS($AH$2:AH544),$AH$2:$AH$1001,0),0), INDEX($AO$1004:$BQ$1004,1,MATCH(COLUMNS($AO$1006:AS1006),$AO$1006:$BQ$1006,0)))),"Fix")))</f>
        <v>#N/A</v>
      </c>
      <c r="G544" s="5" t="e">
        <f ca="1">IF(OR(INDEX($AI$2:$AI$1001,MATCH(ROWS($AH$2:AH544),$AH$2:$AH$1001,0),1)&gt;=100000,INDEX($AO$1005:$BQ$1005,1,MATCH(COLUMNS($AO$1006:AT1006),$AO$1006:$BQ$1006,0))&gt;=100000), " ",IF(INDEX($AO$2:$BQ$1001,MATCH(ROWS($AH$2:AH544),$AH$2:$AH$1001,0),MATCH(COLUMNS($AO$1006:AT1006),$AO$1006:$BQ$1006,0)), HYPERLINK("#",""), HYPERLINK(CONCATENATE("#Metadata!", ADDRESS(INDEX($AJ$2:$AJ$1001,MATCH(ROWS($AH$2:AH544),$AH$2:$AH$1001,0),0), INDEX($AO$1004:$BQ$1004,1,MATCH(COLUMNS($AO$1006:AT1006),$AO$1006:$BQ$1006,0)))),"Fix")))</f>
        <v>#N/A</v>
      </c>
      <c r="H544" s="5" t="e">
        <f ca="1">IF(OR(INDEX($AI$2:$AI$1001,MATCH(ROWS($AH$2:AH544),$AH$2:$AH$1001,0),1)&gt;=100000,INDEX($AO$1005:$BQ$1005,1,MATCH(COLUMNS($AO$1006:AU1006),$AO$1006:$BQ$1006,0))&gt;=100000), " ",IF(INDEX($AO$2:$BQ$1001,MATCH(ROWS($AH$2:AH544),$AH$2:$AH$1001,0),MATCH(COLUMNS($AO$1006:AU1006),$AO$1006:$BQ$1006,0)), HYPERLINK("#",""), HYPERLINK(CONCATENATE("#Metadata!", ADDRESS(INDEX($AJ$2:$AJ$1001,MATCH(ROWS($AH$2:AH544),$AH$2:$AH$1001,0),0), INDEX($AO$1004:$BQ$1004,1,MATCH(COLUMNS($AO$1006:AU1006),$AO$1006:$BQ$1006,0)))),"Fix")))</f>
        <v>#N/A</v>
      </c>
      <c r="I544" s="5" t="e">
        <f ca="1">IF(OR(INDEX($AI$2:$AI$1001,MATCH(ROWS($AH$2:AH544),$AH$2:$AH$1001,0),1)&gt;=100000,INDEX($AO$1005:$BQ$1005,1,MATCH(COLUMNS($AO$1006:AV1006),$AO$1006:$BQ$1006,0))&gt;=100000), " ",IF(INDEX($AO$2:$BQ$1001,MATCH(ROWS($AH$2:AH544),$AH$2:$AH$1001,0),MATCH(COLUMNS($AO$1006:AV1006),$AO$1006:$BQ$1006,0)), HYPERLINK("#",""), HYPERLINK(CONCATENATE("#Metadata!", ADDRESS(INDEX($AJ$2:$AJ$1001,MATCH(ROWS($AH$2:AH544),$AH$2:$AH$1001,0),0), INDEX($AO$1004:$BQ$1004,1,MATCH(COLUMNS($AO$1006:AV1006),$AO$1006:$BQ$1006,0)))),"Fix")))</f>
        <v>#N/A</v>
      </c>
      <c r="J544" s="5" t="e">
        <f ca="1">IF(OR(INDEX($AI$2:$AI$1001,MATCH(ROWS($AH$2:AH544),$AH$2:$AH$1001,0),1)&gt;=100000,INDEX($AO$1005:$BQ$1005,1,MATCH(COLUMNS($AO$1006:AW1006),$AO$1006:$BQ$1006,0))&gt;=100000), " ",IF(INDEX($AO$2:$BQ$1001,MATCH(ROWS($AH$2:AH544),$AH$2:$AH$1001,0),MATCH(COLUMNS($AO$1006:AW1006),$AO$1006:$BQ$1006,0)), HYPERLINK("#",""), HYPERLINK(CONCATENATE("#Metadata!", ADDRESS(INDEX($AJ$2:$AJ$1001,MATCH(ROWS($AH$2:AH544),$AH$2:$AH$1001,0),0), INDEX($AO$1004:$BQ$1004,1,MATCH(COLUMNS($AO$1006:AW1006),$AO$1006:$BQ$1006,0)))),"Fix")))</f>
        <v>#N/A</v>
      </c>
      <c r="K544" s="5" t="e">
        <f ca="1">IF(OR(INDEX($AI$2:$AI$1001,MATCH(ROWS($AH$2:AH544),$AH$2:$AH$1001,0),1)&gt;=100000,INDEX($AO$1005:$BQ$1005,1,MATCH(COLUMNS($AO$1006:AX1006),$AO$1006:$BQ$1006,0))&gt;=100000), " ",IF(INDEX($AO$2:$BQ$1001,MATCH(ROWS($AH$2:AH544),$AH$2:$AH$1001,0),MATCH(COLUMNS($AO$1006:AX1006),$AO$1006:$BQ$1006,0)), HYPERLINK("#",""), HYPERLINK(CONCATENATE("#Metadata!", ADDRESS(INDEX($AJ$2:$AJ$1001,MATCH(ROWS($AH$2:AH544),$AH$2:$AH$1001,0),0), INDEX($AO$1004:$BQ$1004,1,MATCH(COLUMNS($AO$1006:AX1006),$AO$1006:$BQ$1006,0)))),"Fix")))</f>
        <v>#N/A</v>
      </c>
      <c r="L544" s="5" t="e">
        <f ca="1">IF(OR(INDEX($AI$2:$AI$1001,MATCH(ROWS($AH$2:AH544),$AH$2:$AH$1001,0),1)&gt;=100000,INDEX($AO$1005:$BQ$1005,1,MATCH(COLUMNS($AO$1006:AY1006),$AO$1006:$BQ$1006,0))&gt;=100000), " ",IF(INDEX($AO$2:$BQ$1001,MATCH(ROWS($AH$2:AH544),$AH$2:$AH$1001,0),MATCH(COLUMNS($AO$1006:AY1006),$AO$1006:$BQ$1006,0)), HYPERLINK("#",""), HYPERLINK(CONCATENATE("#Metadata!", ADDRESS(INDEX($AJ$2:$AJ$1001,MATCH(ROWS($AH$2:AH544),$AH$2:$AH$1001,0),0), INDEX($AO$1004:$BQ$1004,1,MATCH(COLUMNS($AO$1006:AY1006),$AO$1006:$BQ$1006,0)))),"Fix")))</f>
        <v>#N/A</v>
      </c>
      <c r="M544" s="5" t="e">
        <f ca="1">IF(OR(INDEX($AI$2:$AI$1001,MATCH(ROWS($AH$2:AH544),$AH$2:$AH$1001,0),1)&gt;=100000,INDEX($AO$1005:$BQ$1005,1,MATCH(COLUMNS($AO$1006:AZ1006),$AO$1006:$BQ$1006,0))&gt;=100000), " ",IF(INDEX($AO$2:$BQ$1001,MATCH(ROWS($AH$2:AH544),$AH$2:$AH$1001,0),MATCH(COLUMNS($AO$1006:AZ1006),$AO$1006:$BQ$1006,0)), HYPERLINK("#",""), HYPERLINK(CONCATENATE("#Metadata!", ADDRESS(INDEX($AJ$2:$AJ$1001,MATCH(ROWS($AH$2:AH544),$AH$2:$AH$1001,0),0), INDEX($AO$1004:$BQ$1004,1,MATCH(COLUMNS($AO$1006:AZ1006),$AO$1006:$BQ$1006,0)))),"Fix")))</f>
        <v>#N/A</v>
      </c>
      <c r="N544" s="5" t="e">
        <f ca="1">IF(OR(INDEX($AI$2:$AI$1001,MATCH(ROWS($AH$2:AH544),$AH$2:$AH$1001,0),1)&gt;=100000,INDEX($AO$1005:$BQ$1005,1,MATCH(COLUMNS($AO$1006:BA1006),$AO$1006:$BQ$1006,0))&gt;=100000), " ",IF(INDEX($AO$2:$BQ$1001,MATCH(ROWS($AH$2:AH544),$AH$2:$AH$1001,0),MATCH(COLUMNS($AO$1006:BA1006),$AO$1006:$BQ$1006,0)), HYPERLINK("#",""), HYPERLINK(CONCATENATE("#Metadata!", ADDRESS(INDEX($AJ$2:$AJ$1001,MATCH(ROWS($AH$2:AH544),$AH$2:$AH$1001,0),0), INDEX($AO$1004:$BQ$1004,1,MATCH(COLUMNS($AO$1006:BA1006),$AO$1006:$BQ$1006,0)))),"Fix")))</f>
        <v>#N/A</v>
      </c>
      <c r="O544" s="5" t="e">
        <f ca="1">IF(OR(INDEX($AI$2:$AI$1001,MATCH(ROWS($AH$2:AH544),$AH$2:$AH$1001,0),1)&gt;=100000,INDEX($AO$1005:$BQ$1005,1,MATCH(COLUMNS($AO$1006:BB1006),$AO$1006:$BQ$1006,0))&gt;=100000), " ",IF(INDEX($AO$2:$BQ$1001,MATCH(ROWS($AH$2:AH544),$AH$2:$AH$1001,0),MATCH(COLUMNS($AO$1006:BB1006),$AO$1006:$BQ$1006,0)), HYPERLINK("#",""), HYPERLINK(CONCATENATE("#Metadata!", ADDRESS(INDEX($AJ$2:$AJ$1001,MATCH(ROWS($AH$2:AH544),$AH$2:$AH$1001,0),0), INDEX($AO$1004:$BQ$1004,1,MATCH(COLUMNS($AO$1006:BB1006),$AO$1006:$BQ$1006,0)))),"Fix")))</f>
        <v>#N/A</v>
      </c>
      <c r="P544" s="5" t="e">
        <f ca="1">IF(OR(INDEX($AI$2:$AI$1001,MATCH(ROWS($AH$2:AH544),$AH$2:$AH$1001,0),1)&gt;=100000,INDEX($AO$1005:$BQ$1005,1,MATCH(COLUMNS($AO$1006:BC1006),$AO$1006:$BQ$1006,0))&gt;=100000), " ",IF(INDEX($AO$2:$BQ$1001,MATCH(ROWS($AH$2:AH544),$AH$2:$AH$1001,0),MATCH(COLUMNS($AO$1006:BC1006),$AO$1006:$BQ$1006,0)), HYPERLINK("#",""), HYPERLINK(CONCATENATE("#Metadata!", ADDRESS(INDEX($AJ$2:$AJ$1001,MATCH(ROWS($AH$2:AH544),$AH$2:$AH$1001,0),0), INDEX($AO$1004:$BQ$1004,1,MATCH(COLUMNS($AO$1006:BC1006),$AO$1006:$BQ$1006,0)))),"Fix")))</f>
        <v>#N/A</v>
      </c>
      <c r="Q544" s="5" t="e">
        <f ca="1">IF(OR(INDEX($AI$2:$AI$1001,MATCH(ROWS($AH$2:AH544),$AH$2:$AH$1001,0),1)&gt;=100000,INDEX($AO$1005:$BQ$1005,1,MATCH(COLUMNS($AO$1006:BD1006),$AO$1006:$BQ$1006,0))&gt;=100000), " ",IF(INDEX($AO$2:$BQ$1001,MATCH(ROWS($AH$2:AH544),$AH$2:$AH$1001,0),MATCH(COLUMNS($AO$1006:BD1006),$AO$1006:$BQ$1006,0)), HYPERLINK("#",""), HYPERLINK(CONCATENATE("#Metadata!", ADDRESS(INDEX($AJ$2:$AJ$1001,MATCH(ROWS($AH$2:AH544),$AH$2:$AH$1001,0),0), INDEX($AO$1004:$BQ$1004,1,MATCH(COLUMNS($AO$1006:BD1006),$AO$1006:$BQ$1006,0)))),"Fix")))</f>
        <v>#N/A</v>
      </c>
      <c r="R544" s="5" t="e">
        <f ca="1">IF(OR(INDEX($AI$2:$AI$1001,MATCH(ROWS($AH$2:AH544),$AH$2:$AH$1001,0),1)&gt;=100000,INDEX($AO$1005:$BQ$1005,1,MATCH(COLUMNS($AO$1006:BE1006),$AO$1006:$BQ$1006,0))&gt;=100000), " ",IF(INDEX($AO$2:$BQ$1001,MATCH(ROWS($AH$2:AH544),$AH$2:$AH$1001,0),MATCH(COLUMNS($AO$1006:BE1006),$AO$1006:$BQ$1006,0)), HYPERLINK("#",""), HYPERLINK(CONCATENATE("#Metadata!", ADDRESS(INDEX($AJ$2:$AJ$1001,MATCH(ROWS($AH$2:AH544),$AH$2:$AH$1001,0),0), INDEX($AO$1004:$BQ$1004,1,MATCH(COLUMNS($AO$1006:BE1006),$AO$1006:$BQ$1006,0)))),"Fix")))</f>
        <v>#N/A</v>
      </c>
      <c r="S544" s="5" t="e">
        <f ca="1">IF(OR(INDEX($AI$2:$AI$1001,MATCH(ROWS($AH$2:AH544),$AH$2:$AH$1001,0),1)&gt;=100000,INDEX($AO$1005:$BQ$1005,1,MATCH(COLUMNS($AO$1006:BF1006),$AO$1006:$BQ$1006,0))&gt;=100000), " ",IF(INDEX($AO$2:$BQ$1001,MATCH(ROWS($AH$2:AH544),$AH$2:$AH$1001,0),MATCH(COLUMNS($AO$1006:BF1006),$AO$1006:$BQ$1006,0)), HYPERLINK("#",""), HYPERLINK(CONCATENATE("#Metadata!", ADDRESS(INDEX($AJ$2:$AJ$1001,MATCH(ROWS($AH$2:AH544),$AH$2:$AH$1001,0),0), INDEX($AO$1004:$BQ$1004,1,MATCH(COLUMNS($AO$1006:BF1006),$AO$1006:$BQ$1006,0)))),"Fix")))</f>
        <v>#N/A</v>
      </c>
      <c r="T544" s="5" t="e">
        <f ca="1">IF(OR(INDEX($AI$2:$AI$1001,MATCH(ROWS($AH$2:AH544),$AH$2:$AH$1001,0),1)&gt;=100000,INDEX($AO$1005:$BQ$1005,1,MATCH(COLUMNS($AO$1006:BG1006),$AO$1006:$BQ$1006,0))&gt;=100000), " ",IF(INDEX($AO$2:$BQ$1001,MATCH(ROWS($AH$2:AH544),$AH$2:$AH$1001,0),MATCH(COLUMNS($AO$1006:BG1006),$AO$1006:$BQ$1006,0)), HYPERLINK("#",""), HYPERLINK(CONCATENATE("#Metadata!", ADDRESS(INDEX($AJ$2:$AJ$1001,MATCH(ROWS($AH$2:AH544),$AH$2:$AH$1001,0),0), INDEX($AO$1004:$BQ$1004,1,MATCH(COLUMNS($AO$1006:BG1006),$AO$1006:$BQ$1006,0)))),"Fix")))</f>
        <v>#N/A</v>
      </c>
      <c r="U544" s="5" t="e">
        <f ca="1">IF(OR(INDEX($AI$2:$AI$1001,MATCH(ROWS($AH$2:AH544),$AH$2:$AH$1001,0),1)&gt;=100000,INDEX($AO$1005:$BQ$1005,1,MATCH(COLUMNS($AO$1006:BH1006),$AO$1006:$BQ$1006,0))&gt;=100000), " ",IF(INDEX($AO$2:$BQ$1001,MATCH(ROWS($AH$2:AH544),$AH$2:$AH$1001,0),MATCH(COLUMNS($AO$1006:BH1006),$AO$1006:$BQ$1006,0)), HYPERLINK("#",""), HYPERLINK(CONCATENATE("#Metadata!", ADDRESS(INDEX($AJ$2:$AJ$1001,MATCH(ROWS($AH$2:AH544),$AH$2:$AH$1001,0),0), INDEX($AO$1004:$BQ$1004,1,MATCH(COLUMNS($AO$1006:BH1006),$AO$1006:$BQ$1006,0)))),"Fix")))</f>
        <v>#N/A</v>
      </c>
      <c r="V544" s="5" t="e">
        <f ca="1">IF(OR(INDEX($AI$2:$AI$1001,MATCH(ROWS($AH$2:AH544),$AH$2:$AH$1001,0),1)&gt;=100000,INDEX($AO$1005:$BQ$1005,1,MATCH(COLUMNS($AO$1006:BI1006),$AO$1006:$BQ$1006,0))&gt;=100000), " ",IF(INDEX($AO$2:$BQ$1001,MATCH(ROWS($AH$2:AH544),$AH$2:$AH$1001,0),MATCH(COLUMNS($AO$1006:BI1006),$AO$1006:$BQ$1006,0)), HYPERLINK("#",""), HYPERLINK(CONCATENATE("#Metadata!", ADDRESS(INDEX($AJ$2:$AJ$1001,MATCH(ROWS($AH$2:AH544),$AH$2:$AH$1001,0),0), INDEX($AO$1004:$BQ$1004,1,MATCH(COLUMNS($AO$1006:BI1006),$AO$1006:$BQ$1006,0)))),"Fix")))</f>
        <v>#N/A</v>
      </c>
      <c r="W544" s="5" t="e">
        <f ca="1">IF(OR(INDEX($AI$2:$AI$1001,MATCH(ROWS($AH$2:AH544),$AH$2:$AH$1001,0),1)&gt;=100000,INDEX($AO$1005:$BQ$1005,1,MATCH(COLUMNS($AO$1006:BJ1006),$AO$1006:$BQ$1006,0))&gt;=100000), " ",IF(INDEX($AO$2:$BQ$1001,MATCH(ROWS($AH$2:AH544),$AH$2:$AH$1001,0),MATCH(COLUMNS($AO$1006:BJ1006),$AO$1006:$BQ$1006,0)), HYPERLINK("#",""), HYPERLINK(CONCATENATE("#Metadata!", ADDRESS(INDEX($AJ$2:$AJ$1001,MATCH(ROWS($AH$2:AH544),$AH$2:$AH$1001,0),0), INDEX($AO$1004:$BQ$1004,1,MATCH(COLUMNS($AO$1006:BJ1006),$AO$1006:$BQ$1006,0)))),"Fix")))</f>
        <v>#N/A</v>
      </c>
      <c r="X544" s="5" t="e">
        <f ca="1">IF(OR(INDEX($AI$2:$AI$1001,MATCH(ROWS($AH$2:AH544),$AH$2:$AH$1001,0),1)&gt;=100000,INDEX($AO$1005:$BQ$1005,1,MATCH(COLUMNS($AO$1006:BK1006),$AO$1006:$BQ$1006,0))&gt;=100000), " ",IF(INDEX($AO$2:$BQ$1001,MATCH(ROWS($AH$2:AH544),$AH$2:$AH$1001,0),MATCH(COLUMNS($AO$1006:BK1006),$AO$1006:$BQ$1006,0)), HYPERLINK("#",""), HYPERLINK(CONCATENATE("#Metadata!", ADDRESS(INDEX($AJ$2:$AJ$1001,MATCH(ROWS($AH$2:AH544),$AH$2:$AH$1001,0),0), INDEX($AO$1004:$BQ$1004,1,MATCH(COLUMNS($AO$1006:BK1006),$AO$1006:$BQ$1006,0)))),"Fix")))</f>
        <v>#N/A</v>
      </c>
      <c r="Y544" s="5" t="e">
        <f ca="1">IF(OR(INDEX($AI$2:$AI$1001,MATCH(ROWS($AH$2:AH544),$AH$2:$AH$1001,0),1)&gt;=100000,INDEX($AO$1005:$BQ$1005,1,MATCH(COLUMNS($AO$1006:BL1006),$AO$1006:$BQ$1006,0))&gt;=100000), " ",IF(INDEX($AO$2:$BQ$1001,MATCH(ROWS($AH$2:AH544),$AH$2:$AH$1001,0),MATCH(COLUMNS($AO$1006:BL1006),$AO$1006:$BQ$1006,0)), HYPERLINK("#",""), HYPERLINK(CONCATENATE("#Metadata!", ADDRESS(INDEX($AJ$2:$AJ$1001,MATCH(ROWS($AH$2:AH544),$AH$2:$AH$1001,0),0), INDEX($AO$1004:$BQ$1004,1,MATCH(COLUMNS($AO$1006:BL1006),$AO$1006:$BQ$1006,0)))),"Fix")))</f>
        <v>#N/A</v>
      </c>
      <c r="Z544" s="5" t="e">
        <f ca="1">IF(OR(INDEX($AI$2:$AI$1001,MATCH(ROWS($AH$2:AH544),$AH$2:$AH$1001,0),1)&gt;=100000,INDEX($AO$1005:$BQ$1005,1,MATCH(COLUMNS($AO$1006:BM1006),$AO$1006:$BQ$1006,0))&gt;=100000), " ",IF(INDEX($AO$2:$BQ$1001,MATCH(ROWS($AH$2:AH544),$AH$2:$AH$1001,0),MATCH(COLUMNS($AO$1006:BM1006),$AO$1006:$BQ$1006,0)), HYPERLINK("#",""), HYPERLINK(CONCATENATE("#Metadata!", ADDRESS(INDEX($AJ$2:$AJ$1001,MATCH(ROWS($AH$2:AH544),$AH$2:$AH$1001,0),0), INDEX($AO$1004:$BQ$1004,1,MATCH(COLUMNS($AO$1006:BM1006),$AO$1006:$BQ$1006,0)))),"Fix")))</f>
        <v>#N/A</v>
      </c>
      <c r="AA544" s="5" t="e">
        <f ca="1">IF(OR(INDEX($AI$2:$AI$1001,MATCH(ROWS($AH$2:AH544),$AH$2:$AH$1001,0),1)&gt;=100000,INDEX($AO$1005:$BQ$1005,1,MATCH(COLUMNS($AO$1006:BN1006),$AO$1006:$BQ$1006,0))&gt;=100000), " ",IF(INDEX($AO$2:$BQ$1001,MATCH(ROWS($AH$2:AH544),$AH$2:$AH$1001,0),MATCH(COLUMNS($AO$1006:BN1006),$AO$1006:$BQ$1006,0)), HYPERLINK("#",""), HYPERLINK(CONCATENATE("#Metadata!", ADDRESS(INDEX($AJ$2:$AJ$1001,MATCH(ROWS($AH$2:AH544),$AH$2:$AH$1001,0),0), INDEX($AO$1004:$BQ$1004,1,MATCH(COLUMNS($AO$1006:BN1006),$AO$1006:$BQ$1006,0)))),"Fix")))</f>
        <v>#N/A</v>
      </c>
      <c r="AB544" s="5" t="e">
        <f ca="1">IF(OR(INDEX($AI$2:$AI$1001,MATCH(ROWS($AH$2:AH544),$AH$2:$AH$1001,0),1)&gt;=100000,INDEX($AO$1005:$BQ$1005,1,MATCH(COLUMNS($AO$1006:BO1006),$AO$1006:$BQ$1006,0))&gt;=100000), " ",IF(INDEX($AO$2:$BQ$1001,MATCH(ROWS($AH$2:AH544),$AH$2:$AH$1001,0),MATCH(COLUMNS($AO$1006:BO1006),$AO$1006:$BQ$1006,0)), HYPERLINK("#",""), HYPERLINK(CONCATENATE("#Metadata!", ADDRESS(INDEX($AJ$2:$AJ$1001,MATCH(ROWS($AH$2:AH544),$AH$2:$AH$1001,0),0), INDEX($AO$1004:$BQ$1004,1,MATCH(COLUMNS($AO$1006:BO1006),$AO$1006:$BQ$1006,0)))),"Fix")))</f>
        <v>#N/A</v>
      </c>
      <c r="AC544" s="5" t="e">
        <f ca="1">IF(OR(INDEX($AI$2:$AI$1001,MATCH(ROWS($AH$2:AH544),$AH$2:$AH$1001,0),1)&gt;=100000,INDEX($AO$1005:$BQ$1005,1,MATCH(COLUMNS($AO$1006:BP1006),$AO$1006:$BQ$1006,0))&gt;=100000), " ",IF(INDEX($AO$2:$BQ$1001,MATCH(ROWS($AH$2:AH544),$AH$2:$AH$1001,0),MATCH(COLUMNS($AO$1006:BP1006),$AO$1006:$BQ$1006,0)), HYPERLINK("#",""), HYPERLINK(CONCATENATE("#Metadata!", ADDRESS(INDEX($AJ$2:$AJ$1001,MATCH(ROWS($AH$2:AH544),$AH$2:$AH$1001,0),0), INDEX($AO$1004:$BQ$1004,1,MATCH(COLUMNS($AO$1006:BP1006),$AO$1006:$BQ$1006,0)))),"Fix")))</f>
        <v>#N/A</v>
      </c>
      <c r="AD544" s="5" t="e">
        <f ca="1">IF(OR(INDEX($AI$2:$AI$1001,MATCH(ROWS($AH$2:AH544),$AH$2:$AH$1001,0),1)&gt;=100000,INDEX($AO$1005:$BQ$1005,1,MATCH(COLUMNS($AO$1006:BQ1006),$AO$1006:$BQ$1006,0))&gt;=100000), " ",IF(INDEX($AO$2:$BQ$1001,MATCH(ROWS($AH$2:AH544),$AH$2:$AH$1001,0),MATCH(COLUMNS($AO$1006:BQ1006),$AO$1006:$BQ$1006,0)), HYPERLINK("#",""), HYPERLINK(CONCATENATE("#Metadata!", ADDRESS(INDEX($AJ$2:$AJ$1001,MATCH(ROWS($AH$2:AH544),$AH$2:$AH$1001,0),0), INDEX($AO$1004:$BQ$1004,1,MATCH(COLUMNS($AO$1006:BQ1006),$AO$1006:$BQ$1006,0)))),"Fix")))</f>
        <v>#REF!</v>
      </c>
      <c r="AH544">
        <f ca="1"/>
        <v>541</v>
      </c>
      <c r="AI544">
        <v>100544</v>
      </c>
      <c r="AJ544">
        <v>544</v>
      </c>
      <c r="AK544" t="b">
        <f t="shared" si="8"/>
        <v>1</v>
      </c>
      <c r="AL544" t="b">
        <f>COUNTBLANK(Metadata!B544:AD544)=COLUMNS(Metadata!B544:AD544)</f>
        <v>1</v>
      </c>
      <c r="AM544" t="str">
        <v/>
      </c>
      <c r="AO544" t="b">
        <f ca="1">AND(IF(Metadata!B544="",FALSE,TRUE),COUNTIF(Metadata!B:B, Metadata!B544) = 1,NOT(ISERROR(SUMPRODUCT(SEARCH(MID(Metadata!B544,ROW(INDIRECT("1:"&amp;LEN(Metadata!B544))), 1),"0123456789abcdefghijklmnopqrstuvwxyzABCDEFGHIJKLMNOPQRSTUVWXYZ.")))))</f>
        <v>0</v>
      </c>
      <c r="AP544" t="b">
        <f>IF(Metadata!C544="",FALSE,TRUE)</f>
        <v>0</v>
      </c>
      <c r="AQ544" t="b">
        <f>IF(Metadata!D544="",FALSE,TRUE)</f>
        <v>0</v>
      </c>
      <c r="AR544" t="b">
        <f ca="1">OR(AND(IF(Metadata!E544="",FALSE,TRUE),OR(EXACT(Metadata!E544,"not collected"),EXACT(Metadata!E544,"not provided"),EXACT(Metadata!E544,"restricted access"))),AND(IF(Metadata!E544="",FALSE,TRUE),AND(AND(IFERROR(INT(LEFT(Metadata!E544,4))&gt;1900,FALSE),IFERROR(INT(LEFT(Metadata!E544,4))&lt;=YEAR(NOW()),FALSE)), OR(MID(Metadata!E544,5,1)="", AND(AND(MID(Metadata!E544,5,1)="-",IFERROR(INT(MID(Metadata!E544,6,1))&gt;=0,FALSE),IFERROR(INT(MID(Metadata!E544,6,1))&lt;=1,FALSE),NOT(MID(Metadata!E544,7,1)=""),IFERROR(INT(MID(Metadata!E544,6,2))&gt;=1,FALSE),IFERROR(INT(MID(Metadata!E544,6,2))&lt;=12,FALSE)), OR(MID(Metadata!E544,8,1)="", AND(AND(MID(Metadata!E544,8,1)="-",IFERROR(INT(MID(Metadata!E544,9,1))&gt;=0,FALSE),IFERROR(INT(MID(Metadata!E544,9,1))&lt;=3,FALSE),NOT(MID(Metadata!E544,10,1)=""),IFERROR(INT(MID(Metadata!E544,9,2))&gt;=1,FALSE),IFERROR(INT(MID(Metadata!E544,9,2))&lt;=31,FALSE)), OR(MID(Metadata!E544,11,1)="", AND(AND(MID(Metadata!E544,11,1)=" ",IFERROR(INT(MID(Metadata!E544,12,1))&gt;=0,FALSE),IFERROR(INT(MID(Metadata!E544,12,1))&lt;=2,FALSE),NOT(MID(Metadata!E544,13,1)=""),IFERROR(INT(MID(Metadata!E544,12,2))&gt;=0,FALSE),IFERROR(INT(MID(Metadata!E544,12,2))&lt;=23,FALSE)), OR(MID(Metadata!E544,14,1)="", AND(AND(MID(Metadata!E544,14,1)=":",IFERROR(INT(MID(Metadata!E544,15,1))&gt;=0,FALSE),IFERROR(INT(MID(Metadata!E544,15,1))&lt;=5,FALSE),NOT(MID(Metadata!E544,16,1)=""),IFERROR(INT(MID(Metadata!E544,15,2))&gt;=0,FALSE),IFERROR(INT(MID(Metadata!E544,15,2))&lt;=59,FALSE)), OR(MID(Metadata!E544,17,1)="", AND(AND(MID(Metadata!E544,17,1)=":",IFERROR(INT(MID(Metadata!E544,18,1))&gt;=0,FALSE),IFERROR(INT(MID(Metadata!E544,18,1))&lt;=5,FALSE),NOT(MID(Metadata!E544,19,1)=""),IFERROR(INT(MID(Metadata!E544,18,2))&gt;=0,FALSE),IFERROR(INT(MID(Metadata!E544,18,2))&lt;=59,FALSE)), LEN(Metadata!E544)&lt;=19)))))))))))))</f>
        <v>0</v>
      </c>
      <c r="AS544" t="b">
        <f>IF(Metadata!F544="",FALSE,TRUE)</f>
        <v>0</v>
      </c>
      <c r="AT544" t="b">
        <f>OR(AND(IF(Metadata!G544="",FALSE,TRUE),OR(EXACT(Metadata!G544,"not collected"),EXACT(Metadata!G544,"not provided"))),AND(IF(Metadata!G544="",FALSE,TRUE),OR(EXACT(Metadata!G544,"TRUE"),EXACT(Metadata!G544,"FALSE"))))</f>
        <v>0</v>
      </c>
      <c r="AU544" t="b">
        <f>OR(AND(IF(Metadata!H544="",FALSE,TRUE),OR(EXACT(Metadata!H544,"not collected"),EXACT(Metadata!H544,"not provided"),EXACT(Metadata!H544,"restricted access"))),AND(IF(Metadata!H544="",FALSE,ISNUMBER(VALUE(Metadata!H544))),Metadata!H544&gt;=-413))</f>
        <v>0</v>
      </c>
      <c r="AV544" t="b">
        <f>AND(IF(Metadata!I544="",FALSE,TRUE),EXACT(Metadata!I544,"meters"))</f>
        <v>0</v>
      </c>
      <c r="AW544" t="b">
        <f>AND(IF(Metadata!J544="",FALSE,TRUE),EXACT(Metadata!J544,"free-living"))</f>
        <v>0</v>
      </c>
      <c r="AX544" t="b">
        <f>AND(IF(Metadata!K544="",FALSE,TRUE),OR(EXACT(Metadata!K544,"saline"),EXACT(Metadata!K544,"non-saline")))</f>
        <v>0</v>
      </c>
      <c r="AY544" t="b">
        <f>AND(IF(Metadata!L544="",FALSE,TRUE),OR(EXACT(Metadata!L544,"sub-surface (non-saline)"),EXACT(Metadata!L544,"surface (non-saline)"),EXACT(Metadata!L544,"water (non-saline)"),EXACT(Metadata!L544,"soil (non-saline)"),EXACT(Metadata!L544,"aerosol (non-saline)"),EXACT(Metadata!L544,"sediment (non-saline)"),EXACT(Metadata!L544,"surface (saline)"),EXACT(Metadata!L544,"water (saline)"),EXACT(Metadata!L544,"hypersaline (saline)"),EXACT(Metadata!L544,"aerosol (saline)"),EXACT(Metadata!L544,"sediment (saline)")))</f>
        <v>0</v>
      </c>
      <c r="AZ544" t="b">
        <f>IF(Metadata!M544="",FALSE,TRUE)</f>
        <v>0</v>
      </c>
      <c r="BA544" t="b">
        <f>IF(Metadata!N544="",FALSE,TRUE)</f>
        <v>0</v>
      </c>
      <c r="BB544" t="b">
        <f>IF(Metadata!O544="",FALSE,TRUE)</f>
        <v>0</v>
      </c>
      <c r="BC544" t="b">
        <f>AND(IF(Metadata!P544="",FALSE,TRUE),OR(EXACT(Metadata!P544,"air"),EXACT(Metadata!P544,"microbial mat/biofilm"),EXACT(Metadata!P544,"misc environment"),EXACT(Metadata!P544,"sediment"),EXACT(Metadata!P544,"soil"),EXACT(Metadata!P544,"wastewater/sludge"),EXACT(Metadata!P544,"water")))</f>
        <v>0</v>
      </c>
      <c r="BD544" t="b">
        <f>IF(Metadata!Q544="",FALSE,TRUE)</f>
        <v>0</v>
      </c>
      <c r="BE544" t="b">
        <f>IF(Metadata!R544="",FALSE,TRUE)</f>
        <v>0</v>
      </c>
      <c r="BF544" t="b">
        <f>OR(AND(IF(Metadata!S544="",FALSE,TRUE),OR(EXACT(Metadata!S544,"not collected"),EXACT(Metadata!S544,"not provided"),EXACT(Metadata!S544,"restricted access"))),AND(IF(Metadata!S544="",FALSE,ISNUMBER(VALUE(Metadata!S544))),Metadata!S544&gt;=-90,Metadata!S544&lt;=90))</f>
        <v>0</v>
      </c>
      <c r="BG544" t="b">
        <f>AND(IF(Metadata!T544="",FALSE,TRUE),EXACT(Metadata!T544,"Decimal degrees"))</f>
        <v>0</v>
      </c>
      <c r="BH544" t="b">
        <f>OR(AND(IF(Metadata!U544="",FALSE,TRUE),OR(EXACT(Metadata!U544,"not applicable"),EXACT(Metadata!U544,"not collected"))),IF(Metadata!U544="",FALSE,TRUE))</f>
        <v>0</v>
      </c>
      <c r="BI544" t="b">
        <f>OR(AND(IF(Metadata!V544="",FALSE,TRUE),OR(EXACT(Metadata!V544,"not collected"),EXACT(Metadata!V544,"not provided"),EXACT(Metadata!V544,"restricted access"))),AND(IF(Metadata!V544="",FALSE,ISNUMBER(VALUE(Metadata!V544))),Metadata!V544&gt;=-180,Metadata!V544&lt;=180))</f>
        <v>0</v>
      </c>
      <c r="BJ544" t="b">
        <f>AND(IF(Metadata!W544="",FALSE,TRUE),EXACT(Metadata!W544,"Decimal degrees"))</f>
        <v>0</v>
      </c>
      <c r="BK544" t="b">
        <f>IF(Metadata!X544="",FALSE,TRUE)</f>
        <v>0</v>
      </c>
      <c r="BL544" t="b">
        <f>OR(AND(IF(Metadata!Y544="",FALSE,TRUE),OR(EXACT(Metadata!Y544,"not collected"),EXACT(Metadata!Y544,"not provided"),EXACT(Metadata!Y544,"restricted access"))),AND(IF(Metadata!Y544="",FALSE,TRUE),OR(EXACT(Metadata!Y544,"TRUE"),EXACT(Metadata!Y544,"FALSE"))))</f>
        <v>0</v>
      </c>
      <c r="BM544" t="b">
        <f>OR(AND(IF(Metadata!Z544="",FALSE,TRUE),EXACT(Metadata!Z544,"not applicable")),AND(IF(Metadata!Z544="",FALSE,TRUE),OR(EXACT(Metadata!Z544,"beer"),EXACT(Metadata!Z544,"cheese"),EXACT(Metadata!Z544,"fresh water"),EXACT(Metadata!Z544,"marine sediment"),EXACT(Metadata!Z544,"sea water"),EXACT(Metadata!Z544,"sediment"),EXACT(Metadata!Z544,"soil"),EXACT(Metadata!Z544,"waste water"))))</f>
        <v>0</v>
      </c>
      <c r="BN544" t="b">
        <f>AND(IF(Metadata!AA544="",FALSE,TRUE),EXACT(Metadata!AA544,"metagenome"))</f>
        <v>0</v>
      </c>
      <c r="BO544" t="b">
        <f>AND(IF(Metadata!AB544="",FALSE,TRUE),EXACT(Metadata!AB544,"256318"))</f>
        <v>0</v>
      </c>
      <c r="BP544" t="b">
        <f>IF(Metadata!AC544="",FALSE,TRUE)</f>
        <v>0</v>
      </c>
      <c r="BQ544" t="b">
        <f>IF(Metadata!AD544="",FALSE,TRUE)</f>
        <v>0</v>
      </c>
    </row>
    <row r="545" spans="1:69" x14ac:dyDescent="0.2">
      <c r="A545" s="4" t="e">
        <f ca="1">IF(B545=" "," ",HYPERLINK(CONCATENATE("#metadata!",ADDRESS(INDEX($AJ$2:$AJ$1001,MATCH(ROWS($AH$2:AH545),$AH$2:$AH$1001,0),0),2)),INDEX($AM$2:$AM$1001,MATCH(ROWS($AH$2:AH545),$AH$2:$AH$1001,0),0)))</f>
        <v>#N/A</v>
      </c>
      <c r="B545" s="5" t="e">
        <f ca="1">IF(OR(INDEX($AI$2:$AI$1001,MATCH(ROWS($AH$2:AH545),$AH$2:$AH$1001,0),1)&gt;=100000,INDEX($AO$1005:$BQ$1005,1,MATCH(COLUMNS($AO$1006:AO1006),$AO$1006:$BQ$1006,0))&gt;=100000), " ",IF(INDEX($AO$2:$BQ$1001,MATCH(ROWS($AH$2:AH545),$AH$2:$AH$1001,0),MATCH(COLUMNS($AO$1006:AO1006),$AO$1006:$BQ$1006,0)), HYPERLINK("#",""), HYPERLINK(CONCATENATE("#Metadata!", ADDRESS(INDEX($AJ$2:$AJ$1001,MATCH(ROWS($AH$2:AH545),$AH$2:$AH$1001,0),0), INDEX($AO$1004:$BQ$1004,1,MATCH(COLUMNS($AO$1006:AO1006),$AO$1006:$BQ$1006,0)))),"Fix")))</f>
        <v>#N/A</v>
      </c>
      <c r="C545" s="5" t="e">
        <f ca="1">IF(OR(INDEX($AI$2:$AI$1001,MATCH(ROWS($AH$2:AH545),$AH$2:$AH$1001,0),1)&gt;=100000,INDEX($AO$1005:$BQ$1005,1,MATCH(COLUMNS($AO$1006:AP1006),$AO$1006:$BQ$1006,0))&gt;=100000), " ",IF(INDEX($AO$2:$BQ$1001,MATCH(ROWS($AH$2:AH545),$AH$2:$AH$1001,0),MATCH(COLUMNS($AO$1006:AP1006),$AO$1006:$BQ$1006,0)), HYPERLINK("#",""), HYPERLINK(CONCATENATE("#Metadata!", ADDRESS(INDEX($AJ$2:$AJ$1001,MATCH(ROWS($AH$2:AH545),$AH$2:$AH$1001,0),0), INDEX($AO$1004:$BQ$1004,1,MATCH(COLUMNS($AO$1006:AP1006),$AO$1006:$BQ$1006,0)))),"Fix")))</f>
        <v>#N/A</v>
      </c>
      <c r="D545" s="5" t="e">
        <f ca="1">IF(OR(INDEX($AI$2:$AI$1001,MATCH(ROWS($AH$2:AH545),$AH$2:$AH$1001,0),1)&gt;=100000,INDEX($AO$1005:$BQ$1005,1,MATCH(COLUMNS($AO$1006:AQ1006),$AO$1006:$BQ$1006,0))&gt;=100000), " ",IF(INDEX($AO$2:$BQ$1001,MATCH(ROWS($AH$2:AH545),$AH$2:$AH$1001,0),MATCH(COLUMNS($AO$1006:AQ1006),$AO$1006:$BQ$1006,0)), HYPERLINK("#",""), HYPERLINK(CONCATENATE("#Metadata!", ADDRESS(INDEX($AJ$2:$AJ$1001,MATCH(ROWS($AH$2:AH545),$AH$2:$AH$1001,0),0), INDEX($AO$1004:$BQ$1004,1,MATCH(COLUMNS($AO$1006:AQ1006),$AO$1006:$BQ$1006,0)))),"Fix")))</f>
        <v>#N/A</v>
      </c>
      <c r="E545" s="5" t="e">
        <f ca="1">IF(OR(INDEX($AI$2:$AI$1001,MATCH(ROWS($AH$2:AH545),$AH$2:$AH$1001,0),1)&gt;=100000,INDEX($AO$1005:$BQ$1005,1,MATCH(COLUMNS($AO$1006:AR1006),$AO$1006:$BQ$1006,0))&gt;=100000), " ",IF(INDEX($AO$2:$BQ$1001,MATCH(ROWS($AH$2:AH545),$AH$2:$AH$1001,0),MATCH(COLUMNS($AO$1006:AR1006),$AO$1006:$BQ$1006,0)), HYPERLINK("#",""), HYPERLINK(CONCATENATE("#Metadata!", ADDRESS(INDEX($AJ$2:$AJ$1001,MATCH(ROWS($AH$2:AH545),$AH$2:$AH$1001,0),0), INDEX($AO$1004:$BQ$1004,1,MATCH(COLUMNS($AO$1006:AR1006),$AO$1006:$BQ$1006,0)))),"Fix")))</f>
        <v>#N/A</v>
      </c>
      <c r="F545" s="5" t="e">
        <f ca="1">IF(OR(INDEX($AI$2:$AI$1001,MATCH(ROWS($AH$2:AH545),$AH$2:$AH$1001,0),1)&gt;=100000,INDEX($AO$1005:$BQ$1005,1,MATCH(COLUMNS($AO$1006:AS1006),$AO$1006:$BQ$1006,0))&gt;=100000), " ",IF(INDEX($AO$2:$BQ$1001,MATCH(ROWS($AH$2:AH545),$AH$2:$AH$1001,0),MATCH(COLUMNS($AO$1006:AS1006),$AO$1006:$BQ$1006,0)), HYPERLINK("#",""), HYPERLINK(CONCATENATE("#Metadata!", ADDRESS(INDEX($AJ$2:$AJ$1001,MATCH(ROWS($AH$2:AH545),$AH$2:$AH$1001,0),0), INDEX($AO$1004:$BQ$1004,1,MATCH(COLUMNS($AO$1006:AS1006),$AO$1006:$BQ$1006,0)))),"Fix")))</f>
        <v>#N/A</v>
      </c>
      <c r="G545" s="5" t="e">
        <f ca="1">IF(OR(INDEX($AI$2:$AI$1001,MATCH(ROWS($AH$2:AH545),$AH$2:$AH$1001,0),1)&gt;=100000,INDEX($AO$1005:$BQ$1005,1,MATCH(COLUMNS($AO$1006:AT1006),$AO$1006:$BQ$1006,0))&gt;=100000), " ",IF(INDEX($AO$2:$BQ$1001,MATCH(ROWS($AH$2:AH545),$AH$2:$AH$1001,0),MATCH(COLUMNS($AO$1006:AT1006),$AO$1006:$BQ$1006,0)), HYPERLINK("#",""), HYPERLINK(CONCATENATE("#Metadata!", ADDRESS(INDEX($AJ$2:$AJ$1001,MATCH(ROWS($AH$2:AH545),$AH$2:$AH$1001,0),0), INDEX($AO$1004:$BQ$1004,1,MATCH(COLUMNS($AO$1006:AT1006),$AO$1006:$BQ$1006,0)))),"Fix")))</f>
        <v>#N/A</v>
      </c>
      <c r="H545" s="5" t="e">
        <f ca="1">IF(OR(INDEX($AI$2:$AI$1001,MATCH(ROWS($AH$2:AH545),$AH$2:$AH$1001,0),1)&gt;=100000,INDEX($AO$1005:$BQ$1005,1,MATCH(COLUMNS($AO$1006:AU1006),$AO$1006:$BQ$1006,0))&gt;=100000), " ",IF(INDEX($AO$2:$BQ$1001,MATCH(ROWS($AH$2:AH545),$AH$2:$AH$1001,0),MATCH(COLUMNS($AO$1006:AU1006),$AO$1006:$BQ$1006,0)), HYPERLINK("#",""), HYPERLINK(CONCATENATE("#Metadata!", ADDRESS(INDEX($AJ$2:$AJ$1001,MATCH(ROWS($AH$2:AH545),$AH$2:$AH$1001,0),0), INDEX($AO$1004:$BQ$1004,1,MATCH(COLUMNS($AO$1006:AU1006),$AO$1006:$BQ$1006,0)))),"Fix")))</f>
        <v>#N/A</v>
      </c>
      <c r="I545" s="5" t="e">
        <f ca="1">IF(OR(INDEX($AI$2:$AI$1001,MATCH(ROWS($AH$2:AH545),$AH$2:$AH$1001,0),1)&gt;=100000,INDEX($AO$1005:$BQ$1005,1,MATCH(COLUMNS($AO$1006:AV1006),$AO$1006:$BQ$1006,0))&gt;=100000), " ",IF(INDEX($AO$2:$BQ$1001,MATCH(ROWS($AH$2:AH545),$AH$2:$AH$1001,0),MATCH(COLUMNS($AO$1006:AV1006),$AO$1006:$BQ$1006,0)), HYPERLINK("#",""), HYPERLINK(CONCATENATE("#Metadata!", ADDRESS(INDEX($AJ$2:$AJ$1001,MATCH(ROWS($AH$2:AH545),$AH$2:$AH$1001,0),0), INDEX($AO$1004:$BQ$1004,1,MATCH(COLUMNS($AO$1006:AV1006),$AO$1006:$BQ$1006,0)))),"Fix")))</f>
        <v>#N/A</v>
      </c>
      <c r="J545" s="5" t="e">
        <f ca="1">IF(OR(INDEX($AI$2:$AI$1001,MATCH(ROWS($AH$2:AH545),$AH$2:$AH$1001,0),1)&gt;=100000,INDEX($AO$1005:$BQ$1005,1,MATCH(COLUMNS($AO$1006:AW1006),$AO$1006:$BQ$1006,0))&gt;=100000), " ",IF(INDEX($AO$2:$BQ$1001,MATCH(ROWS($AH$2:AH545),$AH$2:$AH$1001,0),MATCH(COLUMNS($AO$1006:AW1006),$AO$1006:$BQ$1006,0)), HYPERLINK("#",""), HYPERLINK(CONCATENATE("#Metadata!", ADDRESS(INDEX($AJ$2:$AJ$1001,MATCH(ROWS($AH$2:AH545),$AH$2:$AH$1001,0),0), INDEX($AO$1004:$BQ$1004,1,MATCH(COLUMNS($AO$1006:AW1006),$AO$1006:$BQ$1006,0)))),"Fix")))</f>
        <v>#N/A</v>
      </c>
      <c r="K545" s="5" t="e">
        <f ca="1">IF(OR(INDEX($AI$2:$AI$1001,MATCH(ROWS($AH$2:AH545),$AH$2:$AH$1001,0),1)&gt;=100000,INDEX($AO$1005:$BQ$1005,1,MATCH(COLUMNS($AO$1006:AX1006),$AO$1006:$BQ$1006,0))&gt;=100000), " ",IF(INDEX($AO$2:$BQ$1001,MATCH(ROWS($AH$2:AH545),$AH$2:$AH$1001,0),MATCH(COLUMNS($AO$1006:AX1006),$AO$1006:$BQ$1006,0)), HYPERLINK("#",""), HYPERLINK(CONCATENATE("#Metadata!", ADDRESS(INDEX($AJ$2:$AJ$1001,MATCH(ROWS($AH$2:AH545),$AH$2:$AH$1001,0),0), INDEX($AO$1004:$BQ$1004,1,MATCH(COLUMNS($AO$1006:AX1006),$AO$1006:$BQ$1006,0)))),"Fix")))</f>
        <v>#N/A</v>
      </c>
      <c r="L545" s="5" t="e">
        <f ca="1">IF(OR(INDEX($AI$2:$AI$1001,MATCH(ROWS($AH$2:AH545),$AH$2:$AH$1001,0),1)&gt;=100000,INDEX($AO$1005:$BQ$1005,1,MATCH(COLUMNS($AO$1006:AY1006),$AO$1006:$BQ$1006,0))&gt;=100000), " ",IF(INDEX($AO$2:$BQ$1001,MATCH(ROWS($AH$2:AH545),$AH$2:$AH$1001,0),MATCH(COLUMNS($AO$1006:AY1006),$AO$1006:$BQ$1006,0)), HYPERLINK("#",""), HYPERLINK(CONCATENATE("#Metadata!", ADDRESS(INDEX($AJ$2:$AJ$1001,MATCH(ROWS($AH$2:AH545),$AH$2:$AH$1001,0),0), INDEX($AO$1004:$BQ$1004,1,MATCH(COLUMNS($AO$1006:AY1006),$AO$1006:$BQ$1006,0)))),"Fix")))</f>
        <v>#N/A</v>
      </c>
      <c r="M545" s="5" t="e">
        <f ca="1">IF(OR(INDEX($AI$2:$AI$1001,MATCH(ROWS($AH$2:AH545),$AH$2:$AH$1001,0),1)&gt;=100000,INDEX($AO$1005:$BQ$1005,1,MATCH(COLUMNS($AO$1006:AZ1006),$AO$1006:$BQ$1006,0))&gt;=100000), " ",IF(INDEX($AO$2:$BQ$1001,MATCH(ROWS($AH$2:AH545),$AH$2:$AH$1001,0),MATCH(COLUMNS($AO$1006:AZ1006),$AO$1006:$BQ$1006,0)), HYPERLINK("#",""), HYPERLINK(CONCATENATE("#Metadata!", ADDRESS(INDEX($AJ$2:$AJ$1001,MATCH(ROWS($AH$2:AH545),$AH$2:$AH$1001,0),0), INDEX($AO$1004:$BQ$1004,1,MATCH(COLUMNS($AO$1006:AZ1006),$AO$1006:$BQ$1006,0)))),"Fix")))</f>
        <v>#N/A</v>
      </c>
      <c r="N545" s="5" t="e">
        <f ca="1">IF(OR(INDEX($AI$2:$AI$1001,MATCH(ROWS($AH$2:AH545),$AH$2:$AH$1001,0),1)&gt;=100000,INDEX($AO$1005:$BQ$1005,1,MATCH(COLUMNS($AO$1006:BA1006),$AO$1006:$BQ$1006,0))&gt;=100000), " ",IF(INDEX($AO$2:$BQ$1001,MATCH(ROWS($AH$2:AH545),$AH$2:$AH$1001,0),MATCH(COLUMNS($AO$1006:BA1006),$AO$1006:$BQ$1006,0)), HYPERLINK("#",""), HYPERLINK(CONCATENATE("#Metadata!", ADDRESS(INDEX($AJ$2:$AJ$1001,MATCH(ROWS($AH$2:AH545),$AH$2:$AH$1001,0),0), INDEX($AO$1004:$BQ$1004,1,MATCH(COLUMNS($AO$1006:BA1006),$AO$1006:$BQ$1006,0)))),"Fix")))</f>
        <v>#N/A</v>
      </c>
      <c r="O545" s="5" t="e">
        <f ca="1">IF(OR(INDEX($AI$2:$AI$1001,MATCH(ROWS($AH$2:AH545),$AH$2:$AH$1001,0),1)&gt;=100000,INDEX($AO$1005:$BQ$1005,1,MATCH(COLUMNS($AO$1006:BB1006),$AO$1006:$BQ$1006,0))&gt;=100000), " ",IF(INDEX($AO$2:$BQ$1001,MATCH(ROWS($AH$2:AH545),$AH$2:$AH$1001,0),MATCH(COLUMNS($AO$1006:BB1006),$AO$1006:$BQ$1006,0)), HYPERLINK("#",""), HYPERLINK(CONCATENATE("#Metadata!", ADDRESS(INDEX($AJ$2:$AJ$1001,MATCH(ROWS($AH$2:AH545),$AH$2:$AH$1001,0),0), INDEX($AO$1004:$BQ$1004,1,MATCH(COLUMNS($AO$1006:BB1006),$AO$1006:$BQ$1006,0)))),"Fix")))</f>
        <v>#N/A</v>
      </c>
      <c r="P545" s="5" t="e">
        <f ca="1">IF(OR(INDEX($AI$2:$AI$1001,MATCH(ROWS($AH$2:AH545),$AH$2:$AH$1001,0),1)&gt;=100000,INDEX($AO$1005:$BQ$1005,1,MATCH(COLUMNS($AO$1006:BC1006),$AO$1006:$BQ$1006,0))&gt;=100000), " ",IF(INDEX($AO$2:$BQ$1001,MATCH(ROWS($AH$2:AH545),$AH$2:$AH$1001,0),MATCH(COLUMNS($AO$1006:BC1006),$AO$1006:$BQ$1006,0)), HYPERLINK("#",""), HYPERLINK(CONCATENATE("#Metadata!", ADDRESS(INDEX($AJ$2:$AJ$1001,MATCH(ROWS($AH$2:AH545),$AH$2:$AH$1001,0),0), INDEX($AO$1004:$BQ$1004,1,MATCH(COLUMNS($AO$1006:BC1006),$AO$1006:$BQ$1006,0)))),"Fix")))</f>
        <v>#N/A</v>
      </c>
      <c r="Q545" s="5" t="e">
        <f ca="1">IF(OR(INDEX($AI$2:$AI$1001,MATCH(ROWS($AH$2:AH545),$AH$2:$AH$1001,0),1)&gt;=100000,INDEX($AO$1005:$BQ$1005,1,MATCH(COLUMNS($AO$1006:BD1006),$AO$1006:$BQ$1006,0))&gt;=100000), " ",IF(INDEX($AO$2:$BQ$1001,MATCH(ROWS($AH$2:AH545),$AH$2:$AH$1001,0),MATCH(COLUMNS($AO$1006:BD1006),$AO$1006:$BQ$1006,0)), HYPERLINK("#",""), HYPERLINK(CONCATENATE("#Metadata!", ADDRESS(INDEX($AJ$2:$AJ$1001,MATCH(ROWS($AH$2:AH545),$AH$2:$AH$1001,0),0), INDEX($AO$1004:$BQ$1004,1,MATCH(COLUMNS($AO$1006:BD1006),$AO$1006:$BQ$1006,0)))),"Fix")))</f>
        <v>#N/A</v>
      </c>
      <c r="R545" s="5" t="e">
        <f ca="1">IF(OR(INDEX($AI$2:$AI$1001,MATCH(ROWS($AH$2:AH545),$AH$2:$AH$1001,0),1)&gt;=100000,INDEX($AO$1005:$BQ$1005,1,MATCH(COLUMNS($AO$1006:BE1006),$AO$1006:$BQ$1006,0))&gt;=100000), " ",IF(INDEX($AO$2:$BQ$1001,MATCH(ROWS($AH$2:AH545),$AH$2:$AH$1001,0),MATCH(COLUMNS($AO$1006:BE1006),$AO$1006:$BQ$1006,0)), HYPERLINK("#",""), HYPERLINK(CONCATENATE("#Metadata!", ADDRESS(INDEX($AJ$2:$AJ$1001,MATCH(ROWS($AH$2:AH545),$AH$2:$AH$1001,0),0), INDEX($AO$1004:$BQ$1004,1,MATCH(COLUMNS($AO$1006:BE1006),$AO$1006:$BQ$1006,0)))),"Fix")))</f>
        <v>#N/A</v>
      </c>
      <c r="S545" s="5" t="e">
        <f ca="1">IF(OR(INDEX($AI$2:$AI$1001,MATCH(ROWS($AH$2:AH545),$AH$2:$AH$1001,0),1)&gt;=100000,INDEX($AO$1005:$BQ$1005,1,MATCH(COLUMNS($AO$1006:BF1006),$AO$1006:$BQ$1006,0))&gt;=100000), " ",IF(INDEX($AO$2:$BQ$1001,MATCH(ROWS($AH$2:AH545),$AH$2:$AH$1001,0),MATCH(COLUMNS($AO$1006:BF1006),$AO$1006:$BQ$1006,0)), HYPERLINK("#",""), HYPERLINK(CONCATENATE("#Metadata!", ADDRESS(INDEX($AJ$2:$AJ$1001,MATCH(ROWS($AH$2:AH545),$AH$2:$AH$1001,0),0), INDEX($AO$1004:$BQ$1004,1,MATCH(COLUMNS($AO$1006:BF1006),$AO$1006:$BQ$1006,0)))),"Fix")))</f>
        <v>#N/A</v>
      </c>
      <c r="T545" s="5" t="e">
        <f ca="1">IF(OR(INDEX($AI$2:$AI$1001,MATCH(ROWS($AH$2:AH545),$AH$2:$AH$1001,0),1)&gt;=100000,INDEX($AO$1005:$BQ$1005,1,MATCH(COLUMNS($AO$1006:BG1006),$AO$1006:$BQ$1006,0))&gt;=100000), " ",IF(INDEX($AO$2:$BQ$1001,MATCH(ROWS($AH$2:AH545),$AH$2:$AH$1001,0),MATCH(COLUMNS($AO$1006:BG1006),$AO$1006:$BQ$1006,0)), HYPERLINK("#",""), HYPERLINK(CONCATENATE("#Metadata!", ADDRESS(INDEX($AJ$2:$AJ$1001,MATCH(ROWS($AH$2:AH545),$AH$2:$AH$1001,0),0), INDEX($AO$1004:$BQ$1004,1,MATCH(COLUMNS($AO$1006:BG1006),$AO$1006:$BQ$1006,0)))),"Fix")))</f>
        <v>#N/A</v>
      </c>
      <c r="U545" s="5" t="e">
        <f ca="1">IF(OR(INDEX($AI$2:$AI$1001,MATCH(ROWS($AH$2:AH545),$AH$2:$AH$1001,0),1)&gt;=100000,INDEX($AO$1005:$BQ$1005,1,MATCH(COLUMNS($AO$1006:BH1006),$AO$1006:$BQ$1006,0))&gt;=100000), " ",IF(INDEX($AO$2:$BQ$1001,MATCH(ROWS($AH$2:AH545),$AH$2:$AH$1001,0),MATCH(COLUMNS($AO$1006:BH1006),$AO$1006:$BQ$1006,0)), HYPERLINK("#",""), HYPERLINK(CONCATENATE("#Metadata!", ADDRESS(INDEX($AJ$2:$AJ$1001,MATCH(ROWS($AH$2:AH545),$AH$2:$AH$1001,0),0), INDEX($AO$1004:$BQ$1004,1,MATCH(COLUMNS($AO$1006:BH1006),$AO$1006:$BQ$1006,0)))),"Fix")))</f>
        <v>#N/A</v>
      </c>
      <c r="V545" s="5" t="e">
        <f ca="1">IF(OR(INDEX($AI$2:$AI$1001,MATCH(ROWS($AH$2:AH545),$AH$2:$AH$1001,0),1)&gt;=100000,INDEX($AO$1005:$BQ$1005,1,MATCH(COLUMNS($AO$1006:BI1006),$AO$1006:$BQ$1006,0))&gt;=100000), " ",IF(INDEX($AO$2:$BQ$1001,MATCH(ROWS($AH$2:AH545),$AH$2:$AH$1001,0),MATCH(COLUMNS($AO$1006:BI1006),$AO$1006:$BQ$1006,0)), HYPERLINK("#",""), HYPERLINK(CONCATENATE("#Metadata!", ADDRESS(INDEX($AJ$2:$AJ$1001,MATCH(ROWS($AH$2:AH545),$AH$2:$AH$1001,0),0), INDEX($AO$1004:$BQ$1004,1,MATCH(COLUMNS($AO$1006:BI1006),$AO$1006:$BQ$1006,0)))),"Fix")))</f>
        <v>#N/A</v>
      </c>
      <c r="W545" s="5" t="e">
        <f ca="1">IF(OR(INDEX($AI$2:$AI$1001,MATCH(ROWS($AH$2:AH545),$AH$2:$AH$1001,0),1)&gt;=100000,INDEX($AO$1005:$BQ$1005,1,MATCH(COLUMNS($AO$1006:BJ1006),$AO$1006:$BQ$1006,0))&gt;=100000), " ",IF(INDEX($AO$2:$BQ$1001,MATCH(ROWS($AH$2:AH545),$AH$2:$AH$1001,0),MATCH(COLUMNS($AO$1006:BJ1006),$AO$1006:$BQ$1006,0)), HYPERLINK("#",""), HYPERLINK(CONCATENATE("#Metadata!", ADDRESS(INDEX($AJ$2:$AJ$1001,MATCH(ROWS($AH$2:AH545),$AH$2:$AH$1001,0),0), INDEX($AO$1004:$BQ$1004,1,MATCH(COLUMNS($AO$1006:BJ1006),$AO$1006:$BQ$1006,0)))),"Fix")))</f>
        <v>#N/A</v>
      </c>
      <c r="X545" s="5" t="e">
        <f ca="1">IF(OR(INDEX($AI$2:$AI$1001,MATCH(ROWS($AH$2:AH545),$AH$2:$AH$1001,0),1)&gt;=100000,INDEX($AO$1005:$BQ$1005,1,MATCH(COLUMNS($AO$1006:BK1006),$AO$1006:$BQ$1006,0))&gt;=100000), " ",IF(INDEX($AO$2:$BQ$1001,MATCH(ROWS($AH$2:AH545),$AH$2:$AH$1001,0),MATCH(COLUMNS($AO$1006:BK1006),$AO$1006:$BQ$1006,0)), HYPERLINK("#",""), HYPERLINK(CONCATENATE("#Metadata!", ADDRESS(INDEX($AJ$2:$AJ$1001,MATCH(ROWS($AH$2:AH545),$AH$2:$AH$1001,0),0), INDEX($AO$1004:$BQ$1004,1,MATCH(COLUMNS($AO$1006:BK1006),$AO$1006:$BQ$1006,0)))),"Fix")))</f>
        <v>#N/A</v>
      </c>
      <c r="Y545" s="5" t="e">
        <f ca="1">IF(OR(INDEX($AI$2:$AI$1001,MATCH(ROWS($AH$2:AH545),$AH$2:$AH$1001,0),1)&gt;=100000,INDEX($AO$1005:$BQ$1005,1,MATCH(COLUMNS($AO$1006:BL1006),$AO$1006:$BQ$1006,0))&gt;=100000), " ",IF(INDEX($AO$2:$BQ$1001,MATCH(ROWS($AH$2:AH545),$AH$2:$AH$1001,0),MATCH(COLUMNS($AO$1006:BL1006),$AO$1006:$BQ$1006,0)), HYPERLINK("#",""), HYPERLINK(CONCATENATE("#Metadata!", ADDRESS(INDEX($AJ$2:$AJ$1001,MATCH(ROWS($AH$2:AH545),$AH$2:$AH$1001,0),0), INDEX($AO$1004:$BQ$1004,1,MATCH(COLUMNS($AO$1006:BL1006),$AO$1006:$BQ$1006,0)))),"Fix")))</f>
        <v>#N/A</v>
      </c>
      <c r="Z545" s="5" t="e">
        <f ca="1">IF(OR(INDEX($AI$2:$AI$1001,MATCH(ROWS($AH$2:AH545),$AH$2:$AH$1001,0),1)&gt;=100000,INDEX($AO$1005:$BQ$1005,1,MATCH(COLUMNS($AO$1006:BM1006),$AO$1006:$BQ$1006,0))&gt;=100000), " ",IF(INDEX($AO$2:$BQ$1001,MATCH(ROWS($AH$2:AH545),$AH$2:$AH$1001,0),MATCH(COLUMNS($AO$1006:BM1006),$AO$1006:$BQ$1006,0)), HYPERLINK("#",""), HYPERLINK(CONCATENATE("#Metadata!", ADDRESS(INDEX($AJ$2:$AJ$1001,MATCH(ROWS($AH$2:AH545),$AH$2:$AH$1001,0),0), INDEX($AO$1004:$BQ$1004,1,MATCH(COLUMNS($AO$1006:BM1006),$AO$1006:$BQ$1006,0)))),"Fix")))</f>
        <v>#N/A</v>
      </c>
      <c r="AA545" s="5" t="e">
        <f ca="1">IF(OR(INDEX($AI$2:$AI$1001,MATCH(ROWS($AH$2:AH545),$AH$2:$AH$1001,0),1)&gt;=100000,INDEX($AO$1005:$BQ$1005,1,MATCH(COLUMNS($AO$1006:BN1006),$AO$1006:$BQ$1006,0))&gt;=100000), " ",IF(INDEX($AO$2:$BQ$1001,MATCH(ROWS($AH$2:AH545),$AH$2:$AH$1001,0),MATCH(COLUMNS($AO$1006:BN1006),$AO$1006:$BQ$1006,0)), HYPERLINK("#",""), HYPERLINK(CONCATENATE("#Metadata!", ADDRESS(INDEX($AJ$2:$AJ$1001,MATCH(ROWS($AH$2:AH545),$AH$2:$AH$1001,0),0), INDEX($AO$1004:$BQ$1004,1,MATCH(COLUMNS($AO$1006:BN1006),$AO$1006:$BQ$1006,0)))),"Fix")))</f>
        <v>#N/A</v>
      </c>
      <c r="AB545" s="5" t="e">
        <f ca="1">IF(OR(INDEX($AI$2:$AI$1001,MATCH(ROWS($AH$2:AH545),$AH$2:$AH$1001,0),1)&gt;=100000,INDEX($AO$1005:$BQ$1005,1,MATCH(COLUMNS($AO$1006:BO1006),$AO$1006:$BQ$1006,0))&gt;=100000), " ",IF(INDEX($AO$2:$BQ$1001,MATCH(ROWS($AH$2:AH545),$AH$2:$AH$1001,0),MATCH(COLUMNS($AO$1006:BO1006),$AO$1006:$BQ$1006,0)), HYPERLINK("#",""), HYPERLINK(CONCATENATE("#Metadata!", ADDRESS(INDEX($AJ$2:$AJ$1001,MATCH(ROWS($AH$2:AH545),$AH$2:$AH$1001,0),0), INDEX($AO$1004:$BQ$1004,1,MATCH(COLUMNS($AO$1006:BO1006),$AO$1006:$BQ$1006,0)))),"Fix")))</f>
        <v>#N/A</v>
      </c>
      <c r="AC545" s="5" t="e">
        <f ca="1">IF(OR(INDEX($AI$2:$AI$1001,MATCH(ROWS($AH$2:AH545),$AH$2:$AH$1001,0),1)&gt;=100000,INDEX($AO$1005:$BQ$1005,1,MATCH(COLUMNS($AO$1006:BP1006),$AO$1006:$BQ$1006,0))&gt;=100000), " ",IF(INDEX($AO$2:$BQ$1001,MATCH(ROWS($AH$2:AH545),$AH$2:$AH$1001,0),MATCH(COLUMNS($AO$1006:BP1006),$AO$1006:$BQ$1006,0)), HYPERLINK("#",""), HYPERLINK(CONCATENATE("#Metadata!", ADDRESS(INDEX($AJ$2:$AJ$1001,MATCH(ROWS($AH$2:AH545),$AH$2:$AH$1001,0),0), INDEX($AO$1004:$BQ$1004,1,MATCH(COLUMNS($AO$1006:BP1006),$AO$1006:$BQ$1006,0)))),"Fix")))</f>
        <v>#N/A</v>
      </c>
      <c r="AD545" s="5" t="e">
        <f ca="1">IF(OR(INDEX($AI$2:$AI$1001,MATCH(ROWS($AH$2:AH545),$AH$2:$AH$1001,0),1)&gt;=100000,INDEX($AO$1005:$BQ$1005,1,MATCH(COLUMNS($AO$1006:BQ1006),$AO$1006:$BQ$1006,0))&gt;=100000), " ",IF(INDEX($AO$2:$BQ$1001,MATCH(ROWS($AH$2:AH545),$AH$2:$AH$1001,0),MATCH(COLUMNS($AO$1006:BQ1006),$AO$1006:$BQ$1006,0)), HYPERLINK("#",""), HYPERLINK(CONCATENATE("#Metadata!", ADDRESS(INDEX($AJ$2:$AJ$1001,MATCH(ROWS($AH$2:AH545),$AH$2:$AH$1001,0),0), INDEX($AO$1004:$BQ$1004,1,MATCH(COLUMNS($AO$1006:BQ1006),$AO$1006:$BQ$1006,0)))),"Fix")))</f>
        <v>#REF!</v>
      </c>
      <c r="AH545">
        <f ca="1"/>
        <v>542</v>
      </c>
      <c r="AI545">
        <v>100545</v>
      </c>
      <c r="AJ545">
        <v>545</v>
      </c>
      <c r="AK545" t="b">
        <f t="shared" si="8"/>
        <v>1</v>
      </c>
      <c r="AL545" t="b">
        <f>COUNTBLANK(Metadata!B545:AD545)=COLUMNS(Metadata!B545:AD545)</f>
        <v>1</v>
      </c>
      <c r="AM545" t="str">
        <v/>
      </c>
      <c r="AO545" t="b">
        <f ca="1">AND(IF(Metadata!B545="",FALSE,TRUE),COUNTIF(Metadata!B:B, Metadata!B545) = 1,NOT(ISERROR(SUMPRODUCT(SEARCH(MID(Metadata!B545,ROW(INDIRECT("1:"&amp;LEN(Metadata!B545))), 1),"0123456789abcdefghijklmnopqrstuvwxyzABCDEFGHIJKLMNOPQRSTUVWXYZ.")))))</f>
        <v>0</v>
      </c>
      <c r="AP545" t="b">
        <f>IF(Metadata!C545="",FALSE,TRUE)</f>
        <v>0</v>
      </c>
      <c r="AQ545" t="b">
        <f>IF(Metadata!D545="",FALSE,TRUE)</f>
        <v>0</v>
      </c>
      <c r="AR545" t="b">
        <f ca="1">OR(AND(IF(Metadata!E545="",FALSE,TRUE),OR(EXACT(Metadata!E545,"not collected"),EXACT(Metadata!E545,"not provided"),EXACT(Metadata!E545,"restricted access"))),AND(IF(Metadata!E545="",FALSE,TRUE),AND(AND(IFERROR(INT(LEFT(Metadata!E545,4))&gt;1900,FALSE),IFERROR(INT(LEFT(Metadata!E545,4))&lt;=YEAR(NOW()),FALSE)), OR(MID(Metadata!E545,5,1)="", AND(AND(MID(Metadata!E545,5,1)="-",IFERROR(INT(MID(Metadata!E545,6,1))&gt;=0,FALSE),IFERROR(INT(MID(Metadata!E545,6,1))&lt;=1,FALSE),NOT(MID(Metadata!E545,7,1)=""),IFERROR(INT(MID(Metadata!E545,6,2))&gt;=1,FALSE),IFERROR(INT(MID(Metadata!E545,6,2))&lt;=12,FALSE)), OR(MID(Metadata!E545,8,1)="", AND(AND(MID(Metadata!E545,8,1)="-",IFERROR(INT(MID(Metadata!E545,9,1))&gt;=0,FALSE),IFERROR(INT(MID(Metadata!E545,9,1))&lt;=3,FALSE),NOT(MID(Metadata!E545,10,1)=""),IFERROR(INT(MID(Metadata!E545,9,2))&gt;=1,FALSE),IFERROR(INT(MID(Metadata!E545,9,2))&lt;=31,FALSE)), OR(MID(Metadata!E545,11,1)="", AND(AND(MID(Metadata!E545,11,1)=" ",IFERROR(INT(MID(Metadata!E545,12,1))&gt;=0,FALSE),IFERROR(INT(MID(Metadata!E545,12,1))&lt;=2,FALSE),NOT(MID(Metadata!E545,13,1)=""),IFERROR(INT(MID(Metadata!E545,12,2))&gt;=0,FALSE),IFERROR(INT(MID(Metadata!E545,12,2))&lt;=23,FALSE)), OR(MID(Metadata!E545,14,1)="", AND(AND(MID(Metadata!E545,14,1)=":",IFERROR(INT(MID(Metadata!E545,15,1))&gt;=0,FALSE),IFERROR(INT(MID(Metadata!E545,15,1))&lt;=5,FALSE),NOT(MID(Metadata!E545,16,1)=""),IFERROR(INT(MID(Metadata!E545,15,2))&gt;=0,FALSE),IFERROR(INT(MID(Metadata!E545,15,2))&lt;=59,FALSE)), OR(MID(Metadata!E545,17,1)="", AND(AND(MID(Metadata!E545,17,1)=":",IFERROR(INT(MID(Metadata!E545,18,1))&gt;=0,FALSE),IFERROR(INT(MID(Metadata!E545,18,1))&lt;=5,FALSE),NOT(MID(Metadata!E545,19,1)=""),IFERROR(INT(MID(Metadata!E545,18,2))&gt;=0,FALSE),IFERROR(INT(MID(Metadata!E545,18,2))&lt;=59,FALSE)), LEN(Metadata!E545)&lt;=19)))))))))))))</f>
        <v>0</v>
      </c>
      <c r="AS545" t="b">
        <f>IF(Metadata!F545="",FALSE,TRUE)</f>
        <v>0</v>
      </c>
      <c r="AT545" t="b">
        <f>OR(AND(IF(Metadata!G545="",FALSE,TRUE),OR(EXACT(Metadata!G545,"not collected"),EXACT(Metadata!G545,"not provided"))),AND(IF(Metadata!G545="",FALSE,TRUE),OR(EXACT(Metadata!G545,"TRUE"),EXACT(Metadata!G545,"FALSE"))))</f>
        <v>0</v>
      </c>
      <c r="AU545" t="b">
        <f>OR(AND(IF(Metadata!H545="",FALSE,TRUE),OR(EXACT(Metadata!H545,"not collected"),EXACT(Metadata!H545,"not provided"),EXACT(Metadata!H545,"restricted access"))),AND(IF(Metadata!H545="",FALSE,ISNUMBER(VALUE(Metadata!H545))),Metadata!H545&gt;=-413))</f>
        <v>0</v>
      </c>
      <c r="AV545" t="b">
        <f>AND(IF(Metadata!I545="",FALSE,TRUE),EXACT(Metadata!I545,"meters"))</f>
        <v>0</v>
      </c>
      <c r="AW545" t="b">
        <f>AND(IF(Metadata!J545="",FALSE,TRUE),EXACT(Metadata!J545,"free-living"))</f>
        <v>0</v>
      </c>
      <c r="AX545" t="b">
        <f>AND(IF(Metadata!K545="",FALSE,TRUE),OR(EXACT(Metadata!K545,"saline"),EXACT(Metadata!K545,"non-saline")))</f>
        <v>0</v>
      </c>
      <c r="AY545" t="b">
        <f>AND(IF(Metadata!L545="",FALSE,TRUE),OR(EXACT(Metadata!L545,"sub-surface (non-saline)"),EXACT(Metadata!L545,"surface (non-saline)"),EXACT(Metadata!L545,"water (non-saline)"),EXACT(Metadata!L545,"soil (non-saline)"),EXACT(Metadata!L545,"aerosol (non-saline)"),EXACT(Metadata!L545,"sediment (non-saline)"),EXACT(Metadata!L545,"surface (saline)"),EXACT(Metadata!L545,"water (saline)"),EXACT(Metadata!L545,"hypersaline (saline)"),EXACT(Metadata!L545,"aerosol (saline)"),EXACT(Metadata!L545,"sediment (saline)")))</f>
        <v>0</v>
      </c>
      <c r="AZ545" t="b">
        <f>IF(Metadata!M545="",FALSE,TRUE)</f>
        <v>0</v>
      </c>
      <c r="BA545" t="b">
        <f>IF(Metadata!N545="",FALSE,TRUE)</f>
        <v>0</v>
      </c>
      <c r="BB545" t="b">
        <f>IF(Metadata!O545="",FALSE,TRUE)</f>
        <v>0</v>
      </c>
      <c r="BC545" t="b">
        <f>AND(IF(Metadata!P545="",FALSE,TRUE),OR(EXACT(Metadata!P545,"air"),EXACT(Metadata!P545,"microbial mat/biofilm"),EXACT(Metadata!P545,"misc environment"),EXACT(Metadata!P545,"sediment"),EXACT(Metadata!P545,"soil"),EXACT(Metadata!P545,"wastewater/sludge"),EXACT(Metadata!P545,"water")))</f>
        <v>0</v>
      </c>
      <c r="BD545" t="b">
        <f>IF(Metadata!Q545="",FALSE,TRUE)</f>
        <v>0</v>
      </c>
      <c r="BE545" t="b">
        <f>IF(Metadata!R545="",FALSE,TRUE)</f>
        <v>0</v>
      </c>
      <c r="BF545" t="b">
        <f>OR(AND(IF(Metadata!S545="",FALSE,TRUE),OR(EXACT(Metadata!S545,"not collected"),EXACT(Metadata!S545,"not provided"),EXACT(Metadata!S545,"restricted access"))),AND(IF(Metadata!S545="",FALSE,ISNUMBER(VALUE(Metadata!S545))),Metadata!S545&gt;=-90,Metadata!S545&lt;=90))</f>
        <v>0</v>
      </c>
      <c r="BG545" t="b">
        <f>AND(IF(Metadata!T545="",FALSE,TRUE),EXACT(Metadata!T545,"Decimal degrees"))</f>
        <v>0</v>
      </c>
      <c r="BH545" t="b">
        <f>OR(AND(IF(Metadata!U545="",FALSE,TRUE),OR(EXACT(Metadata!U545,"not applicable"),EXACT(Metadata!U545,"not collected"))),IF(Metadata!U545="",FALSE,TRUE))</f>
        <v>0</v>
      </c>
      <c r="BI545" t="b">
        <f>OR(AND(IF(Metadata!V545="",FALSE,TRUE),OR(EXACT(Metadata!V545,"not collected"),EXACT(Metadata!V545,"not provided"),EXACT(Metadata!V545,"restricted access"))),AND(IF(Metadata!V545="",FALSE,ISNUMBER(VALUE(Metadata!V545))),Metadata!V545&gt;=-180,Metadata!V545&lt;=180))</f>
        <v>0</v>
      </c>
      <c r="BJ545" t="b">
        <f>AND(IF(Metadata!W545="",FALSE,TRUE),EXACT(Metadata!W545,"Decimal degrees"))</f>
        <v>0</v>
      </c>
      <c r="BK545" t="b">
        <f>IF(Metadata!X545="",FALSE,TRUE)</f>
        <v>0</v>
      </c>
      <c r="BL545" t="b">
        <f>OR(AND(IF(Metadata!Y545="",FALSE,TRUE),OR(EXACT(Metadata!Y545,"not collected"),EXACT(Metadata!Y545,"not provided"),EXACT(Metadata!Y545,"restricted access"))),AND(IF(Metadata!Y545="",FALSE,TRUE),OR(EXACT(Metadata!Y545,"TRUE"),EXACT(Metadata!Y545,"FALSE"))))</f>
        <v>0</v>
      </c>
      <c r="BM545" t="b">
        <f>OR(AND(IF(Metadata!Z545="",FALSE,TRUE),EXACT(Metadata!Z545,"not applicable")),AND(IF(Metadata!Z545="",FALSE,TRUE),OR(EXACT(Metadata!Z545,"beer"),EXACT(Metadata!Z545,"cheese"),EXACT(Metadata!Z545,"fresh water"),EXACT(Metadata!Z545,"marine sediment"),EXACT(Metadata!Z545,"sea water"),EXACT(Metadata!Z545,"sediment"),EXACT(Metadata!Z545,"soil"),EXACT(Metadata!Z545,"waste water"))))</f>
        <v>0</v>
      </c>
      <c r="BN545" t="b">
        <f>AND(IF(Metadata!AA545="",FALSE,TRUE),EXACT(Metadata!AA545,"metagenome"))</f>
        <v>0</v>
      </c>
      <c r="BO545" t="b">
        <f>AND(IF(Metadata!AB545="",FALSE,TRUE),EXACT(Metadata!AB545,"256318"))</f>
        <v>0</v>
      </c>
      <c r="BP545" t="b">
        <f>IF(Metadata!AC545="",FALSE,TRUE)</f>
        <v>0</v>
      </c>
      <c r="BQ545" t="b">
        <f>IF(Metadata!AD545="",FALSE,TRUE)</f>
        <v>0</v>
      </c>
    </row>
    <row r="546" spans="1:69" x14ac:dyDescent="0.2">
      <c r="A546" s="4" t="e">
        <f ca="1">IF(B546=" "," ",HYPERLINK(CONCATENATE("#metadata!",ADDRESS(INDEX($AJ$2:$AJ$1001,MATCH(ROWS($AH$2:AH546),$AH$2:$AH$1001,0),0),2)),INDEX($AM$2:$AM$1001,MATCH(ROWS($AH$2:AH546),$AH$2:$AH$1001,0),0)))</f>
        <v>#N/A</v>
      </c>
      <c r="B546" s="5" t="e">
        <f ca="1">IF(OR(INDEX($AI$2:$AI$1001,MATCH(ROWS($AH$2:AH546),$AH$2:$AH$1001,0),1)&gt;=100000,INDEX($AO$1005:$BQ$1005,1,MATCH(COLUMNS($AO$1006:AO1006),$AO$1006:$BQ$1006,0))&gt;=100000), " ",IF(INDEX($AO$2:$BQ$1001,MATCH(ROWS($AH$2:AH546),$AH$2:$AH$1001,0),MATCH(COLUMNS($AO$1006:AO1006),$AO$1006:$BQ$1006,0)), HYPERLINK("#",""), HYPERLINK(CONCATENATE("#Metadata!", ADDRESS(INDEX($AJ$2:$AJ$1001,MATCH(ROWS($AH$2:AH546),$AH$2:$AH$1001,0),0), INDEX($AO$1004:$BQ$1004,1,MATCH(COLUMNS($AO$1006:AO1006),$AO$1006:$BQ$1006,0)))),"Fix")))</f>
        <v>#N/A</v>
      </c>
      <c r="C546" s="5" t="e">
        <f ca="1">IF(OR(INDEX($AI$2:$AI$1001,MATCH(ROWS($AH$2:AH546),$AH$2:$AH$1001,0),1)&gt;=100000,INDEX($AO$1005:$BQ$1005,1,MATCH(COLUMNS($AO$1006:AP1006),$AO$1006:$BQ$1006,0))&gt;=100000), " ",IF(INDEX($AO$2:$BQ$1001,MATCH(ROWS($AH$2:AH546),$AH$2:$AH$1001,0),MATCH(COLUMNS($AO$1006:AP1006),$AO$1006:$BQ$1006,0)), HYPERLINK("#",""), HYPERLINK(CONCATENATE("#Metadata!", ADDRESS(INDEX($AJ$2:$AJ$1001,MATCH(ROWS($AH$2:AH546),$AH$2:$AH$1001,0),0), INDEX($AO$1004:$BQ$1004,1,MATCH(COLUMNS($AO$1006:AP1006),$AO$1006:$BQ$1006,0)))),"Fix")))</f>
        <v>#N/A</v>
      </c>
      <c r="D546" s="5" t="e">
        <f ca="1">IF(OR(INDEX($AI$2:$AI$1001,MATCH(ROWS($AH$2:AH546),$AH$2:$AH$1001,0),1)&gt;=100000,INDEX($AO$1005:$BQ$1005,1,MATCH(COLUMNS($AO$1006:AQ1006),$AO$1006:$BQ$1006,0))&gt;=100000), " ",IF(INDEX($AO$2:$BQ$1001,MATCH(ROWS($AH$2:AH546),$AH$2:$AH$1001,0),MATCH(COLUMNS($AO$1006:AQ1006),$AO$1006:$BQ$1006,0)), HYPERLINK("#",""), HYPERLINK(CONCATENATE("#Metadata!", ADDRESS(INDEX($AJ$2:$AJ$1001,MATCH(ROWS($AH$2:AH546),$AH$2:$AH$1001,0),0), INDEX($AO$1004:$BQ$1004,1,MATCH(COLUMNS($AO$1006:AQ1006),$AO$1006:$BQ$1006,0)))),"Fix")))</f>
        <v>#N/A</v>
      </c>
      <c r="E546" s="5" t="e">
        <f ca="1">IF(OR(INDEX($AI$2:$AI$1001,MATCH(ROWS($AH$2:AH546),$AH$2:$AH$1001,0),1)&gt;=100000,INDEX($AO$1005:$BQ$1005,1,MATCH(COLUMNS($AO$1006:AR1006),$AO$1006:$BQ$1006,0))&gt;=100000), " ",IF(INDEX($AO$2:$BQ$1001,MATCH(ROWS($AH$2:AH546),$AH$2:$AH$1001,0),MATCH(COLUMNS($AO$1006:AR1006),$AO$1006:$BQ$1006,0)), HYPERLINK("#",""), HYPERLINK(CONCATENATE("#Metadata!", ADDRESS(INDEX($AJ$2:$AJ$1001,MATCH(ROWS($AH$2:AH546),$AH$2:$AH$1001,0),0), INDEX($AO$1004:$BQ$1004,1,MATCH(COLUMNS($AO$1006:AR1006),$AO$1006:$BQ$1006,0)))),"Fix")))</f>
        <v>#N/A</v>
      </c>
      <c r="F546" s="5" t="e">
        <f ca="1">IF(OR(INDEX($AI$2:$AI$1001,MATCH(ROWS($AH$2:AH546),$AH$2:$AH$1001,0),1)&gt;=100000,INDEX($AO$1005:$BQ$1005,1,MATCH(COLUMNS($AO$1006:AS1006),$AO$1006:$BQ$1006,0))&gt;=100000), " ",IF(INDEX($AO$2:$BQ$1001,MATCH(ROWS($AH$2:AH546),$AH$2:$AH$1001,0),MATCH(COLUMNS($AO$1006:AS1006),$AO$1006:$BQ$1006,0)), HYPERLINK("#",""), HYPERLINK(CONCATENATE("#Metadata!", ADDRESS(INDEX($AJ$2:$AJ$1001,MATCH(ROWS($AH$2:AH546),$AH$2:$AH$1001,0),0), INDEX($AO$1004:$BQ$1004,1,MATCH(COLUMNS($AO$1006:AS1006),$AO$1006:$BQ$1006,0)))),"Fix")))</f>
        <v>#N/A</v>
      </c>
      <c r="G546" s="5" t="e">
        <f ca="1">IF(OR(INDEX($AI$2:$AI$1001,MATCH(ROWS($AH$2:AH546),$AH$2:$AH$1001,0),1)&gt;=100000,INDEX($AO$1005:$BQ$1005,1,MATCH(COLUMNS($AO$1006:AT1006),$AO$1006:$BQ$1006,0))&gt;=100000), " ",IF(INDEX($AO$2:$BQ$1001,MATCH(ROWS($AH$2:AH546),$AH$2:$AH$1001,0),MATCH(COLUMNS($AO$1006:AT1006),$AO$1006:$BQ$1006,0)), HYPERLINK("#",""), HYPERLINK(CONCATENATE("#Metadata!", ADDRESS(INDEX($AJ$2:$AJ$1001,MATCH(ROWS($AH$2:AH546),$AH$2:$AH$1001,0),0), INDEX($AO$1004:$BQ$1004,1,MATCH(COLUMNS($AO$1006:AT1006),$AO$1006:$BQ$1006,0)))),"Fix")))</f>
        <v>#N/A</v>
      </c>
      <c r="H546" s="5" t="e">
        <f ca="1">IF(OR(INDEX($AI$2:$AI$1001,MATCH(ROWS($AH$2:AH546),$AH$2:$AH$1001,0),1)&gt;=100000,INDEX($AO$1005:$BQ$1005,1,MATCH(COLUMNS($AO$1006:AU1006),$AO$1006:$BQ$1006,0))&gt;=100000), " ",IF(INDEX($AO$2:$BQ$1001,MATCH(ROWS($AH$2:AH546),$AH$2:$AH$1001,0),MATCH(COLUMNS($AO$1006:AU1006),$AO$1006:$BQ$1006,0)), HYPERLINK("#",""), HYPERLINK(CONCATENATE("#Metadata!", ADDRESS(INDEX($AJ$2:$AJ$1001,MATCH(ROWS($AH$2:AH546),$AH$2:$AH$1001,0),0), INDEX($AO$1004:$BQ$1004,1,MATCH(COLUMNS($AO$1006:AU1006),$AO$1006:$BQ$1006,0)))),"Fix")))</f>
        <v>#N/A</v>
      </c>
      <c r="I546" s="5" t="e">
        <f ca="1">IF(OR(INDEX($AI$2:$AI$1001,MATCH(ROWS($AH$2:AH546),$AH$2:$AH$1001,0),1)&gt;=100000,INDEX($AO$1005:$BQ$1005,1,MATCH(COLUMNS($AO$1006:AV1006),$AO$1006:$BQ$1006,0))&gt;=100000), " ",IF(INDEX($AO$2:$BQ$1001,MATCH(ROWS($AH$2:AH546),$AH$2:$AH$1001,0),MATCH(COLUMNS($AO$1006:AV1006),$AO$1006:$BQ$1006,0)), HYPERLINK("#",""), HYPERLINK(CONCATENATE("#Metadata!", ADDRESS(INDEX($AJ$2:$AJ$1001,MATCH(ROWS($AH$2:AH546),$AH$2:$AH$1001,0),0), INDEX($AO$1004:$BQ$1004,1,MATCH(COLUMNS($AO$1006:AV1006),$AO$1006:$BQ$1006,0)))),"Fix")))</f>
        <v>#N/A</v>
      </c>
      <c r="J546" s="5" t="e">
        <f ca="1">IF(OR(INDEX($AI$2:$AI$1001,MATCH(ROWS($AH$2:AH546),$AH$2:$AH$1001,0),1)&gt;=100000,INDEX($AO$1005:$BQ$1005,1,MATCH(COLUMNS($AO$1006:AW1006),$AO$1006:$BQ$1006,0))&gt;=100000), " ",IF(INDEX($AO$2:$BQ$1001,MATCH(ROWS($AH$2:AH546),$AH$2:$AH$1001,0),MATCH(COLUMNS($AO$1006:AW1006),$AO$1006:$BQ$1006,0)), HYPERLINK("#",""), HYPERLINK(CONCATENATE("#Metadata!", ADDRESS(INDEX($AJ$2:$AJ$1001,MATCH(ROWS($AH$2:AH546),$AH$2:$AH$1001,0),0), INDEX($AO$1004:$BQ$1004,1,MATCH(COLUMNS($AO$1006:AW1006),$AO$1006:$BQ$1006,0)))),"Fix")))</f>
        <v>#N/A</v>
      </c>
      <c r="K546" s="5" t="e">
        <f ca="1">IF(OR(INDEX($AI$2:$AI$1001,MATCH(ROWS($AH$2:AH546),$AH$2:$AH$1001,0),1)&gt;=100000,INDEX($AO$1005:$BQ$1005,1,MATCH(COLUMNS($AO$1006:AX1006),$AO$1006:$BQ$1006,0))&gt;=100000), " ",IF(INDEX($AO$2:$BQ$1001,MATCH(ROWS($AH$2:AH546),$AH$2:$AH$1001,0),MATCH(COLUMNS($AO$1006:AX1006),$AO$1006:$BQ$1006,0)), HYPERLINK("#",""), HYPERLINK(CONCATENATE("#Metadata!", ADDRESS(INDEX($AJ$2:$AJ$1001,MATCH(ROWS($AH$2:AH546),$AH$2:$AH$1001,0),0), INDEX($AO$1004:$BQ$1004,1,MATCH(COLUMNS($AO$1006:AX1006),$AO$1006:$BQ$1006,0)))),"Fix")))</f>
        <v>#N/A</v>
      </c>
      <c r="L546" s="5" t="e">
        <f ca="1">IF(OR(INDEX($AI$2:$AI$1001,MATCH(ROWS($AH$2:AH546),$AH$2:$AH$1001,0),1)&gt;=100000,INDEX($AO$1005:$BQ$1005,1,MATCH(COLUMNS($AO$1006:AY1006),$AO$1006:$BQ$1006,0))&gt;=100000), " ",IF(INDEX($AO$2:$BQ$1001,MATCH(ROWS($AH$2:AH546),$AH$2:$AH$1001,0),MATCH(COLUMNS($AO$1006:AY1006),$AO$1006:$BQ$1006,0)), HYPERLINK("#",""), HYPERLINK(CONCATENATE("#Metadata!", ADDRESS(INDEX($AJ$2:$AJ$1001,MATCH(ROWS($AH$2:AH546),$AH$2:$AH$1001,0),0), INDEX($AO$1004:$BQ$1004,1,MATCH(COLUMNS($AO$1006:AY1006),$AO$1006:$BQ$1006,0)))),"Fix")))</f>
        <v>#N/A</v>
      </c>
      <c r="M546" s="5" t="e">
        <f ca="1">IF(OR(INDEX($AI$2:$AI$1001,MATCH(ROWS($AH$2:AH546),$AH$2:$AH$1001,0),1)&gt;=100000,INDEX($AO$1005:$BQ$1005,1,MATCH(COLUMNS($AO$1006:AZ1006),$AO$1006:$BQ$1006,0))&gt;=100000), " ",IF(INDEX($AO$2:$BQ$1001,MATCH(ROWS($AH$2:AH546),$AH$2:$AH$1001,0),MATCH(COLUMNS($AO$1006:AZ1006),$AO$1006:$BQ$1006,0)), HYPERLINK("#",""), HYPERLINK(CONCATENATE("#Metadata!", ADDRESS(INDEX($AJ$2:$AJ$1001,MATCH(ROWS($AH$2:AH546),$AH$2:$AH$1001,0),0), INDEX($AO$1004:$BQ$1004,1,MATCH(COLUMNS($AO$1006:AZ1006),$AO$1006:$BQ$1006,0)))),"Fix")))</f>
        <v>#N/A</v>
      </c>
      <c r="N546" s="5" t="e">
        <f ca="1">IF(OR(INDEX($AI$2:$AI$1001,MATCH(ROWS($AH$2:AH546),$AH$2:$AH$1001,0),1)&gt;=100000,INDEX($AO$1005:$BQ$1005,1,MATCH(COLUMNS($AO$1006:BA1006),$AO$1006:$BQ$1006,0))&gt;=100000), " ",IF(INDEX($AO$2:$BQ$1001,MATCH(ROWS($AH$2:AH546),$AH$2:$AH$1001,0),MATCH(COLUMNS($AO$1006:BA1006),$AO$1006:$BQ$1006,0)), HYPERLINK("#",""), HYPERLINK(CONCATENATE("#Metadata!", ADDRESS(INDEX($AJ$2:$AJ$1001,MATCH(ROWS($AH$2:AH546),$AH$2:$AH$1001,0),0), INDEX($AO$1004:$BQ$1004,1,MATCH(COLUMNS($AO$1006:BA1006),$AO$1006:$BQ$1006,0)))),"Fix")))</f>
        <v>#N/A</v>
      </c>
      <c r="O546" s="5" t="e">
        <f ca="1">IF(OR(INDEX($AI$2:$AI$1001,MATCH(ROWS($AH$2:AH546),$AH$2:$AH$1001,0),1)&gt;=100000,INDEX($AO$1005:$BQ$1005,1,MATCH(COLUMNS($AO$1006:BB1006),$AO$1006:$BQ$1006,0))&gt;=100000), " ",IF(INDEX($AO$2:$BQ$1001,MATCH(ROWS($AH$2:AH546),$AH$2:$AH$1001,0),MATCH(COLUMNS($AO$1006:BB1006),$AO$1006:$BQ$1006,0)), HYPERLINK("#",""), HYPERLINK(CONCATENATE("#Metadata!", ADDRESS(INDEX($AJ$2:$AJ$1001,MATCH(ROWS($AH$2:AH546),$AH$2:$AH$1001,0),0), INDEX($AO$1004:$BQ$1004,1,MATCH(COLUMNS($AO$1006:BB1006),$AO$1006:$BQ$1006,0)))),"Fix")))</f>
        <v>#N/A</v>
      </c>
      <c r="P546" s="5" t="e">
        <f ca="1">IF(OR(INDEX($AI$2:$AI$1001,MATCH(ROWS($AH$2:AH546),$AH$2:$AH$1001,0),1)&gt;=100000,INDEX($AO$1005:$BQ$1005,1,MATCH(COLUMNS($AO$1006:BC1006),$AO$1006:$BQ$1006,0))&gt;=100000), " ",IF(INDEX($AO$2:$BQ$1001,MATCH(ROWS($AH$2:AH546),$AH$2:$AH$1001,0),MATCH(COLUMNS($AO$1006:BC1006),$AO$1006:$BQ$1006,0)), HYPERLINK("#",""), HYPERLINK(CONCATENATE("#Metadata!", ADDRESS(INDEX($AJ$2:$AJ$1001,MATCH(ROWS($AH$2:AH546),$AH$2:$AH$1001,0),0), INDEX($AO$1004:$BQ$1004,1,MATCH(COLUMNS($AO$1006:BC1006),$AO$1006:$BQ$1006,0)))),"Fix")))</f>
        <v>#N/A</v>
      </c>
      <c r="Q546" s="5" t="e">
        <f ca="1">IF(OR(INDEX($AI$2:$AI$1001,MATCH(ROWS($AH$2:AH546),$AH$2:$AH$1001,0),1)&gt;=100000,INDEX($AO$1005:$BQ$1005,1,MATCH(COLUMNS($AO$1006:BD1006),$AO$1006:$BQ$1006,0))&gt;=100000), " ",IF(INDEX($AO$2:$BQ$1001,MATCH(ROWS($AH$2:AH546),$AH$2:$AH$1001,0),MATCH(COLUMNS($AO$1006:BD1006),$AO$1006:$BQ$1006,0)), HYPERLINK("#",""), HYPERLINK(CONCATENATE("#Metadata!", ADDRESS(INDEX($AJ$2:$AJ$1001,MATCH(ROWS($AH$2:AH546),$AH$2:$AH$1001,0),0), INDEX($AO$1004:$BQ$1004,1,MATCH(COLUMNS($AO$1006:BD1006),$AO$1006:$BQ$1006,0)))),"Fix")))</f>
        <v>#N/A</v>
      </c>
      <c r="R546" s="5" t="e">
        <f ca="1">IF(OR(INDEX($AI$2:$AI$1001,MATCH(ROWS($AH$2:AH546),$AH$2:$AH$1001,0),1)&gt;=100000,INDEX($AO$1005:$BQ$1005,1,MATCH(COLUMNS($AO$1006:BE1006),$AO$1006:$BQ$1006,0))&gt;=100000), " ",IF(INDEX($AO$2:$BQ$1001,MATCH(ROWS($AH$2:AH546),$AH$2:$AH$1001,0),MATCH(COLUMNS($AO$1006:BE1006),$AO$1006:$BQ$1006,0)), HYPERLINK("#",""), HYPERLINK(CONCATENATE("#Metadata!", ADDRESS(INDEX($AJ$2:$AJ$1001,MATCH(ROWS($AH$2:AH546),$AH$2:$AH$1001,0),0), INDEX($AO$1004:$BQ$1004,1,MATCH(COLUMNS($AO$1006:BE1006),$AO$1006:$BQ$1006,0)))),"Fix")))</f>
        <v>#N/A</v>
      </c>
      <c r="S546" s="5" t="e">
        <f ca="1">IF(OR(INDEX($AI$2:$AI$1001,MATCH(ROWS($AH$2:AH546),$AH$2:$AH$1001,0),1)&gt;=100000,INDEX($AO$1005:$BQ$1005,1,MATCH(COLUMNS($AO$1006:BF1006),$AO$1006:$BQ$1006,0))&gt;=100000), " ",IF(INDEX($AO$2:$BQ$1001,MATCH(ROWS($AH$2:AH546),$AH$2:$AH$1001,0),MATCH(COLUMNS($AO$1006:BF1006),$AO$1006:$BQ$1006,0)), HYPERLINK("#",""), HYPERLINK(CONCATENATE("#Metadata!", ADDRESS(INDEX($AJ$2:$AJ$1001,MATCH(ROWS($AH$2:AH546),$AH$2:$AH$1001,0),0), INDEX($AO$1004:$BQ$1004,1,MATCH(COLUMNS($AO$1006:BF1006),$AO$1006:$BQ$1006,0)))),"Fix")))</f>
        <v>#N/A</v>
      </c>
      <c r="T546" s="5" t="e">
        <f ca="1">IF(OR(INDEX($AI$2:$AI$1001,MATCH(ROWS($AH$2:AH546),$AH$2:$AH$1001,0),1)&gt;=100000,INDEX($AO$1005:$BQ$1005,1,MATCH(COLUMNS($AO$1006:BG1006),$AO$1006:$BQ$1006,0))&gt;=100000), " ",IF(INDEX($AO$2:$BQ$1001,MATCH(ROWS($AH$2:AH546),$AH$2:$AH$1001,0),MATCH(COLUMNS($AO$1006:BG1006),$AO$1006:$BQ$1006,0)), HYPERLINK("#",""), HYPERLINK(CONCATENATE("#Metadata!", ADDRESS(INDEX($AJ$2:$AJ$1001,MATCH(ROWS($AH$2:AH546),$AH$2:$AH$1001,0),0), INDEX($AO$1004:$BQ$1004,1,MATCH(COLUMNS($AO$1006:BG1006),$AO$1006:$BQ$1006,0)))),"Fix")))</f>
        <v>#N/A</v>
      </c>
      <c r="U546" s="5" t="e">
        <f ca="1">IF(OR(INDEX($AI$2:$AI$1001,MATCH(ROWS($AH$2:AH546),$AH$2:$AH$1001,0),1)&gt;=100000,INDEX($AO$1005:$BQ$1005,1,MATCH(COLUMNS($AO$1006:BH1006),$AO$1006:$BQ$1006,0))&gt;=100000), " ",IF(INDEX($AO$2:$BQ$1001,MATCH(ROWS($AH$2:AH546),$AH$2:$AH$1001,0),MATCH(COLUMNS($AO$1006:BH1006),$AO$1006:$BQ$1006,0)), HYPERLINK("#",""), HYPERLINK(CONCATENATE("#Metadata!", ADDRESS(INDEX($AJ$2:$AJ$1001,MATCH(ROWS($AH$2:AH546),$AH$2:$AH$1001,0),0), INDEX($AO$1004:$BQ$1004,1,MATCH(COLUMNS($AO$1006:BH1006),$AO$1006:$BQ$1006,0)))),"Fix")))</f>
        <v>#N/A</v>
      </c>
      <c r="V546" s="5" t="e">
        <f ca="1">IF(OR(INDEX($AI$2:$AI$1001,MATCH(ROWS($AH$2:AH546),$AH$2:$AH$1001,0),1)&gt;=100000,INDEX($AO$1005:$BQ$1005,1,MATCH(COLUMNS($AO$1006:BI1006),$AO$1006:$BQ$1006,0))&gt;=100000), " ",IF(INDEX($AO$2:$BQ$1001,MATCH(ROWS($AH$2:AH546),$AH$2:$AH$1001,0),MATCH(COLUMNS($AO$1006:BI1006),$AO$1006:$BQ$1006,0)), HYPERLINK("#",""), HYPERLINK(CONCATENATE("#Metadata!", ADDRESS(INDEX($AJ$2:$AJ$1001,MATCH(ROWS($AH$2:AH546),$AH$2:$AH$1001,0),0), INDEX($AO$1004:$BQ$1004,1,MATCH(COLUMNS($AO$1006:BI1006),$AO$1006:$BQ$1006,0)))),"Fix")))</f>
        <v>#N/A</v>
      </c>
      <c r="W546" s="5" t="e">
        <f ca="1">IF(OR(INDEX($AI$2:$AI$1001,MATCH(ROWS($AH$2:AH546),$AH$2:$AH$1001,0),1)&gt;=100000,INDEX($AO$1005:$BQ$1005,1,MATCH(COLUMNS($AO$1006:BJ1006),$AO$1006:$BQ$1006,0))&gt;=100000), " ",IF(INDEX($AO$2:$BQ$1001,MATCH(ROWS($AH$2:AH546),$AH$2:$AH$1001,0),MATCH(COLUMNS($AO$1006:BJ1006),$AO$1006:$BQ$1006,0)), HYPERLINK("#",""), HYPERLINK(CONCATENATE("#Metadata!", ADDRESS(INDEX($AJ$2:$AJ$1001,MATCH(ROWS($AH$2:AH546),$AH$2:$AH$1001,0),0), INDEX($AO$1004:$BQ$1004,1,MATCH(COLUMNS($AO$1006:BJ1006),$AO$1006:$BQ$1006,0)))),"Fix")))</f>
        <v>#N/A</v>
      </c>
      <c r="X546" s="5" t="e">
        <f ca="1">IF(OR(INDEX($AI$2:$AI$1001,MATCH(ROWS($AH$2:AH546),$AH$2:$AH$1001,0),1)&gt;=100000,INDEX($AO$1005:$BQ$1005,1,MATCH(COLUMNS($AO$1006:BK1006),$AO$1006:$BQ$1006,0))&gt;=100000), " ",IF(INDEX($AO$2:$BQ$1001,MATCH(ROWS($AH$2:AH546),$AH$2:$AH$1001,0),MATCH(COLUMNS($AO$1006:BK1006),$AO$1006:$BQ$1006,0)), HYPERLINK("#",""), HYPERLINK(CONCATENATE("#Metadata!", ADDRESS(INDEX($AJ$2:$AJ$1001,MATCH(ROWS($AH$2:AH546),$AH$2:$AH$1001,0),0), INDEX($AO$1004:$BQ$1004,1,MATCH(COLUMNS($AO$1006:BK1006),$AO$1006:$BQ$1006,0)))),"Fix")))</f>
        <v>#N/A</v>
      </c>
      <c r="Y546" s="5" t="e">
        <f ca="1">IF(OR(INDEX($AI$2:$AI$1001,MATCH(ROWS($AH$2:AH546),$AH$2:$AH$1001,0),1)&gt;=100000,INDEX($AO$1005:$BQ$1005,1,MATCH(COLUMNS($AO$1006:BL1006),$AO$1006:$BQ$1006,0))&gt;=100000), " ",IF(INDEX($AO$2:$BQ$1001,MATCH(ROWS($AH$2:AH546),$AH$2:$AH$1001,0),MATCH(COLUMNS($AO$1006:BL1006),$AO$1006:$BQ$1006,0)), HYPERLINK("#",""), HYPERLINK(CONCATENATE("#Metadata!", ADDRESS(INDEX($AJ$2:$AJ$1001,MATCH(ROWS($AH$2:AH546),$AH$2:$AH$1001,0),0), INDEX($AO$1004:$BQ$1004,1,MATCH(COLUMNS($AO$1006:BL1006),$AO$1006:$BQ$1006,0)))),"Fix")))</f>
        <v>#N/A</v>
      </c>
      <c r="Z546" s="5" t="e">
        <f ca="1">IF(OR(INDEX($AI$2:$AI$1001,MATCH(ROWS($AH$2:AH546),$AH$2:$AH$1001,0),1)&gt;=100000,INDEX($AO$1005:$BQ$1005,1,MATCH(COLUMNS($AO$1006:BM1006),$AO$1006:$BQ$1006,0))&gt;=100000), " ",IF(INDEX($AO$2:$BQ$1001,MATCH(ROWS($AH$2:AH546),$AH$2:$AH$1001,0),MATCH(COLUMNS($AO$1006:BM1006),$AO$1006:$BQ$1006,0)), HYPERLINK("#",""), HYPERLINK(CONCATENATE("#Metadata!", ADDRESS(INDEX($AJ$2:$AJ$1001,MATCH(ROWS($AH$2:AH546),$AH$2:$AH$1001,0),0), INDEX($AO$1004:$BQ$1004,1,MATCH(COLUMNS($AO$1006:BM1006),$AO$1006:$BQ$1006,0)))),"Fix")))</f>
        <v>#N/A</v>
      </c>
      <c r="AA546" s="5" t="e">
        <f ca="1">IF(OR(INDEX($AI$2:$AI$1001,MATCH(ROWS($AH$2:AH546),$AH$2:$AH$1001,0),1)&gt;=100000,INDEX($AO$1005:$BQ$1005,1,MATCH(COLUMNS($AO$1006:BN1006),$AO$1006:$BQ$1006,0))&gt;=100000), " ",IF(INDEX($AO$2:$BQ$1001,MATCH(ROWS($AH$2:AH546),$AH$2:$AH$1001,0),MATCH(COLUMNS($AO$1006:BN1006),$AO$1006:$BQ$1006,0)), HYPERLINK("#",""), HYPERLINK(CONCATENATE("#Metadata!", ADDRESS(INDEX($AJ$2:$AJ$1001,MATCH(ROWS($AH$2:AH546),$AH$2:$AH$1001,0),0), INDEX($AO$1004:$BQ$1004,1,MATCH(COLUMNS($AO$1006:BN1006),$AO$1006:$BQ$1006,0)))),"Fix")))</f>
        <v>#N/A</v>
      </c>
      <c r="AB546" s="5" t="e">
        <f ca="1">IF(OR(INDEX($AI$2:$AI$1001,MATCH(ROWS($AH$2:AH546),$AH$2:$AH$1001,0),1)&gt;=100000,INDEX($AO$1005:$BQ$1005,1,MATCH(COLUMNS($AO$1006:BO1006),$AO$1006:$BQ$1006,0))&gt;=100000), " ",IF(INDEX($AO$2:$BQ$1001,MATCH(ROWS($AH$2:AH546),$AH$2:$AH$1001,0),MATCH(COLUMNS($AO$1006:BO1006),$AO$1006:$BQ$1006,0)), HYPERLINK("#",""), HYPERLINK(CONCATENATE("#Metadata!", ADDRESS(INDEX($AJ$2:$AJ$1001,MATCH(ROWS($AH$2:AH546),$AH$2:$AH$1001,0),0), INDEX($AO$1004:$BQ$1004,1,MATCH(COLUMNS($AO$1006:BO1006),$AO$1006:$BQ$1006,0)))),"Fix")))</f>
        <v>#N/A</v>
      </c>
      <c r="AC546" s="5" t="e">
        <f ca="1">IF(OR(INDEX($AI$2:$AI$1001,MATCH(ROWS($AH$2:AH546),$AH$2:$AH$1001,0),1)&gt;=100000,INDEX($AO$1005:$BQ$1005,1,MATCH(COLUMNS($AO$1006:BP1006),$AO$1006:$BQ$1006,0))&gt;=100000), " ",IF(INDEX($AO$2:$BQ$1001,MATCH(ROWS($AH$2:AH546),$AH$2:$AH$1001,0),MATCH(COLUMNS($AO$1006:BP1006),$AO$1006:$BQ$1006,0)), HYPERLINK("#",""), HYPERLINK(CONCATENATE("#Metadata!", ADDRESS(INDEX($AJ$2:$AJ$1001,MATCH(ROWS($AH$2:AH546),$AH$2:$AH$1001,0),0), INDEX($AO$1004:$BQ$1004,1,MATCH(COLUMNS($AO$1006:BP1006),$AO$1006:$BQ$1006,0)))),"Fix")))</f>
        <v>#N/A</v>
      </c>
      <c r="AD546" s="5" t="e">
        <f ca="1">IF(OR(INDEX($AI$2:$AI$1001,MATCH(ROWS($AH$2:AH546),$AH$2:$AH$1001,0),1)&gt;=100000,INDEX($AO$1005:$BQ$1005,1,MATCH(COLUMNS($AO$1006:BQ1006),$AO$1006:$BQ$1006,0))&gt;=100000), " ",IF(INDEX($AO$2:$BQ$1001,MATCH(ROWS($AH$2:AH546),$AH$2:$AH$1001,0),MATCH(COLUMNS($AO$1006:BQ1006),$AO$1006:$BQ$1006,0)), HYPERLINK("#",""), HYPERLINK(CONCATENATE("#Metadata!", ADDRESS(INDEX($AJ$2:$AJ$1001,MATCH(ROWS($AH$2:AH546),$AH$2:$AH$1001,0),0), INDEX($AO$1004:$BQ$1004,1,MATCH(COLUMNS($AO$1006:BQ1006),$AO$1006:$BQ$1006,0)))),"Fix")))</f>
        <v>#REF!</v>
      </c>
      <c r="AH546">
        <f ca="1"/>
        <v>543</v>
      </c>
      <c r="AI546">
        <v>100546</v>
      </c>
      <c r="AJ546">
        <v>546</v>
      </c>
      <c r="AK546" t="b">
        <f t="shared" si="8"/>
        <v>1</v>
      </c>
      <c r="AL546" t="b">
        <f>COUNTBLANK(Metadata!B546:AD546)=COLUMNS(Metadata!B546:AD546)</f>
        <v>1</v>
      </c>
      <c r="AM546" t="str">
        <v/>
      </c>
      <c r="AO546" t="b">
        <f ca="1">AND(IF(Metadata!B546="",FALSE,TRUE),COUNTIF(Metadata!B:B, Metadata!B546) = 1,NOT(ISERROR(SUMPRODUCT(SEARCH(MID(Metadata!B546,ROW(INDIRECT("1:"&amp;LEN(Metadata!B546))), 1),"0123456789abcdefghijklmnopqrstuvwxyzABCDEFGHIJKLMNOPQRSTUVWXYZ.")))))</f>
        <v>0</v>
      </c>
      <c r="AP546" t="b">
        <f>IF(Metadata!C546="",FALSE,TRUE)</f>
        <v>0</v>
      </c>
      <c r="AQ546" t="b">
        <f>IF(Metadata!D546="",FALSE,TRUE)</f>
        <v>0</v>
      </c>
      <c r="AR546" t="b">
        <f ca="1">OR(AND(IF(Metadata!E546="",FALSE,TRUE),OR(EXACT(Metadata!E546,"not collected"),EXACT(Metadata!E546,"not provided"),EXACT(Metadata!E546,"restricted access"))),AND(IF(Metadata!E546="",FALSE,TRUE),AND(AND(IFERROR(INT(LEFT(Metadata!E546,4))&gt;1900,FALSE),IFERROR(INT(LEFT(Metadata!E546,4))&lt;=YEAR(NOW()),FALSE)), OR(MID(Metadata!E546,5,1)="", AND(AND(MID(Metadata!E546,5,1)="-",IFERROR(INT(MID(Metadata!E546,6,1))&gt;=0,FALSE),IFERROR(INT(MID(Metadata!E546,6,1))&lt;=1,FALSE),NOT(MID(Metadata!E546,7,1)=""),IFERROR(INT(MID(Metadata!E546,6,2))&gt;=1,FALSE),IFERROR(INT(MID(Metadata!E546,6,2))&lt;=12,FALSE)), OR(MID(Metadata!E546,8,1)="", AND(AND(MID(Metadata!E546,8,1)="-",IFERROR(INT(MID(Metadata!E546,9,1))&gt;=0,FALSE),IFERROR(INT(MID(Metadata!E546,9,1))&lt;=3,FALSE),NOT(MID(Metadata!E546,10,1)=""),IFERROR(INT(MID(Metadata!E546,9,2))&gt;=1,FALSE),IFERROR(INT(MID(Metadata!E546,9,2))&lt;=31,FALSE)), OR(MID(Metadata!E546,11,1)="", AND(AND(MID(Metadata!E546,11,1)=" ",IFERROR(INT(MID(Metadata!E546,12,1))&gt;=0,FALSE),IFERROR(INT(MID(Metadata!E546,12,1))&lt;=2,FALSE),NOT(MID(Metadata!E546,13,1)=""),IFERROR(INT(MID(Metadata!E546,12,2))&gt;=0,FALSE),IFERROR(INT(MID(Metadata!E546,12,2))&lt;=23,FALSE)), OR(MID(Metadata!E546,14,1)="", AND(AND(MID(Metadata!E546,14,1)=":",IFERROR(INT(MID(Metadata!E546,15,1))&gt;=0,FALSE),IFERROR(INT(MID(Metadata!E546,15,1))&lt;=5,FALSE),NOT(MID(Metadata!E546,16,1)=""),IFERROR(INT(MID(Metadata!E546,15,2))&gt;=0,FALSE),IFERROR(INT(MID(Metadata!E546,15,2))&lt;=59,FALSE)), OR(MID(Metadata!E546,17,1)="", AND(AND(MID(Metadata!E546,17,1)=":",IFERROR(INT(MID(Metadata!E546,18,1))&gt;=0,FALSE),IFERROR(INT(MID(Metadata!E546,18,1))&lt;=5,FALSE),NOT(MID(Metadata!E546,19,1)=""),IFERROR(INT(MID(Metadata!E546,18,2))&gt;=0,FALSE),IFERROR(INT(MID(Metadata!E546,18,2))&lt;=59,FALSE)), LEN(Metadata!E546)&lt;=19)))))))))))))</f>
        <v>0</v>
      </c>
      <c r="AS546" t="b">
        <f>IF(Metadata!F546="",FALSE,TRUE)</f>
        <v>0</v>
      </c>
      <c r="AT546" t="b">
        <f>OR(AND(IF(Metadata!G546="",FALSE,TRUE),OR(EXACT(Metadata!G546,"not collected"),EXACT(Metadata!G546,"not provided"))),AND(IF(Metadata!G546="",FALSE,TRUE),OR(EXACT(Metadata!G546,"TRUE"),EXACT(Metadata!G546,"FALSE"))))</f>
        <v>0</v>
      </c>
      <c r="AU546" t="b">
        <f>OR(AND(IF(Metadata!H546="",FALSE,TRUE),OR(EXACT(Metadata!H546,"not collected"),EXACT(Metadata!H546,"not provided"),EXACT(Metadata!H546,"restricted access"))),AND(IF(Metadata!H546="",FALSE,ISNUMBER(VALUE(Metadata!H546))),Metadata!H546&gt;=-413))</f>
        <v>0</v>
      </c>
      <c r="AV546" t="b">
        <f>AND(IF(Metadata!I546="",FALSE,TRUE),EXACT(Metadata!I546,"meters"))</f>
        <v>0</v>
      </c>
      <c r="AW546" t="b">
        <f>AND(IF(Metadata!J546="",FALSE,TRUE),EXACT(Metadata!J546,"free-living"))</f>
        <v>0</v>
      </c>
      <c r="AX546" t="b">
        <f>AND(IF(Metadata!K546="",FALSE,TRUE),OR(EXACT(Metadata!K546,"saline"),EXACT(Metadata!K546,"non-saline")))</f>
        <v>0</v>
      </c>
      <c r="AY546" t="b">
        <f>AND(IF(Metadata!L546="",FALSE,TRUE),OR(EXACT(Metadata!L546,"sub-surface (non-saline)"),EXACT(Metadata!L546,"surface (non-saline)"),EXACT(Metadata!L546,"water (non-saline)"),EXACT(Metadata!L546,"soil (non-saline)"),EXACT(Metadata!L546,"aerosol (non-saline)"),EXACT(Metadata!L546,"sediment (non-saline)"),EXACT(Metadata!L546,"surface (saline)"),EXACT(Metadata!L546,"water (saline)"),EXACT(Metadata!L546,"hypersaline (saline)"),EXACT(Metadata!L546,"aerosol (saline)"),EXACT(Metadata!L546,"sediment (saline)")))</f>
        <v>0</v>
      </c>
      <c r="AZ546" t="b">
        <f>IF(Metadata!M546="",FALSE,TRUE)</f>
        <v>0</v>
      </c>
      <c r="BA546" t="b">
        <f>IF(Metadata!N546="",FALSE,TRUE)</f>
        <v>0</v>
      </c>
      <c r="BB546" t="b">
        <f>IF(Metadata!O546="",FALSE,TRUE)</f>
        <v>0</v>
      </c>
      <c r="BC546" t="b">
        <f>AND(IF(Metadata!P546="",FALSE,TRUE),OR(EXACT(Metadata!P546,"air"),EXACT(Metadata!P546,"microbial mat/biofilm"),EXACT(Metadata!P546,"misc environment"),EXACT(Metadata!P546,"sediment"),EXACT(Metadata!P546,"soil"),EXACT(Metadata!P546,"wastewater/sludge"),EXACT(Metadata!P546,"water")))</f>
        <v>0</v>
      </c>
      <c r="BD546" t="b">
        <f>IF(Metadata!Q546="",FALSE,TRUE)</f>
        <v>0</v>
      </c>
      <c r="BE546" t="b">
        <f>IF(Metadata!R546="",FALSE,TRUE)</f>
        <v>0</v>
      </c>
      <c r="BF546" t="b">
        <f>OR(AND(IF(Metadata!S546="",FALSE,TRUE),OR(EXACT(Metadata!S546,"not collected"),EXACT(Metadata!S546,"not provided"),EXACT(Metadata!S546,"restricted access"))),AND(IF(Metadata!S546="",FALSE,ISNUMBER(VALUE(Metadata!S546))),Metadata!S546&gt;=-90,Metadata!S546&lt;=90))</f>
        <v>0</v>
      </c>
      <c r="BG546" t="b">
        <f>AND(IF(Metadata!T546="",FALSE,TRUE),EXACT(Metadata!T546,"Decimal degrees"))</f>
        <v>0</v>
      </c>
      <c r="BH546" t="b">
        <f>OR(AND(IF(Metadata!U546="",FALSE,TRUE),OR(EXACT(Metadata!U546,"not applicable"),EXACT(Metadata!U546,"not collected"))),IF(Metadata!U546="",FALSE,TRUE))</f>
        <v>0</v>
      </c>
      <c r="BI546" t="b">
        <f>OR(AND(IF(Metadata!V546="",FALSE,TRUE),OR(EXACT(Metadata!V546,"not collected"),EXACT(Metadata!V546,"not provided"),EXACT(Metadata!V546,"restricted access"))),AND(IF(Metadata!V546="",FALSE,ISNUMBER(VALUE(Metadata!V546))),Metadata!V546&gt;=-180,Metadata!V546&lt;=180))</f>
        <v>0</v>
      </c>
      <c r="BJ546" t="b">
        <f>AND(IF(Metadata!W546="",FALSE,TRUE),EXACT(Metadata!W546,"Decimal degrees"))</f>
        <v>0</v>
      </c>
      <c r="BK546" t="b">
        <f>IF(Metadata!X546="",FALSE,TRUE)</f>
        <v>0</v>
      </c>
      <c r="BL546" t="b">
        <f>OR(AND(IF(Metadata!Y546="",FALSE,TRUE),OR(EXACT(Metadata!Y546,"not collected"),EXACT(Metadata!Y546,"not provided"),EXACT(Metadata!Y546,"restricted access"))),AND(IF(Metadata!Y546="",FALSE,TRUE),OR(EXACT(Metadata!Y546,"TRUE"),EXACT(Metadata!Y546,"FALSE"))))</f>
        <v>0</v>
      </c>
      <c r="BM546" t="b">
        <f>OR(AND(IF(Metadata!Z546="",FALSE,TRUE),EXACT(Metadata!Z546,"not applicable")),AND(IF(Metadata!Z546="",FALSE,TRUE),OR(EXACT(Metadata!Z546,"beer"),EXACT(Metadata!Z546,"cheese"),EXACT(Metadata!Z546,"fresh water"),EXACT(Metadata!Z546,"marine sediment"),EXACT(Metadata!Z546,"sea water"),EXACT(Metadata!Z546,"sediment"),EXACT(Metadata!Z546,"soil"),EXACT(Metadata!Z546,"waste water"))))</f>
        <v>0</v>
      </c>
      <c r="BN546" t="b">
        <f>AND(IF(Metadata!AA546="",FALSE,TRUE),EXACT(Metadata!AA546,"metagenome"))</f>
        <v>0</v>
      </c>
      <c r="BO546" t="b">
        <f>AND(IF(Metadata!AB546="",FALSE,TRUE),EXACT(Metadata!AB546,"256318"))</f>
        <v>0</v>
      </c>
      <c r="BP546" t="b">
        <f>IF(Metadata!AC546="",FALSE,TRUE)</f>
        <v>0</v>
      </c>
      <c r="BQ546" t="b">
        <f>IF(Metadata!AD546="",FALSE,TRUE)</f>
        <v>0</v>
      </c>
    </row>
    <row r="547" spans="1:69" x14ac:dyDescent="0.2">
      <c r="A547" s="4" t="e">
        <f ca="1">IF(B547=" "," ",HYPERLINK(CONCATENATE("#metadata!",ADDRESS(INDEX($AJ$2:$AJ$1001,MATCH(ROWS($AH$2:AH547),$AH$2:$AH$1001,0),0),2)),INDEX($AM$2:$AM$1001,MATCH(ROWS($AH$2:AH547),$AH$2:$AH$1001,0),0)))</f>
        <v>#N/A</v>
      </c>
      <c r="B547" s="5" t="e">
        <f ca="1">IF(OR(INDEX($AI$2:$AI$1001,MATCH(ROWS($AH$2:AH547),$AH$2:$AH$1001,0),1)&gt;=100000,INDEX($AO$1005:$BQ$1005,1,MATCH(COLUMNS($AO$1006:AO1006),$AO$1006:$BQ$1006,0))&gt;=100000), " ",IF(INDEX($AO$2:$BQ$1001,MATCH(ROWS($AH$2:AH547),$AH$2:$AH$1001,0),MATCH(COLUMNS($AO$1006:AO1006),$AO$1006:$BQ$1006,0)), HYPERLINK("#",""), HYPERLINK(CONCATENATE("#Metadata!", ADDRESS(INDEX($AJ$2:$AJ$1001,MATCH(ROWS($AH$2:AH547),$AH$2:$AH$1001,0),0), INDEX($AO$1004:$BQ$1004,1,MATCH(COLUMNS($AO$1006:AO1006),$AO$1006:$BQ$1006,0)))),"Fix")))</f>
        <v>#N/A</v>
      </c>
      <c r="C547" s="5" t="e">
        <f ca="1">IF(OR(INDEX($AI$2:$AI$1001,MATCH(ROWS($AH$2:AH547),$AH$2:$AH$1001,0),1)&gt;=100000,INDEX($AO$1005:$BQ$1005,1,MATCH(COLUMNS($AO$1006:AP1006),$AO$1006:$BQ$1006,0))&gt;=100000), " ",IF(INDEX($AO$2:$BQ$1001,MATCH(ROWS($AH$2:AH547),$AH$2:$AH$1001,0),MATCH(COLUMNS($AO$1006:AP1006),$AO$1006:$BQ$1006,0)), HYPERLINK("#",""), HYPERLINK(CONCATENATE("#Metadata!", ADDRESS(INDEX($AJ$2:$AJ$1001,MATCH(ROWS($AH$2:AH547),$AH$2:$AH$1001,0),0), INDEX($AO$1004:$BQ$1004,1,MATCH(COLUMNS($AO$1006:AP1006),$AO$1006:$BQ$1006,0)))),"Fix")))</f>
        <v>#N/A</v>
      </c>
      <c r="D547" s="5" t="e">
        <f ca="1">IF(OR(INDEX($AI$2:$AI$1001,MATCH(ROWS($AH$2:AH547),$AH$2:$AH$1001,0),1)&gt;=100000,INDEX($AO$1005:$BQ$1005,1,MATCH(COLUMNS($AO$1006:AQ1006),$AO$1006:$BQ$1006,0))&gt;=100000), " ",IF(INDEX($AO$2:$BQ$1001,MATCH(ROWS($AH$2:AH547),$AH$2:$AH$1001,0),MATCH(COLUMNS($AO$1006:AQ1006),$AO$1006:$BQ$1006,0)), HYPERLINK("#",""), HYPERLINK(CONCATENATE("#Metadata!", ADDRESS(INDEX($AJ$2:$AJ$1001,MATCH(ROWS($AH$2:AH547),$AH$2:$AH$1001,0),0), INDEX($AO$1004:$BQ$1004,1,MATCH(COLUMNS($AO$1006:AQ1006),$AO$1006:$BQ$1006,0)))),"Fix")))</f>
        <v>#N/A</v>
      </c>
      <c r="E547" s="5" t="e">
        <f ca="1">IF(OR(INDEX($AI$2:$AI$1001,MATCH(ROWS($AH$2:AH547),$AH$2:$AH$1001,0),1)&gt;=100000,INDEX($AO$1005:$BQ$1005,1,MATCH(COLUMNS($AO$1006:AR1006),$AO$1006:$BQ$1006,0))&gt;=100000), " ",IF(INDEX($AO$2:$BQ$1001,MATCH(ROWS($AH$2:AH547),$AH$2:$AH$1001,0),MATCH(COLUMNS($AO$1006:AR1006),$AO$1006:$BQ$1006,0)), HYPERLINK("#",""), HYPERLINK(CONCATENATE("#Metadata!", ADDRESS(INDEX($AJ$2:$AJ$1001,MATCH(ROWS($AH$2:AH547),$AH$2:$AH$1001,0),0), INDEX($AO$1004:$BQ$1004,1,MATCH(COLUMNS($AO$1006:AR1006),$AO$1006:$BQ$1006,0)))),"Fix")))</f>
        <v>#N/A</v>
      </c>
      <c r="F547" s="5" t="e">
        <f ca="1">IF(OR(INDEX($AI$2:$AI$1001,MATCH(ROWS($AH$2:AH547),$AH$2:$AH$1001,0),1)&gt;=100000,INDEX($AO$1005:$BQ$1005,1,MATCH(COLUMNS($AO$1006:AS1006),$AO$1006:$BQ$1006,0))&gt;=100000), " ",IF(INDEX($AO$2:$BQ$1001,MATCH(ROWS($AH$2:AH547),$AH$2:$AH$1001,0),MATCH(COLUMNS($AO$1006:AS1006),$AO$1006:$BQ$1006,0)), HYPERLINK("#",""), HYPERLINK(CONCATENATE("#Metadata!", ADDRESS(INDEX($AJ$2:$AJ$1001,MATCH(ROWS($AH$2:AH547),$AH$2:$AH$1001,0),0), INDEX($AO$1004:$BQ$1004,1,MATCH(COLUMNS($AO$1006:AS1006),$AO$1006:$BQ$1006,0)))),"Fix")))</f>
        <v>#N/A</v>
      </c>
      <c r="G547" s="5" t="e">
        <f ca="1">IF(OR(INDEX($AI$2:$AI$1001,MATCH(ROWS($AH$2:AH547),$AH$2:$AH$1001,0),1)&gt;=100000,INDEX($AO$1005:$BQ$1005,1,MATCH(COLUMNS($AO$1006:AT1006),$AO$1006:$BQ$1006,0))&gt;=100000), " ",IF(INDEX($AO$2:$BQ$1001,MATCH(ROWS($AH$2:AH547),$AH$2:$AH$1001,0),MATCH(COLUMNS($AO$1006:AT1006),$AO$1006:$BQ$1006,0)), HYPERLINK("#",""), HYPERLINK(CONCATENATE("#Metadata!", ADDRESS(INDEX($AJ$2:$AJ$1001,MATCH(ROWS($AH$2:AH547),$AH$2:$AH$1001,0),0), INDEX($AO$1004:$BQ$1004,1,MATCH(COLUMNS($AO$1006:AT1006),$AO$1006:$BQ$1006,0)))),"Fix")))</f>
        <v>#N/A</v>
      </c>
      <c r="H547" s="5" t="e">
        <f ca="1">IF(OR(INDEX($AI$2:$AI$1001,MATCH(ROWS($AH$2:AH547),$AH$2:$AH$1001,0),1)&gt;=100000,INDEX($AO$1005:$BQ$1005,1,MATCH(COLUMNS($AO$1006:AU1006),$AO$1006:$BQ$1006,0))&gt;=100000), " ",IF(INDEX($AO$2:$BQ$1001,MATCH(ROWS($AH$2:AH547),$AH$2:$AH$1001,0),MATCH(COLUMNS($AO$1006:AU1006),$AO$1006:$BQ$1006,0)), HYPERLINK("#",""), HYPERLINK(CONCATENATE("#Metadata!", ADDRESS(INDEX($AJ$2:$AJ$1001,MATCH(ROWS($AH$2:AH547),$AH$2:$AH$1001,0),0), INDEX($AO$1004:$BQ$1004,1,MATCH(COLUMNS($AO$1006:AU1006),$AO$1006:$BQ$1006,0)))),"Fix")))</f>
        <v>#N/A</v>
      </c>
      <c r="I547" s="5" t="e">
        <f ca="1">IF(OR(INDEX($AI$2:$AI$1001,MATCH(ROWS($AH$2:AH547),$AH$2:$AH$1001,0),1)&gt;=100000,INDEX($AO$1005:$BQ$1005,1,MATCH(COLUMNS($AO$1006:AV1006),$AO$1006:$BQ$1006,0))&gt;=100000), " ",IF(INDEX($AO$2:$BQ$1001,MATCH(ROWS($AH$2:AH547),$AH$2:$AH$1001,0),MATCH(COLUMNS($AO$1006:AV1006),$AO$1006:$BQ$1006,0)), HYPERLINK("#",""), HYPERLINK(CONCATENATE("#Metadata!", ADDRESS(INDEX($AJ$2:$AJ$1001,MATCH(ROWS($AH$2:AH547),$AH$2:$AH$1001,0),0), INDEX($AO$1004:$BQ$1004,1,MATCH(COLUMNS($AO$1006:AV1006),$AO$1006:$BQ$1006,0)))),"Fix")))</f>
        <v>#N/A</v>
      </c>
      <c r="J547" s="5" t="e">
        <f ca="1">IF(OR(INDEX($AI$2:$AI$1001,MATCH(ROWS($AH$2:AH547),$AH$2:$AH$1001,0),1)&gt;=100000,INDEX($AO$1005:$BQ$1005,1,MATCH(COLUMNS($AO$1006:AW1006),$AO$1006:$BQ$1006,0))&gt;=100000), " ",IF(INDEX($AO$2:$BQ$1001,MATCH(ROWS($AH$2:AH547),$AH$2:$AH$1001,0),MATCH(COLUMNS($AO$1006:AW1006),$AO$1006:$BQ$1006,0)), HYPERLINK("#",""), HYPERLINK(CONCATENATE("#Metadata!", ADDRESS(INDEX($AJ$2:$AJ$1001,MATCH(ROWS($AH$2:AH547),$AH$2:$AH$1001,0),0), INDEX($AO$1004:$BQ$1004,1,MATCH(COLUMNS($AO$1006:AW1006),$AO$1006:$BQ$1006,0)))),"Fix")))</f>
        <v>#N/A</v>
      </c>
      <c r="K547" s="5" t="e">
        <f ca="1">IF(OR(INDEX($AI$2:$AI$1001,MATCH(ROWS($AH$2:AH547),$AH$2:$AH$1001,0),1)&gt;=100000,INDEX($AO$1005:$BQ$1005,1,MATCH(COLUMNS($AO$1006:AX1006),$AO$1006:$BQ$1006,0))&gt;=100000), " ",IF(INDEX($AO$2:$BQ$1001,MATCH(ROWS($AH$2:AH547),$AH$2:$AH$1001,0),MATCH(COLUMNS($AO$1006:AX1006),$AO$1006:$BQ$1006,0)), HYPERLINK("#",""), HYPERLINK(CONCATENATE("#Metadata!", ADDRESS(INDEX($AJ$2:$AJ$1001,MATCH(ROWS($AH$2:AH547),$AH$2:$AH$1001,0),0), INDEX($AO$1004:$BQ$1004,1,MATCH(COLUMNS($AO$1006:AX1006),$AO$1006:$BQ$1006,0)))),"Fix")))</f>
        <v>#N/A</v>
      </c>
      <c r="L547" s="5" t="e">
        <f ca="1">IF(OR(INDEX($AI$2:$AI$1001,MATCH(ROWS($AH$2:AH547),$AH$2:$AH$1001,0),1)&gt;=100000,INDEX($AO$1005:$BQ$1005,1,MATCH(COLUMNS($AO$1006:AY1006),$AO$1006:$BQ$1006,0))&gt;=100000), " ",IF(INDEX($AO$2:$BQ$1001,MATCH(ROWS($AH$2:AH547),$AH$2:$AH$1001,0),MATCH(COLUMNS($AO$1006:AY1006),$AO$1006:$BQ$1006,0)), HYPERLINK("#",""), HYPERLINK(CONCATENATE("#Metadata!", ADDRESS(INDEX($AJ$2:$AJ$1001,MATCH(ROWS($AH$2:AH547),$AH$2:$AH$1001,0),0), INDEX($AO$1004:$BQ$1004,1,MATCH(COLUMNS($AO$1006:AY1006),$AO$1006:$BQ$1006,0)))),"Fix")))</f>
        <v>#N/A</v>
      </c>
      <c r="M547" s="5" t="e">
        <f ca="1">IF(OR(INDEX($AI$2:$AI$1001,MATCH(ROWS($AH$2:AH547),$AH$2:$AH$1001,0),1)&gt;=100000,INDEX($AO$1005:$BQ$1005,1,MATCH(COLUMNS($AO$1006:AZ1006),$AO$1006:$BQ$1006,0))&gt;=100000), " ",IF(INDEX($AO$2:$BQ$1001,MATCH(ROWS($AH$2:AH547),$AH$2:$AH$1001,0),MATCH(COLUMNS($AO$1006:AZ1006),$AO$1006:$BQ$1006,0)), HYPERLINK("#",""), HYPERLINK(CONCATENATE("#Metadata!", ADDRESS(INDEX($AJ$2:$AJ$1001,MATCH(ROWS($AH$2:AH547),$AH$2:$AH$1001,0),0), INDEX($AO$1004:$BQ$1004,1,MATCH(COLUMNS($AO$1006:AZ1006),$AO$1006:$BQ$1006,0)))),"Fix")))</f>
        <v>#N/A</v>
      </c>
      <c r="N547" s="5" t="e">
        <f ca="1">IF(OR(INDEX($AI$2:$AI$1001,MATCH(ROWS($AH$2:AH547),$AH$2:$AH$1001,0),1)&gt;=100000,INDEX($AO$1005:$BQ$1005,1,MATCH(COLUMNS($AO$1006:BA1006),$AO$1006:$BQ$1006,0))&gt;=100000), " ",IF(INDEX($AO$2:$BQ$1001,MATCH(ROWS($AH$2:AH547),$AH$2:$AH$1001,0),MATCH(COLUMNS($AO$1006:BA1006),$AO$1006:$BQ$1006,0)), HYPERLINK("#",""), HYPERLINK(CONCATENATE("#Metadata!", ADDRESS(INDEX($AJ$2:$AJ$1001,MATCH(ROWS($AH$2:AH547),$AH$2:$AH$1001,0),0), INDEX($AO$1004:$BQ$1004,1,MATCH(COLUMNS($AO$1006:BA1006),$AO$1006:$BQ$1006,0)))),"Fix")))</f>
        <v>#N/A</v>
      </c>
      <c r="O547" s="5" t="e">
        <f ca="1">IF(OR(INDEX($AI$2:$AI$1001,MATCH(ROWS($AH$2:AH547),$AH$2:$AH$1001,0),1)&gt;=100000,INDEX($AO$1005:$BQ$1005,1,MATCH(COLUMNS($AO$1006:BB1006),$AO$1006:$BQ$1006,0))&gt;=100000), " ",IF(INDEX($AO$2:$BQ$1001,MATCH(ROWS($AH$2:AH547),$AH$2:$AH$1001,0),MATCH(COLUMNS($AO$1006:BB1006),$AO$1006:$BQ$1006,0)), HYPERLINK("#",""), HYPERLINK(CONCATENATE("#Metadata!", ADDRESS(INDEX($AJ$2:$AJ$1001,MATCH(ROWS($AH$2:AH547),$AH$2:$AH$1001,0),0), INDEX($AO$1004:$BQ$1004,1,MATCH(COLUMNS($AO$1006:BB1006),$AO$1006:$BQ$1006,0)))),"Fix")))</f>
        <v>#N/A</v>
      </c>
      <c r="P547" s="5" t="e">
        <f ca="1">IF(OR(INDEX($AI$2:$AI$1001,MATCH(ROWS($AH$2:AH547),$AH$2:$AH$1001,0),1)&gt;=100000,INDEX($AO$1005:$BQ$1005,1,MATCH(COLUMNS($AO$1006:BC1006),$AO$1006:$BQ$1006,0))&gt;=100000), " ",IF(INDEX($AO$2:$BQ$1001,MATCH(ROWS($AH$2:AH547),$AH$2:$AH$1001,0),MATCH(COLUMNS($AO$1006:BC1006),$AO$1006:$BQ$1006,0)), HYPERLINK("#",""), HYPERLINK(CONCATENATE("#Metadata!", ADDRESS(INDEX($AJ$2:$AJ$1001,MATCH(ROWS($AH$2:AH547),$AH$2:$AH$1001,0),0), INDEX($AO$1004:$BQ$1004,1,MATCH(COLUMNS($AO$1006:BC1006),$AO$1006:$BQ$1006,0)))),"Fix")))</f>
        <v>#N/A</v>
      </c>
      <c r="Q547" s="5" t="e">
        <f ca="1">IF(OR(INDEX($AI$2:$AI$1001,MATCH(ROWS($AH$2:AH547),$AH$2:$AH$1001,0),1)&gt;=100000,INDEX($AO$1005:$BQ$1005,1,MATCH(COLUMNS($AO$1006:BD1006),$AO$1006:$BQ$1006,0))&gt;=100000), " ",IF(INDEX($AO$2:$BQ$1001,MATCH(ROWS($AH$2:AH547),$AH$2:$AH$1001,0),MATCH(COLUMNS($AO$1006:BD1006),$AO$1006:$BQ$1006,0)), HYPERLINK("#",""), HYPERLINK(CONCATENATE("#Metadata!", ADDRESS(INDEX($AJ$2:$AJ$1001,MATCH(ROWS($AH$2:AH547),$AH$2:$AH$1001,0),0), INDEX($AO$1004:$BQ$1004,1,MATCH(COLUMNS($AO$1006:BD1006),$AO$1006:$BQ$1006,0)))),"Fix")))</f>
        <v>#N/A</v>
      </c>
      <c r="R547" s="5" t="e">
        <f ca="1">IF(OR(INDEX($AI$2:$AI$1001,MATCH(ROWS($AH$2:AH547),$AH$2:$AH$1001,0),1)&gt;=100000,INDEX($AO$1005:$BQ$1005,1,MATCH(COLUMNS($AO$1006:BE1006),$AO$1006:$BQ$1006,0))&gt;=100000), " ",IF(INDEX($AO$2:$BQ$1001,MATCH(ROWS($AH$2:AH547),$AH$2:$AH$1001,0),MATCH(COLUMNS($AO$1006:BE1006),$AO$1006:$BQ$1006,0)), HYPERLINK("#",""), HYPERLINK(CONCATENATE("#Metadata!", ADDRESS(INDEX($AJ$2:$AJ$1001,MATCH(ROWS($AH$2:AH547),$AH$2:$AH$1001,0),0), INDEX($AO$1004:$BQ$1004,1,MATCH(COLUMNS($AO$1006:BE1006),$AO$1006:$BQ$1006,0)))),"Fix")))</f>
        <v>#N/A</v>
      </c>
      <c r="S547" s="5" t="e">
        <f ca="1">IF(OR(INDEX($AI$2:$AI$1001,MATCH(ROWS($AH$2:AH547),$AH$2:$AH$1001,0),1)&gt;=100000,INDEX($AO$1005:$BQ$1005,1,MATCH(COLUMNS($AO$1006:BF1006),$AO$1006:$BQ$1006,0))&gt;=100000), " ",IF(INDEX($AO$2:$BQ$1001,MATCH(ROWS($AH$2:AH547),$AH$2:$AH$1001,0),MATCH(COLUMNS($AO$1006:BF1006),$AO$1006:$BQ$1006,0)), HYPERLINK("#",""), HYPERLINK(CONCATENATE("#Metadata!", ADDRESS(INDEX($AJ$2:$AJ$1001,MATCH(ROWS($AH$2:AH547),$AH$2:$AH$1001,0),0), INDEX($AO$1004:$BQ$1004,1,MATCH(COLUMNS($AO$1006:BF1006),$AO$1006:$BQ$1006,0)))),"Fix")))</f>
        <v>#N/A</v>
      </c>
      <c r="T547" s="5" t="e">
        <f ca="1">IF(OR(INDEX($AI$2:$AI$1001,MATCH(ROWS($AH$2:AH547),$AH$2:$AH$1001,0),1)&gt;=100000,INDEX($AO$1005:$BQ$1005,1,MATCH(COLUMNS($AO$1006:BG1006),$AO$1006:$BQ$1006,0))&gt;=100000), " ",IF(INDEX($AO$2:$BQ$1001,MATCH(ROWS($AH$2:AH547),$AH$2:$AH$1001,0),MATCH(COLUMNS($AO$1006:BG1006),$AO$1006:$BQ$1006,0)), HYPERLINK("#",""), HYPERLINK(CONCATENATE("#Metadata!", ADDRESS(INDEX($AJ$2:$AJ$1001,MATCH(ROWS($AH$2:AH547),$AH$2:$AH$1001,0),0), INDEX($AO$1004:$BQ$1004,1,MATCH(COLUMNS($AO$1006:BG1006),$AO$1006:$BQ$1006,0)))),"Fix")))</f>
        <v>#N/A</v>
      </c>
      <c r="U547" s="5" t="e">
        <f ca="1">IF(OR(INDEX($AI$2:$AI$1001,MATCH(ROWS($AH$2:AH547),$AH$2:$AH$1001,0),1)&gt;=100000,INDEX($AO$1005:$BQ$1005,1,MATCH(COLUMNS($AO$1006:BH1006),$AO$1006:$BQ$1006,0))&gt;=100000), " ",IF(INDEX($AO$2:$BQ$1001,MATCH(ROWS($AH$2:AH547),$AH$2:$AH$1001,0),MATCH(COLUMNS($AO$1006:BH1006),$AO$1006:$BQ$1006,0)), HYPERLINK("#",""), HYPERLINK(CONCATENATE("#Metadata!", ADDRESS(INDEX($AJ$2:$AJ$1001,MATCH(ROWS($AH$2:AH547),$AH$2:$AH$1001,0),0), INDEX($AO$1004:$BQ$1004,1,MATCH(COLUMNS($AO$1006:BH1006),$AO$1006:$BQ$1006,0)))),"Fix")))</f>
        <v>#N/A</v>
      </c>
      <c r="V547" s="5" t="e">
        <f ca="1">IF(OR(INDEX($AI$2:$AI$1001,MATCH(ROWS($AH$2:AH547),$AH$2:$AH$1001,0),1)&gt;=100000,INDEX($AO$1005:$BQ$1005,1,MATCH(COLUMNS($AO$1006:BI1006),$AO$1006:$BQ$1006,0))&gt;=100000), " ",IF(INDEX($AO$2:$BQ$1001,MATCH(ROWS($AH$2:AH547),$AH$2:$AH$1001,0),MATCH(COLUMNS($AO$1006:BI1006),$AO$1006:$BQ$1006,0)), HYPERLINK("#",""), HYPERLINK(CONCATENATE("#Metadata!", ADDRESS(INDEX($AJ$2:$AJ$1001,MATCH(ROWS($AH$2:AH547),$AH$2:$AH$1001,0),0), INDEX($AO$1004:$BQ$1004,1,MATCH(COLUMNS($AO$1006:BI1006),$AO$1006:$BQ$1006,0)))),"Fix")))</f>
        <v>#N/A</v>
      </c>
      <c r="W547" s="5" t="e">
        <f ca="1">IF(OR(INDEX($AI$2:$AI$1001,MATCH(ROWS($AH$2:AH547),$AH$2:$AH$1001,0),1)&gt;=100000,INDEX($AO$1005:$BQ$1005,1,MATCH(COLUMNS($AO$1006:BJ1006),$AO$1006:$BQ$1006,0))&gt;=100000), " ",IF(INDEX($AO$2:$BQ$1001,MATCH(ROWS($AH$2:AH547),$AH$2:$AH$1001,0),MATCH(COLUMNS($AO$1006:BJ1006),$AO$1006:$BQ$1006,0)), HYPERLINK("#",""), HYPERLINK(CONCATENATE("#Metadata!", ADDRESS(INDEX($AJ$2:$AJ$1001,MATCH(ROWS($AH$2:AH547),$AH$2:$AH$1001,0),0), INDEX($AO$1004:$BQ$1004,1,MATCH(COLUMNS($AO$1006:BJ1006),$AO$1006:$BQ$1006,0)))),"Fix")))</f>
        <v>#N/A</v>
      </c>
      <c r="X547" s="5" t="e">
        <f ca="1">IF(OR(INDEX($AI$2:$AI$1001,MATCH(ROWS($AH$2:AH547),$AH$2:$AH$1001,0),1)&gt;=100000,INDEX($AO$1005:$BQ$1005,1,MATCH(COLUMNS($AO$1006:BK1006),$AO$1006:$BQ$1006,0))&gt;=100000), " ",IF(INDEX($AO$2:$BQ$1001,MATCH(ROWS($AH$2:AH547),$AH$2:$AH$1001,0),MATCH(COLUMNS($AO$1006:BK1006),$AO$1006:$BQ$1006,0)), HYPERLINK("#",""), HYPERLINK(CONCATENATE("#Metadata!", ADDRESS(INDEX($AJ$2:$AJ$1001,MATCH(ROWS($AH$2:AH547),$AH$2:$AH$1001,0),0), INDEX($AO$1004:$BQ$1004,1,MATCH(COLUMNS($AO$1006:BK1006),$AO$1006:$BQ$1006,0)))),"Fix")))</f>
        <v>#N/A</v>
      </c>
      <c r="Y547" s="5" t="e">
        <f ca="1">IF(OR(INDEX($AI$2:$AI$1001,MATCH(ROWS($AH$2:AH547),$AH$2:$AH$1001,0),1)&gt;=100000,INDEX($AO$1005:$BQ$1005,1,MATCH(COLUMNS($AO$1006:BL1006),$AO$1006:$BQ$1006,0))&gt;=100000), " ",IF(INDEX($AO$2:$BQ$1001,MATCH(ROWS($AH$2:AH547),$AH$2:$AH$1001,0),MATCH(COLUMNS($AO$1006:BL1006),$AO$1006:$BQ$1006,0)), HYPERLINK("#",""), HYPERLINK(CONCATENATE("#Metadata!", ADDRESS(INDEX($AJ$2:$AJ$1001,MATCH(ROWS($AH$2:AH547),$AH$2:$AH$1001,0),0), INDEX($AO$1004:$BQ$1004,1,MATCH(COLUMNS($AO$1006:BL1006),$AO$1006:$BQ$1006,0)))),"Fix")))</f>
        <v>#N/A</v>
      </c>
      <c r="Z547" s="5" t="e">
        <f ca="1">IF(OR(INDEX($AI$2:$AI$1001,MATCH(ROWS($AH$2:AH547),$AH$2:$AH$1001,0),1)&gt;=100000,INDEX($AO$1005:$BQ$1005,1,MATCH(COLUMNS($AO$1006:BM1006),$AO$1006:$BQ$1006,0))&gt;=100000), " ",IF(INDEX($AO$2:$BQ$1001,MATCH(ROWS($AH$2:AH547),$AH$2:$AH$1001,0),MATCH(COLUMNS($AO$1006:BM1006),$AO$1006:$BQ$1006,0)), HYPERLINK("#",""), HYPERLINK(CONCATENATE("#Metadata!", ADDRESS(INDEX($AJ$2:$AJ$1001,MATCH(ROWS($AH$2:AH547),$AH$2:$AH$1001,0),0), INDEX($AO$1004:$BQ$1004,1,MATCH(COLUMNS($AO$1006:BM1006),$AO$1006:$BQ$1006,0)))),"Fix")))</f>
        <v>#N/A</v>
      </c>
      <c r="AA547" s="5" t="e">
        <f ca="1">IF(OR(INDEX($AI$2:$AI$1001,MATCH(ROWS($AH$2:AH547),$AH$2:$AH$1001,0),1)&gt;=100000,INDEX($AO$1005:$BQ$1005,1,MATCH(COLUMNS($AO$1006:BN1006),$AO$1006:$BQ$1006,0))&gt;=100000), " ",IF(INDEX($AO$2:$BQ$1001,MATCH(ROWS($AH$2:AH547),$AH$2:$AH$1001,0),MATCH(COLUMNS($AO$1006:BN1006),$AO$1006:$BQ$1006,0)), HYPERLINK("#",""), HYPERLINK(CONCATENATE("#Metadata!", ADDRESS(INDEX($AJ$2:$AJ$1001,MATCH(ROWS($AH$2:AH547),$AH$2:$AH$1001,0),0), INDEX($AO$1004:$BQ$1004,1,MATCH(COLUMNS($AO$1006:BN1006),$AO$1006:$BQ$1006,0)))),"Fix")))</f>
        <v>#N/A</v>
      </c>
      <c r="AB547" s="5" t="e">
        <f ca="1">IF(OR(INDEX($AI$2:$AI$1001,MATCH(ROWS($AH$2:AH547),$AH$2:$AH$1001,0),1)&gt;=100000,INDEX($AO$1005:$BQ$1005,1,MATCH(COLUMNS($AO$1006:BO1006),$AO$1006:$BQ$1006,0))&gt;=100000), " ",IF(INDEX($AO$2:$BQ$1001,MATCH(ROWS($AH$2:AH547),$AH$2:$AH$1001,0),MATCH(COLUMNS($AO$1006:BO1006),$AO$1006:$BQ$1006,0)), HYPERLINK("#",""), HYPERLINK(CONCATENATE("#Metadata!", ADDRESS(INDEX($AJ$2:$AJ$1001,MATCH(ROWS($AH$2:AH547),$AH$2:$AH$1001,0),0), INDEX($AO$1004:$BQ$1004,1,MATCH(COLUMNS($AO$1006:BO1006),$AO$1006:$BQ$1006,0)))),"Fix")))</f>
        <v>#N/A</v>
      </c>
      <c r="AC547" s="5" t="e">
        <f ca="1">IF(OR(INDEX($AI$2:$AI$1001,MATCH(ROWS($AH$2:AH547),$AH$2:$AH$1001,0),1)&gt;=100000,INDEX($AO$1005:$BQ$1005,1,MATCH(COLUMNS($AO$1006:BP1006),$AO$1006:$BQ$1006,0))&gt;=100000), " ",IF(INDEX($AO$2:$BQ$1001,MATCH(ROWS($AH$2:AH547),$AH$2:$AH$1001,0),MATCH(COLUMNS($AO$1006:BP1006),$AO$1006:$BQ$1006,0)), HYPERLINK("#",""), HYPERLINK(CONCATENATE("#Metadata!", ADDRESS(INDEX($AJ$2:$AJ$1001,MATCH(ROWS($AH$2:AH547),$AH$2:$AH$1001,0),0), INDEX($AO$1004:$BQ$1004,1,MATCH(COLUMNS($AO$1006:BP1006),$AO$1006:$BQ$1006,0)))),"Fix")))</f>
        <v>#N/A</v>
      </c>
      <c r="AD547" s="5" t="e">
        <f ca="1">IF(OR(INDEX($AI$2:$AI$1001,MATCH(ROWS($AH$2:AH547),$AH$2:$AH$1001,0),1)&gt;=100000,INDEX($AO$1005:$BQ$1005,1,MATCH(COLUMNS($AO$1006:BQ1006),$AO$1006:$BQ$1006,0))&gt;=100000), " ",IF(INDEX($AO$2:$BQ$1001,MATCH(ROWS($AH$2:AH547),$AH$2:$AH$1001,0),MATCH(COLUMNS($AO$1006:BQ1006),$AO$1006:$BQ$1006,0)), HYPERLINK("#",""), HYPERLINK(CONCATENATE("#Metadata!", ADDRESS(INDEX($AJ$2:$AJ$1001,MATCH(ROWS($AH$2:AH547),$AH$2:$AH$1001,0),0), INDEX($AO$1004:$BQ$1004,1,MATCH(COLUMNS($AO$1006:BQ1006),$AO$1006:$BQ$1006,0)))),"Fix")))</f>
        <v>#REF!</v>
      </c>
      <c r="AH547">
        <f ca="1"/>
        <v>544</v>
      </c>
      <c r="AI547">
        <v>100547</v>
      </c>
      <c r="AJ547">
        <v>547</v>
      </c>
      <c r="AK547" t="b">
        <f t="shared" si="8"/>
        <v>1</v>
      </c>
      <c r="AL547" t="b">
        <f>COUNTBLANK(Metadata!B547:AD547)=COLUMNS(Metadata!B547:AD547)</f>
        <v>1</v>
      </c>
      <c r="AM547" t="str">
        <v/>
      </c>
      <c r="AO547" t="b">
        <f ca="1">AND(IF(Metadata!B547="",FALSE,TRUE),COUNTIF(Metadata!B:B, Metadata!B547) = 1,NOT(ISERROR(SUMPRODUCT(SEARCH(MID(Metadata!B547,ROW(INDIRECT("1:"&amp;LEN(Metadata!B547))), 1),"0123456789abcdefghijklmnopqrstuvwxyzABCDEFGHIJKLMNOPQRSTUVWXYZ.")))))</f>
        <v>0</v>
      </c>
      <c r="AP547" t="b">
        <f>IF(Metadata!C547="",FALSE,TRUE)</f>
        <v>0</v>
      </c>
      <c r="AQ547" t="b">
        <f>IF(Metadata!D547="",FALSE,TRUE)</f>
        <v>0</v>
      </c>
      <c r="AR547" t="b">
        <f ca="1">OR(AND(IF(Metadata!E547="",FALSE,TRUE),OR(EXACT(Metadata!E547,"not collected"),EXACT(Metadata!E547,"not provided"),EXACT(Metadata!E547,"restricted access"))),AND(IF(Metadata!E547="",FALSE,TRUE),AND(AND(IFERROR(INT(LEFT(Metadata!E547,4))&gt;1900,FALSE),IFERROR(INT(LEFT(Metadata!E547,4))&lt;=YEAR(NOW()),FALSE)), OR(MID(Metadata!E547,5,1)="", AND(AND(MID(Metadata!E547,5,1)="-",IFERROR(INT(MID(Metadata!E547,6,1))&gt;=0,FALSE),IFERROR(INT(MID(Metadata!E547,6,1))&lt;=1,FALSE),NOT(MID(Metadata!E547,7,1)=""),IFERROR(INT(MID(Metadata!E547,6,2))&gt;=1,FALSE),IFERROR(INT(MID(Metadata!E547,6,2))&lt;=12,FALSE)), OR(MID(Metadata!E547,8,1)="", AND(AND(MID(Metadata!E547,8,1)="-",IFERROR(INT(MID(Metadata!E547,9,1))&gt;=0,FALSE),IFERROR(INT(MID(Metadata!E547,9,1))&lt;=3,FALSE),NOT(MID(Metadata!E547,10,1)=""),IFERROR(INT(MID(Metadata!E547,9,2))&gt;=1,FALSE),IFERROR(INT(MID(Metadata!E547,9,2))&lt;=31,FALSE)), OR(MID(Metadata!E547,11,1)="", AND(AND(MID(Metadata!E547,11,1)=" ",IFERROR(INT(MID(Metadata!E547,12,1))&gt;=0,FALSE),IFERROR(INT(MID(Metadata!E547,12,1))&lt;=2,FALSE),NOT(MID(Metadata!E547,13,1)=""),IFERROR(INT(MID(Metadata!E547,12,2))&gt;=0,FALSE),IFERROR(INT(MID(Metadata!E547,12,2))&lt;=23,FALSE)), OR(MID(Metadata!E547,14,1)="", AND(AND(MID(Metadata!E547,14,1)=":",IFERROR(INT(MID(Metadata!E547,15,1))&gt;=0,FALSE),IFERROR(INT(MID(Metadata!E547,15,1))&lt;=5,FALSE),NOT(MID(Metadata!E547,16,1)=""),IFERROR(INT(MID(Metadata!E547,15,2))&gt;=0,FALSE),IFERROR(INT(MID(Metadata!E547,15,2))&lt;=59,FALSE)), OR(MID(Metadata!E547,17,1)="", AND(AND(MID(Metadata!E547,17,1)=":",IFERROR(INT(MID(Metadata!E547,18,1))&gt;=0,FALSE),IFERROR(INT(MID(Metadata!E547,18,1))&lt;=5,FALSE),NOT(MID(Metadata!E547,19,1)=""),IFERROR(INT(MID(Metadata!E547,18,2))&gt;=0,FALSE),IFERROR(INT(MID(Metadata!E547,18,2))&lt;=59,FALSE)), LEN(Metadata!E547)&lt;=19)))))))))))))</f>
        <v>0</v>
      </c>
      <c r="AS547" t="b">
        <f>IF(Metadata!F547="",FALSE,TRUE)</f>
        <v>0</v>
      </c>
      <c r="AT547" t="b">
        <f>OR(AND(IF(Metadata!G547="",FALSE,TRUE),OR(EXACT(Metadata!G547,"not collected"),EXACT(Metadata!G547,"not provided"))),AND(IF(Metadata!G547="",FALSE,TRUE),OR(EXACT(Metadata!G547,"TRUE"),EXACT(Metadata!G547,"FALSE"))))</f>
        <v>0</v>
      </c>
      <c r="AU547" t="b">
        <f>OR(AND(IF(Metadata!H547="",FALSE,TRUE),OR(EXACT(Metadata!H547,"not collected"),EXACT(Metadata!H547,"not provided"),EXACT(Metadata!H547,"restricted access"))),AND(IF(Metadata!H547="",FALSE,ISNUMBER(VALUE(Metadata!H547))),Metadata!H547&gt;=-413))</f>
        <v>0</v>
      </c>
      <c r="AV547" t="b">
        <f>AND(IF(Metadata!I547="",FALSE,TRUE),EXACT(Metadata!I547,"meters"))</f>
        <v>0</v>
      </c>
      <c r="AW547" t="b">
        <f>AND(IF(Metadata!J547="",FALSE,TRUE),EXACT(Metadata!J547,"free-living"))</f>
        <v>0</v>
      </c>
      <c r="AX547" t="b">
        <f>AND(IF(Metadata!K547="",FALSE,TRUE),OR(EXACT(Metadata!K547,"saline"),EXACT(Metadata!K547,"non-saline")))</f>
        <v>0</v>
      </c>
      <c r="AY547" t="b">
        <f>AND(IF(Metadata!L547="",FALSE,TRUE),OR(EXACT(Metadata!L547,"sub-surface (non-saline)"),EXACT(Metadata!L547,"surface (non-saline)"),EXACT(Metadata!L547,"water (non-saline)"),EXACT(Metadata!L547,"soil (non-saline)"),EXACT(Metadata!L547,"aerosol (non-saline)"),EXACT(Metadata!L547,"sediment (non-saline)"),EXACT(Metadata!L547,"surface (saline)"),EXACT(Metadata!L547,"water (saline)"),EXACT(Metadata!L547,"hypersaline (saline)"),EXACT(Metadata!L547,"aerosol (saline)"),EXACT(Metadata!L547,"sediment (saline)")))</f>
        <v>0</v>
      </c>
      <c r="AZ547" t="b">
        <f>IF(Metadata!M547="",FALSE,TRUE)</f>
        <v>0</v>
      </c>
      <c r="BA547" t="b">
        <f>IF(Metadata!N547="",FALSE,TRUE)</f>
        <v>0</v>
      </c>
      <c r="BB547" t="b">
        <f>IF(Metadata!O547="",FALSE,TRUE)</f>
        <v>0</v>
      </c>
      <c r="BC547" t="b">
        <f>AND(IF(Metadata!P547="",FALSE,TRUE),OR(EXACT(Metadata!P547,"air"),EXACT(Metadata!P547,"microbial mat/biofilm"),EXACT(Metadata!P547,"misc environment"),EXACT(Metadata!P547,"sediment"),EXACT(Metadata!P547,"soil"),EXACT(Metadata!P547,"wastewater/sludge"),EXACT(Metadata!P547,"water")))</f>
        <v>0</v>
      </c>
      <c r="BD547" t="b">
        <f>IF(Metadata!Q547="",FALSE,TRUE)</f>
        <v>0</v>
      </c>
      <c r="BE547" t="b">
        <f>IF(Metadata!R547="",FALSE,TRUE)</f>
        <v>0</v>
      </c>
      <c r="BF547" t="b">
        <f>OR(AND(IF(Metadata!S547="",FALSE,TRUE),OR(EXACT(Metadata!S547,"not collected"),EXACT(Metadata!S547,"not provided"),EXACT(Metadata!S547,"restricted access"))),AND(IF(Metadata!S547="",FALSE,ISNUMBER(VALUE(Metadata!S547))),Metadata!S547&gt;=-90,Metadata!S547&lt;=90))</f>
        <v>0</v>
      </c>
      <c r="BG547" t="b">
        <f>AND(IF(Metadata!T547="",FALSE,TRUE),EXACT(Metadata!T547,"Decimal degrees"))</f>
        <v>0</v>
      </c>
      <c r="BH547" t="b">
        <f>OR(AND(IF(Metadata!U547="",FALSE,TRUE),OR(EXACT(Metadata!U547,"not applicable"),EXACT(Metadata!U547,"not collected"))),IF(Metadata!U547="",FALSE,TRUE))</f>
        <v>0</v>
      </c>
      <c r="BI547" t="b">
        <f>OR(AND(IF(Metadata!V547="",FALSE,TRUE),OR(EXACT(Metadata!V547,"not collected"),EXACT(Metadata!V547,"not provided"),EXACT(Metadata!V547,"restricted access"))),AND(IF(Metadata!V547="",FALSE,ISNUMBER(VALUE(Metadata!V547))),Metadata!V547&gt;=-180,Metadata!V547&lt;=180))</f>
        <v>0</v>
      </c>
      <c r="BJ547" t="b">
        <f>AND(IF(Metadata!W547="",FALSE,TRUE),EXACT(Metadata!W547,"Decimal degrees"))</f>
        <v>0</v>
      </c>
      <c r="BK547" t="b">
        <f>IF(Metadata!X547="",FALSE,TRUE)</f>
        <v>0</v>
      </c>
      <c r="BL547" t="b">
        <f>OR(AND(IF(Metadata!Y547="",FALSE,TRUE),OR(EXACT(Metadata!Y547,"not collected"),EXACT(Metadata!Y547,"not provided"),EXACT(Metadata!Y547,"restricted access"))),AND(IF(Metadata!Y547="",FALSE,TRUE),OR(EXACT(Metadata!Y547,"TRUE"),EXACT(Metadata!Y547,"FALSE"))))</f>
        <v>0</v>
      </c>
      <c r="BM547" t="b">
        <f>OR(AND(IF(Metadata!Z547="",FALSE,TRUE),EXACT(Metadata!Z547,"not applicable")),AND(IF(Metadata!Z547="",FALSE,TRUE),OR(EXACT(Metadata!Z547,"beer"),EXACT(Metadata!Z547,"cheese"),EXACT(Metadata!Z547,"fresh water"),EXACT(Metadata!Z547,"marine sediment"),EXACT(Metadata!Z547,"sea water"),EXACT(Metadata!Z547,"sediment"),EXACT(Metadata!Z547,"soil"),EXACT(Metadata!Z547,"waste water"))))</f>
        <v>0</v>
      </c>
      <c r="BN547" t="b">
        <f>AND(IF(Metadata!AA547="",FALSE,TRUE),EXACT(Metadata!AA547,"metagenome"))</f>
        <v>0</v>
      </c>
      <c r="BO547" t="b">
        <f>AND(IF(Metadata!AB547="",FALSE,TRUE),EXACT(Metadata!AB547,"256318"))</f>
        <v>0</v>
      </c>
      <c r="BP547" t="b">
        <f>IF(Metadata!AC547="",FALSE,TRUE)</f>
        <v>0</v>
      </c>
      <c r="BQ547" t="b">
        <f>IF(Metadata!AD547="",FALSE,TRUE)</f>
        <v>0</v>
      </c>
    </row>
    <row r="548" spans="1:69" x14ac:dyDescent="0.2">
      <c r="A548" s="4" t="e">
        <f ca="1">IF(B548=" "," ",HYPERLINK(CONCATENATE("#metadata!",ADDRESS(INDEX($AJ$2:$AJ$1001,MATCH(ROWS($AH$2:AH548),$AH$2:$AH$1001,0),0),2)),INDEX($AM$2:$AM$1001,MATCH(ROWS($AH$2:AH548),$AH$2:$AH$1001,0),0)))</f>
        <v>#N/A</v>
      </c>
      <c r="B548" s="5" t="e">
        <f ca="1">IF(OR(INDEX($AI$2:$AI$1001,MATCH(ROWS($AH$2:AH548),$AH$2:$AH$1001,0),1)&gt;=100000,INDEX($AO$1005:$BQ$1005,1,MATCH(COLUMNS($AO$1006:AO1006),$AO$1006:$BQ$1006,0))&gt;=100000), " ",IF(INDEX($AO$2:$BQ$1001,MATCH(ROWS($AH$2:AH548),$AH$2:$AH$1001,0),MATCH(COLUMNS($AO$1006:AO1006),$AO$1006:$BQ$1006,0)), HYPERLINK("#",""), HYPERLINK(CONCATENATE("#Metadata!", ADDRESS(INDEX($AJ$2:$AJ$1001,MATCH(ROWS($AH$2:AH548),$AH$2:$AH$1001,0),0), INDEX($AO$1004:$BQ$1004,1,MATCH(COLUMNS($AO$1006:AO1006),$AO$1006:$BQ$1006,0)))),"Fix")))</f>
        <v>#N/A</v>
      </c>
      <c r="C548" s="5" t="e">
        <f ca="1">IF(OR(INDEX($AI$2:$AI$1001,MATCH(ROWS($AH$2:AH548),$AH$2:$AH$1001,0),1)&gt;=100000,INDEX($AO$1005:$BQ$1005,1,MATCH(COLUMNS($AO$1006:AP1006),$AO$1006:$BQ$1006,0))&gt;=100000), " ",IF(INDEX($AO$2:$BQ$1001,MATCH(ROWS($AH$2:AH548),$AH$2:$AH$1001,0),MATCH(COLUMNS($AO$1006:AP1006),$AO$1006:$BQ$1006,0)), HYPERLINK("#",""), HYPERLINK(CONCATENATE("#Metadata!", ADDRESS(INDEX($AJ$2:$AJ$1001,MATCH(ROWS($AH$2:AH548),$AH$2:$AH$1001,0),0), INDEX($AO$1004:$BQ$1004,1,MATCH(COLUMNS($AO$1006:AP1006),$AO$1006:$BQ$1006,0)))),"Fix")))</f>
        <v>#N/A</v>
      </c>
      <c r="D548" s="5" t="e">
        <f ca="1">IF(OR(INDEX($AI$2:$AI$1001,MATCH(ROWS($AH$2:AH548),$AH$2:$AH$1001,0),1)&gt;=100000,INDEX($AO$1005:$BQ$1005,1,MATCH(COLUMNS($AO$1006:AQ1006),$AO$1006:$BQ$1006,0))&gt;=100000), " ",IF(INDEX($AO$2:$BQ$1001,MATCH(ROWS($AH$2:AH548),$AH$2:$AH$1001,0),MATCH(COLUMNS($AO$1006:AQ1006),$AO$1006:$BQ$1006,0)), HYPERLINK("#",""), HYPERLINK(CONCATENATE("#Metadata!", ADDRESS(INDEX($AJ$2:$AJ$1001,MATCH(ROWS($AH$2:AH548),$AH$2:$AH$1001,0),0), INDEX($AO$1004:$BQ$1004,1,MATCH(COLUMNS($AO$1006:AQ1006),$AO$1006:$BQ$1006,0)))),"Fix")))</f>
        <v>#N/A</v>
      </c>
      <c r="E548" s="5" t="e">
        <f ca="1">IF(OR(INDEX($AI$2:$AI$1001,MATCH(ROWS($AH$2:AH548),$AH$2:$AH$1001,0),1)&gt;=100000,INDEX($AO$1005:$BQ$1005,1,MATCH(COLUMNS($AO$1006:AR1006),$AO$1006:$BQ$1006,0))&gt;=100000), " ",IF(INDEX($AO$2:$BQ$1001,MATCH(ROWS($AH$2:AH548),$AH$2:$AH$1001,0),MATCH(COLUMNS($AO$1006:AR1006),$AO$1006:$BQ$1006,0)), HYPERLINK("#",""), HYPERLINK(CONCATENATE("#Metadata!", ADDRESS(INDEX($AJ$2:$AJ$1001,MATCH(ROWS($AH$2:AH548),$AH$2:$AH$1001,0),0), INDEX($AO$1004:$BQ$1004,1,MATCH(COLUMNS($AO$1006:AR1006),$AO$1006:$BQ$1006,0)))),"Fix")))</f>
        <v>#N/A</v>
      </c>
      <c r="F548" s="5" t="e">
        <f ca="1">IF(OR(INDEX($AI$2:$AI$1001,MATCH(ROWS($AH$2:AH548),$AH$2:$AH$1001,0),1)&gt;=100000,INDEX($AO$1005:$BQ$1005,1,MATCH(COLUMNS($AO$1006:AS1006),$AO$1006:$BQ$1006,0))&gt;=100000), " ",IF(INDEX($AO$2:$BQ$1001,MATCH(ROWS($AH$2:AH548),$AH$2:$AH$1001,0),MATCH(COLUMNS($AO$1006:AS1006),$AO$1006:$BQ$1006,0)), HYPERLINK("#",""), HYPERLINK(CONCATENATE("#Metadata!", ADDRESS(INDEX($AJ$2:$AJ$1001,MATCH(ROWS($AH$2:AH548),$AH$2:$AH$1001,0),0), INDEX($AO$1004:$BQ$1004,1,MATCH(COLUMNS($AO$1006:AS1006),$AO$1006:$BQ$1006,0)))),"Fix")))</f>
        <v>#N/A</v>
      </c>
      <c r="G548" s="5" t="e">
        <f ca="1">IF(OR(INDEX($AI$2:$AI$1001,MATCH(ROWS($AH$2:AH548),$AH$2:$AH$1001,0),1)&gt;=100000,INDEX($AO$1005:$BQ$1005,1,MATCH(COLUMNS($AO$1006:AT1006),$AO$1006:$BQ$1006,0))&gt;=100000), " ",IF(INDEX($AO$2:$BQ$1001,MATCH(ROWS($AH$2:AH548),$AH$2:$AH$1001,0),MATCH(COLUMNS($AO$1006:AT1006),$AO$1006:$BQ$1006,0)), HYPERLINK("#",""), HYPERLINK(CONCATENATE("#Metadata!", ADDRESS(INDEX($AJ$2:$AJ$1001,MATCH(ROWS($AH$2:AH548),$AH$2:$AH$1001,0),0), INDEX($AO$1004:$BQ$1004,1,MATCH(COLUMNS($AO$1006:AT1006),$AO$1006:$BQ$1006,0)))),"Fix")))</f>
        <v>#N/A</v>
      </c>
      <c r="H548" s="5" t="e">
        <f ca="1">IF(OR(INDEX($AI$2:$AI$1001,MATCH(ROWS($AH$2:AH548),$AH$2:$AH$1001,0),1)&gt;=100000,INDEX($AO$1005:$BQ$1005,1,MATCH(COLUMNS($AO$1006:AU1006),$AO$1006:$BQ$1006,0))&gt;=100000), " ",IF(INDEX($AO$2:$BQ$1001,MATCH(ROWS($AH$2:AH548),$AH$2:$AH$1001,0),MATCH(COLUMNS($AO$1006:AU1006),$AO$1006:$BQ$1006,0)), HYPERLINK("#",""), HYPERLINK(CONCATENATE("#Metadata!", ADDRESS(INDEX($AJ$2:$AJ$1001,MATCH(ROWS($AH$2:AH548),$AH$2:$AH$1001,0),0), INDEX($AO$1004:$BQ$1004,1,MATCH(COLUMNS($AO$1006:AU1006),$AO$1006:$BQ$1006,0)))),"Fix")))</f>
        <v>#N/A</v>
      </c>
      <c r="I548" s="5" t="e">
        <f ca="1">IF(OR(INDEX($AI$2:$AI$1001,MATCH(ROWS($AH$2:AH548),$AH$2:$AH$1001,0),1)&gt;=100000,INDEX($AO$1005:$BQ$1005,1,MATCH(COLUMNS($AO$1006:AV1006),$AO$1006:$BQ$1006,0))&gt;=100000), " ",IF(INDEX($AO$2:$BQ$1001,MATCH(ROWS($AH$2:AH548),$AH$2:$AH$1001,0),MATCH(COLUMNS($AO$1006:AV1006),$AO$1006:$BQ$1006,0)), HYPERLINK("#",""), HYPERLINK(CONCATENATE("#Metadata!", ADDRESS(INDEX($AJ$2:$AJ$1001,MATCH(ROWS($AH$2:AH548),$AH$2:$AH$1001,0),0), INDEX($AO$1004:$BQ$1004,1,MATCH(COLUMNS($AO$1006:AV1006),$AO$1006:$BQ$1006,0)))),"Fix")))</f>
        <v>#N/A</v>
      </c>
      <c r="J548" s="5" t="e">
        <f ca="1">IF(OR(INDEX($AI$2:$AI$1001,MATCH(ROWS($AH$2:AH548),$AH$2:$AH$1001,0),1)&gt;=100000,INDEX($AO$1005:$BQ$1005,1,MATCH(COLUMNS($AO$1006:AW1006),$AO$1006:$BQ$1006,0))&gt;=100000), " ",IF(INDEX($AO$2:$BQ$1001,MATCH(ROWS($AH$2:AH548),$AH$2:$AH$1001,0),MATCH(COLUMNS($AO$1006:AW1006),$AO$1006:$BQ$1006,0)), HYPERLINK("#",""), HYPERLINK(CONCATENATE("#Metadata!", ADDRESS(INDEX($AJ$2:$AJ$1001,MATCH(ROWS($AH$2:AH548),$AH$2:$AH$1001,0),0), INDEX($AO$1004:$BQ$1004,1,MATCH(COLUMNS($AO$1006:AW1006),$AO$1006:$BQ$1006,0)))),"Fix")))</f>
        <v>#N/A</v>
      </c>
      <c r="K548" s="5" t="e">
        <f ca="1">IF(OR(INDEX($AI$2:$AI$1001,MATCH(ROWS($AH$2:AH548),$AH$2:$AH$1001,0),1)&gt;=100000,INDEX($AO$1005:$BQ$1005,1,MATCH(COLUMNS($AO$1006:AX1006),$AO$1006:$BQ$1006,0))&gt;=100000), " ",IF(INDEX($AO$2:$BQ$1001,MATCH(ROWS($AH$2:AH548),$AH$2:$AH$1001,0),MATCH(COLUMNS($AO$1006:AX1006),$AO$1006:$BQ$1006,0)), HYPERLINK("#",""), HYPERLINK(CONCATENATE("#Metadata!", ADDRESS(INDEX($AJ$2:$AJ$1001,MATCH(ROWS($AH$2:AH548),$AH$2:$AH$1001,0),0), INDEX($AO$1004:$BQ$1004,1,MATCH(COLUMNS($AO$1006:AX1006),$AO$1006:$BQ$1006,0)))),"Fix")))</f>
        <v>#N/A</v>
      </c>
      <c r="L548" s="5" t="e">
        <f ca="1">IF(OR(INDEX($AI$2:$AI$1001,MATCH(ROWS($AH$2:AH548),$AH$2:$AH$1001,0),1)&gt;=100000,INDEX($AO$1005:$BQ$1005,1,MATCH(COLUMNS($AO$1006:AY1006),$AO$1006:$BQ$1006,0))&gt;=100000), " ",IF(INDEX($AO$2:$BQ$1001,MATCH(ROWS($AH$2:AH548),$AH$2:$AH$1001,0),MATCH(COLUMNS($AO$1006:AY1006),$AO$1006:$BQ$1006,0)), HYPERLINK("#",""), HYPERLINK(CONCATENATE("#Metadata!", ADDRESS(INDEX($AJ$2:$AJ$1001,MATCH(ROWS($AH$2:AH548),$AH$2:$AH$1001,0),0), INDEX($AO$1004:$BQ$1004,1,MATCH(COLUMNS($AO$1006:AY1006),$AO$1006:$BQ$1006,0)))),"Fix")))</f>
        <v>#N/A</v>
      </c>
      <c r="M548" s="5" t="e">
        <f ca="1">IF(OR(INDEX($AI$2:$AI$1001,MATCH(ROWS($AH$2:AH548),$AH$2:$AH$1001,0),1)&gt;=100000,INDEX($AO$1005:$BQ$1005,1,MATCH(COLUMNS($AO$1006:AZ1006),$AO$1006:$BQ$1006,0))&gt;=100000), " ",IF(INDEX($AO$2:$BQ$1001,MATCH(ROWS($AH$2:AH548),$AH$2:$AH$1001,0),MATCH(COLUMNS($AO$1006:AZ1006),$AO$1006:$BQ$1006,0)), HYPERLINK("#",""), HYPERLINK(CONCATENATE("#Metadata!", ADDRESS(INDEX($AJ$2:$AJ$1001,MATCH(ROWS($AH$2:AH548),$AH$2:$AH$1001,0),0), INDEX($AO$1004:$BQ$1004,1,MATCH(COLUMNS($AO$1006:AZ1006),$AO$1006:$BQ$1006,0)))),"Fix")))</f>
        <v>#N/A</v>
      </c>
      <c r="N548" s="5" t="e">
        <f ca="1">IF(OR(INDEX($AI$2:$AI$1001,MATCH(ROWS($AH$2:AH548),$AH$2:$AH$1001,0),1)&gt;=100000,INDEX($AO$1005:$BQ$1005,1,MATCH(COLUMNS($AO$1006:BA1006),$AO$1006:$BQ$1006,0))&gt;=100000), " ",IF(INDEX($AO$2:$BQ$1001,MATCH(ROWS($AH$2:AH548),$AH$2:$AH$1001,0),MATCH(COLUMNS($AO$1006:BA1006),$AO$1006:$BQ$1006,0)), HYPERLINK("#",""), HYPERLINK(CONCATENATE("#Metadata!", ADDRESS(INDEX($AJ$2:$AJ$1001,MATCH(ROWS($AH$2:AH548),$AH$2:$AH$1001,0),0), INDEX($AO$1004:$BQ$1004,1,MATCH(COLUMNS($AO$1006:BA1006),$AO$1006:$BQ$1006,0)))),"Fix")))</f>
        <v>#N/A</v>
      </c>
      <c r="O548" s="5" t="e">
        <f ca="1">IF(OR(INDEX($AI$2:$AI$1001,MATCH(ROWS($AH$2:AH548),$AH$2:$AH$1001,0),1)&gt;=100000,INDEX($AO$1005:$BQ$1005,1,MATCH(COLUMNS($AO$1006:BB1006),$AO$1006:$BQ$1006,0))&gt;=100000), " ",IF(INDEX($AO$2:$BQ$1001,MATCH(ROWS($AH$2:AH548),$AH$2:$AH$1001,0),MATCH(COLUMNS($AO$1006:BB1006),$AO$1006:$BQ$1006,0)), HYPERLINK("#",""), HYPERLINK(CONCATENATE("#Metadata!", ADDRESS(INDEX($AJ$2:$AJ$1001,MATCH(ROWS($AH$2:AH548),$AH$2:$AH$1001,0),0), INDEX($AO$1004:$BQ$1004,1,MATCH(COLUMNS($AO$1006:BB1006),$AO$1006:$BQ$1006,0)))),"Fix")))</f>
        <v>#N/A</v>
      </c>
      <c r="P548" s="5" t="e">
        <f ca="1">IF(OR(INDEX($AI$2:$AI$1001,MATCH(ROWS($AH$2:AH548),$AH$2:$AH$1001,0),1)&gt;=100000,INDEX($AO$1005:$BQ$1005,1,MATCH(COLUMNS($AO$1006:BC1006),$AO$1006:$BQ$1006,0))&gt;=100000), " ",IF(INDEX($AO$2:$BQ$1001,MATCH(ROWS($AH$2:AH548),$AH$2:$AH$1001,0),MATCH(COLUMNS($AO$1006:BC1006),$AO$1006:$BQ$1006,0)), HYPERLINK("#",""), HYPERLINK(CONCATENATE("#Metadata!", ADDRESS(INDEX($AJ$2:$AJ$1001,MATCH(ROWS($AH$2:AH548),$AH$2:$AH$1001,0),0), INDEX($AO$1004:$BQ$1004,1,MATCH(COLUMNS($AO$1006:BC1006),$AO$1006:$BQ$1006,0)))),"Fix")))</f>
        <v>#N/A</v>
      </c>
      <c r="Q548" s="5" t="e">
        <f ca="1">IF(OR(INDEX($AI$2:$AI$1001,MATCH(ROWS($AH$2:AH548),$AH$2:$AH$1001,0),1)&gt;=100000,INDEX($AO$1005:$BQ$1005,1,MATCH(COLUMNS($AO$1006:BD1006),$AO$1006:$BQ$1006,0))&gt;=100000), " ",IF(INDEX($AO$2:$BQ$1001,MATCH(ROWS($AH$2:AH548),$AH$2:$AH$1001,0),MATCH(COLUMNS($AO$1006:BD1006),$AO$1006:$BQ$1006,0)), HYPERLINK("#",""), HYPERLINK(CONCATENATE("#Metadata!", ADDRESS(INDEX($AJ$2:$AJ$1001,MATCH(ROWS($AH$2:AH548),$AH$2:$AH$1001,0),0), INDEX($AO$1004:$BQ$1004,1,MATCH(COLUMNS($AO$1006:BD1006),$AO$1006:$BQ$1006,0)))),"Fix")))</f>
        <v>#N/A</v>
      </c>
      <c r="R548" s="5" t="e">
        <f ca="1">IF(OR(INDEX($AI$2:$AI$1001,MATCH(ROWS($AH$2:AH548),$AH$2:$AH$1001,0),1)&gt;=100000,INDEX($AO$1005:$BQ$1005,1,MATCH(COLUMNS($AO$1006:BE1006),$AO$1006:$BQ$1006,0))&gt;=100000), " ",IF(INDEX($AO$2:$BQ$1001,MATCH(ROWS($AH$2:AH548),$AH$2:$AH$1001,0),MATCH(COLUMNS($AO$1006:BE1006),$AO$1006:$BQ$1006,0)), HYPERLINK("#",""), HYPERLINK(CONCATENATE("#Metadata!", ADDRESS(INDEX($AJ$2:$AJ$1001,MATCH(ROWS($AH$2:AH548),$AH$2:$AH$1001,0),0), INDEX($AO$1004:$BQ$1004,1,MATCH(COLUMNS($AO$1006:BE1006),$AO$1006:$BQ$1006,0)))),"Fix")))</f>
        <v>#N/A</v>
      </c>
      <c r="S548" s="5" t="e">
        <f ca="1">IF(OR(INDEX($AI$2:$AI$1001,MATCH(ROWS($AH$2:AH548),$AH$2:$AH$1001,0),1)&gt;=100000,INDEX($AO$1005:$BQ$1005,1,MATCH(COLUMNS($AO$1006:BF1006),$AO$1006:$BQ$1006,0))&gt;=100000), " ",IF(INDEX($AO$2:$BQ$1001,MATCH(ROWS($AH$2:AH548),$AH$2:$AH$1001,0),MATCH(COLUMNS($AO$1006:BF1006),$AO$1006:$BQ$1006,0)), HYPERLINK("#",""), HYPERLINK(CONCATENATE("#Metadata!", ADDRESS(INDEX($AJ$2:$AJ$1001,MATCH(ROWS($AH$2:AH548),$AH$2:$AH$1001,0),0), INDEX($AO$1004:$BQ$1004,1,MATCH(COLUMNS($AO$1006:BF1006),$AO$1006:$BQ$1006,0)))),"Fix")))</f>
        <v>#N/A</v>
      </c>
      <c r="T548" s="5" t="e">
        <f ca="1">IF(OR(INDEX($AI$2:$AI$1001,MATCH(ROWS($AH$2:AH548),$AH$2:$AH$1001,0),1)&gt;=100000,INDEX($AO$1005:$BQ$1005,1,MATCH(COLUMNS($AO$1006:BG1006),$AO$1006:$BQ$1006,0))&gt;=100000), " ",IF(INDEX($AO$2:$BQ$1001,MATCH(ROWS($AH$2:AH548),$AH$2:$AH$1001,0),MATCH(COLUMNS($AO$1006:BG1006),$AO$1006:$BQ$1006,0)), HYPERLINK("#",""), HYPERLINK(CONCATENATE("#Metadata!", ADDRESS(INDEX($AJ$2:$AJ$1001,MATCH(ROWS($AH$2:AH548),$AH$2:$AH$1001,0),0), INDEX($AO$1004:$BQ$1004,1,MATCH(COLUMNS($AO$1006:BG1006),$AO$1006:$BQ$1006,0)))),"Fix")))</f>
        <v>#N/A</v>
      </c>
      <c r="U548" s="5" t="e">
        <f ca="1">IF(OR(INDEX($AI$2:$AI$1001,MATCH(ROWS($AH$2:AH548),$AH$2:$AH$1001,0),1)&gt;=100000,INDEX($AO$1005:$BQ$1005,1,MATCH(COLUMNS($AO$1006:BH1006),$AO$1006:$BQ$1006,0))&gt;=100000), " ",IF(INDEX($AO$2:$BQ$1001,MATCH(ROWS($AH$2:AH548),$AH$2:$AH$1001,0),MATCH(COLUMNS($AO$1006:BH1006),$AO$1006:$BQ$1006,0)), HYPERLINK("#",""), HYPERLINK(CONCATENATE("#Metadata!", ADDRESS(INDEX($AJ$2:$AJ$1001,MATCH(ROWS($AH$2:AH548),$AH$2:$AH$1001,0),0), INDEX($AO$1004:$BQ$1004,1,MATCH(COLUMNS($AO$1006:BH1006),$AO$1006:$BQ$1006,0)))),"Fix")))</f>
        <v>#N/A</v>
      </c>
      <c r="V548" s="5" t="e">
        <f ca="1">IF(OR(INDEX($AI$2:$AI$1001,MATCH(ROWS($AH$2:AH548),$AH$2:$AH$1001,0),1)&gt;=100000,INDEX($AO$1005:$BQ$1005,1,MATCH(COLUMNS($AO$1006:BI1006),$AO$1006:$BQ$1006,0))&gt;=100000), " ",IF(INDEX($AO$2:$BQ$1001,MATCH(ROWS($AH$2:AH548),$AH$2:$AH$1001,0),MATCH(COLUMNS($AO$1006:BI1006),$AO$1006:$BQ$1006,0)), HYPERLINK("#",""), HYPERLINK(CONCATENATE("#Metadata!", ADDRESS(INDEX($AJ$2:$AJ$1001,MATCH(ROWS($AH$2:AH548),$AH$2:$AH$1001,0),0), INDEX($AO$1004:$BQ$1004,1,MATCH(COLUMNS($AO$1006:BI1006),$AO$1006:$BQ$1006,0)))),"Fix")))</f>
        <v>#N/A</v>
      </c>
      <c r="W548" s="5" t="e">
        <f ca="1">IF(OR(INDEX($AI$2:$AI$1001,MATCH(ROWS($AH$2:AH548),$AH$2:$AH$1001,0),1)&gt;=100000,INDEX($AO$1005:$BQ$1005,1,MATCH(COLUMNS($AO$1006:BJ1006),$AO$1006:$BQ$1006,0))&gt;=100000), " ",IF(INDEX($AO$2:$BQ$1001,MATCH(ROWS($AH$2:AH548),$AH$2:$AH$1001,0),MATCH(COLUMNS($AO$1006:BJ1006),$AO$1006:$BQ$1006,0)), HYPERLINK("#",""), HYPERLINK(CONCATENATE("#Metadata!", ADDRESS(INDEX($AJ$2:$AJ$1001,MATCH(ROWS($AH$2:AH548),$AH$2:$AH$1001,0),0), INDEX($AO$1004:$BQ$1004,1,MATCH(COLUMNS($AO$1006:BJ1006),$AO$1006:$BQ$1006,0)))),"Fix")))</f>
        <v>#N/A</v>
      </c>
      <c r="X548" s="5" t="e">
        <f ca="1">IF(OR(INDEX($AI$2:$AI$1001,MATCH(ROWS($AH$2:AH548),$AH$2:$AH$1001,0),1)&gt;=100000,INDEX($AO$1005:$BQ$1005,1,MATCH(COLUMNS($AO$1006:BK1006),$AO$1006:$BQ$1006,0))&gt;=100000), " ",IF(INDEX($AO$2:$BQ$1001,MATCH(ROWS($AH$2:AH548),$AH$2:$AH$1001,0),MATCH(COLUMNS($AO$1006:BK1006),$AO$1006:$BQ$1006,0)), HYPERLINK("#",""), HYPERLINK(CONCATENATE("#Metadata!", ADDRESS(INDEX($AJ$2:$AJ$1001,MATCH(ROWS($AH$2:AH548),$AH$2:$AH$1001,0),0), INDEX($AO$1004:$BQ$1004,1,MATCH(COLUMNS($AO$1006:BK1006),$AO$1006:$BQ$1006,0)))),"Fix")))</f>
        <v>#N/A</v>
      </c>
      <c r="Y548" s="5" t="e">
        <f ca="1">IF(OR(INDEX($AI$2:$AI$1001,MATCH(ROWS($AH$2:AH548),$AH$2:$AH$1001,0),1)&gt;=100000,INDEX($AO$1005:$BQ$1005,1,MATCH(COLUMNS($AO$1006:BL1006),$AO$1006:$BQ$1006,0))&gt;=100000), " ",IF(INDEX($AO$2:$BQ$1001,MATCH(ROWS($AH$2:AH548),$AH$2:$AH$1001,0),MATCH(COLUMNS($AO$1006:BL1006),$AO$1006:$BQ$1006,0)), HYPERLINK("#",""), HYPERLINK(CONCATENATE("#Metadata!", ADDRESS(INDEX($AJ$2:$AJ$1001,MATCH(ROWS($AH$2:AH548),$AH$2:$AH$1001,0),0), INDEX($AO$1004:$BQ$1004,1,MATCH(COLUMNS($AO$1006:BL1006),$AO$1006:$BQ$1006,0)))),"Fix")))</f>
        <v>#N/A</v>
      </c>
      <c r="Z548" s="5" t="e">
        <f ca="1">IF(OR(INDEX($AI$2:$AI$1001,MATCH(ROWS($AH$2:AH548),$AH$2:$AH$1001,0),1)&gt;=100000,INDEX($AO$1005:$BQ$1005,1,MATCH(COLUMNS($AO$1006:BM1006),$AO$1006:$BQ$1006,0))&gt;=100000), " ",IF(INDEX($AO$2:$BQ$1001,MATCH(ROWS($AH$2:AH548),$AH$2:$AH$1001,0),MATCH(COLUMNS($AO$1006:BM1006),$AO$1006:$BQ$1006,0)), HYPERLINK("#",""), HYPERLINK(CONCATENATE("#Metadata!", ADDRESS(INDEX($AJ$2:$AJ$1001,MATCH(ROWS($AH$2:AH548),$AH$2:$AH$1001,0),0), INDEX($AO$1004:$BQ$1004,1,MATCH(COLUMNS($AO$1006:BM1006),$AO$1006:$BQ$1006,0)))),"Fix")))</f>
        <v>#N/A</v>
      </c>
      <c r="AA548" s="5" t="e">
        <f ca="1">IF(OR(INDEX($AI$2:$AI$1001,MATCH(ROWS($AH$2:AH548),$AH$2:$AH$1001,0),1)&gt;=100000,INDEX($AO$1005:$BQ$1005,1,MATCH(COLUMNS($AO$1006:BN1006),$AO$1006:$BQ$1006,0))&gt;=100000), " ",IF(INDEX($AO$2:$BQ$1001,MATCH(ROWS($AH$2:AH548),$AH$2:$AH$1001,0),MATCH(COLUMNS($AO$1006:BN1006),$AO$1006:$BQ$1006,0)), HYPERLINK("#",""), HYPERLINK(CONCATENATE("#Metadata!", ADDRESS(INDEX($AJ$2:$AJ$1001,MATCH(ROWS($AH$2:AH548),$AH$2:$AH$1001,0),0), INDEX($AO$1004:$BQ$1004,1,MATCH(COLUMNS($AO$1006:BN1006),$AO$1006:$BQ$1006,0)))),"Fix")))</f>
        <v>#N/A</v>
      </c>
      <c r="AB548" s="5" t="e">
        <f ca="1">IF(OR(INDEX($AI$2:$AI$1001,MATCH(ROWS($AH$2:AH548),$AH$2:$AH$1001,0),1)&gt;=100000,INDEX($AO$1005:$BQ$1005,1,MATCH(COLUMNS($AO$1006:BO1006),$AO$1006:$BQ$1006,0))&gt;=100000), " ",IF(INDEX($AO$2:$BQ$1001,MATCH(ROWS($AH$2:AH548),$AH$2:$AH$1001,0),MATCH(COLUMNS($AO$1006:BO1006),$AO$1006:$BQ$1006,0)), HYPERLINK("#",""), HYPERLINK(CONCATENATE("#Metadata!", ADDRESS(INDEX($AJ$2:$AJ$1001,MATCH(ROWS($AH$2:AH548),$AH$2:$AH$1001,0),0), INDEX($AO$1004:$BQ$1004,1,MATCH(COLUMNS($AO$1006:BO1006),$AO$1006:$BQ$1006,0)))),"Fix")))</f>
        <v>#N/A</v>
      </c>
      <c r="AC548" s="5" t="e">
        <f ca="1">IF(OR(INDEX($AI$2:$AI$1001,MATCH(ROWS($AH$2:AH548),$AH$2:$AH$1001,0),1)&gt;=100000,INDEX($AO$1005:$BQ$1005,1,MATCH(COLUMNS($AO$1006:BP1006),$AO$1006:$BQ$1006,0))&gt;=100000), " ",IF(INDEX($AO$2:$BQ$1001,MATCH(ROWS($AH$2:AH548),$AH$2:$AH$1001,0),MATCH(COLUMNS($AO$1006:BP1006),$AO$1006:$BQ$1006,0)), HYPERLINK("#",""), HYPERLINK(CONCATENATE("#Metadata!", ADDRESS(INDEX($AJ$2:$AJ$1001,MATCH(ROWS($AH$2:AH548),$AH$2:$AH$1001,0),0), INDEX($AO$1004:$BQ$1004,1,MATCH(COLUMNS($AO$1006:BP1006),$AO$1006:$BQ$1006,0)))),"Fix")))</f>
        <v>#N/A</v>
      </c>
      <c r="AD548" s="5" t="e">
        <f ca="1">IF(OR(INDEX($AI$2:$AI$1001,MATCH(ROWS($AH$2:AH548),$AH$2:$AH$1001,0),1)&gt;=100000,INDEX($AO$1005:$BQ$1005,1,MATCH(COLUMNS($AO$1006:BQ1006),$AO$1006:$BQ$1006,0))&gt;=100000), " ",IF(INDEX($AO$2:$BQ$1001,MATCH(ROWS($AH$2:AH548),$AH$2:$AH$1001,0),MATCH(COLUMNS($AO$1006:BQ1006),$AO$1006:$BQ$1006,0)), HYPERLINK("#",""), HYPERLINK(CONCATENATE("#Metadata!", ADDRESS(INDEX($AJ$2:$AJ$1001,MATCH(ROWS($AH$2:AH548),$AH$2:$AH$1001,0),0), INDEX($AO$1004:$BQ$1004,1,MATCH(COLUMNS($AO$1006:BQ1006),$AO$1006:$BQ$1006,0)))),"Fix")))</f>
        <v>#REF!</v>
      </c>
      <c r="AH548">
        <f ca="1"/>
        <v>545</v>
      </c>
      <c r="AI548">
        <v>100548</v>
      </c>
      <c r="AJ548">
        <v>548</v>
      </c>
      <c r="AK548" t="b">
        <f t="shared" si="8"/>
        <v>1</v>
      </c>
      <c r="AL548" t="b">
        <f>COUNTBLANK(Metadata!B548:AD548)=COLUMNS(Metadata!B548:AD548)</f>
        <v>1</v>
      </c>
      <c r="AM548" t="str">
        <v/>
      </c>
      <c r="AO548" t="b">
        <f ca="1">AND(IF(Metadata!B548="",FALSE,TRUE),COUNTIF(Metadata!B:B, Metadata!B548) = 1,NOT(ISERROR(SUMPRODUCT(SEARCH(MID(Metadata!B548,ROW(INDIRECT("1:"&amp;LEN(Metadata!B548))), 1),"0123456789abcdefghijklmnopqrstuvwxyzABCDEFGHIJKLMNOPQRSTUVWXYZ.")))))</f>
        <v>0</v>
      </c>
      <c r="AP548" t="b">
        <f>IF(Metadata!C548="",FALSE,TRUE)</f>
        <v>0</v>
      </c>
      <c r="AQ548" t="b">
        <f>IF(Metadata!D548="",FALSE,TRUE)</f>
        <v>0</v>
      </c>
      <c r="AR548" t="b">
        <f ca="1">OR(AND(IF(Metadata!E548="",FALSE,TRUE),OR(EXACT(Metadata!E548,"not collected"),EXACT(Metadata!E548,"not provided"),EXACT(Metadata!E548,"restricted access"))),AND(IF(Metadata!E548="",FALSE,TRUE),AND(AND(IFERROR(INT(LEFT(Metadata!E548,4))&gt;1900,FALSE),IFERROR(INT(LEFT(Metadata!E548,4))&lt;=YEAR(NOW()),FALSE)), OR(MID(Metadata!E548,5,1)="", AND(AND(MID(Metadata!E548,5,1)="-",IFERROR(INT(MID(Metadata!E548,6,1))&gt;=0,FALSE),IFERROR(INT(MID(Metadata!E548,6,1))&lt;=1,FALSE),NOT(MID(Metadata!E548,7,1)=""),IFERROR(INT(MID(Metadata!E548,6,2))&gt;=1,FALSE),IFERROR(INT(MID(Metadata!E548,6,2))&lt;=12,FALSE)), OR(MID(Metadata!E548,8,1)="", AND(AND(MID(Metadata!E548,8,1)="-",IFERROR(INT(MID(Metadata!E548,9,1))&gt;=0,FALSE),IFERROR(INT(MID(Metadata!E548,9,1))&lt;=3,FALSE),NOT(MID(Metadata!E548,10,1)=""),IFERROR(INT(MID(Metadata!E548,9,2))&gt;=1,FALSE),IFERROR(INT(MID(Metadata!E548,9,2))&lt;=31,FALSE)), OR(MID(Metadata!E548,11,1)="", AND(AND(MID(Metadata!E548,11,1)=" ",IFERROR(INT(MID(Metadata!E548,12,1))&gt;=0,FALSE),IFERROR(INT(MID(Metadata!E548,12,1))&lt;=2,FALSE),NOT(MID(Metadata!E548,13,1)=""),IFERROR(INT(MID(Metadata!E548,12,2))&gt;=0,FALSE),IFERROR(INT(MID(Metadata!E548,12,2))&lt;=23,FALSE)), OR(MID(Metadata!E548,14,1)="", AND(AND(MID(Metadata!E548,14,1)=":",IFERROR(INT(MID(Metadata!E548,15,1))&gt;=0,FALSE),IFERROR(INT(MID(Metadata!E548,15,1))&lt;=5,FALSE),NOT(MID(Metadata!E548,16,1)=""),IFERROR(INT(MID(Metadata!E548,15,2))&gt;=0,FALSE),IFERROR(INT(MID(Metadata!E548,15,2))&lt;=59,FALSE)), OR(MID(Metadata!E548,17,1)="", AND(AND(MID(Metadata!E548,17,1)=":",IFERROR(INT(MID(Metadata!E548,18,1))&gt;=0,FALSE),IFERROR(INT(MID(Metadata!E548,18,1))&lt;=5,FALSE),NOT(MID(Metadata!E548,19,1)=""),IFERROR(INT(MID(Metadata!E548,18,2))&gt;=0,FALSE),IFERROR(INT(MID(Metadata!E548,18,2))&lt;=59,FALSE)), LEN(Metadata!E548)&lt;=19)))))))))))))</f>
        <v>0</v>
      </c>
      <c r="AS548" t="b">
        <f>IF(Metadata!F548="",FALSE,TRUE)</f>
        <v>0</v>
      </c>
      <c r="AT548" t="b">
        <f>OR(AND(IF(Metadata!G548="",FALSE,TRUE),OR(EXACT(Metadata!G548,"not collected"),EXACT(Metadata!G548,"not provided"))),AND(IF(Metadata!G548="",FALSE,TRUE),OR(EXACT(Metadata!G548,"TRUE"),EXACT(Metadata!G548,"FALSE"))))</f>
        <v>0</v>
      </c>
      <c r="AU548" t="b">
        <f>OR(AND(IF(Metadata!H548="",FALSE,TRUE),OR(EXACT(Metadata!H548,"not collected"),EXACT(Metadata!H548,"not provided"),EXACT(Metadata!H548,"restricted access"))),AND(IF(Metadata!H548="",FALSE,ISNUMBER(VALUE(Metadata!H548))),Metadata!H548&gt;=-413))</f>
        <v>0</v>
      </c>
      <c r="AV548" t="b">
        <f>AND(IF(Metadata!I548="",FALSE,TRUE),EXACT(Metadata!I548,"meters"))</f>
        <v>0</v>
      </c>
      <c r="AW548" t="b">
        <f>AND(IF(Metadata!J548="",FALSE,TRUE),EXACT(Metadata!J548,"free-living"))</f>
        <v>0</v>
      </c>
      <c r="AX548" t="b">
        <f>AND(IF(Metadata!K548="",FALSE,TRUE),OR(EXACT(Metadata!K548,"saline"),EXACT(Metadata!K548,"non-saline")))</f>
        <v>0</v>
      </c>
      <c r="AY548" t="b">
        <f>AND(IF(Metadata!L548="",FALSE,TRUE),OR(EXACT(Metadata!L548,"sub-surface (non-saline)"),EXACT(Metadata!L548,"surface (non-saline)"),EXACT(Metadata!L548,"water (non-saline)"),EXACT(Metadata!L548,"soil (non-saline)"),EXACT(Metadata!L548,"aerosol (non-saline)"),EXACT(Metadata!L548,"sediment (non-saline)"),EXACT(Metadata!L548,"surface (saline)"),EXACT(Metadata!L548,"water (saline)"),EXACT(Metadata!L548,"hypersaline (saline)"),EXACT(Metadata!L548,"aerosol (saline)"),EXACT(Metadata!L548,"sediment (saline)")))</f>
        <v>0</v>
      </c>
      <c r="AZ548" t="b">
        <f>IF(Metadata!M548="",FALSE,TRUE)</f>
        <v>0</v>
      </c>
      <c r="BA548" t="b">
        <f>IF(Metadata!N548="",FALSE,TRUE)</f>
        <v>0</v>
      </c>
      <c r="BB548" t="b">
        <f>IF(Metadata!O548="",FALSE,TRUE)</f>
        <v>0</v>
      </c>
      <c r="BC548" t="b">
        <f>AND(IF(Metadata!P548="",FALSE,TRUE),OR(EXACT(Metadata!P548,"air"),EXACT(Metadata!P548,"microbial mat/biofilm"),EXACT(Metadata!P548,"misc environment"),EXACT(Metadata!P548,"sediment"),EXACT(Metadata!P548,"soil"),EXACT(Metadata!P548,"wastewater/sludge"),EXACT(Metadata!P548,"water")))</f>
        <v>0</v>
      </c>
      <c r="BD548" t="b">
        <f>IF(Metadata!Q548="",FALSE,TRUE)</f>
        <v>0</v>
      </c>
      <c r="BE548" t="b">
        <f>IF(Metadata!R548="",FALSE,TRUE)</f>
        <v>0</v>
      </c>
      <c r="BF548" t="b">
        <f>OR(AND(IF(Metadata!S548="",FALSE,TRUE),OR(EXACT(Metadata!S548,"not collected"),EXACT(Metadata!S548,"not provided"),EXACT(Metadata!S548,"restricted access"))),AND(IF(Metadata!S548="",FALSE,ISNUMBER(VALUE(Metadata!S548))),Metadata!S548&gt;=-90,Metadata!S548&lt;=90))</f>
        <v>0</v>
      </c>
      <c r="BG548" t="b">
        <f>AND(IF(Metadata!T548="",FALSE,TRUE),EXACT(Metadata!T548,"Decimal degrees"))</f>
        <v>0</v>
      </c>
      <c r="BH548" t="b">
        <f>OR(AND(IF(Metadata!U548="",FALSE,TRUE),OR(EXACT(Metadata!U548,"not applicable"),EXACT(Metadata!U548,"not collected"))),IF(Metadata!U548="",FALSE,TRUE))</f>
        <v>0</v>
      </c>
      <c r="BI548" t="b">
        <f>OR(AND(IF(Metadata!V548="",FALSE,TRUE),OR(EXACT(Metadata!V548,"not collected"),EXACT(Metadata!V548,"not provided"),EXACT(Metadata!V548,"restricted access"))),AND(IF(Metadata!V548="",FALSE,ISNUMBER(VALUE(Metadata!V548))),Metadata!V548&gt;=-180,Metadata!V548&lt;=180))</f>
        <v>0</v>
      </c>
      <c r="BJ548" t="b">
        <f>AND(IF(Metadata!W548="",FALSE,TRUE),EXACT(Metadata!W548,"Decimal degrees"))</f>
        <v>0</v>
      </c>
      <c r="BK548" t="b">
        <f>IF(Metadata!X548="",FALSE,TRUE)</f>
        <v>0</v>
      </c>
      <c r="BL548" t="b">
        <f>OR(AND(IF(Metadata!Y548="",FALSE,TRUE),OR(EXACT(Metadata!Y548,"not collected"),EXACT(Metadata!Y548,"not provided"),EXACT(Metadata!Y548,"restricted access"))),AND(IF(Metadata!Y548="",FALSE,TRUE),OR(EXACT(Metadata!Y548,"TRUE"),EXACT(Metadata!Y548,"FALSE"))))</f>
        <v>0</v>
      </c>
      <c r="BM548" t="b">
        <f>OR(AND(IF(Metadata!Z548="",FALSE,TRUE),EXACT(Metadata!Z548,"not applicable")),AND(IF(Metadata!Z548="",FALSE,TRUE),OR(EXACT(Metadata!Z548,"beer"),EXACT(Metadata!Z548,"cheese"),EXACT(Metadata!Z548,"fresh water"),EXACT(Metadata!Z548,"marine sediment"),EXACT(Metadata!Z548,"sea water"),EXACT(Metadata!Z548,"sediment"),EXACT(Metadata!Z548,"soil"),EXACT(Metadata!Z548,"waste water"))))</f>
        <v>0</v>
      </c>
      <c r="BN548" t="b">
        <f>AND(IF(Metadata!AA548="",FALSE,TRUE),EXACT(Metadata!AA548,"metagenome"))</f>
        <v>0</v>
      </c>
      <c r="BO548" t="b">
        <f>AND(IF(Metadata!AB548="",FALSE,TRUE),EXACT(Metadata!AB548,"256318"))</f>
        <v>0</v>
      </c>
      <c r="BP548" t="b">
        <f>IF(Metadata!AC548="",FALSE,TRUE)</f>
        <v>0</v>
      </c>
      <c r="BQ548" t="b">
        <f>IF(Metadata!AD548="",FALSE,TRUE)</f>
        <v>0</v>
      </c>
    </row>
    <row r="549" spans="1:69" x14ac:dyDescent="0.2">
      <c r="A549" s="4" t="e">
        <f ca="1">IF(B549=" "," ",HYPERLINK(CONCATENATE("#metadata!",ADDRESS(INDEX($AJ$2:$AJ$1001,MATCH(ROWS($AH$2:AH549),$AH$2:$AH$1001,0),0),2)),INDEX($AM$2:$AM$1001,MATCH(ROWS($AH$2:AH549),$AH$2:$AH$1001,0),0)))</f>
        <v>#N/A</v>
      </c>
      <c r="B549" s="5" t="e">
        <f ca="1">IF(OR(INDEX($AI$2:$AI$1001,MATCH(ROWS($AH$2:AH549),$AH$2:$AH$1001,0),1)&gt;=100000,INDEX($AO$1005:$BQ$1005,1,MATCH(COLUMNS($AO$1006:AO1006),$AO$1006:$BQ$1006,0))&gt;=100000), " ",IF(INDEX($AO$2:$BQ$1001,MATCH(ROWS($AH$2:AH549),$AH$2:$AH$1001,0),MATCH(COLUMNS($AO$1006:AO1006),$AO$1006:$BQ$1006,0)), HYPERLINK("#",""), HYPERLINK(CONCATENATE("#Metadata!", ADDRESS(INDEX($AJ$2:$AJ$1001,MATCH(ROWS($AH$2:AH549),$AH$2:$AH$1001,0),0), INDEX($AO$1004:$BQ$1004,1,MATCH(COLUMNS($AO$1006:AO1006),$AO$1006:$BQ$1006,0)))),"Fix")))</f>
        <v>#N/A</v>
      </c>
      <c r="C549" s="5" t="e">
        <f ca="1">IF(OR(INDEX($AI$2:$AI$1001,MATCH(ROWS($AH$2:AH549),$AH$2:$AH$1001,0),1)&gt;=100000,INDEX($AO$1005:$BQ$1005,1,MATCH(COLUMNS($AO$1006:AP1006),$AO$1006:$BQ$1006,0))&gt;=100000), " ",IF(INDEX($AO$2:$BQ$1001,MATCH(ROWS($AH$2:AH549),$AH$2:$AH$1001,0),MATCH(COLUMNS($AO$1006:AP1006),$AO$1006:$BQ$1006,0)), HYPERLINK("#",""), HYPERLINK(CONCATENATE("#Metadata!", ADDRESS(INDEX($AJ$2:$AJ$1001,MATCH(ROWS($AH$2:AH549),$AH$2:$AH$1001,0),0), INDEX($AO$1004:$BQ$1004,1,MATCH(COLUMNS($AO$1006:AP1006),$AO$1006:$BQ$1006,0)))),"Fix")))</f>
        <v>#N/A</v>
      </c>
      <c r="D549" s="5" t="e">
        <f ca="1">IF(OR(INDEX($AI$2:$AI$1001,MATCH(ROWS($AH$2:AH549),$AH$2:$AH$1001,0),1)&gt;=100000,INDEX($AO$1005:$BQ$1005,1,MATCH(COLUMNS($AO$1006:AQ1006),$AO$1006:$BQ$1006,0))&gt;=100000), " ",IF(INDEX($AO$2:$BQ$1001,MATCH(ROWS($AH$2:AH549),$AH$2:$AH$1001,0),MATCH(COLUMNS($AO$1006:AQ1006),$AO$1006:$BQ$1006,0)), HYPERLINK("#",""), HYPERLINK(CONCATENATE("#Metadata!", ADDRESS(INDEX($AJ$2:$AJ$1001,MATCH(ROWS($AH$2:AH549),$AH$2:$AH$1001,0),0), INDEX($AO$1004:$BQ$1004,1,MATCH(COLUMNS($AO$1006:AQ1006),$AO$1006:$BQ$1006,0)))),"Fix")))</f>
        <v>#N/A</v>
      </c>
      <c r="E549" s="5" t="e">
        <f ca="1">IF(OR(INDEX($AI$2:$AI$1001,MATCH(ROWS($AH$2:AH549),$AH$2:$AH$1001,0),1)&gt;=100000,INDEX($AO$1005:$BQ$1005,1,MATCH(COLUMNS($AO$1006:AR1006),$AO$1006:$BQ$1006,0))&gt;=100000), " ",IF(INDEX($AO$2:$BQ$1001,MATCH(ROWS($AH$2:AH549),$AH$2:$AH$1001,0),MATCH(COLUMNS($AO$1006:AR1006),$AO$1006:$BQ$1006,0)), HYPERLINK("#",""), HYPERLINK(CONCATENATE("#Metadata!", ADDRESS(INDEX($AJ$2:$AJ$1001,MATCH(ROWS($AH$2:AH549),$AH$2:$AH$1001,0),0), INDEX($AO$1004:$BQ$1004,1,MATCH(COLUMNS($AO$1006:AR1006),$AO$1006:$BQ$1006,0)))),"Fix")))</f>
        <v>#N/A</v>
      </c>
      <c r="F549" s="5" t="e">
        <f ca="1">IF(OR(INDEX($AI$2:$AI$1001,MATCH(ROWS($AH$2:AH549),$AH$2:$AH$1001,0),1)&gt;=100000,INDEX($AO$1005:$BQ$1005,1,MATCH(COLUMNS($AO$1006:AS1006),$AO$1006:$BQ$1006,0))&gt;=100000), " ",IF(INDEX($AO$2:$BQ$1001,MATCH(ROWS($AH$2:AH549),$AH$2:$AH$1001,0),MATCH(COLUMNS($AO$1006:AS1006),$AO$1006:$BQ$1006,0)), HYPERLINK("#",""), HYPERLINK(CONCATENATE("#Metadata!", ADDRESS(INDEX($AJ$2:$AJ$1001,MATCH(ROWS($AH$2:AH549),$AH$2:$AH$1001,0),0), INDEX($AO$1004:$BQ$1004,1,MATCH(COLUMNS($AO$1006:AS1006),$AO$1006:$BQ$1006,0)))),"Fix")))</f>
        <v>#N/A</v>
      </c>
      <c r="G549" s="5" t="e">
        <f ca="1">IF(OR(INDEX($AI$2:$AI$1001,MATCH(ROWS($AH$2:AH549),$AH$2:$AH$1001,0),1)&gt;=100000,INDEX($AO$1005:$BQ$1005,1,MATCH(COLUMNS($AO$1006:AT1006),$AO$1006:$BQ$1006,0))&gt;=100000), " ",IF(INDEX($AO$2:$BQ$1001,MATCH(ROWS($AH$2:AH549),$AH$2:$AH$1001,0),MATCH(COLUMNS($AO$1006:AT1006),$AO$1006:$BQ$1006,0)), HYPERLINK("#",""), HYPERLINK(CONCATENATE("#Metadata!", ADDRESS(INDEX($AJ$2:$AJ$1001,MATCH(ROWS($AH$2:AH549),$AH$2:$AH$1001,0),0), INDEX($AO$1004:$BQ$1004,1,MATCH(COLUMNS($AO$1006:AT1006),$AO$1006:$BQ$1006,0)))),"Fix")))</f>
        <v>#N/A</v>
      </c>
      <c r="H549" s="5" t="e">
        <f ca="1">IF(OR(INDEX($AI$2:$AI$1001,MATCH(ROWS($AH$2:AH549),$AH$2:$AH$1001,0),1)&gt;=100000,INDEX($AO$1005:$BQ$1005,1,MATCH(COLUMNS($AO$1006:AU1006),$AO$1006:$BQ$1006,0))&gt;=100000), " ",IF(INDEX($AO$2:$BQ$1001,MATCH(ROWS($AH$2:AH549),$AH$2:$AH$1001,0),MATCH(COLUMNS($AO$1006:AU1006),$AO$1006:$BQ$1006,0)), HYPERLINK("#",""), HYPERLINK(CONCATENATE("#Metadata!", ADDRESS(INDEX($AJ$2:$AJ$1001,MATCH(ROWS($AH$2:AH549),$AH$2:$AH$1001,0),0), INDEX($AO$1004:$BQ$1004,1,MATCH(COLUMNS($AO$1006:AU1006),$AO$1006:$BQ$1006,0)))),"Fix")))</f>
        <v>#N/A</v>
      </c>
      <c r="I549" s="5" t="e">
        <f ca="1">IF(OR(INDEX($AI$2:$AI$1001,MATCH(ROWS($AH$2:AH549),$AH$2:$AH$1001,0),1)&gt;=100000,INDEX($AO$1005:$BQ$1005,1,MATCH(COLUMNS($AO$1006:AV1006),$AO$1006:$BQ$1006,0))&gt;=100000), " ",IF(INDEX($AO$2:$BQ$1001,MATCH(ROWS($AH$2:AH549),$AH$2:$AH$1001,0),MATCH(COLUMNS($AO$1006:AV1006),$AO$1006:$BQ$1006,0)), HYPERLINK("#",""), HYPERLINK(CONCATENATE("#Metadata!", ADDRESS(INDEX($AJ$2:$AJ$1001,MATCH(ROWS($AH$2:AH549),$AH$2:$AH$1001,0),0), INDEX($AO$1004:$BQ$1004,1,MATCH(COLUMNS($AO$1006:AV1006),$AO$1006:$BQ$1006,0)))),"Fix")))</f>
        <v>#N/A</v>
      </c>
      <c r="J549" s="5" t="e">
        <f ca="1">IF(OR(INDEX($AI$2:$AI$1001,MATCH(ROWS($AH$2:AH549),$AH$2:$AH$1001,0),1)&gt;=100000,INDEX($AO$1005:$BQ$1005,1,MATCH(COLUMNS($AO$1006:AW1006),$AO$1006:$BQ$1006,0))&gt;=100000), " ",IF(INDEX($AO$2:$BQ$1001,MATCH(ROWS($AH$2:AH549),$AH$2:$AH$1001,0),MATCH(COLUMNS($AO$1006:AW1006),$AO$1006:$BQ$1006,0)), HYPERLINK("#",""), HYPERLINK(CONCATENATE("#Metadata!", ADDRESS(INDEX($AJ$2:$AJ$1001,MATCH(ROWS($AH$2:AH549),$AH$2:$AH$1001,0),0), INDEX($AO$1004:$BQ$1004,1,MATCH(COLUMNS($AO$1006:AW1006),$AO$1006:$BQ$1006,0)))),"Fix")))</f>
        <v>#N/A</v>
      </c>
      <c r="K549" s="5" t="e">
        <f ca="1">IF(OR(INDEX($AI$2:$AI$1001,MATCH(ROWS($AH$2:AH549),$AH$2:$AH$1001,0),1)&gt;=100000,INDEX($AO$1005:$BQ$1005,1,MATCH(COLUMNS($AO$1006:AX1006),$AO$1006:$BQ$1006,0))&gt;=100000), " ",IF(INDEX($AO$2:$BQ$1001,MATCH(ROWS($AH$2:AH549),$AH$2:$AH$1001,0),MATCH(COLUMNS($AO$1006:AX1006),$AO$1006:$BQ$1006,0)), HYPERLINK("#",""), HYPERLINK(CONCATENATE("#Metadata!", ADDRESS(INDEX($AJ$2:$AJ$1001,MATCH(ROWS($AH$2:AH549),$AH$2:$AH$1001,0),0), INDEX($AO$1004:$BQ$1004,1,MATCH(COLUMNS($AO$1006:AX1006),$AO$1006:$BQ$1006,0)))),"Fix")))</f>
        <v>#N/A</v>
      </c>
      <c r="L549" s="5" t="e">
        <f ca="1">IF(OR(INDEX($AI$2:$AI$1001,MATCH(ROWS($AH$2:AH549),$AH$2:$AH$1001,0),1)&gt;=100000,INDEX($AO$1005:$BQ$1005,1,MATCH(COLUMNS($AO$1006:AY1006),$AO$1006:$BQ$1006,0))&gt;=100000), " ",IF(INDEX($AO$2:$BQ$1001,MATCH(ROWS($AH$2:AH549),$AH$2:$AH$1001,0),MATCH(COLUMNS($AO$1006:AY1006),$AO$1006:$BQ$1006,0)), HYPERLINK("#",""), HYPERLINK(CONCATENATE("#Metadata!", ADDRESS(INDEX($AJ$2:$AJ$1001,MATCH(ROWS($AH$2:AH549),$AH$2:$AH$1001,0),0), INDEX($AO$1004:$BQ$1004,1,MATCH(COLUMNS($AO$1006:AY1006),$AO$1006:$BQ$1006,0)))),"Fix")))</f>
        <v>#N/A</v>
      </c>
      <c r="M549" s="5" t="e">
        <f ca="1">IF(OR(INDEX($AI$2:$AI$1001,MATCH(ROWS($AH$2:AH549),$AH$2:$AH$1001,0),1)&gt;=100000,INDEX($AO$1005:$BQ$1005,1,MATCH(COLUMNS($AO$1006:AZ1006),$AO$1006:$BQ$1006,0))&gt;=100000), " ",IF(INDEX($AO$2:$BQ$1001,MATCH(ROWS($AH$2:AH549),$AH$2:$AH$1001,0),MATCH(COLUMNS($AO$1006:AZ1006),$AO$1006:$BQ$1006,0)), HYPERLINK("#",""), HYPERLINK(CONCATENATE("#Metadata!", ADDRESS(INDEX($AJ$2:$AJ$1001,MATCH(ROWS($AH$2:AH549),$AH$2:$AH$1001,0),0), INDEX($AO$1004:$BQ$1004,1,MATCH(COLUMNS($AO$1006:AZ1006),$AO$1006:$BQ$1006,0)))),"Fix")))</f>
        <v>#N/A</v>
      </c>
      <c r="N549" s="5" t="e">
        <f ca="1">IF(OR(INDEX($AI$2:$AI$1001,MATCH(ROWS($AH$2:AH549),$AH$2:$AH$1001,0),1)&gt;=100000,INDEX($AO$1005:$BQ$1005,1,MATCH(COLUMNS($AO$1006:BA1006),$AO$1006:$BQ$1006,0))&gt;=100000), " ",IF(INDEX($AO$2:$BQ$1001,MATCH(ROWS($AH$2:AH549),$AH$2:$AH$1001,0),MATCH(COLUMNS($AO$1006:BA1006),$AO$1006:$BQ$1006,0)), HYPERLINK("#",""), HYPERLINK(CONCATENATE("#Metadata!", ADDRESS(INDEX($AJ$2:$AJ$1001,MATCH(ROWS($AH$2:AH549),$AH$2:$AH$1001,0),0), INDEX($AO$1004:$BQ$1004,1,MATCH(COLUMNS($AO$1006:BA1006),$AO$1006:$BQ$1006,0)))),"Fix")))</f>
        <v>#N/A</v>
      </c>
      <c r="O549" s="5" t="e">
        <f ca="1">IF(OR(INDEX($AI$2:$AI$1001,MATCH(ROWS($AH$2:AH549),$AH$2:$AH$1001,0),1)&gt;=100000,INDEX($AO$1005:$BQ$1005,1,MATCH(COLUMNS($AO$1006:BB1006),$AO$1006:$BQ$1006,0))&gt;=100000), " ",IF(INDEX($AO$2:$BQ$1001,MATCH(ROWS($AH$2:AH549),$AH$2:$AH$1001,0),MATCH(COLUMNS($AO$1006:BB1006),$AO$1006:$BQ$1006,0)), HYPERLINK("#",""), HYPERLINK(CONCATENATE("#Metadata!", ADDRESS(INDEX($AJ$2:$AJ$1001,MATCH(ROWS($AH$2:AH549),$AH$2:$AH$1001,0),0), INDEX($AO$1004:$BQ$1004,1,MATCH(COLUMNS($AO$1006:BB1006),$AO$1006:$BQ$1006,0)))),"Fix")))</f>
        <v>#N/A</v>
      </c>
      <c r="P549" s="5" t="e">
        <f ca="1">IF(OR(INDEX($AI$2:$AI$1001,MATCH(ROWS($AH$2:AH549),$AH$2:$AH$1001,0),1)&gt;=100000,INDEX($AO$1005:$BQ$1005,1,MATCH(COLUMNS($AO$1006:BC1006),$AO$1006:$BQ$1006,0))&gt;=100000), " ",IF(INDEX($AO$2:$BQ$1001,MATCH(ROWS($AH$2:AH549),$AH$2:$AH$1001,0),MATCH(COLUMNS($AO$1006:BC1006),$AO$1006:$BQ$1006,0)), HYPERLINK("#",""), HYPERLINK(CONCATENATE("#Metadata!", ADDRESS(INDEX($AJ$2:$AJ$1001,MATCH(ROWS($AH$2:AH549),$AH$2:$AH$1001,0),0), INDEX($AO$1004:$BQ$1004,1,MATCH(COLUMNS($AO$1006:BC1006),$AO$1006:$BQ$1006,0)))),"Fix")))</f>
        <v>#N/A</v>
      </c>
      <c r="Q549" s="5" t="e">
        <f ca="1">IF(OR(INDEX($AI$2:$AI$1001,MATCH(ROWS($AH$2:AH549),$AH$2:$AH$1001,0),1)&gt;=100000,INDEX($AO$1005:$BQ$1005,1,MATCH(COLUMNS($AO$1006:BD1006),$AO$1006:$BQ$1006,0))&gt;=100000), " ",IF(INDEX($AO$2:$BQ$1001,MATCH(ROWS($AH$2:AH549),$AH$2:$AH$1001,0),MATCH(COLUMNS($AO$1006:BD1006),$AO$1006:$BQ$1006,0)), HYPERLINK("#",""), HYPERLINK(CONCATENATE("#Metadata!", ADDRESS(INDEX($AJ$2:$AJ$1001,MATCH(ROWS($AH$2:AH549),$AH$2:$AH$1001,0),0), INDEX($AO$1004:$BQ$1004,1,MATCH(COLUMNS($AO$1006:BD1006),$AO$1006:$BQ$1006,0)))),"Fix")))</f>
        <v>#N/A</v>
      </c>
      <c r="R549" s="5" t="e">
        <f ca="1">IF(OR(INDEX($AI$2:$AI$1001,MATCH(ROWS($AH$2:AH549),$AH$2:$AH$1001,0),1)&gt;=100000,INDEX($AO$1005:$BQ$1005,1,MATCH(COLUMNS($AO$1006:BE1006),$AO$1006:$BQ$1006,0))&gt;=100000), " ",IF(INDEX($AO$2:$BQ$1001,MATCH(ROWS($AH$2:AH549),$AH$2:$AH$1001,0),MATCH(COLUMNS($AO$1006:BE1006),$AO$1006:$BQ$1006,0)), HYPERLINK("#",""), HYPERLINK(CONCATENATE("#Metadata!", ADDRESS(INDEX($AJ$2:$AJ$1001,MATCH(ROWS($AH$2:AH549),$AH$2:$AH$1001,0),0), INDEX($AO$1004:$BQ$1004,1,MATCH(COLUMNS($AO$1006:BE1006),$AO$1006:$BQ$1006,0)))),"Fix")))</f>
        <v>#N/A</v>
      </c>
      <c r="S549" s="5" t="e">
        <f ca="1">IF(OR(INDEX($AI$2:$AI$1001,MATCH(ROWS($AH$2:AH549),$AH$2:$AH$1001,0),1)&gt;=100000,INDEX($AO$1005:$BQ$1005,1,MATCH(COLUMNS($AO$1006:BF1006),$AO$1006:$BQ$1006,0))&gt;=100000), " ",IF(INDEX($AO$2:$BQ$1001,MATCH(ROWS($AH$2:AH549),$AH$2:$AH$1001,0),MATCH(COLUMNS($AO$1006:BF1006),$AO$1006:$BQ$1006,0)), HYPERLINK("#",""), HYPERLINK(CONCATENATE("#Metadata!", ADDRESS(INDEX($AJ$2:$AJ$1001,MATCH(ROWS($AH$2:AH549),$AH$2:$AH$1001,0),0), INDEX($AO$1004:$BQ$1004,1,MATCH(COLUMNS($AO$1006:BF1006),$AO$1006:$BQ$1006,0)))),"Fix")))</f>
        <v>#N/A</v>
      </c>
      <c r="T549" s="5" t="e">
        <f ca="1">IF(OR(INDEX($AI$2:$AI$1001,MATCH(ROWS($AH$2:AH549),$AH$2:$AH$1001,0),1)&gt;=100000,INDEX($AO$1005:$BQ$1005,1,MATCH(COLUMNS($AO$1006:BG1006),$AO$1006:$BQ$1006,0))&gt;=100000), " ",IF(INDEX($AO$2:$BQ$1001,MATCH(ROWS($AH$2:AH549),$AH$2:$AH$1001,0),MATCH(COLUMNS($AO$1006:BG1006),$AO$1006:$BQ$1006,0)), HYPERLINK("#",""), HYPERLINK(CONCATENATE("#Metadata!", ADDRESS(INDEX($AJ$2:$AJ$1001,MATCH(ROWS($AH$2:AH549),$AH$2:$AH$1001,0),0), INDEX($AO$1004:$BQ$1004,1,MATCH(COLUMNS($AO$1006:BG1006),$AO$1006:$BQ$1006,0)))),"Fix")))</f>
        <v>#N/A</v>
      </c>
      <c r="U549" s="5" t="e">
        <f ca="1">IF(OR(INDEX($AI$2:$AI$1001,MATCH(ROWS($AH$2:AH549),$AH$2:$AH$1001,0),1)&gt;=100000,INDEX($AO$1005:$BQ$1005,1,MATCH(COLUMNS($AO$1006:BH1006),$AO$1006:$BQ$1006,0))&gt;=100000), " ",IF(INDEX($AO$2:$BQ$1001,MATCH(ROWS($AH$2:AH549),$AH$2:$AH$1001,0),MATCH(COLUMNS($AO$1006:BH1006),$AO$1006:$BQ$1006,0)), HYPERLINK("#",""), HYPERLINK(CONCATENATE("#Metadata!", ADDRESS(INDEX($AJ$2:$AJ$1001,MATCH(ROWS($AH$2:AH549),$AH$2:$AH$1001,0),0), INDEX($AO$1004:$BQ$1004,1,MATCH(COLUMNS($AO$1006:BH1006),$AO$1006:$BQ$1006,0)))),"Fix")))</f>
        <v>#N/A</v>
      </c>
      <c r="V549" s="5" t="e">
        <f ca="1">IF(OR(INDEX($AI$2:$AI$1001,MATCH(ROWS($AH$2:AH549),$AH$2:$AH$1001,0),1)&gt;=100000,INDEX($AO$1005:$BQ$1005,1,MATCH(COLUMNS($AO$1006:BI1006),$AO$1006:$BQ$1006,0))&gt;=100000), " ",IF(INDEX($AO$2:$BQ$1001,MATCH(ROWS($AH$2:AH549),$AH$2:$AH$1001,0),MATCH(COLUMNS($AO$1006:BI1006),$AO$1006:$BQ$1006,0)), HYPERLINK("#",""), HYPERLINK(CONCATENATE("#Metadata!", ADDRESS(INDEX($AJ$2:$AJ$1001,MATCH(ROWS($AH$2:AH549),$AH$2:$AH$1001,0),0), INDEX($AO$1004:$BQ$1004,1,MATCH(COLUMNS($AO$1006:BI1006),$AO$1006:$BQ$1006,0)))),"Fix")))</f>
        <v>#N/A</v>
      </c>
      <c r="W549" s="5" t="e">
        <f ca="1">IF(OR(INDEX($AI$2:$AI$1001,MATCH(ROWS($AH$2:AH549),$AH$2:$AH$1001,0),1)&gt;=100000,INDEX($AO$1005:$BQ$1005,1,MATCH(COLUMNS($AO$1006:BJ1006),$AO$1006:$BQ$1006,0))&gt;=100000), " ",IF(INDEX($AO$2:$BQ$1001,MATCH(ROWS($AH$2:AH549),$AH$2:$AH$1001,0),MATCH(COLUMNS($AO$1006:BJ1006),$AO$1006:$BQ$1006,0)), HYPERLINK("#",""), HYPERLINK(CONCATENATE("#Metadata!", ADDRESS(INDEX($AJ$2:$AJ$1001,MATCH(ROWS($AH$2:AH549),$AH$2:$AH$1001,0),0), INDEX($AO$1004:$BQ$1004,1,MATCH(COLUMNS($AO$1006:BJ1006),$AO$1006:$BQ$1006,0)))),"Fix")))</f>
        <v>#N/A</v>
      </c>
      <c r="X549" s="5" t="e">
        <f ca="1">IF(OR(INDEX($AI$2:$AI$1001,MATCH(ROWS($AH$2:AH549),$AH$2:$AH$1001,0),1)&gt;=100000,INDEX($AO$1005:$BQ$1005,1,MATCH(COLUMNS($AO$1006:BK1006),$AO$1006:$BQ$1006,0))&gt;=100000), " ",IF(INDEX($AO$2:$BQ$1001,MATCH(ROWS($AH$2:AH549),$AH$2:$AH$1001,0),MATCH(COLUMNS($AO$1006:BK1006),$AO$1006:$BQ$1006,0)), HYPERLINK("#",""), HYPERLINK(CONCATENATE("#Metadata!", ADDRESS(INDEX($AJ$2:$AJ$1001,MATCH(ROWS($AH$2:AH549),$AH$2:$AH$1001,0),0), INDEX($AO$1004:$BQ$1004,1,MATCH(COLUMNS($AO$1006:BK1006),$AO$1006:$BQ$1006,0)))),"Fix")))</f>
        <v>#N/A</v>
      </c>
      <c r="Y549" s="5" t="e">
        <f ca="1">IF(OR(INDEX($AI$2:$AI$1001,MATCH(ROWS($AH$2:AH549),$AH$2:$AH$1001,0),1)&gt;=100000,INDEX($AO$1005:$BQ$1005,1,MATCH(COLUMNS($AO$1006:BL1006),$AO$1006:$BQ$1006,0))&gt;=100000), " ",IF(INDEX($AO$2:$BQ$1001,MATCH(ROWS($AH$2:AH549),$AH$2:$AH$1001,0),MATCH(COLUMNS($AO$1006:BL1006),$AO$1006:$BQ$1006,0)), HYPERLINK("#",""), HYPERLINK(CONCATENATE("#Metadata!", ADDRESS(INDEX($AJ$2:$AJ$1001,MATCH(ROWS($AH$2:AH549),$AH$2:$AH$1001,0),0), INDEX($AO$1004:$BQ$1004,1,MATCH(COLUMNS($AO$1006:BL1006),$AO$1006:$BQ$1006,0)))),"Fix")))</f>
        <v>#N/A</v>
      </c>
      <c r="Z549" s="5" t="e">
        <f ca="1">IF(OR(INDEX($AI$2:$AI$1001,MATCH(ROWS($AH$2:AH549),$AH$2:$AH$1001,0),1)&gt;=100000,INDEX($AO$1005:$BQ$1005,1,MATCH(COLUMNS($AO$1006:BM1006),$AO$1006:$BQ$1006,0))&gt;=100000), " ",IF(INDEX($AO$2:$BQ$1001,MATCH(ROWS($AH$2:AH549),$AH$2:$AH$1001,0),MATCH(COLUMNS($AO$1006:BM1006),$AO$1006:$BQ$1006,0)), HYPERLINK("#",""), HYPERLINK(CONCATENATE("#Metadata!", ADDRESS(INDEX($AJ$2:$AJ$1001,MATCH(ROWS($AH$2:AH549),$AH$2:$AH$1001,0),0), INDEX($AO$1004:$BQ$1004,1,MATCH(COLUMNS($AO$1006:BM1006),$AO$1006:$BQ$1006,0)))),"Fix")))</f>
        <v>#N/A</v>
      </c>
      <c r="AA549" s="5" t="e">
        <f ca="1">IF(OR(INDEX($AI$2:$AI$1001,MATCH(ROWS($AH$2:AH549),$AH$2:$AH$1001,0),1)&gt;=100000,INDEX($AO$1005:$BQ$1005,1,MATCH(COLUMNS($AO$1006:BN1006),$AO$1006:$BQ$1006,0))&gt;=100000), " ",IF(INDEX($AO$2:$BQ$1001,MATCH(ROWS($AH$2:AH549),$AH$2:$AH$1001,0),MATCH(COLUMNS($AO$1006:BN1006),$AO$1006:$BQ$1006,0)), HYPERLINK("#",""), HYPERLINK(CONCATENATE("#Metadata!", ADDRESS(INDEX($AJ$2:$AJ$1001,MATCH(ROWS($AH$2:AH549),$AH$2:$AH$1001,0),0), INDEX($AO$1004:$BQ$1004,1,MATCH(COLUMNS($AO$1006:BN1006),$AO$1006:$BQ$1006,0)))),"Fix")))</f>
        <v>#N/A</v>
      </c>
      <c r="AB549" s="5" t="e">
        <f ca="1">IF(OR(INDEX($AI$2:$AI$1001,MATCH(ROWS($AH$2:AH549),$AH$2:$AH$1001,0),1)&gt;=100000,INDEX($AO$1005:$BQ$1005,1,MATCH(COLUMNS($AO$1006:BO1006),$AO$1006:$BQ$1006,0))&gt;=100000), " ",IF(INDEX($AO$2:$BQ$1001,MATCH(ROWS($AH$2:AH549),$AH$2:$AH$1001,0),MATCH(COLUMNS($AO$1006:BO1006),$AO$1006:$BQ$1006,0)), HYPERLINK("#",""), HYPERLINK(CONCATENATE("#Metadata!", ADDRESS(INDEX($AJ$2:$AJ$1001,MATCH(ROWS($AH$2:AH549),$AH$2:$AH$1001,0),0), INDEX($AO$1004:$BQ$1004,1,MATCH(COLUMNS($AO$1006:BO1006),$AO$1006:$BQ$1006,0)))),"Fix")))</f>
        <v>#N/A</v>
      </c>
      <c r="AC549" s="5" t="e">
        <f ca="1">IF(OR(INDEX($AI$2:$AI$1001,MATCH(ROWS($AH$2:AH549),$AH$2:$AH$1001,0),1)&gt;=100000,INDEX($AO$1005:$BQ$1005,1,MATCH(COLUMNS($AO$1006:BP1006),$AO$1006:$BQ$1006,0))&gt;=100000), " ",IF(INDEX($AO$2:$BQ$1001,MATCH(ROWS($AH$2:AH549),$AH$2:$AH$1001,0),MATCH(COLUMNS($AO$1006:BP1006),$AO$1006:$BQ$1006,0)), HYPERLINK("#",""), HYPERLINK(CONCATENATE("#Metadata!", ADDRESS(INDEX($AJ$2:$AJ$1001,MATCH(ROWS($AH$2:AH549),$AH$2:$AH$1001,0),0), INDEX($AO$1004:$BQ$1004,1,MATCH(COLUMNS($AO$1006:BP1006),$AO$1006:$BQ$1006,0)))),"Fix")))</f>
        <v>#N/A</v>
      </c>
      <c r="AD549" s="5" t="e">
        <f ca="1">IF(OR(INDEX($AI$2:$AI$1001,MATCH(ROWS($AH$2:AH549),$AH$2:$AH$1001,0),1)&gt;=100000,INDEX($AO$1005:$BQ$1005,1,MATCH(COLUMNS($AO$1006:BQ1006),$AO$1006:$BQ$1006,0))&gt;=100000), " ",IF(INDEX($AO$2:$BQ$1001,MATCH(ROWS($AH$2:AH549),$AH$2:$AH$1001,0),MATCH(COLUMNS($AO$1006:BQ1006),$AO$1006:$BQ$1006,0)), HYPERLINK("#",""), HYPERLINK(CONCATENATE("#Metadata!", ADDRESS(INDEX($AJ$2:$AJ$1001,MATCH(ROWS($AH$2:AH549),$AH$2:$AH$1001,0),0), INDEX($AO$1004:$BQ$1004,1,MATCH(COLUMNS($AO$1006:BQ1006),$AO$1006:$BQ$1006,0)))),"Fix")))</f>
        <v>#REF!</v>
      </c>
      <c r="AH549">
        <f ca="1"/>
        <v>546</v>
      </c>
      <c r="AI549">
        <v>100549</v>
      </c>
      <c r="AJ549">
        <v>549</v>
      </c>
      <c r="AK549" t="b">
        <f t="shared" si="8"/>
        <v>1</v>
      </c>
      <c r="AL549" t="b">
        <f>COUNTBLANK(Metadata!B549:AD549)=COLUMNS(Metadata!B549:AD549)</f>
        <v>1</v>
      </c>
      <c r="AM549" t="str">
        <v/>
      </c>
      <c r="AO549" t="b">
        <f ca="1">AND(IF(Metadata!B549="",FALSE,TRUE),COUNTIF(Metadata!B:B, Metadata!B549) = 1,NOT(ISERROR(SUMPRODUCT(SEARCH(MID(Metadata!B549,ROW(INDIRECT("1:"&amp;LEN(Metadata!B549))), 1),"0123456789abcdefghijklmnopqrstuvwxyzABCDEFGHIJKLMNOPQRSTUVWXYZ.")))))</f>
        <v>0</v>
      </c>
      <c r="AP549" t="b">
        <f>IF(Metadata!C549="",FALSE,TRUE)</f>
        <v>0</v>
      </c>
      <c r="AQ549" t="b">
        <f>IF(Metadata!D549="",FALSE,TRUE)</f>
        <v>0</v>
      </c>
      <c r="AR549" t="b">
        <f ca="1">OR(AND(IF(Metadata!E549="",FALSE,TRUE),OR(EXACT(Metadata!E549,"not collected"),EXACT(Metadata!E549,"not provided"),EXACT(Metadata!E549,"restricted access"))),AND(IF(Metadata!E549="",FALSE,TRUE),AND(AND(IFERROR(INT(LEFT(Metadata!E549,4))&gt;1900,FALSE),IFERROR(INT(LEFT(Metadata!E549,4))&lt;=YEAR(NOW()),FALSE)), OR(MID(Metadata!E549,5,1)="", AND(AND(MID(Metadata!E549,5,1)="-",IFERROR(INT(MID(Metadata!E549,6,1))&gt;=0,FALSE),IFERROR(INT(MID(Metadata!E549,6,1))&lt;=1,FALSE),NOT(MID(Metadata!E549,7,1)=""),IFERROR(INT(MID(Metadata!E549,6,2))&gt;=1,FALSE),IFERROR(INT(MID(Metadata!E549,6,2))&lt;=12,FALSE)), OR(MID(Metadata!E549,8,1)="", AND(AND(MID(Metadata!E549,8,1)="-",IFERROR(INT(MID(Metadata!E549,9,1))&gt;=0,FALSE),IFERROR(INT(MID(Metadata!E549,9,1))&lt;=3,FALSE),NOT(MID(Metadata!E549,10,1)=""),IFERROR(INT(MID(Metadata!E549,9,2))&gt;=1,FALSE),IFERROR(INT(MID(Metadata!E549,9,2))&lt;=31,FALSE)), OR(MID(Metadata!E549,11,1)="", AND(AND(MID(Metadata!E549,11,1)=" ",IFERROR(INT(MID(Metadata!E549,12,1))&gt;=0,FALSE),IFERROR(INT(MID(Metadata!E549,12,1))&lt;=2,FALSE),NOT(MID(Metadata!E549,13,1)=""),IFERROR(INT(MID(Metadata!E549,12,2))&gt;=0,FALSE),IFERROR(INT(MID(Metadata!E549,12,2))&lt;=23,FALSE)), OR(MID(Metadata!E549,14,1)="", AND(AND(MID(Metadata!E549,14,1)=":",IFERROR(INT(MID(Metadata!E549,15,1))&gt;=0,FALSE),IFERROR(INT(MID(Metadata!E549,15,1))&lt;=5,FALSE),NOT(MID(Metadata!E549,16,1)=""),IFERROR(INT(MID(Metadata!E549,15,2))&gt;=0,FALSE),IFERROR(INT(MID(Metadata!E549,15,2))&lt;=59,FALSE)), OR(MID(Metadata!E549,17,1)="", AND(AND(MID(Metadata!E549,17,1)=":",IFERROR(INT(MID(Metadata!E549,18,1))&gt;=0,FALSE),IFERROR(INT(MID(Metadata!E549,18,1))&lt;=5,FALSE),NOT(MID(Metadata!E549,19,1)=""),IFERROR(INT(MID(Metadata!E549,18,2))&gt;=0,FALSE),IFERROR(INT(MID(Metadata!E549,18,2))&lt;=59,FALSE)), LEN(Metadata!E549)&lt;=19)))))))))))))</f>
        <v>0</v>
      </c>
      <c r="AS549" t="b">
        <f>IF(Metadata!F549="",FALSE,TRUE)</f>
        <v>0</v>
      </c>
      <c r="AT549" t="b">
        <f>OR(AND(IF(Metadata!G549="",FALSE,TRUE),OR(EXACT(Metadata!G549,"not collected"),EXACT(Metadata!G549,"not provided"))),AND(IF(Metadata!G549="",FALSE,TRUE),OR(EXACT(Metadata!G549,"TRUE"),EXACT(Metadata!G549,"FALSE"))))</f>
        <v>0</v>
      </c>
      <c r="AU549" t="b">
        <f>OR(AND(IF(Metadata!H549="",FALSE,TRUE),OR(EXACT(Metadata!H549,"not collected"),EXACT(Metadata!H549,"not provided"),EXACT(Metadata!H549,"restricted access"))),AND(IF(Metadata!H549="",FALSE,ISNUMBER(VALUE(Metadata!H549))),Metadata!H549&gt;=-413))</f>
        <v>0</v>
      </c>
      <c r="AV549" t="b">
        <f>AND(IF(Metadata!I549="",FALSE,TRUE),EXACT(Metadata!I549,"meters"))</f>
        <v>0</v>
      </c>
      <c r="AW549" t="b">
        <f>AND(IF(Metadata!J549="",FALSE,TRUE),EXACT(Metadata!J549,"free-living"))</f>
        <v>0</v>
      </c>
      <c r="AX549" t="b">
        <f>AND(IF(Metadata!K549="",FALSE,TRUE),OR(EXACT(Metadata!K549,"saline"),EXACT(Metadata!K549,"non-saline")))</f>
        <v>0</v>
      </c>
      <c r="AY549" t="b">
        <f>AND(IF(Metadata!L549="",FALSE,TRUE),OR(EXACT(Metadata!L549,"sub-surface (non-saline)"),EXACT(Metadata!L549,"surface (non-saline)"),EXACT(Metadata!L549,"water (non-saline)"),EXACT(Metadata!L549,"soil (non-saline)"),EXACT(Metadata!L549,"aerosol (non-saline)"),EXACT(Metadata!L549,"sediment (non-saline)"),EXACT(Metadata!L549,"surface (saline)"),EXACT(Metadata!L549,"water (saline)"),EXACT(Metadata!L549,"hypersaline (saline)"),EXACT(Metadata!L549,"aerosol (saline)"),EXACT(Metadata!L549,"sediment (saline)")))</f>
        <v>0</v>
      </c>
      <c r="AZ549" t="b">
        <f>IF(Metadata!M549="",FALSE,TRUE)</f>
        <v>0</v>
      </c>
      <c r="BA549" t="b">
        <f>IF(Metadata!N549="",FALSE,TRUE)</f>
        <v>0</v>
      </c>
      <c r="BB549" t="b">
        <f>IF(Metadata!O549="",FALSE,TRUE)</f>
        <v>0</v>
      </c>
      <c r="BC549" t="b">
        <f>AND(IF(Metadata!P549="",FALSE,TRUE),OR(EXACT(Metadata!P549,"air"),EXACT(Metadata!P549,"microbial mat/biofilm"),EXACT(Metadata!P549,"misc environment"),EXACT(Metadata!P549,"sediment"),EXACT(Metadata!P549,"soil"),EXACT(Metadata!P549,"wastewater/sludge"),EXACT(Metadata!P549,"water")))</f>
        <v>0</v>
      </c>
      <c r="BD549" t="b">
        <f>IF(Metadata!Q549="",FALSE,TRUE)</f>
        <v>0</v>
      </c>
      <c r="BE549" t="b">
        <f>IF(Metadata!R549="",FALSE,TRUE)</f>
        <v>0</v>
      </c>
      <c r="BF549" t="b">
        <f>OR(AND(IF(Metadata!S549="",FALSE,TRUE),OR(EXACT(Metadata!S549,"not collected"),EXACT(Metadata!S549,"not provided"),EXACT(Metadata!S549,"restricted access"))),AND(IF(Metadata!S549="",FALSE,ISNUMBER(VALUE(Metadata!S549))),Metadata!S549&gt;=-90,Metadata!S549&lt;=90))</f>
        <v>0</v>
      </c>
      <c r="BG549" t="b">
        <f>AND(IF(Metadata!T549="",FALSE,TRUE),EXACT(Metadata!T549,"Decimal degrees"))</f>
        <v>0</v>
      </c>
      <c r="BH549" t="b">
        <f>OR(AND(IF(Metadata!U549="",FALSE,TRUE),OR(EXACT(Metadata!U549,"not applicable"),EXACT(Metadata!U549,"not collected"))),IF(Metadata!U549="",FALSE,TRUE))</f>
        <v>0</v>
      </c>
      <c r="BI549" t="b">
        <f>OR(AND(IF(Metadata!V549="",FALSE,TRUE),OR(EXACT(Metadata!V549,"not collected"),EXACT(Metadata!V549,"not provided"),EXACT(Metadata!V549,"restricted access"))),AND(IF(Metadata!V549="",FALSE,ISNUMBER(VALUE(Metadata!V549))),Metadata!V549&gt;=-180,Metadata!V549&lt;=180))</f>
        <v>0</v>
      </c>
      <c r="BJ549" t="b">
        <f>AND(IF(Metadata!W549="",FALSE,TRUE),EXACT(Metadata!W549,"Decimal degrees"))</f>
        <v>0</v>
      </c>
      <c r="BK549" t="b">
        <f>IF(Metadata!X549="",FALSE,TRUE)</f>
        <v>0</v>
      </c>
      <c r="BL549" t="b">
        <f>OR(AND(IF(Metadata!Y549="",FALSE,TRUE),OR(EXACT(Metadata!Y549,"not collected"),EXACT(Metadata!Y549,"not provided"),EXACT(Metadata!Y549,"restricted access"))),AND(IF(Metadata!Y549="",FALSE,TRUE),OR(EXACT(Metadata!Y549,"TRUE"),EXACT(Metadata!Y549,"FALSE"))))</f>
        <v>0</v>
      </c>
      <c r="BM549" t="b">
        <f>OR(AND(IF(Metadata!Z549="",FALSE,TRUE),EXACT(Metadata!Z549,"not applicable")),AND(IF(Metadata!Z549="",FALSE,TRUE),OR(EXACT(Metadata!Z549,"beer"),EXACT(Metadata!Z549,"cheese"),EXACT(Metadata!Z549,"fresh water"),EXACT(Metadata!Z549,"marine sediment"),EXACT(Metadata!Z549,"sea water"),EXACT(Metadata!Z549,"sediment"),EXACT(Metadata!Z549,"soil"),EXACT(Metadata!Z549,"waste water"))))</f>
        <v>0</v>
      </c>
      <c r="BN549" t="b">
        <f>AND(IF(Metadata!AA549="",FALSE,TRUE),EXACT(Metadata!AA549,"metagenome"))</f>
        <v>0</v>
      </c>
      <c r="BO549" t="b">
        <f>AND(IF(Metadata!AB549="",FALSE,TRUE),EXACT(Metadata!AB549,"256318"))</f>
        <v>0</v>
      </c>
      <c r="BP549" t="b">
        <f>IF(Metadata!AC549="",FALSE,TRUE)</f>
        <v>0</v>
      </c>
      <c r="BQ549" t="b">
        <f>IF(Metadata!AD549="",FALSE,TRUE)</f>
        <v>0</v>
      </c>
    </row>
    <row r="550" spans="1:69" x14ac:dyDescent="0.2">
      <c r="A550" s="4" t="e">
        <f ca="1">IF(B550=" "," ",HYPERLINK(CONCATENATE("#metadata!",ADDRESS(INDEX($AJ$2:$AJ$1001,MATCH(ROWS($AH$2:AH550),$AH$2:$AH$1001,0),0),2)),INDEX($AM$2:$AM$1001,MATCH(ROWS($AH$2:AH550),$AH$2:$AH$1001,0),0)))</f>
        <v>#N/A</v>
      </c>
      <c r="B550" s="5" t="e">
        <f ca="1">IF(OR(INDEX($AI$2:$AI$1001,MATCH(ROWS($AH$2:AH550),$AH$2:$AH$1001,0),1)&gt;=100000,INDEX($AO$1005:$BQ$1005,1,MATCH(COLUMNS($AO$1006:AO1006),$AO$1006:$BQ$1006,0))&gt;=100000), " ",IF(INDEX($AO$2:$BQ$1001,MATCH(ROWS($AH$2:AH550),$AH$2:$AH$1001,0),MATCH(COLUMNS($AO$1006:AO1006),$AO$1006:$BQ$1006,0)), HYPERLINK("#",""), HYPERLINK(CONCATENATE("#Metadata!", ADDRESS(INDEX($AJ$2:$AJ$1001,MATCH(ROWS($AH$2:AH550),$AH$2:$AH$1001,0),0), INDEX($AO$1004:$BQ$1004,1,MATCH(COLUMNS($AO$1006:AO1006),$AO$1006:$BQ$1006,0)))),"Fix")))</f>
        <v>#N/A</v>
      </c>
      <c r="C550" s="5" t="e">
        <f ca="1">IF(OR(INDEX($AI$2:$AI$1001,MATCH(ROWS($AH$2:AH550),$AH$2:$AH$1001,0),1)&gt;=100000,INDEX($AO$1005:$BQ$1005,1,MATCH(COLUMNS($AO$1006:AP1006),$AO$1006:$BQ$1006,0))&gt;=100000), " ",IF(INDEX($AO$2:$BQ$1001,MATCH(ROWS($AH$2:AH550),$AH$2:$AH$1001,0),MATCH(COLUMNS($AO$1006:AP1006),$AO$1006:$BQ$1006,0)), HYPERLINK("#",""), HYPERLINK(CONCATENATE("#Metadata!", ADDRESS(INDEX($AJ$2:$AJ$1001,MATCH(ROWS($AH$2:AH550),$AH$2:$AH$1001,0),0), INDEX($AO$1004:$BQ$1004,1,MATCH(COLUMNS($AO$1006:AP1006),$AO$1006:$BQ$1006,0)))),"Fix")))</f>
        <v>#N/A</v>
      </c>
      <c r="D550" s="5" t="e">
        <f ca="1">IF(OR(INDEX($AI$2:$AI$1001,MATCH(ROWS($AH$2:AH550),$AH$2:$AH$1001,0),1)&gt;=100000,INDEX($AO$1005:$BQ$1005,1,MATCH(COLUMNS($AO$1006:AQ1006),$AO$1006:$BQ$1006,0))&gt;=100000), " ",IF(INDEX($AO$2:$BQ$1001,MATCH(ROWS($AH$2:AH550),$AH$2:$AH$1001,0),MATCH(COLUMNS($AO$1006:AQ1006),$AO$1006:$BQ$1006,0)), HYPERLINK("#",""), HYPERLINK(CONCATENATE("#Metadata!", ADDRESS(INDEX($AJ$2:$AJ$1001,MATCH(ROWS($AH$2:AH550),$AH$2:$AH$1001,0),0), INDEX($AO$1004:$BQ$1004,1,MATCH(COLUMNS($AO$1006:AQ1006),$AO$1006:$BQ$1006,0)))),"Fix")))</f>
        <v>#N/A</v>
      </c>
      <c r="E550" s="5" t="e">
        <f ca="1">IF(OR(INDEX($AI$2:$AI$1001,MATCH(ROWS($AH$2:AH550),$AH$2:$AH$1001,0),1)&gt;=100000,INDEX($AO$1005:$BQ$1005,1,MATCH(COLUMNS($AO$1006:AR1006),$AO$1006:$BQ$1006,0))&gt;=100000), " ",IF(INDEX($AO$2:$BQ$1001,MATCH(ROWS($AH$2:AH550),$AH$2:$AH$1001,0),MATCH(COLUMNS($AO$1006:AR1006),$AO$1006:$BQ$1006,0)), HYPERLINK("#",""), HYPERLINK(CONCATENATE("#Metadata!", ADDRESS(INDEX($AJ$2:$AJ$1001,MATCH(ROWS($AH$2:AH550),$AH$2:$AH$1001,0),0), INDEX($AO$1004:$BQ$1004,1,MATCH(COLUMNS($AO$1006:AR1006),$AO$1006:$BQ$1006,0)))),"Fix")))</f>
        <v>#N/A</v>
      </c>
      <c r="F550" s="5" t="e">
        <f ca="1">IF(OR(INDEX($AI$2:$AI$1001,MATCH(ROWS($AH$2:AH550),$AH$2:$AH$1001,0),1)&gt;=100000,INDEX($AO$1005:$BQ$1005,1,MATCH(COLUMNS($AO$1006:AS1006),$AO$1006:$BQ$1006,0))&gt;=100000), " ",IF(INDEX($AO$2:$BQ$1001,MATCH(ROWS($AH$2:AH550),$AH$2:$AH$1001,0),MATCH(COLUMNS($AO$1006:AS1006),$AO$1006:$BQ$1006,0)), HYPERLINK("#",""), HYPERLINK(CONCATENATE("#Metadata!", ADDRESS(INDEX($AJ$2:$AJ$1001,MATCH(ROWS($AH$2:AH550),$AH$2:$AH$1001,0),0), INDEX($AO$1004:$BQ$1004,1,MATCH(COLUMNS($AO$1006:AS1006),$AO$1006:$BQ$1006,0)))),"Fix")))</f>
        <v>#N/A</v>
      </c>
      <c r="G550" s="5" t="e">
        <f ca="1">IF(OR(INDEX($AI$2:$AI$1001,MATCH(ROWS($AH$2:AH550),$AH$2:$AH$1001,0),1)&gt;=100000,INDEX($AO$1005:$BQ$1005,1,MATCH(COLUMNS($AO$1006:AT1006),$AO$1006:$BQ$1006,0))&gt;=100000), " ",IF(INDEX($AO$2:$BQ$1001,MATCH(ROWS($AH$2:AH550),$AH$2:$AH$1001,0),MATCH(COLUMNS($AO$1006:AT1006),$AO$1006:$BQ$1006,0)), HYPERLINK("#",""), HYPERLINK(CONCATENATE("#Metadata!", ADDRESS(INDEX($AJ$2:$AJ$1001,MATCH(ROWS($AH$2:AH550),$AH$2:$AH$1001,0),0), INDEX($AO$1004:$BQ$1004,1,MATCH(COLUMNS($AO$1006:AT1006),$AO$1006:$BQ$1006,0)))),"Fix")))</f>
        <v>#N/A</v>
      </c>
      <c r="H550" s="5" t="e">
        <f ca="1">IF(OR(INDEX($AI$2:$AI$1001,MATCH(ROWS($AH$2:AH550),$AH$2:$AH$1001,0),1)&gt;=100000,INDEX($AO$1005:$BQ$1005,1,MATCH(COLUMNS($AO$1006:AU1006),$AO$1006:$BQ$1006,0))&gt;=100000), " ",IF(INDEX($AO$2:$BQ$1001,MATCH(ROWS($AH$2:AH550),$AH$2:$AH$1001,0),MATCH(COLUMNS($AO$1006:AU1006),$AO$1006:$BQ$1006,0)), HYPERLINK("#",""), HYPERLINK(CONCATENATE("#Metadata!", ADDRESS(INDEX($AJ$2:$AJ$1001,MATCH(ROWS($AH$2:AH550),$AH$2:$AH$1001,0),0), INDEX($AO$1004:$BQ$1004,1,MATCH(COLUMNS($AO$1006:AU1006),$AO$1006:$BQ$1006,0)))),"Fix")))</f>
        <v>#N/A</v>
      </c>
      <c r="I550" s="5" t="e">
        <f ca="1">IF(OR(INDEX($AI$2:$AI$1001,MATCH(ROWS($AH$2:AH550),$AH$2:$AH$1001,0),1)&gt;=100000,INDEX($AO$1005:$BQ$1005,1,MATCH(COLUMNS($AO$1006:AV1006),$AO$1006:$BQ$1006,0))&gt;=100000), " ",IF(INDEX($AO$2:$BQ$1001,MATCH(ROWS($AH$2:AH550),$AH$2:$AH$1001,0),MATCH(COLUMNS($AO$1006:AV1006),$AO$1006:$BQ$1006,0)), HYPERLINK("#",""), HYPERLINK(CONCATENATE("#Metadata!", ADDRESS(INDEX($AJ$2:$AJ$1001,MATCH(ROWS($AH$2:AH550),$AH$2:$AH$1001,0),0), INDEX($AO$1004:$BQ$1004,1,MATCH(COLUMNS($AO$1006:AV1006),$AO$1006:$BQ$1006,0)))),"Fix")))</f>
        <v>#N/A</v>
      </c>
      <c r="J550" s="5" t="e">
        <f ca="1">IF(OR(INDEX($AI$2:$AI$1001,MATCH(ROWS($AH$2:AH550),$AH$2:$AH$1001,0),1)&gt;=100000,INDEX($AO$1005:$BQ$1005,1,MATCH(COLUMNS($AO$1006:AW1006),$AO$1006:$BQ$1006,0))&gt;=100000), " ",IF(INDEX($AO$2:$BQ$1001,MATCH(ROWS($AH$2:AH550),$AH$2:$AH$1001,0),MATCH(COLUMNS($AO$1006:AW1006),$AO$1006:$BQ$1006,0)), HYPERLINK("#",""), HYPERLINK(CONCATENATE("#Metadata!", ADDRESS(INDEX($AJ$2:$AJ$1001,MATCH(ROWS($AH$2:AH550),$AH$2:$AH$1001,0),0), INDEX($AO$1004:$BQ$1004,1,MATCH(COLUMNS($AO$1006:AW1006),$AO$1006:$BQ$1006,0)))),"Fix")))</f>
        <v>#N/A</v>
      </c>
      <c r="K550" s="5" t="e">
        <f ca="1">IF(OR(INDEX($AI$2:$AI$1001,MATCH(ROWS($AH$2:AH550),$AH$2:$AH$1001,0),1)&gt;=100000,INDEX($AO$1005:$BQ$1005,1,MATCH(COLUMNS($AO$1006:AX1006),$AO$1006:$BQ$1006,0))&gt;=100000), " ",IF(INDEX($AO$2:$BQ$1001,MATCH(ROWS($AH$2:AH550),$AH$2:$AH$1001,0),MATCH(COLUMNS($AO$1006:AX1006),$AO$1006:$BQ$1006,0)), HYPERLINK("#",""), HYPERLINK(CONCATENATE("#Metadata!", ADDRESS(INDEX($AJ$2:$AJ$1001,MATCH(ROWS($AH$2:AH550),$AH$2:$AH$1001,0),0), INDEX($AO$1004:$BQ$1004,1,MATCH(COLUMNS($AO$1006:AX1006),$AO$1006:$BQ$1006,0)))),"Fix")))</f>
        <v>#N/A</v>
      </c>
      <c r="L550" s="5" t="e">
        <f ca="1">IF(OR(INDEX($AI$2:$AI$1001,MATCH(ROWS($AH$2:AH550),$AH$2:$AH$1001,0),1)&gt;=100000,INDEX($AO$1005:$BQ$1005,1,MATCH(COLUMNS($AO$1006:AY1006),$AO$1006:$BQ$1006,0))&gt;=100000), " ",IF(INDEX($AO$2:$BQ$1001,MATCH(ROWS($AH$2:AH550),$AH$2:$AH$1001,0),MATCH(COLUMNS($AO$1006:AY1006),$AO$1006:$BQ$1006,0)), HYPERLINK("#",""), HYPERLINK(CONCATENATE("#Metadata!", ADDRESS(INDEX($AJ$2:$AJ$1001,MATCH(ROWS($AH$2:AH550),$AH$2:$AH$1001,0),0), INDEX($AO$1004:$BQ$1004,1,MATCH(COLUMNS($AO$1006:AY1006),$AO$1006:$BQ$1006,0)))),"Fix")))</f>
        <v>#N/A</v>
      </c>
      <c r="M550" s="5" t="e">
        <f ca="1">IF(OR(INDEX($AI$2:$AI$1001,MATCH(ROWS($AH$2:AH550),$AH$2:$AH$1001,0),1)&gt;=100000,INDEX($AO$1005:$BQ$1005,1,MATCH(COLUMNS($AO$1006:AZ1006),$AO$1006:$BQ$1006,0))&gt;=100000), " ",IF(INDEX($AO$2:$BQ$1001,MATCH(ROWS($AH$2:AH550),$AH$2:$AH$1001,0),MATCH(COLUMNS($AO$1006:AZ1006),$AO$1006:$BQ$1006,0)), HYPERLINK("#",""), HYPERLINK(CONCATENATE("#Metadata!", ADDRESS(INDEX($AJ$2:$AJ$1001,MATCH(ROWS($AH$2:AH550),$AH$2:$AH$1001,0),0), INDEX($AO$1004:$BQ$1004,1,MATCH(COLUMNS($AO$1006:AZ1006),$AO$1006:$BQ$1006,0)))),"Fix")))</f>
        <v>#N/A</v>
      </c>
      <c r="N550" s="5" t="e">
        <f ca="1">IF(OR(INDEX($AI$2:$AI$1001,MATCH(ROWS($AH$2:AH550),$AH$2:$AH$1001,0),1)&gt;=100000,INDEX($AO$1005:$BQ$1005,1,MATCH(COLUMNS($AO$1006:BA1006),$AO$1006:$BQ$1006,0))&gt;=100000), " ",IF(INDEX($AO$2:$BQ$1001,MATCH(ROWS($AH$2:AH550),$AH$2:$AH$1001,0),MATCH(COLUMNS($AO$1006:BA1006),$AO$1006:$BQ$1006,0)), HYPERLINK("#",""), HYPERLINK(CONCATENATE("#Metadata!", ADDRESS(INDEX($AJ$2:$AJ$1001,MATCH(ROWS($AH$2:AH550),$AH$2:$AH$1001,0),0), INDEX($AO$1004:$BQ$1004,1,MATCH(COLUMNS($AO$1006:BA1006),$AO$1006:$BQ$1006,0)))),"Fix")))</f>
        <v>#N/A</v>
      </c>
      <c r="O550" s="5" t="e">
        <f ca="1">IF(OR(INDEX($AI$2:$AI$1001,MATCH(ROWS($AH$2:AH550),$AH$2:$AH$1001,0),1)&gt;=100000,INDEX($AO$1005:$BQ$1005,1,MATCH(COLUMNS($AO$1006:BB1006),$AO$1006:$BQ$1006,0))&gt;=100000), " ",IF(INDEX($AO$2:$BQ$1001,MATCH(ROWS($AH$2:AH550),$AH$2:$AH$1001,0),MATCH(COLUMNS($AO$1006:BB1006),$AO$1006:$BQ$1006,0)), HYPERLINK("#",""), HYPERLINK(CONCATENATE("#Metadata!", ADDRESS(INDEX($AJ$2:$AJ$1001,MATCH(ROWS($AH$2:AH550),$AH$2:$AH$1001,0),0), INDEX($AO$1004:$BQ$1004,1,MATCH(COLUMNS($AO$1006:BB1006),$AO$1006:$BQ$1006,0)))),"Fix")))</f>
        <v>#N/A</v>
      </c>
      <c r="P550" s="5" t="e">
        <f ca="1">IF(OR(INDEX($AI$2:$AI$1001,MATCH(ROWS($AH$2:AH550),$AH$2:$AH$1001,0),1)&gt;=100000,INDEX($AO$1005:$BQ$1005,1,MATCH(COLUMNS($AO$1006:BC1006),$AO$1006:$BQ$1006,0))&gt;=100000), " ",IF(INDEX($AO$2:$BQ$1001,MATCH(ROWS($AH$2:AH550),$AH$2:$AH$1001,0),MATCH(COLUMNS($AO$1006:BC1006),$AO$1006:$BQ$1006,0)), HYPERLINK("#",""), HYPERLINK(CONCATENATE("#Metadata!", ADDRESS(INDEX($AJ$2:$AJ$1001,MATCH(ROWS($AH$2:AH550),$AH$2:$AH$1001,0),0), INDEX($AO$1004:$BQ$1004,1,MATCH(COLUMNS($AO$1006:BC1006),$AO$1006:$BQ$1006,0)))),"Fix")))</f>
        <v>#N/A</v>
      </c>
      <c r="Q550" s="5" t="e">
        <f ca="1">IF(OR(INDEX($AI$2:$AI$1001,MATCH(ROWS($AH$2:AH550),$AH$2:$AH$1001,0),1)&gt;=100000,INDEX($AO$1005:$BQ$1005,1,MATCH(COLUMNS($AO$1006:BD1006),$AO$1006:$BQ$1006,0))&gt;=100000), " ",IF(INDEX($AO$2:$BQ$1001,MATCH(ROWS($AH$2:AH550),$AH$2:$AH$1001,0),MATCH(COLUMNS($AO$1006:BD1006),$AO$1006:$BQ$1006,0)), HYPERLINK("#",""), HYPERLINK(CONCATENATE("#Metadata!", ADDRESS(INDEX($AJ$2:$AJ$1001,MATCH(ROWS($AH$2:AH550),$AH$2:$AH$1001,0),0), INDEX($AO$1004:$BQ$1004,1,MATCH(COLUMNS($AO$1006:BD1006),$AO$1006:$BQ$1006,0)))),"Fix")))</f>
        <v>#N/A</v>
      </c>
      <c r="R550" s="5" t="e">
        <f ca="1">IF(OR(INDEX($AI$2:$AI$1001,MATCH(ROWS($AH$2:AH550),$AH$2:$AH$1001,0),1)&gt;=100000,INDEX($AO$1005:$BQ$1005,1,MATCH(COLUMNS($AO$1006:BE1006),$AO$1006:$BQ$1006,0))&gt;=100000), " ",IF(INDEX($AO$2:$BQ$1001,MATCH(ROWS($AH$2:AH550),$AH$2:$AH$1001,0),MATCH(COLUMNS($AO$1006:BE1006),$AO$1006:$BQ$1006,0)), HYPERLINK("#",""), HYPERLINK(CONCATENATE("#Metadata!", ADDRESS(INDEX($AJ$2:$AJ$1001,MATCH(ROWS($AH$2:AH550),$AH$2:$AH$1001,0),0), INDEX($AO$1004:$BQ$1004,1,MATCH(COLUMNS($AO$1006:BE1006),$AO$1006:$BQ$1006,0)))),"Fix")))</f>
        <v>#N/A</v>
      </c>
      <c r="S550" s="5" t="e">
        <f ca="1">IF(OR(INDEX($AI$2:$AI$1001,MATCH(ROWS($AH$2:AH550),$AH$2:$AH$1001,0),1)&gt;=100000,INDEX($AO$1005:$BQ$1005,1,MATCH(COLUMNS($AO$1006:BF1006),$AO$1006:$BQ$1006,0))&gt;=100000), " ",IF(INDEX($AO$2:$BQ$1001,MATCH(ROWS($AH$2:AH550),$AH$2:$AH$1001,0),MATCH(COLUMNS($AO$1006:BF1006),$AO$1006:$BQ$1006,0)), HYPERLINK("#",""), HYPERLINK(CONCATENATE("#Metadata!", ADDRESS(INDEX($AJ$2:$AJ$1001,MATCH(ROWS($AH$2:AH550),$AH$2:$AH$1001,0),0), INDEX($AO$1004:$BQ$1004,1,MATCH(COLUMNS($AO$1006:BF1006),$AO$1006:$BQ$1006,0)))),"Fix")))</f>
        <v>#N/A</v>
      </c>
      <c r="T550" s="5" t="e">
        <f ca="1">IF(OR(INDEX($AI$2:$AI$1001,MATCH(ROWS($AH$2:AH550),$AH$2:$AH$1001,0),1)&gt;=100000,INDEX($AO$1005:$BQ$1005,1,MATCH(COLUMNS($AO$1006:BG1006),$AO$1006:$BQ$1006,0))&gt;=100000), " ",IF(INDEX($AO$2:$BQ$1001,MATCH(ROWS($AH$2:AH550),$AH$2:$AH$1001,0),MATCH(COLUMNS($AO$1006:BG1006),$AO$1006:$BQ$1006,0)), HYPERLINK("#",""), HYPERLINK(CONCATENATE("#Metadata!", ADDRESS(INDEX($AJ$2:$AJ$1001,MATCH(ROWS($AH$2:AH550),$AH$2:$AH$1001,0),0), INDEX($AO$1004:$BQ$1004,1,MATCH(COLUMNS($AO$1006:BG1006),$AO$1006:$BQ$1006,0)))),"Fix")))</f>
        <v>#N/A</v>
      </c>
      <c r="U550" s="5" t="e">
        <f ca="1">IF(OR(INDEX($AI$2:$AI$1001,MATCH(ROWS($AH$2:AH550),$AH$2:$AH$1001,0),1)&gt;=100000,INDEX($AO$1005:$BQ$1005,1,MATCH(COLUMNS($AO$1006:BH1006),$AO$1006:$BQ$1006,0))&gt;=100000), " ",IF(INDEX($AO$2:$BQ$1001,MATCH(ROWS($AH$2:AH550),$AH$2:$AH$1001,0),MATCH(COLUMNS($AO$1006:BH1006),$AO$1006:$BQ$1006,0)), HYPERLINK("#",""), HYPERLINK(CONCATENATE("#Metadata!", ADDRESS(INDEX($AJ$2:$AJ$1001,MATCH(ROWS($AH$2:AH550),$AH$2:$AH$1001,0),0), INDEX($AO$1004:$BQ$1004,1,MATCH(COLUMNS($AO$1006:BH1006),$AO$1006:$BQ$1006,0)))),"Fix")))</f>
        <v>#N/A</v>
      </c>
      <c r="V550" s="5" t="e">
        <f ca="1">IF(OR(INDEX($AI$2:$AI$1001,MATCH(ROWS($AH$2:AH550),$AH$2:$AH$1001,0),1)&gt;=100000,INDEX($AO$1005:$BQ$1005,1,MATCH(COLUMNS($AO$1006:BI1006),$AO$1006:$BQ$1006,0))&gt;=100000), " ",IF(INDEX($AO$2:$BQ$1001,MATCH(ROWS($AH$2:AH550),$AH$2:$AH$1001,0),MATCH(COLUMNS($AO$1006:BI1006),$AO$1006:$BQ$1006,0)), HYPERLINK("#",""), HYPERLINK(CONCATENATE("#Metadata!", ADDRESS(INDEX($AJ$2:$AJ$1001,MATCH(ROWS($AH$2:AH550),$AH$2:$AH$1001,0),0), INDEX($AO$1004:$BQ$1004,1,MATCH(COLUMNS($AO$1006:BI1006),$AO$1006:$BQ$1006,0)))),"Fix")))</f>
        <v>#N/A</v>
      </c>
      <c r="W550" s="5" t="e">
        <f ca="1">IF(OR(INDEX($AI$2:$AI$1001,MATCH(ROWS($AH$2:AH550),$AH$2:$AH$1001,0),1)&gt;=100000,INDEX($AO$1005:$BQ$1005,1,MATCH(COLUMNS($AO$1006:BJ1006),$AO$1006:$BQ$1006,0))&gt;=100000), " ",IF(INDEX($AO$2:$BQ$1001,MATCH(ROWS($AH$2:AH550),$AH$2:$AH$1001,0),MATCH(COLUMNS($AO$1006:BJ1006),$AO$1006:$BQ$1006,0)), HYPERLINK("#",""), HYPERLINK(CONCATENATE("#Metadata!", ADDRESS(INDEX($AJ$2:$AJ$1001,MATCH(ROWS($AH$2:AH550),$AH$2:$AH$1001,0),0), INDEX($AO$1004:$BQ$1004,1,MATCH(COLUMNS($AO$1006:BJ1006),$AO$1006:$BQ$1006,0)))),"Fix")))</f>
        <v>#N/A</v>
      </c>
      <c r="X550" s="5" t="e">
        <f ca="1">IF(OR(INDEX($AI$2:$AI$1001,MATCH(ROWS($AH$2:AH550),$AH$2:$AH$1001,0),1)&gt;=100000,INDEX($AO$1005:$BQ$1005,1,MATCH(COLUMNS($AO$1006:BK1006),$AO$1006:$BQ$1006,0))&gt;=100000), " ",IF(INDEX($AO$2:$BQ$1001,MATCH(ROWS($AH$2:AH550),$AH$2:$AH$1001,0),MATCH(COLUMNS($AO$1006:BK1006),$AO$1006:$BQ$1006,0)), HYPERLINK("#",""), HYPERLINK(CONCATENATE("#Metadata!", ADDRESS(INDEX($AJ$2:$AJ$1001,MATCH(ROWS($AH$2:AH550),$AH$2:$AH$1001,0),0), INDEX($AO$1004:$BQ$1004,1,MATCH(COLUMNS($AO$1006:BK1006),$AO$1006:$BQ$1006,0)))),"Fix")))</f>
        <v>#N/A</v>
      </c>
      <c r="Y550" s="5" t="e">
        <f ca="1">IF(OR(INDEX($AI$2:$AI$1001,MATCH(ROWS($AH$2:AH550),$AH$2:$AH$1001,0),1)&gt;=100000,INDEX($AO$1005:$BQ$1005,1,MATCH(COLUMNS($AO$1006:BL1006),$AO$1006:$BQ$1006,0))&gt;=100000), " ",IF(INDEX($AO$2:$BQ$1001,MATCH(ROWS($AH$2:AH550),$AH$2:$AH$1001,0),MATCH(COLUMNS($AO$1006:BL1006),$AO$1006:$BQ$1006,0)), HYPERLINK("#",""), HYPERLINK(CONCATENATE("#Metadata!", ADDRESS(INDEX($AJ$2:$AJ$1001,MATCH(ROWS($AH$2:AH550),$AH$2:$AH$1001,0),0), INDEX($AO$1004:$BQ$1004,1,MATCH(COLUMNS($AO$1006:BL1006),$AO$1006:$BQ$1006,0)))),"Fix")))</f>
        <v>#N/A</v>
      </c>
      <c r="Z550" s="5" t="e">
        <f ca="1">IF(OR(INDEX($AI$2:$AI$1001,MATCH(ROWS($AH$2:AH550),$AH$2:$AH$1001,0),1)&gt;=100000,INDEX($AO$1005:$BQ$1005,1,MATCH(COLUMNS($AO$1006:BM1006),$AO$1006:$BQ$1006,0))&gt;=100000), " ",IF(INDEX($AO$2:$BQ$1001,MATCH(ROWS($AH$2:AH550),$AH$2:$AH$1001,0),MATCH(COLUMNS($AO$1006:BM1006),$AO$1006:$BQ$1006,0)), HYPERLINK("#",""), HYPERLINK(CONCATENATE("#Metadata!", ADDRESS(INDEX($AJ$2:$AJ$1001,MATCH(ROWS($AH$2:AH550),$AH$2:$AH$1001,0),0), INDEX($AO$1004:$BQ$1004,1,MATCH(COLUMNS($AO$1006:BM1006),$AO$1006:$BQ$1006,0)))),"Fix")))</f>
        <v>#N/A</v>
      </c>
      <c r="AA550" s="5" t="e">
        <f ca="1">IF(OR(INDEX($AI$2:$AI$1001,MATCH(ROWS($AH$2:AH550),$AH$2:$AH$1001,0),1)&gt;=100000,INDEX($AO$1005:$BQ$1005,1,MATCH(COLUMNS($AO$1006:BN1006),$AO$1006:$BQ$1006,0))&gt;=100000), " ",IF(INDEX($AO$2:$BQ$1001,MATCH(ROWS($AH$2:AH550),$AH$2:$AH$1001,0),MATCH(COLUMNS($AO$1006:BN1006),$AO$1006:$BQ$1006,0)), HYPERLINK("#",""), HYPERLINK(CONCATENATE("#Metadata!", ADDRESS(INDEX($AJ$2:$AJ$1001,MATCH(ROWS($AH$2:AH550),$AH$2:$AH$1001,0),0), INDEX($AO$1004:$BQ$1004,1,MATCH(COLUMNS($AO$1006:BN1006),$AO$1006:$BQ$1006,0)))),"Fix")))</f>
        <v>#N/A</v>
      </c>
      <c r="AB550" s="5" t="e">
        <f ca="1">IF(OR(INDEX($AI$2:$AI$1001,MATCH(ROWS($AH$2:AH550),$AH$2:$AH$1001,0),1)&gt;=100000,INDEX($AO$1005:$BQ$1005,1,MATCH(COLUMNS($AO$1006:BO1006),$AO$1006:$BQ$1006,0))&gt;=100000), " ",IF(INDEX($AO$2:$BQ$1001,MATCH(ROWS($AH$2:AH550),$AH$2:$AH$1001,0),MATCH(COLUMNS($AO$1006:BO1006),$AO$1006:$BQ$1006,0)), HYPERLINK("#",""), HYPERLINK(CONCATENATE("#Metadata!", ADDRESS(INDEX($AJ$2:$AJ$1001,MATCH(ROWS($AH$2:AH550),$AH$2:$AH$1001,0),0), INDEX($AO$1004:$BQ$1004,1,MATCH(COLUMNS($AO$1006:BO1006),$AO$1006:$BQ$1006,0)))),"Fix")))</f>
        <v>#N/A</v>
      </c>
      <c r="AC550" s="5" t="e">
        <f ca="1">IF(OR(INDEX($AI$2:$AI$1001,MATCH(ROWS($AH$2:AH550),$AH$2:$AH$1001,0),1)&gt;=100000,INDEX($AO$1005:$BQ$1005,1,MATCH(COLUMNS($AO$1006:BP1006),$AO$1006:$BQ$1006,0))&gt;=100000), " ",IF(INDEX($AO$2:$BQ$1001,MATCH(ROWS($AH$2:AH550),$AH$2:$AH$1001,0),MATCH(COLUMNS($AO$1006:BP1006),$AO$1006:$BQ$1006,0)), HYPERLINK("#",""), HYPERLINK(CONCATENATE("#Metadata!", ADDRESS(INDEX($AJ$2:$AJ$1001,MATCH(ROWS($AH$2:AH550),$AH$2:$AH$1001,0),0), INDEX($AO$1004:$BQ$1004,1,MATCH(COLUMNS($AO$1006:BP1006),$AO$1006:$BQ$1006,0)))),"Fix")))</f>
        <v>#N/A</v>
      </c>
      <c r="AD550" s="5" t="e">
        <f ca="1">IF(OR(INDEX($AI$2:$AI$1001,MATCH(ROWS($AH$2:AH550),$AH$2:$AH$1001,0),1)&gt;=100000,INDEX($AO$1005:$BQ$1005,1,MATCH(COLUMNS($AO$1006:BQ1006),$AO$1006:$BQ$1006,0))&gt;=100000), " ",IF(INDEX($AO$2:$BQ$1001,MATCH(ROWS($AH$2:AH550),$AH$2:$AH$1001,0),MATCH(COLUMNS($AO$1006:BQ1006),$AO$1006:$BQ$1006,0)), HYPERLINK("#",""), HYPERLINK(CONCATENATE("#Metadata!", ADDRESS(INDEX($AJ$2:$AJ$1001,MATCH(ROWS($AH$2:AH550),$AH$2:$AH$1001,0),0), INDEX($AO$1004:$BQ$1004,1,MATCH(COLUMNS($AO$1006:BQ1006),$AO$1006:$BQ$1006,0)))),"Fix")))</f>
        <v>#REF!</v>
      </c>
      <c r="AH550">
        <f ca="1"/>
        <v>547</v>
      </c>
      <c r="AI550">
        <v>100550</v>
      </c>
      <c r="AJ550">
        <v>550</v>
      </c>
      <c r="AK550" t="b">
        <f t="shared" si="8"/>
        <v>1</v>
      </c>
      <c r="AL550" t="b">
        <f>COUNTBLANK(Metadata!B550:AD550)=COLUMNS(Metadata!B550:AD550)</f>
        <v>1</v>
      </c>
      <c r="AM550" t="str">
        <v/>
      </c>
      <c r="AO550" t="b">
        <f ca="1">AND(IF(Metadata!B550="",FALSE,TRUE),COUNTIF(Metadata!B:B, Metadata!B550) = 1,NOT(ISERROR(SUMPRODUCT(SEARCH(MID(Metadata!B550,ROW(INDIRECT("1:"&amp;LEN(Metadata!B550))), 1),"0123456789abcdefghijklmnopqrstuvwxyzABCDEFGHIJKLMNOPQRSTUVWXYZ.")))))</f>
        <v>0</v>
      </c>
      <c r="AP550" t="b">
        <f>IF(Metadata!C550="",FALSE,TRUE)</f>
        <v>0</v>
      </c>
      <c r="AQ550" t="b">
        <f>IF(Metadata!D550="",FALSE,TRUE)</f>
        <v>0</v>
      </c>
      <c r="AR550" t="b">
        <f ca="1">OR(AND(IF(Metadata!E550="",FALSE,TRUE),OR(EXACT(Metadata!E550,"not collected"),EXACT(Metadata!E550,"not provided"),EXACT(Metadata!E550,"restricted access"))),AND(IF(Metadata!E550="",FALSE,TRUE),AND(AND(IFERROR(INT(LEFT(Metadata!E550,4))&gt;1900,FALSE),IFERROR(INT(LEFT(Metadata!E550,4))&lt;=YEAR(NOW()),FALSE)), OR(MID(Metadata!E550,5,1)="", AND(AND(MID(Metadata!E550,5,1)="-",IFERROR(INT(MID(Metadata!E550,6,1))&gt;=0,FALSE),IFERROR(INT(MID(Metadata!E550,6,1))&lt;=1,FALSE),NOT(MID(Metadata!E550,7,1)=""),IFERROR(INT(MID(Metadata!E550,6,2))&gt;=1,FALSE),IFERROR(INT(MID(Metadata!E550,6,2))&lt;=12,FALSE)), OR(MID(Metadata!E550,8,1)="", AND(AND(MID(Metadata!E550,8,1)="-",IFERROR(INT(MID(Metadata!E550,9,1))&gt;=0,FALSE),IFERROR(INT(MID(Metadata!E550,9,1))&lt;=3,FALSE),NOT(MID(Metadata!E550,10,1)=""),IFERROR(INT(MID(Metadata!E550,9,2))&gt;=1,FALSE),IFERROR(INT(MID(Metadata!E550,9,2))&lt;=31,FALSE)), OR(MID(Metadata!E550,11,1)="", AND(AND(MID(Metadata!E550,11,1)=" ",IFERROR(INT(MID(Metadata!E550,12,1))&gt;=0,FALSE),IFERROR(INT(MID(Metadata!E550,12,1))&lt;=2,FALSE),NOT(MID(Metadata!E550,13,1)=""),IFERROR(INT(MID(Metadata!E550,12,2))&gt;=0,FALSE),IFERROR(INT(MID(Metadata!E550,12,2))&lt;=23,FALSE)), OR(MID(Metadata!E550,14,1)="", AND(AND(MID(Metadata!E550,14,1)=":",IFERROR(INT(MID(Metadata!E550,15,1))&gt;=0,FALSE),IFERROR(INT(MID(Metadata!E550,15,1))&lt;=5,FALSE),NOT(MID(Metadata!E550,16,1)=""),IFERROR(INT(MID(Metadata!E550,15,2))&gt;=0,FALSE),IFERROR(INT(MID(Metadata!E550,15,2))&lt;=59,FALSE)), OR(MID(Metadata!E550,17,1)="", AND(AND(MID(Metadata!E550,17,1)=":",IFERROR(INT(MID(Metadata!E550,18,1))&gt;=0,FALSE),IFERROR(INT(MID(Metadata!E550,18,1))&lt;=5,FALSE),NOT(MID(Metadata!E550,19,1)=""),IFERROR(INT(MID(Metadata!E550,18,2))&gt;=0,FALSE),IFERROR(INT(MID(Metadata!E550,18,2))&lt;=59,FALSE)), LEN(Metadata!E550)&lt;=19)))))))))))))</f>
        <v>0</v>
      </c>
      <c r="AS550" t="b">
        <f>IF(Metadata!F550="",FALSE,TRUE)</f>
        <v>0</v>
      </c>
      <c r="AT550" t="b">
        <f>OR(AND(IF(Metadata!G550="",FALSE,TRUE),OR(EXACT(Metadata!G550,"not collected"),EXACT(Metadata!G550,"not provided"))),AND(IF(Metadata!G550="",FALSE,TRUE),OR(EXACT(Metadata!G550,"TRUE"),EXACT(Metadata!G550,"FALSE"))))</f>
        <v>0</v>
      </c>
      <c r="AU550" t="b">
        <f>OR(AND(IF(Metadata!H550="",FALSE,TRUE),OR(EXACT(Metadata!H550,"not collected"),EXACT(Metadata!H550,"not provided"),EXACT(Metadata!H550,"restricted access"))),AND(IF(Metadata!H550="",FALSE,ISNUMBER(VALUE(Metadata!H550))),Metadata!H550&gt;=-413))</f>
        <v>0</v>
      </c>
      <c r="AV550" t="b">
        <f>AND(IF(Metadata!I550="",FALSE,TRUE),EXACT(Metadata!I550,"meters"))</f>
        <v>0</v>
      </c>
      <c r="AW550" t="b">
        <f>AND(IF(Metadata!J550="",FALSE,TRUE),EXACT(Metadata!J550,"free-living"))</f>
        <v>0</v>
      </c>
      <c r="AX550" t="b">
        <f>AND(IF(Metadata!K550="",FALSE,TRUE),OR(EXACT(Metadata!K550,"saline"),EXACT(Metadata!K550,"non-saline")))</f>
        <v>0</v>
      </c>
      <c r="AY550" t="b">
        <f>AND(IF(Metadata!L550="",FALSE,TRUE),OR(EXACT(Metadata!L550,"sub-surface (non-saline)"),EXACT(Metadata!L550,"surface (non-saline)"),EXACT(Metadata!L550,"water (non-saline)"),EXACT(Metadata!L550,"soil (non-saline)"),EXACT(Metadata!L550,"aerosol (non-saline)"),EXACT(Metadata!L550,"sediment (non-saline)"),EXACT(Metadata!L550,"surface (saline)"),EXACT(Metadata!L550,"water (saline)"),EXACT(Metadata!L550,"hypersaline (saline)"),EXACT(Metadata!L550,"aerosol (saline)"),EXACT(Metadata!L550,"sediment (saline)")))</f>
        <v>0</v>
      </c>
      <c r="AZ550" t="b">
        <f>IF(Metadata!M550="",FALSE,TRUE)</f>
        <v>0</v>
      </c>
      <c r="BA550" t="b">
        <f>IF(Metadata!N550="",FALSE,TRUE)</f>
        <v>0</v>
      </c>
      <c r="BB550" t="b">
        <f>IF(Metadata!O550="",FALSE,TRUE)</f>
        <v>0</v>
      </c>
      <c r="BC550" t="b">
        <f>AND(IF(Metadata!P550="",FALSE,TRUE),OR(EXACT(Metadata!P550,"air"),EXACT(Metadata!P550,"microbial mat/biofilm"),EXACT(Metadata!P550,"misc environment"),EXACT(Metadata!P550,"sediment"),EXACT(Metadata!P550,"soil"),EXACT(Metadata!P550,"wastewater/sludge"),EXACT(Metadata!P550,"water")))</f>
        <v>0</v>
      </c>
      <c r="BD550" t="b">
        <f>IF(Metadata!Q550="",FALSE,TRUE)</f>
        <v>0</v>
      </c>
      <c r="BE550" t="b">
        <f>IF(Metadata!R550="",FALSE,TRUE)</f>
        <v>0</v>
      </c>
      <c r="BF550" t="b">
        <f>OR(AND(IF(Metadata!S550="",FALSE,TRUE),OR(EXACT(Metadata!S550,"not collected"),EXACT(Metadata!S550,"not provided"),EXACT(Metadata!S550,"restricted access"))),AND(IF(Metadata!S550="",FALSE,ISNUMBER(VALUE(Metadata!S550))),Metadata!S550&gt;=-90,Metadata!S550&lt;=90))</f>
        <v>0</v>
      </c>
      <c r="BG550" t="b">
        <f>AND(IF(Metadata!T550="",FALSE,TRUE),EXACT(Metadata!T550,"Decimal degrees"))</f>
        <v>0</v>
      </c>
      <c r="BH550" t="b">
        <f>OR(AND(IF(Metadata!U550="",FALSE,TRUE),OR(EXACT(Metadata!U550,"not applicable"),EXACT(Metadata!U550,"not collected"))),IF(Metadata!U550="",FALSE,TRUE))</f>
        <v>0</v>
      </c>
      <c r="BI550" t="b">
        <f>OR(AND(IF(Metadata!V550="",FALSE,TRUE),OR(EXACT(Metadata!V550,"not collected"),EXACT(Metadata!V550,"not provided"),EXACT(Metadata!V550,"restricted access"))),AND(IF(Metadata!V550="",FALSE,ISNUMBER(VALUE(Metadata!V550))),Metadata!V550&gt;=-180,Metadata!V550&lt;=180))</f>
        <v>0</v>
      </c>
      <c r="BJ550" t="b">
        <f>AND(IF(Metadata!W550="",FALSE,TRUE),EXACT(Metadata!W550,"Decimal degrees"))</f>
        <v>0</v>
      </c>
      <c r="BK550" t="b">
        <f>IF(Metadata!X550="",FALSE,TRUE)</f>
        <v>0</v>
      </c>
      <c r="BL550" t="b">
        <f>OR(AND(IF(Metadata!Y550="",FALSE,TRUE),OR(EXACT(Metadata!Y550,"not collected"),EXACT(Metadata!Y550,"not provided"),EXACT(Metadata!Y550,"restricted access"))),AND(IF(Metadata!Y550="",FALSE,TRUE),OR(EXACT(Metadata!Y550,"TRUE"),EXACT(Metadata!Y550,"FALSE"))))</f>
        <v>0</v>
      </c>
      <c r="BM550" t="b">
        <f>OR(AND(IF(Metadata!Z550="",FALSE,TRUE),EXACT(Metadata!Z550,"not applicable")),AND(IF(Metadata!Z550="",FALSE,TRUE),OR(EXACT(Metadata!Z550,"beer"),EXACT(Metadata!Z550,"cheese"),EXACT(Metadata!Z550,"fresh water"),EXACT(Metadata!Z550,"marine sediment"),EXACT(Metadata!Z550,"sea water"),EXACT(Metadata!Z550,"sediment"),EXACT(Metadata!Z550,"soil"),EXACT(Metadata!Z550,"waste water"))))</f>
        <v>0</v>
      </c>
      <c r="BN550" t="b">
        <f>AND(IF(Metadata!AA550="",FALSE,TRUE),EXACT(Metadata!AA550,"metagenome"))</f>
        <v>0</v>
      </c>
      <c r="BO550" t="b">
        <f>AND(IF(Metadata!AB550="",FALSE,TRUE),EXACT(Metadata!AB550,"256318"))</f>
        <v>0</v>
      </c>
      <c r="BP550" t="b">
        <f>IF(Metadata!AC550="",FALSE,TRUE)</f>
        <v>0</v>
      </c>
      <c r="BQ550" t="b">
        <f>IF(Metadata!AD550="",FALSE,TRUE)</f>
        <v>0</v>
      </c>
    </row>
    <row r="551" spans="1:69" x14ac:dyDescent="0.2">
      <c r="A551" s="4" t="e">
        <f ca="1">IF(B551=" "," ",HYPERLINK(CONCATENATE("#metadata!",ADDRESS(INDEX($AJ$2:$AJ$1001,MATCH(ROWS($AH$2:AH551),$AH$2:$AH$1001,0),0),2)),INDEX($AM$2:$AM$1001,MATCH(ROWS($AH$2:AH551),$AH$2:$AH$1001,0),0)))</f>
        <v>#N/A</v>
      </c>
      <c r="B551" s="5" t="e">
        <f ca="1">IF(OR(INDEX($AI$2:$AI$1001,MATCH(ROWS($AH$2:AH551),$AH$2:$AH$1001,0),1)&gt;=100000,INDEX($AO$1005:$BQ$1005,1,MATCH(COLUMNS($AO$1006:AO1006),$AO$1006:$BQ$1006,0))&gt;=100000), " ",IF(INDEX($AO$2:$BQ$1001,MATCH(ROWS($AH$2:AH551),$AH$2:$AH$1001,0),MATCH(COLUMNS($AO$1006:AO1006),$AO$1006:$BQ$1006,0)), HYPERLINK("#",""), HYPERLINK(CONCATENATE("#Metadata!", ADDRESS(INDEX($AJ$2:$AJ$1001,MATCH(ROWS($AH$2:AH551),$AH$2:$AH$1001,0),0), INDEX($AO$1004:$BQ$1004,1,MATCH(COLUMNS($AO$1006:AO1006),$AO$1006:$BQ$1006,0)))),"Fix")))</f>
        <v>#N/A</v>
      </c>
      <c r="C551" s="5" t="e">
        <f ca="1">IF(OR(INDEX($AI$2:$AI$1001,MATCH(ROWS($AH$2:AH551),$AH$2:$AH$1001,0),1)&gt;=100000,INDEX($AO$1005:$BQ$1005,1,MATCH(COLUMNS($AO$1006:AP1006),$AO$1006:$BQ$1006,0))&gt;=100000), " ",IF(INDEX($AO$2:$BQ$1001,MATCH(ROWS($AH$2:AH551),$AH$2:$AH$1001,0),MATCH(COLUMNS($AO$1006:AP1006),$AO$1006:$BQ$1006,0)), HYPERLINK("#",""), HYPERLINK(CONCATENATE("#Metadata!", ADDRESS(INDEX($AJ$2:$AJ$1001,MATCH(ROWS($AH$2:AH551),$AH$2:$AH$1001,0),0), INDEX($AO$1004:$BQ$1004,1,MATCH(COLUMNS($AO$1006:AP1006),$AO$1006:$BQ$1006,0)))),"Fix")))</f>
        <v>#N/A</v>
      </c>
      <c r="D551" s="5" t="e">
        <f ca="1">IF(OR(INDEX($AI$2:$AI$1001,MATCH(ROWS($AH$2:AH551),$AH$2:$AH$1001,0),1)&gt;=100000,INDEX($AO$1005:$BQ$1005,1,MATCH(COLUMNS($AO$1006:AQ1006),$AO$1006:$BQ$1006,0))&gt;=100000), " ",IF(INDEX($AO$2:$BQ$1001,MATCH(ROWS($AH$2:AH551),$AH$2:$AH$1001,0),MATCH(COLUMNS($AO$1006:AQ1006),$AO$1006:$BQ$1006,0)), HYPERLINK("#",""), HYPERLINK(CONCATENATE("#Metadata!", ADDRESS(INDEX($AJ$2:$AJ$1001,MATCH(ROWS($AH$2:AH551),$AH$2:$AH$1001,0),0), INDEX($AO$1004:$BQ$1004,1,MATCH(COLUMNS($AO$1006:AQ1006),$AO$1006:$BQ$1006,0)))),"Fix")))</f>
        <v>#N/A</v>
      </c>
      <c r="E551" s="5" t="e">
        <f ca="1">IF(OR(INDEX($AI$2:$AI$1001,MATCH(ROWS($AH$2:AH551),$AH$2:$AH$1001,0),1)&gt;=100000,INDEX($AO$1005:$BQ$1005,1,MATCH(COLUMNS($AO$1006:AR1006),$AO$1006:$BQ$1006,0))&gt;=100000), " ",IF(INDEX($AO$2:$BQ$1001,MATCH(ROWS($AH$2:AH551),$AH$2:$AH$1001,0),MATCH(COLUMNS($AO$1006:AR1006),$AO$1006:$BQ$1006,0)), HYPERLINK("#",""), HYPERLINK(CONCATENATE("#Metadata!", ADDRESS(INDEX($AJ$2:$AJ$1001,MATCH(ROWS($AH$2:AH551),$AH$2:$AH$1001,0),0), INDEX($AO$1004:$BQ$1004,1,MATCH(COLUMNS($AO$1006:AR1006),$AO$1006:$BQ$1006,0)))),"Fix")))</f>
        <v>#N/A</v>
      </c>
      <c r="F551" s="5" t="e">
        <f ca="1">IF(OR(INDEX($AI$2:$AI$1001,MATCH(ROWS($AH$2:AH551),$AH$2:$AH$1001,0),1)&gt;=100000,INDEX($AO$1005:$BQ$1005,1,MATCH(COLUMNS($AO$1006:AS1006),$AO$1006:$BQ$1006,0))&gt;=100000), " ",IF(INDEX($AO$2:$BQ$1001,MATCH(ROWS($AH$2:AH551),$AH$2:$AH$1001,0),MATCH(COLUMNS($AO$1006:AS1006),$AO$1006:$BQ$1006,0)), HYPERLINK("#",""), HYPERLINK(CONCATENATE("#Metadata!", ADDRESS(INDEX($AJ$2:$AJ$1001,MATCH(ROWS($AH$2:AH551),$AH$2:$AH$1001,0),0), INDEX($AO$1004:$BQ$1004,1,MATCH(COLUMNS($AO$1006:AS1006),$AO$1006:$BQ$1006,0)))),"Fix")))</f>
        <v>#N/A</v>
      </c>
      <c r="G551" s="5" t="e">
        <f ca="1">IF(OR(INDEX($AI$2:$AI$1001,MATCH(ROWS($AH$2:AH551),$AH$2:$AH$1001,0),1)&gt;=100000,INDEX($AO$1005:$BQ$1005,1,MATCH(COLUMNS($AO$1006:AT1006),$AO$1006:$BQ$1006,0))&gt;=100000), " ",IF(INDEX($AO$2:$BQ$1001,MATCH(ROWS($AH$2:AH551),$AH$2:$AH$1001,0),MATCH(COLUMNS($AO$1006:AT1006),$AO$1006:$BQ$1006,0)), HYPERLINK("#",""), HYPERLINK(CONCATENATE("#Metadata!", ADDRESS(INDEX($AJ$2:$AJ$1001,MATCH(ROWS($AH$2:AH551),$AH$2:$AH$1001,0),0), INDEX($AO$1004:$BQ$1004,1,MATCH(COLUMNS($AO$1006:AT1006),$AO$1006:$BQ$1006,0)))),"Fix")))</f>
        <v>#N/A</v>
      </c>
      <c r="H551" s="5" t="e">
        <f ca="1">IF(OR(INDEX($AI$2:$AI$1001,MATCH(ROWS($AH$2:AH551),$AH$2:$AH$1001,0),1)&gt;=100000,INDEX($AO$1005:$BQ$1005,1,MATCH(COLUMNS($AO$1006:AU1006),$AO$1006:$BQ$1006,0))&gt;=100000), " ",IF(INDEX($AO$2:$BQ$1001,MATCH(ROWS($AH$2:AH551),$AH$2:$AH$1001,0),MATCH(COLUMNS($AO$1006:AU1006),$AO$1006:$BQ$1006,0)), HYPERLINK("#",""), HYPERLINK(CONCATENATE("#Metadata!", ADDRESS(INDEX($AJ$2:$AJ$1001,MATCH(ROWS($AH$2:AH551),$AH$2:$AH$1001,0),0), INDEX($AO$1004:$BQ$1004,1,MATCH(COLUMNS($AO$1006:AU1006),$AO$1006:$BQ$1006,0)))),"Fix")))</f>
        <v>#N/A</v>
      </c>
      <c r="I551" s="5" t="e">
        <f ca="1">IF(OR(INDEX($AI$2:$AI$1001,MATCH(ROWS($AH$2:AH551),$AH$2:$AH$1001,0),1)&gt;=100000,INDEX($AO$1005:$BQ$1005,1,MATCH(COLUMNS($AO$1006:AV1006),$AO$1006:$BQ$1006,0))&gt;=100000), " ",IF(INDEX($AO$2:$BQ$1001,MATCH(ROWS($AH$2:AH551),$AH$2:$AH$1001,0),MATCH(COLUMNS($AO$1006:AV1006),$AO$1006:$BQ$1006,0)), HYPERLINK("#",""), HYPERLINK(CONCATENATE("#Metadata!", ADDRESS(INDEX($AJ$2:$AJ$1001,MATCH(ROWS($AH$2:AH551),$AH$2:$AH$1001,0),0), INDEX($AO$1004:$BQ$1004,1,MATCH(COLUMNS($AO$1006:AV1006),$AO$1006:$BQ$1006,0)))),"Fix")))</f>
        <v>#N/A</v>
      </c>
      <c r="J551" s="5" t="e">
        <f ca="1">IF(OR(INDEX($AI$2:$AI$1001,MATCH(ROWS($AH$2:AH551),$AH$2:$AH$1001,0),1)&gt;=100000,INDEX($AO$1005:$BQ$1005,1,MATCH(COLUMNS($AO$1006:AW1006),$AO$1006:$BQ$1006,0))&gt;=100000), " ",IF(INDEX($AO$2:$BQ$1001,MATCH(ROWS($AH$2:AH551),$AH$2:$AH$1001,0),MATCH(COLUMNS($AO$1006:AW1006),$AO$1006:$BQ$1006,0)), HYPERLINK("#",""), HYPERLINK(CONCATENATE("#Metadata!", ADDRESS(INDEX($AJ$2:$AJ$1001,MATCH(ROWS($AH$2:AH551),$AH$2:$AH$1001,0),0), INDEX($AO$1004:$BQ$1004,1,MATCH(COLUMNS($AO$1006:AW1006),$AO$1006:$BQ$1006,0)))),"Fix")))</f>
        <v>#N/A</v>
      </c>
      <c r="K551" s="5" t="e">
        <f ca="1">IF(OR(INDEX($AI$2:$AI$1001,MATCH(ROWS($AH$2:AH551),$AH$2:$AH$1001,0),1)&gt;=100000,INDEX($AO$1005:$BQ$1005,1,MATCH(COLUMNS($AO$1006:AX1006),$AO$1006:$BQ$1006,0))&gt;=100000), " ",IF(INDEX($AO$2:$BQ$1001,MATCH(ROWS($AH$2:AH551),$AH$2:$AH$1001,0),MATCH(COLUMNS($AO$1006:AX1006),$AO$1006:$BQ$1006,0)), HYPERLINK("#",""), HYPERLINK(CONCATENATE("#Metadata!", ADDRESS(INDEX($AJ$2:$AJ$1001,MATCH(ROWS($AH$2:AH551),$AH$2:$AH$1001,0),0), INDEX($AO$1004:$BQ$1004,1,MATCH(COLUMNS($AO$1006:AX1006),$AO$1006:$BQ$1006,0)))),"Fix")))</f>
        <v>#N/A</v>
      </c>
      <c r="L551" s="5" t="e">
        <f ca="1">IF(OR(INDEX($AI$2:$AI$1001,MATCH(ROWS($AH$2:AH551),$AH$2:$AH$1001,0),1)&gt;=100000,INDEX($AO$1005:$BQ$1005,1,MATCH(COLUMNS($AO$1006:AY1006),$AO$1006:$BQ$1006,0))&gt;=100000), " ",IF(INDEX($AO$2:$BQ$1001,MATCH(ROWS($AH$2:AH551),$AH$2:$AH$1001,0),MATCH(COLUMNS($AO$1006:AY1006),$AO$1006:$BQ$1006,0)), HYPERLINK("#",""), HYPERLINK(CONCATENATE("#Metadata!", ADDRESS(INDEX($AJ$2:$AJ$1001,MATCH(ROWS($AH$2:AH551),$AH$2:$AH$1001,0),0), INDEX($AO$1004:$BQ$1004,1,MATCH(COLUMNS($AO$1006:AY1006),$AO$1006:$BQ$1006,0)))),"Fix")))</f>
        <v>#N/A</v>
      </c>
      <c r="M551" s="5" t="e">
        <f ca="1">IF(OR(INDEX($AI$2:$AI$1001,MATCH(ROWS($AH$2:AH551),$AH$2:$AH$1001,0),1)&gt;=100000,INDEX($AO$1005:$BQ$1005,1,MATCH(COLUMNS($AO$1006:AZ1006),$AO$1006:$BQ$1006,0))&gt;=100000), " ",IF(INDEX($AO$2:$BQ$1001,MATCH(ROWS($AH$2:AH551),$AH$2:$AH$1001,0),MATCH(COLUMNS($AO$1006:AZ1006),$AO$1006:$BQ$1006,0)), HYPERLINK("#",""), HYPERLINK(CONCATENATE("#Metadata!", ADDRESS(INDEX($AJ$2:$AJ$1001,MATCH(ROWS($AH$2:AH551),$AH$2:$AH$1001,0),0), INDEX($AO$1004:$BQ$1004,1,MATCH(COLUMNS($AO$1006:AZ1006),$AO$1006:$BQ$1006,0)))),"Fix")))</f>
        <v>#N/A</v>
      </c>
      <c r="N551" s="5" t="e">
        <f ca="1">IF(OR(INDEX($AI$2:$AI$1001,MATCH(ROWS($AH$2:AH551),$AH$2:$AH$1001,0),1)&gt;=100000,INDEX($AO$1005:$BQ$1005,1,MATCH(COLUMNS($AO$1006:BA1006),$AO$1006:$BQ$1006,0))&gt;=100000), " ",IF(INDEX($AO$2:$BQ$1001,MATCH(ROWS($AH$2:AH551),$AH$2:$AH$1001,0),MATCH(COLUMNS($AO$1006:BA1006),$AO$1006:$BQ$1006,0)), HYPERLINK("#",""), HYPERLINK(CONCATENATE("#Metadata!", ADDRESS(INDEX($AJ$2:$AJ$1001,MATCH(ROWS($AH$2:AH551),$AH$2:$AH$1001,0),0), INDEX($AO$1004:$BQ$1004,1,MATCH(COLUMNS($AO$1006:BA1006),$AO$1006:$BQ$1006,0)))),"Fix")))</f>
        <v>#N/A</v>
      </c>
      <c r="O551" s="5" t="e">
        <f ca="1">IF(OR(INDEX($AI$2:$AI$1001,MATCH(ROWS($AH$2:AH551),$AH$2:$AH$1001,0),1)&gt;=100000,INDEX($AO$1005:$BQ$1005,1,MATCH(COLUMNS($AO$1006:BB1006),$AO$1006:$BQ$1006,0))&gt;=100000), " ",IF(INDEX($AO$2:$BQ$1001,MATCH(ROWS($AH$2:AH551),$AH$2:$AH$1001,0),MATCH(COLUMNS($AO$1006:BB1006),$AO$1006:$BQ$1006,0)), HYPERLINK("#",""), HYPERLINK(CONCATENATE("#Metadata!", ADDRESS(INDEX($AJ$2:$AJ$1001,MATCH(ROWS($AH$2:AH551),$AH$2:$AH$1001,0),0), INDEX($AO$1004:$BQ$1004,1,MATCH(COLUMNS($AO$1006:BB1006),$AO$1006:$BQ$1006,0)))),"Fix")))</f>
        <v>#N/A</v>
      </c>
      <c r="P551" s="5" t="e">
        <f ca="1">IF(OR(INDEX($AI$2:$AI$1001,MATCH(ROWS($AH$2:AH551),$AH$2:$AH$1001,0),1)&gt;=100000,INDEX($AO$1005:$BQ$1005,1,MATCH(COLUMNS($AO$1006:BC1006),$AO$1006:$BQ$1006,0))&gt;=100000), " ",IF(INDEX($AO$2:$BQ$1001,MATCH(ROWS($AH$2:AH551),$AH$2:$AH$1001,0),MATCH(COLUMNS($AO$1006:BC1006),$AO$1006:$BQ$1006,0)), HYPERLINK("#",""), HYPERLINK(CONCATENATE("#Metadata!", ADDRESS(INDEX($AJ$2:$AJ$1001,MATCH(ROWS($AH$2:AH551),$AH$2:$AH$1001,0),0), INDEX($AO$1004:$BQ$1004,1,MATCH(COLUMNS($AO$1006:BC1006),$AO$1006:$BQ$1006,0)))),"Fix")))</f>
        <v>#N/A</v>
      </c>
      <c r="Q551" s="5" t="e">
        <f ca="1">IF(OR(INDEX($AI$2:$AI$1001,MATCH(ROWS($AH$2:AH551),$AH$2:$AH$1001,0),1)&gt;=100000,INDEX($AO$1005:$BQ$1005,1,MATCH(COLUMNS($AO$1006:BD1006),$AO$1006:$BQ$1006,0))&gt;=100000), " ",IF(INDEX($AO$2:$BQ$1001,MATCH(ROWS($AH$2:AH551),$AH$2:$AH$1001,0),MATCH(COLUMNS($AO$1006:BD1006),$AO$1006:$BQ$1006,0)), HYPERLINK("#",""), HYPERLINK(CONCATENATE("#Metadata!", ADDRESS(INDEX($AJ$2:$AJ$1001,MATCH(ROWS($AH$2:AH551),$AH$2:$AH$1001,0),0), INDEX($AO$1004:$BQ$1004,1,MATCH(COLUMNS($AO$1006:BD1006),$AO$1006:$BQ$1006,0)))),"Fix")))</f>
        <v>#N/A</v>
      </c>
      <c r="R551" s="5" t="e">
        <f ca="1">IF(OR(INDEX($AI$2:$AI$1001,MATCH(ROWS($AH$2:AH551),$AH$2:$AH$1001,0),1)&gt;=100000,INDEX($AO$1005:$BQ$1005,1,MATCH(COLUMNS($AO$1006:BE1006),$AO$1006:$BQ$1006,0))&gt;=100000), " ",IF(INDEX($AO$2:$BQ$1001,MATCH(ROWS($AH$2:AH551),$AH$2:$AH$1001,0),MATCH(COLUMNS($AO$1006:BE1006),$AO$1006:$BQ$1006,0)), HYPERLINK("#",""), HYPERLINK(CONCATENATE("#Metadata!", ADDRESS(INDEX($AJ$2:$AJ$1001,MATCH(ROWS($AH$2:AH551),$AH$2:$AH$1001,0),0), INDEX($AO$1004:$BQ$1004,1,MATCH(COLUMNS($AO$1006:BE1006),$AO$1006:$BQ$1006,0)))),"Fix")))</f>
        <v>#N/A</v>
      </c>
      <c r="S551" s="5" t="e">
        <f ca="1">IF(OR(INDEX($AI$2:$AI$1001,MATCH(ROWS($AH$2:AH551),$AH$2:$AH$1001,0),1)&gt;=100000,INDEX($AO$1005:$BQ$1005,1,MATCH(COLUMNS($AO$1006:BF1006),$AO$1006:$BQ$1006,0))&gt;=100000), " ",IF(INDEX($AO$2:$BQ$1001,MATCH(ROWS($AH$2:AH551),$AH$2:$AH$1001,0),MATCH(COLUMNS($AO$1006:BF1006),$AO$1006:$BQ$1006,0)), HYPERLINK("#",""), HYPERLINK(CONCATENATE("#Metadata!", ADDRESS(INDEX($AJ$2:$AJ$1001,MATCH(ROWS($AH$2:AH551),$AH$2:$AH$1001,0),0), INDEX($AO$1004:$BQ$1004,1,MATCH(COLUMNS($AO$1006:BF1006),$AO$1006:$BQ$1006,0)))),"Fix")))</f>
        <v>#N/A</v>
      </c>
      <c r="T551" s="5" t="e">
        <f ca="1">IF(OR(INDEX($AI$2:$AI$1001,MATCH(ROWS($AH$2:AH551),$AH$2:$AH$1001,0),1)&gt;=100000,INDEX($AO$1005:$BQ$1005,1,MATCH(COLUMNS($AO$1006:BG1006),$AO$1006:$BQ$1006,0))&gt;=100000), " ",IF(INDEX($AO$2:$BQ$1001,MATCH(ROWS($AH$2:AH551),$AH$2:$AH$1001,0),MATCH(COLUMNS($AO$1006:BG1006),$AO$1006:$BQ$1006,0)), HYPERLINK("#",""), HYPERLINK(CONCATENATE("#Metadata!", ADDRESS(INDEX($AJ$2:$AJ$1001,MATCH(ROWS($AH$2:AH551),$AH$2:$AH$1001,0),0), INDEX($AO$1004:$BQ$1004,1,MATCH(COLUMNS($AO$1006:BG1006),$AO$1006:$BQ$1006,0)))),"Fix")))</f>
        <v>#N/A</v>
      </c>
      <c r="U551" s="5" t="e">
        <f ca="1">IF(OR(INDEX($AI$2:$AI$1001,MATCH(ROWS($AH$2:AH551),$AH$2:$AH$1001,0),1)&gt;=100000,INDEX($AO$1005:$BQ$1005,1,MATCH(COLUMNS($AO$1006:BH1006),$AO$1006:$BQ$1006,0))&gt;=100000), " ",IF(INDEX($AO$2:$BQ$1001,MATCH(ROWS($AH$2:AH551),$AH$2:$AH$1001,0),MATCH(COLUMNS($AO$1006:BH1006),$AO$1006:$BQ$1006,0)), HYPERLINK("#",""), HYPERLINK(CONCATENATE("#Metadata!", ADDRESS(INDEX($AJ$2:$AJ$1001,MATCH(ROWS($AH$2:AH551),$AH$2:$AH$1001,0),0), INDEX($AO$1004:$BQ$1004,1,MATCH(COLUMNS($AO$1006:BH1006),$AO$1006:$BQ$1006,0)))),"Fix")))</f>
        <v>#N/A</v>
      </c>
      <c r="V551" s="5" t="e">
        <f ca="1">IF(OR(INDEX($AI$2:$AI$1001,MATCH(ROWS($AH$2:AH551),$AH$2:$AH$1001,0),1)&gt;=100000,INDEX($AO$1005:$BQ$1005,1,MATCH(COLUMNS($AO$1006:BI1006),$AO$1006:$BQ$1006,0))&gt;=100000), " ",IF(INDEX($AO$2:$BQ$1001,MATCH(ROWS($AH$2:AH551),$AH$2:$AH$1001,0),MATCH(COLUMNS($AO$1006:BI1006),$AO$1006:$BQ$1006,0)), HYPERLINK("#",""), HYPERLINK(CONCATENATE("#Metadata!", ADDRESS(INDEX($AJ$2:$AJ$1001,MATCH(ROWS($AH$2:AH551),$AH$2:$AH$1001,0),0), INDEX($AO$1004:$BQ$1004,1,MATCH(COLUMNS($AO$1006:BI1006),$AO$1006:$BQ$1006,0)))),"Fix")))</f>
        <v>#N/A</v>
      </c>
      <c r="W551" s="5" t="e">
        <f ca="1">IF(OR(INDEX($AI$2:$AI$1001,MATCH(ROWS($AH$2:AH551),$AH$2:$AH$1001,0),1)&gt;=100000,INDEX($AO$1005:$BQ$1005,1,MATCH(COLUMNS($AO$1006:BJ1006),$AO$1006:$BQ$1006,0))&gt;=100000), " ",IF(INDEX($AO$2:$BQ$1001,MATCH(ROWS($AH$2:AH551),$AH$2:$AH$1001,0),MATCH(COLUMNS($AO$1006:BJ1006),$AO$1006:$BQ$1006,0)), HYPERLINK("#",""), HYPERLINK(CONCATENATE("#Metadata!", ADDRESS(INDEX($AJ$2:$AJ$1001,MATCH(ROWS($AH$2:AH551),$AH$2:$AH$1001,0),0), INDEX($AO$1004:$BQ$1004,1,MATCH(COLUMNS($AO$1006:BJ1006),$AO$1006:$BQ$1006,0)))),"Fix")))</f>
        <v>#N/A</v>
      </c>
      <c r="X551" s="5" t="e">
        <f ca="1">IF(OR(INDEX($AI$2:$AI$1001,MATCH(ROWS($AH$2:AH551),$AH$2:$AH$1001,0),1)&gt;=100000,INDEX($AO$1005:$BQ$1005,1,MATCH(COLUMNS($AO$1006:BK1006),$AO$1006:$BQ$1006,0))&gt;=100000), " ",IF(INDEX($AO$2:$BQ$1001,MATCH(ROWS($AH$2:AH551),$AH$2:$AH$1001,0),MATCH(COLUMNS($AO$1006:BK1006),$AO$1006:$BQ$1006,0)), HYPERLINK("#",""), HYPERLINK(CONCATENATE("#Metadata!", ADDRESS(INDEX($AJ$2:$AJ$1001,MATCH(ROWS($AH$2:AH551),$AH$2:$AH$1001,0),0), INDEX($AO$1004:$BQ$1004,1,MATCH(COLUMNS($AO$1006:BK1006),$AO$1006:$BQ$1006,0)))),"Fix")))</f>
        <v>#N/A</v>
      </c>
      <c r="Y551" s="5" t="e">
        <f ca="1">IF(OR(INDEX($AI$2:$AI$1001,MATCH(ROWS($AH$2:AH551),$AH$2:$AH$1001,0),1)&gt;=100000,INDEX($AO$1005:$BQ$1005,1,MATCH(COLUMNS($AO$1006:BL1006),$AO$1006:$BQ$1006,0))&gt;=100000), " ",IF(INDEX($AO$2:$BQ$1001,MATCH(ROWS($AH$2:AH551),$AH$2:$AH$1001,0),MATCH(COLUMNS($AO$1006:BL1006),$AO$1006:$BQ$1006,0)), HYPERLINK("#",""), HYPERLINK(CONCATENATE("#Metadata!", ADDRESS(INDEX($AJ$2:$AJ$1001,MATCH(ROWS($AH$2:AH551),$AH$2:$AH$1001,0),0), INDEX($AO$1004:$BQ$1004,1,MATCH(COLUMNS($AO$1006:BL1006),$AO$1006:$BQ$1006,0)))),"Fix")))</f>
        <v>#N/A</v>
      </c>
      <c r="Z551" s="5" t="e">
        <f ca="1">IF(OR(INDEX($AI$2:$AI$1001,MATCH(ROWS($AH$2:AH551),$AH$2:$AH$1001,0),1)&gt;=100000,INDEX($AO$1005:$BQ$1005,1,MATCH(COLUMNS($AO$1006:BM1006),$AO$1006:$BQ$1006,0))&gt;=100000), " ",IF(INDEX($AO$2:$BQ$1001,MATCH(ROWS($AH$2:AH551),$AH$2:$AH$1001,0),MATCH(COLUMNS($AO$1006:BM1006),$AO$1006:$BQ$1006,0)), HYPERLINK("#",""), HYPERLINK(CONCATENATE("#Metadata!", ADDRESS(INDEX($AJ$2:$AJ$1001,MATCH(ROWS($AH$2:AH551),$AH$2:$AH$1001,0),0), INDEX($AO$1004:$BQ$1004,1,MATCH(COLUMNS($AO$1006:BM1006),$AO$1006:$BQ$1006,0)))),"Fix")))</f>
        <v>#N/A</v>
      </c>
      <c r="AA551" s="5" t="e">
        <f ca="1">IF(OR(INDEX($AI$2:$AI$1001,MATCH(ROWS($AH$2:AH551),$AH$2:$AH$1001,0),1)&gt;=100000,INDEX($AO$1005:$BQ$1005,1,MATCH(COLUMNS($AO$1006:BN1006),$AO$1006:$BQ$1006,0))&gt;=100000), " ",IF(INDEX($AO$2:$BQ$1001,MATCH(ROWS($AH$2:AH551),$AH$2:$AH$1001,0),MATCH(COLUMNS($AO$1006:BN1006),$AO$1006:$BQ$1006,0)), HYPERLINK("#",""), HYPERLINK(CONCATENATE("#Metadata!", ADDRESS(INDEX($AJ$2:$AJ$1001,MATCH(ROWS($AH$2:AH551),$AH$2:$AH$1001,0),0), INDEX($AO$1004:$BQ$1004,1,MATCH(COLUMNS($AO$1006:BN1006),$AO$1006:$BQ$1006,0)))),"Fix")))</f>
        <v>#N/A</v>
      </c>
      <c r="AB551" s="5" t="e">
        <f ca="1">IF(OR(INDEX($AI$2:$AI$1001,MATCH(ROWS($AH$2:AH551),$AH$2:$AH$1001,0),1)&gt;=100000,INDEX($AO$1005:$BQ$1005,1,MATCH(COLUMNS($AO$1006:BO1006),$AO$1006:$BQ$1006,0))&gt;=100000), " ",IF(INDEX($AO$2:$BQ$1001,MATCH(ROWS($AH$2:AH551),$AH$2:$AH$1001,0),MATCH(COLUMNS($AO$1006:BO1006),$AO$1006:$BQ$1006,0)), HYPERLINK("#",""), HYPERLINK(CONCATENATE("#Metadata!", ADDRESS(INDEX($AJ$2:$AJ$1001,MATCH(ROWS($AH$2:AH551),$AH$2:$AH$1001,0),0), INDEX($AO$1004:$BQ$1004,1,MATCH(COLUMNS($AO$1006:BO1006),$AO$1006:$BQ$1006,0)))),"Fix")))</f>
        <v>#N/A</v>
      </c>
      <c r="AC551" s="5" t="e">
        <f ca="1">IF(OR(INDEX($AI$2:$AI$1001,MATCH(ROWS($AH$2:AH551),$AH$2:$AH$1001,0),1)&gt;=100000,INDEX($AO$1005:$BQ$1005,1,MATCH(COLUMNS($AO$1006:BP1006),$AO$1006:$BQ$1006,0))&gt;=100000), " ",IF(INDEX($AO$2:$BQ$1001,MATCH(ROWS($AH$2:AH551),$AH$2:$AH$1001,0),MATCH(COLUMNS($AO$1006:BP1006),$AO$1006:$BQ$1006,0)), HYPERLINK("#",""), HYPERLINK(CONCATENATE("#Metadata!", ADDRESS(INDEX($AJ$2:$AJ$1001,MATCH(ROWS($AH$2:AH551),$AH$2:$AH$1001,0),0), INDEX($AO$1004:$BQ$1004,1,MATCH(COLUMNS($AO$1006:BP1006),$AO$1006:$BQ$1006,0)))),"Fix")))</f>
        <v>#N/A</v>
      </c>
      <c r="AD551" s="5" t="e">
        <f ca="1">IF(OR(INDEX($AI$2:$AI$1001,MATCH(ROWS($AH$2:AH551),$AH$2:$AH$1001,0),1)&gt;=100000,INDEX($AO$1005:$BQ$1005,1,MATCH(COLUMNS($AO$1006:BQ1006),$AO$1006:$BQ$1006,0))&gt;=100000), " ",IF(INDEX($AO$2:$BQ$1001,MATCH(ROWS($AH$2:AH551),$AH$2:$AH$1001,0),MATCH(COLUMNS($AO$1006:BQ1006),$AO$1006:$BQ$1006,0)), HYPERLINK("#",""), HYPERLINK(CONCATENATE("#Metadata!", ADDRESS(INDEX($AJ$2:$AJ$1001,MATCH(ROWS($AH$2:AH551),$AH$2:$AH$1001,0),0), INDEX($AO$1004:$BQ$1004,1,MATCH(COLUMNS($AO$1006:BQ1006),$AO$1006:$BQ$1006,0)))),"Fix")))</f>
        <v>#REF!</v>
      </c>
      <c r="AH551">
        <f ca="1"/>
        <v>548</v>
      </c>
      <c r="AI551">
        <v>100551</v>
      </c>
      <c r="AJ551">
        <v>551</v>
      </c>
      <c r="AK551" t="b">
        <f t="shared" si="8"/>
        <v>1</v>
      </c>
      <c r="AL551" t="b">
        <f>COUNTBLANK(Metadata!B551:AD551)=COLUMNS(Metadata!B551:AD551)</f>
        <v>1</v>
      </c>
      <c r="AM551" t="str">
        <v/>
      </c>
      <c r="AO551" t="b">
        <f ca="1">AND(IF(Metadata!B551="",FALSE,TRUE),COUNTIF(Metadata!B:B, Metadata!B551) = 1,NOT(ISERROR(SUMPRODUCT(SEARCH(MID(Metadata!B551,ROW(INDIRECT("1:"&amp;LEN(Metadata!B551))), 1),"0123456789abcdefghijklmnopqrstuvwxyzABCDEFGHIJKLMNOPQRSTUVWXYZ.")))))</f>
        <v>0</v>
      </c>
      <c r="AP551" t="b">
        <f>IF(Metadata!C551="",FALSE,TRUE)</f>
        <v>0</v>
      </c>
      <c r="AQ551" t="b">
        <f>IF(Metadata!D551="",FALSE,TRUE)</f>
        <v>0</v>
      </c>
      <c r="AR551" t="b">
        <f ca="1">OR(AND(IF(Metadata!E551="",FALSE,TRUE),OR(EXACT(Metadata!E551,"not collected"),EXACT(Metadata!E551,"not provided"),EXACT(Metadata!E551,"restricted access"))),AND(IF(Metadata!E551="",FALSE,TRUE),AND(AND(IFERROR(INT(LEFT(Metadata!E551,4))&gt;1900,FALSE),IFERROR(INT(LEFT(Metadata!E551,4))&lt;=YEAR(NOW()),FALSE)), OR(MID(Metadata!E551,5,1)="", AND(AND(MID(Metadata!E551,5,1)="-",IFERROR(INT(MID(Metadata!E551,6,1))&gt;=0,FALSE),IFERROR(INT(MID(Metadata!E551,6,1))&lt;=1,FALSE),NOT(MID(Metadata!E551,7,1)=""),IFERROR(INT(MID(Metadata!E551,6,2))&gt;=1,FALSE),IFERROR(INT(MID(Metadata!E551,6,2))&lt;=12,FALSE)), OR(MID(Metadata!E551,8,1)="", AND(AND(MID(Metadata!E551,8,1)="-",IFERROR(INT(MID(Metadata!E551,9,1))&gt;=0,FALSE),IFERROR(INT(MID(Metadata!E551,9,1))&lt;=3,FALSE),NOT(MID(Metadata!E551,10,1)=""),IFERROR(INT(MID(Metadata!E551,9,2))&gt;=1,FALSE),IFERROR(INT(MID(Metadata!E551,9,2))&lt;=31,FALSE)), OR(MID(Metadata!E551,11,1)="", AND(AND(MID(Metadata!E551,11,1)=" ",IFERROR(INT(MID(Metadata!E551,12,1))&gt;=0,FALSE),IFERROR(INT(MID(Metadata!E551,12,1))&lt;=2,FALSE),NOT(MID(Metadata!E551,13,1)=""),IFERROR(INT(MID(Metadata!E551,12,2))&gt;=0,FALSE),IFERROR(INT(MID(Metadata!E551,12,2))&lt;=23,FALSE)), OR(MID(Metadata!E551,14,1)="", AND(AND(MID(Metadata!E551,14,1)=":",IFERROR(INT(MID(Metadata!E551,15,1))&gt;=0,FALSE),IFERROR(INT(MID(Metadata!E551,15,1))&lt;=5,FALSE),NOT(MID(Metadata!E551,16,1)=""),IFERROR(INT(MID(Metadata!E551,15,2))&gt;=0,FALSE),IFERROR(INT(MID(Metadata!E551,15,2))&lt;=59,FALSE)), OR(MID(Metadata!E551,17,1)="", AND(AND(MID(Metadata!E551,17,1)=":",IFERROR(INT(MID(Metadata!E551,18,1))&gt;=0,FALSE),IFERROR(INT(MID(Metadata!E551,18,1))&lt;=5,FALSE),NOT(MID(Metadata!E551,19,1)=""),IFERROR(INT(MID(Metadata!E551,18,2))&gt;=0,FALSE),IFERROR(INT(MID(Metadata!E551,18,2))&lt;=59,FALSE)), LEN(Metadata!E551)&lt;=19)))))))))))))</f>
        <v>0</v>
      </c>
      <c r="AS551" t="b">
        <f>IF(Metadata!F551="",FALSE,TRUE)</f>
        <v>0</v>
      </c>
      <c r="AT551" t="b">
        <f>OR(AND(IF(Metadata!G551="",FALSE,TRUE),OR(EXACT(Metadata!G551,"not collected"),EXACT(Metadata!G551,"not provided"))),AND(IF(Metadata!G551="",FALSE,TRUE),OR(EXACT(Metadata!G551,"TRUE"),EXACT(Metadata!G551,"FALSE"))))</f>
        <v>0</v>
      </c>
      <c r="AU551" t="b">
        <f>OR(AND(IF(Metadata!H551="",FALSE,TRUE),OR(EXACT(Metadata!H551,"not collected"),EXACT(Metadata!H551,"not provided"),EXACT(Metadata!H551,"restricted access"))),AND(IF(Metadata!H551="",FALSE,ISNUMBER(VALUE(Metadata!H551))),Metadata!H551&gt;=-413))</f>
        <v>0</v>
      </c>
      <c r="AV551" t="b">
        <f>AND(IF(Metadata!I551="",FALSE,TRUE),EXACT(Metadata!I551,"meters"))</f>
        <v>0</v>
      </c>
      <c r="AW551" t="b">
        <f>AND(IF(Metadata!J551="",FALSE,TRUE),EXACT(Metadata!J551,"free-living"))</f>
        <v>0</v>
      </c>
      <c r="AX551" t="b">
        <f>AND(IF(Metadata!K551="",FALSE,TRUE),OR(EXACT(Metadata!K551,"saline"),EXACT(Metadata!K551,"non-saline")))</f>
        <v>0</v>
      </c>
      <c r="AY551" t="b">
        <f>AND(IF(Metadata!L551="",FALSE,TRUE),OR(EXACT(Metadata!L551,"sub-surface (non-saline)"),EXACT(Metadata!L551,"surface (non-saline)"),EXACT(Metadata!L551,"water (non-saline)"),EXACT(Metadata!L551,"soil (non-saline)"),EXACT(Metadata!L551,"aerosol (non-saline)"),EXACT(Metadata!L551,"sediment (non-saline)"),EXACT(Metadata!L551,"surface (saline)"),EXACT(Metadata!L551,"water (saline)"),EXACT(Metadata!L551,"hypersaline (saline)"),EXACT(Metadata!L551,"aerosol (saline)"),EXACT(Metadata!L551,"sediment (saline)")))</f>
        <v>0</v>
      </c>
      <c r="AZ551" t="b">
        <f>IF(Metadata!M551="",FALSE,TRUE)</f>
        <v>0</v>
      </c>
      <c r="BA551" t="b">
        <f>IF(Metadata!N551="",FALSE,TRUE)</f>
        <v>0</v>
      </c>
      <c r="BB551" t="b">
        <f>IF(Metadata!O551="",FALSE,TRUE)</f>
        <v>0</v>
      </c>
      <c r="BC551" t="b">
        <f>AND(IF(Metadata!P551="",FALSE,TRUE),OR(EXACT(Metadata!P551,"air"),EXACT(Metadata!P551,"microbial mat/biofilm"),EXACT(Metadata!P551,"misc environment"),EXACT(Metadata!P551,"sediment"),EXACT(Metadata!P551,"soil"),EXACT(Metadata!P551,"wastewater/sludge"),EXACT(Metadata!P551,"water")))</f>
        <v>0</v>
      </c>
      <c r="BD551" t="b">
        <f>IF(Metadata!Q551="",FALSE,TRUE)</f>
        <v>0</v>
      </c>
      <c r="BE551" t="b">
        <f>IF(Metadata!R551="",FALSE,TRUE)</f>
        <v>0</v>
      </c>
      <c r="BF551" t="b">
        <f>OR(AND(IF(Metadata!S551="",FALSE,TRUE),OR(EXACT(Metadata!S551,"not collected"),EXACT(Metadata!S551,"not provided"),EXACT(Metadata!S551,"restricted access"))),AND(IF(Metadata!S551="",FALSE,ISNUMBER(VALUE(Metadata!S551))),Metadata!S551&gt;=-90,Metadata!S551&lt;=90))</f>
        <v>0</v>
      </c>
      <c r="BG551" t="b">
        <f>AND(IF(Metadata!T551="",FALSE,TRUE),EXACT(Metadata!T551,"Decimal degrees"))</f>
        <v>0</v>
      </c>
      <c r="BH551" t="b">
        <f>OR(AND(IF(Metadata!U551="",FALSE,TRUE),OR(EXACT(Metadata!U551,"not applicable"),EXACT(Metadata!U551,"not collected"))),IF(Metadata!U551="",FALSE,TRUE))</f>
        <v>0</v>
      </c>
      <c r="BI551" t="b">
        <f>OR(AND(IF(Metadata!V551="",FALSE,TRUE),OR(EXACT(Metadata!V551,"not collected"),EXACT(Metadata!V551,"not provided"),EXACT(Metadata!V551,"restricted access"))),AND(IF(Metadata!V551="",FALSE,ISNUMBER(VALUE(Metadata!V551))),Metadata!V551&gt;=-180,Metadata!V551&lt;=180))</f>
        <v>0</v>
      </c>
      <c r="BJ551" t="b">
        <f>AND(IF(Metadata!W551="",FALSE,TRUE),EXACT(Metadata!W551,"Decimal degrees"))</f>
        <v>0</v>
      </c>
      <c r="BK551" t="b">
        <f>IF(Metadata!X551="",FALSE,TRUE)</f>
        <v>0</v>
      </c>
      <c r="BL551" t="b">
        <f>OR(AND(IF(Metadata!Y551="",FALSE,TRUE),OR(EXACT(Metadata!Y551,"not collected"),EXACT(Metadata!Y551,"not provided"),EXACT(Metadata!Y551,"restricted access"))),AND(IF(Metadata!Y551="",FALSE,TRUE),OR(EXACT(Metadata!Y551,"TRUE"),EXACT(Metadata!Y551,"FALSE"))))</f>
        <v>0</v>
      </c>
      <c r="BM551" t="b">
        <f>OR(AND(IF(Metadata!Z551="",FALSE,TRUE),EXACT(Metadata!Z551,"not applicable")),AND(IF(Metadata!Z551="",FALSE,TRUE),OR(EXACT(Metadata!Z551,"beer"),EXACT(Metadata!Z551,"cheese"),EXACT(Metadata!Z551,"fresh water"),EXACT(Metadata!Z551,"marine sediment"),EXACT(Metadata!Z551,"sea water"),EXACT(Metadata!Z551,"sediment"),EXACT(Metadata!Z551,"soil"),EXACT(Metadata!Z551,"waste water"))))</f>
        <v>0</v>
      </c>
      <c r="BN551" t="b">
        <f>AND(IF(Metadata!AA551="",FALSE,TRUE),EXACT(Metadata!AA551,"metagenome"))</f>
        <v>0</v>
      </c>
      <c r="BO551" t="b">
        <f>AND(IF(Metadata!AB551="",FALSE,TRUE),EXACT(Metadata!AB551,"256318"))</f>
        <v>0</v>
      </c>
      <c r="BP551" t="b">
        <f>IF(Metadata!AC551="",FALSE,TRUE)</f>
        <v>0</v>
      </c>
      <c r="BQ551" t="b">
        <f>IF(Metadata!AD551="",FALSE,TRUE)</f>
        <v>0</v>
      </c>
    </row>
    <row r="552" spans="1:69" x14ac:dyDescent="0.2">
      <c r="A552" s="4" t="e">
        <f ca="1">IF(B552=" "," ",HYPERLINK(CONCATENATE("#metadata!",ADDRESS(INDEX($AJ$2:$AJ$1001,MATCH(ROWS($AH$2:AH552),$AH$2:$AH$1001,0),0),2)),INDEX($AM$2:$AM$1001,MATCH(ROWS($AH$2:AH552),$AH$2:$AH$1001,0),0)))</f>
        <v>#N/A</v>
      </c>
      <c r="B552" s="5" t="e">
        <f ca="1">IF(OR(INDEX($AI$2:$AI$1001,MATCH(ROWS($AH$2:AH552),$AH$2:$AH$1001,0),1)&gt;=100000,INDEX($AO$1005:$BQ$1005,1,MATCH(COLUMNS($AO$1006:AO1006),$AO$1006:$BQ$1006,0))&gt;=100000), " ",IF(INDEX($AO$2:$BQ$1001,MATCH(ROWS($AH$2:AH552),$AH$2:$AH$1001,0),MATCH(COLUMNS($AO$1006:AO1006),$AO$1006:$BQ$1006,0)), HYPERLINK("#",""), HYPERLINK(CONCATENATE("#Metadata!", ADDRESS(INDEX($AJ$2:$AJ$1001,MATCH(ROWS($AH$2:AH552),$AH$2:$AH$1001,0),0), INDEX($AO$1004:$BQ$1004,1,MATCH(COLUMNS($AO$1006:AO1006),$AO$1006:$BQ$1006,0)))),"Fix")))</f>
        <v>#N/A</v>
      </c>
      <c r="C552" s="5" t="e">
        <f ca="1">IF(OR(INDEX($AI$2:$AI$1001,MATCH(ROWS($AH$2:AH552),$AH$2:$AH$1001,0),1)&gt;=100000,INDEX($AO$1005:$BQ$1005,1,MATCH(COLUMNS($AO$1006:AP1006),$AO$1006:$BQ$1006,0))&gt;=100000), " ",IF(INDEX($AO$2:$BQ$1001,MATCH(ROWS($AH$2:AH552),$AH$2:$AH$1001,0),MATCH(COLUMNS($AO$1006:AP1006),$AO$1006:$BQ$1006,0)), HYPERLINK("#",""), HYPERLINK(CONCATENATE("#Metadata!", ADDRESS(INDEX($AJ$2:$AJ$1001,MATCH(ROWS($AH$2:AH552),$AH$2:$AH$1001,0),0), INDEX($AO$1004:$BQ$1004,1,MATCH(COLUMNS($AO$1006:AP1006),$AO$1006:$BQ$1006,0)))),"Fix")))</f>
        <v>#N/A</v>
      </c>
      <c r="D552" s="5" t="e">
        <f ca="1">IF(OR(INDEX($AI$2:$AI$1001,MATCH(ROWS($AH$2:AH552),$AH$2:$AH$1001,0),1)&gt;=100000,INDEX($AO$1005:$BQ$1005,1,MATCH(COLUMNS($AO$1006:AQ1006),$AO$1006:$BQ$1006,0))&gt;=100000), " ",IF(INDEX($AO$2:$BQ$1001,MATCH(ROWS($AH$2:AH552),$AH$2:$AH$1001,0),MATCH(COLUMNS($AO$1006:AQ1006),$AO$1006:$BQ$1006,0)), HYPERLINK("#",""), HYPERLINK(CONCATENATE("#Metadata!", ADDRESS(INDEX($AJ$2:$AJ$1001,MATCH(ROWS($AH$2:AH552),$AH$2:$AH$1001,0),0), INDEX($AO$1004:$BQ$1004,1,MATCH(COLUMNS($AO$1006:AQ1006),$AO$1006:$BQ$1006,0)))),"Fix")))</f>
        <v>#N/A</v>
      </c>
      <c r="E552" s="5" t="e">
        <f ca="1">IF(OR(INDEX($AI$2:$AI$1001,MATCH(ROWS($AH$2:AH552),$AH$2:$AH$1001,0),1)&gt;=100000,INDEX($AO$1005:$BQ$1005,1,MATCH(COLUMNS($AO$1006:AR1006),$AO$1006:$BQ$1006,0))&gt;=100000), " ",IF(INDEX($AO$2:$BQ$1001,MATCH(ROWS($AH$2:AH552),$AH$2:$AH$1001,0),MATCH(COLUMNS($AO$1006:AR1006),$AO$1006:$BQ$1006,0)), HYPERLINK("#",""), HYPERLINK(CONCATENATE("#Metadata!", ADDRESS(INDEX($AJ$2:$AJ$1001,MATCH(ROWS($AH$2:AH552),$AH$2:$AH$1001,0),0), INDEX($AO$1004:$BQ$1004,1,MATCH(COLUMNS($AO$1006:AR1006),$AO$1006:$BQ$1006,0)))),"Fix")))</f>
        <v>#N/A</v>
      </c>
      <c r="F552" s="5" t="e">
        <f ca="1">IF(OR(INDEX($AI$2:$AI$1001,MATCH(ROWS($AH$2:AH552),$AH$2:$AH$1001,0),1)&gt;=100000,INDEX($AO$1005:$BQ$1005,1,MATCH(COLUMNS($AO$1006:AS1006),$AO$1006:$BQ$1006,0))&gt;=100000), " ",IF(INDEX($AO$2:$BQ$1001,MATCH(ROWS($AH$2:AH552),$AH$2:$AH$1001,0),MATCH(COLUMNS($AO$1006:AS1006),$AO$1006:$BQ$1006,0)), HYPERLINK("#",""), HYPERLINK(CONCATENATE("#Metadata!", ADDRESS(INDEX($AJ$2:$AJ$1001,MATCH(ROWS($AH$2:AH552),$AH$2:$AH$1001,0),0), INDEX($AO$1004:$BQ$1004,1,MATCH(COLUMNS($AO$1006:AS1006),$AO$1006:$BQ$1006,0)))),"Fix")))</f>
        <v>#N/A</v>
      </c>
      <c r="G552" s="5" t="e">
        <f ca="1">IF(OR(INDEX($AI$2:$AI$1001,MATCH(ROWS($AH$2:AH552),$AH$2:$AH$1001,0),1)&gt;=100000,INDEX($AO$1005:$BQ$1005,1,MATCH(COLUMNS($AO$1006:AT1006),$AO$1006:$BQ$1006,0))&gt;=100000), " ",IF(INDEX($AO$2:$BQ$1001,MATCH(ROWS($AH$2:AH552),$AH$2:$AH$1001,0),MATCH(COLUMNS($AO$1006:AT1006),$AO$1006:$BQ$1006,0)), HYPERLINK("#",""), HYPERLINK(CONCATENATE("#Metadata!", ADDRESS(INDEX($AJ$2:$AJ$1001,MATCH(ROWS($AH$2:AH552),$AH$2:$AH$1001,0),0), INDEX($AO$1004:$BQ$1004,1,MATCH(COLUMNS($AO$1006:AT1006),$AO$1006:$BQ$1006,0)))),"Fix")))</f>
        <v>#N/A</v>
      </c>
      <c r="H552" s="5" t="e">
        <f ca="1">IF(OR(INDEX($AI$2:$AI$1001,MATCH(ROWS($AH$2:AH552),$AH$2:$AH$1001,0),1)&gt;=100000,INDEX($AO$1005:$BQ$1005,1,MATCH(COLUMNS($AO$1006:AU1006),$AO$1006:$BQ$1006,0))&gt;=100000), " ",IF(INDEX($AO$2:$BQ$1001,MATCH(ROWS($AH$2:AH552),$AH$2:$AH$1001,0),MATCH(COLUMNS($AO$1006:AU1006),$AO$1006:$BQ$1006,0)), HYPERLINK("#",""), HYPERLINK(CONCATENATE("#Metadata!", ADDRESS(INDEX($AJ$2:$AJ$1001,MATCH(ROWS($AH$2:AH552),$AH$2:$AH$1001,0),0), INDEX($AO$1004:$BQ$1004,1,MATCH(COLUMNS($AO$1006:AU1006),$AO$1006:$BQ$1006,0)))),"Fix")))</f>
        <v>#N/A</v>
      </c>
      <c r="I552" s="5" t="e">
        <f ca="1">IF(OR(INDEX($AI$2:$AI$1001,MATCH(ROWS($AH$2:AH552),$AH$2:$AH$1001,0),1)&gt;=100000,INDEX($AO$1005:$BQ$1005,1,MATCH(COLUMNS($AO$1006:AV1006),$AO$1006:$BQ$1006,0))&gt;=100000), " ",IF(INDEX($AO$2:$BQ$1001,MATCH(ROWS($AH$2:AH552),$AH$2:$AH$1001,0),MATCH(COLUMNS($AO$1006:AV1006),$AO$1006:$BQ$1006,0)), HYPERLINK("#",""), HYPERLINK(CONCATENATE("#Metadata!", ADDRESS(INDEX($AJ$2:$AJ$1001,MATCH(ROWS($AH$2:AH552),$AH$2:$AH$1001,0),0), INDEX($AO$1004:$BQ$1004,1,MATCH(COLUMNS($AO$1006:AV1006),$AO$1006:$BQ$1006,0)))),"Fix")))</f>
        <v>#N/A</v>
      </c>
      <c r="J552" s="5" t="e">
        <f ca="1">IF(OR(INDEX($AI$2:$AI$1001,MATCH(ROWS($AH$2:AH552),$AH$2:$AH$1001,0),1)&gt;=100000,INDEX($AO$1005:$BQ$1005,1,MATCH(COLUMNS($AO$1006:AW1006),$AO$1006:$BQ$1006,0))&gt;=100000), " ",IF(INDEX($AO$2:$BQ$1001,MATCH(ROWS($AH$2:AH552),$AH$2:$AH$1001,0),MATCH(COLUMNS($AO$1006:AW1006),$AO$1006:$BQ$1006,0)), HYPERLINK("#",""), HYPERLINK(CONCATENATE("#Metadata!", ADDRESS(INDEX($AJ$2:$AJ$1001,MATCH(ROWS($AH$2:AH552),$AH$2:$AH$1001,0),0), INDEX($AO$1004:$BQ$1004,1,MATCH(COLUMNS($AO$1006:AW1006),$AO$1006:$BQ$1006,0)))),"Fix")))</f>
        <v>#N/A</v>
      </c>
      <c r="K552" s="5" t="e">
        <f ca="1">IF(OR(INDEX($AI$2:$AI$1001,MATCH(ROWS($AH$2:AH552),$AH$2:$AH$1001,0),1)&gt;=100000,INDEX($AO$1005:$BQ$1005,1,MATCH(COLUMNS($AO$1006:AX1006),$AO$1006:$BQ$1006,0))&gt;=100000), " ",IF(INDEX($AO$2:$BQ$1001,MATCH(ROWS($AH$2:AH552),$AH$2:$AH$1001,0),MATCH(COLUMNS($AO$1006:AX1006),$AO$1006:$BQ$1006,0)), HYPERLINK("#",""), HYPERLINK(CONCATENATE("#Metadata!", ADDRESS(INDEX($AJ$2:$AJ$1001,MATCH(ROWS($AH$2:AH552),$AH$2:$AH$1001,0),0), INDEX($AO$1004:$BQ$1004,1,MATCH(COLUMNS($AO$1006:AX1006),$AO$1006:$BQ$1006,0)))),"Fix")))</f>
        <v>#N/A</v>
      </c>
      <c r="L552" s="5" t="e">
        <f ca="1">IF(OR(INDEX($AI$2:$AI$1001,MATCH(ROWS($AH$2:AH552),$AH$2:$AH$1001,0),1)&gt;=100000,INDEX($AO$1005:$BQ$1005,1,MATCH(COLUMNS($AO$1006:AY1006),$AO$1006:$BQ$1006,0))&gt;=100000), " ",IF(INDEX($AO$2:$BQ$1001,MATCH(ROWS($AH$2:AH552),$AH$2:$AH$1001,0),MATCH(COLUMNS($AO$1006:AY1006),$AO$1006:$BQ$1006,0)), HYPERLINK("#",""), HYPERLINK(CONCATENATE("#Metadata!", ADDRESS(INDEX($AJ$2:$AJ$1001,MATCH(ROWS($AH$2:AH552),$AH$2:$AH$1001,0),0), INDEX($AO$1004:$BQ$1004,1,MATCH(COLUMNS($AO$1006:AY1006),$AO$1006:$BQ$1006,0)))),"Fix")))</f>
        <v>#N/A</v>
      </c>
      <c r="M552" s="5" t="e">
        <f ca="1">IF(OR(INDEX($AI$2:$AI$1001,MATCH(ROWS($AH$2:AH552),$AH$2:$AH$1001,0),1)&gt;=100000,INDEX($AO$1005:$BQ$1005,1,MATCH(COLUMNS($AO$1006:AZ1006),$AO$1006:$BQ$1006,0))&gt;=100000), " ",IF(INDEX($AO$2:$BQ$1001,MATCH(ROWS($AH$2:AH552),$AH$2:$AH$1001,0),MATCH(COLUMNS($AO$1006:AZ1006),$AO$1006:$BQ$1006,0)), HYPERLINK("#",""), HYPERLINK(CONCATENATE("#Metadata!", ADDRESS(INDEX($AJ$2:$AJ$1001,MATCH(ROWS($AH$2:AH552),$AH$2:$AH$1001,0),0), INDEX($AO$1004:$BQ$1004,1,MATCH(COLUMNS($AO$1006:AZ1006),$AO$1006:$BQ$1006,0)))),"Fix")))</f>
        <v>#N/A</v>
      </c>
      <c r="N552" s="5" t="e">
        <f ca="1">IF(OR(INDEX($AI$2:$AI$1001,MATCH(ROWS($AH$2:AH552),$AH$2:$AH$1001,0),1)&gt;=100000,INDEX($AO$1005:$BQ$1005,1,MATCH(COLUMNS($AO$1006:BA1006),$AO$1006:$BQ$1006,0))&gt;=100000), " ",IF(INDEX($AO$2:$BQ$1001,MATCH(ROWS($AH$2:AH552),$AH$2:$AH$1001,0),MATCH(COLUMNS($AO$1006:BA1006),$AO$1006:$BQ$1006,0)), HYPERLINK("#",""), HYPERLINK(CONCATENATE("#Metadata!", ADDRESS(INDEX($AJ$2:$AJ$1001,MATCH(ROWS($AH$2:AH552),$AH$2:$AH$1001,0),0), INDEX($AO$1004:$BQ$1004,1,MATCH(COLUMNS($AO$1006:BA1006),$AO$1006:$BQ$1006,0)))),"Fix")))</f>
        <v>#N/A</v>
      </c>
      <c r="O552" s="5" t="e">
        <f ca="1">IF(OR(INDEX($AI$2:$AI$1001,MATCH(ROWS($AH$2:AH552),$AH$2:$AH$1001,0),1)&gt;=100000,INDEX($AO$1005:$BQ$1005,1,MATCH(COLUMNS($AO$1006:BB1006),$AO$1006:$BQ$1006,0))&gt;=100000), " ",IF(INDEX($AO$2:$BQ$1001,MATCH(ROWS($AH$2:AH552),$AH$2:$AH$1001,0),MATCH(COLUMNS($AO$1006:BB1006),$AO$1006:$BQ$1006,0)), HYPERLINK("#",""), HYPERLINK(CONCATENATE("#Metadata!", ADDRESS(INDEX($AJ$2:$AJ$1001,MATCH(ROWS($AH$2:AH552),$AH$2:$AH$1001,0),0), INDEX($AO$1004:$BQ$1004,1,MATCH(COLUMNS($AO$1006:BB1006),$AO$1006:$BQ$1006,0)))),"Fix")))</f>
        <v>#N/A</v>
      </c>
      <c r="P552" s="5" t="e">
        <f ca="1">IF(OR(INDEX($AI$2:$AI$1001,MATCH(ROWS($AH$2:AH552),$AH$2:$AH$1001,0),1)&gt;=100000,INDEX($AO$1005:$BQ$1005,1,MATCH(COLUMNS($AO$1006:BC1006),$AO$1006:$BQ$1006,0))&gt;=100000), " ",IF(INDEX($AO$2:$BQ$1001,MATCH(ROWS($AH$2:AH552),$AH$2:$AH$1001,0),MATCH(COLUMNS($AO$1006:BC1006),$AO$1006:$BQ$1006,0)), HYPERLINK("#",""), HYPERLINK(CONCATENATE("#Metadata!", ADDRESS(INDEX($AJ$2:$AJ$1001,MATCH(ROWS($AH$2:AH552),$AH$2:$AH$1001,0),0), INDEX($AO$1004:$BQ$1004,1,MATCH(COLUMNS($AO$1006:BC1006),$AO$1006:$BQ$1006,0)))),"Fix")))</f>
        <v>#N/A</v>
      </c>
      <c r="Q552" s="5" t="e">
        <f ca="1">IF(OR(INDEX($AI$2:$AI$1001,MATCH(ROWS($AH$2:AH552),$AH$2:$AH$1001,0),1)&gt;=100000,INDEX($AO$1005:$BQ$1005,1,MATCH(COLUMNS($AO$1006:BD1006),$AO$1006:$BQ$1006,0))&gt;=100000), " ",IF(INDEX($AO$2:$BQ$1001,MATCH(ROWS($AH$2:AH552),$AH$2:$AH$1001,0),MATCH(COLUMNS($AO$1006:BD1006),$AO$1006:$BQ$1006,0)), HYPERLINK("#",""), HYPERLINK(CONCATENATE("#Metadata!", ADDRESS(INDEX($AJ$2:$AJ$1001,MATCH(ROWS($AH$2:AH552),$AH$2:$AH$1001,0),0), INDEX($AO$1004:$BQ$1004,1,MATCH(COLUMNS($AO$1006:BD1006),$AO$1006:$BQ$1006,0)))),"Fix")))</f>
        <v>#N/A</v>
      </c>
      <c r="R552" s="5" t="e">
        <f ca="1">IF(OR(INDEX($AI$2:$AI$1001,MATCH(ROWS($AH$2:AH552),$AH$2:$AH$1001,0),1)&gt;=100000,INDEX($AO$1005:$BQ$1005,1,MATCH(COLUMNS($AO$1006:BE1006),$AO$1006:$BQ$1006,0))&gt;=100000), " ",IF(INDEX($AO$2:$BQ$1001,MATCH(ROWS($AH$2:AH552),$AH$2:$AH$1001,0),MATCH(COLUMNS($AO$1006:BE1006),$AO$1006:$BQ$1006,0)), HYPERLINK("#",""), HYPERLINK(CONCATENATE("#Metadata!", ADDRESS(INDEX($AJ$2:$AJ$1001,MATCH(ROWS($AH$2:AH552),$AH$2:$AH$1001,0),0), INDEX($AO$1004:$BQ$1004,1,MATCH(COLUMNS($AO$1006:BE1006),$AO$1006:$BQ$1006,0)))),"Fix")))</f>
        <v>#N/A</v>
      </c>
      <c r="S552" s="5" t="e">
        <f ca="1">IF(OR(INDEX($AI$2:$AI$1001,MATCH(ROWS($AH$2:AH552),$AH$2:$AH$1001,0),1)&gt;=100000,INDEX($AO$1005:$BQ$1005,1,MATCH(COLUMNS($AO$1006:BF1006),$AO$1006:$BQ$1006,0))&gt;=100000), " ",IF(INDEX($AO$2:$BQ$1001,MATCH(ROWS($AH$2:AH552),$AH$2:$AH$1001,0),MATCH(COLUMNS($AO$1006:BF1006),$AO$1006:$BQ$1006,0)), HYPERLINK("#",""), HYPERLINK(CONCATENATE("#Metadata!", ADDRESS(INDEX($AJ$2:$AJ$1001,MATCH(ROWS($AH$2:AH552),$AH$2:$AH$1001,0),0), INDEX($AO$1004:$BQ$1004,1,MATCH(COLUMNS($AO$1006:BF1006),$AO$1006:$BQ$1006,0)))),"Fix")))</f>
        <v>#N/A</v>
      </c>
      <c r="T552" s="5" t="e">
        <f ca="1">IF(OR(INDEX($AI$2:$AI$1001,MATCH(ROWS($AH$2:AH552),$AH$2:$AH$1001,0),1)&gt;=100000,INDEX($AO$1005:$BQ$1005,1,MATCH(COLUMNS($AO$1006:BG1006),$AO$1006:$BQ$1006,0))&gt;=100000), " ",IF(INDEX($AO$2:$BQ$1001,MATCH(ROWS($AH$2:AH552),$AH$2:$AH$1001,0),MATCH(COLUMNS($AO$1006:BG1006),$AO$1006:$BQ$1006,0)), HYPERLINK("#",""), HYPERLINK(CONCATENATE("#Metadata!", ADDRESS(INDEX($AJ$2:$AJ$1001,MATCH(ROWS($AH$2:AH552),$AH$2:$AH$1001,0),0), INDEX($AO$1004:$BQ$1004,1,MATCH(COLUMNS($AO$1006:BG1006),$AO$1006:$BQ$1006,0)))),"Fix")))</f>
        <v>#N/A</v>
      </c>
      <c r="U552" s="5" t="e">
        <f ca="1">IF(OR(INDEX($AI$2:$AI$1001,MATCH(ROWS($AH$2:AH552),$AH$2:$AH$1001,0),1)&gt;=100000,INDEX($AO$1005:$BQ$1005,1,MATCH(COLUMNS($AO$1006:BH1006),$AO$1006:$BQ$1006,0))&gt;=100000), " ",IF(INDEX($AO$2:$BQ$1001,MATCH(ROWS($AH$2:AH552),$AH$2:$AH$1001,0),MATCH(COLUMNS($AO$1006:BH1006),$AO$1006:$BQ$1006,0)), HYPERLINK("#",""), HYPERLINK(CONCATENATE("#Metadata!", ADDRESS(INDEX($AJ$2:$AJ$1001,MATCH(ROWS($AH$2:AH552),$AH$2:$AH$1001,0),0), INDEX($AO$1004:$BQ$1004,1,MATCH(COLUMNS($AO$1006:BH1006),$AO$1006:$BQ$1006,0)))),"Fix")))</f>
        <v>#N/A</v>
      </c>
      <c r="V552" s="5" t="e">
        <f ca="1">IF(OR(INDEX($AI$2:$AI$1001,MATCH(ROWS($AH$2:AH552),$AH$2:$AH$1001,0),1)&gt;=100000,INDEX($AO$1005:$BQ$1005,1,MATCH(COLUMNS($AO$1006:BI1006),$AO$1006:$BQ$1006,0))&gt;=100000), " ",IF(INDEX($AO$2:$BQ$1001,MATCH(ROWS($AH$2:AH552),$AH$2:$AH$1001,0),MATCH(COLUMNS($AO$1006:BI1006),$AO$1006:$BQ$1006,0)), HYPERLINK("#",""), HYPERLINK(CONCATENATE("#Metadata!", ADDRESS(INDEX($AJ$2:$AJ$1001,MATCH(ROWS($AH$2:AH552),$AH$2:$AH$1001,0),0), INDEX($AO$1004:$BQ$1004,1,MATCH(COLUMNS($AO$1006:BI1006),$AO$1006:$BQ$1006,0)))),"Fix")))</f>
        <v>#N/A</v>
      </c>
      <c r="W552" s="5" t="e">
        <f ca="1">IF(OR(INDEX($AI$2:$AI$1001,MATCH(ROWS($AH$2:AH552),$AH$2:$AH$1001,0),1)&gt;=100000,INDEX($AO$1005:$BQ$1005,1,MATCH(COLUMNS($AO$1006:BJ1006),$AO$1006:$BQ$1006,0))&gt;=100000), " ",IF(INDEX($AO$2:$BQ$1001,MATCH(ROWS($AH$2:AH552),$AH$2:$AH$1001,0),MATCH(COLUMNS($AO$1006:BJ1006),$AO$1006:$BQ$1006,0)), HYPERLINK("#",""), HYPERLINK(CONCATENATE("#Metadata!", ADDRESS(INDEX($AJ$2:$AJ$1001,MATCH(ROWS($AH$2:AH552),$AH$2:$AH$1001,0),0), INDEX($AO$1004:$BQ$1004,1,MATCH(COLUMNS($AO$1006:BJ1006),$AO$1006:$BQ$1006,0)))),"Fix")))</f>
        <v>#N/A</v>
      </c>
      <c r="X552" s="5" t="e">
        <f ca="1">IF(OR(INDEX($AI$2:$AI$1001,MATCH(ROWS($AH$2:AH552),$AH$2:$AH$1001,0),1)&gt;=100000,INDEX($AO$1005:$BQ$1005,1,MATCH(COLUMNS($AO$1006:BK1006),$AO$1006:$BQ$1006,0))&gt;=100000), " ",IF(INDEX($AO$2:$BQ$1001,MATCH(ROWS($AH$2:AH552),$AH$2:$AH$1001,0),MATCH(COLUMNS($AO$1006:BK1006),$AO$1006:$BQ$1006,0)), HYPERLINK("#",""), HYPERLINK(CONCATENATE("#Metadata!", ADDRESS(INDEX($AJ$2:$AJ$1001,MATCH(ROWS($AH$2:AH552),$AH$2:$AH$1001,0),0), INDEX($AO$1004:$BQ$1004,1,MATCH(COLUMNS($AO$1006:BK1006),$AO$1006:$BQ$1006,0)))),"Fix")))</f>
        <v>#N/A</v>
      </c>
      <c r="Y552" s="5" t="e">
        <f ca="1">IF(OR(INDEX($AI$2:$AI$1001,MATCH(ROWS($AH$2:AH552),$AH$2:$AH$1001,0),1)&gt;=100000,INDEX($AO$1005:$BQ$1005,1,MATCH(COLUMNS($AO$1006:BL1006),$AO$1006:$BQ$1006,0))&gt;=100000), " ",IF(INDEX($AO$2:$BQ$1001,MATCH(ROWS($AH$2:AH552),$AH$2:$AH$1001,0),MATCH(COLUMNS($AO$1006:BL1006),$AO$1006:$BQ$1006,0)), HYPERLINK("#",""), HYPERLINK(CONCATENATE("#Metadata!", ADDRESS(INDEX($AJ$2:$AJ$1001,MATCH(ROWS($AH$2:AH552),$AH$2:$AH$1001,0),0), INDEX($AO$1004:$BQ$1004,1,MATCH(COLUMNS($AO$1006:BL1006),$AO$1006:$BQ$1006,0)))),"Fix")))</f>
        <v>#N/A</v>
      </c>
      <c r="Z552" s="5" t="e">
        <f ca="1">IF(OR(INDEX($AI$2:$AI$1001,MATCH(ROWS($AH$2:AH552),$AH$2:$AH$1001,0),1)&gt;=100000,INDEX($AO$1005:$BQ$1005,1,MATCH(COLUMNS($AO$1006:BM1006),$AO$1006:$BQ$1006,0))&gt;=100000), " ",IF(INDEX($AO$2:$BQ$1001,MATCH(ROWS($AH$2:AH552),$AH$2:$AH$1001,0),MATCH(COLUMNS($AO$1006:BM1006),$AO$1006:$BQ$1006,0)), HYPERLINK("#",""), HYPERLINK(CONCATENATE("#Metadata!", ADDRESS(INDEX($AJ$2:$AJ$1001,MATCH(ROWS($AH$2:AH552),$AH$2:$AH$1001,0),0), INDEX($AO$1004:$BQ$1004,1,MATCH(COLUMNS($AO$1006:BM1006),$AO$1006:$BQ$1006,0)))),"Fix")))</f>
        <v>#N/A</v>
      </c>
      <c r="AA552" s="5" t="e">
        <f ca="1">IF(OR(INDEX($AI$2:$AI$1001,MATCH(ROWS($AH$2:AH552),$AH$2:$AH$1001,0),1)&gt;=100000,INDEX($AO$1005:$BQ$1005,1,MATCH(COLUMNS($AO$1006:BN1006),$AO$1006:$BQ$1006,0))&gt;=100000), " ",IF(INDEX($AO$2:$BQ$1001,MATCH(ROWS($AH$2:AH552),$AH$2:$AH$1001,0),MATCH(COLUMNS($AO$1006:BN1006),$AO$1006:$BQ$1006,0)), HYPERLINK("#",""), HYPERLINK(CONCATENATE("#Metadata!", ADDRESS(INDEX($AJ$2:$AJ$1001,MATCH(ROWS($AH$2:AH552),$AH$2:$AH$1001,0),0), INDEX($AO$1004:$BQ$1004,1,MATCH(COLUMNS($AO$1006:BN1006),$AO$1006:$BQ$1006,0)))),"Fix")))</f>
        <v>#N/A</v>
      </c>
      <c r="AB552" s="5" t="e">
        <f ca="1">IF(OR(INDEX($AI$2:$AI$1001,MATCH(ROWS($AH$2:AH552),$AH$2:$AH$1001,0),1)&gt;=100000,INDEX($AO$1005:$BQ$1005,1,MATCH(COLUMNS($AO$1006:BO1006),$AO$1006:$BQ$1006,0))&gt;=100000), " ",IF(INDEX($AO$2:$BQ$1001,MATCH(ROWS($AH$2:AH552),$AH$2:$AH$1001,0),MATCH(COLUMNS($AO$1006:BO1006),$AO$1006:$BQ$1006,0)), HYPERLINK("#",""), HYPERLINK(CONCATENATE("#Metadata!", ADDRESS(INDEX($AJ$2:$AJ$1001,MATCH(ROWS($AH$2:AH552),$AH$2:$AH$1001,0),0), INDEX($AO$1004:$BQ$1004,1,MATCH(COLUMNS($AO$1006:BO1006),$AO$1006:$BQ$1006,0)))),"Fix")))</f>
        <v>#N/A</v>
      </c>
      <c r="AC552" s="5" t="e">
        <f ca="1">IF(OR(INDEX($AI$2:$AI$1001,MATCH(ROWS($AH$2:AH552),$AH$2:$AH$1001,0),1)&gt;=100000,INDEX($AO$1005:$BQ$1005,1,MATCH(COLUMNS($AO$1006:BP1006),$AO$1006:$BQ$1006,0))&gt;=100000), " ",IF(INDEX($AO$2:$BQ$1001,MATCH(ROWS($AH$2:AH552),$AH$2:$AH$1001,0),MATCH(COLUMNS($AO$1006:BP1006),$AO$1006:$BQ$1006,0)), HYPERLINK("#",""), HYPERLINK(CONCATENATE("#Metadata!", ADDRESS(INDEX($AJ$2:$AJ$1001,MATCH(ROWS($AH$2:AH552),$AH$2:$AH$1001,0),0), INDEX($AO$1004:$BQ$1004,1,MATCH(COLUMNS($AO$1006:BP1006),$AO$1006:$BQ$1006,0)))),"Fix")))</f>
        <v>#N/A</v>
      </c>
      <c r="AD552" s="5" t="e">
        <f ca="1">IF(OR(INDEX($AI$2:$AI$1001,MATCH(ROWS($AH$2:AH552),$AH$2:$AH$1001,0),1)&gt;=100000,INDEX($AO$1005:$BQ$1005,1,MATCH(COLUMNS($AO$1006:BQ1006),$AO$1006:$BQ$1006,0))&gt;=100000), " ",IF(INDEX($AO$2:$BQ$1001,MATCH(ROWS($AH$2:AH552),$AH$2:$AH$1001,0),MATCH(COLUMNS($AO$1006:BQ1006),$AO$1006:$BQ$1006,0)), HYPERLINK("#",""), HYPERLINK(CONCATENATE("#Metadata!", ADDRESS(INDEX($AJ$2:$AJ$1001,MATCH(ROWS($AH$2:AH552),$AH$2:$AH$1001,0),0), INDEX($AO$1004:$BQ$1004,1,MATCH(COLUMNS($AO$1006:BQ1006),$AO$1006:$BQ$1006,0)))),"Fix")))</f>
        <v>#REF!</v>
      </c>
      <c r="AH552">
        <f ca="1"/>
        <v>549</v>
      </c>
      <c r="AI552">
        <v>100552</v>
      </c>
      <c r="AJ552">
        <v>552</v>
      </c>
      <c r="AK552" t="b">
        <f t="shared" si="8"/>
        <v>1</v>
      </c>
      <c r="AL552" t="b">
        <f>COUNTBLANK(Metadata!B552:AD552)=COLUMNS(Metadata!B552:AD552)</f>
        <v>1</v>
      </c>
      <c r="AM552" t="str">
        <v/>
      </c>
      <c r="AO552" t="b">
        <f ca="1">AND(IF(Metadata!B552="",FALSE,TRUE),COUNTIF(Metadata!B:B, Metadata!B552) = 1,NOT(ISERROR(SUMPRODUCT(SEARCH(MID(Metadata!B552,ROW(INDIRECT("1:"&amp;LEN(Metadata!B552))), 1),"0123456789abcdefghijklmnopqrstuvwxyzABCDEFGHIJKLMNOPQRSTUVWXYZ.")))))</f>
        <v>0</v>
      </c>
      <c r="AP552" t="b">
        <f>IF(Metadata!C552="",FALSE,TRUE)</f>
        <v>0</v>
      </c>
      <c r="AQ552" t="b">
        <f>IF(Metadata!D552="",FALSE,TRUE)</f>
        <v>0</v>
      </c>
      <c r="AR552" t="b">
        <f ca="1">OR(AND(IF(Metadata!E552="",FALSE,TRUE),OR(EXACT(Metadata!E552,"not collected"),EXACT(Metadata!E552,"not provided"),EXACT(Metadata!E552,"restricted access"))),AND(IF(Metadata!E552="",FALSE,TRUE),AND(AND(IFERROR(INT(LEFT(Metadata!E552,4))&gt;1900,FALSE),IFERROR(INT(LEFT(Metadata!E552,4))&lt;=YEAR(NOW()),FALSE)), OR(MID(Metadata!E552,5,1)="", AND(AND(MID(Metadata!E552,5,1)="-",IFERROR(INT(MID(Metadata!E552,6,1))&gt;=0,FALSE),IFERROR(INT(MID(Metadata!E552,6,1))&lt;=1,FALSE),NOT(MID(Metadata!E552,7,1)=""),IFERROR(INT(MID(Metadata!E552,6,2))&gt;=1,FALSE),IFERROR(INT(MID(Metadata!E552,6,2))&lt;=12,FALSE)), OR(MID(Metadata!E552,8,1)="", AND(AND(MID(Metadata!E552,8,1)="-",IFERROR(INT(MID(Metadata!E552,9,1))&gt;=0,FALSE),IFERROR(INT(MID(Metadata!E552,9,1))&lt;=3,FALSE),NOT(MID(Metadata!E552,10,1)=""),IFERROR(INT(MID(Metadata!E552,9,2))&gt;=1,FALSE),IFERROR(INT(MID(Metadata!E552,9,2))&lt;=31,FALSE)), OR(MID(Metadata!E552,11,1)="", AND(AND(MID(Metadata!E552,11,1)=" ",IFERROR(INT(MID(Metadata!E552,12,1))&gt;=0,FALSE),IFERROR(INT(MID(Metadata!E552,12,1))&lt;=2,FALSE),NOT(MID(Metadata!E552,13,1)=""),IFERROR(INT(MID(Metadata!E552,12,2))&gt;=0,FALSE),IFERROR(INT(MID(Metadata!E552,12,2))&lt;=23,FALSE)), OR(MID(Metadata!E552,14,1)="", AND(AND(MID(Metadata!E552,14,1)=":",IFERROR(INT(MID(Metadata!E552,15,1))&gt;=0,FALSE),IFERROR(INT(MID(Metadata!E552,15,1))&lt;=5,FALSE),NOT(MID(Metadata!E552,16,1)=""),IFERROR(INT(MID(Metadata!E552,15,2))&gt;=0,FALSE),IFERROR(INT(MID(Metadata!E552,15,2))&lt;=59,FALSE)), OR(MID(Metadata!E552,17,1)="", AND(AND(MID(Metadata!E552,17,1)=":",IFERROR(INT(MID(Metadata!E552,18,1))&gt;=0,FALSE),IFERROR(INT(MID(Metadata!E552,18,1))&lt;=5,FALSE),NOT(MID(Metadata!E552,19,1)=""),IFERROR(INT(MID(Metadata!E552,18,2))&gt;=0,FALSE),IFERROR(INT(MID(Metadata!E552,18,2))&lt;=59,FALSE)), LEN(Metadata!E552)&lt;=19)))))))))))))</f>
        <v>0</v>
      </c>
      <c r="AS552" t="b">
        <f>IF(Metadata!F552="",FALSE,TRUE)</f>
        <v>0</v>
      </c>
      <c r="AT552" t="b">
        <f>OR(AND(IF(Metadata!G552="",FALSE,TRUE),OR(EXACT(Metadata!G552,"not collected"),EXACT(Metadata!G552,"not provided"))),AND(IF(Metadata!G552="",FALSE,TRUE),OR(EXACT(Metadata!G552,"TRUE"),EXACT(Metadata!G552,"FALSE"))))</f>
        <v>0</v>
      </c>
      <c r="AU552" t="b">
        <f>OR(AND(IF(Metadata!H552="",FALSE,TRUE),OR(EXACT(Metadata!H552,"not collected"),EXACT(Metadata!H552,"not provided"),EXACT(Metadata!H552,"restricted access"))),AND(IF(Metadata!H552="",FALSE,ISNUMBER(VALUE(Metadata!H552))),Metadata!H552&gt;=-413))</f>
        <v>0</v>
      </c>
      <c r="AV552" t="b">
        <f>AND(IF(Metadata!I552="",FALSE,TRUE),EXACT(Metadata!I552,"meters"))</f>
        <v>0</v>
      </c>
      <c r="AW552" t="b">
        <f>AND(IF(Metadata!J552="",FALSE,TRUE),EXACT(Metadata!J552,"free-living"))</f>
        <v>0</v>
      </c>
      <c r="AX552" t="b">
        <f>AND(IF(Metadata!K552="",FALSE,TRUE),OR(EXACT(Metadata!K552,"saline"),EXACT(Metadata!K552,"non-saline")))</f>
        <v>0</v>
      </c>
      <c r="AY552" t="b">
        <f>AND(IF(Metadata!L552="",FALSE,TRUE),OR(EXACT(Metadata!L552,"sub-surface (non-saline)"),EXACT(Metadata!L552,"surface (non-saline)"),EXACT(Metadata!L552,"water (non-saline)"),EXACT(Metadata!L552,"soil (non-saline)"),EXACT(Metadata!L552,"aerosol (non-saline)"),EXACT(Metadata!L552,"sediment (non-saline)"),EXACT(Metadata!L552,"surface (saline)"),EXACT(Metadata!L552,"water (saline)"),EXACT(Metadata!L552,"hypersaline (saline)"),EXACT(Metadata!L552,"aerosol (saline)"),EXACT(Metadata!L552,"sediment (saline)")))</f>
        <v>0</v>
      </c>
      <c r="AZ552" t="b">
        <f>IF(Metadata!M552="",FALSE,TRUE)</f>
        <v>0</v>
      </c>
      <c r="BA552" t="b">
        <f>IF(Metadata!N552="",FALSE,TRUE)</f>
        <v>0</v>
      </c>
      <c r="BB552" t="b">
        <f>IF(Metadata!O552="",FALSE,TRUE)</f>
        <v>0</v>
      </c>
      <c r="BC552" t="b">
        <f>AND(IF(Metadata!P552="",FALSE,TRUE),OR(EXACT(Metadata!P552,"air"),EXACT(Metadata!P552,"microbial mat/biofilm"),EXACT(Metadata!P552,"misc environment"),EXACT(Metadata!P552,"sediment"),EXACT(Metadata!P552,"soil"),EXACT(Metadata!P552,"wastewater/sludge"),EXACT(Metadata!P552,"water")))</f>
        <v>0</v>
      </c>
      <c r="BD552" t="b">
        <f>IF(Metadata!Q552="",FALSE,TRUE)</f>
        <v>0</v>
      </c>
      <c r="BE552" t="b">
        <f>IF(Metadata!R552="",FALSE,TRUE)</f>
        <v>0</v>
      </c>
      <c r="BF552" t="b">
        <f>OR(AND(IF(Metadata!S552="",FALSE,TRUE),OR(EXACT(Metadata!S552,"not collected"),EXACT(Metadata!S552,"not provided"),EXACT(Metadata!S552,"restricted access"))),AND(IF(Metadata!S552="",FALSE,ISNUMBER(VALUE(Metadata!S552))),Metadata!S552&gt;=-90,Metadata!S552&lt;=90))</f>
        <v>0</v>
      </c>
      <c r="BG552" t="b">
        <f>AND(IF(Metadata!T552="",FALSE,TRUE),EXACT(Metadata!T552,"Decimal degrees"))</f>
        <v>0</v>
      </c>
      <c r="BH552" t="b">
        <f>OR(AND(IF(Metadata!U552="",FALSE,TRUE),OR(EXACT(Metadata!U552,"not applicable"),EXACT(Metadata!U552,"not collected"))),IF(Metadata!U552="",FALSE,TRUE))</f>
        <v>0</v>
      </c>
      <c r="BI552" t="b">
        <f>OR(AND(IF(Metadata!V552="",FALSE,TRUE),OR(EXACT(Metadata!V552,"not collected"),EXACT(Metadata!V552,"not provided"),EXACT(Metadata!V552,"restricted access"))),AND(IF(Metadata!V552="",FALSE,ISNUMBER(VALUE(Metadata!V552))),Metadata!V552&gt;=-180,Metadata!V552&lt;=180))</f>
        <v>0</v>
      </c>
      <c r="BJ552" t="b">
        <f>AND(IF(Metadata!W552="",FALSE,TRUE),EXACT(Metadata!W552,"Decimal degrees"))</f>
        <v>0</v>
      </c>
      <c r="BK552" t="b">
        <f>IF(Metadata!X552="",FALSE,TRUE)</f>
        <v>0</v>
      </c>
      <c r="BL552" t="b">
        <f>OR(AND(IF(Metadata!Y552="",FALSE,TRUE),OR(EXACT(Metadata!Y552,"not collected"),EXACT(Metadata!Y552,"not provided"),EXACT(Metadata!Y552,"restricted access"))),AND(IF(Metadata!Y552="",FALSE,TRUE),OR(EXACT(Metadata!Y552,"TRUE"),EXACT(Metadata!Y552,"FALSE"))))</f>
        <v>0</v>
      </c>
      <c r="BM552" t="b">
        <f>OR(AND(IF(Metadata!Z552="",FALSE,TRUE),EXACT(Metadata!Z552,"not applicable")),AND(IF(Metadata!Z552="",FALSE,TRUE),OR(EXACT(Metadata!Z552,"beer"),EXACT(Metadata!Z552,"cheese"),EXACT(Metadata!Z552,"fresh water"),EXACT(Metadata!Z552,"marine sediment"),EXACT(Metadata!Z552,"sea water"),EXACT(Metadata!Z552,"sediment"),EXACT(Metadata!Z552,"soil"),EXACT(Metadata!Z552,"waste water"))))</f>
        <v>0</v>
      </c>
      <c r="BN552" t="b">
        <f>AND(IF(Metadata!AA552="",FALSE,TRUE),EXACT(Metadata!AA552,"metagenome"))</f>
        <v>0</v>
      </c>
      <c r="BO552" t="b">
        <f>AND(IF(Metadata!AB552="",FALSE,TRUE),EXACT(Metadata!AB552,"256318"))</f>
        <v>0</v>
      </c>
      <c r="BP552" t="b">
        <f>IF(Metadata!AC552="",FALSE,TRUE)</f>
        <v>0</v>
      </c>
      <c r="BQ552" t="b">
        <f>IF(Metadata!AD552="",FALSE,TRUE)</f>
        <v>0</v>
      </c>
    </row>
    <row r="553" spans="1:69" x14ac:dyDescent="0.2">
      <c r="A553" s="4" t="e">
        <f ca="1">IF(B553=" "," ",HYPERLINK(CONCATENATE("#metadata!",ADDRESS(INDEX($AJ$2:$AJ$1001,MATCH(ROWS($AH$2:AH553),$AH$2:$AH$1001,0),0),2)),INDEX($AM$2:$AM$1001,MATCH(ROWS($AH$2:AH553),$AH$2:$AH$1001,0),0)))</f>
        <v>#N/A</v>
      </c>
      <c r="B553" s="5" t="e">
        <f ca="1">IF(OR(INDEX($AI$2:$AI$1001,MATCH(ROWS($AH$2:AH553),$AH$2:$AH$1001,0),1)&gt;=100000,INDEX($AO$1005:$BQ$1005,1,MATCH(COLUMNS($AO$1006:AO1006),$AO$1006:$BQ$1006,0))&gt;=100000), " ",IF(INDEX($AO$2:$BQ$1001,MATCH(ROWS($AH$2:AH553),$AH$2:$AH$1001,0),MATCH(COLUMNS($AO$1006:AO1006),$AO$1006:$BQ$1006,0)), HYPERLINK("#",""), HYPERLINK(CONCATENATE("#Metadata!", ADDRESS(INDEX($AJ$2:$AJ$1001,MATCH(ROWS($AH$2:AH553),$AH$2:$AH$1001,0),0), INDEX($AO$1004:$BQ$1004,1,MATCH(COLUMNS($AO$1006:AO1006),$AO$1006:$BQ$1006,0)))),"Fix")))</f>
        <v>#N/A</v>
      </c>
      <c r="C553" s="5" t="e">
        <f ca="1">IF(OR(INDEX($AI$2:$AI$1001,MATCH(ROWS($AH$2:AH553),$AH$2:$AH$1001,0),1)&gt;=100000,INDEX($AO$1005:$BQ$1005,1,MATCH(COLUMNS($AO$1006:AP1006),$AO$1006:$BQ$1006,0))&gt;=100000), " ",IF(INDEX($AO$2:$BQ$1001,MATCH(ROWS($AH$2:AH553),$AH$2:$AH$1001,0),MATCH(COLUMNS($AO$1006:AP1006),$AO$1006:$BQ$1006,0)), HYPERLINK("#",""), HYPERLINK(CONCATENATE("#Metadata!", ADDRESS(INDEX($AJ$2:$AJ$1001,MATCH(ROWS($AH$2:AH553),$AH$2:$AH$1001,0),0), INDEX($AO$1004:$BQ$1004,1,MATCH(COLUMNS($AO$1006:AP1006),$AO$1006:$BQ$1006,0)))),"Fix")))</f>
        <v>#N/A</v>
      </c>
      <c r="D553" s="5" t="e">
        <f ca="1">IF(OR(INDEX($AI$2:$AI$1001,MATCH(ROWS($AH$2:AH553),$AH$2:$AH$1001,0),1)&gt;=100000,INDEX($AO$1005:$BQ$1005,1,MATCH(COLUMNS($AO$1006:AQ1006),$AO$1006:$BQ$1006,0))&gt;=100000), " ",IF(INDEX($AO$2:$BQ$1001,MATCH(ROWS($AH$2:AH553),$AH$2:$AH$1001,0),MATCH(COLUMNS($AO$1006:AQ1006),$AO$1006:$BQ$1006,0)), HYPERLINK("#",""), HYPERLINK(CONCATENATE("#Metadata!", ADDRESS(INDEX($AJ$2:$AJ$1001,MATCH(ROWS($AH$2:AH553),$AH$2:$AH$1001,0),0), INDEX($AO$1004:$BQ$1004,1,MATCH(COLUMNS($AO$1006:AQ1006),$AO$1006:$BQ$1006,0)))),"Fix")))</f>
        <v>#N/A</v>
      </c>
      <c r="E553" s="5" t="e">
        <f ca="1">IF(OR(INDEX($AI$2:$AI$1001,MATCH(ROWS($AH$2:AH553),$AH$2:$AH$1001,0),1)&gt;=100000,INDEX($AO$1005:$BQ$1005,1,MATCH(COLUMNS($AO$1006:AR1006),$AO$1006:$BQ$1006,0))&gt;=100000), " ",IF(INDEX($AO$2:$BQ$1001,MATCH(ROWS($AH$2:AH553),$AH$2:$AH$1001,0),MATCH(COLUMNS($AO$1006:AR1006),$AO$1006:$BQ$1006,0)), HYPERLINK("#",""), HYPERLINK(CONCATENATE("#Metadata!", ADDRESS(INDEX($AJ$2:$AJ$1001,MATCH(ROWS($AH$2:AH553),$AH$2:$AH$1001,0),0), INDEX($AO$1004:$BQ$1004,1,MATCH(COLUMNS($AO$1006:AR1006),$AO$1006:$BQ$1006,0)))),"Fix")))</f>
        <v>#N/A</v>
      </c>
      <c r="F553" s="5" t="e">
        <f ca="1">IF(OR(INDEX($AI$2:$AI$1001,MATCH(ROWS($AH$2:AH553),$AH$2:$AH$1001,0),1)&gt;=100000,INDEX($AO$1005:$BQ$1005,1,MATCH(COLUMNS($AO$1006:AS1006),$AO$1006:$BQ$1006,0))&gt;=100000), " ",IF(INDEX($AO$2:$BQ$1001,MATCH(ROWS($AH$2:AH553),$AH$2:$AH$1001,0),MATCH(COLUMNS($AO$1006:AS1006),$AO$1006:$BQ$1006,0)), HYPERLINK("#",""), HYPERLINK(CONCATENATE("#Metadata!", ADDRESS(INDEX($AJ$2:$AJ$1001,MATCH(ROWS($AH$2:AH553),$AH$2:$AH$1001,0),0), INDEX($AO$1004:$BQ$1004,1,MATCH(COLUMNS($AO$1006:AS1006),$AO$1006:$BQ$1006,0)))),"Fix")))</f>
        <v>#N/A</v>
      </c>
      <c r="G553" s="5" t="e">
        <f ca="1">IF(OR(INDEX($AI$2:$AI$1001,MATCH(ROWS($AH$2:AH553),$AH$2:$AH$1001,0),1)&gt;=100000,INDEX($AO$1005:$BQ$1005,1,MATCH(COLUMNS($AO$1006:AT1006),$AO$1006:$BQ$1006,0))&gt;=100000), " ",IF(INDEX($AO$2:$BQ$1001,MATCH(ROWS($AH$2:AH553),$AH$2:$AH$1001,0),MATCH(COLUMNS($AO$1006:AT1006),$AO$1006:$BQ$1006,0)), HYPERLINK("#",""), HYPERLINK(CONCATENATE("#Metadata!", ADDRESS(INDEX($AJ$2:$AJ$1001,MATCH(ROWS($AH$2:AH553),$AH$2:$AH$1001,0),0), INDEX($AO$1004:$BQ$1004,1,MATCH(COLUMNS($AO$1006:AT1006),$AO$1006:$BQ$1006,0)))),"Fix")))</f>
        <v>#N/A</v>
      </c>
      <c r="H553" s="5" t="e">
        <f ca="1">IF(OR(INDEX($AI$2:$AI$1001,MATCH(ROWS($AH$2:AH553),$AH$2:$AH$1001,0),1)&gt;=100000,INDEX($AO$1005:$BQ$1005,1,MATCH(COLUMNS($AO$1006:AU1006),$AO$1006:$BQ$1006,0))&gt;=100000), " ",IF(INDEX($AO$2:$BQ$1001,MATCH(ROWS($AH$2:AH553),$AH$2:$AH$1001,0),MATCH(COLUMNS($AO$1006:AU1006),$AO$1006:$BQ$1006,0)), HYPERLINK("#",""), HYPERLINK(CONCATENATE("#Metadata!", ADDRESS(INDEX($AJ$2:$AJ$1001,MATCH(ROWS($AH$2:AH553),$AH$2:$AH$1001,0),0), INDEX($AO$1004:$BQ$1004,1,MATCH(COLUMNS($AO$1006:AU1006),$AO$1006:$BQ$1006,0)))),"Fix")))</f>
        <v>#N/A</v>
      </c>
      <c r="I553" s="5" t="e">
        <f ca="1">IF(OR(INDEX($AI$2:$AI$1001,MATCH(ROWS($AH$2:AH553),$AH$2:$AH$1001,0),1)&gt;=100000,INDEX($AO$1005:$BQ$1005,1,MATCH(COLUMNS($AO$1006:AV1006),$AO$1006:$BQ$1006,0))&gt;=100000), " ",IF(INDEX($AO$2:$BQ$1001,MATCH(ROWS($AH$2:AH553),$AH$2:$AH$1001,0),MATCH(COLUMNS($AO$1006:AV1006),$AO$1006:$BQ$1006,0)), HYPERLINK("#",""), HYPERLINK(CONCATENATE("#Metadata!", ADDRESS(INDEX($AJ$2:$AJ$1001,MATCH(ROWS($AH$2:AH553),$AH$2:$AH$1001,0),0), INDEX($AO$1004:$BQ$1004,1,MATCH(COLUMNS($AO$1006:AV1006),$AO$1006:$BQ$1006,0)))),"Fix")))</f>
        <v>#N/A</v>
      </c>
      <c r="J553" s="5" t="e">
        <f ca="1">IF(OR(INDEX($AI$2:$AI$1001,MATCH(ROWS($AH$2:AH553),$AH$2:$AH$1001,0),1)&gt;=100000,INDEX($AO$1005:$BQ$1005,1,MATCH(COLUMNS($AO$1006:AW1006),$AO$1006:$BQ$1006,0))&gt;=100000), " ",IF(INDEX($AO$2:$BQ$1001,MATCH(ROWS($AH$2:AH553),$AH$2:$AH$1001,0),MATCH(COLUMNS($AO$1006:AW1006),$AO$1006:$BQ$1006,0)), HYPERLINK("#",""), HYPERLINK(CONCATENATE("#Metadata!", ADDRESS(INDEX($AJ$2:$AJ$1001,MATCH(ROWS($AH$2:AH553),$AH$2:$AH$1001,0),0), INDEX($AO$1004:$BQ$1004,1,MATCH(COLUMNS($AO$1006:AW1006),$AO$1006:$BQ$1006,0)))),"Fix")))</f>
        <v>#N/A</v>
      </c>
      <c r="K553" s="5" t="e">
        <f ca="1">IF(OR(INDEX($AI$2:$AI$1001,MATCH(ROWS($AH$2:AH553),$AH$2:$AH$1001,0),1)&gt;=100000,INDEX($AO$1005:$BQ$1005,1,MATCH(COLUMNS($AO$1006:AX1006),$AO$1006:$BQ$1006,0))&gt;=100000), " ",IF(INDEX($AO$2:$BQ$1001,MATCH(ROWS($AH$2:AH553),$AH$2:$AH$1001,0),MATCH(COLUMNS($AO$1006:AX1006),$AO$1006:$BQ$1006,0)), HYPERLINK("#",""), HYPERLINK(CONCATENATE("#Metadata!", ADDRESS(INDEX($AJ$2:$AJ$1001,MATCH(ROWS($AH$2:AH553),$AH$2:$AH$1001,0),0), INDEX($AO$1004:$BQ$1004,1,MATCH(COLUMNS($AO$1006:AX1006),$AO$1006:$BQ$1006,0)))),"Fix")))</f>
        <v>#N/A</v>
      </c>
      <c r="L553" s="5" t="e">
        <f ca="1">IF(OR(INDEX($AI$2:$AI$1001,MATCH(ROWS($AH$2:AH553),$AH$2:$AH$1001,0),1)&gt;=100000,INDEX($AO$1005:$BQ$1005,1,MATCH(COLUMNS($AO$1006:AY1006),$AO$1006:$BQ$1006,0))&gt;=100000), " ",IF(INDEX($AO$2:$BQ$1001,MATCH(ROWS($AH$2:AH553),$AH$2:$AH$1001,0),MATCH(COLUMNS($AO$1006:AY1006),$AO$1006:$BQ$1006,0)), HYPERLINK("#",""), HYPERLINK(CONCATENATE("#Metadata!", ADDRESS(INDEX($AJ$2:$AJ$1001,MATCH(ROWS($AH$2:AH553),$AH$2:$AH$1001,0),0), INDEX($AO$1004:$BQ$1004,1,MATCH(COLUMNS($AO$1006:AY1006),$AO$1006:$BQ$1006,0)))),"Fix")))</f>
        <v>#N/A</v>
      </c>
      <c r="M553" s="5" t="e">
        <f ca="1">IF(OR(INDEX($AI$2:$AI$1001,MATCH(ROWS($AH$2:AH553),$AH$2:$AH$1001,0),1)&gt;=100000,INDEX($AO$1005:$BQ$1005,1,MATCH(COLUMNS($AO$1006:AZ1006),$AO$1006:$BQ$1006,0))&gt;=100000), " ",IF(INDEX($AO$2:$BQ$1001,MATCH(ROWS($AH$2:AH553),$AH$2:$AH$1001,0),MATCH(COLUMNS($AO$1006:AZ1006),$AO$1006:$BQ$1006,0)), HYPERLINK("#",""), HYPERLINK(CONCATENATE("#Metadata!", ADDRESS(INDEX($AJ$2:$AJ$1001,MATCH(ROWS($AH$2:AH553),$AH$2:$AH$1001,0),0), INDEX($AO$1004:$BQ$1004,1,MATCH(COLUMNS($AO$1006:AZ1006),$AO$1006:$BQ$1006,0)))),"Fix")))</f>
        <v>#N/A</v>
      </c>
      <c r="N553" s="5" t="e">
        <f ca="1">IF(OR(INDEX($AI$2:$AI$1001,MATCH(ROWS($AH$2:AH553),$AH$2:$AH$1001,0),1)&gt;=100000,INDEX($AO$1005:$BQ$1005,1,MATCH(COLUMNS($AO$1006:BA1006),$AO$1006:$BQ$1006,0))&gt;=100000), " ",IF(INDEX($AO$2:$BQ$1001,MATCH(ROWS($AH$2:AH553),$AH$2:$AH$1001,0),MATCH(COLUMNS($AO$1006:BA1006),$AO$1006:$BQ$1006,0)), HYPERLINK("#",""), HYPERLINK(CONCATENATE("#Metadata!", ADDRESS(INDEX($AJ$2:$AJ$1001,MATCH(ROWS($AH$2:AH553),$AH$2:$AH$1001,0),0), INDEX($AO$1004:$BQ$1004,1,MATCH(COLUMNS($AO$1006:BA1006),$AO$1006:$BQ$1006,0)))),"Fix")))</f>
        <v>#N/A</v>
      </c>
      <c r="O553" s="5" t="e">
        <f ca="1">IF(OR(INDEX($AI$2:$AI$1001,MATCH(ROWS($AH$2:AH553),$AH$2:$AH$1001,0),1)&gt;=100000,INDEX($AO$1005:$BQ$1005,1,MATCH(COLUMNS($AO$1006:BB1006),$AO$1006:$BQ$1006,0))&gt;=100000), " ",IF(INDEX($AO$2:$BQ$1001,MATCH(ROWS($AH$2:AH553),$AH$2:$AH$1001,0),MATCH(COLUMNS($AO$1006:BB1006),$AO$1006:$BQ$1006,0)), HYPERLINK("#",""), HYPERLINK(CONCATENATE("#Metadata!", ADDRESS(INDEX($AJ$2:$AJ$1001,MATCH(ROWS($AH$2:AH553),$AH$2:$AH$1001,0),0), INDEX($AO$1004:$BQ$1004,1,MATCH(COLUMNS($AO$1006:BB1006),$AO$1006:$BQ$1006,0)))),"Fix")))</f>
        <v>#N/A</v>
      </c>
      <c r="P553" s="5" t="e">
        <f ca="1">IF(OR(INDEX($AI$2:$AI$1001,MATCH(ROWS($AH$2:AH553),$AH$2:$AH$1001,0),1)&gt;=100000,INDEX($AO$1005:$BQ$1005,1,MATCH(COLUMNS($AO$1006:BC1006),$AO$1006:$BQ$1006,0))&gt;=100000), " ",IF(INDEX($AO$2:$BQ$1001,MATCH(ROWS($AH$2:AH553),$AH$2:$AH$1001,0),MATCH(COLUMNS($AO$1006:BC1006),$AO$1006:$BQ$1006,0)), HYPERLINK("#",""), HYPERLINK(CONCATENATE("#Metadata!", ADDRESS(INDEX($AJ$2:$AJ$1001,MATCH(ROWS($AH$2:AH553),$AH$2:$AH$1001,0),0), INDEX($AO$1004:$BQ$1004,1,MATCH(COLUMNS($AO$1006:BC1006),$AO$1006:$BQ$1006,0)))),"Fix")))</f>
        <v>#N/A</v>
      </c>
      <c r="Q553" s="5" t="e">
        <f ca="1">IF(OR(INDEX($AI$2:$AI$1001,MATCH(ROWS($AH$2:AH553),$AH$2:$AH$1001,0),1)&gt;=100000,INDEX($AO$1005:$BQ$1005,1,MATCH(COLUMNS($AO$1006:BD1006),$AO$1006:$BQ$1006,0))&gt;=100000), " ",IF(INDEX($AO$2:$BQ$1001,MATCH(ROWS($AH$2:AH553),$AH$2:$AH$1001,0),MATCH(COLUMNS($AO$1006:BD1006),$AO$1006:$BQ$1006,0)), HYPERLINK("#",""), HYPERLINK(CONCATENATE("#Metadata!", ADDRESS(INDEX($AJ$2:$AJ$1001,MATCH(ROWS($AH$2:AH553),$AH$2:$AH$1001,0),0), INDEX($AO$1004:$BQ$1004,1,MATCH(COLUMNS($AO$1006:BD1006),$AO$1006:$BQ$1006,0)))),"Fix")))</f>
        <v>#N/A</v>
      </c>
      <c r="R553" s="5" t="e">
        <f ca="1">IF(OR(INDEX($AI$2:$AI$1001,MATCH(ROWS($AH$2:AH553),$AH$2:$AH$1001,0),1)&gt;=100000,INDEX($AO$1005:$BQ$1005,1,MATCH(COLUMNS($AO$1006:BE1006),$AO$1006:$BQ$1006,0))&gt;=100000), " ",IF(INDEX($AO$2:$BQ$1001,MATCH(ROWS($AH$2:AH553),$AH$2:$AH$1001,0),MATCH(COLUMNS($AO$1006:BE1006),$AO$1006:$BQ$1006,0)), HYPERLINK("#",""), HYPERLINK(CONCATENATE("#Metadata!", ADDRESS(INDEX($AJ$2:$AJ$1001,MATCH(ROWS($AH$2:AH553),$AH$2:$AH$1001,0),0), INDEX($AO$1004:$BQ$1004,1,MATCH(COLUMNS($AO$1006:BE1006),$AO$1006:$BQ$1006,0)))),"Fix")))</f>
        <v>#N/A</v>
      </c>
      <c r="S553" s="5" t="e">
        <f ca="1">IF(OR(INDEX($AI$2:$AI$1001,MATCH(ROWS($AH$2:AH553),$AH$2:$AH$1001,0),1)&gt;=100000,INDEX($AO$1005:$BQ$1005,1,MATCH(COLUMNS($AO$1006:BF1006),$AO$1006:$BQ$1006,0))&gt;=100000), " ",IF(INDEX($AO$2:$BQ$1001,MATCH(ROWS($AH$2:AH553),$AH$2:$AH$1001,0),MATCH(COLUMNS($AO$1006:BF1006),$AO$1006:$BQ$1006,0)), HYPERLINK("#",""), HYPERLINK(CONCATENATE("#Metadata!", ADDRESS(INDEX($AJ$2:$AJ$1001,MATCH(ROWS($AH$2:AH553),$AH$2:$AH$1001,0),0), INDEX($AO$1004:$BQ$1004,1,MATCH(COLUMNS($AO$1006:BF1006),$AO$1006:$BQ$1006,0)))),"Fix")))</f>
        <v>#N/A</v>
      </c>
      <c r="T553" s="5" t="e">
        <f ca="1">IF(OR(INDEX($AI$2:$AI$1001,MATCH(ROWS($AH$2:AH553),$AH$2:$AH$1001,0),1)&gt;=100000,INDEX($AO$1005:$BQ$1005,1,MATCH(COLUMNS($AO$1006:BG1006),$AO$1006:$BQ$1006,0))&gt;=100000), " ",IF(INDEX($AO$2:$BQ$1001,MATCH(ROWS($AH$2:AH553),$AH$2:$AH$1001,0),MATCH(COLUMNS($AO$1006:BG1006),$AO$1006:$BQ$1006,0)), HYPERLINK("#",""), HYPERLINK(CONCATENATE("#Metadata!", ADDRESS(INDEX($AJ$2:$AJ$1001,MATCH(ROWS($AH$2:AH553),$AH$2:$AH$1001,0),0), INDEX($AO$1004:$BQ$1004,1,MATCH(COLUMNS($AO$1006:BG1006),$AO$1006:$BQ$1006,0)))),"Fix")))</f>
        <v>#N/A</v>
      </c>
      <c r="U553" s="5" t="e">
        <f ca="1">IF(OR(INDEX($AI$2:$AI$1001,MATCH(ROWS($AH$2:AH553),$AH$2:$AH$1001,0),1)&gt;=100000,INDEX($AO$1005:$BQ$1005,1,MATCH(COLUMNS($AO$1006:BH1006),$AO$1006:$BQ$1006,0))&gt;=100000), " ",IF(INDEX($AO$2:$BQ$1001,MATCH(ROWS($AH$2:AH553),$AH$2:$AH$1001,0),MATCH(COLUMNS($AO$1006:BH1006),$AO$1006:$BQ$1006,0)), HYPERLINK("#",""), HYPERLINK(CONCATENATE("#Metadata!", ADDRESS(INDEX($AJ$2:$AJ$1001,MATCH(ROWS($AH$2:AH553),$AH$2:$AH$1001,0),0), INDEX($AO$1004:$BQ$1004,1,MATCH(COLUMNS($AO$1006:BH1006),$AO$1006:$BQ$1006,0)))),"Fix")))</f>
        <v>#N/A</v>
      </c>
      <c r="V553" s="5" t="e">
        <f ca="1">IF(OR(INDEX($AI$2:$AI$1001,MATCH(ROWS($AH$2:AH553),$AH$2:$AH$1001,0),1)&gt;=100000,INDEX($AO$1005:$BQ$1005,1,MATCH(COLUMNS($AO$1006:BI1006),$AO$1006:$BQ$1006,0))&gt;=100000), " ",IF(INDEX($AO$2:$BQ$1001,MATCH(ROWS($AH$2:AH553),$AH$2:$AH$1001,0),MATCH(COLUMNS($AO$1006:BI1006),$AO$1006:$BQ$1006,0)), HYPERLINK("#",""), HYPERLINK(CONCATENATE("#Metadata!", ADDRESS(INDEX($AJ$2:$AJ$1001,MATCH(ROWS($AH$2:AH553),$AH$2:$AH$1001,0),0), INDEX($AO$1004:$BQ$1004,1,MATCH(COLUMNS($AO$1006:BI1006),$AO$1006:$BQ$1006,0)))),"Fix")))</f>
        <v>#N/A</v>
      </c>
      <c r="W553" s="5" t="e">
        <f ca="1">IF(OR(INDEX($AI$2:$AI$1001,MATCH(ROWS($AH$2:AH553),$AH$2:$AH$1001,0),1)&gt;=100000,INDEX($AO$1005:$BQ$1005,1,MATCH(COLUMNS($AO$1006:BJ1006),$AO$1006:$BQ$1006,0))&gt;=100000), " ",IF(INDEX($AO$2:$BQ$1001,MATCH(ROWS($AH$2:AH553),$AH$2:$AH$1001,0),MATCH(COLUMNS($AO$1006:BJ1006),$AO$1006:$BQ$1006,0)), HYPERLINK("#",""), HYPERLINK(CONCATENATE("#Metadata!", ADDRESS(INDEX($AJ$2:$AJ$1001,MATCH(ROWS($AH$2:AH553),$AH$2:$AH$1001,0),0), INDEX($AO$1004:$BQ$1004,1,MATCH(COLUMNS($AO$1006:BJ1006),$AO$1006:$BQ$1006,0)))),"Fix")))</f>
        <v>#N/A</v>
      </c>
      <c r="X553" s="5" t="e">
        <f ca="1">IF(OR(INDEX($AI$2:$AI$1001,MATCH(ROWS($AH$2:AH553),$AH$2:$AH$1001,0),1)&gt;=100000,INDEX($AO$1005:$BQ$1005,1,MATCH(COLUMNS($AO$1006:BK1006),$AO$1006:$BQ$1006,0))&gt;=100000), " ",IF(INDEX($AO$2:$BQ$1001,MATCH(ROWS($AH$2:AH553),$AH$2:$AH$1001,0),MATCH(COLUMNS($AO$1006:BK1006),$AO$1006:$BQ$1006,0)), HYPERLINK("#",""), HYPERLINK(CONCATENATE("#Metadata!", ADDRESS(INDEX($AJ$2:$AJ$1001,MATCH(ROWS($AH$2:AH553),$AH$2:$AH$1001,0),0), INDEX($AO$1004:$BQ$1004,1,MATCH(COLUMNS($AO$1006:BK1006),$AO$1006:$BQ$1006,0)))),"Fix")))</f>
        <v>#N/A</v>
      </c>
      <c r="Y553" s="5" t="e">
        <f ca="1">IF(OR(INDEX($AI$2:$AI$1001,MATCH(ROWS($AH$2:AH553),$AH$2:$AH$1001,0),1)&gt;=100000,INDEX($AO$1005:$BQ$1005,1,MATCH(COLUMNS($AO$1006:BL1006),$AO$1006:$BQ$1006,0))&gt;=100000), " ",IF(INDEX($AO$2:$BQ$1001,MATCH(ROWS($AH$2:AH553),$AH$2:$AH$1001,0),MATCH(COLUMNS($AO$1006:BL1006),$AO$1006:$BQ$1006,0)), HYPERLINK("#",""), HYPERLINK(CONCATENATE("#Metadata!", ADDRESS(INDEX($AJ$2:$AJ$1001,MATCH(ROWS($AH$2:AH553),$AH$2:$AH$1001,0),0), INDEX($AO$1004:$BQ$1004,1,MATCH(COLUMNS($AO$1006:BL1006),$AO$1006:$BQ$1006,0)))),"Fix")))</f>
        <v>#N/A</v>
      </c>
      <c r="Z553" s="5" t="e">
        <f ca="1">IF(OR(INDEX($AI$2:$AI$1001,MATCH(ROWS($AH$2:AH553),$AH$2:$AH$1001,0),1)&gt;=100000,INDEX($AO$1005:$BQ$1005,1,MATCH(COLUMNS($AO$1006:BM1006),$AO$1006:$BQ$1006,0))&gt;=100000), " ",IF(INDEX($AO$2:$BQ$1001,MATCH(ROWS($AH$2:AH553),$AH$2:$AH$1001,0),MATCH(COLUMNS($AO$1006:BM1006),$AO$1006:$BQ$1006,0)), HYPERLINK("#",""), HYPERLINK(CONCATENATE("#Metadata!", ADDRESS(INDEX($AJ$2:$AJ$1001,MATCH(ROWS($AH$2:AH553),$AH$2:$AH$1001,0),0), INDEX($AO$1004:$BQ$1004,1,MATCH(COLUMNS($AO$1006:BM1006),$AO$1006:$BQ$1006,0)))),"Fix")))</f>
        <v>#N/A</v>
      </c>
      <c r="AA553" s="5" t="e">
        <f ca="1">IF(OR(INDEX($AI$2:$AI$1001,MATCH(ROWS($AH$2:AH553),$AH$2:$AH$1001,0),1)&gt;=100000,INDEX($AO$1005:$BQ$1005,1,MATCH(COLUMNS($AO$1006:BN1006),$AO$1006:$BQ$1006,0))&gt;=100000), " ",IF(INDEX($AO$2:$BQ$1001,MATCH(ROWS($AH$2:AH553),$AH$2:$AH$1001,0),MATCH(COLUMNS($AO$1006:BN1006),$AO$1006:$BQ$1006,0)), HYPERLINK("#",""), HYPERLINK(CONCATENATE("#Metadata!", ADDRESS(INDEX($AJ$2:$AJ$1001,MATCH(ROWS($AH$2:AH553),$AH$2:$AH$1001,0),0), INDEX($AO$1004:$BQ$1004,1,MATCH(COLUMNS($AO$1006:BN1006),$AO$1006:$BQ$1006,0)))),"Fix")))</f>
        <v>#N/A</v>
      </c>
      <c r="AB553" s="5" t="e">
        <f ca="1">IF(OR(INDEX($AI$2:$AI$1001,MATCH(ROWS($AH$2:AH553),$AH$2:$AH$1001,0),1)&gt;=100000,INDEX($AO$1005:$BQ$1005,1,MATCH(COLUMNS($AO$1006:BO1006),$AO$1006:$BQ$1006,0))&gt;=100000), " ",IF(INDEX($AO$2:$BQ$1001,MATCH(ROWS($AH$2:AH553),$AH$2:$AH$1001,0),MATCH(COLUMNS($AO$1006:BO1006),$AO$1006:$BQ$1006,0)), HYPERLINK("#",""), HYPERLINK(CONCATENATE("#Metadata!", ADDRESS(INDEX($AJ$2:$AJ$1001,MATCH(ROWS($AH$2:AH553),$AH$2:$AH$1001,0),0), INDEX($AO$1004:$BQ$1004,1,MATCH(COLUMNS($AO$1006:BO1006),$AO$1006:$BQ$1006,0)))),"Fix")))</f>
        <v>#N/A</v>
      </c>
      <c r="AC553" s="5" t="e">
        <f ca="1">IF(OR(INDEX($AI$2:$AI$1001,MATCH(ROWS($AH$2:AH553),$AH$2:$AH$1001,0),1)&gt;=100000,INDEX($AO$1005:$BQ$1005,1,MATCH(COLUMNS($AO$1006:BP1006),$AO$1006:$BQ$1006,0))&gt;=100000), " ",IF(INDEX($AO$2:$BQ$1001,MATCH(ROWS($AH$2:AH553),$AH$2:$AH$1001,0),MATCH(COLUMNS($AO$1006:BP1006),$AO$1006:$BQ$1006,0)), HYPERLINK("#",""), HYPERLINK(CONCATENATE("#Metadata!", ADDRESS(INDEX($AJ$2:$AJ$1001,MATCH(ROWS($AH$2:AH553),$AH$2:$AH$1001,0),0), INDEX($AO$1004:$BQ$1004,1,MATCH(COLUMNS($AO$1006:BP1006),$AO$1006:$BQ$1006,0)))),"Fix")))</f>
        <v>#N/A</v>
      </c>
      <c r="AD553" s="5" t="e">
        <f ca="1">IF(OR(INDEX($AI$2:$AI$1001,MATCH(ROWS($AH$2:AH553),$AH$2:$AH$1001,0),1)&gt;=100000,INDEX($AO$1005:$BQ$1005,1,MATCH(COLUMNS($AO$1006:BQ1006),$AO$1006:$BQ$1006,0))&gt;=100000), " ",IF(INDEX($AO$2:$BQ$1001,MATCH(ROWS($AH$2:AH553),$AH$2:$AH$1001,0),MATCH(COLUMNS($AO$1006:BQ1006),$AO$1006:$BQ$1006,0)), HYPERLINK("#",""), HYPERLINK(CONCATENATE("#Metadata!", ADDRESS(INDEX($AJ$2:$AJ$1001,MATCH(ROWS($AH$2:AH553),$AH$2:$AH$1001,0),0), INDEX($AO$1004:$BQ$1004,1,MATCH(COLUMNS($AO$1006:BQ1006),$AO$1006:$BQ$1006,0)))),"Fix")))</f>
        <v>#REF!</v>
      </c>
      <c r="AH553">
        <f ca="1"/>
        <v>550</v>
      </c>
      <c r="AI553">
        <v>100553</v>
      </c>
      <c r="AJ553">
        <v>553</v>
      </c>
      <c r="AK553" t="b">
        <f t="shared" si="8"/>
        <v>1</v>
      </c>
      <c r="AL553" t="b">
        <f>COUNTBLANK(Metadata!B553:AD553)=COLUMNS(Metadata!B553:AD553)</f>
        <v>1</v>
      </c>
      <c r="AM553" t="str">
        <v/>
      </c>
      <c r="AO553" t="b">
        <f ca="1">AND(IF(Metadata!B553="",FALSE,TRUE),COUNTIF(Metadata!B:B, Metadata!B553) = 1,NOT(ISERROR(SUMPRODUCT(SEARCH(MID(Metadata!B553,ROW(INDIRECT("1:"&amp;LEN(Metadata!B553))), 1),"0123456789abcdefghijklmnopqrstuvwxyzABCDEFGHIJKLMNOPQRSTUVWXYZ.")))))</f>
        <v>0</v>
      </c>
      <c r="AP553" t="b">
        <f>IF(Metadata!C553="",FALSE,TRUE)</f>
        <v>0</v>
      </c>
      <c r="AQ553" t="b">
        <f>IF(Metadata!D553="",FALSE,TRUE)</f>
        <v>0</v>
      </c>
      <c r="AR553" t="b">
        <f ca="1">OR(AND(IF(Metadata!E553="",FALSE,TRUE),OR(EXACT(Metadata!E553,"not collected"),EXACT(Metadata!E553,"not provided"),EXACT(Metadata!E553,"restricted access"))),AND(IF(Metadata!E553="",FALSE,TRUE),AND(AND(IFERROR(INT(LEFT(Metadata!E553,4))&gt;1900,FALSE),IFERROR(INT(LEFT(Metadata!E553,4))&lt;=YEAR(NOW()),FALSE)), OR(MID(Metadata!E553,5,1)="", AND(AND(MID(Metadata!E553,5,1)="-",IFERROR(INT(MID(Metadata!E553,6,1))&gt;=0,FALSE),IFERROR(INT(MID(Metadata!E553,6,1))&lt;=1,FALSE),NOT(MID(Metadata!E553,7,1)=""),IFERROR(INT(MID(Metadata!E553,6,2))&gt;=1,FALSE),IFERROR(INT(MID(Metadata!E553,6,2))&lt;=12,FALSE)), OR(MID(Metadata!E553,8,1)="", AND(AND(MID(Metadata!E553,8,1)="-",IFERROR(INT(MID(Metadata!E553,9,1))&gt;=0,FALSE),IFERROR(INT(MID(Metadata!E553,9,1))&lt;=3,FALSE),NOT(MID(Metadata!E553,10,1)=""),IFERROR(INT(MID(Metadata!E553,9,2))&gt;=1,FALSE),IFERROR(INT(MID(Metadata!E553,9,2))&lt;=31,FALSE)), OR(MID(Metadata!E553,11,1)="", AND(AND(MID(Metadata!E553,11,1)=" ",IFERROR(INT(MID(Metadata!E553,12,1))&gt;=0,FALSE),IFERROR(INT(MID(Metadata!E553,12,1))&lt;=2,FALSE),NOT(MID(Metadata!E553,13,1)=""),IFERROR(INT(MID(Metadata!E553,12,2))&gt;=0,FALSE),IFERROR(INT(MID(Metadata!E553,12,2))&lt;=23,FALSE)), OR(MID(Metadata!E553,14,1)="", AND(AND(MID(Metadata!E553,14,1)=":",IFERROR(INT(MID(Metadata!E553,15,1))&gt;=0,FALSE),IFERROR(INT(MID(Metadata!E553,15,1))&lt;=5,FALSE),NOT(MID(Metadata!E553,16,1)=""),IFERROR(INT(MID(Metadata!E553,15,2))&gt;=0,FALSE),IFERROR(INT(MID(Metadata!E553,15,2))&lt;=59,FALSE)), OR(MID(Metadata!E553,17,1)="", AND(AND(MID(Metadata!E553,17,1)=":",IFERROR(INT(MID(Metadata!E553,18,1))&gt;=0,FALSE),IFERROR(INT(MID(Metadata!E553,18,1))&lt;=5,FALSE),NOT(MID(Metadata!E553,19,1)=""),IFERROR(INT(MID(Metadata!E553,18,2))&gt;=0,FALSE),IFERROR(INT(MID(Metadata!E553,18,2))&lt;=59,FALSE)), LEN(Metadata!E553)&lt;=19)))))))))))))</f>
        <v>0</v>
      </c>
      <c r="AS553" t="b">
        <f>IF(Metadata!F553="",FALSE,TRUE)</f>
        <v>0</v>
      </c>
      <c r="AT553" t="b">
        <f>OR(AND(IF(Metadata!G553="",FALSE,TRUE),OR(EXACT(Metadata!G553,"not collected"),EXACT(Metadata!G553,"not provided"))),AND(IF(Metadata!G553="",FALSE,TRUE),OR(EXACT(Metadata!G553,"TRUE"),EXACT(Metadata!G553,"FALSE"))))</f>
        <v>0</v>
      </c>
      <c r="AU553" t="b">
        <f>OR(AND(IF(Metadata!H553="",FALSE,TRUE),OR(EXACT(Metadata!H553,"not collected"),EXACT(Metadata!H553,"not provided"),EXACT(Metadata!H553,"restricted access"))),AND(IF(Metadata!H553="",FALSE,ISNUMBER(VALUE(Metadata!H553))),Metadata!H553&gt;=-413))</f>
        <v>0</v>
      </c>
      <c r="AV553" t="b">
        <f>AND(IF(Metadata!I553="",FALSE,TRUE),EXACT(Metadata!I553,"meters"))</f>
        <v>0</v>
      </c>
      <c r="AW553" t="b">
        <f>AND(IF(Metadata!J553="",FALSE,TRUE),EXACT(Metadata!J553,"free-living"))</f>
        <v>0</v>
      </c>
      <c r="AX553" t="b">
        <f>AND(IF(Metadata!K553="",FALSE,TRUE),OR(EXACT(Metadata!K553,"saline"),EXACT(Metadata!K553,"non-saline")))</f>
        <v>0</v>
      </c>
      <c r="AY553" t="b">
        <f>AND(IF(Metadata!L553="",FALSE,TRUE),OR(EXACT(Metadata!L553,"sub-surface (non-saline)"),EXACT(Metadata!L553,"surface (non-saline)"),EXACT(Metadata!L553,"water (non-saline)"),EXACT(Metadata!L553,"soil (non-saline)"),EXACT(Metadata!L553,"aerosol (non-saline)"),EXACT(Metadata!L553,"sediment (non-saline)"),EXACT(Metadata!L553,"surface (saline)"),EXACT(Metadata!L553,"water (saline)"),EXACT(Metadata!L553,"hypersaline (saline)"),EXACT(Metadata!L553,"aerosol (saline)"),EXACT(Metadata!L553,"sediment (saline)")))</f>
        <v>0</v>
      </c>
      <c r="AZ553" t="b">
        <f>IF(Metadata!M553="",FALSE,TRUE)</f>
        <v>0</v>
      </c>
      <c r="BA553" t="b">
        <f>IF(Metadata!N553="",FALSE,TRUE)</f>
        <v>0</v>
      </c>
      <c r="BB553" t="b">
        <f>IF(Metadata!O553="",FALSE,TRUE)</f>
        <v>0</v>
      </c>
      <c r="BC553" t="b">
        <f>AND(IF(Metadata!P553="",FALSE,TRUE),OR(EXACT(Metadata!P553,"air"),EXACT(Metadata!P553,"microbial mat/biofilm"),EXACT(Metadata!P553,"misc environment"),EXACT(Metadata!P553,"sediment"),EXACT(Metadata!P553,"soil"),EXACT(Metadata!P553,"wastewater/sludge"),EXACT(Metadata!P553,"water")))</f>
        <v>0</v>
      </c>
      <c r="BD553" t="b">
        <f>IF(Metadata!Q553="",FALSE,TRUE)</f>
        <v>0</v>
      </c>
      <c r="BE553" t="b">
        <f>IF(Metadata!R553="",FALSE,TRUE)</f>
        <v>0</v>
      </c>
      <c r="BF553" t="b">
        <f>OR(AND(IF(Metadata!S553="",FALSE,TRUE),OR(EXACT(Metadata!S553,"not collected"),EXACT(Metadata!S553,"not provided"),EXACT(Metadata!S553,"restricted access"))),AND(IF(Metadata!S553="",FALSE,ISNUMBER(VALUE(Metadata!S553))),Metadata!S553&gt;=-90,Metadata!S553&lt;=90))</f>
        <v>0</v>
      </c>
      <c r="BG553" t="b">
        <f>AND(IF(Metadata!T553="",FALSE,TRUE),EXACT(Metadata!T553,"Decimal degrees"))</f>
        <v>0</v>
      </c>
      <c r="BH553" t="b">
        <f>OR(AND(IF(Metadata!U553="",FALSE,TRUE),OR(EXACT(Metadata!U553,"not applicable"),EXACT(Metadata!U553,"not collected"))),IF(Metadata!U553="",FALSE,TRUE))</f>
        <v>0</v>
      </c>
      <c r="BI553" t="b">
        <f>OR(AND(IF(Metadata!V553="",FALSE,TRUE),OR(EXACT(Metadata!V553,"not collected"),EXACT(Metadata!V553,"not provided"),EXACT(Metadata!V553,"restricted access"))),AND(IF(Metadata!V553="",FALSE,ISNUMBER(VALUE(Metadata!V553))),Metadata!V553&gt;=-180,Metadata!V553&lt;=180))</f>
        <v>0</v>
      </c>
      <c r="BJ553" t="b">
        <f>AND(IF(Metadata!W553="",FALSE,TRUE),EXACT(Metadata!W553,"Decimal degrees"))</f>
        <v>0</v>
      </c>
      <c r="BK553" t="b">
        <f>IF(Metadata!X553="",FALSE,TRUE)</f>
        <v>0</v>
      </c>
      <c r="BL553" t="b">
        <f>OR(AND(IF(Metadata!Y553="",FALSE,TRUE),OR(EXACT(Metadata!Y553,"not collected"),EXACT(Metadata!Y553,"not provided"),EXACT(Metadata!Y553,"restricted access"))),AND(IF(Metadata!Y553="",FALSE,TRUE),OR(EXACT(Metadata!Y553,"TRUE"),EXACT(Metadata!Y553,"FALSE"))))</f>
        <v>0</v>
      </c>
      <c r="BM553" t="b">
        <f>OR(AND(IF(Metadata!Z553="",FALSE,TRUE),EXACT(Metadata!Z553,"not applicable")),AND(IF(Metadata!Z553="",FALSE,TRUE),OR(EXACT(Metadata!Z553,"beer"),EXACT(Metadata!Z553,"cheese"),EXACT(Metadata!Z553,"fresh water"),EXACT(Metadata!Z553,"marine sediment"),EXACT(Metadata!Z553,"sea water"),EXACT(Metadata!Z553,"sediment"),EXACT(Metadata!Z553,"soil"),EXACT(Metadata!Z553,"waste water"))))</f>
        <v>0</v>
      </c>
      <c r="BN553" t="b">
        <f>AND(IF(Metadata!AA553="",FALSE,TRUE),EXACT(Metadata!AA553,"metagenome"))</f>
        <v>0</v>
      </c>
      <c r="BO553" t="b">
        <f>AND(IF(Metadata!AB553="",FALSE,TRUE),EXACT(Metadata!AB553,"256318"))</f>
        <v>0</v>
      </c>
      <c r="BP553" t="b">
        <f>IF(Metadata!AC553="",FALSE,TRUE)</f>
        <v>0</v>
      </c>
      <c r="BQ553" t="b">
        <f>IF(Metadata!AD553="",FALSE,TRUE)</f>
        <v>0</v>
      </c>
    </row>
    <row r="554" spans="1:69" x14ac:dyDescent="0.2">
      <c r="A554" s="4" t="e">
        <f ca="1">IF(B554=" "," ",HYPERLINK(CONCATENATE("#metadata!",ADDRESS(INDEX($AJ$2:$AJ$1001,MATCH(ROWS($AH$2:AH554),$AH$2:$AH$1001,0),0),2)),INDEX($AM$2:$AM$1001,MATCH(ROWS($AH$2:AH554),$AH$2:$AH$1001,0),0)))</f>
        <v>#N/A</v>
      </c>
      <c r="B554" s="5" t="e">
        <f ca="1">IF(OR(INDEX($AI$2:$AI$1001,MATCH(ROWS($AH$2:AH554),$AH$2:$AH$1001,0),1)&gt;=100000,INDEX($AO$1005:$BQ$1005,1,MATCH(COLUMNS($AO$1006:AO1006),$AO$1006:$BQ$1006,0))&gt;=100000), " ",IF(INDEX($AO$2:$BQ$1001,MATCH(ROWS($AH$2:AH554),$AH$2:$AH$1001,0),MATCH(COLUMNS($AO$1006:AO1006),$AO$1006:$BQ$1006,0)), HYPERLINK("#",""), HYPERLINK(CONCATENATE("#Metadata!", ADDRESS(INDEX($AJ$2:$AJ$1001,MATCH(ROWS($AH$2:AH554),$AH$2:$AH$1001,0),0), INDEX($AO$1004:$BQ$1004,1,MATCH(COLUMNS($AO$1006:AO1006),$AO$1006:$BQ$1006,0)))),"Fix")))</f>
        <v>#N/A</v>
      </c>
      <c r="C554" s="5" t="e">
        <f ca="1">IF(OR(INDEX($AI$2:$AI$1001,MATCH(ROWS($AH$2:AH554),$AH$2:$AH$1001,0),1)&gt;=100000,INDEX($AO$1005:$BQ$1005,1,MATCH(COLUMNS($AO$1006:AP1006),$AO$1006:$BQ$1006,0))&gt;=100000), " ",IF(INDEX($AO$2:$BQ$1001,MATCH(ROWS($AH$2:AH554),$AH$2:$AH$1001,0),MATCH(COLUMNS($AO$1006:AP1006),$AO$1006:$BQ$1006,0)), HYPERLINK("#",""), HYPERLINK(CONCATENATE("#Metadata!", ADDRESS(INDEX($AJ$2:$AJ$1001,MATCH(ROWS($AH$2:AH554),$AH$2:$AH$1001,0),0), INDEX($AO$1004:$BQ$1004,1,MATCH(COLUMNS($AO$1006:AP1006),$AO$1006:$BQ$1006,0)))),"Fix")))</f>
        <v>#N/A</v>
      </c>
      <c r="D554" s="5" t="e">
        <f ca="1">IF(OR(INDEX($AI$2:$AI$1001,MATCH(ROWS($AH$2:AH554),$AH$2:$AH$1001,0),1)&gt;=100000,INDEX($AO$1005:$BQ$1005,1,MATCH(COLUMNS($AO$1006:AQ1006),$AO$1006:$BQ$1006,0))&gt;=100000), " ",IF(INDEX($AO$2:$BQ$1001,MATCH(ROWS($AH$2:AH554),$AH$2:$AH$1001,0),MATCH(COLUMNS($AO$1006:AQ1006),$AO$1006:$BQ$1006,0)), HYPERLINK("#",""), HYPERLINK(CONCATENATE("#Metadata!", ADDRESS(INDEX($AJ$2:$AJ$1001,MATCH(ROWS($AH$2:AH554),$AH$2:$AH$1001,0),0), INDEX($AO$1004:$BQ$1004,1,MATCH(COLUMNS($AO$1006:AQ1006),$AO$1006:$BQ$1006,0)))),"Fix")))</f>
        <v>#N/A</v>
      </c>
      <c r="E554" s="5" t="e">
        <f ca="1">IF(OR(INDEX($AI$2:$AI$1001,MATCH(ROWS($AH$2:AH554),$AH$2:$AH$1001,0),1)&gt;=100000,INDEX($AO$1005:$BQ$1005,1,MATCH(COLUMNS($AO$1006:AR1006),$AO$1006:$BQ$1006,0))&gt;=100000), " ",IF(INDEX($AO$2:$BQ$1001,MATCH(ROWS($AH$2:AH554),$AH$2:$AH$1001,0),MATCH(COLUMNS($AO$1006:AR1006),$AO$1006:$BQ$1006,0)), HYPERLINK("#",""), HYPERLINK(CONCATENATE("#Metadata!", ADDRESS(INDEX($AJ$2:$AJ$1001,MATCH(ROWS($AH$2:AH554),$AH$2:$AH$1001,0),0), INDEX($AO$1004:$BQ$1004,1,MATCH(COLUMNS($AO$1006:AR1006),$AO$1006:$BQ$1006,0)))),"Fix")))</f>
        <v>#N/A</v>
      </c>
      <c r="F554" s="5" t="e">
        <f ca="1">IF(OR(INDEX($AI$2:$AI$1001,MATCH(ROWS($AH$2:AH554),$AH$2:$AH$1001,0),1)&gt;=100000,INDEX($AO$1005:$BQ$1005,1,MATCH(COLUMNS($AO$1006:AS1006),$AO$1006:$BQ$1006,0))&gt;=100000), " ",IF(INDEX($AO$2:$BQ$1001,MATCH(ROWS($AH$2:AH554),$AH$2:$AH$1001,0),MATCH(COLUMNS($AO$1006:AS1006),$AO$1006:$BQ$1006,0)), HYPERLINK("#",""), HYPERLINK(CONCATENATE("#Metadata!", ADDRESS(INDEX($AJ$2:$AJ$1001,MATCH(ROWS($AH$2:AH554),$AH$2:$AH$1001,0),0), INDEX($AO$1004:$BQ$1004,1,MATCH(COLUMNS($AO$1006:AS1006),$AO$1006:$BQ$1006,0)))),"Fix")))</f>
        <v>#N/A</v>
      </c>
      <c r="G554" s="5" t="e">
        <f ca="1">IF(OR(INDEX($AI$2:$AI$1001,MATCH(ROWS($AH$2:AH554),$AH$2:$AH$1001,0),1)&gt;=100000,INDEX($AO$1005:$BQ$1005,1,MATCH(COLUMNS($AO$1006:AT1006),$AO$1006:$BQ$1006,0))&gt;=100000), " ",IF(INDEX($AO$2:$BQ$1001,MATCH(ROWS($AH$2:AH554),$AH$2:$AH$1001,0),MATCH(COLUMNS($AO$1006:AT1006),$AO$1006:$BQ$1006,0)), HYPERLINK("#",""), HYPERLINK(CONCATENATE("#Metadata!", ADDRESS(INDEX($AJ$2:$AJ$1001,MATCH(ROWS($AH$2:AH554),$AH$2:$AH$1001,0),0), INDEX($AO$1004:$BQ$1004,1,MATCH(COLUMNS($AO$1006:AT1006),$AO$1006:$BQ$1006,0)))),"Fix")))</f>
        <v>#N/A</v>
      </c>
      <c r="H554" s="5" t="e">
        <f ca="1">IF(OR(INDEX($AI$2:$AI$1001,MATCH(ROWS($AH$2:AH554),$AH$2:$AH$1001,0),1)&gt;=100000,INDEX($AO$1005:$BQ$1005,1,MATCH(COLUMNS($AO$1006:AU1006),$AO$1006:$BQ$1006,0))&gt;=100000), " ",IF(INDEX($AO$2:$BQ$1001,MATCH(ROWS($AH$2:AH554),$AH$2:$AH$1001,0),MATCH(COLUMNS($AO$1006:AU1006),$AO$1006:$BQ$1006,0)), HYPERLINK("#",""), HYPERLINK(CONCATENATE("#Metadata!", ADDRESS(INDEX($AJ$2:$AJ$1001,MATCH(ROWS($AH$2:AH554),$AH$2:$AH$1001,0),0), INDEX($AO$1004:$BQ$1004,1,MATCH(COLUMNS($AO$1006:AU1006),$AO$1006:$BQ$1006,0)))),"Fix")))</f>
        <v>#N/A</v>
      </c>
      <c r="I554" s="5" t="e">
        <f ca="1">IF(OR(INDEX($AI$2:$AI$1001,MATCH(ROWS($AH$2:AH554),$AH$2:$AH$1001,0),1)&gt;=100000,INDEX($AO$1005:$BQ$1005,1,MATCH(COLUMNS($AO$1006:AV1006),$AO$1006:$BQ$1006,0))&gt;=100000), " ",IF(INDEX($AO$2:$BQ$1001,MATCH(ROWS($AH$2:AH554),$AH$2:$AH$1001,0),MATCH(COLUMNS($AO$1006:AV1006),$AO$1006:$BQ$1006,0)), HYPERLINK("#",""), HYPERLINK(CONCATENATE("#Metadata!", ADDRESS(INDEX($AJ$2:$AJ$1001,MATCH(ROWS($AH$2:AH554),$AH$2:$AH$1001,0),0), INDEX($AO$1004:$BQ$1004,1,MATCH(COLUMNS($AO$1006:AV1006),$AO$1006:$BQ$1006,0)))),"Fix")))</f>
        <v>#N/A</v>
      </c>
      <c r="J554" s="5" t="e">
        <f ca="1">IF(OR(INDEX($AI$2:$AI$1001,MATCH(ROWS($AH$2:AH554),$AH$2:$AH$1001,0),1)&gt;=100000,INDEX($AO$1005:$BQ$1005,1,MATCH(COLUMNS($AO$1006:AW1006),$AO$1006:$BQ$1006,0))&gt;=100000), " ",IF(INDEX($AO$2:$BQ$1001,MATCH(ROWS($AH$2:AH554),$AH$2:$AH$1001,0),MATCH(COLUMNS($AO$1006:AW1006),$AO$1006:$BQ$1006,0)), HYPERLINK("#",""), HYPERLINK(CONCATENATE("#Metadata!", ADDRESS(INDEX($AJ$2:$AJ$1001,MATCH(ROWS($AH$2:AH554),$AH$2:$AH$1001,0),0), INDEX($AO$1004:$BQ$1004,1,MATCH(COLUMNS($AO$1006:AW1006),$AO$1006:$BQ$1006,0)))),"Fix")))</f>
        <v>#N/A</v>
      </c>
      <c r="K554" s="5" t="e">
        <f ca="1">IF(OR(INDEX($AI$2:$AI$1001,MATCH(ROWS($AH$2:AH554),$AH$2:$AH$1001,0),1)&gt;=100000,INDEX($AO$1005:$BQ$1005,1,MATCH(COLUMNS($AO$1006:AX1006),$AO$1006:$BQ$1006,0))&gt;=100000), " ",IF(INDEX($AO$2:$BQ$1001,MATCH(ROWS($AH$2:AH554),$AH$2:$AH$1001,0),MATCH(COLUMNS($AO$1006:AX1006),$AO$1006:$BQ$1006,0)), HYPERLINK("#",""), HYPERLINK(CONCATENATE("#Metadata!", ADDRESS(INDEX($AJ$2:$AJ$1001,MATCH(ROWS($AH$2:AH554),$AH$2:$AH$1001,0),0), INDEX($AO$1004:$BQ$1004,1,MATCH(COLUMNS($AO$1006:AX1006),$AO$1006:$BQ$1006,0)))),"Fix")))</f>
        <v>#N/A</v>
      </c>
      <c r="L554" s="5" t="e">
        <f ca="1">IF(OR(INDEX($AI$2:$AI$1001,MATCH(ROWS($AH$2:AH554),$AH$2:$AH$1001,0),1)&gt;=100000,INDEX($AO$1005:$BQ$1005,1,MATCH(COLUMNS($AO$1006:AY1006),$AO$1006:$BQ$1006,0))&gt;=100000), " ",IF(INDEX($AO$2:$BQ$1001,MATCH(ROWS($AH$2:AH554),$AH$2:$AH$1001,0),MATCH(COLUMNS($AO$1006:AY1006),$AO$1006:$BQ$1006,0)), HYPERLINK("#",""), HYPERLINK(CONCATENATE("#Metadata!", ADDRESS(INDEX($AJ$2:$AJ$1001,MATCH(ROWS($AH$2:AH554),$AH$2:$AH$1001,0),0), INDEX($AO$1004:$BQ$1004,1,MATCH(COLUMNS($AO$1006:AY1006),$AO$1006:$BQ$1006,0)))),"Fix")))</f>
        <v>#N/A</v>
      </c>
      <c r="M554" s="5" t="e">
        <f ca="1">IF(OR(INDEX($AI$2:$AI$1001,MATCH(ROWS($AH$2:AH554),$AH$2:$AH$1001,0),1)&gt;=100000,INDEX($AO$1005:$BQ$1005,1,MATCH(COLUMNS($AO$1006:AZ1006),$AO$1006:$BQ$1006,0))&gt;=100000), " ",IF(INDEX($AO$2:$BQ$1001,MATCH(ROWS($AH$2:AH554),$AH$2:$AH$1001,0),MATCH(COLUMNS($AO$1006:AZ1006),$AO$1006:$BQ$1006,0)), HYPERLINK("#",""), HYPERLINK(CONCATENATE("#Metadata!", ADDRESS(INDEX($AJ$2:$AJ$1001,MATCH(ROWS($AH$2:AH554),$AH$2:$AH$1001,0),0), INDEX($AO$1004:$BQ$1004,1,MATCH(COLUMNS($AO$1006:AZ1006),$AO$1006:$BQ$1006,0)))),"Fix")))</f>
        <v>#N/A</v>
      </c>
      <c r="N554" s="5" t="e">
        <f ca="1">IF(OR(INDEX($AI$2:$AI$1001,MATCH(ROWS($AH$2:AH554),$AH$2:$AH$1001,0),1)&gt;=100000,INDEX($AO$1005:$BQ$1005,1,MATCH(COLUMNS($AO$1006:BA1006),$AO$1006:$BQ$1006,0))&gt;=100000), " ",IF(INDEX($AO$2:$BQ$1001,MATCH(ROWS($AH$2:AH554),$AH$2:$AH$1001,0),MATCH(COLUMNS($AO$1006:BA1006),$AO$1006:$BQ$1006,0)), HYPERLINK("#",""), HYPERLINK(CONCATENATE("#Metadata!", ADDRESS(INDEX($AJ$2:$AJ$1001,MATCH(ROWS($AH$2:AH554),$AH$2:$AH$1001,0),0), INDEX($AO$1004:$BQ$1004,1,MATCH(COLUMNS($AO$1006:BA1006),$AO$1006:$BQ$1006,0)))),"Fix")))</f>
        <v>#N/A</v>
      </c>
      <c r="O554" s="5" t="e">
        <f ca="1">IF(OR(INDEX($AI$2:$AI$1001,MATCH(ROWS($AH$2:AH554),$AH$2:$AH$1001,0),1)&gt;=100000,INDEX($AO$1005:$BQ$1005,1,MATCH(COLUMNS($AO$1006:BB1006),$AO$1006:$BQ$1006,0))&gt;=100000), " ",IF(INDEX($AO$2:$BQ$1001,MATCH(ROWS($AH$2:AH554),$AH$2:$AH$1001,0),MATCH(COLUMNS($AO$1006:BB1006),$AO$1006:$BQ$1006,0)), HYPERLINK("#",""), HYPERLINK(CONCATENATE("#Metadata!", ADDRESS(INDEX($AJ$2:$AJ$1001,MATCH(ROWS($AH$2:AH554),$AH$2:$AH$1001,0),0), INDEX($AO$1004:$BQ$1004,1,MATCH(COLUMNS($AO$1006:BB1006),$AO$1006:$BQ$1006,0)))),"Fix")))</f>
        <v>#N/A</v>
      </c>
      <c r="P554" s="5" t="e">
        <f ca="1">IF(OR(INDEX($AI$2:$AI$1001,MATCH(ROWS($AH$2:AH554),$AH$2:$AH$1001,0),1)&gt;=100000,INDEX($AO$1005:$BQ$1005,1,MATCH(COLUMNS($AO$1006:BC1006),$AO$1006:$BQ$1006,0))&gt;=100000), " ",IF(INDEX($AO$2:$BQ$1001,MATCH(ROWS($AH$2:AH554),$AH$2:$AH$1001,0),MATCH(COLUMNS($AO$1006:BC1006),$AO$1006:$BQ$1006,0)), HYPERLINK("#",""), HYPERLINK(CONCATENATE("#Metadata!", ADDRESS(INDEX($AJ$2:$AJ$1001,MATCH(ROWS($AH$2:AH554),$AH$2:$AH$1001,0),0), INDEX($AO$1004:$BQ$1004,1,MATCH(COLUMNS($AO$1006:BC1006),$AO$1006:$BQ$1006,0)))),"Fix")))</f>
        <v>#N/A</v>
      </c>
      <c r="Q554" s="5" t="e">
        <f ca="1">IF(OR(INDEX($AI$2:$AI$1001,MATCH(ROWS($AH$2:AH554),$AH$2:$AH$1001,0),1)&gt;=100000,INDEX($AO$1005:$BQ$1005,1,MATCH(COLUMNS($AO$1006:BD1006),$AO$1006:$BQ$1006,0))&gt;=100000), " ",IF(INDEX($AO$2:$BQ$1001,MATCH(ROWS($AH$2:AH554),$AH$2:$AH$1001,0),MATCH(COLUMNS($AO$1006:BD1006),$AO$1006:$BQ$1006,0)), HYPERLINK("#",""), HYPERLINK(CONCATENATE("#Metadata!", ADDRESS(INDEX($AJ$2:$AJ$1001,MATCH(ROWS($AH$2:AH554),$AH$2:$AH$1001,0),0), INDEX($AO$1004:$BQ$1004,1,MATCH(COLUMNS($AO$1006:BD1006),$AO$1006:$BQ$1006,0)))),"Fix")))</f>
        <v>#N/A</v>
      </c>
      <c r="R554" s="5" t="e">
        <f ca="1">IF(OR(INDEX($AI$2:$AI$1001,MATCH(ROWS($AH$2:AH554),$AH$2:$AH$1001,0),1)&gt;=100000,INDEX($AO$1005:$BQ$1005,1,MATCH(COLUMNS($AO$1006:BE1006),$AO$1006:$BQ$1006,0))&gt;=100000), " ",IF(INDEX($AO$2:$BQ$1001,MATCH(ROWS($AH$2:AH554),$AH$2:$AH$1001,0),MATCH(COLUMNS($AO$1006:BE1006),$AO$1006:$BQ$1006,0)), HYPERLINK("#",""), HYPERLINK(CONCATENATE("#Metadata!", ADDRESS(INDEX($AJ$2:$AJ$1001,MATCH(ROWS($AH$2:AH554),$AH$2:$AH$1001,0),0), INDEX($AO$1004:$BQ$1004,1,MATCH(COLUMNS($AO$1006:BE1006),$AO$1006:$BQ$1006,0)))),"Fix")))</f>
        <v>#N/A</v>
      </c>
      <c r="S554" s="5" t="e">
        <f ca="1">IF(OR(INDEX($AI$2:$AI$1001,MATCH(ROWS($AH$2:AH554),$AH$2:$AH$1001,0),1)&gt;=100000,INDEX($AO$1005:$BQ$1005,1,MATCH(COLUMNS($AO$1006:BF1006),$AO$1006:$BQ$1006,0))&gt;=100000), " ",IF(INDEX($AO$2:$BQ$1001,MATCH(ROWS($AH$2:AH554),$AH$2:$AH$1001,0),MATCH(COLUMNS($AO$1006:BF1006),$AO$1006:$BQ$1006,0)), HYPERLINK("#",""), HYPERLINK(CONCATENATE("#Metadata!", ADDRESS(INDEX($AJ$2:$AJ$1001,MATCH(ROWS($AH$2:AH554),$AH$2:$AH$1001,0),0), INDEX($AO$1004:$BQ$1004,1,MATCH(COLUMNS($AO$1006:BF1006),$AO$1006:$BQ$1006,0)))),"Fix")))</f>
        <v>#N/A</v>
      </c>
      <c r="T554" s="5" t="e">
        <f ca="1">IF(OR(INDEX($AI$2:$AI$1001,MATCH(ROWS($AH$2:AH554),$AH$2:$AH$1001,0),1)&gt;=100000,INDEX($AO$1005:$BQ$1005,1,MATCH(COLUMNS($AO$1006:BG1006),$AO$1006:$BQ$1006,0))&gt;=100000), " ",IF(INDEX($AO$2:$BQ$1001,MATCH(ROWS($AH$2:AH554),$AH$2:$AH$1001,0),MATCH(COLUMNS($AO$1006:BG1006),$AO$1006:$BQ$1006,0)), HYPERLINK("#",""), HYPERLINK(CONCATENATE("#Metadata!", ADDRESS(INDEX($AJ$2:$AJ$1001,MATCH(ROWS($AH$2:AH554),$AH$2:$AH$1001,0),0), INDEX($AO$1004:$BQ$1004,1,MATCH(COLUMNS($AO$1006:BG1006),$AO$1006:$BQ$1006,0)))),"Fix")))</f>
        <v>#N/A</v>
      </c>
      <c r="U554" s="5" t="e">
        <f ca="1">IF(OR(INDEX($AI$2:$AI$1001,MATCH(ROWS($AH$2:AH554),$AH$2:$AH$1001,0),1)&gt;=100000,INDEX($AO$1005:$BQ$1005,1,MATCH(COLUMNS($AO$1006:BH1006),$AO$1006:$BQ$1006,0))&gt;=100000), " ",IF(INDEX($AO$2:$BQ$1001,MATCH(ROWS($AH$2:AH554),$AH$2:$AH$1001,0),MATCH(COLUMNS($AO$1006:BH1006),$AO$1006:$BQ$1006,0)), HYPERLINK("#",""), HYPERLINK(CONCATENATE("#Metadata!", ADDRESS(INDEX($AJ$2:$AJ$1001,MATCH(ROWS($AH$2:AH554),$AH$2:$AH$1001,0),0), INDEX($AO$1004:$BQ$1004,1,MATCH(COLUMNS($AO$1006:BH1006),$AO$1006:$BQ$1006,0)))),"Fix")))</f>
        <v>#N/A</v>
      </c>
      <c r="V554" s="5" t="e">
        <f ca="1">IF(OR(INDEX($AI$2:$AI$1001,MATCH(ROWS($AH$2:AH554),$AH$2:$AH$1001,0),1)&gt;=100000,INDEX($AO$1005:$BQ$1005,1,MATCH(COLUMNS($AO$1006:BI1006),$AO$1006:$BQ$1006,0))&gt;=100000), " ",IF(INDEX($AO$2:$BQ$1001,MATCH(ROWS($AH$2:AH554),$AH$2:$AH$1001,0),MATCH(COLUMNS($AO$1006:BI1006),$AO$1006:$BQ$1006,0)), HYPERLINK("#",""), HYPERLINK(CONCATENATE("#Metadata!", ADDRESS(INDEX($AJ$2:$AJ$1001,MATCH(ROWS($AH$2:AH554),$AH$2:$AH$1001,0),0), INDEX($AO$1004:$BQ$1004,1,MATCH(COLUMNS($AO$1006:BI1006),$AO$1006:$BQ$1006,0)))),"Fix")))</f>
        <v>#N/A</v>
      </c>
      <c r="W554" s="5" t="e">
        <f ca="1">IF(OR(INDEX($AI$2:$AI$1001,MATCH(ROWS($AH$2:AH554),$AH$2:$AH$1001,0),1)&gt;=100000,INDEX($AO$1005:$BQ$1005,1,MATCH(COLUMNS($AO$1006:BJ1006),$AO$1006:$BQ$1006,0))&gt;=100000), " ",IF(INDEX($AO$2:$BQ$1001,MATCH(ROWS($AH$2:AH554),$AH$2:$AH$1001,0),MATCH(COLUMNS($AO$1006:BJ1006),$AO$1006:$BQ$1006,0)), HYPERLINK("#",""), HYPERLINK(CONCATENATE("#Metadata!", ADDRESS(INDEX($AJ$2:$AJ$1001,MATCH(ROWS($AH$2:AH554),$AH$2:$AH$1001,0),0), INDEX($AO$1004:$BQ$1004,1,MATCH(COLUMNS($AO$1006:BJ1006),$AO$1006:$BQ$1006,0)))),"Fix")))</f>
        <v>#N/A</v>
      </c>
      <c r="X554" s="5" t="e">
        <f ca="1">IF(OR(INDEX($AI$2:$AI$1001,MATCH(ROWS($AH$2:AH554),$AH$2:$AH$1001,0),1)&gt;=100000,INDEX($AO$1005:$BQ$1005,1,MATCH(COLUMNS($AO$1006:BK1006),$AO$1006:$BQ$1006,0))&gt;=100000), " ",IF(INDEX($AO$2:$BQ$1001,MATCH(ROWS($AH$2:AH554),$AH$2:$AH$1001,0),MATCH(COLUMNS($AO$1006:BK1006),$AO$1006:$BQ$1006,0)), HYPERLINK("#",""), HYPERLINK(CONCATENATE("#Metadata!", ADDRESS(INDEX($AJ$2:$AJ$1001,MATCH(ROWS($AH$2:AH554),$AH$2:$AH$1001,0),0), INDEX($AO$1004:$BQ$1004,1,MATCH(COLUMNS($AO$1006:BK1006),$AO$1006:$BQ$1006,0)))),"Fix")))</f>
        <v>#N/A</v>
      </c>
      <c r="Y554" s="5" t="e">
        <f ca="1">IF(OR(INDEX($AI$2:$AI$1001,MATCH(ROWS($AH$2:AH554),$AH$2:$AH$1001,0),1)&gt;=100000,INDEX($AO$1005:$BQ$1005,1,MATCH(COLUMNS($AO$1006:BL1006),$AO$1006:$BQ$1006,0))&gt;=100000), " ",IF(INDEX($AO$2:$BQ$1001,MATCH(ROWS($AH$2:AH554),$AH$2:$AH$1001,0),MATCH(COLUMNS($AO$1006:BL1006),$AO$1006:$BQ$1006,0)), HYPERLINK("#",""), HYPERLINK(CONCATENATE("#Metadata!", ADDRESS(INDEX($AJ$2:$AJ$1001,MATCH(ROWS($AH$2:AH554),$AH$2:$AH$1001,0),0), INDEX($AO$1004:$BQ$1004,1,MATCH(COLUMNS($AO$1006:BL1006),$AO$1006:$BQ$1006,0)))),"Fix")))</f>
        <v>#N/A</v>
      </c>
      <c r="Z554" s="5" t="e">
        <f ca="1">IF(OR(INDEX($AI$2:$AI$1001,MATCH(ROWS($AH$2:AH554),$AH$2:$AH$1001,0),1)&gt;=100000,INDEX($AO$1005:$BQ$1005,1,MATCH(COLUMNS($AO$1006:BM1006),$AO$1006:$BQ$1006,0))&gt;=100000), " ",IF(INDEX($AO$2:$BQ$1001,MATCH(ROWS($AH$2:AH554),$AH$2:$AH$1001,0),MATCH(COLUMNS($AO$1006:BM1006),$AO$1006:$BQ$1006,0)), HYPERLINK("#",""), HYPERLINK(CONCATENATE("#Metadata!", ADDRESS(INDEX($AJ$2:$AJ$1001,MATCH(ROWS($AH$2:AH554),$AH$2:$AH$1001,0),0), INDEX($AO$1004:$BQ$1004,1,MATCH(COLUMNS($AO$1006:BM1006),$AO$1006:$BQ$1006,0)))),"Fix")))</f>
        <v>#N/A</v>
      </c>
      <c r="AA554" s="5" t="e">
        <f ca="1">IF(OR(INDEX($AI$2:$AI$1001,MATCH(ROWS($AH$2:AH554),$AH$2:$AH$1001,0),1)&gt;=100000,INDEX($AO$1005:$BQ$1005,1,MATCH(COLUMNS($AO$1006:BN1006),$AO$1006:$BQ$1006,0))&gt;=100000), " ",IF(INDEX($AO$2:$BQ$1001,MATCH(ROWS($AH$2:AH554),$AH$2:$AH$1001,0),MATCH(COLUMNS($AO$1006:BN1006),$AO$1006:$BQ$1006,0)), HYPERLINK("#",""), HYPERLINK(CONCATENATE("#Metadata!", ADDRESS(INDEX($AJ$2:$AJ$1001,MATCH(ROWS($AH$2:AH554),$AH$2:$AH$1001,0),0), INDEX($AO$1004:$BQ$1004,1,MATCH(COLUMNS($AO$1006:BN1006),$AO$1006:$BQ$1006,0)))),"Fix")))</f>
        <v>#N/A</v>
      </c>
      <c r="AB554" s="5" t="e">
        <f ca="1">IF(OR(INDEX($AI$2:$AI$1001,MATCH(ROWS($AH$2:AH554),$AH$2:$AH$1001,0),1)&gt;=100000,INDEX($AO$1005:$BQ$1005,1,MATCH(COLUMNS($AO$1006:BO1006),$AO$1006:$BQ$1006,0))&gt;=100000), " ",IF(INDEX($AO$2:$BQ$1001,MATCH(ROWS($AH$2:AH554),$AH$2:$AH$1001,0),MATCH(COLUMNS($AO$1006:BO1006),$AO$1006:$BQ$1006,0)), HYPERLINK("#",""), HYPERLINK(CONCATENATE("#Metadata!", ADDRESS(INDEX($AJ$2:$AJ$1001,MATCH(ROWS($AH$2:AH554),$AH$2:$AH$1001,0),0), INDEX($AO$1004:$BQ$1004,1,MATCH(COLUMNS($AO$1006:BO1006),$AO$1006:$BQ$1006,0)))),"Fix")))</f>
        <v>#N/A</v>
      </c>
      <c r="AC554" s="5" t="e">
        <f ca="1">IF(OR(INDEX($AI$2:$AI$1001,MATCH(ROWS($AH$2:AH554),$AH$2:$AH$1001,0),1)&gt;=100000,INDEX($AO$1005:$BQ$1005,1,MATCH(COLUMNS($AO$1006:BP1006),$AO$1006:$BQ$1006,0))&gt;=100000), " ",IF(INDEX($AO$2:$BQ$1001,MATCH(ROWS($AH$2:AH554),$AH$2:$AH$1001,0),MATCH(COLUMNS($AO$1006:BP1006),$AO$1006:$BQ$1006,0)), HYPERLINK("#",""), HYPERLINK(CONCATENATE("#Metadata!", ADDRESS(INDEX($AJ$2:$AJ$1001,MATCH(ROWS($AH$2:AH554),$AH$2:$AH$1001,0),0), INDEX($AO$1004:$BQ$1004,1,MATCH(COLUMNS($AO$1006:BP1006),$AO$1006:$BQ$1006,0)))),"Fix")))</f>
        <v>#N/A</v>
      </c>
      <c r="AD554" s="5" t="e">
        <f ca="1">IF(OR(INDEX($AI$2:$AI$1001,MATCH(ROWS($AH$2:AH554),$AH$2:$AH$1001,0),1)&gt;=100000,INDEX($AO$1005:$BQ$1005,1,MATCH(COLUMNS($AO$1006:BQ1006),$AO$1006:$BQ$1006,0))&gt;=100000), " ",IF(INDEX($AO$2:$BQ$1001,MATCH(ROWS($AH$2:AH554),$AH$2:$AH$1001,0),MATCH(COLUMNS($AO$1006:BQ1006),$AO$1006:$BQ$1006,0)), HYPERLINK("#",""), HYPERLINK(CONCATENATE("#Metadata!", ADDRESS(INDEX($AJ$2:$AJ$1001,MATCH(ROWS($AH$2:AH554),$AH$2:$AH$1001,0),0), INDEX($AO$1004:$BQ$1004,1,MATCH(COLUMNS($AO$1006:BQ1006),$AO$1006:$BQ$1006,0)))),"Fix")))</f>
        <v>#REF!</v>
      </c>
      <c r="AH554">
        <f ca="1"/>
        <v>551</v>
      </c>
      <c r="AI554">
        <v>100554</v>
      </c>
      <c r="AJ554">
        <v>554</v>
      </c>
      <c r="AK554" t="b">
        <f t="shared" si="8"/>
        <v>1</v>
      </c>
      <c r="AL554" t="b">
        <f>COUNTBLANK(Metadata!B554:AD554)=COLUMNS(Metadata!B554:AD554)</f>
        <v>1</v>
      </c>
      <c r="AM554" t="str">
        <v/>
      </c>
      <c r="AO554" t="b">
        <f ca="1">AND(IF(Metadata!B554="",FALSE,TRUE),COUNTIF(Metadata!B:B, Metadata!B554) = 1,NOT(ISERROR(SUMPRODUCT(SEARCH(MID(Metadata!B554,ROW(INDIRECT("1:"&amp;LEN(Metadata!B554))), 1),"0123456789abcdefghijklmnopqrstuvwxyzABCDEFGHIJKLMNOPQRSTUVWXYZ.")))))</f>
        <v>0</v>
      </c>
      <c r="AP554" t="b">
        <f>IF(Metadata!C554="",FALSE,TRUE)</f>
        <v>0</v>
      </c>
      <c r="AQ554" t="b">
        <f>IF(Metadata!D554="",FALSE,TRUE)</f>
        <v>0</v>
      </c>
      <c r="AR554" t="b">
        <f ca="1">OR(AND(IF(Metadata!E554="",FALSE,TRUE),OR(EXACT(Metadata!E554,"not collected"),EXACT(Metadata!E554,"not provided"),EXACT(Metadata!E554,"restricted access"))),AND(IF(Metadata!E554="",FALSE,TRUE),AND(AND(IFERROR(INT(LEFT(Metadata!E554,4))&gt;1900,FALSE),IFERROR(INT(LEFT(Metadata!E554,4))&lt;=YEAR(NOW()),FALSE)), OR(MID(Metadata!E554,5,1)="", AND(AND(MID(Metadata!E554,5,1)="-",IFERROR(INT(MID(Metadata!E554,6,1))&gt;=0,FALSE),IFERROR(INT(MID(Metadata!E554,6,1))&lt;=1,FALSE),NOT(MID(Metadata!E554,7,1)=""),IFERROR(INT(MID(Metadata!E554,6,2))&gt;=1,FALSE),IFERROR(INT(MID(Metadata!E554,6,2))&lt;=12,FALSE)), OR(MID(Metadata!E554,8,1)="", AND(AND(MID(Metadata!E554,8,1)="-",IFERROR(INT(MID(Metadata!E554,9,1))&gt;=0,FALSE),IFERROR(INT(MID(Metadata!E554,9,1))&lt;=3,FALSE),NOT(MID(Metadata!E554,10,1)=""),IFERROR(INT(MID(Metadata!E554,9,2))&gt;=1,FALSE),IFERROR(INT(MID(Metadata!E554,9,2))&lt;=31,FALSE)), OR(MID(Metadata!E554,11,1)="", AND(AND(MID(Metadata!E554,11,1)=" ",IFERROR(INT(MID(Metadata!E554,12,1))&gt;=0,FALSE),IFERROR(INT(MID(Metadata!E554,12,1))&lt;=2,FALSE),NOT(MID(Metadata!E554,13,1)=""),IFERROR(INT(MID(Metadata!E554,12,2))&gt;=0,FALSE),IFERROR(INT(MID(Metadata!E554,12,2))&lt;=23,FALSE)), OR(MID(Metadata!E554,14,1)="", AND(AND(MID(Metadata!E554,14,1)=":",IFERROR(INT(MID(Metadata!E554,15,1))&gt;=0,FALSE),IFERROR(INT(MID(Metadata!E554,15,1))&lt;=5,FALSE),NOT(MID(Metadata!E554,16,1)=""),IFERROR(INT(MID(Metadata!E554,15,2))&gt;=0,FALSE),IFERROR(INT(MID(Metadata!E554,15,2))&lt;=59,FALSE)), OR(MID(Metadata!E554,17,1)="", AND(AND(MID(Metadata!E554,17,1)=":",IFERROR(INT(MID(Metadata!E554,18,1))&gt;=0,FALSE),IFERROR(INT(MID(Metadata!E554,18,1))&lt;=5,FALSE),NOT(MID(Metadata!E554,19,1)=""),IFERROR(INT(MID(Metadata!E554,18,2))&gt;=0,FALSE),IFERROR(INT(MID(Metadata!E554,18,2))&lt;=59,FALSE)), LEN(Metadata!E554)&lt;=19)))))))))))))</f>
        <v>0</v>
      </c>
      <c r="AS554" t="b">
        <f>IF(Metadata!F554="",FALSE,TRUE)</f>
        <v>0</v>
      </c>
      <c r="AT554" t="b">
        <f>OR(AND(IF(Metadata!G554="",FALSE,TRUE),OR(EXACT(Metadata!G554,"not collected"),EXACT(Metadata!G554,"not provided"))),AND(IF(Metadata!G554="",FALSE,TRUE),OR(EXACT(Metadata!G554,"TRUE"),EXACT(Metadata!G554,"FALSE"))))</f>
        <v>0</v>
      </c>
      <c r="AU554" t="b">
        <f>OR(AND(IF(Metadata!H554="",FALSE,TRUE),OR(EXACT(Metadata!H554,"not collected"),EXACT(Metadata!H554,"not provided"),EXACT(Metadata!H554,"restricted access"))),AND(IF(Metadata!H554="",FALSE,ISNUMBER(VALUE(Metadata!H554))),Metadata!H554&gt;=-413))</f>
        <v>0</v>
      </c>
      <c r="AV554" t="b">
        <f>AND(IF(Metadata!I554="",FALSE,TRUE),EXACT(Metadata!I554,"meters"))</f>
        <v>0</v>
      </c>
      <c r="AW554" t="b">
        <f>AND(IF(Metadata!J554="",FALSE,TRUE),EXACT(Metadata!J554,"free-living"))</f>
        <v>0</v>
      </c>
      <c r="AX554" t="b">
        <f>AND(IF(Metadata!K554="",FALSE,TRUE),OR(EXACT(Metadata!K554,"saline"),EXACT(Metadata!K554,"non-saline")))</f>
        <v>0</v>
      </c>
      <c r="AY554" t="b">
        <f>AND(IF(Metadata!L554="",FALSE,TRUE),OR(EXACT(Metadata!L554,"sub-surface (non-saline)"),EXACT(Metadata!L554,"surface (non-saline)"),EXACT(Metadata!L554,"water (non-saline)"),EXACT(Metadata!L554,"soil (non-saline)"),EXACT(Metadata!L554,"aerosol (non-saline)"),EXACT(Metadata!L554,"sediment (non-saline)"),EXACT(Metadata!L554,"surface (saline)"),EXACT(Metadata!L554,"water (saline)"),EXACT(Metadata!L554,"hypersaline (saline)"),EXACT(Metadata!L554,"aerosol (saline)"),EXACT(Metadata!L554,"sediment (saline)")))</f>
        <v>0</v>
      </c>
      <c r="AZ554" t="b">
        <f>IF(Metadata!M554="",FALSE,TRUE)</f>
        <v>0</v>
      </c>
      <c r="BA554" t="b">
        <f>IF(Metadata!N554="",FALSE,TRUE)</f>
        <v>0</v>
      </c>
      <c r="BB554" t="b">
        <f>IF(Metadata!O554="",FALSE,TRUE)</f>
        <v>0</v>
      </c>
      <c r="BC554" t="b">
        <f>AND(IF(Metadata!P554="",FALSE,TRUE),OR(EXACT(Metadata!P554,"air"),EXACT(Metadata!P554,"microbial mat/biofilm"),EXACT(Metadata!P554,"misc environment"),EXACT(Metadata!P554,"sediment"),EXACT(Metadata!P554,"soil"),EXACT(Metadata!P554,"wastewater/sludge"),EXACT(Metadata!P554,"water")))</f>
        <v>0</v>
      </c>
      <c r="BD554" t="b">
        <f>IF(Metadata!Q554="",FALSE,TRUE)</f>
        <v>0</v>
      </c>
      <c r="BE554" t="b">
        <f>IF(Metadata!R554="",FALSE,TRUE)</f>
        <v>0</v>
      </c>
      <c r="BF554" t="b">
        <f>OR(AND(IF(Metadata!S554="",FALSE,TRUE),OR(EXACT(Metadata!S554,"not collected"),EXACT(Metadata!S554,"not provided"),EXACT(Metadata!S554,"restricted access"))),AND(IF(Metadata!S554="",FALSE,ISNUMBER(VALUE(Metadata!S554))),Metadata!S554&gt;=-90,Metadata!S554&lt;=90))</f>
        <v>0</v>
      </c>
      <c r="BG554" t="b">
        <f>AND(IF(Metadata!T554="",FALSE,TRUE),EXACT(Metadata!T554,"Decimal degrees"))</f>
        <v>0</v>
      </c>
      <c r="BH554" t="b">
        <f>OR(AND(IF(Metadata!U554="",FALSE,TRUE),OR(EXACT(Metadata!U554,"not applicable"),EXACT(Metadata!U554,"not collected"))),IF(Metadata!U554="",FALSE,TRUE))</f>
        <v>0</v>
      </c>
      <c r="BI554" t="b">
        <f>OR(AND(IF(Metadata!V554="",FALSE,TRUE),OR(EXACT(Metadata!V554,"not collected"),EXACT(Metadata!V554,"not provided"),EXACT(Metadata!V554,"restricted access"))),AND(IF(Metadata!V554="",FALSE,ISNUMBER(VALUE(Metadata!V554))),Metadata!V554&gt;=-180,Metadata!V554&lt;=180))</f>
        <v>0</v>
      </c>
      <c r="BJ554" t="b">
        <f>AND(IF(Metadata!W554="",FALSE,TRUE),EXACT(Metadata!W554,"Decimal degrees"))</f>
        <v>0</v>
      </c>
      <c r="BK554" t="b">
        <f>IF(Metadata!X554="",FALSE,TRUE)</f>
        <v>0</v>
      </c>
      <c r="BL554" t="b">
        <f>OR(AND(IF(Metadata!Y554="",FALSE,TRUE),OR(EXACT(Metadata!Y554,"not collected"),EXACT(Metadata!Y554,"not provided"),EXACT(Metadata!Y554,"restricted access"))),AND(IF(Metadata!Y554="",FALSE,TRUE),OR(EXACT(Metadata!Y554,"TRUE"),EXACT(Metadata!Y554,"FALSE"))))</f>
        <v>0</v>
      </c>
      <c r="BM554" t="b">
        <f>OR(AND(IF(Metadata!Z554="",FALSE,TRUE),EXACT(Metadata!Z554,"not applicable")),AND(IF(Metadata!Z554="",FALSE,TRUE),OR(EXACT(Metadata!Z554,"beer"),EXACT(Metadata!Z554,"cheese"),EXACT(Metadata!Z554,"fresh water"),EXACT(Metadata!Z554,"marine sediment"),EXACT(Metadata!Z554,"sea water"),EXACT(Metadata!Z554,"sediment"),EXACT(Metadata!Z554,"soil"),EXACT(Metadata!Z554,"waste water"))))</f>
        <v>0</v>
      </c>
      <c r="BN554" t="b">
        <f>AND(IF(Metadata!AA554="",FALSE,TRUE),EXACT(Metadata!AA554,"metagenome"))</f>
        <v>0</v>
      </c>
      <c r="BO554" t="b">
        <f>AND(IF(Metadata!AB554="",FALSE,TRUE),EXACT(Metadata!AB554,"256318"))</f>
        <v>0</v>
      </c>
      <c r="BP554" t="b">
        <f>IF(Metadata!AC554="",FALSE,TRUE)</f>
        <v>0</v>
      </c>
      <c r="BQ554" t="b">
        <f>IF(Metadata!AD554="",FALSE,TRUE)</f>
        <v>0</v>
      </c>
    </row>
    <row r="555" spans="1:69" x14ac:dyDescent="0.2">
      <c r="A555" s="4" t="e">
        <f ca="1">IF(B555=" "," ",HYPERLINK(CONCATENATE("#metadata!",ADDRESS(INDEX($AJ$2:$AJ$1001,MATCH(ROWS($AH$2:AH555),$AH$2:$AH$1001,0),0),2)),INDEX($AM$2:$AM$1001,MATCH(ROWS($AH$2:AH555),$AH$2:$AH$1001,0),0)))</f>
        <v>#N/A</v>
      </c>
      <c r="B555" s="5" t="e">
        <f ca="1">IF(OR(INDEX($AI$2:$AI$1001,MATCH(ROWS($AH$2:AH555),$AH$2:$AH$1001,0),1)&gt;=100000,INDEX($AO$1005:$BQ$1005,1,MATCH(COLUMNS($AO$1006:AO1006),$AO$1006:$BQ$1006,0))&gt;=100000), " ",IF(INDEX($AO$2:$BQ$1001,MATCH(ROWS($AH$2:AH555),$AH$2:$AH$1001,0),MATCH(COLUMNS($AO$1006:AO1006),$AO$1006:$BQ$1006,0)), HYPERLINK("#",""), HYPERLINK(CONCATENATE("#Metadata!", ADDRESS(INDEX($AJ$2:$AJ$1001,MATCH(ROWS($AH$2:AH555),$AH$2:$AH$1001,0),0), INDEX($AO$1004:$BQ$1004,1,MATCH(COLUMNS($AO$1006:AO1006),$AO$1006:$BQ$1006,0)))),"Fix")))</f>
        <v>#N/A</v>
      </c>
      <c r="C555" s="5" t="e">
        <f ca="1">IF(OR(INDEX($AI$2:$AI$1001,MATCH(ROWS($AH$2:AH555),$AH$2:$AH$1001,0),1)&gt;=100000,INDEX($AO$1005:$BQ$1005,1,MATCH(COLUMNS($AO$1006:AP1006),$AO$1006:$BQ$1006,0))&gt;=100000), " ",IF(INDEX($AO$2:$BQ$1001,MATCH(ROWS($AH$2:AH555),$AH$2:$AH$1001,0),MATCH(COLUMNS($AO$1006:AP1006),$AO$1006:$BQ$1006,0)), HYPERLINK("#",""), HYPERLINK(CONCATENATE("#Metadata!", ADDRESS(INDEX($AJ$2:$AJ$1001,MATCH(ROWS($AH$2:AH555),$AH$2:$AH$1001,0),0), INDEX($AO$1004:$BQ$1004,1,MATCH(COLUMNS($AO$1006:AP1006),$AO$1006:$BQ$1006,0)))),"Fix")))</f>
        <v>#N/A</v>
      </c>
      <c r="D555" s="5" t="e">
        <f ca="1">IF(OR(INDEX($AI$2:$AI$1001,MATCH(ROWS($AH$2:AH555),$AH$2:$AH$1001,0),1)&gt;=100000,INDEX($AO$1005:$BQ$1005,1,MATCH(COLUMNS($AO$1006:AQ1006),$AO$1006:$BQ$1006,0))&gt;=100000), " ",IF(INDEX($AO$2:$BQ$1001,MATCH(ROWS($AH$2:AH555),$AH$2:$AH$1001,0),MATCH(COLUMNS($AO$1006:AQ1006),$AO$1006:$BQ$1006,0)), HYPERLINK("#",""), HYPERLINK(CONCATENATE("#Metadata!", ADDRESS(INDEX($AJ$2:$AJ$1001,MATCH(ROWS($AH$2:AH555),$AH$2:$AH$1001,0),0), INDEX($AO$1004:$BQ$1004,1,MATCH(COLUMNS($AO$1006:AQ1006),$AO$1006:$BQ$1006,0)))),"Fix")))</f>
        <v>#N/A</v>
      </c>
      <c r="E555" s="5" t="e">
        <f ca="1">IF(OR(INDEX($AI$2:$AI$1001,MATCH(ROWS($AH$2:AH555),$AH$2:$AH$1001,0),1)&gt;=100000,INDEX($AO$1005:$BQ$1005,1,MATCH(COLUMNS($AO$1006:AR1006),$AO$1006:$BQ$1006,0))&gt;=100000), " ",IF(INDEX($AO$2:$BQ$1001,MATCH(ROWS($AH$2:AH555),$AH$2:$AH$1001,0),MATCH(COLUMNS($AO$1006:AR1006),$AO$1006:$BQ$1006,0)), HYPERLINK("#",""), HYPERLINK(CONCATENATE("#Metadata!", ADDRESS(INDEX($AJ$2:$AJ$1001,MATCH(ROWS($AH$2:AH555),$AH$2:$AH$1001,0),0), INDEX($AO$1004:$BQ$1004,1,MATCH(COLUMNS($AO$1006:AR1006),$AO$1006:$BQ$1006,0)))),"Fix")))</f>
        <v>#N/A</v>
      </c>
      <c r="F555" s="5" t="e">
        <f ca="1">IF(OR(INDEX($AI$2:$AI$1001,MATCH(ROWS($AH$2:AH555),$AH$2:$AH$1001,0),1)&gt;=100000,INDEX($AO$1005:$BQ$1005,1,MATCH(COLUMNS($AO$1006:AS1006),$AO$1006:$BQ$1006,0))&gt;=100000), " ",IF(INDEX($AO$2:$BQ$1001,MATCH(ROWS($AH$2:AH555),$AH$2:$AH$1001,0),MATCH(COLUMNS($AO$1006:AS1006),$AO$1006:$BQ$1006,0)), HYPERLINK("#",""), HYPERLINK(CONCATENATE("#Metadata!", ADDRESS(INDEX($AJ$2:$AJ$1001,MATCH(ROWS($AH$2:AH555),$AH$2:$AH$1001,0),0), INDEX($AO$1004:$BQ$1004,1,MATCH(COLUMNS($AO$1006:AS1006),$AO$1006:$BQ$1006,0)))),"Fix")))</f>
        <v>#N/A</v>
      </c>
      <c r="G555" s="5" t="e">
        <f ca="1">IF(OR(INDEX($AI$2:$AI$1001,MATCH(ROWS($AH$2:AH555),$AH$2:$AH$1001,0),1)&gt;=100000,INDEX($AO$1005:$BQ$1005,1,MATCH(COLUMNS($AO$1006:AT1006),$AO$1006:$BQ$1006,0))&gt;=100000), " ",IF(INDEX($AO$2:$BQ$1001,MATCH(ROWS($AH$2:AH555),$AH$2:$AH$1001,0),MATCH(COLUMNS($AO$1006:AT1006),$AO$1006:$BQ$1006,0)), HYPERLINK("#",""), HYPERLINK(CONCATENATE("#Metadata!", ADDRESS(INDEX($AJ$2:$AJ$1001,MATCH(ROWS($AH$2:AH555),$AH$2:$AH$1001,0),0), INDEX($AO$1004:$BQ$1004,1,MATCH(COLUMNS($AO$1006:AT1006),$AO$1006:$BQ$1006,0)))),"Fix")))</f>
        <v>#N/A</v>
      </c>
      <c r="H555" s="5" t="e">
        <f ca="1">IF(OR(INDEX($AI$2:$AI$1001,MATCH(ROWS($AH$2:AH555),$AH$2:$AH$1001,0),1)&gt;=100000,INDEX($AO$1005:$BQ$1005,1,MATCH(COLUMNS($AO$1006:AU1006),$AO$1006:$BQ$1006,0))&gt;=100000), " ",IF(INDEX($AO$2:$BQ$1001,MATCH(ROWS($AH$2:AH555),$AH$2:$AH$1001,0),MATCH(COLUMNS($AO$1006:AU1006),$AO$1006:$BQ$1006,0)), HYPERLINK("#",""), HYPERLINK(CONCATENATE("#Metadata!", ADDRESS(INDEX($AJ$2:$AJ$1001,MATCH(ROWS($AH$2:AH555),$AH$2:$AH$1001,0),0), INDEX($AO$1004:$BQ$1004,1,MATCH(COLUMNS($AO$1006:AU1006),$AO$1006:$BQ$1006,0)))),"Fix")))</f>
        <v>#N/A</v>
      </c>
      <c r="I555" s="5" t="e">
        <f ca="1">IF(OR(INDEX($AI$2:$AI$1001,MATCH(ROWS($AH$2:AH555),$AH$2:$AH$1001,0),1)&gt;=100000,INDEX($AO$1005:$BQ$1005,1,MATCH(COLUMNS($AO$1006:AV1006),$AO$1006:$BQ$1006,0))&gt;=100000), " ",IF(INDEX($AO$2:$BQ$1001,MATCH(ROWS($AH$2:AH555),$AH$2:$AH$1001,0),MATCH(COLUMNS($AO$1006:AV1006),$AO$1006:$BQ$1006,0)), HYPERLINK("#",""), HYPERLINK(CONCATENATE("#Metadata!", ADDRESS(INDEX($AJ$2:$AJ$1001,MATCH(ROWS($AH$2:AH555),$AH$2:$AH$1001,0),0), INDEX($AO$1004:$BQ$1004,1,MATCH(COLUMNS($AO$1006:AV1006),$AO$1006:$BQ$1006,0)))),"Fix")))</f>
        <v>#N/A</v>
      </c>
      <c r="J555" s="5" t="e">
        <f ca="1">IF(OR(INDEX($AI$2:$AI$1001,MATCH(ROWS($AH$2:AH555),$AH$2:$AH$1001,0),1)&gt;=100000,INDEX($AO$1005:$BQ$1005,1,MATCH(COLUMNS($AO$1006:AW1006),$AO$1006:$BQ$1006,0))&gt;=100000), " ",IF(INDEX($AO$2:$BQ$1001,MATCH(ROWS($AH$2:AH555),$AH$2:$AH$1001,0),MATCH(COLUMNS($AO$1006:AW1006),$AO$1006:$BQ$1006,0)), HYPERLINK("#",""), HYPERLINK(CONCATENATE("#Metadata!", ADDRESS(INDEX($AJ$2:$AJ$1001,MATCH(ROWS($AH$2:AH555),$AH$2:$AH$1001,0),0), INDEX($AO$1004:$BQ$1004,1,MATCH(COLUMNS($AO$1006:AW1006),$AO$1006:$BQ$1006,0)))),"Fix")))</f>
        <v>#N/A</v>
      </c>
      <c r="K555" s="5" t="e">
        <f ca="1">IF(OR(INDEX($AI$2:$AI$1001,MATCH(ROWS($AH$2:AH555),$AH$2:$AH$1001,0),1)&gt;=100000,INDEX($AO$1005:$BQ$1005,1,MATCH(COLUMNS($AO$1006:AX1006),$AO$1006:$BQ$1006,0))&gt;=100000), " ",IF(INDEX($AO$2:$BQ$1001,MATCH(ROWS($AH$2:AH555),$AH$2:$AH$1001,0),MATCH(COLUMNS($AO$1006:AX1006),$AO$1006:$BQ$1006,0)), HYPERLINK("#",""), HYPERLINK(CONCATENATE("#Metadata!", ADDRESS(INDEX($AJ$2:$AJ$1001,MATCH(ROWS($AH$2:AH555),$AH$2:$AH$1001,0),0), INDEX($AO$1004:$BQ$1004,1,MATCH(COLUMNS($AO$1006:AX1006),$AO$1006:$BQ$1006,0)))),"Fix")))</f>
        <v>#N/A</v>
      </c>
      <c r="L555" s="5" t="e">
        <f ca="1">IF(OR(INDEX($AI$2:$AI$1001,MATCH(ROWS($AH$2:AH555),$AH$2:$AH$1001,0),1)&gt;=100000,INDEX($AO$1005:$BQ$1005,1,MATCH(COLUMNS($AO$1006:AY1006),$AO$1006:$BQ$1006,0))&gt;=100000), " ",IF(INDEX($AO$2:$BQ$1001,MATCH(ROWS($AH$2:AH555),$AH$2:$AH$1001,0),MATCH(COLUMNS($AO$1006:AY1006),$AO$1006:$BQ$1006,0)), HYPERLINK("#",""), HYPERLINK(CONCATENATE("#Metadata!", ADDRESS(INDEX($AJ$2:$AJ$1001,MATCH(ROWS($AH$2:AH555),$AH$2:$AH$1001,0),0), INDEX($AO$1004:$BQ$1004,1,MATCH(COLUMNS($AO$1006:AY1006),$AO$1006:$BQ$1006,0)))),"Fix")))</f>
        <v>#N/A</v>
      </c>
      <c r="M555" s="5" t="e">
        <f ca="1">IF(OR(INDEX($AI$2:$AI$1001,MATCH(ROWS($AH$2:AH555),$AH$2:$AH$1001,0),1)&gt;=100000,INDEX($AO$1005:$BQ$1005,1,MATCH(COLUMNS($AO$1006:AZ1006),$AO$1006:$BQ$1006,0))&gt;=100000), " ",IF(INDEX($AO$2:$BQ$1001,MATCH(ROWS($AH$2:AH555),$AH$2:$AH$1001,0),MATCH(COLUMNS($AO$1006:AZ1006),$AO$1006:$BQ$1006,0)), HYPERLINK("#",""), HYPERLINK(CONCATENATE("#Metadata!", ADDRESS(INDEX($AJ$2:$AJ$1001,MATCH(ROWS($AH$2:AH555),$AH$2:$AH$1001,0),0), INDEX($AO$1004:$BQ$1004,1,MATCH(COLUMNS($AO$1006:AZ1006),$AO$1006:$BQ$1006,0)))),"Fix")))</f>
        <v>#N/A</v>
      </c>
      <c r="N555" s="5" t="e">
        <f ca="1">IF(OR(INDEX($AI$2:$AI$1001,MATCH(ROWS($AH$2:AH555),$AH$2:$AH$1001,0),1)&gt;=100000,INDEX($AO$1005:$BQ$1005,1,MATCH(COLUMNS($AO$1006:BA1006),$AO$1006:$BQ$1006,0))&gt;=100000), " ",IF(INDEX($AO$2:$BQ$1001,MATCH(ROWS($AH$2:AH555),$AH$2:$AH$1001,0),MATCH(COLUMNS($AO$1006:BA1006),$AO$1006:$BQ$1006,0)), HYPERLINK("#",""), HYPERLINK(CONCATENATE("#Metadata!", ADDRESS(INDEX($AJ$2:$AJ$1001,MATCH(ROWS($AH$2:AH555),$AH$2:$AH$1001,0),0), INDEX($AO$1004:$BQ$1004,1,MATCH(COLUMNS($AO$1006:BA1006),$AO$1006:$BQ$1006,0)))),"Fix")))</f>
        <v>#N/A</v>
      </c>
      <c r="O555" s="5" t="e">
        <f ca="1">IF(OR(INDEX($AI$2:$AI$1001,MATCH(ROWS($AH$2:AH555),$AH$2:$AH$1001,0),1)&gt;=100000,INDEX($AO$1005:$BQ$1005,1,MATCH(COLUMNS($AO$1006:BB1006),$AO$1006:$BQ$1006,0))&gt;=100000), " ",IF(INDEX($AO$2:$BQ$1001,MATCH(ROWS($AH$2:AH555),$AH$2:$AH$1001,0),MATCH(COLUMNS($AO$1006:BB1006),$AO$1006:$BQ$1006,0)), HYPERLINK("#",""), HYPERLINK(CONCATENATE("#Metadata!", ADDRESS(INDEX($AJ$2:$AJ$1001,MATCH(ROWS($AH$2:AH555),$AH$2:$AH$1001,0),0), INDEX($AO$1004:$BQ$1004,1,MATCH(COLUMNS($AO$1006:BB1006),$AO$1006:$BQ$1006,0)))),"Fix")))</f>
        <v>#N/A</v>
      </c>
      <c r="P555" s="5" t="e">
        <f ca="1">IF(OR(INDEX($AI$2:$AI$1001,MATCH(ROWS($AH$2:AH555),$AH$2:$AH$1001,0),1)&gt;=100000,INDEX($AO$1005:$BQ$1005,1,MATCH(COLUMNS($AO$1006:BC1006),$AO$1006:$BQ$1006,0))&gt;=100000), " ",IF(INDEX($AO$2:$BQ$1001,MATCH(ROWS($AH$2:AH555),$AH$2:$AH$1001,0),MATCH(COLUMNS($AO$1006:BC1006),$AO$1006:$BQ$1006,0)), HYPERLINK("#",""), HYPERLINK(CONCATENATE("#Metadata!", ADDRESS(INDEX($AJ$2:$AJ$1001,MATCH(ROWS($AH$2:AH555),$AH$2:$AH$1001,0),0), INDEX($AO$1004:$BQ$1004,1,MATCH(COLUMNS($AO$1006:BC1006),$AO$1006:$BQ$1006,0)))),"Fix")))</f>
        <v>#N/A</v>
      </c>
      <c r="Q555" s="5" t="e">
        <f ca="1">IF(OR(INDEX($AI$2:$AI$1001,MATCH(ROWS($AH$2:AH555),$AH$2:$AH$1001,0),1)&gt;=100000,INDEX($AO$1005:$BQ$1005,1,MATCH(COLUMNS($AO$1006:BD1006),$AO$1006:$BQ$1006,0))&gt;=100000), " ",IF(INDEX($AO$2:$BQ$1001,MATCH(ROWS($AH$2:AH555),$AH$2:$AH$1001,0),MATCH(COLUMNS($AO$1006:BD1006),$AO$1006:$BQ$1006,0)), HYPERLINK("#",""), HYPERLINK(CONCATENATE("#Metadata!", ADDRESS(INDEX($AJ$2:$AJ$1001,MATCH(ROWS($AH$2:AH555),$AH$2:$AH$1001,0),0), INDEX($AO$1004:$BQ$1004,1,MATCH(COLUMNS($AO$1006:BD1006),$AO$1006:$BQ$1006,0)))),"Fix")))</f>
        <v>#N/A</v>
      </c>
      <c r="R555" s="5" t="e">
        <f ca="1">IF(OR(INDEX($AI$2:$AI$1001,MATCH(ROWS($AH$2:AH555),$AH$2:$AH$1001,0),1)&gt;=100000,INDEX($AO$1005:$BQ$1005,1,MATCH(COLUMNS($AO$1006:BE1006),$AO$1006:$BQ$1006,0))&gt;=100000), " ",IF(INDEX($AO$2:$BQ$1001,MATCH(ROWS($AH$2:AH555),$AH$2:$AH$1001,0),MATCH(COLUMNS($AO$1006:BE1006),$AO$1006:$BQ$1006,0)), HYPERLINK("#",""), HYPERLINK(CONCATENATE("#Metadata!", ADDRESS(INDEX($AJ$2:$AJ$1001,MATCH(ROWS($AH$2:AH555),$AH$2:$AH$1001,0),0), INDEX($AO$1004:$BQ$1004,1,MATCH(COLUMNS($AO$1006:BE1006),$AO$1006:$BQ$1006,0)))),"Fix")))</f>
        <v>#N/A</v>
      </c>
      <c r="S555" s="5" t="e">
        <f ca="1">IF(OR(INDEX($AI$2:$AI$1001,MATCH(ROWS($AH$2:AH555),$AH$2:$AH$1001,0),1)&gt;=100000,INDEX($AO$1005:$BQ$1005,1,MATCH(COLUMNS($AO$1006:BF1006),$AO$1006:$BQ$1006,0))&gt;=100000), " ",IF(INDEX($AO$2:$BQ$1001,MATCH(ROWS($AH$2:AH555),$AH$2:$AH$1001,0),MATCH(COLUMNS($AO$1006:BF1006),$AO$1006:$BQ$1006,0)), HYPERLINK("#",""), HYPERLINK(CONCATENATE("#Metadata!", ADDRESS(INDEX($AJ$2:$AJ$1001,MATCH(ROWS($AH$2:AH555),$AH$2:$AH$1001,0),0), INDEX($AO$1004:$BQ$1004,1,MATCH(COLUMNS($AO$1006:BF1006),$AO$1006:$BQ$1006,0)))),"Fix")))</f>
        <v>#N/A</v>
      </c>
      <c r="T555" s="5" t="e">
        <f ca="1">IF(OR(INDEX($AI$2:$AI$1001,MATCH(ROWS($AH$2:AH555),$AH$2:$AH$1001,0),1)&gt;=100000,INDEX($AO$1005:$BQ$1005,1,MATCH(COLUMNS($AO$1006:BG1006),$AO$1006:$BQ$1006,0))&gt;=100000), " ",IF(INDEX($AO$2:$BQ$1001,MATCH(ROWS($AH$2:AH555),$AH$2:$AH$1001,0),MATCH(COLUMNS($AO$1006:BG1006),$AO$1006:$BQ$1006,0)), HYPERLINK("#",""), HYPERLINK(CONCATENATE("#Metadata!", ADDRESS(INDEX($AJ$2:$AJ$1001,MATCH(ROWS($AH$2:AH555),$AH$2:$AH$1001,0),0), INDEX($AO$1004:$BQ$1004,1,MATCH(COLUMNS($AO$1006:BG1006),$AO$1006:$BQ$1006,0)))),"Fix")))</f>
        <v>#N/A</v>
      </c>
      <c r="U555" s="5" t="e">
        <f ca="1">IF(OR(INDEX($AI$2:$AI$1001,MATCH(ROWS($AH$2:AH555),$AH$2:$AH$1001,0),1)&gt;=100000,INDEX($AO$1005:$BQ$1005,1,MATCH(COLUMNS($AO$1006:BH1006),$AO$1006:$BQ$1006,0))&gt;=100000), " ",IF(INDEX($AO$2:$BQ$1001,MATCH(ROWS($AH$2:AH555),$AH$2:$AH$1001,0),MATCH(COLUMNS($AO$1006:BH1006),$AO$1006:$BQ$1006,0)), HYPERLINK("#",""), HYPERLINK(CONCATENATE("#Metadata!", ADDRESS(INDEX($AJ$2:$AJ$1001,MATCH(ROWS($AH$2:AH555),$AH$2:$AH$1001,0),0), INDEX($AO$1004:$BQ$1004,1,MATCH(COLUMNS($AO$1006:BH1006),$AO$1006:$BQ$1006,0)))),"Fix")))</f>
        <v>#N/A</v>
      </c>
      <c r="V555" s="5" t="e">
        <f ca="1">IF(OR(INDEX($AI$2:$AI$1001,MATCH(ROWS($AH$2:AH555),$AH$2:$AH$1001,0),1)&gt;=100000,INDEX($AO$1005:$BQ$1005,1,MATCH(COLUMNS($AO$1006:BI1006),$AO$1006:$BQ$1006,0))&gt;=100000), " ",IF(INDEX($AO$2:$BQ$1001,MATCH(ROWS($AH$2:AH555),$AH$2:$AH$1001,0),MATCH(COLUMNS($AO$1006:BI1006),$AO$1006:$BQ$1006,0)), HYPERLINK("#",""), HYPERLINK(CONCATENATE("#Metadata!", ADDRESS(INDEX($AJ$2:$AJ$1001,MATCH(ROWS($AH$2:AH555),$AH$2:$AH$1001,0),0), INDEX($AO$1004:$BQ$1004,1,MATCH(COLUMNS($AO$1006:BI1006),$AO$1006:$BQ$1006,0)))),"Fix")))</f>
        <v>#N/A</v>
      </c>
      <c r="W555" s="5" t="e">
        <f ca="1">IF(OR(INDEX($AI$2:$AI$1001,MATCH(ROWS($AH$2:AH555),$AH$2:$AH$1001,0),1)&gt;=100000,INDEX($AO$1005:$BQ$1005,1,MATCH(COLUMNS($AO$1006:BJ1006),$AO$1006:$BQ$1006,0))&gt;=100000), " ",IF(INDEX($AO$2:$BQ$1001,MATCH(ROWS($AH$2:AH555),$AH$2:$AH$1001,0),MATCH(COLUMNS($AO$1006:BJ1006),$AO$1006:$BQ$1006,0)), HYPERLINK("#",""), HYPERLINK(CONCATENATE("#Metadata!", ADDRESS(INDEX($AJ$2:$AJ$1001,MATCH(ROWS($AH$2:AH555),$AH$2:$AH$1001,0),0), INDEX($AO$1004:$BQ$1004,1,MATCH(COLUMNS($AO$1006:BJ1006),$AO$1006:$BQ$1006,0)))),"Fix")))</f>
        <v>#N/A</v>
      </c>
      <c r="X555" s="5" t="e">
        <f ca="1">IF(OR(INDEX($AI$2:$AI$1001,MATCH(ROWS($AH$2:AH555),$AH$2:$AH$1001,0),1)&gt;=100000,INDEX($AO$1005:$BQ$1005,1,MATCH(COLUMNS($AO$1006:BK1006),$AO$1006:$BQ$1006,0))&gt;=100000), " ",IF(INDEX($AO$2:$BQ$1001,MATCH(ROWS($AH$2:AH555),$AH$2:$AH$1001,0),MATCH(COLUMNS($AO$1006:BK1006),$AO$1006:$BQ$1006,0)), HYPERLINK("#",""), HYPERLINK(CONCATENATE("#Metadata!", ADDRESS(INDEX($AJ$2:$AJ$1001,MATCH(ROWS($AH$2:AH555),$AH$2:$AH$1001,0),0), INDEX($AO$1004:$BQ$1004,1,MATCH(COLUMNS($AO$1006:BK1006),$AO$1006:$BQ$1006,0)))),"Fix")))</f>
        <v>#N/A</v>
      </c>
      <c r="Y555" s="5" t="e">
        <f ca="1">IF(OR(INDEX($AI$2:$AI$1001,MATCH(ROWS($AH$2:AH555),$AH$2:$AH$1001,0),1)&gt;=100000,INDEX($AO$1005:$BQ$1005,1,MATCH(COLUMNS($AO$1006:BL1006),$AO$1006:$BQ$1006,0))&gt;=100000), " ",IF(INDEX($AO$2:$BQ$1001,MATCH(ROWS($AH$2:AH555),$AH$2:$AH$1001,0),MATCH(COLUMNS($AO$1006:BL1006),$AO$1006:$BQ$1006,0)), HYPERLINK("#",""), HYPERLINK(CONCATENATE("#Metadata!", ADDRESS(INDEX($AJ$2:$AJ$1001,MATCH(ROWS($AH$2:AH555),$AH$2:$AH$1001,0),0), INDEX($AO$1004:$BQ$1004,1,MATCH(COLUMNS($AO$1006:BL1006),$AO$1006:$BQ$1006,0)))),"Fix")))</f>
        <v>#N/A</v>
      </c>
      <c r="Z555" s="5" t="e">
        <f ca="1">IF(OR(INDEX($AI$2:$AI$1001,MATCH(ROWS($AH$2:AH555),$AH$2:$AH$1001,0),1)&gt;=100000,INDEX($AO$1005:$BQ$1005,1,MATCH(COLUMNS($AO$1006:BM1006),$AO$1006:$BQ$1006,0))&gt;=100000), " ",IF(INDEX($AO$2:$BQ$1001,MATCH(ROWS($AH$2:AH555),$AH$2:$AH$1001,0),MATCH(COLUMNS($AO$1006:BM1006),$AO$1006:$BQ$1006,0)), HYPERLINK("#",""), HYPERLINK(CONCATENATE("#Metadata!", ADDRESS(INDEX($AJ$2:$AJ$1001,MATCH(ROWS($AH$2:AH555),$AH$2:$AH$1001,0),0), INDEX($AO$1004:$BQ$1004,1,MATCH(COLUMNS($AO$1006:BM1006),$AO$1006:$BQ$1006,0)))),"Fix")))</f>
        <v>#N/A</v>
      </c>
      <c r="AA555" s="5" t="e">
        <f ca="1">IF(OR(INDEX($AI$2:$AI$1001,MATCH(ROWS($AH$2:AH555),$AH$2:$AH$1001,0),1)&gt;=100000,INDEX($AO$1005:$BQ$1005,1,MATCH(COLUMNS($AO$1006:BN1006),$AO$1006:$BQ$1006,0))&gt;=100000), " ",IF(INDEX($AO$2:$BQ$1001,MATCH(ROWS($AH$2:AH555),$AH$2:$AH$1001,0),MATCH(COLUMNS($AO$1006:BN1006),$AO$1006:$BQ$1006,0)), HYPERLINK("#",""), HYPERLINK(CONCATENATE("#Metadata!", ADDRESS(INDEX($AJ$2:$AJ$1001,MATCH(ROWS($AH$2:AH555),$AH$2:$AH$1001,0),0), INDEX($AO$1004:$BQ$1004,1,MATCH(COLUMNS($AO$1006:BN1006),$AO$1006:$BQ$1006,0)))),"Fix")))</f>
        <v>#N/A</v>
      </c>
      <c r="AB555" s="5" t="e">
        <f ca="1">IF(OR(INDEX($AI$2:$AI$1001,MATCH(ROWS($AH$2:AH555),$AH$2:$AH$1001,0),1)&gt;=100000,INDEX($AO$1005:$BQ$1005,1,MATCH(COLUMNS($AO$1006:BO1006),$AO$1006:$BQ$1006,0))&gt;=100000), " ",IF(INDEX($AO$2:$BQ$1001,MATCH(ROWS($AH$2:AH555),$AH$2:$AH$1001,0),MATCH(COLUMNS($AO$1006:BO1006),$AO$1006:$BQ$1006,0)), HYPERLINK("#",""), HYPERLINK(CONCATENATE("#Metadata!", ADDRESS(INDEX($AJ$2:$AJ$1001,MATCH(ROWS($AH$2:AH555),$AH$2:$AH$1001,0),0), INDEX($AO$1004:$BQ$1004,1,MATCH(COLUMNS($AO$1006:BO1006),$AO$1006:$BQ$1006,0)))),"Fix")))</f>
        <v>#N/A</v>
      </c>
      <c r="AC555" s="5" t="e">
        <f ca="1">IF(OR(INDEX($AI$2:$AI$1001,MATCH(ROWS($AH$2:AH555),$AH$2:$AH$1001,0),1)&gt;=100000,INDEX($AO$1005:$BQ$1005,1,MATCH(COLUMNS($AO$1006:BP1006),$AO$1006:$BQ$1006,0))&gt;=100000), " ",IF(INDEX($AO$2:$BQ$1001,MATCH(ROWS($AH$2:AH555),$AH$2:$AH$1001,0),MATCH(COLUMNS($AO$1006:BP1006),$AO$1006:$BQ$1006,0)), HYPERLINK("#",""), HYPERLINK(CONCATENATE("#Metadata!", ADDRESS(INDEX($AJ$2:$AJ$1001,MATCH(ROWS($AH$2:AH555),$AH$2:$AH$1001,0),0), INDEX($AO$1004:$BQ$1004,1,MATCH(COLUMNS($AO$1006:BP1006),$AO$1006:$BQ$1006,0)))),"Fix")))</f>
        <v>#N/A</v>
      </c>
      <c r="AD555" s="5" t="e">
        <f ca="1">IF(OR(INDEX($AI$2:$AI$1001,MATCH(ROWS($AH$2:AH555),$AH$2:$AH$1001,0),1)&gt;=100000,INDEX($AO$1005:$BQ$1005,1,MATCH(COLUMNS($AO$1006:BQ1006),$AO$1006:$BQ$1006,0))&gt;=100000), " ",IF(INDEX($AO$2:$BQ$1001,MATCH(ROWS($AH$2:AH555),$AH$2:$AH$1001,0),MATCH(COLUMNS($AO$1006:BQ1006),$AO$1006:$BQ$1006,0)), HYPERLINK("#",""), HYPERLINK(CONCATENATE("#Metadata!", ADDRESS(INDEX($AJ$2:$AJ$1001,MATCH(ROWS($AH$2:AH555),$AH$2:$AH$1001,0),0), INDEX($AO$1004:$BQ$1004,1,MATCH(COLUMNS($AO$1006:BQ1006),$AO$1006:$BQ$1006,0)))),"Fix")))</f>
        <v>#REF!</v>
      </c>
      <c r="AH555">
        <f ca="1"/>
        <v>552</v>
      </c>
      <c r="AI555">
        <v>100555</v>
      </c>
      <c r="AJ555">
        <v>555</v>
      </c>
      <c r="AK555" t="b">
        <f t="shared" si="8"/>
        <v>1</v>
      </c>
      <c r="AL555" t="b">
        <f>COUNTBLANK(Metadata!B555:AD555)=COLUMNS(Metadata!B555:AD555)</f>
        <v>1</v>
      </c>
      <c r="AM555" t="str">
        <v/>
      </c>
      <c r="AO555" t="b">
        <f ca="1">AND(IF(Metadata!B555="",FALSE,TRUE),COUNTIF(Metadata!B:B, Metadata!B555) = 1,NOT(ISERROR(SUMPRODUCT(SEARCH(MID(Metadata!B555,ROW(INDIRECT("1:"&amp;LEN(Metadata!B555))), 1),"0123456789abcdefghijklmnopqrstuvwxyzABCDEFGHIJKLMNOPQRSTUVWXYZ.")))))</f>
        <v>0</v>
      </c>
      <c r="AP555" t="b">
        <f>IF(Metadata!C555="",FALSE,TRUE)</f>
        <v>0</v>
      </c>
      <c r="AQ555" t="b">
        <f>IF(Metadata!D555="",FALSE,TRUE)</f>
        <v>0</v>
      </c>
      <c r="AR555" t="b">
        <f ca="1">OR(AND(IF(Metadata!E555="",FALSE,TRUE),OR(EXACT(Metadata!E555,"not collected"),EXACT(Metadata!E555,"not provided"),EXACT(Metadata!E555,"restricted access"))),AND(IF(Metadata!E555="",FALSE,TRUE),AND(AND(IFERROR(INT(LEFT(Metadata!E555,4))&gt;1900,FALSE),IFERROR(INT(LEFT(Metadata!E555,4))&lt;=YEAR(NOW()),FALSE)), OR(MID(Metadata!E555,5,1)="", AND(AND(MID(Metadata!E555,5,1)="-",IFERROR(INT(MID(Metadata!E555,6,1))&gt;=0,FALSE),IFERROR(INT(MID(Metadata!E555,6,1))&lt;=1,FALSE),NOT(MID(Metadata!E555,7,1)=""),IFERROR(INT(MID(Metadata!E555,6,2))&gt;=1,FALSE),IFERROR(INT(MID(Metadata!E555,6,2))&lt;=12,FALSE)), OR(MID(Metadata!E555,8,1)="", AND(AND(MID(Metadata!E555,8,1)="-",IFERROR(INT(MID(Metadata!E555,9,1))&gt;=0,FALSE),IFERROR(INT(MID(Metadata!E555,9,1))&lt;=3,FALSE),NOT(MID(Metadata!E555,10,1)=""),IFERROR(INT(MID(Metadata!E555,9,2))&gt;=1,FALSE),IFERROR(INT(MID(Metadata!E555,9,2))&lt;=31,FALSE)), OR(MID(Metadata!E555,11,1)="", AND(AND(MID(Metadata!E555,11,1)=" ",IFERROR(INT(MID(Metadata!E555,12,1))&gt;=0,FALSE),IFERROR(INT(MID(Metadata!E555,12,1))&lt;=2,FALSE),NOT(MID(Metadata!E555,13,1)=""),IFERROR(INT(MID(Metadata!E555,12,2))&gt;=0,FALSE),IFERROR(INT(MID(Metadata!E555,12,2))&lt;=23,FALSE)), OR(MID(Metadata!E555,14,1)="", AND(AND(MID(Metadata!E555,14,1)=":",IFERROR(INT(MID(Metadata!E555,15,1))&gt;=0,FALSE),IFERROR(INT(MID(Metadata!E555,15,1))&lt;=5,FALSE),NOT(MID(Metadata!E555,16,1)=""),IFERROR(INT(MID(Metadata!E555,15,2))&gt;=0,FALSE),IFERROR(INT(MID(Metadata!E555,15,2))&lt;=59,FALSE)), OR(MID(Metadata!E555,17,1)="", AND(AND(MID(Metadata!E555,17,1)=":",IFERROR(INT(MID(Metadata!E555,18,1))&gt;=0,FALSE),IFERROR(INT(MID(Metadata!E555,18,1))&lt;=5,FALSE),NOT(MID(Metadata!E555,19,1)=""),IFERROR(INT(MID(Metadata!E555,18,2))&gt;=0,FALSE),IFERROR(INT(MID(Metadata!E555,18,2))&lt;=59,FALSE)), LEN(Metadata!E555)&lt;=19)))))))))))))</f>
        <v>0</v>
      </c>
      <c r="AS555" t="b">
        <f>IF(Metadata!F555="",FALSE,TRUE)</f>
        <v>0</v>
      </c>
      <c r="AT555" t="b">
        <f>OR(AND(IF(Metadata!G555="",FALSE,TRUE),OR(EXACT(Metadata!G555,"not collected"),EXACT(Metadata!G555,"not provided"))),AND(IF(Metadata!G555="",FALSE,TRUE),OR(EXACT(Metadata!G555,"TRUE"),EXACT(Metadata!G555,"FALSE"))))</f>
        <v>0</v>
      </c>
      <c r="AU555" t="b">
        <f>OR(AND(IF(Metadata!H555="",FALSE,TRUE),OR(EXACT(Metadata!H555,"not collected"),EXACT(Metadata!H555,"not provided"),EXACT(Metadata!H555,"restricted access"))),AND(IF(Metadata!H555="",FALSE,ISNUMBER(VALUE(Metadata!H555))),Metadata!H555&gt;=-413))</f>
        <v>0</v>
      </c>
      <c r="AV555" t="b">
        <f>AND(IF(Metadata!I555="",FALSE,TRUE),EXACT(Metadata!I555,"meters"))</f>
        <v>0</v>
      </c>
      <c r="AW555" t="b">
        <f>AND(IF(Metadata!J555="",FALSE,TRUE),EXACT(Metadata!J555,"free-living"))</f>
        <v>0</v>
      </c>
      <c r="AX555" t="b">
        <f>AND(IF(Metadata!K555="",FALSE,TRUE),OR(EXACT(Metadata!K555,"saline"),EXACT(Metadata!K555,"non-saline")))</f>
        <v>0</v>
      </c>
      <c r="AY555" t="b">
        <f>AND(IF(Metadata!L555="",FALSE,TRUE),OR(EXACT(Metadata!L555,"sub-surface (non-saline)"),EXACT(Metadata!L555,"surface (non-saline)"),EXACT(Metadata!L555,"water (non-saline)"),EXACT(Metadata!L555,"soil (non-saline)"),EXACT(Metadata!L555,"aerosol (non-saline)"),EXACT(Metadata!L555,"sediment (non-saline)"),EXACT(Metadata!L555,"surface (saline)"),EXACT(Metadata!L555,"water (saline)"),EXACT(Metadata!L555,"hypersaline (saline)"),EXACT(Metadata!L555,"aerosol (saline)"),EXACT(Metadata!L555,"sediment (saline)")))</f>
        <v>0</v>
      </c>
      <c r="AZ555" t="b">
        <f>IF(Metadata!M555="",FALSE,TRUE)</f>
        <v>0</v>
      </c>
      <c r="BA555" t="b">
        <f>IF(Metadata!N555="",FALSE,TRUE)</f>
        <v>0</v>
      </c>
      <c r="BB555" t="b">
        <f>IF(Metadata!O555="",FALSE,TRUE)</f>
        <v>0</v>
      </c>
      <c r="BC555" t="b">
        <f>AND(IF(Metadata!P555="",FALSE,TRUE),OR(EXACT(Metadata!P555,"air"),EXACT(Metadata!P555,"microbial mat/biofilm"),EXACT(Metadata!P555,"misc environment"),EXACT(Metadata!P555,"sediment"),EXACT(Metadata!P555,"soil"),EXACT(Metadata!P555,"wastewater/sludge"),EXACT(Metadata!P555,"water")))</f>
        <v>0</v>
      </c>
      <c r="BD555" t="b">
        <f>IF(Metadata!Q555="",FALSE,TRUE)</f>
        <v>0</v>
      </c>
      <c r="BE555" t="b">
        <f>IF(Metadata!R555="",FALSE,TRUE)</f>
        <v>0</v>
      </c>
      <c r="BF555" t="b">
        <f>OR(AND(IF(Metadata!S555="",FALSE,TRUE),OR(EXACT(Metadata!S555,"not collected"),EXACT(Metadata!S555,"not provided"),EXACT(Metadata!S555,"restricted access"))),AND(IF(Metadata!S555="",FALSE,ISNUMBER(VALUE(Metadata!S555))),Metadata!S555&gt;=-90,Metadata!S555&lt;=90))</f>
        <v>0</v>
      </c>
      <c r="BG555" t="b">
        <f>AND(IF(Metadata!T555="",FALSE,TRUE),EXACT(Metadata!T555,"Decimal degrees"))</f>
        <v>0</v>
      </c>
      <c r="BH555" t="b">
        <f>OR(AND(IF(Metadata!U555="",FALSE,TRUE),OR(EXACT(Metadata!U555,"not applicable"),EXACT(Metadata!U555,"not collected"))),IF(Metadata!U555="",FALSE,TRUE))</f>
        <v>0</v>
      </c>
      <c r="BI555" t="b">
        <f>OR(AND(IF(Metadata!V555="",FALSE,TRUE),OR(EXACT(Metadata!V555,"not collected"),EXACT(Metadata!V555,"not provided"),EXACT(Metadata!V555,"restricted access"))),AND(IF(Metadata!V555="",FALSE,ISNUMBER(VALUE(Metadata!V555))),Metadata!V555&gt;=-180,Metadata!V555&lt;=180))</f>
        <v>0</v>
      </c>
      <c r="BJ555" t="b">
        <f>AND(IF(Metadata!W555="",FALSE,TRUE),EXACT(Metadata!W555,"Decimal degrees"))</f>
        <v>0</v>
      </c>
      <c r="BK555" t="b">
        <f>IF(Metadata!X555="",FALSE,TRUE)</f>
        <v>0</v>
      </c>
      <c r="BL555" t="b">
        <f>OR(AND(IF(Metadata!Y555="",FALSE,TRUE),OR(EXACT(Metadata!Y555,"not collected"),EXACT(Metadata!Y555,"not provided"),EXACT(Metadata!Y555,"restricted access"))),AND(IF(Metadata!Y555="",FALSE,TRUE),OR(EXACT(Metadata!Y555,"TRUE"),EXACT(Metadata!Y555,"FALSE"))))</f>
        <v>0</v>
      </c>
      <c r="BM555" t="b">
        <f>OR(AND(IF(Metadata!Z555="",FALSE,TRUE),EXACT(Metadata!Z555,"not applicable")),AND(IF(Metadata!Z555="",FALSE,TRUE),OR(EXACT(Metadata!Z555,"beer"),EXACT(Metadata!Z555,"cheese"),EXACT(Metadata!Z555,"fresh water"),EXACT(Metadata!Z555,"marine sediment"),EXACT(Metadata!Z555,"sea water"),EXACT(Metadata!Z555,"sediment"),EXACT(Metadata!Z555,"soil"),EXACT(Metadata!Z555,"waste water"))))</f>
        <v>0</v>
      </c>
      <c r="BN555" t="b">
        <f>AND(IF(Metadata!AA555="",FALSE,TRUE),EXACT(Metadata!AA555,"metagenome"))</f>
        <v>0</v>
      </c>
      <c r="BO555" t="b">
        <f>AND(IF(Metadata!AB555="",FALSE,TRUE),EXACT(Metadata!AB555,"256318"))</f>
        <v>0</v>
      </c>
      <c r="BP555" t="b">
        <f>IF(Metadata!AC555="",FALSE,TRUE)</f>
        <v>0</v>
      </c>
      <c r="BQ555" t="b">
        <f>IF(Metadata!AD555="",FALSE,TRUE)</f>
        <v>0</v>
      </c>
    </row>
    <row r="556" spans="1:69" x14ac:dyDescent="0.2">
      <c r="A556" s="4" t="e">
        <f ca="1">IF(B556=" "," ",HYPERLINK(CONCATENATE("#metadata!",ADDRESS(INDEX($AJ$2:$AJ$1001,MATCH(ROWS($AH$2:AH556),$AH$2:$AH$1001,0),0),2)),INDEX($AM$2:$AM$1001,MATCH(ROWS($AH$2:AH556),$AH$2:$AH$1001,0),0)))</f>
        <v>#N/A</v>
      </c>
      <c r="B556" s="5" t="e">
        <f ca="1">IF(OR(INDEX($AI$2:$AI$1001,MATCH(ROWS($AH$2:AH556),$AH$2:$AH$1001,0),1)&gt;=100000,INDEX($AO$1005:$BQ$1005,1,MATCH(COLUMNS($AO$1006:AO1006),$AO$1006:$BQ$1006,0))&gt;=100000), " ",IF(INDEX($AO$2:$BQ$1001,MATCH(ROWS($AH$2:AH556),$AH$2:$AH$1001,0),MATCH(COLUMNS($AO$1006:AO1006),$AO$1006:$BQ$1006,0)), HYPERLINK("#",""), HYPERLINK(CONCATENATE("#Metadata!", ADDRESS(INDEX($AJ$2:$AJ$1001,MATCH(ROWS($AH$2:AH556),$AH$2:$AH$1001,0),0), INDEX($AO$1004:$BQ$1004,1,MATCH(COLUMNS($AO$1006:AO1006),$AO$1006:$BQ$1006,0)))),"Fix")))</f>
        <v>#N/A</v>
      </c>
      <c r="C556" s="5" t="e">
        <f ca="1">IF(OR(INDEX($AI$2:$AI$1001,MATCH(ROWS($AH$2:AH556),$AH$2:$AH$1001,0),1)&gt;=100000,INDEX($AO$1005:$BQ$1005,1,MATCH(COLUMNS($AO$1006:AP1006),$AO$1006:$BQ$1006,0))&gt;=100000), " ",IF(INDEX($AO$2:$BQ$1001,MATCH(ROWS($AH$2:AH556),$AH$2:$AH$1001,0),MATCH(COLUMNS($AO$1006:AP1006),$AO$1006:$BQ$1006,0)), HYPERLINK("#",""), HYPERLINK(CONCATENATE("#Metadata!", ADDRESS(INDEX($AJ$2:$AJ$1001,MATCH(ROWS($AH$2:AH556),$AH$2:$AH$1001,0),0), INDEX($AO$1004:$BQ$1004,1,MATCH(COLUMNS($AO$1006:AP1006),$AO$1006:$BQ$1006,0)))),"Fix")))</f>
        <v>#N/A</v>
      </c>
      <c r="D556" s="5" t="e">
        <f ca="1">IF(OR(INDEX($AI$2:$AI$1001,MATCH(ROWS($AH$2:AH556),$AH$2:$AH$1001,0),1)&gt;=100000,INDEX($AO$1005:$BQ$1005,1,MATCH(COLUMNS($AO$1006:AQ1006),$AO$1006:$BQ$1006,0))&gt;=100000), " ",IF(INDEX($AO$2:$BQ$1001,MATCH(ROWS($AH$2:AH556),$AH$2:$AH$1001,0),MATCH(COLUMNS($AO$1006:AQ1006),$AO$1006:$BQ$1006,0)), HYPERLINK("#",""), HYPERLINK(CONCATENATE("#Metadata!", ADDRESS(INDEX($AJ$2:$AJ$1001,MATCH(ROWS($AH$2:AH556),$AH$2:$AH$1001,0),0), INDEX($AO$1004:$BQ$1004,1,MATCH(COLUMNS($AO$1006:AQ1006),$AO$1006:$BQ$1006,0)))),"Fix")))</f>
        <v>#N/A</v>
      </c>
      <c r="E556" s="5" t="e">
        <f ca="1">IF(OR(INDEX($AI$2:$AI$1001,MATCH(ROWS($AH$2:AH556),$AH$2:$AH$1001,0),1)&gt;=100000,INDEX($AO$1005:$BQ$1005,1,MATCH(COLUMNS($AO$1006:AR1006),$AO$1006:$BQ$1006,0))&gt;=100000), " ",IF(INDEX($AO$2:$BQ$1001,MATCH(ROWS($AH$2:AH556),$AH$2:$AH$1001,0),MATCH(COLUMNS($AO$1006:AR1006),$AO$1006:$BQ$1006,0)), HYPERLINK("#",""), HYPERLINK(CONCATENATE("#Metadata!", ADDRESS(INDEX($AJ$2:$AJ$1001,MATCH(ROWS($AH$2:AH556),$AH$2:$AH$1001,0),0), INDEX($AO$1004:$BQ$1004,1,MATCH(COLUMNS($AO$1006:AR1006),$AO$1006:$BQ$1006,0)))),"Fix")))</f>
        <v>#N/A</v>
      </c>
      <c r="F556" s="5" t="e">
        <f ca="1">IF(OR(INDEX($AI$2:$AI$1001,MATCH(ROWS($AH$2:AH556),$AH$2:$AH$1001,0),1)&gt;=100000,INDEX($AO$1005:$BQ$1005,1,MATCH(COLUMNS($AO$1006:AS1006),$AO$1006:$BQ$1006,0))&gt;=100000), " ",IF(INDEX($AO$2:$BQ$1001,MATCH(ROWS($AH$2:AH556),$AH$2:$AH$1001,0),MATCH(COLUMNS($AO$1006:AS1006),$AO$1006:$BQ$1006,0)), HYPERLINK("#",""), HYPERLINK(CONCATENATE("#Metadata!", ADDRESS(INDEX($AJ$2:$AJ$1001,MATCH(ROWS($AH$2:AH556),$AH$2:$AH$1001,0),0), INDEX($AO$1004:$BQ$1004,1,MATCH(COLUMNS($AO$1006:AS1006),$AO$1006:$BQ$1006,0)))),"Fix")))</f>
        <v>#N/A</v>
      </c>
      <c r="G556" s="5" t="e">
        <f ca="1">IF(OR(INDEX($AI$2:$AI$1001,MATCH(ROWS($AH$2:AH556),$AH$2:$AH$1001,0),1)&gt;=100000,INDEX($AO$1005:$BQ$1005,1,MATCH(COLUMNS($AO$1006:AT1006),$AO$1006:$BQ$1006,0))&gt;=100000), " ",IF(INDEX($AO$2:$BQ$1001,MATCH(ROWS($AH$2:AH556),$AH$2:$AH$1001,0),MATCH(COLUMNS($AO$1006:AT1006),$AO$1006:$BQ$1006,0)), HYPERLINK("#",""), HYPERLINK(CONCATENATE("#Metadata!", ADDRESS(INDEX($AJ$2:$AJ$1001,MATCH(ROWS($AH$2:AH556),$AH$2:$AH$1001,0),0), INDEX($AO$1004:$BQ$1004,1,MATCH(COLUMNS($AO$1006:AT1006),$AO$1006:$BQ$1006,0)))),"Fix")))</f>
        <v>#N/A</v>
      </c>
      <c r="H556" s="5" t="e">
        <f ca="1">IF(OR(INDEX($AI$2:$AI$1001,MATCH(ROWS($AH$2:AH556),$AH$2:$AH$1001,0),1)&gt;=100000,INDEX($AO$1005:$BQ$1005,1,MATCH(COLUMNS($AO$1006:AU1006),$AO$1006:$BQ$1006,0))&gt;=100000), " ",IF(INDEX($AO$2:$BQ$1001,MATCH(ROWS($AH$2:AH556),$AH$2:$AH$1001,0),MATCH(COLUMNS($AO$1006:AU1006),$AO$1006:$BQ$1006,0)), HYPERLINK("#",""), HYPERLINK(CONCATENATE("#Metadata!", ADDRESS(INDEX($AJ$2:$AJ$1001,MATCH(ROWS($AH$2:AH556),$AH$2:$AH$1001,0),0), INDEX($AO$1004:$BQ$1004,1,MATCH(COLUMNS($AO$1006:AU1006),$AO$1006:$BQ$1006,0)))),"Fix")))</f>
        <v>#N/A</v>
      </c>
      <c r="I556" s="5" t="e">
        <f ca="1">IF(OR(INDEX($AI$2:$AI$1001,MATCH(ROWS($AH$2:AH556),$AH$2:$AH$1001,0),1)&gt;=100000,INDEX($AO$1005:$BQ$1005,1,MATCH(COLUMNS($AO$1006:AV1006),$AO$1006:$BQ$1006,0))&gt;=100000), " ",IF(INDEX($AO$2:$BQ$1001,MATCH(ROWS($AH$2:AH556),$AH$2:$AH$1001,0),MATCH(COLUMNS($AO$1006:AV1006),$AO$1006:$BQ$1006,0)), HYPERLINK("#",""), HYPERLINK(CONCATENATE("#Metadata!", ADDRESS(INDEX($AJ$2:$AJ$1001,MATCH(ROWS($AH$2:AH556),$AH$2:$AH$1001,0),0), INDEX($AO$1004:$BQ$1004,1,MATCH(COLUMNS($AO$1006:AV1006),$AO$1006:$BQ$1006,0)))),"Fix")))</f>
        <v>#N/A</v>
      </c>
      <c r="J556" s="5" t="e">
        <f ca="1">IF(OR(INDEX($AI$2:$AI$1001,MATCH(ROWS($AH$2:AH556),$AH$2:$AH$1001,0),1)&gt;=100000,INDEX($AO$1005:$BQ$1005,1,MATCH(COLUMNS($AO$1006:AW1006),$AO$1006:$BQ$1006,0))&gt;=100000), " ",IF(INDEX($AO$2:$BQ$1001,MATCH(ROWS($AH$2:AH556),$AH$2:$AH$1001,0),MATCH(COLUMNS($AO$1006:AW1006),$AO$1006:$BQ$1006,0)), HYPERLINK("#",""), HYPERLINK(CONCATENATE("#Metadata!", ADDRESS(INDEX($AJ$2:$AJ$1001,MATCH(ROWS($AH$2:AH556),$AH$2:$AH$1001,0),0), INDEX($AO$1004:$BQ$1004,1,MATCH(COLUMNS($AO$1006:AW1006),$AO$1006:$BQ$1006,0)))),"Fix")))</f>
        <v>#N/A</v>
      </c>
      <c r="K556" s="5" t="e">
        <f ca="1">IF(OR(INDEX($AI$2:$AI$1001,MATCH(ROWS($AH$2:AH556),$AH$2:$AH$1001,0),1)&gt;=100000,INDEX($AO$1005:$BQ$1005,1,MATCH(COLUMNS($AO$1006:AX1006),$AO$1006:$BQ$1006,0))&gt;=100000), " ",IF(INDEX($AO$2:$BQ$1001,MATCH(ROWS($AH$2:AH556),$AH$2:$AH$1001,0),MATCH(COLUMNS($AO$1006:AX1006),$AO$1006:$BQ$1006,0)), HYPERLINK("#",""), HYPERLINK(CONCATENATE("#Metadata!", ADDRESS(INDEX($AJ$2:$AJ$1001,MATCH(ROWS($AH$2:AH556),$AH$2:$AH$1001,0),0), INDEX($AO$1004:$BQ$1004,1,MATCH(COLUMNS($AO$1006:AX1006),$AO$1006:$BQ$1006,0)))),"Fix")))</f>
        <v>#N/A</v>
      </c>
      <c r="L556" s="5" t="e">
        <f ca="1">IF(OR(INDEX($AI$2:$AI$1001,MATCH(ROWS($AH$2:AH556),$AH$2:$AH$1001,0),1)&gt;=100000,INDEX($AO$1005:$BQ$1005,1,MATCH(COLUMNS($AO$1006:AY1006),$AO$1006:$BQ$1006,0))&gt;=100000), " ",IF(INDEX($AO$2:$BQ$1001,MATCH(ROWS($AH$2:AH556),$AH$2:$AH$1001,0),MATCH(COLUMNS($AO$1006:AY1006),$AO$1006:$BQ$1006,0)), HYPERLINK("#",""), HYPERLINK(CONCATENATE("#Metadata!", ADDRESS(INDEX($AJ$2:$AJ$1001,MATCH(ROWS($AH$2:AH556),$AH$2:$AH$1001,0),0), INDEX($AO$1004:$BQ$1004,1,MATCH(COLUMNS($AO$1006:AY1006),$AO$1006:$BQ$1006,0)))),"Fix")))</f>
        <v>#N/A</v>
      </c>
      <c r="M556" s="5" t="e">
        <f ca="1">IF(OR(INDEX($AI$2:$AI$1001,MATCH(ROWS($AH$2:AH556),$AH$2:$AH$1001,0),1)&gt;=100000,INDEX($AO$1005:$BQ$1005,1,MATCH(COLUMNS($AO$1006:AZ1006),$AO$1006:$BQ$1006,0))&gt;=100000), " ",IF(INDEX($AO$2:$BQ$1001,MATCH(ROWS($AH$2:AH556),$AH$2:$AH$1001,0),MATCH(COLUMNS($AO$1006:AZ1006),$AO$1006:$BQ$1006,0)), HYPERLINK("#",""), HYPERLINK(CONCATENATE("#Metadata!", ADDRESS(INDEX($AJ$2:$AJ$1001,MATCH(ROWS($AH$2:AH556),$AH$2:$AH$1001,0),0), INDEX($AO$1004:$BQ$1004,1,MATCH(COLUMNS($AO$1006:AZ1006),$AO$1006:$BQ$1006,0)))),"Fix")))</f>
        <v>#N/A</v>
      </c>
      <c r="N556" s="5" t="e">
        <f ca="1">IF(OR(INDEX($AI$2:$AI$1001,MATCH(ROWS($AH$2:AH556),$AH$2:$AH$1001,0),1)&gt;=100000,INDEX($AO$1005:$BQ$1005,1,MATCH(COLUMNS($AO$1006:BA1006),$AO$1006:$BQ$1006,0))&gt;=100000), " ",IF(INDEX($AO$2:$BQ$1001,MATCH(ROWS($AH$2:AH556),$AH$2:$AH$1001,0),MATCH(COLUMNS($AO$1006:BA1006),$AO$1006:$BQ$1006,0)), HYPERLINK("#",""), HYPERLINK(CONCATENATE("#Metadata!", ADDRESS(INDEX($AJ$2:$AJ$1001,MATCH(ROWS($AH$2:AH556),$AH$2:$AH$1001,0),0), INDEX($AO$1004:$BQ$1004,1,MATCH(COLUMNS($AO$1006:BA1006),$AO$1006:$BQ$1006,0)))),"Fix")))</f>
        <v>#N/A</v>
      </c>
      <c r="O556" s="5" t="e">
        <f ca="1">IF(OR(INDEX($AI$2:$AI$1001,MATCH(ROWS($AH$2:AH556),$AH$2:$AH$1001,0),1)&gt;=100000,INDEX($AO$1005:$BQ$1005,1,MATCH(COLUMNS($AO$1006:BB1006),$AO$1006:$BQ$1006,0))&gt;=100000), " ",IF(INDEX($AO$2:$BQ$1001,MATCH(ROWS($AH$2:AH556),$AH$2:$AH$1001,0),MATCH(COLUMNS($AO$1006:BB1006),$AO$1006:$BQ$1006,0)), HYPERLINK("#",""), HYPERLINK(CONCATENATE("#Metadata!", ADDRESS(INDEX($AJ$2:$AJ$1001,MATCH(ROWS($AH$2:AH556),$AH$2:$AH$1001,0),0), INDEX($AO$1004:$BQ$1004,1,MATCH(COLUMNS($AO$1006:BB1006),$AO$1006:$BQ$1006,0)))),"Fix")))</f>
        <v>#N/A</v>
      </c>
      <c r="P556" s="5" t="e">
        <f ca="1">IF(OR(INDEX($AI$2:$AI$1001,MATCH(ROWS($AH$2:AH556),$AH$2:$AH$1001,0),1)&gt;=100000,INDEX($AO$1005:$BQ$1005,1,MATCH(COLUMNS($AO$1006:BC1006),$AO$1006:$BQ$1006,0))&gt;=100000), " ",IF(INDEX($AO$2:$BQ$1001,MATCH(ROWS($AH$2:AH556),$AH$2:$AH$1001,0),MATCH(COLUMNS($AO$1006:BC1006),$AO$1006:$BQ$1006,0)), HYPERLINK("#",""), HYPERLINK(CONCATENATE("#Metadata!", ADDRESS(INDEX($AJ$2:$AJ$1001,MATCH(ROWS($AH$2:AH556),$AH$2:$AH$1001,0),0), INDEX($AO$1004:$BQ$1004,1,MATCH(COLUMNS($AO$1006:BC1006),$AO$1006:$BQ$1006,0)))),"Fix")))</f>
        <v>#N/A</v>
      </c>
      <c r="Q556" s="5" t="e">
        <f ca="1">IF(OR(INDEX($AI$2:$AI$1001,MATCH(ROWS($AH$2:AH556),$AH$2:$AH$1001,0),1)&gt;=100000,INDEX($AO$1005:$BQ$1005,1,MATCH(COLUMNS($AO$1006:BD1006),$AO$1006:$BQ$1006,0))&gt;=100000), " ",IF(INDEX($AO$2:$BQ$1001,MATCH(ROWS($AH$2:AH556),$AH$2:$AH$1001,0),MATCH(COLUMNS($AO$1006:BD1006),$AO$1006:$BQ$1006,0)), HYPERLINK("#",""), HYPERLINK(CONCATENATE("#Metadata!", ADDRESS(INDEX($AJ$2:$AJ$1001,MATCH(ROWS($AH$2:AH556),$AH$2:$AH$1001,0),0), INDEX($AO$1004:$BQ$1004,1,MATCH(COLUMNS($AO$1006:BD1006),$AO$1006:$BQ$1006,0)))),"Fix")))</f>
        <v>#N/A</v>
      </c>
      <c r="R556" s="5" t="e">
        <f ca="1">IF(OR(INDEX($AI$2:$AI$1001,MATCH(ROWS($AH$2:AH556),$AH$2:$AH$1001,0),1)&gt;=100000,INDEX($AO$1005:$BQ$1005,1,MATCH(COLUMNS($AO$1006:BE1006),$AO$1006:$BQ$1006,0))&gt;=100000), " ",IF(INDEX($AO$2:$BQ$1001,MATCH(ROWS($AH$2:AH556),$AH$2:$AH$1001,0),MATCH(COLUMNS($AO$1006:BE1006),$AO$1006:$BQ$1006,0)), HYPERLINK("#",""), HYPERLINK(CONCATENATE("#Metadata!", ADDRESS(INDEX($AJ$2:$AJ$1001,MATCH(ROWS($AH$2:AH556),$AH$2:$AH$1001,0),0), INDEX($AO$1004:$BQ$1004,1,MATCH(COLUMNS($AO$1006:BE1006),$AO$1006:$BQ$1006,0)))),"Fix")))</f>
        <v>#N/A</v>
      </c>
      <c r="S556" s="5" t="e">
        <f ca="1">IF(OR(INDEX($AI$2:$AI$1001,MATCH(ROWS($AH$2:AH556),$AH$2:$AH$1001,0),1)&gt;=100000,INDEX($AO$1005:$BQ$1005,1,MATCH(COLUMNS($AO$1006:BF1006),$AO$1006:$BQ$1006,0))&gt;=100000), " ",IF(INDEX($AO$2:$BQ$1001,MATCH(ROWS($AH$2:AH556),$AH$2:$AH$1001,0),MATCH(COLUMNS($AO$1006:BF1006),$AO$1006:$BQ$1006,0)), HYPERLINK("#",""), HYPERLINK(CONCATENATE("#Metadata!", ADDRESS(INDEX($AJ$2:$AJ$1001,MATCH(ROWS($AH$2:AH556),$AH$2:$AH$1001,0),0), INDEX($AO$1004:$BQ$1004,1,MATCH(COLUMNS($AO$1006:BF1006),$AO$1006:$BQ$1006,0)))),"Fix")))</f>
        <v>#N/A</v>
      </c>
      <c r="T556" s="5" t="e">
        <f ca="1">IF(OR(INDEX($AI$2:$AI$1001,MATCH(ROWS($AH$2:AH556),$AH$2:$AH$1001,0),1)&gt;=100000,INDEX($AO$1005:$BQ$1005,1,MATCH(COLUMNS($AO$1006:BG1006),$AO$1006:$BQ$1006,0))&gt;=100000), " ",IF(INDEX($AO$2:$BQ$1001,MATCH(ROWS($AH$2:AH556),$AH$2:$AH$1001,0),MATCH(COLUMNS($AO$1006:BG1006),$AO$1006:$BQ$1006,0)), HYPERLINK("#",""), HYPERLINK(CONCATENATE("#Metadata!", ADDRESS(INDEX($AJ$2:$AJ$1001,MATCH(ROWS($AH$2:AH556),$AH$2:$AH$1001,0),0), INDEX($AO$1004:$BQ$1004,1,MATCH(COLUMNS($AO$1006:BG1006),$AO$1006:$BQ$1006,0)))),"Fix")))</f>
        <v>#N/A</v>
      </c>
      <c r="U556" s="5" t="e">
        <f ca="1">IF(OR(INDEX($AI$2:$AI$1001,MATCH(ROWS($AH$2:AH556),$AH$2:$AH$1001,0),1)&gt;=100000,INDEX($AO$1005:$BQ$1005,1,MATCH(COLUMNS($AO$1006:BH1006),$AO$1006:$BQ$1006,0))&gt;=100000), " ",IF(INDEX($AO$2:$BQ$1001,MATCH(ROWS($AH$2:AH556),$AH$2:$AH$1001,0),MATCH(COLUMNS($AO$1006:BH1006),$AO$1006:$BQ$1006,0)), HYPERLINK("#",""), HYPERLINK(CONCATENATE("#Metadata!", ADDRESS(INDEX($AJ$2:$AJ$1001,MATCH(ROWS($AH$2:AH556),$AH$2:$AH$1001,0),0), INDEX($AO$1004:$BQ$1004,1,MATCH(COLUMNS($AO$1006:BH1006),$AO$1006:$BQ$1006,0)))),"Fix")))</f>
        <v>#N/A</v>
      </c>
      <c r="V556" s="5" t="e">
        <f ca="1">IF(OR(INDEX($AI$2:$AI$1001,MATCH(ROWS($AH$2:AH556),$AH$2:$AH$1001,0),1)&gt;=100000,INDEX($AO$1005:$BQ$1005,1,MATCH(COLUMNS($AO$1006:BI1006),$AO$1006:$BQ$1006,0))&gt;=100000), " ",IF(INDEX($AO$2:$BQ$1001,MATCH(ROWS($AH$2:AH556),$AH$2:$AH$1001,0),MATCH(COLUMNS($AO$1006:BI1006),$AO$1006:$BQ$1006,0)), HYPERLINK("#",""), HYPERLINK(CONCATENATE("#Metadata!", ADDRESS(INDEX($AJ$2:$AJ$1001,MATCH(ROWS($AH$2:AH556),$AH$2:$AH$1001,0),0), INDEX($AO$1004:$BQ$1004,1,MATCH(COLUMNS($AO$1006:BI1006),$AO$1006:$BQ$1006,0)))),"Fix")))</f>
        <v>#N/A</v>
      </c>
      <c r="W556" s="5" t="e">
        <f ca="1">IF(OR(INDEX($AI$2:$AI$1001,MATCH(ROWS($AH$2:AH556),$AH$2:$AH$1001,0),1)&gt;=100000,INDEX($AO$1005:$BQ$1005,1,MATCH(COLUMNS($AO$1006:BJ1006),$AO$1006:$BQ$1006,0))&gt;=100000), " ",IF(INDEX($AO$2:$BQ$1001,MATCH(ROWS($AH$2:AH556),$AH$2:$AH$1001,0),MATCH(COLUMNS($AO$1006:BJ1006),$AO$1006:$BQ$1006,0)), HYPERLINK("#",""), HYPERLINK(CONCATENATE("#Metadata!", ADDRESS(INDEX($AJ$2:$AJ$1001,MATCH(ROWS($AH$2:AH556),$AH$2:$AH$1001,0),0), INDEX($AO$1004:$BQ$1004,1,MATCH(COLUMNS($AO$1006:BJ1006),$AO$1006:$BQ$1006,0)))),"Fix")))</f>
        <v>#N/A</v>
      </c>
      <c r="X556" s="5" t="e">
        <f ca="1">IF(OR(INDEX($AI$2:$AI$1001,MATCH(ROWS($AH$2:AH556),$AH$2:$AH$1001,0),1)&gt;=100000,INDEX($AO$1005:$BQ$1005,1,MATCH(COLUMNS($AO$1006:BK1006),$AO$1006:$BQ$1006,0))&gt;=100000), " ",IF(INDEX($AO$2:$BQ$1001,MATCH(ROWS($AH$2:AH556),$AH$2:$AH$1001,0),MATCH(COLUMNS($AO$1006:BK1006),$AO$1006:$BQ$1006,0)), HYPERLINK("#",""), HYPERLINK(CONCATENATE("#Metadata!", ADDRESS(INDEX($AJ$2:$AJ$1001,MATCH(ROWS($AH$2:AH556),$AH$2:$AH$1001,0),0), INDEX($AO$1004:$BQ$1004,1,MATCH(COLUMNS($AO$1006:BK1006),$AO$1006:$BQ$1006,0)))),"Fix")))</f>
        <v>#N/A</v>
      </c>
      <c r="Y556" s="5" t="e">
        <f ca="1">IF(OR(INDEX($AI$2:$AI$1001,MATCH(ROWS($AH$2:AH556),$AH$2:$AH$1001,0),1)&gt;=100000,INDEX($AO$1005:$BQ$1005,1,MATCH(COLUMNS($AO$1006:BL1006),$AO$1006:$BQ$1006,0))&gt;=100000), " ",IF(INDEX($AO$2:$BQ$1001,MATCH(ROWS($AH$2:AH556),$AH$2:$AH$1001,0),MATCH(COLUMNS($AO$1006:BL1006),$AO$1006:$BQ$1006,0)), HYPERLINK("#",""), HYPERLINK(CONCATENATE("#Metadata!", ADDRESS(INDEX($AJ$2:$AJ$1001,MATCH(ROWS($AH$2:AH556),$AH$2:$AH$1001,0),0), INDEX($AO$1004:$BQ$1004,1,MATCH(COLUMNS($AO$1006:BL1006),$AO$1006:$BQ$1006,0)))),"Fix")))</f>
        <v>#N/A</v>
      </c>
      <c r="Z556" s="5" t="e">
        <f ca="1">IF(OR(INDEX($AI$2:$AI$1001,MATCH(ROWS($AH$2:AH556),$AH$2:$AH$1001,0),1)&gt;=100000,INDEX($AO$1005:$BQ$1005,1,MATCH(COLUMNS($AO$1006:BM1006),$AO$1006:$BQ$1006,0))&gt;=100000), " ",IF(INDEX($AO$2:$BQ$1001,MATCH(ROWS($AH$2:AH556),$AH$2:$AH$1001,0),MATCH(COLUMNS($AO$1006:BM1006),$AO$1006:$BQ$1006,0)), HYPERLINK("#",""), HYPERLINK(CONCATENATE("#Metadata!", ADDRESS(INDEX($AJ$2:$AJ$1001,MATCH(ROWS($AH$2:AH556),$AH$2:$AH$1001,0),0), INDEX($AO$1004:$BQ$1004,1,MATCH(COLUMNS($AO$1006:BM1006),$AO$1006:$BQ$1006,0)))),"Fix")))</f>
        <v>#N/A</v>
      </c>
      <c r="AA556" s="5" t="e">
        <f ca="1">IF(OR(INDEX($AI$2:$AI$1001,MATCH(ROWS($AH$2:AH556),$AH$2:$AH$1001,0),1)&gt;=100000,INDEX($AO$1005:$BQ$1005,1,MATCH(COLUMNS($AO$1006:BN1006),$AO$1006:$BQ$1006,0))&gt;=100000), " ",IF(INDEX($AO$2:$BQ$1001,MATCH(ROWS($AH$2:AH556),$AH$2:$AH$1001,0),MATCH(COLUMNS($AO$1006:BN1006),$AO$1006:$BQ$1006,0)), HYPERLINK("#",""), HYPERLINK(CONCATENATE("#Metadata!", ADDRESS(INDEX($AJ$2:$AJ$1001,MATCH(ROWS($AH$2:AH556),$AH$2:$AH$1001,0),0), INDEX($AO$1004:$BQ$1004,1,MATCH(COLUMNS($AO$1006:BN1006),$AO$1006:$BQ$1006,0)))),"Fix")))</f>
        <v>#N/A</v>
      </c>
      <c r="AB556" s="5" t="e">
        <f ca="1">IF(OR(INDEX($AI$2:$AI$1001,MATCH(ROWS($AH$2:AH556),$AH$2:$AH$1001,0),1)&gt;=100000,INDEX($AO$1005:$BQ$1005,1,MATCH(COLUMNS($AO$1006:BO1006),$AO$1006:$BQ$1006,0))&gt;=100000), " ",IF(INDEX($AO$2:$BQ$1001,MATCH(ROWS($AH$2:AH556),$AH$2:$AH$1001,0),MATCH(COLUMNS($AO$1006:BO1006),$AO$1006:$BQ$1006,0)), HYPERLINK("#",""), HYPERLINK(CONCATENATE("#Metadata!", ADDRESS(INDEX($AJ$2:$AJ$1001,MATCH(ROWS($AH$2:AH556),$AH$2:$AH$1001,0),0), INDEX($AO$1004:$BQ$1004,1,MATCH(COLUMNS($AO$1006:BO1006),$AO$1006:$BQ$1006,0)))),"Fix")))</f>
        <v>#N/A</v>
      </c>
      <c r="AC556" s="5" t="e">
        <f ca="1">IF(OR(INDEX($AI$2:$AI$1001,MATCH(ROWS($AH$2:AH556),$AH$2:$AH$1001,0),1)&gt;=100000,INDEX($AO$1005:$BQ$1005,1,MATCH(COLUMNS($AO$1006:BP1006),$AO$1006:$BQ$1006,0))&gt;=100000), " ",IF(INDEX($AO$2:$BQ$1001,MATCH(ROWS($AH$2:AH556),$AH$2:$AH$1001,0),MATCH(COLUMNS($AO$1006:BP1006),$AO$1006:$BQ$1006,0)), HYPERLINK("#",""), HYPERLINK(CONCATENATE("#Metadata!", ADDRESS(INDEX($AJ$2:$AJ$1001,MATCH(ROWS($AH$2:AH556),$AH$2:$AH$1001,0),0), INDEX($AO$1004:$BQ$1004,1,MATCH(COLUMNS($AO$1006:BP1006),$AO$1006:$BQ$1006,0)))),"Fix")))</f>
        <v>#N/A</v>
      </c>
      <c r="AD556" s="5" t="e">
        <f ca="1">IF(OR(INDEX($AI$2:$AI$1001,MATCH(ROWS($AH$2:AH556),$AH$2:$AH$1001,0),1)&gt;=100000,INDEX($AO$1005:$BQ$1005,1,MATCH(COLUMNS($AO$1006:BQ1006),$AO$1006:$BQ$1006,0))&gt;=100000), " ",IF(INDEX($AO$2:$BQ$1001,MATCH(ROWS($AH$2:AH556),$AH$2:$AH$1001,0),MATCH(COLUMNS($AO$1006:BQ1006),$AO$1006:$BQ$1006,0)), HYPERLINK("#",""), HYPERLINK(CONCATENATE("#Metadata!", ADDRESS(INDEX($AJ$2:$AJ$1001,MATCH(ROWS($AH$2:AH556),$AH$2:$AH$1001,0),0), INDEX($AO$1004:$BQ$1004,1,MATCH(COLUMNS($AO$1006:BQ1006),$AO$1006:$BQ$1006,0)))),"Fix")))</f>
        <v>#REF!</v>
      </c>
      <c r="AH556">
        <f ca="1"/>
        <v>553</v>
      </c>
      <c r="AI556">
        <v>100556</v>
      </c>
      <c r="AJ556">
        <v>556</v>
      </c>
      <c r="AK556" t="b">
        <f t="shared" si="8"/>
        <v>1</v>
      </c>
      <c r="AL556" t="b">
        <f>COUNTBLANK(Metadata!B556:AD556)=COLUMNS(Metadata!B556:AD556)</f>
        <v>1</v>
      </c>
      <c r="AM556" t="str">
        <v/>
      </c>
      <c r="AO556" t="b">
        <f ca="1">AND(IF(Metadata!B556="",FALSE,TRUE),COUNTIF(Metadata!B:B, Metadata!B556) = 1,NOT(ISERROR(SUMPRODUCT(SEARCH(MID(Metadata!B556,ROW(INDIRECT("1:"&amp;LEN(Metadata!B556))), 1),"0123456789abcdefghijklmnopqrstuvwxyzABCDEFGHIJKLMNOPQRSTUVWXYZ.")))))</f>
        <v>0</v>
      </c>
      <c r="AP556" t="b">
        <f>IF(Metadata!C556="",FALSE,TRUE)</f>
        <v>0</v>
      </c>
      <c r="AQ556" t="b">
        <f>IF(Metadata!D556="",FALSE,TRUE)</f>
        <v>0</v>
      </c>
      <c r="AR556" t="b">
        <f ca="1">OR(AND(IF(Metadata!E556="",FALSE,TRUE),OR(EXACT(Metadata!E556,"not collected"),EXACT(Metadata!E556,"not provided"),EXACT(Metadata!E556,"restricted access"))),AND(IF(Metadata!E556="",FALSE,TRUE),AND(AND(IFERROR(INT(LEFT(Metadata!E556,4))&gt;1900,FALSE),IFERROR(INT(LEFT(Metadata!E556,4))&lt;=YEAR(NOW()),FALSE)), OR(MID(Metadata!E556,5,1)="", AND(AND(MID(Metadata!E556,5,1)="-",IFERROR(INT(MID(Metadata!E556,6,1))&gt;=0,FALSE),IFERROR(INT(MID(Metadata!E556,6,1))&lt;=1,FALSE),NOT(MID(Metadata!E556,7,1)=""),IFERROR(INT(MID(Metadata!E556,6,2))&gt;=1,FALSE),IFERROR(INT(MID(Metadata!E556,6,2))&lt;=12,FALSE)), OR(MID(Metadata!E556,8,1)="", AND(AND(MID(Metadata!E556,8,1)="-",IFERROR(INT(MID(Metadata!E556,9,1))&gt;=0,FALSE),IFERROR(INT(MID(Metadata!E556,9,1))&lt;=3,FALSE),NOT(MID(Metadata!E556,10,1)=""),IFERROR(INT(MID(Metadata!E556,9,2))&gt;=1,FALSE),IFERROR(INT(MID(Metadata!E556,9,2))&lt;=31,FALSE)), OR(MID(Metadata!E556,11,1)="", AND(AND(MID(Metadata!E556,11,1)=" ",IFERROR(INT(MID(Metadata!E556,12,1))&gt;=0,FALSE),IFERROR(INT(MID(Metadata!E556,12,1))&lt;=2,FALSE),NOT(MID(Metadata!E556,13,1)=""),IFERROR(INT(MID(Metadata!E556,12,2))&gt;=0,FALSE),IFERROR(INT(MID(Metadata!E556,12,2))&lt;=23,FALSE)), OR(MID(Metadata!E556,14,1)="", AND(AND(MID(Metadata!E556,14,1)=":",IFERROR(INT(MID(Metadata!E556,15,1))&gt;=0,FALSE),IFERROR(INT(MID(Metadata!E556,15,1))&lt;=5,FALSE),NOT(MID(Metadata!E556,16,1)=""),IFERROR(INT(MID(Metadata!E556,15,2))&gt;=0,FALSE),IFERROR(INT(MID(Metadata!E556,15,2))&lt;=59,FALSE)), OR(MID(Metadata!E556,17,1)="", AND(AND(MID(Metadata!E556,17,1)=":",IFERROR(INT(MID(Metadata!E556,18,1))&gt;=0,FALSE),IFERROR(INT(MID(Metadata!E556,18,1))&lt;=5,FALSE),NOT(MID(Metadata!E556,19,1)=""),IFERROR(INT(MID(Metadata!E556,18,2))&gt;=0,FALSE),IFERROR(INT(MID(Metadata!E556,18,2))&lt;=59,FALSE)), LEN(Metadata!E556)&lt;=19)))))))))))))</f>
        <v>0</v>
      </c>
      <c r="AS556" t="b">
        <f>IF(Metadata!F556="",FALSE,TRUE)</f>
        <v>0</v>
      </c>
      <c r="AT556" t="b">
        <f>OR(AND(IF(Metadata!G556="",FALSE,TRUE),OR(EXACT(Metadata!G556,"not collected"),EXACT(Metadata!G556,"not provided"))),AND(IF(Metadata!G556="",FALSE,TRUE),OR(EXACT(Metadata!G556,"TRUE"),EXACT(Metadata!G556,"FALSE"))))</f>
        <v>0</v>
      </c>
      <c r="AU556" t="b">
        <f>OR(AND(IF(Metadata!H556="",FALSE,TRUE),OR(EXACT(Metadata!H556,"not collected"),EXACT(Metadata!H556,"not provided"),EXACT(Metadata!H556,"restricted access"))),AND(IF(Metadata!H556="",FALSE,ISNUMBER(VALUE(Metadata!H556))),Metadata!H556&gt;=-413))</f>
        <v>0</v>
      </c>
      <c r="AV556" t="b">
        <f>AND(IF(Metadata!I556="",FALSE,TRUE),EXACT(Metadata!I556,"meters"))</f>
        <v>0</v>
      </c>
      <c r="AW556" t="b">
        <f>AND(IF(Metadata!J556="",FALSE,TRUE),EXACT(Metadata!J556,"free-living"))</f>
        <v>0</v>
      </c>
      <c r="AX556" t="b">
        <f>AND(IF(Metadata!K556="",FALSE,TRUE),OR(EXACT(Metadata!K556,"saline"),EXACT(Metadata!K556,"non-saline")))</f>
        <v>0</v>
      </c>
      <c r="AY556" t="b">
        <f>AND(IF(Metadata!L556="",FALSE,TRUE),OR(EXACT(Metadata!L556,"sub-surface (non-saline)"),EXACT(Metadata!L556,"surface (non-saline)"),EXACT(Metadata!L556,"water (non-saline)"),EXACT(Metadata!L556,"soil (non-saline)"),EXACT(Metadata!L556,"aerosol (non-saline)"),EXACT(Metadata!L556,"sediment (non-saline)"),EXACT(Metadata!L556,"surface (saline)"),EXACT(Metadata!L556,"water (saline)"),EXACT(Metadata!L556,"hypersaline (saline)"),EXACT(Metadata!L556,"aerosol (saline)"),EXACT(Metadata!L556,"sediment (saline)")))</f>
        <v>0</v>
      </c>
      <c r="AZ556" t="b">
        <f>IF(Metadata!M556="",FALSE,TRUE)</f>
        <v>0</v>
      </c>
      <c r="BA556" t="b">
        <f>IF(Metadata!N556="",FALSE,TRUE)</f>
        <v>0</v>
      </c>
      <c r="BB556" t="b">
        <f>IF(Metadata!O556="",FALSE,TRUE)</f>
        <v>0</v>
      </c>
      <c r="BC556" t="b">
        <f>AND(IF(Metadata!P556="",FALSE,TRUE),OR(EXACT(Metadata!P556,"air"),EXACT(Metadata!P556,"microbial mat/biofilm"),EXACT(Metadata!P556,"misc environment"),EXACT(Metadata!P556,"sediment"),EXACT(Metadata!P556,"soil"),EXACT(Metadata!P556,"wastewater/sludge"),EXACT(Metadata!P556,"water")))</f>
        <v>0</v>
      </c>
      <c r="BD556" t="b">
        <f>IF(Metadata!Q556="",FALSE,TRUE)</f>
        <v>0</v>
      </c>
      <c r="BE556" t="b">
        <f>IF(Metadata!R556="",FALSE,TRUE)</f>
        <v>0</v>
      </c>
      <c r="BF556" t="b">
        <f>OR(AND(IF(Metadata!S556="",FALSE,TRUE),OR(EXACT(Metadata!S556,"not collected"),EXACT(Metadata!S556,"not provided"),EXACT(Metadata!S556,"restricted access"))),AND(IF(Metadata!S556="",FALSE,ISNUMBER(VALUE(Metadata!S556))),Metadata!S556&gt;=-90,Metadata!S556&lt;=90))</f>
        <v>0</v>
      </c>
      <c r="BG556" t="b">
        <f>AND(IF(Metadata!T556="",FALSE,TRUE),EXACT(Metadata!T556,"Decimal degrees"))</f>
        <v>0</v>
      </c>
      <c r="BH556" t="b">
        <f>OR(AND(IF(Metadata!U556="",FALSE,TRUE),OR(EXACT(Metadata!U556,"not applicable"),EXACT(Metadata!U556,"not collected"))),IF(Metadata!U556="",FALSE,TRUE))</f>
        <v>0</v>
      </c>
      <c r="BI556" t="b">
        <f>OR(AND(IF(Metadata!V556="",FALSE,TRUE),OR(EXACT(Metadata!V556,"not collected"),EXACT(Metadata!V556,"not provided"),EXACT(Metadata!V556,"restricted access"))),AND(IF(Metadata!V556="",FALSE,ISNUMBER(VALUE(Metadata!V556))),Metadata!V556&gt;=-180,Metadata!V556&lt;=180))</f>
        <v>0</v>
      </c>
      <c r="BJ556" t="b">
        <f>AND(IF(Metadata!W556="",FALSE,TRUE),EXACT(Metadata!W556,"Decimal degrees"))</f>
        <v>0</v>
      </c>
      <c r="BK556" t="b">
        <f>IF(Metadata!X556="",FALSE,TRUE)</f>
        <v>0</v>
      </c>
      <c r="BL556" t="b">
        <f>OR(AND(IF(Metadata!Y556="",FALSE,TRUE),OR(EXACT(Metadata!Y556,"not collected"),EXACT(Metadata!Y556,"not provided"),EXACT(Metadata!Y556,"restricted access"))),AND(IF(Metadata!Y556="",FALSE,TRUE),OR(EXACT(Metadata!Y556,"TRUE"),EXACT(Metadata!Y556,"FALSE"))))</f>
        <v>0</v>
      </c>
      <c r="BM556" t="b">
        <f>OR(AND(IF(Metadata!Z556="",FALSE,TRUE),EXACT(Metadata!Z556,"not applicable")),AND(IF(Metadata!Z556="",FALSE,TRUE),OR(EXACT(Metadata!Z556,"beer"),EXACT(Metadata!Z556,"cheese"),EXACT(Metadata!Z556,"fresh water"),EXACT(Metadata!Z556,"marine sediment"),EXACT(Metadata!Z556,"sea water"),EXACT(Metadata!Z556,"sediment"),EXACT(Metadata!Z556,"soil"),EXACT(Metadata!Z556,"waste water"))))</f>
        <v>0</v>
      </c>
      <c r="BN556" t="b">
        <f>AND(IF(Metadata!AA556="",FALSE,TRUE),EXACT(Metadata!AA556,"metagenome"))</f>
        <v>0</v>
      </c>
      <c r="BO556" t="b">
        <f>AND(IF(Metadata!AB556="",FALSE,TRUE),EXACT(Metadata!AB556,"256318"))</f>
        <v>0</v>
      </c>
      <c r="BP556" t="b">
        <f>IF(Metadata!AC556="",FALSE,TRUE)</f>
        <v>0</v>
      </c>
      <c r="BQ556" t="b">
        <f>IF(Metadata!AD556="",FALSE,TRUE)</f>
        <v>0</v>
      </c>
    </row>
    <row r="557" spans="1:69" x14ac:dyDescent="0.2">
      <c r="A557" s="4" t="e">
        <f ca="1">IF(B557=" "," ",HYPERLINK(CONCATENATE("#metadata!",ADDRESS(INDEX($AJ$2:$AJ$1001,MATCH(ROWS($AH$2:AH557),$AH$2:$AH$1001,0),0),2)),INDEX($AM$2:$AM$1001,MATCH(ROWS($AH$2:AH557),$AH$2:$AH$1001,0),0)))</f>
        <v>#N/A</v>
      </c>
      <c r="B557" s="5" t="e">
        <f ca="1">IF(OR(INDEX($AI$2:$AI$1001,MATCH(ROWS($AH$2:AH557),$AH$2:$AH$1001,0),1)&gt;=100000,INDEX($AO$1005:$BQ$1005,1,MATCH(COLUMNS($AO$1006:AO1006),$AO$1006:$BQ$1006,0))&gt;=100000), " ",IF(INDEX($AO$2:$BQ$1001,MATCH(ROWS($AH$2:AH557),$AH$2:$AH$1001,0),MATCH(COLUMNS($AO$1006:AO1006),$AO$1006:$BQ$1006,0)), HYPERLINK("#",""), HYPERLINK(CONCATENATE("#Metadata!", ADDRESS(INDEX($AJ$2:$AJ$1001,MATCH(ROWS($AH$2:AH557),$AH$2:$AH$1001,0),0), INDEX($AO$1004:$BQ$1004,1,MATCH(COLUMNS($AO$1006:AO1006),$AO$1006:$BQ$1006,0)))),"Fix")))</f>
        <v>#N/A</v>
      </c>
      <c r="C557" s="5" t="e">
        <f ca="1">IF(OR(INDEX($AI$2:$AI$1001,MATCH(ROWS($AH$2:AH557),$AH$2:$AH$1001,0),1)&gt;=100000,INDEX($AO$1005:$BQ$1005,1,MATCH(COLUMNS($AO$1006:AP1006),$AO$1006:$BQ$1006,0))&gt;=100000), " ",IF(INDEX($AO$2:$BQ$1001,MATCH(ROWS($AH$2:AH557),$AH$2:$AH$1001,0),MATCH(COLUMNS($AO$1006:AP1006),$AO$1006:$BQ$1006,0)), HYPERLINK("#",""), HYPERLINK(CONCATENATE("#Metadata!", ADDRESS(INDEX($AJ$2:$AJ$1001,MATCH(ROWS($AH$2:AH557),$AH$2:$AH$1001,0),0), INDEX($AO$1004:$BQ$1004,1,MATCH(COLUMNS($AO$1006:AP1006),$AO$1006:$BQ$1006,0)))),"Fix")))</f>
        <v>#N/A</v>
      </c>
      <c r="D557" s="5" t="e">
        <f ca="1">IF(OR(INDEX($AI$2:$AI$1001,MATCH(ROWS($AH$2:AH557),$AH$2:$AH$1001,0),1)&gt;=100000,INDEX($AO$1005:$BQ$1005,1,MATCH(COLUMNS($AO$1006:AQ1006),$AO$1006:$BQ$1006,0))&gt;=100000), " ",IF(INDEX($AO$2:$BQ$1001,MATCH(ROWS($AH$2:AH557),$AH$2:$AH$1001,0),MATCH(COLUMNS($AO$1006:AQ1006),$AO$1006:$BQ$1006,0)), HYPERLINK("#",""), HYPERLINK(CONCATENATE("#Metadata!", ADDRESS(INDEX($AJ$2:$AJ$1001,MATCH(ROWS($AH$2:AH557),$AH$2:$AH$1001,0),0), INDEX($AO$1004:$BQ$1004,1,MATCH(COLUMNS($AO$1006:AQ1006),$AO$1006:$BQ$1006,0)))),"Fix")))</f>
        <v>#N/A</v>
      </c>
      <c r="E557" s="5" t="e">
        <f ca="1">IF(OR(INDEX($AI$2:$AI$1001,MATCH(ROWS($AH$2:AH557),$AH$2:$AH$1001,0),1)&gt;=100000,INDEX($AO$1005:$BQ$1005,1,MATCH(COLUMNS($AO$1006:AR1006),$AO$1006:$BQ$1006,0))&gt;=100000), " ",IF(INDEX($AO$2:$BQ$1001,MATCH(ROWS($AH$2:AH557),$AH$2:$AH$1001,0),MATCH(COLUMNS($AO$1006:AR1006),$AO$1006:$BQ$1006,0)), HYPERLINK("#",""), HYPERLINK(CONCATENATE("#Metadata!", ADDRESS(INDEX($AJ$2:$AJ$1001,MATCH(ROWS($AH$2:AH557),$AH$2:$AH$1001,0),0), INDEX($AO$1004:$BQ$1004,1,MATCH(COLUMNS($AO$1006:AR1006),$AO$1006:$BQ$1006,0)))),"Fix")))</f>
        <v>#N/A</v>
      </c>
      <c r="F557" s="5" t="e">
        <f ca="1">IF(OR(INDEX($AI$2:$AI$1001,MATCH(ROWS($AH$2:AH557),$AH$2:$AH$1001,0),1)&gt;=100000,INDEX($AO$1005:$BQ$1005,1,MATCH(COLUMNS($AO$1006:AS1006),$AO$1006:$BQ$1006,0))&gt;=100000), " ",IF(INDEX($AO$2:$BQ$1001,MATCH(ROWS($AH$2:AH557),$AH$2:$AH$1001,0),MATCH(COLUMNS($AO$1006:AS1006),$AO$1006:$BQ$1006,0)), HYPERLINK("#",""), HYPERLINK(CONCATENATE("#Metadata!", ADDRESS(INDEX($AJ$2:$AJ$1001,MATCH(ROWS($AH$2:AH557),$AH$2:$AH$1001,0),0), INDEX($AO$1004:$BQ$1004,1,MATCH(COLUMNS($AO$1006:AS1006),$AO$1006:$BQ$1006,0)))),"Fix")))</f>
        <v>#N/A</v>
      </c>
      <c r="G557" s="5" t="e">
        <f ca="1">IF(OR(INDEX($AI$2:$AI$1001,MATCH(ROWS($AH$2:AH557),$AH$2:$AH$1001,0),1)&gt;=100000,INDEX($AO$1005:$BQ$1005,1,MATCH(COLUMNS($AO$1006:AT1006),$AO$1006:$BQ$1006,0))&gt;=100000), " ",IF(INDEX($AO$2:$BQ$1001,MATCH(ROWS($AH$2:AH557),$AH$2:$AH$1001,0),MATCH(COLUMNS($AO$1006:AT1006),$AO$1006:$BQ$1006,0)), HYPERLINK("#",""), HYPERLINK(CONCATENATE("#Metadata!", ADDRESS(INDEX($AJ$2:$AJ$1001,MATCH(ROWS($AH$2:AH557),$AH$2:$AH$1001,0),0), INDEX($AO$1004:$BQ$1004,1,MATCH(COLUMNS($AO$1006:AT1006),$AO$1006:$BQ$1006,0)))),"Fix")))</f>
        <v>#N/A</v>
      </c>
      <c r="H557" s="5" t="e">
        <f ca="1">IF(OR(INDEX($AI$2:$AI$1001,MATCH(ROWS($AH$2:AH557),$AH$2:$AH$1001,0),1)&gt;=100000,INDEX($AO$1005:$BQ$1005,1,MATCH(COLUMNS($AO$1006:AU1006),$AO$1006:$BQ$1006,0))&gt;=100000), " ",IF(INDEX($AO$2:$BQ$1001,MATCH(ROWS($AH$2:AH557),$AH$2:$AH$1001,0),MATCH(COLUMNS($AO$1006:AU1006),$AO$1006:$BQ$1006,0)), HYPERLINK("#",""), HYPERLINK(CONCATENATE("#Metadata!", ADDRESS(INDEX($AJ$2:$AJ$1001,MATCH(ROWS($AH$2:AH557),$AH$2:$AH$1001,0),0), INDEX($AO$1004:$BQ$1004,1,MATCH(COLUMNS($AO$1006:AU1006),$AO$1006:$BQ$1006,0)))),"Fix")))</f>
        <v>#N/A</v>
      </c>
      <c r="I557" s="5" t="e">
        <f ca="1">IF(OR(INDEX($AI$2:$AI$1001,MATCH(ROWS($AH$2:AH557),$AH$2:$AH$1001,0),1)&gt;=100000,INDEX($AO$1005:$BQ$1005,1,MATCH(COLUMNS($AO$1006:AV1006),$AO$1006:$BQ$1006,0))&gt;=100000), " ",IF(INDEX($AO$2:$BQ$1001,MATCH(ROWS($AH$2:AH557),$AH$2:$AH$1001,0),MATCH(COLUMNS($AO$1006:AV1006),$AO$1006:$BQ$1006,0)), HYPERLINK("#",""), HYPERLINK(CONCATENATE("#Metadata!", ADDRESS(INDEX($AJ$2:$AJ$1001,MATCH(ROWS($AH$2:AH557),$AH$2:$AH$1001,0),0), INDEX($AO$1004:$BQ$1004,1,MATCH(COLUMNS($AO$1006:AV1006),$AO$1006:$BQ$1006,0)))),"Fix")))</f>
        <v>#N/A</v>
      </c>
      <c r="J557" s="5" t="e">
        <f ca="1">IF(OR(INDEX($AI$2:$AI$1001,MATCH(ROWS($AH$2:AH557),$AH$2:$AH$1001,0),1)&gt;=100000,INDEX($AO$1005:$BQ$1005,1,MATCH(COLUMNS($AO$1006:AW1006),$AO$1006:$BQ$1006,0))&gt;=100000), " ",IF(INDEX($AO$2:$BQ$1001,MATCH(ROWS($AH$2:AH557),$AH$2:$AH$1001,0),MATCH(COLUMNS($AO$1006:AW1006),$AO$1006:$BQ$1006,0)), HYPERLINK("#",""), HYPERLINK(CONCATENATE("#Metadata!", ADDRESS(INDEX($AJ$2:$AJ$1001,MATCH(ROWS($AH$2:AH557),$AH$2:$AH$1001,0),0), INDEX($AO$1004:$BQ$1004,1,MATCH(COLUMNS($AO$1006:AW1006),$AO$1006:$BQ$1006,0)))),"Fix")))</f>
        <v>#N/A</v>
      </c>
      <c r="K557" s="5" t="e">
        <f ca="1">IF(OR(INDEX($AI$2:$AI$1001,MATCH(ROWS($AH$2:AH557),$AH$2:$AH$1001,0),1)&gt;=100000,INDEX($AO$1005:$BQ$1005,1,MATCH(COLUMNS($AO$1006:AX1006),$AO$1006:$BQ$1006,0))&gt;=100000), " ",IF(INDEX($AO$2:$BQ$1001,MATCH(ROWS($AH$2:AH557),$AH$2:$AH$1001,0),MATCH(COLUMNS($AO$1006:AX1006),$AO$1006:$BQ$1006,0)), HYPERLINK("#",""), HYPERLINK(CONCATENATE("#Metadata!", ADDRESS(INDEX($AJ$2:$AJ$1001,MATCH(ROWS($AH$2:AH557),$AH$2:$AH$1001,0),0), INDEX($AO$1004:$BQ$1004,1,MATCH(COLUMNS($AO$1006:AX1006),$AO$1006:$BQ$1006,0)))),"Fix")))</f>
        <v>#N/A</v>
      </c>
      <c r="L557" s="5" t="e">
        <f ca="1">IF(OR(INDEX($AI$2:$AI$1001,MATCH(ROWS($AH$2:AH557),$AH$2:$AH$1001,0),1)&gt;=100000,INDEX($AO$1005:$BQ$1005,1,MATCH(COLUMNS($AO$1006:AY1006),$AO$1006:$BQ$1006,0))&gt;=100000), " ",IF(INDEX($AO$2:$BQ$1001,MATCH(ROWS($AH$2:AH557),$AH$2:$AH$1001,0),MATCH(COLUMNS($AO$1006:AY1006),$AO$1006:$BQ$1006,0)), HYPERLINK("#",""), HYPERLINK(CONCATENATE("#Metadata!", ADDRESS(INDEX($AJ$2:$AJ$1001,MATCH(ROWS($AH$2:AH557),$AH$2:$AH$1001,0),0), INDEX($AO$1004:$BQ$1004,1,MATCH(COLUMNS($AO$1006:AY1006),$AO$1006:$BQ$1006,0)))),"Fix")))</f>
        <v>#N/A</v>
      </c>
      <c r="M557" s="5" t="e">
        <f ca="1">IF(OR(INDEX($AI$2:$AI$1001,MATCH(ROWS($AH$2:AH557),$AH$2:$AH$1001,0),1)&gt;=100000,INDEX($AO$1005:$BQ$1005,1,MATCH(COLUMNS($AO$1006:AZ1006),$AO$1006:$BQ$1006,0))&gt;=100000), " ",IF(INDEX($AO$2:$BQ$1001,MATCH(ROWS($AH$2:AH557),$AH$2:$AH$1001,0),MATCH(COLUMNS($AO$1006:AZ1006),$AO$1006:$BQ$1006,0)), HYPERLINK("#",""), HYPERLINK(CONCATENATE("#Metadata!", ADDRESS(INDEX($AJ$2:$AJ$1001,MATCH(ROWS($AH$2:AH557),$AH$2:$AH$1001,0),0), INDEX($AO$1004:$BQ$1004,1,MATCH(COLUMNS($AO$1006:AZ1006),$AO$1006:$BQ$1006,0)))),"Fix")))</f>
        <v>#N/A</v>
      </c>
      <c r="N557" s="5" t="e">
        <f ca="1">IF(OR(INDEX($AI$2:$AI$1001,MATCH(ROWS($AH$2:AH557),$AH$2:$AH$1001,0),1)&gt;=100000,INDEX($AO$1005:$BQ$1005,1,MATCH(COLUMNS($AO$1006:BA1006),$AO$1006:$BQ$1006,0))&gt;=100000), " ",IF(INDEX($AO$2:$BQ$1001,MATCH(ROWS($AH$2:AH557),$AH$2:$AH$1001,0),MATCH(COLUMNS($AO$1006:BA1006),$AO$1006:$BQ$1006,0)), HYPERLINK("#",""), HYPERLINK(CONCATENATE("#Metadata!", ADDRESS(INDEX($AJ$2:$AJ$1001,MATCH(ROWS($AH$2:AH557),$AH$2:$AH$1001,0),0), INDEX($AO$1004:$BQ$1004,1,MATCH(COLUMNS($AO$1006:BA1006),$AO$1006:$BQ$1006,0)))),"Fix")))</f>
        <v>#N/A</v>
      </c>
      <c r="O557" s="5" t="e">
        <f ca="1">IF(OR(INDEX($AI$2:$AI$1001,MATCH(ROWS($AH$2:AH557),$AH$2:$AH$1001,0),1)&gt;=100000,INDEX($AO$1005:$BQ$1005,1,MATCH(COLUMNS($AO$1006:BB1006),$AO$1006:$BQ$1006,0))&gt;=100000), " ",IF(INDEX($AO$2:$BQ$1001,MATCH(ROWS($AH$2:AH557),$AH$2:$AH$1001,0),MATCH(COLUMNS($AO$1006:BB1006),$AO$1006:$BQ$1006,0)), HYPERLINK("#",""), HYPERLINK(CONCATENATE("#Metadata!", ADDRESS(INDEX($AJ$2:$AJ$1001,MATCH(ROWS($AH$2:AH557),$AH$2:$AH$1001,0),0), INDEX($AO$1004:$BQ$1004,1,MATCH(COLUMNS($AO$1006:BB1006),$AO$1006:$BQ$1006,0)))),"Fix")))</f>
        <v>#N/A</v>
      </c>
      <c r="P557" s="5" t="e">
        <f ca="1">IF(OR(INDEX($AI$2:$AI$1001,MATCH(ROWS($AH$2:AH557),$AH$2:$AH$1001,0),1)&gt;=100000,INDEX($AO$1005:$BQ$1005,1,MATCH(COLUMNS($AO$1006:BC1006),$AO$1006:$BQ$1006,0))&gt;=100000), " ",IF(INDEX($AO$2:$BQ$1001,MATCH(ROWS($AH$2:AH557),$AH$2:$AH$1001,0),MATCH(COLUMNS($AO$1006:BC1006),$AO$1006:$BQ$1006,0)), HYPERLINK("#",""), HYPERLINK(CONCATENATE("#Metadata!", ADDRESS(INDEX($AJ$2:$AJ$1001,MATCH(ROWS($AH$2:AH557),$AH$2:$AH$1001,0),0), INDEX($AO$1004:$BQ$1004,1,MATCH(COLUMNS($AO$1006:BC1006),$AO$1006:$BQ$1006,0)))),"Fix")))</f>
        <v>#N/A</v>
      </c>
      <c r="Q557" s="5" t="e">
        <f ca="1">IF(OR(INDEX($AI$2:$AI$1001,MATCH(ROWS($AH$2:AH557),$AH$2:$AH$1001,0),1)&gt;=100000,INDEX($AO$1005:$BQ$1005,1,MATCH(COLUMNS($AO$1006:BD1006),$AO$1006:$BQ$1006,0))&gt;=100000), " ",IF(INDEX($AO$2:$BQ$1001,MATCH(ROWS($AH$2:AH557),$AH$2:$AH$1001,0),MATCH(COLUMNS($AO$1006:BD1006),$AO$1006:$BQ$1006,0)), HYPERLINK("#",""), HYPERLINK(CONCATENATE("#Metadata!", ADDRESS(INDEX($AJ$2:$AJ$1001,MATCH(ROWS($AH$2:AH557),$AH$2:$AH$1001,0),0), INDEX($AO$1004:$BQ$1004,1,MATCH(COLUMNS($AO$1006:BD1006),$AO$1006:$BQ$1006,0)))),"Fix")))</f>
        <v>#N/A</v>
      </c>
      <c r="R557" s="5" t="e">
        <f ca="1">IF(OR(INDEX($AI$2:$AI$1001,MATCH(ROWS($AH$2:AH557),$AH$2:$AH$1001,0),1)&gt;=100000,INDEX($AO$1005:$BQ$1005,1,MATCH(COLUMNS($AO$1006:BE1006),$AO$1006:$BQ$1006,0))&gt;=100000), " ",IF(INDEX($AO$2:$BQ$1001,MATCH(ROWS($AH$2:AH557),$AH$2:$AH$1001,0),MATCH(COLUMNS($AO$1006:BE1006),$AO$1006:$BQ$1006,0)), HYPERLINK("#",""), HYPERLINK(CONCATENATE("#Metadata!", ADDRESS(INDEX($AJ$2:$AJ$1001,MATCH(ROWS($AH$2:AH557),$AH$2:$AH$1001,0),0), INDEX($AO$1004:$BQ$1004,1,MATCH(COLUMNS($AO$1006:BE1006),$AO$1006:$BQ$1006,0)))),"Fix")))</f>
        <v>#N/A</v>
      </c>
      <c r="S557" s="5" t="e">
        <f ca="1">IF(OR(INDEX($AI$2:$AI$1001,MATCH(ROWS($AH$2:AH557),$AH$2:$AH$1001,0),1)&gt;=100000,INDEX($AO$1005:$BQ$1005,1,MATCH(COLUMNS($AO$1006:BF1006),$AO$1006:$BQ$1006,0))&gt;=100000), " ",IF(INDEX($AO$2:$BQ$1001,MATCH(ROWS($AH$2:AH557),$AH$2:$AH$1001,0),MATCH(COLUMNS($AO$1006:BF1006),$AO$1006:$BQ$1006,0)), HYPERLINK("#",""), HYPERLINK(CONCATENATE("#Metadata!", ADDRESS(INDEX($AJ$2:$AJ$1001,MATCH(ROWS($AH$2:AH557),$AH$2:$AH$1001,0),0), INDEX($AO$1004:$BQ$1004,1,MATCH(COLUMNS($AO$1006:BF1006),$AO$1006:$BQ$1006,0)))),"Fix")))</f>
        <v>#N/A</v>
      </c>
      <c r="T557" s="5" t="e">
        <f ca="1">IF(OR(INDEX($AI$2:$AI$1001,MATCH(ROWS($AH$2:AH557),$AH$2:$AH$1001,0),1)&gt;=100000,INDEX($AO$1005:$BQ$1005,1,MATCH(COLUMNS($AO$1006:BG1006),$AO$1006:$BQ$1006,0))&gt;=100000), " ",IF(INDEX($AO$2:$BQ$1001,MATCH(ROWS($AH$2:AH557),$AH$2:$AH$1001,0),MATCH(COLUMNS($AO$1006:BG1006),$AO$1006:$BQ$1006,0)), HYPERLINK("#",""), HYPERLINK(CONCATENATE("#Metadata!", ADDRESS(INDEX($AJ$2:$AJ$1001,MATCH(ROWS($AH$2:AH557),$AH$2:$AH$1001,0),0), INDEX($AO$1004:$BQ$1004,1,MATCH(COLUMNS($AO$1006:BG1006),$AO$1006:$BQ$1006,0)))),"Fix")))</f>
        <v>#N/A</v>
      </c>
      <c r="U557" s="5" t="e">
        <f ca="1">IF(OR(INDEX($AI$2:$AI$1001,MATCH(ROWS($AH$2:AH557),$AH$2:$AH$1001,0),1)&gt;=100000,INDEX($AO$1005:$BQ$1005,1,MATCH(COLUMNS($AO$1006:BH1006),$AO$1006:$BQ$1006,0))&gt;=100000), " ",IF(INDEX($AO$2:$BQ$1001,MATCH(ROWS($AH$2:AH557),$AH$2:$AH$1001,0),MATCH(COLUMNS($AO$1006:BH1006),$AO$1006:$BQ$1006,0)), HYPERLINK("#",""), HYPERLINK(CONCATENATE("#Metadata!", ADDRESS(INDEX($AJ$2:$AJ$1001,MATCH(ROWS($AH$2:AH557),$AH$2:$AH$1001,0),0), INDEX($AO$1004:$BQ$1004,1,MATCH(COLUMNS($AO$1006:BH1006),$AO$1006:$BQ$1006,0)))),"Fix")))</f>
        <v>#N/A</v>
      </c>
      <c r="V557" s="5" t="e">
        <f ca="1">IF(OR(INDEX($AI$2:$AI$1001,MATCH(ROWS($AH$2:AH557),$AH$2:$AH$1001,0),1)&gt;=100000,INDEX($AO$1005:$BQ$1005,1,MATCH(COLUMNS($AO$1006:BI1006),$AO$1006:$BQ$1006,0))&gt;=100000), " ",IF(INDEX($AO$2:$BQ$1001,MATCH(ROWS($AH$2:AH557),$AH$2:$AH$1001,0),MATCH(COLUMNS($AO$1006:BI1006),$AO$1006:$BQ$1006,0)), HYPERLINK("#",""), HYPERLINK(CONCATENATE("#Metadata!", ADDRESS(INDEX($AJ$2:$AJ$1001,MATCH(ROWS($AH$2:AH557),$AH$2:$AH$1001,0),0), INDEX($AO$1004:$BQ$1004,1,MATCH(COLUMNS($AO$1006:BI1006),$AO$1006:$BQ$1006,0)))),"Fix")))</f>
        <v>#N/A</v>
      </c>
      <c r="W557" s="5" t="e">
        <f ca="1">IF(OR(INDEX($AI$2:$AI$1001,MATCH(ROWS($AH$2:AH557),$AH$2:$AH$1001,0),1)&gt;=100000,INDEX($AO$1005:$BQ$1005,1,MATCH(COLUMNS($AO$1006:BJ1006),$AO$1006:$BQ$1006,0))&gt;=100000), " ",IF(INDEX($AO$2:$BQ$1001,MATCH(ROWS($AH$2:AH557),$AH$2:$AH$1001,0),MATCH(COLUMNS($AO$1006:BJ1006),$AO$1006:$BQ$1006,0)), HYPERLINK("#",""), HYPERLINK(CONCATENATE("#Metadata!", ADDRESS(INDEX($AJ$2:$AJ$1001,MATCH(ROWS($AH$2:AH557),$AH$2:$AH$1001,0),0), INDEX($AO$1004:$BQ$1004,1,MATCH(COLUMNS($AO$1006:BJ1006),$AO$1006:$BQ$1006,0)))),"Fix")))</f>
        <v>#N/A</v>
      </c>
      <c r="X557" s="5" t="e">
        <f ca="1">IF(OR(INDEX($AI$2:$AI$1001,MATCH(ROWS($AH$2:AH557),$AH$2:$AH$1001,0),1)&gt;=100000,INDEX($AO$1005:$BQ$1005,1,MATCH(COLUMNS($AO$1006:BK1006),$AO$1006:$BQ$1006,0))&gt;=100000), " ",IF(INDEX($AO$2:$BQ$1001,MATCH(ROWS($AH$2:AH557),$AH$2:$AH$1001,0),MATCH(COLUMNS($AO$1006:BK1006),$AO$1006:$BQ$1006,0)), HYPERLINK("#",""), HYPERLINK(CONCATENATE("#Metadata!", ADDRESS(INDEX($AJ$2:$AJ$1001,MATCH(ROWS($AH$2:AH557),$AH$2:$AH$1001,0),0), INDEX($AO$1004:$BQ$1004,1,MATCH(COLUMNS($AO$1006:BK1006),$AO$1006:$BQ$1006,0)))),"Fix")))</f>
        <v>#N/A</v>
      </c>
      <c r="Y557" s="5" t="e">
        <f ca="1">IF(OR(INDEX($AI$2:$AI$1001,MATCH(ROWS($AH$2:AH557),$AH$2:$AH$1001,0),1)&gt;=100000,INDEX($AO$1005:$BQ$1005,1,MATCH(COLUMNS($AO$1006:BL1006),$AO$1006:$BQ$1006,0))&gt;=100000), " ",IF(INDEX($AO$2:$BQ$1001,MATCH(ROWS($AH$2:AH557),$AH$2:$AH$1001,0),MATCH(COLUMNS($AO$1006:BL1006),$AO$1006:$BQ$1006,0)), HYPERLINK("#",""), HYPERLINK(CONCATENATE("#Metadata!", ADDRESS(INDEX($AJ$2:$AJ$1001,MATCH(ROWS($AH$2:AH557),$AH$2:$AH$1001,0),0), INDEX($AO$1004:$BQ$1004,1,MATCH(COLUMNS($AO$1006:BL1006),$AO$1006:$BQ$1006,0)))),"Fix")))</f>
        <v>#N/A</v>
      </c>
      <c r="Z557" s="5" t="e">
        <f ca="1">IF(OR(INDEX($AI$2:$AI$1001,MATCH(ROWS($AH$2:AH557),$AH$2:$AH$1001,0),1)&gt;=100000,INDEX($AO$1005:$BQ$1005,1,MATCH(COLUMNS($AO$1006:BM1006),$AO$1006:$BQ$1006,0))&gt;=100000), " ",IF(INDEX($AO$2:$BQ$1001,MATCH(ROWS($AH$2:AH557),$AH$2:$AH$1001,0),MATCH(COLUMNS($AO$1006:BM1006),$AO$1006:$BQ$1006,0)), HYPERLINK("#",""), HYPERLINK(CONCATENATE("#Metadata!", ADDRESS(INDEX($AJ$2:$AJ$1001,MATCH(ROWS($AH$2:AH557),$AH$2:$AH$1001,0),0), INDEX($AO$1004:$BQ$1004,1,MATCH(COLUMNS($AO$1006:BM1006),$AO$1006:$BQ$1006,0)))),"Fix")))</f>
        <v>#N/A</v>
      </c>
      <c r="AA557" s="5" t="e">
        <f ca="1">IF(OR(INDEX($AI$2:$AI$1001,MATCH(ROWS($AH$2:AH557),$AH$2:$AH$1001,0),1)&gt;=100000,INDEX($AO$1005:$BQ$1005,1,MATCH(COLUMNS($AO$1006:BN1006),$AO$1006:$BQ$1006,0))&gt;=100000), " ",IF(INDEX($AO$2:$BQ$1001,MATCH(ROWS($AH$2:AH557),$AH$2:$AH$1001,0),MATCH(COLUMNS($AO$1006:BN1006),$AO$1006:$BQ$1006,0)), HYPERLINK("#",""), HYPERLINK(CONCATENATE("#Metadata!", ADDRESS(INDEX($AJ$2:$AJ$1001,MATCH(ROWS($AH$2:AH557),$AH$2:$AH$1001,0),0), INDEX($AO$1004:$BQ$1004,1,MATCH(COLUMNS($AO$1006:BN1006),$AO$1006:$BQ$1006,0)))),"Fix")))</f>
        <v>#N/A</v>
      </c>
      <c r="AB557" s="5" t="e">
        <f ca="1">IF(OR(INDEX($AI$2:$AI$1001,MATCH(ROWS($AH$2:AH557),$AH$2:$AH$1001,0),1)&gt;=100000,INDEX($AO$1005:$BQ$1005,1,MATCH(COLUMNS($AO$1006:BO1006),$AO$1006:$BQ$1006,0))&gt;=100000), " ",IF(INDEX($AO$2:$BQ$1001,MATCH(ROWS($AH$2:AH557),$AH$2:$AH$1001,0),MATCH(COLUMNS($AO$1006:BO1006),$AO$1006:$BQ$1006,0)), HYPERLINK("#",""), HYPERLINK(CONCATENATE("#Metadata!", ADDRESS(INDEX($AJ$2:$AJ$1001,MATCH(ROWS($AH$2:AH557),$AH$2:$AH$1001,0),0), INDEX($AO$1004:$BQ$1004,1,MATCH(COLUMNS($AO$1006:BO1006),$AO$1006:$BQ$1006,0)))),"Fix")))</f>
        <v>#N/A</v>
      </c>
      <c r="AC557" s="5" t="e">
        <f ca="1">IF(OR(INDEX($AI$2:$AI$1001,MATCH(ROWS($AH$2:AH557),$AH$2:$AH$1001,0),1)&gt;=100000,INDEX($AO$1005:$BQ$1005,1,MATCH(COLUMNS($AO$1006:BP1006),$AO$1006:$BQ$1006,0))&gt;=100000), " ",IF(INDEX($AO$2:$BQ$1001,MATCH(ROWS($AH$2:AH557),$AH$2:$AH$1001,0),MATCH(COLUMNS($AO$1006:BP1006),$AO$1006:$BQ$1006,0)), HYPERLINK("#",""), HYPERLINK(CONCATENATE("#Metadata!", ADDRESS(INDEX($AJ$2:$AJ$1001,MATCH(ROWS($AH$2:AH557),$AH$2:$AH$1001,0),0), INDEX($AO$1004:$BQ$1004,1,MATCH(COLUMNS($AO$1006:BP1006),$AO$1006:$BQ$1006,0)))),"Fix")))</f>
        <v>#N/A</v>
      </c>
      <c r="AD557" s="5" t="e">
        <f ca="1">IF(OR(INDEX($AI$2:$AI$1001,MATCH(ROWS($AH$2:AH557),$AH$2:$AH$1001,0),1)&gt;=100000,INDEX($AO$1005:$BQ$1005,1,MATCH(COLUMNS($AO$1006:BQ1006),$AO$1006:$BQ$1006,0))&gt;=100000), " ",IF(INDEX($AO$2:$BQ$1001,MATCH(ROWS($AH$2:AH557),$AH$2:$AH$1001,0),MATCH(COLUMNS($AO$1006:BQ1006),$AO$1006:$BQ$1006,0)), HYPERLINK("#",""), HYPERLINK(CONCATENATE("#Metadata!", ADDRESS(INDEX($AJ$2:$AJ$1001,MATCH(ROWS($AH$2:AH557),$AH$2:$AH$1001,0),0), INDEX($AO$1004:$BQ$1004,1,MATCH(COLUMNS($AO$1006:BQ1006),$AO$1006:$BQ$1006,0)))),"Fix")))</f>
        <v>#REF!</v>
      </c>
      <c r="AH557">
        <f ca="1"/>
        <v>554</v>
      </c>
      <c r="AI557">
        <v>100557</v>
      </c>
      <c r="AJ557">
        <v>557</v>
      </c>
      <c r="AK557" t="b">
        <f t="shared" si="8"/>
        <v>1</v>
      </c>
      <c r="AL557" t="b">
        <f>COUNTBLANK(Metadata!B557:AD557)=COLUMNS(Metadata!B557:AD557)</f>
        <v>1</v>
      </c>
      <c r="AM557" t="str">
        <v/>
      </c>
      <c r="AO557" t="b">
        <f ca="1">AND(IF(Metadata!B557="",FALSE,TRUE),COUNTIF(Metadata!B:B, Metadata!B557) = 1,NOT(ISERROR(SUMPRODUCT(SEARCH(MID(Metadata!B557,ROW(INDIRECT("1:"&amp;LEN(Metadata!B557))), 1),"0123456789abcdefghijklmnopqrstuvwxyzABCDEFGHIJKLMNOPQRSTUVWXYZ.")))))</f>
        <v>0</v>
      </c>
      <c r="AP557" t="b">
        <f>IF(Metadata!C557="",FALSE,TRUE)</f>
        <v>0</v>
      </c>
      <c r="AQ557" t="b">
        <f>IF(Metadata!D557="",FALSE,TRUE)</f>
        <v>0</v>
      </c>
      <c r="AR557" t="b">
        <f ca="1">OR(AND(IF(Metadata!E557="",FALSE,TRUE),OR(EXACT(Metadata!E557,"not collected"),EXACT(Metadata!E557,"not provided"),EXACT(Metadata!E557,"restricted access"))),AND(IF(Metadata!E557="",FALSE,TRUE),AND(AND(IFERROR(INT(LEFT(Metadata!E557,4))&gt;1900,FALSE),IFERROR(INT(LEFT(Metadata!E557,4))&lt;=YEAR(NOW()),FALSE)), OR(MID(Metadata!E557,5,1)="", AND(AND(MID(Metadata!E557,5,1)="-",IFERROR(INT(MID(Metadata!E557,6,1))&gt;=0,FALSE),IFERROR(INT(MID(Metadata!E557,6,1))&lt;=1,FALSE),NOT(MID(Metadata!E557,7,1)=""),IFERROR(INT(MID(Metadata!E557,6,2))&gt;=1,FALSE),IFERROR(INT(MID(Metadata!E557,6,2))&lt;=12,FALSE)), OR(MID(Metadata!E557,8,1)="", AND(AND(MID(Metadata!E557,8,1)="-",IFERROR(INT(MID(Metadata!E557,9,1))&gt;=0,FALSE),IFERROR(INT(MID(Metadata!E557,9,1))&lt;=3,FALSE),NOT(MID(Metadata!E557,10,1)=""),IFERROR(INT(MID(Metadata!E557,9,2))&gt;=1,FALSE),IFERROR(INT(MID(Metadata!E557,9,2))&lt;=31,FALSE)), OR(MID(Metadata!E557,11,1)="", AND(AND(MID(Metadata!E557,11,1)=" ",IFERROR(INT(MID(Metadata!E557,12,1))&gt;=0,FALSE),IFERROR(INT(MID(Metadata!E557,12,1))&lt;=2,FALSE),NOT(MID(Metadata!E557,13,1)=""),IFERROR(INT(MID(Metadata!E557,12,2))&gt;=0,FALSE),IFERROR(INT(MID(Metadata!E557,12,2))&lt;=23,FALSE)), OR(MID(Metadata!E557,14,1)="", AND(AND(MID(Metadata!E557,14,1)=":",IFERROR(INT(MID(Metadata!E557,15,1))&gt;=0,FALSE),IFERROR(INT(MID(Metadata!E557,15,1))&lt;=5,FALSE),NOT(MID(Metadata!E557,16,1)=""),IFERROR(INT(MID(Metadata!E557,15,2))&gt;=0,FALSE),IFERROR(INT(MID(Metadata!E557,15,2))&lt;=59,FALSE)), OR(MID(Metadata!E557,17,1)="", AND(AND(MID(Metadata!E557,17,1)=":",IFERROR(INT(MID(Metadata!E557,18,1))&gt;=0,FALSE),IFERROR(INT(MID(Metadata!E557,18,1))&lt;=5,FALSE),NOT(MID(Metadata!E557,19,1)=""),IFERROR(INT(MID(Metadata!E557,18,2))&gt;=0,FALSE),IFERROR(INT(MID(Metadata!E557,18,2))&lt;=59,FALSE)), LEN(Metadata!E557)&lt;=19)))))))))))))</f>
        <v>0</v>
      </c>
      <c r="AS557" t="b">
        <f>IF(Metadata!F557="",FALSE,TRUE)</f>
        <v>0</v>
      </c>
      <c r="AT557" t="b">
        <f>OR(AND(IF(Metadata!G557="",FALSE,TRUE),OR(EXACT(Metadata!G557,"not collected"),EXACT(Metadata!G557,"not provided"))),AND(IF(Metadata!G557="",FALSE,TRUE),OR(EXACT(Metadata!G557,"TRUE"),EXACT(Metadata!G557,"FALSE"))))</f>
        <v>0</v>
      </c>
      <c r="AU557" t="b">
        <f>OR(AND(IF(Metadata!H557="",FALSE,TRUE),OR(EXACT(Metadata!H557,"not collected"),EXACT(Metadata!H557,"not provided"),EXACT(Metadata!H557,"restricted access"))),AND(IF(Metadata!H557="",FALSE,ISNUMBER(VALUE(Metadata!H557))),Metadata!H557&gt;=-413))</f>
        <v>0</v>
      </c>
      <c r="AV557" t="b">
        <f>AND(IF(Metadata!I557="",FALSE,TRUE),EXACT(Metadata!I557,"meters"))</f>
        <v>0</v>
      </c>
      <c r="AW557" t="b">
        <f>AND(IF(Metadata!J557="",FALSE,TRUE),EXACT(Metadata!J557,"free-living"))</f>
        <v>0</v>
      </c>
      <c r="AX557" t="b">
        <f>AND(IF(Metadata!K557="",FALSE,TRUE),OR(EXACT(Metadata!K557,"saline"),EXACT(Metadata!K557,"non-saline")))</f>
        <v>0</v>
      </c>
      <c r="AY557" t="b">
        <f>AND(IF(Metadata!L557="",FALSE,TRUE),OR(EXACT(Metadata!L557,"sub-surface (non-saline)"),EXACT(Metadata!L557,"surface (non-saline)"),EXACT(Metadata!L557,"water (non-saline)"),EXACT(Metadata!L557,"soil (non-saline)"),EXACT(Metadata!L557,"aerosol (non-saline)"),EXACT(Metadata!L557,"sediment (non-saline)"),EXACT(Metadata!L557,"surface (saline)"),EXACT(Metadata!L557,"water (saline)"),EXACT(Metadata!L557,"hypersaline (saline)"),EXACT(Metadata!L557,"aerosol (saline)"),EXACT(Metadata!L557,"sediment (saline)")))</f>
        <v>0</v>
      </c>
      <c r="AZ557" t="b">
        <f>IF(Metadata!M557="",FALSE,TRUE)</f>
        <v>0</v>
      </c>
      <c r="BA557" t="b">
        <f>IF(Metadata!N557="",FALSE,TRUE)</f>
        <v>0</v>
      </c>
      <c r="BB557" t="b">
        <f>IF(Metadata!O557="",FALSE,TRUE)</f>
        <v>0</v>
      </c>
      <c r="BC557" t="b">
        <f>AND(IF(Metadata!P557="",FALSE,TRUE),OR(EXACT(Metadata!P557,"air"),EXACT(Metadata!P557,"microbial mat/biofilm"),EXACT(Metadata!P557,"misc environment"),EXACT(Metadata!P557,"sediment"),EXACT(Metadata!P557,"soil"),EXACT(Metadata!P557,"wastewater/sludge"),EXACT(Metadata!P557,"water")))</f>
        <v>0</v>
      </c>
      <c r="BD557" t="b">
        <f>IF(Metadata!Q557="",FALSE,TRUE)</f>
        <v>0</v>
      </c>
      <c r="BE557" t="b">
        <f>IF(Metadata!R557="",FALSE,TRUE)</f>
        <v>0</v>
      </c>
      <c r="BF557" t="b">
        <f>OR(AND(IF(Metadata!S557="",FALSE,TRUE),OR(EXACT(Metadata!S557,"not collected"),EXACT(Metadata!S557,"not provided"),EXACT(Metadata!S557,"restricted access"))),AND(IF(Metadata!S557="",FALSE,ISNUMBER(VALUE(Metadata!S557))),Metadata!S557&gt;=-90,Metadata!S557&lt;=90))</f>
        <v>0</v>
      </c>
      <c r="BG557" t="b">
        <f>AND(IF(Metadata!T557="",FALSE,TRUE),EXACT(Metadata!T557,"Decimal degrees"))</f>
        <v>0</v>
      </c>
      <c r="BH557" t="b">
        <f>OR(AND(IF(Metadata!U557="",FALSE,TRUE),OR(EXACT(Metadata!U557,"not applicable"),EXACT(Metadata!U557,"not collected"))),IF(Metadata!U557="",FALSE,TRUE))</f>
        <v>0</v>
      </c>
      <c r="BI557" t="b">
        <f>OR(AND(IF(Metadata!V557="",FALSE,TRUE),OR(EXACT(Metadata!V557,"not collected"),EXACT(Metadata!V557,"not provided"),EXACT(Metadata!V557,"restricted access"))),AND(IF(Metadata!V557="",FALSE,ISNUMBER(VALUE(Metadata!V557))),Metadata!V557&gt;=-180,Metadata!V557&lt;=180))</f>
        <v>0</v>
      </c>
      <c r="BJ557" t="b">
        <f>AND(IF(Metadata!W557="",FALSE,TRUE),EXACT(Metadata!W557,"Decimal degrees"))</f>
        <v>0</v>
      </c>
      <c r="BK557" t="b">
        <f>IF(Metadata!X557="",FALSE,TRUE)</f>
        <v>0</v>
      </c>
      <c r="BL557" t="b">
        <f>OR(AND(IF(Metadata!Y557="",FALSE,TRUE),OR(EXACT(Metadata!Y557,"not collected"),EXACT(Metadata!Y557,"not provided"),EXACT(Metadata!Y557,"restricted access"))),AND(IF(Metadata!Y557="",FALSE,TRUE),OR(EXACT(Metadata!Y557,"TRUE"),EXACT(Metadata!Y557,"FALSE"))))</f>
        <v>0</v>
      </c>
      <c r="BM557" t="b">
        <f>OR(AND(IF(Metadata!Z557="",FALSE,TRUE),EXACT(Metadata!Z557,"not applicable")),AND(IF(Metadata!Z557="",FALSE,TRUE),OR(EXACT(Metadata!Z557,"beer"),EXACT(Metadata!Z557,"cheese"),EXACT(Metadata!Z557,"fresh water"),EXACT(Metadata!Z557,"marine sediment"),EXACT(Metadata!Z557,"sea water"),EXACT(Metadata!Z557,"sediment"),EXACT(Metadata!Z557,"soil"),EXACT(Metadata!Z557,"waste water"))))</f>
        <v>0</v>
      </c>
      <c r="BN557" t="b">
        <f>AND(IF(Metadata!AA557="",FALSE,TRUE),EXACT(Metadata!AA557,"metagenome"))</f>
        <v>0</v>
      </c>
      <c r="BO557" t="b">
        <f>AND(IF(Metadata!AB557="",FALSE,TRUE),EXACT(Metadata!AB557,"256318"))</f>
        <v>0</v>
      </c>
      <c r="BP557" t="b">
        <f>IF(Metadata!AC557="",FALSE,TRUE)</f>
        <v>0</v>
      </c>
      <c r="BQ557" t="b">
        <f>IF(Metadata!AD557="",FALSE,TRUE)</f>
        <v>0</v>
      </c>
    </row>
    <row r="558" spans="1:69" x14ac:dyDescent="0.2">
      <c r="A558" s="4" t="e">
        <f ca="1">IF(B558=" "," ",HYPERLINK(CONCATENATE("#metadata!",ADDRESS(INDEX($AJ$2:$AJ$1001,MATCH(ROWS($AH$2:AH558),$AH$2:$AH$1001,0),0),2)),INDEX($AM$2:$AM$1001,MATCH(ROWS($AH$2:AH558),$AH$2:$AH$1001,0),0)))</f>
        <v>#N/A</v>
      </c>
      <c r="B558" s="5" t="e">
        <f ca="1">IF(OR(INDEX($AI$2:$AI$1001,MATCH(ROWS($AH$2:AH558),$AH$2:$AH$1001,0),1)&gt;=100000,INDEX($AO$1005:$BQ$1005,1,MATCH(COLUMNS($AO$1006:AO1006),$AO$1006:$BQ$1006,0))&gt;=100000), " ",IF(INDEX($AO$2:$BQ$1001,MATCH(ROWS($AH$2:AH558),$AH$2:$AH$1001,0),MATCH(COLUMNS($AO$1006:AO1006),$AO$1006:$BQ$1006,0)), HYPERLINK("#",""), HYPERLINK(CONCATENATE("#Metadata!", ADDRESS(INDEX($AJ$2:$AJ$1001,MATCH(ROWS($AH$2:AH558),$AH$2:$AH$1001,0),0), INDEX($AO$1004:$BQ$1004,1,MATCH(COLUMNS($AO$1006:AO1006),$AO$1006:$BQ$1006,0)))),"Fix")))</f>
        <v>#N/A</v>
      </c>
      <c r="C558" s="5" t="e">
        <f ca="1">IF(OR(INDEX($AI$2:$AI$1001,MATCH(ROWS($AH$2:AH558),$AH$2:$AH$1001,0),1)&gt;=100000,INDEX($AO$1005:$BQ$1005,1,MATCH(COLUMNS($AO$1006:AP1006),$AO$1006:$BQ$1006,0))&gt;=100000), " ",IF(INDEX($AO$2:$BQ$1001,MATCH(ROWS($AH$2:AH558),$AH$2:$AH$1001,0),MATCH(COLUMNS($AO$1006:AP1006),$AO$1006:$BQ$1006,0)), HYPERLINK("#",""), HYPERLINK(CONCATENATE("#Metadata!", ADDRESS(INDEX($AJ$2:$AJ$1001,MATCH(ROWS($AH$2:AH558),$AH$2:$AH$1001,0),0), INDEX($AO$1004:$BQ$1004,1,MATCH(COLUMNS($AO$1006:AP1006),$AO$1006:$BQ$1006,0)))),"Fix")))</f>
        <v>#N/A</v>
      </c>
      <c r="D558" s="5" t="e">
        <f ca="1">IF(OR(INDEX($AI$2:$AI$1001,MATCH(ROWS($AH$2:AH558),$AH$2:$AH$1001,0),1)&gt;=100000,INDEX($AO$1005:$BQ$1005,1,MATCH(COLUMNS($AO$1006:AQ1006),$AO$1006:$BQ$1006,0))&gt;=100000), " ",IF(INDEX($AO$2:$BQ$1001,MATCH(ROWS($AH$2:AH558),$AH$2:$AH$1001,0),MATCH(COLUMNS($AO$1006:AQ1006),$AO$1006:$BQ$1006,0)), HYPERLINK("#",""), HYPERLINK(CONCATENATE("#Metadata!", ADDRESS(INDEX($AJ$2:$AJ$1001,MATCH(ROWS($AH$2:AH558),$AH$2:$AH$1001,0),0), INDEX($AO$1004:$BQ$1004,1,MATCH(COLUMNS($AO$1006:AQ1006),$AO$1006:$BQ$1006,0)))),"Fix")))</f>
        <v>#N/A</v>
      </c>
      <c r="E558" s="5" t="e">
        <f ca="1">IF(OR(INDEX($AI$2:$AI$1001,MATCH(ROWS($AH$2:AH558),$AH$2:$AH$1001,0),1)&gt;=100000,INDEX($AO$1005:$BQ$1005,1,MATCH(COLUMNS($AO$1006:AR1006),$AO$1006:$BQ$1006,0))&gt;=100000), " ",IF(INDEX($AO$2:$BQ$1001,MATCH(ROWS($AH$2:AH558),$AH$2:$AH$1001,0),MATCH(COLUMNS($AO$1006:AR1006),$AO$1006:$BQ$1006,0)), HYPERLINK("#",""), HYPERLINK(CONCATENATE("#Metadata!", ADDRESS(INDEX($AJ$2:$AJ$1001,MATCH(ROWS($AH$2:AH558),$AH$2:$AH$1001,0),0), INDEX($AO$1004:$BQ$1004,1,MATCH(COLUMNS($AO$1006:AR1006),$AO$1006:$BQ$1006,0)))),"Fix")))</f>
        <v>#N/A</v>
      </c>
      <c r="F558" s="5" t="e">
        <f ca="1">IF(OR(INDEX($AI$2:$AI$1001,MATCH(ROWS($AH$2:AH558),$AH$2:$AH$1001,0),1)&gt;=100000,INDEX($AO$1005:$BQ$1005,1,MATCH(COLUMNS($AO$1006:AS1006),$AO$1006:$BQ$1006,0))&gt;=100000), " ",IF(INDEX($AO$2:$BQ$1001,MATCH(ROWS($AH$2:AH558),$AH$2:$AH$1001,0),MATCH(COLUMNS($AO$1006:AS1006),$AO$1006:$BQ$1006,0)), HYPERLINK("#",""), HYPERLINK(CONCATENATE("#Metadata!", ADDRESS(INDEX($AJ$2:$AJ$1001,MATCH(ROWS($AH$2:AH558),$AH$2:$AH$1001,0),0), INDEX($AO$1004:$BQ$1004,1,MATCH(COLUMNS($AO$1006:AS1006),$AO$1006:$BQ$1006,0)))),"Fix")))</f>
        <v>#N/A</v>
      </c>
      <c r="G558" s="5" t="e">
        <f ca="1">IF(OR(INDEX($AI$2:$AI$1001,MATCH(ROWS($AH$2:AH558),$AH$2:$AH$1001,0),1)&gt;=100000,INDEX($AO$1005:$BQ$1005,1,MATCH(COLUMNS($AO$1006:AT1006),$AO$1006:$BQ$1006,0))&gt;=100000), " ",IF(INDEX($AO$2:$BQ$1001,MATCH(ROWS($AH$2:AH558),$AH$2:$AH$1001,0),MATCH(COLUMNS($AO$1006:AT1006),$AO$1006:$BQ$1006,0)), HYPERLINK("#",""), HYPERLINK(CONCATENATE("#Metadata!", ADDRESS(INDEX($AJ$2:$AJ$1001,MATCH(ROWS($AH$2:AH558),$AH$2:$AH$1001,0),0), INDEX($AO$1004:$BQ$1004,1,MATCH(COLUMNS($AO$1006:AT1006),$AO$1006:$BQ$1006,0)))),"Fix")))</f>
        <v>#N/A</v>
      </c>
      <c r="H558" s="5" t="e">
        <f ca="1">IF(OR(INDEX($AI$2:$AI$1001,MATCH(ROWS($AH$2:AH558),$AH$2:$AH$1001,0),1)&gt;=100000,INDEX($AO$1005:$BQ$1005,1,MATCH(COLUMNS($AO$1006:AU1006),$AO$1006:$BQ$1006,0))&gt;=100000), " ",IF(INDEX($AO$2:$BQ$1001,MATCH(ROWS($AH$2:AH558),$AH$2:$AH$1001,0),MATCH(COLUMNS($AO$1006:AU1006),$AO$1006:$BQ$1006,0)), HYPERLINK("#",""), HYPERLINK(CONCATENATE("#Metadata!", ADDRESS(INDEX($AJ$2:$AJ$1001,MATCH(ROWS($AH$2:AH558),$AH$2:$AH$1001,0),0), INDEX($AO$1004:$BQ$1004,1,MATCH(COLUMNS($AO$1006:AU1006),$AO$1006:$BQ$1006,0)))),"Fix")))</f>
        <v>#N/A</v>
      </c>
      <c r="I558" s="5" t="e">
        <f ca="1">IF(OR(INDEX($AI$2:$AI$1001,MATCH(ROWS($AH$2:AH558),$AH$2:$AH$1001,0),1)&gt;=100000,INDEX($AO$1005:$BQ$1005,1,MATCH(COLUMNS($AO$1006:AV1006),$AO$1006:$BQ$1006,0))&gt;=100000), " ",IF(INDEX($AO$2:$BQ$1001,MATCH(ROWS($AH$2:AH558),$AH$2:$AH$1001,0),MATCH(COLUMNS($AO$1006:AV1006),$AO$1006:$BQ$1006,0)), HYPERLINK("#",""), HYPERLINK(CONCATENATE("#Metadata!", ADDRESS(INDEX($AJ$2:$AJ$1001,MATCH(ROWS($AH$2:AH558),$AH$2:$AH$1001,0),0), INDEX($AO$1004:$BQ$1004,1,MATCH(COLUMNS($AO$1006:AV1006),$AO$1006:$BQ$1006,0)))),"Fix")))</f>
        <v>#N/A</v>
      </c>
      <c r="J558" s="5" t="e">
        <f ca="1">IF(OR(INDEX($AI$2:$AI$1001,MATCH(ROWS($AH$2:AH558),$AH$2:$AH$1001,0),1)&gt;=100000,INDEX($AO$1005:$BQ$1005,1,MATCH(COLUMNS($AO$1006:AW1006),$AO$1006:$BQ$1006,0))&gt;=100000), " ",IF(INDEX($AO$2:$BQ$1001,MATCH(ROWS($AH$2:AH558),$AH$2:$AH$1001,0),MATCH(COLUMNS($AO$1006:AW1006),$AO$1006:$BQ$1006,0)), HYPERLINK("#",""), HYPERLINK(CONCATENATE("#Metadata!", ADDRESS(INDEX($AJ$2:$AJ$1001,MATCH(ROWS($AH$2:AH558),$AH$2:$AH$1001,0),0), INDEX($AO$1004:$BQ$1004,1,MATCH(COLUMNS($AO$1006:AW1006),$AO$1006:$BQ$1006,0)))),"Fix")))</f>
        <v>#N/A</v>
      </c>
      <c r="K558" s="5" t="e">
        <f ca="1">IF(OR(INDEX($AI$2:$AI$1001,MATCH(ROWS($AH$2:AH558),$AH$2:$AH$1001,0),1)&gt;=100000,INDEX($AO$1005:$BQ$1005,1,MATCH(COLUMNS($AO$1006:AX1006),$AO$1006:$BQ$1006,0))&gt;=100000), " ",IF(INDEX($AO$2:$BQ$1001,MATCH(ROWS($AH$2:AH558),$AH$2:$AH$1001,0),MATCH(COLUMNS($AO$1006:AX1006),$AO$1006:$BQ$1006,0)), HYPERLINK("#",""), HYPERLINK(CONCATENATE("#Metadata!", ADDRESS(INDEX($AJ$2:$AJ$1001,MATCH(ROWS($AH$2:AH558),$AH$2:$AH$1001,0),0), INDEX($AO$1004:$BQ$1004,1,MATCH(COLUMNS($AO$1006:AX1006),$AO$1006:$BQ$1006,0)))),"Fix")))</f>
        <v>#N/A</v>
      </c>
      <c r="L558" s="5" t="e">
        <f ca="1">IF(OR(INDEX($AI$2:$AI$1001,MATCH(ROWS($AH$2:AH558),$AH$2:$AH$1001,0),1)&gt;=100000,INDEX($AO$1005:$BQ$1005,1,MATCH(COLUMNS($AO$1006:AY1006),$AO$1006:$BQ$1006,0))&gt;=100000), " ",IF(INDEX($AO$2:$BQ$1001,MATCH(ROWS($AH$2:AH558),$AH$2:$AH$1001,0),MATCH(COLUMNS($AO$1006:AY1006),$AO$1006:$BQ$1006,0)), HYPERLINK("#",""), HYPERLINK(CONCATENATE("#Metadata!", ADDRESS(INDEX($AJ$2:$AJ$1001,MATCH(ROWS($AH$2:AH558),$AH$2:$AH$1001,0),0), INDEX($AO$1004:$BQ$1004,1,MATCH(COLUMNS($AO$1006:AY1006),$AO$1006:$BQ$1006,0)))),"Fix")))</f>
        <v>#N/A</v>
      </c>
      <c r="M558" s="5" t="e">
        <f ca="1">IF(OR(INDEX($AI$2:$AI$1001,MATCH(ROWS($AH$2:AH558),$AH$2:$AH$1001,0),1)&gt;=100000,INDEX($AO$1005:$BQ$1005,1,MATCH(COLUMNS($AO$1006:AZ1006),$AO$1006:$BQ$1006,0))&gt;=100000), " ",IF(INDEX($AO$2:$BQ$1001,MATCH(ROWS($AH$2:AH558),$AH$2:$AH$1001,0),MATCH(COLUMNS($AO$1006:AZ1006),$AO$1006:$BQ$1006,0)), HYPERLINK("#",""), HYPERLINK(CONCATENATE("#Metadata!", ADDRESS(INDEX($AJ$2:$AJ$1001,MATCH(ROWS($AH$2:AH558),$AH$2:$AH$1001,0),0), INDEX($AO$1004:$BQ$1004,1,MATCH(COLUMNS($AO$1006:AZ1006),$AO$1006:$BQ$1006,0)))),"Fix")))</f>
        <v>#N/A</v>
      </c>
      <c r="N558" s="5" t="e">
        <f ca="1">IF(OR(INDEX($AI$2:$AI$1001,MATCH(ROWS($AH$2:AH558),$AH$2:$AH$1001,0),1)&gt;=100000,INDEX($AO$1005:$BQ$1005,1,MATCH(COLUMNS($AO$1006:BA1006),$AO$1006:$BQ$1006,0))&gt;=100000), " ",IF(INDEX($AO$2:$BQ$1001,MATCH(ROWS($AH$2:AH558),$AH$2:$AH$1001,0),MATCH(COLUMNS($AO$1006:BA1006),$AO$1006:$BQ$1006,0)), HYPERLINK("#",""), HYPERLINK(CONCATENATE("#Metadata!", ADDRESS(INDEX($AJ$2:$AJ$1001,MATCH(ROWS($AH$2:AH558),$AH$2:$AH$1001,0),0), INDEX($AO$1004:$BQ$1004,1,MATCH(COLUMNS($AO$1006:BA1006),$AO$1006:$BQ$1006,0)))),"Fix")))</f>
        <v>#N/A</v>
      </c>
      <c r="O558" s="5" t="e">
        <f ca="1">IF(OR(INDEX($AI$2:$AI$1001,MATCH(ROWS($AH$2:AH558),$AH$2:$AH$1001,0),1)&gt;=100000,INDEX($AO$1005:$BQ$1005,1,MATCH(COLUMNS($AO$1006:BB1006),$AO$1006:$BQ$1006,0))&gt;=100000), " ",IF(INDEX($AO$2:$BQ$1001,MATCH(ROWS($AH$2:AH558),$AH$2:$AH$1001,0),MATCH(COLUMNS($AO$1006:BB1006),$AO$1006:$BQ$1006,0)), HYPERLINK("#",""), HYPERLINK(CONCATENATE("#Metadata!", ADDRESS(INDEX($AJ$2:$AJ$1001,MATCH(ROWS($AH$2:AH558),$AH$2:$AH$1001,0),0), INDEX($AO$1004:$BQ$1004,1,MATCH(COLUMNS($AO$1006:BB1006),$AO$1006:$BQ$1006,0)))),"Fix")))</f>
        <v>#N/A</v>
      </c>
      <c r="P558" s="5" t="e">
        <f ca="1">IF(OR(INDEX($AI$2:$AI$1001,MATCH(ROWS($AH$2:AH558),$AH$2:$AH$1001,0),1)&gt;=100000,INDEX($AO$1005:$BQ$1005,1,MATCH(COLUMNS($AO$1006:BC1006),$AO$1006:$BQ$1006,0))&gt;=100000), " ",IF(INDEX($AO$2:$BQ$1001,MATCH(ROWS($AH$2:AH558),$AH$2:$AH$1001,0),MATCH(COLUMNS($AO$1006:BC1006),$AO$1006:$BQ$1006,0)), HYPERLINK("#",""), HYPERLINK(CONCATENATE("#Metadata!", ADDRESS(INDEX($AJ$2:$AJ$1001,MATCH(ROWS($AH$2:AH558),$AH$2:$AH$1001,0),0), INDEX($AO$1004:$BQ$1004,1,MATCH(COLUMNS($AO$1006:BC1006),$AO$1006:$BQ$1006,0)))),"Fix")))</f>
        <v>#N/A</v>
      </c>
      <c r="Q558" s="5" t="e">
        <f ca="1">IF(OR(INDEX($AI$2:$AI$1001,MATCH(ROWS($AH$2:AH558),$AH$2:$AH$1001,0),1)&gt;=100000,INDEX($AO$1005:$BQ$1005,1,MATCH(COLUMNS($AO$1006:BD1006),$AO$1006:$BQ$1006,0))&gt;=100000), " ",IF(INDEX($AO$2:$BQ$1001,MATCH(ROWS($AH$2:AH558),$AH$2:$AH$1001,0),MATCH(COLUMNS($AO$1006:BD1006),$AO$1006:$BQ$1006,0)), HYPERLINK("#",""), HYPERLINK(CONCATENATE("#Metadata!", ADDRESS(INDEX($AJ$2:$AJ$1001,MATCH(ROWS($AH$2:AH558),$AH$2:$AH$1001,0),0), INDEX($AO$1004:$BQ$1004,1,MATCH(COLUMNS($AO$1006:BD1006),$AO$1006:$BQ$1006,0)))),"Fix")))</f>
        <v>#N/A</v>
      </c>
      <c r="R558" s="5" t="e">
        <f ca="1">IF(OR(INDEX($AI$2:$AI$1001,MATCH(ROWS($AH$2:AH558),$AH$2:$AH$1001,0),1)&gt;=100000,INDEX($AO$1005:$BQ$1005,1,MATCH(COLUMNS($AO$1006:BE1006),$AO$1006:$BQ$1006,0))&gt;=100000), " ",IF(INDEX($AO$2:$BQ$1001,MATCH(ROWS($AH$2:AH558),$AH$2:$AH$1001,0),MATCH(COLUMNS($AO$1006:BE1006),$AO$1006:$BQ$1006,0)), HYPERLINK("#",""), HYPERLINK(CONCATENATE("#Metadata!", ADDRESS(INDEX($AJ$2:$AJ$1001,MATCH(ROWS($AH$2:AH558),$AH$2:$AH$1001,0),0), INDEX($AO$1004:$BQ$1004,1,MATCH(COLUMNS($AO$1006:BE1006),$AO$1006:$BQ$1006,0)))),"Fix")))</f>
        <v>#N/A</v>
      </c>
      <c r="S558" s="5" t="e">
        <f ca="1">IF(OR(INDEX($AI$2:$AI$1001,MATCH(ROWS($AH$2:AH558),$AH$2:$AH$1001,0),1)&gt;=100000,INDEX($AO$1005:$BQ$1005,1,MATCH(COLUMNS($AO$1006:BF1006),$AO$1006:$BQ$1006,0))&gt;=100000), " ",IF(INDEX($AO$2:$BQ$1001,MATCH(ROWS($AH$2:AH558),$AH$2:$AH$1001,0),MATCH(COLUMNS($AO$1006:BF1006),$AO$1006:$BQ$1006,0)), HYPERLINK("#",""), HYPERLINK(CONCATENATE("#Metadata!", ADDRESS(INDEX($AJ$2:$AJ$1001,MATCH(ROWS($AH$2:AH558),$AH$2:$AH$1001,0),0), INDEX($AO$1004:$BQ$1004,1,MATCH(COLUMNS($AO$1006:BF1006),$AO$1006:$BQ$1006,0)))),"Fix")))</f>
        <v>#N/A</v>
      </c>
      <c r="T558" s="5" t="e">
        <f ca="1">IF(OR(INDEX($AI$2:$AI$1001,MATCH(ROWS($AH$2:AH558),$AH$2:$AH$1001,0),1)&gt;=100000,INDEX($AO$1005:$BQ$1005,1,MATCH(COLUMNS($AO$1006:BG1006),$AO$1006:$BQ$1006,0))&gt;=100000), " ",IF(INDEX($AO$2:$BQ$1001,MATCH(ROWS($AH$2:AH558),$AH$2:$AH$1001,0),MATCH(COLUMNS($AO$1006:BG1006),$AO$1006:$BQ$1006,0)), HYPERLINK("#",""), HYPERLINK(CONCATENATE("#Metadata!", ADDRESS(INDEX($AJ$2:$AJ$1001,MATCH(ROWS($AH$2:AH558),$AH$2:$AH$1001,0),0), INDEX($AO$1004:$BQ$1004,1,MATCH(COLUMNS($AO$1006:BG1006),$AO$1006:$BQ$1006,0)))),"Fix")))</f>
        <v>#N/A</v>
      </c>
      <c r="U558" s="5" t="e">
        <f ca="1">IF(OR(INDEX($AI$2:$AI$1001,MATCH(ROWS($AH$2:AH558),$AH$2:$AH$1001,0),1)&gt;=100000,INDEX($AO$1005:$BQ$1005,1,MATCH(COLUMNS($AO$1006:BH1006),$AO$1006:$BQ$1006,0))&gt;=100000), " ",IF(INDEX($AO$2:$BQ$1001,MATCH(ROWS($AH$2:AH558),$AH$2:$AH$1001,0),MATCH(COLUMNS($AO$1006:BH1006),$AO$1006:$BQ$1006,0)), HYPERLINK("#",""), HYPERLINK(CONCATENATE("#Metadata!", ADDRESS(INDEX($AJ$2:$AJ$1001,MATCH(ROWS($AH$2:AH558),$AH$2:$AH$1001,0),0), INDEX($AO$1004:$BQ$1004,1,MATCH(COLUMNS($AO$1006:BH1006),$AO$1006:$BQ$1006,0)))),"Fix")))</f>
        <v>#N/A</v>
      </c>
      <c r="V558" s="5" t="e">
        <f ca="1">IF(OR(INDEX($AI$2:$AI$1001,MATCH(ROWS($AH$2:AH558),$AH$2:$AH$1001,0),1)&gt;=100000,INDEX($AO$1005:$BQ$1005,1,MATCH(COLUMNS($AO$1006:BI1006),$AO$1006:$BQ$1006,0))&gt;=100000), " ",IF(INDEX($AO$2:$BQ$1001,MATCH(ROWS($AH$2:AH558),$AH$2:$AH$1001,0),MATCH(COLUMNS($AO$1006:BI1006),$AO$1006:$BQ$1006,0)), HYPERLINK("#",""), HYPERLINK(CONCATENATE("#Metadata!", ADDRESS(INDEX($AJ$2:$AJ$1001,MATCH(ROWS($AH$2:AH558),$AH$2:$AH$1001,0),0), INDEX($AO$1004:$BQ$1004,1,MATCH(COLUMNS($AO$1006:BI1006),$AO$1006:$BQ$1006,0)))),"Fix")))</f>
        <v>#N/A</v>
      </c>
      <c r="W558" s="5" t="e">
        <f ca="1">IF(OR(INDEX($AI$2:$AI$1001,MATCH(ROWS($AH$2:AH558),$AH$2:$AH$1001,0),1)&gt;=100000,INDEX($AO$1005:$BQ$1005,1,MATCH(COLUMNS($AO$1006:BJ1006),$AO$1006:$BQ$1006,0))&gt;=100000), " ",IF(INDEX($AO$2:$BQ$1001,MATCH(ROWS($AH$2:AH558),$AH$2:$AH$1001,0),MATCH(COLUMNS($AO$1006:BJ1006),$AO$1006:$BQ$1006,0)), HYPERLINK("#",""), HYPERLINK(CONCATENATE("#Metadata!", ADDRESS(INDEX($AJ$2:$AJ$1001,MATCH(ROWS($AH$2:AH558),$AH$2:$AH$1001,0),0), INDEX($AO$1004:$BQ$1004,1,MATCH(COLUMNS($AO$1006:BJ1006),$AO$1006:$BQ$1006,0)))),"Fix")))</f>
        <v>#N/A</v>
      </c>
      <c r="X558" s="5" t="e">
        <f ca="1">IF(OR(INDEX($AI$2:$AI$1001,MATCH(ROWS($AH$2:AH558),$AH$2:$AH$1001,0),1)&gt;=100000,INDEX($AO$1005:$BQ$1005,1,MATCH(COLUMNS($AO$1006:BK1006),$AO$1006:$BQ$1006,0))&gt;=100000), " ",IF(INDEX($AO$2:$BQ$1001,MATCH(ROWS($AH$2:AH558),$AH$2:$AH$1001,0),MATCH(COLUMNS($AO$1006:BK1006),$AO$1006:$BQ$1006,0)), HYPERLINK("#",""), HYPERLINK(CONCATENATE("#Metadata!", ADDRESS(INDEX($AJ$2:$AJ$1001,MATCH(ROWS($AH$2:AH558),$AH$2:$AH$1001,0),0), INDEX($AO$1004:$BQ$1004,1,MATCH(COLUMNS($AO$1006:BK1006),$AO$1006:$BQ$1006,0)))),"Fix")))</f>
        <v>#N/A</v>
      </c>
      <c r="Y558" s="5" t="e">
        <f ca="1">IF(OR(INDEX($AI$2:$AI$1001,MATCH(ROWS($AH$2:AH558),$AH$2:$AH$1001,0),1)&gt;=100000,INDEX($AO$1005:$BQ$1005,1,MATCH(COLUMNS($AO$1006:BL1006),$AO$1006:$BQ$1006,0))&gt;=100000), " ",IF(INDEX($AO$2:$BQ$1001,MATCH(ROWS($AH$2:AH558),$AH$2:$AH$1001,0),MATCH(COLUMNS($AO$1006:BL1006),$AO$1006:$BQ$1006,0)), HYPERLINK("#",""), HYPERLINK(CONCATENATE("#Metadata!", ADDRESS(INDEX($AJ$2:$AJ$1001,MATCH(ROWS($AH$2:AH558),$AH$2:$AH$1001,0),0), INDEX($AO$1004:$BQ$1004,1,MATCH(COLUMNS($AO$1006:BL1006),$AO$1006:$BQ$1006,0)))),"Fix")))</f>
        <v>#N/A</v>
      </c>
      <c r="Z558" s="5" t="e">
        <f ca="1">IF(OR(INDEX($AI$2:$AI$1001,MATCH(ROWS($AH$2:AH558),$AH$2:$AH$1001,0),1)&gt;=100000,INDEX($AO$1005:$BQ$1005,1,MATCH(COLUMNS($AO$1006:BM1006),$AO$1006:$BQ$1006,0))&gt;=100000), " ",IF(INDEX($AO$2:$BQ$1001,MATCH(ROWS($AH$2:AH558),$AH$2:$AH$1001,0),MATCH(COLUMNS($AO$1006:BM1006),$AO$1006:$BQ$1006,0)), HYPERLINK("#",""), HYPERLINK(CONCATENATE("#Metadata!", ADDRESS(INDEX($AJ$2:$AJ$1001,MATCH(ROWS($AH$2:AH558),$AH$2:$AH$1001,0),0), INDEX($AO$1004:$BQ$1004,1,MATCH(COLUMNS($AO$1006:BM1006),$AO$1006:$BQ$1006,0)))),"Fix")))</f>
        <v>#N/A</v>
      </c>
      <c r="AA558" s="5" t="e">
        <f ca="1">IF(OR(INDEX($AI$2:$AI$1001,MATCH(ROWS($AH$2:AH558),$AH$2:$AH$1001,0),1)&gt;=100000,INDEX($AO$1005:$BQ$1005,1,MATCH(COLUMNS($AO$1006:BN1006),$AO$1006:$BQ$1006,0))&gt;=100000), " ",IF(INDEX($AO$2:$BQ$1001,MATCH(ROWS($AH$2:AH558),$AH$2:$AH$1001,0),MATCH(COLUMNS($AO$1006:BN1006),$AO$1006:$BQ$1006,0)), HYPERLINK("#",""), HYPERLINK(CONCATENATE("#Metadata!", ADDRESS(INDEX($AJ$2:$AJ$1001,MATCH(ROWS($AH$2:AH558),$AH$2:$AH$1001,0),0), INDEX($AO$1004:$BQ$1004,1,MATCH(COLUMNS($AO$1006:BN1006),$AO$1006:$BQ$1006,0)))),"Fix")))</f>
        <v>#N/A</v>
      </c>
      <c r="AB558" s="5" t="e">
        <f ca="1">IF(OR(INDEX($AI$2:$AI$1001,MATCH(ROWS($AH$2:AH558),$AH$2:$AH$1001,0),1)&gt;=100000,INDEX($AO$1005:$BQ$1005,1,MATCH(COLUMNS($AO$1006:BO1006),$AO$1006:$BQ$1006,0))&gt;=100000), " ",IF(INDEX($AO$2:$BQ$1001,MATCH(ROWS($AH$2:AH558),$AH$2:$AH$1001,0),MATCH(COLUMNS($AO$1006:BO1006),$AO$1006:$BQ$1006,0)), HYPERLINK("#",""), HYPERLINK(CONCATENATE("#Metadata!", ADDRESS(INDEX($AJ$2:$AJ$1001,MATCH(ROWS($AH$2:AH558),$AH$2:$AH$1001,0),0), INDEX($AO$1004:$BQ$1004,1,MATCH(COLUMNS($AO$1006:BO1006),$AO$1006:$BQ$1006,0)))),"Fix")))</f>
        <v>#N/A</v>
      </c>
      <c r="AC558" s="5" t="e">
        <f ca="1">IF(OR(INDEX($AI$2:$AI$1001,MATCH(ROWS($AH$2:AH558),$AH$2:$AH$1001,0),1)&gt;=100000,INDEX($AO$1005:$BQ$1005,1,MATCH(COLUMNS($AO$1006:BP1006),$AO$1006:$BQ$1006,0))&gt;=100000), " ",IF(INDEX($AO$2:$BQ$1001,MATCH(ROWS($AH$2:AH558),$AH$2:$AH$1001,0),MATCH(COLUMNS($AO$1006:BP1006),$AO$1006:$BQ$1006,0)), HYPERLINK("#",""), HYPERLINK(CONCATENATE("#Metadata!", ADDRESS(INDEX($AJ$2:$AJ$1001,MATCH(ROWS($AH$2:AH558),$AH$2:$AH$1001,0),0), INDEX($AO$1004:$BQ$1004,1,MATCH(COLUMNS($AO$1006:BP1006),$AO$1006:$BQ$1006,0)))),"Fix")))</f>
        <v>#N/A</v>
      </c>
      <c r="AD558" s="5" t="e">
        <f ca="1">IF(OR(INDEX($AI$2:$AI$1001,MATCH(ROWS($AH$2:AH558),$AH$2:$AH$1001,0),1)&gt;=100000,INDEX($AO$1005:$BQ$1005,1,MATCH(COLUMNS($AO$1006:BQ1006),$AO$1006:$BQ$1006,0))&gt;=100000), " ",IF(INDEX($AO$2:$BQ$1001,MATCH(ROWS($AH$2:AH558),$AH$2:$AH$1001,0),MATCH(COLUMNS($AO$1006:BQ1006),$AO$1006:$BQ$1006,0)), HYPERLINK("#",""), HYPERLINK(CONCATENATE("#Metadata!", ADDRESS(INDEX($AJ$2:$AJ$1001,MATCH(ROWS($AH$2:AH558),$AH$2:$AH$1001,0),0), INDEX($AO$1004:$BQ$1004,1,MATCH(COLUMNS($AO$1006:BQ1006),$AO$1006:$BQ$1006,0)))),"Fix")))</f>
        <v>#REF!</v>
      </c>
      <c r="AH558">
        <f ca="1"/>
        <v>555</v>
      </c>
      <c r="AI558">
        <v>100558</v>
      </c>
      <c r="AJ558">
        <v>558</v>
      </c>
      <c r="AK558" t="b">
        <f t="shared" si="8"/>
        <v>1</v>
      </c>
      <c r="AL558" t="b">
        <f>COUNTBLANK(Metadata!B558:AD558)=COLUMNS(Metadata!B558:AD558)</f>
        <v>1</v>
      </c>
      <c r="AM558" t="str">
        <v/>
      </c>
      <c r="AO558" t="b">
        <f ca="1">AND(IF(Metadata!B558="",FALSE,TRUE),COUNTIF(Metadata!B:B, Metadata!B558) = 1,NOT(ISERROR(SUMPRODUCT(SEARCH(MID(Metadata!B558,ROW(INDIRECT("1:"&amp;LEN(Metadata!B558))), 1),"0123456789abcdefghijklmnopqrstuvwxyzABCDEFGHIJKLMNOPQRSTUVWXYZ.")))))</f>
        <v>0</v>
      </c>
      <c r="AP558" t="b">
        <f>IF(Metadata!C558="",FALSE,TRUE)</f>
        <v>0</v>
      </c>
      <c r="AQ558" t="b">
        <f>IF(Metadata!D558="",FALSE,TRUE)</f>
        <v>0</v>
      </c>
      <c r="AR558" t="b">
        <f ca="1">OR(AND(IF(Metadata!E558="",FALSE,TRUE),OR(EXACT(Metadata!E558,"not collected"),EXACT(Metadata!E558,"not provided"),EXACT(Metadata!E558,"restricted access"))),AND(IF(Metadata!E558="",FALSE,TRUE),AND(AND(IFERROR(INT(LEFT(Metadata!E558,4))&gt;1900,FALSE),IFERROR(INT(LEFT(Metadata!E558,4))&lt;=YEAR(NOW()),FALSE)), OR(MID(Metadata!E558,5,1)="", AND(AND(MID(Metadata!E558,5,1)="-",IFERROR(INT(MID(Metadata!E558,6,1))&gt;=0,FALSE),IFERROR(INT(MID(Metadata!E558,6,1))&lt;=1,FALSE),NOT(MID(Metadata!E558,7,1)=""),IFERROR(INT(MID(Metadata!E558,6,2))&gt;=1,FALSE),IFERROR(INT(MID(Metadata!E558,6,2))&lt;=12,FALSE)), OR(MID(Metadata!E558,8,1)="", AND(AND(MID(Metadata!E558,8,1)="-",IFERROR(INT(MID(Metadata!E558,9,1))&gt;=0,FALSE),IFERROR(INT(MID(Metadata!E558,9,1))&lt;=3,FALSE),NOT(MID(Metadata!E558,10,1)=""),IFERROR(INT(MID(Metadata!E558,9,2))&gt;=1,FALSE),IFERROR(INT(MID(Metadata!E558,9,2))&lt;=31,FALSE)), OR(MID(Metadata!E558,11,1)="", AND(AND(MID(Metadata!E558,11,1)=" ",IFERROR(INT(MID(Metadata!E558,12,1))&gt;=0,FALSE),IFERROR(INT(MID(Metadata!E558,12,1))&lt;=2,FALSE),NOT(MID(Metadata!E558,13,1)=""),IFERROR(INT(MID(Metadata!E558,12,2))&gt;=0,FALSE),IFERROR(INT(MID(Metadata!E558,12,2))&lt;=23,FALSE)), OR(MID(Metadata!E558,14,1)="", AND(AND(MID(Metadata!E558,14,1)=":",IFERROR(INT(MID(Metadata!E558,15,1))&gt;=0,FALSE),IFERROR(INT(MID(Metadata!E558,15,1))&lt;=5,FALSE),NOT(MID(Metadata!E558,16,1)=""),IFERROR(INT(MID(Metadata!E558,15,2))&gt;=0,FALSE),IFERROR(INT(MID(Metadata!E558,15,2))&lt;=59,FALSE)), OR(MID(Metadata!E558,17,1)="", AND(AND(MID(Metadata!E558,17,1)=":",IFERROR(INT(MID(Metadata!E558,18,1))&gt;=0,FALSE),IFERROR(INT(MID(Metadata!E558,18,1))&lt;=5,FALSE),NOT(MID(Metadata!E558,19,1)=""),IFERROR(INT(MID(Metadata!E558,18,2))&gt;=0,FALSE),IFERROR(INT(MID(Metadata!E558,18,2))&lt;=59,FALSE)), LEN(Metadata!E558)&lt;=19)))))))))))))</f>
        <v>0</v>
      </c>
      <c r="AS558" t="b">
        <f>IF(Metadata!F558="",FALSE,TRUE)</f>
        <v>0</v>
      </c>
      <c r="AT558" t="b">
        <f>OR(AND(IF(Metadata!G558="",FALSE,TRUE),OR(EXACT(Metadata!G558,"not collected"),EXACT(Metadata!G558,"not provided"))),AND(IF(Metadata!G558="",FALSE,TRUE),OR(EXACT(Metadata!G558,"TRUE"),EXACT(Metadata!G558,"FALSE"))))</f>
        <v>0</v>
      </c>
      <c r="AU558" t="b">
        <f>OR(AND(IF(Metadata!H558="",FALSE,TRUE),OR(EXACT(Metadata!H558,"not collected"),EXACT(Metadata!H558,"not provided"),EXACT(Metadata!H558,"restricted access"))),AND(IF(Metadata!H558="",FALSE,ISNUMBER(VALUE(Metadata!H558))),Metadata!H558&gt;=-413))</f>
        <v>0</v>
      </c>
      <c r="AV558" t="b">
        <f>AND(IF(Metadata!I558="",FALSE,TRUE),EXACT(Metadata!I558,"meters"))</f>
        <v>0</v>
      </c>
      <c r="AW558" t="b">
        <f>AND(IF(Metadata!J558="",FALSE,TRUE),EXACT(Metadata!J558,"free-living"))</f>
        <v>0</v>
      </c>
      <c r="AX558" t="b">
        <f>AND(IF(Metadata!K558="",FALSE,TRUE),OR(EXACT(Metadata!K558,"saline"),EXACT(Metadata!K558,"non-saline")))</f>
        <v>0</v>
      </c>
      <c r="AY558" t="b">
        <f>AND(IF(Metadata!L558="",FALSE,TRUE),OR(EXACT(Metadata!L558,"sub-surface (non-saline)"),EXACT(Metadata!L558,"surface (non-saline)"),EXACT(Metadata!L558,"water (non-saline)"),EXACT(Metadata!L558,"soil (non-saline)"),EXACT(Metadata!L558,"aerosol (non-saline)"),EXACT(Metadata!L558,"sediment (non-saline)"),EXACT(Metadata!L558,"surface (saline)"),EXACT(Metadata!L558,"water (saline)"),EXACT(Metadata!L558,"hypersaline (saline)"),EXACT(Metadata!L558,"aerosol (saline)"),EXACT(Metadata!L558,"sediment (saline)")))</f>
        <v>0</v>
      </c>
      <c r="AZ558" t="b">
        <f>IF(Metadata!M558="",FALSE,TRUE)</f>
        <v>0</v>
      </c>
      <c r="BA558" t="b">
        <f>IF(Metadata!N558="",FALSE,TRUE)</f>
        <v>0</v>
      </c>
      <c r="BB558" t="b">
        <f>IF(Metadata!O558="",FALSE,TRUE)</f>
        <v>0</v>
      </c>
      <c r="BC558" t="b">
        <f>AND(IF(Metadata!P558="",FALSE,TRUE),OR(EXACT(Metadata!P558,"air"),EXACT(Metadata!P558,"microbial mat/biofilm"),EXACT(Metadata!P558,"misc environment"),EXACT(Metadata!P558,"sediment"),EXACT(Metadata!P558,"soil"),EXACT(Metadata!P558,"wastewater/sludge"),EXACT(Metadata!P558,"water")))</f>
        <v>0</v>
      </c>
      <c r="BD558" t="b">
        <f>IF(Metadata!Q558="",FALSE,TRUE)</f>
        <v>0</v>
      </c>
      <c r="BE558" t="b">
        <f>IF(Metadata!R558="",FALSE,TRUE)</f>
        <v>0</v>
      </c>
      <c r="BF558" t="b">
        <f>OR(AND(IF(Metadata!S558="",FALSE,TRUE),OR(EXACT(Metadata!S558,"not collected"),EXACT(Metadata!S558,"not provided"),EXACT(Metadata!S558,"restricted access"))),AND(IF(Metadata!S558="",FALSE,ISNUMBER(VALUE(Metadata!S558))),Metadata!S558&gt;=-90,Metadata!S558&lt;=90))</f>
        <v>0</v>
      </c>
      <c r="BG558" t="b">
        <f>AND(IF(Metadata!T558="",FALSE,TRUE),EXACT(Metadata!T558,"Decimal degrees"))</f>
        <v>0</v>
      </c>
      <c r="BH558" t="b">
        <f>OR(AND(IF(Metadata!U558="",FALSE,TRUE),OR(EXACT(Metadata!U558,"not applicable"),EXACT(Metadata!U558,"not collected"))),IF(Metadata!U558="",FALSE,TRUE))</f>
        <v>0</v>
      </c>
      <c r="BI558" t="b">
        <f>OR(AND(IF(Metadata!V558="",FALSE,TRUE),OR(EXACT(Metadata!V558,"not collected"),EXACT(Metadata!V558,"not provided"),EXACT(Metadata!V558,"restricted access"))),AND(IF(Metadata!V558="",FALSE,ISNUMBER(VALUE(Metadata!V558))),Metadata!V558&gt;=-180,Metadata!V558&lt;=180))</f>
        <v>0</v>
      </c>
      <c r="BJ558" t="b">
        <f>AND(IF(Metadata!W558="",FALSE,TRUE),EXACT(Metadata!W558,"Decimal degrees"))</f>
        <v>0</v>
      </c>
      <c r="BK558" t="b">
        <f>IF(Metadata!X558="",FALSE,TRUE)</f>
        <v>0</v>
      </c>
      <c r="BL558" t="b">
        <f>OR(AND(IF(Metadata!Y558="",FALSE,TRUE),OR(EXACT(Metadata!Y558,"not collected"),EXACT(Metadata!Y558,"not provided"),EXACT(Metadata!Y558,"restricted access"))),AND(IF(Metadata!Y558="",FALSE,TRUE),OR(EXACT(Metadata!Y558,"TRUE"),EXACT(Metadata!Y558,"FALSE"))))</f>
        <v>0</v>
      </c>
      <c r="BM558" t="b">
        <f>OR(AND(IF(Metadata!Z558="",FALSE,TRUE),EXACT(Metadata!Z558,"not applicable")),AND(IF(Metadata!Z558="",FALSE,TRUE),OR(EXACT(Metadata!Z558,"beer"),EXACT(Metadata!Z558,"cheese"),EXACT(Metadata!Z558,"fresh water"),EXACT(Metadata!Z558,"marine sediment"),EXACT(Metadata!Z558,"sea water"),EXACT(Metadata!Z558,"sediment"),EXACT(Metadata!Z558,"soil"),EXACT(Metadata!Z558,"waste water"))))</f>
        <v>0</v>
      </c>
      <c r="BN558" t="b">
        <f>AND(IF(Metadata!AA558="",FALSE,TRUE),EXACT(Metadata!AA558,"metagenome"))</f>
        <v>0</v>
      </c>
      <c r="BO558" t="b">
        <f>AND(IF(Metadata!AB558="",FALSE,TRUE),EXACT(Metadata!AB558,"256318"))</f>
        <v>0</v>
      </c>
      <c r="BP558" t="b">
        <f>IF(Metadata!AC558="",FALSE,TRUE)</f>
        <v>0</v>
      </c>
      <c r="BQ558" t="b">
        <f>IF(Metadata!AD558="",FALSE,TRUE)</f>
        <v>0</v>
      </c>
    </row>
    <row r="559" spans="1:69" x14ac:dyDescent="0.2">
      <c r="A559" s="4" t="e">
        <f ca="1">IF(B559=" "," ",HYPERLINK(CONCATENATE("#metadata!",ADDRESS(INDEX($AJ$2:$AJ$1001,MATCH(ROWS($AH$2:AH559),$AH$2:$AH$1001,0),0),2)),INDEX($AM$2:$AM$1001,MATCH(ROWS($AH$2:AH559),$AH$2:$AH$1001,0),0)))</f>
        <v>#N/A</v>
      </c>
      <c r="B559" s="5" t="e">
        <f ca="1">IF(OR(INDEX($AI$2:$AI$1001,MATCH(ROWS($AH$2:AH559),$AH$2:$AH$1001,0),1)&gt;=100000,INDEX($AO$1005:$BQ$1005,1,MATCH(COLUMNS($AO$1006:AO1006),$AO$1006:$BQ$1006,0))&gt;=100000), " ",IF(INDEX($AO$2:$BQ$1001,MATCH(ROWS($AH$2:AH559),$AH$2:$AH$1001,0),MATCH(COLUMNS($AO$1006:AO1006),$AO$1006:$BQ$1006,0)), HYPERLINK("#",""), HYPERLINK(CONCATENATE("#Metadata!", ADDRESS(INDEX($AJ$2:$AJ$1001,MATCH(ROWS($AH$2:AH559),$AH$2:$AH$1001,0),0), INDEX($AO$1004:$BQ$1004,1,MATCH(COLUMNS($AO$1006:AO1006),$AO$1006:$BQ$1006,0)))),"Fix")))</f>
        <v>#N/A</v>
      </c>
      <c r="C559" s="5" t="e">
        <f ca="1">IF(OR(INDEX($AI$2:$AI$1001,MATCH(ROWS($AH$2:AH559),$AH$2:$AH$1001,0),1)&gt;=100000,INDEX($AO$1005:$BQ$1005,1,MATCH(COLUMNS($AO$1006:AP1006),$AO$1006:$BQ$1006,0))&gt;=100000), " ",IF(INDEX($AO$2:$BQ$1001,MATCH(ROWS($AH$2:AH559),$AH$2:$AH$1001,0),MATCH(COLUMNS($AO$1006:AP1006),$AO$1006:$BQ$1006,0)), HYPERLINK("#",""), HYPERLINK(CONCATENATE("#Metadata!", ADDRESS(INDEX($AJ$2:$AJ$1001,MATCH(ROWS($AH$2:AH559),$AH$2:$AH$1001,0),0), INDEX($AO$1004:$BQ$1004,1,MATCH(COLUMNS($AO$1006:AP1006),$AO$1006:$BQ$1006,0)))),"Fix")))</f>
        <v>#N/A</v>
      </c>
      <c r="D559" s="5" t="e">
        <f ca="1">IF(OR(INDEX($AI$2:$AI$1001,MATCH(ROWS($AH$2:AH559),$AH$2:$AH$1001,0),1)&gt;=100000,INDEX($AO$1005:$BQ$1005,1,MATCH(COLUMNS($AO$1006:AQ1006),$AO$1006:$BQ$1006,0))&gt;=100000), " ",IF(INDEX($AO$2:$BQ$1001,MATCH(ROWS($AH$2:AH559),$AH$2:$AH$1001,0),MATCH(COLUMNS($AO$1006:AQ1006),$AO$1006:$BQ$1006,0)), HYPERLINK("#",""), HYPERLINK(CONCATENATE("#Metadata!", ADDRESS(INDEX($AJ$2:$AJ$1001,MATCH(ROWS($AH$2:AH559),$AH$2:$AH$1001,0),0), INDEX($AO$1004:$BQ$1004,1,MATCH(COLUMNS($AO$1006:AQ1006),$AO$1006:$BQ$1006,0)))),"Fix")))</f>
        <v>#N/A</v>
      </c>
      <c r="E559" s="5" t="e">
        <f ca="1">IF(OR(INDEX($AI$2:$AI$1001,MATCH(ROWS($AH$2:AH559),$AH$2:$AH$1001,0),1)&gt;=100000,INDEX($AO$1005:$BQ$1005,1,MATCH(COLUMNS($AO$1006:AR1006),$AO$1006:$BQ$1006,0))&gt;=100000), " ",IF(INDEX($AO$2:$BQ$1001,MATCH(ROWS($AH$2:AH559),$AH$2:$AH$1001,0),MATCH(COLUMNS($AO$1006:AR1006),$AO$1006:$BQ$1006,0)), HYPERLINK("#",""), HYPERLINK(CONCATENATE("#Metadata!", ADDRESS(INDEX($AJ$2:$AJ$1001,MATCH(ROWS($AH$2:AH559),$AH$2:$AH$1001,0),0), INDEX($AO$1004:$BQ$1004,1,MATCH(COLUMNS($AO$1006:AR1006),$AO$1006:$BQ$1006,0)))),"Fix")))</f>
        <v>#N/A</v>
      </c>
      <c r="F559" s="5" t="e">
        <f ca="1">IF(OR(INDEX($AI$2:$AI$1001,MATCH(ROWS($AH$2:AH559),$AH$2:$AH$1001,0),1)&gt;=100000,INDEX($AO$1005:$BQ$1005,1,MATCH(COLUMNS($AO$1006:AS1006),$AO$1006:$BQ$1006,0))&gt;=100000), " ",IF(INDEX($AO$2:$BQ$1001,MATCH(ROWS($AH$2:AH559),$AH$2:$AH$1001,0),MATCH(COLUMNS($AO$1006:AS1006),$AO$1006:$BQ$1006,0)), HYPERLINK("#",""), HYPERLINK(CONCATENATE("#Metadata!", ADDRESS(INDEX($AJ$2:$AJ$1001,MATCH(ROWS($AH$2:AH559),$AH$2:$AH$1001,0),0), INDEX($AO$1004:$BQ$1004,1,MATCH(COLUMNS($AO$1006:AS1006),$AO$1006:$BQ$1006,0)))),"Fix")))</f>
        <v>#N/A</v>
      </c>
      <c r="G559" s="5" t="e">
        <f ca="1">IF(OR(INDEX($AI$2:$AI$1001,MATCH(ROWS($AH$2:AH559),$AH$2:$AH$1001,0),1)&gt;=100000,INDEX($AO$1005:$BQ$1005,1,MATCH(COLUMNS($AO$1006:AT1006),$AO$1006:$BQ$1006,0))&gt;=100000), " ",IF(INDEX($AO$2:$BQ$1001,MATCH(ROWS($AH$2:AH559),$AH$2:$AH$1001,0),MATCH(COLUMNS($AO$1006:AT1006),$AO$1006:$BQ$1006,0)), HYPERLINK("#",""), HYPERLINK(CONCATENATE("#Metadata!", ADDRESS(INDEX($AJ$2:$AJ$1001,MATCH(ROWS($AH$2:AH559),$AH$2:$AH$1001,0),0), INDEX($AO$1004:$BQ$1004,1,MATCH(COLUMNS($AO$1006:AT1006),$AO$1006:$BQ$1006,0)))),"Fix")))</f>
        <v>#N/A</v>
      </c>
      <c r="H559" s="5" t="e">
        <f ca="1">IF(OR(INDEX($AI$2:$AI$1001,MATCH(ROWS($AH$2:AH559),$AH$2:$AH$1001,0),1)&gt;=100000,INDEX($AO$1005:$BQ$1005,1,MATCH(COLUMNS($AO$1006:AU1006),$AO$1006:$BQ$1006,0))&gt;=100000), " ",IF(INDEX($AO$2:$BQ$1001,MATCH(ROWS($AH$2:AH559),$AH$2:$AH$1001,0),MATCH(COLUMNS($AO$1006:AU1006),$AO$1006:$BQ$1006,0)), HYPERLINK("#",""), HYPERLINK(CONCATENATE("#Metadata!", ADDRESS(INDEX($AJ$2:$AJ$1001,MATCH(ROWS($AH$2:AH559),$AH$2:$AH$1001,0),0), INDEX($AO$1004:$BQ$1004,1,MATCH(COLUMNS($AO$1006:AU1006),$AO$1006:$BQ$1006,0)))),"Fix")))</f>
        <v>#N/A</v>
      </c>
      <c r="I559" s="5" t="e">
        <f ca="1">IF(OR(INDEX($AI$2:$AI$1001,MATCH(ROWS($AH$2:AH559),$AH$2:$AH$1001,0),1)&gt;=100000,INDEX($AO$1005:$BQ$1005,1,MATCH(COLUMNS($AO$1006:AV1006),$AO$1006:$BQ$1006,0))&gt;=100000), " ",IF(INDEX($AO$2:$BQ$1001,MATCH(ROWS($AH$2:AH559),$AH$2:$AH$1001,0),MATCH(COLUMNS($AO$1006:AV1006),$AO$1006:$BQ$1006,0)), HYPERLINK("#",""), HYPERLINK(CONCATENATE("#Metadata!", ADDRESS(INDEX($AJ$2:$AJ$1001,MATCH(ROWS($AH$2:AH559),$AH$2:$AH$1001,0),0), INDEX($AO$1004:$BQ$1004,1,MATCH(COLUMNS($AO$1006:AV1006),$AO$1006:$BQ$1006,0)))),"Fix")))</f>
        <v>#N/A</v>
      </c>
      <c r="J559" s="5" t="e">
        <f ca="1">IF(OR(INDEX($AI$2:$AI$1001,MATCH(ROWS($AH$2:AH559),$AH$2:$AH$1001,0),1)&gt;=100000,INDEX($AO$1005:$BQ$1005,1,MATCH(COLUMNS($AO$1006:AW1006),$AO$1006:$BQ$1006,0))&gt;=100000), " ",IF(INDEX($AO$2:$BQ$1001,MATCH(ROWS($AH$2:AH559),$AH$2:$AH$1001,0),MATCH(COLUMNS($AO$1006:AW1006),$AO$1006:$BQ$1006,0)), HYPERLINK("#",""), HYPERLINK(CONCATENATE("#Metadata!", ADDRESS(INDEX($AJ$2:$AJ$1001,MATCH(ROWS($AH$2:AH559),$AH$2:$AH$1001,0),0), INDEX($AO$1004:$BQ$1004,1,MATCH(COLUMNS($AO$1006:AW1006),$AO$1006:$BQ$1006,0)))),"Fix")))</f>
        <v>#N/A</v>
      </c>
      <c r="K559" s="5" t="e">
        <f ca="1">IF(OR(INDEX($AI$2:$AI$1001,MATCH(ROWS($AH$2:AH559),$AH$2:$AH$1001,0),1)&gt;=100000,INDEX($AO$1005:$BQ$1005,1,MATCH(COLUMNS($AO$1006:AX1006),$AO$1006:$BQ$1006,0))&gt;=100000), " ",IF(INDEX($AO$2:$BQ$1001,MATCH(ROWS($AH$2:AH559),$AH$2:$AH$1001,0),MATCH(COLUMNS($AO$1006:AX1006),$AO$1006:$BQ$1006,0)), HYPERLINK("#",""), HYPERLINK(CONCATENATE("#Metadata!", ADDRESS(INDEX($AJ$2:$AJ$1001,MATCH(ROWS($AH$2:AH559),$AH$2:$AH$1001,0),0), INDEX($AO$1004:$BQ$1004,1,MATCH(COLUMNS($AO$1006:AX1006),$AO$1006:$BQ$1006,0)))),"Fix")))</f>
        <v>#N/A</v>
      </c>
      <c r="L559" s="5" t="e">
        <f ca="1">IF(OR(INDEX($AI$2:$AI$1001,MATCH(ROWS($AH$2:AH559),$AH$2:$AH$1001,0),1)&gt;=100000,INDEX($AO$1005:$BQ$1005,1,MATCH(COLUMNS($AO$1006:AY1006),$AO$1006:$BQ$1006,0))&gt;=100000), " ",IF(INDEX($AO$2:$BQ$1001,MATCH(ROWS($AH$2:AH559),$AH$2:$AH$1001,0),MATCH(COLUMNS($AO$1006:AY1006),$AO$1006:$BQ$1006,0)), HYPERLINK("#",""), HYPERLINK(CONCATENATE("#Metadata!", ADDRESS(INDEX($AJ$2:$AJ$1001,MATCH(ROWS($AH$2:AH559),$AH$2:$AH$1001,0),0), INDEX($AO$1004:$BQ$1004,1,MATCH(COLUMNS($AO$1006:AY1006),$AO$1006:$BQ$1006,0)))),"Fix")))</f>
        <v>#N/A</v>
      </c>
      <c r="M559" s="5" t="e">
        <f ca="1">IF(OR(INDEX($AI$2:$AI$1001,MATCH(ROWS($AH$2:AH559),$AH$2:$AH$1001,0),1)&gt;=100000,INDEX($AO$1005:$BQ$1005,1,MATCH(COLUMNS($AO$1006:AZ1006),$AO$1006:$BQ$1006,0))&gt;=100000), " ",IF(INDEX($AO$2:$BQ$1001,MATCH(ROWS($AH$2:AH559),$AH$2:$AH$1001,0),MATCH(COLUMNS($AO$1006:AZ1006),$AO$1006:$BQ$1006,0)), HYPERLINK("#",""), HYPERLINK(CONCATENATE("#Metadata!", ADDRESS(INDEX($AJ$2:$AJ$1001,MATCH(ROWS($AH$2:AH559),$AH$2:$AH$1001,0),0), INDEX($AO$1004:$BQ$1004,1,MATCH(COLUMNS($AO$1006:AZ1006),$AO$1006:$BQ$1006,0)))),"Fix")))</f>
        <v>#N/A</v>
      </c>
      <c r="N559" s="5" t="e">
        <f ca="1">IF(OR(INDEX($AI$2:$AI$1001,MATCH(ROWS($AH$2:AH559),$AH$2:$AH$1001,0),1)&gt;=100000,INDEX($AO$1005:$BQ$1005,1,MATCH(COLUMNS($AO$1006:BA1006),$AO$1006:$BQ$1006,0))&gt;=100000), " ",IF(INDEX($AO$2:$BQ$1001,MATCH(ROWS($AH$2:AH559),$AH$2:$AH$1001,0),MATCH(COLUMNS($AO$1006:BA1006),$AO$1006:$BQ$1006,0)), HYPERLINK("#",""), HYPERLINK(CONCATENATE("#Metadata!", ADDRESS(INDEX($AJ$2:$AJ$1001,MATCH(ROWS($AH$2:AH559),$AH$2:$AH$1001,0),0), INDEX($AO$1004:$BQ$1004,1,MATCH(COLUMNS($AO$1006:BA1006),$AO$1006:$BQ$1006,0)))),"Fix")))</f>
        <v>#N/A</v>
      </c>
      <c r="O559" s="5" t="e">
        <f ca="1">IF(OR(INDEX($AI$2:$AI$1001,MATCH(ROWS($AH$2:AH559),$AH$2:$AH$1001,0),1)&gt;=100000,INDEX($AO$1005:$BQ$1005,1,MATCH(COLUMNS($AO$1006:BB1006),$AO$1006:$BQ$1006,0))&gt;=100000), " ",IF(INDEX($AO$2:$BQ$1001,MATCH(ROWS($AH$2:AH559),$AH$2:$AH$1001,0),MATCH(COLUMNS($AO$1006:BB1006),$AO$1006:$BQ$1006,0)), HYPERLINK("#",""), HYPERLINK(CONCATENATE("#Metadata!", ADDRESS(INDEX($AJ$2:$AJ$1001,MATCH(ROWS($AH$2:AH559),$AH$2:$AH$1001,0),0), INDEX($AO$1004:$BQ$1004,1,MATCH(COLUMNS($AO$1006:BB1006),$AO$1006:$BQ$1006,0)))),"Fix")))</f>
        <v>#N/A</v>
      </c>
      <c r="P559" s="5" t="e">
        <f ca="1">IF(OR(INDEX($AI$2:$AI$1001,MATCH(ROWS($AH$2:AH559),$AH$2:$AH$1001,0),1)&gt;=100000,INDEX($AO$1005:$BQ$1005,1,MATCH(COLUMNS($AO$1006:BC1006),$AO$1006:$BQ$1006,0))&gt;=100000), " ",IF(INDEX($AO$2:$BQ$1001,MATCH(ROWS($AH$2:AH559),$AH$2:$AH$1001,0),MATCH(COLUMNS($AO$1006:BC1006),$AO$1006:$BQ$1006,0)), HYPERLINK("#",""), HYPERLINK(CONCATENATE("#Metadata!", ADDRESS(INDEX($AJ$2:$AJ$1001,MATCH(ROWS($AH$2:AH559),$AH$2:$AH$1001,0),0), INDEX($AO$1004:$BQ$1004,1,MATCH(COLUMNS($AO$1006:BC1006),$AO$1006:$BQ$1006,0)))),"Fix")))</f>
        <v>#N/A</v>
      </c>
      <c r="Q559" s="5" t="e">
        <f ca="1">IF(OR(INDEX($AI$2:$AI$1001,MATCH(ROWS($AH$2:AH559),$AH$2:$AH$1001,0),1)&gt;=100000,INDEX($AO$1005:$BQ$1005,1,MATCH(COLUMNS($AO$1006:BD1006),$AO$1006:$BQ$1006,0))&gt;=100000), " ",IF(INDEX($AO$2:$BQ$1001,MATCH(ROWS($AH$2:AH559),$AH$2:$AH$1001,0),MATCH(COLUMNS($AO$1006:BD1006),$AO$1006:$BQ$1006,0)), HYPERLINK("#",""), HYPERLINK(CONCATENATE("#Metadata!", ADDRESS(INDEX($AJ$2:$AJ$1001,MATCH(ROWS($AH$2:AH559),$AH$2:$AH$1001,0),0), INDEX($AO$1004:$BQ$1004,1,MATCH(COLUMNS($AO$1006:BD1006),$AO$1006:$BQ$1006,0)))),"Fix")))</f>
        <v>#N/A</v>
      </c>
      <c r="R559" s="5" t="e">
        <f ca="1">IF(OR(INDEX($AI$2:$AI$1001,MATCH(ROWS($AH$2:AH559),$AH$2:$AH$1001,0),1)&gt;=100000,INDEX($AO$1005:$BQ$1005,1,MATCH(COLUMNS($AO$1006:BE1006),$AO$1006:$BQ$1006,0))&gt;=100000), " ",IF(INDEX($AO$2:$BQ$1001,MATCH(ROWS($AH$2:AH559),$AH$2:$AH$1001,0),MATCH(COLUMNS($AO$1006:BE1006),$AO$1006:$BQ$1006,0)), HYPERLINK("#",""), HYPERLINK(CONCATENATE("#Metadata!", ADDRESS(INDEX($AJ$2:$AJ$1001,MATCH(ROWS($AH$2:AH559),$AH$2:$AH$1001,0),0), INDEX($AO$1004:$BQ$1004,1,MATCH(COLUMNS($AO$1006:BE1006),$AO$1006:$BQ$1006,0)))),"Fix")))</f>
        <v>#N/A</v>
      </c>
      <c r="S559" s="5" t="e">
        <f ca="1">IF(OR(INDEX($AI$2:$AI$1001,MATCH(ROWS($AH$2:AH559),$AH$2:$AH$1001,0),1)&gt;=100000,INDEX($AO$1005:$BQ$1005,1,MATCH(COLUMNS($AO$1006:BF1006),$AO$1006:$BQ$1006,0))&gt;=100000), " ",IF(INDEX($AO$2:$BQ$1001,MATCH(ROWS($AH$2:AH559),$AH$2:$AH$1001,0),MATCH(COLUMNS($AO$1006:BF1006),$AO$1006:$BQ$1006,0)), HYPERLINK("#",""), HYPERLINK(CONCATENATE("#Metadata!", ADDRESS(INDEX($AJ$2:$AJ$1001,MATCH(ROWS($AH$2:AH559),$AH$2:$AH$1001,0),0), INDEX($AO$1004:$BQ$1004,1,MATCH(COLUMNS($AO$1006:BF1006),$AO$1006:$BQ$1006,0)))),"Fix")))</f>
        <v>#N/A</v>
      </c>
      <c r="T559" s="5" t="e">
        <f ca="1">IF(OR(INDEX($AI$2:$AI$1001,MATCH(ROWS($AH$2:AH559),$AH$2:$AH$1001,0),1)&gt;=100000,INDEX($AO$1005:$BQ$1005,1,MATCH(COLUMNS($AO$1006:BG1006),$AO$1006:$BQ$1006,0))&gt;=100000), " ",IF(INDEX($AO$2:$BQ$1001,MATCH(ROWS($AH$2:AH559),$AH$2:$AH$1001,0),MATCH(COLUMNS($AO$1006:BG1006),$AO$1006:$BQ$1006,0)), HYPERLINK("#",""), HYPERLINK(CONCATENATE("#Metadata!", ADDRESS(INDEX($AJ$2:$AJ$1001,MATCH(ROWS($AH$2:AH559),$AH$2:$AH$1001,0),0), INDEX($AO$1004:$BQ$1004,1,MATCH(COLUMNS($AO$1006:BG1006),$AO$1006:$BQ$1006,0)))),"Fix")))</f>
        <v>#N/A</v>
      </c>
      <c r="U559" s="5" t="e">
        <f ca="1">IF(OR(INDEX($AI$2:$AI$1001,MATCH(ROWS($AH$2:AH559),$AH$2:$AH$1001,0),1)&gt;=100000,INDEX($AO$1005:$BQ$1005,1,MATCH(COLUMNS($AO$1006:BH1006),$AO$1006:$BQ$1006,0))&gt;=100000), " ",IF(INDEX($AO$2:$BQ$1001,MATCH(ROWS($AH$2:AH559),$AH$2:$AH$1001,0),MATCH(COLUMNS($AO$1006:BH1006),$AO$1006:$BQ$1006,0)), HYPERLINK("#",""), HYPERLINK(CONCATENATE("#Metadata!", ADDRESS(INDEX($AJ$2:$AJ$1001,MATCH(ROWS($AH$2:AH559),$AH$2:$AH$1001,0),0), INDEX($AO$1004:$BQ$1004,1,MATCH(COLUMNS($AO$1006:BH1006),$AO$1006:$BQ$1006,0)))),"Fix")))</f>
        <v>#N/A</v>
      </c>
      <c r="V559" s="5" t="e">
        <f ca="1">IF(OR(INDEX($AI$2:$AI$1001,MATCH(ROWS($AH$2:AH559),$AH$2:$AH$1001,0),1)&gt;=100000,INDEX($AO$1005:$BQ$1005,1,MATCH(COLUMNS($AO$1006:BI1006),$AO$1006:$BQ$1006,0))&gt;=100000), " ",IF(INDEX($AO$2:$BQ$1001,MATCH(ROWS($AH$2:AH559),$AH$2:$AH$1001,0),MATCH(COLUMNS($AO$1006:BI1006),$AO$1006:$BQ$1006,0)), HYPERLINK("#",""), HYPERLINK(CONCATENATE("#Metadata!", ADDRESS(INDEX($AJ$2:$AJ$1001,MATCH(ROWS($AH$2:AH559),$AH$2:$AH$1001,0),0), INDEX($AO$1004:$BQ$1004,1,MATCH(COLUMNS($AO$1006:BI1006),$AO$1006:$BQ$1006,0)))),"Fix")))</f>
        <v>#N/A</v>
      </c>
      <c r="W559" s="5" t="e">
        <f ca="1">IF(OR(INDEX($AI$2:$AI$1001,MATCH(ROWS($AH$2:AH559),$AH$2:$AH$1001,0),1)&gt;=100000,INDEX($AO$1005:$BQ$1005,1,MATCH(COLUMNS($AO$1006:BJ1006),$AO$1006:$BQ$1006,0))&gt;=100000), " ",IF(INDEX($AO$2:$BQ$1001,MATCH(ROWS($AH$2:AH559),$AH$2:$AH$1001,0),MATCH(COLUMNS($AO$1006:BJ1006),$AO$1006:$BQ$1006,0)), HYPERLINK("#",""), HYPERLINK(CONCATENATE("#Metadata!", ADDRESS(INDEX($AJ$2:$AJ$1001,MATCH(ROWS($AH$2:AH559),$AH$2:$AH$1001,0),0), INDEX($AO$1004:$BQ$1004,1,MATCH(COLUMNS($AO$1006:BJ1006),$AO$1006:$BQ$1006,0)))),"Fix")))</f>
        <v>#N/A</v>
      </c>
      <c r="X559" s="5" t="e">
        <f ca="1">IF(OR(INDEX($AI$2:$AI$1001,MATCH(ROWS($AH$2:AH559),$AH$2:$AH$1001,0),1)&gt;=100000,INDEX($AO$1005:$BQ$1005,1,MATCH(COLUMNS($AO$1006:BK1006),$AO$1006:$BQ$1006,0))&gt;=100000), " ",IF(INDEX($AO$2:$BQ$1001,MATCH(ROWS($AH$2:AH559),$AH$2:$AH$1001,0),MATCH(COLUMNS($AO$1006:BK1006),$AO$1006:$BQ$1006,0)), HYPERLINK("#",""), HYPERLINK(CONCATENATE("#Metadata!", ADDRESS(INDEX($AJ$2:$AJ$1001,MATCH(ROWS($AH$2:AH559),$AH$2:$AH$1001,0),0), INDEX($AO$1004:$BQ$1004,1,MATCH(COLUMNS($AO$1006:BK1006),$AO$1006:$BQ$1006,0)))),"Fix")))</f>
        <v>#N/A</v>
      </c>
      <c r="Y559" s="5" t="e">
        <f ca="1">IF(OR(INDEX($AI$2:$AI$1001,MATCH(ROWS($AH$2:AH559),$AH$2:$AH$1001,0),1)&gt;=100000,INDEX($AO$1005:$BQ$1005,1,MATCH(COLUMNS($AO$1006:BL1006),$AO$1006:$BQ$1006,0))&gt;=100000), " ",IF(INDEX($AO$2:$BQ$1001,MATCH(ROWS($AH$2:AH559),$AH$2:$AH$1001,0),MATCH(COLUMNS($AO$1006:BL1006),$AO$1006:$BQ$1006,0)), HYPERLINK("#",""), HYPERLINK(CONCATENATE("#Metadata!", ADDRESS(INDEX($AJ$2:$AJ$1001,MATCH(ROWS($AH$2:AH559),$AH$2:$AH$1001,0),0), INDEX($AO$1004:$BQ$1004,1,MATCH(COLUMNS($AO$1006:BL1006),$AO$1006:$BQ$1006,0)))),"Fix")))</f>
        <v>#N/A</v>
      </c>
      <c r="Z559" s="5" t="e">
        <f ca="1">IF(OR(INDEX($AI$2:$AI$1001,MATCH(ROWS($AH$2:AH559),$AH$2:$AH$1001,0),1)&gt;=100000,INDEX($AO$1005:$BQ$1005,1,MATCH(COLUMNS($AO$1006:BM1006),$AO$1006:$BQ$1006,0))&gt;=100000), " ",IF(INDEX($AO$2:$BQ$1001,MATCH(ROWS($AH$2:AH559),$AH$2:$AH$1001,0),MATCH(COLUMNS($AO$1006:BM1006),$AO$1006:$BQ$1006,0)), HYPERLINK("#",""), HYPERLINK(CONCATENATE("#Metadata!", ADDRESS(INDEX($AJ$2:$AJ$1001,MATCH(ROWS($AH$2:AH559),$AH$2:$AH$1001,0),0), INDEX($AO$1004:$BQ$1004,1,MATCH(COLUMNS($AO$1006:BM1006),$AO$1006:$BQ$1006,0)))),"Fix")))</f>
        <v>#N/A</v>
      </c>
      <c r="AA559" s="5" t="e">
        <f ca="1">IF(OR(INDEX($AI$2:$AI$1001,MATCH(ROWS($AH$2:AH559),$AH$2:$AH$1001,0),1)&gt;=100000,INDEX($AO$1005:$BQ$1005,1,MATCH(COLUMNS($AO$1006:BN1006),$AO$1006:$BQ$1006,0))&gt;=100000), " ",IF(INDEX($AO$2:$BQ$1001,MATCH(ROWS($AH$2:AH559),$AH$2:$AH$1001,0),MATCH(COLUMNS($AO$1006:BN1006),$AO$1006:$BQ$1006,0)), HYPERLINK("#",""), HYPERLINK(CONCATENATE("#Metadata!", ADDRESS(INDEX($AJ$2:$AJ$1001,MATCH(ROWS($AH$2:AH559),$AH$2:$AH$1001,0),0), INDEX($AO$1004:$BQ$1004,1,MATCH(COLUMNS($AO$1006:BN1006),$AO$1006:$BQ$1006,0)))),"Fix")))</f>
        <v>#N/A</v>
      </c>
      <c r="AB559" s="5" t="e">
        <f ca="1">IF(OR(INDEX($AI$2:$AI$1001,MATCH(ROWS($AH$2:AH559),$AH$2:$AH$1001,0),1)&gt;=100000,INDEX($AO$1005:$BQ$1005,1,MATCH(COLUMNS($AO$1006:BO1006),$AO$1006:$BQ$1006,0))&gt;=100000), " ",IF(INDEX($AO$2:$BQ$1001,MATCH(ROWS($AH$2:AH559),$AH$2:$AH$1001,0),MATCH(COLUMNS($AO$1006:BO1006),$AO$1006:$BQ$1006,0)), HYPERLINK("#",""), HYPERLINK(CONCATENATE("#Metadata!", ADDRESS(INDEX($AJ$2:$AJ$1001,MATCH(ROWS($AH$2:AH559),$AH$2:$AH$1001,0),0), INDEX($AO$1004:$BQ$1004,1,MATCH(COLUMNS($AO$1006:BO1006),$AO$1006:$BQ$1006,0)))),"Fix")))</f>
        <v>#N/A</v>
      </c>
      <c r="AC559" s="5" t="e">
        <f ca="1">IF(OR(INDEX($AI$2:$AI$1001,MATCH(ROWS($AH$2:AH559),$AH$2:$AH$1001,0),1)&gt;=100000,INDEX($AO$1005:$BQ$1005,1,MATCH(COLUMNS($AO$1006:BP1006),$AO$1006:$BQ$1006,0))&gt;=100000), " ",IF(INDEX($AO$2:$BQ$1001,MATCH(ROWS($AH$2:AH559),$AH$2:$AH$1001,0),MATCH(COLUMNS($AO$1006:BP1006),$AO$1006:$BQ$1006,0)), HYPERLINK("#",""), HYPERLINK(CONCATENATE("#Metadata!", ADDRESS(INDEX($AJ$2:$AJ$1001,MATCH(ROWS($AH$2:AH559),$AH$2:$AH$1001,0),0), INDEX($AO$1004:$BQ$1004,1,MATCH(COLUMNS($AO$1006:BP1006),$AO$1006:$BQ$1006,0)))),"Fix")))</f>
        <v>#N/A</v>
      </c>
      <c r="AD559" s="5" t="e">
        <f ca="1">IF(OR(INDEX($AI$2:$AI$1001,MATCH(ROWS($AH$2:AH559),$AH$2:$AH$1001,0),1)&gt;=100000,INDEX($AO$1005:$BQ$1005,1,MATCH(COLUMNS($AO$1006:BQ1006),$AO$1006:$BQ$1006,0))&gt;=100000), " ",IF(INDEX($AO$2:$BQ$1001,MATCH(ROWS($AH$2:AH559),$AH$2:$AH$1001,0),MATCH(COLUMNS($AO$1006:BQ1006),$AO$1006:$BQ$1006,0)), HYPERLINK("#",""), HYPERLINK(CONCATENATE("#Metadata!", ADDRESS(INDEX($AJ$2:$AJ$1001,MATCH(ROWS($AH$2:AH559),$AH$2:$AH$1001,0),0), INDEX($AO$1004:$BQ$1004,1,MATCH(COLUMNS($AO$1006:BQ1006),$AO$1006:$BQ$1006,0)))),"Fix")))</f>
        <v>#REF!</v>
      </c>
      <c r="AH559">
        <f ca="1"/>
        <v>556</v>
      </c>
      <c r="AI559">
        <v>100559</v>
      </c>
      <c r="AJ559">
        <v>559</v>
      </c>
      <c r="AK559" t="b">
        <f t="shared" si="8"/>
        <v>1</v>
      </c>
      <c r="AL559" t="b">
        <f>COUNTBLANK(Metadata!B559:AD559)=COLUMNS(Metadata!B559:AD559)</f>
        <v>1</v>
      </c>
      <c r="AM559" t="str">
        <v/>
      </c>
      <c r="AO559" t="b">
        <f ca="1">AND(IF(Metadata!B559="",FALSE,TRUE),COUNTIF(Metadata!B:B, Metadata!B559) = 1,NOT(ISERROR(SUMPRODUCT(SEARCH(MID(Metadata!B559,ROW(INDIRECT("1:"&amp;LEN(Metadata!B559))), 1),"0123456789abcdefghijklmnopqrstuvwxyzABCDEFGHIJKLMNOPQRSTUVWXYZ.")))))</f>
        <v>0</v>
      </c>
      <c r="AP559" t="b">
        <f>IF(Metadata!C559="",FALSE,TRUE)</f>
        <v>0</v>
      </c>
      <c r="AQ559" t="b">
        <f>IF(Metadata!D559="",FALSE,TRUE)</f>
        <v>0</v>
      </c>
      <c r="AR559" t="b">
        <f ca="1">OR(AND(IF(Metadata!E559="",FALSE,TRUE),OR(EXACT(Metadata!E559,"not collected"),EXACT(Metadata!E559,"not provided"),EXACT(Metadata!E559,"restricted access"))),AND(IF(Metadata!E559="",FALSE,TRUE),AND(AND(IFERROR(INT(LEFT(Metadata!E559,4))&gt;1900,FALSE),IFERROR(INT(LEFT(Metadata!E559,4))&lt;=YEAR(NOW()),FALSE)), OR(MID(Metadata!E559,5,1)="", AND(AND(MID(Metadata!E559,5,1)="-",IFERROR(INT(MID(Metadata!E559,6,1))&gt;=0,FALSE),IFERROR(INT(MID(Metadata!E559,6,1))&lt;=1,FALSE),NOT(MID(Metadata!E559,7,1)=""),IFERROR(INT(MID(Metadata!E559,6,2))&gt;=1,FALSE),IFERROR(INT(MID(Metadata!E559,6,2))&lt;=12,FALSE)), OR(MID(Metadata!E559,8,1)="", AND(AND(MID(Metadata!E559,8,1)="-",IFERROR(INT(MID(Metadata!E559,9,1))&gt;=0,FALSE),IFERROR(INT(MID(Metadata!E559,9,1))&lt;=3,FALSE),NOT(MID(Metadata!E559,10,1)=""),IFERROR(INT(MID(Metadata!E559,9,2))&gt;=1,FALSE),IFERROR(INT(MID(Metadata!E559,9,2))&lt;=31,FALSE)), OR(MID(Metadata!E559,11,1)="", AND(AND(MID(Metadata!E559,11,1)=" ",IFERROR(INT(MID(Metadata!E559,12,1))&gt;=0,FALSE),IFERROR(INT(MID(Metadata!E559,12,1))&lt;=2,FALSE),NOT(MID(Metadata!E559,13,1)=""),IFERROR(INT(MID(Metadata!E559,12,2))&gt;=0,FALSE),IFERROR(INT(MID(Metadata!E559,12,2))&lt;=23,FALSE)), OR(MID(Metadata!E559,14,1)="", AND(AND(MID(Metadata!E559,14,1)=":",IFERROR(INT(MID(Metadata!E559,15,1))&gt;=0,FALSE),IFERROR(INT(MID(Metadata!E559,15,1))&lt;=5,FALSE),NOT(MID(Metadata!E559,16,1)=""),IFERROR(INT(MID(Metadata!E559,15,2))&gt;=0,FALSE),IFERROR(INT(MID(Metadata!E559,15,2))&lt;=59,FALSE)), OR(MID(Metadata!E559,17,1)="", AND(AND(MID(Metadata!E559,17,1)=":",IFERROR(INT(MID(Metadata!E559,18,1))&gt;=0,FALSE),IFERROR(INT(MID(Metadata!E559,18,1))&lt;=5,FALSE),NOT(MID(Metadata!E559,19,1)=""),IFERROR(INT(MID(Metadata!E559,18,2))&gt;=0,FALSE),IFERROR(INT(MID(Metadata!E559,18,2))&lt;=59,FALSE)), LEN(Metadata!E559)&lt;=19)))))))))))))</f>
        <v>0</v>
      </c>
      <c r="AS559" t="b">
        <f>IF(Metadata!F559="",FALSE,TRUE)</f>
        <v>0</v>
      </c>
      <c r="AT559" t="b">
        <f>OR(AND(IF(Metadata!G559="",FALSE,TRUE),OR(EXACT(Metadata!G559,"not collected"),EXACT(Metadata!G559,"not provided"))),AND(IF(Metadata!G559="",FALSE,TRUE),OR(EXACT(Metadata!G559,"TRUE"),EXACT(Metadata!G559,"FALSE"))))</f>
        <v>0</v>
      </c>
      <c r="AU559" t="b">
        <f>OR(AND(IF(Metadata!H559="",FALSE,TRUE),OR(EXACT(Metadata!H559,"not collected"),EXACT(Metadata!H559,"not provided"),EXACT(Metadata!H559,"restricted access"))),AND(IF(Metadata!H559="",FALSE,ISNUMBER(VALUE(Metadata!H559))),Metadata!H559&gt;=-413))</f>
        <v>0</v>
      </c>
      <c r="AV559" t="b">
        <f>AND(IF(Metadata!I559="",FALSE,TRUE),EXACT(Metadata!I559,"meters"))</f>
        <v>0</v>
      </c>
      <c r="AW559" t="b">
        <f>AND(IF(Metadata!J559="",FALSE,TRUE),EXACT(Metadata!J559,"free-living"))</f>
        <v>0</v>
      </c>
      <c r="AX559" t="b">
        <f>AND(IF(Metadata!K559="",FALSE,TRUE),OR(EXACT(Metadata!K559,"saline"),EXACT(Metadata!K559,"non-saline")))</f>
        <v>0</v>
      </c>
      <c r="AY559" t="b">
        <f>AND(IF(Metadata!L559="",FALSE,TRUE),OR(EXACT(Metadata!L559,"sub-surface (non-saline)"),EXACT(Metadata!L559,"surface (non-saline)"),EXACT(Metadata!L559,"water (non-saline)"),EXACT(Metadata!L559,"soil (non-saline)"),EXACT(Metadata!L559,"aerosol (non-saline)"),EXACT(Metadata!L559,"sediment (non-saline)"),EXACT(Metadata!L559,"surface (saline)"),EXACT(Metadata!L559,"water (saline)"),EXACT(Metadata!L559,"hypersaline (saline)"),EXACT(Metadata!L559,"aerosol (saline)"),EXACT(Metadata!L559,"sediment (saline)")))</f>
        <v>0</v>
      </c>
      <c r="AZ559" t="b">
        <f>IF(Metadata!M559="",FALSE,TRUE)</f>
        <v>0</v>
      </c>
      <c r="BA559" t="b">
        <f>IF(Metadata!N559="",FALSE,TRUE)</f>
        <v>0</v>
      </c>
      <c r="BB559" t="b">
        <f>IF(Metadata!O559="",FALSE,TRUE)</f>
        <v>0</v>
      </c>
      <c r="BC559" t="b">
        <f>AND(IF(Metadata!P559="",FALSE,TRUE),OR(EXACT(Metadata!P559,"air"),EXACT(Metadata!P559,"microbial mat/biofilm"),EXACT(Metadata!P559,"misc environment"),EXACT(Metadata!P559,"sediment"),EXACT(Metadata!P559,"soil"),EXACT(Metadata!P559,"wastewater/sludge"),EXACT(Metadata!P559,"water")))</f>
        <v>0</v>
      </c>
      <c r="BD559" t="b">
        <f>IF(Metadata!Q559="",FALSE,TRUE)</f>
        <v>0</v>
      </c>
      <c r="BE559" t="b">
        <f>IF(Metadata!R559="",FALSE,TRUE)</f>
        <v>0</v>
      </c>
      <c r="BF559" t="b">
        <f>OR(AND(IF(Metadata!S559="",FALSE,TRUE),OR(EXACT(Metadata!S559,"not collected"),EXACT(Metadata!S559,"not provided"),EXACT(Metadata!S559,"restricted access"))),AND(IF(Metadata!S559="",FALSE,ISNUMBER(VALUE(Metadata!S559))),Metadata!S559&gt;=-90,Metadata!S559&lt;=90))</f>
        <v>0</v>
      </c>
      <c r="BG559" t="b">
        <f>AND(IF(Metadata!T559="",FALSE,TRUE),EXACT(Metadata!T559,"Decimal degrees"))</f>
        <v>0</v>
      </c>
      <c r="BH559" t="b">
        <f>OR(AND(IF(Metadata!U559="",FALSE,TRUE),OR(EXACT(Metadata!U559,"not applicable"),EXACT(Metadata!U559,"not collected"))),IF(Metadata!U559="",FALSE,TRUE))</f>
        <v>0</v>
      </c>
      <c r="BI559" t="b">
        <f>OR(AND(IF(Metadata!V559="",FALSE,TRUE),OR(EXACT(Metadata!V559,"not collected"),EXACT(Metadata!V559,"not provided"),EXACT(Metadata!V559,"restricted access"))),AND(IF(Metadata!V559="",FALSE,ISNUMBER(VALUE(Metadata!V559))),Metadata!V559&gt;=-180,Metadata!V559&lt;=180))</f>
        <v>0</v>
      </c>
      <c r="BJ559" t="b">
        <f>AND(IF(Metadata!W559="",FALSE,TRUE),EXACT(Metadata!W559,"Decimal degrees"))</f>
        <v>0</v>
      </c>
      <c r="BK559" t="b">
        <f>IF(Metadata!X559="",FALSE,TRUE)</f>
        <v>0</v>
      </c>
      <c r="BL559" t="b">
        <f>OR(AND(IF(Metadata!Y559="",FALSE,TRUE),OR(EXACT(Metadata!Y559,"not collected"),EXACT(Metadata!Y559,"not provided"),EXACT(Metadata!Y559,"restricted access"))),AND(IF(Metadata!Y559="",FALSE,TRUE),OR(EXACT(Metadata!Y559,"TRUE"),EXACT(Metadata!Y559,"FALSE"))))</f>
        <v>0</v>
      </c>
      <c r="BM559" t="b">
        <f>OR(AND(IF(Metadata!Z559="",FALSE,TRUE),EXACT(Metadata!Z559,"not applicable")),AND(IF(Metadata!Z559="",FALSE,TRUE),OR(EXACT(Metadata!Z559,"beer"),EXACT(Metadata!Z559,"cheese"),EXACT(Metadata!Z559,"fresh water"),EXACT(Metadata!Z559,"marine sediment"),EXACT(Metadata!Z559,"sea water"),EXACT(Metadata!Z559,"sediment"),EXACT(Metadata!Z559,"soil"),EXACT(Metadata!Z559,"waste water"))))</f>
        <v>0</v>
      </c>
      <c r="BN559" t="b">
        <f>AND(IF(Metadata!AA559="",FALSE,TRUE),EXACT(Metadata!AA559,"metagenome"))</f>
        <v>0</v>
      </c>
      <c r="BO559" t="b">
        <f>AND(IF(Metadata!AB559="",FALSE,TRUE),EXACT(Metadata!AB559,"256318"))</f>
        <v>0</v>
      </c>
      <c r="BP559" t="b">
        <f>IF(Metadata!AC559="",FALSE,TRUE)</f>
        <v>0</v>
      </c>
      <c r="BQ559" t="b">
        <f>IF(Metadata!AD559="",FALSE,TRUE)</f>
        <v>0</v>
      </c>
    </row>
    <row r="560" spans="1:69" x14ac:dyDescent="0.2">
      <c r="A560" s="4" t="e">
        <f ca="1">IF(B560=" "," ",HYPERLINK(CONCATENATE("#metadata!",ADDRESS(INDEX($AJ$2:$AJ$1001,MATCH(ROWS($AH$2:AH560),$AH$2:$AH$1001,0),0),2)),INDEX($AM$2:$AM$1001,MATCH(ROWS($AH$2:AH560),$AH$2:$AH$1001,0),0)))</f>
        <v>#N/A</v>
      </c>
      <c r="B560" s="5" t="e">
        <f ca="1">IF(OR(INDEX($AI$2:$AI$1001,MATCH(ROWS($AH$2:AH560),$AH$2:$AH$1001,0),1)&gt;=100000,INDEX($AO$1005:$BQ$1005,1,MATCH(COLUMNS($AO$1006:AO1006),$AO$1006:$BQ$1006,0))&gt;=100000), " ",IF(INDEX($AO$2:$BQ$1001,MATCH(ROWS($AH$2:AH560),$AH$2:$AH$1001,0),MATCH(COLUMNS($AO$1006:AO1006),$AO$1006:$BQ$1006,0)), HYPERLINK("#",""), HYPERLINK(CONCATENATE("#Metadata!", ADDRESS(INDEX($AJ$2:$AJ$1001,MATCH(ROWS($AH$2:AH560),$AH$2:$AH$1001,0),0), INDEX($AO$1004:$BQ$1004,1,MATCH(COLUMNS($AO$1006:AO1006),$AO$1006:$BQ$1006,0)))),"Fix")))</f>
        <v>#N/A</v>
      </c>
      <c r="C560" s="5" t="e">
        <f ca="1">IF(OR(INDEX($AI$2:$AI$1001,MATCH(ROWS($AH$2:AH560),$AH$2:$AH$1001,0),1)&gt;=100000,INDEX($AO$1005:$BQ$1005,1,MATCH(COLUMNS($AO$1006:AP1006),$AO$1006:$BQ$1006,0))&gt;=100000), " ",IF(INDEX($AO$2:$BQ$1001,MATCH(ROWS($AH$2:AH560),$AH$2:$AH$1001,0),MATCH(COLUMNS($AO$1006:AP1006),$AO$1006:$BQ$1006,0)), HYPERLINK("#",""), HYPERLINK(CONCATENATE("#Metadata!", ADDRESS(INDEX($AJ$2:$AJ$1001,MATCH(ROWS($AH$2:AH560),$AH$2:$AH$1001,0),0), INDEX($AO$1004:$BQ$1004,1,MATCH(COLUMNS($AO$1006:AP1006),$AO$1006:$BQ$1006,0)))),"Fix")))</f>
        <v>#N/A</v>
      </c>
      <c r="D560" s="5" t="e">
        <f ca="1">IF(OR(INDEX($AI$2:$AI$1001,MATCH(ROWS($AH$2:AH560),$AH$2:$AH$1001,0),1)&gt;=100000,INDEX($AO$1005:$BQ$1005,1,MATCH(COLUMNS($AO$1006:AQ1006),$AO$1006:$BQ$1006,0))&gt;=100000), " ",IF(INDEX($AO$2:$BQ$1001,MATCH(ROWS($AH$2:AH560),$AH$2:$AH$1001,0),MATCH(COLUMNS($AO$1006:AQ1006),$AO$1006:$BQ$1006,0)), HYPERLINK("#",""), HYPERLINK(CONCATENATE("#Metadata!", ADDRESS(INDEX($AJ$2:$AJ$1001,MATCH(ROWS($AH$2:AH560),$AH$2:$AH$1001,0),0), INDEX($AO$1004:$BQ$1004,1,MATCH(COLUMNS($AO$1006:AQ1006),$AO$1006:$BQ$1006,0)))),"Fix")))</f>
        <v>#N/A</v>
      </c>
      <c r="E560" s="5" t="e">
        <f ca="1">IF(OR(INDEX($AI$2:$AI$1001,MATCH(ROWS($AH$2:AH560),$AH$2:$AH$1001,0),1)&gt;=100000,INDEX($AO$1005:$BQ$1005,1,MATCH(COLUMNS($AO$1006:AR1006),$AO$1006:$BQ$1006,0))&gt;=100000), " ",IF(INDEX($AO$2:$BQ$1001,MATCH(ROWS($AH$2:AH560),$AH$2:$AH$1001,0),MATCH(COLUMNS($AO$1006:AR1006),$AO$1006:$BQ$1006,0)), HYPERLINK("#",""), HYPERLINK(CONCATENATE("#Metadata!", ADDRESS(INDEX($AJ$2:$AJ$1001,MATCH(ROWS($AH$2:AH560),$AH$2:$AH$1001,0),0), INDEX($AO$1004:$BQ$1004,1,MATCH(COLUMNS($AO$1006:AR1006),$AO$1006:$BQ$1006,0)))),"Fix")))</f>
        <v>#N/A</v>
      </c>
      <c r="F560" s="5" t="e">
        <f ca="1">IF(OR(INDEX($AI$2:$AI$1001,MATCH(ROWS($AH$2:AH560),$AH$2:$AH$1001,0),1)&gt;=100000,INDEX($AO$1005:$BQ$1005,1,MATCH(COLUMNS($AO$1006:AS1006),$AO$1006:$BQ$1006,0))&gt;=100000), " ",IF(INDEX($AO$2:$BQ$1001,MATCH(ROWS($AH$2:AH560),$AH$2:$AH$1001,0),MATCH(COLUMNS($AO$1006:AS1006),$AO$1006:$BQ$1006,0)), HYPERLINK("#",""), HYPERLINK(CONCATENATE("#Metadata!", ADDRESS(INDEX($AJ$2:$AJ$1001,MATCH(ROWS($AH$2:AH560),$AH$2:$AH$1001,0),0), INDEX($AO$1004:$BQ$1004,1,MATCH(COLUMNS($AO$1006:AS1006),$AO$1006:$BQ$1006,0)))),"Fix")))</f>
        <v>#N/A</v>
      </c>
      <c r="G560" s="5" t="e">
        <f ca="1">IF(OR(INDEX($AI$2:$AI$1001,MATCH(ROWS($AH$2:AH560),$AH$2:$AH$1001,0),1)&gt;=100000,INDEX($AO$1005:$BQ$1005,1,MATCH(COLUMNS($AO$1006:AT1006),$AO$1006:$BQ$1006,0))&gt;=100000), " ",IF(INDEX($AO$2:$BQ$1001,MATCH(ROWS($AH$2:AH560),$AH$2:$AH$1001,0),MATCH(COLUMNS($AO$1006:AT1006),$AO$1006:$BQ$1006,0)), HYPERLINK("#",""), HYPERLINK(CONCATENATE("#Metadata!", ADDRESS(INDEX($AJ$2:$AJ$1001,MATCH(ROWS($AH$2:AH560),$AH$2:$AH$1001,0),0), INDEX($AO$1004:$BQ$1004,1,MATCH(COLUMNS($AO$1006:AT1006),$AO$1006:$BQ$1006,0)))),"Fix")))</f>
        <v>#N/A</v>
      </c>
      <c r="H560" s="5" t="e">
        <f ca="1">IF(OR(INDEX($AI$2:$AI$1001,MATCH(ROWS($AH$2:AH560),$AH$2:$AH$1001,0),1)&gt;=100000,INDEX($AO$1005:$BQ$1005,1,MATCH(COLUMNS($AO$1006:AU1006),$AO$1006:$BQ$1006,0))&gt;=100000), " ",IF(INDEX($AO$2:$BQ$1001,MATCH(ROWS($AH$2:AH560),$AH$2:$AH$1001,0),MATCH(COLUMNS($AO$1006:AU1006),$AO$1006:$BQ$1006,0)), HYPERLINK("#",""), HYPERLINK(CONCATENATE("#Metadata!", ADDRESS(INDEX($AJ$2:$AJ$1001,MATCH(ROWS($AH$2:AH560),$AH$2:$AH$1001,0),0), INDEX($AO$1004:$BQ$1004,1,MATCH(COLUMNS($AO$1006:AU1006),$AO$1006:$BQ$1006,0)))),"Fix")))</f>
        <v>#N/A</v>
      </c>
      <c r="I560" s="5" t="e">
        <f ca="1">IF(OR(INDEX($AI$2:$AI$1001,MATCH(ROWS($AH$2:AH560),$AH$2:$AH$1001,0),1)&gt;=100000,INDEX($AO$1005:$BQ$1005,1,MATCH(COLUMNS($AO$1006:AV1006),$AO$1006:$BQ$1006,0))&gt;=100000), " ",IF(INDEX($AO$2:$BQ$1001,MATCH(ROWS($AH$2:AH560),$AH$2:$AH$1001,0),MATCH(COLUMNS($AO$1006:AV1006),$AO$1006:$BQ$1006,0)), HYPERLINK("#",""), HYPERLINK(CONCATENATE("#Metadata!", ADDRESS(INDEX($AJ$2:$AJ$1001,MATCH(ROWS($AH$2:AH560),$AH$2:$AH$1001,0),0), INDEX($AO$1004:$BQ$1004,1,MATCH(COLUMNS($AO$1006:AV1006),$AO$1006:$BQ$1006,0)))),"Fix")))</f>
        <v>#N/A</v>
      </c>
      <c r="J560" s="5" t="e">
        <f ca="1">IF(OR(INDEX($AI$2:$AI$1001,MATCH(ROWS($AH$2:AH560),$AH$2:$AH$1001,0),1)&gt;=100000,INDEX($AO$1005:$BQ$1005,1,MATCH(COLUMNS($AO$1006:AW1006),$AO$1006:$BQ$1006,0))&gt;=100000), " ",IF(INDEX($AO$2:$BQ$1001,MATCH(ROWS($AH$2:AH560),$AH$2:$AH$1001,0),MATCH(COLUMNS($AO$1006:AW1006),$AO$1006:$BQ$1006,0)), HYPERLINK("#",""), HYPERLINK(CONCATENATE("#Metadata!", ADDRESS(INDEX($AJ$2:$AJ$1001,MATCH(ROWS($AH$2:AH560),$AH$2:$AH$1001,0),0), INDEX($AO$1004:$BQ$1004,1,MATCH(COLUMNS($AO$1006:AW1006),$AO$1006:$BQ$1006,0)))),"Fix")))</f>
        <v>#N/A</v>
      </c>
      <c r="K560" s="5" t="e">
        <f ca="1">IF(OR(INDEX($AI$2:$AI$1001,MATCH(ROWS($AH$2:AH560),$AH$2:$AH$1001,0),1)&gt;=100000,INDEX($AO$1005:$BQ$1005,1,MATCH(COLUMNS($AO$1006:AX1006),$AO$1006:$BQ$1006,0))&gt;=100000), " ",IF(INDEX($AO$2:$BQ$1001,MATCH(ROWS($AH$2:AH560),$AH$2:$AH$1001,0),MATCH(COLUMNS($AO$1006:AX1006),$AO$1006:$BQ$1006,0)), HYPERLINK("#",""), HYPERLINK(CONCATENATE("#Metadata!", ADDRESS(INDEX($AJ$2:$AJ$1001,MATCH(ROWS($AH$2:AH560),$AH$2:$AH$1001,0),0), INDEX($AO$1004:$BQ$1004,1,MATCH(COLUMNS($AO$1006:AX1006),$AO$1006:$BQ$1006,0)))),"Fix")))</f>
        <v>#N/A</v>
      </c>
      <c r="L560" s="5" t="e">
        <f ca="1">IF(OR(INDEX($AI$2:$AI$1001,MATCH(ROWS($AH$2:AH560),$AH$2:$AH$1001,0),1)&gt;=100000,INDEX($AO$1005:$BQ$1005,1,MATCH(COLUMNS($AO$1006:AY1006),$AO$1006:$BQ$1006,0))&gt;=100000), " ",IF(INDEX($AO$2:$BQ$1001,MATCH(ROWS($AH$2:AH560),$AH$2:$AH$1001,0),MATCH(COLUMNS($AO$1006:AY1006),$AO$1006:$BQ$1006,0)), HYPERLINK("#",""), HYPERLINK(CONCATENATE("#Metadata!", ADDRESS(INDEX($AJ$2:$AJ$1001,MATCH(ROWS($AH$2:AH560),$AH$2:$AH$1001,0),0), INDEX($AO$1004:$BQ$1004,1,MATCH(COLUMNS($AO$1006:AY1006),$AO$1006:$BQ$1006,0)))),"Fix")))</f>
        <v>#N/A</v>
      </c>
      <c r="M560" s="5" t="e">
        <f ca="1">IF(OR(INDEX($AI$2:$AI$1001,MATCH(ROWS($AH$2:AH560),$AH$2:$AH$1001,0),1)&gt;=100000,INDEX($AO$1005:$BQ$1005,1,MATCH(COLUMNS($AO$1006:AZ1006),$AO$1006:$BQ$1006,0))&gt;=100000), " ",IF(INDEX($AO$2:$BQ$1001,MATCH(ROWS($AH$2:AH560),$AH$2:$AH$1001,0),MATCH(COLUMNS($AO$1006:AZ1006),$AO$1006:$BQ$1006,0)), HYPERLINK("#",""), HYPERLINK(CONCATENATE("#Metadata!", ADDRESS(INDEX($AJ$2:$AJ$1001,MATCH(ROWS($AH$2:AH560),$AH$2:$AH$1001,0),0), INDEX($AO$1004:$BQ$1004,1,MATCH(COLUMNS($AO$1006:AZ1006),$AO$1006:$BQ$1006,0)))),"Fix")))</f>
        <v>#N/A</v>
      </c>
      <c r="N560" s="5" t="e">
        <f ca="1">IF(OR(INDEX($AI$2:$AI$1001,MATCH(ROWS($AH$2:AH560),$AH$2:$AH$1001,0),1)&gt;=100000,INDEX($AO$1005:$BQ$1005,1,MATCH(COLUMNS($AO$1006:BA1006),$AO$1006:$BQ$1006,0))&gt;=100000), " ",IF(INDEX($AO$2:$BQ$1001,MATCH(ROWS($AH$2:AH560),$AH$2:$AH$1001,0),MATCH(COLUMNS($AO$1006:BA1006),$AO$1006:$BQ$1006,0)), HYPERLINK("#",""), HYPERLINK(CONCATENATE("#Metadata!", ADDRESS(INDEX($AJ$2:$AJ$1001,MATCH(ROWS($AH$2:AH560),$AH$2:$AH$1001,0),0), INDEX($AO$1004:$BQ$1004,1,MATCH(COLUMNS($AO$1006:BA1006),$AO$1006:$BQ$1006,0)))),"Fix")))</f>
        <v>#N/A</v>
      </c>
      <c r="O560" s="5" t="e">
        <f ca="1">IF(OR(INDEX($AI$2:$AI$1001,MATCH(ROWS($AH$2:AH560),$AH$2:$AH$1001,0),1)&gt;=100000,INDEX($AO$1005:$BQ$1005,1,MATCH(COLUMNS($AO$1006:BB1006),$AO$1006:$BQ$1006,0))&gt;=100000), " ",IF(INDEX($AO$2:$BQ$1001,MATCH(ROWS($AH$2:AH560),$AH$2:$AH$1001,0),MATCH(COLUMNS($AO$1006:BB1006),$AO$1006:$BQ$1006,0)), HYPERLINK("#",""), HYPERLINK(CONCATENATE("#Metadata!", ADDRESS(INDEX($AJ$2:$AJ$1001,MATCH(ROWS($AH$2:AH560),$AH$2:$AH$1001,0),0), INDEX($AO$1004:$BQ$1004,1,MATCH(COLUMNS($AO$1006:BB1006),$AO$1006:$BQ$1006,0)))),"Fix")))</f>
        <v>#N/A</v>
      </c>
      <c r="P560" s="5" t="e">
        <f ca="1">IF(OR(INDEX($AI$2:$AI$1001,MATCH(ROWS($AH$2:AH560),$AH$2:$AH$1001,0),1)&gt;=100000,INDEX($AO$1005:$BQ$1005,1,MATCH(COLUMNS($AO$1006:BC1006),$AO$1006:$BQ$1006,0))&gt;=100000), " ",IF(INDEX($AO$2:$BQ$1001,MATCH(ROWS($AH$2:AH560),$AH$2:$AH$1001,0),MATCH(COLUMNS($AO$1006:BC1006),$AO$1006:$BQ$1006,0)), HYPERLINK("#",""), HYPERLINK(CONCATENATE("#Metadata!", ADDRESS(INDEX($AJ$2:$AJ$1001,MATCH(ROWS($AH$2:AH560),$AH$2:$AH$1001,0),0), INDEX($AO$1004:$BQ$1004,1,MATCH(COLUMNS($AO$1006:BC1006),$AO$1006:$BQ$1006,0)))),"Fix")))</f>
        <v>#N/A</v>
      </c>
      <c r="Q560" s="5" t="e">
        <f ca="1">IF(OR(INDEX($AI$2:$AI$1001,MATCH(ROWS($AH$2:AH560),$AH$2:$AH$1001,0),1)&gt;=100000,INDEX($AO$1005:$BQ$1005,1,MATCH(COLUMNS($AO$1006:BD1006),$AO$1006:$BQ$1006,0))&gt;=100000), " ",IF(INDEX($AO$2:$BQ$1001,MATCH(ROWS($AH$2:AH560),$AH$2:$AH$1001,0),MATCH(COLUMNS($AO$1006:BD1006),$AO$1006:$BQ$1006,0)), HYPERLINK("#",""), HYPERLINK(CONCATENATE("#Metadata!", ADDRESS(INDEX($AJ$2:$AJ$1001,MATCH(ROWS($AH$2:AH560),$AH$2:$AH$1001,0),0), INDEX($AO$1004:$BQ$1004,1,MATCH(COLUMNS($AO$1006:BD1006),$AO$1006:$BQ$1006,0)))),"Fix")))</f>
        <v>#N/A</v>
      </c>
      <c r="R560" s="5" t="e">
        <f ca="1">IF(OR(INDEX($AI$2:$AI$1001,MATCH(ROWS($AH$2:AH560),$AH$2:$AH$1001,0),1)&gt;=100000,INDEX($AO$1005:$BQ$1005,1,MATCH(COLUMNS($AO$1006:BE1006),$AO$1006:$BQ$1006,0))&gt;=100000), " ",IF(INDEX($AO$2:$BQ$1001,MATCH(ROWS($AH$2:AH560),$AH$2:$AH$1001,0),MATCH(COLUMNS($AO$1006:BE1006),$AO$1006:$BQ$1006,0)), HYPERLINK("#",""), HYPERLINK(CONCATENATE("#Metadata!", ADDRESS(INDEX($AJ$2:$AJ$1001,MATCH(ROWS($AH$2:AH560),$AH$2:$AH$1001,0),0), INDEX($AO$1004:$BQ$1004,1,MATCH(COLUMNS($AO$1006:BE1006),$AO$1006:$BQ$1006,0)))),"Fix")))</f>
        <v>#N/A</v>
      </c>
      <c r="S560" s="5" t="e">
        <f ca="1">IF(OR(INDEX($AI$2:$AI$1001,MATCH(ROWS($AH$2:AH560),$AH$2:$AH$1001,0),1)&gt;=100000,INDEX($AO$1005:$BQ$1005,1,MATCH(COLUMNS($AO$1006:BF1006),$AO$1006:$BQ$1006,0))&gt;=100000), " ",IF(INDEX($AO$2:$BQ$1001,MATCH(ROWS($AH$2:AH560),$AH$2:$AH$1001,0),MATCH(COLUMNS($AO$1006:BF1006),$AO$1006:$BQ$1006,0)), HYPERLINK("#",""), HYPERLINK(CONCATENATE("#Metadata!", ADDRESS(INDEX($AJ$2:$AJ$1001,MATCH(ROWS($AH$2:AH560),$AH$2:$AH$1001,0),0), INDEX($AO$1004:$BQ$1004,1,MATCH(COLUMNS($AO$1006:BF1006),$AO$1006:$BQ$1006,0)))),"Fix")))</f>
        <v>#N/A</v>
      </c>
      <c r="T560" s="5" t="e">
        <f ca="1">IF(OR(INDEX($AI$2:$AI$1001,MATCH(ROWS($AH$2:AH560),$AH$2:$AH$1001,0),1)&gt;=100000,INDEX($AO$1005:$BQ$1005,1,MATCH(COLUMNS($AO$1006:BG1006),$AO$1006:$BQ$1006,0))&gt;=100000), " ",IF(INDEX($AO$2:$BQ$1001,MATCH(ROWS($AH$2:AH560),$AH$2:$AH$1001,0),MATCH(COLUMNS($AO$1006:BG1006),$AO$1006:$BQ$1006,0)), HYPERLINK("#",""), HYPERLINK(CONCATENATE("#Metadata!", ADDRESS(INDEX($AJ$2:$AJ$1001,MATCH(ROWS($AH$2:AH560),$AH$2:$AH$1001,0),0), INDEX($AO$1004:$BQ$1004,1,MATCH(COLUMNS($AO$1006:BG1006),$AO$1006:$BQ$1006,0)))),"Fix")))</f>
        <v>#N/A</v>
      </c>
      <c r="U560" s="5" t="e">
        <f ca="1">IF(OR(INDEX($AI$2:$AI$1001,MATCH(ROWS($AH$2:AH560),$AH$2:$AH$1001,0),1)&gt;=100000,INDEX($AO$1005:$BQ$1005,1,MATCH(COLUMNS($AO$1006:BH1006),$AO$1006:$BQ$1006,0))&gt;=100000), " ",IF(INDEX($AO$2:$BQ$1001,MATCH(ROWS($AH$2:AH560),$AH$2:$AH$1001,0),MATCH(COLUMNS($AO$1006:BH1006),$AO$1006:$BQ$1006,0)), HYPERLINK("#",""), HYPERLINK(CONCATENATE("#Metadata!", ADDRESS(INDEX($AJ$2:$AJ$1001,MATCH(ROWS($AH$2:AH560),$AH$2:$AH$1001,0),0), INDEX($AO$1004:$BQ$1004,1,MATCH(COLUMNS($AO$1006:BH1006),$AO$1006:$BQ$1006,0)))),"Fix")))</f>
        <v>#N/A</v>
      </c>
      <c r="V560" s="5" t="e">
        <f ca="1">IF(OR(INDEX($AI$2:$AI$1001,MATCH(ROWS($AH$2:AH560),$AH$2:$AH$1001,0),1)&gt;=100000,INDEX($AO$1005:$BQ$1005,1,MATCH(COLUMNS($AO$1006:BI1006),$AO$1006:$BQ$1006,0))&gt;=100000), " ",IF(INDEX($AO$2:$BQ$1001,MATCH(ROWS($AH$2:AH560),$AH$2:$AH$1001,0),MATCH(COLUMNS($AO$1006:BI1006),$AO$1006:$BQ$1006,0)), HYPERLINK("#",""), HYPERLINK(CONCATENATE("#Metadata!", ADDRESS(INDEX($AJ$2:$AJ$1001,MATCH(ROWS($AH$2:AH560),$AH$2:$AH$1001,0),0), INDEX($AO$1004:$BQ$1004,1,MATCH(COLUMNS($AO$1006:BI1006),$AO$1006:$BQ$1006,0)))),"Fix")))</f>
        <v>#N/A</v>
      </c>
      <c r="W560" s="5" t="e">
        <f ca="1">IF(OR(INDEX($AI$2:$AI$1001,MATCH(ROWS($AH$2:AH560),$AH$2:$AH$1001,0),1)&gt;=100000,INDEX($AO$1005:$BQ$1005,1,MATCH(COLUMNS($AO$1006:BJ1006),$AO$1006:$BQ$1006,0))&gt;=100000), " ",IF(INDEX($AO$2:$BQ$1001,MATCH(ROWS($AH$2:AH560),$AH$2:$AH$1001,0),MATCH(COLUMNS($AO$1006:BJ1006),$AO$1006:$BQ$1006,0)), HYPERLINK("#",""), HYPERLINK(CONCATENATE("#Metadata!", ADDRESS(INDEX($AJ$2:$AJ$1001,MATCH(ROWS($AH$2:AH560),$AH$2:$AH$1001,0),0), INDEX($AO$1004:$BQ$1004,1,MATCH(COLUMNS($AO$1006:BJ1006),$AO$1006:$BQ$1006,0)))),"Fix")))</f>
        <v>#N/A</v>
      </c>
      <c r="X560" s="5" t="e">
        <f ca="1">IF(OR(INDEX($AI$2:$AI$1001,MATCH(ROWS($AH$2:AH560),$AH$2:$AH$1001,0),1)&gt;=100000,INDEX($AO$1005:$BQ$1005,1,MATCH(COLUMNS($AO$1006:BK1006),$AO$1006:$BQ$1006,0))&gt;=100000), " ",IF(INDEX($AO$2:$BQ$1001,MATCH(ROWS($AH$2:AH560),$AH$2:$AH$1001,0),MATCH(COLUMNS($AO$1006:BK1006),$AO$1006:$BQ$1006,0)), HYPERLINK("#",""), HYPERLINK(CONCATENATE("#Metadata!", ADDRESS(INDEX($AJ$2:$AJ$1001,MATCH(ROWS($AH$2:AH560),$AH$2:$AH$1001,0),0), INDEX($AO$1004:$BQ$1004,1,MATCH(COLUMNS($AO$1006:BK1006),$AO$1006:$BQ$1006,0)))),"Fix")))</f>
        <v>#N/A</v>
      </c>
      <c r="Y560" s="5" t="e">
        <f ca="1">IF(OR(INDEX($AI$2:$AI$1001,MATCH(ROWS($AH$2:AH560),$AH$2:$AH$1001,0),1)&gt;=100000,INDEX($AO$1005:$BQ$1005,1,MATCH(COLUMNS($AO$1006:BL1006),$AO$1006:$BQ$1006,0))&gt;=100000), " ",IF(INDEX($AO$2:$BQ$1001,MATCH(ROWS($AH$2:AH560),$AH$2:$AH$1001,0),MATCH(COLUMNS($AO$1006:BL1006),$AO$1006:$BQ$1006,0)), HYPERLINK("#",""), HYPERLINK(CONCATENATE("#Metadata!", ADDRESS(INDEX($AJ$2:$AJ$1001,MATCH(ROWS($AH$2:AH560),$AH$2:$AH$1001,0),0), INDEX($AO$1004:$BQ$1004,1,MATCH(COLUMNS($AO$1006:BL1006),$AO$1006:$BQ$1006,0)))),"Fix")))</f>
        <v>#N/A</v>
      </c>
      <c r="Z560" s="5" t="e">
        <f ca="1">IF(OR(INDEX($AI$2:$AI$1001,MATCH(ROWS($AH$2:AH560),$AH$2:$AH$1001,0),1)&gt;=100000,INDEX($AO$1005:$BQ$1005,1,MATCH(COLUMNS($AO$1006:BM1006),$AO$1006:$BQ$1006,0))&gt;=100000), " ",IF(INDEX($AO$2:$BQ$1001,MATCH(ROWS($AH$2:AH560),$AH$2:$AH$1001,0),MATCH(COLUMNS($AO$1006:BM1006),$AO$1006:$BQ$1006,0)), HYPERLINK("#",""), HYPERLINK(CONCATENATE("#Metadata!", ADDRESS(INDEX($AJ$2:$AJ$1001,MATCH(ROWS($AH$2:AH560),$AH$2:$AH$1001,0),0), INDEX($AO$1004:$BQ$1004,1,MATCH(COLUMNS($AO$1006:BM1006),$AO$1006:$BQ$1006,0)))),"Fix")))</f>
        <v>#N/A</v>
      </c>
      <c r="AA560" s="5" t="e">
        <f ca="1">IF(OR(INDEX($AI$2:$AI$1001,MATCH(ROWS($AH$2:AH560),$AH$2:$AH$1001,0),1)&gt;=100000,INDEX($AO$1005:$BQ$1005,1,MATCH(COLUMNS($AO$1006:BN1006),$AO$1006:$BQ$1006,0))&gt;=100000), " ",IF(INDEX($AO$2:$BQ$1001,MATCH(ROWS($AH$2:AH560),$AH$2:$AH$1001,0),MATCH(COLUMNS($AO$1006:BN1006),$AO$1006:$BQ$1006,0)), HYPERLINK("#",""), HYPERLINK(CONCATENATE("#Metadata!", ADDRESS(INDEX($AJ$2:$AJ$1001,MATCH(ROWS($AH$2:AH560),$AH$2:$AH$1001,0),0), INDEX($AO$1004:$BQ$1004,1,MATCH(COLUMNS($AO$1006:BN1006),$AO$1006:$BQ$1006,0)))),"Fix")))</f>
        <v>#N/A</v>
      </c>
      <c r="AB560" s="5" t="e">
        <f ca="1">IF(OR(INDEX($AI$2:$AI$1001,MATCH(ROWS($AH$2:AH560),$AH$2:$AH$1001,0),1)&gt;=100000,INDEX($AO$1005:$BQ$1005,1,MATCH(COLUMNS($AO$1006:BO1006),$AO$1006:$BQ$1006,0))&gt;=100000), " ",IF(INDEX($AO$2:$BQ$1001,MATCH(ROWS($AH$2:AH560),$AH$2:$AH$1001,0),MATCH(COLUMNS($AO$1006:BO1006),$AO$1006:$BQ$1006,0)), HYPERLINK("#",""), HYPERLINK(CONCATENATE("#Metadata!", ADDRESS(INDEX($AJ$2:$AJ$1001,MATCH(ROWS($AH$2:AH560),$AH$2:$AH$1001,0),0), INDEX($AO$1004:$BQ$1004,1,MATCH(COLUMNS($AO$1006:BO1006),$AO$1006:$BQ$1006,0)))),"Fix")))</f>
        <v>#N/A</v>
      </c>
      <c r="AC560" s="5" t="e">
        <f ca="1">IF(OR(INDEX($AI$2:$AI$1001,MATCH(ROWS($AH$2:AH560),$AH$2:$AH$1001,0),1)&gt;=100000,INDEX($AO$1005:$BQ$1005,1,MATCH(COLUMNS($AO$1006:BP1006),$AO$1006:$BQ$1006,0))&gt;=100000), " ",IF(INDEX($AO$2:$BQ$1001,MATCH(ROWS($AH$2:AH560),$AH$2:$AH$1001,0),MATCH(COLUMNS($AO$1006:BP1006),$AO$1006:$BQ$1006,0)), HYPERLINK("#",""), HYPERLINK(CONCATENATE("#Metadata!", ADDRESS(INDEX($AJ$2:$AJ$1001,MATCH(ROWS($AH$2:AH560),$AH$2:$AH$1001,0),0), INDEX($AO$1004:$BQ$1004,1,MATCH(COLUMNS($AO$1006:BP1006),$AO$1006:$BQ$1006,0)))),"Fix")))</f>
        <v>#N/A</v>
      </c>
      <c r="AD560" s="5" t="e">
        <f ca="1">IF(OR(INDEX($AI$2:$AI$1001,MATCH(ROWS($AH$2:AH560),$AH$2:$AH$1001,0),1)&gt;=100000,INDEX($AO$1005:$BQ$1005,1,MATCH(COLUMNS($AO$1006:BQ1006),$AO$1006:$BQ$1006,0))&gt;=100000), " ",IF(INDEX($AO$2:$BQ$1001,MATCH(ROWS($AH$2:AH560),$AH$2:$AH$1001,0),MATCH(COLUMNS($AO$1006:BQ1006),$AO$1006:$BQ$1006,0)), HYPERLINK("#",""), HYPERLINK(CONCATENATE("#Metadata!", ADDRESS(INDEX($AJ$2:$AJ$1001,MATCH(ROWS($AH$2:AH560),$AH$2:$AH$1001,0),0), INDEX($AO$1004:$BQ$1004,1,MATCH(COLUMNS($AO$1006:BQ1006),$AO$1006:$BQ$1006,0)))),"Fix")))</f>
        <v>#REF!</v>
      </c>
      <c r="AH560">
        <f ca="1"/>
        <v>557</v>
      </c>
      <c r="AI560">
        <v>100560</v>
      </c>
      <c r="AJ560">
        <v>560</v>
      </c>
      <c r="AK560" t="b">
        <f t="shared" si="8"/>
        <v>1</v>
      </c>
      <c r="AL560" t="b">
        <f>COUNTBLANK(Metadata!B560:AD560)=COLUMNS(Metadata!B560:AD560)</f>
        <v>1</v>
      </c>
      <c r="AM560" t="str">
        <v/>
      </c>
      <c r="AO560" t="b">
        <f ca="1">AND(IF(Metadata!B560="",FALSE,TRUE),COUNTIF(Metadata!B:B, Metadata!B560) = 1,NOT(ISERROR(SUMPRODUCT(SEARCH(MID(Metadata!B560,ROW(INDIRECT("1:"&amp;LEN(Metadata!B560))), 1),"0123456789abcdefghijklmnopqrstuvwxyzABCDEFGHIJKLMNOPQRSTUVWXYZ.")))))</f>
        <v>0</v>
      </c>
      <c r="AP560" t="b">
        <f>IF(Metadata!C560="",FALSE,TRUE)</f>
        <v>0</v>
      </c>
      <c r="AQ560" t="b">
        <f>IF(Metadata!D560="",FALSE,TRUE)</f>
        <v>0</v>
      </c>
      <c r="AR560" t="b">
        <f ca="1">OR(AND(IF(Metadata!E560="",FALSE,TRUE),OR(EXACT(Metadata!E560,"not collected"),EXACT(Metadata!E560,"not provided"),EXACT(Metadata!E560,"restricted access"))),AND(IF(Metadata!E560="",FALSE,TRUE),AND(AND(IFERROR(INT(LEFT(Metadata!E560,4))&gt;1900,FALSE),IFERROR(INT(LEFT(Metadata!E560,4))&lt;=YEAR(NOW()),FALSE)), OR(MID(Metadata!E560,5,1)="", AND(AND(MID(Metadata!E560,5,1)="-",IFERROR(INT(MID(Metadata!E560,6,1))&gt;=0,FALSE),IFERROR(INT(MID(Metadata!E560,6,1))&lt;=1,FALSE),NOT(MID(Metadata!E560,7,1)=""),IFERROR(INT(MID(Metadata!E560,6,2))&gt;=1,FALSE),IFERROR(INT(MID(Metadata!E560,6,2))&lt;=12,FALSE)), OR(MID(Metadata!E560,8,1)="", AND(AND(MID(Metadata!E560,8,1)="-",IFERROR(INT(MID(Metadata!E560,9,1))&gt;=0,FALSE),IFERROR(INT(MID(Metadata!E560,9,1))&lt;=3,FALSE),NOT(MID(Metadata!E560,10,1)=""),IFERROR(INT(MID(Metadata!E560,9,2))&gt;=1,FALSE),IFERROR(INT(MID(Metadata!E560,9,2))&lt;=31,FALSE)), OR(MID(Metadata!E560,11,1)="", AND(AND(MID(Metadata!E560,11,1)=" ",IFERROR(INT(MID(Metadata!E560,12,1))&gt;=0,FALSE),IFERROR(INT(MID(Metadata!E560,12,1))&lt;=2,FALSE),NOT(MID(Metadata!E560,13,1)=""),IFERROR(INT(MID(Metadata!E560,12,2))&gt;=0,FALSE),IFERROR(INT(MID(Metadata!E560,12,2))&lt;=23,FALSE)), OR(MID(Metadata!E560,14,1)="", AND(AND(MID(Metadata!E560,14,1)=":",IFERROR(INT(MID(Metadata!E560,15,1))&gt;=0,FALSE),IFERROR(INT(MID(Metadata!E560,15,1))&lt;=5,FALSE),NOT(MID(Metadata!E560,16,1)=""),IFERROR(INT(MID(Metadata!E560,15,2))&gt;=0,FALSE),IFERROR(INT(MID(Metadata!E560,15,2))&lt;=59,FALSE)), OR(MID(Metadata!E560,17,1)="", AND(AND(MID(Metadata!E560,17,1)=":",IFERROR(INT(MID(Metadata!E560,18,1))&gt;=0,FALSE),IFERROR(INT(MID(Metadata!E560,18,1))&lt;=5,FALSE),NOT(MID(Metadata!E560,19,1)=""),IFERROR(INT(MID(Metadata!E560,18,2))&gt;=0,FALSE),IFERROR(INT(MID(Metadata!E560,18,2))&lt;=59,FALSE)), LEN(Metadata!E560)&lt;=19)))))))))))))</f>
        <v>0</v>
      </c>
      <c r="AS560" t="b">
        <f>IF(Metadata!F560="",FALSE,TRUE)</f>
        <v>0</v>
      </c>
      <c r="AT560" t="b">
        <f>OR(AND(IF(Metadata!G560="",FALSE,TRUE),OR(EXACT(Metadata!G560,"not collected"),EXACT(Metadata!G560,"not provided"))),AND(IF(Metadata!G560="",FALSE,TRUE),OR(EXACT(Metadata!G560,"TRUE"),EXACT(Metadata!G560,"FALSE"))))</f>
        <v>0</v>
      </c>
      <c r="AU560" t="b">
        <f>OR(AND(IF(Metadata!H560="",FALSE,TRUE),OR(EXACT(Metadata!H560,"not collected"),EXACT(Metadata!H560,"not provided"),EXACT(Metadata!H560,"restricted access"))),AND(IF(Metadata!H560="",FALSE,ISNUMBER(VALUE(Metadata!H560))),Metadata!H560&gt;=-413))</f>
        <v>0</v>
      </c>
      <c r="AV560" t="b">
        <f>AND(IF(Metadata!I560="",FALSE,TRUE),EXACT(Metadata!I560,"meters"))</f>
        <v>0</v>
      </c>
      <c r="AW560" t="b">
        <f>AND(IF(Metadata!J560="",FALSE,TRUE),EXACT(Metadata!J560,"free-living"))</f>
        <v>0</v>
      </c>
      <c r="AX560" t="b">
        <f>AND(IF(Metadata!K560="",FALSE,TRUE),OR(EXACT(Metadata!K560,"saline"),EXACT(Metadata!K560,"non-saline")))</f>
        <v>0</v>
      </c>
      <c r="AY560" t="b">
        <f>AND(IF(Metadata!L560="",FALSE,TRUE),OR(EXACT(Metadata!L560,"sub-surface (non-saline)"),EXACT(Metadata!L560,"surface (non-saline)"),EXACT(Metadata!L560,"water (non-saline)"),EXACT(Metadata!L560,"soil (non-saline)"),EXACT(Metadata!L560,"aerosol (non-saline)"),EXACT(Metadata!L560,"sediment (non-saline)"),EXACT(Metadata!L560,"surface (saline)"),EXACT(Metadata!L560,"water (saline)"),EXACT(Metadata!L560,"hypersaline (saline)"),EXACT(Metadata!L560,"aerosol (saline)"),EXACT(Metadata!L560,"sediment (saline)")))</f>
        <v>0</v>
      </c>
      <c r="AZ560" t="b">
        <f>IF(Metadata!M560="",FALSE,TRUE)</f>
        <v>0</v>
      </c>
      <c r="BA560" t="b">
        <f>IF(Metadata!N560="",FALSE,TRUE)</f>
        <v>0</v>
      </c>
      <c r="BB560" t="b">
        <f>IF(Metadata!O560="",FALSE,TRUE)</f>
        <v>0</v>
      </c>
      <c r="BC560" t="b">
        <f>AND(IF(Metadata!P560="",FALSE,TRUE),OR(EXACT(Metadata!P560,"air"),EXACT(Metadata!P560,"microbial mat/biofilm"),EXACT(Metadata!P560,"misc environment"),EXACT(Metadata!P560,"sediment"),EXACT(Metadata!P560,"soil"),EXACT(Metadata!P560,"wastewater/sludge"),EXACT(Metadata!P560,"water")))</f>
        <v>0</v>
      </c>
      <c r="BD560" t="b">
        <f>IF(Metadata!Q560="",FALSE,TRUE)</f>
        <v>0</v>
      </c>
      <c r="BE560" t="b">
        <f>IF(Metadata!R560="",FALSE,TRUE)</f>
        <v>0</v>
      </c>
      <c r="BF560" t="b">
        <f>OR(AND(IF(Metadata!S560="",FALSE,TRUE),OR(EXACT(Metadata!S560,"not collected"),EXACT(Metadata!S560,"not provided"),EXACT(Metadata!S560,"restricted access"))),AND(IF(Metadata!S560="",FALSE,ISNUMBER(VALUE(Metadata!S560))),Metadata!S560&gt;=-90,Metadata!S560&lt;=90))</f>
        <v>0</v>
      </c>
      <c r="BG560" t="b">
        <f>AND(IF(Metadata!T560="",FALSE,TRUE),EXACT(Metadata!T560,"Decimal degrees"))</f>
        <v>0</v>
      </c>
      <c r="BH560" t="b">
        <f>OR(AND(IF(Metadata!U560="",FALSE,TRUE),OR(EXACT(Metadata!U560,"not applicable"),EXACT(Metadata!U560,"not collected"))),IF(Metadata!U560="",FALSE,TRUE))</f>
        <v>0</v>
      </c>
      <c r="BI560" t="b">
        <f>OR(AND(IF(Metadata!V560="",FALSE,TRUE),OR(EXACT(Metadata!V560,"not collected"),EXACT(Metadata!V560,"not provided"),EXACT(Metadata!V560,"restricted access"))),AND(IF(Metadata!V560="",FALSE,ISNUMBER(VALUE(Metadata!V560))),Metadata!V560&gt;=-180,Metadata!V560&lt;=180))</f>
        <v>0</v>
      </c>
      <c r="BJ560" t="b">
        <f>AND(IF(Metadata!W560="",FALSE,TRUE),EXACT(Metadata!W560,"Decimal degrees"))</f>
        <v>0</v>
      </c>
      <c r="BK560" t="b">
        <f>IF(Metadata!X560="",FALSE,TRUE)</f>
        <v>0</v>
      </c>
      <c r="BL560" t="b">
        <f>OR(AND(IF(Metadata!Y560="",FALSE,TRUE),OR(EXACT(Metadata!Y560,"not collected"),EXACT(Metadata!Y560,"not provided"),EXACT(Metadata!Y560,"restricted access"))),AND(IF(Metadata!Y560="",FALSE,TRUE),OR(EXACT(Metadata!Y560,"TRUE"),EXACT(Metadata!Y560,"FALSE"))))</f>
        <v>0</v>
      </c>
      <c r="BM560" t="b">
        <f>OR(AND(IF(Metadata!Z560="",FALSE,TRUE),EXACT(Metadata!Z560,"not applicable")),AND(IF(Metadata!Z560="",FALSE,TRUE),OR(EXACT(Metadata!Z560,"beer"),EXACT(Metadata!Z560,"cheese"),EXACT(Metadata!Z560,"fresh water"),EXACT(Metadata!Z560,"marine sediment"),EXACT(Metadata!Z560,"sea water"),EXACT(Metadata!Z560,"sediment"),EXACT(Metadata!Z560,"soil"),EXACT(Metadata!Z560,"waste water"))))</f>
        <v>0</v>
      </c>
      <c r="BN560" t="b">
        <f>AND(IF(Metadata!AA560="",FALSE,TRUE),EXACT(Metadata!AA560,"metagenome"))</f>
        <v>0</v>
      </c>
      <c r="BO560" t="b">
        <f>AND(IF(Metadata!AB560="",FALSE,TRUE),EXACT(Metadata!AB560,"256318"))</f>
        <v>0</v>
      </c>
      <c r="BP560" t="b">
        <f>IF(Metadata!AC560="",FALSE,TRUE)</f>
        <v>0</v>
      </c>
      <c r="BQ560" t="b">
        <f>IF(Metadata!AD560="",FALSE,TRUE)</f>
        <v>0</v>
      </c>
    </row>
    <row r="561" spans="1:69" x14ac:dyDescent="0.2">
      <c r="A561" s="4" t="e">
        <f ca="1">IF(B561=" "," ",HYPERLINK(CONCATENATE("#metadata!",ADDRESS(INDEX($AJ$2:$AJ$1001,MATCH(ROWS($AH$2:AH561),$AH$2:$AH$1001,0),0),2)),INDEX($AM$2:$AM$1001,MATCH(ROWS($AH$2:AH561),$AH$2:$AH$1001,0),0)))</f>
        <v>#N/A</v>
      </c>
      <c r="B561" s="5" t="e">
        <f ca="1">IF(OR(INDEX($AI$2:$AI$1001,MATCH(ROWS($AH$2:AH561),$AH$2:$AH$1001,0),1)&gt;=100000,INDEX($AO$1005:$BQ$1005,1,MATCH(COLUMNS($AO$1006:AO1006),$AO$1006:$BQ$1006,0))&gt;=100000), " ",IF(INDEX($AO$2:$BQ$1001,MATCH(ROWS($AH$2:AH561),$AH$2:$AH$1001,0),MATCH(COLUMNS($AO$1006:AO1006),$AO$1006:$BQ$1006,0)), HYPERLINK("#",""), HYPERLINK(CONCATENATE("#Metadata!", ADDRESS(INDEX($AJ$2:$AJ$1001,MATCH(ROWS($AH$2:AH561),$AH$2:$AH$1001,0),0), INDEX($AO$1004:$BQ$1004,1,MATCH(COLUMNS($AO$1006:AO1006),$AO$1006:$BQ$1006,0)))),"Fix")))</f>
        <v>#N/A</v>
      </c>
      <c r="C561" s="5" t="e">
        <f ca="1">IF(OR(INDEX($AI$2:$AI$1001,MATCH(ROWS($AH$2:AH561),$AH$2:$AH$1001,0),1)&gt;=100000,INDEX($AO$1005:$BQ$1005,1,MATCH(COLUMNS($AO$1006:AP1006),$AO$1006:$BQ$1006,0))&gt;=100000), " ",IF(INDEX($AO$2:$BQ$1001,MATCH(ROWS($AH$2:AH561),$AH$2:$AH$1001,0),MATCH(COLUMNS($AO$1006:AP1006),$AO$1006:$BQ$1006,0)), HYPERLINK("#",""), HYPERLINK(CONCATENATE("#Metadata!", ADDRESS(INDEX($AJ$2:$AJ$1001,MATCH(ROWS($AH$2:AH561),$AH$2:$AH$1001,0),0), INDEX($AO$1004:$BQ$1004,1,MATCH(COLUMNS($AO$1006:AP1006),$AO$1006:$BQ$1006,0)))),"Fix")))</f>
        <v>#N/A</v>
      </c>
      <c r="D561" s="5" t="e">
        <f ca="1">IF(OR(INDEX($AI$2:$AI$1001,MATCH(ROWS($AH$2:AH561),$AH$2:$AH$1001,0),1)&gt;=100000,INDEX($AO$1005:$BQ$1005,1,MATCH(COLUMNS($AO$1006:AQ1006),$AO$1006:$BQ$1006,0))&gt;=100000), " ",IF(INDEX($AO$2:$BQ$1001,MATCH(ROWS($AH$2:AH561),$AH$2:$AH$1001,0),MATCH(COLUMNS($AO$1006:AQ1006),$AO$1006:$BQ$1006,0)), HYPERLINK("#",""), HYPERLINK(CONCATENATE("#Metadata!", ADDRESS(INDEX($AJ$2:$AJ$1001,MATCH(ROWS($AH$2:AH561),$AH$2:$AH$1001,0),0), INDEX($AO$1004:$BQ$1004,1,MATCH(COLUMNS($AO$1006:AQ1006),$AO$1006:$BQ$1006,0)))),"Fix")))</f>
        <v>#N/A</v>
      </c>
      <c r="E561" s="5" t="e">
        <f ca="1">IF(OR(INDEX($AI$2:$AI$1001,MATCH(ROWS($AH$2:AH561),$AH$2:$AH$1001,0),1)&gt;=100000,INDEX($AO$1005:$BQ$1005,1,MATCH(COLUMNS($AO$1006:AR1006),$AO$1006:$BQ$1006,0))&gt;=100000), " ",IF(INDEX($AO$2:$BQ$1001,MATCH(ROWS($AH$2:AH561),$AH$2:$AH$1001,0),MATCH(COLUMNS($AO$1006:AR1006),$AO$1006:$BQ$1006,0)), HYPERLINK("#",""), HYPERLINK(CONCATENATE("#Metadata!", ADDRESS(INDEX($AJ$2:$AJ$1001,MATCH(ROWS($AH$2:AH561),$AH$2:$AH$1001,0),0), INDEX($AO$1004:$BQ$1004,1,MATCH(COLUMNS($AO$1006:AR1006),$AO$1006:$BQ$1006,0)))),"Fix")))</f>
        <v>#N/A</v>
      </c>
      <c r="F561" s="5" t="e">
        <f ca="1">IF(OR(INDEX($AI$2:$AI$1001,MATCH(ROWS($AH$2:AH561),$AH$2:$AH$1001,0),1)&gt;=100000,INDEX($AO$1005:$BQ$1005,1,MATCH(COLUMNS($AO$1006:AS1006),$AO$1006:$BQ$1006,0))&gt;=100000), " ",IF(INDEX($AO$2:$BQ$1001,MATCH(ROWS($AH$2:AH561),$AH$2:$AH$1001,0),MATCH(COLUMNS($AO$1006:AS1006),$AO$1006:$BQ$1006,0)), HYPERLINK("#",""), HYPERLINK(CONCATENATE("#Metadata!", ADDRESS(INDEX($AJ$2:$AJ$1001,MATCH(ROWS($AH$2:AH561),$AH$2:$AH$1001,0),0), INDEX($AO$1004:$BQ$1004,1,MATCH(COLUMNS($AO$1006:AS1006),$AO$1006:$BQ$1006,0)))),"Fix")))</f>
        <v>#N/A</v>
      </c>
      <c r="G561" s="5" t="e">
        <f ca="1">IF(OR(INDEX($AI$2:$AI$1001,MATCH(ROWS($AH$2:AH561),$AH$2:$AH$1001,0),1)&gt;=100000,INDEX($AO$1005:$BQ$1005,1,MATCH(COLUMNS($AO$1006:AT1006),$AO$1006:$BQ$1006,0))&gt;=100000), " ",IF(INDEX($AO$2:$BQ$1001,MATCH(ROWS($AH$2:AH561),$AH$2:$AH$1001,0),MATCH(COLUMNS($AO$1006:AT1006),$AO$1006:$BQ$1006,0)), HYPERLINK("#",""), HYPERLINK(CONCATENATE("#Metadata!", ADDRESS(INDEX($AJ$2:$AJ$1001,MATCH(ROWS($AH$2:AH561),$AH$2:$AH$1001,0),0), INDEX($AO$1004:$BQ$1004,1,MATCH(COLUMNS($AO$1006:AT1006),$AO$1006:$BQ$1006,0)))),"Fix")))</f>
        <v>#N/A</v>
      </c>
      <c r="H561" s="5" t="e">
        <f ca="1">IF(OR(INDEX($AI$2:$AI$1001,MATCH(ROWS($AH$2:AH561),$AH$2:$AH$1001,0),1)&gt;=100000,INDEX($AO$1005:$BQ$1005,1,MATCH(COLUMNS($AO$1006:AU1006),$AO$1006:$BQ$1006,0))&gt;=100000), " ",IF(INDEX($AO$2:$BQ$1001,MATCH(ROWS($AH$2:AH561),$AH$2:$AH$1001,0),MATCH(COLUMNS($AO$1006:AU1006),$AO$1006:$BQ$1006,0)), HYPERLINK("#",""), HYPERLINK(CONCATENATE("#Metadata!", ADDRESS(INDEX($AJ$2:$AJ$1001,MATCH(ROWS($AH$2:AH561),$AH$2:$AH$1001,0),0), INDEX($AO$1004:$BQ$1004,1,MATCH(COLUMNS($AO$1006:AU1006),$AO$1006:$BQ$1006,0)))),"Fix")))</f>
        <v>#N/A</v>
      </c>
      <c r="I561" s="5" t="e">
        <f ca="1">IF(OR(INDEX($AI$2:$AI$1001,MATCH(ROWS($AH$2:AH561),$AH$2:$AH$1001,0),1)&gt;=100000,INDEX($AO$1005:$BQ$1005,1,MATCH(COLUMNS($AO$1006:AV1006),$AO$1006:$BQ$1006,0))&gt;=100000), " ",IF(INDEX($AO$2:$BQ$1001,MATCH(ROWS($AH$2:AH561),$AH$2:$AH$1001,0),MATCH(COLUMNS($AO$1006:AV1006),$AO$1006:$BQ$1006,0)), HYPERLINK("#",""), HYPERLINK(CONCATENATE("#Metadata!", ADDRESS(INDEX($AJ$2:$AJ$1001,MATCH(ROWS($AH$2:AH561),$AH$2:$AH$1001,0),0), INDEX($AO$1004:$BQ$1004,1,MATCH(COLUMNS($AO$1006:AV1006),$AO$1006:$BQ$1006,0)))),"Fix")))</f>
        <v>#N/A</v>
      </c>
      <c r="J561" s="5" t="e">
        <f ca="1">IF(OR(INDEX($AI$2:$AI$1001,MATCH(ROWS($AH$2:AH561),$AH$2:$AH$1001,0),1)&gt;=100000,INDEX($AO$1005:$BQ$1005,1,MATCH(COLUMNS($AO$1006:AW1006),$AO$1006:$BQ$1006,0))&gt;=100000), " ",IF(INDEX($AO$2:$BQ$1001,MATCH(ROWS($AH$2:AH561),$AH$2:$AH$1001,0),MATCH(COLUMNS($AO$1006:AW1006),$AO$1006:$BQ$1006,0)), HYPERLINK("#",""), HYPERLINK(CONCATENATE("#Metadata!", ADDRESS(INDEX($AJ$2:$AJ$1001,MATCH(ROWS($AH$2:AH561),$AH$2:$AH$1001,0),0), INDEX($AO$1004:$BQ$1004,1,MATCH(COLUMNS($AO$1006:AW1006),$AO$1006:$BQ$1006,0)))),"Fix")))</f>
        <v>#N/A</v>
      </c>
      <c r="K561" s="5" t="e">
        <f ca="1">IF(OR(INDEX($AI$2:$AI$1001,MATCH(ROWS($AH$2:AH561),$AH$2:$AH$1001,0),1)&gt;=100000,INDEX($AO$1005:$BQ$1005,1,MATCH(COLUMNS($AO$1006:AX1006),$AO$1006:$BQ$1006,0))&gt;=100000), " ",IF(INDEX($AO$2:$BQ$1001,MATCH(ROWS($AH$2:AH561),$AH$2:$AH$1001,0),MATCH(COLUMNS($AO$1006:AX1006),$AO$1006:$BQ$1006,0)), HYPERLINK("#",""), HYPERLINK(CONCATENATE("#Metadata!", ADDRESS(INDEX($AJ$2:$AJ$1001,MATCH(ROWS($AH$2:AH561),$AH$2:$AH$1001,0),0), INDEX($AO$1004:$BQ$1004,1,MATCH(COLUMNS($AO$1006:AX1006),$AO$1006:$BQ$1006,0)))),"Fix")))</f>
        <v>#N/A</v>
      </c>
      <c r="L561" s="5" t="e">
        <f ca="1">IF(OR(INDEX($AI$2:$AI$1001,MATCH(ROWS($AH$2:AH561),$AH$2:$AH$1001,0),1)&gt;=100000,INDEX($AO$1005:$BQ$1005,1,MATCH(COLUMNS($AO$1006:AY1006),$AO$1006:$BQ$1006,0))&gt;=100000), " ",IF(INDEX($AO$2:$BQ$1001,MATCH(ROWS($AH$2:AH561),$AH$2:$AH$1001,0),MATCH(COLUMNS($AO$1006:AY1006),$AO$1006:$BQ$1006,0)), HYPERLINK("#",""), HYPERLINK(CONCATENATE("#Metadata!", ADDRESS(INDEX($AJ$2:$AJ$1001,MATCH(ROWS($AH$2:AH561),$AH$2:$AH$1001,0),0), INDEX($AO$1004:$BQ$1004,1,MATCH(COLUMNS($AO$1006:AY1006),$AO$1006:$BQ$1006,0)))),"Fix")))</f>
        <v>#N/A</v>
      </c>
      <c r="M561" s="5" t="e">
        <f ca="1">IF(OR(INDEX($AI$2:$AI$1001,MATCH(ROWS($AH$2:AH561),$AH$2:$AH$1001,0),1)&gt;=100000,INDEX($AO$1005:$BQ$1005,1,MATCH(COLUMNS($AO$1006:AZ1006),$AO$1006:$BQ$1006,0))&gt;=100000), " ",IF(INDEX($AO$2:$BQ$1001,MATCH(ROWS($AH$2:AH561),$AH$2:$AH$1001,0),MATCH(COLUMNS($AO$1006:AZ1006),$AO$1006:$BQ$1006,0)), HYPERLINK("#",""), HYPERLINK(CONCATENATE("#Metadata!", ADDRESS(INDEX($AJ$2:$AJ$1001,MATCH(ROWS($AH$2:AH561),$AH$2:$AH$1001,0),0), INDEX($AO$1004:$BQ$1004,1,MATCH(COLUMNS($AO$1006:AZ1006),$AO$1006:$BQ$1006,0)))),"Fix")))</f>
        <v>#N/A</v>
      </c>
      <c r="N561" s="5" t="e">
        <f ca="1">IF(OR(INDEX($AI$2:$AI$1001,MATCH(ROWS($AH$2:AH561),$AH$2:$AH$1001,0),1)&gt;=100000,INDEX($AO$1005:$BQ$1005,1,MATCH(COLUMNS($AO$1006:BA1006),$AO$1006:$BQ$1006,0))&gt;=100000), " ",IF(INDEX($AO$2:$BQ$1001,MATCH(ROWS($AH$2:AH561),$AH$2:$AH$1001,0),MATCH(COLUMNS($AO$1006:BA1006),$AO$1006:$BQ$1006,0)), HYPERLINK("#",""), HYPERLINK(CONCATENATE("#Metadata!", ADDRESS(INDEX($AJ$2:$AJ$1001,MATCH(ROWS($AH$2:AH561),$AH$2:$AH$1001,0),0), INDEX($AO$1004:$BQ$1004,1,MATCH(COLUMNS($AO$1006:BA1006),$AO$1006:$BQ$1006,0)))),"Fix")))</f>
        <v>#N/A</v>
      </c>
      <c r="O561" s="5" t="e">
        <f ca="1">IF(OR(INDEX($AI$2:$AI$1001,MATCH(ROWS($AH$2:AH561),$AH$2:$AH$1001,0),1)&gt;=100000,INDEX($AO$1005:$BQ$1005,1,MATCH(COLUMNS($AO$1006:BB1006),$AO$1006:$BQ$1006,0))&gt;=100000), " ",IF(INDEX($AO$2:$BQ$1001,MATCH(ROWS($AH$2:AH561),$AH$2:$AH$1001,0),MATCH(COLUMNS($AO$1006:BB1006),$AO$1006:$BQ$1006,0)), HYPERLINK("#",""), HYPERLINK(CONCATENATE("#Metadata!", ADDRESS(INDEX($AJ$2:$AJ$1001,MATCH(ROWS($AH$2:AH561),$AH$2:$AH$1001,0),0), INDEX($AO$1004:$BQ$1004,1,MATCH(COLUMNS($AO$1006:BB1006),$AO$1006:$BQ$1006,0)))),"Fix")))</f>
        <v>#N/A</v>
      </c>
      <c r="P561" s="5" t="e">
        <f ca="1">IF(OR(INDEX($AI$2:$AI$1001,MATCH(ROWS($AH$2:AH561),$AH$2:$AH$1001,0),1)&gt;=100000,INDEX($AO$1005:$BQ$1005,1,MATCH(COLUMNS($AO$1006:BC1006),$AO$1006:$BQ$1006,0))&gt;=100000), " ",IF(INDEX($AO$2:$BQ$1001,MATCH(ROWS($AH$2:AH561),$AH$2:$AH$1001,0),MATCH(COLUMNS($AO$1006:BC1006),$AO$1006:$BQ$1006,0)), HYPERLINK("#",""), HYPERLINK(CONCATENATE("#Metadata!", ADDRESS(INDEX($AJ$2:$AJ$1001,MATCH(ROWS($AH$2:AH561),$AH$2:$AH$1001,0),0), INDEX($AO$1004:$BQ$1004,1,MATCH(COLUMNS($AO$1006:BC1006),$AO$1006:$BQ$1006,0)))),"Fix")))</f>
        <v>#N/A</v>
      </c>
      <c r="Q561" s="5" t="e">
        <f ca="1">IF(OR(INDEX($AI$2:$AI$1001,MATCH(ROWS($AH$2:AH561),$AH$2:$AH$1001,0),1)&gt;=100000,INDEX($AO$1005:$BQ$1005,1,MATCH(COLUMNS($AO$1006:BD1006),$AO$1006:$BQ$1006,0))&gt;=100000), " ",IF(INDEX($AO$2:$BQ$1001,MATCH(ROWS($AH$2:AH561),$AH$2:$AH$1001,0),MATCH(COLUMNS($AO$1006:BD1006),$AO$1006:$BQ$1006,0)), HYPERLINK("#",""), HYPERLINK(CONCATENATE("#Metadata!", ADDRESS(INDEX($AJ$2:$AJ$1001,MATCH(ROWS($AH$2:AH561),$AH$2:$AH$1001,0),0), INDEX($AO$1004:$BQ$1004,1,MATCH(COLUMNS($AO$1006:BD1006),$AO$1006:$BQ$1006,0)))),"Fix")))</f>
        <v>#N/A</v>
      </c>
      <c r="R561" s="5" t="e">
        <f ca="1">IF(OR(INDEX($AI$2:$AI$1001,MATCH(ROWS($AH$2:AH561),$AH$2:$AH$1001,0),1)&gt;=100000,INDEX($AO$1005:$BQ$1005,1,MATCH(COLUMNS($AO$1006:BE1006),$AO$1006:$BQ$1006,0))&gt;=100000), " ",IF(INDEX($AO$2:$BQ$1001,MATCH(ROWS($AH$2:AH561),$AH$2:$AH$1001,0),MATCH(COLUMNS($AO$1006:BE1006),$AO$1006:$BQ$1006,0)), HYPERLINK("#",""), HYPERLINK(CONCATENATE("#Metadata!", ADDRESS(INDEX($AJ$2:$AJ$1001,MATCH(ROWS($AH$2:AH561),$AH$2:$AH$1001,0),0), INDEX($AO$1004:$BQ$1004,1,MATCH(COLUMNS($AO$1006:BE1006),$AO$1006:$BQ$1006,0)))),"Fix")))</f>
        <v>#N/A</v>
      </c>
      <c r="S561" s="5" t="e">
        <f ca="1">IF(OR(INDEX($AI$2:$AI$1001,MATCH(ROWS($AH$2:AH561),$AH$2:$AH$1001,0),1)&gt;=100000,INDEX($AO$1005:$BQ$1005,1,MATCH(COLUMNS($AO$1006:BF1006),$AO$1006:$BQ$1006,0))&gt;=100000), " ",IF(INDEX($AO$2:$BQ$1001,MATCH(ROWS($AH$2:AH561),$AH$2:$AH$1001,0),MATCH(COLUMNS($AO$1006:BF1006),$AO$1006:$BQ$1006,0)), HYPERLINK("#",""), HYPERLINK(CONCATENATE("#Metadata!", ADDRESS(INDEX($AJ$2:$AJ$1001,MATCH(ROWS($AH$2:AH561),$AH$2:$AH$1001,0),0), INDEX($AO$1004:$BQ$1004,1,MATCH(COLUMNS($AO$1006:BF1006),$AO$1006:$BQ$1006,0)))),"Fix")))</f>
        <v>#N/A</v>
      </c>
      <c r="T561" s="5" t="e">
        <f ca="1">IF(OR(INDEX($AI$2:$AI$1001,MATCH(ROWS($AH$2:AH561),$AH$2:$AH$1001,0),1)&gt;=100000,INDEX($AO$1005:$BQ$1005,1,MATCH(COLUMNS($AO$1006:BG1006),$AO$1006:$BQ$1006,0))&gt;=100000), " ",IF(INDEX($AO$2:$BQ$1001,MATCH(ROWS($AH$2:AH561),$AH$2:$AH$1001,0),MATCH(COLUMNS($AO$1006:BG1006),$AO$1006:$BQ$1006,0)), HYPERLINK("#",""), HYPERLINK(CONCATENATE("#Metadata!", ADDRESS(INDEX($AJ$2:$AJ$1001,MATCH(ROWS($AH$2:AH561),$AH$2:$AH$1001,0),0), INDEX($AO$1004:$BQ$1004,1,MATCH(COLUMNS($AO$1006:BG1006),$AO$1006:$BQ$1006,0)))),"Fix")))</f>
        <v>#N/A</v>
      </c>
      <c r="U561" s="5" t="e">
        <f ca="1">IF(OR(INDEX($AI$2:$AI$1001,MATCH(ROWS($AH$2:AH561),$AH$2:$AH$1001,0),1)&gt;=100000,INDEX($AO$1005:$BQ$1005,1,MATCH(COLUMNS($AO$1006:BH1006),$AO$1006:$BQ$1006,0))&gt;=100000), " ",IF(INDEX($AO$2:$BQ$1001,MATCH(ROWS($AH$2:AH561),$AH$2:$AH$1001,0),MATCH(COLUMNS($AO$1006:BH1006),$AO$1006:$BQ$1006,0)), HYPERLINK("#",""), HYPERLINK(CONCATENATE("#Metadata!", ADDRESS(INDEX($AJ$2:$AJ$1001,MATCH(ROWS($AH$2:AH561),$AH$2:$AH$1001,0),0), INDEX($AO$1004:$BQ$1004,1,MATCH(COLUMNS($AO$1006:BH1006),$AO$1006:$BQ$1006,0)))),"Fix")))</f>
        <v>#N/A</v>
      </c>
      <c r="V561" s="5" t="e">
        <f ca="1">IF(OR(INDEX($AI$2:$AI$1001,MATCH(ROWS($AH$2:AH561),$AH$2:$AH$1001,0),1)&gt;=100000,INDEX($AO$1005:$BQ$1005,1,MATCH(COLUMNS($AO$1006:BI1006),$AO$1006:$BQ$1006,0))&gt;=100000), " ",IF(INDEX($AO$2:$BQ$1001,MATCH(ROWS($AH$2:AH561),$AH$2:$AH$1001,0),MATCH(COLUMNS($AO$1006:BI1006),$AO$1006:$BQ$1006,0)), HYPERLINK("#",""), HYPERLINK(CONCATENATE("#Metadata!", ADDRESS(INDEX($AJ$2:$AJ$1001,MATCH(ROWS($AH$2:AH561),$AH$2:$AH$1001,0),0), INDEX($AO$1004:$BQ$1004,1,MATCH(COLUMNS($AO$1006:BI1006),$AO$1006:$BQ$1006,0)))),"Fix")))</f>
        <v>#N/A</v>
      </c>
      <c r="W561" s="5" t="e">
        <f ca="1">IF(OR(INDEX($AI$2:$AI$1001,MATCH(ROWS($AH$2:AH561),$AH$2:$AH$1001,0),1)&gt;=100000,INDEX($AO$1005:$BQ$1005,1,MATCH(COLUMNS($AO$1006:BJ1006),$AO$1006:$BQ$1006,0))&gt;=100000), " ",IF(INDEX($AO$2:$BQ$1001,MATCH(ROWS($AH$2:AH561),$AH$2:$AH$1001,0),MATCH(COLUMNS($AO$1006:BJ1006),$AO$1006:$BQ$1006,0)), HYPERLINK("#",""), HYPERLINK(CONCATENATE("#Metadata!", ADDRESS(INDEX($AJ$2:$AJ$1001,MATCH(ROWS($AH$2:AH561),$AH$2:$AH$1001,0),0), INDEX($AO$1004:$BQ$1004,1,MATCH(COLUMNS($AO$1006:BJ1006),$AO$1006:$BQ$1006,0)))),"Fix")))</f>
        <v>#N/A</v>
      </c>
      <c r="X561" s="5" t="e">
        <f ca="1">IF(OR(INDEX($AI$2:$AI$1001,MATCH(ROWS($AH$2:AH561),$AH$2:$AH$1001,0),1)&gt;=100000,INDEX($AO$1005:$BQ$1005,1,MATCH(COLUMNS($AO$1006:BK1006),$AO$1006:$BQ$1006,0))&gt;=100000), " ",IF(INDEX($AO$2:$BQ$1001,MATCH(ROWS($AH$2:AH561),$AH$2:$AH$1001,0),MATCH(COLUMNS($AO$1006:BK1006),$AO$1006:$BQ$1006,0)), HYPERLINK("#",""), HYPERLINK(CONCATENATE("#Metadata!", ADDRESS(INDEX($AJ$2:$AJ$1001,MATCH(ROWS($AH$2:AH561),$AH$2:$AH$1001,0),0), INDEX($AO$1004:$BQ$1004,1,MATCH(COLUMNS($AO$1006:BK1006),$AO$1006:$BQ$1006,0)))),"Fix")))</f>
        <v>#N/A</v>
      </c>
      <c r="Y561" s="5" t="e">
        <f ca="1">IF(OR(INDEX($AI$2:$AI$1001,MATCH(ROWS($AH$2:AH561),$AH$2:$AH$1001,0),1)&gt;=100000,INDEX($AO$1005:$BQ$1005,1,MATCH(COLUMNS($AO$1006:BL1006),$AO$1006:$BQ$1006,0))&gt;=100000), " ",IF(INDEX($AO$2:$BQ$1001,MATCH(ROWS($AH$2:AH561),$AH$2:$AH$1001,0),MATCH(COLUMNS($AO$1006:BL1006),$AO$1006:$BQ$1006,0)), HYPERLINK("#",""), HYPERLINK(CONCATENATE("#Metadata!", ADDRESS(INDEX($AJ$2:$AJ$1001,MATCH(ROWS($AH$2:AH561),$AH$2:$AH$1001,0),0), INDEX($AO$1004:$BQ$1004,1,MATCH(COLUMNS($AO$1006:BL1006),$AO$1006:$BQ$1006,0)))),"Fix")))</f>
        <v>#N/A</v>
      </c>
      <c r="Z561" s="5" t="e">
        <f ca="1">IF(OR(INDEX($AI$2:$AI$1001,MATCH(ROWS($AH$2:AH561),$AH$2:$AH$1001,0),1)&gt;=100000,INDEX($AO$1005:$BQ$1005,1,MATCH(COLUMNS($AO$1006:BM1006),$AO$1006:$BQ$1006,0))&gt;=100000), " ",IF(INDEX($AO$2:$BQ$1001,MATCH(ROWS($AH$2:AH561),$AH$2:$AH$1001,0),MATCH(COLUMNS($AO$1006:BM1006),$AO$1006:$BQ$1006,0)), HYPERLINK("#",""), HYPERLINK(CONCATENATE("#Metadata!", ADDRESS(INDEX($AJ$2:$AJ$1001,MATCH(ROWS($AH$2:AH561),$AH$2:$AH$1001,0),0), INDEX($AO$1004:$BQ$1004,1,MATCH(COLUMNS($AO$1006:BM1006),$AO$1006:$BQ$1006,0)))),"Fix")))</f>
        <v>#N/A</v>
      </c>
      <c r="AA561" s="5" t="e">
        <f ca="1">IF(OR(INDEX($AI$2:$AI$1001,MATCH(ROWS($AH$2:AH561),$AH$2:$AH$1001,0),1)&gt;=100000,INDEX($AO$1005:$BQ$1005,1,MATCH(COLUMNS($AO$1006:BN1006),$AO$1006:$BQ$1006,0))&gt;=100000), " ",IF(INDEX($AO$2:$BQ$1001,MATCH(ROWS($AH$2:AH561),$AH$2:$AH$1001,0),MATCH(COLUMNS($AO$1006:BN1006),$AO$1006:$BQ$1006,0)), HYPERLINK("#",""), HYPERLINK(CONCATENATE("#Metadata!", ADDRESS(INDEX($AJ$2:$AJ$1001,MATCH(ROWS($AH$2:AH561),$AH$2:$AH$1001,0),0), INDEX($AO$1004:$BQ$1004,1,MATCH(COLUMNS($AO$1006:BN1006),$AO$1006:$BQ$1006,0)))),"Fix")))</f>
        <v>#N/A</v>
      </c>
      <c r="AB561" s="5" t="e">
        <f ca="1">IF(OR(INDEX($AI$2:$AI$1001,MATCH(ROWS($AH$2:AH561),$AH$2:$AH$1001,0),1)&gt;=100000,INDEX($AO$1005:$BQ$1005,1,MATCH(COLUMNS($AO$1006:BO1006),$AO$1006:$BQ$1006,0))&gt;=100000), " ",IF(INDEX($AO$2:$BQ$1001,MATCH(ROWS($AH$2:AH561),$AH$2:$AH$1001,0),MATCH(COLUMNS($AO$1006:BO1006),$AO$1006:$BQ$1006,0)), HYPERLINK("#",""), HYPERLINK(CONCATENATE("#Metadata!", ADDRESS(INDEX($AJ$2:$AJ$1001,MATCH(ROWS($AH$2:AH561),$AH$2:$AH$1001,0),0), INDEX($AO$1004:$BQ$1004,1,MATCH(COLUMNS($AO$1006:BO1006),$AO$1006:$BQ$1006,0)))),"Fix")))</f>
        <v>#N/A</v>
      </c>
      <c r="AC561" s="5" t="e">
        <f ca="1">IF(OR(INDEX($AI$2:$AI$1001,MATCH(ROWS($AH$2:AH561),$AH$2:$AH$1001,0),1)&gt;=100000,INDEX($AO$1005:$BQ$1005,1,MATCH(COLUMNS($AO$1006:BP1006),$AO$1006:$BQ$1006,0))&gt;=100000), " ",IF(INDEX($AO$2:$BQ$1001,MATCH(ROWS($AH$2:AH561),$AH$2:$AH$1001,0),MATCH(COLUMNS($AO$1006:BP1006),$AO$1006:$BQ$1006,0)), HYPERLINK("#",""), HYPERLINK(CONCATENATE("#Metadata!", ADDRESS(INDEX($AJ$2:$AJ$1001,MATCH(ROWS($AH$2:AH561),$AH$2:$AH$1001,0),0), INDEX($AO$1004:$BQ$1004,1,MATCH(COLUMNS($AO$1006:BP1006),$AO$1006:$BQ$1006,0)))),"Fix")))</f>
        <v>#N/A</v>
      </c>
      <c r="AD561" s="5" t="e">
        <f ca="1">IF(OR(INDEX($AI$2:$AI$1001,MATCH(ROWS($AH$2:AH561),$AH$2:$AH$1001,0),1)&gt;=100000,INDEX($AO$1005:$BQ$1005,1,MATCH(COLUMNS($AO$1006:BQ1006),$AO$1006:$BQ$1006,0))&gt;=100000), " ",IF(INDEX($AO$2:$BQ$1001,MATCH(ROWS($AH$2:AH561),$AH$2:$AH$1001,0),MATCH(COLUMNS($AO$1006:BQ1006),$AO$1006:$BQ$1006,0)), HYPERLINK("#",""), HYPERLINK(CONCATENATE("#Metadata!", ADDRESS(INDEX($AJ$2:$AJ$1001,MATCH(ROWS($AH$2:AH561),$AH$2:$AH$1001,0),0), INDEX($AO$1004:$BQ$1004,1,MATCH(COLUMNS($AO$1006:BQ1006),$AO$1006:$BQ$1006,0)))),"Fix")))</f>
        <v>#REF!</v>
      </c>
      <c r="AH561">
        <f ca="1"/>
        <v>558</v>
      </c>
      <c r="AI561">
        <v>100561</v>
      </c>
      <c r="AJ561">
        <v>561</v>
      </c>
      <c r="AK561" t="b">
        <f t="shared" si="8"/>
        <v>1</v>
      </c>
      <c r="AL561" t="b">
        <f>COUNTBLANK(Metadata!B561:AD561)=COLUMNS(Metadata!B561:AD561)</f>
        <v>1</v>
      </c>
      <c r="AM561" t="str">
        <v/>
      </c>
      <c r="AO561" t="b">
        <f ca="1">AND(IF(Metadata!B561="",FALSE,TRUE),COUNTIF(Metadata!B:B, Metadata!B561) = 1,NOT(ISERROR(SUMPRODUCT(SEARCH(MID(Metadata!B561,ROW(INDIRECT("1:"&amp;LEN(Metadata!B561))), 1),"0123456789abcdefghijklmnopqrstuvwxyzABCDEFGHIJKLMNOPQRSTUVWXYZ.")))))</f>
        <v>0</v>
      </c>
      <c r="AP561" t="b">
        <f>IF(Metadata!C561="",FALSE,TRUE)</f>
        <v>0</v>
      </c>
      <c r="AQ561" t="b">
        <f>IF(Metadata!D561="",FALSE,TRUE)</f>
        <v>0</v>
      </c>
      <c r="AR561" t="b">
        <f ca="1">OR(AND(IF(Metadata!E561="",FALSE,TRUE),OR(EXACT(Metadata!E561,"not collected"),EXACT(Metadata!E561,"not provided"),EXACT(Metadata!E561,"restricted access"))),AND(IF(Metadata!E561="",FALSE,TRUE),AND(AND(IFERROR(INT(LEFT(Metadata!E561,4))&gt;1900,FALSE),IFERROR(INT(LEFT(Metadata!E561,4))&lt;=YEAR(NOW()),FALSE)), OR(MID(Metadata!E561,5,1)="", AND(AND(MID(Metadata!E561,5,1)="-",IFERROR(INT(MID(Metadata!E561,6,1))&gt;=0,FALSE),IFERROR(INT(MID(Metadata!E561,6,1))&lt;=1,FALSE),NOT(MID(Metadata!E561,7,1)=""),IFERROR(INT(MID(Metadata!E561,6,2))&gt;=1,FALSE),IFERROR(INT(MID(Metadata!E561,6,2))&lt;=12,FALSE)), OR(MID(Metadata!E561,8,1)="", AND(AND(MID(Metadata!E561,8,1)="-",IFERROR(INT(MID(Metadata!E561,9,1))&gt;=0,FALSE),IFERROR(INT(MID(Metadata!E561,9,1))&lt;=3,FALSE),NOT(MID(Metadata!E561,10,1)=""),IFERROR(INT(MID(Metadata!E561,9,2))&gt;=1,FALSE),IFERROR(INT(MID(Metadata!E561,9,2))&lt;=31,FALSE)), OR(MID(Metadata!E561,11,1)="", AND(AND(MID(Metadata!E561,11,1)=" ",IFERROR(INT(MID(Metadata!E561,12,1))&gt;=0,FALSE),IFERROR(INT(MID(Metadata!E561,12,1))&lt;=2,FALSE),NOT(MID(Metadata!E561,13,1)=""),IFERROR(INT(MID(Metadata!E561,12,2))&gt;=0,FALSE),IFERROR(INT(MID(Metadata!E561,12,2))&lt;=23,FALSE)), OR(MID(Metadata!E561,14,1)="", AND(AND(MID(Metadata!E561,14,1)=":",IFERROR(INT(MID(Metadata!E561,15,1))&gt;=0,FALSE),IFERROR(INT(MID(Metadata!E561,15,1))&lt;=5,FALSE),NOT(MID(Metadata!E561,16,1)=""),IFERROR(INT(MID(Metadata!E561,15,2))&gt;=0,FALSE),IFERROR(INT(MID(Metadata!E561,15,2))&lt;=59,FALSE)), OR(MID(Metadata!E561,17,1)="", AND(AND(MID(Metadata!E561,17,1)=":",IFERROR(INT(MID(Metadata!E561,18,1))&gt;=0,FALSE),IFERROR(INT(MID(Metadata!E561,18,1))&lt;=5,FALSE),NOT(MID(Metadata!E561,19,1)=""),IFERROR(INT(MID(Metadata!E561,18,2))&gt;=0,FALSE),IFERROR(INT(MID(Metadata!E561,18,2))&lt;=59,FALSE)), LEN(Metadata!E561)&lt;=19)))))))))))))</f>
        <v>0</v>
      </c>
      <c r="AS561" t="b">
        <f>IF(Metadata!F561="",FALSE,TRUE)</f>
        <v>0</v>
      </c>
      <c r="AT561" t="b">
        <f>OR(AND(IF(Metadata!G561="",FALSE,TRUE),OR(EXACT(Metadata!G561,"not collected"),EXACT(Metadata!G561,"not provided"))),AND(IF(Metadata!G561="",FALSE,TRUE),OR(EXACT(Metadata!G561,"TRUE"),EXACT(Metadata!G561,"FALSE"))))</f>
        <v>0</v>
      </c>
      <c r="AU561" t="b">
        <f>OR(AND(IF(Metadata!H561="",FALSE,TRUE),OR(EXACT(Metadata!H561,"not collected"),EXACT(Metadata!H561,"not provided"),EXACT(Metadata!H561,"restricted access"))),AND(IF(Metadata!H561="",FALSE,ISNUMBER(VALUE(Metadata!H561))),Metadata!H561&gt;=-413))</f>
        <v>0</v>
      </c>
      <c r="AV561" t="b">
        <f>AND(IF(Metadata!I561="",FALSE,TRUE),EXACT(Metadata!I561,"meters"))</f>
        <v>0</v>
      </c>
      <c r="AW561" t="b">
        <f>AND(IF(Metadata!J561="",FALSE,TRUE),EXACT(Metadata!J561,"free-living"))</f>
        <v>0</v>
      </c>
      <c r="AX561" t="b">
        <f>AND(IF(Metadata!K561="",FALSE,TRUE),OR(EXACT(Metadata!K561,"saline"),EXACT(Metadata!K561,"non-saline")))</f>
        <v>0</v>
      </c>
      <c r="AY561" t="b">
        <f>AND(IF(Metadata!L561="",FALSE,TRUE),OR(EXACT(Metadata!L561,"sub-surface (non-saline)"),EXACT(Metadata!L561,"surface (non-saline)"),EXACT(Metadata!L561,"water (non-saline)"),EXACT(Metadata!L561,"soil (non-saline)"),EXACT(Metadata!L561,"aerosol (non-saline)"),EXACT(Metadata!L561,"sediment (non-saline)"),EXACT(Metadata!L561,"surface (saline)"),EXACT(Metadata!L561,"water (saline)"),EXACT(Metadata!L561,"hypersaline (saline)"),EXACT(Metadata!L561,"aerosol (saline)"),EXACT(Metadata!L561,"sediment (saline)")))</f>
        <v>0</v>
      </c>
      <c r="AZ561" t="b">
        <f>IF(Metadata!M561="",FALSE,TRUE)</f>
        <v>0</v>
      </c>
      <c r="BA561" t="b">
        <f>IF(Metadata!N561="",FALSE,TRUE)</f>
        <v>0</v>
      </c>
      <c r="BB561" t="b">
        <f>IF(Metadata!O561="",FALSE,TRUE)</f>
        <v>0</v>
      </c>
      <c r="BC561" t="b">
        <f>AND(IF(Metadata!P561="",FALSE,TRUE),OR(EXACT(Metadata!P561,"air"),EXACT(Metadata!P561,"microbial mat/biofilm"),EXACT(Metadata!P561,"misc environment"),EXACT(Metadata!P561,"sediment"),EXACT(Metadata!P561,"soil"),EXACT(Metadata!P561,"wastewater/sludge"),EXACT(Metadata!P561,"water")))</f>
        <v>0</v>
      </c>
      <c r="BD561" t="b">
        <f>IF(Metadata!Q561="",FALSE,TRUE)</f>
        <v>0</v>
      </c>
      <c r="BE561" t="b">
        <f>IF(Metadata!R561="",FALSE,TRUE)</f>
        <v>0</v>
      </c>
      <c r="BF561" t="b">
        <f>OR(AND(IF(Metadata!S561="",FALSE,TRUE),OR(EXACT(Metadata!S561,"not collected"),EXACT(Metadata!S561,"not provided"),EXACT(Metadata!S561,"restricted access"))),AND(IF(Metadata!S561="",FALSE,ISNUMBER(VALUE(Metadata!S561))),Metadata!S561&gt;=-90,Metadata!S561&lt;=90))</f>
        <v>0</v>
      </c>
      <c r="BG561" t="b">
        <f>AND(IF(Metadata!T561="",FALSE,TRUE),EXACT(Metadata!T561,"Decimal degrees"))</f>
        <v>0</v>
      </c>
      <c r="BH561" t="b">
        <f>OR(AND(IF(Metadata!U561="",FALSE,TRUE),OR(EXACT(Metadata!U561,"not applicable"),EXACT(Metadata!U561,"not collected"))),IF(Metadata!U561="",FALSE,TRUE))</f>
        <v>0</v>
      </c>
      <c r="BI561" t="b">
        <f>OR(AND(IF(Metadata!V561="",FALSE,TRUE),OR(EXACT(Metadata!V561,"not collected"),EXACT(Metadata!V561,"not provided"),EXACT(Metadata!V561,"restricted access"))),AND(IF(Metadata!V561="",FALSE,ISNUMBER(VALUE(Metadata!V561))),Metadata!V561&gt;=-180,Metadata!V561&lt;=180))</f>
        <v>0</v>
      </c>
      <c r="BJ561" t="b">
        <f>AND(IF(Metadata!W561="",FALSE,TRUE),EXACT(Metadata!W561,"Decimal degrees"))</f>
        <v>0</v>
      </c>
      <c r="BK561" t="b">
        <f>IF(Metadata!X561="",FALSE,TRUE)</f>
        <v>0</v>
      </c>
      <c r="BL561" t="b">
        <f>OR(AND(IF(Metadata!Y561="",FALSE,TRUE),OR(EXACT(Metadata!Y561,"not collected"),EXACT(Metadata!Y561,"not provided"),EXACT(Metadata!Y561,"restricted access"))),AND(IF(Metadata!Y561="",FALSE,TRUE),OR(EXACT(Metadata!Y561,"TRUE"),EXACT(Metadata!Y561,"FALSE"))))</f>
        <v>0</v>
      </c>
      <c r="BM561" t="b">
        <f>OR(AND(IF(Metadata!Z561="",FALSE,TRUE),EXACT(Metadata!Z561,"not applicable")),AND(IF(Metadata!Z561="",FALSE,TRUE),OR(EXACT(Metadata!Z561,"beer"),EXACT(Metadata!Z561,"cheese"),EXACT(Metadata!Z561,"fresh water"),EXACT(Metadata!Z561,"marine sediment"),EXACT(Metadata!Z561,"sea water"),EXACT(Metadata!Z561,"sediment"),EXACT(Metadata!Z561,"soil"),EXACT(Metadata!Z561,"waste water"))))</f>
        <v>0</v>
      </c>
      <c r="BN561" t="b">
        <f>AND(IF(Metadata!AA561="",FALSE,TRUE),EXACT(Metadata!AA561,"metagenome"))</f>
        <v>0</v>
      </c>
      <c r="BO561" t="b">
        <f>AND(IF(Metadata!AB561="",FALSE,TRUE),EXACT(Metadata!AB561,"256318"))</f>
        <v>0</v>
      </c>
      <c r="BP561" t="b">
        <f>IF(Metadata!AC561="",FALSE,TRUE)</f>
        <v>0</v>
      </c>
      <c r="BQ561" t="b">
        <f>IF(Metadata!AD561="",FALSE,TRUE)</f>
        <v>0</v>
      </c>
    </row>
    <row r="562" spans="1:69" x14ac:dyDescent="0.2">
      <c r="A562" s="4" t="e">
        <f ca="1">IF(B562=" "," ",HYPERLINK(CONCATENATE("#metadata!",ADDRESS(INDEX($AJ$2:$AJ$1001,MATCH(ROWS($AH$2:AH562),$AH$2:$AH$1001,0),0),2)),INDEX($AM$2:$AM$1001,MATCH(ROWS($AH$2:AH562),$AH$2:$AH$1001,0),0)))</f>
        <v>#N/A</v>
      </c>
      <c r="B562" s="5" t="e">
        <f ca="1">IF(OR(INDEX($AI$2:$AI$1001,MATCH(ROWS($AH$2:AH562),$AH$2:$AH$1001,0),1)&gt;=100000,INDEX($AO$1005:$BQ$1005,1,MATCH(COLUMNS($AO$1006:AO1006),$AO$1006:$BQ$1006,0))&gt;=100000), " ",IF(INDEX($AO$2:$BQ$1001,MATCH(ROWS($AH$2:AH562),$AH$2:$AH$1001,0),MATCH(COLUMNS($AO$1006:AO1006),$AO$1006:$BQ$1006,0)), HYPERLINK("#",""), HYPERLINK(CONCATENATE("#Metadata!", ADDRESS(INDEX($AJ$2:$AJ$1001,MATCH(ROWS($AH$2:AH562),$AH$2:$AH$1001,0),0), INDEX($AO$1004:$BQ$1004,1,MATCH(COLUMNS($AO$1006:AO1006),$AO$1006:$BQ$1006,0)))),"Fix")))</f>
        <v>#N/A</v>
      </c>
      <c r="C562" s="5" t="e">
        <f ca="1">IF(OR(INDEX($AI$2:$AI$1001,MATCH(ROWS($AH$2:AH562),$AH$2:$AH$1001,0),1)&gt;=100000,INDEX($AO$1005:$BQ$1005,1,MATCH(COLUMNS($AO$1006:AP1006),$AO$1006:$BQ$1006,0))&gt;=100000), " ",IF(INDEX($AO$2:$BQ$1001,MATCH(ROWS($AH$2:AH562),$AH$2:$AH$1001,0),MATCH(COLUMNS($AO$1006:AP1006),$AO$1006:$BQ$1006,0)), HYPERLINK("#",""), HYPERLINK(CONCATENATE("#Metadata!", ADDRESS(INDEX($AJ$2:$AJ$1001,MATCH(ROWS($AH$2:AH562),$AH$2:$AH$1001,0),0), INDEX($AO$1004:$BQ$1004,1,MATCH(COLUMNS($AO$1006:AP1006),$AO$1006:$BQ$1006,0)))),"Fix")))</f>
        <v>#N/A</v>
      </c>
      <c r="D562" s="5" t="e">
        <f ca="1">IF(OR(INDEX($AI$2:$AI$1001,MATCH(ROWS($AH$2:AH562),$AH$2:$AH$1001,0),1)&gt;=100000,INDEX($AO$1005:$BQ$1005,1,MATCH(COLUMNS($AO$1006:AQ1006),$AO$1006:$BQ$1006,0))&gt;=100000), " ",IF(INDEX($AO$2:$BQ$1001,MATCH(ROWS($AH$2:AH562),$AH$2:$AH$1001,0),MATCH(COLUMNS($AO$1006:AQ1006),$AO$1006:$BQ$1006,0)), HYPERLINK("#",""), HYPERLINK(CONCATENATE("#Metadata!", ADDRESS(INDEX($AJ$2:$AJ$1001,MATCH(ROWS($AH$2:AH562),$AH$2:$AH$1001,0),0), INDEX($AO$1004:$BQ$1004,1,MATCH(COLUMNS($AO$1006:AQ1006),$AO$1006:$BQ$1006,0)))),"Fix")))</f>
        <v>#N/A</v>
      </c>
      <c r="E562" s="5" t="e">
        <f ca="1">IF(OR(INDEX($AI$2:$AI$1001,MATCH(ROWS($AH$2:AH562),$AH$2:$AH$1001,0),1)&gt;=100000,INDEX($AO$1005:$BQ$1005,1,MATCH(COLUMNS($AO$1006:AR1006),$AO$1006:$BQ$1006,0))&gt;=100000), " ",IF(INDEX($AO$2:$BQ$1001,MATCH(ROWS($AH$2:AH562),$AH$2:$AH$1001,0),MATCH(COLUMNS($AO$1006:AR1006),$AO$1006:$BQ$1006,0)), HYPERLINK("#",""), HYPERLINK(CONCATENATE("#Metadata!", ADDRESS(INDEX($AJ$2:$AJ$1001,MATCH(ROWS($AH$2:AH562),$AH$2:$AH$1001,0),0), INDEX($AO$1004:$BQ$1004,1,MATCH(COLUMNS($AO$1006:AR1006),$AO$1006:$BQ$1006,0)))),"Fix")))</f>
        <v>#N/A</v>
      </c>
      <c r="F562" s="5" t="e">
        <f ca="1">IF(OR(INDEX($AI$2:$AI$1001,MATCH(ROWS($AH$2:AH562),$AH$2:$AH$1001,0),1)&gt;=100000,INDEX($AO$1005:$BQ$1005,1,MATCH(COLUMNS($AO$1006:AS1006),$AO$1006:$BQ$1006,0))&gt;=100000), " ",IF(INDEX($AO$2:$BQ$1001,MATCH(ROWS($AH$2:AH562),$AH$2:$AH$1001,0),MATCH(COLUMNS($AO$1006:AS1006),$AO$1006:$BQ$1006,0)), HYPERLINK("#",""), HYPERLINK(CONCATENATE("#Metadata!", ADDRESS(INDEX($AJ$2:$AJ$1001,MATCH(ROWS($AH$2:AH562),$AH$2:$AH$1001,0),0), INDEX($AO$1004:$BQ$1004,1,MATCH(COLUMNS($AO$1006:AS1006),$AO$1006:$BQ$1006,0)))),"Fix")))</f>
        <v>#N/A</v>
      </c>
      <c r="G562" s="5" t="e">
        <f ca="1">IF(OR(INDEX($AI$2:$AI$1001,MATCH(ROWS($AH$2:AH562),$AH$2:$AH$1001,0),1)&gt;=100000,INDEX($AO$1005:$BQ$1005,1,MATCH(COLUMNS($AO$1006:AT1006),$AO$1006:$BQ$1006,0))&gt;=100000), " ",IF(INDEX($AO$2:$BQ$1001,MATCH(ROWS($AH$2:AH562),$AH$2:$AH$1001,0),MATCH(COLUMNS($AO$1006:AT1006),$AO$1006:$BQ$1006,0)), HYPERLINK("#",""), HYPERLINK(CONCATENATE("#Metadata!", ADDRESS(INDEX($AJ$2:$AJ$1001,MATCH(ROWS($AH$2:AH562),$AH$2:$AH$1001,0),0), INDEX($AO$1004:$BQ$1004,1,MATCH(COLUMNS($AO$1006:AT1006),$AO$1006:$BQ$1006,0)))),"Fix")))</f>
        <v>#N/A</v>
      </c>
      <c r="H562" s="5" t="e">
        <f ca="1">IF(OR(INDEX($AI$2:$AI$1001,MATCH(ROWS($AH$2:AH562),$AH$2:$AH$1001,0),1)&gt;=100000,INDEX($AO$1005:$BQ$1005,1,MATCH(COLUMNS($AO$1006:AU1006),$AO$1006:$BQ$1006,0))&gt;=100000), " ",IF(INDEX($AO$2:$BQ$1001,MATCH(ROWS($AH$2:AH562),$AH$2:$AH$1001,0),MATCH(COLUMNS($AO$1006:AU1006),$AO$1006:$BQ$1006,0)), HYPERLINK("#",""), HYPERLINK(CONCATENATE("#Metadata!", ADDRESS(INDEX($AJ$2:$AJ$1001,MATCH(ROWS($AH$2:AH562),$AH$2:$AH$1001,0),0), INDEX($AO$1004:$BQ$1004,1,MATCH(COLUMNS($AO$1006:AU1006),$AO$1006:$BQ$1006,0)))),"Fix")))</f>
        <v>#N/A</v>
      </c>
      <c r="I562" s="5" t="e">
        <f ca="1">IF(OR(INDEX($AI$2:$AI$1001,MATCH(ROWS($AH$2:AH562),$AH$2:$AH$1001,0),1)&gt;=100000,INDEX($AO$1005:$BQ$1005,1,MATCH(COLUMNS($AO$1006:AV1006),$AO$1006:$BQ$1006,0))&gt;=100000), " ",IF(INDEX($AO$2:$BQ$1001,MATCH(ROWS($AH$2:AH562),$AH$2:$AH$1001,0),MATCH(COLUMNS($AO$1006:AV1006),$AO$1006:$BQ$1006,0)), HYPERLINK("#",""), HYPERLINK(CONCATENATE("#Metadata!", ADDRESS(INDEX($AJ$2:$AJ$1001,MATCH(ROWS($AH$2:AH562),$AH$2:$AH$1001,0),0), INDEX($AO$1004:$BQ$1004,1,MATCH(COLUMNS($AO$1006:AV1006),$AO$1006:$BQ$1006,0)))),"Fix")))</f>
        <v>#N/A</v>
      </c>
      <c r="J562" s="5" t="e">
        <f ca="1">IF(OR(INDEX($AI$2:$AI$1001,MATCH(ROWS($AH$2:AH562),$AH$2:$AH$1001,0),1)&gt;=100000,INDEX($AO$1005:$BQ$1005,1,MATCH(COLUMNS($AO$1006:AW1006),$AO$1006:$BQ$1006,0))&gt;=100000), " ",IF(INDEX($AO$2:$BQ$1001,MATCH(ROWS($AH$2:AH562),$AH$2:$AH$1001,0),MATCH(COLUMNS($AO$1006:AW1006),$AO$1006:$BQ$1006,0)), HYPERLINK("#",""), HYPERLINK(CONCATENATE("#Metadata!", ADDRESS(INDEX($AJ$2:$AJ$1001,MATCH(ROWS($AH$2:AH562),$AH$2:$AH$1001,0),0), INDEX($AO$1004:$BQ$1004,1,MATCH(COLUMNS($AO$1006:AW1006),$AO$1006:$BQ$1006,0)))),"Fix")))</f>
        <v>#N/A</v>
      </c>
      <c r="K562" s="5" t="e">
        <f ca="1">IF(OR(INDEX($AI$2:$AI$1001,MATCH(ROWS($AH$2:AH562),$AH$2:$AH$1001,0),1)&gt;=100000,INDEX($AO$1005:$BQ$1005,1,MATCH(COLUMNS($AO$1006:AX1006),$AO$1006:$BQ$1006,0))&gt;=100000), " ",IF(INDEX($AO$2:$BQ$1001,MATCH(ROWS($AH$2:AH562),$AH$2:$AH$1001,0),MATCH(COLUMNS($AO$1006:AX1006),$AO$1006:$BQ$1006,0)), HYPERLINK("#",""), HYPERLINK(CONCATENATE("#Metadata!", ADDRESS(INDEX($AJ$2:$AJ$1001,MATCH(ROWS($AH$2:AH562),$AH$2:$AH$1001,0),0), INDEX($AO$1004:$BQ$1004,1,MATCH(COLUMNS($AO$1006:AX1006),$AO$1006:$BQ$1006,0)))),"Fix")))</f>
        <v>#N/A</v>
      </c>
      <c r="L562" s="5" t="e">
        <f ca="1">IF(OR(INDEX($AI$2:$AI$1001,MATCH(ROWS($AH$2:AH562),$AH$2:$AH$1001,0),1)&gt;=100000,INDEX($AO$1005:$BQ$1005,1,MATCH(COLUMNS($AO$1006:AY1006),$AO$1006:$BQ$1006,0))&gt;=100000), " ",IF(INDEX($AO$2:$BQ$1001,MATCH(ROWS($AH$2:AH562),$AH$2:$AH$1001,0),MATCH(COLUMNS($AO$1006:AY1006),$AO$1006:$BQ$1006,0)), HYPERLINK("#",""), HYPERLINK(CONCATENATE("#Metadata!", ADDRESS(INDEX($AJ$2:$AJ$1001,MATCH(ROWS($AH$2:AH562),$AH$2:$AH$1001,0),0), INDEX($AO$1004:$BQ$1004,1,MATCH(COLUMNS($AO$1006:AY1006),$AO$1006:$BQ$1006,0)))),"Fix")))</f>
        <v>#N/A</v>
      </c>
      <c r="M562" s="5" t="e">
        <f ca="1">IF(OR(INDEX($AI$2:$AI$1001,MATCH(ROWS($AH$2:AH562),$AH$2:$AH$1001,0),1)&gt;=100000,INDEX($AO$1005:$BQ$1005,1,MATCH(COLUMNS($AO$1006:AZ1006),$AO$1006:$BQ$1006,0))&gt;=100000), " ",IF(INDEX($AO$2:$BQ$1001,MATCH(ROWS($AH$2:AH562),$AH$2:$AH$1001,0),MATCH(COLUMNS($AO$1006:AZ1006),$AO$1006:$BQ$1006,0)), HYPERLINK("#",""), HYPERLINK(CONCATENATE("#Metadata!", ADDRESS(INDEX($AJ$2:$AJ$1001,MATCH(ROWS($AH$2:AH562),$AH$2:$AH$1001,0),0), INDEX($AO$1004:$BQ$1004,1,MATCH(COLUMNS($AO$1006:AZ1006),$AO$1006:$BQ$1006,0)))),"Fix")))</f>
        <v>#N/A</v>
      </c>
      <c r="N562" s="5" t="e">
        <f ca="1">IF(OR(INDEX($AI$2:$AI$1001,MATCH(ROWS($AH$2:AH562),$AH$2:$AH$1001,0),1)&gt;=100000,INDEX($AO$1005:$BQ$1005,1,MATCH(COLUMNS($AO$1006:BA1006),$AO$1006:$BQ$1006,0))&gt;=100000), " ",IF(INDEX($AO$2:$BQ$1001,MATCH(ROWS($AH$2:AH562),$AH$2:$AH$1001,0),MATCH(COLUMNS($AO$1006:BA1006),$AO$1006:$BQ$1006,0)), HYPERLINK("#",""), HYPERLINK(CONCATENATE("#Metadata!", ADDRESS(INDEX($AJ$2:$AJ$1001,MATCH(ROWS($AH$2:AH562),$AH$2:$AH$1001,0),0), INDEX($AO$1004:$BQ$1004,1,MATCH(COLUMNS($AO$1006:BA1006),$AO$1006:$BQ$1006,0)))),"Fix")))</f>
        <v>#N/A</v>
      </c>
      <c r="O562" s="5" t="e">
        <f ca="1">IF(OR(INDEX($AI$2:$AI$1001,MATCH(ROWS($AH$2:AH562),$AH$2:$AH$1001,0),1)&gt;=100000,INDEX($AO$1005:$BQ$1005,1,MATCH(COLUMNS($AO$1006:BB1006),$AO$1006:$BQ$1006,0))&gt;=100000), " ",IF(INDEX($AO$2:$BQ$1001,MATCH(ROWS($AH$2:AH562),$AH$2:$AH$1001,0),MATCH(COLUMNS($AO$1006:BB1006),$AO$1006:$BQ$1006,0)), HYPERLINK("#",""), HYPERLINK(CONCATENATE("#Metadata!", ADDRESS(INDEX($AJ$2:$AJ$1001,MATCH(ROWS($AH$2:AH562),$AH$2:$AH$1001,0),0), INDEX($AO$1004:$BQ$1004,1,MATCH(COLUMNS($AO$1006:BB1006),$AO$1006:$BQ$1006,0)))),"Fix")))</f>
        <v>#N/A</v>
      </c>
      <c r="P562" s="5" t="e">
        <f ca="1">IF(OR(INDEX($AI$2:$AI$1001,MATCH(ROWS($AH$2:AH562),$AH$2:$AH$1001,0),1)&gt;=100000,INDEX($AO$1005:$BQ$1005,1,MATCH(COLUMNS($AO$1006:BC1006),$AO$1006:$BQ$1006,0))&gt;=100000), " ",IF(INDEX($AO$2:$BQ$1001,MATCH(ROWS($AH$2:AH562),$AH$2:$AH$1001,0),MATCH(COLUMNS($AO$1006:BC1006),$AO$1006:$BQ$1006,0)), HYPERLINK("#",""), HYPERLINK(CONCATENATE("#Metadata!", ADDRESS(INDEX($AJ$2:$AJ$1001,MATCH(ROWS($AH$2:AH562),$AH$2:$AH$1001,0),0), INDEX($AO$1004:$BQ$1004,1,MATCH(COLUMNS($AO$1006:BC1006),$AO$1006:$BQ$1006,0)))),"Fix")))</f>
        <v>#N/A</v>
      </c>
      <c r="Q562" s="5" t="e">
        <f ca="1">IF(OR(INDEX($AI$2:$AI$1001,MATCH(ROWS($AH$2:AH562),$AH$2:$AH$1001,0),1)&gt;=100000,INDEX($AO$1005:$BQ$1005,1,MATCH(COLUMNS($AO$1006:BD1006),$AO$1006:$BQ$1006,0))&gt;=100000), " ",IF(INDEX($AO$2:$BQ$1001,MATCH(ROWS($AH$2:AH562),$AH$2:$AH$1001,0),MATCH(COLUMNS($AO$1006:BD1006),$AO$1006:$BQ$1006,0)), HYPERLINK("#",""), HYPERLINK(CONCATENATE("#Metadata!", ADDRESS(INDEX($AJ$2:$AJ$1001,MATCH(ROWS($AH$2:AH562),$AH$2:$AH$1001,0),0), INDEX($AO$1004:$BQ$1004,1,MATCH(COLUMNS($AO$1006:BD1006),$AO$1006:$BQ$1006,0)))),"Fix")))</f>
        <v>#N/A</v>
      </c>
      <c r="R562" s="5" t="e">
        <f ca="1">IF(OR(INDEX($AI$2:$AI$1001,MATCH(ROWS($AH$2:AH562),$AH$2:$AH$1001,0),1)&gt;=100000,INDEX($AO$1005:$BQ$1005,1,MATCH(COLUMNS($AO$1006:BE1006),$AO$1006:$BQ$1006,0))&gt;=100000), " ",IF(INDEX($AO$2:$BQ$1001,MATCH(ROWS($AH$2:AH562),$AH$2:$AH$1001,0),MATCH(COLUMNS($AO$1006:BE1006),$AO$1006:$BQ$1006,0)), HYPERLINK("#",""), HYPERLINK(CONCATENATE("#Metadata!", ADDRESS(INDEX($AJ$2:$AJ$1001,MATCH(ROWS($AH$2:AH562),$AH$2:$AH$1001,0),0), INDEX($AO$1004:$BQ$1004,1,MATCH(COLUMNS($AO$1006:BE1006),$AO$1006:$BQ$1006,0)))),"Fix")))</f>
        <v>#N/A</v>
      </c>
      <c r="S562" s="5" t="e">
        <f ca="1">IF(OR(INDEX($AI$2:$AI$1001,MATCH(ROWS($AH$2:AH562),$AH$2:$AH$1001,0),1)&gt;=100000,INDEX($AO$1005:$BQ$1005,1,MATCH(COLUMNS($AO$1006:BF1006),$AO$1006:$BQ$1006,0))&gt;=100000), " ",IF(INDEX($AO$2:$BQ$1001,MATCH(ROWS($AH$2:AH562),$AH$2:$AH$1001,0),MATCH(COLUMNS($AO$1006:BF1006),$AO$1006:$BQ$1006,0)), HYPERLINK("#",""), HYPERLINK(CONCATENATE("#Metadata!", ADDRESS(INDEX($AJ$2:$AJ$1001,MATCH(ROWS($AH$2:AH562),$AH$2:$AH$1001,0),0), INDEX($AO$1004:$BQ$1004,1,MATCH(COLUMNS($AO$1006:BF1006),$AO$1006:$BQ$1006,0)))),"Fix")))</f>
        <v>#N/A</v>
      </c>
      <c r="T562" s="5" t="e">
        <f ca="1">IF(OR(INDEX($AI$2:$AI$1001,MATCH(ROWS($AH$2:AH562),$AH$2:$AH$1001,0),1)&gt;=100000,INDEX($AO$1005:$BQ$1005,1,MATCH(COLUMNS($AO$1006:BG1006),$AO$1006:$BQ$1006,0))&gt;=100000), " ",IF(INDEX($AO$2:$BQ$1001,MATCH(ROWS($AH$2:AH562),$AH$2:$AH$1001,0),MATCH(COLUMNS($AO$1006:BG1006),$AO$1006:$BQ$1006,0)), HYPERLINK("#",""), HYPERLINK(CONCATENATE("#Metadata!", ADDRESS(INDEX($AJ$2:$AJ$1001,MATCH(ROWS($AH$2:AH562),$AH$2:$AH$1001,0),0), INDEX($AO$1004:$BQ$1004,1,MATCH(COLUMNS($AO$1006:BG1006),$AO$1006:$BQ$1006,0)))),"Fix")))</f>
        <v>#N/A</v>
      </c>
      <c r="U562" s="5" t="e">
        <f ca="1">IF(OR(INDEX($AI$2:$AI$1001,MATCH(ROWS($AH$2:AH562),$AH$2:$AH$1001,0),1)&gt;=100000,INDEX($AO$1005:$BQ$1005,1,MATCH(COLUMNS($AO$1006:BH1006),$AO$1006:$BQ$1006,0))&gt;=100000), " ",IF(INDEX($AO$2:$BQ$1001,MATCH(ROWS($AH$2:AH562),$AH$2:$AH$1001,0),MATCH(COLUMNS($AO$1006:BH1006),$AO$1006:$BQ$1006,0)), HYPERLINK("#",""), HYPERLINK(CONCATENATE("#Metadata!", ADDRESS(INDEX($AJ$2:$AJ$1001,MATCH(ROWS($AH$2:AH562),$AH$2:$AH$1001,0),0), INDEX($AO$1004:$BQ$1004,1,MATCH(COLUMNS($AO$1006:BH1006),$AO$1006:$BQ$1006,0)))),"Fix")))</f>
        <v>#N/A</v>
      </c>
      <c r="V562" s="5" t="e">
        <f ca="1">IF(OR(INDEX($AI$2:$AI$1001,MATCH(ROWS($AH$2:AH562),$AH$2:$AH$1001,0),1)&gt;=100000,INDEX($AO$1005:$BQ$1005,1,MATCH(COLUMNS($AO$1006:BI1006),$AO$1006:$BQ$1006,0))&gt;=100000), " ",IF(INDEX($AO$2:$BQ$1001,MATCH(ROWS($AH$2:AH562),$AH$2:$AH$1001,0),MATCH(COLUMNS($AO$1006:BI1006),$AO$1006:$BQ$1006,0)), HYPERLINK("#",""), HYPERLINK(CONCATENATE("#Metadata!", ADDRESS(INDEX($AJ$2:$AJ$1001,MATCH(ROWS($AH$2:AH562),$AH$2:$AH$1001,0),0), INDEX($AO$1004:$BQ$1004,1,MATCH(COLUMNS($AO$1006:BI1006),$AO$1006:$BQ$1006,0)))),"Fix")))</f>
        <v>#N/A</v>
      </c>
      <c r="W562" s="5" t="e">
        <f ca="1">IF(OR(INDEX($AI$2:$AI$1001,MATCH(ROWS($AH$2:AH562),$AH$2:$AH$1001,0),1)&gt;=100000,INDEX($AO$1005:$BQ$1005,1,MATCH(COLUMNS($AO$1006:BJ1006),$AO$1006:$BQ$1006,0))&gt;=100000), " ",IF(INDEX($AO$2:$BQ$1001,MATCH(ROWS($AH$2:AH562),$AH$2:$AH$1001,0),MATCH(COLUMNS($AO$1006:BJ1006),$AO$1006:$BQ$1006,0)), HYPERLINK("#",""), HYPERLINK(CONCATENATE("#Metadata!", ADDRESS(INDEX($AJ$2:$AJ$1001,MATCH(ROWS($AH$2:AH562),$AH$2:$AH$1001,0),0), INDEX($AO$1004:$BQ$1004,1,MATCH(COLUMNS($AO$1006:BJ1006),$AO$1006:$BQ$1006,0)))),"Fix")))</f>
        <v>#N/A</v>
      </c>
      <c r="X562" s="5" t="e">
        <f ca="1">IF(OR(INDEX($AI$2:$AI$1001,MATCH(ROWS($AH$2:AH562),$AH$2:$AH$1001,0),1)&gt;=100000,INDEX($AO$1005:$BQ$1005,1,MATCH(COLUMNS($AO$1006:BK1006),$AO$1006:$BQ$1006,0))&gt;=100000), " ",IF(INDEX($AO$2:$BQ$1001,MATCH(ROWS($AH$2:AH562),$AH$2:$AH$1001,0),MATCH(COLUMNS($AO$1006:BK1006),$AO$1006:$BQ$1006,0)), HYPERLINK("#",""), HYPERLINK(CONCATENATE("#Metadata!", ADDRESS(INDEX($AJ$2:$AJ$1001,MATCH(ROWS($AH$2:AH562),$AH$2:$AH$1001,0),0), INDEX($AO$1004:$BQ$1004,1,MATCH(COLUMNS($AO$1006:BK1006),$AO$1006:$BQ$1006,0)))),"Fix")))</f>
        <v>#N/A</v>
      </c>
      <c r="Y562" s="5" t="e">
        <f ca="1">IF(OR(INDEX($AI$2:$AI$1001,MATCH(ROWS($AH$2:AH562),$AH$2:$AH$1001,0),1)&gt;=100000,INDEX($AO$1005:$BQ$1005,1,MATCH(COLUMNS($AO$1006:BL1006),$AO$1006:$BQ$1006,0))&gt;=100000), " ",IF(INDEX($AO$2:$BQ$1001,MATCH(ROWS($AH$2:AH562),$AH$2:$AH$1001,0),MATCH(COLUMNS($AO$1006:BL1006),$AO$1006:$BQ$1006,0)), HYPERLINK("#",""), HYPERLINK(CONCATENATE("#Metadata!", ADDRESS(INDEX($AJ$2:$AJ$1001,MATCH(ROWS($AH$2:AH562),$AH$2:$AH$1001,0),0), INDEX($AO$1004:$BQ$1004,1,MATCH(COLUMNS($AO$1006:BL1006),$AO$1006:$BQ$1006,0)))),"Fix")))</f>
        <v>#N/A</v>
      </c>
      <c r="Z562" s="5" t="e">
        <f ca="1">IF(OR(INDEX($AI$2:$AI$1001,MATCH(ROWS($AH$2:AH562),$AH$2:$AH$1001,0),1)&gt;=100000,INDEX($AO$1005:$BQ$1005,1,MATCH(COLUMNS($AO$1006:BM1006),$AO$1006:$BQ$1006,0))&gt;=100000), " ",IF(INDEX($AO$2:$BQ$1001,MATCH(ROWS($AH$2:AH562),$AH$2:$AH$1001,0),MATCH(COLUMNS($AO$1006:BM1006),$AO$1006:$BQ$1006,0)), HYPERLINK("#",""), HYPERLINK(CONCATENATE("#Metadata!", ADDRESS(INDEX($AJ$2:$AJ$1001,MATCH(ROWS($AH$2:AH562),$AH$2:$AH$1001,0),0), INDEX($AO$1004:$BQ$1004,1,MATCH(COLUMNS($AO$1006:BM1006),$AO$1006:$BQ$1006,0)))),"Fix")))</f>
        <v>#N/A</v>
      </c>
      <c r="AA562" s="5" t="e">
        <f ca="1">IF(OR(INDEX($AI$2:$AI$1001,MATCH(ROWS($AH$2:AH562),$AH$2:$AH$1001,0),1)&gt;=100000,INDEX($AO$1005:$BQ$1005,1,MATCH(COLUMNS($AO$1006:BN1006),$AO$1006:$BQ$1006,0))&gt;=100000), " ",IF(INDEX($AO$2:$BQ$1001,MATCH(ROWS($AH$2:AH562),$AH$2:$AH$1001,0),MATCH(COLUMNS($AO$1006:BN1006),$AO$1006:$BQ$1006,0)), HYPERLINK("#",""), HYPERLINK(CONCATENATE("#Metadata!", ADDRESS(INDEX($AJ$2:$AJ$1001,MATCH(ROWS($AH$2:AH562),$AH$2:$AH$1001,0),0), INDEX($AO$1004:$BQ$1004,1,MATCH(COLUMNS($AO$1006:BN1006),$AO$1006:$BQ$1006,0)))),"Fix")))</f>
        <v>#N/A</v>
      </c>
      <c r="AB562" s="5" t="e">
        <f ca="1">IF(OR(INDEX($AI$2:$AI$1001,MATCH(ROWS($AH$2:AH562),$AH$2:$AH$1001,0),1)&gt;=100000,INDEX($AO$1005:$BQ$1005,1,MATCH(COLUMNS($AO$1006:BO1006),$AO$1006:$BQ$1006,0))&gt;=100000), " ",IF(INDEX($AO$2:$BQ$1001,MATCH(ROWS($AH$2:AH562),$AH$2:$AH$1001,0),MATCH(COLUMNS($AO$1006:BO1006),$AO$1006:$BQ$1006,0)), HYPERLINK("#",""), HYPERLINK(CONCATENATE("#Metadata!", ADDRESS(INDEX($AJ$2:$AJ$1001,MATCH(ROWS($AH$2:AH562),$AH$2:$AH$1001,0),0), INDEX($AO$1004:$BQ$1004,1,MATCH(COLUMNS($AO$1006:BO1006),$AO$1006:$BQ$1006,0)))),"Fix")))</f>
        <v>#N/A</v>
      </c>
      <c r="AC562" s="5" t="e">
        <f ca="1">IF(OR(INDEX($AI$2:$AI$1001,MATCH(ROWS($AH$2:AH562),$AH$2:$AH$1001,0),1)&gt;=100000,INDEX($AO$1005:$BQ$1005,1,MATCH(COLUMNS($AO$1006:BP1006),$AO$1006:$BQ$1006,0))&gt;=100000), " ",IF(INDEX($AO$2:$BQ$1001,MATCH(ROWS($AH$2:AH562),$AH$2:$AH$1001,0),MATCH(COLUMNS($AO$1006:BP1006),$AO$1006:$BQ$1006,0)), HYPERLINK("#",""), HYPERLINK(CONCATENATE("#Metadata!", ADDRESS(INDEX($AJ$2:$AJ$1001,MATCH(ROWS($AH$2:AH562),$AH$2:$AH$1001,0),0), INDEX($AO$1004:$BQ$1004,1,MATCH(COLUMNS($AO$1006:BP1006),$AO$1006:$BQ$1006,0)))),"Fix")))</f>
        <v>#N/A</v>
      </c>
      <c r="AD562" s="5" t="e">
        <f ca="1">IF(OR(INDEX($AI$2:$AI$1001,MATCH(ROWS($AH$2:AH562),$AH$2:$AH$1001,0),1)&gt;=100000,INDEX($AO$1005:$BQ$1005,1,MATCH(COLUMNS($AO$1006:BQ1006),$AO$1006:$BQ$1006,0))&gt;=100000), " ",IF(INDEX($AO$2:$BQ$1001,MATCH(ROWS($AH$2:AH562),$AH$2:$AH$1001,0),MATCH(COLUMNS($AO$1006:BQ1006),$AO$1006:$BQ$1006,0)), HYPERLINK("#",""), HYPERLINK(CONCATENATE("#Metadata!", ADDRESS(INDEX($AJ$2:$AJ$1001,MATCH(ROWS($AH$2:AH562),$AH$2:$AH$1001,0),0), INDEX($AO$1004:$BQ$1004,1,MATCH(COLUMNS($AO$1006:BQ1006),$AO$1006:$BQ$1006,0)))),"Fix")))</f>
        <v>#REF!</v>
      </c>
      <c r="AH562">
        <f ca="1"/>
        <v>559</v>
      </c>
      <c r="AI562">
        <v>100562</v>
      </c>
      <c r="AJ562">
        <v>562</v>
      </c>
      <c r="AK562" t="b">
        <f t="shared" si="8"/>
        <v>1</v>
      </c>
      <c r="AL562" t="b">
        <f>COUNTBLANK(Metadata!B562:AD562)=COLUMNS(Metadata!B562:AD562)</f>
        <v>1</v>
      </c>
      <c r="AM562" t="str">
        <v/>
      </c>
      <c r="AO562" t="b">
        <f ca="1">AND(IF(Metadata!B562="",FALSE,TRUE),COUNTIF(Metadata!B:B, Metadata!B562) = 1,NOT(ISERROR(SUMPRODUCT(SEARCH(MID(Metadata!B562,ROW(INDIRECT("1:"&amp;LEN(Metadata!B562))), 1),"0123456789abcdefghijklmnopqrstuvwxyzABCDEFGHIJKLMNOPQRSTUVWXYZ.")))))</f>
        <v>0</v>
      </c>
      <c r="AP562" t="b">
        <f>IF(Metadata!C562="",FALSE,TRUE)</f>
        <v>0</v>
      </c>
      <c r="AQ562" t="b">
        <f>IF(Metadata!D562="",FALSE,TRUE)</f>
        <v>0</v>
      </c>
      <c r="AR562" t="b">
        <f ca="1">OR(AND(IF(Metadata!E562="",FALSE,TRUE),OR(EXACT(Metadata!E562,"not collected"),EXACT(Metadata!E562,"not provided"),EXACT(Metadata!E562,"restricted access"))),AND(IF(Metadata!E562="",FALSE,TRUE),AND(AND(IFERROR(INT(LEFT(Metadata!E562,4))&gt;1900,FALSE),IFERROR(INT(LEFT(Metadata!E562,4))&lt;=YEAR(NOW()),FALSE)), OR(MID(Metadata!E562,5,1)="", AND(AND(MID(Metadata!E562,5,1)="-",IFERROR(INT(MID(Metadata!E562,6,1))&gt;=0,FALSE),IFERROR(INT(MID(Metadata!E562,6,1))&lt;=1,FALSE),NOT(MID(Metadata!E562,7,1)=""),IFERROR(INT(MID(Metadata!E562,6,2))&gt;=1,FALSE),IFERROR(INT(MID(Metadata!E562,6,2))&lt;=12,FALSE)), OR(MID(Metadata!E562,8,1)="", AND(AND(MID(Metadata!E562,8,1)="-",IFERROR(INT(MID(Metadata!E562,9,1))&gt;=0,FALSE),IFERROR(INT(MID(Metadata!E562,9,1))&lt;=3,FALSE),NOT(MID(Metadata!E562,10,1)=""),IFERROR(INT(MID(Metadata!E562,9,2))&gt;=1,FALSE),IFERROR(INT(MID(Metadata!E562,9,2))&lt;=31,FALSE)), OR(MID(Metadata!E562,11,1)="", AND(AND(MID(Metadata!E562,11,1)=" ",IFERROR(INT(MID(Metadata!E562,12,1))&gt;=0,FALSE),IFERROR(INT(MID(Metadata!E562,12,1))&lt;=2,FALSE),NOT(MID(Metadata!E562,13,1)=""),IFERROR(INT(MID(Metadata!E562,12,2))&gt;=0,FALSE),IFERROR(INT(MID(Metadata!E562,12,2))&lt;=23,FALSE)), OR(MID(Metadata!E562,14,1)="", AND(AND(MID(Metadata!E562,14,1)=":",IFERROR(INT(MID(Metadata!E562,15,1))&gt;=0,FALSE),IFERROR(INT(MID(Metadata!E562,15,1))&lt;=5,FALSE),NOT(MID(Metadata!E562,16,1)=""),IFERROR(INT(MID(Metadata!E562,15,2))&gt;=0,FALSE),IFERROR(INT(MID(Metadata!E562,15,2))&lt;=59,FALSE)), OR(MID(Metadata!E562,17,1)="", AND(AND(MID(Metadata!E562,17,1)=":",IFERROR(INT(MID(Metadata!E562,18,1))&gt;=0,FALSE),IFERROR(INT(MID(Metadata!E562,18,1))&lt;=5,FALSE),NOT(MID(Metadata!E562,19,1)=""),IFERROR(INT(MID(Metadata!E562,18,2))&gt;=0,FALSE),IFERROR(INT(MID(Metadata!E562,18,2))&lt;=59,FALSE)), LEN(Metadata!E562)&lt;=19)))))))))))))</f>
        <v>0</v>
      </c>
      <c r="AS562" t="b">
        <f>IF(Metadata!F562="",FALSE,TRUE)</f>
        <v>0</v>
      </c>
      <c r="AT562" t="b">
        <f>OR(AND(IF(Metadata!G562="",FALSE,TRUE),OR(EXACT(Metadata!G562,"not collected"),EXACT(Metadata!G562,"not provided"))),AND(IF(Metadata!G562="",FALSE,TRUE),OR(EXACT(Metadata!G562,"TRUE"),EXACT(Metadata!G562,"FALSE"))))</f>
        <v>0</v>
      </c>
      <c r="AU562" t="b">
        <f>OR(AND(IF(Metadata!H562="",FALSE,TRUE),OR(EXACT(Metadata!H562,"not collected"),EXACT(Metadata!H562,"not provided"),EXACT(Metadata!H562,"restricted access"))),AND(IF(Metadata!H562="",FALSE,ISNUMBER(VALUE(Metadata!H562))),Metadata!H562&gt;=-413))</f>
        <v>0</v>
      </c>
      <c r="AV562" t="b">
        <f>AND(IF(Metadata!I562="",FALSE,TRUE),EXACT(Metadata!I562,"meters"))</f>
        <v>0</v>
      </c>
      <c r="AW562" t="b">
        <f>AND(IF(Metadata!J562="",FALSE,TRUE),EXACT(Metadata!J562,"free-living"))</f>
        <v>0</v>
      </c>
      <c r="AX562" t="b">
        <f>AND(IF(Metadata!K562="",FALSE,TRUE),OR(EXACT(Metadata!K562,"saline"),EXACT(Metadata!K562,"non-saline")))</f>
        <v>0</v>
      </c>
      <c r="AY562" t="b">
        <f>AND(IF(Metadata!L562="",FALSE,TRUE),OR(EXACT(Metadata!L562,"sub-surface (non-saline)"),EXACT(Metadata!L562,"surface (non-saline)"),EXACT(Metadata!L562,"water (non-saline)"),EXACT(Metadata!L562,"soil (non-saline)"),EXACT(Metadata!L562,"aerosol (non-saline)"),EXACT(Metadata!L562,"sediment (non-saline)"),EXACT(Metadata!L562,"surface (saline)"),EXACT(Metadata!L562,"water (saline)"),EXACT(Metadata!L562,"hypersaline (saline)"),EXACT(Metadata!L562,"aerosol (saline)"),EXACT(Metadata!L562,"sediment (saline)")))</f>
        <v>0</v>
      </c>
      <c r="AZ562" t="b">
        <f>IF(Metadata!M562="",FALSE,TRUE)</f>
        <v>0</v>
      </c>
      <c r="BA562" t="b">
        <f>IF(Metadata!N562="",FALSE,TRUE)</f>
        <v>0</v>
      </c>
      <c r="BB562" t="b">
        <f>IF(Metadata!O562="",FALSE,TRUE)</f>
        <v>0</v>
      </c>
      <c r="BC562" t="b">
        <f>AND(IF(Metadata!P562="",FALSE,TRUE),OR(EXACT(Metadata!P562,"air"),EXACT(Metadata!P562,"microbial mat/biofilm"),EXACT(Metadata!P562,"misc environment"),EXACT(Metadata!P562,"sediment"),EXACT(Metadata!P562,"soil"),EXACT(Metadata!P562,"wastewater/sludge"),EXACT(Metadata!P562,"water")))</f>
        <v>0</v>
      </c>
      <c r="BD562" t="b">
        <f>IF(Metadata!Q562="",FALSE,TRUE)</f>
        <v>0</v>
      </c>
      <c r="BE562" t="b">
        <f>IF(Metadata!R562="",FALSE,TRUE)</f>
        <v>0</v>
      </c>
      <c r="BF562" t="b">
        <f>OR(AND(IF(Metadata!S562="",FALSE,TRUE),OR(EXACT(Metadata!S562,"not collected"),EXACT(Metadata!S562,"not provided"),EXACT(Metadata!S562,"restricted access"))),AND(IF(Metadata!S562="",FALSE,ISNUMBER(VALUE(Metadata!S562))),Metadata!S562&gt;=-90,Metadata!S562&lt;=90))</f>
        <v>0</v>
      </c>
      <c r="BG562" t="b">
        <f>AND(IF(Metadata!T562="",FALSE,TRUE),EXACT(Metadata!T562,"Decimal degrees"))</f>
        <v>0</v>
      </c>
      <c r="BH562" t="b">
        <f>OR(AND(IF(Metadata!U562="",FALSE,TRUE),OR(EXACT(Metadata!U562,"not applicable"),EXACT(Metadata!U562,"not collected"))),IF(Metadata!U562="",FALSE,TRUE))</f>
        <v>0</v>
      </c>
      <c r="BI562" t="b">
        <f>OR(AND(IF(Metadata!V562="",FALSE,TRUE),OR(EXACT(Metadata!V562,"not collected"),EXACT(Metadata!V562,"not provided"),EXACT(Metadata!V562,"restricted access"))),AND(IF(Metadata!V562="",FALSE,ISNUMBER(VALUE(Metadata!V562))),Metadata!V562&gt;=-180,Metadata!V562&lt;=180))</f>
        <v>0</v>
      </c>
      <c r="BJ562" t="b">
        <f>AND(IF(Metadata!W562="",FALSE,TRUE),EXACT(Metadata!W562,"Decimal degrees"))</f>
        <v>0</v>
      </c>
      <c r="BK562" t="b">
        <f>IF(Metadata!X562="",FALSE,TRUE)</f>
        <v>0</v>
      </c>
      <c r="BL562" t="b">
        <f>OR(AND(IF(Metadata!Y562="",FALSE,TRUE),OR(EXACT(Metadata!Y562,"not collected"),EXACT(Metadata!Y562,"not provided"),EXACT(Metadata!Y562,"restricted access"))),AND(IF(Metadata!Y562="",FALSE,TRUE),OR(EXACT(Metadata!Y562,"TRUE"),EXACT(Metadata!Y562,"FALSE"))))</f>
        <v>0</v>
      </c>
      <c r="BM562" t="b">
        <f>OR(AND(IF(Metadata!Z562="",FALSE,TRUE),EXACT(Metadata!Z562,"not applicable")),AND(IF(Metadata!Z562="",FALSE,TRUE),OR(EXACT(Metadata!Z562,"beer"),EXACT(Metadata!Z562,"cheese"),EXACT(Metadata!Z562,"fresh water"),EXACT(Metadata!Z562,"marine sediment"),EXACT(Metadata!Z562,"sea water"),EXACT(Metadata!Z562,"sediment"),EXACT(Metadata!Z562,"soil"),EXACT(Metadata!Z562,"waste water"))))</f>
        <v>0</v>
      </c>
      <c r="BN562" t="b">
        <f>AND(IF(Metadata!AA562="",FALSE,TRUE),EXACT(Metadata!AA562,"metagenome"))</f>
        <v>0</v>
      </c>
      <c r="BO562" t="b">
        <f>AND(IF(Metadata!AB562="",FALSE,TRUE),EXACT(Metadata!AB562,"256318"))</f>
        <v>0</v>
      </c>
      <c r="BP562" t="b">
        <f>IF(Metadata!AC562="",FALSE,TRUE)</f>
        <v>0</v>
      </c>
      <c r="BQ562" t="b">
        <f>IF(Metadata!AD562="",FALSE,TRUE)</f>
        <v>0</v>
      </c>
    </row>
    <row r="563" spans="1:69" x14ac:dyDescent="0.2">
      <c r="A563" s="4" t="e">
        <f ca="1">IF(B563=" "," ",HYPERLINK(CONCATENATE("#metadata!",ADDRESS(INDEX($AJ$2:$AJ$1001,MATCH(ROWS($AH$2:AH563),$AH$2:$AH$1001,0),0),2)),INDEX($AM$2:$AM$1001,MATCH(ROWS($AH$2:AH563),$AH$2:$AH$1001,0),0)))</f>
        <v>#N/A</v>
      </c>
      <c r="B563" s="5" t="e">
        <f ca="1">IF(OR(INDEX($AI$2:$AI$1001,MATCH(ROWS($AH$2:AH563),$AH$2:$AH$1001,0),1)&gt;=100000,INDEX($AO$1005:$BQ$1005,1,MATCH(COLUMNS($AO$1006:AO1006),$AO$1006:$BQ$1006,0))&gt;=100000), " ",IF(INDEX($AO$2:$BQ$1001,MATCH(ROWS($AH$2:AH563),$AH$2:$AH$1001,0),MATCH(COLUMNS($AO$1006:AO1006),$AO$1006:$BQ$1006,0)), HYPERLINK("#",""), HYPERLINK(CONCATENATE("#Metadata!", ADDRESS(INDEX($AJ$2:$AJ$1001,MATCH(ROWS($AH$2:AH563),$AH$2:$AH$1001,0),0), INDEX($AO$1004:$BQ$1004,1,MATCH(COLUMNS($AO$1006:AO1006),$AO$1006:$BQ$1006,0)))),"Fix")))</f>
        <v>#N/A</v>
      </c>
      <c r="C563" s="5" t="e">
        <f ca="1">IF(OR(INDEX($AI$2:$AI$1001,MATCH(ROWS($AH$2:AH563),$AH$2:$AH$1001,0),1)&gt;=100000,INDEX($AO$1005:$BQ$1005,1,MATCH(COLUMNS($AO$1006:AP1006),$AO$1006:$BQ$1006,0))&gt;=100000), " ",IF(INDEX($AO$2:$BQ$1001,MATCH(ROWS($AH$2:AH563),$AH$2:$AH$1001,0),MATCH(COLUMNS($AO$1006:AP1006),$AO$1006:$BQ$1006,0)), HYPERLINK("#",""), HYPERLINK(CONCATENATE("#Metadata!", ADDRESS(INDEX($AJ$2:$AJ$1001,MATCH(ROWS($AH$2:AH563),$AH$2:$AH$1001,0),0), INDEX($AO$1004:$BQ$1004,1,MATCH(COLUMNS($AO$1006:AP1006),$AO$1006:$BQ$1006,0)))),"Fix")))</f>
        <v>#N/A</v>
      </c>
      <c r="D563" s="5" t="e">
        <f ca="1">IF(OR(INDEX($AI$2:$AI$1001,MATCH(ROWS($AH$2:AH563),$AH$2:$AH$1001,0),1)&gt;=100000,INDEX($AO$1005:$BQ$1005,1,MATCH(COLUMNS($AO$1006:AQ1006),$AO$1006:$BQ$1006,0))&gt;=100000), " ",IF(INDEX($AO$2:$BQ$1001,MATCH(ROWS($AH$2:AH563),$AH$2:$AH$1001,0),MATCH(COLUMNS($AO$1006:AQ1006),$AO$1006:$BQ$1006,0)), HYPERLINK("#",""), HYPERLINK(CONCATENATE("#Metadata!", ADDRESS(INDEX($AJ$2:$AJ$1001,MATCH(ROWS($AH$2:AH563),$AH$2:$AH$1001,0),0), INDEX($AO$1004:$BQ$1004,1,MATCH(COLUMNS($AO$1006:AQ1006),$AO$1006:$BQ$1006,0)))),"Fix")))</f>
        <v>#N/A</v>
      </c>
      <c r="E563" s="5" t="e">
        <f ca="1">IF(OR(INDEX($AI$2:$AI$1001,MATCH(ROWS($AH$2:AH563),$AH$2:$AH$1001,0),1)&gt;=100000,INDEX($AO$1005:$BQ$1005,1,MATCH(COLUMNS($AO$1006:AR1006),$AO$1006:$BQ$1006,0))&gt;=100000), " ",IF(INDEX($AO$2:$BQ$1001,MATCH(ROWS($AH$2:AH563),$AH$2:$AH$1001,0),MATCH(COLUMNS($AO$1006:AR1006),$AO$1006:$BQ$1006,0)), HYPERLINK("#",""), HYPERLINK(CONCATENATE("#Metadata!", ADDRESS(INDEX($AJ$2:$AJ$1001,MATCH(ROWS($AH$2:AH563),$AH$2:$AH$1001,0),0), INDEX($AO$1004:$BQ$1004,1,MATCH(COLUMNS($AO$1006:AR1006),$AO$1006:$BQ$1006,0)))),"Fix")))</f>
        <v>#N/A</v>
      </c>
      <c r="F563" s="5" t="e">
        <f ca="1">IF(OR(INDEX($AI$2:$AI$1001,MATCH(ROWS($AH$2:AH563),$AH$2:$AH$1001,0),1)&gt;=100000,INDEX($AO$1005:$BQ$1005,1,MATCH(COLUMNS($AO$1006:AS1006),$AO$1006:$BQ$1006,0))&gt;=100000), " ",IF(INDEX($AO$2:$BQ$1001,MATCH(ROWS($AH$2:AH563),$AH$2:$AH$1001,0),MATCH(COLUMNS($AO$1006:AS1006),$AO$1006:$BQ$1006,0)), HYPERLINK("#",""), HYPERLINK(CONCATENATE("#Metadata!", ADDRESS(INDEX($AJ$2:$AJ$1001,MATCH(ROWS($AH$2:AH563),$AH$2:$AH$1001,0),0), INDEX($AO$1004:$BQ$1004,1,MATCH(COLUMNS($AO$1006:AS1006),$AO$1006:$BQ$1006,0)))),"Fix")))</f>
        <v>#N/A</v>
      </c>
      <c r="G563" s="5" t="e">
        <f ca="1">IF(OR(INDEX($AI$2:$AI$1001,MATCH(ROWS($AH$2:AH563),$AH$2:$AH$1001,0),1)&gt;=100000,INDEX($AO$1005:$BQ$1005,1,MATCH(COLUMNS($AO$1006:AT1006),$AO$1006:$BQ$1006,0))&gt;=100000), " ",IF(INDEX($AO$2:$BQ$1001,MATCH(ROWS($AH$2:AH563),$AH$2:$AH$1001,0),MATCH(COLUMNS($AO$1006:AT1006),$AO$1006:$BQ$1006,0)), HYPERLINK("#",""), HYPERLINK(CONCATENATE("#Metadata!", ADDRESS(INDEX($AJ$2:$AJ$1001,MATCH(ROWS($AH$2:AH563),$AH$2:$AH$1001,0),0), INDEX($AO$1004:$BQ$1004,1,MATCH(COLUMNS($AO$1006:AT1006),$AO$1006:$BQ$1006,0)))),"Fix")))</f>
        <v>#N/A</v>
      </c>
      <c r="H563" s="5" t="e">
        <f ca="1">IF(OR(INDEX($AI$2:$AI$1001,MATCH(ROWS($AH$2:AH563),$AH$2:$AH$1001,0),1)&gt;=100000,INDEX($AO$1005:$BQ$1005,1,MATCH(COLUMNS($AO$1006:AU1006),$AO$1006:$BQ$1006,0))&gt;=100000), " ",IF(INDEX($AO$2:$BQ$1001,MATCH(ROWS($AH$2:AH563),$AH$2:$AH$1001,0),MATCH(COLUMNS($AO$1006:AU1006),$AO$1006:$BQ$1006,0)), HYPERLINK("#",""), HYPERLINK(CONCATENATE("#Metadata!", ADDRESS(INDEX($AJ$2:$AJ$1001,MATCH(ROWS($AH$2:AH563),$AH$2:$AH$1001,0),0), INDEX($AO$1004:$BQ$1004,1,MATCH(COLUMNS($AO$1006:AU1006),$AO$1006:$BQ$1006,0)))),"Fix")))</f>
        <v>#N/A</v>
      </c>
      <c r="I563" s="5" t="e">
        <f ca="1">IF(OR(INDEX($AI$2:$AI$1001,MATCH(ROWS($AH$2:AH563),$AH$2:$AH$1001,0),1)&gt;=100000,INDEX($AO$1005:$BQ$1005,1,MATCH(COLUMNS($AO$1006:AV1006),$AO$1006:$BQ$1006,0))&gt;=100000), " ",IF(INDEX($AO$2:$BQ$1001,MATCH(ROWS($AH$2:AH563),$AH$2:$AH$1001,0),MATCH(COLUMNS($AO$1006:AV1006),$AO$1006:$BQ$1006,0)), HYPERLINK("#",""), HYPERLINK(CONCATENATE("#Metadata!", ADDRESS(INDEX($AJ$2:$AJ$1001,MATCH(ROWS($AH$2:AH563),$AH$2:$AH$1001,0),0), INDEX($AO$1004:$BQ$1004,1,MATCH(COLUMNS($AO$1006:AV1006),$AO$1006:$BQ$1006,0)))),"Fix")))</f>
        <v>#N/A</v>
      </c>
      <c r="J563" s="5" t="e">
        <f ca="1">IF(OR(INDEX($AI$2:$AI$1001,MATCH(ROWS($AH$2:AH563),$AH$2:$AH$1001,0),1)&gt;=100000,INDEX($AO$1005:$BQ$1005,1,MATCH(COLUMNS($AO$1006:AW1006),$AO$1006:$BQ$1006,0))&gt;=100000), " ",IF(INDEX($AO$2:$BQ$1001,MATCH(ROWS($AH$2:AH563),$AH$2:$AH$1001,0),MATCH(COLUMNS($AO$1006:AW1006),$AO$1006:$BQ$1006,0)), HYPERLINK("#",""), HYPERLINK(CONCATENATE("#Metadata!", ADDRESS(INDEX($AJ$2:$AJ$1001,MATCH(ROWS($AH$2:AH563),$AH$2:$AH$1001,0),0), INDEX($AO$1004:$BQ$1004,1,MATCH(COLUMNS($AO$1006:AW1006),$AO$1006:$BQ$1006,0)))),"Fix")))</f>
        <v>#N/A</v>
      </c>
      <c r="K563" s="5" t="e">
        <f ca="1">IF(OR(INDEX($AI$2:$AI$1001,MATCH(ROWS($AH$2:AH563),$AH$2:$AH$1001,0),1)&gt;=100000,INDEX($AO$1005:$BQ$1005,1,MATCH(COLUMNS($AO$1006:AX1006),$AO$1006:$BQ$1006,0))&gt;=100000), " ",IF(INDEX($AO$2:$BQ$1001,MATCH(ROWS($AH$2:AH563),$AH$2:$AH$1001,0),MATCH(COLUMNS($AO$1006:AX1006),$AO$1006:$BQ$1006,0)), HYPERLINK("#",""), HYPERLINK(CONCATENATE("#Metadata!", ADDRESS(INDEX($AJ$2:$AJ$1001,MATCH(ROWS($AH$2:AH563),$AH$2:$AH$1001,0),0), INDEX($AO$1004:$BQ$1004,1,MATCH(COLUMNS($AO$1006:AX1006),$AO$1006:$BQ$1006,0)))),"Fix")))</f>
        <v>#N/A</v>
      </c>
      <c r="L563" s="5" t="e">
        <f ca="1">IF(OR(INDEX($AI$2:$AI$1001,MATCH(ROWS($AH$2:AH563),$AH$2:$AH$1001,0),1)&gt;=100000,INDEX($AO$1005:$BQ$1005,1,MATCH(COLUMNS($AO$1006:AY1006),$AO$1006:$BQ$1006,0))&gt;=100000), " ",IF(INDEX($AO$2:$BQ$1001,MATCH(ROWS($AH$2:AH563),$AH$2:$AH$1001,0),MATCH(COLUMNS($AO$1006:AY1006),$AO$1006:$BQ$1006,0)), HYPERLINK("#",""), HYPERLINK(CONCATENATE("#Metadata!", ADDRESS(INDEX($AJ$2:$AJ$1001,MATCH(ROWS($AH$2:AH563),$AH$2:$AH$1001,0),0), INDEX($AO$1004:$BQ$1004,1,MATCH(COLUMNS($AO$1006:AY1006),$AO$1006:$BQ$1006,0)))),"Fix")))</f>
        <v>#N/A</v>
      </c>
      <c r="M563" s="5" t="e">
        <f ca="1">IF(OR(INDEX($AI$2:$AI$1001,MATCH(ROWS($AH$2:AH563),$AH$2:$AH$1001,0),1)&gt;=100000,INDEX($AO$1005:$BQ$1005,1,MATCH(COLUMNS($AO$1006:AZ1006),$AO$1006:$BQ$1006,0))&gt;=100000), " ",IF(INDEX($AO$2:$BQ$1001,MATCH(ROWS($AH$2:AH563),$AH$2:$AH$1001,0),MATCH(COLUMNS($AO$1006:AZ1006),$AO$1006:$BQ$1006,0)), HYPERLINK("#",""), HYPERLINK(CONCATENATE("#Metadata!", ADDRESS(INDEX($AJ$2:$AJ$1001,MATCH(ROWS($AH$2:AH563),$AH$2:$AH$1001,0),0), INDEX($AO$1004:$BQ$1004,1,MATCH(COLUMNS($AO$1006:AZ1006),$AO$1006:$BQ$1006,0)))),"Fix")))</f>
        <v>#N/A</v>
      </c>
      <c r="N563" s="5" t="e">
        <f ca="1">IF(OR(INDEX($AI$2:$AI$1001,MATCH(ROWS($AH$2:AH563),$AH$2:$AH$1001,0),1)&gt;=100000,INDEX($AO$1005:$BQ$1005,1,MATCH(COLUMNS($AO$1006:BA1006),$AO$1006:$BQ$1006,0))&gt;=100000), " ",IF(INDEX($AO$2:$BQ$1001,MATCH(ROWS($AH$2:AH563),$AH$2:$AH$1001,0),MATCH(COLUMNS($AO$1006:BA1006),$AO$1006:$BQ$1006,0)), HYPERLINK("#",""), HYPERLINK(CONCATENATE("#Metadata!", ADDRESS(INDEX($AJ$2:$AJ$1001,MATCH(ROWS($AH$2:AH563),$AH$2:$AH$1001,0),0), INDEX($AO$1004:$BQ$1004,1,MATCH(COLUMNS($AO$1006:BA1006),$AO$1006:$BQ$1006,0)))),"Fix")))</f>
        <v>#N/A</v>
      </c>
      <c r="O563" s="5" t="e">
        <f ca="1">IF(OR(INDEX($AI$2:$AI$1001,MATCH(ROWS($AH$2:AH563),$AH$2:$AH$1001,0),1)&gt;=100000,INDEX($AO$1005:$BQ$1005,1,MATCH(COLUMNS($AO$1006:BB1006),$AO$1006:$BQ$1006,0))&gt;=100000), " ",IF(INDEX($AO$2:$BQ$1001,MATCH(ROWS($AH$2:AH563),$AH$2:$AH$1001,0),MATCH(COLUMNS($AO$1006:BB1006),$AO$1006:$BQ$1006,0)), HYPERLINK("#",""), HYPERLINK(CONCATENATE("#Metadata!", ADDRESS(INDEX($AJ$2:$AJ$1001,MATCH(ROWS($AH$2:AH563),$AH$2:$AH$1001,0),0), INDEX($AO$1004:$BQ$1004,1,MATCH(COLUMNS($AO$1006:BB1006),$AO$1006:$BQ$1006,0)))),"Fix")))</f>
        <v>#N/A</v>
      </c>
      <c r="P563" s="5" t="e">
        <f ca="1">IF(OR(INDEX($AI$2:$AI$1001,MATCH(ROWS($AH$2:AH563),$AH$2:$AH$1001,0),1)&gt;=100000,INDEX($AO$1005:$BQ$1005,1,MATCH(COLUMNS($AO$1006:BC1006),$AO$1006:$BQ$1006,0))&gt;=100000), " ",IF(INDEX($AO$2:$BQ$1001,MATCH(ROWS($AH$2:AH563),$AH$2:$AH$1001,0),MATCH(COLUMNS($AO$1006:BC1006),$AO$1006:$BQ$1006,0)), HYPERLINK("#",""), HYPERLINK(CONCATENATE("#Metadata!", ADDRESS(INDEX($AJ$2:$AJ$1001,MATCH(ROWS($AH$2:AH563),$AH$2:$AH$1001,0),0), INDEX($AO$1004:$BQ$1004,1,MATCH(COLUMNS($AO$1006:BC1006),$AO$1006:$BQ$1006,0)))),"Fix")))</f>
        <v>#N/A</v>
      </c>
      <c r="Q563" s="5" t="e">
        <f ca="1">IF(OR(INDEX($AI$2:$AI$1001,MATCH(ROWS($AH$2:AH563),$AH$2:$AH$1001,0),1)&gt;=100000,INDEX($AO$1005:$BQ$1005,1,MATCH(COLUMNS($AO$1006:BD1006),$AO$1006:$BQ$1006,0))&gt;=100000), " ",IF(INDEX($AO$2:$BQ$1001,MATCH(ROWS($AH$2:AH563),$AH$2:$AH$1001,0),MATCH(COLUMNS($AO$1006:BD1006),$AO$1006:$BQ$1006,0)), HYPERLINK("#",""), HYPERLINK(CONCATENATE("#Metadata!", ADDRESS(INDEX($AJ$2:$AJ$1001,MATCH(ROWS($AH$2:AH563),$AH$2:$AH$1001,0),0), INDEX($AO$1004:$BQ$1004,1,MATCH(COLUMNS($AO$1006:BD1006),$AO$1006:$BQ$1006,0)))),"Fix")))</f>
        <v>#N/A</v>
      </c>
      <c r="R563" s="5" t="e">
        <f ca="1">IF(OR(INDEX($AI$2:$AI$1001,MATCH(ROWS($AH$2:AH563),$AH$2:$AH$1001,0),1)&gt;=100000,INDEX($AO$1005:$BQ$1005,1,MATCH(COLUMNS($AO$1006:BE1006),$AO$1006:$BQ$1006,0))&gt;=100000), " ",IF(INDEX($AO$2:$BQ$1001,MATCH(ROWS($AH$2:AH563),$AH$2:$AH$1001,0),MATCH(COLUMNS($AO$1006:BE1006),$AO$1006:$BQ$1006,0)), HYPERLINK("#",""), HYPERLINK(CONCATENATE("#Metadata!", ADDRESS(INDEX($AJ$2:$AJ$1001,MATCH(ROWS($AH$2:AH563),$AH$2:$AH$1001,0),0), INDEX($AO$1004:$BQ$1004,1,MATCH(COLUMNS($AO$1006:BE1006),$AO$1006:$BQ$1006,0)))),"Fix")))</f>
        <v>#N/A</v>
      </c>
      <c r="S563" s="5" t="e">
        <f ca="1">IF(OR(INDEX($AI$2:$AI$1001,MATCH(ROWS($AH$2:AH563),$AH$2:$AH$1001,0),1)&gt;=100000,INDEX($AO$1005:$BQ$1005,1,MATCH(COLUMNS($AO$1006:BF1006),$AO$1006:$BQ$1006,0))&gt;=100000), " ",IF(INDEX($AO$2:$BQ$1001,MATCH(ROWS($AH$2:AH563),$AH$2:$AH$1001,0),MATCH(COLUMNS($AO$1006:BF1006),$AO$1006:$BQ$1006,0)), HYPERLINK("#",""), HYPERLINK(CONCATENATE("#Metadata!", ADDRESS(INDEX($AJ$2:$AJ$1001,MATCH(ROWS($AH$2:AH563),$AH$2:$AH$1001,0),0), INDEX($AO$1004:$BQ$1004,1,MATCH(COLUMNS($AO$1006:BF1006),$AO$1006:$BQ$1006,0)))),"Fix")))</f>
        <v>#N/A</v>
      </c>
      <c r="T563" s="5" t="e">
        <f ca="1">IF(OR(INDEX($AI$2:$AI$1001,MATCH(ROWS($AH$2:AH563),$AH$2:$AH$1001,0),1)&gt;=100000,INDEX($AO$1005:$BQ$1005,1,MATCH(COLUMNS($AO$1006:BG1006),$AO$1006:$BQ$1006,0))&gt;=100000), " ",IF(INDEX($AO$2:$BQ$1001,MATCH(ROWS($AH$2:AH563),$AH$2:$AH$1001,0),MATCH(COLUMNS($AO$1006:BG1006),$AO$1006:$BQ$1006,0)), HYPERLINK("#",""), HYPERLINK(CONCATENATE("#Metadata!", ADDRESS(INDEX($AJ$2:$AJ$1001,MATCH(ROWS($AH$2:AH563),$AH$2:$AH$1001,0),0), INDEX($AO$1004:$BQ$1004,1,MATCH(COLUMNS($AO$1006:BG1006),$AO$1006:$BQ$1006,0)))),"Fix")))</f>
        <v>#N/A</v>
      </c>
      <c r="U563" s="5" t="e">
        <f ca="1">IF(OR(INDEX($AI$2:$AI$1001,MATCH(ROWS($AH$2:AH563),$AH$2:$AH$1001,0),1)&gt;=100000,INDEX($AO$1005:$BQ$1005,1,MATCH(COLUMNS($AO$1006:BH1006),$AO$1006:$BQ$1006,0))&gt;=100000), " ",IF(INDEX($AO$2:$BQ$1001,MATCH(ROWS($AH$2:AH563),$AH$2:$AH$1001,0),MATCH(COLUMNS($AO$1006:BH1006),$AO$1006:$BQ$1006,0)), HYPERLINK("#",""), HYPERLINK(CONCATENATE("#Metadata!", ADDRESS(INDEX($AJ$2:$AJ$1001,MATCH(ROWS($AH$2:AH563),$AH$2:$AH$1001,0),0), INDEX($AO$1004:$BQ$1004,1,MATCH(COLUMNS($AO$1006:BH1006),$AO$1006:$BQ$1006,0)))),"Fix")))</f>
        <v>#N/A</v>
      </c>
      <c r="V563" s="5" t="e">
        <f ca="1">IF(OR(INDEX($AI$2:$AI$1001,MATCH(ROWS($AH$2:AH563),$AH$2:$AH$1001,0),1)&gt;=100000,INDEX($AO$1005:$BQ$1005,1,MATCH(COLUMNS($AO$1006:BI1006),$AO$1006:$BQ$1006,0))&gt;=100000), " ",IF(INDEX($AO$2:$BQ$1001,MATCH(ROWS($AH$2:AH563),$AH$2:$AH$1001,0),MATCH(COLUMNS($AO$1006:BI1006),$AO$1006:$BQ$1006,0)), HYPERLINK("#",""), HYPERLINK(CONCATENATE("#Metadata!", ADDRESS(INDEX($AJ$2:$AJ$1001,MATCH(ROWS($AH$2:AH563),$AH$2:$AH$1001,0),0), INDEX($AO$1004:$BQ$1004,1,MATCH(COLUMNS($AO$1006:BI1006),$AO$1006:$BQ$1006,0)))),"Fix")))</f>
        <v>#N/A</v>
      </c>
      <c r="W563" s="5" t="e">
        <f ca="1">IF(OR(INDEX($AI$2:$AI$1001,MATCH(ROWS($AH$2:AH563),$AH$2:$AH$1001,0),1)&gt;=100000,INDEX($AO$1005:$BQ$1005,1,MATCH(COLUMNS($AO$1006:BJ1006),$AO$1006:$BQ$1006,0))&gt;=100000), " ",IF(INDEX($AO$2:$BQ$1001,MATCH(ROWS($AH$2:AH563),$AH$2:$AH$1001,0),MATCH(COLUMNS($AO$1006:BJ1006),$AO$1006:$BQ$1006,0)), HYPERLINK("#",""), HYPERLINK(CONCATENATE("#Metadata!", ADDRESS(INDEX($AJ$2:$AJ$1001,MATCH(ROWS($AH$2:AH563),$AH$2:$AH$1001,0),0), INDEX($AO$1004:$BQ$1004,1,MATCH(COLUMNS($AO$1006:BJ1006),$AO$1006:$BQ$1006,0)))),"Fix")))</f>
        <v>#N/A</v>
      </c>
      <c r="X563" s="5" t="e">
        <f ca="1">IF(OR(INDEX($AI$2:$AI$1001,MATCH(ROWS($AH$2:AH563),$AH$2:$AH$1001,0),1)&gt;=100000,INDEX($AO$1005:$BQ$1005,1,MATCH(COLUMNS($AO$1006:BK1006),$AO$1006:$BQ$1006,0))&gt;=100000), " ",IF(INDEX($AO$2:$BQ$1001,MATCH(ROWS($AH$2:AH563),$AH$2:$AH$1001,0),MATCH(COLUMNS($AO$1006:BK1006),$AO$1006:$BQ$1006,0)), HYPERLINK("#",""), HYPERLINK(CONCATENATE("#Metadata!", ADDRESS(INDEX($AJ$2:$AJ$1001,MATCH(ROWS($AH$2:AH563),$AH$2:$AH$1001,0),0), INDEX($AO$1004:$BQ$1004,1,MATCH(COLUMNS($AO$1006:BK1006),$AO$1006:$BQ$1006,0)))),"Fix")))</f>
        <v>#N/A</v>
      </c>
      <c r="Y563" s="5" t="e">
        <f ca="1">IF(OR(INDEX($AI$2:$AI$1001,MATCH(ROWS($AH$2:AH563),$AH$2:$AH$1001,0),1)&gt;=100000,INDEX($AO$1005:$BQ$1005,1,MATCH(COLUMNS($AO$1006:BL1006),$AO$1006:$BQ$1006,0))&gt;=100000), " ",IF(INDEX($AO$2:$BQ$1001,MATCH(ROWS($AH$2:AH563),$AH$2:$AH$1001,0),MATCH(COLUMNS($AO$1006:BL1006),$AO$1006:$BQ$1006,0)), HYPERLINK("#",""), HYPERLINK(CONCATENATE("#Metadata!", ADDRESS(INDEX($AJ$2:$AJ$1001,MATCH(ROWS($AH$2:AH563),$AH$2:$AH$1001,0),0), INDEX($AO$1004:$BQ$1004,1,MATCH(COLUMNS($AO$1006:BL1006),$AO$1006:$BQ$1006,0)))),"Fix")))</f>
        <v>#N/A</v>
      </c>
      <c r="Z563" s="5" t="e">
        <f ca="1">IF(OR(INDEX($AI$2:$AI$1001,MATCH(ROWS($AH$2:AH563),$AH$2:$AH$1001,0),1)&gt;=100000,INDEX($AO$1005:$BQ$1005,1,MATCH(COLUMNS($AO$1006:BM1006),$AO$1006:$BQ$1006,0))&gt;=100000), " ",IF(INDEX($AO$2:$BQ$1001,MATCH(ROWS($AH$2:AH563),$AH$2:$AH$1001,0),MATCH(COLUMNS($AO$1006:BM1006),$AO$1006:$BQ$1006,0)), HYPERLINK("#",""), HYPERLINK(CONCATENATE("#Metadata!", ADDRESS(INDEX($AJ$2:$AJ$1001,MATCH(ROWS($AH$2:AH563),$AH$2:$AH$1001,0),0), INDEX($AO$1004:$BQ$1004,1,MATCH(COLUMNS($AO$1006:BM1006),$AO$1006:$BQ$1006,0)))),"Fix")))</f>
        <v>#N/A</v>
      </c>
      <c r="AA563" s="5" t="e">
        <f ca="1">IF(OR(INDEX($AI$2:$AI$1001,MATCH(ROWS($AH$2:AH563),$AH$2:$AH$1001,0),1)&gt;=100000,INDEX($AO$1005:$BQ$1005,1,MATCH(COLUMNS($AO$1006:BN1006),$AO$1006:$BQ$1006,0))&gt;=100000), " ",IF(INDEX($AO$2:$BQ$1001,MATCH(ROWS($AH$2:AH563),$AH$2:$AH$1001,0),MATCH(COLUMNS($AO$1006:BN1006),$AO$1006:$BQ$1006,0)), HYPERLINK("#",""), HYPERLINK(CONCATENATE("#Metadata!", ADDRESS(INDEX($AJ$2:$AJ$1001,MATCH(ROWS($AH$2:AH563),$AH$2:$AH$1001,0),0), INDEX($AO$1004:$BQ$1004,1,MATCH(COLUMNS($AO$1006:BN1006),$AO$1006:$BQ$1006,0)))),"Fix")))</f>
        <v>#N/A</v>
      </c>
      <c r="AB563" s="5" t="e">
        <f ca="1">IF(OR(INDEX($AI$2:$AI$1001,MATCH(ROWS($AH$2:AH563),$AH$2:$AH$1001,0),1)&gt;=100000,INDEX($AO$1005:$BQ$1005,1,MATCH(COLUMNS($AO$1006:BO1006),$AO$1006:$BQ$1006,0))&gt;=100000), " ",IF(INDEX($AO$2:$BQ$1001,MATCH(ROWS($AH$2:AH563),$AH$2:$AH$1001,0),MATCH(COLUMNS($AO$1006:BO1006),$AO$1006:$BQ$1006,0)), HYPERLINK("#",""), HYPERLINK(CONCATENATE("#Metadata!", ADDRESS(INDEX($AJ$2:$AJ$1001,MATCH(ROWS($AH$2:AH563),$AH$2:$AH$1001,0),0), INDEX($AO$1004:$BQ$1004,1,MATCH(COLUMNS($AO$1006:BO1006),$AO$1006:$BQ$1006,0)))),"Fix")))</f>
        <v>#N/A</v>
      </c>
      <c r="AC563" s="5" t="e">
        <f ca="1">IF(OR(INDEX($AI$2:$AI$1001,MATCH(ROWS($AH$2:AH563),$AH$2:$AH$1001,0),1)&gt;=100000,INDEX($AO$1005:$BQ$1005,1,MATCH(COLUMNS($AO$1006:BP1006),$AO$1006:$BQ$1006,0))&gt;=100000), " ",IF(INDEX($AO$2:$BQ$1001,MATCH(ROWS($AH$2:AH563),$AH$2:$AH$1001,0),MATCH(COLUMNS($AO$1006:BP1006),$AO$1006:$BQ$1006,0)), HYPERLINK("#",""), HYPERLINK(CONCATENATE("#Metadata!", ADDRESS(INDEX($AJ$2:$AJ$1001,MATCH(ROWS($AH$2:AH563),$AH$2:$AH$1001,0),0), INDEX($AO$1004:$BQ$1004,1,MATCH(COLUMNS($AO$1006:BP1006),$AO$1006:$BQ$1006,0)))),"Fix")))</f>
        <v>#N/A</v>
      </c>
      <c r="AD563" s="5" t="e">
        <f ca="1">IF(OR(INDEX($AI$2:$AI$1001,MATCH(ROWS($AH$2:AH563),$AH$2:$AH$1001,0),1)&gt;=100000,INDEX($AO$1005:$BQ$1005,1,MATCH(COLUMNS($AO$1006:BQ1006),$AO$1006:$BQ$1006,0))&gt;=100000), " ",IF(INDEX($AO$2:$BQ$1001,MATCH(ROWS($AH$2:AH563),$AH$2:$AH$1001,0),MATCH(COLUMNS($AO$1006:BQ1006),$AO$1006:$BQ$1006,0)), HYPERLINK("#",""), HYPERLINK(CONCATENATE("#Metadata!", ADDRESS(INDEX($AJ$2:$AJ$1001,MATCH(ROWS($AH$2:AH563),$AH$2:$AH$1001,0),0), INDEX($AO$1004:$BQ$1004,1,MATCH(COLUMNS($AO$1006:BQ1006),$AO$1006:$BQ$1006,0)))),"Fix")))</f>
        <v>#REF!</v>
      </c>
      <c r="AH563">
        <f ca="1"/>
        <v>560</v>
      </c>
      <c r="AI563">
        <v>100563</v>
      </c>
      <c r="AJ563">
        <v>563</v>
      </c>
      <c r="AK563" t="b">
        <f t="shared" si="8"/>
        <v>1</v>
      </c>
      <c r="AL563" t="b">
        <f>COUNTBLANK(Metadata!B563:AD563)=COLUMNS(Metadata!B563:AD563)</f>
        <v>1</v>
      </c>
      <c r="AM563" t="str">
        <v/>
      </c>
      <c r="AO563" t="b">
        <f ca="1">AND(IF(Metadata!B563="",FALSE,TRUE),COUNTIF(Metadata!B:B, Metadata!B563) = 1,NOT(ISERROR(SUMPRODUCT(SEARCH(MID(Metadata!B563,ROW(INDIRECT("1:"&amp;LEN(Metadata!B563))), 1),"0123456789abcdefghijklmnopqrstuvwxyzABCDEFGHIJKLMNOPQRSTUVWXYZ.")))))</f>
        <v>0</v>
      </c>
      <c r="AP563" t="b">
        <f>IF(Metadata!C563="",FALSE,TRUE)</f>
        <v>0</v>
      </c>
      <c r="AQ563" t="b">
        <f>IF(Metadata!D563="",FALSE,TRUE)</f>
        <v>0</v>
      </c>
      <c r="AR563" t="b">
        <f ca="1">OR(AND(IF(Metadata!E563="",FALSE,TRUE),OR(EXACT(Metadata!E563,"not collected"),EXACT(Metadata!E563,"not provided"),EXACT(Metadata!E563,"restricted access"))),AND(IF(Metadata!E563="",FALSE,TRUE),AND(AND(IFERROR(INT(LEFT(Metadata!E563,4))&gt;1900,FALSE),IFERROR(INT(LEFT(Metadata!E563,4))&lt;=YEAR(NOW()),FALSE)), OR(MID(Metadata!E563,5,1)="", AND(AND(MID(Metadata!E563,5,1)="-",IFERROR(INT(MID(Metadata!E563,6,1))&gt;=0,FALSE),IFERROR(INT(MID(Metadata!E563,6,1))&lt;=1,FALSE),NOT(MID(Metadata!E563,7,1)=""),IFERROR(INT(MID(Metadata!E563,6,2))&gt;=1,FALSE),IFERROR(INT(MID(Metadata!E563,6,2))&lt;=12,FALSE)), OR(MID(Metadata!E563,8,1)="", AND(AND(MID(Metadata!E563,8,1)="-",IFERROR(INT(MID(Metadata!E563,9,1))&gt;=0,FALSE),IFERROR(INT(MID(Metadata!E563,9,1))&lt;=3,FALSE),NOT(MID(Metadata!E563,10,1)=""),IFERROR(INT(MID(Metadata!E563,9,2))&gt;=1,FALSE),IFERROR(INT(MID(Metadata!E563,9,2))&lt;=31,FALSE)), OR(MID(Metadata!E563,11,1)="", AND(AND(MID(Metadata!E563,11,1)=" ",IFERROR(INT(MID(Metadata!E563,12,1))&gt;=0,FALSE),IFERROR(INT(MID(Metadata!E563,12,1))&lt;=2,FALSE),NOT(MID(Metadata!E563,13,1)=""),IFERROR(INT(MID(Metadata!E563,12,2))&gt;=0,FALSE),IFERROR(INT(MID(Metadata!E563,12,2))&lt;=23,FALSE)), OR(MID(Metadata!E563,14,1)="", AND(AND(MID(Metadata!E563,14,1)=":",IFERROR(INT(MID(Metadata!E563,15,1))&gt;=0,FALSE),IFERROR(INT(MID(Metadata!E563,15,1))&lt;=5,FALSE),NOT(MID(Metadata!E563,16,1)=""),IFERROR(INT(MID(Metadata!E563,15,2))&gt;=0,FALSE),IFERROR(INT(MID(Metadata!E563,15,2))&lt;=59,FALSE)), OR(MID(Metadata!E563,17,1)="", AND(AND(MID(Metadata!E563,17,1)=":",IFERROR(INT(MID(Metadata!E563,18,1))&gt;=0,FALSE),IFERROR(INT(MID(Metadata!E563,18,1))&lt;=5,FALSE),NOT(MID(Metadata!E563,19,1)=""),IFERROR(INT(MID(Metadata!E563,18,2))&gt;=0,FALSE),IFERROR(INT(MID(Metadata!E563,18,2))&lt;=59,FALSE)), LEN(Metadata!E563)&lt;=19)))))))))))))</f>
        <v>0</v>
      </c>
      <c r="AS563" t="b">
        <f>IF(Metadata!F563="",FALSE,TRUE)</f>
        <v>0</v>
      </c>
      <c r="AT563" t="b">
        <f>OR(AND(IF(Metadata!G563="",FALSE,TRUE),OR(EXACT(Metadata!G563,"not collected"),EXACT(Metadata!G563,"not provided"))),AND(IF(Metadata!G563="",FALSE,TRUE),OR(EXACT(Metadata!G563,"TRUE"),EXACT(Metadata!G563,"FALSE"))))</f>
        <v>0</v>
      </c>
      <c r="AU563" t="b">
        <f>OR(AND(IF(Metadata!H563="",FALSE,TRUE),OR(EXACT(Metadata!H563,"not collected"),EXACT(Metadata!H563,"not provided"),EXACT(Metadata!H563,"restricted access"))),AND(IF(Metadata!H563="",FALSE,ISNUMBER(VALUE(Metadata!H563))),Metadata!H563&gt;=-413))</f>
        <v>0</v>
      </c>
      <c r="AV563" t="b">
        <f>AND(IF(Metadata!I563="",FALSE,TRUE),EXACT(Metadata!I563,"meters"))</f>
        <v>0</v>
      </c>
      <c r="AW563" t="b">
        <f>AND(IF(Metadata!J563="",FALSE,TRUE),EXACT(Metadata!J563,"free-living"))</f>
        <v>0</v>
      </c>
      <c r="AX563" t="b">
        <f>AND(IF(Metadata!K563="",FALSE,TRUE),OR(EXACT(Metadata!K563,"saline"),EXACT(Metadata!K563,"non-saline")))</f>
        <v>0</v>
      </c>
      <c r="AY563" t="b">
        <f>AND(IF(Metadata!L563="",FALSE,TRUE),OR(EXACT(Metadata!L563,"sub-surface (non-saline)"),EXACT(Metadata!L563,"surface (non-saline)"),EXACT(Metadata!L563,"water (non-saline)"),EXACT(Metadata!L563,"soil (non-saline)"),EXACT(Metadata!L563,"aerosol (non-saline)"),EXACT(Metadata!L563,"sediment (non-saline)"),EXACT(Metadata!L563,"surface (saline)"),EXACT(Metadata!L563,"water (saline)"),EXACT(Metadata!L563,"hypersaline (saline)"),EXACT(Metadata!L563,"aerosol (saline)"),EXACT(Metadata!L563,"sediment (saline)")))</f>
        <v>0</v>
      </c>
      <c r="AZ563" t="b">
        <f>IF(Metadata!M563="",FALSE,TRUE)</f>
        <v>0</v>
      </c>
      <c r="BA563" t="b">
        <f>IF(Metadata!N563="",FALSE,TRUE)</f>
        <v>0</v>
      </c>
      <c r="BB563" t="b">
        <f>IF(Metadata!O563="",FALSE,TRUE)</f>
        <v>0</v>
      </c>
      <c r="BC563" t="b">
        <f>AND(IF(Metadata!P563="",FALSE,TRUE),OR(EXACT(Metadata!P563,"air"),EXACT(Metadata!P563,"microbial mat/biofilm"),EXACT(Metadata!P563,"misc environment"),EXACT(Metadata!P563,"sediment"),EXACT(Metadata!P563,"soil"),EXACT(Metadata!P563,"wastewater/sludge"),EXACT(Metadata!P563,"water")))</f>
        <v>0</v>
      </c>
      <c r="BD563" t="b">
        <f>IF(Metadata!Q563="",FALSE,TRUE)</f>
        <v>0</v>
      </c>
      <c r="BE563" t="b">
        <f>IF(Metadata!R563="",FALSE,TRUE)</f>
        <v>0</v>
      </c>
      <c r="BF563" t="b">
        <f>OR(AND(IF(Metadata!S563="",FALSE,TRUE),OR(EXACT(Metadata!S563,"not collected"),EXACT(Metadata!S563,"not provided"),EXACT(Metadata!S563,"restricted access"))),AND(IF(Metadata!S563="",FALSE,ISNUMBER(VALUE(Metadata!S563))),Metadata!S563&gt;=-90,Metadata!S563&lt;=90))</f>
        <v>0</v>
      </c>
      <c r="BG563" t="b">
        <f>AND(IF(Metadata!T563="",FALSE,TRUE),EXACT(Metadata!T563,"Decimal degrees"))</f>
        <v>0</v>
      </c>
      <c r="BH563" t="b">
        <f>OR(AND(IF(Metadata!U563="",FALSE,TRUE),OR(EXACT(Metadata!U563,"not applicable"),EXACT(Metadata!U563,"not collected"))),IF(Metadata!U563="",FALSE,TRUE))</f>
        <v>0</v>
      </c>
      <c r="BI563" t="b">
        <f>OR(AND(IF(Metadata!V563="",FALSE,TRUE),OR(EXACT(Metadata!V563,"not collected"),EXACT(Metadata!V563,"not provided"),EXACT(Metadata!V563,"restricted access"))),AND(IF(Metadata!V563="",FALSE,ISNUMBER(VALUE(Metadata!V563))),Metadata!V563&gt;=-180,Metadata!V563&lt;=180))</f>
        <v>0</v>
      </c>
      <c r="BJ563" t="b">
        <f>AND(IF(Metadata!W563="",FALSE,TRUE),EXACT(Metadata!W563,"Decimal degrees"))</f>
        <v>0</v>
      </c>
      <c r="BK563" t="b">
        <f>IF(Metadata!X563="",FALSE,TRUE)</f>
        <v>0</v>
      </c>
      <c r="BL563" t="b">
        <f>OR(AND(IF(Metadata!Y563="",FALSE,TRUE),OR(EXACT(Metadata!Y563,"not collected"),EXACT(Metadata!Y563,"not provided"),EXACT(Metadata!Y563,"restricted access"))),AND(IF(Metadata!Y563="",FALSE,TRUE),OR(EXACT(Metadata!Y563,"TRUE"),EXACT(Metadata!Y563,"FALSE"))))</f>
        <v>0</v>
      </c>
      <c r="BM563" t="b">
        <f>OR(AND(IF(Metadata!Z563="",FALSE,TRUE),EXACT(Metadata!Z563,"not applicable")),AND(IF(Metadata!Z563="",FALSE,TRUE),OR(EXACT(Metadata!Z563,"beer"),EXACT(Metadata!Z563,"cheese"),EXACT(Metadata!Z563,"fresh water"),EXACT(Metadata!Z563,"marine sediment"),EXACT(Metadata!Z563,"sea water"),EXACT(Metadata!Z563,"sediment"),EXACT(Metadata!Z563,"soil"),EXACT(Metadata!Z563,"waste water"))))</f>
        <v>0</v>
      </c>
      <c r="BN563" t="b">
        <f>AND(IF(Metadata!AA563="",FALSE,TRUE),EXACT(Metadata!AA563,"metagenome"))</f>
        <v>0</v>
      </c>
      <c r="BO563" t="b">
        <f>AND(IF(Metadata!AB563="",FALSE,TRUE),EXACT(Metadata!AB563,"256318"))</f>
        <v>0</v>
      </c>
      <c r="BP563" t="b">
        <f>IF(Metadata!AC563="",FALSE,TRUE)</f>
        <v>0</v>
      </c>
      <c r="BQ563" t="b">
        <f>IF(Metadata!AD563="",FALSE,TRUE)</f>
        <v>0</v>
      </c>
    </row>
    <row r="564" spans="1:69" x14ac:dyDescent="0.2">
      <c r="A564" s="4" t="e">
        <f ca="1">IF(B564=" "," ",HYPERLINK(CONCATENATE("#metadata!",ADDRESS(INDEX($AJ$2:$AJ$1001,MATCH(ROWS($AH$2:AH564),$AH$2:$AH$1001,0),0),2)),INDEX($AM$2:$AM$1001,MATCH(ROWS($AH$2:AH564),$AH$2:$AH$1001,0),0)))</f>
        <v>#N/A</v>
      </c>
      <c r="B564" s="5" t="e">
        <f ca="1">IF(OR(INDEX($AI$2:$AI$1001,MATCH(ROWS($AH$2:AH564),$AH$2:$AH$1001,0),1)&gt;=100000,INDEX($AO$1005:$BQ$1005,1,MATCH(COLUMNS($AO$1006:AO1006),$AO$1006:$BQ$1006,0))&gt;=100000), " ",IF(INDEX($AO$2:$BQ$1001,MATCH(ROWS($AH$2:AH564),$AH$2:$AH$1001,0),MATCH(COLUMNS($AO$1006:AO1006),$AO$1006:$BQ$1006,0)), HYPERLINK("#",""), HYPERLINK(CONCATENATE("#Metadata!", ADDRESS(INDEX($AJ$2:$AJ$1001,MATCH(ROWS($AH$2:AH564),$AH$2:$AH$1001,0),0), INDEX($AO$1004:$BQ$1004,1,MATCH(COLUMNS($AO$1006:AO1006),$AO$1006:$BQ$1006,0)))),"Fix")))</f>
        <v>#N/A</v>
      </c>
      <c r="C564" s="5" t="e">
        <f ca="1">IF(OR(INDEX($AI$2:$AI$1001,MATCH(ROWS($AH$2:AH564),$AH$2:$AH$1001,0),1)&gt;=100000,INDEX($AO$1005:$BQ$1005,1,MATCH(COLUMNS($AO$1006:AP1006),$AO$1006:$BQ$1006,0))&gt;=100000), " ",IF(INDEX($AO$2:$BQ$1001,MATCH(ROWS($AH$2:AH564),$AH$2:$AH$1001,0),MATCH(COLUMNS($AO$1006:AP1006),$AO$1006:$BQ$1006,0)), HYPERLINK("#",""), HYPERLINK(CONCATENATE("#Metadata!", ADDRESS(INDEX($AJ$2:$AJ$1001,MATCH(ROWS($AH$2:AH564),$AH$2:$AH$1001,0),0), INDEX($AO$1004:$BQ$1004,1,MATCH(COLUMNS($AO$1006:AP1006),$AO$1006:$BQ$1006,0)))),"Fix")))</f>
        <v>#N/A</v>
      </c>
      <c r="D564" s="5" t="e">
        <f ca="1">IF(OR(INDEX($AI$2:$AI$1001,MATCH(ROWS($AH$2:AH564),$AH$2:$AH$1001,0),1)&gt;=100000,INDEX($AO$1005:$BQ$1005,1,MATCH(COLUMNS($AO$1006:AQ1006),$AO$1006:$BQ$1006,0))&gt;=100000), " ",IF(INDEX($AO$2:$BQ$1001,MATCH(ROWS($AH$2:AH564),$AH$2:$AH$1001,0),MATCH(COLUMNS($AO$1006:AQ1006),$AO$1006:$BQ$1006,0)), HYPERLINK("#",""), HYPERLINK(CONCATENATE("#Metadata!", ADDRESS(INDEX($AJ$2:$AJ$1001,MATCH(ROWS($AH$2:AH564),$AH$2:$AH$1001,0),0), INDEX($AO$1004:$BQ$1004,1,MATCH(COLUMNS($AO$1006:AQ1006),$AO$1006:$BQ$1006,0)))),"Fix")))</f>
        <v>#N/A</v>
      </c>
      <c r="E564" s="5" t="e">
        <f ca="1">IF(OR(INDEX($AI$2:$AI$1001,MATCH(ROWS($AH$2:AH564),$AH$2:$AH$1001,0),1)&gt;=100000,INDEX($AO$1005:$BQ$1005,1,MATCH(COLUMNS($AO$1006:AR1006),$AO$1006:$BQ$1006,0))&gt;=100000), " ",IF(INDEX($AO$2:$BQ$1001,MATCH(ROWS($AH$2:AH564),$AH$2:$AH$1001,0),MATCH(COLUMNS($AO$1006:AR1006),$AO$1006:$BQ$1006,0)), HYPERLINK("#",""), HYPERLINK(CONCATENATE("#Metadata!", ADDRESS(INDEX($AJ$2:$AJ$1001,MATCH(ROWS($AH$2:AH564),$AH$2:$AH$1001,0),0), INDEX($AO$1004:$BQ$1004,1,MATCH(COLUMNS($AO$1006:AR1006),$AO$1006:$BQ$1006,0)))),"Fix")))</f>
        <v>#N/A</v>
      </c>
      <c r="F564" s="5" t="e">
        <f ca="1">IF(OR(INDEX($AI$2:$AI$1001,MATCH(ROWS($AH$2:AH564),$AH$2:$AH$1001,0),1)&gt;=100000,INDEX($AO$1005:$BQ$1005,1,MATCH(COLUMNS($AO$1006:AS1006),$AO$1006:$BQ$1006,0))&gt;=100000), " ",IF(INDEX($AO$2:$BQ$1001,MATCH(ROWS($AH$2:AH564),$AH$2:$AH$1001,0),MATCH(COLUMNS($AO$1006:AS1006),$AO$1006:$BQ$1006,0)), HYPERLINK("#",""), HYPERLINK(CONCATENATE("#Metadata!", ADDRESS(INDEX($AJ$2:$AJ$1001,MATCH(ROWS($AH$2:AH564),$AH$2:$AH$1001,0),0), INDEX($AO$1004:$BQ$1004,1,MATCH(COLUMNS($AO$1006:AS1006),$AO$1006:$BQ$1006,0)))),"Fix")))</f>
        <v>#N/A</v>
      </c>
      <c r="G564" s="5" t="e">
        <f ca="1">IF(OR(INDEX($AI$2:$AI$1001,MATCH(ROWS($AH$2:AH564),$AH$2:$AH$1001,0),1)&gt;=100000,INDEX($AO$1005:$BQ$1005,1,MATCH(COLUMNS($AO$1006:AT1006),$AO$1006:$BQ$1006,0))&gt;=100000), " ",IF(INDEX($AO$2:$BQ$1001,MATCH(ROWS($AH$2:AH564),$AH$2:$AH$1001,0),MATCH(COLUMNS($AO$1006:AT1006),$AO$1006:$BQ$1006,0)), HYPERLINK("#",""), HYPERLINK(CONCATENATE("#Metadata!", ADDRESS(INDEX($AJ$2:$AJ$1001,MATCH(ROWS($AH$2:AH564),$AH$2:$AH$1001,0),0), INDEX($AO$1004:$BQ$1004,1,MATCH(COLUMNS($AO$1006:AT1006),$AO$1006:$BQ$1006,0)))),"Fix")))</f>
        <v>#N/A</v>
      </c>
      <c r="H564" s="5" t="e">
        <f ca="1">IF(OR(INDEX($AI$2:$AI$1001,MATCH(ROWS($AH$2:AH564),$AH$2:$AH$1001,0),1)&gt;=100000,INDEX($AO$1005:$BQ$1005,1,MATCH(COLUMNS($AO$1006:AU1006),$AO$1006:$BQ$1006,0))&gt;=100000), " ",IF(INDEX($AO$2:$BQ$1001,MATCH(ROWS($AH$2:AH564),$AH$2:$AH$1001,0),MATCH(COLUMNS($AO$1006:AU1006),$AO$1006:$BQ$1006,0)), HYPERLINK("#",""), HYPERLINK(CONCATENATE("#Metadata!", ADDRESS(INDEX($AJ$2:$AJ$1001,MATCH(ROWS($AH$2:AH564),$AH$2:$AH$1001,0),0), INDEX($AO$1004:$BQ$1004,1,MATCH(COLUMNS($AO$1006:AU1006),$AO$1006:$BQ$1006,0)))),"Fix")))</f>
        <v>#N/A</v>
      </c>
      <c r="I564" s="5" t="e">
        <f ca="1">IF(OR(INDEX($AI$2:$AI$1001,MATCH(ROWS($AH$2:AH564),$AH$2:$AH$1001,0),1)&gt;=100000,INDEX($AO$1005:$BQ$1005,1,MATCH(COLUMNS($AO$1006:AV1006),$AO$1006:$BQ$1006,0))&gt;=100000), " ",IF(INDEX($AO$2:$BQ$1001,MATCH(ROWS($AH$2:AH564),$AH$2:$AH$1001,0),MATCH(COLUMNS($AO$1006:AV1006),$AO$1006:$BQ$1006,0)), HYPERLINK("#",""), HYPERLINK(CONCATENATE("#Metadata!", ADDRESS(INDEX($AJ$2:$AJ$1001,MATCH(ROWS($AH$2:AH564),$AH$2:$AH$1001,0),0), INDEX($AO$1004:$BQ$1004,1,MATCH(COLUMNS($AO$1006:AV1006),$AO$1006:$BQ$1006,0)))),"Fix")))</f>
        <v>#N/A</v>
      </c>
      <c r="J564" s="5" t="e">
        <f ca="1">IF(OR(INDEX($AI$2:$AI$1001,MATCH(ROWS($AH$2:AH564),$AH$2:$AH$1001,0),1)&gt;=100000,INDEX($AO$1005:$BQ$1005,1,MATCH(COLUMNS($AO$1006:AW1006),$AO$1006:$BQ$1006,0))&gt;=100000), " ",IF(INDEX($AO$2:$BQ$1001,MATCH(ROWS($AH$2:AH564),$AH$2:$AH$1001,0),MATCH(COLUMNS($AO$1006:AW1006),$AO$1006:$BQ$1006,0)), HYPERLINK("#",""), HYPERLINK(CONCATENATE("#Metadata!", ADDRESS(INDEX($AJ$2:$AJ$1001,MATCH(ROWS($AH$2:AH564),$AH$2:$AH$1001,0),0), INDEX($AO$1004:$BQ$1004,1,MATCH(COLUMNS($AO$1006:AW1006),$AO$1006:$BQ$1006,0)))),"Fix")))</f>
        <v>#N/A</v>
      </c>
      <c r="K564" s="5" t="e">
        <f ca="1">IF(OR(INDEX($AI$2:$AI$1001,MATCH(ROWS($AH$2:AH564),$AH$2:$AH$1001,0),1)&gt;=100000,INDEX($AO$1005:$BQ$1005,1,MATCH(COLUMNS($AO$1006:AX1006),$AO$1006:$BQ$1006,0))&gt;=100000), " ",IF(INDEX($AO$2:$BQ$1001,MATCH(ROWS($AH$2:AH564),$AH$2:$AH$1001,0),MATCH(COLUMNS($AO$1006:AX1006),$AO$1006:$BQ$1006,0)), HYPERLINK("#",""), HYPERLINK(CONCATENATE("#Metadata!", ADDRESS(INDEX($AJ$2:$AJ$1001,MATCH(ROWS($AH$2:AH564),$AH$2:$AH$1001,0),0), INDEX($AO$1004:$BQ$1004,1,MATCH(COLUMNS($AO$1006:AX1006),$AO$1006:$BQ$1006,0)))),"Fix")))</f>
        <v>#N/A</v>
      </c>
      <c r="L564" s="5" t="e">
        <f ca="1">IF(OR(INDEX($AI$2:$AI$1001,MATCH(ROWS($AH$2:AH564),$AH$2:$AH$1001,0),1)&gt;=100000,INDEX($AO$1005:$BQ$1005,1,MATCH(COLUMNS($AO$1006:AY1006),$AO$1006:$BQ$1006,0))&gt;=100000), " ",IF(INDEX($AO$2:$BQ$1001,MATCH(ROWS($AH$2:AH564),$AH$2:$AH$1001,0),MATCH(COLUMNS($AO$1006:AY1006),$AO$1006:$BQ$1006,0)), HYPERLINK("#",""), HYPERLINK(CONCATENATE("#Metadata!", ADDRESS(INDEX($AJ$2:$AJ$1001,MATCH(ROWS($AH$2:AH564),$AH$2:$AH$1001,0),0), INDEX($AO$1004:$BQ$1004,1,MATCH(COLUMNS($AO$1006:AY1006),$AO$1006:$BQ$1006,0)))),"Fix")))</f>
        <v>#N/A</v>
      </c>
      <c r="M564" s="5" t="e">
        <f ca="1">IF(OR(INDEX($AI$2:$AI$1001,MATCH(ROWS($AH$2:AH564),$AH$2:$AH$1001,0),1)&gt;=100000,INDEX($AO$1005:$BQ$1005,1,MATCH(COLUMNS($AO$1006:AZ1006),$AO$1006:$BQ$1006,0))&gt;=100000), " ",IF(INDEX($AO$2:$BQ$1001,MATCH(ROWS($AH$2:AH564),$AH$2:$AH$1001,0),MATCH(COLUMNS($AO$1006:AZ1006),$AO$1006:$BQ$1006,0)), HYPERLINK("#",""), HYPERLINK(CONCATENATE("#Metadata!", ADDRESS(INDEX($AJ$2:$AJ$1001,MATCH(ROWS($AH$2:AH564),$AH$2:$AH$1001,0),0), INDEX($AO$1004:$BQ$1004,1,MATCH(COLUMNS($AO$1006:AZ1006),$AO$1006:$BQ$1006,0)))),"Fix")))</f>
        <v>#N/A</v>
      </c>
      <c r="N564" s="5" t="e">
        <f ca="1">IF(OR(INDEX($AI$2:$AI$1001,MATCH(ROWS($AH$2:AH564),$AH$2:$AH$1001,0),1)&gt;=100000,INDEX($AO$1005:$BQ$1005,1,MATCH(COLUMNS($AO$1006:BA1006),$AO$1006:$BQ$1006,0))&gt;=100000), " ",IF(INDEX($AO$2:$BQ$1001,MATCH(ROWS($AH$2:AH564),$AH$2:$AH$1001,0),MATCH(COLUMNS($AO$1006:BA1006),$AO$1006:$BQ$1006,0)), HYPERLINK("#",""), HYPERLINK(CONCATENATE("#Metadata!", ADDRESS(INDEX($AJ$2:$AJ$1001,MATCH(ROWS($AH$2:AH564),$AH$2:$AH$1001,0),0), INDEX($AO$1004:$BQ$1004,1,MATCH(COLUMNS($AO$1006:BA1006),$AO$1006:$BQ$1006,0)))),"Fix")))</f>
        <v>#N/A</v>
      </c>
      <c r="O564" s="5" t="e">
        <f ca="1">IF(OR(INDEX($AI$2:$AI$1001,MATCH(ROWS($AH$2:AH564),$AH$2:$AH$1001,0),1)&gt;=100000,INDEX($AO$1005:$BQ$1005,1,MATCH(COLUMNS($AO$1006:BB1006),$AO$1006:$BQ$1006,0))&gt;=100000), " ",IF(INDEX($AO$2:$BQ$1001,MATCH(ROWS($AH$2:AH564),$AH$2:$AH$1001,0),MATCH(COLUMNS($AO$1006:BB1006),$AO$1006:$BQ$1006,0)), HYPERLINK("#",""), HYPERLINK(CONCATENATE("#Metadata!", ADDRESS(INDEX($AJ$2:$AJ$1001,MATCH(ROWS($AH$2:AH564),$AH$2:$AH$1001,0),0), INDEX($AO$1004:$BQ$1004,1,MATCH(COLUMNS($AO$1006:BB1006),$AO$1006:$BQ$1006,0)))),"Fix")))</f>
        <v>#N/A</v>
      </c>
      <c r="P564" s="5" t="e">
        <f ca="1">IF(OR(INDEX($AI$2:$AI$1001,MATCH(ROWS($AH$2:AH564),$AH$2:$AH$1001,0),1)&gt;=100000,INDEX($AO$1005:$BQ$1005,1,MATCH(COLUMNS($AO$1006:BC1006),$AO$1006:$BQ$1006,0))&gt;=100000), " ",IF(INDEX($AO$2:$BQ$1001,MATCH(ROWS($AH$2:AH564),$AH$2:$AH$1001,0),MATCH(COLUMNS($AO$1006:BC1006),$AO$1006:$BQ$1006,0)), HYPERLINK("#",""), HYPERLINK(CONCATENATE("#Metadata!", ADDRESS(INDEX($AJ$2:$AJ$1001,MATCH(ROWS($AH$2:AH564),$AH$2:$AH$1001,0),0), INDEX($AO$1004:$BQ$1004,1,MATCH(COLUMNS($AO$1006:BC1006),$AO$1006:$BQ$1006,0)))),"Fix")))</f>
        <v>#N/A</v>
      </c>
      <c r="Q564" s="5" t="e">
        <f ca="1">IF(OR(INDEX($AI$2:$AI$1001,MATCH(ROWS($AH$2:AH564),$AH$2:$AH$1001,0),1)&gt;=100000,INDEX($AO$1005:$BQ$1005,1,MATCH(COLUMNS($AO$1006:BD1006),$AO$1006:$BQ$1006,0))&gt;=100000), " ",IF(INDEX($AO$2:$BQ$1001,MATCH(ROWS($AH$2:AH564),$AH$2:$AH$1001,0),MATCH(COLUMNS($AO$1006:BD1006),$AO$1006:$BQ$1006,0)), HYPERLINK("#",""), HYPERLINK(CONCATENATE("#Metadata!", ADDRESS(INDEX($AJ$2:$AJ$1001,MATCH(ROWS($AH$2:AH564),$AH$2:$AH$1001,0),0), INDEX($AO$1004:$BQ$1004,1,MATCH(COLUMNS($AO$1006:BD1006),$AO$1006:$BQ$1006,0)))),"Fix")))</f>
        <v>#N/A</v>
      </c>
      <c r="R564" s="5" t="e">
        <f ca="1">IF(OR(INDEX($AI$2:$AI$1001,MATCH(ROWS($AH$2:AH564),$AH$2:$AH$1001,0),1)&gt;=100000,INDEX($AO$1005:$BQ$1005,1,MATCH(COLUMNS($AO$1006:BE1006),$AO$1006:$BQ$1006,0))&gt;=100000), " ",IF(INDEX($AO$2:$BQ$1001,MATCH(ROWS($AH$2:AH564),$AH$2:$AH$1001,0),MATCH(COLUMNS($AO$1006:BE1006),$AO$1006:$BQ$1006,0)), HYPERLINK("#",""), HYPERLINK(CONCATENATE("#Metadata!", ADDRESS(INDEX($AJ$2:$AJ$1001,MATCH(ROWS($AH$2:AH564),$AH$2:$AH$1001,0),0), INDEX($AO$1004:$BQ$1004,1,MATCH(COLUMNS($AO$1006:BE1006),$AO$1006:$BQ$1006,0)))),"Fix")))</f>
        <v>#N/A</v>
      </c>
      <c r="S564" s="5" t="e">
        <f ca="1">IF(OR(INDEX($AI$2:$AI$1001,MATCH(ROWS($AH$2:AH564),$AH$2:$AH$1001,0),1)&gt;=100000,INDEX($AO$1005:$BQ$1005,1,MATCH(COLUMNS($AO$1006:BF1006),$AO$1006:$BQ$1006,0))&gt;=100000), " ",IF(INDEX($AO$2:$BQ$1001,MATCH(ROWS($AH$2:AH564),$AH$2:$AH$1001,0),MATCH(COLUMNS($AO$1006:BF1006),$AO$1006:$BQ$1006,0)), HYPERLINK("#",""), HYPERLINK(CONCATENATE("#Metadata!", ADDRESS(INDEX($AJ$2:$AJ$1001,MATCH(ROWS($AH$2:AH564),$AH$2:$AH$1001,0),0), INDEX($AO$1004:$BQ$1004,1,MATCH(COLUMNS($AO$1006:BF1006),$AO$1006:$BQ$1006,0)))),"Fix")))</f>
        <v>#N/A</v>
      </c>
      <c r="T564" s="5" t="e">
        <f ca="1">IF(OR(INDEX($AI$2:$AI$1001,MATCH(ROWS($AH$2:AH564),$AH$2:$AH$1001,0),1)&gt;=100000,INDEX($AO$1005:$BQ$1005,1,MATCH(COLUMNS($AO$1006:BG1006),$AO$1006:$BQ$1006,0))&gt;=100000), " ",IF(INDEX($AO$2:$BQ$1001,MATCH(ROWS($AH$2:AH564),$AH$2:$AH$1001,0),MATCH(COLUMNS($AO$1006:BG1006),$AO$1006:$BQ$1006,0)), HYPERLINK("#",""), HYPERLINK(CONCATENATE("#Metadata!", ADDRESS(INDEX($AJ$2:$AJ$1001,MATCH(ROWS($AH$2:AH564),$AH$2:$AH$1001,0),0), INDEX($AO$1004:$BQ$1004,1,MATCH(COLUMNS($AO$1006:BG1006),$AO$1006:$BQ$1006,0)))),"Fix")))</f>
        <v>#N/A</v>
      </c>
      <c r="U564" s="5" t="e">
        <f ca="1">IF(OR(INDEX($AI$2:$AI$1001,MATCH(ROWS($AH$2:AH564),$AH$2:$AH$1001,0),1)&gt;=100000,INDEX($AO$1005:$BQ$1005,1,MATCH(COLUMNS($AO$1006:BH1006),$AO$1006:$BQ$1006,0))&gt;=100000), " ",IF(INDEX($AO$2:$BQ$1001,MATCH(ROWS($AH$2:AH564),$AH$2:$AH$1001,0),MATCH(COLUMNS($AO$1006:BH1006),$AO$1006:$BQ$1006,0)), HYPERLINK("#",""), HYPERLINK(CONCATENATE("#Metadata!", ADDRESS(INDEX($AJ$2:$AJ$1001,MATCH(ROWS($AH$2:AH564),$AH$2:$AH$1001,0),0), INDEX($AO$1004:$BQ$1004,1,MATCH(COLUMNS($AO$1006:BH1006),$AO$1006:$BQ$1006,0)))),"Fix")))</f>
        <v>#N/A</v>
      </c>
      <c r="V564" s="5" t="e">
        <f ca="1">IF(OR(INDEX($AI$2:$AI$1001,MATCH(ROWS($AH$2:AH564),$AH$2:$AH$1001,0),1)&gt;=100000,INDEX($AO$1005:$BQ$1005,1,MATCH(COLUMNS($AO$1006:BI1006),$AO$1006:$BQ$1006,0))&gt;=100000), " ",IF(INDEX($AO$2:$BQ$1001,MATCH(ROWS($AH$2:AH564),$AH$2:$AH$1001,0),MATCH(COLUMNS($AO$1006:BI1006),$AO$1006:$BQ$1006,0)), HYPERLINK("#",""), HYPERLINK(CONCATENATE("#Metadata!", ADDRESS(INDEX($AJ$2:$AJ$1001,MATCH(ROWS($AH$2:AH564),$AH$2:$AH$1001,0),0), INDEX($AO$1004:$BQ$1004,1,MATCH(COLUMNS($AO$1006:BI1006),$AO$1006:$BQ$1006,0)))),"Fix")))</f>
        <v>#N/A</v>
      </c>
      <c r="W564" s="5" t="e">
        <f ca="1">IF(OR(INDEX($AI$2:$AI$1001,MATCH(ROWS($AH$2:AH564),$AH$2:$AH$1001,0),1)&gt;=100000,INDEX($AO$1005:$BQ$1005,1,MATCH(COLUMNS($AO$1006:BJ1006),$AO$1006:$BQ$1006,0))&gt;=100000), " ",IF(INDEX($AO$2:$BQ$1001,MATCH(ROWS($AH$2:AH564),$AH$2:$AH$1001,0),MATCH(COLUMNS($AO$1006:BJ1006),$AO$1006:$BQ$1006,0)), HYPERLINK("#",""), HYPERLINK(CONCATENATE("#Metadata!", ADDRESS(INDEX($AJ$2:$AJ$1001,MATCH(ROWS($AH$2:AH564),$AH$2:$AH$1001,0),0), INDEX($AO$1004:$BQ$1004,1,MATCH(COLUMNS($AO$1006:BJ1006),$AO$1006:$BQ$1006,0)))),"Fix")))</f>
        <v>#N/A</v>
      </c>
      <c r="X564" s="5" t="e">
        <f ca="1">IF(OR(INDEX($AI$2:$AI$1001,MATCH(ROWS($AH$2:AH564),$AH$2:$AH$1001,0),1)&gt;=100000,INDEX($AO$1005:$BQ$1005,1,MATCH(COLUMNS($AO$1006:BK1006),$AO$1006:$BQ$1006,0))&gt;=100000), " ",IF(INDEX($AO$2:$BQ$1001,MATCH(ROWS($AH$2:AH564),$AH$2:$AH$1001,0),MATCH(COLUMNS($AO$1006:BK1006),$AO$1006:$BQ$1006,0)), HYPERLINK("#",""), HYPERLINK(CONCATENATE("#Metadata!", ADDRESS(INDEX($AJ$2:$AJ$1001,MATCH(ROWS($AH$2:AH564),$AH$2:$AH$1001,0),0), INDEX($AO$1004:$BQ$1004,1,MATCH(COLUMNS($AO$1006:BK1006),$AO$1006:$BQ$1006,0)))),"Fix")))</f>
        <v>#N/A</v>
      </c>
      <c r="Y564" s="5" t="e">
        <f ca="1">IF(OR(INDEX($AI$2:$AI$1001,MATCH(ROWS($AH$2:AH564),$AH$2:$AH$1001,0),1)&gt;=100000,INDEX($AO$1005:$BQ$1005,1,MATCH(COLUMNS($AO$1006:BL1006),$AO$1006:$BQ$1006,0))&gt;=100000), " ",IF(INDEX($AO$2:$BQ$1001,MATCH(ROWS($AH$2:AH564),$AH$2:$AH$1001,0),MATCH(COLUMNS($AO$1006:BL1006),$AO$1006:$BQ$1006,0)), HYPERLINK("#",""), HYPERLINK(CONCATENATE("#Metadata!", ADDRESS(INDEX($AJ$2:$AJ$1001,MATCH(ROWS($AH$2:AH564),$AH$2:$AH$1001,0),0), INDEX($AO$1004:$BQ$1004,1,MATCH(COLUMNS($AO$1006:BL1006),$AO$1006:$BQ$1006,0)))),"Fix")))</f>
        <v>#N/A</v>
      </c>
      <c r="Z564" s="5" t="e">
        <f ca="1">IF(OR(INDEX($AI$2:$AI$1001,MATCH(ROWS($AH$2:AH564),$AH$2:$AH$1001,0),1)&gt;=100000,INDEX($AO$1005:$BQ$1005,1,MATCH(COLUMNS($AO$1006:BM1006),$AO$1006:$BQ$1006,0))&gt;=100000), " ",IF(INDEX($AO$2:$BQ$1001,MATCH(ROWS($AH$2:AH564),$AH$2:$AH$1001,0),MATCH(COLUMNS($AO$1006:BM1006),$AO$1006:$BQ$1006,0)), HYPERLINK("#",""), HYPERLINK(CONCATENATE("#Metadata!", ADDRESS(INDEX($AJ$2:$AJ$1001,MATCH(ROWS($AH$2:AH564),$AH$2:$AH$1001,0),0), INDEX($AO$1004:$BQ$1004,1,MATCH(COLUMNS($AO$1006:BM1006),$AO$1006:$BQ$1006,0)))),"Fix")))</f>
        <v>#N/A</v>
      </c>
      <c r="AA564" s="5" t="e">
        <f ca="1">IF(OR(INDEX($AI$2:$AI$1001,MATCH(ROWS($AH$2:AH564),$AH$2:$AH$1001,0),1)&gt;=100000,INDEX($AO$1005:$BQ$1005,1,MATCH(COLUMNS($AO$1006:BN1006),$AO$1006:$BQ$1006,0))&gt;=100000), " ",IF(INDEX($AO$2:$BQ$1001,MATCH(ROWS($AH$2:AH564),$AH$2:$AH$1001,0),MATCH(COLUMNS($AO$1006:BN1006),$AO$1006:$BQ$1006,0)), HYPERLINK("#",""), HYPERLINK(CONCATENATE("#Metadata!", ADDRESS(INDEX($AJ$2:$AJ$1001,MATCH(ROWS($AH$2:AH564),$AH$2:$AH$1001,0),0), INDEX($AO$1004:$BQ$1004,1,MATCH(COLUMNS($AO$1006:BN1006),$AO$1006:$BQ$1006,0)))),"Fix")))</f>
        <v>#N/A</v>
      </c>
      <c r="AB564" s="5" t="e">
        <f ca="1">IF(OR(INDEX($AI$2:$AI$1001,MATCH(ROWS($AH$2:AH564),$AH$2:$AH$1001,0),1)&gt;=100000,INDEX($AO$1005:$BQ$1005,1,MATCH(COLUMNS($AO$1006:BO1006),$AO$1006:$BQ$1006,0))&gt;=100000), " ",IF(INDEX($AO$2:$BQ$1001,MATCH(ROWS($AH$2:AH564),$AH$2:$AH$1001,0),MATCH(COLUMNS($AO$1006:BO1006),$AO$1006:$BQ$1006,0)), HYPERLINK("#",""), HYPERLINK(CONCATENATE("#Metadata!", ADDRESS(INDEX($AJ$2:$AJ$1001,MATCH(ROWS($AH$2:AH564),$AH$2:$AH$1001,0),0), INDEX($AO$1004:$BQ$1004,1,MATCH(COLUMNS($AO$1006:BO1006),$AO$1006:$BQ$1006,0)))),"Fix")))</f>
        <v>#N/A</v>
      </c>
      <c r="AC564" s="5" t="e">
        <f ca="1">IF(OR(INDEX($AI$2:$AI$1001,MATCH(ROWS($AH$2:AH564),$AH$2:$AH$1001,0),1)&gt;=100000,INDEX($AO$1005:$BQ$1005,1,MATCH(COLUMNS($AO$1006:BP1006),$AO$1006:$BQ$1006,0))&gt;=100000), " ",IF(INDEX($AO$2:$BQ$1001,MATCH(ROWS($AH$2:AH564),$AH$2:$AH$1001,0),MATCH(COLUMNS($AO$1006:BP1006),$AO$1006:$BQ$1006,0)), HYPERLINK("#",""), HYPERLINK(CONCATENATE("#Metadata!", ADDRESS(INDEX($AJ$2:$AJ$1001,MATCH(ROWS($AH$2:AH564),$AH$2:$AH$1001,0),0), INDEX($AO$1004:$BQ$1004,1,MATCH(COLUMNS($AO$1006:BP1006),$AO$1006:$BQ$1006,0)))),"Fix")))</f>
        <v>#N/A</v>
      </c>
      <c r="AD564" s="5" t="e">
        <f ca="1">IF(OR(INDEX($AI$2:$AI$1001,MATCH(ROWS($AH$2:AH564),$AH$2:$AH$1001,0),1)&gt;=100000,INDEX($AO$1005:$BQ$1005,1,MATCH(COLUMNS($AO$1006:BQ1006),$AO$1006:$BQ$1006,0))&gt;=100000), " ",IF(INDEX($AO$2:$BQ$1001,MATCH(ROWS($AH$2:AH564),$AH$2:$AH$1001,0),MATCH(COLUMNS($AO$1006:BQ1006),$AO$1006:$BQ$1006,0)), HYPERLINK("#",""), HYPERLINK(CONCATENATE("#Metadata!", ADDRESS(INDEX($AJ$2:$AJ$1001,MATCH(ROWS($AH$2:AH564),$AH$2:$AH$1001,0),0), INDEX($AO$1004:$BQ$1004,1,MATCH(COLUMNS($AO$1006:BQ1006),$AO$1006:$BQ$1006,0)))),"Fix")))</f>
        <v>#REF!</v>
      </c>
      <c r="AH564">
        <f ca="1"/>
        <v>561</v>
      </c>
      <c r="AI564">
        <v>100564</v>
      </c>
      <c r="AJ564">
        <v>564</v>
      </c>
      <c r="AK564" t="b">
        <f t="shared" si="8"/>
        <v>1</v>
      </c>
      <c r="AL564" t="b">
        <f>COUNTBLANK(Metadata!B564:AD564)=COLUMNS(Metadata!B564:AD564)</f>
        <v>1</v>
      </c>
      <c r="AM564" t="str">
        <v/>
      </c>
      <c r="AO564" t="b">
        <f ca="1">AND(IF(Metadata!B564="",FALSE,TRUE),COUNTIF(Metadata!B:B, Metadata!B564) = 1,NOT(ISERROR(SUMPRODUCT(SEARCH(MID(Metadata!B564,ROW(INDIRECT("1:"&amp;LEN(Metadata!B564))), 1),"0123456789abcdefghijklmnopqrstuvwxyzABCDEFGHIJKLMNOPQRSTUVWXYZ.")))))</f>
        <v>0</v>
      </c>
      <c r="AP564" t="b">
        <f>IF(Metadata!C564="",FALSE,TRUE)</f>
        <v>0</v>
      </c>
      <c r="AQ564" t="b">
        <f>IF(Metadata!D564="",FALSE,TRUE)</f>
        <v>0</v>
      </c>
      <c r="AR564" t="b">
        <f ca="1">OR(AND(IF(Metadata!E564="",FALSE,TRUE),OR(EXACT(Metadata!E564,"not collected"),EXACT(Metadata!E564,"not provided"),EXACT(Metadata!E564,"restricted access"))),AND(IF(Metadata!E564="",FALSE,TRUE),AND(AND(IFERROR(INT(LEFT(Metadata!E564,4))&gt;1900,FALSE),IFERROR(INT(LEFT(Metadata!E564,4))&lt;=YEAR(NOW()),FALSE)), OR(MID(Metadata!E564,5,1)="", AND(AND(MID(Metadata!E564,5,1)="-",IFERROR(INT(MID(Metadata!E564,6,1))&gt;=0,FALSE),IFERROR(INT(MID(Metadata!E564,6,1))&lt;=1,FALSE),NOT(MID(Metadata!E564,7,1)=""),IFERROR(INT(MID(Metadata!E564,6,2))&gt;=1,FALSE),IFERROR(INT(MID(Metadata!E564,6,2))&lt;=12,FALSE)), OR(MID(Metadata!E564,8,1)="", AND(AND(MID(Metadata!E564,8,1)="-",IFERROR(INT(MID(Metadata!E564,9,1))&gt;=0,FALSE),IFERROR(INT(MID(Metadata!E564,9,1))&lt;=3,FALSE),NOT(MID(Metadata!E564,10,1)=""),IFERROR(INT(MID(Metadata!E564,9,2))&gt;=1,FALSE),IFERROR(INT(MID(Metadata!E564,9,2))&lt;=31,FALSE)), OR(MID(Metadata!E564,11,1)="", AND(AND(MID(Metadata!E564,11,1)=" ",IFERROR(INT(MID(Metadata!E564,12,1))&gt;=0,FALSE),IFERROR(INT(MID(Metadata!E564,12,1))&lt;=2,FALSE),NOT(MID(Metadata!E564,13,1)=""),IFERROR(INT(MID(Metadata!E564,12,2))&gt;=0,FALSE),IFERROR(INT(MID(Metadata!E564,12,2))&lt;=23,FALSE)), OR(MID(Metadata!E564,14,1)="", AND(AND(MID(Metadata!E564,14,1)=":",IFERROR(INT(MID(Metadata!E564,15,1))&gt;=0,FALSE),IFERROR(INT(MID(Metadata!E564,15,1))&lt;=5,FALSE),NOT(MID(Metadata!E564,16,1)=""),IFERROR(INT(MID(Metadata!E564,15,2))&gt;=0,FALSE),IFERROR(INT(MID(Metadata!E564,15,2))&lt;=59,FALSE)), OR(MID(Metadata!E564,17,1)="", AND(AND(MID(Metadata!E564,17,1)=":",IFERROR(INT(MID(Metadata!E564,18,1))&gt;=0,FALSE),IFERROR(INT(MID(Metadata!E564,18,1))&lt;=5,FALSE),NOT(MID(Metadata!E564,19,1)=""),IFERROR(INT(MID(Metadata!E564,18,2))&gt;=0,FALSE),IFERROR(INT(MID(Metadata!E564,18,2))&lt;=59,FALSE)), LEN(Metadata!E564)&lt;=19)))))))))))))</f>
        <v>0</v>
      </c>
      <c r="AS564" t="b">
        <f>IF(Metadata!F564="",FALSE,TRUE)</f>
        <v>0</v>
      </c>
      <c r="AT564" t="b">
        <f>OR(AND(IF(Metadata!G564="",FALSE,TRUE),OR(EXACT(Metadata!G564,"not collected"),EXACT(Metadata!G564,"not provided"))),AND(IF(Metadata!G564="",FALSE,TRUE),OR(EXACT(Metadata!G564,"TRUE"),EXACT(Metadata!G564,"FALSE"))))</f>
        <v>0</v>
      </c>
      <c r="AU564" t="b">
        <f>OR(AND(IF(Metadata!H564="",FALSE,TRUE),OR(EXACT(Metadata!H564,"not collected"),EXACT(Metadata!H564,"not provided"),EXACT(Metadata!H564,"restricted access"))),AND(IF(Metadata!H564="",FALSE,ISNUMBER(VALUE(Metadata!H564))),Metadata!H564&gt;=-413))</f>
        <v>0</v>
      </c>
      <c r="AV564" t="b">
        <f>AND(IF(Metadata!I564="",FALSE,TRUE),EXACT(Metadata!I564,"meters"))</f>
        <v>0</v>
      </c>
      <c r="AW564" t="b">
        <f>AND(IF(Metadata!J564="",FALSE,TRUE),EXACT(Metadata!J564,"free-living"))</f>
        <v>0</v>
      </c>
      <c r="AX564" t="b">
        <f>AND(IF(Metadata!K564="",FALSE,TRUE),OR(EXACT(Metadata!K564,"saline"),EXACT(Metadata!K564,"non-saline")))</f>
        <v>0</v>
      </c>
      <c r="AY564" t="b">
        <f>AND(IF(Metadata!L564="",FALSE,TRUE),OR(EXACT(Metadata!L564,"sub-surface (non-saline)"),EXACT(Metadata!L564,"surface (non-saline)"),EXACT(Metadata!L564,"water (non-saline)"),EXACT(Metadata!L564,"soil (non-saline)"),EXACT(Metadata!L564,"aerosol (non-saline)"),EXACT(Metadata!L564,"sediment (non-saline)"),EXACT(Metadata!L564,"surface (saline)"),EXACT(Metadata!L564,"water (saline)"),EXACT(Metadata!L564,"hypersaline (saline)"),EXACT(Metadata!L564,"aerosol (saline)"),EXACT(Metadata!L564,"sediment (saline)")))</f>
        <v>0</v>
      </c>
      <c r="AZ564" t="b">
        <f>IF(Metadata!M564="",FALSE,TRUE)</f>
        <v>0</v>
      </c>
      <c r="BA564" t="b">
        <f>IF(Metadata!N564="",FALSE,TRUE)</f>
        <v>0</v>
      </c>
      <c r="BB564" t="b">
        <f>IF(Metadata!O564="",FALSE,TRUE)</f>
        <v>0</v>
      </c>
      <c r="BC564" t="b">
        <f>AND(IF(Metadata!P564="",FALSE,TRUE),OR(EXACT(Metadata!P564,"air"),EXACT(Metadata!P564,"microbial mat/biofilm"),EXACT(Metadata!P564,"misc environment"),EXACT(Metadata!P564,"sediment"),EXACT(Metadata!P564,"soil"),EXACT(Metadata!P564,"wastewater/sludge"),EXACT(Metadata!P564,"water")))</f>
        <v>0</v>
      </c>
      <c r="BD564" t="b">
        <f>IF(Metadata!Q564="",FALSE,TRUE)</f>
        <v>0</v>
      </c>
      <c r="BE564" t="b">
        <f>IF(Metadata!R564="",FALSE,TRUE)</f>
        <v>0</v>
      </c>
      <c r="BF564" t="b">
        <f>OR(AND(IF(Metadata!S564="",FALSE,TRUE),OR(EXACT(Metadata!S564,"not collected"),EXACT(Metadata!S564,"not provided"),EXACT(Metadata!S564,"restricted access"))),AND(IF(Metadata!S564="",FALSE,ISNUMBER(VALUE(Metadata!S564))),Metadata!S564&gt;=-90,Metadata!S564&lt;=90))</f>
        <v>0</v>
      </c>
      <c r="BG564" t="b">
        <f>AND(IF(Metadata!T564="",FALSE,TRUE),EXACT(Metadata!T564,"Decimal degrees"))</f>
        <v>0</v>
      </c>
      <c r="BH564" t="b">
        <f>OR(AND(IF(Metadata!U564="",FALSE,TRUE),OR(EXACT(Metadata!U564,"not applicable"),EXACT(Metadata!U564,"not collected"))),IF(Metadata!U564="",FALSE,TRUE))</f>
        <v>0</v>
      </c>
      <c r="BI564" t="b">
        <f>OR(AND(IF(Metadata!V564="",FALSE,TRUE),OR(EXACT(Metadata!V564,"not collected"),EXACT(Metadata!V564,"not provided"),EXACT(Metadata!V564,"restricted access"))),AND(IF(Metadata!V564="",FALSE,ISNUMBER(VALUE(Metadata!V564))),Metadata!V564&gt;=-180,Metadata!V564&lt;=180))</f>
        <v>0</v>
      </c>
      <c r="BJ564" t="b">
        <f>AND(IF(Metadata!W564="",FALSE,TRUE),EXACT(Metadata!W564,"Decimal degrees"))</f>
        <v>0</v>
      </c>
      <c r="BK564" t="b">
        <f>IF(Metadata!X564="",FALSE,TRUE)</f>
        <v>0</v>
      </c>
      <c r="BL564" t="b">
        <f>OR(AND(IF(Metadata!Y564="",FALSE,TRUE),OR(EXACT(Metadata!Y564,"not collected"),EXACT(Metadata!Y564,"not provided"),EXACT(Metadata!Y564,"restricted access"))),AND(IF(Metadata!Y564="",FALSE,TRUE),OR(EXACT(Metadata!Y564,"TRUE"),EXACT(Metadata!Y564,"FALSE"))))</f>
        <v>0</v>
      </c>
      <c r="BM564" t="b">
        <f>OR(AND(IF(Metadata!Z564="",FALSE,TRUE),EXACT(Metadata!Z564,"not applicable")),AND(IF(Metadata!Z564="",FALSE,TRUE),OR(EXACT(Metadata!Z564,"beer"),EXACT(Metadata!Z564,"cheese"),EXACT(Metadata!Z564,"fresh water"),EXACT(Metadata!Z564,"marine sediment"),EXACT(Metadata!Z564,"sea water"),EXACT(Metadata!Z564,"sediment"),EXACT(Metadata!Z564,"soil"),EXACT(Metadata!Z564,"waste water"))))</f>
        <v>0</v>
      </c>
      <c r="BN564" t="b">
        <f>AND(IF(Metadata!AA564="",FALSE,TRUE),EXACT(Metadata!AA564,"metagenome"))</f>
        <v>0</v>
      </c>
      <c r="BO564" t="b">
        <f>AND(IF(Metadata!AB564="",FALSE,TRUE),EXACT(Metadata!AB564,"256318"))</f>
        <v>0</v>
      </c>
      <c r="BP564" t="b">
        <f>IF(Metadata!AC564="",FALSE,TRUE)</f>
        <v>0</v>
      </c>
      <c r="BQ564" t="b">
        <f>IF(Metadata!AD564="",FALSE,TRUE)</f>
        <v>0</v>
      </c>
    </row>
    <row r="565" spans="1:69" x14ac:dyDescent="0.2">
      <c r="A565" s="4" t="e">
        <f ca="1">IF(B565=" "," ",HYPERLINK(CONCATENATE("#metadata!",ADDRESS(INDEX($AJ$2:$AJ$1001,MATCH(ROWS($AH$2:AH565),$AH$2:$AH$1001,0),0),2)),INDEX($AM$2:$AM$1001,MATCH(ROWS($AH$2:AH565),$AH$2:$AH$1001,0),0)))</f>
        <v>#N/A</v>
      </c>
      <c r="B565" s="5" t="e">
        <f ca="1">IF(OR(INDEX($AI$2:$AI$1001,MATCH(ROWS($AH$2:AH565),$AH$2:$AH$1001,0),1)&gt;=100000,INDEX($AO$1005:$BQ$1005,1,MATCH(COLUMNS($AO$1006:AO1006),$AO$1006:$BQ$1006,0))&gt;=100000), " ",IF(INDEX($AO$2:$BQ$1001,MATCH(ROWS($AH$2:AH565),$AH$2:$AH$1001,0),MATCH(COLUMNS($AO$1006:AO1006),$AO$1006:$BQ$1006,0)), HYPERLINK("#",""), HYPERLINK(CONCATENATE("#Metadata!", ADDRESS(INDEX($AJ$2:$AJ$1001,MATCH(ROWS($AH$2:AH565),$AH$2:$AH$1001,0),0), INDEX($AO$1004:$BQ$1004,1,MATCH(COLUMNS($AO$1006:AO1006),$AO$1006:$BQ$1006,0)))),"Fix")))</f>
        <v>#N/A</v>
      </c>
      <c r="C565" s="5" t="e">
        <f ca="1">IF(OR(INDEX($AI$2:$AI$1001,MATCH(ROWS($AH$2:AH565),$AH$2:$AH$1001,0),1)&gt;=100000,INDEX($AO$1005:$BQ$1005,1,MATCH(COLUMNS($AO$1006:AP1006),$AO$1006:$BQ$1006,0))&gt;=100000), " ",IF(INDEX($AO$2:$BQ$1001,MATCH(ROWS($AH$2:AH565),$AH$2:$AH$1001,0),MATCH(COLUMNS($AO$1006:AP1006),$AO$1006:$BQ$1006,0)), HYPERLINK("#",""), HYPERLINK(CONCATENATE("#Metadata!", ADDRESS(INDEX($AJ$2:$AJ$1001,MATCH(ROWS($AH$2:AH565),$AH$2:$AH$1001,0),0), INDEX($AO$1004:$BQ$1004,1,MATCH(COLUMNS($AO$1006:AP1006),$AO$1006:$BQ$1006,0)))),"Fix")))</f>
        <v>#N/A</v>
      </c>
      <c r="D565" s="5" t="e">
        <f ca="1">IF(OR(INDEX($AI$2:$AI$1001,MATCH(ROWS($AH$2:AH565),$AH$2:$AH$1001,0),1)&gt;=100000,INDEX($AO$1005:$BQ$1005,1,MATCH(COLUMNS($AO$1006:AQ1006),$AO$1006:$BQ$1006,0))&gt;=100000), " ",IF(INDEX($AO$2:$BQ$1001,MATCH(ROWS($AH$2:AH565),$AH$2:$AH$1001,0),MATCH(COLUMNS($AO$1006:AQ1006),$AO$1006:$BQ$1006,0)), HYPERLINK("#",""), HYPERLINK(CONCATENATE("#Metadata!", ADDRESS(INDEX($AJ$2:$AJ$1001,MATCH(ROWS($AH$2:AH565),$AH$2:$AH$1001,0),0), INDEX($AO$1004:$BQ$1004,1,MATCH(COLUMNS($AO$1006:AQ1006),$AO$1006:$BQ$1006,0)))),"Fix")))</f>
        <v>#N/A</v>
      </c>
      <c r="E565" s="5" t="e">
        <f ca="1">IF(OR(INDEX($AI$2:$AI$1001,MATCH(ROWS($AH$2:AH565),$AH$2:$AH$1001,0),1)&gt;=100000,INDEX($AO$1005:$BQ$1005,1,MATCH(COLUMNS($AO$1006:AR1006),$AO$1006:$BQ$1006,0))&gt;=100000), " ",IF(INDEX($AO$2:$BQ$1001,MATCH(ROWS($AH$2:AH565),$AH$2:$AH$1001,0),MATCH(COLUMNS($AO$1006:AR1006),$AO$1006:$BQ$1006,0)), HYPERLINK("#",""), HYPERLINK(CONCATENATE("#Metadata!", ADDRESS(INDEX($AJ$2:$AJ$1001,MATCH(ROWS($AH$2:AH565),$AH$2:$AH$1001,0),0), INDEX($AO$1004:$BQ$1004,1,MATCH(COLUMNS($AO$1006:AR1006),$AO$1006:$BQ$1006,0)))),"Fix")))</f>
        <v>#N/A</v>
      </c>
      <c r="F565" s="5" t="e">
        <f ca="1">IF(OR(INDEX($AI$2:$AI$1001,MATCH(ROWS($AH$2:AH565),$AH$2:$AH$1001,0),1)&gt;=100000,INDEX($AO$1005:$BQ$1005,1,MATCH(COLUMNS($AO$1006:AS1006),$AO$1006:$BQ$1006,0))&gt;=100000), " ",IF(INDEX($AO$2:$BQ$1001,MATCH(ROWS($AH$2:AH565),$AH$2:$AH$1001,0),MATCH(COLUMNS($AO$1006:AS1006),$AO$1006:$BQ$1006,0)), HYPERLINK("#",""), HYPERLINK(CONCATENATE("#Metadata!", ADDRESS(INDEX($AJ$2:$AJ$1001,MATCH(ROWS($AH$2:AH565),$AH$2:$AH$1001,0),0), INDEX($AO$1004:$BQ$1004,1,MATCH(COLUMNS($AO$1006:AS1006),$AO$1006:$BQ$1006,0)))),"Fix")))</f>
        <v>#N/A</v>
      </c>
      <c r="G565" s="5" t="e">
        <f ca="1">IF(OR(INDEX($AI$2:$AI$1001,MATCH(ROWS($AH$2:AH565),$AH$2:$AH$1001,0),1)&gt;=100000,INDEX($AO$1005:$BQ$1005,1,MATCH(COLUMNS($AO$1006:AT1006),$AO$1006:$BQ$1006,0))&gt;=100000), " ",IF(INDEX($AO$2:$BQ$1001,MATCH(ROWS($AH$2:AH565),$AH$2:$AH$1001,0),MATCH(COLUMNS($AO$1006:AT1006),$AO$1006:$BQ$1006,0)), HYPERLINK("#",""), HYPERLINK(CONCATENATE("#Metadata!", ADDRESS(INDEX($AJ$2:$AJ$1001,MATCH(ROWS($AH$2:AH565),$AH$2:$AH$1001,0),0), INDEX($AO$1004:$BQ$1004,1,MATCH(COLUMNS($AO$1006:AT1006),$AO$1006:$BQ$1006,0)))),"Fix")))</f>
        <v>#N/A</v>
      </c>
      <c r="H565" s="5" t="e">
        <f ca="1">IF(OR(INDEX($AI$2:$AI$1001,MATCH(ROWS($AH$2:AH565),$AH$2:$AH$1001,0),1)&gt;=100000,INDEX($AO$1005:$BQ$1005,1,MATCH(COLUMNS($AO$1006:AU1006),$AO$1006:$BQ$1006,0))&gt;=100000), " ",IF(INDEX($AO$2:$BQ$1001,MATCH(ROWS($AH$2:AH565),$AH$2:$AH$1001,0),MATCH(COLUMNS($AO$1006:AU1006),$AO$1006:$BQ$1006,0)), HYPERLINK("#",""), HYPERLINK(CONCATENATE("#Metadata!", ADDRESS(INDEX($AJ$2:$AJ$1001,MATCH(ROWS($AH$2:AH565),$AH$2:$AH$1001,0),0), INDEX($AO$1004:$BQ$1004,1,MATCH(COLUMNS($AO$1006:AU1006),$AO$1006:$BQ$1006,0)))),"Fix")))</f>
        <v>#N/A</v>
      </c>
      <c r="I565" s="5" t="e">
        <f ca="1">IF(OR(INDEX($AI$2:$AI$1001,MATCH(ROWS($AH$2:AH565),$AH$2:$AH$1001,0),1)&gt;=100000,INDEX($AO$1005:$BQ$1005,1,MATCH(COLUMNS($AO$1006:AV1006),$AO$1006:$BQ$1006,0))&gt;=100000), " ",IF(INDEX($AO$2:$BQ$1001,MATCH(ROWS($AH$2:AH565),$AH$2:$AH$1001,0),MATCH(COLUMNS($AO$1006:AV1006),$AO$1006:$BQ$1006,0)), HYPERLINK("#",""), HYPERLINK(CONCATENATE("#Metadata!", ADDRESS(INDEX($AJ$2:$AJ$1001,MATCH(ROWS($AH$2:AH565),$AH$2:$AH$1001,0),0), INDEX($AO$1004:$BQ$1004,1,MATCH(COLUMNS($AO$1006:AV1006),$AO$1006:$BQ$1006,0)))),"Fix")))</f>
        <v>#N/A</v>
      </c>
      <c r="J565" s="5" t="e">
        <f ca="1">IF(OR(INDEX($AI$2:$AI$1001,MATCH(ROWS($AH$2:AH565),$AH$2:$AH$1001,0),1)&gt;=100000,INDEX($AO$1005:$BQ$1005,1,MATCH(COLUMNS($AO$1006:AW1006),$AO$1006:$BQ$1006,0))&gt;=100000), " ",IF(INDEX($AO$2:$BQ$1001,MATCH(ROWS($AH$2:AH565),$AH$2:$AH$1001,0),MATCH(COLUMNS($AO$1006:AW1006),$AO$1006:$BQ$1006,0)), HYPERLINK("#",""), HYPERLINK(CONCATENATE("#Metadata!", ADDRESS(INDEX($AJ$2:$AJ$1001,MATCH(ROWS($AH$2:AH565),$AH$2:$AH$1001,0),0), INDEX($AO$1004:$BQ$1004,1,MATCH(COLUMNS($AO$1006:AW1006),$AO$1006:$BQ$1006,0)))),"Fix")))</f>
        <v>#N/A</v>
      </c>
      <c r="K565" s="5" t="e">
        <f ca="1">IF(OR(INDEX($AI$2:$AI$1001,MATCH(ROWS($AH$2:AH565),$AH$2:$AH$1001,0),1)&gt;=100000,INDEX($AO$1005:$BQ$1005,1,MATCH(COLUMNS($AO$1006:AX1006),$AO$1006:$BQ$1006,0))&gt;=100000), " ",IF(INDEX($AO$2:$BQ$1001,MATCH(ROWS($AH$2:AH565),$AH$2:$AH$1001,0),MATCH(COLUMNS($AO$1006:AX1006),$AO$1006:$BQ$1006,0)), HYPERLINK("#",""), HYPERLINK(CONCATENATE("#Metadata!", ADDRESS(INDEX($AJ$2:$AJ$1001,MATCH(ROWS($AH$2:AH565),$AH$2:$AH$1001,0),0), INDEX($AO$1004:$BQ$1004,1,MATCH(COLUMNS($AO$1006:AX1006),$AO$1006:$BQ$1006,0)))),"Fix")))</f>
        <v>#N/A</v>
      </c>
      <c r="L565" s="5" t="e">
        <f ca="1">IF(OR(INDEX($AI$2:$AI$1001,MATCH(ROWS($AH$2:AH565),$AH$2:$AH$1001,0),1)&gt;=100000,INDEX($AO$1005:$BQ$1005,1,MATCH(COLUMNS($AO$1006:AY1006),$AO$1006:$BQ$1006,0))&gt;=100000), " ",IF(INDEX($AO$2:$BQ$1001,MATCH(ROWS($AH$2:AH565),$AH$2:$AH$1001,0),MATCH(COLUMNS($AO$1006:AY1006),$AO$1006:$BQ$1006,0)), HYPERLINK("#",""), HYPERLINK(CONCATENATE("#Metadata!", ADDRESS(INDEX($AJ$2:$AJ$1001,MATCH(ROWS($AH$2:AH565),$AH$2:$AH$1001,0),0), INDEX($AO$1004:$BQ$1004,1,MATCH(COLUMNS($AO$1006:AY1006),$AO$1006:$BQ$1006,0)))),"Fix")))</f>
        <v>#N/A</v>
      </c>
      <c r="M565" s="5" t="e">
        <f ca="1">IF(OR(INDEX($AI$2:$AI$1001,MATCH(ROWS($AH$2:AH565),$AH$2:$AH$1001,0),1)&gt;=100000,INDEX($AO$1005:$BQ$1005,1,MATCH(COLUMNS($AO$1006:AZ1006),$AO$1006:$BQ$1006,0))&gt;=100000), " ",IF(INDEX($AO$2:$BQ$1001,MATCH(ROWS($AH$2:AH565),$AH$2:$AH$1001,0),MATCH(COLUMNS($AO$1006:AZ1006),$AO$1006:$BQ$1006,0)), HYPERLINK("#",""), HYPERLINK(CONCATENATE("#Metadata!", ADDRESS(INDEX($AJ$2:$AJ$1001,MATCH(ROWS($AH$2:AH565),$AH$2:$AH$1001,0),0), INDEX($AO$1004:$BQ$1004,1,MATCH(COLUMNS($AO$1006:AZ1006),$AO$1006:$BQ$1006,0)))),"Fix")))</f>
        <v>#N/A</v>
      </c>
      <c r="N565" s="5" t="e">
        <f ca="1">IF(OR(INDEX($AI$2:$AI$1001,MATCH(ROWS($AH$2:AH565),$AH$2:$AH$1001,0),1)&gt;=100000,INDEX($AO$1005:$BQ$1005,1,MATCH(COLUMNS($AO$1006:BA1006),$AO$1006:$BQ$1006,0))&gt;=100000), " ",IF(INDEX($AO$2:$BQ$1001,MATCH(ROWS($AH$2:AH565),$AH$2:$AH$1001,0),MATCH(COLUMNS($AO$1006:BA1006),$AO$1006:$BQ$1006,0)), HYPERLINK("#",""), HYPERLINK(CONCATENATE("#Metadata!", ADDRESS(INDEX($AJ$2:$AJ$1001,MATCH(ROWS($AH$2:AH565),$AH$2:$AH$1001,0),0), INDEX($AO$1004:$BQ$1004,1,MATCH(COLUMNS($AO$1006:BA1006),$AO$1006:$BQ$1006,0)))),"Fix")))</f>
        <v>#N/A</v>
      </c>
      <c r="O565" s="5" t="e">
        <f ca="1">IF(OR(INDEX($AI$2:$AI$1001,MATCH(ROWS($AH$2:AH565),$AH$2:$AH$1001,0),1)&gt;=100000,INDEX($AO$1005:$BQ$1005,1,MATCH(COLUMNS($AO$1006:BB1006),$AO$1006:$BQ$1006,0))&gt;=100000), " ",IF(INDEX($AO$2:$BQ$1001,MATCH(ROWS($AH$2:AH565),$AH$2:$AH$1001,0),MATCH(COLUMNS($AO$1006:BB1006),$AO$1006:$BQ$1006,0)), HYPERLINK("#",""), HYPERLINK(CONCATENATE("#Metadata!", ADDRESS(INDEX($AJ$2:$AJ$1001,MATCH(ROWS($AH$2:AH565),$AH$2:$AH$1001,0),0), INDEX($AO$1004:$BQ$1004,1,MATCH(COLUMNS($AO$1006:BB1006),$AO$1006:$BQ$1006,0)))),"Fix")))</f>
        <v>#N/A</v>
      </c>
      <c r="P565" s="5" t="e">
        <f ca="1">IF(OR(INDEX($AI$2:$AI$1001,MATCH(ROWS($AH$2:AH565),$AH$2:$AH$1001,0),1)&gt;=100000,INDEX($AO$1005:$BQ$1005,1,MATCH(COLUMNS($AO$1006:BC1006),$AO$1006:$BQ$1006,0))&gt;=100000), " ",IF(INDEX($AO$2:$BQ$1001,MATCH(ROWS($AH$2:AH565),$AH$2:$AH$1001,0),MATCH(COLUMNS($AO$1006:BC1006),$AO$1006:$BQ$1006,0)), HYPERLINK("#",""), HYPERLINK(CONCATENATE("#Metadata!", ADDRESS(INDEX($AJ$2:$AJ$1001,MATCH(ROWS($AH$2:AH565),$AH$2:$AH$1001,0),0), INDEX($AO$1004:$BQ$1004,1,MATCH(COLUMNS($AO$1006:BC1006),$AO$1006:$BQ$1006,0)))),"Fix")))</f>
        <v>#N/A</v>
      </c>
      <c r="Q565" s="5" t="e">
        <f ca="1">IF(OR(INDEX($AI$2:$AI$1001,MATCH(ROWS($AH$2:AH565),$AH$2:$AH$1001,0),1)&gt;=100000,INDEX($AO$1005:$BQ$1005,1,MATCH(COLUMNS($AO$1006:BD1006),$AO$1006:$BQ$1006,0))&gt;=100000), " ",IF(INDEX($AO$2:$BQ$1001,MATCH(ROWS($AH$2:AH565),$AH$2:$AH$1001,0),MATCH(COLUMNS($AO$1006:BD1006),$AO$1006:$BQ$1006,0)), HYPERLINK("#",""), HYPERLINK(CONCATENATE("#Metadata!", ADDRESS(INDEX($AJ$2:$AJ$1001,MATCH(ROWS($AH$2:AH565),$AH$2:$AH$1001,0),0), INDEX($AO$1004:$BQ$1004,1,MATCH(COLUMNS($AO$1006:BD1006),$AO$1006:$BQ$1006,0)))),"Fix")))</f>
        <v>#N/A</v>
      </c>
      <c r="R565" s="5" t="e">
        <f ca="1">IF(OR(INDEX($AI$2:$AI$1001,MATCH(ROWS($AH$2:AH565),$AH$2:$AH$1001,0),1)&gt;=100000,INDEX($AO$1005:$BQ$1005,1,MATCH(COLUMNS($AO$1006:BE1006),$AO$1006:$BQ$1006,0))&gt;=100000), " ",IF(INDEX($AO$2:$BQ$1001,MATCH(ROWS($AH$2:AH565),$AH$2:$AH$1001,0),MATCH(COLUMNS($AO$1006:BE1006),$AO$1006:$BQ$1006,0)), HYPERLINK("#",""), HYPERLINK(CONCATENATE("#Metadata!", ADDRESS(INDEX($AJ$2:$AJ$1001,MATCH(ROWS($AH$2:AH565),$AH$2:$AH$1001,0),0), INDEX($AO$1004:$BQ$1004,1,MATCH(COLUMNS($AO$1006:BE1006),$AO$1006:$BQ$1006,0)))),"Fix")))</f>
        <v>#N/A</v>
      </c>
      <c r="S565" s="5" t="e">
        <f ca="1">IF(OR(INDEX($AI$2:$AI$1001,MATCH(ROWS($AH$2:AH565),$AH$2:$AH$1001,0),1)&gt;=100000,INDEX($AO$1005:$BQ$1005,1,MATCH(COLUMNS($AO$1006:BF1006),$AO$1006:$BQ$1006,0))&gt;=100000), " ",IF(INDEX($AO$2:$BQ$1001,MATCH(ROWS($AH$2:AH565),$AH$2:$AH$1001,0),MATCH(COLUMNS($AO$1006:BF1006),$AO$1006:$BQ$1006,0)), HYPERLINK("#",""), HYPERLINK(CONCATENATE("#Metadata!", ADDRESS(INDEX($AJ$2:$AJ$1001,MATCH(ROWS($AH$2:AH565),$AH$2:$AH$1001,0),0), INDEX($AO$1004:$BQ$1004,1,MATCH(COLUMNS($AO$1006:BF1006),$AO$1006:$BQ$1006,0)))),"Fix")))</f>
        <v>#N/A</v>
      </c>
      <c r="T565" s="5" t="e">
        <f ca="1">IF(OR(INDEX($AI$2:$AI$1001,MATCH(ROWS($AH$2:AH565),$AH$2:$AH$1001,0),1)&gt;=100000,INDEX($AO$1005:$BQ$1005,1,MATCH(COLUMNS($AO$1006:BG1006),$AO$1006:$BQ$1006,0))&gt;=100000), " ",IF(INDEX($AO$2:$BQ$1001,MATCH(ROWS($AH$2:AH565),$AH$2:$AH$1001,0),MATCH(COLUMNS($AO$1006:BG1006),$AO$1006:$BQ$1006,0)), HYPERLINK("#",""), HYPERLINK(CONCATENATE("#Metadata!", ADDRESS(INDEX($AJ$2:$AJ$1001,MATCH(ROWS($AH$2:AH565),$AH$2:$AH$1001,0),0), INDEX($AO$1004:$BQ$1004,1,MATCH(COLUMNS($AO$1006:BG1006),$AO$1006:$BQ$1006,0)))),"Fix")))</f>
        <v>#N/A</v>
      </c>
      <c r="U565" s="5" t="e">
        <f ca="1">IF(OR(INDEX($AI$2:$AI$1001,MATCH(ROWS($AH$2:AH565),$AH$2:$AH$1001,0),1)&gt;=100000,INDEX($AO$1005:$BQ$1005,1,MATCH(COLUMNS($AO$1006:BH1006),$AO$1006:$BQ$1006,0))&gt;=100000), " ",IF(INDEX($AO$2:$BQ$1001,MATCH(ROWS($AH$2:AH565),$AH$2:$AH$1001,0),MATCH(COLUMNS($AO$1006:BH1006),$AO$1006:$BQ$1006,0)), HYPERLINK("#",""), HYPERLINK(CONCATENATE("#Metadata!", ADDRESS(INDEX($AJ$2:$AJ$1001,MATCH(ROWS($AH$2:AH565),$AH$2:$AH$1001,0),0), INDEX($AO$1004:$BQ$1004,1,MATCH(COLUMNS($AO$1006:BH1006),$AO$1006:$BQ$1006,0)))),"Fix")))</f>
        <v>#N/A</v>
      </c>
      <c r="V565" s="5" t="e">
        <f ca="1">IF(OR(INDEX($AI$2:$AI$1001,MATCH(ROWS($AH$2:AH565),$AH$2:$AH$1001,0),1)&gt;=100000,INDEX($AO$1005:$BQ$1005,1,MATCH(COLUMNS($AO$1006:BI1006),$AO$1006:$BQ$1006,0))&gt;=100000), " ",IF(INDEX($AO$2:$BQ$1001,MATCH(ROWS($AH$2:AH565),$AH$2:$AH$1001,0),MATCH(COLUMNS($AO$1006:BI1006),$AO$1006:$BQ$1006,0)), HYPERLINK("#",""), HYPERLINK(CONCATENATE("#Metadata!", ADDRESS(INDEX($AJ$2:$AJ$1001,MATCH(ROWS($AH$2:AH565),$AH$2:$AH$1001,0),0), INDEX($AO$1004:$BQ$1004,1,MATCH(COLUMNS($AO$1006:BI1006),$AO$1006:$BQ$1006,0)))),"Fix")))</f>
        <v>#N/A</v>
      </c>
      <c r="W565" s="5" t="e">
        <f ca="1">IF(OR(INDEX($AI$2:$AI$1001,MATCH(ROWS($AH$2:AH565),$AH$2:$AH$1001,0),1)&gt;=100000,INDEX($AO$1005:$BQ$1005,1,MATCH(COLUMNS($AO$1006:BJ1006),$AO$1006:$BQ$1006,0))&gt;=100000), " ",IF(INDEX($AO$2:$BQ$1001,MATCH(ROWS($AH$2:AH565),$AH$2:$AH$1001,0),MATCH(COLUMNS($AO$1006:BJ1006),$AO$1006:$BQ$1006,0)), HYPERLINK("#",""), HYPERLINK(CONCATENATE("#Metadata!", ADDRESS(INDEX($AJ$2:$AJ$1001,MATCH(ROWS($AH$2:AH565),$AH$2:$AH$1001,0),0), INDEX($AO$1004:$BQ$1004,1,MATCH(COLUMNS($AO$1006:BJ1006),$AO$1006:$BQ$1006,0)))),"Fix")))</f>
        <v>#N/A</v>
      </c>
      <c r="X565" s="5" t="e">
        <f ca="1">IF(OR(INDEX($AI$2:$AI$1001,MATCH(ROWS($AH$2:AH565),$AH$2:$AH$1001,0),1)&gt;=100000,INDEX($AO$1005:$BQ$1005,1,MATCH(COLUMNS($AO$1006:BK1006),$AO$1006:$BQ$1006,0))&gt;=100000), " ",IF(INDEX($AO$2:$BQ$1001,MATCH(ROWS($AH$2:AH565),$AH$2:$AH$1001,0),MATCH(COLUMNS($AO$1006:BK1006),$AO$1006:$BQ$1006,0)), HYPERLINK("#",""), HYPERLINK(CONCATENATE("#Metadata!", ADDRESS(INDEX($AJ$2:$AJ$1001,MATCH(ROWS($AH$2:AH565),$AH$2:$AH$1001,0),0), INDEX($AO$1004:$BQ$1004,1,MATCH(COLUMNS($AO$1006:BK1006),$AO$1006:$BQ$1006,0)))),"Fix")))</f>
        <v>#N/A</v>
      </c>
      <c r="Y565" s="5" t="e">
        <f ca="1">IF(OR(INDEX($AI$2:$AI$1001,MATCH(ROWS($AH$2:AH565),$AH$2:$AH$1001,0),1)&gt;=100000,INDEX($AO$1005:$BQ$1005,1,MATCH(COLUMNS($AO$1006:BL1006),$AO$1006:$BQ$1006,0))&gt;=100000), " ",IF(INDEX($AO$2:$BQ$1001,MATCH(ROWS($AH$2:AH565),$AH$2:$AH$1001,0),MATCH(COLUMNS($AO$1006:BL1006),$AO$1006:$BQ$1006,0)), HYPERLINK("#",""), HYPERLINK(CONCATENATE("#Metadata!", ADDRESS(INDEX($AJ$2:$AJ$1001,MATCH(ROWS($AH$2:AH565),$AH$2:$AH$1001,0),0), INDEX($AO$1004:$BQ$1004,1,MATCH(COLUMNS($AO$1006:BL1006),$AO$1006:$BQ$1006,0)))),"Fix")))</f>
        <v>#N/A</v>
      </c>
      <c r="Z565" s="5" t="e">
        <f ca="1">IF(OR(INDEX($AI$2:$AI$1001,MATCH(ROWS($AH$2:AH565),$AH$2:$AH$1001,0),1)&gt;=100000,INDEX($AO$1005:$BQ$1005,1,MATCH(COLUMNS($AO$1006:BM1006),$AO$1006:$BQ$1006,0))&gt;=100000), " ",IF(INDEX($AO$2:$BQ$1001,MATCH(ROWS($AH$2:AH565),$AH$2:$AH$1001,0),MATCH(COLUMNS($AO$1006:BM1006),$AO$1006:$BQ$1006,0)), HYPERLINK("#",""), HYPERLINK(CONCATENATE("#Metadata!", ADDRESS(INDEX($AJ$2:$AJ$1001,MATCH(ROWS($AH$2:AH565),$AH$2:$AH$1001,0),0), INDEX($AO$1004:$BQ$1004,1,MATCH(COLUMNS($AO$1006:BM1006),$AO$1006:$BQ$1006,0)))),"Fix")))</f>
        <v>#N/A</v>
      </c>
      <c r="AA565" s="5" t="e">
        <f ca="1">IF(OR(INDEX($AI$2:$AI$1001,MATCH(ROWS($AH$2:AH565),$AH$2:$AH$1001,0),1)&gt;=100000,INDEX($AO$1005:$BQ$1005,1,MATCH(COLUMNS($AO$1006:BN1006),$AO$1006:$BQ$1006,0))&gt;=100000), " ",IF(INDEX($AO$2:$BQ$1001,MATCH(ROWS($AH$2:AH565),$AH$2:$AH$1001,0),MATCH(COLUMNS($AO$1006:BN1006),$AO$1006:$BQ$1006,0)), HYPERLINK("#",""), HYPERLINK(CONCATENATE("#Metadata!", ADDRESS(INDEX($AJ$2:$AJ$1001,MATCH(ROWS($AH$2:AH565),$AH$2:$AH$1001,0),0), INDEX($AO$1004:$BQ$1004,1,MATCH(COLUMNS($AO$1006:BN1006),$AO$1006:$BQ$1006,0)))),"Fix")))</f>
        <v>#N/A</v>
      </c>
      <c r="AB565" s="5" t="e">
        <f ca="1">IF(OR(INDEX($AI$2:$AI$1001,MATCH(ROWS($AH$2:AH565),$AH$2:$AH$1001,0),1)&gt;=100000,INDEX($AO$1005:$BQ$1005,1,MATCH(COLUMNS($AO$1006:BO1006),$AO$1006:$BQ$1006,0))&gt;=100000), " ",IF(INDEX($AO$2:$BQ$1001,MATCH(ROWS($AH$2:AH565),$AH$2:$AH$1001,0),MATCH(COLUMNS($AO$1006:BO1006),$AO$1006:$BQ$1006,0)), HYPERLINK("#",""), HYPERLINK(CONCATENATE("#Metadata!", ADDRESS(INDEX($AJ$2:$AJ$1001,MATCH(ROWS($AH$2:AH565),$AH$2:$AH$1001,0),0), INDEX($AO$1004:$BQ$1004,1,MATCH(COLUMNS($AO$1006:BO1006),$AO$1006:$BQ$1006,0)))),"Fix")))</f>
        <v>#N/A</v>
      </c>
      <c r="AC565" s="5" t="e">
        <f ca="1">IF(OR(INDEX($AI$2:$AI$1001,MATCH(ROWS($AH$2:AH565),$AH$2:$AH$1001,0),1)&gt;=100000,INDEX($AO$1005:$BQ$1005,1,MATCH(COLUMNS($AO$1006:BP1006),$AO$1006:$BQ$1006,0))&gt;=100000), " ",IF(INDEX($AO$2:$BQ$1001,MATCH(ROWS($AH$2:AH565),$AH$2:$AH$1001,0),MATCH(COLUMNS($AO$1006:BP1006),$AO$1006:$BQ$1006,0)), HYPERLINK("#",""), HYPERLINK(CONCATENATE("#Metadata!", ADDRESS(INDEX($AJ$2:$AJ$1001,MATCH(ROWS($AH$2:AH565),$AH$2:$AH$1001,0),0), INDEX($AO$1004:$BQ$1004,1,MATCH(COLUMNS($AO$1006:BP1006),$AO$1006:$BQ$1006,0)))),"Fix")))</f>
        <v>#N/A</v>
      </c>
      <c r="AD565" s="5" t="e">
        <f ca="1">IF(OR(INDEX($AI$2:$AI$1001,MATCH(ROWS($AH$2:AH565),$AH$2:$AH$1001,0),1)&gt;=100000,INDEX($AO$1005:$BQ$1005,1,MATCH(COLUMNS($AO$1006:BQ1006),$AO$1006:$BQ$1006,0))&gt;=100000), " ",IF(INDEX($AO$2:$BQ$1001,MATCH(ROWS($AH$2:AH565),$AH$2:$AH$1001,0),MATCH(COLUMNS($AO$1006:BQ1006),$AO$1006:$BQ$1006,0)), HYPERLINK("#",""), HYPERLINK(CONCATENATE("#Metadata!", ADDRESS(INDEX($AJ$2:$AJ$1001,MATCH(ROWS($AH$2:AH565),$AH$2:$AH$1001,0),0), INDEX($AO$1004:$BQ$1004,1,MATCH(COLUMNS($AO$1006:BQ1006),$AO$1006:$BQ$1006,0)))),"Fix")))</f>
        <v>#REF!</v>
      </c>
      <c r="AH565">
        <f ca="1"/>
        <v>562</v>
      </c>
      <c r="AI565">
        <v>100565</v>
      </c>
      <c r="AJ565">
        <v>565</v>
      </c>
      <c r="AK565" t="b">
        <f t="shared" si="8"/>
        <v>1</v>
      </c>
      <c r="AL565" t="b">
        <f>COUNTBLANK(Metadata!B565:AD565)=COLUMNS(Metadata!B565:AD565)</f>
        <v>1</v>
      </c>
      <c r="AM565" t="str">
        <v/>
      </c>
      <c r="AO565" t="b">
        <f ca="1">AND(IF(Metadata!B565="",FALSE,TRUE),COUNTIF(Metadata!B:B, Metadata!B565) = 1,NOT(ISERROR(SUMPRODUCT(SEARCH(MID(Metadata!B565,ROW(INDIRECT("1:"&amp;LEN(Metadata!B565))), 1),"0123456789abcdefghijklmnopqrstuvwxyzABCDEFGHIJKLMNOPQRSTUVWXYZ.")))))</f>
        <v>0</v>
      </c>
      <c r="AP565" t="b">
        <f>IF(Metadata!C565="",FALSE,TRUE)</f>
        <v>0</v>
      </c>
      <c r="AQ565" t="b">
        <f>IF(Metadata!D565="",FALSE,TRUE)</f>
        <v>0</v>
      </c>
      <c r="AR565" t="b">
        <f ca="1">OR(AND(IF(Metadata!E565="",FALSE,TRUE),OR(EXACT(Metadata!E565,"not collected"),EXACT(Metadata!E565,"not provided"),EXACT(Metadata!E565,"restricted access"))),AND(IF(Metadata!E565="",FALSE,TRUE),AND(AND(IFERROR(INT(LEFT(Metadata!E565,4))&gt;1900,FALSE),IFERROR(INT(LEFT(Metadata!E565,4))&lt;=YEAR(NOW()),FALSE)), OR(MID(Metadata!E565,5,1)="", AND(AND(MID(Metadata!E565,5,1)="-",IFERROR(INT(MID(Metadata!E565,6,1))&gt;=0,FALSE),IFERROR(INT(MID(Metadata!E565,6,1))&lt;=1,FALSE),NOT(MID(Metadata!E565,7,1)=""),IFERROR(INT(MID(Metadata!E565,6,2))&gt;=1,FALSE),IFERROR(INT(MID(Metadata!E565,6,2))&lt;=12,FALSE)), OR(MID(Metadata!E565,8,1)="", AND(AND(MID(Metadata!E565,8,1)="-",IFERROR(INT(MID(Metadata!E565,9,1))&gt;=0,FALSE),IFERROR(INT(MID(Metadata!E565,9,1))&lt;=3,FALSE),NOT(MID(Metadata!E565,10,1)=""),IFERROR(INT(MID(Metadata!E565,9,2))&gt;=1,FALSE),IFERROR(INT(MID(Metadata!E565,9,2))&lt;=31,FALSE)), OR(MID(Metadata!E565,11,1)="", AND(AND(MID(Metadata!E565,11,1)=" ",IFERROR(INT(MID(Metadata!E565,12,1))&gt;=0,FALSE),IFERROR(INT(MID(Metadata!E565,12,1))&lt;=2,FALSE),NOT(MID(Metadata!E565,13,1)=""),IFERROR(INT(MID(Metadata!E565,12,2))&gt;=0,FALSE),IFERROR(INT(MID(Metadata!E565,12,2))&lt;=23,FALSE)), OR(MID(Metadata!E565,14,1)="", AND(AND(MID(Metadata!E565,14,1)=":",IFERROR(INT(MID(Metadata!E565,15,1))&gt;=0,FALSE),IFERROR(INT(MID(Metadata!E565,15,1))&lt;=5,FALSE),NOT(MID(Metadata!E565,16,1)=""),IFERROR(INT(MID(Metadata!E565,15,2))&gt;=0,FALSE),IFERROR(INT(MID(Metadata!E565,15,2))&lt;=59,FALSE)), OR(MID(Metadata!E565,17,1)="", AND(AND(MID(Metadata!E565,17,1)=":",IFERROR(INT(MID(Metadata!E565,18,1))&gt;=0,FALSE),IFERROR(INT(MID(Metadata!E565,18,1))&lt;=5,FALSE),NOT(MID(Metadata!E565,19,1)=""),IFERROR(INT(MID(Metadata!E565,18,2))&gt;=0,FALSE),IFERROR(INT(MID(Metadata!E565,18,2))&lt;=59,FALSE)), LEN(Metadata!E565)&lt;=19)))))))))))))</f>
        <v>0</v>
      </c>
      <c r="AS565" t="b">
        <f>IF(Metadata!F565="",FALSE,TRUE)</f>
        <v>0</v>
      </c>
      <c r="AT565" t="b">
        <f>OR(AND(IF(Metadata!G565="",FALSE,TRUE),OR(EXACT(Metadata!G565,"not collected"),EXACT(Metadata!G565,"not provided"))),AND(IF(Metadata!G565="",FALSE,TRUE),OR(EXACT(Metadata!G565,"TRUE"),EXACT(Metadata!G565,"FALSE"))))</f>
        <v>0</v>
      </c>
      <c r="AU565" t="b">
        <f>OR(AND(IF(Metadata!H565="",FALSE,TRUE),OR(EXACT(Metadata!H565,"not collected"),EXACT(Metadata!H565,"not provided"),EXACT(Metadata!H565,"restricted access"))),AND(IF(Metadata!H565="",FALSE,ISNUMBER(VALUE(Metadata!H565))),Metadata!H565&gt;=-413))</f>
        <v>0</v>
      </c>
      <c r="AV565" t="b">
        <f>AND(IF(Metadata!I565="",FALSE,TRUE),EXACT(Metadata!I565,"meters"))</f>
        <v>0</v>
      </c>
      <c r="AW565" t="b">
        <f>AND(IF(Metadata!J565="",FALSE,TRUE),EXACT(Metadata!J565,"free-living"))</f>
        <v>0</v>
      </c>
      <c r="AX565" t="b">
        <f>AND(IF(Metadata!K565="",FALSE,TRUE),OR(EXACT(Metadata!K565,"saline"),EXACT(Metadata!K565,"non-saline")))</f>
        <v>0</v>
      </c>
      <c r="AY565" t="b">
        <f>AND(IF(Metadata!L565="",FALSE,TRUE),OR(EXACT(Metadata!L565,"sub-surface (non-saline)"),EXACT(Metadata!L565,"surface (non-saline)"),EXACT(Metadata!L565,"water (non-saline)"),EXACT(Metadata!L565,"soil (non-saline)"),EXACT(Metadata!L565,"aerosol (non-saline)"),EXACT(Metadata!L565,"sediment (non-saline)"),EXACT(Metadata!L565,"surface (saline)"),EXACT(Metadata!L565,"water (saline)"),EXACT(Metadata!L565,"hypersaline (saline)"),EXACT(Metadata!L565,"aerosol (saline)"),EXACT(Metadata!L565,"sediment (saline)")))</f>
        <v>0</v>
      </c>
      <c r="AZ565" t="b">
        <f>IF(Metadata!M565="",FALSE,TRUE)</f>
        <v>0</v>
      </c>
      <c r="BA565" t="b">
        <f>IF(Metadata!N565="",FALSE,TRUE)</f>
        <v>0</v>
      </c>
      <c r="BB565" t="b">
        <f>IF(Metadata!O565="",FALSE,TRUE)</f>
        <v>0</v>
      </c>
      <c r="BC565" t="b">
        <f>AND(IF(Metadata!P565="",FALSE,TRUE),OR(EXACT(Metadata!P565,"air"),EXACT(Metadata!P565,"microbial mat/biofilm"),EXACT(Metadata!P565,"misc environment"),EXACT(Metadata!P565,"sediment"),EXACT(Metadata!P565,"soil"),EXACT(Metadata!P565,"wastewater/sludge"),EXACT(Metadata!P565,"water")))</f>
        <v>0</v>
      </c>
      <c r="BD565" t="b">
        <f>IF(Metadata!Q565="",FALSE,TRUE)</f>
        <v>0</v>
      </c>
      <c r="BE565" t="b">
        <f>IF(Metadata!R565="",FALSE,TRUE)</f>
        <v>0</v>
      </c>
      <c r="BF565" t="b">
        <f>OR(AND(IF(Metadata!S565="",FALSE,TRUE),OR(EXACT(Metadata!S565,"not collected"),EXACT(Metadata!S565,"not provided"),EXACT(Metadata!S565,"restricted access"))),AND(IF(Metadata!S565="",FALSE,ISNUMBER(VALUE(Metadata!S565))),Metadata!S565&gt;=-90,Metadata!S565&lt;=90))</f>
        <v>0</v>
      </c>
      <c r="BG565" t="b">
        <f>AND(IF(Metadata!T565="",FALSE,TRUE),EXACT(Metadata!T565,"Decimal degrees"))</f>
        <v>0</v>
      </c>
      <c r="BH565" t="b">
        <f>OR(AND(IF(Metadata!U565="",FALSE,TRUE),OR(EXACT(Metadata!U565,"not applicable"),EXACT(Metadata!U565,"not collected"))),IF(Metadata!U565="",FALSE,TRUE))</f>
        <v>0</v>
      </c>
      <c r="BI565" t="b">
        <f>OR(AND(IF(Metadata!V565="",FALSE,TRUE),OR(EXACT(Metadata!V565,"not collected"),EXACT(Metadata!V565,"not provided"),EXACT(Metadata!V565,"restricted access"))),AND(IF(Metadata!V565="",FALSE,ISNUMBER(VALUE(Metadata!V565))),Metadata!V565&gt;=-180,Metadata!V565&lt;=180))</f>
        <v>0</v>
      </c>
      <c r="BJ565" t="b">
        <f>AND(IF(Metadata!W565="",FALSE,TRUE),EXACT(Metadata!W565,"Decimal degrees"))</f>
        <v>0</v>
      </c>
      <c r="BK565" t="b">
        <f>IF(Metadata!X565="",FALSE,TRUE)</f>
        <v>0</v>
      </c>
      <c r="BL565" t="b">
        <f>OR(AND(IF(Metadata!Y565="",FALSE,TRUE),OR(EXACT(Metadata!Y565,"not collected"),EXACT(Metadata!Y565,"not provided"),EXACT(Metadata!Y565,"restricted access"))),AND(IF(Metadata!Y565="",FALSE,TRUE),OR(EXACT(Metadata!Y565,"TRUE"),EXACT(Metadata!Y565,"FALSE"))))</f>
        <v>0</v>
      </c>
      <c r="BM565" t="b">
        <f>OR(AND(IF(Metadata!Z565="",FALSE,TRUE),EXACT(Metadata!Z565,"not applicable")),AND(IF(Metadata!Z565="",FALSE,TRUE),OR(EXACT(Metadata!Z565,"beer"),EXACT(Metadata!Z565,"cheese"),EXACT(Metadata!Z565,"fresh water"),EXACT(Metadata!Z565,"marine sediment"),EXACT(Metadata!Z565,"sea water"),EXACT(Metadata!Z565,"sediment"),EXACT(Metadata!Z565,"soil"),EXACT(Metadata!Z565,"waste water"))))</f>
        <v>0</v>
      </c>
      <c r="BN565" t="b">
        <f>AND(IF(Metadata!AA565="",FALSE,TRUE),EXACT(Metadata!AA565,"metagenome"))</f>
        <v>0</v>
      </c>
      <c r="BO565" t="b">
        <f>AND(IF(Metadata!AB565="",FALSE,TRUE),EXACT(Metadata!AB565,"256318"))</f>
        <v>0</v>
      </c>
      <c r="BP565" t="b">
        <f>IF(Metadata!AC565="",FALSE,TRUE)</f>
        <v>0</v>
      </c>
      <c r="BQ565" t="b">
        <f>IF(Metadata!AD565="",FALSE,TRUE)</f>
        <v>0</v>
      </c>
    </row>
    <row r="566" spans="1:69" x14ac:dyDescent="0.2">
      <c r="A566" s="4" t="e">
        <f ca="1">IF(B566=" "," ",HYPERLINK(CONCATENATE("#metadata!",ADDRESS(INDEX($AJ$2:$AJ$1001,MATCH(ROWS($AH$2:AH566),$AH$2:$AH$1001,0),0),2)),INDEX($AM$2:$AM$1001,MATCH(ROWS($AH$2:AH566),$AH$2:$AH$1001,0),0)))</f>
        <v>#N/A</v>
      </c>
      <c r="B566" s="5" t="e">
        <f ca="1">IF(OR(INDEX($AI$2:$AI$1001,MATCH(ROWS($AH$2:AH566),$AH$2:$AH$1001,0),1)&gt;=100000,INDEX($AO$1005:$BQ$1005,1,MATCH(COLUMNS($AO$1006:AO1006),$AO$1006:$BQ$1006,0))&gt;=100000), " ",IF(INDEX($AO$2:$BQ$1001,MATCH(ROWS($AH$2:AH566),$AH$2:$AH$1001,0),MATCH(COLUMNS($AO$1006:AO1006),$AO$1006:$BQ$1006,0)), HYPERLINK("#",""), HYPERLINK(CONCATENATE("#Metadata!", ADDRESS(INDEX($AJ$2:$AJ$1001,MATCH(ROWS($AH$2:AH566),$AH$2:$AH$1001,0),0), INDEX($AO$1004:$BQ$1004,1,MATCH(COLUMNS($AO$1006:AO1006),$AO$1006:$BQ$1006,0)))),"Fix")))</f>
        <v>#N/A</v>
      </c>
      <c r="C566" s="5" t="e">
        <f ca="1">IF(OR(INDEX($AI$2:$AI$1001,MATCH(ROWS($AH$2:AH566),$AH$2:$AH$1001,0),1)&gt;=100000,INDEX($AO$1005:$BQ$1005,1,MATCH(COLUMNS($AO$1006:AP1006),$AO$1006:$BQ$1006,0))&gt;=100000), " ",IF(INDEX($AO$2:$BQ$1001,MATCH(ROWS($AH$2:AH566),$AH$2:$AH$1001,0),MATCH(COLUMNS($AO$1006:AP1006),$AO$1006:$BQ$1006,0)), HYPERLINK("#",""), HYPERLINK(CONCATENATE("#Metadata!", ADDRESS(INDEX($AJ$2:$AJ$1001,MATCH(ROWS($AH$2:AH566),$AH$2:$AH$1001,0),0), INDEX($AO$1004:$BQ$1004,1,MATCH(COLUMNS($AO$1006:AP1006),$AO$1006:$BQ$1006,0)))),"Fix")))</f>
        <v>#N/A</v>
      </c>
      <c r="D566" s="5" t="e">
        <f ca="1">IF(OR(INDEX($AI$2:$AI$1001,MATCH(ROWS($AH$2:AH566),$AH$2:$AH$1001,0),1)&gt;=100000,INDEX($AO$1005:$BQ$1005,1,MATCH(COLUMNS($AO$1006:AQ1006),$AO$1006:$BQ$1006,0))&gt;=100000), " ",IF(INDEX($AO$2:$BQ$1001,MATCH(ROWS($AH$2:AH566),$AH$2:$AH$1001,0),MATCH(COLUMNS($AO$1006:AQ1006),$AO$1006:$BQ$1006,0)), HYPERLINK("#",""), HYPERLINK(CONCATENATE("#Metadata!", ADDRESS(INDEX($AJ$2:$AJ$1001,MATCH(ROWS($AH$2:AH566),$AH$2:$AH$1001,0),0), INDEX($AO$1004:$BQ$1004,1,MATCH(COLUMNS($AO$1006:AQ1006),$AO$1006:$BQ$1006,0)))),"Fix")))</f>
        <v>#N/A</v>
      </c>
      <c r="E566" s="5" t="e">
        <f ca="1">IF(OR(INDEX($AI$2:$AI$1001,MATCH(ROWS($AH$2:AH566),$AH$2:$AH$1001,0),1)&gt;=100000,INDEX($AO$1005:$BQ$1005,1,MATCH(COLUMNS($AO$1006:AR1006),$AO$1006:$BQ$1006,0))&gt;=100000), " ",IF(INDEX($AO$2:$BQ$1001,MATCH(ROWS($AH$2:AH566),$AH$2:$AH$1001,0),MATCH(COLUMNS($AO$1006:AR1006),$AO$1006:$BQ$1006,0)), HYPERLINK("#",""), HYPERLINK(CONCATENATE("#Metadata!", ADDRESS(INDEX($AJ$2:$AJ$1001,MATCH(ROWS($AH$2:AH566),$AH$2:$AH$1001,0),0), INDEX($AO$1004:$BQ$1004,1,MATCH(COLUMNS($AO$1006:AR1006),$AO$1006:$BQ$1006,0)))),"Fix")))</f>
        <v>#N/A</v>
      </c>
      <c r="F566" s="5" t="e">
        <f ca="1">IF(OR(INDEX($AI$2:$AI$1001,MATCH(ROWS($AH$2:AH566),$AH$2:$AH$1001,0),1)&gt;=100000,INDEX($AO$1005:$BQ$1005,1,MATCH(COLUMNS($AO$1006:AS1006),$AO$1006:$BQ$1006,0))&gt;=100000), " ",IF(INDEX($AO$2:$BQ$1001,MATCH(ROWS($AH$2:AH566),$AH$2:$AH$1001,0),MATCH(COLUMNS($AO$1006:AS1006),$AO$1006:$BQ$1006,0)), HYPERLINK("#",""), HYPERLINK(CONCATENATE("#Metadata!", ADDRESS(INDEX($AJ$2:$AJ$1001,MATCH(ROWS($AH$2:AH566),$AH$2:$AH$1001,0),0), INDEX($AO$1004:$BQ$1004,1,MATCH(COLUMNS($AO$1006:AS1006),$AO$1006:$BQ$1006,0)))),"Fix")))</f>
        <v>#N/A</v>
      </c>
      <c r="G566" s="5" t="e">
        <f ca="1">IF(OR(INDEX($AI$2:$AI$1001,MATCH(ROWS($AH$2:AH566),$AH$2:$AH$1001,0),1)&gt;=100000,INDEX($AO$1005:$BQ$1005,1,MATCH(COLUMNS($AO$1006:AT1006),$AO$1006:$BQ$1006,0))&gt;=100000), " ",IF(INDEX($AO$2:$BQ$1001,MATCH(ROWS($AH$2:AH566),$AH$2:$AH$1001,0),MATCH(COLUMNS($AO$1006:AT1006),$AO$1006:$BQ$1006,0)), HYPERLINK("#",""), HYPERLINK(CONCATENATE("#Metadata!", ADDRESS(INDEX($AJ$2:$AJ$1001,MATCH(ROWS($AH$2:AH566),$AH$2:$AH$1001,0),0), INDEX($AO$1004:$BQ$1004,1,MATCH(COLUMNS($AO$1006:AT1006),$AO$1006:$BQ$1006,0)))),"Fix")))</f>
        <v>#N/A</v>
      </c>
      <c r="H566" s="5" t="e">
        <f ca="1">IF(OR(INDEX($AI$2:$AI$1001,MATCH(ROWS($AH$2:AH566),$AH$2:$AH$1001,0),1)&gt;=100000,INDEX($AO$1005:$BQ$1005,1,MATCH(COLUMNS($AO$1006:AU1006),$AO$1006:$BQ$1006,0))&gt;=100000), " ",IF(INDEX($AO$2:$BQ$1001,MATCH(ROWS($AH$2:AH566),$AH$2:$AH$1001,0),MATCH(COLUMNS($AO$1006:AU1006),$AO$1006:$BQ$1006,0)), HYPERLINK("#",""), HYPERLINK(CONCATENATE("#Metadata!", ADDRESS(INDEX($AJ$2:$AJ$1001,MATCH(ROWS($AH$2:AH566),$AH$2:$AH$1001,0),0), INDEX($AO$1004:$BQ$1004,1,MATCH(COLUMNS($AO$1006:AU1006),$AO$1006:$BQ$1006,0)))),"Fix")))</f>
        <v>#N/A</v>
      </c>
      <c r="I566" s="5" t="e">
        <f ca="1">IF(OR(INDEX($AI$2:$AI$1001,MATCH(ROWS($AH$2:AH566),$AH$2:$AH$1001,0),1)&gt;=100000,INDEX($AO$1005:$BQ$1005,1,MATCH(COLUMNS($AO$1006:AV1006),$AO$1006:$BQ$1006,0))&gt;=100000), " ",IF(INDEX($AO$2:$BQ$1001,MATCH(ROWS($AH$2:AH566),$AH$2:$AH$1001,0),MATCH(COLUMNS($AO$1006:AV1006),$AO$1006:$BQ$1006,0)), HYPERLINK("#",""), HYPERLINK(CONCATENATE("#Metadata!", ADDRESS(INDEX($AJ$2:$AJ$1001,MATCH(ROWS($AH$2:AH566),$AH$2:$AH$1001,0),0), INDEX($AO$1004:$BQ$1004,1,MATCH(COLUMNS($AO$1006:AV1006),$AO$1006:$BQ$1006,0)))),"Fix")))</f>
        <v>#N/A</v>
      </c>
      <c r="J566" s="5" t="e">
        <f ca="1">IF(OR(INDEX($AI$2:$AI$1001,MATCH(ROWS($AH$2:AH566),$AH$2:$AH$1001,0),1)&gt;=100000,INDEX($AO$1005:$BQ$1005,1,MATCH(COLUMNS($AO$1006:AW1006),$AO$1006:$BQ$1006,0))&gt;=100000), " ",IF(INDEX($AO$2:$BQ$1001,MATCH(ROWS($AH$2:AH566),$AH$2:$AH$1001,0),MATCH(COLUMNS($AO$1006:AW1006),$AO$1006:$BQ$1006,0)), HYPERLINK("#",""), HYPERLINK(CONCATENATE("#Metadata!", ADDRESS(INDEX($AJ$2:$AJ$1001,MATCH(ROWS($AH$2:AH566),$AH$2:$AH$1001,0),0), INDEX($AO$1004:$BQ$1004,1,MATCH(COLUMNS($AO$1006:AW1006),$AO$1006:$BQ$1006,0)))),"Fix")))</f>
        <v>#N/A</v>
      </c>
      <c r="K566" s="5" t="e">
        <f ca="1">IF(OR(INDEX($AI$2:$AI$1001,MATCH(ROWS($AH$2:AH566),$AH$2:$AH$1001,0),1)&gt;=100000,INDEX($AO$1005:$BQ$1005,1,MATCH(COLUMNS($AO$1006:AX1006),$AO$1006:$BQ$1006,0))&gt;=100000), " ",IF(INDEX($AO$2:$BQ$1001,MATCH(ROWS($AH$2:AH566),$AH$2:$AH$1001,0),MATCH(COLUMNS($AO$1006:AX1006),$AO$1006:$BQ$1006,0)), HYPERLINK("#",""), HYPERLINK(CONCATENATE("#Metadata!", ADDRESS(INDEX($AJ$2:$AJ$1001,MATCH(ROWS($AH$2:AH566),$AH$2:$AH$1001,0),0), INDEX($AO$1004:$BQ$1004,1,MATCH(COLUMNS($AO$1006:AX1006),$AO$1006:$BQ$1006,0)))),"Fix")))</f>
        <v>#N/A</v>
      </c>
      <c r="L566" s="5" t="e">
        <f ca="1">IF(OR(INDEX($AI$2:$AI$1001,MATCH(ROWS($AH$2:AH566),$AH$2:$AH$1001,0),1)&gt;=100000,INDEX($AO$1005:$BQ$1005,1,MATCH(COLUMNS($AO$1006:AY1006),$AO$1006:$BQ$1006,0))&gt;=100000), " ",IF(INDEX($AO$2:$BQ$1001,MATCH(ROWS($AH$2:AH566),$AH$2:$AH$1001,0),MATCH(COLUMNS($AO$1006:AY1006),$AO$1006:$BQ$1006,0)), HYPERLINK("#",""), HYPERLINK(CONCATENATE("#Metadata!", ADDRESS(INDEX($AJ$2:$AJ$1001,MATCH(ROWS($AH$2:AH566),$AH$2:$AH$1001,0),0), INDEX($AO$1004:$BQ$1004,1,MATCH(COLUMNS($AO$1006:AY1006),$AO$1006:$BQ$1006,0)))),"Fix")))</f>
        <v>#N/A</v>
      </c>
      <c r="M566" s="5" t="e">
        <f ca="1">IF(OR(INDEX($AI$2:$AI$1001,MATCH(ROWS($AH$2:AH566),$AH$2:$AH$1001,0),1)&gt;=100000,INDEX($AO$1005:$BQ$1005,1,MATCH(COLUMNS($AO$1006:AZ1006),$AO$1006:$BQ$1006,0))&gt;=100000), " ",IF(INDEX($AO$2:$BQ$1001,MATCH(ROWS($AH$2:AH566),$AH$2:$AH$1001,0),MATCH(COLUMNS($AO$1006:AZ1006),$AO$1006:$BQ$1006,0)), HYPERLINK("#",""), HYPERLINK(CONCATENATE("#Metadata!", ADDRESS(INDEX($AJ$2:$AJ$1001,MATCH(ROWS($AH$2:AH566),$AH$2:$AH$1001,0),0), INDEX($AO$1004:$BQ$1004,1,MATCH(COLUMNS($AO$1006:AZ1006),$AO$1006:$BQ$1006,0)))),"Fix")))</f>
        <v>#N/A</v>
      </c>
      <c r="N566" s="5" t="e">
        <f ca="1">IF(OR(INDEX($AI$2:$AI$1001,MATCH(ROWS($AH$2:AH566),$AH$2:$AH$1001,0),1)&gt;=100000,INDEX($AO$1005:$BQ$1005,1,MATCH(COLUMNS($AO$1006:BA1006),$AO$1006:$BQ$1006,0))&gt;=100000), " ",IF(INDEX($AO$2:$BQ$1001,MATCH(ROWS($AH$2:AH566),$AH$2:$AH$1001,0),MATCH(COLUMNS($AO$1006:BA1006),$AO$1006:$BQ$1006,0)), HYPERLINK("#",""), HYPERLINK(CONCATENATE("#Metadata!", ADDRESS(INDEX($AJ$2:$AJ$1001,MATCH(ROWS($AH$2:AH566),$AH$2:$AH$1001,0),0), INDEX($AO$1004:$BQ$1004,1,MATCH(COLUMNS($AO$1006:BA1006),$AO$1006:$BQ$1006,0)))),"Fix")))</f>
        <v>#N/A</v>
      </c>
      <c r="O566" s="5" t="e">
        <f ca="1">IF(OR(INDEX($AI$2:$AI$1001,MATCH(ROWS($AH$2:AH566),$AH$2:$AH$1001,0),1)&gt;=100000,INDEX($AO$1005:$BQ$1005,1,MATCH(COLUMNS($AO$1006:BB1006),$AO$1006:$BQ$1006,0))&gt;=100000), " ",IF(INDEX($AO$2:$BQ$1001,MATCH(ROWS($AH$2:AH566),$AH$2:$AH$1001,0),MATCH(COLUMNS($AO$1006:BB1006),$AO$1006:$BQ$1006,0)), HYPERLINK("#",""), HYPERLINK(CONCATENATE("#Metadata!", ADDRESS(INDEX($AJ$2:$AJ$1001,MATCH(ROWS($AH$2:AH566),$AH$2:$AH$1001,0),0), INDEX($AO$1004:$BQ$1004,1,MATCH(COLUMNS($AO$1006:BB1006),$AO$1006:$BQ$1006,0)))),"Fix")))</f>
        <v>#N/A</v>
      </c>
      <c r="P566" s="5" t="e">
        <f ca="1">IF(OR(INDEX($AI$2:$AI$1001,MATCH(ROWS($AH$2:AH566),$AH$2:$AH$1001,0),1)&gt;=100000,INDEX($AO$1005:$BQ$1005,1,MATCH(COLUMNS($AO$1006:BC1006),$AO$1006:$BQ$1006,0))&gt;=100000), " ",IF(INDEX($AO$2:$BQ$1001,MATCH(ROWS($AH$2:AH566),$AH$2:$AH$1001,0),MATCH(COLUMNS($AO$1006:BC1006),$AO$1006:$BQ$1006,0)), HYPERLINK("#",""), HYPERLINK(CONCATENATE("#Metadata!", ADDRESS(INDEX($AJ$2:$AJ$1001,MATCH(ROWS($AH$2:AH566),$AH$2:$AH$1001,0),0), INDEX($AO$1004:$BQ$1004,1,MATCH(COLUMNS($AO$1006:BC1006),$AO$1006:$BQ$1006,0)))),"Fix")))</f>
        <v>#N/A</v>
      </c>
      <c r="Q566" s="5" t="e">
        <f ca="1">IF(OR(INDEX($AI$2:$AI$1001,MATCH(ROWS($AH$2:AH566),$AH$2:$AH$1001,0),1)&gt;=100000,INDEX($AO$1005:$BQ$1005,1,MATCH(COLUMNS($AO$1006:BD1006),$AO$1006:$BQ$1006,0))&gt;=100000), " ",IF(INDEX($AO$2:$BQ$1001,MATCH(ROWS($AH$2:AH566),$AH$2:$AH$1001,0),MATCH(COLUMNS($AO$1006:BD1006),$AO$1006:$BQ$1006,0)), HYPERLINK("#",""), HYPERLINK(CONCATENATE("#Metadata!", ADDRESS(INDEX($AJ$2:$AJ$1001,MATCH(ROWS($AH$2:AH566),$AH$2:$AH$1001,0),0), INDEX($AO$1004:$BQ$1004,1,MATCH(COLUMNS($AO$1006:BD1006),$AO$1006:$BQ$1006,0)))),"Fix")))</f>
        <v>#N/A</v>
      </c>
      <c r="R566" s="5" t="e">
        <f ca="1">IF(OR(INDEX($AI$2:$AI$1001,MATCH(ROWS($AH$2:AH566),$AH$2:$AH$1001,0),1)&gt;=100000,INDEX($AO$1005:$BQ$1005,1,MATCH(COLUMNS($AO$1006:BE1006),$AO$1006:$BQ$1006,0))&gt;=100000), " ",IF(INDEX($AO$2:$BQ$1001,MATCH(ROWS($AH$2:AH566),$AH$2:$AH$1001,0),MATCH(COLUMNS($AO$1006:BE1006),$AO$1006:$BQ$1006,0)), HYPERLINK("#",""), HYPERLINK(CONCATENATE("#Metadata!", ADDRESS(INDEX($AJ$2:$AJ$1001,MATCH(ROWS($AH$2:AH566),$AH$2:$AH$1001,0),0), INDEX($AO$1004:$BQ$1004,1,MATCH(COLUMNS($AO$1006:BE1006),$AO$1006:$BQ$1006,0)))),"Fix")))</f>
        <v>#N/A</v>
      </c>
      <c r="S566" s="5" t="e">
        <f ca="1">IF(OR(INDEX($AI$2:$AI$1001,MATCH(ROWS($AH$2:AH566),$AH$2:$AH$1001,0),1)&gt;=100000,INDEX($AO$1005:$BQ$1005,1,MATCH(COLUMNS($AO$1006:BF1006),$AO$1006:$BQ$1006,0))&gt;=100000), " ",IF(INDEX($AO$2:$BQ$1001,MATCH(ROWS($AH$2:AH566),$AH$2:$AH$1001,0),MATCH(COLUMNS($AO$1006:BF1006),$AO$1006:$BQ$1006,0)), HYPERLINK("#",""), HYPERLINK(CONCATENATE("#Metadata!", ADDRESS(INDEX($AJ$2:$AJ$1001,MATCH(ROWS($AH$2:AH566),$AH$2:$AH$1001,0),0), INDEX($AO$1004:$BQ$1004,1,MATCH(COLUMNS($AO$1006:BF1006),$AO$1006:$BQ$1006,0)))),"Fix")))</f>
        <v>#N/A</v>
      </c>
      <c r="T566" s="5" t="e">
        <f ca="1">IF(OR(INDEX($AI$2:$AI$1001,MATCH(ROWS($AH$2:AH566),$AH$2:$AH$1001,0),1)&gt;=100000,INDEX($AO$1005:$BQ$1005,1,MATCH(COLUMNS($AO$1006:BG1006),$AO$1006:$BQ$1006,0))&gt;=100000), " ",IF(INDEX($AO$2:$BQ$1001,MATCH(ROWS($AH$2:AH566),$AH$2:$AH$1001,0),MATCH(COLUMNS($AO$1006:BG1006),$AO$1006:$BQ$1006,0)), HYPERLINK("#",""), HYPERLINK(CONCATENATE("#Metadata!", ADDRESS(INDEX($AJ$2:$AJ$1001,MATCH(ROWS($AH$2:AH566),$AH$2:$AH$1001,0),0), INDEX($AO$1004:$BQ$1004,1,MATCH(COLUMNS($AO$1006:BG1006),$AO$1006:$BQ$1006,0)))),"Fix")))</f>
        <v>#N/A</v>
      </c>
      <c r="U566" s="5" t="e">
        <f ca="1">IF(OR(INDEX($AI$2:$AI$1001,MATCH(ROWS($AH$2:AH566),$AH$2:$AH$1001,0),1)&gt;=100000,INDEX($AO$1005:$BQ$1005,1,MATCH(COLUMNS($AO$1006:BH1006),$AO$1006:$BQ$1006,0))&gt;=100000), " ",IF(INDEX($AO$2:$BQ$1001,MATCH(ROWS($AH$2:AH566),$AH$2:$AH$1001,0),MATCH(COLUMNS($AO$1006:BH1006),$AO$1006:$BQ$1006,0)), HYPERLINK("#",""), HYPERLINK(CONCATENATE("#Metadata!", ADDRESS(INDEX($AJ$2:$AJ$1001,MATCH(ROWS($AH$2:AH566),$AH$2:$AH$1001,0),0), INDEX($AO$1004:$BQ$1004,1,MATCH(COLUMNS($AO$1006:BH1006),$AO$1006:$BQ$1006,0)))),"Fix")))</f>
        <v>#N/A</v>
      </c>
      <c r="V566" s="5" t="e">
        <f ca="1">IF(OR(INDEX($AI$2:$AI$1001,MATCH(ROWS($AH$2:AH566),$AH$2:$AH$1001,0),1)&gt;=100000,INDEX($AO$1005:$BQ$1005,1,MATCH(COLUMNS($AO$1006:BI1006),$AO$1006:$BQ$1006,0))&gt;=100000), " ",IF(INDEX($AO$2:$BQ$1001,MATCH(ROWS($AH$2:AH566),$AH$2:$AH$1001,0),MATCH(COLUMNS($AO$1006:BI1006),$AO$1006:$BQ$1006,0)), HYPERLINK("#",""), HYPERLINK(CONCATENATE("#Metadata!", ADDRESS(INDEX($AJ$2:$AJ$1001,MATCH(ROWS($AH$2:AH566),$AH$2:$AH$1001,0),0), INDEX($AO$1004:$BQ$1004,1,MATCH(COLUMNS($AO$1006:BI1006),$AO$1006:$BQ$1006,0)))),"Fix")))</f>
        <v>#N/A</v>
      </c>
      <c r="W566" s="5" t="e">
        <f ca="1">IF(OR(INDEX($AI$2:$AI$1001,MATCH(ROWS($AH$2:AH566),$AH$2:$AH$1001,0),1)&gt;=100000,INDEX($AO$1005:$BQ$1005,1,MATCH(COLUMNS($AO$1006:BJ1006),$AO$1006:$BQ$1006,0))&gt;=100000), " ",IF(INDEX($AO$2:$BQ$1001,MATCH(ROWS($AH$2:AH566),$AH$2:$AH$1001,0),MATCH(COLUMNS($AO$1006:BJ1006),$AO$1006:$BQ$1006,0)), HYPERLINK("#",""), HYPERLINK(CONCATENATE("#Metadata!", ADDRESS(INDEX($AJ$2:$AJ$1001,MATCH(ROWS($AH$2:AH566),$AH$2:$AH$1001,0),0), INDEX($AO$1004:$BQ$1004,1,MATCH(COLUMNS($AO$1006:BJ1006),$AO$1006:$BQ$1006,0)))),"Fix")))</f>
        <v>#N/A</v>
      </c>
      <c r="X566" s="5" t="e">
        <f ca="1">IF(OR(INDEX($AI$2:$AI$1001,MATCH(ROWS($AH$2:AH566),$AH$2:$AH$1001,0),1)&gt;=100000,INDEX($AO$1005:$BQ$1005,1,MATCH(COLUMNS($AO$1006:BK1006),$AO$1006:$BQ$1006,0))&gt;=100000), " ",IF(INDEX($AO$2:$BQ$1001,MATCH(ROWS($AH$2:AH566),$AH$2:$AH$1001,0),MATCH(COLUMNS($AO$1006:BK1006),$AO$1006:$BQ$1006,0)), HYPERLINK("#",""), HYPERLINK(CONCATENATE("#Metadata!", ADDRESS(INDEX($AJ$2:$AJ$1001,MATCH(ROWS($AH$2:AH566),$AH$2:$AH$1001,0),0), INDEX($AO$1004:$BQ$1004,1,MATCH(COLUMNS($AO$1006:BK1006),$AO$1006:$BQ$1006,0)))),"Fix")))</f>
        <v>#N/A</v>
      </c>
      <c r="Y566" s="5" t="e">
        <f ca="1">IF(OR(INDEX($AI$2:$AI$1001,MATCH(ROWS($AH$2:AH566),$AH$2:$AH$1001,0),1)&gt;=100000,INDEX($AO$1005:$BQ$1005,1,MATCH(COLUMNS($AO$1006:BL1006),$AO$1006:$BQ$1006,0))&gt;=100000), " ",IF(INDEX($AO$2:$BQ$1001,MATCH(ROWS($AH$2:AH566),$AH$2:$AH$1001,0),MATCH(COLUMNS($AO$1006:BL1006),$AO$1006:$BQ$1006,0)), HYPERLINK("#",""), HYPERLINK(CONCATENATE("#Metadata!", ADDRESS(INDEX($AJ$2:$AJ$1001,MATCH(ROWS($AH$2:AH566),$AH$2:$AH$1001,0),0), INDEX($AO$1004:$BQ$1004,1,MATCH(COLUMNS($AO$1006:BL1006),$AO$1006:$BQ$1006,0)))),"Fix")))</f>
        <v>#N/A</v>
      </c>
      <c r="Z566" s="5" t="e">
        <f ca="1">IF(OR(INDEX($AI$2:$AI$1001,MATCH(ROWS($AH$2:AH566),$AH$2:$AH$1001,0),1)&gt;=100000,INDEX($AO$1005:$BQ$1005,1,MATCH(COLUMNS($AO$1006:BM1006),$AO$1006:$BQ$1006,0))&gt;=100000), " ",IF(INDEX($AO$2:$BQ$1001,MATCH(ROWS($AH$2:AH566),$AH$2:$AH$1001,0),MATCH(COLUMNS($AO$1006:BM1006),$AO$1006:$BQ$1006,0)), HYPERLINK("#",""), HYPERLINK(CONCATENATE("#Metadata!", ADDRESS(INDEX($AJ$2:$AJ$1001,MATCH(ROWS($AH$2:AH566),$AH$2:$AH$1001,0),0), INDEX($AO$1004:$BQ$1004,1,MATCH(COLUMNS($AO$1006:BM1006),$AO$1006:$BQ$1006,0)))),"Fix")))</f>
        <v>#N/A</v>
      </c>
      <c r="AA566" s="5" t="e">
        <f ca="1">IF(OR(INDEX($AI$2:$AI$1001,MATCH(ROWS($AH$2:AH566),$AH$2:$AH$1001,0),1)&gt;=100000,INDEX($AO$1005:$BQ$1005,1,MATCH(COLUMNS($AO$1006:BN1006),$AO$1006:$BQ$1006,0))&gt;=100000), " ",IF(INDEX($AO$2:$BQ$1001,MATCH(ROWS($AH$2:AH566),$AH$2:$AH$1001,0),MATCH(COLUMNS($AO$1006:BN1006),$AO$1006:$BQ$1006,0)), HYPERLINK("#",""), HYPERLINK(CONCATENATE("#Metadata!", ADDRESS(INDEX($AJ$2:$AJ$1001,MATCH(ROWS($AH$2:AH566),$AH$2:$AH$1001,0),0), INDEX($AO$1004:$BQ$1004,1,MATCH(COLUMNS($AO$1006:BN1006),$AO$1006:$BQ$1006,0)))),"Fix")))</f>
        <v>#N/A</v>
      </c>
      <c r="AB566" s="5" t="e">
        <f ca="1">IF(OR(INDEX($AI$2:$AI$1001,MATCH(ROWS($AH$2:AH566),$AH$2:$AH$1001,0),1)&gt;=100000,INDEX($AO$1005:$BQ$1005,1,MATCH(COLUMNS($AO$1006:BO1006),$AO$1006:$BQ$1006,0))&gt;=100000), " ",IF(INDEX($AO$2:$BQ$1001,MATCH(ROWS($AH$2:AH566),$AH$2:$AH$1001,0),MATCH(COLUMNS($AO$1006:BO1006),$AO$1006:$BQ$1006,0)), HYPERLINK("#",""), HYPERLINK(CONCATENATE("#Metadata!", ADDRESS(INDEX($AJ$2:$AJ$1001,MATCH(ROWS($AH$2:AH566),$AH$2:$AH$1001,0),0), INDEX($AO$1004:$BQ$1004,1,MATCH(COLUMNS($AO$1006:BO1006),$AO$1006:$BQ$1006,0)))),"Fix")))</f>
        <v>#N/A</v>
      </c>
      <c r="AC566" s="5" t="e">
        <f ca="1">IF(OR(INDEX($AI$2:$AI$1001,MATCH(ROWS($AH$2:AH566),$AH$2:$AH$1001,0),1)&gt;=100000,INDEX($AO$1005:$BQ$1005,1,MATCH(COLUMNS($AO$1006:BP1006),$AO$1006:$BQ$1006,0))&gt;=100000), " ",IF(INDEX($AO$2:$BQ$1001,MATCH(ROWS($AH$2:AH566),$AH$2:$AH$1001,0),MATCH(COLUMNS($AO$1006:BP1006),$AO$1006:$BQ$1006,0)), HYPERLINK("#",""), HYPERLINK(CONCATENATE("#Metadata!", ADDRESS(INDEX($AJ$2:$AJ$1001,MATCH(ROWS($AH$2:AH566),$AH$2:$AH$1001,0),0), INDEX($AO$1004:$BQ$1004,1,MATCH(COLUMNS($AO$1006:BP1006),$AO$1006:$BQ$1006,0)))),"Fix")))</f>
        <v>#N/A</v>
      </c>
      <c r="AD566" s="5" t="e">
        <f ca="1">IF(OR(INDEX($AI$2:$AI$1001,MATCH(ROWS($AH$2:AH566),$AH$2:$AH$1001,0),1)&gt;=100000,INDEX($AO$1005:$BQ$1005,1,MATCH(COLUMNS($AO$1006:BQ1006),$AO$1006:$BQ$1006,0))&gt;=100000), " ",IF(INDEX($AO$2:$BQ$1001,MATCH(ROWS($AH$2:AH566),$AH$2:$AH$1001,0),MATCH(COLUMNS($AO$1006:BQ1006),$AO$1006:$BQ$1006,0)), HYPERLINK("#",""), HYPERLINK(CONCATENATE("#Metadata!", ADDRESS(INDEX($AJ$2:$AJ$1001,MATCH(ROWS($AH$2:AH566),$AH$2:$AH$1001,0),0), INDEX($AO$1004:$BQ$1004,1,MATCH(COLUMNS($AO$1006:BQ1006),$AO$1006:$BQ$1006,0)))),"Fix")))</f>
        <v>#REF!</v>
      </c>
      <c r="AH566">
        <f ca="1"/>
        <v>563</v>
      </c>
      <c r="AI566">
        <v>100566</v>
      </c>
      <c r="AJ566">
        <v>566</v>
      </c>
      <c r="AK566" t="b">
        <f t="shared" si="8"/>
        <v>1</v>
      </c>
      <c r="AL566" t="b">
        <f>COUNTBLANK(Metadata!B566:AD566)=COLUMNS(Metadata!B566:AD566)</f>
        <v>1</v>
      </c>
      <c r="AM566" t="str">
        <v/>
      </c>
      <c r="AO566" t="b">
        <f ca="1">AND(IF(Metadata!B566="",FALSE,TRUE),COUNTIF(Metadata!B:B, Metadata!B566) = 1,NOT(ISERROR(SUMPRODUCT(SEARCH(MID(Metadata!B566,ROW(INDIRECT("1:"&amp;LEN(Metadata!B566))), 1),"0123456789abcdefghijklmnopqrstuvwxyzABCDEFGHIJKLMNOPQRSTUVWXYZ.")))))</f>
        <v>0</v>
      </c>
      <c r="AP566" t="b">
        <f>IF(Metadata!C566="",FALSE,TRUE)</f>
        <v>0</v>
      </c>
      <c r="AQ566" t="b">
        <f>IF(Metadata!D566="",FALSE,TRUE)</f>
        <v>0</v>
      </c>
      <c r="AR566" t="b">
        <f ca="1">OR(AND(IF(Metadata!E566="",FALSE,TRUE),OR(EXACT(Metadata!E566,"not collected"),EXACT(Metadata!E566,"not provided"),EXACT(Metadata!E566,"restricted access"))),AND(IF(Metadata!E566="",FALSE,TRUE),AND(AND(IFERROR(INT(LEFT(Metadata!E566,4))&gt;1900,FALSE),IFERROR(INT(LEFT(Metadata!E566,4))&lt;=YEAR(NOW()),FALSE)), OR(MID(Metadata!E566,5,1)="", AND(AND(MID(Metadata!E566,5,1)="-",IFERROR(INT(MID(Metadata!E566,6,1))&gt;=0,FALSE),IFERROR(INT(MID(Metadata!E566,6,1))&lt;=1,FALSE),NOT(MID(Metadata!E566,7,1)=""),IFERROR(INT(MID(Metadata!E566,6,2))&gt;=1,FALSE),IFERROR(INT(MID(Metadata!E566,6,2))&lt;=12,FALSE)), OR(MID(Metadata!E566,8,1)="", AND(AND(MID(Metadata!E566,8,1)="-",IFERROR(INT(MID(Metadata!E566,9,1))&gt;=0,FALSE),IFERROR(INT(MID(Metadata!E566,9,1))&lt;=3,FALSE),NOT(MID(Metadata!E566,10,1)=""),IFERROR(INT(MID(Metadata!E566,9,2))&gt;=1,FALSE),IFERROR(INT(MID(Metadata!E566,9,2))&lt;=31,FALSE)), OR(MID(Metadata!E566,11,1)="", AND(AND(MID(Metadata!E566,11,1)=" ",IFERROR(INT(MID(Metadata!E566,12,1))&gt;=0,FALSE),IFERROR(INT(MID(Metadata!E566,12,1))&lt;=2,FALSE),NOT(MID(Metadata!E566,13,1)=""),IFERROR(INT(MID(Metadata!E566,12,2))&gt;=0,FALSE),IFERROR(INT(MID(Metadata!E566,12,2))&lt;=23,FALSE)), OR(MID(Metadata!E566,14,1)="", AND(AND(MID(Metadata!E566,14,1)=":",IFERROR(INT(MID(Metadata!E566,15,1))&gt;=0,FALSE),IFERROR(INT(MID(Metadata!E566,15,1))&lt;=5,FALSE),NOT(MID(Metadata!E566,16,1)=""),IFERROR(INT(MID(Metadata!E566,15,2))&gt;=0,FALSE),IFERROR(INT(MID(Metadata!E566,15,2))&lt;=59,FALSE)), OR(MID(Metadata!E566,17,1)="", AND(AND(MID(Metadata!E566,17,1)=":",IFERROR(INT(MID(Metadata!E566,18,1))&gt;=0,FALSE),IFERROR(INT(MID(Metadata!E566,18,1))&lt;=5,FALSE),NOT(MID(Metadata!E566,19,1)=""),IFERROR(INT(MID(Metadata!E566,18,2))&gt;=0,FALSE),IFERROR(INT(MID(Metadata!E566,18,2))&lt;=59,FALSE)), LEN(Metadata!E566)&lt;=19)))))))))))))</f>
        <v>0</v>
      </c>
      <c r="AS566" t="b">
        <f>IF(Metadata!F566="",FALSE,TRUE)</f>
        <v>0</v>
      </c>
      <c r="AT566" t="b">
        <f>OR(AND(IF(Metadata!G566="",FALSE,TRUE),OR(EXACT(Metadata!G566,"not collected"),EXACT(Metadata!G566,"not provided"))),AND(IF(Metadata!G566="",FALSE,TRUE),OR(EXACT(Metadata!G566,"TRUE"),EXACT(Metadata!G566,"FALSE"))))</f>
        <v>0</v>
      </c>
      <c r="AU566" t="b">
        <f>OR(AND(IF(Metadata!H566="",FALSE,TRUE),OR(EXACT(Metadata!H566,"not collected"),EXACT(Metadata!H566,"not provided"),EXACT(Metadata!H566,"restricted access"))),AND(IF(Metadata!H566="",FALSE,ISNUMBER(VALUE(Metadata!H566))),Metadata!H566&gt;=-413))</f>
        <v>0</v>
      </c>
      <c r="AV566" t="b">
        <f>AND(IF(Metadata!I566="",FALSE,TRUE),EXACT(Metadata!I566,"meters"))</f>
        <v>0</v>
      </c>
      <c r="AW566" t="b">
        <f>AND(IF(Metadata!J566="",FALSE,TRUE),EXACT(Metadata!J566,"free-living"))</f>
        <v>0</v>
      </c>
      <c r="AX566" t="b">
        <f>AND(IF(Metadata!K566="",FALSE,TRUE),OR(EXACT(Metadata!K566,"saline"),EXACT(Metadata!K566,"non-saline")))</f>
        <v>0</v>
      </c>
      <c r="AY566" t="b">
        <f>AND(IF(Metadata!L566="",FALSE,TRUE),OR(EXACT(Metadata!L566,"sub-surface (non-saline)"),EXACT(Metadata!L566,"surface (non-saline)"),EXACT(Metadata!L566,"water (non-saline)"),EXACT(Metadata!L566,"soil (non-saline)"),EXACT(Metadata!L566,"aerosol (non-saline)"),EXACT(Metadata!L566,"sediment (non-saline)"),EXACT(Metadata!L566,"surface (saline)"),EXACT(Metadata!L566,"water (saline)"),EXACT(Metadata!L566,"hypersaline (saline)"),EXACT(Metadata!L566,"aerosol (saline)"),EXACT(Metadata!L566,"sediment (saline)")))</f>
        <v>0</v>
      </c>
      <c r="AZ566" t="b">
        <f>IF(Metadata!M566="",FALSE,TRUE)</f>
        <v>0</v>
      </c>
      <c r="BA566" t="b">
        <f>IF(Metadata!N566="",FALSE,TRUE)</f>
        <v>0</v>
      </c>
      <c r="BB566" t="b">
        <f>IF(Metadata!O566="",FALSE,TRUE)</f>
        <v>0</v>
      </c>
      <c r="BC566" t="b">
        <f>AND(IF(Metadata!P566="",FALSE,TRUE),OR(EXACT(Metadata!P566,"air"),EXACT(Metadata!P566,"microbial mat/biofilm"),EXACT(Metadata!P566,"misc environment"),EXACT(Metadata!P566,"sediment"),EXACT(Metadata!P566,"soil"),EXACT(Metadata!P566,"wastewater/sludge"),EXACT(Metadata!P566,"water")))</f>
        <v>0</v>
      </c>
      <c r="BD566" t="b">
        <f>IF(Metadata!Q566="",FALSE,TRUE)</f>
        <v>0</v>
      </c>
      <c r="BE566" t="b">
        <f>IF(Metadata!R566="",FALSE,TRUE)</f>
        <v>0</v>
      </c>
      <c r="BF566" t="b">
        <f>OR(AND(IF(Metadata!S566="",FALSE,TRUE),OR(EXACT(Metadata!S566,"not collected"),EXACT(Metadata!S566,"not provided"),EXACT(Metadata!S566,"restricted access"))),AND(IF(Metadata!S566="",FALSE,ISNUMBER(VALUE(Metadata!S566))),Metadata!S566&gt;=-90,Metadata!S566&lt;=90))</f>
        <v>0</v>
      </c>
      <c r="BG566" t="b">
        <f>AND(IF(Metadata!T566="",FALSE,TRUE),EXACT(Metadata!T566,"Decimal degrees"))</f>
        <v>0</v>
      </c>
      <c r="BH566" t="b">
        <f>OR(AND(IF(Metadata!U566="",FALSE,TRUE),OR(EXACT(Metadata!U566,"not applicable"),EXACT(Metadata!U566,"not collected"))),IF(Metadata!U566="",FALSE,TRUE))</f>
        <v>0</v>
      </c>
      <c r="BI566" t="b">
        <f>OR(AND(IF(Metadata!V566="",FALSE,TRUE),OR(EXACT(Metadata!V566,"not collected"),EXACT(Metadata!V566,"not provided"),EXACT(Metadata!V566,"restricted access"))),AND(IF(Metadata!V566="",FALSE,ISNUMBER(VALUE(Metadata!V566))),Metadata!V566&gt;=-180,Metadata!V566&lt;=180))</f>
        <v>0</v>
      </c>
      <c r="BJ566" t="b">
        <f>AND(IF(Metadata!W566="",FALSE,TRUE),EXACT(Metadata!W566,"Decimal degrees"))</f>
        <v>0</v>
      </c>
      <c r="BK566" t="b">
        <f>IF(Metadata!X566="",FALSE,TRUE)</f>
        <v>0</v>
      </c>
      <c r="BL566" t="b">
        <f>OR(AND(IF(Metadata!Y566="",FALSE,TRUE),OR(EXACT(Metadata!Y566,"not collected"),EXACT(Metadata!Y566,"not provided"),EXACT(Metadata!Y566,"restricted access"))),AND(IF(Metadata!Y566="",FALSE,TRUE),OR(EXACT(Metadata!Y566,"TRUE"),EXACT(Metadata!Y566,"FALSE"))))</f>
        <v>0</v>
      </c>
      <c r="BM566" t="b">
        <f>OR(AND(IF(Metadata!Z566="",FALSE,TRUE),EXACT(Metadata!Z566,"not applicable")),AND(IF(Metadata!Z566="",FALSE,TRUE),OR(EXACT(Metadata!Z566,"beer"),EXACT(Metadata!Z566,"cheese"),EXACT(Metadata!Z566,"fresh water"),EXACT(Metadata!Z566,"marine sediment"),EXACT(Metadata!Z566,"sea water"),EXACT(Metadata!Z566,"sediment"),EXACT(Metadata!Z566,"soil"),EXACT(Metadata!Z566,"waste water"))))</f>
        <v>0</v>
      </c>
      <c r="BN566" t="b">
        <f>AND(IF(Metadata!AA566="",FALSE,TRUE),EXACT(Metadata!AA566,"metagenome"))</f>
        <v>0</v>
      </c>
      <c r="BO566" t="b">
        <f>AND(IF(Metadata!AB566="",FALSE,TRUE),EXACT(Metadata!AB566,"256318"))</f>
        <v>0</v>
      </c>
      <c r="BP566" t="b">
        <f>IF(Metadata!AC566="",FALSE,TRUE)</f>
        <v>0</v>
      </c>
      <c r="BQ566" t="b">
        <f>IF(Metadata!AD566="",FALSE,TRUE)</f>
        <v>0</v>
      </c>
    </row>
    <row r="567" spans="1:69" x14ac:dyDescent="0.2">
      <c r="A567" s="4" t="e">
        <f ca="1">IF(B567=" "," ",HYPERLINK(CONCATENATE("#metadata!",ADDRESS(INDEX($AJ$2:$AJ$1001,MATCH(ROWS($AH$2:AH567),$AH$2:$AH$1001,0),0),2)),INDEX($AM$2:$AM$1001,MATCH(ROWS($AH$2:AH567),$AH$2:$AH$1001,0),0)))</f>
        <v>#N/A</v>
      </c>
      <c r="B567" s="5" t="e">
        <f ca="1">IF(OR(INDEX($AI$2:$AI$1001,MATCH(ROWS($AH$2:AH567),$AH$2:$AH$1001,0),1)&gt;=100000,INDEX($AO$1005:$BQ$1005,1,MATCH(COLUMNS($AO$1006:AO1006),$AO$1006:$BQ$1006,0))&gt;=100000), " ",IF(INDEX($AO$2:$BQ$1001,MATCH(ROWS($AH$2:AH567),$AH$2:$AH$1001,0),MATCH(COLUMNS($AO$1006:AO1006),$AO$1006:$BQ$1006,0)), HYPERLINK("#",""), HYPERLINK(CONCATENATE("#Metadata!", ADDRESS(INDEX($AJ$2:$AJ$1001,MATCH(ROWS($AH$2:AH567),$AH$2:$AH$1001,0),0), INDEX($AO$1004:$BQ$1004,1,MATCH(COLUMNS($AO$1006:AO1006),$AO$1006:$BQ$1006,0)))),"Fix")))</f>
        <v>#N/A</v>
      </c>
      <c r="C567" s="5" t="e">
        <f ca="1">IF(OR(INDEX($AI$2:$AI$1001,MATCH(ROWS($AH$2:AH567),$AH$2:$AH$1001,0),1)&gt;=100000,INDEX($AO$1005:$BQ$1005,1,MATCH(COLUMNS($AO$1006:AP1006),$AO$1006:$BQ$1006,0))&gt;=100000), " ",IF(INDEX($AO$2:$BQ$1001,MATCH(ROWS($AH$2:AH567),$AH$2:$AH$1001,0),MATCH(COLUMNS($AO$1006:AP1006),$AO$1006:$BQ$1006,0)), HYPERLINK("#",""), HYPERLINK(CONCATENATE("#Metadata!", ADDRESS(INDEX($AJ$2:$AJ$1001,MATCH(ROWS($AH$2:AH567),$AH$2:$AH$1001,0),0), INDEX($AO$1004:$BQ$1004,1,MATCH(COLUMNS($AO$1006:AP1006),$AO$1006:$BQ$1006,0)))),"Fix")))</f>
        <v>#N/A</v>
      </c>
      <c r="D567" s="5" t="e">
        <f ca="1">IF(OR(INDEX($AI$2:$AI$1001,MATCH(ROWS($AH$2:AH567),$AH$2:$AH$1001,0),1)&gt;=100000,INDEX($AO$1005:$BQ$1005,1,MATCH(COLUMNS($AO$1006:AQ1006),$AO$1006:$BQ$1006,0))&gt;=100000), " ",IF(INDEX($AO$2:$BQ$1001,MATCH(ROWS($AH$2:AH567),$AH$2:$AH$1001,0),MATCH(COLUMNS($AO$1006:AQ1006),$AO$1006:$BQ$1006,0)), HYPERLINK("#",""), HYPERLINK(CONCATENATE("#Metadata!", ADDRESS(INDEX($AJ$2:$AJ$1001,MATCH(ROWS($AH$2:AH567),$AH$2:$AH$1001,0),0), INDEX($AO$1004:$BQ$1004,1,MATCH(COLUMNS($AO$1006:AQ1006),$AO$1006:$BQ$1006,0)))),"Fix")))</f>
        <v>#N/A</v>
      </c>
      <c r="E567" s="5" t="e">
        <f ca="1">IF(OR(INDEX($AI$2:$AI$1001,MATCH(ROWS($AH$2:AH567),$AH$2:$AH$1001,0),1)&gt;=100000,INDEX($AO$1005:$BQ$1005,1,MATCH(COLUMNS($AO$1006:AR1006),$AO$1006:$BQ$1006,0))&gt;=100000), " ",IF(INDEX($AO$2:$BQ$1001,MATCH(ROWS($AH$2:AH567),$AH$2:$AH$1001,0),MATCH(COLUMNS($AO$1006:AR1006),$AO$1006:$BQ$1006,0)), HYPERLINK("#",""), HYPERLINK(CONCATENATE("#Metadata!", ADDRESS(INDEX($AJ$2:$AJ$1001,MATCH(ROWS($AH$2:AH567),$AH$2:$AH$1001,0),0), INDEX($AO$1004:$BQ$1004,1,MATCH(COLUMNS($AO$1006:AR1006),$AO$1006:$BQ$1006,0)))),"Fix")))</f>
        <v>#N/A</v>
      </c>
      <c r="F567" s="5" t="e">
        <f ca="1">IF(OR(INDEX($AI$2:$AI$1001,MATCH(ROWS($AH$2:AH567),$AH$2:$AH$1001,0),1)&gt;=100000,INDEX($AO$1005:$BQ$1005,1,MATCH(COLUMNS($AO$1006:AS1006),$AO$1006:$BQ$1006,0))&gt;=100000), " ",IF(INDEX($AO$2:$BQ$1001,MATCH(ROWS($AH$2:AH567),$AH$2:$AH$1001,0),MATCH(COLUMNS($AO$1006:AS1006),$AO$1006:$BQ$1006,0)), HYPERLINK("#",""), HYPERLINK(CONCATENATE("#Metadata!", ADDRESS(INDEX($AJ$2:$AJ$1001,MATCH(ROWS($AH$2:AH567),$AH$2:$AH$1001,0),0), INDEX($AO$1004:$BQ$1004,1,MATCH(COLUMNS($AO$1006:AS1006),$AO$1006:$BQ$1006,0)))),"Fix")))</f>
        <v>#N/A</v>
      </c>
      <c r="G567" s="5" t="e">
        <f ca="1">IF(OR(INDEX($AI$2:$AI$1001,MATCH(ROWS($AH$2:AH567),$AH$2:$AH$1001,0),1)&gt;=100000,INDEX($AO$1005:$BQ$1005,1,MATCH(COLUMNS($AO$1006:AT1006),$AO$1006:$BQ$1006,0))&gt;=100000), " ",IF(INDEX($AO$2:$BQ$1001,MATCH(ROWS($AH$2:AH567),$AH$2:$AH$1001,0),MATCH(COLUMNS($AO$1006:AT1006),$AO$1006:$BQ$1006,0)), HYPERLINK("#",""), HYPERLINK(CONCATENATE("#Metadata!", ADDRESS(INDEX($AJ$2:$AJ$1001,MATCH(ROWS($AH$2:AH567),$AH$2:$AH$1001,0),0), INDEX($AO$1004:$BQ$1004,1,MATCH(COLUMNS($AO$1006:AT1006),$AO$1006:$BQ$1006,0)))),"Fix")))</f>
        <v>#N/A</v>
      </c>
      <c r="H567" s="5" t="e">
        <f ca="1">IF(OR(INDEX($AI$2:$AI$1001,MATCH(ROWS($AH$2:AH567),$AH$2:$AH$1001,0),1)&gt;=100000,INDEX($AO$1005:$BQ$1005,1,MATCH(COLUMNS($AO$1006:AU1006),$AO$1006:$BQ$1006,0))&gt;=100000), " ",IF(INDEX($AO$2:$BQ$1001,MATCH(ROWS($AH$2:AH567),$AH$2:$AH$1001,0),MATCH(COLUMNS($AO$1006:AU1006),$AO$1006:$BQ$1006,0)), HYPERLINK("#",""), HYPERLINK(CONCATENATE("#Metadata!", ADDRESS(INDEX($AJ$2:$AJ$1001,MATCH(ROWS($AH$2:AH567),$AH$2:$AH$1001,0),0), INDEX($AO$1004:$BQ$1004,1,MATCH(COLUMNS($AO$1006:AU1006),$AO$1006:$BQ$1006,0)))),"Fix")))</f>
        <v>#N/A</v>
      </c>
      <c r="I567" s="5" t="e">
        <f ca="1">IF(OR(INDEX($AI$2:$AI$1001,MATCH(ROWS($AH$2:AH567),$AH$2:$AH$1001,0),1)&gt;=100000,INDEX($AO$1005:$BQ$1005,1,MATCH(COLUMNS($AO$1006:AV1006),$AO$1006:$BQ$1006,0))&gt;=100000), " ",IF(INDEX($AO$2:$BQ$1001,MATCH(ROWS($AH$2:AH567),$AH$2:$AH$1001,0),MATCH(COLUMNS($AO$1006:AV1006),$AO$1006:$BQ$1006,0)), HYPERLINK("#",""), HYPERLINK(CONCATENATE("#Metadata!", ADDRESS(INDEX($AJ$2:$AJ$1001,MATCH(ROWS($AH$2:AH567),$AH$2:$AH$1001,0),0), INDEX($AO$1004:$BQ$1004,1,MATCH(COLUMNS($AO$1006:AV1006),$AO$1006:$BQ$1006,0)))),"Fix")))</f>
        <v>#N/A</v>
      </c>
      <c r="J567" s="5" t="e">
        <f ca="1">IF(OR(INDEX($AI$2:$AI$1001,MATCH(ROWS($AH$2:AH567),$AH$2:$AH$1001,0),1)&gt;=100000,INDEX($AO$1005:$BQ$1005,1,MATCH(COLUMNS($AO$1006:AW1006),$AO$1006:$BQ$1006,0))&gt;=100000), " ",IF(INDEX($AO$2:$BQ$1001,MATCH(ROWS($AH$2:AH567),$AH$2:$AH$1001,0),MATCH(COLUMNS($AO$1006:AW1006),$AO$1006:$BQ$1006,0)), HYPERLINK("#",""), HYPERLINK(CONCATENATE("#Metadata!", ADDRESS(INDEX($AJ$2:$AJ$1001,MATCH(ROWS($AH$2:AH567),$AH$2:$AH$1001,0),0), INDEX($AO$1004:$BQ$1004,1,MATCH(COLUMNS($AO$1006:AW1006),$AO$1006:$BQ$1006,0)))),"Fix")))</f>
        <v>#N/A</v>
      </c>
      <c r="K567" s="5" t="e">
        <f ca="1">IF(OR(INDEX($AI$2:$AI$1001,MATCH(ROWS($AH$2:AH567),$AH$2:$AH$1001,0),1)&gt;=100000,INDEX($AO$1005:$BQ$1005,1,MATCH(COLUMNS($AO$1006:AX1006),$AO$1006:$BQ$1006,0))&gt;=100000), " ",IF(INDEX($AO$2:$BQ$1001,MATCH(ROWS($AH$2:AH567),$AH$2:$AH$1001,0),MATCH(COLUMNS($AO$1006:AX1006),$AO$1006:$BQ$1006,0)), HYPERLINK("#",""), HYPERLINK(CONCATENATE("#Metadata!", ADDRESS(INDEX($AJ$2:$AJ$1001,MATCH(ROWS($AH$2:AH567),$AH$2:$AH$1001,0),0), INDEX($AO$1004:$BQ$1004,1,MATCH(COLUMNS($AO$1006:AX1006),$AO$1006:$BQ$1006,0)))),"Fix")))</f>
        <v>#N/A</v>
      </c>
      <c r="L567" s="5" t="e">
        <f ca="1">IF(OR(INDEX($AI$2:$AI$1001,MATCH(ROWS($AH$2:AH567),$AH$2:$AH$1001,0),1)&gt;=100000,INDEX($AO$1005:$BQ$1005,1,MATCH(COLUMNS($AO$1006:AY1006),$AO$1006:$BQ$1006,0))&gt;=100000), " ",IF(INDEX($AO$2:$BQ$1001,MATCH(ROWS($AH$2:AH567),$AH$2:$AH$1001,0),MATCH(COLUMNS($AO$1006:AY1006),$AO$1006:$BQ$1006,0)), HYPERLINK("#",""), HYPERLINK(CONCATENATE("#Metadata!", ADDRESS(INDEX($AJ$2:$AJ$1001,MATCH(ROWS($AH$2:AH567),$AH$2:$AH$1001,0),0), INDEX($AO$1004:$BQ$1004,1,MATCH(COLUMNS($AO$1006:AY1006),$AO$1006:$BQ$1006,0)))),"Fix")))</f>
        <v>#N/A</v>
      </c>
      <c r="M567" s="5" t="e">
        <f ca="1">IF(OR(INDEX($AI$2:$AI$1001,MATCH(ROWS($AH$2:AH567),$AH$2:$AH$1001,0),1)&gt;=100000,INDEX($AO$1005:$BQ$1005,1,MATCH(COLUMNS($AO$1006:AZ1006),$AO$1006:$BQ$1006,0))&gt;=100000), " ",IF(INDEX($AO$2:$BQ$1001,MATCH(ROWS($AH$2:AH567),$AH$2:$AH$1001,0),MATCH(COLUMNS($AO$1006:AZ1006),$AO$1006:$BQ$1006,0)), HYPERLINK("#",""), HYPERLINK(CONCATENATE("#Metadata!", ADDRESS(INDEX($AJ$2:$AJ$1001,MATCH(ROWS($AH$2:AH567),$AH$2:$AH$1001,0),0), INDEX($AO$1004:$BQ$1004,1,MATCH(COLUMNS($AO$1006:AZ1006),$AO$1006:$BQ$1006,0)))),"Fix")))</f>
        <v>#N/A</v>
      </c>
      <c r="N567" s="5" t="e">
        <f ca="1">IF(OR(INDEX($AI$2:$AI$1001,MATCH(ROWS($AH$2:AH567),$AH$2:$AH$1001,0),1)&gt;=100000,INDEX($AO$1005:$BQ$1005,1,MATCH(COLUMNS($AO$1006:BA1006),$AO$1006:$BQ$1006,0))&gt;=100000), " ",IF(INDEX($AO$2:$BQ$1001,MATCH(ROWS($AH$2:AH567),$AH$2:$AH$1001,0),MATCH(COLUMNS($AO$1006:BA1006),$AO$1006:$BQ$1006,0)), HYPERLINK("#",""), HYPERLINK(CONCATENATE("#Metadata!", ADDRESS(INDEX($AJ$2:$AJ$1001,MATCH(ROWS($AH$2:AH567),$AH$2:$AH$1001,0),0), INDEX($AO$1004:$BQ$1004,1,MATCH(COLUMNS($AO$1006:BA1006),$AO$1006:$BQ$1006,0)))),"Fix")))</f>
        <v>#N/A</v>
      </c>
      <c r="O567" s="5" t="e">
        <f ca="1">IF(OR(INDEX($AI$2:$AI$1001,MATCH(ROWS($AH$2:AH567),$AH$2:$AH$1001,0),1)&gt;=100000,INDEX($AO$1005:$BQ$1005,1,MATCH(COLUMNS($AO$1006:BB1006),$AO$1006:$BQ$1006,0))&gt;=100000), " ",IF(INDEX($AO$2:$BQ$1001,MATCH(ROWS($AH$2:AH567),$AH$2:$AH$1001,0),MATCH(COLUMNS($AO$1006:BB1006),$AO$1006:$BQ$1006,0)), HYPERLINK("#",""), HYPERLINK(CONCATENATE("#Metadata!", ADDRESS(INDEX($AJ$2:$AJ$1001,MATCH(ROWS($AH$2:AH567),$AH$2:$AH$1001,0),0), INDEX($AO$1004:$BQ$1004,1,MATCH(COLUMNS($AO$1006:BB1006),$AO$1006:$BQ$1006,0)))),"Fix")))</f>
        <v>#N/A</v>
      </c>
      <c r="P567" s="5" t="e">
        <f ca="1">IF(OR(INDEX($AI$2:$AI$1001,MATCH(ROWS($AH$2:AH567),$AH$2:$AH$1001,0),1)&gt;=100000,INDEX($AO$1005:$BQ$1005,1,MATCH(COLUMNS($AO$1006:BC1006),$AO$1006:$BQ$1006,0))&gt;=100000), " ",IF(INDEX($AO$2:$BQ$1001,MATCH(ROWS($AH$2:AH567),$AH$2:$AH$1001,0),MATCH(COLUMNS($AO$1006:BC1006),$AO$1006:$BQ$1006,0)), HYPERLINK("#",""), HYPERLINK(CONCATENATE("#Metadata!", ADDRESS(INDEX($AJ$2:$AJ$1001,MATCH(ROWS($AH$2:AH567),$AH$2:$AH$1001,0),0), INDEX($AO$1004:$BQ$1004,1,MATCH(COLUMNS($AO$1006:BC1006),$AO$1006:$BQ$1006,0)))),"Fix")))</f>
        <v>#N/A</v>
      </c>
      <c r="Q567" s="5" t="e">
        <f ca="1">IF(OR(INDEX($AI$2:$AI$1001,MATCH(ROWS($AH$2:AH567),$AH$2:$AH$1001,0),1)&gt;=100000,INDEX($AO$1005:$BQ$1005,1,MATCH(COLUMNS($AO$1006:BD1006),$AO$1006:$BQ$1006,0))&gt;=100000), " ",IF(INDEX($AO$2:$BQ$1001,MATCH(ROWS($AH$2:AH567),$AH$2:$AH$1001,0),MATCH(COLUMNS($AO$1006:BD1006),$AO$1006:$BQ$1006,0)), HYPERLINK("#",""), HYPERLINK(CONCATENATE("#Metadata!", ADDRESS(INDEX($AJ$2:$AJ$1001,MATCH(ROWS($AH$2:AH567),$AH$2:$AH$1001,0),0), INDEX($AO$1004:$BQ$1004,1,MATCH(COLUMNS($AO$1006:BD1006),$AO$1006:$BQ$1006,0)))),"Fix")))</f>
        <v>#N/A</v>
      </c>
      <c r="R567" s="5" t="e">
        <f ca="1">IF(OR(INDEX($AI$2:$AI$1001,MATCH(ROWS($AH$2:AH567),$AH$2:$AH$1001,0),1)&gt;=100000,INDEX($AO$1005:$BQ$1005,1,MATCH(COLUMNS($AO$1006:BE1006),$AO$1006:$BQ$1006,0))&gt;=100000), " ",IF(INDEX($AO$2:$BQ$1001,MATCH(ROWS($AH$2:AH567),$AH$2:$AH$1001,0),MATCH(COLUMNS($AO$1006:BE1006),$AO$1006:$BQ$1006,0)), HYPERLINK("#",""), HYPERLINK(CONCATENATE("#Metadata!", ADDRESS(INDEX($AJ$2:$AJ$1001,MATCH(ROWS($AH$2:AH567),$AH$2:$AH$1001,0),0), INDEX($AO$1004:$BQ$1004,1,MATCH(COLUMNS($AO$1006:BE1006),$AO$1006:$BQ$1006,0)))),"Fix")))</f>
        <v>#N/A</v>
      </c>
      <c r="S567" s="5" t="e">
        <f ca="1">IF(OR(INDEX($AI$2:$AI$1001,MATCH(ROWS($AH$2:AH567),$AH$2:$AH$1001,0),1)&gt;=100000,INDEX($AO$1005:$BQ$1005,1,MATCH(COLUMNS($AO$1006:BF1006),$AO$1006:$BQ$1006,0))&gt;=100000), " ",IF(INDEX($AO$2:$BQ$1001,MATCH(ROWS($AH$2:AH567),$AH$2:$AH$1001,0),MATCH(COLUMNS($AO$1006:BF1006),$AO$1006:$BQ$1006,0)), HYPERLINK("#",""), HYPERLINK(CONCATENATE("#Metadata!", ADDRESS(INDEX($AJ$2:$AJ$1001,MATCH(ROWS($AH$2:AH567),$AH$2:$AH$1001,0),0), INDEX($AO$1004:$BQ$1004,1,MATCH(COLUMNS($AO$1006:BF1006),$AO$1006:$BQ$1006,0)))),"Fix")))</f>
        <v>#N/A</v>
      </c>
      <c r="T567" s="5" t="e">
        <f ca="1">IF(OR(INDEX($AI$2:$AI$1001,MATCH(ROWS($AH$2:AH567),$AH$2:$AH$1001,0),1)&gt;=100000,INDEX($AO$1005:$BQ$1005,1,MATCH(COLUMNS($AO$1006:BG1006),$AO$1006:$BQ$1006,0))&gt;=100000), " ",IF(INDEX($AO$2:$BQ$1001,MATCH(ROWS($AH$2:AH567),$AH$2:$AH$1001,0),MATCH(COLUMNS($AO$1006:BG1006),$AO$1006:$BQ$1006,0)), HYPERLINK("#",""), HYPERLINK(CONCATENATE("#Metadata!", ADDRESS(INDEX($AJ$2:$AJ$1001,MATCH(ROWS($AH$2:AH567),$AH$2:$AH$1001,0),0), INDEX($AO$1004:$BQ$1004,1,MATCH(COLUMNS($AO$1006:BG1006),$AO$1006:$BQ$1006,0)))),"Fix")))</f>
        <v>#N/A</v>
      </c>
      <c r="U567" s="5" t="e">
        <f ca="1">IF(OR(INDEX($AI$2:$AI$1001,MATCH(ROWS($AH$2:AH567),$AH$2:$AH$1001,0),1)&gt;=100000,INDEX($AO$1005:$BQ$1005,1,MATCH(COLUMNS($AO$1006:BH1006),$AO$1006:$BQ$1006,0))&gt;=100000), " ",IF(INDEX($AO$2:$BQ$1001,MATCH(ROWS($AH$2:AH567),$AH$2:$AH$1001,0),MATCH(COLUMNS($AO$1006:BH1006),$AO$1006:$BQ$1006,0)), HYPERLINK("#",""), HYPERLINK(CONCATENATE("#Metadata!", ADDRESS(INDEX($AJ$2:$AJ$1001,MATCH(ROWS($AH$2:AH567),$AH$2:$AH$1001,0),0), INDEX($AO$1004:$BQ$1004,1,MATCH(COLUMNS($AO$1006:BH1006),$AO$1006:$BQ$1006,0)))),"Fix")))</f>
        <v>#N/A</v>
      </c>
      <c r="V567" s="5" t="e">
        <f ca="1">IF(OR(INDEX($AI$2:$AI$1001,MATCH(ROWS($AH$2:AH567),$AH$2:$AH$1001,0),1)&gt;=100000,INDEX($AO$1005:$BQ$1005,1,MATCH(COLUMNS($AO$1006:BI1006),$AO$1006:$BQ$1006,0))&gt;=100000), " ",IF(INDEX($AO$2:$BQ$1001,MATCH(ROWS($AH$2:AH567),$AH$2:$AH$1001,0),MATCH(COLUMNS($AO$1006:BI1006),$AO$1006:$BQ$1006,0)), HYPERLINK("#",""), HYPERLINK(CONCATENATE("#Metadata!", ADDRESS(INDEX($AJ$2:$AJ$1001,MATCH(ROWS($AH$2:AH567),$AH$2:$AH$1001,0),0), INDEX($AO$1004:$BQ$1004,1,MATCH(COLUMNS($AO$1006:BI1006),$AO$1006:$BQ$1006,0)))),"Fix")))</f>
        <v>#N/A</v>
      </c>
      <c r="W567" s="5" t="e">
        <f ca="1">IF(OR(INDEX($AI$2:$AI$1001,MATCH(ROWS($AH$2:AH567),$AH$2:$AH$1001,0),1)&gt;=100000,INDEX($AO$1005:$BQ$1005,1,MATCH(COLUMNS($AO$1006:BJ1006),$AO$1006:$BQ$1006,0))&gt;=100000), " ",IF(INDEX($AO$2:$BQ$1001,MATCH(ROWS($AH$2:AH567),$AH$2:$AH$1001,0),MATCH(COLUMNS($AO$1006:BJ1006),$AO$1006:$BQ$1006,0)), HYPERLINK("#",""), HYPERLINK(CONCATENATE("#Metadata!", ADDRESS(INDEX($AJ$2:$AJ$1001,MATCH(ROWS($AH$2:AH567),$AH$2:$AH$1001,0),0), INDEX($AO$1004:$BQ$1004,1,MATCH(COLUMNS($AO$1006:BJ1006),$AO$1006:$BQ$1006,0)))),"Fix")))</f>
        <v>#N/A</v>
      </c>
      <c r="X567" s="5" t="e">
        <f ca="1">IF(OR(INDEX($AI$2:$AI$1001,MATCH(ROWS($AH$2:AH567),$AH$2:$AH$1001,0),1)&gt;=100000,INDEX($AO$1005:$BQ$1005,1,MATCH(COLUMNS($AO$1006:BK1006),$AO$1006:$BQ$1006,0))&gt;=100000), " ",IF(INDEX($AO$2:$BQ$1001,MATCH(ROWS($AH$2:AH567),$AH$2:$AH$1001,0),MATCH(COLUMNS($AO$1006:BK1006),$AO$1006:$BQ$1006,0)), HYPERLINK("#",""), HYPERLINK(CONCATENATE("#Metadata!", ADDRESS(INDEX($AJ$2:$AJ$1001,MATCH(ROWS($AH$2:AH567),$AH$2:$AH$1001,0),0), INDEX($AO$1004:$BQ$1004,1,MATCH(COLUMNS($AO$1006:BK1006),$AO$1006:$BQ$1006,0)))),"Fix")))</f>
        <v>#N/A</v>
      </c>
      <c r="Y567" s="5" t="e">
        <f ca="1">IF(OR(INDEX($AI$2:$AI$1001,MATCH(ROWS($AH$2:AH567),$AH$2:$AH$1001,0),1)&gt;=100000,INDEX($AO$1005:$BQ$1005,1,MATCH(COLUMNS($AO$1006:BL1006),$AO$1006:$BQ$1006,0))&gt;=100000), " ",IF(INDEX($AO$2:$BQ$1001,MATCH(ROWS($AH$2:AH567),$AH$2:$AH$1001,0),MATCH(COLUMNS($AO$1006:BL1006),$AO$1006:$BQ$1006,0)), HYPERLINK("#",""), HYPERLINK(CONCATENATE("#Metadata!", ADDRESS(INDEX($AJ$2:$AJ$1001,MATCH(ROWS($AH$2:AH567),$AH$2:$AH$1001,0),0), INDEX($AO$1004:$BQ$1004,1,MATCH(COLUMNS($AO$1006:BL1006),$AO$1006:$BQ$1006,0)))),"Fix")))</f>
        <v>#N/A</v>
      </c>
      <c r="Z567" s="5" t="e">
        <f ca="1">IF(OR(INDEX($AI$2:$AI$1001,MATCH(ROWS($AH$2:AH567),$AH$2:$AH$1001,0),1)&gt;=100000,INDEX($AO$1005:$BQ$1005,1,MATCH(COLUMNS($AO$1006:BM1006),$AO$1006:$BQ$1006,0))&gt;=100000), " ",IF(INDEX($AO$2:$BQ$1001,MATCH(ROWS($AH$2:AH567),$AH$2:$AH$1001,0),MATCH(COLUMNS($AO$1006:BM1006),$AO$1006:$BQ$1006,0)), HYPERLINK("#",""), HYPERLINK(CONCATENATE("#Metadata!", ADDRESS(INDEX($AJ$2:$AJ$1001,MATCH(ROWS($AH$2:AH567),$AH$2:$AH$1001,0),0), INDEX($AO$1004:$BQ$1004,1,MATCH(COLUMNS($AO$1006:BM1006),$AO$1006:$BQ$1006,0)))),"Fix")))</f>
        <v>#N/A</v>
      </c>
      <c r="AA567" s="5" t="e">
        <f ca="1">IF(OR(INDEX($AI$2:$AI$1001,MATCH(ROWS($AH$2:AH567),$AH$2:$AH$1001,0),1)&gt;=100000,INDEX($AO$1005:$BQ$1005,1,MATCH(COLUMNS($AO$1006:BN1006),$AO$1006:$BQ$1006,0))&gt;=100000), " ",IF(INDEX($AO$2:$BQ$1001,MATCH(ROWS($AH$2:AH567),$AH$2:$AH$1001,0),MATCH(COLUMNS($AO$1006:BN1006),$AO$1006:$BQ$1006,0)), HYPERLINK("#",""), HYPERLINK(CONCATENATE("#Metadata!", ADDRESS(INDEX($AJ$2:$AJ$1001,MATCH(ROWS($AH$2:AH567),$AH$2:$AH$1001,0),0), INDEX($AO$1004:$BQ$1004,1,MATCH(COLUMNS($AO$1006:BN1006),$AO$1006:$BQ$1006,0)))),"Fix")))</f>
        <v>#N/A</v>
      </c>
      <c r="AB567" s="5" t="e">
        <f ca="1">IF(OR(INDEX($AI$2:$AI$1001,MATCH(ROWS($AH$2:AH567),$AH$2:$AH$1001,0),1)&gt;=100000,INDEX($AO$1005:$BQ$1005,1,MATCH(COLUMNS($AO$1006:BO1006),$AO$1006:$BQ$1006,0))&gt;=100000), " ",IF(INDEX($AO$2:$BQ$1001,MATCH(ROWS($AH$2:AH567),$AH$2:$AH$1001,0),MATCH(COLUMNS($AO$1006:BO1006),$AO$1006:$BQ$1006,0)), HYPERLINK("#",""), HYPERLINK(CONCATENATE("#Metadata!", ADDRESS(INDEX($AJ$2:$AJ$1001,MATCH(ROWS($AH$2:AH567),$AH$2:$AH$1001,0),0), INDEX($AO$1004:$BQ$1004,1,MATCH(COLUMNS($AO$1006:BO1006),$AO$1006:$BQ$1006,0)))),"Fix")))</f>
        <v>#N/A</v>
      </c>
      <c r="AC567" s="5" t="e">
        <f ca="1">IF(OR(INDEX($AI$2:$AI$1001,MATCH(ROWS($AH$2:AH567),$AH$2:$AH$1001,0),1)&gt;=100000,INDEX($AO$1005:$BQ$1005,1,MATCH(COLUMNS($AO$1006:BP1006),$AO$1006:$BQ$1006,0))&gt;=100000), " ",IF(INDEX($AO$2:$BQ$1001,MATCH(ROWS($AH$2:AH567),$AH$2:$AH$1001,0),MATCH(COLUMNS($AO$1006:BP1006),$AO$1006:$BQ$1006,0)), HYPERLINK("#",""), HYPERLINK(CONCATENATE("#Metadata!", ADDRESS(INDEX($AJ$2:$AJ$1001,MATCH(ROWS($AH$2:AH567),$AH$2:$AH$1001,0),0), INDEX($AO$1004:$BQ$1004,1,MATCH(COLUMNS($AO$1006:BP1006),$AO$1006:$BQ$1006,0)))),"Fix")))</f>
        <v>#N/A</v>
      </c>
      <c r="AD567" s="5" t="e">
        <f ca="1">IF(OR(INDEX($AI$2:$AI$1001,MATCH(ROWS($AH$2:AH567),$AH$2:$AH$1001,0),1)&gt;=100000,INDEX($AO$1005:$BQ$1005,1,MATCH(COLUMNS($AO$1006:BQ1006),$AO$1006:$BQ$1006,0))&gt;=100000), " ",IF(INDEX($AO$2:$BQ$1001,MATCH(ROWS($AH$2:AH567),$AH$2:$AH$1001,0),MATCH(COLUMNS($AO$1006:BQ1006),$AO$1006:$BQ$1006,0)), HYPERLINK("#",""), HYPERLINK(CONCATENATE("#Metadata!", ADDRESS(INDEX($AJ$2:$AJ$1001,MATCH(ROWS($AH$2:AH567),$AH$2:$AH$1001,0),0), INDEX($AO$1004:$BQ$1004,1,MATCH(COLUMNS($AO$1006:BQ1006),$AO$1006:$BQ$1006,0)))),"Fix")))</f>
        <v>#REF!</v>
      </c>
      <c r="AH567">
        <f ca="1"/>
        <v>564</v>
      </c>
      <c r="AI567">
        <v>100567</v>
      </c>
      <c r="AJ567">
        <v>567</v>
      </c>
      <c r="AK567" t="b">
        <f t="shared" si="8"/>
        <v>1</v>
      </c>
      <c r="AL567" t="b">
        <f>COUNTBLANK(Metadata!B567:AD567)=COLUMNS(Metadata!B567:AD567)</f>
        <v>1</v>
      </c>
      <c r="AM567" t="str">
        <v/>
      </c>
      <c r="AO567" t="b">
        <f ca="1">AND(IF(Metadata!B567="",FALSE,TRUE),COUNTIF(Metadata!B:B, Metadata!B567) = 1,NOT(ISERROR(SUMPRODUCT(SEARCH(MID(Metadata!B567,ROW(INDIRECT("1:"&amp;LEN(Metadata!B567))), 1),"0123456789abcdefghijklmnopqrstuvwxyzABCDEFGHIJKLMNOPQRSTUVWXYZ.")))))</f>
        <v>0</v>
      </c>
      <c r="AP567" t="b">
        <f>IF(Metadata!C567="",FALSE,TRUE)</f>
        <v>0</v>
      </c>
      <c r="AQ567" t="b">
        <f>IF(Metadata!D567="",FALSE,TRUE)</f>
        <v>0</v>
      </c>
      <c r="AR567" t="b">
        <f ca="1">OR(AND(IF(Metadata!E567="",FALSE,TRUE),OR(EXACT(Metadata!E567,"not collected"),EXACT(Metadata!E567,"not provided"),EXACT(Metadata!E567,"restricted access"))),AND(IF(Metadata!E567="",FALSE,TRUE),AND(AND(IFERROR(INT(LEFT(Metadata!E567,4))&gt;1900,FALSE),IFERROR(INT(LEFT(Metadata!E567,4))&lt;=YEAR(NOW()),FALSE)), OR(MID(Metadata!E567,5,1)="", AND(AND(MID(Metadata!E567,5,1)="-",IFERROR(INT(MID(Metadata!E567,6,1))&gt;=0,FALSE),IFERROR(INT(MID(Metadata!E567,6,1))&lt;=1,FALSE),NOT(MID(Metadata!E567,7,1)=""),IFERROR(INT(MID(Metadata!E567,6,2))&gt;=1,FALSE),IFERROR(INT(MID(Metadata!E567,6,2))&lt;=12,FALSE)), OR(MID(Metadata!E567,8,1)="", AND(AND(MID(Metadata!E567,8,1)="-",IFERROR(INT(MID(Metadata!E567,9,1))&gt;=0,FALSE),IFERROR(INT(MID(Metadata!E567,9,1))&lt;=3,FALSE),NOT(MID(Metadata!E567,10,1)=""),IFERROR(INT(MID(Metadata!E567,9,2))&gt;=1,FALSE),IFERROR(INT(MID(Metadata!E567,9,2))&lt;=31,FALSE)), OR(MID(Metadata!E567,11,1)="", AND(AND(MID(Metadata!E567,11,1)=" ",IFERROR(INT(MID(Metadata!E567,12,1))&gt;=0,FALSE),IFERROR(INT(MID(Metadata!E567,12,1))&lt;=2,FALSE),NOT(MID(Metadata!E567,13,1)=""),IFERROR(INT(MID(Metadata!E567,12,2))&gt;=0,FALSE),IFERROR(INT(MID(Metadata!E567,12,2))&lt;=23,FALSE)), OR(MID(Metadata!E567,14,1)="", AND(AND(MID(Metadata!E567,14,1)=":",IFERROR(INT(MID(Metadata!E567,15,1))&gt;=0,FALSE),IFERROR(INT(MID(Metadata!E567,15,1))&lt;=5,FALSE),NOT(MID(Metadata!E567,16,1)=""),IFERROR(INT(MID(Metadata!E567,15,2))&gt;=0,FALSE),IFERROR(INT(MID(Metadata!E567,15,2))&lt;=59,FALSE)), OR(MID(Metadata!E567,17,1)="", AND(AND(MID(Metadata!E567,17,1)=":",IFERROR(INT(MID(Metadata!E567,18,1))&gt;=0,FALSE),IFERROR(INT(MID(Metadata!E567,18,1))&lt;=5,FALSE),NOT(MID(Metadata!E567,19,1)=""),IFERROR(INT(MID(Metadata!E567,18,2))&gt;=0,FALSE),IFERROR(INT(MID(Metadata!E567,18,2))&lt;=59,FALSE)), LEN(Metadata!E567)&lt;=19)))))))))))))</f>
        <v>0</v>
      </c>
      <c r="AS567" t="b">
        <f>IF(Metadata!F567="",FALSE,TRUE)</f>
        <v>0</v>
      </c>
      <c r="AT567" t="b">
        <f>OR(AND(IF(Metadata!G567="",FALSE,TRUE),OR(EXACT(Metadata!G567,"not collected"),EXACT(Metadata!G567,"not provided"))),AND(IF(Metadata!G567="",FALSE,TRUE),OR(EXACT(Metadata!G567,"TRUE"),EXACT(Metadata!G567,"FALSE"))))</f>
        <v>0</v>
      </c>
      <c r="AU567" t="b">
        <f>OR(AND(IF(Metadata!H567="",FALSE,TRUE),OR(EXACT(Metadata!H567,"not collected"),EXACT(Metadata!H567,"not provided"),EXACT(Metadata!H567,"restricted access"))),AND(IF(Metadata!H567="",FALSE,ISNUMBER(VALUE(Metadata!H567))),Metadata!H567&gt;=-413))</f>
        <v>0</v>
      </c>
      <c r="AV567" t="b">
        <f>AND(IF(Metadata!I567="",FALSE,TRUE),EXACT(Metadata!I567,"meters"))</f>
        <v>0</v>
      </c>
      <c r="AW567" t="b">
        <f>AND(IF(Metadata!J567="",FALSE,TRUE),EXACT(Metadata!J567,"free-living"))</f>
        <v>0</v>
      </c>
      <c r="AX567" t="b">
        <f>AND(IF(Metadata!K567="",FALSE,TRUE),OR(EXACT(Metadata!K567,"saline"),EXACT(Metadata!K567,"non-saline")))</f>
        <v>0</v>
      </c>
      <c r="AY567" t="b">
        <f>AND(IF(Metadata!L567="",FALSE,TRUE),OR(EXACT(Metadata!L567,"sub-surface (non-saline)"),EXACT(Metadata!L567,"surface (non-saline)"),EXACT(Metadata!L567,"water (non-saline)"),EXACT(Metadata!L567,"soil (non-saline)"),EXACT(Metadata!L567,"aerosol (non-saline)"),EXACT(Metadata!L567,"sediment (non-saline)"),EXACT(Metadata!L567,"surface (saline)"),EXACT(Metadata!L567,"water (saline)"),EXACT(Metadata!L567,"hypersaline (saline)"),EXACT(Metadata!L567,"aerosol (saline)"),EXACT(Metadata!L567,"sediment (saline)")))</f>
        <v>0</v>
      </c>
      <c r="AZ567" t="b">
        <f>IF(Metadata!M567="",FALSE,TRUE)</f>
        <v>0</v>
      </c>
      <c r="BA567" t="b">
        <f>IF(Metadata!N567="",FALSE,TRUE)</f>
        <v>0</v>
      </c>
      <c r="BB567" t="b">
        <f>IF(Metadata!O567="",FALSE,TRUE)</f>
        <v>0</v>
      </c>
      <c r="BC567" t="b">
        <f>AND(IF(Metadata!P567="",FALSE,TRUE),OR(EXACT(Metadata!P567,"air"),EXACT(Metadata!P567,"microbial mat/biofilm"),EXACT(Metadata!P567,"misc environment"),EXACT(Metadata!P567,"sediment"),EXACT(Metadata!P567,"soil"),EXACT(Metadata!P567,"wastewater/sludge"),EXACT(Metadata!P567,"water")))</f>
        <v>0</v>
      </c>
      <c r="BD567" t="b">
        <f>IF(Metadata!Q567="",FALSE,TRUE)</f>
        <v>0</v>
      </c>
      <c r="BE567" t="b">
        <f>IF(Metadata!R567="",FALSE,TRUE)</f>
        <v>0</v>
      </c>
      <c r="BF567" t="b">
        <f>OR(AND(IF(Metadata!S567="",FALSE,TRUE),OR(EXACT(Metadata!S567,"not collected"),EXACT(Metadata!S567,"not provided"),EXACT(Metadata!S567,"restricted access"))),AND(IF(Metadata!S567="",FALSE,ISNUMBER(VALUE(Metadata!S567))),Metadata!S567&gt;=-90,Metadata!S567&lt;=90))</f>
        <v>0</v>
      </c>
      <c r="BG567" t="b">
        <f>AND(IF(Metadata!T567="",FALSE,TRUE),EXACT(Metadata!T567,"Decimal degrees"))</f>
        <v>0</v>
      </c>
      <c r="BH567" t="b">
        <f>OR(AND(IF(Metadata!U567="",FALSE,TRUE),OR(EXACT(Metadata!U567,"not applicable"),EXACT(Metadata!U567,"not collected"))),IF(Metadata!U567="",FALSE,TRUE))</f>
        <v>0</v>
      </c>
      <c r="BI567" t="b">
        <f>OR(AND(IF(Metadata!V567="",FALSE,TRUE),OR(EXACT(Metadata!V567,"not collected"),EXACT(Metadata!V567,"not provided"),EXACT(Metadata!V567,"restricted access"))),AND(IF(Metadata!V567="",FALSE,ISNUMBER(VALUE(Metadata!V567))),Metadata!V567&gt;=-180,Metadata!V567&lt;=180))</f>
        <v>0</v>
      </c>
      <c r="BJ567" t="b">
        <f>AND(IF(Metadata!W567="",FALSE,TRUE),EXACT(Metadata!W567,"Decimal degrees"))</f>
        <v>0</v>
      </c>
      <c r="BK567" t="b">
        <f>IF(Metadata!X567="",FALSE,TRUE)</f>
        <v>0</v>
      </c>
      <c r="BL567" t="b">
        <f>OR(AND(IF(Metadata!Y567="",FALSE,TRUE),OR(EXACT(Metadata!Y567,"not collected"),EXACT(Metadata!Y567,"not provided"),EXACT(Metadata!Y567,"restricted access"))),AND(IF(Metadata!Y567="",FALSE,TRUE),OR(EXACT(Metadata!Y567,"TRUE"),EXACT(Metadata!Y567,"FALSE"))))</f>
        <v>0</v>
      </c>
      <c r="BM567" t="b">
        <f>OR(AND(IF(Metadata!Z567="",FALSE,TRUE),EXACT(Metadata!Z567,"not applicable")),AND(IF(Metadata!Z567="",FALSE,TRUE),OR(EXACT(Metadata!Z567,"beer"),EXACT(Metadata!Z567,"cheese"),EXACT(Metadata!Z567,"fresh water"),EXACT(Metadata!Z567,"marine sediment"),EXACT(Metadata!Z567,"sea water"),EXACT(Metadata!Z567,"sediment"),EXACT(Metadata!Z567,"soil"),EXACT(Metadata!Z567,"waste water"))))</f>
        <v>0</v>
      </c>
      <c r="BN567" t="b">
        <f>AND(IF(Metadata!AA567="",FALSE,TRUE),EXACT(Metadata!AA567,"metagenome"))</f>
        <v>0</v>
      </c>
      <c r="BO567" t="b">
        <f>AND(IF(Metadata!AB567="",FALSE,TRUE),EXACT(Metadata!AB567,"256318"))</f>
        <v>0</v>
      </c>
      <c r="BP567" t="b">
        <f>IF(Metadata!AC567="",FALSE,TRUE)</f>
        <v>0</v>
      </c>
      <c r="BQ567" t="b">
        <f>IF(Metadata!AD567="",FALSE,TRUE)</f>
        <v>0</v>
      </c>
    </row>
    <row r="568" spans="1:69" x14ac:dyDescent="0.2">
      <c r="A568" s="4" t="e">
        <f ca="1">IF(B568=" "," ",HYPERLINK(CONCATENATE("#metadata!",ADDRESS(INDEX($AJ$2:$AJ$1001,MATCH(ROWS($AH$2:AH568),$AH$2:$AH$1001,0),0),2)),INDEX($AM$2:$AM$1001,MATCH(ROWS($AH$2:AH568),$AH$2:$AH$1001,0),0)))</f>
        <v>#N/A</v>
      </c>
      <c r="B568" s="5" t="e">
        <f ca="1">IF(OR(INDEX($AI$2:$AI$1001,MATCH(ROWS($AH$2:AH568),$AH$2:$AH$1001,0),1)&gt;=100000,INDEX($AO$1005:$BQ$1005,1,MATCH(COLUMNS($AO$1006:AO1006),$AO$1006:$BQ$1006,0))&gt;=100000), " ",IF(INDEX($AO$2:$BQ$1001,MATCH(ROWS($AH$2:AH568),$AH$2:$AH$1001,0),MATCH(COLUMNS($AO$1006:AO1006),$AO$1006:$BQ$1006,0)), HYPERLINK("#",""), HYPERLINK(CONCATENATE("#Metadata!", ADDRESS(INDEX($AJ$2:$AJ$1001,MATCH(ROWS($AH$2:AH568),$AH$2:$AH$1001,0),0), INDEX($AO$1004:$BQ$1004,1,MATCH(COLUMNS($AO$1006:AO1006),$AO$1006:$BQ$1006,0)))),"Fix")))</f>
        <v>#N/A</v>
      </c>
      <c r="C568" s="5" t="e">
        <f ca="1">IF(OR(INDEX($AI$2:$AI$1001,MATCH(ROWS($AH$2:AH568),$AH$2:$AH$1001,0),1)&gt;=100000,INDEX($AO$1005:$BQ$1005,1,MATCH(COLUMNS($AO$1006:AP1006),$AO$1006:$BQ$1006,0))&gt;=100000), " ",IF(INDEX($AO$2:$BQ$1001,MATCH(ROWS($AH$2:AH568),$AH$2:$AH$1001,0),MATCH(COLUMNS($AO$1006:AP1006),$AO$1006:$BQ$1006,0)), HYPERLINK("#",""), HYPERLINK(CONCATENATE("#Metadata!", ADDRESS(INDEX($AJ$2:$AJ$1001,MATCH(ROWS($AH$2:AH568),$AH$2:$AH$1001,0),0), INDEX($AO$1004:$BQ$1004,1,MATCH(COLUMNS($AO$1006:AP1006),$AO$1006:$BQ$1006,0)))),"Fix")))</f>
        <v>#N/A</v>
      </c>
      <c r="D568" s="5" t="e">
        <f ca="1">IF(OR(INDEX($AI$2:$AI$1001,MATCH(ROWS($AH$2:AH568),$AH$2:$AH$1001,0),1)&gt;=100000,INDEX($AO$1005:$BQ$1005,1,MATCH(COLUMNS($AO$1006:AQ1006),$AO$1006:$BQ$1006,0))&gt;=100000), " ",IF(INDEX($AO$2:$BQ$1001,MATCH(ROWS($AH$2:AH568),$AH$2:$AH$1001,0),MATCH(COLUMNS($AO$1006:AQ1006),$AO$1006:$BQ$1006,0)), HYPERLINK("#",""), HYPERLINK(CONCATENATE("#Metadata!", ADDRESS(INDEX($AJ$2:$AJ$1001,MATCH(ROWS($AH$2:AH568),$AH$2:$AH$1001,0),0), INDEX($AO$1004:$BQ$1004,1,MATCH(COLUMNS($AO$1006:AQ1006),$AO$1006:$BQ$1006,0)))),"Fix")))</f>
        <v>#N/A</v>
      </c>
      <c r="E568" s="5" t="e">
        <f ca="1">IF(OR(INDEX($AI$2:$AI$1001,MATCH(ROWS($AH$2:AH568),$AH$2:$AH$1001,0),1)&gt;=100000,INDEX($AO$1005:$BQ$1005,1,MATCH(COLUMNS($AO$1006:AR1006),$AO$1006:$BQ$1006,0))&gt;=100000), " ",IF(INDEX($AO$2:$BQ$1001,MATCH(ROWS($AH$2:AH568),$AH$2:$AH$1001,0),MATCH(COLUMNS($AO$1006:AR1006),$AO$1006:$BQ$1006,0)), HYPERLINK("#",""), HYPERLINK(CONCATENATE("#Metadata!", ADDRESS(INDEX($AJ$2:$AJ$1001,MATCH(ROWS($AH$2:AH568),$AH$2:$AH$1001,0),0), INDEX($AO$1004:$BQ$1004,1,MATCH(COLUMNS($AO$1006:AR1006),$AO$1006:$BQ$1006,0)))),"Fix")))</f>
        <v>#N/A</v>
      </c>
      <c r="F568" s="5" t="e">
        <f ca="1">IF(OR(INDEX($AI$2:$AI$1001,MATCH(ROWS($AH$2:AH568),$AH$2:$AH$1001,0),1)&gt;=100000,INDEX($AO$1005:$BQ$1005,1,MATCH(COLUMNS($AO$1006:AS1006),$AO$1006:$BQ$1006,0))&gt;=100000), " ",IF(INDEX($AO$2:$BQ$1001,MATCH(ROWS($AH$2:AH568),$AH$2:$AH$1001,0),MATCH(COLUMNS($AO$1006:AS1006),$AO$1006:$BQ$1006,0)), HYPERLINK("#",""), HYPERLINK(CONCATENATE("#Metadata!", ADDRESS(INDEX($AJ$2:$AJ$1001,MATCH(ROWS($AH$2:AH568),$AH$2:$AH$1001,0),0), INDEX($AO$1004:$BQ$1004,1,MATCH(COLUMNS($AO$1006:AS1006),$AO$1006:$BQ$1006,0)))),"Fix")))</f>
        <v>#N/A</v>
      </c>
      <c r="G568" s="5" t="e">
        <f ca="1">IF(OR(INDEX($AI$2:$AI$1001,MATCH(ROWS($AH$2:AH568),$AH$2:$AH$1001,0),1)&gt;=100000,INDEX($AO$1005:$BQ$1005,1,MATCH(COLUMNS($AO$1006:AT1006),$AO$1006:$BQ$1006,0))&gt;=100000), " ",IF(INDEX($AO$2:$BQ$1001,MATCH(ROWS($AH$2:AH568),$AH$2:$AH$1001,0),MATCH(COLUMNS($AO$1006:AT1006),$AO$1006:$BQ$1006,0)), HYPERLINK("#",""), HYPERLINK(CONCATENATE("#Metadata!", ADDRESS(INDEX($AJ$2:$AJ$1001,MATCH(ROWS($AH$2:AH568),$AH$2:$AH$1001,0),0), INDEX($AO$1004:$BQ$1004,1,MATCH(COLUMNS($AO$1006:AT1006),$AO$1006:$BQ$1006,0)))),"Fix")))</f>
        <v>#N/A</v>
      </c>
      <c r="H568" s="5" t="e">
        <f ca="1">IF(OR(INDEX($AI$2:$AI$1001,MATCH(ROWS($AH$2:AH568),$AH$2:$AH$1001,0),1)&gt;=100000,INDEX($AO$1005:$BQ$1005,1,MATCH(COLUMNS($AO$1006:AU1006),$AO$1006:$BQ$1006,0))&gt;=100000), " ",IF(INDEX($AO$2:$BQ$1001,MATCH(ROWS($AH$2:AH568),$AH$2:$AH$1001,0),MATCH(COLUMNS($AO$1006:AU1006),$AO$1006:$BQ$1006,0)), HYPERLINK("#",""), HYPERLINK(CONCATENATE("#Metadata!", ADDRESS(INDEX($AJ$2:$AJ$1001,MATCH(ROWS($AH$2:AH568),$AH$2:$AH$1001,0),0), INDEX($AO$1004:$BQ$1004,1,MATCH(COLUMNS($AO$1006:AU1006),$AO$1006:$BQ$1006,0)))),"Fix")))</f>
        <v>#N/A</v>
      </c>
      <c r="I568" s="5" t="e">
        <f ca="1">IF(OR(INDEX($AI$2:$AI$1001,MATCH(ROWS($AH$2:AH568),$AH$2:$AH$1001,0),1)&gt;=100000,INDEX($AO$1005:$BQ$1005,1,MATCH(COLUMNS($AO$1006:AV1006),$AO$1006:$BQ$1006,0))&gt;=100000), " ",IF(INDEX($AO$2:$BQ$1001,MATCH(ROWS($AH$2:AH568),$AH$2:$AH$1001,0),MATCH(COLUMNS($AO$1006:AV1006),$AO$1006:$BQ$1006,0)), HYPERLINK("#",""), HYPERLINK(CONCATENATE("#Metadata!", ADDRESS(INDEX($AJ$2:$AJ$1001,MATCH(ROWS($AH$2:AH568),$AH$2:$AH$1001,0),0), INDEX($AO$1004:$BQ$1004,1,MATCH(COLUMNS($AO$1006:AV1006),$AO$1006:$BQ$1006,0)))),"Fix")))</f>
        <v>#N/A</v>
      </c>
      <c r="J568" s="5" t="e">
        <f ca="1">IF(OR(INDEX($AI$2:$AI$1001,MATCH(ROWS($AH$2:AH568),$AH$2:$AH$1001,0),1)&gt;=100000,INDEX($AO$1005:$BQ$1005,1,MATCH(COLUMNS($AO$1006:AW1006),$AO$1006:$BQ$1006,0))&gt;=100000), " ",IF(INDEX($AO$2:$BQ$1001,MATCH(ROWS($AH$2:AH568),$AH$2:$AH$1001,0),MATCH(COLUMNS($AO$1006:AW1006),$AO$1006:$BQ$1006,0)), HYPERLINK("#",""), HYPERLINK(CONCATENATE("#Metadata!", ADDRESS(INDEX($AJ$2:$AJ$1001,MATCH(ROWS($AH$2:AH568),$AH$2:$AH$1001,0),0), INDEX($AO$1004:$BQ$1004,1,MATCH(COLUMNS($AO$1006:AW1006),$AO$1006:$BQ$1006,0)))),"Fix")))</f>
        <v>#N/A</v>
      </c>
      <c r="K568" s="5" t="e">
        <f ca="1">IF(OR(INDEX($AI$2:$AI$1001,MATCH(ROWS($AH$2:AH568),$AH$2:$AH$1001,0),1)&gt;=100000,INDEX($AO$1005:$BQ$1005,1,MATCH(COLUMNS($AO$1006:AX1006),$AO$1006:$BQ$1006,0))&gt;=100000), " ",IF(INDEX($AO$2:$BQ$1001,MATCH(ROWS($AH$2:AH568),$AH$2:$AH$1001,0),MATCH(COLUMNS($AO$1006:AX1006),$AO$1006:$BQ$1006,0)), HYPERLINK("#",""), HYPERLINK(CONCATENATE("#Metadata!", ADDRESS(INDEX($AJ$2:$AJ$1001,MATCH(ROWS($AH$2:AH568),$AH$2:$AH$1001,0),0), INDEX($AO$1004:$BQ$1004,1,MATCH(COLUMNS($AO$1006:AX1006),$AO$1006:$BQ$1006,0)))),"Fix")))</f>
        <v>#N/A</v>
      </c>
      <c r="L568" s="5" t="e">
        <f ca="1">IF(OR(INDEX($AI$2:$AI$1001,MATCH(ROWS($AH$2:AH568),$AH$2:$AH$1001,0),1)&gt;=100000,INDEX($AO$1005:$BQ$1005,1,MATCH(COLUMNS($AO$1006:AY1006),$AO$1006:$BQ$1006,0))&gt;=100000), " ",IF(INDEX($AO$2:$BQ$1001,MATCH(ROWS($AH$2:AH568),$AH$2:$AH$1001,0),MATCH(COLUMNS($AO$1006:AY1006),$AO$1006:$BQ$1006,0)), HYPERLINK("#",""), HYPERLINK(CONCATENATE("#Metadata!", ADDRESS(INDEX($AJ$2:$AJ$1001,MATCH(ROWS($AH$2:AH568),$AH$2:$AH$1001,0),0), INDEX($AO$1004:$BQ$1004,1,MATCH(COLUMNS($AO$1006:AY1006),$AO$1006:$BQ$1006,0)))),"Fix")))</f>
        <v>#N/A</v>
      </c>
      <c r="M568" s="5" t="e">
        <f ca="1">IF(OR(INDEX($AI$2:$AI$1001,MATCH(ROWS($AH$2:AH568),$AH$2:$AH$1001,0),1)&gt;=100000,INDEX($AO$1005:$BQ$1005,1,MATCH(COLUMNS($AO$1006:AZ1006),$AO$1006:$BQ$1006,0))&gt;=100000), " ",IF(INDEX($AO$2:$BQ$1001,MATCH(ROWS($AH$2:AH568),$AH$2:$AH$1001,0),MATCH(COLUMNS($AO$1006:AZ1006),$AO$1006:$BQ$1006,0)), HYPERLINK("#",""), HYPERLINK(CONCATENATE("#Metadata!", ADDRESS(INDEX($AJ$2:$AJ$1001,MATCH(ROWS($AH$2:AH568),$AH$2:$AH$1001,0),0), INDEX($AO$1004:$BQ$1004,1,MATCH(COLUMNS($AO$1006:AZ1006),$AO$1006:$BQ$1006,0)))),"Fix")))</f>
        <v>#N/A</v>
      </c>
      <c r="N568" s="5" t="e">
        <f ca="1">IF(OR(INDEX($AI$2:$AI$1001,MATCH(ROWS($AH$2:AH568),$AH$2:$AH$1001,0),1)&gt;=100000,INDEX($AO$1005:$BQ$1005,1,MATCH(COLUMNS($AO$1006:BA1006),$AO$1006:$BQ$1006,0))&gt;=100000), " ",IF(INDEX($AO$2:$BQ$1001,MATCH(ROWS($AH$2:AH568),$AH$2:$AH$1001,0),MATCH(COLUMNS($AO$1006:BA1006),$AO$1006:$BQ$1006,0)), HYPERLINK("#",""), HYPERLINK(CONCATENATE("#Metadata!", ADDRESS(INDEX($AJ$2:$AJ$1001,MATCH(ROWS($AH$2:AH568),$AH$2:$AH$1001,0),0), INDEX($AO$1004:$BQ$1004,1,MATCH(COLUMNS($AO$1006:BA1006),$AO$1006:$BQ$1006,0)))),"Fix")))</f>
        <v>#N/A</v>
      </c>
      <c r="O568" s="5" t="e">
        <f ca="1">IF(OR(INDEX($AI$2:$AI$1001,MATCH(ROWS($AH$2:AH568),$AH$2:$AH$1001,0),1)&gt;=100000,INDEX($AO$1005:$BQ$1005,1,MATCH(COLUMNS($AO$1006:BB1006),$AO$1006:$BQ$1006,0))&gt;=100000), " ",IF(INDEX($AO$2:$BQ$1001,MATCH(ROWS($AH$2:AH568),$AH$2:$AH$1001,0),MATCH(COLUMNS($AO$1006:BB1006),$AO$1006:$BQ$1006,0)), HYPERLINK("#",""), HYPERLINK(CONCATENATE("#Metadata!", ADDRESS(INDEX($AJ$2:$AJ$1001,MATCH(ROWS($AH$2:AH568),$AH$2:$AH$1001,0),0), INDEX($AO$1004:$BQ$1004,1,MATCH(COLUMNS($AO$1006:BB1006),$AO$1006:$BQ$1006,0)))),"Fix")))</f>
        <v>#N/A</v>
      </c>
      <c r="P568" s="5" t="e">
        <f ca="1">IF(OR(INDEX($AI$2:$AI$1001,MATCH(ROWS($AH$2:AH568),$AH$2:$AH$1001,0),1)&gt;=100000,INDEX($AO$1005:$BQ$1005,1,MATCH(COLUMNS($AO$1006:BC1006),$AO$1006:$BQ$1006,0))&gt;=100000), " ",IF(INDEX($AO$2:$BQ$1001,MATCH(ROWS($AH$2:AH568),$AH$2:$AH$1001,0),MATCH(COLUMNS($AO$1006:BC1006),$AO$1006:$BQ$1006,0)), HYPERLINK("#",""), HYPERLINK(CONCATENATE("#Metadata!", ADDRESS(INDEX($AJ$2:$AJ$1001,MATCH(ROWS($AH$2:AH568),$AH$2:$AH$1001,0),0), INDEX($AO$1004:$BQ$1004,1,MATCH(COLUMNS($AO$1006:BC1006),$AO$1006:$BQ$1006,0)))),"Fix")))</f>
        <v>#N/A</v>
      </c>
      <c r="Q568" s="5" t="e">
        <f ca="1">IF(OR(INDEX($AI$2:$AI$1001,MATCH(ROWS($AH$2:AH568),$AH$2:$AH$1001,0),1)&gt;=100000,INDEX($AO$1005:$BQ$1005,1,MATCH(COLUMNS($AO$1006:BD1006),$AO$1006:$BQ$1006,0))&gt;=100000), " ",IF(INDEX($AO$2:$BQ$1001,MATCH(ROWS($AH$2:AH568),$AH$2:$AH$1001,0),MATCH(COLUMNS($AO$1006:BD1006),$AO$1006:$BQ$1006,0)), HYPERLINK("#",""), HYPERLINK(CONCATENATE("#Metadata!", ADDRESS(INDEX($AJ$2:$AJ$1001,MATCH(ROWS($AH$2:AH568),$AH$2:$AH$1001,0),0), INDEX($AO$1004:$BQ$1004,1,MATCH(COLUMNS($AO$1006:BD1006),$AO$1006:$BQ$1006,0)))),"Fix")))</f>
        <v>#N/A</v>
      </c>
      <c r="R568" s="5" t="e">
        <f ca="1">IF(OR(INDEX($AI$2:$AI$1001,MATCH(ROWS($AH$2:AH568),$AH$2:$AH$1001,0),1)&gt;=100000,INDEX($AO$1005:$BQ$1005,1,MATCH(COLUMNS($AO$1006:BE1006),$AO$1006:$BQ$1006,0))&gt;=100000), " ",IF(INDEX($AO$2:$BQ$1001,MATCH(ROWS($AH$2:AH568),$AH$2:$AH$1001,0),MATCH(COLUMNS($AO$1006:BE1006),$AO$1006:$BQ$1006,0)), HYPERLINK("#",""), HYPERLINK(CONCATENATE("#Metadata!", ADDRESS(INDEX($AJ$2:$AJ$1001,MATCH(ROWS($AH$2:AH568),$AH$2:$AH$1001,0),0), INDEX($AO$1004:$BQ$1004,1,MATCH(COLUMNS($AO$1006:BE1006),$AO$1006:$BQ$1006,0)))),"Fix")))</f>
        <v>#N/A</v>
      </c>
      <c r="S568" s="5" t="e">
        <f ca="1">IF(OR(INDEX($AI$2:$AI$1001,MATCH(ROWS($AH$2:AH568),$AH$2:$AH$1001,0),1)&gt;=100000,INDEX($AO$1005:$BQ$1005,1,MATCH(COLUMNS($AO$1006:BF1006),$AO$1006:$BQ$1006,0))&gt;=100000), " ",IF(INDEX($AO$2:$BQ$1001,MATCH(ROWS($AH$2:AH568),$AH$2:$AH$1001,0),MATCH(COLUMNS($AO$1006:BF1006),$AO$1006:$BQ$1006,0)), HYPERLINK("#",""), HYPERLINK(CONCATENATE("#Metadata!", ADDRESS(INDEX($AJ$2:$AJ$1001,MATCH(ROWS($AH$2:AH568),$AH$2:$AH$1001,0),0), INDEX($AO$1004:$BQ$1004,1,MATCH(COLUMNS($AO$1006:BF1006),$AO$1006:$BQ$1006,0)))),"Fix")))</f>
        <v>#N/A</v>
      </c>
      <c r="T568" s="5" t="e">
        <f ca="1">IF(OR(INDEX($AI$2:$AI$1001,MATCH(ROWS($AH$2:AH568),$AH$2:$AH$1001,0),1)&gt;=100000,INDEX($AO$1005:$BQ$1005,1,MATCH(COLUMNS($AO$1006:BG1006),$AO$1006:$BQ$1006,0))&gt;=100000), " ",IF(INDEX($AO$2:$BQ$1001,MATCH(ROWS($AH$2:AH568),$AH$2:$AH$1001,0),MATCH(COLUMNS($AO$1006:BG1006),$AO$1006:$BQ$1006,0)), HYPERLINK("#",""), HYPERLINK(CONCATENATE("#Metadata!", ADDRESS(INDEX($AJ$2:$AJ$1001,MATCH(ROWS($AH$2:AH568),$AH$2:$AH$1001,0),0), INDEX($AO$1004:$BQ$1004,1,MATCH(COLUMNS($AO$1006:BG1006),$AO$1006:$BQ$1006,0)))),"Fix")))</f>
        <v>#N/A</v>
      </c>
      <c r="U568" s="5" t="e">
        <f ca="1">IF(OR(INDEX($AI$2:$AI$1001,MATCH(ROWS($AH$2:AH568),$AH$2:$AH$1001,0),1)&gt;=100000,INDEX($AO$1005:$BQ$1005,1,MATCH(COLUMNS($AO$1006:BH1006),$AO$1006:$BQ$1006,0))&gt;=100000), " ",IF(INDEX($AO$2:$BQ$1001,MATCH(ROWS($AH$2:AH568),$AH$2:$AH$1001,0),MATCH(COLUMNS($AO$1006:BH1006),$AO$1006:$BQ$1006,0)), HYPERLINK("#",""), HYPERLINK(CONCATENATE("#Metadata!", ADDRESS(INDEX($AJ$2:$AJ$1001,MATCH(ROWS($AH$2:AH568),$AH$2:$AH$1001,0),0), INDEX($AO$1004:$BQ$1004,1,MATCH(COLUMNS($AO$1006:BH1006),$AO$1006:$BQ$1006,0)))),"Fix")))</f>
        <v>#N/A</v>
      </c>
      <c r="V568" s="5" t="e">
        <f ca="1">IF(OR(INDEX($AI$2:$AI$1001,MATCH(ROWS($AH$2:AH568),$AH$2:$AH$1001,0),1)&gt;=100000,INDEX($AO$1005:$BQ$1005,1,MATCH(COLUMNS($AO$1006:BI1006),$AO$1006:$BQ$1006,0))&gt;=100000), " ",IF(INDEX($AO$2:$BQ$1001,MATCH(ROWS($AH$2:AH568),$AH$2:$AH$1001,0),MATCH(COLUMNS($AO$1006:BI1006),$AO$1006:$BQ$1006,0)), HYPERLINK("#",""), HYPERLINK(CONCATENATE("#Metadata!", ADDRESS(INDEX($AJ$2:$AJ$1001,MATCH(ROWS($AH$2:AH568),$AH$2:$AH$1001,0),0), INDEX($AO$1004:$BQ$1004,1,MATCH(COLUMNS($AO$1006:BI1006),$AO$1006:$BQ$1006,0)))),"Fix")))</f>
        <v>#N/A</v>
      </c>
      <c r="W568" s="5" t="e">
        <f ca="1">IF(OR(INDEX($AI$2:$AI$1001,MATCH(ROWS($AH$2:AH568),$AH$2:$AH$1001,0),1)&gt;=100000,INDEX($AO$1005:$BQ$1005,1,MATCH(COLUMNS($AO$1006:BJ1006),$AO$1006:$BQ$1006,0))&gt;=100000), " ",IF(INDEX($AO$2:$BQ$1001,MATCH(ROWS($AH$2:AH568),$AH$2:$AH$1001,0),MATCH(COLUMNS($AO$1006:BJ1006),$AO$1006:$BQ$1006,0)), HYPERLINK("#",""), HYPERLINK(CONCATENATE("#Metadata!", ADDRESS(INDEX($AJ$2:$AJ$1001,MATCH(ROWS($AH$2:AH568),$AH$2:$AH$1001,0),0), INDEX($AO$1004:$BQ$1004,1,MATCH(COLUMNS($AO$1006:BJ1006),$AO$1006:$BQ$1006,0)))),"Fix")))</f>
        <v>#N/A</v>
      </c>
      <c r="X568" s="5" t="e">
        <f ca="1">IF(OR(INDEX($AI$2:$AI$1001,MATCH(ROWS($AH$2:AH568),$AH$2:$AH$1001,0),1)&gt;=100000,INDEX($AO$1005:$BQ$1005,1,MATCH(COLUMNS($AO$1006:BK1006),$AO$1006:$BQ$1006,0))&gt;=100000), " ",IF(INDEX($AO$2:$BQ$1001,MATCH(ROWS($AH$2:AH568),$AH$2:$AH$1001,0),MATCH(COLUMNS($AO$1006:BK1006),$AO$1006:$BQ$1006,0)), HYPERLINK("#",""), HYPERLINK(CONCATENATE("#Metadata!", ADDRESS(INDEX($AJ$2:$AJ$1001,MATCH(ROWS($AH$2:AH568),$AH$2:$AH$1001,0),0), INDEX($AO$1004:$BQ$1004,1,MATCH(COLUMNS($AO$1006:BK1006),$AO$1006:$BQ$1006,0)))),"Fix")))</f>
        <v>#N/A</v>
      </c>
      <c r="Y568" s="5" t="e">
        <f ca="1">IF(OR(INDEX($AI$2:$AI$1001,MATCH(ROWS($AH$2:AH568),$AH$2:$AH$1001,0),1)&gt;=100000,INDEX($AO$1005:$BQ$1005,1,MATCH(COLUMNS($AO$1006:BL1006),$AO$1006:$BQ$1006,0))&gt;=100000), " ",IF(INDEX($AO$2:$BQ$1001,MATCH(ROWS($AH$2:AH568),$AH$2:$AH$1001,0),MATCH(COLUMNS($AO$1006:BL1006),$AO$1006:$BQ$1006,0)), HYPERLINK("#",""), HYPERLINK(CONCATENATE("#Metadata!", ADDRESS(INDEX($AJ$2:$AJ$1001,MATCH(ROWS($AH$2:AH568),$AH$2:$AH$1001,0),0), INDEX($AO$1004:$BQ$1004,1,MATCH(COLUMNS($AO$1006:BL1006),$AO$1006:$BQ$1006,0)))),"Fix")))</f>
        <v>#N/A</v>
      </c>
      <c r="Z568" s="5" t="e">
        <f ca="1">IF(OR(INDEX($AI$2:$AI$1001,MATCH(ROWS($AH$2:AH568),$AH$2:$AH$1001,0),1)&gt;=100000,INDEX($AO$1005:$BQ$1005,1,MATCH(COLUMNS($AO$1006:BM1006),$AO$1006:$BQ$1006,0))&gt;=100000), " ",IF(INDEX($AO$2:$BQ$1001,MATCH(ROWS($AH$2:AH568),$AH$2:$AH$1001,0),MATCH(COLUMNS($AO$1006:BM1006),$AO$1006:$BQ$1006,0)), HYPERLINK("#",""), HYPERLINK(CONCATENATE("#Metadata!", ADDRESS(INDEX($AJ$2:$AJ$1001,MATCH(ROWS($AH$2:AH568),$AH$2:$AH$1001,0),0), INDEX($AO$1004:$BQ$1004,1,MATCH(COLUMNS($AO$1006:BM1006),$AO$1006:$BQ$1006,0)))),"Fix")))</f>
        <v>#N/A</v>
      </c>
      <c r="AA568" s="5" t="e">
        <f ca="1">IF(OR(INDEX($AI$2:$AI$1001,MATCH(ROWS($AH$2:AH568),$AH$2:$AH$1001,0),1)&gt;=100000,INDEX($AO$1005:$BQ$1005,1,MATCH(COLUMNS($AO$1006:BN1006),$AO$1006:$BQ$1006,0))&gt;=100000), " ",IF(INDEX($AO$2:$BQ$1001,MATCH(ROWS($AH$2:AH568),$AH$2:$AH$1001,0),MATCH(COLUMNS($AO$1006:BN1006),$AO$1006:$BQ$1006,0)), HYPERLINK("#",""), HYPERLINK(CONCATENATE("#Metadata!", ADDRESS(INDEX($AJ$2:$AJ$1001,MATCH(ROWS($AH$2:AH568),$AH$2:$AH$1001,0),0), INDEX($AO$1004:$BQ$1004,1,MATCH(COLUMNS($AO$1006:BN1006),$AO$1006:$BQ$1006,0)))),"Fix")))</f>
        <v>#N/A</v>
      </c>
      <c r="AB568" s="5" t="e">
        <f ca="1">IF(OR(INDEX($AI$2:$AI$1001,MATCH(ROWS($AH$2:AH568),$AH$2:$AH$1001,0),1)&gt;=100000,INDEX($AO$1005:$BQ$1005,1,MATCH(COLUMNS($AO$1006:BO1006),$AO$1006:$BQ$1006,0))&gt;=100000), " ",IF(INDEX($AO$2:$BQ$1001,MATCH(ROWS($AH$2:AH568),$AH$2:$AH$1001,0),MATCH(COLUMNS($AO$1006:BO1006),$AO$1006:$BQ$1006,0)), HYPERLINK("#",""), HYPERLINK(CONCATENATE("#Metadata!", ADDRESS(INDEX($AJ$2:$AJ$1001,MATCH(ROWS($AH$2:AH568),$AH$2:$AH$1001,0),0), INDEX($AO$1004:$BQ$1004,1,MATCH(COLUMNS($AO$1006:BO1006),$AO$1006:$BQ$1006,0)))),"Fix")))</f>
        <v>#N/A</v>
      </c>
      <c r="AC568" s="5" t="e">
        <f ca="1">IF(OR(INDEX($AI$2:$AI$1001,MATCH(ROWS($AH$2:AH568),$AH$2:$AH$1001,0),1)&gt;=100000,INDEX($AO$1005:$BQ$1005,1,MATCH(COLUMNS($AO$1006:BP1006),$AO$1006:$BQ$1006,0))&gt;=100000), " ",IF(INDEX($AO$2:$BQ$1001,MATCH(ROWS($AH$2:AH568),$AH$2:$AH$1001,0),MATCH(COLUMNS($AO$1006:BP1006),$AO$1006:$BQ$1006,0)), HYPERLINK("#",""), HYPERLINK(CONCATENATE("#Metadata!", ADDRESS(INDEX($AJ$2:$AJ$1001,MATCH(ROWS($AH$2:AH568),$AH$2:$AH$1001,0),0), INDEX($AO$1004:$BQ$1004,1,MATCH(COLUMNS($AO$1006:BP1006),$AO$1006:$BQ$1006,0)))),"Fix")))</f>
        <v>#N/A</v>
      </c>
      <c r="AD568" s="5" t="e">
        <f ca="1">IF(OR(INDEX($AI$2:$AI$1001,MATCH(ROWS($AH$2:AH568),$AH$2:$AH$1001,0),1)&gt;=100000,INDEX($AO$1005:$BQ$1005,1,MATCH(COLUMNS($AO$1006:BQ1006),$AO$1006:$BQ$1006,0))&gt;=100000), " ",IF(INDEX($AO$2:$BQ$1001,MATCH(ROWS($AH$2:AH568),$AH$2:$AH$1001,0),MATCH(COLUMNS($AO$1006:BQ1006),$AO$1006:$BQ$1006,0)), HYPERLINK("#",""), HYPERLINK(CONCATENATE("#Metadata!", ADDRESS(INDEX($AJ$2:$AJ$1001,MATCH(ROWS($AH$2:AH568),$AH$2:$AH$1001,0),0), INDEX($AO$1004:$BQ$1004,1,MATCH(COLUMNS($AO$1006:BQ1006),$AO$1006:$BQ$1006,0)))),"Fix")))</f>
        <v>#REF!</v>
      </c>
      <c r="AH568">
        <f ca="1"/>
        <v>565</v>
      </c>
      <c r="AI568">
        <v>100568</v>
      </c>
      <c r="AJ568">
        <v>568</v>
      </c>
      <c r="AK568" t="b">
        <f t="shared" si="8"/>
        <v>1</v>
      </c>
      <c r="AL568" t="b">
        <f>COUNTBLANK(Metadata!B568:AD568)=COLUMNS(Metadata!B568:AD568)</f>
        <v>1</v>
      </c>
      <c r="AM568" t="str">
        <v/>
      </c>
      <c r="AO568" t="b">
        <f ca="1">AND(IF(Metadata!B568="",FALSE,TRUE),COUNTIF(Metadata!B:B, Metadata!B568) = 1,NOT(ISERROR(SUMPRODUCT(SEARCH(MID(Metadata!B568,ROW(INDIRECT("1:"&amp;LEN(Metadata!B568))), 1),"0123456789abcdefghijklmnopqrstuvwxyzABCDEFGHIJKLMNOPQRSTUVWXYZ.")))))</f>
        <v>0</v>
      </c>
      <c r="AP568" t="b">
        <f>IF(Metadata!C568="",FALSE,TRUE)</f>
        <v>0</v>
      </c>
      <c r="AQ568" t="b">
        <f>IF(Metadata!D568="",FALSE,TRUE)</f>
        <v>0</v>
      </c>
      <c r="AR568" t="b">
        <f ca="1">OR(AND(IF(Metadata!E568="",FALSE,TRUE),OR(EXACT(Metadata!E568,"not collected"),EXACT(Metadata!E568,"not provided"),EXACT(Metadata!E568,"restricted access"))),AND(IF(Metadata!E568="",FALSE,TRUE),AND(AND(IFERROR(INT(LEFT(Metadata!E568,4))&gt;1900,FALSE),IFERROR(INT(LEFT(Metadata!E568,4))&lt;=YEAR(NOW()),FALSE)), OR(MID(Metadata!E568,5,1)="", AND(AND(MID(Metadata!E568,5,1)="-",IFERROR(INT(MID(Metadata!E568,6,1))&gt;=0,FALSE),IFERROR(INT(MID(Metadata!E568,6,1))&lt;=1,FALSE),NOT(MID(Metadata!E568,7,1)=""),IFERROR(INT(MID(Metadata!E568,6,2))&gt;=1,FALSE),IFERROR(INT(MID(Metadata!E568,6,2))&lt;=12,FALSE)), OR(MID(Metadata!E568,8,1)="", AND(AND(MID(Metadata!E568,8,1)="-",IFERROR(INT(MID(Metadata!E568,9,1))&gt;=0,FALSE),IFERROR(INT(MID(Metadata!E568,9,1))&lt;=3,FALSE),NOT(MID(Metadata!E568,10,1)=""),IFERROR(INT(MID(Metadata!E568,9,2))&gt;=1,FALSE),IFERROR(INT(MID(Metadata!E568,9,2))&lt;=31,FALSE)), OR(MID(Metadata!E568,11,1)="", AND(AND(MID(Metadata!E568,11,1)=" ",IFERROR(INT(MID(Metadata!E568,12,1))&gt;=0,FALSE),IFERROR(INT(MID(Metadata!E568,12,1))&lt;=2,FALSE),NOT(MID(Metadata!E568,13,1)=""),IFERROR(INT(MID(Metadata!E568,12,2))&gt;=0,FALSE),IFERROR(INT(MID(Metadata!E568,12,2))&lt;=23,FALSE)), OR(MID(Metadata!E568,14,1)="", AND(AND(MID(Metadata!E568,14,1)=":",IFERROR(INT(MID(Metadata!E568,15,1))&gt;=0,FALSE),IFERROR(INT(MID(Metadata!E568,15,1))&lt;=5,FALSE),NOT(MID(Metadata!E568,16,1)=""),IFERROR(INT(MID(Metadata!E568,15,2))&gt;=0,FALSE),IFERROR(INT(MID(Metadata!E568,15,2))&lt;=59,FALSE)), OR(MID(Metadata!E568,17,1)="", AND(AND(MID(Metadata!E568,17,1)=":",IFERROR(INT(MID(Metadata!E568,18,1))&gt;=0,FALSE),IFERROR(INT(MID(Metadata!E568,18,1))&lt;=5,FALSE),NOT(MID(Metadata!E568,19,1)=""),IFERROR(INT(MID(Metadata!E568,18,2))&gt;=0,FALSE),IFERROR(INT(MID(Metadata!E568,18,2))&lt;=59,FALSE)), LEN(Metadata!E568)&lt;=19)))))))))))))</f>
        <v>0</v>
      </c>
      <c r="AS568" t="b">
        <f>IF(Metadata!F568="",FALSE,TRUE)</f>
        <v>0</v>
      </c>
      <c r="AT568" t="b">
        <f>OR(AND(IF(Metadata!G568="",FALSE,TRUE),OR(EXACT(Metadata!G568,"not collected"),EXACT(Metadata!G568,"not provided"))),AND(IF(Metadata!G568="",FALSE,TRUE),OR(EXACT(Metadata!G568,"TRUE"),EXACT(Metadata!G568,"FALSE"))))</f>
        <v>0</v>
      </c>
      <c r="AU568" t="b">
        <f>OR(AND(IF(Metadata!H568="",FALSE,TRUE),OR(EXACT(Metadata!H568,"not collected"),EXACT(Metadata!H568,"not provided"),EXACT(Metadata!H568,"restricted access"))),AND(IF(Metadata!H568="",FALSE,ISNUMBER(VALUE(Metadata!H568))),Metadata!H568&gt;=-413))</f>
        <v>0</v>
      </c>
      <c r="AV568" t="b">
        <f>AND(IF(Metadata!I568="",FALSE,TRUE),EXACT(Metadata!I568,"meters"))</f>
        <v>0</v>
      </c>
      <c r="AW568" t="b">
        <f>AND(IF(Metadata!J568="",FALSE,TRUE),EXACT(Metadata!J568,"free-living"))</f>
        <v>0</v>
      </c>
      <c r="AX568" t="b">
        <f>AND(IF(Metadata!K568="",FALSE,TRUE),OR(EXACT(Metadata!K568,"saline"),EXACT(Metadata!K568,"non-saline")))</f>
        <v>0</v>
      </c>
      <c r="AY568" t="b">
        <f>AND(IF(Metadata!L568="",FALSE,TRUE),OR(EXACT(Metadata!L568,"sub-surface (non-saline)"),EXACT(Metadata!L568,"surface (non-saline)"),EXACT(Metadata!L568,"water (non-saline)"),EXACT(Metadata!L568,"soil (non-saline)"),EXACT(Metadata!L568,"aerosol (non-saline)"),EXACT(Metadata!L568,"sediment (non-saline)"),EXACT(Metadata!L568,"surface (saline)"),EXACT(Metadata!L568,"water (saline)"),EXACT(Metadata!L568,"hypersaline (saline)"),EXACT(Metadata!L568,"aerosol (saline)"),EXACT(Metadata!L568,"sediment (saline)")))</f>
        <v>0</v>
      </c>
      <c r="AZ568" t="b">
        <f>IF(Metadata!M568="",FALSE,TRUE)</f>
        <v>0</v>
      </c>
      <c r="BA568" t="b">
        <f>IF(Metadata!N568="",FALSE,TRUE)</f>
        <v>0</v>
      </c>
      <c r="BB568" t="b">
        <f>IF(Metadata!O568="",FALSE,TRUE)</f>
        <v>0</v>
      </c>
      <c r="BC568" t="b">
        <f>AND(IF(Metadata!P568="",FALSE,TRUE),OR(EXACT(Metadata!P568,"air"),EXACT(Metadata!P568,"microbial mat/biofilm"),EXACT(Metadata!P568,"misc environment"),EXACT(Metadata!P568,"sediment"),EXACT(Metadata!P568,"soil"),EXACT(Metadata!P568,"wastewater/sludge"),EXACT(Metadata!P568,"water")))</f>
        <v>0</v>
      </c>
      <c r="BD568" t="b">
        <f>IF(Metadata!Q568="",FALSE,TRUE)</f>
        <v>0</v>
      </c>
      <c r="BE568" t="b">
        <f>IF(Metadata!R568="",FALSE,TRUE)</f>
        <v>0</v>
      </c>
      <c r="BF568" t="b">
        <f>OR(AND(IF(Metadata!S568="",FALSE,TRUE),OR(EXACT(Metadata!S568,"not collected"),EXACT(Metadata!S568,"not provided"),EXACT(Metadata!S568,"restricted access"))),AND(IF(Metadata!S568="",FALSE,ISNUMBER(VALUE(Metadata!S568))),Metadata!S568&gt;=-90,Metadata!S568&lt;=90))</f>
        <v>0</v>
      </c>
      <c r="BG568" t="b">
        <f>AND(IF(Metadata!T568="",FALSE,TRUE),EXACT(Metadata!T568,"Decimal degrees"))</f>
        <v>0</v>
      </c>
      <c r="BH568" t="b">
        <f>OR(AND(IF(Metadata!U568="",FALSE,TRUE),OR(EXACT(Metadata!U568,"not applicable"),EXACT(Metadata!U568,"not collected"))),IF(Metadata!U568="",FALSE,TRUE))</f>
        <v>0</v>
      </c>
      <c r="BI568" t="b">
        <f>OR(AND(IF(Metadata!V568="",FALSE,TRUE),OR(EXACT(Metadata!V568,"not collected"),EXACT(Metadata!V568,"not provided"),EXACT(Metadata!V568,"restricted access"))),AND(IF(Metadata!V568="",FALSE,ISNUMBER(VALUE(Metadata!V568))),Metadata!V568&gt;=-180,Metadata!V568&lt;=180))</f>
        <v>0</v>
      </c>
      <c r="BJ568" t="b">
        <f>AND(IF(Metadata!W568="",FALSE,TRUE),EXACT(Metadata!W568,"Decimal degrees"))</f>
        <v>0</v>
      </c>
      <c r="BK568" t="b">
        <f>IF(Metadata!X568="",FALSE,TRUE)</f>
        <v>0</v>
      </c>
      <c r="BL568" t="b">
        <f>OR(AND(IF(Metadata!Y568="",FALSE,TRUE),OR(EXACT(Metadata!Y568,"not collected"),EXACT(Metadata!Y568,"not provided"),EXACT(Metadata!Y568,"restricted access"))),AND(IF(Metadata!Y568="",FALSE,TRUE),OR(EXACT(Metadata!Y568,"TRUE"),EXACT(Metadata!Y568,"FALSE"))))</f>
        <v>0</v>
      </c>
      <c r="BM568" t="b">
        <f>OR(AND(IF(Metadata!Z568="",FALSE,TRUE),EXACT(Metadata!Z568,"not applicable")),AND(IF(Metadata!Z568="",FALSE,TRUE),OR(EXACT(Metadata!Z568,"beer"),EXACT(Metadata!Z568,"cheese"),EXACT(Metadata!Z568,"fresh water"),EXACT(Metadata!Z568,"marine sediment"),EXACT(Metadata!Z568,"sea water"),EXACT(Metadata!Z568,"sediment"),EXACT(Metadata!Z568,"soil"),EXACT(Metadata!Z568,"waste water"))))</f>
        <v>0</v>
      </c>
      <c r="BN568" t="b">
        <f>AND(IF(Metadata!AA568="",FALSE,TRUE),EXACT(Metadata!AA568,"metagenome"))</f>
        <v>0</v>
      </c>
      <c r="BO568" t="b">
        <f>AND(IF(Metadata!AB568="",FALSE,TRUE),EXACT(Metadata!AB568,"256318"))</f>
        <v>0</v>
      </c>
      <c r="BP568" t="b">
        <f>IF(Metadata!AC568="",FALSE,TRUE)</f>
        <v>0</v>
      </c>
      <c r="BQ568" t="b">
        <f>IF(Metadata!AD568="",FALSE,TRUE)</f>
        <v>0</v>
      </c>
    </row>
    <row r="569" spans="1:69" x14ac:dyDescent="0.2">
      <c r="A569" s="4" t="e">
        <f ca="1">IF(B569=" "," ",HYPERLINK(CONCATENATE("#metadata!",ADDRESS(INDEX($AJ$2:$AJ$1001,MATCH(ROWS($AH$2:AH569),$AH$2:$AH$1001,0),0),2)),INDEX($AM$2:$AM$1001,MATCH(ROWS($AH$2:AH569),$AH$2:$AH$1001,0),0)))</f>
        <v>#N/A</v>
      </c>
      <c r="B569" s="5" t="e">
        <f ca="1">IF(OR(INDEX($AI$2:$AI$1001,MATCH(ROWS($AH$2:AH569),$AH$2:$AH$1001,0),1)&gt;=100000,INDEX($AO$1005:$BQ$1005,1,MATCH(COLUMNS($AO$1006:AO1006),$AO$1006:$BQ$1006,0))&gt;=100000), " ",IF(INDEX($AO$2:$BQ$1001,MATCH(ROWS($AH$2:AH569),$AH$2:$AH$1001,0),MATCH(COLUMNS($AO$1006:AO1006),$AO$1006:$BQ$1006,0)), HYPERLINK("#",""), HYPERLINK(CONCATENATE("#Metadata!", ADDRESS(INDEX($AJ$2:$AJ$1001,MATCH(ROWS($AH$2:AH569),$AH$2:$AH$1001,0),0), INDEX($AO$1004:$BQ$1004,1,MATCH(COLUMNS($AO$1006:AO1006),$AO$1006:$BQ$1006,0)))),"Fix")))</f>
        <v>#N/A</v>
      </c>
      <c r="C569" s="5" t="e">
        <f ca="1">IF(OR(INDEX($AI$2:$AI$1001,MATCH(ROWS($AH$2:AH569),$AH$2:$AH$1001,0),1)&gt;=100000,INDEX($AO$1005:$BQ$1005,1,MATCH(COLUMNS($AO$1006:AP1006),$AO$1006:$BQ$1006,0))&gt;=100000), " ",IF(INDEX($AO$2:$BQ$1001,MATCH(ROWS($AH$2:AH569),$AH$2:$AH$1001,0),MATCH(COLUMNS($AO$1006:AP1006),$AO$1006:$BQ$1006,0)), HYPERLINK("#",""), HYPERLINK(CONCATENATE("#Metadata!", ADDRESS(INDEX($AJ$2:$AJ$1001,MATCH(ROWS($AH$2:AH569),$AH$2:$AH$1001,0),0), INDEX($AO$1004:$BQ$1004,1,MATCH(COLUMNS($AO$1006:AP1006),$AO$1006:$BQ$1006,0)))),"Fix")))</f>
        <v>#N/A</v>
      </c>
      <c r="D569" s="5" t="e">
        <f ca="1">IF(OR(INDEX($AI$2:$AI$1001,MATCH(ROWS($AH$2:AH569),$AH$2:$AH$1001,0),1)&gt;=100000,INDEX($AO$1005:$BQ$1005,1,MATCH(COLUMNS($AO$1006:AQ1006),$AO$1006:$BQ$1006,0))&gt;=100000), " ",IF(INDEX($AO$2:$BQ$1001,MATCH(ROWS($AH$2:AH569),$AH$2:$AH$1001,0),MATCH(COLUMNS($AO$1006:AQ1006),$AO$1006:$BQ$1006,0)), HYPERLINK("#",""), HYPERLINK(CONCATENATE("#Metadata!", ADDRESS(INDEX($AJ$2:$AJ$1001,MATCH(ROWS($AH$2:AH569),$AH$2:$AH$1001,0),0), INDEX($AO$1004:$BQ$1004,1,MATCH(COLUMNS($AO$1006:AQ1006),$AO$1006:$BQ$1006,0)))),"Fix")))</f>
        <v>#N/A</v>
      </c>
      <c r="E569" s="5" t="e">
        <f ca="1">IF(OR(INDEX($AI$2:$AI$1001,MATCH(ROWS($AH$2:AH569),$AH$2:$AH$1001,0),1)&gt;=100000,INDEX($AO$1005:$BQ$1005,1,MATCH(COLUMNS($AO$1006:AR1006),$AO$1006:$BQ$1006,0))&gt;=100000), " ",IF(INDEX($AO$2:$BQ$1001,MATCH(ROWS($AH$2:AH569),$AH$2:$AH$1001,0),MATCH(COLUMNS($AO$1006:AR1006),$AO$1006:$BQ$1006,0)), HYPERLINK("#",""), HYPERLINK(CONCATENATE("#Metadata!", ADDRESS(INDEX($AJ$2:$AJ$1001,MATCH(ROWS($AH$2:AH569),$AH$2:$AH$1001,0),0), INDEX($AO$1004:$BQ$1004,1,MATCH(COLUMNS($AO$1006:AR1006),$AO$1006:$BQ$1006,0)))),"Fix")))</f>
        <v>#N/A</v>
      </c>
      <c r="F569" s="5" t="e">
        <f ca="1">IF(OR(INDEX($AI$2:$AI$1001,MATCH(ROWS($AH$2:AH569),$AH$2:$AH$1001,0),1)&gt;=100000,INDEX($AO$1005:$BQ$1005,1,MATCH(COLUMNS($AO$1006:AS1006),$AO$1006:$BQ$1006,0))&gt;=100000), " ",IF(INDEX($AO$2:$BQ$1001,MATCH(ROWS($AH$2:AH569),$AH$2:$AH$1001,0),MATCH(COLUMNS($AO$1006:AS1006),$AO$1006:$BQ$1006,0)), HYPERLINK("#",""), HYPERLINK(CONCATENATE("#Metadata!", ADDRESS(INDEX($AJ$2:$AJ$1001,MATCH(ROWS($AH$2:AH569),$AH$2:$AH$1001,0),0), INDEX($AO$1004:$BQ$1004,1,MATCH(COLUMNS($AO$1006:AS1006),$AO$1006:$BQ$1006,0)))),"Fix")))</f>
        <v>#N/A</v>
      </c>
      <c r="G569" s="5" t="e">
        <f ca="1">IF(OR(INDEX($AI$2:$AI$1001,MATCH(ROWS($AH$2:AH569),$AH$2:$AH$1001,0),1)&gt;=100000,INDEX($AO$1005:$BQ$1005,1,MATCH(COLUMNS($AO$1006:AT1006),$AO$1006:$BQ$1006,0))&gt;=100000), " ",IF(INDEX($AO$2:$BQ$1001,MATCH(ROWS($AH$2:AH569),$AH$2:$AH$1001,0),MATCH(COLUMNS($AO$1006:AT1006),$AO$1006:$BQ$1006,0)), HYPERLINK("#",""), HYPERLINK(CONCATENATE("#Metadata!", ADDRESS(INDEX($AJ$2:$AJ$1001,MATCH(ROWS($AH$2:AH569),$AH$2:$AH$1001,0),0), INDEX($AO$1004:$BQ$1004,1,MATCH(COLUMNS($AO$1006:AT1006),$AO$1006:$BQ$1006,0)))),"Fix")))</f>
        <v>#N/A</v>
      </c>
      <c r="H569" s="5" t="e">
        <f ca="1">IF(OR(INDEX($AI$2:$AI$1001,MATCH(ROWS($AH$2:AH569),$AH$2:$AH$1001,0),1)&gt;=100000,INDEX($AO$1005:$BQ$1005,1,MATCH(COLUMNS($AO$1006:AU1006),$AO$1006:$BQ$1006,0))&gt;=100000), " ",IF(INDEX($AO$2:$BQ$1001,MATCH(ROWS($AH$2:AH569),$AH$2:$AH$1001,0),MATCH(COLUMNS($AO$1006:AU1006),$AO$1006:$BQ$1006,0)), HYPERLINK("#",""), HYPERLINK(CONCATENATE("#Metadata!", ADDRESS(INDEX($AJ$2:$AJ$1001,MATCH(ROWS($AH$2:AH569),$AH$2:$AH$1001,0),0), INDEX($AO$1004:$BQ$1004,1,MATCH(COLUMNS($AO$1006:AU1006),$AO$1006:$BQ$1006,0)))),"Fix")))</f>
        <v>#N/A</v>
      </c>
      <c r="I569" s="5" t="e">
        <f ca="1">IF(OR(INDEX($AI$2:$AI$1001,MATCH(ROWS($AH$2:AH569),$AH$2:$AH$1001,0),1)&gt;=100000,INDEX($AO$1005:$BQ$1005,1,MATCH(COLUMNS($AO$1006:AV1006),$AO$1006:$BQ$1006,0))&gt;=100000), " ",IF(INDEX($AO$2:$BQ$1001,MATCH(ROWS($AH$2:AH569),$AH$2:$AH$1001,0),MATCH(COLUMNS($AO$1006:AV1006),$AO$1006:$BQ$1006,0)), HYPERLINK("#",""), HYPERLINK(CONCATENATE("#Metadata!", ADDRESS(INDEX($AJ$2:$AJ$1001,MATCH(ROWS($AH$2:AH569),$AH$2:$AH$1001,0),0), INDEX($AO$1004:$BQ$1004,1,MATCH(COLUMNS($AO$1006:AV1006),$AO$1006:$BQ$1006,0)))),"Fix")))</f>
        <v>#N/A</v>
      </c>
      <c r="J569" s="5" t="e">
        <f ca="1">IF(OR(INDEX($AI$2:$AI$1001,MATCH(ROWS($AH$2:AH569),$AH$2:$AH$1001,0),1)&gt;=100000,INDEX($AO$1005:$BQ$1005,1,MATCH(COLUMNS($AO$1006:AW1006),$AO$1006:$BQ$1006,0))&gt;=100000), " ",IF(INDEX($AO$2:$BQ$1001,MATCH(ROWS($AH$2:AH569),$AH$2:$AH$1001,0),MATCH(COLUMNS($AO$1006:AW1006),$AO$1006:$BQ$1006,0)), HYPERLINK("#",""), HYPERLINK(CONCATENATE("#Metadata!", ADDRESS(INDEX($AJ$2:$AJ$1001,MATCH(ROWS($AH$2:AH569),$AH$2:$AH$1001,0),0), INDEX($AO$1004:$BQ$1004,1,MATCH(COLUMNS($AO$1006:AW1006),$AO$1006:$BQ$1006,0)))),"Fix")))</f>
        <v>#N/A</v>
      </c>
      <c r="K569" s="5" t="e">
        <f ca="1">IF(OR(INDEX($AI$2:$AI$1001,MATCH(ROWS($AH$2:AH569),$AH$2:$AH$1001,0),1)&gt;=100000,INDEX($AO$1005:$BQ$1005,1,MATCH(COLUMNS($AO$1006:AX1006),$AO$1006:$BQ$1006,0))&gt;=100000), " ",IF(INDEX($AO$2:$BQ$1001,MATCH(ROWS($AH$2:AH569),$AH$2:$AH$1001,0),MATCH(COLUMNS($AO$1006:AX1006),$AO$1006:$BQ$1006,0)), HYPERLINK("#",""), HYPERLINK(CONCATENATE("#Metadata!", ADDRESS(INDEX($AJ$2:$AJ$1001,MATCH(ROWS($AH$2:AH569),$AH$2:$AH$1001,0),0), INDEX($AO$1004:$BQ$1004,1,MATCH(COLUMNS($AO$1006:AX1006),$AO$1006:$BQ$1006,0)))),"Fix")))</f>
        <v>#N/A</v>
      </c>
      <c r="L569" s="5" t="e">
        <f ca="1">IF(OR(INDEX($AI$2:$AI$1001,MATCH(ROWS($AH$2:AH569),$AH$2:$AH$1001,0),1)&gt;=100000,INDEX($AO$1005:$BQ$1005,1,MATCH(COLUMNS($AO$1006:AY1006),$AO$1006:$BQ$1006,0))&gt;=100000), " ",IF(INDEX($AO$2:$BQ$1001,MATCH(ROWS($AH$2:AH569),$AH$2:$AH$1001,0),MATCH(COLUMNS($AO$1006:AY1006),$AO$1006:$BQ$1006,0)), HYPERLINK("#",""), HYPERLINK(CONCATENATE("#Metadata!", ADDRESS(INDEX($AJ$2:$AJ$1001,MATCH(ROWS($AH$2:AH569),$AH$2:$AH$1001,0),0), INDEX($AO$1004:$BQ$1004,1,MATCH(COLUMNS($AO$1006:AY1006),$AO$1006:$BQ$1006,0)))),"Fix")))</f>
        <v>#N/A</v>
      </c>
      <c r="M569" s="5" t="e">
        <f ca="1">IF(OR(INDEX($AI$2:$AI$1001,MATCH(ROWS($AH$2:AH569),$AH$2:$AH$1001,0),1)&gt;=100000,INDEX($AO$1005:$BQ$1005,1,MATCH(COLUMNS($AO$1006:AZ1006),$AO$1006:$BQ$1006,0))&gt;=100000), " ",IF(INDEX($AO$2:$BQ$1001,MATCH(ROWS($AH$2:AH569),$AH$2:$AH$1001,0),MATCH(COLUMNS($AO$1006:AZ1006),$AO$1006:$BQ$1006,0)), HYPERLINK("#",""), HYPERLINK(CONCATENATE("#Metadata!", ADDRESS(INDEX($AJ$2:$AJ$1001,MATCH(ROWS($AH$2:AH569),$AH$2:$AH$1001,0),0), INDEX($AO$1004:$BQ$1004,1,MATCH(COLUMNS($AO$1006:AZ1006),$AO$1006:$BQ$1006,0)))),"Fix")))</f>
        <v>#N/A</v>
      </c>
      <c r="N569" s="5" t="e">
        <f ca="1">IF(OR(INDEX($AI$2:$AI$1001,MATCH(ROWS($AH$2:AH569),$AH$2:$AH$1001,0),1)&gt;=100000,INDEX($AO$1005:$BQ$1005,1,MATCH(COLUMNS($AO$1006:BA1006),$AO$1006:$BQ$1006,0))&gt;=100000), " ",IF(INDEX($AO$2:$BQ$1001,MATCH(ROWS($AH$2:AH569),$AH$2:$AH$1001,0),MATCH(COLUMNS($AO$1006:BA1006),$AO$1006:$BQ$1006,0)), HYPERLINK("#",""), HYPERLINK(CONCATENATE("#Metadata!", ADDRESS(INDEX($AJ$2:$AJ$1001,MATCH(ROWS($AH$2:AH569),$AH$2:$AH$1001,0),0), INDEX($AO$1004:$BQ$1004,1,MATCH(COLUMNS($AO$1006:BA1006),$AO$1006:$BQ$1006,0)))),"Fix")))</f>
        <v>#N/A</v>
      </c>
      <c r="O569" s="5" t="e">
        <f ca="1">IF(OR(INDEX($AI$2:$AI$1001,MATCH(ROWS($AH$2:AH569),$AH$2:$AH$1001,0),1)&gt;=100000,INDEX($AO$1005:$BQ$1005,1,MATCH(COLUMNS($AO$1006:BB1006),$AO$1006:$BQ$1006,0))&gt;=100000), " ",IF(INDEX($AO$2:$BQ$1001,MATCH(ROWS($AH$2:AH569),$AH$2:$AH$1001,0),MATCH(COLUMNS($AO$1006:BB1006),$AO$1006:$BQ$1006,0)), HYPERLINK("#",""), HYPERLINK(CONCATENATE("#Metadata!", ADDRESS(INDEX($AJ$2:$AJ$1001,MATCH(ROWS($AH$2:AH569),$AH$2:$AH$1001,0),0), INDEX($AO$1004:$BQ$1004,1,MATCH(COLUMNS($AO$1006:BB1006),$AO$1006:$BQ$1006,0)))),"Fix")))</f>
        <v>#N/A</v>
      </c>
      <c r="P569" s="5" t="e">
        <f ca="1">IF(OR(INDEX($AI$2:$AI$1001,MATCH(ROWS($AH$2:AH569),$AH$2:$AH$1001,0),1)&gt;=100000,INDEX($AO$1005:$BQ$1005,1,MATCH(COLUMNS($AO$1006:BC1006),$AO$1006:$BQ$1006,0))&gt;=100000), " ",IF(INDEX($AO$2:$BQ$1001,MATCH(ROWS($AH$2:AH569),$AH$2:$AH$1001,0),MATCH(COLUMNS($AO$1006:BC1006),$AO$1006:$BQ$1006,0)), HYPERLINK("#",""), HYPERLINK(CONCATENATE("#Metadata!", ADDRESS(INDEX($AJ$2:$AJ$1001,MATCH(ROWS($AH$2:AH569),$AH$2:$AH$1001,0),0), INDEX($AO$1004:$BQ$1004,1,MATCH(COLUMNS($AO$1006:BC1006),$AO$1006:$BQ$1006,0)))),"Fix")))</f>
        <v>#N/A</v>
      </c>
      <c r="Q569" s="5" t="e">
        <f ca="1">IF(OR(INDEX($AI$2:$AI$1001,MATCH(ROWS($AH$2:AH569),$AH$2:$AH$1001,0),1)&gt;=100000,INDEX($AO$1005:$BQ$1005,1,MATCH(COLUMNS($AO$1006:BD1006),$AO$1006:$BQ$1006,0))&gt;=100000), " ",IF(INDEX($AO$2:$BQ$1001,MATCH(ROWS($AH$2:AH569),$AH$2:$AH$1001,0),MATCH(COLUMNS($AO$1006:BD1006),$AO$1006:$BQ$1006,0)), HYPERLINK("#",""), HYPERLINK(CONCATENATE("#Metadata!", ADDRESS(INDEX($AJ$2:$AJ$1001,MATCH(ROWS($AH$2:AH569),$AH$2:$AH$1001,0),0), INDEX($AO$1004:$BQ$1004,1,MATCH(COLUMNS($AO$1006:BD1006),$AO$1006:$BQ$1006,0)))),"Fix")))</f>
        <v>#N/A</v>
      </c>
      <c r="R569" s="5" t="e">
        <f ca="1">IF(OR(INDEX($AI$2:$AI$1001,MATCH(ROWS($AH$2:AH569),$AH$2:$AH$1001,0),1)&gt;=100000,INDEX($AO$1005:$BQ$1005,1,MATCH(COLUMNS($AO$1006:BE1006),$AO$1006:$BQ$1006,0))&gt;=100000), " ",IF(INDEX($AO$2:$BQ$1001,MATCH(ROWS($AH$2:AH569),$AH$2:$AH$1001,0),MATCH(COLUMNS($AO$1006:BE1006),$AO$1006:$BQ$1006,0)), HYPERLINK("#",""), HYPERLINK(CONCATENATE("#Metadata!", ADDRESS(INDEX($AJ$2:$AJ$1001,MATCH(ROWS($AH$2:AH569),$AH$2:$AH$1001,0),0), INDEX($AO$1004:$BQ$1004,1,MATCH(COLUMNS($AO$1006:BE1006),$AO$1006:$BQ$1006,0)))),"Fix")))</f>
        <v>#N/A</v>
      </c>
      <c r="S569" s="5" t="e">
        <f ca="1">IF(OR(INDEX($AI$2:$AI$1001,MATCH(ROWS($AH$2:AH569),$AH$2:$AH$1001,0),1)&gt;=100000,INDEX($AO$1005:$BQ$1005,1,MATCH(COLUMNS($AO$1006:BF1006),$AO$1006:$BQ$1006,0))&gt;=100000), " ",IF(INDEX($AO$2:$BQ$1001,MATCH(ROWS($AH$2:AH569),$AH$2:$AH$1001,0),MATCH(COLUMNS($AO$1006:BF1006),$AO$1006:$BQ$1006,0)), HYPERLINK("#",""), HYPERLINK(CONCATENATE("#Metadata!", ADDRESS(INDEX($AJ$2:$AJ$1001,MATCH(ROWS($AH$2:AH569),$AH$2:$AH$1001,0),0), INDEX($AO$1004:$BQ$1004,1,MATCH(COLUMNS($AO$1006:BF1006),$AO$1006:$BQ$1006,0)))),"Fix")))</f>
        <v>#N/A</v>
      </c>
      <c r="T569" s="5" t="e">
        <f ca="1">IF(OR(INDEX($AI$2:$AI$1001,MATCH(ROWS($AH$2:AH569),$AH$2:$AH$1001,0),1)&gt;=100000,INDEX($AO$1005:$BQ$1005,1,MATCH(COLUMNS($AO$1006:BG1006),$AO$1006:$BQ$1006,0))&gt;=100000), " ",IF(INDEX($AO$2:$BQ$1001,MATCH(ROWS($AH$2:AH569),$AH$2:$AH$1001,0),MATCH(COLUMNS($AO$1006:BG1006),$AO$1006:$BQ$1006,0)), HYPERLINK("#",""), HYPERLINK(CONCATENATE("#Metadata!", ADDRESS(INDEX($AJ$2:$AJ$1001,MATCH(ROWS($AH$2:AH569),$AH$2:$AH$1001,0),0), INDEX($AO$1004:$BQ$1004,1,MATCH(COLUMNS($AO$1006:BG1006),$AO$1006:$BQ$1006,0)))),"Fix")))</f>
        <v>#N/A</v>
      </c>
      <c r="U569" s="5" t="e">
        <f ca="1">IF(OR(INDEX($AI$2:$AI$1001,MATCH(ROWS($AH$2:AH569),$AH$2:$AH$1001,0),1)&gt;=100000,INDEX($AO$1005:$BQ$1005,1,MATCH(COLUMNS($AO$1006:BH1006),$AO$1006:$BQ$1006,0))&gt;=100000), " ",IF(INDEX($AO$2:$BQ$1001,MATCH(ROWS($AH$2:AH569),$AH$2:$AH$1001,0),MATCH(COLUMNS($AO$1006:BH1006),$AO$1006:$BQ$1006,0)), HYPERLINK("#",""), HYPERLINK(CONCATENATE("#Metadata!", ADDRESS(INDEX($AJ$2:$AJ$1001,MATCH(ROWS($AH$2:AH569),$AH$2:$AH$1001,0),0), INDEX($AO$1004:$BQ$1004,1,MATCH(COLUMNS($AO$1006:BH1006),$AO$1006:$BQ$1006,0)))),"Fix")))</f>
        <v>#N/A</v>
      </c>
      <c r="V569" s="5" t="e">
        <f ca="1">IF(OR(INDEX($AI$2:$AI$1001,MATCH(ROWS($AH$2:AH569),$AH$2:$AH$1001,0),1)&gt;=100000,INDEX($AO$1005:$BQ$1005,1,MATCH(COLUMNS($AO$1006:BI1006),$AO$1006:$BQ$1006,0))&gt;=100000), " ",IF(INDEX($AO$2:$BQ$1001,MATCH(ROWS($AH$2:AH569),$AH$2:$AH$1001,0),MATCH(COLUMNS($AO$1006:BI1006),$AO$1006:$BQ$1006,0)), HYPERLINK("#",""), HYPERLINK(CONCATENATE("#Metadata!", ADDRESS(INDEX($AJ$2:$AJ$1001,MATCH(ROWS($AH$2:AH569),$AH$2:$AH$1001,0),0), INDEX($AO$1004:$BQ$1004,1,MATCH(COLUMNS($AO$1006:BI1006),$AO$1006:$BQ$1006,0)))),"Fix")))</f>
        <v>#N/A</v>
      </c>
      <c r="W569" s="5" t="e">
        <f ca="1">IF(OR(INDEX($AI$2:$AI$1001,MATCH(ROWS($AH$2:AH569),$AH$2:$AH$1001,0),1)&gt;=100000,INDEX($AO$1005:$BQ$1005,1,MATCH(COLUMNS($AO$1006:BJ1006),$AO$1006:$BQ$1006,0))&gt;=100000), " ",IF(INDEX($AO$2:$BQ$1001,MATCH(ROWS($AH$2:AH569),$AH$2:$AH$1001,0),MATCH(COLUMNS($AO$1006:BJ1006),$AO$1006:$BQ$1006,0)), HYPERLINK("#",""), HYPERLINK(CONCATENATE("#Metadata!", ADDRESS(INDEX($AJ$2:$AJ$1001,MATCH(ROWS($AH$2:AH569),$AH$2:$AH$1001,0),0), INDEX($AO$1004:$BQ$1004,1,MATCH(COLUMNS($AO$1006:BJ1006),$AO$1006:$BQ$1006,0)))),"Fix")))</f>
        <v>#N/A</v>
      </c>
      <c r="X569" s="5" t="e">
        <f ca="1">IF(OR(INDEX($AI$2:$AI$1001,MATCH(ROWS($AH$2:AH569),$AH$2:$AH$1001,0),1)&gt;=100000,INDEX($AO$1005:$BQ$1005,1,MATCH(COLUMNS($AO$1006:BK1006),$AO$1006:$BQ$1006,0))&gt;=100000), " ",IF(INDEX($AO$2:$BQ$1001,MATCH(ROWS($AH$2:AH569),$AH$2:$AH$1001,0),MATCH(COLUMNS($AO$1006:BK1006),$AO$1006:$BQ$1006,0)), HYPERLINK("#",""), HYPERLINK(CONCATENATE("#Metadata!", ADDRESS(INDEX($AJ$2:$AJ$1001,MATCH(ROWS($AH$2:AH569),$AH$2:$AH$1001,0),0), INDEX($AO$1004:$BQ$1004,1,MATCH(COLUMNS($AO$1006:BK1006),$AO$1006:$BQ$1006,0)))),"Fix")))</f>
        <v>#N/A</v>
      </c>
      <c r="Y569" s="5" t="e">
        <f ca="1">IF(OR(INDEX($AI$2:$AI$1001,MATCH(ROWS($AH$2:AH569),$AH$2:$AH$1001,0),1)&gt;=100000,INDEX($AO$1005:$BQ$1005,1,MATCH(COLUMNS($AO$1006:BL1006),$AO$1006:$BQ$1006,0))&gt;=100000), " ",IF(INDEX($AO$2:$BQ$1001,MATCH(ROWS($AH$2:AH569),$AH$2:$AH$1001,0),MATCH(COLUMNS($AO$1006:BL1006),$AO$1006:$BQ$1006,0)), HYPERLINK("#",""), HYPERLINK(CONCATENATE("#Metadata!", ADDRESS(INDEX($AJ$2:$AJ$1001,MATCH(ROWS($AH$2:AH569),$AH$2:$AH$1001,0),0), INDEX($AO$1004:$BQ$1004,1,MATCH(COLUMNS($AO$1006:BL1006),$AO$1006:$BQ$1006,0)))),"Fix")))</f>
        <v>#N/A</v>
      </c>
      <c r="Z569" s="5" t="e">
        <f ca="1">IF(OR(INDEX($AI$2:$AI$1001,MATCH(ROWS($AH$2:AH569),$AH$2:$AH$1001,0),1)&gt;=100000,INDEX($AO$1005:$BQ$1005,1,MATCH(COLUMNS($AO$1006:BM1006),$AO$1006:$BQ$1006,0))&gt;=100000), " ",IF(INDEX($AO$2:$BQ$1001,MATCH(ROWS($AH$2:AH569),$AH$2:$AH$1001,0),MATCH(COLUMNS($AO$1006:BM1006),$AO$1006:$BQ$1006,0)), HYPERLINK("#",""), HYPERLINK(CONCATENATE("#Metadata!", ADDRESS(INDEX($AJ$2:$AJ$1001,MATCH(ROWS($AH$2:AH569),$AH$2:$AH$1001,0),0), INDEX($AO$1004:$BQ$1004,1,MATCH(COLUMNS($AO$1006:BM1006),$AO$1006:$BQ$1006,0)))),"Fix")))</f>
        <v>#N/A</v>
      </c>
      <c r="AA569" s="5" t="e">
        <f ca="1">IF(OR(INDEX($AI$2:$AI$1001,MATCH(ROWS($AH$2:AH569),$AH$2:$AH$1001,0),1)&gt;=100000,INDEX($AO$1005:$BQ$1005,1,MATCH(COLUMNS($AO$1006:BN1006),$AO$1006:$BQ$1006,0))&gt;=100000), " ",IF(INDEX($AO$2:$BQ$1001,MATCH(ROWS($AH$2:AH569),$AH$2:$AH$1001,0),MATCH(COLUMNS($AO$1006:BN1006),$AO$1006:$BQ$1006,0)), HYPERLINK("#",""), HYPERLINK(CONCATENATE("#Metadata!", ADDRESS(INDEX($AJ$2:$AJ$1001,MATCH(ROWS($AH$2:AH569),$AH$2:$AH$1001,0),0), INDEX($AO$1004:$BQ$1004,1,MATCH(COLUMNS($AO$1006:BN1006),$AO$1006:$BQ$1006,0)))),"Fix")))</f>
        <v>#N/A</v>
      </c>
      <c r="AB569" s="5" t="e">
        <f ca="1">IF(OR(INDEX($AI$2:$AI$1001,MATCH(ROWS($AH$2:AH569),$AH$2:$AH$1001,0),1)&gt;=100000,INDEX($AO$1005:$BQ$1005,1,MATCH(COLUMNS($AO$1006:BO1006),$AO$1006:$BQ$1006,0))&gt;=100000), " ",IF(INDEX($AO$2:$BQ$1001,MATCH(ROWS($AH$2:AH569),$AH$2:$AH$1001,0),MATCH(COLUMNS($AO$1006:BO1006),$AO$1006:$BQ$1006,0)), HYPERLINK("#",""), HYPERLINK(CONCATENATE("#Metadata!", ADDRESS(INDEX($AJ$2:$AJ$1001,MATCH(ROWS($AH$2:AH569),$AH$2:$AH$1001,0),0), INDEX($AO$1004:$BQ$1004,1,MATCH(COLUMNS($AO$1006:BO1006),$AO$1006:$BQ$1006,0)))),"Fix")))</f>
        <v>#N/A</v>
      </c>
      <c r="AC569" s="5" t="e">
        <f ca="1">IF(OR(INDEX($AI$2:$AI$1001,MATCH(ROWS($AH$2:AH569),$AH$2:$AH$1001,0),1)&gt;=100000,INDEX($AO$1005:$BQ$1005,1,MATCH(COLUMNS($AO$1006:BP1006),$AO$1006:$BQ$1006,0))&gt;=100000), " ",IF(INDEX($AO$2:$BQ$1001,MATCH(ROWS($AH$2:AH569),$AH$2:$AH$1001,0),MATCH(COLUMNS($AO$1006:BP1006),$AO$1006:$BQ$1006,0)), HYPERLINK("#",""), HYPERLINK(CONCATENATE("#Metadata!", ADDRESS(INDEX($AJ$2:$AJ$1001,MATCH(ROWS($AH$2:AH569),$AH$2:$AH$1001,0),0), INDEX($AO$1004:$BQ$1004,1,MATCH(COLUMNS($AO$1006:BP1006),$AO$1006:$BQ$1006,0)))),"Fix")))</f>
        <v>#N/A</v>
      </c>
      <c r="AD569" s="5" t="e">
        <f ca="1">IF(OR(INDEX($AI$2:$AI$1001,MATCH(ROWS($AH$2:AH569),$AH$2:$AH$1001,0),1)&gt;=100000,INDEX($AO$1005:$BQ$1005,1,MATCH(COLUMNS($AO$1006:BQ1006),$AO$1006:$BQ$1006,0))&gt;=100000), " ",IF(INDEX($AO$2:$BQ$1001,MATCH(ROWS($AH$2:AH569),$AH$2:$AH$1001,0),MATCH(COLUMNS($AO$1006:BQ1006),$AO$1006:$BQ$1006,0)), HYPERLINK("#",""), HYPERLINK(CONCATENATE("#Metadata!", ADDRESS(INDEX($AJ$2:$AJ$1001,MATCH(ROWS($AH$2:AH569),$AH$2:$AH$1001,0),0), INDEX($AO$1004:$BQ$1004,1,MATCH(COLUMNS($AO$1006:BQ1006),$AO$1006:$BQ$1006,0)))),"Fix")))</f>
        <v>#REF!</v>
      </c>
      <c r="AH569">
        <f ca="1"/>
        <v>566</v>
      </c>
      <c r="AI569">
        <v>100569</v>
      </c>
      <c r="AJ569">
        <v>569</v>
      </c>
      <c r="AK569" t="b">
        <f t="shared" si="8"/>
        <v>1</v>
      </c>
      <c r="AL569" t="b">
        <f>COUNTBLANK(Metadata!B569:AD569)=COLUMNS(Metadata!B569:AD569)</f>
        <v>1</v>
      </c>
      <c r="AM569" t="str">
        <v/>
      </c>
      <c r="AO569" t="b">
        <f ca="1">AND(IF(Metadata!B569="",FALSE,TRUE),COUNTIF(Metadata!B:B, Metadata!B569) = 1,NOT(ISERROR(SUMPRODUCT(SEARCH(MID(Metadata!B569,ROW(INDIRECT("1:"&amp;LEN(Metadata!B569))), 1),"0123456789abcdefghijklmnopqrstuvwxyzABCDEFGHIJKLMNOPQRSTUVWXYZ.")))))</f>
        <v>0</v>
      </c>
      <c r="AP569" t="b">
        <f>IF(Metadata!C569="",FALSE,TRUE)</f>
        <v>0</v>
      </c>
      <c r="AQ569" t="b">
        <f>IF(Metadata!D569="",FALSE,TRUE)</f>
        <v>0</v>
      </c>
      <c r="AR569" t="b">
        <f ca="1">OR(AND(IF(Metadata!E569="",FALSE,TRUE),OR(EXACT(Metadata!E569,"not collected"),EXACT(Metadata!E569,"not provided"),EXACT(Metadata!E569,"restricted access"))),AND(IF(Metadata!E569="",FALSE,TRUE),AND(AND(IFERROR(INT(LEFT(Metadata!E569,4))&gt;1900,FALSE),IFERROR(INT(LEFT(Metadata!E569,4))&lt;=YEAR(NOW()),FALSE)), OR(MID(Metadata!E569,5,1)="", AND(AND(MID(Metadata!E569,5,1)="-",IFERROR(INT(MID(Metadata!E569,6,1))&gt;=0,FALSE),IFERROR(INT(MID(Metadata!E569,6,1))&lt;=1,FALSE),NOT(MID(Metadata!E569,7,1)=""),IFERROR(INT(MID(Metadata!E569,6,2))&gt;=1,FALSE),IFERROR(INT(MID(Metadata!E569,6,2))&lt;=12,FALSE)), OR(MID(Metadata!E569,8,1)="", AND(AND(MID(Metadata!E569,8,1)="-",IFERROR(INT(MID(Metadata!E569,9,1))&gt;=0,FALSE),IFERROR(INT(MID(Metadata!E569,9,1))&lt;=3,FALSE),NOT(MID(Metadata!E569,10,1)=""),IFERROR(INT(MID(Metadata!E569,9,2))&gt;=1,FALSE),IFERROR(INT(MID(Metadata!E569,9,2))&lt;=31,FALSE)), OR(MID(Metadata!E569,11,1)="", AND(AND(MID(Metadata!E569,11,1)=" ",IFERROR(INT(MID(Metadata!E569,12,1))&gt;=0,FALSE),IFERROR(INT(MID(Metadata!E569,12,1))&lt;=2,FALSE),NOT(MID(Metadata!E569,13,1)=""),IFERROR(INT(MID(Metadata!E569,12,2))&gt;=0,FALSE),IFERROR(INT(MID(Metadata!E569,12,2))&lt;=23,FALSE)), OR(MID(Metadata!E569,14,1)="", AND(AND(MID(Metadata!E569,14,1)=":",IFERROR(INT(MID(Metadata!E569,15,1))&gt;=0,FALSE),IFERROR(INT(MID(Metadata!E569,15,1))&lt;=5,FALSE),NOT(MID(Metadata!E569,16,1)=""),IFERROR(INT(MID(Metadata!E569,15,2))&gt;=0,FALSE),IFERROR(INT(MID(Metadata!E569,15,2))&lt;=59,FALSE)), OR(MID(Metadata!E569,17,1)="", AND(AND(MID(Metadata!E569,17,1)=":",IFERROR(INT(MID(Metadata!E569,18,1))&gt;=0,FALSE),IFERROR(INT(MID(Metadata!E569,18,1))&lt;=5,FALSE),NOT(MID(Metadata!E569,19,1)=""),IFERROR(INT(MID(Metadata!E569,18,2))&gt;=0,FALSE),IFERROR(INT(MID(Metadata!E569,18,2))&lt;=59,FALSE)), LEN(Metadata!E569)&lt;=19)))))))))))))</f>
        <v>0</v>
      </c>
      <c r="AS569" t="b">
        <f>IF(Metadata!F569="",FALSE,TRUE)</f>
        <v>0</v>
      </c>
      <c r="AT569" t="b">
        <f>OR(AND(IF(Metadata!G569="",FALSE,TRUE),OR(EXACT(Metadata!G569,"not collected"),EXACT(Metadata!G569,"not provided"))),AND(IF(Metadata!G569="",FALSE,TRUE),OR(EXACT(Metadata!G569,"TRUE"),EXACT(Metadata!G569,"FALSE"))))</f>
        <v>0</v>
      </c>
      <c r="AU569" t="b">
        <f>OR(AND(IF(Metadata!H569="",FALSE,TRUE),OR(EXACT(Metadata!H569,"not collected"),EXACT(Metadata!H569,"not provided"),EXACT(Metadata!H569,"restricted access"))),AND(IF(Metadata!H569="",FALSE,ISNUMBER(VALUE(Metadata!H569))),Metadata!H569&gt;=-413))</f>
        <v>0</v>
      </c>
      <c r="AV569" t="b">
        <f>AND(IF(Metadata!I569="",FALSE,TRUE),EXACT(Metadata!I569,"meters"))</f>
        <v>0</v>
      </c>
      <c r="AW569" t="b">
        <f>AND(IF(Metadata!J569="",FALSE,TRUE),EXACT(Metadata!J569,"free-living"))</f>
        <v>0</v>
      </c>
      <c r="AX569" t="b">
        <f>AND(IF(Metadata!K569="",FALSE,TRUE),OR(EXACT(Metadata!K569,"saline"),EXACT(Metadata!K569,"non-saline")))</f>
        <v>0</v>
      </c>
      <c r="AY569" t="b">
        <f>AND(IF(Metadata!L569="",FALSE,TRUE),OR(EXACT(Metadata!L569,"sub-surface (non-saline)"),EXACT(Metadata!L569,"surface (non-saline)"),EXACT(Metadata!L569,"water (non-saline)"),EXACT(Metadata!L569,"soil (non-saline)"),EXACT(Metadata!L569,"aerosol (non-saline)"),EXACT(Metadata!L569,"sediment (non-saline)"),EXACT(Metadata!L569,"surface (saline)"),EXACT(Metadata!L569,"water (saline)"),EXACT(Metadata!L569,"hypersaline (saline)"),EXACT(Metadata!L569,"aerosol (saline)"),EXACT(Metadata!L569,"sediment (saline)")))</f>
        <v>0</v>
      </c>
      <c r="AZ569" t="b">
        <f>IF(Metadata!M569="",FALSE,TRUE)</f>
        <v>0</v>
      </c>
      <c r="BA569" t="b">
        <f>IF(Metadata!N569="",FALSE,TRUE)</f>
        <v>0</v>
      </c>
      <c r="BB569" t="b">
        <f>IF(Metadata!O569="",FALSE,TRUE)</f>
        <v>0</v>
      </c>
      <c r="BC569" t="b">
        <f>AND(IF(Metadata!P569="",FALSE,TRUE),OR(EXACT(Metadata!P569,"air"),EXACT(Metadata!P569,"microbial mat/biofilm"),EXACT(Metadata!P569,"misc environment"),EXACT(Metadata!P569,"sediment"),EXACT(Metadata!P569,"soil"),EXACT(Metadata!P569,"wastewater/sludge"),EXACT(Metadata!P569,"water")))</f>
        <v>0</v>
      </c>
      <c r="BD569" t="b">
        <f>IF(Metadata!Q569="",FALSE,TRUE)</f>
        <v>0</v>
      </c>
      <c r="BE569" t="b">
        <f>IF(Metadata!R569="",FALSE,TRUE)</f>
        <v>0</v>
      </c>
      <c r="BF569" t="b">
        <f>OR(AND(IF(Metadata!S569="",FALSE,TRUE),OR(EXACT(Metadata!S569,"not collected"),EXACT(Metadata!S569,"not provided"),EXACT(Metadata!S569,"restricted access"))),AND(IF(Metadata!S569="",FALSE,ISNUMBER(VALUE(Metadata!S569))),Metadata!S569&gt;=-90,Metadata!S569&lt;=90))</f>
        <v>0</v>
      </c>
      <c r="BG569" t="b">
        <f>AND(IF(Metadata!T569="",FALSE,TRUE),EXACT(Metadata!T569,"Decimal degrees"))</f>
        <v>0</v>
      </c>
      <c r="BH569" t="b">
        <f>OR(AND(IF(Metadata!U569="",FALSE,TRUE),OR(EXACT(Metadata!U569,"not applicable"),EXACT(Metadata!U569,"not collected"))),IF(Metadata!U569="",FALSE,TRUE))</f>
        <v>0</v>
      </c>
      <c r="BI569" t="b">
        <f>OR(AND(IF(Metadata!V569="",FALSE,TRUE),OR(EXACT(Metadata!V569,"not collected"),EXACT(Metadata!V569,"not provided"),EXACT(Metadata!V569,"restricted access"))),AND(IF(Metadata!V569="",FALSE,ISNUMBER(VALUE(Metadata!V569))),Metadata!V569&gt;=-180,Metadata!V569&lt;=180))</f>
        <v>0</v>
      </c>
      <c r="BJ569" t="b">
        <f>AND(IF(Metadata!W569="",FALSE,TRUE),EXACT(Metadata!W569,"Decimal degrees"))</f>
        <v>0</v>
      </c>
      <c r="BK569" t="b">
        <f>IF(Metadata!X569="",FALSE,TRUE)</f>
        <v>0</v>
      </c>
      <c r="BL569" t="b">
        <f>OR(AND(IF(Metadata!Y569="",FALSE,TRUE),OR(EXACT(Metadata!Y569,"not collected"),EXACT(Metadata!Y569,"not provided"),EXACT(Metadata!Y569,"restricted access"))),AND(IF(Metadata!Y569="",FALSE,TRUE),OR(EXACT(Metadata!Y569,"TRUE"),EXACT(Metadata!Y569,"FALSE"))))</f>
        <v>0</v>
      </c>
      <c r="BM569" t="b">
        <f>OR(AND(IF(Metadata!Z569="",FALSE,TRUE),EXACT(Metadata!Z569,"not applicable")),AND(IF(Metadata!Z569="",FALSE,TRUE),OR(EXACT(Metadata!Z569,"beer"),EXACT(Metadata!Z569,"cheese"),EXACT(Metadata!Z569,"fresh water"),EXACT(Metadata!Z569,"marine sediment"),EXACT(Metadata!Z569,"sea water"),EXACT(Metadata!Z569,"sediment"),EXACT(Metadata!Z569,"soil"),EXACT(Metadata!Z569,"waste water"))))</f>
        <v>0</v>
      </c>
      <c r="BN569" t="b">
        <f>AND(IF(Metadata!AA569="",FALSE,TRUE),EXACT(Metadata!AA569,"metagenome"))</f>
        <v>0</v>
      </c>
      <c r="BO569" t="b">
        <f>AND(IF(Metadata!AB569="",FALSE,TRUE),EXACT(Metadata!AB569,"256318"))</f>
        <v>0</v>
      </c>
      <c r="BP569" t="b">
        <f>IF(Metadata!AC569="",FALSE,TRUE)</f>
        <v>0</v>
      </c>
      <c r="BQ569" t="b">
        <f>IF(Metadata!AD569="",FALSE,TRUE)</f>
        <v>0</v>
      </c>
    </row>
    <row r="570" spans="1:69" x14ac:dyDescent="0.2">
      <c r="A570" s="4" t="e">
        <f ca="1">IF(B570=" "," ",HYPERLINK(CONCATENATE("#metadata!",ADDRESS(INDEX($AJ$2:$AJ$1001,MATCH(ROWS($AH$2:AH570),$AH$2:$AH$1001,0),0),2)),INDEX($AM$2:$AM$1001,MATCH(ROWS($AH$2:AH570),$AH$2:$AH$1001,0),0)))</f>
        <v>#N/A</v>
      </c>
      <c r="B570" s="5" t="e">
        <f ca="1">IF(OR(INDEX($AI$2:$AI$1001,MATCH(ROWS($AH$2:AH570),$AH$2:$AH$1001,0),1)&gt;=100000,INDEX($AO$1005:$BQ$1005,1,MATCH(COLUMNS($AO$1006:AO1006),$AO$1006:$BQ$1006,0))&gt;=100000), " ",IF(INDEX($AO$2:$BQ$1001,MATCH(ROWS($AH$2:AH570),$AH$2:$AH$1001,0),MATCH(COLUMNS($AO$1006:AO1006),$AO$1006:$BQ$1006,0)), HYPERLINK("#",""), HYPERLINK(CONCATENATE("#Metadata!", ADDRESS(INDEX($AJ$2:$AJ$1001,MATCH(ROWS($AH$2:AH570),$AH$2:$AH$1001,0),0), INDEX($AO$1004:$BQ$1004,1,MATCH(COLUMNS($AO$1006:AO1006),$AO$1006:$BQ$1006,0)))),"Fix")))</f>
        <v>#N/A</v>
      </c>
      <c r="C570" s="5" t="e">
        <f ca="1">IF(OR(INDEX($AI$2:$AI$1001,MATCH(ROWS($AH$2:AH570),$AH$2:$AH$1001,0),1)&gt;=100000,INDEX($AO$1005:$BQ$1005,1,MATCH(COLUMNS($AO$1006:AP1006),$AO$1006:$BQ$1006,0))&gt;=100000), " ",IF(INDEX($AO$2:$BQ$1001,MATCH(ROWS($AH$2:AH570),$AH$2:$AH$1001,0),MATCH(COLUMNS($AO$1006:AP1006),$AO$1006:$BQ$1006,0)), HYPERLINK("#",""), HYPERLINK(CONCATENATE("#Metadata!", ADDRESS(INDEX($AJ$2:$AJ$1001,MATCH(ROWS($AH$2:AH570),$AH$2:$AH$1001,0),0), INDEX($AO$1004:$BQ$1004,1,MATCH(COLUMNS($AO$1006:AP1006),$AO$1006:$BQ$1006,0)))),"Fix")))</f>
        <v>#N/A</v>
      </c>
      <c r="D570" s="5" t="e">
        <f ca="1">IF(OR(INDEX($AI$2:$AI$1001,MATCH(ROWS($AH$2:AH570),$AH$2:$AH$1001,0),1)&gt;=100000,INDEX($AO$1005:$BQ$1005,1,MATCH(COLUMNS($AO$1006:AQ1006),$AO$1006:$BQ$1006,0))&gt;=100000), " ",IF(INDEX($AO$2:$BQ$1001,MATCH(ROWS($AH$2:AH570),$AH$2:$AH$1001,0),MATCH(COLUMNS($AO$1006:AQ1006),$AO$1006:$BQ$1006,0)), HYPERLINK("#",""), HYPERLINK(CONCATENATE("#Metadata!", ADDRESS(INDEX($AJ$2:$AJ$1001,MATCH(ROWS($AH$2:AH570),$AH$2:$AH$1001,0),0), INDEX($AO$1004:$BQ$1004,1,MATCH(COLUMNS($AO$1006:AQ1006),$AO$1006:$BQ$1006,0)))),"Fix")))</f>
        <v>#N/A</v>
      </c>
      <c r="E570" s="5" t="e">
        <f ca="1">IF(OR(INDEX($AI$2:$AI$1001,MATCH(ROWS($AH$2:AH570),$AH$2:$AH$1001,0),1)&gt;=100000,INDEX($AO$1005:$BQ$1005,1,MATCH(COLUMNS($AO$1006:AR1006),$AO$1006:$BQ$1006,0))&gt;=100000), " ",IF(INDEX($AO$2:$BQ$1001,MATCH(ROWS($AH$2:AH570),$AH$2:$AH$1001,0),MATCH(COLUMNS($AO$1006:AR1006),$AO$1006:$BQ$1006,0)), HYPERLINK("#",""), HYPERLINK(CONCATENATE("#Metadata!", ADDRESS(INDEX($AJ$2:$AJ$1001,MATCH(ROWS($AH$2:AH570),$AH$2:$AH$1001,0),0), INDEX($AO$1004:$BQ$1004,1,MATCH(COLUMNS($AO$1006:AR1006),$AO$1006:$BQ$1006,0)))),"Fix")))</f>
        <v>#N/A</v>
      </c>
      <c r="F570" s="5" t="e">
        <f ca="1">IF(OR(INDEX($AI$2:$AI$1001,MATCH(ROWS($AH$2:AH570),$AH$2:$AH$1001,0),1)&gt;=100000,INDEX($AO$1005:$BQ$1005,1,MATCH(COLUMNS($AO$1006:AS1006),$AO$1006:$BQ$1006,0))&gt;=100000), " ",IF(INDEX($AO$2:$BQ$1001,MATCH(ROWS($AH$2:AH570),$AH$2:$AH$1001,0),MATCH(COLUMNS($AO$1006:AS1006),$AO$1006:$BQ$1006,0)), HYPERLINK("#",""), HYPERLINK(CONCATENATE("#Metadata!", ADDRESS(INDEX($AJ$2:$AJ$1001,MATCH(ROWS($AH$2:AH570),$AH$2:$AH$1001,0),0), INDEX($AO$1004:$BQ$1004,1,MATCH(COLUMNS($AO$1006:AS1006),$AO$1006:$BQ$1006,0)))),"Fix")))</f>
        <v>#N/A</v>
      </c>
      <c r="G570" s="5" t="e">
        <f ca="1">IF(OR(INDEX($AI$2:$AI$1001,MATCH(ROWS($AH$2:AH570),$AH$2:$AH$1001,0),1)&gt;=100000,INDEX($AO$1005:$BQ$1005,1,MATCH(COLUMNS($AO$1006:AT1006),$AO$1006:$BQ$1006,0))&gt;=100000), " ",IF(INDEX($AO$2:$BQ$1001,MATCH(ROWS($AH$2:AH570),$AH$2:$AH$1001,0),MATCH(COLUMNS($AO$1006:AT1006),$AO$1006:$BQ$1006,0)), HYPERLINK("#",""), HYPERLINK(CONCATENATE("#Metadata!", ADDRESS(INDEX($AJ$2:$AJ$1001,MATCH(ROWS($AH$2:AH570),$AH$2:$AH$1001,0),0), INDEX($AO$1004:$BQ$1004,1,MATCH(COLUMNS($AO$1006:AT1006),$AO$1006:$BQ$1006,0)))),"Fix")))</f>
        <v>#N/A</v>
      </c>
      <c r="H570" s="5" t="e">
        <f ca="1">IF(OR(INDEX($AI$2:$AI$1001,MATCH(ROWS($AH$2:AH570),$AH$2:$AH$1001,0),1)&gt;=100000,INDEX($AO$1005:$BQ$1005,1,MATCH(COLUMNS($AO$1006:AU1006),$AO$1006:$BQ$1006,0))&gt;=100000), " ",IF(INDEX($AO$2:$BQ$1001,MATCH(ROWS($AH$2:AH570),$AH$2:$AH$1001,0),MATCH(COLUMNS($AO$1006:AU1006),$AO$1006:$BQ$1006,0)), HYPERLINK("#",""), HYPERLINK(CONCATENATE("#Metadata!", ADDRESS(INDEX($AJ$2:$AJ$1001,MATCH(ROWS($AH$2:AH570),$AH$2:$AH$1001,0),0), INDEX($AO$1004:$BQ$1004,1,MATCH(COLUMNS($AO$1006:AU1006),$AO$1006:$BQ$1006,0)))),"Fix")))</f>
        <v>#N/A</v>
      </c>
      <c r="I570" s="5" t="e">
        <f ca="1">IF(OR(INDEX($AI$2:$AI$1001,MATCH(ROWS($AH$2:AH570),$AH$2:$AH$1001,0),1)&gt;=100000,INDEX($AO$1005:$BQ$1005,1,MATCH(COLUMNS($AO$1006:AV1006),$AO$1006:$BQ$1006,0))&gt;=100000), " ",IF(INDEX($AO$2:$BQ$1001,MATCH(ROWS($AH$2:AH570),$AH$2:$AH$1001,0),MATCH(COLUMNS($AO$1006:AV1006),$AO$1006:$BQ$1006,0)), HYPERLINK("#",""), HYPERLINK(CONCATENATE("#Metadata!", ADDRESS(INDEX($AJ$2:$AJ$1001,MATCH(ROWS($AH$2:AH570),$AH$2:$AH$1001,0),0), INDEX($AO$1004:$BQ$1004,1,MATCH(COLUMNS($AO$1006:AV1006),$AO$1006:$BQ$1006,0)))),"Fix")))</f>
        <v>#N/A</v>
      </c>
      <c r="J570" s="5" t="e">
        <f ca="1">IF(OR(INDEX($AI$2:$AI$1001,MATCH(ROWS($AH$2:AH570),$AH$2:$AH$1001,0),1)&gt;=100000,INDEX($AO$1005:$BQ$1005,1,MATCH(COLUMNS($AO$1006:AW1006),$AO$1006:$BQ$1006,0))&gt;=100000), " ",IF(INDEX($AO$2:$BQ$1001,MATCH(ROWS($AH$2:AH570),$AH$2:$AH$1001,0),MATCH(COLUMNS($AO$1006:AW1006),$AO$1006:$BQ$1006,0)), HYPERLINK("#",""), HYPERLINK(CONCATENATE("#Metadata!", ADDRESS(INDEX($AJ$2:$AJ$1001,MATCH(ROWS($AH$2:AH570),$AH$2:$AH$1001,0),0), INDEX($AO$1004:$BQ$1004,1,MATCH(COLUMNS($AO$1006:AW1006),$AO$1006:$BQ$1006,0)))),"Fix")))</f>
        <v>#N/A</v>
      </c>
      <c r="K570" s="5" t="e">
        <f ca="1">IF(OR(INDEX($AI$2:$AI$1001,MATCH(ROWS($AH$2:AH570),$AH$2:$AH$1001,0),1)&gt;=100000,INDEX($AO$1005:$BQ$1005,1,MATCH(COLUMNS($AO$1006:AX1006),$AO$1006:$BQ$1006,0))&gt;=100000), " ",IF(INDEX($AO$2:$BQ$1001,MATCH(ROWS($AH$2:AH570),$AH$2:$AH$1001,0),MATCH(COLUMNS($AO$1006:AX1006),$AO$1006:$BQ$1006,0)), HYPERLINK("#",""), HYPERLINK(CONCATENATE("#Metadata!", ADDRESS(INDEX($AJ$2:$AJ$1001,MATCH(ROWS($AH$2:AH570),$AH$2:$AH$1001,0),0), INDEX($AO$1004:$BQ$1004,1,MATCH(COLUMNS($AO$1006:AX1006),$AO$1006:$BQ$1006,0)))),"Fix")))</f>
        <v>#N/A</v>
      </c>
      <c r="L570" s="5" t="e">
        <f ca="1">IF(OR(INDEX($AI$2:$AI$1001,MATCH(ROWS($AH$2:AH570),$AH$2:$AH$1001,0),1)&gt;=100000,INDEX($AO$1005:$BQ$1005,1,MATCH(COLUMNS($AO$1006:AY1006),$AO$1006:$BQ$1006,0))&gt;=100000), " ",IF(INDEX($AO$2:$BQ$1001,MATCH(ROWS($AH$2:AH570),$AH$2:$AH$1001,0),MATCH(COLUMNS($AO$1006:AY1006),$AO$1006:$BQ$1006,0)), HYPERLINK("#",""), HYPERLINK(CONCATENATE("#Metadata!", ADDRESS(INDEX($AJ$2:$AJ$1001,MATCH(ROWS($AH$2:AH570),$AH$2:$AH$1001,0),0), INDEX($AO$1004:$BQ$1004,1,MATCH(COLUMNS($AO$1006:AY1006),$AO$1006:$BQ$1006,0)))),"Fix")))</f>
        <v>#N/A</v>
      </c>
      <c r="M570" s="5" t="e">
        <f ca="1">IF(OR(INDEX($AI$2:$AI$1001,MATCH(ROWS($AH$2:AH570),$AH$2:$AH$1001,0),1)&gt;=100000,INDEX($AO$1005:$BQ$1005,1,MATCH(COLUMNS($AO$1006:AZ1006),$AO$1006:$BQ$1006,0))&gt;=100000), " ",IF(INDEX($AO$2:$BQ$1001,MATCH(ROWS($AH$2:AH570),$AH$2:$AH$1001,0),MATCH(COLUMNS($AO$1006:AZ1006),$AO$1006:$BQ$1006,0)), HYPERLINK("#",""), HYPERLINK(CONCATENATE("#Metadata!", ADDRESS(INDEX($AJ$2:$AJ$1001,MATCH(ROWS($AH$2:AH570),$AH$2:$AH$1001,0),0), INDEX($AO$1004:$BQ$1004,1,MATCH(COLUMNS($AO$1006:AZ1006),$AO$1006:$BQ$1006,0)))),"Fix")))</f>
        <v>#N/A</v>
      </c>
      <c r="N570" s="5" t="e">
        <f ca="1">IF(OR(INDEX($AI$2:$AI$1001,MATCH(ROWS($AH$2:AH570),$AH$2:$AH$1001,0),1)&gt;=100000,INDEX($AO$1005:$BQ$1005,1,MATCH(COLUMNS($AO$1006:BA1006),$AO$1006:$BQ$1006,0))&gt;=100000), " ",IF(INDEX($AO$2:$BQ$1001,MATCH(ROWS($AH$2:AH570),$AH$2:$AH$1001,0),MATCH(COLUMNS($AO$1006:BA1006),$AO$1006:$BQ$1006,0)), HYPERLINK("#",""), HYPERLINK(CONCATENATE("#Metadata!", ADDRESS(INDEX($AJ$2:$AJ$1001,MATCH(ROWS($AH$2:AH570),$AH$2:$AH$1001,0),0), INDEX($AO$1004:$BQ$1004,1,MATCH(COLUMNS($AO$1006:BA1006),$AO$1006:$BQ$1006,0)))),"Fix")))</f>
        <v>#N/A</v>
      </c>
      <c r="O570" s="5" t="e">
        <f ca="1">IF(OR(INDEX($AI$2:$AI$1001,MATCH(ROWS($AH$2:AH570),$AH$2:$AH$1001,0),1)&gt;=100000,INDEX($AO$1005:$BQ$1005,1,MATCH(COLUMNS($AO$1006:BB1006),$AO$1006:$BQ$1006,0))&gt;=100000), " ",IF(INDEX($AO$2:$BQ$1001,MATCH(ROWS($AH$2:AH570),$AH$2:$AH$1001,0),MATCH(COLUMNS($AO$1006:BB1006),$AO$1006:$BQ$1006,0)), HYPERLINK("#",""), HYPERLINK(CONCATENATE("#Metadata!", ADDRESS(INDEX($AJ$2:$AJ$1001,MATCH(ROWS($AH$2:AH570),$AH$2:$AH$1001,0),0), INDEX($AO$1004:$BQ$1004,1,MATCH(COLUMNS($AO$1006:BB1006),$AO$1006:$BQ$1006,0)))),"Fix")))</f>
        <v>#N/A</v>
      </c>
      <c r="P570" s="5" t="e">
        <f ca="1">IF(OR(INDEX($AI$2:$AI$1001,MATCH(ROWS($AH$2:AH570),$AH$2:$AH$1001,0),1)&gt;=100000,INDEX($AO$1005:$BQ$1005,1,MATCH(COLUMNS($AO$1006:BC1006),$AO$1006:$BQ$1006,0))&gt;=100000), " ",IF(INDEX($AO$2:$BQ$1001,MATCH(ROWS($AH$2:AH570),$AH$2:$AH$1001,0),MATCH(COLUMNS($AO$1006:BC1006),$AO$1006:$BQ$1006,0)), HYPERLINK("#",""), HYPERLINK(CONCATENATE("#Metadata!", ADDRESS(INDEX($AJ$2:$AJ$1001,MATCH(ROWS($AH$2:AH570),$AH$2:$AH$1001,0),0), INDEX($AO$1004:$BQ$1004,1,MATCH(COLUMNS($AO$1006:BC1006),$AO$1006:$BQ$1006,0)))),"Fix")))</f>
        <v>#N/A</v>
      </c>
      <c r="Q570" s="5" t="e">
        <f ca="1">IF(OR(INDEX($AI$2:$AI$1001,MATCH(ROWS($AH$2:AH570),$AH$2:$AH$1001,0),1)&gt;=100000,INDEX($AO$1005:$BQ$1005,1,MATCH(COLUMNS($AO$1006:BD1006),$AO$1006:$BQ$1006,0))&gt;=100000), " ",IF(INDEX($AO$2:$BQ$1001,MATCH(ROWS($AH$2:AH570),$AH$2:$AH$1001,0),MATCH(COLUMNS($AO$1006:BD1006),$AO$1006:$BQ$1006,0)), HYPERLINK("#",""), HYPERLINK(CONCATENATE("#Metadata!", ADDRESS(INDEX($AJ$2:$AJ$1001,MATCH(ROWS($AH$2:AH570),$AH$2:$AH$1001,0),0), INDEX($AO$1004:$BQ$1004,1,MATCH(COLUMNS($AO$1006:BD1006),$AO$1006:$BQ$1006,0)))),"Fix")))</f>
        <v>#N/A</v>
      </c>
      <c r="R570" s="5" t="e">
        <f ca="1">IF(OR(INDEX($AI$2:$AI$1001,MATCH(ROWS($AH$2:AH570),$AH$2:$AH$1001,0),1)&gt;=100000,INDEX($AO$1005:$BQ$1005,1,MATCH(COLUMNS($AO$1006:BE1006),$AO$1006:$BQ$1006,0))&gt;=100000), " ",IF(INDEX($AO$2:$BQ$1001,MATCH(ROWS($AH$2:AH570),$AH$2:$AH$1001,0),MATCH(COLUMNS($AO$1006:BE1006),$AO$1006:$BQ$1006,0)), HYPERLINK("#",""), HYPERLINK(CONCATENATE("#Metadata!", ADDRESS(INDEX($AJ$2:$AJ$1001,MATCH(ROWS($AH$2:AH570),$AH$2:$AH$1001,0),0), INDEX($AO$1004:$BQ$1004,1,MATCH(COLUMNS($AO$1006:BE1006),$AO$1006:$BQ$1006,0)))),"Fix")))</f>
        <v>#N/A</v>
      </c>
      <c r="S570" s="5" t="e">
        <f ca="1">IF(OR(INDEX($AI$2:$AI$1001,MATCH(ROWS($AH$2:AH570),$AH$2:$AH$1001,0),1)&gt;=100000,INDEX($AO$1005:$BQ$1005,1,MATCH(COLUMNS($AO$1006:BF1006),$AO$1006:$BQ$1006,0))&gt;=100000), " ",IF(INDEX($AO$2:$BQ$1001,MATCH(ROWS($AH$2:AH570),$AH$2:$AH$1001,0),MATCH(COLUMNS($AO$1006:BF1006),$AO$1006:$BQ$1006,0)), HYPERLINK("#",""), HYPERLINK(CONCATENATE("#Metadata!", ADDRESS(INDEX($AJ$2:$AJ$1001,MATCH(ROWS($AH$2:AH570),$AH$2:$AH$1001,0),0), INDEX($AO$1004:$BQ$1004,1,MATCH(COLUMNS($AO$1006:BF1006),$AO$1006:$BQ$1006,0)))),"Fix")))</f>
        <v>#N/A</v>
      </c>
      <c r="T570" s="5" t="e">
        <f ca="1">IF(OR(INDEX($AI$2:$AI$1001,MATCH(ROWS($AH$2:AH570),$AH$2:$AH$1001,0),1)&gt;=100000,INDEX($AO$1005:$BQ$1005,1,MATCH(COLUMNS($AO$1006:BG1006),$AO$1006:$BQ$1006,0))&gt;=100000), " ",IF(INDEX($AO$2:$BQ$1001,MATCH(ROWS($AH$2:AH570),$AH$2:$AH$1001,0),MATCH(COLUMNS($AO$1006:BG1006),$AO$1006:$BQ$1006,0)), HYPERLINK("#",""), HYPERLINK(CONCATENATE("#Metadata!", ADDRESS(INDEX($AJ$2:$AJ$1001,MATCH(ROWS($AH$2:AH570),$AH$2:$AH$1001,0),0), INDEX($AO$1004:$BQ$1004,1,MATCH(COLUMNS($AO$1006:BG1006),$AO$1006:$BQ$1006,0)))),"Fix")))</f>
        <v>#N/A</v>
      </c>
      <c r="U570" s="5" t="e">
        <f ca="1">IF(OR(INDEX($AI$2:$AI$1001,MATCH(ROWS($AH$2:AH570),$AH$2:$AH$1001,0),1)&gt;=100000,INDEX($AO$1005:$BQ$1005,1,MATCH(COLUMNS($AO$1006:BH1006),$AO$1006:$BQ$1006,0))&gt;=100000), " ",IF(INDEX($AO$2:$BQ$1001,MATCH(ROWS($AH$2:AH570),$AH$2:$AH$1001,0),MATCH(COLUMNS($AO$1006:BH1006),$AO$1006:$BQ$1006,0)), HYPERLINK("#",""), HYPERLINK(CONCATENATE("#Metadata!", ADDRESS(INDEX($AJ$2:$AJ$1001,MATCH(ROWS($AH$2:AH570),$AH$2:$AH$1001,0),0), INDEX($AO$1004:$BQ$1004,1,MATCH(COLUMNS($AO$1006:BH1006),$AO$1006:$BQ$1006,0)))),"Fix")))</f>
        <v>#N/A</v>
      </c>
      <c r="V570" s="5" t="e">
        <f ca="1">IF(OR(INDEX($AI$2:$AI$1001,MATCH(ROWS($AH$2:AH570),$AH$2:$AH$1001,0),1)&gt;=100000,INDEX($AO$1005:$BQ$1005,1,MATCH(COLUMNS($AO$1006:BI1006),$AO$1006:$BQ$1006,0))&gt;=100000), " ",IF(INDEX($AO$2:$BQ$1001,MATCH(ROWS($AH$2:AH570),$AH$2:$AH$1001,0),MATCH(COLUMNS($AO$1006:BI1006),$AO$1006:$BQ$1006,0)), HYPERLINK("#",""), HYPERLINK(CONCATENATE("#Metadata!", ADDRESS(INDEX($AJ$2:$AJ$1001,MATCH(ROWS($AH$2:AH570),$AH$2:$AH$1001,0),0), INDEX($AO$1004:$BQ$1004,1,MATCH(COLUMNS($AO$1006:BI1006),$AO$1006:$BQ$1006,0)))),"Fix")))</f>
        <v>#N/A</v>
      </c>
      <c r="W570" s="5" t="e">
        <f ca="1">IF(OR(INDEX($AI$2:$AI$1001,MATCH(ROWS($AH$2:AH570),$AH$2:$AH$1001,0),1)&gt;=100000,INDEX($AO$1005:$BQ$1005,1,MATCH(COLUMNS($AO$1006:BJ1006),$AO$1006:$BQ$1006,0))&gt;=100000), " ",IF(INDEX($AO$2:$BQ$1001,MATCH(ROWS($AH$2:AH570),$AH$2:$AH$1001,0),MATCH(COLUMNS($AO$1006:BJ1006),$AO$1006:$BQ$1006,0)), HYPERLINK("#",""), HYPERLINK(CONCATENATE("#Metadata!", ADDRESS(INDEX($AJ$2:$AJ$1001,MATCH(ROWS($AH$2:AH570),$AH$2:$AH$1001,0),0), INDEX($AO$1004:$BQ$1004,1,MATCH(COLUMNS($AO$1006:BJ1006),$AO$1006:$BQ$1006,0)))),"Fix")))</f>
        <v>#N/A</v>
      </c>
      <c r="X570" s="5" t="e">
        <f ca="1">IF(OR(INDEX($AI$2:$AI$1001,MATCH(ROWS($AH$2:AH570),$AH$2:$AH$1001,0),1)&gt;=100000,INDEX($AO$1005:$BQ$1005,1,MATCH(COLUMNS($AO$1006:BK1006),$AO$1006:$BQ$1006,0))&gt;=100000), " ",IF(INDEX($AO$2:$BQ$1001,MATCH(ROWS($AH$2:AH570),$AH$2:$AH$1001,0),MATCH(COLUMNS($AO$1006:BK1006),$AO$1006:$BQ$1006,0)), HYPERLINK("#",""), HYPERLINK(CONCATENATE("#Metadata!", ADDRESS(INDEX($AJ$2:$AJ$1001,MATCH(ROWS($AH$2:AH570),$AH$2:$AH$1001,0),0), INDEX($AO$1004:$BQ$1004,1,MATCH(COLUMNS($AO$1006:BK1006),$AO$1006:$BQ$1006,0)))),"Fix")))</f>
        <v>#N/A</v>
      </c>
      <c r="Y570" s="5" t="e">
        <f ca="1">IF(OR(INDEX($AI$2:$AI$1001,MATCH(ROWS($AH$2:AH570),$AH$2:$AH$1001,0),1)&gt;=100000,INDEX($AO$1005:$BQ$1005,1,MATCH(COLUMNS($AO$1006:BL1006),$AO$1006:$BQ$1006,0))&gt;=100000), " ",IF(INDEX($AO$2:$BQ$1001,MATCH(ROWS($AH$2:AH570),$AH$2:$AH$1001,0),MATCH(COLUMNS($AO$1006:BL1006),$AO$1006:$BQ$1006,0)), HYPERLINK("#",""), HYPERLINK(CONCATENATE("#Metadata!", ADDRESS(INDEX($AJ$2:$AJ$1001,MATCH(ROWS($AH$2:AH570),$AH$2:$AH$1001,0),0), INDEX($AO$1004:$BQ$1004,1,MATCH(COLUMNS($AO$1006:BL1006),$AO$1006:$BQ$1006,0)))),"Fix")))</f>
        <v>#N/A</v>
      </c>
      <c r="Z570" s="5" t="e">
        <f ca="1">IF(OR(INDEX($AI$2:$AI$1001,MATCH(ROWS($AH$2:AH570),$AH$2:$AH$1001,0),1)&gt;=100000,INDEX($AO$1005:$BQ$1005,1,MATCH(COLUMNS($AO$1006:BM1006),$AO$1006:$BQ$1006,0))&gt;=100000), " ",IF(INDEX($AO$2:$BQ$1001,MATCH(ROWS($AH$2:AH570),$AH$2:$AH$1001,0),MATCH(COLUMNS($AO$1006:BM1006),$AO$1006:$BQ$1006,0)), HYPERLINK("#",""), HYPERLINK(CONCATENATE("#Metadata!", ADDRESS(INDEX($AJ$2:$AJ$1001,MATCH(ROWS($AH$2:AH570),$AH$2:$AH$1001,0),0), INDEX($AO$1004:$BQ$1004,1,MATCH(COLUMNS($AO$1006:BM1006),$AO$1006:$BQ$1006,0)))),"Fix")))</f>
        <v>#N/A</v>
      </c>
      <c r="AA570" s="5" t="e">
        <f ca="1">IF(OR(INDEX($AI$2:$AI$1001,MATCH(ROWS($AH$2:AH570),$AH$2:$AH$1001,0),1)&gt;=100000,INDEX($AO$1005:$BQ$1005,1,MATCH(COLUMNS($AO$1006:BN1006),$AO$1006:$BQ$1006,0))&gt;=100000), " ",IF(INDEX($AO$2:$BQ$1001,MATCH(ROWS($AH$2:AH570),$AH$2:$AH$1001,0),MATCH(COLUMNS($AO$1006:BN1006),$AO$1006:$BQ$1006,0)), HYPERLINK("#",""), HYPERLINK(CONCATENATE("#Metadata!", ADDRESS(INDEX($AJ$2:$AJ$1001,MATCH(ROWS($AH$2:AH570),$AH$2:$AH$1001,0),0), INDEX($AO$1004:$BQ$1004,1,MATCH(COLUMNS($AO$1006:BN1006),$AO$1006:$BQ$1006,0)))),"Fix")))</f>
        <v>#N/A</v>
      </c>
      <c r="AB570" s="5" t="e">
        <f ca="1">IF(OR(INDEX($AI$2:$AI$1001,MATCH(ROWS($AH$2:AH570),$AH$2:$AH$1001,0),1)&gt;=100000,INDEX($AO$1005:$BQ$1005,1,MATCH(COLUMNS($AO$1006:BO1006),$AO$1006:$BQ$1006,0))&gt;=100000), " ",IF(INDEX($AO$2:$BQ$1001,MATCH(ROWS($AH$2:AH570),$AH$2:$AH$1001,0),MATCH(COLUMNS($AO$1006:BO1006),$AO$1006:$BQ$1006,0)), HYPERLINK("#",""), HYPERLINK(CONCATENATE("#Metadata!", ADDRESS(INDEX($AJ$2:$AJ$1001,MATCH(ROWS($AH$2:AH570),$AH$2:$AH$1001,0),0), INDEX($AO$1004:$BQ$1004,1,MATCH(COLUMNS($AO$1006:BO1006),$AO$1006:$BQ$1006,0)))),"Fix")))</f>
        <v>#N/A</v>
      </c>
      <c r="AC570" s="5" t="e">
        <f ca="1">IF(OR(INDEX($AI$2:$AI$1001,MATCH(ROWS($AH$2:AH570),$AH$2:$AH$1001,0),1)&gt;=100000,INDEX($AO$1005:$BQ$1005,1,MATCH(COLUMNS($AO$1006:BP1006),$AO$1006:$BQ$1006,0))&gt;=100000), " ",IF(INDEX($AO$2:$BQ$1001,MATCH(ROWS($AH$2:AH570),$AH$2:$AH$1001,0),MATCH(COLUMNS($AO$1006:BP1006),$AO$1006:$BQ$1006,0)), HYPERLINK("#",""), HYPERLINK(CONCATENATE("#Metadata!", ADDRESS(INDEX($AJ$2:$AJ$1001,MATCH(ROWS($AH$2:AH570),$AH$2:$AH$1001,0),0), INDEX($AO$1004:$BQ$1004,1,MATCH(COLUMNS($AO$1006:BP1006),$AO$1006:$BQ$1006,0)))),"Fix")))</f>
        <v>#N/A</v>
      </c>
      <c r="AD570" s="5" t="e">
        <f ca="1">IF(OR(INDEX($AI$2:$AI$1001,MATCH(ROWS($AH$2:AH570),$AH$2:$AH$1001,0),1)&gt;=100000,INDEX($AO$1005:$BQ$1005,1,MATCH(COLUMNS($AO$1006:BQ1006),$AO$1006:$BQ$1006,0))&gt;=100000), " ",IF(INDEX($AO$2:$BQ$1001,MATCH(ROWS($AH$2:AH570),$AH$2:$AH$1001,0),MATCH(COLUMNS($AO$1006:BQ1006),$AO$1006:$BQ$1006,0)), HYPERLINK("#",""), HYPERLINK(CONCATENATE("#Metadata!", ADDRESS(INDEX($AJ$2:$AJ$1001,MATCH(ROWS($AH$2:AH570),$AH$2:$AH$1001,0),0), INDEX($AO$1004:$BQ$1004,1,MATCH(COLUMNS($AO$1006:BQ1006),$AO$1006:$BQ$1006,0)))),"Fix")))</f>
        <v>#REF!</v>
      </c>
      <c r="AH570">
        <f ca="1"/>
        <v>567</v>
      </c>
      <c r="AI570">
        <v>100570</v>
      </c>
      <c r="AJ570">
        <v>570</v>
      </c>
      <c r="AK570" t="b">
        <f t="shared" si="8"/>
        <v>1</v>
      </c>
      <c r="AL570" t="b">
        <f>COUNTBLANK(Metadata!B570:AD570)=COLUMNS(Metadata!B570:AD570)</f>
        <v>1</v>
      </c>
      <c r="AM570" t="str">
        <v/>
      </c>
      <c r="AO570" t="b">
        <f ca="1">AND(IF(Metadata!B570="",FALSE,TRUE),COUNTIF(Metadata!B:B, Metadata!B570) = 1,NOT(ISERROR(SUMPRODUCT(SEARCH(MID(Metadata!B570,ROW(INDIRECT("1:"&amp;LEN(Metadata!B570))), 1),"0123456789abcdefghijklmnopqrstuvwxyzABCDEFGHIJKLMNOPQRSTUVWXYZ.")))))</f>
        <v>0</v>
      </c>
      <c r="AP570" t="b">
        <f>IF(Metadata!C570="",FALSE,TRUE)</f>
        <v>0</v>
      </c>
      <c r="AQ570" t="b">
        <f>IF(Metadata!D570="",FALSE,TRUE)</f>
        <v>0</v>
      </c>
      <c r="AR570" t="b">
        <f ca="1">OR(AND(IF(Metadata!E570="",FALSE,TRUE),OR(EXACT(Metadata!E570,"not collected"),EXACT(Metadata!E570,"not provided"),EXACT(Metadata!E570,"restricted access"))),AND(IF(Metadata!E570="",FALSE,TRUE),AND(AND(IFERROR(INT(LEFT(Metadata!E570,4))&gt;1900,FALSE),IFERROR(INT(LEFT(Metadata!E570,4))&lt;=YEAR(NOW()),FALSE)), OR(MID(Metadata!E570,5,1)="", AND(AND(MID(Metadata!E570,5,1)="-",IFERROR(INT(MID(Metadata!E570,6,1))&gt;=0,FALSE),IFERROR(INT(MID(Metadata!E570,6,1))&lt;=1,FALSE),NOT(MID(Metadata!E570,7,1)=""),IFERROR(INT(MID(Metadata!E570,6,2))&gt;=1,FALSE),IFERROR(INT(MID(Metadata!E570,6,2))&lt;=12,FALSE)), OR(MID(Metadata!E570,8,1)="", AND(AND(MID(Metadata!E570,8,1)="-",IFERROR(INT(MID(Metadata!E570,9,1))&gt;=0,FALSE),IFERROR(INT(MID(Metadata!E570,9,1))&lt;=3,FALSE),NOT(MID(Metadata!E570,10,1)=""),IFERROR(INT(MID(Metadata!E570,9,2))&gt;=1,FALSE),IFERROR(INT(MID(Metadata!E570,9,2))&lt;=31,FALSE)), OR(MID(Metadata!E570,11,1)="", AND(AND(MID(Metadata!E570,11,1)=" ",IFERROR(INT(MID(Metadata!E570,12,1))&gt;=0,FALSE),IFERROR(INT(MID(Metadata!E570,12,1))&lt;=2,FALSE),NOT(MID(Metadata!E570,13,1)=""),IFERROR(INT(MID(Metadata!E570,12,2))&gt;=0,FALSE),IFERROR(INT(MID(Metadata!E570,12,2))&lt;=23,FALSE)), OR(MID(Metadata!E570,14,1)="", AND(AND(MID(Metadata!E570,14,1)=":",IFERROR(INT(MID(Metadata!E570,15,1))&gt;=0,FALSE),IFERROR(INT(MID(Metadata!E570,15,1))&lt;=5,FALSE),NOT(MID(Metadata!E570,16,1)=""),IFERROR(INT(MID(Metadata!E570,15,2))&gt;=0,FALSE),IFERROR(INT(MID(Metadata!E570,15,2))&lt;=59,FALSE)), OR(MID(Metadata!E570,17,1)="", AND(AND(MID(Metadata!E570,17,1)=":",IFERROR(INT(MID(Metadata!E570,18,1))&gt;=0,FALSE),IFERROR(INT(MID(Metadata!E570,18,1))&lt;=5,FALSE),NOT(MID(Metadata!E570,19,1)=""),IFERROR(INT(MID(Metadata!E570,18,2))&gt;=0,FALSE),IFERROR(INT(MID(Metadata!E570,18,2))&lt;=59,FALSE)), LEN(Metadata!E570)&lt;=19)))))))))))))</f>
        <v>0</v>
      </c>
      <c r="AS570" t="b">
        <f>IF(Metadata!F570="",FALSE,TRUE)</f>
        <v>0</v>
      </c>
      <c r="AT570" t="b">
        <f>OR(AND(IF(Metadata!G570="",FALSE,TRUE),OR(EXACT(Metadata!G570,"not collected"),EXACT(Metadata!G570,"not provided"))),AND(IF(Metadata!G570="",FALSE,TRUE),OR(EXACT(Metadata!G570,"TRUE"),EXACT(Metadata!G570,"FALSE"))))</f>
        <v>0</v>
      </c>
      <c r="AU570" t="b">
        <f>OR(AND(IF(Metadata!H570="",FALSE,TRUE),OR(EXACT(Metadata!H570,"not collected"),EXACT(Metadata!H570,"not provided"),EXACT(Metadata!H570,"restricted access"))),AND(IF(Metadata!H570="",FALSE,ISNUMBER(VALUE(Metadata!H570))),Metadata!H570&gt;=-413))</f>
        <v>0</v>
      </c>
      <c r="AV570" t="b">
        <f>AND(IF(Metadata!I570="",FALSE,TRUE),EXACT(Metadata!I570,"meters"))</f>
        <v>0</v>
      </c>
      <c r="AW570" t="b">
        <f>AND(IF(Metadata!J570="",FALSE,TRUE),EXACT(Metadata!J570,"free-living"))</f>
        <v>0</v>
      </c>
      <c r="AX570" t="b">
        <f>AND(IF(Metadata!K570="",FALSE,TRUE),OR(EXACT(Metadata!K570,"saline"),EXACT(Metadata!K570,"non-saline")))</f>
        <v>0</v>
      </c>
      <c r="AY570" t="b">
        <f>AND(IF(Metadata!L570="",FALSE,TRUE),OR(EXACT(Metadata!L570,"sub-surface (non-saline)"),EXACT(Metadata!L570,"surface (non-saline)"),EXACT(Metadata!L570,"water (non-saline)"),EXACT(Metadata!L570,"soil (non-saline)"),EXACT(Metadata!L570,"aerosol (non-saline)"),EXACT(Metadata!L570,"sediment (non-saline)"),EXACT(Metadata!L570,"surface (saline)"),EXACT(Metadata!L570,"water (saline)"),EXACT(Metadata!L570,"hypersaline (saline)"),EXACT(Metadata!L570,"aerosol (saline)"),EXACT(Metadata!L570,"sediment (saline)")))</f>
        <v>0</v>
      </c>
      <c r="AZ570" t="b">
        <f>IF(Metadata!M570="",FALSE,TRUE)</f>
        <v>0</v>
      </c>
      <c r="BA570" t="b">
        <f>IF(Metadata!N570="",FALSE,TRUE)</f>
        <v>0</v>
      </c>
      <c r="BB570" t="b">
        <f>IF(Metadata!O570="",FALSE,TRUE)</f>
        <v>0</v>
      </c>
      <c r="BC570" t="b">
        <f>AND(IF(Metadata!P570="",FALSE,TRUE),OR(EXACT(Metadata!P570,"air"),EXACT(Metadata!P570,"microbial mat/biofilm"),EXACT(Metadata!P570,"misc environment"),EXACT(Metadata!P570,"sediment"),EXACT(Metadata!P570,"soil"),EXACT(Metadata!P570,"wastewater/sludge"),EXACT(Metadata!P570,"water")))</f>
        <v>0</v>
      </c>
      <c r="BD570" t="b">
        <f>IF(Metadata!Q570="",FALSE,TRUE)</f>
        <v>0</v>
      </c>
      <c r="BE570" t="b">
        <f>IF(Metadata!R570="",FALSE,TRUE)</f>
        <v>0</v>
      </c>
      <c r="BF570" t="b">
        <f>OR(AND(IF(Metadata!S570="",FALSE,TRUE),OR(EXACT(Metadata!S570,"not collected"),EXACT(Metadata!S570,"not provided"),EXACT(Metadata!S570,"restricted access"))),AND(IF(Metadata!S570="",FALSE,ISNUMBER(VALUE(Metadata!S570))),Metadata!S570&gt;=-90,Metadata!S570&lt;=90))</f>
        <v>0</v>
      </c>
      <c r="BG570" t="b">
        <f>AND(IF(Metadata!T570="",FALSE,TRUE),EXACT(Metadata!T570,"Decimal degrees"))</f>
        <v>0</v>
      </c>
      <c r="BH570" t="b">
        <f>OR(AND(IF(Metadata!U570="",FALSE,TRUE),OR(EXACT(Metadata!U570,"not applicable"),EXACT(Metadata!U570,"not collected"))),IF(Metadata!U570="",FALSE,TRUE))</f>
        <v>0</v>
      </c>
      <c r="BI570" t="b">
        <f>OR(AND(IF(Metadata!V570="",FALSE,TRUE),OR(EXACT(Metadata!V570,"not collected"),EXACT(Metadata!V570,"not provided"),EXACT(Metadata!V570,"restricted access"))),AND(IF(Metadata!V570="",FALSE,ISNUMBER(VALUE(Metadata!V570))),Metadata!V570&gt;=-180,Metadata!V570&lt;=180))</f>
        <v>0</v>
      </c>
      <c r="BJ570" t="b">
        <f>AND(IF(Metadata!W570="",FALSE,TRUE),EXACT(Metadata!W570,"Decimal degrees"))</f>
        <v>0</v>
      </c>
      <c r="BK570" t="b">
        <f>IF(Metadata!X570="",FALSE,TRUE)</f>
        <v>0</v>
      </c>
      <c r="BL570" t="b">
        <f>OR(AND(IF(Metadata!Y570="",FALSE,TRUE),OR(EXACT(Metadata!Y570,"not collected"),EXACT(Metadata!Y570,"not provided"),EXACT(Metadata!Y570,"restricted access"))),AND(IF(Metadata!Y570="",FALSE,TRUE),OR(EXACT(Metadata!Y570,"TRUE"),EXACT(Metadata!Y570,"FALSE"))))</f>
        <v>0</v>
      </c>
      <c r="BM570" t="b">
        <f>OR(AND(IF(Metadata!Z570="",FALSE,TRUE),EXACT(Metadata!Z570,"not applicable")),AND(IF(Metadata!Z570="",FALSE,TRUE),OR(EXACT(Metadata!Z570,"beer"),EXACT(Metadata!Z570,"cheese"),EXACT(Metadata!Z570,"fresh water"),EXACT(Metadata!Z570,"marine sediment"),EXACT(Metadata!Z570,"sea water"),EXACT(Metadata!Z570,"sediment"),EXACT(Metadata!Z570,"soil"),EXACT(Metadata!Z570,"waste water"))))</f>
        <v>0</v>
      </c>
      <c r="BN570" t="b">
        <f>AND(IF(Metadata!AA570="",FALSE,TRUE),EXACT(Metadata!AA570,"metagenome"))</f>
        <v>0</v>
      </c>
      <c r="BO570" t="b">
        <f>AND(IF(Metadata!AB570="",FALSE,TRUE),EXACT(Metadata!AB570,"256318"))</f>
        <v>0</v>
      </c>
      <c r="BP570" t="b">
        <f>IF(Metadata!AC570="",FALSE,TRUE)</f>
        <v>0</v>
      </c>
      <c r="BQ570" t="b">
        <f>IF(Metadata!AD570="",FALSE,TRUE)</f>
        <v>0</v>
      </c>
    </row>
    <row r="571" spans="1:69" x14ac:dyDescent="0.2">
      <c r="A571" s="4" t="e">
        <f ca="1">IF(B571=" "," ",HYPERLINK(CONCATENATE("#metadata!",ADDRESS(INDEX($AJ$2:$AJ$1001,MATCH(ROWS($AH$2:AH571),$AH$2:$AH$1001,0),0),2)),INDEX($AM$2:$AM$1001,MATCH(ROWS($AH$2:AH571),$AH$2:$AH$1001,0),0)))</f>
        <v>#N/A</v>
      </c>
      <c r="B571" s="5" t="e">
        <f ca="1">IF(OR(INDEX($AI$2:$AI$1001,MATCH(ROWS($AH$2:AH571),$AH$2:$AH$1001,0),1)&gt;=100000,INDEX($AO$1005:$BQ$1005,1,MATCH(COLUMNS($AO$1006:AO1006),$AO$1006:$BQ$1006,0))&gt;=100000), " ",IF(INDEX($AO$2:$BQ$1001,MATCH(ROWS($AH$2:AH571),$AH$2:$AH$1001,0),MATCH(COLUMNS($AO$1006:AO1006),$AO$1006:$BQ$1006,0)), HYPERLINK("#",""), HYPERLINK(CONCATENATE("#Metadata!", ADDRESS(INDEX($AJ$2:$AJ$1001,MATCH(ROWS($AH$2:AH571),$AH$2:$AH$1001,0),0), INDEX($AO$1004:$BQ$1004,1,MATCH(COLUMNS($AO$1006:AO1006),$AO$1006:$BQ$1006,0)))),"Fix")))</f>
        <v>#N/A</v>
      </c>
      <c r="C571" s="5" t="e">
        <f ca="1">IF(OR(INDEX($AI$2:$AI$1001,MATCH(ROWS($AH$2:AH571),$AH$2:$AH$1001,0),1)&gt;=100000,INDEX($AO$1005:$BQ$1005,1,MATCH(COLUMNS($AO$1006:AP1006),$AO$1006:$BQ$1006,0))&gt;=100000), " ",IF(INDEX($AO$2:$BQ$1001,MATCH(ROWS($AH$2:AH571),$AH$2:$AH$1001,0),MATCH(COLUMNS($AO$1006:AP1006),$AO$1006:$BQ$1006,0)), HYPERLINK("#",""), HYPERLINK(CONCATENATE("#Metadata!", ADDRESS(INDEX($AJ$2:$AJ$1001,MATCH(ROWS($AH$2:AH571),$AH$2:$AH$1001,0),0), INDEX($AO$1004:$BQ$1004,1,MATCH(COLUMNS($AO$1006:AP1006),$AO$1006:$BQ$1006,0)))),"Fix")))</f>
        <v>#N/A</v>
      </c>
      <c r="D571" s="5" t="e">
        <f ca="1">IF(OR(INDEX($AI$2:$AI$1001,MATCH(ROWS($AH$2:AH571),$AH$2:$AH$1001,0),1)&gt;=100000,INDEX($AO$1005:$BQ$1005,1,MATCH(COLUMNS($AO$1006:AQ1006),$AO$1006:$BQ$1006,0))&gt;=100000), " ",IF(INDEX($AO$2:$BQ$1001,MATCH(ROWS($AH$2:AH571),$AH$2:$AH$1001,0),MATCH(COLUMNS($AO$1006:AQ1006),$AO$1006:$BQ$1006,0)), HYPERLINK("#",""), HYPERLINK(CONCATENATE("#Metadata!", ADDRESS(INDEX($AJ$2:$AJ$1001,MATCH(ROWS($AH$2:AH571),$AH$2:$AH$1001,0),0), INDEX($AO$1004:$BQ$1004,1,MATCH(COLUMNS($AO$1006:AQ1006),$AO$1006:$BQ$1006,0)))),"Fix")))</f>
        <v>#N/A</v>
      </c>
      <c r="E571" s="5" t="e">
        <f ca="1">IF(OR(INDEX($AI$2:$AI$1001,MATCH(ROWS($AH$2:AH571),$AH$2:$AH$1001,0),1)&gt;=100000,INDEX($AO$1005:$BQ$1005,1,MATCH(COLUMNS($AO$1006:AR1006),$AO$1006:$BQ$1006,0))&gt;=100000), " ",IF(INDEX($AO$2:$BQ$1001,MATCH(ROWS($AH$2:AH571),$AH$2:$AH$1001,0),MATCH(COLUMNS($AO$1006:AR1006),$AO$1006:$BQ$1006,0)), HYPERLINK("#",""), HYPERLINK(CONCATENATE("#Metadata!", ADDRESS(INDEX($AJ$2:$AJ$1001,MATCH(ROWS($AH$2:AH571),$AH$2:$AH$1001,0),0), INDEX($AO$1004:$BQ$1004,1,MATCH(COLUMNS($AO$1006:AR1006),$AO$1006:$BQ$1006,0)))),"Fix")))</f>
        <v>#N/A</v>
      </c>
      <c r="F571" s="5" t="e">
        <f ca="1">IF(OR(INDEX($AI$2:$AI$1001,MATCH(ROWS($AH$2:AH571),$AH$2:$AH$1001,0),1)&gt;=100000,INDEX($AO$1005:$BQ$1005,1,MATCH(COLUMNS($AO$1006:AS1006),$AO$1006:$BQ$1006,0))&gt;=100000), " ",IF(INDEX($AO$2:$BQ$1001,MATCH(ROWS($AH$2:AH571),$AH$2:$AH$1001,0),MATCH(COLUMNS($AO$1006:AS1006),$AO$1006:$BQ$1006,0)), HYPERLINK("#",""), HYPERLINK(CONCATENATE("#Metadata!", ADDRESS(INDEX($AJ$2:$AJ$1001,MATCH(ROWS($AH$2:AH571),$AH$2:$AH$1001,0),0), INDEX($AO$1004:$BQ$1004,1,MATCH(COLUMNS($AO$1006:AS1006),$AO$1006:$BQ$1006,0)))),"Fix")))</f>
        <v>#N/A</v>
      </c>
      <c r="G571" s="5" t="e">
        <f ca="1">IF(OR(INDEX($AI$2:$AI$1001,MATCH(ROWS($AH$2:AH571),$AH$2:$AH$1001,0),1)&gt;=100000,INDEX($AO$1005:$BQ$1005,1,MATCH(COLUMNS($AO$1006:AT1006),$AO$1006:$BQ$1006,0))&gt;=100000), " ",IF(INDEX($AO$2:$BQ$1001,MATCH(ROWS($AH$2:AH571),$AH$2:$AH$1001,0),MATCH(COLUMNS($AO$1006:AT1006),$AO$1006:$BQ$1006,0)), HYPERLINK("#",""), HYPERLINK(CONCATENATE("#Metadata!", ADDRESS(INDEX($AJ$2:$AJ$1001,MATCH(ROWS($AH$2:AH571),$AH$2:$AH$1001,0),0), INDEX($AO$1004:$BQ$1004,1,MATCH(COLUMNS($AO$1006:AT1006),$AO$1006:$BQ$1006,0)))),"Fix")))</f>
        <v>#N/A</v>
      </c>
      <c r="H571" s="5" t="e">
        <f ca="1">IF(OR(INDEX($AI$2:$AI$1001,MATCH(ROWS($AH$2:AH571),$AH$2:$AH$1001,0),1)&gt;=100000,INDEX($AO$1005:$BQ$1005,1,MATCH(COLUMNS($AO$1006:AU1006),$AO$1006:$BQ$1006,0))&gt;=100000), " ",IF(INDEX($AO$2:$BQ$1001,MATCH(ROWS($AH$2:AH571),$AH$2:$AH$1001,0),MATCH(COLUMNS($AO$1006:AU1006),$AO$1006:$BQ$1006,0)), HYPERLINK("#",""), HYPERLINK(CONCATENATE("#Metadata!", ADDRESS(INDEX($AJ$2:$AJ$1001,MATCH(ROWS($AH$2:AH571),$AH$2:$AH$1001,0),0), INDEX($AO$1004:$BQ$1004,1,MATCH(COLUMNS($AO$1006:AU1006),$AO$1006:$BQ$1006,0)))),"Fix")))</f>
        <v>#N/A</v>
      </c>
      <c r="I571" s="5" t="e">
        <f ca="1">IF(OR(INDEX($AI$2:$AI$1001,MATCH(ROWS($AH$2:AH571),$AH$2:$AH$1001,0),1)&gt;=100000,INDEX($AO$1005:$BQ$1005,1,MATCH(COLUMNS($AO$1006:AV1006),$AO$1006:$BQ$1006,0))&gt;=100000), " ",IF(INDEX($AO$2:$BQ$1001,MATCH(ROWS($AH$2:AH571),$AH$2:$AH$1001,0),MATCH(COLUMNS($AO$1006:AV1006),$AO$1006:$BQ$1006,0)), HYPERLINK("#",""), HYPERLINK(CONCATENATE("#Metadata!", ADDRESS(INDEX($AJ$2:$AJ$1001,MATCH(ROWS($AH$2:AH571),$AH$2:$AH$1001,0),0), INDEX($AO$1004:$BQ$1004,1,MATCH(COLUMNS($AO$1006:AV1006),$AO$1006:$BQ$1006,0)))),"Fix")))</f>
        <v>#N/A</v>
      </c>
      <c r="J571" s="5" t="e">
        <f ca="1">IF(OR(INDEX($AI$2:$AI$1001,MATCH(ROWS($AH$2:AH571),$AH$2:$AH$1001,0),1)&gt;=100000,INDEX($AO$1005:$BQ$1005,1,MATCH(COLUMNS($AO$1006:AW1006),$AO$1006:$BQ$1006,0))&gt;=100000), " ",IF(INDEX($AO$2:$BQ$1001,MATCH(ROWS($AH$2:AH571),$AH$2:$AH$1001,0),MATCH(COLUMNS($AO$1006:AW1006),$AO$1006:$BQ$1006,0)), HYPERLINK("#",""), HYPERLINK(CONCATENATE("#Metadata!", ADDRESS(INDEX($AJ$2:$AJ$1001,MATCH(ROWS($AH$2:AH571),$AH$2:$AH$1001,0),0), INDEX($AO$1004:$BQ$1004,1,MATCH(COLUMNS($AO$1006:AW1006),$AO$1006:$BQ$1006,0)))),"Fix")))</f>
        <v>#N/A</v>
      </c>
      <c r="K571" s="5" t="e">
        <f ca="1">IF(OR(INDEX($AI$2:$AI$1001,MATCH(ROWS($AH$2:AH571),$AH$2:$AH$1001,0),1)&gt;=100000,INDEX($AO$1005:$BQ$1005,1,MATCH(COLUMNS($AO$1006:AX1006),$AO$1006:$BQ$1006,0))&gt;=100000), " ",IF(INDEX($AO$2:$BQ$1001,MATCH(ROWS($AH$2:AH571),$AH$2:$AH$1001,0),MATCH(COLUMNS($AO$1006:AX1006),$AO$1006:$BQ$1006,0)), HYPERLINK("#",""), HYPERLINK(CONCATENATE("#Metadata!", ADDRESS(INDEX($AJ$2:$AJ$1001,MATCH(ROWS($AH$2:AH571),$AH$2:$AH$1001,0),0), INDEX($AO$1004:$BQ$1004,1,MATCH(COLUMNS($AO$1006:AX1006),$AO$1006:$BQ$1006,0)))),"Fix")))</f>
        <v>#N/A</v>
      </c>
      <c r="L571" s="5" t="e">
        <f ca="1">IF(OR(INDEX($AI$2:$AI$1001,MATCH(ROWS($AH$2:AH571),$AH$2:$AH$1001,0),1)&gt;=100000,INDEX($AO$1005:$BQ$1005,1,MATCH(COLUMNS($AO$1006:AY1006),$AO$1006:$BQ$1006,0))&gt;=100000), " ",IF(INDEX($AO$2:$BQ$1001,MATCH(ROWS($AH$2:AH571),$AH$2:$AH$1001,0),MATCH(COLUMNS($AO$1006:AY1006),$AO$1006:$BQ$1006,0)), HYPERLINK("#",""), HYPERLINK(CONCATENATE("#Metadata!", ADDRESS(INDEX($AJ$2:$AJ$1001,MATCH(ROWS($AH$2:AH571),$AH$2:$AH$1001,0),0), INDEX($AO$1004:$BQ$1004,1,MATCH(COLUMNS($AO$1006:AY1006),$AO$1006:$BQ$1006,0)))),"Fix")))</f>
        <v>#N/A</v>
      </c>
      <c r="M571" s="5" t="e">
        <f ca="1">IF(OR(INDEX($AI$2:$AI$1001,MATCH(ROWS($AH$2:AH571),$AH$2:$AH$1001,0),1)&gt;=100000,INDEX($AO$1005:$BQ$1005,1,MATCH(COLUMNS($AO$1006:AZ1006),$AO$1006:$BQ$1006,0))&gt;=100000), " ",IF(INDEX($AO$2:$BQ$1001,MATCH(ROWS($AH$2:AH571),$AH$2:$AH$1001,0),MATCH(COLUMNS($AO$1006:AZ1006),$AO$1006:$BQ$1006,0)), HYPERLINK("#",""), HYPERLINK(CONCATENATE("#Metadata!", ADDRESS(INDEX($AJ$2:$AJ$1001,MATCH(ROWS($AH$2:AH571),$AH$2:$AH$1001,0),0), INDEX($AO$1004:$BQ$1004,1,MATCH(COLUMNS($AO$1006:AZ1006),$AO$1006:$BQ$1006,0)))),"Fix")))</f>
        <v>#N/A</v>
      </c>
      <c r="N571" s="5" t="e">
        <f ca="1">IF(OR(INDEX($AI$2:$AI$1001,MATCH(ROWS($AH$2:AH571),$AH$2:$AH$1001,0),1)&gt;=100000,INDEX($AO$1005:$BQ$1005,1,MATCH(COLUMNS($AO$1006:BA1006),$AO$1006:$BQ$1006,0))&gt;=100000), " ",IF(INDEX($AO$2:$BQ$1001,MATCH(ROWS($AH$2:AH571),$AH$2:$AH$1001,0),MATCH(COLUMNS($AO$1006:BA1006),$AO$1006:$BQ$1006,0)), HYPERLINK("#",""), HYPERLINK(CONCATENATE("#Metadata!", ADDRESS(INDEX($AJ$2:$AJ$1001,MATCH(ROWS($AH$2:AH571),$AH$2:$AH$1001,0),0), INDEX($AO$1004:$BQ$1004,1,MATCH(COLUMNS($AO$1006:BA1006),$AO$1006:$BQ$1006,0)))),"Fix")))</f>
        <v>#N/A</v>
      </c>
      <c r="O571" s="5" t="e">
        <f ca="1">IF(OR(INDEX($AI$2:$AI$1001,MATCH(ROWS($AH$2:AH571),$AH$2:$AH$1001,0),1)&gt;=100000,INDEX($AO$1005:$BQ$1005,1,MATCH(COLUMNS($AO$1006:BB1006),$AO$1006:$BQ$1006,0))&gt;=100000), " ",IF(INDEX($AO$2:$BQ$1001,MATCH(ROWS($AH$2:AH571),$AH$2:$AH$1001,0),MATCH(COLUMNS($AO$1006:BB1006),$AO$1006:$BQ$1006,0)), HYPERLINK("#",""), HYPERLINK(CONCATENATE("#Metadata!", ADDRESS(INDEX($AJ$2:$AJ$1001,MATCH(ROWS($AH$2:AH571),$AH$2:$AH$1001,0),0), INDEX($AO$1004:$BQ$1004,1,MATCH(COLUMNS($AO$1006:BB1006),$AO$1006:$BQ$1006,0)))),"Fix")))</f>
        <v>#N/A</v>
      </c>
      <c r="P571" s="5" t="e">
        <f ca="1">IF(OR(INDEX($AI$2:$AI$1001,MATCH(ROWS($AH$2:AH571),$AH$2:$AH$1001,0),1)&gt;=100000,INDEX($AO$1005:$BQ$1005,1,MATCH(COLUMNS($AO$1006:BC1006),$AO$1006:$BQ$1006,0))&gt;=100000), " ",IF(INDEX($AO$2:$BQ$1001,MATCH(ROWS($AH$2:AH571),$AH$2:$AH$1001,0),MATCH(COLUMNS($AO$1006:BC1006),$AO$1006:$BQ$1006,0)), HYPERLINK("#",""), HYPERLINK(CONCATENATE("#Metadata!", ADDRESS(INDEX($AJ$2:$AJ$1001,MATCH(ROWS($AH$2:AH571),$AH$2:$AH$1001,0),0), INDEX($AO$1004:$BQ$1004,1,MATCH(COLUMNS($AO$1006:BC1006),$AO$1006:$BQ$1006,0)))),"Fix")))</f>
        <v>#N/A</v>
      </c>
      <c r="Q571" s="5" t="e">
        <f ca="1">IF(OR(INDEX($AI$2:$AI$1001,MATCH(ROWS($AH$2:AH571),$AH$2:$AH$1001,0),1)&gt;=100000,INDEX($AO$1005:$BQ$1005,1,MATCH(COLUMNS($AO$1006:BD1006),$AO$1006:$BQ$1006,0))&gt;=100000), " ",IF(INDEX($AO$2:$BQ$1001,MATCH(ROWS($AH$2:AH571),$AH$2:$AH$1001,0),MATCH(COLUMNS($AO$1006:BD1006),$AO$1006:$BQ$1006,0)), HYPERLINK("#",""), HYPERLINK(CONCATENATE("#Metadata!", ADDRESS(INDEX($AJ$2:$AJ$1001,MATCH(ROWS($AH$2:AH571),$AH$2:$AH$1001,0),0), INDEX($AO$1004:$BQ$1004,1,MATCH(COLUMNS($AO$1006:BD1006),$AO$1006:$BQ$1006,0)))),"Fix")))</f>
        <v>#N/A</v>
      </c>
      <c r="R571" s="5" t="e">
        <f ca="1">IF(OR(INDEX($AI$2:$AI$1001,MATCH(ROWS($AH$2:AH571),$AH$2:$AH$1001,0),1)&gt;=100000,INDEX($AO$1005:$BQ$1005,1,MATCH(COLUMNS($AO$1006:BE1006),$AO$1006:$BQ$1006,0))&gt;=100000), " ",IF(INDEX($AO$2:$BQ$1001,MATCH(ROWS($AH$2:AH571),$AH$2:$AH$1001,0),MATCH(COLUMNS($AO$1006:BE1006),$AO$1006:$BQ$1006,0)), HYPERLINK("#",""), HYPERLINK(CONCATENATE("#Metadata!", ADDRESS(INDEX($AJ$2:$AJ$1001,MATCH(ROWS($AH$2:AH571),$AH$2:$AH$1001,0),0), INDEX($AO$1004:$BQ$1004,1,MATCH(COLUMNS($AO$1006:BE1006),$AO$1006:$BQ$1006,0)))),"Fix")))</f>
        <v>#N/A</v>
      </c>
      <c r="S571" s="5" t="e">
        <f ca="1">IF(OR(INDEX($AI$2:$AI$1001,MATCH(ROWS($AH$2:AH571),$AH$2:$AH$1001,0),1)&gt;=100000,INDEX($AO$1005:$BQ$1005,1,MATCH(COLUMNS($AO$1006:BF1006),$AO$1006:$BQ$1006,0))&gt;=100000), " ",IF(INDEX($AO$2:$BQ$1001,MATCH(ROWS($AH$2:AH571),$AH$2:$AH$1001,0),MATCH(COLUMNS($AO$1006:BF1006),$AO$1006:$BQ$1006,0)), HYPERLINK("#",""), HYPERLINK(CONCATENATE("#Metadata!", ADDRESS(INDEX($AJ$2:$AJ$1001,MATCH(ROWS($AH$2:AH571),$AH$2:$AH$1001,0),0), INDEX($AO$1004:$BQ$1004,1,MATCH(COLUMNS($AO$1006:BF1006),$AO$1006:$BQ$1006,0)))),"Fix")))</f>
        <v>#N/A</v>
      </c>
      <c r="T571" s="5" t="e">
        <f ca="1">IF(OR(INDEX($AI$2:$AI$1001,MATCH(ROWS($AH$2:AH571),$AH$2:$AH$1001,0),1)&gt;=100000,INDEX($AO$1005:$BQ$1005,1,MATCH(COLUMNS($AO$1006:BG1006),$AO$1006:$BQ$1006,0))&gt;=100000), " ",IF(INDEX($AO$2:$BQ$1001,MATCH(ROWS($AH$2:AH571),$AH$2:$AH$1001,0),MATCH(COLUMNS($AO$1006:BG1006),$AO$1006:$BQ$1006,0)), HYPERLINK("#",""), HYPERLINK(CONCATENATE("#Metadata!", ADDRESS(INDEX($AJ$2:$AJ$1001,MATCH(ROWS($AH$2:AH571),$AH$2:$AH$1001,0),0), INDEX($AO$1004:$BQ$1004,1,MATCH(COLUMNS($AO$1006:BG1006),$AO$1006:$BQ$1006,0)))),"Fix")))</f>
        <v>#N/A</v>
      </c>
      <c r="U571" s="5" t="e">
        <f ca="1">IF(OR(INDEX($AI$2:$AI$1001,MATCH(ROWS($AH$2:AH571),$AH$2:$AH$1001,0),1)&gt;=100000,INDEX($AO$1005:$BQ$1005,1,MATCH(COLUMNS($AO$1006:BH1006),$AO$1006:$BQ$1006,0))&gt;=100000), " ",IF(INDEX($AO$2:$BQ$1001,MATCH(ROWS($AH$2:AH571),$AH$2:$AH$1001,0),MATCH(COLUMNS($AO$1006:BH1006),$AO$1006:$BQ$1006,0)), HYPERLINK("#",""), HYPERLINK(CONCATENATE("#Metadata!", ADDRESS(INDEX($AJ$2:$AJ$1001,MATCH(ROWS($AH$2:AH571),$AH$2:$AH$1001,0),0), INDEX($AO$1004:$BQ$1004,1,MATCH(COLUMNS($AO$1006:BH1006),$AO$1006:$BQ$1006,0)))),"Fix")))</f>
        <v>#N/A</v>
      </c>
      <c r="V571" s="5" t="e">
        <f ca="1">IF(OR(INDEX($AI$2:$AI$1001,MATCH(ROWS($AH$2:AH571),$AH$2:$AH$1001,0),1)&gt;=100000,INDEX($AO$1005:$BQ$1005,1,MATCH(COLUMNS($AO$1006:BI1006),$AO$1006:$BQ$1006,0))&gt;=100000), " ",IF(INDEX($AO$2:$BQ$1001,MATCH(ROWS($AH$2:AH571),$AH$2:$AH$1001,0),MATCH(COLUMNS($AO$1006:BI1006),$AO$1006:$BQ$1006,0)), HYPERLINK("#",""), HYPERLINK(CONCATENATE("#Metadata!", ADDRESS(INDEX($AJ$2:$AJ$1001,MATCH(ROWS($AH$2:AH571),$AH$2:$AH$1001,0),0), INDEX($AO$1004:$BQ$1004,1,MATCH(COLUMNS($AO$1006:BI1006),$AO$1006:$BQ$1006,0)))),"Fix")))</f>
        <v>#N/A</v>
      </c>
      <c r="W571" s="5" t="e">
        <f ca="1">IF(OR(INDEX($AI$2:$AI$1001,MATCH(ROWS($AH$2:AH571),$AH$2:$AH$1001,0),1)&gt;=100000,INDEX($AO$1005:$BQ$1005,1,MATCH(COLUMNS($AO$1006:BJ1006),$AO$1006:$BQ$1006,0))&gt;=100000), " ",IF(INDEX($AO$2:$BQ$1001,MATCH(ROWS($AH$2:AH571),$AH$2:$AH$1001,0),MATCH(COLUMNS($AO$1006:BJ1006),$AO$1006:$BQ$1006,0)), HYPERLINK("#",""), HYPERLINK(CONCATENATE("#Metadata!", ADDRESS(INDEX($AJ$2:$AJ$1001,MATCH(ROWS($AH$2:AH571),$AH$2:$AH$1001,0),0), INDEX($AO$1004:$BQ$1004,1,MATCH(COLUMNS($AO$1006:BJ1006),$AO$1006:$BQ$1006,0)))),"Fix")))</f>
        <v>#N/A</v>
      </c>
      <c r="X571" s="5" t="e">
        <f ca="1">IF(OR(INDEX($AI$2:$AI$1001,MATCH(ROWS($AH$2:AH571),$AH$2:$AH$1001,0),1)&gt;=100000,INDEX($AO$1005:$BQ$1005,1,MATCH(COLUMNS($AO$1006:BK1006),$AO$1006:$BQ$1006,0))&gt;=100000), " ",IF(INDEX($AO$2:$BQ$1001,MATCH(ROWS($AH$2:AH571),$AH$2:$AH$1001,0),MATCH(COLUMNS($AO$1006:BK1006),$AO$1006:$BQ$1006,0)), HYPERLINK("#",""), HYPERLINK(CONCATENATE("#Metadata!", ADDRESS(INDEX($AJ$2:$AJ$1001,MATCH(ROWS($AH$2:AH571),$AH$2:$AH$1001,0),0), INDEX($AO$1004:$BQ$1004,1,MATCH(COLUMNS($AO$1006:BK1006),$AO$1006:$BQ$1006,0)))),"Fix")))</f>
        <v>#N/A</v>
      </c>
      <c r="Y571" s="5" t="e">
        <f ca="1">IF(OR(INDEX($AI$2:$AI$1001,MATCH(ROWS($AH$2:AH571),$AH$2:$AH$1001,0),1)&gt;=100000,INDEX($AO$1005:$BQ$1005,1,MATCH(COLUMNS($AO$1006:BL1006),$AO$1006:$BQ$1006,0))&gt;=100000), " ",IF(INDEX($AO$2:$BQ$1001,MATCH(ROWS($AH$2:AH571),$AH$2:$AH$1001,0),MATCH(COLUMNS($AO$1006:BL1006),$AO$1006:$BQ$1006,0)), HYPERLINK("#",""), HYPERLINK(CONCATENATE("#Metadata!", ADDRESS(INDEX($AJ$2:$AJ$1001,MATCH(ROWS($AH$2:AH571),$AH$2:$AH$1001,0),0), INDEX($AO$1004:$BQ$1004,1,MATCH(COLUMNS($AO$1006:BL1006),$AO$1006:$BQ$1006,0)))),"Fix")))</f>
        <v>#N/A</v>
      </c>
      <c r="Z571" s="5" t="e">
        <f ca="1">IF(OR(INDEX($AI$2:$AI$1001,MATCH(ROWS($AH$2:AH571),$AH$2:$AH$1001,0),1)&gt;=100000,INDEX($AO$1005:$BQ$1005,1,MATCH(COLUMNS($AO$1006:BM1006),$AO$1006:$BQ$1006,0))&gt;=100000), " ",IF(INDEX($AO$2:$BQ$1001,MATCH(ROWS($AH$2:AH571),$AH$2:$AH$1001,0),MATCH(COLUMNS($AO$1006:BM1006),$AO$1006:$BQ$1006,0)), HYPERLINK("#",""), HYPERLINK(CONCATENATE("#Metadata!", ADDRESS(INDEX($AJ$2:$AJ$1001,MATCH(ROWS($AH$2:AH571),$AH$2:$AH$1001,0),0), INDEX($AO$1004:$BQ$1004,1,MATCH(COLUMNS($AO$1006:BM1006),$AO$1006:$BQ$1006,0)))),"Fix")))</f>
        <v>#N/A</v>
      </c>
      <c r="AA571" s="5" t="e">
        <f ca="1">IF(OR(INDEX($AI$2:$AI$1001,MATCH(ROWS($AH$2:AH571),$AH$2:$AH$1001,0),1)&gt;=100000,INDEX($AO$1005:$BQ$1005,1,MATCH(COLUMNS($AO$1006:BN1006),$AO$1006:$BQ$1006,0))&gt;=100000), " ",IF(INDEX($AO$2:$BQ$1001,MATCH(ROWS($AH$2:AH571),$AH$2:$AH$1001,0),MATCH(COLUMNS($AO$1006:BN1006),$AO$1006:$BQ$1006,0)), HYPERLINK("#",""), HYPERLINK(CONCATENATE("#Metadata!", ADDRESS(INDEX($AJ$2:$AJ$1001,MATCH(ROWS($AH$2:AH571),$AH$2:$AH$1001,0),0), INDEX($AO$1004:$BQ$1004,1,MATCH(COLUMNS($AO$1006:BN1006),$AO$1006:$BQ$1006,0)))),"Fix")))</f>
        <v>#N/A</v>
      </c>
      <c r="AB571" s="5" t="e">
        <f ca="1">IF(OR(INDEX($AI$2:$AI$1001,MATCH(ROWS($AH$2:AH571),$AH$2:$AH$1001,0),1)&gt;=100000,INDEX($AO$1005:$BQ$1005,1,MATCH(COLUMNS($AO$1006:BO1006),$AO$1006:$BQ$1006,0))&gt;=100000), " ",IF(INDEX($AO$2:$BQ$1001,MATCH(ROWS($AH$2:AH571),$AH$2:$AH$1001,0),MATCH(COLUMNS($AO$1006:BO1006),$AO$1006:$BQ$1006,0)), HYPERLINK("#",""), HYPERLINK(CONCATENATE("#Metadata!", ADDRESS(INDEX($AJ$2:$AJ$1001,MATCH(ROWS($AH$2:AH571),$AH$2:$AH$1001,0),0), INDEX($AO$1004:$BQ$1004,1,MATCH(COLUMNS($AO$1006:BO1006),$AO$1006:$BQ$1006,0)))),"Fix")))</f>
        <v>#N/A</v>
      </c>
      <c r="AC571" s="5" t="e">
        <f ca="1">IF(OR(INDEX($AI$2:$AI$1001,MATCH(ROWS($AH$2:AH571),$AH$2:$AH$1001,0),1)&gt;=100000,INDEX($AO$1005:$BQ$1005,1,MATCH(COLUMNS($AO$1006:BP1006),$AO$1006:$BQ$1006,0))&gt;=100000), " ",IF(INDEX($AO$2:$BQ$1001,MATCH(ROWS($AH$2:AH571),$AH$2:$AH$1001,0),MATCH(COLUMNS($AO$1006:BP1006),$AO$1006:$BQ$1006,0)), HYPERLINK("#",""), HYPERLINK(CONCATENATE("#Metadata!", ADDRESS(INDEX($AJ$2:$AJ$1001,MATCH(ROWS($AH$2:AH571),$AH$2:$AH$1001,0),0), INDEX($AO$1004:$BQ$1004,1,MATCH(COLUMNS($AO$1006:BP1006),$AO$1006:$BQ$1006,0)))),"Fix")))</f>
        <v>#N/A</v>
      </c>
      <c r="AD571" s="5" t="e">
        <f ca="1">IF(OR(INDEX($AI$2:$AI$1001,MATCH(ROWS($AH$2:AH571),$AH$2:$AH$1001,0),1)&gt;=100000,INDEX($AO$1005:$BQ$1005,1,MATCH(COLUMNS($AO$1006:BQ1006),$AO$1006:$BQ$1006,0))&gt;=100000), " ",IF(INDEX($AO$2:$BQ$1001,MATCH(ROWS($AH$2:AH571),$AH$2:$AH$1001,0),MATCH(COLUMNS($AO$1006:BQ1006),$AO$1006:$BQ$1006,0)), HYPERLINK("#",""), HYPERLINK(CONCATENATE("#Metadata!", ADDRESS(INDEX($AJ$2:$AJ$1001,MATCH(ROWS($AH$2:AH571),$AH$2:$AH$1001,0),0), INDEX($AO$1004:$BQ$1004,1,MATCH(COLUMNS($AO$1006:BQ1006),$AO$1006:$BQ$1006,0)))),"Fix")))</f>
        <v>#REF!</v>
      </c>
      <c r="AH571">
        <f ca="1"/>
        <v>568</v>
      </c>
      <c r="AI571">
        <v>100571</v>
      </c>
      <c r="AJ571">
        <v>571</v>
      </c>
      <c r="AK571" t="b">
        <f t="shared" si="8"/>
        <v>1</v>
      </c>
      <c r="AL571" t="b">
        <f>COUNTBLANK(Metadata!B571:AD571)=COLUMNS(Metadata!B571:AD571)</f>
        <v>1</v>
      </c>
      <c r="AM571" t="str">
        <v/>
      </c>
      <c r="AO571" t="b">
        <f ca="1">AND(IF(Metadata!B571="",FALSE,TRUE),COUNTIF(Metadata!B:B, Metadata!B571) = 1,NOT(ISERROR(SUMPRODUCT(SEARCH(MID(Metadata!B571,ROW(INDIRECT("1:"&amp;LEN(Metadata!B571))), 1),"0123456789abcdefghijklmnopqrstuvwxyzABCDEFGHIJKLMNOPQRSTUVWXYZ.")))))</f>
        <v>0</v>
      </c>
      <c r="AP571" t="b">
        <f>IF(Metadata!C571="",FALSE,TRUE)</f>
        <v>0</v>
      </c>
      <c r="AQ571" t="b">
        <f>IF(Metadata!D571="",FALSE,TRUE)</f>
        <v>0</v>
      </c>
      <c r="AR571" t="b">
        <f ca="1">OR(AND(IF(Metadata!E571="",FALSE,TRUE),OR(EXACT(Metadata!E571,"not collected"),EXACT(Metadata!E571,"not provided"),EXACT(Metadata!E571,"restricted access"))),AND(IF(Metadata!E571="",FALSE,TRUE),AND(AND(IFERROR(INT(LEFT(Metadata!E571,4))&gt;1900,FALSE),IFERROR(INT(LEFT(Metadata!E571,4))&lt;=YEAR(NOW()),FALSE)), OR(MID(Metadata!E571,5,1)="", AND(AND(MID(Metadata!E571,5,1)="-",IFERROR(INT(MID(Metadata!E571,6,1))&gt;=0,FALSE),IFERROR(INT(MID(Metadata!E571,6,1))&lt;=1,FALSE),NOT(MID(Metadata!E571,7,1)=""),IFERROR(INT(MID(Metadata!E571,6,2))&gt;=1,FALSE),IFERROR(INT(MID(Metadata!E571,6,2))&lt;=12,FALSE)), OR(MID(Metadata!E571,8,1)="", AND(AND(MID(Metadata!E571,8,1)="-",IFERROR(INT(MID(Metadata!E571,9,1))&gt;=0,FALSE),IFERROR(INT(MID(Metadata!E571,9,1))&lt;=3,FALSE),NOT(MID(Metadata!E571,10,1)=""),IFERROR(INT(MID(Metadata!E571,9,2))&gt;=1,FALSE),IFERROR(INT(MID(Metadata!E571,9,2))&lt;=31,FALSE)), OR(MID(Metadata!E571,11,1)="", AND(AND(MID(Metadata!E571,11,1)=" ",IFERROR(INT(MID(Metadata!E571,12,1))&gt;=0,FALSE),IFERROR(INT(MID(Metadata!E571,12,1))&lt;=2,FALSE),NOT(MID(Metadata!E571,13,1)=""),IFERROR(INT(MID(Metadata!E571,12,2))&gt;=0,FALSE),IFERROR(INT(MID(Metadata!E571,12,2))&lt;=23,FALSE)), OR(MID(Metadata!E571,14,1)="", AND(AND(MID(Metadata!E571,14,1)=":",IFERROR(INT(MID(Metadata!E571,15,1))&gt;=0,FALSE),IFERROR(INT(MID(Metadata!E571,15,1))&lt;=5,FALSE),NOT(MID(Metadata!E571,16,1)=""),IFERROR(INT(MID(Metadata!E571,15,2))&gt;=0,FALSE),IFERROR(INT(MID(Metadata!E571,15,2))&lt;=59,FALSE)), OR(MID(Metadata!E571,17,1)="", AND(AND(MID(Metadata!E571,17,1)=":",IFERROR(INT(MID(Metadata!E571,18,1))&gt;=0,FALSE),IFERROR(INT(MID(Metadata!E571,18,1))&lt;=5,FALSE),NOT(MID(Metadata!E571,19,1)=""),IFERROR(INT(MID(Metadata!E571,18,2))&gt;=0,FALSE),IFERROR(INT(MID(Metadata!E571,18,2))&lt;=59,FALSE)), LEN(Metadata!E571)&lt;=19)))))))))))))</f>
        <v>0</v>
      </c>
      <c r="AS571" t="b">
        <f>IF(Metadata!F571="",FALSE,TRUE)</f>
        <v>0</v>
      </c>
      <c r="AT571" t="b">
        <f>OR(AND(IF(Metadata!G571="",FALSE,TRUE),OR(EXACT(Metadata!G571,"not collected"),EXACT(Metadata!G571,"not provided"))),AND(IF(Metadata!G571="",FALSE,TRUE),OR(EXACT(Metadata!G571,"TRUE"),EXACT(Metadata!G571,"FALSE"))))</f>
        <v>0</v>
      </c>
      <c r="AU571" t="b">
        <f>OR(AND(IF(Metadata!H571="",FALSE,TRUE),OR(EXACT(Metadata!H571,"not collected"),EXACT(Metadata!H571,"not provided"),EXACT(Metadata!H571,"restricted access"))),AND(IF(Metadata!H571="",FALSE,ISNUMBER(VALUE(Metadata!H571))),Metadata!H571&gt;=-413))</f>
        <v>0</v>
      </c>
      <c r="AV571" t="b">
        <f>AND(IF(Metadata!I571="",FALSE,TRUE),EXACT(Metadata!I571,"meters"))</f>
        <v>0</v>
      </c>
      <c r="AW571" t="b">
        <f>AND(IF(Metadata!J571="",FALSE,TRUE),EXACT(Metadata!J571,"free-living"))</f>
        <v>0</v>
      </c>
      <c r="AX571" t="b">
        <f>AND(IF(Metadata!K571="",FALSE,TRUE),OR(EXACT(Metadata!K571,"saline"),EXACT(Metadata!K571,"non-saline")))</f>
        <v>0</v>
      </c>
      <c r="AY571" t="b">
        <f>AND(IF(Metadata!L571="",FALSE,TRUE),OR(EXACT(Metadata!L571,"sub-surface (non-saline)"),EXACT(Metadata!L571,"surface (non-saline)"),EXACT(Metadata!L571,"water (non-saline)"),EXACT(Metadata!L571,"soil (non-saline)"),EXACT(Metadata!L571,"aerosol (non-saline)"),EXACT(Metadata!L571,"sediment (non-saline)"),EXACT(Metadata!L571,"surface (saline)"),EXACT(Metadata!L571,"water (saline)"),EXACT(Metadata!L571,"hypersaline (saline)"),EXACT(Metadata!L571,"aerosol (saline)"),EXACT(Metadata!L571,"sediment (saline)")))</f>
        <v>0</v>
      </c>
      <c r="AZ571" t="b">
        <f>IF(Metadata!M571="",FALSE,TRUE)</f>
        <v>0</v>
      </c>
      <c r="BA571" t="b">
        <f>IF(Metadata!N571="",FALSE,TRUE)</f>
        <v>0</v>
      </c>
      <c r="BB571" t="b">
        <f>IF(Metadata!O571="",FALSE,TRUE)</f>
        <v>0</v>
      </c>
      <c r="BC571" t="b">
        <f>AND(IF(Metadata!P571="",FALSE,TRUE),OR(EXACT(Metadata!P571,"air"),EXACT(Metadata!P571,"microbial mat/biofilm"),EXACT(Metadata!P571,"misc environment"),EXACT(Metadata!P571,"sediment"),EXACT(Metadata!P571,"soil"),EXACT(Metadata!P571,"wastewater/sludge"),EXACT(Metadata!P571,"water")))</f>
        <v>0</v>
      </c>
      <c r="BD571" t="b">
        <f>IF(Metadata!Q571="",FALSE,TRUE)</f>
        <v>0</v>
      </c>
      <c r="BE571" t="b">
        <f>IF(Metadata!R571="",FALSE,TRUE)</f>
        <v>0</v>
      </c>
      <c r="BF571" t="b">
        <f>OR(AND(IF(Metadata!S571="",FALSE,TRUE),OR(EXACT(Metadata!S571,"not collected"),EXACT(Metadata!S571,"not provided"),EXACT(Metadata!S571,"restricted access"))),AND(IF(Metadata!S571="",FALSE,ISNUMBER(VALUE(Metadata!S571))),Metadata!S571&gt;=-90,Metadata!S571&lt;=90))</f>
        <v>0</v>
      </c>
      <c r="BG571" t="b">
        <f>AND(IF(Metadata!T571="",FALSE,TRUE),EXACT(Metadata!T571,"Decimal degrees"))</f>
        <v>0</v>
      </c>
      <c r="BH571" t="b">
        <f>OR(AND(IF(Metadata!U571="",FALSE,TRUE),OR(EXACT(Metadata!U571,"not applicable"),EXACT(Metadata!U571,"not collected"))),IF(Metadata!U571="",FALSE,TRUE))</f>
        <v>0</v>
      </c>
      <c r="BI571" t="b">
        <f>OR(AND(IF(Metadata!V571="",FALSE,TRUE),OR(EXACT(Metadata!V571,"not collected"),EXACT(Metadata!V571,"not provided"),EXACT(Metadata!V571,"restricted access"))),AND(IF(Metadata!V571="",FALSE,ISNUMBER(VALUE(Metadata!V571))),Metadata!V571&gt;=-180,Metadata!V571&lt;=180))</f>
        <v>0</v>
      </c>
      <c r="BJ571" t="b">
        <f>AND(IF(Metadata!W571="",FALSE,TRUE),EXACT(Metadata!W571,"Decimal degrees"))</f>
        <v>0</v>
      </c>
      <c r="BK571" t="b">
        <f>IF(Metadata!X571="",FALSE,TRUE)</f>
        <v>0</v>
      </c>
      <c r="BL571" t="b">
        <f>OR(AND(IF(Metadata!Y571="",FALSE,TRUE),OR(EXACT(Metadata!Y571,"not collected"),EXACT(Metadata!Y571,"not provided"),EXACT(Metadata!Y571,"restricted access"))),AND(IF(Metadata!Y571="",FALSE,TRUE),OR(EXACT(Metadata!Y571,"TRUE"),EXACT(Metadata!Y571,"FALSE"))))</f>
        <v>0</v>
      </c>
      <c r="BM571" t="b">
        <f>OR(AND(IF(Metadata!Z571="",FALSE,TRUE),EXACT(Metadata!Z571,"not applicable")),AND(IF(Metadata!Z571="",FALSE,TRUE),OR(EXACT(Metadata!Z571,"beer"),EXACT(Metadata!Z571,"cheese"),EXACT(Metadata!Z571,"fresh water"),EXACT(Metadata!Z571,"marine sediment"),EXACT(Metadata!Z571,"sea water"),EXACT(Metadata!Z571,"sediment"),EXACT(Metadata!Z571,"soil"),EXACT(Metadata!Z571,"waste water"))))</f>
        <v>0</v>
      </c>
      <c r="BN571" t="b">
        <f>AND(IF(Metadata!AA571="",FALSE,TRUE),EXACT(Metadata!AA571,"metagenome"))</f>
        <v>0</v>
      </c>
      <c r="BO571" t="b">
        <f>AND(IF(Metadata!AB571="",FALSE,TRUE),EXACT(Metadata!AB571,"256318"))</f>
        <v>0</v>
      </c>
      <c r="BP571" t="b">
        <f>IF(Metadata!AC571="",FALSE,TRUE)</f>
        <v>0</v>
      </c>
      <c r="BQ571" t="b">
        <f>IF(Metadata!AD571="",FALSE,TRUE)</f>
        <v>0</v>
      </c>
    </row>
    <row r="572" spans="1:69" x14ac:dyDescent="0.2">
      <c r="A572" s="4" t="e">
        <f ca="1">IF(B572=" "," ",HYPERLINK(CONCATENATE("#metadata!",ADDRESS(INDEX($AJ$2:$AJ$1001,MATCH(ROWS($AH$2:AH572),$AH$2:$AH$1001,0),0),2)),INDEX($AM$2:$AM$1001,MATCH(ROWS($AH$2:AH572),$AH$2:$AH$1001,0),0)))</f>
        <v>#N/A</v>
      </c>
      <c r="B572" s="5" t="e">
        <f ca="1">IF(OR(INDEX($AI$2:$AI$1001,MATCH(ROWS($AH$2:AH572),$AH$2:$AH$1001,0),1)&gt;=100000,INDEX($AO$1005:$BQ$1005,1,MATCH(COLUMNS($AO$1006:AO1006),$AO$1006:$BQ$1006,0))&gt;=100000), " ",IF(INDEX($AO$2:$BQ$1001,MATCH(ROWS($AH$2:AH572),$AH$2:$AH$1001,0),MATCH(COLUMNS($AO$1006:AO1006),$AO$1006:$BQ$1006,0)), HYPERLINK("#",""), HYPERLINK(CONCATENATE("#Metadata!", ADDRESS(INDEX($AJ$2:$AJ$1001,MATCH(ROWS($AH$2:AH572),$AH$2:$AH$1001,0),0), INDEX($AO$1004:$BQ$1004,1,MATCH(COLUMNS($AO$1006:AO1006),$AO$1006:$BQ$1006,0)))),"Fix")))</f>
        <v>#N/A</v>
      </c>
      <c r="C572" s="5" t="e">
        <f ca="1">IF(OR(INDEX($AI$2:$AI$1001,MATCH(ROWS($AH$2:AH572),$AH$2:$AH$1001,0),1)&gt;=100000,INDEX($AO$1005:$BQ$1005,1,MATCH(COLUMNS($AO$1006:AP1006),$AO$1006:$BQ$1006,0))&gt;=100000), " ",IF(INDEX($AO$2:$BQ$1001,MATCH(ROWS($AH$2:AH572),$AH$2:$AH$1001,0),MATCH(COLUMNS($AO$1006:AP1006),$AO$1006:$BQ$1006,0)), HYPERLINK("#",""), HYPERLINK(CONCATENATE("#Metadata!", ADDRESS(INDEX($AJ$2:$AJ$1001,MATCH(ROWS($AH$2:AH572),$AH$2:$AH$1001,0),0), INDEX($AO$1004:$BQ$1004,1,MATCH(COLUMNS($AO$1006:AP1006),$AO$1006:$BQ$1006,0)))),"Fix")))</f>
        <v>#N/A</v>
      </c>
      <c r="D572" s="5" t="e">
        <f ca="1">IF(OR(INDEX($AI$2:$AI$1001,MATCH(ROWS($AH$2:AH572),$AH$2:$AH$1001,0),1)&gt;=100000,INDEX($AO$1005:$BQ$1005,1,MATCH(COLUMNS($AO$1006:AQ1006),$AO$1006:$BQ$1006,0))&gt;=100000), " ",IF(INDEX($AO$2:$BQ$1001,MATCH(ROWS($AH$2:AH572),$AH$2:$AH$1001,0),MATCH(COLUMNS($AO$1006:AQ1006),$AO$1006:$BQ$1006,0)), HYPERLINK("#",""), HYPERLINK(CONCATENATE("#Metadata!", ADDRESS(INDEX($AJ$2:$AJ$1001,MATCH(ROWS($AH$2:AH572),$AH$2:$AH$1001,0),0), INDEX($AO$1004:$BQ$1004,1,MATCH(COLUMNS($AO$1006:AQ1006),$AO$1006:$BQ$1006,0)))),"Fix")))</f>
        <v>#N/A</v>
      </c>
      <c r="E572" s="5" t="e">
        <f ca="1">IF(OR(INDEX($AI$2:$AI$1001,MATCH(ROWS($AH$2:AH572),$AH$2:$AH$1001,0),1)&gt;=100000,INDEX($AO$1005:$BQ$1005,1,MATCH(COLUMNS($AO$1006:AR1006),$AO$1006:$BQ$1006,0))&gt;=100000), " ",IF(INDEX($AO$2:$BQ$1001,MATCH(ROWS($AH$2:AH572),$AH$2:$AH$1001,0),MATCH(COLUMNS($AO$1006:AR1006),$AO$1006:$BQ$1006,0)), HYPERLINK("#",""), HYPERLINK(CONCATENATE("#Metadata!", ADDRESS(INDEX($AJ$2:$AJ$1001,MATCH(ROWS($AH$2:AH572),$AH$2:$AH$1001,0),0), INDEX($AO$1004:$BQ$1004,1,MATCH(COLUMNS($AO$1006:AR1006),$AO$1006:$BQ$1006,0)))),"Fix")))</f>
        <v>#N/A</v>
      </c>
      <c r="F572" s="5" t="e">
        <f ca="1">IF(OR(INDEX($AI$2:$AI$1001,MATCH(ROWS($AH$2:AH572),$AH$2:$AH$1001,0),1)&gt;=100000,INDEX($AO$1005:$BQ$1005,1,MATCH(COLUMNS($AO$1006:AS1006),$AO$1006:$BQ$1006,0))&gt;=100000), " ",IF(INDEX($AO$2:$BQ$1001,MATCH(ROWS($AH$2:AH572),$AH$2:$AH$1001,0),MATCH(COLUMNS($AO$1006:AS1006),$AO$1006:$BQ$1006,0)), HYPERLINK("#",""), HYPERLINK(CONCATENATE("#Metadata!", ADDRESS(INDEX($AJ$2:$AJ$1001,MATCH(ROWS($AH$2:AH572),$AH$2:$AH$1001,0),0), INDEX($AO$1004:$BQ$1004,1,MATCH(COLUMNS($AO$1006:AS1006),$AO$1006:$BQ$1006,0)))),"Fix")))</f>
        <v>#N/A</v>
      </c>
      <c r="G572" s="5" t="e">
        <f ca="1">IF(OR(INDEX($AI$2:$AI$1001,MATCH(ROWS($AH$2:AH572),$AH$2:$AH$1001,0),1)&gt;=100000,INDEX($AO$1005:$BQ$1005,1,MATCH(COLUMNS($AO$1006:AT1006),$AO$1006:$BQ$1006,0))&gt;=100000), " ",IF(INDEX($AO$2:$BQ$1001,MATCH(ROWS($AH$2:AH572),$AH$2:$AH$1001,0),MATCH(COLUMNS($AO$1006:AT1006),$AO$1006:$BQ$1006,0)), HYPERLINK("#",""), HYPERLINK(CONCATENATE("#Metadata!", ADDRESS(INDEX($AJ$2:$AJ$1001,MATCH(ROWS($AH$2:AH572),$AH$2:$AH$1001,0),0), INDEX($AO$1004:$BQ$1004,1,MATCH(COLUMNS($AO$1006:AT1006),$AO$1006:$BQ$1006,0)))),"Fix")))</f>
        <v>#N/A</v>
      </c>
      <c r="H572" s="5" t="e">
        <f ca="1">IF(OR(INDEX($AI$2:$AI$1001,MATCH(ROWS($AH$2:AH572),$AH$2:$AH$1001,0),1)&gt;=100000,INDEX($AO$1005:$BQ$1005,1,MATCH(COLUMNS($AO$1006:AU1006),$AO$1006:$BQ$1006,0))&gt;=100000), " ",IF(INDEX($AO$2:$BQ$1001,MATCH(ROWS($AH$2:AH572),$AH$2:$AH$1001,0),MATCH(COLUMNS($AO$1006:AU1006),$AO$1006:$BQ$1006,0)), HYPERLINK("#",""), HYPERLINK(CONCATENATE("#Metadata!", ADDRESS(INDEX($AJ$2:$AJ$1001,MATCH(ROWS($AH$2:AH572),$AH$2:$AH$1001,0),0), INDEX($AO$1004:$BQ$1004,1,MATCH(COLUMNS($AO$1006:AU1006),$AO$1006:$BQ$1006,0)))),"Fix")))</f>
        <v>#N/A</v>
      </c>
      <c r="I572" s="5" t="e">
        <f ca="1">IF(OR(INDEX($AI$2:$AI$1001,MATCH(ROWS($AH$2:AH572),$AH$2:$AH$1001,0),1)&gt;=100000,INDEX($AO$1005:$BQ$1005,1,MATCH(COLUMNS($AO$1006:AV1006),$AO$1006:$BQ$1006,0))&gt;=100000), " ",IF(INDEX($AO$2:$BQ$1001,MATCH(ROWS($AH$2:AH572),$AH$2:$AH$1001,0),MATCH(COLUMNS($AO$1006:AV1006),$AO$1006:$BQ$1006,0)), HYPERLINK("#",""), HYPERLINK(CONCATENATE("#Metadata!", ADDRESS(INDEX($AJ$2:$AJ$1001,MATCH(ROWS($AH$2:AH572),$AH$2:$AH$1001,0),0), INDEX($AO$1004:$BQ$1004,1,MATCH(COLUMNS($AO$1006:AV1006),$AO$1006:$BQ$1006,0)))),"Fix")))</f>
        <v>#N/A</v>
      </c>
      <c r="J572" s="5" t="e">
        <f ca="1">IF(OR(INDEX($AI$2:$AI$1001,MATCH(ROWS($AH$2:AH572),$AH$2:$AH$1001,0),1)&gt;=100000,INDEX($AO$1005:$BQ$1005,1,MATCH(COLUMNS($AO$1006:AW1006),$AO$1006:$BQ$1006,0))&gt;=100000), " ",IF(INDEX($AO$2:$BQ$1001,MATCH(ROWS($AH$2:AH572),$AH$2:$AH$1001,0),MATCH(COLUMNS($AO$1006:AW1006),$AO$1006:$BQ$1006,0)), HYPERLINK("#",""), HYPERLINK(CONCATENATE("#Metadata!", ADDRESS(INDEX($AJ$2:$AJ$1001,MATCH(ROWS($AH$2:AH572),$AH$2:$AH$1001,0),0), INDEX($AO$1004:$BQ$1004,1,MATCH(COLUMNS($AO$1006:AW1006),$AO$1006:$BQ$1006,0)))),"Fix")))</f>
        <v>#N/A</v>
      </c>
      <c r="K572" s="5" t="e">
        <f ca="1">IF(OR(INDEX($AI$2:$AI$1001,MATCH(ROWS($AH$2:AH572),$AH$2:$AH$1001,0),1)&gt;=100000,INDEX($AO$1005:$BQ$1005,1,MATCH(COLUMNS($AO$1006:AX1006),$AO$1006:$BQ$1006,0))&gt;=100000), " ",IF(INDEX($AO$2:$BQ$1001,MATCH(ROWS($AH$2:AH572),$AH$2:$AH$1001,0),MATCH(COLUMNS($AO$1006:AX1006),$AO$1006:$BQ$1006,0)), HYPERLINK("#",""), HYPERLINK(CONCATENATE("#Metadata!", ADDRESS(INDEX($AJ$2:$AJ$1001,MATCH(ROWS($AH$2:AH572),$AH$2:$AH$1001,0),0), INDEX($AO$1004:$BQ$1004,1,MATCH(COLUMNS($AO$1006:AX1006),$AO$1006:$BQ$1006,0)))),"Fix")))</f>
        <v>#N/A</v>
      </c>
      <c r="L572" s="5" t="e">
        <f ca="1">IF(OR(INDEX($AI$2:$AI$1001,MATCH(ROWS($AH$2:AH572),$AH$2:$AH$1001,0),1)&gt;=100000,INDEX($AO$1005:$BQ$1005,1,MATCH(COLUMNS($AO$1006:AY1006),$AO$1006:$BQ$1006,0))&gt;=100000), " ",IF(INDEX($AO$2:$BQ$1001,MATCH(ROWS($AH$2:AH572),$AH$2:$AH$1001,0),MATCH(COLUMNS($AO$1006:AY1006),$AO$1006:$BQ$1006,0)), HYPERLINK("#",""), HYPERLINK(CONCATENATE("#Metadata!", ADDRESS(INDEX($AJ$2:$AJ$1001,MATCH(ROWS($AH$2:AH572),$AH$2:$AH$1001,0),0), INDEX($AO$1004:$BQ$1004,1,MATCH(COLUMNS($AO$1006:AY1006),$AO$1006:$BQ$1006,0)))),"Fix")))</f>
        <v>#N/A</v>
      </c>
      <c r="M572" s="5" t="e">
        <f ca="1">IF(OR(INDEX($AI$2:$AI$1001,MATCH(ROWS($AH$2:AH572),$AH$2:$AH$1001,0),1)&gt;=100000,INDEX($AO$1005:$BQ$1005,1,MATCH(COLUMNS($AO$1006:AZ1006),$AO$1006:$BQ$1006,0))&gt;=100000), " ",IF(INDEX($AO$2:$BQ$1001,MATCH(ROWS($AH$2:AH572),$AH$2:$AH$1001,0),MATCH(COLUMNS($AO$1006:AZ1006),$AO$1006:$BQ$1006,0)), HYPERLINK("#",""), HYPERLINK(CONCATENATE("#Metadata!", ADDRESS(INDEX($AJ$2:$AJ$1001,MATCH(ROWS($AH$2:AH572),$AH$2:$AH$1001,0),0), INDEX($AO$1004:$BQ$1004,1,MATCH(COLUMNS($AO$1006:AZ1006),$AO$1006:$BQ$1006,0)))),"Fix")))</f>
        <v>#N/A</v>
      </c>
      <c r="N572" s="5" t="e">
        <f ca="1">IF(OR(INDEX($AI$2:$AI$1001,MATCH(ROWS($AH$2:AH572),$AH$2:$AH$1001,0),1)&gt;=100000,INDEX($AO$1005:$BQ$1005,1,MATCH(COLUMNS($AO$1006:BA1006),$AO$1006:$BQ$1006,0))&gt;=100000), " ",IF(INDEX($AO$2:$BQ$1001,MATCH(ROWS($AH$2:AH572),$AH$2:$AH$1001,0),MATCH(COLUMNS($AO$1006:BA1006),$AO$1006:$BQ$1006,0)), HYPERLINK("#",""), HYPERLINK(CONCATENATE("#Metadata!", ADDRESS(INDEX($AJ$2:$AJ$1001,MATCH(ROWS($AH$2:AH572),$AH$2:$AH$1001,0),0), INDEX($AO$1004:$BQ$1004,1,MATCH(COLUMNS($AO$1006:BA1006),$AO$1006:$BQ$1006,0)))),"Fix")))</f>
        <v>#N/A</v>
      </c>
      <c r="O572" s="5" t="e">
        <f ca="1">IF(OR(INDEX($AI$2:$AI$1001,MATCH(ROWS($AH$2:AH572),$AH$2:$AH$1001,0),1)&gt;=100000,INDEX($AO$1005:$BQ$1005,1,MATCH(COLUMNS($AO$1006:BB1006),$AO$1006:$BQ$1006,0))&gt;=100000), " ",IF(INDEX($AO$2:$BQ$1001,MATCH(ROWS($AH$2:AH572),$AH$2:$AH$1001,0),MATCH(COLUMNS($AO$1006:BB1006),$AO$1006:$BQ$1006,0)), HYPERLINK("#",""), HYPERLINK(CONCATENATE("#Metadata!", ADDRESS(INDEX($AJ$2:$AJ$1001,MATCH(ROWS($AH$2:AH572),$AH$2:$AH$1001,0),0), INDEX($AO$1004:$BQ$1004,1,MATCH(COLUMNS($AO$1006:BB1006),$AO$1006:$BQ$1006,0)))),"Fix")))</f>
        <v>#N/A</v>
      </c>
      <c r="P572" s="5" t="e">
        <f ca="1">IF(OR(INDEX($AI$2:$AI$1001,MATCH(ROWS($AH$2:AH572),$AH$2:$AH$1001,0),1)&gt;=100000,INDEX($AO$1005:$BQ$1005,1,MATCH(COLUMNS($AO$1006:BC1006),$AO$1006:$BQ$1006,0))&gt;=100000), " ",IF(INDEX($AO$2:$BQ$1001,MATCH(ROWS($AH$2:AH572),$AH$2:$AH$1001,0),MATCH(COLUMNS($AO$1006:BC1006),$AO$1006:$BQ$1006,0)), HYPERLINK("#",""), HYPERLINK(CONCATENATE("#Metadata!", ADDRESS(INDEX($AJ$2:$AJ$1001,MATCH(ROWS($AH$2:AH572),$AH$2:$AH$1001,0),0), INDEX($AO$1004:$BQ$1004,1,MATCH(COLUMNS($AO$1006:BC1006),$AO$1006:$BQ$1006,0)))),"Fix")))</f>
        <v>#N/A</v>
      </c>
      <c r="Q572" s="5" t="e">
        <f ca="1">IF(OR(INDEX($AI$2:$AI$1001,MATCH(ROWS($AH$2:AH572),$AH$2:$AH$1001,0),1)&gt;=100000,INDEX($AO$1005:$BQ$1005,1,MATCH(COLUMNS($AO$1006:BD1006),$AO$1006:$BQ$1006,0))&gt;=100000), " ",IF(INDEX($AO$2:$BQ$1001,MATCH(ROWS($AH$2:AH572),$AH$2:$AH$1001,0),MATCH(COLUMNS($AO$1006:BD1006),$AO$1006:$BQ$1006,0)), HYPERLINK("#",""), HYPERLINK(CONCATENATE("#Metadata!", ADDRESS(INDEX($AJ$2:$AJ$1001,MATCH(ROWS($AH$2:AH572),$AH$2:$AH$1001,0),0), INDEX($AO$1004:$BQ$1004,1,MATCH(COLUMNS($AO$1006:BD1006),$AO$1006:$BQ$1006,0)))),"Fix")))</f>
        <v>#N/A</v>
      </c>
      <c r="R572" s="5" t="e">
        <f ca="1">IF(OR(INDEX($AI$2:$AI$1001,MATCH(ROWS($AH$2:AH572),$AH$2:$AH$1001,0),1)&gt;=100000,INDEX($AO$1005:$BQ$1005,1,MATCH(COLUMNS($AO$1006:BE1006),$AO$1006:$BQ$1006,0))&gt;=100000), " ",IF(INDEX($AO$2:$BQ$1001,MATCH(ROWS($AH$2:AH572),$AH$2:$AH$1001,0),MATCH(COLUMNS($AO$1006:BE1006),$AO$1006:$BQ$1006,0)), HYPERLINK("#",""), HYPERLINK(CONCATENATE("#Metadata!", ADDRESS(INDEX($AJ$2:$AJ$1001,MATCH(ROWS($AH$2:AH572),$AH$2:$AH$1001,0),0), INDEX($AO$1004:$BQ$1004,1,MATCH(COLUMNS($AO$1006:BE1006),$AO$1006:$BQ$1006,0)))),"Fix")))</f>
        <v>#N/A</v>
      </c>
      <c r="S572" s="5" t="e">
        <f ca="1">IF(OR(INDEX($AI$2:$AI$1001,MATCH(ROWS($AH$2:AH572),$AH$2:$AH$1001,0),1)&gt;=100000,INDEX($AO$1005:$BQ$1005,1,MATCH(COLUMNS($AO$1006:BF1006),$AO$1006:$BQ$1006,0))&gt;=100000), " ",IF(INDEX($AO$2:$BQ$1001,MATCH(ROWS($AH$2:AH572),$AH$2:$AH$1001,0),MATCH(COLUMNS($AO$1006:BF1006),$AO$1006:$BQ$1006,0)), HYPERLINK("#",""), HYPERLINK(CONCATENATE("#Metadata!", ADDRESS(INDEX($AJ$2:$AJ$1001,MATCH(ROWS($AH$2:AH572),$AH$2:$AH$1001,0),0), INDEX($AO$1004:$BQ$1004,1,MATCH(COLUMNS($AO$1006:BF1006),$AO$1006:$BQ$1006,0)))),"Fix")))</f>
        <v>#N/A</v>
      </c>
      <c r="T572" s="5" t="e">
        <f ca="1">IF(OR(INDEX($AI$2:$AI$1001,MATCH(ROWS($AH$2:AH572),$AH$2:$AH$1001,0),1)&gt;=100000,INDEX($AO$1005:$BQ$1005,1,MATCH(COLUMNS($AO$1006:BG1006),$AO$1006:$BQ$1006,0))&gt;=100000), " ",IF(INDEX($AO$2:$BQ$1001,MATCH(ROWS($AH$2:AH572),$AH$2:$AH$1001,0),MATCH(COLUMNS($AO$1006:BG1006),$AO$1006:$BQ$1006,0)), HYPERLINK("#",""), HYPERLINK(CONCATENATE("#Metadata!", ADDRESS(INDEX($AJ$2:$AJ$1001,MATCH(ROWS($AH$2:AH572),$AH$2:$AH$1001,0),0), INDEX($AO$1004:$BQ$1004,1,MATCH(COLUMNS($AO$1006:BG1006),$AO$1006:$BQ$1006,0)))),"Fix")))</f>
        <v>#N/A</v>
      </c>
      <c r="U572" s="5" t="e">
        <f ca="1">IF(OR(INDEX($AI$2:$AI$1001,MATCH(ROWS($AH$2:AH572),$AH$2:$AH$1001,0),1)&gt;=100000,INDEX($AO$1005:$BQ$1005,1,MATCH(COLUMNS($AO$1006:BH1006),$AO$1006:$BQ$1006,0))&gt;=100000), " ",IF(INDEX($AO$2:$BQ$1001,MATCH(ROWS($AH$2:AH572),$AH$2:$AH$1001,0),MATCH(COLUMNS($AO$1006:BH1006),$AO$1006:$BQ$1006,0)), HYPERLINK("#",""), HYPERLINK(CONCATENATE("#Metadata!", ADDRESS(INDEX($AJ$2:$AJ$1001,MATCH(ROWS($AH$2:AH572),$AH$2:$AH$1001,0),0), INDEX($AO$1004:$BQ$1004,1,MATCH(COLUMNS($AO$1006:BH1006),$AO$1006:$BQ$1006,0)))),"Fix")))</f>
        <v>#N/A</v>
      </c>
      <c r="V572" s="5" t="e">
        <f ca="1">IF(OR(INDEX($AI$2:$AI$1001,MATCH(ROWS($AH$2:AH572),$AH$2:$AH$1001,0),1)&gt;=100000,INDEX($AO$1005:$BQ$1005,1,MATCH(COLUMNS($AO$1006:BI1006),$AO$1006:$BQ$1006,0))&gt;=100000), " ",IF(INDEX($AO$2:$BQ$1001,MATCH(ROWS($AH$2:AH572),$AH$2:$AH$1001,0),MATCH(COLUMNS($AO$1006:BI1006),$AO$1006:$BQ$1006,0)), HYPERLINK("#",""), HYPERLINK(CONCATENATE("#Metadata!", ADDRESS(INDEX($AJ$2:$AJ$1001,MATCH(ROWS($AH$2:AH572),$AH$2:$AH$1001,0),0), INDEX($AO$1004:$BQ$1004,1,MATCH(COLUMNS($AO$1006:BI1006),$AO$1006:$BQ$1006,0)))),"Fix")))</f>
        <v>#N/A</v>
      </c>
      <c r="W572" s="5" t="e">
        <f ca="1">IF(OR(INDEX($AI$2:$AI$1001,MATCH(ROWS($AH$2:AH572),$AH$2:$AH$1001,0),1)&gt;=100000,INDEX($AO$1005:$BQ$1005,1,MATCH(COLUMNS($AO$1006:BJ1006),$AO$1006:$BQ$1006,0))&gt;=100000), " ",IF(INDEX($AO$2:$BQ$1001,MATCH(ROWS($AH$2:AH572),$AH$2:$AH$1001,0),MATCH(COLUMNS($AO$1006:BJ1006),$AO$1006:$BQ$1006,0)), HYPERLINK("#",""), HYPERLINK(CONCATENATE("#Metadata!", ADDRESS(INDEX($AJ$2:$AJ$1001,MATCH(ROWS($AH$2:AH572),$AH$2:$AH$1001,0),0), INDEX($AO$1004:$BQ$1004,1,MATCH(COLUMNS($AO$1006:BJ1006),$AO$1006:$BQ$1006,0)))),"Fix")))</f>
        <v>#N/A</v>
      </c>
      <c r="X572" s="5" t="e">
        <f ca="1">IF(OR(INDEX($AI$2:$AI$1001,MATCH(ROWS($AH$2:AH572),$AH$2:$AH$1001,0),1)&gt;=100000,INDEX($AO$1005:$BQ$1005,1,MATCH(COLUMNS($AO$1006:BK1006),$AO$1006:$BQ$1006,0))&gt;=100000), " ",IF(INDEX($AO$2:$BQ$1001,MATCH(ROWS($AH$2:AH572),$AH$2:$AH$1001,0),MATCH(COLUMNS($AO$1006:BK1006),$AO$1006:$BQ$1006,0)), HYPERLINK("#",""), HYPERLINK(CONCATENATE("#Metadata!", ADDRESS(INDEX($AJ$2:$AJ$1001,MATCH(ROWS($AH$2:AH572),$AH$2:$AH$1001,0),0), INDEX($AO$1004:$BQ$1004,1,MATCH(COLUMNS($AO$1006:BK1006),$AO$1006:$BQ$1006,0)))),"Fix")))</f>
        <v>#N/A</v>
      </c>
      <c r="Y572" s="5" t="e">
        <f ca="1">IF(OR(INDEX($AI$2:$AI$1001,MATCH(ROWS($AH$2:AH572),$AH$2:$AH$1001,0),1)&gt;=100000,INDEX($AO$1005:$BQ$1005,1,MATCH(COLUMNS($AO$1006:BL1006),$AO$1006:$BQ$1006,0))&gt;=100000), " ",IF(INDEX($AO$2:$BQ$1001,MATCH(ROWS($AH$2:AH572),$AH$2:$AH$1001,0),MATCH(COLUMNS($AO$1006:BL1006),$AO$1006:$BQ$1006,0)), HYPERLINK("#",""), HYPERLINK(CONCATENATE("#Metadata!", ADDRESS(INDEX($AJ$2:$AJ$1001,MATCH(ROWS($AH$2:AH572),$AH$2:$AH$1001,0),0), INDEX($AO$1004:$BQ$1004,1,MATCH(COLUMNS($AO$1006:BL1006),$AO$1006:$BQ$1006,0)))),"Fix")))</f>
        <v>#N/A</v>
      </c>
      <c r="Z572" s="5" t="e">
        <f ca="1">IF(OR(INDEX($AI$2:$AI$1001,MATCH(ROWS($AH$2:AH572),$AH$2:$AH$1001,0),1)&gt;=100000,INDEX($AO$1005:$BQ$1005,1,MATCH(COLUMNS($AO$1006:BM1006),$AO$1006:$BQ$1006,0))&gt;=100000), " ",IF(INDEX($AO$2:$BQ$1001,MATCH(ROWS($AH$2:AH572),$AH$2:$AH$1001,0),MATCH(COLUMNS($AO$1006:BM1006),$AO$1006:$BQ$1006,0)), HYPERLINK("#",""), HYPERLINK(CONCATENATE("#Metadata!", ADDRESS(INDEX($AJ$2:$AJ$1001,MATCH(ROWS($AH$2:AH572),$AH$2:$AH$1001,0),0), INDEX($AO$1004:$BQ$1004,1,MATCH(COLUMNS($AO$1006:BM1006),$AO$1006:$BQ$1006,0)))),"Fix")))</f>
        <v>#N/A</v>
      </c>
      <c r="AA572" s="5" t="e">
        <f ca="1">IF(OR(INDEX($AI$2:$AI$1001,MATCH(ROWS($AH$2:AH572),$AH$2:$AH$1001,0),1)&gt;=100000,INDEX($AO$1005:$BQ$1005,1,MATCH(COLUMNS($AO$1006:BN1006),$AO$1006:$BQ$1006,0))&gt;=100000), " ",IF(INDEX($AO$2:$BQ$1001,MATCH(ROWS($AH$2:AH572),$AH$2:$AH$1001,0),MATCH(COLUMNS($AO$1006:BN1006),$AO$1006:$BQ$1006,0)), HYPERLINK("#",""), HYPERLINK(CONCATENATE("#Metadata!", ADDRESS(INDEX($AJ$2:$AJ$1001,MATCH(ROWS($AH$2:AH572),$AH$2:$AH$1001,0),0), INDEX($AO$1004:$BQ$1004,1,MATCH(COLUMNS($AO$1006:BN1006),$AO$1006:$BQ$1006,0)))),"Fix")))</f>
        <v>#N/A</v>
      </c>
      <c r="AB572" s="5" t="e">
        <f ca="1">IF(OR(INDEX($AI$2:$AI$1001,MATCH(ROWS($AH$2:AH572),$AH$2:$AH$1001,0),1)&gt;=100000,INDEX($AO$1005:$BQ$1005,1,MATCH(COLUMNS($AO$1006:BO1006),$AO$1006:$BQ$1006,0))&gt;=100000), " ",IF(INDEX($AO$2:$BQ$1001,MATCH(ROWS($AH$2:AH572),$AH$2:$AH$1001,0),MATCH(COLUMNS($AO$1006:BO1006),$AO$1006:$BQ$1006,0)), HYPERLINK("#",""), HYPERLINK(CONCATENATE("#Metadata!", ADDRESS(INDEX($AJ$2:$AJ$1001,MATCH(ROWS($AH$2:AH572),$AH$2:$AH$1001,0),0), INDEX($AO$1004:$BQ$1004,1,MATCH(COLUMNS($AO$1006:BO1006),$AO$1006:$BQ$1006,0)))),"Fix")))</f>
        <v>#N/A</v>
      </c>
      <c r="AC572" s="5" t="e">
        <f ca="1">IF(OR(INDEX($AI$2:$AI$1001,MATCH(ROWS($AH$2:AH572),$AH$2:$AH$1001,0),1)&gt;=100000,INDEX($AO$1005:$BQ$1005,1,MATCH(COLUMNS($AO$1006:BP1006),$AO$1006:$BQ$1006,0))&gt;=100000), " ",IF(INDEX($AO$2:$BQ$1001,MATCH(ROWS($AH$2:AH572),$AH$2:$AH$1001,0),MATCH(COLUMNS($AO$1006:BP1006),$AO$1006:$BQ$1006,0)), HYPERLINK("#",""), HYPERLINK(CONCATENATE("#Metadata!", ADDRESS(INDEX($AJ$2:$AJ$1001,MATCH(ROWS($AH$2:AH572),$AH$2:$AH$1001,0),0), INDEX($AO$1004:$BQ$1004,1,MATCH(COLUMNS($AO$1006:BP1006),$AO$1006:$BQ$1006,0)))),"Fix")))</f>
        <v>#N/A</v>
      </c>
      <c r="AD572" s="5" t="e">
        <f ca="1">IF(OR(INDEX($AI$2:$AI$1001,MATCH(ROWS($AH$2:AH572),$AH$2:$AH$1001,0),1)&gt;=100000,INDEX($AO$1005:$BQ$1005,1,MATCH(COLUMNS($AO$1006:BQ1006),$AO$1006:$BQ$1006,0))&gt;=100000), " ",IF(INDEX($AO$2:$BQ$1001,MATCH(ROWS($AH$2:AH572),$AH$2:$AH$1001,0),MATCH(COLUMNS($AO$1006:BQ1006),$AO$1006:$BQ$1006,0)), HYPERLINK("#",""), HYPERLINK(CONCATENATE("#Metadata!", ADDRESS(INDEX($AJ$2:$AJ$1001,MATCH(ROWS($AH$2:AH572),$AH$2:$AH$1001,0),0), INDEX($AO$1004:$BQ$1004,1,MATCH(COLUMNS($AO$1006:BQ1006),$AO$1006:$BQ$1006,0)))),"Fix")))</f>
        <v>#REF!</v>
      </c>
      <c r="AH572">
        <f ca="1"/>
        <v>569</v>
      </c>
      <c r="AI572">
        <v>100572</v>
      </c>
      <c r="AJ572">
        <v>572</v>
      </c>
      <c r="AK572" t="b">
        <f t="shared" si="8"/>
        <v>1</v>
      </c>
      <c r="AL572" t="b">
        <f>COUNTBLANK(Metadata!B572:AD572)=COLUMNS(Metadata!B572:AD572)</f>
        <v>1</v>
      </c>
      <c r="AM572" t="str">
        <v/>
      </c>
      <c r="AO572" t="b">
        <f ca="1">AND(IF(Metadata!B572="",FALSE,TRUE),COUNTIF(Metadata!B:B, Metadata!B572) = 1,NOT(ISERROR(SUMPRODUCT(SEARCH(MID(Metadata!B572,ROW(INDIRECT("1:"&amp;LEN(Metadata!B572))), 1),"0123456789abcdefghijklmnopqrstuvwxyzABCDEFGHIJKLMNOPQRSTUVWXYZ.")))))</f>
        <v>0</v>
      </c>
      <c r="AP572" t="b">
        <f>IF(Metadata!C572="",FALSE,TRUE)</f>
        <v>0</v>
      </c>
      <c r="AQ572" t="b">
        <f>IF(Metadata!D572="",FALSE,TRUE)</f>
        <v>0</v>
      </c>
      <c r="AR572" t="b">
        <f ca="1">OR(AND(IF(Metadata!E572="",FALSE,TRUE),OR(EXACT(Metadata!E572,"not collected"),EXACT(Metadata!E572,"not provided"),EXACT(Metadata!E572,"restricted access"))),AND(IF(Metadata!E572="",FALSE,TRUE),AND(AND(IFERROR(INT(LEFT(Metadata!E572,4))&gt;1900,FALSE),IFERROR(INT(LEFT(Metadata!E572,4))&lt;=YEAR(NOW()),FALSE)), OR(MID(Metadata!E572,5,1)="", AND(AND(MID(Metadata!E572,5,1)="-",IFERROR(INT(MID(Metadata!E572,6,1))&gt;=0,FALSE),IFERROR(INT(MID(Metadata!E572,6,1))&lt;=1,FALSE),NOT(MID(Metadata!E572,7,1)=""),IFERROR(INT(MID(Metadata!E572,6,2))&gt;=1,FALSE),IFERROR(INT(MID(Metadata!E572,6,2))&lt;=12,FALSE)), OR(MID(Metadata!E572,8,1)="", AND(AND(MID(Metadata!E572,8,1)="-",IFERROR(INT(MID(Metadata!E572,9,1))&gt;=0,FALSE),IFERROR(INT(MID(Metadata!E572,9,1))&lt;=3,FALSE),NOT(MID(Metadata!E572,10,1)=""),IFERROR(INT(MID(Metadata!E572,9,2))&gt;=1,FALSE),IFERROR(INT(MID(Metadata!E572,9,2))&lt;=31,FALSE)), OR(MID(Metadata!E572,11,1)="", AND(AND(MID(Metadata!E572,11,1)=" ",IFERROR(INT(MID(Metadata!E572,12,1))&gt;=0,FALSE),IFERROR(INT(MID(Metadata!E572,12,1))&lt;=2,FALSE),NOT(MID(Metadata!E572,13,1)=""),IFERROR(INT(MID(Metadata!E572,12,2))&gt;=0,FALSE),IFERROR(INT(MID(Metadata!E572,12,2))&lt;=23,FALSE)), OR(MID(Metadata!E572,14,1)="", AND(AND(MID(Metadata!E572,14,1)=":",IFERROR(INT(MID(Metadata!E572,15,1))&gt;=0,FALSE),IFERROR(INT(MID(Metadata!E572,15,1))&lt;=5,FALSE),NOT(MID(Metadata!E572,16,1)=""),IFERROR(INT(MID(Metadata!E572,15,2))&gt;=0,FALSE),IFERROR(INT(MID(Metadata!E572,15,2))&lt;=59,FALSE)), OR(MID(Metadata!E572,17,1)="", AND(AND(MID(Metadata!E572,17,1)=":",IFERROR(INT(MID(Metadata!E572,18,1))&gt;=0,FALSE),IFERROR(INT(MID(Metadata!E572,18,1))&lt;=5,FALSE),NOT(MID(Metadata!E572,19,1)=""),IFERROR(INT(MID(Metadata!E572,18,2))&gt;=0,FALSE),IFERROR(INT(MID(Metadata!E572,18,2))&lt;=59,FALSE)), LEN(Metadata!E572)&lt;=19)))))))))))))</f>
        <v>0</v>
      </c>
      <c r="AS572" t="b">
        <f>IF(Metadata!F572="",FALSE,TRUE)</f>
        <v>0</v>
      </c>
      <c r="AT572" t="b">
        <f>OR(AND(IF(Metadata!G572="",FALSE,TRUE),OR(EXACT(Metadata!G572,"not collected"),EXACT(Metadata!G572,"not provided"))),AND(IF(Metadata!G572="",FALSE,TRUE),OR(EXACT(Metadata!G572,"TRUE"),EXACT(Metadata!G572,"FALSE"))))</f>
        <v>0</v>
      </c>
      <c r="AU572" t="b">
        <f>OR(AND(IF(Metadata!H572="",FALSE,TRUE),OR(EXACT(Metadata!H572,"not collected"),EXACT(Metadata!H572,"not provided"),EXACT(Metadata!H572,"restricted access"))),AND(IF(Metadata!H572="",FALSE,ISNUMBER(VALUE(Metadata!H572))),Metadata!H572&gt;=-413))</f>
        <v>0</v>
      </c>
      <c r="AV572" t="b">
        <f>AND(IF(Metadata!I572="",FALSE,TRUE),EXACT(Metadata!I572,"meters"))</f>
        <v>0</v>
      </c>
      <c r="AW572" t="b">
        <f>AND(IF(Metadata!J572="",FALSE,TRUE),EXACT(Metadata!J572,"free-living"))</f>
        <v>0</v>
      </c>
      <c r="AX572" t="b">
        <f>AND(IF(Metadata!K572="",FALSE,TRUE),OR(EXACT(Metadata!K572,"saline"),EXACT(Metadata!K572,"non-saline")))</f>
        <v>0</v>
      </c>
      <c r="AY572" t="b">
        <f>AND(IF(Metadata!L572="",FALSE,TRUE),OR(EXACT(Metadata!L572,"sub-surface (non-saline)"),EXACT(Metadata!L572,"surface (non-saline)"),EXACT(Metadata!L572,"water (non-saline)"),EXACT(Metadata!L572,"soil (non-saline)"),EXACT(Metadata!L572,"aerosol (non-saline)"),EXACT(Metadata!L572,"sediment (non-saline)"),EXACT(Metadata!L572,"surface (saline)"),EXACT(Metadata!L572,"water (saline)"),EXACT(Metadata!L572,"hypersaline (saline)"),EXACT(Metadata!L572,"aerosol (saline)"),EXACT(Metadata!L572,"sediment (saline)")))</f>
        <v>0</v>
      </c>
      <c r="AZ572" t="b">
        <f>IF(Metadata!M572="",FALSE,TRUE)</f>
        <v>0</v>
      </c>
      <c r="BA572" t="b">
        <f>IF(Metadata!N572="",FALSE,TRUE)</f>
        <v>0</v>
      </c>
      <c r="BB572" t="b">
        <f>IF(Metadata!O572="",FALSE,TRUE)</f>
        <v>0</v>
      </c>
      <c r="BC572" t="b">
        <f>AND(IF(Metadata!P572="",FALSE,TRUE),OR(EXACT(Metadata!P572,"air"),EXACT(Metadata!P572,"microbial mat/biofilm"),EXACT(Metadata!P572,"misc environment"),EXACT(Metadata!P572,"sediment"),EXACT(Metadata!P572,"soil"),EXACT(Metadata!P572,"wastewater/sludge"),EXACT(Metadata!P572,"water")))</f>
        <v>0</v>
      </c>
      <c r="BD572" t="b">
        <f>IF(Metadata!Q572="",FALSE,TRUE)</f>
        <v>0</v>
      </c>
      <c r="BE572" t="b">
        <f>IF(Metadata!R572="",FALSE,TRUE)</f>
        <v>0</v>
      </c>
      <c r="BF572" t="b">
        <f>OR(AND(IF(Metadata!S572="",FALSE,TRUE),OR(EXACT(Metadata!S572,"not collected"),EXACT(Metadata!S572,"not provided"),EXACT(Metadata!S572,"restricted access"))),AND(IF(Metadata!S572="",FALSE,ISNUMBER(VALUE(Metadata!S572))),Metadata!S572&gt;=-90,Metadata!S572&lt;=90))</f>
        <v>0</v>
      </c>
      <c r="BG572" t="b">
        <f>AND(IF(Metadata!T572="",FALSE,TRUE),EXACT(Metadata!T572,"Decimal degrees"))</f>
        <v>0</v>
      </c>
      <c r="BH572" t="b">
        <f>OR(AND(IF(Metadata!U572="",FALSE,TRUE),OR(EXACT(Metadata!U572,"not applicable"),EXACT(Metadata!U572,"not collected"))),IF(Metadata!U572="",FALSE,TRUE))</f>
        <v>0</v>
      </c>
      <c r="BI572" t="b">
        <f>OR(AND(IF(Metadata!V572="",FALSE,TRUE),OR(EXACT(Metadata!V572,"not collected"),EXACT(Metadata!V572,"not provided"),EXACT(Metadata!V572,"restricted access"))),AND(IF(Metadata!V572="",FALSE,ISNUMBER(VALUE(Metadata!V572))),Metadata!V572&gt;=-180,Metadata!V572&lt;=180))</f>
        <v>0</v>
      </c>
      <c r="BJ572" t="b">
        <f>AND(IF(Metadata!W572="",FALSE,TRUE),EXACT(Metadata!W572,"Decimal degrees"))</f>
        <v>0</v>
      </c>
      <c r="BK572" t="b">
        <f>IF(Metadata!X572="",FALSE,TRUE)</f>
        <v>0</v>
      </c>
      <c r="BL572" t="b">
        <f>OR(AND(IF(Metadata!Y572="",FALSE,TRUE),OR(EXACT(Metadata!Y572,"not collected"),EXACT(Metadata!Y572,"not provided"),EXACT(Metadata!Y572,"restricted access"))),AND(IF(Metadata!Y572="",FALSE,TRUE),OR(EXACT(Metadata!Y572,"TRUE"),EXACT(Metadata!Y572,"FALSE"))))</f>
        <v>0</v>
      </c>
      <c r="BM572" t="b">
        <f>OR(AND(IF(Metadata!Z572="",FALSE,TRUE),EXACT(Metadata!Z572,"not applicable")),AND(IF(Metadata!Z572="",FALSE,TRUE),OR(EXACT(Metadata!Z572,"beer"),EXACT(Metadata!Z572,"cheese"),EXACT(Metadata!Z572,"fresh water"),EXACT(Metadata!Z572,"marine sediment"),EXACT(Metadata!Z572,"sea water"),EXACT(Metadata!Z572,"sediment"),EXACT(Metadata!Z572,"soil"),EXACT(Metadata!Z572,"waste water"))))</f>
        <v>0</v>
      </c>
      <c r="BN572" t="b">
        <f>AND(IF(Metadata!AA572="",FALSE,TRUE),EXACT(Metadata!AA572,"metagenome"))</f>
        <v>0</v>
      </c>
      <c r="BO572" t="b">
        <f>AND(IF(Metadata!AB572="",FALSE,TRUE),EXACT(Metadata!AB572,"256318"))</f>
        <v>0</v>
      </c>
      <c r="BP572" t="b">
        <f>IF(Metadata!AC572="",FALSE,TRUE)</f>
        <v>0</v>
      </c>
      <c r="BQ572" t="b">
        <f>IF(Metadata!AD572="",FALSE,TRUE)</f>
        <v>0</v>
      </c>
    </row>
    <row r="573" spans="1:69" x14ac:dyDescent="0.2">
      <c r="A573" s="4" t="e">
        <f ca="1">IF(B573=" "," ",HYPERLINK(CONCATENATE("#metadata!",ADDRESS(INDEX($AJ$2:$AJ$1001,MATCH(ROWS($AH$2:AH573),$AH$2:$AH$1001,0),0),2)),INDEX($AM$2:$AM$1001,MATCH(ROWS($AH$2:AH573),$AH$2:$AH$1001,0),0)))</f>
        <v>#N/A</v>
      </c>
      <c r="B573" s="5" t="e">
        <f ca="1">IF(OR(INDEX($AI$2:$AI$1001,MATCH(ROWS($AH$2:AH573),$AH$2:$AH$1001,0),1)&gt;=100000,INDEX($AO$1005:$BQ$1005,1,MATCH(COLUMNS($AO$1006:AO1006),$AO$1006:$BQ$1006,0))&gt;=100000), " ",IF(INDEX($AO$2:$BQ$1001,MATCH(ROWS($AH$2:AH573),$AH$2:$AH$1001,0),MATCH(COLUMNS($AO$1006:AO1006),$AO$1006:$BQ$1006,0)), HYPERLINK("#",""), HYPERLINK(CONCATENATE("#Metadata!", ADDRESS(INDEX($AJ$2:$AJ$1001,MATCH(ROWS($AH$2:AH573),$AH$2:$AH$1001,0),0), INDEX($AO$1004:$BQ$1004,1,MATCH(COLUMNS($AO$1006:AO1006),$AO$1006:$BQ$1006,0)))),"Fix")))</f>
        <v>#N/A</v>
      </c>
      <c r="C573" s="5" t="e">
        <f ca="1">IF(OR(INDEX($AI$2:$AI$1001,MATCH(ROWS($AH$2:AH573),$AH$2:$AH$1001,0),1)&gt;=100000,INDEX($AO$1005:$BQ$1005,1,MATCH(COLUMNS($AO$1006:AP1006),$AO$1006:$BQ$1006,0))&gt;=100000), " ",IF(INDEX($AO$2:$BQ$1001,MATCH(ROWS($AH$2:AH573),$AH$2:$AH$1001,0),MATCH(COLUMNS($AO$1006:AP1006),$AO$1006:$BQ$1006,0)), HYPERLINK("#",""), HYPERLINK(CONCATENATE("#Metadata!", ADDRESS(INDEX($AJ$2:$AJ$1001,MATCH(ROWS($AH$2:AH573),$AH$2:$AH$1001,0),0), INDEX($AO$1004:$BQ$1004,1,MATCH(COLUMNS($AO$1006:AP1006),$AO$1006:$BQ$1006,0)))),"Fix")))</f>
        <v>#N/A</v>
      </c>
      <c r="D573" s="5" t="e">
        <f ca="1">IF(OR(INDEX($AI$2:$AI$1001,MATCH(ROWS($AH$2:AH573),$AH$2:$AH$1001,0),1)&gt;=100000,INDEX($AO$1005:$BQ$1005,1,MATCH(COLUMNS($AO$1006:AQ1006),$AO$1006:$BQ$1006,0))&gt;=100000), " ",IF(INDEX($AO$2:$BQ$1001,MATCH(ROWS($AH$2:AH573),$AH$2:$AH$1001,0),MATCH(COLUMNS($AO$1006:AQ1006),$AO$1006:$BQ$1006,0)), HYPERLINK("#",""), HYPERLINK(CONCATENATE("#Metadata!", ADDRESS(INDEX($AJ$2:$AJ$1001,MATCH(ROWS($AH$2:AH573),$AH$2:$AH$1001,0),0), INDEX($AO$1004:$BQ$1004,1,MATCH(COLUMNS($AO$1006:AQ1006),$AO$1006:$BQ$1006,0)))),"Fix")))</f>
        <v>#N/A</v>
      </c>
      <c r="E573" s="5" t="e">
        <f ca="1">IF(OR(INDEX($AI$2:$AI$1001,MATCH(ROWS($AH$2:AH573),$AH$2:$AH$1001,0),1)&gt;=100000,INDEX($AO$1005:$BQ$1005,1,MATCH(COLUMNS($AO$1006:AR1006),$AO$1006:$BQ$1006,0))&gt;=100000), " ",IF(INDEX($AO$2:$BQ$1001,MATCH(ROWS($AH$2:AH573),$AH$2:$AH$1001,0),MATCH(COLUMNS($AO$1006:AR1006),$AO$1006:$BQ$1006,0)), HYPERLINK("#",""), HYPERLINK(CONCATENATE("#Metadata!", ADDRESS(INDEX($AJ$2:$AJ$1001,MATCH(ROWS($AH$2:AH573),$AH$2:$AH$1001,0),0), INDEX($AO$1004:$BQ$1004,1,MATCH(COLUMNS($AO$1006:AR1006),$AO$1006:$BQ$1006,0)))),"Fix")))</f>
        <v>#N/A</v>
      </c>
      <c r="F573" s="5" t="e">
        <f ca="1">IF(OR(INDEX($AI$2:$AI$1001,MATCH(ROWS($AH$2:AH573),$AH$2:$AH$1001,0),1)&gt;=100000,INDEX($AO$1005:$BQ$1005,1,MATCH(COLUMNS($AO$1006:AS1006),$AO$1006:$BQ$1006,0))&gt;=100000), " ",IF(INDEX($AO$2:$BQ$1001,MATCH(ROWS($AH$2:AH573),$AH$2:$AH$1001,0),MATCH(COLUMNS($AO$1006:AS1006),$AO$1006:$BQ$1006,0)), HYPERLINK("#",""), HYPERLINK(CONCATENATE("#Metadata!", ADDRESS(INDEX($AJ$2:$AJ$1001,MATCH(ROWS($AH$2:AH573),$AH$2:$AH$1001,0),0), INDEX($AO$1004:$BQ$1004,1,MATCH(COLUMNS($AO$1006:AS1006),$AO$1006:$BQ$1006,0)))),"Fix")))</f>
        <v>#N/A</v>
      </c>
      <c r="G573" s="5" t="e">
        <f ca="1">IF(OR(INDEX($AI$2:$AI$1001,MATCH(ROWS($AH$2:AH573),$AH$2:$AH$1001,0),1)&gt;=100000,INDEX($AO$1005:$BQ$1005,1,MATCH(COLUMNS($AO$1006:AT1006),$AO$1006:$BQ$1006,0))&gt;=100000), " ",IF(INDEX($AO$2:$BQ$1001,MATCH(ROWS($AH$2:AH573),$AH$2:$AH$1001,0),MATCH(COLUMNS($AO$1006:AT1006),$AO$1006:$BQ$1006,0)), HYPERLINK("#",""), HYPERLINK(CONCATENATE("#Metadata!", ADDRESS(INDEX($AJ$2:$AJ$1001,MATCH(ROWS($AH$2:AH573),$AH$2:$AH$1001,0),0), INDEX($AO$1004:$BQ$1004,1,MATCH(COLUMNS($AO$1006:AT1006),$AO$1006:$BQ$1006,0)))),"Fix")))</f>
        <v>#N/A</v>
      </c>
      <c r="H573" s="5" t="e">
        <f ca="1">IF(OR(INDEX($AI$2:$AI$1001,MATCH(ROWS($AH$2:AH573),$AH$2:$AH$1001,0),1)&gt;=100000,INDEX($AO$1005:$BQ$1005,1,MATCH(COLUMNS($AO$1006:AU1006),$AO$1006:$BQ$1006,0))&gt;=100000), " ",IF(INDEX($AO$2:$BQ$1001,MATCH(ROWS($AH$2:AH573),$AH$2:$AH$1001,0),MATCH(COLUMNS($AO$1006:AU1006),$AO$1006:$BQ$1006,0)), HYPERLINK("#",""), HYPERLINK(CONCATENATE("#Metadata!", ADDRESS(INDEX($AJ$2:$AJ$1001,MATCH(ROWS($AH$2:AH573),$AH$2:$AH$1001,0),0), INDEX($AO$1004:$BQ$1004,1,MATCH(COLUMNS($AO$1006:AU1006),$AO$1006:$BQ$1006,0)))),"Fix")))</f>
        <v>#N/A</v>
      </c>
      <c r="I573" s="5" t="e">
        <f ca="1">IF(OR(INDEX($AI$2:$AI$1001,MATCH(ROWS($AH$2:AH573),$AH$2:$AH$1001,0),1)&gt;=100000,INDEX($AO$1005:$BQ$1005,1,MATCH(COLUMNS($AO$1006:AV1006),$AO$1006:$BQ$1006,0))&gt;=100000), " ",IF(INDEX($AO$2:$BQ$1001,MATCH(ROWS($AH$2:AH573),$AH$2:$AH$1001,0),MATCH(COLUMNS($AO$1006:AV1006),$AO$1006:$BQ$1006,0)), HYPERLINK("#",""), HYPERLINK(CONCATENATE("#Metadata!", ADDRESS(INDEX($AJ$2:$AJ$1001,MATCH(ROWS($AH$2:AH573),$AH$2:$AH$1001,0),0), INDEX($AO$1004:$BQ$1004,1,MATCH(COLUMNS($AO$1006:AV1006),$AO$1006:$BQ$1006,0)))),"Fix")))</f>
        <v>#N/A</v>
      </c>
      <c r="J573" s="5" t="e">
        <f ca="1">IF(OR(INDEX($AI$2:$AI$1001,MATCH(ROWS($AH$2:AH573),$AH$2:$AH$1001,0),1)&gt;=100000,INDEX($AO$1005:$BQ$1005,1,MATCH(COLUMNS($AO$1006:AW1006),$AO$1006:$BQ$1006,0))&gt;=100000), " ",IF(INDEX($AO$2:$BQ$1001,MATCH(ROWS($AH$2:AH573),$AH$2:$AH$1001,0),MATCH(COLUMNS($AO$1006:AW1006),$AO$1006:$BQ$1006,0)), HYPERLINK("#",""), HYPERLINK(CONCATENATE("#Metadata!", ADDRESS(INDEX($AJ$2:$AJ$1001,MATCH(ROWS($AH$2:AH573),$AH$2:$AH$1001,0),0), INDEX($AO$1004:$BQ$1004,1,MATCH(COLUMNS($AO$1006:AW1006),$AO$1006:$BQ$1006,0)))),"Fix")))</f>
        <v>#N/A</v>
      </c>
      <c r="K573" s="5" t="e">
        <f ca="1">IF(OR(INDEX($AI$2:$AI$1001,MATCH(ROWS($AH$2:AH573),$AH$2:$AH$1001,0),1)&gt;=100000,INDEX($AO$1005:$BQ$1005,1,MATCH(COLUMNS($AO$1006:AX1006),$AO$1006:$BQ$1006,0))&gt;=100000), " ",IF(INDEX($AO$2:$BQ$1001,MATCH(ROWS($AH$2:AH573),$AH$2:$AH$1001,0),MATCH(COLUMNS($AO$1006:AX1006),$AO$1006:$BQ$1006,0)), HYPERLINK("#",""), HYPERLINK(CONCATENATE("#Metadata!", ADDRESS(INDEX($AJ$2:$AJ$1001,MATCH(ROWS($AH$2:AH573),$AH$2:$AH$1001,0),0), INDEX($AO$1004:$BQ$1004,1,MATCH(COLUMNS($AO$1006:AX1006),$AO$1006:$BQ$1006,0)))),"Fix")))</f>
        <v>#N/A</v>
      </c>
      <c r="L573" s="5" t="e">
        <f ca="1">IF(OR(INDEX($AI$2:$AI$1001,MATCH(ROWS($AH$2:AH573),$AH$2:$AH$1001,0),1)&gt;=100000,INDEX($AO$1005:$BQ$1005,1,MATCH(COLUMNS($AO$1006:AY1006),$AO$1006:$BQ$1006,0))&gt;=100000), " ",IF(INDEX($AO$2:$BQ$1001,MATCH(ROWS($AH$2:AH573),$AH$2:$AH$1001,0),MATCH(COLUMNS($AO$1006:AY1006),$AO$1006:$BQ$1006,0)), HYPERLINK("#",""), HYPERLINK(CONCATENATE("#Metadata!", ADDRESS(INDEX($AJ$2:$AJ$1001,MATCH(ROWS($AH$2:AH573),$AH$2:$AH$1001,0),0), INDEX($AO$1004:$BQ$1004,1,MATCH(COLUMNS($AO$1006:AY1006),$AO$1006:$BQ$1006,0)))),"Fix")))</f>
        <v>#N/A</v>
      </c>
      <c r="M573" s="5" t="e">
        <f ca="1">IF(OR(INDEX($AI$2:$AI$1001,MATCH(ROWS($AH$2:AH573),$AH$2:$AH$1001,0),1)&gt;=100000,INDEX($AO$1005:$BQ$1005,1,MATCH(COLUMNS($AO$1006:AZ1006),$AO$1006:$BQ$1006,0))&gt;=100000), " ",IF(INDEX($AO$2:$BQ$1001,MATCH(ROWS($AH$2:AH573),$AH$2:$AH$1001,0),MATCH(COLUMNS($AO$1006:AZ1006),$AO$1006:$BQ$1006,0)), HYPERLINK("#",""), HYPERLINK(CONCATENATE("#Metadata!", ADDRESS(INDEX($AJ$2:$AJ$1001,MATCH(ROWS($AH$2:AH573),$AH$2:$AH$1001,0),0), INDEX($AO$1004:$BQ$1004,1,MATCH(COLUMNS($AO$1006:AZ1006),$AO$1006:$BQ$1006,0)))),"Fix")))</f>
        <v>#N/A</v>
      </c>
      <c r="N573" s="5" t="e">
        <f ca="1">IF(OR(INDEX($AI$2:$AI$1001,MATCH(ROWS($AH$2:AH573),$AH$2:$AH$1001,0),1)&gt;=100000,INDEX($AO$1005:$BQ$1005,1,MATCH(COLUMNS($AO$1006:BA1006),$AO$1006:$BQ$1006,0))&gt;=100000), " ",IF(INDEX($AO$2:$BQ$1001,MATCH(ROWS($AH$2:AH573),$AH$2:$AH$1001,0),MATCH(COLUMNS($AO$1006:BA1006),$AO$1006:$BQ$1006,0)), HYPERLINK("#",""), HYPERLINK(CONCATENATE("#Metadata!", ADDRESS(INDEX($AJ$2:$AJ$1001,MATCH(ROWS($AH$2:AH573),$AH$2:$AH$1001,0),0), INDEX($AO$1004:$BQ$1004,1,MATCH(COLUMNS($AO$1006:BA1006),$AO$1006:$BQ$1006,0)))),"Fix")))</f>
        <v>#N/A</v>
      </c>
      <c r="O573" s="5" t="e">
        <f ca="1">IF(OR(INDEX($AI$2:$AI$1001,MATCH(ROWS($AH$2:AH573),$AH$2:$AH$1001,0),1)&gt;=100000,INDEX($AO$1005:$BQ$1005,1,MATCH(COLUMNS($AO$1006:BB1006),$AO$1006:$BQ$1006,0))&gt;=100000), " ",IF(INDEX($AO$2:$BQ$1001,MATCH(ROWS($AH$2:AH573),$AH$2:$AH$1001,0),MATCH(COLUMNS($AO$1006:BB1006),$AO$1006:$BQ$1006,0)), HYPERLINK("#",""), HYPERLINK(CONCATENATE("#Metadata!", ADDRESS(INDEX($AJ$2:$AJ$1001,MATCH(ROWS($AH$2:AH573),$AH$2:$AH$1001,0),0), INDEX($AO$1004:$BQ$1004,1,MATCH(COLUMNS($AO$1006:BB1006),$AO$1006:$BQ$1006,0)))),"Fix")))</f>
        <v>#N/A</v>
      </c>
      <c r="P573" s="5" t="e">
        <f ca="1">IF(OR(INDEX($AI$2:$AI$1001,MATCH(ROWS($AH$2:AH573),$AH$2:$AH$1001,0),1)&gt;=100000,INDEX($AO$1005:$BQ$1005,1,MATCH(COLUMNS($AO$1006:BC1006),$AO$1006:$BQ$1006,0))&gt;=100000), " ",IF(INDEX($AO$2:$BQ$1001,MATCH(ROWS($AH$2:AH573),$AH$2:$AH$1001,0),MATCH(COLUMNS($AO$1006:BC1006),$AO$1006:$BQ$1006,0)), HYPERLINK("#",""), HYPERLINK(CONCATENATE("#Metadata!", ADDRESS(INDEX($AJ$2:$AJ$1001,MATCH(ROWS($AH$2:AH573),$AH$2:$AH$1001,0),0), INDEX($AO$1004:$BQ$1004,1,MATCH(COLUMNS($AO$1006:BC1006),$AO$1006:$BQ$1006,0)))),"Fix")))</f>
        <v>#N/A</v>
      </c>
      <c r="Q573" s="5" t="e">
        <f ca="1">IF(OR(INDEX($AI$2:$AI$1001,MATCH(ROWS($AH$2:AH573),$AH$2:$AH$1001,0),1)&gt;=100000,INDEX($AO$1005:$BQ$1005,1,MATCH(COLUMNS($AO$1006:BD1006),$AO$1006:$BQ$1006,0))&gt;=100000), " ",IF(INDEX($AO$2:$BQ$1001,MATCH(ROWS($AH$2:AH573),$AH$2:$AH$1001,0),MATCH(COLUMNS($AO$1006:BD1006),$AO$1006:$BQ$1006,0)), HYPERLINK("#",""), HYPERLINK(CONCATENATE("#Metadata!", ADDRESS(INDEX($AJ$2:$AJ$1001,MATCH(ROWS($AH$2:AH573),$AH$2:$AH$1001,0),0), INDEX($AO$1004:$BQ$1004,1,MATCH(COLUMNS($AO$1006:BD1006),$AO$1006:$BQ$1006,0)))),"Fix")))</f>
        <v>#N/A</v>
      </c>
      <c r="R573" s="5" t="e">
        <f ca="1">IF(OR(INDEX($AI$2:$AI$1001,MATCH(ROWS($AH$2:AH573),$AH$2:$AH$1001,0),1)&gt;=100000,INDEX($AO$1005:$BQ$1005,1,MATCH(COLUMNS($AO$1006:BE1006),$AO$1006:$BQ$1006,0))&gt;=100000), " ",IF(INDEX($AO$2:$BQ$1001,MATCH(ROWS($AH$2:AH573),$AH$2:$AH$1001,0),MATCH(COLUMNS($AO$1006:BE1006),$AO$1006:$BQ$1006,0)), HYPERLINK("#",""), HYPERLINK(CONCATENATE("#Metadata!", ADDRESS(INDEX($AJ$2:$AJ$1001,MATCH(ROWS($AH$2:AH573),$AH$2:$AH$1001,0),0), INDEX($AO$1004:$BQ$1004,1,MATCH(COLUMNS($AO$1006:BE1006),$AO$1006:$BQ$1006,0)))),"Fix")))</f>
        <v>#N/A</v>
      </c>
      <c r="S573" s="5" t="e">
        <f ca="1">IF(OR(INDEX($AI$2:$AI$1001,MATCH(ROWS($AH$2:AH573),$AH$2:$AH$1001,0),1)&gt;=100000,INDEX($AO$1005:$BQ$1005,1,MATCH(COLUMNS($AO$1006:BF1006),$AO$1006:$BQ$1006,0))&gt;=100000), " ",IF(INDEX($AO$2:$BQ$1001,MATCH(ROWS($AH$2:AH573),$AH$2:$AH$1001,0),MATCH(COLUMNS($AO$1006:BF1006),$AO$1006:$BQ$1006,0)), HYPERLINK("#",""), HYPERLINK(CONCATENATE("#Metadata!", ADDRESS(INDEX($AJ$2:$AJ$1001,MATCH(ROWS($AH$2:AH573),$AH$2:$AH$1001,0),0), INDEX($AO$1004:$BQ$1004,1,MATCH(COLUMNS($AO$1006:BF1006),$AO$1006:$BQ$1006,0)))),"Fix")))</f>
        <v>#N/A</v>
      </c>
      <c r="T573" s="5" t="e">
        <f ca="1">IF(OR(INDEX($AI$2:$AI$1001,MATCH(ROWS($AH$2:AH573),$AH$2:$AH$1001,0),1)&gt;=100000,INDEX($AO$1005:$BQ$1005,1,MATCH(COLUMNS($AO$1006:BG1006),$AO$1006:$BQ$1006,0))&gt;=100000), " ",IF(INDEX($AO$2:$BQ$1001,MATCH(ROWS($AH$2:AH573),$AH$2:$AH$1001,0),MATCH(COLUMNS($AO$1006:BG1006),$AO$1006:$BQ$1006,0)), HYPERLINK("#",""), HYPERLINK(CONCATENATE("#Metadata!", ADDRESS(INDEX($AJ$2:$AJ$1001,MATCH(ROWS($AH$2:AH573),$AH$2:$AH$1001,0),0), INDEX($AO$1004:$BQ$1004,1,MATCH(COLUMNS($AO$1006:BG1006),$AO$1006:$BQ$1006,0)))),"Fix")))</f>
        <v>#N/A</v>
      </c>
      <c r="U573" s="5" t="e">
        <f ca="1">IF(OR(INDEX($AI$2:$AI$1001,MATCH(ROWS($AH$2:AH573),$AH$2:$AH$1001,0),1)&gt;=100000,INDEX($AO$1005:$BQ$1005,1,MATCH(COLUMNS($AO$1006:BH1006),$AO$1006:$BQ$1006,0))&gt;=100000), " ",IF(INDEX($AO$2:$BQ$1001,MATCH(ROWS($AH$2:AH573),$AH$2:$AH$1001,0),MATCH(COLUMNS($AO$1006:BH1006),$AO$1006:$BQ$1006,0)), HYPERLINK("#",""), HYPERLINK(CONCATENATE("#Metadata!", ADDRESS(INDEX($AJ$2:$AJ$1001,MATCH(ROWS($AH$2:AH573),$AH$2:$AH$1001,0),0), INDEX($AO$1004:$BQ$1004,1,MATCH(COLUMNS($AO$1006:BH1006),$AO$1006:$BQ$1006,0)))),"Fix")))</f>
        <v>#N/A</v>
      </c>
      <c r="V573" s="5" t="e">
        <f ca="1">IF(OR(INDEX($AI$2:$AI$1001,MATCH(ROWS($AH$2:AH573),$AH$2:$AH$1001,0),1)&gt;=100000,INDEX($AO$1005:$BQ$1005,1,MATCH(COLUMNS($AO$1006:BI1006),$AO$1006:$BQ$1006,0))&gt;=100000), " ",IF(INDEX($AO$2:$BQ$1001,MATCH(ROWS($AH$2:AH573),$AH$2:$AH$1001,0),MATCH(COLUMNS($AO$1006:BI1006),$AO$1006:$BQ$1006,0)), HYPERLINK("#",""), HYPERLINK(CONCATENATE("#Metadata!", ADDRESS(INDEX($AJ$2:$AJ$1001,MATCH(ROWS($AH$2:AH573),$AH$2:$AH$1001,0),0), INDEX($AO$1004:$BQ$1004,1,MATCH(COLUMNS($AO$1006:BI1006),$AO$1006:$BQ$1006,0)))),"Fix")))</f>
        <v>#N/A</v>
      </c>
      <c r="W573" s="5" t="e">
        <f ca="1">IF(OR(INDEX($AI$2:$AI$1001,MATCH(ROWS($AH$2:AH573),$AH$2:$AH$1001,0),1)&gt;=100000,INDEX($AO$1005:$BQ$1005,1,MATCH(COLUMNS($AO$1006:BJ1006),$AO$1006:$BQ$1006,0))&gt;=100000), " ",IF(INDEX($AO$2:$BQ$1001,MATCH(ROWS($AH$2:AH573),$AH$2:$AH$1001,0),MATCH(COLUMNS($AO$1006:BJ1006),$AO$1006:$BQ$1006,0)), HYPERLINK("#",""), HYPERLINK(CONCATENATE("#Metadata!", ADDRESS(INDEX($AJ$2:$AJ$1001,MATCH(ROWS($AH$2:AH573),$AH$2:$AH$1001,0),0), INDEX($AO$1004:$BQ$1004,1,MATCH(COLUMNS($AO$1006:BJ1006),$AO$1006:$BQ$1006,0)))),"Fix")))</f>
        <v>#N/A</v>
      </c>
      <c r="X573" s="5" t="e">
        <f ca="1">IF(OR(INDEX($AI$2:$AI$1001,MATCH(ROWS($AH$2:AH573),$AH$2:$AH$1001,0),1)&gt;=100000,INDEX($AO$1005:$BQ$1005,1,MATCH(COLUMNS($AO$1006:BK1006),$AO$1006:$BQ$1006,0))&gt;=100000), " ",IF(INDEX($AO$2:$BQ$1001,MATCH(ROWS($AH$2:AH573),$AH$2:$AH$1001,0),MATCH(COLUMNS($AO$1006:BK1006),$AO$1006:$BQ$1006,0)), HYPERLINK("#",""), HYPERLINK(CONCATENATE("#Metadata!", ADDRESS(INDEX($AJ$2:$AJ$1001,MATCH(ROWS($AH$2:AH573),$AH$2:$AH$1001,0),0), INDEX($AO$1004:$BQ$1004,1,MATCH(COLUMNS($AO$1006:BK1006),$AO$1006:$BQ$1006,0)))),"Fix")))</f>
        <v>#N/A</v>
      </c>
      <c r="Y573" s="5" t="e">
        <f ca="1">IF(OR(INDEX($AI$2:$AI$1001,MATCH(ROWS($AH$2:AH573),$AH$2:$AH$1001,0),1)&gt;=100000,INDEX($AO$1005:$BQ$1005,1,MATCH(COLUMNS($AO$1006:BL1006),$AO$1006:$BQ$1006,0))&gt;=100000), " ",IF(INDEX($AO$2:$BQ$1001,MATCH(ROWS($AH$2:AH573),$AH$2:$AH$1001,0),MATCH(COLUMNS($AO$1006:BL1006),$AO$1006:$BQ$1006,0)), HYPERLINK("#",""), HYPERLINK(CONCATENATE("#Metadata!", ADDRESS(INDEX($AJ$2:$AJ$1001,MATCH(ROWS($AH$2:AH573),$AH$2:$AH$1001,0),0), INDEX($AO$1004:$BQ$1004,1,MATCH(COLUMNS($AO$1006:BL1006),$AO$1006:$BQ$1006,0)))),"Fix")))</f>
        <v>#N/A</v>
      </c>
      <c r="Z573" s="5" t="e">
        <f ca="1">IF(OR(INDEX($AI$2:$AI$1001,MATCH(ROWS($AH$2:AH573),$AH$2:$AH$1001,0),1)&gt;=100000,INDEX($AO$1005:$BQ$1005,1,MATCH(COLUMNS($AO$1006:BM1006),$AO$1006:$BQ$1006,0))&gt;=100000), " ",IF(INDEX($AO$2:$BQ$1001,MATCH(ROWS($AH$2:AH573),$AH$2:$AH$1001,0),MATCH(COLUMNS($AO$1006:BM1006),$AO$1006:$BQ$1006,0)), HYPERLINK("#",""), HYPERLINK(CONCATENATE("#Metadata!", ADDRESS(INDEX($AJ$2:$AJ$1001,MATCH(ROWS($AH$2:AH573),$AH$2:$AH$1001,0),0), INDEX($AO$1004:$BQ$1004,1,MATCH(COLUMNS($AO$1006:BM1006),$AO$1006:$BQ$1006,0)))),"Fix")))</f>
        <v>#N/A</v>
      </c>
      <c r="AA573" s="5" t="e">
        <f ca="1">IF(OR(INDEX($AI$2:$AI$1001,MATCH(ROWS($AH$2:AH573),$AH$2:$AH$1001,0),1)&gt;=100000,INDEX($AO$1005:$BQ$1005,1,MATCH(COLUMNS($AO$1006:BN1006),$AO$1006:$BQ$1006,0))&gt;=100000), " ",IF(INDEX($AO$2:$BQ$1001,MATCH(ROWS($AH$2:AH573),$AH$2:$AH$1001,0),MATCH(COLUMNS($AO$1006:BN1006),$AO$1006:$BQ$1006,0)), HYPERLINK("#",""), HYPERLINK(CONCATENATE("#Metadata!", ADDRESS(INDEX($AJ$2:$AJ$1001,MATCH(ROWS($AH$2:AH573),$AH$2:$AH$1001,0),0), INDEX($AO$1004:$BQ$1004,1,MATCH(COLUMNS($AO$1006:BN1006),$AO$1006:$BQ$1006,0)))),"Fix")))</f>
        <v>#N/A</v>
      </c>
      <c r="AB573" s="5" t="e">
        <f ca="1">IF(OR(INDEX($AI$2:$AI$1001,MATCH(ROWS($AH$2:AH573),$AH$2:$AH$1001,0),1)&gt;=100000,INDEX($AO$1005:$BQ$1005,1,MATCH(COLUMNS($AO$1006:BO1006),$AO$1006:$BQ$1006,0))&gt;=100000), " ",IF(INDEX($AO$2:$BQ$1001,MATCH(ROWS($AH$2:AH573),$AH$2:$AH$1001,0),MATCH(COLUMNS($AO$1006:BO1006),$AO$1006:$BQ$1006,0)), HYPERLINK("#",""), HYPERLINK(CONCATENATE("#Metadata!", ADDRESS(INDEX($AJ$2:$AJ$1001,MATCH(ROWS($AH$2:AH573),$AH$2:$AH$1001,0),0), INDEX($AO$1004:$BQ$1004,1,MATCH(COLUMNS($AO$1006:BO1006),$AO$1006:$BQ$1006,0)))),"Fix")))</f>
        <v>#N/A</v>
      </c>
      <c r="AC573" s="5" t="e">
        <f ca="1">IF(OR(INDEX($AI$2:$AI$1001,MATCH(ROWS($AH$2:AH573),$AH$2:$AH$1001,0),1)&gt;=100000,INDEX($AO$1005:$BQ$1005,1,MATCH(COLUMNS($AO$1006:BP1006),$AO$1006:$BQ$1006,0))&gt;=100000), " ",IF(INDEX($AO$2:$BQ$1001,MATCH(ROWS($AH$2:AH573),$AH$2:$AH$1001,0),MATCH(COLUMNS($AO$1006:BP1006),$AO$1006:$BQ$1006,0)), HYPERLINK("#",""), HYPERLINK(CONCATENATE("#Metadata!", ADDRESS(INDEX($AJ$2:$AJ$1001,MATCH(ROWS($AH$2:AH573),$AH$2:$AH$1001,0),0), INDEX($AO$1004:$BQ$1004,1,MATCH(COLUMNS($AO$1006:BP1006),$AO$1006:$BQ$1006,0)))),"Fix")))</f>
        <v>#N/A</v>
      </c>
      <c r="AD573" s="5" t="e">
        <f ca="1">IF(OR(INDEX($AI$2:$AI$1001,MATCH(ROWS($AH$2:AH573),$AH$2:$AH$1001,0),1)&gt;=100000,INDEX($AO$1005:$BQ$1005,1,MATCH(COLUMNS($AO$1006:BQ1006),$AO$1006:$BQ$1006,0))&gt;=100000), " ",IF(INDEX($AO$2:$BQ$1001,MATCH(ROWS($AH$2:AH573),$AH$2:$AH$1001,0),MATCH(COLUMNS($AO$1006:BQ1006),$AO$1006:$BQ$1006,0)), HYPERLINK("#",""), HYPERLINK(CONCATENATE("#Metadata!", ADDRESS(INDEX($AJ$2:$AJ$1001,MATCH(ROWS($AH$2:AH573),$AH$2:$AH$1001,0),0), INDEX($AO$1004:$BQ$1004,1,MATCH(COLUMNS($AO$1006:BQ1006),$AO$1006:$BQ$1006,0)))),"Fix")))</f>
        <v>#REF!</v>
      </c>
      <c r="AH573">
        <f ca="1"/>
        <v>570</v>
      </c>
      <c r="AI573">
        <v>100573</v>
      </c>
      <c r="AJ573">
        <v>573</v>
      </c>
      <c r="AK573" t="b">
        <f t="shared" si="8"/>
        <v>1</v>
      </c>
      <c r="AL573" t="b">
        <f>COUNTBLANK(Metadata!B573:AD573)=COLUMNS(Metadata!B573:AD573)</f>
        <v>1</v>
      </c>
      <c r="AM573" t="str">
        <v/>
      </c>
      <c r="AO573" t="b">
        <f ca="1">AND(IF(Metadata!B573="",FALSE,TRUE),COUNTIF(Metadata!B:B, Metadata!B573) = 1,NOT(ISERROR(SUMPRODUCT(SEARCH(MID(Metadata!B573,ROW(INDIRECT("1:"&amp;LEN(Metadata!B573))), 1),"0123456789abcdefghijklmnopqrstuvwxyzABCDEFGHIJKLMNOPQRSTUVWXYZ.")))))</f>
        <v>0</v>
      </c>
      <c r="AP573" t="b">
        <f>IF(Metadata!C573="",FALSE,TRUE)</f>
        <v>0</v>
      </c>
      <c r="AQ573" t="b">
        <f>IF(Metadata!D573="",FALSE,TRUE)</f>
        <v>0</v>
      </c>
      <c r="AR573" t="b">
        <f ca="1">OR(AND(IF(Metadata!E573="",FALSE,TRUE),OR(EXACT(Metadata!E573,"not collected"),EXACT(Metadata!E573,"not provided"),EXACT(Metadata!E573,"restricted access"))),AND(IF(Metadata!E573="",FALSE,TRUE),AND(AND(IFERROR(INT(LEFT(Metadata!E573,4))&gt;1900,FALSE),IFERROR(INT(LEFT(Metadata!E573,4))&lt;=YEAR(NOW()),FALSE)), OR(MID(Metadata!E573,5,1)="", AND(AND(MID(Metadata!E573,5,1)="-",IFERROR(INT(MID(Metadata!E573,6,1))&gt;=0,FALSE),IFERROR(INT(MID(Metadata!E573,6,1))&lt;=1,FALSE),NOT(MID(Metadata!E573,7,1)=""),IFERROR(INT(MID(Metadata!E573,6,2))&gt;=1,FALSE),IFERROR(INT(MID(Metadata!E573,6,2))&lt;=12,FALSE)), OR(MID(Metadata!E573,8,1)="", AND(AND(MID(Metadata!E573,8,1)="-",IFERROR(INT(MID(Metadata!E573,9,1))&gt;=0,FALSE),IFERROR(INT(MID(Metadata!E573,9,1))&lt;=3,FALSE),NOT(MID(Metadata!E573,10,1)=""),IFERROR(INT(MID(Metadata!E573,9,2))&gt;=1,FALSE),IFERROR(INT(MID(Metadata!E573,9,2))&lt;=31,FALSE)), OR(MID(Metadata!E573,11,1)="", AND(AND(MID(Metadata!E573,11,1)=" ",IFERROR(INT(MID(Metadata!E573,12,1))&gt;=0,FALSE),IFERROR(INT(MID(Metadata!E573,12,1))&lt;=2,FALSE),NOT(MID(Metadata!E573,13,1)=""),IFERROR(INT(MID(Metadata!E573,12,2))&gt;=0,FALSE),IFERROR(INT(MID(Metadata!E573,12,2))&lt;=23,FALSE)), OR(MID(Metadata!E573,14,1)="", AND(AND(MID(Metadata!E573,14,1)=":",IFERROR(INT(MID(Metadata!E573,15,1))&gt;=0,FALSE),IFERROR(INT(MID(Metadata!E573,15,1))&lt;=5,FALSE),NOT(MID(Metadata!E573,16,1)=""),IFERROR(INT(MID(Metadata!E573,15,2))&gt;=0,FALSE),IFERROR(INT(MID(Metadata!E573,15,2))&lt;=59,FALSE)), OR(MID(Metadata!E573,17,1)="", AND(AND(MID(Metadata!E573,17,1)=":",IFERROR(INT(MID(Metadata!E573,18,1))&gt;=0,FALSE),IFERROR(INT(MID(Metadata!E573,18,1))&lt;=5,FALSE),NOT(MID(Metadata!E573,19,1)=""),IFERROR(INT(MID(Metadata!E573,18,2))&gt;=0,FALSE),IFERROR(INT(MID(Metadata!E573,18,2))&lt;=59,FALSE)), LEN(Metadata!E573)&lt;=19)))))))))))))</f>
        <v>0</v>
      </c>
      <c r="AS573" t="b">
        <f>IF(Metadata!F573="",FALSE,TRUE)</f>
        <v>0</v>
      </c>
      <c r="AT573" t="b">
        <f>OR(AND(IF(Metadata!G573="",FALSE,TRUE),OR(EXACT(Metadata!G573,"not collected"),EXACT(Metadata!G573,"not provided"))),AND(IF(Metadata!G573="",FALSE,TRUE),OR(EXACT(Metadata!G573,"TRUE"),EXACT(Metadata!G573,"FALSE"))))</f>
        <v>0</v>
      </c>
      <c r="AU573" t="b">
        <f>OR(AND(IF(Metadata!H573="",FALSE,TRUE),OR(EXACT(Metadata!H573,"not collected"),EXACT(Metadata!H573,"not provided"),EXACT(Metadata!H573,"restricted access"))),AND(IF(Metadata!H573="",FALSE,ISNUMBER(VALUE(Metadata!H573))),Metadata!H573&gt;=-413))</f>
        <v>0</v>
      </c>
      <c r="AV573" t="b">
        <f>AND(IF(Metadata!I573="",FALSE,TRUE),EXACT(Metadata!I573,"meters"))</f>
        <v>0</v>
      </c>
      <c r="AW573" t="b">
        <f>AND(IF(Metadata!J573="",FALSE,TRUE),EXACT(Metadata!J573,"free-living"))</f>
        <v>0</v>
      </c>
      <c r="AX573" t="b">
        <f>AND(IF(Metadata!K573="",FALSE,TRUE),OR(EXACT(Metadata!K573,"saline"),EXACT(Metadata!K573,"non-saline")))</f>
        <v>0</v>
      </c>
      <c r="AY573" t="b">
        <f>AND(IF(Metadata!L573="",FALSE,TRUE),OR(EXACT(Metadata!L573,"sub-surface (non-saline)"),EXACT(Metadata!L573,"surface (non-saline)"),EXACT(Metadata!L573,"water (non-saline)"),EXACT(Metadata!L573,"soil (non-saline)"),EXACT(Metadata!L573,"aerosol (non-saline)"),EXACT(Metadata!L573,"sediment (non-saline)"),EXACT(Metadata!L573,"surface (saline)"),EXACT(Metadata!L573,"water (saline)"),EXACT(Metadata!L573,"hypersaline (saline)"),EXACT(Metadata!L573,"aerosol (saline)"),EXACT(Metadata!L573,"sediment (saline)")))</f>
        <v>0</v>
      </c>
      <c r="AZ573" t="b">
        <f>IF(Metadata!M573="",FALSE,TRUE)</f>
        <v>0</v>
      </c>
      <c r="BA573" t="b">
        <f>IF(Metadata!N573="",FALSE,TRUE)</f>
        <v>0</v>
      </c>
      <c r="BB573" t="b">
        <f>IF(Metadata!O573="",FALSE,TRUE)</f>
        <v>0</v>
      </c>
      <c r="BC573" t="b">
        <f>AND(IF(Metadata!P573="",FALSE,TRUE),OR(EXACT(Metadata!P573,"air"),EXACT(Metadata!P573,"microbial mat/biofilm"),EXACT(Metadata!P573,"misc environment"),EXACT(Metadata!P573,"sediment"),EXACT(Metadata!P573,"soil"),EXACT(Metadata!P573,"wastewater/sludge"),EXACT(Metadata!P573,"water")))</f>
        <v>0</v>
      </c>
      <c r="BD573" t="b">
        <f>IF(Metadata!Q573="",FALSE,TRUE)</f>
        <v>0</v>
      </c>
      <c r="BE573" t="b">
        <f>IF(Metadata!R573="",FALSE,TRUE)</f>
        <v>0</v>
      </c>
      <c r="BF573" t="b">
        <f>OR(AND(IF(Metadata!S573="",FALSE,TRUE),OR(EXACT(Metadata!S573,"not collected"),EXACT(Metadata!S573,"not provided"),EXACT(Metadata!S573,"restricted access"))),AND(IF(Metadata!S573="",FALSE,ISNUMBER(VALUE(Metadata!S573))),Metadata!S573&gt;=-90,Metadata!S573&lt;=90))</f>
        <v>0</v>
      </c>
      <c r="BG573" t="b">
        <f>AND(IF(Metadata!T573="",FALSE,TRUE),EXACT(Metadata!T573,"Decimal degrees"))</f>
        <v>0</v>
      </c>
      <c r="BH573" t="b">
        <f>OR(AND(IF(Metadata!U573="",FALSE,TRUE),OR(EXACT(Metadata!U573,"not applicable"),EXACT(Metadata!U573,"not collected"))),IF(Metadata!U573="",FALSE,TRUE))</f>
        <v>0</v>
      </c>
      <c r="BI573" t="b">
        <f>OR(AND(IF(Metadata!V573="",FALSE,TRUE),OR(EXACT(Metadata!V573,"not collected"),EXACT(Metadata!V573,"not provided"),EXACT(Metadata!V573,"restricted access"))),AND(IF(Metadata!V573="",FALSE,ISNUMBER(VALUE(Metadata!V573))),Metadata!V573&gt;=-180,Metadata!V573&lt;=180))</f>
        <v>0</v>
      </c>
      <c r="BJ573" t="b">
        <f>AND(IF(Metadata!W573="",FALSE,TRUE),EXACT(Metadata!W573,"Decimal degrees"))</f>
        <v>0</v>
      </c>
      <c r="BK573" t="b">
        <f>IF(Metadata!X573="",FALSE,TRUE)</f>
        <v>0</v>
      </c>
      <c r="BL573" t="b">
        <f>OR(AND(IF(Metadata!Y573="",FALSE,TRUE),OR(EXACT(Metadata!Y573,"not collected"),EXACT(Metadata!Y573,"not provided"),EXACT(Metadata!Y573,"restricted access"))),AND(IF(Metadata!Y573="",FALSE,TRUE),OR(EXACT(Metadata!Y573,"TRUE"),EXACT(Metadata!Y573,"FALSE"))))</f>
        <v>0</v>
      </c>
      <c r="BM573" t="b">
        <f>OR(AND(IF(Metadata!Z573="",FALSE,TRUE),EXACT(Metadata!Z573,"not applicable")),AND(IF(Metadata!Z573="",FALSE,TRUE),OR(EXACT(Metadata!Z573,"beer"),EXACT(Metadata!Z573,"cheese"),EXACT(Metadata!Z573,"fresh water"),EXACT(Metadata!Z573,"marine sediment"),EXACT(Metadata!Z573,"sea water"),EXACT(Metadata!Z573,"sediment"),EXACT(Metadata!Z573,"soil"),EXACT(Metadata!Z573,"waste water"))))</f>
        <v>0</v>
      </c>
      <c r="BN573" t="b">
        <f>AND(IF(Metadata!AA573="",FALSE,TRUE),EXACT(Metadata!AA573,"metagenome"))</f>
        <v>0</v>
      </c>
      <c r="BO573" t="b">
        <f>AND(IF(Metadata!AB573="",FALSE,TRUE),EXACT(Metadata!AB573,"256318"))</f>
        <v>0</v>
      </c>
      <c r="BP573" t="b">
        <f>IF(Metadata!AC573="",FALSE,TRUE)</f>
        <v>0</v>
      </c>
      <c r="BQ573" t="b">
        <f>IF(Metadata!AD573="",FALSE,TRUE)</f>
        <v>0</v>
      </c>
    </row>
    <row r="574" spans="1:69" x14ac:dyDescent="0.2">
      <c r="A574" s="4" t="e">
        <f ca="1">IF(B574=" "," ",HYPERLINK(CONCATENATE("#metadata!",ADDRESS(INDEX($AJ$2:$AJ$1001,MATCH(ROWS($AH$2:AH574),$AH$2:$AH$1001,0),0),2)),INDEX($AM$2:$AM$1001,MATCH(ROWS($AH$2:AH574),$AH$2:$AH$1001,0),0)))</f>
        <v>#N/A</v>
      </c>
      <c r="B574" s="5" t="e">
        <f ca="1">IF(OR(INDEX($AI$2:$AI$1001,MATCH(ROWS($AH$2:AH574),$AH$2:$AH$1001,0),1)&gt;=100000,INDEX($AO$1005:$BQ$1005,1,MATCH(COLUMNS($AO$1006:AO1006),$AO$1006:$BQ$1006,0))&gt;=100000), " ",IF(INDEX($AO$2:$BQ$1001,MATCH(ROWS($AH$2:AH574),$AH$2:$AH$1001,0),MATCH(COLUMNS($AO$1006:AO1006),$AO$1006:$BQ$1006,0)), HYPERLINK("#",""), HYPERLINK(CONCATENATE("#Metadata!", ADDRESS(INDEX($AJ$2:$AJ$1001,MATCH(ROWS($AH$2:AH574),$AH$2:$AH$1001,0),0), INDEX($AO$1004:$BQ$1004,1,MATCH(COLUMNS($AO$1006:AO1006),$AO$1006:$BQ$1006,0)))),"Fix")))</f>
        <v>#N/A</v>
      </c>
      <c r="C574" s="5" t="e">
        <f ca="1">IF(OR(INDEX($AI$2:$AI$1001,MATCH(ROWS($AH$2:AH574),$AH$2:$AH$1001,0),1)&gt;=100000,INDEX($AO$1005:$BQ$1005,1,MATCH(COLUMNS($AO$1006:AP1006),$AO$1006:$BQ$1006,0))&gt;=100000), " ",IF(INDEX($AO$2:$BQ$1001,MATCH(ROWS($AH$2:AH574),$AH$2:$AH$1001,0),MATCH(COLUMNS($AO$1006:AP1006),$AO$1006:$BQ$1006,0)), HYPERLINK("#",""), HYPERLINK(CONCATENATE("#Metadata!", ADDRESS(INDEX($AJ$2:$AJ$1001,MATCH(ROWS($AH$2:AH574),$AH$2:$AH$1001,0),0), INDEX($AO$1004:$BQ$1004,1,MATCH(COLUMNS($AO$1006:AP1006),$AO$1006:$BQ$1006,0)))),"Fix")))</f>
        <v>#N/A</v>
      </c>
      <c r="D574" s="5" t="e">
        <f ca="1">IF(OR(INDEX($AI$2:$AI$1001,MATCH(ROWS($AH$2:AH574),$AH$2:$AH$1001,0),1)&gt;=100000,INDEX($AO$1005:$BQ$1005,1,MATCH(COLUMNS($AO$1006:AQ1006),$AO$1006:$BQ$1006,0))&gt;=100000), " ",IF(INDEX($AO$2:$BQ$1001,MATCH(ROWS($AH$2:AH574),$AH$2:$AH$1001,0),MATCH(COLUMNS($AO$1006:AQ1006),$AO$1006:$BQ$1006,0)), HYPERLINK("#",""), HYPERLINK(CONCATENATE("#Metadata!", ADDRESS(INDEX($AJ$2:$AJ$1001,MATCH(ROWS($AH$2:AH574),$AH$2:$AH$1001,0),0), INDEX($AO$1004:$BQ$1004,1,MATCH(COLUMNS($AO$1006:AQ1006),$AO$1006:$BQ$1006,0)))),"Fix")))</f>
        <v>#N/A</v>
      </c>
      <c r="E574" s="5" t="e">
        <f ca="1">IF(OR(INDEX($AI$2:$AI$1001,MATCH(ROWS($AH$2:AH574),$AH$2:$AH$1001,0),1)&gt;=100000,INDEX($AO$1005:$BQ$1005,1,MATCH(COLUMNS($AO$1006:AR1006),$AO$1006:$BQ$1006,0))&gt;=100000), " ",IF(INDEX($AO$2:$BQ$1001,MATCH(ROWS($AH$2:AH574),$AH$2:$AH$1001,0),MATCH(COLUMNS($AO$1006:AR1006),$AO$1006:$BQ$1006,0)), HYPERLINK("#",""), HYPERLINK(CONCATENATE("#Metadata!", ADDRESS(INDEX($AJ$2:$AJ$1001,MATCH(ROWS($AH$2:AH574),$AH$2:$AH$1001,0),0), INDEX($AO$1004:$BQ$1004,1,MATCH(COLUMNS($AO$1006:AR1006),$AO$1006:$BQ$1006,0)))),"Fix")))</f>
        <v>#N/A</v>
      </c>
      <c r="F574" s="5" t="e">
        <f ca="1">IF(OR(INDEX($AI$2:$AI$1001,MATCH(ROWS($AH$2:AH574),$AH$2:$AH$1001,0),1)&gt;=100000,INDEX($AO$1005:$BQ$1005,1,MATCH(COLUMNS($AO$1006:AS1006),$AO$1006:$BQ$1006,0))&gt;=100000), " ",IF(INDEX($AO$2:$BQ$1001,MATCH(ROWS($AH$2:AH574),$AH$2:$AH$1001,0),MATCH(COLUMNS($AO$1006:AS1006),$AO$1006:$BQ$1006,0)), HYPERLINK("#",""), HYPERLINK(CONCATENATE("#Metadata!", ADDRESS(INDEX($AJ$2:$AJ$1001,MATCH(ROWS($AH$2:AH574),$AH$2:$AH$1001,0),0), INDEX($AO$1004:$BQ$1004,1,MATCH(COLUMNS($AO$1006:AS1006),$AO$1006:$BQ$1006,0)))),"Fix")))</f>
        <v>#N/A</v>
      </c>
      <c r="G574" s="5" t="e">
        <f ca="1">IF(OR(INDEX($AI$2:$AI$1001,MATCH(ROWS($AH$2:AH574),$AH$2:$AH$1001,0),1)&gt;=100000,INDEX($AO$1005:$BQ$1005,1,MATCH(COLUMNS($AO$1006:AT1006),$AO$1006:$BQ$1006,0))&gt;=100000), " ",IF(INDEX($AO$2:$BQ$1001,MATCH(ROWS($AH$2:AH574),$AH$2:$AH$1001,0),MATCH(COLUMNS($AO$1006:AT1006),$AO$1006:$BQ$1006,0)), HYPERLINK("#",""), HYPERLINK(CONCATENATE("#Metadata!", ADDRESS(INDEX($AJ$2:$AJ$1001,MATCH(ROWS($AH$2:AH574),$AH$2:$AH$1001,0),0), INDEX($AO$1004:$BQ$1004,1,MATCH(COLUMNS($AO$1006:AT1006),$AO$1006:$BQ$1006,0)))),"Fix")))</f>
        <v>#N/A</v>
      </c>
      <c r="H574" s="5" t="e">
        <f ca="1">IF(OR(INDEX($AI$2:$AI$1001,MATCH(ROWS($AH$2:AH574),$AH$2:$AH$1001,0),1)&gt;=100000,INDEX($AO$1005:$BQ$1005,1,MATCH(COLUMNS($AO$1006:AU1006),$AO$1006:$BQ$1006,0))&gt;=100000), " ",IF(INDEX($AO$2:$BQ$1001,MATCH(ROWS($AH$2:AH574),$AH$2:$AH$1001,0),MATCH(COLUMNS($AO$1006:AU1006),$AO$1006:$BQ$1006,0)), HYPERLINK("#",""), HYPERLINK(CONCATENATE("#Metadata!", ADDRESS(INDEX($AJ$2:$AJ$1001,MATCH(ROWS($AH$2:AH574),$AH$2:$AH$1001,0),0), INDEX($AO$1004:$BQ$1004,1,MATCH(COLUMNS($AO$1006:AU1006),$AO$1006:$BQ$1006,0)))),"Fix")))</f>
        <v>#N/A</v>
      </c>
      <c r="I574" s="5" t="e">
        <f ca="1">IF(OR(INDEX($AI$2:$AI$1001,MATCH(ROWS($AH$2:AH574),$AH$2:$AH$1001,0),1)&gt;=100000,INDEX($AO$1005:$BQ$1005,1,MATCH(COLUMNS($AO$1006:AV1006),$AO$1006:$BQ$1006,0))&gt;=100000), " ",IF(INDEX($AO$2:$BQ$1001,MATCH(ROWS($AH$2:AH574),$AH$2:$AH$1001,0),MATCH(COLUMNS($AO$1006:AV1006),$AO$1006:$BQ$1006,0)), HYPERLINK("#",""), HYPERLINK(CONCATENATE("#Metadata!", ADDRESS(INDEX($AJ$2:$AJ$1001,MATCH(ROWS($AH$2:AH574),$AH$2:$AH$1001,0),0), INDEX($AO$1004:$BQ$1004,1,MATCH(COLUMNS($AO$1006:AV1006),$AO$1006:$BQ$1006,0)))),"Fix")))</f>
        <v>#N/A</v>
      </c>
      <c r="J574" s="5" t="e">
        <f ca="1">IF(OR(INDEX($AI$2:$AI$1001,MATCH(ROWS($AH$2:AH574),$AH$2:$AH$1001,0),1)&gt;=100000,INDEX($AO$1005:$BQ$1005,1,MATCH(COLUMNS($AO$1006:AW1006),$AO$1006:$BQ$1006,0))&gt;=100000), " ",IF(INDEX($AO$2:$BQ$1001,MATCH(ROWS($AH$2:AH574),$AH$2:$AH$1001,0),MATCH(COLUMNS($AO$1006:AW1006),$AO$1006:$BQ$1006,0)), HYPERLINK("#",""), HYPERLINK(CONCATENATE("#Metadata!", ADDRESS(INDEX($AJ$2:$AJ$1001,MATCH(ROWS($AH$2:AH574),$AH$2:$AH$1001,0),0), INDEX($AO$1004:$BQ$1004,1,MATCH(COLUMNS($AO$1006:AW1006),$AO$1006:$BQ$1006,0)))),"Fix")))</f>
        <v>#N/A</v>
      </c>
      <c r="K574" s="5" t="e">
        <f ca="1">IF(OR(INDEX($AI$2:$AI$1001,MATCH(ROWS($AH$2:AH574),$AH$2:$AH$1001,0),1)&gt;=100000,INDEX($AO$1005:$BQ$1005,1,MATCH(COLUMNS($AO$1006:AX1006),$AO$1006:$BQ$1006,0))&gt;=100000), " ",IF(INDEX($AO$2:$BQ$1001,MATCH(ROWS($AH$2:AH574),$AH$2:$AH$1001,0),MATCH(COLUMNS($AO$1006:AX1006),$AO$1006:$BQ$1006,0)), HYPERLINK("#",""), HYPERLINK(CONCATENATE("#Metadata!", ADDRESS(INDEX($AJ$2:$AJ$1001,MATCH(ROWS($AH$2:AH574),$AH$2:$AH$1001,0),0), INDEX($AO$1004:$BQ$1004,1,MATCH(COLUMNS($AO$1006:AX1006),$AO$1006:$BQ$1006,0)))),"Fix")))</f>
        <v>#N/A</v>
      </c>
      <c r="L574" s="5" t="e">
        <f ca="1">IF(OR(INDEX($AI$2:$AI$1001,MATCH(ROWS($AH$2:AH574),$AH$2:$AH$1001,0),1)&gt;=100000,INDEX($AO$1005:$BQ$1005,1,MATCH(COLUMNS($AO$1006:AY1006),$AO$1006:$BQ$1006,0))&gt;=100000), " ",IF(INDEX($AO$2:$BQ$1001,MATCH(ROWS($AH$2:AH574),$AH$2:$AH$1001,0),MATCH(COLUMNS($AO$1006:AY1006),$AO$1006:$BQ$1006,0)), HYPERLINK("#",""), HYPERLINK(CONCATENATE("#Metadata!", ADDRESS(INDEX($AJ$2:$AJ$1001,MATCH(ROWS($AH$2:AH574),$AH$2:$AH$1001,0),0), INDEX($AO$1004:$BQ$1004,1,MATCH(COLUMNS($AO$1006:AY1006),$AO$1006:$BQ$1006,0)))),"Fix")))</f>
        <v>#N/A</v>
      </c>
      <c r="M574" s="5" t="e">
        <f ca="1">IF(OR(INDEX($AI$2:$AI$1001,MATCH(ROWS($AH$2:AH574),$AH$2:$AH$1001,0),1)&gt;=100000,INDEX($AO$1005:$BQ$1005,1,MATCH(COLUMNS($AO$1006:AZ1006),$AO$1006:$BQ$1006,0))&gt;=100000), " ",IF(INDEX($AO$2:$BQ$1001,MATCH(ROWS($AH$2:AH574),$AH$2:$AH$1001,0),MATCH(COLUMNS($AO$1006:AZ1006),$AO$1006:$BQ$1006,0)), HYPERLINK("#",""), HYPERLINK(CONCATENATE("#Metadata!", ADDRESS(INDEX($AJ$2:$AJ$1001,MATCH(ROWS($AH$2:AH574),$AH$2:$AH$1001,0),0), INDEX($AO$1004:$BQ$1004,1,MATCH(COLUMNS($AO$1006:AZ1006),$AO$1006:$BQ$1006,0)))),"Fix")))</f>
        <v>#N/A</v>
      </c>
      <c r="N574" s="5" t="e">
        <f ca="1">IF(OR(INDEX($AI$2:$AI$1001,MATCH(ROWS($AH$2:AH574),$AH$2:$AH$1001,0),1)&gt;=100000,INDEX($AO$1005:$BQ$1005,1,MATCH(COLUMNS($AO$1006:BA1006),$AO$1006:$BQ$1006,0))&gt;=100000), " ",IF(INDEX($AO$2:$BQ$1001,MATCH(ROWS($AH$2:AH574),$AH$2:$AH$1001,0),MATCH(COLUMNS($AO$1006:BA1006),$AO$1006:$BQ$1006,0)), HYPERLINK("#",""), HYPERLINK(CONCATENATE("#Metadata!", ADDRESS(INDEX($AJ$2:$AJ$1001,MATCH(ROWS($AH$2:AH574),$AH$2:$AH$1001,0),0), INDEX($AO$1004:$BQ$1004,1,MATCH(COLUMNS($AO$1006:BA1006),$AO$1006:$BQ$1006,0)))),"Fix")))</f>
        <v>#N/A</v>
      </c>
      <c r="O574" s="5" t="e">
        <f ca="1">IF(OR(INDEX($AI$2:$AI$1001,MATCH(ROWS($AH$2:AH574),$AH$2:$AH$1001,0),1)&gt;=100000,INDEX($AO$1005:$BQ$1005,1,MATCH(COLUMNS($AO$1006:BB1006),$AO$1006:$BQ$1006,0))&gt;=100000), " ",IF(INDEX($AO$2:$BQ$1001,MATCH(ROWS($AH$2:AH574),$AH$2:$AH$1001,0),MATCH(COLUMNS($AO$1006:BB1006),$AO$1006:$BQ$1006,0)), HYPERLINK("#",""), HYPERLINK(CONCATENATE("#Metadata!", ADDRESS(INDEX($AJ$2:$AJ$1001,MATCH(ROWS($AH$2:AH574),$AH$2:$AH$1001,0),0), INDEX($AO$1004:$BQ$1004,1,MATCH(COLUMNS($AO$1006:BB1006),$AO$1006:$BQ$1006,0)))),"Fix")))</f>
        <v>#N/A</v>
      </c>
      <c r="P574" s="5" t="e">
        <f ca="1">IF(OR(INDEX($AI$2:$AI$1001,MATCH(ROWS($AH$2:AH574),$AH$2:$AH$1001,0),1)&gt;=100000,INDEX($AO$1005:$BQ$1005,1,MATCH(COLUMNS($AO$1006:BC1006),$AO$1006:$BQ$1006,0))&gt;=100000), " ",IF(INDEX($AO$2:$BQ$1001,MATCH(ROWS($AH$2:AH574),$AH$2:$AH$1001,0),MATCH(COLUMNS($AO$1006:BC1006),$AO$1006:$BQ$1006,0)), HYPERLINK("#",""), HYPERLINK(CONCATENATE("#Metadata!", ADDRESS(INDEX($AJ$2:$AJ$1001,MATCH(ROWS($AH$2:AH574),$AH$2:$AH$1001,0),0), INDEX($AO$1004:$BQ$1004,1,MATCH(COLUMNS($AO$1006:BC1006),$AO$1006:$BQ$1006,0)))),"Fix")))</f>
        <v>#N/A</v>
      </c>
      <c r="Q574" s="5" t="e">
        <f ca="1">IF(OR(INDEX($AI$2:$AI$1001,MATCH(ROWS($AH$2:AH574),$AH$2:$AH$1001,0),1)&gt;=100000,INDEX($AO$1005:$BQ$1005,1,MATCH(COLUMNS($AO$1006:BD1006),$AO$1006:$BQ$1006,0))&gt;=100000), " ",IF(INDEX($AO$2:$BQ$1001,MATCH(ROWS($AH$2:AH574),$AH$2:$AH$1001,0),MATCH(COLUMNS($AO$1006:BD1006),$AO$1006:$BQ$1006,0)), HYPERLINK("#",""), HYPERLINK(CONCATENATE("#Metadata!", ADDRESS(INDEX($AJ$2:$AJ$1001,MATCH(ROWS($AH$2:AH574),$AH$2:$AH$1001,0),0), INDEX($AO$1004:$BQ$1004,1,MATCH(COLUMNS($AO$1006:BD1006),$AO$1006:$BQ$1006,0)))),"Fix")))</f>
        <v>#N/A</v>
      </c>
      <c r="R574" s="5" t="e">
        <f ca="1">IF(OR(INDEX($AI$2:$AI$1001,MATCH(ROWS($AH$2:AH574),$AH$2:$AH$1001,0),1)&gt;=100000,INDEX($AO$1005:$BQ$1005,1,MATCH(COLUMNS($AO$1006:BE1006),$AO$1006:$BQ$1006,0))&gt;=100000), " ",IF(INDEX($AO$2:$BQ$1001,MATCH(ROWS($AH$2:AH574),$AH$2:$AH$1001,0),MATCH(COLUMNS($AO$1006:BE1006),$AO$1006:$BQ$1006,0)), HYPERLINK("#",""), HYPERLINK(CONCATENATE("#Metadata!", ADDRESS(INDEX($AJ$2:$AJ$1001,MATCH(ROWS($AH$2:AH574),$AH$2:$AH$1001,0),0), INDEX($AO$1004:$BQ$1004,1,MATCH(COLUMNS($AO$1006:BE1006),$AO$1006:$BQ$1006,0)))),"Fix")))</f>
        <v>#N/A</v>
      </c>
      <c r="S574" s="5" t="e">
        <f ca="1">IF(OR(INDEX($AI$2:$AI$1001,MATCH(ROWS($AH$2:AH574),$AH$2:$AH$1001,0),1)&gt;=100000,INDEX($AO$1005:$BQ$1005,1,MATCH(COLUMNS($AO$1006:BF1006),$AO$1006:$BQ$1006,0))&gt;=100000), " ",IF(INDEX($AO$2:$BQ$1001,MATCH(ROWS($AH$2:AH574),$AH$2:$AH$1001,0),MATCH(COLUMNS($AO$1006:BF1006),$AO$1006:$BQ$1006,0)), HYPERLINK("#",""), HYPERLINK(CONCATENATE("#Metadata!", ADDRESS(INDEX($AJ$2:$AJ$1001,MATCH(ROWS($AH$2:AH574),$AH$2:$AH$1001,0),0), INDEX($AO$1004:$BQ$1004,1,MATCH(COLUMNS($AO$1006:BF1006),$AO$1006:$BQ$1006,0)))),"Fix")))</f>
        <v>#N/A</v>
      </c>
      <c r="T574" s="5" t="e">
        <f ca="1">IF(OR(INDEX($AI$2:$AI$1001,MATCH(ROWS($AH$2:AH574),$AH$2:$AH$1001,0),1)&gt;=100000,INDEX($AO$1005:$BQ$1005,1,MATCH(COLUMNS($AO$1006:BG1006),$AO$1006:$BQ$1006,0))&gt;=100000), " ",IF(INDEX($AO$2:$BQ$1001,MATCH(ROWS($AH$2:AH574),$AH$2:$AH$1001,0),MATCH(COLUMNS($AO$1006:BG1006),$AO$1006:$BQ$1006,0)), HYPERLINK("#",""), HYPERLINK(CONCATENATE("#Metadata!", ADDRESS(INDEX($AJ$2:$AJ$1001,MATCH(ROWS($AH$2:AH574),$AH$2:$AH$1001,0),0), INDEX($AO$1004:$BQ$1004,1,MATCH(COLUMNS($AO$1006:BG1006),$AO$1006:$BQ$1006,0)))),"Fix")))</f>
        <v>#N/A</v>
      </c>
      <c r="U574" s="5" t="e">
        <f ca="1">IF(OR(INDEX($AI$2:$AI$1001,MATCH(ROWS($AH$2:AH574),$AH$2:$AH$1001,0),1)&gt;=100000,INDEX($AO$1005:$BQ$1005,1,MATCH(COLUMNS($AO$1006:BH1006),$AO$1006:$BQ$1006,0))&gt;=100000), " ",IF(INDEX($AO$2:$BQ$1001,MATCH(ROWS($AH$2:AH574),$AH$2:$AH$1001,0),MATCH(COLUMNS($AO$1006:BH1006),$AO$1006:$BQ$1006,0)), HYPERLINK("#",""), HYPERLINK(CONCATENATE("#Metadata!", ADDRESS(INDEX($AJ$2:$AJ$1001,MATCH(ROWS($AH$2:AH574),$AH$2:$AH$1001,0),0), INDEX($AO$1004:$BQ$1004,1,MATCH(COLUMNS($AO$1006:BH1006),$AO$1006:$BQ$1006,0)))),"Fix")))</f>
        <v>#N/A</v>
      </c>
      <c r="V574" s="5" t="e">
        <f ca="1">IF(OR(INDEX($AI$2:$AI$1001,MATCH(ROWS($AH$2:AH574),$AH$2:$AH$1001,0),1)&gt;=100000,INDEX($AO$1005:$BQ$1005,1,MATCH(COLUMNS($AO$1006:BI1006),$AO$1006:$BQ$1006,0))&gt;=100000), " ",IF(INDEX($AO$2:$BQ$1001,MATCH(ROWS($AH$2:AH574),$AH$2:$AH$1001,0),MATCH(COLUMNS($AO$1006:BI1006),$AO$1006:$BQ$1006,0)), HYPERLINK("#",""), HYPERLINK(CONCATENATE("#Metadata!", ADDRESS(INDEX($AJ$2:$AJ$1001,MATCH(ROWS($AH$2:AH574),$AH$2:$AH$1001,0),0), INDEX($AO$1004:$BQ$1004,1,MATCH(COLUMNS($AO$1006:BI1006),$AO$1006:$BQ$1006,0)))),"Fix")))</f>
        <v>#N/A</v>
      </c>
      <c r="W574" s="5" t="e">
        <f ca="1">IF(OR(INDEX($AI$2:$AI$1001,MATCH(ROWS($AH$2:AH574),$AH$2:$AH$1001,0),1)&gt;=100000,INDEX($AO$1005:$BQ$1005,1,MATCH(COLUMNS($AO$1006:BJ1006),$AO$1006:$BQ$1006,0))&gt;=100000), " ",IF(INDEX($AO$2:$BQ$1001,MATCH(ROWS($AH$2:AH574),$AH$2:$AH$1001,0),MATCH(COLUMNS($AO$1006:BJ1006),$AO$1006:$BQ$1006,0)), HYPERLINK("#",""), HYPERLINK(CONCATENATE("#Metadata!", ADDRESS(INDEX($AJ$2:$AJ$1001,MATCH(ROWS($AH$2:AH574),$AH$2:$AH$1001,0),0), INDEX($AO$1004:$BQ$1004,1,MATCH(COLUMNS($AO$1006:BJ1006),$AO$1006:$BQ$1006,0)))),"Fix")))</f>
        <v>#N/A</v>
      </c>
      <c r="X574" s="5" t="e">
        <f ca="1">IF(OR(INDEX($AI$2:$AI$1001,MATCH(ROWS($AH$2:AH574),$AH$2:$AH$1001,0),1)&gt;=100000,INDEX($AO$1005:$BQ$1005,1,MATCH(COLUMNS($AO$1006:BK1006),$AO$1006:$BQ$1006,0))&gt;=100000), " ",IF(INDEX($AO$2:$BQ$1001,MATCH(ROWS($AH$2:AH574),$AH$2:$AH$1001,0),MATCH(COLUMNS($AO$1006:BK1006),$AO$1006:$BQ$1006,0)), HYPERLINK("#",""), HYPERLINK(CONCATENATE("#Metadata!", ADDRESS(INDEX($AJ$2:$AJ$1001,MATCH(ROWS($AH$2:AH574),$AH$2:$AH$1001,0),0), INDEX($AO$1004:$BQ$1004,1,MATCH(COLUMNS($AO$1006:BK1006),$AO$1006:$BQ$1006,0)))),"Fix")))</f>
        <v>#N/A</v>
      </c>
      <c r="Y574" s="5" t="e">
        <f ca="1">IF(OR(INDEX($AI$2:$AI$1001,MATCH(ROWS($AH$2:AH574),$AH$2:$AH$1001,0),1)&gt;=100000,INDEX($AO$1005:$BQ$1005,1,MATCH(COLUMNS($AO$1006:BL1006),$AO$1006:$BQ$1006,0))&gt;=100000), " ",IF(INDEX($AO$2:$BQ$1001,MATCH(ROWS($AH$2:AH574),$AH$2:$AH$1001,0),MATCH(COLUMNS($AO$1006:BL1006),$AO$1006:$BQ$1006,0)), HYPERLINK("#",""), HYPERLINK(CONCATENATE("#Metadata!", ADDRESS(INDEX($AJ$2:$AJ$1001,MATCH(ROWS($AH$2:AH574),$AH$2:$AH$1001,0),0), INDEX($AO$1004:$BQ$1004,1,MATCH(COLUMNS($AO$1006:BL1006),$AO$1006:$BQ$1006,0)))),"Fix")))</f>
        <v>#N/A</v>
      </c>
      <c r="Z574" s="5" t="e">
        <f ca="1">IF(OR(INDEX($AI$2:$AI$1001,MATCH(ROWS($AH$2:AH574),$AH$2:$AH$1001,0),1)&gt;=100000,INDEX($AO$1005:$BQ$1005,1,MATCH(COLUMNS($AO$1006:BM1006),$AO$1006:$BQ$1006,0))&gt;=100000), " ",IF(INDEX($AO$2:$BQ$1001,MATCH(ROWS($AH$2:AH574),$AH$2:$AH$1001,0),MATCH(COLUMNS($AO$1006:BM1006),$AO$1006:$BQ$1006,0)), HYPERLINK("#",""), HYPERLINK(CONCATENATE("#Metadata!", ADDRESS(INDEX($AJ$2:$AJ$1001,MATCH(ROWS($AH$2:AH574),$AH$2:$AH$1001,0),0), INDEX($AO$1004:$BQ$1004,1,MATCH(COLUMNS($AO$1006:BM1006),$AO$1006:$BQ$1006,0)))),"Fix")))</f>
        <v>#N/A</v>
      </c>
      <c r="AA574" s="5" t="e">
        <f ca="1">IF(OR(INDEX($AI$2:$AI$1001,MATCH(ROWS($AH$2:AH574),$AH$2:$AH$1001,0),1)&gt;=100000,INDEX($AO$1005:$BQ$1005,1,MATCH(COLUMNS($AO$1006:BN1006),$AO$1006:$BQ$1006,0))&gt;=100000), " ",IF(INDEX($AO$2:$BQ$1001,MATCH(ROWS($AH$2:AH574),$AH$2:$AH$1001,0),MATCH(COLUMNS($AO$1006:BN1006),$AO$1006:$BQ$1006,0)), HYPERLINK("#",""), HYPERLINK(CONCATENATE("#Metadata!", ADDRESS(INDEX($AJ$2:$AJ$1001,MATCH(ROWS($AH$2:AH574),$AH$2:$AH$1001,0),0), INDEX($AO$1004:$BQ$1004,1,MATCH(COLUMNS($AO$1006:BN1006),$AO$1006:$BQ$1006,0)))),"Fix")))</f>
        <v>#N/A</v>
      </c>
      <c r="AB574" s="5" t="e">
        <f ca="1">IF(OR(INDEX($AI$2:$AI$1001,MATCH(ROWS($AH$2:AH574),$AH$2:$AH$1001,0),1)&gt;=100000,INDEX($AO$1005:$BQ$1005,1,MATCH(COLUMNS($AO$1006:BO1006),$AO$1006:$BQ$1006,0))&gt;=100000), " ",IF(INDEX($AO$2:$BQ$1001,MATCH(ROWS($AH$2:AH574),$AH$2:$AH$1001,0),MATCH(COLUMNS($AO$1006:BO1006),$AO$1006:$BQ$1006,0)), HYPERLINK("#",""), HYPERLINK(CONCATENATE("#Metadata!", ADDRESS(INDEX($AJ$2:$AJ$1001,MATCH(ROWS($AH$2:AH574),$AH$2:$AH$1001,0),0), INDEX($AO$1004:$BQ$1004,1,MATCH(COLUMNS($AO$1006:BO1006),$AO$1006:$BQ$1006,0)))),"Fix")))</f>
        <v>#N/A</v>
      </c>
      <c r="AC574" s="5" t="e">
        <f ca="1">IF(OR(INDEX($AI$2:$AI$1001,MATCH(ROWS($AH$2:AH574),$AH$2:$AH$1001,0),1)&gt;=100000,INDEX($AO$1005:$BQ$1005,1,MATCH(COLUMNS($AO$1006:BP1006),$AO$1006:$BQ$1006,0))&gt;=100000), " ",IF(INDEX($AO$2:$BQ$1001,MATCH(ROWS($AH$2:AH574),$AH$2:$AH$1001,0),MATCH(COLUMNS($AO$1006:BP1006),$AO$1006:$BQ$1006,0)), HYPERLINK("#",""), HYPERLINK(CONCATENATE("#Metadata!", ADDRESS(INDEX($AJ$2:$AJ$1001,MATCH(ROWS($AH$2:AH574),$AH$2:$AH$1001,0),0), INDEX($AO$1004:$BQ$1004,1,MATCH(COLUMNS($AO$1006:BP1006),$AO$1006:$BQ$1006,0)))),"Fix")))</f>
        <v>#N/A</v>
      </c>
      <c r="AD574" s="5" t="e">
        <f ca="1">IF(OR(INDEX($AI$2:$AI$1001,MATCH(ROWS($AH$2:AH574),$AH$2:$AH$1001,0),1)&gt;=100000,INDEX($AO$1005:$BQ$1005,1,MATCH(COLUMNS($AO$1006:BQ1006),$AO$1006:$BQ$1006,0))&gt;=100000), " ",IF(INDEX($AO$2:$BQ$1001,MATCH(ROWS($AH$2:AH574),$AH$2:$AH$1001,0),MATCH(COLUMNS($AO$1006:BQ1006),$AO$1006:$BQ$1006,0)), HYPERLINK("#",""), HYPERLINK(CONCATENATE("#Metadata!", ADDRESS(INDEX($AJ$2:$AJ$1001,MATCH(ROWS($AH$2:AH574),$AH$2:$AH$1001,0),0), INDEX($AO$1004:$BQ$1004,1,MATCH(COLUMNS($AO$1006:BQ1006),$AO$1006:$BQ$1006,0)))),"Fix")))</f>
        <v>#REF!</v>
      </c>
      <c r="AH574">
        <f ca="1"/>
        <v>571</v>
      </c>
      <c r="AI574">
        <v>100574</v>
      </c>
      <c r="AJ574">
        <v>574</v>
      </c>
      <c r="AK574" t="b">
        <f t="shared" si="8"/>
        <v>1</v>
      </c>
      <c r="AL574" t="b">
        <f>COUNTBLANK(Metadata!B574:AD574)=COLUMNS(Metadata!B574:AD574)</f>
        <v>1</v>
      </c>
      <c r="AM574" t="str">
        <v/>
      </c>
      <c r="AO574" t="b">
        <f ca="1">AND(IF(Metadata!B574="",FALSE,TRUE),COUNTIF(Metadata!B:B, Metadata!B574) = 1,NOT(ISERROR(SUMPRODUCT(SEARCH(MID(Metadata!B574,ROW(INDIRECT("1:"&amp;LEN(Metadata!B574))), 1),"0123456789abcdefghijklmnopqrstuvwxyzABCDEFGHIJKLMNOPQRSTUVWXYZ.")))))</f>
        <v>0</v>
      </c>
      <c r="AP574" t="b">
        <f>IF(Metadata!C574="",FALSE,TRUE)</f>
        <v>0</v>
      </c>
      <c r="AQ574" t="b">
        <f>IF(Metadata!D574="",FALSE,TRUE)</f>
        <v>0</v>
      </c>
      <c r="AR574" t="b">
        <f ca="1">OR(AND(IF(Metadata!E574="",FALSE,TRUE),OR(EXACT(Metadata!E574,"not collected"),EXACT(Metadata!E574,"not provided"),EXACT(Metadata!E574,"restricted access"))),AND(IF(Metadata!E574="",FALSE,TRUE),AND(AND(IFERROR(INT(LEFT(Metadata!E574,4))&gt;1900,FALSE),IFERROR(INT(LEFT(Metadata!E574,4))&lt;=YEAR(NOW()),FALSE)), OR(MID(Metadata!E574,5,1)="", AND(AND(MID(Metadata!E574,5,1)="-",IFERROR(INT(MID(Metadata!E574,6,1))&gt;=0,FALSE),IFERROR(INT(MID(Metadata!E574,6,1))&lt;=1,FALSE),NOT(MID(Metadata!E574,7,1)=""),IFERROR(INT(MID(Metadata!E574,6,2))&gt;=1,FALSE),IFERROR(INT(MID(Metadata!E574,6,2))&lt;=12,FALSE)), OR(MID(Metadata!E574,8,1)="", AND(AND(MID(Metadata!E574,8,1)="-",IFERROR(INT(MID(Metadata!E574,9,1))&gt;=0,FALSE),IFERROR(INT(MID(Metadata!E574,9,1))&lt;=3,FALSE),NOT(MID(Metadata!E574,10,1)=""),IFERROR(INT(MID(Metadata!E574,9,2))&gt;=1,FALSE),IFERROR(INT(MID(Metadata!E574,9,2))&lt;=31,FALSE)), OR(MID(Metadata!E574,11,1)="", AND(AND(MID(Metadata!E574,11,1)=" ",IFERROR(INT(MID(Metadata!E574,12,1))&gt;=0,FALSE),IFERROR(INT(MID(Metadata!E574,12,1))&lt;=2,FALSE),NOT(MID(Metadata!E574,13,1)=""),IFERROR(INT(MID(Metadata!E574,12,2))&gt;=0,FALSE),IFERROR(INT(MID(Metadata!E574,12,2))&lt;=23,FALSE)), OR(MID(Metadata!E574,14,1)="", AND(AND(MID(Metadata!E574,14,1)=":",IFERROR(INT(MID(Metadata!E574,15,1))&gt;=0,FALSE),IFERROR(INT(MID(Metadata!E574,15,1))&lt;=5,FALSE),NOT(MID(Metadata!E574,16,1)=""),IFERROR(INT(MID(Metadata!E574,15,2))&gt;=0,FALSE),IFERROR(INT(MID(Metadata!E574,15,2))&lt;=59,FALSE)), OR(MID(Metadata!E574,17,1)="", AND(AND(MID(Metadata!E574,17,1)=":",IFERROR(INT(MID(Metadata!E574,18,1))&gt;=0,FALSE),IFERROR(INT(MID(Metadata!E574,18,1))&lt;=5,FALSE),NOT(MID(Metadata!E574,19,1)=""),IFERROR(INT(MID(Metadata!E574,18,2))&gt;=0,FALSE),IFERROR(INT(MID(Metadata!E574,18,2))&lt;=59,FALSE)), LEN(Metadata!E574)&lt;=19)))))))))))))</f>
        <v>0</v>
      </c>
      <c r="AS574" t="b">
        <f>IF(Metadata!F574="",FALSE,TRUE)</f>
        <v>0</v>
      </c>
      <c r="AT574" t="b">
        <f>OR(AND(IF(Metadata!G574="",FALSE,TRUE),OR(EXACT(Metadata!G574,"not collected"),EXACT(Metadata!G574,"not provided"))),AND(IF(Metadata!G574="",FALSE,TRUE),OR(EXACT(Metadata!G574,"TRUE"),EXACT(Metadata!G574,"FALSE"))))</f>
        <v>0</v>
      </c>
      <c r="AU574" t="b">
        <f>OR(AND(IF(Metadata!H574="",FALSE,TRUE),OR(EXACT(Metadata!H574,"not collected"),EXACT(Metadata!H574,"not provided"),EXACT(Metadata!H574,"restricted access"))),AND(IF(Metadata!H574="",FALSE,ISNUMBER(VALUE(Metadata!H574))),Metadata!H574&gt;=-413))</f>
        <v>0</v>
      </c>
      <c r="AV574" t="b">
        <f>AND(IF(Metadata!I574="",FALSE,TRUE),EXACT(Metadata!I574,"meters"))</f>
        <v>0</v>
      </c>
      <c r="AW574" t="b">
        <f>AND(IF(Metadata!J574="",FALSE,TRUE),EXACT(Metadata!J574,"free-living"))</f>
        <v>0</v>
      </c>
      <c r="AX574" t="b">
        <f>AND(IF(Metadata!K574="",FALSE,TRUE),OR(EXACT(Metadata!K574,"saline"),EXACT(Metadata!K574,"non-saline")))</f>
        <v>0</v>
      </c>
      <c r="AY574" t="b">
        <f>AND(IF(Metadata!L574="",FALSE,TRUE),OR(EXACT(Metadata!L574,"sub-surface (non-saline)"),EXACT(Metadata!L574,"surface (non-saline)"),EXACT(Metadata!L574,"water (non-saline)"),EXACT(Metadata!L574,"soil (non-saline)"),EXACT(Metadata!L574,"aerosol (non-saline)"),EXACT(Metadata!L574,"sediment (non-saline)"),EXACT(Metadata!L574,"surface (saline)"),EXACT(Metadata!L574,"water (saline)"),EXACT(Metadata!L574,"hypersaline (saline)"),EXACT(Metadata!L574,"aerosol (saline)"),EXACT(Metadata!L574,"sediment (saline)")))</f>
        <v>0</v>
      </c>
      <c r="AZ574" t="b">
        <f>IF(Metadata!M574="",FALSE,TRUE)</f>
        <v>0</v>
      </c>
      <c r="BA574" t="b">
        <f>IF(Metadata!N574="",FALSE,TRUE)</f>
        <v>0</v>
      </c>
      <c r="BB574" t="b">
        <f>IF(Metadata!O574="",FALSE,TRUE)</f>
        <v>0</v>
      </c>
      <c r="BC574" t="b">
        <f>AND(IF(Metadata!P574="",FALSE,TRUE),OR(EXACT(Metadata!P574,"air"),EXACT(Metadata!P574,"microbial mat/biofilm"),EXACT(Metadata!P574,"misc environment"),EXACT(Metadata!P574,"sediment"),EXACT(Metadata!P574,"soil"),EXACT(Metadata!P574,"wastewater/sludge"),EXACT(Metadata!P574,"water")))</f>
        <v>0</v>
      </c>
      <c r="BD574" t="b">
        <f>IF(Metadata!Q574="",FALSE,TRUE)</f>
        <v>0</v>
      </c>
      <c r="BE574" t="b">
        <f>IF(Metadata!R574="",FALSE,TRUE)</f>
        <v>0</v>
      </c>
      <c r="BF574" t="b">
        <f>OR(AND(IF(Metadata!S574="",FALSE,TRUE),OR(EXACT(Metadata!S574,"not collected"),EXACT(Metadata!S574,"not provided"),EXACT(Metadata!S574,"restricted access"))),AND(IF(Metadata!S574="",FALSE,ISNUMBER(VALUE(Metadata!S574))),Metadata!S574&gt;=-90,Metadata!S574&lt;=90))</f>
        <v>0</v>
      </c>
      <c r="BG574" t="b">
        <f>AND(IF(Metadata!T574="",FALSE,TRUE),EXACT(Metadata!T574,"Decimal degrees"))</f>
        <v>0</v>
      </c>
      <c r="BH574" t="b">
        <f>OR(AND(IF(Metadata!U574="",FALSE,TRUE),OR(EXACT(Metadata!U574,"not applicable"),EXACT(Metadata!U574,"not collected"))),IF(Metadata!U574="",FALSE,TRUE))</f>
        <v>0</v>
      </c>
      <c r="BI574" t="b">
        <f>OR(AND(IF(Metadata!V574="",FALSE,TRUE),OR(EXACT(Metadata!V574,"not collected"),EXACT(Metadata!V574,"not provided"),EXACT(Metadata!V574,"restricted access"))),AND(IF(Metadata!V574="",FALSE,ISNUMBER(VALUE(Metadata!V574))),Metadata!V574&gt;=-180,Metadata!V574&lt;=180))</f>
        <v>0</v>
      </c>
      <c r="BJ574" t="b">
        <f>AND(IF(Metadata!W574="",FALSE,TRUE),EXACT(Metadata!W574,"Decimal degrees"))</f>
        <v>0</v>
      </c>
      <c r="BK574" t="b">
        <f>IF(Metadata!X574="",FALSE,TRUE)</f>
        <v>0</v>
      </c>
      <c r="BL574" t="b">
        <f>OR(AND(IF(Metadata!Y574="",FALSE,TRUE),OR(EXACT(Metadata!Y574,"not collected"),EXACT(Metadata!Y574,"not provided"),EXACT(Metadata!Y574,"restricted access"))),AND(IF(Metadata!Y574="",FALSE,TRUE),OR(EXACT(Metadata!Y574,"TRUE"),EXACT(Metadata!Y574,"FALSE"))))</f>
        <v>0</v>
      </c>
      <c r="BM574" t="b">
        <f>OR(AND(IF(Metadata!Z574="",FALSE,TRUE),EXACT(Metadata!Z574,"not applicable")),AND(IF(Metadata!Z574="",FALSE,TRUE),OR(EXACT(Metadata!Z574,"beer"),EXACT(Metadata!Z574,"cheese"),EXACT(Metadata!Z574,"fresh water"),EXACT(Metadata!Z574,"marine sediment"),EXACT(Metadata!Z574,"sea water"),EXACT(Metadata!Z574,"sediment"),EXACT(Metadata!Z574,"soil"),EXACT(Metadata!Z574,"waste water"))))</f>
        <v>0</v>
      </c>
      <c r="BN574" t="b">
        <f>AND(IF(Metadata!AA574="",FALSE,TRUE),EXACT(Metadata!AA574,"metagenome"))</f>
        <v>0</v>
      </c>
      <c r="BO574" t="b">
        <f>AND(IF(Metadata!AB574="",FALSE,TRUE),EXACT(Metadata!AB574,"256318"))</f>
        <v>0</v>
      </c>
      <c r="BP574" t="b">
        <f>IF(Metadata!AC574="",FALSE,TRUE)</f>
        <v>0</v>
      </c>
      <c r="BQ574" t="b">
        <f>IF(Metadata!AD574="",FALSE,TRUE)</f>
        <v>0</v>
      </c>
    </row>
    <row r="575" spans="1:69" x14ac:dyDescent="0.2">
      <c r="A575" s="4" t="e">
        <f ca="1">IF(B575=" "," ",HYPERLINK(CONCATENATE("#metadata!",ADDRESS(INDEX($AJ$2:$AJ$1001,MATCH(ROWS($AH$2:AH575),$AH$2:$AH$1001,0),0),2)),INDEX($AM$2:$AM$1001,MATCH(ROWS($AH$2:AH575),$AH$2:$AH$1001,0),0)))</f>
        <v>#N/A</v>
      </c>
      <c r="B575" s="5" t="e">
        <f ca="1">IF(OR(INDEX($AI$2:$AI$1001,MATCH(ROWS($AH$2:AH575),$AH$2:$AH$1001,0),1)&gt;=100000,INDEX($AO$1005:$BQ$1005,1,MATCH(COLUMNS($AO$1006:AO1006),$AO$1006:$BQ$1006,0))&gt;=100000), " ",IF(INDEX($AO$2:$BQ$1001,MATCH(ROWS($AH$2:AH575),$AH$2:$AH$1001,0),MATCH(COLUMNS($AO$1006:AO1006),$AO$1006:$BQ$1006,0)), HYPERLINK("#",""), HYPERLINK(CONCATENATE("#Metadata!", ADDRESS(INDEX($AJ$2:$AJ$1001,MATCH(ROWS($AH$2:AH575),$AH$2:$AH$1001,0),0), INDEX($AO$1004:$BQ$1004,1,MATCH(COLUMNS($AO$1006:AO1006),$AO$1006:$BQ$1006,0)))),"Fix")))</f>
        <v>#N/A</v>
      </c>
      <c r="C575" s="5" t="e">
        <f ca="1">IF(OR(INDEX($AI$2:$AI$1001,MATCH(ROWS($AH$2:AH575),$AH$2:$AH$1001,0),1)&gt;=100000,INDEX($AO$1005:$BQ$1005,1,MATCH(COLUMNS($AO$1006:AP1006),$AO$1006:$BQ$1006,0))&gt;=100000), " ",IF(INDEX($AO$2:$BQ$1001,MATCH(ROWS($AH$2:AH575),$AH$2:$AH$1001,0),MATCH(COLUMNS($AO$1006:AP1006),$AO$1006:$BQ$1006,0)), HYPERLINK("#",""), HYPERLINK(CONCATENATE("#Metadata!", ADDRESS(INDEX($AJ$2:$AJ$1001,MATCH(ROWS($AH$2:AH575),$AH$2:$AH$1001,0),0), INDEX($AO$1004:$BQ$1004,1,MATCH(COLUMNS($AO$1006:AP1006),$AO$1006:$BQ$1006,0)))),"Fix")))</f>
        <v>#N/A</v>
      </c>
      <c r="D575" s="5" t="e">
        <f ca="1">IF(OR(INDEX($AI$2:$AI$1001,MATCH(ROWS($AH$2:AH575),$AH$2:$AH$1001,0),1)&gt;=100000,INDEX($AO$1005:$BQ$1005,1,MATCH(COLUMNS($AO$1006:AQ1006),$AO$1006:$BQ$1006,0))&gt;=100000), " ",IF(INDEX($AO$2:$BQ$1001,MATCH(ROWS($AH$2:AH575),$AH$2:$AH$1001,0),MATCH(COLUMNS($AO$1006:AQ1006),$AO$1006:$BQ$1006,0)), HYPERLINK("#",""), HYPERLINK(CONCATENATE("#Metadata!", ADDRESS(INDEX($AJ$2:$AJ$1001,MATCH(ROWS($AH$2:AH575),$AH$2:$AH$1001,0),0), INDEX($AO$1004:$BQ$1004,1,MATCH(COLUMNS($AO$1006:AQ1006),$AO$1006:$BQ$1006,0)))),"Fix")))</f>
        <v>#N/A</v>
      </c>
      <c r="E575" s="5" t="e">
        <f ca="1">IF(OR(INDEX($AI$2:$AI$1001,MATCH(ROWS($AH$2:AH575),$AH$2:$AH$1001,0),1)&gt;=100000,INDEX($AO$1005:$BQ$1005,1,MATCH(COLUMNS($AO$1006:AR1006),$AO$1006:$BQ$1006,0))&gt;=100000), " ",IF(INDEX($AO$2:$BQ$1001,MATCH(ROWS($AH$2:AH575),$AH$2:$AH$1001,0),MATCH(COLUMNS($AO$1006:AR1006),$AO$1006:$BQ$1006,0)), HYPERLINK("#",""), HYPERLINK(CONCATENATE("#Metadata!", ADDRESS(INDEX($AJ$2:$AJ$1001,MATCH(ROWS($AH$2:AH575),$AH$2:$AH$1001,0),0), INDEX($AO$1004:$BQ$1004,1,MATCH(COLUMNS($AO$1006:AR1006),$AO$1006:$BQ$1006,0)))),"Fix")))</f>
        <v>#N/A</v>
      </c>
      <c r="F575" s="5" t="e">
        <f ca="1">IF(OR(INDEX($AI$2:$AI$1001,MATCH(ROWS($AH$2:AH575),$AH$2:$AH$1001,0),1)&gt;=100000,INDEX($AO$1005:$BQ$1005,1,MATCH(COLUMNS($AO$1006:AS1006),$AO$1006:$BQ$1006,0))&gt;=100000), " ",IF(INDEX($AO$2:$BQ$1001,MATCH(ROWS($AH$2:AH575),$AH$2:$AH$1001,0),MATCH(COLUMNS($AO$1006:AS1006),$AO$1006:$BQ$1006,0)), HYPERLINK("#",""), HYPERLINK(CONCATENATE("#Metadata!", ADDRESS(INDEX($AJ$2:$AJ$1001,MATCH(ROWS($AH$2:AH575),$AH$2:$AH$1001,0),0), INDEX($AO$1004:$BQ$1004,1,MATCH(COLUMNS($AO$1006:AS1006),$AO$1006:$BQ$1006,0)))),"Fix")))</f>
        <v>#N/A</v>
      </c>
      <c r="G575" s="5" t="e">
        <f ca="1">IF(OR(INDEX($AI$2:$AI$1001,MATCH(ROWS($AH$2:AH575),$AH$2:$AH$1001,0),1)&gt;=100000,INDEX($AO$1005:$BQ$1005,1,MATCH(COLUMNS($AO$1006:AT1006),$AO$1006:$BQ$1006,0))&gt;=100000), " ",IF(INDEX($AO$2:$BQ$1001,MATCH(ROWS($AH$2:AH575),$AH$2:$AH$1001,0),MATCH(COLUMNS($AO$1006:AT1006),$AO$1006:$BQ$1006,0)), HYPERLINK("#",""), HYPERLINK(CONCATENATE("#Metadata!", ADDRESS(INDEX($AJ$2:$AJ$1001,MATCH(ROWS($AH$2:AH575),$AH$2:$AH$1001,0),0), INDEX($AO$1004:$BQ$1004,1,MATCH(COLUMNS($AO$1006:AT1006),$AO$1006:$BQ$1006,0)))),"Fix")))</f>
        <v>#N/A</v>
      </c>
      <c r="H575" s="5" t="e">
        <f ca="1">IF(OR(INDEX($AI$2:$AI$1001,MATCH(ROWS($AH$2:AH575),$AH$2:$AH$1001,0),1)&gt;=100000,INDEX($AO$1005:$BQ$1005,1,MATCH(COLUMNS($AO$1006:AU1006),$AO$1006:$BQ$1006,0))&gt;=100000), " ",IF(INDEX($AO$2:$BQ$1001,MATCH(ROWS($AH$2:AH575),$AH$2:$AH$1001,0),MATCH(COLUMNS($AO$1006:AU1006),$AO$1006:$BQ$1006,0)), HYPERLINK("#",""), HYPERLINK(CONCATENATE("#Metadata!", ADDRESS(INDEX($AJ$2:$AJ$1001,MATCH(ROWS($AH$2:AH575),$AH$2:$AH$1001,0),0), INDEX($AO$1004:$BQ$1004,1,MATCH(COLUMNS($AO$1006:AU1006),$AO$1006:$BQ$1006,0)))),"Fix")))</f>
        <v>#N/A</v>
      </c>
      <c r="I575" s="5" t="e">
        <f ca="1">IF(OR(INDEX($AI$2:$AI$1001,MATCH(ROWS($AH$2:AH575),$AH$2:$AH$1001,0),1)&gt;=100000,INDEX($AO$1005:$BQ$1005,1,MATCH(COLUMNS($AO$1006:AV1006),$AO$1006:$BQ$1006,0))&gt;=100000), " ",IF(INDEX($AO$2:$BQ$1001,MATCH(ROWS($AH$2:AH575),$AH$2:$AH$1001,0),MATCH(COLUMNS($AO$1006:AV1006),$AO$1006:$BQ$1006,0)), HYPERLINK("#",""), HYPERLINK(CONCATENATE("#Metadata!", ADDRESS(INDEX($AJ$2:$AJ$1001,MATCH(ROWS($AH$2:AH575),$AH$2:$AH$1001,0),0), INDEX($AO$1004:$BQ$1004,1,MATCH(COLUMNS($AO$1006:AV1006),$AO$1006:$BQ$1006,0)))),"Fix")))</f>
        <v>#N/A</v>
      </c>
      <c r="J575" s="5" t="e">
        <f ca="1">IF(OR(INDEX($AI$2:$AI$1001,MATCH(ROWS($AH$2:AH575),$AH$2:$AH$1001,0),1)&gt;=100000,INDEX($AO$1005:$BQ$1005,1,MATCH(COLUMNS($AO$1006:AW1006),$AO$1006:$BQ$1006,0))&gt;=100000), " ",IF(INDEX($AO$2:$BQ$1001,MATCH(ROWS($AH$2:AH575),$AH$2:$AH$1001,0),MATCH(COLUMNS($AO$1006:AW1006),$AO$1006:$BQ$1006,0)), HYPERLINK("#",""), HYPERLINK(CONCATENATE("#Metadata!", ADDRESS(INDEX($AJ$2:$AJ$1001,MATCH(ROWS($AH$2:AH575),$AH$2:$AH$1001,0),0), INDEX($AO$1004:$BQ$1004,1,MATCH(COLUMNS($AO$1006:AW1006),$AO$1006:$BQ$1006,0)))),"Fix")))</f>
        <v>#N/A</v>
      </c>
      <c r="K575" s="5" t="e">
        <f ca="1">IF(OR(INDEX($AI$2:$AI$1001,MATCH(ROWS($AH$2:AH575),$AH$2:$AH$1001,0),1)&gt;=100000,INDEX($AO$1005:$BQ$1005,1,MATCH(COLUMNS($AO$1006:AX1006),$AO$1006:$BQ$1006,0))&gt;=100000), " ",IF(INDEX($AO$2:$BQ$1001,MATCH(ROWS($AH$2:AH575),$AH$2:$AH$1001,0),MATCH(COLUMNS($AO$1006:AX1006),$AO$1006:$BQ$1006,0)), HYPERLINK("#",""), HYPERLINK(CONCATENATE("#Metadata!", ADDRESS(INDEX($AJ$2:$AJ$1001,MATCH(ROWS($AH$2:AH575),$AH$2:$AH$1001,0),0), INDEX($AO$1004:$BQ$1004,1,MATCH(COLUMNS($AO$1006:AX1006),$AO$1006:$BQ$1006,0)))),"Fix")))</f>
        <v>#N/A</v>
      </c>
      <c r="L575" s="5" t="e">
        <f ca="1">IF(OR(INDEX($AI$2:$AI$1001,MATCH(ROWS($AH$2:AH575),$AH$2:$AH$1001,0),1)&gt;=100000,INDEX($AO$1005:$BQ$1005,1,MATCH(COLUMNS($AO$1006:AY1006),$AO$1006:$BQ$1006,0))&gt;=100000), " ",IF(INDEX($AO$2:$BQ$1001,MATCH(ROWS($AH$2:AH575),$AH$2:$AH$1001,0),MATCH(COLUMNS($AO$1006:AY1006),$AO$1006:$BQ$1006,0)), HYPERLINK("#",""), HYPERLINK(CONCATENATE("#Metadata!", ADDRESS(INDEX($AJ$2:$AJ$1001,MATCH(ROWS($AH$2:AH575),$AH$2:$AH$1001,0),0), INDEX($AO$1004:$BQ$1004,1,MATCH(COLUMNS($AO$1006:AY1006),$AO$1006:$BQ$1006,0)))),"Fix")))</f>
        <v>#N/A</v>
      </c>
      <c r="M575" s="5" t="e">
        <f ca="1">IF(OR(INDEX($AI$2:$AI$1001,MATCH(ROWS($AH$2:AH575),$AH$2:$AH$1001,0),1)&gt;=100000,INDEX($AO$1005:$BQ$1005,1,MATCH(COLUMNS($AO$1006:AZ1006),$AO$1006:$BQ$1006,0))&gt;=100000), " ",IF(INDEX($AO$2:$BQ$1001,MATCH(ROWS($AH$2:AH575),$AH$2:$AH$1001,0),MATCH(COLUMNS($AO$1006:AZ1006),$AO$1006:$BQ$1006,0)), HYPERLINK("#",""), HYPERLINK(CONCATENATE("#Metadata!", ADDRESS(INDEX($AJ$2:$AJ$1001,MATCH(ROWS($AH$2:AH575),$AH$2:$AH$1001,0),0), INDEX($AO$1004:$BQ$1004,1,MATCH(COLUMNS($AO$1006:AZ1006),$AO$1006:$BQ$1006,0)))),"Fix")))</f>
        <v>#N/A</v>
      </c>
      <c r="N575" s="5" t="e">
        <f ca="1">IF(OR(INDEX($AI$2:$AI$1001,MATCH(ROWS($AH$2:AH575),$AH$2:$AH$1001,0),1)&gt;=100000,INDEX($AO$1005:$BQ$1005,1,MATCH(COLUMNS($AO$1006:BA1006),$AO$1006:$BQ$1006,0))&gt;=100000), " ",IF(INDEX($AO$2:$BQ$1001,MATCH(ROWS($AH$2:AH575),$AH$2:$AH$1001,0),MATCH(COLUMNS($AO$1006:BA1006),$AO$1006:$BQ$1006,0)), HYPERLINK("#",""), HYPERLINK(CONCATENATE("#Metadata!", ADDRESS(INDEX($AJ$2:$AJ$1001,MATCH(ROWS($AH$2:AH575),$AH$2:$AH$1001,0),0), INDEX($AO$1004:$BQ$1004,1,MATCH(COLUMNS($AO$1006:BA1006),$AO$1006:$BQ$1006,0)))),"Fix")))</f>
        <v>#N/A</v>
      </c>
      <c r="O575" s="5" t="e">
        <f ca="1">IF(OR(INDEX($AI$2:$AI$1001,MATCH(ROWS($AH$2:AH575),$AH$2:$AH$1001,0),1)&gt;=100000,INDEX($AO$1005:$BQ$1005,1,MATCH(COLUMNS($AO$1006:BB1006),$AO$1006:$BQ$1006,0))&gt;=100000), " ",IF(INDEX($AO$2:$BQ$1001,MATCH(ROWS($AH$2:AH575),$AH$2:$AH$1001,0),MATCH(COLUMNS($AO$1006:BB1006),$AO$1006:$BQ$1006,0)), HYPERLINK("#",""), HYPERLINK(CONCATENATE("#Metadata!", ADDRESS(INDEX($AJ$2:$AJ$1001,MATCH(ROWS($AH$2:AH575),$AH$2:$AH$1001,0),0), INDEX($AO$1004:$BQ$1004,1,MATCH(COLUMNS($AO$1006:BB1006),$AO$1006:$BQ$1006,0)))),"Fix")))</f>
        <v>#N/A</v>
      </c>
      <c r="P575" s="5" t="e">
        <f ca="1">IF(OR(INDEX($AI$2:$AI$1001,MATCH(ROWS($AH$2:AH575),$AH$2:$AH$1001,0),1)&gt;=100000,INDEX($AO$1005:$BQ$1005,1,MATCH(COLUMNS($AO$1006:BC1006),$AO$1006:$BQ$1006,0))&gt;=100000), " ",IF(INDEX($AO$2:$BQ$1001,MATCH(ROWS($AH$2:AH575),$AH$2:$AH$1001,0),MATCH(COLUMNS($AO$1006:BC1006),$AO$1006:$BQ$1006,0)), HYPERLINK("#",""), HYPERLINK(CONCATENATE("#Metadata!", ADDRESS(INDEX($AJ$2:$AJ$1001,MATCH(ROWS($AH$2:AH575),$AH$2:$AH$1001,0),0), INDEX($AO$1004:$BQ$1004,1,MATCH(COLUMNS($AO$1006:BC1006),$AO$1006:$BQ$1006,0)))),"Fix")))</f>
        <v>#N/A</v>
      </c>
      <c r="Q575" s="5" t="e">
        <f ca="1">IF(OR(INDEX($AI$2:$AI$1001,MATCH(ROWS($AH$2:AH575),$AH$2:$AH$1001,0),1)&gt;=100000,INDEX($AO$1005:$BQ$1005,1,MATCH(COLUMNS($AO$1006:BD1006),$AO$1006:$BQ$1006,0))&gt;=100000), " ",IF(INDEX($AO$2:$BQ$1001,MATCH(ROWS($AH$2:AH575),$AH$2:$AH$1001,0),MATCH(COLUMNS($AO$1006:BD1006),$AO$1006:$BQ$1006,0)), HYPERLINK("#",""), HYPERLINK(CONCATENATE("#Metadata!", ADDRESS(INDEX($AJ$2:$AJ$1001,MATCH(ROWS($AH$2:AH575),$AH$2:$AH$1001,0),0), INDEX($AO$1004:$BQ$1004,1,MATCH(COLUMNS($AO$1006:BD1006),$AO$1006:$BQ$1006,0)))),"Fix")))</f>
        <v>#N/A</v>
      </c>
      <c r="R575" s="5" t="e">
        <f ca="1">IF(OR(INDEX($AI$2:$AI$1001,MATCH(ROWS($AH$2:AH575),$AH$2:$AH$1001,0),1)&gt;=100000,INDEX($AO$1005:$BQ$1005,1,MATCH(COLUMNS($AO$1006:BE1006),$AO$1006:$BQ$1006,0))&gt;=100000), " ",IF(INDEX($AO$2:$BQ$1001,MATCH(ROWS($AH$2:AH575),$AH$2:$AH$1001,0),MATCH(COLUMNS($AO$1006:BE1006),$AO$1006:$BQ$1006,0)), HYPERLINK("#",""), HYPERLINK(CONCATENATE("#Metadata!", ADDRESS(INDEX($AJ$2:$AJ$1001,MATCH(ROWS($AH$2:AH575),$AH$2:$AH$1001,0),0), INDEX($AO$1004:$BQ$1004,1,MATCH(COLUMNS($AO$1006:BE1006),$AO$1006:$BQ$1006,0)))),"Fix")))</f>
        <v>#N/A</v>
      </c>
      <c r="S575" s="5" t="e">
        <f ca="1">IF(OR(INDEX($AI$2:$AI$1001,MATCH(ROWS($AH$2:AH575),$AH$2:$AH$1001,0),1)&gt;=100000,INDEX($AO$1005:$BQ$1005,1,MATCH(COLUMNS($AO$1006:BF1006),$AO$1006:$BQ$1006,0))&gt;=100000), " ",IF(INDEX($AO$2:$BQ$1001,MATCH(ROWS($AH$2:AH575),$AH$2:$AH$1001,0),MATCH(COLUMNS($AO$1006:BF1006),$AO$1006:$BQ$1006,0)), HYPERLINK("#",""), HYPERLINK(CONCATENATE("#Metadata!", ADDRESS(INDEX($AJ$2:$AJ$1001,MATCH(ROWS($AH$2:AH575),$AH$2:$AH$1001,0),0), INDEX($AO$1004:$BQ$1004,1,MATCH(COLUMNS($AO$1006:BF1006),$AO$1006:$BQ$1006,0)))),"Fix")))</f>
        <v>#N/A</v>
      </c>
      <c r="T575" s="5" t="e">
        <f ca="1">IF(OR(INDEX($AI$2:$AI$1001,MATCH(ROWS($AH$2:AH575),$AH$2:$AH$1001,0),1)&gt;=100000,INDEX($AO$1005:$BQ$1005,1,MATCH(COLUMNS($AO$1006:BG1006),$AO$1006:$BQ$1006,0))&gt;=100000), " ",IF(INDEX($AO$2:$BQ$1001,MATCH(ROWS($AH$2:AH575),$AH$2:$AH$1001,0),MATCH(COLUMNS($AO$1006:BG1006),$AO$1006:$BQ$1006,0)), HYPERLINK("#",""), HYPERLINK(CONCATENATE("#Metadata!", ADDRESS(INDEX($AJ$2:$AJ$1001,MATCH(ROWS($AH$2:AH575),$AH$2:$AH$1001,0),0), INDEX($AO$1004:$BQ$1004,1,MATCH(COLUMNS($AO$1006:BG1006),$AO$1006:$BQ$1006,0)))),"Fix")))</f>
        <v>#N/A</v>
      </c>
      <c r="U575" s="5" t="e">
        <f ca="1">IF(OR(INDEX($AI$2:$AI$1001,MATCH(ROWS($AH$2:AH575),$AH$2:$AH$1001,0),1)&gt;=100000,INDEX($AO$1005:$BQ$1005,1,MATCH(COLUMNS($AO$1006:BH1006),$AO$1006:$BQ$1006,0))&gt;=100000), " ",IF(INDEX($AO$2:$BQ$1001,MATCH(ROWS($AH$2:AH575),$AH$2:$AH$1001,0),MATCH(COLUMNS($AO$1006:BH1006),$AO$1006:$BQ$1006,0)), HYPERLINK("#",""), HYPERLINK(CONCATENATE("#Metadata!", ADDRESS(INDEX($AJ$2:$AJ$1001,MATCH(ROWS($AH$2:AH575),$AH$2:$AH$1001,0),0), INDEX($AO$1004:$BQ$1004,1,MATCH(COLUMNS($AO$1006:BH1006),$AO$1006:$BQ$1006,0)))),"Fix")))</f>
        <v>#N/A</v>
      </c>
      <c r="V575" s="5" t="e">
        <f ca="1">IF(OR(INDEX($AI$2:$AI$1001,MATCH(ROWS($AH$2:AH575),$AH$2:$AH$1001,0),1)&gt;=100000,INDEX($AO$1005:$BQ$1005,1,MATCH(COLUMNS($AO$1006:BI1006),$AO$1006:$BQ$1006,0))&gt;=100000), " ",IF(INDEX($AO$2:$BQ$1001,MATCH(ROWS($AH$2:AH575),$AH$2:$AH$1001,0),MATCH(COLUMNS($AO$1006:BI1006),$AO$1006:$BQ$1006,0)), HYPERLINK("#",""), HYPERLINK(CONCATENATE("#Metadata!", ADDRESS(INDEX($AJ$2:$AJ$1001,MATCH(ROWS($AH$2:AH575),$AH$2:$AH$1001,0),0), INDEX($AO$1004:$BQ$1004,1,MATCH(COLUMNS($AO$1006:BI1006),$AO$1006:$BQ$1006,0)))),"Fix")))</f>
        <v>#N/A</v>
      </c>
      <c r="W575" s="5" t="e">
        <f ca="1">IF(OR(INDEX($AI$2:$AI$1001,MATCH(ROWS($AH$2:AH575),$AH$2:$AH$1001,0),1)&gt;=100000,INDEX($AO$1005:$BQ$1005,1,MATCH(COLUMNS($AO$1006:BJ1006),$AO$1006:$BQ$1006,0))&gt;=100000), " ",IF(INDEX($AO$2:$BQ$1001,MATCH(ROWS($AH$2:AH575),$AH$2:$AH$1001,0),MATCH(COLUMNS($AO$1006:BJ1006),$AO$1006:$BQ$1006,0)), HYPERLINK("#",""), HYPERLINK(CONCATENATE("#Metadata!", ADDRESS(INDEX($AJ$2:$AJ$1001,MATCH(ROWS($AH$2:AH575),$AH$2:$AH$1001,0),0), INDEX($AO$1004:$BQ$1004,1,MATCH(COLUMNS($AO$1006:BJ1006),$AO$1006:$BQ$1006,0)))),"Fix")))</f>
        <v>#N/A</v>
      </c>
      <c r="X575" s="5" t="e">
        <f ca="1">IF(OR(INDEX($AI$2:$AI$1001,MATCH(ROWS($AH$2:AH575),$AH$2:$AH$1001,0),1)&gt;=100000,INDEX($AO$1005:$BQ$1005,1,MATCH(COLUMNS($AO$1006:BK1006),$AO$1006:$BQ$1006,0))&gt;=100000), " ",IF(INDEX($AO$2:$BQ$1001,MATCH(ROWS($AH$2:AH575),$AH$2:$AH$1001,0),MATCH(COLUMNS($AO$1006:BK1006),$AO$1006:$BQ$1006,0)), HYPERLINK("#",""), HYPERLINK(CONCATENATE("#Metadata!", ADDRESS(INDEX($AJ$2:$AJ$1001,MATCH(ROWS($AH$2:AH575),$AH$2:$AH$1001,0),0), INDEX($AO$1004:$BQ$1004,1,MATCH(COLUMNS($AO$1006:BK1006),$AO$1006:$BQ$1006,0)))),"Fix")))</f>
        <v>#N/A</v>
      </c>
      <c r="Y575" s="5" t="e">
        <f ca="1">IF(OR(INDEX($AI$2:$AI$1001,MATCH(ROWS($AH$2:AH575),$AH$2:$AH$1001,0),1)&gt;=100000,INDEX($AO$1005:$BQ$1005,1,MATCH(COLUMNS($AO$1006:BL1006),$AO$1006:$BQ$1006,0))&gt;=100000), " ",IF(INDEX($AO$2:$BQ$1001,MATCH(ROWS($AH$2:AH575),$AH$2:$AH$1001,0),MATCH(COLUMNS($AO$1006:BL1006),$AO$1006:$BQ$1006,0)), HYPERLINK("#",""), HYPERLINK(CONCATENATE("#Metadata!", ADDRESS(INDEX($AJ$2:$AJ$1001,MATCH(ROWS($AH$2:AH575),$AH$2:$AH$1001,0),0), INDEX($AO$1004:$BQ$1004,1,MATCH(COLUMNS($AO$1006:BL1006),$AO$1006:$BQ$1006,0)))),"Fix")))</f>
        <v>#N/A</v>
      </c>
      <c r="Z575" s="5" t="e">
        <f ca="1">IF(OR(INDEX($AI$2:$AI$1001,MATCH(ROWS($AH$2:AH575),$AH$2:$AH$1001,0),1)&gt;=100000,INDEX($AO$1005:$BQ$1005,1,MATCH(COLUMNS($AO$1006:BM1006),$AO$1006:$BQ$1006,0))&gt;=100000), " ",IF(INDEX($AO$2:$BQ$1001,MATCH(ROWS($AH$2:AH575),$AH$2:$AH$1001,0),MATCH(COLUMNS($AO$1006:BM1006),$AO$1006:$BQ$1006,0)), HYPERLINK("#",""), HYPERLINK(CONCATENATE("#Metadata!", ADDRESS(INDEX($AJ$2:$AJ$1001,MATCH(ROWS($AH$2:AH575),$AH$2:$AH$1001,0),0), INDEX($AO$1004:$BQ$1004,1,MATCH(COLUMNS($AO$1006:BM1006),$AO$1006:$BQ$1006,0)))),"Fix")))</f>
        <v>#N/A</v>
      </c>
      <c r="AA575" s="5" t="e">
        <f ca="1">IF(OR(INDEX($AI$2:$AI$1001,MATCH(ROWS($AH$2:AH575),$AH$2:$AH$1001,0),1)&gt;=100000,INDEX($AO$1005:$BQ$1005,1,MATCH(COLUMNS($AO$1006:BN1006),$AO$1006:$BQ$1006,0))&gt;=100000), " ",IF(INDEX($AO$2:$BQ$1001,MATCH(ROWS($AH$2:AH575),$AH$2:$AH$1001,0),MATCH(COLUMNS($AO$1006:BN1006),$AO$1006:$BQ$1006,0)), HYPERLINK("#",""), HYPERLINK(CONCATENATE("#Metadata!", ADDRESS(INDEX($AJ$2:$AJ$1001,MATCH(ROWS($AH$2:AH575),$AH$2:$AH$1001,0),0), INDEX($AO$1004:$BQ$1004,1,MATCH(COLUMNS($AO$1006:BN1006),$AO$1006:$BQ$1006,0)))),"Fix")))</f>
        <v>#N/A</v>
      </c>
      <c r="AB575" s="5" t="e">
        <f ca="1">IF(OR(INDEX($AI$2:$AI$1001,MATCH(ROWS($AH$2:AH575),$AH$2:$AH$1001,0),1)&gt;=100000,INDEX($AO$1005:$BQ$1005,1,MATCH(COLUMNS($AO$1006:BO1006),$AO$1006:$BQ$1006,0))&gt;=100000), " ",IF(INDEX($AO$2:$BQ$1001,MATCH(ROWS($AH$2:AH575),$AH$2:$AH$1001,0),MATCH(COLUMNS($AO$1006:BO1006),$AO$1006:$BQ$1006,0)), HYPERLINK("#",""), HYPERLINK(CONCATENATE("#Metadata!", ADDRESS(INDEX($AJ$2:$AJ$1001,MATCH(ROWS($AH$2:AH575),$AH$2:$AH$1001,0),0), INDEX($AO$1004:$BQ$1004,1,MATCH(COLUMNS($AO$1006:BO1006),$AO$1006:$BQ$1006,0)))),"Fix")))</f>
        <v>#N/A</v>
      </c>
      <c r="AC575" s="5" t="e">
        <f ca="1">IF(OR(INDEX($AI$2:$AI$1001,MATCH(ROWS($AH$2:AH575),$AH$2:$AH$1001,0),1)&gt;=100000,INDEX($AO$1005:$BQ$1005,1,MATCH(COLUMNS($AO$1006:BP1006),$AO$1006:$BQ$1006,0))&gt;=100000), " ",IF(INDEX($AO$2:$BQ$1001,MATCH(ROWS($AH$2:AH575),$AH$2:$AH$1001,0),MATCH(COLUMNS($AO$1006:BP1006),$AO$1006:$BQ$1006,0)), HYPERLINK("#",""), HYPERLINK(CONCATENATE("#Metadata!", ADDRESS(INDEX($AJ$2:$AJ$1001,MATCH(ROWS($AH$2:AH575),$AH$2:$AH$1001,0),0), INDEX($AO$1004:$BQ$1004,1,MATCH(COLUMNS($AO$1006:BP1006),$AO$1006:$BQ$1006,0)))),"Fix")))</f>
        <v>#N/A</v>
      </c>
      <c r="AD575" s="5" t="e">
        <f ca="1">IF(OR(INDEX($AI$2:$AI$1001,MATCH(ROWS($AH$2:AH575),$AH$2:$AH$1001,0),1)&gt;=100000,INDEX($AO$1005:$BQ$1005,1,MATCH(COLUMNS($AO$1006:BQ1006),$AO$1006:$BQ$1006,0))&gt;=100000), " ",IF(INDEX($AO$2:$BQ$1001,MATCH(ROWS($AH$2:AH575),$AH$2:$AH$1001,0),MATCH(COLUMNS($AO$1006:BQ1006),$AO$1006:$BQ$1006,0)), HYPERLINK("#",""), HYPERLINK(CONCATENATE("#Metadata!", ADDRESS(INDEX($AJ$2:$AJ$1001,MATCH(ROWS($AH$2:AH575),$AH$2:$AH$1001,0),0), INDEX($AO$1004:$BQ$1004,1,MATCH(COLUMNS($AO$1006:BQ1006),$AO$1006:$BQ$1006,0)))),"Fix")))</f>
        <v>#REF!</v>
      </c>
      <c r="AH575">
        <f ca="1"/>
        <v>572</v>
      </c>
      <c r="AI575">
        <v>100575</v>
      </c>
      <c r="AJ575">
        <v>575</v>
      </c>
      <c r="AK575" t="b">
        <f t="shared" si="8"/>
        <v>1</v>
      </c>
      <c r="AL575" t="b">
        <f>COUNTBLANK(Metadata!B575:AD575)=COLUMNS(Metadata!B575:AD575)</f>
        <v>1</v>
      </c>
      <c r="AM575" t="str">
        <v/>
      </c>
      <c r="AO575" t="b">
        <f ca="1">AND(IF(Metadata!B575="",FALSE,TRUE),COUNTIF(Metadata!B:B, Metadata!B575) = 1,NOT(ISERROR(SUMPRODUCT(SEARCH(MID(Metadata!B575,ROW(INDIRECT("1:"&amp;LEN(Metadata!B575))), 1),"0123456789abcdefghijklmnopqrstuvwxyzABCDEFGHIJKLMNOPQRSTUVWXYZ.")))))</f>
        <v>0</v>
      </c>
      <c r="AP575" t="b">
        <f>IF(Metadata!C575="",FALSE,TRUE)</f>
        <v>0</v>
      </c>
      <c r="AQ575" t="b">
        <f>IF(Metadata!D575="",FALSE,TRUE)</f>
        <v>0</v>
      </c>
      <c r="AR575" t="b">
        <f ca="1">OR(AND(IF(Metadata!E575="",FALSE,TRUE),OR(EXACT(Metadata!E575,"not collected"),EXACT(Metadata!E575,"not provided"),EXACT(Metadata!E575,"restricted access"))),AND(IF(Metadata!E575="",FALSE,TRUE),AND(AND(IFERROR(INT(LEFT(Metadata!E575,4))&gt;1900,FALSE),IFERROR(INT(LEFT(Metadata!E575,4))&lt;=YEAR(NOW()),FALSE)), OR(MID(Metadata!E575,5,1)="", AND(AND(MID(Metadata!E575,5,1)="-",IFERROR(INT(MID(Metadata!E575,6,1))&gt;=0,FALSE),IFERROR(INT(MID(Metadata!E575,6,1))&lt;=1,FALSE),NOT(MID(Metadata!E575,7,1)=""),IFERROR(INT(MID(Metadata!E575,6,2))&gt;=1,FALSE),IFERROR(INT(MID(Metadata!E575,6,2))&lt;=12,FALSE)), OR(MID(Metadata!E575,8,1)="", AND(AND(MID(Metadata!E575,8,1)="-",IFERROR(INT(MID(Metadata!E575,9,1))&gt;=0,FALSE),IFERROR(INT(MID(Metadata!E575,9,1))&lt;=3,FALSE),NOT(MID(Metadata!E575,10,1)=""),IFERROR(INT(MID(Metadata!E575,9,2))&gt;=1,FALSE),IFERROR(INT(MID(Metadata!E575,9,2))&lt;=31,FALSE)), OR(MID(Metadata!E575,11,1)="", AND(AND(MID(Metadata!E575,11,1)=" ",IFERROR(INT(MID(Metadata!E575,12,1))&gt;=0,FALSE),IFERROR(INT(MID(Metadata!E575,12,1))&lt;=2,FALSE),NOT(MID(Metadata!E575,13,1)=""),IFERROR(INT(MID(Metadata!E575,12,2))&gt;=0,FALSE),IFERROR(INT(MID(Metadata!E575,12,2))&lt;=23,FALSE)), OR(MID(Metadata!E575,14,1)="", AND(AND(MID(Metadata!E575,14,1)=":",IFERROR(INT(MID(Metadata!E575,15,1))&gt;=0,FALSE),IFERROR(INT(MID(Metadata!E575,15,1))&lt;=5,FALSE),NOT(MID(Metadata!E575,16,1)=""),IFERROR(INT(MID(Metadata!E575,15,2))&gt;=0,FALSE),IFERROR(INT(MID(Metadata!E575,15,2))&lt;=59,FALSE)), OR(MID(Metadata!E575,17,1)="", AND(AND(MID(Metadata!E575,17,1)=":",IFERROR(INT(MID(Metadata!E575,18,1))&gt;=0,FALSE),IFERROR(INT(MID(Metadata!E575,18,1))&lt;=5,FALSE),NOT(MID(Metadata!E575,19,1)=""),IFERROR(INT(MID(Metadata!E575,18,2))&gt;=0,FALSE),IFERROR(INT(MID(Metadata!E575,18,2))&lt;=59,FALSE)), LEN(Metadata!E575)&lt;=19)))))))))))))</f>
        <v>0</v>
      </c>
      <c r="AS575" t="b">
        <f>IF(Metadata!F575="",FALSE,TRUE)</f>
        <v>0</v>
      </c>
      <c r="AT575" t="b">
        <f>OR(AND(IF(Metadata!G575="",FALSE,TRUE),OR(EXACT(Metadata!G575,"not collected"),EXACT(Metadata!G575,"not provided"))),AND(IF(Metadata!G575="",FALSE,TRUE),OR(EXACT(Metadata!G575,"TRUE"),EXACT(Metadata!G575,"FALSE"))))</f>
        <v>0</v>
      </c>
      <c r="AU575" t="b">
        <f>OR(AND(IF(Metadata!H575="",FALSE,TRUE),OR(EXACT(Metadata!H575,"not collected"),EXACT(Metadata!H575,"not provided"),EXACT(Metadata!H575,"restricted access"))),AND(IF(Metadata!H575="",FALSE,ISNUMBER(VALUE(Metadata!H575))),Metadata!H575&gt;=-413))</f>
        <v>0</v>
      </c>
      <c r="AV575" t="b">
        <f>AND(IF(Metadata!I575="",FALSE,TRUE),EXACT(Metadata!I575,"meters"))</f>
        <v>0</v>
      </c>
      <c r="AW575" t="b">
        <f>AND(IF(Metadata!J575="",FALSE,TRUE),EXACT(Metadata!J575,"free-living"))</f>
        <v>0</v>
      </c>
      <c r="AX575" t="b">
        <f>AND(IF(Metadata!K575="",FALSE,TRUE),OR(EXACT(Metadata!K575,"saline"),EXACT(Metadata!K575,"non-saline")))</f>
        <v>0</v>
      </c>
      <c r="AY575" t="b">
        <f>AND(IF(Metadata!L575="",FALSE,TRUE),OR(EXACT(Metadata!L575,"sub-surface (non-saline)"),EXACT(Metadata!L575,"surface (non-saline)"),EXACT(Metadata!L575,"water (non-saline)"),EXACT(Metadata!L575,"soil (non-saline)"),EXACT(Metadata!L575,"aerosol (non-saline)"),EXACT(Metadata!L575,"sediment (non-saline)"),EXACT(Metadata!L575,"surface (saline)"),EXACT(Metadata!L575,"water (saline)"),EXACT(Metadata!L575,"hypersaline (saline)"),EXACT(Metadata!L575,"aerosol (saline)"),EXACT(Metadata!L575,"sediment (saline)")))</f>
        <v>0</v>
      </c>
      <c r="AZ575" t="b">
        <f>IF(Metadata!M575="",FALSE,TRUE)</f>
        <v>0</v>
      </c>
      <c r="BA575" t="b">
        <f>IF(Metadata!N575="",FALSE,TRUE)</f>
        <v>0</v>
      </c>
      <c r="BB575" t="b">
        <f>IF(Metadata!O575="",FALSE,TRUE)</f>
        <v>0</v>
      </c>
      <c r="BC575" t="b">
        <f>AND(IF(Metadata!P575="",FALSE,TRUE),OR(EXACT(Metadata!P575,"air"),EXACT(Metadata!P575,"microbial mat/biofilm"),EXACT(Metadata!P575,"misc environment"),EXACT(Metadata!P575,"sediment"),EXACT(Metadata!P575,"soil"),EXACT(Metadata!P575,"wastewater/sludge"),EXACT(Metadata!P575,"water")))</f>
        <v>0</v>
      </c>
      <c r="BD575" t="b">
        <f>IF(Metadata!Q575="",FALSE,TRUE)</f>
        <v>0</v>
      </c>
      <c r="BE575" t="b">
        <f>IF(Metadata!R575="",FALSE,TRUE)</f>
        <v>0</v>
      </c>
      <c r="BF575" t="b">
        <f>OR(AND(IF(Metadata!S575="",FALSE,TRUE),OR(EXACT(Metadata!S575,"not collected"),EXACT(Metadata!S575,"not provided"),EXACT(Metadata!S575,"restricted access"))),AND(IF(Metadata!S575="",FALSE,ISNUMBER(VALUE(Metadata!S575))),Metadata!S575&gt;=-90,Metadata!S575&lt;=90))</f>
        <v>0</v>
      </c>
      <c r="BG575" t="b">
        <f>AND(IF(Metadata!T575="",FALSE,TRUE),EXACT(Metadata!T575,"Decimal degrees"))</f>
        <v>0</v>
      </c>
      <c r="BH575" t="b">
        <f>OR(AND(IF(Metadata!U575="",FALSE,TRUE),OR(EXACT(Metadata!U575,"not applicable"),EXACT(Metadata!U575,"not collected"))),IF(Metadata!U575="",FALSE,TRUE))</f>
        <v>0</v>
      </c>
      <c r="BI575" t="b">
        <f>OR(AND(IF(Metadata!V575="",FALSE,TRUE),OR(EXACT(Metadata!V575,"not collected"),EXACT(Metadata!V575,"not provided"),EXACT(Metadata!V575,"restricted access"))),AND(IF(Metadata!V575="",FALSE,ISNUMBER(VALUE(Metadata!V575))),Metadata!V575&gt;=-180,Metadata!V575&lt;=180))</f>
        <v>0</v>
      </c>
      <c r="BJ575" t="b">
        <f>AND(IF(Metadata!W575="",FALSE,TRUE),EXACT(Metadata!W575,"Decimal degrees"))</f>
        <v>0</v>
      </c>
      <c r="BK575" t="b">
        <f>IF(Metadata!X575="",FALSE,TRUE)</f>
        <v>0</v>
      </c>
      <c r="BL575" t="b">
        <f>OR(AND(IF(Metadata!Y575="",FALSE,TRUE),OR(EXACT(Metadata!Y575,"not collected"),EXACT(Metadata!Y575,"not provided"),EXACT(Metadata!Y575,"restricted access"))),AND(IF(Metadata!Y575="",FALSE,TRUE),OR(EXACT(Metadata!Y575,"TRUE"),EXACT(Metadata!Y575,"FALSE"))))</f>
        <v>0</v>
      </c>
      <c r="BM575" t="b">
        <f>OR(AND(IF(Metadata!Z575="",FALSE,TRUE),EXACT(Metadata!Z575,"not applicable")),AND(IF(Metadata!Z575="",FALSE,TRUE),OR(EXACT(Metadata!Z575,"beer"),EXACT(Metadata!Z575,"cheese"),EXACT(Metadata!Z575,"fresh water"),EXACT(Metadata!Z575,"marine sediment"),EXACT(Metadata!Z575,"sea water"),EXACT(Metadata!Z575,"sediment"),EXACT(Metadata!Z575,"soil"),EXACT(Metadata!Z575,"waste water"))))</f>
        <v>0</v>
      </c>
      <c r="BN575" t="b">
        <f>AND(IF(Metadata!AA575="",FALSE,TRUE),EXACT(Metadata!AA575,"metagenome"))</f>
        <v>0</v>
      </c>
      <c r="BO575" t="b">
        <f>AND(IF(Metadata!AB575="",FALSE,TRUE),EXACT(Metadata!AB575,"256318"))</f>
        <v>0</v>
      </c>
      <c r="BP575" t="b">
        <f>IF(Metadata!AC575="",FALSE,TRUE)</f>
        <v>0</v>
      </c>
      <c r="BQ575" t="b">
        <f>IF(Metadata!AD575="",FALSE,TRUE)</f>
        <v>0</v>
      </c>
    </row>
    <row r="576" spans="1:69" x14ac:dyDescent="0.2">
      <c r="A576" s="4" t="e">
        <f ca="1">IF(B576=" "," ",HYPERLINK(CONCATENATE("#metadata!",ADDRESS(INDEX($AJ$2:$AJ$1001,MATCH(ROWS($AH$2:AH576),$AH$2:$AH$1001,0),0),2)),INDEX($AM$2:$AM$1001,MATCH(ROWS($AH$2:AH576),$AH$2:$AH$1001,0),0)))</f>
        <v>#N/A</v>
      </c>
      <c r="B576" s="5" t="e">
        <f ca="1">IF(OR(INDEX($AI$2:$AI$1001,MATCH(ROWS($AH$2:AH576),$AH$2:$AH$1001,0),1)&gt;=100000,INDEX($AO$1005:$BQ$1005,1,MATCH(COLUMNS($AO$1006:AO1006),$AO$1006:$BQ$1006,0))&gt;=100000), " ",IF(INDEX($AO$2:$BQ$1001,MATCH(ROWS($AH$2:AH576),$AH$2:$AH$1001,0),MATCH(COLUMNS($AO$1006:AO1006),$AO$1006:$BQ$1006,0)), HYPERLINK("#",""), HYPERLINK(CONCATENATE("#Metadata!", ADDRESS(INDEX($AJ$2:$AJ$1001,MATCH(ROWS($AH$2:AH576),$AH$2:$AH$1001,0),0), INDEX($AO$1004:$BQ$1004,1,MATCH(COLUMNS($AO$1006:AO1006),$AO$1006:$BQ$1006,0)))),"Fix")))</f>
        <v>#N/A</v>
      </c>
      <c r="C576" s="5" t="e">
        <f ca="1">IF(OR(INDEX($AI$2:$AI$1001,MATCH(ROWS($AH$2:AH576),$AH$2:$AH$1001,0),1)&gt;=100000,INDEX($AO$1005:$BQ$1005,1,MATCH(COLUMNS($AO$1006:AP1006),$AO$1006:$BQ$1006,0))&gt;=100000), " ",IF(INDEX($AO$2:$BQ$1001,MATCH(ROWS($AH$2:AH576),$AH$2:$AH$1001,0),MATCH(COLUMNS($AO$1006:AP1006),$AO$1006:$BQ$1006,0)), HYPERLINK("#",""), HYPERLINK(CONCATENATE("#Metadata!", ADDRESS(INDEX($AJ$2:$AJ$1001,MATCH(ROWS($AH$2:AH576),$AH$2:$AH$1001,0),0), INDEX($AO$1004:$BQ$1004,1,MATCH(COLUMNS($AO$1006:AP1006),$AO$1006:$BQ$1006,0)))),"Fix")))</f>
        <v>#N/A</v>
      </c>
      <c r="D576" s="5" t="e">
        <f ca="1">IF(OR(INDEX($AI$2:$AI$1001,MATCH(ROWS($AH$2:AH576),$AH$2:$AH$1001,0),1)&gt;=100000,INDEX($AO$1005:$BQ$1005,1,MATCH(COLUMNS($AO$1006:AQ1006),$AO$1006:$BQ$1006,0))&gt;=100000), " ",IF(INDEX($AO$2:$BQ$1001,MATCH(ROWS($AH$2:AH576),$AH$2:$AH$1001,0),MATCH(COLUMNS($AO$1006:AQ1006),$AO$1006:$BQ$1006,0)), HYPERLINK("#",""), HYPERLINK(CONCATENATE("#Metadata!", ADDRESS(INDEX($AJ$2:$AJ$1001,MATCH(ROWS($AH$2:AH576),$AH$2:$AH$1001,0),0), INDEX($AO$1004:$BQ$1004,1,MATCH(COLUMNS($AO$1006:AQ1006),$AO$1006:$BQ$1006,0)))),"Fix")))</f>
        <v>#N/A</v>
      </c>
      <c r="E576" s="5" t="e">
        <f ca="1">IF(OR(INDEX($AI$2:$AI$1001,MATCH(ROWS($AH$2:AH576),$AH$2:$AH$1001,0),1)&gt;=100000,INDEX($AO$1005:$BQ$1005,1,MATCH(COLUMNS($AO$1006:AR1006),$AO$1006:$BQ$1006,0))&gt;=100000), " ",IF(INDEX($AO$2:$BQ$1001,MATCH(ROWS($AH$2:AH576),$AH$2:$AH$1001,0),MATCH(COLUMNS($AO$1006:AR1006),$AO$1006:$BQ$1006,0)), HYPERLINK("#",""), HYPERLINK(CONCATENATE("#Metadata!", ADDRESS(INDEX($AJ$2:$AJ$1001,MATCH(ROWS($AH$2:AH576),$AH$2:$AH$1001,0),0), INDEX($AO$1004:$BQ$1004,1,MATCH(COLUMNS($AO$1006:AR1006),$AO$1006:$BQ$1006,0)))),"Fix")))</f>
        <v>#N/A</v>
      </c>
      <c r="F576" s="5" t="e">
        <f ca="1">IF(OR(INDEX($AI$2:$AI$1001,MATCH(ROWS($AH$2:AH576),$AH$2:$AH$1001,0),1)&gt;=100000,INDEX($AO$1005:$BQ$1005,1,MATCH(COLUMNS($AO$1006:AS1006),$AO$1006:$BQ$1006,0))&gt;=100000), " ",IF(INDEX($AO$2:$BQ$1001,MATCH(ROWS($AH$2:AH576),$AH$2:$AH$1001,0),MATCH(COLUMNS($AO$1006:AS1006),$AO$1006:$BQ$1006,0)), HYPERLINK("#",""), HYPERLINK(CONCATENATE("#Metadata!", ADDRESS(INDEX($AJ$2:$AJ$1001,MATCH(ROWS($AH$2:AH576),$AH$2:$AH$1001,0),0), INDEX($AO$1004:$BQ$1004,1,MATCH(COLUMNS($AO$1006:AS1006),$AO$1006:$BQ$1006,0)))),"Fix")))</f>
        <v>#N/A</v>
      </c>
      <c r="G576" s="5" t="e">
        <f ca="1">IF(OR(INDEX($AI$2:$AI$1001,MATCH(ROWS($AH$2:AH576),$AH$2:$AH$1001,0),1)&gt;=100000,INDEX($AO$1005:$BQ$1005,1,MATCH(COLUMNS($AO$1006:AT1006),$AO$1006:$BQ$1006,0))&gt;=100000), " ",IF(INDEX($AO$2:$BQ$1001,MATCH(ROWS($AH$2:AH576),$AH$2:$AH$1001,0),MATCH(COLUMNS($AO$1006:AT1006),$AO$1006:$BQ$1006,0)), HYPERLINK("#",""), HYPERLINK(CONCATENATE("#Metadata!", ADDRESS(INDEX($AJ$2:$AJ$1001,MATCH(ROWS($AH$2:AH576),$AH$2:$AH$1001,0),0), INDEX($AO$1004:$BQ$1004,1,MATCH(COLUMNS($AO$1006:AT1006),$AO$1006:$BQ$1006,0)))),"Fix")))</f>
        <v>#N/A</v>
      </c>
      <c r="H576" s="5" t="e">
        <f ca="1">IF(OR(INDEX($AI$2:$AI$1001,MATCH(ROWS($AH$2:AH576),$AH$2:$AH$1001,0),1)&gt;=100000,INDEX($AO$1005:$BQ$1005,1,MATCH(COLUMNS($AO$1006:AU1006),$AO$1006:$BQ$1006,0))&gt;=100000), " ",IF(INDEX($AO$2:$BQ$1001,MATCH(ROWS($AH$2:AH576),$AH$2:$AH$1001,0),MATCH(COLUMNS($AO$1006:AU1006),$AO$1006:$BQ$1006,0)), HYPERLINK("#",""), HYPERLINK(CONCATENATE("#Metadata!", ADDRESS(INDEX($AJ$2:$AJ$1001,MATCH(ROWS($AH$2:AH576),$AH$2:$AH$1001,0),0), INDEX($AO$1004:$BQ$1004,1,MATCH(COLUMNS($AO$1006:AU1006),$AO$1006:$BQ$1006,0)))),"Fix")))</f>
        <v>#N/A</v>
      </c>
      <c r="I576" s="5" t="e">
        <f ca="1">IF(OR(INDEX($AI$2:$AI$1001,MATCH(ROWS($AH$2:AH576),$AH$2:$AH$1001,0),1)&gt;=100000,INDEX($AO$1005:$BQ$1005,1,MATCH(COLUMNS($AO$1006:AV1006),$AO$1006:$BQ$1006,0))&gt;=100000), " ",IF(INDEX($AO$2:$BQ$1001,MATCH(ROWS($AH$2:AH576),$AH$2:$AH$1001,0),MATCH(COLUMNS($AO$1006:AV1006),$AO$1006:$BQ$1006,0)), HYPERLINK("#",""), HYPERLINK(CONCATENATE("#Metadata!", ADDRESS(INDEX($AJ$2:$AJ$1001,MATCH(ROWS($AH$2:AH576),$AH$2:$AH$1001,0),0), INDEX($AO$1004:$BQ$1004,1,MATCH(COLUMNS($AO$1006:AV1006),$AO$1006:$BQ$1006,0)))),"Fix")))</f>
        <v>#N/A</v>
      </c>
      <c r="J576" s="5" t="e">
        <f ca="1">IF(OR(INDEX($AI$2:$AI$1001,MATCH(ROWS($AH$2:AH576),$AH$2:$AH$1001,0),1)&gt;=100000,INDEX($AO$1005:$BQ$1005,1,MATCH(COLUMNS($AO$1006:AW1006),$AO$1006:$BQ$1006,0))&gt;=100000), " ",IF(INDEX($AO$2:$BQ$1001,MATCH(ROWS($AH$2:AH576),$AH$2:$AH$1001,0),MATCH(COLUMNS($AO$1006:AW1006),$AO$1006:$BQ$1006,0)), HYPERLINK("#",""), HYPERLINK(CONCATENATE("#Metadata!", ADDRESS(INDEX($AJ$2:$AJ$1001,MATCH(ROWS($AH$2:AH576),$AH$2:$AH$1001,0),0), INDEX($AO$1004:$BQ$1004,1,MATCH(COLUMNS($AO$1006:AW1006),$AO$1006:$BQ$1006,0)))),"Fix")))</f>
        <v>#N/A</v>
      </c>
      <c r="K576" s="5" t="e">
        <f ca="1">IF(OR(INDEX($AI$2:$AI$1001,MATCH(ROWS($AH$2:AH576),$AH$2:$AH$1001,0),1)&gt;=100000,INDEX($AO$1005:$BQ$1005,1,MATCH(COLUMNS($AO$1006:AX1006),$AO$1006:$BQ$1006,0))&gt;=100000), " ",IF(INDEX($AO$2:$BQ$1001,MATCH(ROWS($AH$2:AH576),$AH$2:$AH$1001,0),MATCH(COLUMNS($AO$1006:AX1006),$AO$1006:$BQ$1006,0)), HYPERLINK("#",""), HYPERLINK(CONCATENATE("#Metadata!", ADDRESS(INDEX($AJ$2:$AJ$1001,MATCH(ROWS($AH$2:AH576),$AH$2:$AH$1001,0),0), INDEX($AO$1004:$BQ$1004,1,MATCH(COLUMNS($AO$1006:AX1006),$AO$1006:$BQ$1006,0)))),"Fix")))</f>
        <v>#N/A</v>
      </c>
      <c r="L576" s="5" t="e">
        <f ca="1">IF(OR(INDEX($AI$2:$AI$1001,MATCH(ROWS($AH$2:AH576),$AH$2:$AH$1001,0),1)&gt;=100000,INDEX($AO$1005:$BQ$1005,1,MATCH(COLUMNS($AO$1006:AY1006),$AO$1006:$BQ$1006,0))&gt;=100000), " ",IF(INDEX($AO$2:$BQ$1001,MATCH(ROWS($AH$2:AH576),$AH$2:$AH$1001,0),MATCH(COLUMNS($AO$1006:AY1006),$AO$1006:$BQ$1006,0)), HYPERLINK("#",""), HYPERLINK(CONCATENATE("#Metadata!", ADDRESS(INDEX($AJ$2:$AJ$1001,MATCH(ROWS($AH$2:AH576),$AH$2:$AH$1001,0),0), INDEX($AO$1004:$BQ$1004,1,MATCH(COLUMNS($AO$1006:AY1006),$AO$1006:$BQ$1006,0)))),"Fix")))</f>
        <v>#N/A</v>
      </c>
      <c r="M576" s="5" t="e">
        <f ca="1">IF(OR(INDEX($AI$2:$AI$1001,MATCH(ROWS($AH$2:AH576),$AH$2:$AH$1001,0),1)&gt;=100000,INDEX($AO$1005:$BQ$1005,1,MATCH(COLUMNS($AO$1006:AZ1006),$AO$1006:$BQ$1006,0))&gt;=100000), " ",IF(INDEX($AO$2:$BQ$1001,MATCH(ROWS($AH$2:AH576),$AH$2:$AH$1001,0),MATCH(COLUMNS($AO$1006:AZ1006),$AO$1006:$BQ$1006,0)), HYPERLINK("#",""), HYPERLINK(CONCATENATE("#Metadata!", ADDRESS(INDEX($AJ$2:$AJ$1001,MATCH(ROWS($AH$2:AH576),$AH$2:$AH$1001,0),0), INDEX($AO$1004:$BQ$1004,1,MATCH(COLUMNS($AO$1006:AZ1006),$AO$1006:$BQ$1006,0)))),"Fix")))</f>
        <v>#N/A</v>
      </c>
      <c r="N576" s="5" t="e">
        <f ca="1">IF(OR(INDEX($AI$2:$AI$1001,MATCH(ROWS($AH$2:AH576),$AH$2:$AH$1001,0),1)&gt;=100000,INDEX($AO$1005:$BQ$1005,1,MATCH(COLUMNS($AO$1006:BA1006),$AO$1006:$BQ$1006,0))&gt;=100000), " ",IF(INDEX($AO$2:$BQ$1001,MATCH(ROWS($AH$2:AH576),$AH$2:$AH$1001,0),MATCH(COLUMNS($AO$1006:BA1006),$AO$1006:$BQ$1006,0)), HYPERLINK("#",""), HYPERLINK(CONCATENATE("#Metadata!", ADDRESS(INDEX($AJ$2:$AJ$1001,MATCH(ROWS($AH$2:AH576),$AH$2:$AH$1001,0),0), INDEX($AO$1004:$BQ$1004,1,MATCH(COLUMNS($AO$1006:BA1006),$AO$1006:$BQ$1006,0)))),"Fix")))</f>
        <v>#N/A</v>
      </c>
      <c r="O576" s="5" t="e">
        <f ca="1">IF(OR(INDEX($AI$2:$AI$1001,MATCH(ROWS($AH$2:AH576),$AH$2:$AH$1001,0),1)&gt;=100000,INDEX($AO$1005:$BQ$1005,1,MATCH(COLUMNS($AO$1006:BB1006),$AO$1006:$BQ$1006,0))&gt;=100000), " ",IF(INDEX($AO$2:$BQ$1001,MATCH(ROWS($AH$2:AH576),$AH$2:$AH$1001,0),MATCH(COLUMNS($AO$1006:BB1006),$AO$1006:$BQ$1006,0)), HYPERLINK("#",""), HYPERLINK(CONCATENATE("#Metadata!", ADDRESS(INDEX($AJ$2:$AJ$1001,MATCH(ROWS($AH$2:AH576),$AH$2:$AH$1001,0),0), INDEX($AO$1004:$BQ$1004,1,MATCH(COLUMNS($AO$1006:BB1006),$AO$1006:$BQ$1006,0)))),"Fix")))</f>
        <v>#N/A</v>
      </c>
      <c r="P576" s="5" t="e">
        <f ca="1">IF(OR(INDEX($AI$2:$AI$1001,MATCH(ROWS($AH$2:AH576),$AH$2:$AH$1001,0),1)&gt;=100000,INDEX($AO$1005:$BQ$1005,1,MATCH(COLUMNS($AO$1006:BC1006),$AO$1006:$BQ$1006,0))&gt;=100000), " ",IF(INDEX($AO$2:$BQ$1001,MATCH(ROWS($AH$2:AH576),$AH$2:$AH$1001,0),MATCH(COLUMNS($AO$1006:BC1006),$AO$1006:$BQ$1006,0)), HYPERLINK("#",""), HYPERLINK(CONCATENATE("#Metadata!", ADDRESS(INDEX($AJ$2:$AJ$1001,MATCH(ROWS($AH$2:AH576),$AH$2:$AH$1001,0),0), INDEX($AO$1004:$BQ$1004,1,MATCH(COLUMNS($AO$1006:BC1006),$AO$1006:$BQ$1006,0)))),"Fix")))</f>
        <v>#N/A</v>
      </c>
      <c r="Q576" s="5" t="e">
        <f ca="1">IF(OR(INDEX($AI$2:$AI$1001,MATCH(ROWS($AH$2:AH576),$AH$2:$AH$1001,0),1)&gt;=100000,INDEX($AO$1005:$BQ$1005,1,MATCH(COLUMNS($AO$1006:BD1006),$AO$1006:$BQ$1006,0))&gt;=100000), " ",IF(INDEX($AO$2:$BQ$1001,MATCH(ROWS($AH$2:AH576),$AH$2:$AH$1001,0),MATCH(COLUMNS($AO$1006:BD1006),$AO$1006:$BQ$1006,0)), HYPERLINK("#",""), HYPERLINK(CONCATENATE("#Metadata!", ADDRESS(INDEX($AJ$2:$AJ$1001,MATCH(ROWS($AH$2:AH576),$AH$2:$AH$1001,0),0), INDEX($AO$1004:$BQ$1004,1,MATCH(COLUMNS($AO$1006:BD1006),$AO$1006:$BQ$1006,0)))),"Fix")))</f>
        <v>#N/A</v>
      </c>
      <c r="R576" s="5" t="e">
        <f ca="1">IF(OR(INDEX($AI$2:$AI$1001,MATCH(ROWS($AH$2:AH576),$AH$2:$AH$1001,0),1)&gt;=100000,INDEX($AO$1005:$BQ$1005,1,MATCH(COLUMNS($AO$1006:BE1006),$AO$1006:$BQ$1006,0))&gt;=100000), " ",IF(INDEX($AO$2:$BQ$1001,MATCH(ROWS($AH$2:AH576),$AH$2:$AH$1001,0),MATCH(COLUMNS($AO$1006:BE1006),$AO$1006:$BQ$1006,0)), HYPERLINK("#",""), HYPERLINK(CONCATENATE("#Metadata!", ADDRESS(INDEX($AJ$2:$AJ$1001,MATCH(ROWS($AH$2:AH576),$AH$2:$AH$1001,0),0), INDEX($AO$1004:$BQ$1004,1,MATCH(COLUMNS($AO$1006:BE1006),$AO$1006:$BQ$1006,0)))),"Fix")))</f>
        <v>#N/A</v>
      </c>
      <c r="S576" s="5" t="e">
        <f ca="1">IF(OR(INDEX($AI$2:$AI$1001,MATCH(ROWS($AH$2:AH576),$AH$2:$AH$1001,0),1)&gt;=100000,INDEX($AO$1005:$BQ$1005,1,MATCH(COLUMNS($AO$1006:BF1006),$AO$1006:$BQ$1006,0))&gt;=100000), " ",IF(INDEX($AO$2:$BQ$1001,MATCH(ROWS($AH$2:AH576),$AH$2:$AH$1001,0),MATCH(COLUMNS($AO$1006:BF1006),$AO$1006:$BQ$1006,0)), HYPERLINK("#",""), HYPERLINK(CONCATENATE("#Metadata!", ADDRESS(INDEX($AJ$2:$AJ$1001,MATCH(ROWS($AH$2:AH576),$AH$2:$AH$1001,0),0), INDEX($AO$1004:$BQ$1004,1,MATCH(COLUMNS($AO$1006:BF1006),$AO$1006:$BQ$1006,0)))),"Fix")))</f>
        <v>#N/A</v>
      </c>
      <c r="T576" s="5" t="e">
        <f ca="1">IF(OR(INDEX($AI$2:$AI$1001,MATCH(ROWS($AH$2:AH576),$AH$2:$AH$1001,0),1)&gt;=100000,INDEX($AO$1005:$BQ$1005,1,MATCH(COLUMNS($AO$1006:BG1006),$AO$1006:$BQ$1006,0))&gt;=100000), " ",IF(INDEX($AO$2:$BQ$1001,MATCH(ROWS($AH$2:AH576),$AH$2:$AH$1001,0),MATCH(COLUMNS($AO$1006:BG1006),$AO$1006:$BQ$1006,0)), HYPERLINK("#",""), HYPERLINK(CONCATENATE("#Metadata!", ADDRESS(INDEX($AJ$2:$AJ$1001,MATCH(ROWS($AH$2:AH576),$AH$2:$AH$1001,0),0), INDEX($AO$1004:$BQ$1004,1,MATCH(COLUMNS($AO$1006:BG1006),$AO$1006:$BQ$1006,0)))),"Fix")))</f>
        <v>#N/A</v>
      </c>
      <c r="U576" s="5" t="e">
        <f ca="1">IF(OR(INDEX($AI$2:$AI$1001,MATCH(ROWS($AH$2:AH576),$AH$2:$AH$1001,0),1)&gt;=100000,INDEX($AO$1005:$BQ$1005,1,MATCH(COLUMNS($AO$1006:BH1006),$AO$1006:$BQ$1006,0))&gt;=100000), " ",IF(INDEX($AO$2:$BQ$1001,MATCH(ROWS($AH$2:AH576),$AH$2:$AH$1001,0),MATCH(COLUMNS($AO$1006:BH1006),$AO$1006:$BQ$1006,0)), HYPERLINK("#",""), HYPERLINK(CONCATENATE("#Metadata!", ADDRESS(INDEX($AJ$2:$AJ$1001,MATCH(ROWS($AH$2:AH576),$AH$2:$AH$1001,0),0), INDEX($AO$1004:$BQ$1004,1,MATCH(COLUMNS($AO$1006:BH1006),$AO$1006:$BQ$1006,0)))),"Fix")))</f>
        <v>#N/A</v>
      </c>
      <c r="V576" s="5" t="e">
        <f ca="1">IF(OR(INDEX($AI$2:$AI$1001,MATCH(ROWS($AH$2:AH576),$AH$2:$AH$1001,0),1)&gt;=100000,INDEX($AO$1005:$BQ$1005,1,MATCH(COLUMNS($AO$1006:BI1006),$AO$1006:$BQ$1006,0))&gt;=100000), " ",IF(INDEX($AO$2:$BQ$1001,MATCH(ROWS($AH$2:AH576),$AH$2:$AH$1001,0),MATCH(COLUMNS($AO$1006:BI1006),$AO$1006:$BQ$1006,0)), HYPERLINK("#",""), HYPERLINK(CONCATENATE("#Metadata!", ADDRESS(INDEX($AJ$2:$AJ$1001,MATCH(ROWS($AH$2:AH576),$AH$2:$AH$1001,0),0), INDEX($AO$1004:$BQ$1004,1,MATCH(COLUMNS($AO$1006:BI1006),$AO$1006:$BQ$1006,0)))),"Fix")))</f>
        <v>#N/A</v>
      </c>
      <c r="W576" s="5" t="e">
        <f ca="1">IF(OR(INDEX($AI$2:$AI$1001,MATCH(ROWS($AH$2:AH576),$AH$2:$AH$1001,0),1)&gt;=100000,INDEX($AO$1005:$BQ$1005,1,MATCH(COLUMNS($AO$1006:BJ1006),$AO$1006:$BQ$1006,0))&gt;=100000), " ",IF(INDEX($AO$2:$BQ$1001,MATCH(ROWS($AH$2:AH576),$AH$2:$AH$1001,0),MATCH(COLUMNS($AO$1006:BJ1006),$AO$1006:$BQ$1006,0)), HYPERLINK("#",""), HYPERLINK(CONCATENATE("#Metadata!", ADDRESS(INDEX($AJ$2:$AJ$1001,MATCH(ROWS($AH$2:AH576),$AH$2:$AH$1001,0),0), INDEX($AO$1004:$BQ$1004,1,MATCH(COLUMNS($AO$1006:BJ1006),$AO$1006:$BQ$1006,0)))),"Fix")))</f>
        <v>#N/A</v>
      </c>
      <c r="X576" s="5" t="e">
        <f ca="1">IF(OR(INDEX($AI$2:$AI$1001,MATCH(ROWS($AH$2:AH576),$AH$2:$AH$1001,0),1)&gt;=100000,INDEX($AO$1005:$BQ$1005,1,MATCH(COLUMNS($AO$1006:BK1006),$AO$1006:$BQ$1006,0))&gt;=100000), " ",IF(INDEX($AO$2:$BQ$1001,MATCH(ROWS($AH$2:AH576),$AH$2:$AH$1001,0),MATCH(COLUMNS($AO$1006:BK1006),$AO$1006:$BQ$1006,0)), HYPERLINK("#",""), HYPERLINK(CONCATENATE("#Metadata!", ADDRESS(INDEX($AJ$2:$AJ$1001,MATCH(ROWS($AH$2:AH576),$AH$2:$AH$1001,0),0), INDEX($AO$1004:$BQ$1004,1,MATCH(COLUMNS($AO$1006:BK1006),$AO$1006:$BQ$1006,0)))),"Fix")))</f>
        <v>#N/A</v>
      </c>
      <c r="Y576" s="5" t="e">
        <f ca="1">IF(OR(INDEX($AI$2:$AI$1001,MATCH(ROWS($AH$2:AH576),$AH$2:$AH$1001,0),1)&gt;=100000,INDEX($AO$1005:$BQ$1005,1,MATCH(COLUMNS($AO$1006:BL1006),$AO$1006:$BQ$1006,0))&gt;=100000), " ",IF(INDEX($AO$2:$BQ$1001,MATCH(ROWS($AH$2:AH576),$AH$2:$AH$1001,0),MATCH(COLUMNS($AO$1006:BL1006),$AO$1006:$BQ$1006,0)), HYPERLINK("#",""), HYPERLINK(CONCATENATE("#Metadata!", ADDRESS(INDEX($AJ$2:$AJ$1001,MATCH(ROWS($AH$2:AH576),$AH$2:$AH$1001,0),0), INDEX($AO$1004:$BQ$1004,1,MATCH(COLUMNS($AO$1006:BL1006),$AO$1006:$BQ$1006,0)))),"Fix")))</f>
        <v>#N/A</v>
      </c>
      <c r="Z576" s="5" t="e">
        <f ca="1">IF(OR(INDEX($AI$2:$AI$1001,MATCH(ROWS($AH$2:AH576),$AH$2:$AH$1001,0),1)&gt;=100000,INDEX($AO$1005:$BQ$1005,1,MATCH(COLUMNS($AO$1006:BM1006),$AO$1006:$BQ$1006,0))&gt;=100000), " ",IF(INDEX($AO$2:$BQ$1001,MATCH(ROWS($AH$2:AH576),$AH$2:$AH$1001,0),MATCH(COLUMNS($AO$1006:BM1006),$AO$1006:$BQ$1006,0)), HYPERLINK("#",""), HYPERLINK(CONCATENATE("#Metadata!", ADDRESS(INDEX($AJ$2:$AJ$1001,MATCH(ROWS($AH$2:AH576),$AH$2:$AH$1001,0),0), INDEX($AO$1004:$BQ$1004,1,MATCH(COLUMNS($AO$1006:BM1006),$AO$1006:$BQ$1006,0)))),"Fix")))</f>
        <v>#N/A</v>
      </c>
      <c r="AA576" s="5" t="e">
        <f ca="1">IF(OR(INDEX($AI$2:$AI$1001,MATCH(ROWS($AH$2:AH576),$AH$2:$AH$1001,0),1)&gt;=100000,INDEX($AO$1005:$BQ$1005,1,MATCH(COLUMNS($AO$1006:BN1006),$AO$1006:$BQ$1006,0))&gt;=100000), " ",IF(INDEX($AO$2:$BQ$1001,MATCH(ROWS($AH$2:AH576),$AH$2:$AH$1001,0),MATCH(COLUMNS($AO$1006:BN1006),$AO$1006:$BQ$1006,0)), HYPERLINK("#",""), HYPERLINK(CONCATENATE("#Metadata!", ADDRESS(INDEX($AJ$2:$AJ$1001,MATCH(ROWS($AH$2:AH576),$AH$2:$AH$1001,0),0), INDEX($AO$1004:$BQ$1004,1,MATCH(COLUMNS($AO$1006:BN1006),$AO$1006:$BQ$1006,0)))),"Fix")))</f>
        <v>#N/A</v>
      </c>
      <c r="AB576" s="5" t="e">
        <f ca="1">IF(OR(INDEX($AI$2:$AI$1001,MATCH(ROWS($AH$2:AH576),$AH$2:$AH$1001,0),1)&gt;=100000,INDEX($AO$1005:$BQ$1005,1,MATCH(COLUMNS($AO$1006:BO1006),$AO$1006:$BQ$1006,0))&gt;=100000), " ",IF(INDEX($AO$2:$BQ$1001,MATCH(ROWS($AH$2:AH576),$AH$2:$AH$1001,0),MATCH(COLUMNS($AO$1006:BO1006),$AO$1006:$BQ$1006,0)), HYPERLINK("#",""), HYPERLINK(CONCATENATE("#Metadata!", ADDRESS(INDEX($AJ$2:$AJ$1001,MATCH(ROWS($AH$2:AH576),$AH$2:$AH$1001,0),0), INDEX($AO$1004:$BQ$1004,1,MATCH(COLUMNS($AO$1006:BO1006),$AO$1006:$BQ$1006,0)))),"Fix")))</f>
        <v>#N/A</v>
      </c>
      <c r="AC576" s="5" t="e">
        <f ca="1">IF(OR(INDEX($AI$2:$AI$1001,MATCH(ROWS($AH$2:AH576),$AH$2:$AH$1001,0),1)&gt;=100000,INDEX($AO$1005:$BQ$1005,1,MATCH(COLUMNS($AO$1006:BP1006),$AO$1006:$BQ$1006,0))&gt;=100000), " ",IF(INDEX($AO$2:$BQ$1001,MATCH(ROWS($AH$2:AH576),$AH$2:$AH$1001,0),MATCH(COLUMNS($AO$1006:BP1006),$AO$1006:$BQ$1006,0)), HYPERLINK("#",""), HYPERLINK(CONCATENATE("#Metadata!", ADDRESS(INDEX($AJ$2:$AJ$1001,MATCH(ROWS($AH$2:AH576),$AH$2:$AH$1001,0),0), INDEX($AO$1004:$BQ$1004,1,MATCH(COLUMNS($AO$1006:BP1006),$AO$1006:$BQ$1006,0)))),"Fix")))</f>
        <v>#N/A</v>
      </c>
      <c r="AD576" s="5" t="e">
        <f ca="1">IF(OR(INDEX($AI$2:$AI$1001,MATCH(ROWS($AH$2:AH576),$AH$2:$AH$1001,0),1)&gt;=100000,INDEX($AO$1005:$BQ$1005,1,MATCH(COLUMNS($AO$1006:BQ1006),$AO$1006:$BQ$1006,0))&gt;=100000), " ",IF(INDEX($AO$2:$BQ$1001,MATCH(ROWS($AH$2:AH576),$AH$2:$AH$1001,0),MATCH(COLUMNS($AO$1006:BQ1006),$AO$1006:$BQ$1006,0)), HYPERLINK("#",""), HYPERLINK(CONCATENATE("#Metadata!", ADDRESS(INDEX($AJ$2:$AJ$1001,MATCH(ROWS($AH$2:AH576),$AH$2:$AH$1001,0),0), INDEX($AO$1004:$BQ$1004,1,MATCH(COLUMNS($AO$1006:BQ1006),$AO$1006:$BQ$1006,0)))),"Fix")))</f>
        <v>#REF!</v>
      </c>
      <c r="AH576">
        <f ca="1"/>
        <v>573</v>
      </c>
      <c r="AI576">
        <v>100576</v>
      </c>
      <c r="AJ576">
        <v>576</v>
      </c>
      <c r="AK576" t="b">
        <f t="shared" si="8"/>
        <v>1</v>
      </c>
      <c r="AL576" t="b">
        <f>COUNTBLANK(Metadata!B576:AD576)=COLUMNS(Metadata!B576:AD576)</f>
        <v>1</v>
      </c>
      <c r="AM576" t="str">
        <v/>
      </c>
      <c r="AO576" t="b">
        <f ca="1">AND(IF(Metadata!B576="",FALSE,TRUE),COUNTIF(Metadata!B:B, Metadata!B576) = 1,NOT(ISERROR(SUMPRODUCT(SEARCH(MID(Metadata!B576,ROW(INDIRECT("1:"&amp;LEN(Metadata!B576))), 1),"0123456789abcdefghijklmnopqrstuvwxyzABCDEFGHIJKLMNOPQRSTUVWXYZ.")))))</f>
        <v>0</v>
      </c>
      <c r="AP576" t="b">
        <f>IF(Metadata!C576="",FALSE,TRUE)</f>
        <v>0</v>
      </c>
      <c r="AQ576" t="b">
        <f>IF(Metadata!D576="",FALSE,TRUE)</f>
        <v>0</v>
      </c>
      <c r="AR576" t="b">
        <f ca="1">OR(AND(IF(Metadata!E576="",FALSE,TRUE),OR(EXACT(Metadata!E576,"not collected"),EXACT(Metadata!E576,"not provided"),EXACT(Metadata!E576,"restricted access"))),AND(IF(Metadata!E576="",FALSE,TRUE),AND(AND(IFERROR(INT(LEFT(Metadata!E576,4))&gt;1900,FALSE),IFERROR(INT(LEFT(Metadata!E576,4))&lt;=YEAR(NOW()),FALSE)), OR(MID(Metadata!E576,5,1)="", AND(AND(MID(Metadata!E576,5,1)="-",IFERROR(INT(MID(Metadata!E576,6,1))&gt;=0,FALSE),IFERROR(INT(MID(Metadata!E576,6,1))&lt;=1,FALSE),NOT(MID(Metadata!E576,7,1)=""),IFERROR(INT(MID(Metadata!E576,6,2))&gt;=1,FALSE),IFERROR(INT(MID(Metadata!E576,6,2))&lt;=12,FALSE)), OR(MID(Metadata!E576,8,1)="", AND(AND(MID(Metadata!E576,8,1)="-",IFERROR(INT(MID(Metadata!E576,9,1))&gt;=0,FALSE),IFERROR(INT(MID(Metadata!E576,9,1))&lt;=3,FALSE),NOT(MID(Metadata!E576,10,1)=""),IFERROR(INT(MID(Metadata!E576,9,2))&gt;=1,FALSE),IFERROR(INT(MID(Metadata!E576,9,2))&lt;=31,FALSE)), OR(MID(Metadata!E576,11,1)="", AND(AND(MID(Metadata!E576,11,1)=" ",IFERROR(INT(MID(Metadata!E576,12,1))&gt;=0,FALSE),IFERROR(INT(MID(Metadata!E576,12,1))&lt;=2,FALSE),NOT(MID(Metadata!E576,13,1)=""),IFERROR(INT(MID(Metadata!E576,12,2))&gt;=0,FALSE),IFERROR(INT(MID(Metadata!E576,12,2))&lt;=23,FALSE)), OR(MID(Metadata!E576,14,1)="", AND(AND(MID(Metadata!E576,14,1)=":",IFERROR(INT(MID(Metadata!E576,15,1))&gt;=0,FALSE),IFERROR(INT(MID(Metadata!E576,15,1))&lt;=5,FALSE),NOT(MID(Metadata!E576,16,1)=""),IFERROR(INT(MID(Metadata!E576,15,2))&gt;=0,FALSE),IFERROR(INT(MID(Metadata!E576,15,2))&lt;=59,FALSE)), OR(MID(Metadata!E576,17,1)="", AND(AND(MID(Metadata!E576,17,1)=":",IFERROR(INT(MID(Metadata!E576,18,1))&gt;=0,FALSE),IFERROR(INT(MID(Metadata!E576,18,1))&lt;=5,FALSE),NOT(MID(Metadata!E576,19,1)=""),IFERROR(INT(MID(Metadata!E576,18,2))&gt;=0,FALSE),IFERROR(INT(MID(Metadata!E576,18,2))&lt;=59,FALSE)), LEN(Metadata!E576)&lt;=19)))))))))))))</f>
        <v>0</v>
      </c>
      <c r="AS576" t="b">
        <f>IF(Metadata!F576="",FALSE,TRUE)</f>
        <v>0</v>
      </c>
      <c r="AT576" t="b">
        <f>OR(AND(IF(Metadata!G576="",FALSE,TRUE),OR(EXACT(Metadata!G576,"not collected"),EXACT(Metadata!G576,"not provided"))),AND(IF(Metadata!G576="",FALSE,TRUE),OR(EXACT(Metadata!G576,"TRUE"),EXACT(Metadata!G576,"FALSE"))))</f>
        <v>0</v>
      </c>
      <c r="AU576" t="b">
        <f>OR(AND(IF(Metadata!H576="",FALSE,TRUE),OR(EXACT(Metadata!H576,"not collected"),EXACT(Metadata!H576,"not provided"),EXACT(Metadata!H576,"restricted access"))),AND(IF(Metadata!H576="",FALSE,ISNUMBER(VALUE(Metadata!H576))),Metadata!H576&gt;=-413))</f>
        <v>0</v>
      </c>
      <c r="AV576" t="b">
        <f>AND(IF(Metadata!I576="",FALSE,TRUE),EXACT(Metadata!I576,"meters"))</f>
        <v>0</v>
      </c>
      <c r="AW576" t="b">
        <f>AND(IF(Metadata!J576="",FALSE,TRUE),EXACT(Metadata!J576,"free-living"))</f>
        <v>0</v>
      </c>
      <c r="AX576" t="b">
        <f>AND(IF(Metadata!K576="",FALSE,TRUE),OR(EXACT(Metadata!K576,"saline"),EXACT(Metadata!K576,"non-saline")))</f>
        <v>0</v>
      </c>
      <c r="AY576" t="b">
        <f>AND(IF(Metadata!L576="",FALSE,TRUE),OR(EXACT(Metadata!L576,"sub-surface (non-saline)"),EXACT(Metadata!L576,"surface (non-saline)"),EXACT(Metadata!L576,"water (non-saline)"),EXACT(Metadata!L576,"soil (non-saline)"),EXACT(Metadata!L576,"aerosol (non-saline)"),EXACT(Metadata!L576,"sediment (non-saline)"),EXACT(Metadata!L576,"surface (saline)"),EXACT(Metadata!L576,"water (saline)"),EXACT(Metadata!L576,"hypersaline (saline)"),EXACT(Metadata!L576,"aerosol (saline)"),EXACT(Metadata!L576,"sediment (saline)")))</f>
        <v>0</v>
      </c>
      <c r="AZ576" t="b">
        <f>IF(Metadata!M576="",FALSE,TRUE)</f>
        <v>0</v>
      </c>
      <c r="BA576" t="b">
        <f>IF(Metadata!N576="",FALSE,TRUE)</f>
        <v>0</v>
      </c>
      <c r="BB576" t="b">
        <f>IF(Metadata!O576="",FALSE,TRUE)</f>
        <v>0</v>
      </c>
      <c r="BC576" t="b">
        <f>AND(IF(Metadata!P576="",FALSE,TRUE),OR(EXACT(Metadata!P576,"air"),EXACT(Metadata!P576,"microbial mat/biofilm"),EXACT(Metadata!P576,"misc environment"),EXACT(Metadata!P576,"sediment"),EXACT(Metadata!P576,"soil"),EXACT(Metadata!P576,"wastewater/sludge"),EXACT(Metadata!P576,"water")))</f>
        <v>0</v>
      </c>
      <c r="BD576" t="b">
        <f>IF(Metadata!Q576="",FALSE,TRUE)</f>
        <v>0</v>
      </c>
      <c r="BE576" t="b">
        <f>IF(Metadata!R576="",FALSE,TRUE)</f>
        <v>0</v>
      </c>
      <c r="BF576" t="b">
        <f>OR(AND(IF(Metadata!S576="",FALSE,TRUE),OR(EXACT(Metadata!S576,"not collected"),EXACT(Metadata!S576,"not provided"),EXACT(Metadata!S576,"restricted access"))),AND(IF(Metadata!S576="",FALSE,ISNUMBER(VALUE(Metadata!S576))),Metadata!S576&gt;=-90,Metadata!S576&lt;=90))</f>
        <v>0</v>
      </c>
      <c r="BG576" t="b">
        <f>AND(IF(Metadata!T576="",FALSE,TRUE),EXACT(Metadata!T576,"Decimal degrees"))</f>
        <v>0</v>
      </c>
      <c r="BH576" t="b">
        <f>OR(AND(IF(Metadata!U576="",FALSE,TRUE),OR(EXACT(Metadata!U576,"not applicable"),EXACT(Metadata!U576,"not collected"))),IF(Metadata!U576="",FALSE,TRUE))</f>
        <v>0</v>
      </c>
      <c r="BI576" t="b">
        <f>OR(AND(IF(Metadata!V576="",FALSE,TRUE),OR(EXACT(Metadata!V576,"not collected"),EXACT(Metadata!V576,"not provided"),EXACT(Metadata!V576,"restricted access"))),AND(IF(Metadata!V576="",FALSE,ISNUMBER(VALUE(Metadata!V576))),Metadata!V576&gt;=-180,Metadata!V576&lt;=180))</f>
        <v>0</v>
      </c>
      <c r="BJ576" t="b">
        <f>AND(IF(Metadata!W576="",FALSE,TRUE),EXACT(Metadata!W576,"Decimal degrees"))</f>
        <v>0</v>
      </c>
      <c r="BK576" t="b">
        <f>IF(Metadata!X576="",FALSE,TRUE)</f>
        <v>0</v>
      </c>
      <c r="BL576" t="b">
        <f>OR(AND(IF(Metadata!Y576="",FALSE,TRUE),OR(EXACT(Metadata!Y576,"not collected"),EXACT(Metadata!Y576,"not provided"),EXACT(Metadata!Y576,"restricted access"))),AND(IF(Metadata!Y576="",FALSE,TRUE),OR(EXACT(Metadata!Y576,"TRUE"),EXACT(Metadata!Y576,"FALSE"))))</f>
        <v>0</v>
      </c>
      <c r="BM576" t="b">
        <f>OR(AND(IF(Metadata!Z576="",FALSE,TRUE),EXACT(Metadata!Z576,"not applicable")),AND(IF(Metadata!Z576="",FALSE,TRUE),OR(EXACT(Metadata!Z576,"beer"),EXACT(Metadata!Z576,"cheese"),EXACT(Metadata!Z576,"fresh water"),EXACT(Metadata!Z576,"marine sediment"),EXACT(Metadata!Z576,"sea water"),EXACT(Metadata!Z576,"sediment"),EXACT(Metadata!Z576,"soil"),EXACT(Metadata!Z576,"waste water"))))</f>
        <v>0</v>
      </c>
      <c r="BN576" t="b">
        <f>AND(IF(Metadata!AA576="",FALSE,TRUE),EXACT(Metadata!AA576,"metagenome"))</f>
        <v>0</v>
      </c>
      <c r="BO576" t="b">
        <f>AND(IF(Metadata!AB576="",FALSE,TRUE),EXACT(Metadata!AB576,"256318"))</f>
        <v>0</v>
      </c>
      <c r="BP576" t="b">
        <f>IF(Metadata!AC576="",FALSE,TRUE)</f>
        <v>0</v>
      </c>
      <c r="BQ576" t="b">
        <f>IF(Metadata!AD576="",FALSE,TRUE)</f>
        <v>0</v>
      </c>
    </row>
    <row r="577" spans="1:69" x14ac:dyDescent="0.2">
      <c r="A577" s="4" t="e">
        <f ca="1">IF(B577=" "," ",HYPERLINK(CONCATENATE("#metadata!",ADDRESS(INDEX($AJ$2:$AJ$1001,MATCH(ROWS($AH$2:AH577),$AH$2:$AH$1001,0),0),2)),INDEX($AM$2:$AM$1001,MATCH(ROWS($AH$2:AH577),$AH$2:$AH$1001,0),0)))</f>
        <v>#N/A</v>
      </c>
      <c r="B577" s="5" t="e">
        <f ca="1">IF(OR(INDEX($AI$2:$AI$1001,MATCH(ROWS($AH$2:AH577),$AH$2:$AH$1001,0),1)&gt;=100000,INDEX($AO$1005:$BQ$1005,1,MATCH(COLUMNS($AO$1006:AO1006),$AO$1006:$BQ$1006,0))&gt;=100000), " ",IF(INDEX($AO$2:$BQ$1001,MATCH(ROWS($AH$2:AH577),$AH$2:$AH$1001,0),MATCH(COLUMNS($AO$1006:AO1006),$AO$1006:$BQ$1006,0)), HYPERLINK("#",""), HYPERLINK(CONCATENATE("#Metadata!", ADDRESS(INDEX($AJ$2:$AJ$1001,MATCH(ROWS($AH$2:AH577),$AH$2:$AH$1001,0),0), INDEX($AO$1004:$BQ$1004,1,MATCH(COLUMNS($AO$1006:AO1006),$AO$1006:$BQ$1006,0)))),"Fix")))</f>
        <v>#N/A</v>
      </c>
      <c r="C577" s="5" t="e">
        <f ca="1">IF(OR(INDEX($AI$2:$AI$1001,MATCH(ROWS($AH$2:AH577),$AH$2:$AH$1001,0),1)&gt;=100000,INDEX($AO$1005:$BQ$1005,1,MATCH(COLUMNS($AO$1006:AP1006),$AO$1006:$BQ$1006,0))&gt;=100000), " ",IF(INDEX($AO$2:$BQ$1001,MATCH(ROWS($AH$2:AH577),$AH$2:$AH$1001,0),MATCH(COLUMNS($AO$1006:AP1006),$AO$1006:$BQ$1006,0)), HYPERLINK("#",""), HYPERLINK(CONCATENATE("#Metadata!", ADDRESS(INDEX($AJ$2:$AJ$1001,MATCH(ROWS($AH$2:AH577),$AH$2:$AH$1001,0),0), INDEX($AO$1004:$BQ$1004,1,MATCH(COLUMNS($AO$1006:AP1006),$AO$1006:$BQ$1006,0)))),"Fix")))</f>
        <v>#N/A</v>
      </c>
      <c r="D577" s="5" t="e">
        <f ca="1">IF(OR(INDEX($AI$2:$AI$1001,MATCH(ROWS($AH$2:AH577),$AH$2:$AH$1001,0),1)&gt;=100000,INDEX($AO$1005:$BQ$1005,1,MATCH(COLUMNS($AO$1006:AQ1006),$AO$1006:$BQ$1006,0))&gt;=100000), " ",IF(INDEX($AO$2:$BQ$1001,MATCH(ROWS($AH$2:AH577),$AH$2:$AH$1001,0),MATCH(COLUMNS($AO$1006:AQ1006),$AO$1006:$BQ$1006,0)), HYPERLINK("#",""), HYPERLINK(CONCATENATE("#Metadata!", ADDRESS(INDEX($AJ$2:$AJ$1001,MATCH(ROWS($AH$2:AH577),$AH$2:$AH$1001,0),0), INDEX($AO$1004:$BQ$1004,1,MATCH(COLUMNS($AO$1006:AQ1006),$AO$1006:$BQ$1006,0)))),"Fix")))</f>
        <v>#N/A</v>
      </c>
      <c r="E577" s="5" t="e">
        <f ca="1">IF(OR(INDEX($AI$2:$AI$1001,MATCH(ROWS($AH$2:AH577),$AH$2:$AH$1001,0),1)&gt;=100000,INDEX($AO$1005:$BQ$1005,1,MATCH(COLUMNS($AO$1006:AR1006),$AO$1006:$BQ$1006,0))&gt;=100000), " ",IF(INDEX($AO$2:$BQ$1001,MATCH(ROWS($AH$2:AH577),$AH$2:$AH$1001,0),MATCH(COLUMNS($AO$1006:AR1006),$AO$1006:$BQ$1006,0)), HYPERLINK("#",""), HYPERLINK(CONCATENATE("#Metadata!", ADDRESS(INDEX($AJ$2:$AJ$1001,MATCH(ROWS($AH$2:AH577),$AH$2:$AH$1001,0),0), INDEX($AO$1004:$BQ$1004,1,MATCH(COLUMNS($AO$1006:AR1006),$AO$1006:$BQ$1006,0)))),"Fix")))</f>
        <v>#N/A</v>
      </c>
      <c r="F577" s="5" t="e">
        <f ca="1">IF(OR(INDEX($AI$2:$AI$1001,MATCH(ROWS($AH$2:AH577),$AH$2:$AH$1001,0),1)&gt;=100000,INDEX($AO$1005:$BQ$1005,1,MATCH(COLUMNS($AO$1006:AS1006),$AO$1006:$BQ$1006,0))&gt;=100000), " ",IF(INDEX($AO$2:$BQ$1001,MATCH(ROWS($AH$2:AH577),$AH$2:$AH$1001,0),MATCH(COLUMNS($AO$1006:AS1006),$AO$1006:$BQ$1006,0)), HYPERLINK("#",""), HYPERLINK(CONCATENATE("#Metadata!", ADDRESS(INDEX($AJ$2:$AJ$1001,MATCH(ROWS($AH$2:AH577),$AH$2:$AH$1001,0),0), INDEX($AO$1004:$BQ$1004,1,MATCH(COLUMNS($AO$1006:AS1006),$AO$1006:$BQ$1006,0)))),"Fix")))</f>
        <v>#N/A</v>
      </c>
      <c r="G577" s="5" t="e">
        <f ca="1">IF(OR(INDEX($AI$2:$AI$1001,MATCH(ROWS($AH$2:AH577),$AH$2:$AH$1001,0),1)&gt;=100000,INDEX($AO$1005:$BQ$1005,1,MATCH(COLUMNS($AO$1006:AT1006),$AO$1006:$BQ$1006,0))&gt;=100000), " ",IF(INDEX($AO$2:$BQ$1001,MATCH(ROWS($AH$2:AH577),$AH$2:$AH$1001,0),MATCH(COLUMNS($AO$1006:AT1006),$AO$1006:$BQ$1006,0)), HYPERLINK("#",""), HYPERLINK(CONCATENATE("#Metadata!", ADDRESS(INDEX($AJ$2:$AJ$1001,MATCH(ROWS($AH$2:AH577),$AH$2:$AH$1001,0),0), INDEX($AO$1004:$BQ$1004,1,MATCH(COLUMNS($AO$1006:AT1006),$AO$1006:$BQ$1006,0)))),"Fix")))</f>
        <v>#N/A</v>
      </c>
      <c r="H577" s="5" t="e">
        <f ca="1">IF(OR(INDEX($AI$2:$AI$1001,MATCH(ROWS($AH$2:AH577),$AH$2:$AH$1001,0),1)&gt;=100000,INDEX($AO$1005:$BQ$1005,1,MATCH(COLUMNS($AO$1006:AU1006),$AO$1006:$BQ$1006,0))&gt;=100000), " ",IF(INDEX($AO$2:$BQ$1001,MATCH(ROWS($AH$2:AH577),$AH$2:$AH$1001,0),MATCH(COLUMNS($AO$1006:AU1006),$AO$1006:$BQ$1006,0)), HYPERLINK("#",""), HYPERLINK(CONCATENATE("#Metadata!", ADDRESS(INDEX($AJ$2:$AJ$1001,MATCH(ROWS($AH$2:AH577),$AH$2:$AH$1001,0),0), INDEX($AO$1004:$BQ$1004,1,MATCH(COLUMNS($AO$1006:AU1006),$AO$1006:$BQ$1006,0)))),"Fix")))</f>
        <v>#N/A</v>
      </c>
      <c r="I577" s="5" t="e">
        <f ca="1">IF(OR(INDEX($AI$2:$AI$1001,MATCH(ROWS($AH$2:AH577),$AH$2:$AH$1001,0),1)&gt;=100000,INDEX($AO$1005:$BQ$1005,1,MATCH(COLUMNS($AO$1006:AV1006),$AO$1006:$BQ$1006,0))&gt;=100000), " ",IF(INDEX($AO$2:$BQ$1001,MATCH(ROWS($AH$2:AH577),$AH$2:$AH$1001,0),MATCH(COLUMNS($AO$1006:AV1006),$AO$1006:$BQ$1006,0)), HYPERLINK("#",""), HYPERLINK(CONCATENATE("#Metadata!", ADDRESS(INDEX($AJ$2:$AJ$1001,MATCH(ROWS($AH$2:AH577),$AH$2:$AH$1001,0),0), INDEX($AO$1004:$BQ$1004,1,MATCH(COLUMNS($AO$1006:AV1006),$AO$1006:$BQ$1006,0)))),"Fix")))</f>
        <v>#N/A</v>
      </c>
      <c r="J577" s="5" t="e">
        <f ca="1">IF(OR(INDEX($AI$2:$AI$1001,MATCH(ROWS($AH$2:AH577),$AH$2:$AH$1001,0),1)&gt;=100000,INDEX($AO$1005:$BQ$1005,1,MATCH(COLUMNS($AO$1006:AW1006),$AO$1006:$BQ$1006,0))&gt;=100000), " ",IF(INDEX($AO$2:$BQ$1001,MATCH(ROWS($AH$2:AH577),$AH$2:$AH$1001,0),MATCH(COLUMNS($AO$1006:AW1006),$AO$1006:$BQ$1006,0)), HYPERLINK("#",""), HYPERLINK(CONCATENATE("#Metadata!", ADDRESS(INDEX($AJ$2:$AJ$1001,MATCH(ROWS($AH$2:AH577),$AH$2:$AH$1001,0),0), INDEX($AO$1004:$BQ$1004,1,MATCH(COLUMNS($AO$1006:AW1006),$AO$1006:$BQ$1006,0)))),"Fix")))</f>
        <v>#N/A</v>
      </c>
      <c r="K577" s="5" t="e">
        <f ca="1">IF(OR(INDEX($AI$2:$AI$1001,MATCH(ROWS($AH$2:AH577),$AH$2:$AH$1001,0),1)&gt;=100000,INDEX($AO$1005:$BQ$1005,1,MATCH(COLUMNS($AO$1006:AX1006),$AO$1006:$BQ$1006,0))&gt;=100000), " ",IF(INDEX($AO$2:$BQ$1001,MATCH(ROWS($AH$2:AH577),$AH$2:$AH$1001,0),MATCH(COLUMNS($AO$1006:AX1006),$AO$1006:$BQ$1006,0)), HYPERLINK("#",""), HYPERLINK(CONCATENATE("#Metadata!", ADDRESS(INDEX($AJ$2:$AJ$1001,MATCH(ROWS($AH$2:AH577),$AH$2:$AH$1001,0),0), INDEX($AO$1004:$BQ$1004,1,MATCH(COLUMNS($AO$1006:AX1006),$AO$1006:$BQ$1006,0)))),"Fix")))</f>
        <v>#N/A</v>
      </c>
      <c r="L577" s="5" t="e">
        <f ca="1">IF(OR(INDEX($AI$2:$AI$1001,MATCH(ROWS($AH$2:AH577),$AH$2:$AH$1001,0),1)&gt;=100000,INDEX($AO$1005:$BQ$1005,1,MATCH(COLUMNS($AO$1006:AY1006),$AO$1006:$BQ$1006,0))&gt;=100000), " ",IF(INDEX($AO$2:$BQ$1001,MATCH(ROWS($AH$2:AH577),$AH$2:$AH$1001,0),MATCH(COLUMNS($AO$1006:AY1006),$AO$1006:$BQ$1006,0)), HYPERLINK("#",""), HYPERLINK(CONCATENATE("#Metadata!", ADDRESS(INDEX($AJ$2:$AJ$1001,MATCH(ROWS($AH$2:AH577),$AH$2:$AH$1001,0),0), INDEX($AO$1004:$BQ$1004,1,MATCH(COLUMNS($AO$1006:AY1006),$AO$1006:$BQ$1006,0)))),"Fix")))</f>
        <v>#N/A</v>
      </c>
      <c r="M577" s="5" t="e">
        <f ca="1">IF(OR(INDEX($AI$2:$AI$1001,MATCH(ROWS($AH$2:AH577),$AH$2:$AH$1001,0),1)&gt;=100000,INDEX($AO$1005:$BQ$1005,1,MATCH(COLUMNS($AO$1006:AZ1006),$AO$1006:$BQ$1006,0))&gt;=100000), " ",IF(INDEX($AO$2:$BQ$1001,MATCH(ROWS($AH$2:AH577),$AH$2:$AH$1001,0),MATCH(COLUMNS($AO$1006:AZ1006),$AO$1006:$BQ$1006,0)), HYPERLINK("#",""), HYPERLINK(CONCATENATE("#Metadata!", ADDRESS(INDEX($AJ$2:$AJ$1001,MATCH(ROWS($AH$2:AH577),$AH$2:$AH$1001,0),0), INDEX($AO$1004:$BQ$1004,1,MATCH(COLUMNS($AO$1006:AZ1006),$AO$1006:$BQ$1006,0)))),"Fix")))</f>
        <v>#N/A</v>
      </c>
      <c r="N577" s="5" t="e">
        <f ca="1">IF(OR(INDEX($AI$2:$AI$1001,MATCH(ROWS($AH$2:AH577),$AH$2:$AH$1001,0),1)&gt;=100000,INDEX($AO$1005:$BQ$1005,1,MATCH(COLUMNS($AO$1006:BA1006),$AO$1006:$BQ$1006,0))&gt;=100000), " ",IF(INDEX($AO$2:$BQ$1001,MATCH(ROWS($AH$2:AH577),$AH$2:$AH$1001,0),MATCH(COLUMNS($AO$1006:BA1006),$AO$1006:$BQ$1006,0)), HYPERLINK("#",""), HYPERLINK(CONCATENATE("#Metadata!", ADDRESS(INDEX($AJ$2:$AJ$1001,MATCH(ROWS($AH$2:AH577),$AH$2:$AH$1001,0),0), INDEX($AO$1004:$BQ$1004,1,MATCH(COLUMNS($AO$1006:BA1006),$AO$1006:$BQ$1006,0)))),"Fix")))</f>
        <v>#N/A</v>
      </c>
      <c r="O577" s="5" t="e">
        <f ca="1">IF(OR(INDEX($AI$2:$AI$1001,MATCH(ROWS($AH$2:AH577),$AH$2:$AH$1001,0),1)&gt;=100000,INDEX($AO$1005:$BQ$1005,1,MATCH(COLUMNS($AO$1006:BB1006),$AO$1006:$BQ$1006,0))&gt;=100000), " ",IF(INDEX($AO$2:$BQ$1001,MATCH(ROWS($AH$2:AH577),$AH$2:$AH$1001,0),MATCH(COLUMNS($AO$1006:BB1006),$AO$1006:$BQ$1006,0)), HYPERLINK("#",""), HYPERLINK(CONCATENATE("#Metadata!", ADDRESS(INDEX($AJ$2:$AJ$1001,MATCH(ROWS($AH$2:AH577),$AH$2:$AH$1001,0),0), INDEX($AO$1004:$BQ$1004,1,MATCH(COLUMNS($AO$1006:BB1006),$AO$1006:$BQ$1006,0)))),"Fix")))</f>
        <v>#N/A</v>
      </c>
      <c r="P577" s="5" t="e">
        <f ca="1">IF(OR(INDEX($AI$2:$AI$1001,MATCH(ROWS($AH$2:AH577),$AH$2:$AH$1001,0),1)&gt;=100000,INDEX($AO$1005:$BQ$1005,1,MATCH(COLUMNS($AO$1006:BC1006),$AO$1006:$BQ$1006,0))&gt;=100000), " ",IF(INDEX($AO$2:$BQ$1001,MATCH(ROWS($AH$2:AH577),$AH$2:$AH$1001,0),MATCH(COLUMNS($AO$1006:BC1006),$AO$1006:$BQ$1006,0)), HYPERLINK("#",""), HYPERLINK(CONCATENATE("#Metadata!", ADDRESS(INDEX($AJ$2:$AJ$1001,MATCH(ROWS($AH$2:AH577),$AH$2:$AH$1001,0),0), INDEX($AO$1004:$BQ$1004,1,MATCH(COLUMNS($AO$1006:BC1006),$AO$1006:$BQ$1006,0)))),"Fix")))</f>
        <v>#N/A</v>
      </c>
      <c r="Q577" s="5" t="e">
        <f ca="1">IF(OR(INDEX($AI$2:$AI$1001,MATCH(ROWS($AH$2:AH577),$AH$2:$AH$1001,0),1)&gt;=100000,INDEX($AO$1005:$BQ$1005,1,MATCH(COLUMNS($AO$1006:BD1006),$AO$1006:$BQ$1006,0))&gt;=100000), " ",IF(INDEX($AO$2:$BQ$1001,MATCH(ROWS($AH$2:AH577),$AH$2:$AH$1001,0),MATCH(COLUMNS($AO$1006:BD1006),$AO$1006:$BQ$1006,0)), HYPERLINK("#",""), HYPERLINK(CONCATENATE("#Metadata!", ADDRESS(INDEX($AJ$2:$AJ$1001,MATCH(ROWS($AH$2:AH577),$AH$2:$AH$1001,0),0), INDEX($AO$1004:$BQ$1004,1,MATCH(COLUMNS($AO$1006:BD1006),$AO$1006:$BQ$1006,0)))),"Fix")))</f>
        <v>#N/A</v>
      </c>
      <c r="R577" s="5" t="e">
        <f ca="1">IF(OR(INDEX($AI$2:$AI$1001,MATCH(ROWS($AH$2:AH577),$AH$2:$AH$1001,0),1)&gt;=100000,INDEX($AO$1005:$BQ$1005,1,MATCH(COLUMNS($AO$1006:BE1006),$AO$1006:$BQ$1006,0))&gt;=100000), " ",IF(INDEX($AO$2:$BQ$1001,MATCH(ROWS($AH$2:AH577),$AH$2:$AH$1001,0),MATCH(COLUMNS($AO$1006:BE1006),$AO$1006:$BQ$1006,0)), HYPERLINK("#",""), HYPERLINK(CONCATENATE("#Metadata!", ADDRESS(INDEX($AJ$2:$AJ$1001,MATCH(ROWS($AH$2:AH577),$AH$2:$AH$1001,0),0), INDEX($AO$1004:$BQ$1004,1,MATCH(COLUMNS($AO$1006:BE1006),$AO$1006:$BQ$1006,0)))),"Fix")))</f>
        <v>#N/A</v>
      </c>
      <c r="S577" s="5" t="e">
        <f ca="1">IF(OR(INDEX($AI$2:$AI$1001,MATCH(ROWS($AH$2:AH577),$AH$2:$AH$1001,0),1)&gt;=100000,INDEX($AO$1005:$BQ$1005,1,MATCH(COLUMNS($AO$1006:BF1006),$AO$1006:$BQ$1006,0))&gt;=100000), " ",IF(INDEX($AO$2:$BQ$1001,MATCH(ROWS($AH$2:AH577),$AH$2:$AH$1001,0),MATCH(COLUMNS($AO$1006:BF1006),$AO$1006:$BQ$1006,0)), HYPERLINK("#",""), HYPERLINK(CONCATENATE("#Metadata!", ADDRESS(INDEX($AJ$2:$AJ$1001,MATCH(ROWS($AH$2:AH577),$AH$2:$AH$1001,0),0), INDEX($AO$1004:$BQ$1004,1,MATCH(COLUMNS($AO$1006:BF1006),$AO$1006:$BQ$1006,0)))),"Fix")))</f>
        <v>#N/A</v>
      </c>
      <c r="T577" s="5" t="e">
        <f ca="1">IF(OR(INDEX($AI$2:$AI$1001,MATCH(ROWS($AH$2:AH577),$AH$2:$AH$1001,0),1)&gt;=100000,INDEX($AO$1005:$BQ$1005,1,MATCH(COLUMNS($AO$1006:BG1006),$AO$1006:$BQ$1006,0))&gt;=100000), " ",IF(INDEX($AO$2:$BQ$1001,MATCH(ROWS($AH$2:AH577),$AH$2:$AH$1001,0),MATCH(COLUMNS($AO$1006:BG1006),$AO$1006:$BQ$1006,0)), HYPERLINK("#",""), HYPERLINK(CONCATENATE("#Metadata!", ADDRESS(INDEX($AJ$2:$AJ$1001,MATCH(ROWS($AH$2:AH577),$AH$2:$AH$1001,0),0), INDEX($AO$1004:$BQ$1004,1,MATCH(COLUMNS($AO$1006:BG1006),$AO$1006:$BQ$1006,0)))),"Fix")))</f>
        <v>#N/A</v>
      </c>
      <c r="U577" s="5" t="e">
        <f ca="1">IF(OR(INDEX($AI$2:$AI$1001,MATCH(ROWS($AH$2:AH577),$AH$2:$AH$1001,0),1)&gt;=100000,INDEX($AO$1005:$BQ$1005,1,MATCH(COLUMNS($AO$1006:BH1006),$AO$1006:$BQ$1006,0))&gt;=100000), " ",IF(INDEX($AO$2:$BQ$1001,MATCH(ROWS($AH$2:AH577),$AH$2:$AH$1001,0),MATCH(COLUMNS($AO$1006:BH1006),$AO$1006:$BQ$1006,0)), HYPERLINK("#",""), HYPERLINK(CONCATENATE("#Metadata!", ADDRESS(INDEX($AJ$2:$AJ$1001,MATCH(ROWS($AH$2:AH577),$AH$2:$AH$1001,0),0), INDEX($AO$1004:$BQ$1004,1,MATCH(COLUMNS($AO$1006:BH1006),$AO$1006:$BQ$1006,0)))),"Fix")))</f>
        <v>#N/A</v>
      </c>
      <c r="V577" s="5" t="e">
        <f ca="1">IF(OR(INDEX($AI$2:$AI$1001,MATCH(ROWS($AH$2:AH577),$AH$2:$AH$1001,0),1)&gt;=100000,INDEX($AO$1005:$BQ$1005,1,MATCH(COLUMNS($AO$1006:BI1006),$AO$1006:$BQ$1006,0))&gt;=100000), " ",IF(INDEX($AO$2:$BQ$1001,MATCH(ROWS($AH$2:AH577),$AH$2:$AH$1001,0),MATCH(COLUMNS($AO$1006:BI1006),$AO$1006:$BQ$1006,0)), HYPERLINK("#",""), HYPERLINK(CONCATENATE("#Metadata!", ADDRESS(INDEX($AJ$2:$AJ$1001,MATCH(ROWS($AH$2:AH577),$AH$2:$AH$1001,0),0), INDEX($AO$1004:$BQ$1004,1,MATCH(COLUMNS($AO$1006:BI1006),$AO$1006:$BQ$1006,0)))),"Fix")))</f>
        <v>#N/A</v>
      </c>
      <c r="W577" s="5" t="e">
        <f ca="1">IF(OR(INDEX($AI$2:$AI$1001,MATCH(ROWS($AH$2:AH577),$AH$2:$AH$1001,0),1)&gt;=100000,INDEX($AO$1005:$BQ$1005,1,MATCH(COLUMNS($AO$1006:BJ1006),$AO$1006:$BQ$1006,0))&gt;=100000), " ",IF(INDEX($AO$2:$BQ$1001,MATCH(ROWS($AH$2:AH577),$AH$2:$AH$1001,0),MATCH(COLUMNS($AO$1006:BJ1006),$AO$1006:$BQ$1006,0)), HYPERLINK("#",""), HYPERLINK(CONCATENATE("#Metadata!", ADDRESS(INDEX($AJ$2:$AJ$1001,MATCH(ROWS($AH$2:AH577),$AH$2:$AH$1001,0),0), INDEX($AO$1004:$BQ$1004,1,MATCH(COLUMNS($AO$1006:BJ1006),$AO$1006:$BQ$1006,0)))),"Fix")))</f>
        <v>#N/A</v>
      </c>
      <c r="X577" s="5" t="e">
        <f ca="1">IF(OR(INDEX($AI$2:$AI$1001,MATCH(ROWS($AH$2:AH577),$AH$2:$AH$1001,0),1)&gt;=100000,INDEX($AO$1005:$BQ$1005,1,MATCH(COLUMNS($AO$1006:BK1006),$AO$1006:$BQ$1006,0))&gt;=100000), " ",IF(INDEX($AO$2:$BQ$1001,MATCH(ROWS($AH$2:AH577),$AH$2:$AH$1001,0),MATCH(COLUMNS($AO$1006:BK1006),$AO$1006:$BQ$1006,0)), HYPERLINK("#",""), HYPERLINK(CONCATENATE("#Metadata!", ADDRESS(INDEX($AJ$2:$AJ$1001,MATCH(ROWS($AH$2:AH577),$AH$2:$AH$1001,0),0), INDEX($AO$1004:$BQ$1004,1,MATCH(COLUMNS($AO$1006:BK1006),$AO$1006:$BQ$1006,0)))),"Fix")))</f>
        <v>#N/A</v>
      </c>
      <c r="Y577" s="5" t="e">
        <f ca="1">IF(OR(INDEX($AI$2:$AI$1001,MATCH(ROWS($AH$2:AH577),$AH$2:$AH$1001,0),1)&gt;=100000,INDEX($AO$1005:$BQ$1005,1,MATCH(COLUMNS($AO$1006:BL1006),$AO$1006:$BQ$1006,0))&gt;=100000), " ",IF(INDEX($AO$2:$BQ$1001,MATCH(ROWS($AH$2:AH577),$AH$2:$AH$1001,0),MATCH(COLUMNS($AO$1006:BL1006),$AO$1006:$BQ$1006,0)), HYPERLINK("#",""), HYPERLINK(CONCATENATE("#Metadata!", ADDRESS(INDEX($AJ$2:$AJ$1001,MATCH(ROWS($AH$2:AH577),$AH$2:$AH$1001,0),0), INDEX($AO$1004:$BQ$1004,1,MATCH(COLUMNS($AO$1006:BL1006),$AO$1006:$BQ$1006,0)))),"Fix")))</f>
        <v>#N/A</v>
      </c>
      <c r="Z577" s="5" t="e">
        <f ca="1">IF(OR(INDEX($AI$2:$AI$1001,MATCH(ROWS($AH$2:AH577),$AH$2:$AH$1001,0),1)&gt;=100000,INDEX($AO$1005:$BQ$1005,1,MATCH(COLUMNS($AO$1006:BM1006),$AO$1006:$BQ$1006,0))&gt;=100000), " ",IF(INDEX($AO$2:$BQ$1001,MATCH(ROWS($AH$2:AH577),$AH$2:$AH$1001,0),MATCH(COLUMNS($AO$1006:BM1006),$AO$1006:$BQ$1006,0)), HYPERLINK("#",""), HYPERLINK(CONCATENATE("#Metadata!", ADDRESS(INDEX($AJ$2:$AJ$1001,MATCH(ROWS($AH$2:AH577),$AH$2:$AH$1001,0),0), INDEX($AO$1004:$BQ$1004,1,MATCH(COLUMNS($AO$1006:BM1006),$AO$1006:$BQ$1006,0)))),"Fix")))</f>
        <v>#N/A</v>
      </c>
      <c r="AA577" s="5" t="e">
        <f ca="1">IF(OR(INDEX($AI$2:$AI$1001,MATCH(ROWS($AH$2:AH577),$AH$2:$AH$1001,0),1)&gt;=100000,INDEX($AO$1005:$BQ$1005,1,MATCH(COLUMNS($AO$1006:BN1006),$AO$1006:$BQ$1006,0))&gt;=100000), " ",IF(INDEX($AO$2:$BQ$1001,MATCH(ROWS($AH$2:AH577),$AH$2:$AH$1001,0),MATCH(COLUMNS($AO$1006:BN1006),$AO$1006:$BQ$1006,0)), HYPERLINK("#",""), HYPERLINK(CONCATENATE("#Metadata!", ADDRESS(INDEX($AJ$2:$AJ$1001,MATCH(ROWS($AH$2:AH577),$AH$2:$AH$1001,0),0), INDEX($AO$1004:$BQ$1004,1,MATCH(COLUMNS($AO$1006:BN1006),$AO$1006:$BQ$1006,0)))),"Fix")))</f>
        <v>#N/A</v>
      </c>
      <c r="AB577" s="5" t="e">
        <f ca="1">IF(OR(INDEX($AI$2:$AI$1001,MATCH(ROWS($AH$2:AH577),$AH$2:$AH$1001,0),1)&gt;=100000,INDEX($AO$1005:$BQ$1005,1,MATCH(COLUMNS($AO$1006:BO1006),$AO$1006:$BQ$1006,0))&gt;=100000), " ",IF(INDEX($AO$2:$BQ$1001,MATCH(ROWS($AH$2:AH577),$AH$2:$AH$1001,0),MATCH(COLUMNS($AO$1006:BO1006),$AO$1006:$BQ$1006,0)), HYPERLINK("#",""), HYPERLINK(CONCATENATE("#Metadata!", ADDRESS(INDEX($AJ$2:$AJ$1001,MATCH(ROWS($AH$2:AH577),$AH$2:$AH$1001,0),0), INDEX($AO$1004:$BQ$1004,1,MATCH(COLUMNS($AO$1006:BO1006),$AO$1006:$BQ$1006,0)))),"Fix")))</f>
        <v>#N/A</v>
      </c>
      <c r="AC577" s="5" t="e">
        <f ca="1">IF(OR(INDEX($AI$2:$AI$1001,MATCH(ROWS($AH$2:AH577),$AH$2:$AH$1001,0),1)&gt;=100000,INDEX($AO$1005:$BQ$1005,1,MATCH(COLUMNS($AO$1006:BP1006),$AO$1006:$BQ$1006,0))&gt;=100000), " ",IF(INDEX($AO$2:$BQ$1001,MATCH(ROWS($AH$2:AH577),$AH$2:$AH$1001,0),MATCH(COLUMNS($AO$1006:BP1006),$AO$1006:$BQ$1006,0)), HYPERLINK("#",""), HYPERLINK(CONCATENATE("#Metadata!", ADDRESS(INDEX($AJ$2:$AJ$1001,MATCH(ROWS($AH$2:AH577),$AH$2:$AH$1001,0),0), INDEX($AO$1004:$BQ$1004,1,MATCH(COLUMNS($AO$1006:BP1006),$AO$1006:$BQ$1006,0)))),"Fix")))</f>
        <v>#N/A</v>
      </c>
      <c r="AD577" s="5" t="e">
        <f ca="1">IF(OR(INDEX($AI$2:$AI$1001,MATCH(ROWS($AH$2:AH577),$AH$2:$AH$1001,0),1)&gt;=100000,INDEX($AO$1005:$BQ$1005,1,MATCH(COLUMNS($AO$1006:BQ1006),$AO$1006:$BQ$1006,0))&gt;=100000), " ",IF(INDEX($AO$2:$BQ$1001,MATCH(ROWS($AH$2:AH577),$AH$2:$AH$1001,0),MATCH(COLUMNS($AO$1006:BQ1006),$AO$1006:$BQ$1006,0)), HYPERLINK("#",""), HYPERLINK(CONCATENATE("#Metadata!", ADDRESS(INDEX($AJ$2:$AJ$1001,MATCH(ROWS($AH$2:AH577),$AH$2:$AH$1001,0),0), INDEX($AO$1004:$BQ$1004,1,MATCH(COLUMNS($AO$1006:BQ1006),$AO$1006:$BQ$1006,0)))),"Fix")))</f>
        <v>#REF!</v>
      </c>
      <c r="AH577">
        <f ca="1"/>
        <v>574</v>
      </c>
      <c r="AI577">
        <v>100577</v>
      </c>
      <c r="AJ577">
        <v>577</v>
      </c>
      <c r="AK577" t="b">
        <f t="shared" si="8"/>
        <v>1</v>
      </c>
      <c r="AL577" t="b">
        <f>COUNTBLANK(Metadata!B577:AD577)=COLUMNS(Metadata!B577:AD577)</f>
        <v>1</v>
      </c>
      <c r="AM577" t="str">
        <v/>
      </c>
      <c r="AO577" t="b">
        <f ca="1">AND(IF(Metadata!B577="",FALSE,TRUE),COUNTIF(Metadata!B:B, Metadata!B577) = 1,NOT(ISERROR(SUMPRODUCT(SEARCH(MID(Metadata!B577,ROW(INDIRECT("1:"&amp;LEN(Metadata!B577))), 1),"0123456789abcdefghijklmnopqrstuvwxyzABCDEFGHIJKLMNOPQRSTUVWXYZ.")))))</f>
        <v>0</v>
      </c>
      <c r="AP577" t="b">
        <f>IF(Metadata!C577="",FALSE,TRUE)</f>
        <v>0</v>
      </c>
      <c r="AQ577" t="b">
        <f>IF(Metadata!D577="",FALSE,TRUE)</f>
        <v>0</v>
      </c>
      <c r="AR577" t="b">
        <f ca="1">OR(AND(IF(Metadata!E577="",FALSE,TRUE),OR(EXACT(Metadata!E577,"not collected"),EXACT(Metadata!E577,"not provided"),EXACT(Metadata!E577,"restricted access"))),AND(IF(Metadata!E577="",FALSE,TRUE),AND(AND(IFERROR(INT(LEFT(Metadata!E577,4))&gt;1900,FALSE),IFERROR(INT(LEFT(Metadata!E577,4))&lt;=YEAR(NOW()),FALSE)), OR(MID(Metadata!E577,5,1)="", AND(AND(MID(Metadata!E577,5,1)="-",IFERROR(INT(MID(Metadata!E577,6,1))&gt;=0,FALSE),IFERROR(INT(MID(Metadata!E577,6,1))&lt;=1,FALSE),NOT(MID(Metadata!E577,7,1)=""),IFERROR(INT(MID(Metadata!E577,6,2))&gt;=1,FALSE),IFERROR(INT(MID(Metadata!E577,6,2))&lt;=12,FALSE)), OR(MID(Metadata!E577,8,1)="", AND(AND(MID(Metadata!E577,8,1)="-",IFERROR(INT(MID(Metadata!E577,9,1))&gt;=0,FALSE),IFERROR(INT(MID(Metadata!E577,9,1))&lt;=3,FALSE),NOT(MID(Metadata!E577,10,1)=""),IFERROR(INT(MID(Metadata!E577,9,2))&gt;=1,FALSE),IFERROR(INT(MID(Metadata!E577,9,2))&lt;=31,FALSE)), OR(MID(Metadata!E577,11,1)="", AND(AND(MID(Metadata!E577,11,1)=" ",IFERROR(INT(MID(Metadata!E577,12,1))&gt;=0,FALSE),IFERROR(INT(MID(Metadata!E577,12,1))&lt;=2,FALSE),NOT(MID(Metadata!E577,13,1)=""),IFERROR(INT(MID(Metadata!E577,12,2))&gt;=0,FALSE),IFERROR(INT(MID(Metadata!E577,12,2))&lt;=23,FALSE)), OR(MID(Metadata!E577,14,1)="", AND(AND(MID(Metadata!E577,14,1)=":",IFERROR(INT(MID(Metadata!E577,15,1))&gt;=0,FALSE),IFERROR(INT(MID(Metadata!E577,15,1))&lt;=5,FALSE),NOT(MID(Metadata!E577,16,1)=""),IFERROR(INT(MID(Metadata!E577,15,2))&gt;=0,FALSE),IFERROR(INT(MID(Metadata!E577,15,2))&lt;=59,FALSE)), OR(MID(Metadata!E577,17,1)="", AND(AND(MID(Metadata!E577,17,1)=":",IFERROR(INT(MID(Metadata!E577,18,1))&gt;=0,FALSE),IFERROR(INT(MID(Metadata!E577,18,1))&lt;=5,FALSE),NOT(MID(Metadata!E577,19,1)=""),IFERROR(INT(MID(Metadata!E577,18,2))&gt;=0,FALSE),IFERROR(INT(MID(Metadata!E577,18,2))&lt;=59,FALSE)), LEN(Metadata!E577)&lt;=19)))))))))))))</f>
        <v>0</v>
      </c>
      <c r="AS577" t="b">
        <f>IF(Metadata!F577="",FALSE,TRUE)</f>
        <v>0</v>
      </c>
      <c r="AT577" t="b">
        <f>OR(AND(IF(Metadata!G577="",FALSE,TRUE),OR(EXACT(Metadata!G577,"not collected"),EXACT(Metadata!G577,"not provided"))),AND(IF(Metadata!G577="",FALSE,TRUE),OR(EXACT(Metadata!G577,"TRUE"),EXACT(Metadata!G577,"FALSE"))))</f>
        <v>0</v>
      </c>
      <c r="AU577" t="b">
        <f>OR(AND(IF(Metadata!H577="",FALSE,TRUE),OR(EXACT(Metadata!H577,"not collected"),EXACT(Metadata!H577,"not provided"),EXACT(Metadata!H577,"restricted access"))),AND(IF(Metadata!H577="",FALSE,ISNUMBER(VALUE(Metadata!H577))),Metadata!H577&gt;=-413))</f>
        <v>0</v>
      </c>
      <c r="AV577" t="b">
        <f>AND(IF(Metadata!I577="",FALSE,TRUE),EXACT(Metadata!I577,"meters"))</f>
        <v>0</v>
      </c>
      <c r="AW577" t="b">
        <f>AND(IF(Metadata!J577="",FALSE,TRUE),EXACT(Metadata!J577,"free-living"))</f>
        <v>0</v>
      </c>
      <c r="AX577" t="b">
        <f>AND(IF(Metadata!K577="",FALSE,TRUE),OR(EXACT(Metadata!K577,"saline"),EXACT(Metadata!K577,"non-saline")))</f>
        <v>0</v>
      </c>
      <c r="AY577" t="b">
        <f>AND(IF(Metadata!L577="",FALSE,TRUE),OR(EXACT(Metadata!L577,"sub-surface (non-saline)"),EXACT(Metadata!L577,"surface (non-saline)"),EXACT(Metadata!L577,"water (non-saline)"),EXACT(Metadata!L577,"soil (non-saline)"),EXACT(Metadata!L577,"aerosol (non-saline)"),EXACT(Metadata!L577,"sediment (non-saline)"),EXACT(Metadata!L577,"surface (saline)"),EXACT(Metadata!L577,"water (saline)"),EXACT(Metadata!L577,"hypersaline (saline)"),EXACT(Metadata!L577,"aerosol (saline)"),EXACT(Metadata!L577,"sediment (saline)")))</f>
        <v>0</v>
      </c>
      <c r="AZ577" t="b">
        <f>IF(Metadata!M577="",FALSE,TRUE)</f>
        <v>0</v>
      </c>
      <c r="BA577" t="b">
        <f>IF(Metadata!N577="",FALSE,TRUE)</f>
        <v>0</v>
      </c>
      <c r="BB577" t="b">
        <f>IF(Metadata!O577="",FALSE,TRUE)</f>
        <v>0</v>
      </c>
      <c r="BC577" t="b">
        <f>AND(IF(Metadata!P577="",FALSE,TRUE),OR(EXACT(Metadata!P577,"air"),EXACT(Metadata!P577,"microbial mat/biofilm"),EXACT(Metadata!P577,"misc environment"),EXACT(Metadata!P577,"sediment"),EXACT(Metadata!P577,"soil"),EXACT(Metadata!P577,"wastewater/sludge"),EXACT(Metadata!P577,"water")))</f>
        <v>0</v>
      </c>
      <c r="BD577" t="b">
        <f>IF(Metadata!Q577="",FALSE,TRUE)</f>
        <v>0</v>
      </c>
      <c r="BE577" t="b">
        <f>IF(Metadata!R577="",FALSE,TRUE)</f>
        <v>0</v>
      </c>
      <c r="BF577" t="b">
        <f>OR(AND(IF(Metadata!S577="",FALSE,TRUE),OR(EXACT(Metadata!S577,"not collected"),EXACT(Metadata!S577,"not provided"),EXACT(Metadata!S577,"restricted access"))),AND(IF(Metadata!S577="",FALSE,ISNUMBER(VALUE(Metadata!S577))),Metadata!S577&gt;=-90,Metadata!S577&lt;=90))</f>
        <v>0</v>
      </c>
      <c r="BG577" t="b">
        <f>AND(IF(Metadata!T577="",FALSE,TRUE),EXACT(Metadata!T577,"Decimal degrees"))</f>
        <v>0</v>
      </c>
      <c r="BH577" t="b">
        <f>OR(AND(IF(Metadata!U577="",FALSE,TRUE),OR(EXACT(Metadata!U577,"not applicable"),EXACT(Metadata!U577,"not collected"))),IF(Metadata!U577="",FALSE,TRUE))</f>
        <v>0</v>
      </c>
      <c r="BI577" t="b">
        <f>OR(AND(IF(Metadata!V577="",FALSE,TRUE),OR(EXACT(Metadata!V577,"not collected"),EXACT(Metadata!V577,"not provided"),EXACT(Metadata!V577,"restricted access"))),AND(IF(Metadata!V577="",FALSE,ISNUMBER(VALUE(Metadata!V577))),Metadata!V577&gt;=-180,Metadata!V577&lt;=180))</f>
        <v>0</v>
      </c>
      <c r="BJ577" t="b">
        <f>AND(IF(Metadata!W577="",FALSE,TRUE),EXACT(Metadata!W577,"Decimal degrees"))</f>
        <v>0</v>
      </c>
      <c r="BK577" t="b">
        <f>IF(Metadata!X577="",FALSE,TRUE)</f>
        <v>0</v>
      </c>
      <c r="BL577" t="b">
        <f>OR(AND(IF(Metadata!Y577="",FALSE,TRUE),OR(EXACT(Metadata!Y577,"not collected"),EXACT(Metadata!Y577,"not provided"),EXACT(Metadata!Y577,"restricted access"))),AND(IF(Metadata!Y577="",FALSE,TRUE),OR(EXACT(Metadata!Y577,"TRUE"),EXACT(Metadata!Y577,"FALSE"))))</f>
        <v>0</v>
      </c>
      <c r="BM577" t="b">
        <f>OR(AND(IF(Metadata!Z577="",FALSE,TRUE),EXACT(Metadata!Z577,"not applicable")),AND(IF(Metadata!Z577="",FALSE,TRUE),OR(EXACT(Metadata!Z577,"beer"),EXACT(Metadata!Z577,"cheese"),EXACT(Metadata!Z577,"fresh water"),EXACT(Metadata!Z577,"marine sediment"),EXACT(Metadata!Z577,"sea water"),EXACT(Metadata!Z577,"sediment"),EXACT(Metadata!Z577,"soil"),EXACT(Metadata!Z577,"waste water"))))</f>
        <v>0</v>
      </c>
      <c r="BN577" t="b">
        <f>AND(IF(Metadata!AA577="",FALSE,TRUE),EXACT(Metadata!AA577,"metagenome"))</f>
        <v>0</v>
      </c>
      <c r="BO577" t="b">
        <f>AND(IF(Metadata!AB577="",FALSE,TRUE),EXACT(Metadata!AB577,"256318"))</f>
        <v>0</v>
      </c>
      <c r="BP577" t="b">
        <f>IF(Metadata!AC577="",FALSE,TRUE)</f>
        <v>0</v>
      </c>
      <c r="BQ577" t="b">
        <f>IF(Metadata!AD577="",FALSE,TRUE)</f>
        <v>0</v>
      </c>
    </row>
    <row r="578" spans="1:69" x14ac:dyDescent="0.2">
      <c r="A578" s="4" t="e">
        <f ca="1">IF(B578=" "," ",HYPERLINK(CONCATENATE("#metadata!",ADDRESS(INDEX($AJ$2:$AJ$1001,MATCH(ROWS($AH$2:AH578),$AH$2:$AH$1001,0),0),2)),INDEX($AM$2:$AM$1001,MATCH(ROWS($AH$2:AH578),$AH$2:$AH$1001,0),0)))</f>
        <v>#N/A</v>
      </c>
      <c r="B578" s="5" t="e">
        <f ca="1">IF(OR(INDEX($AI$2:$AI$1001,MATCH(ROWS($AH$2:AH578),$AH$2:$AH$1001,0),1)&gt;=100000,INDEX($AO$1005:$BQ$1005,1,MATCH(COLUMNS($AO$1006:AO1006),$AO$1006:$BQ$1006,0))&gt;=100000), " ",IF(INDEX($AO$2:$BQ$1001,MATCH(ROWS($AH$2:AH578),$AH$2:$AH$1001,0),MATCH(COLUMNS($AO$1006:AO1006),$AO$1006:$BQ$1006,0)), HYPERLINK("#",""), HYPERLINK(CONCATENATE("#Metadata!", ADDRESS(INDEX($AJ$2:$AJ$1001,MATCH(ROWS($AH$2:AH578),$AH$2:$AH$1001,0),0), INDEX($AO$1004:$BQ$1004,1,MATCH(COLUMNS($AO$1006:AO1006),$AO$1006:$BQ$1006,0)))),"Fix")))</f>
        <v>#N/A</v>
      </c>
      <c r="C578" s="5" t="e">
        <f ca="1">IF(OR(INDEX($AI$2:$AI$1001,MATCH(ROWS($AH$2:AH578),$AH$2:$AH$1001,0),1)&gt;=100000,INDEX($AO$1005:$BQ$1005,1,MATCH(COLUMNS($AO$1006:AP1006),$AO$1006:$BQ$1006,0))&gt;=100000), " ",IF(INDEX($AO$2:$BQ$1001,MATCH(ROWS($AH$2:AH578),$AH$2:$AH$1001,0),MATCH(COLUMNS($AO$1006:AP1006),$AO$1006:$BQ$1006,0)), HYPERLINK("#",""), HYPERLINK(CONCATENATE("#Metadata!", ADDRESS(INDEX($AJ$2:$AJ$1001,MATCH(ROWS($AH$2:AH578),$AH$2:$AH$1001,0),0), INDEX($AO$1004:$BQ$1004,1,MATCH(COLUMNS($AO$1006:AP1006),$AO$1006:$BQ$1006,0)))),"Fix")))</f>
        <v>#N/A</v>
      </c>
      <c r="D578" s="5" t="e">
        <f ca="1">IF(OR(INDEX($AI$2:$AI$1001,MATCH(ROWS($AH$2:AH578),$AH$2:$AH$1001,0),1)&gt;=100000,INDEX($AO$1005:$BQ$1005,1,MATCH(COLUMNS($AO$1006:AQ1006),$AO$1006:$BQ$1006,0))&gt;=100000), " ",IF(INDEX($AO$2:$BQ$1001,MATCH(ROWS($AH$2:AH578),$AH$2:$AH$1001,0),MATCH(COLUMNS($AO$1006:AQ1006),$AO$1006:$BQ$1006,0)), HYPERLINK("#",""), HYPERLINK(CONCATENATE("#Metadata!", ADDRESS(INDEX($AJ$2:$AJ$1001,MATCH(ROWS($AH$2:AH578),$AH$2:$AH$1001,0),0), INDEX($AO$1004:$BQ$1004,1,MATCH(COLUMNS($AO$1006:AQ1006),$AO$1006:$BQ$1006,0)))),"Fix")))</f>
        <v>#N/A</v>
      </c>
      <c r="E578" s="5" t="e">
        <f ca="1">IF(OR(INDEX($AI$2:$AI$1001,MATCH(ROWS($AH$2:AH578),$AH$2:$AH$1001,0),1)&gt;=100000,INDEX($AO$1005:$BQ$1005,1,MATCH(COLUMNS($AO$1006:AR1006),$AO$1006:$BQ$1006,0))&gt;=100000), " ",IF(INDEX($AO$2:$BQ$1001,MATCH(ROWS($AH$2:AH578),$AH$2:$AH$1001,0),MATCH(COLUMNS($AO$1006:AR1006),$AO$1006:$BQ$1006,0)), HYPERLINK("#",""), HYPERLINK(CONCATENATE("#Metadata!", ADDRESS(INDEX($AJ$2:$AJ$1001,MATCH(ROWS($AH$2:AH578),$AH$2:$AH$1001,0),0), INDEX($AO$1004:$BQ$1004,1,MATCH(COLUMNS($AO$1006:AR1006),$AO$1006:$BQ$1006,0)))),"Fix")))</f>
        <v>#N/A</v>
      </c>
      <c r="F578" s="5" t="e">
        <f ca="1">IF(OR(INDEX($AI$2:$AI$1001,MATCH(ROWS($AH$2:AH578),$AH$2:$AH$1001,0),1)&gt;=100000,INDEX($AO$1005:$BQ$1005,1,MATCH(COLUMNS($AO$1006:AS1006),$AO$1006:$BQ$1006,0))&gt;=100000), " ",IF(INDEX($AO$2:$BQ$1001,MATCH(ROWS($AH$2:AH578),$AH$2:$AH$1001,0),MATCH(COLUMNS($AO$1006:AS1006),$AO$1006:$BQ$1006,0)), HYPERLINK("#",""), HYPERLINK(CONCATENATE("#Metadata!", ADDRESS(INDEX($AJ$2:$AJ$1001,MATCH(ROWS($AH$2:AH578),$AH$2:$AH$1001,0),0), INDEX($AO$1004:$BQ$1004,1,MATCH(COLUMNS($AO$1006:AS1006),$AO$1006:$BQ$1006,0)))),"Fix")))</f>
        <v>#N/A</v>
      </c>
      <c r="G578" s="5" t="e">
        <f ca="1">IF(OR(INDEX($AI$2:$AI$1001,MATCH(ROWS($AH$2:AH578),$AH$2:$AH$1001,0),1)&gt;=100000,INDEX($AO$1005:$BQ$1005,1,MATCH(COLUMNS($AO$1006:AT1006),$AO$1006:$BQ$1006,0))&gt;=100000), " ",IF(INDEX($AO$2:$BQ$1001,MATCH(ROWS($AH$2:AH578),$AH$2:$AH$1001,0),MATCH(COLUMNS($AO$1006:AT1006),$AO$1006:$BQ$1006,0)), HYPERLINK("#",""), HYPERLINK(CONCATENATE("#Metadata!", ADDRESS(INDEX($AJ$2:$AJ$1001,MATCH(ROWS($AH$2:AH578),$AH$2:$AH$1001,0),0), INDEX($AO$1004:$BQ$1004,1,MATCH(COLUMNS($AO$1006:AT1006),$AO$1006:$BQ$1006,0)))),"Fix")))</f>
        <v>#N/A</v>
      </c>
      <c r="H578" s="5" t="e">
        <f ca="1">IF(OR(INDEX($AI$2:$AI$1001,MATCH(ROWS($AH$2:AH578),$AH$2:$AH$1001,0),1)&gt;=100000,INDEX($AO$1005:$BQ$1005,1,MATCH(COLUMNS($AO$1006:AU1006),$AO$1006:$BQ$1006,0))&gt;=100000), " ",IF(INDEX($AO$2:$BQ$1001,MATCH(ROWS($AH$2:AH578),$AH$2:$AH$1001,0),MATCH(COLUMNS($AO$1006:AU1006),$AO$1006:$BQ$1006,0)), HYPERLINK("#",""), HYPERLINK(CONCATENATE("#Metadata!", ADDRESS(INDEX($AJ$2:$AJ$1001,MATCH(ROWS($AH$2:AH578),$AH$2:$AH$1001,0),0), INDEX($AO$1004:$BQ$1004,1,MATCH(COLUMNS($AO$1006:AU1006),$AO$1006:$BQ$1006,0)))),"Fix")))</f>
        <v>#N/A</v>
      </c>
      <c r="I578" s="5" t="e">
        <f ca="1">IF(OR(INDEX($AI$2:$AI$1001,MATCH(ROWS($AH$2:AH578),$AH$2:$AH$1001,0),1)&gt;=100000,INDEX($AO$1005:$BQ$1005,1,MATCH(COLUMNS($AO$1006:AV1006),$AO$1006:$BQ$1006,0))&gt;=100000), " ",IF(INDEX($AO$2:$BQ$1001,MATCH(ROWS($AH$2:AH578),$AH$2:$AH$1001,0),MATCH(COLUMNS($AO$1006:AV1006),$AO$1006:$BQ$1006,0)), HYPERLINK("#",""), HYPERLINK(CONCATENATE("#Metadata!", ADDRESS(INDEX($AJ$2:$AJ$1001,MATCH(ROWS($AH$2:AH578),$AH$2:$AH$1001,0),0), INDEX($AO$1004:$BQ$1004,1,MATCH(COLUMNS($AO$1006:AV1006),$AO$1006:$BQ$1006,0)))),"Fix")))</f>
        <v>#N/A</v>
      </c>
      <c r="J578" s="5" t="e">
        <f ca="1">IF(OR(INDEX($AI$2:$AI$1001,MATCH(ROWS($AH$2:AH578),$AH$2:$AH$1001,0),1)&gt;=100000,INDEX($AO$1005:$BQ$1005,1,MATCH(COLUMNS($AO$1006:AW1006),$AO$1006:$BQ$1006,0))&gt;=100000), " ",IF(INDEX($AO$2:$BQ$1001,MATCH(ROWS($AH$2:AH578),$AH$2:$AH$1001,0),MATCH(COLUMNS($AO$1006:AW1006),$AO$1006:$BQ$1006,0)), HYPERLINK("#",""), HYPERLINK(CONCATENATE("#Metadata!", ADDRESS(INDEX($AJ$2:$AJ$1001,MATCH(ROWS($AH$2:AH578),$AH$2:$AH$1001,0),0), INDEX($AO$1004:$BQ$1004,1,MATCH(COLUMNS($AO$1006:AW1006),$AO$1006:$BQ$1006,0)))),"Fix")))</f>
        <v>#N/A</v>
      </c>
      <c r="K578" s="5" t="e">
        <f ca="1">IF(OR(INDEX($AI$2:$AI$1001,MATCH(ROWS($AH$2:AH578),$AH$2:$AH$1001,0),1)&gt;=100000,INDEX($AO$1005:$BQ$1005,1,MATCH(COLUMNS($AO$1006:AX1006),$AO$1006:$BQ$1006,0))&gt;=100000), " ",IF(INDEX($AO$2:$BQ$1001,MATCH(ROWS($AH$2:AH578),$AH$2:$AH$1001,0),MATCH(COLUMNS($AO$1006:AX1006),$AO$1006:$BQ$1006,0)), HYPERLINK("#",""), HYPERLINK(CONCATENATE("#Metadata!", ADDRESS(INDEX($AJ$2:$AJ$1001,MATCH(ROWS($AH$2:AH578),$AH$2:$AH$1001,0),0), INDEX($AO$1004:$BQ$1004,1,MATCH(COLUMNS($AO$1006:AX1006),$AO$1006:$BQ$1006,0)))),"Fix")))</f>
        <v>#N/A</v>
      </c>
      <c r="L578" s="5" t="e">
        <f ca="1">IF(OR(INDEX($AI$2:$AI$1001,MATCH(ROWS($AH$2:AH578),$AH$2:$AH$1001,0),1)&gt;=100000,INDEX($AO$1005:$BQ$1005,1,MATCH(COLUMNS($AO$1006:AY1006),$AO$1006:$BQ$1006,0))&gt;=100000), " ",IF(INDEX($AO$2:$BQ$1001,MATCH(ROWS($AH$2:AH578),$AH$2:$AH$1001,0),MATCH(COLUMNS($AO$1006:AY1006),$AO$1006:$BQ$1006,0)), HYPERLINK("#",""), HYPERLINK(CONCATENATE("#Metadata!", ADDRESS(INDEX($AJ$2:$AJ$1001,MATCH(ROWS($AH$2:AH578),$AH$2:$AH$1001,0),0), INDEX($AO$1004:$BQ$1004,1,MATCH(COLUMNS($AO$1006:AY1006),$AO$1006:$BQ$1006,0)))),"Fix")))</f>
        <v>#N/A</v>
      </c>
      <c r="M578" s="5" t="e">
        <f ca="1">IF(OR(INDEX($AI$2:$AI$1001,MATCH(ROWS($AH$2:AH578),$AH$2:$AH$1001,0),1)&gt;=100000,INDEX($AO$1005:$BQ$1005,1,MATCH(COLUMNS($AO$1006:AZ1006),$AO$1006:$BQ$1006,0))&gt;=100000), " ",IF(INDEX($AO$2:$BQ$1001,MATCH(ROWS($AH$2:AH578),$AH$2:$AH$1001,0),MATCH(COLUMNS($AO$1006:AZ1006),$AO$1006:$BQ$1006,0)), HYPERLINK("#",""), HYPERLINK(CONCATENATE("#Metadata!", ADDRESS(INDEX($AJ$2:$AJ$1001,MATCH(ROWS($AH$2:AH578),$AH$2:$AH$1001,0),0), INDEX($AO$1004:$BQ$1004,1,MATCH(COLUMNS($AO$1006:AZ1006),$AO$1006:$BQ$1006,0)))),"Fix")))</f>
        <v>#N/A</v>
      </c>
      <c r="N578" s="5" t="e">
        <f ca="1">IF(OR(INDEX($AI$2:$AI$1001,MATCH(ROWS($AH$2:AH578),$AH$2:$AH$1001,0),1)&gt;=100000,INDEX($AO$1005:$BQ$1005,1,MATCH(COLUMNS($AO$1006:BA1006),$AO$1006:$BQ$1006,0))&gt;=100000), " ",IF(INDEX($AO$2:$BQ$1001,MATCH(ROWS($AH$2:AH578),$AH$2:$AH$1001,0),MATCH(COLUMNS($AO$1006:BA1006),$AO$1006:$BQ$1006,0)), HYPERLINK("#",""), HYPERLINK(CONCATENATE("#Metadata!", ADDRESS(INDEX($AJ$2:$AJ$1001,MATCH(ROWS($AH$2:AH578),$AH$2:$AH$1001,0),0), INDEX($AO$1004:$BQ$1004,1,MATCH(COLUMNS($AO$1006:BA1006),$AO$1006:$BQ$1006,0)))),"Fix")))</f>
        <v>#N/A</v>
      </c>
      <c r="O578" s="5" t="e">
        <f ca="1">IF(OR(INDEX($AI$2:$AI$1001,MATCH(ROWS($AH$2:AH578),$AH$2:$AH$1001,0),1)&gt;=100000,INDEX($AO$1005:$BQ$1005,1,MATCH(COLUMNS($AO$1006:BB1006),$AO$1006:$BQ$1006,0))&gt;=100000), " ",IF(INDEX($AO$2:$BQ$1001,MATCH(ROWS($AH$2:AH578),$AH$2:$AH$1001,0),MATCH(COLUMNS($AO$1006:BB1006),$AO$1006:$BQ$1006,0)), HYPERLINK("#",""), HYPERLINK(CONCATENATE("#Metadata!", ADDRESS(INDEX($AJ$2:$AJ$1001,MATCH(ROWS($AH$2:AH578),$AH$2:$AH$1001,0),0), INDEX($AO$1004:$BQ$1004,1,MATCH(COLUMNS($AO$1006:BB1006),$AO$1006:$BQ$1006,0)))),"Fix")))</f>
        <v>#N/A</v>
      </c>
      <c r="P578" s="5" t="e">
        <f ca="1">IF(OR(INDEX($AI$2:$AI$1001,MATCH(ROWS($AH$2:AH578),$AH$2:$AH$1001,0),1)&gt;=100000,INDEX($AO$1005:$BQ$1005,1,MATCH(COLUMNS($AO$1006:BC1006),$AO$1006:$BQ$1006,0))&gt;=100000), " ",IF(INDEX($AO$2:$BQ$1001,MATCH(ROWS($AH$2:AH578),$AH$2:$AH$1001,0),MATCH(COLUMNS($AO$1006:BC1006),$AO$1006:$BQ$1006,0)), HYPERLINK("#",""), HYPERLINK(CONCATENATE("#Metadata!", ADDRESS(INDEX($AJ$2:$AJ$1001,MATCH(ROWS($AH$2:AH578),$AH$2:$AH$1001,0),0), INDEX($AO$1004:$BQ$1004,1,MATCH(COLUMNS($AO$1006:BC1006),$AO$1006:$BQ$1006,0)))),"Fix")))</f>
        <v>#N/A</v>
      </c>
      <c r="Q578" s="5" t="e">
        <f ca="1">IF(OR(INDEX($AI$2:$AI$1001,MATCH(ROWS($AH$2:AH578),$AH$2:$AH$1001,0),1)&gt;=100000,INDEX($AO$1005:$BQ$1005,1,MATCH(COLUMNS($AO$1006:BD1006),$AO$1006:$BQ$1006,0))&gt;=100000), " ",IF(INDEX($AO$2:$BQ$1001,MATCH(ROWS($AH$2:AH578),$AH$2:$AH$1001,0),MATCH(COLUMNS($AO$1006:BD1006),$AO$1006:$BQ$1006,0)), HYPERLINK("#",""), HYPERLINK(CONCATENATE("#Metadata!", ADDRESS(INDEX($AJ$2:$AJ$1001,MATCH(ROWS($AH$2:AH578),$AH$2:$AH$1001,0),0), INDEX($AO$1004:$BQ$1004,1,MATCH(COLUMNS($AO$1006:BD1006),$AO$1006:$BQ$1006,0)))),"Fix")))</f>
        <v>#N/A</v>
      </c>
      <c r="R578" s="5" t="e">
        <f ca="1">IF(OR(INDEX($AI$2:$AI$1001,MATCH(ROWS($AH$2:AH578),$AH$2:$AH$1001,0),1)&gt;=100000,INDEX($AO$1005:$BQ$1005,1,MATCH(COLUMNS($AO$1006:BE1006),$AO$1006:$BQ$1006,0))&gt;=100000), " ",IF(INDEX($AO$2:$BQ$1001,MATCH(ROWS($AH$2:AH578),$AH$2:$AH$1001,0),MATCH(COLUMNS($AO$1006:BE1006),$AO$1006:$BQ$1006,0)), HYPERLINK("#",""), HYPERLINK(CONCATENATE("#Metadata!", ADDRESS(INDEX($AJ$2:$AJ$1001,MATCH(ROWS($AH$2:AH578),$AH$2:$AH$1001,0),0), INDEX($AO$1004:$BQ$1004,1,MATCH(COLUMNS($AO$1006:BE1006),$AO$1006:$BQ$1006,0)))),"Fix")))</f>
        <v>#N/A</v>
      </c>
      <c r="S578" s="5" t="e">
        <f ca="1">IF(OR(INDEX($AI$2:$AI$1001,MATCH(ROWS($AH$2:AH578),$AH$2:$AH$1001,0),1)&gt;=100000,INDEX($AO$1005:$BQ$1005,1,MATCH(COLUMNS($AO$1006:BF1006),$AO$1006:$BQ$1006,0))&gt;=100000), " ",IF(INDEX($AO$2:$BQ$1001,MATCH(ROWS($AH$2:AH578),$AH$2:$AH$1001,0),MATCH(COLUMNS($AO$1006:BF1006),$AO$1006:$BQ$1006,0)), HYPERLINK("#",""), HYPERLINK(CONCATENATE("#Metadata!", ADDRESS(INDEX($AJ$2:$AJ$1001,MATCH(ROWS($AH$2:AH578),$AH$2:$AH$1001,0),0), INDEX($AO$1004:$BQ$1004,1,MATCH(COLUMNS($AO$1006:BF1006),$AO$1006:$BQ$1006,0)))),"Fix")))</f>
        <v>#N/A</v>
      </c>
      <c r="T578" s="5" t="e">
        <f ca="1">IF(OR(INDEX($AI$2:$AI$1001,MATCH(ROWS($AH$2:AH578),$AH$2:$AH$1001,0),1)&gt;=100000,INDEX($AO$1005:$BQ$1005,1,MATCH(COLUMNS($AO$1006:BG1006),$AO$1006:$BQ$1006,0))&gt;=100000), " ",IF(INDEX($AO$2:$BQ$1001,MATCH(ROWS($AH$2:AH578),$AH$2:$AH$1001,0),MATCH(COLUMNS($AO$1006:BG1006),$AO$1006:$BQ$1006,0)), HYPERLINK("#",""), HYPERLINK(CONCATENATE("#Metadata!", ADDRESS(INDEX($AJ$2:$AJ$1001,MATCH(ROWS($AH$2:AH578),$AH$2:$AH$1001,0),0), INDEX($AO$1004:$BQ$1004,1,MATCH(COLUMNS($AO$1006:BG1006),$AO$1006:$BQ$1006,0)))),"Fix")))</f>
        <v>#N/A</v>
      </c>
      <c r="U578" s="5" t="e">
        <f ca="1">IF(OR(INDEX($AI$2:$AI$1001,MATCH(ROWS($AH$2:AH578),$AH$2:$AH$1001,0),1)&gt;=100000,INDEX($AO$1005:$BQ$1005,1,MATCH(COLUMNS($AO$1006:BH1006),$AO$1006:$BQ$1006,0))&gt;=100000), " ",IF(INDEX($AO$2:$BQ$1001,MATCH(ROWS($AH$2:AH578),$AH$2:$AH$1001,0),MATCH(COLUMNS($AO$1006:BH1006),$AO$1006:$BQ$1006,0)), HYPERLINK("#",""), HYPERLINK(CONCATENATE("#Metadata!", ADDRESS(INDEX($AJ$2:$AJ$1001,MATCH(ROWS($AH$2:AH578),$AH$2:$AH$1001,0),0), INDEX($AO$1004:$BQ$1004,1,MATCH(COLUMNS($AO$1006:BH1006),$AO$1006:$BQ$1006,0)))),"Fix")))</f>
        <v>#N/A</v>
      </c>
      <c r="V578" s="5" t="e">
        <f ca="1">IF(OR(INDEX($AI$2:$AI$1001,MATCH(ROWS($AH$2:AH578),$AH$2:$AH$1001,0),1)&gt;=100000,INDEX($AO$1005:$BQ$1005,1,MATCH(COLUMNS($AO$1006:BI1006),$AO$1006:$BQ$1006,0))&gt;=100000), " ",IF(INDEX($AO$2:$BQ$1001,MATCH(ROWS($AH$2:AH578),$AH$2:$AH$1001,0),MATCH(COLUMNS($AO$1006:BI1006),$AO$1006:$BQ$1006,0)), HYPERLINK("#",""), HYPERLINK(CONCATENATE("#Metadata!", ADDRESS(INDEX($AJ$2:$AJ$1001,MATCH(ROWS($AH$2:AH578),$AH$2:$AH$1001,0),0), INDEX($AO$1004:$BQ$1004,1,MATCH(COLUMNS($AO$1006:BI1006),$AO$1006:$BQ$1006,0)))),"Fix")))</f>
        <v>#N/A</v>
      </c>
      <c r="W578" s="5" t="e">
        <f ca="1">IF(OR(INDEX($AI$2:$AI$1001,MATCH(ROWS($AH$2:AH578),$AH$2:$AH$1001,0),1)&gt;=100000,INDEX($AO$1005:$BQ$1005,1,MATCH(COLUMNS($AO$1006:BJ1006),$AO$1006:$BQ$1006,0))&gt;=100000), " ",IF(INDEX($AO$2:$BQ$1001,MATCH(ROWS($AH$2:AH578),$AH$2:$AH$1001,0),MATCH(COLUMNS($AO$1006:BJ1006),$AO$1006:$BQ$1006,0)), HYPERLINK("#",""), HYPERLINK(CONCATENATE("#Metadata!", ADDRESS(INDEX($AJ$2:$AJ$1001,MATCH(ROWS($AH$2:AH578),$AH$2:$AH$1001,0),0), INDEX($AO$1004:$BQ$1004,1,MATCH(COLUMNS($AO$1006:BJ1006),$AO$1006:$BQ$1006,0)))),"Fix")))</f>
        <v>#N/A</v>
      </c>
      <c r="X578" s="5" t="e">
        <f ca="1">IF(OR(INDEX($AI$2:$AI$1001,MATCH(ROWS($AH$2:AH578),$AH$2:$AH$1001,0),1)&gt;=100000,INDEX($AO$1005:$BQ$1005,1,MATCH(COLUMNS($AO$1006:BK1006),$AO$1006:$BQ$1006,0))&gt;=100000), " ",IF(INDEX($AO$2:$BQ$1001,MATCH(ROWS($AH$2:AH578),$AH$2:$AH$1001,0),MATCH(COLUMNS($AO$1006:BK1006),$AO$1006:$BQ$1006,0)), HYPERLINK("#",""), HYPERLINK(CONCATENATE("#Metadata!", ADDRESS(INDEX($AJ$2:$AJ$1001,MATCH(ROWS($AH$2:AH578),$AH$2:$AH$1001,0),0), INDEX($AO$1004:$BQ$1004,1,MATCH(COLUMNS($AO$1006:BK1006),$AO$1006:$BQ$1006,0)))),"Fix")))</f>
        <v>#N/A</v>
      </c>
      <c r="Y578" s="5" t="e">
        <f ca="1">IF(OR(INDEX($AI$2:$AI$1001,MATCH(ROWS($AH$2:AH578),$AH$2:$AH$1001,0),1)&gt;=100000,INDEX($AO$1005:$BQ$1005,1,MATCH(COLUMNS($AO$1006:BL1006),$AO$1006:$BQ$1006,0))&gt;=100000), " ",IF(INDEX($AO$2:$BQ$1001,MATCH(ROWS($AH$2:AH578),$AH$2:$AH$1001,0),MATCH(COLUMNS($AO$1006:BL1006),$AO$1006:$BQ$1006,0)), HYPERLINK("#",""), HYPERLINK(CONCATENATE("#Metadata!", ADDRESS(INDEX($AJ$2:$AJ$1001,MATCH(ROWS($AH$2:AH578),$AH$2:$AH$1001,0),0), INDEX($AO$1004:$BQ$1004,1,MATCH(COLUMNS($AO$1006:BL1006),$AO$1006:$BQ$1006,0)))),"Fix")))</f>
        <v>#N/A</v>
      </c>
      <c r="Z578" s="5" t="e">
        <f ca="1">IF(OR(INDEX($AI$2:$AI$1001,MATCH(ROWS($AH$2:AH578),$AH$2:$AH$1001,0),1)&gt;=100000,INDEX($AO$1005:$BQ$1005,1,MATCH(COLUMNS($AO$1006:BM1006),$AO$1006:$BQ$1006,0))&gt;=100000), " ",IF(INDEX($AO$2:$BQ$1001,MATCH(ROWS($AH$2:AH578),$AH$2:$AH$1001,0),MATCH(COLUMNS($AO$1006:BM1006),$AO$1006:$BQ$1006,0)), HYPERLINK("#",""), HYPERLINK(CONCATENATE("#Metadata!", ADDRESS(INDEX($AJ$2:$AJ$1001,MATCH(ROWS($AH$2:AH578),$AH$2:$AH$1001,0),0), INDEX($AO$1004:$BQ$1004,1,MATCH(COLUMNS($AO$1006:BM1006),$AO$1006:$BQ$1006,0)))),"Fix")))</f>
        <v>#N/A</v>
      </c>
      <c r="AA578" s="5" t="e">
        <f ca="1">IF(OR(INDEX($AI$2:$AI$1001,MATCH(ROWS($AH$2:AH578),$AH$2:$AH$1001,0),1)&gt;=100000,INDEX($AO$1005:$BQ$1005,1,MATCH(COLUMNS($AO$1006:BN1006),$AO$1006:$BQ$1006,0))&gt;=100000), " ",IF(INDEX($AO$2:$BQ$1001,MATCH(ROWS($AH$2:AH578),$AH$2:$AH$1001,0),MATCH(COLUMNS($AO$1006:BN1006),$AO$1006:$BQ$1006,0)), HYPERLINK("#",""), HYPERLINK(CONCATENATE("#Metadata!", ADDRESS(INDEX($AJ$2:$AJ$1001,MATCH(ROWS($AH$2:AH578),$AH$2:$AH$1001,0),0), INDEX($AO$1004:$BQ$1004,1,MATCH(COLUMNS($AO$1006:BN1006),$AO$1006:$BQ$1006,0)))),"Fix")))</f>
        <v>#N/A</v>
      </c>
      <c r="AB578" s="5" t="e">
        <f ca="1">IF(OR(INDEX($AI$2:$AI$1001,MATCH(ROWS($AH$2:AH578),$AH$2:$AH$1001,0),1)&gt;=100000,INDEX($AO$1005:$BQ$1005,1,MATCH(COLUMNS($AO$1006:BO1006),$AO$1006:$BQ$1006,0))&gt;=100000), " ",IF(INDEX($AO$2:$BQ$1001,MATCH(ROWS($AH$2:AH578),$AH$2:$AH$1001,0),MATCH(COLUMNS($AO$1006:BO1006),$AO$1006:$BQ$1006,0)), HYPERLINK("#",""), HYPERLINK(CONCATENATE("#Metadata!", ADDRESS(INDEX($AJ$2:$AJ$1001,MATCH(ROWS($AH$2:AH578),$AH$2:$AH$1001,0),0), INDEX($AO$1004:$BQ$1004,1,MATCH(COLUMNS($AO$1006:BO1006),$AO$1006:$BQ$1006,0)))),"Fix")))</f>
        <v>#N/A</v>
      </c>
      <c r="AC578" s="5" t="e">
        <f ca="1">IF(OR(INDEX($AI$2:$AI$1001,MATCH(ROWS($AH$2:AH578),$AH$2:$AH$1001,0),1)&gt;=100000,INDEX($AO$1005:$BQ$1005,1,MATCH(COLUMNS($AO$1006:BP1006),$AO$1006:$BQ$1006,0))&gt;=100000), " ",IF(INDEX($AO$2:$BQ$1001,MATCH(ROWS($AH$2:AH578),$AH$2:$AH$1001,0),MATCH(COLUMNS($AO$1006:BP1006),$AO$1006:$BQ$1006,0)), HYPERLINK("#",""), HYPERLINK(CONCATENATE("#Metadata!", ADDRESS(INDEX($AJ$2:$AJ$1001,MATCH(ROWS($AH$2:AH578),$AH$2:$AH$1001,0),0), INDEX($AO$1004:$BQ$1004,1,MATCH(COLUMNS($AO$1006:BP1006),$AO$1006:$BQ$1006,0)))),"Fix")))</f>
        <v>#N/A</v>
      </c>
      <c r="AD578" s="5" t="e">
        <f ca="1">IF(OR(INDEX($AI$2:$AI$1001,MATCH(ROWS($AH$2:AH578),$AH$2:$AH$1001,0),1)&gt;=100000,INDEX($AO$1005:$BQ$1005,1,MATCH(COLUMNS($AO$1006:BQ1006),$AO$1006:$BQ$1006,0))&gt;=100000), " ",IF(INDEX($AO$2:$BQ$1001,MATCH(ROWS($AH$2:AH578),$AH$2:$AH$1001,0),MATCH(COLUMNS($AO$1006:BQ1006),$AO$1006:$BQ$1006,0)), HYPERLINK("#",""), HYPERLINK(CONCATENATE("#Metadata!", ADDRESS(INDEX($AJ$2:$AJ$1001,MATCH(ROWS($AH$2:AH578),$AH$2:$AH$1001,0),0), INDEX($AO$1004:$BQ$1004,1,MATCH(COLUMNS($AO$1006:BQ1006),$AO$1006:$BQ$1006,0)))),"Fix")))</f>
        <v>#REF!</v>
      </c>
      <c r="AH578">
        <f ca="1"/>
        <v>575</v>
      </c>
      <c r="AI578">
        <v>100578</v>
      </c>
      <c r="AJ578">
        <v>578</v>
      </c>
      <c r="AK578" t="b">
        <f t="shared" ref="AK578:AK641" si="9">IF(AL578,TRUE,AND(AO578:BQ578))</f>
        <v>1</v>
      </c>
      <c r="AL578" t="b">
        <f>COUNTBLANK(Metadata!B578:AD578)=COLUMNS(Metadata!B578:AD578)</f>
        <v>1</v>
      </c>
      <c r="AM578" t="str">
        <v/>
      </c>
      <c r="AO578" t="b">
        <f ca="1">AND(IF(Metadata!B578="",FALSE,TRUE),COUNTIF(Metadata!B:B, Metadata!B578) = 1,NOT(ISERROR(SUMPRODUCT(SEARCH(MID(Metadata!B578,ROW(INDIRECT("1:"&amp;LEN(Metadata!B578))), 1),"0123456789abcdefghijklmnopqrstuvwxyzABCDEFGHIJKLMNOPQRSTUVWXYZ.")))))</f>
        <v>0</v>
      </c>
      <c r="AP578" t="b">
        <f>IF(Metadata!C578="",FALSE,TRUE)</f>
        <v>0</v>
      </c>
      <c r="AQ578" t="b">
        <f>IF(Metadata!D578="",FALSE,TRUE)</f>
        <v>0</v>
      </c>
      <c r="AR578" t="b">
        <f ca="1">OR(AND(IF(Metadata!E578="",FALSE,TRUE),OR(EXACT(Metadata!E578,"not collected"),EXACT(Metadata!E578,"not provided"),EXACT(Metadata!E578,"restricted access"))),AND(IF(Metadata!E578="",FALSE,TRUE),AND(AND(IFERROR(INT(LEFT(Metadata!E578,4))&gt;1900,FALSE),IFERROR(INT(LEFT(Metadata!E578,4))&lt;=YEAR(NOW()),FALSE)), OR(MID(Metadata!E578,5,1)="", AND(AND(MID(Metadata!E578,5,1)="-",IFERROR(INT(MID(Metadata!E578,6,1))&gt;=0,FALSE),IFERROR(INT(MID(Metadata!E578,6,1))&lt;=1,FALSE),NOT(MID(Metadata!E578,7,1)=""),IFERROR(INT(MID(Metadata!E578,6,2))&gt;=1,FALSE),IFERROR(INT(MID(Metadata!E578,6,2))&lt;=12,FALSE)), OR(MID(Metadata!E578,8,1)="", AND(AND(MID(Metadata!E578,8,1)="-",IFERROR(INT(MID(Metadata!E578,9,1))&gt;=0,FALSE),IFERROR(INT(MID(Metadata!E578,9,1))&lt;=3,FALSE),NOT(MID(Metadata!E578,10,1)=""),IFERROR(INT(MID(Metadata!E578,9,2))&gt;=1,FALSE),IFERROR(INT(MID(Metadata!E578,9,2))&lt;=31,FALSE)), OR(MID(Metadata!E578,11,1)="", AND(AND(MID(Metadata!E578,11,1)=" ",IFERROR(INT(MID(Metadata!E578,12,1))&gt;=0,FALSE),IFERROR(INT(MID(Metadata!E578,12,1))&lt;=2,FALSE),NOT(MID(Metadata!E578,13,1)=""),IFERROR(INT(MID(Metadata!E578,12,2))&gt;=0,FALSE),IFERROR(INT(MID(Metadata!E578,12,2))&lt;=23,FALSE)), OR(MID(Metadata!E578,14,1)="", AND(AND(MID(Metadata!E578,14,1)=":",IFERROR(INT(MID(Metadata!E578,15,1))&gt;=0,FALSE),IFERROR(INT(MID(Metadata!E578,15,1))&lt;=5,FALSE),NOT(MID(Metadata!E578,16,1)=""),IFERROR(INT(MID(Metadata!E578,15,2))&gt;=0,FALSE),IFERROR(INT(MID(Metadata!E578,15,2))&lt;=59,FALSE)), OR(MID(Metadata!E578,17,1)="", AND(AND(MID(Metadata!E578,17,1)=":",IFERROR(INT(MID(Metadata!E578,18,1))&gt;=0,FALSE),IFERROR(INT(MID(Metadata!E578,18,1))&lt;=5,FALSE),NOT(MID(Metadata!E578,19,1)=""),IFERROR(INT(MID(Metadata!E578,18,2))&gt;=0,FALSE),IFERROR(INT(MID(Metadata!E578,18,2))&lt;=59,FALSE)), LEN(Metadata!E578)&lt;=19)))))))))))))</f>
        <v>0</v>
      </c>
      <c r="AS578" t="b">
        <f>IF(Metadata!F578="",FALSE,TRUE)</f>
        <v>0</v>
      </c>
      <c r="AT578" t="b">
        <f>OR(AND(IF(Metadata!G578="",FALSE,TRUE),OR(EXACT(Metadata!G578,"not collected"),EXACT(Metadata!G578,"not provided"))),AND(IF(Metadata!G578="",FALSE,TRUE),OR(EXACT(Metadata!G578,"TRUE"),EXACT(Metadata!G578,"FALSE"))))</f>
        <v>0</v>
      </c>
      <c r="AU578" t="b">
        <f>OR(AND(IF(Metadata!H578="",FALSE,TRUE),OR(EXACT(Metadata!H578,"not collected"),EXACT(Metadata!H578,"not provided"),EXACT(Metadata!H578,"restricted access"))),AND(IF(Metadata!H578="",FALSE,ISNUMBER(VALUE(Metadata!H578))),Metadata!H578&gt;=-413))</f>
        <v>0</v>
      </c>
      <c r="AV578" t="b">
        <f>AND(IF(Metadata!I578="",FALSE,TRUE),EXACT(Metadata!I578,"meters"))</f>
        <v>0</v>
      </c>
      <c r="AW578" t="b">
        <f>AND(IF(Metadata!J578="",FALSE,TRUE),EXACT(Metadata!J578,"free-living"))</f>
        <v>0</v>
      </c>
      <c r="AX578" t="b">
        <f>AND(IF(Metadata!K578="",FALSE,TRUE),OR(EXACT(Metadata!K578,"saline"),EXACT(Metadata!K578,"non-saline")))</f>
        <v>0</v>
      </c>
      <c r="AY578" t="b">
        <f>AND(IF(Metadata!L578="",FALSE,TRUE),OR(EXACT(Metadata!L578,"sub-surface (non-saline)"),EXACT(Metadata!L578,"surface (non-saline)"),EXACT(Metadata!L578,"water (non-saline)"),EXACT(Metadata!L578,"soil (non-saline)"),EXACT(Metadata!L578,"aerosol (non-saline)"),EXACT(Metadata!L578,"sediment (non-saline)"),EXACT(Metadata!L578,"surface (saline)"),EXACT(Metadata!L578,"water (saline)"),EXACT(Metadata!L578,"hypersaline (saline)"),EXACT(Metadata!L578,"aerosol (saline)"),EXACT(Metadata!L578,"sediment (saline)")))</f>
        <v>0</v>
      </c>
      <c r="AZ578" t="b">
        <f>IF(Metadata!M578="",FALSE,TRUE)</f>
        <v>0</v>
      </c>
      <c r="BA578" t="b">
        <f>IF(Metadata!N578="",FALSE,TRUE)</f>
        <v>0</v>
      </c>
      <c r="BB578" t="b">
        <f>IF(Metadata!O578="",FALSE,TRUE)</f>
        <v>0</v>
      </c>
      <c r="BC578" t="b">
        <f>AND(IF(Metadata!P578="",FALSE,TRUE),OR(EXACT(Metadata!P578,"air"),EXACT(Metadata!P578,"microbial mat/biofilm"),EXACT(Metadata!P578,"misc environment"),EXACT(Metadata!P578,"sediment"),EXACT(Metadata!P578,"soil"),EXACT(Metadata!P578,"wastewater/sludge"),EXACT(Metadata!P578,"water")))</f>
        <v>0</v>
      </c>
      <c r="BD578" t="b">
        <f>IF(Metadata!Q578="",FALSE,TRUE)</f>
        <v>0</v>
      </c>
      <c r="BE578" t="b">
        <f>IF(Metadata!R578="",FALSE,TRUE)</f>
        <v>0</v>
      </c>
      <c r="BF578" t="b">
        <f>OR(AND(IF(Metadata!S578="",FALSE,TRUE),OR(EXACT(Metadata!S578,"not collected"),EXACT(Metadata!S578,"not provided"),EXACT(Metadata!S578,"restricted access"))),AND(IF(Metadata!S578="",FALSE,ISNUMBER(VALUE(Metadata!S578))),Metadata!S578&gt;=-90,Metadata!S578&lt;=90))</f>
        <v>0</v>
      </c>
      <c r="BG578" t="b">
        <f>AND(IF(Metadata!T578="",FALSE,TRUE),EXACT(Metadata!T578,"Decimal degrees"))</f>
        <v>0</v>
      </c>
      <c r="BH578" t="b">
        <f>OR(AND(IF(Metadata!U578="",FALSE,TRUE),OR(EXACT(Metadata!U578,"not applicable"),EXACT(Metadata!U578,"not collected"))),IF(Metadata!U578="",FALSE,TRUE))</f>
        <v>0</v>
      </c>
      <c r="BI578" t="b">
        <f>OR(AND(IF(Metadata!V578="",FALSE,TRUE),OR(EXACT(Metadata!V578,"not collected"),EXACT(Metadata!V578,"not provided"),EXACT(Metadata!V578,"restricted access"))),AND(IF(Metadata!V578="",FALSE,ISNUMBER(VALUE(Metadata!V578))),Metadata!V578&gt;=-180,Metadata!V578&lt;=180))</f>
        <v>0</v>
      </c>
      <c r="BJ578" t="b">
        <f>AND(IF(Metadata!W578="",FALSE,TRUE),EXACT(Metadata!W578,"Decimal degrees"))</f>
        <v>0</v>
      </c>
      <c r="BK578" t="b">
        <f>IF(Metadata!X578="",FALSE,TRUE)</f>
        <v>0</v>
      </c>
      <c r="BL578" t="b">
        <f>OR(AND(IF(Metadata!Y578="",FALSE,TRUE),OR(EXACT(Metadata!Y578,"not collected"),EXACT(Metadata!Y578,"not provided"),EXACT(Metadata!Y578,"restricted access"))),AND(IF(Metadata!Y578="",FALSE,TRUE),OR(EXACT(Metadata!Y578,"TRUE"),EXACT(Metadata!Y578,"FALSE"))))</f>
        <v>0</v>
      </c>
      <c r="BM578" t="b">
        <f>OR(AND(IF(Metadata!Z578="",FALSE,TRUE),EXACT(Metadata!Z578,"not applicable")),AND(IF(Metadata!Z578="",FALSE,TRUE),OR(EXACT(Metadata!Z578,"beer"),EXACT(Metadata!Z578,"cheese"),EXACT(Metadata!Z578,"fresh water"),EXACT(Metadata!Z578,"marine sediment"),EXACT(Metadata!Z578,"sea water"),EXACT(Metadata!Z578,"sediment"),EXACT(Metadata!Z578,"soil"),EXACT(Metadata!Z578,"waste water"))))</f>
        <v>0</v>
      </c>
      <c r="BN578" t="b">
        <f>AND(IF(Metadata!AA578="",FALSE,TRUE),EXACT(Metadata!AA578,"metagenome"))</f>
        <v>0</v>
      </c>
      <c r="BO578" t="b">
        <f>AND(IF(Metadata!AB578="",FALSE,TRUE),EXACT(Metadata!AB578,"256318"))</f>
        <v>0</v>
      </c>
      <c r="BP578" t="b">
        <f>IF(Metadata!AC578="",FALSE,TRUE)</f>
        <v>0</v>
      </c>
      <c r="BQ578" t="b">
        <f>IF(Metadata!AD578="",FALSE,TRUE)</f>
        <v>0</v>
      </c>
    </row>
    <row r="579" spans="1:69" x14ac:dyDescent="0.2">
      <c r="A579" s="4" t="e">
        <f ca="1">IF(B579=" "," ",HYPERLINK(CONCATENATE("#metadata!",ADDRESS(INDEX($AJ$2:$AJ$1001,MATCH(ROWS($AH$2:AH579),$AH$2:$AH$1001,0),0),2)),INDEX($AM$2:$AM$1001,MATCH(ROWS($AH$2:AH579),$AH$2:$AH$1001,0),0)))</f>
        <v>#N/A</v>
      </c>
      <c r="B579" s="5" t="e">
        <f ca="1">IF(OR(INDEX($AI$2:$AI$1001,MATCH(ROWS($AH$2:AH579),$AH$2:$AH$1001,0),1)&gt;=100000,INDEX($AO$1005:$BQ$1005,1,MATCH(COLUMNS($AO$1006:AO1006),$AO$1006:$BQ$1006,0))&gt;=100000), " ",IF(INDEX($AO$2:$BQ$1001,MATCH(ROWS($AH$2:AH579),$AH$2:$AH$1001,0),MATCH(COLUMNS($AO$1006:AO1006),$AO$1006:$BQ$1006,0)), HYPERLINK("#",""), HYPERLINK(CONCATENATE("#Metadata!", ADDRESS(INDEX($AJ$2:$AJ$1001,MATCH(ROWS($AH$2:AH579),$AH$2:$AH$1001,0),0), INDEX($AO$1004:$BQ$1004,1,MATCH(COLUMNS($AO$1006:AO1006),$AO$1006:$BQ$1006,0)))),"Fix")))</f>
        <v>#N/A</v>
      </c>
      <c r="C579" s="5" t="e">
        <f ca="1">IF(OR(INDEX($AI$2:$AI$1001,MATCH(ROWS($AH$2:AH579),$AH$2:$AH$1001,0),1)&gt;=100000,INDEX($AO$1005:$BQ$1005,1,MATCH(COLUMNS($AO$1006:AP1006),$AO$1006:$BQ$1006,0))&gt;=100000), " ",IF(INDEX($AO$2:$BQ$1001,MATCH(ROWS($AH$2:AH579),$AH$2:$AH$1001,0),MATCH(COLUMNS($AO$1006:AP1006),$AO$1006:$BQ$1006,0)), HYPERLINK("#",""), HYPERLINK(CONCATENATE("#Metadata!", ADDRESS(INDEX($AJ$2:$AJ$1001,MATCH(ROWS($AH$2:AH579),$AH$2:$AH$1001,0),0), INDEX($AO$1004:$BQ$1004,1,MATCH(COLUMNS($AO$1006:AP1006),$AO$1006:$BQ$1006,0)))),"Fix")))</f>
        <v>#N/A</v>
      </c>
      <c r="D579" s="5" t="e">
        <f ca="1">IF(OR(INDEX($AI$2:$AI$1001,MATCH(ROWS($AH$2:AH579),$AH$2:$AH$1001,0),1)&gt;=100000,INDEX($AO$1005:$BQ$1005,1,MATCH(COLUMNS($AO$1006:AQ1006),$AO$1006:$BQ$1006,0))&gt;=100000), " ",IF(INDEX($AO$2:$BQ$1001,MATCH(ROWS($AH$2:AH579),$AH$2:$AH$1001,0),MATCH(COLUMNS($AO$1006:AQ1006),$AO$1006:$BQ$1006,0)), HYPERLINK("#",""), HYPERLINK(CONCATENATE("#Metadata!", ADDRESS(INDEX($AJ$2:$AJ$1001,MATCH(ROWS($AH$2:AH579),$AH$2:$AH$1001,0),0), INDEX($AO$1004:$BQ$1004,1,MATCH(COLUMNS($AO$1006:AQ1006),$AO$1006:$BQ$1006,0)))),"Fix")))</f>
        <v>#N/A</v>
      </c>
      <c r="E579" s="5" t="e">
        <f ca="1">IF(OR(INDEX($AI$2:$AI$1001,MATCH(ROWS($AH$2:AH579),$AH$2:$AH$1001,0),1)&gt;=100000,INDEX($AO$1005:$BQ$1005,1,MATCH(COLUMNS($AO$1006:AR1006),$AO$1006:$BQ$1006,0))&gt;=100000), " ",IF(INDEX($AO$2:$BQ$1001,MATCH(ROWS($AH$2:AH579),$AH$2:$AH$1001,0),MATCH(COLUMNS($AO$1006:AR1006),$AO$1006:$BQ$1006,0)), HYPERLINK("#",""), HYPERLINK(CONCATENATE("#Metadata!", ADDRESS(INDEX($AJ$2:$AJ$1001,MATCH(ROWS($AH$2:AH579),$AH$2:$AH$1001,0),0), INDEX($AO$1004:$BQ$1004,1,MATCH(COLUMNS($AO$1006:AR1006),$AO$1006:$BQ$1006,0)))),"Fix")))</f>
        <v>#N/A</v>
      </c>
      <c r="F579" s="5" t="e">
        <f ca="1">IF(OR(INDEX($AI$2:$AI$1001,MATCH(ROWS($AH$2:AH579),$AH$2:$AH$1001,0),1)&gt;=100000,INDEX($AO$1005:$BQ$1005,1,MATCH(COLUMNS($AO$1006:AS1006),$AO$1006:$BQ$1006,0))&gt;=100000), " ",IF(INDEX($AO$2:$BQ$1001,MATCH(ROWS($AH$2:AH579),$AH$2:$AH$1001,0),MATCH(COLUMNS($AO$1006:AS1006),$AO$1006:$BQ$1006,0)), HYPERLINK("#",""), HYPERLINK(CONCATENATE("#Metadata!", ADDRESS(INDEX($AJ$2:$AJ$1001,MATCH(ROWS($AH$2:AH579),$AH$2:$AH$1001,0),0), INDEX($AO$1004:$BQ$1004,1,MATCH(COLUMNS($AO$1006:AS1006),$AO$1006:$BQ$1006,0)))),"Fix")))</f>
        <v>#N/A</v>
      </c>
      <c r="G579" s="5" t="e">
        <f ca="1">IF(OR(INDEX($AI$2:$AI$1001,MATCH(ROWS($AH$2:AH579),$AH$2:$AH$1001,0),1)&gt;=100000,INDEX($AO$1005:$BQ$1005,1,MATCH(COLUMNS($AO$1006:AT1006),$AO$1006:$BQ$1006,0))&gt;=100000), " ",IF(INDEX($AO$2:$BQ$1001,MATCH(ROWS($AH$2:AH579),$AH$2:$AH$1001,0),MATCH(COLUMNS($AO$1006:AT1006),$AO$1006:$BQ$1006,0)), HYPERLINK("#",""), HYPERLINK(CONCATENATE("#Metadata!", ADDRESS(INDEX($AJ$2:$AJ$1001,MATCH(ROWS($AH$2:AH579),$AH$2:$AH$1001,0),0), INDEX($AO$1004:$BQ$1004,1,MATCH(COLUMNS($AO$1006:AT1006),$AO$1006:$BQ$1006,0)))),"Fix")))</f>
        <v>#N/A</v>
      </c>
      <c r="H579" s="5" t="e">
        <f ca="1">IF(OR(INDEX($AI$2:$AI$1001,MATCH(ROWS($AH$2:AH579),$AH$2:$AH$1001,0),1)&gt;=100000,INDEX($AO$1005:$BQ$1005,1,MATCH(COLUMNS($AO$1006:AU1006),$AO$1006:$BQ$1006,0))&gt;=100000), " ",IF(INDEX($AO$2:$BQ$1001,MATCH(ROWS($AH$2:AH579),$AH$2:$AH$1001,0),MATCH(COLUMNS($AO$1006:AU1006),$AO$1006:$BQ$1006,0)), HYPERLINK("#",""), HYPERLINK(CONCATENATE("#Metadata!", ADDRESS(INDEX($AJ$2:$AJ$1001,MATCH(ROWS($AH$2:AH579),$AH$2:$AH$1001,0),0), INDEX($AO$1004:$BQ$1004,1,MATCH(COLUMNS($AO$1006:AU1006),$AO$1006:$BQ$1006,0)))),"Fix")))</f>
        <v>#N/A</v>
      </c>
      <c r="I579" s="5" t="e">
        <f ca="1">IF(OR(INDEX($AI$2:$AI$1001,MATCH(ROWS($AH$2:AH579),$AH$2:$AH$1001,0),1)&gt;=100000,INDEX($AO$1005:$BQ$1005,1,MATCH(COLUMNS($AO$1006:AV1006),$AO$1006:$BQ$1006,0))&gt;=100000), " ",IF(INDEX($AO$2:$BQ$1001,MATCH(ROWS($AH$2:AH579),$AH$2:$AH$1001,0),MATCH(COLUMNS($AO$1006:AV1006),$AO$1006:$BQ$1006,0)), HYPERLINK("#",""), HYPERLINK(CONCATENATE("#Metadata!", ADDRESS(INDEX($AJ$2:$AJ$1001,MATCH(ROWS($AH$2:AH579),$AH$2:$AH$1001,0),0), INDEX($AO$1004:$BQ$1004,1,MATCH(COLUMNS($AO$1006:AV1006),$AO$1006:$BQ$1006,0)))),"Fix")))</f>
        <v>#N/A</v>
      </c>
      <c r="J579" s="5" t="e">
        <f ca="1">IF(OR(INDEX($AI$2:$AI$1001,MATCH(ROWS($AH$2:AH579),$AH$2:$AH$1001,0),1)&gt;=100000,INDEX($AO$1005:$BQ$1005,1,MATCH(COLUMNS($AO$1006:AW1006),$AO$1006:$BQ$1006,0))&gt;=100000), " ",IF(INDEX($AO$2:$BQ$1001,MATCH(ROWS($AH$2:AH579),$AH$2:$AH$1001,0),MATCH(COLUMNS($AO$1006:AW1006),$AO$1006:$BQ$1006,0)), HYPERLINK("#",""), HYPERLINK(CONCATENATE("#Metadata!", ADDRESS(INDEX($AJ$2:$AJ$1001,MATCH(ROWS($AH$2:AH579),$AH$2:$AH$1001,0),0), INDEX($AO$1004:$BQ$1004,1,MATCH(COLUMNS($AO$1006:AW1006),$AO$1006:$BQ$1006,0)))),"Fix")))</f>
        <v>#N/A</v>
      </c>
      <c r="K579" s="5" t="e">
        <f ca="1">IF(OR(INDEX($AI$2:$AI$1001,MATCH(ROWS($AH$2:AH579),$AH$2:$AH$1001,0),1)&gt;=100000,INDEX($AO$1005:$BQ$1005,1,MATCH(COLUMNS($AO$1006:AX1006),$AO$1006:$BQ$1006,0))&gt;=100000), " ",IF(INDEX($AO$2:$BQ$1001,MATCH(ROWS($AH$2:AH579),$AH$2:$AH$1001,0),MATCH(COLUMNS($AO$1006:AX1006),$AO$1006:$BQ$1006,0)), HYPERLINK("#",""), HYPERLINK(CONCATENATE("#Metadata!", ADDRESS(INDEX($AJ$2:$AJ$1001,MATCH(ROWS($AH$2:AH579),$AH$2:$AH$1001,0),0), INDEX($AO$1004:$BQ$1004,1,MATCH(COLUMNS($AO$1006:AX1006),$AO$1006:$BQ$1006,0)))),"Fix")))</f>
        <v>#N/A</v>
      </c>
      <c r="L579" s="5" t="e">
        <f ca="1">IF(OR(INDEX($AI$2:$AI$1001,MATCH(ROWS($AH$2:AH579),$AH$2:$AH$1001,0),1)&gt;=100000,INDEX($AO$1005:$BQ$1005,1,MATCH(COLUMNS($AO$1006:AY1006),$AO$1006:$BQ$1006,0))&gt;=100000), " ",IF(INDEX($AO$2:$BQ$1001,MATCH(ROWS($AH$2:AH579),$AH$2:$AH$1001,0),MATCH(COLUMNS($AO$1006:AY1006),$AO$1006:$BQ$1006,0)), HYPERLINK("#",""), HYPERLINK(CONCATENATE("#Metadata!", ADDRESS(INDEX($AJ$2:$AJ$1001,MATCH(ROWS($AH$2:AH579),$AH$2:$AH$1001,0),0), INDEX($AO$1004:$BQ$1004,1,MATCH(COLUMNS($AO$1006:AY1006),$AO$1006:$BQ$1006,0)))),"Fix")))</f>
        <v>#N/A</v>
      </c>
      <c r="M579" s="5" t="e">
        <f ca="1">IF(OR(INDEX($AI$2:$AI$1001,MATCH(ROWS($AH$2:AH579),$AH$2:$AH$1001,0),1)&gt;=100000,INDEX($AO$1005:$BQ$1005,1,MATCH(COLUMNS($AO$1006:AZ1006),$AO$1006:$BQ$1006,0))&gt;=100000), " ",IF(INDEX($AO$2:$BQ$1001,MATCH(ROWS($AH$2:AH579),$AH$2:$AH$1001,0),MATCH(COLUMNS($AO$1006:AZ1006),$AO$1006:$BQ$1006,0)), HYPERLINK("#",""), HYPERLINK(CONCATENATE("#Metadata!", ADDRESS(INDEX($AJ$2:$AJ$1001,MATCH(ROWS($AH$2:AH579),$AH$2:$AH$1001,0),0), INDEX($AO$1004:$BQ$1004,1,MATCH(COLUMNS($AO$1006:AZ1006),$AO$1006:$BQ$1006,0)))),"Fix")))</f>
        <v>#N/A</v>
      </c>
      <c r="N579" s="5" t="e">
        <f ca="1">IF(OR(INDEX($AI$2:$AI$1001,MATCH(ROWS($AH$2:AH579),$AH$2:$AH$1001,0),1)&gt;=100000,INDEX($AO$1005:$BQ$1005,1,MATCH(COLUMNS($AO$1006:BA1006),$AO$1006:$BQ$1006,0))&gt;=100000), " ",IF(INDEX($AO$2:$BQ$1001,MATCH(ROWS($AH$2:AH579),$AH$2:$AH$1001,0),MATCH(COLUMNS($AO$1006:BA1006),$AO$1006:$BQ$1006,0)), HYPERLINK("#",""), HYPERLINK(CONCATENATE("#Metadata!", ADDRESS(INDEX($AJ$2:$AJ$1001,MATCH(ROWS($AH$2:AH579),$AH$2:$AH$1001,0),0), INDEX($AO$1004:$BQ$1004,1,MATCH(COLUMNS($AO$1006:BA1006),$AO$1006:$BQ$1006,0)))),"Fix")))</f>
        <v>#N/A</v>
      </c>
      <c r="O579" s="5" t="e">
        <f ca="1">IF(OR(INDEX($AI$2:$AI$1001,MATCH(ROWS($AH$2:AH579),$AH$2:$AH$1001,0),1)&gt;=100000,INDEX($AO$1005:$BQ$1005,1,MATCH(COLUMNS($AO$1006:BB1006),$AO$1006:$BQ$1006,0))&gt;=100000), " ",IF(INDEX($AO$2:$BQ$1001,MATCH(ROWS($AH$2:AH579),$AH$2:$AH$1001,0),MATCH(COLUMNS($AO$1006:BB1006),$AO$1006:$BQ$1006,0)), HYPERLINK("#",""), HYPERLINK(CONCATENATE("#Metadata!", ADDRESS(INDEX($AJ$2:$AJ$1001,MATCH(ROWS($AH$2:AH579),$AH$2:$AH$1001,0),0), INDEX($AO$1004:$BQ$1004,1,MATCH(COLUMNS($AO$1006:BB1006),$AO$1006:$BQ$1006,0)))),"Fix")))</f>
        <v>#N/A</v>
      </c>
      <c r="P579" s="5" t="e">
        <f ca="1">IF(OR(INDEX($AI$2:$AI$1001,MATCH(ROWS($AH$2:AH579),$AH$2:$AH$1001,0),1)&gt;=100000,INDEX($AO$1005:$BQ$1005,1,MATCH(COLUMNS($AO$1006:BC1006),$AO$1006:$BQ$1006,0))&gt;=100000), " ",IF(INDEX($AO$2:$BQ$1001,MATCH(ROWS($AH$2:AH579),$AH$2:$AH$1001,0),MATCH(COLUMNS($AO$1006:BC1006),$AO$1006:$BQ$1006,0)), HYPERLINK("#",""), HYPERLINK(CONCATENATE("#Metadata!", ADDRESS(INDEX($AJ$2:$AJ$1001,MATCH(ROWS($AH$2:AH579),$AH$2:$AH$1001,0),0), INDEX($AO$1004:$BQ$1004,1,MATCH(COLUMNS($AO$1006:BC1006),$AO$1006:$BQ$1006,0)))),"Fix")))</f>
        <v>#N/A</v>
      </c>
      <c r="Q579" s="5" t="e">
        <f ca="1">IF(OR(INDEX($AI$2:$AI$1001,MATCH(ROWS($AH$2:AH579),$AH$2:$AH$1001,0),1)&gt;=100000,INDEX($AO$1005:$BQ$1005,1,MATCH(COLUMNS($AO$1006:BD1006),$AO$1006:$BQ$1006,0))&gt;=100000), " ",IF(INDEX($AO$2:$BQ$1001,MATCH(ROWS($AH$2:AH579),$AH$2:$AH$1001,0),MATCH(COLUMNS($AO$1006:BD1006),$AO$1006:$BQ$1006,0)), HYPERLINK("#",""), HYPERLINK(CONCATENATE("#Metadata!", ADDRESS(INDEX($AJ$2:$AJ$1001,MATCH(ROWS($AH$2:AH579),$AH$2:$AH$1001,0),0), INDEX($AO$1004:$BQ$1004,1,MATCH(COLUMNS($AO$1006:BD1006),$AO$1006:$BQ$1006,0)))),"Fix")))</f>
        <v>#N/A</v>
      </c>
      <c r="R579" s="5" t="e">
        <f ca="1">IF(OR(INDEX($AI$2:$AI$1001,MATCH(ROWS($AH$2:AH579),$AH$2:$AH$1001,0),1)&gt;=100000,INDEX($AO$1005:$BQ$1005,1,MATCH(COLUMNS($AO$1006:BE1006),$AO$1006:$BQ$1006,0))&gt;=100000), " ",IF(INDEX($AO$2:$BQ$1001,MATCH(ROWS($AH$2:AH579),$AH$2:$AH$1001,0),MATCH(COLUMNS($AO$1006:BE1006),$AO$1006:$BQ$1006,0)), HYPERLINK("#",""), HYPERLINK(CONCATENATE("#Metadata!", ADDRESS(INDEX($AJ$2:$AJ$1001,MATCH(ROWS($AH$2:AH579),$AH$2:$AH$1001,0),0), INDEX($AO$1004:$BQ$1004,1,MATCH(COLUMNS($AO$1006:BE1006),$AO$1006:$BQ$1006,0)))),"Fix")))</f>
        <v>#N/A</v>
      </c>
      <c r="S579" s="5" t="e">
        <f ca="1">IF(OR(INDEX($AI$2:$AI$1001,MATCH(ROWS($AH$2:AH579),$AH$2:$AH$1001,0),1)&gt;=100000,INDEX($AO$1005:$BQ$1005,1,MATCH(COLUMNS($AO$1006:BF1006),$AO$1006:$BQ$1006,0))&gt;=100000), " ",IF(INDEX($AO$2:$BQ$1001,MATCH(ROWS($AH$2:AH579),$AH$2:$AH$1001,0),MATCH(COLUMNS($AO$1006:BF1006),$AO$1006:$BQ$1006,0)), HYPERLINK("#",""), HYPERLINK(CONCATENATE("#Metadata!", ADDRESS(INDEX($AJ$2:$AJ$1001,MATCH(ROWS($AH$2:AH579),$AH$2:$AH$1001,0),0), INDEX($AO$1004:$BQ$1004,1,MATCH(COLUMNS($AO$1006:BF1006),$AO$1006:$BQ$1006,0)))),"Fix")))</f>
        <v>#N/A</v>
      </c>
      <c r="T579" s="5" t="e">
        <f ca="1">IF(OR(INDEX($AI$2:$AI$1001,MATCH(ROWS($AH$2:AH579),$AH$2:$AH$1001,0),1)&gt;=100000,INDEX($AO$1005:$BQ$1005,1,MATCH(COLUMNS($AO$1006:BG1006),$AO$1006:$BQ$1006,0))&gt;=100000), " ",IF(INDEX($AO$2:$BQ$1001,MATCH(ROWS($AH$2:AH579),$AH$2:$AH$1001,0),MATCH(COLUMNS($AO$1006:BG1006),$AO$1006:$BQ$1006,0)), HYPERLINK("#",""), HYPERLINK(CONCATENATE("#Metadata!", ADDRESS(INDEX($AJ$2:$AJ$1001,MATCH(ROWS($AH$2:AH579),$AH$2:$AH$1001,0),0), INDEX($AO$1004:$BQ$1004,1,MATCH(COLUMNS($AO$1006:BG1006),$AO$1006:$BQ$1006,0)))),"Fix")))</f>
        <v>#N/A</v>
      </c>
      <c r="U579" s="5" t="e">
        <f ca="1">IF(OR(INDEX($AI$2:$AI$1001,MATCH(ROWS($AH$2:AH579),$AH$2:$AH$1001,0),1)&gt;=100000,INDEX($AO$1005:$BQ$1005,1,MATCH(COLUMNS($AO$1006:BH1006),$AO$1006:$BQ$1006,0))&gt;=100000), " ",IF(INDEX($AO$2:$BQ$1001,MATCH(ROWS($AH$2:AH579),$AH$2:$AH$1001,0),MATCH(COLUMNS($AO$1006:BH1006),$AO$1006:$BQ$1006,0)), HYPERLINK("#",""), HYPERLINK(CONCATENATE("#Metadata!", ADDRESS(INDEX($AJ$2:$AJ$1001,MATCH(ROWS($AH$2:AH579),$AH$2:$AH$1001,0),0), INDEX($AO$1004:$BQ$1004,1,MATCH(COLUMNS($AO$1006:BH1006),$AO$1006:$BQ$1006,0)))),"Fix")))</f>
        <v>#N/A</v>
      </c>
      <c r="V579" s="5" t="e">
        <f ca="1">IF(OR(INDEX($AI$2:$AI$1001,MATCH(ROWS($AH$2:AH579),$AH$2:$AH$1001,0),1)&gt;=100000,INDEX($AO$1005:$BQ$1005,1,MATCH(COLUMNS($AO$1006:BI1006),$AO$1006:$BQ$1006,0))&gt;=100000), " ",IF(INDEX($AO$2:$BQ$1001,MATCH(ROWS($AH$2:AH579),$AH$2:$AH$1001,0),MATCH(COLUMNS($AO$1006:BI1006),$AO$1006:$BQ$1006,0)), HYPERLINK("#",""), HYPERLINK(CONCATENATE("#Metadata!", ADDRESS(INDEX($AJ$2:$AJ$1001,MATCH(ROWS($AH$2:AH579),$AH$2:$AH$1001,0),0), INDEX($AO$1004:$BQ$1004,1,MATCH(COLUMNS($AO$1006:BI1006),$AO$1006:$BQ$1006,0)))),"Fix")))</f>
        <v>#N/A</v>
      </c>
      <c r="W579" s="5" t="e">
        <f ca="1">IF(OR(INDEX($AI$2:$AI$1001,MATCH(ROWS($AH$2:AH579),$AH$2:$AH$1001,0),1)&gt;=100000,INDEX($AO$1005:$BQ$1005,1,MATCH(COLUMNS($AO$1006:BJ1006),$AO$1006:$BQ$1006,0))&gt;=100000), " ",IF(INDEX($AO$2:$BQ$1001,MATCH(ROWS($AH$2:AH579),$AH$2:$AH$1001,0),MATCH(COLUMNS($AO$1006:BJ1006),$AO$1006:$BQ$1006,0)), HYPERLINK("#",""), HYPERLINK(CONCATENATE("#Metadata!", ADDRESS(INDEX($AJ$2:$AJ$1001,MATCH(ROWS($AH$2:AH579),$AH$2:$AH$1001,0),0), INDEX($AO$1004:$BQ$1004,1,MATCH(COLUMNS($AO$1006:BJ1006),$AO$1006:$BQ$1006,0)))),"Fix")))</f>
        <v>#N/A</v>
      </c>
      <c r="X579" s="5" t="e">
        <f ca="1">IF(OR(INDEX($AI$2:$AI$1001,MATCH(ROWS($AH$2:AH579),$AH$2:$AH$1001,0),1)&gt;=100000,INDEX($AO$1005:$BQ$1005,1,MATCH(COLUMNS($AO$1006:BK1006),$AO$1006:$BQ$1006,0))&gt;=100000), " ",IF(INDEX($AO$2:$BQ$1001,MATCH(ROWS($AH$2:AH579),$AH$2:$AH$1001,0),MATCH(COLUMNS($AO$1006:BK1006),$AO$1006:$BQ$1006,0)), HYPERLINK("#",""), HYPERLINK(CONCATENATE("#Metadata!", ADDRESS(INDEX($AJ$2:$AJ$1001,MATCH(ROWS($AH$2:AH579),$AH$2:$AH$1001,0),0), INDEX($AO$1004:$BQ$1004,1,MATCH(COLUMNS($AO$1006:BK1006),$AO$1006:$BQ$1006,0)))),"Fix")))</f>
        <v>#N/A</v>
      </c>
      <c r="Y579" s="5" t="e">
        <f ca="1">IF(OR(INDEX($AI$2:$AI$1001,MATCH(ROWS($AH$2:AH579),$AH$2:$AH$1001,0),1)&gt;=100000,INDEX($AO$1005:$BQ$1005,1,MATCH(COLUMNS($AO$1006:BL1006),$AO$1006:$BQ$1006,0))&gt;=100000), " ",IF(INDEX($AO$2:$BQ$1001,MATCH(ROWS($AH$2:AH579),$AH$2:$AH$1001,0),MATCH(COLUMNS($AO$1006:BL1006),$AO$1006:$BQ$1006,0)), HYPERLINK("#",""), HYPERLINK(CONCATENATE("#Metadata!", ADDRESS(INDEX($AJ$2:$AJ$1001,MATCH(ROWS($AH$2:AH579),$AH$2:$AH$1001,0),0), INDEX($AO$1004:$BQ$1004,1,MATCH(COLUMNS($AO$1006:BL1006),$AO$1006:$BQ$1006,0)))),"Fix")))</f>
        <v>#N/A</v>
      </c>
      <c r="Z579" s="5" t="e">
        <f ca="1">IF(OR(INDEX($AI$2:$AI$1001,MATCH(ROWS($AH$2:AH579),$AH$2:$AH$1001,0),1)&gt;=100000,INDEX($AO$1005:$BQ$1005,1,MATCH(COLUMNS($AO$1006:BM1006),$AO$1006:$BQ$1006,0))&gt;=100000), " ",IF(INDEX($AO$2:$BQ$1001,MATCH(ROWS($AH$2:AH579),$AH$2:$AH$1001,0),MATCH(COLUMNS($AO$1006:BM1006),$AO$1006:$BQ$1006,0)), HYPERLINK("#",""), HYPERLINK(CONCATENATE("#Metadata!", ADDRESS(INDEX($AJ$2:$AJ$1001,MATCH(ROWS($AH$2:AH579),$AH$2:$AH$1001,0),0), INDEX($AO$1004:$BQ$1004,1,MATCH(COLUMNS($AO$1006:BM1006),$AO$1006:$BQ$1006,0)))),"Fix")))</f>
        <v>#N/A</v>
      </c>
      <c r="AA579" s="5" t="e">
        <f ca="1">IF(OR(INDEX($AI$2:$AI$1001,MATCH(ROWS($AH$2:AH579),$AH$2:$AH$1001,0),1)&gt;=100000,INDEX($AO$1005:$BQ$1005,1,MATCH(COLUMNS($AO$1006:BN1006),$AO$1006:$BQ$1006,0))&gt;=100000), " ",IF(INDEX($AO$2:$BQ$1001,MATCH(ROWS($AH$2:AH579),$AH$2:$AH$1001,0),MATCH(COLUMNS($AO$1006:BN1006),$AO$1006:$BQ$1006,0)), HYPERLINK("#",""), HYPERLINK(CONCATENATE("#Metadata!", ADDRESS(INDEX($AJ$2:$AJ$1001,MATCH(ROWS($AH$2:AH579),$AH$2:$AH$1001,0),0), INDEX($AO$1004:$BQ$1004,1,MATCH(COLUMNS($AO$1006:BN1006),$AO$1006:$BQ$1006,0)))),"Fix")))</f>
        <v>#N/A</v>
      </c>
      <c r="AB579" s="5" t="e">
        <f ca="1">IF(OR(INDEX($AI$2:$AI$1001,MATCH(ROWS($AH$2:AH579),$AH$2:$AH$1001,0),1)&gt;=100000,INDEX($AO$1005:$BQ$1005,1,MATCH(COLUMNS($AO$1006:BO1006),$AO$1006:$BQ$1006,0))&gt;=100000), " ",IF(INDEX($AO$2:$BQ$1001,MATCH(ROWS($AH$2:AH579),$AH$2:$AH$1001,0),MATCH(COLUMNS($AO$1006:BO1006),$AO$1006:$BQ$1006,0)), HYPERLINK("#",""), HYPERLINK(CONCATENATE("#Metadata!", ADDRESS(INDEX($AJ$2:$AJ$1001,MATCH(ROWS($AH$2:AH579),$AH$2:$AH$1001,0),0), INDEX($AO$1004:$BQ$1004,1,MATCH(COLUMNS($AO$1006:BO1006),$AO$1006:$BQ$1006,0)))),"Fix")))</f>
        <v>#N/A</v>
      </c>
      <c r="AC579" s="5" t="e">
        <f ca="1">IF(OR(INDEX($AI$2:$AI$1001,MATCH(ROWS($AH$2:AH579),$AH$2:$AH$1001,0),1)&gt;=100000,INDEX($AO$1005:$BQ$1005,1,MATCH(COLUMNS($AO$1006:BP1006),$AO$1006:$BQ$1006,0))&gt;=100000), " ",IF(INDEX($AO$2:$BQ$1001,MATCH(ROWS($AH$2:AH579),$AH$2:$AH$1001,0),MATCH(COLUMNS($AO$1006:BP1006),$AO$1006:$BQ$1006,0)), HYPERLINK("#",""), HYPERLINK(CONCATENATE("#Metadata!", ADDRESS(INDEX($AJ$2:$AJ$1001,MATCH(ROWS($AH$2:AH579),$AH$2:$AH$1001,0),0), INDEX($AO$1004:$BQ$1004,1,MATCH(COLUMNS($AO$1006:BP1006),$AO$1006:$BQ$1006,0)))),"Fix")))</f>
        <v>#N/A</v>
      </c>
      <c r="AD579" s="5" t="e">
        <f ca="1">IF(OR(INDEX($AI$2:$AI$1001,MATCH(ROWS($AH$2:AH579),$AH$2:$AH$1001,0),1)&gt;=100000,INDEX($AO$1005:$BQ$1005,1,MATCH(COLUMNS($AO$1006:BQ1006),$AO$1006:$BQ$1006,0))&gt;=100000), " ",IF(INDEX($AO$2:$BQ$1001,MATCH(ROWS($AH$2:AH579),$AH$2:$AH$1001,0),MATCH(COLUMNS($AO$1006:BQ1006),$AO$1006:$BQ$1006,0)), HYPERLINK("#",""), HYPERLINK(CONCATENATE("#Metadata!", ADDRESS(INDEX($AJ$2:$AJ$1001,MATCH(ROWS($AH$2:AH579),$AH$2:$AH$1001,0),0), INDEX($AO$1004:$BQ$1004,1,MATCH(COLUMNS($AO$1006:BQ1006),$AO$1006:$BQ$1006,0)))),"Fix")))</f>
        <v>#REF!</v>
      </c>
      <c r="AH579">
        <f ca="1"/>
        <v>576</v>
      </c>
      <c r="AI579">
        <v>100579</v>
      </c>
      <c r="AJ579">
        <v>579</v>
      </c>
      <c r="AK579" t="b">
        <f t="shared" si="9"/>
        <v>1</v>
      </c>
      <c r="AL579" t="b">
        <f>COUNTBLANK(Metadata!B579:AD579)=COLUMNS(Metadata!B579:AD579)</f>
        <v>1</v>
      </c>
      <c r="AM579" t="str">
        <v/>
      </c>
      <c r="AO579" t="b">
        <f ca="1">AND(IF(Metadata!B579="",FALSE,TRUE),COUNTIF(Metadata!B:B, Metadata!B579) = 1,NOT(ISERROR(SUMPRODUCT(SEARCH(MID(Metadata!B579,ROW(INDIRECT("1:"&amp;LEN(Metadata!B579))), 1),"0123456789abcdefghijklmnopqrstuvwxyzABCDEFGHIJKLMNOPQRSTUVWXYZ.")))))</f>
        <v>0</v>
      </c>
      <c r="AP579" t="b">
        <f>IF(Metadata!C579="",FALSE,TRUE)</f>
        <v>0</v>
      </c>
      <c r="AQ579" t="b">
        <f>IF(Metadata!D579="",FALSE,TRUE)</f>
        <v>0</v>
      </c>
      <c r="AR579" t="b">
        <f ca="1">OR(AND(IF(Metadata!E579="",FALSE,TRUE),OR(EXACT(Metadata!E579,"not collected"),EXACT(Metadata!E579,"not provided"),EXACT(Metadata!E579,"restricted access"))),AND(IF(Metadata!E579="",FALSE,TRUE),AND(AND(IFERROR(INT(LEFT(Metadata!E579,4))&gt;1900,FALSE),IFERROR(INT(LEFT(Metadata!E579,4))&lt;=YEAR(NOW()),FALSE)), OR(MID(Metadata!E579,5,1)="", AND(AND(MID(Metadata!E579,5,1)="-",IFERROR(INT(MID(Metadata!E579,6,1))&gt;=0,FALSE),IFERROR(INT(MID(Metadata!E579,6,1))&lt;=1,FALSE),NOT(MID(Metadata!E579,7,1)=""),IFERROR(INT(MID(Metadata!E579,6,2))&gt;=1,FALSE),IFERROR(INT(MID(Metadata!E579,6,2))&lt;=12,FALSE)), OR(MID(Metadata!E579,8,1)="", AND(AND(MID(Metadata!E579,8,1)="-",IFERROR(INT(MID(Metadata!E579,9,1))&gt;=0,FALSE),IFERROR(INT(MID(Metadata!E579,9,1))&lt;=3,FALSE),NOT(MID(Metadata!E579,10,1)=""),IFERROR(INT(MID(Metadata!E579,9,2))&gt;=1,FALSE),IFERROR(INT(MID(Metadata!E579,9,2))&lt;=31,FALSE)), OR(MID(Metadata!E579,11,1)="", AND(AND(MID(Metadata!E579,11,1)=" ",IFERROR(INT(MID(Metadata!E579,12,1))&gt;=0,FALSE),IFERROR(INT(MID(Metadata!E579,12,1))&lt;=2,FALSE),NOT(MID(Metadata!E579,13,1)=""),IFERROR(INT(MID(Metadata!E579,12,2))&gt;=0,FALSE),IFERROR(INT(MID(Metadata!E579,12,2))&lt;=23,FALSE)), OR(MID(Metadata!E579,14,1)="", AND(AND(MID(Metadata!E579,14,1)=":",IFERROR(INT(MID(Metadata!E579,15,1))&gt;=0,FALSE),IFERROR(INT(MID(Metadata!E579,15,1))&lt;=5,FALSE),NOT(MID(Metadata!E579,16,1)=""),IFERROR(INT(MID(Metadata!E579,15,2))&gt;=0,FALSE),IFERROR(INT(MID(Metadata!E579,15,2))&lt;=59,FALSE)), OR(MID(Metadata!E579,17,1)="", AND(AND(MID(Metadata!E579,17,1)=":",IFERROR(INT(MID(Metadata!E579,18,1))&gt;=0,FALSE),IFERROR(INT(MID(Metadata!E579,18,1))&lt;=5,FALSE),NOT(MID(Metadata!E579,19,1)=""),IFERROR(INT(MID(Metadata!E579,18,2))&gt;=0,FALSE),IFERROR(INT(MID(Metadata!E579,18,2))&lt;=59,FALSE)), LEN(Metadata!E579)&lt;=19)))))))))))))</f>
        <v>0</v>
      </c>
      <c r="AS579" t="b">
        <f>IF(Metadata!F579="",FALSE,TRUE)</f>
        <v>0</v>
      </c>
      <c r="AT579" t="b">
        <f>OR(AND(IF(Metadata!G579="",FALSE,TRUE),OR(EXACT(Metadata!G579,"not collected"),EXACT(Metadata!G579,"not provided"))),AND(IF(Metadata!G579="",FALSE,TRUE),OR(EXACT(Metadata!G579,"TRUE"),EXACT(Metadata!G579,"FALSE"))))</f>
        <v>0</v>
      </c>
      <c r="AU579" t="b">
        <f>OR(AND(IF(Metadata!H579="",FALSE,TRUE),OR(EXACT(Metadata!H579,"not collected"),EXACT(Metadata!H579,"not provided"),EXACT(Metadata!H579,"restricted access"))),AND(IF(Metadata!H579="",FALSE,ISNUMBER(VALUE(Metadata!H579))),Metadata!H579&gt;=-413))</f>
        <v>0</v>
      </c>
      <c r="AV579" t="b">
        <f>AND(IF(Metadata!I579="",FALSE,TRUE),EXACT(Metadata!I579,"meters"))</f>
        <v>0</v>
      </c>
      <c r="AW579" t="b">
        <f>AND(IF(Metadata!J579="",FALSE,TRUE),EXACT(Metadata!J579,"free-living"))</f>
        <v>0</v>
      </c>
      <c r="AX579" t="b">
        <f>AND(IF(Metadata!K579="",FALSE,TRUE),OR(EXACT(Metadata!K579,"saline"),EXACT(Metadata!K579,"non-saline")))</f>
        <v>0</v>
      </c>
      <c r="AY579" t="b">
        <f>AND(IF(Metadata!L579="",FALSE,TRUE),OR(EXACT(Metadata!L579,"sub-surface (non-saline)"),EXACT(Metadata!L579,"surface (non-saline)"),EXACT(Metadata!L579,"water (non-saline)"),EXACT(Metadata!L579,"soil (non-saline)"),EXACT(Metadata!L579,"aerosol (non-saline)"),EXACT(Metadata!L579,"sediment (non-saline)"),EXACT(Metadata!L579,"surface (saline)"),EXACT(Metadata!L579,"water (saline)"),EXACT(Metadata!L579,"hypersaline (saline)"),EXACT(Metadata!L579,"aerosol (saline)"),EXACT(Metadata!L579,"sediment (saline)")))</f>
        <v>0</v>
      </c>
      <c r="AZ579" t="b">
        <f>IF(Metadata!M579="",FALSE,TRUE)</f>
        <v>0</v>
      </c>
      <c r="BA579" t="b">
        <f>IF(Metadata!N579="",FALSE,TRUE)</f>
        <v>0</v>
      </c>
      <c r="BB579" t="b">
        <f>IF(Metadata!O579="",FALSE,TRUE)</f>
        <v>0</v>
      </c>
      <c r="BC579" t="b">
        <f>AND(IF(Metadata!P579="",FALSE,TRUE),OR(EXACT(Metadata!P579,"air"),EXACT(Metadata!P579,"microbial mat/biofilm"),EXACT(Metadata!P579,"misc environment"),EXACT(Metadata!P579,"sediment"),EXACT(Metadata!P579,"soil"),EXACT(Metadata!P579,"wastewater/sludge"),EXACT(Metadata!P579,"water")))</f>
        <v>0</v>
      </c>
      <c r="BD579" t="b">
        <f>IF(Metadata!Q579="",FALSE,TRUE)</f>
        <v>0</v>
      </c>
      <c r="BE579" t="b">
        <f>IF(Metadata!R579="",FALSE,TRUE)</f>
        <v>0</v>
      </c>
      <c r="BF579" t="b">
        <f>OR(AND(IF(Metadata!S579="",FALSE,TRUE),OR(EXACT(Metadata!S579,"not collected"),EXACT(Metadata!S579,"not provided"),EXACT(Metadata!S579,"restricted access"))),AND(IF(Metadata!S579="",FALSE,ISNUMBER(VALUE(Metadata!S579))),Metadata!S579&gt;=-90,Metadata!S579&lt;=90))</f>
        <v>0</v>
      </c>
      <c r="BG579" t="b">
        <f>AND(IF(Metadata!T579="",FALSE,TRUE),EXACT(Metadata!T579,"Decimal degrees"))</f>
        <v>0</v>
      </c>
      <c r="BH579" t="b">
        <f>OR(AND(IF(Metadata!U579="",FALSE,TRUE),OR(EXACT(Metadata!U579,"not applicable"),EXACT(Metadata!U579,"not collected"))),IF(Metadata!U579="",FALSE,TRUE))</f>
        <v>0</v>
      </c>
      <c r="BI579" t="b">
        <f>OR(AND(IF(Metadata!V579="",FALSE,TRUE),OR(EXACT(Metadata!V579,"not collected"),EXACT(Metadata!V579,"not provided"),EXACT(Metadata!V579,"restricted access"))),AND(IF(Metadata!V579="",FALSE,ISNUMBER(VALUE(Metadata!V579))),Metadata!V579&gt;=-180,Metadata!V579&lt;=180))</f>
        <v>0</v>
      </c>
      <c r="BJ579" t="b">
        <f>AND(IF(Metadata!W579="",FALSE,TRUE),EXACT(Metadata!W579,"Decimal degrees"))</f>
        <v>0</v>
      </c>
      <c r="BK579" t="b">
        <f>IF(Metadata!X579="",FALSE,TRUE)</f>
        <v>0</v>
      </c>
      <c r="BL579" t="b">
        <f>OR(AND(IF(Metadata!Y579="",FALSE,TRUE),OR(EXACT(Metadata!Y579,"not collected"),EXACT(Metadata!Y579,"not provided"),EXACT(Metadata!Y579,"restricted access"))),AND(IF(Metadata!Y579="",FALSE,TRUE),OR(EXACT(Metadata!Y579,"TRUE"),EXACT(Metadata!Y579,"FALSE"))))</f>
        <v>0</v>
      </c>
      <c r="BM579" t="b">
        <f>OR(AND(IF(Metadata!Z579="",FALSE,TRUE),EXACT(Metadata!Z579,"not applicable")),AND(IF(Metadata!Z579="",FALSE,TRUE),OR(EXACT(Metadata!Z579,"beer"),EXACT(Metadata!Z579,"cheese"),EXACT(Metadata!Z579,"fresh water"),EXACT(Metadata!Z579,"marine sediment"),EXACT(Metadata!Z579,"sea water"),EXACT(Metadata!Z579,"sediment"),EXACT(Metadata!Z579,"soil"),EXACT(Metadata!Z579,"waste water"))))</f>
        <v>0</v>
      </c>
      <c r="BN579" t="b">
        <f>AND(IF(Metadata!AA579="",FALSE,TRUE),EXACT(Metadata!AA579,"metagenome"))</f>
        <v>0</v>
      </c>
      <c r="BO579" t="b">
        <f>AND(IF(Metadata!AB579="",FALSE,TRUE),EXACT(Metadata!AB579,"256318"))</f>
        <v>0</v>
      </c>
      <c r="BP579" t="b">
        <f>IF(Metadata!AC579="",FALSE,TRUE)</f>
        <v>0</v>
      </c>
      <c r="BQ579" t="b">
        <f>IF(Metadata!AD579="",FALSE,TRUE)</f>
        <v>0</v>
      </c>
    </row>
    <row r="580" spans="1:69" x14ac:dyDescent="0.2">
      <c r="A580" s="4" t="e">
        <f ca="1">IF(B580=" "," ",HYPERLINK(CONCATENATE("#metadata!",ADDRESS(INDEX($AJ$2:$AJ$1001,MATCH(ROWS($AH$2:AH580),$AH$2:$AH$1001,0),0),2)),INDEX($AM$2:$AM$1001,MATCH(ROWS($AH$2:AH580),$AH$2:$AH$1001,0),0)))</f>
        <v>#N/A</v>
      </c>
      <c r="B580" s="5" t="e">
        <f ca="1">IF(OR(INDEX($AI$2:$AI$1001,MATCH(ROWS($AH$2:AH580),$AH$2:$AH$1001,0),1)&gt;=100000,INDEX($AO$1005:$BQ$1005,1,MATCH(COLUMNS($AO$1006:AO1006),$AO$1006:$BQ$1006,0))&gt;=100000), " ",IF(INDEX($AO$2:$BQ$1001,MATCH(ROWS($AH$2:AH580),$AH$2:$AH$1001,0),MATCH(COLUMNS($AO$1006:AO1006),$AO$1006:$BQ$1006,0)), HYPERLINK("#",""), HYPERLINK(CONCATENATE("#Metadata!", ADDRESS(INDEX($AJ$2:$AJ$1001,MATCH(ROWS($AH$2:AH580),$AH$2:$AH$1001,0),0), INDEX($AO$1004:$BQ$1004,1,MATCH(COLUMNS($AO$1006:AO1006),$AO$1006:$BQ$1006,0)))),"Fix")))</f>
        <v>#N/A</v>
      </c>
      <c r="C580" s="5" t="e">
        <f ca="1">IF(OR(INDEX($AI$2:$AI$1001,MATCH(ROWS($AH$2:AH580),$AH$2:$AH$1001,0),1)&gt;=100000,INDEX($AO$1005:$BQ$1005,1,MATCH(COLUMNS($AO$1006:AP1006),$AO$1006:$BQ$1006,0))&gt;=100000), " ",IF(INDEX($AO$2:$BQ$1001,MATCH(ROWS($AH$2:AH580),$AH$2:$AH$1001,0),MATCH(COLUMNS($AO$1006:AP1006),$AO$1006:$BQ$1006,0)), HYPERLINK("#",""), HYPERLINK(CONCATENATE("#Metadata!", ADDRESS(INDEX($AJ$2:$AJ$1001,MATCH(ROWS($AH$2:AH580),$AH$2:$AH$1001,0),0), INDEX($AO$1004:$BQ$1004,1,MATCH(COLUMNS($AO$1006:AP1006),$AO$1006:$BQ$1006,0)))),"Fix")))</f>
        <v>#N/A</v>
      </c>
      <c r="D580" s="5" t="e">
        <f ca="1">IF(OR(INDEX($AI$2:$AI$1001,MATCH(ROWS($AH$2:AH580),$AH$2:$AH$1001,0),1)&gt;=100000,INDEX($AO$1005:$BQ$1005,1,MATCH(COLUMNS($AO$1006:AQ1006),$AO$1006:$BQ$1006,0))&gt;=100000), " ",IF(INDEX($AO$2:$BQ$1001,MATCH(ROWS($AH$2:AH580),$AH$2:$AH$1001,0),MATCH(COLUMNS($AO$1006:AQ1006),$AO$1006:$BQ$1006,0)), HYPERLINK("#",""), HYPERLINK(CONCATENATE("#Metadata!", ADDRESS(INDEX($AJ$2:$AJ$1001,MATCH(ROWS($AH$2:AH580),$AH$2:$AH$1001,0),0), INDEX($AO$1004:$BQ$1004,1,MATCH(COLUMNS($AO$1006:AQ1006),$AO$1006:$BQ$1006,0)))),"Fix")))</f>
        <v>#N/A</v>
      </c>
      <c r="E580" s="5" t="e">
        <f ca="1">IF(OR(INDEX($AI$2:$AI$1001,MATCH(ROWS($AH$2:AH580),$AH$2:$AH$1001,0),1)&gt;=100000,INDEX($AO$1005:$BQ$1005,1,MATCH(COLUMNS($AO$1006:AR1006),$AO$1006:$BQ$1006,0))&gt;=100000), " ",IF(INDEX($AO$2:$BQ$1001,MATCH(ROWS($AH$2:AH580),$AH$2:$AH$1001,0),MATCH(COLUMNS($AO$1006:AR1006),$AO$1006:$BQ$1006,0)), HYPERLINK("#",""), HYPERLINK(CONCATENATE("#Metadata!", ADDRESS(INDEX($AJ$2:$AJ$1001,MATCH(ROWS($AH$2:AH580),$AH$2:$AH$1001,0),0), INDEX($AO$1004:$BQ$1004,1,MATCH(COLUMNS($AO$1006:AR1006),$AO$1006:$BQ$1006,0)))),"Fix")))</f>
        <v>#N/A</v>
      </c>
      <c r="F580" s="5" t="e">
        <f ca="1">IF(OR(INDEX($AI$2:$AI$1001,MATCH(ROWS($AH$2:AH580),$AH$2:$AH$1001,0),1)&gt;=100000,INDEX($AO$1005:$BQ$1005,1,MATCH(COLUMNS($AO$1006:AS1006),$AO$1006:$BQ$1006,0))&gt;=100000), " ",IF(INDEX($AO$2:$BQ$1001,MATCH(ROWS($AH$2:AH580),$AH$2:$AH$1001,0),MATCH(COLUMNS($AO$1006:AS1006),$AO$1006:$BQ$1006,0)), HYPERLINK("#",""), HYPERLINK(CONCATENATE("#Metadata!", ADDRESS(INDEX($AJ$2:$AJ$1001,MATCH(ROWS($AH$2:AH580),$AH$2:$AH$1001,0),0), INDEX($AO$1004:$BQ$1004,1,MATCH(COLUMNS($AO$1006:AS1006),$AO$1006:$BQ$1006,0)))),"Fix")))</f>
        <v>#N/A</v>
      </c>
      <c r="G580" s="5" t="e">
        <f ca="1">IF(OR(INDEX($AI$2:$AI$1001,MATCH(ROWS($AH$2:AH580),$AH$2:$AH$1001,0),1)&gt;=100000,INDEX($AO$1005:$BQ$1005,1,MATCH(COLUMNS($AO$1006:AT1006),$AO$1006:$BQ$1006,0))&gt;=100000), " ",IF(INDEX($AO$2:$BQ$1001,MATCH(ROWS($AH$2:AH580),$AH$2:$AH$1001,0),MATCH(COLUMNS($AO$1006:AT1006),$AO$1006:$BQ$1006,0)), HYPERLINK("#",""), HYPERLINK(CONCATENATE("#Metadata!", ADDRESS(INDEX($AJ$2:$AJ$1001,MATCH(ROWS($AH$2:AH580),$AH$2:$AH$1001,0),0), INDEX($AO$1004:$BQ$1004,1,MATCH(COLUMNS($AO$1006:AT1006),$AO$1006:$BQ$1006,0)))),"Fix")))</f>
        <v>#N/A</v>
      </c>
      <c r="H580" s="5" t="e">
        <f ca="1">IF(OR(INDEX($AI$2:$AI$1001,MATCH(ROWS($AH$2:AH580),$AH$2:$AH$1001,0),1)&gt;=100000,INDEX($AO$1005:$BQ$1005,1,MATCH(COLUMNS($AO$1006:AU1006),$AO$1006:$BQ$1006,0))&gt;=100000), " ",IF(INDEX($AO$2:$BQ$1001,MATCH(ROWS($AH$2:AH580),$AH$2:$AH$1001,0),MATCH(COLUMNS($AO$1006:AU1006),$AO$1006:$BQ$1006,0)), HYPERLINK("#",""), HYPERLINK(CONCATENATE("#Metadata!", ADDRESS(INDEX($AJ$2:$AJ$1001,MATCH(ROWS($AH$2:AH580),$AH$2:$AH$1001,0),0), INDEX($AO$1004:$BQ$1004,1,MATCH(COLUMNS($AO$1006:AU1006),$AO$1006:$BQ$1006,0)))),"Fix")))</f>
        <v>#N/A</v>
      </c>
      <c r="I580" s="5" t="e">
        <f ca="1">IF(OR(INDEX($AI$2:$AI$1001,MATCH(ROWS($AH$2:AH580),$AH$2:$AH$1001,0),1)&gt;=100000,INDEX($AO$1005:$BQ$1005,1,MATCH(COLUMNS($AO$1006:AV1006),$AO$1006:$BQ$1006,0))&gt;=100000), " ",IF(INDEX($AO$2:$BQ$1001,MATCH(ROWS($AH$2:AH580),$AH$2:$AH$1001,0),MATCH(COLUMNS($AO$1006:AV1006),$AO$1006:$BQ$1006,0)), HYPERLINK("#",""), HYPERLINK(CONCATENATE("#Metadata!", ADDRESS(INDEX($AJ$2:$AJ$1001,MATCH(ROWS($AH$2:AH580),$AH$2:$AH$1001,0),0), INDEX($AO$1004:$BQ$1004,1,MATCH(COLUMNS($AO$1006:AV1006),$AO$1006:$BQ$1006,0)))),"Fix")))</f>
        <v>#N/A</v>
      </c>
      <c r="J580" s="5" t="e">
        <f ca="1">IF(OR(INDEX($AI$2:$AI$1001,MATCH(ROWS($AH$2:AH580),$AH$2:$AH$1001,0),1)&gt;=100000,INDEX($AO$1005:$BQ$1005,1,MATCH(COLUMNS($AO$1006:AW1006),$AO$1006:$BQ$1006,0))&gt;=100000), " ",IF(INDEX($AO$2:$BQ$1001,MATCH(ROWS($AH$2:AH580),$AH$2:$AH$1001,0),MATCH(COLUMNS($AO$1006:AW1006),$AO$1006:$BQ$1006,0)), HYPERLINK("#",""), HYPERLINK(CONCATENATE("#Metadata!", ADDRESS(INDEX($AJ$2:$AJ$1001,MATCH(ROWS($AH$2:AH580),$AH$2:$AH$1001,0),0), INDEX($AO$1004:$BQ$1004,1,MATCH(COLUMNS($AO$1006:AW1006),$AO$1006:$BQ$1006,0)))),"Fix")))</f>
        <v>#N/A</v>
      </c>
      <c r="K580" s="5" t="e">
        <f ca="1">IF(OR(INDEX($AI$2:$AI$1001,MATCH(ROWS($AH$2:AH580),$AH$2:$AH$1001,0),1)&gt;=100000,INDEX($AO$1005:$BQ$1005,1,MATCH(COLUMNS($AO$1006:AX1006),$AO$1006:$BQ$1006,0))&gt;=100000), " ",IF(INDEX($AO$2:$BQ$1001,MATCH(ROWS($AH$2:AH580),$AH$2:$AH$1001,0),MATCH(COLUMNS($AO$1006:AX1006),$AO$1006:$BQ$1006,0)), HYPERLINK("#",""), HYPERLINK(CONCATENATE("#Metadata!", ADDRESS(INDEX($AJ$2:$AJ$1001,MATCH(ROWS($AH$2:AH580),$AH$2:$AH$1001,0),0), INDEX($AO$1004:$BQ$1004,1,MATCH(COLUMNS($AO$1006:AX1006),$AO$1006:$BQ$1006,0)))),"Fix")))</f>
        <v>#N/A</v>
      </c>
      <c r="L580" s="5" t="e">
        <f ca="1">IF(OR(INDEX($AI$2:$AI$1001,MATCH(ROWS($AH$2:AH580),$AH$2:$AH$1001,0),1)&gt;=100000,INDEX($AO$1005:$BQ$1005,1,MATCH(COLUMNS($AO$1006:AY1006),$AO$1006:$BQ$1006,0))&gt;=100000), " ",IF(INDEX($AO$2:$BQ$1001,MATCH(ROWS($AH$2:AH580),$AH$2:$AH$1001,0),MATCH(COLUMNS($AO$1006:AY1006),$AO$1006:$BQ$1006,0)), HYPERLINK("#",""), HYPERLINK(CONCATENATE("#Metadata!", ADDRESS(INDEX($AJ$2:$AJ$1001,MATCH(ROWS($AH$2:AH580),$AH$2:$AH$1001,0),0), INDEX($AO$1004:$BQ$1004,1,MATCH(COLUMNS($AO$1006:AY1006),$AO$1006:$BQ$1006,0)))),"Fix")))</f>
        <v>#N/A</v>
      </c>
      <c r="M580" s="5" t="e">
        <f ca="1">IF(OR(INDEX($AI$2:$AI$1001,MATCH(ROWS($AH$2:AH580),$AH$2:$AH$1001,0),1)&gt;=100000,INDEX($AO$1005:$BQ$1005,1,MATCH(COLUMNS($AO$1006:AZ1006),$AO$1006:$BQ$1006,0))&gt;=100000), " ",IF(INDEX($AO$2:$BQ$1001,MATCH(ROWS($AH$2:AH580),$AH$2:$AH$1001,0),MATCH(COLUMNS($AO$1006:AZ1006),$AO$1006:$BQ$1006,0)), HYPERLINK("#",""), HYPERLINK(CONCATENATE("#Metadata!", ADDRESS(INDEX($AJ$2:$AJ$1001,MATCH(ROWS($AH$2:AH580),$AH$2:$AH$1001,0),0), INDEX($AO$1004:$BQ$1004,1,MATCH(COLUMNS($AO$1006:AZ1006),$AO$1006:$BQ$1006,0)))),"Fix")))</f>
        <v>#N/A</v>
      </c>
      <c r="N580" s="5" t="e">
        <f ca="1">IF(OR(INDEX($AI$2:$AI$1001,MATCH(ROWS($AH$2:AH580),$AH$2:$AH$1001,0),1)&gt;=100000,INDEX($AO$1005:$BQ$1005,1,MATCH(COLUMNS($AO$1006:BA1006),$AO$1006:$BQ$1006,0))&gt;=100000), " ",IF(INDEX($AO$2:$BQ$1001,MATCH(ROWS($AH$2:AH580),$AH$2:$AH$1001,0),MATCH(COLUMNS($AO$1006:BA1006),$AO$1006:$BQ$1006,0)), HYPERLINK("#",""), HYPERLINK(CONCATENATE("#Metadata!", ADDRESS(INDEX($AJ$2:$AJ$1001,MATCH(ROWS($AH$2:AH580),$AH$2:$AH$1001,0),0), INDEX($AO$1004:$BQ$1004,1,MATCH(COLUMNS($AO$1006:BA1006),$AO$1006:$BQ$1006,0)))),"Fix")))</f>
        <v>#N/A</v>
      </c>
      <c r="O580" s="5" t="e">
        <f ca="1">IF(OR(INDEX($AI$2:$AI$1001,MATCH(ROWS($AH$2:AH580),$AH$2:$AH$1001,0),1)&gt;=100000,INDEX($AO$1005:$BQ$1005,1,MATCH(COLUMNS($AO$1006:BB1006),$AO$1006:$BQ$1006,0))&gt;=100000), " ",IF(INDEX($AO$2:$BQ$1001,MATCH(ROWS($AH$2:AH580),$AH$2:$AH$1001,0),MATCH(COLUMNS($AO$1006:BB1006),$AO$1006:$BQ$1006,0)), HYPERLINK("#",""), HYPERLINK(CONCATENATE("#Metadata!", ADDRESS(INDEX($AJ$2:$AJ$1001,MATCH(ROWS($AH$2:AH580),$AH$2:$AH$1001,0),0), INDEX($AO$1004:$BQ$1004,1,MATCH(COLUMNS($AO$1006:BB1006),$AO$1006:$BQ$1006,0)))),"Fix")))</f>
        <v>#N/A</v>
      </c>
      <c r="P580" s="5" t="e">
        <f ca="1">IF(OR(INDEX($AI$2:$AI$1001,MATCH(ROWS($AH$2:AH580),$AH$2:$AH$1001,0),1)&gt;=100000,INDEX($AO$1005:$BQ$1005,1,MATCH(COLUMNS($AO$1006:BC1006),$AO$1006:$BQ$1006,0))&gt;=100000), " ",IF(INDEX($AO$2:$BQ$1001,MATCH(ROWS($AH$2:AH580),$AH$2:$AH$1001,0),MATCH(COLUMNS($AO$1006:BC1006),$AO$1006:$BQ$1006,0)), HYPERLINK("#",""), HYPERLINK(CONCATENATE("#Metadata!", ADDRESS(INDEX($AJ$2:$AJ$1001,MATCH(ROWS($AH$2:AH580),$AH$2:$AH$1001,0),0), INDEX($AO$1004:$BQ$1004,1,MATCH(COLUMNS($AO$1006:BC1006),$AO$1006:$BQ$1006,0)))),"Fix")))</f>
        <v>#N/A</v>
      </c>
      <c r="Q580" s="5" t="e">
        <f ca="1">IF(OR(INDEX($AI$2:$AI$1001,MATCH(ROWS($AH$2:AH580),$AH$2:$AH$1001,0),1)&gt;=100000,INDEX($AO$1005:$BQ$1005,1,MATCH(COLUMNS($AO$1006:BD1006),$AO$1006:$BQ$1006,0))&gt;=100000), " ",IF(INDEX($AO$2:$BQ$1001,MATCH(ROWS($AH$2:AH580),$AH$2:$AH$1001,0),MATCH(COLUMNS($AO$1006:BD1006),$AO$1006:$BQ$1006,0)), HYPERLINK("#",""), HYPERLINK(CONCATENATE("#Metadata!", ADDRESS(INDEX($AJ$2:$AJ$1001,MATCH(ROWS($AH$2:AH580),$AH$2:$AH$1001,0),0), INDEX($AO$1004:$BQ$1004,1,MATCH(COLUMNS($AO$1006:BD1006),$AO$1006:$BQ$1006,0)))),"Fix")))</f>
        <v>#N/A</v>
      </c>
      <c r="R580" s="5" t="e">
        <f ca="1">IF(OR(INDEX($AI$2:$AI$1001,MATCH(ROWS($AH$2:AH580),$AH$2:$AH$1001,0),1)&gt;=100000,INDEX($AO$1005:$BQ$1005,1,MATCH(COLUMNS($AO$1006:BE1006),$AO$1006:$BQ$1006,0))&gt;=100000), " ",IF(INDEX($AO$2:$BQ$1001,MATCH(ROWS($AH$2:AH580),$AH$2:$AH$1001,0),MATCH(COLUMNS($AO$1006:BE1006),$AO$1006:$BQ$1006,0)), HYPERLINK("#",""), HYPERLINK(CONCATENATE("#Metadata!", ADDRESS(INDEX($AJ$2:$AJ$1001,MATCH(ROWS($AH$2:AH580),$AH$2:$AH$1001,0),0), INDEX($AO$1004:$BQ$1004,1,MATCH(COLUMNS($AO$1006:BE1006),$AO$1006:$BQ$1006,0)))),"Fix")))</f>
        <v>#N/A</v>
      </c>
      <c r="S580" s="5" t="e">
        <f ca="1">IF(OR(INDEX($AI$2:$AI$1001,MATCH(ROWS($AH$2:AH580),$AH$2:$AH$1001,0),1)&gt;=100000,INDEX($AO$1005:$BQ$1005,1,MATCH(COLUMNS($AO$1006:BF1006),$AO$1006:$BQ$1006,0))&gt;=100000), " ",IF(INDEX($AO$2:$BQ$1001,MATCH(ROWS($AH$2:AH580),$AH$2:$AH$1001,0),MATCH(COLUMNS($AO$1006:BF1006),$AO$1006:$BQ$1006,0)), HYPERLINK("#",""), HYPERLINK(CONCATENATE("#Metadata!", ADDRESS(INDEX($AJ$2:$AJ$1001,MATCH(ROWS($AH$2:AH580),$AH$2:$AH$1001,0),0), INDEX($AO$1004:$BQ$1004,1,MATCH(COLUMNS($AO$1006:BF1006),$AO$1006:$BQ$1006,0)))),"Fix")))</f>
        <v>#N/A</v>
      </c>
      <c r="T580" s="5" t="e">
        <f ca="1">IF(OR(INDEX($AI$2:$AI$1001,MATCH(ROWS($AH$2:AH580),$AH$2:$AH$1001,0),1)&gt;=100000,INDEX($AO$1005:$BQ$1005,1,MATCH(COLUMNS($AO$1006:BG1006),$AO$1006:$BQ$1006,0))&gt;=100000), " ",IF(INDEX($AO$2:$BQ$1001,MATCH(ROWS($AH$2:AH580),$AH$2:$AH$1001,0),MATCH(COLUMNS($AO$1006:BG1006),$AO$1006:$BQ$1006,0)), HYPERLINK("#",""), HYPERLINK(CONCATENATE("#Metadata!", ADDRESS(INDEX($AJ$2:$AJ$1001,MATCH(ROWS($AH$2:AH580),$AH$2:$AH$1001,0),0), INDEX($AO$1004:$BQ$1004,1,MATCH(COLUMNS($AO$1006:BG1006),$AO$1006:$BQ$1006,0)))),"Fix")))</f>
        <v>#N/A</v>
      </c>
      <c r="U580" s="5" t="e">
        <f ca="1">IF(OR(INDEX($AI$2:$AI$1001,MATCH(ROWS($AH$2:AH580),$AH$2:$AH$1001,0),1)&gt;=100000,INDEX($AO$1005:$BQ$1005,1,MATCH(COLUMNS($AO$1006:BH1006),$AO$1006:$BQ$1006,0))&gt;=100000), " ",IF(INDEX($AO$2:$BQ$1001,MATCH(ROWS($AH$2:AH580),$AH$2:$AH$1001,0),MATCH(COLUMNS($AO$1006:BH1006),$AO$1006:$BQ$1006,0)), HYPERLINK("#",""), HYPERLINK(CONCATENATE("#Metadata!", ADDRESS(INDEX($AJ$2:$AJ$1001,MATCH(ROWS($AH$2:AH580),$AH$2:$AH$1001,0),0), INDEX($AO$1004:$BQ$1004,1,MATCH(COLUMNS($AO$1006:BH1006),$AO$1006:$BQ$1006,0)))),"Fix")))</f>
        <v>#N/A</v>
      </c>
      <c r="V580" s="5" t="e">
        <f ca="1">IF(OR(INDEX($AI$2:$AI$1001,MATCH(ROWS($AH$2:AH580),$AH$2:$AH$1001,0),1)&gt;=100000,INDEX($AO$1005:$BQ$1005,1,MATCH(COLUMNS($AO$1006:BI1006),$AO$1006:$BQ$1006,0))&gt;=100000), " ",IF(INDEX($AO$2:$BQ$1001,MATCH(ROWS($AH$2:AH580),$AH$2:$AH$1001,0),MATCH(COLUMNS($AO$1006:BI1006),$AO$1006:$BQ$1006,0)), HYPERLINK("#",""), HYPERLINK(CONCATENATE("#Metadata!", ADDRESS(INDEX($AJ$2:$AJ$1001,MATCH(ROWS($AH$2:AH580),$AH$2:$AH$1001,0),0), INDEX($AO$1004:$BQ$1004,1,MATCH(COLUMNS($AO$1006:BI1006),$AO$1006:$BQ$1006,0)))),"Fix")))</f>
        <v>#N/A</v>
      </c>
      <c r="W580" s="5" t="e">
        <f ca="1">IF(OR(INDEX($AI$2:$AI$1001,MATCH(ROWS($AH$2:AH580),$AH$2:$AH$1001,0),1)&gt;=100000,INDEX($AO$1005:$BQ$1005,1,MATCH(COLUMNS($AO$1006:BJ1006),$AO$1006:$BQ$1006,0))&gt;=100000), " ",IF(INDEX($AO$2:$BQ$1001,MATCH(ROWS($AH$2:AH580),$AH$2:$AH$1001,0),MATCH(COLUMNS($AO$1006:BJ1006),$AO$1006:$BQ$1006,0)), HYPERLINK("#",""), HYPERLINK(CONCATENATE("#Metadata!", ADDRESS(INDEX($AJ$2:$AJ$1001,MATCH(ROWS($AH$2:AH580),$AH$2:$AH$1001,0),0), INDEX($AO$1004:$BQ$1004,1,MATCH(COLUMNS($AO$1006:BJ1006),$AO$1006:$BQ$1006,0)))),"Fix")))</f>
        <v>#N/A</v>
      </c>
      <c r="X580" s="5" t="e">
        <f ca="1">IF(OR(INDEX($AI$2:$AI$1001,MATCH(ROWS($AH$2:AH580),$AH$2:$AH$1001,0),1)&gt;=100000,INDEX($AO$1005:$BQ$1005,1,MATCH(COLUMNS($AO$1006:BK1006),$AO$1006:$BQ$1006,0))&gt;=100000), " ",IF(INDEX($AO$2:$BQ$1001,MATCH(ROWS($AH$2:AH580),$AH$2:$AH$1001,0),MATCH(COLUMNS($AO$1006:BK1006),$AO$1006:$BQ$1006,0)), HYPERLINK("#",""), HYPERLINK(CONCATENATE("#Metadata!", ADDRESS(INDEX($AJ$2:$AJ$1001,MATCH(ROWS($AH$2:AH580),$AH$2:$AH$1001,0),0), INDEX($AO$1004:$BQ$1004,1,MATCH(COLUMNS($AO$1006:BK1006),$AO$1006:$BQ$1006,0)))),"Fix")))</f>
        <v>#N/A</v>
      </c>
      <c r="Y580" s="5" t="e">
        <f ca="1">IF(OR(INDEX($AI$2:$AI$1001,MATCH(ROWS($AH$2:AH580),$AH$2:$AH$1001,0),1)&gt;=100000,INDEX($AO$1005:$BQ$1005,1,MATCH(COLUMNS($AO$1006:BL1006),$AO$1006:$BQ$1006,0))&gt;=100000), " ",IF(INDEX($AO$2:$BQ$1001,MATCH(ROWS($AH$2:AH580),$AH$2:$AH$1001,0),MATCH(COLUMNS($AO$1006:BL1006),$AO$1006:$BQ$1006,0)), HYPERLINK("#",""), HYPERLINK(CONCATENATE("#Metadata!", ADDRESS(INDEX($AJ$2:$AJ$1001,MATCH(ROWS($AH$2:AH580),$AH$2:$AH$1001,0),0), INDEX($AO$1004:$BQ$1004,1,MATCH(COLUMNS($AO$1006:BL1006),$AO$1006:$BQ$1006,0)))),"Fix")))</f>
        <v>#N/A</v>
      </c>
      <c r="Z580" s="5" t="e">
        <f ca="1">IF(OR(INDEX($AI$2:$AI$1001,MATCH(ROWS($AH$2:AH580),$AH$2:$AH$1001,0),1)&gt;=100000,INDEX($AO$1005:$BQ$1005,1,MATCH(COLUMNS($AO$1006:BM1006),$AO$1006:$BQ$1006,0))&gt;=100000), " ",IF(INDEX($AO$2:$BQ$1001,MATCH(ROWS($AH$2:AH580),$AH$2:$AH$1001,0),MATCH(COLUMNS($AO$1006:BM1006),$AO$1006:$BQ$1006,0)), HYPERLINK("#",""), HYPERLINK(CONCATENATE("#Metadata!", ADDRESS(INDEX($AJ$2:$AJ$1001,MATCH(ROWS($AH$2:AH580),$AH$2:$AH$1001,0),0), INDEX($AO$1004:$BQ$1004,1,MATCH(COLUMNS($AO$1006:BM1006),$AO$1006:$BQ$1006,0)))),"Fix")))</f>
        <v>#N/A</v>
      </c>
      <c r="AA580" s="5" t="e">
        <f ca="1">IF(OR(INDEX($AI$2:$AI$1001,MATCH(ROWS($AH$2:AH580),$AH$2:$AH$1001,0),1)&gt;=100000,INDEX($AO$1005:$BQ$1005,1,MATCH(COLUMNS($AO$1006:BN1006),$AO$1006:$BQ$1006,0))&gt;=100000), " ",IF(INDEX($AO$2:$BQ$1001,MATCH(ROWS($AH$2:AH580),$AH$2:$AH$1001,0),MATCH(COLUMNS($AO$1006:BN1006),$AO$1006:$BQ$1006,0)), HYPERLINK("#",""), HYPERLINK(CONCATENATE("#Metadata!", ADDRESS(INDEX($AJ$2:$AJ$1001,MATCH(ROWS($AH$2:AH580),$AH$2:$AH$1001,0),0), INDEX($AO$1004:$BQ$1004,1,MATCH(COLUMNS($AO$1006:BN1006),$AO$1006:$BQ$1006,0)))),"Fix")))</f>
        <v>#N/A</v>
      </c>
      <c r="AB580" s="5" t="e">
        <f ca="1">IF(OR(INDEX($AI$2:$AI$1001,MATCH(ROWS($AH$2:AH580),$AH$2:$AH$1001,0),1)&gt;=100000,INDEX($AO$1005:$BQ$1005,1,MATCH(COLUMNS($AO$1006:BO1006),$AO$1006:$BQ$1006,0))&gt;=100000), " ",IF(INDEX($AO$2:$BQ$1001,MATCH(ROWS($AH$2:AH580),$AH$2:$AH$1001,0),MATCH(COLUMNS($AO$1006:BO1006),$AO$1006:$BQ$1006,0)), HYPERLINK("#",""), HYPERLINK(CONCATENATE("#Metadata!", ADDRESS(INDEX($AJ$2:$AJ$1001,MATCH(ROWS($AH$2:AH580),$AH$2:$AH$1001,0),0), INDEX($AO$1004:$BQ$1004,1,MATCH(COLUMNS($AO$1006:BO1006),$AO$1006:$BQ$1006,0)))),"Fix")))</f>
        <v>#N/A</v>
      </c>
      <c r="AC580" s="5" t="e">
        <f ca="1">IF(OR(INDEX($AI$2:$AI$1001,MATCH(ROWS($AH$2:AH580),$AH$2:$AH$1001,0),1)&gt;=100000,INDEX($AO$1005:$BQ$1005,1,MATCH(COLUMNS($AO$1006:BP1006),$AO$1006:$BQ$1006,0))&gt;=100000), " ",IF(INDEX($AO$2:$BQ$1001,MATCH(ROWS($AH$2:AH580),$AH$2:$AH$1001,0),MATCH(COLUMNS($AO$1006:BP1006),$AO$1006:$BQ$1006,0)), HYPERLINK("#",""), HYPERLINK(CONCATENATE("#Metadata!", ADDRESS(INDEX($AJ$2:$AJ$1001,MATCH(ROWS($AH$2:AH580),$AH$2:$AH$1001,0),0), INDEX($AO$1004:$BQ$1004,1,MATCH(COLUMNS($AO$1006:BP1006),$AO$1006:$BQ$1006,0)))),"Fix")))</f>
        <v>#N/A</v>
      </c>
      <c r="AD580" s="5" t="e">
        <f ca="1">IF(OR(INDEX($AI$2:$AI$1001,MATCH(ROWS($AH$2:AH580),$AH$2:$AH$1001,0),1)&gt;=100000,INDEX($AO$1005:$BQ$1005,1,MATCH(COLUMNS($AO$1006:BQ1006),$AO$1006:$BQ$1006,0))&gt;=100000), " ",IF(INDEX($AO$2:$BQ$1001,MATCH(ROWS($AH$2:AH580),$AH$2:$AH$1001,0),MATCH(COLUMNS($AO$1006:BQ1006),$AO$1006:$BQ$1006,0)), HYPERLINK("#",""), HYPERLINK(CONCATENATE("#Metadata!", ADDRESS(INDEX($AJ$2:$AJ$1001,MATCH(ROWS($AH$2:AH580),$AH$2:$AH$1001,0),0), INDEX($AO$1004:$BQ$1004,1,MATCH(COLUMNS($AO$1006:BQ1006),$AO$1006:$BQ$1006,0)))),"Fix")))</f>
        <v>#REF!</v>
      </c>
      <c r="AH580">
        <f ca="1"/>
        <v>577</v>
      </c>
      <c r="AI580">
        <v>100580</v>
      </c>
      <c r="AJ580">
        <v>580</v>
      </c>
      <c r="AK580" t="b">
        <f t="shared" si="9"/>
        <v>1</v>
      </c>
      <c r="AL580" t="b">
        <f>COUNTBLANK(Metadata!B580:AD580)=COLUMNS(Metadata!B580:AD580)</f>
        <v>1</v>
      </c>
      <c r="AM580" t="str">
        <v/>
      </c>
      <c r="AO580" t="b">
        <f ca="1">AND(IF(Metadata!B580="",FALSE,TRUE),COUNTIF(Metadata!B:B, Metadata!B580) = 1,NOT(ISERROR(SUMPRODUCT(SEARCH(MID(Metadata!B580,ROW(INDIRECT("1:"&amp;LEN(Metadata!B580))), 1),"0123456789abcdefghijklmnopqrstuvwxyzABCDEFGHIJKLMNOPQRSTUVWXYZ.")))))</f>
        <v>0</v>
      </c>
      <c r="AP580" t="b">
        <f>IF(Metadata!C580="",FALSE,TRUE)</f>
        <v>0</v>
      </c>
      <c r="AQ580" t="b">
        <f>IF(Metadata!D580="",FALSE,TRUE)</f>
        <v>0</v>
      </c>
      <c r="AR580" t="b">
        <f ca="1">OR(AND(IF(Metadata!E580="",FALSE,TRUE),OR(EXACT(Metadata!E580,"not collected"),EXACT(Metadata!E580,"not provided"),EXACT(Metadata!E580,"restricted access"))),AND(IF(Metadata!E580="",FALSE,TRUE),AND(AND(IFERROR(INT(LEFT(Metadata!E580,4))&gt;1900,FALSE),IFERROR(INT(LEFT(Metadata!E580,4))&lt;=YEAR(NOW()),FALSE)), OR(MID(Metadata!E580,5,1)="", AND(AND(MID(Metadata!E580,5,1)="-",IFERROR(INT(MID(Metadata!E580,6,1))&gt;=0,FALSE),IFERROR(INT(MID(Metadata!E580,6,1))&lt;=1,FALSE),NOT(MID(Metadata!E580,7,1)=""),IFERROR(INT(MID(Metadata!E580,6,2))&gt;=1,FALSE),IFERROR(INT(MID(Metadata!E580,6,2))&lt;=12,FALSE)), OR(MID(Metadata!E580,8,1)="", AND(AND(MID(Metadata!E580,8,1)="-",IFERROR(INT(MID(Metadata!E580,9,1))&gt;=0,FALSE),IFERROR(INT(MID(Metadata!E580,9,1))&lt;=3,FALSE),NOT(MID(Metadata!E580,10,1)=""),IFERROR(INT(MID(Metadata!E580,9,2))&gt;=1,FALSE),IFERROR(INT(MID(Metadata!E580,9,2))&lt;=31,FALSE)), OR(MID(Metadata!E580,11,1)="", AND(AND(MID(Metadata!E580,11,1)=" ",IFERROR(INT(MID(Metadata!E580,12,1))&gt;=0,FALSE),IFERROR(INT(MID(Metadata!E580,12,1))&lt;=2,FALSE),NOT(MID(Metadata!E580,13,1)=""),IFERROR(INT(MID(Metadata!E580,12,2))&gt;=0,FALSE),IFERROR(INT(MID(Metadata!E580,12,2))&lt;=23,FALSE)), OR(MID(Metadata!E580,14,1)="", AND(AND(MID(Metadata!E580,14,1)=":",IFERROR(INT(MID(Metadata!E580,15,1))&gt;=0,FALSE),IFERROR(INT(MID(Metadata!E580,15,1))&lt;=5,FALSE),NOT(MID(Metadata!E580,16,1)=""),IFERROR(INT(MID(Metadata!E580,15,2))&gt;=0,FALSE),IFERROR(INT(MID(Metadata!E580,15,2))&lt;=59,FALSE)), OR(MID(Metadata!E580,17,1)="", AND(AND(MID(Metadata!E580,17,1)=":",IFERROR(INT(MID(Metadata!E580,18,1))&gt;=0,FALSE),IFERROR(INT(MID(Metadata!E580,18,1))&lt;=5,FALSE),NOT(MID(Metadata!E580,19,1)=""),IFERROR(INT(MID(Metadata!E580,18,2))&gt;=0,FALSE),IFERROR(INT(MID(Metadata!E580,18,2))&lt;=59,FALSE)), LEN(Metadata!E580)&lt;=19)))))))))))))</f>
        <v>0</v>
      </c>
      <c r="AS580" t="b">
        <f>IF(Metadata!F580="",FALSE,TRUE)</f>
        <v>0</v>
      </c>
      <c r="AT580" t="b">
        <f>OR(AND(IF(Metadata!G580="",FALSE,TRUE),OR(EXACT(Metadata!G580,"not collected"),EXACT(Metadata!G580,"not provided"))),AND(IF(Metadata!G580="",FALSE,TRUE),OR(EXACT(Metadata!G580,"TRUE"),EXACT(Metadata!G580,"FALSE"))))</f>
        <v>0</v>
      </c>
      <c r="AU580" t="b">
        <f>OR(AND(IF(Metadata!H580="",FALSE,TRUE),OR(EXACT(Metadata!H580,"not collected"),EXACT(Metadata!H580,"not provided"),EXACT(Metadata!H580,"restricted access"))),AND(IF(Metadata!H580="",FALSE,ISNUMBER(VALUE(Metadata!H580))),Metadata!H580&gt;=-413))</f>
        <v>0</v>
      </c>
      <c r="AV580" t="b">
        <f>AND(IF(Metadata!I580="",FALSE,TRUE),EXACT(Metadata!I580,"meters"))</f>
        <v>0</v>
      </c>
      <c r="AW580" t="b">
        <f>AND(IF(Metadata!J580="",FALSE,TRUE),EXACT(Metadata!J580,"free-living"))</f>
        <v>0</v>
      </c>
      <c r="AX580" t="b">
        <f>AND(IF(Metadata!K580="",FALSE,TRUE),OR(EXACT(Metadata!K580,"saline"),EXACT(Metadata!K580,"non-saline")))</f>
        <v>0</v>
      </c>
      <c r="AY580" t="b">
        <f>AND(IF(Metadata!L580="",FALSE,TRUE),OR(EXACT(Metadata!L580,"sub-surface (non-saline)"),EXACT(Metadata!L580,"surface (non-saline)"),EXACT(Metadata!L580,"water (non-saline)"),EXACT(Metadata!L580,"soil (non-saline)"),EXACT(Metadata!L580,"aerosol (non-saline)"),EXACT(Metadata!L580,"sediment (non-saline)"),EXACT(Metadata!L580,"surface (saline)"),EXACT(Metadata!L580,"water (saline)"),EXACT(Metadata!L580,"hypersaline (saline)"),EXACT(Metadata!L580,"aerosol (saline)"),EXACT(Metadata!L580,"sediment (saline)")))</f>
        <v>0</v>
      </c>
      <c r="AZ580" t="b">
        <f>IF(Metadata!M580="",FALSE,TRUE)</f>
        <v>0</v>
      </c>
      <c r="BA580" t="b">
        <f>IF(Metadata!N580="",FALSE,TRUE)</f>
        <v>0</v>
      </c>
      <c r="BB580" t="b">
        <f>IF(Metadata!O580="",FALSE,TRUE)</f>
        <v>0</v>
      </c>
      <c r="BC580" t="b">
        <f>AND(IF(Metadata!P580="",FALSE,TRUE),OR(EXACT(Metadata!P580,"air"),EXACT(Metadata!P580,"microbial mat/biofilm"),EXACT(Metadata!P580,"misc environment"),EXACT(Metadata!P580,"sediment"),EXACT(Metadata!P580,"soil"),EXACT(Metadata!P580,"wastewater/sludge"),EXACT(Metadata!P580,"water")))</f>
        <v>0</v>
      </c>
      <c r="BD580" t="b">
        <f>IF(Metadata!Q580="",FALSE,TRUE)</f>
        <v>0</v>
      </c>
      <c r="BE580" t="b">
        <f>IF(Metadata!R580="",FALSE,TRUE)</f>
        <v>0</v>
      </c>
      <c r="BF580" t="b">
        <f>OR(AND(IF(Metadata!S580="",FALSE,TRUE),OR(EXACT(Metadata!S580,"not collected"),EXACT(Metadata!S580,"not provided"),EXACT(Metadata!S580,"restricted access"))),AND(IF(Metadata!S580="",FALSE,ISNUMBER(VALUE(Metadata!S580))),Metadata!S580&gt;=-90,Metadata!S580&lt;=90))</f>
        <v>0</v>
      </c>
      <c r="BG580" t="b">
        <f>AND(IF(Metadata!T580="",FALSE,TRUE),EXACT(Metadata!T580,"Decimal degrees"))</f>
        <v>0</v>
      </c>
      <c r="BH580" t="b">
        <f>OR(AND(IF(Metadata!U580="",FALSE,TRUE),OR(EXACT(Metadata!U580,"not applicable"),EXACT(Metadata!U580,"not collected"))),IF(Metadata!U580="",FALSE,TRUE))</f>
        <v>0</v>
      </c>
      <c r="BI580" t="b">
        <f>OR(AND(IF(Metadata!V580="",FALSE,TRUE),OR(EXACT(Metadata!V580,"not collected"),EXACT(Metadata!V580,"not provided"),EXACT(Metadata!V580,"restricted access"))),AND(IF(Metadata!V580="",FALSE,ISNUMBER(VALUE(Metadata!V580))),Metadata!V580&gt;=-180,Metadata!V580&lt;=180))</f>
        <v>0</v>
      </c>
      <c r="BJ580" t="b">
        <f>AND(IF(Metadata!W580="",FALSE,TRUE),EXACT(Metadata!W580,"Decimal degrees"))</f>
        <v>0</v>
      </c>
      <c r="BK580" t="b">
        <f>IF(Metadata!X580="",FALSE,TRUE)</f>
        <v>0</v>
      </c>
      <c r="BL580" t="b">
        <f>OR(AND(IF(Metadata!Y580="",FALSE,TRUE),OR(EXACT(Metadata!Y580,"not collected"),EXACT(Metadata!Y580,"not provided"),EXACT(Metadata!Y580,"restricted access"))),AND(IF(Metadata!Y580="",FALSE,TRUE),OR(EXACT(Metadata!Y580,"TRUE"),EXACT(Metadata!Y580,"FALSE"))))</f>
        <v>0</v>
      </c>
      <c r="BM580" t="b">
        <f>OR(AND(IF(Metadata!Z580="",FALSE,TRUE),EXACT(Metadata!Z580,"not applicable")),AND(IF(Metadata!Z580="",FALSE,TRUE),OR(EXACT(Metadata!Z580,"beer"),EXACT(Metadata!Z580,"cheese"),EXACT(Metadata!Z580,"fresh water"),EXACT(Metadata!Z580,"marine sediment"),EXACT(Metadata!Z580,"sea water"),EXACT(Metadata!Z580,"sediment"),EXACT(Metadata!Z580,"soil"),EXACT(Metadata!Z580,"waste water"))))</f>
        <v>0</v>
      </c>
      <c r="BN580" t="b">
        <f>AND(IF(Metadata!AA580="",FALSE,TRUE),EXACT(Metadata!AA580,"metagenome"))</f>
        <v>0</v>
      </c>
      <c r="BO580" t="b">
        <f>AND(IF(Metadata!AB580="",FALSE,TRUE),EXACT(Metadata!AB580,"256318"))</f>
        <v>0</v>
      </c>
      <c r="BP580" t="b">
        <f>IF(Metadata!AC580="",FALSE,TRUE)</f>
        <v>0</v>
      </c>
      <c r="BQ580" t="b">
        <f>IF(Metadata!AD580="",FALSE,TRUE)</f>
        <v>0</v>
      </c>
    </row>
    <row r="581" spans="1:69" x14ac:dyDescent="0.2">
      <c r="A581" s="4" t="e">
        <f ca="1">IF(B581=" "," ",HYPERLINK(CONCATENATE("#metadata!",ADDRESS(INDEX($AJ$2:$AJ$1001,MATCH(ROWS($AH$2:AH581),$AH$2:$AH$1001,0),0),2)),INDEX($AM$2:$AM$1001,MATCH(ROWS($AH$2:AH581),$AH$2:$AH$1001,0),0)))</f>
        <v>#N/A</v>
      </c>
      <c r="B581" s="5" t="e">
        <f ca="1">IF(OR(INDEX($AI$2:$AI$1001,MATCH(ROWS($AH$2:AH581),$AH$2:$AH$1001,0),1)&gt;=100000,INDEX($AO$1005:$BQ$1005,1,MATCH(COLUMNS($AO$1006:AO1006),$AO$1006:$BQ$1006,0))&gt;=100000), " ",IF(INDEX($AO$2:$BQ$1001,MATCH(ROWS($AH$2:AH581),$AH$2:$AH$1001,0),MATCH(COLUMNS($AO$1006:AO1006),$AO$1006:$BQ$1006,0)), HYPERLINK("#",""), HYPERLINK(CONCATENATE("#Metadata!", ADDRESS(INDEX($AJ$2:$AJ$1001,MATCH(ROWS($AH$2:AH581),$AH$2:$AH$1001,0),0), INDEX($AO$1004:$BQ$1004,1,MATCH(COLUMNS($AO$1006:AO1006),$AO$1006:$BQ$1006,0)))),"Fix")))</f>
        <v>#N/A</v>
      </c>
      <c r="C581" s="5" t="e">
        <f ca="1">IF(OR(INDEX($AI$2:$AI$1001,MATCH(ROWS($AH$2:AH581),$AH$2:$AH$1001,0),1)&gt;=100000,INDEX($AO$1005:$BQ$1005,1,MATCH(COLUMNS($AO$1006:AP1006),$AO$1006:$BQ$1006,0))&gt;=100000), " ",IF(INDEX($AO$2:$BQ$1001,MATCH(ROWS($AH$2:AH581),$AH$2:$AH$1001,0),MATCH(COLUMNS($AO$1006:AP1006),$AO$1006:$BQ$1006,0)), HYPERLINK("#",""), HYPERLINK(CONCATENATE("#Metadata!", ADDRESS(INDEX($AJ$2:$AJ$1001,MATCH(ROWS($AH$2:AH581),$AH$2:$AH$1001,0),0), INDEX($AO$1004:$BQ$1004,1,MATCH(COLUMNS($AO$1006:AP1006),$AO$1006:$BQ$1006,0)))),"Fix")))</f>
        <v>#N/A</v>
      </c>
      <c r="D581" s="5" t="e">
        <f ca="1">IF(OR(INDEX($AI$2:$AI$1001,MATCH(ROWS($AH$2:AH581),$AH$2:$AH$1001,0),1)&gt;=100000,INDEX($AO$1005:$BQ$1005,1,MATCH(COLUMNS($AO$1006:AQ1006),$AO$1006:$BQ$1006,0))&gt;=100000), " ",IF(INDEX($AO$2:$BQ$1001,MATCH(ROWS($AH$2:AH581),$AH$2:$AH$1001,0),MATCH(COLUMNS($AO$1006:AQ1006),$AO$1006:$BQ$1006,0)), HYPERLINK("#",""), HYPERLINK(CONCATENATE("#Metadata!", ADDRESS(INDEX($AJ$2:$AJ$1001,MATCH(ROWS($AH$2:AH581),$AH$2:$AH$1001,0),0), INDEX($AO$1004:$BQ$1004,1,MATCH(COLUMNS($AO$1006:AQ1006),$AO$1006:$BQ$1006,0)))),"Fix")))</f>
        <v>#N/A</v>
      </c>
      <c r="E581" s="5" t="e">
        <f ca="1">IF(OR(INDEX($AI$2:$AI$1001,MATCH(ROWS($AH$2:AH581),$AH$2:$AH$1001,0),1)&gt;=100000,INDEX($AO$1005:$BQ$1005,1,MATCH(COLUMNS($AO$1006:AR1006),$AO$1006:$BQ$1006,0))&gt;=100000), " ",IF(INDEX($AO$2:$BQ$1001,MATCH(ROWS($AH$2:AH581),$AH$2:$AH$1001,0),MATCH(COLUMNS($AO$1006:AR1006),$AO$1006:$BQ$1006,0)), HYPERLINK("#",""), HYPERLINK(CONCATENATE("#Metadata!", ADDRESS(INDEX($AJ$2:$AJ$1001,MATCH(ROWS($AH$2:AH581),$AH$2:$AH$1001,0),0), INDEX($AO$1004:$BQ$1004,1,MATCH(COLUMNS($AO$1006:AR1006),$AO$1006:$BQ$1006,0)))),"Fix")))</f>
        <v>#N/A</v>
      </c>
      <c r="F581" s="5" t="e">
        <f ca="1">IF(OR(INDEX($AI$2:$AI$1001,MATCH(ROWS($AH$2:AH581),$AH$2:$AH$1001,0),1)&gt;=100000,INDEX($AO$1005:$BQ$1005,1,MATCH(COLUMNS($AO$1006:AS1006),$AO$1006:$BQ$1006,0))&gt;=100000), " ",IF(INDEX($AO$2:$BQ$1001,MATCH(ROWS($AH$2:AH581),$AH$2:$AH$1001,0),MATCH(COLUMNS($AO$1006:AS1006),$AO$1006:$BQ$1006,0)), HYPERLINK("#",""), HYPERLINK(CONCATENATE("#Metadata!", ADDRESS(INDEX($AJ$2:$AJ$1001,MATCH(ROWS($AH$2:AH581),$AH$2:$AH$1001,0),0), INDEX($AO$1004:$BQ$1004,1,MATCH(COLUMNS($AO$1006:AS1006),$AO$1006:$BQ$1006,0)))),"Fix")))</f>
        <v>#N/A</v>
      </c>
      <c r="G581" s="5" t="e">
        <f ca="1">IF(OR(INDEX($AI$2:$AI$1001,MATCH(ROWS($AH$2:AH581),$AH$2:$AH$1001,0),1)&gt;=100000,INDEX($AO$1005:$BQ$1005,1,MATCH(COLUMNS($AO$1006:AT1006),$AO$1006:$BQ$1006,0))&gt;=100000), " ",IF(INDEX($AO$2:$BQ$1001,MATCH(ROWS($AH$2:AH581),$AH$2:$AH$1001,0),MATCH(COLUMNS($AO$1006:AT1006),$AO$1006:$BQ$1006,0)), HYPERLINK("#",""), HYPERLINK(CONCATENATE("#Metadata!", ADDRESS(INDEX($AJ$2:$AJ$1001,MATCH(ROWS($AH$2:AH581),$AH$2:$AH$1001,0),0), INDEX($AO$1004:$BQ$1004,1,MATCH(COLUMNS($AO$1006:AT1006),$AO$1006:$BQ$1006,0)))),"Fix")))</f>
        <v>#N/A</v>
      </c>
      <c r="H581" s="5" t="e">
        <f ca="1">IF(OR(INDEX($AI$2:$AI$1001,MATCH(ROWS($AH$2:AH581),$AH$2:$AH$1001,0),1)&gt;=100000,INDEX($AO$1005:$BQ$1005,1,MATCH(COLUMNS($AO$1006:AU1006),$AO$1006:$BQ$1006,0))&gt;=100000), " ",IF(INDEX($AO$2:$BQ$1001,MATCH(ROWS($AH$2:AH581),$AH$2:$AH$1001,0),MATCH(COLUMNS($AO$1006:AU1006),$AO$1006:$BQ$1006,0)), HYPERLINK("#",""), HYPERLINK(CONCATENATE("#Metadata!", ADDRESS(INDEX($AJ$2:$AJ$1001,MATCH(ROWS($AH$2:AH581),$AH$2:$AH$1001,0),0), INDEX($AO$1004:$BQ$1004,1,MATCH(COLUMNS($AO$1006:AU1006),$AO$1006:$BQ$1006,0)))),"Fix")))</f>
        <v>#N/A</v>
      </c>
      <c r="I581" s="5" t="e">
        <f ca="1">IF(OR(INDEX($AI$2:$AI$1001,MATCH(ROWS($AH$2:AH581),$AH$2:$AH$1001,0),1)&gt;=100000,INDEX($AO$1005:$BQ$1005,1,MATCH(COLUMNS($AO$1006:AV1006),$AO$1006:$BQ$1006,0))&gt;=100000), " ",IF(INDEX($AO$2:$BQ$1001,MATCH(ROWS($AH$2:AH581),$AH$2:$AH$1001,0),MATCH(COLUMNS($AO$1006:AV1006),$AO$1006:$BQ$1006,0)), HYPERLINK("#",""), HYPERLINK(CONCATENATE("#Metadata!", ADDRESS(INDEX($AJ$2:$AJ$1001,MATCH(ROWS($AH$2:AH581),$AH$2:$AH$1001,0),0), INDEX($AO$1004:$BQ$1004,1,MATCH(COLUMNS($AO$1006:AV1006),$AO$1006:$BQ$1006,0)))),"Fix")))</f>
        <v>#N/A</v>
      </c>
      <c r="J581" s="5" t="e">
        <f ca="1">IF(OR(INDEX($AI$2:$AI$1001,MATCH(ROWS($AH$2:AH581),$AH$2:$AH$1001,0),1)&gt;=100000,INDEX($AO$1005:$BQ$1005,1,MATCH(COLUMNS($AO$1006:AW1006),$AO$1006:$BQ$1006,0))&gt;=100000), " ",IF(INDEX($AO$2:$BQ$1001,MATCH(ROWS($AH$2:AH581),$AH$2:$AH$1001,0),MATCH(COLUMNS($AO$1006:AW1006),$AO$1006:$BQ$1006,0)), HYPERLINK("#",""), HYPERLINK(CONCATENATE("#Metadata!", ADDRESS(INDEX($AJ$2:$AJ$1001,MATCH(ROWS($AH$2:AH581),$AH$2:$AH$1001,0),0), INDEX($AO$1004:$BQ$1004,1,MATCH(COLUMNS($AO$1006:AW1006),$AO$1006:$BQ$1006,0)))),"Fix")))</f>
        <v>#N/A</v>
      </c>
      <c r="K581" s="5" t="e">
        <f ca="1">IF(OR(INDEX($AI$2:$AI$1001,MATCH(ROWS($AH$2:AH581),$AH$2:$AH$1001,0),1)&gt;=100000,INDEX($AO$1005:$BQ$1005,1,MATCH(COLUMNS($AO$1006:AX1006),$AO$1006:$BQ$1006,0))&gt;=100000), " ",IF(INDEX($AO$2:$BQ$1001,MATCH(ROWS($AH$2:AH581),$AH$2:$AH$1001,0),MATCH(COLUMNS($AO$1006:AX1006),$AO$1006:$BQ$1006,0)), HYPERLINK("#",""), HYPERLINK(CONCATENATE("#Metadata!", ADDRESS(INDEX($AJ$2:$AJ$1001,MATCH(ROWS($AH$2:AH581),$AH$2:$AH$1001,0),0), INDEX($AO$1004:$BQ$1004,1,MATCH(COLUMNS($AO$1006:AX1006),$AO$1006:$BQ$1006,0)))),"Fix")))</f>
        <v>#N/A</v>
      </c>
      <c r="L581" s="5" t="e">
        <f ca="1">IF(OR(INDEX($AI$2:$AI$1001,MATCH(ROWS($AH$2:AH581),$AH$2:$AH$1001,0),1)&gt;=100000,INDEX($AO$1005:$BQ$1005,1,MATCH(COLUMNS($AO$1006:AY1006),$AO$1006:$BQ$1006,0))&gt;=100000), " ",IF(INDEX($AO$2:$BQ$1001,MATCH(ROWS($AH$2:AH581),$AH$2:$AH$1001,0),MATCH(COLUMNS($AO$1006:AY1006),$AO$1006:$BQ$1006,0)), HYPERLINK("#",""), HYPERLINK(CONCATENATE("#Metadata!", ADDRESS(INDEX($AJ$2:$AJ$1001,MATCH(ROWS($AH$2:AH581),$AH$2:$AH$1001,0),0), INDEX($AO$1004:$BQ$1004,1,MATCH(COLUMNS($AO$1006:AY1006),$AO$1006:$BQ$1006,0)))),"Fix")))</f>
        <v>#N/A</v>
      </c>
      <c r="M581" s="5" t="e">
        <f ca="1">IF(OR(INDEX($AI$2:$AI$1001,MATCH(ROWS($AH$2:AH581),$AH$2:$AH$1001,0),1)&gt;=100000,INDEX($AO$1005:$BQ$1005,1,MATCH(COLUMNS($AO$1006:AZ1006),$AO$1006:$BQ$1006,0))&gt;=100000), " ",IF(INDEX($AO$2:$BQ$1001,MATCH(ROWS($AH$2:AH581),$AH$2:$AH$1001,0),MATCH(COLUMNS($AO$1006:AZ1006),$AO$1006:$BQ$1006,0)), HYPERLINK("#",""), HYPERLINK(CONCATENATE("#Metadata!", ADDRESS(INDEX($AJ$2:$AJ$1001,MATCH(ROWS($AH$2:AH581),$AH$2:$AH$1001,0),0), INDEX($AO$1004:$BQ$1004,1,MATCH(COLUMNS($AO$1006:AZ1006),$AO$1006:$BQ$1006,0)))),"Fix")))</f>
        <v>#N/A</v>
      </c>
      <c r="N581" s="5" t="e">
        <f ca="1">IF(OR(INDEX($AI$2:$AI$1001,MATCH(ROWS($AH$2:AH581),$AH$2:$AH$1001,0),1)&gt;=100000,INDEX($AO$1005:$BQ$1005,1,MATCH(COLUMNS($AO$1006:BA1006),$AO$1006:$BQ$1006,0))&gt;=100000), " ",IF(INDEX($AO$2:$BQ$1001,MATCH(ROWS($AH$2:AH581),$AH$2:$AH$1001,0),MATCH(COLUMNS($AO$1006:BA1006),$AO$1006:$BQ$1006,0)), HYPERLINK("#",""), HYPERLINK(CONCATENATE("#Metadata!", ADDRESS(INDEX($AJ$2:$AJ$1001,MATCH(ROWS($AH$2:AH581),$AH$2:$AH$1001,0),0), INDEX($AO$1004:$BQ$1004,1,MATCH(COLUMNS($AO$1006:BA1006),$AO$1006:$BQ$1006,0)))),"Fix")))</f>
        <v>#N/A</v>
      </c>
      <c r="O581" s="5" t="e">
        <f ca="1">IF(OR(INDEX($AI$2:$AI$1001,MATCH(ROWS($AH$2:AH581),$AH$2:$AH$1001,0),1)&gt;=100000,INDEX($AO$1005:$BQ$1005,1,MATCH(COLUMNS($AO$1006:BB1006),$AO$1006:$BQ$1006,0))&gt;=100000), " ",IF(INDEX($AO$2:$BQ$1001,MATCH(ROWS($AH$2:AH581),$AH$2:$AH$1001,0),MATCH(COLUMNS($AO$1006:BB1006),$AO$1006:$BQ$1006,0)), HYPERLINK("#",""), HYPERLINK(CONCATENATE("#Metadata!", ADDRESS(INDEX($AJ$2:$AJ$1001,MATCH(ROWS($AH$2:AH581),$AH$2:$AH$1001,0),0), INDEX($AO$1004:$BQ$1004,1,MATCH(COLUMNS($AO$1006:BB1006),$AO$1006:$BQ$1006,0)))),"Fix")))</f>
        <v>#N/A</v>
      </c>
      <c r="P581" s="5" t="e">
        <f ca="1">IF(OR(INDEX($AI$2:$AI$1001,MATCH(ROWS($AH$2:AH581),$AH$2:$AH$1001,0),1)&gt;=100000,INDEX($AO$1005:$BQ$1005,1,MATCH(COLUMNS($AO$1006:BC1006),$AO$1006:$BQ$1006,0))&gt;=100000), " ",IF(INDEX($AO$2:$BQ$1001,MATCH(ROWS($AH$2:AH581),$AH$2:$AH$1001,0),MATCH(COLUMNS($AO$1006:BC1006),$AO$1006:$BQ$1006,0)), HYPERLINK("#",""), HYPERLINK(CONCATENATE("#Metadata!", ADDRESS(INDEX($AJ$2:$AJ$1001,MATCH(ROWS($AH$2:AH581),$AH$2:$AH$1001,0),0), INDEX($AO$1004:$BQ$1004,1,MATCH(COLUMNS($AO$1006:BC1006),$AO$1006:$BQ$1006,0)))),"Fix")))</f>
        <v>#N/A</v>
      </c>
      <c r="Q581" s="5" t="e">
        <f ca="1">IF(OR(INDEX($AI$2:$AI$1001,MATCH(ROWS($AH$2:AH581),$AH$2:$AH$1001,0),1)&gt;=100000,INDEX($AO$1005:$BQ$1005,1,MATCH(COLUMNS($AO$1006:BD1006),$AO$1006:$BQ$1006,0))&gt;=100000), " ",IF(INDEX($AO$2:$BQ$1001,MATCH(ROWS($AH$2:AH581),$AH$2:$AH$1001,0),MATCH(COLUMNS($AO$1006:BD1006),$AO$1006:$BQ$1006,0)), HYPERLINK("#",""), HYPERLINK(CONCATENATE("#Metadata!", ADDRESS(INDEX($AJ$2:$AJ$1001,MATCH(ROWS($AH$2:AH581),$AH$2:$AH$1001,0),0), INDEX($AO$1004:$BQ$1004,1,MATCH(COLUMNS($AO$1006:BD1006),$AO$1006:$BQ$1006,0)))),"Fix")))</f>
        <v>#N/A</v>
      </c>
      <c r="R581" s="5" t="e">
        <f ca="1">IF(OR(INDEX($AI$2:$AI$1001,MATCH(ROWS($AH$2:AH581),$AH$2:$AH$1001,0),1)&gt;=100000,INDEX($AO$1005:$BQ$1005,1,MATCH(COLUMNS($AO$1006:BE1006),$AO$1006:$BQ$1006,0))&gt;=100000), " ",IF(INDEX($AO$2:$BQ$1001,MATCH(ROWS($AH$2:AH581),$AH$2:$AH$1001,0),MATCH(COLUMNS($AO$1006:BE1006),$AO$1006:$BQ$1006,0)), HYPERLINK("#",""), HYPERLINK(CONCATENATE("#Metadata!", ADDRESS(INDEX($AJ$2:$AJ$1001,MATCH(ROWS($AH$2:AH581),$AH$2:$AH$1001,0),0), INDEX($AO$1004:$BQ$1004,1,MATCH(COLUMNS($AO$1006:BE1006),$AO$1006:$BQ$1006,0)))),"Fix")))</f>
        <v>#N/A</v>
      </c>
      <c r="S581" s="5" t="e">
        <f ca="1">IF(OR(INDEX($AI$2:$AI$1001,MATCH(ROWS($AH$2:AH581),$AH$2:$AH$1001,0),1)&gt;=100000,INDEX($AO$1005:$BQ$1005,1,MATCH(COLUMNS($AO$1006:BF1006),$AO$1006:$BQ$1006,0))&gt;=100000), " ",IF(INDEX($AO$2:$BQ$1001,MATCH(ROWS($AH$2:AH581),$AH$2:$AH$1001,0),MATCH(COLUMNS($AO$1006:BF1006),$AO$1006:$BQ$1006,0)), HYPERLINK("#",""), HYPERLINK(CONCATENATE("#Metadata!", ADDRESS(INDEX($AJ$2:$AJ$1001,MATCH(ROWS($AH$2:AH581),$AH$2:$AH$1001,0),0), INDEX($AO$1004:$BQ$1004,1,MATCH(COLUMNS($AO$1006:BF1006),$AO$1006:$BQ$1006,0)))),"Fix")))</f>
        <v>#N/A</v>
      </c>
      <c r="T581" s="5" t="e">
        <f ca="1">IF(OR(INDEX($AI$2:$AI$1001,MATCH(ROWS($AH$2:AH581),$AH$2:$AH$1001,0),1)&gt;=100000,INDEX($AO$1005:$BQ$1005,1,MATCH(COLUMNS($AO$1006:BG1006),$AO$1006:$BQ$1006,0))&gt;=100000), " ",IF(INDEX($AO$2:$BQ$1001,MATCH(ROWS($AH$2:AH581),$AH$2:$AH$1001,0),MATCH(COLUMNS($AO$1006:BG1006),$AO$1006:$BQ$1006,0)), HYPERLINK("#",""), HYPERLINK(CONCATENATE("#Metadata!", ADDRESS(INDEX($AJ$2:$AJ$1001,MATCH(ROWS($AH$2:AH581),$AH$2:$AH$1001,0),0), INDEX($AO$1004:$BQ$1004,1,MATCH(COLUMNS($AO$1006:BG1006),$AO$1006:$BQ$1006,0)))),"Fix")))</f>
        <v>#N/A</v>
      </c>
      <c r="U581" s="5" t="e">
        <f ca="1">IF(OR(INDEX($AI$2:$AI$1001,MATCH(ROWS($AH$2:AH581),$AH$2:$AH$1001,0),1)&gt;=100000,INDEX($AO$1005:$BQ$1005,1,MATCH(COLUMNS($AO$1006:BH1006),$AO$1006:$BQ$1006,0))&gt;=100000), " ",IF(INDEX($AO$2:$BQ$1001,MATCH(ROWS($AH$2:AH581),$AH$2:$AH$1001,0),MATCH(COLUMNS($AO$1006:BH1006),$AO$1006:$BQ$1006,0)), HYPERLINK("#",""), HYPERLINK(CONCATENATE("#Metadata!", ADDRESS(INDEX($AJ$2:$AJ$1001,MATCH(ROWS($AH$2:AH581),$AH$2:$AH$1001,0),0), INDEX($AO$1004:$BQ$1004,1,MATCH(COLUMNS($AO$1006:BH1006),$AO$1006:$BQ$1006,0)))),"Fix")))</f>
        <v>#N/A</v>
      </c>
      <c r="V581" s="5" t="e">
        <f ca="1">IF(OR(INDEX($AI$2:$AI$1001,MATCH(ROWS($AH$2:AH581),$AH$2:$AH$1001,0),1)&gt;=100000,INDEX($AO$1005:$BQ$1005,1,MATCH(COLUMNS($AO$1006:BI1006),$AO$1006:$BQ$1006,0))&gt;=100000), " ",IF(INDEX($AO$2:$BQ$1001,MATCH(ROWS($AH$2:AH581),$AH$2:$AH$1001,0),MATCH(COLUMNS($AO$1006:BI1006),$AO$1006:$BQ$1006,0)), HYPERLINK("#",""), HYPERLINK(CONCATENATE("#Metadata!", ADDRESS(INDEX($AJ$2:$AJ$1001,MATCH(ROWS($AH$2:AH581),$AH$2:$AH$1001,0),0), INDEX($AO$1004:$BQ$1004,1,MATCH(COLUMNS($AO$1006:BI1006),$AO$1006:$BQ$1006,0)))),"Fix")))</f>
        <v>#N/A</v>
      </c>
      <c r="W581" s="5" t="e">
        <f ca="1">IF(OR(INDEX($AI$2:$AI$1001,MATCH(ROWS($AH$2:AH581),$AH$2:$AH$1001,0),1)&gt;=100000,INDEX($AO$1005:$BQ$1005,1,MATCH(COLUMNS($AO$1006:BJ1006),$AO$1006:$BQ$1006,0))&gt;=100000), " ",IF(INDEX($AO$2:$BQ$1001,MATCH(ROWS($AH$2:AH581),$AH$2:$AH$1001,0),MATCH(COLUMNS($AO$1006:BJ1006),$AO$1006:$BQ$1006,0)), HYPERLINK("#",""), HYPERLINK(CONCATENATE("#Metadata!", ADDRESS(INDEX($AJ$2:$AJ$1001,MATCH(ROWS($AH$2:AH581),$AH$2:$AH$1001,0),0), INDEX($AO$1004:$BQ$1004,1,MATCH(COLUMNS($AO$1006:BJ1006),$AO$1006:$BQ$1006,0)))),"Fix")))</f>
        <v>#N/A</v>
      </c>
      <c r="X581" s="5" t="e">
        <f ca="1">IF(OR(INDEX($AI$2:$AI$1001,MATCH(ROWS($AH$2:AH581),$AH$2:$AH$1001,0),1)&gt;=100000,INDEX($AO$1005:$BQ$1005,1,MATCH(COLUMNS($AO$1006:BK1006),$AO$1006:$BQ$1006,0))&gt;=100000), " ",IF(INDEX($AO$2:$BQ$1001,MATCH(ROWS($AH$2:AH581),$AH$2:$AH$1001,0),MATCH(COLUMNS($AO$1006:BK1006),$AO$1006:$BQ$1006,0)), HYPERLINK("#",""), HYPERLINK(CONCATENATE("#Metadata!", ADDRESS(INDEX($AJ$2:$AJ$1001,MATCH(ROWS($AH$2:AH581),$AH$2:$AH$1001,0),0), INDEX($AO$1004:$BQ$1004,1,MATCH(COLUMNS($AO$1006:BK1006),$AO$1006:$BQ$1006,0)))),"Fix")))</f>
        <v>#N/A</v>
      </c>
      <c r="Y581" s="5" t="e">
        <f ca="1">IF(OR(INDEX($AI$2:$AI$1001,MATCH(ROWS($AH$2:AH581),$AH$2:$AH$1001,0),1)&gt;=100000,INDEX($AO$1005:$BQ$1005,1,MATCH(COLUMNS($AO$1006:BL1006),$AO$1006:$BQ$1006,0))&gt;=100000), " ",IF(INDEX($AO$2:$BQ$1001,MATCH(ROWS($AH$2:AH581),$AH$2:$AH$1001,0),MATCH(COLUMNS($AO$1006:BL1006),$AO$1006:$BQ$1006,0)), HYPERLINK("#",""), HYPERLINK(CONCATENATE("#Metadata!", ADDRESS(INDEX($AJ$2:$AJ$1001,MATCH(ROWS($AH$2:AH581),$AH$2:$AH$1001,0),0), INDEX($AO$1004:$BQ$1004,1,MATCH(COLUMNS($AO$1006:BL1006),$AO$1006:$BQ$1006,0)))),"Fix")))</f>
        <v>#N/A</v>
      </c>
      <c r="Z581" s="5" t="e">
        <f ca="1">IF(OR(INDEX($AI$2:$AI$1001,MATCH(ROWS($AH$2:AH581),$AH$2:$AH$1001,0),1)&gt;=100000,INDEX($AO$1005:$BQ$1005,1,MATCH(COLUMNS($AO$1006:BM1006),$AO$1006:$BQ$1006,0))&gt;=100000), " ",IF(INDEX($AO$2:$BQ$1001,MATCH(ROWS($AH$2:AH581),$AH$2:$AH$1001,0),MATCH(COLUMNS($AO$1006:BM1006),$AO$1006:$BQ$1006,0)), HYPERLINK("#",""), HYPERLINK(CONCATENATE("#Metadata!", ADDRESS(INDEX($AJ$2:$AJ$1001,MATCH(ROWS($AH$2:AH581),$AH$2:$AH$1001,0),0), INDEX($AO$1004:$BQ$1004,1,MATCH(COLUMNS($AO$1006:BM1006),$AO$1006:$BQ$1006,0)))),"Fix")))</f>
        <v>#N/A</v>
      </c>
      <c r="AA581" s="5" t="e">
        <f ca="1">IF(OR(INDEX($AI$2:$AI$1001,MATCH(ROWS($AH$2:AH581),$AH$2:$AH$1001,0),1)&gt;=100000,INDEX($AO$1005:$BQ$1005,1,MATCH(COLUMNS($AO$1006:BN1006),$AO$1006:$BQ$1006,0))&gt;=100000), " ",IF(INDEX($AO$2:$BQ$1001,MATCH(ROWS($AH$2:AH581),$AH$2:$AH$1001,0),MATCH(COLUMNS($AO$1006:BN1006),$AO$1006:$BQ$1006,0)), HYPERLINK("#",""), HYPERLINK(CONCATENATE("#Metadata!", ADDRESS(INDEX($AJ$2:$AJ$1001,MATCH(ROWS($AH$2:AH581),$AH$2:$AH$1001,0),0), INDEX($AO$1004:$BQ$1004,1,MATCH(COLUMNS($AO$1006:BN1006),$AO$1006:$BQ$1006,0)))),"Fix")))</f>
        <v>#N/A</v>
      </c>
      <c r="AB581" s="5" t="e">
        <f ca="1">IF(OR(INDEX($AI$2:$AI$1001,MATCH(ROWS($AH$2:AH581),$AH$2:$AH$1001,0),1)&gt;=100000,INDEX($AO$1005:$BQ$1005,1,MATCH(COLUMNS($AO$1006:BO1006),$AO$1006:$BQ$1006,0))&gt;=100000), " ",IF(INDEX($AO$2:$BQ$1001,MATCH(ROWS($AH$2:AH581),$AH$2:$AH$1001,0),MATCH(COLUMNS($AO$1006:BO1006),$AO$1006:$BQ$1006,0)), HYPERLINK("#",""), HYPERLINK(CONCATENATE("#Metadata!", ADDRESS(INDEX($AJ$2:$AJ$1001,MATCH(ROWS($AH$2:AH581),$AH$2:$AH$1001,0),0), INDEX($AO$1004:$BQ$1004,1,MATCH(COLUMNS($AO$1006:BO1006),$AO$1006:$BQ$1006,0)))),"Fix")))</f>
        <v>#N/A</v>
      </c>
      <c r="AC581" s="5" t="e">
        <f ca="1">IF(OR(INDEX($AI$2:$AI$1001,MATCH(ROWS($AH$2:AH581),$AH$2:$AH$1001,0),1)&gt;=100000,INDEX($AO$1005:$BQ$1005,1,MATCH(COLUMNS($AO$1006:BP1006),$AO$1006:$BQ$1006,0))&gt;=100000), " ",IF(INDEX($AO$2:$BQ$1001,MATCH(ROWS($AH$2:AH581),$AH$2:$AH$1001,0),MATCH(COLUMNS($AO$1006:BP1006),$AO$1006:$BQ$1006,0)), HYPERLINK("#",""), HYPERLINK(CONCATENATE("#Metadata!", ADDRESS(INDEX($AJ$2:$AJ$1001,MATCH(ROWS($AH$2:AH581),$AH$2:$AH$1001,0),0), INDEX($AO$1004:$BQ$1004,1,MATCH(COLUMNS($AO$1006:BP1006),$AO$1006:$BQ$1006,0)))),"Fix")))</f>
        <v>#N/A</v>
      </c>
      <c r="AD581" s="5" t="e">
        <f ca="1">IF(OR(INDEX($AI$2:$AI$1001,MATCH(ROWS($AH$2:AH581),$AH$2:$AH$1001,0),1)&gt;=100000,INDEX($AO$1005:$BQ$1005,1,MATCH(COLUMNS($AO$1006:BQ1006),$AO$1006:$BQ$1006,0))&gt;=100000), " ",IF(INDEX($AO$2:$BQ$1001,MATCH(ROWS($AH$2:AH581),$AH$2:$AH$1001,0),MATCH(COLUMNS($AO$1006:BQ1006),$AO$1006:$BQ$1006,0)), HYPERLINK("#",""), HYPERLINK(CONCATENATE("#Metadata!", ADDRESS(INDEX($AJ$2:$AJ$1001,MATCH(ROWS($AH$2:AH581),$AH$2:$AH$1001,0),0), INDEX($AO$1004:$BQ$1004,1,MATCH(COLUMNS($AO$1006:BQ1006),$AO$1006:$BQ$1006,0)))),"Fix")))</f>
        <v>#REF!</v>
      </c>
      <c r="AH581">
        <f ca="1"/>
        <v>578</v>
      </c>
      <c r="AI581">
        <v>100581</v>
      </c>
      <c r="AJ581">
        <v>581</v>
      </c>
      <c r="AK581" t="b">
        <f t="shared" si="9"/>
        <v>1</v>
      </c>
      <c r="AL581" t="b">
        <f>COUNTBLANK(Metadata!B581:AD581)=COLUMNS(Metadata!B581:AD581)</f>
        <v>1</v>
      </c>
      <c r="AM581" t="str">
        <v/>
      </c>
      <c r="AO581" t="b">
        <f ca="1">AND(IF(Metadata!B581="",FALSE,TRUE),COUNTIF(Metadata!B:B, Metadata!B581) = 1,NOT(ISERROR(SUMPRODUCT(SEARCH(MID(Metadata!B581,ROW(INDIRECT("1:"&amp;LEN(Metadata!B581))), 1),"0123456789abcdefghijklmnopqrstuvwxyzABCDEFGHIJKLMNOPQRSTUVWXYZ.")))))</f>
        <v>0</v>
      </c>
      <c r="AP581" t="b">
        <f>IF(Metadata!C581="",FALSE,TRUE)</f>
        <v>0</v>
      </c>
      <c r="AQ581" t="b">
        <f>IF(Metadata!D581="",FALSE,TRUE)</f>
        <v>0</v>
      </c>
      <c r="AR581" t="b">
        <f ca="1">OR(AND(IF(Metadata!E581="",FALSE,TRUE),OR(EXACT(Metadata!E581,"not collected"),EXACT(Metadata!E581,"not provided"),EXACT(Metadata!E581,"restricted access"))),AND(IF(Metadata!E581="",FALSE,TRUE),AND(AND(IFERROR(INT(LEFT(Metadata!E581,4))&gt;1900,FALSE),IFERROR(INT(LEFT(Metadata!E581,4))&lt;=YEAR(NOW()),FALSE)), OR(MID(Metadata!E581,5,1)="", AND(AND(MID(Metadata!E581,5,1)="-",IFERROR(INT(MID(Metadata!E581,6,1))&gt;=0,FALSE),IFERROR(INT(MID(Metadata!E581,6,1))&lt;=1,FALSE),NOT(MID(Metadata!E581,7,1)=""),IFERROR(INT(MID(Metadata!E581,6,2))&gt;=1,FALSE),IFERROR(INT(MID(Metadata!E581,6,2))&lt;=12,FALSE)), OR(MID(Metadata!E581,8,1)="", AND(AND(MID(Metadata!E581,8,1)="-",IFERROR(INT(MID(Metadata!E581,9,1))&gt;=0,FALSE),IFERROR(INT(MID(Metadata!E581,9,1))&lt;=3,FALSE),NOT(MID(Metadata!E581,10,1)=""),IFERROR(INT(MID(Metadata!E581,9,2))&gt;=1,FALSE),IFERROR(INT(MID(Metadata!E581,9,2))&lt;=31,FALSE)), OR(MID(Metadata!E581,11,1)="", AND(AND(MID(Metadata!E581,11,1)=" ",IFERROR(INT(MID(Metadata!E581,12,1))&gt;=0,FALSE),IFERROR(INT(MID(Metadata!E581,12,1))&lt;=2,FALSE),NOT(MID(Metadata!E581,13,1)=""),IFERROR(INT(MID(Metadata!E581,12,2))&gt;=0,FALSE),IFERROR(INT(MID(Metadata!E581,12,2))&lt;=23,FALSE)), OR(MID(Metadata!E581,14,1)="", AND(AND(MID(Metadata!E581,14,1)=":",IFERROR(INT(MID(Metadata!E581,15,1))&gt;=0,FALSE),IFERROR(INT(MID(Metadata!E581,15,1))&lt;=5,FALSE),NOT(MID(Metadata!E581,16,1)=""),IFERROR(INT(MID(Metadata!E581,15,2))&gt;=0,FALSE),IFERROR(INT(MID(Metadata!E581,15,2))&lt;=59,FALSE)), OR(MID(Metadata!E581,17,1)="", AND(AND(MID(Metadata!E581,17,1)=":",IFERROR(INT(MID(Metadata!E581,18,1))&gt;=0,FALSE),IFERROR(INT(MID(Metadata!E581,18,1))&lt;=5,FALSE),NOT(MID(Metadata!E581,19,1)=""),IFERROR(INT(MID(Metadata!E581,18,2))&gt;=0,FALSE),IFERROR(INT(MID(Metadata!E581,18,2))&lt;=59,FALSE)), LEN(Metadata!E581)&lt;=19)))))))))))))</f>
        <v>0</v>
      </c>
      <c r="AS581" t="b">
        <f>IF(Metadata!F581="",FALSE,TRUE)</f>
        <v>0</v>
      </c>
      <c r="AT581" t="b">
        <f>OR(AND(IF(Metadata!G581="",FALSE,TRUE),OR(EXACT(Metadata!G581,"not collected"),EXACT(Metadata!G581,"not provided"))),AND(IF(Metadata!G581="",FALSE,TRUE),OR(EXACT(Metadata!G581,"TRUE"),EXACT(Metadata!G581,"FALSE"))))</f>
        <v>0</v>
      </c>
      <c r="AU581" t="b">
        <f>OR(AND(IF(Metadata!H581="",FALSE,TRUE),OR(EXACT(Metadata!H581,"not collected"),EXACT(Metadata!H581,"not provided"),EXACT(Metadata!H581,"restricted access"))),AND(IF(Metadata!H581="",FALSE,ISNUMBER(VALUE(Metadata!H581))),Metadata!H581&gt;=-413))</f>
        <v>0</v>
      </c>
      <c r="AV581" t="b">
        <f>AND(IF(Metadata!I581="",FALSE,TRUE),EXACT(Metadata!I581,"meters"))</f>
        <v>0</v>
      </c>
      <c r="AW581" t="b">
        <f>AND(IF(Metadata!J581="",FALSE,TRUE),EXACT(Metadata!J581,"free-living"))</f>
        <v>0</v>
      </c>
      <c r="AX581" t="b">
        <f>AND(IF(Metadata!K581="",FALSE,TRUE),OR(EXACT(Metadata!K581,"saline"),EXACT(Metadata!K581,"non-saline")))</f>
        <v>0</v>
      </c>
      <c r="AY581" t="b">
        <f>AND(IF(Metadata!L581="",FALSE,TRUE),OR(EXACT(Metadata!L581,"sub-surface (non-saline)"),EXACT(Metadata!L581,"surface (non-saline)"),EXACT(Metadata!L581,"water (non-saline)"),EXACT(Metadata!L581,"soil (non-saline)"),EXACT(Metadata!L581,"aerosol (non-saline)"),EXACT(Metadata!L581,"sediment (non-saline)"),EXACT(Metadata!L581,"surface (saline)"),EXACT(Metadata!L581,"water (saline)"),EXACT(Metadata!L581,"hypersaline (saline)"),EXACT(Metadata!L581,"aerosol (saline)"),EXACT(Metadata!L581,"sediment (saline)")))</f>
        <v>0</v>
      </c>
      <c r="AZ581" t="b">
        <f>IF(Metadata!M581="",FALSE,TRUE)</f>
        <v>0</v>
      </c>
      <c r="BA581" t="b">
        <f>IF(Metadata!N581="",FALSE,TRUE)</f>
        <v>0</v>
      </c>
      <c r="BB581" t="b">
        <f>IF(Metadata!O581="",FALSE,TRUE)</f>
        <v>0</v>
      </c>
      <c r="BC581" t="b">
        <f>AND(IF(Metadata!P581="",FALSE,TRUE),OR(EXACT(Metadata!P581,"air"),EXACT(Metadata!P581,"microbial mat/biofilm"),EXACT(Metadata!P581,"misc environment"),EXACT(Metadata!P581,"sediment"),EXACT(Metadata!P581,"soil"),EXACT(Metadata!P581,"wastewater/sludge"),EXACT(Metadata!P581,"water")))</f>
        <v>0</v>
      </c>
      <c r="BD581" t="b">
        <f>IF(Metadata!Q581="",FALSE,TRUE)</f>
        <v>0</v>
      </c>
      <c r="BE581" t="b">
        <f>IF(Metadata!R581="",FALSE,TRUE)</f>
        <v>0</v>
      </c>
      <c r="BF581" t="b">
        <f>OR(AND(IF(Metadata!S581="",FALSE,TRUE),OR(EXACT(Metadata!S581,"not collected"),EXACT(Metadata!S581,"not provided"),EXACT(Metadata!S581,"restricted access"))),AND(IF(Metadata!S581="",FALSE,ISNUMBER(VALUE(Metadata!S581))),Metadata!S581&gt;=-90,Metadata!S581&lt;=90))</f>
        <v>0</v>
      </c>
      <c r="BG581" t="b">
        <f>AND(IF(Metadata!T581="",FALSE,TRUE),EXACT(Metadata!T581,"Decimal degrees"))</f>
        <v>0</v>
      </c>
      <c r="BH581" t="b">
        <f>OR(AND(IF(Metadata!U581="",FALSE,TRUE),OR(EXACT(Metadata!U581,"not applicable"),EXACT(Metadata!U581,"not collected"))),IF(Metadata!U581="",FALSE,TRUE))</f>
        <v>0</v>
      </c>
      <c r="BI581" t="b">
        <f>OR(AND(IF(Metadata!V581="",FALSE,TRUE),OR(EXACT(Metadata!V581,"not collected"),EXACT(Metadata!V581,"not provided"),EXACT(Metadata!V581,"restricted access"))),AND(IF(Metadata!V581="",FALSE,ISNUMBER(VALUE(Metadata!V581))),Metadata!V581&gt;=-180,Metadata!V581&lt;=180))</f>
        <v>0</v>
      </c>
      <c r="BJ581" t="b">
        <f>AND(IF(Metadata!W581="",FALSE,TRUE),EXACT(Metadata!W581,"Decimal degrees"))</f>
        <v>0</v>
      </c>
      <c r="BK581" t="b">
        <f>IF(Metadata!X581="",FALSE,TRUE)</f>
        <v>0</v>
      </c>
      <c r="BL581" t="b">
        <f>OR(AND(IF(Metadata!Y581="",FALSE,TRUE),OR(EXACT(Metadata!Y581,"not collected"),EXACT(Metadata!Y581,"not provided"),EXACT(Metadata!Y581,"restricted access"))),AND(IF(Metadata!Y581="",FALSE,TRUE),OR(EXACT(Metadata!Y581,"TRUE"),EXACT(Metadata!Y581,"FALSE"))))</f>
        <v>0</v>
      </c>
      <c r="BM581" t="b">
        <f>OR(AND(IF(Metadata!Z581="",FALSE,TRUE),EXACT(Metadata!Z581,"not applicable")),AND(IF(Metadata!Z581="",FALSE,TRUE),OR(EXACT(Metadata!Z581,"beer"),EXACT(Metadata!Z581,"cheese"),EXACT(Metadata!Z581,"fresh water"),EXACT(Metadata!Z581,"marine sediment"),EXACT(Metadata!Z581,"sea water"),EXACT(Metadata!Z581,"sediment"),EXACT(Metadata!Z581,"soil"),EXACT(Metadata!Z581,"waste water"))))</f>
        <v>0</v>
      </c>
      <c r="BN581" t="b">
        <f>AND(IF(Metadata!AA581="",FALSE,TRUE),EXACT(Metadata!AA581,"metagenome"))</f>
        <v>0</v>
      </c>
      <c r="BO581" t="b">
        <f>AND(IF(Metadata!AB581="",FALSE,TRUE),EXACT(Metadata!AB581,"256318"))</f>
        <v>0</v>
      </c>
      <c r="BP581" t="b">
        <f>IF(Metadata!AC581="",FALSE,TRUE)</f>
        <v>0</v>
      </c>
      <c r="BQ581" t="b">
        <f>IF(Metadata!AD581="",FALSE,TRUE)</f>
        <v>0</v>
      </c>
    </row>
    <row r="582" spans="1:69" x14ac:dyDescent="0.2">
      <c r="A582" s="4" t="e">
        <f ca="1">IF(B582=" "," ",HYPERLINK(CONCATENATE("#metadata!",ADDRESS(INDEX($AJ$2:$AJ$1001,MATCH(ROWS($AH$2:AH582),$AH$2:$AH$1001,0),0),2)),INDEX($AM$2:$AM$1001,MATCH(ROWS($AH$2:AH582),$AH$2:$AH$1001,0),0)))</f>
        <v>#N/A</v>
      </c>
      <c r="B582" s="5" t="e">
        <f ca="1">IF(OR(INDEX($AI$2:$AI$1001,MATCH(ROWS($AH$2:AH582),$AH$2:$AH$1001,0),1)&gt;=100000,INDEX($AO$1005:$BQ$1005,1,MATCH(COLUMNS($AO$1006:AO1006),$AO$1006:$BQ$1006,0))&gt;=100000), " ",IF(INDEX($AO$2:$BQ$1001,MATCH(ROWS($AH$2:AH582),$AH$2:$AH$1001,0),MATCH(COLUMNS($AO$1006:AO1006),$AO$1006:$BQ$1006,0)), HYPERLINK("#",""), HYPERLINK(CONCATENATE("#Metadata!", ADDRESS(INDEX($AJ$2:$AJ$1001,MATCH(ROWS($AH$2:AH582),$AH$2:$AH$1001,0),0), INDEX($AO$1004:$BQ$1004,1,MATCH(COLUMNS($AO$1006:AO1006),$AO$1006:$BQ$1006,0)))),"Fix")))</f>
        <v>#N/A</v>
      </c>
      <c r="C582" s="5" t="e">
        <f ca="1">IF(OR(INDEX($AI$2:$AI$1001,MATCH(ROWS($AH$2:AH582),$AH$2:$AH$1001,0),1)&gt;=100000,INDEX($AO$1005:$BQ$1005,1,MATCH(COLUMNS($AO$1006:AP1006),$AO$1006:$BQ$1006,0))&gt;=100000), " ",IF(INDEX($AO$2:$BQ$1001,MATCH(ROWS($AH$2:AH582),$AH$2:$AH$1001,0),MATCH(COLUMNS($AO$1006:AP1006),$AO$1006:$BQ$1006,0)), HYPERLINK("#",""), HYPERLINK(CONCATENATE("#Metadata!", ADDRESS(INDEX($AJ$2:$AJ$1001,MATCH(ROWS($AH$2:AH582),$AH$2:$AH$1001,0),0), INDEX($AO$1004:$BQ$1004,1,MATCH(COLUMNS($AO$1006:AP1006),$AO$1006:$BQ$1006,0)))),"Fix")))</f>
        <v>#N/A</v>
      </c>
      <c r="D582" s="5" t="e">
        <f ca="1">IF(OR(INDEX($AI$2:$AI$1001,MATCH(ROWS($AH$2:AH582),$AH$2:$AH$1001,0),1)&gt;=100000,INDEX($AO$1005:$BQ$1005,1,MATCH(COLUMNS($AO$1006:AQ1006),$AO$1006:$BQ$1006,0))&gt;=100000), " ",IF(INDEX($AO$2:$BQ$1001,MATCH(ROWS($AH$2:AH582),$AH$2:$AH$1001,0),MATCH(COLUMNS($AO$1006:AQ1006),$AO$1006:$BQ$1006,0)), HYPERLINK("#",""), HYPERLINK(CONCATENATE("#Metadata!", ADDRESS(INDEX($AJ$2:$AJ$1001,MATCH(ROWS($AH$2:AH582),$AH$2:$AH$1001,0),0), INDEX($AO$1004:$BQ$1004,1,MATCH(COLUMNS($AO$1006:AQ1006),$AO$1006:$BQ$1006,0)))),"Fix")))</f>
        <v>#N/A</v>
      </c>
      <c r="E582" s="5" t="e">
        <f ca="1">IF(OR(INDEX($AI$2:$AI$1001,MATCH(ROWS($AH$2:AH582),$AH$2:$AH$1001,0),1)&gt;=100000,INDEX($AO$1005:$BQ$1005,1,MATCH(COLUMNS($AO$1006:AR1006),$AO$1006:$BQ$1006,0))&gt;=100000), " ",IF(INDEX($AO$2:$BQ$1001,MATCH(ROWS($AH$2:AH582),$AH$2:$AH$1001,0),MATCH(COLUMNS($AO$1006:AR1006),$AO$1006:$BQ$1006,0)), HYPERLINK("#",""), HYPERLINK(CONCATENATE("#Metadata!", ADDRESS(INDEX($AJ$2:$AJ$1001,MATCH(ROWS($AH$2:AH582),$AH$2:$AH$1001,0),0), INDEX($AO$1004:$BQ$1004,1,MATCH(COLUMNS($AO$1006:AR1006),$AO$1006:$BQ$1006,0)))),"Fix")))</f>
        <v>#N/A</v>
      </c>
      <c r="F582" s="5" t="e">
        <f ca="1">IF(OR(INDEX($AI$2:$AI$1001,MATCH(ROWS($AH$2:AH582),$AH$2:$AH$1001,0),1)&gt;=100000,INDEX($AO$1005:$BQ$1005,1,MATCH(COLUMNS($AO$1006:AS1006),$AO$1006:$BQ$1006,0))&gt;=100000), " ",IF(INDEX($AO$2:$BQ$1001,MATCH(ROWS($AH$2:AH582),$AH$2:$AH$1001,0),MATCH(COLUMNS($AO$1006:AS1006),$AO$1006:$BQ$1006,0)), HYPERLINK("#",""), HYPERLINK(CONCATENATE("#Metadata!", ADDRESS(INDEX($AJ$2:$AJ$1001,MATCH(ROWS($AH$2:AH582),$AH$2:$AH$1001,0),0), INDEX($AO$1004:$BQ$1004,1,MATCH(COLUMNS($AO$1006:AS1006),$AO$1006:$BQ$1006,0)))),"Fix")))</f>
        <v>#N/A</v>
      </c>
      <c r="G582" s="5" t="e">
        <f ca="1">IF(OR(INDEX($AI$2:$AI$1001,MATCH(ROWS($AH$2:AH582),$AH$2:$AH$1001,0),1)&gt;=100000,INDEX($AO$1005:$BQ$1005,1,MATCH(COLUMNS($AO$1006:AT1006),$AO$1006:$BQ$1006,0))&gt;=100000), " ",IF(INDEX($AO$2:$BQ$1001,MATCH(ROWS($AH$2:AH582),$AH$2:$AH$1001,0),MATCH(COLUMNS($AO$1006:AT1006),$AO$1006:$BQ$1006,0)), HYPERLINK("#",""), HYPERLINK(CONCATENATE("#Metadata!", ADDRESS(INDEX($AJ$2:$AJ$1001,MATCH(ROWS($AH$2:AH582),$AH$2:$AH$1001,0),0), INDEX($AO$1004:$BQ$1004,1,MATCH(COLUMNS($AO$1006:AT1006),$AO$1006:$BQ$1006,0)))),"Fix")))</f>
        <v>#N/A</v>
      </c>
      <c r="H582" s="5" t="e">
        <f ca="1">IF(OR(INDEX($AI$2:$AI$1001,MATCH(ROWS($AH$2:AH582),$AH$2:$AH$1001,0),1)&gt;=100000,INDEX($AO$1005:$BQ$1005,1,MATCH(COLUMNS($AO$1006:AU1006),$AO$1006:$BQ$1006,0))&gt;=100000), " ",IF(INDEX($AO$2:$BQ$1001,MATCH(ROWS($AH$2:AH582),$AH$2:$AH$1001,0),MATCH(COLUMNS($AO$1006:AU1006),$AO$1006:$BQ$1006,0)), HYPERLINK("#",""), HYPERLINK(CONCATENATE("#Metadata!", ADDRESS(INDEX($AJ$2:$AJ$1001,MATCH(ROWS($AH$2:AH582),$AH$2:$AH$1001,0),0), INDEX($AO$1004:$BQ$1004,1,MATCH(COLUMNS($AO$1006:AU1006),$AO$1006:$BQ$1006,0)))),"Fix")))</f>
        <v>#N/A</v>
      </c>
      <c r="I582" s="5" t="e">
        <f ca="1">IF(OR(INDEX($AI$2:$AI$1001,MATCH(ROWS($AH$2:AH582),$AH$2:$AH$1001,0),1)&gt;=100000,INDEX($AO$1005:$BQ$1005,1,MATCH(COLUMNS($AO$1006:AV1006),$AO$1006:$BQ$1006,0))&gt;=100000), " ",IF(INDEX($AO$2:$BQ$1001,MATCH(ROWS($AH$2:AH582),$AH$2:$AH$1001,0),MATCH(COLUMNS($AO$1006:AV1006),$AO$1006:$BQ$1006,0)), HYPERLINK("#",""), HYPERLINK(CONCATENATE("#Metadata!", ADDRESS(INDEX($AJ$2:$AJ$1001,MATCH(ROWS($AH$2:AH582),$AH$2:$AH$1001,0),0), INDEX($AO$1004:$BQ$1004,1,MATCH(COLUMNS($AO$1006:AV1006),$AO$1006:$BQ$1006,0)))),"Fix")))</f>
        <v>#N/A</v>
      </c>
      <c r="J582" s="5" t="e">
        <f ca="1">IF(OR(INDEX($AI$2:$AI$1001,MATCH(ROWS($AH$2:AH582),$AH$2:$AH$1001,0),1)&gt;=100000,INDEX($AO$1005:$BQ$1005,1,MATCH(COLUMNS($AO$1006:AW1006),$AO$1006:$BQ$1006,0))&gt;=100000), " ",IF(INDEX($AO$2:$BQ$1001,MATCH(ROWS($AH$2:AH582),$AH$2:$AH$1001,0),MATCH(COLUMNS($AO$1006:AW1006),$AO$1006:$BQ$1006,0)), HYPERLINK("#",""), HYPERLINK(CONCATENATE("#Metadata!", ADDRESS(INDEX($AJ$2:$AJ$1001,MATCH(ROWS($AH$2:AH582),$AH$2:$AH$1001,0),0), INDEX($AO$1004:$BQ$1004,1,MATCH(COLUMNS($AO$1006:AW1006),$AO$1006:$BQ$1006,0)))),"Fix")))</f>
        <v>#N/A</v>
      </c>
      <c r="K582" s="5" t="e">
        <f ca="1">IF(OR(INDEX($AI$2:$AI$1001,MATCH(ROWS($AH$2:AH582),$AH$2:$AH$1001,0),1)&gt;=100000,INDEX($AO$1005:$BQ$1005,1,MATCH(COLUMNS($AO$1006:AX1006),$AO$1006:$BQ$1006,0))&gt;=100000), " ",IF(INDEX($AO$2:$BQ$1001,MATCH(ROWS($AH$2:AH582),$AH$2:$AH$1001,0),MATCH(COLUMNS($AO$1006:AX1006),$AO$1006:$BQ$1006,0)), HYPERLINK("#",""), HYPERLINK(CONCATENATE("#Metadata!", ADDRESS(INDEX($AJ$2:$AJ$1001,MATCH(ROWS($AH$2:AH582),$AH$2:$AH$1001,0),0), INDEX($AO$1004:$BQ$1004,1,MATCH(COLUMNS($AO$1006:AX1006),$AO$1006:$BQ$1006,0)))),"Fix")))</f>
        <v>#N/A</v>
      </c>
      <c r="L582" s="5" t="e">
        <f ca="1">IF(OR(INDEX($AI$2:$AI$1001,MATCH(ROWS($AH$2:AH582),$AH$2:$AH$1001,0),1)&gt;=100000,INDEX($AO$1005:$BQ$1005,1,MATCH(COLUMNS($AO$1006:AY1006),$AO$1006:$BQ$1006,0))&gt;=100000), " ",IF(INDEX($AO$2:$BQ$1001,MATCH(ROWS($AH$2:AH582),$AH$2:$AH$1001,0),MATCH(COLUMNS($AO$1006:AY1006),$AO$1006:$BQ$1006,0)), HYPERLINK("#",""), HYPERLINK(CONCATENATE("#Metadata!", ADDRESS(INDEX($AJ$2:$AJ$1001,MATCH(ROWS($AH$2:AH582),$AH$2:$AH$1001,0),0), INDEX($AO$1004:$BQ$1004,1,MATCH(COLUMNS($AO$1006:AY1006),$AO$1006:$BQ$1006,0)))),"Fix")))</f>
        <v>#N/A</v>
      </c>
      <c r="M582" s="5" t="e">
        <f ca="1">IF(OR(INDEX($AI$2:$AI$1001,MATCH(ROWS($AH$2:AH582),$AH$2:$AH$1001,0),1)&gt;=100000,INDEX($AO$1005:$BQ$1005,1,MATCH(COLUMNS($AO$1006:AZ1006),$AO$1006:$BQ$1006,0))&gt;=100000), " ",IF(INDEX($AO$2:$BQ$1001,MATCH(ROWS($AH$2:AH582),$AH$2:$AH$1001,0),MATCH(COLUMNS($AO$1006:AZ1006),$AO$1006:$BQ$1006,0)), HYPERLINK("#",""), HYPERLINK(CONCATENATE("#Metadata!", ADDRESS(INDEX($AJ$2:$AJ$1001,MATCH(ROWS($AH$2:AH582),$AH$2:$AH$1001,0),0), INDEX($AO$1004:$BQ$1004,1,MATCH(COLUMNS($AO$1006:AZ1006),$AO$1006:$BQ$1006,0)))),"Fix")))</f>
        <v>#N/A</v>
      </c>
      <c r="N582" s="5" t="e">
        <f ca="1">IF(OR(INDEX($AI$2:$AI$1001,MATCH(ROWS($AH$2:AH582),$AH$2:$AH$1001,0),1)&gt;=100000,INDEX($AO$1005:$BQ$1005,1,MATCH(COLUMNS($AO$1006:BA1006),$AO$1006:$BQ$1006,0))&gt;=100000), " ",IF(INDEX($AO$2:$BQ$1001,MATCH(ROWS($AH$2:AH582),$AH$2:$AH$1001,0),MATCH(COLUMNS($AO$1006:BA1006),$AO$1006:$BQ$1006,0)), HYPERLINK("#",""), HYPERLINK(CONCATENATE("#Metadata!", ADDRESS(INDEX($AJ$2:$AJ$1001,MATCH(ROWS($AH$2:AH582),$AH$2:$AH$1001,0),0), INDEX($AO$1004:$BQ$1004,1,MATCH(COLUMNS($AO$1006:BA1006),$AO$1006:$BQ$1006,0)))),"Fix")))</f>
        <v>#N/A</v>
      </c>
      <c r="O582" s="5" t="e">
        <f ca="1">IF(OR(INDEX($AI$2:$AI$1001,MATCH(ROWS($AH$2:AH582),$AH$2:$AH$1001,0),1)&gt;=100000,INDEX($AO$1005:$BQ$1005,1,MATCH(COLUMNS($AO$1006:BB1006),$AO$1006:$BQ$1006,0))&gt;=100000), " ",IF(INDEX($AO$2:$BQ$1001,MATCH(ROWS($AH$2:AH582),$AH$2:$AH$1001,0),MATCH(COLUMNS($AO$1006:BB1006),$AO$1006:$BQ$1006,0)), HYPERLINK("#",""), HYPERLINK(CONCATENATE("#Metadata!", ADDRESS(INDEX($AJ$2:$AJ$1001,MATCH(ROWS($AH$2:AH582),$AH$2:$AH$1001,0),0), INDEX($AO$1004:$BQ$1004,1,MATCH(COLUMNS($AO$1006:BB1006),$AO$1006:$BQ$1006,0)))),"Fix")))</f>
        <v>#N/A</v>
      </c>
      <c r="P582" s="5" t="e">
        <f ca="1">IF(OR(INDEX($AI$2:$AI$1001,MATCH(ROWS($AH$2:AH582),$AH$2:$AH$1001,0),1)&gt;=100000,INDEX($AO$1005:$BQ$1005,1,MATCH(COLUMNS($AO$1006:BC1006),$AO$1006:$BQ$1006,0))&gt;=100000), " ",IF(INDEX($AO$2:$BQ$1001,MATCH(ROWS($AH$2:AH582),$AH$2:$AH$1001,0),MATCH(COLUMNS($AO$1006:BC1006),$AO$1006:$BQ$1006,0)), HYPERLINK("#",""), HYPERLINK(CONCATENATE("#Metadata!", ADDRESS(INDEX($AJ$2:$AJ$1001,MATCH(ROWS($AH$2:AH582),$AH$2:$AH$1001,0),0), INDEX($AO$1004:$BQ$1004,1,MATCH(COLUMNS($AO$1006:BC1006),$AO$1006:$BQ$1006,0)))),"Fix")))</f>
        <v>#N/A</v>
      </c>
      <c r="Q582" s="5" t="e">
        <f ca="1">IF(OR(INDEX($AI$2:$AI$1001,MATCH(ROWS($AH$2:AH582),$AH$2:$AH$1001,0),1)&gt;=100000,INDEX($AO$1005:$BQ$1005,1,MATCH(COLUMNS($AO$1006:BD1006),$AO$1006:$BQ$1006,0))&gt;=100000), " ",IF(INDEX($AO$2:$BQ$1001,MATCH(ROWS($AH$2:AH582),$AH$2:$AH$1001,0),MATCH(COLUMNS($AO$1006:BD1006),$AO$1006:$BQ$1006,0)), HYPERLINK("#",""), HYPERLINK(CONCATENATE("#Metadata!", ADDRESS(INDEX($AJ$2:$AJ$1001,MATCH(ROWS($AH$2:AH582),$AH$2:$AH$1001,0),0), INDEX($AO$1004:$BQ$1004,1,MATCH(COLUMNS($AO$1006:BD1006),$AO$1006:$BQ$1006,0)))),"Fix")))</f>
        <v>#N/A</v>
      </c>
      <c r="R582" s="5" t="e">
        <f ca="1">IF(OR(INDEX($AI$2:$AI$1001,MATCH(ROWS($AH$2:AH582),$AH$2:$AH$1001,0),1)&gt;=100000,INDEX($AO$1005:$BQ$1005,1,MATCH(COLUMNS($AO$1006:BE1006),$AO$1006:$BQ$1006,0))&gt;=100000), " ",IF(INDEX($AO$2:$BQ$1001,MATCH(ROWS($AH$2:AH582),$AH$2:$AH$1001,0),MATCH(COLUMNS($AO$1006:BE1006),$AO$1006:$BQ$1006,0)), HYPERLINK("#",""), HYPERLINK(CONCATENATE("#Metadata!", ADDRESS(INDEX($AJ$2:$AJ$1001,MATCH(ROWS($AH$2:AH582),$AH$2:$AH$1001,0),0), INDEX($AO$1004:$BQ$1004,1,MATCH(COLUMNS($AO$1006:BE1006),$AO$1006:$BQ$1006,0)))),"Fix")))</f>
        <v>#N/A</v>
      </c>
      <c r="S582" s="5" t="e">
        <f ca="1">IF(OR(INDEX($AI$2:$AI$1001,MATCH(ROWS($AH$2:AH582),$AH$2:$AH$1001,0),1)&gt;=100000,INDEX($AO$1005:$BQ$1005,1,MATCH(COLUMNS($AO$1006:BF1006),$AO$1006:$BQ$1006,0))&gt;=100000), " ",IF(INDEX($AO$2:$BQ$1001,MATCH(ROWS($AH$2:AH582),$AH$2:$AH$1001,0),MATCH(COLUMNS($AO$1006:BF1006),$AO$1006:$BQ$1006,0)), HYPERLINK("#",""), HYPERLINK(CONCATENATE("#Metadata!", ADDRESS(INDEX($AJ$2:$AJ$1001,MATCH(ROWS($AH$2:AH582),$AH$2:$AH$1001,0),0), INDEX($AO$1004:$BQ$1004,1,MATCH(COLUMNS($AO$1006:BF1006),$AO$1006:$BQ$1006,0)))),"Fix")))</f>
        <v>#N/A</v>
      </c>
      <c r="T582" s="5" t="e">
        <f ca="1">IF(OR(INDEX($AI$2:$AI$1001,MATCH(ROWS($AH$2:AH582),$AH$2:$AH$1001,0),1)&gt;=100000,INDEX($AO$1005:$BQ$1005,1,MATCH(COLUMNS($AO$1006:BG1006),$AO$1006:$BQ$1006,0))&gt;=100000), " ",IF(INDEX($AO$2:$BQ$1001,MATCH(ROWS($AH$2:AH582),$AH$2:$AH$1001,0),MATCH(COLUMNS($AO$1006:BG1006),$AO$1006:$BQ$1006,0)), HYPERLINK("#",""), HYPERLINK(CONCATENATE("#Metadata!", ADDRESS(INDEX($AJ$2:$AJ$1001,MATCH(ROWS($AH$2:AH582),$AH$2:$AH$1001,0),0), INDEX($AO$1004:$BQ$1004,1,MATCH(COLUMNS($AO$1006:BG1006),$AO$1006:$BQ$1006,0)))),"Fix")))</f>
        <v>#N/A</v>
      </c>
      <c r="U582" s="5" t="e">
        <f ca="1">IF(OR(INDEX($AI$2:$AI$1001,MATCH(ROWS($AH$2:AH582),$AH$2:$AH$1001,0),1)&gt;=100000,INDEX($AO$1005:$BQ$1005,1,MATCH(COLUMNS($AO$1006:BH1006),$AO$1006:$BQ$1006,0))&gt;=100000), " ",IF(INDEX($AO$2:$BQ$1001,MATCH(ROWS($AH$2:AH582),$AH$2:$AH$1001,0),MATCH(COLUMNS($AO$1006:BH1006),$AO$1006:$BQ$1006,0)), HYPERLINK("#",""), HYPERLINK(CONCATENATE("#Metadata!", ADDRESS(INDEX($AJ$2:$AJ$1001,MATCH(ROWS($AH$2:AH582),$AH$2:$AH$1001,0),0), INDEX($AO$1004:$BQ$1004,1,MATCH(COLUMNS($AO$1006:BH1006),$AO$1006:$BQ$1006,0)))),"Fix")))</f>
        <v>#N/A</v>
      </c>
      <c r="V582" s="5" t="e">
        <f ca="1">IF(OR(INDEX($AI$2:$AI$1001,MATCH(ROWS($AH$2:AH582),$AH$2:$AH$1001,0),1)&gt;=100000,INDEX($AO$1005:$BQ$1005,1,MATCH(COLUMNS($AO$1006:BI1006),$AO$1006:$BQ$1006,0))&gt;=100000), " ",IF(INDEX($AO$2:$BQ$1001,MATCH(ROWS($AH$2:AH582),$AH$2:$AH$1001,0),MATCH(COLUMNS($AO$1006:BI1006),$AO$1006:$BQ$1006,0)), HYPERLINK("#",""), HYPERLINK(CONCATENATE("#Metadata!", ADDRESS(INDEX($AJ$2:$AJ$1001,MATCH(ROWS($AH$2:AH582),$AH$2:$AH$1001,0),0), INDEX($AO$1004:$BQ$1004,1,MATCH(COLUMNS($AO$1006:BI1006),$AO$1006:$BQ$1006,0)))),"Fix")))</f>
        <v>#N/A</v>
      </c>
      <c r="W582" s="5" t="e">
        <f ca="1">IF(OR(INDEX($AI$2:$AI$1001,MATCH(ROWS($AH$2:AH582),$AH$2:$AH$1001,0),1)&gt;=100000,INDEX($AO$1005:$BQ$1005,1,MATCH(COLUMNS($AO$1006:BJ1006),$AO$1006:$BQ$1006,0))&gt;=100000), " ",IF(INDEX($AO$2:$BQ$1001,MATCH(ROWS($AH$2:AH582),$AH$2:$AH$1001,0),MATCH(COLUMNS($AO$1006:BJ1006),$AO$1006:$BQ$1006,0)), HYPERLINK("#",""), HYPERLINK(CONCATENATE("#Metadata!", ADDRESS(INDEX($AJ$2:$AJ$1001,MATCH(ROWS($AH$2:AH582),$AH$2:$AH$1001,0),0), INDEX($AO$1004:$BQ$1004,1,MATCH(COLUMNS($AO$1006:BJ1006),$AO$1006:$BQ$1006,0)))),"Fix")))</f>
        <v>#N/A</v>
      </c>
      <c r="X582" s="5" t="e">
        <f ca="1">IF(OR(INDEX($AI$2:$AI$1001,MATCH(ROWS($AH$2:AH582),$AH$2:$AH$1001,0),1)&gt;=100000,INDEX($AO$1005:$BQ$1005,1,MATCH(COLUMNS($AO$1006:BK1006),$AO$1006:$BQ$1006,0))&gt;=100000), " ",IF(INDEX($AO$2:$BQ$1001,MATCH(ROWS($AH$2:AH582),$AH$2:$AH$1001,0),MATCH(COLUMNS($AO$1006:BK1006),$AO$1006:$BQ$1006,0)), HYPERLINK("#",""), HYPERLINK(CONCATENATE("#Metadata!", ADDRESS(INDEX($AJ$2:$AJ$1001,MATCH(ROWS($AH$2:AH582),$AH$2:$AH$1001,0),0), INDEX($AO$1004:$BQ$1004,1,MATCH(COLUMNS($AO$1006:BK1006),$AO$1006:$BQ$1006,0)))),"Fix")))</f>
        <v>#N/A</v>
      </c>
      <c r="Y582" s="5" t="e">
        <f ca="1">IF(OR(INDEX($AI$2:$AI$1001,MATCH(ROWS($AH$2:AH582),$AH$2:$AH$1001,0),1)&gt;=100000,INDEX($AO$1005:$BQ$1005,1,MATCH(COLUMNS($AO$1006:BL1006),$AO$1006:$BQ$1006,0))&gt;=100000), " ",IF(INDEX($AO$2:$BQ$1001,MATCH(ROWS($AH$2:AH582),$AH$2:$AH$1001,0),MATCH(COLUMNS($AO$1006:BL1006),$AO$1006:$BQ$1006,0)), HYPERLINK("#",""), HYPERLINK(CONCATENATE("#Metadata!", ADDRESS(INDEX($AJ$2:$AJ$1001,MATCH(ROWS($AH$2:AH582),$AH$2:$AH$1001,0),0), INDEX($AO$1004:$BQ$1004,1,MATCH(COLUMNS($AO$1006:BL1006),$AO$1006:$BQ$1006,0)))),"Fix")))</f>
        <v>#N/A</v>
      </c>
      <c r="Z582" s="5" t="e">
        <f ca="1">IF(OR(INDEX($AI$2:$AI$1001,MATCH(ROWS($AH$2:AH582),$AH$2:$AH$1001,0),1)&gt;=100000,INDEX($AO$1005:$BQ$1005,1,MATCH(COLUMNS($AO$1006:BM1006),$AO$1006:$BQ$1006,0))&gt;=100000), " ",IF(INDEX($AO$2:$BQ$1001,MATCH(ROWS($AH$2:AH582),$AH$2:$AH$1001,0),MATCH(COLUMNS($AO$1006:BM1006),$AO$1006:$BQ$1006,0)), HYPERLINK("#",""), HYPERLINK(CONCATENATE("#Metadata!", ADDRESS(INDEX($AJ$2:$AJ$1001,MATCH(ROWS($AH$2:AH582),$AH$2:$AH$1001,0),0), INDEX($AO$1004:$BQ$1004,1,MATCH(COLUMNS($AO$1006:BM1006),$AO$1006:$BQ$1006,0)))),"Fix")))</f>
        <v>#N/A</v>
      </c>
      <c r="AA582" s="5" t="e">
        <f ca="1">IF(OR(INDEX($AI$2:$AI$1001,MATCH(ROWS($AH$2:AH582),$AH$2:$AH$1001,0),1)&gt;=100000,INDEX($AO$1005:$BQ$1005,1,MATCH(COLUMNS($AO$1006:BN1006),$AO$1006:$BQ$1006,0))&gt;=100000), " ",IF(INDEX($AO$2:$BQ$1001,MATCH(ROWS($AH$2:AH582),$AH$2:$AH$1001,0),MATCH(COLUMNS($AO$1006:BN1006),$AO$1006:$BQ$1006,0)), HYPERLINK("#",""), HYPERLINK(CONCATENATE("#Metadata!", ADDRESS(INDEX($AJ$2:$AJ$1001,MATCH(ROWS($AH$2:AH582),$AH$2:$AH$1001,0),0), INDEX($AO$1004:$BQ$1004,1,MATCH(COLUMNS($AO$1006:BN1006),$AO$1006:$BQ$1006,0)))),"Fix")))</f>
        <v>#N/A</v>
      </c>
      <c r="AB582" s="5" t="e">
        <f ca="1">IF(OR(INDEX($AI$2:$AI$1001,MATCH(ROWS($AH$2:AH582),$AH$2:$AH$1001,0),1)&gt;=100000,INDEX($AO$1005:$BQ$1005,1,MATCH(COLUMNS($AO$1006:BO1006),$AO$1006:$BQ$1006,0))&gt;=100000), " ",IF(INDEX($AO$2:$BQ$1001,MATCH(ROWS($AH$2:AH582),$AH$2:$AH$1001,0),MATCH(COLUMNS($AO$1006:BO1006),$AO$1006:$BQ$1006,0)), HYPERLINK("#",""), HYPERLINK(CONCATENATE("#Metadata!", ADDRESS(INDEX($AJ$2:$AJ$1001,MATCH(ROWS($AH$2:AH582),$AH$2:$AH$1001,0),0), INDEX($AO$1004:$BQ$1004,1,MATCH(COLUMNS($AO$1006:BO1006),$AO$1006:$BQ$1006,0)))),"Fix")))</f>
        <v>#N/A</v>
      </c>
      <c r="AC582" s="5" t="e">
        <f ca="1">IF(OR(INDEX($AI$2:$AI$1001,MATCH(ROWS($AH$2:AH582),$AH$2:$AH$1001,0),1)&gt;=100000,INDEX($AO$1005:$BQ$1005,1,MATCH(COLUMNS($AO$1006:BP1006),$AO$1006:$BQ$1006,0))&gt;=100000), " ",IF(INDEX($AO$2:$BQ$1001,MATCH(ROWS($AH$2:AH582),$AH$2:$AH$1001,0),MATCH(COLUMNS($AO$1006:BP1006),$AO$1006:$BQ$1006,0)), HYPERLINK("#",""), HYPERLINK(CONCATENATE("#Metadata!", ADDRESS(INDEX($AJ$2:$AJ$1001,MATCH(ROWS($AH$2:AH582),$AH$2:$AH$1001,0),0), INDEX($AO$1004:$BQ$1004,1,MATCH(COLUMNS($AO$1006:BP1006),$AO$1006:$BQ$1006,0)))),"Fix")))</f>
        <v>#N/A</v>
      </c>
      <c r="AD582" s="5" t="e">
        <f ca="1">IF(OR(INDEX($AI$2:$AI$1001,MATCH(ROWS($AH$2:AH582),$AH$2:$AH$1001,0),1)&gt;=100000,INDEX($AO$1005:$BQ$1005,1,MATCH(COLUMNS($AO$1006:BQ1006),$AO$1006:$BQ$1006,0))&gt;=100000), " ",IF(INDEX($AO$2:$BQ$1001,MATCH(ROWS($AH$2:AH582),$AH$2:$AH$1001,0),MATCH(COLUMNS($AO$1006:BQ1006),$AO$1006:$BQ$1006,0)), HYPERLINK("#",""), HYPERLINK(CONCATENATE("#Metadata!", ADDRESS(INDEX($AJ$2:$AJ$1001,MATCH(ROWS($AH$2:AH582),$AH$2:$AH$1001,0),0), INDEX($AO$1004:$BQ$1004,1,MATCH(COLUMNS($AO$1006:BQ1006),$AO$1006:$BQ$1006,0)))),"Fix")))</f>
        <v>#REF!</v>
      </c>
      <c r="AH582">
        <f ca="1"/>
        <v>579</v>
      </c>
      <c r="AI582">
        <v>100582</v>
      </c>
      <c r="AJ582">
        <v>582</v>
      </c>
      <c r="AK582" t="b">
        <f t="shared" si="9"/>
        <v>1</v>
      </c>
      <c r="AL582" t="b">
        <f>COUNTBLANK(Metadata!B582:AD582)=COLUMNS(Metadata!B582:AD582)</f>
        <v>1</v>
      </c>
      <c r="AM582" t="str">
        <v/>
      </c>
      <c r="AO582" t="b">
        <f ca="1">AND(IF(Metadata!B582="",FALSE,TRUE),COUNTIF(Metadata!B:B, Metadata!B582) = 1,NOT(ISERROR(SUMPRODUCT(SEARCH(MID(Metadata!B582,ROW(INDIRECT("1:"&amp;LEN(Metadata!B582))), 1),"0123456789abcdefghijklmnopqrstuvwxyzABCDEFGHIJKLMNOPQRSTUVWXYZ.")))))</f>
        <v>0</v>
      </c>
      <c r="AP582" t="b">
        <f>IF(Metadata!C582="",FALSE,TRUE)</f>
        <v>0</v>
      </c>
      <c r="AQ582" t="b">
        <f>IF(Metadata!D582="",FALSE,TRUE)</f>
        <v>0</v>
      </c>
      <c r="AR582" t="b">
        <f ca="1">OR(AND(IF(Metadata!E582="",FALSE,TRUE),OR(EXACT(Metadata!E582,"not collected"),EXACT(Metadata!E582,"not provided"),EXACT(Metadata!E582,"restricted access"))),AND(IF(Metadata!E582="",FALSE,TRUE),AND(AND(IFERROR(INT(LEFT(Metadata!E582,4))&gt;1900,FALSE),IFERROR(INT(LEFT(Metadata!E582,4))&lt;=YEAR(NOW()),FALSE)), OR(MID(Metadata!E582,5,1)="", AND(AND(MID(Metadata!E582,5,1)="-",IFERROR(INT(MID(Metadata!E582,6,1))&gt;=0,FALSE),IFERROR(INT(MID(Metadata!E582,6,1))&lt;=1,FALSE),NOT(MID(Metadata!E582,7,1)=""),IFERROR(INT(MID(Metadata!E582,6,2))&gt;=1,FALSE),IFERROR(INT(MID(Metadata!E582,6,2))&lt;=12,FALSE)), OR(MID(Metadata!E582,8,1)="", AND(AND(MID(Metadata!E582,8,1)="-",IFERROR(INT(MID(Metadata!E582,9,1))&gt;=0,FALSE),IFERROR(INT(MID(Metadata!E582,9,1))&lt;=3,FALSE),NOT(MID(Metadata!E582,10,1)=""),IFERROR(INT(MID(Metadata!E582,9,2))&gt;=1,FALSE),IFERROR(INT(MID(Metadata!E582,9,2))&lt;=31,FALSE)), OR(MID(Metadata!E582,11,1)="", AND(AND(MID(Metadata!E582,11,1)=" ",IFERROR(INT(MID(Metadata!E582,12,1))&gt;=0,FALSE),IFERROR(INT(MID(Metadata!E582,12,1))&lt;=2,FALSE),NOT(MID(Metadata!E582,13,1)=""),IFERROR(INT(MID(Metadata!E582,12,2))&gt;=0,FALSE),IFERROR(INT(MID(Metadata!E582,12,2))&lt;=23,FALSE)), OR(MID(Metadata!E582,14,1)="", AND(AND(MID(Metadata!E582,14,1)=":",IFERROR(INT(MID(Metadata!E582,15,1))&gt;=0,FALSE),IFERROR(INT(MID(Metadata!E582,15,1))&lt;=5,FALSE),NOT(MID(Metadata!E582,16,1)=""),IFERROR(INT(MID(Metadata!E582,15,2))&gt;=0,FALSE),IFERROR(INT(MID(Metadata!E582,15,2))&lt;=59,FALSE)), OR(MID(Metadata!E582,17,1)="", AND(AND(MID(Metadata!E582,17,1)=":",IFERROR(INT(MID(Metadata!E582,18,1))&gt;=0,FALSE),IFERROR(INT(MID(Metadata!E582,18,1))&lt;=5,FALSE),NOT(MID(Metadata!E582,19,1)=""),IFERROR(INT(MID(Metadata!E582,18,2))&gt;=0,FALSE),IFERROR(INT(MID(Metadata!E582,18,2))&lt;=59,FALSE)), LEN(Metadata!E582)&lt;=19)))))))))))))</f>
        <v>0</v>
      </c>
      <c r="AS582" t="b">
        <f>IF(Metadata!F582="",FALSE,TRUE)</f>
        <v>0</v>
      </c>
      <c r="AT582" t="b">
        <f>OR(AND(IF(Metadata!G582="",FALSE,TRUE),OR(EXACT(Metadata!G582,"not collected"),EXACT(Metadata!G582,"not provided"))),AND(IF(Metadata!G582="",FALSE,TRUE),OR(EXACT(Metadata!G582,"TRUE"),EXACT(Metadata!G582,"FALSE"))))</f>
        <v>0</v>
      </c>
      <c r="AU582" t="b">
        <f>OR(AND(IF(Metadata!H582="",FALSE,TRUE),OR(EXACT(Metadata!H582,"not collected"),EXACT(Metadata!H582,"not provided"),EXACT(Metadata!H582,"restricted access"))),AND(IF(Metadata!H582="",FALSE,ISNUMBER(VALUE(Metadata!H582))),Metadata!H582&gt;=-413))</f>
        <v>0</v>
      </c>
      <c r="AV582" t="b">
        <f>AND(IF(Metadata!I582="",FALSE,TRUE),EXACT(Metadata!I582,"meters"))</f>
        <v>0</v>
      </c>
      <c r="AW582" t="b">
        <f>AND(IF(Metadata!J582="",FALSE,TRUE),EXACT(Metadata!J582,"free-living"))</f>
        <v>0</v>
      </c>
      <c r="AX582" t="b">
        <f>AND(IF(Metadata!K582="",FALSE,TRUE),OR(EXACT(Metadata!K582,"saline"),EXACT(Metadata!K582,"non-saline")))</f>
        <v>0</v>
      </c>
      <c r="AY582" t="b">
        <f>AND(IF(Metadata!L582="",FALSE,TRUE),OR(EXACT(Metadata!L582,"sub-surface (non-saline)"),EXACT(Metadata!L582,"surface (non-saline)"),EXACT(Metadata!L582,"water (non-saline)"),EXACT(Metadata!L582,"soil (non-saline)"),EXACT(Metadata!L582,"aerosol (non-saline)"),EXACT(Metadata!L582,"sediment (non-saline)"),EXACT(Metadata!L582,"surface (saline)"),EXACT(Metadata!L582,"water (saline)"),EXACT(Metadata!L582,"hypersaline (saline)"),EXACT(Metadata!L582,"aerosol (saline)"),EXACT(Metadata!L582,"sediment (saline)")))</f>
        <v>0</v>
      </c>
      <c r="AZ582" t="b">
        <f>IF(Metadata!M582="",FALSE,TRUE)</f>
        <v>0</v>
      </c>
      <c r="BA582" t="b">
        <f>IF(Metadata!N582="",FALSE,TRUE)</f>
        <v>0</v>
      </c>
      <c r="BB582" t="b">
        <f>IF(Metadata!O582="",FALSE,TRUE)</f>
        <v>0</v>
      </c>
      <c r="BC582" t="b">
        <f>AND(IF(Metadata!P582="",FALSE,TRUE),OR(EXACT(Metadata!P582,"air"),EXACT(Metadata!P582,"microbial mat/biofilm"),EXACT(Metadata!P582,"misc environment"),EXACT(Metadata!P582,"sediment"),EXACT(Metadata!P582,"soil"),EXACT(Metadata!P582,"wastewater/sludge"),EXACT(Metadata!P582,"water")))</f>
        <v>0</v>
      </c>
      <c r="BD582" t="b">
        <f>IF(Metadata!Q582="",FALSE,TRUE)</f>
        <v>0</v>
      </c>
      <c r="BE582" t="b">
        <f>IF(Metadata!R582="",FALSE,TRUE)</f>
        <v>0</v>
      </c>
      <c r="BF582" t="b">
        <f>OR(AND(IF(Metadata!S582="",FALSE,TRUE),OR(EXACT(Metadata!S582,"not collected"),EXACT(Metadata!S582,"not provided"),EXACT(Metadata!S582,"restricted access"))),AND(IF(Metadata!S582="",FALSE,ISNUMBER(VALUE(Metadata!S582))),Metadata!S582&gt;=-90,Metadata!S582&lt;=90))</f>
        <v>0</v>
      </c>
      <c r="BG582" t="b">
        <f>AND(IF(Metadata!T582="",FALSE,TRUE),EXACT(Metadata!T582,"Decimal degrees"))</f>
        <v>0</v>
      </c>
      <c r="BH582" t="b">
        <f>OR(AND(IF(Metadata!U582="",FALSE,TRUE),OR(EXACT(Metadata!U582,"not applicable"),EXACT(Metadata!U582,"not collected"))),IF(Metadata!U582="",FALSE,TRUE))</f>
        <v>0</v>
      </c>
      <c r="BI582" t="b">
        <f>OR(AND(IF(Metadata!V582="",FALSE,TRUE),OR(EXACT(Metadata!V582,"not collected"),EXACT(Metadata!V582,"not provided"),EXACT(Metadata!V582,"restricted access"))),AND(IF(Metadata!V582="",FALSE,ISNUMBER(VALUE(Metadata!V582))),Metadata!V582&gt;=-180,Metadata!V582&lt;=180))</f>
        <v>0</v>
      </c>
      <c r="BJ582" t="b">
        <f>AND(IF(Metadata!W582="",FALSE,TRUE),EXACT(Metadata!W582,"Decimal degrees"))</f>
        <v>0</v>
      </c>
      <c r="BK582" t="b">
        <f>IF(Metadata!X582="",FALSE,TRUE)</f>
        <v>0</v>
      </c>
      <c r="BL582" t="b">
        <f>OR(AND(IF(Metadata!Y582="",FALSE,TRUE),OR(EXACT(Metadata!Y582,"not collected"),EXACT(Metadata!Y582,"not provided"),EXACT(Metadata!Y582,"restricted access"))),AND(IF(Metadata!Y582="",FALSE,TRUE),OR(EXACT(Metadata!Y582,"TRUE"),EXACT(Metadata!Y582,"FALSE"))))</f>
        <v>0</v>
      </c>
      <c r="BM582" t="b">
        <f>OR(AND(IF(Metadata!Z582="",FALSE,TRUE),EXACT(Metadata!Z582,"not applicable")),AND(IF(Metadata!Z582="",FALSE,TRUE),OR(EXACT(Metadata!Z582,"beer"),EXACT(Metadata!Z582,"cheese"),EXACT(Metadata!Z582,"fresh water"),EXACT(Metadata!Z582,"marine sediment"),EXACT(Metadata!Z582,"sea water"),EXACT(Metadata!Z582,"sediment"),EXACT(Metadata!Z582,"soil"),EXACT(Metadata!Z582,"waste water"))))</f>
        <v>0</v>
      </c>
      <c r="BN582" t="b">
        <f>AND(IF(Metadata!AA582="",FALSE,TRUE),EXACT(Metadata!AA582,"metagenome"))</f>
        <v>0</v>
      </c>
      <c r="BO582" t="b">
        <f>AND(IF(Metadata!AB582="",FALSE,TRUE),EXACT(Metadata!AB582,"256318"))</f>
        <v>0</v>
      </c>
      <c r="BP582" t="b">
        <f>IF(Metadata!AC582="",FALSE,TRUE)</f>
        <v>0</v>
      </c>
      <c r="BQ582" t="b">
        <f>IF(Metadata!AD582="",FALSE,TRUE)</f>
        <v>0</v>
      </c>
    </row>
    <row r="583" spans="1:69" x14ac:dyDescent="0.2">
      <c r="A583" s="4" t="e">
        <f ca="1">IF(B583=" "," ",HYPERLINK(CONCATENATE("#metadata!",ADDRESS(INDEX($AJ$2:$AJ$1001,MATCH(ROWS($AH$2:AH583),$AH$2:$AH$1001,0),0),2)),INDEX($AM$2:$AM$1001,MATCH(ROWS($AH$2:AH583),$AH$2:$AH$1001,0),0)))</f>
        <v>#N/A</v>
      </c>
      <c r="B583" s="5" t="e">
        <f ca="1">IF(OR(INDEX($AI$2:$AI$1001,MATCH(ROWS($AH$2:AH583),$AH$2:$AH$1001,0),1)&gt;=100000,INDEX($AO$1005:$BQ$1005,1,MATCH(COLUMNS($AO$1006:AO1006),$AO$1006:$BQ$1006,0))&gt;=100000), " ",IF(INDEX($AO$2:$BQ$1001,MATCH(ROWS($AH$2:AH583),$AH$2:$AH$1001,0),MATCH(COLUMNS($AO$1006:AO1006),$AO$1006:$BQ$1006,0)), HYPERLINK("#",""), HYPERLINK(CONCATENATE("#Metadata!", ADDRESS(INDEX($AJ$2:$AJ$1001,MATCH(ROWS($AH$2:AH583),$AH$2:$AH$1001,0),0), INDEX($AO$1004:$BQ$1004,1,MATCH(COLUMNS($AO$1006:AO1006),$AO$1006:$BQ$1006,0)))),"Fix")))</f>
        <v>#N/A</v>
      </c>
      <c r="C583" s="5" t="e">
        <f ca="1">IF(OR(INDEX($AI$2:$AI$1001,MATCH(ROWS($AH$2:AH583),$AH$2:$AH$1001,0),1)&gt;=100000,INDEX($AO$1005:$BQ$1005,1,MATCH(COLUMNS($AO$1006:AP1006),$AO$1006:$BQ$1006,0))&gt;=100000), " ",IF(INDEX($AO$2:$BQ$1001,MATCH(ROWS($AH$2:AH583),$AH$2:$AH$1001,0),MATCH(COLUMNS($AO$1006:AP1006),$AO$1006:$BQ$1006,0)), HYPERLINK("#",""), HYPERLINK(CONCATENATE("#Metadata!", ADDRESS(INDEX($AJ$2:$AJ$1001,MATCH(ROWS($AH$2:AH583),$AH$2:$AH$1001,0),0), INDEX($AO$1004:$BQ$1004,1,MATCH(COLUMNS($AO$1006:AP1006),$AO$1006:$BQ$1006,0)))),"Fix")))</f>
        <v>#N/A</v>
      </c>
      <c r="D583" s="5" t="e">
        <f ca="1">IF(OR(INDEX($AI$2:$AI$1001,MATCH(ROWS($AH$2:AH583),$AH$2:$AH$1001,0),1)&gt;=100000,INDEX($AO$1005:$BQ$1005,1,MATCH(COLUMNS($AO$1006:AQ1006),$AO$1006:$BQ$1006,0))&gt;=100000), " ",IF(INDEX($AO$2:$BQ$1001,MATCH(ROWS($AH$2:AH583),$AH$2:$AH$1001,0),MATCH(COLUMNS($AO$1006:AQ1006),$AO$1006:$BQ$1006,0)), HYPERLINK("#",""), HYPERLINK(CONCATENATE("#Metadata!", ADDRESS(INDEX($AJ$2:$AJ$1001,MATCH(ROWS($AH$2:AH583),$AH$2:$AH$1001,0),0), INDEX($AO$1004:$BQ$1004,1,MATCH(COLUMNS($AO$1006:AQ1006),$AO$1006:$BQ$1006,0)))),"Fix")))</f>
        <v>#N/A</v>
      </c>
      <c r="E583" s="5" t="e">
        <f ca="1">IF(OR(INDEX($AI$2:$AI$1001,MATCH(ROWS($AH$2:AH583),$AH$2:$AH$1001,0),1)&gt;=100000,INDEX($AO$1005:$BQ$1005,1,MATCH(COLUMNS($AO$1006:AR1006),$AO$1006:$BQ$1006,0))&gt;=100000), " ",IF(INDEX($AO$2:$BQ$1001,MATCH(ROWS($AH$2:AH583),$AH$2:$AH$1001,0),MATCH(COLUMNS($AO$1006:AR1006),$AO$1006:$BQ$1006,0)), HYPERLINK("#",""), HYPERLINK(CONCATENATE("#Metadata!", ADDRESS(INDEX($AJ$2:$AJ$1001,MATCH(ROWS($AH$2:AH583),$AH$2:$AH$1001,0),0), INDEX($AO$1004:$BQ$1004,1,MATCH(COLUMNS($AO$1006:AR1006),$AO$1006:$BQ$1006,0)))),"Fix")))</f>
        <v>#N/A</v>
      </c>
      <c r="F583" s="5" t="e">
        <f ca="1">IF(OR(INDEX($AI$2:$AI$1001,MATCH(ROWS($AH$2:AH583),$AH$2:$AH$1001,0),1)&gt;=100000,INDEX($AO$1005:$BQ$1005,1,MATCH(COLUMNS($AO$1006:AS1006),$AO$1006:$BQ$1006,0))&gt;=100000), " ",IF(INDEX($AO$2:$BQ$1001,MATCH(ROWS($AH$2:AH583),$AH$2:$AH$1001,0),MATCH(COLUMNS($AO$1006:AS1006),$AO$1006:$BQ$1006,0)), HYPERLINK("#",""), HYPERLINK(CONCATENATE("#Metadata!", ADDRESS(INDEX($AJ$2:$AJ$1001,MATCH(ROWS($AH$2:AH583),$AH$2:$AH$1001,0),0), INDEX($AO$1004:$BQ$1004,1,MATCH(COLUMNS($AO$1006:AS1006),$AO$1006:$BQ$1006,0)))),"Fix")))</f>
        <v>#N/A</v>
      </c>
      <c r="G583" s="5" t="e">
        <f ca="1">IF(OR(INDEX($AI$2:$AI$1001,MATCH(ROWS($AH$2:AH583),$AH$2:$AH$1001,0),1)&gt;=100000,INDEX($AO$1005:$BQ$1005,1,MATCH(COLUMNS($AO$1006:AT1006),$AO$1006:$BQ$1006,0))&gt;=100000), " ",IF(INDEX($AO$2:$BQ$1001,MATCH(ROWS($AH$2:AH583),$AH$2:$AH$1001,0),MATCH(COLUMNS($AO$1006:AT1006),$AO$1006:$BQ$1006,0)), HYPERLINK("#",""), HYPERLINK(CONCATENATE("#Metadata!", ADDRESS(INDEX($AJ$2:$AJ$1001,MATCH(ROWS($AH$2:AH583),$AH$2:$AH$1001,0),0), INDEX($AO$1004:$BQ$1004,1,MATCH(COLUMNS($AO$1006:AT1006),$AO$1006:$BQ$1006,0)))),"Fix")))</f>
        <v>#N/A</v>
      </c>
      <c r="H583" s="5" t="e">
        <f ca="1">IF(OR(INDEX($AI$2:$AI$1001,MATCH(ROWS($AH$2:AH583),$AH$2:$AH$1001,0),1)&gt;=100000,INDEX($AO$1005:$BQ$1005,1,MATCH(COLUMNS($AO$1006:AU1006),$AO$1006:$BQ$1006,0))&gt;=100000), " ",IF(INDEX($AO$2:$BQ$1001,MATCH(ROWS($AH$2:AH583),$AH$2:$AH$1001,0),MATCH(COLUMNS($AO$1006:AU1006),$AO$1006:$BQ$1006,0)), HYPERLINK("#",""), HYPERLINK(CONCATENATE("#Metadata!", ADDRESS(INDEX($AJ$2:$AJ$1001,MATCH(ROWS($AH$2:AH583),$AH$2:$AH$1001,0),0), INDEX($AO$1004:$BQ$1004,1,MATCH(COLUMNS($AO$1006:AU1006),$AO$1006:$BQ$1006,0)))),"Fix")))</f>
        <v>#N/A</v>
      </c>
      <c r="I583" s="5" t="e">
        <f ca="1">IF(OR(INDEX($AI$2:$AI$1001,MATCH(ROWS($AH$2:AH583),$AH$2:$AH$1001,0),1)&gt;=100000,INDEX($AO$1005:$BQ$1005,1,MATCH(COLUMNS($AO$1006:AV1006),$AO$1006:$BQ$1006,0))&gt;=100000), " ",IF(INDEX($AO$2:$BQ$1001,MATCH(ROWS($AH$2:AH583),$AH$2:$AH$1001,0),MATCH(COLUMNS($AO$1006:AV1006),$AO$1006:$BQ$1006,0)), HYPERLINK("#",""), HYPERLINK(CONCATENATE("#Metadata!", ADDRESS(INDEX($AJ$2:$AJ$1001,MATCH(ROWS($AH$2:AH583),$AH$2:$AH$1001,0),0), INDEX($AO$1004:$BQ$1004,1,MATCH(COLUMNS($AO$1006:AV1006),$AO$1006:$BQ$1006,0)))),"Fix")))</f>
        <v>#N/A</v>
      </c>
      <c r="J583" s="5" t="e">
        <f ca="1">IF(OR(INDEX($AI$2:$AI$1001,MATCH(ROWS($AH$2:AH583),$AH$2:$AH$1001,0),1)&gt;=100000,INDEX($AO$1005:$BQ$1005,1,MATCH(COLUMNS($AO$1006:AW1006),$AO$1006:$BQ$1006,0))&gt;=100000), " ",IF(INDEX($AO$2:$BQ$1001,MATCH(ROWS($AH$2:AH583),$AH$2:$AH$1001,0),MATCH(COLUMNS($AO$1006:AW1006),$AO$1006:$BQ$1006,0)), HYPERLINK("#",""), HYPERLINK(CONCATENATE("#Metadata!", ADDRESS(INDEX($AJ$2:$AJ$1001,MATCH(ROWS($AH$2:AH583),$AH$2:$AH$1001,0),0), INDEX($AO$1004:$BQ$1004,1,MATCH(COLUMNS($AO$1006:AW1006),$AO$1006:$BQ$1006,0)))),"Fix")))</f>
        <v>#N/A</v>
      </c>
      <c r="K583" s="5" t="e">
        <f ca="1">IF(OR(INDEX($AI$2:$AI$1001,MATCH(ROWS($AH$2:AH583),$AH$2:$AH$1001,0),1)&gt;=100000,INDEX($AO$1005:$BQ$1005,1,MATCH(COLUMNS($AO$1006:AX1006),$AO$1006:$BQ$1006,0))&gt;=100000), " ",IF(INDEX($AO$2:$BQ$1001,MATCH(ROWS($AH$2:AH583),$AH$2:$AH$1001,0),MATCH(COLUMNS($AO$1006:AX1006),$AO$1006:$BQ$1006,0)), HYPERLINK("#",""), HYPERLINK(CONCATENATE("#Metadata!", ADDRESS(INDEX($AJ$2:$AJ$1001,MATCH(ROWS($AH$2:AH583),$AH$2:$AH$1001,0),0), INDEX($AO$1004:$BQ$1004,1,MATCH(COLUMNS($AO$1006:AX1006),$AO$1006:$BQ$1006,0)))),"Fix")))</f>
        <v>#N/A</v>
      </c>
      <c r="L583" s="5" t="e">
        <f ca="1">IF(OR(INDEX($AI$2:$AI$1001,MATCH(ROWS($AH$2:AH583),$AH$2:$AH$1001,0),1)&gt;=100000,INDEX($AO$1005:$BQ$1005,1,MATCH(COLUMNS($AO$1006:AY1006),$AO$1006:$BQ$1006,0))&gt;=100000), " ",IF(INDEX($AO$2:$BQ$1001,MATCH(ROWS($AH$2:AH583),$AH$2:$AH$1001,0),MATCH(COLUMNS($AO$1006:AY1006),$AO$1006:$BQ$1006,0)), HYPERLINK("#",""), HYPERLINK(CONCATENATE("#Metadata!", ADDRESS(INDEX($AJ$2:$AJ$1001,MATCH(ROWS($AH$2:AH583),$AH$2:$AH$1001,0),0), INDEX($AO$1004:$BQ$1004,1,MATCH(COLUMNS($AO$1006:AY1006),$AO$1006:$BQ$1006,0)))),"Fix")))</f>
        <v>#N/A</v>
      </c>
      <c r="M583" s="5" t="e">
        <f ca="1">IF(OR(INDEX($AI$2:$AI$1001,MATCH(ROWS($AH$2:AH583),$AH$2:$AH$1001,0),1)&gt;=100000,INDEX($AO$1005:$BQ$1005,1,MATCH(COLUMNS($AO$1006:AZ1006),$AO$1006:$BQ$1006,0))&gt;=100000), " ",IF(INDEX($AO$2:$BQ$1001,MATCH(ROWS($AH$2:AH583),$AH$2:$AH$1001,0),MATCH(COLUMNS($AO$1006:AZ1006),$AO$1006:$BQ$1006,0)), HYPERLINK("#",""), HYPERLINK(CONCATENATE("#Metadata!", ADDRESS(INDEX($AJ$2:$AJ$1001,MATCH(ROWS($AH$2:AH583),$AH$2:$AH$1001,0),0), INDEX($AO$1004:$BQ$1004,1,MATCH(COLUMNS($AO$1006:AZ1006),$AO$1006:$BQ$1006,0)))),"Fix")))</f>
        <v>#N/A</v>
      </c>
      <c r="N583" s="5" t="e">
        <f ca="1">IF(OR(INDEX($AI$2:$AI$1001,MATCH(ROWS($AH$2:AH583),$AH$2:$AH$1001,0),1)&gt;=100000,INDEX($AO$1005:$BQ$1005,1,MATCH(COLUMNS($AO$1006:BA1006),$AO$1006:$BQ$1006,0))&gt;=100000), " ",IF(INDEX($AO$2:$BQ$1001,MATCH(ROWS($AH$2:AH583),$AH$2:$AH$1001,0),MATCH(COLUMNS($AO$1006:BA1006),$AO$1006:$BQ$1006,0)), HYPERLINK("#",""), HYPERLINK(CONCATENATE("#Metadata!", ADDRESS(INDEX($AJ$2:$AJ$1001,MATCH(ROWS($AH$2:AH583),$AH$2:$AH$1001,0),0), INDEX($AO$1004:$BQ$1004,1,MATCH(COLUMNS($AO$1006:BA1006),$AO$1006:$BQ$1006,0)))),"Fix")))</f>
        <v>#N/A</v>
      </c>
      <c r="O583" s="5" t="e">
        <f ca="1">IF(OR(INDEX($AI$2:$AI$1001,MATCH(ROWS($AH$2:AH583),$AH$2:$AH$1001,0),1)&gt;=100000,INDEX($AO$1005:$BQ$1005,1,MATCH(COLUMNS($AO$1006:BB1006),$AO$1006:$BQ$1006,0))&gt;=100000), " ",IF(INDEX($AO$2:$BQ$1001,MATCH(ROWS($AH$2:AH583),$AH$2:$AH$1001,0),MATCH(COLUMNS($AO$1006:BB1006),$AO$1006:$BQ$1006,0)), HYPERLINK("#",""), HYPERLINK(CONCATENATE("#Metadata!", ADDRESS(INDEX($AJ$2:$AJ$1001,MATCH(ROWS($AH$2:AH583),$AH$2:$AH$1001,0),0), INDEX($AO$1004:$BQ$1004,1,MATCH(COLUMNS($AO$1006:BB1006),$AO$1006:$BQ$1006,0)))),"Fix")))</f>
        <v>#N/A</v>
      </c>
      <c r="P583" s="5" t="e">
        <f ca="1">IF(OR(INDEX($AI$2:$AI$1001,MATCH(ROWS($AH$2:AH583),$AH$2:$AH$1001,0),1)&gt;=100000,INDEX($AO$1005:$BQ$1005,1,MATCH(COLUMNS($AO$1006:BC1006),$AO$1006:$BQ$1006,0))&gt;=100000), " ",IF(INDEX($AO$2:$BQ$1001,MATCH(ROWS($AH$2:AH583),$AH$2:$AH$1001,0),MATCH(COLUMNS($AO$1006:BC1006),$AO$1006:$BQ$1006,0)), HYPERLINK("#",""), HYPERLINK(CONCATENATE("#Metadata!", ADDRESS(INDEX($AJ$2:$AJ$1001,MATCH(ROWS($AH$2:AH583),$AH$2:$AH$1001,0),0), INDEX($AO$1004:$BQ$1004,1,MATCH(COLUMNS($AO$1006:BC1006),$AO$1006:$BQ$1006,0)))),"Fix")))</f>
        <v>#N/A</v>
      </c>
      <c r="Q583" s="5" t="e">
        <f ca="1">IF(OR(INDEX($AI$2:$AI$1001,MATCH(ROWS($AH$2:AH583),$AH$2:$AH$1001,0),1)&gt;=100000,INDEX($AO$1005:$BQ$1005,1,MATCH(COLUMNS($AO$1006:BD1006),$AO$1006:$BQ$1006,0))&gt;=100000), " ",IF(INDEX($AO$2:$BQ$1001,MATCH(ROWS($AH$2:AH583),$AH$2:$AH$1001,0),MATCH(COLUMNS($AO$1006:BD1006),$AO$1006:$BQ$1006,0)), HYPERLINK("#",""), HYPERLINK(CONCATENATE("#Metadata!", ADDRESS(INDEX($AJ$2:$AJ$1001,MATCH(ROWS($AH$2:AH583),$AH$2:$AH$1001,0),0), INDEX($AO$1004:$BQ$1004,1,MATCH(COLUMNS($AO$1006:BD1006),$AO$1006:$BQ$1006,0)))),"Fix")))</f>
        <v>#N/A</v>
      </c>
      <c r="R583" s="5" t="e">
        <f ca="1">IF(OR(INDEX($AI$2:$AI$1001,MATCH(ROWS($AH$2:AH583),$AH$2:$AH$1001,0),1)&gt;=100000,INDEX($AO$1005:$BQ$1005,1,MATCH(COLUMNS($AO$1006:BE1006),$AO$1006:$BQ$1006,0))&gt;=100000), " ",IF(INDEX($AO$2:$BQ$1001,MATCH(ROWS($AH$2:AH583),$AH$2:$AH$1001,0),MATCH(COLUMNS($AO$1006:BE1006),$AO$1006:$BQ$1006,0)), HYPERLINK("#",""), HYPERLINK(CONCATENATE("#Metadata!", ADDRESS(INDEX($AJ$2:$AJ$1001,MATCH(ROWS($AH$2:AH583),$AH$2:$AH$1001,0),0), INDEX($AO$1004:$BQ$1004,1,MATCH(COLUMNS($AO$1006:BE1006),$AO$1006:$BQ$1006,0)))),"Fix")))</f>
        <v>#N/A</v>
      </c>
      <c r="S583" s="5" t="e">
        <f ca="1">IF(OR(INDEX($AI$2:$AI$1001,MATCH(ROWS($AH$2:AH583),$AH$2:$AH$1001,0),1)&gt;=100000,INDEX($AO$1005:$BQ$1005,1,MATCH(COLUMNS($AO$1006:BF1006),$AO$1006:$BQ$1006,0))&gt;=100000), " ",IF(INDEX($AO$2:$BQ$1001,MATCH(ROWS($AH$2:AH583),$AH$2:$AH$1001,0),MATCH(COLUMNS($AO$1006:BF1006),$AO$1006:$BQ$1006,0)), HYPERLINK("#",""), HYPERLINK(CONCATENATE("#Metadata!", ADDRESS(INDEX($AJ$2:$AJ$1001,MATCH(ROWS($AH$2:AH583),$AH$2:$AH$1001,0),0), INDEX($AO$1004:$BQ$1004,1,MATCH(COLUMNS($AO$1006:BF1006),$AO$1006:$BQ$1006,0)))),"Fix")))</f>
        <v>#N/A</v>
      </c>
      <c r="T583" s="5" t="e">
        <f ca="1">IF(OR(INDEX($AI$2:$AI$1001,MATCH(ROWS($AH$2:AH583),$AH$2:$AH$1001,0),1)&gt;=100000,INDEX($AO$1005:$BQ$1005,1,MATCH(COLUMNS($AO$1006:BG1006),$AO$1006:$BQ$1006,0))&gt;=100000), " ",IF(INDEX($AO$2:$BQ$1001,MATCH(ROWS($AH$2:AH583),$AH$2:$AH$1001,0),MATCH(COLUMNS($AO$1006:BG1006),$AO$1006:$BQ$1006,0)), HYPERLINK("#",""), HYPERLINK(CONCATENATE("#Metadata!", ADDRESS(INDEX($AJ$2:$AJ$1001,MATCH(ROWS($AH$2:AH583),$AH$2:$AH$1001,0),0), INDEX($AO$1004:$BQ$1004,1,MATCH(COLUMNS($AO$1006:BG1006),$AO$1006:$BQ$1006,0)))),"Fix")))</f>
        <v>#N/A</v>
      </c>
      <c r="U583" s="5" t="e">
        <f ca="1">IF(OR(INDEX($AI$2:$AI$1001,MATCH(ROWS($AH$2:AH583),$AH$2:$AH$1001,0),1)&gt;=100000,INDEX($AO$1005:$BQ$1005,1,MATCH(COLUMNS($AO$1006:BH1006),$AO$1006:$BQ$1006,0))&gt;=100000), " ",IF(INDEX($AO$2:$BQ$1001,MATCH(ROWS($AH$2:AH583),$AH$2:$AH$1001,0),MATCH(COLUMNS($AO$1006:BH1006),$AO$1006:$BQ$1006,0)), HYPERLINK("#",""), HYPERLINK(CONCATENATE("#Metadata!", ADDRESS(INDEX($AJ$2:$AJ$1001,MATCH(ROWS($AH$2:AH583),$AH$2:$AH$1001,0),0), INDEX($AO$1004:$BQ$1004,1,MATCH(COLUMNS($AO$1006:BH1006),$AO$1006:$BQ$1006,0)))),"Fix")))</f>
        <v>#N/A</v>
      </c>
      <c r="V583" s="5" t="e">
        <f ca="1">IF(OR(INDEX($AI$2:$AI$1001,MATCH(ROWS($AH$2:AH583),$AH$2:$AH$1001,0),1)&gt;=100000,INDEX($AO$1005:$BQ$1005,1,MATCH(COLUMNS($AO$1006:BI1006),$AO$1006:$BQ$1006,0))&gt;=100000), " ",IF(INDEX($AO$2:$BQ$1001,MATCH(ROWS($AH$2:AH583),$AH$2:$AH$1001,0),MATCH(COLUMNS($AO$1006:BI1006),$AO$1006:$BQ$1006,0)), HYPERLINK("#",""), HYPERLINK(CONCATENATE("#Metadata!", ADDRESS(INDEX($AJ$2:$AJ$1001,MATCH(ROWS($AH$2:AH583),$AH$2:$AH$1001,0),0), INDEX($AO$1004:$BQ$1004,1,MATCH(COLUMNS($AO$1006:BI1006),$AO$1006:$BQ$1006,0)))),"Fix")))</f>
        <v>#N/A</v>
      </c>
      <c r="W583" s="5" t="e">
        <f ca="1">IF(OR(INDEX($AI$2:$AI$1001,MATCH(ROWS($AH$2:AH583),$AH$2:$AH$1001,0),1)&gt;=100000,INDEX($AO$1005:$BQ$1005,1,MATCH(COLUMNS($AO$1006:BJ1006),$AO$1006:$BQ$1006,0))&gt;=100000), " ",IF(INDEX($AO$2:$BQ$1001,MATCH(ROWS($AH$2:AH583),$AH$2:$AH$1001,0),MATCH(COLUMNS($AO$1006:BJ1006),$AO$1006:$BQ$1006,0)), HYPERLINK("#",""), HYPERLINK(CONCATENATE("#Metadata!", ADDRESS(INDEX($AJ$2:$AJ$1001,MATCH(ROWS($AH$2:AH583),$AH$2:$AH$1001,0),0), INDEX($AO$1004:$BQ$1004,1,MATCH(COLUMNS($AO$1006:BJ1006),$AO$1006:$BQ$1006,0)))),"Fix")))</f>
        <v>#N/A</v>
      </c>
      <c r="X583" s="5" t="e">
        <f ca="1">IF(OR(INDEX($AI$2:$AI$1001,MATCH(ROWS($AH$2:AH583),$AH$2:$AH$1001,0),1)&gt;=100000,INDEX($AO$1005:$BQ$1005,1,MATCH(COLUMNS($AO$1006:BK1006),$AO$1006:$BQ$1006,0))&gt;=100000), " ",IF(INDEX($AO$2:$BQ$1001,MATCH(ROWS($AH$2:AH583),$AH$2:$AH$1001,0),MATCH(COLUMNS($AO$1006:BK1006),$AO$1006:$BQ$1006,0)), HYPERLINK("#",""), HYPERLINK(CONCATENATE("#Metadata!", ADDRESS(INDEX($AJ$2:$AJ$1001,MATCH(ROWS($AH$2:AH583),$AH$2:$AH$1001,0),0), INDEX($AO$1004:$BQ$1004,1,MATCH(COLUMNS($AO$1006:BK1006),$AO$1006:$BQ$1006,0)))),"Fix")))</f>
        <v>#N/A</v>
      </c>
      <c r="Y583" s="5" t="e">
        <f ca="1">IF(OR(INDEX($AI$2:$AI$1001,MATCH(ROWS($AH$2:AH583),$AH$2:$AH$1001,0),1)&gt;=100000,INDEX($AO$1005:$BQ$1005,1,MATCH(COLUMNS($AO$1006:BL1006),$AO$1006:$BQ$1006,0))&gt;=100000), " ",IF(INDEX($AO$2:$BQ$1001,MATCH(ROWS($AH$2:AH583),$AH$2:$AH$1001,0),MATCH(COLUMNS($AO$1006:BL1006),$AO$1006:$BQ$1006,0)), HYPERLINK("#",""), HYPERLINK(CONCATENATE("#Metadata!", ADDRESS(INDEX($AJ$2:$AJ$1001,MATCH(ROWS($AH$2:AH583),$AH$2:$AH$1001,0),0), INDEX($AO$1004:$BQ$1004,1,MATCH(COLUMNS($AO$1006:BL1006),$AO$1006:$BQ$1006,0)))),"Fix")))</f>
        <v>#N/A</v>
      </c>
      <c r="Z583" s="5" t="e">
        <f ca="1">IF(OR(INDEX($AI$2:$AI$1001,MATCH(ROWS($AH$2:AH583),$AH$2:$AH$1001,0),1)&gt;=100000,INDEX($AO$1005:$BQ$1005,1,MATCH(COLUMNS($AO$1006:BM1006),$AO$1006:$BQ$1006,0))&gt;=100000), " ",IF(INDEX($AO$2:$BQ$1001,MATCH(ROWS($AH$2:AH583),$AH$2:$AH$1001,0),MATCH(COLUMNS($AO$1006:BM1006),$AO$1006:$BQ$1006,0)), HYPERLINK("#",""), HYPERLINK(CONCATENATE("#Metadata!", ADDRESS(INDEX($AJ$2:$AJ$1001,MATCH(ROWS($AH$2:AH583),$AH$2:$AH$1001,0),0), INDEX($AO$1004:$BQ$1004,1,MATCH(COLUMNS($AO$1006:BM1006),$AO$1006:$BQ$1006,0)))),"Fix")))</f>
        <v>#N/A</v>
      </c>
      <c r="AA583" s="5" t="e">
        <f ca="1">IF(OR(INDEX($AI$2:$AI$1001,MATCH(ROWS($AH$2:AH583),$AH$2:$AH$1001,0),1)&gt;=100000,INDEX($AO$1005:$BQ$1005,1,MATCH(COLUMNS($AO$1006:BN1006),$AO$1006:$BQ$1006,0))&gt;=100000), " ",IF(INDEX($AO$2:$BQ$1001,MATCH(ROWS($AH$2:AH583),$AH$2:$AH$1001,0),MATCH(COLUMNS($AO$1006:BN1006),$AO$1006:$BQ$1006,0)), HYPERLINK("#",""), HYPERLINK(CONCATENATE("#Metadata!", ADDRESS(INDEX($AJ$2:$AJ$1001,MATCH(ROWS($AH$2:AH583),$AH$2:$AH$1001,0),0), INDEX($AO$1004:$BQ$1004,1,MATCH(COLUMNS($AO$1006:BN1006),$AO$1006:$BQ$1006,0)))),"Fix")))</f>
        <v>#N/A</v>
      </c>
      <c r="AB583" s="5" t="e">
        <f ca="1">IF(OR(INDEX($AI$2:$AI$1001,MATCH(ROWS($AH$2:AH583),$AH$2:$AH$1001,0),1)&gt;=100000,INDEX($AO$1005:$BQ$1005,1,MATCH(COLUMNS($AO$1006:BO1006),$AO$1006:$BQ$1006,0))&gt;=100000), " ",IF(INDEX($AO$2:$BQ$1001,MATCH(ROWS($AH$2:AH583),$AH$2:$AH$1001,0),MATCH(COLUMNS($AO$1006:BO1006),$AO$1006:$BQ$1006,0)), HYPERLINK("#",""), HYPERLINK(CONCATENATE("#Metadata!", ADDRESS(INDEX($AJ$2:$AJ$1001,MATCH(ROWS($AH$2:AH583),$AH$2:$AH$1001,0),0), INDEX($AO$1004:$BQ$1004,1,MATCH(COLUMNS($AO$1006:BO1006),$AO$1006:$BQ$1006,0)))),"Fix")))</f>
        <v>#N/A</v>
      </c>
      <c r="AC583" s="5" t="e">
        <f ca="1">IF(OR(INDEX($AI$2:$AI$1001,MATCH(ROWS($AH$2:AH583),$AH$2:$AH$1001,0),1)&gt;=100000,INDEX($AO$1005:$BQ$1005,1,MATCH(COLUMNS($AO$1006:BP1006),$AO$1006:$BQ$1006,0))&gt;=100000), " ",IF(INDEX($AO$2:$BQ$1001,MATCH(ROWS($AH$2:AH583),$AH$2:$AH$1001,0),MATCH(COLUMNS($AO$1006:BP1006),$AO$1006:$BQ$1006,0)), HYPERLINK("#",""), HYPERLINK(CONCATENATE("#Metadata!", ADDRESS(INDEX($AJ$2:$AJ$1001,MATCH(ROWS($AH$2:AH583),$AH$2:$AH$1001,0),0), INDEX($AO$1004:$BQ$1004,1,MATCH(COLUMNS($AO$1006:BP1006),$AO$1006:$BQ$1006,0)))),"Fix")))</f>
        <v>#N/A</v>
      </c>
      <c r="AD583" s="5" t="e">
        <f ca="1">IF(OR(INDEX($AI$2:$AI$1001,MATCH(ROWS($AH$2:AH583),$AH$2:$AH$1001,0),1)&gt;=100000,INDEX($AO$1005:$BQ$1005,1,MATCH(COLUMNS($AO$1006:BQ1006),$AO$1006:$BQ$1006,0))&gt;=100000), " ",IF(INDEX($AO$2:$BQ$1001,MATCH(ROWS($AH$2:AH583),$AH$2:$AH$1001,0),MATCH(COLUMNS($AO$1006:BQ1006),$AO$1006:$BQ$1006,0)), HYPERLINK("#",""), HYPERLINK(CONCATENATE("#Metadata!", ADDRESS(INDEX($AJ$2:$AJ$1001,MATCH(ROWS($AH$2:AH583),$AH$2:$AH$1001,0),0), INDEX($AO$1004:$BQ$1004,1,MATCH(COLUMNS($AO$1006:BQ1006),$AO$1006:$BQ$1006,0)))),"Fix")))</f>
        <v>#REF!</v>
      </c>
      <c r="AH583">
        <f ca="1"/>
        <v>580</v>
      </c>
      <c r="AI583">
        <v>100583</v>
      </c>
      <c r="AJ583">
        <v>583</v>
      </c>
      <c r="AK583" t="b">
        <f t="shared" si="9"/>
        <v>1</v>
      </c>
      <c r="AL583" t="b">
        <f>COUNTBLANK(Metadata!B583:AD583)=COLUMNS(Metadata!B583:AD583)</f>
        <v>1</v>
      </c>
      <c r="AM583" t="str">
        <v/>
      </c>
      <c r="AO583" t="b">
        <f ca="1">AND(IF(Metadata!B583="",FALSE,TRUE),COUNTIF(Metadata!B:B, Metadata!B583) = 1,NOT(ISERROR(SUMPRODUCT(SEARCH(MID(Metadata!B583,ROW(INDIRECT("1:"&amp;LEN(Metadata!B583))), 1),"0123456789abcdefghijklmnopqrstuvwxyzABCDEFGHIJKLMNOPQRSTUVWXYZ.")))))</f>
        <v>0</v>
      </c>
      <c r="AP583" t="b">
        <f>IF(Metadata!C583="",FALSE,TRUE)</f>
        <v>0</v>
      </c>
      <c r="AQ583" t="b">
        <f>IF(Metadata!D583="",FALSE,TRUE)</f>
        <v>0</v>
      </c>
      <c r="AR583" t="b">
        <f ca="1">OR(AND(IF(Metadata!E583="",FALSE,TRUE),OR(EXACT(Metadata!E583,"not collected"),EXACT(Metadata!E583,"not provided"),EXACT(Metadata!E583,"restricted access"))),AND(IF(Metadata!E583="",FALSE,TRUE),AND(AND(IFERROR(INT(LEFT(Metadata!E583,4))&gt;1900,FALSE),IFERROR(INT(LEFT(Metadata!E583,4))&lt;=YEAR(NOW()),FALSE)), OR(MID(Metadata!E583,5,1)="", AND(AND(MID(Metadata!E583,5,1)="-",IFERROR(INT(MID(Metadata!E583,6,1))&gt;=0,FALSE),IFERROR(INT(MID(Metadata!E583,6,1))&lt;=1,FALSE),NOT(MID(Metadata!E583,7,1)=""),IFERROR(INT(MID(Metadata!E583,6,2))&gt;=1,FALSE),IFERROR(INT(MID(Metadata!E583,6,2))&lt;=12,FALSE)), OR(MID(Metadata!E583,8,1)="", AND(AND(MID(Metadata!E583,8,1)="-",IFERROR(INT(MID(Metadata!E583,9,1))&gt;=0,FALSE),IFERROR(INT(MID(Metadata!E583,9,1))&lt;=3,FALSE),NOT(MID(Metadata!E583,10,1)=""),IFERROR(INT(MID(Metadata!E583,9,2))&gt;=1,FALSE),IFERROR(INT(MID(Metadata!E583,9,2))&lt;=31,FALSE)), OR(MID(Metadata!E583,11,1)="", AND(AND(MID(Metadata!E583,11,1)=" ",IFERROR(INT(MID(Metadata!E583,12,1))&gt;=0,FALSE),IFERROR(INT(MID(Metadata!E583,12,1))&lt;=2,FALSE),NOT(MID(Metadata!E583,13,1)=""),IFERROR(INT(MID(Metadata!E583,12,2))&gt;=0,FALSE),IFERROR(INT(MID(Metadata!E583,12,2))&lt;=23,FALSE)), OR(MID(Metadata!E583,14,1)="", AND(AND(MID(Metadata!E583,14,1)=":",IFERROR(INT(MID(Metadata!E583,15,1))&gt;=0,FALSE),IFERROR(INT(MID(Metadata!E583,15,1))&lt;=5,FALSE),NOT(MID(Metadata!E583,16,1)=""),IFERROR(INT(MID(Metadata!E583,15,2))&gt;=0,FALSE),IFERROR(INT(MID(Metadata!E583,15,2))&lt;=59,FALSE)), OR(MID(Metadata!E583,17,1)="", AND(AND(MID(Metadata!E583,17,1)=":",IFERROR(INT(MID(Metadata!E583,18,1))&gt;=0,FALSE),IFERROR(INT(MID(Metadata!E583,18,1))&lt;=5,FALSE),NOT(MID(Metadata!E583,19,1)=""),IFERROR(INT(MID(Metadata!E583,18,2))&gt;=0,FALSE),IFERROR(INT(MID(Metadata!E583,18,2))&lt;=59,FALSE)), LEN(Metadata!E583)&lt;=19)))))))))))))</f>
        <v>0</v>
      </c>
      <c r="AS583" t="b">
        <f>IF(Metadata!F583="",FALSE,TRUE)</f>
        <v>0</v>
      </c>
      <c r="AT583" t="b">
        <f>OR(AND(IF(Metadata!G583="",FALSE,TRUE),OR(EXACT(Metadata!G583,"not collected"),EXACT(Metadata!G583,"not provided"))),AND(IF(Metadata!G583="",FALSE,TRUE),OR(EXACT(Metadata!G583,"TRUE"),EXACT(Metadata!G583,"FALSE"))))</f>
        <v>0</v>
      </c>
      <c r="AU583" t="b">
        <f>OR(AND(IF(Metadata!H583="",FALSE,TRUE),OR(EXACT(Metadata!H583,"not collected"),EXACT(Metadata!H583,"not provided"),EXACT(Metadata!H583,"restricted access"))),AND(IF(Metadata!H583="",FALSE,ISNUMBER(VALUE(Metadata!H583))),Metadata!H583&gt;=-413))</f>
        <v>0</v>
      </c>
      <c r="AV583" t="b">
        <f>AND(IF(Metadata!I583="",FALSE,TRUE),EXACT(Metadata!I583,"meters"))</f>
        <v>0</v>
      </c>
      <c r="AW583" t="b">
        <f>AND(IF(Metadata!J583="",FALSE,TRUE),EXACT(Metadata!J583,"free-living"))</f>
        <v>0</v>
      </c>
      <c r="AX583" t="b">
        <f>AND(IF(Metadata!K583="",FALSE,TRUE),OR(EXACT(Metadata!K583,"saline"),EXACT(Metadata!K583,"non-saline")))</f>
        <v>0</v>
      </c>
      <c r="AY583" t="b">
        <f>AND(IF(Metadata!L583="",FALSE,TRUE),OR(EXACT(Metadata!L583,"sub-surface (non-saline)"),EXACT(Metadata!L583,"surface (non-saline)"),EXACT(Metadata!L583,"water (non-saline)"),EXACT(Metadata!L583,"soil (non-saline)"),EXACT(Metadata!L583,"aerosol (non-saline)"),EXACT(Metadata!L583,"sediment (non-saline)"),EXACT(Metadata!L583,"surface (saline)"),EXACT(Metadata!L583,"water (saline)"),EXACT(Metadata!L583,"hypersaline (saline)"),EXACT(Metadata!L583,"aerosol (saline)"),EXACT(Metadata!L583,"sediment (saline)")))</f>
        <v>0</v>
      </c>
      <c r="AZ583" t="b">
        <f>IF(Metadata!M583="",FALSE,TRUE)</f>
        <v>0</v>
      </c>
      <c r="BA583" t="b">
        <f>IF(Metadata!N583="",FALSE,TRUE)</f>
        <v>0</v>
      </c>
      <c r="BB583" t="b">
        <f>IF(Metadata!O583="",FALSE,TRUE)</f>
        <v>0</v>
      </c>
      <c r="BC583" t="b">
        <f>AND(IF(Metadata!P583="",FALSE,TRUE),OR(EXACT(Metadata!P583,"air"),EXACT(Metadata!P583,"microbial mat/biofilm"),EXACT(Metadata!P583,"misc environment"),EXACT(Metadata!P583,"sediment"),EXACT(Metadata!P583,"soil"),EXACT(Metadata!P583,"wastewater/sludge"),EXACT(Metadata!P583,"water")))</f>
        <v>0</v>
      </c>
      <c r="BD583" t="b">
        <f>IF(Metadata!Q583="",FALSE,TRUE)</f>
        <v>0</v>
      </c>
      <c r="BE583" t="b">
        <f>IF(Metadata!R583="",FALSE,TRUE)</f>
        <v>0</v>
      </c>
      <c r="BF583" t="b">
        <f>OR(AND(IF(Metadata!S583="",FALSE,TRUE),OR(EXACT(Metadata!S583,"not collected"),EXACT(Metadata!S583,"not provided"),EXACT(Metadata!S583,"restricted access"))),AND(IF(Metadata!S583="",FALSE,ISNUMBER(VALUE(Metadata!S583))),Metadata!S583&gt;=-90,Metadata!S583&lt;=90))</f>
        <v>0</v>
      </c>
      <c r="BG583" t="b">
        <f>AND(IF(Metadata!T583="",FALSE,TRUE),EXACT(Metadata!T583,"Decimal degrees"))</f>
        <v>0</v>
      </c>
      <c r="BH583" t="b">
        <f>OR(AND(IF(Metadata!U583="",FALSE,TRUE),OR(EXACT(Metadata!U583,"not applicable"),EXACT(Metadata!U583,"not collected"))),IF(Metadata!U583="",FALSE,TRUE))</f>
        <v>0</v>
      </c>
      <c r="BI583" t="b">
        <f>OR(AND(IF(Metadata!V583="",FALSE,TRUE),OR(EXACT(Metadata!V583,"not collected"),EXACT(Metadata!V583,"not provided"),EXACT(Metadata!V583,"restricted access"))),AND(IF(Metadata!V583="",FALSE,ISNUMBER(VALUE(Metadata!V583))),Metadata!V583&gt;=-180,Metadata!V583&lt;=180))</f>
        <v>0</v>
      </c>
      <c r="BJ583" t="b">
        <f>AND(IF(Metadata!W583="",FALSE,TRUE),EXACT(Metadata!W583,"Decimal degrees"))</f>
        <v>0</v>
      </c>
      <c r="BK583" t="b">
        <f>IF(Metadata!X583="",FALSE,TRUE)</f>
        <v>0</v>
      </c>
      <c r="BL583" t="b">
        <f>OR(AND(IF(Metadata!Y583="",FALSE,TRUE),OR(EXACT(Metadata!Y583,"not collected"),EXACT(Metadata!Y583,"not provided"),EXACT(Metadata!Y583,"restricted access"))),AND(IF(Metadata!Y583="",FALSE,TRUE),OR(EXACT(Metadata!Y583,"TRUE"),EXACT(Metadata!Y583,"FALSE"))))</f>
        <v>0</v>
      </c>
      <c r="BM583" t="b">
        <f>OR(AND(IF(Metadata!Z583="",FALSE,TRUE),EXACT(Metadata!Z583,"not applicable")),AND(IF(Metadata!Z583="",FALSE,TRUE),OR(EXACT(Metadata!Z583,"beer"),EXACT(Metadata!Z583,"cheese"),EXACT(Metadata!Z583,"fresh water"),EXACT(Metadata!Z583,"marine sediment"),EXACT(Metadata!Z583,"sea water"),EXACT(Metadata!Z583,"sediment"),EXACT(Metadata!Z583,"soil"),EXACT(Metadata!Z583,"waste water"))))</f>
        <v>0</v>
      </c>
      <c r="BN583" t="b">
        <f>AND(IF(Metadata!AA583="",FALSE,TRUE),EXACT(Metadata!AA583,"metagenome"))</f>
        <v>0</v>
      </c>
      <c r="BO583" t="b">
        <f>AND(IF(Metadata!AB583="",FALSE,TRUE),EXACT(Metadata!AB583,"256318"))</f>
        <v>0</v>
      </c>
      <c r="BP583" t="b">
        <f>IF(Metadata!AC583="",FALSE,TRUE)</f>
        <v>0</v>
      </c>
      <c r="BQ583" t="b">
        <f>IF(Metadata!AD583="",FALSE,TRUE)</f>
        <v>0</v>
      </c>
    </row>
    <row r="584" spans="1:69" x14ac:dyDescent="0.2">
      <c r="A584" s="4" t="e">
        <f ca="1">IF(B584=" "," ",HYPERLINK(CONCATENATE("#metadata!",ADDRESS(INDEX($AJ$2:$AJ$1001,MATCH(ROWS($AH$2:AH584),$AH$2:$AH$1001,0),0),2)),INDEX($AM$2:$AM$1001,MATCH(ROWS($AH$2:AH584),$AH$2:$AH$1001,0),0)))</f>
        <v>#N/A</v>
      </c>
      <c r="B584" s="5" t="e">
        <f ca="1">IF(OR(INDEX($AI$2:$AI$1001,MATCH(ROWS($AH$2:AH584),$AH$2:$AH$1001,0),1)&gt;=100000,INDEX($AO$1005:$BQ$1005,1,MATCH(COLUMNS($AO$1006:AO1006),$AO$1006:$BQ$1006,0))&gt;=100000), " ",IF(INDEX($AO$2:$BQ$1001,MATCH(ROWS($AH$2:AH584),$AH$2:$AH$1001,0),MATCH(COLUMNS($AO$1006:AO1006),$AO$1006:$BQ$1006,0)), HYPERLINK("#",""), HYPERLINK(CONCATENATE("#Metadata!", ADDRESS(INDEX($AJ$2:$AJ$1001,MATCH(ROWS($AH$2:AH584),$AH$2:$AH$1001,0),0), INDEX($AO$1004:$BQ$1004,1,MATCH(COLUMNS($AO$1006:AO1006),$AO$1006:$BQ$1006,0)))),"Fix")))</f>
        <v>#N/A</v>
      </c>
      <c r="C584" s="5" t="e">
        <f ca="1">IF(OR(INDEX($AI$2:$AI$1001,MATCH(ROWS($AH$2:AH584),$AH$2:$AH$1001,0),1)&gt;=100000,INDEX($AO$1005:$BQ$1005,1,MATCH(COLUMNS($AO$1006:AP1006),$AO$1006:$BQ$1006,0))&gt;=100000), " ",IF(INDEX($AO$2:$BQ$1001,MATCH(ROWS($AH$2:AH584),$AH$2:$AH$1001,0),MATCH(COLUMNS($AO$1006:AP1006),$AO$1006:$BQ$1006,0)), HYPERLINK("#",""), HYPERLINK(CONCATENATE("#Metadata!", ADDRESS(INDEX($AJ$2:$AJ$1001,MATCH(ROWS($AH$2:AH584),$AH$2:$AH$1001,0),0), INDEX($AO$1004:$BQ$1004,1,MATCH(COLUMNS($AO$1006:AP1006),$AO$1006:$BQ$1006,0)))),"Fix")))</f>
        <v>#N/A</v>
      </c>
      <c r="D584" s="5" t="e">
        <f ca="1">IF(OR(INDEX($AI$2:$AI$1001,MATCH(ROWS($AH$2:AH584),$AH$2:$AH$1001,0),1)&gt;=100000,INDEX($AO$1005:$BQ$1005,1,MATCH(COLUMNS($AO$1006:AQ1006),$AO$1006:$BQ$1006,0))&gt;=100000), " ",IF(INDEX($AO$2:$BQ$1001,MATCH(ROWS($AH$2:AH584),$AH$2:$AH$1001,0),MATCH(COLUMNS($AO$1006:AQ1006),$AO$1006:$BQ$1006,0)), HYPERLINK("#",""), HYPERLINK(CONCATENATE("#Metadata!", ADDRESS(INDEX($AJ$2:$AJ$1001,MATCH(ROWS($AH$2:AH584),$AH$2:$AH$1001,0),0), INDEX($AO$1004:$BQ$1004,1,MATCH(COLUMNS($AO$1006:AQ1006),$AO$1006:$BQ$1006,0)))),"Fix")))</f>
        <v>#N/A</v>
      </c>
      <c r="E584" s="5" t="e">
        <f ca="1">IF(OR(INDEX($AI$2:$AI$1001,MATCH(ROWS($AH$2:AH584),$AH$2:$AH$1001,0),1)&gt;=100000,INDEX($AO$1005:$BQ$1005,1,MATCH(COLUMNS($AO$1006:AR1006),$AO$1006:$BQ$1006,0))&gt;=100000), " ",IF(INDEX($AO$2:$BQ$1001,MATCH(ROWS($AH$2:AH584),$AH$2:$AH$1001,0),MATCH(COLUMNS($AO$1006:AR1006),$AO$1006:$BQ$1006,0)), HYPERLINK("#",""), HYPERLINK(CONCATENATE("#Metadata!", ADDRESS(INDEX($AJ$2:$AJ$1001,MATCH(ROWS($AH$2:AH584),$AH$2:$AH$1001,0),0), INDEX($AO$1004:$BQ$1004,1,MATCH(COLUMNS($AO$1006:AR1006),$AO$1006:$BQ$1006,0)))),"Fix")))</f>
        <v>#N/A</v>
      </c>
      <c r="F584" s="5" t="e">
        <f ca="1">IF(OR(INDEX($AI$2:$AI$1001,MATCH(ROWS($AH$2:AH584),$AH$2:$AH$1001,0),1)&gt;=100000,INDEX($AO$1005:$BQ$1005,1,MATCH(COLUMNS($AO$1006:AS1006),$AO$1006:$BQ$1006,0))&gt;=100000), " ",IF(INDEX($AO$2:$BQ$1001,MATCH(ROWS($AH$2:AH584),$AH$2:$AH$1001,0),MATCH(COLUMNS($AO$1006:AS1006),$AO$1006:$BQ$1006,0)), HYPERLINK("#",""), HYPERLINK(CONCATENATE("#Metadata!", ADDRESS(INDEX($AJ$2:$AJ$1001,MATCH(ROWS($AH$2:AH584),$AH$2:$AH$1001,0),0), INDEX($AO$1004:$BQ$1004,1,MATCH(COLUMNS($AO$1006:AS1006),$AO$1006:$BQ$1006,0)))),"Fix")))</f>
        <v>#N/A</v>
      </c>
      <c r="G584" s="5" t="e">
        <f ca="1">IF(OR(INDEX($AI$2:$AI$1001,MATCH(ROWS($AH$2:AH584),$AH$2:$AH$1001,0),1)&gt;=100000,INDEX($AO$1005:$BQ$1005,1,MATCH(COLUMNS($AO$1006:AT1006),$AO$1006:$BQ$1006,0))&gt;=100000), " ",IF(INDEX($AO$2:$BQ$1001,MATCH(ROWS($AH$2:AH584),$AH$2:$AH$1001,0),MATCH(COLUMNS($AO$1006:AT1006),$AO$1006:$BQ$1006,0)), HYPERLINK("#",""), HYPERLINK(CONCATENATE("#Metadata!", ADDRESS(INDEX($AJ$2:$AJ$1001,MATCH(ROWS($AH$2:AH584),$AH$2:$AH$1001,0),0), INDEX($AO$1004:$BQ$1004,1,MATCH(COLUMNS($AO$1006:AT1006),$AO$1006:$BQ$1006,0)))),"Fix")))</f>
        <v>#N/A</v>
      </c>
      <c r="H584" s="5" t="e">
        <f ca="1">IF(OR(INDEX($AI$2:$AI$1001,MATCH(ROWS($AH$2:AH584),$AH$2:$AH$1001,0),1)&gt;=100000,INDEX($AO$1005:$BQ$1005,1,MATCH(COLUMNS($AO$1006:AU1006),$AO$1006:$BQ$1006,0))&gt;=100000), " ",IF(INDEX($AO$2:$BQ$1001,MATCH(ROWS($AH$2:AH584),$AH$2:$AH$1001,0),MATCH(COLUMNS($AO$1006:AU1006),$AO$1006:$BQ$1006,0)), HYPERLINK("#",""), HYPERLINK(CONCATENATE("#Metadata!", ADDRESS(INDEX($AJ$2:$AJ$1001,MATCH(ROWS($AH$2:AH584),$AH$2:$AH$1001,0),0), INDEX($AO$1004:$BQ$1004,1,MATCH(COLUMNS($AO$1006:AU1006),$AO$1006:$BQ$1006,0)))),"Fix")))</f>
        <v>#N/A</v>
      </c>
      <c r="I584" s="5" t="e">
        <f ca="1">IF(OR(INDEX($AI$2:$AI$1001,MATCH(ROWS($AH$2:AH584),$AH$2:$AH$1001,0),1)&gt;=100000,INDEX($AO$1005:$BQ$1005,1,MATCH(COLUMNS($AO$1006:AV1006),$AO$1006:$BQ$1006,0))&gt;=100000), " ",IF(INDEX($AO$2:$BQ$1001,MATCH(ROWS($AH$2:AH584),$AH$2:$AH$1001,0),MATCH(COLUMNS($AO$1006:AV1006),$AO$1006:$BQ$1006,0)), HYPERLINK("#",""), HYPERLINK(CONCATENATE("#Metadata!", ADDRESS(INDEX($AJ$2:$AJ$1001,MATCH(ROWS($AH$2:AH584),$AH$2:$AH$1001,0),0), INDEX($AO$1004:$BQ$1004,1,MATCH(COLUMNS($AO$1006:AV1006),$AO$1006:$BQ$1006,0)))),"Fix")))</f>
        <v>#N/A</v>
      </c>
      <c r="J584" s="5" t="e">
        <f ca="1">IF(OR(INDEX($AI$2:$AI$1001,MATCH(ROWS($AH$2:AH584),$AH$2:$AH$1001,0),1)&gt;=100000,INDEX($AO$1005:$BQ$1005,1,MATCH(COLUMNS($AO$1006:AW1006),$AO$1006:$BQ$1006,0))&gt;=100000), " ",IF(INDEX($AO$2:$BQ$1001,MATCH(ROWS($AH$2:AH584),$AH$2:$AH$1001,0),MATCH(COLUMNS($AO$1006:AW1006),$AO$1006:$BQ$1006,0)), HYPERLINK("#",""), HYPERLINK(CONCATENATE("#Metadata!", ADDRESS(INDEX($AJ$2:$AJ$1001,MATCH(ROWS($AH$2:AH584),$AH$2:$AH$1001,0),0), INDEX($AO$1004:$BQ$1004,1,MATCH(COLUMNS($AO$1006:AW1006),$AO$1006:$BQ$1006,0)))),"Fix")))</f>
        <v>#N/A</v>
      </c>
      <c r="K584" s="5" t="e">
        <f ca="1">IF(OR(INDEX($AI$2:$AI$1001,MATCH(ROWS($AH$2:AH584),$AH$2:$AH$1001,0),1)&gt;=100000,INDEX($AO$1005:$BQ$1005,1,MATCH(COLUMNS($AO$1006:AX1006),$AO$1006:$BQ$1006,0))&gt;=100000), " ",IF(INDEX($AO$2:$BQ$1001,MATCH(ROWS($AH$2:AH584),$AH$2:$AH$1001,0),MATCH(COLUMNS($AO$1006:AX1006),$AO$1006:$BQ$1006,0)), HYPERLINK("#",""), HYPERLINK(CONCATENATE("#Metadata!", ADDRESS(INDEX($AJ$2:$AJ$1001,MATCH(ROWS($AH$2:AH584),$AH$2:$AH$1001,0),0), INDEX($AO$1004:$BQ$1004,1,MATCH(COLUMNS($AO$1006:AX1006),$AO$1006:$BQ$1006,0)))),"Fix")))</f>
        <v>#N/A</v>
      </c>
      <c r="L584" s="5" t="e">
        <f ca="1">IF(OR(INDEX($AI$2:$AI$1001,MATCH(ROWS($AH$2:AH584),$AH$2:$AH$1001,0),1)&gt;=100000,INDEX($AO$1005:$BQ$1005,1,MATCH(COLUMNS($AO$1006:AY1006),$AO$1006:$BQ$1006,0))&gt;=100000), " ",IF(INDEX($AO$2:$BQ$1001,MATCH(ROWS($AH$2:AH584),$AH$2:$AH$1001,0),MATCH(COLUMNS($AO$1006:AY1006),$AO$1006:$BQ$1006,0)), HYPERLINK("#",""), HYPERLINK(CONCATENATE("#Metadata!", ADDRESS(INDEX($AJ$2:$AJ$1001,MATCH(ROWS($AH$2:AH584),$AH$2:$AH$1001,0),0), INDEX($AO$1004:$BQ$1004,1,MATCH(COLUMNS($AO$1006:AY1006),$AO$1006:$BQ$1006,0)))),"Fix")))</f>
        <v>#N/A</v>
      </c>
      <c r="M584" s="5" t="e">
        <f ca="1">IF(OR(INDEX($AI$2:$AI$1001,MATCH(ROWS($AH$2:AH584),$AH$2:$AH$1001,0),1)&gt;=100000,INDEX($AO$1005:$BQ$1005,1,MATCH(COLUMNS($AO$1006:AZ1006),$AO$1006:$BQ$1006,0))&gt;=100000), " ",IF(INDEX($AO$2:$BQ$1001,MATCH(ROWS($AH$2:AH584),$AH$2:$AH$1001,0),MATCH(COLUMNS($AO$1006:AZ1006),$AO$1006:$BQ$1006,0)), HYPERLINK("#",""), HYPERLINK(CONCATENATE("#Metadata!", ADDRESS(INDEX($AJ$2:$AJ$1001,MATCH(ROWS($AH$2:AH584),$AH$2:$AH$1001,0),0), INDEX($AO$1004:$BQ$1004,1,MATCH(COLUMNS($AO$1006:AZ1006),$AO$1006:$BQ$1006,0)))),"Fix")))</f>
        <v>#N/A</v>
      </c>
      <c r="N584" s="5" t="e">
        <f ca="1">IF(OR(INDEX($AI$2:$AI$1001,MATCH(ROWS($AH$2:AH584),$AH$2:$AH$1001,0),1)&gt;=100000,INDEX($AO$1005:$BQ$1005,1,MATCH(COLUMNS($AO$1006:BA1006),$AO$1006:$BQ$1006,0))&gt;=100000), " ",IF(INDEX($AO$2:$BQ$1001,MATCH(ROWS($AH$2:AH584),$AH$2:$AH$1001,0),MATCH(COLUMNS($AO$1006:BA1006),$AO$1006:$BQ$1006,0)), HYPERLINK("#",""), HYPERLINK(CONCATENATE("#Metadata!", ADDRESS(INDEX($AJ$2:$AJ$1001,MATCH(ROWS($AH$2:AH584),$AH$2:$AH$1001,0),0), INDEX($AO$1004:$BQ$1004,1,MATCH(COLUMNS($AO$1006:BA1006),$AO$1006:$BQ$1006,0)))),"Fix")))</f>
        <v>#N/A</v>
      </c>
      <c r="O584" s="5" t="e">
        <f ca="1">IF(OR(INDEX($AI$2:$AI$1001,MATCH(ROWS($AH$2:AH584),$AH$2:$AH$1001,0),1)&gt;=100000,INDEX($AO$1005:$BQ$1005,1,MATCH(COLUMNS($AO$1006:BB1006),$AO$1006:$BQ$1006,0))&gt;=100000), " ",IF(INDEX($AO$2:$BQ$1001,MATCH(ROWS($AH$2:AH584),$AH$2:$AH$1001,0),MATCH(COLUMNS($AO$1006:BB1006),$AO$1006:$BQ$1006,0)), HYPERLINK("#",""), HYPERLINK(CONCATENATE("#Metadata!", ADDRESS(INDEX($AJ$2:$AJ$1001,MATCH(ROWS($AH$2:AH584),$AH$2:$AH$1001,0),0), INDEX($AO$1004:$BQ$1004,1,MATCH(COLUMNS($AO$1006:BB1006),$AO$1006:$BQ$1006,0)))),"Fix")))</f>
        <v>#N/A</v>
      </c>
      <c r="P584" s="5" t="e">
        <f ca="1">IF(OR(INDEX($AI$2:$AI$1001,MATCH(ROWS($AH$2:AH584),$AH$2:$AH$1001,0),1)&gt;=100000,INDEX($AO$1005:$BQ$1005,1,MATCH(COLUMNS($AO$1006:BC1006),$AO$1006:$BQ$1006,0))&gt;=100000), " ",IF(INDEX($AO$2:$BQ$1001,MATCH(ROWS($AH$2:AH584),$AH$2:$AH$1001,0),MATCH(COLUMNS($AO$1006:BC1006),$AO$1006:$BQ$1006,0)), HYPERLINK("#",""), HYPERLINK(CONCATENATE("#Metadata!", ADDRESS(INDEX($AJ$2:$AJ$1001,MATCH(ROWS($AH$2:AH584),$AH$2:$AH$1001,0),0), INDEX($AO$1004:$BQ$1004,1,MATCH(COLUMNS($AO$1006:BC1006),$AO$1006:$BQ$1006,0)))),"Fix")))</f>
        <v>#N/A</v>
      </c>
      <c r="Q584" s="5" t="e">
        <f ca="1">IF(OR(INDEX($AI$2:$AI$1001,MATCH(ROWS($AH$2:AH584),$AH$2:$AH$1001,0),1)&gt;=100000,INDEX($AO$1005:$BQ$1005,1,MATCH(COLUMNS($AO$1006:BD1006),$AO$1006:$BQ$1006,0))&gt;=100000), " ",IF(INDEX($AO$2:$BQ$1001,MATCH(ROWS($AH$2:AH584),$AH$2:$AH$1001,0),MATCH(COLUMNS($AO$1006:BD1006),$AO$1006:$BQ$1006,0)), HYPERLINK("#",""), HYPERLINK(CONCATENATE("#Metadata!", ADDRESS(INDEX($AJ$2:$AJ$1001,MATCH(ROWS($AH$2:AH584),$AH$2:$AH$1001,0),0), INDEX($AO$1004:$BQ$1004,1,MATCH(COLUMNS($AO$1006:BD1006),$AO$1006:$BQ$1006,0)))),"Fix")))</f>
        <v>#N/A</v>
      </c>
      <c r="R584" s="5" t="e">
        <f ca="1">IF(OR(INDEX($AI$2:$AI$1001,MATCH(ROWS($AH$2:AH584),$AH$2:$AH$1001,0),1)&gt;=100000,INDEX($AO$1005:$BQ$1005,1,MATCH(COLUMNS($AO$1006:BE1006),$AO$1006:$BQ$1006,0))&gt;=100000), " ",IF(INDEX($AO$2:$BQ$1001,MATCH(ROWS($AH$2:AH584),$AH$2:$AH$1001,0),MATCH(COLUMNS($AO$1006:BE1006),$AO$1006:$BQ$1006,0)), HYPERLINK("#",""), HYPERLINK(CONCATENATE("#Metadata!", ADDRESS(INDEX($AJ$2:$AJ$1001,MATCH(ROWS($AH$2:AH584),$AH$2:$AH$1001,0),0), INDEX($AO$1004:$BQ$1004,1,MATCH(COLUMNS($AO$1006:BE1006),$AO$1006:$BQ$1006,0)))),"Fix")))</f>
        <v>#N/A</v>
      </c>
      <c r="S584" s="5" t="e">
        <f ca="1">IF(OR(INDEX($AI$2:$AI$1001,MATCH(ROWS($AH$2:AH584),$AH$2:$AH$1001,0),1)&gt;=100000,INDEX($AO$1005:$BQ$1005,1,MATCH(COLUMNS($AO$1006:BF1006),$AO$1006:$BQ$1006,0))&gt;=100000), " ",IF(INDEX($AO$2:$BQ$1001,MATCH(ROWS($AH$2:AH584),$AH$2:$AH$1001,0),MATCH(COLUMNS($AO$1006:BF1006),$AO$1006:$BQ$1006,0)), HYPERLINK("#",""), HYPERLINK(CONCATENATE("#Metadata!", ADDRESS(INDEX($AJ$2:$AJ$1001,MATCH(ROWS($AH$2:AH584),$AH$2:$AH$1001,0),0), INDEX($AO$1004:$BQ$1004,1,MATCH(COLUMNS($AO$1006:BF1006),$AO$1006:$BQ$1006,0)))),"Fix")))</f>
        <v>#N/A</v>
      </c>
      <c r="T584" s="5" t="e">
        <f ca="1">IF(OR(INDEX($AI$2:$AI$1001,MATCH(ROWS($AH$2:AH584),$AH$2:$AH$1001,0),1)&gt;=100000,INDEX($AO$1005:$BQ$1005,1,MATCH(COLUMNS($AO$1006:BG1006),$AO$1006:$BQ$1006,0))&gt;=100000), " ",IF(INDEX($AO$2:$BQ$1001,MATCH(ROWS($AH$2:AH584),$AH$2:$AH$1001,0),MATCH(COLUMNS($AO$1006:BG1006),$AO$1006:$BQ$1006,0)), HYPERLINK("#",""), HYPERLINK(CONCATENATE("#Metadata!", ADDRESS(INDEX($AJ$2:$AJ$1001,MATCH(ROWS($AH$2:AH584),$AH$2:$AH$1001,0),0), INDEX($AO$1004:$BQ$1004,1,MATCH(COLUMNS($AO$1006:BG1006),$AO$1006:$BQ$1006,0)))),"Fix")))</f>
        <v>#N/A</v>
      </c>
      <c r="U584" s="5" t="e">
        <f ca="1">IF(OR(INDEX($AI$2:$AI$1001,MATCH(ROWS($AH$2:AH584),$AH$2:$AH$1001,0),1)&gt;=100000,INDEX($AO$1005:$BQ$1005,1,MATCH(COLUMNS($AO$1006:BH1006),$AO$1006:$BQ$1006,0))&gt;=100000), " ",IF(INDEX($AO$2:$BQ$1001,MATCH(ROWS($AH$2:AH584),$AH$2:$AH$1001,0),MATCH(COLUMNS($AO$1006:BH1006),$AO$1006:$BQ$1006,0)), HYPERLINK("#",""), HYPERLINK(CONCATENATE("#Metadata!", ADDRESS(INDEX($AJ$2:$AJ$1001,MATCH(ROWS($AH$2:AH584),$AH$2:$AH$1001,0),0), INDEX($AO$1004:$BQ$1004,1,MATCH(COLUMNS($AO$1006:BH1006),$AO$1006:$BQ$1006,0)))),"Fix")))</f>
        <v>#N/A</v>
      </c>
      <c r="V584" s="5" t="e">
        <f ca="1">IF(OR(INDEX($AI$2:$AI$1001,MATCH(ROWS($AH$2:AH584),$AH$2:$AH$1001,0),1)&gt;=100000,INDEX($AO$1005:$BQ$1005,1,MATCH(COLUMNS($AO$1006:BI1006),$AO$1006:$BQ$1006,0))&gt;=100000), " ",IF(INDEX($AO$2:$BQ$1001,MATCH(ROWS($AH$2:AH584),$AH$2:$AH$1001,0),MATCH(COLUMNS($AO$1006:BI1006),$AO$1006:$BQ$1006,0)), HYPERLINK("#",""), HYPERLINK(CONCATENATE("#Metadata!", ADDRESS(INDEX($AJ$2:$AJ$1001,MATCH(ROWS($AH$2:AH584),$AH$2:$AH$1001,0),0), INDEX($AO$1004:$BQ$1004,1,MATCH(COLUMNS($AO$1006:BI1006),$AO$1006:$BQ$1006,0)))),"Fix")))</f>
        <v>#N/A</v>
      </c>
      <c r="W584" s="5" t="e">
        <f ca="1">IF(OR(INDEX($AI$2:$AI$1001,MATCH(ROWS($AH$2:AH584),$AH$2:$AH$1001,0),1)&gt;=100000,INDEX($AO$1005:$BQ$1005,1,MATCH(COLUMNS($AO$1006:BJ1006),$AO$1006:$BQ$1006,0))&gt;=100000), " ",IF(INDEX($AO$2:$BQ$1001,MATCH(ROWS($AH$2:AH584),$AH$2:$AH$1001,0),MATCH(COLUMNS($AO$1006:BJ1006),$AO$1006:$BQ$1006,0)), HYPERLINK("#",""), HYPERLINK(CONCATENATE("#Metadata!", ADDRESS(INDEX($AJ$2:$AJ$1001,MATCH(ROWS($AH$2:AH584),$AH$2:$AH$1001,0),0), INDEX($AO$1004:$BQ$1004,1,MATCH(COLUMNS($AO$1006:BJ1006),$AO$1006:$BQ$1006,0)))),"Fix")))</f>
        <v>#N/A</v>
      </c>
      <c r="X584" s="5" t="e">
        <f ca="1">IF(OR(INDEX($AI$2:$AI$1001,MATCH(ROWS($AH$2:AH584),$AH$2:$AH$1001,0),1)&gt;=100000,INDEX($AO$1005:$BQ$1005,1,MATCH(COLUMNS($AO$1006:BK1006),$AO$1006:$BQ$1006,0))&gt;=100000), " ",IF(INDEX($AO$2:$BQ$1001,MATCH(ROWS($AH$2:AH584),$AH$2:$AH$1001,0),MATCH(COLUMNS($AO$1006:BK1006),$AO$1006:$BQ$1006,0)), HYPERLINK("#",""), HYPERLINK(CONCATENATE("#Metadata!", ADDRESS(INDEX($AJ$2:$AJ$1001,MATCH(ROWS($AH$2:AH584),$AH$2:$AH$1001,0),0), INDEX($AO$1004:$BQ$1004,1,MATCH(COLUMNS($AO$1006:BK1006),$AO$1006:$BQ$1006,0)))),"Fix")))</f>
        <v>#N/A</v>
      </c>
      <c r="Y584" s="5" t="e">
        <f ca="1">IF(OR(INDEX($AI$2:$AI$1001,MATCH(ROWS($AH$2:AH584),$AH$2:$AH$1001,0),1)&gt;=100000,INDEX($AO$1005:$BQ$1005,1,MATCH(COLUMNS($AO$1006:BL1006),$AO$1006:$BQ$1006,0))&gt;=100000), " ",IF(INDEX($AO$2:$BQ$1001,MATCH(ROWS($AH$2:AH584),$AH$2:$AH$1001,0),MATCH(COLUMNS($AO$1006:BL1006),$AO$1006:$BQ$1006,0)), HYPERLINK("#",""), HYPERLINK(CONCATENATE("#Metadata!", ADDRESS(INDEX($AJ$2:$AJ$1001,MATCH(ROWS($AH$2:AH584),$AH$2:$AH$1001,0),0), INDEX($AO$1004:$BQ$1004,1,MATCH(COLUMNS($AO$1006:BL1006),$AO$1006:$BQ$1006,0)))),"Fix")))</f>
        <v>#N/A</v>
      </c>
      <c r="Z584" s="5" t="e">
        <f ca="1">IF(OR(INDEX($AI$2:$AI$1001,MATCH(ROWS($AH$2:AH584),$AH$2:$AH$1001,0),1)&gt;=100000,INDEX($AO$1005:$BQ$1005,1,MATCH(COLUMNS($AO$1006:BM1006),$AO$1006:$BQ$1006,0))&gt;=100000), " ",IF(INDEX($AO$2:$BQ$1001,MATCH(ROWS($AH$2:AH584),$AH$2:$AH$1001,0),MATCH(COLUMNS($AO$1006:BM1006),$AO$1006:$BQ$1006,0)), HYPERLINK("#",""), HYPERLINK(CONCATENATE("#Metadata!", ADDRESS(INDEX($AJ$2:$AJ$1001,MATCH(ROWS($AH$2:AH584),$AH$2:$AH$1001,0),0), INDEX($AO$1004:$BQ$1004,1,MATCH(COLUMNS($AO$1006:BM1006),$AO$1006:$BQ$1006,0)))),"Fix")))</f>
        <v>#N/A</v>
      </c>
      <c r="AA584" s="5" t="e">
        <f ca="1">IF(OR(INDEX($AI$2:$AI$1001,MATCH(ROWS($AH$2:AH584),$AH$2:$AH$1001,0),1)&gt;=100000,INDEX($AO$1005:$BQ$1005,1,MATCH(COLUMNS($AO$1006:BN1006),$AO$1006:$BQ$1006,0))&gt;=100000), " ",IF(INDEX($AO$2:$BQ$1001,MATCH(ROWS($AH$2:AH584),$AH$2:$AH$1001,0),MATCH(COLUMNS($AO$1006:BN1006),$AO$1006:$BQ$1006,0)), HYPERLINK("#",""), HYPERLINK(CONCATENATE("#Metadata!", ADDRESS(INDEX($AJ$2:$AJ$1001,MATCH(ROWS($AH$2:AH584),$AH$2:$AH$1001,0),0), INDEX($AO$1004:$BQ$1004,1,MATCH(COLUMNS($AO$1006:BN1006),$AO$1006:$BQ$1006,0)))),"Fix")))</f>
        <v>#N/A</v>
      </c>
      <c r="AB584" s="5" t="e">
        <f ca="1">IF(OR(INDEX($AI$2:$AI$1001,MATCH(ROWS($AH$2:AH584),$AH$2:$AH$1001,0),1)&gt;=100000,INDEX($AO$1005:$BQ$1005,1,MATCH(COLUMNS($AO$1006:BO1006),$AO$1006:$BQ$1006,0))&gt;=100000), " ",IF(INDEX($AO$2:$BQ$1001,MATCH(ROWS($AH$2:AH584),$AH$2:$AH$1001,0),MATCH(COLUMNS($AO$1006:BO1006),$AO$1006:$BQ$1006,0)), HYPERLINK("#",""), HYPERLINK(CONCATENATE("#Metadata!", ADDRESS(INDEX($AJ$2:$AJ$1001,MATCH(ROWS($AH$2:AH584),$AH$2:$AH$1001,0),0), INDEX($AO$1004:$BQ$1004,1,MATCH(COLUMNS($AO$1006:BO1006),$AO$1006:$BQ$1006,0)))),"Fix")))</f>
        <v>#N/A</v>
      </c>
      <c r="AC584" s="5" t="e">
        <f ca="1">IF(OR(INDEX($AI$2:$AI$1001,MATCH(ROWS($AH$2:AH584),$AH$2:$AH$1001,0),1)&gt;=100000,INDEX($AO$1005:$BQ$1005,1,MATCH(COLUMNS($AO$1006:BP1006),$AO$1006:$BQ$1006,0))&gt;=100000), " ",IF(INDEX($AO$2:$BQ$1001,MATCH(ROWS($AH$2:AH584),$AH$2:$AH$1001,0),MATCH(COLUMNS($AO$1006:BP1006),$AO$1006:$BQ$1006,0)), HYPERLINK("#",""), HYPERLINK(CONCATENATE("#Metadata!", ADDRESS(INDEX($AJ$2:$AJ$1001,MATCH(ROWS($AH$2:AH584),$AH$2:$AH$1001,0),0), INDEX($AO$1004:$BQ$1004,1,MATCH(COLUMNS($AO$1006:BP1006),$AO$1006:$BQ$1006,0)))),"Fix")))</f>
        <v>#N/A</v>
      </c>
      <c r="AD584" s="5" t="e">
        <f ca="1">IF(OR(INDEX($AI$2:$AI$1001,MATCH(ROWS($AH$2:AH584),$AH$2:$AH$1001,0),1)&gt;=100000,INDEX($AO$1005:$BQ$1005,1,MATCH(COLUMNS($AO$1006:BQ1006),$AO$1006:$BQ$1006,0))&gt;=100000), " ",IF(INDEX($AO$2:$BQ$1001,MATCH(ROWS($AH$2:AH584),$AH$2:$AH$1001,0),MATCH(COLUMNS($AO$1006:BQ1006),$AO$1006:$BQ$1006,0)), HYPERLINK("#",""), HYPERLINK(CONCATENATE("#Metadata!", ADDRESS(INDEX($AJ$2:$AJ$1001,MATCH(ROWS($AH$2:AH584),$AH$2:$AH$1001,0),0), INDEX($AO$1004:$BQ$1004,1,MATCH(COLUMNS($AO$1006:BQ1006),$AO$1006:$BQ$1006,0)))),"Fix")))</f>
        <v>#REF!</v>
      </c>
      <c r="AH584">
        <f ca="1"/>
        <v>581</v>
      </c>
      <c r="AI584">
        <v>100584</v>
      </c>
      <c r="AJ584">
        <v>584</v>
      </c>
      <c r="AK584" t="b">
        <f t="shared" si="9"/>
        <v>1</v>
      </c>
      <c r="AL584" t="b">
        <f>COUNTBLANK(Metadata!B584:AD584)=COLUMNS(Metadata!B584:AD584)</f>
        <v>1</v>
      </c>
      <c r="AM584" t="str">
        <v/>
      </c>
      <c r="AO584" t="b">
        <f ca="1">AND(IF(Metadata!B584="",FALSE,TRUE),COUNTIF(Metadata!B:B, Metadata!B584) = 1,NOT(ISERROR(SUMPRODUCT(SEARCH(MID(Metadata!B584,ROW(INDIRECT("1:"&amp;LEN(Metadata!B584))), 1),"0123456789abcdefghijklmnopqrstuvwxyzABCDEFGHIJKLMNOPQRSTUVWXYZ.")))))</f>
        <v>0</v>
      </c>
      <c r="AP584" t="b">
        <f>IF(Metadata!C584="",FALSE,TRUE)</f>
        <v>0</v>
      </c>
      <c r="AQ584" t="b">
        <f>IF(Metadata!D584="",FALSE,TRUE)</f>
        <v>0</v>
      </c>
      <c r="AR584" t="b">
        <f ca="1">OR(AND(IF(Metadata!E584="",FALSE,TRUE),OR(EXACT(Metadata!E584,"not collected"),EXACT(Metadata!E584,"not provided"),EXACT(Metadata!E584,"restricted access"))),AND(IF(Metadata!E584="",FALSE,TRUE),AND(AND(IFERROR(INT(LEFT(Metadata!E584,4))&gt;1900,FALSE),IFERROR(INT(LEFT(Metadata!E584,4))&lt;=YEAR(NOW()),FALSE)), OR(MID(Metadata!E584,5,1)="", AND(AND(MID(Metadata!E584,5,1)="-",IFERROR(INT(MID(Metadata!E584,6,1))&gt;=0,FALSE),IFERROR(INT(MID(Metadata!E584,6,1))&lt;=1,FALSE),NOT(MID(Metadata!E584,7,1)=""),IFERROR(INT(MID(Metadata!E584,6,2))&gt;=1,FALSE),IFERROR(INT(MID(Metadata!E584,6,2))&lt;=12,FALSE)), OR(MID(Metadata!E584,8,1)="", AND(AND(MID(Metadata!E584,8,1)="-",IFERROR(INT(MID(Metadata!E584,9,1))&gt;=0,FALSE),IFERROR(INT(MID(Metadata!E584,9,1))&lt;=3,FALSE),NOT(MID(Metadata!E584,10,1)=""),IFERROR(INT(MID(Metadata!E584,9,2))&gt;=1,FALSE),IFERROR(INT(MID(Metadata!E584,9,2))&lt;=31,FALSE)), OR(MID(Metadata!E584,11,1)="", AND(AND(MID(Metadata!E584,11,1)=" ",IFERROR(INT(MID(Metadata!E584,12,1))&gt;=0,FALSE),IFERROR(INT(MID(Metadata!E584,12,1))&lt;=2,FALSE),NOT(MID(Metadata!E584,13,1)=""),IFERROR(INT(MID(Metadata!E584,12,2))&gt;=0,FALSE),IFERROR(INT(MID(Metadata!E584,12,2))&lt;=23,FALSE)), OR(MID(Metadata!E584,14,1)="", AND(AND(MID(Metadata!E584,14,1)=":",IFERROR(INT(MID(Metadata!E584,15,1))&gt;=0,FALSE),IFERROR(INT(MID(Metadata!E584,15,1))&lt;=5,FALSE),NOT(MID(Metadata!E584,16,1)=""),IFERROR(INT(MID(Metadata!E584,15,2))&gt;=0,FALSE),IFERROR(INT(MID(Metadata!E584,15,2))&lt;=59,FALSE)), OR(MID(Metadata!E584,17,1)="", AND(AND(MID(Metadata!E584,17,1)=":",IFERROR(INT(MID(Metadata!E584,18,1))&gt;=0,FALSE),IFERROR(INT(MID(Metadata!E584,18,1))&lt;=5,FALSE),NOT(MID(Metadata!E584,19,1)=""),IFERROR(INT(MID(Metadata!E584,18,2))&gt;=0,FALSE),IFERROR(INT(MID(Metadata!E584,18,2))&lt;=59,FALSE)), LEN(Metadata!E584)&lt;=19)))))))))))))</f>
        <v>0</v>
      </c>
      <c r="AS584" t="b">
        <f>IF(Metadata!F584="",FALSE,TRUE)</f>
        <v>0</v>
      </c>
      <c r="AT584" t="b">
        <f>OR(AND(IF(Metadata!G584="",FALSE,TRUE),OR(EXACT(Metadata!G584,"not collected"),EXACT(Metadata!G584,"not provided"))),AND(IF(Metadata!G584="",FALSE,TRUE),OR(EXACT(Metadata!G584,"TRUE"),EXACT(Metadata!G584,"FALSE"))))</f>
        <v>0</v>
      </c>
      <c r="AU584" t="b">
        <f>OR(AND(IF(Metadata!H584="",FALSE,TRUE),OR(EXACT(Metadata!H584,"not collected"),EXACT(Metadata!H584,"not provided"),EXACT(Metadata!H584,"restricted access"))),AND(IF(Metadata!H584="",FALSE,ISNUMBER(VALUE(Metadata!H584))),Metadata!H584&gt;=-413))</f>
        <v>0</v>
      </c>
      <c r="AV584" t="b">
        <f>AND(IF(Metadata!I584="",FALSE,TRUE),EXACT(Metadata!I584,"meters"))</f>
        <v>0</v>
      </c>
      <c r="AW584" t="b">
        <f>AND(IF(Metadata!J584="",FALSE,TRUE),EXACT(Metadata!J584,"free-living"))</f>
        <v>0</v>
      </c>
      <c r="AX584" t="b">
        <f>AND(IF(Metadata!K584="",FALSE,TRUE),OR(EXACT(Metadata!K584,"saline"),EXACT(Metadata!K584,"non-saline")))</f>
        <v>0</v>
      </c>
      <c r="AY584" t="b">
        <f>AND(IF(Metadata!L584="",FALSE,TRUE),OR(EXACT(Metadata!L584,"sub-surface (non-saline)"),EXACT(Metadata!L584,"surface (non-saline)"),EXACT(Metadata!L584,"water (non-saline)"),EXACT(Metadata!L584,"soil (non-saline)"),EXACT(Metadata!L584,"aerosol (non-saline)"),EXACT(Metadata!L584,"sediment (non-saline)"),EXACT(Metadata!L584,"surface (saline)"),EXACT(Metadata!L584,"water (saline)"),EXACT(Metadata!L584,"hypersaline (saline)"),EXACT(Metadata!L584,"aerosol (saline)"),EXACT(Metadata!L584,"sediment (saline)")))</f>
        <v>0</v>
      </c>
      <c r="AZ584" t="b">
        <f>IF(Metadata!M584="",FALSE,TRUE)</f>
        <v>0</v>
      </c>
      <c r="BA584" t="b">
        <f>IF(Metadata!N584="",FALSE,TRUE)</f>
        <v>0</v>
      </c>
      <c r="BB584" t="b">
        <f>IF(Metadata!O584="",FALSE,TRUE)</f>
        <v>0</v>
      </c>
      <c r="BC584" t="b">
        <f>AND(IF(Metadata!P584="",FALSE,TRUE),OR(EXACT(Metadata!P584,"air"),EXACT(Metadata!P584,"microbial mat/biofilm"),EXACT(Metadata!P584,"misc environment"),EXACT(Metadata!P584,"sediment"),EXACT(Metadata!P584,"soil"),EXACT(Metadata!P584,"wastewater/sludge"),EXACT(Metadata!P584,"water")))</f>
        <v>0</v>
      </c>
      <c r="BD584" t="b">
        <f>IF(Metadata!Q584="",FALSE,TRUE)</f>
        <v>0</v>
      </c>
      <c r="BE584" t="b">
        <f>IF(Metadata!R584="",FALSE,TRUE)</f>
        <v>0</v>
      </c>
      <c r="BF584" t="b">
        <f>OR(AND(IF(Metadata!S584="",FALSE,TRUE),OR(EXACT(Metadata!S584,"not collected"),EXACT(Metadata!S584,"not provided"),EXACT(Metadata!S584,"restricted access"))),AND(IF(Metadata!S584="",FALSE,ISNUMBER(VALUE(Metadata!S584))),Metadata!S584&gt;=-90,Metadata!S584&lt;=90))</f>
        <v>0</v>
      </c>
      <c r="BG584" t="b">
        <f>AND(IF(Metadata!T584="",FALSE,TRUE),EXACT(Metadata!T584,"Decimal degrees"))</f>
        <v>0</v>
      </c>
      <c r="BH584" t="b">
        <f>OR(AND(IF(Metadata!U584="",FALSE,TRUE),OR(EXACT(Metadata!U584,"not applicable"),EXACT(Metadata!U584,"not collected"))),IF(Metadata!U584="",FALSE,TRUE))</f>
        <v>0</v>
      </c>
      <c r="BI584" t="b">
        <f>OR(AND(IF(Metadata!V584="",FALSE,TRUE),OR(EXACT(Metadata!V584,"not collected"),EXACT(Metadata!V584,"not provided"),EXACT(Metadata!V584,"restricted access"))),AND(IF(Metadata!V584="",FALSE,ISNUMBER(VALUE(Metadata!V584))),Metadata!V584&gt;=-180,Metadata!V584&lt;=180))</f>
        <v>0</v>
      </c>
      <c r="BJ584" t="b">
        <f>AND(IF(Metadata!W584="",FALSE,TRUE),EXACT(Metadata!W584,"Decimal degrees"))</f>
        <v>0</v>
      </c>
      <c r="BK584" t="b">
        <f>IF(Metadata!X584="",FALSE,TRUE)</f>
        <v>0</v>
      </c>
      <c r="BL584" t="b">
        <f>OR(AND(IF(Metadata!Y584="",FALSE,TRUE),OR(EXACT(Metadata!Y584,"not collected"),EXACT(Metadata!Y584,"not provided"),EXACT(Metadata!Y584,"restricted access"))),AND(IF(Metadata!Y584="",FALSE,TRUE),OR(EXACT(Metadata!Y584,"TRUE"),EXACT(Metadata!Y584,"FALSE"))))</f>
        <v>0</v>
      </c>
      <c r="BM584" t="b">
        <f>OR(AND(IF(Metadata!Z584="",FALSE,TRUE),EXACT(Metadata!Z584,"not applicable")),AND(IF(Metadata!Z584="",FALSE,TRUE),OR(EXACT(Metadata!Z584,"beer"),EXACT(Metadata!Z584,"cheese"),EXACT(Metadata!Z584,"fresh water"),EXACT(Metadata!Z584,"marine sediment"),EXACT(Metadata!Z584,"sea water"),EXACT(Metadata!Z584,"sediment"),EXACT(Metadata!Z584,"soil"),EXACT(Metadata!Z584,"waste water"))))</f>
        <v>0</v>
      </c>
      <c r="BN584" t="b">
        <f>AND(IF(Metadata!AA584="",FALSE,TRUE),EXACT(Metadata!AA584,"metagenome"))</f>
        <v>0</v>
      </c>
      <c r="BO584" t="b">
        <f>AND(IF(Metadata!AB584="",FALSE,TRUE),EXACT(Metadata!AB584,"256318"))</f>
        <v>0</v>
      </c>
      <c r="BP584" t="b">
        <f>IF(Metadata!AC584="",FALSE,TRUE)</f>
        <v>0</v>
      </c>
      <c r="BQ584" t="b">
        <f>IF(Metadata!AD584="",FALSE,TRUE)</f>
        <v>0</v>
      </c>
    </row>
    <row r="585" spans="1:69" x14ac:dyDescent="0.2">
      <c r="A585" s="4" t="e">
        <f ca="1">IF(B585=" "," ",HYPERLINK(CONCATENATE("#metadata!",ADDRESS(INDEX($AJ$2:$AJ$1001,MATCH(ROWS($AH$2:AH585),$AH$2:$AH$1001,0),0),2)),INDEX($AM$2:$AM$1001,MATCH(ROWS($AH$2:AH585),$AH$2:$AH$1001,0),0)))</f>
        <v>#N/A</v>
      </c>
      <c r="B585" s="5" t="e">
        <f ca="1">IF(OR(INDEX($AI$2:$AI$1001,MATCH(ROWS($AH$2:AH585),$AH$2:$AH$1001,0),1)&gt;=100000,INDEX($AO$1005:$BQ$1005,1,MATCH(COLUMNS($AO$1006:AO1006),$AO$1006:$BQ$1006,0))&gt;=100000), " ",IF(INDEX($AO$2:$BQ$1001,MATCH(ROWS($AH$2:AH585),$AH$2:$AH$1001,0),MATCH(COLUMNS($AO$1006:AO1006),$AO$1006:$BQ$1006,0)), HYPERLINK("#",""), HYPERLINK(CONCATENATE("#Metadata!", ADDRESS(INDEX($AJ$2:$AJ$1001,MATCH(ROWS($AH$2:AH585),$AH$2:$AH$1001,0),0), INDEX($AO$1004:$BQ$1004,1,MATCH(COLUMNS($AO$1006:AO1006),$AO$1006:$BQ$1006,0)))),"Fix")))</f>
        <v>#N/A</v>
      </c>
      <c r="C585" s="5" t="e">
        <f ca="1">IF(OR(INDEX($AI$2:$AI$1001,MATCH(ROWS($AH$2:AH585),$AH$2:$AH$1001,0),1)&gt;=100000,INDEX($AO$1005:$BQ$1005,1,MATCH(COLUMNS($AO$1006:AP1006),$AO$1006:$BQ$1006,0))&gt;=100000), " ",IF(INDEX($AO$2:$BQ$1001,MATCH(ROWS($AH$2:AH585),$AH$2:$AH$1001,0),MATCH(COLUMNS($AO$1006:AP1006),$AO$1006:$BQ$1006,0)), HYPERLINK("#",""), HYPERLINK(CONCATENATE("#Metadata!", ADDRESS(INDEX($AJ$2:$AJ$1001,MATCH(ROWS($AH$2:AH585),$AH$2:$AH$1001,0),0), INDEX($AO$1004:$BQ$1004,1,MATCH(COLUMNS($AO$1006:AP1006),$AO$1006:$BQ$1006,0)))),"Fix")))</f>
        <v>#N/A</v>
      </c>
      <c r="D585" s="5" t="e">
        <f ca="1">IF(OR(INDEX($AI$2:$AI$1001,MATCH(ROWS($AH$2:AH585),$AH$2:$AH$1001,0),1)&gt;=100000,INDEX($AO$1005:$BQ$1005,1,MATCH(COLUMNS($AO$1006:AQ1006),$AO$1006:$BQ$1006,0))&gt;=100000), " ",IF(INDEX($AO$2:$BQ$1001,MATCH(ROWS($AH$2:AH585),$AH$2:$AH$1001,0),MATCH(COLUMNS($AO$1006:AQ1006),$AO$1006:$BQ$1006,0)), HYPERLINK("#",""), HYPERLINK(CONCATENATE("#Metadata!", ADDRESS(INDEX($AJ$2:$AJ$1001,MATCH(ROWS($AH$2:AH585),$AH$2:$AH$1001,0),0), INDEX($AO$1004:$BQ$1004,1,MATCH(COLUMNS($AO$1006:AQ1006),$AO$1006:$BQ$1006,0)))),"Fix")))</f>
        <v>#N/A</v>
      </c>
      <c r="E585" s="5" t="e">
        <f ca="1">IF(OR(INDEX($AI$2:$AI$1001,MATCH(ROWS($AH$2:AH585),$AH$2:$AH$1001,0),1)&gt;=100000,INDEX($AO$1005:$BQ$1005,1,MATCH(COLUMNS($AO$1006:AR1006),$AO$1006:$BQ$1006,0))&gt;=100000), " ",IF(INDEX($AO$2:$BQ$1001,MATCH(ROWS($AH$2:AH585),$AH$2:$AH$1001,0),MATCH(COLUMNS($AO$1006:AR1006),$AO$1006:$BQ$1006,0)), HYPERLINK("#",""), HYPERLINK(CONCATENATE("#Metadata!", ADDRESS(INDEX($AJ$2:$AJ$1001,MATCH(ROWS($AH$2:AH585),$AH$2:$AH$1001,0),0), INDEX($AO$1004:$BQ$1004,1,MATCH(COLUMNS($AO$1006:AR1006),$AO$1006:$BQ$1006,0)))),"Fix")))</f>
        <v>#N/A</v>
      </c>
      <c r="F585" s="5" t="e">
        <f ca="1">IF(OR(INDEX($AI$2:$AI$1001,MATCH(ROWS($AH$2:AH585),$AH$2:$AH$1001,0),1)&gt;=100000,INDEX($AO$1005:$BQ$1005,1,MATCH(COLUMNS($AO$1006:AS1006),$AO$1006:$BQ$1006,0))&gt;=100000), " ",IF(INDEX($AO$2:$BQ$1001,MATCH(ROWS($AH$2:AH585),$AH$2:$AH$1001,0),MATCH(COLUMNS($AO$1006:AS1006),$AO$1006:$BQ$1006,0)), HYPERLINK("#",""), HYPERLINK(CONCATENATE("#Metadata!", ADDRESS(INDEX($AJ$2:$AJ$1001,MATCH(ROWS($AH$2:AH585),$AH$2:$AH$1001,0),0), INDEX($AO$1004:$BQ$1004,1,MATCH(COLUMNS($AO$1006:AS1006),$AO$1006:$BQ$1006,0)))),"Fix")))</f>
        <v>#N/A</v>
      </c>
      <c r="G585" s="5" t="e">
        <f ca="1">IF(OR(INDEX($AI$2:$AI$1001,MATCH(ROWS($AH$2:AH585),$AH$2:$AH$1001,0),1)&gt;=100000,INDEX($AO$1005:$BQ$1005,1,MATCH(COLUMNS($AO$1006:AT1006),$AO$1006:$BQ$1006,0))&gt;=100000), " ",IF(INDEX($AO$2:$BQ$1001,MATCH(ROWS($AH$2:AH585),$AH$2:$AH$1001,0),MATCH(COLUMNS($AO$1006:AT1006),$AO$1006:$BQ$1006,0)), HYPERLINK("#",""), HYPERLINK(CONCATENATE("#Metadata!", ADDRESS(INDEX($AJ$2:$AJ$1001,MATCH(ROWS($AH$2:AH585),$AH$2:$AH$1001,0),0), INDEX($AO$1004:$BQ$1004,1,MATCH(COLUMNS($AO$1006:AT1006),$AO$1006:$BQ$1006,0)))),"Fix")))</f>
        <v>#N/A</v>
      </c>
      <c r="H585" s="5" t="e">
        <f ca="1">IF(OR(INDEX($AI$2:$AI$1001,MATCH(ROWS($AH$2:AH585),$AH$2:$AH$1001,0),1)&gt;=100000,INDEX($AO$1005:$BQ$1005,1,MATCH(COLUMNS($AO$1006:AU1006),$AO$1006:$BQ$1006,0))&gt;=100000), " ",IF(INDEX($AO$2:$BQ$1001,MATCH(ROWS($AH$2:AH585),$AH$2:$AH$1001,0),MATCH(COLUMNS($AO$1006:AU1006),$AO$1006:$BQ$1006,0)), HYPERLINK("#",""), HYPERLINK(CONCATENATE("#Metadata!", ADDRESS(INDEX($AJ$2:$AJ$1001,MATCH(ROWS($AH$2:AH585),$AH$2:$AH$1001,0),0), INDEX($AO$1004:$BQ$1004,1,MATCH(COLUMNS($AO$1006:AU1006),$AO$1006:$BQ$1006,0)))),"Fix")))</f>
        <v>#N/A</v>
      </c>
      <c r="I585" s="5" t="e">
        <f ca="1">IF(OR(INDEX($AI$2:$AI$1001,MATCH(ROWS($AH$2:AH585),$AH$2:$AH$1001,0),1)&gt;=100000,INDEX($AO$1005:$BQ$1005,1,MATCH(COLUMNS($AO$1006:AV1006),$AO$1006:$BQ$1006,0))&gt;=100000), " ",IF(INDEX($AO$2:$BQ$1001,MATCH(ROWS($AH$2:AH585),$AH$2:$AH$1001,0),MATCH(COLUMNS($AO$1006:AV1006),$AO$1006:$BQ$1006,0)), HYPERLINK("#",""), HYPERLINK(CONCATENATE("#Metadata!", ADDRESS(INDEX($AJ$2:$AJ$1001,MATCH(ROWS($AH$2:AH585),$AH$2:$AH$1001,0),0), INDEX($AO$1004:$BQ$1004,1,MATCH(COLUMNS($AO$1006:AV1006),$AO$1006:$BQ$1006,0)))),"Fix")))</f>
        <v>#N/A</v>
      </c>
      <c r="J585" s="5" t="e">
        <f ca="1">IF(OR(INDEX($AI$2:$AI$1001,MATCH(ROWS($AH$2:AH585),$AH$2:$AH$1001,0),1)&gt;=100000,INDEX($AO$1005:$BQ$1005,1,MATCH(COLUMNS($AO$1006:AW1006),$AO$1006:$BQ$1006,0))&gt;=100000), " ",IF(INDEX($AO$2:$BQ$1001,MATCH(ROWS($AH$2:AH585),$AH$2:$AH$1001,0),MATCH(COLUMNS($AO$1006:AW1006),$AO$1006:$BQ$1006,0)), HYPERLINK("#",""), HYPERLINK(CONCATENATE("#Metadata!", ADDRESS(INDEX($AJ$2:$AJ$1001,MATCH(ROWS($AH$2:AH585),$AH$2:$AH$1001,0),0), INDEX($AO$1004:$BQ$1004,1,MATCH(COLUMNS($AO$1006:AW1006),$AO$1006:$BQ$1006,0)))),"Fix")))</f>
        <v>#N/A</v>
      </c>
      <c r="K585" s="5" t="e">
        <f ca="1">IF(OR(INDEX($AI$2:$AI$1001,MATCH(ROWS($AH$2:AH585),$AH$2:$AH$1001,0),1)&gt;=100000,INDEX($AO$1005:$BQ$1005,1,MATCH(COLUMNS($AO$1006:AX1006),$AO$1006:$BQ$1006,0))&gt;=100000), " ",IF(INDEX($AO$2:$BQ$1001,MATCH(ROWS($AH$2:AH585),$AH$2:$AH$1001,0),MATCH(COLUMNS($AO$1006:AX1006),$AO$1006:$BQ$1006,0)), HYPERLINK("#",""), HYPERLINK(CONCATENATE("#Metadata!", ADDRESS(INDEX($AJ$2:$AJ$1001,MATCH(ROWS($AH$2:AH585),$AH$2:$AH$1001,0),0), INDEX($AO$1004:$BQ$1004,1,MATCH(COLUMNS($AO$1006:AX1006),$AO$1006:$BQ$1006,0)))),"Fix")))</f>
        <v>#N/A</v>
      </c>
      <c r="L585" s="5" t="e">
        <f ca="1">IF(OR(INDEX($AI$2:$AI$1001,MATCH(ROWS($AH$2:AH585),$AH$2:$AH$1001,0),1)&gt;=100000,INDEX($AO$1005:$BQ$1005,1,MATCH(COLUMNS($AO$1006:AY1006),$AO$1006:$BQ$1006,0))&gt;=100000), " ",IF(INDEX($AO$2:$BQ$1001,MATCH(ROWS($AH$2:AH585),$AH$2:$AH$1001,0),MATCH(COLUMNS($AO$1006:AY1006),$AO$1006:$BQ$1006,0)), HYPERLINK("#",""), HYPERLINK(CONCATENATE("#Metadata!", ADDRESS(INDEX($AJ$2:$AJ$1001,MATCH(ROWS($AH$2:AH585),$AH$2:$AH$1001,0),0), INDEX($AO$1004:$BQ$1004,1,MATCH(COLUMNS($AO$1006:AY1006),$AO$1006:$BQ$1006,0)))),"Fix")))</f>
        <v>#N/A</v>
      </c>
      <c r="M585" s="5" t="e">
        <f ca="1">IF(OR(INDEX($AI$2:$AI$1001,MATCH(ROWS($AH$2:AH585),$AH$2:$AH$1001,0),1)&gt;=100000,INDEX($AO$1005:$BQ$1005,1,MATCH(COLUMNS($AO$1006:AZ1006),$AO$1006:$BQ$1006,0))&gt;=100000), " ",IF(INDEX($AO$2:$BQ$1001,MATCH(ROWS($AH$2:AH585),$AH$2:$AH$1001,0),MATCH(COLUMNS($AO$1006:AZ1006),$AO$1006:$BQ$1006,0)), HYPERLINK("#",""), HYPERLINK(CONCATENATE("#Metadata!", ADDRESS(INDEX($AJ$2:$AJ$1001,MATCH(ROWS($AH$2:AH585),$AH$2:$AH$1001,0),0), INDEX($AO$1004:$BQ$1004,1,MATCH(COLUMNS($AO$1006:AZ1006),$AO$1006:$BQ$1006,0)))),"Fix")))</f>
        <v>#N/A</v>
      </c>
      <c r="N585" s="5" t="e">
        <f ca="1">IF(OR(INDEX($AI$2:$AI$1001,MATCH(ROWS($AH$2:AH585),$AH$2:$AH$1001,0),1)&gt;=100000,INDEX($AO$1005:$BQ$1005,1,MATCH(COLUMNS($AO$1006:BA1006),$AO$1006:$BQ$1006,0))&gt;=100000), " ",IF(INDEX($AO$2:$BQ$1001,MATCH(ROWS($AH$2:AH585),$AH$2:$AH$1001,0),MATCH(COLUMNS($AO$1006:BA1006),$AO$1006:$BQ$1006,0)), HYPERLINK("#",""), HYPERLINK(CONCATENATE("#Metadata!", ADDRESS(INDEX($AJ$2:$AJ$1001,MATCH(ROWS($AH$2:AH585),$AH$2:$AH$1001,0),0), INDEX($AO$1004:$BQ$1004,1,MATCH(COLUMNS($AO$1006:BA1006),$AO$1006:$BQ$1006,0)))),"Fix")))</f>
        <v>#N/A</v>
      </c>
      <c r="O585" s="5" t="e">
        <f ca="1">IF(OR(INDEX($AI$2:$AI$1001,MATCH(ROWS($AH$2:AH585),$AH$2:$AH$1001,0),1)&gt;=100000,INDEX($AO$1005:$BQ$1005,1,MATCH(COLUMNS($AO$1006:BB1006),$AO$1006:$BQ$1006,0))&gt;=100000), " ",IF(INDEX($AO$2:$BQ$1001,MATCH(ROWS($AH$2:AH585),$AH$2:$AH$1001,0),MATCH(COLUMNS($AO$1006:BB1006),$AO$1006:$BQ$1006,0)), HYPERLINK("#",""), HYPERLINK(CONCATENATE("#Metadata!", ADDRESS(INDEX($AJ$2:$AJ$1001,MATCH(ROWS($AH$2:AH585),$AH$2:$AH$1001,0),0), INDEX($AO$1004:$BQ$1004,1,MATCH(COLUMNS($AO$1006:BB1006),$AO$1006:$BQ$1006,0)))),"Fix")))</f>
        <v>#N/A</v>
      </c>
      <c r="P585" s="5" t="e">
        <f ca="1">IF(OR(INDEX($AI$2:$AI$1001,MATCH(ROWS($AH$2:AH585),$AH$2:$AH$1001,0),1)&gt;=100000,INDEX($AO$1005:$BQ$1005,1,MATCH(COLUMNS($AO$1006:BC1006),$AO$1006:$BQ$1006,0))&gt;=100000), " ",IF(INDEX($AO$2:$BQ$1001,MATCH(ROWS($AH$2:AH585),$AH$2:$AH$1001,0),MATCH(COLUMNS($AO$1006:BC1006),$AO$1006:$BQ$1006,0)), HYPERLINK("#",""), HYPERLINK(CONCATENATE("#Metadata!", ADDRESS(INDEX($AJ$2:$AJ$1001,MATCH(ROWS($AH$2:AH585),$AH$2:$AH$1001,0),0), INDEX($AO$1004:$BQ$1004,1,MATCH(COLUMNS($AO$1006:BC1006),$AO$1006:$BQ$1006,0)))),"Fix")))</f>
        <v>#N/A</v>
      </c>
      <c r="Q585" s="5" t="e">
        <f ca="1">IF(OR(INDEX($AI$2:$AI$1001,MATCH(ROWS($AH$2:AH585),$AH$2:$AH$1001,0),1)&gt;=100000,INDEX($AO$1005:$BQ$1005,1,MATCH(COLUMNS($AO$1006:BD1006),$AO$1006:$BQ$1006,0))&gt;=100000), " ",IF(INDEX($AO$2:$BQ$1001,MATCH(ROWS($AH$2:AH585),$AH$2:$AH$1001,0),MATCH(COLUMNS($AO$1006:BD1006),$AO$1006:$BQ$1006,0)), HYPERLINK("#",""), HYPERLINK(CONCATENATE("#Metadata!", ADDRESS(INDEX($AJ$2:$AJ$1001,MATCH(ROWS($AH$2:AH585),$AH$2:$AH$1001,0),0), INDEX($AO$1004:$BQ$1004,1,MATCH(COLUMNS($AO$1006:BD1006),$AO$1006:$BQ$1006,0)))),"Fix")))</f>
        <v>#N/A</v>
      </c>
      <c r="R585" s="5" t="e">
        <f ca="1">IF(OR(INDEX($AI$2:$AI$1001,MATCH(ROWS($AH$2:AH585),$AH$2:$AH$1001,0),1)&gt;=100000,INDEX($AO$1005:$BQ$1005,1,MATCH(COLUMNS($AO$1006:BE1006),$AO$1006:$BQ$1006,0))&gt;=100000), " ",IF(INDEX($AO$2:$BQ$1001,MATCH(ROWS($AH$2:AH585),$AH$2:$AH$1001,0),MATCH(COLUMNS($AO$1006:BE1006),$AO$1006:$BQ$1006,0)), HYPERLINK("#",""), HYPERLINK(CONCATENATE("#Metadata!", ADDRESS(INDEX($AJ$2:$AJ$1001,MATCH(ROWS($AH$2:AH585),$AH$2:$AH$1001,0),0), INDEX($AO$1004:$BQ$1004,1,MATCH(COLUMNS($AO$1006:BE1006),$AO$1006:$BQ$1006,0)))),"Fix")))</f>
        <v>#N/A</v>
      </c>
      <c r="S585" s="5" t="e">
        <f ca="1">IF(OR(INDEX($AI$2:$AI$1001,MATCH(ROWS($AH$2:AH585),$AH$2:$AH$1001,0),1)&gt;=100000,INDEX($AO$1005:$BQ$1005,1,MATCH(COLUMNS($AO$1006:BF1006),$AO$1006:$BQ$1006,0))&gt;=100000), " ",IF(INDEX($AO$2:$BQ$1001,MATCH(ROWS($AH$2:AH585),$AH$2:$AH$1001,0),MATCH(COLUMNS($AO$1006:BF1006),$AO$1006:$BQ$1006,0)), HYPERLINK("#",""), HYPERLINK(CONCATENATE("#Metadata!", ADDRESS(INDEX($AJ$2:$AJ$1001,MATCH(ROWS($AH$2:AH585),$AH$2:$AH$1001,0),0), INDEX($AO$1004:$BQ$1004,1,MATCH(COLUMNS($AO$1006:BF1006),$AO$1006:$BQ$1006,0)))),"Fix")))</f>
        <v>#N/A</v>
      </c>
      <c r="T585" s="5" t="e">
        <f ca="1">IF(OR(INDEX($AI$2:$AI$1001,MATCH(ROWS($AH$2:AH585),$AH$2:$AH$1001,0),1)&gt;=100000,INDEX($AO$1005:$BQ$1005,1,MATCH(COLUMNS($AO$1006:BG1006),$AO$1006:$BQ$1006,0))&gt;=100000), " ",IF(INDEX($AO$2:$BQ$1001,MATCH(ROWS($AH$2:AH585),$AH$2:$AH$1001,0),MATCH(COLUMNS($AO$1006:BG1006),$AO$1006:$BQ$1006,0)), HYPERLINK("#",""), HYPERLINK(CONCATENATE("#Metadata!", ADDRESS(INDEX($AJ$2:$AJ$1001,MATCH(ROWS($AH$2:AH585),$AH$2:$AH$1001,0),0), INDEX($AO$1004:$BQ$1004,1,MATCH(COLUMNS($AO$1006:BG1006),$AO$1006:$BQ$1006,0)))),"Fix")))</f>
        <v>#N/A</v>
      </c>
      <c r="U585" s="5" t="e">
        <f ca="1">IF(OR(INDEX($AI$2:$AI$1001,MATCH(ROWS($AH$2:AH585),$AH$2:$AH$1001,0),1)&gt;=100000,INDEX($AO$1005:$BQ$1005,1,MATCH(COLUMNS($AO$1006:BH1006),$AO$1006:$BQ$1006,0))&gt;=100000), " ",IF(INDEX($AO$2:$BQ$1001,MATCH(ROWS($AH$2:AH585),$AH$2:$AH$1001,0),MATCH(COLUMNS($AO$1006:BH1006),$AO$1006:$BQ$1006,0)), HYPERLINK("#",""), HYPERLINK(CONCATENATE("#Metadata!", ADDRESS(INDEX($AJ$2:$AJ$1001,MATCH(ROWS($AH$2:AH585),$AH$2:$AH$1001,0),0), INDEX($AO$1004:$BQ$1004,1,MATCH(COLUMNS($AO$1006:BH1006),$AO$1006:$BQ$1006,0)))),"Fix")))</f>
        <v>#N/A</v>
      </c>
      <c r="V585" s="5" t="e">
        <f ca="1">IF(OR(INDEX($AI$2:$AI$1001,MATCH(ROWS($AH$2:AH585),$AH$2:$AH$1001,0),1)&gt;=100000,INDEX($AO$1005:$BQ$1005,1,MATCH(COLUMNS($AO$1006:BI1006),$AO$1006:$BQ$1006,0))&gt;=100000), " ",IF(INDEX($AO$2:$BQ$1001,MATCH(ROWS($AH$2:AH585),$AH$2:$AH$1001,0),MATCH(COLUMNS($AO$1006:BI1006),$AO$1006:$BQ$1006,0)), HYPERLINK("#",""), HYPERLINK(CONCATENATE("#Metadata!", ADDRESS(INDEX($AJ$2:$AJ$1001,MATCH(ROWS($AH$2:AH585),$AH$2:$AH$1001,0),0), INDEX($AO$1004:$BQ$1004,1,MATCH(COLUMNS($AO$1006:BI1006),$AO$1006:$BQ$1006,0)))),"Fix")))</f>
        <v>#N/A</v>
      </c>
      <c r="W585" s="5" t="e">
        <f ca="1">IF(OR(INDEX($AI$2:$AI$1001,MATCH(ROWS($AH$2:AH585),$AH$2:$AH$1001,0),1)&gt;=100000,INDEX($AO$1005:$BQ$1005,1,MATCH(COLUMNS($AO$1006:BJ1006),$AO$1006:$BQ$1006,0))&gt;=100000), " ",IF(INDEX($AO$2:$BQ$1001,MATCH(ROWS($AH$2:AH585),$AH$2:$AH$1001,0),MATCH(COLUMNS($AO$1006:BJ1006),$AO$1006:$BQ$1006,0)), HYPERLINK("#",""), HYPERLINK(CONCATENATE("#Metadata!", ADDRESS(INDEX($AJ$2:$AJ$1001,MATCH(ROWS($AH$2:AH585),$AH$2:$AH$1001,0),0), INDEX($AO$1004:$BQ$1004,1,MATCH(COLUMNS($AO$1006:BJ1006),$AO$1006:$BQ$1006,0)))),"Fix")))</f>
        <v>#N/A</v>
      </c>
      <c r="X585" s="5" t="e">
        <f ca="1">IF(OR(INDEX($AI$2:$AI$1001,MATCH(ROWS($AH$2:AH585),$AH$2:$AH$1001,0),1)&gt;=100000,INDEX($AO$1005:$BQ$1005,1,MATCH(COLUMNS($AO$1006:BK1006),$AO$1006:$BQ$1006,0))&gt;=100000), " ",IF(INDEX($AO$2:$BQ$1001,MATCH(ROWS($AH$2:AH585),$AH$2:$AH$1001,0),MATCH(COLUMNS($AO$1006:BK1006),$AO$1006:$BQ$1006,0)), HYPERLINK("#",""), HYPERLINK(CONCATENATE("#Metadata!", ADDRESS(INDEX($AJ$2:$AJ$1001,MATCH(ROWS($AH$2:AH585),$AH$2:$AH$1001,0),0), INDEX($AO$1004:$BQ$1004,1,MATCH(COLUMNS($AO$1006:BK1006),$AO$1006:$BQ$1006,0)))),"Fix")))</f>
        <v>#N/A</v>
      </c>
      <c r="Y585" s="5" t="e">
        <f ca="1">IF(OR(INDEX($AI$2:$AI$1001,MATCH(ROWS($AH$2:AH585),$AH$2:$AH$1001,0),1)&gt;=100000,INDEX($AO$1005:$BQ$1005,1,MATCH(COLUMNS($AO$1006:BL1006),$AO$1006:$BQ$1006,0))&gt;=100000), " ",IF(INDEX($AO$2:$BQ$1001,MATCH(ROWS($AH$2:AH585),$AH$2:$AH$1001,0),MATCH(COLUMNS($AO$1006:BL1006),$AO$1006:$BQ$1006,0)), HYPERLINK("#",""), HYPERLINK(CONCATENATE("#Metadata!", ADDRESS(INDEX($AJ$2:$AJ$1001,MATCH(ROWS($AH$2:AH585),$AH$2:$AH$1001,0),0), INDEX($AO$1004:$BQ$1004,1,MATCH(COLUMNS($AO$1006:BL1006),$AO$1006:$BQ$1006,0)))),"Fix")))</f>
        <v>#N/A</v>
      </c>
      <c r="Z585" s="5" t="e">
        <f ca="1">IF(OR(INDEX($AI$2:$AI$1001,MATCH(ROWS($AH$2:AH585),$AH$2:$AH$1001,0),1)&gt;=100000,INDEX($AO$1005:$BQ$1005,1,MATCH(COLUMNS($AO$1006:BM1006),$AO$1006:$BQ$1006,0))&gt;=100000), " ",IF(INDEX($AO$2:$BQ$1001,MATCH(ROWS($AH$2:AH585),$AH$2:$AH$1001,0),MATCH(COLUMNS($AO$1006:BM1006),$AO$1006:$BQ$1006,0)), HYPERLINK("#",""), HYPERLINK(CONCATENATE("#Metadata!", ADDRESS(INDEX($AJ$2:$AJ$1001,MATCH(ROWS($AH$2:AH585),$AH$2:$AH$1001,0),0), INDEX($AO$1004:$BQ$1004,1,MATCH(COLUMNS($AO$1006:BM1006),$AO$1006:$BQ$1006,0)))),"Fix")))</f>
        <v>#N/A</v>
      </c>
      <c r="AA585" s="5" t="e">
        <f ca="1">IF(OR(INDEX($AI$2:$AI$1001,MATCH(ROWS($AH$2:AH585),$AH$2:$AH$1001,0),1)&gt;=100000,INDEX($AO$1005:$BQ$1005,1,MATCH(COLUMNS($AO$1006:BN1006),$AO$1006:$BQ$1006,0))&gt;=100000), " ",IF(INDEX($AO$2:$BQ$1001,MATCH(ROWS($AH$2:AH585),$AH$2:$AH$1001,0),MATCH(COLUMNS($AO$1006:BN1006),$AO$1006:$BQ$1006,0)), HYPERLINK("#",""), HYPERLINK(CONCATENATE("#Metadata!", ADDRESS(INDEX($AJ$2:$AJ$1001,MATCH(ROWS($AH$2:AH585),$AH$2:$AH$1001,0),0), INDEX($AO$1004:$BQ$1004,1,MATCH(COLUMNS($AO$1006:BN1006),$AO$1006:$BQ$1006,0)))),"Fix")))</f>
        <v>#N/A</v>
      </c>
      <c r="AB585" s="5" t="e">
        <f ca="1">IF(OR(INDEX($AI$2:$AI$1001,MATCH(ROWS($AH$2:AH585),$AH$2:$AH$1001,0),1)&gt;=100000,INDEX($AO$1005:$BQ$1005,1,MATCH(COLUMNS($AO$1006:BO1006),$AO$1006:$BQ$1006,0))&gt;=100000), " ",IF(INDEX($AO$2:$BQ$1001,MATCH(ROWS($AH$2:AH585),$AH$2:$AH$1001,0),MATCH(COLUMNS($AO$1006:BO1006),$AO$1006:$BQ$1006,0)), HYPERLINK("#",""), HYPERLINK(CONCATENATE("#Metadata!", ADDRESS(INDEX($AJ$2:$AJ$1001,MATCH(ROWS($AH$2:AH585),$AH$2:$AH$1001,0),0), INDEX($AO$1004:$BQ$1004,1,MATCH(COLUMNS($AO$1006:BO1006),$AO$1006:$BQ$1006,0)))),"Fix")))</f>
        <v>#N/A</v>
      </c>
      <c r="AC585" s="5" t="e">
        <f ca="1">IF(OR(INDEX($AI$2:$AI$1001,MATCH(ROWS($AH$2:AH585),$AH$2:$AH$1001,0),1)&gt;=100000,INDEX($AO$1005:$BQ$1005,1,MATCH(COLUMNS($AO$1006:BP1006),$AO$1006:$BQ$1006,0))&gt;=100000), " ",IF(INDEX($AO$2:$BQ$1001,MATCH(ROWS($AH$2:AH585),$AH$2:$AH$1001,0),MATCH(COLUMNS($AO$1006:BP1006),$AO$1006:$BQ$1006,0)), HYPERLINK("#",""), HYPERLINK(CONCATENATE("#Metadata!", ADDRESS(INDEX($AJ$2:$AJ$1001,MATCH(ROWS($AH$2:AH585),$AH$2:$AH$1001,0),0), INDEX($AO$1004:$BQ$1004,1,MATCH(COLUMNS($AO$1006:BP1006),$AO$1006:$BQ$1006,0)))),"Fix")))</f>
        <v>#N/A</v>
      </c>
      <c r="AD585" s="5" t="e">
        <f ca="1">IF(OR(INDEX($AI$2:$AI$1001,MATCH(ROWS($AH$2:AH585),$AH$2:$AH$1001,0),1)&gt;=100000,INDEX($AO$1005:$BQ$1005,1,MATCH(COLUMNS($AO$1006:BQ1006),$AO$1006:$BQ$1006,0))&gt;=100000), " ",IF(INDEX($AO$2:$BQ$1001,MATCH(ROWS($AH$2:AH585),$AH$2:$AH$1001,0),MATCH(COLUMNS($AO$1006:BQ1006),$AO$1006:$BQ$1006,0)), HYPERLINK("#",""), HYPERLINK(CONCATENATE("#Metadata!", ADDRESS(INDEX($AJ$2:$AJ$1001,MATCH(ROWS($AH$2:AH585),$AH$2:$AH$1001,0),0), INDEX($AO$1004:$BQ$1004,1,MATCH(COLUMNS($AO$1006:BQ1006),$AO$1006:$BQ$1006,0)))),"Fix")))</f>
        <v>#REF!</v>
      </c>
      <c r="AH585">
        <f ca="1"/>
        <v>582</v>
      </c>
      <c r="AI585">
        <v>100585</v>
      </c>
      <c r="AJ585">
        <v>585</v>
      </c>
      <c r="AK585" t="b">
        <f t="shared" si="9"/>
        <v>1</v>
      </c>
      <c r="AL585" t="b">
        <f>COUNTBLANK(Metadata!B585:AD585)=COLUMNS(Metadata!B585:AD585)</f>
        <v>1</v>
      </c>
      <c r="AM585" t="str">
        <v/>
      </c>
      <c r="AO585" t="b">
        <f ca="1">AND(IF(Metadata!B585="",FALSE,TRUE),COUNTIF(Metadata!B:B, Metadata!B585) = 1,NOT(ISERROR(SUMPRODUCT(SEARCH(MID(Metadata!B585,ROW(INDIRECT("1:"&amp;LEN(Metadata!B585))), 1),"0123456789abcdefghijklmnopqrstuvwxyzABCDEFGHIJKLMNOPQRSTUVWXYZ.")))))</f>
        <v>0</v>
      </c>
      <c r="AP585" t="b">
        <f>IF(Metadata!C585="",FALSE,TRUE)</f>
        <v>0</v>
      </c>
      <c r="AQ585" t="b">
        <f>IF(Metadata!D585="",FALSE,TRUE)</f>
        <v>0</v>
      </c>
      <c r="AR585" t="b">
        <f ca="1">OR(AND(IF(Metadata!E585="",FALSE,TRUE),OR(EXACT(Metadata!E585,"not collected"),EXACT(Metadata!E585,"not provided"),EXACT(Metadata!E585,"restricted access"))),AND(IF(Metadata!E585="",FALSE,TRUE),AND(AND(IFERROR(INT(LEFT(Metadata!E585,4))&gt;1900,FALSE),IFERROR(INT(LEFT(Metadata!E585,4))&lt;=YEAR(NOW()),FALSE)), OR(MID(Metadata!E585,5,1)="", AND(AND(MID(Metadata!E585,5,1)="-",IFERROR(INT(MID(Metadata!E585,6,1))&gt;=0,FALSE),IFERROR(INT(MID(Metadata!E585,6,1))&lt;=1,FALSE),NOT(MID(Metadata!E585,7,1)=""),IFERROR(INT(MID(Metadata!E585,6,2))&gt;=1,FALSE),IFERROR(INT(MID(Metadata!E585,6,2))&lt;=12,FALSE)), OR(MID(Metadata!E585,8,1)="", AND(AND(MID(Metadata!E585,8,1)="-",IFERROR(INT(MID(Metadata!E585,9,1))&gt;=0,FALSE),IFERROR(INT(MID(Metadata!E585,9,1))&lt;=3,FALSE),NOT(MID(Metadata!E585,10,1)=""),IFERROR(INT(MID(Metadata!E585,9,2))&gt;=1,FALSE),IFERROR(INT(MID(Metadata!E585,9,2))&lt;=31,FALSE)), OR(MID(Metadata!E585,11,1)="", AND(AND(MID(Metadata!E585,11,1)=" ",IFERROR(INT(MID(Metadata!E585,12,1))&gt;=0,FALSE),IFERROR(INT(MID(Metadata!E585,12,1))&lt;=2,FALSE),NOT(MID(Metadata!E585,13,1)=""),IFERROR(INT(MID(Metadata!E585,12,2))&gt;=0,FALSE),IFERROR(INT(MID(Metadata!E585,12,2))&lt;=23,FALSE)), OR(MID(Metadata!E585,14,1)="", AND(AND(MID(Metadata!E585,14,1)=":",IFERROR(INT(MID(Metadata!E585,15,1))&gt;=0,FALSE),IFERROR(INT(MID(Metadata!E585,15,1))&lt;=5,FALSE),NOT(MID(Metadata!E585,16,1)=""),IFERROR(INT(MID(Metadata!E585,15,2))&gt;=0,FALSE),IFERROR(INT(MID(Metadata!E585,15,2))&lt;=59,FALSE)), OR(MID(Metadata!E585,17,1)="", AND(AND(MID(Metadata!E585,17,1)=":",IFERROR(INT(MID(Metadata!E585,18,1))&gt;=0,FALSE),IFERROR(INT(MID(Metadata!E585,18,1))&lt;=5,FALSE),NOT(MID(Metadata!E585,19,1)=""),IFERROR(INT(MID(Metadata!E585,18,2))&gt;=0,FALSE),IFERROR(INT(MID(Metadata!E585,18,2))&lt;=59,FALSE)), LEN(Metadata!E585)&lt;=19)))))))))))))</f>
        <v>0</v>
      </c>
      <c r="AS585" t="b">
        <f>IF(Metadata!F585="",FALSE,TRUE)</f>
        <v>0</v>
      </c>
      <c r="AT585" t="b">
        <f>OR(AND(IF(Metadata!G585="",FALSE,TRUE),OR(EXACT(Metadata!G585,"not collected"),EXACT(Metadata!G585,"not provided"))),AND(IF(Metadata!G585="",FALSE,TRUE),OR(EXACT(Metadata!G585,"TRUE"),EXACT(Metadata!G585,"FALSE"))))</f>
        <v>0</v>
      </c>
      <c r="AU585" t="b">
        <f>OR(AND(IF(Metadata!H585="",FALSE,TRUE),OR(EXACT(Metadata!H585,"not collected"),EXACT(Metadata!H585,"not provided"),EXACT(Metadata!H585,"restricted access"))),AND(IF(Metadata!H585="",FALSE,ISNUMBER(VALUE(Metadata!H585))),Metadata!H585&gt;=-413))</f>
        <v>0</v>
      </c>
      <c r="AV585" t="b">
        <f>AND(IF(Metadata!I585="",FALSE,TRUE),EXACT(Metadata!I585,"meters"))</f>
        <v>0</v>
      </c>
      <c r="AW585" t="b">
        <f>AND(IF(Metadata!J585="",FALSE,TRUE),EXACT(Metadata!J585,"free-living"))</f>
        <v>0</v>
      </c>
      <c r="AX585" t="b">
        <f>AND(IF(Metadata!K585="",FALSE,TRUE),OR(EXACT(Metadata!K585,"saline"),EXACT(Metadata!K585,"non-saline")))</f>
        <v>0</v>
      </c>
      <c r="AY585" t="b">
        <f>AND(IF(Metadata!L585="",FALSE,TRUE),OR(EXACT(Metadata!L585,"sub-surface (non-saline)"),EXACT(Metadata!L585,"surface (non-saline)"),EXACT(Metadata!L585,"water (non-saline)"),EXACT(Metadata!L585,"soil (non-saline)"),EXACT(Metadata!L585,"aerosol (non-saline)"),EXACT(Metadata!L585,"sediment (non-saline)"),EXACT(Metadata!L585,"surface (saline)"),EXACT(Metadata!L585,"water (saline)"),EXACT(Metadata!L585,"hypersaline (saline)"),EXACT(Metadata!L585,"aerosol (saline)"),EXACT(Metadata!L585,"sediment (saline)")))</f>
        <v>0</v>
      </c>
      <c r="AZ585" t="b">
        <f>IF(Metadata!M585="",FALSE,TRUE)</f>
        <v>0</v>
      </c>
      <c r="BA585" t="b">
        <f>IF(Metadata!N585="",FALSE,TRUE)</f>
        <v>0</v>
      </c>
      <c r="BB585" t="b">
        <f>IF(Metadata!O585="",FALSE,TRUE)</f>
        <v>0</v>
      </c>
      <c r="BC585" t="b">
        <f>AND(IF(Metadata!P585="",FALSE,TRUE),OR(EXACT(Metadata!P585,"air"),EXACT(Metadata!P585,"microbial mat/biofilm"),EXACT(Metadata!P585,"misc environment"),EXACT(Metadata!P585,"sediment"),EXACT(Metadata!P585,"soil"),EXACT(Metadata!P585,"wastewater/sludge"),EXACT(Metadata!P585,"water")))</f>
        <v>0</v>
      </c>
      <c r="BD585" t="b">
        <f>IF(Metadata!Q585="",FALSE,TRUE)</f>
        <v>0</v>
      </c>
      <c r="BE585" t="b">
        <f>IF(Metadata!R585="",FALSE,TRUE)</f>
        <v>0</v>
      </c>
      <c r="BF585" t="b">
        <f>OR(AND(IF(Metadata!S585="",FALSE,TRUE),OR(EXACT(Metadata!S585,"not collected"),EXACT(Metadata!S585,"not provided"),EXACT(Metadata!S585,"restricted access"))),AND(IF(Metadata!S585="",FALSE,ISNUMBER(VALUE(Metadata!S585))),Metadata!S585&gt;=-90,Metadata!S585&lt;=90))</f>
        <v>0</v>
      </c>
      <c r="BG585" t="b">
        <f>AND(IF(Metadata!T585="",FALSE,TRUE),EXACT(Metadata!T585,"Decimal degrees"))</f>
        <v>0</v>
      </c>
      <c r="BH585" t="b">
        <f>OR(AND(IF(Metadata!U585="",FALSE,TRUE),OR(EXACT(Metadata!U585,"not applicable"),EXACT(Metadata!U585,"not collected"))),IF(Metadata!U585="",FALSE,TRUE))</f>
        <v>0</v>
      </c>
      <c r="BI585" t="b">
        <f>OR(AND(IF(Metadata!V585="",FALSE,TRUE),OR(EXACT(Metadata!V585,"not collected"),EXACT(Metadata!V585,"not provided"),EXACT(Metadata!V585,"restricted access"))),AND(IF(Metadata!V585="",FALSE,ISNUMBER(VALUE(Metadata!V585))),Metadata!V585&gt;=-180,Metadata!V585&lt;=180))</f>
        <v>0</v>
      </c>
      <c r="BJ585" t="b">
        <f>AND(IF(Metadata!W585="",FALSE,TRUE),EXACT(Metadata!W585,"Decimal degrees"))</f>
        <v>0</v>
      </c>
      <c r="BK585" t="b">
        <f>IF(Metadata!X585="",FALSE,TRUE)</f>
        <v>0</v>
      </c>
      <c r="BL585" t="b">
        <f>OR(AND(IF(Metadata!Y585="",FALSE,TRUE),OR(EXACT(Metadata!Y585,"not collected"),EXACT(Metadata!Y585,"not provided"),EXACT(Metadata!Y585,"restricted access"))),AND(IF(Metadata!Y585="",FALSE,TRUE),OR(EXACT(Metadata!Y585,"TRUE"),EXACT(Metadata!Y585,"FALSE"))))</f>
        <v>0</v>
      </c>
      <c r="BM585" t="b">
        <f>OR(AND(IF(Metadata!Z585="",FALSE,TRUE),EXACT(Metadata!Z585,"not applicable")),AND(IF(Metadata!Z585="",FALSE,TRUE),OR(EXACT(Metadata!Z585,"beer"),EXACT(Metadata!Z585,"cheese"),EXACT(Metadata!Z585,"fresh water"),EXACT(Metadata!Z585,"marine sediment"),EXACT(Metadata!Z585,"sea water"),EXACT(Metadata!Z585,"sediment"),EXACT(Metadata!Z585,"soil"),EXACT(Metadata!Z585,"waste water"))))</f>
        <v>0</v>
      </c>
      <c r="BN585" t="b">
        <f>AND(IF(Metadata!AA585="",FALSE,TRUE),EXACT(Metadata!AA585,"metagenome"))</f>
        <v>0</v>
      </c>
      <c r="BO585" t="b">
        <f>AND(IF(Metadata!AB585="",FALSE,TRUE),EXACT(Metadata!AB585,"256318"))</f>
        <v>0</v>
      </c>
      <c r="BP585" t="b">
        <f>IF(Metadata!AC585="",FALSE,TRUE)</f>
        <v>0</v>
      </c>
      <c r="BQ585" t="b">
        <f>IF(Metadata!AD585="",FALSE,TRUE)</f>
        <v>0</v>
      </c>
    </row>
    <row r="586" spans="1:69" x14ac:dyDescent="0.2">
      <c r="A586" s="4" t="e">
        <f ca="1">IF(B586=" "," ",HYPERLINK(CONCATENATE("#metadata!",ADDRESS(INDEX($AJ$2:$AJ$1001,MATCH(ROWS($AH$2:AH586),$AH$2:$AH$1001,0),0),2)),INDEX($AM$2:$AM$1001,MATCH(ROWS($AH$2:AH586),$AH$2:$AH$1001,0),0)))</f>
        <v>#N/A</v>
      </c>
      <c r="B586" s="5" t="e">
        <f ca="1">IF(OR(INDEX($AI$2:$AI$1001,MATCH(ROWS($AH$2:AH586),$AH$2:$AH$1001,0),1)&gt;=100000,INDEX($AO$1005:$BQ$1005,1,MATCH(COLUMNS($AO$1006:AO1006),$AO$1006:$BQ$1006,0))&gt;=100000), " ",IF(INDEX($AO$2:$BQ$1001,MATCH(ROWS($AH$2:AH586),$AH$2:$AH$1001,0),MATCH(COLUMNS($AO$1006:AO1006),$AO$1006:$BQ$1006,0)), HYPERLINK("#",""), HYPERLINK(CONCATENATE("#Metadata!", ADDRESS(INDEX($AJ$2:$AJ$1001,MATCH(ROWS($AH$2:AH586),$AH$2:$AH$1001,0),0), INDEX($AO$1004:$BQ$1004,1,MATCH(COLUMNS($AO$1006:AO1006),$AO$1006:$BQ$1006,0)))),"Fix")))</f>
        <v>#N/A</v>
      </c>
      <c r="C586" s="5" t="e">
        <f ca="1">IF(OR(INDEX($AI$2:$AI$1001,MATCH(ROWS($AH$2:AH586),$AH$2:$AH$1001,0),1)&gt;=100000,INDEX($AO$1005:$BQ$1005,1,MATCH(COLUMNS($AO$1006:AP1006),$AO$1006:$BQ$1006,0))&gt;=100000), " ",IF(INDEX($AO$2:$BQ$1001,MATCH(ROWS($AH$2:AH586),$AH$2:$AH$1001,0),MATCH(COLUMNS($AO$1006:AP1006),$AO$1006:$BQ$1006,0)), HYPERLINK("#",""), HYPERLINK(CONCATENATE("#Metadata!", ADDRESS(INDEX($AJ$2:$AJ$1001,MATCH(ROWS($AH$2:AH586),$AH$2:$AH$1001,0),0), INDEX($AO$1004:$BQ$1004,1,MATCH(COLUMNS($AO$1006:AP1006),$AO$1006:$BQ$1006,0)))),"Fix")))</f>
        <v>#N/A</v>
      </c>
      <c r="D586" s="5" t="e">
        <f ca="1">IF(OR(INDEX($AI$2:$AI$1001,MATCH(ROWS($AH$2:AH586),$AH$2:$AH$1001,0),1)&gt;=100000,INDEX($AO$1005:$BQ$1005,1,MATCH(COLUMNS($AO$1006:AQ1006),$AO$1006:$BQ$1006,0))&gt;=100000), " ",IF(INDEX($AO$2:$BQ$1001,MATCH(ROWS($AH$2:AH586),$AH$2:$AH$1001,0),MATCH(COLUMNS($AO$1006:AQ1006),$AO$1006:$BQ$1006,0)), HYPERLINK("#",""), HYPERLINK(CONCATENATE("#Metadata!", ADDRESS(INDEX($AJ$2:$AJ$1001,MATCH(ROWS($AH$2:AH586),$AH$2:$AH$1001,0),0), INDEX($AO$1004:$BQ$1004,1,MATCH(COLUMNS($AO$1006:AQ1006),$AO$1006:$BQ$1006,0)))),"Fix")))</f>
        <v>#N/A</v>
      </c>
      <c r="E586" s="5" t="e">
        <f ca="1">IF(OR(INDEX($AI$2:$AI$1001,MATCH(ROWS($AH$2:AH586),$AH$2:$AH$1001,0),1)&gt;=100000,INDEX($AO$1005:$BQ$1005,1,MATCH(COLUMNS($AO$1006:AR1006),$AO$1006:$BQ$1006,0))&gt;=100000), " ",IF(INDEX($AO$2:$BQ$1001,MATCH(ROWS($AH$2:AH586),$AH$2:$AH$1001,0),MATCH(COLUMNS($AO$1006:AR1006),$AO$1006:$BQ$1006,0)), HYPERLINK("#",""), HYPERLINK(CONCATENATE("#Metadata!", ADDRESS(INDEX($AJ$2:$AJ$1001,MATCH(ROWS($AH$2:AH586),$AH$2:$AH$1001,0),0), INDEX($AO$1004:$BQ$1004,1,MATCH(COLUMNS($AO$1006:AR1006),$AO$1006:$BQ$1006,0)))),"Fix")))</f>
        <v>#N/A</v>
      </c>
      <c r="F586" s="5" t="e">
        <f ca="1">IF(OR(INDEX($AI$2:$AI$1001,MATCH(ROWS($AH$2:AH586),$AH$2:$AH$1001,0),1)&gt;=100000,INDEX($AO$1005:$BQ$1005,1,MATCH(COLUMNS($AO$1006:AS1006),$AO$1006:$BQ$1006,0))&gt;=100000), " ",IF(INDEX($AO$2:$BQ$1001,MATCH(ROWS($AH$2:AH586),$AH$2:$AH$1001,0),MATCH(COLUMNS($AO$1006:AS1006),$AO$1006:$BQ$1006,0)), HYPERLINK("#",""), HYPERLINK(CONCATENATE("#Metadata!", ADDRESS(INDEX($AJ$2:$AJ$1001,MATCH(ROWS($AH$2:AH586),$AH$2:$AH$1001,0),0), INDEX($AO$1004:$BQ$1004,1,MATCH(COLUMNS($AO$1006:AS1006),$AO$1006:$BQ$1006,0)))),"Fix")))</f>
        <v>#N/A</v>
      </c>
      <c r="G586" s="5" t="e">
        <f ca="1">IF(OR(INDEX($AI$2:$AI$1001,MATCH(ROWS($AH$2:AH586),$AH$2:$AH$1001,0),1)&gt;=100000,INDEX($AO$1005:$BQ$1005,1,MATCH(COLUMNS($AO$1006:AT1006),$AO$1006:$BQ$1006,0))&gt;=100000), " ",IF(INDEX($AO$2:$BQ$1001,MATCH(ROWS($AH$2:AH586),$AH$2:$AH$1001,0),MATCH(COLUMNS($AO$1006:AT1006),$AO$1006:$BQ$1006,0)), HYPERLINK("#",""), HYPERLINK(CONCATENATE("#Metadata!", ADDRESS(INDEX($AJ$2:$AJ$1001,MATCH(ROWS($AH$2:AH586),$AH$2:$AH$1001,0),0), INDEX($AO$1004:$BQ$1004,1,MATCH(COLUMNS($AO$1006:AT1006),$AO$1006:$BQ$1006,0)))),"Fix")))</f>
        <v>#N/A</v>
      </c>
      <c r="H586" s="5" t="e">
        <f ca="1">IF(OR(INDEX($AI$2:$AI$1001,MATCH(ROWS($AH$2:AH586),$AH$2:$AH$1001,0),1)&gt;=100000,INDEX($AO$1005:$BQ$1005,1,MATCH(COLUMNS($AO$1006:AU1006),$AO$1006:$BQ$1006,0))&gt;=100000), " ",IF(INDEX($AO$2:$BQ$1001,MATCH(ROWS($AH$2:AH586),$AH$2:$AH$1001,0),MATCH(COLUMNS($AO$1006:AU1006),$AO$1006:$BQ$1006,0)), HYPERLINK("#",""), HYPERLINK(CONCATENATE("#Metadata!", ADDRESS(INDEX($AJ$2:$AJ$1001,MATCH(ROWS($AH$2:AH586),$AH$2:$AH$1001,0),0), INDEX($AO$1004:$BQ$1004,1,MATCH(COLUMNS($AO$1006:AU1006),$AO$1006:$BQ$1006,0)))),"Fix")))</f>
        <v>#N/A</v>
      </c>
      <c r="I586" s="5" t="e">
        <f ca="1">IF(OR(INDEX($AI$2:$AI$1001,MATCH(ROWS($AH$2:AH586),$AH$2:$AH$1001,0),1)&gt;=100000,INDEX($AO$1005:$BQ$1005,1,MATCH(COLUMNS($AO$1006:AV1006),$AO$1006:$BQ$1006,0))&gt;=100000), " ",IF(INDEX($AO$2:$BQ$1001,MATCH(ROWS($AH$2:AH586),$AH$2:$AH$1001,0),MATCH(COLUMNS($AO$1006:AV1006),$AO$1006:$BQ$1006,0)), HYPERLINK("#",""), HYPERLINK(CONCATENATE("#Metadata!", ADDRESS(INDEX($AJ$2:$AJ$1001,MATCH(ROWS($AH$2:AH586),$AH$2:$AH$1001,0),0), INDEX($AO$1004:$BQ$1004,1,MATCH(COLUMNS($AO$1006:AV1006),$AO$1006:$BQ$1006,0)))),"Fix")))</f>
        <v>#N/A</v>
      </c>
      <c r="J586" s="5" t="e">
        <f ca="1">IF(OR(INDEX($AI$2:$AI$1001,MATCH(ROWS($AH$2:AH586),$AH$2:$AH$1001,0),1)&gt;=100000,INDEX($AO$1005:$BQ$1005,1,MATCH(COLUMNS($AO$1006:AW1006),$AO$1006:$BQ$1006,0))&gt;=100000), " ",IF(INDEX($AO$2:$BQ$1001,MATCH(ROWS($AH$2:AH586),$AH$2:$AH$1001,0),MATCH(COLUMNS($AO$1006:AW1006),$AO$1006:$BQ$1006,0)), HYPERLINK("#",""), HYPERLINK(CONCATENATE("#Metadata!", ADDRESS(INDEX($AJ$2:$AJ$1001,MATCH(ROWS($AH$2:AH586),$AH$2:$AH$1001,0),0), INDEX($AO$1004:$BQ$1004,1,MATCH(COLUMNS($AO$1006:AW1006),$AO$1006:$BQ$1006,0)))),"Fix")))</f>
        <v>#N/A</v>
      </c>
      <c r="K586" s="5" t="e">
        <f ca="1">IF(OR(INDEX($AI$2:$AI$1001,MATCH(ROWS($AH$2:AH586),$AH$2:$AH$1001,0),1)&gt;=100000,INDEX($AO$1005:$BQ$1005,1,MATCH(COLUMNS($AO$1006:AX1006),$AO$1006:$BQ$1006,0))&gt;=100000), " ",IF(INDEX($AO$2:$BQ$1001,MATCH(ROWS($AH$2:AH586),$AH$2:$AH$1001,0),MATCH(COLUMNS($AO$1006:AX1006),$AO$1006:$BQ$1006,0)), HYPERLINK("#",""), HYPERLINK(CONCATENATE("#Metadata!", ADDRESS(INDEX($AJ$2:$AJ$1001,MATCH(ROWS($AH$2:AH586),$AH$2:$AH$1001,0),0), INDEX($AO$1004:$BQ$1004,1,MATCH(COLUMNS($AO$1006:AX1006),$AO$1006:$BQ$1006,0)))),"Fix")))</f>
        <v>#N/A</v>
      </c>
      <c r="L586" s="5" t="e">
        <f ca="1">IF(OR(INDEX($AI$2:$AI$1001,MATCH(ROWS($AH$2:AH586),$AH$2:$AH$1001,0),1)&gt;=100000,INDEX($AO$1005:$BQ$1005,1,MATCH(COLUMNS($AO$1006:AY1006),$AO$1006:$BQ$1006,0))&gt;=100000), " ",IF(INDEX($AO$2:$BQ$1001,MATCH(ROWS($AH$2:AH586),$AH$2:$AH$1001,0),MATCH(COLUMNS($AO$1006:AY1006),$AO$1006:$BQ$1006,0)), HYPERLINK("#",""), HYPERLINK(CONCATENATE("#Metadata!", ADDRESS(INDEX($AJ$2:$AJ$1001,MATCH(ROWS($AH$2:AH586),$AH$2:$AH$1001,0),0), INDEX($AO$1004:$BQ$1004,1,MATCH(COLUMNS($AO$1006:AY1006),$AO$1006:$BQ$1006,0)))),"Fix")))</f>
        <v>#N/A</v>
      </c>
      <c r="M586" s="5" t="e">
        <f ca="1">IF(OR(INDEX($AI$2:$AI$1001,MATCH(ROWS($AH$2:AH586),$AH$2:$AH$1001,0),1)&gt;=100000,INDEX($AO$1005:$BQ$1005,1,MATCH(COLUMNS($AO$1006:AZ1006),$AO$1006:$BQ$1006,0))&gt;=100000), " ",IF(INDEX($AO$2:$BQ$1001,MATCH(ROWS($AH$2:AH586),$AH$2:$AH$1001,0),MATCH(COLUMNS($AO$1006:AZ1006),$AO$1006:$BQ$1006,0)), HYPERLINK("#",""), HYPERLINK(CONCATENATE("#Metadata!", ADDRESS(INDEX($AJ$2:$AJ$1001,MATCH(ROWS($AH$2:AH586),$AH$2:$AH$1001,0),0), INDEX($AO$1004:$BQ$1004,1,MATCH(COLUMNS($AO$1006:AZ1006),$AO$1006:$BQ$1006,0)))),"Fix")))</f>
        <v>#N/A</v>
      </c>
      <c r="N586" s="5" t="e">
        <f ca="1">IF(OR(INDEX($AI$2:$AI$1001,MATCH(ROWS($AH$2:AH586),$AH$2:$AH$1001,0),1)&gt;=100000,INDEX($AO$1005:$BQ$1005,1,MATCH(COLUMNS($AO$1006:BA1006),$AO$1006:$BQ$1006,0))&gt;=100000), " ",IF(INDEX($AO$2:$BQ$1001,MATCH(ROWS($AH$2:AH586),$AH$2:$AH$1001,0),MATCH(COLUMNS($AO$1006:BA1006),$AO$1006:$BQ$1006,0)), HYPERLINK("#",""), HYPERLINK(CONCATENATE("#Metadata!", ADDRESS(INDEX($AJ$2:$AJ$1001,MATCH(ROWS($AH$2:AH586),$AH$2:$AH$1001,0),0), INDEX($AO$1004:$BQ$1004,1,MATCH(COLUMNS($AO$1006:BA1006),$AO$1006:$BQ$1006,0)))),"Fix")))</f>
        <v>#N/A</v>
      </c>
      <c r="O586" s="5" t="e">
        <f ca="1">IF(OR(INDEX($AI$2:$AI$1001,MATCH(ROWS($AH$2:AH586),$AH$2:$AH$1001,0),1)&gt;=100000,INDEX($AO$1005:$BQ$1005,1,MATCH(COLUMNS($AO$1006:BB1006),$AO$1006:$BQ$1006,0))&gt;=100000), " ",IF(INDEX($AO$2:$BQ$1001,MATCH(ROWS($AH$2:AH586),$AH$2:$AH$1001,0),MATCH(COLUMNS($AO$1006:BB1006),$AO$1006:$BQ$1006,0)), HYPERLINK("#",""), HYPERLINK(CONCATENATE("#Metadata!", ADDRESS(INDEX($AJ$2:$AJ$1001,MATCH(ROWS($AH$2:AH586),$AH$2:$AH$1001,0),0), INDEX($AO$1004:$BQ$1004,1,MATCH(COLUMNS($AO$1006:BB1006),$AO$1006:$BQ$1006,0)))),"Fix")))</f>
        <v>#N/A</v>
      </c>
      <c r="P586" s="5" t="e">
        <f ca="1">IF(OR(INDEX($AI$2:$AI$1001,MATCH(ROWS($AH$2:AH586),$AH$2:$AH$1001,0),1)&gt;=100000,INDEX($AO$1005:$BQ$1005,1,MATCH(COLUMNS($AO$1006:BC1006),$AO$1006:$BQ$1006,0))&gt;=100000), " ",IF(INDEX($AO$2:$BQ$1001,MATCH(ROWS($AH$2:AH586),$AH$2:$AH$1001,0),MATCH(COLUMNS($AO$1006:BC1006),$AO$1006:$BQ$1006,0)), HYPERLINK("#",""), HYPERLINK(CONCATENATE("#Metadata!", ADDRESS(INDEX($AJ$2:$AJ$1001,MATCH(ROWS($AH$2:AH586),$AH$2:$AH$1001,0),0), INDEX($AO$1004:$BQ$1004,1,MATCH(COLUMNS($AO$1006:BC1006),$AO$1006:$BQ$1006,0)))),"Fix")))</f>
        <v>#N/A</v>
      </c>
      <c r="Q586" s="5" t="e">
        <f ca="1">IF(OR(INDEX($AI$2:$AI$1001,MATCH(ROWS($AH$2:AH586),$AH$2:$AH$1001,0),1)&gt;=100000,INDEX($AO$1005:$BQ$1005,1,MATCH(COLUMNS($AO$1006:BD1006),$AO$1006:$BQ$1006,0))&gt;=100000), " ",IF(INDEX($AO$2:$BQ$1001,MATCH(ROWS($AH$2:AH586),$AH$2:$AH$1001,0),MATCH(COLUMNS($AO$1006:BD1006),$AO$1006:$BQ$1006,0)), HYPERLINK("#",""), HYPERLINK(CONCATENATE("#Metadata!", ADDRESS(INDEX($AJ$2:$AJ$1001,MATCH(ROWS($AH$2:AH586),$AH$2:$AH$1001,0),0), INDEX($AO$1004:$BQ$1004,1,MATCH(COLUMNS($AO$1006:BD1006),$AO$1006:$BQ$1006,0)))),"Fix")))</f>
        <v>#N/A</v>
      </c>
      <c r="R586" s="5" t="e">
        <f ca="1">IF(OR(INDEX($AI$2:$AI$1001,MATCH(ROWS($AH$2:AH586),$AH$2:$AH$1001,0),1)&gt;=100000,INDEX($AO$1005:$BQ$1005,1,MATCH(COLUMNS($AO$1006:BE1006),$AO$1006:$BQ$1006,0))&gt;=100000), " ",IF(INDEX($AO$2:$BQ$1001,MATCH(ROWS($AH$2:AH586),$AH$2:$AH$1001,0),MATCH(COLUMNS($AO$1006:BE1006),$AO$1006:$BQ$1006,0)), HYPERLINK("#",""), HYPERLINK(CONCATENATE("#Metadata!", ADDRESS(INDEX($AJ$2:$AJ$1001,MATCH(ROWS($AH$2:AH586),$AH$2:$AH$1001,0),0), INDEX($AO$1004:$BQ$1004,1,MATCH(COLUMNS($AO$1006:BE1006),$AO$1006:$BQ$1006,0)))),"Fix")))</f>
        <v>#N/A</v>
      </c>
      <c r="S586" s="5" t="e">
        <f ca="1">IF(OR(INDEX($AI$2:$AI$1001,MATCH(ROWS($AH$2:AH586),$AH$2:$AH$1001,0),1)&gt;=100000,INDEX($AO$1005:$BQ$1005,1,MATCH(COLUMNS($AO$1006:BF1006),$AO$1006:$BQ$1006,0))&gt;=100000), " ",IF(INDEX($AO$2:$BQ$1001,MATCH(ROWS($AH$2:AH586),$AH$2:$AH$1001,0),MATCH(COLUMNS($AO$1006:BF1006),$AO$1006:$BQ$1006,0)), HYPERLINK("#",""), HYPERLINK(CONCATENATE("#Metadata!", ADDRESS(INDEX($AJ$2:$AJ$1001,MATCH(ROWS($AH$2:AH586),$AH$2:$AH$1001,0),0), INDEX($AO$1004:$BQ$1004,1,MATCH(COLUMNS($AO$1006:BF1006),$AO$1006:$BQ$1006,0)))),"Fix")))</f>
        <v>#N/A</v>
      </c>
      <c r="T586" s="5" t="e">
        <f ca="1">IF(OR(INDEX($AI$2:$AI$1001,MATCH(ROWS($AH$2:AH586),$AH$2:$AH$1001,0),1)&gt;=100000,INDEX($AO$1005:$BQ$1005,1,MATCH(COLUMNS($AO$1006:BG1006),$AO$1006:$BQ$1006,0))&gt;=100000), " ",IF(INDEX($AO$2:$BQ$1001,MATCH(ROWS($AH$2:AH586),$AH$2:$AH$1001,0),MATCH(COLUMNS($AO$1006:BG1006),$AO$1006:$BQ$1006,0)), HYPERLINK("#",""), HYPERLINK(CONCATENATE("#Metadata!", ADDRESS(INDEX($AJ$2:$AJ$1001,MATCH(ROWS($AH$2:AH586),$AH$2:$AH$1001,0),0), INDEX($AO$1004:$BQ$1004,1,MATCH(COLUMNS($AO$1006:BG1006),$AO$1006:$BQ$1006,0)))),"Fix")))</f>
        <v>#N/A</v>
      </c>
      <c r="U586" s="5" t="e">
        <f ca="1">IF(OR(INDEX($AI$2:$AI$1001,MATCH(ROWS($AH$2:AH586),$AH$2:$AH$1001,0),1)&gt;=100000,INDEX($AO$1005:$BQ$1005,1,MATCH(COLUMNS($AO$1006:BH1006),$AO$1006:$BQ$1006,0))&gt;=100000), " ",IF(INDEX($AO$2:$BQ$1001,MATCH(ROWS($AH$2:AH586),$AH$2:$AH$1001,0),MATCH(COLUMNS($AO$1006:BH1006),$AO$1006:$BQ$1006,0)), HYPERLINK("#",""), HYPERLINK(CONCATENATE("#Metadata!", ADDRESS(INDEX($AJ$2:$AJ$1001,MATCH(ROWS($AH$2:AH586),$AH$2:$AH$1001,0),0), INDEX($AO$1004:$BQ$1004,1,MATCH(COLUMNS($AO$1006:BH1006),$AO$1006:$BQ$1006,0)))),"Fix")))</f>
        <v>#N/A</v>
      </c>
      <c r="V586" s="5" t="e">
        <f ca="1">IF(OR(INDEX($AI$2:$AI$1001,MATCH(ROWS($AH$2:AH586),$AH$2:$AH$1001,0),1)&gt;=100000,INDEX($AO$1005:$BQ$1005,1,MATCH(COLUMNS($AO$1006:BI1006),$AO$1006:$BQ$1006,0))&gt;=100000), " ",IF(INDEX($AO$2:$BQ$1001,MATCH(ROWS($AH$2:AH586),$AH$2:$AH$1001,0),MATCH(COLUMNS($AO$1006:BI1006),$AO$1006:$BQ$1006,0)), HYPERLINK("#",""), HYPERLINK(CONCATENATE("#Metadata!", ADDRESS(INDEX($AJ$2:$AJ$1001,MATCH(ROWS($AH$2:AH586),$AH$2:$AH$1001,0),0), INDEX($AO$1004:$BQ$1004,1,MATCH(COLUMNS($AO$1006:BI1006),$AO$1006:$BQ$1006,0)))),"Fix")))</f>
        <v>#N/A</v>
      </c>
      <c r="W586" s="5" t="e">
        <f ca="1">IF(OR(INDEX($AI$2:$AI$1001,MATCH(ROWS($AH$2:AH586),$AH$2:$AH$1001,0),1)&gt;=100000,INDEX($AO$1005:$BQ$1005,1,MATCH(COLUMNS($AO$1006:BJ1006),$AO$1006:$BQ$1006,0))&gt;=100000), " ",IF(INDEX($AO$2:$BQ$1001,MATCH(ROWS($AH$2:AH586),$AH$2:$AH$1001,0),MATCH(COLUMNS($AO$1006:BJ1006),$AO$1006:$BQ$1006,0)), HYPERLINK("#",""), HYPERLINK(CONCATENATE("#Metadata!", ADDRESS(INDEX($AJ$2:$AJ$1001,MATCH(ROWS($AH$2:AH586),$AH$2:$AH$1001,0),0), INDEX($AO$1004:$BQ$1004,1,MATCH(COLUMNS($AO$1006:BJ1006),$AO$1006:$BQ$1006,0)))),"Fix")))</f>
        <v>#N/A</v>
      </c>
      <c r="X586" s="5" t="e">
        <f ca="1">IF(OR(INDEX($AI$2:$AI$1001,MATCH(ROWS($AH$2:AH586),$AH$2:$AH$1001,0),1)&gt;=100000,INDEX($AO$1005:$BQ$1005,1,MATCH(COLUMNS($AO$1006:BK1006),$AO$1006:$BQ$1006,0))&gt;=100000), " ",IF(INDEX($AO$2:$BQ$1001,MATCH(ROWS($AH$2:AH586),$AH$2:$AH$1001,0),MATCH(COLUMNS($AO$1006:BK1006),$AO$1006:$BQ$1006,0)), HYPERLINK("#",""), HYPERLINK(CONCATENATE("#Metadata!", ADDRESS(INDEX($AJ$2:$AJ$1001,MATCH(ROWS($AH$2:AH586),$AH$2:$AH$1001,0),0), INDEX($AO$1004:$BQ$1004,1,MATCH(COLUMNS($AO$1006:BK1006),$AO$1006:$BQ$1006,0)))),"Fix")))</f>
        <v>#N/A</v>
      </c>
      <c r="Y586" s="5" t="e">
        <f ca="1">IF(OR(INDEX($AI$2:$AI$1001,MATCH(ROWS($AH$2:AH586),$AH$2:$AH$1001,0),1)&gt;=100000,INDEX($AO$1005:$BQ$1005,1,MATCH(COLUMNS($AO$1006:BL1006),$AO$1006:$BQ$1006,0))&gt;=100000), " ",IF(INDEX($AO$2:$BQ$1001,MATCH(ROWS($AH$2:AH586),$AH$2:$AH$1001,0),MATCH(COLUMNS($AO$1006:BL1006),$AO$1006:$BQ$1006,0)), HYPERLINK("#",""), HYPERLINK(CONCATENATE("#Metadata!", ADDRESS(INDEX($AJ$2:$AJ$1001,MATCH(ROWS($AH$2:AH586),$AH$2:$AH$1001,0),0), INDEX($AO$1004:$BQ$1004,1,MATCH(COLUMNS($AO$1006:BL1006),$AO$1006:$BQ$1006,0)))),"Fix")))</f>
        <v>#N/A</v>
      </c>
      <c r="Z586" s="5" t="e">
        <f ca="1">IF(OR(INDEX($AI$2:$AI$1001,MATCH(ROWS($AH$2:AH586),$AH$2:$AH$1001,0),1)&gt;=100000,INDEX($AO$1005:$BQ$1005,1,MATCH(COLUMNS($AO$1006:BM1006),$AO$1006:$BQ$1006,0))&gt;=100000), " ",IF(INDEX($AO$2:$BQ$1001,MATCH(ROWS($AH$2:AH586),$AH$2:$AH$1001,0),MATCH(COLUMNS($AO$1006:BM1006),$AO$1006:$BQ$1006,0)), HYPERLINK("#",""), HYPERLINK(CONCATENATE("#Metadata!", ADDRESS(INDEX($AJ$2:$AJ$1001,MATCH(ROWS($AH$2:AH586),$AH$2:$AH$1001,0),0), INDEX($AO$1004:$BQ$1004,1,MATCH(COLUMNS($AO$1006:BM1006),$AO$1006:$BQ$1006,0)))),"Fix")))</f>
        <v>#N/A</v>
      </c>
      <c r="AA586" s="5" t="e">
        <f ca="1">IF(OR(INDEX($AI$2:$AI$1001,MATCH(ROWS($AH$2:AH586),$AH$2:$AH$1001,0),1)&gt;=100000,INDEX($AO$1005:$BQ$1005,1,MATCH(COLUMNS($AO$1006:BN1006),$AO$1006:$BQ$1006,0))&gt;=100000), " ",IF(INDEX($AO$2:$BQ$1001,MATCH(ROWS($AH$2:AH586),$AH$2:$AH$1001,0),MATCH(COLUMNS($AO$1006:BN1006),$AO$1006:$BQ$1006,0)), HYPERLINK("#",""), HYPERLINK(CONCATENATE("#Metadata!", ADDRESS(INDEX($AJ$2:$AJ$1001,MATCH(ROWS($AH$2:AH586),$AH$2:$AH$1001,0),0), INDEX($AO$1004:$BQ$1004,1,MATCH(COLUMNS($AO$1006:BN1006),$AO$1006:$BQ$1006,0)))),"Fix")))</f>
        <v>#N/A</v>
      </c>
      <c r="AB586" s="5" t="e">
        <f ca="1">IF(OR(INDEX($AI$2:$AI$1001,MATCH(ROWS($AH$2:AH586),$AH$2:$AH$1001,0),1)&gt;=100000,INDEX($AO$1005:$BQ$1005,1,MATCH(COLUMNS($AO$1006:BO1006),$AO$1006:$BQ$1006,0))&gt;=100000), " ",IF(INDEX($AO$2:$BQ$1001,MATCH(ROWS($AH$2:AH586),$AH$2:$AH$1001,0),MATCH(COLUMNS($AO$1006:BO1006),$AO$1006:$BQ$1006,0)), HYPERLINK("#",""), HYPERLINK(CONCATENATE("#Metadata!", ADDRESS(INDEX($AJ$2:$AJ$1001,MATCH(ROWS($AH$2:AH586),$AH$2:$AH$1001,0),0), INDEX($AO$1004:$BQ$1004,1,MATCH(COLUMNS($AO$1006:BO1006),$AO$1006:$BQ$1006,0)))),"Fix")))</f>
        <v>#N/A</v>
      </c>
      <c r="AC586" s="5" t="e">
        <f ca="1">IF(OR(INDEX($AI$2:$AI$1001,MATCH(ROWS($AH$2:AH586),$AH$2:$AH$1001,0),1)&gt;=100000,INDEX($AO$1005:$BQ$1005,1,MATCH(COLUMNS($AO$1006:BP1006),$AO$1006:$BQ$1006,0))&gt;=100000), " ",IF(INDEX($AO$2:$BQ$1001,MATCH(ROWS($AH$2:AH586),$AH$2:$AH$1001,0),MATCH(COLUMNS($AO$1006:BP1006),$AO$1006:$BQ$1006,0)), HYPERLINK("#",""), HYPERLINK(CONCATENATE("#Metadata!", ADDRESS(INDEX($AJ$2:$AJ$1001,MATCH(ROWS($AH$2:AH586),$AH$2:$AH$1001,0),0), INDEX($AO$1004:$BQ$1004,1,MATCH(COLUMNS($AO$1006:BP1006),$AO$1006:$BQ$1006,0)))),"Fix")))</f>
        <v>#N/A</v>
      </c>
      <c r="AD586" s="5" t="e">
        <f ca="1">IF(OR(INDEX($AI$2:$AI$1001,MATCH(ROWS($AH$2:AH586),$AH$2:$AH$1001,0),1)&gt;=100000,INDEX($AO$1005:$BQ$1005,1,MATCH(COLUMNS($AO$1006:BQ1006),$AO$1006:$BQ$1006,0))&gt;=100000), " ",IF(INDEX($AO$2:$BQ$1001,MATCH(ROWS($AH$2:AH586),$AH$2:$AH$1001,0),MATCH(COLUMNS($AO$1006:BQ1006),$AO$1006:$BQ$1006,0)), HYPERLINK("#",""), HYPERLINK(CONCATENATE("#Metadata!", ADDRESS(INDEX($AJ$2:$AJ$1001,MATCH(ROWS($AH$2:AH586),$AH$2:$AH$1001,0),0), INDEX($AO$1004:$BQ$1004,1,MATCH(COLUMNS($AO$1006:BQ1006),$AO$1006:$BQ$1006,0)))),"Fix")))</f>
        <v>#REF!</v>
      </c>
      <c r="AH586">
        <f ca="1"/>
        <v>583</v>
      </c>
      <c r="AI586">
        <v>100586</v>
      </c>
      <c r="AJ586">
        <v>586</v>
      </c>
      <c r="AK586" t="b">
        <f t="shared" si="9"/>
        <v>1</v>
      </c>
      <c r="AL586" t="b">
        <f>COUNTBLANK(Metadata!B586:AD586)=COLUMNS(Metadata!B586:AD586)</f>
        <v>1</v>
      </c>
      <c r="AM586" t="str">
        <v/>
      </c>
      <c r="AO586" t="b">
        <f ca="1">AND(IF(Metadata!B586="",FALSE,TRUE),COUNTIF(Metadata!B:B, Metadata!B586) = 1,NOT(ISERROR(SUMPRODUCT(SEARCH(MID(Metadata!B586,ROW(INDIRECT("1:"&amp;LEN(Metadata!B586))), 1),"0123456789abcdefghijklmnopqrstuvwxyzABCDEFGHIJKLMNOPQRSTUVWXYZ.")))))</f>
        <v>0</v>
      </c>
      <c r="AP586" t="b">
        <f>IF(Metadata!C586="",FALSE,TRUE)</f>
        <v>0</v>
      </c>
      <c r="AQ586" t="b">
        <f>IF(Metadata!D586="",FALSE,TRUE)</f>
        <v>0</v>
      </c>
      <c r="AR586" t="b">
        <f ca="1">OR(AND(IF(Metadata!E586="",FALSE,TRUE),OR(EXACT(Metadata!E586,"not collected"),EXACT(Metadata!E586,"not provided"),EXACT(Metadata!E586,"restricted access"))),AND(IF(Metadata!E586="",FALSE,TRUE),AND(AND(IFERROR(INT(LEFT(Metadata!E586,4))&gt;1900,FALSE),IFERROR(INT(LEFT(Metadata!E586,4))&lt;=YEAR(NOW()),FALSE)), OR(MID(Metadata!E586,5,1)="", AND(AND(MID(Metadata!E586,5,1)="-",IFERROR(INT(MID(Metadata!E586,6,1))&gt;=0,FALSE),IFERROR(INT(MID(Metadata!E586,6,1))&lt;=1,FALSE),NOT(MID(Metadata!E586,7,1)=""),IFERROR(INT(MID(Metadata!E586,6,2))&gt;=1,FALSE),IFERROR(INT(MID(Metadata!E586,6,2))&lt;=12,FALSE)), OR(MID(Metadata!E586,8,1)="", AND(AND(MID(Metadata!E586,8,1)="-",IFERROR(INT(MID(Metadata!E586,9,1))&gt;=0,FALSE),IFERROR(INT(MID(Metadata!E586,9,1))&lt;=3,FALSE),NOT(MID(Metadata!E586,10,1)=""),IFERROR(INT(MID(Metadata!E586,9,2))&gt;=1,FALSE),IFERROR(INT(MID(Metadata!E586,9,2))&lt;=31,FALSE)), OR(MID(Metadata!E586,11,1)="", AND(AND(MID(Metadata!E586,11,1)=" ",IFERROR(INT(MID(Metadata!E586,12,1))&gt;=0,FALSE),IFERROR(INT(MID(Metadata!E586,12,1))&lt;=2,FALSE),NOT(MID(Metadata!E586,13,1)=""),IFERROR(INT(MID(Metadata!E586,12,2))&gt;=0,FALSE),IFERROR(INT(MID(Metadata!E586,12,2))&lt;=23,FALSE)), OR(MID(Metadata!E586,14,1)="", AND(AND(MID(Metadata!E586,14,1)=":",IFERROR(INT(MID(Metadata!E586,15,1))&gt;=0,FALSE),IFERROR(INT(MID(Metadata!E586,15,1))&lt;=5,FALSE),NOT(MID(Metadata!E586,16,1)=""),IFERROR(INT(MID(Metadata!E586,15,2))&gt;=0,FALSE),IFERROR(INT(MID(Metadata!E586,15,2))&lt;=59,FALSE)), OR(MID(Metadata!E586,17,1)="", AND(AND(MID(Metadata!E586,17,1)=":",IFERROR(INT(MID(Metadata!E586,18,1))&gt;=0,FALSE),IFERROR(INT(MID(Metadata!E586,18,1))&lt;=5,FALSE),NOT(MID(Metadata!E586,19,1)=""),IFERROR(INT(MID(Metadata!E586,18,2))&gt;=0,FALSE),IFERROR(INT(MID(Metadata!E586,18,2))&lt;=59,FALSE)), LEN(Metadata!E586)&lt;=19)))))))))))))</f>
        <v>0</v>
      </c>
      <c r="AS586" t="b">
        <f>IF(Metadata!F586="",FALSE,TRUE)</f>
        <v>0</v>
      </c>
      <c r="AT586" t="b">
        <f>OR(AND(IF(Metadata!G586="",FALSE,TRUE),OR(EXACT(Metadata!G586,"not collected"),EXACT(Metadata!G586,"not provided"))),AND(IF(Metadata!G586="",FALSE,TRUE),OR(EXACT(Metadata!G586,"TRUE"),EXACT(Metadata!G586,"FALSE"))))</f>
        <v>0</v>
      </c>
      <c r="AU586" t="b">
        <f>OR(AND(IF(Metadata!H586="",FALSE,TRUE),OR(EXACT(Metadata!H586,"not collected"),EXACT(Metadata!H586,"not provided"),EXACT(Metadata!H586,"restricted access"))),AND(IF(Metadata!H586="",FALSE,ISNUMBER(VALUE(Metadata!H586))),Metadata!H586&gt;=-413))</f>
        <v>0</v>
      </c>
      <c r="AV586" t="b">
        <f>AND(IF(Metadata!I586="",FALSE,TRUE),EXACT(Metadata!I586,"meters"))</f>
        <v>0</v>
      </c>
      <c r="AW586" t="b">
        <f>AND(IF(Metadata!J586="",FALSE,TRUE),EXACT(Metadata!J586,"free-living"))</f>
        <v>0</v>
      </c>
      <c r="AX586" t="b">
        <f>AND(IF(Metadata!K586="",FALSE,TRUE),OR(EXACT(Metadata!K586,"saline"),EXACT(Metadata!K586,"non-saline")))</f>
        <v>0</v>
      </c>
      <c r="AY586" t="b">
        <f>AND(IF(Metadata!L586="",FALSE,TRUE),OR(EXACT(Metadata!L586,"sub-surface (non-saline)"),EXACT(Metadata!L586,"surface (non-saline)"),EXACT(Metadata!L586,"water (non-saline)"),EXACT(Metadata!L586,"soil (non-saline)"),EXACT(Metadata!L586,"aerosol (non-saline)"),EXACT(Metadata!L586,"sediment (non-saline)"),EXACT(Metadata!L586,"surface (saline)"),EXACT(Metadata!L586,"water (saline)"),EXACT(Metadata!L586,"hypersaline (saline)"),EXACT(Metadata!L586,"aerosol (saline)"),EXACT(Metadata!L586,"sediment (saline)")))</f>
        <v>0</v>
      </c>
      <c r="AZ586" t="b">
        <f>IF(Metadata!M586="",FALSE,TRUE)</f>
        <v>0</v>
      </c>
      <c r="BA586" t="b">
        <f>IF(Metadata!N586="",FALSE,TRUE)</f>
        <v>0</v>
      </c>
      <c r="BB586" t="b">
        <f>IF(Metadata!O586="",FALSE,TRUE)</f>
        <v>0</v>
      </c>
      <c r="BC586" t="b">
        <f>AND(IF(Metadata!P586="",FALSE,TRUE),OR(EXACT(Metadata!P586,"air"),EXACT(Metadata!P586,"microbial mat/biofilm"),EXACT(Metadata!P586,"misc environment"),EXACT(Metadata!P586,"sediment"),EXACT(Metadata!P586,"soil"),EXACT(Metadata!P586,"wastewater/sludge"),EXACT(Metadata!P586,"water")))</f>
        <v>0</v>
      </c>
      <c r="BD586" t="b">
        <f>IF(Metadata!Q586="",FALSE,TRUE)</f>
        <v>0</v>
      </c>
      <c r="BE586" t="b">
        <f>IF(Metadata!R586="",FALSE,TRUE)</f>
        <v>0</v>
      </c>
      <c r="BF586" t="b">
        <f>OR(AND(IF(Metadata!S586="",FALSE,TRUE),OR(EXACT(Metadata!S586,"not collected"),EXACT(Metadata!S586,"not provided"),EXACT(Metadata!S586,"restricted access"))),AND(IF(Metadata!S586="",FALSE,ISNUMBER(VALUE(Metadata!S586))),Metadata!S586&gt;=-90,Metadata!S586&lt;=90))</f>
        <v>0</v>
      </c>
      <c r="BG586" t="b">
        <f>AND(IF(Metadata!T586="",FALSE,TRUE),EXACT(Metadata!T586,"Decimal degrees"))</f>
        <v>0</v>
      </c>
      <c r="BH586" t="b">
        <f>OR(AND(IF(Metadata!U586="",FALSE,TRUE),OR(EXACT(Metadata!U586,"not applicable"),EXACT(Metadata!U586,"not collected"))),IF(Metadata!U586="",FALSE,TRUE))</f>
        <v>0</v>
      </c>
      <c r="BI586" t="b">
        <f>OR(AND(IF(Metadata!V586="",FALSE,TRUE),OR(EXACT(Metadata!V586,"not collected"),EXACT(Metadata!V586,"not provided"),EXACT(Metadata!V586,"restricted access"))),AND(IF(Metadata!V586="",FALSE,ISNUMBER(VALUE(Metadata!V586))),Metadata!V586&gt;=-180,Metadata!V586&lt;=180))</f>
        <v>0</v>
      </c>
      <c r="BJ586" t="b">
        <f>AND(IF(Metadata!W586="",FALSE,TRUE),EXACT(Metadata!W586,"Decimal degrees"))</f>
        <v>0</v>
      </c>
      <c r="BK586" t="b">
        <f>IF(Metadata!X586="",FALSE,TRUE)</f>
        <v>0</v>
      </c>
      <c r="BL586" t="b">
        <f>OR(AND(IF(Metadata!Y586="",FALSE,TRUE),OR(EXACT(Metadata!Y586,"not collected"),EXACT(Metadata!Y586,"not provided"),EXACT(Metadata!Y586,"restricted access"))),AND(IF(Metadata!Y586="",FALSE,TRUE),OR(EXACT(Metadata!Y586,"TRUE"),EXACT(Metadata!Y586,"FALSE"))))</f>
        <v>0</v>
      </c>
      <c r="BM586" t="b">
        <f>OR(AND(IF(Metadata!Z586="",FALSE,TRUE),EXACT(Metadata!Z586,"not applicable")),AND(IF(Metadata!Z586="",FALSE,TRUE),OR(EXACT(Metadata!Z586,"beer"),EXACT(Metadata!Z586,"cheese"),EXACT(Metadata!Z586,"fresh water"),EXACT(Metadata!Z586,"marine sediment"),EXACT(Metadata!Z586,"sea water"),EXACT(Metadata!Z586,"sediment"),EXACT(Metadata!Z586,"soil"),EXACT(Metadata!Z586,"waste water"))))</f>
        <v>0</v>
      </c>
      <c r="BN586" t="b">
        <f>AND(IF(Metadata!AA586="",FALSE,TRUE),EXACT(Metadata!AA586,"metagenome"))</f>
        <v>0</v>
      </c>
      <c r="BO586" t="b">
        <f>AND(IF(Metadata!AB586="",FALSE,TRUE),EXACT(Metadata!AB586,"256318"))</f>
        <v>0</v>
      </c>
      <c r="BP586" t="b">
        <f>IF(Metadata!AC586="",FALSE,TRUE)</f>
        <v>0</v>
      </c>
      <c r="BQ586" t="b">
        <f>IF(Metadata!AD586="",FALSE,TRUE)</f>
        <v>0</v>
      </c>
    </row>
    <row r="587" spans="1:69" x14ac:dyDescent="0.2">
      <c r="A587" s="4" t="e">
        <f ca="1">IF(B587=" "," ",HYPERLINK(CONCATENATE("#metadata!",ADDRESS(INDEX($AJ$2:$AJ$1001,MATCH(ROWS($AH$2:AH587),$AH$2:$AH$1001,0),0),2)),INDEX($AM$2:$AM$1001,MATCH(ROWS($AH$2:AH587),$AH$2:$AH$1001,0),0)))</f>
        <v>#N/A</v>
      </c>
      <c r="B587" s="5" t="e">
        <f ca="1">IF(OR(INDEX($AI$2:$AI$1001,MATCH(ROWS($AH$2:AH587),$AH$2:$AH$1001,0),1)&gt;=100000,INDEX($AO$1005:$BQ$1005,1,MATCH(COLUMNS($AO$1006:AO1006),$AO$1006:$BQ$1006,0))&gt;=100000), " ",IF(INDEX($AO$2:$BQ$1001,MATCH(ROWS($AH$2:AH587),$AH$2:$AH$1001,0),MATCH(COLUMNS($AO$1006:AO1006),$AO$1006:$BQ$1006,0)), HYPERLINK("#",""), HYPERLINK(CONCATENATE("#Metadata!", ADDRESS(INDEX($AJ$2:$AJ$1001,MATCH(ROWS($AH$2:AH587),$AH$2:$AH$1001,0),0), INDEX($AO$1004:$BQ$1004,1,MATCH(COLUMNS($AO$1006:AO1006),$AO$1006:$BQ$1006,0)))),"Fix")))</f>
        <v>#N/A</v>
      </c>
      <c r="C587" s="5" t="e">
        <f ca="1">IF(OR(INDEX($AI$2:$AI$1001,MATCH(ROWS($AH$2:AH587),$AH$2:$AH$1001,0),1)&gt;=100000,INDEX($AO$1005:$BQ$1005,1,MATCH(COLUMNS($AO$1006:AP1006),$AO$1006:$BQ$1006,0))&gt;=100000), " ",IF(INDEX($AO$2:$BQ$1001,MATCH(ROWS($AH$2:AH587),$AH$2:$AH$1001,0),MATCH(COLUMNS($AO$1006:AP1006),$AO$1006:$BQ$1006,0)), HYPERLINK("#",""), HYPERLINK(CONCATENATE("#Metadata!", ADDRESS(INDEX($AJ$2:$AJ$1001,MATCH(ROWS($AH$2:AH587),$AH$2:$AH$1001,0),0), INDEX($AO$1004:$BQ$1004,1,MATCH(COLUMNS($AO$1006:AP1006),$AO$1006:$BQ$1006,0)))),"Fix")))</f>
        <v>#N/A</v>
      </c>
      <c r="D587" s="5" t="e">
        <f ca="1">IF(OR(INDEX($AI$2:$AI$1001,MATCH(ROWS($AH$2:AH587),$AH$2:$AH$1001,0),1)&gt;=100000,INDEX($AO$1005:$BQ$1005,1,MATCH(COLUMNS($AO$1006:AQ1006),$AO$1006:$BQ$1006,0))&gt;=100000), " ",IF(INDEX($AO$2:$BQ$1001,MATCH(ROWS($AH$2:AH587),$AH$2:$AH$1001,0),MATCH(COLUMNS($AO$1006:AQ1006),$AO$1006:$BQ$1006,0)), HYPERLINK("#",""), HYPERLINK(CONCATENATE("#Metadata!", ADDRESS(INDEX($AJ$2:$AJ$1001,MATCH(ROWS($AH$2:AH587),$AH$2:$AH$1001,0),0), INDEX($AO$1004:$BQ$1004,1,MATCH(COLUMNS($AO$1006:AQ1006),$AO$1006:$BQ$1006,0)))),"Fix")))</f>
        <v>#N/A</v>
      </c>
      <c r="E587" s="5" t="e">
        <f ca="1">IF(OR(INDEX($AI$2:$AI$1001,MATCH(ROWS($AH$2:AH587),$AH$2:$AH$1001,0),1)&gt;=100000,INDEX($AO$1005:$BQ$1005,1,MATCH(COLUMNS($AO$1006:AR1006),$AO$1006:$BQ$1006,0))&gt;=100000), " ",IF(INDEX($AO$2:$BQ$1001,MATCH(ROWS($AH$2:AH587),$AH$2:$AH$1001,0),MATCH(COLUMNS($AO$1006:AR1006),$AO$1006:$BQ$1006,0)), HYPERLINK("#",""), HYPERLINK(CONCATENATE("#Metadata!", ADDRESS(INDEX($AJ$2:$AJ$1001,MATCH(ROWS($AH$2:AH587),$AH$2:$AH$1001,0),0), INDEX($AO$1004:$BQ$1004,1,MATCH(COLUMNS($AO$1006:AR1006),$AO$1006:$BQ$1006,0)))),"Fix")))</f>
        <v>#N/A</v>
      </c>
      <c r="F587" s="5" t="e">
        <f ca="1">IF(OR(INDEX($AI$2:$AI$1001,MATCH(ROWS($AH$2:AH587),$AH$2:$AH$1001,0),1)&gt;=100000,INDEX($AO$1005:$BQ$1005,1,MATCH(COLUMNS($AO$1006:AS1006),$AO$1006:$BQ$1006,0))&gt;=100000), " ",IF(INDEX($AO$2:$BQ$1001,MATCH(ROWS($AH$2:AH587),$AH$2:$AH$1001,0),MATCH(COLUMNS($AO$1006:AS1006),$AO$1006:$BQ$1006,0)), HYPERLINK("#",""), HYPERLINK(CONCATENATE("#Metadata!", ADDRESS(INDEX($AJ$2:$AJ$1001,MATCH(ROWS($AH$2:AH587),$AH$2:$AH$1001,0),0), INDEX($AO$1004:$BQ$1004,1,MATCH(COLUMNS($AO$1006:AS1006),$AO$1006:$BQ$1006,0)))),"Fix")))</f>
        <v>#N/A</v>
      </c>
      <c r="G587" s="5" t="e">
        <f ca="1">IF(OR(INDEX($AI$2:$AI$1001,MATCH(ROWS($AH$2:AH587),$AH$2:$AH$1001,0),1)&gt;=100000,INDEX($AO$1005:$BQ$1005,1,MATCH(COLUMNS($AO$1006:AT1006),$AO$1006:$BQ$1006,0))&gt;=100000), " ",IF(INDEX($AO$2:$BQ$1001,MATCH(ROWS($AH$2:AH587),$AH$2:$AH$1001,0),MATCH(COLUMNS($AO$1006:AT1006),$AO$1006:$BQ$1006,0)), HYPERLINK("#",""), HYPERLINK(CONCATENATE("#Metadata!", ADDRESS(INDEX($AJ$2:$AJ$1001,MATCH(ROWS($AH$2:AH587),$AH$2:$AH$1001,0),0), INDEX($AO$1004:$BQ$1004,1,MATCH(COLUMNS($AO$1006:AT1006),$AO$1006:$BQ$1006,0)))),"Fix")))</f>
        <v>#N/A</v>
      </c>
      <c r="H587" s="5" t="e">
        <f ca="1">IF(OR(INDEX($AI$2:$AI$1001,MATCH(ROWS($AH$2:AH587),$AH$2:$AH$1001,0),1)&gt;=100000,INDEX($AO$1005:$BQ$1005,1,MATCH(COLUMNS($AO$1006:AU1006),$AO$1006:$BQ$1006,0))&gt;=100000), " ",IF(INDEX($AO$2:$BQ$1001,MATCH(ROWS($AH$2:AH587),$AH$2:$AH$1001,0),MATCH(COLUMNS($AO$1006:AU1006),$AO$1006:$BQ$1006,0)), HYPERLINK("#",""), HYPERLINK(CONCATENATE("#Metadata!", ADDRESS(INDEX($AJ$2:$AJ$1001,MATCH(ROWS($AH$2:AH587),$AH$2:$AH$1001,0),0), INDEX($AO$1004:$BQ$1004,1,MATCH(COLUMNS($AO$1006:AU1006),$AO$1006:$BQ$1006,0)))),"Fix")))</f>
        <v>#N/A</v>
      </c>
      <c r="I587" s="5" t="e">
        <f ca="1">IF(OR(INDEX($AI$2:$AI$1001,MATCH(ROWS($AH$2:AH587),$AH$2:$AH$1001,0),1)&gt;=100000,INDEX($AO$1005:$BQ$1005,1,MATCH(COLUMNS($AO$1006:AV1006),$AO$1006:$BQ$1006,0))&gt;=100000), " ",IF(INDEX($AO$2:$BQ$1001,MATCH(ROWS($AH$2:AH587),$AH$2:$AH$1001,0),MATCH(COLUMNS($AO$1006:AV1006),$AO$1006:$BQ$1006,0)), HYPERLINK("#",""), HYPERLINK(CONCATENATE("#Metadata!", ADDRESS(INDEX($AJ$2:$AJ$1001,MATCH(ROWS($AH$2:AH587),$AH$2:$AH$1001,0),0), INDEX($AO$1004:$BQ$1004,1,MATCH(COLUMNS($AO$1006:AV1006),$AO$1006:$BQ$1006,0)))),"Fix")))</f>
        <v>#N/A</v>
      </c>
      <c r="J587" s="5" t="e">
        <f ca="1">IF(OR(INDEX($AI$2:$AI$1001,MATCH(ROWS($AH$2:AH587),$AH$2:$AH$1001,0),1)&gt;=100000,INDEX($AO$1005:$BQ$1005,1,MATCH(COLUMNS($AO$1006:AW1006),$AO$1006:$BQ$1006,0))&gt;=100000), " ",IF(INDEX($AO$2:$BQ$1001,MATCH(ROWS($AH$2:AH587),$AH$2:$AH$1001,0),MATCH(COLUMNS($AO$1006:AW1006),$AO$1006:$BQ$1006,0)), HYPERLINK("#",""), HYPERLINK(CONCATENATE("#Metadata!", ADDRESS(INDEX($AJ$2:$AJ$1001,MATCH(ROWS($AH$2:AH587),$AH$2:$AH$1001,0),0), INDEX($AO$1004:$BQ$1004,1,MATCH(COLUMNS($AO$1006:AW1006),$AO$1006:$BQ$1006,0)))),"Fix")))</f>
        <v>#N/A</v>
      </c>
      <c r="K587" s="5" t="e">
        <f ca="1">IF(OR(INDEX($AI$2:$AI$1001,MATCH(ROWS($AH$2:AH587),$AH$2:$AH$1001,0),1)&gt;=100000,INDEX($AO$1005:$BQ$1005,1,MATCH(COLUMNS($AO$1006:AX1006),$AO$1006:$BQ$1006,0))&gt;=100000), " ",IF(INDEX($AO$2:$BQ$1001,MATCH(ROWS($AH$2:AH587),$AH$2:$AH$1001,0),MATCH(COLUMNS($AO$1006:AX1006),$AO$1006:$BQ$1006,0)), HYPERLINK("#",""), HYPERLINK(CONCATENATE("#Metadata!", ADDRESS(INDEX($AJ$2:$AJ$1001,MATCH(ROWS($AH$2:AH587),$AH$2:$AH$1001,0),0), INDEX($AO$1004:$BQ$1004,1,MATCH(COLUMNS($AO$1006:AX1006),$AO$1006:$BQ$1006,0)))),"Fix")))</f>
        <v>#N/A</v>
      </c>
      <c r="L587" s="5" t="e">
        <f ca="1">IF(OR(INDEX($AI$2:$AI$1001,MATCH(ROWS($AH$2:AH587),$AH$2:$AH$1001,0),1)&gt;=100000,INDEX($AO$1005:$BQ$1005,1,MATCH(COLUMNS($AO$1006:AY1006),$AO$1006:$BQ$1006,0))&gt;=100000), " ",IF(INDEX($AO$2:$BQ$1001,MATCH(ROWS($AH$2:AH587),$AH$2:$AH$1001,0),MATCH(COLUMNS($AO$1006:AY1006),$AO$1006:$BQ$1006,0)), HYPERLINK("#",""), HYPERLINK(CONCATENATE("#Metadata!", ADDRESS(INDEX($AJ$2:$AJ$1001,MATCH(ROWS($AH$2:AH587),$AH$2:$AH$1001,0),0), INDEX($AO$1004:$BQ$1004,1,MATCH(COLUMNS($AO$1006:AY1006),$AO$1006:$BQ$1006,0)))),"Fix")))</f>
        <v>#N/A</v>
      </c>
      <c r="M587" s="5" t="e">
        <f ca="1">IF(OR(INDEX($AI$2:$AI$1001,MATCH(ROWS($AH$2:AH587),$AH$2:$AH$1001,0),1)&gt;=100000,INDEX($AO$1005:$BQ$1005,1,MATCH(COLUMNS($AO$1006:AZ1006),$AO$1006:$BQ$1006,0))&gt;=100000), " ",IF(INDEX($AO$2:$BQ$1001,MATCH(ROWS($AH$2:AH587),$AH$2:$AH$1001,0),MATCH(COLUMNS($AO$1006:AZ1006),$AO$1006:$BQ$1006,0)), HYPERLINK("#",""), HYPERLINK(CONCATENATE("#Metadata!", ADDRESS(INDEX($AJ$2:$AJ$1001,MATCH(ROWS($AH$2:AH587),$AH$2:$AH$1001,0),0), INDEX($AO$1004:$BQ$1004,1,MATCH(COLUMNS($AO$1006:AZ1006),$AO$1006:$BQ$1006,0)))),"Fix")))</f>
        <v>#N/A</v>
      </c>
      <c r="N587" s="5" t="e">
        <f ca="1">IF(OR(INDEX($AI$2:$AI$1001,MATCH(ROWS($AH$2:AH587),$AH$2:$AH$1001,0),1)&gt;=100000,INDEX($AO$1005:$BQ$1005,1,MATCH(COLUMNS($AO$1006:BA1006),$AO$1006:$BQ$1006,0))&gt;=100000), " ",IF(INDEX($AO$2:$BQ$1001,MATCH(ROWS($AH$2:AH587),$AH$2:$AH$1001,0),MATCH(COLUMNS($AO$1006:BA1006),$AO$1006:$BQ$1006,0)), HYPERLINK("#",""), HYPERLINK(CONCATENATE("#Metadata!", ADDRESS(INDEX($AJ$2:$AJ$1001,MATCH(ROWS($AH$2:AH587),$AH$2:$AH$1001,0),0), INDEX($AO$1004:$BQ$1004,1,MATCH(COLUMNS($AO$1006:BA1006),$AO$1006:$BQ$1006,0)))),"Fix")))</f>
        <v>#N/A</v>
      </c>
      <c r="O587" s="5" t="e">
        <f ca="1">IF(OR(INDEX($AI$2:$AI$1001,MATCH(ROWS($AH$2:AH587),$AH$2:$AH$1001,0),1)&gt;=100000,INDEX($AO$1005:$BQ$1005,1,MATCH(COLUMNS($AO$1006:BB1006),$AO$1006:$BQ$1006,0))&gt;=100000), " ",IF(INDEX($AO$2:$BQ$1001,MATCH(ROWS($AH$2:AH587),$AH$2:$AH$1001,0),MATCH(COLUMNS($AO$1006:BB1006),$AO$1006:$BQ$1006,0)), HYPERLINK("#",""), HYPERLINK(CONCATENATE("#Metadata!", ADDRESS(INDEX($AJ$2:$AJ$1001,MATCH(ROWS($AH$2:AH587),$AH$2:$AH$1001,0),0), INDEX($AO$1004:$BQ$1004,1,MATCH(COLUMNS($AO$1006:BB1006),$AO$1006:$BQ$1006,0)))),"Fix")))</f>
        <v>#N/A</v>
      </c>
      <c r="P587" s="5" t="e">
        <f ca="1">IF(OR(INDEX($AI$2:$AI$1001,MATCH(ROWS($AH$2:AH587),$AH$2:$AH$1001,0),1)&gt;=100000,INDEX($AO$1005:$BQ$1005,1,MATCH(COLUMNS($AO$1006:BC1006),$AO$1006:$BQ$1006,0))&gt;=100000), " ",IF(INDEX($AO$2:$BQ$1001,MATCH(ROWS($AH$2:AH587),$AH$2:$AH$1001,0),MATCH(COLUMNS($AO$1006:BC1006),$AO$1006:$BQ$1006,0)), HYPERLINK("#",""), HYPERLINK(CONCATENATE("#Metadata!", ADDRESS(INDEX($AJ$2:$AJ$1001,MATCH(ROWS($AH$2:AH587),$AH$2:$AH$1001,0),0), INDEX($AO$1004:$BQ$1004,1,MATCH(COLUMNS($AO$1006:BC1006),$AO$1006:$BQ$1006,0)))),"Fix")))</f>
        <v>#N/A</v>
      </c>
      <c r="Q587" s="5" t="e">
        <f ca="1">IF(OR(INDEX($AI$2:$AI$1001,MATCH(ROWS($AH$2:AH587),$AH$2:$AH$1001,0),1)&gt;=100000,INDEX($AO$1005:$BQ$1005,1,MATCH(COLUMNS($AO$1006:BD1006),$AO$1006:$BQ$1006,0))&gt;=100000), " ",IF(INDEX($AO$2:$BQ$1001,MATCH(ROWS($AH$2:AH587),$AH$2:$AH$1001,0),MATCH(COLUMNS($AO$1006:BD1006),$AO$1006:$BQ$1006,0)), HYPERLINK("#",""), HYPERLINK(CONCATENATE("#Metadata!", ADDRESS(INDEX($AJ$2:$AJ$1001,MATCH(ROWS($AH$2:AH587),$AH$2:$AH$1001,0),0), INDEX($AO$1004:$BQ$1004,1,MATCH(COLUMNS($AO$1006:BD1006),$AO$1006:$BQ$1006,0)))),"Fix")))</f>
        <v>#N/A</v>
      </c>
      <c r="R587" s="5" t="e">
        <f ca="1">IF(OR(INDEX($AI$2:$AI$1001,MATCH(ROWS($AH$2:AH587),$AH$2:$AH$1001,0),1)&gt;=100000,INDEX($AO$1005:$BQ$1005,1,MATCH(COLUMNS($AO$1006:BE1006),$AO$1006:$BQ$1006,0))&gt;=100000), " ",IF(INDEX($AO$2:$BQ$1001,MATCH(ROWS($AH$2:AH587),$AH$2:$AH$1001,0),MATCH(COLUMNS($AO$1006:BE1006),$AO$1006:$BQ$1006,0)), HYPERLINK("#",""), HYPERLINK(CONCATENATE("#Metadata!", ADDRESS(INDEX($AJ$2:$AJ$1001,MATCH(ROWS($AH$2:AH587),$AH$2:$AH$1001,0),0), INDEX($AO$1004:$BQ$1004,1,MATCH(COLUMNS($AO$1006:BE1006),$AO$1006:$BQ$1006,0)))),"Fix")))</f>
        <v>#N/A</v>
      </c>
      <c r="S587" s="5" t="e">
        <f ca="1">IF(OR(INDEX($AI$2:$AI$1001,MATCH(ROWS($AH$2:AH587),$AH$2:$AH$1001,0),1)&gt;=100000,INDEX($AO$1005:$BQ$1005,1,MATCH(COLUMNS($AO$1006:BF1006),$AO$1006:$BQ$1006,0))&gt;=100000), " ",IF(INDEX($AO$2:$BQ$1001,MATCH(ROWS($AH$2:AH587),$AH$2:$AH$1001,0),MATCH(COLUMNS($AO$1006:BF1006),$AO$1006:$BQ$1006,0)), HYPERLINK("#",""), HYPERLINK(CONCATENATE("#Metadata!", ADDRESS(INDEX($AJ$2:$AJ$1001,MATCH(ROWS($AH$2:AH587),$AH$2:$AH$1001,0),0), INDEX($AO$1004:$BQ$1004,1,MATCH(COLUMNS($AO$1006:BF1006),$AO$1006:$BQ$1006,0)))),"Fix")))</f>
        <v>#N/A</v>
      </c>
      <c r="T587" s="5" t="e">
        <f ca="1">IF(OR(INDEX($AI$2:$AI$1001,MATCH(ROWS($AH$2:AH587),$AH$2:$AH$1001,0),1)&gt;=100000,INDEX($AO$1005:$BQ$1005,1,MATCH(COLUMNS($AO$1006:BG1006),$AO$1006:$BQ$1006,0))&gt;=100000), " ",IF(INDEX($AO$2:$BQ$1001,MATCH(ROWS($AH$2:AH587),$AH$2:$AH$1001,0),MATCH(COLUMNS($AO$1006:BG1006),$AO$1006:$BQ$1006,0)), HYPERLINK("#",""), HYPERLINK(CONCATENATE("#Metadata!", ADDRESS(INDEX($AJ$2:$AJ$1001,MATCH(ROWS($AH$2:AH587),$AH$2:$AH$1001,0),0), INDEX($AO$1004:$BQ$1004,1,MATCH(COLUMNS($AO$1006:BG1006),$AO$1006:$BQ$1006,0)))),"Fix")))</f>
        <v>#N/A</v>
      </c>
      <c r="U587" s="5" t="e">
        <f ca="1">IF(OR(INDEX($AI$2:$AI$1001,MATCH(ROWS($AH$2:AH587),$AH$2:$AH$1001,0),1)&gt;=100000,INDEX($AO$1005:$BQ$1005,1,MATCH(COLUMNS($AO$1006:BH1006),$AO$1006:$BQ$1006,0))&gt;=100000), " ",IF(INDEX($AO$2:$BQ$1001,MATCH(ROWS($AH$2:AH587),$AH$2:$AH$1001,0),MATCH(COLUMNS($AO$1006:BH1006),$AO$1006:$BQ$1006,0)), HYPERLINK("#",""), HYPERLINK(CONCATENATE("#Metadata!", ADDRESS(INDEX($AJ$2:$AJ$1001,MATCH(ROWS($AH$2:AH587),$AH$2:$AH$1001,0),0), INDEX($AO$1004:$BQ$1004,1,MATCH(COLUMNS($AO$1006:BH1006),$AO$1006:$BQ$1006,0)))),"Fix")))</f>
        <v>#N/A</v>
      </c>
      <c r="V587" s="5" t="e">
        <f ca="1">IF(OR(INDEX($AI$2:$AI$1001,MATCH(ROWS($AH$2:AH587),$AH$2:$AH$1001,0),1)&gt;=100000,INDEX($AO$1005:$BQ$1005,1,MATCH(COLUMNS($AO$1006:BI1006),$AO$1006:$BQ$1006,0))&gt;=100000), " ",IF(INDEX($AO$2:$BQ$1001,MATCH(ROWS($AH$2:AH587),$AH$2:$AH$1001,0),MATCH(COLUMNS($AO$1006:BI1006),$AO$1006:$BQ$1006,0)), HYPERLINK("#",""), HYPERLINK(CONCATENATE("#Metadata!", ADDRESS(INDEX($AJ$2:$AJ$1001,MATCH(ROWS($AH$2:AH587),$AH$2:$AH$1001,0),0), INDEX($AO$1004:$BQ$1004,1,MATCH(COLUMNS($AO$1006:BI1006),$AO$1006:$BQ$1006,0)))),"Fix")))</f>
        <v>#N/A</v>
      </c>
      <c r="W587" s="5" t="e">
        <f ca="1">IF(OR(INDEX($AI$2:$AI$1001,MATCH(ROWS($AH$2:AH587),$AH$2:$AH$1001,0),1)&gt;=100000,INDEX($AO$1005:$BQ$1005,1,MATCH(COLUMNS($AO$1006:BJ1006),$AO$1006:$BQ$1006,0))&gt;=100000), " ",IF(INDEX($AO$2:$BQ$1001,MATCH(ROWS($AH$2:AH587),$AH$2:$AH$1001,0),MATCH(COLUMNS($AO$1006:BJ1006),$AO$1006:$BQ$1006,0)), HYPERLINK("#",""), HYPERLINK(CONCATENATE("#Metadata!", ADDRESS(INDEX($AJ$2:$AJ$1001,MATCH(ROWS($AH$2:AH587),$AH$2:$AH$1001,0),0), INDEX($AO$1004:$BQ$1004,1,MATCH(COLUMNS($AO$1006:BJ1006),$AO$1006:$BQ$1006,0)))),"Fix")))</f>
        <v>#N/A</v>
      </c>
      <c r="X587" s="5" t="e">
        <f ca="1">IF(OR(INDEX($AI$2:$AI$1001,MATCH(ROWS($AH$2:AH587),$AH$2:$AH$1001,0),1)&gt;=100000,INDEX($AO$1005:$BQ$1005,1,MATCH(COLUMNS($AO$1006:BK1006),$AO$1006:$BQ$1006,0))&gt;=100000), " ",IF(INDEX($AO$2:$BQ$1001,MATCH(ROWS($AH$2:AH587),$AH$2:$AH$1001,0),MATCH(COLUMNS($AO$1006:BK1006),$AO$1006:$BQ$1006,0)), HYPERLINK("#",""), HYPERLINK(CONCATENATE("#Metadata!", ADDRESS(INDEX($AJ$2:$AJ$1001,MATCH(ROWS($AH$2:AH587),$AH$2:$AH$1001,0),0), INDEX($AO$1004:$BQ$1004,1,MATCH(COLUMNS($AO$1006:BK1006),$AO$1006:$BQ$1006,0)))),"Fix")))</f>
        <v>#N/A</v>
      </c>
      <c r="Y587" s="5" t="e">
        <f ca="1">IF(OR(INDEX($AI$2:$AI$1001,MATCH(ROWS($AH$2:AH587),$AH$2:$AH$1001,0),1)&gt;=100000,INDEX($AO$1005:$BQ$1005,1,MATCH(COLUMNS($AO$1006:BL1006),$AO$1006:$BQ$1006,0))&gt;=100000), " ",IF(INDEX($AO$2:$BQ$1001,MATCH(ROWS($AH$2:AH587),$AH$2:$AH$1001,0),MATCH(COLUMNS($AO$1006:BL1006),$AO$1006:$BQ$1006,0)), HYPERLINK("#",""), HYPERLINK(CONCATENATE("#Metadata!", ADDRESS(INDEX($AJ$2:$AJ$1001,MATCH(ROWS($AH$2:AH587),$AH$2:$AH$1001,0),0), INDEX($AO$1004:$BQ$1004,1,MATCH(COLUMNS($AO$1006:BL1006),$AO$1006:$BQ$1006,0)))),"Fix")))</f>
        <v>#N/A</v>
      </c>
      <c r="Z587" s="5" t="e">
        <f ca="1">IF(OR(INDEX($AI$2:$AI$1001,MATCH(ROWS($AH$2:AH587),$AH$2:$AH$1001,0),1)&gt;=100000,INDEX($AO$1005:$BQ$1005,1,MATCH(COLUMNS($AO$1006:BM1006),$AO$1006:$BQ$1006,0))&gt;=100000), " ",IF(INDEX($AO$2:$BQ$1001,MATCH(ROWS($AH$2:AH587),$AH$2:$AH$1001,0),MATCH(COLUMNS($AO$1006:BM1006),$AO$1006:$BQ$1006,0)), HYPERLINK("#",""), HYPERLINK(CONCATENATE("#Metadata!", ADDRESS(INDEX($AJ$2:$AJ$1001,MATCH(ROWS($AH$2:AH587),$AH$2:$AH$1001,0),0), INDEX($AO$1004:$BQ$1004,1,MATCH(COLUMNS($AO$1006:BM1006),$AO$1006:$BQ$1006,0)))),"Fix")))</f>
        <v>#N/A</v>
      </c>
      <c r="AA587" s="5" t="e">
        <f ca="1">IF(OR(INDEX($AI$2:$AI$1001,MATCH(ROWS($AH$2:AH587),$AH$2:$AH$1001,0),1)&gt;=100000,INDEX($AO$1005:$BQ$1005,1,MATCH(COLUMNS($AO$1006:BN1006),$AO$1006:$BQ$1006,0))&gt;=100000), " ",IF(INDEX($AO$2:$BQ$1001,MATCH(ROWS($AH$2:AH587),$AH$2:$AH$1001,0),MATCH(COLUMNS($AO$1006:BN1006),$AO$1006:$BQ$1006,0)), HYPERLINK("#",""), HYPERLINK(CONCATENATE("#Metadata!", ADDRESS(INDEX($AJ$2:$AJ$1001,MATCH(ROWS($AH$2:AH587),$AH$2:$AH$1001,0),0), INDEX($AO$1004:$BQ$1004,1,MATCH(COLUMNS($AO$1006:BN1006),$AO$1006:$BQ$1006,0)))),"Fix")))</f>
        <v>#N/A</v>
      </c>
      <c r="AB587" s="5" t="e">
        <f ca="1">IF(OR(INDEX($AI$2:$AI$1001,MATCH(ROWS($AH$2:AH587),$AH$2:$AH$1001,0),1)&gt;=100000,INDEX($AO$1005:$BQ$1005,1,MATCH(COLUMNS($AO$1006:BO1006),$AO$1006:$BQ$1006,0))&gt;=100000), " ",IF(INDEX($AO$2:$BQ$1001,MATCH(ROWS($AH$2:AH587),$AH$2:$AH$1001,0),MATCH(COLUMNS($AO$1006:BO1006),$AO$1006:$BQ$1006,0)), HYPERLINK("#",""), HYPERLINK(CONCATENATE("#Metadata!", ADDRESS(INDEX($AJ$2:$AJ$1001,MATCH(ROWS($AH$2:AH587),$AH$2:$AH$1001,0),0), INDEX($AO$1004:$BQ$1004,1,MATCH(COLUMNS($AO$1006:BO1006),$AO$1006:$BQ$1006,0)))),"Fix")))</f>
        <v>#N/A</v>
      </c>
      <c r="AC587" s="5" t="e">
        <f ca="1">IF(OR(INDEX($AI$2:$AI$1001,MATCH(ROWS($AH$2:AH587),$AH$2:$AH$1001,0),1)&gt;=100000,INDEX($AO$1005:$BQ$1005,1,MATCH(COLUMNS($AO$1006:BP1006),$AO$1006:$BQ$1006,0))&gt;=100000), " ",IF(INDEX($AO$2:$BQ$1001,MATCH(ROWS($AH$2:AH587),$AH$2:$AH$1001,0),MATCH(COLUMNS($AO$1006:BP1006),$AO$1006:$BQ$1006,0)), HYPERLINK("#",""), HYPERLINK(CONCATENATE("#Metadata!", ADDRESS(INDEX($AJ$2:$AJ$1001,MATCH(ROWS($AH$2:AH587),$AH$2:$AH$1001,0),0), INDEX($AO$1004:$BQ$1004,1,MATCH(COLUMNS($AO$1006:BP1006),$AO$1006:$BQ$1006,0)))),"Fix")))</f>
        <v>#N/A</v>
      </c>
      <c r="AD587" s="5" t="e">
        <f ca="1">IF(OR(INDEX($AI$2:$AI$1001,MATCH(ROWS($AH$2:AH587),$AH$2:$AH$1001,0),1)&gt;=100000,INDEX($AO$1005:$BQ$1005,1,MATCH(COLUMNS($AO$1006:BQ1006),$AO$1006:$BQ$1006,0))&gt;=100000), " ",IF(INDEX($AO$2:$BQ$1001,MATCH(ROWS($AH$2:AH587),$AH$2:$AH$1001,0),MATCH(COLUMNS($AO$1006:BQ1006),$AO$1006:$BQ$1006,0)), HYPERLINK("#",""), HYPERLINK(CONCATENATE("#Metadata!", ADDRESS(INDEX($AJ$2:$AJ$1001,MATCH(ROWS($AH$2:AH587),$AH$2:$AH$1001,0),0), INDEX($AO$1004:$BQ$1004,1,MATCH(COLUMNS($AO$1006:BQ1006),$AO$1006:$BQ$1006,0)))),"Fix")))</f>
        <v>#REF!</v>
      </c>
      <c r="AH587">
        <f ca="1"/>
        <v>584</v>
      </c>
      <c r="AI587">
        <v>100587</v>
      </c>
      <c r="AJ587">
        <v>587</v>
      </c>
      <c r="AK587" t="b">
        <f t="shared" si="9"/>
        <v>1</v>
      </c>
      <c r="AL587" t="b">
        <f>COUNTBLANK(Metadata!B587:AD587)=COLUMNS(Metadata!B587:AD587)</f>
        <v>1</v>
      </c>
      <c r="AM587" t="str">
        <v/>
      </c>
      <c r="AO587" t="b">
        <f ca="1">AND(IF(Metadata!B587="",FALSE,TRUE),COUNTIF(Metadata!B:B, Metadata!B587) = 1,NOT(ISERROR(SUMPRODUCT(SEARCH(MID(Metadata!B587,ROW(INDIRECT("1:"&amp;LEN(Metadata!B587))), 1),"0123456789abcdefghijklmnopqrstuvwxyzABCDEFGHIJKLMNOPQRSTUVWXYZ.")))))</f>
        <v>0</v>
      </c>
      <c r="AP587" t="b">
        <f>IF(Metadata!C587="",FALSE,TRUE)</f>
        <v>0</v>
      </c>
      <c r="AQ587" t="b">
        <f>IF(Metadata!D587="",FALSE,TRUE)</f>
        <v>0</v>
      </c>
      <c r="AR587" t="b">
        <f ca="1">OR(AND(IF(Metadata!E587="",FALSE,TRUE),OR(EXACT(Metadata!E587,"not collected"),EXACT(Metadata!E587,"not provided"),EXACT(Metadata!E587,"restricted access"))),AND(IF(Metadata!E587="",FALSE,TRUE),AND(AND(IFERROR(INT(LEFT(Metadata!E587,4))&gt;1900,FALSE),IFERROR(INT(LEFT(Metadata!E587,4))&lt;=YEAR(NOW()),FALSE)), OR(MID(Metadata!E587,5,1)="", AND(AND(MID(Metadata!E587,5,1)="-",IFERROR(INT(MID(Metadata!E587,6,1))&gt;=0,FALSE),IFERROR(INT(MID(Metadata!E587,6,1))&lt;=1,FALSE),NOT(MID(Metadata!E587,7,1)=""),IFERROR(INT(MID(Metadata!E587,6,2))&gt;=1,FALSE),IFERROR(INT(MID(Metadata!E587,6,2))&lt;=12,FALSE)), OR(MID(Metadata!E587,8,1)="", AND(AND(MID(Metadata!E587,8,1)="-",IFERROR(INT(MID(Metadata!E587,9,1))&gt;=0,FALSE),IFERROR(INT(MID(Metadata!E587,9,1))&lt;=3,FALSE),NOT(MID(Metadata!E587,10,1)=""),IFERROR(INT(MID(Metadata!E587,9,2))&gt;=1,FALSE),IFERROR(INT(MID(Metadata!E587,9,2))&lt;=31,FALSE)), OR(MID(Metadata!E587,11,1)="", AND(AND(MID(Metadata!E587,11,1)=" ",IFERROR(INT(MID(Metadata!E587,12,1))&gt;=0,FALSE),IFERROR(INT(MID(Metadata!E587,12,1))&lt;=2,FALSE),NOT(MID(Metadata!E587,13,1)=""),IFERROR(INT(MID(Metadata!E587,12,2))&gt;=0,FALSE),IFERROR(INT(MID(Metadata!E587,12,2))&lt;=23,FALSE)), OR(MID(Metadata!E587,14,1)="", AND(AND(MID(Metadata!E587,14,1)=":",IFERROR(INT(MID(Metadata!E587,15,1))&gt;=0,FALSE),IFERROR(INT(MID(Metadata!E587,15,1))&lt;=5,FALSE),NOT(MID(Metadata!E587,16,1)=""),IFERROR(INT(MID(Metadata!E587,15,2))&gt;=0,FALSE),IFERROR(INT(MID(Metadata!E587,15,2))&lt;=59,FALSE)), OR(MID(Metadata!E587,17,1)="", AND(AND(MID(Metadata!E587,17,1)=":",IFERROR(INT(MID(Metadata!E587,18,1))&gt;=0,FALSE),IFERROR(INT(MID(Metadata!E587,18,1))&lt;=5,FALSE),NOT(MID(Metadata!E587,19,1)=""),IFERROR(INT(MID(Metadata!E587,18,2))&gt;=0,FALSE),IFERROR(INT(MID(Metadata!E587,18,2))&lt;=59,FALSE)), LEN(Metadata!E587)&lt;=19)))))))))))))</f>
        <v>0</v>
      </c>
      <c r="AS587" t="b">
        <f>IF(Metadata!F587="",FALSE,TRUE)</f>
        <v>0</v>
      </c>
      <c r="AT587" t="b">
        <f>OR(AND(IF(Metadata!G587="",FALSE,TRUE),OR(EXACT(Metadata!G587,"not collected"),EXACT(Metadata!G587,"not provided"))),AND(IF(Metadata!G587="",FALSE,TRUE),OR(EXACT(Metadata!G587,"TRUE"),EXACT(Metadata!G587,"FALSE"))))</f>
        <v>0</v>
      </c>
      <c r="AU587" t="b">
        <f>OR(AND(IF(Metadata!H587="",FALSE,TRUE),OR(EXACT(Metadata!H587,"not collected"),EXACT(Metadata!H587,"not provided"),EXACT(Metadata!H587,"restricted access"))),AND(IF(Metadata!H587="",FALSE,ISNUMBER(VALUE(Metadata!H587))),Metadata!H587&gt;=-413))</f>
        <v>0</v>
      </c>
      <c r="AV587" t="b">
        <f>AND(IF(Metadata!I587="",FALSE,TRUE),EXACT(Metadata!I587,"meters"))</f>
        <v>0</v>
      </c>
      <c r="AW587" t="b">
        <f>AND(IF(Metadata!J587="",FALSE,TRUE),EXACT(Metadata!J587,"free-living"))</f>
        <v>0</v>
      </c>
      <c r="AX587" t="b">
        <f>AND(IF(Metadata!K587="",FALSE,TRUE),OR(EXACT(Metadata!K587,"saline"),EXACT(Metadata!K587,"non-saline")))</f>
        <v>0</v>
      </c>
      <c r="AY587" t="b">
        <f>AND(IF(Metadata!L587="",FALSE,TRUE),OR(EXACT(Metadata!L587,"sub-surface (non-saline)"),EXACT(Metadata!L587,"surface (non-saline)"),EXACT(Metadata!L587,"water (non-saline)"),EXACT(Metadata!L587,"soil (non-saline)"),EXACT(Metadata!L587,"aerosol (non-saline)"),EXACT(Metadata!L587,"sediment (non-saline)"),EXACT(Metadata!L587,"surface (saline)"),EXACT(Metadata!L587,"water (saline)"),EXACT(Metadata!L587,"hypersaline (saline)"),EXACT(Metadata!L587,"aerosol (saline)"),EXACT(Metadata!L587,"sediment (saline)")))</f>
        <v>0</v>
      </c>
      <c r="AZ587" t="b">
        <f>IF(Metadata!M587="",FALSE,TRUE)</f>
        <v>0</v>
      </c>
      <c r="BA587" t="b">
        <f>IF(Metadata!N587="",FALSE,TRUE)</f>
        <v>0</v>
      </c>
      <c r="BB587" t="b">
        <f>IF(Metadata!O587="",FALSE,TRUE)</f>
        <v>0</v>
      </c>
      <c r="BC587" t="b">
        <f>AND(IF(Metadata!P587="",FALSE,TRUE),OR(EXACT(Metadata!P587,"air"),EXACT(Metadata!P587,"microbial mat/biofilm"),EXACT(Metadata!P587,"misc environment"),EXACT(Metadata!P587,"sediment"),EXACT(Metadata!P587,"soil"),EXACT(Metadata!P587,"wastewater/sludge"),EXACT(Metadata!P587,"water")))</f>
        <v>0</v>
      </c>
      <c r="BD587" t="b">
        <f>IF(Metadata!Q587="",FALSE,TRUE)</f>
        <v>0</v>
      </c>
      <c r="BE587" t="b">
        <f>IF(Metadata!R587="",FALSE,TRUE)</f>
        <v>0</v>
      </c>
      <c r="BF587" t="b">
        <f>OR(AND(IF(Metadata!S587="",FALSE,TRUE),OR(EXACT(Metadata!S587,"not collected"),EXACT(Metadata!S587,"not provided"),EXACT(Metadata!S587,"restricted access"))),AND(IF(Metadata!S587="",FALSE,ISNUMBER(VALUE(Metadata!S587))),Metadata!S587&gt;=-90,Metadata!S587&lt;=90))</f>
        <v>0</v>
      </c>
      <c r="BG587" t="b">
        <f>AND(IF(Metadata!T587="",FALSE,TRUE),EXACT(Metadata!T587,"Decimal degrees"))</f>
        <v>0</v>
      </c>
      <c r="BH587" t="b">
        <f>OR(AND(IF(Metadata!U587="",FALSE,TRUE),OR(EXACT(Metadata!U587,"not applicable"),EXACT(Metadata!U587,"not collected"))),IF(Metadata!U587="",FALSE,TRUE))</f>
        <v>0</v>
      </c>
      <c r="BI587" t="b">
        <f>OR(AND(IF(Metadata!V587="",FALSE,TRUE),OR(EXACT(Metadata!V587,"not collected"),EXACT(Metadata!V587,"not provided"),EXACT(Metadata!V587,"restricted access"))),AND(IF(Metadata!V587="",FALSE,ISNUMBER(VALUE(Metadata!V587))),Metadata!V587&gt;=-180,Metadata!V587&lt;=180))</f>
        <v>0</v>
      </c>
      <c r="BJ587" t="b">
        <f>AND(IF(Metadata!W587="",FALSE,TRUE),EXACT(Metadata!W587,"Decimal degrees"))</f>
        <v>0</v>
      </c>
      <c r="BK587" t="b">
        <f>IF(Metadata!X587="",FALSE,TRUE)</f>
        <v>0</v>
      </c>
      <c r="BL587" t="b">
        <f>OR(AND(IF(Metadata!Y587="",FALSE,TRUE),OR(EXACT(Metadata!Y587,"not collected"),EXACT(Metadata!Y587,"not provided"),EXACT(Metadata!Y587,"restricted access"))),AND(IF(Metadata!Y587="",FALSE,TRUE),OR(EXACT(Metadata!Y587,"TRUE"),EXACT(Metadata!Y587,"FALSE"))))</f>
        <v>0</v>
      </c>
      <c r="BM587" t="b">
        <f>OR(AND(IF(Metadata!Z587="",FALSE,TRUE),EXACT(Metadata!Z587,"not applicable")),AND(IF(Metadata!Z587="",FALSE,TRUE),OR(EXACT(Metadata!Z587,"beer"),EXACT(Metadata!Z587,"cheese"),EXACT(Metadata!Z587,"fresh water"),EXACT(Metadata!Z587,"marine sediment"),EXACT(Metadata!Z587,"sea water"),EXACT(Metadata!Z587,"sediment"),EXACT(Metadata!Z587,"soil"),EXACT(Metadata!Z587,"waste water"))))</f>
        <v>0</v>
      </c>
      <c r="BN587" t="b">
        <f>AND(IF(Metadata!AA587="",FALSE,TRUE),EXACT(Metadata!AA587,"metagenome"))</f>
        <v>0</v>
      </c>
      <c r="BO587" t="b">
        <f>AND(IF(Metadata!AB587="",FALSE,TRUE),EXACT(Metadata!AB587,"256318"))</f>
        <v>0</v>
      </c>
      <c r="BP587" t="b">
        <f>IF(Metadata!AC587="",FALSE,TRUE)</f>
        <v>0</v>
      </c>
      <c r="BQ587" t="b">
        <f>IF(Metadata!AD587="",FALSE,TRUE)</f>
        <v>0</v>
      </c>
    </row>
    <row r="588" spans="1:69" x14ac:dyDescent="0.2">
      <c r="A588" s="4" t="e">
        <f ca="1">IF(B588=" "," ",HYPERLINK(CONCATENATE("#metadata!",ADDRESS(INDEX($AJ$2:$AJ$1001,MATCH(ROWS($AH$2:AH588),$AH$2:$AH$1001,0),0),2)),INDEX($AM$2:$AM$1001,MATCH(ROWS($AH$2:AH588),$AH$2:$AH$1001,0),0)))</f>
        <v>#N/A</v>
      </c>
      <c r="B588" s="5" t="e">
        <f ca="1">IF(OR(INDEX($AI$2:$AI$1001,MATCH(ROWS($AH$2:AH588),$AH$2:$AH$1001,0),1)&gt;=100000,INDEX($AO$1005:$BQ$1005,1,MATCH(COLUMNS($AO$1006:AO1006),$AO$1006:$BQ$1006,0))&gt;=100000), " ",IF(INDEX($AO$2:$BQ$1001,MATCH(ROWS($AH$2:AH588),$AH$2:$AH$1001,0),MATCH(COLUMNS($AO$1006:AO1006),$AO$1006:$BQ$1006,0)), HYPERLINK("#",""), HYPERLINK(CONCATENATE("#Metadata!", ADDRESS(INDEX($AJ$2:$AJ$1001,MATCH(ROWS($AH$2:AH588),$AH$2:$AH$1001,0),0), INDEX($AO$1004:$BQ$1004,1,MATCH(COLUMNS($AO$1006:AO1006),$AO$1006:$BQ$1006,0)))),"Fix")))</f>
        <v>#N/A</v>
      </c>
      <c r="C588" s="5" t="e">
        <f ca="1">IF(OR(INDEX($AI$2:$AI$1001,MATCH(ROWS($AH$2:AH588),$AH$2:$AH$1001,0),1)&gt;=100000,INDEX($AO$1005:$BQ$1005,1,MATCH(COLUMNS($AO$1006:AP1006),$AO$1006:$BQ$1006,0))&gt;=100000), " ",IF(INDEX($AO$2:$BQ$1001,MATCH(ROWS($AH$2:AH588),$AH$2:$AH$1001,0),MATCH(COLUMNS($AO$1006:AP1006),$AO$1006:$BQ$1006,0)), HYPERLINK("#",""), HYPERLINK(CONCATENATE("#Metadata!", ADDRESS(INDEX($AJ$2:$AJ$1001,MATCH(ROWS($AH$2:AH588),$AH$2:$AH$1001,0),0), INDEX($AO$1004:$BQ$1004,1,MATCH(COLUMNS($AO$1006:AP1006),$AO$1006:$BQ$1006,0)))),"Fix")))</f>
        <v>#N/A</v>
      </c>
      <c r="D588" s="5" t="e">
        <f ca="1">IF(OR(INDEX($AI$2:$AI$1001,MATCH(ROWS($AH$2:AH588),$AH$2:$AH$1001,0),1)&gt;=100000,INDEX($AO$1005:$BQ$1005,1,MATCH(COLUMNS($AO$1006:AQ1006),$AO$1006:$BQ$1006,0))&gt;=100000), " ",IF(INDEX($AO$2:$BQ$1001,MATCH(ROWS($AH$2:AH588),$AH$2:$AH$1001,0),MATCH(COLUMNS($AO$1006:AQ1006),$AO$1006:$BQ$1006,0)), HYPERLINK("#",""), HYPERLINK(CONCATENATE("#Metadata!", ADDRESS(INDEX($AJ$2:$AJ$1001,MATCH(ROWS($AH$2:AH588),$AH$2:$AH$1001,0),0), INDEX($AO$1004:$BQ$1004,1,MATCH(COLUMNS($AO$1006:AQ1006),$AO$1006:$BQ$1006,0)))),"Fix")))</f>
        <v>#N/A</v>
      </c>
      <c r="E588" s="5" t="e">
        <f ca="1">IF(OR(INDEX($AI$2:$AI$1001,MATCH(ROWS($AH$2:AH588),$AH$2:$AH$1001,0),1)&gt;=100000,INDEX($AO$1005:$BQ$1005,1,MATCH(COLUMNS($AO$1006:AR1006),$AO$1006:$BQ$1006,0))&gt;=100000), " ",IF(INDEX($AO$2:$BQ$1001,MATCH(ROWS($AH$2:AH588),$AH$2:$AH$1001,0),MATCH(COLUMNS($AO$1006:AR1006),$AO$1006:$BQ$1006,0)), HYPERLINK("#",""), HYPERLINK(CONCATENATE("#Metadata!", ADDRESS(INDEX($AJ$2:$AJ$1001,MATCH(ROWS($AH$2:AH588),$AH$2:$AH$1001,0),0), INDEX($AO$1004:$BQ$1004,1,MATCH(COLUMNS($AO$1006:AR1006),$AO$1006:$BQ$1006,0)))),"Fix")))</f>
        <v>#N/A</v>
      </c>
      <c r="F588" s="5" t="e">
        <f ca="1">IF(OR(INDEX($AI$2:$AI$1001,MATCH(ROWS($AH$2:AH588),$AH$2:$AH$1001,0),1)&gt;=100000,INDEX($AO$1005:$BQ$1005,1,MATCH(COLUMNS($AO$1006:AS1006),$AO$1006:$BQ$1006,0))&gt;=100000), " ",IF(INDEX($AO$2:$BQ$1001,MATCH(ROWS($AH$2:AH588),$AH$2:$AH$1001,0),MATCH(COLUMNS($AO$1006:AS1006),$AO$1006:$BQ$1006,0)), HYPERLINK("#",""), HYPERLINK(CONCATENATE("#Metadata!", ADDRESS(INDEX($AJ$2:$AJ$1001,MATCH(ROWS($AH$2:AH588),$AH$2:$AH$1001,0),0), INDEX($AO$1004:$BQ$1004,1,MATCH(COLUMNS($AO$1006:AS1006),$AO$1006:$BQ$1006,0)))),"Fix")))</f>
        <v>#N/A</v>
      </c>
      <c r="G588" s="5" t="e">
        <f ca="1">IF(OR(INDEX($AI$2:$AI$1001,MATCH(ROWS($AH$2:AH588),$AH$2:$AH$1001,0),1)&gt;=100000,INDEX($AO$1005:$BQ$1005,1,MATCH(COLUMNS($AO$1006:AT1006),$AO$1006:$BQ$1006,0))&gt;=100000), " ",IF(INDEX($AO$2:$BQ$1001,MATCH(ROWS($AH$2:AH588),$AH$2:$AH$1001,0),MATCH(COLUMNS($AO$1006:AT1006),$AO$1006:$BQ$1006,0)), HYPERLINK("#",""), HYPERLINK(CONCATENATE("#Metadata!", ADDRESS(INDEX($AJ$2:$AJ$1001,MATCH(ROWS($AH$2:AH588),$AH$2:$AH$1001,0),0), INDEX($AO$1004:$BQ$1004,1,MATCH(COLUMNS($AO$1006:AT1006),$AO$1006:$BQ$1006,0)))),"Fix")))</f>
        <v>#N/A</v>
      </c>
      <c r="H588" s="5" t="e">
        <f ca="1">IF(OR(INDEX($AI$2:$AI$1001,MATCH(ROWS($AH$2:AH588),$AH$2:$AH$1001,0),1)&gt;=100000,INDEX($AO$1005:$BQ$1005,1,MATCH(COLUMNS($AO$1006:AU1006),$AO$1006:$BQ$1006,0))&gt;=100000), " ",IF(INDEX($AO$2:$BQ$1001,MATCH(ROWS($AH$2:AH588),$AH$2:$AH$1001,0),MATCH(COLUMNS($AO$1006:AU1006),$AO$1006:$BQ$1006,0)), HYPERLINK("#",""), HYPERLINK(CONCATENATE("#Metadata!", ADDRESS(INDEX($AJ$2:$AJ$1001,MATCH(ROWS($AH$2:AH588),$AH$2:$AH$1001,0),0), INDEX($AO$1004:$BQ$1004,1,MATCH(COLUMNS($AO$1006:AU1006),$AO$1006:$BQ$1006,0)))),"Fix")))</f>
        <v>#N/A</v>
      </c>
      <c r="I588" s="5" t="e">
        <f ca="1">IF(OR(INDEX($AI$2:$AI$1001,MATCH(ROWS($AH$2:AH588),$AH$2:$AH$1001,0),1)&gt;=100000,INDEX($AO$1005:$BQ$1005,1,MATCH(COLUMNS($AO$1006:AV1006),$AO$1006:$BQ$1006,0))&gt;=100000), " ",IF(INDEX($AO$2:$BQ$1001,MATCH(ROWS($AH$2:AH588),$AH$2:$AH$1001,0),MATCH(COLUMNS($AO$1006:AV1006),$AO$1006:$BQ$1006,0)), HYPERLINK("#",""), HYPERLINK(CONCATENATE("#Metadata!", ADDRESS(INDEX($AJ$2:$AJ$1001,MATCH(ROWS($AH$2:AH588),$AH$2:$AH$1001,0),0), INDEX($AO$1004:$BQ$1004,1,MATCH(COLUMNS($AO$1006:AV1006),$AO$1006:$BQ$1006,0)))),"Fix")))</f>
        <v>#N/A</v>
      </c>
      <c r="J588" s="5" t="e">
        <f ca="1">IF(OR(INDEX($AI$2:$AI$1001,MATCH(ROWS($AH$2:AH588),$AH$2:$AH$1001,0),1)&gt;=100000,INDEX($AO$1005:$BQ$1005,1,MATCH(COLUMNS($AO$1006:AW1006),$AO$1006:$BQ$1006,0))&gt;=100000), " ",IF(INDEX($AO$2:$BQ$1001,MATCH(ROWS($AH$2:AH588),$AH$2:$AH$1001,0),MATCH(COLUMNS($AO$1006:AW1006),$AO$1006:$BQ$1006,0)), HYPERLINK("#",""), HYPERLINK(CONCATENATE("#Metadata!", ADDRESS(INDEX($AJ$2:$AJ$1001,MATCH(ROWS($AH$2:AH588),$AH$2:$AH$1001,0),0), INDEX($AO$1004:$BQ$1004,1,MATCH(COLUMNS($AO$1006:AW1006),$AO$1006:$BQ$1006,0)))),"Fix")))</f>
        <v>#N/A</v>
      </c>
      <c r="K588" s="5" t="e">
        <f ca="1">IF(OR(INDEX($AI$2:$AI$1001,MATCH(ROWS($AH$2:AH588),$AH$2:$AH$1001,0),1)&gt;=100000,INDEX($AO$1005:$BQ$1005,1,MATCH(COLUMNS($AO$1006:AX1006),$AO$1006:$BQ$1006,0))&gt;=100000), " ",IF(INDEX($AO$2:$BQ$1001,MATCH(ROWS($AH$2:AH588),$AH$2:$AH$1001,0),MATCH(COLUMNS($AO$1006:AX1006),$AO$1006:$BQ$1006,0)), HYPERLINK("#",""), HYPERLINK(CONCATENATE("#Metadata!", ADDRESS(INDEX($AJ$2:$AJ$1001,MATCH(ROWS($AH$2:AH588),$AH$2:$AH$1001,0),0), INDEX($AO$1004:$BQ$1004,1,MATCH(COLUMNS($AO$1006:AX1006),$AO$1006:$BQ$1006,0)))),"Fix")))</f>
        <v>#N/A</v>
      </c>
      <c r="L588" s="5" t="e">
        <f ca="1">IF(OR(INDEX($AI$2:$AI$1001,MATCH(ROWS($AH$2:AH588),$AH$2:$AH$1001,0),1)&gt;=100000,INDEX($AO$1005:$BQ$1005,1,MATCH(COLUMNS($AO$1006:AY1006),$AO$1006:$BQ$1006,0))&gt;=100000), " ",IF(INDEX($AO$2:$BQ$1001,MATCH(ROWS($AH$2:AH588),$AH$2:$AH$1001,0),MATCH(COLUMNS($AO$1006:AY1006),$AO$1006:$BQ$1006,0)), HYPERLINK("#",""), HYPERLINK(CONCATENATE("#Metadata!", ADDRESS(INDEX($AJ$2:$AJ$1001,MATCH(ROWS($AH$2:AH588),$AH$2:$AH$1001,0),0), INDEX($AO$1004:$BQ$1004,1,MATCH(COLUMNS($AO$1006:AY1006),$AO$1006:$BQ$1006,0)))),"Fix")))</f>
        <v>#N/A</v>
      </c>
      <c r="M588" s="5" t="e">
        <f ca="1">IF(OR(INDEX($AI$2:$AI$1001,MATCH(ROWS($AH$2:AH588),$AH$2:$AH$1001,0),1)&gt;=100000,INDEX($AO$1005:$BQ$1005,1,MATCH(COLUMNS($AO$1006:AZ1006),$AO$1006:$BQ$1006,0))&gt;=100000), " ",IF(INDEX($AO$2:$BQ$1001,MATCH(ROWS($AH$2:AH588),$AH$2:$AH$1001,0),MATCH(COLUMNS($AO$1006:AZ1006),$AO$1006:$BQ$1006,0)), HYPERLINK("#",""), HYPERLINK(CONCATENATE("#Metadata!", ADDRESS(INDEX($AJ$2:$AJ$1001,MATCH(ROWS($AH$2:AH588),$AH$2:$AH$1001,0),0), INDEX($AO$1004:$BQ$1004,1,MATCH(COLUMNS($AO$1006:AZ1006),$AO$1006:$BQ$1006,0)))),"Fix")))</f>
        <v>#N/A</v>
      </c>
      <c r="N588" s="5" t="e">
        <f ca="1">IF(OR(INDEX($AI$2:$AI$1001,MATCH(ROWS($AH$2:AH588),$AH$2:$AH$1001,0),1)&gt;=100000,INDEX($AO$1005:$BQ$1005,1,MATCH(COLUMNS($AO$1006:BA1006),$AO$1006:$BQ$1006,0))&gt;=100000), " ",IF(INDEX($AO$2:$BQ$1001,MATCH(ROWS($AH$2:AH588),$AH$2:$AH$1001,0),MATCH(COLUMNS($AO$1006:BA1006),$AO$1006:$BQ$1006,0)), HYPERLINK("#",""), HYPERLINK(CONCATENATE("#Metadata!", ADDRESS(INDEX($AJ$2:$AJ$1001,MATCH(ROWS($AH$2:AH588),$AH$2:$AH$1001,0),0), INDEX($AO$1004:$BQ$1004,1,MATCH(COLUMNS($AO$1006:BA1006),$AO$1006:$BQ$1006,0)))),"Fix")))</f>
        <v>#N/A</v>
      </c>
      <c r="O588" s="5" t="e">
        <f ca="1">IF(OR(INDEX($AI$2:$AI$1001,MATCH(ROWS($AH$2:AH588),$AH$2:$AH$1001,0),1)&gt;=100000,INDEX($AO$1005:$BQ$1005,1,MATCH(COLUMNS($AO$1006:BB1006),$AO$1006:$BQ$1006,0))&gt;=100000), " ",IF(INDEX($AO$2:$BQ$1001,MATCH(ROWS($AH$2:AH588),$AH$2:$AH$1001,0),MATCH(COLUMNS($AO$1006:BB1006),$AO$1006:$BQ$1006,0)), HYPERLINK("#",""), HYPERLINK(CONCATENATE("#Metadata!", ADDRESS(INDEX($AJ$2:$AJ$1001,MATCH(ROWS($AH$2:AH588),$AH$2:$AH$1001,0),0), INDEX($AO$1004:$BQ$1004,1,MATCH(COLUMNS($AO$1006:BB1006),$AO$1006:$BQ$1006,0)))),"Fix")))</f>
        <v>#N/A</v>
      </c>
      <c r="P588" s="5" t="e">
        <f ca="1">IF(OR(INDEX($AI$2:$AI$1001,MATCH(ROWS($AH$2:AH588),$AH$2:$AH$1001,0),1)&gt;=100000,INDEX($AO$1005:$BQ$1005,1,MATCH(COLUMNS($AO$1006:BC1006),$AO$1006:$BQ$1006,0))&gt;=100000), " ",IF(INDEX($AO$2:$BQ$1001,MATCH(ROWS($AH$2:AH588),$AH$2:$AH$1001,0),MATCH(COLUMNS($AO$1006:BC1006),$AO$1006:$BQ$1006,0)), HYPERLINK("#",""), HYPERLINK(CONCATENATE("#Metadata!", ADDRESS(INDEX($AJ$2:$AJ$1001,MATCH(ROWS($AH$2:AH588),$AH$2:$AH$1001,0),0), INDEX($AO$1004:$BQ$1004,1,MATCH(COLUMNS($AO$1006:BC1006),$AO$1006:$BQ$1006,0)))),"Fix")))</f>
        <v>#N/A</v>
      </c>
      <c r="Q588" s="5" t="e">
        <f ca="1">IF(OR(INDEX($AI$2:$AI$1001,MATCH(ROWS($AH$2:AH588),$AH$2:$AH$1001,0),1)&gt;=100000,INDEX($AO$1005:$BQ$1005,1,MATCH(COLUMNS($AO$1006:BD1006),$AO$1006:$BQ$1006,0))&gt;=100000), " ",IF(INDEX($AO$2:$BQ$1001,MATCH(ROWS($AH$2:AH588),$AH$2:$AH$1001,0),MATCH(COLUMNS($AO$1006:BD1006),$AO$1006:$BQ$1006,0)), HYPERLINK("#",""), HYPERLINK(CONCATENATE("#Metadata!", ADDRESS(INDEX($AJ$2:$AJ$1001,MATCH(ROWS($AH$2:AH588),$AH$2:$AH$1001,0),0), INDEX($AO$1004:$BQ$1004,1,MATCH(COLUMNS($AO$1006:BD1006),$AO$1006:$BQ$1006,0)))),"Fix")))</f>
        <v>#N/A</v>
      </c>
      <c r="R588" s="5" t="e">
        <f ca="1">IF(OR(INDEX($AI$2:$AI$1001,MATCH(ROWS($AH$2:AH588),$AH$2:$AH$1001,0),1)&gt;=100000,INDEX($AO$1005:$BQ$1005,1,MATCH(COLUMNS($AO$1006:BE1006),$AO$1006:$BQ$1006,0))&gt;=100000), " ",IF(INDEX($AO$2:$BQ$1001,MATCH(ROWS($AH$2:AH588),$AH$2:$AH$1001,0),MATCH(COLUMNS($AO$1006:BE1006),$AO$1006:$BQ$1006,0)), HYPERLINK("#",""), HYPERLINK(CONCATENATE("#Metadata!", ADDRESS(INDEX($AJ$2:$AJ$1001,MATCH(ROWS($AH$2:AH588),$AH$2:$AH$1001,0),0), INDEX($AO$1004:$BQ$1004,1,MATCH(COLUMNS($AO$1006:BE1006),$AO$1006:$BQ$1006,0)))),"Fix")))</f>
        <v>#N/A</v>
      </c>
      <c r="S588" s="5" t="e">
        <f ca="1">IF(OR(INDEX($AI$2:$AI$1001,MATCH(ROWS($AH$2:AH588),$AH$2:$AH$1001,0),1)&gt;=100000,INDEX($AO$1005:$BQ$1005,1,MATCH(COLUMNS($AO$1006:BF1006),$AO$1006:$BQ$1006,0))&gt;=100000), " ",IF(INDEX($AO$2:$BQ$1001,MATCH(ROWS($AH$2:AH588),$AH$2:$AH$1001,0),MATCH(COLUMNS($AO$1006:BF1006),$AO$1006:$BQ$1006,0)), HYPERLINK("#",""), HYPERLINK(CONCATENATE("#Metadata!", ADDRESS(INDEX($AJ$2:$AJ$1001,MATCH(ROWS($AH$2:AH588),$AH$2:$AH$1001,0),0), INDEX($AO$1004:$BQ$1004,1,MATCH(COLUMNS($AO$1006:BF1006),$AO$1006:$BQ$1006,0)))),"Fix")))</f>
        <v>#N/A</v>
      </c>
      <c r="T588" s="5" t="e">
        <f ca="1">IF(OR(INDEX($AI$2:$AI$1001,MATCH(ROWS($AH$2:AH588),$AH$2:$AH$1001,0),1)&gt;=100000,INDEX($AO$1005:$BQ$1005,1,MATCH(COLUMNS($AO$1006:BG1006),$AO$1006:$BQ$1006,0))&gt;=100000), " ",IF(INDEX($AO$2:$BQ$1001,MATCH(ROWS($AH$2:AH588),$AH$2:$AH$1001,0),MATCH(COLUMNS($AO$1006:BG1006),$AO$1006:$BQ$1006,0)), HYPERLINK("#",""), HYPERLINK(CONCATENATE("#Metadata!", ADDRESS(INDEX($AJ$2:$AJ$1001,MATCH(ROWS($AH$2:AH588),$AH$2:$AH$1001,0),0), INDEX($AO$1004:$BQ$1004,1,MATCH(COLUMNS($AO$1006:BG1006),$AO$1006:$BQ$1006,0)))),"Fix")))</f>
        <v>#N/A</v>
      </c>
      <c r="U588" s="5" t="e">
        <f ca="1">IF(OR(INDEX($AI$2:$AI$1001,MATCH(ROWS($AH$2:AH588),$AH$2:$AH$1001,0),1)&gt;=100000,INDEX($AO$1005:$BQ$1005,1,MATCH(COLUMNS($AO$1006:BH1006),$AO$1006:$BQ$1006,0))&gt;=100000), " ",IF(INDEX($AO$2:$BQ$1001,MATCH(ROWS($AH$2:AH588),$AH$2:$AH$1001,0),MATCH(COLUMNS($AO$1006:BH1006),$AO$1006:$BQ$1006,0)), HYPERLINK("#",""), HYPERLINK(CONCATENATE("#Metadata!", ADDRESS(INDEX($AJ$2:$AJ$1001,MATCH(ROWS($AH$2:AH588),$AH$2:$AH$1001,0),0), INDEX($AO$1004:$BQ$1004,1,MATCH(COLUMNS($AO$1006:BH1006),$AO$1006:$BQ$1006,0)))),"Fix")))</f>
        <v>#N/A</v>
      </c>
      <c r="V588" s="5" t="e">
        <f ca="1">IF(OR(INDEX($AI$2:$AI$1001,MATCH(ROWS($AH$2:AH588),$AH$2:$AH$1001,0),1)&gt;=100000,INDEX($AO$1005:$BQ$1005,1,MATCH(COLUMNS($AO$1006:BI1006),$AO$1006:$BQ$1006,0))&gt;=100000), " ",IF(INDEX($AO$2:$BQ$1001,MATCH(ROWS($AH$2:AH588),$AH$2:$AH$1001,0),MATCH(COLUMNS($AO$1006:BI1006),$AO$1006:$BQ$1006,0)), HYPERLINK("#",""), HYPERLINK(CONCATENATE("#Metadata!", ADDRESS(INDEX($AJ$2:$AJ$1001,MATCH(ROWS($AH$2:AH588),$AH$2:$AH$1001,0),0), INDEX($AO$1004:$BQ$1004,1,MATCH(COLUMNS($AO$1006:BI1006),$AO$1006:$BQ$1006,0)))),"Fix")))</f>
        <v>#N/A</v>
      </c>
      <c r="W588" s="5" t="e">
        <f ca="1">IF(OR(INDEX($AI$2:$AI$1001,MATCH(ROWS($AH$2:AH588),$AH$2:$AH$1001,0),1)&gt;=100000,INDEX($AO$1005:$BQ$1005,1,MATCH(COLUMNS($AO$1006:BJ1006),$AO$1006:$BQ$1006,0))&gt;=100000), " ",IF(INDEX($AO$2:$BQ$1001,MATCH(ROWS($AH$2:AH588),$AH$2:$AH$1001,0),MATCH(COLUMNS($AO$1006:BJ1006),$AO$1006:$BQ$1006,0)), HYPERLINK("#",""), HYPERLINK(CONCATENATE("#Metadata!", ADDRESS(INDEX($AJ$2:$AJ$1001,MATCH(ROWS($AH$2:AH588),$AH$2:$AH$1001,0),0), INDEX($AO$1004:$BQ$1004,1,MATCH(COLUMNS($AO$1006:BJ1006),$AO$1006:$BQ$1006,0)))),"Fix")))</f>
        <v>#N/A</v>
      </c>
      <c r="X588" s="5" t="e">
        <f ca="1">IF(OR(INDEX($AI$2:$AI$1001,MATCH(ROWS($AH$2:AH588),$AH$2:$AH$1001,0),1)&gt;=100000,INDEX($AO$1005:$BQ$1005,1,MATCH(COLUMNS($AO$1006:BK1006),$AO$1006:$BQ$1006,0))&gt;=100000), " ",IF(INDEX($AO$2:$BQ$1001,MATCH(ROWS($AH$2:AH588),$AH$2:$AH$1001,0),MATCH(COLUMNS($AO$1006:BK1006),$AO$1006:$BQ$1006,0)), HYPERLINK("#",""), HYPERLINK(CONCATENATE("#Metadata!", ADDRESS(INDEX($AJ$2:$AJ$1001,MATCH(ROWS($AH$2:AH588),$AH$2:$AH$1001,0),0), INDEX($AO$1004:$BQ$1004,1,MATCH(COLUMNS($AO$1006:BK1006),$AO$1006:$BQ$1006,0)))),"Fix")))</f>
        <v>#N/A</v>
      </c>
      <c r="Y588" s="5" t="e">
        <f ca="1">IF(OR(INDEX($AI$2:$AI$1001,MATCH(ROWS($AH$2:AH588),$AH$2:$AH$1001,0),1)&gt;=100000,INDEX($AO$1005:$BQ$1005,1,MATCH(COLUMNS($AO$1006:BL1006),$AO$1006:$BQ$1006,0))&gt;=100000), " ",IF(INDEX($AO$2:$BQ$1001,MATCH(ROWS($AH$2:AH588),$AH$2:$AH$1001,0),MATCH(COLUMNS($AO$1006:BL1006),$AO$1006:$BQ$1006,0)), HYPERLINK("#",""), HYPERLINK(CONCATENATE("#Metadata!", ADDRESS(INDEX($AJ$2:$AJ$1001,MATCH(ROWS($AH$2:AH588),$AH$2:$AH$1001,0),0), INDEX($AO$1004:$BQ$1004,1,MATCH(COLUMNS($AO$1006:BL1006),$AO$1006:$BQ$1006,0)))),"Fix")))</f>
        <v>#N/A</v>
      </c>
      <c r="Z588" s="5" t="e">
        <f ca="1">IF(OR(INDEX($AI$2:$AI$1001,MATCH(ROWS($AH$2:AH588),$AH$2:$AH$1001,0),1)&gt;=100000,INDEX($AO$1005:$BQ$1005,1,MATCH(COLUMNS($AO$1006:BM1006),$AO$1006:$BQ$1006,0))&gt;=100000), " ",IF(INDEX($AO$2:$BQ$1001,MATCH(ROWS($AH$2:AH588),$AH$2:$AH$1001,0),MATCH(COLUMNS($AO$1006:BM1006),$AO$1006:$BQ$1006,0)), HYPERLINK("#",""), HYPERLINK(CONCATENATE("#Metadata!", ADDRESS(INDEX($AJ$2:$AJ$1001,MATCH(ROWS($AH$2:AH588),$AH$2:$AH$1001,0),0), INDEX($AO$1004:$BQ$1004,1,MATCH(COLUMNS($AO$1006:BM1006),$AO$1006:$BQ$1006,0)))),"Fix")))</f>
        <v>#N/A</v>
      </c>
      <c r="AA588" s="5" t="e">
        <f ca="1">IF(OR(INDEX($AI$2:$AI$1001,MATCH(ROWS($AH$2:AH588),$AH$2:$AH$1001,0),1)&gt;=100000,INDEX($AO$1005:$BQ$1005,1,MATCH(COLUMNS($AO$1006:BN1006),$AO$1006:$BQ$1006,0))&gt;=100000), " ",IF(INDEX($AO$2:$BQ$1001,MATCH(ROWS($AH$2:AH588),$AH$2:$AH$1001,0),MATCH(COLUMNS($AO$1006:BN1006),$AO$1006:$BQ$1006,0)), HYPERLINK("#",""), HYPERLINK(CONCATENATE("#Metadata!", ADDRESS(INDEX($AJ$2:$AJ$1001,MATCH(ROWS($AH$2:AH588),$AH$2:$AH$1001,0),0), INDEX($AO$1004:$BQ$1004,1,MATCH(COLUMNS($AO$1006:BN1006),$AO$1006:$BQ$1006,0)))),"Fix")))</f>
        <v>#N/A</v>
      </c>
      <c r="AB588" s="5" t="e">
        <f ca="1">IF(OR(INDEX($AI$2:$AI$1001,MATCH(ROWS($AH$2:AH588),$AH$2:$AH$1001,0),1)&gt;=100000,INDEX($AO$1005:$BQ$1005,1,MATCH(COLUMNS($AO$1006:BO1006),$AO$1006:$BQ$1006,0))&gt;=100000), " ",IF(INDEX($AO$2:$BQ$1001,MATCH(ROWS($AH$2:AH588),$AH$2:$AH$1001,0),MATCH(COLUMNS($AO$1006:BO1006),$AO$1006:$BQ$1006,0)), HYPERLINK("#",""), HYPERLINK(CONCATENATE("#Metadata!", ADDRESS(INDEX($AJ$2:$AJ$1001,MATCH(ROWS($AH$2:AH588),$AH$2:$AH$1001,0),0), INDEX($AO$1004:$BQ$1004,1,MATCH(COLUMNS($AO$1006:BO1006),$AO$1006:$BQ$1006,0)))),"Fix")))</f>
        <v>#N/A</v>
      </c>
      <c r="AC588" s="5" t="e">
        <f ca="1">IF(OR(INDEX($AI$2:$AI$1001,MATCH(ROWS($AH$2:AH588),$AH$2:$AH$1001,0),1)&gt;=100000,INDEX($AO$1005:$BQ$1005,1,MATCH(COLUMNS($AO$1006:BP1006),$AO$1006:$BQ$1006,0))&gt;=100000), " ",IF(INDEX($AO$2:$BQ$1001,MATCH(ROWS($AH$2:AH588),$AH$2:$AH$1001,0),MATCH(COLUMNS($AO$1006:BP1006),$AO$1006:$BQ$1006,0)), HYPERLINK("#",""), HYPERLINK(CONCATENATE("#Metadata!", ADDRESS(INDEX($AJ$2:$AJ$1001,MATCH(ROWS($AH$2:AH588),$AH$2:$AH$1001,0),0), INDEX($AO$1004:$BQ$1004,1,MATCH(COLUMNS($AO$1006:BP1006),$AO$1006:$BQ$1006,0)))),"Fix")))</f>
        <v>#N/A</v>
      </c>
      <c r="AD588" s="5" t="e">
        <f ca="1">IF(OR(INDEX($AI$2:$AI$1001,MATCH(ROWS($AH$2:AH588),$AH$2:$AH$1001,0),1)&gt;=100000,INDEX($AO$1005:$BQ$1005,1,MATCH(COLUMNS($AO$1006:BQ1006),$AO$1006:$BQ$1006,0))&gt;=100000), " ",IF(INDEX($AO$2:$BQ$1001,MATCH(ROWS($AH$2:AH588),$AH$2:$AH$1001,0),MATCH(COLUMNS($AO$1006:BQ1006),$AO$1006:$BQ$1006,0)), HYPERLINK("#",""), HYPERLINK(CONCATENATE("#Metadata!", ADDRESS(INDEX($AJ$2:$AJ$1001,MATCH(ROWS($AH$2:AH588),$AH$2:$AH$1001,0),0), INDEX($AO$1004:$BQ$1004,1,MATCH(COLUMNS($AO$1006:BQ1006),$AO$1006:$BQ$1006,0)))),"Fix")))</f>
        <v>#REF!</v>
      </c>
      <c r="AH588">
        <f ca="1"/>
        <v>585</v>
      </c>
      <c r="AI588">
        <v>100588</v>
      </c>
      <c r="AJ588">
        <v>588</v>
      </c>
      <c r="AK588" t="b">
        <f t="shared" si="9"/>
        <v>1</v>
      </c>
      <c r="AL588" t="b">
        <f>COUNTBLANK(Metadata!B588:AD588)=COLUMNS(Metadata!B588:AD588)</f>
        <v>1</v>
      </c>
      <c r="AM588" t="str">
        <v/>
      </c>
      <c r="AO588" t="b">
        <f ca="1">AND(IF(Metadata!B588="",FALSE,TRUE),COUNTIF(Metadata!B:B, Metadata!B588) = 1,NOT(ISERROR(SUMPRODUCT(SEARCH(MID(Metadata!B588,ROW(INDIRECT("1:"&amp;LEN(Metadata!B588))), 1),"0123456789abcdefghijklmnopqrstuvwxyzABCDEFGHIJKLMNOPQRSTUVWXYZ.")))))</f>
        <v>0</v>
      </c>
      <c r="AP588" t="b">
        <f>IF(Metadata!C588="",FALSE,TRUE)</f>
        <v>0</v>
      </c>
      <c r="AQ588" t="b">
        <f>IF(Metadata!D588="",FALSE,TRUE)</f>
        <v>0</v>
      </c>
      <c r="AR588" t="b">
        <f ca="1">OR(AND(IF(Metadata!E588="",FALSE,TRUE),OR(EXACT(Metadata!E588,"not collected"),EXACT(Metadata!E588,"not provided"),EXACT(Metadata!E588,"restricted access"))),AND(IF(Metadata!E588="",FALSE,TRUE),AND(AND(IFERROR(INT(LEFT(Metadata!E588,4))&gt;1900,FALSE),IFERROR(INT(LEFT(Metadata!E588,4))&lt;=YEAR(NOW()),FALSE)), OR(MID(Metadata!E588,5,1)="", AND(AND(MID(Metadata!E588,5,1)="-",IFERROR(INT(MID(Metadata!E588,6,1))&gt;=0,FALSE),IFERROR(INT(MID(Metadata!E588,6,1))&lt;=1,FALSE),NOT(MID(Metadata!E588,7,1)=""),IFERROR(INT(MID(Metadata!E588,6,2))&gt;=1,FALSE),IFERROR(INT(MID(Metadata!E588,6,2))&lt;=12,FALSE)), OR(MID(Metadata!E588,8,1)="", AND(AND(MID(Metadata!E588,8,1)="-",IFERROR(INT(MID(Metadata!E588,9,1))&gt;=0,FALSE),IFERROR(INT(MID(Metadata!E588,9,1))&lt;=3,FALSE),NOT(MID(Metadata!E588,10,1)=""),IFERROR(INT(MID(Metadata!E588,9,2))&gt;=1,FALSE),IFERROR(INT(MID(Metadata!E588,9,2))&lt;=31,FALSE)), OR(MID(Metadata!E588,11,1)="", AND(AND(MID(Metadata!E588,11,1)=" ",IFERROR(INT(MID(Metadata!E588,12,1))&gt;=0,FALSE),IFERROR(INT(MID(Metadata!E588,12,1))&lt;=2,FALSE),NOT(MID(Metadata!E588,13,1)=""),IFERROR(INT(MID(Metadata!E588,12,2))&gt;=0,FALSE),IFERROR(INT(MID(Metadata!E588,12,2))&lt;=23,FALSE)), OR(MID(Metadata!E588,14,1)="", AND(AND(MID(Metadata!E588,14,1)=":",IFERROR(INT(MID(Metadata!E588,15,1))&gt;=0,FALSE),IFERROR(INT(MID(Metadata!E588,15,1))&lt;=5,FALSE),NOT(MID(Metadata!E588,16,1)=""),IFERROR(INT(MID(Metadata!E588,15,2))&gt;=0,FALSE),IFERROR(INT(MID(Metadata!E588,15,2))&lt;=59,FALSE)), OR(MID(Metadata!E588,17,1)="", AND(AND(MID(Metadata!E588,17,1)=":",IFERROR(INT(MID(Metadata!E588,18,1))&gt;=0,FALSE),IFERROR(INT(MID(Metadata!E588,18,1))&lt;=5,FALSE),NOT(MID(Metadata!E588,19,1)=""),IFERROR(INT(MID(Metadata!E588,18,2))&gt;=0,FALSE),IFERROR(INT(MID(Metadata!E588,18,2))&lt;=59,FALSE)), LEN(Metadata!E588)&lt;=19)))))))))))))</f>
        <v>0</v>
      </c>
      <c r="AS588" t="b">
        <f>IF(Metadata!F588="",FALSE,TRUE)</f>
        <v>0</v>
      </c>
      <c r="AT588" t="b">
        <f>OR(AND(IF(Metadata!G588="",FALSE,TRUE),OR(EXACT(Metadata!G588,"not collected"),EXACT(Metadata!G588,"not provided"))),AND(IF(Metadata!G588="",FALSE,TRUE),OR(EXACT(Metadata!G588,"TRUE"),EXACT(Metadata!G588,"FALSE"))))</f>
        <v>0</v>
      </c>
      <c r="AU588" t="b">
        <f>OR(AND(IF(Metadata!H588="",FALSE,TRUE),OR(EXACT(Metadata!H588,"not collected"),EXACT(Metadata!H588,"not provided"),EXACT(Metadata!H588,"restricted access"))),AND(IF(Metadata!H588="",FALSE,ISNUMBER(VALUE(Metadata!H588))),Metadata!H588&gt;=-413))</f>
        <v>0</v>
      </c>
      <c r="AV588" t="b">
        <f>AND(IF(Metadata!I588="",FALSE,TRUE),EXACT(Metadata!I588,"meters"))</f>
        <v>0</v>
      </c>
      <c r="AW588" t="b">
        <f>AND(IF(Metadata!J588="",FALSE,TRUE),EXACT(Metadata!J588,"free-living"))</f>
        <v>0</v>
      </c>
      <c r="AX588" t="b">
        <f>AND(IF(Metadata!K588="",FALSE,TRUE),OR(EXACT(Metadata!K588,"saline"),EXACT(Metadata!K588,"non-saline")))</f>
        <v>0</v>
      </c>
      <c r="AY588" t="b">
        <f>AND(IF(Metadata!L588="",FALSE,TRUE),OR(EXACT(Metadata!L588,"sub-surface (non-saline)"),EXACT(Metadata!L588,"surface (non-saline)"),EXACT(Metadata!L588,"water (non-saline)"),EXACT(Metadata!L588,"soil (non-saline)"),EXACT(Metadata!L588,"aerosol (non-saline)"),EXACT(Metadata!L588,"sediment (non-saline)"),EXACT(Metadata!L588,"surface (saline)"),EXACT(Metadata!L588,"water (saline)"),EXACT(Metadata!L588,"hypersaline (saline)"),EXACT(Metadata!L588,"aerosol (saline)"),EXACT(Metadata!L588,"sediment (saline)")))</f>
        <v>0</v>
      </c>
      <c r="AZ588" t="b">
        <f>IF(Metadata!M588="",FALSE,TRUE)</f>
        <v>0</v>
      </c>
      <c r="BA588" t="b">
        <f>IF(Metadata!N588="",FALSE,TRUE)</f>
        <v>0</v>
      </c>
      <c r="BB588" t="b">
        <f>IF(Metadata!O588="",FALSE,TRUE)</f>
        <v>0</v>
      </c>
      <c r="BC588" t="b">
        <f>AND(IF(Metadata!P588="",FALSE,TRUE),OR(EXACT(Metadata!P588,"air"),EXACT(Metadata!P588,"microbial mat/biofilm"),EXACT(Metadata!P588,"misc environment"),EXACT(Metadata!P588,"sediment"),EXACT(Metadata!P588,"soil"),EXACT(Metadata!P588,"wastewater/sludge"),EXACT(Metadata!P588,"water")))</f>
        <v>0</v>
      </c>
      <c r="BD588" t="b">
        <f>IF(Metadata!Q588="",FALSE,TRUE)</f>
        <v>0</v>
      </c>
      <c r="BE588" t="b">
        <f>IF(Metadata!R588="",FALSE,TRUE)</f>
        <v>0</v>
      </c>
      <c r="BF588" t="b">
        <f>OR(AND(IF(Metadata!S588="",FALSE,TRUE),OR(EXACT(Metadata!S588,"not collected"),EXACT(Metadata!S588,"not provided"),EXACT(Metadata!S588,"restricted access"))),AND(IF(Metadata!S588="",FALSE,ISNUMBER(VALUE(Metadata!S588))),Metadata!S588&gt;=-90,Metadata!S588&lt;=90))</f>
        <v>0</v>
      </c>
      <c r="BG588" t="b">
        <f>AND(IF(Metadata!T588="",FALSE,TRUE),EXACT(Metadata!T588,"Decimal degrees"))</f>
        <v>0</v>
      </c>
      <c r="BH588" t="b">
        <f>OR(AND(IF(Metadata!U588="",FALSE,TRUE),OR(EXACT(Metadata!U588,"not applicable"),EXACT(Metadata!U588,"not collected"))),IF(Metadata!U588="",FALSE,TRUE))</f>
        <v>0</v>
      </c>
      <c r="BI588" t="b">
        <f>OR(AND(IF(Metadata!V588="",FALSE,TRUE),OR(EXACT(Metadata!V588,"not collected"),EXACT(Metadata!V588,"not provided"),EXACT(Metadata!V588,"restricted access"))),AND(IF(Metadata!V588="",FALSE,ISNUMBER(VALUE(Metadata!V588))),Metadata!V588&gt;=-180,Metadata!V588&lt;=180))</f>
        <v>0</v>
      </c>
      <c r="BJ588" t="b">
        <f>AND(IF(Metadata!W588="",FALSE,TRUE),EXACT(Metadata!W588,"Decimal degrees"))</f>
        <v>0</v>
      </c>
      <c r="BK588" t="b">
        <f>IF(Metadata!X588="",FALSE,TRUE)</f>
        <v>0</v>
      </c>
      <c r="BL588" t="b">
        <f>OR(AND(IF(Metadata!Y588="",FALSE,TRUE),OR(EXACT(Metadata!Y588,"not collected"),EXACT(Metadata!Y588,"not provided"),EXACT(Metadata!Y588,"restricted access"))),AND(IF(Metadata!Y588="",FALSE,TRUE),OR(EXACT(Metadata!Y588,"TRUE"),EXACT(Metadata!Y588,"FALSE"))))</f>
        <v>0</v>
      </c>
      <c r="BM588" t="b">
        <f>OR(AND(IF(Metadata!Z588="",FALSE,TRUE),EXACT(Metadata!Z588,"not applicable")),AND(IF(Metadata!Z588="",FALSE,TRUE),OR(EXACT(Metadata!Z588,"beer"),EXACT(Metadata!Z588,"cheese"),EXACT(Metadata!Z588,"fresh water"),EXACT(Metadata!Z588,"marine sediment"),EXACT(Metadata!Z588,"sea water"),EXACT(Metadata!Z588,"sediment"),EXACT(Metadata!Z588,"soil"),EXACT(Metadata!Z588,"waste water"))))</f>
        <v>0</v>
      </c>
      <c r="BN588" t="b">
        <f>AND(IF(Metadata!AA588="",FALSE,TRUE),EXACT(Metadata!AA588,"metagenome"))</f>
        <v>0</v>
      </c>
      <c r="BO588" t="b">
        <f>AND(IF(Metadata!AB588="",FALSE,TRUE),EXACT(Metadata!AB588,"256318"))</f>
        <v>0</v>
      </c>
      <c r="BP588" t="b">
        <f>IF(Metadata!AC588="",FALSE,TRUE)</f>
        <v>0</v>
      </c>
      <c r="BQ588" t="b">
        <f>IF(Metadata!AD588="",FALSE,TRUE)</f>
        <v>0</v>
      </c>
    </row>
    <row r="589" spans="1:69" x14ac:dyDescent="0.2">
      <c r="A589" s="4" t="e">
        <f ca="1">IF(B589=" "," ",HYPERLINK(CONCATENATE("#metadata!",ADDRESS(INDEX($AJ$2:$AJ$1001,MATCH(ROWS($AH$2:AH589),$AH$2:$AH$1001,0),0),2)),INDEX($AM$2:$AM$1001,MATCH(ROWS($AH$2:AH589),$AH$2:$AH$1001,0),0)))</f>
        <v>#N/A</v>
      </c>
      <c r="B589" s="5" t="e">
        <f ca="1">IF(OR(INDEX($AI$2:$AI$1001,MATCH(ROWS($AH$2:AH589),$AH$2:$AH$1001,0),1)&gt;=100000,INDEX($AO$1005:$BQ$1005,1,MATCH(COLUMNS($AO$1006:AO1006),$AO$1006:$BQ$1006,0))&gt;=100000), " ",IF(INDEX($AO$2:$BQ$1001,MATCH(ROWS($AH$2:AH589),$AH$2:$AH$1001,0),MATCH(COLUMNS($AO$1006:AO1006),$AO$1006:$BQ$1006,0)), HYPERLINK("#",""), HYPERLINK(CONCATENATE("#Metadata!", ADDRESS(INDEX($AJ$2:$AJ$1001,MATCH(ROWS($AH$2:AH589),$AH$2:$AH$1001,0),0), INDEX($AO$1004:$BQ$1004,1,MATCH(COLUMNS($AO$1006:AO1006),$AO$1006:$BQ$1006,0)))),"Fix")))</f>
        <v>#N/A</v>
      </c>
      <c r="C589" s="5" t="e">
        <f ca="1">IF(OR(INDEX($AI$2:$AI$1001,MATCH(ROWS($AH$2:AH589),$AH$2:$AH$1001,0),1)&gt;=100000,INDEX($AO$1005:$BQ$1005,1,MATCH(COLUMNS($AO$1006:AP1006),$AO$1006:$BQ$1006,0))&gt;=100000), " ",IF(INDEX($AO$2:$BQ$1001,MATCH(ROWS($AH$2:AH589),$AH$2:$AH$1001,0),MATCH(COLUMNS($AO$1006:AP1006),$AO$1006:$BQ$1006,0)), HYPERLINK("#",""), HYPERLINK(CONCATENATE("#Metadata!", ADDRESS(INDEX($AJ$2:$AJ$1001,MATCH(ROWS($AH$2:AH589),$AH$2:$AH$1001,0),0), INDEX($AO$1004:$BQ$1004,1,MATCH(COLUMNS($AO$1006:AP1006),$AO$1006:$BQ$1006,0)))),"Fix")))</f>
        <v>#N/A</v>
      </c>
      <c r="D589" s="5" t="e">
        <f ca="1">IF(OR(INDEX($AI$2:$AI$1001,MATCH(ROWS($AH$2:AH589),$AH$2:$AH$1001,0),1)&gt;=100000,INDEX($AO$1005:$BQ$1005,1,MATCH(COLUMNS($AO$1006:AQ1006),$AO$1006:$BQ$1006,0))&gt;=100000), " ",IF(INDEX($AO$2:$BQ$1001,MATCH(ROWS($AH$2:AH589),$AH$2:$AH$1001,0),MATCH(COLUMNS($AO$1006:AQ1006),$AO$1006:$BQ$1006,0)), HYPERLINK("#",""), HYPERLINK(CONCATENATE("#Metadata!", ADDRESS(INDEX($AJ$2:$AJ$1001,MATCH(ROWS($AH$2:AH589),$AH$2:$AH$1001,0),0), INDEX($AO$1004:$BQ$1004,1,MATCH(COLUMNS($AO$1006:AQ1006),$AO$1006:$BQ$1006,0)))),"Fix")))</f>
        <v>#N/A</v>
      </c>
      <c r="E589" s="5" t="e">
        <f ca="1">IF(OR(INDEX($AI$2:$AI$1001,MATCH(ROWS($AH$2:AH589),$AH$2:$AH$1001,0),1)&gt;=100000,INDEX($AO$1005:$BQ$1005,1,MATCH(COLUMNS($AO$1006:AR1006),$AO$1006:$BQ$1006,0))&gt;=100000), " ",IF(INDEX($AO$2:$BQ$1001,MATCH(ROWS($AH$2:AH589),$AH$2:$AH$1001,0),MATCH(COLUMNS($AO$1006:AR1006),$AO$1006:$BQ$1006,0)), HYPERLINK("#",""), HYPERLINK(CONCATENATE("#Metadata!", ADDRESS(INDEX($AJ$2:$AJ$1001,MATCH(ROWS($AH$2:AH589),$AH$2:$AH$1001,0),0), INDEX($AO$1004:$BQ$1004,1,MATCH(COLUMNS($AO$1006:AR1006),$AO$1006:$BQ$1006,0)))),"Fix")))</f>
        <v>#N/A</v>
      </c>
      <c r="F589" s="5" t="e">
        <f ca="1">IF(OR(INDEX($AI$2:$AI$1001,MATCH(ROWS($AH$2:AH589),$AH$2:$AH$1001,0),1)&gt;=100000,INDEX($AO$1005:$BQ$1005,1,MATCH(COLUMNS($AO$1006:AS1006),$AO$1006:$BQ$1006,0))&gt;=100000), " ",IF(INDEX($AO$2:$BQ$1001,MATCH(ROWS($AH$2:AH589),$AH$2:$AH$1001,0),MATCH(COLUMNS($AO$1006:AS1006),$AO$1006:$BQ$1006,0)), HYPERLINK("#",""), HYPERLINK(CONCATENATE("#Metadata!", ADDRESS(INDEX($AJ$2:$AJ$1001,MATCH(ROWS($AH$2:AH589),$AH$2:$AH$1001,0),0), INDEX($AO$1004:$BQ$1004,1,MATCH(COLUMNS($AO$1006:AS1006),$AO$1006:$BQ$1006,0)))),"Fix")))</f>
        <v>#N/A</v>
      </c>
      <c r="G589" s="5" t="e">
        <f ca="1">IF(OR(INDEX($AI$2:$AI$1001,MATCH(ROWS($AH$2:AH589),$AH$2:$AH$1001,0),1)&gt;=100000,INDEX($AO$1005:$BQ$1005,1,MATCH(COLUMNS($AO$1006:AT1006),$AO$1006:$BQ$1006,0))&gt;=100000), " ",IF(INDEX($AO$2:$BQ$1001,MATCH(ROWS($AH$2:AH589),$AH$2:$AH$1001,0),MATCH(COLUMNS($AO$1006:AT1006),$AO$1006:$BQ$1006,0)), HYPERLINK("#",""), HYPERLINK(CONCATENATE("#Metadata!", ADDRESS(INDEX($AJ$2:$AJ$1001,MATCH(ROWS($AH$2:AH589),$AH$2:$AH$1001,0),0), INDEX($AO$1004:$BQ$1004,1,MATCH(COLUMNS($AO$1006:AT1006),$AO$1006:$BQ$1006,0)))),"Fix")))</f>
        <v>#N/A</v>
      </c>
      <c r="H589" s="5" t="e">
        <f ca="1">IF(OR(INDEX($AI$2:$AI$1001,MATCH(ROWS($AH$2:AH589),$AH$2:$AH$1001,0),1)&gt;=100000,INDEX($AO$1005:$BQ$1005,1,MATCH(COLUMNS($AO$1006:AU1006),$AO$1006:$BQ$1006,0))&gt;=100000), " ",IF(INDEX($AO$2:$BQ$1001,MATCH(ROWS($AH$2:AH589),$AH$2:$AH$1001,0),MATCH(COLUMNS($AO$1006:AU1006),$AO$1006:$BQ$1006,0)), HYPERLINK("#",""), HYPERLINK(CONCATENATE("#Metadata!", ADDRESS(INDEX($AJ$2:$AJ$1001,MATCH(ROWS($AH$2:AH589),$AH$2:$AH$1001,0),0), INDEX($AO$1004:$BQ$1004,1,MATCH(COLUMNS($AO$1006:AU1006),$AO$1006:$BQ$1006,0)))),"Fix")))</f>
        <v>#N/A</v>
      </c>
      <c r="I589" s="5" t="e">
        <f ca="1">IF(OR(INDEX($AI$2:$AI$1001,MATCH(ROWS($AH$2:AH589),$AH$2:$AH$1001,0),1)&gt;=100000,INDEX($AO$1005:$BQ$1005,1,MATCH(COLUMNS($AO$1006:AV1006),$AO$1006:$BQ$1006,0))&gt;=100000), " ",IF(INDEX($AO$2:$BQ$1001,MATCH(ROWS($AH$2:AH589),$AH$2:$AH$1001,0),MATCH(COLUMNS($AO$1006:AV1006),$AO$1006:$BQ$1006,0)), HYPERLINK("#",""), HYPERLINK(CONCATENATE("#Metadata!", ADDRESS(INDEX($AJ$2:$AJ$1001,MATCH(ROWS($AH$2:AH589),$AH$2:$AH$1001,0),0), INDEX($AO$1004:$BQ$1004,1,MATCH(COLUMNS($AO$1006:AV1006),$AO$1006:$BQ$1006,0)))),"Fix")))</f>
        <v>#N/A</v>
      </c>
      <c r="J589" s="5" t="e">
        <f ca="1">IF(OR(INDEX($AI$2:$AI$1001,MATCH(ROWS($AH$2:AH589),$AH$2:$AH$1001,0),1)&gt;=100000,INDEX($AO$1005:$BQ$1005,1,MATCH(COLUMNS($AO$1006:AW1006),$AO$1006:$BQ$1006,0))&gt;=100000), " ",IF(INDEX($AO$2:$BQ$1001,MATCH(ROWS($AH$2:AH589),$AH$2:$AH$1001,0),MATCH(COLUMNS($AO$1006:AW1006),$AO$1006:$BQ$1006,0)), HYPERLINK("#",""), HYPERLINK(CONCATENATE("#Metadata!", ADDRESS(INDEX($AJ$2:$AJ$1001,MATCH(ROWS($AH$2:AH589),$AH$2:$AH$1001,0),0), INDEX($AO$1004:$BQ$1004,1,MATCH(COLUMNS($AO$1006:AW1006),$AO$1006:$BQ$1006,0)))),"Fix")))</f>
        <v>#N/A</v>
      </c>
      <c r="K589" s="5" t="e">
        <f ca="1">IF(OR(INDEX($AI$2:$AI$1001,MATCH(ROWS($AH$2:AH589),$AH$2:$AH$1001,0),1)&gt;=100000,INDEX($AO$1005:$BQ$1005,1,MATCH(COLUMNS($AO$1006:AX1006),$AO$1006:$BQ$1006,0))&gt;=100000), " ",IF(INDEX($AO$2:$BQ$1001,MATCH(ROWS($AH$2:AH589),$AH$2:$AH$1001,0),MATCH(COLUMNS($AO$1006:AX1006),$AO$1006:$BQ$1006,0)), HYPERLINK("#",""), HYPERLINK(CONCATENATE("#Metadata!", ADDRESS(INDEX($AJ$2:$AJ$1001,MATCH(ROWS($AH$2:AH589),$AH$2:$AH$1001,0),0), INDEX($AO$1004:$BQ$1004,1,MATCH(COLUMNS($AO$1006:AX1006),$AO$1006:$BQ$1006,0)))),"Fix")))</f>
        <v>#N/A</v>
      </c>
      <c r="L589" s="5" t="e">
        <f ca="1">IF(OR(INDEX($AI$2:$AI$1001,MATCH(ROWS($AH$2:AH589),$AH$2:$AH$1001,0),1)&gt;=100000,INDEX($AO$1005:$BQ$1005,1,MATCH(COLUMNS($AO$1006:AY1006),$AO$1006:$BQ$1006,0))&gt;=100000), " ",IF(INDEX($AO$2:$BQ$1001,MATCH(ROWS($AH$2:AH589),$AH$2:$AH$1001,0),MATCH(COLUMNS($AO$1006:AY1006),$AO$1006:$BQ$1006,0)), HYPERLINK("#",""), HYPERLINK(CONCATENATE("#Metadata!", ADDRESS(INDEX($AJ$2:$AJ$1001,MATCH(ROWS($AH$2:AH589),$AH$2:$AH$1001,0),0), INDEX($AO$1004:$BQ$1004,1,MATCH(COLUMNS($AO$1006:AY1006),$AO$1006:$BQ$1006,0)))),"Fix")))</f>
        <v>#N/A</v>
      </c>
      <c r="M589" s="5" t="e">
        <f ca="1">IF(OR(INDEX($AI$2:$AI$1001,MATCH(ROWS($AH$2:AH589),$AH$2:$AH$1001,0),1)&gt;=100000,INDEX($AO$1005:$BQ$1005,1,MATCH(COLUMNS($AO$1006:AZ1006),$AO$1006:$BQ$1006,0))&gt;=100000), " ",IF(INDEX($AO$2:$BQ$1001,MATCH(ROWS($AH$2:AH589),$AH$2:$AH$1001,0),MATCH(COLUMNS($AO$1006:AZ1006),$AO$1006:$BQ$1006,0)), HYPERLINK("#",""), HYPERLINK(CONCATENATE("#Metadata!", ADDRESS(INDEX($AJ$2:$AJ$1001,MATCH(ROWS($AH$2:AH589),$AH$2:$AH$1001,0),0), INDEX($AO$1004:$BQ$1004,1,MATCH(COLUMNS($AO$1006:AZ1006),$AO$1006:$BQ$1006,0)))),"Fix")))</f>
        <v>#N/A</v>
      </c>
      <c r="N589" s="5" t="e">
        <f ca="1">IF(OR(INDEX($AI$2:$AI$1001,MATCH(ROWS($AH$2:AH589),$AH$2:$AH$1001,0),1)&gt;=100000,INDEX($AO$1005:$BQ$1005,1,MATCH(COLUMNS($AO$1006:BA1006),$AO$1006:$BQ$1006,0))&gt;=100000), " ",IF(INDEX($AO$2:$BQ$1001,MATCH(ROWS($AH$2:AH589),$AH$2:$AH$1001,0),MATCH(COLUMNS($AO$1006:BA1006),$AO$1006:$BQ$1006,0)), HYPERLINK("#",""), HYPERLINK(CONCATENATE("#Metadata!", ADDRESS(INDEX($AJ$2:$AJ$1001,MATCH(ROWS($AH$2:AH589),$AH$2:$AH$1001,0),0), INDEX($AO$1004:$BQ$1004,1,MATCH(COLUMNS($AO$1006:BA1006),$AO$1006:$BQ$1006,0)))),"Fix")))</f>
        <v>#N/A</v>
      </c>
      <c r="O589" s="5" t="e">
        <f ca="1">IF(OR(INDEX($AI$2:$AI$1001,MATCH(ROWS($AH$2:AH589),$AH$2:$AH$1001,0),1)&gt;=100000,INDEX($AO$1005:$BQ$1005,1,MATCH(COLUMNS($AO$1006:BB1006),$AO$1006:$BQ$1006,0))&gt;=100000), " ",IF(INDEX($AO$2:$BQ$1001,MATCH(ROWS($AH$2:AH589),$AH$2:$AH$1001,0),MATCH(COLUMNS($AO$1006:BB1006),$AO$1006:$BQ$1006,0)), HYPERLINK("#",""), HYPERLINK(CONCATENATE("#Metadata!", ADDRESS(INDEX($AJ$2:$AJ$1001,MATCH(ROWS($AH$2:AH589),$AH$2:$AH$1001,0),0), INDEX($AO$1004:$BQ$1004,1,MATCH(COLUMNS($AO$1006:BB1006),$AO$1006:$BQ$1006,0)))),"Fix")))</f>
        <v>#N/A</v>
      </c>
      <c r="P589" s="5" t="e">
        <f ca="1">IF(OR(INDEX($AI$2:$AI$1001,MATCH(ROWS($AH$2:AH589),$AH$2:$AH$1001,0),1)&gt;=100000,INDEX($AO$1005:$BQ$1005,1,MATCH(COLUMNS($AO$1006:BC1006),$AO$1006:$BQ$1006,0))&gt;=100000), " ",IF(INDEX($AO$2:$BQ$1001,MATCH(ROWS($AH$2:AH589),$AH$2:$AH$1001,0),MATCH(COLUMNS($AO$1006:BC1006),$AO$1006:$BQ$1006,0)), HYPERLINK("#",""), HYPERLINK(CONCATENATE("#Metadata!", ADDRESS(INDEX($AJ$2:$AJ$1001,MATCH(ROWS($AH$2:AH589),$AH$2:$AH$1001,0),0), INDEX($AO$1004:$BQ$1004,1,MATCH(COLUMNS($AO$1006:BC1006),$AO$1006:$BQ$1006,0)))),"Fix")))</f>
        <v>#N/A</v>
      </c>
      <c r="Q589" s="5" t="e">
        <f ca="1">IF(OR(INDEX($AI$2:$AI$1001,MATCH(ROWS($AH$2:AH589),$AH$2:$AH$1001,0),1)&gt;=100000,INDEX($AO$1005:$BQ$1005,1,MATCH(COLUMNS($AO$1006:BD1006),$AO$1006:$BQ$1006,0))&gt;=100000), " ",IF(INDEX($AO$2:$BQ$1001,MATCH(ROWS($AH$2:AH589),$AH$2:$AH$1001,0),MATCH(COLUMNS($AO$1006:BD1006),$AO$1006:$BQ$1006,0)), HYPERLINK("#",""), HYPERLINK(CONCATENATE("#Metadata!", ADDRESS(INDEX($AJ$2:$AJ$1001,MATCH(ROWS($AH$2:AH589),$AH$2:$AH$1001,0),0), INDEX($AO$1004:$BQ$1004,1,MATCH(COLUMNS($AO$1006:BD1006),$AO$1006:$BQ$1006,0)))),"Fix")))</f>
        <v>#N/A</v>
      </c>
      <c r="R589" s="5" t="e">
        <f ca="1">IF(OR(INDEX($AI$2:$AI$1001,MATCH(ROWS($AH$2:AH589),$AH$2:$AH$1001,0),1)&gt;=100000,INDEX($AO$1005:$BQ$1005,1,MATCH(COLUMNS($AO$1006:BE1006),$AO$1006:$BQ$1006,0))&gt;=100000), " ",IF(INDEX($AO$2:$BQ$1001,MATCH(ROWS($AH$2:AH589),$AH$2:$AH$1001,0),MATCH(COLUMNS($AO$1006:BE1006),$AO$1006:$BQ$1006,0)), HYPERLINK("#",""), HYPERLINK(CONCATENATE("#Metadata!", ADDRESS(INDEX($AJ$2:$AJ$1001,MATCH(ROWS($AH$2:AH589),$AH$2:$AH$1001,0),0), INDEX($AO$1004:$BQ$1004,1,MATCH(COLUMNS($AO$1006:BE1006),$AO$1006:$BQ$1006,0)))),"Fix")))</f>
        <v>#N/A</v>
      </c>
      <c r="S589" s="5" t="e">
        <f ca="1">IF(OR(INDEX($AI$2:$AI$1001,MATCH(ROWS($AH$2:AH589),$AH$2:$AH$1001,0),1)&gt;=100000,INDEX($AO$1005:$BQ$1005,1,MATCH(COLUMNS($AO$1006:BF1006),$AO$1006:$BQ$1006,0))&gt;=100000), " ",IF(INDEX($AO$2:$BQ$1001,MATCH(ROWS($AH$2:AH589),$AH$2:$AH$1001,0),MATCH(COLUMNS($AO$1006:BF1006),$AO$1006:$BQ$1006,0)), HYPERLINK("#",""), HYPERLINK(CONCATENATE("#Metadata!", ADDRESS(INDEX($AJ$2:$AJ$1001,MATCH(ROWS($AH$2:AH589),$AH$2:$AH$1001,0),0), INDEX($AO$1004:$BQ$1004,1,MATCH(COLUMNS($AO$1006:BF1006),$AO$1006:$BQ$1006,0)))),"Fix")))</f>
        <v>#N/A</v>
      </c>
      <c r="T589" s="5" t="e">
        <f ca="1">IF(OR(INDEX($AI$2:$AI$1001,MATCH(ROWS($AH$2:AH589),$AH$2:$AH$1001,0),1)&gt;=100000,INDEX($AO$1005:$BQ$1005,1,MATCH(COLUMNS($AO$1006:BG1006),$AO$1006:$BQ$1006,0))&gt;=100000), " ",IF(INDEX($AO$2:$BQ$1001,MATCH(ROWS($AH$2:AH589),$AH$2:$AH$1001,0),MATCH(COLUMNS($AO$1006:BG1006),$AO$1006:$BQ$1006,0)), HYPERLINK("#",""), HYPERLINK(CONCATENATE("#Metadata!", ADDRESS(INDEX($AJ$2:$AJ$1001,MATCH(ROWS($AH$2:AH589),$AH$2:$AH$1001,0),0), INDEX($AO$1004:$BQ$1004,1,MATCH(COLUMNS($AO$1006:BG1006),$AO$1006:$BQ$1006,0)))),"Fix")))</f>
        <v>#N/A</v>
      </c>
      <c r="U589" s="5" t="e">
        <f ca="1">IF(OR(INDEX($AI$2:$AI$1001,MATCH(ROWS($AH$2:AH589),$AH$2:$AH$1001,0),1)&gt;=100000,INDEX($AO$1005:$BQ$1005,1,MATCH(COLUMNS($AO$1006:BH1006),$AO$1006:$BQ$1006,0))&gt;=100000), " ",IF(INDEX($AO$2:$BQ$1001,MATCH(ROWS($AH$2:AH589),$AH$2:$AH$1001,0),MATCH(COLUMNS($AO$1006:BH1006),$AO$1006:$BQ$1006,0)), HYPERLINK("#",""), HYPERLINK(CONCATENATE("#Metadata!", ADDRESS(INDEX($AJ$2:$AJ$1001,MATCH(ROWS($AH$2:AH589),$AH$2:$AH$1001,0),0), INDEX($AO$1004:$BQ$1004,1,MATCH(COLUMNS($AO$1006:BH1006),$AO$1006:$BQ$1006,0)))),"Fix")))</f>
        <v>#N/A</v>
      </c>
      <c r="V589" s="5" t="e">
        <f ca="1">IF(OR(INDEX($AI$2:$AI$1001,MATCH(ROWS($AH$2:AH589),$AH$2:$AH$1001,0),1)&gt;=100000,INDEX($AO$1005:$BQ$1005,1,MATCH(COLUMNS($AO$1006:BI1006),$AO$1006:$BQ$1006,0))&gt;=100000), " ",IF(INDEX($AO$2:$BQ$1001,MATCH(ROWS($AH$2:AH589),$AH$2:$AH$1001,0),MATCH(COLUMNS($AO$1006:BI1006),$AO$1006:$BQ$1006,0)), HYPERLINK("#",""), HYPERLINK(CONCATENATE("#Metadata!", ADDRESS(INDEX($AJ$2:$AJ$1001,MATCH(ROWS($AH$2:AH589),$AH$2:$AH$1001,0),0), INDEX($AO$1004:$BQ$1004,1,MATCH(COLUMNS($AO$1006:BI1006),$AO$1006:$BQ$1006,0)))),"Fix")))</f>
        <v>#N/A</v>
      </c>
      <c r="W589" s="5" t="e">
        <f ca="1">IF(OR(INDEX($AI$2:$AI$1001,MATCH(ROWS($AH$2:AH589),$AH$2:$AH$1001,0),1)&gt;=100000,INDEX($AO$1005:$BQ$1005,1,MATCH(COLUMNS($AO$1006:BJ1006),$AO$1006:$BQ$1006,0))&gt;=100000), " ",IF(INDEX($AO$2:$BQ$1001,MATCH(ROWS($AH$2:AH589),$AH$2:$AH$1001,0),MATCH(COLUMNS($AO$1006:BJ1006),$AO$1006:$BQ$1006,0)), HYPERLINK("#",""), HYPERLINK(CONCATENATE("#Metadata!", ADDRESS(INDEX($AJ$2:$AJ$1001,MATCH(ROWS($AH$2:AH589),$AH$2:$AH$1001,0),0), INDEX($AO$1004:$BQ$1004,1,MATCH(COLUMNS($AO$1006:BJ1006),$AO$1006:$BQ$1006,0)))),"Fix")))</f>
        <v>#N/A</v>
      </c>
      <c r="X589" s="5" t="e">
        <f ca="1">IF(OR(INDEX($AI$2:$AI$1001,MATCH(ROWS($AH$2:AH589),$AH$2:$AH$1001,0),1)&gt;=100000,INDEX($AO$1005:$BQ$1005,1,MATCH(COLUMNS($AO$1006:BK1006),$AO$1006:$BQ$1006,0))&gt;=100000), " ",IF(INDEX($AO$2:$BQ$1001,MATCH(ROWS($AH$2:AH589),$AH$2:$AH$1001,0),MATCH(COLUMNS($AO$1006:BK1006),$AO$1006:$BQ$1006,0)), HYPERLINK("#",""), HYPERLINK(CONCATENATE("#Metadata!", ADDRESS(INDEX($AJ$2:$AJ$1001,MATCH(ROWS($AH$2:AH589),$AH$2:$AH$1001,0),0), INDEX($AO$1004:$BQ$1004,1,MATCH(COLUMNS($AO$1006:BK1006),$AO$1006:$BQ$1006,0)))),"Fix")))</f>
        <v>#N/A</v>
      </c>
      <c r="Y589" s="5" t="e">
        <f ca="1">IF(OR(INDEX($AI$2:$AI$1001,MATCH(ROWS($AH$2:AH589),$AH$2:$AH$1001,0),1)&gt;=100000,INDEX($AO$1005:$BQ$1005,1,MATCH(COLUMNS($AO$1006:BL1006),$AO$1006:$BQ$1006,0))&gt;=100000), " ",IF(INDEX($AO$2:$BQ$1001,MATCH(ROWS($AH$2:AH589),$AH$2:$AH$1001,0),MATCH(COLUMNS($AO$1006:BL1006),$AO$1006:$BQ$1006,0)), HYPERLINK("#",""), HYPERLINK(CONCATENATE("#Metadata!", ADDRESS(INDEX($AJ$2:$AJ$1001,MATCH(ROWS($AH$2:AH589),$AH$2:$AH$1001,0),0), INDEX($AO$1004:$BQ$1004,1,MATCH(COLUMNS($AO$1006:BL1006),$AO$1006:$BQ$1006,0)))),"Fix")))</f>
        <v>#N/A</v>
      </c>
      <c r="Z589" s="5" t="e">
        <f ca="1">IF(OR(INDEX($AI$2:$AI$1001,MATCH(ROWS($AH$2:AH589),$AH$2:$AH$1001,0),1)&gt;=100000,INDEX($AO$1005:$BQ$1005,1,MATCH(COLUMNS($AO$1006:BM1006),$AO$1006:$BQ$1006,0))&gt;=100000), " ",IF(INDEX($AO$2:$BQ$1001,MATCH(ROWS($AH$2:AH589),$AH$2:$AH$1001,0),MATCH(COLUMNS($AO$1006:BM1006),$AO$1006:$BQ$1006,0)), HYPERLINK("#",""), HYPERLINK(CONCATENATE("#Metadata!", ADDRESS(INDEX($AJ$2:$AJ$1001,MATCH(ROWS($AH$2:AH589),$AH$2:$AH$1001,0),0), INDEX($AO$1004:$BQ$1004,1,MATCH(COLUMNS($AO$1006:BM1006),$AO$1006:$BQ$1006,0)))),"Fix")))</f>
        <v>#N/A</v>
      </c>
      <c r="AA589" s="5" t="e">
        <f ca="1">IF(OR(INDEX($AI$2:$AI$1001,MATCH(ROWS($AH$2:AH589),$AH$2:$AH$1001,0),1)&gt;=100000,INDEX($AO$1005:$BQ$1005,1,MATCH(COLUMNS($AO$1006:BN1006),$AO$1006:$BQ$1006,0))&gt;=100000), " ",IF(INDEX($AO$2:$BQ$1001,MATCH(ROWS($AH$2:AH589),$AH$2:$AH$1001,0),MATCH(COLUMNS($AO$1006:BN1006),$AO$1006:$BQ$1006,0)), HYPERLINK("#",""), HYPERLINK(CONCATENATE("#Metadata!", ADDRESS(INDEX($AJ$2:$AJ$1001,MATCH(ROWS($AH$2:AH589),$AH$2:$AH$1001,0),0), INDEX($AO$1004:$BQ$1004,1,MATCH(COLUMNS($AO$1006:BN1006),$AO$1006:$BQ$1006,0)))),"Fix")))</f>
        <v>#N/A</v>
      </c>
      <c r="AB589" s="5" t="e">
        <f ca="1">IF(OR(INDEX($AI$2:$AI$1001,MATCH(ROWS($AH$2:AH589),$AH$2:$AH$1001,0),1)&gt;=100000,INDEX($AO$1005:$BQ$1005,1,MATCH(COLUMNS($AO$1006:BO1006),$AO$1006:$BQ$1006,0))&gt;=100000), " ",IF(INDEX($AO$2:$BQ$1001,MATCH(ROWS($AH$2:AH589),$AH$2:$AH$1001,0),MATCH(COLUMNS($AO$1006:BO1006),$AO$1006:$BQ$1006,0)), HYPERLINK("#",""), HYPERLINK(CONCATENATE("#Metadata!", ADDRESS(INDEX($AJ$2:$AJ$1001,MATCH(ROWS($AH$2:AH589),$AH$2:$AH$1001,0),0), INDEX($AO$1004:$BQ$1004,1,MATCH(COLUMNS($AO$1006:BO1006),$AO$1006:$BQ$1006,0)))),"Fix")))</f>
        <v>#N/A</v>
      </c>
      <c r="AC589" s="5" t="e">
        <f ca="1">IF(OR(INDEX($AI$2:$AI$1001,MATCH(ROWS($AH$2:AH589),$AH$2:$AH$1001,0),1)&gt;=100000,INDEX($AO$1005:$BQ$1005,1,MATCH(COLUMNS($AO$1006:BP1006),$AO$1006:$BQ$1006,0))&gt;=100000), " ",IF(INDEX($AO$2:$BQ$1001,MATCH(ROWS($AH$2:AH589),$AH$2:$AH$1001,0),MATCH(COLUMNS($AO$1006:BP1006),$AO$1006:$BQ$1006,0)), HYPERLINK("#",""), HYPERLINK(CONCATENATE("#Metadata!", ADDRESS(INDEX($AJ$2:$AJ$1001,MATCH(ROWS($AH$2:AH589),$AH$2:$AH$1001,0),0), INDEX($AO$1004:$BQ$1004,1,MATCH(COLUMNS($AO$1006:BP1006),$AO$1006:$BQ$1006,0)))),"Fix")))</f>
        <v>#N/A</v>
      </c>
      <c r="AD589" s="5" t="e">
        <f ca="1">IF(OR(INDEX($AI$2:$AI$1001,MATCH(ROWS($AH$2:AH589),$AH$2:$AH$1001,0),1)&gt;=100000,INDEX($AO$1005:$BQ$1005,1,MATCH(COLUMNS($AO$1006:BQ1006),$AO$1006:$BQ$1006,0))&gt;=100000), " ",IF(INDEX($AO$2:$BQ$1001,MATCH(ROWS($AH$2:AH589),$AH$2:$AH$1001,0),MATCH(COLUMNS($AO$1006:BQ1006),$AO$1006:$BQ$1006,0)), HYPERLINK("#",""), HYPERLINK(CONCATENATE("#Metadata!", ADDRESS(INDEX($AJ$2:$AJ$1001,MATCH(ROWS($AH$2:AH589),$AH$2:$AH$1001,0),0), INDEX($AO$1004:$BQ$1004,1,MATCH(COLUMNS($AO$1006:BQ1006),$AO$1006:$BQ$1006,0)))),"Fix")))</f>
        <v>#REF!</v>
      </c>
      <c r="AH589">
        <f ca="1"/>
        <v>586</v>
      </c>
      <c r="AI589">
        <v>100589</v>
      </c>
      <c r="AJ589">
        <v>589</v>
      </c>
      <c r="AK589" t="b">
        <f t="shared" si="9"/>
        <v>1</v>
      </c>
      <c r="AL589" t="b">
        <f>COUNTBLANK(Metadata!B589:AD589)=COLUMNS(Metadata!B589:AD589)</f>
        <v>1</v>
      </c>
      <c r="AM589" t="str">
        <v/>
      </c>
      <c r="AO589" t="b">
        <f ca="1">AND(IF(Metadata!B589="",FALSE,TRUE),COUNTIF(Metadata!B:B, Metadata!B589) = 1,NOT(ISERROR(SUMPRODUCT(SEARCH(MID(Metadata!B589,ROW(INDIRECT("1:"&amp;LEN(Metadata!B589))), 1),"0123456789abcdefghijklmnopqrstuvwxyzABCDEFGHIJKLMNOPQRSTUVWXYZ.")))))</f>
        <v>0</v>
      </c>
      <c r="AP589" t="b">
        <f>IF(Metadata!C589="",FALSE,TRUE)</f>
        <v>0</v>
      </c>
      <c r="AQ589" t="b">
        <f>IF(Metadata!D589="",FALSE,TRUE)</f>
        <v>0</v>
      </c>
      <c r="AR589" t="b">
        <f ca="1">OR(AND(IF(Metadata!E589="",FALSE,TRUE),OR(EXACT(Metadata!E589,"not collected"),EXACT(Metadata!E589,"not provided"),EXACT(Metadata!E589,"restricted access"))),AND(IF(Metadata!E589="",FALSE,TRUE),AND(AND(IFERROR(INT(LEFT(Metadata!E589,4))&gt;1900,FALSE),IFERROR(INT(LEFT(Metadata!E589,4))&lt;=YEAR(NOW()),FALSE)), OR(MID(Metadata!E589,5,1)="", AND(AND(MID(Metadata!E589,5,1)="-",IFERROR(INT(MID(Metadata!E589,6,1))&gt;=0,FALSE),IFERROR(INT(MID(Metadata!E589,6,1))&lt;=1,FALSE),NOT(MID(Metadata!E589,7,1)=""),IFERROR(INT(MID(Metadata!E589,6,2))&gt;=1,FALSE),IFERROR(INT(MID(Metadata!E589,6,2))&lt;=12,FALSE)), OR(MID(Metadata!E589,8,1)="", AND(AND(MID(Metadata!E589,8,1)="-",IFERROR(INT(MID(Metadata!E589,9,1))&gt;=0,FALSE),IFERROR(INT(MID(Metadata!E589,9,1))&lt;=3,FALSE),NOT(MID(Metadata!E589,10,1)=""),IFERROR(INT(MID(Metadata!E589,9,2))&gt;=1,FALSE),IFERROR(INT(MID(Metadata!E589,9,2))&lt;=31,FALSE)), OR(MID(Metadata!E589,11,1)="", AND(AND(MID(Metadata!E589,11,1)=" ",IFERROR(INT(MID(Metadata!E589,12,1))&gt;=0,FALSE),IFERROR(INT(MID(Metadata!E589,12,1))&lt;=2,FALSE),NOT(MID(Metadata!E589,13,1)=""),IFERROR(INT(MID(Metadata!E589,12,2))&gt;=0,FALSE),IFERROR(INT(MID(Metadata!E589,12,2))&lt;=23,FALSE)), OR(MID(Metadata!E589,14,1)="", AND(AND(MID(Metadata!E589,14,1)=":",IFERROR(INT(MID(Metadata!E589,15,1))&gt;=0,FALSE),IFERROR(INT(MID(Metadata!E589,15,1))&lt;=5,FALSE),NOT(MID(Metadata!E589,16,1)=""),IFERROR(INT(MID(Metadata!E589,15,2))&gt;=0,FALSE),IFERROR(INT(MID(Metadata!E589,15,2))&lt;=59,FALSE)), OR(MID(Metadata!E589,17,1)="", AND(AND(MID(Metadata!E589,17,1)=":",IFERROR(INT(MID(Metadata!E589,18,1))&gt;=0,FALSE),IFERROR(INT(MID(Metadata!E589,18,1))&lt;=5,FALSE),NOT(MID(Metadata!E589,19,1)=""),IFERROR(INT(MID(Metadata!E589,18,2))&gt;=0,FALSE),IFERROR(INT(MID(Metadata!E589,18,2))&lt;=59,FALSE)), LEN(Metadata!E589)&lt;=19)))))))))))))</f>
        <v>0</v>
      </c>
      <c r="AS589" t="b">
        <f>IF(Metadata!F589="",FALSE,TRUE)</f>
        <v>0</v>
      </c>
      <c r="AT589" t="b">
        <f>OR(AND(IF(Metadata!G589="",FALSE,TRUE),OR(EXACT(Metadata!G589,"not collected"),EXACT(Metadata!G589,"not provided"))),AND(IF(Metadata!G589="",FALSE,TRUE),OR(EXACT(Metadata!G589,"TRUE"),EXACT(Metadata!G589,"FALSE"))))</f>
        <v>0</v>
      </c>
      <c r="AU589" t="b">
        <f>OR(AND(IF(Metadata!H589="",FALSE,TRUE),OR(EXACT(Metadata!H589,"not collected"),EXACT(Metadata!H589,"not provided"),EXACT(Metadata!H589,"restricted access"))),AND(IF(Metadata!H589="",FALSE,ISNUMBER(VALUE(Metadata!H589))),Metadata!H589&gt;=-413))</f>
        <v>0</v>
      </c>
      <c r="AV589" t="b">
        <f>AND(IF(Metadata!I589="",FALSE,TRUE),EXACT(Metadata!I589,"meters"))</f>
        <v>0</v>
      </c>
      <c r="AW589" t="b">
        <f>AND(IF(Metadata!J589="",FALSE,TRUE),EXACT(Metadata!J589,"free-living"))</f>
        <v>0</v>
      </c>
      <c r="AX589" t="b">
        <f>AND(IF(Metadata!K589="",FALSE,TRUE),OR(EXACT(Metadata!K589,"saline"),EXACT(Metadata!K589,"non-saline")))</f>
        <v>0</v>
      </c>
      <c r="AY589" t="b">
        <f>AND(IF(Metadata!L589="",FALSE,TRUE),OR(EXACT(Metadata!L589,"sub-surface (non-saline)"),EXACT(Metadata!L589,"surface (non-saline)"),EXACT(Metadata!L589,"water (non-saline)"),EXACT(Metadata!L589,"soil (non-saline)"),EXACT(Metadata!L589,"aerosol (non-saline)"),EXACT(Metadata!L589,"sediment (non-saline)"),EXACT(Metadata!L589,"surface (saline)"),EXACT(Metadata!L589,"water (saline)"),EXACT(Metadata!L589,"hypersaline (saline)"),EXACT(Metadata!L589,"aerosol (saline)"),EXACT(Metadata!L589,"sediment (saline)")))</f>
        <v>0</v>
      </c>
      <c r="AZ589" t="b">
        <f>IF(Metadata!M589="",FALSE,TRUE)</f>
        <v>0</v>
      </c>
      <c r="BA589" t="b">
        <f>IF(Metadata!N589="",FALSE,TRUE)</f>
        <v>0</v>
      </c>
      <c r="BB589" t="b">
        <f>IF(Metadata!O589="",FALSE,TRUE)</f>
        <v>0</v>
      </c>
      <c r="BC589" t="b">
        <f>AND(IF(Metadata!P589="",FALSE,TRUE),OR(EXACT(Metadata!P589,"air"),EXACT(Metadata!P589,"microbial mat/biofilm"),EXACT(Metadata!P589,"misc environment"),EXACT(Metadata!P589,"sediment"),EXACT(Metadata!P589,"soil"),EXACT(Metadata!P589,"wastewater/sludge"),EXACT(Metadata!P589,"water")))</f>
        <v>0</v>
      </c>
      <c r="BD589" t="b">
        <f>IF(Metadata!Q589="",FALSE,TRUE)</f>
        <v>0</v>
      </c>
      <c r="BE589" t="b">
        <f>IF(Metadata!R589="",FALSE,TRUE)</f>
        <v>0</v>
      </c>
      <c r="BF589" t="b">
        <f>OR(AND(IF(Metadata!S589="",FALSE,TRUE),OR(EXACT(Metadata!S589,"not collected"),EXACT(Metadata!S589,"not provided"),EXACT(Metadata!S589,"restricted access"))),AND(IF(Metadata!S589="",FALSE,ISNUMBER(VALUE(Metadata!S589))),Metadata!S589&gt;=-90,Metadata!S589&lt;=90))</f>
        <v>0</v>
      </c>
      <c r="BG589" t="b">
        <f>AND(IF(Metadata!T589="",FALSE,TRUE),EXACT(Metadata!T589,"Decimal degrees"))</f>
        <v>0</v>
      </c>
      <c r="BH589" t="b">
        <f>OR(AND(IF(Metadata!U589="",FALSE,TRUE),OR(EXACT(Metadata!U589,"not applicable"),EXACT(Metadata!U589,"not collected"))),IF(Metadata!U589="",FALSE,TRUE))</f>
        <v>0</v>
      </c>
      <c r="BI589" t="b">
        <f>OR(AND(IF(Metadata!V589="",FALSE,TRUE),OR(EXACT(Metadata!V589,"not collected"),EXACT(Metadata!V589,"not provided"),EXACT(Metadata!V589,"restricted access"))),AND(IF(Metadata!V589="",FALSE,ISNUMBER(VALUE(Metadata!V589))),Metadata!V589&gt;=-180,Metadata!V589&lt;=180))</f>
        <v>0</v>
      </c>
      <c r="BJ589" t="b">
        <f>AND(IF(Metadata!W589="",FALSE,TRUE),EXACT(Metadata!W589,"Decimal degrees"))</f>
        <v>0</v>
      </c>
      <c r="BK589" t="b">
        <f>IF(Metadata!X589="",FALSE,TRUE)</f>
        <v>0</v>
      </c>
      <c r="BL589" t="b">
        <f>OR(AND(IF(Metadata!Y589="",FALSE,TRUE),OR(EXACT(Metadata!Y589,"not collected"),EXACT(Metadata!Y589,"not provided"),EXACT(Metadata!Y589,"restricted access"))),AND(IF(Metadata!Y589="",FALSE,TRUE),OR(EXACT(Metadata!Y589,"TRUE"),EXACT(Metadata!Y589,"FALSE"))))</f>
        <v>0</v>
      </c>
      <c r="BM589" t="b">
        <f>OR(AND(IF(Metadata!Z589="",FALSE,TRUE),EXACT(Metadata!Z589,"not applicable")),AND(IF(Metadata!Z589="",FALSE,TRUE),OR(EXACT(Metadata!Z589,"beer"),EXACT(Metadata!Z589,"cheese"),EXACT(Metadata!Z589,"fresh water"),EXACT(Metadata!Z589,"marine sediment"),EXACT(Metadata!Z589,"sea water"),EXACT(Metadata!Z589,"sediment"),EXACT(Metadata!Z589,"soil"),EXACT(Metadata!Z589,"waste water"))))</f>
        <v>0</v>
      </c>
      <c r="BN589" t="b">
        <f>AND(IF(Metadata!AA589="",FALSE,TRUE),EXACT(Metadata!AA589,"metagenome"))</f>
        <v>0</v>
      </c>
      <c r="BO589" t="b">
        <f>AND(IF(Metadata!AB589="",FALSE,TRUE),EXACT(Metadata!AB589,"256318"))</f>
        <v>0</v>
      </c>
      <c r="BP589" t="b">
        <f>IF(Metadata!AC589="",FALSE,TRUE)</f>
        <v>0</v>
      </c>
      <c r="BQ589" t="b">
        <f>IF(Metadata!AD589="",FALSE,TRUE)</f>
        <v>0</v>
      </c>
    </row>
    <row r="590" spans="1:69" x14ac:dyDescent="0.2">
      <c r="A590" s="4" t="e">
        <f ca="1">IF(B590=" "," ",HYPERLINK(CONCATENATE("#metadata!",ADDRESS(INDEX($AJ$2:$AJ$1001,MATCH(ROWS($AH$2:AH590),$AH$2:$AH$1001,0),0),2)),INDEX($AM$2:$AM$1001,MATCH(ROWS($AH$2:AH590),$AH$2:$AH$1001,0),0)))</f>
        <v>#N/A</v>
      </c>
      <c r="B590" s="5" t="e">
        <f ca="1">IF(OR(INDEX($AI$2:$AI$1001,MATCH(ROWS($AH$2:AH590),$AH$2:$AH$1001,0),1)&gt;=100000,INDEX($AO$1005:$BQ$1005,1,MATCH(COLUMNS($AO$1006:AO1006),$AO$1006:$BQ$1006,0))&gt;=100000), " ",IF(INDEX($AO$2:$BQ$1001,MATCH(ROWS($AH$2:AH590),$AH$2:$AH$1001,0),MATCH(COLUMNS($AO$1006:AO1006),$AO$1006:$BQ$1006,0)), HYPERLINK("#",""), HYPERLINK(CONCATENATE("#Metadata!", ADDRESS(INDEX($AJ$2:$AJ$1001,MATCH(ROWS($AH$2:AH590),$AH$2:$AH$1001,0),0), INDEX($AO$1004:$BQ$1004,1,MATCH(COLUMNS($AO$1006:AO1006),$AO$1006:$BQ$1006,0)))),"Fix")))</f>
        <v>#N/A</v>
      </c>
      <c r="C590" s="5" t="e">
        <f ca="1">IF(OR(INDEX($AI$2:$AI$1001,MATCH(ROWS($AH$2:AH590),$AH$2:$AH$1001,0),1)&gt;=100000,INDEX($AO$1005:$BQ$1005,1,MATCH(COLUMNS($AO$1006:AP1006),$AO$1006:$BQ$1006,0))&gt;=100000), " ",IF(INDEX($AO$2:$BQ$1001,MATCH(ROWS($AH$2:AH590),$AH$2:$AH$1001,0),MATCH(COLUMNS($AO$1006:AP1006),$AO$1006:$BQ$1006,0)), HYPERLINK("#",""), HYPERLINK(CONCATENATE("#Metadata!", ADDRESS(INDEX($AJ$2:$AJ$1001,MATCH(ROWS($AH$2:AH590),$AH$2:$AH$1001,0),0), INDEX($AO$1004:$BQ$1004,1,MATCH(COLUMNS($AO$1006:AP1006),$AO$1006:$BQ$1006,0)))),"Fix")))</f>
        <v>#N/A</v>
      </c>
      <c r="D590" s="5" t="e">
        <f ca="1">IF(OR(INDEX($AI$2:$AI$1001,MATCH(ROWS($AH$2:AH590),$AH$2:$AH$1001,0),1)&gt;=100000,INDEX($AO$1005:$BQ$1005,1,MATCH(COLUMNS($AO$1006:AQ1006),$AO$1006:$BQ$1006,0))&gt;=100000), " ",IF(INDEX($AO$2:$BQ$1001,MATCH(ROWS($AH$2:AH590),$AH$2:$AH$1001,0),MATCH(COLUMNS($AO$1006:AQ1006),$AO$1006:$BQ$1006,0)), HYPERLINK("#",""), HYPERLINK(CONCATENATE("#Metadata!", ADDRESS(INDEX($AJ$2:$AJ$1001,MATCH(ROWS($AH$2:AH590),$AH$2:$AH$1001,0),0), INDEX($AO$1004:$BQ$1004,1,MATCH(COLUMNS($AO$1006:AQ1006),$AO$1006:$BQ$1006,0)))),"Fix")))</f>
        <v>#N/A</v>
      </c>
      <c r="E590" s="5" t="e">
        <f ca="1">IF(OR(INDEX($AI$2:$AI$1001,MATCH(ROWS($AH$2:AH590),$AH$2:$AH$1001,0),1)&gt;=100000,INDEX($AO$1005:$BQ$1005,1,MATCH(COLUMNS($AO$1006:AR1006),$AO$1006:$BQ$1006,0))&gt;=100000), " ",IF(INDEX($AO$2:$BQ$1001,MATCH(ROWS($AH$2:AH590),$AH$2:$AH$1001,0),MATCH(COLUMNS($AO$1006:AR1006),$AO$1006:$BQ$1006,0)), HYPERLINK("#",""), HYPERLINK(CONCATENATE("#Metadata!", ADDRESS(INDEX($AJ$2:$AJ$1001,MATCH(ROWS($AH$2:AH590),$AH$2:$AH$1001,0),0), INDEX($AO$1004:$BQ$1004,1,MATCH(COLUMNS($AO$1006:AR1006),$AO$1006:$BQ$1006,0)))),"Fix")))</f>
        <v>#N/A</v>
      </c>
      <c r="F590" s="5" t="e">
        <f ca="1">IF(OR(INDEX($AI$2:$AI$1001,MATCH(ROWS($AH$2:AH590),$AH$2:$AH$1001,0),1)&gt;=100000,INDEX($AO$1005:$BQ$1005,1,MATCH(COLUMNS($AO$1006:AS1006),$AO$1006:$BQ$1006,0))&gt;=100000), " ",IF(INDEX($AO$2:$BQ$1001,MATCH(ROWS($AH$2:AH590),$AH$2:$AH$1001,0),MATCH(COLUMNS($AO$1006:AS1006),$AO$1006:$BQ$1006,0)), HYPERLINK("#",""), HYPERLINK(CONCATENATE("#Metadata!", ADDRESS(INDEX($AJ$2:$AJ$1001,MATCH(ROWS($AH$2:AH590),$AH$2:$AH$1001,0),0), INDEX($AO$1004:$BQ$1004,1,MATCH(COLUMNS($AO$1006:AS1006),$AO$1006:$BQ$1006,0)))),"Fix")))</f>
        <v>#N/A</v>
      </c>
      <c r="G590" s="5" t="e">
        <f ca="1">IF(OR(INDEX($AI$2:$AI$1001,MATCH(ROWS($AH$2:AH590),$AH$2:$AH$1001,0),1)&gt;=100000,INDEX($AO$1005:$BQ$1005,1,MATCH(COLUMNS($AO$1006:AT1006),$AO$1006:$BQ$1006,0))&gt;=100000), " ",IF(INDEX($AO$2:$BQ$1001,MATCH(ROWS($AH$2:AH590),$AH$2:$AH$1001,0),MATCH(COLUMNS($AO$1006:AT1006),$AO$1006:$BQ$1006,0)), HYPERLINK("#",""), HYPERLINK(CONCATENATE("#Metadata!", ADDRESS(INDEX($AJ$2:$AJ$1001,MATCH(ROWS($AH$2:AH590),$AH$2:$AH$1001,0),0), INDEX($AO$1004:$BQ$1004,1,MATCH(COLUMNS($AO$1006:AT1006),$AO$1006:$BQ$1006,0)))),"Fix")))</f>
        <v>#N/A</v>
      </c>
      <c r="H590" s="5" t="e">
        <f ca="1">IF(OR(INDEX($AI$2:$AI$1001,MATCH(ROWS($AH$2:AH590),$AH$2:$AH$1001,0),1)&gt;=100000,INDEX($AO$1005:$BQ$1005,1,MATCH(COLUMNS($AO$1006:AU1006),$AO$1006:$BQ$1006,0))&gt;=100000), " ",IF(INDEX($AO$2:$BQ$1001,MATCH(ROWS($AH$2:AH590),$AH$2:$AH$1001,0),MATCH(COLUMNS($AO$1006:AU1006),$AO$1006:$BQ$1006,0)), HYPERLINK("#",""), HYPERLINK(CONCATENATE("#Metadata!", ADDRESS(INDEX($AJ$2:$AJ$1001,MATCH(ROWS($AH$2:AH590),$AH$2:$AH$1001,0),0), INDEX($AO$1004:$BQ$1004,1,MATCH(COLUMNS($AO$1006:AU1006),$AO$1006:$BQ$1006,0)))),"Fix")))</f>
        <v>#N/A</v>
      </c>
      <c r="I590" s="5" t="e">
        <f ca="1">IF(OR(INDEX($AI$2:$AI$1001,MATCH(ROWS($AH$2:AH590),$AH$2:$AH$1001,0),1)&gt;=100000,INDEX($AO$1005:$BQ$1005,1,MATCH(COLUMNS($AO$1006:AV1006),$AO$1006:$BQ$1006,0))&gt;=100000), " ",IF(INDEX($AO$2:$BQ$1001,MATCH(ROWS($AH$2:AH590),$AH$2:$AH$1001,0),MATCH(COLUMNS($AO$1006:AV1006),$AO$1006:$BQ$1006,0)), HYPERLINK("#",""), HYPERLINK(CONCATENATE("#Metadata!", ADDRESS(INDEX($AJ$2:$AJ$1001,MATCH(ROWS($AH$2:AH590),$AH$2:$AH$1001,0),0), INDEX($AO$1004:$BQ$1004,1,MATCH(COLUMNS($AO$1006:AV1006),$AO$1006:$BQ$1006,0)))),"Fix")))</f>
        <v>#N/A</v>
      </c>
      <c r="J590" s="5" t="e">
        <f ca="1">IF(OR(INDEX($AI$2:$AI$1001,MATCH(ROWS($AH$2:AH590),$AH$2:$AH$1001,0),1)&gt;=100000,INDEX($AO$1005:$BQ$1005,1,MATCH(COLUMNS($AO$1006:AW1006),$AO$1006:$BQ$1006,0))&gt;=100000), " ",IF(INDEX($AO$2:$BQ$1001,MATCH(ROWS($AH$2:AH590),$AH$2:$AH$1001,0),MATCH(COLUMNS($AO$1006:AW1006),$AO$1006:$BQ$1006,0)), HYPERLINK("#",""), HYPERLINK(CONCATENATE("#Metadata!", ADDRESS(INDEX($AJ$2:$AJ$1001,MATCH(ROWS($AH$2:AH590),$AH$2:$AH$1001,0),0), INDEX($AO$1004:$BQ$1004,1,MATCH(COLUMNS($AO$1006:AW1006),$AO$1006:$BQ$1006,0)))),"Fix")))</f>
        <v>#N/A</v>
      </c>
      <c r="K590" s="5" t="e">
        <f ca="1">IF(OR(INDEX($AI$2:$AI$1001,MATCH(ROWS($AH$2:AH590),$AH$2:$AH$1001,0),1)&gt;=100000,INDEX($AO$1005:$BQ$1005,1,MATCH(COLUMNS($AO$1006:AX1006),$AO$1006:$BQ$1006,0))&gt;=100000), " ",IF(INDEX($AO$2:$BQ$1001,MATCH(ROWS($AH$2:AH590),$AH$2:$AH$1001,0),MATCH(COLUMNS($AO$1006:AX1006),$AO$1006:$BQ$1006,0)), HYPERLINK("#",""), HYPERLINK(CONCATENATE("#Metadata!", ADDRESS(INDEX($AJ$2:$AJ$1001,MATCH(ROWS($AH$2:AH590),$AH$2:$AH$1001,0),0), INDEX($AO$1004:$BQ$1004,1,MATCH(COLUMNS($AO$1006:AX1006),$AO$1006:$BQ$1006,0)))),"Fix")))</f>
        <v>#N/A</v>
      </c>
      <c r="L590" s="5" t="e">
        <f ca="1">IF(OR(INDEX($AI$2:$AI$1001,MATCH(ROWS($AH$2:AH590),$AH$2:$AH$1001,0),1)&gt;=100000,INDEX($AO$1005:$BQ$1005,1,MATCH(COLUMNS($AO$1006:AY1006),$AO$1006:$BQ$1006,0))&gt;=100000), " ",IF(INDEX($AO$2:$BQ$1001,MATCH(ROWS($AH$2:AH590),$AH$2:$AH$1001,0),MATCH(COLUMNS($AO$1006:AY1006),$AO$1006:$BQ$1006,0)), HYPERLINK("#",""), HYPERLINK(CONCATENATE("#Metadata!", ADDRESS(INDEX($AJ$2:$AJ$1001,MATCH(ROWS($AH$2:AH590),$AH$2:$AH$1001,0),0), INDEX($AO$1004:$BQ$1004,1,MATCH(COLUMNS($AO$1006:AY1006),$AO$1006:$BQ$1006,0)))),"Fix")))</f>
        <v>#N/A</v>
      </c>
      <c r="M590" s="5" t="e">
        <f ca="1">IF(OR(INDEX($AI$2:$AI$1001,MATCH(ROWS($AH$2:AH590),$AH$2:$AH$1001,0),1)&gt;=100000,INDEX($AO$1005:$BQ$1005,1,MATCH(COLUMNS($AO$1006:AZ1006),$AO$1006:$BQ$1006,0))&gt;=100000), " ",IF(INDEX($AO$2:$BQ$1001,MATCH(ROWS($AH$2:AH590),$AH$2:$AH$1001,0),MATCH(COLUMNS($AO$1006:AZ1006),$AO$1006:$BQ$1006,0)), HYPERLINK("#",""), HYPERLINK(CONCATENATE("#Metadata!", ADDRESS(INDEX($AJ$2:$AJ$1001,MATCH(ROWS($AH$2:AH590),$AH$2:$AH$1001,0),0), INDEX($AO$1004:$BQ$1004,1,MATCH(COLUMNS($AO$1006:AZ1006),$AO$1006:$BQ$1006,0)))),"Fix")))</f>
        <v>#N/A</v>
      </c>
      <c r="N590" s="5" t="e">
        <f ca="1">IF(OR(INDEX($AI$2:$AI$1001,MATCH(ROWS($AH$2:AH590),$AH$2:$AH$1001,0),1)&gt;=100000,INDEX($AO$1005:$BQ$1005,1,MATCH(COLUMNS($AO$1006:BA1006),$AO$1006:$BQ$1006,0))&gt;=100000), " ",IF(INDEX($AO$2:$BQ$1001,MATCH(ROWS($AH$2:AH590),$AH$2:$AH$1001,0),MATCH(COLUMNS($AO$1006:BA1006),$AO$1006:$BQ$1006,0)), HYPERLINK("#",""), HYPERLINK(CONCATENATE("#Metadata!", ADDRESS(INDEX($AJ$2:$AJ$1001,MATCH(ROWS($AH$2:AH590),$AH$2:$AH$1001,0),0), INDEX($AO$1004:$BQ$1004,1,MATCH(COLUMNS($AO$1006:BA1006),$AO$1006:$BQ$1006,0)))),"Fix")))</f>
        <v>#N/A</v>
      </c>
      <c r="O590" s="5" t="e">
        <f ca="1">IF(OR(INDEX($AI$2:$AI$1001,MATCH(ROWS($AH$2:AH590),$AH$2:$AH$1001,0),1)&gt;=100000,INDEX($AO$1005:$BQ$1005,1,MATCH(COLUMNS($AO$1006:BB1006),$AO$1006:$BQ$1006,0))&gt;=100000), " ",IF(INDEX($AO$2:$BQ$1001,MATCH(ROWS($AH$2:AH590),$AH$2:$AH$1001,0),MATCH(COLUMNS($AO$1006:BB1006),$AO$1006:$BQ$1006,0)), HYPERLINK("#",""), HYPERLINK(CONCATENATE("#Metadata!", ADDRESS(INDEX($AJ$2:$AJ$1001,MATCH(ROWS($AH$2:AH590),$AH$2:$AH$1001,0),0), INDEX($AO$1004:$BQ$1004,1,MATCH(COLUMNS($AO$1006:BB1006),$AO$1006:$BQ$1006,0)))),"Fix")))</f>
        <v>#N/A</v>
      </c>
      <c r="P590" s="5" t="e">
        <f ca="1">IF(OR(INDEX($AI$2:$AI$1001,MATCH(ROWS($AH$2:AH590),$AH$2:$AH$1001,0),1)&gt;=100000,INDEX($AO$1005:$BQ$1005,1,MATCH(COLUMNS($AO$1006:BC1006),$AO$1006:$BQ$1006,0))&gt;=100000), " ",IF(INDEX($AO$2:$BQ$1001,MATCH(ROWS($AH$2:AH590),$AH$2:$AH$1001,0),MATCH(COLUMNS($AO$1006:BC1006),$AO$1006:$BQ$1006,0)), HYPERLINK("#",""), HYPERLINK(CONCATENATE("#Metadata!", ADDRESS(INDEX($AJ$2:$AJ$1001,MATCH(ROWS($AH$2:AH590),$AH$2:$AH$1001,0),0), INDEX($AO$1004:$BQ$1004,1,MATCH(COLUMNS($AO$1006:BC1006),$AO$1006:$BQ$1006,0)))),"Fix")))</f>
        <v>#N/A</v>
      </c>
      <c r="Q590" s="5" t="e">
        <f ca="1">IF(OR(INDEX($AI$2:$AI$1001,MATCH(ROWS($AH$2:AH590),$AH$2:$AH$1001,0),1)&gt;=100000,INDEX($AO$1005:$BQ$1005,1,MATCH(COLUMNS($AO$1006:BD1006),$AO$1006:$BQ$1006,0))&gt;=100000), " ",IF(INDEX($AO$2:$BQ$1001,MATCH(ROWS($AH$2:AH590),$AH$2:$AH$1001,0),MATCH(COLUMNS($AO$1006:BD1006),$AO$1006:$BQ$1006,0)), HYPERLINK("#",""), HYPERLINK(CONCATENATE("#Metadata!", ADDRESS(INDEX($AJ$2:$AJ$1001,MATCH(ROWS($AH$2:AH590),$AH$2:$AH$1001,0),0), INDEX($AO$1004:$BQ$1004,1,MATCH(COLUMNS($AO$1006:BD1006),$AO$1006:$BQ$1006,0)))),"Fix")))</f>
        <v>#N/A</v>
      </c>
      <c r="R590" s="5" t="e">
        <f ca="1">IF(OR(INDEX($AI$2:$AI$1001,MATCH(ROWS($AH$2:AH590),$AH$2:$AH$1001,0),1)&gt;=100000,INDEX($AO$1005:$BQ$1005,1,MATCH(COLUMNS($AO$1006:BE1006),$AO$1006:$BQ$1006,0))&gt;=100000), " ",IF(INDEX($AO$2:$BQ$1001,MATCH(ROWS($AH$2:AH590),$AH$2:$AH$1001,0),MATCH(COLUMNS($AO$1006:BE1006),$AO$1006:$BQ$1006,0)), HYPERLINK("#",""), HYPERLINK(CONCATENATE("#Metadata!", ADDRESS(INDEX($AJ$2:$AJ$1001,MATCH(ROWS($AH$2:AH590),$AH$2:$AH$1001,0),0), INDEX($AO$1004:$BQ$1004,1,MATCH(COLUMNS($AO$1006:BE1006),$AO$1006:$BQ$1006,0)))),"Fix")))</f>
        <v>#N/A</v>
      </c>
      <c r="S590" s="5" t="e">
        <f ca="1">IF(OR(INDEX($AI$2:$AI$1001,MATCH(ROWS($AH$2:AH590),$AH$2:$AH$1001,0),1)&gt;=100000,INDEX($AO$1005:$BQ$1005,1,MATCH(COLUMNS($AO$1006:BF1006),$AO$1006:$BQ$1006,0))&gt;=100000), " ",IF(INDEX($AO$2:$BQ$1001,MATCH(ROWS($AH$2:AH590),$AH$2:$AH$1001,0),MATCH(COLUMNS($AO$1006:BF1006),$AO$1006:$BQ$1006,0)), HYPERLINK("#",""), HYPERLINK(CONCATENATE("#Metadata!", ADDRESS(INDEX($AJ$2:$AJ$1001,MATCH(ROWS($AH$2:AH590),$AH$2:$AH$1001,0),0), INDEX($AO$1004:$BQ$1004,1,MATCH(COLUMNS($AO$1006:BF1006),$AO$1006:$BQ$1006,0)))),"Fix")))</f>
        <v>#N/A</v>
      </c>
      <c r="T590" s="5" t="e">
        <f ca="1">IF(OR(INDEX($AI$2:$AI$1001,MATCH(ROWS($AH$2:AH590),$AH$2:$AH$1001,0),1)&gt;=100000,INDEX($AO$1005:$BQ$1005,1,MATCH(COLUMNS($AO$1006:BG1006),$AO$1006:$BQ$1006,0))&gt;=100000), " ",IF(INDEX($AO$2:$BQ$1001,MATCH(ROWS($AH$2:AH590),$AH$2:$AH$1001,0),MATCH(COLUMNS($AO$1006:BG1006),$AO$1006:$BQ$1006,0)), HYPERLINK("#",""), HYPERLINK(CONCATENATE("#Metadata!", ADDRESS(INDEX($AJ$2:$AJ$1001,MATCH(ROWS($AH$2:AH590),$AH$2:$AH$1001,0),0), INDEX($AO$1004:$BQ$1004,1,MATCH(COLUMNS($AO$1006:BG1006),$AO$1006:$BQ$1006,0)))),"Fix")))</f>
        <v>#N/A</v>
      </c>
      <c r="U590" s="5" t="e">
        <f ca="1">IF(OR(INDEX($AI$2:$AI$1001,MATCH(ROWS($AH$2:AH590),$AH$2:$AH$1001,0),1)&gt;=100000,INDEX($AO$1005:$BQ$1005,1,MATCH(COLUMNS($AO$1006:BH1006),$AO$1006:$BQ$1006,0))&gt;=100000), " ",IF(INDEX($AO$2:$BQ$1001,MATCH(ROWS($AH$2:AH590),$AH$2:$AH$1001,0),MATCH(COLUMNS($AO$1006:BH1006),$AO$1006:$BQ$1006,0)), HYPERLINK("#",""), HYPERLINK(CONCATENATE("#Metadata!", ADDRESS(INDEX($AJ$2:$AJ$1001,MATCH(ROWS($AH$2:AH590),$AH$2:$AH$1001,0),0), INDEX($AO$1004:$BQ$1004,1,MATCH(COLUMNS($AO$1006:BH1006),$AO$1006:$BQ$1006,0)))),"Fix")))</f>
        <v>#N/A</v>
      </c>
      <c r="V590" s="5" t="e">
        <f ca="1">IF(OR(INDEX($AI$2:$AI$1001,MATCH(ROWS($AH$2:AH590),$AH$2:$AH$1001,0),1)&gt;=100000,INDEX($AO$1005:$BQ$1005,1,MATCH(COLUMNS($AO$1006:BI1006),$AO$1006:$BQ$1006,0))&gt;=100000), " ",IF(INDEX($AO$2:$BQ$1001,MATCH(ROWS($AH$2:AH590),$AH$2:$AH$1001,0),MATCH(COLUMNS($AO$1006:BI1006),$AO$1006:$BQ$1006,0)), HYPERLINK("#",""), HYPERLINK(CONCATENATE("#Metadata!", ADDRESS(INDEX($AJ$2:$AJ$1001,MATCH(ROWS($AH$2:AH590),$AH$2:$AH$1001,0),0), INDEX($AO$1004:$BQ$1004,1,MATCH(COLUMNS($AO$1006:BI1006),$AO$1006:$BQ$1006,0)))),"Fix")))</f>
        <v>#N/A</v>
      </c>
      <c r="W590" s="5" t="e">
        <f ca="1">IF(OR(INDEX($AI$2:$AI$1001,MATCH(ROWS($AH$2:AH590),$AH$2:$AH$1001,0),1)&gt;=100000,INDEX($AO$1005:$BQ$1005,1,MATCH(COLUMNS($AO$1006:BJ1006),$AO$1006:$BQ$1006,0))&gt;=100000), " ",IF(INDEX($AO$2:$BQ$1001,MATCH(ROWS($AH$2:AH590),$AH$2:$AH$1001,0),MATCH(COLUMNS($AO$1006:BJ1006),$AO$1006:$BQ$1006,0)), HYPERLINK("#",""), HYPERLINK(CONCATENATE("#Metadata!", ADDRESS(INDEX($AJ$2:$AJ$1001,MATCH(ROWS($AH$2:AH590),$AH$2:$AH$1001,0),0), INDEX($AO$1004:$BQ$1004,1,MATCH(COLUMNS($AO$1006:BJ1006),$AO$1006:$BQ$1006,0)))),"Fix")))</f>
        <v>#N/A</v>
      </c>
      <c r="X590" s="5" t="e">
        <f ca="1">IF(OR(INDEX($AI$2:$AI$1001,MATCH(ROWS($AH$2:AH590),$AH$2:$AH$1001,0),1)&gt;=100000,INDEX($AO$1005:$BQ$1005,1,MATCH(COLUMNS($AO$1006:BK1006),$AO$1006:$BQ$1006,0))&gt;=100000), " ",IF(INDEX($AO$2:$BQ$1001,MATCH(ROWS($AH$2:AH590),$AH$2:$AH$1001,0),MATCH(COLUMNS($AO$1006:BK1006),$AO$1006:$BQ$1006,0)), HYPERLINK("#",""), HYPERLINK(CONCATENATE("#Metadata!", ADDRESS(INDEX($AJ$2:$AJ$1001,MATCH(ROWS($AH$2:AH590),$AH$2:$AH$1001,0),0), INDEX($AO$1004:$BQ$1004,1,MATCH(COLUMNS($AO$1006:BK1006),$AO$1006:$BQ$1006,0)))),"Fix")))</f>
        <v>#N/A</v>
      </c>
      <c r="Y590" s="5" t="e">
        <f ca="1">IF(OR(INDEX($AI$2:$AI$1001,MATCH(ROWS($AH$2:AH590),$AH$2:$AH$1001,0),1)&gt;=100000,INDEX($AO$1005:$BQ$1005,1,MATCH(COLUMNS($AO$1006:BL1006),$AO$1006:$BQ$1006,0))&gt;=100000), " ",IF(INDEX($AO$2:$BQ$1001,MATCH(ROWS($AH$2:AH590),$AH$2:$AH$1001,0),MATCH(COLUMNS($AO$1006:BL1006),$AO$1006:$BQ$1006,0)), HYPERLINK("#",""), HYPERLINK(CONCATENATE("#Metadata!", ADDRESS(INDEX($AJ$2:$AJ$1001,MATCH(ROWS($AH$2:AH590),$AH$2:$AH$1001,0),0), INDEX($AO$1004:$BQ$1004,1,MATCH(COLUMNS($AO$1006:BL1006),$AO$1006:$BQ$1006,0)))),"Fix")))</f>
        <v>#N/A</v>
      </c>
      <c r="Z590" s="5" t="e">
        <f ca="1">IF(OR(INDEX($AI$2:$AI$1001,MATCH(ROWS($AH$2:AH590),$AH$2:$AH$1001,0),1)&gt;=100000,INDEX($AO$1005:$BQ$1005,1,MATCH(COLUMNS($AO$1006:BM1006),$AO$1006:$BQ$1006,0))&gt;=100000), " ",IF(INDEX($AO$2:$BQ$1001,MATCH(ROWS($AH$2:AH590),$AH$2:$AH$1001,0),MATCH(COLUMNS($AO$1006:BM1006),$AO$1006:$BQ$1006,0)), HYPERLINK("#",""), HYPERLINK(CONCATENATE("#Metadata!", ADDRESS(INDEX($AJ$2:$AJ$1001,MATCH(ROWS($AH$2:AH590),$AH$2:$AH$1001,0),0), INDEX($AO$1004:$BQ$1004,1,MATCH(COLUMNS($AO$1006:BM1006),$AO$1006:$BQ$1006,0)))),"Fix")))</f>
        <v>#N/A</v>
      </c>
      <c r="AA590" s="5" t="e">
        <f ca="1">IF(OR(INDEX($AI$2:$AI$1001,MATCH(ROWS($AH$2:AH590),$AH$2:$AH$1001,0),1)&gt;=100000,INDEX($AO$1005:$BQ$1005,1,MATCH(COLUMNS($AO$1006:BN1006),$AO$1006:$BQ$1006,0))&gt;=100000), " ",IF(INDEX($AO$2:$BQ$1001,MATCH(ROWS($AH$2:AH590),$AH$2:$AH$1001,0),MATCH(COLUMNS($AO$1006:BN1006),$AO$1006:$BQ$1006,0)), HYPERLINK("#",""), HYPERLINK(CONCATENATE("#Metadata!", ADDRESS(INDEX($AJ$2:$AJ$1001,MATCH(ROWS($AH$2:AH590),$AH$2:$AH$1001,0),0), INDEX($AO$1004:$BQ$1004,1,MATCH(COLUMNS($AO$1006:BN1006),$AO$1006:$BQ$1006,0)))),"Fix")))</f>
        <v>#N/A</v>
      </c>
      <c r="AB590" s="5" t="e">
        <f ca="1">IF(OR(INDEX($AI$2:$AI$1001,MATCH(ROWS($AH$2:AH590),$AH$2:$AH$1001,0),1)&gt;=100000,INDEX($AO$1005:$BQ$1005,1,MATCH(COLUMNS($AO$1006:BO1006),$AO$1006:$BQ$1006,0))&gt;=100000), " ",IF(INDEX($AO$2:$BQ$1001,MATCH(ROWS($AH$2:AH590),$AH$2:$AH$1001,0),MATCH(COLUMNS($AO$1006:BO1006),$AO$1006:$BQ$1006,0)), HYPERLINK("#",""), HYPERLINK(CONCATENATE("#Metadata!", ADDRESS(INDEX($AJ$2:$AJ$1001,MATCH(ROWS($AH$2:AH590),$AH$2:$AH$1001,0),0), INDEX($AO$1004:$BQ$1004,1,MATCH(COLUMNS($AO$1006:BO1006),$AO$1006:$BQ$1006,0)))),"Fix")))</f>
        <v>#N/A</v>
      </c>
      <c r="AC590" s="5" t="e">
        <f ca="1">IF(OR(INDEX($AI$2:$AI$1001,MATCH(ROWS($AH$2:AH590),$AH$2:$AH$1001,0),1)&gt;=100000,INDEX($AO$1005:$BQ$1005,1,MATCH(COLUMNS($AO$1006:BP1006),$AO$1006:$BQ$1006,0))&gt;=100000), " ",IF(INDEX($AO$2:$BQ$1001,MATCH(ROWS($AH$2:AH590),$AH$2:$AH$1001,0),MATCH(COLUMNS($AO$1006:BP1006),$AO$1006:$BQ$1006,0)), HYPERLINK("#",""), HYPERLINK(CONCATENATE("#Metadata!", ADDRESS(INDEX($AJ$2:$AJ$1001,MATCH(ROWS($AH$2:AH590),$AH$2:$AH$1001,0),0), INDEX($AO$1004:$BQ$1004,1,MATCH(COLUMNS($AO$1006:BP1006),$AO$1006:$BQ$1006,0)))),"Fix")))</f>
        <v>#N/A</v>
      </c>
      <c r="AD590" s="5" t="e">
        <f ca="1">IF(OR(INDEX($AI$2:$AI$1001,MATCH(ROWS($AH$2:AH590),$AH$2:$AH$1001,0),1)&gt;=100000,INDEX($AO$1005:$BQ$1005,1,MATCH(COLUMNS($AO$1006:BQ1006),$AO$1006:$BQ$1006,0))&gt;=100000), " ",IF(INDEX($AO$2:$BQ$1001,MATCH(ROWS($AH$2:AH590),$AH$2:$AH$1001,0),MATCH(COLUMNS($AO$1006:BQ1006),$AO$1006:$BQ$1006,0)), HYPERLINK("#",""), HYPERLINK(CONCATENATE("#Metadata!", ADDRESS(INDEX($AJ$2:$AJ$1001,MATCH(ROWS($AH$2:AH590),$AH$2:$AH$1001,0),0), INDEX($AO$1004:$BQ$1004,1,MATCH(COLUMNS($AO$1006:BQ1006),$AO$1006:$BQ$1006,0)))),"Fix")))</f>
        <v>#REF!</v>
      </c>
      <c r="AH590">
        <f ca="1"/>
        <v>587</v>
      </c>
      <c r="AI590">
        <v>100590</v>
      </c>
      <c r="AJ590">
        <v>590</v>
      </c>
      <c r="AK590" t="b">
        <f t="shared" si="9"/>
        <v>1</v>
      </c>
      <c r="AL590" t="b">
        <f>COUNTBLANK(Metadata!B590:AD590)=COLUMNS(Metadata!B590:AD590)</f>
        <v>1</v>
      </c>
      <c r="AM590" t="str">
        <v/>
      </c>
      <c r="AO590" t="b">
        <f ca="1">AND(IF(Metadata!B590="",FALSE,TRUE),COUNTIF(Metadata!B:B, Metadata!B590) = 1,NOT(ISERROR(SUMPRODUCT(SEARCH(MID(Metadata!B590,ROW(INDIRECT("1:"&amp;LEN(Metadata!B590))), 1),"0123456789abcdefghijklmnopqrstuvwxyzABCDEFGHIJKLMNOPQRSTUVWXYZ.")))))</f>
        <v>0</v>
      </c>
      <c r="AP590" t="b">
        <f>IF(Metadata!C590="",FALSE,TRUE)</f>
        <v>0</v>
      </c>
      <c r="AQ590" t="b">
        <f>IF(Metadata!D590="",FALSE,TRUE)</f>
        <v>0</v>
      </c>
      <c r="AR590" t="b">
        <f ca="1">OR(AND(IF(Metadata!E590="",FALSE,TRUE),OR(EXACT(Metadata!E590,"not collected"),EXACT(Metadata!E590,"not provided"),EXACT(Metadata!E590,"restricted access"))),AND(IF(Metadata!E590="",FALSE,TRUE),AND(AND(IFERROR(INT(LEFT(Metadata!E590,4))&gt;1900,FALSE),IFERROR(INT(LEFT(Metadata!E590,4))&lt;=YEAR(NOW()),FALSE)), OR(MID(Metadata!E590,5,1)="", AND(AND(MID(Metadata!E590,5,1)="-",IFERROR(INT(MID(Metadata!E590,6,1))&gt;=0,FALSE),IFERROR(INT(MID(Metadata!E590,6,1))&lt;=1,FALSE),NOT(MID(Metadata!E590,7,1)=""),IFERROR(INT(MID(Metadata!E590,6,2))&gt;=1,FALSE),IFERROR(INT(MID(Metadata!E590,6,2))&lt;=12,FALSE)), OR(MID(Metadata!E590,8,1)="", AND(AND(MID(Metadata!E590,8,1)="-",IFERROR(INT(MID(Metadata!E590,9,1))&gt;=0,FALSE),IFERROR(INT(MID(Metadata!E590,9,1))&lt;=3,FALSE),NOT(MID(Metadata!E590,10,1)=""),IFERROR(INT(MID(Metadata!E590,9,2))&gt;=1,FALSE),IFERROR(INT(MID(Metadata!E590,9,2))&lt;=31,FALSE)), OR(MID(Metadata!E590,11,1)="", AND(AND(MID(Metadata!E590,11,1)=" ",IFERROR(INT(MID(Metadata!E590,12,1))&gt;=0,FALSE),IFERROR(INT(MID(Metadata!E590,12,1))&lt;=2,FALSE),NOT(MID(Metadata!E590,13,1)=""),IFERROR(INT(MID(Metadata!E590,12,2))&gt;=0,FALSE),IFERROR(INT(MID(Metadata!E590,12,2))&lt;=23,FALSE)), OR(MID(Metadata!E590,14,1)="", AND(AND(MID(Metadata!E590,14,1)=":",IFERROR(INT(MID(Metadata!E590,15,1))&gt;=0,FALSE),IFERROR(INT(MID(Metadata!E590,15,1))&lt;=5,FALSE),NOT(MID(Metadata!E590,16,1)=""),IFERROR(INT(MID(Metadata!E590,15,2))&gt;=0,FALSE),IFERROR(INT(MID(Metadata!E590,15,2))&lt;=59,FALSE)), OR(MID(Metadata!E590,17,1)="", AND(AND(MID(Metadata!E590,17,1)=":",IFERROR(INT(MID(Metadata!E590,18,1))&gt;=0,FALSE),IFERROR(INT(MID(Metadata!E590,18,1))&lt;=5,FALSE),NOT(MID(Metadata!E590,19,1)=""),IFERROR(INT(MID(Metadata!E590,18,2))&gt;=0,FALSE),IFERROR(INT(MID(Metadata!E590,18,2))&lt;=59,FALSE)), LEN(Metadata!E590)&lt;=19)))))))))))))</f>
        <v>0</v>
      </c>
      <c r="AS590" t="b">
        <f>IF(Metadata!F590="",FALSE,TRUE)</f>
        <v>0</v>
      </c>
      <c r="AT590" t="b">
        <f>OR(AND(IF(Metadata!G590="",FALSE,TRUE),OR(EXACT(Metadata!G590,"not collected"),EXACT(Metadata!G590,"not provided"))),AND(IF(Metadata!G590="",FALSE,TRUE),OR(EXACT(Metadata!G590,"TRUE"),EXACT(Metadata!G590,"FALSE"))))</f>
        <v>0</v>
      </c>
      <c r="AU590" t="b">
        <f>OR(AND(IF(Metadata!H590="",FALSE,TRUE),OR(EXACT(Metadata!H590,"not collected"),EXACT(Metadata!H590,"not provided"),EXACT(Metadata!H590,"restricted access"))),AND(IF(Metadata!H590="",FALSE,ISNUMBER(VALUE(Metadata!H590))),Metadata!H590&gt;=-413))</f>
        <v>0</v>
      </c>
      <c r="AV590" t="b">
        <f>AND(IF(Metadata!I590="",FALSE,TRUE),EXACT(Metadata!I590,"meters"))</f>
        <v>0</v>
      </c>
      <c r="AW590" t="b">
        <f>AND(IF(Metadata!J590="",FALSE,TRUE),EXACT(Metadata!J590,"free-living"))</f>
        <v>0</v>
      </c>
      <c r="AX590" t="b">
        <f>AND(IF(Metadata!K590="",FALSE,TRUE),OR(EXACT(Metadata!K590,"saline"),EXACT(Metadata!K590,"non-saline")))</f>
        <v>0</v>
      </c>
      <c r="AY590" t="b">
        <f>AND(IF(Metadata!L590="",FALSE,TRUE),OR(EXACT(Metadata!L590,"sub-surface (non-saline)"),EXACT(Metadata!L590,"surface (non-saline)"),EXACT(Metadata!L590,"water (non-saline)"),EXACT(Metadata!L590,"soil (non-saline)"),EXACT(Metadata!L590,"aerosol (non-saline)"),EXACT(Metadata!L590,"sediment (non-saline)"),EXACT(Metadata!L590,"surface (saline)"),EXACT(Metadata!L590,"water (saline)"),EXACT(Metadata!L590,"hypersaline (saline)"),EXACT(Metadata!L590,"aerosol (saline)"),EXACT(Metadata!L590,"sediment (saline)")))</f>
        <v>0</v>
      </c>
      <c r="AZ590" t="b">
        <f>IF(Metadata!M590="",FALSE,TRUE)</f>
        <v>0</v>
      </c>
      <c r="BA590" t="b">
        <f>IF(Metadata!N590="",FALSE,TRUE)</f>
        <v>0</v>
      </c>
      <c r="BB590" t="b">
        <f>IF(Metadata!O590="",FALSE,TRUE)</f>
        <v>0</v>
      </c>
      <c r="BC590" t="b">
        <f>AND(IF(Metadata!P590="",FALSE,TRUE),OR(EXACT(Metadata!P590,"air"),EXACT(Metadata!P590,"microbial mat/biofilm"),EXACT(Metadata!P590,"misc environment"),EXACT(Metadata!P590,"sediment"),EXACT(Metadata!P590,"soil"),EXACT(Metadata!P590,"wastewater/sludge"),EXACT(Metadata!P590,"water")))</f>
        <v>0</v>
      </c>
      <c r="BD590" t="b">
        <f>IF(Metadata!Q590="",FALSE,TRUE)</f>
        <v>0</v>
      </c>
      <c r="BE590" t="b">
        <f>IF(Metadata!R590="",FALSE,TRUE)</f>
        <v>0</v>
      </c>
      <c r="BF590" t="b">
        <f>OR(AND(IF(Metadata!S590="",FALSE,TRUE),OR(EXACT(Metadata!S590,"not collected"),EXACT(Metadata!S590,"not provided"),EXACT(Metadata!S590,"restricted access"))),AND(IF(Metadata!S590="",FALSE,ISNUMBER(VALUE(Metadata!S590))),Metadata!S590&gt;=-90,Metadata!S590&lt;=90))</f>
        <v>0</v>
      </c>
      <c r="BG590" t="b">
        <f>AND(IF(Metadata!T590="",FALSE,TRUE),EXACT(Metadata!T590,"Decimal degrees"))</f>
        <v>0</v>
      </c>
      <c r="BH590" t="b">
        <f>OR(AND(IF(Metadata!U590="",FALSE,TRUE),OR(EXACT(Metadata!U590,"not applicable"),EXACT(Metadata!U590,"not collected"))),IF(Metadata!U590="",FALSE,TRUE))</f>
        <v>0</v>
      </c>
      <c r="BI590" t="b">
        <f>OR(AND(IF(Metadata!V590="",FALSE,TRUE),OR(EXACT(Metadata!V590,"not collected"),EXACT(Metadata!V590,"not provided"),EXACT(Metadata!V590,"restricted access"))),AND(IF(Metadata!V590="",FALSE,ISNUMBER(VALUE(Metadata!V590))),Metadata!V590&gt;=-180,Metadata!V590&lt;=180))</f>
        <v>0</v>
      </c>
      <c r="BJ590" t="b">
        <f>AND(IF(Metadata!W590="",FALSE,TRUE),EXACT(Metadata!W590,"Decimal degrees"))</f>
        <v>0</v>
      </c>
      <c r="BK590" t="b">
        <f>IF(Metadata!X590="",FALSE,TRUE)</f>
        <v>0</v>
      </c>
      <c r="BL590" t="b">
        <f>OR(AND(IF(Metadata!Y590="",FALSE,TRUE),OR(EXACT(Metadata!Y590,"not collected"),EXACT(Metadata!Y590,"not provided"),EXACT(Metadata!Y590,"restricted access"))),AND(IF(Metadata!Y590="",FALSE,TRUE),OR(EXACT(Metadata!Y590,"TRUE"),EXACT(Metadata!Y590,"FALSE"))))</f>
        <v>0</v>
      </c>
      <c r="BM590" t="b">
        <f>OR(AND(IF(Metadata!Z590="",FALSE,TRUE),EXACT(Metadata!Z590,"not applicable")),AND(IF(Metadata!Z590="",FALSE,TRUE),OR(EXACT(Metadata!Z590,"beer"),EXACT(Metadata!Z590,"cheese"),EXACT(Metadata!Z590,"fresh water"),EXACT(Metadata!Z590,"marine sediment"),EXACT(Metadata!Z590,"sea water"),EXACT(Metadata!Z590,"sediment"),EXACT(Metadata!Z590,"soil"),EXACT(Metadata!Z590,"waste water"))))</f>
        <v>0</v>
      </c>
      <c r="BN590" t="b">
        <f>AND(IF(Metadata!AA590="",FALSE,TRUE),EXACT(Metadata!AA590,"metagenome"))</f>
        <v>0</v>
      </c>
      <c r="BO590" t="b">
        <f>AND(IF(Metadata!AB590="",FALSE,TRUE),EXACT(Metadata!AB590,"256318"))</f>
        <v>0</v>
      </c>
      <c r="BP590" t="b">
        <f>IF(Metadata!AC590="",FALSE,TRUE)</f>
        <v>0</v>
      </c>
      <c r="BQ590" t="b">
        <f>IF(Metadata!AD590="",FALSE,TRUE)</f>
        <v>0</v>
      </c>
    </row>
    <row r="591" spans="1:69" x14ac:dyDescent="0.2">
      <c r="A591" s="4" t="e">
        <f ca="1">IF(B591=" "," ",HYPERLINK(CONCATENATE("#metadata!",ADDRESS(INDEX($AJ$2:$AJ$1001,MATCH(ROWS($AH$2:AH591),$AH$2:$AH$1001,0),0),2)),INDEX($AM$2:$AM$1001,MATCH(ROWS($AH$2:AH591),$AH$2:$AH$1001,0),0)))</f>
        <v>#N/A</v>
      </c>
      <c r="B591" s="5" t="e">
        <f ca="1">IF(OR(INDEX($AI$2:$AI$1001,MATCH(ROWS($AH$2:AH591),$AH$2:$AH$1001,0),1)&gt;=100000,INDEX($AO$1005:$BQ$1005,1,MATCH(COLUMNS($AO$1006:AO1006),$AO$1006:$BQ$1006,0))&gt;=100000), " ",IF(INDEX($AO$2:$BQ$1001,MATCH(ROWS($AH$2:AH591),$AH$2:$AH$1001,0),MATCH(COLUMNS($AO$1006:AO1006),$AO$1006:$BQ$1006,0)), HYPERLINK("#",""), HYPERLINK(CONCATENATE("#Metadata!", ADDRESS(INDEX($AJ$2:$AJ$1001,MATCH(ROWS($AH$2:AH591),$AH$2:$AH$1001,0),0), INDEX($AO$1004:$BQ$1004,1,MATCH(COLUMNS($AO$1006:AO1006),$AO$1006:$BQ$1006,0)))),"Fix")))</f>
        <v>#N/A</v>
      </c>
      <c r="C591" s="5" t="e">
        <f ca="1">IF(OR(INDEX($AI$2:$AI$1001,MATCH(ROWS($AH$2:AH591),$AH$2:$AH$1001,0),1)&gt;=100000,INDEX($AO$1005:$BQ$1005,1,MATCH(COLUMNS($AO$1006:AP1006),$AO$1006:$BQ$1006,0))&gt;=100000), " ",IF(INDEX($AO$2:$BQ$1001,MATCH(ROWS($AH$2:AH591),$AH$2:$AH$1001,0),MATCH(COLUMNS($AO$1006:AP1006),$AO$1006:$BQ$1006,0)), HYPERLINK("#",""), HYPERLINK(CONCATENATE("#Metadata!", ADDRESS(INDEX($AJ$2:$AJ$1001,MATCH(ROWS($AH$2:AH591),$AH$2:$AH$1001,0),0), INDEX($AO$1004:$BQ$1004,1,MATCH(COLUMNS($AO$1006:AP1006),$AO$1006:$BQ$1006,0)))),"Fix")))</f>
        <v>#N/A</v>
      </c>
      <c r="D591" s="5" t="e">
        <f ca="1">IF(OR(INDEX($AI$2:$AI$1001,MATCH(ROWS($AH$2:AH591),$AH$2:$AH$1001,0),1)&gt;=100000,INDEX($AO$1005:$BQ$1005,1,MATCH(COLUMNS($AO$1006:AQ1006),$AO$1006:$BQ$1006,0))&gt;=100000), " ",IF(INDEX($AO$2:$BQ$1001,MATCH(ROWS($AH$2:AH591),$AH$2:$AH$1001,0),MATCH(COLUMNS($AO$1006:AQ1006),$AO$1006:$BQ$1006,0)), HYPERLINK("#",""), HYPERLINK(CONCATENATE("#Metadata!", ADDRESS(INDEX($AJ$2:$AJ$1001,MATCH(ROWS($AH$2:AH591),$AH$2:$AH$1001,0),0), INDEX($AO$1004:$BQ$1004,1,MATCH(COLUMNS($AO$1006:AQ1006),$AO$1006:$BQ$1006,0)))),"Fix")))</f>
        <v>#N/A</v>
      </c>
      <c r="E591" s="5" t="e">
        <f ca="1">IF(OR(INDEX($AI$2:$AI$1001,MATCH(ROWS($AH$2:AH591),$AH$2:$AH$1001,0),1)&gt;=100000,INDEX($AO$1005:$BQ$1005,1,MATCH(COLUMNS($AO$1006:AR1006),$AO$1006:$BQ$1006,0))&gt;=100000), " ",IF(INDEX($AO$2:$BQ$1001,MATCH(ROWS($AH$2:AH591),$AH$2:$AH$1001,0),MATCH(COLUMNS($AO$1006:AR1006),$AO$1006:$BQ$1006,0)), HYPERLINK("#",""), HYPERLINK(CONCATENATE("#Metadata!", ADDRESS(INDEX($AJ$2:$AJ$1001,MATCH(ROWS($AH$2:AH591),$AH$2:$AH$1001,0),0), INDEX($AO$1004:$BQ$1004,1,MATCH(COLUMNS($AO$1006:AR1006),$AO$1006:$BQ$1006,0)))),"Fix")))</f>
        <v>#N/A</v>
      </c>
      <c r="F591" s="5" t="e">
        <f ca="1">IF(OR(INDEX($AI$2:$AI$1001,MATCH(ROWS($AH$2:AH591),$AH$2:$AH$1001,0),1)&gt;=100000,INDEX($AO$1005:$BQ$1005,1,MATCH(COLUMNS($AO$1006:AS1006),$AO$1006:$BQ$1006,0))&gt;=100000), " ",IF(INDEX($AO$2:$BQ$1001,MATCH(ROWS($AH$2:AH591),$AH$2:$AH$1001,0),MATCH(COLUMNS($AO$1006:AS1006),$AO$1006:$BQ$1006,0)), HYPERLINK("#",""), HYPERLINK(CONCATENATE("#Metadata!", ADDRESS(INDEX($AJ$2:$AJ$1001,MATCH(ROWS($AH$2:AH591),$AH$2:$AH$1001,0),0), INDEX($AO$1004:$BQ$1004,1,MATCH(COLUMNS($AO$1006:AS1006),$AO$1006:$BQ$1006,0)))),"Fix")))</f>
        <v>#N/A</v>
      </c>
      <c r="G591" s="5" t="e">
        <f ca="1">IF(OR(INDEX($AI$2:$AI$1001,MATCH(ROWS($AH$2:AH591),$AH$2:$AH$1001,0),1)&gt;=100000,INDEX($AO$1005:$BQ$1005,1,MATCH(COLUMNS($AO$1006:AT1006),$AO$1006:$BQ$1006,0))&gt;=100000), " ",IF(INDEX($AO$2:$BQ$1001,MATCH(ROWS($AH$2:AH591),$AH$2:$AH$1001,0),MATCH(COLUMNS($AO$1006:AT1006),$AO$1006:$BQ$1006,0)), HYPERLINK("#",""), HYPERLINK(CONCATENATE("#Metadata!", ADDRESS(INDEX($AJ$2:$AJ$1001,MATCH(ROWS($AH$2:AH591),$AH$2:$AH$1001,0),0), INDEX($AO$1004:$BQ$1004,1,MATCH(COLUMNS($AO$1006:AT1006),$AO$1006:$BQ$1006,0)))),"Fix")))</f>
        <v>#N/A</v>
      </c>
      <c r="H591" s="5" t="e">
        <f ca="1">IF(OR(INDEX($AI$2:$AI$1001,MATCH(ROWS($AH$2:AH591),$AH$2:$AH$1001,0),1)&gt;=100000,INDEX($AO$1005:$BQ$1005,1,MATCH(COLUMNS($AO$1006:AU1006),$AO$1006:$BQ$1006,0))&gt;=100000), " ",IF(INDEX($AO$2:$BQ$1001,MATCH(ROWS($AH$2:AH591),$AH$2:$AH$1001,0),MATCH(COLUMNS($AO$1006:AU1006),$AO$1006:$BQ$1006,0)), HYPERLINK("#",""), HYPERLINK(CONCATENATE("#Metadata!", ADDRESS(INDEX($AJ$2:$AJ$1001,MATCH(ROWS($AH$2:AH591),$AH$2:$AH$1001,0),0), INDEX($AO$1004:$BQ$1004,1,MATCH(COLUMNS($AO$1006:AU1006),$AO$1006:$BQ$1006,0)))),"Fix")))</f>
        <v>#N/A</v>
      </c>
      <c r="I591" s="5" t="e">
        <f ca="1">IF(OR(INDEX($AI$2:$AI$1001,MATCH(ROWS($AH$2:AH591),$AH$2:$AH$1001,0),1)&gt;=100000,INDEX($AO$1005:$BQ$1005,1,MATCH(COLUMNS($AO$1006:AV1006),$AO$1006:$BQ$1006,0))&gt;=100000), " ",IF(INDEX($AO$2:$BQ$1001,MATCH(ROWS($AH$2:AH591),$AH$2:$AH$1001,0),MATCH(COLUMNS($AO$1006:AV1006),$AO$1006:$BQ$1006,0)), HYPERLINK("#",""), HYPERLINK(CONCATENATE("#Metadata!", ADDRESS(INDEX($AJ$2:$AJ$1001,MATCH(ROWS($AH$2:AH591),$AH$2:$AH$1001,0),0), INDEX($AO$1004:$BQ$1004,1,MATCH(COLUMNS($AO$1006:AV1006),$AO$1006:$BQ$1006,0)))),"Fix")))</f>
        <v>#N/A</v>
      </c>
      <c r="J591" s="5" t="e">
        <f ca="1">IF(OR(INDEX($AI$2:$AI$1001,MATCH(ROWS($AH$2:AH591),$AH$2:$AH$1001,0),1)&gt;=100000,INDEX($AO$1005:$BQ$1005,1,MATCH(COLUMNS($AO$1006:AW1006),$AO$1006:$BQ$1006,0))&gt;=100000), " ",IF(INDEX($AO$2:$BQ$1001,MATCH(ROWS($AH$2:AH591),$AH$2:$AH$1001,0),MATCH(COLUMNS($AO$1006:AW1006),$AO$1006:$BQ$1006,0)), HYPERLINK("#",""), HYPERLINK(CONCATENATE("#Metadata!", ADDRESS(INDEX($AJ$2:$AJ$1001,MATCH(ROWS($AH$2:AH591),$AH$2:$AH$1001,0),0), INDEX($AO$1004:$BQ$1004,1,MATCH(COLUMNS($AO$1006:AW1006),$AO$1006:$BQ$1006,0)))),"Fix")))</f>
        <v>#N/A</v>
      </c>
      <c r="K591" s="5" t="e">
        <f ca="1">IF(OR(INDEX($AI$2:$AI$1001,MATCH(ROWS($AH$2:AH591),$AH$2:$AH$1001,0),1)&gt;=100000,INDEX($AO$1005:$BQ$1005,1,MATCH(COLUMNS($AO$1006:AX1006),$AO$1006:$BQ$1006,0))&gt;=100000), " ",IF(INDEX($AO$2:$BQ$1001,MATCH(ROWS($AH$2:AH591),$AH$2:$AH$1001,0),MATCH(COLUMNS($AO$1006:AX1006),$AO$1006:$BQ$1006,0)), HYPERLINK("#",""), HYPERLINK(CONCATENATE("#Metadata!", ADDRESS(INDEX($AJ$2:$AJ$1001,MATCH(ROWS($AH$2:AH591),$AH$2:$AH$1001,0),0), INDEX($AO$1004:$BQ$1004,1,MATCH(COLUMNS($AO$1006:AX1006),$AO$1006:$BQ$1006,0)))),"Fix")))</f>
        <v>#N/A</v>
      </c>
      <c r="L591" s="5" t="e">
        <f ca="1">IF(OR(INDEX($AI$2:$AI$1001,MATCH(ROWS($AH$2:AH591),$AH$2:$AH$1001,0),1)&gt;=100000,INDEX($AO$1005:$BQ$1005,1,MATCH(COLUMNS($AO$1006:AY1006),$AO$1006:$BQ$1006,0))&gt;=100000), " ",IF(INDEX($AO$2:$BQ$1001,MATCH(ROWS($AH$2:AH591),$AH$2:$AH$1001,0),MATCH(COLUMNS($AO$1006:AY1006),$AO$1006:$BQ$1006,0)), HYPERLINK("#",""), HYPERLINK(CONCATENATE("#Metadata!", ADDRESS(INDEX($AJ$2:$AJ$1001,MATCH(ROWS($AH$2:AH591),$AH$2:$AH$1001,0),0), INDEX($AO$1004:$BQ$1004,1,MATCH(COLUMNS($AO$1006:AY1006),$AO$1006:$BQ$1006,0)))),"Fix")))</f>
        <v>#N/A</v>
      </c>
      <c r="M591" s="5" t="e">
        <f ca="1">IF(OR(INDEX($AI$2:$AI$1001,MATCH(ROWS($AH$2:AH591),$AH$2:$AH$1001,0),1)&gt;=100000,INDEX($AO$1005:$BQ$1005,1,MATCH(COLUMNS($AO$1006:AZ1006),$AO$1006:$BQ$1006,0))&gt;=100000), " ",IF(INDEX($AO$2:$BQ$1001,MATCH(ROWS($AH$2:AH591),$AH$2:$AH$1001,0),MATCH(COLUMNS($AO$1006:AZ1006),$AO$1006:$BQ$1006,0)), HYPERLINK("#",""), HYPERLINK(CONCATENATE("#Metadata!", ADDRESS(INDEX($AJ$2:$AJ$1001,MATCH(ROWS($AH$2:AH591),$AH$2:$AH$1001,0),0), INDEX($AO$1004:$BQ$1004,1,MATCH(COLUMNS($AO$1006:AZ1006),$AO$1006:$BQ$1006,0)))),"Fix")))</f>
        <v>#N/A</v>
      </c>
      <c r="N591" s="5" t="e">
        <f ca="1">IF(OR(INDEX($AI$2:$AI$1001,MATCH(ROWS($AH$2:AH591),$AH$2:$AH$1001,0),1)&gt;=100000,INDEX($AO$1005:$BQ$1005,1,MATCH(COLUMNS($AO$1006:BA1006),$AO$1006:$BQ$1006,0))&gt;=100000), " ",IF(INDEX($AO$2:$BQ$1001,MATCH(ROWS($AH$2:AH591),$AH$2:$AH$1001,0),MATCH(COLUMNS($AO$1006:BA1006),$AO$1006:$BQ$1006,0)), HYPERLINK("#",""), HYPERLINK(CONCATENATE("#Metadata!", ADDRESS(INDEX($AJ$2:$AJ$1001,MATCH(ROWS($AH$2:AH591),$AH$2:$AH$1001,0),0), INDEX($AO$1004:$BQ$1004,1,MATCH(COLUMNS($AO$1006:BA1006),$AO$1006:$BQ$1006,0)))),"Fix")))</f>
        <v>#N/A</v>
      </c>
      <c r="O591" s="5" t="e">
        <f ca="1">IF(OR(INDEX($AI$2:$AI$1001,MATCH(ROWS($AH$2:AH591),$AH$2:$AH$1001,0),1)&gt;=100000,INDEX($AO$1005:$BQ$1005,1,MATCH(COLUMNS($AO$1006:BB1006),$AO$1006:$BQ$1006,0))&gt;=100000), " ",IF(INDEX($AO$2:$BQ$1001,MATCH(ROWS($AH$2:AH591),$AH$2:$AH$1001,0),MATCH(COLUMNS($AO$1006:BB1006),$AO$1006:$BQ$1006,0)), HYPERLINK("#",""), HYPERLINK(CONCATENATE("#Metadata!", ADDRESS(INDEX($AJ$2:$AJ$1001,MATCH(ROWS($AH$2:AH591),$AH$2:$AH$1001,0),0), INDEX($AO$1004:$BQ$1004,1,MATCH(COLUMNS($AO$1006:BB1006),$AO$1006:$BQ$1006,0)))),"Fix")))</f>
        <v>#N/A</v>
      </c>
      <c r="P591" s="5" t="e">
        <f ca="1">IF(OR(INDEX($AI$2:$AI$1001,MATCH(ROWS($AH$2:AH591),$AH$2:$AH$1001,0),1)&gt;=100000,INDEX($AO$1005:$BQ$1005,1,MATCH(COLUMNS($AO$1006:BC1006),$AO$1006:$BQ$1006,0))&gt;=100000), " ",IF(INDEX($AO$2:$BQ$1001,MATCH(ROWS($AH$2:AH591),$AH$2:$AH$1001,0),MATCH(COLUMNS($AO$1006:BC1006),$AO$1006:$BQ$1006,0)), HYPERLINK("#",""), HYPERLINK(CONCATENATE("#Metadata!", ADDRESS(INDEX($AJ$2:$AJ$1001,MATCH(ROWS($AH$2:AH591),$AH$2:$AH$1001,0),0), INDEX($AO$1004:$BQ$1004,1,MATCH(COLUMNS($AO$1006:BC1006),$AO$1006:$BQ$1006,0)))),"Fix")))</f>
        <v>#N/A</v>
      </c>
      <c r="Q591" s="5" t="e">
        <f ca="1">IF(OR(INDEX($AI$2:$AI$1001,MATCH(ROWS($AH$2:AH591),$AH$2:$AH$1001,0),1)&gt;=100000,INDEX($AO$1005:$BQ$1005,1,MATCH(COLUMNS($AO$1006:BD1006),$AO$1006:$BQ$1006,0))&gt;=100000), " ",IF(INDEX($AO$2:$BQ$1001,MATCH(ROWS($AH$2:AH591),$AH$2:$AH$1001,0),MATCH(COLUMNS($AO$1006:BD1006),$AO$1006:$BQ$1006,0)), HYPERLINK("#",""), HYPERLINK(CONCATENATE("#Metadata!", ADDRESS(INDEX($AJ$2:$AJ$1001,MATCH(ROWS($AH$2:AH591),$AH$2:$AH$1001,0),0), INDEX($AO$1004:$BQ$1004,1,MATCH(COLUMNS($AO$1006:BD1006),$AO$1006:$BQ$1006,0)))),"Fix")))</f>
        <v>#N/A</v>
      </c>
      <c r="R591" s="5" t="e">
        <f ca="1">IF(OR(INDEX($AI$2:$AI$1001,MATCH(ROWS($AH$2:AH591),$AH$2:$AH$1001,0),1)&gt;=100000,INDEX($AO$1005:$BQ$1005,1,MATCH(COLUMNS($AO$1006:BE1006),$AO$1006:$BQ$1006,0))&gt;=100000), " ",IF(INDEX($AO$2:$BQ$1001,MATCH(ROWS($AH$2:AH591),$AH$2:$AH$1001,0),MATCH(COLUMNS($AO$1006:BE1006),$AO$1006:$BQ$1006,0)), HYPERLINK("#",""), HYPERLINK(CONCATENATE("#Metadata!", ADDRESS(INDEX($AJ$2:$AJ$1001,MATCH(ROWS($AH$2:AH591),$AH$2:$AH$1001,0),0), INDEX($AO$1004:$BQ$1004,1,MATCH(COLUMNS($AO$1006:BE1006),$AO$1006:$BQ$1006,0)))),"Fix")))</f>
        <v>#N/A</v>
      </c>
      <c r="S591" s="5" t="e">
        <f ca="1">IF(OR(INDEX($AI$2:$AI$1001,MATCH(ROWS($AH$2:AH591),$AH$2:$AH$1001,0),1)&gt;=100000,INDEX($AO$1005:$BQ$1005,1,MATCH(COLUMNS($AO$1006:BF1006),$AO$1006:$BQ$1006,0))&gt;=100000), " ",IF(INDEX($AO$2:$BQ$1001,MATCH(ROWS($AH$2:AH591),$AH$2:$AH$1001,0),MATCH(COLUMNS($AO$1006:BF1006),$AO$1006:$BQ$1006,0)), HYPERLINK("#",""), HYPERLINK(CONCATENATE("#Metadata!", ADDRESS(INDEX($AJ$2:$AJ$1001,MATCH(ROWS($AH$2:AH591),$AH$2:$AH$1001,0),0), INDEX($AO$1004:$BQ$1004,1,MATCH(COLUMNS($AO$1006:BF1006),$AO$1006:$BQ$1006,0)))),"Fix")))</f>
        <v>#N/A</v>
      </c>
      <c r="T591" s="5" t="e">
        <f ca="1">IF(OR(INDEX($AI$2:$AI$1001,MATCH(ROWS($AH$2:AH591),$AH$2:$AH$1001,0),1)&gt;=100000,INDEX($AO$1005:$BQ$1005,1,MATCH(COLUMNS($AO$1006:BG1006),$AO$1006:$BQ$1006,0))&gt;=100000), " ",IF(INDEX($AO$2:$BQ$1001,MATCH(ROWS($AH$2:AH591),$AH$2:$AH$1001,0),MATCH(COLUMNS($AO$1006:BG1006),$AO$1006:$BQ$1006,0)), HYPERLINK("#",""), HYPERLINK(CONCATENATE("#Metadata!", ADDRESS(INDEX($AJ$2:$AJ$1001,MATCH(ROWS($AH$2:AH591),$AH$2:$AH$1001,0),0), INDEX($AO$1004:$BQ$1004,1,MATCH(COLUMNS($AO$1006:BG1006),$AO$1006:$BQ$1006,0)))),"Fix")))</f>
        <v>#N/A</v>
      </c>
      <c r="U591" s="5" t="e">
        <f ca="1">IF(OR(INDEX($AI$2:$AI$1001,MATCH(ROWS($AH$2:AH591),$AH$2:$AH$1001,0),1)&gt;=100000,INDEX($AO$1005:$BQ$1005,1,MATCH(COLUMNS($AO$1006:BH1006),$AO$1006:$BQ$1006,0))&gt;=100000), " ",IF(INDEX($AO$2:$BQ$1001,MATCH(ROWS($AH$2:AH591),$AH$2:$AH$1001,0),MATCH(COLUMNS($AO$1006:BH1006),$AO$1006:$BQ$1006,0)), HYPERLINK("#",""), HYPERLINK(CONCATENATE("#Metadata!", ADDRESS(INDEX($AJ$2:$AJ$1001,MATCH(ROWS($AH$2:AH591),$AH$2:$AH$1001,0),0), INDEX($AO$1004:$BQ$1004,1,MATCH(COLUMNS($AO$1006:BH1006),$AO$1006:$BQ$1006,0)))),"Fix")))</f>
        <v>#N/A</v>
      </c>
      <c r="V591" s="5" t="e">
        <f ca="1">IF(OR(INDEX($AI$2:$AI$1001,MATCH(ROWS($AH$2:AH591),$AH$2:$AH$1001,0),1)&gt;=100000,INDEX($AO$1005:$BQ$1005,1,MATCH(COLUMNS($AO$1006:BI1006),$AO$1006:$BQ$1006,0))&gt;=100000), " ",IF(INDEX($AO$2:$BQ$1001,MATCH(ROWS($AH$2:AH591),$AH$2:$AH$1001,0),MATCH(COLUMNS($AO$1006:BI1006),$AO$1006:$BQ$1006,0)), HYPERLINK("#",""), HYPERLINK(CONCATENATE("#Metadata!", ADDRESS(INDEX($AJ$2:$AJ$1001,MATCH(ROWS($AH$2:AH591),$AH$2:$AH$1001,0),0), INDEX($AO$1004:$BQ$1004,1,MATCH(COLUMNS($AO$1006:BI1006),$AO$1006:$BQ$1006,0)))),"Fix")))</f>
        <v>#N/A</v>
      </c>
      <c r="W591" s="5" t="e">
        <f ca="1">IF(OR(INDEX($AI$2:$AI$1001,MATCH(ROWS($AH$2:AH591),$AH$2:$AH$1001,0),1)&gt;=100000,INDEX($AO$1005:$BQ$1005,1,MATCH(COLUMNS($AO$1006:BJ1006),$AO$1006:$BQ$1006,0))&gt;=100000), " ",IF(INDEX($AO$2:$BQ$1001,MATCH(ROWS($AH$2:AH591),$AH$2:$AH$1001,0),MATCH(COLUMNS($AO$1006:BJ1006),$AO$1006:$BQ$1006,0)), HYPERLINK("#",""), HYPERLINK(CONCATENATE("#Metadata!", ADDRESS(INDEX($AJ$2:$AJ$1001,MATCH(ROWS($AH$2:AH591),$AH$2:$AH$1001,0),0), INDEX($AO$1004:$BQ$1004,1,MATCH(COLUMNS($AO$1006:BJ1006),$AO$1006:$BQ$1006,0)))),"Fix")))</f>
        <v>#N/A</v>
      </c>
      <c r="X591" s="5" t="e">
        <f ca="1">IF(OR(INDEX($AI$2:$AI$1001,MATCH(ROWS($AH$2:AH591),$AH$2:$AH$1001,0),1)&gt;=100000,INDEX($AO$1005:$BQ$1005,1,MATCH(COLUMNS($AO$1006:BK1006),$AO$1006:$BQ$1006,0))&gt;=100000), " ",IF(INDEX($AO$2:$BQ$1001,MATCH(ROWS($AH$2:AH591),$AH$2:$AH$1001,0),MATCH(COLUMNS($AO$1006:BK1006),$AO$1006:$BQ$1006,0)), HYPERLINK("#",""), HYPERLINK(CONCATENATE("#Metadata!", ADDRESS(INDEX($AJ$2:$AJ$1001,MATCH(ROWS($AH$2:AH591),$AH$2:$AH$1001,0),0), INDEX($AO$1004:$BQ$1004,1,MATCH(COLUMNS($AO$1006:BK1006),$AO$1006:$BQ$1006,0)))),"Fix")))</f>
        <v>#N/A</v>
      </c>
      <c r="Y591" s="5" t="e">
        <f ca="1">IF(OR(INDEX($AI$2:$AI$1001,MATCH(ROWS($AH$2:AH591),$AH$2:$AH$1001,0),1)&gt;=100000,INDEX($AO$1005:$BQ$1005,1,MATCH(COLUMNS($AO$1006:BL1006),$AO$1006:$BQ$1006,0))&gt;=100000), " ",IF(INDEX($AO$2:$BQ$1001,MATCH(ROWS($AH$2:AH591),$AH$2:$AH$1001,0),MATCH(COLUMNS($AO$1006:BL1006),$AO$1006:$BQ$1006,0)), HYPERLINK("#",""), HYPERLINK(CONCATENATE("#Metadata!", ADDRESS(INDEX($AJ$2:$AJ$1001,MATCH(ROWS($AH$2:AH591),$AH$2:$AH$1001,0),0), INDEX($AO$1004:$BQ$1004,1,MATCH(COLUMNS($AO$1006:BL1006),$AO$1006:$BQ$1006,0)))),"Fix")))</f>
        <v>#N/A</v>
      </c>
      <c r="Z591" s="5" t="e">
        <f ca="1">IF(OR(INDEX($AI$2:$AI$1001,MATCH(ROWS($AH$2:AH591),$AH$2:$AH$1001,0),1)&gt;=100000,INDEX($AO$1005:$BQ$1005,1,MATCH(COLUMNS($AO$1006:BM1006),$AO$1006:$BQ$1006,0))&gt;=100000), " ",IF(INDEX($AO$2:$BQ$1001,MATCH(ROWS($AH$2:AH591),$AH$2:$AH$1001,0),MATCH(COLUMNS($AO$1006:BM1006),$AO$1006:$BQ$1006,0)), HYPERLINK("#",""), HYPERLINK(CONCATENATE("#Metadata!", ADDRESS(INDEX($AJ$2:$AJ$1001,MATCH(ROWS($AH$2:AH591),$AH$2:$AH$1001,0),0), INDEX($AO$1004:$BQ$1004,1,MATCH(COLUMNS($AO$1006:BM1006),$AO$1006:$BQ$1006,0)))),"Fix")))</f>
        <v>#N/A</v>
      </c>
      <c r="AA591" s="5" t="e">
        <f ca="1">IF(OR(INDEX($AI$2:$AI$1001,MATCH(ROWS($AH$2:AH591),$AH$2:$AH$1001,0),1)&gt;=100000,INDEX($AO$1005:$BQ$1005,1,MATCH(COLUMNS($AO$1006:BN1006),$AO$1006:$BQ$1006,0))&gt;=100000), " ",IF(INDEX($AO$2:$BQ$1001,MATCH(ROWS($AH$2:AH591),$AH$2:$AH$1001,0),MATCH(COLUMNS($AO$1006:BN1006),$AO$1006:$BQ$1006,0)), HYPERLINK("#",""), HYPERLINK(CONCATENATE("#Metadata!", ADDRESS(INDEX($AJ$2:$AJ$1001,MATCH(ROWS($AH$2:AH591),$AH$2:$AH$1001,0),0), INDEX($AO$1004:$BQ$1004,1,MATCH(COLUMNS($AO$1006:BN1006),$AO$1006:$BQ$1006,0)))),"Fix")))</f>
        <v>#N/A</v>
      </c>
      <c r="AB591" s="5" t="e">
        <f ca="1">IF(OR(INDEX($AI$2:$AI$1001,MATCH(ROWS($AH$2:AH591),$AH$2:$AH$1001,0),1)&gt;=100000,INDEX($AO$1005:$BQ$1005,1,MATCH(COLUMNS($AO$1006:BO1006),$AO$1006:$BQ$1006,0))&gt;=100000), " ",IF(INDEX($AO$2:$BQ$1001,MATCH(ROWS($AH$2:AH591),$AH$2:$AH$1001,0),MATCH(COLUMNS($AO$1006:BO1006),$AO$1006:$BQ$1006,0)), HYPERLINK("#",""), HYPERLINK(CONCATENATE("#Metadata!", ADDRESS(INDEX($AJ$2:$AJ$1001,MATCH(ROWS($AH$2:AH591),$AH$2:$AH$1001,0),0), INDEX($AO$1004:$BQ$1004,1,MATCH(COLUMNS($AO$1006:BO1006),$AO$1006:$BQ$1006,0)))),"Fix")))</f>
        <v>#N/A</v>
      </c>
      <c r="AC591" s="5" t="e">
        <f ca="1">IF(OR(INDEX($AI$2:$AI$1001,MATCH(ROWS($AH$2:AH591),$AH$2:$AH$1001,0),1)&gt;=100000,INDEX($AO$1005:$BQ$1005,1,MATCH(COLUMNS($AO$1006:BP1006),$AO$1006:$BQ$1006,0))&gt;=100000), " ",IF(INDEX($AO$2:$BQ$1001,MATCH(ROWS($AH$2:AH591),$AH$2:$AH$1001,0),MATCH(COLUMNS($AO$1006:BP1006),$AO$1006:$BQ$1006,0)), HYPERLINK("#",""), HYPERLINK(CONCATENATE("#Metadata!", ADDRESS(INDEX($AJ$2:$AJ$1001,MATCH(ROWS($AH$2:AH591),$AH$2:$AH$1001,0),0), INDEX($AO$1004:$BQ$1004,1,MATCH(COLUMNS($AO$1006:BP1006),$AO$1006:$BQ$1006,0)))),"Fix")))</f>
        <v>#N/A</v>
      </c>
      <c r="AD591" s="5" t="e">
        <f ca="1">IF(OR(INDEX($AI$2:$AI$1001,MATCH(ROWS($AH$2:AH591),$AH$2:$AH$1001,0),1)&gt;=100000,INDEX($AO$1005:$BQ$1005,1,MATCH(COLUMNS($AO$1006:BQ1006),$AO$1006:$BQ$1006,0))&gt;=100000), " ",IF(INDEX($AO$2:$BQ$1001,MATCH(ROWS($AH$2:AH591),$AH$2:$AH$1001,0),MATCH(COLUMNS($AO$1006:BQ1006),$AO$1006:$BQ$1006,0)), HYPERLINK("#",""), HYPERLINK(CONCATENATE("#Metadata!", ADDRESS(INDEX($AJ$2:$AJ$1001,MATCH(ROWS($AH$2:AH591),$AH$2:$AH$1001,0),0), INDEX($AO$1004:$BQ$1004,1,MATCH(COLUMNS($AO$1006:BQ1006),$AO$1006:$BQ$1006,0)))),"Fix")))</f>
        <v>#REF!</v>
      </c>
      <c r="AH591">
        <f ca="1"/>
        <v>588</v>
      </c>
      <c r="AI591">
        <v>100591</v>
      </c>
      <c r="AJ591">
        <v>591</v>
      </c>
      <c r="AK591" t="b">
        <f t="shared" si="9"/>
        <v>1</v>
      </c>
      <c r="AL591" t="b">
        <f>COUNTBLANK(Metadata!B591:AD591)=COLUMNS(Metadata!B591:AD591)</f>
        <v>1</v>
      </c>
      <c r="AM591" t="str">
        <v/>
      </c>
      <c r="AO591" t="b">
        <f ca="1">AND(IF(Metadata!B591="",FALSE,TRUE),COUNTIF(Metadata!B:B, Metadata!B591) = 1,NOT(ISERROR(SUMPRODUCT(SEARCH(MID(Metadata!B591,ROW(INDIRECT("1:"&amp;LEN(Metadata!B591))), 1),"0123456789abcdefghijklmnopqrstuvwxyzABCDEFGHIJKLMNOPQRSTUVWXYZ.")))))</f>
        <v>0</v>
      </c>
      <c r="AP591" t="b">
        <f>IF(Metadata!C591="",FALSE,TRUE)</f>
        <v>0</v>
      </c>
      <c r="AQ591" t="b">
        <f>IF(Metadata!D591="",FALSE,TRUE)</f>
        <v>0</v>
      </c>
      <c r="AR591" t="b">
        <f ca="1">OR(AND(IF(Metadata!E591="",FALSE,TRUE),OR(EXACT(Metadata!E591,"not collected"),EXACT(Metadata!E591,"not provided"),EXACT(Metadata!E591,"restricted access"))),AND(IF(Metadata!E591="",FALSE,TRUE),AND(AND(IFERROR(INT(LEFT(Metadata!E591,4))&gt;1900,FALSE),IFERROR(INT(LEFT(Metadata!E591,4))&lt;=YEAR(NOW()),FALSE)), OR(MID(Metadata!E591,5,1)="", AND(AND(MID(Metadata!E591,5,1)="-",IFERROR(INT(MID(Metadata!E591,6,1))&gt;=0,FALSE),IFERROR(INT(MID(Metadata!E591,6,1))&lt;=1,FALSE),NOT(MID(Metadata!E591,7,1)=""),IFERROR(INT(MID(Metadata!E591,6,2))&gt;=1,FALSE),IFERROR(INT(MID(Metadata!E591,6,2))&lt;=12,FALSE)), OR(MID(Metadata!E591,8,1)="", AND(AND(MID(Metadata!E591,8,1)="-",IFERROR(INT(MID(Metadata!E591,9,1))&gt;=0,FALSE),IFERROR(INT(MID(Metadata!E591,9,1))&lt;=3,FALSE),NOT(MID(Metadata!E591,10,1)=""),IFERROR(INT(MID(Metadata!E591,9,2))&gt;=1,FALSE),IFERROR(INT(MID(Metadata!E591,9,2))&lt;=31,FALSE)), OR(MID(Metadata!E591,11,1)="", AND(AND(MID(Metadata!E591,11,1)=" ",IFERROR(INT(MID(Metadata!E591,12,1))&gt;=0,FALSE),IFERROR(INT(MID(Metadata!E591,12,1))&lt;=2,FALSE),NOT(MID(Metadata!E591,13,1)=""),IFERROR(INT(MID(Metadata!E591,12,2))&gt;=0,FALSE),IFERROR(INT(MID(Metadata!E591,12,2))&lt;=23,FALSE)), OR(MID(Metadata!E591,14,1)="", AND(AND(MID(Metadata!E591,14,1)=":",IFERROR(INT(MID(Metadata!E591,15,1))&gt;=0,FALSE),IFERROR(INT(MID(Metadata!E591,15,1))&lt;=5,FALSE),NOT(MID(Metadata!E591,16,1)=""),IFERROR(INT(MID(Metadata!E591,15,2))&gt;=0,FALSE),IFERROR(INT(MID(Metadata!E591,15,2))&lt;=59,FALSE)), OR(MID(Metadata!E591,17,1)="", AND(AND(MID(Metadata!E591,17,1)=":",IFERROR(INT(MID(Metadata!E591,18,1))&gt;=0,FALSE),IFERROR(INT(MID(Metadata!E591,18,1))&lt;=5,FALSE),NOT(MID(Metadata!E591,19,1)=""),IFERROR(INT(MID(Metadata!E591,18,2))&gt;=0,FALSE),IFERROR(INT(MID(Metadata!E591,18,2))&lt;=59,FALSE)), LEN(Metadata!E591)&lt;=19)))))))))))))</f>
        <v>0</v>
      </c>
      <c r="AS591" t="b">
        <f>IF(Metadata!F591="",FALSE,TRUE)</f>
        <v>0</v>
      </c>
      <c r="AT591" t="b">
        <f>OR(AND(IF(Metadata!G591="",FALSE,TRUE),OR(EXACT(Metadata!G591,"not collected"),EXACT(Metadata!G591,"not provided"))),AND(IF(Metadata!G591="",FALSE,TRUE),OR(EXACT(Metadata!G591,"TRUE"),EXACT(Metadata!G591,"FALSE"))))</f>
        <v>0</v>
      </c>
      <c r="AU591" t="b">
        <f>OR(AND(IF(Metadata!H591="",FALSE,TRUE),OR(EXACT(Metadata!H591,"not collected"),EXACT(Metadata!H591,"not provided"),EXACT(Metadata!H591,"restricted access"))),AND(IF(Metadata!H591="",FALSE,ISNUMBER(VALUE(Metadata!H591))),Metadata!H591&gt;=-413))</f>
        <v>0</v>
      </c>
      <c r="AV591" t="b">
        <f>AND(IF(Metadata!I591="",FALSE,TRUE),EXACT(Metadata!I591,"meters"))</f>
        <v>0</v>
      </c>
      <c r="AW591" t="b">
        <f>AND(IF(Metadata!J591="",FALSE,TRUE),EXACT(Metadata!J591,"free-living"))</f>
        <v>0</v>
      </c>
      <c r="AX591" t="b">
        <f>AND(IF(Metadata!K591="",FALSE,TRUE),OR(EXACT(Metadata!K591,"saline"),EXACT(Metadata!K591,"non-saline")))</f>
        <v>0</v>
      </c>
      <c r="AY591" t="b">
        <f>AND(IF(Metadata!L591="",FALSE,TRUE),OR(EXACT(Metadata!L591,"sub-surface (non-saline)"),EXACT(Metadata!L591,"surface (non-saline)"),EXACT(Metadata!L591,"water (non-saline)"),EXACT(Metadata!L591,"soil (non-saline)"),EXACT(Metadata!L591,"aerosol (non-saline)"),EXACT(Metadata!L591,"sediment (non-saline)"),EXACT(Metadata!L591,"surface (saline)"),EXACT(Metadata!L591,"water (saline)"),EXACT(Metadata!L591,"hypersaline (saline)"),EXACT(Metadata!L591,"aerosol (saline)"),EXACT(Metadata!L591,"sediment (saline)")))</f>
        <v>0</v>
      </c>
      <c r="AZ591" t="b">
        <f>IF(Metadata!M591="",FALSE,TRUE)</f>
        <v>0</v>
      </c>
      <c r="BA591" t="b">
        <f>IF(Metadata!N591="",FALSE,TRUE)</f>
        <v>0</v>
      </c>
      <c r="BB591" t="b">
        <f>IF(Metadata!O591="",FALSE,TRUE)</f>
        <v>0</v>
      </c>
      <c r="BC591" t="b">
        <f>AND(IF(Metadata!P591="",FALSE,TRUE),OR(EXACT(Metadata!P591,"air"),EXACT(Metadata!P591,"microbial mat/biofilm"),EXACT(Metadata!P591,"misc environment"),EXACT(Metadata!P591,"sediment"),EXACT(Metadata!P591,"soil"),EXACT(Metadata!P591,"wastewater/sludge"),EXACT(Metadata!P591,"water")))</f>
        <v>0</v>
      </c>
      <c r="BD591" t="b">
        <f>IF(Metadata!Q591="",FALSE,TRUE)</f>
        <v>0</v>
      </c>
      <c r="BE591" t="b">
        <f>IF(Metadata!R591="",FALSE,TRUE)</f>
        <v>0</v>
      </c>
      <c r="BF591" t="b">
        <f>OR(AND(IF(Metadata!S591="",FALSE,TRUE),OR(EXACT(Metadata!S591,"not collected"),EXACT(Metadata!S591,"not provided"),EXACT(Metadata!S591,"restricted access"))),AND(IF(Metadata!S591="",FALSE,ISNUMBER(VALUE(Metadata!S591))),Metadata!S591&gt;=-90,Metadata!S591&lt;=90))</f>
        <v>0</v>
      </c>
      <c r="BG591" t="b">
        <f>AND(IF(Metadata!T591="",FALSE,TRUE),EXACT(Metadata!T591,"Decimal degrees"))</f>
        <v>0</v>
      </c>
      <c r="BH591" t="b">
        <f>OR(AND(IF(Metadata!U591="",FALSE,TRUE),OR(EXACT(Metadata!U591,"not applicable"),EXACT(Metadata!U591,"not collected"))),IF(Metadata!U591="",FALSE,TRUE))</f>
        <v>0</v>
      </c>
      <c r="BI591" t="b">
        <f>OR(AND(IF(Metadata!V591="",FALSE,TRUE),OR(EXACT(Metadata!V591,"not collected"),EXACT(Metadata!V591,"not provided"),EXACT(Metadata!V591,"restricted access"))),AND(IF(Metadata!V591="",FALSE,ISNUMBER(VALUE(Metadata!V591))),Metadata!V591&gt;=-180,Metadata!V591&lt;=180))</f>
        <v>0</v>
      </c>
      <c r="BJ591" t="b">
        <f>AND(IF(Metadata!W591="",FALSE,TRUE),EXACT(Metadata!W591,"Decimal degrees"))</f>
        <v>0</v>
      </c>
      <c r="BK591" t="b">
        <f>IF(Metadata!X591="",FALSE,TRUE)</f>
        <v>0</v>
      </c>
      <c r="BL591" t="b">
        <f>OR(AND(IF(Metadata!Y591="",FALSE,TRUE),OR(EXACT(Metadata!Y591,"not collected"),EXACT(Metadata!Y591,"not provided"),EXACT(Metadata!Y591,"restricted access"))),AND(IF(Metadata!Y591="",FALSE,TRUE),OR(EXACT(Metadata!Y591,"TRUE"),EXACT(Metadata!Y591,"FALSE"))))</f>
        <v>0</v>
      </c>
      <c r="BM591" t="b">
        <f>OR(AND(IF(Metadata!Z591="",FALSE,TRUE),EXACT(Metadata!Z591,"not applicable")),AND(IF(Metadata!Z591="",FALSE,TRUE),OR(EXACT(Metadata!Z591,"beer"),EXACT(Metadata!Z591,"cheese"),EXACT(Metadata!Z591,"fresh water"),EXACT(Metadata!Z591,"marine sediment"),EXACT(Metadata!Z591,"sea water"),EXACT(Metadata!Z591,"sediment"),EXACT(Metadata!Z591,"soil"),EXACT(Metadata!Z591,"waste water"))))</f>
        <v>0</v>
      </c>
      <c r="BN591" t="b">
        <f>AND(IF(Metadata!AA591="",FALSE,TRUE),EXACT(Metadata!AA591,"metagenome"))</f>
        <v>0</v>
      </c>
      <c r="BO591" t="b">
        <f>AND(IF(Metadata!AB591="",FALSE,TRUE),EXACT(Metadata!AB591,"256318"))</f>
        <v>0</v>
      </c>
      <c r="BP591" t="b">
        <f>IF(Metadata!AC591="",FALSE,TRUE)</f>
        <v>0</v>
      </c>
      <c r="BQ591" t="b">
        <f>IF(Metadata!AD591="",FALSE,TRUE)</f>
        <v>0</v>
      </c>
    </row>
    <row r="592" spans="1:69" x14ac:dyDescent="0.2">
      <c r="A592" s="4" t="e">
        <f ca="1">IF(B592=" "," ",HYPERLINK(CONCATENATE("#metadata!",ADDRESS(INDEX($AJ$2:$AJ$1001,MATCH(ROWS($AH$2:AH592),$AH$2:$AH$1001,0),0),2)),INDEX($AM$2:$AM$1001,MATCH(ROWS($AH$2:AH592),$AH$2:$AH$1001,0),0)))</f>
        <v>#N/A</v>
      </c>
      <c r="B592" s="5" t="e">
        <f ca="1">IF(OR(INDEX($AI$2:$AI$1001,MATCH(ROWS($AH$2:AH592),$AH$2:$AH$1001,0),1)&gt;=100000,INDEX($AO$1005:$BQ$1005,1,MATCH(COLUMNS($AO$1006:AO1006),$AO$1006:$BQ$1006,0))&gt;=100000), " ",IF(INDEX($AO$2:$BQ$1001,MATCH(ROWS($AH$2:AH592),$AH$2:$AH$1001,0),MATCH(COLUMNS($AO$1006:AO1006),$AO$1006:$BQ$1006,0)), HYPERLINK("#",""), HYPERLINK(CONCATENATE("#Metadata!", ADDRESS(INDEX($AJ$2:$AJ$1001,MATCH(ROWS($AH$2:AH592),$AH$2:$AH$1001,0),0), INDEX($AO$1004:$BQ$1004,1,MATCH(COLUMNS($AO$1006:AO1006),$AO$1006:$BQ$1006,0)))),"Fix")))</f>
        <v>#N/A</v>
      </c>
      <c r="C592" s="5" t="e">
        <f ca="1">IF(OR(INDEX($AI$2:$AI$1001,MATCH(ROWS($AH$2:AH592),$AH$2:$AH$1001,0),1)&gt;=100000,INDEX($AO$1005:$BQ$1005,1,MATCH(COLUMNS($AO$1006:AP1006),$AO$1006:$BQ$1006,0))&gt;=100000), " ",IF(INDEX($AO$2:$BQ$1001,MATCH(ROWS($AH$2:AH592),$AH$2:$AH$1001,0),MATCH(COLUMNS($AO$1006:AP1006),$AO$1006:$BQ$1006,0)), HYPERLINK("#",""), HYPERLINK(CONCATENATE("#Metadata!", ADDRESS(INDEX($AJ$2:$AJ$1001,MATCH(ROWS($AH$2:AH592),$AH$2:$AH$1001,0),0), INDEX($AO$1004:$BQ$1004,1,MATCH(COLUMNS($AO$1006:AP1006),$AO$1006:$BQ$1006,0)))),"Fix")))</f>
        <v>#N/A</v>
      </c>
      <c r="D592" s="5" t="e">
        <f ca="1">IF(OR(INDEX($AI$2:$AI$1001,MATCH(ROWS($AH$2:AH592),$AH$2:$AH$1001,0),1)&gt;=100000,INDEX($AO$1005:$BQ$1005,1,MATCH(COLUMNS($AO$1006:AQ1006),$AO$1006:$BQ$1006,0))&gt;=100000), " ",IF(INDEX($AO$2:$BQ$1001,MATCH(ROWS($AH$2:AH592),$AH$2:$AH$1001,0),MATCH(COLUMNS($AO$1006:AQ1006),$AO$1006:$BQ$1006,0)), HYPERLINK("#",""), HYPERLINK(CONCATENATE("#Metadata!", ADDRESS(INDEX($AJ$2:$AJ$1001,MATCH(ROWS($AH$2:AH592),$AH$2:$AH$1001,0),0), INDEX($AO$1004:$BQ$1004,1,MATCH(COLUMNS($AO$1006:AQ1006),$AO$1006:$BQ$1006,0)))),"Fix")))</f>
        <v>#N/A</v>
      </c>
      <c r="E592" s="5" t="e">
        <f ca="1">IF(OR(INDEX($AI$2:$AI$1001,MATCH(ROWS($AH$2:AH592),$AH$2:$AH$1001,0),1)&gt;=100000,INDEX($AO$1005:$BQ$1005,1,MATCH(COLUMNS($AO$1006:AR1006),$AO$1006:$BQ$1006,0))&gt;=100000), " ",IF(INDEX($AO$2:$BQ$1001,MATCH(ROWS($AH$2:AH592),$AH$2:$AH$1001,0),MATCH(COLUMNS($AO$1006:AR1006),$AO$1006:$BQ$1006,0)), HYPERLINK("#",""), HYPERLINK(CONCATENATE("#Metadata!", ADDRESS(INDEX($AJ$2:$AJ$1001,MATCH(ROWS($AH$2:AH592),$AH$2:$AH$1001,0),0), INDEX($AO$1004:$BQ$1004,1,MATCH(COLUMNS($AO$1006:AR1006),$AO$1006:$BQ$1006,0)))),"Fix")))</f>
        <v>#N/A</v>
      </c>
      <c r="F592" s="5" t="e">
        <f ca="1">IF(OR(INDEX($AI$2:$AI$1001,MATCH(ROWS($AH$2:AH592),$AH$2:$AH$1001,0),1)&gt;=100000,INDEX($AO$1005:$BQ$1005,1,MATCH(COLUMNS($AO$1006:AS1006),$AO$1006:$BQ$1006,0))&gt;=100000), " ",IF(INDEX($AO$2:$BQ$1001,MATCH(ROWS($AH$2:AH592),$AH$2:$AH$1001,0),MATCH(COLUMNS($AO$1006:AS1006),$AO$1006:$BQ$1006,0)), HYPERLINK("#",""), HYPERLINK(CONCATENATE("#Metadata!", ADDRESS(INDEX($AJ$2:$AJ$1001,MATCH(ROWS($AH$2:AH592),$AH$2:$AH$1001,0),0), INDEX($AO$1004:$BQ$1004,1,MATCH(COLUMNS($AO$1006:AS1006),$AO$1006:$BQ$1006,0)))),"Fix")))</f>
        <v>#N/A</v>
      </c>
      <c r="G592" s="5" t="e">
        <f ca="1">IF(OR(INDEX($AI$2:$AI$1001,MATCH(ROWS($AH$2:AH592),$AH$2:$AH$1001,0),1)&gt;=100000,INDEX($AO$1005:$BQ$1005,1,MATCH(COLUMNS($AO$1006:AT1006),$AO$1006:$BQ$1006,0))&gt;=100000), " ",IF(INDEX($AO$2:$BQ$1001,MATCH(ROWS($AH$2:AH592),$AH$2:$AH$1001,0),MATCH(COLUMNS($AO$1006:AT1006),$AO$1006:$BQ$1006,0)), HYPERLINK("#",""), HYPERLINK(CONCATENATE("#Metadata!", ADDRESS(INDEX($AJ$2:$AJ$1001,MATCH(ROWS($AH$2:AH592),$AH$2:$AH$1001,0),0), INDEX($AO$1004:$BQ$1004,1,MATCH(COLUMNS($AO$1006:AT1006),$AO$1006:$BQ$1006,0)))),"Fix")))</f>
        <v>#N/A</v>
      </c>
      <c r="H592" s="5" t="e">
        <f ca="1">IF(OR(INDEX($AI$2:$AI$1001,MATCH(ROWS($AH$2:AH592),$AH$2:$AH$1001,0),1)&gt;=100000,INDEX($AO$1005:$BQ$1005,1,MATCH(COLUMNS($AO$1006:AU1006),$AO$1006:$BQ$1006,0))&gt;=100000), " ",IF(INDEX($AO$2:$BQ$1001,MATCH(ROWS($AH$2:AH592),$AH$2:$AH$1001,0),MATCH(COLUMNS($AO$1006:AU1006),$AO$1006:$BQ$1006,0)), HYPERLINK("#",""), HYPERLINK(CONCATENATE("#Metadata!", ADDRESS(INDEX($AJ$2:$AJ$1001,MATCH(ROWS($AH$2:AH592),$AH$2:$AH$1001,0),0), INDEX($AO$1004:$BQ$1004,1,MATCH(COLUMNS($AO$1006:AU1006),$AO$1006:$BQ$1006,0)))),"Fix")))</f>
        <v>#N/A</v>
      </c>
      <c r="I592" s="5" t="e">
        <f ca="1">IF(OR(INDEX($AI$2:$AI$1001,MATCH(ROWS($AH$2:AH592),$AH$2:$AH$1001,0),1)&gt;=100000,INDEX($AO$1005:$BQ$1005,1,MATCH(COLUMNS($AO$1006:AV1006),$AO$1006:$BQ$1006,0))&gt;=100000), " ",IF(INDEX($AO$2:$BQ$1001,MATCH(ROWS($AH$2:AH592),$AH$2:$AH$1001,0),MATCH(COLUMNS($AO$1006:AV1006),$AO$1006:$BQ$1006,0)), HYPERLINK("#",""), HYPERLINK(CONCATENATE("#Metadata!", ADDRESS(INDEX($AJ$2:$AJ$1001,MATCH(ROWS($AH$2:AH592),$AH$2:$AH$1001,0),0), INDEX($AO$1004:$BQ$1004,1,MATCH(COLUMNS($AO$1006:AV1006),$AO$1006:$BQ$1006,0)))),"Fix")))</f>
        <v>#N/A</v>
      </c>
      <c r="J592" s="5" t="e">
        <f ca="1">IF(OR(INDEX($AI$2:$AI$1001,MATCH(ROWS($AH$2:AH592),$AH$2:$AH$1001,0),1)&gt;=100000,INDEX($AO$1005:$BQ$1005,1,MATCH(COLUMNS($AO$1006:AW1006),$AO$1006:$BQ$1006,0))&gt;=100000), " ",IF(INDEX($AO$2:$BQ$1001,MATCH(ROWS($AH$2:AH592),$AH$2:$AH$1001,0),MATCH(COLUMNS($AO$1006:AW1006),$AO$1006:$BQ$1006,0)), HYPERLINK("#",""), HYPERLINK(CONCATENATE("#Metadata!", ADDRESS(INDEX($AJ$2:$AJ$1001,MATCH(ROWS($AH$2:AH592),$AH$2:$AH$1001,0),0), INDEX($AO$1004:$BQ$1004,1,MATCH(COLUMNS($AO$1006:AW1006),$AO$1006:$BQ$1006,0)))),"Fix")))</f>
        <v>#N/A</v>
      </c>
      <c r="K592" s="5" t="e">
        <f ca="1">IF(OR(INDEX($AI$2:$AI$1001,MATCH(ROWS($AH$2:AH592),$AH$2:$AH$1001,0),1)&gt;=100000,INDEX($AO$1005:$BQ$1005,1,MATCH(COLUMNS($AO$1006:AX1006),$AO$1006:$BQ$1006,0))&gt;=100000), " ",IF(INDEX($AO$2:$BQ$1001,MATCH(ROWS($AH$2:AH592),$AH$2:$AH$1001,0),MATCH(COLUMNS($AO$1006:AX1006),$AO$1006:$BQ$1006,0)), HYPERLINK("#",""), HYPERLINK(CONCATENATE("#Metadata!", ADDRESS(INDEX($AJ$2:$AJ$1001,MATCH(ROWS($AH$2:AH592),$AH$2:$AH$1001,0),0), INDEX($AO$1004:$BQ$1004,1,MATCH(COLUMNS($AO$1006:AX1006),$AO$1006:$BQ$1006,0)))),"Fix")))</f>
        <v>#N/A</v>
      </c>
      <c r="L592" s="5" t="e">
        <f ca="1">IF(OR(INDEX($AI$2:$AI$1001,MATCH(ROWS($AH$2:AH592),$AH$2:$AH$1001,0),1)&gt;=100000,INDEX($AO$1005:$BQ$1005,1,MATCH(COLUMNS($AO$1006:AY1006),$AO$1006:$BQ$1006,0))&gt;=100000), " ",IF(INDEX($AO$2:$BQ$1001,MATCH(ROWS($AH$2:AH592),$AH$2:$AH$1001,0),MATCH(COLUMNS($AO$1006:AY1006),$AO$1006:$BQ$1006,0)), HYPERLINK("#",""), HYPERLINK(CONCATENATE("#Metadata!", ADDRESS(INDEX($AJ$2:$AJ$1001,MATCH(ROWS($AH$2:AH592),$AH$2:$AH$1001,0),0), INDEX($AO$1004:$BQ$1004,1,MATCH(COLUMNS($AO$1006:AY1006),$AO$1006:$BQ$1006,0)))),"Fix")))</f>
        <v>#N/A</v>
      </c>
      <c r="M592" s="5" t="e">
        <f ca="1">IF(OR(INDEX($AI$2:$AI$1001,MATCH(ROWS($AH$2:AH592),$AH$2:$AH$1001,0),1)&gt;=100000,INDEX($AO$1005:$BQ$1005,1,MATCH(COLUMNS($AO$1006:AZ1006),$AO$1006:$BQ$1006,0))&gt;=100000), " ",IF(INDEX($AO$2:$BQ$1001,MATCH(ROWS($AH$2:AH592),$AH$2:$AH$1001,0),MATCH(COLUMNS($AO$1006:AZ1006),$AO$1006:$BQ$1006,0)), HYPERLINK("#",""), HYPERLINK(CONCATENATE("#Metadata!", ADDRESS(INDEX($AJ$2:$AJ$1001,MATCH(ROWS($AH$2:AH592),$AH$2:$AH$1001,0),0), INDEX($AO$1004:$BQ$1004,1,MATCH(COLUMNS($AO$1006:AZ1006),$AO$1006:$BQ$1006,0)))),"Fix")))</f>
        <v>#N/A</v>
      </c>
      <c r="N592" s="5" t="e">
        <f ca="1">IF(OR(INDEX($AI$2:$AI$1001,MATCH(ROWS($AH$2:AH592),$AH$2:$AH$1001,0),1)&gt;=100000,INDEX($AO$1005:$BQ$1005,1,MATCH(COLUMNS($AO$1006:BA1006),$AO$1006:$BQ$1006,0))&gt;=100000), " ",IF(INDEX($AO$2:$BQ$1001,MATCH(ROWS($AH$2:AH592),$AH$2:$AH$1001,0),MATCH(COLUMNS($AO$1006:BA1006),$AO$1006:$BQ$1006,0)), HYPERLINK("#",""), HYPERLINK(CONCATENATE("#Metadata!", ADDRESS(INDEX($AJ$2:$AJ$1001,MATCH(ROWS($AH$2:AH592),$AH$2:$AH$1001,0),0), INDEX($AO$1004:$BQ$1004,1,MATCH(COLUMNS($AO$1006:BA1006),$AO$1006:$BQ$1006,0)))),"Fix")))</f>
        <v>#N/A</v>
      </c>
      <c r="O592" s="5" t="e">
        <f ca="1">IF(OR(INDEX($AI$2:$AI$1001,MATCH(ROWS($AH$2:AH592),$AH$2:$AH$1001,0),1)&gt;=100000,INDEX($AO$1005:$BQ$1005,1,MATCH(COLUMNS($AO$1006:BB1006),$AO$1006:$BQ$1006,0))&gt;=100000), " ",IF(INDEX($AO$2:$BQ$1001,MATCH(ROWS($AH$2:AH592),$AH$2:$AH$1001,0),MATCH(COLUMNS($AO$1006:BB1006),$AO$1006:$BQ$1006,0)), HYPERLINK("#",""), HYPERLINK(CONCATENATE("#Metadata!", ADDRESS(INDEX($AJ$2:$AJ$1001,MATCH(ROWS($AH$2:AH592),$AH$2:$AH$1001,0),0), INDEX($AO$1004:$BQ$1004,1,MATCH(COLUMNS($AO$1006:BB1006),$AO$1006:$BQ$1006,0)))),"Fix")))</f>
        <v>#N/A</v>
      </c>
      <c r="P592" s="5" t="e">
        <f ca="1">IF(OR(INDEX($AI$2:$AI$1001,MATCH(ROWS($AH$2:AH592),$AH$2:$AH$1001,0),1)&gt;=100000,INDEX($AO$1005:$BQ$1005,1,MATCH(COLUMNS($AO$1006:BC1006),$AO$1006:$BQ$1006,0))&gt;=100000), " ",IF(INDEX($AO$2:$BQ$1001,MATCH(ROWS($AH$2:AH592),$AH$2:$AH$1001,0),MATCH(COLUMNS($AO$1006:BC1006),$AO$1006:$BQ$1006,0)), HYPERLINK("#",""), HYPERLINK(CONCATENATE("#Metadata!", ADDRESS(INDEX($AJ$2:$AJ$1001,MATCH(ROWS($AH$2:AH592),$AH$2:$AH$1001,0),0), INDEX($AO$1004:$BQ$1004,1,MATCH(COLUMNS($AO$1006:BC1006),$AO$1006:$BQ$1006,0)))),"Fix")))</f>
        <v>#N/A</v>
      </c>
      <c r="Q592" s="5" t="e">
        <f ca="1">IF(OR(INDEX($AI$2:$AI$1001,MATCH(ROWS($AH$2:AH592),$AH$2:$AH$1001,0),1)&gt;=100000,INDEX($AO$1005:$BQ$1005,1,MATCH(COLUMNS($AO$1006:BD1006),$AO$1006:$BQ$1006,0))&gt;=100000), " ",IF(INDEX($AO$2:$BQ$1001,MATCH(ROWS($AH$2:AH592),$AH$2:$AH$1001,0),MATCH(COLUMNS($AO$1006:BD1006),$AO$1006:$BQ$1006,0)), HYPERLINK("#",""), HYPERLINK(CONCATENATE("#Metadata!", ADDRESS(INDEX($AJ$2:$AJ$1001,MATCH(ROWS($AH$2:AH592),$AH$2:$AH$1001,0),0), INDEX($AO$1004:$BQ$1004,1,MATCH(COLUMNS($AO$1006:BD1006),$AO$1006:$BQ$1006,0)))),"Fix")))</f>
        <v>#N/A</v>
      </c>
      <c r="R592" s="5" t="e">
        <f ca="1">IF(OR(INDEX($AI$2:$AI$1001,MATCH(ROWS($AH$2:AH592),$AH$2:$AH$1001,0),1)&gt;=100000,INDEX($AO$1005:$BQ$1005,1,MATCH(COLUMNS($AO$1006:BE1006),$AO$1006:$BQ$1006,0))&gt;=100000), " ",IF(INDEX($AO$2:$BQ$1001,MATCH(ROWS($AH$2:AH592),$AH$2:$AH$1001,0),MATCH(COLUMNS($AO$1006:BE1006),$AO$1006:$BQ$1006,0)), HYPERLINK("#",""), HYPERLINK(CONCATENATE("#Metadata!", ADDRESS(INDEX($AJ$2:$AJ$1001,MATCH(ROWS($AH$2:AH592),$AH$2:$AH$1001,0),0), INDEX($AO$1004:$BQ$1004,1,MATCH(COLUMNS($AO$1006:BE1006),$AO$1006:$BQ$1006,0)))),"Fix")))</f>
        <v>#N/A</v>
      </c>
      <c r="S592" s="5" t="e">
        <f ca="1">IF(OR(INDEX($AI$2:$AI$1001,MATCH(ROWS($AH$2:AH592),$AH$2:$AH$1001,0),1)&gt;=100000,INDEX($AO$1005:$BQ$1005,1,MATCH(COLUMNS($AO$1006:BF1006),$AO$1006:$BQ$1006,0))&gt;=100000), " ",IF(INDEX($AO$2:$BQ$1001,MATCH(ROWS($AH$2:AH592),$AH$2:$AH$1001,0),MATCH(COLUMNS($AO$1006:BF1006),$AO$1006:$BQ$1006,0)), HYPERLINK("#",""), HYPERLINK(CONCATENATE("#Metadata!", ADDRESS(INDEX($AJ$2:$AJ$1001,MATCH(ROWS($AH$2:AH592),$AH$2:$AH$1001,0),0), INDEX($AO$1004:$BQ$1004,1,MATCH(COLUMNS($AO$1006:BF1006),$AO$1006:$BQ$1006,0)))),"Fix")))</f>
        <v>#N/A</v>
      </c>
      <c r="T592" s="5" t="e">
        <f ca="1">IF(OR(INDEX($AI$2:$AI$1001,MATCH(ROWS($AH$2:AH592),$AH$2:$AH$1001,0),1)&gt;=100000,INDEX($AO$1005:$BQ$1005,1,MATCH(COLUMNS($AO$1006:BG1006),$AO$1006:$BQ$1006,0))&gt;=100000), " ",IF(INDEX($AO$2:$BQ$1001,MATCH(ROWS($AH$2:AH592),$AH$2:$AH$1001,0),MATCH(COLUMNS($AO$1006:BG1006),$AO$1006:$BQ$1006,0)), HYPERLINK("#",""), HYPERLINK(CONCATENATE("#Metadata!", ADDRESS(INDEX($AJ$2:$AJ$1001,MATCH(ROWS($AH$2:AH592),$AH$2:$AH$1001,0),0), INDEX($AO$1004:$BQ$1004,1,MATCH(COLUMNS($AO$1006:BG1006),$AO$1006:$BQ$1006,0)))),"Fix")))</f>
        <v>#N/A</v>
      </c>
      <c r="U592" s="5" t="e">
        <f ca="1">IF(OR(INDEX($AI$2:$AI$1001,MATCH(ROWS($AH$2:AH592),$AH$2:$AH$1001,0),1)&gt;=100000,INDEX($AO$1005:$BQ$1005,1,MATCH(COLUMNS($AO$1006:BH1006),$AO$1006:$BQ$1006,0))&gt;=100000), " ",IF(INDEX($AO$2:$BQ$1001,MATCH(ROWS($AH$2:AH592),$AH$2:$AH$1001,0),MATCH(COLUMNS($AO$1006:BH1006),$AO$1006:$BQ$1006,0)), HYPERLINK("#",""), HYPERLINK(CONCATENATE("#Metadata!", ADDRESS(INDEX($AJ$2:$AJ$1001,MATCH(ROWS($AH$2:AH592),$AH$2:$AH$1001,0),0), INDEX($AO$1004:$BQ$1004,1,MATCH(COLUMNS($AO$1006:BH1006),$AO$1006:$BQ$1006,0)))),"Fix")))</f>
        <v>#N/A</v>
      </c>
      <c r="V592" s="5" t="e">
        <f ca="1">IF(OR(INDEX($AI$2:$AI$1001,MATCH(ROWS($AH$2:AH592),$AH$2:$AH$1001,0),1)&gt;=100000,INDEX($AO$1005:$BQ$1005,1,MATCH(COLUMNS($AO$1006:BI1006),$AO$1006:$BQ$1006,0))&gt;=100000), " ",IF(INDEX($AO$2:$BQ$1001,MATCH(ROWS($AH$2:AH592),$AH$2:$AH$1001,0),MATCH(COLUMNS($AO$1006:BI1006),$AO$1006:$BQ$1006,0)), HYPERLINK("#",""), HYPERLINK(CONCATENATE("#Metadata!", ADDRESS(INDEX($AJ$2:$AJ$1001,MATCH(ROWS($AH$2:AH592),$AH$2:$AH$1001,0),0), INDEX($AO$1004:$BQ$1004,1,MATCH(COLUMNS($AO$1006:BI1006),$AO$1006:$BQ$1006,0)))),"Fix")))</f>
        <v>#N/A</v>
      </c>
      <c r="W592" s="5" t="e">
        <f ca="1">IF(OR(INDEX($AI$2:$AI$1001,MATCH(ROWS($AH$2:AH592),$AH$2:$AH$1001,0),1)&gt;=100000,INDEX($AO$1005:$BQ$1005,1,MATCH(COLUMNS($AO$1006:BJ1006),$AO$1006:$BQ$1006,0))&gt;=100000), " ",IF(INDEX($AO$2:$BQ$1001,MATCH(ROWS($AH$2:AH592),$AH$2:$AH$1001,0),MATCH(COLUMNS($AO$1006:BJ1006),$AO$1006:$BQ$1006,0)), HYPERLINK("#",""), HYPERLINK(CONCATENATE("#Metadata!", ADDRESS(INDEX($AJ$2:$AJ$1001,MATCH(ROWS($AH$2:AH592),$AH$2:$AH$1001,0),0), INDEX($AO$1004:$BQ$1004,1,MATCH(COLUMNS($AO$1006:BJ1006),$AO$1006:$BQ$1006,0)))),"Fix")))</f>
        <v>#N/A</v>
      </c>
      <c r="X592" s="5" t="e">
        <f ca="1">IF(OR(INDEX($AI$2:$AI$1001,MATCH(ROWS($AH$2:AH592),$AH$2:$AH$1001,0),1)&gt;=100000,INDEX($AO$1005:$BQ$1005,1,MATCH(COLUMNS($AO$1006:BK1006),$AO$1006:$BQ$1006,0))&gt;=100000), " ",IF(INDEX($AO$2:$BQ$1001,MATCH(ROWS($AH$2:AH592),$AH$2:$AH$1001,0),MATCH(COLUMNS($AO$1006:BK1006),$AO$1006:$BQ$1006,0)), HYPERLINK("#",""), HYPERLINK(CONCATENATE("#Metadata!", ADDRESS(INDEX($AJ$2:$AJ$1001,MATCH(ROWS($AH$2:AH592),$AH$2:$AH$1001,0),0), INDEX($AO$1004:$BQ$1004,1,MATCH(COLUMNS($AO$1006:BK1006),$AO$1006:$BQ$1006,0)))),"Fix")))</f>
        <v>#N/A</v>
      </c>
      <c r="Y592" s="5" t="e">
        <f ca="1">IF(OR(INDEX($AI$2:$AI$1001,MATCH(ROWS($AH$2:AH592),$AH$2:$AH$1001,0),1)&gt;=100000,INDEX($AO$1005:$BQ$1005,1,MATCH(COLUMNS($AO$1006:BL1006),$AO$1006:$BQ$1006,0))&gt;=100000), " ",IF(INDEX($AO$2:$BQ$1001,MATCH(ROWS($AH$2:AH592),$AH$2:$AH$1001,0),MATCH(COLUMNS($AO$1006:BL1006),$AO$1006:$BQ$1006,0)), HYPERLINK("#",""), HYPERLINK(CONCATENATE("#Metadata!", ADDRESS(INDEX($AJ$2:$AJ$1001,MATCH(ROWS($AH$2:AH592),$AH$2:$AH$1001,0),0), INDEX($AO$1004:$BQ$1004,1,MATCH(COLUMNS($AO$1006:BL1006),$AO$1006:$BQ$1006,0)))),"Fix")))</f>
        <v>#N/A</v>
      </c>
      <c r="Z592" s="5" t="e">
        <f ca="1">IF(OR(INDEX($AI$2:$AI$1001,MATCH(ROWS($AH$2:AH592),$AH$2:$AH$1001,0),1)&gt;=100000,INDEX($AO$1005:$BQ$1005,1,MATCH(COLUMNS($AO$1006:BM1006),$AO$1006:$BQ$1006,0))&gt;=100000), " ",IF(INDEX($AO$2:$BQ$1001,MATCH(ROWS($AH$2:AH592),$AH$2:$AH$1001,0),MATCH(COLUMNS($AO$1006:BM1006),$AO$1006:$BQ$1006,0)), HYPERLINK("#",""), HYPERLINK(CONCATENATE("#Metadata!", ADDRESS(INDEX($AJ$2:$AJ$1001,MATCH(ROWS($AH$2:AH592),$AH$2:$AH$1001,0),0), INDEX($AO$1004:$BQ$1004,1,MATCH(COLUMNS($AO$1006:BM1006),$AO$1006:$BQ$1006,0)))),"Fix")))</f>
        <v>#N/A</v>
      </c>
      <c r="AA592" s="5" t="e">
        <f ca="1">IF(OR(INDEX($AI$2:$AI$1001,MATCH(ROWS($AH$2:AH592),$AH$2:$AH$1001,0),1)&gt;=100000,INDEX($AO$1005:$BQ$1005,1,MATCH(COLUMNS($AO$1006:BN1006),$AO$1006:$BQ$1006,0))&gt;=100000), " ",IF(INDEX($AO$2:$BQ$1001,MATCH(ROWS($AH$2:AH592),$AH$2:$AH$1001,0),MATCH(COLUMNS($AO$1006:BN1006),$AO$1006:$BQ$1006,0)), HYPERLINK("#",""), HYPERLINK(CONCATENATE("#Metadata!", ADDRESS(INDEX($AJ$2:$AJ$1001,MATCH(ROWS($AH$2:AH592),$AH$2:$AH$1001,0),0), INDEX($AO$1004:$BQ$1004,1,MATCH(COLUMNS($AO$1006:BN1006),$AO$1006:$BQ$1006,0)))),"Fix")))</f>
        <v>#N/A</v>
      </c>
      <c r="AB592" s="5" t="e">
        <f ca="1">IF(OR(INDEX($AI$2:$AI$1001,MATCH(ROWS($AH$2:AH592),$AH$2:$AH$1001,0),1)&gt;=100000,INDEX($AO$1005:$BQ$1005,1,MATCH(COLUMNS($AO$1006:BO1006),$AO$1006:$BQ$1006,0))&gt;=100000), " ",IF(INDEX($AO$2:$BQ$1001,MATCH(ROWS($AH$2:AH592),$AH$2:$AH$1001,0),MATCH(COLUMNS($AO$1006:BO1006),$AO$1006:$BQ$1006,0)), HYPERLINK("#",""), HYPERLINK(CONCATENATE("#Metadata!", ADDRESS(INDEX($AJ$2:$AJ$1001,MATCH(ROWS($AH$2:AH592),$AH$2:$AH$1001,0),0), INDEX($AO$1004:$BQ$1004,1,MATCH(COLUMNS($AO$1006:BO1006),$AO$1006:$BQ$1006,0)))),"Fix")))</f>
        <v>#N/A</v>
      </c>
      <c r="AC592" s="5" t="e">
        <f ca="1">IF(OR(INDEX($AI$2:$AI$1001,MATCH(ROWS($AH$2:AH592),$AH$2:$AH$1001,0),1)&gt;=100000,INDEX($AO$1005:$BQ$1005,1,MATCH(COLUMNS($AO$1006:BP1006),$AO$1006:$BQ$1006,0))&gt;=100000), " ",IF(INDEX($AO$2:$BQ$1001,MATCH(ROWS($AH$2:AH592),$AH$2:$AH$1001,0),MATCH(COLUMNS($AO$1006:BP1006),$AO$1006:$BQ$1006,0)), HYPERLINK("#",""), HYPERLINK(CONCATENATE("#Metadata!", ADDRESS(INDEX($AJ$2:$AJ$1001,MATCH(ROWS($AH$2:AH592),$AH$2:$AH$1001,0),0), INDEX($AO$1004:$BQ$1004,1,MATCH(COLUMNS($AO$1006:BP1006),$AO$1006:$BQ$1006,0)))),"Fix")))</f>
        <v>#N/A</v>
      </c>
      <c r="AD592" s="5" t="e">
        <f ca="1">IF(OR(INDEX($AI$2:$AI$1001,MATCH(ROWS($AH$2:AH592),$AH$2:$AH$1001,0),1)&gt;=100000,INDEX($AO$1005:$BQ$1005,1,MATCH(COLUMNS($AO$1006:BQ1006),$AO$1006:$BQ$1006,0))&gt;=100000), " ",IF(INDEX($AO$2:$BQ$1001,MATCH(ROWS($AH$2:AH592),$AH$2:$AH$1001,0),MATCH(COLUMNS($AO$1006:BQ1006),$AO$1006:$BQ$1006,0)), HYPERLINK("#",""), HYPERLINK(CONCATENATE("#Metadata!", ADDRESS(INDEX($AJ$2:$AJ$1001,MATCH(ROWS($AH$2:AH592),$AH$2:$AH$1001,0),0), INDEX($AO$1004:$BQ$1004,1,MATCH(COLUMNS($AO$1006:BQ1006),$AO$1006:$BQ$1006,0)))),"Fix")))</f>
        <v>#REF!</v>
      </c>
      <c r="AH592">
        <f ca="1"/>
        <v>589</v>
      </c>
      <c r="AI592">
        <v>100592</v>
      </c>
      <c r="AJ592">
        <v>592</v>
      </c>
      <c r="AK592" t="b">
        <f t="shared" si="9"/>
        <v>1</v>
      </c>
      <c r="AL592" t="b">
        <f>COUNTBLANK(Metadata!B592:AD592)=COLUMNS(Metadata!B592:AD592)</f>
        <v>1</v>
      </c>
      <c r="AM592" t="str">
        <v/>
      </c>
      <c r="AO592" t="b">
        <f ca="1">AND(IF(Metadata!B592="",FALSE,TRUE),COUNTIF(Metadata!B:B, Metadata!B592) = 1,NOT(ISERROR(SUMPRODUCT(SEARCH(MID(Metadata!B592,ROW(INDIRECT("1:"&amp;LEN(Metadata!B592))), 1),"0123456789abcdefghijklmnopqrstuvwxyzABCDEFGHIJKLMNOPQRSTUVWXYZ.")))))</f>
        <v>0</v>
      </c>
      <c r="AP592" t="b">
        <f>IF(Metadata!C592="",FALSE,TRUE)</f>
        <v>0</v>
      </c>
      <c r="AQ592" t="b">
        <f>IF(Metadata!D592="",FALSE,TRUE)</f>
        <v>0</v>
      </c>
      <c r="AR592" t="b">
        <f ca="1">OR(AND(IF(Metadata!E592="",FALSE,TRUE),OR(EXACT(Metadata!E592,"not collected"),EXACT(Metadata!E592,"not provided"),EXACT(Metadata!E592,"restricted access"))),AND(IF(Metadata!E592="",FALSE,TRUE),AND(AND(IFERROR(INT(LEFT(Metadata!E592,4))&gt;1900,FALSE),IFERROR(INT(LEFT(Metadata!E592,4))&lt;=YEAR(NOW()),FALSE)), OR(MID(Metadata!E592,5,1)="", AND(AND(MID(Metadata!E592,5,1)="-",IFERROR(INT(MID(Metadata!E592,6,1))&gt;=0,FALSE),IFERROR(INT(MID(Metadata!E592,6,1))&lt;=1,FALSE),NOT(MID(Metadata!E592,7,1)=""),IFERROR(INT(MID(Metadata!E592,6,2))&gt;=1,FALSE),IFERROR(INT(MID(Metadata!E592,6,2))&lt;=12,FALSE)), OR(MID(Metadata!E592,8,1)="", AND(AND(MID(Metadata!E592,8,1)="-",IFERROR(INT(MID(Metadata!E592,9,1))&gt;=0,FALSE),IFERROR(INT(MID(Metadata!E592,9,1))&lt;=3,FALSE),NOT(MID(Metadata!E592,10,1)=""),IFERROR(INT(MID(Metadata!E592,9,2))&gt;=1,FALSE),IFERROR(INT(MID(Metadata!E592,9,2))&lt;=31,FALSE)), OR(MID(Metadata!E592,11,1)="", AND(AND(MID(Metadata!E592,11,1)=" ",IFERROR(INT(MID(Metadata!E592,12,1))&gt;=0,FALSE),IFERROR(INT(MID(Metadata!E592,12,1))&lt;=2,FALSE),NOT(MID(Metadata!E592,13,1)=""),IFERROR(INT(MID(Metadata!E592,12,2))&gt;=0,FALSE),IFERROR(INT(MID(Metadata!E592,12,2))&lt;=23,FALSE)), OR(MID(Metadata!E592,14,1)="", AND(AND(MID(Metadata!E592,14,1)=":",IFERROR(INT(MID(Metadata!E592,15,1))&gt;=0,FALSE),IFERROR(INT(MID(Metadata!E592,15,1))&lt;=5,FALSE),NOT(MID(Metadata!E592,16,1)=""),IFERROR(INT(MID(Metadata!E592,15,2))&gt;=0,FALSE),IFERROR(INT(MID(Metadata!E592,15,2))&lt;=59,FALSE)), OR(MID(Metadata!E592,17,1)="", AND(AND(MID(Metadata!E592,17,1)=":",IFERROR(INT(MID(Metadata!E592,18,1))&gt;=0,FALSE),IFERROR(INT(MID(Metadata!E592,18,1))&lt;=5,FALSE),NOT(MID(Metadata!E592,19,1)=""),IFERROR(INT(MID(Metadata!E592,18,2))&gt;=0,FALSE),IFERROR(INT(MID(Metadata!E592,18,2))&lt;=59,FALSE)), LEN(Metadata!E592)&lt;=19)))))))))))))</f>
        <v>0</v>
      </c>
      <c r="AS592" t="b">
        <f>IF(Metadata!F592="",FALSE,TRUE)</f>
        <v>0</v>
      </c>
      <c r="AT592" t="b">
        <f>OR(AND(IF(Metadata!G592="",FALSE,TRUE),OR(EXACT(Metadata!G592,"not collected"),EXACT(Metadata!G592,"not provided"))),AND(IF(Metadata!G592="",FALSE,TRUE),OR(EXACT(Metadata!G592,"TRUE"),EXACT(Metadata!G592,"FALSE"))))</f>
        <v>0</v>
      </c>
      <c r="AU592" t="b">
        <f>OR(AND(IF(Metadata!H592="",FALSE,TRUE),OR(EXACT(Metadata!H592,"not collected"),EXACT(Metadata!H592,"not provided"),EXACT(Metadata!H592,"restricted access"))),AND(IF(Metadata!H592="",FALSE,ISNUMBER(VALUE(Metadata!H592))),Metadata!H592&gt;=-413))</f>
        <v>0</v>
      </c>
      <c r="AV592" t="b">
        <f>AND(IF(Metadata!I592="",FALSE,TRUE),EXACT(Metadata!I592,"meters"))</f>
        <v>0</v>
      </c>
      <c r="AW592" t="b">
        <f>AND(IF(Metadata!J592="",FALSE,TRUE),EXACT(Metadata!J592,"free-living"))</f>
        <v>0</v>
      </c>
      <c r="AX592" t="b">
        <f>AND(IF(Metadata!K592="",FALSE,TRUE),OR(EXACT(Metadata!K592,"saline"),EXACT(Metadata!K592,"non-saline")))</f>
        <v>0</v>
      </c>
      <c r="AY592" t="b">
        <f>AND(IF(Metadata!L592="",FALSE,TRUE),OR(EXACT(Metadata!L592,"sub-surface (non-saline)"),EXACT(Metadata!L592,"surface (non-saline)"),EXACT(Metadata!L592,"water (non-saline)"),EXACT(Metadata!L592,"soil (non-saline)"),EXACT(Metadata!L592,"aerosol (non-saline)"),EXACT(Metadata!L592,"sediment (non-saline)"),EXACT(Metadata!L592,"surface (saline)"),EXACT(Metadata!L592,"water (saline)"),EXACT(Metadata!L592,"hypersaline (saline)"),EXACT(Metadata!L592,"aerosol (saline)"),EXACT(Metadata!L592,"sediment (saline)")))</f>
        <v>0</v>
      </c>
      <c r="AZ592" t="b">
        <f>IF(Metadata!M592="",FALSE,TRUE)</f>
        <v>0</v>
      </c>
      <c r="BA592" t="b">
        <f>IF(Metadata!N592="",FALSE,TRUE)</f>
        <v>0</v>
      </c>
      <c r="BB592" t="b">
        <f>IF(Metadata!O592="",FALSE,TRUE)</f>
        <v>0</v>
      </c>
      <c r="BC592" t="b">
        <f>AND(IF(Metadata!P592="",FALSE,TRUE),OR(EXACT(Metadata!P592,"air"),EXACT(Metadata!P592,"microbial mat/biofilm"),EXACT(Metadata!P592,"misc environment"),EXACT(Metadata!P592,"sediment"),EXACT(Metadata!P592,"soil"),EXACT(Metadata!P592,"wastewater/sludge"),EXACT(Metadata!P592,"water")))</f>
        <v>0</v>
      </c>
      <c r="BD592" t="b">
        <f>IF(Metadata!Q592="",FALSE,TRUE)</f>
        <v>0</v>
      </c>
      <c r="BE592" t="b">
        <f>IF(Metadata!R592="",FALSE,TRUE)</f>
        <v>0</v>
      </c>
      <c r="BF592" t="b">
        <f>OR(AND(IF(Metadata!S592="",FALSE,TRUE),OR(EXACT(Metadata!S592,"not collected"),EXACT(Metadata!S592,"not provided"),EXACT(Metadata!S592,"restricted access"))),AND(IF(Metadata!S592="",FALSE,ISNUMBER(VALUE(Metadata!S592))),Metadata!S592&gt;=-90,Metadata!S592&lt;=90))</f>
        <v>0</v>
      </c>
      <c r="BG592" t="b">
        <f>AND(IF(Metadata!T592="",FALSE,TRUE),EXACT(Metadata!T592,"Decimal degrees"))</f>
        <v>0</v>
      </c>
      <c r="BH592" t="b">
        <f>OR(AND(IF(Metadata!U592="",FALSE,TRUE),OR(EXACT(Metadata!U592,"not applicable"),EXACT(Metadata!U592,"not collected"))),IF(Metadata!U592="",FALSE,TRUE))</f>
        <v>0</v>
      </c>
      <c r="BI592" t="b">
        <f>OR(AND(IF(Metadata!V592="",FALSE,TRUE),OR(EXACT(Metadata!V592,"not collected"),EXACT(Metadata!V592,"not provided"),EXACT(Metadata!V592,"restricted access"))),AND(IF(Metadata!V592="",FALSE,ISNUMBER(VALUE(Metadata!V592))),Metadata!V592&gt;=-180,Metadata!V592&lt;=180))</f>
        <v>0</v>
      </c>
      <c r="BJ592" t="b">
        <f>AND(IF(Metadata!W592="",FALSE,TRUE),EXACT(Metadata!W592,"Decimal degrees"))</f>
        <v>0</v>
      </c>
      <c r="BK592" t="b">
        <f>IF(Metadata!X592="",FALSE,TRUE)</f>
        <v>0</v>
      </c>
      <c r="BL592" t="b">
        <f>OR(AND(IF(Metadata!Y592="",FALSE,TRUE),OR(EXACT(Metadata!Y592,"not collected"),EXACT(Metadata!Y592,"not provided"),EXACT(Metadata!Y592,"restricted access"))),AND(IF(Metadata!Y592="",FALSE,TRUE),OR(EXACT(Metadata!Y592,"TRUE"),EXACT(Metadata!Y592,"FALSE"))))</f>
        <v>0</v>
      </c>
      <c r="BM592" t="b">
        <f>OR(AND(IF(Metadata!Z592="",FALSE,TRUE),EXACT(Metadata!Z592,"not applicable")),AND(IF(Metadata!Z592="",FALSE,TRUE),OR(EXACT(Metadata!Z592,"beer"),EXACT(Metadata!Z592,"cheese"),EXACT(Metadata!Z592,"fresh water"),EXACT(Metadata!Z592,"marine sediment"),EXACT(Metadata!Z592,"sea water"),EXACT(Metadata!Z592,"sediment"),EXACT(Metadata!Z592,"soil"),EXACT(Metadata!Z592,"waste water"))))</f>
        <v>0</v>
      </c>
      <c r="BN592" t="b">
        <f>AND(IF(Metadata!AA592="",FALSE,TRUE),EXACT(Metadata!AA592,"metagenome"))</f>
        <v>0</v>
      </c>
      <c r="BO592" t="b">
        <f>AND(IF(Metadata!AB592="",FALSE,TRUE),EXACT(Metadata!AB592,"256318"))</f>
        <v>0</v>
      </c>
      <c r="BP592" t="b">
        <f>IF(Metadata!AC592="",FALSE,TRUE)</f>
        <v>0</v>
      </c>
      <c r="BQ592" t="b">
        <f>IF(Metadata!AD592="",FALSE,TRUE)</f>
        <v>0</v>
      </c>
    </row>
    <row r="593" spans="1:69" x14ac:dyDescent="0.2">
      <c r="A593" s="4" t="e">
        <f ca="1">IF(B593=" "," ",HYPERLINK(CONCATENATE("#metadata!",ADDRESS(INDEX($AJ$2:$AJ$1001,MATCH(ROWS($AH$2:AH593),$AH$2:$AH$1001,0),0),2)),INDEX($AM$2:$AM$1001,MATCH(ROWS($AH$2:AH593),$AH$2:$AH$1001,0),0)))</f>
        <v>#N/A</v>
      </c>
      <c r="B593" s="5" t="e">
        <f ca="1">IF(OR(INDEX($AI$2:$AI$1001,MATCH(ROWS($AH$2:AH593),$AH$2:$AH$1001,0),1)&gt;=100000,INDEX($AO$1005:$BQ$1005,1,MATCH(COLUMNS($AO$1006:AO1006),$AO$1006:$BQ$1006,0))&gt;=100000), " ",IF(INDEX($AO$2:$BQ$1001,MATCH(ROWS($AH$2:AH593),$AH$2:$AH$1001,0),MATCH(COLUMNS($AO$1006:AO1006),$AO$1006:$BQ$1006,0)), HYPERLINK("#",""), HYPERLINK(CONCATENATE("#Metadata!", ADDRESS(INDEX($AJ$2:$AJ$1001,MATCH(ROWS($AH$2:AH593),$AH$2:$AH$1001,0),0), INDEX($AO$1004:$BQ$1004,1,MATCH(COLUMNS($AO$1006:AO1006),$AO$1006:$BQ$1006,0)))),"Fix")))</f>
        <v>#N/A</v>
      </c>
      <c r="C593" s="5" t="e">
        <f ca="1">IF(OR(INDEX($AI$2:$AI$1001,MATCH(ROWS($AH$2:AH593),$AH$2:$AH$1001,0),1)&gt;=100000,INDEX($AO$1005:$BQ$1005,1,MATCH(COLUMNS($AO$1006:AP1006),$AO$1006:$BQ$1006,0))&gt;=100000), " ",IF(INDEX($AO$2:$BQ$1001,MATCH(ROWS($AH$2:AH593),$AH$2:$AH$1001,0),MATCH(COLUMNS($AO$1006:AP1006),$AO$1006:$BQ$1006,0)), HYPERLINK("#",""), HYPERLINK(CONCATENATE("#Metadata!", ADDRESS(INDEX($AJ$2:$AJ$1001,MATCH(ROWS($AH$2:AH593),$AH$2:$AH$1001,0),0), INDEX($AO$1004:$BQ$1004,1,MATCH(COLUMNS($AO$1006:AP1006),$AO$1006:$BQ$1006,0)))),"Fix")))</f>
        <v>#N/A</v>
      </c>
      <c r="D593" s="5" t="e">
        <f ca="1">IF(OR(INDEX($AI$2:$AI$1001,MATCH(ROWS($AH$2:AH593),$AH$2:$AH$1001,0),1)&gt;=100000,INDEX($AO$1005:$BQ$1005,1,MATCH(COLUMNS($AO$1006:AQ1006),$AO$1006:$BQ$1006,0))&gt;=100000), " ",IF(INDEX($AO$2:$BQ$1001,MATCH(ROWS($AH$2:AH593),$AH$2:$AH$1001,0),MATCH(COLUMNS($AO$1006:AQ1006),$AO$1006:$BQ$1006,0)), HYPERLINK("#",""), HYPERLINK(CONCATENATE("#Metadata!", ADDRESS(INDEX($AJ$2:$AJ$1001,MATCH(ROWS($AH$2:AH593),$AH$2:$AH$1001,0),0), INDEX($AO$1004:$BQ$1004,1,MATCH(COLUMNS($AO$1006:AQ1006),$AO$1006:$BQ$1006,0)))),"Fix")))</f>
        <v>#N/A</v>
      </c>
      <c r="E593" s="5" t="e">
        <f ca="1">IF(OR(INDEX($AI$2:$AI$1001,MATCH(ROWS($AH$2:AH593),$AH$2:$AH$1001,0),1)&gt;=100000,INDEX($AO$1005:$BQ$1005,1,MATCH(COLUMNS($AO$1006:AR1006),$AO$1006:$BQ$1006,0))&gt;=100000), " ",IF(INDEX($AO$2:$BQ$1001,MATCH(ROWS($AH$2:AH593),$AH$2:$AH$1001,0),MATCH(COLUMNS($AO$1006:AR1006),$AO$1006:$BQ$1006,0)), HYPERLINK("#",""), HYPERLINK(CONCATENATE("#Metadata!", ADDRESS(INDEX($AJ$2:$AJ$1001,MATCH(ROWS($AH$2:AH593),$AH$2:$AH$1001,0),0), INDEX($AO$1004:$BQ$1004,1,MATCH(COLUMNS($AO$1006:AR1006),$AO$1006:$BQ$1006,0)))),"Fix")))</f>
        <v>#N/A</v>
      </c>
      <c r="F593" s="5" t="e">
        <f ca="1">IF(OR(INDEX($AI$2:$AI$1001,MATCH(ROWS($AH$2:AH593),$AH$2:$AH$1001,0),1)&gt;=100000,INDEX($AO$1005:$BQ$1005,1,MATCH(COLUMNS($AO$1006:AS1006),$AO$1006:$BQ$1006,0))&gt;=100000), " ",IF(INDEX($AO$2:$BQ$1001,MATCH(ROWS($AH$2:AH593),$AH$2:$AH$1001,0),MATCH(COLUMNS($AO$1006:AS1006),$AO$1006:$BQ$1006,0)), HYPERLINK("#",""), HYPERLINK(CONCATENATE("#Metadata!", ADDRESS(INDEX($AJ$2:$AJ$1001,MATCH(ROWS($AH$2:AH593),$AH$2:$AH$1001,0),0), INDEX($AO$1004:$BQ$1004,1,MATCH(COLUMNS($AO$1006:AS1006),$AO$1006:$BQ$1006,0)))),"Fix")))</f>
        <v>#N/A</v>
      </c>
      <c r="G593" s="5" t="e">
        <f ca="1">IF(OR(INDEX($AI$2:$AI$1001,MATCH(ROWS($AH$2:AH593),$AH$2:$AH$1001,0),1)&gt;=100000,INDEX($AO$1005:$BQ$1005,1,MATCH(COLUMNS($AO$1006:AT1006),$AO$1006:$BQ$1006,0))&gt;=100000), " ",IF(INDEX($AO$2:$BQ$1001,MATCH(ROWS($AH$2:AH593),$AH$2:$AH$1001,0),MATCH(COLUMNS($AO$1006:AT1006),$AO$1006:$BQ$1006,0)), HYPERLINK("#",""), HYPERLINK(CONCATENATE("#Metadata!", ADDRESS(INDEX($AJ$2:$AJ$1001,MATCH(ROWS($AH$2:AH593),$AH$2:$AH$1001,0),0), INDEX($AO$1004:$BQ$1004,1,MATCH(COLUMNS($AO$1006:AT1006),$AO$1006:$BQ$1006,0)))),"Fix")))</f>
        <v>#N/A</v>
      </c>
      <c r="H593" s="5" t="e">
        <f ca="1">IF(OR(INDEX($AI$2:$AI$1001,MATCH(ROWS($AH$2:AH593),$AH$2:$AH$1001,0),1)&gt;=100000,INDEX($AO$1005:$BQ$1005,1,MATCH(COLUMNS($AO$1006:AU1006),$AO$1006:$BQ$1006,0))&gt;=100000), " ",IF(INDEX($AO$2:$BQ$1001,MATCH(ROWS($AH$2:AH593),$AH$2:$AH$1001,0),MATCH(COLUMNS($AO$1006:AU1006),$AO$1006:$BQ$1006,0)), HYPERLINK("#",""), HYPERLINK(CONCATENATE("#Metadata!", ADDRESS(INDEX($AJ$2:$AJ$1001,MATCH(ROWS($AH$2:AH593),$AH$2:$AH$1001,0),0), INDEX($AO$1004:$BQ$1004,1,MATCH(COLUMNS($AO$1006:AU1006),$AO$1006:$BQ$1006,0)))),"Fix")))</f>
        <v>#N/A</v>
      </c>
      <c r="I593" s="5" t="e">
        <f ca="1">IF(OR(INDEX($AI$2:$AI$1001,MATCH(ROWS($AH$2:AH593),$AH$2:$AH$1001,0),1)&gt;=100000,INDEX($AO$1005:$BQ$1005,1,MATCH(COLUMNS($AO$1006:AV1006),$AO$1006:$BQ$1006,0))&gt;=100000), " ",IF(INDEX($AO$2:$BQ$1001,MATCH(ROWS($AH$2:AH593),$AH$2:$AH$1001,0),MATCH(COLUMNS($AO$1006:AV1006),$AO$1006:$BQ$1006,0)), HYPERLINK("#",""), HYPERLINK(CONCATENATE("#Metadata!", ADDRESS(INDEX($AJ$2:$AJ$1001,MATCH(ROWS($AH$2:AH593),$AH$2:$AH$1001,0),0), INDEX($AO$1004:$BQ$1004,1,MATCH(COLUMNS($AO$1006:AV1006),$AO$1006:$BQ$1006,0)))),"Fix")))</f>
        <v>#N/A</v>
      </c>
      <c r="J593" s="5" t="e">
        <f ca="1">IF(OR(INDEX($AI$2:$AI$1001,MATCH(ROWS($AH$2:AH593),$AH$2:$AH$1001,0),1)&gt;=100000,INDEX($AO$1005:$BQ$1005,1,MATCH(COLUMNS($AO$1006:AW1006),$AO$1006:$BQ$1006,0))&gt;=100000), " ",IF(INDEX($AO$2:$BQ$1001,MATCH(ROWS($AH$2:AH593),$AH$2:$AH$1001,0),MATCH(COLUMNS($AO$1006:AW1006),$AO$1006:$BQ$1006,0)), HYPERLINK("#",""), HYPERLINK(CONCATENATE("#Metadata!", ADDRESS(INDEX($AJ$2:$AJ$1001,MATCH(ROWS($AH$2:AH593),$AH$2:$AH$1001,0),0), INDEX($AO$1004:$BQ$1004,1,MATCH(COLUMNS($AO$1006:AW1006),$AO$1006:$BQ$1006,0)))),"Fix")))</f>
        <v>#N/A</v>
      </c>
      <c r="K593" s="5" t="e">
        <f ca="1">IF(OR(INDEX($AI$2:$AI$1001,MATCH(ROWS($AH$2:AH593),$AH$2:$AH$1001,0),1)&gt;=100000,INDEX($AO$1005:$BQ$1005,1,MATCH(COLUMNS($AO$1006:AX1006),$AO$1006:$BQ$1006,0))&gt;=100000), " ",IF(INDEX($AO$2:$BQ$1001,MATCH(ROWS($AH$2:AH593),$AH$2:$AH$1001,0),MATCH(COLUMNS($AO$1006:AX1006),$AO$1006:$BQ$1006,0)), HYPERLINK("#",""), HYPERLINK(CONCATENATE("#Metadata!", ADDRESS(INDEX($AJ$2:$AJ$1001,MATCH(ROWS($AH$2:AH593),$AH$2:$AH$1001,0),0), INDEX($AO$1004:$BQ$1004,1,MATCH(COLUMNS($AO$1006:AX1006),$AO$1006:$BQ$1006,0)))),"Fix")))</f>
        <v>#N/A</v>
      </c>
      <c r="L593" s="5" t="e">
        <f ca="1">IF(OR(INDEX($AI$2:$AI$1001,MATCH(ROWS($AH$2:AH593),$AH$2:$AH$1001,0),1)&gt;=100000,INDEX($AO$1005:$BQ$1005,1,MATCH(COLUMNS($AO$1006:AY1006),$AO$1006:$BQ$1006,0))&gt;=100000), " ",IF(INDEX($AO$2:$BQ$1001,MATCH(ROWS($AH$2:AH593),$AH$2:$AH$1001,0),MATCH(COLUMNS($AO$1006:AY1006),$AO$1006:$BQ$1006,0)), HYPERLINK("#",""), HYPERLINK(CONCATENATE("#Metadata!", ADDRESS(INDEX($AJ$2:$AJ$1001,MATCH(ROWS($AH$2:AH593),$AH$2:$AH$1001,0),0), INDEX($AO$1004:$BQ$1004,1,MATCH(COLUMNS($AO$1006:AY1006),$AO$1006:$BQ$1006,0)))),"Fix")))</f>
        <v>#N/A</v>
      </c>
      <c r="M593" s="5" t="e">
        <f ca="1">IF(OR(INDEX($AI$2:$AI$1001,MATCH(ROWS($AH$2:AH593),$AH$2:$AH$1001,0),1)&gt;=100000,INDEX($AO$1005:$BQ$1005,1,MATCH(COLUMNS($AO$1006:AZ1006),$AO$1006:$BQ$1006,0))&gt;=100000), " ",IF(INDEX($AO$2:$BQ$1001,MATCH(ROWS($AH$2:AH593),$AH$2:$AH$1001,0),MATCH(COLUMNS($AO$1006:AZ1006),$AO$1006:$BQ$1006,0)), HYPERLINK("#",""), HYPERLINK(CONCATENATE("#Metadata!", ADDRESS(INDEX($AJ$2:$AJ$1001,MATCH(ROWS($AH$2:AH593),$AH$2:$AH$1001,0),0), INDEX($AO$1004:$BQ$1004,1,MATCH(COLUMNS($AO$1006:AZ1006),$AO$1006:$BQ$1006,0)))),"Fix")))</f>
        <v>#N/A</v>
      </c>
      <c r="N593" s="5" t="e">
        <f ca="1">IF(OR(INDEX($AI$2:$AI$1001,MATCH(ROWS($AH$2:AH593),$AH$2:$AH$1001,0),1)&gt;=100000,INDEX($AO$1005:$BQ$1005,1,MATCH(COLUMNS($AO$1006:BA1006),$AO$1006:$BQ$1006,0))&gt;=100000), " ",IF(INDEX($AO$2:$BQ$1001,MATCH(ROWS($AH$2:AH593),$AH$2:$AH$1001,0),MATCH(COLUMNS($AO$1006:BA1006),$AO$1006:$BQ$1006,0)), HYPERLINK("#",""), HYPERLINK(CONCATENATE("#Metadata!", ADDRESS(INDEX($AJ$2:$AJ$1001,MATCH(ROWS($AH$2:AH593),$AH$2:$AH$1001,0),0), INDEX($AO$1004:$BQ$1004,1,MATCH(COLUMNS($AO$1006:BA1006),$AO$1006:$BQ$1006,0)))),"Fix")))</f>
        <v>#N/A</v>
      </c>
      <c r="O593" s="5" t="e">
        <f ca="1">IF(OR(INDEX($AI$2:$AI$1001,MATCH(ROWS($AH$2:AH593),$AH$2:$AH$1001,0),1)&gt;=100000,INDEX($AO$1005:$BQ$1005,1,MATCH(COLUMNS($AO$1006:BB1006),$AO$1006:$BQ$1006,0))&gt;=100000), " ",IF(INDEX($AO$2:$BQ$1001,MATCH(ROWS($AH$2:AH593),$AH$2:$AH$1001,0),MATCH(COLUMNS($AO$1006:BB1006),$AO$1006:$BQ$1006,0)), HYPERLINK("#",""), HYPERLINK(CONCATENATE("#Metadata!", ADDRESS(INDEX($AJ$2:$AJ$1001,MATCH(ROWS($AH$2:AH593),$AH$2:$AH$1001,0),0), INDEX($AO$1004:$BQ$1004,1,MATCH(COLUMNS($AO$1006:BB1006),$AO$1006:$BQ$1006,0)))),"Fix")))</f>
        <v>#N/A</v>
      </c>
      <c r="P593" s="5" t="e">
        <f ca="1">IF(OR(INDEX($AI$2:$AI$1001,MATCH(ROWS($AH$2:AH593),$AH$2:$AH$1001,0),1)&gt;=100000,INDEX($AO$1005:$BQ$1005,1,MATCH(COLUMNS($AO$1006:BC1006),$AO$1006:$BQ$1006,0))&gt;=100000), " ",IF(INDEX($AO$2:$BQ$1001,MATCH(ROWS($AH$2:AH593),$AH$2:$AH$1001,0),MATCH(COLUMNS($AO$1006:BC1006),$AO$1006:$BQ$1006,0)), HYPERLINK("#",""), HYPERLINK(CONCATENATE("#Metadata!", ADDRESS(INDEX($AJ$2:$AJ$1001,MATCH(ROWS($AH$2:AH593),$AH$2:$AH$1001,0),0), INDEX($AO$1004:$BQ$1004,1,MATCH(COLUMNS($AO$1006:BC1006),$AO$1006:$BQ$1006,0)))),"Fix")))</f>
        <v>#N/A</v>
      </c>
      <c r="Q593" s="5" t="e">
        <f ca="1">IF(OR(INDEX($AI$2:$AI$1001,MATCH(ROWS($AH$2:AH593),$AH$2:$AH$1001,0),1)&gt;=100000,INDEX($AO$1005:$BQ$1005,1,MATCH(COLUMNS($AO$1006:BD1006),$AO$1006:$BQ$1006,0))&gt;=100000), " ",IF(INDEX($AO$2:$BQ$1001,MATCH(ROWS($AH$2:AH593),$AH$2:$AH$1001,0),MATCH(COLUMNS($AO$1006:BD1006),$AO$1006:$BQ$1006,0)), HYPERLINK("#",""), HYPERLINK(CONCATENATE("#Metadata!", ADDRESS(INDEX($AJ$2:$AJ$1001,MATCH(ROWS($AH$2:AH593),$AH$2:$AH$1001,0),0), INDEX($AO$1004:$BQ$1004,1,MATCH(COLUMNS($AO$1006:BD1006),$AO$1006:$BQ$1006,0)))),"Fix")))</f>
        <v>#N/A</v>
      </c>
      <c r="R593" s="5" t="e">
        <f ca="1">IF(OR(INDEX($AI$2:$AI$1001,MATCH(ROWS($AH$2:AH593),$AH$2:$AH$1001,0),1)&gt;=100000,INDEX($AO$1005:$BQ$1005,1,MATCH(COLUMNS($AO$1006:BE1006),$AO$1006:$BQ$1006,0))&gt;=100000), " ",IF(INDEX($AO$2:$BQ$1001,MATCH(ROWS($AH$2:AH593),$AH$2:$AH$1001,0),MATCH(COLUMNS($AO$1006:BE1006),$AO$1006:$BQ$1006,0)), HYPERLINK("#",""), HYPERLINK(CONCATENATE("#Metadata!", ADDRESS(INDEX($AJ$2:$AJ$1001,MATCH(ROWS($AH$2:AH593),$AH$2:$AH$1001,0),0), INDEX($AO$1004:$BQ$1004,1,MATCH(COLUMNS($AO$1006:BE1006),$AO$1006:$BQ$1006,0)))),"Fix")))</f>
        <v>#N/A</v>
      </c>
      <c r="S593" s="5" t="e">
        <f ca="1">IF(OR(INDEX($AI$2:$AI$1001,MATCH(ROWS($AH$2:AH593),$AH$2:$AH$1001,0),1)&gt;=100000,INDEX($AO$1005:$BQ$1005,1,MATCH(COLUMNS($AO$1006:BF1006),$AO$1006:$BQ$1006,0))&gt;=100000), " ",IF(INDEX($AO$2:$BQ$1001,MATCH(ROWS($AH$2:AH593),$AH$2:$AH$1001,0),MATCH(COLUMNS($AO$1006:BF1006),$AO$1006:$BQ$1006,0)), HYPERLINK("#",""), HYPERLINK(CONCATENATE("#Metadata!", ADDRESS(INDEX($AJ$2:$AJ$1001,MATCH(ROWS($AH$2:AH593),$AH$2:$AH$1001,0),0), INDEX($AO$1004:$BQ$1004,1,MATCH(COLUMNS($AO$1006:BF1006),$AO$1006:$BQ$1006,0)))),"Fix")))</f>
        <v>#N/A</v>
      </c>
      <c r="T593" s="5" t="e">
        <f ca="1">IF(OR(INDEX($AI$2:$AI$1001,MATCH(ROWS($AH$2:AH593),$AH$2:$AH$1001,0),1)&gt;=100000,INDEX($AO$1005:$BQ$1005,1,MATCH(COLUMNS($AO$1006:BG1006),$AO$1006:$BQ$1006,0))&gt;=100000), " ",IF(INDEX($AO$2:$BQ$1001,MATCH(ROWS($AH$2:AH593),$AH$2:$AH$1001,0),MATCH(COLUMNS($AO$1006:BG1006),$AO$1006:$BQ$1006,0)), HYPERLINK("#",""), HYPERLINK(CONCATENATE("#Metadata!", ADDRESS(INDEX($AJ$2:$AJ$1001,MATCH(ROWS($AH$2:AH593),$AH$2:$AH$1001,0),0), INDEX($AO$1004:$BQ$1004,1,MATCH(COLUMNS($AO$1006:BG1006),$AO$1006:$BQ$1006,0)))),"Fix")))</f>
        <v>#N/A</v>
      </c>
      <c r="U593" s="5" t="e">
        <f ca="1">IF(OR(INDEX($AI$2:$AI$1001,MATCH(ROWS($AH$2:AH593),$AH$2:$AH$1001,0),1)&gt;=100000,INDEX($AO$1005:$BQ$1005,1,MATCH(COLUMNS($AO$1006:BH1006),$AO$1006:$BQ$1006,0))&gt;=100000), " ",IF(INDEX($AO$2:$BQ$1001,MATCH(ROWS($AH$2:AH593),$AH$2:$AH$1001,0),MATCH(COLUMNS($AO$1006:BH1006),$AO$1006:$BQ$1006,0)), HYPERLINK("#",""), HYPERLINK(CONCATENATE("#Metadata!", ADDRESS(INDEX($AJ$2:$AJ$1001,MATCH(ROWS($AH$2:AH593),$AH$2:$AH$1001,0),0), INDEX($AO$1004:$BQ$1004,1,MATCH(COLUMNS($AO$1006:BH1006),$AO$1006:$BQ$1006,0)))),"Fix")))</f>
        <v>#N/A</v>
      </c>
      <c r="V593" s="5" t="e">
        <f ca="1">IF(OR(INDEX($AI$2:$AI$1001,MATCH(ROWS($AH$2:AH593),$AH$2:$AH$1001,0),1)&gt;=100000,INDEX($AO$1005:$BQ$1005,1,MATCH(COLUMNS($AO$1006:BI1006),$AO$1006:$BQ$1006,0))&gt;=100000), " ",IF(INDEX($AO$2:$BQ$1001,MATCH(ROWS($AH$2:AH593),$AH$2:$AH$1001,0),MATCH(COLUMNS($AO$1006:BI1006),$AO$1006:$BQ$1006,0)), HYPERLINK("#",""), HYPERLINK(CONCATENATE("#Metadata!", ADDRESS(INDEX($AJ$2:$AJ$1001,MATCH(ROWS($AH$2:AH593),$AH$2:$AH$1001,0),0), INDEX($AO$1004:$BQ$1004,1,MATCH(COLUMNS($AO$1006:BI1006),$AO$1006:$BQ$1006,0)))),"Fix")))</f>
        <v>#N/A</v>
      </c>
      <c r="W593" s="5" t="e">
        <f ca="1">IF(OR(INDEX($AI$2:$AI$1001,MATCH(ROWS($AH$2:AH593),$AH$2:$AH$1001,0),1)&gt;=100000,INDEX($AO$1005:$BQ$1005,1,MATCH(COLUMNS($AO$1006:BJ1006),$AO$1006:$BQ$1006,0))&gt;=100000), " ",IF(INDEX($AO$2:$BQ$1001,MATCH(ROWS($AH$2:AH593),$AH$2:$AH$1001,0),MATCH(COLUMNS($AO$1006:BJ1006),$AO$1006:$BQ$1006,0)), HYPERLINK("#",""), HYPERLINK(CONCATENATE("#Metadata!", ADDRESS(INDEX($AJ$2:$AJ$1001,MATCH(ROWS($AH$2:AH593),$AH$2:$AH$1001,0),0), INDEX($AO$1004:$BQ$1004,1,MATCH(COLUMNS($AO$1006:BJ1006),$AO$1006:$BQ$1006,0)))),"Fix")))</f>
        <v>#N/A</v>
      </c>
      <c r="X593" s="5" t="e">
        <f ca="1">IF(OR(INDEX($AI$2:$AI$1001,MATCH(ROWS($AH$2:AH593),$AH$2:$AH$1001,0),1)&gt;=100000,INDEX($AO$1005:$BQ$1005,1,MATCH(COLUMNS($AO$1006:BK1006),$AO$1006:$BQ$1006,0))&gt;=100000), " ",IF(INDEX($AO$2:$BQ$1001,MATCH(ROWS($AH$2:AH593),$AH$2:$AH$1001,0),MATCH(COLUMNS($AO$1006:BK1006),$AO$1006:$BQ$1006,0)), HYPERLINK("#",""), HYPERLINK(CONCATENATE("#Metadata!", ADDRESS(INDEX($AJ$2:$AJ$1001,MATCH(ROWS($AH$2:AH593),$AH$2:$AH$1001,0),0), INDEX($AO$1004:$BQ$1004,1,MATCH(COLUMNS($AO$1006:BK1006),$AO$1006:$BQ$1006,0)))),"Fix")))</f>
        <v>#N/A</v>
      </c>
      <c r="Y593" s="5" t="e">
        <f ca="1">IF(OR(INDEX($AI$2:$AI$1001,MATCH(ROWS($AH$2:AH593),$AH$2:$AH$1001,0),1)&gt;=100000,INDEX($AO$1005:$BQ$1005,1,MATCH(COLUMNS($AO$1006:BL1006),$AO$1006:$BQ$1006,0))&gt;=100000), " ",IF(INDEX($AO$2:$BQ$1001,MATCH(ROWS($AH$2:AH593),$AH$2:$AH$1001,0),MATCH(COLUMNS($AO$1006:BL1006),$AO$1006:$BQ$1006,0)), HYPERLINK("#",""), HYPERLINK(CONCATENATE("#Metadata!", ADDRESS(INDEX($AJ$2:$AJ$1001,MATCH(ROWS($AH$2:AH593),$AH$2:$AH$1001,0),0), INDEX($AO$1004:$BQ$1004,1,MATCH(COLUMNS($AO$1006:BL1006),$AO$1006:$BQ$1006,0)))),"Fix")))</f>
        <v>#N/A</v>
      </c>
      <c r="Z593" s="5" t="e">
        <f ca="1">IF(OR(INDEX($AI$2:$AI$1001,MATCH(ROWS($AH$2:AH593),$AH$2:$AH$1001,0),1)&gt;=100000,INDEX($AO$1005:$BQ$1005,1,MATCH(COLUMNS($AO$1006:BM1006),$AO$1006:$BQ$1006,0))&gt;=100000), " ",IF(INDEX($AO$2:$BQ$1001,MATCH(ROWS($AH$2:AH593),$AH$2:$AH$1001,0),MATCH(COLUMNS($AO$1006:BM1006),$AO$1006:$BQ$1006,0)), HYPERLINK("#",""), HYPERLINK(CONCATENATE("#Metadata!", ADDRESS(INDEX($AJ$2:$AJ$1001,MATCH(ROWS($AH$2:AH593),$AH$2:$AH$1001,0),0), INDEX($AO$1004:$BQ$1004,1,MATCH(COLUMNS($AO$1006:BM1006),$AO$1006:$BQ$1006,0)))),"Fix")))</f>
        <v>#N/A</v>
      </c>
      <c r="AA593" s="5" t="e">
        <f ca="1">IF(OR(INDEX($AI$2:$AI$1001,MATCH(ROWS($AH$2:AH593),$AH$2:$AH$1001,0),1)&gt;=100000,INDEX($AO$1005:$BQ$1005,1,MATCH(COLUMNS($AO$1006:BN1006),$AO$1006:$BQ$1006,0))&gt;=100000), " ",IF(INDEX($AO$2:$BQ$1001,MATCH(ROWS($AH$2:AH593),$AH$2:$AH$1001,0),MATCH(COLUMNS($AO$1006:BN1006),$AO$1006:$BQ$1006,0)), HYPERLINK("#",""), HYPERLINK(CONCATENATE("#Metadata!", ADDRESS(INDEX($AJ$2:$AJ$1001,MATCH(ROWS($AH$2:AH593),$AH$2:$AH$1001,0),0), INDEX($AO$1004:$BQ$1004,1,MATCH(COLUMNS($AO$1006:BN1006),$AO$1006:$BQ$1006,0)))),"Fix")))</f>
        <v>#N/A</v>
      </c>
      <c r="AB593" s="5" t="e">
        <f ca="1">IF(OR(INDEX($AI$2:$AI$1001,MATCH(ROWS($AH$2:AH593),$AH$2:$AH$1001,0),1)&gt;=100000,INDEX($AO$1005:$BQ$1005,1,MATCH(COLUMNS($AO$1006:BO1006),$AO$1006:$BQ$1006,0))&gt;=100000), " ",IF(INDEX($AO$2:$BQ$1001,MATCH(ROWS($AH$2:AH593),$AH$2:$AH$1001,0),MATCH(COLUMNS($AO$1006:BO1006),$AO$1006:$BQ$1006,0)), HYPERLINK("#",""), HYPERLINK(CONCATENATE("#Metadata!", ADDRESS(INDEX($AJ$2:$AJ$1001,MATCH(ROWS($AH$2:AH593),$AH$2:$AH$1001,0),0), INDEX($AO$1004:$BQ$1004,1,MATCH(COLUMNS($AO$1006:BO1006),$AO$1006:$BQ$1006,0)))),"Fix")))</f>
        <v>#N/A</v>
      </c>
      <c r="AC593" s="5" t="e">
        <f ca="1">IF(OR(INDEX($AI$2:$AI$1001,MATCH(ROWS($AH$2:AH593),$AH$2:$AH$1001,0),1)&gt;=100000,INDEX($AO$1005:$BQ$1005,1,MATCH(COLUMNS($AO$1006:BP1006),$AO$1006:$BQ$1006,0))&gt;=100000), " ",IF(INDEX($AO$2:$BQ$1001,MATCH(ROWS($AH$2:AH593),$AH$2:$AH$1001,0),MATCH(COLUMNS($AO$1006:BP1006),$AO$1006:$BQ$1006,0)), HYPERLINK("#",""), HYPERLINK(CONCATENATE("#Metadata!", ADDRESS(INDEX($AJ$2:$AJ$1001,MATCH(ROWS($AH$2:AH593),$AH$2:$AH$1001,0),0), INDEX($AO$1004:$BQ$1004,1,MATCH(COLUMNS($AO$1006:BP1006),$AO$1006:$BQ$1006,0)))),"Fix")))</f>
        <v>#N/A</v>
      </c>
      <c r="AD593" s="5" t="e">
        <f ca="1">IF(OR(INDEX($AI$2:$AI$1001,MATCH(ROWS($AH$2:AH593),$AH$2:$AH$1001,0),1)&gt;=100000,INDEX($AO$1005:$BQ$1005,1,MATCH(COLUMNS($AO$1006:BQ1006),$AO$1006:$BQ$1006,0))&gt;=100000), " ",IF(INDEX($AO$2:$BQ$1001,MATCH(ROWS($AH$2:AH593),$AH$2:$AH$1001,0),MATCH(COLUMNS($AO$1006:BQ1006),$AO$1006:$BQ$1006,0)), HYPERLINK("#",""), HYPERLINK(CONCATENATE("#Metadata!", ADDRESS(INDEX($AJ$2:$AJ$1001,MATCH(ROWS($AH$2:AH593),$AH$2:$AH$1001,0),0), INDEX($AO$1004:$BQ$1004,1,MATCH(COLUMNS($AO$1006:BQ1006),$AO$1006:$BQ$1006,0)))),"Fix")))</f>
        <v>#REF!</v>
      </c>
      <c r="AH593">
        <f ca="1"/>
        <v>590</v>
      </c>
      <c r="AI593">
        <v>100593</v>
      </c>
      <c r="AJ593">
        <v>593</v>
      </c>
      <c r="AK593" t="b">
        <f t="shared" si="9"/>
        <v>1</v>
      </c>
      <c r="AL593" t="b">
        <f>COUNTBLANK(Metadata!B593:AD593)=COLUMNS(Metadata!B593:AD593)</f>
        <v>1</v>
      </c>
      <c r="AM593" t="str">
        <v/>
      </c>
      <c r="AO593" t="b">
        <f ca="1">AND(IF(Metadata!B593="",FALSE,TRUE),COUNTIF(Metadata!B:B, Metadata!B593) = 1,NOT(ISERROR(SUMPRODUCT(SEARCH(MID(Metadata!B593,ROW(INDIRECT("1:"&amp;LEN(Metadata!B593))), 1),"0123456789abcdefghijklmnopqrstuvwxyzABCDEFGHIJKLMNOPQRSTUVWXYZ.")))))</f>
        <v>0</v>
      </c>
      <c r="AP593" t="b">
        <f>IF(Metadata!C593="",FALSE,TRUE)</f>
        <v>0</v>
      </c>
      <c r="AQ593" t="b">
        <f>IF(Metadata!D593="",FALSE,TRUE)</f>
        <v>0</v>
      </c>
      <c r="AR593" t="b">
        <f ca="1">OR(AND(IF(Metadata!E593="",FALSE,TRUE),OR(EXACT(Metadata!E593,"not collected"),EXACT(Metadata!E593,"not provided"),EXACT(Metadata!E593,"restricted access"))),AND(IF(Metadata!E593="",FALSE,TRUE),AND(AND(IFERROR(INT(LEFT(Metadata!E593,4))&gt;1900,FALSE),IFERROR(INT(LEFT(Metadata!E593,4))&lt;=YEAR(NOW()),FALSE)), OR(MID(Metadata!E593,5,1)="", AND(AND(MID(Metadata!E593,5,1)="-",IFERROR(INT(MID(Metadata!E593,6,1))&gt;=0,FALSE),IFERROR(INT(MID(Metadata!E593,6,1))&lt;=1,FALSE),NOT(MID(Metadata!E593,7,1)=""),IFERROR(INT(MID(Metadata!E593,6,2))&gt;=1,FALSE),IFERROR(INT(MID(Metadata!E593,6,2))&lt;=12,FALSE)), OR(MID(Metadata!E593,8,1)="", AND(AND(MID(Metadata!E593,8,1)="-",IFERROR(INT(MID(Metadata!E593,9,1))&gt;=0,FALSE),IFERROR(INT(MID(Metadata!E593,9,1))&lt;=3,FALSE),NOT(MID(Metadata!E593,10,1)=""),IFERROR(INT(MID(Metadata!E593,9,2))&gt;=1,FALSE),IFERROR(INT(MID(Metadata!E593,9,2))&lt;=31,FALSE)), OR(MID(Metadata!E593,11,1)="", AND(AND(MID(Metadata!E593,11,1)=" ",IFERROR(INT(MID(Metadata!E593,12,1))&gt;=0,FALSE),IFERROR(INT(MID(Metadata!E593,12,1))&lt;=2,FALSE),NOT(MID(Metadata!E593,13,1)=""),IFERROR(INT(MID(Metadata!E593,12,2))&gt;=0,FALSE),IFERROR(INT(MID(Metadata!E593,12,2))&lt;=23,FALSE)), OR(MID(Metadata!E593,14,1)="", AND(AND(MID(Metadata!E593,14,1)=":",IFERROR(INT(MID(Metadata!E593,15,1))&gt;=0,FALSE),IFERROR(INT(MID(Metadata!E593,15,1))&lt;=5,FALSE),NOT(MID(Metadata!E593,16,1)=""),IFERROR(INT(MID(Metadata!E593,15,2))&gt;=0,FALSE),IFERROR(INT(MID(Metadata!E593,15,2))&lt;=59,FALSE)), OR(MID(Metadata!E593,17,1)="", AND(AND(MID(Metadata!E593,17,1)=":",IFERROR(INT(MID(Metadata!E593,18,1))&gt;=0,FALSE),IFERROR(INT(MID(Metadata!E593,18,1))&lt;=5,FALSE),NOT(MID(Metadata!E593,19,1)=""),IFERROR(INT(MID(Metadata!E593,18,2))&gt;=0,FALSE),IFERROR(INT(MID(Metadata!E593,18,2))&lt;=59,FALSE)), LEN(Metadata!E593)&lt;=19)))))))))))))</f>
        <v>0</v>
      </c>
      <c r="AS593" t="b">
        <f>IF(Metadata!F593="",FALSE,TRUE)</f>
        <v>0</v>
      </c>
      <c r="AT593" t="b">
        <f>OR(AND(IF(Metadata!G593="",FALSE,TRUE),OR(EXACT(Metadata!G593,"not collected"),EXACT(Metadata!G593,"not provided"))),AND(IF(Metadata!G593="",FALSE,TRUE),OR(EXACT(Metadata!G593,"TRUE"),EXACT(Metadata!G593,"FALSE"))))</f>
        <v>0</v>
      </c>
      <c r="AU593" t="b">
        <f>OR(AND(IF(Metadata!H593="",FALSE,TRUE),OR(EXACT(Metadata!H593,"not collected"),EXACT(Metadata!H593,"not provided"),EXACT(Metadata!H593,"restricted access"))),AND(IF(Metadata!H593="",FALSE,ISNUMBER(VALUE(Metadata!H593))),Metadata!H593&gt;=-413))</f>
        <v>0</v>
      </c>
      <c r="AV593" t="b">
        <f>AND(IF(Metadata!I593="",FALSE,TRUE),EXACT(Metadata!I593,"meters"))</f>
        <v>0</v>
      </c>
      <c r="AW593" t="b">
        <f>AND(IF(Metadata!J593="",FALSE,TRUE),EXACT(Metadata!J593,"free-living"))</f>
        <v>0</v>
      </c>
      <c r="AX593" t="b">
        <f>AND(IF(Metadata!K593="",FALSE,TRUE),OR(EXACT(Metadata!K593,"saline"),EXACT(Metadata!K593,"non-saline")))</f>
        <v>0</v>
      </c>
      <c r="AY593" t="b">
        <f>AND(IF(Metadata!L593="",FALSE,TRUE),OR(EXACT(Metadata!L593,"sub-surface (non-saline)"),EXACT(Metadata!L593,"surface (non-saline)"),EXACT(Metadata!L593,"water (non-saline)"),EXACT(Metadata!L593,"soil (non-saline)"),EXACT(Metadata!L593,"aerosol (non-saline)"),EXACT(Metadata!L593,"sediment (non-saline)"),EXACT(Metadata!L593,"surface (saline)"),EXACT(Metadata!L593,"water (saline)"),EXACT(Metadata!L593,"hypersaline (saline)"),EXACT(Metadata!L593,"aerosol (saline)"),EXACT(Metadata!L593,"sediment (saline)")))</f>
        <v>0</v>
      </c>
      <c r="AZ593" t="b">
        <f>IF(Metadata!M593="",FALSE,TRUE)</f>
        <v>0</v>
      </c>
      <c r="BA593" t="b">
        <f>IF(Metadata!N593="",FALSE,TRUE)</f>
        <v>0</v>
      </c>
      <c r="BB593" t="b">
        <f>IF(Metadata!O593="",FALSE,TRUE)</f>
        <v>0</v>
      </c>
      <c r="BC593" t="b">
        <f>AND(IF(Metadata!P593="",FALSE,TRUE),OR(EXACT(Metadata!P593,"air"),EXACT(Metadata!P593,"microbial mat/biofilm"),EXACT(Metadata!P593,"misc environment"),EXACT(Metadata!P593,"sediment"),EXACT(Metadata!P593,"soil"),EXACT(Metadata!P593,"wastewater/sludge"),EXACT(Metadata!P593,"water")))</f>
        <v>0</v>
      </c>
      <c r="BD593" t="b">
        <f>IF(Metadata!Q593="",FALSE,TRUE)</f>
        <v>0</v>
      </c>
      <c r="BE593" t="b">
        <f>IF(Metadata!R593="",FALSE,TRUE)</f>
        <v>0</v>
      </c>
      <c r="BF593" t="b">
        <f>OR(AND(IF(Metadata!S593="",FALSE,TRUE),OR(EXACT(Metadata!S593,"not collected"),EXACT(Metadata!S593,"not provided"),EXACT(Metadata!S593,"restricted access"))),AND(IF(Metadata!S593="",FALSE,ISNUMBER(VALUE(Metadata!S593))),Metadata!S593&gt;=-90,Metadata!S593&lt;=90))</f>
        <v>0</v>
      </c>
      <c r="BG593" t="b">
        <f>AND(IF(Metadata!T593="",FALSE,TRUE),EXACT(Metadata!T593,"Decimal degrees"))</f>
        <v>0</v>
      </c>
      <c r="BH593" t="b">
        <f>OR(AND(IF(Metadata!U593="",FALSE,TRUE),OR(EXACT(Metadata!U593,"not applicable"),EXACT(Metadata!U593,"not collected"))),IF(Metadata!U593="",FALSE,TRUE))</f>
        <v>0</v>
      </c>
      <c r="BI593" t="b">
        <f>OR(AND(IF(Metadata!V593="",FALSE,TRUE),OR(EXACT(Metadata!V593,"not collected"),EXACT(Metadata!V593,"not provided"),EXACT(Metadata!V593,"restricted access"))),AND(IF(Metadata!V593="",FALSE,ISNUMBER(VALUE(Metadata!V593))),Metadata!V593&gt;=-180,Metadata!V593&lt;=180))</f>
        <v>0</v>
      </c>
      <c r="BJ593" t="b">
        <f>AND(IF(Metadata!W593="",FALSE,TRUE),EXACT(Metadata!W593,"Decimal degrees"))</f>
        <v>0</v>
      </c>
      <c r="BK593" t="b">
        <f>IF(Metadata!X593="",FALSE,TRUE)</f>
        <v>0</v>
      </c>
      <c r="BL593" t="b">
        <f>OR(AND(IF(Metadata!Y593="",FALSE,TRUE),OR(EXACT(Metadata!Y593,"not collected"),EXACT(Metadata!Y593,"not provided"),EXACT(Metadata!Y593,"restricted access"))),AND(IF(Metadata!Y593="",FALSE,TRUE),OR(EXACT(Metadata!Y593,"TRUE"),EXACT(Metadata!Y593,"FALSE"))))</f>
        <v>0</v>
      </c>
      <c r="BM593" t="b">
        <f>OR(AND(IF(Metadata!Z593="",FALSE,TRUE),EXACT(Metadata!Z593,"not applicable")),AND(IF(Metadata!Z593="",FALSE,TRUE),OR(EXACT(Metadata!Z593,"beer"),EXACT(Metadata!Z593,"cheese"),EXACT(Metadata!Z593,"fresh water"),EXACT(Metadata!Z593,"marine sediment"),EXACT(Metadata!Z593,"sea water"),EXACT(Metadata!Z593,"sediment"),EXACT(Metadata!Z593,"soil"),EXACT(Metadata!Z593,"waste water"))))</f>
        <v>0</v>
      </c>
      <c r="BN593" t="b">
        <f>AND(IF(Metadata!AA593="",FALSE,TRUE),EXACT(Metadata!AA593,"metagenome"))</f>
        <v>0</v>
      </c>
      <c r="BO593" t="b">
        <f>AND(IF(Metadata!AB593="",FALSE,TRUE),EXACT(Metadata!AB593,"256318"))</f>
        <v>0</v>
      </c>
      <c r="BP593" t="b">
        <f>IF(Metadata!AC593="",FALSE,TRUE)</f>
        <v>0</v>
      </c>
      <c r="BQ593" t="b">
        <f>IF(Metadata!AD593="",FALSE,TRUE)</f>
        <v>0</v>
      </c>
    </row>
    <row r="594" spans="1:69" x14ac:dyDescent="0.2">
      <c r="A594" s="4" t="e">
        <f ca="1">IF(B594=" "," ",HYPERLINK(CONCATENATE("#metadata!",ADDRESS(INDEX($AJ$2:$AJ$1001,MATCH(ROWS($AH$2:AH594),$AH$2:$AH$1001,0),0),2)),INDEX($AM$2:$AM$1001,MATCH(ROWS($AH$2:AH594),$AH$2:$AH$1001,0),0)))</f>
        <v>#N/A</v>
      </c>
      <c r="B594" s="5" t="e">
        <f ca="1">IF(OR(INDEX($AI$2:$AI$1001,MATCH(ROWS($AH$2:AH594),$AH$2:$AH$1001,0),1)&gt;=100000,INDEX($AO$1005:$BQ$1005,1,MATCH(COLUMNS($AO$1006:AO1006),$AO$1006:$BQ$1006,0))&gt;=100000), " ",IF(INDEX($AO$2:$BQ$1001,MATCH(ROWS($AH$2:AH594),$AH$2:$AH$1001,0),MATCH(COLUMNS($AO$1006:AO1006),$AO$1006:$BQ$1006,0)), HYPERLINK("#",""), HYPERLINK(CONCATENATE("#Metadata!", ADDRESS(INDEX($AJ$2:$AJ$1001,MATCH(ROWS($AH$2:AH594),$AH$2:$AH$1001,0),0), INDEX($AO$1004:$BQ$1004,1,MATCH(COLUMNS($AO$1006:AO1006),$AO$1006:$BQ$1006,0)))),"Fix")))</f>
        <v>#N/A</v>
      </c>
      <c r="C594" s="5" t="e">
        <f ca="1">IF(OR(INDEX($AI$2:$AI$1001,MATCH(ROWS($AH$2:AH594),$AH$2:$AH$1001,0),1)&gt;=100000,INDEX($AO$1005:$BQ$1005,1,MATCH(COLUMNS($AO$1006:AP1006),$AO$1006:$BQ$1006,0))&gt;=100000), " ",IF(INDEX($AO$2:$BQ$1001,MATCH(ROWS($AH$2:AH594),$AH$2:$AH$1001,0),MATCH(COLUMNS($AO$1006:AP1006),$AO$1006:$BQ$1006,0)), HYPERLINK("#",""), HYPERLINK(CONCATENATE("#Metadata!", ADDRESS(INDEX($AJ$2:$AJ$1001,MATCH(ROWS($AH$2:AH594),$AH$2:$AH$1001,0),0), INDEX($AO$1004:$BQ$1004,1,MATCH(COLUMNS($AO$1006:AP1006),$AO$1006:$BQ$1006,0)))),"Fix")))</f>
        <v>#N/A</v>
      </c>
      <c r="D594" s="5" t="e">
        <f ca="1">IF(OR(INDEX($AI$2:$AI$1001,MATCH(ROWS($AH$2:AH594),$AH$2:$AH$1001,0),1)&gt;=100000,INDEX($AO$1005:$BQ$1005,1,MATCH(COLUMNS($AO$1006:AQ1006),$AO$1006:$BQ$1006,0))&gt;=100000), " ",IF(INDEX($AO$2:$BQ$1001,MATCH(ROWS($AH$2:AH594),$AH$2:$AH$1001,0),MATCH(COLUMNS($AO$1006:AQ1006),$AO$1006:$BQ$1006,0)), HYPERLINK("#",""), HYPERLINK(CONCATENATE("#Metadata!", ADDRESS(INDEX($AJ$2:$AJ$1001,MATCH(ROWS($AH$2:AH594),$AH$2:$AH$1001,0),0), INDEX($AO$1004:$BQ$1004,1,MATCH(COLUMNS($AO$1006:AQ1006),$AO$1006:$BQ$1006,0)))),"Fix")))</f>
        <v>#N/A</v>
      </c>
      <c r="E594" s="5" t="e">
        <f ca="1">IF(OR(INDEX($AI$2:$AI$1001,MATCH(ROWS($AH$2:AH594),$AH$2:$AH$1001,0),1)&gt;=100000,INDEX($AO$1005:$BQ$1005,1,MATCH(COLUMNS($AO$1006:AR1006),$AO$1006:$BQ$1006,0))&gt;=100000), " ",IF(INDEX($AO$2:$BQ$1001,MATCH(ROWS($AH$2:AH594),$AH$2:$AH$1001,0),MATCH(COLUMNS($AO$1006:AR1006),$AO$1006:$BQ$1006,0)), HYPERLINK("#",""), HYPERLINK(CONCATENATE("#Metadata!", ADDRESS(INDEX($AJ$2:$AJ$1001,MATCH(ROWS($AH$2:AH594),$AH$2:$AH$1001,0),0), INDEX($AO$1004:$BQ$1004,1,MATCH(COLUMNS($AO$1006:AR1006),$AO$1006:$BQ$1006,0)))),"Fix")))</f>
        <v>#N/A</v>
      </c>
      <c r="F594" s="5" t="e">
        <f ca="1">IF(OR(INDEX($AI$2:$AI$1001,MATCH(ROWS($AH$2:AH594),$AH$2:$AH$1001,0),1)&gt;=100000,INDEX($AO$1005:$BQ$1005,1,MATCH(COLUMNS($AO$1006:AS1006),$AO$1006:$BQ$1006,0))&gt;=100000), " ",IF(INDEX($AO$2:$BQ$1001,MATCH(ROWS($AH$2:AH594),$AH$2:$AH$1001,0),MATCH(COLUMNS($AO$1006:AS1006),$AO$1006:$BQ$1006,0)), HYPERLINK("#",""), HYPERLINK(CONCATENATE("#Metadata!", ADDRESS(INDEX($AJ$2:$AJ$1001,MATCH(ROWS($AH$2:AH594),$AH$2:$AH$1001,0),0), INDEX($AO$1004:$BQ$1004,1,MATCH(COLUMNS($AO$1006:AS1006),$AO$1006:$BQ$1006,0)))),"Fix")))</f>
        <v>#N/A</v>
      </c>
      <c r="G594" s="5" t="e">
        <f ca="1">IF(OR(INDEX($AI$2:$AI$1001,MATCH(ROWS($AH$2:AH594),$AH$2:$AH$1001,0),1)&gt;=100000,INDEX($AO$1005:$BQ$1005,1,MATCH(COLUMNS($AO$1006:AT1006),$AO$1006:$BQ$1006,0))&gt;=100000), " ",IF(INDEX($AO$2:$BQ$1001,MATCH(ROWS($AH$2:AH594),$AH$2:$AH$1001,0),MATCH(COLUMNS($AO$1006:AT1006),$AO$1006:$BQ$1006,0)), HYPERLINK("#",""), HYPERLINK(CONCATENATE("#Metadata!", ADDRESS(INDEX($AJ$2:$AJ$1001,MATCH(ROWS($AH$2:AH594),$AH$2:$AH$1001,0),0), INDEX($AO$1004:$BQ$1004,1,MATCH(COLUMNS($AO$1006:AT1006),$AO$1006:$BQ$1006,0)))),"Fix")))</f>
        <v>#N/A</v>
      </c>
      <c r="H594" s="5" t="e">
        <f ca="1">IF(OR(INDEX($AI$2:$AI$1001,MATCH(ROWS($AH$2:AH594),$AH$2:$AH$1001,0),1)&gt;=100000,INDEX($AO$1005:$BQ$1005,1,MATCH(COLUMNS($AO$1006:AU1006),$AO$1006:$BQ$1006,0))&gt;=100000), " ",IF(INDEX($AO$2:$BQ$1001,MATCH(ROWS($AH$2:AH594),$AH$2:$AH$1001,0),MATCH(COLUMNS($AO$1006:AU1006),$AO$1006:$BQ$1006,0)), HYPERLINK("#",""), HYPERLINK(CONCATENATE("#Metadata!", ADDRESS(INDEX($AJ$2:$AJ$1001,MATCH(ROWS($AH$2:AH594),$AH$2:$AH$1001,0),0), INDEX($AO$1004:$BQ$1004,1,MATCH(COLUMNS($AO$1006:AU1006),$AO$1006:$BQ$1006,0)))),"Fix")))</f>
        <v>#N/A</v>
      </c>
      <c r="I594" s="5" t="e">
        <f ca="1">IF(OR(INDEX($AI$2:$AI$1001,MATCH(ROWS($AH$2:AH594),$AH$2:$AH$1001,0),1)&gt;=100000,INDEX($AO$1005:$BQ$1005,1,MATCH(COLUMNS($AO$1006:AV1006),$AO$1006:$BQ$1006,0))&gt;=100000), " ",IF(INDEX($AO$2:$BQ$1001,MATCH(ROWS($AH$2:AH594),$AH$2:$AH$1001,0),MATCH(COLUMNS($AO$1006:AV1006),$AO$1006:$BQ$1006,0)), HYPERLINK("#",""), HYPERLINK(CONCATENATE("#Metadata!", ADDRESS(INDEX($AJ$2:$AJ$1001,MATCH(ROWS($AH$2:AH594),$AH$2:$AH$1001,0),0), INDEX($AO$1004:$BQ$1004,1,MATCH(COLUMNS($AO$1006:AV1006),$AO$1006:$BQ$1006,0)))),"Fix")))</f>
        <v>#N/A</v>
      </c>
      <c r="J594" s="5" t="e">
        <f ca="1">IF(OR(INDEX($AI$2:$AI$1001,MATCH(ROWS($AH$2:AH594),$AH$2:$AH$1001,0),1)&gt;=100000,INDEX($AO$1005:$BQ$1005,1,MATCH(COLUMNS($AO$1006:AW1006),$AO$1006:$BQ$1006,0))&gt;=100000), " ",IF(INDEX($AO$2:$BQ$1001,MATCH(ROWS($AH$2:AH594),$AH$2:$AH$1001,0),MATCH(COLUMNS($AO$1006:AW1006),$AO$1006:$BQ$1006,0)), HYPERLINK("#",""), HYPERLINK(CONCATENATE("#Metadata!", ADDRESS(INDEX($AJ$2:$AJ$1001,MATCH(ROWS($AH$2:AH594),$AH$2:$AH$1001,0),0), INDEX($AO$1004:$BQ$1004,1,MATCH(COLUMNS($AO$1006:AW1006),$AO$1006:$BQ$1006,0)))),"Fix")))</f>
        <v>#N/A</v>
      </c>
      <c r="K594" s="5" t="e">
        <f ca="1">IF(OR(INDEX($AI$2:$AI$1001,MATCH(ROWS($AH$2:AH594),$AH$2:$AH$1001,0),1)&gt;=100000,INDEX($AO$1005:$BQ$1005,1,MATCH(COLUMNS($AO$1006:AX1006),$AO$1006:$BQ$1006,0))&gt;=100000), " ",IF(INDEX($AO$2:$BQ$1001,MATCH(ROWS($AH$2:AH594),$AH$2:$AH$1001,0),MATCH(COLUMNS($AO$1006:AX1006),$AO$1006:$BQ$1006,0)), HYPERLINK("#",""), HYPERLINK(CONCATENATE("#Metadata!", ADDRESS(INDEX($AJ$2:$AJ$1001,MATCH(ROWS($AH$2:AH594),$AH$2:$AH$1001,0),0), INDEX($AO$1004:$BQ$1004,1,MATCH(COLUMNS($AO$1006:AX1006),$AO$1006:$BQ$1006,0)))),"Fix")))</f>
        <v>#N/A</v>
      </c>
      <c r="L594" s="5" t="e">
        <f ca="1">IF(OR(INDEX($AI$2:$AI$1001,MATCH(ROWS($AH$2:AH594),$AH$2:$AH$1001,0),1)&gt;=100000,INDEX($AO$1005:$BQ$1005,1,MATCH(COLUMNS($AO$1006:AY1006),$AO$1006:$BQ$1006,0))&gt;=100000), " ",IF(INDEX($AO$2:$BQ$1001,MATCH(ROWS($AH$2:AH594),$AH$2:$AH$1001,0),MATCH(COLUMNS($AO$1006:AY1006),$AO$1006:$BQ$1006,0)), HYPERLINK("#",""), HYPERLINK(CONCATENATE("#Metadata!", ADDRESS(INDEX($AJ$2:$AJ$1001,MATCH(ROWS($AH$2:AH594),$AH$2:$AH$1001,0),0), INDEX($AO$1004:$BQ$1004,1,MATCH(COLUMNS($AO$1006:AY1006),$AO$1006:$BQ$1006,0)))),"Fix")))</f>
        <v>#N/A</v>
      </c>
      <c r="M594" s="5" t="e">
        <f ca="1">IF(OR(INDEX($AI$2:$AI$1001,MATCH(ROWS($AH$2:AH594),$AH$2:$AH$1001,0),1)&gt;=100000,INDEX($AO$1005:$BQ$1005,1,MATCH(COLUMNS($AO$1006:AZ1006),$AO$1006:$BQ$1006,0))&gt;=100000), " ",IF(INDEX($AO$2:$BQ$1001,MATCH(ROWS($AH$2:AH594),$AH$2:$AH$1001,0),MATCH(COLUMNS($AO$1006:AZ1006),$AO$1006:$BQ$1006,0)), HYPERLINK("#",""), HYPERLINK(CONCATENATE("#Metadata!", ADDRESS(INDEX($AJ$2:$AJ$1001,MATCH(ROWS($AH$2:AH594),$AH$2:$AH$1001,0),0), INDEX($AO$1004:$BQ$1004,1,MATCH(COLUMNS($AO$1006:AZ1006),$AO$1006:$BQ$1006,0)))),"Fix")))</f>
        <v>#N/A</v>
      </c>
      <c r="N594" s="5" t="e">
        <f ca="1">IF(OR(INDEX($AI$2:$AI$1001,MATCH(ROWS($AH$2:AH594),$AH$2:$AH$1001,0),1)&gt;=100000,INDEX($AO$1005:$BQ$1005,1,MATCH(COLUMNS($AO$1006:BA1006),$AO$1006:$BQ$1006,0))&gt;=100000), " ",IF(INDEX($AO$2:$BQ$1001,MATCH(ROWS($AH$2:AH594),$AH$2:$AH$1001,0),MATCH(COLUMNS($AO$1006:BA1006),$AO$1006:$BQ$1006,0)), HYPERLINK("#",""), HYPERLINK(CONCATENATE("#Metadata!", ADDRESS(INDEX($AJ$2:$AJ$1001,MATCH(ROWS($AH$2:AH594),$AH$2:$AH$1001,0),0), INDEX($AO$1004:$BQ$1004,1,MATCH(COLUMNS($AO$1006:BA1006),$AO$1006:$BQ$1006,0)))),"Fix")))</f>
        <v>#N/A</v>
      </c>
      <c r="O594" s="5" t="e">
        <f ca="1">IF(OR(INDEX($AI$2:$AI$1001,MATCH(ROWS($AH$2:AH594),$AH$2:$AH$1001,0),1)&gt;=100000,INDEX($AO$1005:$BQ$1005,1,MATCH(COLUMNS($AO$1006:BB1006),$AO$1006:$BQ$1006,0))&gt;=100000), " ",IF(INDEX($AO$2:$BQ$1001,MATCH(ROWS($AH$2:AH594),$AH$2:$AH$1001,0),MATCH(COLUMNS($AO$1006:BB1006),$AO$1006:$BQ$1006,0)), HYPERLINK("#",""), HYPERLINK(CONCATENATE("#Metadata!", ADDRESS(INDEX($AJ$2:$AJ$1001,MATCH(ROWS($AH$2:AH594),$AH$2:$AH$1001,0),0), INDEX($AO$1004:$BQ$1004,1,MATCH(COLUMNS($AO$1006:BB1006),$AO$1006:$BQ$1006,0)))),"Fix")))</f>
        <v>#N/A</v>
      </c>
      <c r="P594" s="5" t="e">
        <f ca="1">IF(OR(INDEX($AI$2:$AI$1001,MATCH(ROWS($AH$2:AH594),$AH$2:$AH$1001,0),1)&gt;=100000,INDEX($AO$1005:$BQ$1005,1,MATCH(COLUMNS($AO$1006:BC1006),$AO$1006:$BQ$1006,0))&gt;=100000), " ",IF(INDEX($AO$2:$BQ$1001,MATCH(ROWS($AH$2:AH594),$AH$2:$AH$1001,0),MATCH(COLUMNS($AO$1006:BC1006),$AO$1006:$BQ$1006,0)), HYPERLINK("#",""), HYPERLINK(CONCATENATE("#Metadata!", ADDRESS(INDEX($AJ$2:$AJ$1001,MATCH(ROWS($AH$2:AH594),$AH$2:$AH$1001,0),0), INDEX($AO$1004:$BQ$1004,1,MATCH(COLUMNS($AO$1006:BC1006),$AO$1006:$BQ$1006,0)))),"Fix")))</f>
        <v>#N/A</v>
      </c>
      <c r="Q594" s="5" t="e">
        <f ca="1">IF(OR(INDEX($AI$2:$AI$1001,MATCH(ROWS($AH$2:AH594),$AH$2:$AH$1001,0),1)&gt;=100000,INDEX($AO$1005:$BQ$1005,1,MATCH(COLUMNS($AO$1006:BD1006),$AO$1006:$BQ$1006,0))&gt;=100000), " ",IF(INDEX($AO$2:$BQ$1001,MATCH(ROWS($AH$2:AH594),$AH$2:$AH$1001,0),MATCH(COLUMNS($AO$1006:BD1006),$AO$1006:$BQ$1006,0)), HYPERLINK("#",""), HYPERLINK(CONCATENATE("#Metadata!", ADDRESS(INDEX($AJ$2:$AJ$1001,MATCH(ROWS($AH$2:AH594),$AH$2:$AH$1001,0),0), INDEX($AO$1004:$BQ$1004,1,MATCH(COLUMNS($AO$1006:BD1006),$AO$1006:$BQ$1006,0)))),"Fix")))</f>
        <v>#N/A</v>
      </c>
      <c r="R594" s="5" t="e">
        <f ca="1">IF(OR(INDEX($AI$2:$AI$1001,MATCH(ROWS($AH$2:AH594),$AH$2:$AH$1001,0),1)&gt;=100000,INDEX($AO$1005:$BQ$1005,1,MATCH(COLUMNS($AO$1006:BE1006),$AO$1006:$BQ$1006,0))&gt;=100000), " ",IF(INDEX($AO$2:$BQ$1001,MATCH(ROWS($AH$2:AH594),$AH$2:$AH$1001,0),MATCH(COLUMNS($AO$1006:BE1006),$AO$1006:$BQ$1006,0)), HYPERLINK("#",""), HYPERLINK(CONCATENATE("#Metadata!", ADDRESS(INDEX($AJ$2:$AJ$1001,MATCH(ROWS($AH$2:AH594),$AH$2:$AH$1001,0),0), INDEX($AO$1004:$BQ$1004,1,MATCH(COLUMNS($AO$1006:BE1006),$AO$1006:$BQ$1006,0)))),"Fix")))</f>
        <v>#N/A</v>
      </c>
      <c r="S594" s="5" t="e">
        <f ca="1">IF(OR(INDEX($AI$2:$AI$1001,MATCH(ROWS($AH$2:AH594),$AH$2:$AH$1001,0),1)&gt;=100000,INDEX($AO$1005:$BQ$1005,1,MATCH(COLUMNS($AO$1006:BF1006),$AO$1006:$BQ$1006,0))&gt;=100000), " ",IF(INDEX($AO$2:$BQ$1001,MATCH(ROWS($AH$2:AH594),$AH$2:$AH$1001,0),MATCH(COLUMNS($AO$1006:BF1006),$AO$1006:$BQ$1006,0)), HYPERLINK("#",""), HYPERLINK(CONCATENATE("#Metadata!", ADDRESS(INDEX($AJ$2:$AJ$1001,MATCH(ROWS($AH$2:AH594),$AH$2:$AH$1001,0),0), INDEX($AO$1004:$BQ$1004,1,MATCH(COLUMNS($AO$1006:BF1006),$AO$1006:$BQ$1006,0)))),"Fix")))</f>
        <v>#N/A</v>
      </c>
      <c r="T594" s="5" t="e">
        <f ca="1">IF(OR(INDEX($AI$2:$AI$1001,MATCH(ROWS($AH$2:AH594),$AH$2:$AH$1001,0),1)&gt;=100000,INDEX($AO$1005:$BQ$1005,1,MATCH(COLUMNS($AO$1006:BG1006),$AO$1006:$BQ$1006,0))&gt;=100000), " ",IF(INDEX($AO$2:$BQ$1001,MATCH(ROWS($AH$2:AH594),$AH$2:$AH$1001,0),MATCH(COLUMNS($AO$1006:BG1006),$AO$1006:$BQ$1006,0)), HYPERLINK("#",""), HYPERLINK(CONCATENATE("#Metadata!", ADDRESS(INDEX($AJ$2:$AJ$1001,MATCH(ROWS($AH$2:AH594),$AH$2:$AH$1001,0),0), INDEX($AO$1004:$BQ$1004,1,MATCH(COLUMNS($AO$1006:BG1006),$AO$1006:$BQ$1006,0)))),"Fix")))</f>
        <v>#N/A</v>
      </c>
      <c r="U594" s="5" t="e">
        <f ca="1">IF(OR(INDEX($AI$2:$AI$1001,MATCH(ROWS($AH$2:AH594),$AH$2:$AH$1001,0),1)&gt;=100000,INDEX($AO$1005:$BQ$1005,1,MATCH(COLUMNS($AO$1006:BH1006),$AO$1006:$BQ$1006,0))&gt;=100000), " ",IF(INDEX($AO$2:$BQ$1001,MATCH(ROWS($AH$2:AH594),$AH$2:$AH$1001,0),MATCH(COLUMNS($AO$1006:BH1006),$AO$1006:$BQ$1006,0)), HYPERLINK("#",""), HYPERLINK(CONCATENATE("#Metadata!", ADDRESS(INDEX($AJ$2:$AJ$1001,MATCH(ROWS($AH$2:AH594),$AH$2:$AH$1001,0),0), INDEX($AO$1004:$BQ$1004,1,MATCH(COLUMNS($AO$1006:BH1006),$AO$1006:$BQ$1006,0)))),"Fix")))</f>
        <v>#N/A</v>
      </c>
      <c r="V594" s="5" t="e">
        <f ca="1">IF(OR(INDEX($AI$2:$AI$1001,MATCH(ROWS($AH$2:AH594),$AH$2:$AH$1001,0),1)&gt;=100000,INDEX($AO$1005:$BQ$1005,1,MATCH(COLUMNS($AO$1006:BI1006),$AO$1006:$BQ$1006,0))&gt;=100000), " ",IF(INDEX($AO$2:$BQ$1001,MATCH(ROWS($AH$2:AH594),$AH$2:$AH$1001,0),MATCH(COLUMNS($AO$1006:BI1006),$AO$1006:$BQ$1006,0)), HYPERLINK("#",""), HYPERLINK(CONCATENATE("#Metadata!", ADDRESS(INDEX($AJ$2:$AJ$1001,MATCH(ROWS($AH$2:AH594),$AH$2:$AH$1001,0),0), INDEX($AO$1004:$BQ$1004,1,MATCH(COLUMNS($AO$1006:BI1006),$AO$1006:$BQ$1006,0)))),"Fix")))</f>
        <v>#N/A</v>
      </c>
      <c r="W594" s="5" t="e">
        <f ca="1">IF(OR(INDEX($AI$2:$AI$1001,MATCH(ROWS($AH$2:AH594),$AH$2:$AH$1001,0),1)&gt;=100000,INDEX($AO$1005:$BQ$1005,1,MATCH(COLUMNS($AO$1006:BJ1006),$AO$1006:$BQ$1006,0))&gt;=100000), " ",IF(INDEX($AO$2:$BQ$1001,MATCH(ROWS($AH$2:AH594),$AH$2:$AH$1001,0),MATCH(COLUMNS($AO$1006:BJ1006),$AO$1006:$BQ$1006,0)), HYPERLINK("#",""), HYPERLINK(CONCATENATE("#Metadata!", ADDRESS(INDEX($AJ$2:$AJ$1001,MATCH(ROWS($AH$2:AH594),$AH$2:$AH$1001,0),0), INDEX($AO$1004:$BQ$1004,1,MATCH(COLUMNS($AO$1006:BJ1006),$AO$1006:$BQ$1006,0)))),"Fix")))</f>
        <v>#N/A</v>
      </c>
      <c r="X594" s="5" t="e">
        <f ca="1">IF(OR(INDEX($AI$2:$AI$1001,MATCH(ROWS($AH$2:AH594),$AH$2:$AH$1001,0),1)&gt;=100000,INDEX($AO$1005:$BQ$1005,1,MATCH(COLUMNS($AO$1006:BK1006),$AO$1006:$BQ$1006,0))&gt;=100000), " ",IF(INDEX($AO$2:$BQ$1001,MATCH(ROWS($AH$2:AH594),$AH$2:$AH$1001,0),MATCH(COLUMNS($AO$1006:BK1006),$AO$1006:$BQ$1006,0)), HYPERLINK("#",""), HYPERLINK(CONCATENATE("#Metadata!", ADDRESS(INDEX($AJ$2:$AJ$1001,MATCH(ROWS($AH$2:AH594),$AH$2:$AH$1001,0),0), INDEX($AO$1004:$BQ$1004,1,MATCH(COLUMNS($AO$1006:BK1006),$AO$1006:$BQ$1006,0)))),"Fix")))</f>
        <v>#N/A</v>
      </c>
      <c r="Y594" s="5" t="e">
        <f ca="1">IF(OR(INDEX($AI$2:$AI$1001,MATCH(ROWS($AH$2:AH594),$AH$2:$AH$1001,0),1)&gt;=100000,INDEX($AO$1005:$BQ$1005,1,MATCH(COLUMNS($AO$1006:BL1006),$AO$1006:$BQ$1006,0))&gt;=100000), " ",IF(INDEX($AO$2:$BQ$1001,MATCH(ROWS($AH$2:AH594),$AH$2:$AH$1001,0),MATCH(COLUMNS($AO$1006:BL1006),$AO$1006:$BQ$1006,0)), HYPERLINK("#",""), HYPERLINK(CONCATENATE("#Metadata!", ADDRESS(INDEX($AJ$2:$AJ$1001,MATCH(ROWS($AH$2:AH594),$AH$2:$AH$1001,0),0), INDEX($AO$1004:$BQ$1004,1,MATCH(COLUMNS($AO$1006:BL1006),$AO$1006:$BQ$1006,0)))),"Fix")))</f>
        <v>#N/A</v>
      </c>
      <c r="Z594" s="5" t="e">
        <f ca="1">IF(OR(INDEX($AI$2:$AI$1001,MATCH(ROWS($AH$2:AH594),$AH$2:$AH$1001,0),1)&gt;=100000,INDEX($AO$1005:$BQ$1005,1,MATCH(COLUMNS($AO$1006:BM1006),$AO$1006:$BQ$1006,0))&gt;=100000), " ",IF(INDEX($AO$2:$BQ$1001,MATCH(ROWS($AH$2:AH594),$AH$2:$AH$1001,0),MATCH(COLUMNS($AO$1006:BM1006),$AO$1006:$BQ$1006,0)), HYPERLINK("#",""), HYPERLINK(CONCATENATE("#Metadata!", ADDRESS(INDEX($AJ$2:$AJ$1001,MATCH(ROWS($AH$2:AH594),$AH$2:$AH$1001,0),0), INDEX($AO$1004:$BQ$1004,1,MATCH(COLUMNS($AO$1006:BM1006),$AO$1006:$BQ$1006,0)))),"Fix")))</f>
        <v>#N/A</v>
      </c>
      <c r="AA594" s="5" t="e">
        <f ca="1">IF(OR(INDEX($AI$2:$AI$1001,MATCH(ROWS($AH$2:AH594),$AH$2:$AH$1001,0),1)&gt;=100000,INDEX($AO$1005:$BQ$1005,1,MATCH(COLUMNS($AO$1006:BN1006),$AO$1006:$BQ$1006,0))&gt;=100000), " ",IF(INDEX($AO$2:$BQ$1001,MATCH(ROWS($AH$2:AH594),$AH$2:$AH$1001,0),MATCH(COLUMNS($AO$1006:BN1006),$AO$1006:$BQ$1006,0)), HYPERLINK("#",""), HYPERLINK(CONCATENATE("#Metadata!", ADDRESS(INDEX($AJ$2:$AJ$1001,MATCH(ROWS($AH$2:AH594),$AH$2:$AH$1001,0),0), INDEX($AO$1004:$BQ$1004,1,MATCH(COLUMNS($AO$1006:BN1006),$AO$1006:$BQ$1006,0)))),"Fix")))</f>
        <v>#N/A</v>
      </c>
      <c r="AB594" s="5" t="e">
        <f ca="1">IF(OR(INDEX($AI$2:$AI$1001,MATCH(ROWS($AH$2:AH594),$AH$2:$AH$1001,0),1)&gt;=100000,INDEX($AO$1005:$BQ$1005,1,MATCH(COLUMNS($AO$1006:BO1006),$AO$1006:$BQ$1006,0))&gt;=100000), " ",IF(INDEX($AO$2:$BQ$1001,MATCH(ROWS($AH$2:AH594),$AH$2:$AH$1001,0),MATCH(COLUMNS($AO$1006:BO1006),$AO$1006:$BQ$1006,0)), HYPERLINK("#",""), HYPERLINK(CONCATENATE("#Metadata!", ADDRESS(INDEX($AJ$2:$AJ$1001,MATCH(ROWS($AH$2:AH594),$AH$2:$AH$1001,0),0), INDEX($AO$1004:$BQ$1004,1,MATCH(COLUMNS($AO$1006:BO1006),$AO$1006:$BQ$1006,0)))),"Fix")))</f>
        <v>#N/A</v>
      </c>
      <c r="AC594" s="5" t="e">
        <f ca="1">IF(OR(INDEX($AI$2:$AI$1001,MATCH(ROWS($AH$2:AH594),$AH$2:$AH$1001,0),1)&gt;=100000,INDEX($AO$1005:$BQ$1005,1,MATCH(COLUMNS($AO$1006:BP1006),$AO$1006:$BQ$1006,0))&gt;=100000), " ",IF(INDEX($AO$2:$BQ$1001,MATCH(ROWS($AH$2:AH594),$AH$2:$AH$1001,0),MATCH(COLUMNS($AO$1006:BP1006),$AO$1006:$BQ$1006,0)), HYPERLINK("#",""), HYPERLINK(CONCATENATE("#Metadata!", ADDRESS(INDEX($AJ$2:$AJ$1001,MATCH(ROWS($AH$2:AH594),$AH$2:$AH$1001,0),0), INDEX($AO$1004:$BQ$1004,1,MATCH(COLUMNS($AO$1006:BP1006),$AO$1006:$BQ$1006,0)))),"Fix")))</f>
        <v>#N/A</v>
      </c>
      <c r="AD594" s="5" t="e">
        <f ca="1">IF(OR(INDEX($AI$2:$AI$1001,MATCH(ROWS($AH$2:AH594),$AH$2:$AH$1001,0),1)&gt;=100000,INDEX($AO$1005:$BQ$1005,1,MATCH(COLUMNS($AO$1006:BQ1006),$AO$1006:$BQ$1006,0))&gt;=100000), " ",IF(INDEX($AO$2:$BQ$1001,MATCH(ROWS($AH$2:AH594),$AH$2:$AH$1001,0),MATCH(COLUMNS($AO$1006:BQ1006),$AO$1006:$BQ$1006,0)), HYPERLINK("#",""), HYPERLINK(CONCATENATE("#Metadata!", ADDRESS(INDEX($AJ$2:$AJ$1001,MATCH(ROWS($AH$2:AH594),$AH$2:$AH$1001,0),0), INDEX($AO$1004:$BQ$1004,1,MATCH(COLUMNS($AO$1006:BQ1006),$AO$1006:$BQ$1006,0)))),"Fix")))</f>
        <v>#REF!</v>
      </c>
      <c r="AH594">
        <f ca="1"/>
        <v>591</v>
      </c>
      <c r="AI594">
        <v>100594</v>
      </c>
      <c r="AJ594">
        <v>594</v>
      </c>
      <c r="AK594" t="b">
        <f t="shared" si="9"/>
        <v>1</v>
      </c>
      <c r="AL594" t="b">
        <f>COUNTBLANK(Metadata!B594:AD594)=COLUMNS(Metadata!B594:AD594)</f>
        <v>1</v>
      </c>
      <c r="AM594" t="str">
        <v/>
      </c>
      <c r="AO594" t="b">
        <f ca="1">AND(IF(Metadata!B594="",FALSE,TRUE),COUNTIF(Metadata!B:B, Metadata!B594) = 1,NOT(ISERROR(SUMPRODUCT(SEARCH(MID(Metadata!B594,ROW(INDIRECT("1:"&amp;LEN(Metadata!B594))), 1),"0123456789abcdefghijklmnopqrstuvwxyzABCDEFGHIJKLMNOPQRSTUVWXYZ.")))))</f>
        <v>0</v>
      </c>
      <c r="AP594" t="b">
        <f>IF(Metadata!C594="",FALSE,TRUE)</f>
        <v>0</v>
      </c>
      <c r="AQ594" t="b">
        <f>IF(Metadata!D594="",FALSE,TRUE)</f>
        <v>0</v>
      </c>
      <c r="AR594" t="b">
        <f ca="1">OR(AND(IF(Metadata!E594="",FALSE,TRUE),OR(EXACT(Metadata!E594,"not collected"),EXACT(Metadata!E594,"not provided"),EXACT(Metadata!E594,"restricted access"))),AND(IF(Metadata!E594="",FALSE,TRUE),AND(AND(IFERROR(INT(LEFT(Metadata!E594,4))&gt;1900,FALSE),IFERROR(INT(LEFT(Metadata!E594,4))&lt;=YEAR(NOW()),FALSE)), OR(MID(Metadata!E594,5,1)="", AND(AND(MID(Metadata!E594,5,1)="-",IFERROR(INT(MID(Metadata!E594,6,1))&gt;=0,FALSE),IFERROR(INT(MID(Metadata!E594,6,1))&lt;=1,FALSE),NOT(MID(Metadata!E594,7,1)=""),IFERROR(INT(MID(Metadata!E594,6,2))&gt;=1,FALSE),IFERROR(INT(MID(Metadata!E594,6,2))&lt;=12,FALSE)), OR(MID(Metadata!E594,8,1)="", AND(AND(MID(Metadata!E594,8,1)="-",IFERROR(INT(MID(Metadata!E594,9,1))&gt;=0,FALSE),IFERROR(INT(MID(Metadata!E594,9,1))&lt;=3,FALSE),NOT(MID(Metadata!E594,10,1)=""),IFERROR(INT(MID(Metadata!E594,9,2))&gt;=1,FALSE),IFERROR(INT(MID(Metadata!E594,9,2))&lt;=31,FALSE)), OR(MID(Metadata!E594,11,1)="", AND(AND(MID(Metadata!E594,11,1)=" ",IFERROR(INT(MID(Metadata!E594,12,1))&gt;=0,FALSE),IFERROR(INT(MID(Metadata!E594,12,1))&lt;=2,FALSE),NOT(MID(Metadata!E594,13,1)=""),IFERROR(INT(MID(Metadata!E594,12,2))&gt;=0,FALSE),IFERROR(INT(MID(Metadata!E594,12,2))&lt;=23,FALSE)), OR(MID(Metadata!E594,14,1)="", AND(AND(MID(Metadata!E594,14,1)=":",IFERROR(INT(MID(Metadata!E594,15,1))&gt;=0,FALSE),IFERROR(INT(MID(Metadata!E594,15,1))&lt;=5,FALSE),NOT(MID(Metadata!E594,16,1)=""),IFERROR(INT(MID(Metadata!E594,15,2))&gt;=0,FALSE),IFERROR(INT(MID(Metadata!E594,15,2))&lt;=59,FALSE)), OR(MID(Metadata!E594,17,1)="", AND(AND(MID(Metadata!E594,17,1)=":",IFERROR(INT(MID(Metadata!E594,18,1))&gt;=0,FALSE),IFERROR(INT(MID(Metadata!E594,18,1))&lt;=5,FALSE),NOT(MID(Metadata!E594,19,1)=""),IFERROR(INT(MID(Metadata!E594,18,2))&gt;=0,FALSE),IFERROR(INT(MID(Metadata!E594,18,2))&lt;=59,FALSE)), LEN(Metadata!E594)&lt;=19)))))))))))))</f>
        <v>0</v>
      </c>
      <c r="AS594" t="b">
        <f>IF(Metadata!F594="",FALSE,TRUE)</f>
        <v>0</v>
      </c>
      <c r="AT594" t="b">
        <f>OR(AND(IF(Metadata!G594="",FALSE,TRUE),OR(EXACT(Metadata!G594,"not collected"),EXACT(Metadata!G594,"not provided"))),AND(IF(Metadata!G594="",FALSE,TRUE),OR(EXACT(Metadata!G594,"TRUE"),EXACT(Metadata!G594,"FALSE"))))</f>
        <v>0</v>
      </c>
      <c r="AU594" t="b">
        <f>OR(AND(IF(Metadata!H594="",FALSE,TRUE),OR(EXACT(Metadata!H594,"not collected"),EXACT(Metadata!H594,"not provided"),EXACT(Metadata!H594,"restricted access"))),AND(IF(Metadata!H594="",FALSE,ISNUMBER(VALUE(Metadata!H594))),Metadata!H594&gt;=-413))</f>
        <v>0</v>
      </c>
      <c r="AV594" t="b">
        <f>AND(IF(Metadata!I594="",FALSE,TRUE),EXACT(Metadata!I594,"meters"))</f>
        <v>0</v>
      </c>
      <c r="AW594" t="b">
        <f>AND(IF(Metadata!J594="",FALSE,TRUE),EXACT(Metadata!J594,"free-living"))</f>
        <v>0</v>
      </c>
      <c r="AX594" t="b">
        <f>AND(IF(Metadata!K594="",FALSE,TRUE),OR(EXACT(Metadata!K594,"saline"),EXACT(Metadata!K594,"non-saline")))</f>
        <v>0</v>
      </c>
      <c r="AY594" t="b">
        <f>AND(IF(Metadata!L594="",FALSE,TRUE),OR(EXACT(Metadata!L594,"sub-surface (non-saline)"),EXACT(Metadata!L594,"surface (non-saline)"),EXACT(Metadata!L594,"water (non-saline)"),EXACT(Metadata!L594,"soil (non-saline)"),EXACT(Metadata!L594,"aerosol (non-saline)"),EXACT(Metadata!L594,"sediment (non-saline)"),EXACT(Metadata!L594,"surface (saline)"),EXACT(Metadata!L594,"water (saline)"),EXACT(Metadata!L594,"hypersaline (saline)"),EXACT(Metadata!L594,"aerosol (saline)"),EXACT(Metadata!L594,"sediment (saline)")))</f>
        <v>0</v>
      </c>
      <c r="AZ594" t="b">
        <f>IF(Metadata!M594="",FALSE,TRUE)</f>
        <v>0</v>
      </c>
      <c r="BA594" t="b">
        <f>IF(Metadata!N594="",FALSE,TRUE)</f>
        <v>0</v>
      </c>
      <c r="BB594" t="b">
        <f>IF(Metadata!O594="",FALSE,TRUE)</f>
        <v>0</v>
      </c>
      <c r="BC594" t="b">
        <f>AND(IF(Metadata!P594="",FALSE,TRUE),OR(EXACT(Metadata!P594,"air"),EXACT(Metadata!P594,"microbial mat/biofilm"),EXACT(Metadata!P594,"misc environment"),EXACT(Metadata!P594,"sediment"),EXACT(Metadata!P594,"soil"),EXACT(Metadata!P594,"wastewater/sludge"),EXACT(Metadata!P594,"water")))</f>
        <v>0</v>
      </c>
      <c r="BD594" t="b">
        <f>IF(Metadata!Q594="",FALSE,TRUE)</f>
        <v>0</v>
      </c>
      <c r="BE594" t="b">
        <f>IF(Metadata!R594="",FALSE,TRUE)</f>
        <v>0</v>
      </c>
      <c r="BF594" t="b">
        <f>OR(AND(IF(Metadata!S594="",FALSE,TRUE),OR(EXACT(Metadata!S594,"not collected"),EXACT(Metadata!S594,"not provided"),EXACT(Metadata!S594,"restricted access"))),AND(IF(Metadata!S594="",FALSE,ISNUMBER(VALUE(Metadata!S594))),Metadata!S594&gt;=-90,Metadata!S594&lt;=90))</f>
        <v>0</v>
      </c>
      <c r="BG594" t="b">
        <f>AND(IF(Metadata!T594="",FALSE,TRUE),EXACT(Metadata!T594,"Decimal degrees"))</f>
        <v>0</v>
      </c>
      <c r="BH594" t="b">
        <f>OR(AND(IF(Metadata!U594="",FALSE,TRUE),OR(EXACT(Metadata!U594,"not applicable"),EXACT(Metadata!U594,"not collected"))),IF(Metadata!U594="",FALSE,TRUE))</f>
        <v>0</v>
      </c>
      <c r="BI594" t="b">
        <f>OR(AND(IF(Metadata!V594="",FALSE,TRUE),OR(EXACT(Metadata!V594,"not collected"),EXACT(Metadata!V594,"not provided"),EXACT(Metadata!V594,"restricted access"))),AND(IF(Metadata!V594="",FALSE,ISNUMBER(VALUE(Metadata!V594))),Metadata!V594&gt;=-180,Metadata!V594&lt;=180))</f>
        <v>0</v>
      </c>
      <c r="BJ594" t="b">
        <f>AND(IF(Metadata!W594="",FALSE,TRUE),EXACT(Metadata!W594,"Decimal degrees"))</f>
        <v>0</v>
      </c>
      <c r="BK594" t="b">
        <f>IF(Metadata!X594="",FALSE,TRUE)</f>
        <v>0</v>
      </c>
      <c r="BL594" t="b">
        <f>OR(AND(IF(Metadata!Y594="",FALSE,TRUE),OR(EXACT(Metadata!Y594,"not collected"),EXACT(Metadata!Y594,"not provided"),EXACT(Metadata!Y594,"restricted access"))),AND(IF(Metadata!Y594="",FALSE,TRUE),OR(EXACT(Metadata!Y594,"TRUE"),EXACT(Metadata!Y594,"FALSE"))))</f>
        <v>0</v>
      </c>
      <c r="BM594" t="b">
        <f>OR(AND(IF(Metadata!Z594="",FALSE,TRUE),EXACT(Metadata!Z594,"not applicable")),AND(IF(Metadata!Z594="",FALSE,TRUE),OR(EXACT(Metadata!Z594,"beer"),EXACT(Metadata!Z594,"cheese"),EXACT(Metadata!Z594,"fresh water"),EXACT(Metadata!Z594,"marine sediment"),EXACT(Metadata!Z594,"sea water"),EXACT(Metadata!Z594,"sediment"),EXACT(Metadata!Z594,"soil"),EXACT(Metadata!Z594,"waste water"))))</f>
        <v>0</v>
      </c>
      <c r="BN594" t="b">
        <f>AND(IF(Metadata!AA594="",FALSE,TRUE),EXACT(Metadata!AA594,"metagenome"))</f>
        <v>0</v>
      </c>
      <c r="BO594" t="b">
        <f>AND(IF(Metadata!AB594="",FALSE,TRUE),EXACT(Metadata!AB594,"256318"))</f>
        <v>0</v>
      </c>
      <c r="BP594" t="b">
        <f>IF(Metadata!AC594="",FALSE,TRUE)</f>
        <v>0</v>
      </c>
      <c r="BQ594" t="b">
        <f>IF(Metadata!AD594="",FALSE,TRUE)</f>
        <v>0</v>
      </c>
    </row>
    <row r="595" spans="1:69" x14ac:dyDescent="0.2">
      <c r="A595" s="4" t="e">
        <f ca="1">IF(B595=" "," ",HYPERLINK(CONCATENATE("#metadata!",ADDRESS(INDEX($AJ$2:$AJ$1001,MATCH(ROWS($AH$2:AH595),$AH$2:$AH$1001,0),0),2)),INDEX($AM$2:$AM$1001,MATCH(ROWS($AH$2:AH595),$AH$2:$AH$1001,0),0)))</f>
        <v>#N/A</v>
      </c>
      <c r="B595" s="5" t="e">
        <f ca="1">IF(OR(INDEX($AI$2:$AI$1001,MATCH(ROWS($AH$2:AH595),$AH$2:$AH$1001,0),1)&gt;=100000,INDEX($AO$1005:$BQ$1005,1,MATCH(COLUMNS($AO$1006:AO1006),$AO$1006:$BQ$1006,0))&gt;=100000), " ",IF(INDEX($AO$2:$BQ$1001,MATCH(ROWS($AH$2:AH595),$AH$2:$AH$1001,0),MATCH(COLUMNS($AO$1006:AO1006),$AO$1006:$BQ$1006,0)), HYPERLINK("#",""), HYPERLINK(CONCATENATE("#Metadata!", ADDRESS(INDEX($AJ$2:$AJ$1001,MATCH(ROWS($AH$2:AH595),$AH$2:$AH$1001,0),0), INDEX($AO$1004:$BQ$1004,1,MATCH(COLUMNS($AO$1006:AO1006),$AO$1006:$BQ$1006,0)))),"Fix")))</f>
        <v>#N/A</v>
      </c>
      <c r="C595" s="5" t="e">
        <f ca="1">IF(OR(INDEX($AI$2:$AI$1001,MATCH(ROWS($AH$2:AH595),$AH$2:$AH$1001,0),1)&gt;=100000,INDEX($AO$1005:$BQ$1005,1,MATCH(COLUMNS($AO$1006:AP1006),$AO$1006:$BQ$1006,0))&gt;=100000), " ",IF(INDEX($AO$2:$BQ$1001,MATCH(ROWS($AH$2:AH595),$AH$2:$AH$1001,0),MATCH(COLUMNS($AO$1006:AP1006),$AO$1006:$BQ$1006,0)), HYPERLINK("#",""), HYPERLINK(CONCATENATE("#Metadata!", ADDRESS(INDEX($AJ$2:$AJ$1001,MATCH(ROWS($AH$2:AH595),$AH$2:$AH$1001,0),0), INDEX($AO$1004:$BQ$1004,1,MATCH(COLUMNS($AO$1006:AP1006),$AO$1006:$BQ$1006,0)))),"Fix")))</f>
        <v>#N/A</v>
      </c>
      <c r="D595" s="5" t="e">
        <f ca="1">IF(OR(INDEX($AI$2:$AI$1001,MATCH(ROWS($AH$2:AH595),$AH$2:$AH$1001,0),1)&gt;=100000,INDEX($AO$1005:$BQ$1005,1,MATCH(COLUMNS($AO$1006:AQ1006),$AO$1006:$BQ$1006,0))&gt;=100000), " ",IF(INDEX($AO$2:$BQ$1001,MATCH(ROWS($AH$2:AH595),$AH$2:$AH$1001,0),MATCH(COLUMNS($AO$1006:AQ1006),$AO$1006:$BQ$1006,0)), HYPERLINK("#",""), HYPERLINK(CONCATENATE("#Metadata!", ADDRESS(INDEX($AJ$2:$AJ$1001,MATCH(ROWS($AH$2:AH595),$AH$2:$AH$1001,0),0), INDEX($AO$1004:$BQ$1004,1,MATCH(COLUMNS($AO$1006:AQ1006),$AO$1006:$BQ$1006,0)))),"Fix")))</f>
        <v>#N/A</v>
      </c>
      <c r="E595" s="5" t="e">
        <f ca="1">IF(OR(INDEX($AI$2:$AI$1001,MATCH(ROWS($AH$2:AH595),$AH$2:$AH$1001,0),1)&gt;=100000,INDEX($AO$1005:$BQ$1005,1,MATCH(COLUMNS($AO$1006:AR1006),$AO$1006:$BQ$1006,0))&gt;=100000), " ",IF(INDEX($AO$2:$BQ$1001,MATCH(ROWS($AH$2:AH595),$AH$2:$AH$1001,0),MATCH(COLUMNS($AO$1006:AR1006),$AO$1006:$BQ$1006,0)), HYPERLINK("#",""), HYPERLINK(CONCATENATE("#Metadata!", ADDRESS(INDEX($AJ$2:$AJ$1001,MATCH(ROWS($AH$2:AH595),$AH$2:$AH$1001,0),0), INDEX($AO$1004:$BQ$1004,1,MATCH(COLUMNS($AO$1006:AR1006),$AO$1006:$BQ$1006,0)))),"Fix")))</f>
        <v>#N/A</v>
      </c>
      <c r="F595" s="5" t="e">
        <f ca="1">IF(OR(INDEX($AI$2:$AI$1001,MATCH(ROWS($AH$2:AH595),$AH$2:$AH$1001,0),1)&gt;=100000,INDEX($AO$1005:$BQ$1005,1,MATCH(COLUMNS($AO$1006:AS1006),$AO$1006:$BQ$1006,0))&gt;=100000), " ",IF(INDEX($AO$2:$BQ$1001,MATCH(ROWS($AH$2:AH595),$AH$2:$AH$1001,0),MATCH(COLUMNS($AO$1006:AS1006),$AO$1006:$BQ$1006,0)), HYPERLINK("#",""), HYPERLINK(CONCATENATE("#Metadata!", ADDRESS(INDEX($AJ$2:$AJ$1001,MATCH(ROWS($AH$2:AH595),$AH$2:$AH$1001,0),0), INDEX($AO$1004:$BQ$1004,1,MATCH(COLUMNS($AO$1006:AS1006),$AO$1006:$BQ$1006,0)))),"Fix")))</f>
        <v>#N/A</v>
      </c>
      <c r="G595" s="5" t="e">
        <f ca="1">IF(OR(INDEX($AI$2:$AI$1001,MATCH(ROWS($AH$2:AH595),$AH$2:$AH$1001,0),1)&gt;=100000,INDEX($AO$1005:$BQ$1005,1,MATCH(COLUMNS($AO$1006:AT1006),$AO$1006:$BQ$1006,0))&gt;=100000), " ",IF(INDEX($AO$2:$BQ$1001,MATCH(ROWS($AH$2:AH595),$AH$2:$AH$1001,0),MATCH(COLUMNS($AO$1006:AT1006),$AO$1006:$BQ$1006,0)), HYPERLINK("#",""), HYPERLINK(CONCATENATE("#Metadata!", ADDRESS(INDEX($AJ$2:$AJ$1001,MATCH(ROWS($AH$2:AH595),$AH$2:$AH$1001,0),0), INDEX($AO$1004:$BQ$1004,1,MATCH(COLUMNS($AO$1006:AT1006),$AO$1006:$BQ$1006,0)))),"Fix")))</f>
        <v>#N/A</v>
      </c>
      <c r="H595" s="5" t="e">
        <f ca="1">IF(OR(INDEX($AI$2:$AI$1001,MATCH(ROWS($AH$2:AH595),$AH$2:$AH$1001,0),1)&gt;=100000,INDEX($AO$1005:$BQ$1005,1,MATCH(COLUMNS($AO$1006:AU1006),$AO$1006:$BQ$1006,0))&gt;=100000), " ",IF(INDEX($AO$2:$BQ$1001,MATCH(ROWS($AH$2:AH595),$AH$2:$AH$1001,0),MATCH(COLUMNS($AO$1006:AU1006),$AO$1006:$BQ$1006,0)), HYPERLINK("#",""), HYPERLINK(CONCATENATE("#Metadata!", ADDRESS(INDEX($AJ$2:$AJ$1001,MATCH(ROWS($AH$2:AH595),$AH$2:$AH$1001,0),0), INDEX($AO$1004:$BQ$1004,1,MATCH(COLUMNS($AO$1006:AU1006),$AO$1006:$BQ$1006,0)))),"Fix")))</f>
        <v>#N/A</v>
      </c>
      <c r="I595" s="5" t="e">
        <f ca="1">IF(OR(INDEX($AI$2:$AI$1001,MATCH(ROWS($AH$2:AH595),$AH$2:$AH$1001,0),1)&gt;=100000,INDEX($AO$1005:$BQ$1005,1,MATCH(COLUMNS($AO$1006:AV1006),$AO$1006:$BQ$1006,0))&gt;=100000), " ",IF(INDEX($AO$2:$BQ$1001,MATCH(ROWS($AH$2:AH595),$AH$2:$AH$1001,0),MATCH(COLUMNS($AO$1006:AV1006),$AO$1006:$BQ$1006,0)), HYPERLINK("#",""), HYPERLINK(CONCATENATE("#Metadata!", ADDRESS(INDEX($AJ$2:$AJ$1001,MATCH(ROWS($AH$2:AH595),$AH$2:$AH$1001,0),0), INDEX($AO$1004:$BQ$1004,1,MATCH(COLUMNS($AO$1006:AV1006),$AO$1006:$BQ$1006,0)))),"Fix")))</f>
        <v>#N/A</v>
      </c>
      <c r="J595" s="5" t="e">
        <f ca="1">IF(OR(INDEX($AI$2:$AI$1001,MATCH(ROWS($AH$2:AH595),$AH$2:$AH$1001,0),1)&gt;=100000,INDEX($AO$1005:$BQ$1005,1,MATCH(COLUMNS($AO$1006:AW1006),$AO$1006:$BQ$1006,0))&gt;=100000), " ",IF(INDEX($AO$2:$BQ$1001,MATCH(ROWS($AH$2:AH595),$AH$2:$AH$1001,0),MATCH(COLUMNS($AO$1006:AW1006),$AO$1006:$BQ$1006,0)), HYPERLINK("#",""), HYPERLINK(CONCATENATE("#Metadata!", ADDRESS(INDEX($AJ$2:$AJ$1001,MATCH(ROWS($AH$2:AH595),$AH$2:$AH$1001,0),0), INDEX($AO$1004:$BQ$1004,1,MATCH(COLUMNS($AO$1006:AW1006),$AO$1006:$BQ$1006,0)))),"Fix")))</f>
        <v>#N/A</v>
      </c>
      <c r="K595" s="5" t="e">
        <f ca="1">IF(OR(INDEX($AI$2:$AI$1001,MATCH(ROWS($AH$2:AH595),$AH$2:$AH$1001,0),1)&gt;=100000,INDEX($AO$1005:$BQ$1005,1,MATCH(COLUMNS($AO$1006:AX1006),$AO$1006:$BQ$1006,0))&gt;=100000), " ",IF(INDEX($AO$2:$BQ$1001,MATCH(ROWS($AH$2:AH595),$AH$2:$AH$1001,0),MATCH(COLUMNS($AO$1006:AX1006),$AO$1006:$BQ$1006,0)), HYPERLINK("#",""), HYPERLINK(CONCATENATE("#Metadata!", ADDRESS(INDEX($AJ$2:$AJ$1001,MATCH(ROWS($AH$2:AH595),$AH$2:$AH$1001,0),0), INDEX($AO$1004:$BQ$1004,1,MATCH(COLUMNS($AO$1006:AX1006),$AO$1006:$BQ$1006,0)))),"Fix")))</f>
        <v>#N/A</v>
      </c>
      <c r="L595" s="5" t="e">
        <f ca="1">IF(OR(INDEX($AI$2:$AI$1001,MATCH(ROWS($AH$2:AH595),$AH$2:$AH$1001,0),1)&gt;=100000,INDEX($AO$1005:$BQ$1005,1,MATCH(COLUMNS($AO$1006:AY1006),$AO$1006:$BQ$1006,0))&gt;=100000), " ",IF(INDEX($AO$2:$BQ$1001,MATCH(ROWS($AH$2:AH595),$AH$2:$AH$1001,0),MATCH(COLUMNS($AO$1006:AY1006),$AO$1006:$BQ$1006,0)), HYPERLINK("#",""), HYPERLINK(CONCATENATE("#Metadata!", ADDRESS(INDEX($AJ$2:$AJ$1001,MATCH(ROWS($AH$2:AH595),$AH$2:$AH$1001,0),0), INDEX($AO$1004:$BQ$1004,1,MATCH(COLUMNS($AO$1006:AY1006),$AO$1006:$BQ$1006,0)))),"Fix")))</f>
        <v>#N/A</v>
      </c>
      <c r="M595" s="5" t="e">
        <f ca="1">IF(OR(INDEX($AI$2:$AI$1001,MATCH(ROWS($AH$2:AH595),$AH$2:$AH$1001,0),1)&gt;=100000,INDEX($AO$1005:$BQ$1005,1,MATCH(COLUMNS($AO$1006:AZ1006),$AO$1006:$BQ$1006,0))&gt;=100000), " ",IF(INDEX($AO$2:$BQ$1001,MATCH(ROWS($AH$2:AH595),$AH$2:$AH$1001,0),MATCH(COLUMNS($AO$1006:AZ1006),$AO$1006:$BQ$1006,0)), HYPERLINK("#",""), HYPERLINK(CONCATENATE("#Metadata!", ADDRESS(INDEX($AJ$2:$AJ$1001,MATCH(ROWS($AH$2:AH595),$AH$2:$AH$1001,0),0), INDEX($AO$1004:$BQ$1004,1,MATCH(COLUMNS($AO$1006:AZ1006),$AO$1006:$BQ$1006,0)))),"Fix")))</f>
        <v>#N/A</v>
      </c>
      <c r="N595" s="5" t="e">
        <f ca="1">IF(OR(INDEX($AI$2:$AI$1001,MATCH(ROWS($AH$2:AH595),$AH$2:$AH$1001,0),1)&gt;=100000,INDEX($AO$1005:$BQ$1005,1,MATCH(COLUMNS($AO$1006:BA1006),$AO$1006:$BQ$1006,0))&gt;=100000), " ",IF(INDEX($AO$2:$BQ$1001,MATCH(ROWS($AH$2:AH595),$AH$2:$AH$1001,0),MATCH(COLUMNS($AO$1006:BA1006),$AO$1006:$BQ$1006,0)), HYPERLINK("#",""), HYPERLINK(CONCATENATE("#Metadata!", ADDRESS(INDEX($AJ$2:$AJ$1001,MATCH(ROWS($AH$2:AH595),$AH$2:$AH$1001,0),0), INDEX($AO$1004:$BQ$1004,1,MATCH(COLUMNS($AO$1006:BA1006),$AO$1006:$BQ$1006,0)))),"Fix")))</f>
        <v>#N/A</v>
      </c>
      <c r="O595" s="5" t="e">
        <f ca="1">IF(OR(INDEX($AI$2:$AI$1001,MATCH(ROWS($AH$2:AH595),$AH$2:$AH$1001,0),1)&gt;=100000,INDEX($AO$1005:$BQ$1005,1,MATCH(COLUMNS($AO$1006:BB1006),$AO$1006:$BQ$1006,0))&gt;=100000), " ",IF(INDEX($AO$2:$BQ$1001,MATCH(ROWS($AH$2:AH595),$AH$2:$AH$1001,0),MATCH(COLUMNS($AO$1006:BB1006),$AO$1006:$BQ$1006,0)), HYPERLINK("#",""), HYPERLINK(CONCATENATE("#Metadata!", ADDRESS(INDEX($AJ$2:$AJ$1001,MATCH(ROWS($AH$2:AH595),$AH$2:$AH$1001,0),0), INDEX($AO$1004:$BQ$1004,1,MATCH(COLUMNS($AO$1006:BB1006),$AO$1006:$BQ$1006,0)))),"Fix")))</f>
        <v>#N/A</v>
      </c>
      <c r="P595" s="5" t="e">
        <f ca="1">IF(OR(INDEX($AI$2:$AI$1001,MATCH(ROWS($AH$2:AH595),$AH$2:$AH$1001,0),1)&gt;=100000,INDEX($AO$1005:$BQ$1005,1,MATCH(COLUMNS($AO$1006:BC1006),$AO$1006:$BQ$1006,0))&gt;=100000), " ",IF(INDEX($AO$2:$BQ$1001,MATCH(ROWS($AH$2:AH595),$AH$2:$AH$1001,0),MATCH(COLUMNS($AO$1006:BC1006),$AO$1006:$BQ$1006,0)), HYPERLINK("#",""), HYPERLINK(CONCATENATE("#Metadata!", ADDRESS(INDEX($AJ$2:$AJ$1001,MATCH(ROWS($AH$2:AH595),$AH$2:$AH$1001,0),0), INDEX($AO$1004:$BQ$1004,1,MATCH(COLUMNS($AO$1006:BC1006),$AO$1006:$BQ$1006,0)))),"Fix")))</f>
        <v>#N/A</v>
      </c>
      <c r="Q595" s="5" t="e">
        <f ca="1">IF(OR(INDEX($AI$2:$AI$1001,MATCH(ROWS($AH$2:AH595),$AH$2:$AH$1001,0),1)&gt;=100000,INDEX($AO$1005:$BQ$1005,1,MATCH(COLUMNS($AO$1006:BD1006),$AO$1006:$BQ$1006,0))&gt;=100000), " ",IF(INDEX($AO$2:$BQ$1001,MATCH(ROWS($AH$2:AH595),$AH$2:$AH$1001,0),MATCH(COLUMNS($AO$1006:BD1006),$AO$1006:$BQ$1006,0)), HYPERLINK("#",""), HYPERLINK(CONCATENATE("#Metadata!", ADDRESS(INDEX($AJ$2:$AJ$1001,MATCH(ROWS($AH$2:AH595),$AH$2:$AH$1001,0),0), INDEX($AO$1004:$BQ$1004,1,MATCH(COLUMNS($AO$1006:BD1006),$AO$1006:$BQ$1006,0)))),"Fix")))</f>
        <v>#N/A</v>
      </c>
      <c r="R595" s="5" t="e">
        <f ca="1">IF(OR(INDEX($AI$2:$AI$1001,MATCH(ROWS($AH$2:AH595),$AH$2:$AH$1001,0),1)&gt;=100000,INDEX($AO$1005:$BQ$1005,1,MATCH(COLUMNS($AO$1006:BE1006),$AO$1006:$BQ$1006,0))&gt;=100000), " ",IF(INDEX($AO$2:$BQ$1001,MATCH(ROWS($AH$2:AH595),$AH$2:$AH$1001,0),MATCH(COLUMNS($AO$1006:BE1006),$AO$1006:$BQ$1006,0)), HYPERLINK("#",""), HYPERLINK(CONCATENATE("#Metadata!", ADDRESS(INDEX($AJ$2:$AJ$1001,MATCH(ROWS($AH$2:AH595),$AH$2:$AH$1001,0),0), INDEX($AO$1004:$BQ$1004,1,MATCH(COLUMNS($AO$1006:BE1006),$AO$1006:$BQ$1006,0)))),"Fix")))</f>
        <v>#N/A</v>
      </c>
      <c r="S595" s="5" t="e">
        <f ca="1">IF(OR(INDEX($AI$2:$AI$1001,MATCH(ROWS($AH$2:AH595),$AH$2:$AH$1001,0),1)&gt;=100000,INDEX($AO$1005:$BQ$1005,1,MATCH(COLUMNS($AO$1006:BF1006),$AO$1006:$BQ$1006,0))&gt;=100000), " ",IF(INDEX($AO$2:$BQ$1001,MATCH(ROWS($AH$2:AH595),$AH$2:$AH$1001,0),MATCH(COLUMNS($AO$1006:BF1006),$AO$1006:$BQ$1006,0)), HYPERLINK("#",""), HYPERLINK(CONCATENATE("#Metadata!", ADDRESS(INDEX($AJ$2:$AJ$1001,MATCH(ROWS($AH$2:AH595),$AH$2:$AH$1001,0),0), INDEX($AO$1004:$BQ$1004,1,MATCH(COLUMNS($AO$1006:BF1006),$AO$1006:$BQ$1006,0)))),"Fix")))</f>
        <v>#N/A</v>
      </c>
      <c r="T595" s="5" t="e">
        <f ca="1">IF(OR(INDEX($AI$2:$AI$1001,MATCH(ROWS($AH$2:AH595),$AH$2:$AH$1001,0),1)&gt;=100000,INDEX($AO$1005:$BQ$1005,1,MATCH(COLUMNS($AO$1006:BG1006),$AO$1006:$BQ$1006,0))&gt;=100000), " ",IF(INDEX($AO$2:$BQ$1001,MATCH(ROWS($AH$2:AH595),$AH$2:$AH$1001,0),MATCH(COLUMNS($AO$1006:BG1006),$AO$1006:$BQ$1006,0)), HYPERLINK("#",""), HYPERLINK(CONCATENATE("#Metadata!", ADDRESS(INDEX($AJ$2:$AJ$1001,MATCH(ROWS($AH$2:AH595),$AH$2:$AH$1001,0),0), INDEX($AO$1004:$BQ$1004,1,MATCH(COLUMNS($AO$1006:BG1006),$AO$1006:$BQ$1006,0)))),"Fix")))</f>
        <v>#N/A</v>
      </c>
      <c r="U595" s="5" t="e">
        <f ca="1">IF(OR(INDEX($AI$2:$AI$1001,MATCH(ROWS($AH$2:AH595),$AH$2:$AH$1001,0),1)&gt;=100000,INDEX($AO$1005:$BQ$1005,1,MATCH(COLUMNS($AO$1006:BH1006),$AO$1006:$BQ$1006,0))&gt;=100000), " ",IF(INDEX($AO$2:$BQ$1001,MATCH(ROWS($AH$2:AH595),$AH$2:$AH$1001,0),MATCH(COLUMNS($AO$1006:BH1006),$AO$1006:$BQ$1006,0)), HYPERLINK("#",""), HYPERLINK(CONCATENATE("#Metadata!", ADDRESS(INDEX($AJ$2:$AJ$1001,MATCH(ROWS($AH$2:AH595),$AH$2:$AH$1001,0),0), INDEX($AO$1004:$BQ$1004,1,MATCH(COLUMNS($AO$1006:BH1006),$AO$1006:$BQ$1006,0)))),"Fix")))</f>
        <v>#N/A</v>
      </c>
      <c r="V595" s="5" t="e">
        <f ca="1">IF(OR(INDEX($AI$2:$AI$1001,MATCH(ROWS($AH$2:AH595),$AH$2:$AH$1001,0),1)&gt;=100000,INDEX($AO$1005:$BQ$1005,1,MATCH(COLUMNS($AO$1006:BI1006),$AO$1006:$BQ$1006,0))&gt;=100000), " ",IF(INDEX($AO$2:$BQ$1001,MATCH(ROWS($AH$2:AH595),$AH$2:$AH$1001,0),MATCH(COLUMNS($AO$1006:BI1006),$AO$1006:$BQ$1006,0)), HYPERLINK("#",""), HYPERLINK(CONCATENATE("#Metadata!", ADDRESS(INDEX($AJ$2:$AJ$1001,MATCH(ROWS($AH$2:AH595),$AH$2:$AH$1001,0),0), INDEX($AO$1004:$BQ$1004,1,MATCH(COLUMNS($AO$1006:BI1006),$AO$1006:$BQ$1006,0)))),"Fix")))</f>
        <v>#N/A</v>
      </c>
      <c r="W595" s="5" t="e">
        <f ca="1">IF(OR(INDEX($AI$2:$AI$1001,MATCH(ROWS($AH$2:AH595),$AH$2:$AH$1001,0),1)&gt;=100000,INDEX($AO$1005:$BQ$1005,1,MATCH(COLUMNS($AO$1006:BJ1006),$AO$1006:$BQ$1006,0))&gt;=100000), " ",IF(INDEX($AO$2:$BQ$1001,MATCH(ROWS($AH$2:AH595),$AH$2:$AH$1001,0),MATCH(COLUMNS($AO$1006:BJ1006),$AO$1006:$BQ$1006,0)), HYPERLINK("#",""), HYPERLINK(CONCATENATE("#Metadata!", ADDRESS(INDEX($AJ$2:$AJ$1001,MATCH(ROWS($AH$2:AH595),$AH$2:$AH$1001,0),0), INDEX($AO$1004:$BQ$1004,1,MATCH(COLUMNS($AO$1006:BJ1006),$AO$1006:$BQ$1006,0)))),"Fix")))</f>
        <v>#N/A</v>
      </c>
      <c r="X595" s="5" t="e">
        <f ca="1">IF(OR(INDEX($AI$2:$AI$1001,MATCH(ROWS($AH$2:AH595),$AH$2:$AH$1001,0),1)&gt;=100000,INDEX($AO$1005:$BQ$1005,1,MATCH(COLUMNS($AO$1006:BK1006),$AO$1006:$BQ$1006,0))&gt;=100000), " ",IF(INDEX($AO$2:$BQ$1001,MATCH(ROWS($AH$2:AH595),$AH$2:$AH$1001,0),MATCH(COLUMNS($AO$1006:BK1006),$AO$1006:$BQ$1006,0)), HYPERLINK("#",""), HYPERLINK(CONCATENATE("#Metadata!", ADDRESS(INDEX($AJ$2:$AJ$1001,MATCH(ROWS($AH$2:AH595),$AH$2:$AH$1001,0),0), INDEX($AO$1004:$BQ$1004,1,MATCH(COLUMNS($AO$1006:BK1006),$AO$1006:$BQ$1006,0)))),"Fix")))</f>
        <v>#N/A</v>
      </c>
      <c r="Y595" s="5" t="e">
        <f ca="1">IF(OR(INDEX($AI$2:$AI$1001,MATCH(ROWS($AH$2:AH595),$AH$2:$AH$1001,0),1)&gt;=100000,INDEX($AO$1005:$BQ$1005,1,MATCH(COLUMNS($AO$1006:BL1006),$AO$1006:$BQ$1006,0))&gt;=100000), " ",IF(INDEX($AO$2:$BQ$1001,MATCH(ROWS($AH$2:AH595),$AH$2:$AH$1001,0),MATCH(COLUMNS($AO$1006:BL1006),$AO$1006:$BQ$1006,0)), HYPERLINK("#",""), HYPERLINK(CONCATENATE("#Metadata!", ADDRESS(INDEX($AJ$2:$AJ$1001,MATCH(ROWS($AH$2:AH595),$AH$2:$AH$1001,0),0), INDEX($AO$1004:$BQ$1004,1,MATCH(COLUMNS($AO$1006:BL1006),$AO$1006:$BQ$1006,0)))),"Fix")))</f>
        <v>#N/A</v>
      </c>
      <c r="Z595" s="5" t="e">
        <f ca="1">IF(OR(INDEX($AI$2:$AI$1001,MATCH(ROWS($AH$2:AH595),$AH$2:$AH$1001,0),1)&gt;=100000,INDEX($AO$1005:$BQ$1005,1,MATCH(COLUMNS($AO$1006:BM1006),$AO$1006:$BQ$1006,0))&gt;=100000), " ",IF(INDEX($AO$2:$BQ$1001,MATCH(ROWS($AH$2:AH595),$AH$2:$AH$1001,0),MATCH(COLUMNS($AO$1006:BM1006),$AO$1006:$BQ$1006,0)), HYPERLINK("#",""), HYPERLINK(CONCATENATE("#Metadata!", ADDRESS(INDEX($AJ$2:$AJ$1001,MATCH(ROWS($AH$2:AH595),$AH$2:$AH$1001,0),0), INDEX($AO$1004:$BQ$1004,1,MATCH(COLUMNS($AO$1006:BM1006),$AO$1006:$BQ$1006,0)))),"Fix")))</f>
        <v>#N/A</v>
      </c>
      <c r="AA595" s="5" t="e">
        <f ca="1">IF(OR(INDEX($AI$2:$AI$1001,MATCH(ROWS($AH$2:AH595),$AH$2:$AH$1001,0),1)&gt;=100000,INDEX($AO$1005:$BQ$1005,1,MATCH(COLUMNS($AO$1006:BN1006),$AO$1006:$BQ$1006,0))&gt;=100000), " ",IF(INDEX($AO$2:$BQ$1001,MATCH(ROWS($AH$2:AH595),$AH$2:$AH$1001,0),MATCH(COLUMNS($AO$1006:BN1006),$AO$1006:$BQ$1006,0)), HYPERLINK("#",""), HYPERLINK(CONCATENATE("#Metadata!", ADDRESS(INDEX($AJ$2:$AJ$1001,MATCH(ROWS($AH$2:AH595),$AH$2:$AH$1001,0),0), INDEX($AO$1004:$BQ$1004,1,MATCH(COLUMNS($AO$1006:BN1006),$AO$1006:$BQ$1006,0)))),"Fix")))</f>
        <v>#N/A</v>
      </c>
      <c r="AB595" s="5" t="e">
        <f ca="1">IF(OR(INDEX($AI$2:$AI$1001,MATCH(ROWS($AH$2:AH595),$AH$2:$AH$1001,0),1)&gt;=100000,INDEX($AO$1005:$BQ$1005,1,MATCH(COLUMNS($AO$1006:BO1006),$AO$1006:$BQ$1006,0))&gt;=100000), " ",IF(INDEX($AO$2:$BQ$1001,MATCH(ROWS($AH$2:AH595),$AH$2:$AH$1001,0),MATCH(COLUMNS($AO$1006:BO1006),$AO$1006:$BQ$1006,0)), HYPERLINK("#",""), HYPERLINK(CONCATENATE("#Metadata!", ADDRESS(INDEX($AJ$2:$AJ$1001,MATCH(ROWS($AH$2:AH595),$AH$2:$AH$1001,0),0), INDEX($AO$1004:$BQ$1004,1,MATCH(COLUMNS($AO$1006:BO1006),$AO$1006:$BQ$1006,0)))),"Fix")))</f>
        <v>#N/A</v>
      </c>
      <c r="AC595" s="5" t="e">
        <f ca="1">IF(OR(INDEX($AI$2:$AI$1001,MATCH(ROWS($AH$2:AH595),$AH$2:$AH$1001,0),1)&gt;=100000,INDEX($AO$1005:$BQ$1005,1,MATCH(COLUMNS($AO$1006:BP1006),$AO$1006:$BQ$1006,0))&gt;=100000), " ",IF(INDEX($AO$2:$BQ$1001,MATCH(ROWS($AH$2:AH595),$AH$2:$AH$1001,0),MATCH(COLUMNS($AO$1006:BP1006),$AO$1006:$BQ$1006,0)), HYPERLINK("#",""), HYPERLINK(CONCATENATE("#Metadata!", ADDRESS(INDEX($AJ$2:$AJ$1001,MATCH(ROWS($AH$2:AH595),$AH$2:$AH$1001,0),0), INDEX($AO$1004:$BQ$1004,1,MATCH(COLUMNS($AO$1006:BP1006),$AO$1006:$BQ$1006,0)))),"Fix")))</f>
        <v>#N/A</v>
      </c>
      <c r="AD595" s="5" t="e">
        <f ca="1">IF(OR(INDEX($AI$2:$AI$1001,MATCH(ROWS($AH$2:AH595),$AH$2:$AH$1001,0),1)&gt;=100000,INDEX($AO$1005:$BQ$1005,1,MATCH(COLUMNS($AO$1006:BQ1006),$AO$1006:$BQ$1006,0))&gt;=100000), " ",IF(INDEX($AO$2:$BQ$1001,MATCH(ROWS($AH$2:AH595),$AH$2:$AH$1001,0),MATCH(COLUMNS($AO$1006:BQ1006),$AO$1006:$BQ$1006,0)), HYPERLINK("#",""), HYPERLINK(CONCATENATE("#Metadata!", ADDRESS(INDEX($AJ$2:$AJ$1001,MATCH(ROWS($AH$2:AH595),$AH$2:$AH$1001,0),0), INDEX($AO$1004:$BQ$1004,1,MATCH(COLUMNS($AO$1006:BQ1006),$AO$1006:$BQ$1006,0)))),"Fix")))</f>
        <v>#REF!</v>
      </c>
      <c r="AH595">
        <f ca="1"/>
        <v>592</v>
      </c>
      <c r="AI595">
        <v>100595</v>
      </c>
      <c r="AJ595">
        <v>595</v>
      </c>
      <c r="AK595" t="b">
        <f t="shared" si="9"/>
        <v>1</v>
      </c>
      <c r="AL595" t="b">
        <f>COUNTBLANK(Metadata!B595:AD595)=COLUMNS(Metadata!B595:AD595)</f>
        <v>1</v>
      </c>
      <c r="AM595" t="str">
        <v/>
      </c>
      <c r="AO595" t="b">
        <f ca="1">AND(IF(Metadata!B595="",FALSE,TRUE),COUNTIF(Metadata!B:B, Metadata!B595) = 1,NOT(ISERROR(SUMPRODUCT(SEARCH(MID(Metadata!B595,ROW(INDIRECT("1:"&amp;LEN(Metadata!B595))), 1),"0123456789abcdefghijklmnopqrstuvwxyzABCDEFGHIJKLMNOPQRSTUVWXYZ.")))))</f>
        <v>0</v>
      </c>
      <c r="AP595" t="b">
        <f>IF(Metadata!C595="",FALSE,TRUE)</f>
        <v>0</v>
      </c>
      <c r="AQ595" t="b">
        <f>IF(Metadata!D595="",FALSE,TRUE)</f>
        <v>0</v>
      </c>
      <c r="AR595" t="b">
        <f ca="1">OR(AND(IF(Metadata!E595="",FALSE,TRUE),OR(EXACT(Metadata!E595,"not collected"),EXACT(Metadata!E595,"not provided"),EXACT(Metadata!E595,"restricted access"))),AND(IF(Metadata!E595="",FALSE,TRUE),AND(AND(IFERROR(INT(LEFT(Metadata!E595,4))&gt;1900,FALSE),IFERROR(INT(LEFT(Metadata!E595,4))&lt;=YEAR(NOW()),FALSE)), OR(MID(Metadata!E595,5,1)="", AND(AND(MID(Metadata!E595,5,1)="-",IFERROR(INT(MID(Metadata!E595,6,1))&gt;=0,FALSE),IFERROR(INT(MID(Metadata!E595,6,1))&lt;=1,FALSE),NOT(MID(Metadata!E595,7,1)=""),IFERROR(INT(MID(Metadata!E595,6,2))&gt;=1,FALSE),IFERROR(INT(MID(Metadata!E595,6,2))&lt;=12,FALSE)), OR(MID(Metadata!E595,8,1)="", AND(AND(MID(Metadata!E595,8,1)="-",IFERROR(INT(MID(Metadata!E595,9,1))&gt;=0,FALSE),IFERROR(INT(MID(Metadata!E595,9,1))&lt;=3,FALSE),NOT(MID(Metadata!E595,10,1)=""),IFERROR(INT(MID(Metadata!E595,9,2))&gt;=1,FALSE),IFERROR(INT(MID(Metadata!E595,9,2))&lt;=31,FALSE)), OR(MID(Metadata!E595,11,1)="", AND(AND(MID(Metadata!E595,11,1)=" ",IFERROR(INT(MID(Metadata!E595,12,1))&gt;=0,FALSE),IFERROR(INT(MID(Metadata!E595,12,1))&lt;=2,FALSE),NOT(MID(Metadata!E595,13,1)=""),IFERROR(INT(MID(Metadata!E595,12,2))&gt;=0,FALSE),IFERROR(INT(MID(Metadata!E595,12,2))&lt;=23,FALSE)), OR(MID(Metadata!E595,14,1)="", AND(AND(MID(Metadata!E595,14,1)=":",IFERROR(INT(MID(Metadata!E595,15,1))&gt;=0,FALSE),IFERROR(INT(MID(Metadata!E595,15,1))&lt;=5,FALSE),NOT(MID(Metadata!E595,16,1)=""),IFERROR(INT(MID(Metadata!E595,15,2))&gt;=0,FALSE),IFERROR(INT(MID(Metadata!E595,15,2))&lt;=59,FALSE)), OR(MID(Metadata!E595,17,1)="", AND(AND(MID(Metadata!E595,17,1)=":",IFERROR(INT(MID(Metadata!E595,18,1))&gt;=0,FALSE),IFERROR(INT(MID(Metadata!E595,18,1))&lt;=5,FALSE),NOT(MID(Metadata!E595,19,1)=""),IFERROR(INT(MID(Metadata!E595,18,2))&gt;=0,FALSE),IFERROR(INT(MID(Metadata!E595,18,2))&lt;=59,FALSE)), LEN(Metadata!E595)&lt;=19)))))))))))))</f>
        <v>0</v>
      </c>
      <c r="AS595" t="b">
        <f>IF(Metadata!F595="",FALSE,TRUE)</f>
        <v>0</v>
      </c>
      <c r="AT595" t="b">
        <f>OR(AND(IF(Metadata!G595="",FALSE,TRUE),OR(EXACT(Metadata!G595,"not collected"),EXACT(Metadata!G595,"not provided"))),AND(IF(Metadata!G595="",FALSE,TRUE),OR(EXACT(Metadata!G595,"TRUE"),EXACT(Metadata!G595,"FALSE"))))</f>
        <v>0</v>
      </c>
      <c r="AU595" t="b">
        <f>OR(AND(IF(Metadata!H595="",FALSE,TRUE),OR(EXACT(Metadata!H595,"not collected"),EXACT(Metadata!H595,"not provided"),EXACT(Metadata!H595,"restricted access"))),AND(IF(Metadata!H595="",FALSE,ISNUMBER(VALUE(Metadata!H595))),Metadata!H595&gt;=-413))</f>
        <v>0</v>
      </c>
      <c r="AV595" t="b">
        <f>AND(IF(Metadata!I595="",FALSE,TRUE),EXACT(Metadata!I595,"meters"))</f>
        <v>0</v>
      </c>
      <c r="AW595" t="b">
        <f>AND(IF(Metadata!J595="",FALSE,TRUE),EXACT(Metadata!J595,"free-living"))</f>
        <v>0</v>
      </c>
      <c r="AX595" t="b">
        <f>AND(IF(Metadata!K595="",FALSE,TRUE),OR(EXACT(Metadata!K595,"saline"),EXACT(Metadata!K595,"non-saline")))</f>
        <v>0</v>
      </c>
      <c r="AY595" t="b">
        <f>AND(IF(Metadata!L595="",FALSE,TRUE),OR(EXACT(Metadata!L595,"sub-surface (non-saline)"),EXACT(Metadata!L595,"surface (non-saline)"),EXACT(Metadata!L595,"water (non-saline)"),EXACT(Metadata!L595,"soil (non-saline)"),EXACT(Metadata!L595,"aerosol (non-saline)"),EXACT(Metadata!L595,"sediment (non-saline)"),EXACT(Metadata!L595,"surface (saline)"),EXACT(Metadata!L595,"water (saline)"),EXACT(Metadata!L595,"hypersaline (saline)"),EXACT(Metadata!L595,"aerosol (saline)"),EXACT(Metadata!L595,"sediment (saline)")))</f>
        <v>0</v>
      </c>
      <c r="AZ595" t="b">
        <f>IF(Metadata!M595="",FALSE,TRUE)</f>
        <v>0</v>
      </c>
      <c r="BA595" t="b">
        <f>IF(Metadata!N595="",FALSE,TRUE)</f>
        <v>0</v>
      </c>
      <c r="BB595" t="b">
        <f>IF(Metadata!O595="",FALSE,TRUE)</f>
        <v>0</v>
      </c>
      <c r="BC595" t="b">
        <f>AND(IF(Metadata!P595="",FALSE,TRUE),OR(EXACT(Metadata!P595,"air"),EXACT(Metadata!P595,"microbial mat/biofilm"),EXACT(Metadata!P595,"misc environment"),EXACT(Metadata!P595,"sediment"),EXACT(Metadata!P595,"soil"),EXACT(Metadata!P595,"wastewater/sludge"),EXACT(Metadata!P595,"water")))</f>
        <v>0</v>
      </c>
      <c r="BD595" t="b">
        <f>IF(Metadata!Q595="",FALSE,TRUE)</f>
        <v>0</v>
      </c>
      <c r="BE595" t="b">
        <f>IF(Metadata!R595="",FALSE,TRUE)</f>
        <v>0</v>
      </c>
      <c r="BF595" t="b">
        <f>OR(AND(IF(Metadata!S595="",FALSE,TRUE),OR(EXACT(Metadata!S595,"not collected"),EXACT(Metadata!S595,"not provided"),EXACT(Metadata!S595,"restricted access"))),AND(IF(Metadata!S595="",FALSE,ISNUMBER(VALUE(Metadata!S595))),Metadata!S595&gt;=-90,Metadata!S595&lt;=90))</f>
        <v>0</v>
      </c>
      <c r="BG595" t="b">
        <f>AND(IF(Metadata!T595="",FALSE,TRUE),EXACT(Metadata!T595,"Decimal degrees"))</f>
        <v>0</v>
      </c>
      <c r="BH595" t="b">
        <f>OR(AND(IF(Metadata!U595="",FALSE,TRUE),OR(EXACT(Metadata!U595,"not applicable"),EXACT(Metadata!U595,"not collected"))),IF(Metadata!U595="",FALSE,TRUE))</f>
        <v>0</v>
      </c>
      <c r="BI595" t="b">
        <f>OR(AND(IF(Metadata!V595="",FALSE,TRUE),OR(EXACT(Metadata!V595,"not collected"),EXACT(Metadata!V595,"not provided"),EXACT(Metadata!V595,"restricted access"))),AND(IF(Metadata!V595="",FALSE,ISNUMBER(VALUE(Metadata!V595))),Metadata!V595&gt;=-180,Metadata!V595&lt;=180))</f>
        <v>0</v>
      </c>
      <c r="BJ595" t="b">
        <f>AND(IF(Metadata!W595="",FALSE,TRUE),EXACT(Metadata!W595,"Decimal degrees"))</f>
        <v>0</v>
      </c>
      <c r="BK595" t="b">
        <f>IF(Metadata!X595="",FALSE,TRUE)</f>
        <v>0</v>
      </c>
      <c r="BL595" t="b">
        <f>OR(AND(IF(Metadata!Y595="",FALSE,TRUE),OR(EXACT(Metadata!Y595,"not collected"),EXACT(Metadata!Y595,"not provided"),EXACT(Metadata!Y595,"restricted access"))),AND(IF(Metadata!Y595="",FALSE,TRUE),OR(EXACT(Metadata!Y595,"TRUE"),EXACT(Metadata!Y595,"FALSE"))))</f>
        <v>0</v>
      </c>
      <c r="BM595" t="b">
        <f>OR(AND(IF(Metadata!Z595="",FALSE,TRUE),EXACT(Metadata!Z595,"not applicable")),AND(IF(Metadata!Z595="",FALSE,TRUE),OR(EXACT(Metadata!Z595,"beer"),EXACT(Metadata!Z595,"cheese"),EXACT(Metadata!Z595,"fresh water"),EXACT(Metadata!Z595,"marine sediment"),EXACT(Metadata!Z595,"sea water"),EXACT(Metadata!Z595,"sediment"),EXACT(Metadata!Z595,"soil"),EXACT(Metadata!Z595,"waste water"))))</f>
        <v>0</v>
      </c>
      <c r="BN595" t="b">
        <f>AND(IF(Metadata!AA595="",FALSE,TRUE),EXACT(Metadata!AA595,"metagenome"))</f>
        <v>0</v>
      </c>
      <c r="BO595" t="b">
        <f>AND(IF(Metadata!AB595="",FALSE,TRUE),EXACT(Metadata!AB595,"256318"))</f>
        <v>0</v>
      </c>
      <c r="BP595" t="b">
        <f>IF(Metadata!AC595="",FALSE,TRUE)</f>
        <v>0</v>
      </c>
      <c r="BQ595" t="b">
        <f>IF(Metadata!AD595="",FALSE,TRUE)</f>
        <v>0</v>
      </c>
    </row>
    <row r="596" spans="1:69" x14ac:dyDescent="0.2">
      <c r="A596" s="4" t="e">
        <f ca="1">IF(B596=" "," ",HYPERLINK(CONCATENATE("#metadata!",ADDRESS(INDEX($AJ$2:$AJ$1001,MATCH(ROWS($AH$2:AH596),$AH$2:$AH$1001,0),0),2)),INDEX($AM$2:$AM$1001,MATCH(ROWS($AH$2:AH596),$AH$2:$AH$1001,0),0)))</f>
        <v>#N/A</v>
      </c>
      <c r="B596" s="5" t="e">
        <f ca="1">IF(OR(INDEX($AI$2:$AI$1001,MATCH(ROWS($AH$2:AH596),$AH$2:$AH$1001,0),1)&gt;=100000,INDEX($AO$1005:$BQ$1005,1,MATCH(COLUMNS($AO$1006:AO1006),$AO$1006:$BQ$1006,0))&gt;=100000), " ",IF(INDEX($AO$2:$BQ$1001,MATCH(ROWS($AH$2:AH596),$AH$2:$AH$1001,0),MATCH(COLUMNS($AO$1006:AO1006),$AO$1006:$BQ$1006,0)), HYPERLINK("#",""), HYPERLINK(CONCATENATE("#Metadata!", ADDRESS(INDEX($AJ$2:$AJ$1001,MATCH(ROWS($AH$2:AH596),$AH$2:$AH$1001,0),0), INDEX($AO$1004:$BQ$1004,1,MATCH(COLUMNS($AO$1006:AO1006),$AO$1006:$BQ$1006,0)))),"Fix")))</f>
        <v>#N/A</v>
      </c>
      <c r="C596" s="5" t="e">
        <f ca="1">IF(OR(INDEX($AI$2:$AI$1001,MATCH(ROWS($AH$2:AH596),$AH$2:$AH$1001,0),1)&gt;=100000,INDEX($AO$1005:$BQ$1005,1,MATCH(COLUMNS($AO$1006:AP1006),$AO$1006:$BQ$1006,0))&gt;=100000), " ",IF(INDEX($AO$2:$BQ$1001,MATCH(ROWS($AH$2:AH596),$AH$2:$AH$1001,0),MATCH(COLUMNS($AO$1006:AP1006),$AO$1006:$BQ$1006,0)), HYPERLINK("#",""), HYPERLINK(CONCATENATE("#Metadata!", ADDRESS(INDEX($AJ$2:$AJ$1001,MATCH(ROWS($AH$2:AH596),$AH$2:$AH$1001,0),0), INDEX($AO$1004:$BQ$1004,1,MATCH(COLUMNS($AO$1006:AP1006),$AO$1006:$BQ$1006,0)))),"Fix")))</f>
        <v>#N/A</v>
      </c>
      <c r="D596" s="5" t="e">
        <f ca="1">IF(OR(INDEX($AI$2:$AI$1001,MATCH(ROWS($AH$2:AH596),$AH$2:$AH$1001,0),1)&gt;=100000,INDEX($AO$1005:$BQ$1005,1,MATCH(COLUMNS($AO$1006:AQ1006),$AO$1006:$BQ$1006,0))&gt;=100000), " ",IF(INDEX($AO$2:$BQ$1001,MATCH(ROWS($AH$2:AH596),$AH$2:$AH$1001,0),MATCH(COLUMNS($AO$1006:AQ1006),$AO$1006:$BQ$1006,0)), HYPERLINK("#",""), HYPERLINK(CONCATENATE("#Metadata!", ADDRESS(INDEX($AJ$2:$AJ$1001,MATCH(ROWS($AH$2:AH596),$AH$2:$AH$1001,0),0), INDEX($AO$1004:$BQ$1004,1,MATCH(COLUMNS($AO$1006:AQ1006),$AO$1006:$BQ$1006,0)))),"Fix")))</f>
        <v>#N/A</v>
      </c>
      <c r="E596" s="5" t="e">
        <f ca="1">IF(OR(INDEX($AI$2:$AI$1001,MATCH(ROWS($AH$2:AH596),$AH$2:$AH$1001,0),1)&gt;=100000,INDEX($AO$1005:$BQ$1005,1,MATCH(COLUMNS($AO$1006:AR1006),$AO$1006:$BQ$1006,0))&gt;=100000), " ",IF(INDEX($AO$2:$BQ$1001,MATCH(ROWS($AH$2:AH596),$AH$2:$AH$1001,0),MATCH(COLUMNS($AO$1006:AR1006),$AO$1006:$BQ$1006,0)), HYPERLINK("#",""), HYPERLINK(CONCATENATE("#Metadata!", ADDRESS(INDEX($AJ$2:$AJ$1001,MATCH(ROWS($AH$2:AH596),$AH$2:$AH$1001,0),0), INDEX($AO$1004:$BQ$1004,1,MATCH(COLUMNS($AO$1006:AR1006),$AO$1006:$BQ$1006,0)))),"Fix")))</f>
        <v>#N/A</v>
      </c>
      <c r="F596" s="5" t="e">
        <f ca="1">IF(OR(INDEX($AI$2:$AI$1001,MATCH(ROWS($AH$2:AH596),$AH$2:$AH$1001,0),1)&gt;=100000,INDEX($AO$1005:$BQ$1005,1,MATCH(COLUMNS($AO$1006:AS1006),$AO$1006:$BQ$1006,0))&gt;=100000), " ",IF(INDEX($AO$2:$BQ$1001,MATCH(ROWS($AH$2:AH596),$AH$2:$AH$1001,0),MATCH(COLUMNS($AO$1006:AS1006),$AO$1006:$BQ$1006,0)), HYPERLINK("#",""), HYPERLINK(CONCATENATE("#Metadata!", ADDRESS(INDEX($AJ$2:$AJ$1001,MATCH(ROWS($AH$2:AH596),$AH$2:$AH$1001,0),0), INDEX($AO$1004:$BQ$1004,1,MATCH(COLUMNS($AO$1006:AS1006),$AO$1006:$BQ$1006,0)))),"Fix")))</f>
        <v>#N/A</v>
      </c>
      <c r="G596" s="5" t="e">
        <f ca="1">IF(OR(INDEX($AI$2:$AI$1001,MATCH(ROWS($AH$2:AH596),$AH$2:$AH$1001,0),1)&gt;=100000,INDEX($AO$1005:$BQ$1005,1,MATCH(COLUMNS($AO$1006:AT1006),$AO$1006:$BQ$1006,0))&gt;=100000), " ",IF(INDEX($AO$2:$BQ$1001,MATCH(ROWS($AH$2:AH596),$AH$2:$AH$1001,0),MATCH(COLUMNS($AO$1006:AT1006),$AO$1006:$BQ$1006,0)), HYPERLINK("#",""), HYPERLINK(CONCATENATE("#Metadata!", ADDRESS(INDEX($AJ$2:$AJ$1001,MATCH(ROWS($AH$2:AH596),$AH$2:$AH$1001,0),0), INDEX($AO$1004:$BQ$1004,1,MATCH(COLUMNS($AO$1006:AT1006),$AO$1006:$BQ$1006,0)))),"Fix")))</f>
        <v>#N/A</v>
      </c>
      <c r="H596" s="5" t="e">
        <f ca="1">IF(OR(INDEX($AI$2:$AI$1001,MATCH(ROWS($AH$2:AH596),$AH$2:$AH$1001,0),1)&gt;=100000,INDEX($AO$1005:$BQ$1005,1,MATCH(COLUMNS($AO$1006:AU1006),$AO$1006:$BQ$1006,0))&gt;=100000), " ",IF(INDEX($AO$2:$BQ$1001,MATCH(ROWS($AH$2:AH596),$AH$2:$AH$1001,0),MATCH(COLUMNS($AO$1006:AU1006),$AO$1006:$BQ$1006,0)), HYPERLINK("#",""), HYPERLINK(CONCATENATE("#Metadata!", ADDRESS(INDEX($AJ$2:$AJ$1001,MATCH(ROWS($AH$2:AH596),$AH$2:$AH$1001,0),0), INDEX($AO$1004:$BQ$1004,1,MATCH(COLUMNS($AO$1006:AU1006),$AO$1006:$BQ$1006,0)))),"Fix")))</f>
        <v>#N/A</v>
      </c>
      <c r="I596" s="5" t="e">
        <f ca="1">IF(OR(INDEX($AI$2:$AI$1001,MATCH(ROWS($AH$2:AH596),$AH$2:$AH$1001,0),1)&gt;=100000,INDEX($AO$1005:$BQ$1005,1,MATCH(COLUMNS($AO$1006:AV1006),$AO$1006:$BQ$1006,0))&gt;=100000), " ",IF(INDEX($AO$2:$BQ$1001,MATCH(ROWS($AH$2:AH596),$AH$2:$AH$1001,0),MATCH(COLUMNS($AO$1006:AV1006),$AO$1006:$BQ$1006,0)), HYPERLINK("#",""), HYPERLINK(CONCATENATE("#Metadata!", ADDRESS(INDEX($AJ$2:$AJ$1001,MATCH(ROWS($AH$2:AH596),$AH$2:$AH$1001,0),0), INDEX($AO$1004:$BQ$1004,1,MATCH(COLUMNS($AO$1006:AV1006),$AO$1006:$BQ$1006,0)))),"Fix")))</f>
        <v>#N/A</v>
      </c>
      <c r="J596" s="5" t="e">
        <f ca="1">IF(OR(INDEX($AI$2:$AI$1001,MATCH(ROWS($AH$2:AH596),$AH$2:$AH$1001,0),1)&gt;=100000,INDEX($AO$1005:$BQ$1005,1,MATCH(COLUMNS($AO$1006:AW1006),$AO$1006:$BQ$1006,0))&gt;=100000), " ",IF(INDEX($AO$2:$BQ$1001,MATCH(ROWS($AH$2:AH596),$AH$2:$AH$1001,0),MATCH(COLUMNS($AO$1006:AW1006),$AO$1006:$BQ$1006,0)), HYPERLINK("#",""), HYPERLINK(CONCATENATE("#Metadata!", ADDRESS(INDEX($AJ$2:$AJ$1001,MATCH(ROWS($AH$2:AH596),$AH$2:$AH$1001,0),0), INDEX($AO$1004:$BQ$1004,1,MATCH(COLUMNS($AO$1006:AW1006),$AO$1006:$BQ$1006,0)))),"Fix")))</f>
        <v>#N/A</v>
      </c>
      <c r="K596" s="5" t="e">
        <f ca="1">IF(OR(INDEX($AI$2:$AI$1001,MATCH(ROWS($AH$2:AH596),$AH$2:$AH$1001,0),1)&gt;=100000,INDEX($AO$1005:$BQ$1005,1,MATCH(COLUMNS($AO$1006:AX1006),$AO$1006:$BQ$1006,0))&gt;=100000), " ",IF(INDEX($AO$2:$BQ$1001,MATCH(ROWS($AH$2:AH596),$AH$2:$AH$1001,0),MATCH(COLUMNS($AO$1006:AX1006),$AO$1006:$BQ$1006,0)), HYPERLINK("#",""), HYPERLINK(CONCATENATE("#Metadata!", ADDRESS(INDEX($AJ$2:$AJ$1001,MATCH(ROWS($AH$2:AH596),$AH$2:$AH$1001,0),0), INDEX($AO$1004:$BQ$1004,1,MATCH(COLUMNS($AO$1006:AX1006),$AO$1006:$BQ$1006,0)))),"Fix")))</f>
        <v>#N/A</v>
      </c>
      <c r="L596" s="5" t="e">
        <f ca="1">IF(OR(INDEX($AI$2:$AI$1001,MATCH(ROWS($AH$2:AH596),$AH$2:$AH$1001,0),1)&gt;=100000,INDEX($AO$1005:$BQ$1005,1,MATCH(COLUMNS($AO$1006:AY1006),$AO$1006:$BQ$1006,0))&gt;=100000), " ",IF(INDEX($AO$2:$BQ$1001,MATCH(ROWS($AH$2:AH596),$AH$2:$AH$1001,0),MATCH(COLUMNS($AO$1006:AY1006),$AO$1006:$BQ$1006,0)), HYPERLINK("#",""), HYPERLINK(CONCATENATE("#Metadata!", ADDRESS(INDEX($AJ$2:$AJ$1001,MATCH(ROWS($AH$2:AH596),$AH$2:$AH$1001,0),0), INDEX($AO$1004:$BQ$1004,1,MATCH(COLUMNS($AO$1006:AY1006),$AO$1006:$BQ$1006,0)))),"Fix")))</f>
        <v>#N/A</v>
      </c>
      <c r="M596" s="5" t="e">
        <f ca="1">IF(OR(INDEX($AI$2:$AI$1001,MATCH(ROWS($AH$2:AH596),$AH$2:$AH$1001,0),1)&gt;=100000,INDEX($AO$1005:$BQ$1005,1,MATCH(COLUMNS($AO$1006:AZ1006),$AO$1006:$BQ$1006,0))&gt;=100000), " ",IF(INDEX($AO$2:$BQ$1001,MATCH(ROWS($AH$2:AH596),$AH$2:$AH$1001,0),MATCH(COLUMNS($AO$1006:AZ1006),$AO$1006:$BQ$1006,0)), HYPERLINK("#",""), HYPERLINK(CONCATENATE("#Metadata!", ADDRESS(INDEX($AJ$2:$AJ$1001,MATCH(ROWS($AH$2:AH596),$AH$2:$AH$1001,0),0), INDEX($AO$1004:$BQ$1004,1,MATCH(COLUMNS($AO$1006:AZ1006),$AO$1006:$BQ$1006,0)))),"Fix")))</f>
        <v>#N/A</v>
      </c>
      <c r="N596" s="5" t="e">
        <f ca="1">IF(OR(INDEX($AI$2:$AI$1001,MATCH(ROWS($AH$2:AH596),$AH$2:$AH$1001,0),1)&gt;=100000,INDEX($AO$1005:$BQ$1005,1,MATCH(COLUMNS($AO$1006:BA1006),$AO$1006:$BQ$1006,0))&gt;=100000), " ",IF(INDEX($AO$2:$BQ$1001,MATCH(ROWS($AH$2:AH596),$AH$2:$AH$1001,0),MATCH(COLUMNS($AO$1006:BA1006),$AO$1006:$BQ$1006,0)), HYPERLINK("#",""), HYPERLINK(CONCATENATE("#Metadata!", ADDRESS(INDEX($AJ$2:$AJ$1001,MATCH(ROWS($AH$2:AH596),$AH$2:$AH$1001,0),0), INDEX($AO$1004:$BQ$1004,1,MATCH(COLUMNS($AO$1006:BA1006),$AO$1006:$BQ$1006,0)))),"Fix")))</f>
        <v>#N/A</v>
      </c>
      <c r="O596" s="5" t="e">
        <f ca="1">IF(OR(INDEX($AI$2:$AI$1001,MATCH(ROWS($AH$2:AH596),$AH$2:$AH$1001,0),1)&gt;=100000,INDEX($AO$1005:$BQ$1005,1,MATCH(COLUMNS($AO$1006:BB1006),$AO$1006:$BQ$1006,0))&gt;=100000), " ",IF(INDEX($AO$2:$BQ$1001,MATCH(ROWS($AH$2:AH596),$AH$2:$AH$1001,0),MATCH(COLUMNS($AO$1006:BB1006),$AO$1006:$BQ$1006,0)), HYPERLINK("#",""), HYPERLINK(CONCATENATE("#Metadata!", ADDRESS(INDEX($AJ$2:$AJ$1001,MATCH(ROWS($AH$2:AH596),$AH$2:$AH$1001,0),0), INDEX($AO$1004:$BQ$1004,1,MATCH(COLUMNS($AO$1006:BB1006),$AO$1006:$BQ$1006,0)))),"Fix")))</f>
        <v>#N/A</v>
      </c>
      <c r="P596" s="5" t="e">
        <f ca="1">IF(OR(INDEX($AI$2:$AI$1001,MATCH(ROWS($AH$2:AH596),$AH$2:$AH$1001,0),1)&gt;=100000,INDEX($AO$1005:$BQ$1005,1,MATCH(COLUMNS($AO$1006:BC1006),$AO$1006:$BQ$1006,0))&gt;=100000), " ",IF(INDEX($AO$2:$BQ$1001,MATCH(ROWS($AH$2:AH596),$AH$2:$AH$1001,0),MATCH(COLUMNS($AO$1006:BC1006),$AO$1006:$BQ$1006,0)), HYPERLINK("#",""), HYPERLINK(CONCATENATE("#Metadata!", ADDRESS(INDEX($AJ$2:$AJ$1001,MATCH(ROWS($AH$2:AH596),$AH$2:$AH$1001,0),0), INDEX($AO$1004:$BQ$1004,1,MATCH(COLUMNS($AO$1006:BC1006),$AO$1006:$BQ$1006,0)))),"Fix")))</f>
        <v>#N/A</v>
      </c>
      <c r="Q596" s="5" t="e">
        <f ca="1">IF(OR(INDEX($AI$2:$AI$1001,MATCH(ROWS($AH$2:AH596),$AH$2:$AH$1001,0),1)&gt;=100000,INDEX($AO$1005:$BQ$1005,1,MATCH(COLUMNS($AO$1006:BD1006),$AO$1006:$BQ$1006,0))&gt;=100000), " ",IF(INDEX($AO$2:$BQ$1001,MATCH(ROWS($AH$2:AH596),$AH$2:$AH$1001,0),MATCH(COLUMNS($AO$1006:BD1006),$AO$1006:$BQ$1006,0)), HYPERLINK("#",""), HYPERLINK(CONCATENATE("#Metadata!", ADDRESS(INDEX($AJ$2:$AJ$1001,MATCH(ROWS($AH$2:AH596),$AH$2:$AH$1001,0),0), INDEX($AO$1004:$BQ$1004,1,MATCH(COLUMNS($AO$1006:BD1006),$AO$1006:$BQ$1006,0)))),"Fix")))</f>
        <v>#N/A</v>
      </c>
      <c r="R596" s="5" t="e">
        <f ca="1">IF(OR(INDEX($AI$2:$AI$1001,MATCH(ROWS($AH$2:AH596),$AH$2:$AH$1001,0),1)&gt;=100000,INDEX($AO$1005:$BQ$1005,1,MATCH(COLUMNS($AO$1006:BE1006),$AO$1006:$BQ$1006,0))&gt;=100000), " ",IF(INDEX($AO$2:$BQ$1001,MATCH(ROWS($AH$2:AH596),$AH$2:$AH$1001,0),MATCH(COLUMNS($AO$1006:BE1006),$AO$1006:$BQ$1006,0)), HYPERLINK("#",""), HYPERLINK(CONCATENATE("#Metadata!", ADDRESS(INDEX($AJ$2:$AJ$1001,MATCH(ROWS($AH$2:AH596),$AH$2:$AH$1001,0),0), INDEX($AO$1004:$BQ$1004,1,MATCH(COLUMNS($AO$1006:BE1006),$AO$1006:$BQ$1006,0)))),"Fix")))</f>
        <v>#N/A</v>
      </c>
      <c r="S596" s="5" t="e">
        <f ca="1">IF(OR(INDEX($AI$2:$AI$1001,MATCH(ROWS($AH$2:AH596),$AH$2:$AH$1001,0),1)&gt;=100000,INDEX($AO$1005:$BQ$1005,1,MATCH(COLUMNS($AO$1006:BF1006),$AO$1006:$BQ$1006,0))&gt;=100000), " ",IF(INDEX($AO$2:$BQ$1001,MATCH(ROWS($AH$2:AH596),$AH$2:$AH$1001,0),MATCH(COLUMNS($AO$1006:BF1006),$AO$1006:$BQ$1006,0)), HYPERLINK("#",""), HYPERLINK(CONCATENATE("#Metadata!", ADDRESS(INDEX($AJ$2:$AJ$1001,MATCH(ROWS($AH$2:AH596),$AH$2:$AH$1001,0),0), INDEX($AO$1004:$BQ$1004,1,MATCH(COLUMNS($AO$1006:BF1006),$AO$1006:$BQ$1006,0)))),"Fix")))</f>
        <v>#N/A</v>
      </c>
      <c r="T596" s="5" t="e">
        <f ca="1">IF(OR(INDEX($AI$2:$AI$1001,MATCH(ROWS($AH$2:AH596),$AH$2:$AH$1001,0),1)&gt;=100000,INDEX($AO$1005:$BQ$1005,1,MATCH(COLUMNS($AO$1006:BG1006),$AO$1006:$BQ$1006,0))&gt;=100000), " ",IF(INDEX($AO$2:$BQ$1001,MATCH(ROWS($AH$2:AH596),$AH$2:$AH$1001,0),MATCH(COLUMNS($AO$1006:BG1006),$AO$1006:$BQ$1006,0)), HYPERLINK("#",""), HYPERLINK(CONCATENATE("#Metadata!", ADDRESS(INDEX($AJ$2:$AJ$1001,MATCH(ROWS($AH$2:AH596),$AH$2:$AH$1001,0),0), INDEX($AO$1004:$BQ$1004,1,MATCH(COLUMNS($AO$1006:BG1006),$AO$1006:$BQ$1006,0)))),"Fix")))</f>
        <v>#N/A</v>
      </c>
      <c r="U596" s="5" t="e">
        <f ca="1">IF(OR(INDEX($AI$2:$AI$1001,MATCH(ROWS($AH$2:AH596),$AH$2:$AH$1001,0),1)&gt;=100000,INDEX($AO$1005:$BQ$1005,1,MATCH(COLUMNS($AO$1006:BH1006),$AO$1006:$BQ$1006,0))&gt;=100000), " ",IF(INDEX($AO$2:$BQ$1001,MATCH(ROWS($AH$2:AH596),$AH$2:$AH$1001,0),MATCH(COLUMNS($AO$1006:BH1006),$AO$1006:$BQ$1006,0)), HYPERLINK("#",""), HYPERLINK(CONCATENATE("#Metadata!", ADDRESS(INDEX($AJ$2:$AJ$1001,MATCH(ROWS($AH$2:AH596),$AH$2:$AH$1001,0),0), INDEX($AO$1004:$BQ$1004,1,MATCH(COLUMNS($AO$1006:BH1006),$AO$1006:$BQ$1006,0)))),"Fix")))</f>
        <v>#N/A</v>
      </c>
      <c r="V596" s="5" t="e">
        <f ca="1">IF(OR(INDEX($AI$2:$AI$1001,MATCH(ROWS($AH$2:AH596),$AH$2:$AH$1001,0),1)&gt;=100000,INDEX($AO$1005:$BQ$1005,1,MATCH(COLUMNS($AO$1006:BI1006),$AO$1006:$BQ$1006,0))&gt;=100000), " ",IF(INDEX($AO$2:$BQ$1001,MATCH(ROWS($AH$2:AH596),$AH$2:$AH$1001,0),MATCH(COLUMNS($AO$1006:BI1006),$AO$1006:$BQ$1006,0)), HYPERLINK("#",""), HYPERLINK(CONCATENATE("#Metadata!", ADDRESS(INDEX($AJ$2:$AJ$1001,MATCH(ROWS($AH$2:AH596),$AH$2:$AH$1001,0),0), INDEX($AO$1004:$BQ$1004,1,MATCH(COLUMNS($AO$1006:BI1006),$AO$1006:$BQ$1006,0)))),"Fix")))</f>
        <v>#N/A</v>
      </c>
      <c r="W596" s="5" t="e">
        <f ca="1">IF(OR(INDEX($AI$2:$AI$1001,MATCH(ROWS($AH$2:AH596),$AH$2:$AH$1001,0),1)&gt;=100000,INDEX($AO$1005:$BQ$1005,1,MATCH(COLUMNS($AO$1006:BJ1006),$AO$1006:$BQ$1006,0))&gt;=100000), " ",IF(INDEX($AO$2:$BQ$1001,MATCH(ROWS($AH$2:AH596),$AH$2:$AH$1001,0),MATCH(COLUMNS($AO$1006:BJ1006),$AO$1006:$BQ$1006,0)), HYPERLINK("#",""), HYPERLINK(CONCATENATE("#Metadata!", ADDRESS(INDEX($AJ$2:$AJ$1001,MATCH(ROWS($AH$2:AH596),$AH$2:$AH$1001,0),0), INDEX($AO$1004:$BQ$1004,1,MATCH(COLUMNS($AO$1006:BJ1006),$AO$1006:$BQ$1006,0)))),"Fix")))</f>
        <v>#N/A</v>
      </c>
      <c r="X596" s="5" t="e">
        <f ca="1">IF(OR(INDEX($AI$2:$AI$1001,MATCH(ROWS($AH$2:AH596),$AH$2:$AH$1001,0),1)&gt;=100000,INDEX($AO$1005:$BQ$1005,1,MATCH(COLUMNS($AO$1006:BK1006),$AO$1006:$BQ$1006,0))&gt;=100000), " ",IF(INDEX($AO$2:$BQ$1001,MATCH(ROWS($AH$2:AH596),$AH$2:$AH$1001,0),MATCH(COLUMNS($AO$1006:BK1006),$AO$1006:$BQ$1006,0)), HYPERLINK("#",""), HYPERLINK(CONCATENATE("#Metadata!", ADDRESS(INDEX($AJ$2:$AJ$1001,MATCH(ROWS($AH$2:AH596),$AH$2:$AH$1001,0),0), INDEX($AO$1004:$BQ$1004,1,MATCH(COLUMNS($AO$1006:BK1006),$AO$1006:$BQ$1006,0)))),"Fix")))</f>
        <v>#N/A</v>
      </c>
      <c r="Y596" s="5" t="e">
        <f ca="1">IF(OR(INDEX($AI$2:$AI$1001,MATCH(ROWS($AH$2:AH596),$AH$2:$AH$1001,0),1)&gt;=100000,INDEX($AO$1005:$BQ$1005,1,MATCH(COLUMNS($AO$1006:BL1006),$AO$1006:$BQ$1006,0))&gt;=100000), " ",IF(INDEX($AO$2:$BQ$1001,MATCH(ROWS($AH$2:AH596),$AH$2:$AH$1001,0),MATCH(COLUMNS($AO$1006:BL1006),$AO$1006:$BQ$1006,0)), HYPERLINK("#",""), HYPERLINK(CONCATENATE("#Metadata!", ADDRESS(INDEX($AJ$2:$AJ$1001,MATCH(ROWS($AH$2:AH596),$AH$2:$AH$1001,0),0), INDEX($AO$1004:$BQ$1004,1,MATCH(COLUMNS($AO$1006:BL1006),$AO$1006:$BQ$1006,0)))),"Fix")))</f>
        <v>#N/A</v>
      </c>
      <c r="Z596" s="5" t="e">
        <f ca="1">IF(OR(INDEX($AI$2:$AI$1001,MATCH(ROWS($AH$2:AH596),$AH$2:$AH$1001,0),1)&gt;=100000,INDEX($AO$1005:$BQ$1005,1,MATCH(COLUMNS($AO$1006:BM1006),$AO$1006:$BQ$1006,0))&gt;=100000), " ",IF(INDEX($AO$2:$BQ$1001,MATCH(ROWS($AH$2:AH596),$AH$2:$AH$1001,0),MATCH(COLUMNS($AO$1006:BM1006),$AO$1006:$BQ$1006,0)), HYPERLINK("#",""), HYPERLINK(CONCATENATE("#Metadata!", ADDRESS(INDEX($AJ$2:$AJ$1001,MATCH(ROWS($AH$2:AH596),$AH$2:$AH$1001,0),0), INDEX($AO$1004:$BQ$1004,1,MATCH(COLUMNS($AO$1006:BM1006),$AO$1006:$BQ$1006,0)))),"Fix")))</f>
        <v>#N/A</v>
      </c>
      <c r="AA596" s="5" t="e">
        <f ca="1">IF(OR(INDEX($AI$2:$AI$1001,MATCH(ROWS($AH$2:AH596),$AH$2:$AH$1001,0),1)&gt;=100000,INDEX($AO$1005:$BQ$1005,1,MATCH(COLUMNS($AO$1006:BN1006),$AO$1006:$BQ$1006,0))&gt;=100000), " ",IF(INDEX($AO$2:$BQ$1001,MATCH(ROWS($AH$2:AH596),$AH$2:$AH$1001,0),MATCH(COLUMNS($AO$1006:BN1006),$AO$1006:$BQ$1006,0)), HYPERLINK("#",""), HYPERLINK(CONCATENATE("#Metadata!", ADDRESS(INDEX($AJ$2:$AJ$1001,MATCH(ROWS($AH$2:AH596),$AH$2:$AH$1001,0),0), INDEX($AO$1004:$BQ$1004,1,MATCH(COLUMNS($AO$1006:BN1006),$AO$1006:$BQ$1006,0)))),"Fix")))</f>
        <v>#N/A</v>
      </c>
      <c r="AB596" s="5" t="e">
        <f ca="1">IF(OR(INDEX($AI$2:$AI$1001,MATCH(ROWS($AH$2:AH596),$AH$2:$AH$1001,0),1)&gt;=100000,INDEX($AO$1005:$BQ$1005,1,MATCH(COLUMNS($AO$1006:BO1006),$AO$1006:$BQ$1006,0))&gt;=100000), " ",IF(INDEX($AO$2:$BQ$1001,MATCH(ROWS($AH$2:AH596),$AH$2:$AH$1001,0),MATCH(COLUMNS($AO$1006:BO1006),$AO$1006:$BQ$1006,0)), HYPERLINK("#",""), HYPERLINK(CONCATENATE("#Metadata!", ADDRESS(INDEX($AJ$2:$AJ$1001,MATCH(ROWS($AH$2:AH596),$AH$2:$AH$1001,0),0), INDEX($AO$1004:$BQ$1004,1,MATCH(COLUMNS($AO$1006:BO1006),$AO$1006:$BQ$1006,0)))),"Fix")))</f>
        <v>#N/A</v>
      </c>
      <c r="AC596" s="5" t="e">
        <f ca="1">IF(OR(INDEX($AI$2:$AI$1001,MATCH(ROWS($AH$2:AH596),$AH$2:$AH$1001,0),1)&gt;=100000,INDEX($AO$1005:$BQ$1005,1,MATCH(COLUMNS($AO$1006:BP1006),$AO$1006:$BQ$1006,0))&gt;=100000), " ",IF(INDEX($AO$2:$BQ$1001,MATCH(ROWS($AH$2:AH596),$AH$2:$AH$1001,0),MATCH(COLUMNS($AO$1006:BP1006),$AO$1006:$BQ$1006,0)), HYPERLINK("#",""), HYPERLINK(CONCATENATE("#Metadata!", ADDRESS(INDEX($AJ$2:$AJ$1001,MATCH(ROWS($AH$2:AH596),$AH$2:$AH$1001,0),0), INDEX($AO$1004:$BQ$1004,1,MATCH(COLUMNS($AO$1006:BP1006),$AO$1006:$BQ$1006,0)))),"Fix")))</f>
        <v>#N/A</v>
      </c>
      <c r="AD596" s="5" t="e">
        <f ca="1">IF(OR(INDEX($AI$2:$AI$1001,MATCH(ROWS($AH$2:AH596),$AH$2:$AH$1001,0),1)&gt;=100000,INDEX($AO$1005:$BQ$1005,1,MATCH(COLUMNS($AO$1006:BQ1006),$AO$1006:$BQ$1006,0))&gt;=100000), " ",IF(INDEX($AO$2:$BQ$1001,MATCH(ROWS($AH$2:AH596),$AH$2:$AH$1001,0),MATCH(COLUMNS($AO$1006:BQ1006),$AO$1006:$BQ$1006,0)), HYPERLINK("#",""), HYPERLINK(CONCATENATE("#Metadata!", ADDRESS(INDEX($AJ$2:$AJ$1001,MATCH(ROWS($AH$2:AH596),$AH$2:$AH$1001,0),0), INDEX($AO$1004:$BQ$1004,1,MATCH(COLUMNS($AO$1006:BQ1006),$AO$1006:$BQ$1006,0)))),"Fix")))</f>
        <v>#REF!</v>
      </c>
      <c r="AH596">
        <f ca="1"/>
        <v>593</v>
      </c>
      <c r="AI596">
        <v>100596</v>
      </c>
      <c r="AJ596">
        <v>596</v>
      </c>
      <c r="AK596" t="b">
        <f t="shared" si="9"/>
        <v>1</v>
      </c>
      <c r="AL596" t="b">
        <f>COUNTBLANK(Metadata!B596:AD596)=COLUMNS(Metadata!B596:AD596)</f>
        <v>1</v>
      </c>
      <c r="AM596" t="str">
        <v/>
      </c>
      <c r="AO596" t="b">
        <f ca="1">AND(IF(Metadata!B596="",FALSE,TRUE),COUNTIF(Metadata!B:B, Metadata!B596) = 1,NOT(ISERROR(SUMPRODUCT(SEARCH(MID(Metadata!B596,ROW(INDIRECT("1:"&amp;LEN(Metadata!B596))), 1),"0123456789abcdefghijklmnopqrstuvwxyzABCDEFGHIJKLMNOPQRSTUVWXYZ.")))))</f>
        <v>0</v>
      </c>
      <c r="AP596" t="b">
        <f>IF(Metadata!C596="",FALSE,TRUE)</f>
        <v>0</v>
      </c>
      <c r="AQ596" t="b">
        <f>IF(Metadata!D596="",FALSE,TRUE)</f>
        <v>0</v>
      </c>
      <c r="AR596" t="b">
        <f ca="1">OR(AND(IF(Metadata!E596="",FALSE,TRUE),OR(EXACT(Metadata!E596,"not collected"),EXACT(Metadata!E596,"not provided"),EXACT(Metadata!E596,"restricted access"))),AND(IF(Metadata!E596="",FALSE,TRUE),AND(AND(IFERROR(INT(LEFT(Metadata!E596,4))&gt;1900,FALSE),IFERROR(INT(LEFT(Metadata!E596,4))&lt;=YEAR(NOW()),FALSE)), OR(MID(Metadata!E596,5,1)="", AND(AND(MID(Metadata!E596,5,1)="-",IFERROR(INT(MID(Metadata!E596,6,1))&gt;=0,FALSE),IFERROR(INT(MID(Metadata!E596,6,1))&lt;=1,FALSE),NOT(MID(Metadata!E596,7,1)=""),IFERROR(INT(MID(Metadata!E596,6,2))&gt;=1,FALSE),IFERROR(INT(MID(Metadata!E596,6,2))&lt;=12,FALSE)), OR(MID(Metadata!E596,8,1)="", AND(AND(MID(Metadata!E596,8,1)="-",IFERROR(INT(MID(Metadata!E596,9,1))&gt;=0,FALSE),IFERROR(INT(MID(Metadata!E596,9,1))&lt;=3,FALSE),NOT(MID(Metadata!E596,10,1)=""),IFERROR(INT(MID(Metadata!E596,9,2))&gt;=1,FALSE),IFERROR(INT(MID(Metadata!E596,9,2))&lt;=31,FALSE)), OR(MID(Metadata!E596,11,1)="", AND(AND(MID(Metadata!E596,11,1)=" ",IFERROR(INT(MID(Metadata!E596,12,1))&gt;=0,FALSE),IFERROR(INT(MID(Metadata!E596,12,1))&lt;=2,FALSE),NOT(MID(Metadata!E596,13,1)=""),IFERROR(INT(MID(Metadata!E596,12,2))&gt;=0,FALSE),IFERROR(INT(MID(Metadata!E596,12,2))&lt;=23,FALSE)), OR(MID(Metadata!E596,14,1)="", AND(AND(MID(Metadata!E596,14,1)=":",IFERROR(INT(MID(Metadata!E596,15,1))&gt;=0,FALSE),IFERROR(INT(MID(Metadata!E596,15,1))&lt;=5,FALSE),NOT(MID(Metadata!E596,16,1)=""),IFERROR(INT(MID(Metadata!E596,15,2))&gt;=0,FALSE),IFERROR(INT(MID(Metadata!E596,15,2))&lt;=59,FALSE)), OR(MID(Metadata!E596,17,1)="", AND(AND(MID(Metadata!E596,17,1)=":",IFERROR(INT(MID(Metadata!E596,18,1))&gt;=0,FALSE),IFERROR(INT(MID(Metadata!E596,18,1))&lt;=5,FALSE),NOT(MID(Metadata!E596,19,1)=""),IFERROR(INT(MID(Metadata!E596,18,2))&gt;=0,FALSE),IFERROR(INT(MID(Metadata!E596,18,2))&lt;=59,FALSE)), LEN(Metadata!E596)&lt;=19)))))))))))))</f>
        <v>0</v>
      </c>
      <c r="AS596" t="b">
        <f>IF(Metadata!F596="",FALSE,TRUE)</f>
        <v>0</v>
      </c>
      <c r="AT596" t="b">
        <f>OR(AND(IF(Metadata!G596="",FALSE,TRUE),OR(EXACT(Metadata!G596,"not collected"),EXACT(Metadata!G596,"not provided"))),AND(IF(Metadata!G596="",FALSE,TRUE),OR(EXACT(Metadata!G596,"TRUE"),EXACT(Metadata!G596,"FALSE"))))</f>
        <v>0</v>
      </c>
      <c r="AU596" t="b">
        <f>OR(AND(IF(Metadata!H596="",FALSE,TRUE),OR(EXACT(Metadata!H596,"not collected"),EXACT(Metadata!H596,"not provided"),EXACT(Metadata!H596,"restricted access"))),AND(IF(Metadata!H596="",FALSE,ISNUMBER(VALUE(Metadata!H596))),Metadata!H596&gt;=-413))</f>
        <v>0</v>
      </c>
      <c r="AV596" t="b">
        <f>AND(IF(Metadata!I596="",FALSE,TRUE),EXACT(Metadata!I596,"meters"))</f>
        <v>0</v>
      </c>
      <c r="AW596" t="b">
        <f>AND(IF(Metadata!J596="",FALSE,TRUE),EXACT(Metadata!J596,"free-living"))</f>
        <v>0</v>
      </c>
      <c r="AX596" t="b">
        <f>AND(IF(Metadata!K596="",FALSE,TRUE),OR(EXACT(Metadata!K596,"saline"),EXACT(Metadata!K596,"non-saline")))</f>
        <v>0</v>
      </c>
      <c r="AY596" t="b">
        <f>AND(IF(Metadata!L596="",FALSE,TRUE),OR(EXACT(Metadata!L596,"sub-surface (non-saline)"),EXACT(Metadata!L596,"surface (non-saline)"),EXACT(Metadata!L596,"water (non-saline)"),EXACT(Metadata!L596,"soil (non-saline)"),EXACT(Metadata!L596,"aerosol (non-saline)"),EXACT(Metadata!L596,"sediment (non-saline)"),EXACT(Metadata!L596,"surface (saline)"),EXACT(Metadata!L596,"water (saline)"),EXACT(Metadata!L596,"hypersaline (saline)"),EXACT(Metadata!L596,"aerosol (saline)"),EXACT(Metadata!L596,"sediment (saline)")))</f>
        <v>0</v>
      </c>
      <c r="AZ596" t="b">
        <f>IF(Metadata!M596="",FALSE,TRUE)</f>
        <v>0</v>
      </c>
      <c r="BA596" t="b">
        <f>IF(Metadata!N596="",FALSE,TRUE)</f>
        <v>0</v>
      </c>
      <c r="BB596" t="b">
        <f>IF(Metadata!O596="",FALSE,TRUE)</f>
        <v>0</v>
      </c>
      <c r="BC596" t="b">
        <f>AND(IF(Metadata!P596="",FALSE,TRUE),OR(EXACT(Metadata!P596,"air"),EXACT(Metadata!P596,"microbial mat/biofilm"),EXACT(Metadata!P596,"misc environment"),EXACT(Metadata!P596,"sediment"),EXACT(Metadata!P596,"soil"),EXACT(Metadata!P596,"wastewater/sludge"),EXACT(Metadata!P596,"water")))</f>
        <v>0</v>
      </c>
      <c r="BD596" t="b">
        <f>IF(Metadata!Q596="",FALSE,TRUE)</f>
        <v>0</v>
      </c>
      <c r="BE596" t="b">
        <f>IF(Metadata!R596="",FALSE,TRUE)</f>
        <v>0</v>
      </c>
      <c r="BF596" t="b">
        <f>OR(AND(IF(Metadata!S596="",FALSE,TRUE),OR(EXACT(Metadata!S596,"not collected"),EXACT(Metadata!S596,"not provided"),EXACT(Metadata!S596,"restricted access"))),AND(IF(Metadata!S596="",FALSE,ISNUMBER(VALUE(Metadata!S596))),Metadata!S596&gt;=-90,Metadata!S596&lt;=90))</f>
        <v>0</v>
      </c>
      <c r="BG596" t="b">
        <f>AND(IF(Metadata!T596="",FALSE,TRUE),EXACT(Metadata!T596,"Decimal degrees"))</f>
        <v>0</v>
      </c>
      <c r="BH596" t="b">
        <f>OR(AND(IF(Metadata!U596="",FALSE,TRUE),OR(EXACT(Metadata!U596,"not applicable"),EXACT(Metadata!U596,"not collected"))),IF(Metadata!U596="",FALSE,TRUE))</f>
        <v>0</v>
      </c>
      <c r="BI596" t="b">
        <f>OR(AND(IF(Metadata!V596="",FALSE,TRUE),OR(EXACT(Metadata!V596,"not collected"),EXACT(Metadata!V596,"not provided"),EXACT(Metadata!V596,"restricted access"))),AND(IF(Metadata!V596="",FALSE,ISNUMBER(VALUE(Metadata!V596))),Metadata!V596&gt;=-180,Metadata!V596&lt;=180))</f>
        <v>0</v>
      </c>
      <c r="BJ596" t="b">
        <f>AND(IF(Metadata!W596="",FALSE,TRUE),EXACT(Metadata!W596,"Decimal degrees"))</f>
        <v>0</v>
      </c>
      <c r="BK596" t="b">
        <f>IF(Metadata!X596="",FALSE,TRUE)</f>
        <v>0</v>
      </c>
      <c r="BL596" t="b">
        <f>OR(AND(IF(Metadata!Y596="",FALSE,TRUE),OR(EXACT(Metadata!Y596,"not collected"),EXACT(Metadata!Y596,"not provided"),EXACT(Metadata!Y596,"restricted access"))),AND(IF(Metadata!Y596="",FALSE,TRUE),OR(EXACT(Metadata!Y596,"TRUE"),EXACT(Metadata!Y596,"FALSE"))))</f>
        <v>0</v>
      </c>
      <c r="BM596" t="b">
        <f>OR(AND(IF(Metadata!Z596="",FALSE,TRUE),EXACT(Metadata!Z596,"not applicable")),AND(IF(Metadata!Z596="",FALSE,TRUE),OR(EXACT(Metadata!Z596,"beer"),EXACT(Metadata!Z596,"cheese"),EXACT(Metadata!Z596,"fresh water"),EXACT(Metadata!Z596,"marine sediment"),EXACT(Metadata!Z596,"sea water"),EXACT(Metadata!Z596,"sediment"),EXACT(Metadata!Z596,"soil"),EXACT(Metadata!Z596,"waste water"))))</f>
        <v>0</v>
      </c>
      <c r="BN596" t="b">
        <f>AND(IF(Metadata!AA596="",FALSE,TRUE),EXACT(Metadata!AA596,"metagenome"))</f>
        <v>0</v>
      </c>
      <c r="BO596" t="b">
        <f>AND(IF(Metadata!AB596="",FALSE,TRUE),EXACT(Metadata!AB596,"256318"))</f>
        <v>0</v>
      </c>
      <c r="BP596" t="b">
        <f>IF(Metadata!AC596="",FALSE,TRUE)</f>
        <v>0</v>
      </c>
      <c r="BQ596" t="b">
        <f>IF(Metadata!AD596="",FALSE,TRUE)</f>
        <v>0</v>
      </c>
    </row>
    <row r="597" spans="1:69" x14ac:dyDescent="0.2">
      <c r="A597" s="4" t="e">
        <f ca="1">IF(B597=" "," ",HYPERLINK(CONCATENATE("#metadata!",ADDRESS(INDEX($AJ$2:$AJ$1001,MATCH(ROWS($AH$2:AH597),$AH$2:$AH$1001,0),0),2)),INDEX($AM$2:$AM$1001,MATCH(ROWS($AH$2:AH597),$AH$2:$AH$1001,0),0)))</f>
        <v>#N/A</v>
      </c>
      <c r="B597" s="5" t="e">
        <f ca="1">IF(OR(INDEX($AI$2:$AI$1001,MATCH(ROWS($AH$2:AH597),$AH$2:$AH$1001,0),1)&gt;=100000,INDEX($AO$1005:$BQ$1005,1,MATCH(COLUMNS($AO$1006:AO1006),$AO$1006:$BQ$1006,0))&gt;=100000), " ",IF(INDEX($AO$2:$BQ$1001,MATCH(ROWS($AH$2:AH597),$AH$2:$AH$1001,0),MATCH(COLUMNS($AO$1006:AO1006),$AO$1006:$BQ$1006,0)), HYPERLINK("#",""), HYPERLINK(CONCATENATE("#Metadata!", ADDRESS(INDEX($AJ$2:$AJ$1001,MATCH(ROWS($AH$2:AH597),$AH$2:$AH$1001,0),0), INDEX($AO$1004:$BQ$1004,1,MATCH(COLUMNS($AO$1006:AO1006),$AO$1006:$BQ$1006,0)))),"Fix")))</f>
        <v>#N/A</v>
      </c>
      <c r="C597" s="5" t="e">
        <f ca="1">IF(OR(INDEX($AI$2:$AI$1001,MATCH(ROWS($AH$2:AH597),$AH$2:$AH$1001,0),1)&gt;=100000,INDEX($AO$1005:$BQ$1005,1,MATCH(COLUMNS($AO$1006:AP1006),$AO$1006:$BQ$1006,0))&gt;=100000), " ",IF(INDEX($AO$2:$BQ$1001,MATCH(ROWS($AH$2:AH597),$AH$2:$AH$1001,0),MATCH(COLUMNS($AO$1006:AP1006),$AO$1006:$BQ$1006,0)), HYPERLINK("#",""), HYPERLINK(CONCATENATE("#Metadata!", ADDRESS(INDEX($AJ$2:$AJ$1001,MATCH(ROWS($AH$2:AH597),$AH$2:$AH$1001,0),0), INDEX($AO$1004:$BQ$1004,1,MATCH(COLUMNS($AO$1006:AP1006),$AO$1006:$BQ$1006,0)))),"Fix")))</f>
        <v>#N/A</v>
      </c>
      <c r="D597" s="5" t="e">
        <f ca="1">IF(OR(INDEX($AI$2:$AI$1001,MATCH(ROWS($AH$2:AH597),$AH$2:$AH$1001,0),1)&gt;=100000,INDEX($AO$1005:$BQ$1005,1,MATCH(COLUMNS($AO$1006:AQ1006),$AO$1006:$BQ$1006,0))&gt;=100000), " ",IF(INDEX($AO$2:$BQ$1001,MATCH(ROWS($AH$2:AH597),$AH$2:$AH$1001,0),MATCH(COLUMNS($AO$1006:AQ1006),$AO$1006:$BQ$1006,0)), HYPERLINK("#",""), HYPERLINK(CONCATENATE("#Metadata!", ADDRESS(INDEX($AJ$2:$AJ$1001,MATCH(ROWS($AH$2:AH597),$AH$2:$AH$1001,0),0), INDEX($AO$1004:$BQ$1004,1,MATCH(COLUMNS($AO$1006:AQ1006),$AO$1006:$BQ$1006,0)))),"Fix")))</f>
        <v>#N/A</v>
      </c>
      <c r="E597" s="5" t="e">
        <f ca="1">IF(OR(INDEX($AI$2:$AI$1001,MATCH(ROWS($AH$2:AH597),$AH$2:$AH$1001,0),1)&gt;=100000,INDEX($AO$1005:$BQ$1005,1,MATCH(COLUMNS($AO$1006:AR1006),$AO$1006:$BQ$1006,0))&gt;=100000), " ",IF(INDEX($AO$2:$BQ$1001,MATCH(ROWS($AH$2:AH597),$AH$2:$AH$1001,0),MATCH(COLUMNS($AO$1006:AR1006),$AO$1006:$BQ$1006,0)), HYPERLINK("#",""), HYPERLINK(CONCATENATE("#Metadata!", ADDRESS(INDEX($AJ$2:$AJ$1001,MATCH(ROWS($AH$2:AH597),$AH$2:$AH$1001,0),0), INDEX($AO$1004:$BQ$1004,1,MATCH(COLUMNS($AO$1006:AR1006),$AO$1006:$BQ$1006,0)))),"Fix")))</f>
        <v>#N/A</v>
      </c>
      <c r="F597" s="5" t="e">
        <f ca="1">IF(OR(INDEX($AI$2:$AI$1001,MATCH(ROWS($AH$2:AH597),$AH$2:$AH$1001,0),1)&gt;=100000,INDEX($AO$1005:$BQ$1005,1,MATCH(COLUMNS($AO$1006:AS1006),$AO$1006:$BQ$1006,0))&gt;=100000), " ",IF(INDEX($AO$2:$BQ$1001,MATCH(ROWS($AH$2:AH597),$AH$2:$AH$1001,0),MATCH(COLUMNS($AO$1006:AS1006),$AO$1006:$BQ$1006,0)), HYPERLINK("#",""), HYPERLINK(CONCATENATE("#Metadata!", ADDRESS(INDEX($AJ$2:$AJ$1001,MATCH(ROWS($AH$2:AH597),$AH$2:$AH$1001,0),0), INDEX($AO$1004:$BQ$1004,1,MATCH(COLUMNS($AO$1006:AS1006),$AO$1006:$BQ$1006,0)))),"Fix")))</f>
        <v>#N/A</v>
      </c>
      <c r="G597" s="5" t="e">
        <f ca="1">IF(OR(INDEX($AI$2:$AI$1001,MATCH(ROWS($AH$2:AH597),$AH$2:$AH$1001,0),1)&gt;=100000,INDEX($AO$1005:$BQ$1005,1,MATCH(COLUMNS($AO$1006:AT1006),$AO$1006:$BQ$1006,0))&gt;=100000), " ",IF(INDEX($AO$2:$BQ$1001,MATCH(ROWS($AH$2:AH597),$AH$2:$AH$1001,0),MATCH(COLUMNS($AO$1006:AT1006),$AO$1006:$BQ$1006,0)), HYPERLINK("#",""), HYPERLINK(CONCATENATE("#Metadata!", ADDRESS(INDEX($AJ$2:$AJ$1001,MATCH(ROWS($AH$2:AH597),$AH$2:$AH$1001,0),0), INDEX($AO$1004:$BQ$1004,1,MATCH(COLUMNS($AO$1006:AT1006),$AO$1006:$BQ$1006,0)))),"Fix")))</f>
        <v>#N/A</v>
      </c>
      <c r="H597" s="5" t="e">
        <f ca="1">IF(OR(INDEX($AI$2:$AI$1001,MATCH(ROWS($AH$2:AH597),$AH$2:$AH$1001,0),1)&gt;=100000,INDEX($AO$1005:$BQ$1005,1,MATCH(COLUMNS($AO$1006:AU1006),$AO$1006:$BQ$1006,0))&gt;=100000), " ",IF(INDEX($AO$2:$BQ$1001,MATCH(ROWS($AH$2:AH597),$AH$2:$AH$1001,0),MATCH(COLUMNS($AO$1006:AU1006),$AO$1006:$BQ$1006,0)), HYPERLINK("#",""), HYPERLINK(CONCATENATE("#Metadata!", ADDRESS(INDEX($AJ$2:$AJ$1001,MATCH(ROWS($AH$2:AH597),$AH$2:$AH$1001,0),0), INDEX($AO$1004:$BQ$1004,1,MATCH(COLUMNS($AO$1006:AU1006),$AO$1006:$BQ$1006,0)))),"Fix")))</f>
        <v>#N/A</v>
      </c>
      <c r="I597" s="5" t="e">
        <f ca="1">IF(OR(INDEX($AI$2:$AI$1001,MATCH(ROWS($AH$2:AH597),$AH$2:$AH$1001,0),1)&gt;=100000,INDEX($AO$1005:$BQ$1005,1,MATCH(COLUMNS($AO$1006:AV1006),$AO$1006:$BQ$1006,0))&gt;=100000), " ",IF(INDEX($AO$2:$BQ$1001,MATCH(ROWS($AH$2:AH597),$AH$2:$AH$1001,0),MATCH(COLUMNS($AO$1006:AV1006),$AO$1006:$BQ$1006,0)), HYPERLINK("#",""), HYPERLINK(CONCATENATE("#Metadata!", ADDRESS(INDEX($AJ$2:$AJ$1001,MATCH(ROWS($AH$2:AH597),$AH$2:$AH$1001,0),0), INDEX($AO$1004:$BQ$1004,1,MATCH(COLUMNS($AO$1006:AV1006),$AO$1006:$BQ$1006,0)))),"Fix")))</f>
        <v>#N/A</v>
      </c>
      <c r="J597" s="5" t="e">
        <f ca="1">IF(OR(INDEX($AI$2:$AI$1001,MATCH(ROWS($AH$2:AH597),$AH$2:$AH$1001,0),1)&gt;=100000,INDEX($AO$1005:$BQ$1005,1,MATCH(COLUMNS($AO$1006:AW1006),$AO$1006:$BQ$1006,0))&gt;=100000), " ",IF(INDEX($AO$2:$BQ$1001,MATCH(ROWS($AH$2:AH597),$AH$2:$AH$1001,0),MATCH(COLUMNS($AO$1006:AW1006),$AO$1006:$BQ$1006,0)), HYPERLINK("#",""), HYPERLINK(CONCATENATE("#Metadata!", ADDRESS(INDEX($AJ$2:$AJ$1001,MATCH(ROWS($AH$2:AH597),$AH$2:$AH$1001,0),0), INDEX($AO$1004:$BQ$1004,1,MATCH(COLUMNS($AO$1006:AW1006),$AO$1006:$BQ$1006,0)))),"Fix")))</f>
        <v>#N/A</v>
      </c>
      <c r="K597" s="5" t="e">
        <f ca="1">IF(OR(INDEX($AI$2:$AI$1001,MATCH(ROWS($AH$2:AH597),$AH$2:$AH$1001,0),1)&gt;=100000,INDEX($AO$1005:$BQ$1005,1,MATCH(COLUMNS($AO$1006:AX1006),$AO$1006:$BQ$1006,0))&gt;=100000), " ",IF(INDEX($AO$2:$BQ$1001,MATCH(ROWS($AH$2:AH597),$AH$2:$AH$1001,0),MATCH(COLUMNS($AO$1006:AX1006),$AO$1006:$BQ$1006,0)), HYPERLINK("#",""), HYPERLINK(CONCATENATE("#Metadata!", ADDRESS(INDEX($AJ$2:$AJ$1001,MATCH(ROWS($AH$2:AH597),$AH$2:$AH$1001,0),0), INDEX($AO$1004:$BQ$1004,1,MATCH(COLUMNS($AO$1006:AX1006),$AO$1006:$BQ$1006,0)))),"Fix")))</f>
        <v>#N/A</v>
      </c>
      <c r="L597" s="5" t="e">
        <f ca="1">IF(OR(INDEX($AI$2:$AI$1001,MATCH(ROWS($AH$2:AH597),$AH$2:$AH$1001,0),1)&gt;=100000,INDEX($AO$1005:$BQ$1005,1,MATCH(COLUMNS($AO$1006:AY1006),$AO$1006:$BQ$1006,0))&gt;=100000), " ",IF(INDEX($AO$2:$BQ$1001,MATCH(ROWS($AH$2:AH597),$AH$2:$AH$1001,0),MATCH(COLUMNS($AO$1006:AY1006),$AO$1006:$BQ$1006,0)), HYPERLINK("#",""), HYPERLINK(CONCATENATE("#Metadata!", ADDRESS(INDEX($AJ$2:$AJ$1001,MATCH(ROWS($AH$2:AH597),$AH$2:$AH$1001,0),0), INDEX($AO$1004:$BQ$1004,1,MATCH(COLUMNS($AO$1006:AY1006),$AO$1006:$BQ$1006,0)))),"Fix")))</f>
        <v>#N/A</v>
      </c>
      <c r="M597" s="5" t="e">
        <f ca="1">IF(OR(INDEX($AI$2:$AI$1001,MATCH(ROWS($AH$2:AH597),$AH$2:$AH$1001,0),1)&gt;=100000,INDEX($AO$1005:$BQ$1005,1,MATCH(COLUMNS($AO$1006:AZ1006),$AO$1006:$BQ$1006,0))&gt;=100000), " ",IF(INDEX($AO$2:$BQ$1001,MATCH(ROWS($AH$2:AH597),$AH$2:$AH$1001,0),MATCH(COLUMNS($AO$1006:AZ1006),$AO$1006:$BQ$1006,0)), HYPERLINK("#",""), HYPERLINK(CONCATENATE("#Metadata!", ADDRESS(INDEX($AJ$2:$AJ$1001,MATCH(ROWS($AH$2:AH597),$AH$2:$AH$1001,0),0), INDEX($AO$1004:$BQ$1004,1,MATCH(COLUMNS($AO$1006:AZ1006),$AO$1006:$BQ$1006,0)))),"Fix")))</f>
        <v>#N/A</v>
      </c>
      <c r="N597" s="5" t="e">
        <f ca="1">IF(OR(INDEX($AI$2:$AI$1001,MATCH(ROWS($AH$2:AH597),$AH$2:$AH$1001,0),1)&gt;=100000,INDEX($AO$1005:$BQ$1005,1,MATCH(COLUMNS($AO$1006:BA1006),$AO$1006:$BQ$1006,0))&gt;=100000), " ",IF(INDEX($AO$2:$BQ$1001,MATCH(ROWS($AH$2:AH597),$AH$2:$AH$1001,0),MATCH(COLUMNS($AO$1006:BA1006),$AO$1006:$BQ$1006,0)), HYPERLINK("#",""), HYPERLINK(CONCATENATE("#Metadata!", ADDRESS(INDEX($AJ$2:$AJ$1001,MATCH(ROWS($AH$2:AH597),$AH$2:$AH$1001,0),0), INDEX($AO$1004:$BQ$1004,1,MATCH(COLUMNS($AO$1006:BA1006),$AO$1006:$BQ$1006,0)))),"Fix")))</f>
        <v>#N/A</v>
      </c>
      <c r="O597" s="5" t="e">
        <f ca="1">IF(OR(INDEX($AI$2:$AI$1001,MATCH(ROWS($AH$2:AH597),$AH$2:$AH$1001,0),1)&gt;=100000,INDEX($AO$1005:$BQ$1005,1,MATCH(COLUMNS($AO$1006:BB1006),$AO$1006:$BQ$1006,0))&gt;=100000), " ",IF(INDEX($AO$2:$BQ$1001,MATCH(ROWS($AH$2:AH597),$AH$2:$AH$1001,0),MATCH(COLUMNS($AO$1006:BB1006),$AO$1006:$BQ$1006,0)), HYPERLINK("#",""), HYPERLINK(CONCATENATE("#Metadata!", ADDRESS(INDEX($AJ$2:$AJ$1001,MATCH(ROWS($AH$2:AH597),$AH$2:$AH$1001,0),0), INDEX($AO$1004:$BQ$1004,1,MATCH(COLUMNS($AO$1006:BB1006),$AO$1006:$BQ$1006,0)))),"Fix")))</f>
        <v>#N/A</v>
      </c>
      <c r="P597" s="5" t="e">
        <f ca="1">IF(OR(INDEX($AI$2:$AI$1001,MATCH(ROWS($AH$2:AH597),$AH$2:$AH$1001,0),1)&gt;=100000,INDEX($AO$1005:$BQ$1005,1,MATCH(COLUMNS($AO$1006:BC1006),$AO$1006:$BQ$1006,0))&gt;=100000), " ",IF(INDEX($AO$2:$BQ$1001,MATCH(ROWS($AH$2:AH597),$AH$2:$AH$1001,0),MATCH(COLUMNS($AO$1006:BC1006),$AO$1006:$BQ$1006,0)), HYPERLINK("#",""), HYPERLINK(CONCATENATE("#Metadata!", ADDRESS(INDEX($AJ$2:$AJ$1001,MATCH(ROWS($AH$2:AH597),$AH$2:$AH$1001,0),0), INDEX($AO$1004:$BQ$1004,1,MATCH(COLUMNS($AO$1006:BC1006),$AO$1006:$BQ$1006,0)))),"Fix")))</f>
        <v>#N/A</v>
      </c>
      <c r="Q597" s="5" t="e">
        <f ca="1">IF(OR(INDEX($AI$2:$AI$1001,MATCH(ROWS($AH$2:AH597),$AH$2:$AH$1001,0),1)&gt;=100000,INDEX($AO$1005:$BQ$1005,1,MATCH(COLUMNS($AO$1006:BD1006),$AO$1006:$BQ$1006,0))&gt;=100000), " ",IF(INDEX($AO$2:$BQ$1001,MATCH(ROWS($AH$2:AH597),$AH$2:$AH$1001,0),MATCH(COLUMNS($AO$1006:BD1006),$AO$1006:$BQ$1006,0)), HYPERLINK("#",""), HYPERLINK(CONCATENATE("#Metadata!", ADDRESS(INDEX($AJ$2:$AJ$1001,MATCH(ROWS($AH$2:AH597),$AH$2:$AH$1001,0),0), INDEX($AO$1004:$BQ$1004,1,MATCH(COLUMNS($AO$1006:BD1006),$AO$1006:$BQ$1006,0)))),"Fix")))</f>
        <v>#N/A</v>
      </c>
      <c r="R597" s="5" t="e">
        <f ca="1">IF(OR(INDEX($AI$2:$AI$1001,MATCH(ROWS($AH$2:AH597),$AH$2:$AH$1001,0),1)&gt;=100000,INDEX($AO$1005:$BQ$1005,1,MATCH(COLUMNS($AO$1006:BE1006),$AO$1006:$BQ$1006,0))&gt;=100000), " ",IF(INDEX($AO$2:$BQ$1001,MATCH(ROWS($AH$2:AH597),$AH$2:$AH$1001,0),MATCH(COLUMNS($AO$1006:BE1006),$AO$1006:$BQ$1006,0)), HYPERLINK("#",""), HYPERLINK(CONCATENATE("#Metadata!", ADDRESS(INDEX($AJ$2:$AJ$1001,MATCH(ROWS($AH$2:AH597),$AH$2:$AH$1001,0),0), INDEX($AO$1004:$BQ$1004,1,MATCH(COLUMNS($AO$1006:BE1006),$AO$1006:$BQ$1006,0)))),"Fix")))</f>
        <v>#N/A</v>
      </c>
      <c r="S597" s="5" t="e">
        <f ca="1">IF(OR(INDEX($AI$2:$AI$1001,MATCH(ROWS($AH$2:AH597),$AH$2:$AH$1001,0),1)&gt;=100000,INDEX($AO$1005:$BQ$1005,1,MATCH(COLUMNS($AO$1006:BF1006),$AO$1006:$BQ$1006,0))&gt;=100000), " ",IF(INDEX($AO$2:$BQ$1001,MATCH(ROWS($AH$2:AH597),$AH$2:$AH$1001,0),MATCH(COLUMNS($AO$1006:BF1006),$AO$1006:$BQ$1006,0)), HYPERLINK("#",""), HYPERLINK(CONCATENATE("#Metadata!", ADDRESS(INDEX($AJ$2:$AJ$1001,MATCH(ROWS($AH$2:AH597),$AH$2:$AH$1001,0),0), INDEX($AO$1004:$BQ$1004,1,MATCH(COLUMNS($AO$1006:BF1006),$AO$1006:$BQ$1006,0)))),"Fix")))</f>
        <v>#N/A</v>
      </c>
      <c r="T597" s="5" t="e">
        <f ca="1">IF(OR(INDEX($AI$2:$AI$1001,MATCH(ROWS($AH$2:AH597),$AH$2:$AH$1001,0),1)&gt;=100000,INDEX($AO$1005:$BQ$1005,1,MATCH(COLUMNS($AO$1006:BG1006),$AO$1006:$BQ$1006,0))&gt;=100000), " ",IF(INDEX($AO$2:$BQ$1001,MATCH(ROWS($AH$2:AH597),$AH$2:$AH$1001,0),MATCH(COLUMNS($AO$1006:BG1006),$AO$1006:$BQ$1006,0)), HYPERLINK("#",""), HYPERLINK(CONCATENATE("#Metadata!", ADDRESS(INDEX($AJ$2:$AJ$1001,MATCH(ROWS($AH$2:AH597),$AH$2:$AH$1001,0),0), INDEX($AO$1004:$BQ$1004,1,MATCH(COLUMNS($AO$1006:BG1006),$AO$1006:$BQ$1006,0)))),"Fix")))</f>
        <v>#N/A</v>
      </c>
      <c r="U597" s="5" t="e">
        <f ca="1">IF(OR(INDEX($AI$2:$AI$1001,MATCH(ROWS($AH$2:AH597),$AH$2:$AH$1001,0),1)&gt;=100000,INDEX($AO$1005:$BQ$1005,1,MATCH(COLUMNS($AO$1006:BH1006),$AO$1006:$BQ$1006,0))&gt;=100000), " ",IF(INDEX($AO$2:$BQ$1001,MATCH(ROWS($AH$2:AH597),$AH$2:$AH$1001,0),MATCH(COLUMNS($AO$1006:BH1006),$AO$1006:$BQ$1006,0)), HYPERLINK("#",""), HYPERLINK(CONCATENATE("#Metadata!", ADDRESS(INDEX($AJ$2:$AJ$1001,MATCH(ROWS($AH$2:AH597),$AH$2:$AH$1001,0),0), INDEX($AO$1004:$BQ$1004,1,MATCH(COLUMNS($AO$1006:BH1006),$AO$1006:$BQ$1006,0)))),"Fix")))</f>
        <v>#N/A</v>
      </c>
      <c r="V597" s="5" t="e">
        <f ca="1">IF(OR(INDEX($AI$2:$AI$1001,MATCH(ROWS($AH$2:AH597),$AH$2:$AH$1001,0),1)&gt;=100000,INDEX($AO$1005:$BQ$1005,1,MATCH(COLUMNS($AO$1006:BI1006),$AO$1006:$BQ$1006,0))&gt;=100000), " ",IF(INDEX($AO$2:$BQ$1001,MATCH(ROWS($AH$2:AH597),$AH$2:$AH$1001,0),MATCH(COLUMNS($AO$1006:BI1006),$AO$1006:$BQ$1006,0)), HYPERLINK("#",""), HYPERLINK(CONCATENATE("#Metadata!", ADDRESS(INDEX($AJ$2:$AJ$1001,MATCH(ROWS($AH$2:AH597),$AH$2:$AH$1001,0),0), INDEX($AO$1004:$BQ$1004,1,MATCH(COLUMNS($AO$1006:BI1006),$AO$1006:$BQ$1006,0)))),"Fix")))</f>
        <v>#N/A</v>
      </c>
      <c r="W597" s="5" t="e">
        <f ca="1">IF(OR(INDEX($AI$2:$AI$1001,MATCH(ROWS($AH$2:AH597),$AH$2:$AH$1001,0),1)&gt;=100000,INDEX($AO$1005:$BQ$1005,1,MATCH(COLUMNS($AO$1006:BJ1006),$AO$1006:$BQ$1006,0))&gt;=100000), " ",IF(INDEX($AO$2:$BQ$1001,MATCH(ROWS($AH$2:AH597),$AH$2:$AH$1001,0),MATCH(COLUMNS($AO$1006:BJ1006),$AO$1006:$BQ$1006,0)), HYPERLINK("#",""), HYPERLINK(CONCATENATE("#Metadata!", ADDRESS(INDEX($AJ$2:$AJ$1001,MATCH(ROWS($AH$2:AH597),$AH$2:$AH$1001,0),0), INDEX($AO$1004:$BQ$1004,1,MATCH(COLUMNS($AO$1006:BJ1006),$AO$1006:$BQ$1006,0)))),"Fix")))</f>
        <v>#N/A</v>
      </c>
      <c r="X597" s="5" t="e">
        <f ca="1">IF(OR(INDEX($AI$2:$AI$1001,MATCH(ROWS($AH$2:AH597),$AH$2:$AH$1001,0),1)&gt;=100000,INDEX($AO$1005:$BQ$1005,1,MATCH(COLUMNS($AO$1006:BK1006),$AO$1006:$BQ$1006,0))&gt;=100000), " ",IF(INDEX($AO$2:$BQ$1001,MATCH(ROWS($AH$2:AH597),$AH$2:$AH$1001,0),MATCH(COLUMNS($AO$1006:BK1006),$AO$1006:$BQ$1006,0)), HYPERLINK("#",""), HYPERLINK(CONCATENATE("#Metadata!", ADDRESS(INDEX($AJ$2:$AJ$1001,MATCH(ROWS($AH$2:AH597),$AH$2:$AH$1001,0),0), INDEX($AO$1004:$BQ$1004,1,MATCH(COLUMNS($AO$1006:BK1006),$AO$1006:$BQ$1006,0)))),"Fix")))</f>
        <v>#N/A</v>
      </c>
      <c r="Y597" s="5" t="e">
        <f ca="1">IF(OR(INDEX($AI$2:$AI$1001,MATCH(ROWS($AH$2:AH597),$AH$2:$AH$1001,0),1)&gt;=100000,INDEX($AO$1005:$BQ$1005,1,MATCH(COLUMNS($AO$1006:BL1006),$AO$1006:$BQ$1006,0))&gt;=100000), " ",IF(INDEX($AO$2:$BQ$1001,MATCH(ROWS($AH$2:AH597),$AH$2:$AH$1001,0),MATCH(COLUMNS($AO$1006:BL1006),$AO$1006:$BQ$1006,0)), HYPERLINK("#",""), HYPERLINK(CONCATENATE("#Metadata!", ADDRESS(INDEX($AJ$2:$AJ$1001,MATCH(ROWS($AH$2:AH597),$AH$2:$AH$1001,0),0), INDEX($AO$1004:$BQ$1004,1,MATCH(COLUMNS($AO$1006:BL1006),$AO$1006:$BQ$1006,0)))),"Fix")))</f>
        <v>#N/A</v>
      </c>
      <c r="Z597" s="5" t="e">
        <f ca="1">IF(OR(INDEX($AI$2:$AI$1001,MATCH(ROWS($AH$2:AH597),$AH$2:$AH$1001,0),1)&gt;=100000,INDEX($AO$1005:$BQ$1005,1,MATCH(COLUMNS($AO$1006:BM1006),$AO$1006:$BQ$1006,0))&gt;=100000), " ",IF(INDEX($AO$2:$BQ$1001,MATCH(ROWS($AH$2:AH597),$AH$2:$AH$1001,0),MATCH(COLUMNS($AO$1006:BM1006),$AO$1006:$BQ$1006,0)), HYPERLINK("#",""), HYPERLINK(CONCATENATE("#Metadata!", ADDRESS(INDEX($AJ$2:$AJ$1001,MATCH(ROWS($AH$2:AH597),$AH$2:$AH$1001,0),0), INDEX($AO$1004:$BQ$1004,1,MATCH(COLUMNS($AO$1006:BM1006),$AO$1006:$BQ$1006,0)))),"Fix")))</f>
        <v>#N/A</v>
      </c>
      <c r="AA597" s="5" t="e">
        <f ca="1">IF(OR(INDEX($AI$2:$AI$1001,MATCH(ROWS($AH$2:AH597),$AH$2:$AH$1001,0),1)&gt;=100000,INDEX($AO$1005:$BQ$1005,1,MATCH(COLUMNS($AO$1006:BN1006),$AO$1006:$BQ$1006,0))&gt;=100000), " ",IF(INDEX($AO$2:$BQ$1001,MATCH(ROWS($AH$2:AH597),$AH$2:$AH$1001,0),MATCH(COLUMNS($AO$1006:BN1006),$AO$1006:$BQ$1006,0)), HYPERLINK("#",""), HYPERLINK(CONCATENATE("#Metadata!", ADDRESS(INDEX($AJ$2:$AJ$1001,MATCH(ROWS($AH$2:AH597),$AH$2:$AH$1001,0),0), INDEX($AO$1004:$BQ$1004,1,MATCH(COLUMNS($AO$1006:BN1006),$AO$1006:$BQ$1006,0)))),"Fix")))</f>
        <v>#N/A</v>
      </c>
      <c r="AB597" s="5" t="e">
        <f ca="1">IF(OR(INDEX($AI$2:$AI$1001,MATCH(ROWS($AH$2:AH597),$AH$2:$AH$1001,0),1)&gt;=100000,INDEX($AO$1005:$BQ$1005,1,MATCH(COLUMNS($AO$1006:BO1006),$AO$1006:$BQ$1006,0))&gt;=100000), " ",IF(INDEX($AO$2:$BQ$1001,MATCH(ROWS($AH$2:AH597),$AH$2:$AH$1001,0),MATCH(COLUMNS($AO$1006:BO1006),$AO$1006:$BQ$1006,0)), HYPERLINK("#",""), HYPERLINK(CONCATENATE("#Metadata!", ADDRESS(INDEX($AJ$2:$AJ$1001,MATCH(ROWS($AH$2:AH597),$AH$2:$AH$1001,0),0), INDEX($AO$1004:$BQ$1004,1,MATCH(COLUMNS($AO$1006:BO1006),$AO$1006:$BQ$1006,0)))),"Fix")))</f>
        <v>#N/A</v>
      </c>
      <c r="AC597" s="5" t="e">
        <f ca="1">IF(OR(INDEX($AI$2:$AI$1001,MATCH(ROWS($AH$2:AH597),$AH$2:$AH$1001,0),1)&gt;=100000,INDEX($AO$1005:$BQ$1005,1,MATCH(COLUMNS($AO$1006:BP1006),$AO$1006:$BQ$1006,0))&gt;=100000), " ",IF(INDEX($AO$2:$BQ$1001,MATCH(ROWS($AH$2:AH597),$AH$2:$AH$1001,0),MATCH(COLUMNS($AO$1006:BP1006),$AO$1006:$BQ$1006,0)), HYPERLINK("#",""), HYPERLINK(CONCATENATE("#Metadata!", ADDRESS(INDEX($AJ$2:$AJ$1001,MATCH(ROWS($AH$2:AH597),$AH$2:$AH$1001,0),0), INDEX($AO$1004:$BQ$1004,1,MATCH(COLUMNS($AO$1006:BP1006),$AO$1006:$BQ$1006,0)))),"Fix")))</f>
        <v>#N/A</v>
      </c>
      <c r="AD597" s="5" t="e">
        <f ca="1">IF(OR(INDEX($AI$2:$AI$1001,MATCH(ROWS($AH$2:AH597),$AH$2:$AH$1001,0),1)&gt;=100000,INDEX($AO$1005:$BQ$1005,1,MATCH(COLUMNS($AO$1006:BQ1006),$AO$1006:$BQ$1006,0))&gt;=100000), " ",IF(INDEX($AO$2:$BQ$1001,MATCH(ROWS($AH$2:AH597),$AH$2:$AH$1001,0),MATCH(COLUMNS($AO$1006:BQ1006),$AO$1006:$BQ$1006,0)), HYPERLINK("#",""), HYPERLINK(CONCATENATE("#Metadata!", ADDRESS(INDEX($AJ$2:$AJ$1001,MATCH(ROWS($AH$2:AH597),$AH$2:$AH$1001,0),0), INDEX($AO$1004:$BQ$1004,1,MATCH(COLUMNS($AO$1006:BQ1006),$AO$1006:$BQ$1006,0)))),"Fix")))</f>
        <v>#REF!</v>
      </c>
      <c r="AH597">
        <f ca="1"/>
        <v>594</v>
      </c>
      <c r="AI597">
        <v>100597</v>
      </c>
      <c r="AJ597">
        <v>597</v>
      </c>
      <c r="AK597" t="b">
        <f t="shared" si="9"/>
        <v>1</v>
      </c>
      <c r="AL597" t="b">
        <f>COUNTBLANK(Metadata!B597:AD597)=COLUMNS(Metadata!B597:AD597)</f>
        <v>1</v>
      </c>
      <c r="AM597" t="str">
        <v/>
      </c>
      <c r="AO597" t="b">
        <f ca="1">AND(IF(Metadata!B597="",FALSE,TRUE),COUNTIF(Metadata!B:B, Metadata!B597) = 1,NOT(ISERROR(SUMPRODUCT(SEARCH(MID(Metadata!B597,ROW(INDIRECT("1:"&amp;LEN(Metadata!B597))), 1),"0123456789abcdefghijklmnopqrstuvwxyzABCDEFGHIJKLMNOPQRSTUVWXYZ.")))))</f>
        <v>0</v>
      </c>
      <c r="AP597" t="b">
        <f>IF(Metadata!C597="",FALSE,TRUE)</f>
        <v>0</v>
      </c>
      <c r="AQ597" t="b">
        <f>IF(Metadata!D597="",FALSE,TRUE)</f>
        <v>0</v>
      </c>
      <c r="AR597" t="b">
        <f ca="1">OR(AND(IF(Metadata!E597="",FALSE,TRUE),OR(EXACT(Metadata!E597,"not collected"),EXACT(Metadata!E597,"not provided"),EXACT(Metadata!E597,"restricted access"))),AND(IF(Metadata!E597="",FALSE,TRUE),AND(AND(IFERROR(INT(LEFT(Metadata!E597,4))&gt;1900,FALSE),IFERROR(INT(LEFT(Metadata!E597,4))&lt;=YEAR(NOW()),FALSE)), OR(MID(Metadata!E597,5,1)="", AND(AND(MID(Metadata!E597,5,1)="-",IFERROR(INT(MID(Metadata!E597,6,1))&gt;=0,FALSE),IFERROR(INT(MID(Metadata!E597,6,1))&lt;=1,FALSE),NOT(MID(Metadata!E597,7,1)=""),IFERROR(INT(MID(Metadata!E597,6,2))&gt;=1,FALSE),IFERROR(INT(MID(Metadata!E597,6,2))&lt;=12,FALSE)), OR(MID(Metadata!E597,8,1)="", AND(AND(MID(Metadata!E597,8,1)="-",IFERROR(INT(MID(Metadata!E597,9,1))&gt;=0,FALSE),IFERROR(INT(MID(Metadata!E597,9,1))&lt;=3,FALSE),NOT(MID(Metadata!E597,10,1)=""),IFERROR(INT(MID(Metadata!E597,9,2))&gt;=1,FALSE),IFERROR(INT(MID(Metadata!E597,9,2))&lt;=31,FALSE)), OR(MID(Metadata!E597,11,1)="", AND(AND(MID(Metadata!E597,11,1)=" ",IFERROR(INT(MID(Metadata!E597,12,1))&gt;=0,FALSE),IFERROR(INT(MID(Metadata!E597,12,1))&lt;=2,FALSE),NOT(MID(Metadata!E597,13,1)=""),IFERROR(INT(MID(Metadata!E597,12,2))&gt;=0,FALSE),IFERROR(INT(MID(Metadata!E597,12,2))&lt;=23,FALSE)), OR(MID(Metadata!E597,14,1)="", AND(AND(MID(Metadata!E597,14,1)=":",IFERROR(INT(MID(Metadata!E597,15,1))&gt;=0,FALSE),IFERROR(INT(MID(Metadata!E597,15,1))&lt;=5,FALSE),NOT(MID(Metadata!E597,16,1)=""),IFERROR(INT(MID(Metadata!E597,15,2))&gt;=0,FALSE),IFERROR(INT(MID(Metadata!E597,15,2))&lt;=59,FALSE)), OR(MID(Metadata!E597,17,1)="", AND(AND(MID(Metadata!E597,17,1)=":",IFERROR(INT(MID(Metadata!E597,18,1))&gt;=0,FALSE),IFERROR(INT(MID(Metadata!E597,18,1))&lt;=5,FALSE),NOT(MID(Metadata!E597,19,1)=""),IFERROR(INT(MID(Metadata!E597,18,2))&gt;=0,FALSE),IFERROR(INT(MID(Metadata!E597,18,2))&lt;=59,FALSE)), LEN(Metadata!E597)&lt;=19)))))))))))))</f>
        <v>0</v>
      </c>
      <c r="AS597" t="b">
        <f>IF(Metadata!F597="",FALSE,TRUE)</f>
        <v>0</v>
      </c>
      <c r="AT597" t="b">
        <f>OR(AND(IF(Metadata!G597="",FALSE,TRUE),OR(EXACT(Metadata!G597,"not collected"),EXACT(Metadata!G597,"not provided"))),AND(IF(Metadata!G597="",FALSE,TRUE),OR(EXACT(Metadata!G597,"TRUE"),EXACT(Metadata!G597,"FALSE"))))</f>
        <v>0</v>
      </c>
      <c r="AU597" t="b">
        <f>OR(AND(IF(Metadata!H597="",FALSE,TRUE),OR(EXACT(Metadata!H597,"not collected"),EXACT(Metadata!H597,"not provided"),EXACT(Metadata!H597,"restricted access"))),AND(IF(Metadata!H597="",FALSE,ISNUMBER(VALUE(Metadata!H597))),Metadata!H597&gt;=-413))</f>
        <v>0</v>
      </c>
      <c r="AV597" t="b">
        <f>AND(IF(Metadata!I597="",FALSE,TRUE),EXACT(Metadata!I597,"meters"))</f>
        <v>0</v>
      </c>
      <c r="AW597" t="b">
        <f>AND(IF(Metadata!J597="",FALSE,TRUE),EXACT(Metadata!J597,"free-living"))</f>
        <v>0</v>
      </c>
      <c r="AX597" t="b">
        <f>AND(IF(Metadata!K597="",FALSE,TRUE),OR(EXACT(Metadata!K597,"saline"),EXACT(Metadata!K597,"non-saline")))</f>
        <v>0</v>
      </c>
      <c r="AY597" t="b">
        <f>AND(IF(Metadata!L597="",FALSE,TRUE),OR(EXACT(Metadata!L597,"sub-surface (non-saline)"),EXACT(Metadata!L597,"surface (non-saline)"),EXACT(Metadata!L597,"water (non-saline)"),EXACT(Metadata!L597,"soil (non-saline)"),EXACT(Metadata!L597,"aerosol (non-saline)"),EXACT(Metadata!L597,"sediment (non-saline)"),EXACT(Metadata!L597,"surface (saline)"),EXACT(Metadata!L597,"water (saline)"),EXACT(Metadata!L597,"hypersaline (saline)"),EXACT(Metadata!L597,"aerosol (saline)"),EXACT(Metadata!L597,"sediment (saline)")))</f>
        <v>0</v>
      </c>
      <c r="AZ597" t="b">
        <f>IF(Metadata!M597="",FALSE,TRUE)</f>
        <v>0</v>
      </c>
      <c r="BA597" t="b">
        <f>IF(Metadata!N597="",FALSE,TRUE)</f>
        <v>0</v>
      </c>
      <c r="BB597" t="b">
        <f>IF(Metadata!O597="",FALSE,TRUE)</f>
        <v>0</v>
      </c>
      <c r="BC597" t="b">
        <f>AND(IF(Metadata!P597="",FALSE,TRUE),OR(EXACT(Metadata!P597,"air"),EXACT(Metadata!P597,"microbial mat/biofilm"),EXACT(Metadata!P597,"misc environment"),EXACT(Metadata!P597,"sediment"),EXACT(Metadata!P597,"soil"),EXACT(Metadata!P597,"wastewater/sludge"),EXACT(Metadata!P597,"water")))</f>
        <v>0</v>
      </c>
      <c r="BD597" t="b">
        <f>IF(Metadata!Q597="",FALSE,TRUE)</f>
        <v>0</v>
      </c>
      <c r="BE597" t="b">
        <f>IF(Metadata!R597="",FALSE,TRUE)</f>
        <v>0</v>
      </c>
      <c r="BF597" t="b">
        <f>OR(AND(IF(Metadata!S597="",FALSE,TRUE),OR(EXACT(Metadata!S597,"not collected"),EXACT(Metadata!S597,"not provided"),EXACT(Metadata!S597,"restricted access"))),AND(IF(Metadata!S597="",FALSE,ISNUMBER(VALUE(Metadata!S597))),Metadata!S597&gt;=-90,Metadata!S597&lt;=90))</f>
        <v>0</v>
      </c>
      <c r="BG597" t="b">
        <f>AND(IF(Metadata!T597="",FALSE,TRUE),EXACT(Metadata!T597,"Decimal degrees"))</f>
        <v>0</v>
      </c>
      <c r="BH597" t="b">
        <f>OR(AND(IF(Metadata!U597="",FALSE,TRUE),OR(EXACT(Metadata!U597,"not applicable"),EXACT(Metadata!U597,"not collected"))),IF(Metadata!U597="",FALSE,TRUE))</f>
        <v>0</v>
      </c>
      <c r="BI597" t="b">
        <f>OR(AND(IF(Metadata!V597="",FALSE,TRUE),OR(EXACT(Metadata!V597,"not collected"),EXACT(Metadata!V597,"not provided"),EXACT(Metadata!V597,"restricted access"))),AND(IF(Metadata!V597="",FALSE,ISNUMBER(VALUE(Metadata!V597))),Metadata!V597&gt;=-180,Metadata!V597&lt;=180))</f>
        <v>0</v>
      </c>
      <c r="BJ597" t="b">
        <f>AND(IF(Metadata!W597="",FALSE,TRUE),EXACT(Metadata!W597,"Decimal degrees"))</f>
        <v>0</v>
      </c>
      <c r="BK597" t="b">
        <f>IF(Metadata!X597="",FALSE,TRUE)</f>
        <v>0</v>
      </c>
      <c r="BL597" t="b">
        <f>OR(AND(IF(Metadata!Y597="",FALSE,TRUE),OR(EXACT(Metadata!Y597,"not collected"),EXACT(Metadata!Y597,"not provided"),EXACT(Metadata!Y597,"restricted access"))),AND(IF(Metadata!Y597="",FALSE,TRUE),OR(EXACT(Metadata!Y597,"TRUE"),EXACT(Metadata!Y597,"FALSE"))))</f>
        <v>0</v>
      </c>
      <c r="BM597" t="b">
        <f>OR(AND(IF(Metadata!Z597="",FALSE,TRUE),EXACT(Metadata!Z597,"not applicable")),AND(IF(Metadata!Z597="",FALSE,TRUE),OR(EXACT(Metadata!Z597,"beer"),EXACT(Metadata!Z597,"cheese"),EXACT(Metadata!Z597,"fresh water"),EXACT(Metadata!Z597,"marine sediment"),EXACT(Metadata!Z597,"sea water"),EXACT(Metadata!Z597,"sediment"),EXACT(Metadata!Z597,"soil"),EXACT(Metadata!Z597,"waste water"))))</f>
        <v>0</v>
      </c>
      <c r="BN597" t="b">
        <f>AND(IF(Metadata!AA597="",FALSE,TRUE),EXACT(Metadata!AA597,"metagenome"))</f>
        <v>0</v>
      </c>
      <c r="BO597" t="b">
        <f>AND(IF(Metadata!AB597="",FALSE,TRUE),EXACT(Metadata!AB597,"256318"))</f>
        <v>0</v>
      </c>
      <c r="BP597" t="b">
        <f>IF(Metadata!AC597="",FALSE,TRUE)</f>
        <v>0</v>
      </c>
      <c r="BQ597" t="b">
        <f>IF(Metadata!AD597="",FALSE,TRUE)</f>
        <v>0</v>
      </c>
    </row>
    <row r="598" spans="1:69" x14ac:dyDescent="0.2">
      <c r="A598" s="4" t="e">
        <f ca="1">IF(B598=" "," ",HYPERLINK(CONCATENATE("#metadata!",ADDRESS(INDEX($AJ$2:$AJ$1001,MATCH(ROWS($AH$2:AH598),$AH$2:$AH$1001,0),0),2)),INDEX($AM$2:$AM$1001,MATCH(ROWS($AH$2:AH598),$AH$2:$AH$1001,0),0)))</f>
        <v>#N/A</v>
      </c>
      <c r="B598" s="5" t="e">
        <f ca="1">IF(OR(INDEX($AI$2:$AI$1001,MATCH(ROWS($AH$2:AH598),$AH$2:$AH$1001,0),1)&gt;=100000,INDEX($AO$1005:$BQ$1005,1,MATCH(COLUMNS($AO$1006:AO1006),$AO$1006:$BQ$1006,0))&gt;=100000), " ",IF(INDEX($AO$2:$BQ$1001,MATCH(ROWS($AH$2:AH598),$AH$2:$AH$1001,0),MATCH(COLUMNS($AO$1006:AO1006),$AO$1006:$BQ$1006,0)), HYPERLINK("#",""), HYPERLINK(CONCATENATE("#Metadata!", ADDRESS(INDEX($AJ$2:$AJ$1001,MATCH(ROWS($AH$2:AH598),$AH$2:$AH$1001,0),0), INDEX($AO$1004:$BQ$1004,1,MATCH(COLUMNS($AO$1006:AO1006),$AO$1006:$BQ$1006,0)))),"Fix")))</f>
        <v>#N/A</v>
      </c>
      <c r="C598" s="5" t="e">
        <f ca="1">IF(OR(INDEX($AI$2:$AI$1001,MATCH(ROWS($AH$2:AH598),$AH$2:$AH$1001,0),1)&gt;=100000,INDEX($AO$1005:$BQ$1005,1,MATCH(COLUMNS($AO$1006:AP1006),$AO$1006:$BQ$1006,0))&gt;=100000), " ",IF(INDEX($AO$2:$BQ$1001,MATCH(ROWS($AH$2:AH598),$AH$2:$AH$1001,0),MATCH(COLUMNS($AO$1006:AP1006),$AO$1006:$BQ$1006,0)), HYPERLINK("#",""), HYPERLINK(CONCATENATE("#Metadata!", ADDRESS(INDEX($AJ$2:$AJ$1001,MATCH(ROWS($AH$2:AH598),$AH$2:$AH$1001,0),0), INDEX($AO$1004:$BQ$1004,1,MATCH(COLUMNS($AO$1006:AP1006),$AO$1006:$BQ$1006,0)))),"Fix")))</f>
        <v>#N/A</v>
      </c>
      <c r="D598" s="5" t="e">
        <f ca="1">IF(OR(INDEX($AI$2:$AI$1001,MATCH(ROWS($AH$2:AH598),$AH$2:$AH$1001,0),1)&gt;=100000,INDEX($AO$1005:$BQ$1005,1,MATCH(COLUMNS($AO$1006:AQ1006),$AO$1006:$BQ$1006,0))&gt;=100000), " ",IF(INDEX($AO$2:$BQ$1001,MATCH(ROWS($AH$2:AH598),$AH$2:$AH$1001,0),MATCH(COLUMNS($AO$1006:AQ1006),$AO$1006:$BQ$1006,0)), HYPERLINK("#",""), HYPERLINK(CONCATENATE("#Metadata!", ADDRESS(INDEX($AJ$2:$AJ$1001,MATCH(ROWS($AH$2:AH598),$AH$2:$AH$1001,0),0), INDEX($AO$1004:$BQ$1004,1,MATCH(COLUMNS($AO$1006:AQ1006),$AO$1006:$BQ$1006,0)))),"Fix")))</f>
        <v>#N/A</v>
      </c>
      <c r="E598" s="5" t="e">
        <f ca="1">IF(OR(INDEX($AI$2:$AI$1001,MATCH(ROWS($AH$2:AH598),$AH$2:$AH$1001,0),1)&gt;=100000,INDEX($AO$1005:$BQ$1005,1,MATCH(COLUMNS($AO$1006:AR1006),$AO$1006:$BQ$1006,0))&gt;=100000), " ",IF(INDEX($AO$2:$BQ$1001,MATCH(ROWS($AH$2:AH598),$AH$2:$AH$1001,0),MATCH(COLUMNS($AO$1006:AR1006),$AO$1006:$BQ$1006,0)), HYPERLINK("#",""), HYPERLINK(CONCATENATE("#Metadata!", ADDRESS(INDEX($AJ$2:$AJ$1001,MATCH(ROWS($AH$2:AH598),$AH$2:$AH$1001,0),0), INDEX($AO$1004:$BQ$1004,1,MATCH(COLUMNS($AO$1006:AR1006),$AO$1006:$BQ$1006,0)))),"Fix")))</f>
        <v>#N/A</v>
      </c>
      <c r="F598" s="5" t="e">
        <f ca="1">IF(OR(INDEX($AI$2:$AI$1001,MATCH(ROWS($AH$2:AH598),$AH$2:$AH$1001,0),1)&gt;=100000,INDEX($AO$1005:$BQ$1005,1,MATCH(COLUMNS($AO$1006:AS1006),$AO$1006:$BQ$1006,0))&gt;=100000), " ",IF(INDEX($AO$2:$BQ$1001,MATCH(ROWS($AH$2:AH598),$AH$2:$AH$1001,0),MATCH(COLUMNS($AO$1006:AS1006),$AO$1006:$BQ$1006,0)), HYPERLINK("#",""), HYPERLINK(CONCATENATE("#Metadata!", ADDRESS(INDEX($AJ$2:$AJ$1001,MATCH(ROWS($AH$2:AH598),$AH$2:$AH$1001,0),0), INDEX($AO$1004:$BQ$1004,1,MATCH(COLUMNS($AO$1006:AS1006),$AO$1006:$BQ$1006,0)))),"Fix")))</f>
        <v>#N/A</v>
      </c>
      <c r="G598" s="5" t="e">
        <f ca="1">IF(OR(INDEX($AI$2:$AI$1001,MATCH(ROWS($AH$2:AH598),$AH$2:$AH$1001,0),1)&gt;=100000,INDEX($AO$1005:$BQ$1005,1,MATCH(COLUMNS($AO$1006:AT1006),$AO$1006:$BQ$1006,0))&gt;=100000), " ",IF(INDEX($AO$2:$BQ$1001,MATCH(ROWS($AH$2:AH598),$AH$2:$AH$1001,0),MATCH(COLUMNS($AO$1006:AT1006),$AO$1006:$BQ$1006,0)), HYPERLINK("#",""), HYPERLINK(CONCATENATE("#Metadata!", ADDRESS(INDEX($AJ$2:$AJ$1001,MATCH(ROWS($AH$2:AH598),$AH$2:$AH$1001,0),0), INDEX($AO$1004:$BQ$1004,1,MATCH(COLUMNS($AO$1006:AT1006),$AO$1006:$BQ$1006,0)))),"Fix")))</f>
        <v>#N/A</v>
      </c>
      <c r="H598" s="5" t="e">
        <f ca="1">IF(OR(INDEX($AI$2:$AI$1001,MATCH(ROWS($AH$2:AH598),$AH$2:$AH$1001,0),1)&gt;=100000,INDEX($AO$1005:$BQ$1005,1,MATCH(COLUMNS($AO$1006:AU1006),$AO$1006:$BQ$1006,0))&gt;=100000), " ",IF(INDEX($AO$2:$BQ$1001,MATCH(ROWS($AH$2:AH598),$AH$2:$AH$1001,0),MATCH(COLUMNS($AO$1006:AU1006),$AO$1006:$BQ$1006,0)), HYPERLINK("#",""), HYPERLINK(CONCATENATE("#Metadata!", ADDRESS(INDEX($AJ$2:$AJ$1001,MATCH(ROWS($AH$2:AH598),$AH$2:$AH$1001,0),0), INDEX($AO$1004:$BQ$1004,1,MATCH(COLUMNS($AO$1006:AU1006),$AO$1006:$BQ$1006,0)))),"Fix")))</f>
        <v>#N/A</v>
      </c>
      <c r="I598" s="5" t="e">
        <f ca="1">IF(OR(INDEX($AI$2:$AI$1001,MATCH(ROWS($AH$2:AH598),$AH$2:$AH$1001,0),1)&gt;=100000,INDEX($AO$1005:$BQ$1005,1,MATCH(COLUMNS($AO$1006:AV1006),$AO$1006:$BQ$1006,0))&gt;=100000), " ",IF(INDEX($AO$2:$BQ$1001,MATCH(ROWS($AH$2:AH598),$AH$2:$AH$1001,0),MATCH(COLUMNS($AO$1006:AV1006),$AO$1006:$BQ$1006,0)), HYPERLINK("#",""), HYPERLINK(CONCATENATE("#Metadata!", ADDRESS(INDEX($AJ$2:$AJ$1001,MATCH(ROWS($AH$2:AH598),$AH$2:$AH$1001,0),0), INDEX($AO$1004:$BQ$1004,1,MATCH(COLUMNS($AO$1006:AV1006),$AO$1006:$BQ$1006,0)))),"Fix")))</f>
        <v>#N/A</v>
      </c>
      <c r="J598" s="5" t="e">
        <f ca="1">IF(OR(INDEX($AI$2:$AI$1001,MATCH(ROWS($AH$2:AH598),$AH$2:$AH$1001,0),1)&gt;=100000,INDEX($AO$1005:$BQ$1005,1,MATCH(COLUMNS($AO$1006:AW1006),$AO$1006:$BQ$1006,0))&gt;=100000), " ",IF(INDEX($AO$2:$BQ$1001,MATCH(ROWS($AH$2:AH598),$AH$2:$AH$1001,0),MATCH(COLUMNS($AO$1006:AW1006),$AO$1006:$BQ$1006,0)), HYPERLINK("#",""), HYPERLINK(CONCATENATE("#Metadata!", ADDRESS(INDEX($AJ$2:$AJ$1001,MATCH(ROWS($AH$2:AH598),$AH$2:$AH$1001,0),0), INDEX($AO$1004:$BQ$1004,1,MATCH(COLUMNS($AO$1006:AW1006),$AO$1006:$BQ$1006,0)))),"Fix")))</f>
        <v>#N/A</v>
      </c>
      <c r="K598" s="5" t="e">
        <f ca="1">IF(OR(INDEX($AI$2:$AI$1001,MATCH(ROWS($AH$2:AH598),$AH$2:$AH$1001,0),1)&gt;=100000,INDEX($AO$1005:$BQ$1005,1,MATCH(COLUMNS($AO$1006:AX1006),$AO$1006:$BQ$1006,0))&gt;=100000), " ",IF(INDEX($AO$2:$BQ$1001,MATCH(ROWS($AH$2:AH598),$AH$2:$AH$1001,0),MATCH(COLUMNS($AO$1006:AX1006),$AO$1006:$BQ$1006,0)), HYPERLINK("#",""), HYPERLINK(CONCATENATE("#Metadata!", ADDRESS(INDEX($AJ$2:$AJ$1001,MATCH(ROWS($AH$2:AH598),$AH$2:$AH$1001,0),0), INDEX($AO$1004:$BQ$1004,1,MATCH(COLUMNS($AO$1006:AX1006),$AO$1006:$BQ$1006,0)))),"Fix")))</f>
        <v>#N/A</v>
      </c>
      <c r="L598" s="5" t="e">
        <f ca="1">IF(OR(INDEX($AI$2:$AI$1001,MATCH(ROWS($AH$2:AH598),$AH$2:$AH$1001,0),1)&gt;=100000,INDEX($AO$1005:$BQ$1005,1,MATCH(COLUMNS($AO$1006:AY1006),$AO$1006:$BQ$1006,0))&gt;=100000), " ",IF(INDEX($AO$2:$BQ$1001,MATCH(ROWS($AH$2:AH598),$AH$2:$AH$1001,0),MATCH(COLUMNS($AO$1006:AY1006),$AO$1006:$BQ$1006,0)), HYPERLINK("#",""), HYPERLINK(CONCATENATE("#Metadata!", ADDRESS(INDEX($AJ$2:$AJ$1001,MATCH(ROWS($AH$2:AH598),$AH$2:$AH$1001,0),0), INDEX($AO$1004:$BQ$1004,1,MATCH(COLUMNS($AO$1006:AY1006),$AO$1006:$BQ$1006,0)))),"Fix")))</f>
        <v>#N/A</v>
      </c>
      <c r="M598" s="5" t="e">
        <f ca="1">IF(OR(INDEX($AI$2:$AI$1001,MATCH(ROWS($AH$2:AH598),$AH$2:$AH$1001,0),1)&gt;=100000,INDEX($AO$1005:$BQ$1005,1,MATCH(COLUMNS($AO$1006:AZ1006),$AO$1006:$BQ$1006,0))&gt;=100000), " ",IF(INDEX($AO$2:$BQ$1001,MATCH(ROWS($AH$2:AH598),$AH$2:$AH$1001,0),MATCH(COLUMNS($AO$1006:AZ1006),$AO$1006:$BQ$1006,0)), HYPERLINK("#",""), HYPERLINK(CONCATENATE("#Metadata!", ADDRESS(INDEX($AJ$2:$AJ$1001,MATCH(ROWS($AH$2:AH598),$AH$2:$AH$1001,0),0), INDEX($AO$1004:$BQ$1004,1,MATCH(COLUMNS($AO$1006:AZ1006),$AO$1006:$BQ$1006,0)))),"Fix")))</f>
        <v>#N/A</v>
      </c>
      <c r="N598" s="5" t="e">
        <f ca="1">IF(OR(INDEX($AI$2:$AI$1001,MATCH(ROWS($AH$2:AH598),$AH$2:$AH$1001,0),1)&gt;=100000,INDEX($AO$1005:$BQ$1005,1,MATCH(COLUMNS($AO$1006:BA1006),$AO$1006:$BQ$1006,0))&gt;=100000), " ",IF(INDEX($AO$2:$BQ$1001,MATCH(ROWS($AH$2:AH598),$AH$2:$AH$1001,0),MATCH(COLUMNS($AO$1006:BA1006),$AO$1006:$BQ$1006,0)), HYPERLINK("#",""), HYPERLINK(CONCATENATE("#Metadata!", ADDRESS(INDEX($AJ$2:$AJ$1001,MATCH(ROWS($AH$2:AH598),$AH$2:$AH$1001,0),0), INDEX($AO$1004:$BQ$1004,1,MATCH(COLUMNS($AO$1006:BA1006),$AO$1006:$BQ$1006,0)))),"Fix")))</f>
        <v>#N/A</v>
      </c>
      <c r="O598" s="5" t="e">
        <f ca="1">IF(OR(INDEX($AI$2:$AI$1001,MATCH(ROWS($AH$2:AH598),$AH$2:$AH$1001,0),1)&gt;=100000,INDEX($AO$1005:$BQ$1005,1,MATCH(COLUMNS($AO$1006:BB1006),$AO$1006:$BQ$1006,0))&gt;=100000), " ",IF(INDEX($AO$2:$BQ$1001,MATCH(ROWS($AH$2:AH598),$AH$2:$AH$1001,0),MATCH(COLUMNS($AO$1006:BB1006),$AO$1006:$BQ$1006,0)), HYPERLINK("#",""), HYPERLINK(CONCATENATE("#Metadata!", ADDRESS(INDEX($AJ$2:$AJ$1001,MATCH(ROWS($AH$2:AH598),$AH$2:$AH$1001,0),0), INDEX($AO$1004:$BQ$1004,1,MATCH(COLUMNS($AO$1006:BB1006),$AO$1006:$BQ$1006,0)))),"Fix")))</f>
        <v>#N/A</v>
      </c>
      <c r="P598" s="5" t="e">
        <f ca="1">IF(OR(INDEX($AI$2:$AI$1001,MATCH(ROWS($AH$2:AH598),$AH$2:$AH$1001,0),1)&gt;=100000,INDEX($AO$1005:$BQ$1005,1,MATCH(COLUMNS($AO$1006:BC1006),$AO$1006:$BQ$1006,0))&gt;=100000), " ",IF(INDEX($AO$2:$BQ$1001,MATCH(ROWS($AH$2:AH598),$AH$2:$AH$1001,0),MATCH(COLUMNS($AO$1006:BC1006),$AO$1006:$BQ$1006,0)), HYPERLINK("#",""), HYPERLINK(CONCATENATE("#Metadata!", ADDRESS(INDEX($AJ$2:$AJ$1001,MATCH(ROWS($AH$2:AH598),$AH$2:$AH$1001,0),0), INDEX($AO$1004:$BQ$1004,1,MATCH(COLUMNS($AO$1006:BC1006),$AO$1006:$BQ$1006,0)))),"Fix")))</f>
        <v>#N/A</v>
      </c>
      <c r="Q598" s="5" t="e">
        <f ca="1">IF(OR(INDEX($AI$2:$AI$1001,MATCH(ROWS($AH$2:AH598),$AH$2:$AH$1001,0),1)&gt;=100000,INDEX($AO$1005:$BQ$1005,1,MATCH(COLUMNS($AO$1006:BD1006),$AO$1006:$BQ$1006,0))&gt;=100000), " ",IF(INDEX($AO$2:$BQ$1001,MATCH(ROWS($AH$2:AH598),$AH$2:$AH$1001,0),MATCH(COLUMNS($AO$1006:BD1006),$AO$1006:$BQ$1006,0)), HYPERLINK("#",""), HYPERLINK(CONCATENATE("#Metadata!", ADDRESS(INDEX($AJ$2:$AJ$1001,MATCH(ROWS($AH$2:AH598),$AH$2:$AH$1001,0),0), INDEX($AO$1004:$BQ$1004,1,MATCH(COLUMNS($AO$1006:BD1006),$AO$1006:$BQ$1006,0)))),"Fix")))</f>
        <v>#N/A</v>
      </c>
      <c r="R598" s="5" t="e">
        <f ca="1">IF(OR(INDEX($AI$2:$AI$1001,MATCH(ROWS($AH$2:AH598),$AH$2:$AH$1001,0),1)&gt;=100000,INDEX($AO$1005:$BQ$1005,1,MATCH(COLUMNS($AO$1006:BE1006),$AO$1006:$BQ$1006,0))&gt;=100000), " ",IF(INDEX($AO$2:$BQ$1001,MATCH(ROWS($AH$2:AH598),$AH$2:$AH$1001,0),MATCH(COLUMNS($AO$1006:BE1006),$AO$1006:$BQ$1006,0)), HYPERLINK("#",""), HYPERLINK(CONCATENATE("#Metadata!", ADDRESS(INDEX($AJ$2:$AJ$1001,MATCH(ROWS($AH$2:AH598),$AH$2:$AH$1001,0),0), INDEX($AO$1004:$BQ$1004,1,MATCH(COLUMNS($AO$1006:BE1006),$AO$1006:$BQ$1006,0)))),"Fix")))</f>
        <v>#N/A</v>
      </c>
      <c r="S598" s="5" t="e">
        <f ca="1">IF(OR(INDEX($AI$2:$AI$1001,MATCH(ROWS($AH$2:AH598),$AH$2:$AH$1001,0),1)&gt;=100000,INDEX($AO$1005:$BQ$1005,1,MATCH(COLUMNS($AO$1006:BF1006),$AO$1006:$BQ$1006,0))&gt;=100000), " ",IF(INDEX($AO$2:$BQ$1001,MATCH(ROWS($AH$2:AH598),$AH$2:$AH$1001,0),MATCH(COLUMNS($AO$1006:BF1006),$AO$1006:$BQ$1006,0)), HYPERLINK("#",""), HYPERLINK(CONCATENATE("#Metadata!", ADDRESS(INDEX($AJ$2:$AJ$1001,MATCH(ROWS($AH$2:AH598),$AH$2:$AH$1001,0),0), INDEX($AO$1004:$BQ$1004,1,MATCH(COLUMNS($AO$1006:BF1006),$AO$1006:$BQ$1006,0)))),"Fix")))</f>
        <v>#N/A</v>
      </c>
      <c r="T598" s="5" t="e">
        <f ca="1">IF(OR(INDEX($AI$2:$AI$1001,MATCH(ROWS($AH$2:AH598),$AH$2:$AH$1001,0),1)&gt;=100000,INDEX($AO$1005:$BQ$1005,1,MATCH(COLUMNS($AO$1006:BG1006),$AO$1006:$BQ$1006,0))&gt;=100000), " ",IF(INDEX($AO$2:$BQ$1001,MATCH(ROWS($AH$2:AH598),$AH$2:$AH$1001,0),MATCH(COLUMNS($AO$1006:BG1006),$AO$1006:$BQ$1006,0)), HYPERLINK("#",""), HYPERLINK(CONCATENATE("#Metadata!", ADDRESS(INDEX($AJ$2:$AJ$1001,MATCH(ROWS($AH$2:AH598),$AH$2:$AH$1001,0),0), INDEX($AO$1004:$BQ$1004,1,MATCH(COLUMNS($AO$1006:BG1006),$AO$1006:$BQ$1006,0)))),"Fix")))</f>
        <v>#N/A</v>
      </c>
      <c r="U598" s="5" t="e">
        <f ca="1">IF(OR(INDEX($AI$2:$AI$1001,MATCH(ROWS($AH$2:AH598),$AH$2:$AH$1001,0),1)&gt;=100000,INDEX($AO$1005:$BQ$1005,1,MATCH(COLUMNS($AO$1006:BH1006),$AO$1006:$BQ$1006,0))&gt;=100000), " ",IF(INDEX($AO$2:$BQ$1001,MATCH(ROWS($AH$2:AH598),$AH$2:$AH$1001,0),MATCH(COLUMNS($AO$1006:BH1006),$AO$1006:$BQ$1006,0)), HYPERLINK("#",""), HYPERLINK(CONCATENATE("#Metadata!", ADDRESS(INDEX($AJ$2:$AJ$1001,MATCH(ROWS($AH$2:AH598),$AH$2:$AH$1001,0),0), INDEX($AO$1004:$BQ$1004,1,MATCH(COLUMNS($AO$1006:BH1006),$AO$1006:$BQ$1006,0)))),"Fix")))</f>
        <v>#N/A</v>
      </c>
      <c r="V598" s="5" t="e">
        <f ca="1">IF(OR(INDEX($AI$2:$AI$1001,MATCH(ROWS($AH$2:AH598),$AH$2:$AH$1001,0),1)&gt;=100000,INDEX($AO$1005:$BQ$1005,1,MATCH(COLUMNS($AO$1006:BI1006),$AO$1006:$BQ$1006,0))&gt;=100000), " ",IF(INDEX($AO$2:$BQ$1001,MATCH(ROWS($AH$2:AH598),$AH$2:$AH$1001,0),MATCH(COLUMNS($AO$1006:BI1006),$AO$1006:$BQ$1006,0)), HYPERLINK("#",""), HYPERLINK(CONCATENATE("#Metadata!", ADDRESS(INDEX($AJ$2:$AJ$1001,MATCH(ROWS($AH$2:AH598),$AH$2:$AH$1001,0),0), INDEX($AO$1004:$BQ$1004,1,MATCH(COLUMNS($AO$1006:BI1006),$AO$1006:$BQ$1006,0)))),"Fix")))</f>
        <v>#N/A</v>
      </c>
      <c r="W598" s="5" t="e">
        <f ca="1">IF(OR(INDEX($AI$2:$AI$1001,MATCH(ROWS($AH$2:AH598),$AH$2:$AH$1001,0),1)&gt;=100000,INDEX($AO$1005:$BQ$1005,1,MATCH(COLUMNS($AO$1006:BJ1006),$AO$1006:$BQ$1006,0))&gt;=100000), " ",IF(INDEX($AO$2:$BQ$1001,MATCH(ROWS($AH$2:AH598),$AH$2:$AH$1001,0),MATCH(COLUMNS($AO$1006:BJ1006),$AO$1006:$BQ$1006,0)), HYPERLINK("#",""), HYPERLINK(CONCATENATE("#Metadata!", ADDRESS(INDEX($AJ$2:$AJ$1001,MATCH(ROWS($AH$2:AH598),$AH$2:$AH$1001,0),0), INDEX($AO$1004:$BQ$1004,1,MATCH(COLUMNS($AO$1006:BJ1006),$AO$1006:$BQ$1006,0)))),"Fix")))</f>
        <v>#N/A</v>
      </c>
      <c r="X598" s="5" t="e">
        <f ca="1">IF(OR(INDEX($AI$2:$AI$1001,MATCH(ROWS($AH$2:AH598),$AH$2:$AH$1001,0),1)&gt;=100000,INDEX($AO$1005:$BQ$1005,1,MATCH(COLUMNS($AO$1006:BK1006),$AO$1006:$BQ$1006,0))&gt;=100000), " ",IF(INDEX($AO$2:$BQ$1001,MATCH(ROWS($AH$2:AH598),$AH$2:$AH$1001,0),MATCH(COLUMNS($AO$1006:BK1006),$AO$1006:$BQ$1006,0)), HYPERLINK("#",""), HYPERLINK(CONCATENATE("#Metadata!", ADDRESS(INDEX($AJ$2:$AJ$1001,MATCH(ROWS($AH$2:AH598),$AH$2:$AH$1001,0),0), INDEX($AO$1004:$BQ$1004,1,MATCH(COLUMNS($AO$1006:BK1006),$AO$1006:$BQ$1006,0)))),"Fix")))</f>
        <v>#N/A</v>
      </c>
      <c r="Y598" s="5" t="e">
        <f ca="1">IF(OR(INDEX($AI$2:$AI$1001,MATCH(ROWS($AH$2:AH598),$AH$2:$AH$1001,0),1)&gt;=100000,INDEX($AO$1005:$BQ$1005,1,MATCH(COLUMNS($AO$1006:BL1006),$AO$1006:$BQ$1006,0))&gt;=100000), " ",IF(INDEX($AO$2:$BQ$1001,MATCH(ROWS($AH$2:AH598),$AH$2:$AH$1001,0),MATCH(COLUMNS($AO$1006:BL1006),$AO$1006:$BQ$1006,0)), HYPERLINK("#",""), HYPERLINK(CONCATENATE("#Metadata!", ADDRESS(INDEX($AJ$2:$AJ$1001,MATCH(ROWS($AH$2:AH598),$AH$2:$AH$1001,0),0), INDEX($AO$1004:$BQ$1004,1,MATCH(COLUMNS($AO$1006:BL1006),$AO$1006:$BQ$1006,0)))),"Fix")))</f>
        <v>#N/A</v>
      </c>
      <c r="Z598" s="5" t="e">
        <f ca="1">IF(OR(INDEX($AI$2:$AI$1001,MATCH(ROWS($AH$2:AH598),$AH$2:$AH$1001,0),1)&gt;=100000,INDEX($AO$1005:$BQ$1005,1,MATCH(COLUMNS($AO$1006:BM1006),$AO$1006:$BQ$1006,0))&gt;=100000), " ",IF(INDEX($AO$2:$BQ$1001,MATCH(ROWS($AH$2:AH598),$AH$2:$AH$1001,0),MATCH(COLUMNS($AO$1006:BM1006),$AO$1006:$BQ$1006,0)), HYPERLINK("#",""), HYPERLINK(CONCATENATE("#Metadata!", ADDRESS(INDEX($AJ$2:$AJ$1001,MATCH(ROWS($AH$2:AH598),$AH$2:$AH$1001,0),0), INDEX($AO$1004:$BQ$1004,1,MATCH(COLUMNS($AO$1006:BM1006),$AO$1006:$BQ$1006,0)))),"Fix")))</f>
        <v>#N/A</v>
      </c>
      <c r="AA598" s="5" t="e">
        <f ca="1">IF(OR(INDEX($AI$2:$AI$1001,MATCH(ROWS($AH$2:AH598),$AH$2:$AH$1001,0),1)&gt;=100000,INDEX($AO$1005:$BQ$1005,1,MATCH(COLUMNS($AO$1006:BN1006),$AO$1006:$BQ$1006,0))&gt;=100000), " ",IF(INDEX($AO$2:$BQ$1001,MATCH(ROWS($AH$2:AH598),$AH$2:$AH$1001,0),MATCH(COLUMNS($AO$1006:BN1006),$AO$1006:$BQ$1006,0)), HYPERLINK("#",""), HYPERLINK(CONCATENATE("#Metadata!", ADDRESS(INDEX($AJ$2:$AJ$1001,MATCH(ROWS($AH$2:AH598),$AH$2:$AH$1001,0),0), INDEX($AO$1004:$BQ$1004,1,MATCH(COLUMNS($AO$1006:BN1006),$AO$1006:$BQ$1006,0)))),"Fix")))</f>
        <v>#N/A</v>
      </c>
      <c r="AB598" s="5" t="e">
        <f ca="1">IF(OR(INDEX($AI$2:$AI$1001,MATCH(ROWS($AH$2:AH598),$AH$2:$AH$1001,0),1)&gt;=100000,INDEX($AO$1005:$BQ$1005,1,MATCH(COLUMNS($AO$1006:BO1006),$AO$1006:$BQ$1006,0))&gt;=100000), " ",IF(INDEX($AO$2:$BQ$1001,MATCH(ROWS($AH$2:AH598),$AH$2:$AH$1001,0),MATCH(COLUMNS($AO$1006:BO1006),$AO$1006:$BQ$1006,0)), HYPERLINK("#",""), HYPERLINK(CONCATENATE("#Metadata!", ADDRESS(INDEX($AJ$2:$AJ$1001,MATCH(ROWS($AH$2:AH598),$AH$2:$AH$1001,0),0), INDEX($AO$1004:$BQ$1004,1,MATCH(COLUMNS($AO$1006:BO1006),$AO$1006:$BQ$1006,0)))),"Fix")))</f>
        <v>#N/A</v>
      </c>
      <c r="AC598" s="5" t="e">
        <f ca="1">IF(OR(INDEX($AI$2:$AI$1001,MATCH(ROWS($AH$2:AH598),$AH$2:$AH$1001,0),1)&gt;=100000,INDEX($AO$1005:$BQ$1005,1,MATCH(COLUMNS($AO$1006:BP1006),$AO$1006:$BQ$1006,0))&gt;=100000), " ",IF(INDEX($AO$2:$BQ$1001,MATCH(ROWS($AH$2:AH598),$AH$2:$AH$1001,0),MATCH(COLUMNS($AO$1006:BP1006),$AO$1006:$BQ$1006,0)), HYPERLINK("#",""), HYPERLINK(CONCATENATE("#Metadata!", ADDRESS(INDEX($AJ$2:$AJ$1001,MATCH(ROWS($AH$2:AH598),$AH$2:$AH$1001,0),0), INDEX($AO$1004:$BQ$1004,1,MATCH(COLUMNS($AO$1006:BP1006),$AO$1006:$BQ$1006,0)))),"Fix")))</f>
        <v>#N/A</v>
      </c>
      <c r="AD598" s="5" t="e">
        <f ca="1">IF(OR(INDEX($AI$2:$AI$1001,MATCH(ROWS($AH$2:AH598),$AH$2:$AH$1001,0),1)&gt;=100000,INDEX($AO$1005:$BQ$1005,1,MATCH(COLUMNS($AO$1006:BQ1006),$AO$1006:$BQ$1006,0))&gt;=100000), " ",IF(INDEX($AO$2:$BQ$1001,MATCH(ROWS($AH$2:AH598),$AH$2:$AH$1001,0),MATCH(COLUMNS($AO$1006:BQ1006),$AO$1006:$BQ$1006,0)), HYPERLINK("#",""), HYPERLINK(CONCATENATE("#Metadata!", ADDRESS(INDEX($AJ$2:$AJ$1001,MATCH(ROWS($AH$2:AH598),$AH$2:$AH$1001,0),0), INDEX($AO$1004:$BQ$1004,1,MATCH(COLUMNS($AO$1006:BQ1006),$AO$1006:$BQ$1006,0)))),"Fix")))</f>
        <v>#REF!</v>
      </c>
      <c r="AH598">
        <f ca="1"/>
        <v>595</v>
      </c>
      <c r="AI598">
        <v>100598</v>
      </c>
      <c r="AJ598">
        <v>598</v>
      </c>
      <c r="AK598" t="b">
        <f t="shared" si="9"/>
        <v>1</v>
      </c>
      <c r="AL598" t="b">
        <f>COUNTBLANK(Metadata!B598:AD598)=COLUMNS(Metadata!B598:AD598)</f>
        <v>1</v>
      </c>
      <c r="AM598" t="str">
        <v/>
      </c>
      <c r="AO598" t="b">
        <f ca="1">AND(IF(Metadata!B598="",FALSE,TRUE),COUNTIF(Metadata!B:B, Metadata!B598) = 1,NOT(ISERROR(SUMPRODUCT(SEARCH(MID(Metadata!B598,ROW(INDIRECT("1:"&amp;LEN(Metadata!B598))), 1),"0123456789abcdefghijklmnopqrstuvwxyzABCDEFGHIJKLMNOPQRSTUVWXYZ.")))))</f>
        <v>0</v>
      </c>
      <c r="AP598" t="b">
        <f>IF(Metadata!C598="",FALSE,TRUE)</f>
        <v>0</v>
      </c>
      <c r="AQ598" t="b">
        <f>IF(Metadata!D598="",FALSE,TRUE)</f>
        <v>0</v>
      </c>
      <c r="AR598" t="b">
        <f ca="1">OR(AND(IF(Metadata!E598="",FALSE,TRUE),OR(EXACT(Metadata!E598,"not collected"),EXACT(Metadata!E598,"not provided"),EXACT(Metadata!E598,"restricted access"))),AND(IF(Metadata!E598="",FALSE,TRUE),AND(AND(IFERROR(INT(LEFT(Metadata!E598,4))&gt;1900,FALSE),IFERROR(INT(LEFT(Metadata!E598,4))&lt;=YEAR(NOW()),FALSE)), OR(MID(Metadata!E598,5,1)="", AND(AND(MID(Metadata!E598,5,1)="-",IFERROR(INT(MID(Metadata!E598,6,1))&gt;=0,FALSE),IFERROR(INT(MID(Metadata!E598,6,1))&lt;=1,FALSE),NOT(MID(Metadata!E598,7,1)=""),IFERROR(INT(MID(Metadata!E598,6,2))&gt;=1,FALSE),IFERROR(INT(MID(Metadata!E598,6,2))&lt;=12,FALSE)), OR(MID(Metadata!E598,8,1)="", AND(AND(MID(Metadata!E598,8,1)="-",IFERROR(INT(MID(Metadata!E598,9,1))&gt;=0,FALSE),IFERROR(INT(MID(Metadata!E598,9,1))&lt;=3,FALSE),NOT(MID(Metadata!E598,10,1)=""),IFERROR(INT(MID(Metadata!E598,9,2))&gt;=1,FALSE),IFERROR(INT(MID(Metadata!E598,9,2))&lt;=31,FALSE)), OR(MID(Metadata!E598,11,1)="", AND(AND(MID(Metadata!E598,11,1)=" ",IFERROR(INT(MID(Metadata!E598,12,1))&gt;=0,FALSE),IFERROR(INT(MID(Metadata!E598,12,1))&lt;=2,FALSE),NOT(MID(Metadata!E598,13,1)=""),IFERROR(INT(MID(Metadata!E598,12,2))&gt;=0,FALSE),IFERROR(INT(MID(Metadata!E598,12,2))&lt;=23,FALSE)), OR(MID(Metadata!E598,14,1)="", AND(AND(MID(Metadata!E598,14,1)=":",IFERROR(INT(MID(Metadata!E598,15,1))&gt;=0,FALSE),IFERROR(INT(MID(Metadata!E598,15,1))&lt;=5,FALSE),NOT(MID(Metadata!E598,16,1)=""),IFERROR(INT(MID(Metadata!E598,15,2))&gt;=0,FALSE),IFERROR(INT(MID(Metadata!E598,15,2))&lt;=59,FALSE)), OR(MID(Metadata!E598,17,1)="", AND(AND(MID(Metadata!E598,17,1)=":",IFERROR(INT(MID(Metadata!E598,18,1))&gt;=0,FALSE),IFERROR(INT(MID(Metadata!E598,18,1))&lt;=5,FALSE),NOT(MID(Metadata!E598,19,1)=""),IFERROR(INT(MID(Metadata!E598,18,2))&gt;=0,FALSE),IFERROR(INT(MID(Metadata!E598,18,2))&lt;=59,FALSE)), LEN(Metadata!E598)&lt;=19)))))))))))))</f>
        <v>0</v>
      </c>
      <c r="AS598" t="b">
        <f>IF(Metadata!F598="",FALSE,TRUE)</f>
        <v>0</v>
      </c>
      <c r="AT598" t="b">
        <f>OR(AND(IF(Metadata!G598="",FALSE,TRUE),OR(EXACT(Metadata!G598,"not collected"),EXACT(Metadata!G598,"not provided"))),AND(IF(Metadata!G598="",FALSE,TRUE),OR(EXACT(Metadata!G598,"TRUE"),EXACT(Metadata!G598,"FALSE"))))</f>
        <v>0</v>
      </c>
      <c r="AU598" t="b">
        <f>OR(AND(IF(Metadata!H598="",FALSE,TRUE),OR(EXACT(Metadata!H598,"not collected"),EXACT(Metadata!H598,"not provided"),EXACT(Metadata!H598,"restricted access"))),AND(IF(Metadata!H598="",FALSE,ISNUMBER(VALUE(Metadata!H598))),Metadata!H598&gt;=-413))</f>
        <v>0</v>
      </c>
      <c r="AV598" t="b">
        <f>AND(IF(Metadata!I598="",FALSE,TRUE),EXACT(Metadata!I598,"meters"))</f>
        <v>0</v>
      </c>
      <c r="AW598" t="b">
        <f>AND(IF(Metadata!J598="",FALSE,TRUE),EXACT(Metadata!J598,"free-living"))</f>
        <v>0</v>
      </c>
      <c r="AX598" t="b">
        <f>AND(IF(Metadata!K598="",FALSE,TRUE),OR(EXACT(Metadata!K598,"saline"),EXACT(Metadata!K598,"non-saline")))</f>
        <v>0</v>
      </c>
      <c r="AY598" t="b">
        <f>AND(IF(Metadata!L598="",FALSE,TRUE),OR(EXACT(Metadata!L598,"sub-surface (non-saline)"),EXACT(Metadata!L598,"surface (non-saline)"),EXACT(Metadata!L598,"water (non-saline)"),EXACT(Metadata!L598,"soil (non-saline)"),EXACT(Metadata!L598,"aerosol (non-saline)"),EXACT(Metadata!L598,"sediment (non-saline)"),EXACT(Metadata!L598,"surface (saline)"),EXACT(Metadata!L598,"water (saline)"),EXACT(Metadata!L598,"hypersaline (saline)"),EXACT(Metadata!L598,"aerosol (saline)"),EXACT(Metadata!L598,"sediment (saline)")))</f>
        <v>0</v>
      </c>
      <c r="AZ598" t="b">
        <f>IF(Metadata!M598="",FALSE,TRUE)</f>
        <v>0</v>
      </c>
      <c r="BA598" t="b">
        <f>IF(Metadata!N598="",FALSE,TRUE)</f>
        <v>0</v>
      </c>
      <c r="BB598" t="b">
        <f>IF(Metadata!O598="",FALSE,TRUE)</f>
        <v>0</v>
      </c>
      <c r="BC598" t="b">
        <f>AND(IF(Metadata!P598="",FALSE,TRUE),OR(EXACT(Metadata!P598,"air"),EXACT(Metadata!P598,"microbial mat/biofilm"),EXACT(Metadata!P598,"misc environment"),EXACT(Metadata!P598,"sediment"),EXACT(Metadata!P598,"soil"),EXACT(Metadata!P598,"wastewater/sludge"),EXACT(Metadata!P598,"water")))</f>
        <v>0</v>
      </c>
      <c r="BD598" t="b">
        <f>IF(Metadata!Q598="",FALSE,TRUE)</f>
        <v>0</v>
      </c>
      <c r="BE598" t="b">
        <f>IF(Metadata!R598="",FALSE,TRUE)</f>
        <v>0</v>
      </c>
      <c r="BF598" t="b">
        <f>OR(AND(IF(Metadata!S598="",FALSE,TRUE),OR(EXACT(Metadata!S598,"not collected"),EXACT(Metadata!S598,"not provided"),EXACT(Metadata!S598,"restricted access"))),AND(IF(Metadata!S598="",FALSE,ISNUMBER(VALUE(Metadata!S598))),Metadata!S598&gt;=-90,Metadata!S598&lt;=90))</f>
        <v>0</v>
      </c>
      <c r="BG598" t="b">
        <f>AND(IF(Metadata!T598="",FALSE,TRUE),EXACT(Metadata!T598,"Decimal degrees"))</f>
        <v>0</v>
      </c>
      <c r="BH598" t="b">
        <f>OR(AND(IF(Metadata!U598="",FALSE,TRUE),OR(EXACT(Metadata!U598,"not applicable"),EXACT(Metadata!U598,"not collected"))),IF(Metadata!U598="",FALSE,TRUE))</f>
        <v>0</v>
      </c>
      <c r="BI598" t="b">
        <f>OR(AND(IF(Metadata!V598="",FALSE,TRUE),OR(EXACT(Metadata!V598,"not collected"),EXACT(Metadata!V598,"not provided"),EXACT(Metadata!V598,"restricted access"))),AND(IF(Metadata!V598="",FALSE,ISNUMBER(VALUE(Metadata!V598))),Metadata!V598&gt;=-180,Metadata!V598&lt;=180))</f>
        <v>0</v>
      </c>
      <c r="BJ598" t="b">
        <f>AND(IF(Metadata!W598="",FALSE,TRUE),EXACT(Metadata!W598,"Decimal degrees"))</f>
        <v>0</v>
      </c>
      <c r="BK598" t="b">
        <f>IF(Metadata!X598="",FALSE,TRUE)</f>
        <v>0</v>
      </c>
      <c r="BL598" t="b">
        <f>OR(AND(IF(Metadata!Y598="",FALSE,TRUE),OR(EXACT(Metadata!Y598,"not collected"),EXACT(Metadata!Y598,"not provided"),EXACT(Metadata!Y598,"restricted access"))),AND(IF(Metadata!Y598="",FALSE,TRUE),OR(EXACT(Metadata!Y598,"TRUE"),EXACT(Metadata!Y598,"FALSE"))))</f>
        <v>0</v>
      </c>
      <c r="BM598" t="b">
        <f>OR(AND(IF(Metadata!Z598="",FALSE,TRUE),EXACT(Metadata!Z598,"not applicable")),AND(IF(Metadata!Z598="",FALSE,TRUE),OR(EXACT(Metadata!Z598,"beer"),EXACT(Metadata!Z598,"cheese"),EXACT(Metadata!Z598,"fresh water"),EXACT(Metadata!Z598,"marine sediment"),EXACT(Metadata!Z598,"sea water"),EXACT(Metadata!Z598,"sediment"),EXACT(Metadata!Z598,"soil"),EXACT(Metadata!Z598,"waste water"))))</f>
        <v>0</v>
      </c>
      <c r="BN598" t="b">
        <f>AND(IF(Metadata!AA598="",FALSE,TRUE),EXACT(Metadata!AA598,"metagenome"))</f>
        <v>0</v>
      </c>
      <c r="BO598" t="b">
        <f>AND(IF(Metadata!AB598="",FALSE,TRUE),EXACT(Metadata!AB598,"256318"))</f>
        <v>0</v>
      </c>
      <c r="BP598" t="b">
        <f>IF(Metadata!AC598="",FALSE,TRUE)</f>
        <v>0</v>
      </c>
      <c r="BQ598" t="b">
        <f>IF(Metadata!AD598="",FALSE,TRUE)</f>
        <v>0</v>
      </c>
    </row>
    <row r="599" spans="1:69" x14ac:dyDescent="0.2">
      <c r="A599" s="4" t="e">
        <f ca="1">IF(B599=" "," ",HYPERLINK(CONCATENATE("#metadata!",ADDRESS(INDEX($AJ$2:$AJ$1001,MATCH(ROWS($AH$2:AH599),$AH$2:$AH$1001,0),0),2)),INDEX($AM$2:$AM$1001,MATCH(ROWS($AH$2:AH599),$AH$2:$AH$1001,0),0)))</f>
        <v>#N/A</v>
      </c>
      <c r="B599" s="5" t="e">
        <f ca="1">IF(OR(INDEX($AI$2:$AI$1001,MATCH(ROWS($AH$2:AH599),$AH$2:$AH$1001,0),1)&gt;=100000,INDEX($AO$1005:$BQ$1005,1,MATCH(COLUMNS($AO$1006:AO1006),$AO$1006:$BQ$1006,0))&gt;=100000), " ",IF(INDEX($AO$2:$BQ$1001,MATCH(ROWS($AH$2:AH599),$AH$2:$AH$1001,0),MATCH(COLUMNS($AO$1006:AO1006),$AO$1006:$BQ$1006,0)), HYPERLINK("#",""), HYPERLINK(CONCATENATE("#Metadata!", ADDRESS(INDEX($AJ$2:$AJ$1001,MATCH(ROWS($AH$2:AH599),$AH$2:$AH$1001,0),0), INDEX($AO$1004:$BQ$1004,1,MATCH(COLUMNS($AO$1006:AO1006),$AO$1006:$BQ$1006,0)))),"Fix")))</f>
        <v>#N/A</v>
      </c>
      <c r="C599" s="5" t="e">
        <f ca="1">IF(OR(INDEX($AI$2:$AI$1001,MATCH(ROWS($AH$2:AH599),$AH$2:$AH$1001,0),1)&gt;=100000,INDEX($AO$1005:$BQ$1005,1,MATCH(COLUMNS($AO$1006:AP1006),$AO$1006:$BQ$1006,0))&gt;=100000), " ",IF(INDEX($AO$2:$BQ$1001,MATCH(ROWS($AH$2:AH599),$AH$2:$AH$1001,0),MATCH(COLUMNS($AO$1006:AP1006),$AO$1006:$BQ$1006,0)), HYPERLINK("#",""), HYPERLINK(CONCATENATE("#Metadata!", ADDRESS(INDEX($AJ$2:$AJ$1001,MATCH(ROWS($AH$2:AH599),$AH$2:$AH$1001,0),0), INDEX($AO$1004:$BQ$1004,1,MATCH(COLUMNS($AO$1006:AP1006),$AO$1006:$BQ$1006,0)))),"Fix")))</f>
        <v>#N/A</v>
      </c>
      <c r="D599" s="5" t="e">
        <f ca="1">IF(OR(INDEX($AI$2:$AI$1001,MATCH(ROWS($AH$2:AH599),$AH$2:$AH$1001,0),1)&gt;=100000,INDEX($AO$1005:$BQ$1005,1,MATCH(COLUMNS($AO$1006:AQ1006),$AO$1006:$BQ$1006,0))&gt;=100000), " ",IF(INDEX($AO$2:$BQ$1001,MATCH(ROWS($AH$2:AH599),$AH$2:$AH$1001,0),MATCH(COLUMNS($AO$1006:AQ1006),$AO$1006:$BQ$1006,0)), HYPERLINK("#",""), HYPERLINK(CONCATENATE("#Metadata!", ADDRESS(INDEX($AJ$2:$AJ$1001,MATCH(ROWS($AH$2:AH599),$AH$2:$AH$1001,0),0), INDEX($AO$1004:$BQ$1004,1,MATCH(COLUMNS($AO$1006:AQ1006),$AO$1006:$BQ$1006,0)))),"Fix")))</f>
        <v>#N/A</v>
      </c>
      <c r="E599" s="5" t="e">
        <f ca="1">IF(OR(INDEX($AI$2:$AI$1001,MATCH(ROWS($AH$2:AH599),$AH$2:$AH$1001,0),1)&gt;=100000,INDEX($AO$1005:$BQ$1005,1,MATCH(COLUMNS($AO$1006:AR1006),$AO$1006:$BQ$1006,0))&gt;=100000), " ",IF(INDEX($AO$2:$BQ$1001,MATCH(ROWS($AH$2:AH599),$AH$2:$AH$1001,0),MATCH(COLUMNS($AO$1006:AR1006),$AO$1006:$BQ$1006,0)), HYPERLINK("#",""), HYPERLINK(CONCATENATE("#Metadata!", ADDRESS(INDEX($AJ$2:$AJ$1001,MATCH(ROWS($AH$2:AH599),$AH$2:$AH$1001,0),0), INDEX($AO$1004:$BQ$1004,1,MATCH(COLUMNS($AO$1006:AR1006),$AO$1006:$BQ$1006,0)))),"Fix")))</f>
        <v>#N/A</v>
      </c>
      <c r="F599" s="5" t="e">
        <f ca="1">IF(OR(INDEX($AI$2:$AI$1001,MATCH(ROWS($AH$2:AH599),$AH$2:$AH$1001,0),1)&gt;=100000,INDEX($AO$1005:$BQ$1005,1,MATCH(COLUMNS($AO$1006:AS1006),$AO$1006:$BQ$1006,0))&gt;=100000), " ",IF(INDEX($AO$2:$BQ$1001,MATCH(ROWS($AH$2:AH599),$AH$2:$AH$1001,0),MATCH(COLUMNS($AO$1006:AS1006),$AO$1006:$BQ$1006,0)), HYPERLINK("#",""), HYPERLINK(CONCATENATE("#Metadata!", ADDRESS(INDEX($AJ$2:$AJ$1001,MATCH(ROWS($AH$2:AH599),$AH$2:$AH$1001,0),0), INDEX($AO$1004:$BQ$1004,1,MATCH(COLUMNS($AO$1006:AS1006),$AO$1006:$BQ$1006,0)))),"Fix")))</f>
        <v>#N/A</v>
      </c>
      <c r="G599" s="5" t="e">
        <f ca="1">IF(OR(INDEX($AI$2:$AI$1001,MATCH(ROWS($AH$2:AH599),$AH$2:$AH$1001,0),1)&gt;=100000,INDEX($AO$1005:$BQ$1005,1,MATCH(COLUMNS($AO$1006:AT1006),$AO$1006:$BQ$1006,0))&gt;=100000), " ",IF(INDEX($AO$2:$BQ$1001,MATCH(ROWS($AH$2:AH599),$AH$2:$AH$1001,0),MATCH(COLUMNS($AO$1006:AT1006),$AO$1006:$BQ$1006,0)), HYPERLINK("#",""), HYPERLINK(CONCATENATE("#Metadata!", ADDRESS(INDEX($AJ$2:$AJ$1001,MATCH(ROWS($AH$2:AH599),$AH$2:$AH$1001,0),0), INDEX($AO$1004:$BQ$1004,1,MATCH(COLUMNS($AO$1006:AT1006),$AO$1006:$BQ$1006,0)))),"Fix")))</f>
        <v>#N/A</v>
      </c>
      <c r="H599" s="5" t="e">
        <f ca="1">IF(OR(INDEX($AI$2:$AI$1001,MATCH(ROWS($AH$2:AH599),$AH$2:$AH$1001,0),1)&gt;=100000,INDEX($AO$1005:$BQ$1005,1,MATCH(COLUMNS($AO$1006:AU1006),$AO$1006:$BQ$1006,0))&gt;=100000), " ",IF(INDEX($AO$2:$BQ$1001,MATCH(ROWS($AH$2:AH599),$AH$2:$AH$1001,0),MATCH(COLUMNS($AO$1006:AU1006),$AO$1006:$BQ$1006,0)), HYPERLINK("#",""), HYPERLINK(CONCATENATE("#Metadata!", ADDRESS(INDEX($AJ$2:$AJ$1001,MATCH(ROWS($AH$2:AH599),$AH$2:$AH$1001,0),0), INDEX($AO$1004:$BQ$1004,1,MATCH(COLUMNS($AO$1006:AU1006),$AO$1006:$BQ$1006,0)))),"Fix")))</f>
        <v>#N/A</v>
      </c>
      <c r="I599" s="5" t="e">
        <f ca="1">IF(OR(INDEX($AI$2:$AI$1001,MATCH(ROWS($AH$2:AH599),$AH$2:$AH$1001,0),1)&gt;=100000,INDEX($AO$1005:$BQ$1005,1,MATCH(COLUMNS($AO$1006:AV1006),$AO$1006:$BQ$1006,0))&gt;=100000), " ",IF(INDEX($AO$2:$BQ$1001,MATCH(ROWS($AH$2:AH599),$AH$2:$AH$1001,0),MATCH(COLUMNS($AO$1006:AV1006),$AO$1006:$BQ$1006,0)), HYPERLINK("#",""), HYPERLINK(CONCATENATE("#Metadata!", ADDRESS(INDEX($AJ$2:$AJ$1001,MATCH(ROWS($AH$2:AH599),$AH$2:$AH$1001,0),0), INDEX($AO$1004:$BQ$1004,1,MATCH(COLUMNS($AO$1006:AV1006),$AO$1006:$BQ$1006,0)))),"Fix")))</f>
        <v>#N/A</v>
      </c>
      <c r="J599" s="5" t="e">
        <f ca="1">IF(OR(INDEX($AI$2:$AI$1001,MATCH(ROWS($AH$2:AH599),$AH$2:$AH$1001,0),1)&gt;=100000,INDEX($AO$1005:$BQ$1005,1,MATCH(COLUMNS($AO$1006:AW1006),$AO$1006:$BQ$1006,0))&gt;=100000), " ",IF(INDEX($AO$2:$BQ$1001,MATCH(ROWS($AH$2:AH599),$AH$2:$AH$1001,0),MATCH(COLUMNS($AO$1006:AW1006),$AO$1006:$BQ$1006,0)), HYPERLINK("#",""), HYPERLINK(CONCATENATE("#Metadata!", ADDRESS(INDEX($AJ$2:$AJ$1001,MATCH(ROWS($AH$2:AH599),$AH$2:$AH$1001,0),0), INDEX($AO$1004:$BQ$1004,1,MATCH(COLUMNS($AO$1006:AW1006),$AO$1006:$BQ$1006,0)))),"Fix")))</f>
        <v>#N/A</v>
      </c>
      <c r="K599" s="5" t="e">
        <f ca="1">IF(OR(INDEX($AI$2:$AI$1001,MATCH(ROWS($AH$2:AH599),$AH$2:$AH$1001,0),1)&gt;=100000,INDEX($AO$1005:$BQ$1005,1,MATCH(COLUMNS($AO$1006:AX1006),$AO$1006:$BQ$1006,0))&gt;=100000), " ",IF(INDEX($AO$2:$BQ$1001,MATCH(ROWS($AH$2:AH599),$AH$2:$AH$1001,0),MATCH(COLUMNS($AO$1006:AX1006),$AO$1006:$BQ$1006,0)), HYPERLINK("#",""), HYPERLINK(CONCATENATE("#Metadata!", ADDRESS(INDEX($AJ$2:$AJ$1001,MATCH(ROWS($AH$2:AH599),$AH$2:$AH$1001,0),0), INDEX($AO$1004:$BQ$1004,1,MATCH(COLUMNS($AO$1006:AX1006),$AO$1006:$BQ$1006,0)))),"Fix")))</f>
        <v>#N/A</v>
      </c>
      <c r="L599" s="5" t="e">
        <f ca="1">IF(OR(INDEX($AI$2:$AI$1001,MATCH(ROWS($AH$2:AH599),$AH$2:$AH$1001,0),1)&gt;=100000,INDEX($AO$1005:$BQ$1005,1,MATCH(COLUMNS($AO$1006:AY1006),$AO$1006:$BQ$1006,0))&gt;=100000), " ",IF(INDEX($AO$2:$BQ$1001,MATCH(ROWS($AH$2:AH599),$AH$2:$AH$1001,0),MATCH(COLUMNS($AO$1006:AY1006),$AO$1006:$BQ$1006,0)), HYPERLINK("#",""), HYPERLINK(CONCATENATE("#Metadata!", ADDRESS(INDEX($AJ$2:$AJ$1001,MATCH(ROWS($AH$2:AH599),$AH$2:$AH$1001,0),0), INDEX($AO$1004:$BQ$1004,1,MATCH(COLUMNS($AO$1006:AY1006),$AO$1006:$BQ$1006,0)))),"Fix")))</f>
        <v>#N/A</v>
      </c>
      <c r="M599" s="5" t="e">
        <f ca="1">IF(OR(INDEX($AI$2:$AI$1001,MATCH(ROWS($AH$2:AH599),$AH$2:$AH$1001,0),1)&gt;=100000,INDEX($AO$1005:$BQ$1005,1,MATCH(COLUMNS($AO$1006:AZ1006),$AO$1006:$BQ$1006,0))&gt;=100000), " ",IF(INDEX($AO$2:$BQ$1001,MATCH(ROWS($AH$2:AH599),$AH$2:$AH$1001,0),MATCH(COLUMNS($AO$1006:AZ1006),$AO$1006:$BQ$1006,0)), HYPERLINK("#",""), HYPERLINK(CONCATENATE("#Metadata!", ADDRESS(INDEX($AJ$2:$AJ$1001,MATCH(ROWS($AH$2:AH599),$AH$2:$AH$1001,0),0), INDEX($AO$1004:$BQ$1004,1,MATCH(COLUMNS($AO$1006:AZ1006),$AO$1006:$BQ$1006,0)))),"Fix")))</f>
        <v>#N/A</v>
      </c>
      <c r="N599" s="5" t="e">
        <f ca="1">IF(OR(INDEX($AI$2:$AI$1001,MATCH(ROWS($AH$2:AH599),$AH$2:$AH$1001,0),1)&gt;=100000,INDEX($AO$1005:$BQ$1005,1,MATCH(COLUMNS($AO$1006:BA1006),$AO$1006:$BQ$1006,0))&gt;=100000), " ",IF(INDEX($AO$2:$BQ$1001,MATCH(ROWS($AH$2:AH599),$AH$2:$AH$1001,0),MATCH(COLUMNS($AO$1006:BA1006),$AO$1006:$BQ$1006,0)), HYPERLINK("#",""), HYPERLINK(CONCATENATE("#Metadata!", ADDRESS(INDEX($AJ$2:$AJ$1001,MATCH(ROWS($AH$2:AH599),$AH$2:$AH$1001,0),0), INDEX($AO$1004:$BQ$1004,1,MATCH(COLUMNS($AO$1006:BA1006),$AO$1006:$BQ$1006,0)))),"Fix")))</f>
        <v>#N/A</v>
      </c>
      <c r="O599" s="5" t="e">
        <f ca="1">IF(OR(INDEX($AI$2:$AI$1001,MATCH(ROWS($AH$2:AH599),$AH$2:$AH$1001,0),1)&gt;=100000,INDEX($AO$1005:$BQ$1005,1,MATCH(COLUMNS($AO$1006:BB1006),$AO$1006:$BQ$1006,0))&gt;=100000), " ",IF(INDEX($AO$2:$BQ$1001,MATCH(ROWS($AH$2:AH599),$AH$2:$AH$1001,0),MATCH(COLUMNS($AO$1006:BB1006),$AO$1006:$BQ$1006,0)), HYPERLINK("#",""), HYPERLINK(CONCATENATE("#Metadata!", ADDRESS(INDEX($AJ$2:$AJ$1001,MATCH(ROWS($AH$2:AH599),$AH$2:$AH$1001,0),0), INDEX($AO$1004:$BQ$1004,1,MATCH(COLUMNS($AO$1006:BB1006),$AO$1006:$BQ$1006,0)))),"Fix")))</f>
        <v>#N/A</v>
      </c>
      <c r="P599" s="5" t="e">
        <f ca="1">IF(OR(INDEX($AI$2:$AI$1001,MATCH(ROWS($AH$2:AH599),$AH$2:$AH$1001,0),1)&gt;=100000,INDEX($AO$1005:$BQ$1005,1,MATCH(COLUMNS($AO$1006:BC1006),$AO$1006:$BQ$1006,0))&gt;=100000), " ",IF(INDEX($AO$2:$BQ$1001,MATCH(ROWS($AH$2:AH599),$AH$2:$AH$1001,0),MATCH(COLUMNS($AO$1006:BC1006),$AO$1006:$BQ$1006,0)), HYPERLINK("#",""), HYPERLINK(CONCATENATE("#Metadata!", ADDRESS(INDEX($AJ$2:$AJ$1001,MATCH(ROWS($AH$2:AH599),$AH$2:$AH$1001,0),0), INDEX($AO$1004:$BQ$1004,1,MATCH(COLUMNS($AO$1006:BC1006),$AO$1006:$BQ$1006,0)))),"Fix")))</f>
        <v>#N/A</v>
      </c>
      <c r="Q599" s="5" t="e">
        <f ca="1">IF(OR(INDEX($AI$2:$AI$1001,MATCH(ROWS($AH$2:AH599),$AH$2:$AH$1001,0),1)&gt;=100000,INDEX($AO$1005:$BQ$1005,1,MATCH(COLUMNS($AO$1006:BD1006),$AO$1006:$BQ$1006,0))&gt;=100000), " ",IF(INDEX($AO$2:$BQ$1001,MATCH(ROWS($AH$2:AH599),$AH$2:$AH$1001,0),MATCH(COLUMNS($AO$1006:BD1006),$AO$1006:$BQ$1006,0)), HYPERLINK("#",""), HYPERLINK(CONCATENATE("#Metadata!", ADDRESS(INDEX($AJ$2:$AJ$1001,MATCH(ROWS($AH$2:AH599),$AH$2:$AH$1001,0),0), INDEX($AO$1004:$BQ$1004,1,MATCH(COLUMNS($AO$1006:BD1006),$AO$1006:$BQ$1006,0)))),"Fix")))</f>
        <v>#N/A</v>
      </c>
      <c r="R599" s="5" t="e">
        <f ca="1">IF(OR(INDEX($AI$2:$AI$1001,MATCH(ROWS($AH$2:AH599),$AH$2:$AH$1001,0),1)&gt;=100000,INDEX($AO$1005:$BQ$1005,1,MATCH(COLUMNS($AO$1006:BE1006),$AO$1006:$BQ$1006,0))&gt;=100000), " ",IF(INDEX($AO$2:$BQ$1001,MATCH(ROWS($AH$2:AH599),$AH$2:$AH$1001,0),MATCH(COLUMNS($AO$1006:BE1006),$AO$1006:$BQ$1006,0)), HYPERLINK("#",""), HYPERLINK(CONCATENATE("#Metadata!", ADDRESS(INDEX($AJ$2:$AJ$1001,MATCH(ROWS($AH$2:AH599),$AH$2:$AH$1001,0),0), INDEX($AO$1004:$BQ$1004,1,MATCH(COLUMNS($AO$1006:BE1006),$AO$1006:$BQ$1006,0)))),"Fix")))</f>
        <v>#N/A</v>
      </c>
      <c r="S599" s="5" t="e">
        <f ca="1">IF(OR(INDEX($AI$2:$AI$1001,MATCH(ROWS($AH$2:AH599),$AH$2:$AH$1001,0),1)&gt;=100000,INDEX($AO$1005:$BQ$1005,1,MATCH(COLUMNS($AO$1006:BF1006),$AO$1006:$BQ$1006,0))&gt;=100000), " ",IF(INDEX($AO$2:$BQ$1001,MATCH(ROWS($AH$2:AH599),$AH$2:$AH$1001,0),MATCH(COLUMNS($AO$1006:BF1006),$AO$1006:$BQ$1006,0)), HYPERLINK("#",""), HYPERLINK(CONCATENATE("#Metadata!", ADDRESS(INDEX($AJ$2:$AJ$1001,MATCH(ROWS($AH$2:AH599),$AH$2:$AH$1001,0),0), INDEX($AO$1004:$BQ$1004,1,MATCH(COLUMNS($AO$1006:BF1006),$AO$1006:$BQ$1006,0)))),"Fix")))</f>
        <v>#N/A</v>
      </c>
      <c r="T599" s="5" t="e">
        <f ca="1">IF(OR(INDEX($AI$2:$AI$1001,MATCH(ROWS($AH$2:AH599),$AH$2:$AH$1001,0),1)&gt;=100000,INDEX($AO$1005:$BQ$1005,1,MATCH(COLUMNS($AO$1006:BG1006),$AO$1006:$BQ$1006,0))&gt;=100000), " ",IF(INDEX($AO$2:$BQ$1001,MATCH(ROWS($AH$2:AH599),$AH$2:$AH$1001,0),MATCH(COLUMNS($AO$1006:BG1006),$AO$1006:$BQ$1006,0)), HYPERLINK("#",""), HYPERLINK(CONCATENATE("#Metadata!", ADDRESS(INDEX($AJ$2:$AJ$1001,MATCH(ROWS($AH$2:AH599),$AH$2:$AH$1001,0),0), INDEX($AO$1004:$BQ$1004,1,MATCH(COLUMNS($AO$1006:BG1006),$AO$1006:$BQ$1006,0)))),"Fix")))</f>
        <v>#N/A</v>
      </c>
      <c r="U599" s="5" t="e">
        <f ca="1">IF(OR(INDEX($AI$2:$AI$1001,MATCH(ROWS($AH$2:AH599),$AH$2:$AH$1001,0),1)&gt;=100000,INDEX($AO$1005:$BQ$1005,1,MATCH(COLUMNS($AO$1006:BH1006),$AO$1006:$BQ$1006,0))&gt;=100000), " ",IF(INDEX($AO$2:$BQ$1001,MATCH(ROWS($AH$2:AH599),$AH$2:$AH$1001,0),MATCH(COLUMNS($AO$1006:BH1006),$AO$1006:$BQ$1006,0)), HYPERLINK("#",""), HYPERLINK(CONCATENATE("#Metadata!", ADDRESS(INDEX($AJ$2:$AJ$1001,MATCH(ROWS($AH$2:AH599),$AH$2:$AH$1001,0),0), INDEX($AO$1004:$BQ$1004,1,MATCH(COLUMNS($AO$1006:BH1006),$AO$1006:$BQ$1006,0)))),"Fix")))</f>
        <v>#N/A</v>
      </c>
      <c r="V599" s="5" t="e">
        <f ca="1">IF(OR(INDEX($AI$2:$AI$1001,MATCH(ROWS($AH$2:AH599),$AH$2:$AH$1001,0),1)&gt;=100000,INDEX($AO$1005:$BQ$1005,1,MATCH(COLUMNS($AO$1006:BI1006),$AO$1006:$BQ$1006,0))&gt;=100000), " ",IF(INDEX($AO$2:$BQ$1001,MATCH(ROWS($AH$2:AH599),$AH$2:$AH$1001,0),MATCH(COLUMNS($AO$1006:BI1006),$AO$1006:$BQ$1006,0)), HYPERLINK("#",""), HYPERLINK(CONCATENATE("#Metadata!", ADDRESS(INDEX($AJ$2:$AJ$1001,MATCH(ROWS($AH$2:AH599),$AH$2:$AH$1001,0),0), INDEX($AO$1004:$BQ$1004,1,MATCH(COLUMNS($AO$1006:BI1006),$AO$1006:$BQ$1006,0)))),"Fix")))</f>
        <v>#N/A</v>
      </c>
      <c r="W599" s="5" t="e">
        <f ca="1">IF(OR(INDEX($AI$2:$AI$1001,MATCH(ROWS($AH$2:AH599),$AH$2:$AH$1001,0),1)&gt;=100000,INDEX($AO$1005:$BQ$1005,1,MATCH(COLUMNS($AO$1006:BJ1006),$AO$1006:$BQ$1006,0))&gt;=100000), " ",IF(INDEX($AO$2:$BQ$1001,MATCH(ROWS($AH$2:AH599),$AH$2:$AH$1001,0),MATCH(COLUMNS($AO$1006:BJ1006),$AO$1006:$BQ$1006,0)), HYPERLINK("#",""), HYPERLINK(CONCATENATE("#Metadata!", ADDRESS(INDEX($AJ$2:$AJ$1001,MATCH(ROWS($AH$2:AH599),$AH$2:$AH$1001,0),0), INDEX($AO$1004:$BQ$1004,1,MATCH(COLUMNS($AO$1006:BJ1006),$AO$1006:$BQ$1006,0)))),"Fix")))</f>
        <v>#N/A</v>
      </c>
      <c r="X599" s="5" t="e">
        <f ca="1">IF(OR(INDEX($AI$2:$AI$1001,MATCH(ROWS($AH$2:AH599),$AH$2:$AH$1001,0),1)&gt;=100000,INDEX($AO$1005:$BQ$1005,1,MATCH(COLUMNS($AO$1006:BK1006),$AO$1006:$BQ$1006,0))&gt;=100000), " ",IF(INDEX($AO$2:$BQ$1001,MATCH(ROWS($AH$2:AH599),$AH$2:$AH$1001,0),MATCH(COLUMNS($AO$1006:BK1006),$AO$1006:$BQ$1006,0)), HYPERLINK("#",""), HYPERLINK(CONCATENATE("#Metadata!", ADDRESS(INDEX($AJ$2:$AJ$1001,MATCH(ROWS($AH$2:AH599),$AH$2:$AH$1001,0),0), INDEX($AO$1004:$BQ$1004,1,MATCH(COLUMNS($AO$1006:BK1006),$AO$1006:$BQ$1006,0)))),"Fix")))</f>
        <v>#N/A</v>
      </c>
      <c r="Y599" s="5" t="e">
        <f ca="1">IF(OR(INDEX($AI$2:$AI$1001,MATCH(ROWS($AH$2:AH599),$AH$2:$AH$1001,0),1)&gt;=100000,INDEX($AO$1005:$BQ$1005,1,MATCH(COLUMNS($AO$1006:BL1006),$AO$1006:$BQ$1006,0))&gt;=100000), " ",IF(INDEX($AO$2:$BQ$1001,MATCH(ROWS($AH$2:AH599),$AH$2:$AH$1001,0),MATCH(COLUMNS($AO$1006:BL1006),$AO$1006:$BQ$1006,0)), HYPERLINK("#",""), HYPERLINK(CONCATENATE("#Metadata!", ADDRESS(INDEX($AJ$2:$AJ$1001,MATCH(ROWS($AH$2:AH599),$AH$2:$AH$1001,0),0), INDEX($AO$1004:$BQ$1004,1,MATCH(COLUMNS($AO$1006:BL1006),$AO$1006:$BQ$1006,0)))),"Fix")))</f>
        <v>#N/A</v>
      </c>
      <c r="Z599" s="5" t="e">
        <f ca="1">IF(OR(INDEX($AI$2:$AI$1001,MATCH(ROWS($AH$2:AH599),$AH$2:$AH$1001,0),1)&gt;=100000,INDEX($AO$1005:$BQ$1005,1,MATCH(COLUMNS($AO$1006:BM1006),$AO$1006:$BQ$1006,0))&gt;=100000), " ",IF(INDEX($AO$2:$BQ$1001,MATCH(ROWS($AH$2:AH599),$AH$2:$AH$1001,0),MATCH(COLUMNS($AO$1006:BM1006),$AO$1006:$BQ$1006,0)), HYPERLINK("#",""), HYPERLINK(CONCATENATE("#Metadata!", ADDRESS(INDEX($AJ$2:$AJ$1001,MATCH(ROWS($AH$2:AH599),$AH$2:$AH$1001,0),0), INDEX($AO$1004:$BQ$1004,1,MATCH(COLUMNS($AO$1006:BM1006),$AO$1006:$BQ$1006,0)))),"Fix")))</f>
        <v>#N/A</v>
      </c>
      <c r="AA599" s="5" t="e">
        <f ca="1">IF(OR(INDEX($AI$2:$AI$1001,MATCH(ROWS($AH$2:AH599),$AH$2:$AH$1001,0),1)&gt;=100000,INDEX($AO$1005:$BQ$1005,1,MATCH(COLUMNS($AO$1006:BN1006),$AO$1006:$BQ$1006,0))&gt;=100000), " ",IF(INDEX($AO$2:$BQ$1001,MATCH(ROWS($AH$2:AH599),$AH$2:$AH$1001,0),MATCH(COLUMNS($AO$1006:BN1006),$AO$1006:$BQ$1006,0)), HYPERLINK("#",""), HYPERLINK(CONCATENATE("#Metadata!", ADDRESS(INDEX($AJ$2:$AJ$1001,MATCH(ROWS($AH$2:AH599),$AH$2:$AH$1001,0),0), INDEX($AO$1004:$BQ$1004,1,MATCH(COLUMNS($AO$1006:BN1006),$AO$1006:$BQ$1006,0)))),"Fix")))</f>
        <v>#N/A</v>
      </c>
      <c r="AB599" s="5" t="e">
        <f ca="1">IF(OR(INDEX($AI$2:$AI$1001,MATCH(ROWS($AH$2:AH599),$AH$2:$AH$1001,0),1)&gt;=100000,INDEX($AO$1005:$BQ$1005,1,MATCH(COLUMNS($AO$1006:BO1006),$AO$1006:$BQ$1006,0))&gt;=100000), " ",IF(INDEX($AO$2:$BQ$1001,MATCH(ROWS($AH$2:AH599),$AH$2:$AH$1001,0),MATCH(COLUMNS($AO$1006:BO1006),$AO$1006:$BQ$1006,0)), HYPERLINK("#",""), HYPERLINK(CONCATENATE("#Metadata!", ADDRESS(INDEX($AJ$2:$AJ$1001,MATCH(ROWS($AH$2:AH599),$AH$2:$AH$1001,0),0), INDEX($AO$1004:$BQ$1004,1,MATCH(COLUMNS($AO$1006:BO1006),$AO$1006:$BQ$1006,0)))),"Fix")))</f>
        <v>#N/A</v>
      </c>
      <c r="AC599" s="5" t="e">
        <f ca="1">IF(OR(INDEX($AI$2:$AI$1001,MATCH(ROWS($AH$2:AH599),$AH$2:$AH$1001,0),1)&gt;=100000,INDEX($AO$1005:$BQ$1005,1,MATCH(COLUMNS($AO$1006:BP1006),$AO$1006:$BQ$1006,0))&gt;=100000), " ",IF(INDEX($AO$2:$BQ$1001,MATCH(ROWS($AH$2:AH599),$AH$2:$AH$1001,0),MATCH(COLUMNS($AO$1006:BP1006),$AO$1006:$BQ$1006,0)), HYPERLINK("#",""), HYPERLINK(CONCATENATE("#Metadata!", ADDRESS(INDEX($AJ$2:$AJ$1001,MATCH(ROWS($AH$2:AH599),$AH$2:$AH$1001,0),0), INDEX($AO$1004:$BQ$1004,1,MATCH(COLUMNS($AO$1006:BP1006),$AO$1006:$BQ$1006,0)))),"Fix")))</f>
        <v>#N/A</v>
      </c>
      <c r="AD599" s="5" t="e">
        <f ca="1">IF(OR(INDEX($AI$2:$AI$1001,MATCH(ROWS($AH$2:AH599),$AH$2:$AH$1001,0),1)&gt;=100000,INDEX($AO$1005:$BQ$1005,1,MATCH(COLUMNS($AO$1006:BQ1006),$AO$1006:$BQ$1006,0))&gt;=100000), " ",IF(INDEX($AO$2:$BQ$1001,MATCH(ROWS($AH$2:AH599),$AH$2:$AH$1001,0),MATCH(COLUMNS($AO$1006:BQ1006),$AO$1006:$BQ$1006,0)), HYPERLINK("#",""), HYPERLINK(CONCATENATE("#Metadata!", ADDRESS(INDEX($AJ$2:$AJ$1001,MATCH(ROWS($AH$2:AH599),$AH$2:$AH$1001,0),0), INDEX($AO$1004:$BQ$1004,1,MATCH(COLUMNS($AO$1006:BQ1006),$AO$1006:$BQ$1006,0)))),"Fix")))</f>
        <v>#REF!</v>
      </c>
      <c r="AH599">
        <f ca="1"/>
        <v>596</v>
      </c>
      <c r="AI599">
        <v>100599</v>
      </c>
      <c r="AJ599">
        <v>599</v>
      </c>
      <c r="AK599" t="b">
        <f t="shared" si="9"/>
        <v>1</v>
      </c>
      <c r="AL599" t="b">
        <f>COUNTBLANK(Metadata!B599:AD599)=COLUMNS(Metadata!B599:AD599)</f>
        <v>1</v>
      </c>
      <c r="AM599" t="str">
        <v/>
      </c>
      <c r="AO599" t="b">
        <f ca="1">AND(IF(Metadata!B599="",FALSE,TRUE),COUNTIF(Metadata!B:B, Metadata!B599) = 1,NOT(ISERROR(SUMPRODUCT(SEARCH(MID(Metadata!B599,ROW(INDIRECT("1:"&amp;LEN(Metadata!B599))), 1),"0123456789abcdefghijklmnopqrstuvwxyzABCDEFGHIJKLMNOPQRSTUVWXYZ.")))))</f>
        <v>0</v>
      </c>
      <c r="AP599" t="b">
        <f>IF(Metadata!C599="",FALSE,TRUE)</f>
        <v>0</v>
      </c>
      <c r="AQ599" t="b">
        <f>IF(Metadata!D599="",FALSE,TRUE)</f>
        <v>0</v>
      </c>
      <c r="AR599" t="b">
        <f ca="1">OR(AND(IF(Metadata!E599="",FALSE,TRUE),OR(EXACT(Metadata!E599,"not collected"),EXACT(Metadata!E599,"not provided"),EXACT(Metadata!E599,"restricted access"))),AND(IF(Metadata!E599="",FALSE,TRUE),AND(AND(IFERROR(INT(LEFT(Metadata!E599,4))&gt;1900,FALSE),IFERROR(INT(LEFT(Metadata!E599,4))&lt;=YEAR(NOW()),FALSE)), OR(MID(Metadata!E599,5,1)="", AND(AND(MID(Metadata!E599,5,1)="-",IFERROR(INT(MID(Metadata!E599,6,1))&gt;=0,FALSE),IFERROR(INT(MID(Metadata!E599,6,1))&lt;=1,FALSE),NOT(MID(Metadata!E599,7,1)=""),IFERROR(INT(MID(Metadata!E599,6,2))&gt;=1,FALSE),IFERROR(INT(MID(Metadata!E599,6,2))&lt;=12,FALSE)), OR(MID(Metadata!E599,8,1)="", AND(AND(MID(Metadata!E599,8,1)="-",IFERROR(INT(MID(Metadata!E599,9,1))&gt;=0,FALSE),IFERROR(INT(MID(Metadata!E599,9,1))&lt;=3,FALSE),NOT(MID(Metadata!E599,10,1)=""),IFERROR(INT(MID(Metadata!E599,9,2))&gt;=1,FALSE),IFERROR(INT(MID(Metadata!E599,9,2))&lt;=31,FALSE)), OR(MID(Metadata!E599,11,1)="", AND(AND(MID(Metadata!E599,11,1)=" ",IFERROR(INT(MID(Metadata!E599,12,1))&gt;=0,FALSE),IFERROR(INT(MID(Metadata!E599,12,1))&lt;=2,FALSE),NOT(MID(Metadata!E599,13,1)=""),IFERROR(INT(MID(Metadata!E599,12,2))&gt;=0,FALSE),IFERROR(INT(MID(Metadata!E599,12,2))&lt;=23,FALSE)), OR(MID(Metadata!E599,14,1)="", AND(AND(MID(Metadata!E599,14,1)=":",IFERROR(INT(MID(Metadata!E599,15,1))&gt;=0,FALSE),IFERROR(INT(MID(Metadata!E599,15,1))&lt;=5,FALSE),NOT(MID(Metadata!E599,16,1)=""),IFERROR(INT(MID(Metadata!E599,15,2))&gt;=0,FALSE),IFERROR(INT(MID(Metadata!E599,15,2))&lt;=59,FALSE)), OR(MID(Metadata!E599,17,1)="", AND(AND(MID(Metadata!E599,17,1)=":",IFERROR(INT(MID(Metadata!E599,18,1))&gt;=0,FALSE),IFERROR(INT(MID(Metadata!E599,18,1))&lt;=5,FALSE),NOT(MID(Metadata!E599,19,1)=""),IFERROR(INT(MID(Metadata!E599,18,2))&gt;=0,FALSE),IFERROR(INT(MID(Metadata!E599,18,2))&lt;=59,FALSE)), LEN(Metadata!E599)&lt;=19)))))))))))))</f>
        <v>0</v>
      </c>
      <c r="AS599" t="b">
        <f>IF(Metadata!F599="",FALSE,TRUE)</f>
        <v>0</v>
      </c>
      <c r="AT599" t="b">
        <f>OR(AND(IF(Metadata!G599="",FALSE,TRUE),OR(EXACT(Metadata!G599,"not collected"),EXACT(Metadata!G599,"not provided"))),AND(IF(Metadata!G599="",FALSE,TRUE),OR(EXACT(Metadata!G599,"TRUE"),EXACT(Metadata!G599,"FALSE"))))</f>
        <v>0</v>
      </c>
      <c r="AU599" t="b">
        <f>OR(AND(IF(Metadata!H599="",FALSE,TRUE),OR(EXACT(Metadata!H599,"not collected"),EXACT(Metadata!H599,"not provided"),EXACT(Metadata!H599,"restricted access"))),AND(IF(Metadata!H599="",FALSE,ISNUMBER(VALUE(Metadata!H599))),Metadata!H599&gt;=-413))</f>
        <v>0</v>
      </c>
      <c r="AV599" t="b">
        <f>AND(IF(Metadata!I599="",FALSE,TRUE),EXACT(Metadata!I599,"meters"))</f>
        <v>0</v>
      </c>
      <c r="AW599" t="b">
        <f>AND(IF(Metadata!J599="",FALSE,TRUE),EXACT(Metadata!J599,"free-living"))</f>
        <v>0</v>
      </c>
      <c r="AX599" t="b">
        <f>AND(IF(Metadata!K599="",FALSE,TRUE),OR(EXACT(Metadata!K599,"saline"),EXACT(Metadata!K599,"non-saline")))</f>
        <v>0</v>
      </c>
      <c r="AY599" t="b">
        <f>AND(IF(Metadata!L599="",FALSE,TRUE),OR(EXACT(Metadata!L599,"sub-surface (non-saline)"),EXACT(Metadata!L599,"surface (non-saline)"),EXACT(Metadata!L599,"water (non-saline)"),EXACT(Metadata!L599,"soil (non-saline)"),EXACT(Metadata!L599,"aerosol (non-saline)"),EXACT(Metadata!L599,"sediment (non-saline)"),EXACT(Metadata!L599,"surface (saline)"),EXACT(Metadata!L599,"water (saline)"),EXACT(Metadata!L599,"hypersaline (saline)"),EXACT(Metadata!L599,"aerosol (saline)"),EXACT(Metadata!L599,"sediment (saline)")))</f>
        <v>0</v>
      </c>
      <c r="AZ599" t="b">
        <f>IF(Metadata!M599="",FALSE,TRUE)</f>
        <v>0</v>
      </c>
      <c r="BA599" t="b">
        <f>IF(Metadata!N599="",FALSE,TRUE)</f>
        <v>0</v>
      </c>
      <c r="BB599" t="b">
        <f>IF(Metadata!O599="",FALSE,TRUE)</f>
        <v>0</v>
      </c>
      <c r="BC599" t="b">
        <f>AND(IF(Metadata!P599="",FALSE,TRUE),OR(EXACT(Metadata!P599,"air"),EXACT(Metadata!P599,"microbial mat/biofilm"),EXACT(Metadata!P599,"misc environment"),EXACT(Metadata!P599,"sediment"),EXACT(Metadata!P599,"soil"),EXACT(Metadata!P599,"wastewater/sludge"),EXACT(Metadata!P599,"water")))</f>
        <v>0</v>
      </c>
      <c r="BD599" t="b">
        <f>IF(Metadata!Q599="",FALSE,TRUE)</f>
        <v>0</v>
      </c>
      <c r="BE599" t="b">
        <f>IF(Metadata!R599="",FALSE,TRUE)</f>
        <v>0</v>
      </c>
      <c r="BF599" t="b">
        <f>OR(AND(IF(Metadata!S599="",FALSE,TRUE),OR(EXACT(Metadata!S599,"not collected"),EXACT(Metadata!S599,"not provided"),EXACT(Metadata!S599,"restricted access"))),AND(IF(Metadata!S599="",FALSE,ISNUMBER(VALUE(Metadata!S599))),Metadata!S599&gt;=-90,Metadata!S599&lt;=90))</f>
        <v>0</v>
      </c>
      <c r="BG599" t="b">
        <f>AND(IF(Metadata!T599="",FALSE,TRUE),EXACT(Metadata!T599,"Decimal degrees"))</f>
        <v>0</v>
      </c>
      <c r="BH599" t="b">
        <f>OR(AND(IF(Metadata!U599="",FALSE,TRUE),OR(EXACT(Metadata!U599,"not applicable"),EXACT(Metadata!U599,"not collected"))),IF(Metadata!U599="",FALSE,TRUE))</f>
        <v>0</v>
      </c>
      <c r="BI599" t="b">
        <f>OR(AND(IF(Metadata!V599="",FALSE,TRUE),OR(EXACT(Metadata!V599,"not collected"),EXACT(Metadata!V599,"not provided"),EXACT(Metadata!V599,"restricted access"))),AND(IF(Metadata!V599="",FALSE,ISNUMBER(VALUE(Metadata!V599))),Metadata!V599&gt;=-180,Metadata!V599&lt;=180))</f>
        <v>0</v>
      </c>
      <c r="BJ599" t="b">
        <f>AND(IF(Metadata!W599="",FALSE,TRUE),EXACT(Metadata!W599,"Decimal degrees"))</f>
        <v>0</v>
      </c>
      <c r="BK599" t="b">
        <f>IF(Metadata!X599="",FALSE,TRUE)</f>
        <v>0</v>
      </c>
      <c r="BL599" t="b">
        <f>OR(AND(IF(Metadata!Y599="",FALSE,TRUE),OR(EXACT(Metadata!Y599,"not collected"),EXACT(Metadata!Y599,"not provided"),EXACT(Metadata!Y599,"restricted access"))),AND(IF(Metadata!Y599="",FALSE,TRUE),OR(EXACT(Metadata!Y599,"TRUE"),EXACT(Metadata!Y599,"FALSE"))))</f>
        <v>0</v>
      </c>
      <c r="BM599" t="b">
        <f>OR(AND(IF(Metadata!Z599="",FALSE,TRUE),EXACT(Metadata!Z599,"not applicable")),AND(IF(Metadata!Z599="",FALSE,TRUE),OR(EXACT(Metadata!Z599,"beer"),EXACT(Metadata!Z599,"cheese"),EXACT(Metadata!Z599,"fresh water"),EXACT(Metadata!Z599,"marine sediment"),EXACT(Metadata!Z599,"sea water"),EXACT(Metadata!Z599,"sediment"),EXACT(Metadata!Z599,"soil"),EXACT(Metadata!Z599,"waste water"))))</f>
        <v>0</v>
      </c>
      <c r="BN599" t="b">
        <f>AND(IF(Metadata!AA599="",FALSE,TRUE),EXACT(Metadata!AA599,"metagenome"))</f>
        <v>0</v>
      </c>
      <c r="BO599" t="b">
        <f>AND(IF(Metadata!AB599="",FALSE,TRUE),EXACT(Metadata!AB599,"256318"))</f>
        <v>0</v>
      </c>
      <c r="BP599" t="b">
        <f>IF(Metadata!AC599="",FALSE,TRUE)</f>
        <v>0</v>
      </c>
      <c r="BQ599" t="b">
        <f>IF(Metadata!AD599="",FALSE,TRUE)</f>
        <v>0</v>
      </c>
    </row>
    <row r="600" spans="1:69" x14ac:dyDescent="0.2">
      <c r="A600" s="4" t="e">
        <f ca="1">IF(B600=" "," ",HYPERLINK(CONCATENATE("#metadata!",ADDRESS(INDEX($AJ$2:$AJ$1001,MATCH(ROWS($AH$2:AH600),$AH$2:$AH$1001,0),0),2)),INDEX($AM$2:$AM$1001,MATCH(ROWS($AH$2:AH600),$AH$2:$AH$1001,0),0)))</f>
        <v>#N/A</v>
      </c>
      <c r="B600" s="5" t="e">
        <f ca="1">IF(OR(INDEX($AI$2:$AI$1001,MATCH(ROWS($AH$2:AH600),$AH$2:$AH$1001,0),1)&gt;=100000,INDEX($AO$1005:$BQ$1005,1,MATCH(COLUMNS($AO$1006:AO1006),$AO$1006:$BQ$1006,0))&gt;=100000), " ",IF(INDEX($AO$2:$BQ$1001,MATCH(ROWS($AH$2:AH600),$AH$2:$AH$1001,0),MATCH(COLUMNS($AO$1006:AO1006),$AO$1006:$BQ$1006,0)), HYPERLINK("#",""), HYPERLINK(CONCATENATE("#Metadata!", ADDRESS(INDEX($AJ$2:$AJ$1001,MATCH(ROWS($AH$2:AH600),$AH$2:$AH$1001,0),0), INDEX($AO$1004:$BQ$1004,1,MATCH(COLUMNS($AO$1006:AO1006),$AO$1006:$BQ$1006,0)))),"Fix")))</f>
        <v>#N/A</v>
      </c>
      <c r="C600" s="5" t="e">
        <f ca="1">IF(OR(INDEX($AI$2:$AI$1001,MATCH(ROWS($AH$2:AH600),$AH$2:$AH$1001,0),1)&gt;=100000,INDEX($AO$1005:$BQ$1005,1,MATCH(COLUMNS($AO$1006:AP1006),$AO$1006:$BQ$1006,0))&gt;=100000), " ",IF(INDEX($AO$2:$BQ$1001,MATCH(ROWS($AH$2:AH600),$AH$2:$AH$1001,0),MATCH(COLUMNS($AO$1006:AP1006),$AO$1006:$BQ$1006,0)), HYPERLINK("#",""), HYPERLINK(CONCATENATE("#Metadata!", ADDRESS(INDEX($AJ$2:$AJ$1001,MATCH(ROWS($AH$2:AH600),$AH$2:$AH$1001,0),0), INDEX($AO$1004:$BQ$1004,1,MATCH(COLUMNS($AO$1006:AP1006),$AO$1006:$BQ$1006,0)))),"Fix")))</f>
        <v>#N/A</v>
      </c>
      <c r="D600" s="5" t="e">
        <f ca="1">IF(OR(INDEX($AI$2:$AI$1001,MATCH(ROWS($AH$2:AH600),$AH$2:$AH$1001,0),1)&gt;=100000,INDEX($AO$1005:$BQ$1005,1,MATCH(COLUMNS($AO$1006:AQ1006),$AO$1006:$BQ$1006,0))&gt;=100000), " ",IF(INDEX($AO$2:$BQ$1001,MATCH(ROWS($AH$2:AH600),$AH$2:$AH$1001,0),MATCH(COLUMNS($AO$1006:AQ1006),$AO$1006:$BQ$1006,0)), HYPERLINK("#",""), HYPERLINK(CONCATENATE("#Metadata!", ADDRESS(INDEX($AJ$2:$AJ$1001,MATCH(ROWS($AH$2:AH600),$AH$2:$AH$1001,0),0), INDEX($AO$1004:$BQ$1004,1,MATCH(COLUMNS($AO$1006:AQ1006),$AO$1006:$BQ$1006,0)))),"Fix")))</f>
        <v>#N/A</v>
      </c>
      <c r="E600" s="5" t="e">
        <f ca="1">IF(OR(INDEX($AI$2:$AI$1001,MATCH(ROWS($AH$2:AH600),$AH$2:$AH$1001,0),1)&gt;=100000,INDEX($AO$1005:$BQ$1005,1,MATCH(COLUMNS($AO$1006:AR1006),$AO$1006:$BQ$1006,0))&gt;=100000), " ",IF(INDEX($AO$2:$BQ$1001,MATCH(ROWS($AH$2:AH600),$AH$2:$AH$1001,0),MATCH(COLUMNS($AO$1006:AR1006),$AO$1006:$BQ$1006,0)), HYPERLINK("#",""), HYPERLINK(CONCATENATE("#Metadata!", ADDRESS(INDEX($AJ$2:$AJ$1001,MATCH(ROWS($AH$2:AH600),$AH$2:$AH$1001,0),0), INDEX($AO$1004:$BQ$1004,1,MATCH(COLUMNS($AO$1006:AR1006),$AO$1006:$BQ$1006,0)))),"Fix")))</f>
        <v>#N/A</v>
      </c>
      <c r="F600" s="5" t="e">
        <f ca="1">IF(OR(INDEX($AI$2:$AI$1001,MATCH(ROWS($AH$2:AH600),$AH$2:$AH$1001,0),1)&gt;=100000,INDEX($AO$1005:$BQ$1005,1,MATCH(COLUMNS($AO$1006:AS1006),$AO$1006:$BQ$1006,0))&gt;=100000), " ",IF(INDEX($AO$2:$BQ$1001,MATCH(ROWS($AH$2:AH600),$AH$2:$AH$1001,0),MATCH(COLUMNS($AO$1006:AS1006),$AO$1006:$BQ$1006,0)), HYPERLINK("#",""), HYPERLINK(CONCATENATE("#Metadata!", ADDRESS(INDEX($AJ$2:$AJ$1001,MATCH(ROWS($AH$2:AH600),$AH$2:$AH$1001,0),0), INDEX($AO$1004:$BQ$1004,1,MATCH(COLUMNS($AO$1006:AS1006),$AO$1006:$BQ$1006,0)))),"Fix")))</f>
        <v>#N/A</v>
      </c>
      <c r="G600" s="5" t="e">
        <f ca="1">IF(OR(INDEX($AI$2:$AI$1001,MATCH(ROWS($AH$2:AH600),$AH$2:$AH$1001,0),1)&gt;=100000,INDEX($AO$1005:$BQ$1005,1,MATCH(COLUMNS($AO$1006:AT1006),$AO$1006:$BQ$1006,0))&gt;=100000), " ",IF(INDEX($AO$2:$BQ$1001,MATCH(ROWS($AH$2:AH600),$AH$2:$AH$1001,0),MATCH(COLUMNS($AO$1006:AT1006),$AO$1006:$BQ$1006,0)), HYPERLINK("#",""), HYPERLINK(CONCATENATE("#Metadata!", ADDRESS(INDEX($AJ$2:$AJ$1001,MATCH(ROWS($AH$2:AH600),$AH$2:$AH$1001,0),0), INDEX($AO$1004:$BQ$1004,1,MATCH(COLUMNS($AO$1006:AT1006),$AO$1006:$BQ$1006,0)))),"Fix")))</f>
        <v>#N/A</v>
      </c>
      <c r="H600" s="5" t="e">
        <f ca="1">IF(OR(INDEX($AI$2:$AI$1001,MATCH(ROWS($AH$2:AH600),$AH$2:$AH$1001,0),1)&gt;=100000,INDEX($AO$1005:$BQ$1005,1,MATCH(COLUMNS($AO$1006:AU1006),$AO$1006:$BQ$1006,0))&gt;=100000), " ",IF(INDEX($AO$2:$BQ$1001,MATCH(ROWS($AH$2:AH600),$AH$2:$AH$1001,0),MATCH(COLUMNS($AO$1006:AU1006),$AO$1006:$BQ$1006,0)), HYPERLINK("#",""), HYPERLINK(CONCATENATE("#Metadata!", ADDRESS(INDEX($AJ$2:$AJ$1001,MATCH(ROWS($AH$2:AH600),$AH$2:$AH$1001,0),0), INDEX($AO$1004:$BQ$1004,1,MATCH(COLUMNS($AO$1006:AU1006),$AO$1006:$BQ$1006,0)))),"Fix")))</f>
        <v>#N/A</v>
      </c>
      <c r="I600" s="5" t="e">
        <f ca="1">IF(OR(INDEX($AI$2:$AI$1001,MATCH(ROWS($AH$2:AH600),$AH$2:$AH$1001,0),1)&gt;=100000,INDEX($AO$1005:$BQ$1005,1,MATCH(COLUMNS($AO$1006:AV1006),$AO$1006:$BQ$1006,0))&gt;=100000), " ",IF(INDEX($AO$2:$BQ$1001,MATCH(ROWS($AH$2:AH600),$AH$2:$AH$1001,0),MATCH(COLUMNS($AO$1006:AV1006),$AO$1006:$BQ$1006,0)), HYPERLINK("#",""), HYPERLINK(CONCATENATE("#Metadata!", ADDRESS(INDEX($AJ$2:$AJ$1001,MATCH(ROWS($AH$2:AH600),$AH$2:$AH$1001,0),0), INDEX($AO$1004:$BQ$1004,1,MATCH(COLUMNS($AO$1006:AV1006),$AO$1006:$BQ$1006,0)))),"Fix")))</f>
        <v>#N/A</v>
      </c>
      <c r="J600" s="5" t="e">
        <f ca="1">IF(OR(INDEX($AI$2:$AI$1001,MATCH(ROWS($AH$2:AH600),$AH$2:$AH$1001,0),1)&gt;=100000,INDEX($AO$1005:$BQ$1005,1,MATCH(COLUMNS($AO$1006:AW1006),$AO$1006:$BQ$1006,0))&gt;=100000), " ",IF(INDEX($AO$2:$BQ$1001,MATCH(ROWS($AH$2:AH600),$AH$2:$AH$1001,0),MATCH(COLUMNS($AO$1006:AW1006),$AO$1006:$BQ$1006,0)), HYPERLINK("#",""), HYPERLINK(CONCATENATE("#Metadata!", ADDRESS(INDEX($AJ$2:$AJ$1001,MATCH(ROWS($AH$2:AH600),$AH$2:$AH$1001,0),0), INDEX($AO$1004:$BQ$1004,1,MATCH(COLUMNS($AO$1006:AW1006),$AO$1006:$BQ$1006,0)))),"Fix")))</f>
        <v>#N/A</v>
      </c>
      <c r="K600" s="5" t="e">
        <f ca="1">IF(OR(INDEX($AI$2:$AI$1001,MATCH(ROWS($AH$2:AH600),$AH$2:$AH$1001,0),1)&gt;=100000,INDEX($AO$1005:$BQ$1005,1,MATCH(COLUMNS($AO$1006:AX1006),$AO$1006:$BQ$1006,0))&gt;=100000), " ",IF(INDEX($AO$2:$BQ$1001,MATCH(ROWS($AH$2:AH600),$AH$2:$AH$1001,0),MATCH(COLUMNS($AO$1006:AX1006),$AO$1006:$BQ$1006,0)), HYPERLINK("#",""), HYPERLINK(CONCATENATE("#Metadata!", ADDRESS(INDEX($AJ$2:$AJ$1001,MATCH(ROWS($AH$2:AH600),$AH$2:$AH$1001,0),0), INDEX($AO$1004:$BQ$1004,1,MATCH(COLUMNS($AO$1006:AX1006),$AO$1006:$BQ$1006,0)))),"Fix")))</f>
        <v>#N/A</v>
      </c>
      <c r="L600" s="5" t="e">
        <f ca="1">IF(OR(INDEX($AI$2:$AI$1001,MATCH(ROWS($AH$2:AH600),$AH$2:$AH$1001,0),1)&gt;=100000,INDEX($AO$1005:$BQ$1005,1,MATCH(COLUMNS($AO$1006:AY1006),$AO$1006:$BQ$1006,0))&gt;=100000), " ",IF(INDEX($AO$2:$BQ$1001,MATCH(ROWS($AH$2:AH600),$AH$2:$AH$1001,0),MATCH(COLUMNS($AO$1006:AY1006),$AO$1006:$BQ$1006,0)), HYPERLINK("#",""), HYPERLINK(CONCATENATE("#Metadata!", ADDRESS(INDEX($AJ$2:$AJ$1001,MATCH(ROWS($AH$2:AH600),$AH$2:$AH$1001,0),0), INDEX($AO$1004:$BQ$1004,1,MATCH(COLUMNS($AO$1006:AY1006),$AO$1006:$BQ$1006,0)))),"Fix")))</f>
        <v>#N/A</v>
      </c>
      <c r="M600" s="5" t="e">
        <f ca="1">IF(OR(INDEX($AI$2:$AI$1001,MATCH(ROWS($AH$2:AH600),$AH$2:$AH$1001,0),1)&gt;=100000,INDEX($AO$1005:$BQ$1005,1,MATCH(COLUMNS($AO$1006:AZ1006),$AO$1006:$BQ$1006,0))&gt;=100000), " ",IF(INDEX($AO$2:$BQ$1001,MATCH(ROWS($AH$2:AH600),$AH$2:$AH$1001,0),MATCH(COLUMNS($AO$1006:AZ1006),$AO$1006:$BQ$1006,0)), HYPERLINK("#",""), HYPERLINK(CONCATENATE("#Metadata!", ADDRESS(INDEX($AJ$2:$AJ$1001,MATCH(ROWS($AH$2:AH600),$AH$2:$AH$1001,0),0), INDEX($AO$1004:$BQ$1004,1,MATCH(COLUMNS($AO$1006:AZ1006),$AO$1006:$BQ$1006,0)))),"Fix")))</f>
        <v>#N/A</v>
      </c>
      <c r="N600" s="5" t="e">
        <f ca="1">IF(OR(INDEX($AI$2:$AI$1001,MATCH(ROWS($AH$2:AH600),$AH$2:$AH$1001,0),1)&gt;=100000,INDEX($AO$1005:$BQ$1005,1,MATCH(COLUMNS($AO$1006:BA1006),$AO$1006:$BQ$1006,0))&gt;=100000), " ",IF(INDEX($AO$2:$BQ$1001,MATCH(ROWS($AH$2:AH600),$AH$2:$AH$1001,0),MATCH(COLUMNS($AO$1006:BA1006),$AO$1006:$BQ$1006,0)), HYPERLINK("#",""), HYPERLINK(CONCATENATE("#Metadata!", ADDRESS(INDEX($AJ$2:$AJ$1001,MATCH(ROWS($AH$2:AH600),$AH$2:$AH$1001,0),0), INDEX($AO$1004:$BQ$1004,1,MATCH(COLUMNS($AO$1006:BA1006),$AO$1006:$BQ$1006,0)))),"Fix")))</f>
        <v>#N/A</v>
      </c>
      <c r="O600" s="5" t="e">
        <f ca="1">IF(OR(INDEX($AI$2:$AI$1001,MATCH(ROWS($AH$2:AH600),$AH$2:$AH$1001,0),1)&gt;=100000,INDEX($AO$1005:$BQ$1005,1,MATCH(COLUMNS($AO$1006:BB1006),$AO$1006:$BQ$1006,0))&gt;=100000), " ",IF(INDEX($AO$2:$BQ$1001,MATCH(ROWS($AH$2:AH600),$AH$2:$AH$1001,0),MATCH(COLUMNS($AO$1006:BB1006),$AO$1006:$BQ$1006,0)), HYPERLINK("#",""), HYPERLINK(CONCATENATE("#Metadata!", ADDRESS(INDEX($AJ$2:$AJ$1001,MATCH(ROWS($AH$2:AH600),$AH$2:$AH$1001,0),0), INDEX($AO$1004:$BQ$1004,1,MATCH(COLUMNS($AO$1006:BB1006),$AO$1006:$BQ$1006,0)))),"Fix")))</f>
        <v>#N/A</v>
      </c>
      <c r="P600" s="5" t="e">
        <f ca="1">IF(OR(INDEX($AI$2:$AI$1001,MATCH(ROWS($AH$2:AH600),$AH$2:$AH$1001,0),1)&gt;=100000,INDEX($AO$1005:$BQ$1005,1,MATCH(COLUMNS($AO$1006:BC1006),$AO$1006:$BQ$1006,0))&gt;=100000), " ",IF(INDEX($AO$2:$BQ$1001,MATCH(ROWS($AH$2:AH600),$AH$2:$AH$1001,0),MATCH(COLUMNS($AO$1006:BC1006),$AO$1006:$BQ$1006,0)), HYPERLINK("#",""), HYPERLINK(CONCATENATE("#Metadata!", ADDRESS(INDEX($AJ$2:$AJ$1001,MATCH(ROWS($AH$2:AH600),$AH$2:$AH$1001,0),0), INDEX($AO$1004:$BQ$1004,1,MATCH(COLUMNS($AO$1006:BC1006),$AO$1006:$BQ$1006,0)))),"Fix")))</f>
        <v>#N/A</v>
      </c>
      <c r="Q600" s="5" t="e">
        <f ca="1">IF(OR(INDEX($AI$2:$AI$1001,MATCH(ROWS($AH$2:AH600),$AH$2:$AH$1001,0),1)&gt;=100000,INDEX($AO$1005:$BQ$1005,1,MATCH(COLUMNS($AO$1006:BD1006),$AO$1006:$BQ$1006,0))&gt;=100000), " ",IF(INDEX($AO$2:$BQ$1001,MATCH(ROWS($AH$2:AH600),$AH$2:$AH$1001,0),MATCH(COLUMNS($AO$1006:BD1006),$AO$1006:$BQ$1006,0)), HYPERLINK("#",""), HYPERLINK(CONCATENATE("#Metadata!", ADDRESS(INDEX($AJ$2:$AJ$1001,MATCH(ROWS($AH$2:AH600),$AH$2:$AH$1001,0),0), INDEX($AO$1004:$BQ$1004,1,MATCH(COLUMNS($AO$1006:BD1006),$AO$1006:$BQ$1006,0)))),"Fix")))</f>
        <v>#N/A</v>
      </c>
      <c r="R600" s="5" t="e">
        <f ca="1">IF(OR(INDEX($AI$2:$AI$1001,MATCH(ROWS($AH$2:AH600),$AH$2:$AH$1001,0),1)&gt;=100000,INDEX($AO$1005:$BQ$1005,1,MATCH(COLUMNS($AO$1006:BE1006),$AO$1006:$BQ$1006,0))&gt;=100000), " ",IF(INDEX($AO$2:$BQ$1001,MATCH(ROWS($AH$2:AH600),$AH$2:$AH$1001,0),MATCH(COLUMNS($AO$1006:BE1006),$AO$1006:$BQ$1006,0)), HYPERLINK("#",""), HYPERLINK(CONCATENATE("#Metadata!", ADDRESS(INDEX($AJ$2:$AJ$1001,MATCH(ROWS($AH$2:AH600),$AH$2:$AH$1001,0),0), INDEX($AO$1004:$BQ$1004,1,MATCH(COLUMNS($AO$1006:BE1006),$AO$1006:$BQ$1006,0)))),"Fix")))</f>
        <v>#N/A</v>
      </c>
      <c r="S600" s="5" t="e">
        <f ca="1">IF(OR(INDEX($AI$2:$AI$1001,MATCH(ROWS($AH$2:AH600),$AH$2:$AH$1001,0),1)&gt;=100000,INDEX($AO$1005:$BQ$1005,1,MATCH(COLUMNS($AO$1006:BF1006),$AO$1006:$BQ$1006,0))&gt;=100000), " ",IF(INDEX($AO$2:$BQ$1001,MATCH(ROWS($AH$2:AH600),$AH$2:$AH$1001,0),MATCH(COLUMNS($AO$1006:BF1006),$AO$1006:$BQ$1006,0)), HYPERLINK("#",""), HYPERLINK(CONCATENATE("#Metadata!", ADDRESS(INDEX($AJ$2:$AJ$1001,MATCH(ROWS($AH$2:AH600),$AH$2:$AH$1001,0),0), INDEX($AO$1004:$BQ$1004,1,MATCH(COLUMNS($AO$1006:BF1006),$AO$1006:$BQ$1006,0)))),"Fix")))</f>
        <v>#N/A</v>
      </c>
      <c r="T600" s="5" t="e">
        <f ca="1">IF(OR(INDEX($AI$2:$AI$1001,MATCH(ROWS($AH$2:AH600),$AH$2:$AH$1001,0),1)&gt;=100000,INDEX($AO$1005:$BQ$1005,1,MATCH(COLUMNS($AO$1006:BG1006),$AO$1006:$BQ$1006,0))&gt;=100000), " ",IF(INDEX($AO$2:$BQ$1001,MATCH(ROWS($AH$2:AH600),$AH$2:$AH$1001,0),MATCH(COLUMNS($AO$1006:BG1006),$AO$1006:$BQ$1006,0)), HYPERLINK("#",""), HYPERLINK(CONCATENATE("#Metadata!", ADDRESS(INDEX($AJ$2:$AJ$1001,MATCH(ROWS($AH$2:AH600),$AH$2:$AH$1001,0),0), INDEX($AO$1004:$BQ$1004,1,MATCH(COLUMNS($AO$1006:BG1006),$AO$1006:$BQ$1006,0)))),"Fix")))</f>
        <v>#N/A</v>
      </c>
      <c r="U600" s="5" t="e">
        <f ca="1">IF(OR(INDEX($AI$2:$AI$1001,MATCH(ROWS($AH$2:AH600),$AH$2:$AH$1001,0),1)&gt;=100000,INDEX($AO$1005:$BQ$1005,1,MATCH(COLUMNS($AO$1006:BH1006),$AO$1006:$BQ$1006,0))&gt;=100000), " ",IF(INDEX($AO$2:$BQ$1001,MATCH(ROWS($AH$2:AH600),$AH$2:$AH$1001,0),MATCH(COLUMNS($AO$1006:BH1006),$AO$1006:$BQ$1006,0)), HYPERLINK("#",""), HYPERLINK(CONCATENATE("#Metadata!", ADDRESS(INDEX($AJ$2:$AJ$1001,MATCH(ROWS($AH$2:AH600),$AH$2:$AH$1001,0),0), INDEX($AO$1004:$BQ$1004,1,MATCH(COLUMNS($AO$1006:BH1006),$AO$1006:$BQ$1006,0)))),"Fix")))</f>
        <v>#N/A</v>
      </c>
      <c r="V600" s="5" t="e">
        <f ca="1">IF(OR(INDEX($AI$2:$AI$1001,MATCH(ROWS($AH$2:AH600),$AH$2:$AH$1001,0),1)&gt;=100000,INDEX($AO$1005:$BQ$1005,1,MATCH(COLUMNS($AO$1006:BI1006),$AO$1006:$BQ$1006,0))&gt;=100000), " ",IF(INDEX($AO$2:$BQ$1001,MATCH(ROWS($AH$2:AH600),$AH$2:$AH$1001,0),MATCH(COLUMNS($AO$1006:BI1006),$AO$1006:$BQ$1006,0)), HYPERLINK("#",""), HYPERLINK(CONCATENATE("#Metadata!", ADDRESS(INDEX($AJ$2:$AJ$1001,MATCH(ROWS($AH$2:AH600),$AH$2:$AH$1001,0),0), INDEX($AO$1004:$BQ$1004,1,MATCH(COLUMNS($AO$1006:BI1006),$AO$1006:$BQ$1006,0)))),"Fix")))</f>
        <v>#N/A</v>
      </c>
      <c r="W600" s="5" t="e">
        <f ca="1">IF(OR(INDEX($AI$2:$AI$1001,MATCH(ROWS($AH$2:AH600),$AH$2:$AH$1001,0),1)&gt;=100000,INDEX($AO$1005:$BQ$1005,1,MATCH(COLUMNS($AO$1006:BJ1006),$AO$1006:$BQ$1006,0))&gt;=100000), " ",IF(INDEX($AO$2:$BQ$1001,MATCH(ROWS($AH$2:AH600),$AH$2:$AH$1001,0),MATCH(COLUMNS($AO$1006:BJ1006),$AO$1006:$BQ$1006,0)), HYPERLINK("#",""), HYPERLINK(CONCATENATE("#Metadata!", ADDRESS(INDEX($AJ$2:$AJ$1001,MATCH(ROWS($AH$2:AH600),$AH$2:$AH$1001,0),0), INDEX($AO$1004:$BQ$1004,1,MATCH(COLUMNS($AO$1006:BJ1006),$AO$1006:$BQ$1006,0)))),"Fix")))</f>
        <v>#N/A</v>
      </c>
      <c r="X600" s="5" t="e">
        <f ca="1">IF(OR(INDEX($AI$2:$AI$1001,MATCH(ROWS($AH$2:AH600),$AH$2:$AH$1001,0),1)&gt;=100000,INDEX($AO$1005:$BQ$1005,1,MATCH(COLUMNS($AO$1006:BK1006),$AO$1006:$BQ$1006,0))&gt;=100000), " ",IF(INDEX($AO$2:$BQ$1001,MATCH(ROWS($AH$2:AH600),$AH$2:$AH$1001,0),MATCH(COLUMNS($AO$1006:BK1006),$AO$1006:$BQ$1006,0)), HYPERLINK("#",""), HYPERLINK(CONCATENATE("#Metadata!", ADDRESS(INDEX($AJ$2:$AJ$1001,MATCH(ROWS($AH$2:AH600),$AH$2:$AH$1001,0),0), INDEX($AO$1004:$BQ$1004,1,MATCH(COLUMNS($AO$1006:BK1006),$AO$1006:$BQ$1006,0)))),"Fix")))</f>
        <v>#N/A</v>
      </c>
      <c r="Y600" s="5" t="e">
        <f ca="1">IF(OR(INDEX($AI$2:$AI$1001,MATCH(ROWS($AH$2:AH600),$AH$2:$AH$1001,0),1)&gt;=100000,INDEX($AO$1005:$BQ$1005,1,MATCH(COLUMNS($AO$1006:BL1006),$AO$1006:$BQ$1006,0))&gt;=100000), " ",IF(INDEX($AO$2:$BQ$1001,MATCH(ROWS($AH$2:AH600),$AH$2:$AH$1001,0),MATCH(COLUMNS($AO$1006:BL1006),$AO$1006:$BQ$1006,0)), HYPERLINK("#",""), HYPERLINK(CONCATENATE("#Metadata!", ADDRESS(INDEX($AJ$2:$AJ$1001,MATCH(ROWS($AH$2:AH600),$AH$2:$AH$1001,0),0), INDEX($AO$1004:$BQ$1004,1,MATCH(COLUMNS($AO$1006:BL1006),$AO$1006:$BQ$1006,0)))),"Fix")))</f>
        <v>#N/A</v>
      </c>
      <c r="Z600" s="5" t="e">
        <f ca="1">IF(OR(INDEX($AI$2:$AI$1001,MATCH(ROWS($AH$2:AH600),$AH$2:$AH$1001,0),1)&gt;=100000,INDEX($AO$1005:$BQ$1005,1,MATCH(COLUMNS($AO$1006:BM1006),$AO$1006:$BQ$1006,0))&gt;=100000), " ",IF(INDEX($AO$2:$BQ$1001,MATCH(ROWS($AH$2:AH600),$AH$2:$AH$1001,0),MATCH(COLUMNS($AO$1006:BM1006),$AO$1006:$BQ$1006,0)), HYPERLINK("#",""), HYPERLINK(CONCATENATE("#Metadata!", ADDRESS(INDEX($AJ$2:$AJ$1001,MATCH(ROWS($AH$2:AH600),$AH$2:$AH$1001,0),0), INDEX($AO$1004:$BQ$1004,1,MATCH(COLUMNS($AO$1006:BM1006),$AO$1006:$BQ$1006,0)))),"Fix")))</f>
        <v>#N/A</v>
      </c>
      <c r="AA600" s="5" t="e">
        <f ca="1">IF(OR(INDEX($AI$2:$AI$1001,MATCH(ROWS($AH$2:AH600),$AH$2:$AH$1001,0),1)&gt;=100000,INDEX($AO$1005:$BQ$1005,1,MATCH(COLUMNS($AO$1006:BN1006),$AO$1006:$BQ$1006,0))&gt;=100000), " ",IF(INDEX($AO$2:$BQ$1001,MATCH(ROWS($AH$2:AH600),$AH$2:$AH$1001,0),MATCH(COLUMNS($AO$1006:BN1006),$AO$1006:$BQ$1006,0)), HYPERLINK("#",""), HYPERLINK(CONCATENATE("#Metadata!", ADDRESS(INDEX($AJ$2:$AJ$1001,MATCH(ROWS($AH$2:AH600),$AH$2:$AH$1001,0),0), INDEX($AO$1004:$BQ$1004,1,MATCH(COLUMNS($AO$1006:BN1006),$AO$1006:$BQ$1006,0)))),"Fix")))</f>
        <v>#N/A</v>
      </c>
      <c r="AB600" s="5" t="e">
        <f ca="1">IF(OR(INDEX($AI$2:$AI$1001,MATCH(ROWS($AH$2:AH600),$AH$2:$AH$1001,0),1)&gt;=100000,INDEX($AO$1005:$BQ$1005,1,MATCH(COLUMNS($AO$1006:BO1006),$AO$1006:$BQ$1006,0))&gt;=100000), " ",IF(INDEX($AO$2:$BQ$1001,MATCH(ROWS($AH$2:AH600),$AH$2:$AH$1001,0),MATCH(COLUMNS($AO$1006:BO1006),$AO$1006:$BQ$1006,0)), HYPERLINK("#",""), HYPERLINK(CONCATENATE("#Metadata!", ADDRESS(INDEX($AJ$2:$AJ$1001,MATCH(ROWS($AH$2:AH600),$AH$2:$AH$1001,0),0), INDEX($AO$1004:$BQ$1004,1,MATCH(COLUMNS($AO$1006:BO1006),$AO$1006:$BQ$1006,0)))),"Fix")))</f>
        <v>#N/A</v>
      </c>
      <c r="AC600" s="5" t="e">
        <f ca="1">IF(OR(INDEX($AI$2:$AI$1001,MATCH(ROWS($AH$2:AH600),$AH$2:$AH$1001,0),1)&gt;=100000,INDEX($AO$1005:$BQ$1005,1,MATCH(COLUMNS($AO$1006:BP1006),$AO$1006:$BQ$1006,0))&gt;=100000), " ",IF(INDEX($AO$2:$BQ$1001,MATCH(ROWS($AH$2:AH600),$AH$2:$AH$1001,0),MATCH(COLUMNS($AO$1006:BP1006),$AO$1006:$BQ$1006,0)), HYPERLINK("#",""), HYPERLINK(CONCATENATE("#Metadata!", ADDRESS(INDEX($AJ$2:$AJ$1001,MATCH(ROWS($AH$2:AH600),$AH$2:$AH$1001,0),0), INDEX($AO$1004:$BQ$1004,1,MATCH(COLUMNS($AO$1006:BP1006),$AO$1006:$BQ$1006,0)))),"Fix")))</f>
        <v>#N/A</v>
      </c>
      <c r="AD600" s="5" t="e">
        <f ca="1">IF(OR(INDEX($AI$2:$AI$1001,MATCH(ROWS($AH$2:AH600),$AH$2:$AH$1001,0),1)&gt;=100000,INDEX($AO$1005:$BQ$1005,1,MATCH(COLUMNS($AO$1006:BQ1006),$AO$1006:$BQ$1006,0))&gt;=100000), " ",IF(INDEX($AO$2:$BQ$1001,MATCH(ROWS($AH$2:AH600),$AH$2:$AH$1001,0),MATCH(COLUMNS($AO$1006:BQ1006),$AO$1006:$BQ$1006,0)), HYPERLINK("#",""), HYPERLINK(CONCATENATE("#Metadata!", ADDRESS(INDEX($AJ$2:$AJ$1001,MATCH(ROWS($AH$2:AH600),$AH$2:$AH$1001,0),0), INDEX($AO$1004:$BQ$1004,1,MATCH(COLUMNS($AO$1006:BQ1006),$AO$1006:$BQ$1006,0)))),"Fix")))</f>
        <v>#REF!</v>
      </c>
      <c r="AH600">
        <f ca="1"/>
        <v>597</v>
      </c>
      <c r="AI600">
        <v>100600</v>
      </c>
      <c r="AJ600">
        <v>600</v>
      </c>
      <c r="AK600" t="b">
        <f t="shared" si="9"/>
        <v>1</v>
      </c>
      <c r="AL600" t="b">
        <f>COUNTBLANK(Metadata!B600:AD600)=COLUMNS(Metadata!B600:AD600)</f>
        <v>1</v>
      </c>
      <c r="AM600" t="str">
        <v/>
      </c>
      <c r="AO600" t="b">
        <f ca="1">AND(IF(Metadata!B600="",FALSE,TRUE),COUNTIF(Metadata!B:B, Metadata!B600) = 1,NOT(ISERROR(SUMPRODUCT(SEARCH(MID(Metadata!B600,ROW(INDIRECT("1:"&amp;LEN(Metadata!B600))), 1),"0123456789abcdefghijklmnopqrstuvwxyzABCDEFGHIJKLMNOPQRSTUVWXYZ.")))))</f>
        <v>0</v>
      </c>
      <c r="AP600" t="b">
        <f>IF(Metadata!C600="",FALSE,TRUE)</f>
        <v>0</v>
      </c>
      <c r="AQ600" t="b">
        <f>IF(Metadata!D600="",FALSE,TRUE)</f>
        <v>0</v>
      </c>
      <c r="AR600" t="b">
        <f ca="1">OR(AND(IF(Metadata!E600="",FALSE,TRUE),OR(EXACT(Metadata!E600,"not collected"),EXACT(Metadata!E600,"not provided"),EXACT(Metadata!E600,"restricted access"))),AND(IF(Metadata!E600="",FALSE,TRUE),AND(AND(IFERROR(INT(LEFT(Metadata!E600,4))&gt;1900,FALSE),IFERROR(INT(LEFT(Metadata!E600,4))&lt;=YEAR(NOW()),FALSE)), OR(MID(Metadata!E600,5,1)="", AND(AND(MID(Metadata!E600,5,1)="-",IFERROR(INT(MID(Metadata!E600,6,1))&gt;=0,FALSE),IFERROR(INT(MID(Metadata!E600,6,1))&lt;=1,FALSE),NOT(MID(Metadata!E600,7,1)=""),IFERROR(INT(MID(Metadata!E600,6,2))&gt;=1,FALSE),IFERROR(INT(MID(Metadata!E600,6,2))&lt;=12,FALSE)), OR(MID(Metadata!E600,8,1)="", AND(AND(MID(Metadata!E600,8,1)="-",IFERROR(INT(MID(Metadata!E600,9,1))&gt;=0,FALSE),IFERROR(INT(MID(Metadata!E600,9,1))&lt;=3,FALSE),NOT(MID(Metadata!E600,10,1)=""),IFERROR(INT(MID(Metadata!E600,9,2))&gt;=1,FALSE),IFERROR(INT(MID(Metadata!E600,9,2))&lt;=31,FALSE)), OR(MID(Metadata!E600,11,1)="", AND(AND(MID(Metadata!E600,11,1)=" ",IFERROR(INT(MID(Metadata!E600,12,1))&gt;=0,FALSE),IFERROR(INT(MID(Metadata!E600,12,1))&lt;=2,FALSE),NOT(MID(Metadata!E600,13,1)=""),IFERROR(INT(MID(Metadata!E600,12,2))&gt;=0,FALSE),IFERROR(INT(MID(Metadata!E600,12,2))&lt;=23,FALSE)), OR(MID(Metadata!E600,14,1)="", AND(AND(MID(Metadata!E600,14,1)=":",IFERROR(INT(MID(Metadata!E600,15,1))&gt;=0,FALSE),IFERROR(INT(MID(Metadata!E600,15,1))&lt;=5,FALSE),NOT(MID(Metadata!E600,16,1)=""),IFERROR(INT(MID(Metadata!E600,15,2))&gt;=0,FALSE),IFERROR(INT(MID(Metadata!E600,15,2))&lt;=59,FALSE)), OR(MID(Metadata!E600,17,1)="", AND(AND(MID(Metadata!E600,17,1)=":",IFERROR(INT(MID(Metadata!E600,18,1))&gt;=0,FALSE),IFERROR(INT(MID(Metadata!E600,18,1))&lt;=5,FALSE),NOT(MID(Metadata!E600,19,1)=""),IFERROR(INT(MID(Metadata!E600,18,2))&gt;=0,FALSE),IFERROR(INT(MID(Metadata!E600,18,2))&lt;=59,FALSE)), LEN(Metadata!E600)&lt;=19)))))))))))))</f>
        <v>0</v>
      </c>
      <c r="AS600" t="b">
        <f>IF(Metadata!F600="",FALSE,TRUE)</f>
        <v>0</v>
      </c>
      <c r="AT600" t="b">
        <f>OR(AND(IF(Metadata!G600="",FALSE,TRUE),OR(EXACT(Metadata!G600,"not collected"),EXACT(Metadata!G600,"not provided"))),AND(IF(Metadata!G600="",FALSE,TRUE),OR(EXACT(Metadata!G600,"TRUE"),EXACT(Metadata!G600,"FALSE"))))</f>
        <v>0</v>
      </c>
      <c r="AU600" t="b">
        <f>OR(AND(IF(Metadata!H600="",FALSE,TRUE),OR(EXACT(Metadata!H600,"not collected"),EXACT(Metadata!H600,"not provided"),EXACT(Metadata!H600,"restricted access"))),AND(IF(Metadata!H600="",FALSE,ISNUMBER(VALUE(Metadata!H600))),Metadata!H600&gt;=-413))</f>
        <v>0</v>
      </c>
      <c r="AV600" t="b">
        <f>AND(IF(Metadata!I600="",FALSE,TRUE),EXACT(Metadata!I600,"meters"))</f>
        <v>0</v>
      </c>
      <c r="AW600" t="b">
        <f>AND(IF(Metadata!J600="",FALSE,TRUE),EXACT(Metadata!J600,"free-living"))</f>
        <v>0</v>
      </c>
      <c r="AX600" t="b">
        <f>AND(IF(Metadata!K600="",FALSE,TRUE),OR(EXACT(Metadata!K600,"saline"),EXACT(Metadata!K600,"non-saline")))</f>
        <v>0</v>
      </c>
      <c r="AY600" t="b">
        <f>AND(IF(Metadata!L600="",FALSE,TRUE),OR(EXACT(Metadata!L600,"sub-surface (non-saline)"),EXACT(Metadata!L600,"surface (non-saline)"),EXACT(Metadata!L600,"water (non-saline)"),EXACT(Metadata!L600,"soil (non-saline)"),EXACT(Metadata!L600,"aerosol (non-saline)"),EXACT(Metadata!L600,"sediment (non-saline)"),EXACT(Metadata!L600,"surface (saline)"),EXACT(Metadata!L600,"water (saline)"),EXACT(Metadata!L600,"hypersaline (saline)"),EXACT(Metadata!L600,"aerosol (saline)"),EXACT(Metadata!L600,"sediment (saline)")))</f>
        <v>0</v>
      </c>
      <c r="AZ600" t="b">
        <f>IF(Metadata!M600="",FALSE,TRUE)</f>
        <v>0</v>
      </c>
      <c r="BA600" t="b">
        <f>IF(Metadata!N600="",FALSE,TRUE)</f>
        <v>0</v>
      </c>
      <c r="BB600" t="b">
        <f>IF(Metadata!O600="",FALSE,TRUE)</f>
        <v>0</v>
      </c>
      <c r="BC600" t="b">
        <f>AND(IF(Metadata!P600="",FALSE,TRUE),OR(EXACT(Metadata!P600,"air"),EXACT(Metadata!P600,"microbial mat/biofilm"),EXACT(Metadata!P600,"misc environment"),EXACT(Metadata!P600,"sediment"),EXACT(Metadata!P600,"soil"),EXACT(Metadata!P600,"wastewater/sludge"),EXACT(Metadata!P600,"water")))</f>
        <v>0</v>
      </c>
      <c r="BD600" t="b">
        <f>IF(Metadata!Q600="",FALSE,TRUE)</f>
        <v>0</v>
      </c>
      <c r="BE600" t="b">
        <f>IF(Metadata!R600="",FALSE,TRUE)</f>
        <v>0</v>
      </c>
      <c r="BF600" t="b">
        <f>OR(AND(IF(Metadata!S600="",FALSE,TRUE),OR(EXACT(Metadata!S600,"not collected"),EXACT(Metadata!S600,"not provided"),EXACT(Metadata!S600,"restricted access"))),AND(IF(Metadata!S600="",FALSE,ISNUMBER(VALUE(Metadata!S600))),Metadata!S600&gt;=-90,Metadata!S600&lt;=90))</f>
        <v>0</v>
      </c>
      <c r="BG600" t="b">
        <f>AND(IF(Metadata!T600="",FALSE,TRUE),EXACT(Metadata!T600,"Decimal degrees"))</f>
        <v>0</v>
      </c>
      <c r="BH600" t="b">
        <f>OR(AND(IF(Metadata!U600="",FALSE,TRUE),OR(EXACT(Metadata!U600,"not applicable"),EXACT(Metadata!U600,"not collected"))),IF(Metadata!U600="",FALSE,TRUE))</f>
        <v>0</v>
      </c>
      <c r="BI600" t="b">
        <f>OR(AND(IF(Metadata!V600="",FALSE,TRUE),OR(EXACT(Metadata!V600,"not collected"),EXACT(Metadata!V600,"not provided"),EXACT(Metadata!V600,"restricted access"))),AND(IF(Metadata!V600="",FALSE,ISNUMBER(VALUE(Metadata!V600))),Metadata!V600&gt;=-180,Metadata!V600&lt;=180))</f>
        <v>0</v>
      </c>
      <c r="BJ600" t="b">
        <f>AND(IF(Metadata!W600="",FALSE,TRUE),EXACT(Metadata!W600,"Decimal degrees"))</f>
        <v>0</v>
      </c>
      <c r="BK600" t="b">
        <f>IF(Metadata!X600="",FALSE,TRUE)</f>
        <v>0</v>
      </c>
      <c r="BL600" t="b">
        <f>OR(AND(IF(Metadata!Y600="",FALSE,TRUE),OR(EXACT(Metadata!Y600,"not collected"),EXACT(Metadata!Y600,"not provided"),EXACT(Metadata!Y600,"restricted access"))),AND(IF(Metadata!Y600="",FALSE,TRUE),OR(EXACT(Metadata!Y600,"TRUE"),EXACT(Metadata!Y600,"FALSE"))))</f>
        <v>0</v>
      </c>
      <c r="BM600" t="b">
        <f>OR(AND(IF(Metadata!Z600="",FALSE,TRUE),EXACT(Metadata!Z600,"not applicable")),AND(IF(Metadata!Z600="",FALSE,TRUE),OR(EXACT(Metadata!Z600,"beer"),EXACT(Metadata!Z600,"cheese"),EXACT(Metadata!Z600,"fresh water"),EXACT(Metadata!Z600,"marine sediment"),EXACT(Metadata!Z600,"sea water"),EXACT(Metadata!Z600,"sediment"),EXACT(Metadata!Z600,"soil"),EXACT(Metadata!Z600,"waste water"))))</f>
        <v>0</v>
      </c>
      <c r="BN600" t="b">
        <f>AND(IF(Metadata!AA600="",FALSE,TRUE),EXACT(Metadata!AA600,"metagenome"))</f>
        <v>0</v>
      </c>
      <c r="BO600" t="b">
        <f>AND(IF(Metadata!AB600="",FALSE,TRUE),EXACT(Metadata!AB600,"256318"))</f>
        <v>0</v>
      </c>
      <c r="BP600" t="b">
        <f>IF(Metadata!AC600="",FALSE,TRUE)</f>
        <v>0</v>
      </c>
      <c r="BQ600" t="b">
        <f>IF(Metadata!AD600="",FALSE,TRUE)</f>
        <v>0</v>
      </c>
    </row>
    <row r="601" spans="1:69" x14ac:dyDescent="0.2">
      <c r="A601" s="4" t="e">
        <f ca="1">IF(B601=" "," ",HYPERLINK(CONCATENATE("#metadata!",ADDRESS(INDEX($AJ$2:$AJ$1001,MATCH(ROWS($AH$2:AH601),$AH$2:$AH$1001,0),0),2)),INDEX($AM$2:$AM$1001,MATCH(ROWS($AH$2:AH601),$AH$2:$AH$1001,0),0)))</f>
        <v>#N/A</v>
      </c>
      <c r="B601" s="5" t="e">
        <f ca="1">IF(OR(INDEX($AI$2:$AI$1001,MATCH(ROWS($AH$2:AH601),$AH$2:$AH$1001,0),1)&gt;=100000,INDEX($AO$1005:$BQ$1005,1,MATCH(COLUMNS($AO$1006:AO1006),$AO$1006:$BQ$1006,0))&gt;=100000), " ",IF(INDEX($AO$2:$BQ$1001,MATCH(ROWS($AH$2:AH601),$AH$2:$AH$1001,0),MATCH(COLUMNS($AO$1006:AO1006),$AO$1006:$BQ$1006,0)), HYPERLINK("#",""), HYPERLINK(CONCATENATE("#Metadata!", ADDRESS(INDEX($AJ$2:$AJ$1001,MATCH(ROWS($AH$2:AH601),$AH$2:$AH$1001,0),0), INDEX($AO$1004:$BQ$1004,1,MATCH(COLUMNS($AO$1006:AO1006),$AO$1006:$BQ$1006,0)))),"Fix")))</f>
        <v>#N/A</v>
      </c>
      <c r="C601" s="5" t="e">
        <f ca="1">IF(OR(INDEX($AI$2:$AI$1001,MATCH(ROWS($AH$2:AH601),$AH$2:$AH$1001,0),1)&gt;=100000,INDEX($AO$1005:$BQ$1005,1,MATCH(COLUMNS($AO$1006:AP1006),$AO$1006:$BQ$1006,0))&gt;=100000), " ",IF(INDEX($AO$2:$BQ$1001,MATCH(ROWS($AH$2:AH601),$AH$2:$AH$1001,0),MATCH(COLUMNS($AO$1006:AP1006),$AO$1006:$BQ$1006,0)), HYPERLINK("#",""), HYPERLINK(CONCATENATE("#Metadata!", ADDRESS(INDEX($AJ$2:$AJ$1001,MATCH(ROWS($AH$2:AH601),$AH$2:$AH$1001,0),0), INDEX($AO$1004:$BQ$1004,1,MATCH(COLUMNS($AO$1006:AP1006),$AO$1006:$BQ$1006,0)))),"Fix")))</f>
        <v>#N/A</v>
      </c>
      <c r="D601" s="5" t="e">
        <f ca="1">IF(OR(INDEX($AI$2:$AI$1001,MATCH(ROWS($AH$2:AH601),$AH$2:$AH$1001,0),1)&gt;=100000,INDEX($AO$1005:$BQ$1005,1,MATCH(COLUMNS($AO$1006:AQ1006),$AO$1006:$BQ$1006,0))&gt;=100000), " ",IF(INDEX($AO$2:$BQ$1001,MATCH(ROWS($AH$2:AH601),$AH$2:$AH$1001,0),MATCH(COLUMNS($AO$1006:AQ1006),$AO$1006:$BQ$1006,0)), HYPERLINK("#",""), HYPERLINK(CONCATENATE("#Metadata!", ADDRESS(INDEX($AJ$2:$AJ$1001,MATCH(ROWS($AH$2:AH601),$AH$2:$AH$1001,0),0), INDEX($AO$1004:$BQ$1004,1,MATCH(COLUMNS($AO$1006:AQ1006),$AO$1006:$BQ$1006,0)))),"Fix")))</f>
        <v>#N/A</v>
      </c>
      <c r="E601" s="5" t="e">
        <f ca="1">IF(OR(INDEX($AI$2:$AI$1001,MATCH(ROWS($AH$2:AH601),$AH$2:$AH$1001,0),1)&gt;=100000,INDEX($AO$1005:$BQ$1005,1,MATCH(COLUMNS($AO$1006:AR1006),$AO$1006:$BQ$1006,0))&gt;=100000), " ",IF(INDEX($AO$2:$BQ$1001,MATCH(ROWS($AH$2:AH601),$AH$2:$AH$1001,0),MATCH(COLUMNS($AO$1006:AR1006),$AO$1006:$BQ$1006,0)), HYPERLINK("#",""), HYPERLINK(CONCATENATE("#Metadata!", ADDRESS(INDEX($AJ$2:$AJ$1001,MATCH(ROWS($AH$2:AH601),$AH$2:$AH$1001,0),0), INDEX($AO$1004:$BQ$1004,1,MATCH(COLUMNS($AO$1006:AR1006),$AO$1006:$BQ$1006,0)))),"Fix")))</f>
        <v>#N/A</v>
      </c>
      <c r="F601" s="5" t="e">
        <f ca="1">IF(OR(INDEX($AI$2:$AI$1001,MATCH(ROWS($AH$2:AH601),$AH$2:$AH$1001,0),1)&gt;=100000,INDEX($AO$1005:$BQ$1005,1,MATCH(COLUMNS($AO$1006:AS1006),$AO$1006:$BQ$1006,0))&gt;=100000), " ",IF(INDEX($AO$2:$BQ$1001,MATCH(ROWS($AH$2:AH601),$AH$2:$AH$1001,0),MATCH(COLUMNS($AO$1006:AS1006),$AO$1006:$BQ$1006,0)), HYPERLINK("#",""), HYPERLINK(CONCATENATE("#Metadata!", ADDRESS(INDEX($AJ$2:$AJ$1001,MATCH(ROWS($AH$2:AH601),$AH$2:$AH$1001,0),0), INDEX($AO$1004:$BQ$1004,1,MATCH(COLUMNS($AO$1006:AS1006),$AO$1006:$BQ$1006,0)))),"Fix")))</f>
        <v>#N/A</v>
      </c>
      <c r="G601" s="5" t="e">
        <f ca="1">IF(OR(INDEX($AI$2:$AI$1001,MATCH(ROWS($AH$2:AH601),$AH$2:$AH$1001,0),1)&gt;=100000,INDEX($AO$1005:$BQ$1005,1,MATCH(COLUMNS($AO$1006:AT1006),$AO$1006:$BQ$1006,0))&gt;=100000), " ",IF(INDEX($AO$2:$BQ$1001,MATCH(ROWS($AH$2:AH601),$AH$2:$AH$1001,0),MATCH(COLUMNS($AO$1006:AT1006),$AO$1006:$BQ$1006,0)), HYPERLINK("#",""), HYPERLINK(CONCATENATE("#Metadata!", ADDRESS(INDEX($AJ$2:$AJ$1001,MATCH(ROWS($AH$2:AH601),$AH$2:$AH$1001,0),0), INDEX($AO$1004:$BQ$1004,1,MATCH(COLUMNS($AO$1006:AT1006),$AO$1006:$BQ$1006,0)))),"Fix")))</f>
        <v>#N/A</v>
      </c>
      <c r="H601" s="5" t="e">
        <f ca="1">IF(OR(INDEX($AI$2:$AI$1001,MATCH(ROWS($AH$2:AH601),$AH$2:$AH$1001,0),1)&gt;=100000,INDEX($AO$1005:$BQ$1005,1,MATCH(COLUMNS($AO$1006:AU1006),$AO$1006:$BQ$1006,0))&gt;=100000), " ",IF(INDEX($AO$2:$BQ$1001,MATCH(ROWS($AH$2:AH601),$AH$2:$AH$1001,0),MATCH(COLUMNS($AO$1006:AU1006),$AO$1006:$BQ$1006,0)), HYPERLINK("#",""), HYPERLINK(CONCATENATE("#Metadata!", ADDRESS(INDEX($AJ$2:$AJ$1001,MATCH(ROWS($AH$2:AH601),$AH$2:$AH$1001,0),0), INDEX($AO$1004:$BQ$1004,1,MATCH(COLUMNS($AO$1006:AU1006),$AO$1006:$BQ$1006,0)))),"Fix")))</f>
        <v>#N/A</v>
      </c>
      <c r="I601" s="5" t="e">
        <f ca="1">IF(OR(INDEX($AI$2:$AI$1001,MATCH(ROWS($AH$2:AH601),$AH$2:$AH$1001,0),1)&gt;=100000,INDEX($AO$1005:$BQ$1005,1,MATCH(COLUMNS($AO$1006:AV1006),$AO$1006:$BQ$1006,0))&gt;=100000), " ",IF(INDEX($AO$2:$BQ$1001,MATCH(ROWS($AH$2:AH601),$AH$2:$AH$1001,0),MATCH(COLUMNS($AO$1006:AV1006),$AO$1006:$BQ$1006,0)), HYPERLINK("#",""), HYPERLINK(CONCATENATE("#Metadata!", ADDRESS(INDEX($AJ$2:$AJ$1001,MATCH(ROWS($AH$2:AH601),$AH$2:$AH$1001,0),0), INDEX($AO$1004:$BQ$1004,1,MATCH(COLUMNS($AO$1006:AV1006),$AO$1006:$BQ$1006,0)))),"Fix")))</f>
        <v>#N/A</v>
      </c>
      <c r="J601" s="5" t="e">
        <f ca="1">IF(OR(INDEX($AI$2:$AI$1001,MATCH(ROWS($AH$2:AH601),$AH$2:$AH$1001,0),1)&gt;=100000,INDEX($AO$1005:$BQ$1005,1,MATCH(COLUMNS($AO$1006:AW1006),$AO$1006:$BQ$1006,0))&gt;=100000), " ",IF(INDEX($AO$2:$BQ$1001,MATCH(ROWS($AH$2:AH601),$AH$2:$AH$1001,0),MATCH(COLUMNS($AO$1006:AW1006),$AO$1006:$BQ$1006,0)), HYPERLINK("#",""), HYPERLINK(CONCATENATE("#Metadata!", ADDRESS(INDEX($AJ$2:$AJ$1001,MATCH(ROWS($AH$2:AH601),$AH$2:$AH$1001,0),0), INDEX($AO$1004:$BQ$1004,1,MATCH(COLUMNS($AO$1006:AW1006),$AO$1006:$BQ$1006,0)))),"Fix")))</f>
        <v>#N/A</v>
      </c>
      <c r="K601" s="5" t="e">
        <f ca="1">IF(OR(INDEX($AI$2:$AI$1001,MATCH(ROWS($AH$2:AH601),$AH$2:$AH$1001,0),1)&gt;=100000,INDEX($AO$1005:$BQ$1005,1,MATCH(COLUMNS($AO$1006:AX1006),$AO$1006:$BQ$1006,0))&gt;=100000), " ",IF(INDEX($AO$2:$BQ$1001,MATCH(ROWS($AH$2:AH601),$AH$2:$AH$1001,0),MATCH(COLUMNS($AO$1006:AX1006),$AO$1006:$BQ$1006,0)), HYPERLINK("#",""), HYPERLINK(CONCATENATE("#Metadata!", ADDRESS(INDEX($AJ$2:$AJ$1001,MATCH(ROWS($AH$2:AH601),$AH$2:$AH$1001,0),0), INDEX($AO$1004:$BQ$1004,1,MATCH(COLUMNS($AO$1006:AX1006),$AO$1006:$BQ$1006,0)))),"Fix")))</f>
        <v>#N/A</v>
      </c>
      <c r="L601" s="5" t="e">
        <f ca="1">IF(OR(INDEX($AI$2:$AI$1001,MATCH(ROWS($AH$2:AH601),$AH$2:$AH$1001,0),1)&gt;=100000,INDEX($AO$1005:$BQ$1005,1,MATCH(COLUMNS($AO$1006:AY1006),$AO$1006:$BQ$1006,0))&gt;=100000), " ",IF(INDEX($AO$2:$BQ$1001,MATCH(ROWS($AH$2:AH601),$AH$2:$AH$1001,0),MATCH(COLUMNS($AO$1006:AY1006),$AO$1006:$BQ$1006,0)), HYPERLINK("#",""), HYPERLINK(CONCATENATE("#Metadata!", ADDRESS(INDEX($AJ$2:$AJ$1001,MATCH(ROWS($AH$2:AH601),$AH$2:$AH$1001,0),0), INDEX($AO$1004:$BQ$1004,1,MATCH(COLUMNS($AO$1006:AY1006),$AO$1006:$BQ$1006,0)))),"Fix")))</f>
        <v>#N/A</v>
      </c>
      <c r="M601" s="5" t="e">
        <f ca="1">IF(OR(INDEX($AI$2:$AI$1001,MATCH(ROWS($AH$2:AH601),$AH$2:$AH$1001,0),1)&gt;=100000,INDEX($AO$1005:$BQ$1005,1,MATCH(COLUMNS($AO$1006:AZ1006),$AO$1006:$BQ$1006,0))&gt;=100000), " ",IF(INDEX($AO$2:$BQ$1001,MATCH(ROWS($AH$2:AH601),$AH$2:$AH$1001,0),MATCH(COLUMNS($AO$1006:AZ1006),$AO$1006:$BQ$1006,0)), HYPERLINK("#",""), HYPERLINK(CONCATENATE("#Metadata!", ADDRESS(INDEX($AJ$2:$AJ$1001,MATCH(ROWS($AH$2:AH601),$AH$2:$AH$1001,0),0), INDEX($AO$1004:$BQ$1004,1,MATCH(COLUMNS($AO$1006:AZ1006),$AO$1006:$BQ$1006,0)))),"Fix")))</f>
        <v>#N/A</v>
      </c>
      <c r="N601" s="5" t="e">
        <f ca="1">IF(OR(INDEX($AI$2:$AI$1001,MATCH(ROWS($AH$2:AH601),$AH$2:$AH$1001,0),1)&gt;=100000,INDEX($AO$1005:$BQ$1005,1,MATCH(COLUMNS($AO$1006:BA1006),$AO$1006:$BQ$1006,0))&gt;=100000), " ",IF(INDEX($AO$2:$BQ$1001,MATCH(ROWS($AH$2:AH601),$AH$2:$AH$1001,0),MATCH(COLUMNS($AO$1006:BA1006),$AO$1006:$BQ$1006,0)), HYPERLINK("#",""), HYPERLINK(CONCATENATE("#Metadata!", ADDRESS(INDEX($AJ$2:$AJ$1001,MATCH(ROWS($AH$2:AH601),$AH$2:$AH$1001,0),0), INDEX($AO$1004:$BQ$1004,1,MATCH(COLUMNS($AO$1006:BA1006),$AO$1006:$BQ$1006,0)))),"Fix")))</f>
        <v>#N/A</v>
      </c>
      <c r="O601" s="5" t="e">
        <f ca="1">IF(OR(INDEX($AI$2:$AI$1001,MATCH(ROWS($AH$2:AH601),$AH$2:$AH$1001,0),1)&gt;=100000,INDEX($AO$1005:$BQ$1005,1,MATCH(COLUMNS($AO$1006:BB1006),$AO$1006:$BQ$1006,0))&gt;=100000), " ",IF(INDEX($AO$2:$BQ$1001,MATCH(ROWS($AH$2:AH601),$AH$2:$AH$1001,0),MATCH(COLUMNS($AO$1006:BB1006),$AO$1006:$BQ$1006,0)), HYPERLINK("#",""), HYPERLINK(CONCATENATE("#Metadata!", ADDRESS(INDEX($AJ$2:$AJ$1001,MATCH(ROWS($AH$2:AH601),$AH$2:$AH$1001,0),0), INDEX($AO$1004:$BQ$1004,1,MATCH(COLUMNS($AO$1006:BB1006),$AO$1006:$BQ$1006,0)))),"Fix")))</f>
        <v>#N/A</v>
      </c>
      <c r="P601" s="5" t="e">
        <f ca="1">IF(OR(INDEX($AI$2:$AI$1001,MATCH(ROWS($AH$2:AH601),$AH$2:$AH$1001,0),1)&gt;=100000,INDEX($AO$1005:$BQ$1005,1,MATCH(COLUMNS($AO$1006:BC1006),$AO$1006:$BQ$1006,0))&gt;=100000), " ",IF(INDEX($AO$2:$BQ$1001,MATCH(ROWS($AH$2:AH601),$AH$2:$AH$1001,0),MATCH(COLUMNS($AO$1006:BC1006),$AO$1006:$BQ$1006,0)), HYPERLINK("#",""), HYPERLINK(CONCATENATE("#Metadata!", ADDRESS(INDEX($AJ$2:$AJ$1001,MATCH(ROWS($AH$2:AH601),$AH$2:$AH$1001,0),0), INDEX($AO$1004:$BQ$1004,1,MATCH(COLUMNS($AO$1006:BC1006),$AO$1006:$BQ$1006,0)))),"Fix")))</f>
        <v>#N/A</v>
      </c>
      <c r="Q601" s="5" t="e">
        <f ca="1">IF(OR(INDEX($AI$2:$AI$1001,MATCH(ROWS($AH$2:AH601),$AH$2:$AH$1001,0),1)&gt;=100000,INDEX($AO$1005:$BQ$1005,1,MATCH(COLUMNS($AO$1006:BD1006),$AO$1006:$BQ$1006,0))&gt;=100000), " ",IF(INDEX($AO$2:$BQ$1001,MATCH(ROWS($AH$2:AH601),$AH$2:$AH$1001,0),MATCH(COLUMNS($AO$1006:BD1006),$AO$1006:$BQ$1006,0)), HYPERLINK("#",""), HYPERLINK(CONCATENATE("#Metadata!", ADDRESS(INDEX($AJ$2:$AJ$1001,MATCH(ROWS($AH$2:AH601),$AH$2:$AH$1001,0),0), INDEX($AO$1004:$BQ$1004,1,MATCH(COLUMNS($AO$1006:BD1006),$AO$1006:$BQ$1006,0)))),"Fix")))</f>
        <v>#N/A</v>
      </c>
      <c r="R601" s="5" t="e">
        <f ca="1">IF(OR(INDEX($AI$2:$AI$1001,MATCH(ROWS($AH$2:AH601),$AH$2:$AH$1001,0),1)&gt;=100000,INDEX($AO$1005:$BQ$1005,1,MATCH(COLUMNS($AO$1006:BE1006),$AO$1006:$BQ$1006,0))&gt;=100000), " ",IF(INDEX($AO$2:$BQ$1001,MATCH(ROWS($AH$2:AH601),$AH$2:$AH$1001,0),MATCH(COLUMNS($AO$1006:BE1006),$AO$1006:$BQ$1006,0)), HYPERLINK("#",""), HYPERLINK(CONCATENATE("#Metadata!", ADDRESS(INDEX($AJ$2:$AJ$1001,MATCH(ROWS($AH$2:AH601),$AH$2:$AH$1001,0),0), INDEX($AO$1004:$BQ$1004,1,MATCH(COLUMNS($AO$1006:BE1006),$AO$1006:$BQ$1006,0)))),"Fix")))</f>
        <v>#N/A</v>
      </c>
      <c r="S601" s="5" t="e">
        <f ca="1">IF(OR(INDEX($AI$2:$AI$1001,MATCH(ROWS($AH$2:AH601),$AH$2:$AH$1001,0),1)&gt;=100000,INDEX($AO$1005:$BQ$1005,1,MATCH(COLUMNS($AO$1006:BF1006),$AO$1006:$BQ$1006,0))&gt;=100000), " ",IF(INDEX($AO$2:$BQ$1001,MATCH(ROWS($AH$2:AH601),$AH$2:$AH$1001,0),MATCH(COLUMNS($AO$1006:BF1006),$AO$1006:$BQ$1006,0)), HYPERLINK("#",""), HYPERLINK(CONCATENATE("#Metadata!", ADDRESS(INDEX($AJ$2:$AJ$1001,MATCH(ROWS($AH$2:AH601),$AH$2:$AH$1001,0),0), INDEX($AO$1004:$BQ$1004,1,MATCH(COLUMNS($AO$1006:BF1006),$AO$1006:$BQ$1006,0)))),"Fix")))</f>
        <v>#N/A</v>
      </c>
      <c r="T601" s="5" t="e">
        <f ca="1">IF(OR(INDEX($AI$2:$AI$1001,MATCH(ROWS($AH$2:AH601),$AH$2:$AH$1001,0),1)&gt;=100000,INDEX($AO$1005:$BQ$1005,1,MATCH(COLUMNS($AO$1006:BG1006),$AO$1006:$BQ$1006,0))&gt;=100000), " ",IF(INDEX($AO$2:$BQ$1001,MATCH(ROWS($AH$2:AH601),$AH$2:$AH$1001,0),MATCH(COLUMNS($AO$1006:BG1006),$AO$1006:$BQ$1006,0)), HYPERLINK("#",""), HYPERLINK(CONCATENATE("#Metadata!", ADDRESS(INDEX($AJ$2:$AJ$1001,MATCH(ROWS($AH$2:AH601),$AH$2:$AH$1001,0),0), INDEX($AO$1004:$BQ$1004,1,MATCH(COLUMNS($AO$1006:BG1006),$AO$1006:$BQ$1006,0)))),"Fix")))</f>
        <v>#N/A</v>
      </c>
      <c r="U601" s="5" t="e">
        <f ca="1">IF(OR(INDEX($AI$2:$AI$1001,MATCH(ROWS($AH$2:AH601),$AH$2:$AH$1001,0),1)&gt;=100000,INDEX($AO$1005:$BQ$1005,1,MATCH(COLUMNS($AO$1006:BH1006),$AO$1006:$BQ$1006,0))&gt;=100000), " ",IF(INDEX($AO$2:$BQ$1001,MATCH(ROWS($AH$2:AH601),$AH$2:$AH$1001,0),MATCH(COLUMNS($AO$1006:BH1006),$AO$1006:$BQ$1006,0)), HYPERLINK("#",""), HYPERLINK(CONCATENATE("#Metadata!", ADDRESS(INDEX($AJ$2:$AJ$1001,MATCH(ROWS($AH$2:AH601),$AH$2:$AH$1001,0),0), INDEX($AO$1004:$BQ$1004,1,MATCH(COLUMNS($AO$1006:BH1006),$AO$1006:$BQ$1006,0)))),"Fix")))</f>
        <v>#N/A</v>
      </c>
      <c r="V601" s="5" t="e">
        <f ca="1">IF(OR(INDEX($AI$2:$AI$1001,MATCH(ROWS($AH$2:AH601),$AH$2:$AH$1001,0),1)&gt;=100000,INDEX($AO$1005:$BQ$1005,1,MATCH(COLUMNS($AO$1006:BI1006),$AO$1006:$BQ$1006,0))&gt;=100000), " ",IF(INDEX($AO$2:$BQ$1001,MATCH(ROWS($AH$2:AH601),$AH$2:$AH$1001,0),MATCH(COLUMNS($AO$1006:BI1006),$AO$1006:$BQ$1006,0)), HYPERLINK("#",""), HYPERLINK(CONCATENATE("#Metadata!", ADDRESS(INDEX($AJ$2:$AJ$1001,MATCH(ROWS($AH$2:AH601),$AH$2:$AH$1001,0),0), INDEX($AO$1004:$BQ$1004,1,MATCH(COLUMNS($AO$1006:BI1006),$AO$1006:$BQ$1006,0)))),"Fix")))</f>
        <v>#N/A</v>
      </c>
      <c r="W601" s="5" t="e">
        <f ca="1">IF(OR(INDEX($AI$2:$AI$1001,MATCH(ROWS($AH$2:AH601),$AH$2:$AH$1001,0),1)&gt;=100000,INDEX($AO$1005:$BQ$1005,1,MATCH(COLUMNS($AO$1006:BJ1006),$AO$1006:$BQ$1006,0))&gt;=100000), " ",IF(INDEX($AO$2:$BQ$1001,MATCH(ROWS($AH$2:AH601),$AH$2:$AH$1001,0),MATCH(COLUMNS($AO$1006:BJ1006),$AO$1006:$BQ$1006,0)), HYPERLINK("#",""), HYPERLINK(CONCATENATE("#Metadata!", ADDRESS(INDEX($AJ$2:$AJ$1001,MATCH(ROWS($AH$2:AH601),$AH$2:$AH$1001,0),0), INDEX($AO$1004:$BQ$1004,1,MATCH(COLUMNS($AO$1006:BJ1006),$AO$1006:$BQ$1006,0)))),"Fix")))</f>
        <v>#N/A</v>
      </c>
      <c r="X601" s="5" t="e">
        <f ca="1">IF(OR(INDEX($AI$2:$AI$1001,MATCH(ROWS($AH$2:AH601),$AH$2:$AH$1001,0),1)&gt;=100000,INDEX($AO$1005:$BQ$1005,1,MATCH(COLUMNS($AO$1006:BK1006),$AO$1006:$BQ$1006,0))&gt;=100000), " ",IF(INDEX($AO$2:$BQ$1001,MATCH(ROWS($AH$2:AH601),$AH$2:$AH$1001,0),MATCH(COLUMNS($AO$1006:BK1006),$AO$1006:$BQ$1006,0)), HYPERLINK("#",""), HYPERLINK(CONCATENATE("#Metadata!", ADDRESS(INDEX($AJ$2:$AJ$1001,MATCH(ROWS($AH$2:AH601),$AH$2:$AH$1001,0),0), INDEX($AO$1004:$BQ$1004,1,MATCH(COLUMNS($AO$1006:BK1006),$AO$1006:$BQ$1006,0)))),"Fix")))</f>
        <v>#N/A</v>
      </c>
      <c r="Y601" s="5" t="e">
        <f ca="1">IF(OR(INDEX($AI$2:$AI$1001,MATCH(ROWS($AH$2:AH601),$AH$2:$AH$1001,0),1)&gt;=100000,INDEX($AO$1005:$BQ$1005,1,MATCH(COLUMNS($AO$1006:BL1006),$AO$1006:$BQ$1006,0))&gt;=100000), " ",IF(INDEX($AO$2:$BQ$1001,MATCH(ROWS($AH$2:AH601),$AH$2:$AH$1001,0),MATCH(COLUMNS($AO$1006:BL1006),$AO$1006:$BQ$1006,0)), HYPERLINK("#",""), HYPERLINK(CONCATENATE("#Metadata!", ADDRESS(INDEX($AJ$2:$AJ$1001,MATCH(ROWS($AH$2:AH601),$AH$2:$AH$1001,0),0), INDEX($AO$1004:$BQ$1004,1,MATCH(COLUMNS($AO$1006:BL1006),$AO$1006:$BQ$1006,0)))),"Fix")))</f>
        <v>#N/A</v>
      </c>
      <c r="Z601" s="5" t="e">
        <f ca="1">IF(OR(INDEX($AI$2:$AI$1001,MATCH(ROWS($AH$2:AH601),$AH$2:$AH$1001,0),1)&gt;=100000,INDEX($AO$1005:$BQ$1005,1,MATCH(COLUMNS($AO$1006:BM1006),$AO$1006:$BQ$1006,0))&gt;=100000), " ",IF(INDEX($AO$2:$BQ$1001,MATCH(ROWS($AH$2:AH601),$AH$2:$AH$1001,0),MATCH(COLUMNS($AO$1006:BM1006),$AO$1006:$BQ$1006,0)), HYPERLINK("#",""), HYPERLINK(CONCATENATE("#Metadata!", ADDRESS(INDEX($AJ$2:$AJ$1001,MATCH(ROWS($AH$2:AH601),$AH$2:$AH$1001,0),0), INDEX($AO$1004:$BQ$1004,1,MATCH(COLUMNS($AO$1006:BM1006),$AO$1006:$BQ$1006,0)))),"Fix")))</f>
        <v>#N/A</v>
      </c>
      <c r="AA601" s="5" t="e">
        <f ca="1">IF(OR(INDEX($AI$2:$AI$1001,MATCH(ROWS($AH$2:AH601),$AH$2:$AH$1001,0),1)&gt;=100000,INDEX($AO$1005:$BQ$1005,1,MATCH(COLUMNS($AO$1006:BN1006),$AO$1006:$BQ$1006,0))&gt;=100000), " ",IF(INDEX($AO$2:$BQ$1001,MATCH(ROWS($AH$2:AH601),$AH$2:$AH$1001,0),MATCH(COLUMNS($AO$1006:BN1006),$AO$1006:$BQ$1006,0)), HYPERLINK("#",""), HYPERLINK(CONCATENATE("#Metadata!", ADDRESS(INDEX($AJ$2:$AJ$1001,MATCH(ROWS($AH$2:AH601),$AH$2:$AH$1001,0),0), INDEX($AO$1004:$BQ$1004,1,MATCH(COLUMNS($AO$1006:BN1006),$AO$1006:$BQ$1006,0)))),"Fix")))</f>
        <v>#N/A</v>
      </c>
      <c r="AB601" s="5" t="e">
        <f ca="1">IF(OR(INDEX($AI$2:$AI$1001,MATCH(ROWS($AH$2:AH601),$AH$2:$AH$1001,0),1)&gt;=100000,INDEX($AO$1005:$BQ$1005,1,MATCH(COLUMNS($AO$1006:BO1006),$AO$1006:$BQ$1006,0))&gt;=100000), " ",IF(INDEX($AO$2:$BQ$1001,MATCH(ROWS($AH$2:AH601),$AH$2:$AH$1001,0),MATCH(COLUMNS($AO$1006:BO1006),$AO$1006:$BQ$1006,0)), HYPERLINK("#",""), HYPERLINK(CONCATENATE("#Metadata!", ADDRESS(INDEX($AJ$2:$AJ$1001,MATCH(ROWS($AH$2:AH601),$AH$2:$AH$1001,0),0), INDEX($AO$1004:$BQ$1004,1,MATCH(COLUMNS($AO$1006:BO1006),$AO$1006:$BQ$1006,0)))),"Fix")))</f>
        <v>#N/A</v>
      </c>
      <c r="AC601" s="5" t="e">
        <f ca="1">IF(OR(INDEX($AI$2:$AI$1001,MATCH(ROWS($AH$2:AH601),$AH$2:$AH$1001,0),1)&gt;=100000,INDEX($AO$1005:$BQ$1005,1,MATCH(COLUMNS($AO$1006:BP1006),$AO$1006:$BQ$1006,0))&gt;=100000), " ",IF(INDEX($AO$2:$BQ$1001,MATCH(ROWS($AH$2:AH601),$AH$2:$AH$1001,0),MATCH(COLUMNS($AO$1006:BP1006),$AO$1006:$BQ$1006,0)), HYPERLINK("#",""), HYPERLINK(CONCATENATE("#Metadata!", ADDRESS(INDEX($AJ$2:$AJ$1001,MATCH(ROWS($AH$2:AH601),$AH$2:$AH$1001,0),0), INDEX($AO$1004:$BQ$1004,1,MATCH(COLUMNS($AO$1006:BP1006),$AO$1006:$BQ$1006,0)))),"Fix")))</f>
        <v>#N/A</v>
      </c>
      <c r="AD601" s="5" t="e">
        <f ca="1">IF(OR(INDEX($AI$2:$AI$1001,MATCH(ROWS($AH$2:AH601),$AH$2:$AH$1001,0),1)&gt;=100000,INDEX($AO$1005:$BQ$1005,1,MATCH(COLUMNS($AO$1006:BQ1006),$AO$1006:$BQ$1006,0))&gt;=100000), " ",IF(INDEX($AO$2:$BQ$1001,MATCH(ROWS($AH$2:AH601),$AH$2:$AH$1001,0),MATCH(COLUMNS($AO$1006:BQ1006),$AO$1006:$BQ$1006,0)), HYPERLINK("#",""), HYPERLINK(CONCATENATE("#Metadata!", ADDRESS(INDEX($AJ$2:$AJ$1001,MATCH(ROWS($AH$2:AH601),$AH$2:$AH$1001,0),0), INDEX($AO$1004:$BQ$1004,1,MATCH(COLUMNS($AO$1006:BQ1006),$AO$1006:$BQ$1006,0)))),"Fix")))</f>
        <v>#REF!</v>
      </c>
      <c r="AH601">
        <f ca="1"/>
        <v>598</v>
      </c>
      <c r="AI601">
        <v>100601</v>
      </c>
      <c r="AJ601">
        <v>601</v>
      </c>
      <c r="AK601" t="b">
        <f t="shared" si="9"/>
        <v>1</v>
      </c>
      <c r="AL601" t="b">
        <f>COUNTBLANK(Metadata!B601:AD601)=COLUMNS(Metadata!B601:AD601)</f>
        <v>1</v>
      </c>
      <c r="AM601" t="str">
        <v/>
      </c>
      <c r="AO601" t="b">
        <f ca="1">AND(IF(Metadata!B601="",FALSE,TRUE),COUNTIF(Metadata!B:B, Metadata!B601) = 1,NOT(ISERROR(SUMPRODUCT(SEARCH(MID(Metadata!B601,ROW(INDIRECT("1:"&amp;LEN(Metadata!B601))), 1),"0123456789abcdefghijklmnopqrstuvwxyzABCDEFGHIJKLMNOPQRSTUVWXYZ.")))))</f>
        <v>0</v>
      </c>
      <c r="AP601" t="b">
        <f>IF(Metadata!C601="",FALSE,TRUE)</f>
        <v>0</v>
      </c>
      <c r="AQ601" t="b">
        <f>IF(Metadata!D601="",FALSE,TRUE)</f>
        <v>0</v>
      </c>
      <c r="AR601" t="b">
        <f ca="1">OR(AND(IF(Metadata!E601="",FALSE,TRUE),OR(EXACT(Metadata!E601,"not collected"),EXACT(Metadata!E601,"not provided"),EXACT(Metadata!E601,"restricted access"))),AND(IF(Metadata!E601="",FALSE,TRUE),AND(AND(IFERROR(INT(LEFT(Metadata!E601,4))&gt;1900,FALSE),IFERROR(INT(LEFT(Metadata!E601,4))&lt;=YEAR(NOW()),FALSE)), OR(MID(Metadata!E601,5,1)="", AND(AND(MID(Metadata!E601,5,1)="-",IFERROR(INT(MID(Metadata!E601,6,1))&gt;=0,FALSE),IFERROR(INT(MID(Metadata!E601,6,1))&lt;=1,FALSE),NOT(MID(Metadata!E601,7,1)=""),IFERROR(INT(MID(Metadata!E601,6,2))&gt;=1,FALSE),IFERROR(INT(MID(Metadata!E601,6,2))&lt;=12,FALSE)), OR(MID(Metadata!E601,8,1)="", AND(AND(MID(Metadata!E601,8,1)="-",IFERROR(INT(MID(Metadata!E601,9,1))&gt;=0,FALSE),IFERROR(INT(MID(Metadata!E601,9,1))&lt;=3,FALSE),NOT(MID(Metadata!E601,10,1)=""),IFERROR(INT(MID(Metadata!E601,9,2))&gt;=1,FALSE),IFERROR(INT(MID(Metadata!E601,9,2))&lt;=31,FALSE)), OR(MID(Metadata!E601,11,1)="", AND(AND(MID(Metadata!E601,11,1)=" ",IFERROR(INT(MID(Metadata!E601,12,1))&gt;=0,FALSE),IFERROR(INT(MID(Metadata!E601,12,1))&lt;=2,FALSE),NOT(MID(Metadata!E601,13,1)=""),IFERROR(INT(MID(Metadata!E601,12,2))&gt;=0,FALSE),IFERROR(INT(MID(Metadata!E601,12,2))&lt;=23,FALSE)), OR(MID(Metadata!E601,14,1)="", AND(AND(MID(Metadata!E601,14,1)=":",IFERROR(INT(MID(Metadata!E601,15,1))&gt;=0,FALSE),IFERROR(INT(MID(Metadata!E601,15,1))&lt;=5,FALSE),NOT(MID(Metadata!E601,16,1)=""),IFERROR(INT(MID(Metadata!E601,15,2))&gt;=0,FALSE),IFERROR(INT(MID(Metadata!E601,15,2))&lt;=59,FALSE)), OR(MID(Metadata!E601,17,1)="", AND(AND(MID(Metadata!E601,17,1)=":",IFERROR(INT(MID(Metadata!E601,18,1))&gt;=0,FALSE),IFERROR(INT(MID(Metadata!E601,18,1))&lt;=5,FALSE),NOT(MID(Metadata!E601,19,1)=""),IFERROR(INT(MID(Metadata!E601,18,2))&gt;=0,FALSE),IFERROR(INT(MID(Metadata!E601,18,2))&lt;=59,FALSE)), LEN(Metadata!E601)&lt;=19)))))))))))))</f>
        <v>0</v>
      </c>
      <c r="AS601" t="b">
        <f>IF(Metadata!F601="",FALSE,TRUE)</f>
        <v>0</v>
      </c>
      <c r="AT601" t="b">
        <f>OR(AND(IF(Metadata!G601="",FALSE,TRUE),OR(EXACT(Metadata!G601,"not collected"),EXACT(Metadata!G601,"not provided"))),AND(IF(Metadata!G601="",FALSE,TRUE),OR(EXACT(Metadata!G601,"TRUE"),EXACT(Metadata!G601,"FALSE"))))</f>
        <v>0</v>
      </c>
      <c r="AU601" t="b">
        <f>OR(AND(IF(Metadata!H601="",FALSE,TRUE),OR(EXACT(Metadata!H601,"not collected"),EXACT(Metadata!H601,"not provided"),EXACT(Metadata!H601,"restricted access"))),AND(IF(Metadata!H601="",FALSE,ISNUMBER(VALUE(Metadata!H601))),Metadata!H601&gt;=-413))</f>
        <v>0</v>
      </c>
      <c r="AV601" t="b">
        <f>AND(IF(Metadata!I601="",FALSE,TRUE),EXACT(Metadata!I601,"meters"))</f>
        <v>0</v>
      </c>
      <c r="AW601" t="b">
        <f>AND(IF(Metadata!J601="",FALSE,TRUE),EXACT(Metadata!J601,"free-living"))</f>
        <v>0</v>
      </c>
      <c r="AX601" t="b">
        <f>AND(IF(Metadata!K601="",FALSE,TRUE),OR(EXACT(Metadata!K601,"saline"),EXACT(Metadata!K601,"non-saline")))</f>
        <v>0</v>
      </c>
      <c r="AY601" t="b">
        <f>AND(IF(Metadata!L601="",FALSE,TRUE),OR(EXACT(Metadata!L601,"sub-surface (non-saline)"),EXACT(Metadata!L601,"surface (non-saline)"),EXACT(Metadata!L601,"water (non-saline)"),EXACT(Metadata!L601,"soil (non-saline)"),EXACT(Metadata!L601,"aerosol (non-saline)"),EXACT(Metadata!L601,"sediment (non-saline)"),EXACT(Metadata!L601,"surface (saline)"),EXACT(Metadata!L601,"water (saline)"),EXACT(Metadata!L601,"hypersaline (saline)"),EXACT(Metadata!L601,"aerosol (saline)"),EXACT(Metadata!L601,"sediment (saline)")))</f>
        <v>0</v>
      </c>
      <c r="AZ601" t="b">
        <f>IF(Metadata!M601="",FALSE,TRUE)</f>
        <v>0</v>
      </c>
      <c r="BA601" t="b">
        <f>IF(Metadata!N601="",FALSE,TRUE)</f>
        <v>0</v>
      </c>
      <c r="BB601" t="b">
        <f>IF(Metadata!O601="",FALSE,TRUE)</f>
        <v>0</v>
      </c>
      <c r="BC601" t="b">
        <f>AND(IF(Metadata!P601="",FALSE,TRUE),OR(EXACT(Metadata!P601,"air"),EXACT(Metadata!P601,"microbial mat/biofilm"),EXACT(Metadata!P601,"misc environment"),EXACT(Metadata!P601,"sediment"),EXACT(Metadata!P601,"soil"),EXACT(Metadata!P601,"wastewater/sludge"),EXACT(Metadata!P601,"water")))</f>
        <v>0</v>
      </c>
      <c r="BD601" t="b">
        <f>IF(Metadata!Q601="",FALSE,TRUE)</f>
        <v>0</v>
      </c>
      <c r="BE601" t="b">
        <f>IF(Metadata!R601="",FALSE,TRUE)</f>
        <v>0</v>
      </c>
      <c r="BF601" t="b">
        <f>OR(AND(IF(Metadata!S601="",FALSE,TRUE),OR(EXACT(Metadata!S601,"not collected"),EXACT(Metadata!S601,"not provided"),EXACT(Metadata!S601,"restricted access"))),AND(IF(Metadata!S601="",FALSE,ISNUMBER(VALUE(Metadata!S601))),Metadata!S601&gt;=-90,Metadata!S601&lt;=90))</f>
        <v>0</v>
      </c>
      <c r="BG601" t="b">
        <f>AND(IF(Metadata!T601="",FALSE,TRUE),EXACT(Metadata!T601,"Decimal degrees"))</f>
        <v>0</v>
      </c>
      <c r="BH601" t="b">
        <f>OR(AND(IF(Metadata!U601="",FALSE,TRUE),OR(EXACT(Metadata!U601,"not applicable"),EXACT(Metadata!U601,"not collected"))),IF(Metadata!U601="",FALSE,TRUE))</f>
        <v>0</v>
      </c>
      <c r="BI601" t="b">
        <f>OR(AND(IF(Metadata!V601="",FALSE,TRUE),OR(EXACT(Metadata!V601,"not collected"),EXACT(Metadata!V601,"not provided"),EXACT(Metadata!V601,"restricted access"))),AND(IF(Metadata!V601="",FALSE,ISNUMBER(VALUE(Metadata!V601))),Metadata!V601&gt;=-180,Metadata!V601&lt;=180))</f>
        <v>0</v>
      </c>
      <c r="BJ601" t="b">
        <f>AND(IF(Metadata!W601="",FALSE,TRUE),EXACT(Metadata!W601,"Decimal degrees"))</f>
        <v>0</v>
      </c>
      <c r="BK601" t="b">
        <f>IF(Metadata!X601="",FALSE,TRUE)</f>
        <v>0</v>
      </c>
      <c r="BL601" t="b">
        <f>OR(AND(IF(Metadata!Y601="",FALSE,TRUE),OR(EXACT(Metadata!Y601,"not collected"),EXACT(Metadata!Y601,"not provided"),EXACT(Metadata!Y601,"restricted access"))),AND(IF(Metadata!Y601="",FALSE,TRUE),OR(EXACT(Metadata!Y601,"TRUE"),EXACT(Metadata!Y601,"FALSE"))))</f>
        <v>0</v>
      </c>
      <c r="BM601" t="b">
        <f>OR(AND(IF(Metadata!Z601="",FALSE,TRUE),EXACT(Metadata!Z601,"not applicable")),AND(IF(Metadata!Z601="",FALSE,TRUE),OR(EXACT(Metadata!Z601,"beer"),EXACT(Metadata!Z601,"cheese"),EXACT(Metadata!Z601,"fresh water"),EXACT(Metadata!Z601,"marine sediment"),EXACT(Metadata!Z601,"sea water"),EXACT(Metadata!Z601,"sediment"),EXACT(Metadata!Z601,"soil"),EXACT(Metadata!Z601,"waste water"))))</f>
        <v>0</v>
      </c>
      <c r="BN601" t="b">
        <f>AND(IF(Metadata!AA601="",FALSE,TRUE),EXACT(Metadata!AA601,"metagenome"))</f>
        <v>0</v>
      </c>
      <c r="BO601" t="b">
        <f>AND(IF(Metadata!AB601="",FALSE,TRUE),EXACT(Metadata!AB601,"256318"))</f>
        <v>0</v>
      </c>
      <c r="BP601" t="b">
        <f>IF(Metadata!AC601="",FALSE,TRUE)</f>
        <v>0</v>
      </c>
      <c r="BQ601" t="b">
        <f>IF(Metadata!AD601="",FALSE,TRUE)</f>
        <v>0</v>
      </c>
    </row>
    <row r="602" spans="1:69" x14ac:dyDescent="0.2">
      <c r="A602" s="4" t="e">
        <f ca="1">IF(B602=" "," ",HYPERLINK(CONCATENATE("#metadata!",ADDRESS(INDEX($AJ$2:$AJ$1001,MATCH(ROWS($AH$2:AH602),$AH$2:$AH$1001,0),0),2)),INDEX($AM$2:$AM$1001,MATCH(ROWS($AH$2:AH602),$AH$2:$AH$1001,0),0)))</f>
        <v>#N/A</v>
      </c>
      <c r="B602" s="5" t="e">
        <f ca="1">IF(OR(INDEX($AI$2:$AI$1001,MATCH(ROWS($AH$2:AH602),$AH$2:$AH$1001,0),1)&gt;=100000,INDEX($AO$1005:$BQ$1005,1,MATCH(COLUMNS($AO$1006:AO1006),$AO$1006:$BQ$1006,0))&gt;=100000), " ",IF(INDEX($AO$2:$BQ$1001,MATCH(ROWS($AH$2:AH602),$AH$2:$AH$1001,0),MATCH(COLUMNS($AO$1006:AO1006),$AO$1006:$BQ$1006,0)), HYPERLINK("#",""), HYPERLINK(CONCATENATE("#Metadata!", ADDRESS(INDEX($AJ$2:$AJ$1001,MATCH(ROWS($AH$2:AH602),$AH$2:$AH$1001,0),0), INDEX($AO$1004:$BQ$1004,1,MATCH(COLUMNS($AO$1006:AO1006),$AO$1006:$BQ$1006,0)))),"Fix")))</f>
        <v>#N/A</v>
      </c>
      <c r="C602" s="5" t="e">
        <f ca="1">IF(OR(INDEX($AI$2:$AI$1001,MATCH(ROWS($AH$2:AH602),$AH$2:$AH$1001,0),1)&gt;=100000,INDEX($AO$1005:$BQ$1005,1,MATCH(COLUMNS($AO$1006:AP1006),$AO$1006:$BQ$1006,0))&gt;=100000), " ",IF(INDEX($AO$2:$BQ$1001,MATCH(ROWS($AH$2:AH602),$AH$2:$AH$1001,0),MATCH(COLUMNS($AO$1006:AP1006),$AO$1006:$BQ$1006,0)), HYPERLINK("#",""), HYPERLINK(CONCATENATE("#Metadata!", ADDRESS(INDEX($AJ$2:$AJ$1001,MATCH(ROWS($AH$2:AH602),$AH$2:$AH$1001,0),0), INDEX($AO$1004:$BQ$1004,1,MATCH(COLUMNS($AO$1006:AP1006),$AO$1006:$BQ$1006,0)))),"Fix")))</f>
        <v>#N/A</v>
      </c>
      <c r="D602" s="5" t="e">
        <f ca="1">IF(OR(INDEX($AI$2:$AI$1001,MATCH(ROWS($AH$2:AH602),$AH$2:$AH$1001,0),1)&gt;=100000,INDEX($AO$1005:$BQ$1005,1,MATCH(COLUMNS($AO$1006:AQ1006),$AO$1006:$BQ$1006,0))&gt;=100000), " ",IF(INDEX($AO$2:$BQ$1001,MATCH(ROWS($AH$2:AH602),$AH$2:$AH$1001,0),MATCH(COLUMNS($AO$1006:AQ1006),$AO$1006:$BQ$1006,0)), HYPERLINK("#",""), HYPERLINK(CONCATENATE("#Metadata!", ADDRESS(INDEX($AJ$2:$AJ$1001,MATCH(ROWS($AH$2:AH602),$AH$2:$AH$1001,0),0), INDEX($AO$1004:$BQ$1004,1,MATCH(COLUMNS($AO$1006:AQ1006),$AO$1006:$BQ$1006,0)))),"Fix")))</f>
        <v>#N/A</v>
      </c>
      <c r="E602" s="5" t="e">
        <f ca="1">IF(OR(INDEX($AI$2:$AI$1001,MATCH(ROWS($AH$2:AH602),$AH$2:$AH$1001,0),1)&gt;=100000,INDEX($AO$1005:$BQ$1005,1,MATCH(COLUMNS($AO$1006:AR1006),$AO$1006:$BQ$1006,0))&gt;=100000), " ",IF(INDEX($AO$2:$BQ$1001,MATCH(ROWS($AH$2:AH602),$AH$2:$AH$1001,0),MATCH(COLUMNS($AO$1006:AR1006),$AO$1006:$BQ$1006,0)), HYPERLINK("#",""), HYPERLINK(CONCATENATE("#Metadata!", ADDRESS(INDEX($AJ$2:$AJ$1001,MATCH(ROWS($AH$2:AH602),$AH$2:$AH$1001,0),0), INDEX($AO$1004:$BQ$1004,1,MATCH(COLUMNS($AO$1006:AR1006),$AO$1006:$BQ$1006,0)))),"Fix")))</f>
        <v>#N/A</v>
      </c>
      <c r="F602" s="5" t="e">
        <f ca="1">IF(OR(INDEX($AI$2:$AI$1001,MATCH(ROWS($AH$2:AH602),$AH$2:$AH$1001,0),1)&gt;=100000,INDEX($AO$1005:$BQ$1005,1,MATCH(COLUMNS($AO$1006:AS1006),$AO$1006:$BQ$1006,0))&gt;=100000), " ",IF(INDEX($AO$2:$BQ$1001,MATCH(ROWS($AH$2:AH602),$AH$2:$AH$1001,0),MATCH(COLUMNS($AO$1006:AS1006),$AO$1006:$BQ$1006,0)), HYPERLINK("#",""), HYPERLINK(CONCATENATE("#Metadata!", ADDRESS(INDEX($AJ$2:$AJ$1001,MATCH(ROWS($AH$2:AH602),$AH$2:$AH$1001,0),0), INDEX($AO$1004:$BQ$1004,1,MATCH(COLUMNS($AO$1006:AS1006),$AO$1006:$BQ$1006,0)))),"Fix")))</f>
        <v>#N/A</v>
      </c>
      <c r="G602" s="5" t="e">
        <f ca="1">IF(OR(INDEX($AI$2:$AI$1001,MATCH(ROWS($AH$2:AH602),$AH$2:$AH$1001,0),1)&gt;=100000,INDEX($AO$1005:$BQ$1005,1,MATCH(COLUMNS($AO$1006:AT1006),$AO$1006:$BQ$1006,0))&gt;=100000), " ",IF(INDEX($AO$2:$BQ$1001,MATCH(ROWS($AH$2:AH602),$AH$2:$AH$1001,0),MATCH(COLUMNS($AO$1006:AT1006),$AO$1006:$BQ$1006,0)), HYPERLINK("#",""), HYPERLINK(CONCATENATE("#Metadata!", ADDRESS(INDEX($AJ$2:$AJ$1001,MATCH(ROWS($AH$2:AH602),$AH$2:$AH$1001,0),0), INDEX($AO$1004:$BQ$1004,1,MATCH(COLUMNS($AO$1006:AT1006),$AO$1006:$BQ$1006,0)))),"Fix")))</f>
        <v>#N/A</v>
      </c>
      <c r="H602" s="5" t="e">
        <f ca="1">IF(OR(INDEX($AI$2:$AI$1001,MATCH(ROWS($AH$2:AH602),$AH$2:$AH$1001,0),1)&gt;=100000,INDEX($AO$1005:$BQ$1005,1,MATCH(COLUMNS($AO$1006:AU1006),$AO$1006:$BQ$1006,0))&gt;=100000), " ",IF(INDEX($AO$2:$BQ$1001,MATCH(ROWS($AH$2:AH602),$AH$2:$AH$1001,0),MATCH(COLUMNS($AO$1006:AU1006),$AO$1006:$BQ$1006,0)), HYPERLINK("#",""), HYPERLINK(CONCATENATE("#Metadata!", ADDRESS(INDEX($AJ$2:$AJ$1001,MATCH(ROWS($AH$2:AH602),$AH$2:$AH$1001,0),0), INDEX($AO$1004:$BQ$1004,1,MATCH(COLUMNS($AO$1006:AU1006),$AO$1006:$BQ$1006,0)))),"Fix")))</f>
        <v>#N/A</v>
      </c>
      <c r="I602" s="5" t="e">
        <f ca="1">IF(OR(INDEX($AI$2:$AI$1001,MATCH(ROWS($AH$2:AH602),$AH$2:$AH$1001,0),1)&gt;=100000,INDEX($AO$1005:$BQ$1005,1,MATCH(COLUMNS($AO$1006:AV1006),$AO$1006:$BQ$1006,0))&gt;=100000), " ",IF(INDEX($AO$2:$BQ$1001,MATCH(ROWS($AH$2:AH602),$AH$2:$AH$1001,0),MATCH(COLUMNS($AO$1006:AV1006),$AO$1006:$BQ$1006,0)), HYPERLINK("#",""), HYPERLINK(CONCATENATE("#Metadata!", ADDRESS(INDEX($AJ$2:$AJ$1001,MATCH(ROWS($AH$2:AH602),$AH$2:$AH$1001,0),0), INDEX($AO$1004:$BQ$1004,1,MATCH(COLUMNS($AO$1006:AV1006),$AO$1006:$BQ$1006,0)))),"Fix")))</f>
        <v>#N/A</v>
      </c>
      <c r="J602" s="5" t="e">
        <f ca="1">IF(OR(INDEX($AI$2:$AI$1001,MATCH(ROWS($AH$2:AH602),$AH$2:$AH$1001,0),1)&gt;=100000,INDEX($AO$1005:$BQ$1005,1,MATCH(COLUMNS($AO$1006:AW1006),$AO$1006:$BQ$1006,0))&gt;=100000), " ",IF(INDEX($AO$2:$BQ$1001,MATCH(ROWS($AH$2:AH602),$AH$2:$AH$1001,0),MATCH(COLUMNS($AO$1006:AW1006),$AO$1006:$BQ$1006,0)), HYPERLINK("#",""), HYPERLINK(CONCATENATE("#Metadata!", ADDRESS(INDEX($AJ$2:$AJ$1001,MATCH(ROWS($AH$2:AH602),$AH$2:$AH$1001,0),0), INDEX($AO$1004:$BQ$1004,1,MATCH(COLUMNS($AO$1006:AW1006),$AO$1006:$BQ$1006,0)))),"Fix")))</f>
        <v>#N/A</v>
      </c>
      <c r="K602" s="5" t="e">
        <f ca="1">IF(OR(INDEX($AI$2:$AI$1001,MATCH(ROWS($AH$2:AH602),$AH$2:$AH$1001,0),1)&gt;=100000,INDEX($AO$1005:$BQ$1005,1,MATCH(COLUMNS($AO$1006:AX1006),$AO$1006:$BQ$1006,0))&gt;=100000), " ",IF(INDEX($AO$2:$BQ$1001,MATCH(ROWS($AH$2:AH602),$AH$2:$AH$1001,0),MATCH(COLUMNS($AO$1006:AX1006),$AO$1006:$BQ$1006,0)), HYPERLINK("#",""), HYPERLINK(CONCATENATE("#Metadata!", ADDRESS(INDEX($AJ$2:$AJ$1001,MATCH(ROWS($AH$2:AH602),$AH$2:$AH$1001,0),0), INDEX($AO$1004:$BQ$1004,1,MATCH(COLUMNS($AO$1006:AX1006),$AO$1006:$BQ$1006,0)))),"Fix")))</f>
        <v>#N/A</v>
      </c>
      <c r="L602" s="5" t="e">
        <f ca="1">IF(OR(INDEX($AI$2:$AI$1001,MATCH(ROWS($AH$2:AH602),$AH$2:$AH$1001,0),1)&gt;=100000,INDEX($AO$1005:$BQ$1005,1,MATCH(COLUMNS($AO$1006:AY1006),$AO$1006:$BQ$1006,0))&gt;=100000), " ",IF(INDEX($AO$2:$BQ$1001,MATCH(ROWS($AH$2:AH602),$AH$2:$AH$1001,0),MATCH(COLUMNS($AO$1006:AY1006),$AO$1006:$BQ$1006,0)), HYPERLINK("#",""), HYPERLINK(CONCATENATE("#Metadata!", ADDRESS(INDEX($AJ$2:$AJ$1001,MATCH(ROWS($AH$2:AH602),$AH$2:$AH$1001,0),0), INDEX($AO$1004:$BQ$1004,1,MATCH(COLUMNS($AO$1006:AY1006),$AO$1006:$BQ$1006,0)))),"Fix")))</f>
        <v>#N/A</v>
      </c>
      <c r="M602" s="5" t="e">
        <f ca="1">IF(OR(INDEX($AI$2:$AI$1001,MATCH(ROWS($AH$2:AH602),$AH$2:$AH$1001,0),1)&gt;=100000,INDEX($AO$1005:$BQ$1005,1,MATCH(COLUMNS($AO$1006:AZ1006),$AO$1006:$BQ$1006,0))&gt;=100000), " ",IF(INDEX($AO$2:$BQ$1001,MATCH(ROWS($AH$2:AH602),$AH$2:$AH$1001,0),MATCH(COLUMNS($AO$1006:AZ1006),$AO$1006:$BQ$1006,0)), HYPERLINK("#",""), HYPERLINK(CONCATENATE("#Metadata!", ADDRESS(INDEX($AJ$2:$AJ$1001,MATCH(ROWS($AH$2:AH602),$AH$2:$AH$1001,0),0), INDEX($AO$1004:$BQ$1004,1,MATCH(COLUMNS($AO$1006:AZ1006),$AO$1006:$BQ$1006,0)))),"Fix")))</f>
        <v>#N/A</v>
      </c>
      <c r="N602" s="5" t="e">
        <f ca="1">IF(OR(INDEX($AI$2:$AI$1001,MATCH(ROWS($AH$2:AH602),$AH$2:$AH$1001,0),1)&gt;=100000,INDEX($AO$1005:$BQ$1005,1,MATCH(COLUMNS($AO$1006:BA1006),$AO$1006:$BQ$1006,0))&gt;=100000), " ",IF(INDEX($AO$2:$BQ$1001,MATCH(ROWS($AH$2:AH602),$AH$2:$AH$1001,0),MATCH(COLUMNS($AO$1006:BA1006),$AO$1006:$BQ$1006,0)), HYPERLINK("#",""), HYPERLINK(CONCATENATE("#Metadata!", ADDRESS(INDEX($AJ$2:$AJ$1001,MATCH(ROWS($AH$2:AH602),$AH$2:$AH$1001,0),0), INDEX($AO$1004:$BQ$1004,1,MATCH(COLUMNS($AO$1006:BA1006),$AO$1006:$BQ$1006,0)))),"Fix")))</f>
        <v>#N/A</v>
      </c>
      <c r="O602" s="5" t="e">
        <f ca="1">IF(OR(INDEX($AI$2:$AI$1001,MATCH(ROWS($AH$2:AH602),$AH$2:$AH$1001,0),1)&gt;=100000,INDEX($AO$1005:$BQ$1005,1,MATCH(COLUMNS($AO$1006:BB1006),$AO$1006:$BQ$1006,0))&gt;=100000), " ",IF(INDEX($AO$2:$BQ$1001,MATCH(ROWS($AH$2:AH602),$AH$2:$AH$1001,0),MATCH(COLUMNS($AO$1006:BB1006),$AO$1006:$BQ$1006,0)), HYPERLINK("#",""), HYPERLINK(CONCATENATE("#Metadata!", ADDRESS(INDEX($AJ$2:$AJ$1001,MATCH(ROWS($AH$2:AH602),$AH$2:$AH$1001,0),0), INDEX($AO$1004:$BQ$1004,1,MATCH(COLUMNS($AO$1006:BB1006),$AO$1006:$BQ$1006,0)))),"Fix")))</f>
        <v>#N/A</v>
      </c>
      <c r="P602" s="5" t="e">
        <f ca="1">IF(OR(INDEX($AI$2:$AI$1001,MATCH(ROWS($AH$2:AH602),$AH$2:$AH$1001,0),1)&gt;=100000,INDEX($AO$1005:$BQ$1005,1,MATCH(COLUMNS($AO$1006:BC1006),$AO$1006:$BQ$1006,0))&gt;=100000), " ",IF(INDEX($AO$2:$BQ$1001,MATCH(ROWS($AH$2:AH602),$AH$2:$AH$1001,0),MATCH(COLUMNS($AO$1006:BC1006),$AO$1006:$BQ$1006,0)), HYPERLINK("#",""), HYPERLINK(CONCATENATE("#Metadata!", ADDRESS(INDEX($AJ$2:$AJ$1001,MATCH(ROWS($AH$2:AH602),$AH$2:$AH$1001,0),0), INDEX($AO$1004:$BQ$1004,1,MATCH(COLUMNS($AO$1006:BC1006),$AO$1006:$BQ$1006,0)))),"Fix")))</f>
        <v>#N/A</v>
      </c>
      <c r="Q602" s="5" t="e">
        <f ca="1">IF(OR(INDEX($AI$2:$AI$1001,MATCH(ROWS($AH$2:AH602),$AH$2:$AH$1001,0),1)&gt;=100000,INDEX($AO$1005:$BQ$1005,1,MATCH(COLUMNS($AO$1006:BD1006),$AO$1006:$BQ$1006,0))&gt;=100000), " ",IF(INDEX($AO$2:$BQ$1001,MATCH(ROWS($AH$2:AH602),$AH$2:$AH$1001,0),MATCH(COLUMNS($AO$1006:BD1006),$AO$1006:$BQ$1006,0)), HYPERLINK("#",""), HYPERLINK(CONCATENATE("#Metadata!", ADDRESS(INDEX($AJ$2:$AJ$1001,MATCH(ROWS($AH$2:AH602),$AH$2:$AH$1001,0),0), INDEX($AO$1004:$BQ$1004,1,MATCH(COLUMNS($AO$1006:BD1006),$AO$1006:$BQ$1006,0)))),"Fix")))</f>
        <v>#N/A</v>
      </c>
      <c r="R602" s="5" t="e">
        <f ca="1">IF(OR(INDEX($AI$2:$AI$1001,MATCH(ROWS($AH$2:AH602),$AH$2:$AH$1001,0),1)&gt;=100000,INDEX($AO$1005:$BQ$1005,1,MATCH(COLUMNS($AO$1006:BE1006),$AO$1006:$BQ$1006,0))&gt;=100000), " ",IF(INDEX($AO$2:$BQ$1001,MATCH(ROWS($AH$2:AH602),$AH$2:$AH$1001,0),MATCH(COLUMNS($AO$1006:BE1006),$AO$1006:$BQ$1006,0)), HYPERLINK("#",""), HYPERLINK(CONCATENATE("#Metadata!", ADDRESS(INDEX($AJ$2:$AJ$1001,MATCH(ROWS($AH$2:AH602),$AH$2:$AH$1001,0),0), INDEX($AO$1004:$BQ$1004,1,MATCH(COLUMNS($AO$1006:BE1006),$AO$1006:$BQ$1006,0)))),"Fix")))</f>
        <v>#N/A</v>
      </c>
      <c r="S602" s="5" t="e">
        <f ca="1">IF(OR(INDEX($AI$2:$AI$1001,MATCH(ROWS($AH$2:AH602),$AH$2:$AH$1001,0),1)&gt;=100000,INDEX($AO$1005:$BQ$1005,1,MATCH(COLUMNS($AO$1006:BF1006),$AO$1006:$BQ$1006,0))&gt;=100000), " ",IF(INDEX($AO$2:$BQ$1001,MATCH(ROWS($AH$2:AH602),$AH$2:$AH$1001,0),MATCH(COLUMNS($AO$1006:BF1006),$AO$1006:$BQ$1006,0)), HYPERLINK("#",""), HYPERLINK(CONCATENATE("#Metadata!", ADDRESS(INDEX($AJ$2:$AJ$1001,MATCH(ROWS($AH$2:AH602),$AH$2:$AH$1001,0),0), INDEX($AO$1004:$BQ$1004,1,MATCH(COLUMNS($AO$1006:BF1006),$AO$1006:$BQ$1006,0)))),"Fix")))</f>
        <v>#N/A</v>
      </c>
      <c r="T602" s="5" t="e">
        <f ca="1">IF(OR(INDEX($AI$2:$AI$1001,MATCH(ROWS($AH$2:AH602),$AH$2:$AH$1001,0),1)&gt;=100000,INDEX($AO$1005:$BQ$1005,1,MATCH(COLUMNS($AO$1006:BG1006),$AO$1006:$BQ$1006,0))&gt;=100000), " ",IF(INDEX($AO$2:$BQ$1001,MATCH(ROWS($AH$2:AH602),$AH$2:$AH$1001,0),MATCH(COLUMNS($AO$1006:BG1006),$AO$1006:$BQ$1006,0)), HYPERLINK("#",""), HYPERLINK(CONCATENATE("#Metadata!", ADDRESS(INDEX($AJ$2:$AJ$1001,MATCH(ROWS($AH$2:AH602),$AH$2:$AH$1001,0),0), INDEX($AO$1004:$BQ$1004,1,MATCH(COLUMNS($AO$1006:BG1006),$AO$1006:$BQ$1006,0)))),"Fix")))</f>
        <v>#N/A</v>
      </c>
      <c r="U602" s="5" t="e">
        <f ca="1">IF(OR(INDEX($AI$2:$AI$1001,MATCH(ROWS($AH$2:AH602),$AH$2:$AH$1001,0),1)&gt;=100000,INDEX($AO$1005:$BQ$1005,1,MATCH(COLUMNS($AO$1006:BH1006),$AO$1006:$BQ$1006,0))&gt;=100000), " ",IF(INDEX($AO$2:$BQ$1001,MATCH(ROWS($AH$2:AH602),$AH$2:$AH$1001,0),MATCH(COLUMNS($AO$1006:BH1006),$AO$1006:$BQ$1006,0)), HYPERLINK("#",""), HYPERLINK(CONCATENATE("#Metadata!", ADDRESS(INDEX($AJ$2:$AJ$1001,MATCH(ROWS($AH$2:AH602),$AH$2:$AH$1001,0),0), INDEX($AO$1004:$BQ$1004,1,MATCH(COLUMNS($AO$1006:BH1006),$AO$1006:$BQ$1006,0)))),"Fix")))</f>
        <v>#N/A</v>
      </c>
      <c r="V602" s="5" t="e">
        <f ca="1">IF(OR(INDEX($AI$2:$AI$1001,MATCH(ROWS($AH$2:AH602),$AH$2:$AH$1001,0),1)&gt;=100000,INDEX($AO$1005:$BQ$1005,1,MATCH(COLUMNS($AO$1006:BI1006),$AO$1006:$BQ$1006,0))&gt;=100000), " ",IF(INDEX($AO$2:$BQ$1001,MATCH(ROWS($AH$2:AH602),$AH$2:$AH$1001,0),MATCH(COLUMNS($AO$1006:BI1006),$AO$1006:$BQ$1006,0)), HYPERLINK("#",""), HYPERLINK(CONCATENATE("#Metadata!", ADDRESS(INDEX($AJ$2:$AJ$1001,MATCH(ROWS($AH$2:AH602),$AH$2:$AH$1001,0),0), INDEX($AO$1004:$BQ$1004,1,MATCH(COLUMNS($AO$1006:BI1006),$AO$1006:$BQ$1006,0)))),"Fix")))</f>
        <v>#N/A</v>
      </c>
      <c r="W602" s="5" t="e">
        <f ca="1">IF(OR(INDEX($AI$2:$AI$1001,MATCH(ROWS($AH$2:AH602),$AH$2:$AH$1001,0),1)&gt;=100000,INDEX($AO$1005:$BQ$1005,1,MATCH(COLUMNS($AO$1006:BJ1006),$AO$1006:$BQ$1006,0))&gt;=100000), " ",IF(INDEX($AO$2:$BQ$1001,MATCH(ROWS($AH$2:AH602),$AH$2:$AH$1001,0),MATCH(COLUMNS($AO$1006:BJ1006),$AO$1006:$BQ$1006,0)), HYPERLINK("#",""), HYPERLINK(CONCATENATE("#Metadata!", ADDRESS(INDEX($AJ$2:$AJ$1001,MATCH(ROWS($AH$2:AH602),$AH$2:$AH$1001,0),0), INDEX($AO$1004:$BQ$1004,1,MATCH(COLUMNS($AO$1006:BJ1006),$AO$1006:$BQ$1006,0)))),"Fix")))</f>
        <v>#N/A</v>
      </c>
      <c r="X602" s="5" t="e">
        <f ca="1">IF(OR(INDEX($AI$2:$AI$1001,MATCH(ROWS($AH$2:AH602),$AH$2:$AH$1001,0),1)&gt;=100000,INDEX($AO$1005:$BQ$1005,1,MATCH(COLUMNS($AO$1006:BK1006),$AO$1006:$BQ$1006,0))&gt;=100000), " ",IF(INDEX($AO$2:$BQ$1001,MATCH(ROWS($AH$2:AH602),$AH$2:$AH$1001,0),MATCH(COLUMNS($AO$1006:BK1006),$AO$1006:$BQ$1006,0)), HYPERLINK("#",""), HYPERLINK(CONCATENATE("#Metadata!", ADDRESS(INDEX($AJ$2:$AJ$1001,MATCH(ROWS($AH$2:AH602),$AH$2:$AH$1001,0),0), INDEX($AO$1004:$BQ$1004,1,MATCH(COLUMNS($AO$1006:BK1006),$AO$1006:$BQ$1006,0)))),"Fix")))</f>
        <v>#N/A</v>
      </c>
      <c r="Y602" s="5" t="e">
        <f ca="1">IF(OR(INDEX($AI$2:$AI$1001,MATCH(ROWS($AH$2:AH602),$AH$2:$AH$1001,0),1)&gt;=100000,INDEX($AO$1005:$BQ$1005,1,MATCH(COLUMNS($AO$1006:BL1006),$AO$1006:$BQ$1006,0))&gt;=100000), " ",IF(INDEX($AO$2:$BQ$1001,MATCH(ROWS($AH$2:AH602),$AH$2:$AH$1001,0),MATCH(COLUMNS($AO$1006:BL1006),$AO$1006:$BQ$1006,0)), HYPERLINK("#",""), HYPERLINK(CONCATENATE("#Metadata!", ADDRESS(INDEX($AJ$2:$AJ$1001,MATCH(ROWS($AH$2:AH602),$AH$2:$AH$1001,0),0), INDEX($AO$1004:$BQ$1004,1,MATCH(COLUMNS($AO$1006:BL1006),$AO$1006:$BQ$1006,0)))),"Fix")))</f>
        <v>#N/A</v>
      </c>
      <c r="Z602" s="5" t="e">
        <f ca="1">IF(OR(INDEX($AI$2:$AI$1001,MATCH(ROWS($AH$2:AH602),$AH$2:$AH$1001,0),1)&gt;=100000,INDEX($AO$1005:$BQ$1005,1,MATCH(COLUMNS($AO$1006:BM1006),$AO$1006:$BQ$1006,0))&gt;=100000), " ",IF(INDEX($AO$2:$BQ$1001,MATCH(ROWS($AH$2:AH602),$AH$2:$AH$1001,0),MATCH(COLUMNS($AO$1006:BM1006),$AO$1006:$BQ$1006,0)), HYPERLINK("#",""), HYPERLINK(CONCATENATE("#Metadata!", ADDRESS(INDEX($AJ$2:$AJ$1001,MATCH(ROWS($AH$2:AH602),$AH$2:$AH$1001,0),0), INDEX($AO$1004:$BQ$1004,1,MATCH(COLUMNS($AO$1006:BM1006),$AO$1006:$BQ$1006,0)))),"Fix")))</f>
        <v>#N/A</v>
      </c>
      <c r="AA602" s="5" t="e">
        <f ca="1">IF(OR(INDEX($AI$2:$AI$1001,MATCH(ROWS($AH$2:AH602),$AH$2:$AH$1001,0),1)&gt;=100000,INDEX($AO$1005:$BQ$1005,1,MATCH(COLUMNS($AO$1006:BN1006),$AO$1006:$BQ$1006,0))&gt;=100000), " ",IF(INDEX($AO$2:$BQ$1001,MATCH(ROWS($AH$2:AH602),$AH$2:$AH$1001,0),MATCH(COLUMNS($AO$1006:BN1006),$AO$1006:$BQ$1006,0)), HYPERLINK("#",""), HYPERLINK(CONCATENATE("#Metadata!", ADDRESS(INDEX($AJ$2:$AJ$1001,MATCH(ROWS($AH$2:AH602),$AH$2:$AH$1001,0),0), INDEX($AO$1004:$BQ$1004,1,MATCH(COLUMNS($AO$1006:BN1006),$AO$1006:$BQ$1006,0)))),"Fix")))</f>
        <v>#N/A</v>
      </c>
      <c r="AB602" s="5" t="e">
        <f ca="1">IF(OR(INDEX($AI$2:$AI$1001,MATCH(ROWS($AH$2:AH602),$AH$2:$AH$1001,0),1)&gt;=100000,INDEX($AO$1005:$BQ$1005,1,MATCH(COLUMNS($AO$1006:BO1006),$AO$1006:$BQ$1006,0))&gt;=100000), " ",IF(INDEX($AO$2:$BQ$1001,MATCH(ROWS($AH$2:AH602),$AH$2:$AH$1001,0),MATCH(COLUMNS($AO$1006:BO1006),$AO$1006:$BQ$1006,0)), HYPERLINK("#",""), HYPERLINK(CONCATENATE("#Metadata!", ADDRESS(INDEX($AJ$2:$AJ$1001,MATCH(ROWS($AH$2:AH602),$AH$2:$AH$1001,0),0), INDEX($AO$1004:$BQ$1004,1,MATCH(COLUMNS($AO$1006:BO1006),$AO$1006:$BQ$1006,0)))),"Fix")))</f>
        <v>#N/A</v>
      </c>
      <c r="AC602" s="5" t="e">
        <f ca="1">IF(OR(INDEX($AI$2:$AI$1001,MATCH(ROWS($AH$2:AH602),$AH$2:$AH$1001,0),1)&gt;=100000,INDEX($AO$1005:$BQ$1005,1,MATCH(COLUMNS($AO$1006:BP1006),$AO$1006:$BQ$1006,0))&gt;=100000), " ",IF(INDEX($AO$2:$BQ$1001,MATCH(ROWS($AH$2:AH602),$AH$2:$AH$1001,0),MATCH(COLUMNS($AO$1006:BP1006),$AO$1006:$BQ$1006,0)), HYPERLINK("#",""), HYPERLINK(CONCATENATE("#Metadata!", ADDRESS(INDEX($AJ$2:$AJ$1001,MATCH(ROWS($AH$2:AH602),$AH$2:$AH$1001,0),0), INDEX($AO$1004:$BQ$1004,1,MATCH(COLUMNS($AO$1006:BP1006),$AO$1006:$BQ$1006,0)))),"Fix")))</f>
        <v>#N/A</v>
      </c>
      <c r="AD602" s="5" t="e">
        <f ca="1">IF(OR(INDEX($AI$2:$AI$1001,MATCH(ROWS($AH$2:AH602),$AH$2:$AH$1001,0),1)&gt;=100000,INDEX($AO$1005:$BQ$1005,1,MATCH(COLUMNS($AO$1006:BQ1006),$AO$1006:$BQ$1006,0))&gt;=100000), " ",IF(INDEX($AO$2:$BQ$1001,MATCH(ROWS($AH$2:AH602),$AH$2:$AH$1001,0),MATCH(COLUMNS($AO$1006:BQ1006),$AO$1006:$BQ$1006,0)), HYPERLINK("#",""), HYPERLINK(CONCATENATE("#Metadata!", ADDRESS(INDEX($AJ$2:$AJ$1001,MATCH(ROWS($AH$2:AH602),$AH$2:$AH$1001,0),0), INDEX($AO$1004:$BQ$1004,1,MATCH(COLUMNS($AO$1006:BQ1006),$AO$1006:$BQ$1006,0)))),"Fix")))</f>
        <v>#REF!</v>
      </c>
      <c r="AH602">
        <f ca="1"/>
        <v>599</v>
      </c>
      <c r="AI602">
        <v>100602</v>
      </c>
      <c r="AJ602">
        <v>602</v>
      </c>
      <c r="AK602" t="b">
        <f t="shared" si="9"/>
        <v>1</v>
      </c>
      <c r="AL602" t="b">
        <f>COUNTBLANK(Metadata!B602:AD602)=COLUMNS(Metadata!B602:AD602)</f>
        <v>1</v>
      </c>
      <c r="AM602" t="str">
        <v/>
      </c>
      <c r="AO602" t="b">
        <f ca="1">AND(IF(Metadata!B602="",FALSE,TRUE),COUNTIF(Metadata!B:B, Metadata!B602) = 1,NOT(ISERROR(SUMPRODUCT(SEARCH(MID(Metadata!B602,ROW(INDIRECT("1:"&amp;LEN(Metadata!B602))), 1),"0123456789abcdefghijklmnopqrstuvwxyzABCDEFGHIJKLMNOPQRSTUVWXYZ.")))))</f>
        <v>0</v>
      </c>
      <c r="AP602" t="b">
        <f>IF(Metadata!C602="",FALSE,TRUE)</f>
        <v>0</v>
      </c>
      <c r="AQ602" t="b">
        <f>IF(Metadata!D602="",FALSE,TRUE)</f>
        <v>0</v>
      </c>
      <c r="AR602" t="b">
        <f ca="1">OR(AND(IF(Metadata!E602="",FALSE,TRUE),OR(EXACT(Metadata!E602,"not collected"),EXACT(Metadata!E602,"not provided"),EXACT(Metadata!E602,"restricted access"))),AND(IF(Metadata!E602="",FALSE,TRUE),AND(AND(IFERROR(INT(LEFT(Metadata!E602,4))&gt;1900,FALSE),IFERROR(INT(LEFT(Metadata!E602,4))&lt;=YEAR(NOW()),FALSE)), OR(MID(Metadata!E602,5,1)="", AND(AND(MID(Metadata!E602,5,1)="-",IFERROR(INT(MID(Metadata!E602,6,1))&gt;=0,FALSE),IFERROR(INT(MID(Metadata!E602,6,1))&lt;=1,FALSE),NOT(MID(Metadata!E602,7,1)=""),IFERROR(INT(MID(Metadata!E602,6,2))&gt;=1,FALSE),IFERROR(INT(MID(Metadata!E602,6,2))&lt;=12,FALSE)), OR(MID(Metadata!E602,8,1)="", AND(AND(MID(Metadata!E602,8,1)="-",IFERROR(INT(MID(Metadata!E602,9,1))&gt;=0,FALSE),IFERROR(INT(MID(Metadata!E602,9,1))&lt;=3,FALSE),NOT(MID(Metadata!E602,10,1)=""),IFERROR(INT(MID(Metadata!E602,9,2))&gt;=1,FALSE),IFERROR(INT(MID(Metadata!E602,9,2))&lt;=31,FALSE)), OR(MID(Metadata!E602,11,1)="", AND(AND(MID(Metadata!E602,11,1)=" ",IFERROR(INT(MID(Metadata!E602,12,1))&gt;=0,FALSE),IFERROR(INT(MID(Metadata!E602,12,1))&lt;=2,FALSE),NOT(MID(Metadata!E602,13,1)=""),IFERROR(INT(MID(Metadata!E602,12,2))&gt;=0,FALSE),IFERROR(INT(MID(Metadata!E602,12,2))&lt;=23,FALSE)), OR(MID(Metadata!E602,14,1)="", AND(AND(MID(Metadata!E602,14,1)=":",IFERROR(INT(MID(Metadata!E602,15,1))&gt;=0,FALSE),IFERROR(INT(MID(Metadata!E602,15,1))&lt;=5,FALSE),NOT(MID(Metadata!E602,16,1)=""),IFERROR(INT(MID(Metadata!E602,15,2))&gt;=0,FALSE),IFERROR(INT(MID(Metadata!E602,15,2))&lt;=59,FALSE)), OR(MID(Metadata!E602,17,1)="", AND(AND(MID(Metadata!E602,17,1)=":",IFERROR(INT(MID(Metadata!E602,18,1))&gt;=0,FALSE),IFERROR(INT(MID(Metadata!E602,18,1))&lt;=5,FALSE),NOT(MID(Metadata!E602,19,1)=""),IFERROR(INT(MID(Metadata!E602,18,2))&gt;=0,FALSE),IFERROR(INT(MID(Metadata!E602,18,2))&lt;=59,FALSE)), LEN(Metadata!E602)&lt;=19)))))))))))))</f>
        <v>0</v>
      </c>
      <c r="AS602" t="b">
        <f>IF(Metadata!F602="",FALSE,TRUE)</f>
        <v>0</v>
      </c>
      <c r="AT602" t="b">
        <f>OR(AND(IF(Metadata!G602="",FALSE,TRUE),OR(EXACT(Metadata!G602,"not collected"),EXACT(Metadata!G602,"not provided"))),AND(IF(Metadata!G602="",FALSE,TRUE),OR(EXACT(Metadata!G602,"TRUE"),EXACT(Metadata!G602,"FALSE"))))</f>
        <v>0</v>
      </c>
      <c r="AU602" t="b">
        <f>OR(AND(IF(Metadata!H602="",FALSE,TRUE),OR(EXACT(Metadata!H602,"not collected"),EXACT(Metadata!H602,"not provided"),EXACT(Metadata!H602,"restricted access"))),AND(IF(Metadata!H602="",FALSE,ISNUMBER(VALUE(Metadata!H602))),Metadata!H602&gt;=-413))</f>
        <v>0</v>
      </c>
      <c r="AV602" t="b">
        <f>AND(IF(Metadata!I602="",FALSE,TRUE),EXACT(Metadata!I602,"meters"))</f>
        <v>0</v>
      </c>
      <c r="AW602" t="b">
        <f>AND(IF(Metadata!J602="",FALSE,TRUE),EXACT(Metadata!J602,"free-living"))</f>
        <v>0</v>
      </c>
      <c r="AX602" t="b">
        <f>AND(IF(Metadata!K602="",FALSE,TRUE),OR(EXACT(Metadata!K602,"saline"),EXACT(Metadata!K602,"non-saline")))</f>
        <v>0</v>
      </c>
      <c r="AY602" t="b">
        <f>AND(IF(Metadata!L602="",FALSE,TRUE),OR(EXACT(Metadata!L602,"sub-surface (non-saline)"),EXACT(Metadata!L602,"surface (non-saline)"),EXACT(Metadata!L602,"water (non-saline)"),EXACT(Metadata!L602,"soil (non-saline)"),EXACT(Metadata!L602,"aerosol (non-saline)"),EXACT(Metadata!L602,"sediment (non-saline)"),EXACT(Metadata!L602,"surface (saline)"),EXACT(Metadata!L602,"water (saline)"),EXACT(Metadata!L602,"hypersaline (saline)"),EXACT(Metadata!L602,"aerosol (saline)"),EXACT(Metadata!L602,"sediment (saline)")))</f>
        <v>0</v>
      </c>
      <c r="AZ602" t="b">
        <f>IF(Metadata!M602="",FALSE,TRUE)</f>
        <v>0</v>
      </c>
      <c r="BA602" t="b">
        <f>IF(Metadata!N602="",FALSE,TRUE)</f>
        <v>0</v>
      </c>
      <c r="BB602" t="b">
        <f>IF(Metadata!O602="",FALSE,TRUE)</f>
        <v>0</v>
      </c>
      <c r="BC602" t="b">
        <f>AND(IF(Metadata!P602="",FALSE,TRUE),OR(EXACT(Metadata!P602,"air"),EXACT(Metadata!P602,"microbial mat/biofilm"),EXACT(Metadata!P602,"misc environment"),EXACT(Metadata!P602,"sediment"),EXACT(Metadata!P602,"soil"),EXACT(Metadata!P602,"wastewater/sludge"),EXACT(Metadata!P602,"water")))</f>
        <v>0</v>
      </c>
      <c r="BD602" t="b">
        <f>IF(Metadata!Q602="",FALSE,TRUE)</f>
        <v>0</v>
      </c>
      <c r="BE602" t="b">
        <f>IF(Metadata!R602="",FALSE,TRUE)</f>
        <v>0</v>
      </c>
      <c r="BF602" t="b">
        <f>OR(AND(IF(Metadata!S602="",FALSE,TRUE),OR(EXACT(Metadata!S602,"not collected"),EXACT(Metadata!S602,"not provided"),EXACT(Metadata!S602,"restricted access"))),AND(IF(Metadata!S602="",FALSE,ISNUMBER(VALUE(Metadata!S602))),Metadata!S602&gt;=-90,Metadata!S602&lt;=90))</f>
        <v>0</v>
      </c>
      <c r="BG602" t="b">
        <f>AND(IF(Metadata!T602="",FALSE,TRUE),EXACT(Metadata!T602,"Decimal degrees"))</f>
        <v>0</v>
      </c>
      <c r="BH602" t="b">
        <f>OR(AND(IF(Metadata!U602="",FALSE,TRUE),OR(EXACT(Metadata!U602,"not applicable"),EXACT(Metadata!U602,"not collected"))),IF(Metadata!U602="",FALSE,TRUE))</f>
        <v>0</v>
      </c>
      <c r="BI602" t="b">
        <f>OR(AND(IF(Metadata!V602="",FALSE,TRUE),OR(EXACT(Metadata!V602,"not collected"),EXACT(Metadata!V602,"not provided"),EXACT(Metadata!V602,"restricted access"))),AND(IF(Metadata!V602="",FALSE,ISNUMBER(VALUE(Metadata!V602))),Metadata!V602&gt;=-180,Metadata!V602&lt;=180))</f>
        <v>0</v>
      </c>
      <c r="BJ602" t="b">
        <f>AND(IF(Metadata!W602="",FALSE,TRUE),EXACT(Metadata!W602,"Decimal degrees"))</f>
        <v>0</v>
      </c>
      <c r="BK602" t="b">
        <f>IF(Metadata!X602="",FALSE,TRUE)</f>
        <v>0</v>
      </c>
      <c r="BL602" t="b">
        <f>OR(AND(IF(Metadata!Y602="",FALSE,TRUE),OR(EXACT(Metadata!Y602,"not collected"),EXACT(Metadata!Y602,"not provided"),EXACT(Metadata!Y602,"restricted access"))),AND(IF(Metadata!Y602="",FALSE,TRUE),OR(EXACT(Metadata!Y602,"TRUE"),EXACT(Metadata!Y602,"FALSE"))))</f>
        <v>0</v>
      </c>
      <c r="BM602" t="b">
        <f>OR(AND(IF(Metadata!Z602="",FALSE,TRUE),EXACT(Metadata!Z602,"not applicable")),AND(IF(Metadata!Z602="",FALSE,TRUE),OR(EXACT(Metadata!Z602,"beer"),EXACT(Metadata!Z602,"cheese"),EXACT(Metadata!Z602,"fresh water"),EXACT(Metadata!Z602,"marine sediment"),EXACT(Metadata!Z602,"sea water"),EXACT(Metadata!Z602,"sediment"),EXACT(Metadata!Z602,"soil"),EXACT(Metadata!Z602,"waste water"))))</f>
        <v>0</v>
      </c>
      <c r="BN602" t="b">
        <f>AND(IF(Metadata!AA602="",FALSE,TRUE),EXACT(Metadata!AA602,"metagenome"))</f>
        <v>0</v>
      </c>
      <c r="BO602" t="b">
        <f>AND(IF(Metadata!AB602="",FALSE,TRUE),EXACT(Metadata!AB602,"256318"))</f>
        <v>0</v>
      </c>
      <c r="BP602" t="b">
        <f>IF(Metadata!AC602="",FALSE,TRUE)</f>
        <v>0</v>
      </c>
      <c r="BQ602" t="b">
        <f>IF(Metadata!AD602="",FALSE,TRUE)</f>
        <v>0</v>
      </c>
    </row>
    <row r="603" spans="1:69" x14ac:dyDescent="0.2">
      <c r="A603" s="4" t="e">
        <f ca="1">IF(B603=" "," ",HYPERLINK(CONCATENATE("#metadata!",ADDRESS(INDEX($AJ$2:$AJ$1001,MATCH(ROWS($AH$2:AH603),$AH$2:$AH$1001,0),0),2)),INDEX($AM$2:$AM$1001,MATCH(ROWS($AH$2:AH603),$AH$2:$AH$1001,0),0)))</f>
        <v>#N/A</v>
      </c>
      <c r="B603" s="5" t="e">
        <f ca="1">IF(OR(INDEX($AI$2:$AI$1001,MATCH(ROWS($AH$2:AH603),$AH$2:$AH$1001,0),1)&gt;=100000,INDEX($AO$1005:$BQ$1005,1,MATCH(COLUMNS($AO$1006:AO1006),$AO$1006:$BQ$1006,0))&gt;=100000), " ",IF(INDEX($AO$2:$BQ$1001,MATCH(ROWS($AH$2:AH603),$AH$2:$AH$1001,0),MATCH(COLUMNS($AO$1006:AO1006),$AO$1006:$BQ$1006,0)), HYPERLINK("#",""), HYPERLINK(CONCATENATE("#Metadata!", ADDRESS(INDEX($AJ$2:$AJ$1001,MATCH(ROWS($AH$2:AH603),$AH$2:$AH$1001,0),0), INDEX($AO$1004:$BQ$1004,1,MATCH(COLUMNS($AO$1006:AO1006),$AO$1006:$BQ$1006,0)))),"Fix")))</f>
        <v>#N/A</v>
      </c>
      <c r="C603" s="5" t="e">
        <f ca="1">IF(OR(INDEX($AI$2:$AI$1001,MATCH(ROWS($AH$2:AH603),$AH$2:$AH$1001,0),1)&gt;=100000,INDEX($AO$1005:$BQ$1005,1,MATCH(COLUMNS($AO$1006:AP1006),$AO$1006:$BQ$1006,0))&gt;=100000), " ",IF(INDEX($AO$2:$BQ$1001,MATCH(ROWS($AH$2:AH603),$AH$2:$AH$1001,0),MATCH(COLUMNS($AO$1006:AP1006),$AO$1006:$BQ$1006,0)), HYPERLINK("#",""), HYPERLINK(CONCATENATE("#Metadata!", ADDRESS(INDEX($AJ$2:$AJ$1001,MATCH(ROWS($AH$2:AH603),$AH$2:$AH$1001,0),0), INDEX($AO$1004:$BQ$1004,1,MATCH(COLUMNS($AO$1006:AP1006),$AO$1006:$BQ$1006,0)))),"Fix")))</f>
        <v>#N/A</v>
      </c>
      <c r="D603" s="5" t="e">
        <f ca="1">IF(OR(INDEX($AI$2:$AI$1001,MATCH(ROWS($AH$2:AH603),$AH$2:$AH$1001,0),1)&gt;=100000,INDEX($AO$1005:$BQ$1005,1,MATCH(COLUMNS($AO$1006:AQ1006),$AO$1006:$BQ$1006,0))&gt;=100000), " ",IF(INDEX($AO$2:$BQ$1001,MATCH(ROWS($AH$2:AH603),$AH$2:$AH$1001,0),MATCH(COLUMNS($AO$1006:AQ1006),$AO$1006:$BQ$1006,0)), HYPERLINK("#",""), HYPERLINK(CONCATENATE("#Metadata!", ADDRESS(INDEX($AJ$2:$AJ$1001,MATCH(ROWS($AH$2:AH603),$AH$2:$AH$1001,0),0), INDEX($AO$1004:$BQ$1004,1,MATCH(COLUMNS($AO$1006:AQ1006),$AO$1006:$BQ$1006,0)))),"Fix")))</f>
        <v>#N/A</v>
      </c>
      <c r="E603" s="5" t="e">
        <f ca="1">IF(OR(INDEX($AI$2:$AI$1001,MATCH(ROWS($AH$2:AH603),$AH$2:$AH$1001,0),1)&gt;=100000,INDEX($AO$1005:$BQ$1005,1,MATCH(COLUMNS($AO$1006:AR1006),$AO$1006:$BQ$1006,0))&gt;=100000), " ",IF(INDEX($AO$2:$BQ$1001,MATCH(ROWS($AH$2:AH603),$AH$2:$AH$1001,0),MATCH(COLUMNS($AO$1006:AR1006),$AO$1006:$BQ$1006,0)), HYPERLINK("#",""), HYPERLINK(CONCATENATE("#Metadata!", ADDRESS(INDEX($AJ$2:$AJ$1001,MATCH(ROWS($AH$2:AH603),$AH$2:$AH$1001,0),0), INDEX($AO$1004:$BQ$1004,1,MATCH(COLUMNS($AO$1006:AR1006),$AO$1006:$BQ$1006,0)))),"Fix")))</f>
        <v>#N/A</v>
      </c>
      <c r="F603" s="5" t="e">
        <f ca="1">IF(OR(INDEX($AI$2:$AI$1001,MATCH(ROWS($AH$2:AH603),$AH$2:$AH$1001,0),1)&gt;=100000,INDEX($AO$1005:$BQ$1005,1,MATCH(COLUMNS($AO$1006:AS1006),$AO$1006:$BQ$1006,0))&gt;=100000), " ",IF(INDEX($AO$2:$BQ$1001,MATCH(ROWS($AH$2:AH603),$AH$2:$AH$1001,0),MATCH(COLUMNS($AO$1006:AS1006),$AO$1006:$BQ$1006,0)), HYPERLINK("#",""), HYPERLINK(CONCATENATE("#Metadata!", ADDRESS(INDEX($AJ$2:$AJ$1001,MATCH(ROWS($AH$2:AH603),$AH$2:$AH$1001,0),0), INDEX($AO$1004:$BQ$1004,1,MATCH(COLUMNS($AO$1006:AS1006),$AO$1006:$BQ$1006,0)))),"Fix")))</f>
        <v>#N/A</v>
      </c>
      <c r="G603" s="5" t="e">
        <f ca="1">IF(OR(INDEX($AI$2:$AI$1001,MATCH(ROWS($AH$2:AH603),$AH$2:$AH$1001,0),1)&gt;=100000,INDEX($AO$1005:$BQ$1005,1,MATCH(COLUMNS($AO$1006:AT1006),$AO$1006:$BQ$1006,0))&gt;=100000), " ",IF(INDEX($AO$2:$BQ$1001,MATCH(ROWS($AH$2:AH603),$AH$2:$AH$1001,0),MATCH(COLUMNS($AO$1006:AT1006),$AO$1006:$BQ$1006,0)), HYPERLINK("#",""), HYPERLINK(CONCATENATE("#Metadata!", ADDRESS(INDEX($AJ$2:$AJ$1001,MATCH(ROWS($AH$2:AH603),$AH$2:$AH$1001,0),0), INDEX($AO$1004:$BQ$1004,1,MATCH(COLUMNS($AO$1006:AT1006),$AO$1006:$BQ$1006,0)))),"Fix")))</f>
        <v>#N/A</v>
      </c>
      <c r="H603" s="5" t="e">
        <f ca="1">IF(OR(INDEX($AI$2:$AI$1001,MATCH(ROWS($AH$2:AH603),$AH$2:$AH$1001,0),1)&gt;=100000,INDEX($AO$1005:$BQ$1005,1,MATCH(COLUMNS($AO$1006:AU1006),$AO$1006:$BQ$1006,0))&gt;=100000), " ",IF(INDEX($AO$2:$BQ$1001,MATCH(ROWS($AH$2:AH603),$AH$2:$AH$1001,0),MATCH(COLUMNS($AO$1006:AU1006),$AO$1006:$BQ$1006,0)), HYPERLINK("#",""), HYPERLINK(CONCATENATE("#Metadata!", ADDRESS(INDEX($AJ$2:$AJ$1001,MATCH(ROWS($AH$2:AH603),$AH$2:$AH$1001,0),0), INDEX($AO$1004:$BQ$1004,1,MATCH(COLUMNS($AO$1006:AU1006),$AO$1006:$BQ$1006,0)))),"Fix")))</f>
        <v>#N/A</v>
      </c>
      <c r="I603" s="5" t="e">
        <f ca="1">IF(OR(INDEX($AI$2:$AI$1001,MATCH(ROWS($AH$2:AH603),$AH$2:$AH$1001,0),1)&gt;=100000,INDEX($AO$1005:$BQ$1005,1,MATCH(COLUMNS($AO$1006:AV1006),$AO$1006:$BQ$1006,0))&gt;=100000), " ",IF(INDEX($AO$2:$BQ$1001,MATCH(ROWS($AH$2:AH603),$AH$2:$AH$1001,0),MATCH(COLUMNS($AO$1006:AV1006),$AO$1006:$BQ$1006,0)), HYPERLINK("#",""), HYPERLINK(CONCATENATE("#Metadata!", ADDRESS(INDEX($AJ$2:$AJ$1001,MATCH(ROWS($AH$2:AH603),$AH$2:$AH$1001,0),0), INDEX($AO$1004:$BQ$1004,1,MATCH(COLUMNS($AO$1006:AV1006),$AO$1006:$BQ$1006,0)))),"Fix")))</f>
        <v>#N/A</v>
      </c>
      <c r="J603" s="5" t="e">
        <f ca="1">IF(OR(INDEX($AI$2:$AI$1001,MATCH(ROWS($AH$2:AH603),$AH$2:$AH$1001,0),1)&gt;=100000,INDEX($AO$1005:$BQ$1005,1,MATCH(COLUMNS($AO$1006:AW1006),$AO$1006:$BQ$1006,0))&gt;=100000), " ",IF(INDEX($AO$2:$BQ$1001,MATCH(ROWS($AH$2:AH603),$AH$2:$AH$1001,0),MATCH(COLUMNS($AO$1006:AW1006),$AO$1006:$BQ$1006,0)), HYPERLINK("#",""), HYPERLINK(CONCATENATE("#Metadata!", ADDRESS(INDEX($AJ$2:$AJ$1001,MATCH(ROWS($AH$2:AH603),$AH$2:$AH$1001,0),0), INDEX($AO$1004:$BQ$1004,1,MATCH(COLUMNS($AO$1006:AW1006),$AO$1006:$BQ$1006,0)))),"Fix")))</f>
        <v>#N/A</v>
      </c>
      <c r="K603" s="5" t="e">
        <f ca="1">IF(OR(INDEX($AI$2:$AI$1001,MATCH(ROWS($AH$2:AH603),$AH$2:$AH$1001,0),1)&gt;=100000,INDEX($AO$1005:$BQ$1005,1,MATCH(COLUMNS($AO$1006:AX1006),$AO$1006:$BQ$1006,0))&gt;=100000), " ",IF(INDEX($AO$2:$BQ$1001,MATCH(ROWS($AH$2:AH603),$AH$2:$AH$1001,0),MATCH(COLUMNS($AO$1006:AX1006),$AO$1006:$BQ$1006,0)), HYPERLINK("#",""), HYPERLINK(CONCATENATE("#Metadata!", ADDRESS(INDEX($AJ$2:$AJ$1001,MATCH(ROWS($AH$2:AH603),$AH$2:$AH$1001,0),0), INDEX($AO$1004:$BQ$1004,1,MATCH(COLUMNS($AO$1006:AX1006),$AO$1006:$BQ$1006,0)))),"Fix")))</f>
        <v>#N/A</v>
      </c>
      <c r="L603" s="5" t="e">
        <f ca="1">IF(OR(INDEX($AI$2:$AI$1001,MATCH(ROWS($AH$2:AH603),$AH$2:$AH$1001,0),1)&gt;=100000,INDEX($AO$1005:$BQ$1005,1,MATCH(COLUMNS($AO$1006:AY1006),$AO$1006:$BQ$1006,0))&gt;=100000), " ",IF(INDEX($AO$2:$BQ$1001,MATCH(ROWS($AH$2:AH603),$AH$2:$AH$1001,0),MATCH(COLUMNS($AO$1006:AY1006),$AO$1006:$BQ$1006,0)), HYPERLINK("#",""), HYPERLINK(CONCATENATE("#Metadata!", ADDRESS(INDEX($AJ$2:$AJ$1001,MATCH(ROWS($AH$2:AH603),$AH$2:$AH$1001,0),0), INDEX($AO$1004:$BQ$1004,1,MATCH(COLUMNS($AO$1006:AY1006),$AO$1006:$BQ$1006,0)))),"Fix")))</f>
        <v>#N/A</v>
      </c>
      <c r="M603" s="5" t="e">
        <f ca="1">IF(OR(INDEX($AI$2:$AI$1001,MATCH(ROWS($AH$2:AH603),$AH$2:$AH$1001,0),1)&gt;=100000,INDEX($AO$1005:$BQ$1005,1,MATCH(COLUMNS($AO$1006:AZ1006),$AO$1006:$BQ$1006,0))&gt;=100000), " ",IF(INDEX($AO$2:$BQ$1001,MATCH(ROWS($AH$2:AH603),$AH$2:$AH$1001,0),MATCH(COLUMNS($AO$1006:AZ1006),$AO$1006:$BQ$1006,0)), HYPERLINK("#",""), HYPERLINK(CONCATENATE("#Metadata!", ADDRESS(INDEX($AJ$2:$AJ$1001,MATCH(ROWS($AH$2:AH603),$AH$2:$AH$1001,0),0), INDEX($AO$1004:$BQ$1004,1,MATCH(COLUMNS($AO$1006:AZ1006),$AO$1006:$BQ$1006,0)))),"Fix")))</f>
        <v>#N/A</v>
      </c>
      <c r="N603" s="5" t="e">
        <f ca="1">IF(OR(INDEX($AI$2:$AI$1001,MATCH(ROWS($AH$2:AH603),$AH$2:$AH$1001,0),1)&gt;=100000,INDEX($AO$1005:$BQ$1005,1,MATCH(COLUMNS($AO$1006:BA1006),$AO$1006:$BQ$1006,0))&gt;=100000), " ",IF(INDEX($AO$2:$BQ$1001,MATCH(ROWS($AH$2:AH603),$AH$2:$AH$1001,0),MATCH(COLUMNS($AO$1006:BA1006),$AO$1006:$BQ$1006,0)), HYPERLINK("#",""), HYPERLINK(CONCATENATE("#Metadata!", ADDRESS(INDEX($AJ$2:$AJ$1001,MATCH(ROWS($AH$2:AH603),$AH$2:$AH$1001,0),0), INDEX($AO$1004:$BQ$1004,1,MATCH(COLUMNS($AO$1006:BA1006),$AO$1006:$BQ$1006,0)))),"Fix")))</f>
        <v>#N/A</v>
      </c>
      <c r="O603" s="5" t="e">
        <f ca="1">IF(OR(INDEX($AI$2:$AI$1001,MATCH(ROWS($AH$2:AH603),$AH$2:$AH$1001,0),1)&gt;=100000,INDEX($AO$1005:$BQ$1005,1,MATCH(COLUMNS($AO$1006:BB1006),$AO$1006:$BQ$1006,0))&gt;=100000), " ",IF(INDEX($AO$2:$BQ$1001,MATCH(ROWS($AH$2:AH603),$AH$2:$AH$1001,0),MATCH(COLUMNS($AO$1006:BB1006),$AO$1006:$BQ$1006,0)), HYPERLINK("#",""), HYPERLINK(CONCATENATE("#Metadata!", ADDRESS(INDEX($AJ$2:$AJ$1001,MATCH(ROWS($AH$2:AH603),$AH$2:$AH$1001,0),0), INDEX($AO$1004:$BQ$1004,1,MATCH(COLUMNS($AO$1006:BB1006),$AO$1006:$BQ$1006,0)))),"Fix")))</f>
        <v>#N/A</v>
      </c>
      <c r="P603" s="5" t="e">
        <f ca="1">IF(OR(INDEX($AI$2:$AI$1001,MATCH(ROWS($AH$2:AH603),$AH$2:$AH$1001,0),1)&gt;=100000,INDEX($AO$1005:$BQ$1005,1,MATCH(COLUMNS($AO$1006:BC1006),$AO$1006:$BQ$1006,0))&gt;=100000), " ",IF(INDEX($AO$2:$BQ$1001,MATCH(ROWS($AH$2:AH603),$AH$2:$AH$1001,0),MATCH(COLUMNS($AO$1006:BC1006),$AO$1006:$BQ$1006,0)), HYPERLINK("#",""), HYPERLINK(CONCATENATE("#Metadata!", ADDRESS(INDEX($AJ$2:$AJ$1001,MATCH(ROWS($AH$2:AH603),$AH$2:$AH$1001,0),0), INDEX($AO$1004:$BQ$1004,1,MATCH(COLUMNS($AO$1006:BC1006),$AO$1006:$BQ$1006,0)))),"Fix")))</f>
        <v>#N/A</v>
      </c>
      <c r="Q603" s="5" t="e">
        <f ca="1">IF(OR(INDEX($AI$2:$AI$1001,MATCH(ROWS($AH$2:AH603),$AH$2:$AH$1001,0),1)&gt;=100000,INDEX($AO$1005:$BQ$1005,1,MATCH(COLUMNS($AO$1006:BD1006),$AO$1006:$BQ$1006,0))&gt;=100000), " ",IF(INDEX($AO$2:$BQ$1001,MATCH(ROWS($AH$2:AH603),$AH$2:$AH$1001,0),MATCH(COLUMNS($AO$1006:BD1006),$AO$1006:$BQ$1006,0)), HYPERLINK("#",""), HYPERLINK(CONCATENATE("#Metadata!", ADDRESS(INDEX($AJ$2:$AJ$1001,MATCH(ROWS($AH$2:AH603),$AH$2:$AH$1001,0),0), INDEX($AO$1004:$BQ$1004,1,MATCH(COLUMNS($AO$1006:BD1006),$AO$1006:$BQ$1006,0)))),"Fix")))</f>
        <v>#N/A</v>
      </c>
      <c r="R603" s="5" t="e">
        <f ca="1">IF(OR(INDEX($AI$2:$AI$1001,MATCH(ROWS($AH$2:AH603),$AH$2:$AH$1001,0),1)&gt;=100000,INDEX($AO$1005:$BQ$1005,1,MATCH(COLUMNS($AO$1006:BE1006),$AO$1006:$BQ$1006,0))&gt;=100000), " ",IF(INDEX($AO$2:$BQ$1001,MATCH(ROWS($AH$2:AH603),$AH$2:$AH$1001,0),MATCH(COLUMNS($AO$1006:BE1006),$AO$1006:$BQ$1006,0)), HYPERLINK("#",""), HYPERLINK(CONCATENATE("#Metadata!", ADDRESS(INDEX($AJ$2:$AJ$1001,MATCH(ROWS($AH$2:AH603),$AH$2:$AH$1001,0),0), INDEX($AO$1004:$BQ$1004,1,MATCH(COLUMNS($AO$1006:BE1006),$AO$1006:$BQ$1006,0)))),"Fix")))</f>
        <v>#N/A</v>
      </c>
      <c r="S603" s="5" t="e">
        <f ca="1">IF(OR(INDEX($AI$2:$AI$1001,MATCH(ROWS($AH$2:AH603),$AH$2:$AH$1001,0),1)&gt;=100000,INDEX($AO$1005:$BQ$1005,1,MATCH(COLUMNS($AO$1006:BF1006),$AO$1006:$BQ$1006,0))&gt;=100000), " ",IF(INDEX($AO$2:$BQ$1001,MATCH(ROWS($AH$2:AH603),$AH$2:$AH$1001,0),MATCH(COLUMNS($AO$1006:BF1006),$AO$1006:$BQ$1006,0)), HYPERLINK("#",""), HYPERLINK(CONCATENATE("#Metadata!", ADDRESS(INDEX($AJ$2:$AJ$1001,MATCH(ROWS($AH$2:AH603),$AH$2:$AH$1001,0),0), INDEX($AO$1004:$BQ$1004,1,MATCH(COLUMNS($AO$1006:BF1006),$AO$1006:$BQ$1006,0)))),"Fix")))</f>
        <v>#N/A</v>
      </c>
      <c r="T603" s="5" t="e">
        <f ca="1">IF(OR(INDEX($AI$2:$AI$1001,MATCH(ROWS($AH$2:AH603),$AH$2:$AH$1001,0),1)&gt;=100000,INDEX($AO$1005:$BQ$1005,1,MATCH(COLUMNS($AO$1006:BG1006),$AO$1006:$BQ$1006,0))&gt;=100000), " ",IF(INDEX($AO$2:$BQ$1001,MATCH(ROWS($AH$2:AH603),$AH$2:$AH$1001,0),MATCH(COLUMNS($AO$1006:BG1006),$AO$1006:$BQ$1006,0)), HYPERLINK("#",""), HYPERLINK(CONCATENATE("#Metadata!", ADDRESS(INDEX($AJ$2:$AJ$1001,MATCH(ROWS($AH$2:AH603),$AH$2:$AH$1001,0),0), INDEX($AO$1004:$BQ$1004,1,MATCH(COLUMNS($AO$1006:BG1006),$AO$1006:$BQ$1006,0)))),"Fix")))</f>
        <v>#N/A</v>
      </c>
      <c r="U603" s="5" t="e">
        <f ca="1">IF(OR(INDEX($AI$2:$AI$1001,MATCH(ROWS($AH$2:AH603),$AH$2:$AH$1001,0),1)&gt;=100000,INDEX($AO$1005:$BQ$1005,1,MATCH(COLUMNS($AO$1006:BH1006),$AO$1006:$BQ$1006,0))&gt;=100000), " ",IF(INDEX($AO$2:$BQ$1001,MATCH(ROWS($AH$2:AH603),$AH$2:$AH$1001,0),MATCH(COLUMNS($AO$1006:BH1006),$AO$1006:$BQ$1006,0)), HYPERLINK("#",""), HYPERLINK(CONCATENATE("#Metadata!", ADDRESS(INDEX($AJ$2:$AJ$1001,MATCH(ROWS($AH$2:AH603),$AH$2:$AH$1001,0),0), INDEX($AO$1004:$BQ$1004,1,MATCH(COLUMNS($AO$1006:BH1006),$AO$1006:$BQ$1006,0)))),"Fix")))</f>
        <v>#N/A</v>
      </c>
      <c r="V603" s="5" t="e">
        <f ca="1">IF(OR(INDEX($AI$2:$AI$1001,MATCH(ROWS($AH$2:AH603),$AH$2:$AH$1001,0),1)&gt;=100000,INDEX($AO$1005:$BQ$1005,1,MATCH(COLUMNS($AO$1006:BI1006),$AO$1006:$BQ$1006,0))&gt;=100000), " ",IF(INDEX($AO$2:$BQ$1001,MATCH(ROWS($AH$2:AH603),$AH$2:$AH$1001,0),MATCH(COLUMNS($AO$1006:BI1006),$AO$1006:$BQ$1006,0)), HYPERLINK("#",""), HYPERLINK(CONCATENATE("#Metadata!", ADDRESS(INDEX($AJ$2:$AJ$1001,MATCH(ROWS($AH$2:AH603),$AH$2:$AH$1001,0),0), INDEX($AO$1004:$BQ$1004,1,MATCH(COLUMNS($AO$1006:BI1006),$AO$1006:$BQ$1006,0)))),"Fix")))</f>
        <v>#N/A</v>
      </c>
      <c r="W603" s="5" t="e">
        <f ca="1">IF(OR(INDEX($AI$2:$AI$1001,MATCH(ROWS($AH$2:AH603),$AH$2:$AH$1001,0),1)&gt;=100000,INDEX($AO$1005:$BQ$1005,1,MATCH(COLUMNS($AO$1006:BJ1006),$AO$1006:$BQ$1006,0))&gt;=100000), " ",IF(INDEX($AO$2:$BQ$1001,MATCH(ROWS($AH$2:AH603),$AH$2:$AH$1001,0),MATCH(COLUMNS($AO$1006:BJ1006),$AO$1006:$BQ$1006,0)), HYPERLINK("#",""), HYPERLINK(CONCATENATE("#Metadata!", ADDRESS(INDEX($AJ$2:$AJ$1001,MATCH(ROWS($AH$2:AH603),$AH$2:$AH$1001,0),0), INDEX($AO$1004:$BQ$1004,1,MATCH(COLUMNS($AO$1006:BJ1006),$AO$1006:$BQ$1006,0)))),"Fix")))</f>
        <v>#N/A</v>
      </c>
      <c r="X603" s="5" t="e">
        <f ca="1">IF(OR(INDEX($AI$2:$AI$1001,MATCH(ROWS($AH$2:AH603),$AH$2:$AH$1001,0),1)&gt;=100000,INDEX($AO$1005:$BQ$1005,1,MATCH(COLUMNS($AO$1006:BK1006),$AO$1006:$BQ$1006,0))&gt;=100000), " ",IF(INDEX($AO$2:$BQ$1001,MATCH(ROWS($AH$2:AH603),$AH$2:$AH$1001,0),MATCH(COLUMNS($AO$1006:BK1006),$AO$1006:$BQ$1006,0)), HYPERLINK("#",""), HYPERLINK(CONCATENATE("#Metadata!", ADDRESS(INDEX($AJ$2:$AJ$1001,MATCH(ROWS($AH$2:AH603),$AH$2:$AH$1001,0),0), INDEX($AO$1004:$BQ$1004,1,MATCH(COLUMNS($AO$1006:BK1006),$AO$1006:$BQ$1006,0)))),"Fix")))</f>
        <v>#N/A</v>
      </c>
      <c r="Y603" s="5" t="e">
        <f ca="1">IF(OR(INDEX($AI$2:$AI$1001,MATCH(ROWS($AH$2:AH603),$AH$2:$AH$1001,0),1)&gt;=100000,INDEX($AO$1005:$BQ$1005,1,MATCH(COLUMNS($AO$1006:BL1006),$AO$1006:$BQ$1006,0))&gt;=100000), " ",IF(INDEX($AO$2:$BQ$1001,MATCH(ROWS($AH$2:AH603),$AH$2:$AH$1001,0),MATCH(COLUMNS($AO$1006:BL1006),$AO$1006:$BQ$1006,0)), HYPERLINK("#",""), HYPERLINK(CONCATENATE("#Metadata!", ADDRESS(INDEX($AJ$2:$AJ$1001,MATCH(ROWS($AH$2:AH603),$AH$2:$AH$1001,0),0), INDEX($AO$1004:$BQ$1004,1,MATCH(COLUMNS($AO$1006:BL1006),$AO$1006:$BQ$1006,0)))),"Fix")))</f>
        <v>#N/A</v>
      </c>
      <c r="Z603" s="5" t="e">
        <f ca="1">IF(OR(INDEX($AI$2:$AI$1001,MATCH(ROWS($AH$2:AH603),$AH$2:$AH$1001,0),1)&gt;=100000,INDEX($AO$1005:$BQ$1005,1,MATCH(COLUMNS($AO$1006:BM1006),$AO$1006:$BQ$1006,0))&gt;=100000), " ",IF(INDEX($AO$2:$BQ$1001,MATCH(ROWS($AH$2:AH603),$AH$2:$AH$1001,0),MATCH(COLUMNS($AO$1006:BM1006),$AO$1006:$BQ$1006,0)), HYPERLINK("#",""), HYPERLINK(CONCATENATE("#Metadata!", ADDRESS(INDEX($AJ$2:$AJ$1001,MATCH(ROWS($AH$2:AH603),$AH$2:$AH$1001,0),0), INDEX($AO$1004:$BQ$1004,1,MATCH(COLUMNS($AO$1006:BM1006),$AO$1006:$BQ$1006,0)))),"Fix")))</f>
        <v>#N/A</v>
      </c>
      <c r="AA603" s="5" t="e">
        <f ca="1">IF(OR(INDEX($AI$2:$AI$1001,MATCH(ROWS($AH$2:AH603),$AH$2:$AH$1001,0),1)&gt;=100000,INDEX($AO$1005:$BQ$1005,1,MATCH(COLUMNS($AO$1006:BN1006),$AO$1006:$BQ$1006,0))&gt;=100000), " ",IF(INDEX($AO$2:$BQ$1001,MATCH(ROWS($AH$2:AH603),$AH$2:$AH$1001,0),MATCH(COLUMNS($AO$1006:BN1006),$AO$1006:$BQ$1006,0)), HYPERLINK("#",""), HYPERLINK(CONCATENATE("#Metadata!", ADDRESS(INDEX($AJ$2:$AJ$1001,MATCH(ROWS($AH$2:AH603),$AH$2:$AH$1001,0),0), INDEX($AO$1004:$BQ$1004,1,MATCH(COLUMNS($AO$1006:BN1006),$AO$1006:$BQ$1006,0)))),"Fix")))</f>
        <v>#N/A</v>
      </c>
      <c r="AB603" s="5" t="e">
        <f ca="1">IF(OR(INDEX($AI$2:$AI$1001,MATCH(ROWS($AH$2:AH603),$AH$2:$AH$1001,0),1)&gt;=100000,INDEX($AO$1005:$BQ$1005,1,MATCH(COLUMNS($AO$1006:BO1006),$AO$1006:$BQ$1006,0))&gt;=100000), " ",IF(INDEX($AO$2:$BQ$1001,MATCH(ROWS($AH$2:AH603),$AH$2:$AH$1001,0),MATCH(COLUMNS($AO$1006:BO1006),$AO$1006:$BQ$1006,0)), HYPERLINK("#",""), HYPERLINK(CONCATENATE("#Metadata!", ADDRESS(INDEX($AJ$2:$AJ$1001,MATCH(ROWS($AH$2:AH603),$AH$2:$AH$1001,0),0), INDEX($AO$1004:$BQ$1004,1,MATCH(COLUMNS($AO$1006:BO1006),$AO$1006:$BQ$1006,0)))),"Fix")))</f>
        <v>#N/A</v>
      </c>
      <c r="AC603" s="5" t="e">
        <f ca="1">IF(OR(INDEX($AI$2:$AI$1001,MATCH(ROWS($AH$2:AH603),$AH$2:$AH$1001,0),1)&gt;=100000,INDEX($AO$1005:$BQ$1005,1,MATCH(COLUMNS($AO$1006:BP1006),$AO$1006:$BQ$1006,0))&gt;=100000), " ",IF(INDEX($AO$2:$BQ$1001,MATCH(ROWS($AH$2:AH603),$AH$2:$AH$1001,0),MATCH(COLUMNS($AO$1006:BP1006),$AO$1006:$BQ$1006,0)), HYPERLINK("#",""), HYPERLINK(CONCATENATE("#Metadata!", ADDRESS(INDEX($AJ$2:$AJ$1001,MATCH(ROWS($AH$2:AH603),$AH$2:$AH$1001,0),0), INDEX($AO$1004:$BQ$1004,1,MATCH(COLUMNS($AO$1006:BP1006),$AO$1006:$BQ$1006,0)))),"Fix")))</f>
        <v>#N/A</v>
      </c>
      <c r="AD603" s="5" t="e">
        <f ca="1">IF(OR(INDEX($AI$2:$AI$1001,MATCH(ROWS($AH$2:AH603),$AH$2:$AH$1001,0),1)&gt;=100000,INDEX($AO$1005:$BQ$1005,1,MATCH(COLUMNS($AO$1006:BQ1006),$AO$1006:$BQ$1006,0))&gt;=100000), " ",IF(INDEX($AO$2:$BQ$1001,MATCH(ROWS($AH$2:AH603),$AH$2:$AH$1001,0),MATCH(COLUMNS($AO$1006:BQ1006),$AO$1006:$BQ$1006,0)), HYPERLINK("#",""), HYPERLINK(CONCATENATE("#Metadata!", ADDRESS(INDEX($AJ$2:$AJ$1001,MATCH(ROWS($AH$2:AH603),$AH$2:$AH$1001,0),0), INDEX($AO$1004:$BQ$1004,1,MATCH(COLUMNS($AO$1006:BQ1006),$AO$1006:$BQ$1006,0)))),"Fix")))</f>
        <v>#REF!</v>
      </c>
      <c r="AH603">
        <f ca="1"/>
        <v>600</v>
      </c>
      <c r="AI603">
        <v>100603</v>
      </c>
      <c r="AJ603">
        <v>603</v>
      </c>
      <c r="AK603" t="b">
        <f t="shared" si="9"/>
        <v>1</v>
      </c>
      <c r="AL603" t="b">
        <f>COUNTBLANK(Metadata!B603:AD603)=COLUMNS(Metadata!B603:AD603)</f>
        <v>1</v>
      </c>
      <c r="AM603" t="str">
        <v/>
      </c>
      <c r="AO603" t="b">
        <f ca="1">AND(IF(Metadata!B603="",FALSE,TRUE),COUNTIF(Metadata!B:B, Metadata!B603) = 1,NOT(ISERROR(SUMPRODUCT(SEARCH(MID(Metadata!B603,ROW(INDIRECT("1:"&amp;LEN(Metadata!B603))), 1),"0123456789abcdefghijklmnopqrstuvwxyzABCDEFGHIJKLMNOPQRSTUVWXYZ.")))))</f>
        <v>0</v>
      </c>
      <c r="AP603" t="b">
        <f>IF(Metadata!C603="",FALSE,TRUE)</f>
        <v>0</v>
      </c>
      <c r="AQ603" t="b">
        <f>IF(Metadata!D603="",FALSE,TRUE)</f>
        <v>0</v>
      </c>
      <c r="AR603" t="b">
        <f ca="1">OR(AND(IF(Metadata!E603="",FALSE,TRUE),OR(EXACT(Metadata!E603,"not collected"),EXACT(Metadata!E603,"not provided"),EXACT(Metadata!E603,"restricted access"))),AND(IF(Metadata!E603="",FALSE,TRUE),AND(AND(IFERROR(INT(LEFT(Metadata!E603,4))&gt;1900,FALSE),IFERROR(INT(LEFT(Metadata!E603,4))&lt;=YEAR(NOW()),FALSE)), OR(MID(Metadata!E603,5,1)="", AND(AND(MID(Metadata!E603,5,1)="-",IFERROR(INT(MID(Metadata!E603,6,1))&gt;=0,FALSE),IFERROR(INT(MID(Metadata!E603,6,1))&lt;=1,FALSE),NOT(MID(Metadata!E603,7,1)=""),IFERROR(INT(MID(Metadata!E603,6,2))&gt;=1,FALSE),IFERROR(INT(MID(Metadata!E603,6,2))&lt;=12,FALSE)), OR(MID(Metadata!E603,8,1)="", AND(AND(MID(Metadata!E603,8,1)="-",IFERROR(INT(MID(Metadata!E603,9,1))&gt;=0,FALSE),IFERROR(INT(MID(Metadata!E603,9,1))&lt;=3,FALSE),NOT(MID(Metadata!E603,10,1)=""),IFERROR(INT(MID(Metadata!E603,9,2))&gt;=1,FALSE),IFERROR(INT(MID(Metadata!E603,9,2))&lt;=31,FALSE)), OR(MID(Metadata!E603,11,1)="", AND(AND(MID(Metadata!E603,11,1)=" ",IFERROR(INT(MID(Metadata!E603,12,1))&gt;=0,FALSE),IFERROR(INT(MID(Metadata!E603,12,1))&lt;=2,FALSE),NOT(MID(Metadata!E603,13,1)=""),IFERROR(INT(MID(Metadata!E603,12,2))&gt;=0,FALSE),IFERROR(INT(MID(Metadata!E603,12,2))&lt;=23,FALSE)), OR(MID(Metadata!E603,14,1)="", AND(AND(MID(Metadata!E603,14,1)=":",IFERROR(INT(MID(Metadata!E603,15,1))&gt;=0,FALSE),IFERROR(INT(MID(Metadata!E603,15,1))&lt;=5,FALSE),NOT(MID(Metadata!E603,16,1)=""),IFERROR(INT(MID(Metadata!E603,15,2))&gt;=0,FALSE),IFERROR(INT(MID(Metadata!E603,15,2))&lt;=59,FALSE)), OR(MID(Metadata!E603,17,1)="", AND(AND(MID(Metadata!E603,17,1)=":",IFERROR(INT(MID(Metadata!E603,18,1))&gt;=0,FALSE),IFERROR(INT(MID(Metadata!E603,18,1))&lt;=5,FALSE),NOT(MID(Metadata!E603,19,1)=""),IFERROR(INT(MID(Metadata!E603,18,2))&gt;=0,FALSE),IFERROR(INT(MID(Metadata!E603,18,2))&lt;=59,FALSE)), LEN(Metadata!E603)&lt;=19)))))))))))))</f>
        <v>0</v>
      </c>
      <c r="AS603" t="b">
        <f>IF(Metadata!F603="",FALSE,TRUE)</f>
        <v>0</v>
      </c>
      <c r="AT603" t="b">
        <f>OR(AND(IF(Metadata!G603="",FALSE,TRUE),OR(EXACT(Metadata!G603,"not collected"),EXACT(Metadata!G603,"not provided"))),AND(IF(Metadata!G603="",FALSE,TRUE),OR(EXACT(Metadata!G603,"TRUE"),EXACT(Metadata!G603,"FALSE"))))</f>
        <v>0</v>
      </c>
      <c r="AU603" t="b">
        <f>OR(AND(IF(Metadata!H603="",FALSE,TRUE),OR(EXACT(Metadata!H603,"not collected"),EXACT(Metadata!H603,"not provided"),EXACT(Metadata!H603,"restricted access"))),AND(IF(Metadata!H603="",FALSE,ISNUMBER(VALUE(Metadata!H603))),Metadata!H603&gt;=-413))</f>
        <v>0</v>
      </c>
      <c r="AV603" t="b">
        <f>AND(IF(Metadata!I603="",FALSE,TRUE),EXACT(Metadata!I603,"meters"))</f>
        <v>0</v>
      </c>
      <c r="AW603" t="b">
        <f>AND(IF(Metadata!J603="",FALSE,TRUE),EXACT(Metadata!J603,"free-living"))</f>
        <v>0</v>
      </c>
      <c r="AX603" t="b">
        <f>AND(IF(Metadata!K603="",FALSE,TRUE),OR(EXACT(Metadata!K603,"saline"),EXACT(Metadata!K603,"non-saline")))</f>
        <v>0</v>
      </c>
      <c r="AY603" t="b">
        <f>AND(IF(Metadata!L603="",FALSE,TRUE),OR(EXACT(Metadata!L603,"sub-surface (non-saline)"),EXACT(Metadata!L603,"surface (non-saline)"),EXACT(Metadata!L603,"water (non-saline)"),EXACT(Metadata!L603,"soil (non-saline)"),EXACT(Metadata!L603,"aerosol (non-saline)"),EXACT(Metadata!L603,"sediment (non-saline)"),EXACT(Metadata!L603,"surface (saline)"),EXACT(Metadata!L603,"water (saline)"),EXACT(Metadata!L603,"hypersaline (saline)"),EXACT(Metadata!L603,"aerosol (saline)"),EXACT(Metadata!L603,"sediment (saline)")))</f>
        <v>0</v>
      </c>
      <c r="AZ603" t="b">
        <f>IF(Metadata!M603="",FALSE,TRUE)</f>
        <v>0</v>
      </c>
      <c r="BA603" t="b">
        <f>IF(Metadata!N603="",FALSE,TRUE)</f>
        <v>0</v>
      </c>
      <c r="BB603" t="b">
        <f>IF(Metadata!O603="",FALSE,TRUE)</f>
        <v>0</v>
      </c>
      <c r="BC603" t="b">
        <f>AND(IF(Metadata!P603="",FALSE,TRUE),OR(EXACT(Metadata!P603,"air"),EXACT(Metadata!P603,"microbial mat/biofilm"),EXACT(Metadata!P603,"misc environment"),EXACT(Metadata!P603,"sediment"),EXACT(Metadata!P603,"soil"),EXACT(Metadata!P603,"wastewater/sludge"),EXACT(Metadata!P603,"water")))</f>
        <v>0</v>
      </c>
      <c r="BD603" t="b">
        <f>IF(Metadata!Q603="",FALSE,TRUE)</f>
        <v>0</v>
      </c>
      <c r="BE603" t="b">
        <f>IF(Metadata!R603="",FALSE,TRUE)</f>
        <v>0</v>
      </c>
      <c r="BF603" t="b">
        <f>OR(AND(IF(Metadata!S603="",FALSE,TRUE),OR(EXACT(Metadata!S603,"not collected"),EXACT(Metadata!S603,"not provided"),EXACT(Metadata!S603,"restricted access"))),AND(IF(Metadata!S603="",FALSE,ISNUMBER(VALUE(Metadata!S603))),Metadata!S603&gt;=-90,Metadata!S603&lt;=90))</f>
        <v>0</v>
      </c>
      <c r="BG603" t="b">
        <f>AND(IF(Metadata!T603="",FALSE,TRUE),EXACT(Metadata!T603,"Decimal degrees"))</f>
        <v>0</v>
      </c>
      <c r="BH603" t="b">
        <f>OR(AND(IF(Metadata!U603="",FALSE,TRUE),OR(EXACT(Metadata!U603,"not applicable"),EXACT(Metadata!U603,"not collected"))),IF(Metadata!U603="",FALSE,TRUE))</f>
        <v>0</v>
      </c>
      <c r="BI603" t="b">
        <f>OR(AND(IF(Metadata!V603="",FALSE,TRUE),OR(EXACT(Metadata!V603,"not collected"),EXACT(Metadata!V603,"not provided"),EXACT(Metadata!V603,"restricted access"))),AND(IF(Metadata!V603="",FALSE,ISNUMBER(VALUE(Metadata!V603))),Metadata!V603&gt;=-180,Metadata!V603&lt;=180))</f>
        <v>0</v>
      </c>
      <c r="BJ603" t="b">
        <f>AND(IF(Metadata!W603="",FALSE,TRUE),EXACT(Metadata!W603,"Decimal degrees"))</f>
        <v>0</v>
      </c>
      <c r="BK603" t="b">
        <f>IF(Metadata!X603="",FALSE,TRUE)</f>
        <v>0</v>
      </c>
      <c r="BL603" t="b">
        <f>OR(AND(IF(Metadata!Y603="",FALSE,TRUE),OR(EXACT(Metadata!Y603,"not collected"),EXACT(Metadata!Y603,"not provided"),EXACT(Metadata!Y603,"restricted access"))),AND(IF(Metadata!Y603="",FALSE,TRUE),OR(EXACT(Metadata!Y603,"TRUE"),EXACT(Metadata!Y603,"FALSE"))))</f>
        <v>0</v>
      </c>
      <c r="BM603" t="b">
        <f>OR(AND(IF(Metadata!Z603="",FALSE,TRUE),EXACT(Metadata!Z603,"not applicable")),AND(IF(Metadata!Z603="",FALSE,TRUE),OR(EXACT(Metadata!Z603,"beer"),EXACT(Metadata!Z603,"cheese"),EXACT(Metadata!Z603,"fresh water"),EXACT(Metadata!Z603,"marine sediment"),EXACT(Metadata!Z603,"sea water"),EXACT(Metadata!Z603,"sediment"),EXACT(Metadata!Z603,"soil"),EXACT(Metadata!Z603,"waste water"))))</f>
        <v>0</v>
      </c>
      <c r="BN603" t="b">
        <f>AND(IF(Metadata!AA603="",FALSE,TRUE),EXACT(Metadata!AA603,"metagenome"))</f>
        <v>0</v>
      </c>
      <c r="BO603" t="b">
        <f>AND(IF(Metadata!AB603="",FALSE,TRUE),EXACT(Metadata!AB603,"256318"))</f>
        <v>0</v>
      </c>
      <c r="BP603" t="b">
        <f>IF(Metadata!AC603="",FALSE,TRUE)</f>
        <v>0</v>
      </c>
      <c r="BQ603" t="b">
        <f>IF(Metadata!AD603="",FALSE,TRUE)</f>
        <v>0</v>
      </c>
    </row>
    <row r="604" spans="1:69" x14ac:dyDescent="0.2">
      <c r="A604" s="4" t="e">
        <f ca="1">IF(B604=" "," ",HYPERLINK(CONCATENATE("#metadata!",ADDRESS(INDEX($AJ$2:$AJ$1001,MATCH(ROWS($AH$2:AH604),$AH$2:$AH$1001,0),0),2)),INDEX($AM$2:$AM$1001,MATCH(ROWS($AH$2:AH604),$AH$2:$AH$1001,0),0)))</f>
        <v>#N/A</v>
      </c>
      <c r="B604" s="5" t="e">
        <f ca="1">IF(OR(INDEX($AI$2:$AI$1001,MATCH(ROWS($AH$2:AH604),$AH$2:$AH$1001,0),1)&gt;=100000,INDEX($AO$1005:$BQ$1005,1,MATCH(COLUMNS($AO$1006:AO1006),$AO$1006:$BQ$1006,0))&gt;=100000), " ",IF(INDEX($AO$2:$BQ$1001,MATCH(ROWS($AH$2:AH604),$AH$2:$AH$1001,0),MATCH(COLUMNS($AO$1006:AO1006),$AO$1006:$BQ$1006,0)), HYPERLINK("#",""), HYPERLINK(CONCATENATE("#Metadata!", ADDRESS(INDEX($AJ$2:$AJ$1001,MATCH(ROWS($AH$2:AH604),$AH$2:$AH$1001,0),0), INDEX($AO$1004:$BQ$1004,1,MATCH(COLUMNS($AO$1006:AO1006),$AO$1006:$BQ$1006,0)))),"Fix")))</f>
        <v>#N/A</v>
      </c>
      <c r="C604" s="5" t="e">
        <f ca="1">IF(OR(INDEX($AI$2:$AI$1001,MATCH(ROWS($AH$2:AH604),$AH$2:$AH$1001,0),1)&gt;=100000,INDEX($AO$1005:$BQ$1005,1,MATCH(COLUMNS($AO$1006:AP1006),$AO$1006:$BQ$1006,0))&gt;=100000), " ",IF(INDEX($AO$2:$BQ$1001,MATCH(ROWS($AH$2:AH604),$AH$2:$AH$1001,0),MATCH(COLUMNS($AO$1006:AP1006),$AO$1006:$BQ$1006,0)), HYPERLINK("#",""), HYPERLINK(CONCATENATE("#Metadata!", ADDRESS(INDEX($AJ$2:$AJ$1001,MATCH(ROWS($AH$2:AH604),$AH$2:$AH$1001,0),0), INDEX($AO$1004:$BQ$1004,1,MATCH(COLUMNS($AO$1006:AP1006),$AO$1006:$BQ$1006,0)))),"Fix")))</f>
        <v>#N/A</v>
      </c>
      <c r="D604" s="5" t="e">
        <f ca="1">IF(OR(INDEX($AI$2:$AI$1001,MATCH(ROWS($AH$2:AH604),$AH$2:$AH$1001,0),1)&gt;=100000,INDEX($AO$1005:$BQ$1005,1,MATCH(COLUMNS($AO$1006:AQ1006),$AO$1006:$BQ$1006,0))&gt;=100000), " ",IF(INDEX($AO$2:$BQ$1001,MATCH(ROWS($AH$2:AH604),$AH$2:$AH$1001,0),MATCH(COLUMNS($AO$1006:AQ1006),$AO$1006:$BQ$1006,0)), HYPERLINK("#",""), HYPERLINK(CONCATENATE("#Metadata!", ADDRESS(INDEX($AJ$2:$AJ$1001,MATCH(ROWS($AH$2:AH604),$AH$2:$AH$1001,0),0), INDEX($AO$1004:$BQ$1004,1,MATCH(COLUMNS($AO$1006:AQ1006),$AO$1006:$BQ$1006,0)))),"Fix")))</f>
        <v>#N/A</v>
      </c>
      <c r="E604" s="5" t="e">
        <f ca="1">IF(OR(INDEX($AI$2:$AI$1001,MATCH(ROWS($AH$2:AH604),$AH$2:$AH$1001,0),1)&gt;=100000,INDEX($AO$1005:$BQ$1005,1,MATCH(COLUMNS($AO$1006:AR1006),$AO$1006:$BQ$1006,0))&gt;=100000), " ",IF(INDEX($AO$2:$BQ$1001,MATCH(ROWS($AH$2:AH604),$AH$2:$AH$1001,0),MATCH(COLUMNS($AO$1006:AR1006),$AO$1006:$BQ$1006,0)), HYPERLINK("#",""), HYPERLINK(CONCATENATE("#Metadata!", ADDRESS(INDEX($AJ$2:$AJ$1001,MATCH(ROWS($AH$2:AH604),$AH$2:$AH$1001,0),0), INDEX($AO$1004:$BQ$1004,1,MATCH(COLUMNS($AO$1006:AR1006),$AO$1006:$BQ$1006,0)))),"Fix")))</f>
        <v>#N/A</v>
      </c>
      <c r="F604" s="5" t="e">
        <f ca="1">IF(OR(INDEX($AI$2:$AI$1001,MATCH(ROWS($AH$2:AH604),$AH$2:$AH$1001,0),1)&gt;=100000,INDEX($AO$1005:$BQ$1005,1,MATCH(COLUMNS($AO$1006:AS1006),$AO$1006:$BQ$1006,0))&gt;=100000), " ",IF(INDEX($AO$2:$BQ$1001,MATCH(ROWS($AH$2:AH604),$AH$2:$AH$1001,0),MATCH(COLUMNS($AO$1006:AS1006),$AO$1006:$BQ$1006,0)), HYPERLINK("#",""), HYPERLINK(CONCATENATE("#Metadata!", ADDRESS(INDEX($AJ$2:$AJ$1001,MATCH(ROWS($AH$2:AH604),$AH$2:$AH$1001,0),0), INDEX($AO$1004:$BQ$1004,1,MATCH(COLUMNS($AO$1006:AS1006),$AO$1006:$BQ$1006,0)))),"Fix")))</f>
        <v>#N/A</v>
      </c>
      <c r="G604" s="5" t="e">
        <f ca="1">IF(OR(INDEX($AI$2:$AI$1001,MATCH(ROWS($AH$2:AH604),$AH$2:$AH$1001,0),1)&gt;=100000,INDEX($AO$1005:$BQ$1005,1,MATCH(COLUMNS($AO$1006:AT1006),$AO$1006:$BQ$1006,0))&gt;=100000), " ",IF(INDEX($AO$2:$BQ$1001,MATCH(ROWS($AH$2:AH604),$AH$2:$AH$1001,0),MATCH(COLUMNS($AO$1006:AT1006),$AO$1006:$BQ$1006,0)), HYPERLINK("#",""), HYPERLINK(CONCATENATE("#Metadata!", ADDRESS(INDEX($AJ$2:$AJ$1001,MATCH(ROWS($AH$2:AH604),$AH$2:$AH$1001,0),0), INDEX($AO$1004:$BQ$1004,1,MATCH(COLUMNS($AO$1006:AT1006),$AO$1006:$BQ$1006,0)))),"Fix")))</f>
        <v>#N/A</v>
      </c>
      <c r="H604" s="5" t="e">
        <f ca="1">IF(OR(INDEX($AI$2:$AI$1001,MATCH(ROWS($AH$2:AH604),$AH$2:$AH$1001,0),1)&gt;=100000,INDEX($AO$1005:$BQ$1005,1,MATCH(COLUMNS($AO$1006:AU1006),$AO$1006:$BQ$1006,0))&gt;=100000), " ",IF(INDEX($AO$2:$BQ$1001,MATCH(ROWS($AH$2:AH604),$AH$2:$AH$1001,0),MATCH(COLUMNS($AO$1006:AU1006),$AO$1006:$BQ$1006,0)), HYPERLINK("#",""), HYPERLINK(CONCATENATE("#Metadata!", ADDRESS(INDEX($AJ$2:$AJ$1001,MATCH(ROWS($AH$2:AH604),$AH$2:$AH$1001,0),0), INDEX($AO$1004:$BQ$1004,1,MATCH(COLUMNS($AO$1006:AU1006),$AO$1006:$BQ$1006,0)))),"Fix")))</f>
        <v>#N/A</v>
      </c>
      <c r="I604" s="5" t="e">
        <f ca="1">IF(OR(INDEX($AI$2:$AI$1001,MATCH(ROWS($AH$2:AH604),$AH$2:$AH$1001,0),1)&gt;=100000,INDEX($AO$1005:$BQ$1005,1,MATCH(COLUMNS($AO$1006:AV1006),$AO$1006:$BQ$1006,0))&gt;=100000), " ",IF(INDEX($AO$2:$BQ$1001,MATCH(ROWS($AH$2:AH604),$AH$2:$AH$1001,0),MATCH(COLUMNS($AO$1006:AV1006),$AO$1006:$BQ$1006,0)), HYPERLINK("#",""), HYPERLINK(CONCATENATE("#Metadata!", ADDRESS(INDEX($AJ$2:$AJ$1001,MATCH(ROWS($AH$2:AH604),$AH$2:$AH$1001,0),0), INDEX($AO$1004:$BQ$1004,1,MATCH(COLUMNS($AO$1006:AV1006),$AO$1006:$BQ$1006,0)))),"Fix")))</f>
        <v>#N/A</v>
      </c>
      <c r="J604" s="5" t="e">
        <f ca="1">IF(OR(INDEX($AI$2:$AI$1001,MATCH(ROWS($AH$2:AH604),$AH$2:$AH$1001,0),1)&gt;=100000,INDEX($AO$1005:$BQ$1005,1,MATCH(COLUMNS($AO$1006:AW1006),$AO$1006:$BQ$1006,0))&gt;=100000), " ",IF(INDEX($AO$2:$BQ$1001,MATCH(ROWS($AH$2:AH604),$AH$2:$AH$1001,0),MATCH(COLUMNS($AO$1006:AW1006),$AO$1006:$BQ$1006,0)), HYPERLINK("#",""), HYPERLINK(CONCATENATE("#Metadata!", ADDRESS(INDEX($AJ$2:$AJ$1001,MATCH(ROWS($AH$2:AH604),$AH$2:$AH$1001,0),0), INDEX($AO$1004:$BQ$1004,1,MATCH(COLUMNS($AO$1006:AW1006),$AO$1006:$BQ$1006,0)))),"Fix")))</f>
        <v>#N/A</v>
      </c>
      <c r="K604" s="5" t="e">
        <f ca="1">IF(OR(INDEX($AI$2:$AI$1001,MATCH(ROWS($AH$2:AH604),$AH$2:$AH$1001,0),1)&gt;=100000,INDEX($AO$1005:$BQ$1005,1,MATCH(COLUMNS($AO$1006:AX1006),$AO$1006:$BQ$1006,0))&gt;=100000), " ",IF(INDEX($AO$2:$BQ$1001,MATCH(ROWS($AH$2:AH604),$AH$2:$AH$1001,0),MATCH(COLUMNS($AO$1006:AX1006),$AO$1006:$BQ$1006,0)), HYPERLINK("#",""), HYPERLINK(CONCATENATE("#Metadata!", ADDRESS(INDEX($AJ$2:$AJ$1001,MATCH(ROWS($AH$2:AH604),$AH$2:$AH$1001,0),0), INDEX($AO$1004:$BQ$1004,1,MATCH(COLUMNS($AO$1006:AX1006),$AO$1006:$BQ$1006,0)))),"Fix")))</f>
        <v>#N/A</v>
      </c>
      <c r="L604" s="5" t="e">
        <f ca="1">IF(OR(INDEX($AI$2:$AI$1001,MATCH(ROWS($AH$2:AH604),$AH$2:$AH$1001,0),1)&gt;=100000,INDEX($AO$1005:$BQ$1005,1,MATCH(COLUMNS($AO$1006:AY1006),$AO$1006:$BQ$1006,0))&gt;=100000), " ",IF(INDEX($AO$2:$BQ$1001,MATCH(ROWS($AH$2:AH604),$AH$2:$AH$1001,0),MATCH(COLUMNS($AO$1006:AY1006),$AO$1006:$BQ$1006,0)), HYPERLINK("#",""), HYPERLINK(CONCATENATE("#Metadata!", ADDRESS(INDEX($AJ$2:$AJ$1001,MATCH(ROWS($AH$2:AH604),$AH$2:$AH$1001,0),0), INDEX($AO$1004:$BQ$1004,1,MATCH(COLUMNS($AO$1006:AY1006),$AO$1006:$BQ$1006,0)))),"Fix")))</f>
        <v>#N/A</v>
      </c>
      <c r="M604" s="5" t="e">
        <f ca="1">IF(OR(INDEX($AI$2:$AI$1001,MATCH(ROWS($AH$2:AH604),$AH$2:$AH$1001,0),1)&gt;=100000,INDEX($AO$1005:$BQ$1005,1,MATCH(COLUMNS($AO$1006:AZ1006),$AO$1006:$BQ$1006,0))&gt;=100000), " ",IF(INDEX($AO$2:$BQ$1001,MATCH(ROWS($AH$2:AH604),$AH$2:$AH$1001,0),MATCH(COLUMNS($AO$1006:AZ1006),$AO$1006:$BQ$1006,0)), HYPERLINK("#",""), HYPERLINK(CONCATENATE("#Metadata!", ADDRESS(INDEX($AJ$2:$AJ$1001,MATCH(ROWS($AH$2:AH604),$AH$2:$AH$1001,0),0), INDEX($AO$1004:$BQ$1004,1,MATCH(COLUMNS($AO$1006:AZ1006),$AO$1006:$BQ$1006,0)))),"Fix")))</f>
        <v>#N/A</v>
      </c>
      <c r="N604" s="5" t="e">
        <f ca="1">IF(OR(INDEX($AI$2:$AI$1001,MATCH(ROWS($AH$2:AH604),$AH$2:$AH$1001,0),1)&gt;=100000,INDEX($AO$1005:$BQ$1005,1,MATCH(COLUMNS($AO$1006:BA1006),$AO$1006:$BQ$1006,0))&gt;=100000), " ",IF(INDEX($AO$2:$BQ$1001,MATCH(ROWS($AH$2:AH604),$AH$2:$AH$1001,0),MATCH(COLUMNS($AO$1006:BA1006),$AO$1006:$BQ$1006,0)), HYPERLINK("#",""), HYPERLINK(CONCATENATE("#Metadata!", ADDRESS(INDEX($AJ$2:$AJ$1001,MATCH(ROWS($AH$2:AH604),$AH$2:$AH$1001,0),0), INDEX($AO$1004:$BQ$1004,1,MATCH(COLUMNS($AO$1006:BA1006),$AO$1006:$BQ$1006,0)))),"Fix")))</f>
        <v>#N/A</v>
      </c>
      <c r="O604" s="5" t="e">
        <f ca="1">IF(OR(INDEX($AI$2:$AI$1001,MATCH(ROWS($AH$2:AH604),$AH$2:$AH$1001,0),1)&gt;=100000,INDEX($AO$1005:$BQ$1005,1,MATCH(COLUMNS($AO$1006:BB1006),$AO$1006:$BQ$1006,0))&gt;=100000), " ",IF(INDEX($AO$2:$BQ$1001,MATCH(ROWS($AH$2:AH604),$AH$2:$AH$1001,0),MATCH(COLUMNS($AO$1006:BB1006),$AO$1006:$BQ$1006,0)), HYPERLINK("#",""), HYPERLINK(CONCATENATE("#Metadata!", ADDRESS(INDEX($AJ$2:$AJ$1001,MATCH(ROWS($AH$2:AH604),$AH$2:$AH$1001,0),0), INDEX($AO$1004:$BQ$1004,1,MATCH(COLUMNS($AO$1006:BB1006),$AO$1006:$BQ$1006,0)))),"Fix")))</f>
        <v>#N/A</v>
      </c>
      <c r="P604" s="5" t="e">
        <f ca="1">IF(OR(INDEX($AI$2:$AI$1001,MATCH(ROWS($AH$2:AH604),$AH$2:$AH$1001,0),1)&gt;=100000,INDEX($AO$1005:$BQ$1005,1,MATCH(COLUMNS($AO$1006:BC1006),$AO$1006:$BQ$1006,0))&gt;=100000), " ",IF(INDEX($AO$2:$BQ$1001,MATCH(ROWS($AH$2:AH604),$AH$2:$AH$1001,0),MATCH(COLUMNS($AO$1006:BC1006),$AO$1006:$BQ$1006,0)), HYPERLINK("#",""), HYPERLINK(CONCATENATE("#Metadata!", ADDRESS(INDEX($AJ$2:$AJ$1001,MATCH(ROWS($AH$2:AH604),$AH$2:$AH$1001,0),0), INDEX($AO$1004:$BQ$1004,1,MATCH(COLUMNS($AO$1006:BC1006),$AO$1006:$BQ$1006,0)))),"Fix")))</f>
        <v>#N/A</v>
      </c>
      <c r="Q604" s="5" t="e">
        <f ca="1">IF(OR(INDEX($AI$2:$AI$1001,MATCH(ROWS($AH$2:AH604),$AH$2:$AH$1001,0),1)&gt;=100000,INDEX($AO$1005:$BQ$1005,1,MATCH(COLUMNS($AO$1006:BD1006),$AO$1006:$BQ$1006,0))&gt;=100000), " ",IF(INDEX($AO$2:$BQ$1001,MATCH(ROWS($AH$2:AH604),$AH$2:$AH$1001,0),MATCH(COLUMNS($AO$1006:BD1006),$AO$1006:$BQ$1006,0)), HYPERLINK("#",""), HYPERLINK(CONCATENATE("#Metadata!", ADDRESS(INDEX($AJ$2:$AJ$1001,MATCH(ROWS($AH$2:AH604),$AH$2:$AH$1001,0),0), INDEX($AO$1004:$BQ$1004,1,MATCH(COLUMNS($AO$1006:BD1006),$AO$1006:$BQ$1006,0)))),"Fix")))</f>
        <v>#N/A</v>
      </c>
      <c r="R604" s="5" t="e">
        <f ca="1">IF(OR(INDEX($AI$2:$AI$1001,MATCH(ROWS($AH$2:AH604),$AH$2:$AH$1001,0),1)&gt;=100000,INDEX($AO$1005:$BQ$1005,1,MATCH(COLUMNS($AO$1006:BE1006),$AO$1006:$BQ$1006,0))&gt;=100000), " ",IF(INDEX($AO$2:$BQ$1001,MATCH(ROWS($AH$2:AH604),$AH$2:$AH$1001,0),MATCH(COLUMNS($AO$1006:BE1006),$AO$1006:$BQ$1006,0)), HYPERLINK("#",""), HYPERLINK(CONCATENATE("#Metadata!", ADDRESS(INDEX($AJ$2:$AJ$1001,MATCH(ROWS($AH$2:AH604),$AH$2:$AH$1001,0),0), INDEX($AO$1004:$BQ$1004,1,MATCH(COLUMNS($AO$1006:BE1006),$AO$1006:$BQ$1006,0)))),"Fix")))</f>
        <v>#N/A</v>
      </c>
      <c r="S604" s="5" t="e">
        <f ca="1">IF(OR(INDEX($AI$2:$AI$1001,MATCH(ROWS($AH$2:AH604),$AH$2:$AH$1001,0),1)&gt;=100000,INDEX($AO$1005:$BQ$1005,1,MATCH(COLUMNS($AO$1006:BF1006),$AO$1006:$BQ$1006,0))&gt;=100000), " ",IF(INDEX($AO$2:$BQ$1001,MATCH(ROWS($AH$2:AH604),$AH$2:$AH$1001,0),MATCH(COLUMNS($AO$1006:BF1006),$AO$1006:$BQ$1006,0)), HYPERLINK("#",""), HYPERLINK(CONCATENATE("#Metadata!", ADDRESS(INDEX($AJ$2:$AJ$1001,MATCH(ROWS($AH$2:AH604),$AH$2:$AH$1001,0),0), INDEX($AO$1004:$BQ$1004,1,MATCH(COLUMNS($AO$1006:BF1006),$AO$1006:$BQ$1006,0)))),"Fix")))</f>
        <v>#N/A</v>
      </c>
      <c r="T604" s="5" t="e">
        <f ca="1">IF(OR(INDEX($AI$2:$AI$1001,MATCH(ROWS($AH$2:AH604),$AH$2:$AH$1001,0),1)&gt;=100000,INDEX($AO$1005:$BQ$1005,1,MATCH(COLUMNS($AO$1006:BG1006),$AO$1006:$BQ$1006,0))&gt;=100000), " ",IF(INDEX($AO$2:$BQ$1001,MATCH(ROWS($AH$2:AH604),$AH$2:$AH$1001,0),MATCH(COLUMNS($AO$1006:BG1006),$AO$1006:$BQ$1006,0)), HYPERLINK("#",""), HYPERLINK(CONCATENATE("#Metadata!", ADDRESS(INDEX($AJ$2:$AJ$1001,MATCH(ROWS($AH$2:AH604),$AH$2:$AH$1001,0),0), INDEX($AO$1004:$BQ$1004,1,MATCH(COLUMNS($AO$1006:BG1006),$AO$1006:$BQ$1006,0)))),"Fix")))</f>
        <v>#N/A</v>
      </c>
      <c r="U604" s="5" t="e">
        <f ca="1">IF(OR(INDEX($AI$2:$AI$1001,MATCH(ROWS($AH$2:AH604),$AH$2:$AH$1001,0),1)&gt;=100000,INDEX($AO$1005:$BQ$1005,1,MATCH(COLUMNS($AO$1006:BH1006),$AO$1006:$BQ$1006,0))&gt;=100000), " ",IF(INDEX($AO$2:$BQ$1001,MATCH(ROWS($AH$2:AH604),$AH$2:$AH$1001,0),MATCH(COLUMNS($AO$1006:BH1006),$AO$1006:$BQ$1006,0)), HYPERLINK("#",""), HYPERLINK(CONCATENATE("#Metadata!", ADDRESS(INDEX($AJ$2:$AJ$1001,MATCH(ROWS($AH$2:AH604),$AH$2:$AH$1001,0),0), INDEX($AO$1004:$BQ$1004,1,MATCH(COLUMNS($AO$1006:BH1006),$AO$1006:$BQ$1006,0)))),"Fix")))</f>
        <v>#N/A</v>
      </c>
      <c r="V604" s="5" t="e">
        <f ca="1">IF(OR(INDEX($AI$2:$AI$1001,MATCH(ROWS($AH$2:AH604),$AH$2:$AH$1001,0),1)&gt;=100000,INDEX($AO$1005:$BQ$1005,1,MATCH(COLUMNS($AO$1006:BI1006),$AO$1006:$BQ$1006,0))&gt;=100000), " ",IF(INDEX($AO$2:$BQ$1001,MATCH(ROWS($AH$2:AH604),$AH$2:$AH$1001,0),MATCH(COLUMNS($AO$1006:BI1006),$AO$1006:$BQ$1006,0)), HYPERLINK("#",""), HYPERLINK(CONCATENATE("#Metadata!", ADDRESS(INDEX($AJ$2:$AJ$1001,MATCH(ROWS($AH$2:AH604),$AH$2:$AH$1001,0),0), INDEX($AO$1004:$BQ$1004,1,MATCH(COLUMNS($AO$1006:BI1006),$AO$1006:$BQ$1006,0)))),"Fix")))</f>
        <v>#N/A</v>
      </c>
      <c r="W604" s="5" t="e">
        <f ca="1">IF(OR(INDEX($AI$2:$AI$1001,MATCH(ROWS($AH$2:AH604),$AH$2:$AH$1001,0),1)&gt;=100000,INDEX($AO$1005:$BQ$1005,1,MATCH(COLUMNS($AO$1006:BJ1006),$AO$1006:$BQ$1006,0))&gt;=100000), " ",IF(INDEX($AO$2:$BQ$1001,MATCH(ROWS($AH$2:AH604),$AH$2:$AH$1001,0),MATCH(COLUMNS($AO$1006:BJ1006),$AO$1006:$BQ$1006,0)), HYPERLINK("#",""), HYPERLINK(CONCATENATE("#Metadata!", ADDRESS(INDEX($AJ$2:$AJ$1001,MATCH(ROWS($AH$2:AH604),$AH$2:$AH$1001,0),0), INDEX($AO$1004:$BQ$1004,1,MATCH(COLUMNS($AO$1006:BJ1006),$AO$1006:$BQ$1006,0)))),"Fix")))</f>
        <v>#N/A</v>
      </c>
      <c r="X604" s="5" t="e">
        <f ca="1">IF(OR(INDEX($AI$2:$AI$1001,MATCH(ROWS($AH$2:AH604),$AH$2:$AH$1001,0),1)&gt;=100000,INDEX($AO$1005:$BQ$1005,1,MATCH(COLUMNS($AO$1006:BK1006),$AO$1006:$BQ$1006,0))&gt;=100000), " ",IF(INDEX($AO$2:$BQ$1001,MATCH(ROWS($AH$2:AH604),$AH$2:$AH$1001,0),MATCH(COLUMNS($AO$1006:BK1006),$AO$1006:$BQ$1006,0)), HYPERLINK("#",""), HYPERLINK(CONCATENATE("#Metadata!", ADDRESS(INDEX($AJ$2:$AJ$1001,MATCH(ROWS($AH$2:AH604),$AH$2:$AH$1001,0),0), INDEX($AO$1004:$BQ$1004,1,MATCH(COLUMNS($AO$1006:BK1006),$AO$1006:$BQ$1006,0)))),"Fix")))</f>
        <v>#N/A</v>
      </c>
      <c r="Y604" s="5" t="e">
        <f ca="1">IF(OR(INDEX($AI$2:$AI$1001,MATCH(ROWS($AH$2:AH604),$AH$2:$AH$1001,0),1)&gt;=100000,INDEX($AO$1005:$BQ$1005,1,MATCH(COLUMNS($AO$1006:BL1006),$AO$1006:$BQ$1006,0))&gt;=100000), " ",IF(INDEX($AO$2:$BQ$1001,MATCH(ROWS($AH$2:AH604),$AH$2:$AH$1001,0),MATCH(COLUMNS($AO$1006:BL1006),$AO$1006:$BQ$1006,0)), HYPERLINK("#",""), HYPERLINK(CONCATENATE("#Metadata!", ADDRESS(INDEX($AJ$2:$AJ$1001,MATCH(ROWS($AH$2:AH604),$AH$2:$AH$1001,0),0), INDEX($AO$1004:$BQ$1004,1,MATCH(COLUMNS($AO$1006:BL1006),$AO$1006:$BQ$1006,0)))),"Fix")))</f>
        <v>#N/A</v>
      </c>
      <c r="Z604" s="5" t="e">
        <f ca="1">IF(OR(INDEX($AI$2:$AI$1001,MATCH(ROWS($AH$2:AH604),$AH$2:$AH$1001,0),1)&gt;=100000,INDEX($AO$1005:$BQ$1005,1,MATCH(COLUMNS($AO$1006:BM1006),$AO$1006:$BQ$1006,0))&gt;=100000), " ",IF(INDEX($AO$2:$BQ$1001,MATCH(ROWS($AH$2:AH604),$AH$2:$AH$1001,0),MATCH(COLUMNS($AO$1006:BM1006),$AO$1006:$BQ$1006,0)), HYPERLINK("#",""), HYPERLINK(CONCATENATE("#Metadata!", ADDRESS(INDEX($AJ$2:$AJ$1001,MATCH(ROWS($AH$2:AH604),$AH$2:$AH$1001,0),0), INDEX($AO$1004:$BQ$1004,1,MATCH(COLUMNS($AO$1006:BM1006),$AO$1006:$BQ$1006,0)))),"Fix")))</f>
        <v>#N/A</v>
      </c>
      <c r="AA604" s="5" t="e">
        <f ca="1">IF(OR(INDEX($AI$2:$AI$1001,MATCH(ROWS($AH$2:AH604),$AH$2:$AH$1001,0),1)&gt;=100000,INDEX($AO$1005:$BQ$1005,1,MATCH(COLUMNS($AO$1006:BN1006),$AO$1006:$BQ$1006,0))&gt;=100000), " ",IF(INDEX($AO$2:$BQ$1001,MATCH(ROWS($AH$2:AH604),$AH$2:$AH$1001,0),MATCH(COLUMNS($AO$1006:BN1006),$AO$1006:$BQ$1006,0)), HYPERLINK("#",""), HYPERLINK(CONCATENATE("#Metadata!", ADDRESS(INDEX($AJ$2:$AJ$1001,MATCH(ROWS($AH$2:AH604),$AH$2:$AH$1001,0),0), INDEX($AO$1004:$BQ$1004,1,MATCH(COLUMNS($AO$1006:BN1006),$AO$1006:$BQ$1006,0)))),"Fix")))</f>
        <v>#N/A</v>
      </c>
      <c r="AB604" s="5" t="e">
        <f ca="1">IF(OR(INDEX($AI$2:$AI$1001,MATCH(ROWS($AH$2:AH604),$AH$2:$AH$1001,0),1)&gt;=100000,INDEX($AO$1005:$BQ$1005,1,MATCH(COLUMNS($AO$1006:BO1006),$AO$1006:$BQ$1006,0))&gt;=100000), " ",IF(INDEX($AO$2:$BQ$1001,MATCH(ROWS($AH$2:AH604),$AH$2:$AH$1001,0),MATCH(COLUMNS($AO$1006:BO1006),$AO$1006:$BQ$1006,0)), HYPERLINK("#",""), HYPERLINK(CONCATENATE("#Metadata!", ADDRESS(INDEX($AJ$2:$AJ$1001,MATCH(ROWS($AH$2:AH604),$AH$2:$AH$1001,0),0), INDEX($AO$1004:$BQ$1004,1,MATCH(COLUMNS($AO$1006:BO1006),$AO$1006:$BQ$1006,0)))),"Fix")))</f>
        <v>#N/A</v>
      </c>
      <c r="AC604" s="5" t="e">
        <f ca="1">IF(OR(INDEX($AI$2:$AI$1001,MATCH(ROWS($AH$2:AH604),$AH$2:$AH$1001,0),1)&gt;=100000,INDEX($AO$1005:$BQ$1005,1,MATCH(COLUMNS($AO$1006:BP1006),$AO$1006:$BQ$1006,0))&gt;=100000), " ",IF(INDEX($AO$2:$BQ$1001,MATCH(ROWS($AH$2:AH604),$AH$2:$AH$1001,0),MATCH(COLUMNS($AO$1006:BP1006),$AO$1006:$BQ$1006,0)), HYPERLINK("#",""), HYPERLINK(CONCATENATE("#Metadata!", ADDRESS(INDEX($AJ$2:$AJ$1001,MATCH(ROWS($AH$2:AH604),$AH$2:$AH$1001,0),0), INDEX($AO$1004:$BQ$1004,1,MATCH(COLUMNS($AO$1006:BP1006),$AO$1006:$BQ$1006,0)))),"Fix")))</f>
        <v>#N/A</v>
      </c>
      <c r="AD604" s="5" t="e">
        <f ca="1">IF(OR(INDEX($AI$2:$AI$1001,MATCH(ROWS($AH$2:AH604),$AH$2:$AH$1001,0),1)&gt;=100000,INDEX($AO$1005:$BQ$1005,1,MATCH(COLUMNS($AO$1006:BQ1006),$AO$1006:$BQ$1006,0))&gt;=100000), " ",IF(INDEX($AO$2:$BQ$1001,MATCH(ROWS($AH$2:AH604),$AH$2:$AH$1001,0),MATCH(COLUMNS($AO$1006:BQ1006),$AO$1006:$BQ$1006,0)), HYPERLINK("#",""), HYPERLINK(CONCATENATE("#Metadata!", ADDRESS(INDEX($AJ$2:$AJ$1001,MATCH(ROWS($AH$2:AH604),$AH$2:$AH$1001,0),0), INDEX($AO$1004:$BQ$1004,1,MATCH(COLUMNS($AO$1006:BQ1006),$AO$1006:$BQ$1006,0)))),"Fix")))</f>
        <v>#REF!</v>
      </c>
      <c r="AH604">
        <f ca="1"/>
        <v>601</v>
      </c>
      <c r="AI604">
        <v>100604</v>
      </c>
      <c r="AJ604">
        <v>604</v>
      </c>
      <c r="AK604" t="b">
        <f t="shared" si="9"/>
        <v>1</v>
      </c>
      <c r="AL604" t="b">
        <f>COUNTBLANK(Metadata!B604:AD604)=COLUMNS(Metadata!B604:AD604)</f>
        <v>1</v>
      </c>
      <c r="AM604" t="str">
        <v/>
      </c>
      <c r="AO604" t="b">
        <f ca="1">AND(IF(Metadata!B604="",FALSE,TRUE),COUNTIF(Metadata!B:B, Metadata!B604) = 1,NOT(ISERROR(SUMPRODUCT(SEARCH(MID(Metadata!B604,ROW(INDIRECT("1:"&amp;LEN(Metadata!B604))), 1),"0123456789abcdefghijklmnopqrstuvwxyzABCDEFGHIJKLMNOPQRSTUVWXYZ.")))))</f>
        <v>0</v>
      </c>
      <c r="AP604" t="b">
        <f>IF(Metadata!C604="",FALSE,TRUE)</f>
        <v>0</v>
      </c>
      <c r="AQ604" t="b">
        <f>IF(Metadata!D604="",FALSE,TRUE)</f>
        <v>0</v>
      </c>
      <c r="AR604" t="b">
        <f ca="1">OR(AND(IF(Metadata!E604="",FALSE,TRUE),OR(EXACT(Metadata!E604,"not collected"),EXACT(Metadata!E604,"not provided"),EXACT(Metadata!E604,"restricted access"))),AND(IF(Metadata!E604="",FALSE,TRUE),AND(AND(IFERROR(INT(LEFT(Metadata!E604,4))&gt;1900,FALSE),IFERROR(INT(LEFT(Metadata!E604,4))&lt;=YEAR(NOW()),FALSE)), OR(MID(Metadata!E604,5,1)="", AND(AND(MID(Metadata!E604,5,1)="-",IFERROR(INT(MID(Metadata!E604,6,1))&gt;=0,FALSE),IFERROR(INT(MID(Metadata!E604,6,1))&lt;=1,FALSE),NOT(MID(Metadata!E604,7,1)=""),IFERROR(INT(MID(Metadata!E604,6,2))&gt;=1,FALSE),IFERROR(INT(MID(Metadata!E604,6,2))&lt;=12,FALSE)), OR(MID(Metadata!E604,8,1)="", AND(AND(MID(Metadata!E604,8,1)="-",IFERROR(INT(MID(Metadata!E604,9,1))&gt;=0,FALSE),IFERROR(INT(MID(Metadata!E604,9,1))&lt;=3,FALSE),NOT(MID(Metadata!E604,10,1)=""),IFERROR(INT(MID(Metadata!E604,9,2))&gt;=1,FALSE),IFERROR(INT(MID(Metadata!E604,9,2))&lt;=31,FALSE)), OR(MID(Metadata!E604,11,1)="", AND(AND(MID(Metadata!E604,11,1)=" ",IFERROR(INT(MID(Metadata!E604,12,1))&gt;=0,FALSE),IFERROR(INT(MID(Metadata!E604,12,1))&lt;=2,FALSE),NOT(MID(Metadata!E604,13,1)=""),IFERROR(INT(MID(Metadata!E604,12,2))&gt;=0,FALSE),IFERROR(INT(MID(Metadata!E604,12,2))&lt;=23,FALSE)), OR(MID(Metadata!E604,14,1)="", AND(AND(MID(Metadata!E604,14,1)=":",IFERROR(INT(MID(Metadata!E604,15,1))&gt;=0,FALSE),IFERROR(INT(MID(Metadata!E604,15,1))&lt;=5,FALSE),NOT(MID(Metadata!E604,16,1)=""),IFERROR(INT(MID(Metadata!E604,15,2))&gt;=0,FALSE),IFERROR(INT(MID(Metadata!E604,15,2))&lt;=59,FALSE)), OR(MID(Metadata!E604,17,1)="", AND(AND(MID(Metadata!E604,17,1)=":",IFERROR(INT(MID(Metadata!E604,18,1))&gt;=0,FALSE),IFERROR(INT(MID(Metadata!E604,18,1))&lt;=5,FALSE),NOT(MID(Metadata!E604,19,1)=""),IFERROR(INT(MID(Metadata!E604,18,2))&gt;=0,FALSE),IFERROR(INT(MID(Metadata!E604,18,2))&lt;=59,FALSE)), LEN(Metadata!E604)&lt;=19)))))))))))))</f>
        <v>0</v>
      </c>
      <c r="AS604" t="b">
        <f>IF(Metadata!F604="",FALSE,TRUE)</f>
        <v>0</v>
      </c>
      <c r="AT604" t="b">
        <f>OR(AND(IF(Metadata!G604="",FALSE,TRUE),OR(EXACT(Metadata!G604,"not collected"),EXACT(Metadata!G604,"not provided"))),AND(IF(Metadata!G604="",FALSE,TRUE),OR(EXACT(Metadata!G604,"TRUE"),EXACT(Metadata!G604,"FALSE"))))</f>
        <v>0</v>
      </c>
      <c r="AU604" t="b">
        <f>OR(AND(IF(Metadata!H604="",FALSE,TRUE),OR(EXACT(Metadata!H604,"not collected"),EXACT(Metadata!H604,"not provided"),EXACT(Metadata!H604,"restricted access"))),AND(IF(Metadata!H604="",FALSE,ISNUMBER(VALUE(Metadata!H604))),Metadata!H604&gt;=-413))</f>
        <v>0</v>
      </c>
      <c r="AV604" t="b">
        <f>AND(IF(Metadata!I604="",FALSE,TRUE),EXACT(Metadata!I604,"meters"))</f>
        <v>0</v>
      </c>
      <c r="AW604" t="b">
        <f>AND(IF(Metadata!J604="",FALSE,TRUE),EXACT(Metadata!J604,"free-living"))</f>
        <v>0</v>
      </c>
      <c r="AX604" t="b">
        <f>AND(IF(Metadata!K604="",FALSE,TRUE),OR(EXACT(Metadata!K604,"saline"),EXACT(Metadata!K604,"non-saline")))</f>
        <v>0</v>
      </c>
      <c r="AY604" t="b">
        <f>AND(IF(Metadata!L604="",FALSE,TRUE),OR(EXACT(Metadata!L604,"sub-surface (non-saline)"),EXACT(Metadata!L604,"surface (non-saline)"),EXACT(Metadata!L604,"water (non-saline)"),EXACT(Metadata!L604,"soil (non-saline)"),EXACT(Metadata!L604,"aerosol (non-saline)"),EXACT(Metadata!L604,"sediment (non-saline)"),EXACT(Metadata!L604,"surface (saline)"),EXACT(Metadata!L604,"water (saline)"),EXACT(Metadata!L604,"hypersaline (saline)"),EXACT(Metadata!L604,"aerosol (saline)"),EXACT(Metadata!L604,"sediment (saline)")))</f>
        <v>0</v>
      </c>
      <c r="AZ604" t="b">
        <f>IF(Metadata!M604="",FALSE,TRUE)</f>
        <v>0</v>
      </c>
      <c r="BA604" t="b">
        <f>IF(Metadata!N604="",FALSE,TRUE)</f>
        <v>0</v>
      </c>
      <c r="BB604" t="b">
        <f>IF(Metadata!O604="",FALSE,TRUE)</f>
        <v>0</v>
      </c>
      <c r="BC604" t="b">
        <f>AND(IF(Metadata!P604="",FALSE,TRUE),OR(EXACT(Metadata!P604,"air"),EXACT(Metadata!P604,"microbial mat/biofilm"),EXACT(Metadata!P604,"misc environment"),EXACT(Metadata!P604,"sediment"),EXACT(Metadata!P604,"soil"),EXACT(Metadata!P604,"wastewater/sludge"),EXACT(Metadata!P604,"water")))</f>
        <v>0</v>
      </c>
      <c r="BD604" t="b">
        <f>IF(Metadata!Q604="",FALSE,TRUE)</f>
        <v>0</v>
      </c>
      <c r="BE604" t="b">
        <f>IF(Metadata!R604="",FALSE,TRUE)</f>
        <v>0</v>
      </c>
      <c r="BF604" t="b">
        <f>OR(AND(IF(Metadata!S604="",FALSE,TRUE),OR(EXACT(Metadata!S604,"not collected"),EXACT(Metadata!S604,"not provided"),EXACT(Metadata!S604,"restricted access"))),AND(IF(Metadata!S604="",FALSE,ISNUMBER(VALUE(Metadata!S604))),Metadata!S604&gt;=-90,Metadata!S604&lt;=90))</f>
        <v>0</v>
      </c>
      <c r="BG604" t="b">
        <f>AND(IF(Metadata!T604="",FALSE,TRUE),EXACT(Metadata!T604,"Decimal degrees"))</f>
        <v>0</v>
      </c>
      <c r="BH604" t="b">
        <f>OR(AND(IF(Metadata!U604="",FALSE,TRUE),OR(EXACT(Metadata!U604,"not applicable"),EXACT(Metadata!U604,"not collected"))),IF(Metadata!U604="",FALSE,TRUE))</f>
        <v>0</v>
      </c>
      <c r="BI604" t="b">
        <f>OR(AND(IF(Metadata!V604="",FALSE,TRUE),OR(EXACT(Metadata!V604,"not collected"),EXACT(Metadata!V604,"not provided"),EXACT(Metadata!V604,"restricted access"))),AND(IF(Metadata!V604="",FALSE,ISNUMBER(VALUE(Metadata!V604))),Metadata!V604&gt;=-180,Metadata!V604&lt;=180))</f>
        <v>0</v>
      </c>
      <c r="BJ604" t="b">
        <f>AND(IF(Metadata!W604="",FALSE,TRUE),EXACT(Metadata!W604,"Decimal degrees"))</f>
        <v>0</v>
      </c>
      <c r="BK604" t="b">
        <f>IF(Metadata!X604="",FALSE,TRUE)</f>
        <v>0</v>
      </c>
      <c r="BL604" t="b">
        <f>OR(AND(IF(Metadata!Y604="",FALSE,TRUE),OR(EXACT(Metadata!Y604,"not collected"),EXACT(Metadata!Y604,"not provided"),EXACT(Metadata!Y604,"restricted access"))),AND(IF(Metadata!Y604="",FALSE,TRUE),OR(EXACT(Metadata!Y604,"TRUE"),EXACT(Metadata!Y604,"FALSE"))))</f>
        <v>0</v>
      </c>
      <c r="BM604" t="b">
        <f>OR(AND(IF(Metadata!Z604="",FALSE,TRUE),EXACT(Metadata!Z604,"not applicable")),AND(IF(Metadata!Z604="",FALSE,TRUE),OR(EXACT(Metadata!Z604,"beer"),EXACT(Metadata!Z604,"cheese"),EXACT(Metadata!Z604,"fresh water"),EXACT(Metadata!Z604,"marine sediment"),EXACT(Metadata!Z604,"sea water"),EXACT(Metadata!Z604,"sediment"),EXACT(Metadata!Z604,"soil"),EXACT(Metadata!Z604,"waste water"))))</f>
        <v>0</v>
      </c>
      <c r="BN604" t="b">
        <f>AND(IF(Metadata!AA604="",FALSE,TRUE),EXACT(Metadata!AA604,"metagenome"))</f>
        <v>0</v>
      </c>
      <c r="BO604" t="b">
        <f>AND(IF(Metadata!AB604="",FALSE,TRUE),EXACT(Metadata!AB604,"256318"))</f>
        <v>0</v>
      </c>
      <c r="BP604" t="b">
        <f>IF(Metadata!AC604="",FALSE,TRUE)</f>
        <v>0</v>
      </c>
      <c r="BQ604" t="b">
        <f>IF(Metadata!AD604="",FALSE,TRUE)</f>
        <v>0</v>
      </c>
    </row>
    <row r="605" spans="1:69" x14ac:dyDescent="0.2">
      <c r="A605" s="4" t="e">
        <f ca="1">IF(B605=" "," ",HYPERLINK(CONCATENATE("#metadata!",ADDRESS(INDEX($AJ$2:$AJ$1001,MATCH(ROWS($AH$2:AH605),$AH$2:$AH$1001,0),0),2)),INDEX($AM$2:$AM$1001,MATCH(ROWS($AH$2:AH605),$AH$2:$AH$1001,0),0)))</f>
        <v>#N/A</v>
      </c>
      <c r="B605" s="5" t="e">
        <f ca="1">IF(OR(INDEX($AI$2:$AI$1001,MATCH(ROWS($AH$2:AH605),$AH$2:$AH$1001,0),1)&gt;=100000,INDEX($AO$1005:$BQ$1005,1,MATCH(COLUMNS($AO$1006:AO1006),$AO$1006:$BQ$1006,0))&gt;=100000), " ",IF(INDEX($AO$2:$BQ$1001,MATCH(ROWS($AH$2:AH605),$AH$2:$AH$1001,0),MATCH(COLUMNS($AO$1006:AO1006),$AO$1006:$BQ$1006,0)), HYPERLINK("#",""), HYPERLINK(CONCATENATE("#Metadata!", ADDRESS(INDEX($AJ$2:$AJ$1001,MATCH(ROWS($AH$2:AH605),$AH$2:$AH$1001,0),0), INDEX($AO$1004:$BQ$1004,1,MATCH(COLUMNS($AO$1006:AO1006),$AO$1006:$BQ$1006,0)))),"Fix")))</f>
        <v>#N/A</v>
      </c>
      <c r="C605" s="5" t="e">
        <f ca="1">IF(OR(INDEX($AI$2:$AI$1001,MATCH(ROWS($AH$2:AH605),$AH$2:$AH$1001,0),1)&gt;=100000,INDEX($AO$1005:$BQ$1005,1,MATCH(COLUMNS($AO$1006:AP1006),$AO$1006:$BQ$1006,0))&gt;=100000), " ",IF(INDEX($AO$2:$BQ$1001,MATCH(ROWS($AH$2:AH605),$AH$2:$AH$1001,0),MATCH(COLUMNS($AO$1006:AP1006),$AO$1006:$BQ$1006,0)), HYPERLINK("#",""), HYPERLINK(CONCATENATE("#Metadata!", ADDRESS(INDEX($AJ$2:$AJ$1001,MATCH(ROWS($AH$2:AH605),$AH$2:$AH$1001,0),0), INDEX($AO$1004:$BQ$1004,1,MATCH(COLUMNS($AO$1006:AP1006),$AO$1006:$BQ$1006,0)))),"Fix")))</f>
        <v>#N/A</v>
      </c>
      <c r="D605" s="5" t="e">
        <f ca="1">IF(OR(INDEX($AI$2:$AI$1001,MATCH(ROWS($AH$2:AH605),$AH$2:$AH$1001,0),1)&gt;=100000,INDEX($AO$1005:$BQ$1005,1,MATCH(COLUMNS($AO$1006:AQ1006),$AO$1006:$BQ$1006,0))&gt;=100000), " ",IF(INDEX($AO$2:$BQ$1001,MATCH(ROWS($AH$2:AH605),$AH$2:$AH$1001,0),MATCH(COLUMNS($AO$1006:AQ1006),$AO$1006:$BQ$1006,0)), HYPERLINK("#",""), HYPERLINK(CONCATENATE("#Metadata!", ADDRESS(INDEX($AJ$2:$AJ$1001,MATCH(ROWS($AH$2:AH605),$AH$2:$AH$1001,0),0), INDEX($AO$1004:$BQ$1004,1,MATCH(COLUMNS($AO$1006:AQ1006),$AO$1006:$BQ$1006,0)))),"Fix")))</f>
        <v>#N/A</v>
      </c>
      <c r="E605" s="5" t="e">
        <f ca="1">IF(OR(INDEX($AI$2:$AI$1001,MATCH(ROWS($AH$2:AH605),$AH$2:$AH$1001,0),1)&gt;=100000,INDEX($AO$1005:$BQ$1005,1,MATCH(COLUMNS($AO$1006:AR1006),$AO$1006:$BQ$1006,0))&gt;=100000), " ",IF(INDEX($AO$2:$BQ$1001,MATCH(ROWS($AH$2:AH605),$AH$2:$AH$1001,0),MATCH(COLUMNS($AO$1006:AR1006),$AO$1006:$BQ$1006,0)), HYPERLINK("#",""), HYPERLINK(CONCATENATE("#Metadata!", ADDRESS(INDEX($AJ$2:$AJ$1001,MATCH(ROWS($AH$2:AH605),$AH$2:$AH$1001,0),0), INDEX($AO$1004:$BQ$1004,1,MATCH(COLUMNS($AO$1006:AR1006),$AO$1006:$BQ$1006,0)))),"Fix")))</f>
        <v>#N/A</v>
      </c>
      <c r="F605" s="5" t="e">
        <f ca="1">IF(OR(INDEX($AI$2:$AI$1001,MATCH(ROWS($AH$2:AH605),$AH$2:$AH$1001,0),1)&gt;=100000,INDEX($AO$1005:$BQ$1005,1,MATCH(COLUMNS($AO$1006:AS1006),$AO$1006:$BQ$1006,0))&gt;=100000), " ",IF(INDEX($AO$2:$BQ$1001,MATCH(ROWS($AH$2:AH605),$AH$2:$AH$1001,0),MATCH(COLUMNS($AO$1006:AS1006),$AO$1006:$BQ$1006,0)), HYPERLINK("#",""), HYPERLINK(CONCATENATE("#Metadata!", ADDRESS(INDEX($AJ$2:$AJ$1001,MATCH(ROWS($AH$2:AH605),$AH$2:$AH$1001,0),0), INDEX($AO$1004:$BQ$1004,1,MATCH(COLUMNS($AO$1006:AS1006),$AO$1006:$BQ$1006,0)))),"Fix")))</f>
        <v>#N/A</v>
      </c>
      <c r="G605" s="5" t="e">
        <f ca="1">IF(OR(INDEX($AI$2:$AI$1001,MATCH(ROWS($AH$2:AH605),$AH$2:$AH$1001,0),1)&gt;=100000,INDEX($AO$1005:$BQ$1005,1,MATCH(COLUMNS($AO$1006:AT1006),$AO$1006:$BQ$1006,0))&gt;=100000), " ",IF(INDEX($AO$2:$BQ$1001,MATCH(ROWS($AH$2:AH605),$AH$2:$AH$1001,0),MATCH(COLUMNS($AO$1006:AT1006),$AO$1006:$BQ$1006,0)), HYPERLINK("#",""), HYPERLINK(CONCATENATE("#Metadata!", ADDRESS(INDEX($AJ$2:$AJ$1001,MATCH(ROWS($AH$2:AH605),$AH$2:$AH$1001,0),0), INDEX($AO$1004:$BQ$1004,1,MATCH(COLUMNS($AO$1006:AT1006),$AO$1006:$BQ$1006,0)))),"Fix")))</f>
        <v>#N/A</v>
      </c>
      <c r="H605" s="5" t="e">
        <f ca="1">IF(OR(INDEX($AI$2:$AI$1001,MATCH(ROWS($AH$2:AH605),$AH$2:$AH$1001,0),1)&gt;=100000,INDEX($AO$1005:$BQ$1005,1,MATCH(COLUMNS($AO$1006:AU1006),$AO$1006:$BQ$1006,0))&gt;=100000), " ",IF(INDEX($AO$2:$BQ$1001,MATCH(ROWS($AH$2:AH605),$AH$2:$AH$1001,0),MATCH(COLUMNS($AO$1006:AU1006),$AO$1006:$BQ$1006,0)), HYPERLINK("#",""), HYPERLINK(CONCATENATE("#Metadata!", ADDRESS(INDEX($AJ$2:$AJ$1001,MATCH(ROWS($AH$2:AH605),$AH$2:$AH$1001,0),0), INDEX($AO$1004:$BQ$1004,1,MATCH(COLUMNS($AO$1006:AU1006),$AO$1006:$BQ$1006,0)))),"Fix")))</f>
        <v>#N/A</v>
      </c>
      <c r="I605" s="5" t="e">
        <f ca="1">IF(OR(INDEX($AI$2:$AI$1001,MATCH(ROWS($AH$2:AH605),$AH$2:$AH$1001,0),1)&gt;=100000,INDEX($AO$1005:$BQ$1005,1,MATCH(COLUMNS($AO$1006:AV1006),$AO$1006:$BQ$1006,0))&gt;=100000), " ",IF(INDEX($AO$2:$BQ$1001,MATCH(ROWS($AH$2:AH605),$AH$2:$AH$1001,0),MATCH(COLUMNS($AO$1006:AV1006),$AO$1006:$BQ$1006,0)), HYPERLINK("#",""), HYPERLINK(CONCATENATE("#Metadata!", ADDRESS(INDEX($AJ$2:$AJ$1001,MATCH(ROWS($AH$2:AH605),$AH$2:$AH$1001,0),0), INDEX($AO$1004:$BQ$1004,1,MATCH(COLUMNS($AO$1006:AV1006),$AO$1006:$BQ$1006,0)))),"Fix")))</f>
        <v>#N/A</v>
      </c>
      <c r="J605" s="5" t="e">
        <f ca="1">IF(OR(INDEX($AI$2:$AI$1001,MATCH(ROWS($AH$2:AH605),$AH$2:$AH$1001,0),1)&gt;=100000,INDEX($AO$1005:$BQ$1005,1,MATCH(COLUMNS($AO$1006:AW1006),$AO$1006:$BQ$1006,0))&gt;=100000), " ",IF(INDEX($AO$2:$BQ$1001,MATCH(ROWS($AH$2:AH605),$AH$2:$AH$1001,0),MATCH(COLUMNS($AO$1006:AW1006),$AO$1006:$BQ$1006,0)), HYPERLINK("#",""), HYPERLINK(CONCATENATE("#Metadata!", ADDRESS(INDEX($AJ$2:$AJ$1001,MATCH(ROWS($AH$2:AH605),$AH$2:$AH$1001,0),0), INDEX($AO$1004:$BQ$1004,1,MATCH(COLUMNS($AO$1006:AW1006),$AO$1006:$BQ$1006,0)))),"Fix")))</f>
        <v>#N/A</v>
      </c>
      <c r="K605" s="5" t="e">
        <f ca="1">IF(OR(INDEX($AI$2:$AI$1001,MATCH(ROWS($AH$2:AH605),$AH$2:$AH$1001,0),1)&gt;=100000,INDEX($AO$1005:$BQ$1005,1,MATCH(COLUMNS($AO$1006:AX1006),$AO$1006:$BQ$1006,0))&gt;=100000), " ",IF(INDEX($AO$2:$BQ$1001,MATCH(ROWS($AH$2:AH605),$AH$2:$AH$1001,0),MATCH(COLUMNS($AO$1006:AX1006),$AO$1006:$BQ$1006,0)), HYPERLINK("#",""), HYPERLINK(CONCATENATE("#Metadata!", ADDRESS(INDEX($AJ$2:$AJ$1001,MATCH(ROWS($AH$2:AH605),$AH$2:$AH$1001,0),0), INDEX($AO$1004:$BQ$1004,1,MATCH(COLUMNS($AO$1006:AX1006),$AO$1006:$BQ$1006,0)))),"Fix")))</f>
        <v>#N/A</v>
      </c>
      <c r="L605" s="5" t="e">
        <f ca="1">IF(OR(INDEX($AI$2:$AI$1001,MATCH(ROWS($AH$2:AH605),$AH$2:$AH$1001,0),1)&gt;=100000,INDEX($AO$1005:$BQ$1005,1,MATCH(COLUMNS($AO$1006:AY1006),$AO$1006:$BQ$1006,0))&gt;=100000), " ",IF(INDEX($AO$2:$BQ$1001,MATCH(ROWS($AH$2:AH605),$AH$2:$AH$1001,0),MATCH(COLUMNS($AO$1006:AY1006),$AO$1006:$BQ$1006,0)), HYPERLINK("#",""), HYPERLINK(CONCATENATE("#Metadata!", ADDRESS(INDEX($AJ$2:$AJ$1001,MATCH(ROWS($AH$2:AH605),$AH$2:$AH$1001,0),0), INDEX($AO$1004:$BQ$1004,1,MATCH(COLUMNS($AO$1006:AY1006),$AO$1006:$BQ$1006,0)))),"Fix")))</f>
        <v>#N/A</v>
      </c>
      <c r="M605" s="5" t="e">
        <f ca="1">IF(OR(INDEX($AI$2:$AI$1001,MATCH(ROWS($AH$2:AH605),$AH$2:$AH$1001,0),1)&gt;=100000,INDEX($AO$1005:$BQ$1005,1,MATCH(COLUMNS($AO$1006:AZ1006),$AO$1006:$BQ$1006,0))&gt;=100000), " ",IF(INDEX($AO$2:$BQ$1001,MATCH(ROWS($AH$2:AH605),$AH$2:$AH$1001,0),MATCH(COLUMNS($AO$1006:AZ1006),$AO$1006:$BQ$1006,0)), HYPERLINK("#",""), HYPERLINK(CONCATENATE("#Metadata!", ADDRESS(INDEX($AJ$2:$AJ$1001,MATCH(ROWS($AH$2:AH605),$AH$2:$AH$1001,0),0), INDEX($AO$1004:$BQ$1004,1,MATCH(COLUMNS($AO$1006:AZ1006),$AO$1006:$BQ$1006,0)))),"Fix")))</f>
        <v>#N/A</v>
      </c>
      <c r="N605" s="5" t="e">
        <f ca="1">IF(OR(INDEX($AI$2:$AI$1001,MATCH(ROWS($AH$2:AH605),$AH$2:$AH$1001,0),1)&gt;=100000,INDEX($AO$1005:$BQ$1005,1,MATCH(COLUMNS($AO$1006:BA1006),$AO$1006:$BQ$1006,0))&gt;=100000), " ",IF(INDEX($AO$2:$BQ$1001,MATCH(ROWS($AH$2:AH605),$AH$2:$AH$1001,0),MATCH(COLUMNS($AO$1006:BA1006),$AO$1006:$BQ$1006,0)), HYPERLINK("#",""), HYPERLINK(CONCATENATE("#Metadata!", ADDRESS(INDEX($AJ$2:$AJ$1001,MATCH(ROWS($AH$2:AH605),$AH$2:$AH$1001,0),0), INDEX($AO$1004:$BQ$1004,1,MATCH(COLUMNS($AO$1006:BA1006),$AO$1006:$BQ$1006,0)))),"Fix")))</f>
        <v>#N/A</v>
      </c>
      <c r="O605" s="5" t="e">
        <f ca="1">IF(OR(INDEX($AI$2:$AI$1001,MATCH(ROWS($AH$2:AH605),$AH$2:$AH$1001,0),1)&gt;=100000,INDEX($AO$1005:$BQ$1005,1,MATCH(COLUMNS($AO$1006:BB1006),$AO$1006:$BQ$1006,0))&gt;=100000), " ",IF(INDEX($AO$2:$BQ$1001,MATCH(ROWS($AH$2:AH605),$AH$2:$AH$1001,0),MATCH(COLUMNS($AO$1006:BB1006),$AO$1006:$BQ$1006,0)), HYPERLINK("#",""), HYPERLINK(CONCATENATE("#Metadata!", ADDRESS(INDEX($AJ$2:$AJ$1001,MATCH(ROWS($AH$2:AH605),$AH$2:$AH$1001,0),0), INDEX($AO$1004:$BQ$1004,1,MATCH(COLUMNS($AO$1006:BB1006),$AO$1006:$BQ$1006,0)))),"Fix")))</f>
        <v>#N/A</v>
      </c>
      <c r="P605" s="5" t="e">
        <f ca="1">IF(OR(INDEX($AI$2:$AI$1001,MATCH(ROWS($AH$2:AH605),$AH$2:$AH$1001,0),1)&gt;=100000,INDEX($AO$1005:$BQ$1005,1,MATCH(COLUMNS($AO$1006:BC1006),$AO$1006:$BQ$1006,0))&gt;=100000), " ",IF(INDEX($AO$2:$BQ$1001,MATCH(ROWS($AH$2:AH605),$AH$2:$AH$1001,0),MATCH(COLUMNS($AO$1006:BC1006),$AO$1006:$BQ$1006,0)), HYPERLINK("#",""), HYPERLINK(CONCATENATE("#Metadata!", ADDRESS(INDEX($AJ$2:$AJ$1001,MATCH(ROWS($AH$2:AH605),$AH$2:$AH$1001,0),0), INDEX($AO$1004:$BQ$1004,1,MATCH(COLUMNS($AO$1006:BC1006),$AO$1006:$BQ$1006,0)))),"Fix")))</f>
        <v>#N/A</v>
      </c>
      <c r="Q605" s="5" t="e">
        <f ca="1">IF(OR(INDEX($AI$2:$AI$1001,MATCH(ROWS($AH$2:AH605),$AH$2:$AH$1001,0),1)&gt;=100000,INDEX($AO$1005:$BQ$1005,1,MATCH(COLUMNS($AO$1006:BD1006),$AO$1006:$BQ$1006,0))&gt;=100000), " ",IF(INDEX($AO$2:$BQ$1001,MATCH(ROWS($AH$2:AH605),$AH$2:$AH$1001,0),MATCH(COLUMNS($AO$1006:BD1006),$AO$1006:$BQ$1006,0)), HYPERLINK("#",""), HYPERLINK(CONCATENATE("#Metadata!", ADDRESS(INDEX($AJ$2:$AJ$1001,MATCH(ROWS($AH$2:AH605),$AH$2:$AH$1001,0),0), INDEX($AO$1004:$BQ$1004,1,MATCH(COLUMNS($AO$1006:BD1006),$AO$1006:$BQ$1006,0)))),"Fix")))</f>
        <v>#N/A</v>
      </c>
      <c r="R605" s="5" t="e">
        <f ca="1">IF(OR(INDEX($AI$2:$AI$1001,MATCH(ROWS($AH$2:AH605),$AH$2:$AH$1001,0),1)&gt;=100000,INDEX($AO$1005:$BQ$1005,1,MATCH(COLUMNS($AO$1006:BE1006),$AO$1006:$BQ$1006,0))&gt;=100000), " ",IF(INDEX($AO$2:$BQ$1001,MATCH(ROWS($AH$2:AH605),$AH$2:$AH$1001,0),MATCH(COLUMNS($AO$1006:BE1006),$AO$1006:$BQ$1006,0)), HYPERLINK("#",""), HYPERLINK(CONCATENATE("#Metadata!", ADDRESS(INDEX($AJ$2:$AJ$1001,MATCH(ROWS($AH$2:AH605),$AH$2:$AH$1001,0),0), INDEX($AO$1004:$BQ$1004,1,MATCH(COLUMNS($AO$1006:BE1006),$AO$1006:$BQ$1006,0)))),"Fix")))</f>
        <v>#N/A</v>
      </c>
      <c r="S605" s="5" t="e">
        <f ca="1">IF(OR(INDEX($AI$2:$AI$1001,MATCH(ROWS($AH$2:AH605),$AH$2:$AH$1001,0),1)&gt;=100000,INDEX($AO$1005:$BQ$1005,1,MATCH(COLUMNS($AO$1006:BF1006),$AO$1006:$BQ$1006,0))&gt;=100000), " ",IF(INDEX($AO$2:$BQ$1001,MATCH(ROWS($AH$2:AH605),$AH$2:$AH$1001,0),MATCH(COLUMNS($AO$1006:BF1006),$AO$1006:$BQ$1006,0)), HYPERLINK("#",""), HYPERLINK(CONCATENATE("#Metadata!", ADDRESS(INDEX($AJ$2:$AJ$1001,MATCH(ROWS($AH$2:AH605),$AH$2:$AH$1001,0),0), INDEX($AO$1004:$BQ$1004,1,MATCH(COLUMNS($AO$1006:BF1006),$AO$1006:$BQ$1006,0)))),"Fix")))</f>
        <v>#N/A</v>
      </c>
      <c r="T605" s="5" t="e">
        <f ca="1">IF(OR(INDEX($AI$2:$AI$1001,MATCH(ROWS($AH$2:AH605),$AH$2:$AH$1001,0),1)&gt;=100000,INDEX($AO$1005:$BQ$1005,1,MATCH(COLUMNS($AO$1006:BG1006),$AO$1006:$BQ$1006,0))&gt;=100000), " ",IF(INDEX($AO$2:$BQ$1001,MATCH(ROWS($AH$2:AH605),$AH$2:$AH$1001,0),MATCH(COLUMNS($AO$1006:BG1006),$AO$1006:$BQ$1006,0)), HYPERLINK("#",""), HYPERLINK(CONCATENATE("#Metadata!", ADDRESS(INDEX($AJ$2:$AJ$1001,MATCH(ROWS($AH$2:AH605),$AH$2:$AH$1001,0),0), INDEX($AO$1004:$BQ$1004,1,MATCH(COLUMNS($AO$1006:BG1006),$AO$1006:$BQ$1006,0)))),"Fix")))</f>
        <v>#N/A</v>
      </c>
      <c r="U605" s="5" t="e">
        <f ca="1">IF(OR(INDEX($AI$2:$AI$1001,MATCH(ROWS($AH$2:AH605),$AH$2:$AH$1001,0),1)&gt;=100000,INDEX($AO$1005:$BQ$1005,1,MATCH(COLUMNS($AO$1006:BH1006),$AO$1006:$BQ$1006,0))&gt;=100000), " ",IF(INDEX($AO$2:$BQ$1001,MATCH(ROWS($AH$2:AH605),$AH$2:$AH$1001,0),MATCH(COLUMNS($AO$1006:BH1006),$AO$1006:$BQ$1006,0)), HYPERLINK("#",""), HYPERLINK(CONCATENATE("#Metadata!", ADDRESS(INDEX($AJ$2:$AJ$1001,MATCH(ROWS($AH$2:AH605),$AH$2:$AH$1001,0),0), INDEX($AO$1004:$BQ$1004,1,MATCH(COLUMNS($AO$1006:BH1006),$AO$1006:$BQ$1006,0)))),"Fix")))</f>
        <v>#N/A</v>
      </c>
      <c r="V605" s="5" t="e">
        <f ca="1">IF(OR(INDEX($AI$2:$AI$1001,MATCH(ROWS($AH$2:AH605),$AH$2:$AH$1001,0),1)&gt;=100000,INDEX($AO$1005:$BQ$1005,1,MATCH(COLUMNS($AO$1006:BI1006),$AO$1006:$BQ$1006,0))&gt;=100000), " ",IF(INDEX($AO$2:$BQ$1001,MATCH(ROWS($AH$2:AH605),$AH$2:$AH$1001,0),MATCH(COLUMNS($AO$1006:BI1006),$AO$1006:$BQ$1006,0)), HYPERLINK("#",""), HYPERLINK(CONCATENATE("#Metadata!", ADDRESS(INDEX($AJ$2:$AJ$1001,MATCH(ROWS($AH$2:AH605),$AH$2:$AH$1001,0),0), INDEX($AO$1004:$BQ$1004,1,MATCH(COLUMNS($AO$1006:BI1006),$AO$1006:$BQ$1006,0)))),"Fix")))</f>
        <v>#N/A</v>
      </c>
      <c r="W605" s="5" t="e">
        <f ca="1">IF(OR(INDEX($AI$2:$AI$1001,MATCH(ROWS($AH$2:AH605),$AH$2:$AH$1001,0),1)&gt;=100000,INDEX($AO$1005:$BQ$1005,1,MATCH(COLUMNS($AO$1006:BJ1006),$AO$1006:$BQ$1006,0))&gt;=100000), " ",IF(INDEX($AO$2:$BQ$1001,MATCH(ROWS($AH$2:AH605),$AH$2:$AH$1001,0),MATCH(COLUMNS($AO$1006:BJ1006),$AO$1006:$BQ$1006,0)), HYPERLINK("#",""), HYPERLINK(CONCATENATE("#Metadata!", ADDRESS(INDEX($AJ$2:$AJ$1001,MATCH(ROWS($AH$2:AH605),$AH$2:$AH$1001,0),0), INDEX($AO$1004:$BQ$1004,1,MATCH(COLUMNS($AO$1006:BJ1006),$AO$1006:$BQ$1006,0)))),"Fix")))</f>
        <v>#N/A</v>
      </c>
      <c r="X605" s="5" t="e">
        <f ca="1">IF(OR(INDEX($AI$2:$AI$1001,MATCH(ROWS($AH$2:AH605),$AH$2:$AH$1001,0),1)&gt;=100000,INDEX($AO$1005:$BQ$1005,1,MATCH(COLUMNS($AO$1006:BK1006),$AO$1006:$BQ$1006,0))&gt;=100000), " ",IF(INDEX($AO$2:$BQ$1001,MATCH(ROWS($AH$2:AH605),$AH$2:$AH$1001,0),MATCH(COLUMNS($AO$1006:BK1006),$AO$1006:$BQ$1006,0)), HYPERLINK("#",""), HYPERLINK(CONCATENATE("#Metadata!", ADDRESS(INDEX($AJ$2:$AJ$1001,MATCH(ROWS($AH$2:AH605),$AH$2:$AH$1001,0),0), INDEX($AO$1004:$BQ$1004,1,MATCH(COLUMNS($AO$1006:BK1006),$AO$1006:$BQ$1006,0)))),"Fix")))</f>
        <v>#N/A</v>
      </c>
      <c r="Y605" s="5" t="e">
        <f ca="1">IF(OR(INDEX($AI$2:$AI$1001,MATCH(ROWS($AH$2:AH605),$AH$2:$AH$1001,0),1)&gt;=100000,INDEX($AO$1005:$BQ$1005,1,MATCH(COLUMNS($AO$1006:BL1006),$AO$1006:$BQ$1006,0))&gt;=100000), " ",IF(INDEX($AO$2:$BQ$1001,MATCH(ROWS($AH$2:AH605),$AH$2:$AH$1001,0),MATCH(COLUMNS($AO$1006:BL1006),$AO$1006:$BQ$1006,0)), HYPERLINK("#",""), HYPERLINK(CONCATENATE("#Metadata!", ADDRESS(INDEX($AJ$2:$AJ$1001,MATCH(ROWS($AH$2:AH605),$AH$2:$AH$1001,0),0), INDEX($AO$1004:$BQ$1004,1,MATCH(COLUMNS($AO$1006:BL1006),$AO$1006:$BQ$1006,0)))),"Fix")))</f>
        <v>#N/A</v>
      </c>
      <c r="Z605" s="5" t="e">
        <f ca="1">IF(OR(INDEX($AI$2:$AI$1001,MATCH(ROWS($AH$2:AH605),$AH$2:$AH$1001,0),1)&gt;=100000,INDEX($AO$1005:$BQ$1005,1,MATCH(COLUMNS($AO$1006:BM1006),$AO$1006:$BQ$1006,0))&gt;=100000), " ",IF(INDEX($AO$2:$BQ$1001,MATCH(ROWS($AH$2:AH605),$AH$2:$AH$1001,0),MATCH(COLUMNS($AO$1006:BM1006),$AO$1006:$BQ$1006,0)), HYPERLINK("#",""), HYPERLINK(CONCATENATE("#Metadata!", ADDRESS(INDEX($AJ$2:$AJ$1001,MATCH(ROWS($AH$2:AH605),$AH$2:$AH$1001,0),0), INDEX($AO$1004:$BQ$1004,1,MATCH(COLUMNS($AO$1006:BM1006),$AO$1006:$BQ$1006,0)))),"Fix")))</f>
        <v>#N/A</v>
      </c>
      <c r="AA605" s="5" t="e">
        <f ca="1">IF(OR(INDEX($AI$2:$AI$1001,MATCH(ROWS($AH$2:AH605),$AH$2:$AH$1001,0),1)&gt;=100000,INDEX($AO$1005:$BQ$1005,1,MATCH(COLUMNS($AO$1006:BN1006),$AO$1006:$BQ$1006,0))&gt;=100000), " ",IF(INDEX($AO$2:$BQ$1001,MATCH(ROWS($AH$2:AH605),$AH$2:$AH$1001,0),MATCH(COLUMNS($AO$1006:BN1006),$AO$1006:$BQ$1006,0)), HYPERLINK("#",""), HYPERLINK(CONCATENATE("#Metadata!", ADDRESS(INDEX($AJ$2:$AJ$1001,MATCH(ROWS($AH$2:AH605),$AH$2:$AH$1001,0),0), INDEX($AO$1004:$BQ$1004,1,MATCH(COLUMNS($AO$1006:BN1006),$AO$1006:$BQ$1006,0)))),"Fix")))</f>
        <v>#N/A</v>
      </c>
      <c r="AB605" s="5" t="e">
        <f ca="1">IF(OR(INDEX($AI$2:$AI$1001,MATCH(ROWS($AH$2:AH605),$AH$2:$AH$1001,0),1)&gt;=100000,INDEX($AO$1005:$BQ$1005,1,MATCH(COLUMNS($AO$1006:BO1006),$AO$1006:$BQ$1006,0))&gt;=100000), " ",IF(INDEX($AO$2:$BQ$1001,MATCH(ROWS($AH$2:AH605),$AH$2:$AH$1001,0),MATCH(COLUMNS($AO$1006:BO1006),$AO$1006:$BQ$1006,0)), HYPERLINK("#",""), HYPERLINK(CONCATENATE("#Metadata!", ADDRESS(INDEX($AJ$2:$AJ$1001,MATCH(ROWS($AH$2:AH605),$AH$2:$AH$1001,0),0), INDEX($AO$1004:$BQ$1004,1,MATCH(COLUMNS($AO$1006:BO1006),$AO$1006:$BQ$1006,0)))),"Fix")))</f>
        <v>#N/A</v>
      </c>
      <c r="AC605" s="5" t="e">
        <f ca="1">IF(OR(INDEX($AI$2:$AI$1001,MATCH(ROWS($AH$2:AH605),$AH$2:$AH$1001,0),1)&gt;=100000,INDEX($AO$1005:$BQ$1005,1,MATCH(COLUMNS($AO$1006:BP1006),$AO$1006:$BQ$1006,0))&gt;=100000), " ",IF(INDEX($AO$2:$BQ$1001,MATCH(ROWS($AH$2:AH605),$AH$2:$AH$1001,0),MATCH(COLUMNS($AO$1006:BP1006),$AO$1006:$BQ$1006,0)), HYPERLINK("#",""), HYPERLINK(CONCATENATE("#Metadata!", ADDRESS(INDEX($AJ$2:$AJ$1001,MATCH(ROWS($AH$2:AH605),$AH$2:$AH$1001,0),0), INDEX($AO$1004:$BQ$1004,1,MATCH(COLUMNS($AO$1006:BP1006),$AO$1006:$BQ$1006,0)))),"Fix")))</f>
        <v>#N/A</v>
      </c>
      <c r="AD605" s="5" t="e">
        <f ca="1">IF(OR(INDEX($AI$2:$AI$1001,MATCH(ROWS($AH$2:AH605),$AH$2:$AH$1001,0),1)&gt;=100000,INDEX($AO$1005:$BQ$1005,1,MATCH(COLUMNS($AO$1006:BQ1006),$AO$1006:$BQ$1006,0))&gt;=100000), " ",IF(INDEX($AO$2:$BQ$1001,MATCH(ROWS($AH$2:AH605),$AH$2:$AH$1001,0),MATCH(COLUMNS($AO$1006:BQ1006),$AO$1006:$BQ$1006,0)), HYPERLINK("#",""), HYPERLINK(CONCATENATE("#Metadata!", ADDRESS(INDEX($AJ$2:$AJ$1001,MATCH(ROWS($AH$2:AH605),$AH$2:$AH$1001,0),0), INDEX($AO$1004:$BQ$1004,1,MATCH(COLUMNS($AO$1006:BQ1006),$AO$1006:$BQ$1006,0)))),"Fix")))</f>
        <v>#REF!</v>
      </c>
      <c r="AH605">
        <f ca="1"/>
        <v>602</v>
      </c>
      <c r="AI605">
        <v>100605</v>
      </c>
      <c r="AJ605">
        <v>605</v>
      </c>
      <c r="AK605" t="b">
        <f t="shared" si="9"/>
        <v>1</v>
      </c>
      <c r="AL605" t="b">
        <f>COUNTBLANK(Metadata!B605:AD605)=COLUMNS(Metadata!B605:AD605)</f>
        <v>1</v>
      </c>
      <c r="AM605" t="str">
        <v/>
      </c>
      <c r="AO605" t="b">
        <f ca="1">AND(IF(Metadata!B605="",FALSE,TRUE),COUNTIF(Metadata!B:B, Metadata!B605) = 1,NOT(ISERROR(SUMPRODUCT(SEARCH(MID(Metadata!B605,ROW(INDIRECT("1:"&amp;LEN(Metadata!B605))), 1),"0123456789abcdefghijklmnopqrstuvwxyzABCDEFGHIJKLMNOPQRSTUVWXYZ.")))))</f>
        <v>0</v>
      </c>
      <c r="AP605" t="b">
        <f>IF(Metadata!C605="",FALSE,TRUE)</f>
        <v>0</v>
      </c>
      <c r="AQ605" t="b">
        <f>IF(Metadata!D605="",FALSE,TRUE)</f>
        <v>0</v>
      </c>
      <c r="AR605" t="b">
        <f ca="1">OR(AND(IF(Metadata!E605="",FALSE,TRUE),OR(EXACT(Metadata!E605,"not collected"),EXACT(Metadata!E605,"not provided"),EXACT(Metadata!E605,"restricted access"))),AND(IF(Metadata!E605="",FALSE,TRUE),AND(AND(IFERROR(INT(LEFT(Metadata!E605,4))&gt;1900,FALSE),IFERROR(INT(LEFT(Metadata!E605,4))&lt;=YEAR(NOW()),FALSE)), OR(MID(Metadata!E605,5,1)="", AND(AND(MID(Metadata!E605,5,1)="-",IFERROR(INT(MID(Metadata!E605,6,1))&gt;=0,FALSE),IFERROR(INT(MID(Metadata!E605,6,1))&lt;=1,FALSE),NOT(MID(Metadata!E605,7,1)=""),IFERROR(INT(MID(Metadata!E605,6,2))&gt;=1,FALSE),IFERROR(INT(MID(Metadata!E605,6,2))&lt;=12,FALSE)), OR(MID(Metadata!E605,8,1)="", AND(AND(MID(Metadata!E605,8,1)="-",IFERROR(INT(MID(Metadata!E605,9,1))&gt;=0,FALSE),IFERROR(INT(MID(Metadata!E605,9,1))&lt;=3,FALSE),NOT(MID(Metadata!E605,10,1)=""),IFERROR(INT(MID(Metadata!E605,9,2))&gt;=1,FALSE),IFERROR(INT(MID(Metadata!E605,9,2))&lt;=31,FALSE)), OR(MID(Metadata!E605,11,1)="", AND(AND(MID(Metadata!E605,11,1)=" ",IFERROR(INT(MID(Metadata!E605,12,1))&gt;=0,FALSE),IFERROR(INT(MID(Metadata!E605,12,1))&lt;=2,FALSE),NOT(MID(Metadata!E605,13,1)=""),IFERROR(INT(MID(Metadata!E605,12,2))&gt;=0,FALSE),IFERROR(INT(MID(Metadata!E605,12,2))&lt;=23,FALSE)), OR(MID(Metadata!E605,14,1)="", AND(AND(MID(Metadata!E605,14,1)=":",IFERROR(INT(MID(Metadata!E605,15,1))&gt;=0,FALSE),IFERROR(INT(MID(Metadata!E605,15,1))&lt;=5,FALSE),NOT(MID(Metadata!E605,16,1)=""),IFERROR(INT(MID(Metadata!E605,15,2))&gt;=0,FALSE),IFERROR(INT(MID(Metadata!E605,15,2))&lt;=59,FALSE)), OR(MID(Metadata!E605,17,1)="", AND(AND(MID(Metadata!E605,17,1)=":",IFERROR(INT(MID(Metadata!E605,18,1))&gt;=0,FALSE),IFERROR(INT(MID(Metadata!E605,18,1))&lt;=5,FALSE),NOT(MID(Metadata!E605,19,1)=""),IFERROR(INT(MID(Metadata!E605,18,2))&gt;=0,FALSE),IFERROR(INT(MID(Metadata!E605,18,2))&lt;=59,FALSE)), LEN(Metadata!E605)&lt;=19)))))))))))))</f>
        <v>0</v>
      </c>
      <c r="AS605" t="b">
        <f>IF(Metadata!F605="",FALSE,TRUE)</f>
        <v>0</v>
      </c>
      <c r="AT605" t="b">
        <f>OR(AND(IF(Metadata!G605="",FALSE,TRUE),OR(EXACT(Metadata!G605,"not collected"),EXACT(Metadata!G605,"not provided"))),AND(IF(Metadata!G605="",FALSE,TRUE),OR(EXACT(Metadata!G605,"TRUE"),EXACT(Metadata!G605,"FALSE"))))</f>
        <v>0</v>
      </c>
      <c r="AU605" t="b">
        <f>OR(AND(IF(Metadata!H605="",FALSE,TRUE),OR(EXACT(Metadata!H605,"not collected"),EXACT(Metadata!H605,"not provided"),EXACT(Metadata!H605,"restricted access"))),AND(IF(Metadata!H605="",FALSE,ISNUMBER(VALUE(Metadata!H605))),Metadata!H605&gt;=-413))</f>
        <v>0</v>
      </c>
      <c r="AV605" t="b">
        <f>AND(IF(Metadata!I605="",FALSE,TRUE),EXACT(Metadata!I605,"meters"))</f>
        <v>0</v>
      </c>
      <c r="AW605" t="b">
        <f>AND(IF(Metadata!J605="",FALSE,TRUE),EXACT(Metadata!J605,"free-living"))</f>
        <v>0</v>
      </c>
      <c r="AX605" t="b">
        <f>AND(IF(Metadata!K605="",FALSE,TRUE),OR(EXACT(Metadata!K605,"saline"),EXACT(Metadata!K605,"non-saline")))</f>
        <v>0</v>
      </c>
      <c r="AY605" t="b">
        <f>AND(IF(Metadata!L605="",FALSE,TRUE),OR(EXACT(Metadata!L605,"sub-surface (non-saline)"),EXACT(Metadata!L605,"surface (non-saline)"),EXACT(Metadata!L605,"water (non-saline)"),EXACT(Metadata!L605,"soil (non-saline)"),EXACT(Metadata!L605,"aerosol (non-saline)"),EXACT(Metadata!L605,"sediment (non-saline)"),EXACT(Metadata!L605,"surface (saline)"),EXACT(Metadata!L605,"water (saline)"),EXACT(Metadata!L605,"hypersaline (saline)"),EXACT(Metadata!L605,"aerosol (saline)"),EXACT(Metadata!L605,"sediment (saline)")))</f>
        <v>0</v>
      </c>
      <c r="AZ605" t="b">
        <f>IF(Metadata!M605="",FALSE,TRUE)</f>
        <v>0</v>
      </c>
      <c r="BA605" t="b">
        <f>IF(Metadata!N605="",FALSE,TRUE)</f>
        <v>0</v>
      </c>
      <c r="BB605" t="b">
        <f>IF(Metadata!O605="",FALSE,TRUE)</f>
        <v>0</v>
      </c>
      <c r="BC605" t="b">
        <f>AND(IF(Metadata!P605="",FALSE,TRUE),OR(EXACT(Metadata!P605,"air"),EXACT(Metadata!P605,"microbial mat/biofilm"),EXACT(Metadata!P605,"misc environment"),EXACT(Metadata!P605,"sediment"),EXACT(Metadata!P605,"soil"),EXACT(Metadata!P605,"wastewater/sludge"),EXACT(Metadata!P605,"water")))</f>
        <v>0</v>
      </c>
      <c r="BD605" t="b">
        <f>IF(Metadata!Q605="",FALSE,TRUE)</f>
        <v>0</v>
      </c>
      <c r="BE605" t="b">
        <f>IF(Metadata!R605="",FALSE,TRUE)</f>
        <v>0</v>
      </c>
      <c r="BF605" t="b">
        <f>OR(AND(IF(Metadata!S605="",FALSE,TRUE),OR(EXACT(Metadata!S605,"not collected"),EXACT(Metadata!S605,"not provided"),EXACT(Metadata!S605,"restricted access"))),AND(IF(Metadata!S605="",FALSE,ISNUMBER(VALUE(Metadata!S605))),Metadata!S605&gt;=-90,Metadata!S605&lt;=90))</f>
        <v>0</v>
      </c>
      <c r="BG605" t="b">
        <f>AND(IF(Metadata!T605="",FALSE,TRUE),EXACT(Metadata!T605,"Decimal degrees"))</f>
        <v>0</v>
      </c>
      <c r="BH605" t="b">
        <f>OR(AND(IF(Metadata!U605="",FALSE,TRUE),OR(EXACT(Metadata!U605,"not applicable"),EXACT(Metadata!U605,"not collected"))),IF(Metadata!U605="",FALSE,TRUE))</f>
        <v>0</v>
      </c>
      <c r="BI605" t="b">
        <f>OR(AND(IF(Metadata!V605="",FALSE,TRUE),OR(EXACT(Metadata!V605,"not collected"),EXACT(Metadata!V605,"not provided"),EXACT(Metadata!V605,"restricted access"))),AND(IF(Metadata!V605="",FALSE,ISNUMBER(VALUE(Metadata!V605))),Metadata!V605&gt;=-180,Metadata!V605&lt;=180))</f>
        <v>0</v>
      </c>
      <c r="BJ605" t="b">
        <f>AND(IF(Metadata!W605="",FALSE,TRUE),EXACT(Metadata!W605,"Decimal degrees"))</f>
        <v>0</v>
      </c>
      <c r="BK605" t="b">
        <f>IF(Metadata!X605="",FALSE,TRUE)</f>
        <v>0</v>
      </c>
      <c r="BL605" t="b">
        <f>OR(AND(IF(Metadata!Y605="",FALSE,TRUE),OR(EXACT(Metadata!Y605,"not collected"),EXACT(Metadata!Y605,"not provided"),EXACT(Metadata!Y605,"restricted access"))),AND(IF(Metadata!Y605="",FALSE,TRUE),OR(EXACT(Metadata!Y605,"TRUE"),EXACT(Metadata!Y605,"FALSE"))))</f>
        <v>0</v>
      </c>
      <c r="BM605" t="b">
        <f>OR(AND(IF(Metadata!Z605="",FALSE,TRUE),EXACT(Metadata!Z605,"not applicable")),AND(IF(Metadata!Z605="",FALSE,TRUE),OR(EXACT(Metadata!Z605,"beer"),EXACT(Metadata!Z605,"cheese"),EXACT(Metadata!Z605,"fresh water"),EXACT(Metadata!Z605,"marine sediment"),EXACT(Metadata!Z605,"sea water"),EXACT(Metadata!Z605,"sediment"),EXACT(Metadata!Z605,"soil"),EXACT(Metadata!Z605,"waste water"))))</f>
        <v>0</v>
      </c>
      <c r="BN605" t="b">
        <f>AND(IF(Metadata!AA605="",FALSE,TRUE),EXACT(Metadata!AA605,"metagenome"))</f>
        <v>0</v>
      </c>
      <c r="BO605" t="b">
        <f>AND(IF(Metadata!AB605="",FALSE,TRUE),EXACT(Metadata!AB605,"256318"))</f>
        <v>0</v>
      </c>
      <c r="BP605" t="b">
        <f>IF(Metadata!AC605="",FALSE,TRUE)</f>
        <v>0</v>
      </c>
      <c r="BQ605" t="b">
        <f>IF(Metadata!AD605="",FALSE,TRUE)</f>
        <v>0</v>
      </c>
    </row>
    <row r="606" spans="1:69" x14ac:dyDescent="0.2">
      <c r="A606" s="4" t="e">
        <f ca="1">IF(B606=" "," ",HYPERLINK(CONCATENATE("#metadata!",ADDRESS(INDEX($AJ$2:$AJ$1001,MATCH(ROWS($AH$2:AH606),$AH$2:$AH$1001,0),0),2)),INDEX($AM$2:$AM$1001,MATCH(ROWS($AH$2:AH606),$AH$2:$AH$1001,0),0)))</f>
        <v>#N/A</v>
      </c>
      <c r="B606" s="5" t="e">
        <f ca="1">IF(OR(INDEX($AI$2:$AI$1001,MATCH(ROWS($AH$2:AH606),$AH$2:$AH$1001,0),1)&gt;=100000,INDEX($AO$1005:$BQ$1005,1,MATCH(COLUMNS($AO$1006:AO1006),$AO$1006:$BQ$1006,0))&gt;=100000), " ",IF(INDEX($AO$2:$BQ$1001,MATCH(ROWS($AH$2:AH606),$AH$2:$AH$1001,0),MATCH(COLUMNS($AO$1006:AO1006),$AO$1006:$BQ$1006,0)), HYPERLINK("#",""), HYPERLINK(CONCATENATE("#Metadata!", ADDRESS(INDEX($AJ$2:$AJ$1001,MATCH(ROWS($AH$2:AH606),$AH$2:$AH$1001,0),0), INDEX($AO$1004:$BQ$1004,1,MATCH(COLUMNS($AO$1006:AO1006),$AO$1006:$BQ$1006,0)))),"Fix")))</f>
        <v>#N/A</v>
      </c>
      <c r="C606" s="5" t="e">
        <f ca="1">IF(OR(INDEX($AI$2:$AI$1001,MATCH(ROWS($AH$2:AH606),$AH$2:$AH$1001,0),1)&gt;=100000,INDEX($AO$1005:$BQ$1005,1,MATCH(COLUMNS($AO$1006:AP1006),$AO$1006:$BQ$1006,0))&gt;=100000), " ",IF(INDEX($AO$2:$BQ$1001,MATCH(ROWS($AH$2:AH606),$AH$2:$AH$1001,0),MATCH(COLUMNS($AO$1006:AP1006),$AO$1006:$BQ$1006,0)), HYPERLINK("#",""), HYPERLINK(CONCATENATE("#Metadata!", ADDRESS(INDEX($AJ$2:$AJ$1001,MATCH(ROWS($AH$2:AH606),$AH$2:$AH$1001,0),0), INDEX($AO$1004:$BQ$1004,1,MATCH(COLUMNS($AO$1006:AP1006),$AO$1006:$BQ$1006,0)))),"Fix")))</f>
        <v>#N/A</v>
      </c>
      <c r="D606" s="5" t="e">
        <f ca="1">IF(OR(INDEX($AI$2:$AI$1001,MATCH(ROWS($AH$2:AH606),$AH$2:$AH$1001,0),1)&gt;=100000,INDEX($AO$1005:$BQ$1005,1,MATCH(COLUMNS($AO$1006:AQ1006),$AO$1006:$BQ$1006,0))&gt;=100000), " ",IF(INDEX($AO$2:$BQ$1001,MATCH(ROWS($AH$2:AH606),$AH$2:$AH$1001,0),MATCH(COLUMNS($AO$1006:AQ1006),$AO$1006:$BQ$1006,0)), HYPERLINK("#",""), HYPERLINK(CONCATENATE("#Metadata!", ADDRESS(INDEX($AJ$2:$AJ$1001,MATCH(ROWS($AH$2:AH606),$AH$2:$AH$1001,0),0), INDEX($AO$1004:$BQ$1004,1,MATCH(COLUMNS($AO$1006:AQ1006),$AO$1006:$BQ$1006,0)))),"Fix")))</f>
        <v>#N/A</v>
      </c>
      <c r="E606" s="5" t="e">
        <f ca="1">IF(OR(INDEX($AI$2:$AI$1001,MATCH(ROWS($AH$2:AH606),$AH$2:$AH$1001,0),1)&gt;=100000,INDEX($AO$1005:$BQ$1005,1,MATCH(COLUMNS($AO$1006:AR1006),$AO$1006:$BQ$1006,0))&gt;=100000), " ",IF(INDEX($AO$2:$BQ$1001,MATCH(ROWS($AH$2:AH606),$AH$2:$AH$1001,0),MATCH(COLUMNS($AO$1006:AR1006),$AO$1006:$BQ$1006,0)), HYPERLINK("#",""), HYPERLINK(CONCATENATE("#Metadata!", ADDRESS(INDEX($AJ$2:$AJ$1001,MATCH(ROWS($AH$2:AH606),$AH$2:$AH$1001,0),0), INDEX($AO$1004:$BQ$1004,1,MATCH(COLUMNS($AO$1006:AR1006),$AO$1006:$BQ$1006,0)))),"Fix")))</f>
        <v>#N/A</v>
      </c>
      <c r="F606" s="5" t="e">
        <f ca="1">IF(OR(INDEX($AI$2:$AI$1001,MATCH(ROWS($AH$2:AH606),$AH$2:$AH$1001,0),1)&gt;=100000,INDEX($AO$1005:$BQ$1005,1,MATCH(COLUMNS($AO$1006:AS1006),$AO$1006:$BQ$1006,0))&gt;=100000), " ",IF(INDEX($AO$2:$BQ$1001,MATCH(ROWS($AH$2:AH606),$AH$2:$AH$1001,0),MATCH(COLUMNS($AO$1006:AS1006),$AO$1006:$BQ$1006,0)), HYPERLINK("#",""), HYPERLINK(CONCATENATE("#Metadata!", ADDRESS(INDEX($AJ$2:$AJ$1001,MATCH(ROWS($AH$2:AH606),$AH$2:$AH$1001,0),0), INDEX($AO$1004:$BQ$1004,1,MATCH(COLUMNS($AO$1006:AS1006),$AO$1006:$BQ$1006,0)))),"Fix")))</f>
        <v>#N/A</v>
      </c>
      <c r="G606" s="5" t="e">
        <f ca="1">IF(OR(INDEX($AI$2:$AI$1001,MATCH(ROWS($AH$2:AH606),$AH$2:$AH$1001,0),1)&gt;=100000,INDEX($AO$1005:$BQ$1005,1,MATCH(COLUMNS($AO$1006:AT1006),$AO$1006:$BQ$1006,0))&gt;=100000), " ",IF(INDEX($AO$2:$BQ$1001,MATCH(ROWS($AH$2:AH606),$AH$2:$AH$1001,0),MATCH(COLUMNS($AO$1006:AT1006),$AO$1006:$BQ$1006,0)), HYPERLINK("#",""), HYPERLINK(CONCATENATE("#Metadata!", ADDRESS(INDEX($AJ$2:$AJ$1001,MATCH(ROWS($AH$2:AH606),$AH$2:$AH$1001,0),0), INDEX($AO$1004:$BQ$1004,1,MATCH(COLUMNS($AO$1006:AT1006),$AO$1006:$BQ$1006,0)))),"Fix")))</f>
        <v>#N/A</v>
      </c>
      <c r="H606" s="5" t="e">
        <f ca="1">IF(OR(INDEX($AI$2:$AI$1001,MATCH(ROWS($AH$2:AH606),$AH$2:$AH$1001,0),1)&gt;=100000,INDEX($AO$1005:$BQ$1005,1,MATCH(COLUMNS($AO$1006:AU1006),$AO$1006:$BQ$1006,0))&gt;=100000), " ",IF(INDEX($AO$2:$BQ$1001,MATCH(ROWS($AH$2:AH606),$AH$2:$AH$1001,0),MATCH(COLUMNS($AO$1006:AU1006),$AO$1006:$BQ$1006,0)), HYPERLINK("#",""), HYPERLINK(CONCATENATE("#Metadata!", ADDRESS(INDEX($AJ$2:$AJ$1001,MATCH(ROWS($AH$2:AH606),$AH$2:$AH$1001,0),0), INDEX($AO$1004:$BQ$1004,1,MATCH(COLUMNS($AO$1006:AU1006),$AO$1006:$BQ$1006,0)))),"Fix")))</f>
        <v>#N/A</v>
      </c>
      <c r="I606" s="5" t="e">
        <f ca="1">IF(OR(INDEX($AI$2:$AI$1001,MATCH(ROWS($AH$2:AH606),$AH$2:$AH$1001,0),1)&gt;=100000,INDEX($AO$1005:$BQ$1005,1,MATCH(COLUMNS($AO$1006:AV1006),$AO$1006:$BQ$1006,0))&gt;=100000), " ",IF(INDEX($AO$2:$BQ$1001,MATCH(ROWS($AH$2:AH606),$AH$2:$AH$1001,0),MATCH(COLUMNS($AO$1006:AV1006),$AO$1006:$BQ$1006,0)), HYPERLINK("#",""), HYPERLINK(CONCATENATE("#Metadata!", ADDRESS(INDEX($AJ$2:$AJ$1001,MATCH(ROWS($AH$2:AH606),$AH$2:$AH$1001,0),0), INDEX($AO$1004:$BQ$1004,1,MATCH(COLUMNS($AO$1006:AV1006),$AO$1006:$BQ$1006,0)))),"Fix")))</f>
        <v>#N/A</v>
      </c>
      <c r="J606" s="5" t="e">
        <f ca="1">IF(OR(INDEX($AI$2:$AI$1001,MATCH(ROWS($AH$2:AH606),$AH$2:$AH$1001,0),1)&gt;=100000,INDEX($AO$1005:$BQ$1005,1,MATCH(COLUMNS($AO$1006:AW1006),$AO$1006:$BQ$1006,0))&gt;=100000), " ",IF(INDEX($AO$2:$BQ$1001,MATCH(ROWS($AH$2:AH606),$AH$2:$AH$1001,0),MATCH(COLUMNS($AO$1006:AW1006),$AO$1006:$BQ$1006,0)), HYPERLINK("#",""), HYPERLINK(CONCATENATE("#Metadata!", ADDRESS(INDEX($AJ$2:$AJ$1001,MATCH(ROWS($AH$2:AH606),$AH$2:$AH$1001,0),0), INDEX($AO$1004:$BQ$1004,1,MATCH(COLUMNS($AO$1006:AW1006),$AO$1006:$BQ$1006,0)))),"Fix")))</f>
        <v>#N/A</v>
      </c>
      <c r="K606" s="5" t="e">
        <f ca="1">IF(OR(INDEX($AI$2:$AI$1001,MATCH(ROWS($AH$2:AH606),$AH$2:$AH$1001,0),1)&gt;=100000,INDEX($AO$1005:$BQ$1005,1,MATCH(COLUMNS($AO$1006:AX1006),$AO$1006:$BQ$1006,0))&gt;=100000), " ",IF(INDEX($AO$2:$BQ$1001,MATCH(ROWS($AH$2:AH606),$AH$2:$AH$1001,0),MATCH(COLUMNS($AO$1006:AX1006),$AO$1006:$BQ$1006,0)), HYPERLINK("#",""), HYPERLINK(CONCATENATE("#Metadata!", ADDRESS(INDEX($AJ$2:$AJ$1001,MATCH(ROWS($AH$2:AH606),$AH$2:$AH$1001,0),0), INDEX($AO$1004:$BQ$1004,1,MATCH(COLUMNS($AO$1006:AX1006),$AO$1006:$BQ$1006,0)))),"Fix")))</f>
        <v>#N/A</v>
      </c>
      <c r="L606" s="5" t="e">
        <f ca="1">IF(OR(INDEX($AI$2:$AI$1001,MATCH(ROWS($AH$2:AH606),$AH$2:$AH$1001,0),1)&gt;=100000,INDEX($AO$1005:$BQ$1005,1,MATCH(COLUMNS($AO$1006:AY1006),$AO$1006:$BQ$1006,0))&gt;=100000), " ",IF(INDEX($AO$2:$BQ$1001,MATCH(ROWS($AH$2:AH606),$AH$2:$AH$1001,0),MATCH(COLUMNS($AO$1006:AY1006),$AO$1006:$BQ$1006,0)), HYPERLINK("#",""), HYPERLINK(CONCATENATE("#Metadata!", ADDRESS(INDEX($AJ$2:$AJ$1001,MATCH(ROWS($AH$2:AH606),$AH$2:$AH$1001,0),0), INDEX($AO$1004:$BQ$1004,1,MATCH(COLUMNS($AO$1006:AY1006),$AO$1006:$BQ$1006,0)))),"Fix")))</f>
        <v>#N/A</v>
      </c>
      <c r="M606" s="5" t="e">
        <f ca="1">IF(OR(INDEX($AI$2:$AI$1001,MATCH(ROWS($AH$2:AH606),$AH$2:$AH$1001,0),1)&gt;=100000,INDEX($AO$1005:$BQ$1005,1,MATCH(COLUMNS($AO$1006:AZ1006),$AO$1006:$BQ$1006,0))&gt;=100000), " ",IF(INDEX($AO$2:$BQ$1001,MATCH(ROWS($AH$2:AH606),$AH$2:$AH$1001,0),MATCH(COLUMNS($AO$1006:AZ1006),$AO$1006:$BQ$1006,0)), HYPERLINK("#",""), HYPERLINK(CONCATENATE("#Metadata!", ADDRESS(INDEX($AJ$2:$AJ$1001,MATCH(ROWS($AH$2:AH606),$AH$2:$AH$1001,0),0), INDEX($AO$1004:$BQ$1004,1,MATCH(COLUMNS($AO$1006:AZ1006),$AO$1006:$BQ$1006,0)))),"Fix")))</f>
        <v>#N/A</v>
      </c>
      <c r="N606" s="5" t="e">
        <f ca="1">IF(OR(INDEX($AI$2:$AI$1001,MATCH(ROWS($AH$2:AH606),$AH$2:$AH$1001,0),1)&gt;=100000,INDEX($AO$1005:$BQ$1005,1,MATCH(COLUMNS($AO$1006:BA1006),$AO$1006:$BQ$1006,0))&gt;=100000), " ",IF(INDEX($AO$2:$BQ$1001,MATCH(ROWS($AH$2:AH606),$AH$2:$AH$1001,0),MATCH(COLUMNS($AO$1006:BA1006),$AO$1006:$BQ$1006,0)), HYPERLINK("#",""), HYPERLINK(CONCATENATE("#Metadata!", ADDRESS(INDEX($AJ$2:$AJ$1001,MATCH(ROWS($AH$2:AH606),$AH$2:$AH$1001,0),0), INDEX($AO$1004:$BQ$1004,1,MATCH(COLUMNS($AO$1006:BA1006),$AO$1006:$BQ$1006,0)))),"Fix")))</f>
        <v>#N/A</v>
      </c>
      <c r="O606" s="5" t="e">
        <f ca="1">IF(OR(INDEX($AI$2:$AI$1001,MATCH(ROWS($AH$2:AH606),$AH$2:$AH$1001,0),1)&gt;=100000,INDEX($AO$1005:$BQ$1005,1,MATCH(COLUMNS($AO$1006:BB1006),$AO$1006:$BQ$1006,0))&gt;=100000), " ",IF(INDEX($AO$2:$BQ$1001,MATCH(ROWS($AH$2:AH606),$AH$2:$AH$1001,0),MATCH(COLUMNS($AO$1006:BB1006),$AO$1006:$BQ$1006,0)), HYPERLINK("#",""), HYPERLINK(CONCATENATE("#Metadata!", ADDRESS(INDEX($AJ$2:$AJ$1001,MATCH(ROWS($AH$2:AH606),$AH$2:$AH$1001,0),0), INDEX($AO$1004:$BQ$1004,1,MATCH(COLUMNS($AO$1006:BB1006),$AO$1006:$BQ$1006,0)))),"Fix")))</f>
        <v>#N/A</v>
      </c>
      <c r="P606" s="5" t="e">
        <f ca="1">IF(OR(INDEX($AI$2:$AI$1001,MATCH(ROWS($AH$2:AH606),$AH$2:$AH$1001,0),1)&gt;=100000,INDEX($AO$1005:$BQ$1005,1,MATCH(COLUMNS($AO$1006:BC1006),$AO$1006:$BQ$1006,0))&gt;=100000), " ",IF(INDEX($AO$2:$BQ$1001,MATCH(ROWS($AH$2:AH606),$AH$2:$AH$1001,0),MATCH(COLUMNS($AO$1006:BC1006),$AO$1006:$BQ$1006,0)), HYPERLINK("#",""), HYPERLINK(CONCATENATE("#Metadata!", ADDRESS(INDEX($AJ$2:$AJ$1001,MATCH(ROWS($AH$2:AH606),$AH$2:$AH$1001,0),0), INDEX($AO$1004:$BQ$1004,1,MATCH(COLUMNS($AO$1006:BC1006),$AO$1006:$BQ$1006,0)))),"Fix")))</f>
        <v>#N/A</v>
      </c>
      <c r="Q606" s="5" t="e">
        <f ca="1">IF(OR(INDEX($AI$2:$AI$1001,MATCH(ROWS($AH$2:AH606),$AH$2:$AH$1001,0),1)&gt;=100000,INDEX($AO$1005:$BQ$1005,1,MATCH(COLUMNS($AO$1006:BD1006),$AO$1006:$BQ$1006,0))&gt;=100000), " ",IF(INDEX($AO$2:$BQ$1001,MATCH(ROWS($AH$2:AH606),$AH$2:$AH$1001,0),MATCH(COLUMNS($AO$1006:BD1006),$AO$1006:$BQ$1006,0)), HYPERLINK("#",""), HYPERLINK(CONCATENATE("#Metadata!", ADDRESS(INDEX($AJ$2:$AJ$1001,MATCH(ROWS($AH$2:AH606),$AH$2:$AH$1001,0),0), INDEX($AO$1004:$BQ$1004,1,MATCH(COLUMNS($AO$1006:BD1006),$AO$1006:$BQ$1006,0)))),"Fix")))</f>
        <v>#N/A</v>
      </c>
      <c r="R606" s="5" t="e">
        <f ca="1">IF(OR(INDEX($AI$2:$AI$1001,MATCH(ROWS($AH$2:AH606),$AH$2:$AH$1001,0),1)&gt;=100000,INDEX($AO$1005:$BQ$1005,1,MATCH(COLUMNS($AO$1006:BE1006),$AO$1006:$BQ$1006,0))&gt;=100000), " ",IF(INDEX($AO$2:$BQ$1001,MATCH(ROWS($AH$2:AH606),$AH$2:$AH$1001,0),MATCH(COLUMNS($AO$1006:BE1006),$AO$1006:$BQ$1006,0)), HYPERLINK("#",""), HYPERLINK(CONCATENATE("#Metadata!", ADDRESS(INDEX($AJ$2:$AJ$1001,MATCH(ROWS($AH$2:AH606),$AH$2:$AH$1001,0),0), INDEX($AO$1004:$BQ$1004,1,MATCH(COLUMNS($AO$1006:BE1006),$AO$1006:$BQ$1006,0)))),"Fix")))</f>
        <v>#N/A</v>
      </c>
      <c r="S606" s="5" t="e">
        <f ca="1">IF(OR(INDEX($AI$2:$AI$1001,MATCH(ROWS($AH$2:AH606),$AH$2:$AH$1001,0),1)&gt;=100000,INDEX($AO$1005:$BQ$1005,1,MATCH(COLUMNS($AO$1006:BF1006),$AO$1006:$BQ$1006,0))&gt;=100000), " ",IF(INDEX($AO$2:$BQ$1001,MATCH(ROWS($AH$2:AH606),$AH$2:$AH$1001,0),MATCH(COLUMNS($AO$1006:BF1006),$AO$1006:$BQ$1006,0)), HYPERLINK("#",""), HYPERLINK(CONCATENATE("#Metadata!", ADDRESS(INDEX($AJ$2:$AJ$1001,MATCH(ROWS($AH$2:AH606),$AH$2:$AH$1001,0),0), INDEX($AO$1004:$BQ$1004,1,MATCH(COLUMNS($AO$1006:BF1006),$AO$1006:$BQ$1006,0)))),"Fix")))</f>
        <v>#N/A</v>
      </c>
      <c r="T606" s="5" t="e">
        <f ca="1">IF(OR(INDEX($AI$2:$AI$1001,MATCH(ROWS($AH$2:AH606),$AH$2:$AH$1001,0),1)&gt;=100000,INDEX($AO$1005:$BQ$1005,1,MATCH(COLUMNS($AO$1006:BG1006),$AO$1006:$BQ$1006,0))&gt;=100000), " ",IF(INDEX($AO$2:$BQ$1001,MATCH(ROWS($AH$2:AH606),$AH$2:$AH$1001,0),MATCH(COLUMNS($AO$1006:BG1006),$AO$1006:$BQ$1006,0)), HYPERLINK("#",""), HYPERLINK(CONCATENATE("#Metadata!", ADDRESS(INDEX($AJ$2:$AJ$1001,MATCH(ROWS($AH$2:AH606),$AH$2:$AH$1001,0),0), INDEX($AO$1004:$BQ$1004,1,MATCH(COLUMNS($AO$1006:BG1006),$AO$1006:$BQ$1006,0)))),"Fix")))</f>
        <v>#N/A</v>
      </c>
      <c r="U606" s="5" t="e">
        <f ca="1">IF(OR(INDEX($AI$2:$AI$1001,MATCH(ROWS($AH$2:AH606),$AH$2:$AH$1001,0),1)&gt;=100000,INDEX($AO$1005:$BQ$1005,1,MATCH(COLUMNS($AO$1006:BH1006),$AO$1006:$BQ$1006,0))&gt;=100000), " ",IF(INDEX($AO$2:$BQ$1001,MATCH(ROWS($AH$2:AH606),$AH$2:$AH$1001,0),MATCH(COLUMNS($AO$1006:BH1006),$AO$1006:$BQ$1006,0)), HYPERLINK("#",""), HYPERLINK(CONCATENATE("#Metadata!", ADDRESS(INDEX($AJ$2:$AJ$1001,MATCH(ROWS($AH$2:AH606),$AH$2:$AH$1001,0),0), INDEX($AO$1004:$BQ$1004,1,MATCH(COLUMNS($AO$1006:BH1006),$AO$1006:$BQ$1006,0)))),"Fix")))</f>
        <v>#N/A</v>
      </c>
      <c r="V606" s="5" t="e">
        <f ca="1">IF(OR(INDEX($AI$2:$AI$1001,MATCH(ROWS($AH$2:AH606),$AH$2:$AH$1001,0),1)&gt;=100000,INDEX($AO$1005:$BQ$1005,1,MATCH(COLUMNS($AO$1006:BI1006),$AO$1006:$BQ$1006,0))&gt;=100000), " ",IF(INDEX($AO$2:$BQ$1001,MATCH(ROWS($AH$2:AH606),$AH$2:$AH$1001,0),MATCH(COLUMNS($AO$1006:BI1006),$AO$1006:$BQ$1006,0)), HYPERLINK("#",""), HYPERLINK(CONCATENATE("#Metadata!", ADDRESS(INDEX($AJ$2:$AJ$1001,MATCH(ROWS($AH$2:AH606),$AH$2:$AH$1001,0),0), INDEX($AO$1004:$BQ$1004,1,MATCH(COLUMNS($AO$1006:BI1006),$AO$1006:$BQ$1006,0)))),"Fix")))</f>
        <v>#N/A</v>
      </c>
      <c r="W606" s="5" t="e">
        <f ca="1">IF(OR(INDEX($AI$2:$AI$1001,MATCH(ROWS($AH$2:AH606),$AH$2:$AH$1001,0),1)&gt;=100000,INDEX($AO$1005:$BQ$1005,1,MATCH(COLUMNS($AO$1006:BJ1006),$AO$1006:$BQ$1006,0))&gt;=100000), " ",IF(INDEX($AO$2:$BQ$1001,MATCH(ROWS($AH$2:AH606),$AH$2:$AH$1001,0),MATCH(COLUMNS($AO$1006:BJ1006),$AO$1006:$BQ$1006,0)), HYPERLINK("#",""), HYPERLINK(CONCATENATE("#Metadata!", ADDRESS(INDEX($AJ$2:$AJ$1001,MATCH(ROWS($AH$2:AH606),$AH$2:$AH$1001,0),0), INDEX($AO$1004:$BQ$1004,1,MATCH(COLUMNS($AO$1006:BJ1006),$AO$1006:$BQ$1006,0)))),"Fix")))</f>
        <v>#N/A</v>
      </c>
      <c r="X606" s="5" t="e">
        <f ca="1">IF(OR(INDEX($AI$2:$AI$1001,MATCH(ROWS($AH$2:AH606),$AH$2:$AH$1001,0),1)&gt;=100000,INDEX($AO$1005:$BQ$1005,1,MATCH(COLUMNS($AO$1006:BK1006),$AO$1006:$BQ$1006,0))&gt;=100000), " ",IF(INDEX($AO$2:$BQ$1001,MATCH(ROWS($AH$2:AH606),$AH$2:$AH$1001,0),MATCH(COLUMNS($AO$1006:BK1006),$AO$1006:$BQ$1006,0)), HYPERLINK("#",""), HYPERLINK(CONCATENATE("#Metadata!", ADDRESS(INDEX($AJ$2:$AJ$1001,MATCH(ROWS($AH$2:AH606),$AH$2:$AH$1001,0),0), INDEX($AO$1004:$BQ$1004,1,MATCH(COLUMNS($AO$1006:BK1006),$AO$1006:$BQ$1006,0)))),"Fix")))</f>
        <v>#N/A</v>
      </c>
      <c r="Y606" s="5" t="e">
        <f ca="1">IF(OR(INDEX($AI$2:$AI$1001,MATCH(ROWS($AH$2:AH606),$AH$2:$AH$1001,0),1)&gt;=100000,INDEX($AO$1005:$BQ$1005,1,MATCH(COLUMNS($AO$1006:BL1006),$AO$1006:$BQ$1006,0))&gt;=100000), " ",IF(INDEX($AO$2:$BQ$1001,MATCH(ROWS($AH$2:AH606),$AH$2:$AH$1001,0),MATCH(COLUMNS($AO$1006:BL1006),$AO$1006:$BQ$1006,0)), HYPERLINK("#",""), HYPERLINK(CONCATENATE("#Metadata!", ADDRESS(INDEX($AJ$2:$AJ$1001,MATCH(ROWS($AH$2:AH606),$AH$2:$AH$1001,0),0), INDEX($AO$1004:$BQ$1004,1,MATCH(COLUMNS($AO$1006:BL1006),$AO$1006:$BQ$1006,0)))),"Fix")))</f>
        <v>#N/A</v>
      </c>
      <c r="Z606" s="5" t="e">
        <f ca="1">IF(OR(INDEX($AI$2:$AI$1001,MATCH(ROWS($AH$2:AH606),$AH$2:$AH$1001,0),1)&gt;=100000,INDEX($AO$1005:$BQ$1005,1,MATCH(COLUMNS($AO$1006:BM1006),$AO$1006:$BQ$1006,0))&gt;=100000), " ",IF(INDEX($AO$2:$BQ$1001,MATCH(ROWS($AH$2:AH606),$AH$2:$AH$1001,0),MATCH(COLUMNS($AO$1006:BM1006),$AO$1006:$BQ$1006,0)), HYPERLINK("#",""), HYPERLINK(CONCATENATE("#Metadata!", ADDRESS(INDEX($AJ$2:$AJ$1001,MATCH(ROWS($AH$2:AH606),$AH$2:$AH$1001,0),0), INDEX($AO$1004:$BQ$1004,1,MATCH(COLUMNS($AO$1006:BM1006),$AO$1006:$BQ$1006,0)))),"Fix")))</f>
        <v>#N/A</v>
      </c>
      <c r="AA606" s="5" t="e">
        <f ca="1">IF(OR(INDEX($AI$2:$AI$1001,MATCH(ROWS($AH$2:AH606),$AH$2:$AH$1001,0),1)&gt;=100000,INDEX($AO$1005:$BQ$1005,1,MATCH(COLUMNS($AO$1006:BN1006),$AO$1006:$BQ$1006,0))&gt;=100000), " ",IF(INDEX($AO$2:$BQ$1001,MATCH(ROWS($AH$2:AH606),$AH$2:$AH$1001,0),MATCH(COLUMNS($AO$1006:BN1006),$AO$1006:$BQ$1006,0)), HYPERLINK("#",""), HYPERLINK(CONCATENATE("#Metadata!", ADDRESS(INDEX($AJ$2:$AJ$1001,MATCH(ROWS($AH$2:AH606),$AH$2:$AH$1001,0),0), INDEX($AO$1004:$BQ$1004,1,MATCH(COLUMNS($AO$1006:BN1006),$AO$1006:$BQ$1006,0)))),"Fix")))</f>
        <v>#N/A</v>
      </c>
      <c r="AB606" s="5" t="e">
        <f ca="1">IF(OR(INDEX($AI$2:$AI$1001,MATCH(ROWS($AH$2:AH606),$AH$2:$AH$1001,0),1)&gt;=100000,INDEX($AO$1005:$BQ$1005,1,MATCH(COLUMNS($AO$1006:BO1006),$AO$1006:$BQ$1006,0))&gt;=100000), " ",IF(INDEX($AO$2:$BQ$1001,MATCH(ROWS($AH$2:AH606),$AH$2:$AH$1001,0),MATCH(COLUMNS($AO$1006:BO1006),$AO$1006:$BQ$1006,0)), HYPERLINK("#",""), HYPERLINK(CONCATENATE("#Metadata!", ADDRESS(INDEX($AJ$2:$AJ$1001,MATCH(ROWS($AH$2:AH606),$AH$2:$AH$1001,0),0), INDEX($AO$1004:$BQ$1004,1,MATCH(COLUMNS($AO$1006:BO1006),$AO$1006:$BQ$1006,0)))),"Fix")))</f>
        <v>#N/A</v>
      </c>
      <c r="AC606" s="5" t="e">
        <f ca="1">IF(OR(INDEX($AI$2:$AI$1001,MATCH(ROWS($AH$2:AH606),$AH$2:$AH$1001,0),1)&gt;=100000,INDEX($AO$1005:$BQ$1005,1,MATCH(COLUMNS($AO$1006:BP1006),$AO$1006:$BQ$1006,0))&gt;=100000), " ",IF(INDEX($AO$2:$BQ$1001,MATCH(ROWS($AH$2:AH606),$AH$2:$AH$1001,0),MATCH(COLUMNS($AO$1006:BP1006),$AO$1006:$BQ$1006,0)), HYPERLINK("#",""), HYPERLINK(CONCATENATE("#Metadata!", ADDRESS(INDEX($AJ$2:$AJ$1001,MATCH(ROWS($AH$2:AH606),$AH$2:$AH$1001,0),0), INDEX($AO$1004:$BQ$1004,1,MATCH(COLUMNS($AO$1006:BP1006),$AO$1006:$BQ$1006,0)))),"Fix")))</f>
        <v>#N/A</v>
      </c>
      <c r="AD606" s="5" t="e">
        <f ca="1">IF(OR(INDEX($AI$2:$AI$1001,MATCH(ROWS($AH$2:AH606),$AH$2:$AH$1001,0),1)&gt;=100000,INDEX($AO$1005:$BQ$1005,1,MATCH(COLUMNS($AO$1006:BQ1006),$AO$1006:$BQ$1006,0))&gt;=100000), " ",IF(INDEX($AO$2:$BQ$1001,MATCH(ROWS($AH$2:AH606),$AH$2:$AH$1001,0),MATCH(COLUMNS($AO$1006:BQ1006),$AO$1006:$BQ$1006,0)), HYPERLINK("#",""), HYPERLINK(CONCATENATE("#Metadata!", ADDRESS(INDEX($AJ$2:$AJ$1001,MATCH(ROWS($AH$2:AH606),$AH$2:$AH$1001,0),0), INDEX($AO$1004:$BQ$1004,1,MATCH(COLUMNS($AO$1006:BQ1006),$AO$1006:$BQ$1006,0)))),"Fix")))</f>
        <v>#REF!</v>
      </c>
      <c r="AH606">
        <f ca="1"/>
        <v>603</v>
      </c>
      <c r="AI606">
        <v>100606</v>
      </c>
      <c r="AJ606">
        <v>606</v>
      </c>
      <c r="AK606" t="b">
        <f t="shared" si="9"/>
        <v>1</v>
      </c>
      <c r="AL606" t="b">
        <f>COUNTBLANK(Metadata!B606:AD606)=COLUMNS(Metadata!B606:AD606)</f>
        <v>1</v>
      </c>
      <c r="AM606" t="str">
        <v/>
      </c>
      <c r="AO606" t="b">
        <f ca="1">AND(IF(Metadata!B606="",FALSE,TRUE),COUNTIF(Metadata!B:B, Metadata!B606) = 1,NOT(ISERROR(SUMPRODUCT(SEARCH(MID(Metadata!B606,ROW(INDIRECT("1:"&amp;LEN(Metadata!B606))), 1),"0123456789abcdefghijklmnopqrstuvwxyzABCDEFGHIJKLMNOPQRSTUVWXYZ.")))))</f>
        <v>0</v>
      </c>
      <c r="AP606" t="b">
        <f>IF(Metadata!C606="",FALSE,TRUE)</f>
        <v>0</v>
      </c>
      <c r="AQ606" t="b">
        <f>IF(Metadata!D606="",FALSE,TRUE)</f>
        <v>0</v>
      </c>
      <c r="AR606" t="b">
        <f ca="1">OR(AND(IF(Metadata!E606="",FALSE,TRUE),OR(EXACT(Metadata!E606,"not collected"),EXACT(Metadata!E606,"not provided"),EXACT(Metadata!E606,"restricted access"))),AND(IF(Metadata!E606="",FALSE,TRUE),AND(AND(IFERROR(INT(LEFT(Metadata!E606,4))&gt;1900,FALSE),IFERROR(INT(LEFT(Metadata!E606,4))&lt;=YEAR(NOW()),FALSE)), OR(MID(Metadata!E606,5,1)="", AND(AND(MID(Metadata!E606,5,1)="-",IFERROR(INT(MID(Metadata!E606,6,1))&gt;=0,FALSE),IFERROR(INT(MID(Metadata!E606,6,1))&lt;=1,FALSE),NOT(MID(Metadata!E606,7,1)=""),IFERROR(INT(MID(Metadata!E606,6,2))&gt;=1,FALSE),IFERROR(INT(MID(Metadata!E606,6,2))&lt;=12,FALSE)), OR(MID(Metadata!E606,8,1)="", AND(AND(MID(Metadata!E606,8,1)="-",IFERROR(INT(MID(Metadata!E606,9,1))&gt;=0,FALSE),IFERROR(INT(MID(Metadata!E606,9,1))&lt;=3,FALSE),NOT(MID(Metadata!E606,10,1)=""),IFERROR(INT(MID(Metadata!E606,9,2))&gt;=1,FALSE),IFERROR(INT(MID(Metadata!E606,9,2))&lt;=31,FALSE)), OR(MID(Metadata!E606,11,1)="", AND(AND(MID(Metadata!E606,11,1)=" ",IFERROR(INT(MID(Metadata!E606,12,1))&gt;=0,FALSE),IFERROR(INT(MID(Metadata!E606,12,1))&lt;=2,FALSE),NOT(MID(Metadata!E606,13,1)=""),IFERROR(INT(MID(Metadata!E606,12,2))&gt;=0,FALSE),IFERROR(INT(MID(Metadata!E606,12,2))&lt;=23,FALSE)), OR(MID(Metadata!E606,14,1)="", AND(AND(MID(Metadata!E606,14,1)=":",IFERROR(INT(MID(Metadata!E606,15,1))&gt;=0,FALSE),IFERROR(INT(MID(Metadata!E606,15,1))&lt;=5,FALSE),NOT(MID(Metadata!E606,16,1)=""),IFERROR(INT(MID(Metadata!E606,15,2))&gt;=0,FALSE),IFERROR(INT(MID(Metadata!E606,15,2))&lt;=59,FALSE)), OR(MID(Metadata!E606,17,1)="", AND(AND(MID(Metadata!E606,17,1)=":",IFERROR(INT(MID(Metadata!E606,18,1))&gt;=0,FALSE),IFERROR(INT(MID(Metadata!E606,18,1))&lt;=5,FALSE),NOT(MID(Metadata!E606,19,1)=""),IFERROR(INT(MID(Metadata!E606,18,2))&gt;=0,FALSE),IFERROR(INT(MID(Metadata!E606,18,2))&lt;=59,FALSE)), LEN(Metadata!E606)&lt;=19)))))))))))))</f>
        <v>0</v>
      </c>
      <c r="AS606" t="b">
        <f>IF(Metadata!F606="",FALSE,TRUE)</f>
        <v>0</v>
      </c>
      <c r="AT606" t="b">
        <f>OR(AND(IF(Metadata!G606="",FALSE,TRUE),OR(EXACT(Metadata!G606,"not collected"),EXACT(Metadata!G606,"not provided"))),AND(IF(Metadata!G606="",FALSE,TRUE),OR(EXACT(Metadata!G606,"TRUE"),EXACT(Metadata!G606,"FALSE"))))</f>
        <v>0</v>
      </c>
      <c r="AU606" t="b">
        <f>OR(AND(IF(Metadata!H606="",FALSE,TRUE),OR(EXACT(Metadata!H606,"not collected"),EXACT(Metadata!H606,"not provided"),EXACT(Metadata!H606,"restricted access"))),AND(IF(Metadata!H606="",FALSE,ISNUMBER(VALUE(Metadata!H606))),Metadata!H606&gt;=-413))</f>
        <v>0</v>
      </c>
      <c r="AV606" t="b">
        <f>AND(IF(Metadata!I606="",FALSE,TRUE),EXACT(Metadata!I606,"meters"))</f>
        <v>0</v>
      </c>
      <c r="AW606" t="b">
        <f>AND(IF(Metadata!J606="",FALSE,TRUE),EXACT(Metadata!J606,"free-living"))</f>
        <v>0</v>
      </c>
      <c r="AX606" t="b">
        <f>AND(IF(Metadata!K606="",FALSE,TRUE),OR(EXACT(Metadata!K606,"saline"),EXACT(Metadata!K606,"non-saline")))</f>
        <v>0</v>
      </c>
      <c r="AY606" t="b">
        <f>AND(IF(Metadata!L606="",FALSE,TRUE),OR(EXACT(Metadata!L606,"sub-surface (non-saline)"),EXACT(Metadata!L606,"surface (non-saline)"),EXACT(Metadata!L606,"water (non-saline)"),EXACT(Metadata!L606,"soil (non-saline)"),EXACT(Metadata!L606,"aerosol (non-saline)"),EXACT(Metadata!L606,"sediment (non-saline)"),EXACT(Metadata!L606,"surface (saline)"),EXACT(Metadata!L606,"water (saline)"),EXACT(Metadata!L606,"hypersaline (saline)"),EXACT(Metadata!L606,"aerosol (saline)"),EXACT(Metadata!L606,"sediment (saline)")))</f>
        <v>0</v>
      </c>
      <c r="AZ606" t="b">
        <f>IF(Metadata!M606="",FALSE,TRUE)</f>
        <v>0</v>
      </c>
      <c r="BA606" t="b">
        <f>IF(Metadata!N606="",FALSE,TRUE)</f>
        <v>0</v>
      </c>
      <c r="BB606" t="b">
        <f>IF(Metadata!O606="",FALSE,TRUE)</f>
        <v>0</v>
      </c>
      <c r="BC606" t="b">
        <f>AND(IF(Metadata!P606="",FALSE,TRUE),OR(EXACT(Metadata!P606,"air"),EXACT(Metadata!P606,"microbial mat/biofilm"),EXACT(Metadata!P606,"misc environment"),EXACT(Metadata!P606,"sediment"),EXACT(Metadata!P606,"soil"),EXACT(Metadata!P606,"wastewater/sludge"),EXACT(Metadata!P606,"water")))</f>
        <v>0</v>
      </c>
      <c r="BD606" t="b">
        <f>IF(Metadata!Q606="",FALSE,TRUE)</f>
        <v>0</v>
      </c>
      <c r="BE606" t="b">
        <f>IF(Metadata!R606="",FALSE,TRUE)</f>
        <v>0</v>
      </c>
      <c r="BF606" t="b">
        <f>OR(AND(IF(Metadata!S606="",FALSE,TRUE),OR(EXACT(Metadata!S606,"not collected"),EXACT(Metadata!S606,"not provided"),EXACT(Metadata!S606,"restricted access"))),AND(IF(Metadata!S606="",FALSE,ISNUMBER(VALUE(Metadata!S606))),Metadata!S606&gt;=-90,Metadata!S606&lt;=90))</f>
        <v>0</v>
      </c>
      <c r="BG606" t="b">
        <f>AND(IF(Metadata!T606="",FALSE,TRUE),EXACT(Metadata!T606,"Decimal degrees"))</f>
        <v>0</v>
      </c>
      <c r="BH606" t="b">
        <f>OR(AND(IF(Metadata!U606="",FALSE,TRUE),OR(EXACT(Metadata!U606,"not applicable"),EXACT(Metadata!U606,"not collected"))),IF(Metadata!U606="",FALSE,TRUE))</f>
        <v>0</v>
      </c>
      <c r="BI606" t="b">
        <f>OR(AND(IF(Metadata!V606="",FALSE,TRUE),OR(EXACT(Metadata!V606,"not collected"),EXACT(Metadata!V606,"not provided"),EXACT(Metadata!V606,"restricted access"))),AND(IF(Metadata!V606="",FALSE,ISNUMBER(VALUE(Metadata!V606))),Metadata!V606&gt;=-180,Metadata!V606&lt;=180))</f>
        <v>0</v>
      </c>
      <c r="BJ606" t="b">
        <f>AND(IF(Metadata!W606="",FALSE,TRUE),EXACT(Metadata!W606,"Decimal degrees"))</f>
        <v>0</v>
      </c>
      <c r="BK606" t="b">
        <f>IF(Metadata!X606="",FALSE,TRUE)</f>
        <v>0</v>
      </c>
      <c r="BL606" t="b">
        <f>OR(AND(IF(Metadata!Y606="",FALSE,TRUE),OR(EXACT(Metadata!Y606,"not collected"),EXACT(Metadata!Y606,"not provided"),EXACT(Metadata!Y606,"restricted access"))),AND(IF(Metadata!Y606="",FALSE,TRUE),OR(EXACT(Metadata!Y606,"TRUE"),EXACT(Metadata!Y606,"FALSE"))))</f>
        <v>0</v>
      </c>
      <c r="BM606" t="b">
        <f>OR(AND(IF(Metadata!Z606="",FALSE,TRUE),EXACT(Metadata!Z606,"not applicable")),AND(IF(Metadata!Z606="",FALSE,TRUE),OR(EXACT(Metadata!Z606,"beer"),EXACT(Metadata!Z606,"cheese"),EXACT(Metadata!Z606,"fresh water"),EXACT(Metadata!Z606,"marine sediment"),EXACT(Metadata!Z606,"sea water"),EXACT(Metadata!Z606,"sediment"),EXACT(Metadata!Z606,"soil"),EXACT(Metadata!Z606,"waste water"))))</f>
        <v>0</v>
      </c>
      <c r="BN606" t="b">
        <f>AND(IF(Metadata!AA606="",FALSE,TRUE),EXACT(Metadata!AA606,"metagenome"))</f>
        <v>0</v>
      </c>
      <c r="BO606" t="b">
        <f>AND(IF(Metadata!AB606="",FALSE,TRUE),EXACT(Metadata!AB606,"256318"))</f>
        <v>0</v>
      </c>
      <c r="BP606" t="b">
        <f>IF(Metadata!AC606="",FALSE,TRUE)</f>
        <v>0</v>
      </c>
      <c r="BQ606" t="b">
        <f>IF(Metadata!AD606="",FALSE,TRUE)</f>
        <v>0</v>
      </c>
    </row>
    <row r="607" spans="1:69" x14ac:dyDescent="0.2">
      <c r="A607" s="4" t="e">
        <f ca="1">IF(B607=" "," ",HYPERLINK(CONCATENATE("#metadata!",ADDRESS(INDEX($AJ$2:$AJ$1001,MATCH(ROWS($AH$2:AH607),$AH$2:$AH$1001,0),0),2)),INDEX($AM$2:$AM$1001,MATCH(ROWS($AH$2:AH607),$AH$2:$AH$1001,0),0)))</f>
        <v>#N/A</v>
      </c>
      <c r="B607" s="5" t="e">
        <f ca="1">IF(OR(INDEX($AI$2:$AI$1001,MATCH(ROWS($AH$2:AH607),$AH$2:$AH$1001,0),1)&gt;=100000,INDEX($AO$1005:$BQ$1005,1,MATCH(COLUMNS($AO$1006:AO1006),$AO$1006:$BQ$1006,0))&gt;=100000), " ",IF(INDEX($AO$2:$BQ$1001,MATCH(ROWS($AH$2:AH607),$AH$2:$AH$1001,0),MATCH(COLUMNS($AO$1006:AO1006),$AO$1006:$BQ$1006,0)), HYPERLINK("#",""), HYPERLINK(CONCATENATE("#Metadata!", ADDRESS(INDEX($AJ$2:$AJ$1001,MATCH(ROWS($AH$2:AH607),$AH$2:$AH$1001,0),0), INDEX($AO$1004:$BQ$1004,1,MATCH(COLUMNS($AO$1006:AO1006),$AO$1006:$BQ$1006,0)))),"Fix")))</f>
        <v>#N/A</v>
      </c>
      <c r="C607" s="5" t="e">
        <f ca="1">IF(OR(INDEX($AI$2:$AI$1001,MATCH(ROWS($AH$2:AH607),$AH$2:$AH$1001,0),1)&gt;=100000,INDEX($AO$1005:$BQ$1005,1,MATCH(COLUMNS($AO$1006:AP1006),$AO$1006:$BQ$1006,0))&gt;=100000), " ",IF(INDEX($AO$2:$BQ$1001,MATCH(ROWS($AH$2:AH607),$AH$2:$AH$1001,0),MATCH(COLUMNS($AO$1006:AP1006),$AO$1006:$BQ$1006,0)), HYPERLINK("#",""), HYPERLINK(CONCATENATE("#Metadata!", ADDRESS(INDEX($AJ$2:$AJ$1001,MATCH(ROWS($AH$2:AH607),$AH$2:$AH$1001,0),0), INDEX($AO$1004:$BQ$1004,1,MATCH(COLUMNS($AO$1006:AP1006),$AO$1006:$BQ$1006,0)))),"Fix")))</f>
        <v>#N/A</v>
      </c>
      <c r="D607" s="5" t="e">
        <f ca="1">IF(OR(INDEX($AI$2:$AI$1001,MATCH(ROWS($AH$2:AH607),$AH$2:$AH$1001,0),1)&gt;=100000,INDEX($AO$1005:$BQ$1005,1,MATCH(COLUMNS($AO$1006:AQ1006),$AO$1006:$BQ$1006,0))&gt;=100000), " ",IF(INDEX($AO$2:$BQ$1001,MATCH(ROWS($AH$2:AH607),$AH$2:$AH$1001,0),MATCH(COLUMNS($AO$1006:AQ1006),$AO$1006:$BQ$1006,0)), HYPERLINK("#",""), HYPERLINK(CONCATENATE("#Metadata!", ADDRESS(INDEX($AJ$2:$AJ$1001,MATCH(ROWS($AH$2:AH607),$AH$2:$AH$1001,0),0), INDEX($AO$1004:$BQ$1004,1,MATCH(COLUMNS($AO$1006:AQ1006),$AO$1006:$BQ$1006,0)))),"Fix")))</f>
        <v>#N/A</v>
      </c>
      <c r="E607" s="5" t="e">
        <f ca="1">IF(OR(INDEX($AI$2:$AI$1001,MATCH(ROWS($AH$2:AH607),$AH$2:$AH$1001,0),1)&gt;=100000,INDEX($AO$1005:$BQ$1005,1,MATCH(COLUMNS($AO$1006:AR1006),$AO$1006:$BQ$1006,0))&gt;=100000), " ",IF(INDEX($AO$2:$BQ$1001,MATCH(ROWS($AH$2:AH607),$AH$2:$AH$1001,0),MATCH(COLUMNS($AO$1006:AR1006),$AO$1006:$BQ$1006,0)), HYPERLINK("#",""), HYPERLINK(CONCATENATE("#Metadata!", ADDRESS(INDEX($AJ$2:$AJ$1001,MATCH(ROWS($AH$2:AH607),$AH$2:$AH$1001,0),0), INDEX($AO$1004:$BQ$1004,1,MATCH(COLUMNS($AO$1006:AR1006),$AO$1006:$BQ$1006,0)))),"Fix")))</f>
        <v>#N/A</v>
      </c>
      <c r="F607" s="5" t="e">
        <f ca="1">IF(OR(INDEX($AI$2:$AI$1001,MATCH(ROWS($AH$2:AH607),$AH$2:$AH$1001,0),1)&gt;=100000,INDEX($AO$1005:$BQ$1005,1,MATCH(COLUMNS($AO$1006:AS1006),$AO$1006:$BQ$1006,0))&gt;=100000), " ",IF(INDEX($AO$2:$BQ$1001,MATCH(ROWS($AH$2:AH607),$AH$2:$AH$1001,0),MATCH(COLUMNS($AO$1006:AS1006),$AO$1006:$BQ$1006,0)), HYPERLINK("#",""), HYPERLINK(CONCATENATE("#Metadata!", ADDRESS(INDEX($AJ$2:$AJ$1001,MATCH(ROWS($AH$2:AH607),$AH$2:$AH$1001,0),0), INDEX($AO$1004:$BQ$1004,1,MATCH(COLUMNS($AO$1006:AS1006),$AO$1006:$BQ$1006,0)))),"Fix")))</f>
        <v>#N/A</v>
      </c>
      <c r="G607" s="5" t="e">
        <f ca="1">IF(OR(INDEX($AI$2:$AI$1001,MATCH(ROWS($AH$2:AH607),$AH$2:$AH$1001,0),1)&gt;=100000,INDEX($AO$1005:$BQ$1005,1,MATCH(COLUMNS($AO$1006:AT1006),$AO$1006:$BQ$1006,0))&gt;=100000), " ",IF(INDEX($AO$2:$BQ$1001,MATCH(ROWS($AH$2:AH607),$AH$2:$AH$1001,0),MATCH(COLUMNS($AO$1006:AT1006),$AO$1006:$BQ$1006,0)), HYPERLINK("#",""), HYPERLINK(CONCATENATE("#Metadata!", ADDRESS(INDEX($AJ$2:$AJ$1001,MATCH(ROWS($AH$2:AH607),$AH$2:$AH$1001,0),0), INDEX($AO$1004:$BQ$1004,1,MATCH(COLUMNS($AO$1006:AT1006),$AO$1006:$BQ$1006,0)))),"Fix")))</f>
        <v>#N/A</v>
      </c>
      <c r="H607" s="5" t="e">
        <f ca="1">IF(OR(INDEX($AI$2:$AI$1001,MATCH(ROWS($AH$2:AH607),$AH$2:$AH$1001,0),1)&gt;=100000,INDEX($AO$1005:$BQ$1005,1,MATCH(COLUMNS($AO$1006:AU1006),$AO$1006:$BQ$1006,0))&gt;=100000), " ",IF(INDEX($AO$2:$BQ$1001,MATCH(ROWS($AH$2:AH607),$AH$2:$AH$1001,0),MATCH(COLUMNS($AO$1006:AU1006),$AO$1006:$BQ$1006,0)), HYPERLINK("#",""), HYPERLINK(CONCATENATE("#Metadata!", ADDRESS(INDEX($AJ$2:$AJ$1001,MATCH(ROWS($AH$2:AH607),$AH$2:$AH$1001,0),0), INDEX($AO$1004:$BQ$1004,1,MATCH(COLUMNS($AO$1006:AU1006),$AO$1006:$BQ$1006,0)))),"Fix")))</f>
        <v>#N/A</v>
      </c>
      <c r="I607" s="5" t="e">
        <f ca="1">IF(OR(INDEX($AI$2:$AI$1001,MATCH(ROWS($AH$2:AH607),$AH$2:$AH$1001,0),1)&gt;=100000,INDEX($AO$1005:$BQ$1005,1,MATCH(COLUMNS($AO$1006:AV1006),$AO$1006:$BQ$1006,0))&gt;=100000), " ",IF(INDEX($AO$2:$BQ$1001,MATCH(ROWS($AH$2:AH607),$AH$2:$AH$1001,0),MATCH(COLUMNS($AO$1006:AV1006),$AO$1006:$BQ$1006,0)), HYPERLINK("#",""), HYPERLINK(CONCATENATE("#Metadata!", ADDRESS(INDEX($AJ$2:$AJ$1001,MATCH(ROWS($AH$2:AH607),$AH$2:$AH$1001,0),0), INDEX($AO$1004:$BQ$1004,1,MATCH(COLUMNS($AO$1006:AV1006),$AO$1006:$BQ$1006,0)))),"Fix")))</f>
        <v>#N/A</v>
      </c>
      <c r="J607" s="5" t="e">
        <f ca="1">IF(OR(INDEX($AI$2:$AI$1001,MATCH(ROWS($AH$2:AH607),$AH$2:$AH$1001,0),1)&gt;=100000,INDEX($AO$1005:$BQ$1005,1,MATCH(COLUMNS($AO$1006:AW1006),$AO$1006:$BQ$1006,0))&gt;=100000), " ",IF(INDEX($AO$2:$BQ$1001,MATCH(ROWS($AH$2:AH607),$AH$2:$AH$1001,0),MATCH(COLUMNS($AO$1006:AW1006),$AO$1006:$BQ$1006,0)), HYPERLINK("#",""), HYPERLINK(CONCATENATE("#Metadata!", ADDRESS(INDEX($AJ$2:$AJ$1001,MATCH(ROWS($AH$2:AH607),$AH$2:$AH$1001,0),0), INDEX($AO$1004:$BQ$1004,1,MATCH(COLUMNS($AO$1006:AW1006),$AO$1006:$BQ$1006,0)))),"Fix")))</f>
        <v>#N/A</v>
      </c>
      <c r="K607" s="5" t="e">
        <f ca="1">IF(OR(INDEX($AI$2:$AI$1001,MATCH(ROWS($AH$2:AH607),$AH$2:$AH$1001,0),1)&gt;=100000,INDEX($AO$1005:$BQ$1005,1,MATCH(COLUMNS($AO$1006:AX1006),$AO$1006:$BQ$1006,0))&gt;=100000), " ",IF(INDEX($AO$2:$BQ$1001,MATCH(ROWS($AH$2:AH607),$AH$2:$AH$1001,0),MATCH(COLUMNS($AO$1006:AX1006),$AO$1006:$BQ$1006,0)), HYPERLINK("#",""), HYPERLINK(CONCATENATE("#Metadata!", ADDRESS(INDEX($AJ$2:$AJ$1001,MATCH(ROWS($AH$2:AH607),$AH$2:$AH$1001,0),0), INDEX($AO$1004:$BQ$1004,1,MATCH(COLUMNS($AO$1006:AX1006),$AO$1006:$BQ$1006,0)))),"Fix")))</f>
        <v>#N/A</v>
      </c>
      <c r="L607" s="5" t="e">
        <f ca="1">IF(OR(INDEX($AI$2:$AI$1001,MATCH(ROWS($AH$2:AH607),$AH$2:$AH$1001,0),1)&gt;=100000,INDEX($AO$1005:$BQ$1005,1,MATCH(COLUMNS($AO$1006:AY1006),$AO$1006:$BQ$1006,0))&gt;=100000), " ",IF(INDEX($AO$2:$BQ$1001,MATCH(ROWS($AH$2:AH607),$AH$2:$AH$1001,0),MATCH(COLUMNS($AO$1006:AY1006),$AO$1006:$BQ$1006,0)), HYPERLINK("#",""), HYPERLINK(CONCATENATE("#Metadata!", ADDRESS(INDEX($AJ$2:$AJ$1001,MATCH(ROWS($AH$2:AH607),$AH$2:$AH$1001,0),0), INDEX($AO$1004:$BQ$1004,1,MATCH(COLUMNS($AO$1006:AY1006),$AO$1006:$BQ$1006,0)))),"Fix")))</f>
        <v>#N/A</v>
      </c>
      <c r="M607" s="5" t="e">
        <f ca="1">IF(OR(INDEX($AI$2:$AI$1001,MATCH(ROWS($AH$2:AH607),$AH$2:$AH$1001,0),1)&gt;=100000,INDEX($AO$1005:$BQ$1005,1,MATCH(COLUMNS($AO$1006:AZ1006),$AO$1006:$BQ$1006,0))&gt;=100000), " ",IF(INDEX($AO$2:$BQ$1001,MATCH(ROWS($AH$2:AH607),$AH$2:$AH$1001,0),MATCH(COLUMNS($AO$1006:AZ1006),$AO$1006:$BQ$1006,0)), HYPERLINK("#",""), HYPERLINK(CONCATENATE("#Metadata!", ADDRESS(INDEX($AJ$2:$AJ$1001,MATCH(ROWS($AH$2:AH607),$AH$2:$AH$1001,0),0), INDEX($AO$1004:$BQ$1004,1,MATCH(COLUMNS($AO$1006:AZ1006),$AO$1006:$BQ$1006,0)))),"Fix")))</f>
        <v>#N/A</v>
      </c>
      <c r="N607" s="5" t="e">
        <f ca="1">IF(OR(INDEX($AI$2:$AI$1001,MATCH(ROWS($AH$2:AH607),$AH$2:$AH$1001,0),1)&gt;=100000,INDEX($AO$1005:$BQ$1005,1,MATCH(COLUMNS($AO$1006:BA1006),$AO$1006:$BQ$1006,0))&gt;=100000), " ",IF(INDEX($AO$2:$BQ$1001,MATCH(ROWS($AH$2:AH607),$AH$2:$AH$1001,0),MATCH(COLUMNS($AO$1006:BA1006),$AO$1006:$BQ$1006,0)), HYPERLINK("#",""), HYPERLINK(CONCATENATE("#Metadata!", ADDRESS(INDEX($AJ$2:$AJ$1001,MATCH(ROWS($AH$2:AH607),$AH$2:$AH$1001,0),0), INDEX($AO$1004:$BQ$1004,1,MATCH(COLUMNS($AO$1006:BA1006),$AO$1006:$BQ$1006,0)))),"Fix")))</f>
        <v>#N/A</v>
      </c>
      <c r="O607" s="5" t="e">
        <f ca="1">IF(OR(INDEX($AI$2:$AI$1001,MATCH(ROWS($AH$2:AH607),$AH$2:$AH$1001,0),1)&gt;=100000,INDEX($AO$1005:$BQ$1005,1,MATCH(COLUMNS($AO$1006:BB1006),$AO$1006:$BQ$1006,0))&gt;=100000), " ",IF(INDEX($AO$2:$BQ$1001,MATCH(ROWS($AH$2:AH607),$AH$2:$AH$1001,0),MATCH(COLUMNS($AO$1006:BB1006),$AO$1006:$BQ$1006,0)), HYPERLINK("#",""), HYPERLINK(CONCATENATE("#Metadata!", ADDRESS(INDEX($AJ$2:$AJ$1001,MATCH(ROWS($AH$2:AH607),$AH$2:$AH$1001,0),0), INDEX($AO$1004:$BQ$1004,1,MATCH(COLUMNS($AO$1006:BB1006),$AO$1006:$BQ$1006,0)))),"Fix")))</f>
        <v>#N/A</v>
      </c>
      <c r="P607" s="5" t="e">
        <f ca="1">IF(OR(INDEX($AI$2:$AI$1001,MATCH(ROWS($AH$2:AH607),$AH$2:$AH$1001,0),1)&gt;=100000,INDEX($AO$1005:$BQ$1005,1,MATCH(COLUMNS($AO$1006:BC1006),$AO$1006:$BQ$1006,0))&gt;=100000), " ",IF(INDEX($AO$2:$BQ$1001,MATCH(ROWS($AH$2:AH607),$AH$2:$AH$1001,0),MATCH(COLUMNS($AO$1006:BC1006),$AO$1006:$BQ$1006,0)), HYPERLINK("#",""), HYPERLINK(CONCATENATE("#Metadata!", ADDRESS(INDEX($AJ$2:$AJ$1001,MATCH(ROWS($AH$2:AH607),$AH$2:$AH$1001,0),0), INDEX($AO$1004:$BQ$1004,1,MATCH(COLUMNS($AO$1006:BC1006),$AO$1006:$BQ$1006,0)))),"Fix")))</f>
        <v>#N/A</v>
      </c>
      <c r="Q607" s="5" t="e">
        <f ca="1">IF(OR(INDEX($AI$2:$AI$1001,MATCH(ROWS($AH$2:AH607),$AH$2:$AH$1001,0),1)&gt;=100000,INDEX($AO$1005:$BQ$1005,1,MATCH(COLUMNS($AO$1006:BD1006),$AO$1006:$BQ$1006,0))&gt;=100000), " ",IF(INDEX($AO$2:$BQ$1001,MATCH(ROWS($AH$2:AH607),$AH$2:$AH$1001,0),MATCH(COLUMNS($AO$1006:BD1006),$AO$1006:$BQ$1006,0)), HYPERLINK("#",""), HYPERLINK(CONCATENATE("#Metadata!", ADDRESS(INDEX($AJ$2:$AJ$1001,MATCH(ROWS($AH$2:AH607),$AH$2:$AH$1001,0),0), INDEX($AO$1004:$BQ$1004,1,MATCH(COLUMNS($AO$1006:BD1006),$AO$1006:$BQ$1006,0)))),"Fix")))</f>
        <v>#N/A</v>
      </c>
      <c r="R607" s="5" t="e">
        <f ca="1">IF(OR(INDEX($AI$2:$AI$1001,MATCH(ROWS($AH$2:AH607),$AH$2:$AH$1001,0),1)&gt;=100000,INDEX($AO$1005:$BQ$1005,1,MATCH(COLUMNS($AO$1006:BE1006),$AO$1006:$BQ$1006,0))&gt;=100000), " ",IF(INDEX($AO$2:$BQ$1001,MATCH(ROWS($AH$2:AH607),$AH$2:$AH$1001,0),MATCH(COLUMNS($AO$1006:BE1006),$AO$1006:$BQ$1006,0)), HYPERLINK("#",""), HYPERLINK(CONCATENATE("#Metadata!", ADDRESS(INDEX($AJ$2:$AJ$1001,MATCH(ROWS($AH$2:AH607),$AH$2:$AH$1001,0),0), INDEX($AO$1004:$BQ$1004,1,MATCH(COLUMNS($AO$1006:BE1006),$AO$1006:$BQ$1006,0)))),"Fix")))</f>
        <v>#N/A</v>
      </c>
      <c r="S607" s="5" t="e">
        <f ca="1">IF(OR(INDEX($AI$2:$AI$1001,MATCH(ROWS($AH$2:AH607),$AH$2:$AH$1001,0),1)&gt;=100000,INDEX($AO$1005:$BQ$1005,1,MATCH(COLUMNS($AO$1006:BF1006),$AO$1006:$BQ$1006,0))&gt;=100000), " ",IF(INDEX($AO$2:$BQ$1001,MATCH(ROWS($AH$2:AH607),$AH$2:$AH$1001,0),MATCH(COLUMNS($AO$1006:BF1006),$AO$1006:$BQ$1006,0)), HYPERLINK("#",""), HYPERLINK(CONCATENATE("#Metadata!", ADDRESS(INDEX($AJ$2:$AJ$1001,MATCH(ROWS($AH$2:AH607),$AH$2:$AH$1001,0),0), INDEX($AO$1004:$BQ$1004,1,MATCH(COLUMNS($AO$1006:BF1006),$AO$1006:$BQ$1006,0)))),"Fix")))</f>
        <v>#N/A</v>
      </c>
      <c r="T607" s="5" t="e">
        <f ca="1">IF(OR(INDEX($AI$2:$AI$1001,MATCH(ROWS($AH$2:AH607),$AH$2:$AH$1001,0),1)&gt;=100000,INDEX($AO$1005:$BQ$1005,1,MATCH(COLUMNS($AO$1006:BG1006),$AO$1006:$BQ$1006,0))&gt;=100000), " ",IF(INDEX($AO$2:$BQ$1001,MATCH(ROWS($AH$2:AH607),$AH$2:$AH$1001,0),MATCH(COLUMNS($AO$1006:BG1006),$AO$1006:$BQ$1006,0)), HYPERLINK("#",""), HYPERLINK(CONCATENATE("#Metadata!", ADDRESS(INDEX($AJ$2:$AJ$1001,MATCH(ROWS($AH$2:AH607),$AH$2:$AH$1001,0),0), INDEX($AO$1004:$BQ$1004,1,MATCH(COLUMNS($AO$1006:BG1006),$AO$1006:$BQ$1006,0)))),"Fix")))</f>
        <v>#N/A</v>
      </c>
      <c r="U607" s="5" t="e">
        <f ca="1">IF(OR(INDEX($AI$2:$AI$1001,MATCH(ROWS($AH$2:AH607),$AH$2:$AH$1001,0),1)&gt;=100000,INDEX($AO$1005:$BQ$1005,1,MATCH(COLUMNS($AO$1006:BH1006),$AO$1006:$BQ$1006,0))&gt;=100000), " ",IF(INDEX($AO$2:$BQ$1001,MATCH(ROWS($AH$2:AH607),$AH$2:$AH$1001,0),MATCH(COLUMNS($AO$1006:BH1006),$AO$1006:$BQ$1006,0)), HYPERLINK("#",""), HYPERLINK(CONCATENATE("#Metadata!", ADDRESS(INDEX($AJ$2:$AJ$1001,MATCH(ROWS($AH$2:AH607),$AH$2:$AH$1001,0),0), INDEX($AO$1004:$BQ$1004,1,MATCH(COLUMNS($AO$1006:BH1006),$AO$1006:$BQ$1006,0)))),"Fix")))</f>
        <v>#N/A</v>
      </c>
      <c r="V607" s="5" t="e">
        <f ca="1">IF(OR(INDEX($AI$2:$AI$1001,MATCH(ROWS($AH$2:AH607),$AH$2:$AH$1001,0),1)&gt;=100000,INDEX($AO$1005:$BQ$1005,1,MATCH(COLUMNS($AO$1006:BI1006),$AO$1006:$BQ$1006,0))&gt;=100000), " ",IF(INDEX($AO$2:$BQ$1001,MATCH(ROWS($AH$2:AH607),$AH$2:$AH$1001,0),MATCH(COLUMNS($AO$1006:BI1006),$AO$1006:$BQ$1006,0)), HYPERLINK("#",""), HYPERLINK(CONCATENATE("#Metadata!", ADDRESS(INDEX($AJ$2:$AJ$1001,MATCH(ROWS($AH$2:AH607),$AH$2:$AH$1001,0),0), INDEX($AO$1004:$BQ$1004,1,MATCH(COLUMNS($AO$1006:BI1006),$AO$1006:$BQ$1006,0)))),"Fix")))</f>
        <v>#N/A</v>
      </c>
      <c r="W607" s="5" t="e">
        <f ca="1">IF(OR(INDEX($AI$2:$AI$1001,MATCH(ROWS($AH$2:AH607),$AH$2:$AH$1001,0),1)&gt;=100000,INDEX($AO$1005:$BQ$1005,1,MATCH(COLUMNS($AO$1006:BJ1006),$AO$1006:$BQ$1006,0))&gt;=100000), " ",IF(INDEX($AO$2:$BQ$1001,MATCH(ROWS($AH$2:AH607),$AH$2:$AH$1001,0),MATCH(COLUMNS($AO$1006:BJ1006),$AO$1006:$BQ$1006,0)), HYPERLINK("#",""), HYPERLINK(CONCATENATE("#Metadata!", ADDRESS(INDEX($AJ$2:$AJ$1001,MATCH(ROWS($AH$2:AH607),$AH$2:$AH$1001,0),0), INDEX($AO$1004:$BQ$1004,1,MATCH(COLUMNS($AO$1006:BJ1006),$AO$1006:$BQ$1006,0)))),"Fix")))</f>
        <v>#N/A</v>
      </c>
      <c r="X607" s="5" t="e">
        <f ca="1">IF(OR(INDEX($AI$2:$AI$1001,MATCH(ROWS($AH$2:AH607),$AH$2:$AH$1001,0),1)&gt;=100000,INDEX($AO$1005:$BQ$1005,1,MATCH(COLUMNS($AO$1006:BK1006),$AO$1006:$BQ$1006,0))&gt;=100000), " ",IF(INDEX($AO$2:$BQ$1001,MATCH(ROWS($AH$2:AH607),$AH$2:$AH$1001,0),MATCH(COLUMNS($AO$1006:BK1006),$AO$1006:$BQ$1006,0)), HYPERLINK("#",""), HYPERLINK(CONCATENATE("#Metadata!", ADDRESS(INDEX($AJ$2:$AJ$1001,MATCH(ROWS($AH$2:AH607),$AH$2:$AH$1001,0),0), INDEX($AO$1004:$BQ$1004,1,MATCH(COLUMNS($AO$1006:BK1006),$AO$1006:$BQ$1006,0)))),"Fix")))</f>
        <v>#N/A</v>
      </c>
      <c r="Y607" s="5" t="e">
        <f ca="1">IF(OR(INDEX($AI$2:$AI$1001,MATCH(ROWS($AH$2:AH607),$AH$2:$AH$1001,0),1)&gt;=100000,INDEX($AO$1005:$BQ$1005,1,MATCH(COLUMNS($AO$1006:BL1006),$AO$1006:$BQ$1006,0))&gt;=100000), " ",IF(INDEX($AO$2:$BQ$1001,MATCH(ROWS($AH$2:AH607),$AH$2:$AH$1001,0),MATCH(COLUMNS($AO$1006:BL1006),$AO$1006:$BQ$1006,0)), HYPERLINK("#",""), HYPERLINK(CONCATENATE("#Metadata!", ADDRESS(INDEX($AJ$2:$AJ$1001,MATCH(ROWS($AH$2:AH607),$AH$2:$AH$1001,0),0), INDEX($AO$1004:$BQ$1004,1,MATCH(COLUMNS($AO$1006:BL1006),$AO$1006:$BQ$1006,0)))),"Fix")))</f>
        <v>#N/A</v>
      </c>
      <c r="Z607" s="5" t="e">
        <f ca="1">IF(OR(INDEX($AI$2:$AI$1001,MATCH(ROWS($AH$2:AH607),$AH$2:$AH$1001,0),1)&gt;=100000,INDEX($AO$1005:$BQ$1005,1,MATCH(COLUMNS($AO$1006:BM1006),$AO$1006:$BQ$1006,0))&gt;=100000), " ",IF(INDEX($AO$2:$BQ$1001,MATCH(ROWS($AH$2:AH607),$AH$2:$AH$1001,0),MATCH(COLUMNS($AO$1006:BM1006),$AO$1006:$BQ$1006,0)), HYPERLINK("#",""), HYPERLINK(CONCATENATE("#Metadata!", ADDRESS(INDEX($AJ$2:$AJ$1001,MATCH(ROWS($AH$2:AH607),$AH$2:$AH$1001,0),0), INDEX($AO$1004:$BQ$1004,1,MATCH(COLUMNS($AO$1006:BM1006),$AO$1006:$BQ$1006,0)))),"Fix")))</f>
        <v>#N/A</v>
      </c>
      <c r="AA607" s="5" t="e">
        <f ca="1">IF(OR(INDEX($AI$2:$AI$1001,MATCH(ROWS($AH$2:AH607),$AH$2:$AH$1001,0),1)&gt;=100000,INDEX($AO$1005:$BQ$1005,1,MATCH(COLUMNS($AO$1006:BN1006),$AO$1006:$BQ$1006,0))&gt;=100000), " ",IF(INDEX($AO$2:$BQ$1001,MATCH(ROWS($AH$2:AH607),$AH$2:$AH$1001,0),MATCH(COLUMNS($AO$1006:BN1006),$AO$1006:$BQ$1006,0)), HYPERLINK("#",""), HYPERLINK(CONCATENATE("#Metadata!", ADDRESS(INDEX($AJ$2:$AJ$1001,MATCH(ROWS($AH$2:AH607),$AH$2:$AH$1001,0),0), INDEX($AO$1004:$BQ$1004,1,MATCH(COLUMNS($AO$1006:BN1006),$AO$1006:$BQ$1006,0)))),"Fix")))</f>
        <v>#N/A</v>
      </c>
      <c r="AB607" s="5" t="e">
        <f ca="1">IF(OR(INDEX($AI$2:$AI$1001,MATCH(ROWS($AH$2:AH607),$AH$2:$AH$1001,0),1)&gt;=100000,INDEX($AO$1005:$BQ$1005,1,MATCH(COLUMNS($AO$1006:BO1006),$AO$1006:$BQ$1006,0))&gt;=100000), " ",IF(INDEX($AO$2:$BQ$1001,MATCH(ROWS($AH$2:AH607),$AH$2:$AH$1001,0),MATCH(COLUMNS($AO$1006:BO1006),$AO$1006:$BQ$1006,0)), HYPERLINK("#",""), HYPERLINK(CONCATENATE("#Metadata!", ADDRESS(INDEX($AJ$2:$AJ$1001,MATCH(ROWS($AH$2:AH607),$AH$2:$AH$1001,0),0), INDEX($AO$1004:$BQ$1004,1,MATCH(COLUMNS($AO$1006:BO1006),$AO$1006:$BQ$1006,0)))),"Fix")))</f>
        <v>#N/A</v>
      </c>
      <c r="AC607" s="5" t="e">
        <f ca="1">IF(OR(INDEX($AI$2:$AI$1001,MATCH(ROWS($AH$2:AH607),$AH$2:$AH$1001,0),1)&gt;=100000,INDEX($AO$1005:$BQ$1005,1,MATCH(COLUMNS($AO$1006:BP1006),$AO$1006:$BQ$1006,0))&gt;=100000), " ",IF(INDEX($AO$2:$BQ$1001,MATCH(ROWS($AH$2:AH607),$AH$2:$AH$1001,0),MATCH(COLUMNS($AO$1006:BP1006),$AO$1006:$BQ$1006,0)), HYPERLINK("#",""), HYPERLINK(CONCATENATE("#Metadata!", ADDRESS(INDEX($AJ$2:$AJ$1001,MATCH(ROWS($AH$2:AH607),$AH$2:$AH$1001,0),0), INDEX($AO$1004:$BQ$1004,1,MATCH(COLUMNS($AO$1006:BP1006),$AO$1006:$BQ$1006,0)))),"Fix")))</f>
        <v>#N/A</v>
      </c>
      <c r="AD607" s="5" t="e">
        <f ca="1">IF(OR(INDEX($AI$2:$AI$1001,MATCH(ROWS($AH$2:AH607),$AH$2:$AH$1001,0),1)&gt;=100000,INDEX($AO$1005:$BQ$1005,1,MATCH(COLUMNS($AO$1006:BQ1006),$AO$1006:$BQ$1006,0))&gt;=100000), " ",IF(INDEX($AO$2:$BQ$1001,MATCH(ROWS($AH$2:AH607),$AH$2:$AH$1001,0),MATCH(COLUMNS($AO$1006:BQ1006),$AO$1006:$BQ$1006,0)), HYPERLINK("#",""), HYPERLINK(CONCATENATE("#Metadata!", ADDRESS(INDEX($AJ$2:$AJ$1001,MATCH(ROWS($AH$2:AH607),$AH$2:$AH$1001,0),0), INDEX($AO$1004:$BQ$1004,1,MATCH(COLUMNS($AO$1006:BQ1006),$AO$1006:$BQ$1006,0)))),"Fix")))</f>
        <v>#REF!</v>
      </c>
      <c r="AH607">
        <f ca="1"/>
        <v>604</v>
      </c>
      <c r="AI607">
        <v>100607</v>
      </c>
      <c r="AJ607">
        <v>607</v>
      </c>
      <c r="AK607" t="b">
        <f t="shared" si="9"/>
        <v>1</v>
      </c>
      <c r="AL607" t="b">
        <f>COUNTBLANK(Metadata!B607:AD607)=COLUMNS(Metadata!B607:AD607)</f>
        <v>1</v>
      </c>
      <c r="AM607" t="str">
        <v/>
      </c>
      <c r="AO607" t="b">
        <f ca="1">AND(IF(Metadata!B607="",FALSE,TRUE),COUNTIF(Metadata!B:B, Metadata!B607) = 1,NOT(ISERROR(SUMPRODUCT(SEARCH(MID(Metadata!B607,ROW(INDIRECT("1:"&amp;LEN(Metadata!B607))), 1),"0123456789abcdefghijklmnopqrstuvwxyzABCDEFGHIJKLMNOPQRSTUVWXYZ.")))))</f>
        <v>0</v>
      </c>
      <c r="AP607" t="b">
        <f>IF(Metadata!C607="",FALSE,TRUE)</f>
        <v>0</v>
      </c>
      <c r="AQ607" t="b">
        <f>IF(Metadata!D607="",FALSE,TRUE)</f>
        <v>0</v>
      </c>
      <c r="AR607" t="b">
        <f ca="1">OR(AND(IF(Metadata!E607="",FALSE,TRUE),OR(EXACT(Metadata!E607,"not collected"),EXACT(Metadata!E607,"not provided"),EXACT(Metadata!E607,"restricted access"))),AND(IF(Metadata!E607="",FALSE,TRUE),AND(AND(IFERROR(INT(LEFT(Metadata!E607,4))&gt;1900,FALSE),IFERROR(INT(LEFT(Metadata!E607,4))&lt;=YEAR(NOW()),FALSE)), OR(MID(Metadata!E607,5,1)="", AND(AND(MID(Metadata!E607,5,1)="-",IFERROR(INT(MID(Metadata!E607,6,1))&gt;=0,FALSE),IFERROR(INT(MID(Metadata!E607,6,1))&lt;=1,FALSE),NOT(MID(Metadata!E607,7,1)=""),IFERROR(INT(MID(Metadata!E607,6,2))&gt;=1,FALSE),IFERROR(INT(MID(Metadata!E607,6,2))&lt;=12,FALSE)), OR(MID(Metadata!E607,8,1)="", AND(AND(MID(Metadata!E607,8,1)="-",IFERROR(INT(MID(Metadata!E607,9,1))&gt;=0,FALSE),IFERROR(INT(MID(Metadata!E607,9,1))&lt;=3,FALSE),NOT(MID(Metadata!E607,10,1)=""),IFERROR(INT(MID(Metadata!E607,9,2))&gt;=1,FALSE),IFERROR(INT(MID(Metadata!E607,9,2))&lt;=31,FALSE)), OR(MID(Metadata!E607,11,1)="", AND(AND(MID(Metadata!E607,11,1)=" ",IFERROR(INT(MID(Metadata!E607,12,1))&gt;=0,FALSE),IFERROR(INT(MID(Metadata!E607,12,1))&lt;=2,FALSE),NOT(MID(Metadata!E607,13,1)=""),IFERROR(INT(MID(Metadata!E607,12,2))&gt;=0,FALSE),IFERROR(INT(MID(Metadata!E607,12,2))&lt;=23,FALSE)), OR(MID(Metadata!E607,14,1)="", AND(AND(MID(Metadata!E607,14,1)=":",IFERROR(INT(MID(Metadata!E607,15,1))&gt;=0,FALSE),IFERROR(INT(MID(Metadata!E607,15,1))&lt;=5,FALSE),NOT(MID(Metadata!E607,16,1)=""),IFERROR(INT(MID(Metadata!E607,15,2))&gt;=0,FALSE),IFERROR(INT(MID(Metadata!E607,15,2))&lt;=59,FALSE)), OR(MID(Metadata!E607,17,1)="", AND(AND(MID(Metadata!E607,17,1)=":",IFERROR(INT(MID(Metadata!E607,18,1))&gt;=0,FALSE),IFERROR(INT(MID(Metadata!E607,18,1))&lt;=5,FALSE),NOT(MID(Metadata!E607,19,1)=""),IFERROR(INT(MID(Metadata!E607,18,2))&gt;=0,FALSE),IFERROR(INT(MID(Metadata!E607,18,2))&lt;=59,FALSE)), LEN(Metadata!E607)&lt;=19)))))))))))))</f>
        <v>0</v>
      </c>
      <c r="AS607" t="b">
        <f>IF(Metadata!F607="",FALSE,TRUE)</f>
        <v>0</v>
      </c>
      <c r="AT607" t="b">
        <f>OR(AND(IF(Metadata!G607="",FALSE,TRUE),OR(EXACT(Metadata!G607,"not collected"),EXACT(Metadata!G607,"not provided"))),AND(IF(Metadata!G607="",FALSE,TRUE),OR(EXACT(Metadata!G607,"TRUE"),EXACT(Metadata!G607,"FALSE"))))</f>
        <v>0</v>
      </c>
      <c r="AU607" t="b">
        <f>OR(AND(IF(Metadata!H607="",FALSE,TRUE),OR(EXACT(Metadata!H607,"not collected"),EXACT(Metadata!H607,"not provided"),EXACT(Metadata!H607,"restricted access"))),AND(IF(Metadata!H607="",FALSE,ISNUMBER(VALUE(Metadata!H607))),Metadata!H607&gt;=-413))</f>
        <v>0</v>
      </c>
      <c r="AV607" t="b">
        <f>AND(IF(Metadata!I607="",FALSE,TRUE),EXACT(Metadata!I607,"meters"))</f>
        <v>0</v>
      </c>
      <c r="AW607" t="b">
        <f>AND(IF(Metadata!J607="",FALSE,TRUE),EXACT(Metadata!J607,"free-living"))</f>
        <v>0</v>
      </c>
      <c r="AX607" t="b">
        <f>AND(IF(Metadata!K607="",FALSE,TRUE),OR(EXACT(Metadata!K607,"saline"),EXACT(Metadata!K607,"non-saline")))</f>
        <v>0</v>
      </c>
      <c r="AY607" t="b">
        <f>AND(IF(Metadata!L607="",FALSE,TRUE),OR(EXACT(Metadata!L607,"sub-surface (non-saline)"),EXACT(Metadata!L607,"surface (non-saline)"),EXACT(Metadata!L607,"water (non-saline)"),EXACT(Metadata!L607,"soil (non-saline)"),EXACT(Metadata!L607,"aerosol (non-saline)"),EXACT(Metadata!L607,"sediment (non-saline)"),EXACT(Metadata!L607,"surface (saline)"),EXACT(Metadata!L607,"water (saline)"),EXACT(Metadata!L607,"hypersaline (saline)"),EXACT(Metadata!L607,"aerosol (saline)"),EXACT(Metadata!L607,"sediment (saline)")))</f>
        <v>0</v>
      </c>
      <c r="AZ607" t="b">
        <f>IF(Metadata!M607="",FALSE,TRUE)</f>
        <v>0</v>
      </c>
      <c r="BA607" t="b">
        <f>IF(Metadata!N607="",FALSE,TRUE)</f>
        <v>0</v>
      </c>
      <c r="BB607" t="b">
        <f>IF(Metadata!O607="",FALSE,TRUE)</f>
        <v>0</v>
      </c>
      <c r="BC607" t="b">
        <f>AND(IF(Metadata!P607="",FALSE,TRUE),OR(EXACT(Metadata!P607,"air"),EXACT(Metadata!P607,"microbial mat/biofilm"),EXACT(Metadata!P607,"misc environment"),EXACT(Metadata!P607,"sediment"),EXACT(Metadata!P607,"soil"),EXACT(Metadata!P607,"wastewater/sludge"),EXACT(Metadata!P607,"water")))</f>
        <v>0</v>
      </c>
      <c r="BD607" t="b">
        <f>IF(Metadata!Q607="",FALSE,TRUE)</f>
        <v>0</v>
      </c>
      <c r="BE607" t="b">
        <f>IF(Metadata!R607="",FALSE,TRUE)</f>
        <v>0</v>
      </c>
      <c r="BF607" t="b">
        <f>OR(AND(IF(Metadata!S607="",FALSE,TRUE),OR(EXACT(Metadata!S607,"not collected"),EXACT(Metadata!S607,"not provided"),EXACT(Metadata!S607,"restricted access"))),AND(IF(Metadata!S607="",FALSE,ISNUMBER(VALUE(Metadata!S607))),Metadata!S607&gt;=-90,Metadata!S607&lt;=90))</f>
        <v>0</v>
      </c>
      <c r="BG607" t="b">
        <f>AND(IF(Metadata!T607="",FALSE,TRUE),EXACT(Metadata!T607,"Decimal degrees"))</f>
        <v>0</v>
      </c>
      <c r="BH607" t="b">
        <f>OR(AND(IF(Metadata!U607="",FALSE,TRUE),OR(EXACT(Metadata!U607,"not applicable"),EXACT(Metadata!U607,"not collected"))),IF(Metadata!U607="",FALSE,TRUE))</f>
        <v>0</v>
      </c>
      <c r="BI607" t="b">
        <f>OR(AND(IF(Metadata!V607="",FALSE,TRUE),OR(EXACT(Metadata!V607,"not collected"),EXACT(Metadata!V607,"not provided"),EXACT(Metadata!V607,"restricted access"))),AND(IF(Metadata!V607="",FALSE,ISNUMBER(VALUE(Metadata!V607))),Metadata!V607&gt;=-180,Metadata!V607&lt;=180))</f>
        <v>0</v>
      </c>
      <c r="BJ607" t="b">
        <f>AND(IF(Metadata!W607="",FALSE,TRUE),EXACT(Metadata!W607,"Decimal degrees"))</f>
        <v>0</v>
      </c>
      <c r="BK607" t="b">
        <f>IF(Metadata!X607="",FALSE,TRUE)</f>
        <v>0</v>
      </c>
      <c r="BL607" t="b">
        <f>OR(AND(IF(Metadata!Y607="",FALSE,TRUE),OR(EXACT(Metadata!Y607,"not collected"),EXACT(Metadata!Y607,"not provided"),EXACT(Metadata!Y607,"restricted access"))),AND(IF(Metadata!Y607="",FALSE,TRUE),OR(EXACT(Metadata!Y607,"TRUE"),EXACT(Metadata!Y607,"FALSE"))))</f>
        <v>0</v>
      </c>
      <c r="BM607" t="b">
        <f>OR(AND(IF(Metadata!Z607="",FALSE,TRUE),EXACT(Metadata!Z607,"not applicable")),AND(IF(Metadata!Z607="",FALSE,TRUE),OR(EXACT(Metadata!Z607,"beer"),EXACT(Metadata!Z607,"cheese"),EXACT(Metadata!Z607,"fresh water"),EXACT(Metadata!Z607,"marine sediment"),EXACT(Metadata!Z607,"sea water"),EXACT(Metadata!Z607,"sediment"),EXACT(Metadata!Z607,"soil"),EXACT(Metadata!Z607,"waste water"))))</f>
        <v>0</v>
      </c>
      <c r="BN607" t="b">
        <f>AND(IF(Metadata!AA607="",FALSE,TRUE),EXACT(Metadata!AA607,"metagenome"))</f>
        <v>0</v>
      </c>
      <c r="BO607" t="b">
        <f>AND(IF(Metadata!AB607="",FALSE,TRUE),EXACT(Metadata!AB607,"256318"))</f>
        <v>0</v>
      </c>
      <c r="BP607" t="b">
        <f>IF(Metadata!AC607="",FALSE,TRUE)</f>
        <v>0</v>
      </c>
      <c r="BQ607" t="b">
        <f>IF(Metadata!AD607="",FALSE,TRUE)</f>
        <v>0</v>
      </c>
    </row>
    <row r="608" spans="1:69" x14ac:dyDescent="0.2">
      <c r="A608" s="4" t="e">
        <f ca="1">IF(B608=" "," ",HYPERLINK(CONCATENATE("#metadata!",ADDRESS(INDEX($AJ$2:$AJ$1001,MATCH(ROWS($AH$2:AH608),$AH$2:$AH$1001,0),0),2)),INDEX($AM$2:$AM$1001,MATCH(ROWS($AH$2:AH608),$AH$2:$AH$1001,0),0)))</f>
        <v>#N/A</v>
      </c>
      <c r="B608" s="5" t="e">
        <f ca="1">IF(OR(INDEX($AI$2:$AI$1001,MATCH(ROWS($AH$2:AH608),$AH$2:$AH$1001,0),1)&gt;=100000,INDEX($AO$1005:$BQ$1005,1,MATCH(COLUMNS($AO$1006:AO1006),$AO$1006:$BQ$1006,0))&gt;=100000), " ",IF(INDEX($AO$2:$BQ$1001,MATCH(ROWS($AH$2:AH608),$AH$2:$AH$1001,0),MATCH(COLUMNS($AO$1006:AO1006),$AO$1006:$BQ$1006,0)), HYPERLINK("#",""), HYPERLINK(CONCATENATE("#Metadata!", ADDRESS(INDEX($AJ$2:$AJ$1001,MATCH(ROWS($AH$2:AH608),$AH$2:$AH$1001,0),0), INDEX($AO$1004:$BQ$1004,1,MATCH(COLUMNS($AO$1006:AO1006),$AO$1006:$BQ$1006,0)))),"Fix")))</f>
        <v>#N/A</v>
      </c>
      <c r="C608" s="5" t="e">
        <f ca="1">IF(OR(INDEX($AI$2:$AI$1001,MATCH(ROWS($AH$2:AH608),$AH$2:$AH$1001,0),1)&gt;=100000,INDEX($AO$1005:$BQ$1005,1,MATCH(COLUMNS($AO$1006:AP1006),$AO$1006:$BQ$1006,0))&gt;=100000), " ",IF(INDEX($AO$2:$BQ$1001,MATCH(ROWS($AH$2:AH608),$AH$2:$AH$1001,0),MATCH(COLUMNS($AO$1006:AP1006),$AO$1006:$BQ$1006,0)), HYPERLINK("#",""), HYPERLINK(CONCATENATE("#Metadata!", ADDRESS(INDEX($AJ$2:$AJ$1001,MATCH(ROWS($AH$2:AH608),$AH$2:$AH$1001,0),0), INDEX($AO$1004:$BQ$1004,1,MATCH(COLUMNS($AO$1006:AP1006),$AO$1006:$BQ$1006,0)))),"Fix")))</f>
        <v>#N/A</v>
      </c>
      <c r="D608" s="5" t="e">
        <f ca="1">IF(OR(INDEX($AI$2:$AI$1001,MATCH(ROWS($AH$2:AH608),$AH$2:$AH$1001,0),1)&gt;=100000,INDEX($AO$1005:$BQ$1005,1,MATCH(COLUMNS($AO$1006:AQ1006),$AO$1006:$BQ$1006,0))&gt;=100000), " ",IF(INDEX($AO$2:$BQ$1001,MATCH(ROWS($AH$2:AH608),$AH$2:$AH$1001,0),MATCH(COLUMNS($AO$1006:AQ1006),$AO$1006:$BQ$1006,0)), HYPERLINK("#",""), HYPERLINK(CONCATENATE("#Metadata!", ADDRESS(INDEX($AJ$2:$AJ$1001,MATCH(ROWS($AH$2:AH608),$AH$2:$AH$1001,0),0), INDEX($AO$1004:$BQ$1004,1,MATCH(COLUMNS($AO$1006:AQ1006),$AO$1006:$BQ$1006,0)))),"Fix")))</f>
        <v>#N/A</v>
      </c>
      <c r="E608" s="5" t="e">
        <f ca="1">IF(OR(INDEX($AI$2:$AI$1001,MATCH(ROWS($AH$2:AH608),$AH$2:$AH$1001,0),1)&gt;=100000,INDEX($AO$1005:$BQ$1005,1,MATCH(COLUMNS($AO$1006:AR1006),$AO$1006:$BQ$1006,0))&gt;=100000), " ",IF(INDEX($AO$2:$BQ$1001,MATCH(ROWS($AH$2:AH608),$AH$2:$AH$1001,0),MATCH(COLUMNS($AO$1006:AR1006),$AO$1006:$BQ$1006,0)), HYPERLINK("#",""), HYPERLINK(CONCATENATE("#Metadata!", ADDRESS(INDEX($AJ$2:$AJ$1001,MATCH(ROWS($AH$2:AH608),$AH$2:$AH$1001,0),0), INDEX($AO$1004:$BQ$1004,1,MATCH(COLUMNS($AO$1006:AR1006),$AO$1006:$BQ$1006,0)))),"Fix")))</f>
        <v>#N/A</v>
      </c>
      <c r="F608" s="5" t="e">
        <f ca="1">IF(OR(INDEX($AI$2:$AI$1001,MATCH(ROWS($AH$2:AH608),$AH$2:$AH$1001,0),1)&gt;=100000,INDEX($AO$1005:$BQ$1005,1,MATCH(COLUMNS($AO$1006:AS1006),$AO$1006:$BQ$1006,0))&gt;=100000), " ",IF(INDEX($AO$2:$BQ$1001,MATCH(ROWS($AH$2:AH608),$AH$2:$AH$1001,0),MATCH(COLUMNS($AO$1006:AS1006),$AO$1006:$BQ$1006,0)), HYPERLINK("#",""), HYPERLINK(CONCATENATE("#Metadata!", ADDRESS(INDEX($AJ$2:$AJ$1001,MATCH(ROWS($AH$2:AH608),$AH$2:$AH$1001,0),0), INDEX($AO$1004:$BQ$1004,1,MATCH(COLUMNS($AO$1006:AS1006),$AO$1006:$BQ$1006,0)))),"Fix")))</f>
        <v>#N/A</v>
      </c>
      <c r="G608" s="5" t="e">
        <f ca="1">IF(OR(INDEX($AI$2:$AI$1001,MATCH(ROWS($AH$2:AH608),$AH$2:$AH$1001,0),1)&gt;=100000,INDEX($AO$1005:$BQ$1005,1,MATCH(COLUMNS($AO$1006:AT1006),$AO$1006:$BQ$1006,0))&gt;=100000), " ",IF(INDEX($AO$2:$BQ$1001,MATCH(ROWS($AH$2:AH608),$AH$2:$AH$1001,0),MATCH(COLUMNS($AO$1006:AT1006),$AO$1006:$BQ$1006,0)), HYPERLINK("#",""), HYPERLINK(CONCATENATE("#Metadata!", ADDRESS(INDEX($AJ$2:$AJ$1001,MATCH(ROWS($AH$2:AH608),$AH$2:$AH$1001,0),0), INDEX($AO$1004:$BQ$1004,1,MATCH(COLUMNS($AO$1006:AT1006),$AO$1006:$BQ$1006,0)))),"Fix")))</f>
        <v>#N/A</v>
      </c>
      <c r="H608" s="5" t="e">
        <f ca="1">IF(OR(INDEX($AI$2:$AI$1001,MATCH(ROWS($AH$2:AH608),$AH$2:$AH$1001,0),1)&gt;=100000,INDEX($AO$1005:$BQ$1005,1,MATCH(COLUMNS($AO$1006:AU1006),$AO$1006:$BQ$1006,0))&gt;=100000), " ",IF(INDEX($AO$2:$BQ$1001,MATCH(ROWS($AH$2:AH608),$AH$2:$AH$1001,0),MATCH(COLUMNS($AO$1006:AU1006),$AO$1006:$BQ$1006,0)), HYPERLINK("#",""), HYPERLINK(CONCATENATE("#Metadata!", ADDRESS(INDEX($AJ$2:$AJ$1001,MATCH(ROWS($AH$2:AH608),$AH$2:$AH$1001,0),0), INDEX($AO$1004:$BQ$1004,1,MATCH(COLUMNS($AO$1006:AU1006),$AO$1006:$BQ$1006,0)))),"Fix")))</f>
        <v>#N/A</v>
      </c>
      <c r="I608" s="5" t="e">
        <f ca="1">IF(OR(INDEX($AI$2:$AI$1001,MATCH(ROWS($AH$2:AH608),$AH$2:$AH$1001,0),1)&gt;=100000,INDEX($AO$1005:$BQ$1005,1,MATCH(COLUMNS($AO$1006:AV1006),$AO$1006:$BQ$1006,0))&gt;=100000), " ",IF(INDEX($AO$2:$BQ$1001,MATCH(ROWS($AH$2:AH608),$AH$2:$AH$1001,0),MATCH(COLUMNS($AO$1006:AV1006),$AO$1006:$BQ$1006,0)), HYPERLINK("#",""), HYPERLINK(CONCATENATE("#Metadata!", ADDRESS(INDEX($AJ$2:$AJ$1001,MATCH(ROWS($AH$2:AH608),$AH$2:$AH$1001,0),0), INDEX($AO$1004:$BQ$1004,1,MATCH(COLUMNS($AO$1006:AV1006),$AO$1006:$BQ$1006,0)))),"Fix")))</f>
        <v>#N/A</v>
      </c>
      <c r="J608" s="5" t="e">
        <f ca="1">IF(OR(INDEX($AI$2:$AI$1001,MATCH(ROWS($AH$2:AH608),$AH$2:$AH$1001,0),1)&gt;=100000,INDEX($AO$1005:$BQ$1005,1,MATCH(COLUMNS($AO$1006:AW1006),$AO$1006:$BQ$1006,0))&gt;=100000), " ",IF(INDEX($AO$2:$BQ$1001,MATCH(ROWS($AH$2:AH608),$AH$2:$AH$1001,0),MATCH(COLUMNS($AO$1006:AW1006),$AO$1006:$BQ$1006,0)), HYPERLINK("#",""), HYPERLINK(CONCATENATE("#Metadata!", ADDRESS(INDEX($AJ$2:$AJ$1001,MATCH(ROWS($AH$2:AH608),$AH$2:$AH$1001,0),0), INDEX($AO$1004:$BQ$1004,1,MATCH(COLUMNS($AO$1006:AW1006),$AO$1006:$BQ$1006,0)))),"Fix")))</f>
        <v>#N/A</v>
      </c>
      <c r="K608" s="5" t="e">
        <f ca="1">IF(OR(INDEX($AI$2:$AI$1001,MATCH(ROWS($AH$2:AH608),$AH$2:$AH$1001,0),1)&gt;=100000,INDEX($AO$1005:$BQ$1005,1,MATCH(COLUMNS($AO$1006:AX1006),$AO$1006:$BQ$1006,0))&gt;=100000), " ",IF(INDEX($AO$2:$BQ$1001,MATCH(ROWS($AH$2:AH608),$AH$2:$AH$1001,0),MATCH(COLUMNS($AO$1006:AX1006),$AO$1006:$BQ$1006,0)), HYPERLINK("#",""), HYPERLINK(CONCATENATE("#Metadata!", ADDRESS(INDEX($AJ$2:$AJ$1001,MATCH(ROWS($AH$2:AH608),$AH$2:$AH$1001,0),0), INDEX($AO$1004:$BQ$1004,1,MATCH(COLUMNS($AO$1006:AX1006),$AO$1006:$BQ$1006,0)))),"Fix")))</f>
        <v>#N/A</v>
      </c>
      <c r="L608" s="5" t="e">
        <f ca="1">IF(OR(INDEX($AI$2:$AI$1001,MATCH(ROWS($AH$2:AH608),$AH$2:$AH$1001,0),1)&gt;=100000,INDEX($AO$1005:$BQ$1005,1,MATCH(COLUMNS($AO$1006:AY1006),$AO$1006:$BQ$1006,0))&gt;=100000), " ",IF(INDEX($AO$2:$BQ$1001,MATCH(ROWS($AH$2:AH608),$AH$2:$AH$1001,0),MATCH(COLUMNS($AO$1006:AY1006),$AO$1006:$BQ$1006,0)), HYPERLINK("#",""), HYPERLINK(CONCATENATE("#Metadata!", ADDRESS(INDEX($AJ$2:$AJ$1001,MATCH(ROWS($AH$2:AH608),$AH$2:$AH$1001,0),0), INDEX($AO$1004:$BQ$1004,1,MATCH(COLUMNS($AO$1006:AY1006),$AO$1006:$BQ$1006,0)))),"Fix")))</f>
        <v>#N/A</v>
      </c>
      <c r="M608" s="5" t="e">
        <f ca="1">IF(OR(INDEX($AI$2:$AI$1001,MATCH(ROWS($AH$2:AH608),$AH$2:$AH$1001,0),1)&gt;=100000,INDEX($AO$1005:$BQ$1005,1,MATCH(COLUMNS($AO$1006:AZ1006),$AO$1006:$BQ$1006,0))&gt;=100000), " ",IF(INDEX($AO$2:$BQ$1001,MATCH(ROWS($AH$2:AH608),$AH$2:$AH$1001,0),MATCH(COLUMNS($AO$1006:AZ1006),$AO$1006:$BQ$1006,0)), HYPERLINK("#",""), HYPERLINK(CONCATENATE("#Metadata!", ADDRESS(INDEX($AJ$2:$AJ$1001,MATCH(ROWS($AH$2:AH608),$AH$2:$AH$1001,0),0), INDEX($AO$1004:$BQ$1004,1,MATCH(COLUMNS($AO$1006:AZ1006),$AO$1006:$BQ$1006,0)))),"Fix")))</f>
        <v>#N/A</v>
      </c>
      <c r="N608" s="5" t="e">
        <f ca="1">IF(OR(INDEX($AI$2:$AI$1001,MATCH(ROWS($AH$2:AH608),$AH$2:$AH$1001,0),1)&gt;=100000,INDEX($AO$1005:$BQ$1005,1,MATCH(COLUMNS($AO$1006:BA1006),$AO$1006:$BQ$1006,0))&gt;=100000), " ",IF(INDEX($AO$2:$BQ$1001,MATCH(ROWS($AH$2:AH608),$AH$2:$AH$1001,0),MATCH(COLUMNS($AO$1006:BA1006),$AO$1006:$BQ$1006,0)), HYPERLINK("#",""), HYPERLINK(CONCATENATE("#Metadata!", ADDRESS(INDEX($AJ$2:$AJ$1001,MATCH(ROWS($AH$2:AH608),$AH$2:$AH$1001,0),0), INDEX($AO$1004:$BQ$1004,1,MATCH(COLUMNS($AO$1006:BA1006),$AO$1006:$BQ$1006,0)))),"Fix")))</f>
        <v>#N/A</v>
      </c>
      <c r="O608" s="5" t="e">
        <f ca="1">IF(OR(INDEX($AI$2:$AI$1001,MATCH(ROWS($AH$2:AH608),$AH$2:$AH$1001,0),1)&gt;=100000,INDEX($AO$1005:$BQ$1005,1,MATCH(COLUMNS($AO$1006:BB1006),$AO$1006:$BQ$1006,0))&gt;=100000), " ",IF(INDEX($AO$2:$BQ$1001,MATCH(ROWS($AH$2:AH608),$AH$2:$AH$1001,0),MATCH(COLUMNS($AO$1006:BB1006),$AO$1006:$BQ$1006,0)), HYPERLINK("#",""), HYPERLINK(CONCATENATE("#Metadata!", ADDRESS(INDEX($AJ$2:$AJ$1001,MATCH(ROWS($AH$2:AH608),$AH$2:$AH$1001,0),0), INDEX($AO$1004:$BQ$1004,1,MATCH(COLUMNS($AO$1006:BB1006),$AO$1006:$BQ$1006,0)))),"Fix")))</f>
        <v>#N/A</v>
      </c>
      <c r="P608" s="5" t="e">
        <f ca="1">IF(OR(INDEX($AI$2:$AI$1001,MATCH(ROWS($AH$2:AH608),$AH$2:$AH$1001,0),1)&gt;=100000,INDEX($AO$1005:$BQ$1005,1,MATCH(COLUMNS($AO$1006:BC1006),$AO$1006:$BQ$1006,0))&gt;=100000), " ",IF(INDEX($AO$2:$BQ$1001,MATCH(ROWS($AH$2:AH608),$AH$2:$AH$1001,0),MATCH(COLUMNS($AO$1006:BC1006),$AO$1006:$BQ$1006,0)), HYPERLINK("#",""), HYPERLINK(CONCATENATE("#Metadata!", ADDRESS(INDEX($AJ$2:$AJ$1001,MATCH(ROWS($AH$2:AH608),$AH$2:$AH$1001,0),0), INDEX($AO$1004:$BQ$1004,1,MATCH(COLUMNS($AO$1006:BC1006),$AO$1006:$BQ$1006,0)))),"Fix")))</f>
        <v>#N/A</v>
      </c>
      <c r="Q608" s="5" t="e">
        <f ca="1">IF(OR(INDEX($AI$2:$AI$1001,MATCH(ROWS($AH$2:AH608),$AH$2:$AH$1001,0),1)&gt;=100000,INDEX($AO$1005:$BQ$1005,1,MATCH(COLUMNS($AO$1006:BD1006),$AO$1006:$BQ$1006,0))&gt;=100000), " ",IF(INDEX($AO$2:$BQ$1001,MATCH(ROWS($AH$2:AH608),$AH$2:$AH$1001,0),MATCH(COLUMNS($AO$1006:BD1006),$AO$1006:$BQ$1006,0)), HYPERLINK("#",""), HYPERLINK(CONCATENATE("#Metadata!", ADDRESS(INDEX($AJ$2:$AJ$1001,MATCH(ROWS($AH$2:AH608),$AH$2:$AH$1001,0),0), INDEX($AO$1004:$BQ$1004,1,MATCH(COLUMNS($AO$1006:BD1006),$AO$1006:$BQ$1006,0)))),"Fix")))</f>
        <v>#N/A</v>
      </c>
      <c r="R608" s="5" t="e">
        <f ca="1">IF(OR(INDEX($AI$2:$AI$1001,MATCH(ROWS($AH$2:AH608),$AH$2:$AH$1001,0),1)&gt;=100000,INDEX($AO$1005:$BQ$1005,1,MATCH(COLUMNS($AO$1006:BE1006),$AO$1006:$BQ$1006,0))&gt;=100000), " ",IF(INDEX($AO$2:$BQ$1001,MATCH(ROWS($AH$2:AH608),$AH$2:$AH$1001,0),MATCH(COLUMNS($AO$1006:BE1006),$AO$1006:$BQ$1006,0)), HYPERLINK("#",""), HYPERLINK(CONCATENATE("#Metadata!", ADDRESS(INDEX($AJ$2:$AJ$1001,MATCH(ROWS($AH$2:AH608),$AH$2:$AH$1001,0),0), INDEX($AO$1004:$BQ$1004,1,MATCH(COLUMNS($AO$1006:BE1006),$AO$1006:$BQ$1006,0)))),"Fix")))</f>
        <v>#N/A</v>
      </c>
      <c r="S608" s="5" t="e">
        <f ca="1">IF(OR(INDEX($AI$2:$AI$1001,MATCH(ROWS($AH$2:AH608),$AH$2:$AH$1001,0),1)&gt;=100000,INDEX($AO$1005:$BQ$1005,1,MATCH(COLUMNS($AO$1006:BF1006),$AO$1006:$BQ$1006,0))&gt;=100000), " ",IF(INDEX($AO$2:$BQ$1001,MATCH(ROWS($AH$2:AH608),$AH$2:$AH$1001,0),MATCH(COLUMNS($AO$1006:BF1006),$AO$1006:$BQ$1006,0)), HYPERLINK("#",""), HYPERLINK(CONCATENATE("#Metadata!", ADDRESS(INDEX($AJ$2:$AJ$1001,MATCH(ROWS($AH$2:AH608),$AH$2:$AH$1001,0),0), INDEX($AO$1004:$BQ$1004,1,MATCH(COLUMNS($AO$1006:BF1006),$AO$1006:$BQ$1006,0)))),"Fix")))</f>
        <v>#N/A</v>
      </c>
      <c r="T608" s="5" t="e">
        <f ca="1">IF(OR(INDEX($AI$2:$AI$1001,MATCH(ROWS($AH$2:AH608),$AH$2:$AH$1001,0),1)&gt;=100000,INDEX($AO$1005:$BQ$1005,1,MATCH(COLUMNS($AO$1006:BG1006),$AO$1006:$BQ$1006,0))&gt;=100000), " ",IF(INDEX($AO$2:$BQ$1001,MATCH(ROWS($AH$2:AH608),$AH$2:$AH$1001,0),MATCH(COLUMNS($AO$1006:BG1006),$AO$1006:$BQ$1006,0)), HYPERLINK("#",""), HYPERLINK(CONCATENATE("#Metadata!", ADDRESS(INDEX($AJ$2:$AJ$1001,MATCH(ROWS($AH$2:AH608),$AH$2:$AH$1001,0),0), INDEX($AO$1004:$BQ$1004,1,MATCH(COLUMNS($AO$1006:BG1006),$AO$1006:$BQ$1006,0)))),"Fix")))</f>
        <v>#N/A</v>
      </c>
      <c r="U608" s="5" t="e">
        <f ca="1">IF(OR(INDEX($AI$2:$AI$1001,MATCH(ROWS($AH$2:AH608),$AH$2:$AH$1001,0),1)&gt;=100000,INDEX($AO$1005:$BQ$1005,1,MATCH(COLUMNS($AO$1006:BH1006),$AO$1006:$BQ$1006,0))&gt;=100000), " ",IF(INDEX($AO$2:$BQ$1001,MATCH(ROWS($AH$2:AH608),$AH$2:$AH$1001,0),MATCH(COLUMNS($AO$1006:BH1006),$AO$1006:$BQ$1006,0)), HYPERLINK("#",""), HYPERLINK(CONCATENATE("#Metadata!", ADDRESS(INDEX($AJ$2:$AJ$1001,MATCH(ROWS($AH$2:AH608),$AH$2:$AH$1001,0),0), INDEX($AO$1004:$BQ$1004,1,MATCH(COLUMNS($AO$1006:BH1006),$AO$1006:$BQ$1006,0)))),"Fix")))</f>
        <v>#N/A</v>
      </c>
      <c r="V608" s="5" t="e">
        <f ca="1">IF(OR(INDEX($AI$2:$AI$1001,MATCH(ROWS($AH$2:AH608),$AH$2:$AH$1001,0),1)&gt;=100000,INDEX($AO$1005:$BQ$1005,1,MATCH(COLUMNS($AO$1006:BI1006),$AO$1006:$BQ$1006,0))&gt;=100000), " ",IF(INDEX($AO$2:$BQ$1001,MATCH(ROWS($AH$2:AH608),$AH$2:$AH$1001,0),MATCH(COLUMNS($AO$1006:BI1006),$AO$1006:$BQ$1006,0)), HYPERLINK("#",""), HYPERLINK(CONCATENATE("#Metadata!", ADDRESS(INDEX($AJ$2:$AJ$1001,MATCH(ROWS($AH$2:AH608),$AH$2:$AH$1001,0),0), INDEX($AO$1004:$BQ$1004,1,MATCH(COLUMNS($AO$1006:BI1006),$AO$1006:$BQ$1006,0)))),"Fix")))</f>
        <v>#N/A</v>
      </c>
      <c r="W608" s="5" t="e">
        <f ca="1">IF(OR(INDEX($AI$2:$AI$1001,MATCH(ROWS($AH$2:AH608),$AH$2:$AH$1001,0),1)&gt;=100000,INDEX($AO$1005:$BQ$1005,1,MATCH(COLUMNS($AO$1006:BJ1006),$AO$1006:$BQ$1006,0))&gt;=100000), " ",IF(INDEX($AO$2:$BQ$1001,MATCH(ROWS($AH$2:AH608),$AH$2:$AH$1001,0),MATCH(COLUMNS($AO$1006:BJ1006),$AO$1006:$BQ$1006,0)), HYPERLINK("#",""), HYPERLINK(CONCATENATE("#Metadata!", ADDRESS(INDEX($AJ$2:$AJ$1001,MATCH(ROWS($AH$2:AH608),$AH$2:$AH$1001,0),0), INDEX($AO$1004:$BQ$1004,1,MATCH(COLUMNS($AO$1006:BJ1006),$AO$1006:$BQ$1006,0)))),"Fix")))</f>
        <v>#N/A</v>
      </c>
      <c r="X608" s="5" t="e">
        <f ca="1">IF(OR(INDEX($AI$2:$AI$1001,MATCH(ROWS($AH$2:AH608),$AH$2:$AH$1001,0),1)&gt;=100000,INDEX($AO$1005:$BQ$1005,1,MATCH(COLUMNS($AO$1006:BK1006),$AO$1006:$BQ$1006,0))&gt;=100000), " ",IF(INDEX($AO$2:$BQ$1001,MATCH(ROWS($AH$2:AH608),$AH$2:$AH$1001,0),MATCH(COLUMNS($AO$1006:BK1006),$AO$1006:$BQ$1006,0)), HYPERLINK("#",""), HYPERLINK(CONCATENATE("#Metadata!", ADDRESS(INDEX($AJ$2:$AJ$1001,MATCH(ROWS($AH$2:AH608),$AH$2:$AH$1001,0),0), INDEX($AO$1004:$BQ$1004,1,MATCH(COLUMNS($AO$1006:BK1006),$AO$1006:$BQ$1006,0)))),"Fix")))</f>
        <v>#N/A</v>
      </c>
      <c r="Y608" s="5" t="e">
        <f ca="1">IF(OR(INDEX($AI$2:$AI$1001,MATCH(ROWS($AH$2:AH608),$AH$2:$AH$1001,0),1)&gt;=100000,INDEX($AO$1005:$BQ$1005,1,MATCH(COLUMNS($AO$1006:BL1006),$AO$1006:$BQ$1006,0))&gt;=100000), " ",IF(INDEX($AO$2:$BQ$1001,MATCH(ROWS($AH$2:AH608),$AH$2:$AH$1001,0),MATCH(COLUMNS($AO$1006:BL1006),$AO$1006:$BQ$1006,0)), HYPERLINK("#",""), HYPERLINK(CONCATENATE("#Metadata!", ADDRESS(INDEX($AJ$2:$AJ$1001,MATCH(ROWS($AH$2:AH608),$AH$2:$AH$1001,0),0), INDEX($AO$1004:$BQ$1004,1,MATCH(COLUMNS($AO$1006:BL1006),$AO$1006:$BQ$1006,0)))),"Fix")))</f>
        <v>#N/A</v>
      </c>
      <c r="Z608" s="5" t="e">
        <f ca="1">IF(OR(INDEX($AI$2:$AI$1001,MATCH(ROWS($AH$2:AH608),$AH$2:$AH$1001,0),1)&gt;=100000,INDEX($AO$1005:$BQ$1005,1,MATCH(COLUMNS($AO$1006:BM1006),$AO$1006:$BQ$1006,0))&gt;=100000), " ",IF(INDEX($AO$2:$BQ$1001,MATCH(ROWS($AH$2:AH608),$AH$2:$AH$1001,0),MATCH(COLUMNS($AO$1006:BM1006),$AO$1006:$BQ$1006,0)), HYPERLINK("#",""), HYPERLINK(CONCATENATE("#Metadata!", ADDRESS(INDEX($AJ$2:$AJ$1001,MATCH(ROWS($AH$2:AH608),$AH$2:$AH$1001,0),0), INDEX($AO$1004:$BQ$1004,1,MATCH(COLUMNS($AO$1006:BM1006),$AO$1006:$BQ$1006,0)))),"Fix")))</f>
        <v>#N/A</v>
      </c>
      <c r="AA608" s="5" t="e">
        <f ca="1">IF(OR(INDEX($AI$2:$AI$1001,MATCH(ROWS($AH$2:AH608),$AH$2:$AH$1001,0),1)&gt;=100000,INDEX($AO$1005:$BQ$1005,1,MATCH(COLUMNS($AO$1006:BN1006),$AO$1006:$BQ$1006,0))&gt;=100000), " ",IF(INDEX($AO$2:$BQ$1001,MATCH(ROWS($AH$2:AH608),$AH$2:$AH$1001,0),MATCH(COLUMNS($AO$1006:BN1006),$AO$1006:$BQ$1006,0)), HYPERLINK("#",""), HYPERLINK(CONCATENATE("#Metadata!", ADDRESS(INDEX($AJ$2:$AJ$1001,MATCH(ROWS($AH$2:AH608),$AH$2:$AH$1001,0),0), INDEX($AO$1004:$BQ$1004,1,MATCH(COLUMNS($AO$1006:BN1006),$AO$1006:$BQ$1006,0)))),"Fix")))</f>
        <v>#N/A</v>
      </c>
      <c r="AB608" s="5" t="e">
        <f ca="1">IF(OR(INDEX($AI$2:$AI$1001,MATCH(ROWS($AH$2:AH608),$AH$2:$AH$1001,0),1)&gt;=100000,INDEX($AO$1005:$BQ$1005,1,MATCH(COLUMNS($AO$1006:BO1006),$AO$1006:$BQ$1006,0))&gt;=100000), " ",IF(INDEX($AO$2:$BQ$1001,MATCH(ROWS($AH$2:AH608),$AH$2:$AH$1001,0),MATCH(COLUMNS($AO$1006:BO1006),$AO$1006:$BQ$1006,0)), HYPERLINK("#",""), HYPERLINK(CONCATENATE("#Metadata!", ADDRESS(INDEX($AJ$2:$AJ$1001,MATCH(ROWS($AH$2:AH608),$AH$2:$AH$1001,0),0), INDEX($AO$1004:$BQ$1004,1,MATCH(COLUMNS($AO$1006:BO1006),$AO$1006:$BQ$1006,0)))),"Fix")))</f>
        <v>#N/A</v>
      </c>
      <c r="AC608" s="5" t="e">
        <f ca="1">IF(OR(INDEX($AI$2:$AI$1001,MATCH(ROWS($AH$2:AH608),$AH$2:$AH$1001,0),1)&gt;=100000,INDEX($AO$1005:$BQ$1005,1,MATCH(COLUMNS($AO$1006:BP1006),$AO$1006:$BQ$1006,0))&gt;=100000), " ",IF(INDEX($AO$2:$BQ$1001,MATCH(ROWS($AH$2:AH608),$AH$2:$AH$1001,0),MATCH(COLUMNS($AO$1006:BP1006),$AO$1006:$BQ$1006,0)), HYPERLINK("#",""), HYPERLINK(CONCATENATE("#Metadata!", ADDRESS(INDEX($AJ$2:$AJ$1001,MATCH(ROWS($AH$2:AH608),$AH$2:$AH$1001,0),0), INDEX($AO$1004:$BQ$1004,1,MATCH(COLUMNS($AO$1006:BP1006),$AO$1006:$BQ$1006,0)))),"Fix")))</f>
        <v>#N/A</v>
      </c>
      <c r="AD608" s="5" t="e">
        <f ca="1">IF(OR(INDEX($AI$2:$AI$1001,MATCH(ROWS($AH$2:AH608),$AH$2:$AH$1001,0),1)&gt;=100000,INDEX($AO$1005:$BQ$1005,1,MATCH(COLUMNS($AO$1006:BQ1006),$AO$1006:$BQ$1006,0))&gt;=100000), " ",IF(INDEX($AO$2:$BQ$1001,MATCH(ROWS($AH$2:AH608),$AH$2:$AH$1001,0),MATCH(COLUMNS($AO$1006:BQ1006),$AO$1006:$BQ$1006,0)), HYPERLINK("#",""), HYPERLINK(CONCATENATE("#Metadata!", ADDRESS(INDEX($AJ$2:$AJ$1001,MATCH(ROWS($AH$2:AH608),$AH$2:$AH$1001,0),0), INDEX($AO$1004:$BQ$1004,1,MATCH(COLUMNS($AO$1006:BQ1006),$AO$1006:$BQ$1006,0)))),"Fix")))</f>
        <v>#REF!</v>
      </c>
      <c r="AH608">
        <f ca="1"/>
        <v>605</v>
      </c>
      <c r="AI608">
        <v>100608</v>
      </c>
      <c r="AJ608">
        <v>608</v>
      </c>
      <c r="AK608" t="b">
        <f t="shared" si="9"/>
        <v>1</v>
      </c>
      <c r="AL608" t="b">
        <f>COUNTBLANK(Metadata!B608:AD608)=COLUMNS(Metadata!B608:AD608)</f>
        <v>1</v>
      </c>
      <c r="AM608" t="str">
        <v/>
      </c>
      <c r="AO608" t="b">
        <f ca="1">AND(IF(Metadata!B608="",FALSE,TRUE),COUNTIF(Metadata!B:B, Metadata!B608) = 1,NOT(ISERROR(SUMPRODUCT(SEARCH(MID(Metadata!B608,ROW(INDIRECT("1:"&amp;LEN(Metadata!B608))), 1),"0123456789abcdefghijklmnopqrstuvwxyzABCDEFGHIJKLMNOPQRSTUVWXYZ.")))))</f>
        <v>0</v>
      </c>
      <c r="AP608" t="b">
        <f>IF(Metadata!C608="",FALSE,TRUE)</f>
        <v>0</v>
      </c>
      <c r="AQ608" t="b">
        <f>IF(Metadata!D608="",FALSE,TRUE)</f>
        <v>0</v>
      </c>
      <c r="AR608" t="b">
        <f ca="1">OR(AND(IF(Metadata!E608="",FALSE,TRUE),OR(EXACT(Metadata!E608,"not collected"),EXACT(Metadata!E608,"not provided"),EXACT(Metadata!E608,"restricted access"))),AND(IF(Metadata!E608="",FALSE,TRUE),AND(AND(IFERROR(INT(LEFT(Metadata!E608,4))&gt;1900,FALSE),IFERROR(INT(LEFT(Metadata!E608,4))&lt;=YEAR(NOW()),FALSE)), OR(MID(Metadata!E608,5,1)="", AND(AND(MID(Metadata!E608,5,1)="-",IFERROR(INT(MID(Metadata!E608,6,1))&gt;=0,FALSE),IFERROR(INT(MID(Metadata!E608,6,1))&lt;=1,FALSE),NOT(MID(Metadata!E608,7,1)=""),IFERROR(INT(MID(Metadata!E608,6,2))&gt;=1,FALSE),IFERROR(INT(MID(Metadata!E608,6,2))&lt;=12,FALSE)), OR(MID(Metadata!E608,8,1)="", AND(AND(MID(Metadata!E608,8,1)="-",IFERROR(INT(MID(Metadata!E608,9,1))&gt;=0,FALSE),IFERROR(INT(MID(Metadata!E608,9,1))&lt;=3,FALSE),NOT(MID(Metadata!E608,10,1)=""),IFERROR(INT(MID(Metadata!E608,9,2))&gt;=1,FALSE),IFERROR(INT(MID(Metadata!E608,9,2))&lt;=31,FALSE)), OR(MID(Metadata!E608,11,1)="", AND(AND(MID(Metadata!E608,11,1)=" ",IFERROR(INT(MID(Metadata!E608,12,1))&gt;=0,FALSE),IFERROR(INT(MID(Metadata!E608,12,1))&lt;=2,FALSE),NOT(MID(Metadata!E608,13,1)=""),IFERROR(INT(MID(Metadata!E608,12,2))&gt;=0,FALSE),IFERROR(INT(MID(Metadata!E608,12,2))&lt;=23,FALSE)), OR(MID(Metadata!E608,14,1)="", AND(AND(MID(Metadata!E608,14,1)=":",IFERROR(INT(MID(Metadata!E608,15,1))&gt;=0,FALSE),IFERROR(INT(MID(Metadata!E608,15,1))&lt;=5,FALSE),NOT(MID(Metadata!E608,16,1)=""),IFERROR(INT(MID(Metadata!E608,15,2))&gt;=0,FALSE),IFERROR(INT(MID(Metadata!E608,15,2))&lt;=59,FALSE)), OR(MID(Metadata!E608,17,1)="", AND(AND(MID(Metadata!E608,17,1)=":",IFERROR(INT(MID(Metadata!E608,18,1))&gt;=0,FALSE),IFERROR(INT(MID(Metadata!E608,18,1))&lt;=5,FALSE),NOT(MID(Metadata!E608,19,1)=""),IFERROR(INT(MID(Metadata!E608,18,2))&gt;=0,FALSE),IFERROR(INT(MID(Metadata!E608,18,2))&lt;=59,FALSE)), LEN(Metadata!E608)&lt;=19)))))))))))))</f>
        <v>0</v>
      </c>
      <c r="AS608" t="b">
        <f>IF(Metadata!F608="",FALSE,TRUE)</f>
        <v>0</v>
      </c>
      <c r="AT608" t="b">
        <f>OR(AND(IF(Metadata!G608="",FALSE,TRUE),OR(EXACT(Metadata!G608,"not collected"),EXACT(Metadata!G608,"not provided"))),AND(IF(Metadata!G608="",FALSE,TRUE),OR(EXACT(Metadata!G608,"TRUE"),EXACT(Metadata!G608,"FALSE"))))</f>
        <v>0</v>
      </c>
      <c r="AU608" t="b">
        <f>OR(AND(IF(Metadata!H608="",FALSE,TRUE),OR(EXACT(Metadata!H608,"not collected"),EXACT(Metadata!H608,"not provided"),EXACT(Metadata!H608,"restricted access"))),AND(IF(Metadata!H608="",FALSE,ISNUMBER(VALUE(Metadata!H608))),Metadata!H608&gt;=-413))</f>
        <v>0</v>
      </c>
      <c r="AV608" t="b">
        <f>AND(IF(Metadata!I608="",FALSE,TRUE),EXACT(Metadata!I608,"meters"))</f>
        <v>0</v>
      </c>
      <c r="AW608" t="b">
        <f>AND(IF(Metadata!J608="",FALSE,TRUE),EXACT(Metadata!J608,"free-living"))</f>
        <v>0</v>
      </c>
      <c r="AX608" t="b">
        <f>AND(IF(Metadata!K608="",FALSE,TRUE),OR(EXACT(Metadata!K608,"saline"),EXACT(Metadata!K608,"non-saline")))</f>
        <v>0</v>
      </c>
      <c r="AY608" t="b">
        <f>AND(IF(Metadata!L608="",FALSE,TRUE),OR(EXACT(Metadata!L608,"sub-surface (non-saline)"),EXACT(Metadata!L608,"surface (non-saline)"),EXACT(Metadata!L608,"water (non-saline)"),EXACT(Metadata!L608,"soil (non-saline)"),EXACT(Metadata!L608,"aerosol (non-saline)"),EXACT(Metadata!L608,"sediment (non-saline)"),EXACT(Metadata!L608,"surface (saline)"),EXACT(Metadata!L608,"water (saline)"),EXACT(Metadata!L608,"hypersaline (saline)"),EXACT(Metadata!L608,"aerosol (saline)"),EXACT(Metadata!L608,"sediment (saline)")))</f>
        <v>0</v>
      </c>
      <c r="AZ608" t="b">
        <f>IF(Metadata!M608="",FALSE,TRUE)</f>
        <v>0</v>
      </c>
      <c r="BA608" t="b">
        <f>IF(Metadata!N608="",FALSE,TRUE)</f>
        <v>0</v>
      </c>
      <c r="BB608" t="b">
        <f>IF(Metadata!O608="",FALSE,TRUE)</f>
        <v>0</v>
      </c>
      <c r="BC608" t="b">
        <f>AND(IF(Metadata!P608="",FALSE,TRUE),OR(EXACT(Metadata!P608,"air"),EXACT(Metadata!P608,"microbial mat/biofilm"),EXACT(Metadata!P608,"misc environment"),EXACT(Metadata!P608,"sediment"),EXACT(Metadata!P608,"soil"),EXACT(Metadata!P608,"wastewater/sludge"),EXACT(Metadata!P608,"water")))</f>
        <v>0</v>
      </c>
      <c r="BD608" t="b">
        <f>IF(Metadata!Q608="",FALSE,TRUE)</f>
        <v>0</v>
      </c>
      <c r="BE608" t="b">
        <f>IF(Metadata!R608="",FALSE,TRUE)</f>
        <v>0</v>
      </c>
      <c r="BF608" t="b">
        <f>OR(AND(IF(Metadata!S608="",FALSE,TRUE),OR(EXACT(Metadata!S608,"not collected"),EXACT(Metadata!S608,"not provided"),EXACT(Metadata!S608,"restricted access"))),AND(IF(Metadata!S608="",FALSE,ISNUMBER(VALUE(Metadata!S608))),Metadata!S608&gt;=-90,Metadata!S608&lt;=90))</f>
        <v>0</v>
      </c>
      <c r="BG608" t="b">
        <f>AND(IF(Metadata!T608="",FALSE,TRUE),EXACT(Metadata!T608,"Decimal degrees"))</f>
        <v>0</v>
      </c>
      <c r="BH608" t="b">
        <f>OR(AND(IF(Metadata!U608="",FALSE,TRUE),OR(EXACT(Metadata!U608,"not applicable"),EXACT(Metadata!U608,"not collected"))),IF(Metadata!U608="",FALSE,TRUE))</f>
        <v>0</v>
      </c>
      <c r="BI608" t="b">
        <f>OR(AND(IF(Metadata!V608="",FALSE,TRUE),OR(EXACT(Metadata!V608,"not collected"),EXACT(Metadata!V608,"not provided"),EXACT(Metadata!V608,"restricted access"))),AND(IF(Metadata!V608="",FALSE,ISNUMBER(VALUE(Metadata!V608))),Metadata!V608&gt;=-180,Metadata!V608&lt;=180))</f>
        <v>0</v>
      </c>
      <c r="BJ608" t="b">
        <f>AND(IF(Metadata!W608="",FALSE,TRUE),EXACT(Metadata!W608,"Decimal degrees"))</f>
        <v>0</v>
      </c>
      <c r="BK608" t="b">
        <f>IF(Metadata!X608="",FALSE,TRUE)</f>
        <v>0</v>
      </c>
      <c r="BL608" t="b">
        <f>OR(AND(IF(Metadata!Y608="",FALSE,TRUE),OR(EXACT(Metadata!Y608,"not collected"),EXACT(Metadata!Y608,"not provided"),EXACT(Metadata!Y608,"restricted access"))),AND(IF(Metadata!Y608="",FALSE,TRUE),OR(EXACT(Metadata!Y608,"TRUE"),EXACT(Metadata!Y608,"FALSE"))))</f>
        <v>0</v>
      </c>
      <c r="BM608" t="b">
        <f>OR(AND(IF(Metadata!Z608="",FALSE,TRUE),EXACT(Metadata!Z608,"not applicable")),AND(IF(Metadata!Z608="",FALSE,TRUE),OR(EXACT(Metadata!Z608,"beer"),EXACT(Metadata!Z608,"cheese"),EXACT(Metadata!Z608,"fresh water"),EXACT(Metadata!Z608,"marine sediment"),EXACT(Metadata!Z608,"sea water"),EXACT(Metadata!Z608,"sediment"),EXACT(Metadata!Z608,"soil"),EXACT(Metadata!Z608,"waste water"))))</f>
        <v>0</v>
      </c>
      <c r="BN608" t="b">
        <f>AND(IF(Metadata!AA608="",FALSE,TRUE),EXACT(Metadata!AA608,"metagenome"))</f>
        <v>0</v>
      </c>
      <c r="BO608" t="b">
        <f>AND(IF(Metadata!AB608="",FALSE,TRUE),EXACT(Metadata!AB608,"256318"))</f>
        <v>0</v>
      </c>
      <c r="BP608" t="b">
        <f>IF(Metadata!AC608="",FALSE,TRUE)</f>
        <v>0</v>
      </c>
      <c r="BQ608" t="b">
        <f>IF(Metadata!AD608="",FALSE,TRUE)</f>
        <v>0</v>
      </c>
    </row>
    <row r="609" spans="1:69" x14ac:dyDescent="0.2">
      <c r="A609" s="4" t="e">
        <f ca="1">IF(B609=" "," ",HYPERLINK(CONCATENATE("#metadata!",ADDRESS(INDEX($AJ$2:$AJ$1001,MATCH(ROWS($AH$2:AH609),$AH$2:$AH$1001,0),0),2)),INDEX($AM$2:$AM$1001,MATCH(ROWS($AH$2:AH609),$AH$2:$AH$1001,0),0)))</f>
        <v>#N/A</v>
      </c>
      <c r="B609" s="5" t="e">
        <f ca="1">IF(OR(INDEX($AI$2:$AI$1001,MATCH(ROWS($AH$2:AH609),$AH$2:$AH$1001,0),1)&gt;=100000,INDEX($AO$1005:$BQ$1005,1,MATCH(COLUMNS($AO$1006:AO1006),$AO$1006:$BQ$1006,0))&gt;=100000), " ",IF(INDEX($AO$2:$BQ$1001,MATCH(ROWS($AH$2:AH609),$AH$2:$AH$1001,0),MATCH(COLUMNS($AO$1006:AO1006),$AO$1006:$BQ$1006,0)), HYPERLINK("#",""), HYPERLINK(CONCATENATE("#Metadata!", ADDRESS(INDEX($AJ$2:$AJ$1001,MATCH(ROWS($AH$2:AH609),$AH$2:$AH$1001,0),0), INDEX($AO$1004:$BQ$1004,1,MATCH(COLUMNS($AO$1006:AO1006),$AO$1006:$BQ$1006,0)))),"Fix")))</f>
        <v>#N/A</v>
      </c>
      <c r="C609" s="5" t="e">
        <f ca="1">IF(OR(INDEX($AI$2:$AI$1001,MATCH(ROWS($AH$2:AH609),$AH$2:$AH$1001,0),1)&gt;=100000,INDEX($AO$1005:$BQ$1005,1,MATCH(COLUMNS($AO$1006:AP1006),$AO$1006:$BQ$1006,0))&gt;=100000), " ",IF(INDEX($AO$2:$BQ$1001,MATCH(ROWS($AH$2:AH609),$AH$2:$AH$1001,0),MATCH(COLUMNS($AO$1006:AP1006),$AO$1006:$BQ$1006,0)), HYPERLINK("#",""), HYPERLINK(CONCATENATE("#Metadata!", ADDRESS(INDEX($AJ$2:$AJ$1001,MATCH(ROWS($AH$2:AH609),$AH$2:$AH$1001,0),0), INDEX($AO$1004:$BQ$1004,1,MATCH(COLUMNS($AO$1006:AP1006),$AO$1006:$BQ$1006,0)))),"Fix")))</f>
        <v>#N/A</v>
      </c>
      <c r="D609" s="5" t="e">
        <f ca="1">IF(OR(INDEX($AI$2:$AI$1001,MATCH(ROWS($AH$2:AH609),$AH$2:$AH$1001,0),1)&gt;=100000,INDEX($AO$1005:$BQ$1005,1,MATCH(COLUMNS($AO$1006:AQ1006),$AO$1006:$BQ$1006,0))&gt;=100000), " ",IF(INDEX($AO$2:$BQ$1001,MATCH(ROWS($AH$2:AH609),$AH$2:$AH$1001,0),MATCH(COLUMNS($AO$1006:AQ1006),$AO$1006:$BQ$1006,0)), HYPERLINK("#",""), HYPERLINK(CONCATENATE("#Metadata!", ADDRESS(INDEX($AJ$2:$AJ$1001,MATCH(ROWS($AH$2:AH609),$AH$2:$AH$1001,0),0), INDEX($AO$1004:$BQ$1004,1,MATCH(COLUMNS($AO$1006:AQ1006),$AO$1006:$BQ$1006,0)))),"Fix")))</f>
        <v>#N/A</v>
      </c>
      <c r="E609" s="5" t="e">
        <f ca="1">IF(OR(INDEX($AI$2:$AI$1001,MATCH(ROWS($AH$2:AH609),$AH$2:$AH$1001,0),1)&gt;=100000,INDEX($AO$1005:$BQ$1005,1,MATCH(COLUMNS($AO$1006:AR1006),$AO$1006:$BQ$1006,0))&gt;=100000), " ",IF(INDEX($AO$2:$BQ$1001,MATCH(ROWS($AH$2:AH609),$AH$2:$AH$1001,0),MATCH(COLUMNS($AO$1006:AR1006),$AO$1006:$BQ$1006,0)), HYPERLINK("#",""), HYPERLINK(CONCATENATE("#Metadata!", ADDRESS(INDEX($AJ$2:$AJ$1001,MATCH(ROWS($AH$2:AH609),$AH$2:$AH$1001,0),0), INDEX($AO$1004:$BQ$1004,1,MATCH(COLUMNS($AO$1006:AR1006),$AO$1006:$BQ$1006,0)))),"Fix")))</f>
        <v>#N/A</v>
      </c>
      <c r="F609" s="5" t="e">
        <f ca="1">IF(OR(INDEX($AI$2:$AI$1001,MATCH(ROWS($AH$2:AH609),$AH$2:$AH$1001,0),1)&gt;=100000,INDEX($AO$1005:$BQ$1005,1,MATCH(COLUMNS($AO$1006:AS1006),$AO$1006:$BQ$1006,0))&gt;=100000), " ",IF(INDEX($AO$2:$BQ$1001,MATCH(ROWS($AH$2:AH609),$AH$2:$AH$1001,0),MATCH(COLUMNS($AO$1006:AS1006),$AO$1006:$BQ$1006,0)), HYPERLINK("#",""), HYPERLINK(CONCATENATE("#Metadata!", ADDRESS(INDEX($AJ$2:$AJ$1001,MATCH(ROWS($AH$2:AH609),$AH$2:$AH$1001,0),0), INDEX($AO$1004:$BQ$1004,1,MATCH(COLUMNS($AO$1006:AS1006),$AO$1006:$BQ$1006,0)))),"Fix")))</f>
        <v>#N/A</v>
      </c>
      <c r="G609" s="5" t="e">
        <f ca="1">IF(OR(INDEX($AI$2:$AI$1001,MATCH(ROWS($AH$2:AH609),$AH$2:$AH$1001,0),1)&gt;=100000,INDEX($AO$1005:$BQ$1005,1,MATCH(COLUMNS($AO$1006:AT1006),$AO$1006:$BQ$1006,0))&gt;=100000), " ",IF(INDEX($AO$2:$BQ$1001,MATCH(ROWS($AH$2:AH609),$AH$2:$AH$1001,0),MATCH(COLUMNS($AO$1006:AT1006),$AO$1006:$BQ$1006,0)), HYPERLINK("#",""), HYPERLINK(CONCATENATE("#Metadata!", ADDRESS(INDEX($AJ$2:$AJ$1001,MATCH(ROWS($AH$2:AH609),$AH$2:$AH$1001,0),0), INDEX($AO$1004:$BQ$1004,1,MATCH(COLUMNS($AO$1006:AT1006),$AO$1006:$BQ$1006,0)))),"Fix")))</f>
        <v>#N/A</v>
      </c>
      <c r="H609" s="5" t="e">
        <f ca="1">IF(OR(INDEX($AI$2:$AI$1001,MATCH(ROWS($AH$2:AH609),$AH$2:$AH$1001,0),1)&gt;=100000,INDEX($AO$1005:$BQ$1005,1,MATCH(COLUMNS($AO$1006:AU1006),$AO$1006:$BQ$1006,0))&gt;=100000), " ",IF(INDEX($AO$2:$BQ$1001,MATCH(ROWS($AH$2:AH609),$AH$2:$AH$1001,0),MATCH(COLUMNS($AO$1006:AU1006),$AO$1006:$BQ$1006,0)), HYPERLINK("#",""), HYPERLINK(CONCATENATE("#Metadata!", ADDRESS(INDEX($AJ$2:$AJ$1001,MATCH(ROWS($AH$2:AH609),$AH$2:$AH$1001,0),0), INDEX($AO$1004:$BQ$1004,1,MATCH(COLUMNS($AO$1006:AU1006),$AO$1006:$BQ$1006,0)))),"Fix")))</f>
        <v>#N/A</v>
      </c>
      <c r="I609" s="5" t="e">
        <f ca="1">IF(OR(INDEX($AI$2:$AI$1001,MATCH(ROWS($AH$2:AH609),$AH$2:$AH$1001,0),1)&gt;=100000,INDEX($AO$1005:$BQ$1005,1,MATCH(COLUMNS($AO$1006:AV1006),$AO$1006:$BQ$1006,0))&gt;=100000), " ",IF(INDEX($AO$2:$BQ$1001,MATCH(ROWS($AH$2:AH609),$AH$2:$AH$1001,0),MATCH(COLUMNS($AO$1006:AV1006),$AO$1006:$BQ$1006,0)), HYPERLINK("#",""), HYPERLINK(CONCATENATE("#Metadata!", ADDRESS(INDEX($AJ$2:$AJ$1001,MATCH(ROWS($AH$2:AH609),$AH$2:$AH$1001,0),0), INDEX($AO$1004:$BQ$1004,1,MATCH(COLUMNS($AO$1006:AV1006),$AO$1006:$BQ$1006,0)))),"Fix")))</f>
        <v>#N/A</v>
      </c>
      <c r="J609" s="5" t="e">
        <f ca="1">IF(OR(INDEX($AI$2:$AI$1001,MATCH(ROWS($AH$2:AH609),$AH$2:$AH$1001,0),1)&gt;=100000,INDEX($AO$1005:$BQ$1005,1,MATCH(COLUMNS($AO$1006:AW1006),$AO$1006:$BQ$1006,0))&gt;=100000), " ",IF(INDEX($AO$2:$BQ$1001,MATCH(ROWS($AH$2:AH609),$AH$2:$AH$1001,0),MATCH(COLUMNS($AO$1006:AW1006),$AO$1006:$BQ$1006,0)), HYPERLINK("#",""), HYPERLINK(CONCATENATE("#Metadata!", ADDRESS(INDEX($AJ$2:$AJ$1001,MATCH(ROWS($AH$2:AH609),$AH$2:$AH$1001,0),0), INDEX($AO$1004:$BQ$1004,1,MATCH(COLUMNS($AO$1006:AW1006),$AO$1006:$BQ$1006,0)))),"Fix")))</f>
        <v>#N/A</v>
      </c>
      <c r="K609" s="5" t="e">
        <f ca="1">IF(OR(INDEX($AI$2:$AI$1001,MATCH(ROWS($AH$2:AH609),$AH$2:$AH$1001,0),1)&gt;=100000,INDEX($AO$1005:$BQ$1005,1,MATCH(COLUMNS($AO$1006:AX1006),$AO$1006:$BQ$1006,0))&gt;=100000), " ",IF(INDEX($AO$2:$BQ$1001,MATCH(ROWS($AH$2:AH609),$AH$2:$AH$1001,0),MATCH(COLUMNS($AO$1006:AX1006),$AO$1006:$BQ$1006,0)), HYPERLINK("#",""), HYPERLINK(CONCATENATE("#Metadata!", ADDRESS(INDEX($AJ$2:$AJ$1001,MATCH(ROWS($AH$2:AH609),$AH$2:$AH$1001,0),0), INDEX($AO$1004:$BQ$1004,1,MATCH(COLUMNS($AO$1006:AX1006),$AO$1006:$BQ$1006,0)))),"Fix")))</f>
        <v>#N/A</v>
      </c>
      <c r="L609" s="5" t="e">
        <f ca="1">IF(OR(INDEX($AI$2:$AI$1001,MATCH(ROWS($AH$2:AH609),$AH$2:$AH$1001,0),1)&gt;=100000,INDEX($AO$1005:$BQ$1005,1,MATCH(COLUMNS($AO$1006:AY1006),$AO$1006:$BQ$1006,0))&gt;=100000), " ",IF(INDEX($AO$2:$BQ$1001,MATCH(ROWS($AH$2:AH609),$AH$2:$AH$1001,0),MATCH(COLUMNS($AO$1006:AY1006),$AO$1006:$BQ$1006,0)), HYPERLINK("#",""), HYPERLINK(CONCATENATE("#Metadata!", ADDRESS(INDEX($AJ$2:$AJ$1001,MATCH(ROWS($AH$2:AH609),$AH$2:$AH$1001,0),0), INDEX($AO$1004:$BQ$1004,1,MATCH(COLUMNS($AO$1006:AY1006),$AO$1006:$BQ$1006,0)))),"Fix")))</f>
        <v>#N/A</v>
      </c>
      <c r="M609" s="5" t="e">
        <f ca="1">IF(OR(INDEX($AI$2:$AI$1001,MATCH(ROWS($AH$2:AH609),$AH$2:$AH$1001,0),1)&gt;=100000,INDEX($AO$1005:$BQ$1005,1,MATCH(COLUMNS($AO$1006:AZ1006),$AO$1006:$BQ$1006,0))&gt;=100000), " ",IF(INDEX($AO$2:$BQ$1001,MATCH(ROWS($AH$2:AH609),$AH$2:$AH$1001,0),MATCH(COLUMNS($AO$1006:AZ1006),$AO$1006:$BQ$1006,0)), HYPERLINK("#",""), HYPERLINK(CONCATENATE("#Metadata!", ADDRESS(INDEX($AJ$2:$AJ$1001,MATCH(ROWS($AH$2:AH609),$AH$2:$AH$1001,0),0), INDEX($AO$1004:$BQ$1004,1,MATCH(COLUMNS($AO$1006:AZ1006),$AO$1006:$BQ$1006,0)))),"Fix")))</f>
        <v>#N/A</v>
      </c>
      <c r="N609" s="5" t="e">
        <f ca="1">IF(OR(INDEX($AI$2:$AI$1001,MATCH(ROWS($AH$2:AH609),$AH$2:$AH$1001,0),1)&gt;=100000,INDEX($AO$1005:$BQ$1005,1,MATCH(COLUMNS($AO$1006:BA1006),$AO$1006:$BQ$1006,0))&gt;=100000), " ",IF(INDEX($AO$2:$BQ$1001,MATCH(ROWS($AH$2:AH609),$AH$2:$AH$1001,0),MATCH(COLUMNS($AO$1006:BA1006),$AO$1006:$BQ$1006,0)), HYPERLINK("#",""), HYPERLINK(CONCATENATE("#Metadata!", ADDRESS(INDEX($AJ$2:$AJ$1001,MATCH(ROWS($AH$2:AH609),$AH$2:$AH$1001,0),0), INDEX($AO$1004:$BQ$1004,1,MATCH(COLUMNS($AO$1006:BA1006),$AO$1006:$BQ$1006,0)))),"Fix")))</f>
        <v>#N/A</v>
      </c>
      <c r="O609" s="5" t="e">
        <f ca="1">IF(OR(INDEX($AI$2:$AI$1001,MATCH(ROWS($AH$2:AH609),$AH$2:$AH$1001,0),1)&gt;=100000,INDEX($AO$1005:$BQ$1005,1,MATCH(COLUMNS($AO$1006:BB1006),$AO$1006:$BQ$1006,0))&gt;=100000), " ",IF(INDEX($AO$2:$BQ$1001,MATCH(ROWS($AH$2:AH609),$AH$2:$AH$1001,0),MATCH(COLUMNS($AO$1006:BB1006),$AO$1006:$BQ$1006,0)), HYPERLINK("#",""), HYPERLINK(CONCATENATE("#Metadata!", ADDRESS(INDEX($AJ$2:$AJ$1001,MATCH(ROWS($AH$2:AH609),$AH$2:$AH$1001,0),0), INDEX($AO$1004:$BQ$1004,1,MATCH(COLUMNS($AO$1006:BB1006),$AO$1006:$BQ$1006,0)))),"Fix")))</f>
        <v>#N/A</v>
      </c>
      <c r="P609" s="5" t="e">
        <f ca="1">IF(OR(INDEX($AI$2:$AI$1001,MATCH(ROWS($AH$2:AH609),$AH$2:$AH$1001,0),1)&gt;=100000,INDEX($AO$1005:$BQ$1005,1,MATCH(COLUMNS($AO$1006:BC1006),$AO$1006:$BQ$1006,0))&gt;=100000), " ",IF(INDEX($AO$2:$BQ$1001,MATCH(ROWS($AH$2:AH609),$AH$2:$AH$1001,0),MATCH(COLUMNS($AO$1006:BC1006),$AO$1006:$BQ$1006,0)), HYPERLINK("#",""), HYPERLINK(CONCATENATE("#Metadata!", ADDRESS(INDEX($AJ$2:$AJ$1001,MATCH(ROWS($AH$2:AH609),$AH$2:$AH$1001,0),0), INDEX($AO$1004:$BQ$1004,1,MATCH(COLUMNS($AO$1006:BC1006),$AO$1006:$BQ$1006,0)))),"Fix")))</f>
        <v>#N/A</v>
      </c>
      <c r="Q609" s="5" t="e">
        <f ca="1">IF(OR(INDEX($AI$2:$AI$1001,MATCH(ROWS($AH$2:AH609),$AH$2:$AH$1001,0),1)&gt;=100000,INDEX($AO$1005:$BQ$1005,1,MATCH(COLUMNS($AO$1006:BD1006),$AO$1006:$BQ$1006,0))&gt;=100000), " ",IF(INDEX($AO$2:$BQ$1001,MATCH(ROWS($AH$2:AH609),$AH$2:$AH$1001,0),MATCH(COLUMNS($AO$1006:BD1006),$AO$1006:$BQ$1006,0)), HYPERLINK("#",""), HYPERLINK(CONCATENATE("#Metadata!", ADDRESS(INDEX($AJ$2:$AJ$1001,MATCH(ROWS($AH$2:AH609),$AH$2:$AH$1001,0),0), INDEX($AO$1004:$BQ$1004,1,MATCH(COLUMNS($AO$1006:BD1006),$AO$1006:$BQ$1006,0)))),"Fix")))</f>
        <v>#N/A</v>
      </c>
      <c r="R609" s="5" t="e">
        <f ca="1">IF(OR(INDEX($AI$2:$AI$1001,MATCH(ROWS($AH$2:AH609),$AH$2:$AH$1001,0),1)&gt;=100000,INDEX($AO$1005:$BQ$1005,1,MATCH(COLUMNS($AO$1006:BE1006),$AO$1006:$BQ$1006,0))&gt;=100000), " ",IF(INDEX($AO$2:$BQ$1001,MATCH(ROWS($AH$2:AH609),$AH$2:$AH$1001,0),MATCH(COLUMNS($AO$1006:BE1006),$AO$1006:$BQ$1006,0)), HYPERLINK("#",""), HYPERLINK(CONCATENATE("#Metadata!", ADDRESS(INDEX($AJ$2:$AJ$1001,MATCH(ROWS($AH$2:AH609),$AH$2:$AH$1001,0),0), INDEX($AO$1004:$BQ$1004,1,MATCH(COLUMNS($AO$1006:BE1006),$AO$1006:$BQ$1006,0)))),"Fix")))</f>
        <v>#N/A</v>
      </c>
      <c r="S609" s="5" t="e">
        <f ca="1">IF(OR(INDEX($AI$2:$AI$1001,MATCH(ROWS($AH$2:AH609),$AH$2:$AH$1001,0),1)&gt;=100000,INDEX($AO$1005:$BQ$1005,1,MATCH(COLUMNS($AO$1006:BF1006),$AO$1006:$BQ$1006,0))&gt;=100000), " ",IF(INDEX($AO$2:$BQ$1001,MATCH(ROWS($AH$2:AH609),$AH$2:$AH$1001,0),MATCH(COLUMNS($AO$1006:BF1006),$AO$1006:$BQ$1006,0)), HYPERLINK("#",""), HYPERLINK(CONCATENATE("#Metadata!", ADDRESS(INDEX($AJ$2:$AJ$1001,MATCH(ROWS($AH$2:AH609),$AH$2:$AH$1001,0),0), INDEX($AO$1004:$BQ$1004,1,MATCH(COLUMNS($AO$1006:BF1006),$AO$1006:$BQ$1006,0)))),"Fix")))</f>
        <v>#N/A</v>
      </c>
      <c r="T609" s="5" t="e">
        <f ca="1">IF(OR(INDEX($AI$2:$AI$1001,MATCH(ROWS($AH$2:AH609),$AH$2:$AH$1001,0),1)&gt;=100000,INDEX($AO$1005:$BQ$1005,1,MATCH(COLUMNS($AO$1006:BG1006),$AO$1006:$BQ$1006,0))&gt;=100000), " ",IF(INDEX($AO$2:$BQ$1001,MATCH(ROWS($AH$2:AH609),$AH$2:$AH$1001,0),MATCH(COLUMNS($AO$1006:BG1006),$AO$1006:$BQ$1006,0)), HYPERLINK("#",""), HYPERLINK(CONCATENATE("#Metadata!", ADDRESS(INDEX($AJ$2:$AJ$1001,MATCH(ROWS($AH$2:AH609),$AH$2:$AH$1001,0),0), INDEX($AO$1004:$BQ$1004,1,MATCH(COLUMNS($AO$1006:BG1006),$AO$1006:$BQ$1006,0)))),"Fix")))</f>
        <v>#N/A</v>
      </c>
      <c r="U609" s="5" t="e">
        <f ca="1">IF(OR(INDEX($AI$2:$AI$1001,MATCH(ROWS($AH$2:AH609),$AH$2:$AH$1001,0),1)&gt;=100000,INDEX($AO$1005:$BQ$1005,1,MATCH(COLUMNS($AO$1006:BH1006),$AO$1006:$BQ$1006,0))&gt;=100000), " ",IF(INDEX($AO$2:$BQ$1001,MATCH(ROWS($AH$2:AH609),$AH$2:$AH$1001,0),MATCH(COLUMNS($AO$1006:BH1006),$AO$1006:$BQ$1006,0)), HYPERLINK("#",""), HYPERLINK(CONCATENATE("#Metadata!", ADDRESS(INDEX($AJ$2:$AJ$1001,MATCH(ROWS($AH$2:AH609),$AH$2:$AH$1001,0),0), INDEX($AO$1004:$BQ$1004,1,MATCH(COLUMNS($AO$1006:BH1006),$AO$1006:$BQ$1006,0)))),"Fix")))</f>
        <v>#N/A</v>
      </c>
      <c r="V609" s="5" t="e">
        <f ca="1">IF(OR(INDEX($AI$2:$AI$1001,MATCH(ROWS($AH$2:AH609),$AH$2:$AH$1001,0),1)&gt;=100000,INDEX($AO$1005:$BQ$1005,1,MATCH(COLUMNS($AO$1006:BI1006),$AO$1006:$BQ$1006,0))&gt;=100000), " ",IF(INDEX($AO$2:$BQ$1001,MATCH(ROWS($AH$2:AH609),$AH$2:$AH$1001,0),MATCH(COLUMNS($AO$1006:BI1006),$AO$1006:$BQ$1006,0)), HYPERLINK("#",""), HYPERLINK(CONCATENATE("#Metadata!", ADDRESS(INDEX($AJ$2:$AJ$1001,MATCH(ROWS($AH$2:AH609),$AH$2:$AH$1001,0),0), INDEX($AO$1004:$BQ$1004,1,MATCH(COLUMNS($AO$1006:BI1006),$AO$1006:$BQ$1006,0)))),"Fix")))</f>
        <v>#N/A</v>
      </c>
      <c r="W609" s="5" t="e">
        <f ca="1">IF(OR(INDEX($AI$2:$AI$1001,MATCH(ROWS($AH$2:AH609),$AH$2:$AH$1001,0),1)&gt;=100000,INDEX($AO$1005:$BQ$1005,1,MATCH(COLUMNS($AO$1006:BJ1006),$AO$1006:$BQ$1006,0))&gt;=100000), " ",IF(INDEX($AO$2:$BQ$1001,MATCH(ROWS($AH$2:AH609),$AH$2:$AH$1001,0),MATCH(COLUMNS($AO$1006:BJ1006),$AO$1006:$BQ$1006,0)), HYPERLINK("#",""), HYPERLINK(CONCATENATE("#Metadata!", ADDRESS(INDEX($AJ$2:$AJ$1001,MATCH(ROWS($AH$2:AH609),$AH$2:$AH$1001,0),0), INDEX($AO$1004:$BQ$1004,1,MATCH(COLUMNS($AO$1006:BJ1006),$AO$1006:$BQ$1006,0)))),"Fix")))</f>
        <v>#N/A</v>
      </c>
      <c r="X609" s="5" t="e">
        <f ca="1">IF(OR(INDEX($AI$2:$AI$1001,MATCH(ROWS($AH$2:AH609),$AH$2:$AH$1001,0),1)&gt;=100000,INDEX($AO$1005:$BQ$1005,1,MATCH(COLUMNS($AO$1006:BK1006),$AO$1006:$BQ$1006,0))&gt;=100000), " ",IF(INDEX($AO$2:$BQ$1001,MATCH(ROWS($AH$2:AH609),$AH$2:$AH$1001,0),MATCH(COLUMNS($AO$1006:BK1006),$AO$1006:$BQ$1006,0)), HYPERLINK("#",""), HYPERLINK(CONCATENATE("#Metadata!", ADDRESS(INDEX($AJ$2:$AJ$1001,MATCH(ROWS($AH$2:AH609),$AH$2:$AH$1001,0),0), INDEX($AO$1004:$BQ$1004,1,MATCH(COLUMNS($AO$1006:BK1006),$AO$1006:$BQ$1006,0)))),"Fix")))</f>
        <v>#N/A</v>
      </c>
      <c r="Y609" s="5" t="e">
        <f ca="1">IF(OR(INDEX($AI$2:$AI$1001,MATCH(ROWS($AH$2:AH609),$AH$2:$AH$1001,0),1)&gt;=100000,INDEX($AO$1005:$BQ$1005,1,MATCH(COLUMNS($AO$1006:BL1006),$AO$1006:$BQ$1006,0))&gt;=100000), " ",IF(INDEX($AO$2:$BQ$1001,MATCH(ROWS($AH$2:AH609),$AH$2:$AH$1001,0),MATCH(COLUMNS($AO$1006:BL1006),$AO$1006:$BQ$1006,0)), HYPERLINK("#",""), HYPERLINK(CONCATENATE("#Metadata!", ADDRESS(INDEX($AJ$2:$AJ$1001,MATCH(ROWS($AH$2:AH609),$AH$2:$AH$1001,0),0), INDEX($AO$1004:$BQ$1004,1,MATCH(COLUMNS($AO$1006:BL1006),$AO$1006:$BQ$1006,0)))),"Fix")))</f>
        <v>#N/A</v>
      </c>
      <c r="Z609" s="5" t="e">
        <f ca="1">IF(OR(INDEX($AI$2:$AI$1001,MATCH(ROWS($AH$2:AH609),$AH$2:$AH$1001,0),1)&gt;=100000,INDEX($AO$1005:$BQ$1005,1,MATCH(COLUMNS($AO$1006:BM1006),$AO$1006:$BQ$1006,0))&gt;=100000), " ",IF(INDEX($AO$2:$BQ$1001,MATCH(ROWS($AH$2:AH609),$AH$2:$AH$1001,0),MATCH(COLUMNS($AO$1006:BM1006),$AO$1006:$BQ$1006,0)), HYPERLINK("#",""), HYPERLINK(CONCATENATE("#Metadata!", ADDRESS(INDEX($AJ$2:$AJ$1001,MATCH(ROWS($AH$2:AH609),$AH$2:$AH$1001,0),0), INDEX($AO$1004:$BQ$1004,1,MATCH(COLUMNS($AO$1006:BM1006),$AO$1006:$BQ$1006,0)))),"Fix")))</f>
        <v>#N/A</v>
      </c>
      <c r="AA609" s="5" t="e">
        <f ca="1">IF(OR(INDEX($AI$2:$AI$1001,MATCH(ROWS($AH$2:AH609),$AH$2:$AH$1001,0),1)&gt;=100000,INDEX($AO$1005:$BQ$1005,1,MATCH(COLUMNS($AO$1006:BN1006),$AO$1006:$BQ$1006,0))&gt;=100000), " ",IF(INDEX($AO$2:$BQ$1001,MATCH(ROWS($AH$2:AH609),$AH$2:$AH$1001,0),MATCH(COLUMNS($AO$1006:BN1006),$AO$1006:$BQ$1006,0)), HYPERLINK("#",""), HYPERLINK(CONCATENATE("#Metadata!", ADDRESS(INDEX($AJ$2:$AJ$1001,MATCH(ROWS($AH$2:AH609),$AH$2:$AH$1001,0),0), INDEX($AO$1004:$BQ$1004,1,MATCH(COLUMNS($AO$1006:BN1006),$AO$1006:$BQ$1006,0)))),"Fix")))</f>
        <v>#N/A</v>
      </c>
      <c r="AB609" s="5" t="e">
        <f ca="1">IF(OR(INDEX($AI$2:$AI$1001,MATCH(ROWS($AH$2:AH609),$AH$2:$AH$1001,0),1)&gt;=100000,INDEX($AO$1005:$BQ$1005,1,MATCH(COLUMNS($AO$1006:BO1006),$AO$1006:$BQ$1006,0))&gt;=100000), " ",IF(INDEX($AO$2:$BQ$1001,MATCH(ROWS($AH$2:AH609),$AH$2:$AH$1001,0),MATCH(COLUMNS($AO$1006:BO1006),$AO$1006:$BQ$1006,0)), HYPERLINK("#",""), HYPERLINK(CONCATENATE("#Metadata!", ADDRESS(INDEX($AJ$2:$AJ$1001,MATCH(ROWS($AH$2:AH609),$AH$2:$AH$1001,0),0), INDEX($AO$1004:$BQ$1004,1,MATCH(COLUMNS($AO$1006:BO1006),$AO$1006:$BQ$1006,0)))),"Fix")))</f>
        <v>#N/A</v>
      </c>
      <c r="AC609" s="5" t="e">
        <f ca="1">IF(OR(INDEX($AI$2:$AI$1001,MATCH(ROWS($AH$2:AH609),$AH$2:$AH$1001,0),1)&gt;=100000,INDEX($AO$1005:$BQ$1005,1,MATCH(COLUMNS($AO$1006:BP1006),$AO$1006:$BQ$1006,0))&gt;=100000), " ",IF(INDEX($AO$2:$BQ$1001,MATCH(ROWS($AH$2:AH609),$AH$2:$AH$1001,0),MATCH(COLUMNS($AO$1006:BP1006),$AO$1006:$BQ$1006,0)), HYPERLINK("#",""), HYPERLINK(CONCATENATE("#Metadata!", ADDRESS(INDEX($AJ$2:$AJ$1001,MATCH(ROWS($AH$2:AH609),$AH$2:$AH$1001,0),0), INDEX($AO$1004:$BQ$1004,1,MATCH(COLUMNS($AO$1006:BP1006),$AO$1006:$BQ$1006,0)))),"Fix")))</f>
        <v>#N/A</v>
      </c>
      <c r="AD609" s="5" t="e">
        <f ca="1">IF(OR(INDEX($AI$2:$AI$1001,MATCH(ROWS($AH$2:AH609),$AH$2:$AH$1001,0),1)&gt;=100000,INDEX($AO$1005:$BQ$1005,1,MATCH(COLUMNS($AO$1006:BQ1006),$AO$1006:$BQ$1006,0))&gt;=100000), " ",IF(INDEX($AO$2:$BQ$1001,MATCH(ROWS($AH$2:AH609),$AH$2:$AH$1001,0),MATCH(COLUMNS($AO$1006:BQ1006),$AO$1006:$BQ$1006,0)), HYPERLINK("#",""), HYPERLINK(CONCATENATE("#Metadata!", ADDRESS(INDEX($AJ$2:$AJ$1001,MATCH(ROWS($AH$2:AH609),$AH$2:$AH$1001,0),0), INDEX($AO$1004:$BQ$1004,1,MATCH(COLUMNS($AO$1006:BQ1006),$AO$1006:$BQ$1006,0)))),"Fix")))</f>
        <v>#REF!</v>
      </c>
      <c r="AH609">
        <f ca="1"/>
        <v>606</v>
      </c>
      <c r="AI609">
        <v>100609</v>
      </c>
      <c r="AJ609">
        <v>609</v>
      </c>
      <c r="AK609" t="b">
        <f t="shared" si="9"/>
        <v>1</v>
      </c>
      <c r="AL609" t="b">
        <f>COUNTBLANK(Metadata!B609:AD609)=COLUMNS(Metadata!B609:AD609)</f>
        <v>1</v>
      </c>
      <c r="AM609" t="str">
        <v/>
      </c>
      <c r="AO609" t="b">
        <f ca="1">AND(IF(Metadata!B609="",FALSE,TRUE),COUNTIF(Metadata!B:B, Metadata!B609) = 1,NOT(ISERROR(SUMPRODUCT(SEARCH(MID(Metadata!B609,ROW(INDIRECT("1:"&amp;LEN(Metadata!B609))), 1),"0123456789abcdefghijklmnopqrstuvwxyzABCDEFGHIJKLMNOPQRSTUVWXYZ.")))))</f>
        <v>0</v>
      </c>
      <c r="AP609" t="b">
        <f>IF(Metadata!C609="",FALSE,TRUE)</f>
        <v>0</v>
      </c>
      <c r="AQ609" t="b">
        <f>IF(Metadata!D609="",FALSE,TRUE)</f>
        <v>0</v>
      </c>
      <c r="AR609" t="b">
        <f ca="1">OR(AND(IF(Metadata!E609="",FALSE,TRUE),OR(EXACT(Metadata!E609,"not collected"),EXACT(Metadata!E609,"not provided"),EXACT(Metadata!E609,"restricted access"))),AND(IF(Metadata!E609="",FALSE,TRUE),AND(AND(IFERROR(INT(LEFT(Metadata!E609,4))&gt;1900,FALSE),IFERROR(INT(LEFT(Metadata!E609,4))&lt;=YEAR(NOW()),FALSE)), OR(MID(Metadata!E609,5,1)="", AND(AND(MID(Metadata!E609,5,1)="-",IFERROR(INT(MID(Metadata!E609,6,1))&gt;=0,FALSE),IFERROR(INT(MID(Metadata!E609,6,1))&lt;=1,FALSE),NOT(MID(Metadata!E609,7,1)=""),IFERROR(INT(MID(Metadata!E609,6,2))&gt;=1,FALSE),IFERROR(INT(MID(Metadata!E609,6,2))&lt;=12,FALSE)), OR(MID(Metadata!E609,8,1)="", AND(AND(MID(Metadata!E609,8,1)="-",IFERROR(INT(MID(Metadata!E609,9,1))&gt;=0,FALSE),IFERROR(INT(MID(Metadata!E609,9,1))&lt;=3,FALSE),NOT(MID(Metadata!E609,10,1)=""),IFERROR(INT(MID(Metadata!E609,9,2))&gt;=1,FALSE),IFERROR(INT(MID(Metadata!E609,9,2))&lt;=31,FALSE)), OR(MID(Metadata!E609,11,1)="", AND(AND(MID(Metadata!E609,11,1)=" ",IFERROR(INT(MID(Metadata!E609,12,1))&gt;=0,FALSE),IFERROR(INT(MID(Metadata!E609,12,1))&lt;=2,FALSE),NOT(MID(Metadata!E609,13,1)=""),IFERROR(INT(MID(Metadata!E609,12,2))&gt;=0,FALSE),IFERROR(INT(MID(Metadata!E609,12,2))&lt;=23,FALSE)), OR(MID(Metadata!E609,14,1)="", AND(AND(MID(Metadata!E609,14,1)=":",IFERROR(INT(MID(Metadata!E609,15,1))&gt;=0,FALSE),IFERROR(INT(MID(Metadata!E609,15,1))&lt;=5,FALSE),NOT(MID(Metadata!E609,16,1)=""),IFERROR(INT(MID(Metadata!E609,15,2))&gt;=0,FALSE),IFERROR(INT(MID(Metadata!E609,15,2))&lt;=59,FALSE)), OR(MID(Metadata!E609,17,1)="", AND(AND(MID(Metadata!E609,17,1)=":",IFERROR(INT(MID(Metadata!E609,18,1))&gt;=0,FALSE),IFERROR(INT(MID(Metadata!E609,18,1))&lt;=5,FALSE),NOT(MID(Metadata!E609,19,1)=""),IFERROR(INT(MID(Metadata!E609,18,2))&gt;=0,FALSE),IFERROR(INT(MID(Metadata!E609,18,2))&lt;=59,FALSE)), LEN(Metadata!E609)&lt;=19)))))))))))))</f>
        <v>0</v>
      </c>
      <c r="AS609" t="b">
        <f>IF(Metadata!F609="",FALSE,TRUE)</f>
        <v>0</v>
      </c>
      <c r="AT609" t="b">
        <f>OR(AND(IF(Metadata!G609="",FALSE,TRUE),OR(EXACT(Metadata!G609,"not collected"),EXACT(Metadata!G609,"not provided"))),AND(IF(Metadata!G609="",FALSE,TRUE),OR(EXACT(Metadata!G609,"TRUE"),EXACT(Metadata!G609,"FALSE"))))</f>
        <v>0</v>
      </c>
      <c r="AU609" t="b">
        <f>OR(AND(IF(Metadata!H609="",FALSE,TRUE),OR(EXACT(Metadata!H609,"not collected"),EXACT(Metadata!H609,"not provided"),EXACT(Metadata!H609,"restricted access"))),AND(IF(Metadata!H609="",FALSE,ISNUMBER(VALUE(Metadata!H609))),Metadata!H609&gt;=-413))</f>
        <v>0</v>
      </c>
      <c r="AV609" t="b">
        <f>AND(IF(Metadata!I609="",FALSE,TRUE),EXACT(Metadata!I609,"meters"))</f>
        <v>0</v>
      </c>
      <c r="AW609" t="b">
        <f>AND(IF(Metadata!J609="",FALSE,TRUE),EXACT(Metadata!J609,"free-living"))</f>
        <v>0</v>
      </c>
      <c r="AX609" t="b">
        <f>AND(IF(Metadata!K609="",FALSE,TRUE),OR(EXACT(Metadata!K609,"saline"),EXACT(Metadata!K609,"non-saline")))</f>
        <v>0</v>
      </c>
      <c r="AY609" t="b">
        <f>AND(IF(Metadata!L609="",FALSE,TRUE),OR(EXACT(Metadata!L609,"sub-surface (non-saline)"),EXACT(Metadata!L609,"surface (non-saline)"),EXACT(Metadata!L609,"water (non-saline)"),EXACT(Metadata!L609,"soil (non-saline)"),EXACT(Metadata!L609,"aerosol (non-saline)"),EXACT(Metadata!L609,"sediment (non-saline)"),EXACT(Metadata!L609,"surface (saline)"),EXACT(Metadata!L609,"water (saline)"),EXACT(Metadata!L609,"hypersaline (saline)"),EXACT(Metadata!L609,"aerosol (saline)"),EXACT(Metadata!L609,"sediment (saline)")))</f>
        <v>0</v>
      </c>
      <c r="AZ609" t="b">
        <f>IF(Metadata!M609="",FALSE,TRUE)</f>
        <v>0</v>
      </c>
      <c r="BA609" t="b">
        <f>IF(Metadata!N609="",FALSE,TRUE)</f>
        <v>0</v>
      </c>
      <c r="BB609" t="b">
        <f>IF(Metadata!O609="",FALSE,TRUE)</f>
        <v>0</v>
      </c>
      <c r="BC609" t="b">
        <f>AND(IF(Metadata!P609="",FALSE,TRUE),OR(EXACT(Metadata!P609,"air"),EXACT(Metadata!P609,"microbial mat/biofilm"),EXACT(Metadata!P609,"misc environment"),EXACT(Metadata!P609,"sediment"),EXACT(Metadata!P609,"soil"),EXACT(Metadata!P609,"wastewater/sludge"),EXACT(Metadata!P609,"water")))</f>
        <v>0</v>
      </c>
      <c r="BD609" t="b">
        <f>IF(Metadata!Q609="",FALSE,TRUE)</f>
        <v>0</v>
      </c>
      <c r="BE609" t="b">
        <f>IF(Metadata!R609="",FALSE,TRUE)</f>
        <v>0</v>
      </c>
      <c r="BF609" t="b">
        <f>OR(AND(IF(Metadata!S609="",FALSE,TRUE),OR(EXACT(Metadata!S609,"not collected"),EXACT(Metadata!S609,"not provided"),EXACT(Metadata!S609,"restricted access"))),AND(IF(Metadata!S609="",FALSE,ISNUMBER(VALUE(Metadata!S609))),Metadata!S609&gt;=-90,Metadata!S609&lt;=90))</f>
        <v>0</v>
      </c>
      <c r="BG609" t="b">
        <f>AND(IF(Metadata!T609="",FALSE,TRUE),EXACT(Metadata!T609,"Decimal degrees"))</f>
        <v>0</v>
      </c>
      <c r="BH609" t="b">
        <f>OR(AND(IF(Metadata!U609="",FALSE,TRUE),OR(EXACT(Metadata!U609,"not applicable"),EXACT(Metadata!U609,"not collected"))),IF(Metadata!U609="",FALSE,TRUE))</f>
        <v>0</v>
      </c>
      <c r="BI609" t="b">
        <f>OR(AND(IF(Metadata!V609="",FALSE,TRUE),OR(EXACT(Metadata!V609,"not collected"),EXACT(Metadata!V609,"not provided"),EXACT(Metadata!V609,"restricted access"))),AND(IF(Metadata!V609="",FALSE,ISNUMBER(VALUE(Metadata!V609))),Metadata!V609&gt;=-180,Metadata!V609&lt;=180))</f>
        <v>0</v>
      </c>
      <c r="BJ609" t="b">
        <f>AND(IF(Metadata!W609="",FALSE,TRUE),EXACT(Metadata!W609,"Decimal degrees"))</f>
        <v>0</v>
      </c>
      <c r="BK609" t="b">
        <f>IF(Metadata!X609="",FALSE,TRUE)</f>
        <v>0</v>
      </c>
      <c r="BL609" t="b">
        <f>OR(AND(IF(Metadata!Y609="",FALSE,TRUE),OR(EXACT(Metadata!Y609,"not collected"),EXACT(Metadata!Y609,"not provided"),EXACT(Metadata!Y609,"restricted access"))),AND(IF(Metadata!Y609="",FALSE,TRUE),OR(EXACT(Metadata!Y609,"TRUE"),EXACT(Metadata!Y609,"FALSE"))))</f>
        <v>0</v>
      </c>
      <c r="BM609" t="b">
        <f>OR(AND(IF(Metadata!Z609="",FALSE,TRUE),EXACT(Metadata!Z609,"not applicable")),AND(IF(Metadata!Z609="",FALSE,TRUE),OR(EXACT(Metadata!Z609,"beer"),EXACT(Metadata!Z609,"cheese"),EXACT(Metadata!Z609,"fresh water"),EXACT(Metadata!Z609,"marine sediment"),EXACT(Metadata!Z609,"sea water"),EXACT(Metadata!Z609,"sediment"),EXACT(Metadata!Z609,"soil"),EXACT(Metadata!Z609,"waste water"))))</f>
        <v>0</v>
      </c>
      <c r="BN609" t="b">
        <f>AND(IF(Metadata!AA609="",FALSE,TRUE),EXACT(Metadata!AA609,"metagenome"))</f>
        <v>0</v>
      </c>
      <c r="BO609" t="b">
        <f>AND(IF(Metadata!AB609="",FALSE,TRUE),EXACT(Metadata!AB609,"256318"))</f>
        <v>0</v>
      </c>
      <c r="BP609" t="b">
        <f>IF(Metadata!AC609="",FALSE,TRUE)</f>
        <v>0</v>
      </c>
      <c r="BQ609" t="b">
        <f>IF(Metadata!AD609="",FALSE,TRUE)</f>
        <v>0</v>
      </c>
    </row>
    <row r="610" spans="1:69" x14ac:dyDescent="0.2">
      <c r="A610" s="4" t="e">
        <f ca="1">IF(B610=" "," ",HYPERLINK(CONCATENATE("#metadata!",ADDRESS(INDEX($AJ$2:$AJ$1001,MATCH(ROWS($AH$2:AH610),$AH$2:$AH$1001,0),0),2)),INDEX($AM$2:$AM$1001,MATCH(ROWS($AH$2:AH610),$AH$2:$AH$1001,0),0)))</f>
        <v>#N/A</v>
      </c>
      <c r="B610" s="5" t="e">
        <f ca="1">IF(OR(INDEX($AI$2:$AI$1001,MATCH(ROWS($AH$2:AH610),$AH$2:$AH$1001,0),1)&gt;=100000,INDEX($AO$1005:$BQ$1005,1,MATCH(COLUMNS($AO$1006:AO1006),$AO$1006:$BQ$1006,0))&gt;=100000), " ",IF(INDEX($AO$2:$BQ$1001,MATCH(ROWS($AH$2:AH610),$AH$2:$AH$1001,0),MATCH(COLUMNS($AO$1006:AO1006),$AO$1006:$BQ$1006,0)), HYPERLINK("#",""), HYPERLINK(CONCATENATE("#Metadata!", ADDRESS(INDEX($AJ$2:$AJ$1001,MATCH(ROWS($AH$2:AH610),$AH$2:$AH$1001,0),0), INDEX($AO$1004:$BQ$1004,1,MATCH(COLUMNS($AO$1006:AO1006),$AO$1006:$BQ$1006,0)))),"Fix")))</f>
        <v>#N/A</v>
      </c>
      <c r="C610" s="5" t="e">
        <f ca="1">IF(OR(INDEX($AI$2:$AI$1001,MATCH(ROWS($AH$2:AH610),$AH$2:$AH$1001,0),1)&gt;=100000,INDEX($AO$1005:$BQ$1005,1,MATCH(COLUMNS($AO$1006:AP1006),$AO$1006:$BQ$1006,0))&gt;=100000), " ",IF(INDEX($AO$2:$BQ$1001,MATCH(ROWS($AH$2:AH610),$AH$2:$AH$1001,0),MATCH(COLUMNS($AO$1006:AP1006),$AO$1006:$BQ$1006,0)), HYPERLINK("#",""), HYPERLINK(CONCATENATE("#Metadata!", ADDRESS(INDEX($AJ$2:$AJ$1001,MATCH(ROWS($AH$2:AH610),$AH$2:$AH$1001,0),0), INDEX($AO$1004:$BQ$1004,1,MATCH(COLUMNS($AO$1006:AP1006),$AO$1006:$BQ$1006,0)))),"Fix")))</f>
        <v>#N/A</v>
      </c>
      <c r="D610" s="5" t="e">
        <f ca="1">IF(OR(INDEX($AI$2:$AI$1001,MATCH(ROWS($AH$2:AH610),$AH$2:$AH$1001,0),1)&gt;=100000,INDEX($AO$1005:$BQ$1005,1,MATCH(COLUMNS($AO$1006:AQ1006),$AO$1006:$BQ$1006,0))&gt;=100000), " ",IF(INDEX($AO$2:$BQ$1001,MATCH(ROWS($AH$2:AH610),$AH$2:$AH$1001,0),MATCH(COLUMNS($AO$1006:AQ1006),$AO$1006:$BQ$1006,0)), HYPERLINK("#",""), HYPERLINK(CONCATENATE("#Metadata!", ADDRESS(INDEX($AJ$2:$AJ$1001,MATCH(ROWS($AH$2:AH610),$AH$2:$AH$1001,0),0), INDEX($AO$1004:$BQ$1004,1,MATCH(COLUMNS($AO$1006:AQ1006),$AO$1006:$BQ$1006,0)))),"Fix")))</f>
        <v>#N/A</v>
      </c>
      <c r="E610" s="5" t="e">
        <f ca="1">IF(OR(INDEX($AI$2:$AI$1001,MATCH(ROWS($AH$2:AH610),$AH$2:$AH$1001,0),1)&gt;=100000,INDEX($AO$1005:$BQ$1005,1,MATCH(COLUMNS($AO$1006:AR1006),$AO$1006:$BQ$1006,0))&gt;=100000), " ",IF(INDEX($AO$2:$BQ$1001,MATCH(ROWS($AH$2:AH610),$AH$2:$AH$1001,0),MATCH(COLUMNS($AO$1006:AR1006),$AO$1006:$BQ$1006,0)), HYPERLINK("#",""), HYPERLINK(CONCATENATE("#Metadata!", ADDRESS(INDEX($AJ$2:$AJ$1001,MATCH(ROWS($AH$2:AH610),$AH$2:$AH$1001,0),0), INDEX($AO$1004:$BQ$1004,1,MATCH(COLUMNS($AO$1006:AR1006),$AO$1006:$BQ$1006,0)))),"Fix")))</f>
        <v>#N/A</v>
      </c>
      <c r="F610" s="5" t="e">
        <f ca="1">IF(OR(INDEX($AI$2:$AI$1001,MATCH(ROWS($AH$2:AH610),$AH$2:$AH$1001,0),1)&gt;=100000,INDEX($AO$1005:$BQ$1005,1,MATCH(COLUMNS($AO$1006:AS1006),$AO$1006:$BQ$1006,0))&gt;=100000), " ",IF(INDEX($AO$2:$BQ$1001,MATCH(ROWS($AH$2:AH610),$AH$2:$AH$1001,0),MATCH(COLUMNS($AO$1006:AS1006),$AO$1006:$BQ$1006,0)), HYPERLINK("#",""), HYPERLINK(CONCATENATE("#Metadata!", ADDRESS(INDEX($AJ$2:$AJ$1001,MATCH(ROWS($AH$2:AH610),$AH$2:$AH$1001,0),0), INDEX($AO$1004:$BQ$1004,1,MATCH(COLUMNS($AO$1006:AS1006),$AO$1006:$BQ$1006,0)))),"Fix")))</f>
        <v>#N/A</v>
      </c>
      <c r="G610" s="5" t="e">
        <f ca="1">IF(OR(INDEX($AI$2:$AI$1001,MATCH(ROWS($AH$2:AH610),$AH$2:$AH$1001,0),1)&gt;=100000,INDEX($AO$1005:$BQ$1005,1,MATCH(COLUMNS($AO$1006:AT1006),$AO$1006:$BQ$1006,0))&gt;=100000), " ",IF(INDEX($AO$2:$BQ$1001,MATCH(ROWS($AH$2:AH610),$AH$2:$AH$1001,0),MATCH(COLUMNS($AO$1006:AT1006),$AO$1006:$BQ$1006,0)), HYPERLINK("#",""), HYPERLINK(CONCATENATE("#Metadata!", ADDRESS(INDEX($AJ$2:$AJ$1001,MATCH(ROWS($AH$2:AH610),$AH$2:$AH$1001,0),0), INDEX($AO$1004:$BQ$1004,1,MATCH(COLUMNS($AO$1006:AT1006),$AO$1006:$BQ$1006,0)))),"Fix")))</f>
        <v>#N/A</v>
      </c>
      <c r="H610" s="5" t="e">
        <f ca="1">IF(OR(INDEX($AI$2:$AI$1001,MATCH(ROWS($AH$2:AH610),$AH$2:$AH$1001,0),1)&gt;=100000,INDEX($AO$1005:$BQ$1005,1,MATCH(COLUMNS($AO$1006:AU1006),$AO$1006:$BQ$1006,0))&gt;=100000), " ",IF(INDEX($AO$2:$BQ$1001,MATCH(ROWS($AH$2:AH610),$AH$2:$AH$1001,0),MATCH(COLUMNS($AO$1006:AU1006),$AO$1006:$BQ$1006,0)), HYPERLINK("#",""), HYPERLINK(CONCATENATE("#Metadata!", ADDRESS(INDEX($AJ$2:$AJ$1001,MATCH(ROWS($AH$2:AH610),$AH$2:$AH$1001,0),0), INDEX($AO$1004:$BQ$1004,1,MATCH(COLUMNS($AO$1006:AU1006),$AO$1006:$BQ$1006,0)))),"Fix")))</f>
        <v>#N/A</v>
      </c>
      <c r="I610" s="5" t="e">
        <f ca="1">IF(OR(INDEX($AI$2:$AI$1001,MATCH(ROWS($AH$2:AH610),$AH$2:$AH$1001,0),1)&gt;=100000,INDEX($AO$1005:$BQ$1005,1,MATCH(COLUMNS($AO$1006:AV1006),$AO$1006:$BQ$1006,0))&gt;=100000), " ",IF(INDEX($AO$2:$BQ$1001,MATCH(ROWS($AH$2:AH610),$AH$2:$AH$1001,0),MATCH(COLUMNS($AO$1006:AV1006),$AO$1006:$BQ$1006,0)), HYPERLINK("#",""), HYPERLINK(CONCATENATE("#Metadata!", ADDRESS(INDEX($AJ$2:$AJ$1001,MATCH(ROWS($AH$2:AH610),$AH$2:$AH$1001,0),0), INDEX($AO$1004:$BQ$1004,1,MATCH(COLUMNS($AO$1006:AV1006),$AO$1006:$BQ$1006,0)))),"Fix")))</f>
        <v>#N/A</v>
      </c>
      <c r="J610" s="5" t="e">
        <f ca="1">IF(OR(INDEX($AI$2:$AI$1001,MATCH(ROWS($AH$2:AH610),$AH$2:$AH$1001,0),1)&gt;=100000,INDEX($AO$1005:$BQ$1005,1,MATCH(COLUMNS($AO$1006:AW1006),$AO$1006:$BQ$1006,0))&gt;=100000), " ",IF(INDEX($AO$2:$BQ$1001,MATCH(ROWS($AH$2:AH610),$AH$2:$AH$1001,0),MATCH(COLUMNS($AO$1006:AW1006),$AO$1006:$BQ$1006,0)), HYPERLINK("#",""), HYPERLINK(CONCATENATE("#Metadata!", ADDRESS(INDEX($AJ$2:$AJ$1001,MATCH(ROWS($AH$2:AH610),$AH$2:$AH$1001,0),0), INDEX($AO$1004:$BQ$1004,1,MATCH(COLUMNS($AO$1006:AW1006),$AO$1006:$BQ$1006,0)))),"Fix")))</f>
        <v>#N/A</v>
      </c>
      <c r="K610" s="5" t="e">
        <f ca="1">IF(OR(INDEX($AI$2:$AI$1001,MATCH(ROWS($AH$2:AH610),$AH$2:$AH$1001,0),1)&gt;=100000,INDEX($AO$1005:$BQ$1005,1,MATCH(COLUMNS($AO$1006:AX1006),$AO$1006:$BQ$1006,0))&gt;=100000), " ",IF(INDEX($AO$2:$BQ$1001,MATCH(ROWS($AH$2:AH610),$AH$2:$AH$1001,0),MATCH(COLUMNS($AO$1006:AX1006),$AO$1006:$BQ$1006,0)), HYPERLINK("#",""), HYPERLINK(CONCATENATE("#Metadata!", ADDRESS(INDEX($AJ$2:$AJ$1001,MATCH(ROWS($AH$2:AH610),$AH$2:$AH$1001,0),0), INDEX($AO$1004:$BQ$1004,1,MATCH(COLUMNS($AO$1006:AX1006),$AO$1006:$BQ$1006,0)))),"Fix")))</f>
        <v>#N/A</v>
      </c>
      <c r="L610" s="5" t="e">
        <f ca="1">IF(OR(INDEX($AI$2:$AI$1001,MATCH(ROWS($AH$2:AH610),$AH$2:$AH$1001,0),1)&gt;=100000,INDEX($AO$1005:$BQ$1005,1,MATCH(COLUMNS($AO$1006:AY1006),$AO$1006:$BQ$1006,0))&gt;=100000), " ",IF(INDEX($AO$2:$BQ$1001,MATCH(ROWS($AH$2:AH610),$AH$2:$AH$1001,0),MATCH(COLUMNS($AO$1006:AY1006),$AO$1006:$BQ$1006,0)), HYPERLINK("#",""), HYPERLINK(CONCATENATE("#Metadata!", ADDRESS(INDEX($AJ$2:$AJ$1001,MATCH(ROWS($AH$2:AH610),$AH$2:$AH$1001,0),0), INDEX($AO$1004:$BQ$1004,1,MATCH(COLUMNS($AO$1006:AY1006),$AO$1006:$BQ$1006,0)))),"Fix")))</f>
        <v>#N/A</v>
      </c>
      <c r="M610" s="5" t="e">
        <f ca="1">IF(OR(INDEX($AI$2:$AI$1001,MATCH(ROWS($AH$2:AH610),$AH$2:$AH$1001,0),1)&gt;=100000,INDEX($AO$1005:$BQ$1005,1,MATCH(COLUMNS($AO$1006:AZ1006),$AO$1006:$BQ$1006,0))&gt;=100000), " ",IF(INDEX($AO$2:$BQ$1001,MATCH(ROWS($AH$2:AH610),$AH$2:$AH$1001,0),MATCH(COLUMNS($AO$1006:AZ1006),$AO$1006:$BQ$1006,0)), HYPERLINK("#",""), HYPERLINK(CONCATENATE("#Metadata!", ADDRESS(INDEX($AJ$2:$AJ$1001,MATCH(ROWS($AH$2:AH610),$AH$2:$AH$1001,0),0), INDEX($AO$1004:$BQ$1004,1,MATCH(COLUMNS($AO$1006:AZ1006),$AO$1006:$BQ$1006,0)))),"Fix")))</f>
        <v>#N/A</v>
      </c>
      <c r="N610" s="5" t="e">
        <f ca="1">IF(OR(INDEX($AI$2:$AI$1001,MATCH(ROWS($AH$2:AH610),$AH$2:$AH$1001,0),1)&gt;=100000,INDEX($AO$1005:$BQ$1005,1,MATCH(COLUMNS($AO$1006:BA1006),$AO$1006:$BQ$1006,0))&gt;=100000), " ",IF(INDEX($AO$2:$BQ$1001,MATCH(ROWS($AH$2:AH610),$AH$2:$AH$1001,0),MATCH(COLUMNS($AO$1006:BA1006),$AO$1006:$BQ$1006,0)), HYPERLINK("#",""), HYPERLINK(CONCATENATE("#Metadata!", ADDRESS(INDEX($AJ$2:$AJ$1001,MATCH(ROWS($AH$2:AH610),$AH$2:$AH$1001,0),0), INDEX($AO$1004:$BQ$1004,1,MATCH(COLUMNS($AO$1006:BA1006),$AO$1006:$BQ$1006,0)))),"Fix")))</f>
        <v>#N/A</v>
      </c>
      <c r="O610" s="5" t="e">
        <f ca="1">IF(OR(INDEX($AI$2:$AI$1001,MATCH(ROWS($AH$2:AH610),$AH$2:$AH$1001,0),1)&gt;=100000,INDEX($AO$1005:$BQ$1005,1,MATCH(COLUMNS($AO$1006:BB1006),$AO$1006:$BQ$1006,0))&gt;=100000), " ",IF(INDEX($AO$2:$BQ$1001,MATCH(ROWS($AH$2:AH610),$AH$2:$AH$1001,0),MATCH(COLUMNS($AO$1006:BB1006),$AO$1006:$BQ$1006,0)), HYPERLINK("#",""), HYPERLINK(CONCATENATE("#Metadata!", ADDRESS(INDEX($AJ$2:$AJ$1001,MATCH(ROWS($AH$2:AH610),$AH$2:$AH$1001,0),0), INDEX($AO$1004:$BQ$1004,1,MATCH(COLUMNS($AO$1006:BB1006),$AO$1006:$BQ$1006,0)))),"Fix")))</f>
        <v>#N/A</v>
      </c>
      <c r="P610" s="5" t="e">
        <f ca="1">IF(OR(INDEX($AI$2:$AI$1001,MATCH(ROWS($AH$2:AH610),$AH$2:$AH$1001,0),1)&gt;=100000,INDEX($AO$1005:$BQ$1005,1,MATCH(COLUMNS($AO$1006:BC1006),$AO$1006:$BQ$1006,0))&gt;=100000), " ",IF(INDEX($AO$2:$BQ$1001,MATCH(ROWS($AH$2:AH610),$AH$2:$AH$1001,0),MATCH(COLUMNS($AO$1006:BC1006),$AO$1006:$BQ$1006,0)), HYPERLINK("#",""), HYPERLINK(CONCATENATE("#Metadata!", ADDRESS(INDEX($AJ$2:$AJ$1001,MATCH(ROWS($AH$2:AH610),$AH$2:$AH$1001,0),0), INDEX($AO$1004:$BQ$1004,1,MATCH(COLUMNS($AO$1006:BC1006),$AO$1006:$BQ$1006,0)))),"Fix")))</f>
        <v>#N/A</v>
      </c>
      <c r="Q610" s="5" t="e">
        <f ca="1">IF(OR(INDEX($AI$2:$AI$1001,MATCH(ROWS($AH$2:AH610),$AH$2:$AH$1001,0),1)&gt;=100000,INDEX($AO$1005:$BQ$1005,1,MATCH(COLUMNS($AO$1006:BD1006),$AO$1006:$BQ$1006,0))&gt;=100000), " ",IF(INDEX($AO$2:$BQ$1001,MATCH(ROWS($AH$2:AH610),$AH$2:$AH$1001,0),MATCH(COLUMNS($AO$1006:BD1006),$AO$1006:$BQ$1006,0)), HYPERLINK("#",""), HYPERLINK(CONCATENATE("#Metadata!", ADDRESS(INDEX($AJ$2:$AJ$1001,MATCH(ROWS($AH$2:AH610),$AH$2:$AH$1001,0),0), INDEX($AO$1004:$BQ$1004,1,MATCH(COLUMNS($AO$1006:BD1006),$AO$1006:$BQ$1006,0)))),"Fix")))</f>
        <v>#N/A</v>
      </c>
      <c r="R610" s="5" t="e">
        <f ca="1">IF(OR(INDEX($AI$2:$AI$1001,MATCH(ROWS($AH$2:AH610),$AH$2:$AH$1001,0),1)&gt;=100000,INDEX($AO$1005:$BQ$1005,1,MATCH(COLUMNS($AO$1006:BE1006),$AO$1006:$BQ$1006,0))&gt;=100000), " ",IF(INDEX($AO$2:$BQ$1001,MATCH(ROWS($AH$2:AH610),$AH$2:$AH$1001,0),MATCH(COLUMNS($AO$1006:BE1006),$AO$1006:$BQ$1006,0)), HYPERLINK("#",""), HYPERLINK(CONCATENATE("#Metadata!", ADDRESS(INDEX($AJ$2:$AJ$1001,MATCH(ROWS($AH$2:AH610),$AH$2:$AH$1001,0),0), INDEX($AO$1004:$BQ$1004,1,MATCH(COLUMNS($AO$1006:BE1006),$AO$1006:$BQ$1006,0)))),"Fix")))</f>
        <v>#N/A</v>
      </c>
      <c r="S610" s="5" t="e">
        <f ca="1">IF(OR(INDEX($AI$2:$AI$1001,MATCH(ROWS($AH$2:AH610),$AH$2:$AH$1001,0),1)&gt;=100000,INDEX($AO$1005:$BQ$1005,1,MATCH(COLUMNS($AO$1006:BF1006),$AO$1006:$BQ$1006,0))&gt;=100000), " ",IF(INDEX($AO$2:$BQ$1001,MATCH(ROWS($AH$2:AH610),$AH$2:$AH$1001,0),MATCH(COLUMNS($AO$1006:BF1006),$AO$1006:$BQ$1006,0)), HYPERLINK("#",""), HYPERLINK(CONCATENATE("#Metadata!", ADDRESS(INDEX($AJ$2:$AJ$1001,MATCH(ROWS($AH$2:AH610),$AH$2:$AH$1001,0),0), INDEX($AO$1004:$BQ$1004,1,MATCH(COLUMNS($AO$1006:BF1006),$AO$1006:$BQ$1006,0)))),"Fix")))</f>
        <v>#N/A</v>
      </c>
      <c r="T610" s="5" t="e">
        <f ca="1">IF(OR(INDEX($AI$2:$AI$1001,MATCH(ROWS($AH$2:AH610),$AH$2:$AH$1001,0),1)&gt;=100000,INDEX($AO$1005:$BQ$1005,1,MATCH(COLUMNS($AO$1006:BG1006),$AO$1006:$BQ$1006,0))&gt;=100000), " ",IF(INDEX($AO$2:$BQ$1001,MATCH(ROWS($AH$2:AH610),$AH$2:$AH$1001,0),MATCH(COLUMNS($AO$1006:BG1006),$AO$1006:$BQ$1006,0)), HYPERLINK("#",""), HYPERLINK(CONCATENATE("#Metadata!", ADDRESS(INDEX($AJ$2:$AJ$1001,MATCH(ROWS($AH$2:AH610),$AH$2:$AH$1001,0),0), INDEX($AO$1004:$BQ$1004,1,MATCH(COLUMNS($AO$1006:BG1006),$AO$1006:$BQ$1006,0)))),"Fix")))</f>
        <v>#N/A</v>
      </c>
      <c r="U610" s="5" t="e">
        <f ca="1">IF(OR(INDEX($AI$2:$AI$1001,MATCH(ROWS($AH$2:AH610),$AH$2:$AH$1001,0),1)&gt;=100000,INDEX($AO$1005:$BQ$1005,1,MATCH(COLUMNS($AO$1006:BH1006),$AO$1006:$BQ$1006,0))&gt;=100000), " ",IF(INDEX($AO$2:$BQ$1001,MATCH(ROWS($AH$2:AH610),$AH$2:$AH$1001,0),MATCH(COLUMNS($AO$1006:BH1006),$AO$1006:$BQ$1006,0)), HYPERLINK("#",""), HYPERLINK(CONCATENATE("#Metadata!", ADDRESS(INDEX($AJ$2:$AJ$1001,MATCH(ROWS($AH$2:AH610),$AH$2:$AH$1001,0),0), INDEX($AO$1004:$BQ$1004,1,MATCH(COLUMNS($AO$1006:BH1006),$AO$1006:$BQ$1006,0)))),"Fix")))</f>
        <v>#N/A</v>
      </c>
      <c r="V610" s="5" t="e">
        <f ca="1">IF(OR(INDEX($AI$2:$AI$1001,MATCH(ROWS($AH$2:AH610),$AH$2:$AH$1001,0),1)&gt;=100000,INDEX($AO$1005:$BQ$1005,1,MATCH(COLUMNS($AO$1006:BI1006),$AO$1006:$BQ$1006,0))&gt;=100000), " ",IF(INDEX($AO$2:$BQ$1001,MATCH(ROWS($AH$2:AH610),$AH$2:$AH$1001,0),MATCH(COLUMNS($AO$1006:BI1006),$AO$1006:$BQ$1006,0)), HYPERLINK("#",""), HYPERLINK(CONCATENATE("#Metadata!", ADDRESS(INDEX($AJ$2:$AJ$1001,MATCH(ROWS($AH$2:AH610),$AH$2:$AH$1001,0),0), INDEX($AO$1004:$BQ$1004,1,MATCH(COLUMNS($AO$1006:BI1006),$AO$1006:$BQ$1006,0)))),"Fix")))</f>
        <v>#N/A</v>
      </c>
      <c r="W610" s="5" t="e">
        <f ca="1">IF(OR(INDEX($AI$2:$AI$1001,MATCH(ROWS($AH$2:AH610),$AH$2:$AH$1001,0),1)&gt;=100000,INDEX($AO$1005:$BQ$1005,1,MATCH(COLUMNS($AO$1006:BJ1006),$AO$1006:$BQ$1006,0))&gt;=100000), " ",IF(INDEX($AO$2:$BQ$1001,MATCH(ROWS($AH$2:AH610),$AH$2:$AH$1001,0),MATCH(COLUMNS($AO$1006:BJ1006),$AO$1006:$BQ$1006,0)), HYPERLINK("#",""), HYPERLINK(CONCATENATE("#Metadata!", ADDRESS(INDEX($AJ$2:$AJ$1001,MATCH(ROWS($AH$2:AH610),$AH$2:$AH$1001,0),0), INDEX($AO$1004:$BQ$1004,1,MATCH(COLUMNS($AO$1006:BJ1006),$AO$1006:$BQ$1006,0)))),"Fix")))</f>
        <v>#N/A</v>
      </c>
      <c r="X610" s="5" t="e">
        <f ca="1">IF(OR(INDEX($AI$2:$AI$1001,MATCH(ROWS($AH$2:AH610),$AH$2:$AH$1001,0),1)&gt;=100000,INDEX($AO$1005:$BQ$1005,1,MATCH(COLUMNS($AO$1006:BK1006),$AO$1006:$BQ$1006,0))&gt;=100000), " ",IF(INDEX($AO$2:$BQ$1001,MATCH(ROWS($AH$2:AH610),$AH$2:$AH$1001,0),MATCH(COLUMNS($AO$1006:BK1006),$AO$1006:$BQ$1006,0)), HYPERLINK("#",""), HYPERLINK(CONCATENATE("#Metadata!", ADDRESS(INDEX($AJ$2:$AJ$1001,MATCH(ROWS($AH$2:AH610),$AH$2:$AH$1001,0),0), INDEX($AO$1004:$BQ$1004,1,MATCH(COLUMNS($AO$1006:BK1006),$AO$1006:$BQ$1006,0)))),"Fix")))</f>
        <v>#N/A</v>
      </c>
      <c r="Y610" s="5" t="e">
        <f ca="1">IF(OR(INDEX($AI$2:$AI$1001,MATCH(ROWS($AH$2:AH610),$AH$2:$AH$1001,0),1)&gt;=100000,INDEX($AO$1005:$BQ$1005,1,MATCH(COLUMNS($AO$1006:BL1006),$AO$1006:$BQ$1006,0))&gt;=100000), " ",IF(INDEX($AO$2:$BQ$1001,MATCH(ROWS($AH$2:AH610),$AH$2:$AH$1001,0),MATCH(COLUMNS($AO$1006:BL1006),$AO$1006:$BQ$1006,0)), HYPERLINK("#",""), HYPERLINK(CONCATENATE("#Metadata!", ADDRESS(INDEX($AJ$2:$AJ$1001,MATCH(ROWS($AH$2:AH610),$AH$2:$AH$1001,0),0), INDEX($AO$1004:$BQ$1004,1,MATCH(COLUMNS($AO$1006:BL1006),$AO$1006:$BQ$1006,0)))),"Fix")))</f>
        <v>#N/A</v>
      </c>
      <c r="Z610" s="5" t="e">
        <f ca="1">IF(OR(INDEX($AI$2:$AI$1001,MATCH(ROWS($AH$2:AH610),$AH$2:$AH$1001,0),1)&gt;=100000,INDEX($AO$1005:$BQ$1005,1,MATCH(COLUMNS($AO$1006:BM1006),$AO$1006:$BQ$1006,0))&gt;=100000), " ",IF(INDEX($AO$2:$BQ$1001,MATCH(ROWS($AH$2:AH610),$AH$2:$AH$1001,0),MATCH(COLUMNS($AO$1006:BM1006),$AO$1006:$BQ$1006,0)), HYPERLINK("#",""), HYPERLINK(CONCATENATE("#Metadata!", ADDRESS(INDEX($AJ$2:$AJ$1001,MATCH(ROWS($AH$2:AH610),$AH$2:$AH$1001,0),0), INDEX($AO$1004:$BQ$1004,1,MATCH(COLUMNS($AO$1006:BM1006),$AO$1006:$BQ$1006,0)))),"Fix")))</f>
        <v>#N/A</v>
      </c>
      <c r="AA610" s="5" t="e">
        <f ca="1">IF(OR(INDEX($AI$2:$AI$1001,MATCH(ROWS($AH$2:AH610),$AH$2:$AH$1001,0),1)&gt;=100000,INDEX($AO$1005:$BQ$1005,1,MATCH(COLUMNS($AO$1006:BN1006),$AO$1006:$BQ$1006,0))&gt;=100000), " ",IF(INDEX($AO$2:$BQ$1001,MATCH(ROWS($AH$2:AH610),$AH$2:$AH$1001,0),MATCH(COLUMNS($AO$1006:BN1006),$AO$1006:$BQ$1006,0)), HYPERLINK("#",""), HYPERLINK(CONCATENATE("#Metadata!", ADDRESS(INDEX($AJ$2:$AJ$1001,MATCH(ROWS($AH$2:AH610),$AH$2:$AH$1001,0),0), INDEX($AO$1004:$BQ$1004,1,MATCH(COLUMNS($AO$1006:BN1006),$AO$1006:$BQ$1006,0)))),"Fix")))</f>
        <v>#N/A</v>
      </c>
      <c r="AB610" s="5" t="e">
        <f ca="1">IF(OR(INDEX($AI$2:$AI$1001,MATCH(ROWS($AH$2:AH610),$AH$2:$AH$1001,0),1)&gt;=100000,INDEX($AO$1005:$BQ$1005,1,MATCH(COLUMNS($AO$1006:BO1006),$AO$1006:$BQ$1006,0))&gt;=100000), " ",IF(INDEX($AO$2:$BQ$1001,MATCH(ROWS($AH$2:AH610),$AH$2:$AH$1001,0),MATCH(COLUMNS($AO$1006:BO1006),$AO$1006:$BQ$1006,0)), HYPERLINK("#",""), HYPERLINK(CONCATENATE("#Metadata!", ADDRESS(INDEX($AJ$2:$AJ$1001,MATCH(ROWS($AH$2:AH610),$AH$2:$AH$1001,0),0), INDEX($AO$1004:$BQ$1004,1,MATCH(COLUMNS($AO$1006:BO1006),$AO$1006:$BQ$1006,0)))),"Fix")))</f>
        <v>#N/A</v>
      </c>
      <c r="AC610" s="5" t="e">
        <f ca="1">IF(OR(INDEX($AI$2:$AI$1001,MATCH(ROWS($AH$2:AH610),$AH$2:$AH$1001,0),1)&gt;=100000,INDEX($AO$1005:$BQ$1005,1,MATCH(COLUMNS($AO$1006:BP1006),$AO$1006:$BQ$1006,0))&gt;=100000), " ",IF(INDEX($AO$2:$BQ$1001,MATCH(ROWS($AH$2:AH610),$AH$2:$AH$1001,0),MATCH(COLUMNS($AO$1006:BP1006),$AO$1006:$BQ$1006,0)), HYPERLINK("#",""), HYPERLINK(CONCATENATE("#Metadata!", ADDRESS(INDEX($AJ$2:$AJ$1001,MATCH(ROWS($AH$2:AH610),$AH$2:$AH$1001,0),0), INDEX($AO$1004:$BQ$1004,1,MATCH(COLUMNS($AO$1006:BP1006),$AO$1006:$BQ$1006,0)))),"Fix")))</f>
        <v>#N/A</v>
      </c>
      <c r="AD610" s="5" t="e">
        <f ca="1">IF(OR(INDEX($AI$2:$AI$1001,MATCH(ROWS($AH$2:AH610),$AH$2:$AH$1001,0),1)&gt;=100000,INDEX($AO$1005:$BQ$1005,1,MATCH(COLUMNS($AO$1006:BQ1006),$AO$1006:$BQ$1006,0))&gt;=100000), " ",IF(INDEX($AO$2:$BQ$1001,MATCH(ROWS($AH$2:AH610),$AH$2:$AH$1001,0),MATCH(COLUMNS($AO$1006:BQ1006),$AO$1006:$BQ$1006,0)), HYPERLINK("#",""), HYPERLINK(CONCATENATE("#Metadata!", ADDRESS(INDEX($AJ$2:$AJ$1001,MATCH(ROWS($AH$2:AH610),$AH$2:$AH$1001,0),0), INDEX($AO$1004:$BQ$1004,1,MATCH(COLUMNS($AO$1006:BQ1006),$AO$1006:$BQ$1006,0)))),"Fix")))</f>
        <v>#REF!</v>
      </c>
      <c r="AH610">
        <f ca="1"/>
        <v>607</v>
      </c>
      <c r="AI610">
        <v>100610</v>
      </c>
      <c r="AJ610">
        <v>610</v>
      </c>
      <c r="AK610" t="b">
        <f t="shared" si="9"/>
        <v>1</v>
      </c>
      <c r="AL610" t="b">
        <f>COUNTBLANK(Metadata!B610:AD610)=COLUMNS(Metadata!B610:AD610)</f>
        <v>1</v>
      </c>
      <c r="AM610" t="str">
        <v/>
      </c>
      <c r="AO610" t="b">
        <f ca="1">AND(IF(Metadata!B610="",FALSE,TRUE),COUNTIF(Metadata!B:B, Metadata!B610) = 1,NOT(ISERROR(SUMPRODUCT(SEARCH(MID(Metadata!B610,ROW(INDIRECT("1:"&amp;LEN(Metadata!B610))), 1),"0123456789abcdefghijklmnopqrstuvwxyzABCDEFGHIJKLMNOPQRSTUVWXYZ.")))))</f>
        <v>0</v>
      </c>
      <c r="AP610" t="b">
        <f>IF(Metadata!C610="",FALSE,TRUE)</f>
        <v>0</v>
      </c>
      <c r="AQ610" t="b">
        <f>IF(Metadata!D610="",FALSE,TRUE)</f>
        <v>0</v>
      </c>
      <c r="AR610" t="b">
        <f ca="1">OR(AND(IF(Metadata!E610="",FALSE,TRUE),OR(EXACT(Metadata!E610,"not collected"),EXACT(Metadata!E610,"not provided"),EXACT(Metadata!E610,"restricted access"))),AND(IF(Metadata!E610="",FALSE,TRUE),AND(AND(IFERROR(INT(LEFT(Metadata!E610,4))&gt;1900,FALSE),IFERROR(INT(LEFT(Metadata!E610,4))&lt;=YEAR(NOW()),FALSE)), OR(MID(Metadata!E610,5,1)="", AND(AND(MID(Metadata!E610,5,1)="-",IFERROR(INT(MID(Metadata!E610,6,1))&gt;=0,FALSE),IFERROR(INT(MID(Metadata!E610,6,1))&lt;=1,FALSE),NOT(MID(Metadata!E610,7,1)=""),IFERROR(INT(MID(Metadata!E610,6,2))&gt;=1,FALSE),IFERROR(INT(MID(Metadata!E610,6,2))&lt;=12,FALSE)), OR(MID(Metadata!E610,8,1)="", AND(AND(MID(Metadata!E610,8,1)="-",IFERROR(INT(MID(Metadata!E610,9,1))&gt;=0,FALSE),IFERROR(INT(MID(Metadata!E610,9,1))&lt;=3,FALSE),NOT(MID(Metadata!E610,10,1)=""),IFERROR(INT(MID(Metadata!E610,9,2))&gt;=1,FALSE),IFERROR(INT(MID(Metadata!E610,9,2))&lt;=31,FALSE)), OR(MID(Metadata!E610,11,1)="", AND(AND(MID(Metadata!E610,11,1)=" ",IFERROR(INT(MID(Metadata!E610,12,1))&gt;=0,FALSE),IFERROR(INT(MID(Metadata!E610,12,1))&lt;=2,FALSE),NOT(MID(Metadata!E610,13,1)=""),IFERROR(INT(MID(Metadata!E610,12,2))&gt;=0,FALSE),IFERROR(INT(MID(Metadata!E610,12,2))&lt;=23,FALSE)), OR(MID(Metadata!E610,14,1)="", AND(AND(MID(Metadata!E610,14,1)=":",IFERROR(INT(MID(Metadata!E610,15,1))&gt;=0,FALSE),IFERROR(INT(MID(Metadata!E610,15,1))&lt;=5,FALSE),NOT(MID(Metadata!E610,16,1)=""),IFERROR(INT(MID(Metadata!E610,15,2))&gt;=0,FALSE),IFERROR(INT(MID(Metadata!E610,15,2))&lt;=59,FALSE)), OR(MID(Metadata!E610,17,1)="", AND(AND(MID(Metadata!E610,17,1)=":",IFERROR(INT(MID(Metadata!E610,18,1))&gt;=0,FALSE),IFERROR(INT(MID(Metadata!E610,18,1))&lt;=5,FALSE),NOT(MID(Metadata!E610,19,1)=""),IFERROR(INT(MID(Metadata!E610,18,2))&gt;=0,FALSE),IFERROR(INT(MID(Metadata!E610,18,2))&lt;=59,FALSE)), LEN(Metadata!E610)&lt;=19)))))))))))))</f>
        <v>0</v>
      </c>
      <c r="AS610" t="b">
        <f>IF(Metadata!F610="",FALSE,TRUE)</f>
        <v>0</v>
      </c>
      <c r="AT610" t="b">
        <f>OR(AND(IF(Metadata!G610="",FALSE,TRUE),OR(EXACT(Metadata!G610,"not collected"),EXACT(Metadata!G610,"not provided"))),AND(IF(Metadata!G610="",FALSE,TRUE),OR(EXACT(Metadata!G610,"TRUE"),EXACT(Metadata!G610,"FALSE"))))</f>
        <v>0</v>
      </c>
      <c r="AU610" t="b">
        <f>OR(AND(IF(Metadata!H610="",FALSE,TRUE),OR(EXACT(Metadata!H610,"not collected"),EXACT(Metadata!H610,"not provided"),EXACT(Metadata!H610,"restricted access"))),AND(IF(Metadata!H610="",FALSE,ISNUMBER(VALUE(Metadata!H610))),Metadata!H610&gt;=-413))</f>
        <v>0</v>
      </c>
      <c r="AV610" t="b">
        <f>AND(IF(Metadata!I610="",FALSE,TRUE),EXACT(Metadata!I610,"meters"))</f>
        <v>0</v>
      </c>
      <c r="AW610" t="b">
        <f>AND(IF(Metadata!J610="",FALSE,TRUE),EXACT(Metadata!J610,"free-living"))</f>
        <v>0</v>
      </c>
      <c r="AX610" t="b">
        <f>AND(IF(Metadata!K610="",FALSE,TRUE),OR(EXACT(Metadata!K610,"saline"),EXACT(Metadata!K610,"non-saline")))</f>
        <v>0</v>
      </c>
      <c r="AY610" t="b">
        <f>AND(IF(Metadata!L610="",FALSE,TRUE),OR(EXACT(Metadata!L610,"sub-surface (non-saline)"),EXACT(Metadata!L610,"surface (non-saline)"),EXACT(Metadata!L610,"water (non-saline)"),EXACT(Metadata!L610,"soil (non-saline)"),EXACT(Metadata!L610,"aerosol (non-saline)"),EXACT(Metadata!L610,"sediment (non-saline)"),EXACT(Metadata!L610,"surface (saline)"),EXACT(Metadata!L610,"water (saline)"),EXACT(Metadata!L610,"hypersaline (saline)"),EXACT(Metadata!L610,"aerosol (saline)"),EXACT(Metadata!L610,"sediment (saline)")))</f>
        <v>0</v>
      </c>
      <c r="AZ610" t="b">
        <f>IF(Metadata!M610="",FALSE,TRUE)</f>
        <v>0</v>
      </c>
      <c r="BA610" t="b">
        <f>IF(Metadata!N610="",FALSE,TRUE)</f>
        <v>0</v>
      </c>
      <c r="BB610" t="b">
        <f>IF(Metadata!O610="",FALSE,TRUE)</f>
        <v>0</v>
      </c>
      <c r="BC610" t="b">
        <f>AND(IF(Metadata!P610="",FALSE,TRUE),OR(EXACT(Metadata!P610,"air"),EXACT(Metadata!P610,"microbial mat/biofilm"),EXACT(Metadata!P610,"misc environment"),EXACT(Metadata!P610,"sediment"),EXACT(Metadata!P610,"soil"),EXACT(Metadata!P610,"wastewater/sludge"),EXACT(Metadata!P610,"water")))</f>
        <v>0</v>
      </c>
      <c r="BD610" t="b">
        <f>IF(Metadata!Q610="",FALSE,TRUE)</f>
        <v>0</v>
      </c>
      <c r="BE610" t="b">
        <f>IF(Metadata!R610="",FALSE,TRUE)</f>
        <v>0</v>
      </c>
      <c r="BF610" t="b">
        <f>OR(AND(IF(Metadata!S610="",FALSE,TRUE),OR(EXACT(Metadata!S610,"not collected"),EXACT(Metadata!S610,"not provided"),EXACT(Metadata!S610,"restricted access"))),AND(IF(Metadata!S610="",FALSE,ISNUMBER(VALUE(Metadata!S610))),Metadata!S610&gt;=-90,Metadata!S610&lt;=90))</f>
        <v>0</v>
      </c>
      <c r="BG610" t="b">
        <f>AND(IF(Metadata!T610="",FALSE,TRUE),EXACT(Metadata!T610,"Decimal degrees"))</f>
        <v>0</v>
      </c>
      <c r="BH610" t="b">
        <f>OR(AND(IF(Metadata!U610="",FALSE,TRUE),OR(EXACT(Metadata!U610,"not applicable"),EXACT(Metadata!U610,"not collected"))),IF(Metadata!U610="",FALSE,TRUE))</f>
        <v>0</v>
      </c>
      <c r="BI610" t="b">
        <f>OR(AND(IF(Metadata!V610="",FALSE,TRUE),OR(EXACT(Metadata!V610,"not collected"),EXACT(Metadata!V610,"not provided"),EXACT(Metadata!V610,"restricted access"))),AND(IF(Metadata!V610="",FALSE,ISNUMBER(VALUE(Metadata!V610))),Metadata!V610&gt;=-180,Metadata!V610&lt;=180))</f>
        <v>0</v>
      </c>
      <c r="BJ610" t="b">
        <f>AND(IF(Metadata!W610="",FALSE,TRUE),EXACT(Metadata!W610,"Decimal degrees"))</f>
        <v>0</v>
      </c>
      <c r="BK610" t="b">
        <f>IF(Metadata!X610="",FALSE,TRUE)</f>
        <v>0</v>
      </c>
      <c r="BL610" t="b">
        <f>OR(AND(IF(Metadata!Y610="",FALSE,TRUE),OR(EXACT(Metadata!Y610,"not collected"),EXACT(Metadata!Y610,"not provided"),EXACT(Metadata!Y610,"restricted access"))),AND(IF(Metadata!Y610="",FALSE,TRUE),OR(EXACT(Metadata!Y610,"TRUE"),EXACT(Metadata!Y610,"FALSE"))))</f>
        <v>0</v>
      </c>
      <c r="BM610" t="b">
        <f>OR(AND(IF(Metadata!Z610="",FALSE,TRUE),EXACT(Metadata!Z610,"not applicable")),AND(IF(Metadata!Z610="",FALSE,TRUE),OR(EXACT(Metadata!Z610,"beer"),EXACT(Metadata!Z610,"cheese"),EXACT(Metadata!Z610,"fresh water"),EXACT(Metadata!Z610,"marine sediment"),EXACT(Metadata!Z610,"sea water"),EXACT(Metadata!Z610,"sediment"),EXACT(Metadata!Z610,"soil"),EXACT(Metadata!Z610,"waste water"))))</f>
        <v>0</v>
      </c>
      <c r="BN610" t="b">
        <f>AND(IF(Metadata!AA610="",FALSE,TRUE),EXACT(Metadata!AA610,"metagenome"))</f>
        <v>0</v>
      </c>
      <c r="BO610" t="b">
        <f>AND(IF(Metadata!AB610="",FALSE,TRUE),EXACT(Metadata!AB610,"256318"))</f>
        <v>0</v>
      </c>
      <c r="BP610" t="b">
        <f>IF(Metadata!AC610="",FALSE,TRUE)</f>
        <v>0</v>
      </c>
      <c r="BQ610" t="b">
        <f>IF(Metadata!AD610="",FALSE,TRUE)</f>
        <v>0</v>
      </c>
    </row>
    <row r="611" spans="1:69" x14ac:dyDescent="0.2">
      <c r="A611" s="4" t="e">
        <f ca="1">IF(B611=" "," ",HYPERLINK(CONCATENATE("#metadata!",ADDRESS(INDEX($AJ$2:$AJ$1001,MATCH(ROWS($AH$2:AH611),$AH$2:$AH$1001,0),0),2)),INDEX($AM$2:$AM$1001,MATCH(ROWS($AH$2:AH611),$AH$2:$AH$1001,0),0)))</f>
        <v>#N/A</v>
      </c>
      <c r="B611" s="5" t="e">
        <f ca="1">IF(OR(INDEX($AI$2:$AI$1001,MATCH(ROWS($AH$2:AH611),$AH$2:$AH$1001,0),1)&gt;=100000,INDEX($AO$1005:$BQ$1005,1,MATCH(COLUMNS($AO$1006:AO1006),$AO$1006:$BQ$1006,0))&gt;=100000), " ",IF(INDEX($AO$2:$BQ$1001,MATCH(ROWS($AH$2:AH611),$AH$2:$AH$1001,0),MATCH(COLUMNS($AO$1006:AO1006),$AO$1006:$BQ$1006,0)), HYPERLINK("#",""), HYPERLINK(CONCATENATE("#Metadata!", ADDRESS(INDEX($AJ$2:$AJ$1001,MATCH(ROWS($AH$2:AH611),$AH$2:$AH$1001,0),0), INDEX($AO$1004:$BQ$1004,1,MATCH(COLUMNS($AO$1006:AO1006),$AO$1006:$BQ$1006,0)))),"Fix")))</f>
        <v>#N/A</v>
      </c>
      <c r="C611" s="5" t="e">
        <f ca="1">IF(OR(INDEX($AI$2:$AI$1001,MATCH(ROWS($AH$2:AH611),$AH$2:$AH$1001,0),1)&gt;=100000,INDEX($AO$1005:$BQ$1005,1,MATCH(COLUMNS($AO$1006:AP1006),$AO$1006:$BQ$1006,0))&gt;=100000), " ",IF(INDEX($AO$2:$BQ$1001,MATCH(ROWS($AH$2:AH611),$AH$2:$AH$1001,0),MATCH(COLUMNS($AO$1006:AP1006),$AO$1006:$BQ$1006,0)), HYPERLINK("#",""), HYPERLINK(CONCATENATE("#Metadata!", ADDRESS(INDEX($AJ$2:$AJ$1001,MATCH(ROWS($AH$2:AH611),$AH$2:$AH$1001,0),0), INDEX($AO$1004:$BQ$1004,1,MATCH(COLUMNS($AO$1006:AP1006),$AO$1006:$BQ$1006,0)))),"Fix")))</f>
        <v>#N/A</v>
      </c>
      <c r="D611" s="5" t="e">
        <f ca="1">IF(OR(INDEX($AI$2:$AI$1001,MATCH(ROWS($AH$2:AH611),$AH$2:$AH$1001,0),1)&gt;=100000,INDEX($AO$1005:$BQ$1005,1,MATCH(COLUMNS($AO$1006:AQ1006),$AO$1006:$BQ$1006,0))&gt;=100000), " ",IF(INDEX($AO$2:$BQ$1001,MATCH(ROWS($AH$2:AH611),$AH$2:$AH$1001,0),MATCH(COLUMNS($AO$1006:AQ1006),$AO$1006:$BQ$1006,0)), HYPERLINK("#",""), HYPERLINK(CONCATENATE("#Metadata!", ADDRESS(INDEX($AJ$2:$AJ$1001,MATCH(ROWS($AH$2:AH611),$AH$2:$AH$1001,0),0), INDEX($AO$1004:$BQ$1004,1,MATCH(COLUMNS($AO$1006:AQ1006),$AO$1006:$BQ$1006,0)))),"Fix")))</f>
        <v>#N/A</v>
      </c>
      <c r="E611" s="5" t="e">
        <f ca="1">IF(OR(INDEX($AI$2:$AI$1001,MATCH(ROWS($AH$2:AH611),$AH$2:$AH$1001,0),1)&gt;=100000,INDEX($AO$1005:$BQ$1005,1,MATCH(COLUMNS($AO$1006:AR1006),$AO$1006:$BQ$1006,0))&gt;=100000), " ",IF(INDEX($AO$2:$BQ$1001,MATCH(ROWS($AH$2:AH611),$AH$2:$AH$1001,0),MATCH(COLUMNS($AO$1006:AR1006),$AO$1006:$BQ$1006,0)), HYPERLINK("#",""), HYPERLINK(CONCATENATE("#Metadata!", ADDRESS(INDEX($AJ$2:$AJ$1001,MATCH(ROWS($AH$2:AH611),$AH$2:$AH$1001,0),0), INDEX($AO$1004:$BQ$1004,1,MATCH(COLUMNS($AO$1006:AR1006),$AO$1006:$BQ$1006,0)))),"Fix")))</f>
        <v>#N/A</v>
      </c>
      <c r="F611" s="5" t="e">
        <f ca="1">IF(OR(INDEX($AI$2:$AI$1001,MATCH(ROWS($AH$2:AH611),$AH$2:$AH$1001,0),1)&gt;=100000,INDEX($AO$1005:$BQ$1005,1,MATCH(COLUMNS($AO$1006:AS1006),$AO$1006:$BQ$1006,0))&gt;=100000), " ",IF(INDEX($AO$2:$BQ$1001,MATCH(ROWS($AH$2:AH611),$AH$2:$AH$1001,0),MATCH(COLUMNS($AO$1006:AS1006),$AO$1006:$BQ$1006,0)), HYPERLINK("#",""), HYPERLINK(CONCATENATE("#Metadata!", ADDRESS(INDEX($AJ$2:$AJ$1001,MATCH(ROWS($AH$2:AH611),$AH$2:$AH$1001,0),0), INDEX($AO$1004:$BQ$1004,1,MATCH(COLUMNS($AO$1006:AS1006),$AO$1006:$BQ$1006,0)))),"Fix")))</f>
        <v>#N/A</v>
      </c>
      <c r="G611" s="5" t="e">
        <f ca="1">IF(OR(INDEX($AI$2:$AI$1001,MATCH(ROWS($AH$2:AH611),$AH$2:$AH$1001,0),1)&gt;=100000,INDEX($AO$1005:$BQ$1005,1,MATCH(COLUMNS($AO$1006:AT1006),$AO$1006:$BQ$1006,0))&gt;=100000), " ",IF(INDEX($AO$2:$BQ$1001,MATCH(ROWS($AH$2:AH611),$AH$2:$AH$1001,0),MATCH(COLUMNS($AO$1006:AT1006),$AO$1006:$BQ$1006,0)), HYPERLINK("#",""), HYPERLINK(CONCATENATE("#Metadata!", ADDRESS(INDEX($AJ$2:$AJ$1001,MATCH(ROWS($AH$2:AH611),$AH$2:$AH$1001,0),0), INDEX($AO$1004:$BQ$1004,1,MATCH(COLUMNS($AO$1006:AT1006),$AO$1006:$BQ$1006,0)))),"Fix")))</f>
        <v>#N/A</v>
      </c>
      <c r="H611" s="5" t="e">
        <f ca="1">IF(OR(INDEX($AI$2:$AI$1001,MATCH(ROWS($AH$2:AH611),$AH$2:$AH$1001,0),1)&gt;=100000,INDEX($AO$1005:$BQ$1005,1,MATCH(COLUMNS($AO$1006:AU1006),$AO$1006:$BQ$1006,0))&gt;=100000), " ",IF(INDEX($AO$2:$BQ$1001,MATCH(ROWS($AH$2:AH611),$AH$2:$AH$1001,0),MATCH(COLUMNS($AO$1006:AU1006),$AO$1006:$BQ$1006,0)), HYPERLINK("#",""), HYPERLINK(CONCATENATE("#Metadata!", ADDRESS(INDEX($AJ$2:$AJ$1001,MATCH(ROWS($AH$2:AH611),$AH$2:$AH$1001,0),0), INDEX($AO$1004:$BQ$1004,1,MATCH(COLUMNS($AO$1006:AU1006),$AO$1006:$BQ$1006,0)))),"Fix")))</f>
        <v>#N/A</v>
      </c>
      <c r="I611" s="5" t="e">
        <f ca="1">IF(OR(INDEX($AI$2:$AI$1001,MATCH(ROWS($AH$2:AH611),$AH$2:$AH$1001,0),1)&gt;=100000,INDEX($AO$1005:$BQ$1005,1,MATCH(COLUMNS($AO$1006:AV1006),$AO$1006:$BQ$1006,0))&gt;=100000), " ",IF(INDEX($AO$2:$BQ$1001,MATCH(ROWS($AH$2:AH611),$AH$2:$AH$1001,0),MATCH(COLUMNS($AO$1006:AV1006),$AO$1006:$BQ$1006,0)), HYPERLINK("#",""), HYPERLINK(CONCATENATE("#Metadata!", ADDRESS(INDEX($AJ$2:$AJ$1001,MATCH(ROWS($AH$2:AH611),$AH$2:$AH$1001,0),0), INDEX($AO$1004:$BQ$1004,1,MATCH(COLUMNS($AO$1006:AV1006),$AO$1006:$BQ$1006,0)))),"Fix")))</f>
        <v>#N/A</v>
      </c>
      <c r="J611" s="5" t="e">
        <f ca="1">IF(OR(INDEX($AI$2:$AI$1001,MATCH(ROWS($AH$2:AH611),$AH$2:$AH$1001,0),1)&gt;=100000,INDEX($AO$1005:$BQ$1005,1,MATCH(COLUMNS($AO$1006:AW1006),$AO$1006:$BQ$1006,0))&gt;=100000), " ",IF(INDEX($AO$2:$BQ$1001,MATCH(ROWS($AH$2:AH611),$AH$2:$AH$1001,0),MATCH(COLUMNS($AO$1006:AW1006),$AO$1006:$BQ$1006,0)), HYPERLINK("#",""), HYPERLINK(CONCATENATE("#Metadata!", ADDRESS(INDEX($AJ$2:$AJ$1001,MATCH(ROWS($AH$2:AH611),$AH$2:$AH$1001,0),0), INDEX($AO$1004:$BQ$1004,1,MATCH(COLUMNS($AO$1006:AW1006),$AO$1006:$BQ$1006,0)))),"Fix")))</f>
        <v>#N/A</v>
      </c>
      <c r="K611" s="5" t="e">
        <f ca="1">IF(OR(INDEX($AI$2:$AI$1001,MATCH(ROWS($AH$2:AH611),$AH$2:$AH$1001,0),1)&gt;=100000,INDEX($AO$1005:$BQ$1005,1,MATCH(COLUMNS($AO$1006:AX1006),$AO$1006:$BQ$1006,0))&gt;=100000), " ",IF(INDEX($AO$2:$BQ$1001,MATCH(ROWS($AH$2:AH611),$AH$2:$AH$1001,0),MATCH(COLUMNS($AO$1006:AX1006),$AO$1006:$BQ$1006,0)), HYPERLINK("#",""), HYPERLINK(CONCATENATE("#Metadata!", ADDRESS(INDEX($AJ$2:$AJ$1001,MATCH(ROWS($AH$2:AH611),$AH$2:$AH$1001,0),0), INDEX($AO$1004:$BQ$1004,1,MATCH(COLUMNS($AO$1006:AX1006),$AO$1006:$BQ$1006,0)))),"Fix")))</f>
        <v>#N/A</v>
      </c>
      <c r="L611" s="5" t="e">
        <f ca="1">IF(OR(INDEX($AI$2:$AI$1001,MATCH(ROWS($AH$2:AH611),$AH$2:$AH$1001,0),1)&gt;=100000,INDEX($AO$1005:$BQ$1005,1,MATCH(COLUMNS($AO$1006:AY1006),$AO$1006:$BQ$1006,0))&gt;=100000), " ",IF(INDEX($AO$2:$BQ$1001,MATCH(ROWS($AH$2:AH611),$AH$2:$AH$1001,0),MATCH(COLUMNS($AO$1006:AY1006),$AO$1006:$BQ$1006,0)), HYPERLINK("#",""), HYPERLINK(CONCATENATE("#Metadata!", ADDRESS(INDEX($AJ$2:$AJ$1001,MATCH(ROWS($AH$2:AH611),$AH$2:$AH$1001,0),0), INDEX($AO$1004:$BQ$1004,1,MATCH(COLUMNS($AO$1006:AY1006),$AO$1006:$BQ$1006,0)))),"Fix")))</f>
        <v>#N/A</v>
      </c>
      <c r="M611" s="5" t="e">
        <f ca="1">IF(OR(INDEX($AI$2:$AI$1001,MATCH(ROWS($AH$2:AH611),$AH$2:$AH$1001,0),1)&gt;=100000,INDEX($AO$1005:$BQ$1005,1,MATCH(COLUMNS($AO$1006:AZ1006),$AO$1006:$BQ$1006,0))&gt;=100000), " ",IF(INDEX($AO$2:$BQ$1001,MATCH(ROWS($AH$2:AH611),$AH$2:$AH$1001,0),MATCH(COLUMNS($AO$1006:AZ1006),$AO$1006:$BQ$1006,0)), HYPERLINK("#",""), HYPERLINK(CONCATENATE("#Metadata!", ADDRESS(INDEX($AJ$2:$AJ$1001,MATCH(ROWS($AH$2:AH611),$AH$2:$AH$1001,0),0), INDEX($AO$1004:$BQ$1004,1,MATCH(COLUMNS($AO$1006:AZ1006),$AO$1006:$BQ$1006,0)))),"Fix")))</f>
        <v>#N/A</v>
      </c>
      <c r="N611" s="5" t="e">
        <f ca="1">IF(OR(INDEX($AI$2:$AI$1001,MATCH(ROWS($AH$2:AH611),$AH$2:$AH$1001,0),1)&gt;=100000,INDEX($AO$1005:$BQ$1005,1,MATCH(COLUMNS($AO$1006:BA1006),$AO$1006:$BQ$1006,0))&gt;=100000), " ",IF(INDEX($AO$2:$BQ$1001,MATCH(ROWS($AH$2:AH611),$AH$2:$AH$1001,0),MATCH(COLUMNS($AO$1006:BA1006),$AO$1006:$BQ$1006,0)), HYPERLINK("#",""), HYPERLINK(CONCATENATE("#Metadata!", ADDRESS(INDEX($AJ$2:$AJ$1001,MATCH(ROWS($AH$2:AH611),$AH$2:$AH$1001,0),0), INDEX($AO$1004:$BQ$1004,1,MATCH(COLUMNS($AO$1006:BA1006),$AO$1006:$BQ$1006,0)))),"Fix")))</f>
        <v>#N/A</v>
      </c>
      <c r="O611" s="5" t="e">
        <f ca="1">IF(OR(INDEX($AI$2:$AI$1001,MATCH(ROWS($AH$2:AH611),$AH$2:$AH$1001,0),1)&gt;=100000,INDEX($AO$1005:$BQ$1005,1,MATCH(COLUMNS($AO$1006:BB1006),$AO$1006:$BQ$1006,0))&gt;=100000), " ",IF(INDEX($AO$2:$BQ$1001,MATCH(ROWS($AH$2:AH611),$AH$2:$AH$1001,0),MATCH(COLUMNS($AO$1006:BB1006),$AO$1006:$BQ$1006,0)), HYPERLINK("#",""), HYPERLINK(CONCATENATE("#Metadata!", ADDRESS(INDEX($AJ$2:$AJ$1001,MATCH(ROWS($AH$2:AH611),$AH$2:$AH$1001,0),0), INDEX($AO$1004:$BQ$1004,1,MATCH(COLUMNS($AO$1006:BB1006),$AO$1006:$BQ$1006,0)))),"Fix")))</f>
        <v>#N/A</v>
      </c>
      <c r="P611" s="5" t="e">
        <f ca="1">IF(OR(INDEX($AI$2:$AI$1001,MATCH(ROWS($AH$2:AH611),$AH$2:$AH$1001,0),1)&gt;=100000,INDEX($AO$1005:$BQ$1005,1,MATCH(COLUMNS($AO$1006:BC1006),$AO$1006:$BQ$1006,0))&gt;=100000), " ",IF(INDEX($AO$2:$BQ$1001,MATCH(ROWS($AH$2:AH611),$AH$2:$AH$1001,0),MATCH(COLUMNS($AO$1006:BC1006),$AO$1006:$BQ$1006,0)), HYPERLINK("#",""), HYPERLINK(CONCATENATE("#Metadata!", ADDRESS(INDEX($AJ$2:$AJ$1001,MATCH(ROWS($AH$2:AH611),$AH$2:$AH$1001,0),0), INDEX($AO$1004:$BQ$1004,1,MATCH(COLUMNS($AO$1006:BC1006),$AO$1006:$BQ$1006,0)))),"Fix")))</f>
        <v>#N/A</v>
      </c>
      <c r="Q611" s="5" t="e">
        <f ca="1">IF(OR(INDEX($AI$2:$AI$1001,MATCH(ROWS($AH$2:AH611),$AH$2:$AH$1001,0),1)&gt;=100000,INDEX($AO$1005:$BQ$1005,1,MATCH(COLUMNS($AO$1006:BD1006),$AO$1006:$BQ$1006,0))&gt;=100000), " ",IF(INDEX($AO$2:$BQ$1001,MATCH(ROWS($AH$2:AH611),$AH$2:$AH$1001,0),MATCH(COLUMNS($AO$1006:BD1006),$AO$1006:$BQ$1006,0)), HYPERLINK("#",""), HYPERLINK(CONCATENATE("#Metadata!", ADDRESS(INDEX($AJ$2:$AJ$1001,MATCH(ROWS($AH$2:AH611),$AH$2:$AH$1001,0),0), INDEX($AO$1004:$BQ$1004,1,MATCH(COLUMNS($AO$1006:BD1006),$AO$1006:$BQ$1006,0)))),"Fix")))</f>
        <v>#N/A</v>
      </c>
      <c r="R611" s="5" t="e">
        <f ca="1">IF(OR(INDEX($AI$2:$AI$1001,MATCH(ROWS($AH$2:AH611),$AH$2:$AH$1001,0),1)&gt;=100000,INDEX($AO$1005:$BQ$1005,1,MATCH(COLUMNS($AO$1006:BE1006),$AO$1006:$BQ$1006,0))&gt;=100000), " ",IF(INDEX($AO$2:$BQ$1001,MATCH(ROWS($AH$2:AH611),$AH$2:$AH$1001,0),MATCH(COLUMNS($AO$1006:BE1006),$AO$1006:$BQ$1006,0)), HYPERLINK("#",""), HYPERLINK(CONCATENATE("#Metadata!", ADDRESS(INDEX($AJ$2:$AJ$1001,MATCH(ROWS($AH$2:AH611),$AH$2:$AH$1001,0),0), INDEX($AO$1004:$BQ$1004,1,MATCH(COLUMNS($AO$1006:BE1006),$AO$1006:$BQ$1006,0)))),"Fix")))</f>
        <v>#N/A</v>
      </c>
      <c r="S611" s="5" t="e">
        <f ca="1">IF(OR(INDEX($AI$2:$AI$1001,MATCH(ROWS($AH$2:AH611),$AH$2:$AH$1001,0),1)&gt;=100000,INDEX($AO$1005:$BQ$1005,1,MATCH(COLUMNS($AO$1006:BF1006),$AO$1006:$BQ$1006,0))&gt;=100000), " ",IF(INDEX($AO$2:$BQ$1001,MATCH(ROWS($AH$2:AH611),$AH$2:$AH$1001,0),MATCH(COLUMNS($AO$1006:BF1006),$AO$1006:$BQ$1006,0)), HYPERLINK("#",""), HYPERLINK(CONCATENATE("#Metadata!", ADDRESS(INDEX($AJ$2:$AJ$1001,MATCH(ROWS($AH$2:AH611),$AH$2:$AH$1001,0),0), INDEX($AO$1004:$BQ$1004,1,MATCH(COLUMNS($AO$1006:BF1006),$AO$1006:$BQ$1006,0)))),"Fix")))</f>
        <v>#N/A</v>
      </c>
      <c r="T611" s="5" t="e">
        <f ca="1">IF(OR(INDEX($AI$2:$AI$1001,MATCH(ROWS($AH$2:AH611),$AH$2:$AH$1001,0),1)&gt;=100000,INDEX($AO$1005:$BQ$1005,1,MATCH(COLUMNS($AO$1006:BG1006),$AO$1006:$BQ$1006,0))&gt;=100000), " ",IF(INDEX($AO$2:$BQ$1001,MATCH(ROWS($AH$2:AH611),$AH$2:$AH$1001,0),MATCH(COLUMNS($AO$1006:BG1006),$AO$1006:$BQ$1006,0)), HYPERLINK("#",""), HYPERLINK(CONCATENATE("#Metadata!", ADDRESS(INDEX($AJ$2:$AJ$1001,MATCH(ROWS($AH$2:AH611),$AH$2:$AH$1001,0),0), INDEX($AO$1004:$BQ$1004,1,MATCH(COLUMNS($AO$1006:BG1006),$AO$1006:$BQ$1006,0)))),"Fix")))</f>
        <v>#N/A</v>
      </c>
      <c r="U611" s="5" t="e">
        <f ca="1">IF(OR(INDEX($AI$2:$AI$1001,MATCH(ROWS($AH$2:AH611),$AH$2:$AH$1001,0),1)&gt;=100000,INDEX($AO$1005:$BQ$1005,1,MATCH(COLUMNS($AO$1006:BH1006),$AO$1006:$BQ$1006,0))&gt;=100000), " ",IF(INDEX($AO$2:$BQ$1001,MATCH(ROWS($AH$2:AH611),$AH$2:$AH$1001,0),MATCH(COLUMNS($AO$1006:BH1006),$AO$1006:$BQ$1006,0)), HYPERLINK("#",""), HYPERLINK(CONCATENATE("#Metadata!", ADDRESS(INDEX($AJ$2:$AJ$1001,MATCH(ROWS($AH$2:AH611),$AH$2:$AH$1001,0),0), INDEX($AO$1004:$BQ$1004,1,MATCH(COLUMNS($AO$1006:BH1006),$AO$1006:$BQ$1006,0)))),"Fix")))</f>
        <v>#N/A</v>
      </c>
      <c r="V611" s="5" t="e">
        <f ca="1">IF(OR(INDEX($AI$2:$AI$1001,MATCH(ROWS($AH$2:AH611),$AH$2:$AH$1001,0),1)&gt;=100000,INDEX($AO$1005:$BQ$1005,1,MATCH(COLUMNS($AO$1006:BI1006),$AO$1006:$BQ$1006,0))&gt;=100000), " ",IF(INDEX($AO$2:$BQ$1001,MATCH(ROWS($AH$2:AH611),$AH$2:$AH$1001,0),MATCH(COLUMNS($AO$1006:BI1006),$AO$1006:$BQ$1006,0)), HYPERLINK("#",""), HYPERLINK(CONCATENATE("#Metadata!", ADDRESS(INDEX($AJ$2:$AJ$1001,MATCH(ROWS($AH$2:AH611),$AH$2:$AH$1001,0),0), INDEX($AO$1004:$BQ$1004,1,MATCH(COLUMNS($AO$1006:BI1006),$AO$1006:$BQ$1006,0)))),"Fix")))</f>
        <v>#N/A</v>
      </c>
      <c r="W611" s="5" t="e">
        <f ca="1">IF(OR(INDEX($AI$2:$AI$1001,MATCH(ROWS($AH$2:AH611),$AH$2:$AH$1001,0),1)&gt;=100000,INDEX($AO$1005:$BQ$1005,1,MATCH(COLUMNS($AO$1006:BJ1006),$AO$1006:$BQ$1006,0))&gt;=100000), " ",IF(INDEX($AO$2:$BQ$1001,MATCH(ROWS($AH$2:AH611),$AH$2:$AH$1001,0),MATCH(COLUMNS($AO$1006:BJ1006),$AO$1006:$BQ$1006,0)), HYPERLINK("#",""), HYPERLINK(CONCATENATE("#Metadata!", ADDRESS(INDEX($AJ$2:$AJ$1001,MATCH(ROWS($AH$2:AH611),$AH$2:$AH$1001,0),0), INDEX($AO$1004:$BQ$1004,1,MATCH(COLUMNS($AO$1006:BJ1006),$AO$1006:$BQ$1006,0)))),"Fix")))</f>
        <v>#N/A</v>
      </c>
      <c r="X611" s="5" t="e">
        <f ca="1">IF(OR(INDEX($AI$2:$AI$1001,MATCH(ROWS($AH$2:AH611),$AH$2:$AH$1001,0),1)&gt;=100000,INDEX($AO$1005:$BQ$1005,1,MATCH(COLUMNS($AO$1006:BK1006),$AO$1006:$BQ$1006,0))&gt;=100000), " ",IF(INDEX($AO$2:$BQ$1001,MATCH(ROWS($AH$2:AH611),$AH$2:$AH$1001,0),MATCH(COLUMNS($AO$1006:BK1006),$AO$1006:$BQ$1006,0)), HYPERLINK("#",""), HYPERLINK(CONCATENATE("#Metadata!", ADDRESS(INDEX($AJ$2:$AJ$1001,MATCH(ROWS($AH$2:AH611),$AH$2:$AH$1001,0),0), INDEX($AO$1004:$BQ$1004,1,MATCH(COLUMNS($AO$1006:BK1006),$AO$1006:$BQ$1006,0)))),"Fix")))</f>
        <v>#N/A</v>
      </c>
      <c r="Y611" s="5" t="e">
        <f ca="1">IF(OR(INDEX($AI$2:$AI$1001,MATCH(ROWS($AH$2:AH611),$AH$2:$AH$1001,0),1)&gt;=100000,INDEX($AO$1005:$BQ$1005,1,MATCH(COLUMNS($AO$1006:BL1006),$AO$1006:$BQ$1006,0))&gt;=100000), " ",IF(INDEX($AO$2:$BQ$1001,MATCH(ROWS($AH$2:AH611),$AH$2:$AH$1001,0),MATCH(COLUMNS($AO$1006:BL1006),$AO$1006:$BQ$1006,0)), HYPERLINK("#",""), HYPERLINK(CONCATENATE("#Metadata!", ADDRESS(INDEX($AJ$2:$AJ$1001,MATCH(ROWS($AH$2:AH611),$AH$2:$AH$1001,0),0), INDEX($AO$1004:$BQ$1004,1,MATCH(COLUMNS($AO$1006:BL1006),$AO$1006:$BQ$1006,0)))),"Fix")))</f>
        <v>#N/A</v>
      </c>
      <c r="Z611" s="5" t="e">
        <f ca="1">IF(OR(INDEX($AI$2:$AI$1001,MATCH(ROWS($AH$2:AH611),$AH$2:$AH$1001,0),1)&gt;=100000,INDEX($AO$1005:$BQ$1005,1,MATCH(COLUMNS($AO$1006:BM1006),$AO$1006:$BQ$1006,0))&gt;=100000), " ",IF(INDEX($AO$2:$BQ$1001,MATCH(ROWS($AH$2:AH611),$AH$2:$AH$1001,0),MATCH(COLUMNS($AO$1006:BM1006),$AO$1006:$BQ$1006,0)), HYPERLINK("#",""), HYPERLINK(CONCATENATE("#Metadata!", ADDRESS(INDEX($AJ$2:$AJ$1001,MATCH(ROWS($AH$2:AH611),$AH$2:$AH$1001,0),0), INDEX($AO$1004:$BQ$1004,1,MATCH(COLUMNS($AO$1006:BM1006),$AO$1006:$BQ$1006,0)))),"Fix")))</f>
        <v>#N/A</v>
      </c>
      <c r="AA611" s="5" t="e">
        <f ca="1">IF(OR(INDEX($AI$2:$AI$1001,MATCH(ROWS($AH$2:AH611),$AH$2:$AH$1001,0),1)&gt;=100000,INDEX($AO$1005:$BQ$1005,1,MATCH(COLUMNS($AO$1006:BN1006),$AO$1006:$BQ$1006,0))&gt;=100000), " ",IF(INDEX($AO$2:$BQ$1001,MATCH(ROWS($AH$2:AH611),$AH$2:$AH$1001,0),MATCH(COLUMNS($AO$1006:BN1006),$AO$1006:$BQ$1006,0)), HYPERLINK("#",""), HYPERLINK(CONCATENATE("#Metadata!", ADDRESS(INDEX($AJ$2:$AJ$1001,MATCH(ROWS($AH$2:AH611),$AH$2:$AH$1001,0),0), INDEX($AO$1004:$BQ$1004,1,MATCH(COLUMNS($AO$1006:BN1006),$AO$1006:$BQ$1006,0)))),"Fix")))</f>
        <v>#N/A</v>
      </c>
      <c r="AB611" s="5" t="e">
        <f ca="1">IF(OR(INDEX($AI$2:$AI$1001,MATCH(ROWS($AH$2:AH611),$AH$2:$AH$1001,0),1)&gt;=100000,INDEX($AO$1005:$BQ$1005,1,MATCH(COLUMNS($AO$1006:BO1006),$AO$1006:$BQ$1006,0))&gt;=100000), " ",IF(INDEX($AO$2:$BQ$1001,MATCH(ROWS($AH$2:AH611),$AH$2:$AH$1001,0),MATCH(COLUMNS($AO$1006:BO1006),$AO$1006:$BQ$1006,0)), HYPERLINK("#",""), HYPERLINK(CONCATENATE("#Metadata!", ADDRESS(INDEX($AJ$2:$AJ$1001,MATCH(ROWS($AH$2:AH611),$AH$2:$AH$1001,0),0), INDEX($AO$1004:$BQ$1004,1,MATCH(COLUMNS($AO$1006:BO1006),$AO$1006:$BQ$1006,0)))),"Fix")))</f>
        <v>#N/A</v>
      </c>
      <c r="AC611" s="5" t="e">
        <f ca="1">IF(OR(INDEX($AI$2:$AI$1001,MATCH(ROWS($AH$2:AH611),$AH$2:$AH$1001,0),1)&gt;=100000,INDEX($AO$1005:$BQ$1005,1,MATCH(COLUMNS($AO$1006:BP1006),$AO$1006:$BQ$1006,0))&gt;=100000), " ",IF(INDEX($AO$2:$BQ$1001,MATCH(ROWS($AH$2:AH611),$AH$2:$AH$1001,0),MATCH(COLUMNS($AO$1006:BP1006),$AO$1006:$BQ$1006,0)), HYPERLINK("#",""), HYPERLINK(CONCATENATE("#Metadata!", ADDRESS(INDEX($AJ$2:$AJ$1001,MATCH(ROWS($AH$2:AH611),$AH$2:$AH$1001,0),0), INDEX($AO$1004:$BQ$1004,1,MATCH(COLUMNS($AO$1006:BP1006),$AO$1006:$BQ$1006,0)))),"Fix")))</f>
        <v>#N/A</v>
      </c>
      <c r="AD611" s="5" t="e">
        <f ca="1">IF(OR(INDEX($AI$2:$AI$1001,MATCH(ROWS($AH$2:AH611),$AH$2:$AH$1001,0),1)&gt;=100000,INDEX($AO$1005:$BQ$1005,1,MATCH(COLUMNS($AO$1006:BQ1006),$AO$1006:$BQ$1006,0))&gt;=100000), " ",IF(INDEX($AO$2:$BQ$1001,MATCH(ROWS($AH$2:AH611),$AH$2:$AH$1001,0),MATCH(COLUMNS($AO$1006:BQ1006),$AO$1006:$BQ$1006,0)), HYPERLINK("#",""), HYPERLINK(CONCATENATE("#Metadata!", ADDRESS(INDEX($AJ$2:$AJ$1001,MATCH(ROWS($AH$2:AH611),$AH$2:$AH$1001,0),0), INDEX($AO$1004:$BQ$1004,1,MATCH(COLUMNS($AO$1006:BQ1006),$AO$1006:$BQ$1006,0)))),"Fix")))</f>
        <v>#REF!</v>
      </c>
      <c r="AH611">
        <f ca="1"/>
        <v>608</v>
      </c>
      <c r="AI611">
        <v>100611</v>
      </c>
      <c r="AJ611">
        <v>611</v>
      </c>
      <c r="AK611" t="b">
        <f t="shared" si="9"/>
        <v>1</v>
      </c>
      <c r="AL611" t="b">
        <f>COUNTBLANK(Metadata!B611:AD611)=COLUMNS(Metadata!B611:AD611)</f>
        <v>1</v>
      </c>
      <c r="AM611" t="str">
        <v/>
      </c>
      <c r="AO611" t="b">
        <f ca="1">AND(IF(Metadata!B611="",FALSE,TRUE),COUNTIF(Metadata!B:B, Metadata!B611) = 1,NOT(ISERROR(SUMPRODUCT(SEARCH(MID(Metadata!B611,ROW(INDIRECT("1:"&amp;LEN(Metadata!B611))), 1),"0123456789abcdefghijklmnopqrstuvwxyzABCDEFGHIJKLMNOPQRSTUVWXYZ.")))))</f>
        <v>0</v>
      </c>
      <c r="AP611" t="b">
        <f>IF(Metadata!C611="",FALSE,TRUE)</f>
        <v>0</v>
      </c>
      <c r="AQ611" t="b">
        <f>IF(Metadata!D611="",FALSE,TRUE)</f>
        <v>0</v>
      </c>
      <c r="AR611" t="b">
        <f ca="1">OR(AND(IF(Metadata!E611="",FALSE,TRUE),OR(EXACT(Metadata!E611,"not collected"),EXACT(Metadata!E611,"not provided"),EXACT(Metadata!E611,"restricted access"))),AND(IF(Metadata!E611="",FALSE,TRUE),AND(AND(IFERROR(INT(LEFT(Metadata!E611,4))&gt;1900,FALSE),IFERROR(INT(LEFT(Metadata!E611,4))&lt;=YEAR(NOW()),FALSE)), OR(MID(Metadata!E611,5,1)="", AND(AND(MID(Metadata!E611,5,1)="-",IFERROR(INT(MID(Metadata!E611,6,1))&gt;=0,FALSE),IFERROR(INT(MID(Metadata!E611,6,1))&lt;=1,FALSE),NOT(MID(Metadata!E611,7,1)=""),IFERROR(INT(MID(Metadata!E611,6,2))&gt;=1,FALSE),IFERROR(INT(MID(Metadata!E611,6,2))&lt;=12,FALSE)), OR(MID(Metadata!E611,8,1)="", AND(AND(MID(Metadata!E611,8,1)="-",IFERROR(INT(MID(Metadata!E611,9,1))&gt;=0,FALSE),IFERROR(INT(MID(Metadata!E611,9,1))&lt;=3,FALSE),NOT(MID(Metadata!E611,10,1)=""),IFERROR(INT(MID(Metadata!E611,9,2))&gt;=1,FALSE),IFERROR(INT(MID(Metadata!E611,9,2))&lt;=31,FALSE)), OR(MID(Metadata!E611,11,1)="", AND(AND(MID(Metadata!E611,11,1)=" ",IFERROR(INT(MID(Metadata!E611,12,1))&gt;=0,FALSE),IFERROR(INT(MID(Metadata!E611,12,1))&lt;=2,FALSE),NOT(MID(Metadata!E611,13,1)=""),IFERROR(INT(MID(Metadata!E611,12,2))&gt;=0,FALSE),IFERROR(INT(MID(Metadata!E611,12,2))&lt;=23,FALSE)), OR(MID(Metadata!E611,14,1)="", AND(AND(MID(Metadata!E611,14,1)=":",IFERROR(INT(MID(Metadata!E611,15,1))&gt;=0,FALSE),IFERROR(INT(MID(Metadata!E611,15,1))&lt;=5,FALSE),NOT(MID(Metadata!E611,16,1)=""),IFERROR(INT(MID(Metadata!E611,15,2))&gt;=0,FALSE),IFERROR(INT(MID(Metadata!E611,15,2))&lt;=59,FALSE)), OR(MID(Metadata!E611,17,1)="", AND(AND(MID(Metadata!E611,17,1)=":",IFERROR(INT(MID(Metadata!E611,18,1))&gt;=0,FALSE),IFERROR(INT(MID(Metadata!E611,18,1))&lt;=5,FALSE),NOT(MID(Metadata!E611,19,1)=""),IFERROR(INT(MID(Metadata!E611,18,2))&gt;=0,FALSE),IFERROR(INT(MID(Metadata!E611,18,2))&lt;=59,FALSE)), LEN(Metadata!E611)&lt;=19)))))))))))))</f>
        <v>0</v>
      </c>
      <c r="AS611" t="b">
        <f>IF(Metadata!F611="",FALSE,TRUE)</f>
        <v>0</v>
      </c>
      <c r="AT611" t="b">
        <f>OR(AND(IF(Metadata!G611="",FALSE,TRUE),OR(EXACT(Metadata!G611,"not collected"),EXACT(Metadata!G611,"not provided"))),AND(IF(Metadata!G611="",FALSE,TRUE),OR(EXACT(Metadata!G611,"TRUE"),EXACT(Metadata!G611,"FALSE"))))</f>
        <v>0</v>
      </c>
      <c r="AU611" t="b">
        <f>OR(AND(IF(Metadata!H611="",FALSE,TRUE),OR(EXACT(Metadata!H611,"not collected"),EXACT(Metadata!H611,"not provided"),EXACT(Metadata!H611,"restricted access"))),AND(IF(Metadata!H611="",FALSE,ISNUMBER(VALUE(Metadata!H611))),Metadata!H611&gt;=-413))</f>
        <v>0</v>
      </c>
      <c r="AV611" t="b">
        <f>AND(IF(Metadata!I611="",FALSE,TRUE),EXACT(Metadata!I611,"meters"))</f>
        <v>0</v>
      </c>
      <c r="AW611" t="b">
        <f>AND(IF(Metadata!J611="",FALSE,TRUE),EXACT(Metadata!J611,"free-living"))</f>
        <v>0</v>
      </c>
      <c r="AX611" t="b">
        <f>AND(IF(Metadata!K611="",FALSE,TRUE),OR(EXACT(Metadata!K611,"saline"),EXACT(Metadata!K611,"non-saline")))</f>
        <v>0</v>
      </c>
      <c r="AY611" t="b">
        <f>AND(IF(Metadata!L611="",FALSE,TRUE),OR(EXACT(Metadata!L611,"sub-surface (non-saline)"),EXACT(Metadata!L611,"surface (non-saline)"),EXACT(Metadata!L611,"water (non-saline)"),EXACT(Metadata!L611,"soil (non-saline)"),EXACT(Metadata!L611,"aerosol (non-saline)"),EXACT(Metadata!L611,"sediment (non-saline)"),EXACT(Metadata!L611,"surface (saline)"),EXACT(Metadata!L611,"water (saline)"),EXACT(Metadata!L611,"hypersaline (saline)"),EXACT(Metadata!L611,"aerosol (saline)"),EXACT(Metadata!L611,"sediment (saline)")))</f>
        <v>0</v>
      </c>
      <c r="AZ611" t="b">
        <f>IF(Metadata!M611="",FALSE,TRUE)</f>
        <v>0</v>
      </c>
      <c r="BA611" t="b">
        <f>IF(Metadata!N611="",FALSE,TRUE)</f>
        <v>0</v>
      </c>
      <c r="BB611" t="b">
        <f>IF(Metadata!O611="",FALSE,TRUE)</f>
        <v>0</v>
      </c>
      <c r="BC611" t="b">
        <f>AND(IF(Metadata!P611="",FALSE,TRUE),OR(EXACT(Metadata!P611,"air"),EXACT(Metadata!P611,"microbial mat/biofilm"),EXACT(Metadata!P611,"misc environment"),EXACT(Metadata!P611,"sediment"),EXACT(Metadata!P611,"soil"),EXACT(Metadata!P611,"wastewater/sludge"),EXACT(Metadata!P611,"water")))</f>
        <v>0</v>
      </c>
      <c r="BD611" t="b">
        <f>IF(Metadata!Q611="",FALSE,TRUE)</f>
        <v>0</v>
      </c>
      <c r="BE611" t="b">
        <f>IF(Metadata!R611="",FALSE,TRUE)</f>
        <v>0</v>
      </c>
      <c r="BF611" t="b">
        <f>OR(AND(IF(Metadata!S611="",FALSE,TRUE),OR(EXACT(Metadata!S611,"not collected"),EXACT(Metadata!S611,"not provided"),EXACT(Metadata!S611,"restricted access"))),AND(IF(Metadata!S611="",FALSE,ISNUMBER(VALUE(Metadata!S611))),Metadata!S611&gt;=-90,Metadata!S611&lt;=90))</f>
        <v>0</v>
      </c>
      <c r="BG611" t="b">
        <f>AND(IF(Metadata!T611="",FALSE,TRUE),EXACT(Metadata!T611,"Decimal degrees"))</f>
        <v>0</v>
      </c>
      <c r="BH611" t="b">
        <f>OR(AND(IF(Metadata!U611="",FALSE,TRUE),OR(EXACT(Metadata!U611,"not applicable"),EXACT(Metadata!U611,"not collected"))),IF(Metadata!U611="",FALSE,TRUE))</f>
        <v>0</v>
      </c>
      <c r="BI611" t="b">
        <f>OR(AND(IF(Metadata!V611="",FALSE,TRUE),OR(EXACT(Metadata!V611,"not collected"),EXACT(Metadata!V611,"not provided"),EXACT(Metadata!V611,"restricted access"))),AND(IF(Metadata!V611="",FALSE,ISNUMBER(VALUE(Metadata!V611))),Metadata!V611&gt;=-180,Metadata!V611&lt;=180))</f>
        <v>0</v>
      </c>
      <c r="BJ611" t="b">
        <f>AND(IF(Metadata!W611="",FALSE,TRUE),EXACT(Metadata!W611,"Decimal degrees"))</f>
        <v>0</v>
      </c>
      <c r="BK611" t="b">
        <f>IF(Metadata!X611="",FALSE,TRUE)</f>
        <v>0</v>
      </c>
      <c r="BL611" t="b">
        <f>OR(AND(IF(Metadata!Y611="",FALSE,TRUE),OR(EXACT(Metadata!Y611,"not collected"),EXACT(Metadata!Y611,"not provided"),EXACT(Metadata!Y611,"restricted access"))),AND(IF(Metadata!Y611="",FALSE,TRUE),OR(EXACT(Metadata!Y611,"TRUE"),EXACT(Metadata!Y611,"FALSE"))))</f>
        <v>0</v>
      </c>
      <c r="BM611" t="b">
        <f>OR(AND(IF(Metadata!Z611="",FALSE,TRUE),EXACT(Metadata!Z611,"not applicable")),AND(IF(Metadata!Z611="",FALSE,TRUE),OR(EXACT(Metadata!Z611,"beer"),EXACT(Metadata!Z611,"cheese"),EXACT(Metadata!Z611,"fresh water"),EXACT(Metadata!Z611,"marine sediment"),EXACT(Metadata!Z611,"sea water"),EXACT(Metadata!Z611,"sediment"),EXACT(Metadata!Z611,"soil"),EXACT(Metadata!Z611,"waste water"))))</f>
        <v>0</v>
      </c>
      <c r="BN611" t="b">
        <f>AND(IF(Metadata!AA611="",FALSE,TRUE),EXACT(Metadata!AA611,"metagenome"))</f>
        <v>0</v>
      </c>
      <c r="BO611" t="b">
        <f>AND(IF(Metadata!AB611="",FALSE,TRUE),EXACT(Metadata!AB611,"256318"))</f>
        <v>0</v>
      </c>
      <c r="BP611" t="b">
        <f>IF(Metadata!AC611="",FALSE,TRUE)</f>
        <v>0</v>
      </c>
      <c r="BQ611" t="b">
        <f>IF(Metadata!AD611="",FALSE,TRUE)</f>
        <v>0</v>
      </c>
    </row>
    <row r="612" spans="1:69" x14ac:dyDescent="0.2">
      <c r="A612" s="4" t="e">
        <f ca="1">IF(B612=" "," ",HYPERLINK(CONCATENATE("#metadata!",ADDRESS(INDEX($AJ$2:$AJ$1001,MATCH(ROWS($AH$2:AH612),$AH$2:$AH$1001,0),0),2)),INDEX($AM$2:$AM$1001,MATCH(ROWS($AH$2:AH612),$AH$2:$AH$1001,0),0)))</f>
        <v>#N/A</v>
      </c>
      <c r="B612" s="5" t="e">
        <f ca="1">IF(OR(INDEX($AI$2:$AI$1001,MATCH(ROWS($AH$2:AH612),$AH$2:$AH$1001,0),1)&gt;=100000,INDEX($AO$1005:$BQ$1005,1,MATCH(COLUMNS($AO$1006:AO1006),$AO$1006:$BQ$1006,0))&gt;=100000), " ",IF(INDEX($AO$2:$BQ$1001,MATCH(ROWS($AH$2:AH612),$AH$2:$AH$1001,0),MATCH(COLUMNS($AO$1006:AO1006),$AO$1006:$BQ$1006,0)), HYPERLINK("#",""), HYPERLINK(CONCATENATE("#Metadata!", ADDRESS(INDEX($AJ$2:$AJ$1001,MATCH(ROWS($AH$2:AH612),$AH$2:$AH$1001,0),0), INDEX($AO$1004:$BQ$1004,1,MATCH(COLUMNS($AO$1006:AO1006),$AO$1006:$BQ$1006,0)))),"Fix")))</f>
        <v>#N/A</v>
      </c>
      <c r="C612" s="5" t="e">
        <f ca="1">IF(OR(INDEX($AI$2:$AI$1001,MATCH(ROWS($AH$2:AH612),$AH$2:$AH$1001,0),1)&gt;=100000,INDEX($AO$1005:$BQ$1005,1,MATCH(COLUMNS($AO$1006:AP1006),$AO$1006:$BQ$1006,0))&gt;=100000), " ",IF(INDEX($AO$2:$BQ$1001,MATCH(ROWS($AH$2:AH612),$AH$2:$AH$1001,0),MATCH(COLUMNS($AO$1006:AP1006),$AO$1006:$BQ$1006,0)), HYPERLINK("#",""), HYPERLINK(CONCATENATE("#Metadata!", ADDRESS(INDEX($AJ$2:$AJ$1001,MATCH(ROWS($AH$2:AH612),$AH$2:$AH$1001,0),0), INDEX($AO$1004:$BQ$1004,1,MATCH(COLUMNS($AO$1006:AP1006),$AO$1006:$BQ$1006,0)))),"Fix")))</f>
        <v>#N/A</v>
      </c>
      <c r="D612" s="5" t="e">
        <f ca="1">IF(OR(INDEX($AI$2:$AI$1001,MATCH(ROWS($AH$2:AH612),$AH$2:$AH$1001,0),1)&gt;=100000,INDEX($AO$1005:$BQ$1005,1,MATCH(COLUMNS($AO$1006:AQ1006),$AO$1006:$BQ$1006,0))&gt;=100000), " ",IF(INDEX($AO$2:$BQ$1001,MATCH(ROWS($AH$2:AH612),$AH$2:$AH$1001,0),MATCH(COLUMNS($AO$1006:AQ1006),$AO$1006:$BQ$1006,0)), HYPERLINK("#",""), HYPERLINK(CONCATENATE("#Metadata!", ADDRESS(INDEX($AJ$2:$AJ$1001,MATCH(ROWS($AH$2:AH612),$AH$2:$AH$1001,0),0), INDEX($AO$1004:$BQ$1004,1,MATCH(COLUMNS($AO$1006:AQ1006),$AO$1006:$BQ$1006,0)))),"Fix")))</f>
        <v>#N/A</v>
      </c>
      <c r="E612" s="5" t="e">
        <f ca="1">IF(OR(INDEX($AI$2:$AI$1001,MATCH(ROWS($AH$2:AH612),$AH$2:$AH$1001,0),1)&gt;=100000,INDEX($AO$1005:$BQ$1005,1,MATCH(COLUMNS($AO$1006:AR1006),$AO$1006:$BQ$1006,0))&gt;=100000), " ",IF(INDEX($AO$2:$BQ$1001,MATCH(ROWS($AH$2:AH612),$AH$2:$AH$1001,0),MATCH(COLUMNS($AO$1006:AR1006),$AO$1006:$BQ$1006,0)), HYPERLINK("#",""), HYPERLINK(CONCATENATE("#Metadata!", ADDRESS(INDEX($AJ$2:$AJ$1001,MATCH(ROWS($AH$2:AH612),$AH$2:$AH$1001,0),0), INDEX($AO$1004:$BQ$1004,1,MATCH(COLUMNS($AO$1006:AR1006),$AO$1006:$BQ$1006,0)))),"Fix")))</f>
        <v>#N/A</v>
      </c>
      <c r="F612" s="5" t="e">
        <f ca="1">IF(OR(INDEX($AI$2:$AI$1001,MATCH(ROWS($AH$2:AH612),$AH$2:$AH$1001,0),1)&gt;=100000,INDEX($AO$1005:$BQ$1005,1,MATCH(COLUMNS($AO$1006:AS1006),$AO$1006:$BQ$1006,0))&gt;=100000), " ",IF(INDEX($AO$2:$BQ$1001,MATCH(ROWS($AH$2:AH612),$AH$2:$AH$1001,0),MATCH(COLUMNS($AO$1006:AS1006),$AO$1006:$BQ$1006,0)), HYPERLINK("#",""), HYPERLINK(CONCATENATE("#Metadata!", ADDRESS(INDEX($AJ$2:$AJ$1001,MATCH(ROWS($AH$2:AH612),$AH$2:$AH$1001,0),0), INDEX($AO$1004:$BQ$1004,1,MATCH(COLUMNS($AO$1006:AS1006),$AO$1006:$BQ$1006,0)))),"Fix")))</f>
        <v>#N/A</v>
      </c>
      <c r="G612" s="5" t="e">
        <f ca="1">IF(OR(INDEX($AI$2:$AI$1001,MATCH(ROWS($AH$2:AH612),$AH$2:$AH$1001,0),1)&gt;=100000,INDEX($AO$1005:$BQ$1005,1,MATCH(COLUMNS($AO$1006:AT1006),$AO$1006:$BQ$1006,0))&gt;=100000), " ",IF(INDEX($AO$2:$BQ$1001,MATCH(ROWS($AH$2:AH612),$AH$2:$AH$1001,0),MATCH(COLUMNS($AO$1006:AT1006),$AO$1006:$BQ$1006,0)), HYPERLINK("#",""), HYPERLINK(CONCATENATE("#Metadata!", ADDRESS(INDEX($AJ$2:$AJ$1001,MATCH(ROWS($AH$2:AH612),$AH$2:$AH$1001,0),0), INDEX($AO$1004:$BQ$1004,1,MATCH(COLUMNS($AO$1006:AT1006),$AO$1006:$BQ$1006,0)))),"Fix")))</f>
        <v>#N/A</v>
      </c>
      <c r="H612" s="5" t="e">
        <f ca="1">IF(OR(INDEX($AI$2:$AI$1001,MATCH(ROWS($AH$2:AH612),$AH$2:$AH$1001,0),1)&gt;=100000,INDEX($AO$1005:$BQ$1005,1,MATCH(COLUMNS($AO$1006:AU1006),$AO$1006:$BQ$1006,0))&gt;=100000), " ",IF(INDEX($AO$2:$BQ$1001,MATCH(ROWS($AH$2:AH612),$AH$2:$AH$1001,0),MATCH(COLUMNS($AO$1006:AU1006),$AO$1006:$BQ$1006,0)), HYPERLINK("#",""), HYPERLINK(CONCATENATE("#Metadata!", ADDRESS(INDEX($AJ$2:$AJ$1001,MATCH(ROWS($AH$2:AH612),$AH$2:$AH$1001,0),0), INDEX($AO$1004:$BQ$1004,1,MATCH(COLUMNS($AO$1006:AU1006),$AO$1006:$BQ$1006,0)))),"Fix")))</f>
        <v>#N/A</v>
      </c>
      <c r="I612" s="5" t="e">
        <f ca="1">IF(OR(INDEX($AI$2:$AI$1001,MATCH(ROWS($AH$2:AH612),$AH$2:$AH$1001,0),1)&gt;=100000,INDEX($AO$1005:$BQ$1005,1,MATCH(COLUMNS($AO$1006:AV1006),$AO$1006:$BQ$1006,0))&gt;=100000), " ",IF(INDEX($AO$2:$BQ$1001,MATCH(ROWS($AH$2:AH612),$AH$2:$AH$1001,0),MATCH(COLUMNS($AO$1006:AV1006),$AO$1006:$BQ$1006,0)), HYPERLINK("#",""), HYPERLINK(CONCATENATE("#Metadata!", ADDRESS(INDEX($AJ$2:$AJ$1001,MATCH(ROWS($AH$2:AH612),$AH$2:$AH$1001,0),0), INDEX($AO$1004:$BQ$1004,1,MATCH(COLUMNS($AO$1006:AV1006),$AO$1006:$BQ$1006,0)))),"Fix")))</f>
        <v>#N/A</v>
      </c>
      <c r="J612" s="5" t="e">
        <f ca="1">IF(OR(INDEX($AI$2:$AI$1001,MATCH(ROWS($AH$2:AH612),$AH$2:$AH$1001,0),1)&gt;=100000,INDEX($AO$1005:$BQ$1005,1,MATCH(COLUMNS($AO$1006:AW1006),$AO$1006:$BQ$1006,0))&gt;=100000), " ",IF(INDEX($AO$2:$BQ$1001,MATCH(ROWS($AH$2:AH612),$AH$2:$AH$1001,0),MATCH(COLUMNS($AO$1006:AW1006),$AO$1006:$BQ$1006,0)), HYPERLINK("#",""), HYPERLINK(CONCATENATE("#Metadata!", ADDRESS(INDEX($AJ$2:$AJ$1001,MATCH(ROWS($AH$2:AH612),$AH$2:$AH$1001,0),0), INDEX($AO$1004:$BQ$1004,1,MATCH(COLUMNS($AO$1006:AW1006),$AO$1006:$BQ$1006,0)))),"Fix")))</f>
        <v>#N/A</v>
      </c>
      <c r="K612" s="5" t="e">
        <f ca="1">IF(OR(INDEX($AI$2:$AI$1001,MATCH(ROWS($AH$2:AH612),$AH$2:$AH$1001,0),1)&gt;=100000,INDEX($AO$1005:$BQ$1005,1,MATCH(COLUMNS($AO$1006:AX1006),$AO$1006:$BQ$1006,0))&gt;=100000), " ",IF(INDEX($AO$2:$BQ$1001,MATCH(ROWS($AH$2:AH612),$AH$2:$AH$1001,0),MATCH(COLUMNS($AO$1006:AX1006),$AO$1006:$BQ$1006,0)), HYPERLINK("#",""), HYPERLINK(CONCATENATE("#Metadata!", ADDRESS(INDEX($AJ$2:$AJ$1001,MATCH(ROWS($AH$2:AH612),$AH$2:$AH$1001,0),0), INDEX($AO$1004:$BQ$1004,1,MATCH(COLUMNS($AO$1006:AX1006),$AO$1006:$BQ$1006,0)))),"Fix")))</f>
        <v>#N/A</v>
      </c>
      <c r="L612" s="5" t="e">
        <f ca="1">IF(OR(INDEX($AI$2:$AI$1001,MATCH(ROWS($AH$2:AH612),$AH$2:$AH$1001,0),1)&gt;=100000,INDEX($AO$1005:$BQ$1005,1,MATCH(COLUMNS($AO$1006:AY1006),$AO$1006:$BQ$1006,0))&gt;=100000), " ",IF(INDEX($AO$2:$BQ$1001,MATCH(ROWS($AH$2:AH612),$AH$2:$AH$1001,0),MATCH(COLUMNS($AO$1006:AY1006),$AO$1006:$BQ$1006,0)), HYPERLINK("#",""), HYPERLINK(CONCATENATE("#Metadata!", ADDRESS(INDEX($AJ$2:$AJ$1001,MATCH(ROWS($AH$2:AH612),$AH$2:$AH$1001,0),0), INDEX($AO$1004:$BQ$1004,1,MATCH(COLUMNS($AO$1006:AY1006),$AO$1006:$BQ$1006,0)))),"Fix")))</f>
        <v>#N/A</v>
      </c>
      <c r="M612" s="5" t="e">
        <f ca="1">IF(OR(INDEX($AI$2:$AI$1001,MATCH(ROWS($AH$2:AH612),$AH$2:$AH$1001,0),1)&gt;=100000,INDEX($AO$1005:$BQ$1005,1,MATCH(COLUMNS($AO$1006:AZ1006),$AO$1006:$BQ$1006,0))&gt;=100000), " ",IF(INDEX($AO$2:$BQ$1001,MATCH(ROWS($AH$2:AH612),$AH$2:$AH$1001,0),MATCH(COLUMNS($AO$1006:AZ1006),$AO$1006:$BQ$1006,0)), HYPERLINK("#",""), HYPERLINK(CONCATENATE("#Metadata!", ADDRESS(INDEX($AJ$2:$AJ$1001,MATCH(ROWS($AH$2:AH612),$AH$2:$AH$1001,0),0), INDEX($AO$1004:$BQ$1004,1,MATCH(COLUMNS($AO$1006:AZ1006),$AO$1006:$BQ$1006,0)))),"Fix")))</f>
        <v>#N/A</v>
      </c>
      <c r="N612" s="5" t="e">
        <f ca="1">IF(OR(INDEX($AI$2:$AI$1001,MATCH(ROWS($AH$2:AH612),$AH$2:$AH$1001,0),1)&gt;=100000,INDEX($AO$1005:$BQ$1005,1,MATCH(COLUMNS($AO$1006:BA1006),$AO$1006:$BQ$1006,0))&gt;=100000), " ",IF(INDEX($AO$2:$BQ$1001,MATCH(ROWS($AH$2:AH612),$AH$2:$AH$1001,0),MATCH(COLUMNS($AO$1006:BA1006),$AO$1006:$BQ$1006,0)), HYPERLINK("#",""), HYPERLINK(CONCATENATE("#Metadata!", ADDRESS(INDEX($AJ$2:$AJ$1001,MATCH(ROWS($AH$2:AH612),$AH$2:$AH$1001,0),0), INDEX($AO$1004:$BQ$1004,1,MATCH(COLUMNS($AO$1006:BA1006),$AO$1006:$BQ$1006,0)))),"Fix")))</f>
        <v>#N/A</v>
      </c>
      <c r="O612" s="5" t="e">
        <f ca="1">IF(OR(INDEX($AI$2:$AI$1001,MATCH(ROWS($AH$2:AH612),$AH$2:$AH$1001,0),1)&gt;=100000,INDEX($AO$1005:$BQ$1005,1,MATCH(COLUMNS($AO$1006:BB1006),$AO$1006:$BQ$1006,0))&gt;=100000), " ",IF(INDEX($AO$2:$BQ$1001,MATCH(ROWS($AH$2:AH612),$AH$2:$AH$1001,0),MATCH(COLUMNS($AO$1006:BB1006),$AO$1006:$BQ$1006,0)), HYPERLINK("#",""), HYPERLINK(CONCATENATE("#Metadata!", ADDRESS(INDEX($AJ$2:$AJ$1001,MATCH(ROWS($AH$2:AH612),$AH$2:$AH$1001,0),0), INDEX($AO$1004:$BQ$1004,1,MATCH(COLUMNS($AO$1006:BB1006),$AO$1006:$BQ$1006,0)))),"Fix")))</f>
        <v>#N/A</v>
      </c>
      <c r="P612" s="5" t="e">
        <f ca="1">IF(OR(INDEX($AI$2:$AI$1001,MATCH(ROWS($AH$2:AH612),$AH$2:$AH$1001,0),1)&gt;=100000,INDEX($AO$1005:$BQ$1005,1,MATCH(COLUMNS($AO$1006:BC1006),$AO$1006:$BQ$1006,0))&gt;=100000), " ",IF(INDEX($AO$2:$BQ$1001,MATCH(ROWS($AH$2:AH612),$AH$2:$AH$1001,0),MATCH(COLUMNS($AO$1006:BC1006),$AO$1006:$BQ$1006,0)), HYPERLINK("#",""), HYPERLINK(CONCATENATE("#Metadata!", ADDRESS(INDEX($AJ$2:$AJ$1001,MATCH(ROWS($AH$2:AH612),$AH$2:$AH$1001,0),0), INDEX($AO$1004:$BQ$1004,1,MATCH(COLUMNS($AO$1006:BC1006),$AO$1006:$BQ$1006,0)))),"Fix")))</f>
        <v>#N/A</v>
      </c>
      <c r="Q612" s="5" t="e">
        <f ca="1">IF(OR(INDEX($AI$2:$AI$1001,MATCH(ROWS($AH$2:AH612),$AH$2:$AH$1001,0),1)&gt;=100000,INDEX($AO$1005:$BQ$1005,1,MATCH(COLUMNS($AO$1006:BD1006),$AO$1006:$BQ$1006,0))&gt;=100000), " ",IF(INDEX($AO$2:$BQ$1001,MATCH(ROWS($AH$2:AH612),$AH$2:$AH$1001,0),MATCH(COLUMNS($AO$1006:BD1006),$AO$1006:$BQ$1006,0)), HYPERLINK("#",""), HYPERLINK(CONCATENATE("#Metadata!", ADDRESS(INDEX($AJ$2:$AJ$1001,MATCH(ROWS($AH$2:AH612),$AH$2:$AH$1001,0),0), INDEX($AO$1004:$BQ$1004,1,MATCH(COLUMNS($AO$1006:BD1006),$AO$1006:$BQ$1006,0)))),"Fix")))</f>
        <v>#N/A</v>
      </c>
      <c r="R612" s="5" t="e">
        <f ca="1">IF(OR(INDEX($AI$2:$AI$1001,MATCH(ROWS($AH$2:AH612),$AH$2:$AH$1001,0),1)&gt;=100000,INDEX($AO$1005:$BQ$1005,1,MATCH(COLUMNS($AO$1006:BE1006),$AO$1006:$BQ$1006,0))&gt;=100000), " ",IF(INDEX($AO$2:$BQ$1001,MATCH(ROWS($AH$2:AH612),$AH$2:$AH$1001,0),MATCH(COLUMNS($AO$1006:BE1006),$AO$1006:$BQ$1006,0)), HYPERLINK("#",""), HYPERLINK(CONCATENATE("#Metadata!", ADDRESS(INDEX($AJ$2:$AJ$1001,MATCH(ROWS($AH$2:AH612),$AH$2:$AH$1001,0),0), INDEX($AO$1004:$BQ$1004,1,MATCH(COLUMNS($AO$1006:BE1006),$AO$1006:$BQ$1006,0)))),"Fix")))</f>
        <v>#N/A</v>
      </c>
      <c r="S612" s="5" t="e">
        <f ca="1">IF(OR(INDEX($AI$2:$AI$1001,MATCH(ROWS($AH$2:AH612),$AH$2:$AH$1001,0),1)&gt;=100000,INDEX($AO$1005:$BQ$1005,1,MATCH(COLUMNS($AO$1006:BF1006),$AO$1006:$BQ$1006,0))&gt;=100000), " ",IF(INDEX($AO$2:$BQ$1001,MATCH(ROWS($AH$2:AH612),$AH$2:$AH$1001,0),MATCH(COLUMNS($AO$1006:BF1006),$AO$1006:$BQ$1006,0)), HYPERLINK("#",""), HYPERLINK(CONCATENATE("#Metadata!", ADDRESS(INDEX($AJ$2:$AJ$1001,MATCH(ROWS($AH$2:AH612),$AH$2:$AH$1001,0),0), INDEX($AO$1004:$BQ$1004,1,MATCH(COLUMNS($AO$1006:BF1006),$AO$1006:$BQ$1006,0)))),"Fix")))</f>
        <v>#N/A</v>
      </c>
      <c r="T612" s="5" t="e">
        <f ca="1">IF(OR(INDEX($AI$2:$AI$1001,MATCH(ROWS($AH$2:AH612),$AH$2:$AH$1001,0),1)&gt;=100000,INDEX($AO$1005:$BQ$1005,1,MATCH(COLUMNS($AO$1006:BG1006),$AO$1006:$BQ$1006,0))&gt;=100000), " ",IF(INDEX($AO$2:$BQ$1001,MATCH(ROWS($AH$2:AH612),$AH$2:$AH$1001,0),MATCH(COLUMNS($AO$1006:BG1006),$AO$1006:$BQ$1006,0)), HYPERLINK("#",""), HYPERLINK(CONCATENATE("#Metadata!", ADDRESS(INDEX($AJ$2:$AJ$1001,MATCH(ROWS($AH$2:AH612),$AH$2:$AH$1001,0),0), INDEX($AO$1004:$BQ$1004,1,MATCH(COLUMNS($AO$1006:BG1006),$AO$1006:$BQ$1006,0)))),"Fix")))</f>
        <v>#N/A</v>
      </c>
      <c r="U612" s="5" t="e">
        <f ca="1">IF(OR(INDEX($AI$2:$AI$1001,MATCH(ROWS($AH$2:AH612),$AH$2:$AH$1001,0),1)&gt;=100000,INDEX($AO$1005:$BQ$1005,1,MATCH(COLUMNS($AO$1006:BH1006),$AO$1006:$BQ$1006,0))&gt;=100000), " ",IF(INDEX($AO$2:$BQ$1001,MATCH(ROWS($AH$2:AH612),$AH$2:$AH$1001,0),MATCH(COLUMNS($AO$1006:BH1006),$AO$1006:$BQ$1006,0)), HYPERLINK("#",""), HYPERLINK(CONCATENATE("#Metadata!", ADDRESS(INDEX($AJ$2:$AJ$1001,MATCH(ROWS($AH$2:AH612),$AH$2:$AH$1001,0),0), INDEX($AO$1004:$BQ$1004,1,MATCH(COLUMNS($AO$1006:BH1006),$AO$1006:$BQ$1006,0)))),"Fix")))</f>
        <v>#N/A</v>
      </c>
      <c r="V612" s="5" t="e">
        <f ca="1">IF(OR(INDEX($AI$2:$AI$1001,MATCH(ROWS($AH$2:AH612),$AH$2:$AH$1001,0),1)&gt;=100000,INDEX($AO$1005:$BQ$1005,1,MATCH(COLUMNS($AO$1006:BI1006),$AO$1006:$BQ$1006,0))&gt;=100000), " ",IF(INDEX($AO$2:$BQ$1001,MATCH(ROWS($AH$2:AH612),$AH$2:$AH$1001,0),MATCH(COLUMNS($AO$1006:BI1006),$AO$1006:$BQ$1006,0)), HYPERLINK("#",""), HYPERLINK(CONCATENATE("#Metadata!", ADDRESS(INDEX($AJ$2:$AJ$1001,MATCH(ROWS($AH$2:AH612),$AH$2:$AH$1001,0),0), INDEX($AO$1004:$BQ$1004,1,MATCH(COLUMNS($AO$1006:BI1006),$AO$1006:$BQ$1006,0)))),"Fix")))</f>
        <v>#N/A</v>
      </c>
      <c r="W612" s="5" t="e">
        <f ca="1">IF(OR(INDEX($AI$2:$AI$1001,MATCH(ROWS($AH$2:AH612),$AH$2:$AH$1001,0),1)&gt;=100000,INDEX($AO$1005:$BQ$1005,1,MATCH(COLUMNS($AO$1006:BJ1006),$AO$1006:$BQ$1006,0))&gt;=100000), " ",IF(INDEX($AO$2:$BQ$1001,MATCH(ROWS($AH$2:AH612),$AH$2:$AH$1001,0),MATCH(COLUMNS($AO$1006:BJ1006),$AO$1006:$BQ$1006,0)), HYPERLINK("#",""), HYPERLINK(CONCATENATE("#Metadata!", ADDRESS(INDEX($AJ$2:$AJ$1001,MATCH(ROWS($AH$2:AH612),$AH$2:$AH$1001,0),0), INDEX($AO$1004:$BQ$1004,1,MATCH(COLUMNS($AO$1006:BJ1006),$AO$1006:$BQ$1006,0)))),"Fix")))</f>
        <v>#N/A</v>
      </c>
      <c r="X612" s="5" t="e">
        <f ca="1">IF(OR(INDEX($AI$2:$AI$1001,MATCH(ROWS($AH$2:AH612),$AH$2:$AH$1001,0),1)&gt;=100000,INDEX($AO$1005:$BQ$1005,1,MATCH(COLUMNS($AO$1006:BK1006),$AO$1006:$BQ$1006,0))&gt;=100000), " ",IF(INDEX($AO$2:$BQ$1001,MATCH(ROWS($AH$2:AH612),$AH$2:$AH$1001,0),MATCH(COLUMNS($AO$1006:BK1006),$AO$1006:$BQ$1006,0)), HYPERLINK("#",""), HYPERLINK(CONCATENATE("#Metadata!", ADDRESS(INDEX($AJ$2:$AJ$1001,MATCH(ROWS($AH$2:AH612),$AH$2:$AH$1001,0),0), INDEX($AO$1004:$BQ$1004,1,MATCH(COLUMNS($AO$1006:BK1006),$AO$1006:$BQ$1006,0)))),"Fix")))</f>
        <v>#N/A</v>
      </c>
      <c r="Y612" s="5" t="e">
        <f ca="1">IF(OR(INDEX($AI$2:$AI$1001,MATCH(ROWS($AH$2:AH612),$AH$2:$AH$1001,0),1)&gt;=100000,INDEX($AO$1005:$BQ$1005,1,MATCH(COLUMNS($AO$1006:BL1006),$AO$1006:$BQ$1006,0))&gt;=100000), " ",IF(INDEX($AO$2:$BQ$1001,MATCH(ROWS($AH$2:AH612),$AH$2:$AH$1001,0),MATCH(COLUMNS($AO$1006:BL1006),$AO$1006:$BQ$1006,0)), HYPERLINK("#",""), HYPERLINK(CONCATENATE("#Metadata!", ADDRESS(INDEX($AJ$2:$AJ$1001,MATCH(ROWS($AH$2:AH612),$AH$2:$AH$1001,0),0), INDEX($AO$1004:$BQ$1004,1,MATCH(COLUMNS($AO$1006:BL1006),$AO$1006:$BQ$1006,0)))),"Fix")))</f>
        <v>#N/A</v>
      </c>
      <c r="Z612" s="5" t="e">
        <f ca="1">IF(OR(INDEX($AI$2:$AI$1001,MATCH(ROWS($AH$2:AH612),$AH$2:$AH$1001,0),1)&gt;=100000,INDEX($AO$1005:$BQ$1005,1,MATCH(COLUMNS($AO$1006:BM1006),$AO$1006:$BQ$1006,0))&gt;=100000), " ",IF(INDEX($AO$2:$BQ$1001,MATCH(ROWS($AH$2:AH612),$AH$2:$AH$1001,0),MATCH(COLUMNS($AO$1006:BM1006),$AO$1006:$BQ$1006,0)), HYPERLINK("#",""), HYPERLINK(CONCATENATE("#Metadata!", ADDRESS(INDEX($AJ$2:$AJ$1001,MATCH(ROWS($AH$2:AH612),$AH$2:$AH$1001,0),0), INDEX($AO$1004:$BQ$1004,1,MATCH(COLUMNS($AO$1006:BM1006),$AO$1006:$BQ$1006,0)))),"Fix")))</f>
        <v>#N/A</v>
      </c>
      <c r="AA612" s="5" t="e">
        <f ca="1">IF(OR(INDEX($AI$2:$AI$1001,MATCH(ROWS($AH$2:AH612),$AH$2:$AH$1001,0),1)&gt;=100000,INDEX($AO$1005:$BQ$1005,1,MATCH(COLUMNS($AO$1006:BN1006),$AO$1006:$BQ$1006,0))&gt;=100000), " ",IF(INDEX($AO$2:$BQ$1001,MATCH(ROWS($AH$2:AH612),$AH$2:$AH$1001,0),MATCH(COLUMNS($AO$1006:BN1006),$AO$1006:$BQ$1006,0)), HYPERLINK("#",""), HYPERLINK(CONCATENATE("#Metadata!", ADDRESS(INDEX($AJ$2:$AJ$1001,MATCH(ROWS($AH$2:AH612),$AH$2:$AH$1001,0),0), INDEX($AO$1004:$BQ$1004,1,MATCH(COLUMNS($AO$1006:BN1006),$AO$1006:$BQ$1006,0)))),"Fix")))</f>
        <v>#N/A</v>
      </c>
      <c r="AB612" s="5" t="e">
        <f ca="1">IF(OR(INDEX($AI$2:$AI$1001,MATCH(ROWS($AH$2:AH612),$AH$2:$AH$1001,0),1)&gt;=100000,INDEX($AO$1005:$BQ$1005,1,MATCH(COLUMNS($AO$1006:BO1006),$AO$1006:$BQ$1006,0))&gt;=100000), " ",IF(INDEX($AO$2:$BQ$1001,MATCH(ROWS($AH$2:AH612),$AH$2:$AH$1001,0),MATCH(COLUMNS($AO$1006:BO1006),$AO$1006:$BQ$1006,0)), HYPERLINK("#",""), HYPERLINK(CONCATENATE("#Metadata!", ADDRESS(INDEX($AJ$2:$AJ$1001,MATCH(ROWS($AH$2:AH612),$AH$2:$AH$1001,0),0), INDEX($AO$1004:$BQ$1004,1,MATCH(COLUMNS($AO$1006:BO1006),$AO$1006:$BQ$1006,0)))),"Fix")))</f>
        <v>#N/A</v>
      </c>
      <c r="AC612" s="5" t="e">
        <f ca="1">IF(OR(INDEX($AI$2:$AI$1001,MATCH(ROWS($AH$2:AH612),$AH$2:$AH$1001,0),1)&gt;=100000,INDEX($AO$1005:$BQ$1005,1,MATCH(COLUMNS($AO$1006:BP1006),$AO$1006:$BQ$1006,0))&gt;=100000), " ",IF(INDEX($AO$2:$BQ$1001,MATCH(ROWS($AH$2:AH612),$AH$2:$AH$1001,0),MATCH(COLUMNS($AO$1006:BP1006),$AO$1006:$BQ$1006,0)), HYPERLINK("#",""), HYPERLINK(CONCATENATE("#Metadata!", ADDRESS(INDEX($AJ$2:$AJ$1001,MATCH(ROWS($AH$2:AH612),$AH$2:$AH$1001,0),0), INDEX($AO$1004:$BQ$1004,1,MATCH(COLUMNS($AO$1006:BP1006),$AO$1006:$BQ$1006,0)))),"Fix")))</f>
        <v>#N/A</v>
      </c>
      <c r="AD612" s="5" t="e">
        <f ca="1">IF(OR(INDEX($AI$2:$AI$1001,MATCH(ROWS($AH$2:AH612),$AH$2:$AH$1001,0),1)&gt;=100000,INDEX($AO$1005:$BQ$1005,1,MATCH(COLUMNS($AO$1006:BQ1006),$AO$1006:$BQ$1006,0))&gt;=100000), " ",IF(INDEX($AO$2:$BQ$1001,MATCH(ROWS($AH$2:AH612),$AH$2:$AH$1001,0),MATCH(COLUMNS($AO$1006:BQ1006),$AO$1006:$BQ$1006,0)), HYPERLINK("#",""), HYPERLINK(CONCATENATE("#Metadata!", ADDRESS(INDEX($AJ$2:$AJ$1001,MATCH(ROWS($AH$2:AH612),$AH$2:$AH$1001,0),0), INDEX($AO$1004:$BQ$1004,1,MATCH(COLUMNS($AO$1006:BQ1006),$AO$1006:$BQ$1006,0)))),"Fix")))</f>
        <v>#REF!</v>
      </c>
      <c r="AH612">
        <f ca="1"/>
        <v>609</v>
      </c>
      <c r="AI612">
        <v>100612</v>
      </c>
      <c r="AJ612">
        <v>612</v>
      </c>
      <c r="AK612" t="b">
        <f t="shared" si="9"/>
        <v>1</v>
      </c>
      <c r="AL612" t="b">
        <f>COUNTBLANK(Metadata!B612:AD612)=COLUMNS(Metadata!B612:AD612)</f>
        <v>1</v>
      </c>
      <c r="AM612" t="str">
        <v/>
      </c>
      <c r="AO612" t="b">
        <f ca="1">AND(IF(Metadata!B612="",FALSE,TRUE),COUNTIF(Metadata!B:B, Metadata!B612) = 1,NOT(ISERROR(SUMPRODUCT(SEARCH(MID(Metadata!B612,ROW(INDIRECT("1:"&amp;LEN(Metadata!B612))), 1),"0123456789abcdefghijklmnopqrstuvwxyzABCDEFGHIJKLMNOPQRSTUVWXYZ.")))))</f>
        <v>0</v>
      </c>
      <c r="AP612" t="b">
        <f>IF(Metadata!C612="",FALSE,TRUE)</f>
        <v>0</v>
      </c>
      <c r="AQ612" t="b">
        <f>IF(Metadata!D612="",FALSE,TRUE)</f>
        <v>0</v>
      </c>
      <c r="AR612" t="b">
        <f ca="1">OR(AND(IF(Metadata!E612="",FALSE,TRUE),OR(EXACT(Metadata!E612,"not collected"),EXACT(Metadata!E612,"not provided"),EXACT(Metadata!E612,"restricted access"))),AND(IF(Metadata!E612="",FALSE,TRUE),AND(AND(IFERROR(INT(LEFT(Metadata!E612,4))&gt;1900,FALSE),IFERROR(INT(LEFT(Metadata!E612,4))&lt;=YEAR(NOW()),FALSE)), OR(MID(Metadata!E612,5,1)="", AND(AND(MID(Metadata!E612,5,1)="-",IFERROR(INT(MID(Metadata!E612,6,1))&gt;=0,FALSE),IFERROR(INT(MID(Metadata!E612,6,1))&lt;=1,FALSE),NOT(MID(Metadata!E612,7,1)=""),IFERROR(INT(MID(Metadata!E612,6,2))&gt;=1,FALSE),IFERROR(INT(MID(Metadata!E612,6,2))&lt;=12,FALSE)), OR(MID(Metadata!E612,8,1)="", AND(AND(MID(Metadata!E612,8,1)="-",IFERROR(INT(MID(Metadata!E612,9,1))&gt;=0,FALSE),IFERROR(INT(MID(Metadata!E612,9,1))&lt;=3,FALSE),NOT(MID(Metadata!E612,10,1)=""),IFERROR(INT(MID(Metadata!E612,9,2))&gt;=1,FALSE),IFERROR(INT(MID(Metadata!E612,9,2))&lt;=31,FALSE)), OR(MID(Metadata!E612,11,1)="", AND(AND(MID(Metadata!E612,11,1)=" ",IFERROR(INT(MID(Metadata!E612,12,1))&gt;=0,FALSE),IFERROR(INT(MID(Metadata!E612,12,1))&lt;=2,FALSE),NOT(MID(Metadata!E612,13,1)=""),IFERROR(INT(MID(Metadata!E612,12,2))&gt;=0,FALSE),IFERROR(INT(MID(Metadata!E612,12,2))&lt;=23,FALSE)), OR(MID(Metadata!E612,14,1)="", AND(AND(MID(Metadata!E612,14,1)=":",IFERROR(INT(MID(Metadata!E612,15,1))&gt;=0,FALSE),IFERROR(INT(MID(Metadata!E612,15,1))&lt;=5,FALSE),NOT(MID(Metadata!E612,16,1)=""),IFERROR(INT(MID(Metadata!E612,15,2))&gt;=0,FALSE),IFERROR(INT(MID(Metadata!E612,15,2))&lt;=59,FALSE)), OR(MID(Metadata!E612,17,1)="", AND(AND(MID(Metadata!E612,17,1)=":",IFERROR(INT(MID(Metadata!E612,18,1))&gt;=0,FALSE),IFERROR(INT(MID(Metadata!E612,18,1))&lt;=5,FALSE),NOT(MID(Metadata!E612,19,1)=""),IFERROR(INT(MID(Metadata!E612,18,2))&gt;=0,FALSE),IFERROR(INT(MID(Metadata!E612,18,2))&lt;=59,FALSE)), LEN(Metadata!E612)&lt;=19)))))))))))))</f>
        <v>0</v>
      </c>
      <c r="AS612" t="b">
        <f>IF(Metadata!F612="",FALSE,TRUE)</f>
        <v>0</v>
      </c>
      <c r="AT612" t="b">
        <f>OR(AND(IF(Metadata!G612="",FALSE,TRUE),OR(EXACT(Metadata!G612,"not collected"),EXACT(Metadata!G612,"not provided"))),AND(IF(Metadata!G612="",FALSE,TRUE),OR(EXACT(Metadata!G612,"TRUE"),EXACT(Metadata!G612,"FALSE"))))</f>
        <v>0</v>
      </c>
      <c r="AU612" t="b">
        <f>OR(AND(IF(Metadata!H612="",FALSE,TRUE),OR(EXACT(Metadata!H612,"not collected"),EXACT(Metadata!H612,"not provided"),EXACT(Metadata!H612,"restricted access"))),AND(IF(Metadata!H612="",FALSE,ISNUMBER(VALUE(Metadata!H612))),Metadata!H612&gt;=-413))</f>
        <v>0</v>
      </c>
      <c r="AV612" t="b">
        <f>AND(IF(Metadata!I612="",FALSE,TRUE),EXACT(Metadata!I612,"meters"))</f>
        <v>0</v>
      </c>
      <c r="AW612" t="b">
        <f>AND(IF(Metadata!J612="",FALSE,TRUE),EXACT(Metadata!J612,"free-living"))</f>
        <v>0</v>
      </c>
      <c r="AX612" t="b">
        <f>AND(IF(Metadata!K612="",FALSE,TRUE),OR(EXACT(Metadata!K612,"saline"),EXACT(Metadata!K612,"non-saline")))</f>
        <v>0</v>
      </c>
      <c r="AY612" t="b">
        <f>AND(IF(Metadata!L612="",FALSE,TRUE),OR(EXACT(Metadata!L612,"sub-surface (non-saline)"),EXACT(Metadata!L612,"surface (non-saline)"),EXACT(Metadata!L612,"water (non-saline)"),EXACT(Metadata!L612,"soil (non-saline)"),EXACT(Metadata!L612,"aerosol (non-saline)"),EXACT(Metadata!L612,"sediment (non-saline)"),EXACT(Metadata!L612,"surface (saline)"),EXACT(Metadata!L612,"water (saline)"),EXACT(Metadata!L612,"hypersaline (saline)"),EXACT(Metadata!L612,"aerosol (saline)"),EXACT(Metadata!L612,"sediment (saline)")))</f>
        <v>0</v>
      </c>
      <c r="AZ612" t="b">
        <f>IF(Metadata!M612="",FALSE,TRUE)</f>
        <v>0</v>
      </c>
      <c r="BA612" t="b">
        <f>IF(Metadata!N612="",FALSE,TRUE)</f>
        <v>0</v>
      </c>
      <c r="BB612" t="b">
        <f>IF(Metadata!O612="",FALSE,TRUE)</f>
        <v>0</v>
      </c>
      <c r="BC612" t="b">
        <f>AND(IF(Metadata!P612="",FALSE,TRUE),OR(EXACT(Metadata!P612,"air"),EXACT(Metadata!P612,"microbial mat/biofilm"),EXACT(Metadata!P612,"misc environment"),EXACT(Metadata!P612,"sediment"),EXACT(Metadata!P612,"soil"),EXACT(Metadata!P612,"wastewater/sludge"),EXACT(Metadata!P612,"water")))</f>
        <v>0</v>
      </c>
      <c r="BD612" t="b">
        <f>IF(Metadata!Q612="",FALSE,TRUE)</f>
        <v>0</v>
      </c>
      <c r="BE612" t="b">
        <f>IF(Metadata!R612="",FALSE,TRUE)</f>
        <v>0</v>
      </c>
      <c r="BF612" t="b">
        <f>OR(AND(IF(Metadata!S612="",FALSE,TRUE),OR(EXACT(Metadata!S612,"not collected"),EXACT(Metadata!S612,"not provided"),EXACT(Metadata!S612,"restricted access"))),AND(IF(Metadata!S612="",FALSE,ISNUMBER(VALUE(Metadata!S612))),Metadata!S612&gt;=-90,Metadata!S612&lt;=90))</f>
        <v>0</v>
      </c>
      <c r="BG612" t="b">
        <f>AND(IF(Metadata!T612="",FALSE,TRUE),EXACT(Metadata!T612,"Decimal degrees"))</f>
        <v>0</v>
      </c>
      <c r="BH612" t="b">
        <f>OR(AND(IF(Metadata!U612="",FALSE,TRUE),OR(EXACT(Metadata!U612,"not applicable"),EXACT(Metadata!U612,"not collected"))),IF(Metadata!U612="",FALSE,TRUE))</f>
        <v>0</v>
      </c>
      <c r="BI612" t="b">
        <f>OR(AND(IF(Metadata!V612="",FALSE,TRUE),OR(EXACT(Metadata!V612,"not collected"),EXACT(Metadata!V612,"not provided"),EXACT(Metadata!V612,"restricted access"))),AND(IF(Metadata!V612="",FALSE,ISNUMBER(VALUE(Metadata!V612))),Metadata!V612&gt;=-180,Metadata!V612&lt;=180))</f>
        <v>0</v>
      </c>
      <c r="BJ612" t="b">
        <f>AND(IF(Metadata!W612="",FALSE,TRUE),EXACT(Metadata!W612,"Decimal degrees"))</f>
        <v>0</v>
      </c>
      <c r="BK612" t="b">
        <f>IF(Metadata!X612="",FALSE,TRUE)</f>
        <v>0</v>
      </c>
      <c r="BL612" t="b">
        <f>OR(AND(IF(Metadata!Y612="",FALSE,TRUE),OR(EXACT(Metadata!Y612,"not collected"),EXACT(Metadata!Y612,"not provided"),EXACT(Metadata!Y612,"restricted access"))),AND(IF(Metadata!Y612="",FALSE,TRUE),OR(EXACT(Metadata!Y612,"TRUE"),EXACT(Metadata!Y612,"FALSE"))))</f>
        <v>0</v>
      </c>
      <c r="BM612" t="b">
        <f>OR(AND(IF(Metadata!Z612="",FALSE,TRUE),EXACT(Metadata!Z612,"not applicable")),AND(IF(Metadata!Z612="",FALSE,TRUE),OR(EXACT(Metadata!Z612,"beer"),EXACT(Metadata!Z612,"cheese"),EXACT(Metadata!Z612,"fresh water"),EXACT(Metadata!Z612,"marine sediment"),EXACT(Metadata!Z612,"sea water"),EXACT(Metadata!Z612,"sediment"),EXACT(Metadata!Z612,"soil"),EXACT(Metadata!Z612,"waste water"))))</f>
        <v>0</v>
      </c>
      <c r="BN612" t="b">
        <f>AND(IF(Metadata!AA612="",FALSE,TRUE),EXACT(Metadata!AA612,"metagenome"))</f>
        <v>0</v>
      </c>
      <c r="BO612" t="b">
        <f>AND(IF(Metadata!AB612="",FALSE,TRUE),EXACT(Metadata!AB612,"256318"))</f>
        <v>0</v>
      </c>
      <c r="BP612" t="b">
        <f>IF(Metadata!AC612="",FALSE,TRUE)</f>
        <v>0</v>
      </c>
      <c r="BQ612" t="b">
        <f>IF(Metadata!AD612="",FALSE,TRUE)</f>
        <v>0</v>
      </c>
    </row>
    <row r="613" spans="1:69" x14ac:dyDescent="0.2">
      <c r="A613" s="4" t="e">
        <f ca="1">IF(B613=" "," ",HYPERLINK(CONCATENATE("#metadata!",ADDRESS(INDEX($AJ$2:$AJ$1001,MATCH(ROWS($AH$2:AH613),$AH$2:$AH$1001,0),0),2)),INDEX($AM$2:$AM$1001,MATCH(ROWS($AH$2:AH613),$AH$2:$AH$1001,0),0)))</f>
        <v>#N/A</v>
      </c>
      <c r="B613" s="5" t="e">
        <f ca="1">IF(OR(INDEX($AI$2:$AI$1001,MATCH(ROWS($AH$2:AH613),$AH$2:$AH$1001,0),1)&gt;=100000,INDEX($AO$1005:$BQ$1005,1,MATCH(COLUMNS($AO$1006:AO1006),$AO$1006:$BQ$1006,0))&gt;=100000), " ",IF(INDEX($AO$2:$BQ$1001,MATCH(ROWS($AH$2:AH613),$AH$2:$AH$1001,0),MATCH(COLUMNS($AO$1006:AO1006),$AO$1006:$BQ$1006,0)), HYPERLINK("#",""), HYPERLINK(CONCATENATE("#Metadata!", ADDRESS(INDEX($AJ$2:$AJ$1001,MATCH(ROWS($AH$2:AH613),$AH$2:$AH$1001,0),0), INDEX($AO$1004:$BQ$1004,1,MATCH(COLUMNS($AO$1006:AO1006),$AO$1006:$BQ$1006,0)))),"Fix")))</f>
        <v>#N/A</v>
      </c>
      <c r="C613" s="5" t="e">
        <f ca="1">IF(OR(INDEX($AI$2:$AI$1001,MATCH(ROWS($AH$2:AH613),$AH$2:$AH$1001,0),1)&gt;=100000,INDEX($AO$1005:$BQ$1005,1,MATCH(COLUMNS($AO$1006:AP1006),$AO$1006:$BQ$1006,0))&gt;=100000), " ",IF(INDEX($AO$2:$BQ$1001,MATCH(ROWS($AH$2:AH613),$AH$2:$AH$1001,0),MATCH(COLUMNS($AO$1006:AP1006),$AO$1006:$BQ$1006,0)), HYPERLINK("#",""), HYPERLINK(CONCATENATE("#Metadata!", ADDRESS(INDEX($AJ$2:$AJ$1001,MATCH(ROWS($AH$2:AH613),$AH$2:$AH$1001,0),0), INDEX($AO$1004:$BQ$1004,1,MATCH(COLUMNS($AO$1006:AP1006),$AO$1006:$BQ$1006,0)))),"Fix")))</f>
        <v>#N/A</v>
      </c>
      <c r="D613" s="5" t="e">
        <f ca="1">IF(OR(INDEX($AI$2:$AI$1001,MATCH(ROWS($AH$2:AH613),$AH$2:$AH$1001,0),1)&gt;=100000,INDEX($AO$1005:$BQ$1005,1,MATCH(COLUMNS($AO$1006:AQ1006),$AO$1006:$BQ$1006,0))&gt;=100000), " ",IF(INDEX($AO$2:$BQ$1001,MATCH(ROWS($AH$2:AH613),$AH$2:$AH$1001,0),MATCH(COLUMNS($AO$1006:AQ1006),$AO$1006:$BQ$1006,0)), HYPERLINK("#",""), HYPERLINK(CONCATENATE("#Metadata!", ADDRESS(INDEX($AJ$2:$AJ$1001,MATCH(ROWS($AH$2:AH613),$AH$2:$AH$1001,0),0), INDEX($AO$1004:$BQ$1004,1,MATCH(COLUMNS($AO$1006:AQ1006),$AO$1006:$BQ$1006,0)))),"Fix")))</f>
        <v>#N/A</v>
      </c>
      <c r="E613" s="5" t="e">
        <f ca="1">IF(OR(INDEX($AI$2:$AI$1001,MATCH(ROWS($AH$2:AH613),$AH$2:$AH$1001,0),1)&gt;=100000,INDEX($AO$1005:$BQ$1005,1,MATCH(COLUMNS($AO$1006:AR1006),$AO$1006:$BQ$1006,0))&gt;=100000), " ",IF(INDEX($AO$2:$BQ$1001,MATCH(ROWS($AH$2:AH613),$AH$2:$AH$1001,0),MATCH(COLUMNS($AO$1006:AR1006),$AO$1006:$BQ$1006,0)), HYPERLINK("#",""), HYPERLINK(CONCATENATE("#Metadata!", ADDRESS(INDEX($AJ$2:$AJ$1001,MATCH(ROWS($AH$2:AH613),$AH$2:$AH$1001,0),0), INDEX($AO$1004:$BQ$1004,1,MATCH(COLUMNS($AO$1006:AR1006),$AO$1006:$BQ$1006,0)))),"Fix")))</f>
        <v>#N/A</v>
      </c>
      <c r="F613" s="5" t="e">
        <f ca="1">IF(OR(INDEX($AI$2:$AI$1001,MATCH(ROWS($AH$2:AH613),$AH$2:$AH$1001,0),1)&gt;=100000,INDEX($AO$1005:$BQ$1005,1,MATCH(COLUMNS($AO$1006:AS1006),$AO$1006:$BQ$1006,0))&gt;=100000), " ",IF(INDEX($AO$2:$BQ$1001,MATCH(ROWS($AH$2:AH613),$AH$2:$AH$1001,0),MATCH(COLUMNS($AO$1006:AS1006),$AO$1006:$BQ$1006,0)), HYPERLINK("#",""), HYPERLINK(CONCATENATE("#Metadata!", ADDRESS(INDEX($AJ$2:$AJ$1001,MATCH(ROWS($AH$2:AH613),$AH$2:$AH$1001,0),0), INDEX($AO$1004:$BQ$1004,1,MATCH(COLUMNS($AO$1006:AS1006),$AO$1006:$BQ$1006,0)))),"Fix")))</f>
        <v>#N/A</v>
      </c>
      <c r="G613" s="5" t="e">
        <f ca="1">IF(OR(INDEX($AI$2:$AI$1001,MATCH(ROWS($AH$2:AH613),$AH$2:$AH$1001,0),1)&gt;=100000,INDEX($AO$1005:$BQ$1005,1,MATCH(COLUMNS($AO$1006:AT1006),$AO$1006:$BQ$1006,0))&gt;=100000), " ",IF(INDEX($AO$2:$BQ$1001,MATCH(ROWS($AH$2:AH613),$AH$2:$AH$1001,0),MATCH(COLUMNS($AO$1006:AT1006),$AO$1006:$BQ$1006,0)), HYPERLINK("#",""), HYPERLINK(CONCATENATE("#Metadata!", ADDRESS(INDEX($AJ$2:$AJ$1001,MATCH(ROWS($AH$2:AH613),$AH$2:$AH$1001,0),0), INDEX($AO$1004:$BQ$1004,1,MATCH(COLUMNS($AO$1006:AT1006),$AO$1006:$BQ$1006,0)))),"Fix")))</f>
        <v>#N/A</v>
      </c>
      <c r="H613" s="5" t="e">
        <f ca="1">IF(OR(INDEX($AI$2:$AI$1001,MATCH(ROWS($AH$2:AH613),$AH$2:$AH$1001,0),1)&gt;=100000,INDEX($AO$1005:$BQ$1005,1,MATCH(COLUMNS($AO$1006:AU1006),$AO$1006:$BQ$1006,0))&gt;=100000), " ",IF(INDEX($AO$2:$BQ$1001,MATCH(ROWS($AH$2:AH613),$AH$2:$AH$1001,0),MATCH(COLUMNS($AO$1006:AU1006),$AO$1006:$BQ$1006,0)), HYPERLINK("#",""), HYPERLINK(CONCATENATE("#Metadata!", ADDRESS(INDEX($AJ$2:$AJ$1001,MATCH(ROWS($AH$2:AH613),$AH$2:$AH$1001,0),0), INDEX($AO$1004:$BQ$1004,1,MATCH(COLUMNS($AO$1006:AU1006),$AO$1006:$BQ$1006,0)))),"Fix")))</f>
        <v>#N/A</v>
      </c>
      <c r="I613" s="5" t="e">
        <f ca="1">IF(OR(INDEX($AI$2:$AI$1001,MATCH(ROWS($AH$2:AH613),$AH$2:$AH$1001,0),1)&gt;=100000,INDEX($AO$1005:$BQ$1005,1,MATCH(COLUMNS($AO$1006:AV1006),$AO$1006:$BQ$1006,0))&gt;=100000), " ",IF(INDEX($AO$2:$BQ$1001,MATCH(ROWS($AH$2:AH613),$AH$2:$AH$1001,0),MATCH(COLUMNS($AO$1006:AV1006),$AO$1006:$BQ$1006,0)), HYPERLINK("#",""), HYPERLINK(CONCATENATE("#Metadata!", ADDRESS(INDEX($AJ$2:$AJ$1001,MATCH(ROWS($AH$2:AH613),$AH$2:$AH$1001,0),0), INDEX($AO$1004:$BQ$1004,1,MATCH(COLUMNS($AO$1006:AV1006),$AO$1006:$BQ$1006,0)))),"Fix")))</f>
        <v>#N/A</v>
      </c>
      <c r="J613" s="5" t="e">
        <f ca="1">IF(OR(INDEX($AI$2:$AI$1001,MATCH(ROWS($AH$2:AH613),$AH$2:$AH$1001,0),1)&gt;=100000,INDEX($AO$1005:$BQ$1005,1,MATCH(COLUMNS($AO$1006:AW1006),$AO$1006:$BQ$1006,0))&gt;=100000), " ",IF(INDEX($AO$2:$BQ$1001,MATCH(ROWS($AH$2:AH613),$AH$2:$AH$1001,0),MATCH(COLUMNS($AO$1006:AW1006),$AO$1006:$BQ$1006,0)), HYPERLINK("#",""), HYPERLINK(CONCATENATE("#Metadata!", ADDRESS(INDEX($AJ$2:$AJ$1001,MATCH(ROWS($AH$2:AH613),$AH$2:$AH$1001,0),0), INDEX($AO$1004:$BQ$1004,1,MATCH(COLUMNS($AO$1006:AW1006),$AO$1006:$BQ$1006,0)))),"Fix")))</f>
        <v>#N/A</v>
      </c>
      <c r="K613" s="5" t="e">
        <f ca="1">IF(OR(INDEX($AI$2:$AI$1001,MATCH(ROWS($AH$2:AH613),$AH$2:$AH$1001,0),1)&gt;=100000,INDEX($AO$1005:$BQ$1005,1,MATCH(COLUMNS($AO$1006:AX1006),$AO$1006:$BQ$1006,0))&gt;=100000), " ",IF(INDEX($AO$2:$BQ$1001,MATCH(ROWS($AH$2:AH613),$AH$2:$AH$1001,0),MATCH(COLUMNS($AO$1006:AX1006),$AO$1006:$BQ$1006,0)), HYPERLINK("#",""), HYPERLINK(CONCATENATE("#Metadata!", ADDRESS(INDEX($AJ$2:$AJ$1001,MATCH(ROWS($AH$2:AH613),$AH$2:$AH$1001,0),0), INDEX($AO$1004:$BQ$1004,1,MATCH(COLUMNS($AO$1006:AX1006),$AO$1006:$BQ$1006,0)))),"Fix")))</f>
        <v>#N/A</v>
      </c>
      <c r="L613" s="5" t="e">
        <f ca="1">IF(OR(INDEX($AI$2:$AI$1001,MATCH(ROWS($AH$2:AH613),$AH$2:$AH$1001,0),1)&gt;=100000,INDEX($AO$1005:$BQ$1005,1,MATCH(COLUMNS($AO$1006:AY1006),$AO$1006:$BQ$1006,0))&gt;=100000), " ",IF(INDEX($AO$2:$BQ$1001,MATCH(ROWS($AH$2:AH613),$AH$2:$AH$1001,0),MATCH(COLUMNS($AO$1006:AY1006),$AO$1006:$BQ$1006,0)), HYPERLINK("#",""), HYPERLINK(CONCATENATE("#Metadata!", ADDRESS(INDEX($AJ$2:$AJ$1001,MATCH(ROWS($AH$2:AH613),$AH$2:$AH$1001,0),0), INDEX($AO$1004:$BQ$1004,1,MATCH(COLUMNS($AO$1006:AY1006),$AO$1006:$BQ$1006,0)))),"Fix")))</f>
        <v>#N/A</v>
      </c>
      <c r="M613" s="5" t="e">
        <f ca="1">IF(OR(INDEX($AI$2:$AI$1001,MATCH(ROWS($AH$2:AH613),$AH$2:$AH$1001,0),1)&gt;=100000,INDEX($AO$1005:$BQ$1005,1,MATCH(COLUMNS($AO$1006:AZ1006),$AO$1006:$BQ$1006,0))&gt;=100000), " ",IF(INDEX($AO$2:$BQ$1001,MATCH(ROWS($AH$2:AH613),$AH$2:$AH$1001,0),MATCH(COLUMNS($AO$1006:AZ1006),$AO$1006:$BQ$1006,0)), HYPERLINK("#",""), HYPERLINK(CONCATENATE("#Metadata!", ADDRESS(INDEX($AJ$2:$AJ$1001,MATCH(ROWS($AH$2:AH613),$AH$2:$AH$1001,0),0), INDEX($AO$1004:$BQ$1004,1,MATCH(COLUMNS($AO$1006:AZ1006),$AO$1006:$BQ$1006,0)))),"Fix")))</f>
        <v>#N/A</v>
      </c>
      <c r="N613" s="5" t="e">
        <f ca="1">IF(OR(INDEX($AI$2:$AI$1001,MATCH(ROWS($AH$2:AH613),$AH$2:$AH$1001,0),1)&gt;=100000,INDEX($AO$1005:$BQ$1005,1,MATCH(COLUMNS($AO$1006:BA1006),$AO$1006:$BQ$1006,0))&gt;=100000), " ",IF(INDEX($AO$2:$BQ$1001,MATCH(ROWS($AH$2:AH613),$AH$2:$AH$1001,0),MATCH(COLUMNS($AO$1006:BA1006),$AO$1006:$BQ$1006,0)), HYPERLINK("#",""), HYPERLINK(CONCATENATE("#Metadata!", ADDRESS(INDEX($AJ$2:$AJ$1001,MATCH(ROWS($AH$2:AH613),$AH$2:$AH$1001,0),0), INDEX($AO$1004:$BQ$1004,1,MATCH(COLUMNS($AO$1006:BA1006),$AO$1006:$BQ$1006,0)))),"Fix")))</f>
        <v>#N/A</v>
      </c>
      <c r="O613" s="5" t="e">
        <f ca="1">IF(OR(INDEX($AI$2:$AI$1001,MATCH(ROWS($AH$2:AH613),$AH$2:$AH$1001,0),1)&gt;=100000,INDEX($AO$1005:$BQ$1005,1,MATCH(COLUMNS($AO$1006:BB1006),$AO$1006:$BQ$1006,0))&gt;=100000), " ",IF(INDEX($AO$2:$BQ$1001,MATCH(ROWS($AH$2:AH613),$AH$2:$AH$1001,0),MATCH(COLUMNS($AO$1006:BB1006),$AO$1006:$BQ$1006,0)), HYPERLINK("#",""), HYPERLINK(CONCATENATE("#Metadata!", ADDRESS(INDEX($AJ$2:$AJ$1001,MATCH(ROWS($AH$2:AH613),$AH$2:$AH$1001,0),0), INDEX($AO$1004:$BQ$1004,1,MATCH(COLUMNS($AO$1006:BB1006),$AO$1006:$BQ$1006,0)))),"Fix")))</f>
        <v>#N/A</v>
      </c>
      <c r="P613" s="5" t="e">
        <f ca="1">IF(OR(INDEX($AI$2:$AI$1001,MATCH(ROWS($AH$2:AH613),$AH$2:$AH$1001,0),1)&gt;=100000,INDEX($AO$1005:$BQ$1005,1,MATCH(COLUMNS($AO$1006:BC1006),$AO$1006:$BQ$1006,0))&gt;=100000), " ",IF(INDEX($AO$2:$BQ$1001,MATCH(ROWS($AH$2:AH613),$AH$2:$AH$1001,0),MATCH(COLUMNS($AO$1006:BC1006),$AO$1006:$BQ$1006,0)), HYPERLINK("#",""), HYPERLINK(CONCATENATE("#Metadata!", ADDRESS(INDEX($AJ$2:$AJ$1001,MATCH(ROWS($AH$2:AH613),$AH$2:$AH$1001,0),0), INDEX($AO$1004:$BQ$1004,1,MATCH(COLUMNS($AO$1006:BC1006),$AO$1006:$BQ$1006,0)))),"Fix")))</f>
        <v>#N/A</v>
      </c>
      <c r="Q613" s="5" t="e">
        <f ca="1">IF(OR(INDEX($AI$2:$AI$1001,MATCH(ROWS($AH$2:AH613),$AH$2:$AH$1001,0),1)&gt;=100000,INDEX($AO$1005:$BQ$1005,1,MATCH(COLUMNS($AO$1006:BD1006),$AO$1006:$BQ$1006,0))&gt;=100000), " ",IF(INDEX($AO$2:$BQ$1001,MATCH(ROWS($AH$2:AH613),$AH$2:$AH$1001,0),MATCH(COLUMNS($AO$1006:BD1006),$AO$1006:$BQ$1006,0)), HYPERLINK("#",""), HYPERLINK(CONCATENATE("#Metadata!", ADDRESS(INDEX($AJ$2:$AJ$1001,MATCH(ROWS($AH$2:AH613),$AH$2:$AH$1001,0),0), INDEX($AO$1004:$BQ$1004,1,MATCH(COLUMNS($AO$1006:BD1006),$AO$1006:$BQ$1006,0)))),"Fix")))</f>
        <v>#N/A</v>
      </c>
      <c r="R613" s="5" t="e">
        <f ca="1">IF(OR(INDEX($AI$2:$AI$1001,MATCH(ROWS($AH$2:AH613),$AH$2:$AH$1001,0),1)&gt;=100000,INDEX($AO$1005:$BQ$1005,1,MATCH(COLUMNS($AO$1006:BE1006),$AO$1006:$BQ$1006,0))&gt;=100000), " ",IF(INDEX($AO$2:$BQ$1001,MATCH(ROWS($AH$2:AH613),$AH$2:$AH$1001,0),MATCH(COLUMNS($AO$1006:BE1006),$AO$1006:$BQ$1006,0)), HYPERLINK("#",""), HYPERLINK(CONCATENATE("#Metadata!", ADDRESS(INDEX($AJ$2:$AJ$1001,MATCH(ROWS($AH$2:AH613),$AH$2:$AH$1001,0),0), INDEX($AO$1004:$BQ$1004,1,MATCH(COLUMNS($AO$1006:BE1006),$AO$1006:$BQ$1006,0)))),"Fix")))</f>
        <v>#N/A</v>
      </c>
      <c r="S613" s="5" t="e">
        <f ca="1">IF(OR(INDEX($AI$2:$AI$1001,MATCH(ROWS($AH$2:AH613),$AH$2:$AH$1001,0),1)&gt;=100000,INDEX($AO$1005:$BQ$1005,1,MATCH(COLUMNS($AO$1006:BF1006),$AO$1006:$BQ$1006,0))&gt;=100000), " ",IF(INDEX($AO$2:$BQ$1001,MATCH(ROWS($AH$2:AH613),$AH$2:$AH$1001,0),MATCH(COLUMNS($AO$1006:BF1006),$AO$1006:$BQ$1006,0)), HYPERLINK("#",""), HYPERLINK(CONCATENATE("#Metadata!", ADDRESS(INDEX($AJ$2:$AJ$1001,MATCH(ROWS($AH$2:AH613),$AH$2:$AH$1001,0),0), INDEX($AO$1004:$BQ$1004,1,MATCH(COLUMNS($AO$1006:BF1006),$AO$1006:$BQ$1006,0)))),"Fix")))</f>
        <v>#N/A</v>
      </c>
      <c r="T613" s="5" t="e">
        <f ca="1">IF(OR(INDEX($AI$2:$AI$1001,MATCH(ROWS($AH$2:AH613),$AH$2:$AH$1001,0),1)&gt;=100000,INDEX($AO$1005:$BQ$1005,1,MATCH(COLUMNS($AO$1006:BG1006),$AO$1006:$BQ$1006,0))&gt;=100000), " ",IF(INDEX($AO$2:$BQ$1001,MATCH(ROWS($AH$2:AH613),$AH$2:$AH$1001,0),MATCH(COLUMNS($AO$1006:BG1006),$AO$1006:$BQ$1006,0)), HYPERLINK("#",""), HYPERLINK(CONCATENATE("#Metadata!", ADDRESS(INDEX($AJ$2:$AJ$1001,MATCH(ROWS($AH$2:AH613),$AH$2:$AH$1001,0),0), INDEX($AO$1004:$BQ$1004,1,MATCH(COLUMNS($AO$1006:BG1006),$AO$1006:$BQ$1006,0)))),"Fix")))</f>
        <v>#N/A</v>
      </c>
      <c r="U613" s="5" t="e">
        <f ca="1">IF(OR(INDEX($AI$2:$AI$1001,MATCH(ROWS($AH$2:AH613),$AH$2:$AH$1001,0),1)&gt;=100000,INDEX($AO$1005:$BQ$1005,1,MATCH(COLUMNS($AO$1006:BH1006),$AO$1006:$BQ$1006,0))&gt;=100000), " ",IF(INDEX($AO$2:$BQ$1001,MATCH(ROWS($AH$2:AH613),$AH$2:$AH$1001,0),MATCH(COLUMNS($AO$1006:BH1006),$AO$1006:$BQ$1006,0)), HYPERLINK("#",""), HYPERLINK(CONCATENATE("#Metadata!", ADDRESS(INDEX($AJ$2:$AJ$1001,MATCH(ROWS($AH$2:AH613),$AH$2:$AH$1001,0),0), INDEX($AO$1004:$BQ$1004,1,MATCH(COLUMNS($AO$1006:BH1006),$AO$1006:$BQ$1006,0)))),"Fix")))</f>
        <v>#N/A</v>
      </c>
      <c r="V613" s="5" t="e">
        <f ca="1">IF(OR(INDEX($AI$2:$AI$1001,MATCH(ROWS($AH$2:AH613),$AH$2:$AH$1001,0),1)&gt;=100000,INDEX($AO$1005:$BQ$1005,1,MATCH(COLUMNS($AO$1006:BI1006),$AO$1006:$BQ$1006,0))&gt;=100000), " ",IF(INDEX($AO$2:$BQ$1001,MATCH(ROWS($AH$2:AH613),$AH$2:$AH$1001,0),MATCH(COLUMNS($AO$1006:BI1006),$AO$1006:$BQ$1006,0)), HYPERLINK("#",""), HYPERLINK(CONCATENATE("#Metadata!", ADDRESS(INDEX($AJ$2:$AJ$1001,MATCH(ROWS($AH$2:AH613),$AH$2:$AH$1001,0),0), INDEX($AO$1004:$BQ$1004,1,MATCH(COLUMNS($AO$1006:BI1006),$AO$1006:$BQ$1006,0)))),"Fix")))</f>
        <v>#N/A</v>
      </c>
      <c r="W613" s="5" t="e">
        <f ca="1">IF(OR(INDEX($AI$2:$AI$1001,MATCH(ROWS($AH$2:AH613),$AH$2:$AH$1001,0),1)&gt;=100000,INDEX($AO$1005:$BQ$1005,1,MATCH(COLUMNS($AO$1006:BJ1006),$AO$1006:$BQ$1006,0))&gt;=100000), " ",IF(INDEX($AO$2:$BQ$1001,MATCH(ROWS($AH$2:AH613),$AH$2:$AH$1001,0),MATCH(COLUMNS($AO$1006:BJ1006),$AO$1006:$BQ$1006,0)), HYPERLINK("#",""), HYPERLINK(CONCATENATE("#Metadata!", ADDRESS(INDEX($AJ$2:$AJ$1001,MATCH(ROWS($AH$2:AH613),$AH$2:$AH$1001,0),0), INDEX($AO$1004:$BQ$1004,1,MATCH(COLUMNS($AO$1006:BJ1006),$AO$1006:$BQ$1006,0)))),"Fix")))</f>
        <v>#N/A</v>
      </c>
      <c r="X613" s="5" t="e">
        <f ca="1">IF(OR(INDEX($AI$2:$AI$1001,MATCH(ROWS($AH$2:AH613),$AH$2:$AH$1001,0),1)&gt;=100000,INDEX($AO$1005:$BQ$1005,1,MATCH(COLUMNS($AO$1006:BK1006),$AO$1006:$BQ$1006,0))&gt;=100000), " ",IF(INDEX($AO$2:$BQ$1001,MATCH(ROWS($AH$2:AH613),$AH$2:$AH$1001,0),MATCH(COLUMNS($AO$1006:BK1006),$AO$1006:$BQ$1006,0)), HYPERLINK("#",""), HYPERLINK(CONCATENATE("#Metadata!", ADDRESS(INDEX($AJ$2:$AJ$1001,MATCH(ROWS($AH$2:AH613),$AH$2:$AH$1001,0),0), INDEX($AO$1004:$BQ$1004,1,MATCH(COLUMNS($AO$1006:BK1006),$AO$1006:$BQ$1006,0)))),"Fix")))</f>
        <v>#N/A</v>
      </c>
      <c r="Y613" s="5" t="e">
        <f ca="1">IF(OR(INDEX($AI$2:$AI$1001,MATCH(ROWS($AH$2:AH613),$AH$2:$AH$1001,0),1)&gt;=100000,INDEX($AO$1005:$BQ$1005,1,MATCH(COLUMNS($AO$1006:BL1006),$AO$1006:$BQ$1006,0))&gt;=100000), " ",IF(INDEX($AO$2:$BQ$1001,MATCH(ROWS($AH$2:AH613),$AH$2:$AH$1001,0),MATCH(COLUMNS($AO$1006:BL1006),$AO$1006:$BQ$1006,0)), HYPERLINK("#",""), HYPERLINK(CONCATENATE("#Metadata!", ADDRESS(INDEX($AJ$2:$AJ$1001,MATCH(ROWS($AH$2:AH613),$AH$2:$AH$1001,0),0), INDEX($AO$1004:$BQ$1004,1,MATCH(COLUMNS($AO$1006:BL1006),$AO$1006:$BQ$1006,0)))),"Fix")))</f>
        <v>#N/A</v>
      </c>
      <c r="Z613" s="5" t="e">
        <f ca="1">IF(OR(INDEX($AI$2:$AI$1001,MATCH(ROWS($AH$2:AH613),$AH$2:$AH$1001,0),1)&gt;=100000,INDEX($AO$1005:$BQ$1005,1,MATCH(COLUMNS($AO$1006:BM1006),$AO$1006:$BQ$1006,0))&gt;=100000), " ",IF(INDEX($AO$2:$BQ$1001,MATCH(ROWS($AH$2:AH613),$AH$2:$AH$1001,0),MATCH(COLUMNS($AO$1006:BM1006),$AO$1006:$BQ$1006,0)), HYPERLINK("#",""), HYPERLINK(CONCATENATE("#Metadata!", ADDRESS(INDEX($AJ$2:$AJ$1001,MATCH(ROWS($AH$2:AH613),$AH$2:$AH$1001,0),0), INDEX($AO$1004:$BQ$1004,1,MATCH(COLUMNS($AO$1006:BM1006),$AO$1006:$BQ$1006,0)))),"Fix")))</f>
        <v>#N/A</v>
      </c>
      <c r="AA613" s="5" t="e">
        <f ca="1">IF(OR(INDEX($AI$2:$AI$1001,MATCH(ROWS($AH$2:AH613),$AH$2:$AH$1001,0),1)&gt;=100000,INDEX($AO$1005:$BQ$1005,1,MATCH(COLUMNS($AO$1006:BN1006),$AO$1006:$BQ$1006,0))&gt;=100000), " ",IF(INDEX($AO$2:$BQ$1001,MATCH(ROWS($AH$2:AH613),$AH$2:$AH$1001,0),MATCH(COLUMNS($AO$1006:BN1006),$AO$1006:$BQ$1006,0)), HYPERLINK("#",""), HYPERLINK(CONCATENATE("#Metadata!", ADDRESS(INDEX($AJ$2:$AJ$1001,MATCH(ROWS($AH$2:AH613),$AH$2:$AH$1001,0),0), INDEX($AO$1004:$BQ$1004,1,MATCH(COLUMNS($AO$1006:BN1006),$AO$1006:$BQ$1006,0)))),"Fix")))</f>
        <v>#N/A</v>
      </c>
      <c r="AB613" s="5" t="e">
        <f ca="1">IF(OR(INDEX($AI$2:$AI$1001,MATCH(ROWS($AH$2:AH613),$AH$2:$AH$1001,0),1)&gt;=100000,INDEX($AO$1005:$BQ$1005,1,MATCH(COLUMNS($AO$1006:BO1006),$AO$1006:$BQ$1006,0))&gt;=100000), " ",IF(INDEX($AO$2:$BQ$1001,MATCH(ROWS($AH$2:AH613),$AH$2:$AH$1001,0),MATCH(COLUMNS($AO$1006:BO1006),$AO$1006:$BQ$1006,0)), HYPERLINK("#",""), HYPERLINK(CONCATENATE("#Metadata!", ADDRESS(INDEX($AJ$2:$AJ$1001,MATCH(ROWS($AH$2:AH613),$AH$2:$AH$1001,0),0), INDEX($AO$1004:$BQ$1004,1,MATCH(COLUMNS($AO$1006:BO1006),$AO$1006:$BQ$1006,0)))),"Fix")))</f>
        <v>#N/A</v>
      </c>
      <c r="AC613" s="5" t="e">
        <f ca="1">IF(OR(INDEX($AI$2:$AI$1001,MATCH(ROWS($AH$2:AH613),$AH$2:$AH$1001,0),1)&gt;=100000,INDEX($AO$1005:$BQ$1005,1,MATCH(COLUMNS($AO$1006:BP1006),$AO$1006:$BQ$1006,0))&gt;=100000), " ",IF(INDEX($AO$2:$BQ$1001,MATCH(ROWS($AH$2:AH613),$AH$2:$AH$1001,0),MATCH(COLUMNS($AO$1006:BP1006),$AO$1006:$BQ$1006,0)), HYPERLINK("#",""), HYPERLINK(CONCATENATE("#Metadata!", ADDRESS(INDEX($AJ$2:$AJ$1001,MATCH(ROWS($AH$2:AH613),$AH$2:$AH$1001,0),0), INDEX($AO$1004:$BQ$1004,1,MATCH(COLUMNS($AO$1006:BP1006),$AO$1006:$BQ$1006,0)))),"Fix")))</f>
        <v>#N/A</v>
      </c>
      <c r="AD613" s="5" t="e">
        <f ca="1">IF(OR(INDEX($AI$2:$AI$1001,MATCH(ROWS($AH$2:AH613),$AH$2:$AH$1001,0),1)&gt;=100000,INDEX($AO$1005:$BQ$1005,1,MATCH(COLUMNS($AO$1006:BQ1006),$AO$1006:$BQ$1006,0))&gt;=100000), " ",IF(INDEX($AO$2:$BQ$1001,MATCH(ROWS($AH$2:AH613),$AH$2:$AH$1001,0),MATCH(COLUMNS($AO$1006:BQ1006),$AO$1006:$BQ$1006,0)), HYPERLINK("#",""), HYPERLINK(CONCATENATE("#Metadata!", ADDRESS(INDEX($AJ$2:$AJ$1001,MATCH(ROWS($AH$2:AH613),$AH$2:$AH$1001,0),0), INDEX($AO$1004:$BQ$1004,1,MATCH(COLUMNS($AO$1006:BQ1006),$AO$1006:$BQ$1006,0)))),"Fix")))</f>
        <v>#REF!</v>
      </c>
      <c r="AH613">
        <f ca="1"/>
        <v>610</v>
      </c>
      <c r="AI613">
        <v>100613</v>
      </c>
      <c r="AJ613">
        <v>613</v>
      </c>
      <c r="AK613" t="b">
        <f t="shared" si="9"/>
        <v>1</v>
      </c>
      <c r="AL613" t="b">
        <f>COUNTBLANK(Metadata!B613:AD613)=COLUMNS(Metadata!B613:AD613)</f>
        <v>1</v>
      </c>
      <c r="AM613" t="str">
        <v/>
      </c>
      <c r="AO613" t="b">
        <f ca="1">AND(IF(Metadata!B613="",FALSE,TRUE),COUNTIF(Metadata!B:B, Metadata!B613) = 1,NOT(ISERROR(SUMPRODUCT(SEARCH(MID(Metadata!B613,ROW(INDIRECT("1:"&amp;LEN(Metadata!B613))), 1),"0123456789abcdefghijklmnopqrstuvwxyzABCDEFGHIJKLMNOPQRSTUVWXYZ.")))))</f>
        <v>0</v>
      </c>
      <c r="AP613" t="b">
        <f>IF(Metadata!C613="",FALSE,TRUE)</f>
        <v>0</v>
      </c>
      <c r="AQ613" t="b">
        <f>IF(Metadata!D613="",FALSE,TRUE)</f>
        <v>0</v>
      </c>
      <c r="AR613" t="b">
        <f ca="1">OR(AND(IF(Metadata!E613="",FALSE,TRUE),OR(EXACT(Metadata!E613,"not collected"),EXACT(Metadata!E613,"not provided"),EXACT(Metadata!E613,"restricted access"))),AND(IF(Metadata!E613="",FALSE,TRUE),AND(AND(IFERROR(INT(LEFT(Metadata!E613,4))&gt;1900,FALSE),IFERROR(INT(LEFT(Metadata!E613,4))&lt;=YEAR(NOW()),FALSE)), OR(MID(Metadata!E613,5,1)="", AND(AND(MID(Metadata!E613,5,1)="-",IFERROR(INT(MID(Metadata!E613,6,1))&gt;=0,FALSE),IFERROR(INT(MID(Metadata!E613,6,1))&lt;=1,FALSE),NOT(MID(Metadata!E613,7,1)=""),IFERROR(INT(MID(Metadata!E613,6,2))&gt;=1,FALSE),IFERROR(INT(MID(Metadata!E613,6,2))&lt;=12,FALSE)), OR(MID(Metadata!E613,8,1)="", AND(AND(MID(Metadata!E613,8,1)="-",IFERROR(INT(MID(Metadata!E613,9,1))&gt;=0,FALSE),IFERROR(INT(MID(Metadata!E613,9,1))&lt;=3,FALSE),NOT(MID(Metadata!E613,10,1)=""),IFERROR(INT(MID(Metadata!E613,9,2))&gt;=1,FALSE),IFERROR(INT(MID(Metadata!E613,9,2))&lt;=31,FALSE)), OR(MID(Metadata!E613,11,1)="", AND(AND(MID(Metadata!E613,11,1)=" ",IFERROR(INT(MID(Metadata!E613,12,1))&gt;=0,FALSE),IFERROR(INT(MID(Metadata!E613,12,1))&lt;=2,FALSE),NOT(MID(Metadata!E613,13,1)=""),IFERROR(INT(MID(Metadata!E613,12,2))&gt;=0,FALSE),IFERROR(INT(MID(Metadata!E613,12,2))&lt;=23,FALSE)), OR(MID(Metadata!E613,14,1)="", AND(AND(MID(Metadata!E613,14,1)=":",IFERROR(INT(MID(Metadata!E613,15,1))&gt;=0,FALSE),IFERROR(INT(MID(Metadata!E613,15,1))&lt;=5,FALSE),NOT(MID(Metadata!E613,16,1)=""),IFERROR(INT(MID(Metadata!E613,15,2))&gt;=0,FALSE),IFERROR(INT(MID(Metadata!E613,15,2))&lt;=59,FALSE)), OR(MID(Metadata!E613,17,1)="", AND(AND(MID(Metadata!E613,17,1)=":",IFERROR(INT(MID(Metadata!E613,18,1))&gt;=0,FALSE),IFERROR(INT(MID(Metadata!E613,18,1))&lt;=5,FALSE),NOT(MID(Metadata!E613,19,1)=""),IFERROR(INT(MID(Metadata!E613,18,2))&gt;=0,FALSE),IFERROR(INT(MID(Metadata!E613,18,2))&lt;=59,FALSE)), LEN(Metadata!E613)&lt;=19)))))))))))))</f>
        <v>0</v>
      </c>
      <c r="AS613" t="b">
        <f>IF(Metadata!F613="",FALSE,TRUE)</f>
        <v>0</v>
      </c>
      <c r="AT613" t="b">
        <f>OR(AND(IF(Metadata!G613="",FALSE,TRUE),OR(EXACT(Metadata!G613,"not collected"),EXACT(Metadata!G613,"not provided"))),AND(IF(Metadata!G613="",FALSE,TRUE),OR(EXACT(Metadata!G613,"TRUE"),EXACT(Metadata!G613,"FALSE"))))</f>
        <v>0</v>
      </c>
      <c r="AU613" t="b">
        <f>OR(AND(IF(Metadata!H613="",FALSE,TRUE),OR(EXACT(Metadata!H613,"not collected"),EXACT(Metadata!H613,"not provided"),EXACT(Metadata!H613,"restricted access"))),AND(IF(Metadata!H613="",FALSE,ISNUMBER(VALUE(Metadata!H613))),Metadata!H613&gt;=-413))</f>
        <v>0</v>
      </c>
      <c r="AV613" t="b">
        <f>AND(IF(Metadata!I613="",FALSE,TRUE),EXACT(Metadata!I613,"meters"))</f>
        <v>0</v>
      </c>
      <c r="AW613" t="b">
        <f>AND(IF(Metadata!J613="",FALSE,TRUE),EXACT(Metadata!J613,"free-living"))</f>
        <v>0</v>
      </c>
      <c r="AX613" t="b">
        <f>AND(IF(Metadata!K613="",FALSE,TRUE),OR(EXACT(Metadata!K613,"saline"),EXACT(Metadata!K613,"non-saline")))</f>
        <v>0</v>
      </c>
      <c r="AY613" t="b">
        <f>AND(IF(Metadata!L613="",FALSE,TRUE),OR(EXACT(Metadata!L613,"sub-surface (non-saline)"),EXACT(Metadata!L613,"surface (non-saline)"),EXACT(Metadata!L613,"water (non-saline)"),EXACT(Metadata!L613,"soil (non-saline)"),EXACT(Metadata!L613,"aerosol (non-saline)"),EXACT(Metadata!L613,"sediment (non-saline)"),EXACT(Metadata!L613,"surface (saline)"),EXACT(Metadata!L613,"water (saline)"),EXACT(Metadata!L613,"hypersaline (saline)"),EXACT(Metadata!L613,"aerosol (saline)"),EXACT(Metadata!L613,"sediment (saline)")))</f>
        <v>0</v>
      </c>
      <c r="AZ613" t="b">
        <f>IF(Metadata!M613="",FALSE,TRUE)</f>
        <v>0</v>
      </c>
      <c r="BA613" t="b">
        <f>IF(Metadata!N613="",FALSE,TRUE)</f>
        <v>0</v>
      </c>
      <c r="BB613" t="b">
        <f>IF(Metadata!O613="",FALSE,TRUE)</f>
        <v>0</v>
      </c>
      <c r="BC613" t="b">
        <f>AND(IF(Metadata!P613="",FALSE,TRUE),OR(EXACT(Metadata!P613,"air"),EXACT(Metadata!P613,"microbial mat/biofilm"),EXACT(Metadata!P613,"misc environment"),EXACT(Metadata!P613,"sediment"),EXACT(Metadata!P613,"soil"),EXACT(Metadata!P613,"wastewater/sludge"),EXACT(Metadata!P613,"water")))</f>
        <v>0</v>
      </c>
      <c r="BD613" t="b">
        <f>IF(Metadata!Q613="",FALSE,TRUE)</f>
        <v>0</v>
      </c>
      <c r="BE613" t="b">
        <f>IF(Metadata!R613="",FALSE,TRUE)</f>
        <v>0</v>
      </c>
      <c r="BF613" t="b">
        <f>OR(AND(IF(Metadata!S613="",FALSE,TRUE),OR(EXACT(Metadata!S613,"not collected"),EXACT(Metadata!S613,"not provided"),EXACT(Metadata!S613,"restricted access"))),AND(IF(Metadata!S613="",FALSE,ISNUMBER(VALUE(Metadata!S613))),Metadata!S613&gt;=-90,Metadata!S613&lt;=90))</f>
        <v>0</v>
      </c>
      <c r="BG613" t="b">
        <f>AND(IF(Metadata!T613="",FALSE,TRUE),EXACT(Metadata!T613,"Decimal degrees"))</f>
        <v>0</v>
      </c>
      <c r="BH613" t="b">
        <f>OR(AND(IF(Metadata!U613="",FALSE,TRUE),OR(EXACT(Metadata!U613,"not applicable"),EXACT(Metadata!U613,"not collected"))),IF(Metadata!U613="",FALSE,TRUE))</f>
        <v>0</v>
      </c>
      <c r="BI613" t="b">
        <f>OR(AND(IF(Metadata!V613="",FALSE,TRUE),OR(EXACT(Metadata!V613,"not collected"),EXACT(Metadata!V613,"not provided"),EXACT(Metadata!V613,"restricted access"))),AND(IF(Metadata!V613="",FALSE,ISNUMBER(VALUE(Metadata!V613))),Metadata!V613&gt;=-180,Metadata!V613&lt;=180))</f>
        <v>0</v>
      </c>
      <c r="BJ613" t="b">
        <f>AND(IF(Metadata!W613="",FALSE,TRUE),EXACT(Metadata!W613,"Decimal degrees"))</f>
        <v>0</v>
      </c>
      <c r="BK613" t="b">
        <f>IF(Metadata!X613="",FALSE,TRUE)</f>
        <v>0</v>
      </c>
      <c r="BL613" t="b">
        <f>OR(AND(IF(Metadata!Y613="",FALSE,TRUE),OR(EXACT(Metadata!Y613,"not collected"),EXACT(Metadata!Y613,"not provided"),EXACT(Metadata!Y613,"restricted access"))),AND(IF(Metadata!Y613="",FALSE,TRUE),OR(EXACT(Metadata!Y613,"TRUE"),EXACT(Metadata!Y613,"FALSE"))))</f>
        <v>0</v>
      </c>
      <c r="BM613" t="b">
        <f>OR(AND(IF(Metadata!Z613="",FALSE,TRUE),EXACT(Metadata!Z613,"not applicable")),AND(IF(Metadata!Z613="",FALSE,TRUE),OR(EXACT(Metadata!Z613,"beer"),EXACT(Metadata!Z613,"cheese"),EXACT(Metadata!Z613,"fresh water"),EXACT(Metadata!Z613,"marine sediment"),EXACT(Metadata!Z613,"sea water"),EXACT(Metadata!Z613,"sediment"),EXACT(Metadata!Z613,"soil"),EXACT(Metadata!Z613,"waste water"))))</f>
        <v>0</v>
      </c>
      <c r="BN613" t="b">
        <f>AND(IF(Metadata!AA613="",FALSE,TRUE),EXACT(Metadata!AA613,"metagenome"))</f>
        <v>0</v>
      </c>
      <c r="BO613" t="b">
        <f>AND(IF(Metadata!AB613="",FALSE,TRUE),EXACT(Metadata!AB613,"256318"))</f>
        <v>0</v>
      </c>
      <c r="BP613" t="b">
        <f>IF(Metadata!AC613="",FALSE,TRUE)</f>
        <v>0</v>
      </c>
      <c r="BQ613" t="b">
        <f>IF(Metadata!AD613="",FALSE,TRUE)</f>
        <v>0</v>
      </c>
    </row>
    <row r="614" spans="1:69" x14ac:dyDescent="0.2">
      <c r="A614" s="4" t="e">
        <f ca="1">IF(B614=" "," ",HYPERLINK(CONCATENATE("#metadata!",ADDRESS(INDEX($AJ$2:$AJ$1001,MATCH(ROWS($AH$2:AH614),$AH$2:$AH$1001,0),0),2)),INDEX($AM$2:$AM$1001,MATCH(ROWS($AH$2:AH614),$AH$2:$AH$1001,0),0)))</f>
        <v>#N/A</v>
      </c>
      <c r="B614" s="5" t="e">
        <f ca="1">IF(OR(INDEX($AI$2:$AI$1001,MATCH(ROWS($AH$2:AH614),$AH$2:$AH$1001,0),1)&gt;=100000,INDEX($AO$1005:$BQ$1005,1,MATCH(COLUMNS($AO$1006:AO1006),$AO$1006:$BQ$1006,0))&gt;=100000), " ",IF(INDEX($AO$2:$BQ$1001,MATCH(ROWS($AH$2:AH614),$AH$2:$AH$1001,0),MATCH(COLUMNS($AO$1006:AO1006),$AO$1006:$BQ$1006,0)), HYPERLINK("#",""), HYPERLINK(CONCATENATE("#Metadata!", ADDRESS(INDEX($AJ$2:$AJ$1001,MATCH(ROWS($AH$2:AH614),$AH$2:$AH$1001,0),0), INDEX($AO$1004:$BQ$1004,1,MATCH(COLUMNS($AO$1006:AO1006),$AO$1006:$BQ$1006,0)))),"Fix")))</f>
        <v>#N/A</v>
      </c>
      <c r="C614" s="5" t="e">
        <f ca="1">IF(OR(INDEX($AI$2:$AI$1001,MATCH(ROWS($AH$2:AH614),$AH$2:$AH$1001,0),1)&gt;=100000,INDEX($AO$1005:$BQ$1005,1,MATCH(COLUMNS($AO$1006:AP1006),$AO$1006:$BQ$1006,0))&gt;=100000), " ",IF(INDEX($AO$2:$BQ$1001,MATCH(ROWS($AH$2:AH614),$AH$2:$AH$1001,0),MATCH(COLUMNS($AO$1006:AP1006),$AO$1006:$BQ$1006,0)), HYPERLINK("#",""), HYPERLINK(CONCATENATE("#Metadata!", ADDRESS(INDEX($AJ$2:$AJ$1001,MATCH(ROWS($AH$2:AH614),$AH$2:$AH$1001,0),0), INDEX($AO$1004:$BQ$1004,1,MATCH(COLUMNS($AO$1006:AP1006),$AO$1006:$BQ$1006,0)))),"Fix")))</f>
        <v>#N/A</v>
      </c>
      <c r="D614" s="5" t="e">
        <f ca="1">IF(OR(INDEX($AI$2:$AI$1001,MATCH(ROWS($AH$2:AH614),$AH$2:$AH$1001,0),1)&gt;=100000,INDEX($AO$1005:$BQ$1005,1,MATCH(COLUMNS($AO$1006:AQ1006),$AO$1006:$BQ$1006,0))&gt;=100000), " ",IF(INDEX($AO$2:$BQ$1001,MATCH(ROWS($AH$2:AH614),$AH$2:$AH$1001,0),MATCH(COLUMNS($AO$1006:AQ1006),$AO$1006:$BQ$1006,0)), HYPERLINK("#",""), HYPERLINK(CONCATENATE("#Metadata!", ADDRESS(INDEX($AJ$2:$AJ$1001,MATCH(ROWS($AH$2:AH614),$AH$2:$AH$1001,0),0), INDEX($AO$1004:$BQ$1004,1,MATCH(COLUMNS($AO$1006:AQ1006),$AO$1006:$BQ$1006,0)))),"Fix")))</f>
        <v>#N/A</v>
      </c>
      <c r="E614" s="5" t="e">
        <f ca="1">IF(OR(INDEX($AI$2:$AI$1001,MATCH(ROWS($AH$2:AH614),$AH$2:$AH$1001,0),1)&gt;=100000,INDEX($AO$1005:$BQ$1005,1,MATCH(COLUMNS($AO$1006:AR1006),$AO$1006:$BQ$1006,0))&gt;=100000), " ",IF(INDEX($AO$2:$BQ$1001,MATCH(ROWS($AH$2:AH614),$AH$2:$AH$1001,0),MATCH(COLUMNS($AO$1006:AR1006),$AO$1006:$BQ$1006,0)), HYPERLINK("#",""), HYPERLINK(CONCATENATE("#Metadata!", ADDRESS(INDEX($AJ$2:$AJ$1001,MATCH(ROWS($AH$2:AH614),$AH$2:$AH$1001,0),0), INDEX($AO$1004:$BQ$1004,1,MATCH(COLUMNS($AO$1006:AR1006),$AO$1006:$BQ$1006,0)))),"Fix")))</f>
        <v>#N/A</v>
      </c>
      <c r="F614" s="5" t="e">
        <f ca="1">IF(OR(INDEX($AI$2:$AI$1001,MATCH(ROWS($AH$2:AH614),$AH$2:$AH$1001,0),1)&gt;=100000,INDEX($AO$1005:$BQ$1005,1,MATCH(COLUMNS($AO$1006:AS1006),$AO$1006:$BQ$1006,0))&gt;=100000), " ",IF(INDEX($AO$2:$BQ$1001,MATCH(ROWS($AH$2:AH614),$AH$2:$AH$1001,0),MATCH(COLUMNS($AO$1006:AS1006),$AO$1006:$BQ$1006,0)), HYPERLINK("#",""), HYPERLINK(CONCATENATE("#Metadata!", ADDRESS(INDEX($AJ$2:$AJ$1001,MATCH(ROWS($AH$2:AH614),$AH$2:$AH$1001,0),0), INDEX($AO$1004:$BQ$1004,1,MATCH(COLUMNS($AO$1006:AS1006),$AO$1006:$BQ$1006,0)))),"Fix")))</f>
        <v>#N/A</v>
      </c>
      <c r="G614" s="5" t="e">
        <f ca="1">IF(OR(INDEX($AI$2:$AI$1001,MATCH(ROWS($AH$2:AH614),$AH$2:$AH$1001,0),1)&gt;=100000,INDEX($AO$1005:$BQ$1005,1,MATCH(COLUMNS($AO$1006:AT1006),$AO$1006:$BQ$1006,0))&gt;=100000), " ",IF(INDEX($AO$2:$BQ$1001,MATCH(ROWS($AH$2:AH614),$AH$2:$AH$1001,0),MATCH(COLUMNS($AO$1006:AT1006),$AO$1006:$BQ$1006,0)), HYPERLINK("#",""), HYPERLINK(CONCATENATE("#Metadata!", ADDRESS(INDEX($AJ$2:$AJ$1001,MATCH(ROWS($AH$2:AH614),$AH$2:$AH$1001,0),0), INDEX($AO$1004:$BQ$1004,1,MATCH(COLUMNS($AO$1006:AT1006),$AO$1006:$BQ$1006,0)))),"Fix")))</f>
        <v>#N/A</v>
      </c>
      <c r="H614" s="5" t="e">
        <f ca="1">IF(OR(INDEX($AI$2:$AI$1001,MATCH(ROWS($AH$2:AH614),$AH$2:$AH$1001,0),1)&gt;=100000,INDEX($AO$1005:$BQ$1005,1,MATCH(COLUMNS($AO$1006:AU1006),$AO$1006:$BQ$1006,0))&gt;=100000), " ",IF(INDEX($AO$2:$BQ$1001,MATCH(ROWS($AH$2:AH614),$AH$2:$AH$1001,0),MATCH(COLUMNS($AO$1006:AU1006),$AO$1006:$BQ$1006,0)), HYPERLINK("#",""), HYPERLINK(CONCATENATE("#Metadata!", ADDRESS(INDEX($AJ$2:$AJ$1001,MATCH(ROWS($AH$2:AH614),$AH$2:$AH$1001,0),0), INDEX($AO$1004:$BQ$1004,1,MATCH(COLUMNS($AO$1006:AU1006),$AO$1006:$BQ$1006,0)))),"Fix")))</f>
        <v>#N/A</v>
      </c>
      <c r="I614" s="5" t="e">
        <f ca="1">IF(OR(INDEX($AI$2:$AI$1001,MATCH(ROWS($AH$2:AH614),$AH$2:$AH$1001,0),1)&gt;=100000,INDEX($AO$1005:$BQ$1005,1,MATCH(COLUMNS($AO$1006:AV1006),$AO$1006:$BQ$1006,0))&gt;=100000), " ",IF(INDEX($AO$2:$BQ$1001,MATCH(ROWS($AH$2:AH614),$AH$2:$AH$1001,0),MATCH(COLUMNS($AO$1006:AV1006),$AO$1006:$BQ$1006,0)), HYPERLINK("#",""), HYPERLINK(CONCATENATE("#Metadata!", ADDRESS(INDEX($AJ$2:$AJ$1001,MATCH(ROWS($AH$2:AH614),$AH$2:$AH$1001,0),0), INDEX($AO$1004:$BQ$1004,1,MATCH(COLUMNS($AO$1006:AV1006),$AO$1006:$BQ$1006,0)))),"Fix")))</f>
        <v>#N/A</v>
      </c>
      <c r="J614" s="5" t="e">
        <f ca="1">IF(OR(INDEX($AI$2:$AI$1001,MATCH(ROWS($AH$2:AH614),$AH$2:$AH$1001,0),1)&gt;=100000,INDEX($AO$1005:$BQ$1005,1,MATCH(COLUMNS($AO$1006:AW1006),$AO$1006:$BQ$1006,0))&gt;=100000), " ",IF(INDEX($AO$2:$BQ$1001,MATCH(ROWS($AH$2:AH614),$AH$2:$AH$1001,0),MATCH(COLUMNS($AO$1006:AW1006),$AO$1006:$BQ$1006,0)), HYPERLINK("#",""), HYPERLINK(CONCATENATE("#Metadata!", ADDRESS(INDEX($AJ$2:$AJ$1001,MATCH(ROWS($AH$2:AH614),$AH$2:$AH$1001,0),0), INDEX($AO$1004:$BQ$1004,1,MATCH(COLUMNS($AO$1006:AW1006),$AO$1006:$BQ$1006,0)))),"Fix")))</f>
        <v>#N/A</v>
      </c>
      <c r="K614" s="5" t="e">
        <f ca="1">IF(OR(INDEX($AI$2:$AI$1001,MATCH(ROWS($AH$2:AH614),$AH$2:$AH$1001,0),1)&gt;=100000,INDEX($AO$1005:$BQ$1005,1,MATCH(COLUMNS($AO$1006:AX1006),$AO$1006:$BQ$1006,0))&gt;=100000), " ",IF(INDEX($AO$2:$BQ$1001,MATCH(ROWS($AH$2:AH614),$AH$2:$AH$1001,0),MATCH(COLUMNS($AO$1006:AX1006),$AO$1006:$BQ$1006,0)), HYPERLINK("#",""), HYPERLINK(CONCATENATE("#Metadata!", ADDRESS(INDEX($AJ$2:$AJ$1001,MATCH(ROWS($AH$2:AH614),$AH$2:$AH$1001,0),0), INDEX($AO$1004:$BQ$1004,1,MATCH(COLUMNS($AO$1006:AX1006),$AO$1006:$BQ$1006,0)))),"Fix")))</f>
        <v>#N/A</v>
      </c>
      <c r="L614" s="5" t="e">
        <f ca="1">IF(OR(INDEX($AI$2:$AI$1001,MATCH(ROWS($AH$2:AH614),$AH$2:$AH$1001,0),1)&gt;=100000,INDEX($AO$1005:$BQ$1005,1,MATCH(COLUMNS($AO$1006:AY1006),$AO$1006:$BQ$1006,0))&gt;=100000), " ",IF(INDEX($AO$2:$BQ$1001,MATCH(ROWS($AH$2:AH614),$AH$2:$AH$1001,0),MATCH(COLUMNS($AO$1006:AY1006),$AO$1006:$BQ$1006,0)), HYPERLINK("#",""), HYPERLINK(CONCATENATE("#Metadata!", ADDRESS(INDEX($AJ$2:$AJ$1001,MATCH(ROWS($AH$2:AH614),$AH$2:$AH$1001,0),0), INDEX($AO$1004:$BQ$1004,1,MATCH(COLUMNS($AO$1006:AY1006),$AO$1006:$BQ$1006,0)))),"Fix")))</f>
        <v>#N/A</v>
      </c>
      <c r="M614" s="5" t="e">
        <f ca="1">IF(OR(INDEX($AI$2:$AI$1001,MATCH(ROWS($AH$2:AH614),$AH$2:$AH$1001,0),1)&gt;=100000,INDEX($AO$1005:$BQ$1005,1,MATCH(COLUMNS($AO$1006:AZ1006),$AO$1006:$BQ$1006,0))&gt;=100000), " ",IF(INDEX($AO$2:$BQ$1001,MATCH(ROWS($AH$2:AH614),$AH$2:$AH$1001,0),MATCH(COLUMNS($AO$1006:AZ1006),$AO$1006:$BQ$1006,0)), HYPERLINK("#",""), HYPERLINK(CONCATENATE("#Metadata!", ADDRESS(INDEX($AJ$2:$AJ$1001,MATCH(ROWS($AH$2:AH614),$AH$2:$AH$1001,0),0), INDEX($AO$1004:$BQ$1004,1,MATCH(COLUMNS($AO$1006:AZ1006),$AO$1006:$BQ$1006,0)))),"Fix")))</f>
        <v>#N/A</v>
      </c>
      <c r="N614" s="5" t="e">
        <f ca="1">IF(OR(INDEX($AI$2:$AI$1001,MATCH(ROWS($AH$2:AH614),$AH$2:$AH$1001,0),1)&gt;=100000,INDEX($AO$1005:$BQ$1005,1,MATCH(COLUMNS($AO$1006:BA1006),$AO$1006:$BQ$1006,0))&gt;=100000), " ",IF(INDEX($AO$2:$BQ$1001,MATCH(ROWS($AH$2:AH614),$AH$2:$AH$1001,0),MATCH(COLUMNS($AO$1006:BA1006),$AO$1006:$BQ$1006,0)), HYPERLINK("#",""), HYPERLINK(CONCATENATE("#Metadata!", ADDRESS(INDEX($AJ$2:$AJ$1001,MATCH(ROWS($AH$2:AH614),$AH$2:$AH$1001,0),0), INDEX($AO$1004:$BQ$1004,1,MATCH(COLUMNS($AO$1006:BA1006),$AO$1006:$BQ$1006,0)))),"Fix")))</f>
        <v>#N/A</v>
      </c>
      <c r="O614" s="5" t="e">
        <f ca="1">IF(OR(INDEX($AI$2:$AI$1001,MATCH(ROWS($AH$2:AH614),$AH$2:$AH$1001,0),1)&gt;=100000,INDEX($AO$1005:$BQ$1005,1,MATCH(COLUMNS($AO$1006:BB1006),$AO$1006:$BQ$1006,0))&gt;=100000), " ",IF(INDEX($AO$2:$BQ$1001,MATCH(ROWS($AH$2:AH614),$AH$2:$AH$1001,0),MATCH(COLUMNS($AO$1006:BB1006),$AO$1006:$BQ$1006,0)), HYPERLINK("#",""), HYPERLINK(CONCATENATE("#Metadata!", ADDRESS(INDEX($AJ$2:$AJ$1001,MATCH(ROWS($AH$2:AH614),$AH$2:$AH$1001,0),0), INDEX($AO$1004:$BQ$1004,1,MATCH(COLUMNS($AO$1006:BB1006),$AO$1006:$BQ$1006,0)))),"Fix")))</f>
        <v>#N/A</v>
      </c>
      <c r="P614" s="5" t="e">
        <f ca="1">IF(OR(INDEX($AI$2:$AI$1001,MATCH(ROWS($AH$2:AH614),$AH$2:$AH$1001,0),1)&gt;=100000,INDEX($AO$1005:$BQ$1005,1,MATCH(COLUMNS($AO$1006:BC1006),$AO$1006:$BQ$1006,0))&gt;=100000), " ",IF(INDEX($AO$2:$BQ$1001,MATCH(ROWS($AH$2:AH614),$AH$2:$AH$1001,0),MATCH(COLUMNS($AO$1006:BC1006),$AO$1006:$BQ$1006,0)), HYPERLINK("#",""), HYPERLINK(CONCATENATE("#Metadata!", ADDRESS(INDEX($AJ$2:$AJ$1001,MATCH(ROWS($AH$2:AH614),$AH$2:$AH$1001,0),0), INDEX($AO$1004:$BQ$1004,1,MATCH(COLUMNS($AO$1006:BC1006),$AO$1006:$BQ$1006,0)))),"Fix")))</f>
        <v>#N/A</v>
      </c>
      <c r="Q614" s="5" t="e">
        <f ca="1">IF(OR(INDEX($AI$2:$AI$1001,MATCH(ROWS($AH$2:AH614),$AH$2:$AH$1001,0),1)&gt;=100000,INDEX($AO$1005:$BQ$1005,1,MATCH(COLUMNS($AO$1006:BD1006),$AO$1006:$BQ$1006,0))&gt;=100000), " ",IF(INDEX($AO$2:$BQ$1001,MATCH(ROWS($AH$2:AH614),$AH$2:$AH$1001,0),MATCH(COLUMNS($AO$1006:BD1006),$AO$1006:$BQ$1006,0)), HYPERLINK("#",""), HYPERLINK(CONCATENATE("#Metadata!", ADDRESS(INDEX($AJ$2:$AJ$1001,MATCH(ROWS($AH$2:AH614),$AH$2:$AH$1001,0),0), INDEX($AO$1004:$BQ$1004,1,MATCH(COLUMNS($AO$1006:BD1006),$AO$1006:$BQ$1006,0)))),"Fix")))</f>
        <v>#N/A</v>
      </c>
      <c r="R614" s="5" t="e">
        <f ca="1">IF(OR(INDEX($AI$2:$AI$1001,MATCH(ROWS($AH$2:AH614),$AH$2:$AH$1001,0),1)&gt;=100000,INDEX($AO$1005:$BQ$1005,1,MATCH(COLUMNS($AO$1006:BE1006),$AO$1006:$BQ$1006,0))&gt;=100000), " ",IF(INDEX($AO$2:$BQ$1001,MATCH(ROWS($AH$2:AH614),$AH$2:$AH$1001,0),MATCH(COLUMNS($AO$1006:BE1006),$AO$1006:$BQ$1006,0)), HYPERLINK("#",""), HYPERLINK(CONCATENATE("#Metadata!", ADDRESS(INDEX($AJ$2:$AJ$1001,MATCH(ROWS($AH$2:AH614),$AH$2:$AH$1001,0),0), INDEX($AO$1004:$BQ$1004,1,MATCH(COLUMNS($AO$1006:BE1006),$AO$1006:$BQ$1006,0)))),"Fix")))</f>
        <v>#N/A</v>
      </c>
      <c r="S614" s="5" t="e">
        <f ca="1">IF(OR(INDEX($AI$2:$AI$1001,MATCH(ROWS($AH$2:AH614),$AH$2:$AH$1001,0),1)&gt;=100000,INDEX($AO$1005:$BQ$1005,1,MATCH(COLUMNS($AO$1006:BF1006),$AO$1006:$BQ$1006,0))&gt;=100000), " ",IF(INDEX($AO$2:$BQ$1001,MATCH(ROWS($AH$2:AH614),$AH$2:$AH$1001,0),MATCH(COLUMNS($AO$1006:BF1006),$AO$1006:$BQ$1006,0)), HYPERLINK("#",""), HYPERLINK(CONCATENATE("#Metadata!", ADDRESS(INDEX($AJ$2:$AJ$1001,MATCH(ROWS($AH$2:AH614),$AH$2:$AH$1001,0),0), INDEX($AO$1004:$BQ$1004,1,MATCH(COLUMNS($AO$1006:BF1006),$AO$1006:$BQ$1006,0)))),"Fix")))</f>
        <v>#N/A</v>
      </c>
      <c r="T614" s="5" t="e">
        <f ca="1">IF(OR(INDEX($AI$2:$AI$1001,MATCH(ROWS($AH$2:AH614),$AH$2:$AH$1001,0),1)&gt;=100000,INDEX($AO$1005:$BQ$1005,1,MATCH(COLUMNS($AO$1006:BG1006),$AO$1006:$BQ$1006,0))&gt;=100000), " ",IF(INDEX($AO$2:$BQ$1001,MATCH(ROWS($AH$2:AH614),$AH$2:$AH$1001,0),MATCH(COLUMNS($AO$1006:BG1006),$AO$1006:$BQ$1006,0)), HYPERLINK("#",""), HYPERLINK(CONCATENATE("#Metadata!", ADDRESS(INDEX($AJ$2:$AJ$1001,MATCH(ROWS($AH$2:AH614),$AH$2:$AH$1001,0),0), INDEX($AO$1004:$BQ$1004,1,MATCH(COLUMNS($AO$1006:BG1006),$AO$1006:$BQ$1006,0)))),"Fix")))</f>
        <v>#N/A</v>
      </c>
      <c r="U614" s="5" t="e">
        <f ca="1">IF(OR(INDEX($AI$2:$AI$1001,MATCH(ROWS($AH$2:AH614),$AH$2:$AH$1001,0),1)&gt;=100000,INDEX($AO$1005:$BQ$1005,1,MATCH(COLUMNS($AO$1006:BH1006),$AO$1006:$BQ$1006,0))&gt;=100000), " ",IF(INDEX($AO$2:$BQ$1001,MATCH(ROWS($AH$2:AH614),$AH$2:$AH$1001,0),MATCH(COLUMNS($AO$1006:BH1006),$AO$1006:$BQ$1006,0)), HYPERLINK("#",""), HYPERLINK(CONCATENATE("#Metadata!", ADDRESS(INDEX($AJ$2:$AJ$1001,MATCH(ROWS($AH$2:AH614),$AH$2:$AH$1001,0),0), INDEX($AO$1004:$BQ$1004,1,MATCH(COLUMNS($AO$1006:BH1006),$AO$1006:$BQ$1006,0)))),"Fix")))</f>
        <v>#N/A</v>
      </c>
      <c r="V614" s="5" t="e">
        <f ca="1">IF(OR(INDEX($AI$2:$AI$1001,MATCH(ROWS($AH$2:AH614),$AH$2:$AH$1001,0),1)&gt;=100000,INDEX($AO$1005:$BQ$1005,1,MATCH(COLUMNS($AO$1006:BI1006),$AO$1006:$BQ$1006,0))&gt;=100000), " ",IF(INDEX($AO$2:$BQ$1001,MATCH(ROWS($AH$2:AH614),$AH$2:$AH$1001,0),MATCH(COLUMNS($AO$1006:BI1006),$AO$1006:$BQ$1006,0)), HYPERLINK("#",""), HYPERLINK(CONCATENATE("#Metadata!", ADDRESS(INDEX($AJ$2:$AJ$1001,MATCH(ROWS($AH$2:AH614),$AH$2:$AH$1001,0),0), INDEX($AO$1004:$BQ$1004,1,MATCH(COLUMNS($AO$1006:BI1006),$AO$1006:$BQ$1006,0)))),"Fix")))</f>
        <v>#N/A</v>
      </c>
      <c r="W614" s="5" t="e">
        <f ca="1">IF(OR(INDEX($AI$2:$AI$1001,MATCH(ROWS($AH$2:AH614),$AH$2:$AH$1001,0),1)&gt;=100000,INDEX($AO$1005:$BQ$1005,1,MATCH(COLUMNS($AO$1006:BJ1006),$AO$1006:$BQ$1006,0))&gt;=100000), " ",IF(INDEX($AO$2:$BQ$1001,MATCH(ROWS($AH$2:AH614),$AH$2:$AH$1001,0),MATCH(COLUMNS($AO$1006:BJ1006),$AO$1006:$BQ$1006,0)), HYPERLINK("#",""), HYPERLINK(CONCATENATE("#Metadata!", ADDRESS(INDEX($AJ$2:$AJ$1001,MATCH(ROWS($AH$2:AH614),$AH$2:$AH$1001,0),0), INDEX($AO$1004:$BQ$1004,1,MATCH(COLUMNS($AO$1006:BJ1006),$AO$1006:$BQ$1006,0)))),"Fix")))</f>
        <v>#N/A</v>
      </c>
      <c r="X614" s="5" t="e">
        <f ca="1">IF(OR(INDEX($AI$2:$AI$1001,MATCH(ROWS($AH$2:AH614),$AH$2:$AH$1001,0),1)&gt;=100000,INDEX($AO$1005:$BQ$1005,1,MATCH(COLUMNS($AO$1006:BK1006),$AO$1006:$BQ$1006,0))&gt;=100000), " ",IF(INDEX($AO$2:$BQ$1001,MATCH(ROWS($AH$2:AH614),$AH$2:$AH$1001,0),MATCH(COLUMNS($AO$1006:BK1006),$AO$1006:$BQ$1006,0)), HYPERLINK("#",""), HYPERLINK(CONCATENATE("#Metadata!", ADDRESS(INDEX($AJ$2:$AJ$1001,MATCH(ROWS($AH$2:AH614),$AH$2:$AH$1001,0),0), INDEX($AO$1004:$BQ$1004,1,MATCH(COLUMNS($AO$1006:BK1006),$AO$1006:$BQ$1006,0)))),"Fix")))</f>
        <v>#N/A</v>
      </c>
      <c r="Y614" s="5" t="e">
        <f ca="1">IF(OR(INDEX($AI$2:$AI$1001,MATCH(ROWS($AH$2:AH614),$AH$2:$AH$1001,0),1)&gt;=100000,INDEX($AO$1005:$BQ$1005,1,MATCH(COLUMNS($AO$1006:BL1006),$AO$1006:$BQ$1006,0))&gt;=100000), " ",IF(INDEX($AO$2:$BQ$1001,MATCH(ROWS($AH$2:AH614),$AH$2:$AH$1001,0),MATCH(COLUMNS($AO$1006:BL1006),$AO$1006:$BQ$1006,0)), HYPERLINK("#",""), HYPERLINK(CONCATENATE("#Metadata!", ADDRESS(INDEX($AJ$2:$AJ$1001,MATCH(ROWS($AH$2:AH614),$AH$2:$AH$1001,0),0), INDEX($AO$1004:$BQ$1004,1,MATCH(COLUMNS($AO$1006:BL1006),$AO$1006:$BQ$1006,0)))),"Fix")))</f>
        <v>#N/A</v>
      </c>
      <c r="Z614" s="5" t="e">
        <f ca="1">IF(OR(INDEX($AI$2:$AI$1001,MATCH(ROWS($AH$2:AH614),$AH$2:$AH$1001,0),1)&gt;=100000,INDEX($AO$1005:$BQ$1005,1,MATCH(COLUMNS($AO$1006:BM1006),$AO$1006:$BQ$1006,0))&gt;=100000), " ",IF(INDEX($AO$2:$BQ$1001,MATCH(ROWS($AH$2:AH614),$AH$2:$AH$1001,0),MATCH(COLUMNS($AO$1006:BM1006),$AO$1006:$BQ$1006,0)), HYPERLINK("#",""), HYPERLINK(CONCATENATE("#Metadata!", ADDRESS(INDEX($AJ$2:$AJ$1001,MATCH(ROWS($AH$2:AH614),$AH$2:$AH$1001,0),0), INDEX($AO$1004:$BQ$1004,1,MATCH(COLUMNS($AO$1006:BM1006),$AO$1006:$BQ$1006,0)))),"Fix")))</f>
        <v>#N/A</v>
      </c>
      <c r="AA614" s="5" t="e">
        <f ca="1">IF(OR(INDEX($AI$2:$AI$1001,MATCH(ROWS($AH$2:AH614),$AH$2:$AH$1001,0),1)&gt;=100000,INDEX($AO$1005:$BQ$1005,1,MATCH(COLUMNS($AO$1006:BN1006),$AO$1006:$BQ$1006,0))&gt;=100000), " ",IF(INDEX($AO$2:$BQ$1001,MATCH(ROWS($AH$2:AH614),$AH$2:$AH$1001,0),MATCH(COLUMNS($AO$1006:BN1006),$AO$1006:$BQ$1006,0)), HYPERLINK("#",""), HYPERLINK(CONCATENATE("#Metadata!", ADDRESS(INDEX($AJ$2:$AJ$1001,MATCH(ROWS($AH$2:AH614),$AH$2:$AH$1001,0),0), INDEX($AO$1004:$BQ$1004,1,MATCH(COLUMNS($AO$1006:BN1006),$AO$1006:$BQ$1006,0)))),"Fix")))</f>
        <v>#N/A</v>
      </c>
      <c r="AB614" s="5" t="e">
        <f ca="1">IF(OR(INDEX($AI$2:$AI$1001,MATCH(ROWS($AH$2:AH614),$AH$2:$AH$1001,0),1)&gt;=100000,INDEX($AO$1005:$BQ$1005,1,MATCH(COLUMNS($AO$1006:BO1006),$AO$1006:$BQ$1006,0))&gt;=100000), " ",IF(INDEX($AO$2:$BQ$1001,MATCH(ROWS($AH$2:AH614),$AH$2:$AH$1001,0),MATCH(COLUMNS($AO$1006:BO1006),$AO$1006:$BQ$1006,0)), HYPERLINK("#",""), HYPERLINK(CONCATENATE("#Metadata!", ADDRESS(INDEX($AJ$2:$AJ$1001,MATCH(ROWS($AH$2:AH614),$AH$2:$AH$1001,0),0), INDEX($AO$1004:$BQ$1004,1,MATCH(COLUMNS($AO$1006:BO1006),$AO$1006:$BQ$1006,0)))),"Fix")))</f>
        <v>#N/A</v>
      </c>
      <c r="AC614" s="5" t="e">
        <f ca="1">IF(OR(INDEX($AI$2:$AI$1001,MATCH(ROWS($AH$2:AH614),$AH$2:$AH$1001,0),1)&gt;=100000,INDEX($AO$1005:$BQ$1005,1,MATCH(COLUMNS($AO$1006:BP1006),$AO$1006:$BQ$1006,0))&gt;=100000), " ",IF(INDEX($AO$2:$BQ$1001,MATCH(ROWS($AH$2:AH614),$AH$2:$AH$1001,0),MATCH(COLUMNS($AO$1006:BP1006),$AO$1006:$BQ$1006,0)), HYPERLINK("#",""), HYPERLINK(CONCATENATE("#Metadata!", ADDRESS(INDEX($AJ$2:$AJ$1001,MATCH(ROWS($AH$2:AH614),$AH$2:$AH$1001,0),0), INDEX($AO$1004:$BQ$1004,1,MATCH(COLUMNS($AO$1006:BP1006),$AO$1006:$BQ$1006,0)))),"Fix")))</f>
        <v>#N/A</v>
      </c>
      <c r="AD614" s="5" t="e">
        <f ca="1">IF(OR(INDEX($AI$2:$AI$1001,MATCH(ROWS($AH$2:AH614),$AH$2:$AH$1001,0),1)&gt;=100000,INDEX($AO$1005:$BQ$1005,1,MATCH(COLUMNS($AO$1006:BQ1006),$AO$1006:$BQ$1006,0))&gt;=100000), " ",IF(INDEX($AO$2:$BQ$1001,MATCH(ROWS($AH$2:AH614),$AH$2:$AH$1001,0),MATCH(COLUMNS($AO$1006:BQ1006),$AO$1006:$BQ$1006,0)), HYPERLINK("#",""), HYPERLINK(CONCATENATE("#Metadata!", ADDRESS(INDEX($AJ$2:$AJ$1001,MATCH(ROWS($AH$2:AH614),$AH$2:$AH$1001,0),0), INDEX($AO$1004:$BQ$1004,1,MATCH(COLUMNS($AO$1006:BQ1006),$AO$1006:$BQ$1006,0)))),"Fix")))</f>
        <v>#REF!</v>
      </c>
      <c r="AH614">
        <f ca="1"/>
        <v>611</v>
      </c>
      <c r="AI614">
        <v>100614</v>
      </c>
      <c r="AJ614">
        <v>614</v>
      </c>
      <c r="AK614" t="b">
        <f t="shared" si="9"/>
        <v>1</v>
      </c>
      <c r="AL614" t="b">
        <f>COUNTBLANK(Metadata!B614:AD614)=COLUMNS(Metadata!B614:AD614)</f>
        <v>1</v>
      </c>
      <c r="AM614" t="str">
        <v/>
      </c>
      <c r="AO614" t="b">
        <f ca="1">AND(IF(Metadata!B614="",FALSE,TRUE),COUNTIF(Metadata!B:B, Metadata!B614) = 1,NOT(ISERROR(SUMPRODUCT(SEARCH(MID(Metadata!B614,ROW(INDIRECT("1:"&amp;LEN(Metadata!B614))), 1),"0123456789abcdefghijklmnopqrstuvwxyzABCDEFGHIJKLMNOPQRSTUVWXYZ.")))))</f>
        <v>0</v>
      </c>
      <c r="AP614" t="b">
        <f>IF(Metadata!C614="",FALSE,TRUE)</f>
        <v>0</v>
      </c>
      <c r="AQ614" t="b">
        <f>IF(Metadata!D614="",FALSE,TRUE)</f>
        <v>0</v>
      </c>
      <c r="AR614" t="b">
        <f ca="1">OR(AND(IF(Metadata!E614="",FALSE,TRUE),OR(EXACT(Metadata!E614,"not collected"),EXACT(Metadata!E614,"not provided"),EXACT(Metadata!E614,"restricted access"))),AND(IF(Metadata!E614="",FALSE,TRUE),AND(AND(IFERROR(INT(LEFT(Metadata!E614,4))&gt;1900,FALSE),IFERROR(INT(LEFT(Metadata!E614,4))&lt;=YEAR(NOW()),FALSE)), OR(MID(Metadata!E614,5,1)="", AND(AND(MID(Metadata!E614,5,1)="-",IFERROR(INT(MID(Metadata!E614,6,1))&gt;=0,FALSE),IFERROR(INT(MID(Metadata!E614,6,1))&lt;=1,FALSE),NOT(MID(Metadata!E614,7,1)=""),IFERROR(INT(MID(Metadata!E614,6,2))&gt;=1,FALSE),IFERROR(INT(MID(Metadata!E614,6,2))&lt;=12,FALSE)), OR(MID(Metadata!E614,8,1)="", AND(AND(MID(Metadata!E614,8,1)="-",IFERROR(INT(MID(Metadata!E614,9,1))&gt;=0,FALSE),IFERROR(INT(MID(Metadata!E614,9,1))&lt;=3,FALSE),NOT(MID(Metadata!E614,10,1)=""),IFERROR(INT(MID(Metadata!E614,9,2))&gt;=1,FALSE),IFERROR(INT(MID(Metadata!E614,9,2))&lt;=31,FALSE)), OR(MID(Metadata!E614,11,1)="", AND(AND(MID(Metadata!E614,11,1)=" ",IFERROR(INT(MID(Metadata!E614,12,1))&gt;=0,FALSE),IFERROR(INT(MID(Metadata!E614,12,1))&lt;=2,FALSE),NOT(MID(Metadata!E614,13,1)=""),IFERROR(INT(MID(Metadata!E614,12,2))&gt;=0,FALSE),IFERROR(INT(MID(Metadata!E614,12,2))&lt;=23,FALSE)), OR(MID(Metadata!E614,14,1)="", AND(AND(MID(Metadata!E614,14,1)=":",IFERROR(INT(MID(Metadata!E614,15,1))&gt;=0,FALSE),IFERROR(INT(MID(Metadata!E614,15,1))&lt;=5,FALSE),NOT(MID(Metadata!E614,16,1)=""),IFERROR(INT(MID(Metadata!E614,15,2))&gt;=0,FALSE),IFERROR(INT(MID(Metadata!E614,15,2))&lt;=59,FALSE)), OR(MID(Metadata!E614,17,1)="", AND(AND(MID(Metadata!E614,17,1)=":",IFERROR(INT(MID(Metadata!E614,18,1))&gt;=0,FALSE),IFERROR(INT(MID(Metadata!E614,18,1))&lt;=5,FALSE),NOT(MID(Metadata!E614,19,1)=""),IFERROR(INT(MID(Metadata!E614,18,2))&gt;=0,FALSE),IFERROR(INT(MID(Metadata!E614,18,2))&lt;=59,FALSE)), LEN(Metadata!E614)&lt;=19)))))))))))))</f>
        <v>0</v>
      </c>
      <c r="AS614" t="b">
        <f>IF(Metadata!F614="",FALSE,TRUE)</f>
        <v>0</v>
      </c>
      <c r="AT614" t="b">
        <f>OR(AND(IF(Metadata!G614="",FALSE,TRUE),OR(EXACT(Metadata!G614,"not collected"),EXACT(Metadata!G614,"not provided"))),AND(IF(Metadata!G614="",FALSE,TRUE),OR(EXACT(Metadata!G614,"TRUE"),EXACT(Metadata!G614,"FALSE"))))</f>
        <v>0</v>
      </c>
      <c r="AU614" t="b">
        <f>OR(AND(IF(Metadata!H614="",FALSE,TRUE),OR(EXACT(Metadata!H614,"not collected"),EXACT(Metadata!H614,"not provided"),EXACT(Metadata!H614,"restricted access"))),AND(IF(Metadata!H614="",FALSE,ISNUMBER(VALUE(Metadata!H614))),Metadata!H614&gt;=-413))</f>
        <v>0</v>
      </c>
      <c r="AV614" t="b">
        <f>AND(IF(Metadata!I614="",FALSE,TRUE),EXACT(Metadata!I614,"meters"))</f>
        <v>0</v>
      </c>
      <c r="AW614" t="b">
        <f>AND(IF(Metadata!J614="",FALSE,TRUE),EXACT(Metadata!J614,"free-living"))</f>
        <v>0</v>
      </c>
      <c r="AX614" t="b">
        <f>AND(IF(Metadata!K614="",FALSE,TRUE),OR(EXACT(Metadata!K614,"saline"),EXACT(Metadata!K614,"non-saline")))</f>
        <v>0</v>
      </c>
      <c r="AY614" t="b">
        <f>AND(IF(Metadata!L614="",FALSE,TRUE),OR(EXACT(Metadata!L614,"sub-surface (non-saline)"),EXACT(Metadata!L614,"surface (non-saline)"),EXACT(Metadata!L614,"water (non-saline)"),EXACT(Metadata!L614,"soil (non-saline)"),EXACT(Metadata!L614,"aerosol (non-saline)"),EXACT(Metadata!L614,"sediment (non-saline)"),EXACT(Metadata!L614,"surface (saline)"),EXACT(Metadata!L614,"water (saline)"),EXACT(Metadata!L614,"hypersaline (saline)"),EXACT(Metadata!L614,"aerosol (saline)"),EXACT(Metadata!L614,"sediment (saline)")))</f>
        <v>0</v>
      </c>
      <c r="AZ614" t="b">
        <f>IF(Metadata!M614="",FALSE,TRUE)</f>
        <v>0</v>
      </c>
      <c r="BA614" t="b">
        <f>IF(Metadata!N614="",FALSE,TRUE)</f>
        <v>0</v>
      </c>
      <c r="BB614" t="b">
        <f>IF(Metadata!O614="",FALSE,TRUE)</f>
        <v>0</v>
      </c>
      <c r="BC614" t="b">
        <f>AND(IF(Metadata!P614="",FALSE,TRUE),OR(EXACT(Metadata!P614,"air"),EXACT(Metadata!P614,"microbial mat/biofilm"),EXACT(Metadata!P614,"misc environment"),EXACT(Metadata!P614,"sediment"),EXACT(Metadata!P614,"soil"),EXACT(Metadata!P614,"wastewater/sludge"),EXACT(Metadata!P614,"water")))</f>
        <v>0</v>
      </c>
      <c r="BD614" t="b">
        <f>IF(Metadata!Q614="",FALSE,TRUE)</f>
        <v>0</v>
      </c>
      <c r="BE614" t="b">
        <f>IF(Metadata!R614="",FALSE,TRUE)</f>
        <v>0</v>
      </c>
      <c r="BF614" t="b">
        <f>OR(AND(IF(Metadata!S614="",FALSE,TRUE),OR(EXACT(Metadata!S614,"not collected"),EXACT(Metadata!S614,"not provided"),EXACT(Metadata!S614,"restricted access"))),AND(IF(Metadata!S614="",FALSE,ISNUMBER(VALUE(Metadata!S614))),Metadata!S614&gt;=-90,Metadata!S614&lt;=90))</f>
        <v>0</v>
      </c>
      <c r="BG614" t="b">
        <f>AND(IF(Metadata!T614="",FALSE,TRUE),EXACT(Metadata!T614,"Decimal degrees"))</f>
        <v>0</v>
      </c>
      <c r="BH614" t="b">
        <f>OR(AND(IF(Metadata!U614="",FALSE,TRUE),OR(EXACT(Metadata!U614,"not applicable"),EXACT(Metadata!U614,"not collected"))),IF(Metadata!U614="",FALSE,TRUE))</f>
        <v>0</v>
      </c>
      <c r="BI614" t="b">
        <f>OR(AND(IF(Metadata!V614="",FALSE,TRUE),OR(EXACT(Metadata!V614,"not collected"),EXACT(Metadata!V614,"not provided"),EXACT(Metadata!V614,"restricted access"))),AND(IF(Metadata!V614="",FALSE,ISNUMBER(VALUE(Metadata!V614))),Metadata!V614&gt;=-180,Metadata!V614&lt;=180))</f>
        <v>0</v>
      </c>
      <c r="BJ614" t="b">
        <f>AND(IF(Metadata!W614="",FALSE,TRUE),EXACT(Metadata!W614,"Decimal degrees"))</f>
        <v>0</v>
      </c>
      <c r="BK614" t="b">
        <f>IF(Metadata!X614="",FALSE,TRUE)</f>
        <v>0</v>
      </c>
      <c r="BL614" t="b">
        <f>OR(AND(IF(Metadata!Y614="",FALSE,TRUE),OR(EXACT(Metadata!Y614,"not collected"),EXACT(Metadata!Y614,"not provided"),EXACT(Metadata!Y614,"restricted access"))),AND(IF(Metadata!Y614="",FALSE,TRUE),OR(EXACT(Metadata!Y614,"TRUE"),EXACT(Metadata!Y614,"FALSE"))))</f>
        <v>0</v>
      </c>
      <c r="BM614" t="b">
        <f>OR(AND(IF(Metadata!Z614="",FALSE,TRUE),EXACT(Metadata!Z614,"not applicable")),AND(IF(Metadata!Z614="",FALSE,TRUE),OR(EXACT(Metadata!Z614,"beer"),EXACT(Metadata!Z614,"cheese"),EXACT(Metadata!Z614,"fresh water"),EXACT(Metadata!Z614,"marine sediment"),EXACT(Metadata!Z614,"sea water"),EXACT(Metadata!Z614,"sediment"),EXACT(Metadata!Z614,"soil"),EXACT(Metadata!Z614,"waste water"))))</f>
        <v>0</v>
      </c>
      <c r="BN614" t="b">
        <f>AND(IF(Metadata!AA614="",FALSE,TRUE),EXACT(Metadata!AA614,"metagenome"))</f>
        <v>0</v>
      </c>
      <c r="BO614" t="b">
        <f>AND(IF(Metadata!AB614="",FALSE,TRUE),EXACT(Metadata!AB614,"256318"))</f>
        <v>0</v>
      </c>
      <c r="BP614" t="b">
        <f>IF(Metadata!AC614="",FALSE,TRUE)</f>
        <v>0</v>
      </c>
      <c r="BQ614" t="b">
        <f>IF(Metadata!AD614="",FALSE,TRUE)</f>
        <v>0</v>
      </c>
    </row>
    <row r="615" spans="1:69" x14ac:dyDescent="0.2">
      <c r="A615" s="4" t="e">
        <f ca="1">IF(B615=" "," ",HYPERLINK(CONCATENATE("#metadata!",ADDRESS(INDEX($AJ$2:$AJ$1001,MATCH(ROWS($AH$2:AH615),$AH$2:$AH$1001,0),0),2)),INDEX($AM$2:$AM$1001,MATCH(ROWS($AH$2:AH615),$AH$2:$AH$1001,0),0)))</f>
        <v>#N/A</v>
      </c>
      <c r="B615" s="5" t="e">
        <f ca="1">IF(OR(INDEX($AI$2:$AI$1001,MATCH(ROWS($AH$2:AH615),$AH$2:$AH$1001,0),1)&gt;=100000,INDEX($AO$1005:$BQ$1005,1,MATCH(COLUMNS($AO$1006:AO1006),$AO$1006:$BQ$1006,0))&gt;=100000), " ",IF(INDEX($AO$2:$BQ$1001,MATCH(ROWS($AH$2:AH615),$AH$2:$AH$1001,0),MATCH(COLUMNS($AO$1006:AO1006),$AO$1006:$BQ$1006,0)), HYPERLINK("#",""), HYPERLINK(CONCATENATE("#Metadata!", ADDRESS(INDEX($AJ$2:$AJ$1001,MATCH(ROWS($AH$2:AH615),$AH$2:$AH$1001,0),0), INDEX($AO$1004:$BQ$1004,1,MATCH(COLUMNS($AO$1006:AO1006),$AO$1006:$BQ$1006,0)))),"Fix")))</f>
        <v>#N/A</v>
      </c>
      <c r="C615" s="5" t="e">
        <f ca="1">IF(OR(INDEX($AI$2:$AI$1001,MATCH(ROWS($AH$2:AH615),$AH$2:$AH$1001,0),1)&gt;=100000,INDEX($AO$1005:$BQ$1005,1,MATCH(COLUMNS($AO$1006:AP1006),$AO$1006:$BQ$1006,0))&gt;=100000), " ",IF(INDEX($AO$2:$BQ$1001,MATCH(ROWS($AH$2:AH615),$AH$2:$AH$1001,0),MATCH(COLUMNS($AO$1006:AP1006),$AO$1006:$BQ$1006,0)), HYPERLINK("#",""), HYPERLINK(CONCATENATE("#Metadata!", ADDRESS(INDEX($AJ$2:$AJ$1001,MATCH(ROWS($AH$2:AH615),$AH$2:$AH$1001,0),0), INDEX($AO$1004:$BQ$1004,1,MATCH(COLUMNS($AO$1006:AP1006),$AO$1006:$BQ$1006,0)))),"Fix")))</f>
        <v>#N/A</v>
      </c>
      <c r="D615" s="5" t="e">
        <f ca="1">IF(OR(INDEX($AI$2:$AI$1001,MATCH(ROWS($AH$2:AH615),$AH$2:$AH$1001,0),1)&gt;=100000,INDEX($AO$1005:$BQ$1005,1,MATCH(COLUMNS($AO$1006:AQ1006),$AO$1006:$BQ$1006,0))&gt;=100000), " ",IF(INDEX($AO$2:$BQ$1001,MATCH(ROWS($AH$2:AH615),$AH$2:$AH$1001,0),MATCH(COLUMNS($AO$1006:AQ1006),$AO$1006:$BQ$1006,0)), HYPERLINK("#",""), HYPERLINK(CONCATENATE("#Metadata!", ADDRESS(INDEX($AJ$2:$AJ$1001,MATCH(ROWS($AH$2:AH615),$AH$2:$AH$1001,0),0), INDEX($AO$1004:$BQ$1004,1,MATCH(COLUMNS($AO$1006:AQ1006),$AO$1006:$BQ$1006,0)))),"Fix")))</f>
        <v>#N/A</v>
      </c>
      <c r="E615" s="5" t="e">
        <f ca="1">IF(OR(INDEX($AI$2:$AI$1001,MATCH(ROWS($AH$2:AH615),$AH$2:$AH$1001,0),1)&gt;=100000,INDEX($AO$1005:$BQ$1005,1,MATCH(COLUMNS($AO$1006:AR1006),$AO$1006:$BQ$1006,0))&gt;=100000), " ",IF(INDEX($AO$2:$BQ$1001,MATCH(ROWS($AH$2:AH615),$AH$2:$AH$1001,0),MATCH(COLUMNS($AO$1006:AR1006),$AO$1006:$BQ$1006,0)), HYPERLINK("#",""), HYPERLINK(CONCATENATE("#Metadata!", ADDRESS(INDEX($AJ$2:$AJ$1001,MATCH(ROWS($AH$2:AH615),$AH$2:$AH$1001,0),0), INDEX($AO$1004:$BQ$1004,1,MATCH(COLUMNS($AO$1006:AR1006),$AO$1006:$BQ$1006,0)))),"Fix")))</f>
        <v>#N/A</v>
      </c>
      <c r="F615" s="5" t="e">
        <f ca="1">IF(OR(INDEX($AI$2:$AI$1001,MATCH(ROWS($AH$2:AH615),$AH$2:$AH$1001,0),1)&gt;=100000,INDEX($AO$1005:$BQ$1005,1,MATCH(COLUMNS($AO$1006:AS1006),$AO$1006:$BQ$1006,0))&gt;=100000), " ",IF(INDEX($AO$2:$BQ$1001,MATCH(ROWS($AH$2:AH615),$AH$2:$AH$1001,0),MATCH(COLUMNS($AO$1006:AS1006),$AO$1006:$BQ$1006,0)), HYPERLINK("#",""), HYPERLINK(CONCATENATE("#Metadata!", ADDRESS(INDEX($AJ$2:$AJ$1001,MATCH(ROWS($AH$2:AH615),$AH$2:$AH$1001,0),0), INDEX($AO$1004:$BQ$1004,1,MATCH(COLUMNS($AO$1006:AS1006),$AO$1006:$BQ$1006,0)))),"Fix")))</f>
        <v>#N/A</v>
      </c>
      <c r="G615" s="5" t="e">
        <f ca="1">IF(OR(INDEX($AI$2:$AI$1001,MATCH(ROWS($AH$2:AH615),$AH$2:$AH$1001,0),1)&gt;=100000,INDEX($AO$1005:$BQ$1005,1,MATCH(COLUMNS($AO$1006:AT1006),$AO$1006:$BQ$1006,0))&gt;=100000), " ",IF(INDEX($AO$2:$BQ$1001,MATCH(ROWS($AH$2:AH615),$AH$2:$AH$1001,0),MATCH(COLUMNS($AO$1006:AT1006),$AO$1006:$BQ$1006,0)), HYPERLINK("#",""), HYPERLINK(CONCATENATE("#Metadata!", ADDRESS(INDEX($AJ$2:$AJ$1001,MATCH(ROWS($AH$2:AH615),$AH$2:$AH$1001,0),0), INDEX($AO$1004:$BQ$1004,1,MATCH(COLUMNS($AO$1006:AT1006),$AO$1006:$BQ$1006,0)))),"Fix")))</f>
        <v>#N/A</v>
      </c>
      <c r="H615" s="5" t="e">
        <f ca="1">IF(OR(INDEX($AI$2:$AI$1001,MATCH(ROWS($AH$2:AH615),$AH$2:$AH$1001,0),1)&gt;=100000,INDEX($AO$1005:$BQ$1005,1,MATCH(COLUMNS($AO$1006:AU1006),$AO$1006:$BQ$1006,0))&gt;=100000), " ",IF(INDEX($AO$2:$BQ$1001,MATCH(ROWS($AH$2:AH615),$AH$2:$AH$1001,0),MATCH(COLUMNS($AO$1006:AU1006),$AO$1006:$BQ$1006,0)), HYPERLINK("#",""), HYPERLINK(CONCATENATE("#Metadata!", ADDRESS(INDEX($AJ$2:$AJ$1001,MATCH(ROWS($AH$2:AH615),$AH$2:$AH$1001,0),0), INDEX($AO$1004:$BQ$1004,1,MATCH(COLUMNS($AO$1006:AU1006),$AO$1006:$BQ$1006,0)))),"Fix")))</f>
        <v>#N/A</v>
      </c>
      <c r="I615" s="5" t="e">
        <f ca="1">IF(OR(INDEX($AI$2:$AI$1001,MATCH(ROWS($AH$2:AH615),$AH$2:$AH$1001,0),1)&gt;=100000,INDEX($AO$1005:$BQ$1005,1,MATCH(COLUMNS($AO$1006:AV1006),$AO$1006:$BQ$1006,0))&gt;=100000), " ",IF(INDEX($AO$2:$BQ$1001,MATCH(ROWS($AH$2:AH615),$AH$2:$AH$1001,0),MATCH(COLUMNS($AO$1006:AV1006),$AO$1006:$BQ$1006,0)), HYPERLINK("#",""), HYPERLINK(CONCATENATE("#Metadata!", ADDRESS(INDEX($AJ$2:$AJ$1001,MATCH(ROWS($AH$2:AH615),$AH$2:$AH$1001,0),0), INDEX($AO$1004:$BQ$1004,1,MATCH(COLUMNS($AO$1006:AV1006),$AO$1006:$BQ$1006,0)))),"Fix")))</f>
        <v>#N/A</v>
      </c>
      <c r="J615" s="5" t="e">
        <f ca="1">IF(OR(INDEX($AI$2:$AI$1001,MATCH(ROWS($AH$2:AH615),$AH$2:$AH$1001,0),1)&gt;=100000,INDEX($AO$1005:$BQ$1005,1,MATCH(COLUMNS($AO$1006:AW1006),$AO$1006:$BQ$1006,0))&gt;=100000), " ",IF(INDEX($AO$2:$BQ$1001,MATCH(ROWS($AH$2:AH615),$AH$2:$AH$1001,0),MATCH(COLUMNS($AO$1006:AW1006),$AO$1006:$BQ$1006,0)), HYPERLINK("#",""), HYPERLINK(CONCATENATE("#Metadata!", ADDRESS(INDEX($AJ$2:$AJ$1001,MATCH(ROWS($AH$2:AH615),$AH$2:$AH$1001,0),0), INDEX($AO$1004:$BQ$1004,1,MATCH(COLUMNS($AO$1006:AW1006),$AO$1006:$BQ$1006,0)))),"Fix")))</f>
        <v>#N/A</v>
      </c>
      <c r="K615" s="5" t="e">
        <f ca="1">IF(OR(INDEX($AI$2:$AI$1001,MATCH(ROWS($AH$2:AH615),$AH$2:$AH$1001,0),1)&gt;=100000,INDEX($AO$1005:$BQ$1005,1,MATCH(COLUMNS($AO$1006:AX1006),$AO$1006:$BQ$1006,0))&gt;=100000), " ",IF(INDEX($AO$2:$BQ$1001,MATCH(ROWS($AH$2:AH615),$AH$2:$AH$1001,0),MATCH(COLUMNS($AO$1006:AX1006),$AO$1006:$BQ$1006,0)), HYPERLINK("#",""), HYPERLINK(CONCATENATE("#Metadata!", ADDRESS(INDEX($AJ$2:$AJ$1001,MATCH(ROWS($AH$2:AH615),$AH$2:$AH$1001,0),0), INDEX($AO$1004:$BQ$1004,1,MATCH(COLUMNS($AO$1006:AX1006),$AO$1006:$BQ$1006,0)))),"Fix")))</f>
        <v>#N/A</v>
      </c>
      <c r="L615" s="5" t="e">
        <f ca="1">IF(OR(INDEX($AI$2:$AI$1001,MATCH(ROWS($AH$2:AH615),$AH$2:$AH$1001,0),1)&gt;=100000,INDEX($AO$1005:$BQ$1005,1,MATCH(COLUMNS($AO$1006:AY1006),$AO$1006:$BQ$1006,0))&gt;=100000), " ",IF(INDEX($AO$2:$BQ$1001,MATCH(ROWS($AH$2:AH615),$AH$2:$AH$1001,0),MATCH(COLUMNS($AO$1006:AY1006),$AO$1006:$BQ$1006,0)), HYPERLINK("#",""), HYPERLINK(CONCATENATE("#Metadata!", ADDRESS(INDEX($AJ$2:$AJ$1001,MATCH(ROWS($AH$2:AH615),$AH$2:$AH$1001,0),0), INDEX($AO$1004:$BQ$1004,1,MATCH(COLUMNS($AO$1006:AY1006),$AO$1006:$BQ$1006,0)))),"Fix")))</f>
        <v>#N/A</v>
      </c>
      <c r="M615" s="5" t="e">
        <f ca="1">IF(OR(INDEX($AI$2:$AI$1001,MATCH(ROWS($AH$2:AH615),$AH$2:$AH$1001,0),1)&gt;=100000,INDEX($AO$1005:$BQ$1005,1,MATCH(COLUMNS($AO$1006:AZ1006),$AO$1006:$BQ$1006,0))&gt;=100000), " ",IF(INDEX($AO$2:$BQ$1001,MATCH(ROWS($AH$2:AH615),$AH$2:$AH$1001,0),MATCH(COLUMNS($AO$1006:AZ1006),$AO$1006:$BQ$1006,0)), HYPERLINK("#",""), HYPERLINK(CONCATENATE("#Metadata!", ADDRESS(INDEX($AJ$2:$AJ$1001,MATCH(ROWS($AH$2:AH615),$AH$2:$AH$1001,0),0), INDEX($AO$1004:$BQ$1004,1,MATCH(COLUMNS($AO$1006:AZ1006),$AO$1006:$BQ$1006,0)))),"Fix")))</f>
        <v>#N/A</v>
      </c>
      <c r="N615" s="5" t="e">
        <f ca="1">IF(OR(INDEX($AI$2:$AI$1001,MATCH(ROWS($AH$2:AH615),$AH$2:$AH$1001,0),1)&gt;=100000,INDEX($AO$1005:$BQ$1005,1,MATCH(COLUMNS($AO$1006:BA1006),$AO$1006:$BQ$1006,0))&gt;=100000), " ",IF(INDEX($AO$2:$BQ$1001,MATCH(ROWS($AH$2:AH615),$AH$2:$AH$1001,0),MATCH(COLUMNS($AO$1006:BA1006),$AO$1006:$BQ$1006,0)), HYPERLINK("#",""), HYPERLINK(CONCATENATE("#Metadata!", ADDRESS(INDEX($AJ$2:$AJ$1001,MATCH(ROWS($AH$2:AH615),$AH$2:$AH$1001,0),0), INDEX($AO$1004:$BQ$1004,1,MATCH(COLUMNS($AO$1006:BA1006),$AO$1006:$BQ$1006,0)))),"Fix")))</f>
        <v>#N/A</v>
      </c>
      <c r="O615" s="5" t="e">
        <f ca="1">IF(OR(INDEX($AI$2:$AI$1001,MATCH(ROWS($AH$2:AH615),$AH$2:$AH$1001,0),1)&gt;=100000,INDEX($AO$1005:$BQ$1005,1,MATCH(COLUMNS($AO$1006:BB1006),$AO$1006:$BQ$1006,0))&gt;=100000), " ",IF(INDEX($AO$2:$BQ$1001,MATCH(ROWS($AH$2:AH615),$AH$2:$AH$1001,0),MATCH(COLUMNS($AO$1006:BB1006),$AO$1006:$BQ$1006,0)), HYPERLINK("#",""), HYPERLINK(CONCATENATE("#Metadata!", ADDRESS(INDEX($AJ$2:$AJ$1001,MATCH(ROWS($AH$2:AH615),$AH$2:$AH$1001,0),0), INDEX($AO$1004:$BQ$1004,1,MATCH(COLUMNS($AO$1006:BB1006),$AO$1006:$BQ$1006,0)))),"Fix")))</f>
        <v>#N/A</v>
      </c>
      <c r="P615" s="5" t="e">
        <f ca="1">IF(OR(INDEX($AI$2:$AI$1001,MATCH(ROWS($AH$2:AH615),$AH$2:$AH$1001,0),1)&gt;=100000,INDEX($AO$1005:$BQ$1005,1,MATCH(COLUMNS($AO$1006:BC1006),$AO$1006:$BQ$1006,0))&gt;=100000), " ",IF(INDEX($AO$2:$BQ$1001,MATCH(ROWS($AH$2:AH615),$AH$2:$AH$1001,0),MATCH(COLUMNS($AO$1006:BC1006),$AO$1006:$BQ$1006,0)), HYPERLINK("#",""), HYPERLINK(CONCATENATE("#Metadata!", ADDRESS(INDEX($AJ$2:$AJ$1001,MATCH(ROWS($AH$2:AH615),$AH$2:$AH$1001,0),0), INDEX($AO$1004:$BQ$1004,1,MATCH(COLUMNS($AO$1006:BC1006),$AO$1006:$BQ$1006,0)))),"Fix")))</f>
        <v>#N/A</v>
      </c>
      <c r="Q615" s="5" t="e">
        <f ca="1">IF(OR(INDEX($AI$2:$AI$1001,MATCH(ROWS($AH$2:AH615),$AH$2:$AH$1001,0),1)&gt;=100000,INDEX($AO$1005:$BQ$1005,1,MATCH(COLUMNS($AO$1006:BD1006),$AO$1006:$BQ$1006,0))&gt;=100000), " ",IF(INDEX($AO$2:$BQ$1001,MATCH(ROWS($AH$2:AH615),$AH$2:$AH$1001,0),MATCH(COLUMNS($AO$1006:BD1006),$AO$1006:$BQ$1006,0)), HYPERLINK("#",""), HYPERLINK(CONCATENATE("#Metadata!", ADDRESS(INDEX($AJ$2:$AJ$1001,MATCH(ROWS($AH$2:AH615),$AH$2:$AH$1001,0),0), INDEX($AO$1004:$BQ$1004,1,MATCH(COLUMNS($AO$1006:BD1006),$AO$1006:$BQ$1006,0)))),"Fix")))</f>
        <v>#N/A</v>
      </c>
      <c r="R615" s="5" t="e">
        <f ca="1">IF(OR(INDEX($AI$2:$AI$1001,MATCH(ROWS($AH$2:AH615),$AH$2:$AH$1001,0),1)&gt;=100000,INDEX($AO$1005:$BQ$1005,1,MATCH(COLUMNS($AO$1006:BE1006),$AO$1006:$BQ$1006,0))&gt;=100000), " ",IF(INDEX($AO$2:$BQ$1001,MATCH(ROWS($AH$2:AH615),$AH$2:$AH$1001,0),MATCH(COLUMNS($AO$1006:BE1006),$AO$1006:$BQ$1006,0)), HYPERLINK("#",""), HYPERLINK(CONCATENATE("#Metadata!", ADDRESS(INDEX($AJ$2:$AJ$1001,MATCH(ROWS($AH$2:AH615),$AH$2:$AH$1001,0),0), INDEX($AO$1004:$BQ$1004,1,MATCH(COLUMNS($AO$1006:BE1006),$AO$1006:$BQ$1006,0)))),"Fix")))</f>
        <v>#N/A</v>
      </c>
      <c r="S615" s="5" t="e">
        <f ca="1">IF(OR(INDEX($AI$2:$AI$1001,MATCH(ROWS($AH$2:AH615),$AH$2:$AH$1001,0),1)&gt;=100000,INDEX($AO$1005:$BQ$1005,1,MATCH(COLUMNS($AO$1006:BF1006),$AO$1006:$BQ$1006,0))&gt;=100000), " ",IF(INDEX($AO$2:$BQ$1001,MATCH(ROWS($AH$2:AH615),$AH$2:$AH$1001,0),MATCH(COLUMNS($AO$1006:BF1006),$AO$1006:$BQ$1006,0)), HYPERLINK("#",""), HYPERLINK(CONCATENATE("#Metadata!", ADDRESS(INDEX($AJ$2:$AJ$1001,MATCH(ROWS($AH$2:AH615),$AH$2:$AH$1001,0),0), INDEX($AO$1004:$BQ$1004,1,MATCH(COLUMNS($AO$1006:BF1006),$AO$1006:$BQ$1006,0)))),"Fix")))</f>
        <v>#N/A</v>
      </c>
      <c r="T615" s="5" t="e">
        <f ca="1">IF(OR(INDEX($AI$2:$AI$1001,MATCH(ROWS($AH$2:AH615),$AH$2:$AH$1001,0),1)&gt;=100000,INDEX($AO$1005:$BQ$1005,1,MATCH(COLUMNS($AO$1006:BG1006),$AO$1006:$BQ$1006,0))&gt;=100000), " ",IF(INDEX($AO$2:$BQ$1001,MATCH(ROWS($AH$2:AH615),$AH$2:$AH$1001,0),MATCH(COLUMNS($AO$1006:BG1006),$AO$1006:$BQ$1006,0)), HYPERLINK("#",""), HYPERLINK(CONCATENATE("#Metadata!", ADDRESS(INDEX($AJ$2:$AJ$1001,MATCH(ROWS($AH$2:AH615),$AH$2:$AH$1001,0),0), INDEX($AO$1004:$BQ$1004,1,MATCH(COLUMNS($AO$1006:BG1006),$AO$1006:$BQ$1006,0)))),"Fix")))</f>
        <v>#N/A</v>
      </c>
      <c r="U615" s="5" t="e">
        <f ca="1">IF(OR(INDEX($AI$2:$AI$1001,MATCH(ROWS($AH$2:AH615),$AH$2:$AH$1001,0),1)&gt;=100000,INDEX($AO$1005:$BQ$1005,1,MATCH(COLUMNS($AO$1006:BH1006),$AO$1006:$BQ$1006,0))&gt;=100000), " ",IF(INDEX($AO$2:$BQ$1001,MATCH(ROWS($AH$2:AH615),$AH$2:$AH$1001,0),MATCH(COLUMNS($AO$1006:BH1006),$AO$1006:$BQ$1006,0)), HYPERLINK("#",""), HYPERLINK(CONCATENATE("#Metadata!", ADDRESS(INDEX($AJ$2:$AJ$1001,MATCH(ROWS($AH$2:AH615),$AH$2:$AH$1001,0),0), INDEX($AO$1004:$BQ$1004,1,MATCH(COLUMNS($AO$1006:BH1006),$AO$1006:$BQ$1006,0)))),"Fix")))</f>
        <v>#N/A</v>
      </c>
      <c r="V615" s="5" t="e">
        <f ca="1">IF(OR(INDEX($AI$2:$AI$1001,MATCH(ROWS($AH$2:AH615),$AH$2:$AH$1001,0),1)&gt;=100000,INDEX($AO$1005:$BQ$1005,1,MATCH(COLUMNS($AO$1006:BI1006),$AO$1006:$BQ$1006,0))&gt;=100000), " ",IF(INDEX($AO$2:$BQ$1001,MATCH(ROWS($AH$2:AH615),$AH$2:$AH$1001,0),MATCH(COLUMNS($AO$1006:BI1006),$AO$1006:$BQ$1006,0)), HYPERLINK("#",""), HYPERLINK(CONCATENATE("#Metadata!", ADDRESS(INDEX($AJ$2:$AJ$1001,MATCH(ROWS($AH$2:AH615),$AH$2:$AH$1001,0),0), INDEX($AO$1004:$BQ$1004,1,MATCH(COLUMNS($AO$1006:BI1006),$AO$1006:$BQ$1006,0)))),"Fix")))</f>
        <v>#N/A</v>
      </c>
      <c r="W615" s="5" t="e">
        <f ca="1">IF(OR(INDEX($AI$2:$AI$1001,MATCH(ROWS($AH$2:AH615),$AH$2:$AH$1001,0),1)&gt;=100000,INDEX($AO$1005:$BQ$1005,1,MATCH(COLUMNS($AO$1006:BJ1006),$AO$1006:$BQ$1006,0))&gt;=100000), " ",IF(INDEX($AO$2:$BQ$1001,MATCH(ROWS($AH$2:AH615),$AH$2:$AH$1001,0),MATCH(COLUMNS($AO$1006:BJ1006),$AO$1006:$BQ$1006,0)), HYPERLINK("#",""), HYPERLINK(CONCATENATE("#Metadata!", ADDRESS(INDEX($AJ$2:$AJ$1001,MATCH(ROWS($AH$2:AH615),$AH$2:$AH$1001,0),0), INDEX($AO$1004:$BQ$1004,1,MATCH(COLUMNS($AO$1006:BJ1006),$AO$1006:$BQ$1006,0)))),"Fix")))</f>
        <v>#N/A</v>
      </c>
      <c r="X615" s="5" t="e">
        <f ca="1">IF(OR(INDEX($AI$2:$AI$1001,MATCH(ROWS($AH$2:AH615),$AH$2:$AH$1001,0),1)&gt;=100000,INDEX($AO$1005:$BQ$1005,1,MATCH(COLUMNS($AO$1006:BK1006),$AO$1006:$BQ$1006,0))&gt;=100000), " ",IF(INDEX($AO$2:$BQ$1001,MATCH(ROWS($AH$2:AH615),$AH$2:$AH$1001,0),MATCH(COLUMNS($AO$1006:BK1006),$AO$1006:$BQ$1006,0)), HYPERLINK("#",""), HYPERLINK(CONCATENATE("#Metadata!", ADDRESS(INDEX($AJ$2:$AJ$1001,MATCH(ROWS($AH$2:AH615),$AH$2:$AH$1001,0),0), INDEX($AO$1004:$BQ$1004,1,MATCH(COLUMNS($AO$1006:BK1006),$AO$1006:$BQ$1006,0)))),"Fix")))</f>
        <v>#N/A</v>
      </c>
      <c r="Y615" s="5" t="e">
        <f ca="1">IF(OR(INDEX($AI$2:$AI$1001,MATCH(ROWS($AH$2:AH615),$AH$2:$AH$1001,0),1)&gt;=100000,INDEX($AO$1005:$BQ$1005,1,MATCH(COLUMNS($AO$1006:BL1006),$AO$1006:$BQ$1006,0))&gt;=100000), " ",IF(INDEX($AO$2:$BQ$1001,MATCH(ROWS($AH$2:AH615),$AH$2:$AH$1001,0),MATCH(COLUMNS($AO$1006:BL1006),$AO$1006:$BQ$1006,0)), HYPERLINK("#",""), HYPERLINK(CONCATENATE("#Metadata!", ADDRESS(INDEX($AJ$2:$AJ$1001,MATCH(ROWS($AH$2:AH615),$AH$2:$AH$1001,0),0), INDEX($AO$1004:$BQ$1004,1,MATCH(COLUMNS($AO$1006:BL1006),$AO$1006:$BQ$1006,0)))),"Fix")))</f>
        <v>#N/A</v>
      </c>
      <c r="Z615" s="5" t="e">
        <f ca="1">IF(OR(INDEX($AI$2:$AI$1001,MATCH(ROWS($AH$2:AH615),$AH$2:$AH$1001,0),1)&gt;=100000,INDEX($AO$1005:$BQ$1005,1,MATCH(COLUMNS($AO$1006:BM1006),$AO$1006:$BQ$1006,0))&gt;=100000), " ",IF(INDEX($AO$2:$BQ$1001,MATCH(ROWS($AH$2:AH615),$AH$2:$AH$1001,0),MATCH(COLUMNS($AO$1006:BM1006),$AO$1006:$BQ$1006,0)), HYPERLINK("#",""), HYPERLINK(CONCATENATE("#Metadata!", ADDRESS(INDEX($AJ$2:$AJ$1001,MATCH(ROWS($AH$2:AH615),$AH$2:$AH$1001,0),0), INDEX($AO$1004:$BQ$1004,1,MATCH(COLUMNS($AO$1006:BM1006),$AO$1006:$BQ$1006,0)))),"Fix")))</f>
        <v>#N/A</v>
      </c>
      <c r="AA615" s="5" t="e">
        <f ca="1">IF(OR(INDEX($AI$2:$AI$1001,MATCH(ROWS($AH$2:AH615),$AH$2:$AH$1001,0),1)&gt;=100000,INDEX($AO$1005:$BQ$1005,1,MATCH(COLUMNS($AO$1006:BN1006),$AO$1006:$BQ$1006,0))&gt;=100000), " ",IF(INDEX($AO$2:$BQ$1001,MATCH(ROWS($AH$2:AH615),$AH$2:$AH$1001,0),MATCH(COLUMNS($AO$1006:BN1006),$AO$1006:$BQ$1006,0)), HYPERLINK("#",""), HYPERLINK(CONCATENATE("#Metadata!", ADDRESS(INDEX($AJ$2:$AJ$1001,MATCH(ROWS($AH$2:AH615),$AH$2:$AH$1001,0),0), INDEX($AO$1004:$BQ$1004,1,MATCH(COLUMNS($AO$1006:BN1006),$AO$1006:$BQ$1006,0)))),"Fix")))</f>
        <v>#N/A</v>
      </c>
      <c r="AB615" s="5" t="e">
        <f ca="1">IF(OR(INDEX($AI$2:$AI$1001,MATCH(ROWS($AH$2:AH615),$AH$2:$AH$1001,0),1)&gt;=100000,INDEX($AO$1005:$BQ$1005,1,MATCH(COLUMNS($AO$1006:BO1006),$AO$1006:$BQ$1006,0))&gt;=100000), " ",IF(INDEX($AO$2:$BQ$1001,MATCH(ROWS($AH$2:AH615),$AH$2:$AH$1001,0),MATCH(COLUMNS($AO$1006:BO1006),$AO$1006:$BQ$1006,0)), HYPERLINK("#",""), HYPERLINK(CONCATENATE("#Metadata!", ADDRESS(INDEX($AJ$2:$AJ$1001,MATCH(ROWS($AH$2:AH615),$AH$2:$AH$1001,0),0), INDEX($AO$1004:$BQ$1004,1,MATCH(COLUMNS($AO$1006:BO1006),$AO$1006:$BQ$1006,0)))),"Fix")))</f>
        <v>#N/A</v>
      </c>
      <c r="AC615" s="5" t="e">
        <f ca="1">IF(OR(INDEX($AI$2:$AI$1001,MATCH(ROWS($AH$2:AH615),$AH$2:$AH$1001,0),1)&gt;=100000,INDEX($AO$1005:$BQ$1005,1,MATCH(COLUMNS($AO$1006:BP1006),$AO$1006:$BQ$1006,0))&gt;=100000), " ",IF(INDEX($AO$2:$BQ$1001,MATCH(ROWS($AH$2:AH615),$AH$2:$AH$1001,0),MATCH(COLUMNS($AO$1006:BP1006),$AO$1006:$BQ$1006,0)), HYPERLINK("#",""), HYPERLINK(CONCATENATE("#Metadata!", ADDRESS(INDEX($AJ$2:$AJ$1001,MATCH(ROWS($AH$2:AH615),$AH$2:$AH$1001,0),0), INDEX($AO$1004:$BQ$1004,1,MATCH(COLUMNS($AO$1006:BP1006),$AO$1006:$BQ$1006,0)))),"Fix")))</f>
        <v>#N/A</v>
      </c>
      <c r="AD615" s="5" t="e">
        <f ca="1">IF(OR(INDEX($AI$2:$AI$1001,MATCH(ROWS($AH$2:AH615),$AH$2:$AH$1001,0),1)&gt;=100000,INDEX($AO$1005:$BQ$1005,1,MATCH(COLUMNS($AO$1006:BQ1006),$AO$1006:$BQ$1006,0))&gt;=100000), " ",IF(INDEX($AO$2:$BQ$1001,MATCH(ROWS($AH$2:AH615),$AH$2:$AH$1001,0),MATCH(COLUMNS($AO$1006:BQ1006),$AO$1006:$BQ$1006,0)), HYPERLINK("#",""), HYPERLINK(CONCATENATE("#Metadata!", ADDRESS(INDEX($AJ$2:$AJ$1001,MATCH(ROWS($AH$2:AH615),$AH$2:$AH$1001,0),0), INDEX($AO$1004:$BQ$1004,1,MATCH(COLUMNS($AO$1006:BQ1006),$AO$1006:$BQ$1006,0)))),"Fix")))</f>
        <v>#REF!</v>
      </c>
      <c r="AH615">
        <f ca="1"/>
        <v>612</v>
      </c>
      <c r="AI615">
        <v>100615</v>
      </c>
      <c r="AJ615">
        <v>615</v>
      </c>
      <c r="AK615" t="b">
        <f t="shared" si="9"/>
        <v>1</v>
      </c>
      <c r="AL615" t="b">
        <f>COUNTBLANK(Metadata!B615:AD615)=COLUMNS(Metadata!B615:AD615)</f>
        <v>1</v>
      </c>
      <c r="AM615" t="str">
        <v/>
      </c>
      <c r="AO615" t="b">
        <f ca="1">AND(IF(Metadata!B615="",FALSE,TRUE),COUNTIF(Metadata!B:B, Metadata!B615) = 1,NOT(ISERROR(SUMPRODUCT(SEARCH(MID(Metadata!B615,ROW(INDIRECT("1:"&amp;LEN(Metadata!B615))), 1),"0123456789abcdefghijklmnopqrstuvwxyzABCDEFGHIJKLMNOPQRSTUVWXYZ.")))))</f>
        <v>0</v>
      </c>
      <c r="AP615" t="b">
        <f>IF(Metadata!C615="",FALSE,TRUE)</f>
        <v>0</v>
      </c>
      <c r="AQ615" t="b">
        <f>IF(Metadata!D615="",FALSE,TRUE)</f>
        <v>0</v>
      </c>
      <c r="AR615" t="b">
        <f ca="1">OR(AND(IF(Metadata!E615="",FALSE,TRUE),OR(EXACT(Metadata!E615,"not collected"),EXACT(Metadata!E615,"not provided"),EXACT(Metadata!E615,"restricted access"))),AND(IF(Metadata!E615="",FALSE,TRUE),AND(AND(IFERROR(INT(LEFT(Metadata!E615,4))&gt;1900,FALSE),IFERROR(INT(LEFT(Metadata!E615,4))&lt;=YEAR(NOW()),FALSE)), OR(MID(Metadata!E615,5,1)="", AND(AND(MID(Metadata!E615,5,1)="-",IFERROR(INT(MID(Metadata!E615,6,1))&gt;=0,FALSE),IFERROR(INT(MID(Metadata!E615,6,1))&lt;=1,FALSE),NOT(MID(Metadata!E615,7,1)=""),IFERROR(INT(MID(Metadata!E615,6,2))&gt;=1,FALSE),IFERROR(INT(MID(Metadata!E615,6,2))&lt;=12,FALSE)), OR(MID(Metadata!E615,8,1)="", AND(AND(MID(Metadata!E615,8,1)="-",IFERROR(INT(MID(Metadata!E615,9,1))&gt;=0,FALSE),IFERROR(INT(MID(Metadata!E615,9,1))&lt;=3,FALSE),NOT(MID(Metadata!E615,10,1)=""),IFERROR(INT(MID(Metadata!E615,9,2))&gt;=1,FALSE),IFERROR(INT(MID(Metadata!E615,9,2))&lt;=31,FALSE)), OR(MID(Metadata!E615,11,1)="", AND(AND(MID(Metadata!E615,11,1)=" ",IFERROR(INT(MID(Metadata!E615,12,1))&gt;=0,FALSE),IFERROR(INT(MID(Metadata!E615,12,1))&lt;=2,FALSE),NOT(MID(Metadata!E615,13,1)=""),IFERROR(INT(MID(Metadata!E615,12,2))&gt;=0,FALSE),IFERROR(INT(MID(Metadata!E615,12,2))&lt;=23,FALSE)), OR(MID(Metadata!E615,14,1)="", AND(AND(MID(Metadata!E615,14,1)=":",IFERROR(INT(MID(Metadata!E615,15,1))&gt;=0,FALSE),IFERROR(INT(MID(Metadata!E615,15,1))&lt;=5,FALSE),NOT(MID(Metadata!E615,16,1)=""),IFERROR(INT(MID(Metadata!E615,15,2))&gt;=0,FALSE),IFERROR(INT(MID(Metadata!E615,15,2))&lt;=59,FALSE)), OR(MID(Metadata!E615,17,1)="", AND(AND(MID(Metadata!E615,17,1)=":",IFERROR(INT(MID(Metadata!E615,18,1))&gt;=0,FALSE),IFERROR(INT(MID(Metadata!E615,18,1))&lt;=5,FALSE),NOT(MID(Metadata!E615,19,1)=""),IFERROR(INT(MID(Metadata!E615,18,2))&gt;=0,FALSE),IFERROR(INT(MID(Metadata!E615,18,2))&lt;=59,FALSE)), LEN(Metadata!E615)&lt;=19)))))))))))))</f>
        <v>0</v>
      </c>
      <c r="AS615" t="b">
        <f>IF(Metadata!F615="",FALSE,TRUE)</f>
        <v>0</v>
      </c>
      <c r="AT615" t="b">
        <f>OR(AND(IF(Metadata!G615="",FALSE,TRUE),OR(EXACT(Metadata!G615,"not collected"),EXACT(Metadata!G615,"not provided"))),AND(IF(Metadata!G615="",FALSE,TRUE),OR(EXACT(Metadata!G615,"TRUE"),EXACT(Metadata!G615,"FALSE"))))</f>
        <v>0</v>
      </c>
      <c r="AU615" t="b">
        <f>OR(AND(IF(Metadata!H615="",FALSE,TRUE),OR(EXACT(Metadata!H615,"not collected"),EXACT(Metadata!H615,"not provided"),EXACT(Metadata!H615,"restricted access"))),AND(IF(Metadata!H615="",FALSE,ISNUMBER(VALUE(Metadata!H615))),Metadata!H615&gt;=-413))</f>
        <v>0</v>
      </c>
      <c r="AV615" t="b">
        <f>AND(IF(Metadata!I615="",FALSE,TRUE),EXACT(Metadata!I615,"meters"))</f>
        <v>0</v>
      </c>
      <c r="AW615" t="b">
        <f>AND(IF(Metadata!J615="",FALSE,TRUE),EXACT(Metadata!J615,"free-living"))</f>
        <v>0</v>
      </c>
      <c r="AX615" t="b">
        <f>AND(IF(Metadata!K615="",FALSE,TRUE),OR(EXACT(Metadata!K615,"saline"),EXACT(Metadata!K615,"non-saline")))</f>
        <v>0</v>
      </c>
      <c r="AY615" t="b">
        <f>AND(IF(Metadata!L615="",FALSE,TRUE),OR(EXACT(Metadata!L615,"sub-surface (non-saline)"),EXACT(Metadata!L615,"surface (non-saline)"),EXACT(Metadata!L615,"water (non-saline)"),EXACT(Metadata!L615,"soil (non-saline)"),EXACT(Metadata!L615,"aerosol (non-saline)"),EXACT(Metadata!L615,"sediment (non-saline)"),EXACT(Metadata!L615,"surface (saline)"),EXACT(Metadata!L615,"water (saline)"),EXACT(Metadata!L615,"hypersaline (saline)"),EXACT(Metadata!L615,"aerosol (saline)"),EXACT(Metadata!L615,"sediment (saline)")))</f>
        <v>0</v>
      </c>
      <c r="AZ615" t="b">
        <f>IF(Metadata!M615="",FALSE,TRUE)</f>
        <v>0</v>
      </c>
      <c r="BA615" t="b">
        <f>IF(Metadata!N615="",FALSE,TRUE)</f>
        <v>0</v>
      </c>
      <c r="BB615" t="b">
        <f>IF(Metadata!O615="",FALSE,TRUE)</f>
        <v>0</v>
      </c>
      <c r="BC615" t="b">
        <f>AND(IF(Metadata!P615="",FALSE,TRUE),OR(EXACT(Metadata!P615,"air"),EXACT(Metadata!P615,"microbial mat/biofilm"),EXACT(Metadata!P615,"misc environment"),EXACT(Metadata!P615,"sediment"),EXACT(Metadata!P615,"soil"),EXACT(Metadata!P615,"wastewater/sludge"),EXACT(Metadata!P615,"water")))</f>
        <v>0</v>
      </c>
      <c r="BD615" t="b">
        <f>IF(Metadata!Q615="",FALSE,TRUE)</f>
        <v>0</v>
      </c>
      <c r="BE615" t="b">
        <f>IF(Metadata!R615="",FALSE,TRUE)</f>
        <v>0</v>
      </c>
      <c r="BF615" t="b">
        <f>OR(AND(IF(Metadata!S615="",FALSE,TRUE),OR(EXACT(Metadata!S615,"not collected"),EXACT(Metadata!S615,"not provided"),EXACT(Metadata!S615,"restricted access"))),AND(IF(Metadata!S615="",FALSE,ISNUMBER(VALUE(Metadata!S615))),Metadata!S615&gt;=-90,Metadata!S615&lt;=90))</f>
        <v>0</v>
      </c>
      <c r="BG615" t="b">
        <f>AND(IF(Metadata!T615="",FALSE,TRUE),EXACT(Metadata!T615,"Decimal degrees"))</f>
        <v>0</v>
      </c>
      <c r="BH615" t="b">
        <f>OR(AND(IF(Metadata!U615="",FALSE,TRUE),OR(EXACT(Metadata!U615,"not applicable"),EXACT(Metadata!U615,"not collected"))),IF(Metadata!U615="",FALSE,TRUE))</f>
        <v>0</v>
      </c>
      <c r="BI615" t="b">
        <f>OR(AND(IF(Metadata!V615="",FALSE,TRUE),OR(EXACT(Metadata!V615,"not collected"),EXACT(Metadata!V615,"not provided"),EXACT(Metadata!V615,"restricted access"))),AND(IF(Metadata!V615="",FALSE,ISNUMBER(VALUE(Metadata!V615))),Metadata!V615&gt;=-180,Metadata!V615&lt;=180))</f>
        <v>0</v>
      </c>
      <c r="BJ615" t="b">
        <f>AND(IF(Metadata!W615="",FALSE,TRUE),EXACT(Metadata!W615,"Decimal degrees"))</f>
        <v>0</v>
      </c>
      <c r="BK615" t="b">
        <f>IF(Metadata!X615="",FALSE,TRUE)</f>
        <v>0</v>
      </c>
      <c r="BL615" t="b">
        <f>OR(AND(IF(Metadata!Y615="",FALSE,TRUE),OR(EXACT(Metadata!Y615,"not collected"),EXACT(Metadata!Y615,"not provided"),EXACT(Metadata!Y615,"restricted access"))),AND(IF(Metadata!Y615="",FALSE,TRUE),OR(EXACT(Metadata!Y615,"TRUE"),EXACT(Metadata!Y615,"FALSE"))))</f>
        <v>0</v>
      </c>
      <c r="BM615" t="b">
        <f>OR(AND(IF(Metadata!Z615="",FALSE,TRUE),EXACT(Metadata!Z615,"not applicable")),AND(IF(Metadata!Z615="",FALSE,TRUE),OR(EXACT(Metadata!Z615,"beer"),EXACT(Metadata!Z615,"cheese"),EXACT(Metadata!Z615,"fresh water"),EXACT(Metadata!Z615,"marine sediment"),EXACT(Metadata!Z615,"sea water"),EXACT(Metadata!Z615,"sediment"),EXACT(Metadata!Z615,"soil"),EXACT(Metadata!Z615,"waste water"))))</f>
        <v>0</v>
      </c>
      <c r="BN615" t="b">
        <f>AND(IF(Metadata!AA615="",FALSE,TRUE),EXACT(Metadata!AA615,"metagenome"))</f>
        <v>0</v>
      </c>
      <c r="BO615" t="b">
        <f>AND(IF(Metadata!AB615="",FALSE,TRUE),EXACT(Metadata!AB615,"256318"))</f>
        <v>0</v>
      </c>
      <c r="BP615" t="b">
        <f>IF(Metadata!AC615="",FALSE,TRUE)</f>
        <v>0</v>
      </c>
      <c r="BQ615" t="b">
        <f>IF(Metadata!AD615="",FALSE,TRUE)</f>
        <v>0</v>
      </c>
    </row>
    <row r="616" spans="1:69" x14ac:dyDescent="0.2">
      <c r="A616" s="4" t="e">
        <f ca="1">IF(B616=" "," ",HYPERLINK(CONCATENATE("#metadata!",ADDRESS(INDEX($AJ$2:$AJ$1001,MATCH(ROWS($AH$2:AH616),$AH$2:$AH$1001,0),0),2)),INDEX($AM$2:$AM$1001,MATCH(ROWS($AH$2:AH616),$AH$2:$AH$1001,0),0)))</f>
        <v>#N/A</v>
      </c>
      <c r="B616" s="5" t="e">
        <f ca="1">IF(OR(INDEX($AI$2:$AI$1001,MATCH(ROWS($AH$2:AH616),$AH$2:$AH$1001,0),1)&gt;=100000,INDEX($AO$1005:$BQ$1005,1,MATCH(COLUMNS($AO$1006:AO1006),$AO$1006:$BQ$1006,0))&gt;=100000), " ",IF(INDEX($AO$2:$BQ$1001,MATCH(ROWS($AH$2:AH616),$AH$2:$AH$1001,0),MATCH(COLUMNS($AO$1006:AO1006),$AO$1006:$BQ$1006,0)), HYPERLINK("#",""), HYPERLINK(CONCATENATE("#Metadata!", ADDRESS(INDEX($AJ$2:$AJ$1001,MATCH(ROWS($AH$2:AH616),$AH$2:$AH$1001,0),0), INDEX($AO$1004:$BQ$1004,1,MATCH(COLUMNS($AO$1006:AO1006),$AO$1006:$BQ$1006,0)))),"Fix")))</f>
        <v>#N/A</v>
      </c>
      <c r="C616" s="5" t="e">
        <f ca="1">IF(OR(INDEX($AI$2:$AI$1001,MATCH(ROWS($AH$2:AH616),$AH$2:$AH$1001,0),1)&gt;=100000,INDEX($AO$1005:$BQ$1005,1,MATCH(COLUMNS($AO$1006:AP1006),$AO$1006:$BQ$1006,0))&gt;=100000), " ",IF(INDEX($AO$2:$BQ$1001,MATCH(ROWS($AH$2:AH616),$AH$2:$AH$1001,0),MATCH(COLUMNS($AO$1006:AP1006),$AO$1006:$BQ$1006,0)), HYPERLINK("#",""), HYPERLINK(CONCATENATE("#Metadata!", ADDRESS(INDEX($AJ$2:$AJ$1001,MATCH(ROWS($AH$2:AH616),$AH$2:$AH$1001,0),0), INDEX($AO$1004:$BQ$1004,1,MATCH(COLUMNS($AO$1006:AP1006),$AO$1006:$BQ$1006,0)))),"Fix")))</f>
        <v>#N/A</v>
      </c>
      <c r="D616" s="5" t="e">
        <f ca="1">IF(OR(INDEX($AI$2:$AI$1001,MATCH(ROWS($AH$2:AH616),$AH$2:$AH$1001,0),1)&gt;=100000,INDEX($AO$1005:$BQ$1005,1,MATCH(COLUMNS($AO$1006:AQ1006),$AO$1006:$BQ$1006,0))&gt;=100000), " ",IF(INDEX($AO$2:$BQ$1001,MATCH(ROWS($AH$2:AH616),$AH$2:$AH$1001,0),MATCH(COLUMNS($AO$1006:AQ1006),$AO$1006:$BQ$1006,0)), HYPERLINK("#",""), HYPERLINK(CONCATENATE("#Metadata!", ADDRESS(INDEX($AJ$2:$AJ$1001,MATCH(ROWS($AH$2:AH616),$AH$2:$AH$1001,0),0), INDEX($AO$1004:$BQ$1004,1,MATCH(COLUMNS($AO$1006:AQ1006),$AO$1006:$BQ$1006,0)))),"Fix")))</f>
        <v>#N/A</v>
      </c>
      <c r="E616" s="5" t="e">
        <f ca="1">IF(OR(INDEX($AI$2:$AI$1001,MATCH(ROWS($AH$2:AH616),$AH$2:$AH$1001,0),1)&gt;=100000,INDEX($AO$1005:$BQ$1005,1,MATCH(COLUMNS($AO$1006:AR1006),$AO$1006:$BQ$1006,0))&gt;=100000), " ",IF(INDEX($AO$2:$BQ$1001,MATCH(ROWS($AH$2:AH616),$AH$2:$AH$1001,0),MATCH(COLUMNS($AO$1006:AR1006),$AO$1006:$BQ$1006,0)), HYPERLINK("#",""), HYPERLINK(CONCATENATE("#Metadata!", ADDRESS(INDEX($AJ$2:$AJ$1001,MATCH(ROWS($AH$2:AH616),$AH$2:$AH$1001,0),0), INDEX($AO$1004:$BQ$1004,1,MATCH(COLUMNS($AO$1006:AR1006),$AO$1006:$BQ$1006,0)))),"Fix")))</f>
        <v>#N/A</v>
      </c>
      <c r="F616" s="5" t="e">
        <f ca="1">IF(OR(INDEX($AI$2:$AI$1001,MATCH(ROWS($AH$2:AH616),$AH$2:$AH$1001,0),1)&gt;=100000,INDEX($AO$1005:$BQ$1005,1,MATCH(COLUMNS($AO$1006:AS1006),$AO$1006:$BQ$1006,0))&gt;=100000), " ",IF(INDEX($AO$2:$BQ$1001,MATCH(ROWS($AH$2:AH616),$AH$2:$AH$1001,0),MATCH(COLUMNS($AO$1006:AS1006),$AO$1006:$BQ$1006,0)), HYPERLINK("#",""), HYPERLINK(CONCATENATE("#Metadata!", ADDRESS(INDEX($AJ$2:$AJ$1001,MATCH(ROWS($AH$2:AH616),$AH$2:$AH$1001,0),0), INDEX($AO$1004:$BQ$1004,1,MATCH(COLUMNS($AO$1006:AS1006),$AO$1006:$BQ$1006,0)))),"Fix")))</f>
        <v>#N/A</v>
      </c>
      <c r="G616" s="5" t="e">
        <f ca="1">IF(OR(INDEX($AI$2:$AI$1001,MATCH(ROWS($AH$2:AH616),$AH$2:$AH$1001,0),1)&gt;=100000,INDEX($AO$1005:$BQ$1005,1,MATCH(COLUMNS($AO$1006:AT1006),$AO$1006:$BQ$1006,0))&gt;=100000), " ",IF(INDEX($AO$2:$BQ$1001,MATCH(ROWS($AH$2:AH616),$AH$2:$AH$1001,0),MATCH(COLUMNS($AO$1006:AT1006),$AO$1006:$BQ$1006,0)), HYPERLINK("#",""), HYPERLINK(CONCATENATE("#Metadata!", ADDRESS(INDEX($AJ$2:$AJ$1001,MATCH(ROWS($AH$2:AH616),$AH$2:$AH$1001,0),0), INDEX($AO$1004:$BQ$1004,1,MATCH(COLUMNS($AO$1006:AT1006),$AO$1006:$BQ$1006,0)))),"Fix")))</f>
        <v>#N/A</v>
      </c>
      <c r="H616" s="5" t="e">
        <f ca="1">IF(OR(INDEX($AI$2:$AI$1001,MATCH(ROWS($AH$2:AH616),$AH$2:$AH$1001,0),1)&gt;=100000,INDEX($AO$1005:$BQ$1005,1,MATCH(COLUMNS($AO$1006:AU1006),$AO$1006:$BQ$1006,0))&gt;=100000), " ",IF(INDEX($AO$2:$BQ$1001,MATCH(ROWS($AH$2:AH616),$AH$2:$AH$1001,0),MATCH(COLUMNS($AO$1006:AU1006),$AO$1006:$BQ$1006,0)), HYPERLINK("#",""), HYPERLINK(CONCATENATE("#Metadata!", ADDRESS(INDEX($AJ$2:$AJ$1001,MATCH(ROWS($AH$2:AH616),$AH$2:$AH$1001,0),0), INDEX($AO$1004:$BQ$1004,1,MATCH(COLUMNS($AO$1006:AU1006),$AO$1006:$BQ$1006,0)))),"Fix")))</f>
        <v>#N/A</v>
      </c>
      <c r="I616" s="5" t="e">
        <f ca="1">IF(OR(INDEX($AI$2:$AI$1001,MATCH(ROWS($AH$2:AH616),$AH$2:$AH$1001,0),1)&gt;=100000,INDEX($AO$1005:$BQ$1005,1,MATCH(COLUMNS($AO$1006:AV1006),$AO$1006:$BQ$1006,0))&gt;=100000), " ",IF(INDEX($AO$2:$BQ$1001,MATCH(ROWS($AH$2:AH616),$AH$2:$AH$1001,0),MATCH(COLUMNS($AO$1006:AV1006),$AO$1006:$BQ$1006,0)), HYPERLINK("#",""), HYPERLINK(CONCATENATE("#Metadata!", ADDRESS(INDEX($AJ$2:$AJ$1001,MATCH(ROWS($AH$2:AH616),$AH$2:$AH$1001,0),0), INDEX($AO$1004:$BQ$1004,1,MATCH(COLUMNS($AO$1006:AV1006),$AO$1006:$BQ$1006,0)))),"Fix")))</f>
        <v>#N/A</v>
      </c>
      <c r="J616" s="5" t="e">
        <f ca="1">IF(OR(INDEX($AI$2:$AI$1001,MATCH(ROWS($AH$2:AH616),$AH$2:$AH$1001,0),1)&gt;=100000,INDEX($AO$1005:$BQ$1005,1,MATCH(COLUMNS($AO$1006:AW1006),$AO$1006:$BQ$1006,0))&gt;=100000), " ",IF(INDEX($AO$2:$BQ$1001,MATCH(ROWS($AH$2:AH616),$AH$2:$AH$1001,0),MATCH(COLUMNS($AO$1006:AW1006),$AO$1006:$BQ$1006,0)), HYPERLINK("#",""), HYPERLINK(CONCATENATE("#Metadata!", ADDRESS(INDEX($AJ$2:$AJ$1001,MATCH(ROWS($AH$2:AH616),$AH$2:$AH$1001,0),0), INDEX($AO$1004:$BQ$1004,1,MATCH(COLUMNS($AO$1006:AW1006),$AO$1006:$BQ$1006,0)))),"Fix")))</f>
        <v>#N/A</v>
      </c>
      <c r="K616" s="5" t="e">
        <f ca="1">IF(OR(INDEX($AI$2:$AI$1001,MATCH(ROWS($AH$2:AH616),$AH$2:$AH$1001,0),1)&gt;=100000,INDEX($AO$1005:$BQ$1005,1,MATCH(COLUMNS($AO$1006:AX1006),$AO$1006:$BQ$1006,0))&gt;=100000), " ",IF(INDEX($AO$2:$BQ$1001,MATCH(ROWS($AH$2:AH616),$AH$2:$AH$1001,0),MATCH(COLUMNS($AO$1006:AX1006),$AO$1006:$BQ$1006,0)), HYPERLINK("#",""), HYPERLINK(CONCATENATE("#Metadata!", ADDRESS(INDEX($AJ$2:$AJ$1001,MATCH(ROWS($AH$2:AH616),$AH$2:$AH$1001,0),0), INDEX($AO$1004:$BQ$1004,1,MATCH(COLUMNS($AO$1006:AX1006),$AO$1006:$BQ$1006,0)))),"Fix")))</f>
        <v>#N/A</v>
      </c>
      <c r="L616" s="5" t="e">
        <f ca="1">IF(OR(INDEX($AI$2:$AI$1001,MATCH(ROWS($AH$2:AH616),$AH$2:$AH$1001,0),1)&gt;=100000,INDEX($AO$1005:$BQ$1005,1,MATCH(COLUMNS($AO$1006:AY1006),$AO$1006:$BQ$1006,0))&gt;=100000), " ",IF(INDEX($AO$2:$BQ$1001,MATCH(ROWS($AH$2:AH616),$AH$2:$AH$1001,0),MATCH(COLUMNS($AO$1006:AY1006),$AO$1006:$BQ$1006,0)), HYPERLINK("#",""), HYPERLINK(CONCATENATE("#Metadata!", ADDRESS(INDEX($AJ$2:$AJ$1001,MATCH(ROWS($AH$2:AH616),$AH$2:$AH$1001,0),0), INDEX($AO$1004:$BQ$1004,1,MATCH(COLUMNS($AO$1006:AY1006),$AO$1006:$BQ$1006,0)))),"Fix")))</f>
        <v>#N/A</v>
      </c>
      <c r="M616" s="5" t="e">
        <f ca="1">IF(OR(INDEX($AI$2:$AI$1001,MATCH(ROWS($AH$2:AH616),$AH$2:$AH$1001,0),1)&gt;=100000,INDEX($AO$1005:$BQ$1005,1,MATCH(COLUMNS($AO$1006:AZ1006),$AO$1006:$BQ$1006,0))&gt;=100000), " ",IF(INDEX($AO$2:$BQ$1001,MATCH(ROWS($AH$2:AH616),$AH$2:$AH$1001,0),MATCH(COLUMNS($AO$1006:AZ1006),$AO$1006:$BQ$1006,0)), HYPERLINK("#",""), HYPERLINK(CONCATENATE("#Metadata!", ADDRESS(INDEX($AJ$2:$AJ$1001,MATCH(ROWS($AH$2:AH616),$AH$2:$AH$1001,0),0), INDEX($AO$1004:$BQ$1004,1,MATCH(COLUMNS($AO$1006:AZ1006),$AO$1006:$BQ$1006,0)))),"Fix")))</f>
        <v>#N/A</v>
      </c>
      <c r="N616" s="5" t="e">
        <f ca="1">IF(OR(INDEX($AI$2:$AI$1001,MATCH(ROWS($AH$2:AH616),$AH$2:$AH$1001,0),1)&gt;=100000,INDEX($AO$1005:$BQ$1005,1,MATCH(COLUMNS($AO$1006:BA1006),$AO$1006:$BQ$1006,0))&gt;=100000), " ",IF(INDEX($AO$2:$BQ$1001,MATCH(ROWS($AH$2:AH616),$AH$2:$AH$1001,0),MATCH(COLUMNS($AO$1006:BA1006),$AO$1006:$BQ$1006,0)), HYPERLINK("#",""), HYPERLINK(CONCATENATE("#Metadata!", ADDRESS(INDEX($AJ$2:$AJ$1001,MATCH(ROWS($AH$2:AH616),$AH$2:$AH$1001,0),0), INDEX($AO$1004:$BQ$1004,1,MATCH(COLUMNS($AO$1006:BA1006),$AO$1006:$BQ$1006,0)))),"Fix")))</f>
        <v>#N/A</v>
      </c>
      <c r="O616" s="5" t="e">
        <f ca="1">IF(OR(INDEX($AI$2:$AI$1001,MATCH(ROWS($AH$2:AH616),$AH$2:$AH$1001,0),1)&gt;=100000,INDEX($AO$1005:$BQ$1005,1,MATCH(COLUMNS($AO$1006:BB1006),$AO$1006:$BQ$1006,0))&gt;=100000), " ",IF(INDEX($AO$2:$BQ$1001,MATCH(ROWS($AH$2:AH616),$AH$2:$AH$1001,0),MATCH(COLUMNS($AO$1006:BB1006),$AO$1006:$BQ$1006,0)), HYPERLINK("#",""), HYPERLINK(CONCATENATE("#Metadata!", ADDRESS(INDEX($AJ$2:$AJ$1001,MATCH(ROWS($AH$2:AH616),$AH$2:$AH$1001,0),0), INDEX($AO$1004:$BQ$1004,1,MATCH(COLUMNS($AO$1006:BB1006),$AO$1006:$BQ$1006,0)))),"Fix")))</f>
        <v>#N/A</v>
      </c>
      <c r="P616" s="5" t="e">
        <f ca="1">IF(OR(INDEX($AI$2:$AI$1001,MATCH(ROWS($AH$2:AH616),$AH$2:$AH$1001,0),1)&gt;=100000,INDEX($AO$1005:$BQ$1005,1,MATCH(COLUMNS($AO$1006:BC1006),$AO$1006:$BQ$1006,0))&gt;=100000), " ",IF(INDEX($AO$2:$BQ$1001,MATCH(ROWS($AH$2:AH616),$AH$2:$AH$1001,0),MATCH(COLUMNS($AO$1006:BC1006),$AO$1006:$BQ$1006,0)), HYPERLINK("#",""), HYPERLINK(CONCATENATE("#Metadata!", ADDRESS(INDEX($AJ$2:$AJ$1001,MATCH(ROWS($AH$2:AH616),$AH$2:$AH$1001,0),0), INDEX($AO$1004:$BQ$1004,1,MATCH(COLUMNS($AO$1006:BC1006),$AO$1006:$BQ$1006,0)))),"Fix")))</f>
        <v>#N/A</v>
      </c>
      <c r="Q616" s="5" t="e">
        <f ca="1">IF(OR(INDEX($AI$2:$AI$1001,MATCH(ROWS($AH$2:AH616),$AH$2:$AH$1001,0),1)&gt;=100000,INDEX($AO$1005:$BQ$1005,1,MATCH(COLUMNS($AO$1006:BD1006),$AO$1006:$BQ$1006,0))&gt;=100000), " ",IF(INDEX($AO$2:$BQ$1001,MATCH(ROWS($AH$2:AH616),$AH$2:$AH$1001,0),MATCH(COLUMNS($AO$1006:BD1006),$AO$1006:$BQ$1006,0)), HYPERLINK("#",""), HYPERLINK(CONCATENATE("#Metadata!", ADDRESS(INDEX($AJ$2:$AJ$1001,MATCH(ROWS($AH$2:AH616),$AH$2:$AH$1001,0),0), INDEX($AO$1004:$BQ$1004,1,MATCH(COLUMNS($AO$1006:BD1006),$AO$1006:$BQ$1006,0)))),"Fix")))</f>
        <v>#N/A</v>
      </c>
      <c r="R616" s="5" t="e">
        <f ca="1">IF(OR(INDEX($AI$2:$AI$1001,MATCH(ROWS($AH$2:AH616),$AH$2:$AH$1001,0),1)&gt;=100000,INDEX($AO$1005:$BQ$1005,1,MATCH(COLUMNS($AO$1006:BE1006),$AO$1006:$BQ$1006,0))&gt;=100000), " ",IF(INDEX($AO$2:$BQ$1001,MATCH(ROWS($AH$2:AH616),$AH$2:$AH$1001,0),MATCH(COLUMNS($AO$1006:BE1006),$AO$1006:$BQ$1006,0)), HYPERLINK("#",""), HYPERLINK(CONCATENATE("#Metadata!", ADDRESS(INDEX($AJ$2:$AJ$1001,MATCH(ROWS($AH$2:AH616),$AH$2:$AH$1001,0),0), INDEX($AO$1004:$BQ$1004,1,MATCH(COLUMNS($AO$1006:BE1006),$AO$1006:$BQ$1006,0)))),"Fix")))</f>
        <v>#N/A</v>
      </c>
      <c r="S616" s="5" t="e">
        <f ca="1">IF(OR(INDEX($AI$2:$AI$1001,MATCH(ROWS($AH$2:AH616),$AH$2:$AH$1001,0),1)&gt;=100000,INDEX($AO$1005:$BQ$1005,1,MATCH(COLUMNS($AO$1006:BF1006),$AO$1006:$BQ$1006,0))&gt;=100000), " ",IF(INDEX($AO$2:$BQ$1001,MATCH(ROWS($AH$2:AH616),$AH$2:$AH$1001,0),MATCH(COLUMNS($AO$1006:BF1006),$AO$1006:$BQ$1006,0)), HYPERLINK("#",""), HYPERLINK(CONCATENATE("#Metadata!", ADDRESS(INDEX($AJ$2:$AJ$1001,MATCH(ROWS($AH$2:AH616),$AH$2:$AH$1001,0),0), INDEX($AO$1004:$BQ$1004,1,MATCH(COLUMNS($AO$1006:BF1006),$AO$1006:$BQ$1006,0)))),"Fix")))</f>
        <v>#N/A</v>
      </c>
      <c r="T616" s="5" t="e">
        <f ca="1">IF(OR(INDEX($AI$2:$AI$1001,MATCH(ROWS($AH$2:AH616),$AH$2:$AH$1001,0),1)&gt;=100000,INDEX($AO$1005:$BQ$1005,1,MATCH(COLUMNS($AO$1006:BG1006),$AO$1006:$BQ$1006,0))&gt;=100000), " ",IF(INDEX($AO$2:$BQ$1001,MATCH(ROWS($AH$2:AH616),$AH$2:$AH$1001,0),MATCH(COLUMNS($AO$1006:BG1006),$AO$1006:$BQ$1006,0)), HYPERLINK("#",""), HYPERLINK(CONCATENATE("#Metadata!", ADDRESS(INDEX($AJ$2:$AJ$1001,MATCH(ROWS($AH$2:AH616),$AH$2:$AH$1001,0),0), INDEX($AO$1004:$BQ$1004,1,MATCH(COLUMNS($AO$1006:BG1006),$AO$1006:$BQ$1006,0)))),"Fix")))</f>
        <v>#N/A</v>
      </c>
      <c r="U616" s="5" t="e">
        <f ca="1">IF(OR(INDEX($AI$2:$AI$1001,MATCH(ROWS($AH$2:AH616),$AH$2:$AH$1001,0),1)&gt;=100000,INDEX($AO$1005:$BQ$1005,1,MATCH(COLUMNS($AO$1006:BH1006),$AO$1006:$BQ$1006,0))&gt;=100000), " ",IF(INDEX($AO$2:$BQ$1001,MATCH(ROWS($AH$2:AH616),$AH$2:$AH$1001,0),MATCH(COLUMNS($AO$1006:BH1006),$AO$1006:$BQ$1006,0)), HYPERLINK("#",""), HYPERLINK(CONCATENATE("#Metadata!", ADDRESS(INDEX($AJ$2:$AJ$1001,MATCH(ROWS($AH$2:AH616),$AH$2:$AH$1001,0),0), INDEX($AO$1004:$BQ$1004,1,MATCH(COLUMNS($AO$1006:BH1006),$AO$1006:$BQ$1006,0)))),"Fix")))</f>
        <v>#N/A</v>
      </c>
      <c r="V616" s="5" t="e">
        <f ca="1">IF(OR(INDEX($AI$2:$AI$1001,MATCH(ROWS($AH$2:AH616),$AH$2:$AH$1001,0),1)&gt;=100000,INDEX($AO$1005:$BQ$1005,1,MATCH(COLUMNS($AO$1006:BI1006),$AO$1006:$BQ$1006,0))&gt;=100000), " ",IF(INDEX($AO$2:$BQ$1001,MATCH(ROWS($AH$2:AH616),$AH$2:$AH$1001,0),MATCH(COLUMNS($AO$1006:BI1006),$AO$1006:$BQ$1006,0)), HYPERLINK("#",""), HYPERLINK(CONCATENATE("#Metadata!", ADDRESS(INDEX($AJ$2:$AJ$1001,MATCH(ROWS($AH$2:AH616),$AH$2:$AH$1001,0),0), INDEX($AO$1004:$BQ$1004,1,MATCH(COLUMNS($AO$1006:BI1006),$AO$1006:$BQ$1006,0)))),"Fix")))</f>
        <v>#N/A</v>
      </c>
      <c r="W616" s="5" t="e">
        <f ca="1">IF(OR(INDEX($AI$2:$AI$1001,MATCH(ROWS($AH$2:AH616),$AH$2:$AH$1001,0),1)&gt;=100000,INDEX($AO$1005:$BQ$1005,1,MATCH(COLUMNS($AO$1006:BJ1006),$AO$1006:$BQ$1006,0))&gt;=100000), " ",IF(INDEX($AO$2:$BQ$1001,MATCH(ROWS($AH$2:AH616),$AH$2:$AH$1001,0),MATCH(COLUMNS($AO$1006:BJ1006),$AO$1006:$BQ$1006,0)), HYPERLINK("#",""), HYPERLINK(CONCATENATE("#Metadata!", ADDRESS(INDEX($AJ$2:$AJ$1001,MATCH(ROWS($AH$2:AH616),$AH$2:$AH$1001,0),0), INDEX($AO$1004:$BQ$1004,1,MATCH(COLUMNS($AO$1006:BJ1006),$AO$1006:$BQ$1006,0)))),"Fix")))</f>
        <v>#N/A</v>
      </c>
      <c r="X616" s="5" t="e">
        <f ca="1">IF(OR(INDEX($AI$2:$AI$1001,MATCH(ROWS($AH$2:AH616),$AH$2:$AH$1001,0),1)&gt;=100000,INDEX($AO$1005:$BQ$1005,1,MATCH(COLUMNS($AO$1006:BK1006),$AO$1006:$BQ$1006,0))&gt;=100000), " ",IF(INDEX($AO$2:$BQ$1001,MATCH(ROWS($AH$2:AH616),$AH$2:$AH$1001,0),MATCH(COLUMNS($AO$1006:BK1006),$AO$1006:$BQ$1006,0)), HYPERLINK("#",""), HYPERLINK(CONCATENATE("#Metadata!", ADDRESS(INDEX($AJ$2:$AJ$1001,MATCH(ROWS($AH$2:AH616),$AH$2:$AH$1001,0),0), INDEX($AO$1004:$BQ$1004,1,MATCH(COLUMNS($AO$1006:BK1006),$AO$1006:$BQ$1006,0)))),"Fix")))</f>
        <v>#N/A</v>
      </c>
      <c r="Y616" s="5" t="e">
        <f ca="1">IF(OR(INDEX($AI$2:$AI$1001,MATCH(ROWS($AH$2:AH616),$AH$2:$AH$1001,0),1)&gt;=100000,INDEX($AO$1005:$BQ$1005,1,MATCH(COLUMNS($AO$1006:BL1006),$AO$1006:$BQ$1006,0))&gt;=100000), " ",IF(INDEX($AO$2:$BQ$1001,MATCH(ROWS($AH$2:AH616),$AH$2:$AH$1001,0),MATCH(COLUMNS($AO$1006:BL1006),$AO$1006:$BQ$1006,0)), HYPERLINK("#",""), HYPERLINK(CONCATENATE("#Metadata!", ADDRESS(INDEX($AJ$2:$AJ$1001,MATCH(ROWS($AH$2:AH616),$AH$2:$AH$1001,0),0), INDEX($AO$1004:$BQ$1004,1,MATCH(COLUMNS($AO$1006:BL1006),$AO$1006:$BQ$1006,0)))),"Fix")))</f>
        <v>#N/A</v>
      </c>
      <c r="Z616" s="5" t="e">
        <f ca="1">IF(OR(INDEX($AI$2:$AI$1001,MATCH(ROWS($AH$2:AH616),$AH$2:$AH$1001,0),1)&gt;=100000,INDEX($AO$1005:$BQ$1005,1,MATCH(COLUMNS($AO$1006:BM1006),$AO$1006:$BQ$1006,0))&gt;=100000), " ",IF(INDEX($AO$2:$BQ$1001,MATCH(ROWS($AH$2:AH616),$AH$2:$AH$1001,0),MATCH(COLUMNS($AO$1006:BM1006),$AO$1006:$BQ$1006,0)), HYPERLINK("#",""), HYPERLINK(CONCATENATE("#Metadata!", ADDRESS(INDEX($AJ$2:$AJ$1001,MATCH(ROWS($AH$2:AH616),$AH$2:$AH$1001,0),0), INDEX($AO$1004:$BQ$1004,1,MATCH(COLUMNS($AO$1006:BM1006),$AO$1006:$BQ$1006,0)))),"Fix")))</f>
        <v>#N/A</v>
      </c>
      <c r="AA616" s="5" t="e">
        <f ca="1">IF(OR(INDEX($AI$2:$AI$1001,MATCH(ROWS($AH$2:AH616),$AH$2:$AH$1001,0),1)&gt;=100000,INDEX($AO$1005:$BQ$1005,1,MATCH(COLUMNS($AO$1006:BN1006),$AO$1006:$BQ$1006,0))&gt;=100000), " ",IF(INDEX($AO$2:$BQ$1001,MATCH(ROWS($AH$2:AH616),$AH$2:$AH$1001,0),MATCH(COLUMNS($AO$1006:BN1006),$AO$1006:$BQ$1006,0)), HYPERLINK("#",""), HYPERLINK(CONCATENATE("#Metadata!", ADDRESS(INDEX($AJ$2:$AJ$1001,MATCH(ROWS($AH$2:AH616),$AH$2:$AH$1001,0),0), INDEX($AO$1004:$BQ$1004,1,MATCH(COLUMNS($AO$1006:BN1006),$AO$1006:$BQ$1006,0)))),"Fix")))</f>
        <v>#N/A</v>
      </c>
      <c r="AB616" s="5" t="e">
        <f ca="1">IF(OR(INDEX($AI$2:$AI$1001,MATCH(ROWS($AH$2:AH616),$AH$2:$AH$1001,0),1)&gt;=100000,INDEX($AO$1005:$BQ$1005,1,MATCH(COLUMNS($AO$1006:BO1006),$AO$1006:$BQ$1006,0))&gt;=100000), " ",IF(INDEX($AO$2:$BQ$1001,MATCH(ROWS($AH$2:AH616),$AH$2:$AH$1001,0),MATCH(COLUMNS($AO$1006:BO1006),$AO$1006:$BQ$1006,0)), HYPERLINK("#",""), HYPERLINK(CONCATENATE("#Metadata!", ADDRESS(INDEX($AJ$2:$AJ$1001,MATCH(ROWS($AH$2:AH616),$AH$2:$AH$1001,0),0), INDEX($AO$1004:$BQ$1004,1,MATCH(COLUMNS($AO$1006:BO1006),$AO$1006:$BQ$1006,0)))),"Fix")))</f>
        <v>#N/A</v>
      </c>
      <c r="AC616" s="5" t="e">
        <f ca="1">IF(OR(INDEX($AI$2:$AI$1001,MATCH(ROWS($AH$2:AH616),$AH$2:$AH$1001,0),1)&gt;=100000,INDEX($AO$1005:$BQ$1005,1,MATCH(COLUMNS($AO$1006:BP1006),$AO$1006:$BQ$1006,0))&gt;=100000), " ",IF(INDEX($AO$2:$BQ$1001,MATCH(ROWS($AH$2:AH616),$AH$2:$AH$1001,0),MATCH(COLUMNS($AO$1006:BP1006),$AO$1006:$BQ$1006,0)), HYPERLINK("#",""), HYPERLINK(CONCATENATE("#Metadata!", ADDRESS(INDEX($AJ$2:$AJ$1001,MATCH(ROWS($AH$2:AH616),$AH$2:$AH$1001,0),0), INDEX($AO$1004:$BQ$1004,1,MATCH(COLUMNS($AO$1006:BP1006),$AO$1006:$BQ$1006,0)))),"Fix")))</f>
        <v>#N/A</v>
      </c>
      <c r="AD616" s="5" t="e">
        <f ca="1">IF(OR(INDEX($AI$2:$AI$1001,MATCH(ROWS($AH$2:AH616),$AH$2:$AH$1001,0),1)&gt;=100000,INDEX($AO$1005:$BQ$1005,1,MATCH(COLUMNS($AO$1006:BQ1006),$AO$1006:$BQ$1006,0))&gt;=100000), " ",IF(INDEX($AO$2:$BQ$1001,MATCH(ROWS($AH$2:AH616),$AH$2:$AH$1001,0),MATCH(COLUMNS($AO$1006:BQ1006),$AO$1006:$BQ$1006,0)), HYPERLINK("#",""), HYPERLINK(CONCATENATE("#Metadata!", ADDRESS(INDEX($AJ$2:$AJ$1001,MATCH(ROWS($AH$2:AH616),$AH$2:$AH$1001,0),0), INDEX($AO$1004:$BQ$1004,1,MATCH(COLUMNS($AO$1006:BQ1006),$AO$1006:$BQ$1006,0)))),"Fix")))</f>
        <v>#REF!</v>
      </c>
      <c r="AH616">
        <f ca="1"/>
        <v>613</v>
      </c>
      <c r="AI616">
        <v>100616</v>
      </c>
      <c r="AJ616">
        <v>616</v>
      </c>
      <c r="AK616" t="b">
        <f t="shared" si="9"/>
        <v>1</v>
      </c>
      <c r="AL616" t="b">
        <f>COUNTBLANK(Metadata!B616:AD616)=COLUMNS(Metadata!B616:AD616)</f>
        <v>1</v>
      </c>
      <c r="AM616" t="str">
        <v/>
      </c>
      <c r="AO616" t="b">
        <f ca="1">AND(IF(Metadata!B616="",FALSE,TRUE),COUNTIF(Metadata!B:B, Metadata!B616) = 1,NOT(ISERROR(SUMPRODUCT(SEARCH(MID(Metadata!B616,ROW(INDIRECT("1:"&amp;LEN(Metadata!B616))), 1),"0123456789abcdefghijklmnopqrstuvwxyzABCDEFGHIJKLMNOPQRSTUVWXYZ.")))))</f>
        <v>0</v>
      </c>
      <c r="AP616" t="b">
        <f>IF(Metadata!C616="",FALSE,TRUE)</f>
        <v>0</v>
      </c>
      <c r="AQ616" t="b">
        <f>IF(Metadata!D616="",FALSE,TRUE)</f>
        <v>0</v>
      </c>
      <c r="AR616" t="b">
        <f ca="1">OR(AND(IF(Metadata!E616="",FALSE,TRUE),OR(EXACT(Metadata!E616,"not collected"),EXACT(Metadata!E616,"not provided"),EXACT(Metadata!E616,"restricted access"))),AND(IF(Metadata!E616="",FALSE,TRUE),AND(AND(IFERROR(INT(LEFT(Metadata!E616,4))&gt;1900,FALSE),IFERROR(INT(LEFT(Metadata!E616,4))&lt;=YEAR(NOW()),FALSE)), OR(MID(Metadata!E616,5,1)="", AND(AND(MID(Metadata!E616,5,1)="-",IFERROR(INT(MID(Metadata!E616,6,1))&gt;=0,FALSE),IFERROR(INT(MID(Metadata!E616,6,1))&lt;=1,FALSE),NOT(MID(Metadata!E616,7,1)=""),IFERROR(INT(MID(Metadata!E616,6,2))&gt;=1,FALSE),IFERROR(INT(MID(Metadata!E616,6,2))&lt;=12,FALSE)), OR(MID(Metadata!E616,8,1)="", AND(AND(MID(Metadata!E616,8,1)="-",IFERROR(INT(MID(Metadata!E616,9,1))&gt;=0,FALSE),IFERROR(INT(MID(Metadata!E616,9,1))&lt;=3,FALSE),NOT(MID(Metadata!E616,10,1)=""),IFERROR(INT(MID(Metadata!E616,9,2))&gt;=1,FALSE),IFERROR(INT(MID(Metadata!E616,9,2))&lt;=31,FALSE)), OR(MID(Metadata!E616,11,1)="", AND(AND(MID(Metadata!E616,11,1)=" ",IFERROR(INT(MID(Metadata!E616,12,1))&gt;=0,FALSE),IFERROR(INT(MID(Metadata!E616,12,1))&lt;=2,FALSE),NOT(MID(Metadata!E616,13,1)=""),IFERROR(INT(MID(Metadata!E616,12,2))&gt;=0,FALSE),IFERROR(INT(MID(Metadata!E616,12,2))&lt;=23,FALSE)), OR(MID(Metadata!E616,14,1)="", AND(AND(MID(Metadata!E616,14,1)=":",IFERROR(INT(MID(Metadata!E616,15,1))&gt;=0,FALSE),IFERROR(INT(MID(Metadata!E616,15,1))&lt;=5,FALSE),NOT(MID(Metadata!E616,16,1)=""),IFERROR(INT(MID(Metadata!E616,15,2))&gt;=0,FALSE),IFERROR(INT(MID(Metadata!E616,15,2))&lt;=59,FALSE)), OR(MID(Metadata!E616,17,1)="", AND(AND(MID(Metadata!E616,17,1)=":",IFERROR(INT(MID(Metadata!E616,18,1))&gt;=0,FALSE),IFERROR(INT(MID(Metadata!E616,18,1))&lt;=5,FALSE),NOT(MID(Metadata!E616,19,1)=""),IFERROR(INT(MID(Metadata!E616,18,2))&gt;=0,FALSE),IFERROR(INT(MID(Metadata!E616,18,2))&lt;=59,FALSE)), LEN(Metadata!E616)&lt;=19)))))))))))))</f>
        <v>0</v>
      </c>
      <c r="AS616" t="b">
        <f>IF(Metadata!F616="",FALSE,TRUE)</f>
        <v>0</v>
      </c>
      <c r="AT616" t="b">
        <f>OR(AND(IF(Metadata!G616="",FALSE,TRUE),OR(EXACT(Metadata!G616,"not collected"),EXACT(Metadata!G616,"not provided"))),AND(IF(Metadata!G616="",FALSE,TRUE),OR(EXACT(Metadata!G616,"TRUE"),EXACT(Metadata!G616,"FALSE"))))</f>
        <v>0</v>
      </c>
      <c r="AU616" t="b">
        <f>OR(AND(IF(Metadata!H616="",FALSE,TRUE),OR(EXACT(Metadata!H616,"not collected"),EXACT(Metadata!H616,"not provided"),EXACT(Metadata!H616,"restricted access"))),AND(IF(Metadata!H616="",FALSE,ISNUMBER(VALUE(Metadata!H616))),Metadata!H616&gt;=-413))</f>
        <v>0</v>
      </c>
      <c r="AV616" t="b">
        <f>AND(IF(Metadata!I616="",FALSE,TRUE),EXACT(Metadata!I616,"meters"))</f>
        <v>0</v>
      </c>
      <c r="AW616" t="b">
        <f>AND(IF(Metadata!J616="",FALSE,TRUE),EXACT(Metadata!J616,"free-living"))</f>
        <v>0</v>
      </c>
      <c r="AX616" t="b">
        <f>AND(IF(Metadata!K616="",FALSE,TRUE),OR(EXACT(Metadata!K616,"saline"),EXACT(Metadata!K616,"non-saline")))</f>
        <v>0</v>
      </c>
      <c r="AY616" t="b">
        <f>AND(IF(Metadata!L616="",FALSE,TRUE),OR(EXACT(Metadata!L616,"sub-surface (non-saline)"),EXACT(Metadata!L616,"surface (non-saline)"),EXACT(Metadata!L616,"water (non-saline)"),EXACT(Metadata!L616,"soil (non-saline)"),EXACT(Metadata!L616,"aerosol (non-saline)"),EXACT(Metadata!L616,"sediment (non-saline)"),EXACT(Metadata!L616,"surface (saline)"),EXACT(Metadata!L616,"water (saline)"),EXACT(Metadata!L616,"hypersaline (saline)"),EXACT(Metadata!L616,"aerosol (saline)"),EXACT(Metadata!L616,"sediment (saline)")))</f>
        <v>0</v>
      </c>
      <c r="AZ616" t="b">
        <f>IF(Metadata!M616="",FALSE,TRUE)</f>
        <v>0</v>
      </c>
      <c r="BA616" t="b">
        <f>IF(Metadata!N616="",FALSE,TRUE)</f>
        <v>0</v>
      </c>
      <c r="BB616" t="b">
        <f>IF(Metadata!O616="",FALSE,TRUE)</f>
        <v>0</v>
      </c>
      <c r="BC616" t="b">
        <f>AND(IF(Metadata!P616="",FALSE,TRUE),OR(EXACT(Metadata!P616,"air"),EXACT(Metadata!P616,"microbial mat/biofilm"),EXACT(Metadata!P616,"misc environment"),EXACT(Metadata!P616,"sediment"),EXACT(Metadata!P616,"soil"),EXACT(Metadata!P616,"wastewater/sludge"),EXACT(Metadata!P616,"water")))</f>
        <v>0</v>
      </c>
      <c r="BD616" t="b">
        <f>IF(Metadata!Q616="",FALSE,TRUE)</f>
        <v>0</v>
      </c>
      <c r="BE616" t="b">
        <f>IF(Metadata!R616="",FALSE,TRUE)</f>
        <v>0</v>
      </c>
      <c r="BF616" t="b">
        <f>OR(AND(IF(Metadata!S616="",FALSE,TRUE),OR(EXACT(Metadata!S616,"not collected"),EXACT(Metadata!S616,"not provided"),EXACT(Metadata!S616,"restricted access"))),AND(IF(Metadata!S616="",FALSE,ISNUMBER(VALUE(Metadata!S616))),Metadata!S616&gt;=-90,Metadata!S616&lt;=90))</f>
        <v>0</v>
      </c>
      <c r="BG616" t="b">
        <f>AND(IF(Metadata!T616="",FALSE,TRUE),EXACT(Metadata!T616,"Decimal degrees"))</f>
        <v>0</v>
      </c>
      <c r="BH616" t="b">
        <f>OR(AND(IF(Metadata!U616="",FALSE,TRUE),OR(EXACT(Metadata!U616,"not applicable"),EXACT(Metadata!U616,"not collected"))),IF(Metadata!U616="",FALSE,TRUE))</f>
        <v>0</v>
      </c>
      <c r="BI616" t="b">
        <f>OR(AND(IF(Metadata!V616="",FALSE,TRUE),OR(EXACT(Metadata!V616,"not collected"),EXACT(Metadata!V616,"not provided"),EXACT(Metadata!V616,"restricted access"))),AND(IF(Metadata!V616="",FALSE,ISNUMBER(VALUE(Metadata!V616))),Metadata!V616&gt;=-180,Metadata!V616&lt;=180))</f>
        <v>0</v>
      </c>
      <c r="BJ616" t="b">
        <f>AND(IF(Metadata!W616="",FALSE,TRUE),EXACT(Metadata!W616,"Decimal degrees"))</f>
        <v>0</v>
      </c>
      <c r="BK616" t="b">
        <f>IF(Metadata!X616="",FALSE,TRUE)</f>
        <v>0</v>
      </c>
      <c r="BL616" t="b">
        <f>OR(AND(IF(Metadata!Y616="",FALSE,TRUE),OR(EXACT(Metadata!Y616,"not collected"),EXACT(Metadata!Y616,"not provided"),EXACT(Metadata!Y616,"restricted access"))),AND(IF(Metadata!Y616="",FALSE,TRUE),OR(EXACT(Metadata!Y616,"TRUE"),EXACT(Metadata!Y616,"FALSE"))))</f>
        <v>0</v>
      </c>
      <c r="BM616" t="b">
        <f>OR(AND(IF(Metadata!Z616="",FALSE,TRUE),EXACT(Metadata!Z616,"not applicable")),AND(IF(Metadata!Z616="",FALSE,TRUE),OR(EXACT(Metadata!Z616,"beer"),EXACT(Metadata!Z616,"cheese"),EXACT(Metadata!Z616,"fresh water"),EXACT(Metadata!Z616,"marine sediment"),EXACT(Metadata!Z616,"sea water"),EXACT(Metadata!Z616,"sediment"),EXACT(Metadata!Z616,"soil"),EXACT(Metadata!Z616,"waste water"))))</f>
        <v>0</v>
      </c>
      <c r="BN616" t="b">
        <f>AND(IF(Metadata!AA616="",FALSE,TRUE),EXACT(Metadata!AA616,"metagenome"))</f>
        <v>0</v>
      </c>
      <c r="BO616" t="b">
        <f>AND(IF(Metadata!AB616="",FALSE,TRUE),EXACT(Metadata!AB616,"256318"))</f>
        <v>0</v>
      </c>
      <c r="BP616" t="b">
        <f>IF(Metadata!AC616="",FALSE,TRUE)</f>
        <v>0</v>
      </c>
      <c r="BQ616" t="b">
        <f>IF(Metadata!AD616="",FALSE,TRUE)</f>
        <v>0</v>
      </c>
    </row>
    <row r="617" spans="1:69" x14ac:dyDescent="0.2">
      <c r="A617" s="4" t="e">
        <f ca="1">IF(B617=" "," ",HYPERLINK(CONCATENATE("#metadata!",ADDRESS(INDEX($AJ$2:$AJ$1001,MATCH(ROWS($AH$2:AH617),$AH$2:$AH$1001,0),0),2)),INDEX($AM$2:$AM$1001,MATCH(ROWS($AH$2:AH617),$AH$2:$AH$1001,0),0)))</f>
        <v>#N/A</v>
      </c>
      <c r="B617" s="5" t="e">
        <f ca="1">IF(OR(INDEX($AI$2:$AI$1001,MATCH(ROWS($AH$2:AH617),$AH$2:$AH$1001,0),1)&gt;=100000,INDEX($AO$1005:$BQ$1005,1,MATCH(COLUMNS($AO$1006:AO1006),$AO$1006:$BQ$1006,0))&gt;=100000), " ",IF(INDEX($AO$2:$BQ$1001,MATCH(ROWS($AH$2:AH617),$AH$2:$AH$1001,0),MATCH(COLUMNS($AO$1006:AO1006),$AO$1006:$BQ$1006,0)), HYPERLINK("#",""), HYPERLINK(CONCATENATE("#Metadata!", ADDRESS(INDEX($AJ$2:$AJ$1001,MATCH(ROWS($AH$2:AH617),$AH$2:$AH$1001,0),0), INDEX($AO$1004:$BQ$1004,1,MATCH(COLUMNS($AO$1006:AO1006),$AO$1006:$BQ$1006,0)))),"Fix")))</f>
        <v>#N/A</v>
      </c>
      <c r="C617" s="5" t="e">
        <f ca="1">IF(OR(INDEX($AI$2:$AI$1001,MATCH(ROWS($AH$2:AH617),$AH$2:$AH$1001,0),1)&gt;=100000,INDEX($AO$1005:$BQ$1005,1,MATCH(COLUMNS($AO$1006:AP1006),$AO$1006:$BQ$1006,0))&gt;=100000), " ",IF(INDEX($AO$2:$BQ$1001,MATCH(ROWS($AH$2:AH617),$AH$2:$AH$1001,0),MATCH(COLUMNS($AO$1006:AP1006),$AO$1006:$BQ$1006,0)), HYPERLINK("#",""), HYPERLINK(CONCATENATE("#Metadata!", ADDRESS(INDEX($AJ$2:$AJ$1001,MATCH(ROWS($AH$2:AH617),$AH$2:$AH$1001,0),0), INDEX($AO$1004:$BQ$1004,1,MATCH(COLUMNS($AO$1006:AP1006),$AO$1006:$BQ$1006,0)))),"Fix")))</f>
        <v>#N/A</v>
      </c>
      <c r="D617" s="5" t="e">
        <f ca="1">IF(OR(INDEX($AI$2:$AI$1001,MATCH(ROWS($AH$2:AH617),$AH$2:$AH$1001,0),1)&gt;=100000,INDEX($AO$1005:$BQ$1005,1,MATCH(COLUMNS($AO$1006:AQ1006),$AO$1006:$BQ$1006,0))&gt;=100000), " ",IF(INDEX($AO$2:$BQ$1001,MATCH(ROWS($AH$2:AH617),$AH$2:$AH$1001,0),MATCH(COLUMNS($AO$1006:AQ1006),$AO$1006:$BQ$1006,0)), HYPERLINK("#",""), HYPERLINK(CONCATENATE("#Metadata!", ADDRESS(INDEX($AJ$2:$AJ$1001,MATCH(ROWS($AH$2:AH617),$AH$2:$AH$1001,0),0), INDEX($AO$1004:$BQ$1004,1,MATCH(COLUMNS($AO$1006:AQ1006),$AO$1006:$BQ$1006,0)))),"Fix")))</f>
        <v>#N/A</v>
      </c>
      <c r="E617" s="5" t="e">
        <f ca="1">IF(OR(INDEX($AI$2:$AI$1001,MATCH(ROWS($AH$2:AH617),$AH$2:$AH$1001,0),1)&gt;=100000,INDEX($AO$1005:$BQ$1005,1,MATCH(COLUMNS($AO$1006:AR1006),$AO$1006:$BQ$1006,0))&gt;=100000), " ",IF(INDEX($AO$2:$BQ$1001,MATCH(ROWS($AH$2:AH617),$AH$2:$AH$1001,0),MATCH(COLUMNS($AO$1006:AR1006),$AO$1006:$BQ$1006,0)), HYPERLINK("#",""), HYPERLINK(CONCATENATE("#Metadata!", ADDRESS(INDEX($AJ$2:$AJ$1001,MATCH(ROWS($AH$2:AH617),$AH$2:$AH$1001,0),0), INDEX($AO$1004:$BQ$1004,1,MATCH(COLUMNS($AO$1006:AR1006),$AO$1006:$BQ$1006,0)))),"Fix")))</f>
        <v>#N/A</v>
      </c>
      <c r="F617" s="5" t="e">
        <f ca="1">IF(OR(INDEX($AI$2:$AI$1001,MATCH(ROWS($AH$2:AH617),$AH$2:$AH$1001,0),1)&gt;=100000,INDEX($AO$1005:$BQ$1005,1,MATCH(COLUMNS($AO$1006:AS1006),$AO$1006:$BQ$1006,0))&gt;=100000), " ",IF(INDEX($AO$2:$BQ$1001,MATCH(ROWS($AH$2:AH617),$AH$2:$AH$1001,0),MATCH(COLUMNS($AO$1006:AS1006),$AO$1006:$BQ$1006,0)), HYPERLINK("#",""), HYPERLINK(CONCATENATE("#Metadata!", ADDRESS(INDEX($AJ$2:$AJ$1001,MATCH(ROWS($AH$2:AH617),$AH$2:$AH$1001,0),0), INDEX($AO$1004:$BQ$1004,1,MATCH(COLUMNS($AO$1006:AS1006),$AO$1006:$BQ$1006,0)))),"Fix")))</f>
        <v>#N/A</v>
      </c>
      <c r="G617" s="5" t="e">
        <f ca="1">IF(OR(INDEX($AI$2:$AI$1001,MATCH(ROWS($AH$2:AH617),$AH$2:$AH$1001,0),1)&gt;=100000,INDEX($AO$1005:$BQ$1005,1,MATCH(COLUMNS($AO$1006:AT1006),$AO$1006:$BQ$1006,0))&gt;=100000), " ",IF(INDEX($AO$2:$BQ$1001,MATCH(ROWS($AH$2:AH617),$AH$2:$AH$1001,0),MATCH(COLUMNS($AO$1006:AT1006),$AO$1006:$BQ$1006,0)), HYPERLINK("#",""), HYPERLINK(CONCATENATE("#Metadata!", ADDRESS(INDEX($AJ$2:$AJ$1001,MATCH(ROWS($AH$2:AH617),$AH$2:$AH$1001,0),0), INDEX($AO$1004:$BQ$1004,1,MATCH(COLUMNS($AO$1006:AT1006),$AO$1006:$BQ$1006,0)))),"Fix")))</f>
        <v>#N/A</v>
      </c>
      <c r="H617" s="5" t="e">
        <f ca="1">IF(OR(INDEX($AI$2:$AI$1001,MATCH(ROWS($AH$2:AH617),$AH$2:$AH$1001,0),1)&gt;=100000,INDEX($AO$1005:$BQ$1005,1,MATCH(COLUMNS($AO$1006:AU1006),$AO$1006:$BQ$1006,0))&gt;=100000), " ",IF(INDEX($AO$2:$BQ$1001,MATCH(ROWS($AH$2:AH617),$AH$2:$AH$1001,0),MATCH(COLUMNS($AO$1006:AU1006),$AO$1006:$BQ$1006,0)), HYPERLINK("#",""), HYPERLINK(CONCATENATE("#Metadata!", ADDRESS(INDEX($AJ$2:$AJ$1001,MATCH(ROWS($AH$2:AH617),$AH$2:$AH$1001,0),0), INDEX($AO$1004:$BQ$1004,1,MATCH(COLUMNS($AO$1006:AU1006),$AO$1006:$BQ$1006,0)))),"Fix")))</f>
        <v>#N/A</v>
      </c>
      <c r="I617" s="5" t="e">
        <f ca="1">IF(OR(INDEX($AI$2:$AI$1001,MATCH(ROWS($AH$2:AH617),$AH$2:$AH$1001,0),1)&gt;=100000,INDEX($AO$1005:$BQ$1005,1,MATCH(COLUMNS($AO$1006:AV1006),$AO$1006:$BQ$1006,0))&gt;=100000), " ",IF(INDEX($AO$2:$BQ$1001,MATCH(ROWS($AH$2:AH617),$AH$2:$AH$1001,0),MATCH(COLUMNS($AO$1006:AV1006),$AO$1006:$BQ$1006,0)), HYPERLINK("#",""), HYPERLINK(CONCATENATE("#Metadata!", ADDRESS(INDEX($AJ$2:$AJ$1001,MATCH(ROWS($AH$2:AH617),$AH$2:$AH$1001,0),0), INDEX($AO$1004:$BQ$1004,1,MATCH(COLUMNS($AO$1006:AV1006),$AO$1006:$BQ$1006,0)))),"Fix")))</f>
        <v>#N/A</v>
      </c>
      <c r="J617" s="5" t="e">
        <f ca="1">IF(OR(INDEX($AI$2:$AI$1001,MATCH(ROWS($AH$2:AH617),$AH$2:$AH$1001,0),1)&gt;=100000,INDEX($AO$1005:$BQ$1005,1,MATCH(COLUMNS($AO$1006:AW1006),$AO$1006:$BQ$1006,0))&gt;=100000), " ",IF(INDEX($AO$2:$BQ$1001,MATCH(ROWS($AH$2:AH617),$AH$2:$AH$1001,0),MATCH(COLUMNS($AO$1006:AW1006),$AO$1006:$BQ$1006,0)), HYPERLINK("#",""), HYPERLINK(CONCATENATE("#Metadata!", ADDRESS(INDEX($AJ$2:$AJ$1001,MATCH(ROWS($AH$2:AH617),$AH$2:$AH$1001,0),0), INDEX($AO$1004:$BQ$1004,1,MATCH(COLUMNS($AO$1006:AW1006),$AO$1006:$BQ$1006,0)))),"Fix")))</f>
        <v>#N/A</v>
      </c>
      <c r="K617" s="5" t="e">
        <f ca="1">IF(OR(INDEX($AI$2:$AI$1001,MATCH(ROWS($AH$2:AH617),$AH$2:$AH$1001,0),1)&gt;=100000,INDEX($AO$1005:$BQ$1005,1,MATCH(COLUMNS($AO$1006:AX1006),$AO$1006:$BQ$1006,0))&gt;=100000), " ",IF(INDEX($AO$2:$BQ$1001,MATCH(ROWS($AH$2:AH617),$AH$2:$AH$1001,0),MATCH(COLUMNS($AO$1006:AX1006),$AO$1006:$BQ$1006,0)), HYPERLINK("#",""), HYPERLINK(CONCATENATE("#Metadata!", ADDRESS(INDEX($AJ$2:$AJ$1001,MATCH(ROWS($AH$2:AH617),$AH$2:$AH$1001,0),0), INDEX($AO$1004:$BQ$1004,1,MATCH(COLUMNS($AO$1006:AX1006),$AO$1006:$BQ$1006,0)))),"Fix")))</f>
        <v>#N/A</v>
      </c>
      <c r="L617" s="5" t="e">
        <f ca="1">IF(OR(INDEX($AI$2:$AI$1001,MATCH(ROWS($AH$2:AH617),$AH$2:$AH$1001,0),1)&gt;=100000,INDEX($AO$1005:$BQ$1005,1,MATCH(COLUMNS($AO$1006:AY1006),$AO$1006:$BQ$1006,0))&gt;=100000), " ",IF(INDEX($AO$2:$BQ$1001,MATCH(ROWS($AH$2:AH617),$AH$2:$AH$1001,0),MATCH(COLUMNS($AO$1006:AY1006),$AO$1006:$BQ$1006,0)), HYPERLINK("#",""), HYPERLINK(CONCATENATE("#Metadata!", ADDRESS(INDEX($AJ$2:$AJ$1001,MATCH(ROWS($AH$2:AH617),$AH$2:$AH$1001,0),0), INDEX($AO$1004:$BQ$1004,1,MATCH(COLUMNS($AO$1006:AY1006),$AO$1006:$BQ$1006,0)))),"Fix")))</f>
        <v>#N/A</v>
      </c>
      <c r="M617" s="5" t="e">
        <f ca="1">IF(OR(INDEX($AI$2:$AI$1001,MATCH(ROWS($AH$2:AH617),$AH$2:$AH$1001,0),1)&gt;=100000,INDEX($AO$1005:$BQ$1005,1,MATCH(COLUMNS($AO$1006:AZ1006),$AO$1006:$BQ$1006,0))&gt;=100000), " ",IF(INDEX($AO$2:$BQ$1001,MATCH(ROWS($AH$2:AH617),$AH$2:$AH$1001,0),MATCH(COLUMNS($AO$1006:AZ1006),$AO$1006:$BQ$1006,0)), HYPERLINK("#",""), HYPERLINK(CONCATENATE("#Metadata!", ADDRESS(INDEX($AJ$2:$AJ$1001,MATCH(ROWS($AH$2:AH617),$AH$2:$AH$1001,0),0), INDEX($AO$1004:$BQ$1004,1,MATCH(COLUMNS($AO$1006:AZ1006),$AO$1006:$BQ$1006,0)))),"Fix")))</f>
        <v>#N/A</v>
      </c>
      <c r="N617" s="5" t="e">
        <f ca="1">IF(OR(INDEX($AI$2:$AI$1001,MATCH(ROWS($AH$2:AH617),$AH$2:$AH$1001,0),1)&gt;=100000,INDEX($AO$1005:$BQ$1005,1,MATCH(COLUMNS($AO$1006:BA1006),$AO$1006:$BQ$1006,0))&gt;=100000), " ",IF(INDEX($AO$2:$BQ$1001,MATCH(ROWS($AH$2:AH617),$AH$2:$AH$1001,0),MATCH(COLUMNS($AO$1006:BA1006),$AO$1006:$BQ$1006,0)), HYPERLINK("#",""), HYPERLINK(CONCATENATE("#Metadata!", ADDRESS(INDEX($AJ$2:$AJ$1001,MATCH(ROWS($AH$2:AH617),$AH$2:$AH$1001,0),0), INDEX($AO$1004:$BQ$1004,1,MATCH(COLUMNS($AO$1006:BA1006),$AO$1006:$BQ$1006,0)))),"Fix")))</f>
        <v>#N/A</v>
      </c>
      <c r="O617" s="5" t="e">
        <f ca="1">IF(OR(INDEX($AI$2:$AI$1001,MATCH(ROWS($AH$2:AH617),$AH$2:$AH$1001,0),1)&gt;=100000,INDEX($AO$1005:$BQ$1005,1,MATCH(COLUMNS($AO$1006:BB1006),$AO$1006:$BQ$1006,0))&gt;=100000), " ",IF(INDEX($AO$2:$BQ$1001,MATCH(ROWS($AH$2:AH617),$AH$2:$AH$1001,0),MATCH(COLUMNS($AO$1006:BB1006),$AO$1006:$BQ$1006,0)), HYPERLINK("#",""), HYPERLINK(CONCATENATE("#Metadata!", ADDRESS(INDEX($AJ$2:$AJ$1001,MATCH(ROWS($AH$2:AH617),$AH$2:$AH$1001,0),0), INDEX($AO$1004:$BQ$1004,1,MATCH(COLUMNS($AO$1006:BB1006),$AO$1006:$BQ$1006,0)))),"Fix")))</f>
        <v>#N/A</v>
      </c>
      <c r="P617" s="5" t="e">
        <f ca="1">IF(OR(INDEX($AI$2:$AI$1001,MATCH(ROWS($AH$2:AH617),$AH$2:$AH$1001,0),1)&gt;=100000,INDEX($AO$1005:$BQ$1005,1,MATCH(COLUMNS($AO$1006:BC1006),$AO$1006:$BQ$1006,0))&gt;=100000), " ",IF(INDEX($AO$2:$BQ$1001,MATCH(ROWS($AH$2:AH617),$AH$2:$AH$1001,0),MATCH(COLUMNS($AO$1006:BC1006),$AO$1006:$BQ$1006,0)), HYPERLINK("#",""), HYPERLINK(CONCATENATE("#Metadata!", ADDRESS(INDEX($AJ$2:$AJ$1001,MATCH(ROWS($AH$2:AH617),$AH$2:$AH$1001,0),0), INDEX($AO$1004:$BQ$1004,1,MATCH(COLUMNS($AO$1006:BC1006),$AO$1006:$BQ$1006,0)))),"Fix")))</f>
        <v>#N/A</v>
      </c>
      <c r="Q617" s="5" t="e">
        <f ca="1">IF(OR(INDEX($AI$2:$AI$1001,MATCH(ROWS($AH$2:AH617),$AH$2:$AH$1001,0),1)&gt;=100000,INDEX($AO$1005:$BQ$1005,1,MATCH(COLUMNS($AO$1006:BD1006),$AO$1006:$BQ$1006,0))&gt;=100000), " ",IF(INDEX($AO$2:$BQ$1001,MATCH(ROWS($AH$2:AH617),$AH$2:$AH$1001,0),MATCH(COLUMNS($AO$1006:BD1006),$AO$1006:$BQ$1006,0)), HYPERLINK("#",""), HYPERLINK(CONCATENATE("#Metadata!", ADDRESS(INDEX($AJ$2:$AJ$1001,MATCH(ROWS($AH$2:AH617),$AH$2:$AH$1001,0),0), INDEX($AO$1004:$BQ$1004,1,MATCH(COLUMNS($AO$1006:BD1006),$AO$1006:$BQ$1006,0)))),"Fix")))</f>
        <v>#N/A</v>
      </c>
      <c r="R617" s="5" t="e">
        <f ca="1">IF(OR(INDEX($AI$2:$AI$1001,MATCH(ROWS($AH$2:AH617),$AH$2:$AH$1001,0),1)&gt;=100000,INDEX($AO$1005:$BQ$1005,1,MATCH(COLUMNS($AO$1006:BE1006),$AO$1006:$BQ$1006,0))&gt;=100000), " ",IF(INDEX($AO$2:$BQ$1001,MATCH(ROWS($AH$2:AH617),$AH$2:$AH$1001,0),MATCH(COLUMNS($AO$1006:BE1006),$AO$1006:$BQ$1006,0)), HYPERLINK("#",""), HYPERLINK(CONCATENATE("#Metadata!", ADDRESS(INDEX($AJ$2:$AJ$1001,MATCH(ROWS($AH$2:AH617),$AH$2:$AH$1001,0),0), INDEX($AO$1004:$BQ$1004,1,MATCH(COLUMNS($AO$1006:BE1006),$AO$1006:$BQ$1006,0)))),"Fix")))</f>
        <v>#N/A</v>
      </c>
      <c r="S617" s="5" t="e">
        <f ca="1">IF(OR(INDEX($AI$2:$AI$1001,MATCH(ROWS($AH$2:AH617),$AH$2:$AH$1001,0),1)&gt;=100000,INDEX($AO$1005:$BQ$1005,1,MATCH(COLUMNS($AO$1006:BF1006),$AO$1006:$BQ$1006,0))&gt;=100000), " ",IF(INDEX($AO$2:$BQ$1001,MATCH(ROWS($AH$2:AH617),$AH$2:$AH$1001,0),MATCH(COLUMNS($AO$1006:BF1006),$AO$1006:$BQ$1006,0)), HYPERLINK("#",""), HYPERLINK(CONCATENATE("#Metadata!", ADDRESS(INDEX($AJ$2:$AJ$1001,MATCH(ROWS($AH$2:AH617),$AH$2:$AH$1001,0),0), INDEX($AO$1004:$BQ$1004,1,MATCH(COLUMNS($AO$1006:BF1006),$AO$1006:$BQ$1006,0)))),"Fix")))</f>
        <v>#N/A</v>
      </c>
      <c r="T617" s="5" t="e">
        <f ca="1">IF(OR(INDEX($AI$2:$AI$1001,MATCH(ROWS($AH$2:AH617),$AH$2:$AH$1001,0),1)&gt;=100000,INDEX($AO$1005:$BQ$1005,1,MATCH(COLUMNS($AO$1006:BG1006),$AO$1006:$BQ$1006,0))&gt;=100000), " ",IF(INDEX($AO$2:$BQ$1001,MATCH(ROWS($AH$2:AH617),$AH$2:$AH$1001,0),MATCH(COLUMNS($AO$1006:BG1006),$AO$1006:$BQ$1006,0)), HYPERLINK("#",""), HYPERLINK(CONCATENATE("#Metadata!", ADDRESS(INDEX($AJ$2:$AJ$1001,MATCH(ROWS($AH$2:AH617),$AH$2:$AH$1001,0),0), INDEX($AO$1004:$BQ$1004,1,MATCH(COLUMNS($AO$1006:BG1006),$AO$1006:$BQ$1006,0)))),"Fix")))</f>
        <v>#N/A</v>
      </c>
      <c r="U617" s="5" t="e">
        <f ca="1">IF(OR(INDEX($AI$2:$AI$1001,MATCH(ROWS($AH$2:AH617),$AH$2:$AH$1001,0),1)&gt;=100000,INDEX($AO$1005:$BQ$1005,1,MATCH(COLUMNS($AO$1006:BH1006),$AO$1006:$BQ$1006,0))&gt;=100000), " ",IF(INDEX($AO$2:$BQ$1001,MATCH(ROWS($AH$2:AH617),$AH$2:$AH$1001,0),MATCH(COLUMNS($AO$1006:BH1006),$AO$1006:$BQ$1006,0)), HYPERLINK("#",""), HYPERLINK(CONCATENATE("#Metadata!", ADDRESS(INDEX($AJ$2:$AJ$1001,MATCH(ROWS($AH$2:AH617),$AH$2:$AH$1001,0),0), INDEX($AO$1004:$BQ$1004,1,MATCH(COLUMNS($AO$1006:BH1006),$AO$1006:$BQ$1006,0)))),"Fix")))</f>
        <v>#N/A</v>
      </c>
      <c r="V617" s="5" t="e">
        <f ca="1">IF(OR(INDEX($AI$2:$AI$1001,MATCH(ROWS($AH$2:AH617),$AH$2:$AH$1001,0),1)&gt;=100000,INDEX($AO$1005:$BQ$1005,1,MATCH(COLUMNS($AO$1006:BI1006),$AO$1006:$BQ$1006,0))&gt;=100000), " ",IF(INDEX($AO$2:$BQ$1001,MATCH(ROWS($AH$2:AH617),$AH$2:$AH$1001,0),MATCH(COLUMNS($AO$1006:BI1006),$AO$1006:$BQ$1006,0)), HYPERLINK("#",""), HYPERLINK(CONCATENATE("#Metadata!", ADDRESS(INDEX($AJ$2:$AJ$1001,MATCH(ROWS($AH$2:AH617),$AH$2:$AH$1001,0),0), INDEX($AO$1004:$BQ$1004,1,MATCH(COLUMNS($AO$1006:BI1006),$AO$1006:$BQ$1006,0)))),"Fix")))</f>
        <v>#N/A</v>
      </c>
      <c r="W617" s="5" t="e">
        <f ca="1">IF(OR(INDEX($AI$2:$AI$1001,MATCH(ROWS($AH$2:AH617),$AH$2:$AH$1001,0),1)&gt;=100000,INDEX($AO$1005:$BQ$1005,1,MATCH(COLUMNS($AO$1006:BJ1006),$AO$1006:$BQ$1006,0))&gt;=100000), " ",IF(INDEX($AO$2:$BQ$1001,MATCH(ROWS($AH$2:AH617),$AH$2:$AH$1001,0),MATCH(COLUMNS($AO$1006:BJ1006),$AO$1006:$BQ$1006,0)), HYPERLINK("#",""), HYPERLINK(CONCATENATE("#Metadata!", ADDRESS(INDEX($AJ$2:$AJ$1001,MATCH(ROWS($AH$2:AH617),$AH$2:$AH$1001,0),0), INDEX($AO$1004:$BQ$1004,1,MATCH(COLUMNS($AO$1006:BJ1006),$AO$1006:$BQ$1006,0)))),"Fix")))</f>
        <v>#N/A</v>
      </c>
      <c r="X617" s="5" t="e">
        <f ca="1">IF(OR(INDEX($AI$2:$AI$1001,MATCH(ROWS($AH$2:AH617),$AH$2:$AH$1001,0),1)&gt;=100000,INDEX($AO$1005:$BQ$1005,1,MATCH(COLUMNS($AO$1006:BK1006),$AO$1006:$BQ$1006,0))&gt;=100000), " ",IF(INDEX($AO$2:$BQ$1001,MATCH(ROWS($AH$2:AH617),$AH$2:$AH$1001,0),MATCH(COLUMNS($AO$1006:BK1006),$AO$1006:$BQ$1006,0)), HYPERLINK("#",""), HYPERLINK(CONCATENATE("#Metadata!", ADDRESS(INDEX($AJ$2:$AJ$1001,MATCH(ROWS($AH$2:AH617),$AH$2:$AH$1001,0),0), INDEX($AO$1004:$BQ$1004,1,MATCH(COLUMNS($AO$1006:BK1006),$AO$1006:$BQ$1006,0)))),"Fix")))</f>
        <v>#N/A</v>
      </c>
      <c r="Y617" s="5" t="e">
        <f ca="1">IF(OR(INDEX($AI$2:$AI$1001,MATCH(ROWS($AH$2:AH617),$AH$2:$AH$1001,0),1)&gt;=100000,INDEX($AO$1005:$BQ$1005,1,MATCH(COLUMNS($AO$1006:BL1006),$AO$1006:$BQ$1006,0))&gt;=100000), " ",IF(INDEX($AO$2:$BQ$1001,MATCH(ROWS($AH$2:AH617),$AH$2:$AH$1001,0),MATCH(COLUMNS($AO$1006:BL1006),$AO$1006:$BQ$1006,0)), HYPERLINK("#",""), HYPERLINK(CONCATENATE("#Metadata!", ADDRESS(INDEX($AJ$2:$AJ$1001,MATCH(ROWS($AH$2:AH617),$AH$2:$AH$1001,0),0), INDEX($AO$1004:$BQ$1004,1,MATCH(COLUMNS($AO$1006:BL1006),$AO$1006:$BQ$1006,0)))),"Fix")))</f>
        <v>#N/A</v>
      </c>
      <c r="Z617" s="5" t="e">
        <f ca="1">IF(OR(INDEX($AI$2:$AI$1001,MATCH(ROWS($AH$2:AH617),$AH$2:$AH$1001,0),1)&gt;=100000,INDEX($AO$1005:$BQ$1005,1,MATCH(COLUMNS($AO$1006:BM1006),$AO$1006:$BQ$1006,0))&gt;=100000), " ",IF(INDEX($AO$2:$BQ$1001,MATCH(ROWS($AH$2:AH617),$AH$2:$AH$1001,0),MATCH(COLUMNS($AO$1006:BM1006),$AO$1006:$BQ$1006,0)), HYPERLINK("#",""), HYPERLINK(CONCATENATE("#Metadata!", ADDRESS(INDEX($AJ$2:$AJ$1001,MATCH(ROWS($AH$2:AH617),$AH$2:$AH$1001,0),0), INDEX($AO$1004:$BQ$1004,1,MATCH(COLUMNS($AO$1006:BM1006),$AO$1006:$BQ$1006,0)))),"Fix")))</f>
        <v>#N/A</v>
      </c>
      <c r="AA617" s="5" t="e">
        <f ca="1">IF(OR(INDEX($AI$2:$AI$1001,MATCH(ROWS($AH$2:AH617),$AH$2:$AH$1001,0),1)&gt;=100000,INDEX($AO$1005:$BQ$1005,1,MATCH(COLUMNS($AO$1006:BN1006),$AO$1006:$BQ$1006,0))&gt;=100000), " ",IF(INDEX($AO$2:$BQ$1001,MATCH(ROWS($AH$2:AH617),$AH$2:$AH$1001,0),MATCH(COLUMNS($AO$1006:BN1006),$AO$1006:$BQ$1006,0)), HYPERLINK("#",""), HYPERLINK(CONCATENATE("#Metadata!", ADDRESS(INDEX($AJ$2:$AJ$1001,MATCH(ROWS($AH$2:AH617),$AH$2:$AH$1001,0),0), INDEX($AO$1004:$BQ$1004,1,MATCH(COLUMNS($AO$1006:BN1006),$AO$1006:$BQ$1006,0)))),"Fix")))</f>
        <v>#N/A</v>
      </c>
      <c r="AB617" s="5" t="e">
        <f ca="1">IF(OR(INDEX($AI$2:$AI$1001,MATCH(ROWS($AH$2:AH617),$AH$2:$AH$1001,0),1)&gt;=100000,INDEX($AO$1005:$BQ$1005,1,MATCH(COLUMNS($AO$1006:BO1006),$AO$1006:$BQ$1006,0))&gt;=100000), " ",IF(INDEX($AO$2:$BQ$1001,MATCH(ROWS($AH$2:AH617),$AH$2:$AH$1001,0),MATCH(COLUMNS($AO$1006:BO1006),$AO$1006:$BQ$1006,0)), HYPERLINK("#",""), HYPERLINK(CONCATENATE("#Metadata!", ADDRESS(INDEX($AJ$2:$AJ$1001,MATCH(ROWS($AH$2:AH617),$AH$2:$AH$1001,0),0), INDEX($AO$1004:$BQ$1004,1,MATCH(COLUMNS($AO$1006:BO1006),$AO$1006:$BQ$1006,0)))),"Fix")))</f>
        <v>#N/A</v>
      </c>
      <c r="AC617" s="5" t="e">
        <f ca="1">IF(OR(INDEX($AI$2:$AI$1001,MATCH(ROWS($AH$2:AH617),$AH$2:$AH$1001,0),1)&gt;=100000,INDEX($AO$1005:$BQ$1005,1,MATCH(COLUMNS($AO$1006:BP1006),$AO$1006:$BQ$1006,0))&gt;=100000), " ",IF(INDEX($AO$2:$BQ$1001,MATCH(ROWS($AH$2:AH617),$AH$2:$AH$1001,0),MATCH(COLUMNS($AO$1006:BP1006),$AO$1006:$BQ$1006,0)), HYPERLINK("#",""), HYPERLINK(CONCATENATE("#Metadata!", ADDRESS(INDEX($AJ$2:$AJ$1001,MATCH(ROWS($AH$2:AH617),$AH$2:$AH$1001,0),0), INDEX($AO$1004:$BQ$1004,1,MATCH(COLUMNS($AO$1006:BP1006),$AO$1006:$BQ$1006,0)))),"Fix")))</f>
        <v>#N/A</v>
      </c>
      <c r="AD617" s="5" t="e">
        <f ca="1">IF(OR(INDEX($AI$2:$AI$1001,MATCH(ROWS($AH$2:AH617),$AH$2:$AH$1001,0),1)&gt;=100000,INDEX($AO$1005:$BQ$1005,1,MATCH(COLUMNS($AO$1006:BQ1006),$AO$1006:$BQ$1006,0))&gt;=100000), " ",IF(INDEX($AO$2:$BQ$1001,MATCH(ROWS($AH$2:AH617),$AH$2:$AH$1001,0),MATCH(COLUMNS($AO$1006:BQ1006),$AO$1006:$BQ$1006,0)), HYPERLINK("#",""), HYPERLINK(CONCATENATE("#Metadata!", ADDRESS(INDEX($AJ$2:$AJ$1001,MATCH(ROWS($AH$2:AH617),$AH$2:$AH$1001,0),0), INDEX($AO$1004:$BQ$1004,1,MATCH(COLUMNS($AO$1006:BQ1006),$AO$1006:$BQ$1006,0)))),"Fix")))</f>
        <v>#REF!</v>
      </c>
      <c r="AH617">
        <f ca="1"/>
        <v>614</v>
      </c>
      <c r="AI617">
        <v>100617</v>
      </c>
      <c r="AJ617">
        <v>617</v>
      </c>
      <c r="AK617" t="b">
        <f t="shared" si="9"/>
        <v>1</v>
      </c>
      <c r="AL617" t="b">
        <f>COUNTBLANK(Metadata!B617:AD617)=COLUMNS(Metadata!B617:AD617)</f>
        <v>1</v>
      </c>
      <c r="AM617" t="str">
        <v/>
      </c>
      <c r="AO617" t="b">
        <f ca="1">AND(IF(Metadata!B617="",FALSE,TRUE),COUNTIF(Metadata!B:B, Metadata!B617) = 1,NOT(ISERROR(SUMPRODUCT(SEARCH(MID(Metadata!B617,ROW(INDIRECT("1:"&amp;LEN(Metadata!B617))), 1),"0123456789abcdefghijklmnopqrstuvwxyzABCDEFGHIJKLMNOPQRSTUVWXYZ.")))))</f>
        <v>0</v>
      </c>
      <c r="AP617" t="b">
        <f>IF(Metadata!C617="",FALSE,TRUE)</f>
        <v>0</v>
      </c>
      <c r="AQ617" t="b">
        <f>IF(Metadata!D617="",FALSE,TRUE)</f>
        <v>0</v>
      </c>
      <c r="AR617" t="b">
        <f ca="1">OR(AND(IF(Metadata!E617="",FALSE,TRUE),OR(EXACT(Metadata!E617,"not collected"),EXACT(Metadata!E617,"not provided"),EXACT(Metadata!E617,"restricted access"))),AND(IF(Metadata!E617="",FALSE,TRUE),AND(AND(IFERROR(INT(LEFT(Metadata!E617,4))&gt;1900,FALSE),IFERROR(INT(LEFT(Metadata!E617,4))&lt;=YEAR(NOW()),FALSE)), OR(MID(Metadata!E617,5,1)="", AND(AND(MID(Metadata!E617,5,1)="-",IFERROR(INT(MID(Metadata!E617,6,1))&gt;=0,FALSE),IFERROR(INT(MID(Metadata!E617,6,1))&lt;=1,FALSE),NOT(MID(Metadata!E617,7,1)=""),IFERROR(INT(MID(Metadata!E617,6,2))&gt;=1,FALSE),IFERROR(INT(MID(Metadata!E617,6,2))&lt;=12,FALSE)), OR(MID(Metadata!E617,8,1)="", AND(AND(MID(Metadata!E617,8,1)="-",IFERROR(INT(MID(Metadata!E617,9,1))&gt;=0,FALSE),IFERROR(INT(MID(Metadata!E617,9,1))&lt;=3,FALSE),NOT(MID(Metadata!E617,10,1)=""),IFERROR(INT(MID(Metadata!E617,9,2))&gt;=1,FALSE),IFERROR(INT(MID(Metadata!E617,9,2))&lt;=31,FALSE)), OR(MID(Metadata!E617,11,1)="", AND(AND(MID(Metadata!E617,11,1)=" ",IFERROR(INT(MID(Metadata!E617,12,1))&gt;=0,FALSE),IFERROR(INT(MID(Metadata!E617,12,1))&lt;=2,FALSE),NOT(MID(Metadata!E617,13,1)=""),IFERROR(INT(MID(Metadata!E617,12,2))&gt;=0,FALSE),IFERROR(INT(MID(Metadata!E617,12,2))&lt;=23,FALSE)), OR(MID(Metadata!E617,14,1)="", AND(AND(MID(Metadata!E617,14,1)=":",IFERROR(INT(MID(Metadata!E617,15,1))&gt;=0,FALSE),IFERROR(INT(MID(Metadata!E617,15,1))&lt;=5,FALSE),NOT(MID(Metadata!E617,16,1)=""),IFERROR(INT(MID(Metadata!E617,15,2))&gt;=0,FALSE),IFERROR(INT(MID(Metadata!E617,15,2))&lt;=59,FALSE)), OR(MID(Metadata!E617,17,1)="", AND(AND(MID(Metadata!E617,17,1)=":",IFERROR(INT(MID(Metadata!E617,18,1))&gt;=0,FALSE),IFERROR(INT(MID(Metadata!E617,18,1))&lt;=5,FALSE),NOT(MID(Metadata!E617,19,1)=""),IFERROR(INT(MID(Metadata!E617,18,2))&gt;=0,FALSE),IFERROR(INT(MID(Metadata!E617,18,2))&lt;=59,FALSE)), LEN(Metadata!E617)&lt;=19)))))))))))))</f>
        <v>0</v>
      </c>
      <c r="AS617" t="b">
        <f>IF(Metadata!F617="",FALSE,TRUE)</f>
        <v>0</v>
      </c>
      <c r="AT617" t="b">
        <f>OR(AND(IF(Metadata!G617="",FALSE,TRUE),OR(EXACT(Metadata!G617,"not collected"),EXACT(Metadata!G617,"not provided"))),AND(IF(Metadata!G617="",FALSE,TRUE),OR(EXACT(Metadata!G617,"TRUE"),EXACT(Metadata!G617,"FALSE"))))</f>
        <v>0</v>
      </c>
      <c r="AU617" t="b">
        <f>OR(AND(IF(Metadata!H617="",FALSE,TRUE),OR(EXACT(Metadata!H617,"not collected"),EXACT(Metadata!H617,"not provided"),EXACT(Metadata!H617,"restricted access"))),AND(IF(Metadata!H617="",FALSE,ISNUMBER(VALUE(Metadata!H617))),Metadata!H617&gt;=-413))</f>
        <v>0</v>
      </c>
      <c r="AV617" t="b">
        <f>AND(IF(Metadata!I617="",FALSE,TRUE),EXACT(Metadata!I617,"meters"))</f>
        <v>0</v>
      </c>
      <c r="AW617" t="b">
        <f>AND(IF(Metadata!J617="",FALSE,TRUE),EXACT(Metadata!J617,"free-living"))</f>
        <v>0</v>
      </c>
      <c r="AX617" t="b">
        <f>AND(IF(Metadata!K617="",FALSE,TRUE),OR(EXACT(Metadata!K617,"saline"),EXACT(Metadata!K617,"non-saline")))</f>
        <v>0</v>
      </c>
      <c r="AY617" t="b">
        <f>AND(IF(Metadata!L617="",FALSE,TRUE),OR(EXACT(Metadata!L617,"sub-surface (non-saline)"),EXACT(Metadata!L617,"surface (non-saline)"),EXACT(Metadata!L617,"water (non-saline)"),EXACT(Metadata!L617,"soil (non-saline)"),EXACT(Metadata!L617,"aerosol (non-saline)"),EXACT(Metadata!L617,"sediment (non-saline)"),EXACT(Metadata!L617,"surface (saline)"),EXACT(Metadata!L617,"water (saline)"),EXACT(Metadata!L617,"hypersaline (saline)"),EXACT(Metadata!L617,"aerosol (saline)"),EXACT(Metadata!L617,"sediment (saline)")))</f>
        <v>0</v>
      </c>
      <c r="AZ617" t="b">
        <f>IF(Metadata!M617="",FALSE,TRUE)</f>
        <v>0</v>
      </c>
      <c r="BA617" t="b">
        <f>IF(Metadata!N617="",FALSE,TRUE)</f>
        <v>0</v>
      </c>
      <c r="BB617" t="b">
        <f>IF(Metadata!O617="",FALSE,TRUE)</f>
        <v>0</v>
      </c>
      <c r="BC617" t="b">
        <f>AND(IF(Metadata!P617="",FALSE,TRUE),OR(EXACT(Metadata!P617,"air"),EXACT(Metadata!P617,"microbial mat/biofilm"),EXACT(Metadata!P617,"misc environment"),EXACT(Metadata!P617,"sediment"),EXACT(Metadata!P617,"soil"),EXACT(Metadata!P617,"wastewater/sludge"),EXACT(Metadata!P617,"water")))</f>
        <v>0</v>
      </c>
      <c r="BD617" t="b">
        <f>IF(Metadata!Q617="",FALSE,TRUE)</f>
        <v>0</v>
      </c>
      <c r="BE617" t="b">
        <f>IF(Metadata!R617="",FALSE,TRUE)</f>
        <v>0</v>
      </c>
      <c r="BF617" t="b">
        <f>OR(AND(IF(Metadata!S617="",FALSE,TRUE),OR(EXACT(Metadata!S617,"not collected"),EXACT(Metadata!S617,"not provided"),EXACT(Metadata!S617,"restricted access"))),AND(IF(Metadata!S617="",FALSE,ISNUMBER(VALUE(Metadata!S617))),Metadata!S617&gt;=-90,Metadata!S617&lt;=90))</f>
        <v>0</v>
      </c>
      <c r="BG617" t="b">
        <f>AND(IF(Metadata!T617="",FALSE,TRUE),EXACT(Metadata!T617,"Decimal degrees"))</f>
        <v>0</v>
      </c>
      <c r="BH617" t="b">
        <f>OR(AND(IF(Metadata!U617="",FALSE,TRUE),OR(EXACT(Metadata!U617,"not applicable"),EXACT(Metadata!U617,"not collected"))),IF(Metadata!U617="",FALSE,TRUE))</f>
        <v>0</v>
      </c>
      <c r="BI617" t="b">
        <f>OR(AND(IF(Metadata!V617="",FALSE,TRUE),OR(EXACT(Metadata!V617,"not collected"),EXACT(Metadata!V617,"not provided"),EXACT(Metadata!V617,"restricted access"))),AND(IF(Metadata!V617="",FALSE,ISNUMBER(VALUE(Metadata!V617))),Metadata!V617&gt;=-180,Metadata!V617&lt;=180))</f>
        <v>0</v>
      </c>
      <c r="BJ617" t="b">
        <f>AND(IF(Metadata!W617="",FALSE,TRUE),EXACT(Metadata!W617,"Decimal degrees"))</f>
        <v>0</v>
      </c>
      <c r="BK617" t="b">
        <f>IF(Metadata!X617="",FALSE,TRUE)</f>
        <v>0</v>
      </c>
      <c r="BL617" t="b">
        <f>OR(AND(IF(Metadata!Y617="",FALSE,TRUE),OR(EXACT(Metadata!Y617,"not collected"),EXACT(Metadata!Y617,"not provided"),EXACT(Metadata!Y617,"restricted access"))),AND(IF(Metadata!Y617="",FALSE,TRUE),OR(EXACT(Metadata!Y617,"TRUE"),EXACT(Metadata!Y617,"FALSE"))))</f>
        <v>0</v>
      </c>
      <c r="BM617" t="b">
        <f>OR(AND(IF(Metadata!Z617="",FALSE,TRUE),EXACT(Metadata!Z617,"not applicable")),AND(IF(Metadata!Z617="",FALSE,TRUE),OR(EXACT(Metadata!Z617,"beer"),EXACT(Metadata!Z617,"cheese"),EXACT(Metadata!Z617,"fresh water"),EXACT(Metadata!Z617,"marine sediment"),EXACT(Metadata!Z617,"sea water"),EXACT(Metadata!Z617,"sediment"),EXACT(Metadata!Z617,"soil"),EXACT(Metadata!Z617,"waste water"))))</f>
        <v>0</v>
      </c>
      <c r="BN617" t="b">
        <f>AND(IF(Metadata!AA617="",FALSE,TRUE),EXACT(Metadata!AA617,"metagenome"))</f>
        <v>0</v>
      </c>
      <c r="BO617" t="b">
        <f>AND(IF(Metadata!AB617="",FALSE,TRUE),EXACT(Metadata!AB617,"256318"))</f>
        <v>0</v>
      </c>
      <c r="BP617" t="b">
        <f>IF(Metadata!AC617="",FALSE,TRUE)</f>
        <v>0</v>
      </c>
      <c r="BQ617" t="b">
        <f>IF(Metadata!AD617="",FALSE,TRUE)</f>
        <v>0</v>
      </c>
    </row>
    <row r="618" spans="1:69" x14ac:dyDescent="0.2">
      <c r="A618" s="4" t="e">
        <f ca="1">IF(B618=" "," ",HYPERLINK(CONCATENATE("#metadata!",ADDRESS(INDEX($AJ$2:$AJ$1001,MATCH(ROWS($AH$2:AH618),$AH$2:$AH$1001,0),0),2)),INDEX($AM$2:$AM$1001,MATCH(ROWS($AH$2:AH618),$AH$2:$AH$1001,0),0)))</f>
        <v>#N/A</v>
      </c>
      <c r="B618" s="5" t="e">
        <f ca="1">IF(OR(INDEX($AI$2:$AI$1001,MATCH(ROWS($AH$2:AH618),$AH$2:$AH$1001,0),1)&gt;=100000,INDEX($AO$1005:$BQ$1005,1,MATCH(COLUMNS($AO$1006:AO1006),$AO$1006:$BQ$1006,0))&gt;=100000), " ",IF(INDEX($AO$2:$BQ$1001,MATCH(ROWS($AH$2:AH618),$AH$2:$AH$1001,0),MATCH(COLUMNS($AO$1006:AO1006),$AO$1006:$BQ$1006,0)), HYPERLINK("#",""), HYPERLINK(CONCATENATE("#Metadata!", ADDRESS(INDEX($AJ$2:$AJ$1001,MATCH(ROWS($AH$2:AH618),$AH$2:$AH$1001,0),0), INDEX($AO$1004:$BQ$1004,1,MATCH(COLUMNS($AO$1006:AO1006),$AO$1006:$BQ$1006,0)))),"Fix")))</f>
        <v>#N/A</v>
      </c>
      <c r="C618" s="5" t="e">
        <f ca="1">IF(OR(INDEX($AI$2:$AI$1001,MATCH(ROWS($AH$2:AH618),$AH$2:$AH$1001,0),1)&gt;=100000,INDEX($AO$1005:$BQ$1005,1,MATCH(COLUMNS($AO$1006:AP1006),$AO$1006:$BQ$1006,0))&gt;=100000), " ",IF(INDEX($AO$2:$BQ$1001,MATCH(ROWS($AH$2:AH618),$AH$2:$AH$1001,0),MATCH(COLUMNS($AO$1006:AP1006),$AO$1006:$BQ$1006,0)), HYPERLINK("#",""), HYPERLINK(CONCATENATE("#Metadata!", ADDRESS(INDEX($AJ$2:$AJ$1001,MATCH(ROWS($AH$2:AH618),$AH$2:$AH$1001,0),0), INDEX($AO$1004:$BQ$1004,1,MATCH(COLUMNS($AO$1006:AP1006),$AO$1006:$BQ$1006,0)))),"Fix")))</f>
        <v>#N/A</v>
      </c>
      <c r="D618" s="5" t="e">
        <f ca="1">IF(OR(INDEX($AI$2:$AI$1001,MATCH(ROWS($AH$2:AH618),$AH$2:$AH$1001,0),1)&gt;=100000,INDEX($AO$1005:$BQ$1005,1,MATCH(COLUMNS($AO$1006:AQ1006),$AO$1006:$BQ$1006,0))&gt;=100000), " ",IF(INDEX($AO$2:$BQ$1001,MATCH(ROWS($AH$2:AH618),$AH$2:$AH$1001,0),MATCH(COLUMNS($AO$1006:AQ1006),$AO$1006:$BQ$1006,0)), HYPERLINK("#",""), HYPERLINK(CONCATENATE("#Metadata!", ADDRESS(INDEX($AJ$2:$AJ$1001,MATCH(ROWS($AH$2:AH618),$AH$2:$AH$1001,0),0), INDEX($AO$1004:$BQ$1004,1,MATCH(COLUMNS($AO$1006:AQ1006),$AO$1006:$BQ$1006,0)))),"Fix")))</f>
        <v>#N/A</v>
      </c>
      <c r="E618" s="5" t="e">
        <f ca="1">IF(OR(INDEX($AI$2:$AI$1001,MATCH(ROWS($AH$2:AH618),$AH$2:$AH$1001,0),1)&gt;=100000,INDEX($AO$1005:$BQ$1005,1,MATCH(COLUMNS($AO$1006:AR1006),$AO$1006:$BQ$1006,0))&gt;=100000), " ",IF(INDEX($AO$2:$BQ$1001,MATCH(ROWS($AH$2:AH618),$AH$2:$AH$1001,0),MATCH(COLUMNS($AO$1006:AR1006),$AO$1006:$BQ$1006,0)), HYPERLINK("#",""), HYPERLINK(CONCATENATE("#Metadata!", ADDRESS(INDEX($AJ$2:$AJ$1001,MATCH(ROWS($AH$2:AH618),$AH$2:$AH$1001,0),0), INDEX($AO$1004:$BQ$1004,1,MATCH(COLUMNS($AO$1006:AR1006),$AO$1006:$BQ$1006,0)))),"Fix")))</f>
        <v>#N/A</v>
      </c>
      <c r="F618" s="5" t="e">
        <f ca="1">IF(OR(INDEX($AI$2:$AI$1001,MATCH(ROWS($AH$2:AH618),$AH$2:$AH$1001,0),1)&gt;=100000,INDEX($AO$1005:$BQ$1005,1,MATCH(COLUMNS($AO$1006:AS1006),$AO$1006:$BQ$1006,0))&gt;=100000), " ",IF(INDEX($AO$2:$BQ$1001,MATCH(ROWS($AH$2:AH618),$AH$2:$AH$1001,0),MATCH(COLUMNS($AO$1006:AS1006),$AO$1006:$BQ$1006,0)), HYPERLINK("#",""), HYPERLINK(CONCATENATE("#Metadata!", ADDRESS(INDEX($AJ$2:$AJ$1001,MATCH(ROWS($AH$2:AH618),$AH$2:$AH$1001,0),0), INDEX($AO$1004:$BQ$1004,1,MATCH(COLUMNS($AO$1006:AS1006),$AO$1006:$BQ$1006,0)))),"Fix")))</f>
        <v>#N/A</v>
      </c>
      <c r="G618" s="5" t="e">
        <f ca="1">IF(OR(INDEX($AI$2:$AI$1001,MATCH(ROWS($AH$2:AH618),$AH$2:$AH$1001,0),1)&gt;=100000,INDEX($AO$1005:$BQ$1005,1,MATCH(COLUMNS($AO$1006:AT1006),$AO$1006:$BQ$1006,0))&gt;=100000), " ",IF(INDEX($AO$2:$BQ$1001,MATCH(ROWS($AH$2:AH618),$AH$2:$AH$1001,0),MATCH(COLUMNS($AO$1006:AT1006),$AO$1006:$BQ$1006,0)), HYPERLINK("#",""), HYPERLINK(CONCATENATE("#Metadata!", ADDRESS(INDEX($AJ$2:$AJ$1001,MATCH(ROWS($AH$2:AH618),$AH$2:$AH$1001,0),0), INDEX($AO$1004:$BQ$1004,1,MATCH(COLUMNS($AO$1006:AT1006),$AO$1006:$BQ$1006,0)))),"Fix")))</f>
        <v>#N/A</v>
      </c>
      <c r="H618" s="5" t="e">
        <f ca="1">IF(OR(INDEX($AI$2:$AI$1001,MATCH(ROWS($AH$2:AH618),$AH$2:$AH$1001,0),1)&gt;=100000,INDEX($AO$1005:$BQ$1005,1,MATCH(COLUMNS($AO$1006:AU1006),$AO$1006:$BQ$1006,0))&gt;=100000), " ",IF(INDEX($AO$2:$BQ$1001,MATCH(ROWS($AH$2:AH618),$AH$2:$AH$1001,0),MATCH(COLUMNS($AO$1006:AU1006),$AO$1006:$BQ$1006,0)), HYPERLINK("#",""), HYPERLINK(CONCATENATE("#Metadata!", ADDRESS(INDEX($AJ$2:$AJ$1001,MATCH(ROWS($AH$2:AH618),$AH$2:$AH$1001,0),0), INDEX($AO$1004:$BQ$1004,1,MATCH(COLUMNS($AO$1006:AU1006),$AO$1006:$BQ$1006,0)))),"Fix")))</f>
        <v>#N/A</v>
      </c>
      <c r="I618" s="5" t="e">
        <f ca="1">IF(OR(INDEX($AI$2:$AI$1001,MATCH(ROWS($AH$2:AH618),$AH$2:$AH$1001,0),1)&gt;=100000,INDEX($AO$1005:$BQ$1005,1,MATCH(COLUMNS($AO$1006:AV1006),$AO$1006:$BQ$1006,0))&gt;=100000), " ",IF(INDEX($AO$2:$BQ$1001,MATCH(ROWS($AH$2:AH618),$AH$2:$AH$1001,0),MATCH(COLUMNS($AO$1006:AV1006),$AO$1006:$BQ$1006,0)), HYPERLINK("#",""), HYPERLINK(CONCATENATE("#Metadata!", ADDRESS(INDEX($AJ$2:$AJ$1001,MATCH(ROWS($AH$2:AH618),$AH$2:$AH$1001,0),0), INDEX($AO$1004:$BQ$1004,1,MATCH(COLUMNS($AO$1006:AV1006),$AO$1006:$BQ$1006,0)))),"Fix")))</f>
        <v>#N/A</v>
      </c>
      <c r="J618" s="5" t="e">
        <f ca="1">IF(OR(INDEX($AI$2:$AI$1001,MATCH(ROWS($AH$2:AH618),$AH$2:$AH$1001,0),1)&gt;=100000,INDEX($AO$1005:$BQ$1005,1,MATCH(COLUMNS($AO$1006:AW1006),$AO$1006:$BQ$1006,0))&gt;=100000), " ",IF(INDEX($AO$2:$BQ$1001,MATCH(ROWS($AH$2:AH618),$AH$2:$AH$1001,0),MATCH(COLUMNS($AO$1006:AW1006),$AO$1006:$BQ$1006,0)), HYPERLINK("#",""), HYPERLINK(CONCATENATE("#Metadata!", ADDRESS(INDEX($AJ$2:$AJ$1001,MATCH(ROWS($AH$2:AH618),$AH$2:$AH$1001,0),0), INDEX($AO$1004:$BQ$1004,1,MATCH(COLUMNS($AO$1006:AW1006),$AO$1006:$BQ$1006,0)))),"Fix")))</f>
        <v>#N/A</v>
      </c>
      <c r="K618" s="5" t="e">
        <f ca="1">IF(OR(INDEX($AI$2:$AI$1001,MATCH(ROWS($AH$2:AH618),$AH$2:$AH$1001,0),1)&gt;=100000,INDEX($AO$1005:$BQ$1005,1,MATCH(COLUMNS($AO$1006:AX1006),$AO$1006:$BQ$1006,0))&gt;=100000), " ",IF(INDEX($AO$2:$BQ$1001,MATCH(ROWS($AH$2:AH618),$AH$2:$AH$1001,0),MATCH(COLUMNS($AO$1006:AX1006),$AO$1006:$BQ$1006,0)), HYPERLINK("#",""), HYPERLINK(CONCATENATE("#Metadata!", ADDRESS(INDEX($AJ$2:$AJ$1001,MATCH(ROWS($AH$2:AH618),$AH$2:$AH$1001,0),0), INDEX($AO$1004:$BQ$1004,1,MATCH(COLUMNS($AO$1006:AX1006),$AO$1006:$BQ$1006,0)))),"Fix")))</f>
        <v>#N/A</v>
      </c>
      <c r="L618" s="5" t="e">
        <f ca="1">IF(OR(INDEX($AI$2:$AI$1001,MATCH(ROWS($AH$2:AH618),$AH$2:$AH$1001,0),1)&gt;=100000,INDEX($AO$1005:$BQ$1005,1,MATCH(COLUMNS($AO$1006:AY1006),$AO$1006:$BQ$1006,0))&gt;=100000), " ",IF(INDEX($AO$2:$BQ$1001,MATCH(ROWS($AH$2:AH618),$AH$2:$AH$1001,0),MATCH(COLUMNS($AO$1006:AY1006),$AO$1006:$BQ$1006,0)), HYPERLINK("#",""), HYPERLINK(CONCATENATE("#Metadata!", ADDRESS(INDEX($AJ$2:$AJ$1001,MATCH(ROWS($AH$2:AH618),$AH$2:$AH$1001,0),0), INDEX($AO$1004:$BQ$1004,1,MATCH(COLUMNS($AO$1006:AY1006),$AO$1006:$BQ$1006,0)))),"Fix")))</f>
        <v>#N/A</v>
      </c>
      <c r="M618" s="5" t="e">
        <f ca="1">IF(OR(INDEX($AI$2:$AI$1001,MATCH(ROWS($AH$2:AH618),$AH$2:$AH$1001,0),1)&gt;=100000,INDEX($AO$1005:$BQ$1005,1,MATCH(COLUMNS($AO$1006:AZ1006),$AO$1006:$BQ$1006,0))&gt;=100000), " ",IF(INDEX($AO$2:$BQ$1001,MATCH(ROWS($AH$2:AH618),$AH$2:$AH$1001,0),MATCH(COLUMNS($AO$1006:AZ1006),$AO$1006:$BQ$1006,0)), HYPERLINK("#",""), HYPERLINK(CONCATENATE("#Metadata!", ADDRESS(INDEX($AJ$2:$AJ$1001,MATCH(ROWS($AH$2:AH618),$AH$2:$AH$1001,0),0), INDEX($AO$1004:$BQ$1004,1,MATCH(COLUMNS($AO$1006:AZ1006),$AO$1006:$BQ$1006,0)))),"Fix")))</f>
        <v>#N/A</v>
      </c>
      <c r="N618" s="5" t="e">
        <f ca="1">IF(OR(INDEX($AI$2:$AI$1001,MATCH(ROWS($AH$2:AH618),$AH$2:$AH$1001,0),1)&gt;=100000,INDEX($AO$1005:$BQ$1005,1,MATCH(COLUMNS($AO$1006:BA1006),$AO$1006:$BQ$1006,0))&gt;=100000), " ",IF(INDEX($AO$2:$BQ$1001,MATCH(ROWS($AH$2:AH618),$AH$2:$AH$1001,0),MATCH(COLUMNS($AO$1006:BA1006),$AO$1006:$BQ$1006,0)), HYPERLINK("#",""), HYPERLINK(CONCATENATE("#Metadata!", ADDRESS(INDEX($AJ$2:$AJ$1001,MATCH(ROWS($AH$2:AH618),$AH$2:$AH$1001,0),0), INDEX($AO$1004:$BQ$1004,1,MATCH(COLUMNS($AO$1006:BA1006),$AO$1006:$BQ$1006,0)))),"Fix")))</f>
        <v>#N/A</v>
      </c>
      <c r="O618" s="5" t="e">
        <f ca="1">IF(OR(INDEX($AI$2:$AI$1001,MATCH(ROWS($AH$2:AH618),$AH$2:$AH$1001,0),1)&gt;=100000,INDEX($AO$1005:$BQ$1005,1,MATCH(COLUMNS($AO$1006:BB1006),$AO$1006:$BQ$1006,0))&gt;=100000), " ",IF(INDEX($AO$2:$BQ$1001,MATCH(ROWS($AH$2:AH618),$AH$2:$AH$1001,0),MATCH(COLUMNS($AO$1006:BB1006),$AO$1006:$BQ$1006,0)), HYPERLINK("#",""), HYPERLINK(CONCATENATE("#Metadata!", ADDRESS(INDEX($AJ$2:$AJ$1001,MATCH(ROWS($AH$2:AH618),$AH$2:$AH$1001,0),0), INDEX($AO$1004:$BQ$1004,1,MATCH(COLUMNS($AO$1006:BB1006),$AO$1006:$BQ$1006,0)))),"Fix")))</f>
        <v>#N/A</v>
      </c>
      <c r="P618" s="5" t="e">
        <f ca="1">IF(OR(INDEX($AI$2:$AI$1001,MATCH(ROWS($AH$2:AH618),$AH$2:$AH$1001,0),1)&gt;=100000,INDEX($AO$1005:$BQ$1005,1,MATCH(COLUMNS($AO$1006:BC1006),$AO$1006:$BQ$1006,0))&gt;=100000), " ",IF(INDEX($AO$2:$BQ$1001,MATCH(ROWS($AH$2:AH618),$AH$2:$AH$1001,0),MATCH(COLUMNS($AO$1006:BC1006),$AO$1006:$BQ$1006,0)), HYPERLINK("#",""), HYPERLINK(CONCATENATE("#Metadata!", ADDRESS(INDEX($AJ$2:$AJ$1001,MATCH(ROWS($AH$2:AH618),$AH$2:$AH$1001,0),0), INDEX($AO$1004:$BQ$1004,1,MATCH(COLUMNS($AO$1006:BC1006),$AO$1006:$BQ$1006,0)))),"Fix")))</f>
        <v>#N/A</v>
      </c>
      <c r="Q618" s="5" t="e">
        <f ca="1">IF(OR(INDEX($AI$2:$AI$1001,MATCH(ROWS($AH$2:AH618),$AH$2:$AH$1001,0),1)&gt;=100000,INDEX($AO$1005:$BQ$1005,1,MATCH(COLUMNS($AO$1006:BD1006),$AO$1006:$BQ$1006,0))&gt;=100000), " ",IF(INDEX($AO$2:$BQ$1001,MATCH(ROWS($AH$2:AH618),$AH$2:$AH$1001,0),MATCH(COLUMNS($AO$1006:BD1006),$AO$1006:$BQ$1006,0)), HYPERLINK("#",""), HYPERLINK(CONCATENATE("#Metadata!", ADDRESS(INDEX($AJ$2:$AJ$1001,MATCH(ROWS($AH$2:AH618),$AH$2:$AH$1001,0),0), INDEX($AO$1004:$BQ$1004,1,MATCH(COLUMNS($AO$1006:BD1006),$AO$1006:$BQ$1006,0)))),"Fix")))</f>
        <v>#N/A</v>
      </c>
      <c r="R618" s="5" t="e">
        <f ca="1">IF(OR(INDEX($AI$2:$AI$1001,MATCH(ROWS($AH$2:AH618),$AH$2:$AH$1001,0),1)&gt;=100000,INDEX($AO$1005:$BQ$1005,1,MATCH(COLUMNS($AO$1006:BE1006),$AO$1006:$BQ$1006,0))&gt;=100000), " ",IF(INDEX($AO$2:$BQ$1001,MATCH(ROWS($AH$2:AH618),$AH$2:$AH$1001,0),MATCH(COLUMNS($AO$1006:BE1006),$AO$1006:$BQ$1006,0)), HYPERLINK("#",""), HYPERLINK(CONCATENATE("#Metadata!", ADDRESS(INDEX($AJ$2:$AJ$1001,MATCH(ROWS($AH$2:AH618),$AH$2:$AH$1001,0),0), INDEX($AO$1004:$BQ$1004,1,MATCH(COLUMNS($AO$1006:BE1006),$AO$1006:$BQ$1006,0)))),"Fix")))</f>
        <v>#N/A</v>
      </c>
      <c r="S618" s="5" t="e">
        <f ca="1">IF(OR(INDEX($AI$2:$AI$1001,MATCH(ROWS($AH$2:AH618),$AH$2:$AH$1001,0),1)&gt;=100000,INDEX($AO$1005:$BQ$1005,1,MATCH(COLUMNS($AO$1006:BF1006),$AO$1006:$BQ$1006,0))&gt;=100000), " ",IF(INDEX($AO$2:$BQ$1001,MATCH(ROWS($AH$2:AH618),$AH$2:$AH$1001,0),MATCH(COLUMNS($AO$1006:BF1006),$AO$1006:$BQ$1006,0)), HYPERLINK("#",""), HYPERLINK(CONCATENATE("#Metadata!", ADDRESS(INDEX($AJ$2:$AJ$1001,MATCH(ROWS($AH$2:AH618),$AH$2:$AH$1001,0),0), INDEX($AO$1004:$BQ$1004,1,MATCH(COLUMNS($AO$1006:BF1006),$AO$1006:$BQ$1006,0)))),"Fix")))</f>
        <v>#N/A</v>
      </c>
      <c r="T618" s="5" t="e">
        <f ca="1">IF(OR(INDEX($AI$2:$AI$1001,MATCH(ROWS($AH$2:AH618),$AH$2:$AH$1001,0),1)&gt;=100000,INDEX($AO$1005:$BQ$1005,1,MATCH(COLUMNS($AO$1006:BG1006),$AO$1006:$BQ$1006,0))&gt;=100000), " ",IF(INDEX($AO$2:$BQ$1001,MATCH(ROWS($AH$2:AH618),$AH$2:$AH$1001,0),MATCH(COLUMNS($AO$1006:BG1006),$AO$1006:$BQ$1006,0)), HYPERLINK("#",""), HYPERLINK(CONCATENATE("#Metadata!", ADDRESS(INDEX($AJ$2:$AJ$1001,MATCH(ROWS($AH$2:AH618),$AH$2:$AH$1001,0),0), INDEX($AO$1004:$BQ$1004,1,MATCH(COLUMNS($AO$1006:BG1006),$AO$1006:$BQ$1006,0)))),"Fix")))</f>
        <v>#N/A</v>
      </c>
      <c r="U618" s="5" t="e">
        <f ca="1">IF(OR(INDEX($AI$2:$AI$1001,MATCH(ROWS($AH$2:AH618),$AH$2:$AH$1001,0),1)&gt;=100000,INDEX($AO$1005:$BQ$1005,1,MATCH(COLUMNS($AO$1006:BH1006),$AO$1006:$BQ$1006,0))&gt;=100000), " ",IF(INDEX($AO$2:$BQ$1001,MATCH(ROWS($AH$2:AH618),$AH$2:$AH$1001,0),MATCH(COLUMNS($AO$1006:BH1006),$AO$1006:$BQ$1006,0)), HYPERLINK("#",""), HYPERLINK(CONCATENATE("#Metadata!", ADDRESS(INDEX($AJ$2:$AJ$1001,MATCH(ROWS($AH$2:AH618),$AH$2:$AH$1001,0),0), INDEX($AO$1004:$BQ$1004,1,MATCH(COLUMNS($AO$1006:BH1006),$AO$1006:$BQ$1006,0)))),"Fix")))</f>
        <v>#N/A</v>
      </c>
      <c r="V618" s="5" t="e">
        <f ca="1">IF(OR(INDEX($AI$2:$AI$1001,MATCH(ROWS($AH$2:AH618),$AH$2:$AH$1001,0),1)&gt;=100000,INDEX($AO$1005:$BQ$1005,1,MATCH(COLUMNS($AO$1006:BI1006),$AO$1006:$BQ$1006,0))&gt;=100000), " ",IF(INDEX($AO$2:$BQ$1001,MATCH(ROWS($AH$2:AH618),$AH$2:$AH$1001,0),MATCH(COLUMNS($AO$1006:BI1006),$AO$1006:$BQ$1006,0)), HYPERLINK("#",""), HYPERLINK(CONCATENATE("#Metadata!", ADDRESS(INDEX($AJ$2:$AJ$1001,MATCH(ROWS($AH$2:AH618),$AH$2:$AH$1001,0),0), INDEX($AO$1004:$BQ$1004,1,MATCH(COLUMNS($AO$1006:BI1006),$AO$1006:$BQ$1006,0)))),"Fix")))</f>
        <v>#N/A</v>
      </c>
      <c r="W618" s="5" t="e">
        <f ca="1">IF(OR(INDEX($AI$2:$AI$1001,MATCH(ROWS($AH$2:AH618),$AH$2:$AH$1001,0),1)&gt;=100000,INDEX($AO$1005:$BQ$1005,1,MATCH(COLUMNS($AO$1006:BJ1006),$AO$1006:$BQ$1006,0))&gt;=100000), " ",IF(INDEX($AO$2:$BQ$1001,MATCH(ROWS($AH$2:AH618),$AH$2:$AH$1001,0),MATCH(COLUMNS($AO$1006:BJ1006),$AO$1006:$BQ$1006,0)), HYPERLINK("#",""), HYPERLINK(CONCATENATE("#Metadata!", ADDRESS(INDEX($AJ$2:$AJ$1001,MATCH(ROWS($AH$2:AH618),$AH$2:$AH$1001,0),0), INDEX($AO$1004:$BQ$1004,1,MATCH(COLUMNS($AO$1006:BJ1006),$AO$1006:$BQ$1006,0)))),"Fix")))</f>
        <v>#N/A</v>
      </c>
      <c r="X618" s="5" t="e">
        <f ca="1">IF(OR(INDEX($AI$2:$AI$1001,MATCH(ROWS($AH$2:AH618),$AH$2:$AH$1001,0),1)&gt;=100000,INDEX($AO$1005:$BQ$1005,1,MATCH(COLUMNS($AO$1006:BK1006),$AO$1006:$BQ$1006,0))&gt;=100000), " ",IF(INDEX($AO$2:$BQ$1001,MATCH(ROWS($AH$2:AH618),$AH$2:$AH$1001,0),MATCH(COLUMNS($AO$1006:BK1006),$AO$1006:$BQ$1006,0)), HYPERLINK("#",""), HYPERLINK(CONCATENATE("#Metadata!", ADDRESS(INDEX($AJ$2:$AJ$1001,MATCH(ROWS($AH$2:AH618),$AH$2:$AH$1001,0),0), INDEX($AO$1004:$BQ$1004,1,MATCH(COLUMNS($AO$1006:BK1006),$AO$1006:$BQ$1006,0)))),"Fix")))</f>
        <v>#N/A</v>
      </c>
      <c r="Y618" s="5" t="e">
        <f ca="1">IF(OR(INDEX($AI$2:$AI$1001,MATCH(ROWS($AH$2:AH618),$AH$2:$AH$1001,0),1)&gt;=100000,INDEX($AO$1005:$BQ$1005,1,MATCH(COLUMNS($AO$1006:BL1006),$AO$1006:$BQ$1006,0))&gt;=100000), " ",IF(INDEX($AO$2:$BQ$1001,MATCH(ROWS($AH$2:AH618),$AH$2:$AH$1001,0),MATCH(COLUMNS($AO$1006:BL1006),$AO$1006:$BQ$1006,0)), HYPERLINK("#",""), HYPERLINK(CONCATENATE("#Metadata!", ADDRESS(INDEX($AJ$2:$AJ$1001,MATCH(ROWS($AH$2:AH618),$AH$2:$AH$1001,0),0), INDEX($AO$1004:$BQ$1004,1,MATCH(COLUMNS($AO$1006:BL1006),$AO$1006:$BQ$1006,0)))),"Fix")))</f>
        <v>#N/A</v>
      </c>
      <c r="Z618" s="5" t="e">
        <f ca="1">IF(OR(INDEX($AI$2:$AI$1001,MATCH(ROWS($AH$2:AH618),$AH$2:$AH$1001,0),1)&gt;=100000,INDEX($AO$1005:$BQ$1005,1,MATCH(COLUMNS($AO$1006:BM1006),$AO$1006:$BQ$1006,0))&gt;=100000), " ",IF(INDEX($AO$2:$BQ$1001,MATCH(ROWS($AH$2:AH618),$AH$2:$AH$1001,0),MATCH(COLUMNS($AO$1006:BM1006),$AO$1006:$BQ$1006,0)), HYPERLINK("#",""), HYPERLINK(CONCATENATE("#Metadata!", ADDRESS(INDEX($AJ$2:$AJ$1001,MATCH(ROWS($AH$2:AH618),$AH$2:$AH$1001,0),0), INDEX($AO$1004:$BQ$1004,1,MATCH(COLUMNS($AO$1006:BM1006),$AO$1006:$BQ$1006,0)))),"Fix")))</f>
        <v>#N/A</v>
      </c>
      <c r="AA618" s="5" t="e">
        <f ca="1">IF(OR(INDEX($AI$2:$AI$1001,MATCH(ROWS($AH$2:AH618),$AH$2:$AH$1001,0),1)&gt;=100000,INDEX($AO$1005:$BQ$1005,1,MATCH(COLUMNS($AO$1006:BN1006),$AO$1006:$BQ$1006,0))&gt;=100000), " ",IF(INDEX($AO$2:$BQ$1001,MATCH(ROWS($AH$2:AH618),$AH$2:$AH$1001,0),MATCH(COLUMNS($AO$1006:BN1006),$AO$1006:$BQ$1006,0)), HYPERLINK("#",""), HYPERLINK(CONCATENATE("#Metadata!", ADDRESS(INDEX($AJ$2:$AJ$1001,MATCH(ROWS($AH$2:AH618),$AH$2:$AH$1001,0),0), INDEX($AO$1004:$BQ$1004,1,MATCH(COLUMNS($AO$1006:BN1006),$AO$1006:$BQ$1006,0)))),"Fix")))</f>
        <v>#N/A</v>
      </c>
      <c r="AB618" s="5" t="e">
        <f ca="1">IF(OR(INDEX($AI$2:$AI$1001,MATCH(ROWS($AH$2:AH618),$AH$2:$AH$1001,0),1)&gt;=100000,INDEX($AO$1005:$BQ$1005,1,MATCH(COLUMNS($AO$1006:BO1006),$AO$1006:$BQ$1006,0))&gt;=100000), " ",IF(INDEX($AO$2:$BQ$1001,MATCH(ROWS($AH$2:AH618),$AH$2:$AH$1001,0),MATCH(COLUMNS($AO$1006:BO1006),$AO$1006:$BQ$1006,0)), HYPERLINK("#",""), HYPERLINK(CONCATENATE("#Metadata!", ADDRESS(INDEX($AJ$2:$AJ$1001,MATCH(ROWS($AH$2:AH618),$AH$2:$AH$1001,0),0), INDEX($AO$1004:$BQ$1004,1,MATCH(COLUMNS($AO$1006:BO1006),$AO$1006:$BQ$1006,0)))),"Fix")))</f>
        <v>#N/A</v>
      </c>
      <c r="AC618" s="5" t="e">
        <f ca="1">IF(OR(INDEX($AI$2:$AI$1001,MATCH(ROWS($AH$2:AH618),$AH$2:$AH$1001,0),1)&gt;=100000,INDEX($AO$1005:$BQ$1005,1,MATCH(COLUMNS($AO$1006:BP1006),$AO$1006:$BQ$1006,0))&gt;=100000), " ",IF(INDEX($AO$2:$BQ$1001,MATCH(ROWS($AH$2:AH618),$AH$2:$AH$1001,0),MATCH(COLUMNS($AO$1006:BP1006),$AO$1006:$BQ$1006,0)), HYPERLINK("#",""), HYPERLINK(CONCATENATE("#Metadata!", ADDRESS(INDEX($AJ$2:$AJ$1001,MATCH(ROWS($AH$2:AH618),$AH$2:$AH$1001,0),0), INDEX($AO$1004:$BQ$1004,1,MATCH(COLUMNS($AO$1006:BP1006),$AO$1006:$BQ$1006,0)))),"Fix")))</f>
        <v>#N/A</v>
      </c>
      <c r="AD618" s="5" t="e">
        <f ca="1">IF(OR(INDEX($AI$2:$AI$1001,MATCH(ROWS($AH$2:AH618),$AH$2:$AH$1001,0),1)&gt;=100000,INDEX($AO$1005:$BQ$1005,1,MATCH(COLUMNS($AO$1006:BQ1006),$AO$1006:$BQ$1006,0))&gt;=100000), " ",IF(INDEX($AO$2:$BQ$1001,MATCH(ROWS($AH$2:AH618),$AH$2:$AH$1001,0),MATCH(COLUMNS($AO$1006:BQ1006),$AO$1006:$BQ$1006,0)), HYPERLINK("#",""), HYPERLINK(CONCATENATE("#Metadata!", ADDRESS(INDEX($AJ$2:$AJ$1001,MATCH(ROWS($AH$2:AH618),$AH$2:$AH$1001,0),0), INDEX($AO$1004:$BQ$1004,1,MATCH(COLUMNS($AO$1006:BQ1006),$AO$1006:$BQ$1006,0)))),"Fix")))</f>
        <v>#REF!</v>
      </c>
      <c r="AH618">
        <f ca="1"/>
        <v>615</v>
      </c>
      <c r="AI618">
        <v>100618</v>
      </c>
      <c r="AJ618">
        <v>618</v>
      </c>
      <c r="AK618" t="b">
        <f t="shared" si="9"/>
        <v>1</v>
      </c>
      <c r="AL618" t="b">
        <f>COUNTBLANK(Metadata!B618:AD618)=COLUMNS(Metadata!B618:AD618)</f>
        <v>1</v>
      </c>
      <c r="AM618" t="str">
        <v/>
      </c>
      <c r="AO618" t="b">
        <f ca="1">AND(IF(Metadata!B618="",FALSE,TRUE),COUNTIF(Metadata!B:B, Metadata!B618) = 1,NOT(ISERROR(SUMPRODUCT(SEARCH(MID(Metadata!B618,ROW(INDIRECT("1:"&amp;LEN(Metadata!B618))), 1),"0123456789abcdefghijklmnopqrstuvwxyzABCDEFGHIJKLMNOPQRSTUVWXYZ.")))))</f>
        <v>0</v>
      </c>
      <c r="AP618" t="b">
        <f>IF(Metadata!C618="",FALSE,TRUE)</f>
        <v>0</v>
      </c>
      <c r="AQ618" t="b">
        <f>IF(Metadata!D618="",FALSE,TRUE)</f>
        <v>0</v>
      </c>
      <c r="AR618" t="b">
        <f ca="1">OR(AND(IF(Metadata!E618="",FALSE,TRUE),OR(EXACT(Metadata!E618,"not collected"),EXACT(Metadata!E618,"not provided"),EXACT(Metadata!E618,"restricted access"))),AND(IF(Metadata!E618="",FALSE,TRUE),AND(AND(IFERROR(INT(LEFT(Metadata!E618,4))&gt;1900,FALSE),IFERROR(INT(LEFT(Metadata!E618,4))&lt;=YEAR(NOW()),FALSE)), OR(MID(Metadata!E618,5,1)="", AND(AND(MID(Metadata!E618,5,1)="-",IFERROR(INT(MID(Metadata!E618,6,1))&gt;=0,FALSE),IFERROR(INT(MID(Metadata!E618,6,1))&lt;=1,FALSE),NOT(MID(Metadata!E618,7,1)=""),IFERROR(INT(MID(Metadata!E618,6,2))&gt;=1,FALSE),IFERROR(INT(MID(Metadata!E618,6,2))&lt;=12,FALSE)), OR(MID(Metadata!E618,8,1)="", AND(AND(MID(Metadata!E618,8,1)="-",IFERROR(INT(MID(Metadata!E618,9,1))&gt;=0,FALSE),IFERROR(INT(MID(Metadata!E618,9,1))&lt;=3,FALSE),NOT(MID(Metadata!E618,10,1)=""),IFERROR(INT(MID(Metadata!E618,9,2))&gt;=1,FALSE),IFERROR(INT(MID(Metadata!E618,9,2))&lt;=31,FALSE)), OR(MID(Metadata!E618,11,1)="", AND(AND(MID(Metadata!E618,11,1)=" ",IFERROR(INT(MID(Metadata!E618,12,1))&gt;=0,FALSE),IFERROR(INT(MID(Metadata!E618,12,1))&lt;=2,FALSE),NOT(MID(Metadata!E618,13,1)=""),IFERROR(INT(MID(Metadata!E618,12,2))&gt;=0,FALSE),IFERROR(INT(MID(Metadata!E618,12,2))&lt;=23,FALSE)), OR(MID(Metadata!E618,14,1)="", AND(AND(MID(Metadata!E618,14,1)=":",IFERROR(INT(MID(Metadata!E618,15,1))&gt;=0,FALSE),IFERROR(INT(MID(Metadata!E618,15,1))&lt;=5,FALSE),NOT(MID(Metadata!E618,16,1)=""),IFERROR(INT(MID(Metadata!E618,15,2))&gt;=0,FALSE),IFERROR(INT(MID(Metadata!E618,15,2))&lt;=59,FALSE)), OR(MID(Metadata!E618,17,1)="", AND(AND(MID(Metadata!E618,17,1)=":",IFERROR(INT(MID(Metadata!E618,18,1))&gt;=0,FALSE),IFERROR(INT(MID(Metadata!E618,18,1))&lt;=5,FALSE),NOT(MID(Metadata!E618,19,1)=""),IFERROR(INT(MID(Metadata!E618,18,2))&gt;=0,FALSE),IFERROR(INT(MID(Metadata!E618,18,2))&lt;=59,FALSE)), LEN(Metadata!E618)&lt;=19)))))))))))))</f>
        <v>0</v>
      </c>
      <c r="AS618" t="b">
        <f>IF(Metadata!F618="",FALSE,TRUE)</f>
        <v>0</v>
      </c>
      <c r="AT618" t="b">
        <f>OR(AND(IF(Metadata!G618="",FALSE,TRUE),OR(EXACT(Metadata!G618,"not collected"),EXACT(Metadata!G618,"not provided"))),AND(IF(Metadata!G618="",FALSE,TRUE),OR(EXACT(Metadata!G618,"TRUE"),EXACT(Metadata!G618,"FALSE"))))</f>
        <v>0</v>
      </c>
      <c r="AU618" t="b">
        <f>OR(AND(IF(Metadata!H618="",FALSE,TRUE),OR(EXACT(Metadata!H618,"not collected"),EXACT(Metadata!H618,"not provided"),EXACT(Metadata!H618,"restricted access"))),AND(IF(Metadata!H618="",FALSE,ISNUMBER(VALUE(Metadata!H618))),Metadata!H618&gt;=-413))</f>
        <v>0</v>
      </c>
      <c r="AV618" t="b">
        <f>AND(IF(Metadata!I618="",FALSE,TRUE),EXACT(Metadata!I618,"meters"))</f>
        <v>0</v>
      </c>
      <c r="AW618" t="b">
        <f>AND(IF(Metadata!J618="",FALSE,TRUE),EXACT(Metadata!J618,"free-living"))</f>
        <v>0</v>
      </c>
      <c r="AX618" t="b">
        <f>AND(IF(Metadata!K618="",FALSE,TRUE),OR(EXACT(Metadata!K618,"saline"),EXACT(Metadata!K618,"non-saline")))</f>
        <v>0</v>
      </c>
      <c r="AY618" t="b">
        <f>AND(IF(Metadata!L618="",FALSE,TRUE),OR(EXACT(Metadata!L618,"sub-surface (non-saline)"),EXACT(Metadata!L618,"surface (non-saline)"),EXACT(Metadata!L618,"water (non-saline)"),EXACT(Metadata!L618,"soil (non-saline)"),EXACT(Metadata!L618,"aerosol (non-saline)"),EXACT(Metadata!L618,"sediment (non-saline)"),EXACT(Metadata!L618,"surface (saline)"),EXACT(Metadata!L618,"water (saline)"),EXACT(Metadata!L618,"hypersaline (saline)"),EXACT(Metadata!L618,"aerosol (saline)"),EXACT(Metadata!L618,"sediment (saline)")))</f>
        <v>0</v>
      </c>
      <c r="AZ618" t="b">
        <f>IF(Metadata!M618="",FALSE,TRUE)</f>
        <v>0</v>
      </c>
      <c r="BA618" t="b">
        <f>IF(Metadata!N618="",FALSE,TRUE)</f>
        <v>0</v>
      </c>
      <c r="BB618" t="b">
        <f>IF(Metadata!O618="",FALSE,TRUE)</f>
        <v>0</v>
      </c>
      <c r="BC618" t="b">
        <f>AND(IF(Metadata!P618="",FALSE,TRUE),OR(EXACT(Metadata!P618,"air"),EXACT(Metadata!P618,"microbial mat/biofilm"),EXACT(Metadata!P618,"misc environment"),EXACT(Metadata!P618,"sediment"),EXACT(Metadata!P618,"soil"),EXACT(Metadata!P618,"wastewater/sludge"),EXACT(Metadata!P618,"water")))</f>
        <v>0</v>
      </c>
      <c r="BD618" t="b">
        <f>IF(Metadata!Q618="",FALSE,TRUE)</f>
        <v>0</v>
      </c>
      <c r="BE618" t="b">
        <f>IF(Metadata!R618="",FALSE,TRUE)</f>
        <v>0</v>
      </c>
      <c r="BF618" t="b">
        <f>OR(AND(IF(Metadata!S618="",FALSE,TRUE),OR(EXACT(Metadata!S618,"not collected"),EXACT(Metadata!S618,"not provided"),EXACT(Metadata!S618,"restricted access"))),AND(IF(Metadata!S618="",FALSE,ISNUMBER(VALUE(Metadata!S618))),Metadata!S618&gt;=-90,Metadata!S618&lt;=90))</f>
        <v>0</v>
      </c>
      <c r="BG618" t="b">
        <f>AND(IF(Metadata!T618="",FALSE,TRUE),EXACT(Metadata!T618,"Decimal degrees"))</f>
        <v>0</v>
      </c>
      <c r="BH618" t="b">
        <f>OR(AND(IF(Metadata!U618="",FALSE,TRUE),OR(EXACT(Metadata!U618,"not applicable"),EXACT(Metadata!U618,"not collected"))),IF(Metadata!U618="",FALSE,TRUE))</f>
        <v>0</v>
      </c>
      <c r="BI618" t="b">
        <f>OR(AND(IF(Metadata!V618="",FALSE,TRUE),OR(EXACT(Metadata!V618,"not collected"),EXACT(Metadata!V618,"not provided"),EXACT(Metadata!V618,"restricted access"))),AND(IF(Metadata!V618="",FALSE,ISNUMBER(VALUE(Metadata!V618))),Metadata!V618&gt;=-180,Metadata!V618&lt;=180))</f>
        <v>0</v>
      </c>
      <c r="BJ618" t="b">
        <f>AND(IF(Metadata!W618="",FALSE,TRUE),EXACT(Metadata!W618,"Decimal degrees"))</f>
        <v>0</v>
      </c>
      <c r="BK618" t="b">
        <f>IF(Metadata!X618="",FALSE,TRUE)</f>
        <v>0</v>
      </c>
      <c r="BL618" t="b">
        <f>OR(AND(IF(Metadata!Y618="",FALSE,TRUE),OR(EXACT(Metadata!Y618,"not collected"),EXACT(Metadata!Y618,"not provided"),EXACT(Metadata!Y618,"restricted access"))),AND(IF(Metadata!Y618="",FALSE,TRUE),OR(EXACT(Metadata!Y618,"TRUE"),EXACT(Metadata!Y618,"FALSE"))))</f>
        <v>0</v>
      </c>
      <c r="BM618" t="b">
        <f>OR(AND(IF(Metadata!Z618="",FALSE,TRUE),EXACT(Metadata!Z618,"not applicable")),AND(IF(Metadata!Z618="",FALSE,TRUE),OR(EXACT(Metadata!Z618,"beer"),EXACT(Metadata!Z618,"cheese"),EXACT(Metadata!Z618,"fresh water"),EXACT(Metadata!Z618,"marine sediment"),EXACT(Metadata!Z618,"sea water"),EXACT(Metadata!Z618,"sediment"),EXACT(Metadata!Z618,"soil"),EXACT(Metadata!Z618,"waste water"))))</f>
        <v>0</v>
      </c>
      <c r="BN618" t="b">
        <f>AND(IF(Metadata!AA618="",FALSE,TRUE),EXACT(Metadata!AA618,"metagenome"))</f>
        <v>0</v>
      </c>
      <c r="BO618" t="b">
        <f>AND(IF(Metadata!AB618="",FALSE,TRUE),EXACT(Metadata!AB618,"256318"))</f>
        <v>0</v>
      </c>
      <c r="BP618" t="b">
        <f>IF(Metadata!AC618="",FALSE,TRUE)</f>
        <v>0</v>
      </c>
      <c r="BQ618" t="b">
        <f>IF(Metadata!AD618="",FALSE,TRUE)</f>
        <v>0</v>
      </c>
    </row>
    <row r="619" spans="1:69" x14ac:dyDescent="0.2">
      <c r="A619" s="4" t="e">
        <f ca="1">IF(B619=" "," ",HYPERLINK(CONCATENATE("#metadata!",ADDRESS(INDEX($AJ$2:$AJ$1001,MATCH(ROWS($AH$2:AH619),$AH$2:$AH$1001,0),0),2)),INDEX($AM$2:$AM$1001,MATCH(ROWS($AH$2:AH619),$AH$2:$AH$1001,0),0)))</f>
        <v>#N/A</v>
      </c>
      <c r="B619" s="5" t="e">
        <f ca="1">IF(OR(INDEX($AI$2:$AI$1001,MATCH(ROWS($AH$2:AH619),$AH$2:$AH$1001,0),1)&gt;=100000,INDEX($AO$1005:$BQ$1005,1,MATCH(COLUMNS($AO$1006:AO1006),$AO$1006:$BQ$1006,0))&gt;=100000), " ",IF(INDEX($AO$2:$BQ$1001,MATCH(ROWS($AH$2:AH619),$AH$2:$AH$1001,0),MATCH(COLUMNS($AO$1006:AO1006),$AO$1006:$BQ$1006,0)), HYPERLINK("#",""), HYPERLINK(CONCATENATE("#Metadata!", ADDRESS(INDEX($AJ$2:$AJ$1001,MATCH(ROWS($AH$2:AH619),$AH$2:$AH$1001,0),0), INDEX($AO$1004:$BQ$1004,1,MATCH(COLUMNS($AO$1006:AO1006),$AO$1006:$BQ$1006,0)))),"Fix")))</f>
        <v>#N/A</v>
      </c>
      <c r="C619" s="5" t="e">
        <f ca="1">IF(OR(INDEX($AI$2:$AI$1001,MATCH(ROWS($AH$2:AH619),$AH$2:$AH$1001,0),1)&gt;=100000,INDEX($AO$1005:$BQ$1005,1,MATCH(COLUMNS($AO$1006:AP1006),$AO$1006:$BQ$1006,0))&gt;=100000), " ",IF(INDEX($AO$2:$BQ$1001,MATCH(ROWS($AH$2:AH619),$AH$2:$AH$1001,0),MATCH(COLUMNS($AO$1006:AP1006),$AO$1006:$BQ$1006,0)), HYPERLINK("#",""), HYPERLINK(CONCATENATE("#Metadata!", ADDRESS(INDEX($AJ$2:$AJ$1001,MATCH(ROWS($AH$2:AH619),$AH$2:$AH$1001,0),0), INDEX($AO$1004:$BQ$1004,1,MATCH(COLUMNS($AO$1006:AP1006),$AO$1006:$BQ$1006,0)))),"Fix")))</f>
        <v>#N/A</v>
      </c>
      <c r="D619" s="5" t="e">
        <f ca="1">IF(OR(INDEX($AI$2:$AI$1001,MATCH(ROWS($AH$2:AH619),$AH$2:$AH$1001,0),1)&gt;=100000,INDEX($AO$1005:$BQ$1005,1,MATCH(COLUMNS($AO$1006:AQ1006),$AO$1006:$BQ$1006,0))&gt;=100000), " ",IF(INDEX($AO$2:$BQ$1001,MATCH(ROWS($AH$2:AH619),$AH$2:$AH$1001,0),MATCH(COLUMNS($AO$1006:AQ1006),$AO$1006:$BQ$1006,0)), HYPERLINK("#",""), HYPERLINK(CONCATENATE("#Metadata!", ADDRESS(INDEX($AJ$2:$AJ$1001,MATCH(ROWS($AH$2:AH619),$AH$2:$AH$1001,0),0), INDEX($AO$1004:$BQ$1004,1,MATCH(COLUMNS($AO$1006:AQ1006),$AO$1006:$BQ$1006,0)))),"Fix")))</f>
        <v>#N/A</v>
      </c>
      <c r="E619" s="5" t="e">
        <f ca="1">IF(OR(INDEX($AI$2:$AI$1001,MATCH(ROWS($AH$2:AH619),$AH$2:$AH$1001,0),1)&gt;=100000,INDEX($AO$1005:$BQ$1005,1,MATCH(COLUMNS($AO$1006:AR1006),$AO$1006:$BQ$1006,0))&gt;=100000), " ",IF(INDEX($AO$2:$BQ$1001,MATCH(ROWS($AH$2:AH619),$AH$2:$AH$1001,0),MATCH(COLUMNS($AO$1006:AR1006),$AO$1006:$BQ$1006,0)), HYPERLINK("#",""), HYPERLINK(CONCATENATE("#Metadata!", ADDRESS(INDEX($AJ$2:$AJ$1001,MATCH(ROWS($AH$2:AH619),$AH$2:$AH$1001,0),0), INDEX($AO$1004:$BQ$1004,1,MATCH(COLUMNS($AO$1006:AR1006),$AO$1006:$BQ$1006,0)))),"Fix")))</f>
        <v>#N/A</v>
      </c>
      <c r="F619" s="5" t="e">
        <f ca="1">IF(OR(INDEX($AI$2:$AI$1001,MATCH(ROWS($AH$2:AH619),$AH$2:$AH$1001,0),1)&gt;=100000,INDEX($AO$1005:$BQ$1005,1,MATCH(COLUMNS($AO$1006:AS1006),$AO$1006:$BQ$1006,0))&gt;=100000), " ",IF(INDEX($AO$2:$BQ$1001,MATCH(ROWS($AH$2:AH619),$AH$2:$AH$1001,0),MATCH(COLUMNS($AO$1006:AS1006),$AO$1006:$BQ$1006,0)), HYPERLINK("#",""), HYPERLINK(CONCATENATE("#Metadata!", ADDRESS(INDEX($AJ$2:$AJ$1001,MATCH(ROWS($AH$2:AH619),$AH$2:$AH$1001,0),0), INDEX($AO$1004:$BQ$1004,1,MATCH(COLUMNS($AO$1006:AS1006),$AO$1006:$BQ$1006,0)))),"Fix")))</f>
        <v>#N/A</v>
      </c>
      <c r="G619" s="5" t="e">
        <f ca="1">IF(OR(INDEX($AI$2:$AI$1001,MATCH(ROWS($AH$2:AH619),$AH$2:$AH$1001,0),1)&gt;=100000,INDEX($AO$1005:$BQ$1005,1,MATCH(COLUMNS($AO$1006:AT1006),$AO$1006:$BQ$1006,0))&gt;=100000), " ",IF(INDEX($AO$2:$BQ$1001,MATCH(ROWS($AH$2:AH619),$AH$2:$AH$1001,0),MATCH(COLUMNS($AO$1006:AT1006),$AO$1006:$BQ$1006,0)), HYPERLINK("#",""), HYPERLINK(CONCATENATE("#Metadata!", ADDRESS(INDEX($AJ$2:$AJ$1001,MATCH(ROWS($AH$2:AH619),$AH$2:$AH$1001,0),0), INDEX($AO$1004:$BQ$1004,1,MATCH(COLUMNS($AO$1006:AT1006),$AO$1006:$BQ$1006,0)))),"Fix")))</f>
        <v>#N/A</v>
      </c>
      <c r="H619" s="5" t="e">
        <f ca="1">IF(OR(INDEX($AI$2:$AI$1001,MATCH(ROWS($AH$2:AH619),$AH$2:$AH$1001,0),1)&gt;=100000,INDEX($AO$1005:$BQ$1005,1,MATCH(COLUMNS($AO$1006:AU1006),$AO$1006:$BQ$1006,0))&gt;=100000), " ",IF(INDEX($AO$2:$BQ$1001,MATCH(ROWS($AH$2:AH619),$AH$2:$AH$1001,0),MATCH(COLUMNS($AO$1006:AU1006),$AO$1006:$BQ$1006,0)), HYPERLINK("#",""), HYPERLINK(CONCATENATE("#Metadata!", ADDRESS(INDEX($AJ$2:$AJ$1001,MATCH(ROWS($AH$2:AH619),$AH$2:$AH$1001,0),0), INDEX($AO$1004:$BQ$1004,1,MATCH(COLUMNS($AO$1006:AU1006),$AO$1006:$BQ$1006,0)))),"Fix")))</f>
        <v>#N/A</v>
      </c>
      <c r="I619" s="5" t="e">
        <f ca="1">IF(OR(INDEX($AI$2:$AI$1001,MATCH(ROWS($AH$2:AH619),$AH$2:$AH$1001,0),1)&gt;=100000,INDEX($AO$1005:$BQ$1005,1,MATCH(COLUMNS($AO$1006:AV1006),$AO$1006:$BQ$1006,0))&gt;=100000), " ",IF(INDEX($AO$2:$BQ$1001,MATCH(ROWS($AH$2:AH619),$AH$2:$AH$1001,0),MATCH(COLUMNS($AO$1006:AV1006),$AO$1006:$BQ$1006,0)), HYPERLINK("#",""), HYPERLINK(CONCATENATE("#Metadata!", ADDRESS(INDEX($AJ$2:$AJ$1001,MATCH(ROWS($AH$2:AH619),$AH$2:$AH$1001,0),0), INDEX($AO$1004:$BQ$1004,1,MATCH(COLUMNS($AO$1006:AV1006),$AO$1006:$BQ$1006,0)))),"Fix")))</f>
        <v>#N/A</v>
      </c>
      <c r="J619" s="5" t="e">
        <f ca="1">IF(OR(INDEX($AI$2:$AI$1001,MATCH(ROWS($AH$2:AH619),$AH$2:$AH$1001,0),1)&gt;=100000,INDEX($AO$1005:$BQ$1005,1,MATCH(COLUMNS($AO$1006:AW1006),$AO$1006:$BQ$1006,0))&gt;=100000), " ",IF(INDEX($AO$2:$BQ$1001,MATCH(ROWS($AH$2:AH619),$AH$2:$AH$1001,0),MATCH(COLUMNS($AO$1006:AW1006),$AO$1006:$BQ$1006,0)), HYPERLINK("#",""), HYPERLINK(CONCATENATE("#Metadata!", ADDRESS(INDEX($AJ$2:$AJ$1001,MATCH(ROWS($AH$2:AH619),$AH$2:$AH$1001,0),0), INDEX($AO$1004:$BQ$1004,1,MATCH(COLUMNS($AO$1006:AW1006),$AO$1006:$BQ$1006,0)))),"Fix")))</f>
        <v>#N/A</v>
      </c>
      <c r="K619" s="5" t="e">
        <f ca="1">IF(OR(INDEX($AI$2:$AI$1001,MATCH(ROWS($AH$2:AH619),$AH$2:$AH$1001,0),1)&gt;=100000,INDEX($AO$1005:$BQ$1005,1,MATCH(COLUMNS($AO$1006:AX1006),$AO$1006:$BQ$1006,0))&gt;=100000), " ",IF(INDEX($AO$2:$BQ$1001,MATCH(ROWS($AH$2:AH619),$AH$2:$AH$1001,0),MATCH(COLUMNS($AO$1006:AX1006),$AO$1006:$BQ$1006,0)), HYPERLINK("#",""), HYPERLINK(CONCATENATE("#Metadata!", ADDRESS(INDEX($AJ$2:$AJ$1001,MATCH(ROWS($AH$2:AH619),$AH$2:$AH$1001,0),0), INDEX($AO$1004:$BQ$1004,1,MATCH(COLUMNS($AO$1006:AX1006),$AO$1006:$BQ$1006,0)))),"Fix")))</f>
        <v>#N/A</v>
      </c>
      <c r="L619" s="5" t="e">
        <f ca="1">IF(OR(INDEX($AI$2:$AI$1001,MATCH(ROWS($AH$2:AH619),$AH$2:$AH$1001,0),1)&gt;=100000,INDEX($AO$1005:$BQ$1005,1,MATCH(COLUMNS($AO$1006:AY1006),$AO$1006:$BQ$1006,0))&gt;=100000), " ",IF(INDEX($AO$2:$BQ$1001,MATCH(ROWS($AH$2:AH619),$AH$2:$AH$1001,0),MATCH(COLUMNS($AO$1006:AY1006),$AO$1006:$BQ$1006,0)), HYPERLINK("#",""), HYPERLINK(CONCATENATE("#Metadata!", ADDRESS(INDEX($AJ$2:$AJ$1001,MATCH(ROWS($AH$2:AH619),$AH$2:$AH$1001,0),0), INDEX($AO$1004:$BQ$1004,1,MATCH(COLUMNS($AO$1006:AY1006),$AO$1006:$BQ$1006,0)))),"Fix")))</f>
        <v>#N/A</v>
      </c>
      <c r="M619" s="5" t="e">
        <f ca="1">IF(OR(INDEX($AI$2:$AI$1001,MATCH(ROWS($AH$2:AH619),$AH$2:$AH$1001,0),1)&gt;=100000,INDEX($AO$1005:$BQ$1005,1,MATCH(COLUMNS($AO$1006:AZ1006),$AO$1006:$BQ$1006,0))&gt;=100000), " ",IF(INDEX($AO$2:$BQ$1001,MATCH(ROWS($AH$2:AH619),$AH$2:$AH$1001,0),MATCH(COLUMNS($AO$1006:AZ1006),$AO$1006:$BQ$1006,0)), HYPERLINK("#",""), HYPERLINK(CONCATENATE("#Metadata!", ADDRESS(INDEX($AJ$2:$AJ$1001,MATCH(ROWS($AH$2:AH619),$AH$2:$AH$1001,0),0), INDEX($AO$1004:$BQ$1004,1,MATCH(COLUMNS($AO$1006:AZ1006),$AO$1006:$BQ$1006,0)))),"Fix")))</f>
        <v>#N/A</v>
      </c>
      <c r="N619" s="5" t="e">
        <f ca="1">IF(OR(INDEX($AI$2:$AI$1001,MATCH(ROWS($AH$2:AH619),$AH$2:$AH$1001,0),1)&gt;=100000,INDEX($AO$1005:$BQ$1005,1,MATCH(COLUMNS($AO$1006:BA1006),$AO$1006:$BQ$1006,0))&gt;=100000), " ",IF(INDEX($AO$2:$BQ$1001,MATCH(ROWS($AH$2:AH619),$AH$2:$AH$1001,0),MATCH(COLUMNS($AO$1006:BA1006),$AO$1006:$BQ$1006,0)), HYPERLINK("#",""), HYPERLINK(CONCATENATE("#Metadata!", ADDRESS(INDEX($AJ$2:$AJ$1001,MATCH(ROWS($AH$2:AH619),$AH$2:$AH$1001,0),0), INDEX($AO$1004:$BQ$1004,1,MATCH(COLUMNS($AO$1006:BA1006),$AO$1006:$BQ$1006,0)))),"Fix")))</f>
        <v>#N/A</v>
      </c>
      <c r="O619" s="5" t="e">
        <f ca="1">IF(OR(INDEX($AI$2:$AI$1001,MATCH(ROWS($AH$2:AH619),$AH$2:$AH$1001,0),1)&gt;=100000,INDEX($AO$1005:$BQ$1005,1,MATCH(COLUMNS($AO$1006:BB1006),$AO$1006:$BQ$1006,0))&gt;=100000), " ",IF(INDEX($AO$2:$BQ$1001,MATCH(ROWS($AH$2:AH619),$AH$2:$AH$1001,0),MATCH(COLUMNS($AO$1006:BB1006),$AO$1006:$BQ$1006,0)), HYPERLINK("#",""), HYPERLINK(CONCATENATE("#Metadata!", ADDRESS(INDEX($AJ$2:$AJ$1001,MATCH(ROWS($AH$2:AH619),$AH$2:$AH$1001,0),0), INDEX($AO$1004:$BQ$1004,1,MATCH(COLUMNS($AO$1006:BB1006),$AO$1006:$BQ$1006,0)))),"Fix")))</f>
        <v>#N/A</v>
      </c>
      <c r="P619" s="5" t="e">
        <f ca="1">IF(OR(INDEX($AI$2:$AI$1001,MATCH(ROWS($AH$2:AH619),$AH$2:$AH$1001,0),1)&gt;=100000,INDEX($AO$1005:$BQ$1005,1,MATCH(COLUMNS($AO$1006:BC1006),$AO$1006:$BQ$1006,0))&gt;=100000), " ",IF(INDEX($AO$2:$BQ$1001,MATCH(ROWS($AH$2:AH619),$AH$2:$AH$1001,0),MATCH(COLUMNS($AO$1006:BC1006),$AO$1006:$BQ$1006,0)), HYPERLINK("#",""), HYPERLINK(CONCATENATE("#Metadata!", ADDRESS(INDEX($AJ$2:$AJ$1001,MATCH(ROWS($AH$2:AH619),$AH$2:$AH$1001,0),0), INDEX($AO$1004:$BQ$1004,1,MATCH(COLUMNS($AO$1006:BC1006),$AO$1006:$BQ$1006,0)))),"Fix")))</f>
        <v>#N/A</v>
      </c>
      <c r="Q619" s="5" t="e">
        <f ca="1">IF(OR(INDEX($AI$2:$AI$1001,MATCH(ROWS($AH$2:AH619),$AH$2:$AH$1001,0),1)&gt;=100000,INDEX($AO$1005:$BQ$1005,1,MATCH(COLUMNS($AO$1006:BD1006),$AO$1006:$BQ$1006,0))&gt;=100000), " ",IF(INDEX($AO$2:$BQ$1001,MATCH(ROWS($AH$2:AH619),$AH$2:$AH$1001,0),MATCH(COLUMNS($AO$1006:BD1006),$AO$1006:$BQ$1006,0)), HYPERLINK("#",""), HYPERLINK(CONCATENATE("#Metadata!", ADDRESS(INDEX($AJ$2:$AJ$1001,MATCH(ROWS($AH$2:AH619),$AH$2:$AH$1001,0),0), INDEX($AO$1004:$BQ$1004,1,MATCH(COLUMNS($AO$1006:BD1006),$AO$1006:$BQ$1006,0)))),"Fix")))</f>
        <v>#N/A</v>
      </c>
      <c r="R619" s="5" t="e">
        <f ca="1">IF(OR(INDEX($AI$2:$AI$1001,MATCH(ROWS($AH$2:AH619),$AH$2:$AH$1001,0),1)&gt;=100000,INDEX($AO$1005:$BQ$1005,1,MATCH(COLUMNS($AO$1006:BE1006),$AO$1006:$BQ$1006,0))&gt;=100000), " ",IF(INDEX($AO$2:$BQ$1001,MATCH(ROWS($AH$2:AH619),$AH$2:$AH$1001,0),MATCH(COLUMNS($AO$1006:BE1006),$AO$1006:$BQ$1006,0)), HYPERLINK("#",""), HYPERLINK(CONCATENATE("#Metadata!", ADDRESS(INDEX($AJ$2:$AJ$1001,MATCH(ROWS($AH$2:AH619),$AH$2:$AH$1001,0),0), INDEX($AO$1004:$BQ$1004,1,MATCH(COLUMNS($AO$1006:BE1006),$AO$1006:$BQ$1006,0)))),"Fix")))</f>
        <v>#N/A</v>
      </c>
      <c r="S619" s="5" t="e">
        <f ca="1">IF(OR(INDEX($AI$2:$AI$1001,MATCH(ROWS($AH$2:AH619),$AH$2:$AH$1001,0),1)&gt;=100000,INDEX($AO$1005:$BQ$1005,1,MATCH(COLUMNS($AO$1006:BF1006),$AO$1006:$BQ$1006,0))&gt;=100000), " ",IF(INDEX($AO$2:$BQ$1001,MATCH(ROWS($AH$2:AH619),$AH$2:$AH$1001,0),MATCH(COLUMNS($AO$1006:BF1006),$AO$1006:$BQ$1006,0)), HYPERLINK("#",""), HYPERLINK(CONCATENATE("#Metadata!", ADDRESS(INDEX($AJ$2:$AJ$1001,MATCH(ROWS($AH$2:AH619),$AH$2:$AH$1001,0),0), INDEX($AO$1004:$BQ$1004,1,MATCH(COLUMNS($AO$1006:BF1006),$AO$1006:$BQ$1006,0)))),"Fix")))</f>
        <v>#N/A</v>
      </c>
      <c r="T619" s="5" t="e">
        <f ca="1">IF(OR(INDEX($AI$2:$AI$1001,MATCH(ROWS($AH$2:AH619),$AH$2:$AH$1001,0),1)&gt;=100000,INDEX($AO$1005:$BQ$1005,1,MATCH(COLUMNS($AO$1006:BG1006),$AO$1006:$BQ$1006,0))&gt;=100000), " ",IF(INDEX($AO$2:$BQ$1001,MATCH(ROWS($AH$2:AH619),$AH$2:$AH$1001,0),MATCH(COLUMNS($AO$1006:BG1006),$AO$1006:$BQ$1006,0)), HYPERLINK("#",""), HYPERLINK(CONCATENATE("#Metadata!", ADDRESS(INDEX($AJ$2:$AJ$1001,MATCH(ROWS($AH$2:AH619),$AH$2:$AH$1001,0),0), INDEX($AO$1004:$BQ$1004,1,MATCH(COLUMNS($AO$1006:BG1006),$AO$1006:$BQ$1006,0)))),"Fix")))</f>
        <v>#N/A</v>
      </c>
      <c r="U619" s="5" t="e">
        <f ca="1">IF(OR(INDEX($AI$2:$AI$1001,MATCH(ROWS($AH$2:AH619),$AH$2:$AH$1001,0),1)&gt;=100000,INDEX($AO$1005:$BQ$1005,1,MATCH(COLUMNS($AO$1006:BH1006),$AO$1006:$BQ$1006,0))&gt;=100000), " ",IF(INDEX($AO$2:$BQ$1001,MATCH(ROWS($AH$2:AH619),$AH$2:$AH$1001,0),MATCH(COLUMNS($AO$1006:BH1006),$AO$1006:$BQ$1006,0)), HYPERLINK("#",""), HYPERLINK(CONCATENATE("#Metadata!", ADDRESS(INDEX($AJ$2:$AJ$1001,MATCH(ROWS($AH$2:AH619),$AH$2:$AH$1001,0),0), INDEX($AO$1004:$BQ$1004,1,MATCH(COLUMNS($AO$1006:BH1006),$AO$1006:$BQ$1006,0)))),"Fix")))</f>
        <v>#N/A</v>
      </c>
      <c r="V619" s="5" t="e">
        <f ca="1">IF(OR(INDEX($AI$2:$AI$1001,MATCH(ROWS($AH$2:AH619),$AH$2:$AH$1001,0),1)&gt;=100000,INDEX($AO$1005:$BQ$1005,1,MATCH(COLUMNS($AO$1006:BI1006),$AO$1006:$BQ$1006,0))&gt;=100000), " ",IF(INDEX($AO$2:$BQ$1001,MATCH(ROWS($AH$2:AH619),$AH$2:$AH$1001,0),MATCH(COLUMNS($AO$1006:BI1006),$AO$1006:$BQ$1006,0)), HYPERLINK("#",""), HYPERLINK(CONCATENATE("#Metadata!", ADDRESS(INDEX($AJ$2:$AJ$1001,MATCH(ROWS($AH$2:AH619),$AH$2:$AH$1001,0),0), INDEX($AO$1004:$BQ$1004,1,MATCH(COLUMNS($AO$1006:BI1006),$AO$1006:$BQ$1006,0)))),"Fix")))</f>
        <v>#N/A</v>
      </c>
      <c r="W619" s="5" t="e">
        <f ca="1">IF(OR(INDEX($AI$2:$AI$1001,MATCH(ROWS($AH$2:AH619),$AH$2:$AH$1001,0),1)&gt;=100000,INDEX($AO$1005:$BQ$1005,1,MATCH(COLUMNS($AO$1006:BJ1006),$AO$1006:$BQ$1006,0))&gt;=100000), " ",IF(INDEX($AO$2:$BQ$1001,MATCH(ROWS($AH$2:AH619),$AH$2:$AH$1001,0),MATCH(COLUMNS($AO$1006:BJ1006),$AO$1006:$BQ$1006,0)), HYPERLINK("#",""), HYPERLINK(CONCATENATE("#Metadata!", ADDRESS(INDEX($AJ$2:$AJ$1001,MATCH(ROWS($AH$2:AH619),$AH$2:$AH$1001,0),0), INDEX($AO$1004:$BQ$1004,1,MATCH(COLUMNS($AO$1006:BJ1006),$AO$1006:$BQ$1006,0)))),"Fix")))</f>
        <v>#N/A</v>
      </c>
      <c r="X619" s="5" t="e">
        <f ca="1">IF(OR(INDEX($AI$2:$AI$1001,MATCH(ROWS($AH$2:AH619),$AH$2:$AH$1001,0),1)&gt;=100000,INDEX($AO$1005:$BQ$1005,1,MATCH(COLUMNS($AO$1006:BK1006),$AO$1006:$BQ$1006,0))&gt;=100000), " ",IF(INDEX($AO$2:$BQ$1001,MATCH(ROWS($AH$2:AH619),$AH$2:$AH$1001,0),MATCH(COLUMNS($AO$1006:BK1006),$AO$1006:$BQ$1006,0)), HYPERLINK("#",""), HYPERLINK(CONCATENATE("#Metadata!", ADDRESS(INDEX($AJ$2:$AJ$1001,MATCH(ROWS($AH$2:AH619),$AH$2:$AH$1001,0),0), INDEX($AO$1004:$BQ$1004,1,MATCH(COLUMNS($AO$1006:BK1006),$AO$1006:$BQ$1006,0)))),"Fix")))</f>
        <v>#N/A</v>
      </c>
      <c r="Y619" s="5" t="e">
        <f ca="1">IF(OR(INDEX($AI$2:$AI$1001,MATCH(ROWS($AH$2:AH619),$AH$2:$AH$1001,0),1)&gt;=100000,INDEX($AO$1005:$BQ$1005,1,MATCH(COLUMNS($AO$1006:BL1006),$AO$1006:$BQ$1006,0))&gt;=100000), " ",IF(INDEX($AO$2:$BQ$1001,MATCH(ROWS($AH$2:AH619),$AH$2:$AH$1001,0),MATCH(COLUMNS($AO$1006:BL1006),$AO$1006:$BQ$1006,0)), HYPERLINK("#",""), HYPERLINK(CONCATENATE("#Metadata!", ADDRESS(INDEX($AJ$2:$AJ$1001,MATCH(ROWS($AH$2:AH619),$AH$2:$AH$1001,0),0), INDEX($AO$1004:$BQ$1004,1,MATCH(COLUMNS($AO$1006:BL1006),$AO$1006:$BQ$1006,0)))),"Fix")))</f>
        <v>#N/A</v>
      </c>
      <c r="Z619" s="5" t="e">
        <f ca="1">IF(OR(INDEX($AI$2:$AI$1001,MATCH(ROWS($AH$2:AH619),$AH$2:$AH$1001,0),1)&gt;=100000,INDEX($AO$1005:$BQ$1005,1,MATCH(COLUMNS($AO$1006:BM1006),$AO$1006:$BQ$1006,0))&gt;=100000), " ",IF(INDEX($AO$2:$BQ$1001,MATCH(ROWS($AH$2:AH619),$AH$2:$AH$1001,0),MATCH(COLUMNS($AO$1006:BM1006),$AO$1006:$BQ$1006,0)), HYPERLINK("#",""), HYPERLINK(CONCATENATE("#Metadata!", ADDRESS(INDEX($AJ$2:$AJ$1001,MATCH(ROWS($AH$2:AH619),$AH$2:$AH$1001,0),0), INDEX($AO$1004:$BQ$1004,1,MATCH(COLUMNS($AO$1006:BM1006),$AO$1006:$BQ$1006,0)))),"Fix")))</f>
        <v>#N/A</v>
      </c>
      <c r="AA619" s="5" t="e">
        <f ca="1">IF(OR(INDEX($AI$2:$AI$1001,MATCH(ROWS($AH$2:AH619),$AH$2:$AH$1001,0),1)&gt;=100000,INDEX($AO$1005:$BQ$1005,1,MATCH(COLUMNS($AO$1006:BN1006),$AO$1006:$BQ$1006,0))&gt;=100000), " ",IF(INDEX($AO$2:$BQ$1001,MATCH(ROWS($AH$2:AH619),$AH$2:$AH$1001,0),MATCH(COLUMNS($AO$1006:BN1006),$AO$1006:$BQ$1006,0)), HYPERLINK("#",""), HYPERLINK(CONCATENATE("#Metadata!", ADDRESS(INDEX($AJ$2:$AJ$1001,MATCH(ROWS($AH$2:AH619),$AH$2:$AH$1001,0),0), INDEX($AO$1004:$BQ$1004,1,MATCH(COLUMNS($AO$1006:BN1006),$AO$1006:$BQ$1006,0)))),"Fix")))</f>
        <v>#N/A</v>
      </c>
      <c r="AB619" s="5" t="e">
        <f ca="1">IF(OR(INDEX($AI$2:$AI$1001,MATCH(ROWS($AH$2:AH619),$AH$2:$AH$1001,0),1)&gt;=100000,INDEX($AO$1005:$BQ$1005,1,MATCH(COLUMNS($AO$1006:BO1006),$AO$1006:$BQ$1006,0))&gt;=100000), " ",IF(INDEX($AO$2:$BQ$1001,MATCH(ROWS($AH$2:AH619),$AH$2:$AH$1001,0),MATCH(COLUMNS($AO$1006:BO1006),$AO$1006:$BQ$1006,0)), HYPERLINK("#",""), HYPERLINK(CONCATENATE("#Metadata!", ADDRESS(INDEX($AJ$2:$AJ$1001,MATCH(ROWS($AH$2:AH619),$AH$2:$AH$1001,0),0), INDEX($AO$1004:$BQ$1004,1,MATCH(COLUMNS($AO$1006:BO1006),$AO$1006:$BQ$1006,0)))),"Fix")))</f>
        <v>#N/A</v>
      </c>
      <c r="AC619" s="5" t="e">
        <f ca="1">IF(OR(INDEX($AI$2:$AI$1001,MATCH(ROWS($AH$2:AH619),$AH$2:$AH$1001,0),1)&gt;=100000,INDEX($AO$1005:$BQ$1005,1,MATCH(COLUMNS($AO$1006:BP1006),$AO$1006:$BQ$1006,0))&gt;=100000), " ",IF(INDEX($AO$2:$BQ$1001,MATCH(ROWS($AH$2:AH619),$AH$2:$AH$1001,0),MATCH(COLUMNS($AO$1006:BP1006),$AO$1006:$BQ$1006,0)), HYPERLINK("#",""), HYPERLINK(CONCATENATE("#Metadata!", ADDRESS(INDEX($AJ$2:$AJ$1001,MATCH(ROWS($AH$2:AH619),$AH$2:$AH$1001,0),0), INDEX($AO$1004:$BQ$1004,1,MATCH(COLUMNS($AO$1006:BP1006),$AO$1006:$BQ$1006,0)))),"Fix")))</f>
        <v>#N/A</v>
      </c>
      <c r="AD619" s="5" t="e">
        <f ca="1">IF(OR(INDEX($AI$2:$AI$1001,MATCH(ROWS($AH$2:AH619),$AH$2:$AH$1001,0),1)&gt;=100000,INDEX($AO$1005:$BQ$1005,1,MATCH(COLUMNS($AO$1006:BQ1006),$AO$1006:$BQ$1006,0))&gt;=100000), " ",IF(INDEX($AO$2:$BQ$1001,MATCH(ROWS($AH$2:AH619),$AH$2:$AH$1001,0),MATCH(COLUMNS($AO$1006:BQ1006),$AO$1006:$BQ$1006,0)), HYPERLINK("#",""), HYPERLINK(CONCATENATE("#Metadata!", ADDRESS(INDEX($AJ$2:$AJ$1001,MATCH(ROWS($AH$2:AH619),$AH$2:$AH$1001,0),0), INDEX($AO$1004:$BQ$1004,1,MATCH(COLUMNS($AO$1006:BQ1006),$AO$1006:$BQ$1006,0)))),"Fix")))</f>
        <v>#REF!</v>
      </c>
      <c r="AH619">
        <f ca="1"/>
        <v>616</v>
      </c>
      <c r="AI619">
        <v>100619</v>
      </c>
      <c r="AJ619">
        <v>619</v>
      </c>
      <c r="AK619" t="b">
        <f t="shared" si="9"/>
        <v>1</v>
      </c>
      <c r="AL619" t="b">
        <f>COUNTBLANK(Metadata!B619:AD619)=COLUMNS(Metadata!B619:AD619)</f>
        <v>1</v>
      </c>
      <c r="AM619" t="str">
        <v/>
      </c>
      <c r="AO619" t="b">
        <f ca="1">AND(IF(Metadata!B619="",FALSE,TRUE),COUNTIF(Metadata!B:B, Metadata!B619) = 1,NOT(ISERROR(SUMPRODUCT(SEARCH(MID(Metadata!B619,ROW(INDIRECT("1:"&amp;LEN(Metadata!B619))), 1),"0123456789abcdefghijklmnopqrstuvwxyzABCDEFGHIJKLMNOPQRSTUVWXYZ.")))))</f>
        <v>0</v>
      </c>
      <c r="AP619" t="b">
        <f>IF(Metadata!C619="",FALSE,TRUE)</f>
        <v>0</v>
      </c>
      <c r="AQ619" t="b">
        <f>IF(Metadata!D619="",FALSE,TRUE)</f>
        <v>0</v>
      </c>
      <c r="AR619" t="b">
        <f ca="1">OR(AND(IF(Metadata!E619="",FALSE,TRUE),OR(EXACT(Metadata!E619,"not collected"),EXACT(Metadata!E619,"not provided"),EXACT(Metadata!E619,"restricted access"))),AND(IF(Metadata!E619="",FALSE,TRUE),AND(AND(IFERROR(INT(LEFT(Metadata!E619,4))&gt;1900,FALSE),IFERROR(INT(LEFT(Metadata!E619,4))&lt;=YEAR(NOW()),FALSE)), OR(MID(Metadata!E619,5,1)="", AND(AND(MID(Metadata!E619,5,1)="-",IFERROR(INT(MID(Metadata!E619,6,1))&gt;=0,FALSE),IFERROR(INT(MID(Metadata!E619,6,1))&lt;=1,FALSE),NOT(MID(Metadata!E619,7,1)=""),IFERROR(INT(MID(Metadata!E619,6,2))&gt;=1,FALSE),IFERROR(INT(MID(Metadata!E619,6,2))&lt;=12,FALSE)), OR(MID(Metadata!E619,8,1)="", AND(AND(MID(Metadata!E619,8,1)="-",IFERROR(INT(MID(Metadata!E619,9,1))&gt;=0,FALSE),IFERROR(INT(MID(Metadata!E619,9,1))&lt;=3,FALSE),NOT(MID(Metadata!E619,10,1)=""),IFERROR(INT(MID(Metadata!E619,9,2))&gt;=1,FALSE),IFERROR(INT(MID(Metadata!E619,9,2))&lt;=31,FALSE)), OR(MID(Metadata!E619,11,1)="", AND(AND(MID(Metadata!E619,11,1)=" ",IFERROR(INT(MID(Metadata!E619,12,1))&gt;=0,FALSE),IFERROR(INT(MID(Metadata!E619,12,1))&lt;=2,FALSE),NOT(MID(Metadata!E619,13,1)=""),IFERROR(INT(MID(Metadata!E619,12,2))&gt;=0,FALSE),IFERROR(INT(MID(Metadata!E619,12,2))&lt;=23,FALSE)), OR(MID(Metadata!E619,14,1)="", AND(AND(MID(Metadata!E619,14,1)=":",IFERROR(INT(MID(Metadata!E619,15,1))&gt;=0,FALSE),IFERROR(INT(MID(Metadata!E619,15,1))&lt;=5,FALSE),NOT(MID(Metadata!E619,16,1)=""),IFERROR(INT(MID(Metadata!E619,15,2))&gt;=0,FALSE),IFERROR(INT(MID(Metadata!E619,15,2))&lt;=59,FALSE)), OR(MID(Metadata!E619,17,1)="", AND(AND(MID(Metadata!E619,17,1)=":",IFERROR(INT(MID(Metadata!E619,18,1))&gt;=0,FALSE),IFERROR(INT(MID(Metadata!E619,18,1))&lt;=5,FALSE),NOT(MID(Metadata!E619,19,1)=""),IFERROR(INT(MID(Metadata!E619,18,2))&gt;=0,FALSE),IFERROR(INT(MID(Metadata!E619,18,2))&lt;=59,FALSE)), LEN(Metadata!E619)&lt;=19)))))))))))))</f>
        <v>0</v>
      </c>
      <c r="AS619" t="b">
        <f>IF(Metadata!F619="",FALSE,TRUE)</f>
        <v>0</v>
      </c>
      <c r="AT619" t="b">
        <f>OR(AND(IF(Metadata!G619="",FALSE,TRUE),OR(EXACT(Metadata!G619,"not collected"),EXACT(Metadata!G619,"not provided"))),AND(IF(Metadata!G619="",FALSE,TRUE),OR(EXACT(Metadata!G619,"TRUE"),EXACT(Metadata!G619,"FALSE"))))</f>
        <v>0</v>
      </c>
      <c r="AU619" t="b">
        <f>OR(AND(IF(Metadata!H619="",FALSE,TRUE),OR(EXACT(Metadata!H619,"not collected"),EXACT(Metadata!H619,"not provided"),EXACT(Metadata!H619,"restricted access"))),AND(IF(Metadata!H619="",FALSE,ISNUMBER(VALUE(Metadata!H619))),Metadata!H619&gt;=-413))</f>
        <v>0</v>
      </c>
      <c r="AV619" t="b">
        <f>AND(IF(Metadata!I619="",FALSE,TRUE),EXACT(Metadata!I619,"meters"))</f>
        <v>0</v>
      </c>
      <c r="AW619" t="b">
        <f>AND(IF(Metadata!J619="",FALSE,TRUE),EXACT(Metadata!J619,"free-living"))</f>
        <v>0</v>
      </c>
      <c r="AX619" t="b">
        <f>AND(IF(Metadata!K619="",FALSE,TRUE),OR(EXACT(Metadata!K619,"saline"),EXACT(Metadata!K619,"non-saline")))</f>
        <v>0</v>
      </c>
      <c r="AY619" t="b">
        <f>AND(IF(Metadata!L619="",FALSE,TRUE),OR(EXACT(Metadata!L619,"sub-surface (non-saline)"),EXACT(Metadata!L619,"surface (non-saline)"),EXACT(Metadata!L619,"water (non-saline)"),EXACT(Metadata!L619,"soil (non-saline)"),EXACT(Metadata!L619,"aerosol (non-saline)"),EXACT(Metadata!L619,"sediment (non-saline)"),EXACT(Metadata!L619,"surface (saline)"),EXACT(Metadata!L619,"water (saline)"),EXACT(Metadata!L619,"hypersaline (saline)"),EXACT(Metadata!L619,"aerosol (saline)"),EXACT(Metadata!L619,"sediment (saline)")))</f>
        <v>0</v>
      </c>
      <c r="AZ619" t="b">
        <f>IF(Metadata!M619="",FALSE,TRUE)</f>
        <v>0</v>
      </c>
      <c r="BA619" t="b">
        <f>IF(Metadata!N619="",FALSE,TRUE)</f>
        <v>0</v>
      </c>
      <c r="BB619" t="b">
        <f>IF(Metadata!O619="",FALSE,TRUE)</f>
        <v>0</v>
      </c>
      <c r="BC619" t="b">
        <f>AND(IF(Metadata!P619="",FALSE,TRUE),OR(EXACT(Metadata!P619,"air"),EXACT(Metadata!P619,"microbial mat/biofilm"),EXACT(Metadata!P619,"misc environment"),EXACT(Metadata!P619,"sediment"),EXACT(Metadata!P619,"soil"),EXACT(Metadata!P619,"wastewater/sludge"),EXACT(Metadata!P619,"water")))</f>
        <v>0</v>
      </c>
      <c r="BD619" t="b">
        <f>IF(Metadata!Q619="",FALSE,TRUE)</f>
        <v>0</v>
      </c>
      <c r="BE619" t="b">
        <f>IF(Metadata!R619="",FALSE,TRUE)</f>
        <v>0</v>
      </c>
      <c r="BF619" t="b">
        <f>OR(AND(IF(Metadata!S619="",FALSE,TRUE),OR(EXACT(Metadata!S619,"not collected"),EXACT(Metadata!S619,"not provided"),EXACT(Metadata!S619,"restricted access"))),AND(IF(Metadata!S619="",FALSE,ISNUMBER(VALUE(Metadata!S619))),Metadata!S619&gt;=-90,Metadata!S619&lt;=90))</f>
        <v>0</v>
      </c>
      <c r="BG619" t="b">
        <f>AND(IF(Metadata!T619="",FALSE,TRUE),EXACT(Metadata!T619,"Decimal degrees"))</f>
        <v>0</v>
      </c>
      <c r="BH619" t="b">
        <f>OR(AND(IF(Metadata!U619="",FALSE,TRUE),OR(EXACT(Metadata!U619,"not applicable"),EXACT(Metadata!U619,"not collected"))),IF(Metadata!U619="",FALSE,TRUE))</f>
        <v>0</v>
      </c>
      <c r="BI619" t="b">
        <f>OR(AND(IF(Metadata!V619="",FALSE,TRUE),OR(EXACT(Metadata!V619,"not collected"),EXACT(Metadata!V619,"not provided"),EXACT(Metadata!V619,"restricted access"))),AND(IF(Metadata!V619="",FALSE,ISNUMBER(VALUE(Metadata!V619))),Metadata!V619&gt;=-180,Metadata!V619&lt;=180))</f>
        <v>0</v>
      </c>
      <c r="BJ619" t="b">
        <f>AND(IF(Metadata!W619="",FALSE,TRUE),EXACT(Metadata!W619,"Decimal degrees"))</f>
        <v>0</v>
      </c>
      <c r="BK619" t="b">
        <f>IF(Metadata!X619="",FALSE,TRUE)</f>
        <v>0</v>
      </c>
      <c r="BL619" t="b">
        <f>OR(AND(IF(Metadata!Y619="",FALSE,TRUE),OR(EXACT(Metadata!Y619,"not collected"),EXACT(Metadata!Y619,"not provided"),EXACT(Metadata!Y619,"restricted access"))),AND(IF(Metadata!Y619="",FALSE,TRUE),OR(EXACT(Metadata!Y619,"TRUE"),EXACT(Metadata!Y619,"FALSE"))))</f>
        <v>0</v>
      </c>
      <c r="BM619" t="b">
        <f>OR(AND(IF(Metadata!Z619="",FALSE,TRUE),EXACT(Metadata!Z619,"not applicable")),AND(IF(Metadata!Z619="",FALSE,TRUE),OR(EXACT(Metadata!Z619,"beer"),EXACT(Metadata!Z619,"cheese"),EXACT(Metadata!Z619,"fresh water"),EXACT(Metadata!Z619,"marine sediment"),EXACT(Metadata!Z619,"sea water"),EXACT(Metadata!Z619,"sediment"),EXACT(Metadata!Z619,"soil"),EXACT(Metadata!Z619,"waste water"))))</f>
        <v>0</v>
      </c>
      <c r="BN619" t="b">
        <f>AND(IF(Metadata!AA619="",FALSE,TRUE),EXACT(Metadata!AA619,"metagenome"))</f>
        <v>0</v>
      </c>
      <c r="BO619" t="b">
        <f>AND(IF(Metadata!AB619="",FALSE,TRUE),EXACT(Metadata!AB619,"256318"))</f>
        <v>0</v>
      </c>
      <c r="BP619" t="b">
        <f>IF(Metadata!AC619="",FALSE,TRUE)</f>
        <v>0</v>
      </c>
      <c r="BQ619" t="b">
        <f>IF(Metadata!AD619="",FALSE,TRUE)</f>
        <v>0</v>
      </c>
    </row>
    <row r="620" spans="1:69" x14ac:dyDescent="0.2">
      <c r="A620" s="4" t="e">
        <f ca="1">IF(B620=" "," ",HYPERLINK(CONCATENATE("#metadata!",ADDRESS(INDEX($AJ$2:$AJ$1001,MATCH(ROWS($AH$2:AH620),$AH$2:$AH$1001,0),0),2)),INDEX($AM$2:$AM$1001,MATCH(ROWS($AH$2:AH620),$AH$2:$AH$1001,0),0)))</f>
        <v>#N/A</v>
      </c>
      <c r="B620" s="5" t="e">
        <f ca="1">IF(OR(INDEX($AI$2:$AI$1001,MATCH(ROWS($AH$2:AH620),$AH$2:$AH$1001,0),1)&gt;=100000,INDEX($AO$1005:$BQ$1005,1,MATCH(COLUMNS($AO$1006:AO1006),$AO$1006:$BQ$1006,0))&gt;=100000), " ",IF(INDEX($AO$2:$BQ$1001,MATCH(ROWS($AH$2:AH620),$AH$2:$AH$1001,0),MATCH(COLUMNS($AO$1006:AO1006),$AO$1006:$BQ$1006,0)), HYPERLINK("#",""), HYPERLINK(CONCATENATE("#Metadata!", ADDRESS(INDEX($AJ$2:$AJ$1001,MATCH(ROWS($AH$2:AH620),$AH$2:$AH$1001,0),0), INDEX($AO$1004:$BQ$1004,1,MATCH(COLUMNS($AO$1006:AO1006),$AO$1006:$BQ$1006,0)))),"Fix")))</f>
        <v>#N/A</v>
      </c>
      <c r="C620" s="5" t="e">
        <f ca="1">IF(OR(INDEX($AI$2:$AI$1001,MATCH(ROWS($AH$2:AH620),$AH$2:$AH$1001,0),1)&gt;=100000,INDEX($AO$1005:$BQ$1005,1,MATCH(COLUMNS($AO$1006:AP1006),$AO$1006:$BQ$1006,0))&gt;=100000), " ",IF(INDEX($AO$2:$BQ$1001,MATCH(ROWS($AH$2:AH620),$AH$2:$AH$1001,0),MATCH(COLUMNS($AO$1006:AP1006),$AO$1006:$BQ$1006,0)), HYPERLINK("#",""), HYPERLINK(CONCATENATE("#Metadata!", ADDRESS(INDEX($AJ$2:$AJ$1001,MATCH(ROWS($AH$2:AH620),$AH$2:$AH$1001,0),0), INDEX($AO$1004:$BQ$1004,1,MATCH(COLUMNS($AO$1006:AP1006),$AO$1006:$BQ$1006,0)))),"Fix")))</f>
        <v>#N/A</v>
      </c>
      <c r="D620" s="5" t="e">
        <f ca="1">IF(OR(INDEX($AI$2:$AI$1001,MATCH(ROWS($AH$2:AH620),$AH$2:$AH$1001,0),1)&gt;=100000,INDEX($AO$1005:$BQ$1005,1,MATCH(COLUMNS($AO$1006:AQ1006),$AO$1006:$BQ$1006,0))&gt;=100000), " ",IF(INDEX($AO$2:$BQ$1001,MATCH(ROWS($AH$2:AH620),$AH$2:$AH$1001,0),MATCH(COLUMNS($AO$1006:AQ1006),$AO$1006:$BQ$1006,0)), HYPERLINK("#",""), HYPERLINK(CONCATENATE("#Metadata!", ADDRESS(INDEX($AJ$2:$AJ$1001,MATCH(ROWS($AH$2:AH620),$AH$2:$AH$1001,0),0), INDEX($AO$1004:$BQ$1004,1,MATCH(COLUMNS($AO$1006:AQ1006),$AO$1006:$BQ$1006,0)))),"Fix")))</f>
        <v>#N/A</v>
      </c>
      <c r="E620" s="5" t="e">
        <f ca="1">IF(OR(INDEX($AI$2:$AI$1001,MATCH(ROWS($AH$2:AH620),$AH$2:$AH$1001,0),1)&gt;=100000,INDEX($AO$1005:$BQ$1005,1,MATCH(COLUMNS($AO$1006:AR1006),$AO$1006:$BQ$1006,0))&gt;=100000), " ",IF(INDEX($AO$2:$BQ$1001,MATCH(ROWS($AH$2:AH620),$AH$2:$AH$1001,0),MATCH(COLUMNS($AO$1006:AR1006),$AO$1006:$BQ$1006,0)), HYPERLINK("#",""), HYPERLINK(CONCATENATE("#Metadata!", ADDRESS(INDEX($AJ$2:$AJ$1001,MATCH(ROWS($AH$2:AH620),$AH$2:$AH$1001,0),0), INDEX($AO$1004:$BQ$1004,1,MATCH(COLUMNS($AO$1006:AR1006),$AO$1006:$BQ$1006,0)))),"Fix")))</f>
        <v>#N/A</v>
      </c>
      <c r="F620" s="5" t="e">
        <f ca="1">IF(OR(INDEX($AI$2:$AI$1001,MATCH(ROWS($AH$2:AH620),$AH$2:$AH$1001,0),1)&gt;=100000,INDEX($AO$1005:$BQ$1005,1,MATCH(COLUMNS($AO$1006:AS1006),$AO$1006:$BQ$1006,0))&gt;=100000), " ",IF(INDEX($AO$2:$BQ$1001,MATCH(ROWS($AH$2:AH620),$AH$2:$AH$1001,0),MATCH(COLUMNS($AO$1006:AS1006),$AO$1006:$BQ$1006,0)), HYPERLINK("#",""), HYPERLINK(CONCATENATE("#Metadata!", ADDRESS(INDEX($AJ$2:$AJ$1001,MATCH(ROWS($AH$2:AH620),$AH$2:$AH$1001,0),0), INDEX($AO$1004:$BQ$1004,1,MATCH(COLUMNS($AO$1006:AS1006),$AO$1006:$BQ$1006,0)))),"Fix")))</f>
        <v>#N/A</v>
      </c>
      <c r="G620" s="5" t="e">
        <f ca="1">IF(OR(INDEX($AI$2:$AI$1001,MATCH(ROWS($AH$2:AH620),$AH$2:$AH$1001,0),1)&gt;=100000,INDEX($AO$1005:$BQ$1005,1,MATCH(COLUMNS($AO$1006:AT1006),$AO$1006:$BQ$1006,0))&gt;=100000), " ",IF(INDEX($AO$2:$BQ$1001,MATCH(ROWS($AH$2:AH620),$AH$2:$AH$1001,0),MATCH(COLUMNS($AO$1006:AT1006),$AO$1006:$BQ$1006,0)), HYPERLINK("#",""), HYPERLINK(CONCATENATE("#Metadata!", ADDRESS(INDEX($AJ$2:$AJ$1001,MATCH(ROWS($AH$2:AH620),$AH$2:$AH$1001,0),0), INDEX($AO$1004:$BQ$1004,1,MATCH(COLUMNS($AO$1006:AT1006),$AO$1006:$BQ$1006,0)))),"Fix")))</f>
        <v>#N/A</v>
      </c>
      <c r="H620" s="5" t="e">
        <f ca="1">IF(OR(INDEX($AI$2:$AI$1001,MATCH(ROWS($AH$2:AH620),$AH$2:$AH$1001,0),1)&gt;=100000,INDEX($AO$1005:$BQ$1005,1,MATCH(COLUMNS($AO$1006:AU1006),$AO$1006:$BQ$1006,0))&gt;=100000), " ",IF(INDEX($AO$2:$BQ$1001,MATCH(ROWS($AH$2:AH620),$AH$2:$AH$1001,0),MATCH(COLUMNS($AO$1006:AU1006),$AO$1006:$BQ$1006,0)), HYPERLINK("#",""), HYPERLINK(CONCATENATE("#Metadata!", ADDRESS(INDEX($AJ$2:$AJ$1001,MATCH(ROWS($AH$2:AH620),$AH$2:$AH$1001,0),0), INDEX($AO$1004:$BQ$1004,1,MATCH(COLUMNS($AO$1006:AU1006),$AO$1006:$BQ$1006,0)))),"Fix")))</f>
        <v>#N/A</v>
      </c>
      <c r="I620" s="5" t="e">
        <f ca="1">IF(OR(INDEX($AI$2:$AI$1001,MATCH(ROWS($AH$2:AH620),$AH$2:$AH$1001,0),1)&gt;=100000,INDEX($AO$1005:$BQ$1005,1,MATCH(COLUMNS($AO$1006:AV1006),$AO$1006:$BQ$1006,0))&gt;=100000), " ",IF(INDEX($AO$2:$BQ$1001,MATCH(ROWS($AH$2:AH620),$AH$2:$AH$1001,0),MATCH(COLUMNS($AO$1006:AV1006),$AO$1006:$BQ$1006,0)), HYPERLINK("#",""), HYPERLINK(CONCATENATE("#Metadata!", ADDRESS(INDEX($AJ$2:$AJ$1001,MATCH(ROWS($AH$2:AH620),$AH$2:$AH$1001,0),0), INDEX($AO$1004:$BQ$1004,1,MATCH(COLUMNS($AO$1006:AV1006),$AO$1006:$BQ$1006,0)))),"Fix")))</f>
        <v>#N/A</v>
      </c>
      <c r="J620" s="5" t="e">
        <f ca="1">IF(OR(INDEX($AI$2:$AI$1001,MATCH(ROWS($AH$2:AH620),$AH$2:$AH$1001,0),1)&gt;=100000,INDEX($AO$1005:$BQ$1005,1,MATCH(COLUMNS($AO$1006:AW1006),$AO$1006:$BQ$1006,0))&gt;=100000), " ",IF(INDEX($AO$2:$BQ$1001,MATCH(ROWS($AH$2:AH620),$AH$2:$AH$1001,0),MATCH(COLUMNS($AO$1006:AW1006),$AO$1006:$BQ$1006,0)), HYPERLINK("#",""), HYPERLINK(CONCATENATE("#Metadata!", ADDRESS(INDEX($AJ$2:$AJ$1001,MATCH(ROWS($AH$2:AH620),$AH$2:$AH$1001,0),0), INDEX($AO$1004:$BQ$1004,1,MATCH(COLUMNS($AO$1006:AW1006),$AO$1006:$BQ$1006,0)))),"Fix")))</f>
        <v>#N/A</v>
      </c>
      <c r="K620" s="5" t="e">
        <f ca="1">IF(OR(INDEX($AI$2:$AI$1001,MATCH(ROWS($AH$2:AH620),$AH$2:$AH$1001,0),1)&gt;=100000,INDEX($AO$1005:$BQ$1005,1,MATCH(COLUMNS($AO$1006:AX1006),$AO$1006:$BQ$1006,0))&gt;=100000), " ",IF(INDEX($AO$2:$BQ$1001,MATCH(ROWS($AH$2:AH620),$AH$2:$AH$1001,0),MATCH(COLUMNS($AO$1006:AX1006),$AO$1006:$BQ$1006,0)), HYPERLINK("#",""), HYPERLINK(CONCATENATE("#Metadata!", ADDRESS(INDEX($AJ$2:$AJ$1001,MATCH(ROWS($AH$2:AH620),$AH$2:$AH$1001,0),0), INDEX($AO$1004:$BQ$1004,1,MATCH(COLUMNS($AO$1006:AX1006),$AO$1006:$BQ$1006,0)))),"Fix")))</f>
        <v>#N/A</v>
      </c>
      <c r="L620" s="5" t="e">
        <f ca="1">IF(OR(INDEX($AI$2:$AI$1001,MATCH(ROWS($AH$2:AH620),$AH$2:$AH$1001,0),1)&gt;=100000,INDEX($AO$1005:$BQ$1005,1,MATCH(COLUMNS($AO$1006:AY1006),$AO$1006:$BQ$1006,0))&gt;=100000), " ",IF(INDEX($AO$2:$BQ$1001,MATCH(ROWS($AH$2:AH620),$AH$2:$AH$1001,0),MATCH(COLUMNS($AO$1006:AY1006),$AO$1006:$BQ$1006,0)), HYPERLINK("#",""), HYPERLINK(CONCATENATE("#Metadata!", ADDRESS(INDEX($AJ$2:$AJ$1001,MATCH(ROWS($AH$2:AH620),$AH$2:$AH$1001,0),0), INDEX($AO$1004:$BQ$1004,1,MATCH(COLUMNS($AO$1006:AY1006),$AO$1006:$BQ$1006,0)))),"Fix")))</f>
        <v>#N/A</v>
      </c>
      <c r="M620" s="5" t="e">
        <f ca="1">IF(OR(INDEX($AI$2:$AI$1001,MATCH(ROWS($AH$2:AH620),$AH$2:$AH$1001,0),1)&gt;=100000,INDEX($AO$1005:$BQ$1005,1,MATCH(COLUMNS($AO$1006:AZ1006),$AO$1006:$BQ$1006,0))&gt;=100000), " ",IF(INDEX($AO$2:$BQ$1001,MATCH(ROWS($AH$2:AH620),$AH$2:$AH$1001,0),MATCH(COLUMNS($AO$1006:AZ1006),$AO$1006:$BQ$1006,0)), HYPERLINK("#",""), HYPERLINK(CONCATENATE("#Metadata!", ADDRESS(INDEX($AJ$2:$AJ$1001,MATCH(ROWS($AH$2:AH620),$AH$2:$AH$1001,0),0), INDEX($AO$1004:$BQ$1004,1,MATCH(COLUMNS($AO$1006:AZ1006),$AO$1006:$BQ$1006,0)))),"Fix")))</f>
        <v>#N/A</v>
      </c>
      <c r="N620" s="5" t="e">
        <f ca="1">IF(OR(INDEX($AI$2:$AI$1001,MATCH(ROWS($AH$2:AH620),$AH$2:$AH$1001,0),1)&gt;=100000,INDEX($AO$1005:$BQ$1005,1,MATCH(COLUMNS($AO$1006:BA1006),$AO$1006:$BQ$1006,0))&gt;=100000), " ",IF(INDEX($AO$2:$BQ$1001,MATCH(ROWS($AH$2:AH620),$AH$2:$AH$1001,0),MATCH(COLUMNS($AO$1006:BA1006),$AO$1006:$BQ$1006,0)), HYPERLINK("#",""), HYPERLINK(CONCATENATE("#Metadata!", ADDRESS(INDEX($AJ$2:$AJ$1001,MATCH(ROWS($AH$2:AH620),$AH$2:$AH$1001,0),0), INDEX($AO$1004:$BQ$1004,1,MATCH(COLUMNS($AO$1006:BA1006),$AO$1006:$BQ$1006,0)))),"Fix")))</f>
        <v>#N/A</v>
      </c>
      <c r="O620" s="5" t="e">
        <f ca="1">IF(OR(INDEX($AI$2:$AI$1001,MATCH(ROWS($AH$2:AH620),$AH$2:$AH$1001,0),1)&gt;=100000,INDEX($AO$1005:$BQ$1005,1,MATCH(COLUMNS($AO$1006:BB1006),$AO$1006:$BQ$1006,0))&gt;=100000), " ",IF(INDEX($AO$2:$BQ$1001,MATCH(ROWS($AH$2:AH620),$AH$2:$AH$1001,0),MATCH(COLUMNS($AO$1006:BB1006),$AO$1006:$BQ$1006,0)), HYPERLINK("#",""), HYPERLINK(CONCATENATE("#Metadata!", ADDRESS(INDEX($AJ$2:$AJ$1001,MATCH(ROWS($AH$2:AH620),$AH$2:$AH$1001,0),0), INDEX($AO$1004:$BQ$1004,1,MATCH(COLUMNS($AO$1006:BB1006),$AO$1006:$BQ$1006,0)))),"Fix")))</f>
        <v>#N/A</v>
      </c>
      <c r="P620" s="5" t="e">
        <f ca="1">IF(OR(INDEX($AI$2:$AI$1001,MATCH(ROWS($AH$2:AH620),$AH$2:$AH$1001,0),1)&gt;=100000,INDEX($AO$1005:$BQ$1005,1,MATCH(COLUMNS($AO$1006:BC1006),$AO$1006:$BQ$1006,0))&gt;=100000), " ",IF(INDEX($AO$2:$BQ$1001,MATCH(ROWS($AH$2:AH620),$AH$2:$AH$1001,0),MATCH(COLUMNS($AO$1006:BC1006),$AO$1006:$BQ$1006,0)), HYPERLINK("#",""), HYPERLINK(CONCATENATE("#Metadata!", ADDRESS(INDEX($AJ$2:$AJ$1001,MATCH(ROWS($AH$2:AH620),$AH$2:$AH$1001,0),0), INDEX($AO$1004:$BQ$1004,1,MATCH(COLUMNS($AO$1006:BC1006),$AO$1006:$BQ$1006,0)))),"Fix")))</f>
        <v>#N/A</v>
      </c>
      <c r="Q620" s="5" t="e">
        <f ca="1">IF(OR(INDEX($AI$2:$AI$1001,MATCH(ROWS($AH$2:AH620),$AH$2:$AH$1001,0),1)&gt;=100000,INDEX($AO$1005:$BQ$1005,1,MATCH(COLUMNS($AO$1006:BD1006),$AO$1006:$BQ$1006,0))&gt;=100000), " ",IF(INDEX($AO$2:$BQ$1001,MATCH(ROWS($AH$2:AH620),$AH$2:$AH$1001,0),MATCH(COLUMNS($AO$1006:BD1006),$AO$1006:$BQ$1006,0)), HYPERLINK("#",""), HYPERLINK(CONCATENATE("#Metadata!", ADDRESS(INDEX($AJ$2:$AJ$1001,MATCH(ROWS($AH$2:AH620),$AH$2:$AH$1001,0),0), INDEX($AO$1004:$BQ$1004,1,MATCH(COLUMNS($AO$1006:BD1006),$AO$1006:$BQ$1006,0)))),"Fix")))</f>
        <v>#N/A</v>
      </c>
      <c r="R620" s="5" t="e">
        <f ca="1">IF(OR(INDEX($AI$2:$AI$1001,MATCH(ROWS($AH$2:AH620),$AH$2:$AH$1001,0),1)&gt;=100000,INDEX($AO$1005:$BQ$1005,1,MATCH(COLUMNS($AO$1006:BE1006),$AO$1006:$BQ$1006,0))&gt;=100000), " ",IF(INDEX($AO$2:$BQ$1001,MATCH(ROWS($AH$2:AH620),$AH$2:$AH$1001,0),MATCH(COLUMNS($AO$1006:BE1006),$AO$1006:$BQ$1006,0)), HYPERLINK("#",""), HYPERLINK(CONCATENATE("#Metadata!", ADDRESS(INDEX($AJ$2:$AJ$1001,MATCH(ROWS($AH$2:AH620),$AH$2:$AH$1001,0),0), INDEX($AO$1004:$BQ$1004,1,MATCH(COLUMNS($AO$1006:BE1006),$AO$1006:$BQ$1006,0)))),"Fix")))</f>
        <v>#N/A</v>
      </c>
      <c r="S620" s="5" t="e">
        <f ca="1">IF(OR(INDEX($AI$2:$AI$1001,MATCH(ROWS($AH$2:AH620),$AH$2:$AH$1001,0),1)&gt;=100000,INDEX($AO$1005:$BQ$1005,1,MATCH(COLUMNS($AO$1006:BF1006),$AO$1006:$BQ$1006,0))&gt;=100000), " ",IF(INDEX($AO$2:$BQ$1001,MATCH(ROWS($AH$2:AH620),$AH$2:$AH$1001,0),MATCH(COLUMNS($AO$1006:BF1006),$AO$1006:$BQ$1006,0)), HYPERLINK("#",""), HYPERLINK(CONCATENATE("#Metadata!", ADDRESS(INDEX($AJ$2:$AJ$1001,MATCH(ROWS($AH$2:AH620),$AH$2:$AH$1001,0),0), INDEX($AO$1004:$BQ$1004,1,MATCH(COLUMNS($AO$1006:BF1006),$AO$1006:$BQ$1006,0)))),"Fix")))</f>
        <v>#N/A</v>
      </c>
      <c r="T620" s="5" t="e">
        <f ca="1">IF(OR(INDEX($AI$2:$AI$1001,MATCH(ROWS($AH$2:AH620),$AH$2:$AH$1001,0),1)&gt;=100000,INDEX($AO$1005:$BQ$1005,1,MATCH(COLUMNS($AO$1006:BG1006),$AO$1006:$BQ$1006,0))&gt;=100000), " ",IF(INDEX($AO$2:$BQ$1001,MATCH(ROWS($AH$2:AH620),$AH$2:$AH$1001,0),MATCH(COLUMNS($AO$1006:BG1006),$AO$1006:$BQ$1006,0)), HYPERLINK("#",""), HYPERLINK(CONCATENATE("#Metadata!", ADDRESS(INDEX($AJ$2:$AJ$1001,MATCH(ROWS($AH$2:AH620),$AH$2:$AH$1001,0),0), INDEX($AO$1004:$BQ$1004,1,MATCH(COLUMNS($AO$1006:BG1006),$AO$1006:$BQ$1006,0)))),"Fix")))</f>
        <v>#N/A</v>
      </c>
      <c r="U620" s="5" t="e">
        <f ca="1">IF(OR(INDEX($AI$2:$AI$1001,MATCH(ROWS($AH$2:AH620),$AH$2:$AH$1001,0),1)&gt;=100000,INDEX($AO$1005:$BQ$1005,1,MATCH(COLUMNS($AO$1006:BH1006),$AO$1006:$BQ$1006,0))&gt;=100000), " ",IF(INDEX($AO$2:$BQ$1001,MATCH(ROWS($AH$2:AH620),$AH$2:$AH$1001,0),MATCH(COLUMNS($AO$1006:BH1006),$AO$1006:$BQ$1006,0)), HYPERLINK("#",""), HYPERLINK(CONCATENATE("#Metadata!", ADDRESS(INDEX($AJ$2:$AJ$1001,MATCH(ROWS($AH$2:AH620),$AH$2:$AH$1001,0),0), INDEX($AO$1004:$BQ$1004,1,MATCH(COLUMNS($AO$1006:BH1006),$AO$1006:$BQ$1006,0)))),"Fix")))</f>
        <v>#N/A</v>
      </c>
      <c r="V620" s="5" t="e">
        <f ca="1">IF(OR(INDEX($AI$2:$AI$1001,MATCH(ROWS($AH$2:AH620),$AH$2:$AH$1001,0),1)&gt;=100000,INDEX($AO$1005:$BQ$1005,1,MATCH(COLUMNS($AO$1006:BI1006),$AO$1006:$BQ$1006,0))&gt;=100000), " ",IF(INDEX($AO$2:$BQ$1001,MATCH(ROWS($AH$2:AH620),$AH$2:$AH$1001,0),MATCH(COLUMNS($AO$1006:BI1006),$AO$1006:$BQ$1006,0)), HYPERLINK("#",""), HYPERLINK(CONCATENATE("#Metadata!", ADDRESS(INDEX($AJ$2:$AJ$1001,MATCH(ROWS($AH$2:AH620),$AH$2:$AH$1001,0),0), INDEX($AO$1004:$BQ$1004,1,MATCH(COLUMNS($AO$1006:BI1006),$AO$1006:$BQ$1006,0)))),"Fix")))</f>
        <v>#N/A</v>
      </c>
      <c r="W620" s="5" t="e">
        <f ca="1">IF(OR(INDEX($AI$2:$AI$1001,MATCH(ROWS($AH$2:AH620),$AH$2:$AH$1001,0),1)&gt;=100000,INDEX($AO$1005:$BQ$1005,1,MATCH(COLUMNS($AO$1006:BJ1006),$AO$1006:$BQ$1006,0))&gt;=100000), " ",IF(INDEX($AO$2:$BQ$1001,MATCH(ROWS($AH$2:AH620),$AH$2:$AH$1001,0),MATCH(COLUMNS($AO$1006:BJ1006),$AO$1006:$BQ$1006,0)), HYPERLINK("#",""), HYPERLINK(CONCATENATE("#Metadata!", ADDRESS(INDEX($AJ$2:$AJ$1001,MATCH(ROWS($AH$2:AH620),$AH$2:$AH$1001,0),0), INDEX($AO$1004:$BQ$1004,1,MATCH(COLUMNS($AO$1006:BJ1006),$AO$1006:$BQ$1006,0)))),"Fix")))</f>
        <v>#N/A</v>
      </c>
      <c r="X620" s="5" t="e">
        <f ca="1">IF(OR(INDEX($AI$2:$AI$1001,MATCH(ROWS($AH$2:AH620),$AH$2:$AH$1001,0),1)&gt;=100000,INDEX($AO$1005:$BQ$1005,1,MATCH(COLUMNS($AO$1006:BK1006),$AO$1006:$BQ$1006,0))&gt;=100000), " ",IF(INDEX($AO$2:$BQ$1001,MATCH(ROWS($AH$2:AH620),$AH$2:$AH$1001,0),MATCH(COLUMNS($AO$1006:BK1006),$AO$1006:$BQ$1006,0)), HYPERLINK("#",""), HYPERLINK(CONCATENATE("#Metadata!", ADDRESS(INDEX($AJ$2:$AJ$1001,MATCH(ROWS($AH$2:AH620),$AH$2:$AH$1001,0),0), INDEX($AO$1004:$BQ$1004,1,MATCH(COLUMNS($AO$1006:BK1006),$AO$1006:$BQ$1006,0)))),"Fix")))</f>
        <v>#N/A</v>
      </c>
      <c r="Y620" s="5" t="e">
        <f ca="1">IF(OR(INDEX($AI$2:$AI$1001,MATCH(ROWS($AH$2:AH620),$AH$2:$AH$1001,0),1)&gt;=100000,INDEX($AO$1005:$BQ$1005,1,MATCH(COLUMNS($AO$1006:BL1006),$AO$1006:$BQ$1006,0))&gt;=100000), " ",IF(INDEX($AO$2:$BQ$1001,MATCH(ROWS($AH$2:AH620),$AH$2:$AH$1001,0),MATCH(COLUMNS($AO$1006:BL1006),$AO$1006:$BQ$1006,0)), HYPERLINK("#",""), HYPERLINK(CONCATENATE("#Metadata!", ADDRESS(INDEX($AJ$2:$AJ$1001,MATCH(ROWS($AH$2:AH620),$AH$2:$AH$1001,0),0), INDEX($AO$1004:$BQ$1004,1,MATCH(COLUMNS($AO$1006:BL1006),$AO$1006:$BQ$1006,0)))),"Fix")))</f>
        <v>#N/A</v>
      </c>
      <c r="Z620" s="5" t="e">
        <f ca="1">IF(OR(INDEX($AI$2:$AI$1001,MATCH(ROWS($AH$2:AH620),$AH$2:$AH$1001,0),1)&gt;=100000,INDEX($AO$1005:$BQ$1005,1,MATCH(COLUMNS($AO$1006:BM1006),$AO$1006:$BQ$1006,0))&gt;=100000), " ",IF(INDEX($AO$2:$BQ$1001,MATCH(ROWS($AH$2:AH620),$AH$2:$AH$1001,0),MATCH(COLUMNS($AO$1006:BM1006),$AO$1006:$BQ$1006,0)), HYPERLINK("#",""), HYPERLINK(CONCATENATE("#Metadata!", ADDRESS(INDEX($AJ$2:$AJ$1001,MATCH(ROWS($AH$2:AH620),$AH$2:$AH$1001,0),0), INDEX($AO$1004:$BQ$1004,1,MATCH(COLUMNS($AO$1006:BM1006),$AO$1006:$BQ$1006,0)))),"Fix")))</f>
        <v>#N/A</v>
      </c>
      <c r="AA620" s="5" t="e">
        <f ca="1">IF(OR(INDEX($AI$2:$AI$1001,MATCH(ROWS($AH$2:AH620),$AH$2:$AH$1001,0),1)&gt;=100000,INDEX($AO$1005:$BQ$1005,1,MATCH(COLUMNS($AO$1006:BN1006),$AO$1006:$BQ$1006,0))&gt;=100000), " ",IF(INDEX($AO$2:$BQ$1001,MATCH(ROWS($AH$2:AH620),$AH$2:$AH$1001,0),MATCH(COLUMNS($AO$1006:BN1006),$AO$1006:$BQ$1006,0)), HYPERLINK("#",""), HYPERLINK(CONCATENATE("#Metadata!", ADDRESS(INDEX($AJ$2:$AJ$1001,MATCH(ROWS($AH$2:AH620),$AH$2:$AH$1001,0),0), INDEX($AO$1004:$BQ$1004,1,MATCH(COLUMNS($AO$1006:BN1006),$AO$1006:$BQ$1006,0)))),"Fix")))</f>
        <v>#N/A</v>
      </c>
      <c r="AB620" s="5" t="e">
        <f ca="1">IF(OR(INDEX($AI$2:$AI$1001,MATCH(ROWS($AH$2:AH620),$AH$2:$AH$1001,0),1)&gt;=100000,INDEX($AO$1005:$BQ$1005,1,MATCH(COLUMNS($AO$1006:BO1006),$AO$1006:$BQ$1006,0))&gt;=100000), " ",IF(INDEX($AO$2:$BQ$1001,MATCH(ROWS($AH$2:AH620),$AH$2:$AH$1001,0),MATCH(COLUMNS($AO$1006:BO1006),$AO$1006:$BQ$1006,0)), HYPERLINK("#",""), HYPERLINK(CONCATENATE("#Metadata!", ADDRESS(INDEX($AJ$2:$AJ$1001,MATCH(ROWS($AH$2:AH620),$AH$2:$AH$1001,0),0), INDEX($AO$1004:$BQ$1004,1,MATCH(COLUMNS($AO$1006:BO1006),$AO$1006:$BQ$1006,0)))),"Fix")))</f>
        <v>#N/A</v>
      </c>
      <c r="AC620" s="5" t="e">
        <f ca="1">IF(OR(INDEX($AI$2:$AI$1001,MATCH(ROWS($AH$2:AH620),$AH$2:$AH$1001,0),1)&gt;=100000,INDEX($AO$1005:$BQ$1005,1,MATCH(COLUMNS($AO$1006:BP1006),$AO$1006:$BQ$1006,0))&gt;=100000), " ",IF(INDEX($AO$2:$BQ$1001,MATCH(ROWS($AH$2:AH620),$AH$2:$AH$1001,0),MATCH(COLUMNS($AO$1006:BP1006),$AO$1006:$BQ$1006,0)), HYPERLINK("#",""), HYPERLINK(CONCATENATE("#Metadata!", ADDRESS(INDEX($AJ$2:$AJ$1001,MATCH(ROWS($AH$2:AH620),$AH$2:$AH$1001,0),0), INDEX($AO$1004:$BQ$1004,1,MATCH(COLUMNS($AO$1006:BP1006),$AO$1006:$BQ$1006,0)))),"Fix")))</f>
        <v>#N/A</v>
      </c>
      <c r="AD620" s="5" t="e">
        <f ca="1">IF(OR(INDEX($AI$2:$AI$1001,MATCH(ROWS($AH$2:AH620),$AH$2:$AH$1001,0),1)&gt;=100000,INDEX($AO$1005:$BQ$1005,1,MATCH(COLUMNS($AO$1006:BQ1006),$AO$1006:$BQ$1006,0))&gt;=100000), " ",IF(INDEX($AO$2:$BQ$1001,MATCH(ROWS($AH$2:AH620),$AH$2:$AH$1001,0),MATCH(COLUMNS($AO$1006:BQ1006),$AO$1006:$BQ$1006,0)), HYPERLINK("#",""), HYPERLINK(CONCATENATE("#Metadata!", ADDRESS(INDEX($AJ$2:$AJ$1001,MATCH(ROWS($AH$2:AH620),$AH$2:$AH$1001,0),0), INDEX($AO$1004:$BQ$1004,1,MATCH(COLUMNS($AO$1006:BQ1006),$AO$1006:$BQ$1006,0)))),"Fix")))</f>
        <v>#REF!</v>
      </c>
      <c r="AH620">
        <f ca="1"/>
        <v>617</v>
      </c>
      <c r="AI620">
        <v>100620</v>
      </c>
      <c r="AJ620">
        <v>620</v>
      </c>
      <c r="AK620" t="b">
        <f t="shared" si="9"/>
        <v>1</v>
      </c>
      <c r="AL620" t="b">
        <f>COUNTBLANK(Metadata!B620:AD620)=COLUMNS(Metadata!B620:AD620)</f>
        <v>1</v>
      </c>
      <c r="AM620" t="str">
        <v/>
      </c>
      <c r="AO620" t="b">
        <f ca="1">AND(IF(Metadata!B620="",FALSE,TRUE),COUNTIF(Metadata!B:B, Metadata!B620) = 1,NOT(ISERROR(SUMPRODUCT(SEARCH(MID(Metadata!B620,ROW(INDIRECT("1:"&amp;LEN(Metadata!B620))), 1),"0123456789abcdefghijklmnopqrstuvwxyzABCDEFGHIJKLMNOPQRSTUVWXYZ.")))))</f>
        <v>0</v>
      </c>
      <c r="AP620" t="b">
        <f>IF(Metadata!C620="",FALSE,TRUE)</f>
        <v>0</v>
      </c>
      <c r="AQ620" t="b">
        <f>IF(Metadata!D620="",FALSE,TRUE)</f>
        <v>0</v>
      </c>
      <c r="AR620" t="b">
        <f ca="1">OR(AND(IF(Metadata!E620="",FALSE,TRUE),OR(EXACT(Metadata!E620,"not collected"),EXACT(Metadata!E620,"not provided"),EXACT(Metadata!E620,"restricted access"))),AND(IF(Metadata!E620="",FALSE,TRUE),AND(AND(IFERROR(INT(LEFT(Metadata!E620,4))&gt;1900,FALSE),IFERROR(INT(LEFT(Metadata!E620,4))&lt;=YEAR(NOW()),FALSE)), OR(MID(Metadata!E620,5,1)="", AND(AND(MID(Metadata!E620,5,1)="-",IFERROR(INT(MID(Metadata!E620,6,1))&gt;=0,FALSE),IFERROR(INT(MID(Metadata!E620,6,1))&lt;=1,FALSE),NOT(MID(Metadata!E620,7,1)=""),IFERROR(INT(MID(Metadata!E620,6,2))&gt;=1,FALSE),IFERROR(INT(MID(Metadata!E620,6,2))&lt;=12,FALSE)), OR(MID(Metadata!E620,8,1)="", AND(AND(MID(Metadata!E620,8,1)="-",IFERROR(INT(MID(Metadata!E620,9,1))&gt;=0,FALSE),IFERROR(INT(MID(Metadata!E620,9,1))&lt;=3,FALSE),NOT(MID(Metadata!E620,10,1)=""),IFERROR(INT(MID(Metadata!E620,9,2))&gt;=1,FALSE),IFERROR(INT(MID(Metadata!E620,9,2))&lt;=31,FALSE)), OR(MID(Metadata!E620,11,1)="", AND(AND(MID(Metadata!E620,11,1)=" ",IFERROR(INT(MID(Metadata!E620,12,1))&gt;=0,FALSE),IFERROR(INT(MID(Metadata!E620,12,1))&lt;=2,FALSE),NOT(MID(Metadata!E620,13,1)=""),IFERROR(INT(MID(Metadata!E620,12,2))&gt;=0,FALSE),IFERROR(INT(MID(Metadata!E620,12,2))&lt;=23,FALSE)), OR(MID(Metadata!E620,14,1)="", AND(AND(MID(Metadata!E620,14,1)=":",IFERROR(INT(MID(Metadata!E620,15,1))&gt;=0,FALSE),IFERROR(INT(MID(Metadata!E620,15,1))&lt;=5,FALSE),NOT(MID(Metadata!E620,16,1)=""),IFERROR(INT(MID(Metadata!E620,15,2))&gt;=0,FALSE),IFERROR(INT(MID(Metadata!E620,15,2))&lt;=59,FALSE)), OR(MID(Metadata!E620,17,1)="", AND(AND(MID(Metadata!E620,17,1)=":",IFERROR(INT(MID(Metadata!E620,18,1))&gt;=0,FALSE),IFERROR(INT(MID(Metadata!E620,18,1))&lt;=5,FALSE),NOT(MID(Metadata!E620,19,1)=""),IFERROR(INT(MID(Metadata!E620,18,2))&gt;=0,FALSE),IFERROR(INT(MID(Metadata!E620,18,2))&lt;=59,FALSE)), LEN(Metadata!E620)&lt;=19)))))))))))))</f>
        <v>0</v>
      </c>
      <c r="AS620" t="b">
        <f>IF(Metadata!F620="",FALSE,TRUE)</f>
        <v>0</v>
      </c>
      <c r="AT620" t="b">
        <f>OR(AND(IF(Metadata!G620="",FALSE,TRUE),OR(EXACT(Metadata!G620,"not collected"),EXACT(Metadata!G620,"not provided"))),AND(IF(Metadata!G620="",FALSE,TRUE),OR(EXACT(Metadata!G620,"TRUE"),EXACT(Metadata!G620,"FALSE"))))</f>
        <v>0</v>
      </c>
      <c r="AU620" t="b">
        <f>OR(AND(IF(Metadata!H620="",FALSE,TRUE),OR(EXACT(Metadata!H620,"not collected"),EXACT(Metadata!H620,"not provided"),EXACT(Metadata!H620,"restricted access"))),AND(IF(Metadata!H620="",FALSE,ISNUMBER(VALUE(Metadata!H620))),Metadata!H620&gt;=-413))</f>
        <v>0</v>
      </c>
      <c r="AV620" t="b">
        <f>AND(IF(Metadata!I620="",FALSE,TRUE),EXACT(Metadata!I620,"meters"))</f>
        <v>0</v>
      </c>
      <c r="AW620" t="b">
        <f>AND(IF(Metadata!J620="",FALSE,TRUE),EXACT(Metadata!J620,"free-living"))</f>
        <v>0</v>
      </c>
      <c r="AX620" t="b">
        <f>AND(IF(Metadata!K620="",FALSE,TRUE),OR(EXACT(Metadata!K620,"saline"),EXACT(Metadata!K620,"non-saline")))</f>
        <v>0</v>
      </c>
      <c r="AY620" t="b">
        <f>AND(IF(Metadata!L620="",FALSE,TRUE),OR(EXACT(Metadata!L620,"sub-surface (non-saline)"),EXACT(Metadata!L620,"surface (non-saline)"),EXACT(Metadata!L620,"water (non-saline)"),EXACT(Metadata!L620,"soil (non-saline)"),EXACT(Metadata!L620,"aerosol (non-saline)"),EXACT(Metadata!L620,"sediment (non-saline)"),EXACT(Metadata!L620,"surface (saline)"),EXACT(Metadata!L620,"water (saline)"),EXACT(Metadata!L620,"hypersaline (saline)"),EXACT(Metadata!L620,"aerosol (saline)"),EXACT(Metadata!L620,"sediment (saline)")))</f>
        <v>0</v>
      </c>
      <c r="AZ620" t="b">
        <f>IF(Metadata!M620="",FALSE,TRUE)</f>
        <v>0</v>
      </c>
      <c r="BA620" t="b">
        <f>IF(Metadata!N620="",FALSE,TRUE)</f>
        <v>0</v>
      </c>
      <c r="BB620" t="b">
        <f>IF(Metadata!O620="",FALSE,TRUE)</f>
        <v>0</v>
      </c>
      <c r="BC620" t="b">
        <f>AND(IF(Metadata!P620="",FALSE,TRUE),OR(EXACT(Metadata!P620,"air"),EXACT(Metadata!P620,"microbial mat/biofilm"),EXACT(Metadata!P620,"misc environment"),EXACT(Metadata!P620,"sediment"),EXACT(Metadata!P620,"soil"),EXACT(Metadata!P620,"wastewater/sludge"),EXACT(Metadata!P620,"water")))</f>
        <v>0</v>
      </c>
      <c r="BD620" t="b">
        <f>IF(Metadata!Q620="",FALSE,TRUE)</f>
        <v>0</v>
      </c>
      <c r="BE620" t="b">
        <f>IF(Metadata!R620="",FALSE,TRUE)</f>
        <v>0</v>
      </c>
      <c r="BF620" t="b">
        <f>OR(AND(IF(Metadata!S620="",FALSE,TRUE),OR(EXACT(Metadata!S620,"not collected"),EXACT(Metadata!S620,"not provided"),EXACT(Metadata!S620,"restricted access"))),AND(IF(Metadata!S620="",FALSE,ISNUMBER(VALUE(Metadata!S620))),Metadata!S620&gt;=-90,Metadata!S620&lt;=90))</f>
        <v>0</v>
      </c>
      <c r="BG620" t="b">
        <f>AND(IF(Metadata!T620="",FALSE,TRUE),EXACT(Metadata!T620,"Decimal degrees"))</f>
        <v>0</v>
      </c>
      <c r="BH620" t="b">
        <f>OR(AND(IF(Metadata!U620="",FALSE,TRUE),OR(EXACT(Metadata!U620,"not applicable"),EXACT(Metadata!U620,"not collected"))),IF(Metadata!U620="",FALSE,TRUE))</f>
        <v>0</v>
      </c>
      <c r="BI620" t="b">
        <f>OR(AND(IF(Metadata!V620="",FALSE,TRUE),OR(EXACT(Metadata!V620,"not collected"),EXACT(Metadata!V620,"not provided"),EXACT(Metadata!V620,"restricted access"))),AND(IF(Metadata!V620="",FALSE,ISNUMBER(VALUE(Metadata!V620))),Metadata!V620&gt;=-180,Metadata!V620&lt;=180))</f>
        <v>0</v>
      </c>
      <c r="BJ620" t="b">
        <f>AND(IF(Metadata!W620="",FALSE,TRUE),EXACT(Metadata!W620,"Decimal degrees"))</f>
        <v>0</v>
      </c>
      <c r="BK620" t="b">
        <f>IF(Metadata!X620="",FALSE,TRUE)</f>
        <v>0</v>
      </c>
      <c r="BL620" t="b">
        <f>OR(AND(IF(Metadata!Y620="",FALSE,TRUE),OR(EXACT(Metadata!Y620,"not collected"),EXACT(Metadata!Y620,"not provided"),EXACT(Metadata!Y620,"restricted access"))),AND(IF(Metadata!Y620="",FALSE,TRUE),OR(EXACT(Metadata!Y620,"TRUE"),EXACT(Metadata!Y620,"FALSE"))))</f>
        <v>0</v>
      </c>
      <c r="BM620" t="b">
        <f>OR(AND(IF(Metadata!Z620="",FALSE,TRUE),EXACT(Metadata!Z620,"not applicable")),AND(IF(Metadata!Z620="",FALSE,TRUE),OR(EXACT(Metadata!Z620,"beer"),EXACT(Metadata!Z620,"cheese"),EXACT(Metadata!Z620,"fresh water"),EXACT(Metadata!Z620,"marine sediment"),EXACT(Metadata!Z620,"sea water"),EXACT(Metadata!Z620,"sediment"),EXACT(Metadata!Z620,"soil"),EXACT(Metadata!Z620,"waste water"))))</f>
        <v>0</v>
      </c>
      <c r="BN620" t="b">
        <f>AND(IF(Metadata!AA620="",FALSE,TRUE),EXACT(Metadata!AA620,"metagenome"))</f>
        <v>0</v>
      </c>
      <c r="BO620" t="b">
        <f>AND(IF(Metadata!AB620="",FALSE,TRUE),EXACT(Metadata!AB620,"256318"))</f>
        <v>0</v>
      </c>
      <c r="BP620" t="b">
        <f>IF(Metadata!AC620="",FALSE,TRUE)</f>
        <v>0</v>
      </c>
      <c r="BQ620" t="b">
        <f>IF(Metadata!AD620="",FALSE,TRUE)</f>
        <v>0</v>
      </c>
    </row>
    <row r="621" spans="1:69" x14ac:dyDescent="0.2">
      <c r="A621" s="4" t="e">
        <f ca="1">IF(B621=" "," ",HYPERLINK(CONCATENATE("#metadata!",ADDRESS(INDEX($AJ$2:$AJ$1001,MATCH(ROWS($AH$2:AH621),$AH$2:$AH$1001,0),0),2)),INDEX($AM$2:$AM$1001,MATCH(ROWS($AH$2:AH621),$AH$2:$AH$1001,0),0)))</f>
        <v>#N/A</v>
      </c>
      <c r="B621" s="5" t="e">
        <f ca="1">IF(OR(INDEX($AI$2:$AI$1001,MATCH(ROWS($AH$2:AH621),$AH$2:$AH$1001,0),1)&gt;=100000,INDEX($AO$1005:$BQ$1005,1,MATCH(COLUMNS($AO$1006:AO1006),$AO$1006:$BQ$1006,0))&gt;=100000), " ",IF(INDEX($AO$2:$BQ$1001,MATCH(ROWS($AH$2:AH621),$AH$2:$AH$1001,0),MATCH(COLUMNS($AO$1006:AO1006),$AO$1006:$BQ$1006,0)), HYPERLINK("#",""), HYPERLINK(CONCATENATE("#Metadata!", ADDRESS(INDEX($AJ$2:$AJ$1001,MATCH(ROWS($AH$2:AH621),$AH$2:$AH$1001,0),0), INDEX($AO$1004:$BQ$1004,1,MATCH(COLUMNS($AO$1006:AO1006),$AO$1006:$BQ$1006,0)))),"Fix")))</f>
        <v>#N/A</v>
      </c>
      <c r="C621" s="5" t="e">
        <f ca="1">IF(OR(INDEX($AI$2:$AI$1001,MATCH(ROWS($AH$2:AH621),$AH$2:$AH$1001,0),1)&gt;=100000,INDEX($AO$1005:$BQ$1005,1,MATCH(COLUMNS($AO$1006:AP1006),$AO$1006:$BQ$1006,0))&gt;=100000), " ",IF(INDEX($AO$2:$BQ$1001,MATCH(ROWS($AH$2:AH621),$AH$2:$AH$1001,0),MATCH(COLUMNS($AO$1006:AP1006),$AO$1006:$BQ$1006,0)), HYPERLINK("#",""), HYPERLINK(CONCATENATE("#Metadata!", ADDRESS(INDEX($AJ$2:$AJ$1001,MATCH(ROWS($AH$2:AH621),$AH$2:$AH$1001,0),0), INDEX($AO$1004:$BQ$1004,1,MATCH(COLUMNS($AO$1006:AP1006),$AO$1006:$BQ$1006,0)))),"Fix")))</f>
        <v>#N/A</v>
      </c>
      <c r="D621" s="5" t="e">
        <f ca="1">IF(OR(INDEX($AI$2:$AI$1001,MATCH(ROWS($AH$2:AH621),$AH$2:$AH$1001,0),1)&gt;=100000,INDEX($AO$1005:$BQ$1005,1,MATCH(COLUMNS($AO$1006:AQ1006),$AO$1006:$BQ$1006,0))&gt;=100000), " ",IF(INDEX($AO$2:$BQ$1001,MATCH(ROWS($AH$2:AH621),$AH$2:$AH$1001,0),MATCH(COLUMNS($AO$1006:AQ1006),$AO$1006:$BQ$1006,0)), HYPERLINK("#",""), HYPERLINK(CONCATENATE("#Metadata!", ADDRESS(INDEX($AJ$2:$AJ$1001,MATCH(ROWS($AH$2:AH621),$AH$2:$AH$1001,0),0), INDEX($AO$1004:$BQ$1004,1,MATCH(COLUMNS($AO$1006:AQ1006),$AO$1006:$BQ$1006,0)))),"Fix")))</f>
        <v>#N/A</v>
      </c>
      <c r="E621" s="5" t="e">
        <f ca="1">IF(OR(INDEX($AI$2:$AI$1001,MATCH(ROWS($AH$2:AH621),$AH$2:$AH$1001,0),1)&gt;=100000,INDEX($AO$1005:$BQ$1005,1,MATCH(COLUMNS($AO$1006:AR1006),$AO$1006:$BQ$1006,0))&gt;=100000), " ",IF(INDEX($AO$2:$BQ$1001,MATCH(ROWS($AH$2:AH621),$AH$2:$AH$1001,0),MATCH(COLUMNS($AO$1006:AR1006),$AO$1006:$BQ$1006,0)), HYPERLINK("#",""), HYPERLINK(CONCATENATE("#Metadata!", ADDRESS(INDEX($AJ$2:$AJ$1001,MATCH(ROWS($AH$2:AH621),$AH$2:$AH$1001,0),0), INDEX($AO$1004:$BQ$1004,1,MATCH(COLUMNS($AO$1006:AR1006),$AO$1006:$BQ$1006,0)))),"Fix")))</f>
        <v>#N/A</v>
      </c>
      <c r="F621" s="5" t="e">
        <f ca="1">IF(OR(INDEX($AI$2:$AI$1001,MATCH(ROWS($AH$2:AH621),$AH$2:$AH$1001,0),1)&gt;=100000,INDEX($AO$1005:$BQ$1005,1,MATCH(COLUMNS($AO$1006:AS1006),$AO$1006:$BQ$1006,0))&gt;=100000), " ",IF(INDEX($AO$2:$BQ$1001,MATCH(ROWS($AH$2:AH621),$AH$2:$AH$1001,0),MATCH(COLUMNS($AO$1006:AS1006),$AO$1006:$BQ$1006,0)), HYPERLINK("#",""), HYPERLINK(CONCATENATE("#Metadata!", ADDRESS(INDEX($AJ$2:$AJ$1001,MATCH(ROWS($AH$2:AH621),$AH$2:$AH$1001,0),0), INDEX($AO$1004:$BQ$1004,1,MATCH(COLUMNS($AO$1006:AS1006),$AO$1006:$BQ$1006,0)))),"Fix")))</f>
        <v>#N/A</v>
      </c>
      <c r="G621" s="5" t="e">
        <f ca="1">IF(OR(INDEX($AI$2:$AI$1001,MATCH(ROWS($AH$2:AH621),$AH$2:$AH$1001,0),1)&gt;=100000,INDEX($AO$1005:$BQ$1005,1,MATCH(COLUMNS($AO$1006:AT1006),$AO$1006:$BQ$1006,0))&gt;=100000), " ",IF(INDEX($AO$2:$BQ$1001,MATCH(ROWS($AH$2:AH621),$AH$2:$AH$1001,0),MATCH(COLUMNS($AO$1006:AT1006),$AO$1006:$BQ$1006,0)), HYPERLINK("#",""), HYPERLINK(CONCATENATE("#Metadata!", ADDRESS(INDEX($AJ$2:$AJ$1001,MATCH(ROWS($AH$2:AH621),$AH$2:$AH$1001,0),0), INDEX($AO$1004:$BQ$1004,1,MATCH(COLUMNS($AO$1006:AT1006),$AO$1006:$BQ$1006,0)))),"Fix")))</f>
        <v>#N/A</v>
      </c>
      <c r="H621" s="5" t="e">
        <f ca="1">IF(OR(INDEX($AI$2:$AI$1001,MATCH(ROWS($AH$2:AH621),$AH$2:$AH$1001,0),1)&gt;=100000,INDEX($AO$1005:$BQ$1005,1,MATCH(COLUMNS($AO$1006:AU1006),$AO$1006:$BQ$1006,0))&gt;=100000), " ",IF(INDEX($AO$2:$BQ$1001,MATCH(ROWS($AH$2:AH621),$AH$2:$AH$1001,0),MATCH(COLUMNS($AO$1006:AU1006),$AO$1006:$BQ$1006,0)), HYPERLINK("#",""), HYPERLINK(CONCATENATE("#Metadata!", ADDRESS(INDEX($AJ$2:$AJ$1001,MATCH(ROWS($AH$2:AH621),$AH$2:$AH$1001,0),0), INDEX($AO$1004:$BQ$1004,1,MATCH(COLUMNS($AO$1006:AU1006),$AO$1006:$BQ$1006,0)))),"Fix")))</f>
        <v>#N/A</v>
      </c>
      <c r="I621" s="5" t="e">
        <f ca="1">IF(OR(INDEX($AI$2:$AI$1001,MATCH(ROWS($AH$2:AH621),$AH$2:$AH$1001,0),1)&gt;=100000,INDEX($AO$1005:$BQ$1005,1,MATCH(COLUMNS($AO$1006:AV1006),$AO$1006:$BQ$1006,0))&gt;=100000), " ",IF(INDEX($AO$2:$BQ$1001,MATCH(ROWS($AH$2:AH621),$AH$2:$AH$1001,0),MATCH(COLUMNS($AO$1006:AV1006),$AO$1006:$BQ$1006,0)), HYPERLINK("#",""), HYPERLINK(CONCATENATE("#Metadata!", ADDRESS(INDEX($AJ$2:$AJ$1001,MATCH(ROWS($AH$2:AH621),$AH$2:$AH$1001,0),0), INDEX($AO$1004:$BQ$1004,1,MATCH(COLUMNS($AO$1006:AV1006),$AO$1006:$BQ$1006,0)))),"Fix")))</f>
        <v>#N/A</v>
      </c>
      <c r="J621" s="5" t="e">
        <f ca="1">IF(OR(INDEX($AI$2:$AI$1001,MATCH(ROWS($AH$2:AH621),$AH$2:$AH$1001,0),1)&gt;=100000,INDEX($AO$1005:$BQ$1005,1,MATCH(COLUMNS($AO$1006:AW1006),$AO$1006:$BQ$1006,0))&gt;=100000), " ",IF(INDEX($AO$2:$BQ$1001,MATCH(ROWS($AH$2:AH621),$AH$2:$AH$1001,0),MATCH(COLUMNS($AO$1006:AW1006),$AO$1006:$BQ$1006,0)), HYPERLINK("#",""), HYPERLINK(CONCATENATE("#Metadata!", ADDRESS(INDEX($AJ$2:$AJ$1001,MATCH(ROWS($AH$2:AH621),$AH$2:$AH$1001,0),0), INDEX($AO$1004:$BQ$1004,1,MATCH(COLUMNS($AO$1006:AW1006),$AO$1006:$BQ$1006,0)))),"Fix")))</f>
        <v>#N/A</v>
      </c>
      <c r="K621" s="5" t="e">
        <f ca="1">IF(OR(INDEX($AI$2:$AI$1001,MATCH(ROWS($AH$2:AH621),$AH$2:$AH$1001,0),1)&gt;=100000,INDEX($AO$1005:$BQ$1005,1,MATCH(COLUMNS($AO$1006:AX1006),$AO$1006:$BQ$1006,0))&gt;=100000), " ",IF(INDEX($AO$2:$BQ$1001,MATCH(ROWS($AH$2:AH621),$AH$2:$AH$1001,0),MATCH(COLUMNS($AO$1006:AX1006),$AO$1006:$BQ$1006,0)), HYPERLINK("#",""), HYPERLINK(CONCATENATE("#Metadata!", ADDRESS(INDEX($AJ$2:$AJ$1001,MATCH(ROWS($AH$2:AH621),$AH$2:$AH$1001,0),0), INDEX($AO$1004:$BQ$1004,1,MATCH(COLUMNS($AO$1006:AX1006),$AO$1006:$BQ$1006,0)))),"Fix")))</f>
        <v>#N/A</v>
      </c>
      <c r="L621" s="5" t="e">
        <f ca="1">IF(OR(INDEX($AI$2:$AI$1001,MATCH(ROWS($AH$2:AH621),$AH$2:$AH$1001,0),1)&gt;=100000,INDEX($AO$1005:$BQ$1005,1,MATCH(COLUMNS($AO$1006:AY1006),$AO$1006:$BQ$1006,0))&gt;=100000), " ",IF(INDEX($AO$2:$BQ$1001,MATCH(ROWS($AH$2:AH621),$AH$2:$AH$1001,0),MATCH(COLUMNS($AO$1006:AY1006),$AO$1006:$BQ$1006,0)), HYPERLINK("#",""), HYPERLINK(CONCATENATE("#Metadata!", ADDRESS(INDEX($AJ$2:$AJ$1001,MATCH(ROWS($AH$2:AH621),$AH$2:$AH$1001,0),0), INDEX($AO$1004:$BQ$1004,1,MATCH(COLUMNS($AO$1006:AY1006),$AO$1006:$BQ$1006,0)))),"Fix")))</f>
        <v>#N/A</v>
      </c>
      <c r="M621" s="5" t="e">
        <f ca="1">IF(OR(INDEX($AI$2:$AI$1001,MATCH(ROWS($AH$2:AH621),$AH$2:$AH$1001,0),1)&gt;=100000,INDEX($AO$1005:$BQ$1005,1,MATCH(COLUMNS($AO$1006:AZ1006),$AO$1006:$BQ$1006,0))&gt;=100000), " ",IF(INDEX($AO$2:$BQ$1001,MATCH(ROWS($AH$2:AH621),$AH$2:$AH$1001,0),MATCH(COLUMNS($AO$1006:AZ1006),$AO$1006:$BQ$1006,0)), HYPERLINK("#",""), HYPERLINK(CONCATENATE("#Metadata!", ADDRESS(INDEX($AJ$2:$AJ$1001,MATCH(ROWS($AH$2:AH621),$AH$2:$AH$1001,0),0), INDEX($AO$1004:$BQ$1004,1,MATCH(COLUMNS($AO$1006:AZ1006),$AO$1006:$BQ$1006,0)))),"Fix")))</f>
        <v>#N/A</v>
      </c>
      <c r="N621" s="5" t="e">
        <f ca="1">IF(OR(INDEX($AI$2:$AI$1001,MATCH(ROWS($AH$2:AH621),$AH$2:$AH$1001,0),1)&gt;=100000,INDEX($AO$1005:$BQ$1005,1,MATCH(COLUMNS($AO$1006:BA1006),$AO$1006:$BQ$1006,0))&gt;=100000), " ",IF(INDEX($AO$2:$BQ$1001,MATCH(ROWS($AH$2:AH621),$AH$2:$AH$1001,0),MATCH(COLUMNS($AO$1006:BA1006),$AO$1006:$BQ$1006,0)), HYPERLINK("#",""), HYPERLINK(CONCATENATE("#Metadata!", ADDRESS(INDEX($AJ$2:$AJ$1001,MATCH(ROWS($AH$2:AH621),$AH$2:$AH$1001,0),0), INDEX($AO$1004:$BQ$1004,1,MATCH(COLUMNS($AO$1006:BA1006),$AO$1006:$BQ$1006,0)))),"Fix")))</f>
        <v>#N/A</v>
      </c>
      <c r="O621" s="5" t="e">
        <f ca="1">IF(OR(INDEX($AI$2:$AI$1001,MATCH(ROWS($AH$2:AH621),$AH$2:$AH$1001,0),1)&gt;=100000,INDEX($AO$1005:$BQ$1005,1,MATCH(COLUMNS($AO$1006:BB1006),$AO$1006:$BQ$1006,0))&gt;=100000), " ",IF(INDEX($AO$2:$BQ$1001,MATCH(ROWS($AH$2:AH621),$AH$2:$AH$1001,0),MATCH(COLUMNS($AO$1006:BB1006),$AO$1006:$BQ$1006,0)), HYPERLINK("#",""), HYPERLINK(CONCATENATE("#Metadata!", ADDRESS(INDEX($AJ$2:$AJ$1001,MATCH(ROWS($AH$2:AH621),$AH$2:$AH$1001,0),0), INDEX($AO$1004:$BQ$1004,1,MATCH(COLUMNS($AO$1006:BB1006),$AO$1006:$BQ$1006,0)))),"Fix")))</f>
        <v>#N/A</v>
      </c>
      <c r="P621" s="5" t="e">
        <f ca="1">IF(OR(INDEX($AI$2:$AI$1001,MATCH(ROWS($AH$2:AH621),$AH$2:$AH$1001,0),1)&gt;=100000,INDEX($AO$1005:$BQ$1005,1,MATCH(COLUMNS($AO$1006:BC1006),$AO$1006:$BQ$1006,0))&gt;=100000), " ",IF(INDEX($AO$2:$BQ$1001,MATCH(ROWS($AH$2:AH621),$AH$2:$AH$1001,0),MATCH(COLUMNS($AO$1006:BC1006),$AO$1006:$BQ$1006,0)), HYPERLINK("#",""), HYPERLINK(CONCATENATE("#Metadata!", ADDRESS(INDEX($AJ$2:$AJ$1001,MATCH(ROWS($AH$2:AH621),$AH$2:$AH$1001,0),0), INDEX($AO$1004:$BQ$1004,1,MATCH(COLUMNS($AO$1006:BC1006),$AO$1006:$BQ$1006,0)))),"Fix")))</f>
        <v>#N/A</v>
      </c>
      <c r="Q621" s="5" t="e">
        <f ca="1">IF(OR(INDEX($AI$2:$AI$1001,MATCH(ROWS($AH$2:AH621),$AH$2:$AH$1001,0),1)&gt;=100000,INDEX($AO$1005:$BQ$1005,1,MATCH(COLUMNS($AO$1006:BD1006),$AO$1006:$BQ$1006,0))&gt;=100000), " ",IF(INDEX($AO$2:$BQ$1001,MATCH(ROWS($AH$2:AH621),$AH$2:$AH$1001,0),MATCH(COLUMNS($AO$1006:BD1006),$AO$1006:$BQ$1006,0)), HYPERLINK("#",""), HYPERLINK(CONCATENATE("#Metadata!", ADDRESS(INDEX($AJ$2:$AJ$1001,MATCH(ROWS($AH$2:AH621),$AH$2:$AH$1001,0),0), INDEX($AO$1004:$BQ$1004,1,MATCH(COLUMNS($AO$1006:BD1006),$AO$1006:$BQ$1006,0)))),"Fix")))</f>
        <v>#N/A</v>
      </c>
      <c r="R621" s="5" t="e">
        <f ca="1">IF(OR(INDEX($AI$2:$AI$1001,MATCH(ROWS($AH$2:AH621),$AH$2:$AH$1001,0),1)&gt;=100000,INDEX($AO$1005:$BQ$1005,1,MATCH(COLUMNS($AO$1006:BE1006),$AO$1006:$BQ$1006,0))&gt;=100000), " ",IF(INDEX($AO$2:$BQ$1001,MATCH(ROWS($AH$2:AH621),$AH$2:$AH$1001,0),MATCH(COLUMNS($AO$1006:BE1006),$AO$1006:$BQ$1006,0)), HYPERLINK("#",""), HYPERLINK(CONCATENATE("#Metadata!", ADDRESS(INDEX($AJ$2:$AJ$1001,MATCH(ROWS($AH$2:AH621),$AH$2:$AH$1001,0),0), INDEX($AO$1004:$BQ$1004,1,MATCH(COLUMNS($AO$1006:BE1006),$AO$1006:$BQ$1006,0)))),"Fix")))</f>
        <v>#N/A</v>
      </c>
      <c r="S621" s="5" t="e">
        <f ca="1">IF(OR(INDEX($AI$2:$AI$1001,MATCH(ROWS($AH$2:AH621),$AH$2:$AH$1001,0),1)&gt;=100000,INDEX($AO$1005:$BQ$1005,1,MATCH(COLUMNS($AO$1006:BF1006),$AO$1006:$BQ$1006,0))&gt;=100000), " ",IF(INDEX($AO$2:$BQ$1001,MATCH(ROWS($AH$2:AH621),$AH$2:$AH$1001,0),MATCH(COLUMNS($AO$1006:BF1006),$AO$1006:$BQ$1006,0)), HYPERLINK("#",""), HYPERLINK(CONCATENATE("#Metadata!", ADDRESS(INDEX($AJ$2:$AJ$1001,MATCH(ROWS($AH$2:AH621),$AH$2:$AH$1001,0),0), INDEX($AO$1004:$BQ$1004,1,MATCH(COLUMNS($AO$1006:BF1006),$AO$1006:$BQ$1006,0)))),"Fix")))</f>
        <v>#N/A</v>
      </c>
      <c r="T621" s="5" t="e">
        <f ca="1">IF(OR(INDEX($AI$2:$AI$1001,MATCH(ROWS($AH$2:AH621),$AH$2:$AH$1001,0),1)&gt;=100000,INDEX($AO$1005:$BQ$1005,1,MATCH(COLUMNS($AO$1006:BG1006),$AO$1006:$BQ$1006,0))&gt;=100000), " ",IF(INDEX($AO$2:$BQ$1001,MATCH(ROWS($AH$2:AH621),$AH$2:$AH$1001,0),MATCH(COLUMNS($AO$1006:BG1006),$AO$1006:$BQ$1006,0)), HYPERLINK("#",""), HYPERLINK(CONCATENATE("#Metadata!", ADDRESS(INDEX($AJ$2:$AJ$1001,MATCH(ROWS($AH$2:AH621),$AH$2:$AH$1001,0),0), INDEX($AO$1004:$BQ$1004,1,MATCH(COLUMNS($AO$1006:BG1006),$AO$1006:$BQ$1006,0)))),"Fix")))</f>
        <v>#N/A</v>
      </c>
      <c r="U621" s="5" t="e">
        <f ca="1">IF(OR(INDEX($AI$2:$AI$1001,MATCH(ROWS($AH$2:AH621),$AH$2:$AH$1001,0),1)&gt;=100000,INDEX($AO$1005:$BQ$1005,1,MATCH(COLUMNS($AO$1006:BH1006),$AO$1006:$BQ$1006,0))&gt;=100000), " ",IF(INDEX($AO$2:$BQ$1001,MATCH(ROWS($AH$2:AH621),$AH$2:$AH$1001,0),MATCH(COLUMNS($AO$1006:BH1006),$AO$1006:$BQ$1006,0)), HYPERLINK("#",""), HYPERLINK(CONCATENATE("#Metadata!", ADDRESS(INDEX($AJ$2:$AJ$1001,MATCH(ROWS($AH$2:AH621),$AH$2:$AH$1001,0),0), INDEX($AO$1004:$BQ$1004,1,MATCH(COLUMNS($AO$1006:BH1006),$AO$1006:$BQ$1006,0)))),"Fix")))</f>
        <v>#N/A</v>
      </c>
      <c r="V621" s="5" t="e">
        <f ca="1">IF(OR(INDEX($AI$2:$AI$1001,MATCH(ROWS($AH$2:AH621),$AH$2:$AH$1001,0),1)&gt;=100000,INDEX($AO$1005:$BQ$1005,1,MATCH(COLUMNS($AO$1006:BI1006),$AO$1006:$BQ$1006,0))&gt;=100000), " ",IF(INDEX($AO$2:$BQ$1001,MATCH(ROWS($AH$2:AH621),$AH$2:$AH$1001,0),MATCH(COLUMNS($AO$1006:BI1006),$AO$1006:$BQ$1006,0)), HYPERLINK("#",""), HYPERLINK(CONCATENATE("#Metadata!", ADDRESS(INDEX($AJ$2:$AJ$1001,MATCH(ROWS($AH$2:AH621),$AH$2:$AH$1001,0),0), INDEX($AO$1004:$BQ$1004,1,MATCH(COLUMNS($AO$1006:BI1006),$AO$1006:$BQ$1006,0)))),"Fix")))</f>
        <v>#N/A</v>
      </c>
      <c r="W621" s="5" t="e">
        <f ca="1">IF(OR(INDEX($AI$2:$AI$1001,MATCH(ROWS($AH$2:AH621),$AH$2:$AH$1001,0),1)&gt;=100000,INDEX($AO$1005:$BQ$1005,1,MATCH(COLUMNS($AO$1006:BJ1006),$AO$1006:$BQ$1006,0))&gt;=100000), " ",IF(INDEX($AO$2:$BQ$1001,MATCH(ROWS($AH$2:AH621),$AH$2:$AH$1001,0),MATCH(COLUMNS($AO$1006:BJ1006),$AO$1006:$BQ$1006,0)), HYPERLINK("#",""), HYPERLINK(CONCATENATE("#Metadata!", ADDRESS(INDEX($AJ$2:$AJ$1001,MATCH(ROWS($AH$2:AH621),$AH$2:$AH$1001,0),0), INDEX($AO$1004:$BQ$1004,1,MATCH(COLUMNS($AO$1006:BJ1006),$AO$1006:$BQ$1006,0)))),"Fix")))</f>
        <v>#N/A</v>
      </c>
      <c r="X621" s="5" t="e">
        <f ca="1">IF(OR(INDEX($AI$2:$AI$1001,MATCH(ROWS($AH$2:AH621),$AH$2:$AH$1001,0),1)&gt;=100000,INDEX($AO$1005:$BQ$1005,1,MATCH(COLUMNS($AO$1006:BK1006),$AO$1006:$BQ$1006,0))&gt;=100000), " ",IF(INDEX($AO$2:$BQ$1001,MATCH(ROWS($AH$2:AH621),$AH$2:$AH$1001,0),MATCH(COLUMNS($AO$1006:BK1006),$AO$1006:$BQ$1006,0)), HYPERLINK("#",""), HYPERLINK(CONCATENATE("#Metadata!", ADDRESS(INDEX($AJ$2:$AJ$1001,MATCH(ROWS($AH$2:AH621),$AH$2:$AH$1001,0),0), INDEX($AO$1004:$BQ$1004,1,MATCH(COLUMNS($AO$1006:BK1006),$AO$1006:$BQ$1006,0)))),"Fix")))</f>
        <v>#N/A</v>
      </c>
      <c r="Y621" s="5" t="e">
        <f ca="1">IF(OR(INDEX($AI$2:$AI$1001,MATCH(ROWS($AH$2:AH621),$AH$2:$AH$1001,0),1)&gt;=100000,INDEX($AO$1005:$BQ$1005,1,MATCH(COLUMNS($AO$1006:BL1006),$AO$1006:$BQ$1006,0))&gt;=100000), " ",IF(INDEX($AO$2:$BQ$1001,MATCH(ROWS($AH$2:AH621),$AH$2:$AH$1001,0),MATCH(COLUMNS($AO$1006:BL1006),$AO$1006:$BQ$1006,0)), HYPERLINK("#",""), HYPERLINK(CONCATENATE("#Metadata!", ADDRESS(INDEX($AJ$2:$AJ$1001,MATCH(ROWS($AH$2:AH621),$AH$2:$AH$1001,0),0), INDEX($AO$1004:$BQ$1004,1,MATCH(COLUMNS($AO$1006:BL1006),$AO$1006:$BQ$1006,0)))),"Fix")))</f>
        <v>#N/A</v>
      </c>
      <c r="Z621" s="5" t="e">
        <f ca="1">IF(OR(INDEX($AI$2:$AI$1001,MATCH(ROWS($AH$2:AH621),$AH$2:$AH$1001,0),1)&gt;=100000,INDEX($AO$1005:$BQ$1005,1,MATCH(COLUMNS($AO$1006:BM1006),$AO$1006:$BQ$1006,0))&gt;=100000), " ",IF(INDEX($AO$2:$BQ$1001,MATCH(ROWS($AH$2:AH621),$AH$2:$AH$1001,0),MATCH(COLUMNS($AO$1006:BM1006),$AO$1006:$BQ$1006,0)), HYPERLINK("#",""), HYPERLINK(CONCATENATE("#Metadata!", ADDRESS(INDEX($AJ$2:$AJ$1001,MATCH(ROWS($AH$2:AH621),$AH$2:$AH$1001,0),0), INDEX($AO$1004:$BQ$1004,1,MATCH(COLUMNS($AO$1006:BM1006),$AO$1006:$BQ$1006,0)))),"Fix")))</f>
        <v>#N/A</v>
      </c>
      <c r="AA621" s="5" t="e">
        <f ca="1">IF(OR(INDEX($AI$2:$AI$1001,MATCH(ROWS($AH$2:AH621),$AH$2:$AH$1001,0),1)&gt;=100000,INDEX($AO$1005:$BQ$1005,1,MATCH(COLUMNS($AO$1006:BN1006),$AO$1006:$BQ$1006,0))&gt;=100000), " ",IF(INDEX($AO$2:$BQ$1001,MATCH(ROWS($AH$2:AH621),$AH$2:$AH$1001,0),MATCH(COLUMNS($AO$1006:BN1006),$AO$1006:$BQ$1006,0)), HYPERLINK("#",""), HYPERLINK(CONCATENATE("#Metadata!", ADDRESS(INDEX($AJ$2:$AJ$1001,MATCH(ROWS($AH$2:AH621),$AH$2:$AH$1001,0),0), INDEX($AO$1004:$BQ$1004,1,MATCH(COLUMNS($AO$1006:BN1006),$AO$1006:$BQ$1006,0)))),"Fix")))</f>
        <v>#N/A</v>
      </c>
      <c r="AB621" s="5" t="e">
        <f ca="1">IF(OR(INDEX($AI$2:$AI$1001,MATCH(ROWS($AH$2:AH621),$AH$2:$AH$1001,0),1)&gt;=100000,INDEX($AO$1005:$BQ$1005,1,MATCH(COLUMNS($AO$1006:BO1006),$AO$1006:$BQ$1006,0))&gt;=100000), " ",IF(INDEX($AO$2:$BQ$1001,MATCH(ROWS($AH$2:AH621),$AH$2:$AH$1001,0),MATCH(COLUMNS($AO$1006:BO1006),$AO$1006:$BQ$1006,0)), HYPERLINK("#",""), HYPERLINK(CONCATENATE("#Metadata!", ADDRESS(INDEX($AJ$2:$AJ$1001,MATCH(ROWS($AH$2:AH621),$AH$2:$AH$1001,0),0), INDEX($AO$1004:$BQ$1004,1,MATCH(COLUMNS($AO$1006:BO1006),$AO$1006:$BQ$1006,0)))),"Fix")))</f>
        <v>#N/A</v>
      </c>
      <c r="AC621" s="5" t="e">
        <f ca="1">IF(OR(INDEX($AI$2:$AI$1001,MATCH(ROWS($AH$2:AH621),$AH$2:$AH$1001,0),1)&gt;=100000,INDEX($AO$1005:$BQ$1005,1,MATCH(COLUMNS($AO$1006:BP1006),$AO$1006:$BQ$1006,0))&gt;=100000), " ",IF(INDEX($AO$2:$BQ$1001,MATCH(ROWS($AH$2:AH621),$AH$2:$AH$1001,0),MATCH(COLUMNS($AO$1006:BP1006),$AO$1006:$BQ$1006,0)), HYPERLINK("#",""), HYPERLINK(CONCATENATE("#Metadata!", ADDRESS(INDEX($AJ$2:$AJ$1001,MATCH(ROWS($AH$2:AH621),$AH$2:$AH$1001,0),0), INDEX($AO$1004:$BQ$1004,1,MATCH(COLUMNS($AO$1006:BP1006),$AO$1006:$BQ$1006,0)))),"Fix")))</f>
        <v>#N/A</v>
      </c>
      <c r="AD621" s="5" t="e">
        <f ca="1">IF(OR(INDEX($AI$2:$AI$1001,MATCH(ROWS($AH$2:AH621),$AH$2:$AH$1001,0),1)&gt;=100000,INDEX($AO$1005:$BQ$1005,1,MATCH(COLUMNS($AO$1006:BQ1006),$AO$1006:$BQ$1006,0))&gt;=100000), " ",IF(INDEX($AO$2:$BQ$1001,MATCH(ROWS($AH$2:AH621),$AH$2:$AH$1001,0),MATCH(COLUMNS($AO$1006:BQ1006),$AO$1006:$BQ$1006,0)), HYPERLINK("#",""), HYPERLINK(CONCATENATE("#Metadata!", ADDRESS(INDEX($AJ$2:$AJ$1001,MATCH(ROWS($AH$2:AH621),$AH$2:$AH$1001,0),0), INDEX($AO$1004:$BQ$1004,1,MATCH(COLUMNS($AO$1006:BQ1006),$AO$1006:$BQ$1006,0)))),"Fix")))</f>
        <v>#REF!</v>
      </c>
      <c r="AH621">
        <f ca="1"/>
        <v>618</v>
      </c>
      <c r="AI621">
        <v>100621</v>
      </c>
      <c r="AJ621">
        <v>621</v>
      </c>
      <c r="AK621" t="b">
        <f t="shared" si="9"/>
        <v>1</v>
      </c>
      <c r="AL621" t="b">
        <f>COUNTBLANK(Metadata!B621:AD621)=COLUMNS(Metadata!B621:AD621)</f>
        <v>1</v>
      </c>
      <c r="AM621" t="str">
        <v/>
      </c>
      <c r="AO621" t="b">
        <f ca="1">AND(IF(Metadata!B621="",FALSE,TRUE),COUNTIF(Metadata!B:B, Metadata!B621) = 1,NOT(ISERROR(SUMPRODUCT(SEARCH(MID(Metadata!B621,ROW(INDIRECT("1:"&amp;LEN(Metadata!B621))), 1),"0123456789abcdefghijklmnopqrstuvwxyzABCDEFGHIJKLMNOPQRSTUVWXYZ.")))))</f>
        <v>0</v>
      </c>
      <c r="AP621" t="b">
        <f>IF(Metadata!C621="",FALSE,TRUE)</f>
        <v>0</v>
      </c>
      <c r="AQ621" t="b">
        <f>IF(Metadata!D621="",FALSE,TRUE)</f>
        <v>0</v>
      </c>
      <c r="AR621" t="b">
        <f ca="1">OR(AND(IF(Metadata!E621="",FALSE,TRUE),OR(EXACT(Metadata!E621,"not collected"),EXACT(Metadata!E621,"not provided"),EXACT(Metadata!E621,"restricted access"))),AND(IF(Metadata!E621="",FALSE,TRUE),AND(AND(IFERROR(INT(LEFT(Metadata!E621,4))&gt;1900,FALSE),IFERROR(INT(LEFT(Metadata!E621,4))&lt;=YEAR(NOW()),FALSE)), OR(MID(Metadata!E621,5,1)="", AND(AND(MID(Metadata!E621,5,1)="-",IFERROR(INT(MID(Metadata!E621,6,1))&gt;=0,FALSE),IFERROR(INT(MID(Metadata!E621,6,1))&lt;=1,FALSE),NOT(MID(Metadata!E621,7,1)=""),IFERROR(INT(MID(Metadata!E621,6,2))&gt;=1,FALSE),IFERROR(INT(MID(Metadata!E621,6,2))&lt;=12,FALSE)), OR(MID(Metadata!E621,8,1)="", AND(AND(MID(Metadata!E621,8,1)="-",IFERROR(INT(MID(Metadata!E621,9,1))&gt;=0,FALSE),IFERROR(INT(MID(Metadata!E621,9,1))&lt;=3,FALSE),NOT(MID(Metadata!E621,10,1)=""),IFERROR(INT(MID(Metadata!E621,9,2))&gt;=1,FALSE),IFERROR(INT(MID(Metadata!E621,9,2))&lt;=31,FALSE)), OR(MID(Metadata!E621,11,1)="", AND(AND(MID(Metadata!E621,11,1)=" ",IFERROR(INT(MID(Metadata!E621,12,1))&gt;=0,FALSE),IFERROR(INT(MID(Metadata!E621,12,1))&lt;=2,FALSE),NOT(MID(Metadata!E621,13,1)=""),IFERROR(INT(MID(Metadata!E621,12,2))&gt;=0,FALSE),IFERROR(INT(MID(Metadata!E621,12,2))&lt;=23,FALSE)), OR(MID(Metadata!E621,14,1)="", AND(AND(MID(Metadata!E621,14,1)=":",IFERROR(INT(MID(Metadata!E621,15,1))&gt;=0,FALSE),IFERROR(INT(MID(Metadata!E621,15,1))&lt;=5,FALSE),NOT(MID(Metadata!E621,16,1)=""),IFERROR(INT(MID(Metadata!E621,15,2))&gt;=0,FALSE),IFERROR(INT(MID(Metadata!E621,15,2))&lt;=59,FALSE)), OR(MID(Metadata!E621,17,1)="", AND(AND(MID(Metadata!E621,17,1)=":",IFERROR(INT(MID(Metadata!E621,18,1))&gt;=0,FALSE),IFERROR(INT(MID(Metadata!E621,18,1))&lt;=5,FALSE),NOT(MID(Metadata!E621,19,1)=""),IFERROR(INT(MID(Metadata!E621,18,2))&gt;=0,FALSE),IFERROR(INT(MID(Metadata!E621,18,2))&lt;=59,FALSE)), LEN(Metadata!E621)&lt;=19)))))))))))))</f>
        <v>0</v>
      </c>
      <c r="AS621" t="b">
        <f>IF(Metadata!F621="",FALSE,TRUE)</f>
        <v>0</v>
      </c>
      <c r="AT621" t="b">
        <f>OR(AND(IF(Metadata!G621="",FALSE,TRUE),OR(EXACT(Metadata!G621,"not collected"),EXACT(Metadata!G621,"not provided"))),AND(IF(Metadata!G621="",FALSE,TRUE),OR(EXACT(Metadata!G621,"TRUE"),EXACT(Metadata!G621,"FALSE"))))</f>
        <v>0</v>
      </c>
      <c r="AU621" t="b">
        <f>OR(AND(IF(Metadata!H621="",FALSE,TRUE),OR(EXACT(Metadata!H621,"not collected"),EXACT(Metadata!H621,"not provided"),EXACT(Metadata!H621,"restricted access"))),AND(IF(Metadata!H621="",FALSE,ISNUMBER(VALUE(Metadata!H621))),Metadata!H621&gt;=-413))</f>
        <v>0</v>
      </c>
      <c r="AV621" t="b">
        <f>AND(IF(Metadata!I621="",FALSE,TRUE),EXACT(Metadata!I621,"meters"))</f>
        <v>0</v>
      </c>
      <c r="AW621" t="b">
        <f>AND(IF(Metadata!J621="",FALSE,TRUE),EXACT(Metadata!J621,"free-living"))</f>
        <v>0</v>
      </c>
      <c r="AX621" t="b">
        <f>AND(IF(Metadata!K621="",FALSE,TRUE),OR(EXACT(Metadata!K621,"saline"),EXACT(Metadata!K621,"non-saline")))</f>
        <v>0</v>
      </c>
      <c r="AY621" t="b">
        <f>AND(IF(Metadata!L621="",FALSE,TRUE),OR(EXACT(Metadata!L621,"sub-surface (non-saline)"),EXACT(Metadata!L621,"surface (non-saline)"),EXACT(Metadata!L621,"water (non-saline)"),EXACT(Metadata!L621,"soil (non-saline)"),EXACT(Metadata!L621,"aerosol (non-saline)"),EXACT(Metadata!L621,"sediment (non-saline)"),EXACT(Metadata!L621,"surface (saline)"),EXACT(Metadata!L621,"water (saline)"),EXACT(Metadata!L621,"hypersaline (saline)"),EXACT(Metadata!L621,"aerosol (saline)"),EXACT(Metadata!L621,"sediment (saline)")))</f>
        <v>0</v>
      </c>
      <c r="AZ621" t="b">
        <f>IF(Metadata!M621="",FALSE,TRUE)</f>
        <v>0</v>
      </c>
      <c r="BA621" t="b">
        <f>IF(Metadata!N621="",FALSE,TRUE)</f>
        <v>0</v>
      </c>
      <c r="BB621" t="b">
        <f>IF(Metadata!O621="",FALSE,TRUE)</f>
        <v>0</v>
      </c>
      <c r="BC621" t="b">
        <f>AND(IF(Metadata!P621="",FALSE,TRUE),OR(EXACT(Metadata!P621,"air"),EXACT(Metadata!P621,"microbial mat/biofilm"),EXACT(Metadata!P621,"misc environment"),EXACT(Metadata!P621,"sediment"),EXACT(Metadata!P621,"soil"),EXACT(Metadata!P621,"wastewater/sludge"),EXACT(Metadata!P621,"water")))</f>
        <v>0</v>
      </c>
      <c r="BD621" t="b">
        <f>IF(Metadata!Q621="",FALSE,TRUE)</f>
        <v>0</v>
      </c>
      <c r="BE621" t="b">
        <f>IF(Metadata!R621="",FALSE,TRUE)</f>
        <v>0</v>
      </c>
      <c r="BF621" t="b">
        <f>OR(AND(IF(Metadata!S621="",FALSE,TRUE),OR(EXACT(Metadata!S621,"not collected"),EXACT(Metadata!S621,"not provided"),EXACT(Metadata!S621,"restricted access"))),AND(IF(Metadata!S621="",FALSE,ISNUMBER(VALUE(Metadata!S621))),Metadata!S621&gt;=-90,Metadata!S621&lt;=90))</f>
        <v>0</v>
      </c>
      <c r="BG621" t="b">
        <f>AND(IF(Metadata!T621="",FALSE,TRUE),EXACT(Metadata!T621,"Decimal degrees"))</f>
        <v>0</v>
      </c>
      <c r="BH621" t="b">
        <f>OR(AND(IF(Metadata!U621="",FALSE,TRUE),OR(EXACT(Metadata!U621,"not applicable"),EXACT(Metadata!U621,"not collected"))),IF(Metadata!U621="",FALSE,TRUE))</f>
        <v>0</v>
      </c>
      <c r="BI621" t="b">
        <f>OR(AND(IF(Metadata!V621="",FALSE,TRUE),OR(EXACT(Metadata!V621,"not collected"),EXACT(Metadata!V621,"not provided"),EXACT(Metadata!V621,"restricted access"))),AND(IF(Metadata!V621="",FALSE,ISNUMBER(VALUE(Metadata!V621))),Metadata!V621&gt;=-180,Metadata!V621&lt;=180))</f>
        <v>0</v>
      </c>
      <c r="BJ621" t="b">
        <f>AND(IF(Metadata!W621="",FALSE,TRUE),EXACT(Metadata!W621,"Decimal degrees"))</f>
        <v>0</v>
      </c>
      <c r="BK621" t="b">
        <f>IF(Metadata!X621="",FALSE,TRUE)</f>
        <v>0</v>
      </c>
      <c r="BL621" t="b">
        <f>OR(AND(IF(Metadata!Y621="",FALSE,TRUE),OR(EXACT(Metadata!Y621,"not collected"),EXACT(Metadata!Y621,"not provided"),EXACT(Metadata!Y621,"restricted access"))),AND(IF(Metadata!Y621="",FALSE,TRUE),OR(EXACT(Metadata!Y621,"TRUE"),EXACT(Metadata!Y621,"FALSE"))))</f>
        <v>0</v>
      </c>
      <c r="BM621" t="b">
        <f>OR(AND(IF(Metadata!Z621="",FALSE,TRUE),EXACT(Metadata!Z621,"not applicable")),AND(IF(Metadata!Z621="",FALSE,TRUE),OR(EXACT(Metadata!Z621,"beer"),EXACT(Metadata!Z621,"cheese"),EXACT(Metadata!Z621,"fresh water"),EXACT(Metadata!Z621,"marine sediment"),EXACT(Metadata!Z621,"sea water"),EXACT(Metadata!Z621,"sediment"),EXACT(Metadata!Z621,"soil"),EXACT(Metadata!Z621,"waste water"))))</f>
        <v>0</v>
      </c>
      <c r="BN621" t="b">
        <f>AND(IF(Metadata!AA621="",FALSE,TRUE),EXACT(Metadata!AA621,"metagenome"))</f>
        <v>0</v>
      </c>
      <c r="BO621" t="b">
        <f>AND(IF(Metadata!AB621="",FALSE,TRUE),EXACT(Metadata!AB621,"256318"))</f>
        <v>0</v>
      </c>
      <c r="BP621" t="b">
        <f>IF(Metadata!AC621="",FALSE,TRUE)</f>
        <v>0</v>
      </c>
      <c r="BQ621" t="b">
        <f>IF(Metadata!AD621="",FALSE,TRUE)</f>
        <v>0</v>
      </c>
    </row>
    <row r="622" spans="1:69" x14ac:dyDescent="0.2">
      <c r="A622" s="4" t="e">
        <f ca="1">IF(B622=" "," ",HYPERLINK(CONCATENATE("#metadata!",ADDRESS(INDEX($AJ$2:$AJ$1001,MATCH(ROWS($AH$2:AH622),$AH$2:$AH$1001,0),0),2)),INDEX($AM$2:$AM$1001,MATCH(ROWS($AH$2:AH622),$AH$2:$AH$1001,0),0)))</f>
        <v>#N/A</v>
      </c>
      <c r="B622" s="5" t="e">
        <f ca="1">IF(OR(INDEX($AI$2:$AI$1001,MATCH(ROWS($AH$2:AH622),$AH$2:$AH$1001,0),1)&gt;=100000,INDEX($AO$1005:$BQ$1005,1,MATCH(COLUMNS($AO$1006:AO1006),$AO$1006:$BQ$1006,0))&gt;=100000), " ",IF(INDEX($AO$2:$BQ$1001,MATCH(ROWS($AH$2:AH622),$AH$2:$AH$1001,0),MATCH(COLUMNS($AO$1006:AO1006),$AO$1006:$BQ$1006,0)), HYPERLINK("#",""), HYPERLINK(CONCATENATE("#Metadata!", ADDRESS(INDEX($AJ$2:$AJ$1001,MATCH(ROWS($AH$2:AH622),$AH$2:$AH$1001,0),0), INDEX($AO$1004:$BQ$1004,1,MATCH(COLUMNS($AO$1006:AO1006),$AO$1006:$BQ$1006,0)))),"Fix")))</f>
        <v>#N/A</v>
      </c>
      <c r="C622" s="5" t="e">
        <f ca="1">IF(OR(INDEX($AI$2:$AI$1001,MATCH(ROWS($AH$2:AH622),$AH$2:$AH$1001,0),1)&gt;=100000,INDEX($AO$1005:$BQ$1005,1,MATCH(COLUMNS($AO$1006:AP1006),$AO$1006:$BQ$1006,0))&gt;=100000), " ",IF(INDEX($AO$2:$BQ$1001,MATCH(ROWS($AH$2:AH622),$AH$2:$AH$1001,0),MATCH(COLUMNS($AO$1006:AP1006),$AO$1006:$BQ$1006,0)), HYPERLINK("#",""), HYPERLINK(CONCATENATE("#Metadata!", ADDRESS(INDEX($AJ$2:$AJ$1001,MATCH(ROWS($AH$2:AH622),$AH$2:$AH$1001,0),0), INDEX($AO$1004:$BQ$1004,1,MATCH(COLUMNS($AO$1006:AP1006),$AO$1006:$BQ$1006,0)))),"Fix")))</f>
        <v>#N/A</v>
      </c>
      <c r="D622" s="5" t="e">
        <f ca="1">IF(OR(INDEX($AI$2:$AI$1001,MATCH(ROWS($AH$2:AH622),$AH$2:$AH$1001,0),1)&gt;=100000,INDEX($AO$1005:$BQ$1005,1,MATCH(COLUMNS($AO$1006:AQ1006),$AO$1006:$BQ$1006,0))&gt;=100000), " ",IF(INDEX($AO$2:$BQ$1001,MATCH(ROWS($AH$2:AH622),$AH$2:$AH$1001,0),MATCH(COLUMNS($AO$1006:AQ1006),$AO$1006:$BQ$1006,0)), HYPERLINK("#",""), HYPERLINK(CONCATENATE("#Metadata!", ADDRESS(INDEX($AJ$2:$AJ$1001,MATCH(ROWS($AH$2:AH622),$AH$2:$AH$1001,0),0), INDEX($AO$1004:$BQ$1004,1,MATCH(COLUMNS($AO$1006:AQ1006),$AO$1006:$BQ$1006,0)))),"Fix")))</f>
        <v>#N/A</v>
      </c>
      <c r="E622" s="5" t="e">
        <f ca="1">IF(OR(INDEX($AI$2:$AI$1001,MATCH(ROWS($AH$2:AH622),$AH$2:$AH$1001,0),1)&gt;=100000,INDEX($AO$1005:$BQ$1005,1,MATCH(COLUMNS($AO$1006:AR1006),$AO$1006:$BQ$1006,0))&gt;=100000), " ",IF(INDEX($AO$2:$BQ$1001,MATCH(ROWS($AH$2:AH622),$AH$2:$AH$1001,0),MATCH(COLUMNS($AO$1006:AR1006),$AO$1006:$BQ$1006,0)), HYPERLINK("#",""), HYPERLINK(CONCATENATE("#Metadata!", ADDRESS(INDEX($AJ$2:$AJ$1001,MATCH(ROWS($AH$2:AH622),$AH$2:$AH$1001,0),0), INDEX($AO$1004:$BQ$1004,1,MATCH(COLUMNS($AO$1006:AR1006),$AO$1006:$BQ$1006,0)))),"Fix")))</f>
        <v>#N/A</v>
      </c>
      <c r="F622" s="5" t="e">
        <f ca="1">IF(OR(INDEX($AI$2:$AI$1001,MATCH(ROWS($AH$2:AH622),$AH$2:$AH$1001,0),1)&gt;=100000,INDEX($AO$1005:$BQ$1005,1,MATCH(COLUMNS($AO$1006:AS1006),$AO$1006:$BQ$1006,0))&gt;=100000), " ",IF(INDEX($AO$2:$BQ$1001,MATCH(ROWS($AH$2:AH622),$AH$2:$AH$1001,0),MATCH(COLUMNS($AO$1006:AS1006),$AO$1006:$BQ$1006,0)), HYPERLINK("#",""), HYPERLINK(CONCATENATE("#Metadata!", ADDRESS(INDEX($AJ$2:$AJ$1001,MATCH(ROWS($AH$2:AH622),$AH$2:$AH$1001,0),0), INDEX($AO$1004:$BQ$1004,1,MATCH(COLUMNS($AO$1006:AS1006),$AO$1006:$BQ$1006,0)))),"Fix")))</f>
        <v>#N/A</v>
      </c>
      <c r="G622" s="5" t="e">
        <f ca="1">IF(OR(INDEX($AI$2:$AI$1001,MATCH(ROWS($AH$2:AH622),$AH$2:$AH$1001,0),1)&gt;=100000,INDEX($AO$1005:$BQ$1005,1,MATCH(COLUMNS($AO$1006:AT1006),$AO$1006:$BQ$1006,0))&gt;=100000), " ",IF(INDEX($AO$2:$BQ$1001,MATCH(ROWS($AH$2:AH622),$AH$2:$AH$1001,0),MATCH(COLUMNS($AO$1006:AT1006),$AO$1006:$BQ$1006,0)), HYPERLINK("#",""), HYPERLINK(CONCATENATE("#Metadata!", ADDRESS(INDEX($AJ$2:$AJ$1001,MATCH(ROWS($AH$2:AH622),$AH$2:$AH$1001,0),0), INDEX($AO$1004:$BQ$1004,1,MATCH(COLUMNS($AO$1006:AT1006),$AO$1006:$BQ$1006,0)))),"Fix")))</f>
        <v>#N/A</v>
      </c>
      <c r="H622" s="5" t="e">
        <f ca="1">IF(OR(INDEX($AI$2:$AI$1001,MATCH(ROWS($AH$2:AH622),$AH$2:$AH$1001,0),1)&gt;=100000,INDEX($AO$1005:$BQ$1005,1,MATCH(COLUMNS($AO$1006:AU1006),$AO$1006:$BQ$1006,0))&gt;=100000), " ",IF(INDEX($AO$2:$BQ$1001,MATCH(ROWS($AH$2:AH622),$AH$2:$AH$1001,0),MATCH(COLUMNS($AO$1006:AU1006),$AO$1006:$BQ$1006,0)), HYPERLINK("#",""), HYPERLINK(CONCATENATE("#Metadata!", ADDRESS(INDEX($AJ$2:$AJ$1001,MATCH(ROWS($AH$2:AH622),$AH$2:$AH$1001,0),0), INDEX($AO$1004:$BQ$1004,1,MATCH(COLUMNS($AO$1006:AU1006),$AO$1006:$BQ$1006,0)))),"Fix")))</f>
        <v>#N/A</v>
      </c>
      <c r="I622" s="5" t="e">
        <f ca="1">IF(OR(INDEX($AI$2:$AI$1001,MATCH(ROWS($AH$2:AH622),$AH$2:$AH$1001,0),1)&gt;=100000,INDEX($AO$1005:$BQ$1005,1,MATCH(COLUMNS($AO$1006:AV1006),$AO$1006:$BQ$1006,0))&gt;=100000), " ",IF(INDEX($AO$2:$BQ$1001,MATCH(ROWS($AH$2:AH622),$AH$2:$AH$1001,0),MATCH(COLUMNS($AO$1006:AV1006),$AO$1006:$BQ$1006,0)), HYPERLINK("#",""), HYPERLINK(CONCATENATE("#Metadata!", ADDRESS(INDEX($AJ$2:$AJ$1001,MATCH(ROWS($AH$2:AH622),$AH$2:$AH$1001,0),0), INDEX($AO$1004:$BQ$1004,1,MATCH(COLUMNS($AO$1006:AV1006),$AO$1006:$BQ$1006,0)))),"Fix")))</f>
        <v>#N/A</v>
      </c>
      <c r="J622" s="5" t="e">
        <f ca="1">IF(OR(INDEX($AI$2:$AI$1001,MATCH(ROWS($AH$2:AH622),$AH$2:$AH$1001,0),1)&gt;=100000,INDEX($AO$1005:$BQ$1005,1,MATCH(COLUMNS($AO$1006:AW1006),$AO$1006:$BQ$1006,0))&gt;=100000), " ",IF(INDEX($AO$2:$BQ$1001,MATCH(ROWS($AH$2:AH622),$AH$2:$AH$1001,0),MATCH(COLUMNS($AO$1006:AW1006),$AO$1006:$BQ$1006,0)), HYPERLINK("#",""), HYPERLINK(CONCATENATE("#Metadata!", ADDRESS(INDEX($AJ$2:$AJ$1001,MATCH(ROWS($AH$2:AH622),$AH$2:$AH$1001,0),0), INDEX($AO$1004:$BQ$1004,1,MATCH(COLUMNS($AO$1006:AW1006),$AO$1006:$BQ$1006,0)))),"Fix")))</f>
        <v>#N/A</v>
      </c>
      <c r="K622" s="5" t="e">
        <f ca="1">IF(OR(INDEX($AI$2:$AI$1001,MATCH(ROWS($AH$2:AH622),$AH$2:$AH$1001,0),1)&gt;=100000,INDEX($AO$1005:$BQ$1005,1,MATCH(COLUMNS($AO$1006:AX1006),$AO$1006:$BQ$1006,0))&gt;=100000), " ",IF(INDEX($AO$2:$BQ$1001,MATCH(ROWS($AH$2:AH622),$AH$2:$AH$1001,0),MATCH(COLUMNS($AO$1006:AX1006),$AO$1006:$BQ$1006,0)), HYPERLINK("#",""), HYPERLINK(CONCATENATE("#Metadata!", ADDRESS(INDEX($AJ$2:$AJ$1001,MATCH(ROWS($AH$2:AH622),$AH$2:$AH$1001,0),0), INDEX($AO$1004:$BQ$1004,1,MATCH(COLUMNS($AO$1006:AX1006),$AO$1006:$BQ$1006,0)))),"Fix")))</f>
        <v>#N/A</v>
      </c>
      <c r="L622" s="5" t="e">
        <f ca="1">IF(OR(INDEX($AI$2:$AI$1001,MATCH(ROWS($AH$2:AH622),$AH$2:$AH$1001,0),1)&gt;=100000,INDEX($AO$1005:$BQ$1005,1,MATCH(COLUMNS($AO$1006:AY1006),$AO$1006:$BQ$1006,0))&gt;=100000), " ",IF(INDEX($AO$2:$BQ$1001,MATCH(ROWS($AH$2:AH622),$AH$2:$AH$1001,0),MATCH(COLUMNS($AO$1006:AY1006),$AO$1006:$BQ$1006,0)), HYPERLINK("#",""), HYPERLINK(CONCATENATE("#Metadata!", ADDRESS(INDEX($AJ$2:$AJ$1001,MATCH(ROWS($AH$2:AH622),$AH$2:$AH$1001,0),0), INDEX($AO$1004:$BQ$1004,1,MATCH(COLUMNS($AO$1006:AY1006),$AO$1006:$BQ$1006,0)))),"Fix")))</f>
        <v>#N/A</v>
      </c>
      <c r="M622" s="5" t="e">
        <f ca="1">IF(OR(INDEX($AI$2:$AI$1001,MATCH(ROWS($AH$2:AH622),$AH$2:$AH$1001,0),1)&gt;=100000,INDEX($AO$1005:$BQ$1005,1,MATCH(COLUMNS($AO$1006:AZ1006),$AO$1006:$BQ$1006,0))&gt;=100000), " ",IF(INDEX($AO$2:$BQ$1001,MATCH(ROWS($AH$2:AH622),$AH$2:$AH$1001,0),MATCH(COLUMNS($AO$1006:AZ1006),$AO$1006:$BQ$1006,0)), HYPERLINK("#",""), HYPERLINK(CONCATENATE("#Metadata!", ADDRESS(INDEX($AJ$2:$AJ$1001,MATCH(ROWS($AH$2:AH622),$AH$2:$AH$1001,0),0), INDEX($AO$1004:$BQ$1004,1,MATCH(COLUMNS($AO$1006:AZ1006),$AO$1006:$BQ$1006,0)))),"Fix")))</f>
        <v>#N/A</v>
      </c>
      <c r="N622" s="5" t="e">
        <f ca="1">IF(OR(INDEX($AI$2:$AI$1001,MATCH(ROWS($AH$2:AH622),$AH$2:$AH$1001,0),1)&gt;=100000,INDEX($AO$1005:$BQ$1005,1,MATCH(COLUMNS($AO$1006:BA1006),$AO$1006:$BQ$1006,0))&gt;=100000), " ",IF(INDEX($AO$2:$BQ$1001,MATCH(ROWS($AH$2:AH622),$AH$2:$AH$1001,0),MATCH(COLUMNS($AO$1006:BA1006),$AO$1006:$BQ$1006,0)), HYPERLINK("#",""), HYPERLINK(CONCATENATE("#Metadata!", ADDRESS(INDEX($AJ$2:$AJ$1001,MATCH(ROWS($AH$2:AH622),$AH$2:$AH$1001,0),0), INDEX($AO$1004:$BQ$1004,1,MATCH(COLUMNS($AO$1006:BA1006),$AO$1006:$BQ$1006,0)))),"Fix")))</f>
        <v>#N/A</v>
      </c>
      <c r="O622" s="5" t="e">
        <f ca="1">IF(OR(INDEX($AI$2:$AI$1001,MATCH(ROWS($AH$2:AH622),$AH$2:$AH$1001,0),1)&gt;=100000,INDEX($AO$1005:$BQ$1005,1,MATCH(COLUMNS($AO$1006:BB1006),$AO$1006:$BQ$1006,0))&gt;=100000), " ",IF(INDEX($AO$2:$BQ$1001,MATCH(ROWS($AH$2:AH622),$AH$2:$AH$1001,0),MATCH(COLUMNS($AO$1006:BB1006),$AO$1006:$BQ$1006,0)), HYPERLINK("#",""), HYPERLINK(CONCATENATE("#Metadata!", ADDRESS(INDEX($AJ$2:$AJ$1001,MATCH(ROWS($AH$2:AH622),$AH$2:$AH$1001,0),0), INDEX($AO$1004:$BQ$1004,1,MATCH(COLUMNS($AO$1006:BB1006),$AO$1006:$BQ$1006,0)))),"Fix")))</f>
        <v>#N/A</v>
      </c>
      <c r="P622" s="5" t="e">
        <f ca="1">IF(OR(INDEX($AI$2:$AI$1001,MATCH(ROWS($AH$2:AH622),$AH$2:$AH$1001,0),1)&gt;=100000,INDEX($AO$1005:$BQ$1005,1,MATCH(COLUMNS($AO$1006:BC1006),$AO$1006:$BQ$1006,0))&gt;=100000), " ",IF(INDEX($AO$2:$BQ$1001,MATCH(ROWS($AH$2:AH622),$AH$2:$AH$1001,0),MATCH(COLUMNS($AO$1006:BC1006),$AO$1006:$BQ$1006,0)), HYPERLINK("#",""), HYPERLINK(CONCATENATE("#Metadata!", ADDRESS(INDEX($AJ$2:$AJ$1001,MATCH(ROWS($AH$2:AH622),$AH$2:$AH$1001,0),0), INDEX($AO$1004:$BQ$1004,1,MATCH(COLUMNS($AO$1006:BC1006),$AO$1006:$BQ$1006,0)))),"Fix")))</f>
        <v>#N/A</v>
      </c>
      <c r="Q622" s="5" t="e">
        <f ca="1">IF(OR(INDEX($AI$2:$AI$1001,MATCH(ROWS($AH$2:AH622),$AH$2:$AH$1001,0),1)&gt;=100000,INDEX($AO$1005:$BQ$1005,1,MATCH(COLUMNS($AO$1006:BD1006),$AO$1006:$BQ$1006,0))&gt;=100000), " ",IF(INDEX($AO$2:$BQ$1001,MATCH(ROWS($AH$2:AH622),$AH$2:$AH$1001,0),MATCH(COLUMNS($AO$1006:BD1006),$AO$1006:$BQ$1006,0)), HYPERLINK("#",""), HYPERLINK(CONCATENATE("#Metadata!", ADDRESS(INDEX($AJ$2:$AJ$1001,MATCH(ROWS($AH$2:AH622),$AH$2:$AH$1001,0),0), INDEX($AO$1004:$BQ$1004,1,MATCH(COLUMNS($AO$1006:BD1006),$AO$1006:$BQ$1006,0)))),"Fix")))</f>
        <v>#N/A</v>
      </c>
      <c r="R622" s="5" t="e">
        <f ca="1">IF(OR(INDEX($AI$2:$AI$1001,MATCH(ROWS($AH$2:AH622),$AH$2:$AH$1001,0),1)&gt;=100000,INDEX($AO$1005:$BQ$1005,1,MATCH(COLUMNS($AO$1006:BE1006),$AO$1006:$BQ$1006,0))&gt;=100000), " ",IF(INDEX($AO$2:$BQ$1001,MATCH(ROWS($AH$2:AH622),$AH$2:$AH$1001,0),MATCH(COLUMNS($AO$1006:BE1006),$AO$1006:$BQ$1006,0)), HYPERLINK("#",""), HYPERLINK(CONCATENATE("#Metadata!", ADDRESS(INDEX($AJ$2:$AJ$1001,MATCH(ROWS($AH$2:AH622),$AH$2:$AH$1001,0),0), INDEX($AO$1004:$BQ$1004,1,MATCH(COLUMNS($AO$1006:BE1006),$AO$1006:$BQ$1006,0)))),"Fix")))</f>
        <v>#N/A</v>
      </c>
      <c r="S622" s="5" t="e">
        <f ca="1">IF(OR(INDEX($AI$2:$AI$1001,MATCH(ROWS($AH$2:AH622),$AH$2:$AH$1001,0),1)&gt;=100000,INDEX($AO$1005:$BQ$1005,1,MATCH(COLUMNS($AO$1006:BF1006),$AO$1006:$BQ$1006,0))&gt;=100000), " ",IF(INDEX($AO$2:$BQ$1001,MATCH(ROWS($AH$2:AH622),$AH$2:$AH$1001,0),MATCH(COLUMNS($AO$1006:BF1006),$AO$1006:$BQ$1006,0)), HYPERLINK("#",""), HYPERLINK(CONCATENATE("#Metadata!", ADDRESS(INDEX($AJ$2:$AJ$1001,MATCH(ROWS($AH$2:AH622),$AH$2:$AH$1001,0),0), INDEX($AO$1004:$BQ$1004,1,MATCH(COLUMNS($AO$1006:BF1006),$AO$1006:$BQ$1006,0)))),"Fix")))</f>
        <v>#N/A</v>
      </c>
      <c r="T622" s="5" t="e">
        <f ca="1">IF(OR(INDEX($AI$2:$AI$1001,MATCH(ROWS($AH$2:AH622),$AH$2:$AH$1001,0),1)&gt;=100000,INDEX($AO$1005:$BQ$1005,1,MATCH(COLUMNS($AO$1006:BG1006),$AO$1006:$BQ$1006,0))&gt;=100000), " ",IF(INDEX($AO$2:$BQ$1001,MATCH(ROWS($AH$2:AH622),$AH$2:$AH$1001,0),MATCH(COLUMNS($AO$1006:BG1006),$AO$1006:$BQ$1006,0)), HYPERLINK("#",""), HYPERLINK(CONCATENATE("#Metadata!", ADDRESS(INDEX($AJ$2:$AJ$1001,MATCH(ROWS($AH$2:AH622),$AH$2:$AH$1001,0),0), INDEX($AO$1004:$BQ$1004,1,MATCH(COLUMNS($AO$1006:BG1006),$AO$1006:$BQ$1006,0)))),"Fix")))</f>
        <v>#N/A</v>
      </c>
      <c r="U622" s="5" t="e">
        <f ca="1">IF(OR(INDEX($AI$2:$AI$1001,MATCH(ROWS($AH$2:AH622),$AH$2:$AH$1001,0),1)&gt;=100000,INDEX($AO$1005:$BQ$1005,1,MATCH(COLUMNS($AO$1006:BH1006),$AO$1006:$BQ$1006,0))&gt;=100000), " ",IF(INDEX($AO$2:$BQ$1001,MATCH(ROWS($AH$2:AH622),$AH$2:$AH$1001,0),MATCH(COLUMNS($AO$1006:BH1006),$AO$1006:$BQ$1006,0)), HYPERLINK("#",""), HYPERLINK(CONCATENATE("#Metadata!", ADDRESS(INDEX($AJ$2:$AJ$1001,MATCH(ROWS($AH$2:AH622),$AH$2:$AH$1001,0),0), INDEX($AO$1004:$BQ$1004,1,MATCH(COLUMNS($AO$1006:BH1006),$AO$1006:$BQ$1006,0)))),"Fix")))</f>
        <v>#N/A</v>
      </c>
      <c r="V622" s="5" t="e">
        <f ca="1">IF(OR(INDEX($AI$2:$AI$1001,MATCH(ROWS($AH$2:AH622),$AH$2:$AH$1001,0),1)&gt;=100000,INDEX($AO$1005:$BQ$1005,1,MATCH(COLUMNS($AO$1006:BI1006),$AO$1006:$BQ$1006,0))&gt;=100000), " ",IF(INDEX($AO$2:$BQ$1001,MATCH(ROWS($AH$2:AH622),$AH$2:$AH$1001,0),MATCH(COLUMNS($AO$1006:BI1006),$AO$1006:$BQ$1006,0)), HYPERLINK("#",""), HYPERLINK(CONCATENATE("#Metadata!", ADDRESS(INDEX($AJ$2:$AJ$1001,MATCH(ROWS($AH$2:AH622),$AH$2:$AH$1001,0),0), INDEX($AO$1004:$BQ$1004,1,MATCH(COLUMNS($AO$1006:BI1006),$AO$1006:$BQ$1006,0)))),"Fix")))</f>
        <v>#N/A</v>
      </c>
      <c r="W622" s="5" t="e">
        <f ca="1">IF(OR(INDEX($AI$2:$AI$1001,MATCH(ROWS($AH$2:AH622),$AH$2:$AH$1001,0),1)&gt;=100000,INDEX($AO$1005:$BQ$1005,1,MATCH(COLUMNS($AO$1006:BJ1006),$AO$1006:$BQ$1006,0))&gt;=100000), " ",IF(INDEX($AO$2:$BQ$1001,MATCH(ROWS($AH$2:AH622),$AH$2:$AH$1001,0),MATCH(COLUMNS($AO$1006:BJ1006),$AO$1006:$BQ$1006,0)), HYPERLINK("#",""), HYPERLINK(CONCATENATE("#Metadata!", ADDRESS(INDEX($AJ$2:$AJ$1001,MATCH(ROWS($AH$2:AH622),$AH$2:$AH$1001,0),0), INDEX($AO$1004:$BQ$1004,1,MATCH(COLUMNS($AO$1006:BJ1006),$AO$1006:$BQ$1006,0)))),"Fix")))</f>
        <v>#N/A</v>
      </c>
      <c r="X622" s="5" t="e">
        <f ca="1">IF(OR(INDEX($AI$2:$AI$1001,MATCH(ROWS($AH$2:AH622),$AH$2:$AH$1001,0),1)&gt;=100000,INDEX($AO$1005:$BQ$1005,1,MATCH(COLUMNS($AO$1006:BK1006),$AO$1006:$BQ$1006,0))&gt;=100000), " ",IF(INDEX($AO$2:$BQ$1001,MATCH(ROWS($AH$2:AH622),$AH$2:$AH$1001,0),MATCH(COLUMNS($AO$1006:BK1006),$AO$1006:$BQ$1006,0)), HYPERLINK("#",""), HYPERLINK(CONCATENATE("#Metadata!", ADDRESS(INDEX($AJ$2:$AJ$1001,MATCH(ROWS($AH$2:AH622),$AH$2:$AH$1001,0),0), INDEX($AO$1004:$BQ$1004,1,MATCH(COLUMNS($AO$1006:BK1006),$AO$1006:$BQ$1006,0)))),"Fix")))</f>
        <v>#N/A</v>
      </c>
      <c r="Y622" s="5" t="e">
        <f ca="1">IF(OR(INDEX($AI$2:$AI$1001,MATCH(ROWS($AH$2:AH622),$AH$2:$AH$1001,0),1)&gt;=100000,INDEX($AO$1005:$BQ$1005,1,MATCH(COLUMNS($AO$1006:BL1006),$AO$1006:$BQ$1006,0))&gt;=100000), " ",IF(INDEX($AO$2:$BQ$1001,MATCH(ROWS($AH$2:AH622),$AH$2:$AH$1001,0),MATCH(COLUMNS($AO$1006:BL1006),$AO$1006:$BQ$1006,0)), HYPERLINK("#",""), HYPERLINK(CONCATENATE("#Metadata!", ADDRESS(INDEX($AJ$2:$AJ$1001,MATCH(ROWS($AH$2:AH622),$AH$2:$AH$1001,0),0), INDEX($AO$1004:$BQ$1004,1,MATCH(COLUMNS($AO$1006:BL1006),$AO$1006:$BQ$1006,0)))),"Fix")))</f>
        <v>#N/A</v>
      </c>
      <c r="Z622" s="5" t="e">
        <f ca="1">IF(OR(INDEX($AI$2:$AI$1001,MATCH(ROWS($AH$2:AH622),$AH$2:$AH$1001,0),1)&gt;=100000,INDEX($AO$1005:$BQ$1005,1,MATCH(COLUMNS($AO$1006:BM1006),$AO$1006:$BQ$1006,0))&gt;=100000), " ",IF(INDEX($AO$2:$BQ$1001,MATCH(ROWS($AH$2:AH622),$AH$2:$AH$1001,0),MATCH(COLUMNS($AO$1006:BM1006),$AO$1006:$BQ$1006,0)), HYPERLINK("#",""), HYPERLINK(CONCATENATE("#Metadata!", ADDRESS(INDEX($AJ$2:$AJ$1001,MATCH(ROWS($AH$2:AH622),$AH$2:$AH$1001,0),0), INDEX($AO$1004:$BQ$1004,1,MATCH(COLUMNS($AO$1006:BM1006),$AO$1006:$BQ$1006,0)))),"Fix")))</f>
        <v>#N/A</v>
      </c>
      <c r="AA622" s="5" t="e">
        <f ca="1">IF(OR(INDEX($AI$2:$AI$1001,MATCH(ROWS($AH$2:AH622),$AH$2:$AH$1001,0),1)&gt;=100000,INDEX($AO$1005:$BQ$1005,1,MATCH(COLUMNS($AO$1006:BN1006),$AO$1006:$BQ$1006,0))&gt;=100000), " ",IF(INDEX($AO$2:$BQ$1001,MATCH(ROWS($AH$2:AH622),$AH$2:$AH$1001,0),MATCH(COLUMNS($AO$1006:BN1006),$AO$1006:$BQ$1006,0)), HYPERLINK("#",""), HYPERLINK(CONCATENATE("#Metadata!", ADDRESS(INDEX($AJ$2:$AJ$1001,MATCH(ROWS($AH$2:AH622),$AH$2:$AH$1001,0),0), INDEX($AO$1004:$BQ$1004,1,MATCH(COLUMNS($AO$1006:BN1006),$AO$1006:$BQ$1006,0)))),"Fix")))</f>
        <v>#N/A</v>
      </c>
      <c r="AB622" s="5" t="e">
        <f ca="1">IF(OR(INDEX($AI$2:$AI$1001,MATCH(ROWS($AH$2:AH622),$AH$2:$AH$1001,0),1)&gt;=100000,INDEX($AO$1005:$BQ$1005,1,MATCH(COLUMNS($AO$1006:BO1006),$AO$1006:$BQ$1006,0))&gt;=100000), " ",IF(INDEX($AO$2:$BQ$1001,MATCH(ROWS($AH$2:AH622),$AH$2:$AH$1001,0),MATCH(COLUMNS($AO$1006:BO1006),$AO$1006:$BQ$1006,0)), HYPERLINK("#",""), HYPERLINK(CONCATENATE("#Metadata!", ADDRESS(INDEX($AJ$2:$AJ$1001,MATCH(ROWS($AH$2:AH622),$AH$2:$AH$1001,0),0), INDEX($AO$1004:$BQ$1004,1,MATCH(COLUMNS($AO$1006:BO1006),$AO$1006:$BQ$1006,0)))),"Fix")))</f>
        <v>#N/A</v>
      </c>
      <c r="AC622" s="5" t="e">
        <f ca="1">IF(OR(INDEX($AI$2:$AI$1001,MATCH(ROWS($AH$2:AH622),$AH$2:$AH$1001,0),1)&gt;=100000,INDEX($AO$1005:$BQ$1005,1,MATCH(COLUMNS($AO$1006:BP1006),$AO$1006:$BQ$1006,0))&gt;=100000), " ",IF(INDEX($AO$2:$BQ$1001,MATCH(ROWS($AH$2:AH622),$AH$2:$AH$1001,0),MATCH(COLUMNS($AO$1006:BP1006),$AO$1006:$BQ$1006,0)), HYPERLINK("#",""), HYPERLINK(CONCATENATE("#Metadata!", ADDRESS(INDEX($AJ$2:$AJ$1001,MATCH(ROWS($AH$2:AH622),$AH$2:$AH$1001,0),0), INDEX($AO$1004:$BQ$1004,1,MATCH(COLUMNS($AO$1006:BP1006),$AO$1006:$BQ$1006,0)))),"Fix")))</f>
        <v>#N/A</v>
      </c>
      <c r="AD622" s="5" t="e">
        <f ca="1">IF(OR(INDEX($AI$2:$AI$1001,MATCH(ROWS($AH$2:AH622),$AH$2:$AH$1001,0),1)&gt;=100000,INDEX($AO$1005:$BQ$1005,1,MATCH(COLUMNS($AO$1006:BQ1006),$AO$1006:$BQ$1006,0))&gt;=100000), " ",IF(INDEX($AO$2:$BQ$1001,MATCH(ROWS($AH$2:AH622),$AH$2:$AH$1001,0),MATCH(COLUMNS($AO$1006:BQ1006),$AO$1006:$BQ$1006,0)), HYPERLINK("#",""), HYPERLINK(CONCATENATE("#Metadata!", ADDRESS(INDEX($AJ$2:$AJ$1001,MATCH(ROWS($AH$2:AH622),$AH$2:$AH$1001,0),0), INDEX($AO$1004:$BQ$1004,1,MATCH(COLUMNS($AO$1006:BQ1006),$AO$1006:$BQ$1006,0)))),"Fix")))</f>
        <v>#REF!</v>
      </c>
      <c r="AH622">
        <f ca="1"/>
        <v>619</v>
      </c>
      <c r="AI622">
        <v>100622</v>
      </c>
      <c r="AJ622">
        <v>622</v>
      </c>
      <c r="AK622" t="b">
        <f t="shared" si="9"/>
        <v>1</v>
      </c>
      <c r="AL622" t="b">
        <f>COUNTBLANK(Metadata!B622:AD622)=COLUMNS(Metadata!B622:AD622)</f>
        <v>1</v>
      </c>
      <c r="AM622" t="str">
        <v/>
      </c>
      <c r="AO622" t="b">
        <f ca="1">AND(IF(Metadata!B622="",FALSE,TRUE),COUNTIF(Metadata!B:B, Metadata!B622) = 1,NOT(ISERROR(SUMPRODUCT(SEARCH(MID(Metadata!B622,ROW(INDIRECT("1:"&amp;LEN(Metadata!B622))), 1),"0123456789abcdefghijklmnopqrstuvwxyzABCDEFGHIJKLMNOPQRSTUVWXYZ.")))))</f>
        <v>0</v>
      </c>
      <c r="AP622" t="b">
        <f>IF(Metadata!C622="",FALSE,TRUE)</f>
        <v>0</v>
      </c>
      <c r="AQ622" t="b">
        <f>IF(Metadata!D622="",FALSE,TRUE)</f>
        <v>0</v>
      </c>
      <c r="AR622" t="b">
        <f ca="1">OR(AND(IF(Metadata!E622="",FALSE,TRUE),OR(EXACT(Metadata!E622,"not collected"),EXACT(Metadata!E622,"not provided"),EXACT(Metadata!E622,"restricted access"))),AND(IF(Metadata!E622="",FALSE,TRUE),AND(AND(IFERROR(INT(LEFT(Metadata!E622,4))&gt;1900,FALSE),IFERROR(INT(LEFT(Metadata!E622,4))&lt;=YEAR(NOW()),FALSE)), OR(MID(Metadata!E622,5,1)="", AND(AND(MID(Metadata!E622,5,1)="-",IFERROR(INT(MID(Metadata!E622,6,1))&gt;=0,FALSE),IFERROR(INT(MID(Metadata!E622,6,1))&lt;=1,FALSE),NOT(MID(Metadata!E622,7,1)=""),IFERROR(INT(MID(Metadata!E622,6,2))&gt;=1,FALSE),IFERROR(INT(MID(Metadata!E622,6,2))&lt;=12,FALSE)), OR(MID(Metadata!E622,8,1)="", AND(AND(MID(Metadata!E622,8,1)="-",IFERROR(INT(MID(Metadata!E622,9,1))&gt;=0,FALSE),IFERROR(INT(MID(Metadata!E622,9,1))&lt;=3,FALSE),NOT(MID(Metadata!E622,10,1)=""),IFERROR(INT(MID(Metadata!E622,9,2))&gt;=1,FALSE),IFERROR(INT(MID(Metadata!E622,9,2))&lt;=31,FALSE)), OR(MID(Metadata!E622,11,1)="", AND(AND(MID(Metadata!E622,11,1)=" ",IFERROR(INT(MID(Metadata!E622,12,1))&gt;=0,FALSE),IFERROR(INT(MID(Metadata!E622,12,1))&lt;=2,FALSE),NOT(MID(Metadata!E622,13,1)=""),IFERROR(INT(MID(Metadata!E622,12,2))&gt;=0,FALSE),IFERROR(INT(MID(Metadata!E622,12,2))&lt;=23,FALSE)), OR(MID(Metadata!E622,14,1)="", AND(AND(MID(Metadata!E622,14,1)=":",IFERROR(INT(MID(Metadata!E622,15,1))&gt;=0,FALSE),IFERROR(INT(MID(Metadata!E622,15,1))&lt;=5,FALSE),NOT(MID(Metadata!E622,16,1)=""),IFERROR(INT(MID(Metadata!E622,15,2))&gt;=0,FALSE),IFERROR(INT(MID(Metadata!E622,15,2))&lt;=59,FALSE)), OR(MID(Metadata!E622,17,1)="", AND(AND(MID(Metadata!E622,17,1)=":",IFERROR(INT(MID(Metadata!E622,18,1))&gt;=0,FALSE),IFERROR(INT(MID(Metadata!E622,18,1))&lt;=5,FALSE),NOT(MID(Metadata!E622,19,1)=""),IFERROR(INT(MID(Metadata!E622,18,2))&gt;=0,FALSE),IFERROR(INT(MID(Metadata!E622,18,2))&lt;=59,FALSE)), LEN(Metadata!E622)&lt;=19)))))))))))))</f>
        <v>0</v>
      </c>
      <c r="AS622" t="b">
        <f>IF(Metadata!F622="",FALSE,TRUE)</f>
        <v>0</v>
      </c>
      <c r="AT622" t="b">
        <f>OR(AND(IF(Metadata!G622="",FALSE,TRUE),OR(EXACT(Metadata!G622,"not collected"),EXACT(Metadata!G622,"not provided"))),AND(IF(Metadata!G622="",FALSE,TRUE),OR(EXACT(Metadata!G622,"TRUE"),EXACT(Metadata!G622,"FALSE"))))</f>
        <v>0</v>
      </c>
      <c r="AU622" t="b">
        <f>OR(AND(IF(Metadata!H622="",FALSE,TRUE),OR(EXACT(Metadata!H622,"not collected"),EXACT(Metadata!H622,"not provided"),EXACT(Metadata!H622,"restricted access"))),AND(IF(Metadata!H622="",FALSE,ISNUMBER(VALUE(Metadata!H622))),Metadata!H622&gt;=-413))</f>
        <v>0</v>
      </c>
      <c r="AV622" t="b">
        <f>AND(IF(Metadata!I622="",FALSE,TRUE),EXACT(Metadata!I622,"meters"))</f>
        <v>0</v>
      </c>
      <c r="AW622" t="b">
        <f>AND(IF(Metadata!J622="",FALSE,TRUE),EXACT(Metadata!J622,"free-living"))</f>
        <v>0</v>
      </c>
      <c r="AX622" t="b">
        <f>AND(IF(Metadata!K622="",FALSE,TRUE),OR(EXACT(Metadata!K622,"saline"),EXACT(Metadata!K622,"non-saline")))</f>
        <v>0</v>
      </c>
      <c r="AY622" t="b">
        <f>AND(IF(Metadata!L622="",FALSE,TRUE),OR(EXACT(Metadata!L622,"sub-surface (non-saline)"),EXACT(Metadata!L622,"surface (non-saline)"),EXACT(Metadata!L622,"water (non-saline)"),EXACT(Metadata!L622,"soil (non-saline)"),EXACT(Metadata!L622,"aerosol (non-saline)"),EXACT(Metadata!L622,"sediment (non-saline)"),EXACT(Metadata!L622,"surface (saline)"),EXACT(Metadata!L622,"water (saline)"),EXACT(Metadata!L622,"hypersaline (saline)"),EXACT(Metadata!L622,"aerosol (saline)"),EXACT(Metadata!L622,"sediment (saline)")))</f>
        <v>0</v>
      </c>
      <c r="AZ622" t="b">
        <f>IF(Metadata!M622="",FALSE,TRUE)</f>
        <v>0</v>
      </c>
      <c r="BA622" t="b">
        <f>IF(Metadata!N622="",FALSE,TRUE)</f>
        <v>0</v>
      </c>
      <c r="BB622" t="b">
        <f>IF(Metadata!O622="",FALSE,TRUE)</f>
        <v>0</v>
      </c>
      <c r="BC622" t="b">
        <f>AND(IF(Metadata!P622="",FALSE,TRUE),OR(EXACT(Metadata!P622,"air"),EXACT(Metadata!P622,"microbial mat/biofilm"),EXACT(Metadata!P622,"misc environment"),EXACT(Metadata!P622,"sediment"),EXACT(Metadata!P622,"soil"),EXACT(Metadata!P622,"wastewater/sludge"),EXACT(Metadata!P622,"water")))</f>
        <v>0</v>
      </c>
      <c r="BD622" t="b">
        <f>IF(Metadata!Q622="",FALSE,TRUE)</f>
        <v>0</v>
      </c>
      <c r="BE622" t="b">
        <f>IF(Metadata!R622="",FALSE,TRUE)</f>
        <v>0</v>
      </c>
      <c r="BF622" t="b">
        <f>OR(AND(IF(Metadata!S622="",FALSE,TRUE),OR(EXACT(Metadata!S622,"not collected"),EXACT(Metadata!S622,"not provided"),EXACT(Metadata!S622,"restricted access"))),AND(IF(Metadata!S622="",FALSE,ISNUMBER(VALUE(Metadata!S622))),Metadata!S622&gt;=-90,Metadata!S622&lt;=90))</f>
        <v>0</v>
      </c>
      <c r="BG622" t="b">
        <f>AND(IF(Metadata!T622="",FALSE,TRUE),EXACT(Metadata!T622,"Decimal degrees"))</f>
        <v>0</v>
      </c>
      <c r="BH622" t="b">
        <f>OR(AND(IF(Metadata!U622="",FALSE,TRUE),OR(EXACT(Metadata!U622,"not applicable"),EXACT(Metadata!U622,"not collected"))),IF(Metadata!U622="",FALSE,TRUE))</f>
        <v>0</v>
      </c>
      <c r="BI622" t="b">
        <f>OR(AND(IF(Metadata!V622="",FALSE,TRUE),OR(EXACT(Metadata!V622,"not collected"),EXACT(Metadata!V622,"not provided"),EXACT(Metadata!V622,"restricted access"))),AND(IF(Metadata!V622="",FALSE,ISNUMBER(VALUE(Metadata!V622))),Metadata!V622&gt;=-180,Metadata!V622&lt;=180))</f>
        <v>0</v>
      </c>
      <c r="BJ622" t="b">
        <f>AND(IF(Metadata!W622="",FALSE,TRUE),EXACT(Metadata!W622,"Decimal degrees"))</f>
        <v>0</v>
      </c>
      <c r="BK622" t="b">
        <f>IF(Metadata!X622="",FALSE,TRUE)</f>
        <v>0</v>
      </c>
      <c r="BL622" t="b">
        <f>OR(AND(IF(Metadata!Y622="",FALSE,TRUE),OR(EXACT(Metadata!Y622,"not collected"),EXACT(Metadata!Y622,"not provided"),EXACT(Metadata!Y622,"restricted access"))),AND(IF(Metadata!Y622="",FALSE,TRUE),OR(EXACT(Metadata!Y622,"TRUE"),EXACT(Metadata!Y622,"FALSE"))))</f>
        <v>0</v>
      </c>
      <c r="BM622" t="b">
        <f>OR(AND(IF(Metadata!Z622="",FALSE,TRUE),EXACT(Metadata!Z622,"not applicable")),AND(IF(Metadata!Z622="",FALSE,TRUE),OR(EXACT(Metadata!Z622,"beer"),EXACT(Metadata!Z622,"cheese"),EXACT(Metadata!Z622,"fresh water"),EXACT(Metadata!Z622,"marine sediment"),EXACT(Metadata!Z622,"sea water"),EXACT(Metadata!Z622,"sediment"),EXACT(Metadata!Z622,"soil"),EXACT(Metadata!Z622,"waste water"))))</f>
        <v>0</v>
      </c>
      <c r="BN622" t="b">
        <f>AND(IF(Metadata!AA622="",FALSE,TRUE),EXACT(Metadata!AA622,"metagenome"))</f>
        <v>0</v>
      </c>
      <c r="BO622" t="b">
        <f>AND(IF(Metadata!AB622="",FALSE,TRUE),EXACT(Metadata!AB622,"256318"))</f>
        <v>0</v>
      </c>
      <c r="BP622" t="b">
        <f>IF(Metadata!AC622="",FALSE,TRUE)</f>
        <v>0</v>
      </c>
      <c r="BQ622" t="b">
        <f>IF(Metadata!AD622="",FALSE,TRUE)</f>
        <v>0</v>
      </c>
    </row>
    <row r="623" spans="1:69" x14ac:dyDescent="0.2">
      <c r="A623" s="4" t="e">
        <f ca="1">IF(B623=" "," ",HYPERLINK(CONCATENATE("#metadata!",ADDRESS(INDEX($AJ$2:$AJ$1001,MATCH(ROWS($AH$2:AH623),$AH$2:$AH$1001,0),0),2)),INDEX($AM$2:$AM$1001,MATCH(ROWS($AH$2:AH623),$AH$2:$AH$1001,0),0)))</f>
        <v>#N/A</v>
      </c>
      <c r="B623" s="5" t="e">
        <f ca="1">IF(OR(INDEX($AI$2:$AI$1001,MATCH(ROWS($AH$2:AH623),$AH$2:$AH$1001,0),1)&gt;=100000,INDEX($AO$1005:$BQ$1005,1,MATCH(COLUMNS($AO$1006:AO1006),$AO$1006:$BQ$1006,0))&gt;=100000), " ",IF(INDEX($AO$2:$BQ$1001,MATCH(ROWS($AH$2:AH623),$AH$2:$AH$1001,0),MATCH(COLUMNS($AO$1006:AO1006),$AO$1006:$BQ$1006,0)), HYPERLINK("#",""), HYPERLINK(CONCATENATE("#Metadata!", ADDRESS(INDEX($AJ$2:$AJ$1001,MATCH(ROWS($AH$2:AH623),$AH$2:$AH$1001,0),0), INDEX($AO$1004:$BQ$1004,1,MATCH(COLUMNS($AO$1006:AO1006),$AO$1006:$BQ$1006,0)))),"Fix")))</f>
        <v>#N/A</v>
      </c>
      <c r="C623" s="5" t="e">
        <f ca="1">IF(OR(INDEX($AI$2:$AI$1001,MATCH(ROWS($AH$2:AH623),$AH$2:$AH$1001,0),1)&gt;=100000,INDEX($AO$1005:$BQ$1005,1,MATCH(COLUMNS($AO$1006:AP1006),$AO$1006:$BQ$1006,0))&gt;=100000), " ",IF(INDEX($AO$2:$BQ$1001,MATCH(ROWS($AH$2:AH623),$AH$2:$AH$1001,0),MATCH(COLUMNS($AO$1006:AP1006),$AO$1006:$BQ$1006,0)), HYPERLINK("#",""), HYPERLINK(CONCATENATE("#Metadata!", ADDRESS(INDEX($AJ$2:$AJ$1001,MATCH(ROWS($AH$2:AH623),$AH$2:$AH$1001,0),0), INDEX($AO$1004:$BQ$1004,1,MATCH(COLUMNS($AO$1006:AP1006),$AO$1006:$BQ$1006,0)))),"Fix")))</f>
        <v>#N/A</v>
      </c>
      <c r="D623" s="5" t="e">
        <f ca="1">IF(OR(INDEX($AI$2:$AI$1001,MATCH(ROWS($AH$2:AH623),$AH$2:$AH$1001,0),1)&gt;=100000,INDEX($AO$1005:$BQ$1005,1,MATCH(COLUMNS($AO$1006:AQ1006),$AO$1006:$BQ$1006,0))&gt;=100000), " ",IF(INDEX($AO$2:$BQ$1001,MATCH(ROWS($AH$2:AH623),$AH$2:$AH$1001,0),MATCH(COLUMNS($AO$1006:AQ1006),$AO$1006:$BQ$1006,0)), HYPERLINK("#",""), HYPERLINK(CONCATENATE("#Metadata!", ADDRESS(INDEX($AJ$2:$AJ$1001,MATCH(ROWS($AH$2:AH623),$AH$2:$AH$1001,0),0), INDEX($AO$1004:$BQ$1004,1,MATCH(COLUMNS($AO$1006:AQ1006),$AO$1006:$BQ$1006,0)))),"Fix")))</f>
        <v>#N/A</v>
      </c>
      <c r="E623" s="5" t="e">
        <f ca="1">IF(OR(INDEX($AI$2:$AI$1001,MATCH(ROWS($AH$2:AH623),$AH$2:$AH$1001,0),1)&gt;=100000,INDEX($AO$1005:$BQ$1005,1,MATCH(COLUMNS($AO$1006:AR1006),$AO$1006:$BQ$1006,0))&gt;=100000), " ",IF(INDEX($AO$2:$BQ$1001,MATCH(ROWS($AH$2:AH623),$AH$2:$AH$1001,0),MATCH(COLUMNS($AO$1006:AR1006),$AO$1006:$BQ$1006,0)), HYPERLINK("#",""), HYPERLINK(CONCATENATE("#Metadata!", ADDRESS(INDEX($AJ$2:$AJ$1001,MATCH(ROWS($AH$2:AH623),$AH$2:$AH$1001,0),0), INDEX($AO$1004:$BQ$1004,1,MATCH(COLUMNS($AO$1006:AR1006),$AO$1006:$BQ$1006,0)))),"Fix")))</f>
        <v>#N/A</v>
      </c>
      <c r="F623" s="5" t="e">
        <f ca="1">IF(OR(INDEX($AI$2:$AI$1001,MATCH(ROWS($AH$2:AH623),$AH$2:$AH$1001,0),1)&gt;=100000,INDEX($AO$1005:$BQ$1005,1,MATCH(COLUMNS($AO$1006:AS1006),$AO$1006:$BQ$1006,0))&gt;=100000), " ",IF(INDEX($AO$2:$BQ$1001,MATCH(ROWS($AH$2:AH623),$AH$2:$AH$1001,0),MATCH(COLUMNS($AO$1006:AS1006),$AO$1006:$BQ$1006,0)), HYPERLINK("#",""), HYPERLINK(CONCATENATE("#Metadata!", ADDRESS(INDEX($AJ$2:$AJ$1001,MATCH(ROWS($AH$2:AH623),$AH$2:$AH$1001,0),0), INDEX($AO$1004:$BQ$1004,1,MATCH(COLUMNS($AO$1006:AS1006),$AO$1006:$BQ$1006,0)))),"Fix")))</f>
        <v>#N/A</v>
      </c>
      <c r="G623" s="5" t="e">
        <f ca="1">IF(OR(INDEX($AI$2:$AI$1001,MATCH(ROWS($AH$2:AH623),$AH$2:$AH$1001,0),1)&gt;=100000,INDEX($AO$1005:$BQ$1005,1,MATCH(COLUMNS($AO$1006:AT1006),$AO$1006:$BQ$1006,0))&gt;=100000), " ",IF(INDEX($AO$2:$BQ$1001,MATCH(ROWS($AH$2:AH623),$AH$2:$AH$1001,0),MATCH(COLUMNS($AO$1006:AT1006),$AO$1006:$BQ$1006,0)), HYPERLINK("#",""), HYPERLINK(CONCATENATE("#Metadata!", ADDRESS(INDEX($AJ$2:$AJ$1001,MATCH(ROWS($AH$2:AH623),$AH$2:$AH$1001,0),0), INDEX($AO$1004:$BQ$1004,1,MATCH(COLUMNS($AO$1006:AT1006),$AO$1006:$BQ$1006,0)))),"Fix")))</f>
        <v>#N/A</v>
      </c>
      <c r="H623" s="5" t="e">
        <f ca="1">IF(OR(INDEX($AI$2:$AI$1001,MATCH(ROWS($AH$2:AH623),$AH$2:$AH$1001,0),1)&gt;=100000,INDEX($AO$1005:$BQ$1005,1,MATCH(COLUMNS($AO$1006:AU1006),$AO$1006:$BQ$1006,0))&gt;=100000), " ",IF(INDEX($AO$2:$BQ$1001,MATCH(ROWS($AH$2:AH623),$AH$2:$AH$1001,0),MATCH(COLUMNS($AO$1006:AU1006),$AO$1006:$BQ$1006,0)), HYPERLINK("#",""), HYPERLINK(CONCATENATE("#Metadata!", ADDRESS(INDEX($AJ$2:$AJ$1001,MATCH(ROWS($AH$2:AH623),$AH$2:$AH$1001,0),0), INDEX($AO$1004:$BQ$1004,1,MATCH(COLUMNS($AO$1006:AU1006),$AO$1006:$BQ$1006,0)))),"Fix")))</f>
        <v>#N/A</v>
      </c>
      <c r="I623" s="5" t="e">
        <f ca="1">IF(OR(INDEX($AI$2:$AI$1001,MATCH(ROWS($AH$2:AH623),$AH$2:$AH$1001,0),1)&gt;=100000,INDEX($AO$1005:$BQ$1005,1,MATCH(COLUMNS($AO$1006:AV1006),$AO$1006:$BQ$1006,0))&gt;=100000), " ",IF(INDEX($AO$2:$BQ$1001,MATCH(ROWS($AH$2:AH623),$AH$2:$AH$1001,0),MATCH(COLUMNS($AO$1006:AV1006),$AO$1006:$BQ$1006,0)), HYPERLINK("#",""), HYPERLINK(CONCATENATE("#Metadata!", ADDRESS(INDEX($AJ$2:$AJ$1001,MATCH(ROWS($AH$2:AH623),$AH$2:$AH$1001,0),0), INDEX($AO$1004:$BQ$1004,1,MATCH(COLUMNS($AO$1006:AV1006),$AO$1006:$BQ$1006,0)))),"Fix")))</f>
        <v>#N/A</v>
      </c>
      <c r="J623" s="5" t="e">
        <f ca="1">IF(OR(INDEX($AI$2:$AI$1001,MATCH(ROWS($AH$2:AH623),$AH$2:$AH$1001,0),1)&gt;=100000,INDEX($AO$1005:$BQ$1005,1,MATCH(COLUMNS($AO$1006:AW1006),$AO$1006:$BQ$1006,0))&gt;=100000), " ",IF(INDEX($AO$2:$BQ$1001,MATCH(ROWS($AH$2:AH623),$AH$2:$AH$1001,0),MATCH(COLUMNS($AO$1006:AW1006),$AO$1006:$BQ$1006,0)), HYPERLINK("#",""), HYPERLINK(CONCATENATE("#Metadata!", ADDRESS(INDEX($AJ$2:$AJ$1001,MATCH(ROWS($AH$2:AH623),$AH$2:$AH$1001,0),0), INDEX($AO$1004:$BQ$1004,1,MATCH(COLUMNS($AO$1006:AW1006),$AO$1006:$BQ$1006,0)))),"Fix")))</f>
        <v>#N/A</v>
      </c>
      <c r="K623" s="5" t="e">
        <f ca="1">IF(OR(INDEX($AI$2:$AI$1001,MATCH(ROWS($AH$2:AH623),$AH$2:$AH$1001,0),1)&gt;=100000,INDEX($AO$1005:$BQ$1005,1,MATCH(COLUMNS($AO$1006:AX1006),$AO$1006:$BQ$1006,0))&gt;=100000), " ",IF(INDEX($AO$2:$BQ$1001,MATCH(ROWS($AH$2:AH623),$AH$2:$AH$1001,0),MATCH(COLUMNS($AO$1006:AX1006),$AO$1006:$BQ$1006,0)), HYPERLINK("#",""), HYPERLINK(CONCATENATE("#Metadata!", ADDRESS(INDEX($AJ$2:$AJ$1001,MATCH(ROWS($AH$2:AH623),$AH$2:$AH$1001,0),0), INDEX($AO$1004:$BQ$1004,1,MATCH(COLUMNS($AO$1006:AX1006),$AO$1006:$BQ$1006,0)))),"Fix")))</f>
        <v>#N/A</v>
      </c>
      <c r="L623" s="5" t="e">
        <f ca="1">IF(OR(INDEX($AI$2:$AI$1001,MATCH(ROWS($AH$2:AH623),$AH$2:$AH$1001,0),1)&gt;=100000,INDEX($AO$1005:$BQ$1005,1,MATCH(COLUMNS($AO$1006:AY1006),$AO$1006:$BQ$1006,0))&gt;=100000), " ",IF(INDEX($AO$2:$BQ$1001,MATCH(ROWS($AH$2:AH623),$AH$2:$AH$1001,0),MATCH(COLUMNS($AO$1006:AY1006),$AO$1006:$BQ$1006,0)), HYPERLINK("#",""), HYPERLINK(CONCATENATE("#Metadata!", ADDRESS(INDEX($AJ$2:$AJ$1001,MATCH(ROWS($AH$2:AH623),$AH$2:$AH$1001,0),0), INDEX($AO$1004:$BQ$1004,1,MATCH(COLUMNS($AO$1006:AY1006),$AO$1006:$BQ$1006,0)))),"Fix")))</f>
        <v>#N/A</v>
      </c>
      <c r="M623" s="5" t="e">
        <f ca="1">IF(OR(INDEX($AI$2:$AI$1001,MATCH(ROWS($AH$2:AH623),$AH$2:$AH$1001,0),1)&gt;=100000,INDEX($AO$1005:$BQ$1005,1,MATCH(COLUMNS($AO$1006:AZ1006),$AO$1006:$BQ$1006,0))&gt;=100000), " ",IF(INDEX($AO$2:$BQ$1001,MATCH(ROWS($AH$2:AH623),$AH$2:$AH$1001,0),MATCH(COLUMNS($AO$1006:AZ1006),$AO$1006:$BQ$1006,0)), HYPERLINK("#",""), HYPERLINK(CONCATENATE("#Metadata!", ADDRESS(INDEX($AJ$2:$AJ$1001,MATCH(ROWS($AH$2:AH623),$AH$2:$AH$1001,0),0), INDEX($AO$1004:$BQ$1004,1,MATCH(COLUMNS($AO$1006:AZ1006),$AO$1006:$BQ$1006,0)))),"Fix")))</f>
        <v>#N/A</v>
      </c>
      <c r="N623" s="5" t="e">
        <f ca="1">IF(OR(INDEX($AI$2:$AI$1001,MATCH(ROWS($AH$2:AH623),$AH$2:$AH$1001,0),1)&gt;=100000,INDEX($AO$1005:$BQ$1005,1,MATCH(COLUMNS($AO$1006:BA1006),$AO$1006:$BQ$1006,0))&gt;=100000), " ",IF(INDEX($AO$2:$BQ$1001,MATCH(ROWS($AH$2:AH623),$AH$2:$AH$1001,0),MATCH(COLUMNS($AO$1006:BA1006),$AO$1006:$BQ$1006,0)), HYPERLINK("#",""), HYPERLINK(CONCATENATE("#Metadata!", ADDRESS(INDEX($AJ$2:$AJ$1001,MATCH(ROWS($AH$2:AH623),$AH$2:$AH$1001,0),0), INDEX($AO$1004:$BQ$1004,1,MATCH(COLUMNS($AO$1006:BA1006),$AO$1006:$BQ$1006,0)))),"Fix")))</f>
        <v>#N/A</v>
      </c>
      <c r="O623" s="5" t="e">
        <f ca="1">IF(OR(INDEX($AI$2:$AI$1001,MATCH(ROWS($AH$2:AH623),$AH$2:$AH$1001,0),1)&gt;=100000,INDEX($AO$1005:$BQ$1005,1,MATCH(COLUMNS($AO$1006:BB1006),$AO$1006:$BQ$1006,0))&gt;=100000), " ",IF(INDEX($AO$2:$BQ$1001,MATCH(ROWS($AH$2:AH623),$AH$2:$AH$1001,0),MATCH(COLUMNS($AO$1006:BB1006),$AO$1006:$BQ$1006,0)), HYPERLINK("#",""), HYPERLINK(CONCATENATE("#Metadata!", ADDRESS(INDEX($AJ$2:$AJ$1001,MATCH(ROWS($AH$2:AH623),$AH$2:$AH$1001,0),0), INDEX($AO$1004:$BQ$1004,1,MATCH(COLUMNS($AO$1006:BB1006),$AO$1006:$BQ$1006,0)))),"Fix")))</f>
        <v>#N/A</v>
      </c>
      <c r="P623" s="5" t="e">
        <f ca="1">IF(OR(INDEX($AI$2:$AI$1001,MATCH(ROWS($AH$2:AH623),$AH$2:$AH$1001,0),1)&gt;=100000,INDEX($AO$1005:$BQ$1005,1,MATCH(COLUMNS($AO$1006:BC1006),$AO$1006:$BQ$1006,0))&gt;=100000), " ",IF(INDEX($AO$2:$BQ$1001,MATCH(ROWS($AH$2:AH623),$AH$2:$AH$1001,0),MATCH(COLUMNS($AO$1006:BC1006),$AO$1006:$BQ$1006,0)), HYPERLINK("#",""), HYPERLINK(CONCATENATE("#Metadata!", ADDRESS(INDEX($AJ$2:$AJ$1001,MATCH(ROWS($AH$2:AH623),$AH$2:$AH$1001,0),0), INDEX($AO$1004:$BQ$1004,1,MATCH(COLUMNS($AO$1006:BC1006),$AO$1006:$BQ$1006,0)))),"Fix")))</f>
        <v>#N/A</v>
      </c>
      <c r="Q623" s="5" t="e">
        <f ca="1">IF(OR(INDEX($AI$2:$AI$1001,MATCH(ROWS($AH$2:AH623),$AH$2:$AH$1001,0),1)&gt;=100000,INDEX($AO$1005:$BQ$1005,1,MATCH(COLUMNS($AO$1006:BD1006),$AO$1006:$BQ$1006,0))&gt;=100000), " ",IF(INDEX($AO$2:$BQ$1001,MATCH(ROWS($AH$2:AH623),$AH$2:$AH$1001,0),MATCH(COLUMNS($AO$1006:BD1006),$AO$1006:$BQ$1006,0)), HYPERLINK("#",""), HYPERLINK(CONCATENATE("#Metadata!", ADDRESS(INDEX($AJ$2:$AJ$1001,MATCH(ROWS($AH$2:AH623),$AH$2:$AH$1001,0),0), INDEX($AO$1004:$BQ$1004,1,MATCH(COLUMNS($AO$1006:BD1006),$AO$1006:$BQ$1006,0)))),"Fix")))</f>
        <v>#N/A</v>
      </c>
      <c r="R623" s="5" t="e">
        <f ca="1">IF(OR(INDEX($AI$2:$AI$1001,MATCH(ROWS($AH$2:AH623),$AH$2:$AH$1001,0),1)&gt;=100000,INDEX($AO$1005:$BQ$1005,1,MATCH(COLUMNS($AO$1006:BE1006),$AO$1006:$BQ$1006,0))&gt;=100000), " ",IF(INDEX($AO$2:$BQ$1001,MATCH(ROWS($AH$2:AH623),$AH$2:$AH$1001,0),MATCH(COLUMNS($AO$1006:BE1006),$AO$1006:$BQ$1006,0)), HYPERLINK("#",""), HYPERLINK(CONCATENATE("#Metadata!", ADDRESS(INDEX($AJ$2:$AJ$1001,MATCH(ROWS($AH$2:AH623),$AH$2:$AH$1001,0),0), INDEX($AO$1004:$BQ$1004,1,MATCH(COLUMNS($AO$1006:BE1006),$AO$1006:$BQ$1006,0)))),"Fix")))</f>
        <v>#N/A</v>
      </c>
      <c r="S623" s="5" t="e">
        <f ca="1">IF(OR(INDEX($AI$2:$AI$1001,MATCH(ROWS($AH$2:AH623),$AH$2:$AH$1001,0),1)&gt;=100000,INDEX($AO$1005:$BQ$1005,1,MATCH(COLUMNS($AO$1006:BF1006),$AO$1006:$BQ$1006,0))&gt;=100000), " ",IF(INDEX($AO$2:$BQ$1001,MATCH(ROWS($AH$2:AH623),$AH$2:$AH$1001,0),MATCH(COLUMNS($AO$1006:BF1006),$AO$1006:$BQ$1006,0)), HYPERLINK("#",""), HYPERLINK(CONCATENATE("#Metadata!", ADDRESS(INDEX($AJ$2:$AJ$1001,MATCH(ROWS($AH$2:AH623),$AH$2:$AH$1001,0),0), INDEX($AO$1004:$BQ$1004,1,MATCH(COLUMNS($AO$1006:BF1006),$AO$1006:$BQ$1006,0)))),"Fix")))</f>
        <v>#N/A</v>
      </c>
      <c r="T623" s="5" t="e">
        <f ca="1">IF(OR(INDEX($AI$2:$AI$1001,MATCH(ROWS($AH$2:AH623),$AH$2:$AH$1001,0),1)&gt;=100000,INDEX($AO$1005:$BQ$1005,1,MATCH(COLUMNS($AO$1006:BG1006),$AO$1006:$BQ$1006,0))&gt;=100000), " ",IF(INDEX($AO$2:$BQ$1001,MATCH(ROWS($AH$2:AH623),$AH$2:$AH$1001,0),MATCH(COLUMNS($AO$1006:BG1006),$AO$1006:$BQ$1006,0)), HYPERLINK("#",""), HYPERLINK(CONCATENATE("#Metadata!", ADDRESS(INDEX($AJ$2:$AJ$1001,MATCH(ROWS($AH$2:AH623),$AH$2:$AH$1001,0),0), INDEX($AO$1004:$BQ$1004,1,MATCH(COLUMNS($AO$1006:BG1006),$AO$1006:$BQ$1006,0)))),"Fix")))</f>
        <v>#N/A</v>
      </c>
      <c r="U623" s="5" t="e">
        <f ca="1">IF(OR(INDEX($AI$2:$AI$1001,MATCH(ROWS($AH$2:AH623),$AH$2:$AH$1001,0),1)&gt;=100000,INDEX($AO$1005:$BQ$1005,1,MATCH(COLUMNS($AO$1006:BH1006),$AO$1006:$BQ$1006,0))&gt;=100000), " ",IF(INDEX($AO$2:$BQ$1001,MATCH(ROWS($AH$2:AH623),$AH$2:$AH$1001,0),MATCH(COLUMNS($AO$1006:BH1006),$AO$1006:$BQ$1006,0)), HYPERLINK("#",""), HYPERLINK(CONCATENATE("#Metadata!", ADDRESS(INDEX($AJ$2:$AJ$1001,MATCH(ROWS($AH$2:AH623),$AH$2:$AH$1001,0),0), INDEX($AO$1004:$BQ$1004,1,MATCH(COLUMNS($AO$1006:BH1006),$AO$1006:$BQ$1006,0)))),"Fix")))</f>
        <v>#N/A</v>
      </c>
      <c r="V623" s="5" t="e">
        <f ca="1">IF(OR(INDEX($AI$2:$AI$1001,MATCH(ROWS($AH$2:AH623),$AH$2:$AH$1001,0),1)&gt;=100000,INDEX($AO$1005:$BQ$1005,1,MATCH(COLUMNS($AO$1006:BI1006),$AO$1006:$BQ$1006,0))&gt;=100000), " ",IF(INDEX($AO$2:$BQ$1001,MATCH(ROWS($AH$2:AH623),$AH$2:$AH$1001,0),MATCH(COLUMNS($AO$1006:BI1006),$AO$1006:$BQ$1006,0)), HYPERLINK("#",""), HYPERLINK(CONCATENATE("#Metadata!", ADDRESS(INDEX($AJ$2:$AJ$1001,MATCH(ROWS($AH$2:AH623),$AH$2:$AH$1001,0),0), INDEX($AO$1004:$BQ$1004,1,MATCH(COLUMNS($AO$1006:BI1006),$AO$1006:$BQ$1006,0)))),"Fix")))</f>
        <v>#N/A</v>
      </c>
      <c r="W623" s="5" t="e">
        <f ca="1">IF(OR(INDEX($AI$2:$AI$1001,MATCH(ROWS($AH$2:AH623),$AH$2:$AH$1001,0),1)&gt;=100000,INDEX($AO$1005:$BQ$1005,1,MATCH(COLUMNS($AO$1006:BJ1006),$AO$1006:$BQ$1006,0))&gt;=100000), " ",IF(INDEX($AO$2:$BQ$1001,MATCH(ROWS($AH$2:AH623),$AH$2:$AH$1001,0),MATCH(COLUMNS($AO$1006:BJ1006),$AO$1006:$BQ$1006,0)), HYPERLINK("#",""), HYPERLINK(CONCATENATE("#Metadata!", ADDRESS(INDEX($AJ$2:$AJ$1001,MATCH(ROWS($AH$2:AH623),$AH$2:$AH$1001,0),0), INDEX($AO$1004:$BQ$1004,1,MATCH(COLUMNS($AO$1006:BJ1006),$AO$1006:$BQ$1006,0)))),"Fix")))</f>
        <v>#N/A</v>
      </c>
      <c r="X623" s="5" t="e">
        <f ca="1">IF(OR(INDEX($AI$2:$AI$1001,MATCH(ROWS($AH$2:AH623),$AH$2:$AH$1001,0),1)&gt;=100000,INDEX($AO$1005:$BQ$1005,1,MATCH(COLUMNS($AO$1006:BK1006),$AO$1006:$BQ$1006,0))&gt;=100000), " ",IF(INDEX($AO$2:$BQ$1001,MATCH(ROWS($AH$2:AH623),$AH$2:$AH$1001,0),MATCH(COLUMNS($AO$1006:BK1006),$AO$1006:$BQ$1006,0)), HYPERLINK("#",""), HYPERLINK(CONCATENATE("#Metadata!", ADDRESS(INDEX($AJ$2:$AJ$1001,MATCH(ROWS($AH$2:AH623),$AH$2:$AH$1001,0),0), INDEX($AO$1004:$BQ$1004,1,MATCH(COLUMNS($AO$1006:BK1006),$AO$1006:$BQ$1006,0)))),"Fix")))</f>
        <v>#N/A</v>
      </c>
      <c r="Y623" s="5" t="e">
        <f ca="1">IF(OR(INDEX($AI$2:$AI$1001,MATCH(ROWS($AH$2:AH623),$AH$2:$AH$1001,0),1)&gt;=100000,INDEX($AO$1005:$BQ$1005,1,MATCH(COLUMNS($AO$1006:BL1006),$AO$1006:$BQ$1006,0))&gt;=100000), " ",IF(INDEX($AO$2:$BQ$1001,MATCH(ROWS($AH$2:AH623),$AH$2:$AH$1001,0),MATCH(COLUMNS($AO$1006:BL1006),$AO$1006:$BQ$1006,0)), HYPERLINK("#",""), HYPERLINK(CONCATENATE("#Metadata!", ADDRESS(INDEX($AJ$2:$AJ$1001,MATCH(ROWS($AH$2:AH623),$AH$2:$AH$1001,0),0), INDEX($AO$1004:$BQ$1004,1,MATCH(COLUMNS($AO$1006:BL1006),$AO$1006:$BQ$1006,0)))),"Fix")))</f>
        <v>#N/A</v>
      </c>
      <c r="Z623" s="5" t="e">
        <f ca="1">IF(OR(INDEX($AI$2:$AI$1001,MATCH(ROWS($AH$2:AH623),$AH$2:$AH$1001,0),1)&gt;=100000,INDEX($AO$1005:$BQ$1005,1,MATCH(COLUMNS($AO$1006:BM1006),$AO$1006:$BQ$1006,0))&gt;=100000), " ",IF(INDEX($AO$2:$BQ$1001,MATCH(ROWS($AH$2:AH623),$AH$2:$AH$1001,0),MATCH(COLUMNS($AO$1006:BM1006),$AO$1006:$BQ$1006,0)), HYPERLINK("#",""), HYPERLINK(CONCATENATE("#Metadata!", ADDRESS(INDEX($AJ$2:$AJ$1001,MATCH(ROWS($AH$2:AH623),$AH$2:$AH$1001,0),0), INDEX($AO$1004:$BQ$1004,1,MATCH(COLUMNS($AO$1006:BM1006),$AO$1006:$BQ$1006,0)))),"Fix")))</f>
        <v>#N/A</v>
      </c>
      <c r="AA623" s="5" t="e">
        <f ca="1">IF(OR(INDEX($AI$2:$AI$1001,MATCH(ROWS($AH$2:AH623),$AH$2:$AH$1001,0),1)&gt;=100000,INDEX($AO$1005:$BQ$1005,1,MATCH(COLUMNS($AO$1006:BN1006),$AO$1006:$BQ$1006,0))&gt;=100000), " ",IF(INDEX($AO$2:$BQ$1001,MATCH(ROWS($AH$2:AH623),$AH$2:$AH$1001,0),MATCH(COLUMNS($AO$1006:BN1006),$AO$1006:$BQ$1006,0)), HYPERLINK("#",""), HYPERLINK(CONCATENATE("#Metadata!", ADDRESS(INDEX($AJ$2:$AJ$1001,MATCH(ROWS($AH$2:AH623),$AH$2:$AH$1001,0),0), INDEX($AO$1004:$BQ$1004,1,MATCH(COLUMNS($AO$1006:BN1006),$AO$1006:$BQ$1006,0)))),"Fix")))</f>
        <v>#N/A</v>
      </c>
      <c r="AB623" s="5" t="e">
        <f ca="1">IF(OR(INDEX($AI$2:$AI$1001,MATCH(ROWS($AH$2:AH623),$AH$2:$AH$1001,0),1)&gt;=100000,INDEX($AO$1005:$BQ$1005,1,MATCH(COLUMNS($AO$1006:BO1006),$AO$1006:$BQ$1006,0))&gt;=100000), " ",IF(INDEX($AO$2:$BQ$1001,MATCH(ROWS($AH$2:AH623),$AH$2:$AH$1001,0),MATCH(COLUMNS($AO$1006:BO1006),$AO$1006:$BQ$1006,0)), HYPERLINK("#",""), HYPERLINK(CONCATENATE("#Metadata!", ADDRESS(INDEX($AJ$2:$AJ$1001,MATCH(ROWS($AH$2:AH623),$AH$2:$AH$1001,0),0), INDEX($AO$1004:$BQ$1004,1,MATCH(COLUMNS($AO$1006:BO1006),$AO$1006:$BQ$1006,0)))),"Fix")))</f>
        <v>#N/A</v>
      </c>
      <c r="AC623" s="5" t="e">
        <f ca="1">IF(OR(INDEX($AI$2:$AI$1001,MATCH(ROWS($AH$2:AH623),$AH$2:$AH$1001,0),1)&gt;=100000,INDEX($AO$1005:$BQ$1005,1,MATCH(COLUMNS($AO$1006:BP1006),$AO$1006:$BQ$1006,0))&gt;=100000), " ",IF(INDEX($AO$2:$BQ$1001,MATCH(ROWS($AH$2:AH623),$AH$2:$AH$1001,0),MATCH(COLUMNS($AO$1006:BP1006),$AO$1006:$BQ$1006,0)), HYPERLINK("#",""), HYPERLINK(CONCATENATE("#Metadata!", ADDRESS(INDEX($AJ$2:$AJ$1001,MATCH(ROWS($AH$2:AH623),$AH$2:$AH$1001,0),0), INDEX($AO$1004:$BQ$1004,1,MATCH(COLUMNS($AO$1006:BP1006),$AO$1006:$BQ$1006,0)))),"Fix")))</f>
        <v>#N/A</v>
      </c>
      <c r="AD623" s="5" t="e">
        <f ca="1">IF(OR(INDEX($AI$2:$AI$1001,MATCH(ROWS($AH$2:AH623),$AH$2:$AH$1001,0),1)&gt;=100000,INDEX($AO$1005:$BQ$1005,1,MATCH(COLUMNS($AO$1006:BQ1006),$AO$1006:$BQ$1006,0))&gt;=100000), " ",IF(INDEX($AO$2:$BQ$1001,MATCH(ROWS($AH$2:AH623),$AH$2:$AH$1001,0),MATCH(COLUMNS($AO$1006:BQ1006),$AO$1006:$BQ$1006,0)), HYPERLINK("#",""), HYPERLINK(CONCATENATE("#Metadata!", ADDRESS(INDEX($AJ$2:$AJ$1001,MATCH(ROWS($AH$2:AH623),$AH$2:$AH$1001,0),0), INDEX($AO$1004:$BQ$1004,1,MATCH(COLUMNS($AO$1006:BQ1006),$AO$1006:$BQ$1006,0)))),"Fix")))</f>
        <v>#REF!</v>
      </c>
      <c r="AH623">
        <f ca="1"/>
        <v>620</v>
      </c>
      <c r="AI623">
        <v>100623</v>
      </c>
      <c r="AJ623">
        <v>623</v>
      </c>
      <c r="AK623" t="b">
        <f t="shared" si="9"/>
        <v>1</v>
      </c>
      <c r="AL623" t="b">
        <f>COUNTBLANK(Metadata!B623:AD623)=COLUMNS(Metadata!B623:AD623)</f>
        <v>1</v>
      </c>
      <c r="AM623" t="str">
        <v/>
      </c>
      <c r="AO623" t="b">
        <f ca="1">AND(IF(Metadata!B623="",FALSE,TRUE),COUNTIF(Metadata!B:B, Metadata!B623) = 1,NOT(ISERROR(SUMPRODUCT(SEARCH(MID(Metadata!B623,ROW(INDIRECT("1:"&amp;LEN(Metadata!B623))), 1),"0123456789abcdefghijklmnopqrstuvwxyzABCDEFGHIJKLMNOPQRSTUVWXYZ.")))))</f>
        <v>0</v>
      </c>
      <c r="AP623" t="b">
        <f>IF(Metadata!C623="",FALSE,TRUE)</f>
        <v>0</v>
      </c>
      <c r="AQ623" t="b">
        <f>IF(Metadata!D623="",FALSE,TRUE)</f>
        <v>0</v>
      </c>
      <c r="AR623" t="b">
        <f ca="1">OR(AND(IF(Metadata!E623="",FALSE,TRUE),OR(EXACT(Metadata!E623,"not collected"),EXACT(Metadata!E623,"not provided"),EXACT(Metadata!E623,"restricted access"))),AND(IF(Metadata!E623="",FALSE,TRUE),AND(AND(IFERROR(INT(LEFT(Metadata!E623,4))&gt;1900,FALSE),IFERROR(INT(LEFT(Metadata!E623,4))&lt;=YEAR(NOW()),FALSE)), OR(MID(Metadata!E623,5,1)="", AND(AND(MID(Metadata!E623,5,1)="-",IFERROR(INT(MID(Metadata!E623,6,1))&gt;=0,FALSE),IFERROR(INT(MID(Metadata!E623,6,1))&lt;=1,FALSE),NOT(MID(Metadata!E623,7,1)=""),IFERROR(INT(MID(Metadata!E623,6,2))&gt;=1,FALSE),IFERROR(INT(MID(Metadata!E623,6,2))&lt;=12,FALSE)), OR(MID(Metadata!E623,8,1)="", AND(AND(MID(Metadata!E623,8,1)="-",IFERROR(INT(MID(Metadata!E623,9,1))&gt;=0,FALSE),IFERROR(INT(MID(Metadata!E623,9,1))&lt;=3,FALSE),NOT(MID(Metadata!E623,10,1)=""),IFERROR(INT(MID(Metadata!E623,9,2))&gt;=1,FALSE),IFERROR(INT(MID(Metadata!E623,9,2))&lt;=31,FALSE)), OR(MID(Metadata!E623,11,1)="", AND(AND(MID(Metadata!E623,11,1)=" ",IFERROR(INT(MID(Metadata!E623,12,1))&gt;=0,FALSE),IFERROR(INT(MID(Metadata!E623,12,1))&lt;=2,FALSE),NOT(MID(Metadata!E623,13,1)=""),IFERROR(INT(MID(Metadata!E623,12,2))&gt;=0,FALSE),IFERROR(INT(MID(Metadata!E623,12,2))&lt;=23,FALSE)), OR(MID(Metadata!E623,14,1)="", AND(AND(MID(Metadata!E623,14,1)=":",IFERROR(INT(MID(Metadata!E623,15,1))&gt;=0,FALSE),IFERROR(INT(MID(Metadata!E623,15,1))&lt;=5,FALSE),NOT(MID(Metadata!E623,16,1)=""),IFERROR(INT(MID(Metadata!E623,15,2))&gt;=0,FALSE),IFERROR(INT(MID(Metadata!E623,15,2))&lt;=59,FALSE)), OR(MID(Metadata!E623,17,1)="", AND(AND(MID(Metadata!E623,17,1)=":",IFERROR(INT(MID(Metadata!E623,18,1))&gt;=0,FALSE),IFERROR(INT(MID(Metadata!E623,18,1))&lt;=5,FALSE),NOT(MID(Metadata!E623,19,1)=""),IFERROR(INT(MID(Metadata!E623,18,2))&gt;=0,FALSE),IFERROR(INT(MID(Metadata!E623,18,2))&lt;=59,FALSE)), LEN(Metadata!E623)&lt;=19)))))))))))))</f>
        <v>0</v>
      </c>
      <c r="AS623" t="b">
        <f>IF(Metadata!F623="",FALSE,TRUE)</f>
        <v>0</v>
      </c>
      <c r="AT623" t="b">
        <f>OR(AND(IF(Metadata!G623="",FALSE,TRUE),OR(EXACT(Metadata!G623,"not collected"),EXACT(Metadata!G623,"not provided"))),AND(IF(Metadata!G623="",FALSE,TRUE),OR(EXACT(Metadata!G623,"TRUE"),EXACT(Metadata!G623,"FALSE"))))</f>
        <v>0</v>
      </c>
      <c r="AU623" t="b">
        <f>OR(AND(IF(Metadata!H623="",FALSE,TRUE),OR(EXACT(Metadata!H623,"not collected"),EXACT(Metadata!H623,"not provided"),EXACT(Metadata!H623,"restricted access"))),AND(IF(Metadata!H623="",FALSE,ISNUMBER(VALUE(Metadata!H623))),Metadata!H623&gt;=-413))</f>
        <v>0</v>
      </c>
      <c r="AV623" t="b">
        <f>AND(IF(Metadata!I623="",FALSE,TRUE),EXACT(Metadata!I623,"meters"))</f>
        <v>0</v>
      </c>
      <c r="AW623" t="b">
        <f>AND(IF(Metadata!J623="",FALSE,TRUE),EXACT(Metadata!J623,"free-living"))</f>
        <v>0</v>
      </c>
      <c r="AX623" t="b">
        <f>AND(IF(Metadata!K623="",FALSE,TRUE),OR(EXACT(Metadata!K623,"saline"),EXACT(Metadata!K623,"non-saline")))</f>
        <v>0</v>
      </c>
      <c r="AY623" t="b">
        <f>AND(IF(Metadata!L623="",FALSE,TRUE),OR(EXACT(Metadata!L623,"sub-surface (non-saline)"),EXACT(Metadata!L623,"surface (non-saline)"),EXACT(Metadata!L623,"water (non-saline)"),EXACT(Metadata!L623,"soil (non-saline)"),EXACT(Metadata!L623,"aerosol (non-saline)"),EXACT(Metadata!L623,"sediment (non-saline)"),EXACT(Metadata!L623,"surface (saline)"),EXACT(Metadata!L623,"water (saline)"),EXACT(Metadata!L623,"hypersaline (saline)"),EXACT(Metadata!L623,"aerosol (saline)"),EXACT(Metadata!L623,"sediment (saline)")))</f>
        <v>0</v>
      </c>
      <c r="AZ623" t="b">
        <f>IF(Metadata!M623="",FALSE,TRUE)</f>
        <v>0</v>
      </c>
      <c r="BA623" t="b">
        <f>IF(Metadata!N623="",FALSE,TRUE)</f>
        <v>0</v>
      </c>
      <c r="BB623" t="b">
        <f>IF(Metadata!O623="",FALSE,TRUE)</f>
        <v>0</v>
      </c>
      <c r="BC623" t="b">
        <f>AND(IF(Metadata!P623="",FALSE,TRUE),OR(EXACT(Metadata!P623,"air"),EXACT(Metadata!P623,"microbial mat/biofilm"),EXACT(Metadata!P623,"misc environment"),EXACT(Metadata!P623,"sediment"),EXACT(Metadata!P623,"soil"),EXACT(Metadata!P623,"wastewater/sludge"),EXACT(Metadata!P623,"water")))</f>
        <v>0</v>
      </c>
      <c r="BD623" t="b">
        <f>IF(Metadata!Q623="",FALSE,TRUE)</f>
        <v>0</v>
      </c>
      <c r="BE623" t="b">
        <f>IF(Metadata!R623="",FALSE,TRUE)</f>
        <v>0</v>
      </c>
      <c r="BF623" t="b">
        <f>OR(AND(IF(Metadata!S623="",FALSE,TRUE),OR(EXACT(Metadata!S623,"not collected"),EXACT(Metadata!S623,"not provided"),EXACT(Metadata!S623,"restricted access"))),AND(IF(Metadata!S623="",FALSE,ISNUMBER(VALUE(Metadata!S623))),Metadata!S623&gt;=-90,Metadata!S623&lt;=90))</f>
        <v>0</v>
      </c>
      <c r="BG623" t="b">
        <f>AND(IF(Metadata!T623="",FALSE,TRUE),EXACT(Metadata!T623,"Decimal degrees"))</f>
        <v>0</v>
      </c>
      <c r="BH623" t="b">
        <f>OR(AND(IF(Metadata!U623="",FALSE,TRUE),OR(EXACT(Metadata!U623,"not applicable"),EXACT(Metadata!U623,"not collected"))),IF(Metadata!U623="",FALSE,TRUE))</f>
        <v>0</v>
      </c>
      <c r="BI623" t="b">
        <f>OR(AND(IF(Metadata!V623="",FALSE,TRUE),OR(EXACT(Metadata!V623,"not collected"),EXACT(Metadata!V623,"not provided"),EXACT(Metadata!V623,"restricted access"))),AND(IF(Metadata!V623="",FALSE,ISNUMBER(VALUE(Metadata!V623))),Metadata!V623&gt;=-180,Metadata!V623&lt;=180))</f>
        <v>0</v>
      </c>
      <c r="BJ623" t="b">
        <f>AND(IF(Metadata!W623="",FALSE,TRUE),EXACT(Metadata!W623,"Decimal degrees"))</f>
        <v>0</v>
      </c>
      <c r="BK623" t="b">
        <f>IF(Metadata!X623="",FALSE,TRUE)</f>
        <v>0</v>
      </c>
      <c r="BL623" t="b">
        <f>OR(AND(IF(Metadata!Y623="",FALSE,TRUE),OR(EXACT(Metadata!Y623,"not collected"),EXACT(Metadata!Y623,"not provided"),EXACT(Metadata!Y623,"restricted access"))),AND(IF(Metadata!Y623="",FALSE,TRUE),OR(EXACT(Metadata!Y623,"TRUE"),EXACT(Metadata!Y623,"FALSE"))))</f>
        <v>0</v>
      </c>
      <c r="BM623" t="b">
        <f>OR(AND(IF(Metadata!Z623="",FALSE,TRUE),EXACT(Metadata!Z623,"not applicable")),AND(IF(Metadata!Z623="",FALSE,TRUE),OR(EXACT(Metadata!Z623,"beer"),EXACT(Metadata!Z623,"cheese"),EXACT(Metadata!Z623,"fresh water"),EXACT(Metadata!Z623,"marine sediment"),EXACT(Metadata!Z623,"sea water"),EXACT(Metadata!Z623,"sediment"),EXACT(Metadata!Z623,"soil"),EXACT(Metadata!Z623,"waste water"))))</f>
        <v>0</v>
      </c>
      <c r="BN623" t="b">
        <f>AND(IF(Metadata!AA623="",FALSE,TRUE),EXACT(Metadata!AA623,"metagenome"))</f>
        <v>0</v>
      </c>
      <c r="BO623" t="b">
        <f>AND(IF(Metadata!AB623="",FALSE,TRUE),EXACT(Metadata!AB623,"256318"))</f>
        <v>0</v>
      </c>
      <c r="BP623" t="b">
        <f>IF(Metadata!AC623="",FALSE,TRUE)</f>
        <v>0</v>
      </c>
      <c r="BQ623" t="b">
        <f>IF(Metadata!AD623="",FALSE,TRUE)</f>
        <v>0</v>
      </c>
    </row>
    <row r="624" spans="1:69" x14ac:dyDescent="0.2">
      <c r="A624" s="4" t="e">
        <f ca="1">IF(B624=" "," ",HYPERLINK(CONCATENATE("#metadata!",ADDRESS(INDEX($AJ$2:$AJ$1001,MATCH(ROWS($AH$2:AH624),$AH$2:$AH$1001,0),0),2)),INDEX($AM$2:$AM$1001,MATCH(ROWS($AH$2:AH624),$AH$2:$AH$1001,0),0)))</f>
        <v>#N/A</v>
      </c>
      <c r="B624" s="5" t="e">
        <f ca="1">IF(OR(INDEX($AI$2:$AI$1001,MATCH(ROWS($AH$2:AH624),$AH$2:$AH$1001,0),1)&gt;=100000,INDEX($AO$1005:$BQ$1005,1,MATCH(COLUMNS($AO$1006:AO1006),$AO$1006:$BQ$1006,0))&gt;=100000), " ",IF(INDEX($AO$2:$BQ$1001,MATCH(ROWS($AH$2:AH624),$AH$2:$AH$1001,0),MATCH(COLUMNS($AO$1006:AO1006),$AO$1006:$BQ$1006,0)), HYPERLINK("#",""), HYPERLINK(CONCATENATE("#Metadata!", ADDRESS(INDEX($AJ$2:$AJ$1001,MATCH(ROWS($AH$2:AH624),$AH$2:$AH$1001,0),0), INDEX($AO$1004:$BQ$1004,1,MATCH(COLUMNS($AO$1006:AO1006),$AO$1006:$BQ$1006,0)))),"Fix")))</f>
        <v>#N/A</v>
      </c>
      <c r="C624" s="5" t="e">
        <f ca="1">IF(OR(INDEX($AI$2:$AI$1001,MATCH(ROWS($AH$2:AH624),$AH$2:$AH$1001,0),1)&gt;=100000,INDEX($AO$1005:$BQ$1005,1,MATCH(COLUMNS($AO$1006:AP1006),$AO$1006:$BQ$1006,0))&gt;=100000), " ",IF(INDEX($AO$2:$BQ$1001,MATCH(ROWS($AH$2:AH624),$AH$2:$AH$1001,0),MATCH(COLUMNS($AO$1006:AP1006),$AO$1006:$BQ$1006,0)), HYPERLINK("#",""), HYPERLINK(CONCATENATE("#Metadata!", ADDRESS(INDEX($AJ$2:$AJ$1001,MATCH(ROWS($AH$2:AH624),$AH$2:$AH$1001,0),0), INDEX($AO$1004:$BQ$1004,1,MATCH(COLUMNS($AO$1006:AP1006),$AO$1006:$BQ$1006,0)))),"Fix")))</f>
        <v>#N/A</v>
      </c>
      <c r="D624" s="5" t="e">
        <f ca="1">IF(OR(INDEX($AI$2:$AI$1001,MATCH(ROWS($AH$2:AH624),$AH$2:$AH$1001,0),1)&gt;=100000,INDEX($AO$1005:$BQ$1005,1,MATCH(COLUMNS($AO$1006:AQ1006),$AO$1006:$BQ$1006,0))&gt;=100000), " ",IF(INDEX($AO$2:$BQ$1001,MATCH(ROWS($AH$2:AH624),$AH$2:$AH$1001,0),MATCH(COLUMNS($AO$1006:AQ1006),$AO$1006:$BQ$1006,0)), HYPERLINK("#",""), HYPERLINK(CONCATENATE("#Metadata!", ADDRESS(INDEX($AJ$2:$AJ$1001,MATCH(ROWS($AH$2:AH624),$AH$2:$AH$1001,0),0), INDEX($AO$1004:$BQ$1004,1,MATCH(COLUMNS($AO$1006:AQ1006),$AO$1006:$BQ$1006,0)))),"Fix")))</f>
        <v>#N/A</v>
      </c>
      <c r="E624" s="5" t="e">
        <f ca="1">IF(OR(INDEX($AI$2:$AI$1001,MATCH(ROWS($AH$2:AH624),$AH$2:$AH$1001,0),1)&gt;=100000,INDEX($AO$1005:$BQ$1005,1,MATCH(COLUMNS($AO$1006:AR1006),$AO$1006:$BQ$1006,0))&gt;=100000), " ",IF(INDEX($AO$2:$BQ$1001,MATCH(ROWS($AH$2:AH624),$AH$2:$AH$1001,0),MATCH(COLUMNS($AO$1006:AR1006),$AO$1006:$BQ$1006,0)), HYPERLINK("#",""), HYPERLINK(CONCATENATE("#Metadata!", ADDRESS(INDEX($AJ$2:$AJ$1001,MATCH(ROWS($AH$2:AH624),$AH$2:$AH$1001,0),0), INDEX($AO$1004:$BQ$1004,1,MATCH(COLUMNS($AO$1006:AR1006),$AO$1006:$BQ$1006,0)))),"Fix")))</f>
        <v>#N/A</v>
      </c>
      <c r="F624" s="5" t="e">
        <f ca="1">IF(OR(INDEX($AI$2:$AI$1001,MATCH(ROWS($AH$2:AH624),$AH$2:$AH$1001,0),1)&gt;=100000,INDEX($AO$1005:$BQ$1005,1,MATCH(COLUMNS($AO$1006:AS1006),$AO$1006:$BQ$1006,0))&gt;=100000), " ",IF(INDEX($AO$2:$BQ$1001,MATCH(ROWS($AH$2:AH624),$AH$2:$AH$1001,0),MATCH(COLUMNS($AO$1006:AS1006),$AO$1006:$BQ$1006,0)), HYPERLINK("#",""), HYPERLINK(CONCATENATE("#Metadata!", ADDRESS(INDEX($AJ$2:$AJ$1001,MATCH(ROWS($AH$2:AH624),$AH$2:$AH$1001,0),0), INDEX($AO$1004:$BQ$1004,1,MATCH(COLUMNS($AO$1006:AS1006),$AO$1006:$BQ$1006,0)))),"Fix")))</f>
        <v>#N/A</v>
      </c>
      <c r="G624" s="5" t="e">
        <f ca="1">IF(OR(INDEX($AI$2:$AI$1001,MATCH(ROWS($AH$2:AH624),$AH$2:$AH$1001,0),1)&gt;=100000,INDEX($AO$1005:$BQ$1005,1,MATCH(COLUMNS($AO$1006:AT1006),$AO$1006:$BQ$1006,0))&gt;=100000), " ",IF(INDEX($AO$2:$BQ$1001,MATCH(ROWS($AH$2:AH624),$AH$2:$AH$1001,0),MATCH(COLUMNS($AO$1006:AT1006),$AO$1006:$BQ$1006,0)), HYPERLINK("#",""), HYPERLINK(CONCATENATE("#Metadata!", ADDRESS(INDEX($AJ$2:$AJ$1001,MATCH(ROWS($AH$2:AH624),$AH$2:$AH$1001,0),0), INDEX($AO$1004:$BQ$1004,1,MATCH(COLUMNS($AO$1006:AT1006),$AO$1006:$BQ$1006,0)))),"Fix")))</f>
        <v>#N/A</v>
      </c>
      <c r="H624" s="5" t="e">
        <f ca="1">IF(OR(INDEX($AI$2:$AI$1001,MATCH(ROWS($AH$2:AH624),$AH$2:$AH$1001,0),1)&gt;=100000,INDEX($AO$1005:$BQ$1005,1,MATCH(COLUMNS($AO$1006:AU1006),$AO$1006:$BQ$1006,0))&gt;=100000), " ",IF(INDEX($AO$2:$BQ$1001,MATCH(ROWS($AH$2:AH624),$AH$2:$AH$1001,0),MATCH(COLUMNS($AO$1006:AU1006),$AO$1006:$BQ$1006,0)), HYPERLINK("#",""), HYPERLINK(CONCATENATE("#Metadata!", ADDRESS(INDEX($AJ$2:$AJ$1001,MATCH(ROWS($AH$2:AH624),$AH$2:$AH$1001,0),0), INDEX($AO$1004:$BQ$1004,1,MATCH(COLUMNS($AO$1006:AU1006),$AO$1006:$BQ$1006,0)))),"Fix")))</f>
        <v>#N/A</v>
      </c>
      <c r="I624" s="5" t="e">
        <f ca="1">IF(OR(INDEX($AI$2:$AI$1001,MATCH(ROWS($AH$2:AH624),$AH$2:$AH$1001,0),1)&gt;=100000,INDEX($AO$1005:$BQ$1005,1,MATCH(COLUMNS($AO$1006:AV1006),$AO$1006:$BQ$1006,0))&gt;=100000), " ",IF(INDEX($AO$2:$BQ$1001,MATCH(ROWS($AH$2:AH624),$AH$2:$AH$1001,0),MATCH(COLUMNS($AO$1006:AV1006),$AO$1006:$BQ$1006,0)), HYPERLINK("#",""), HYPERLINK(CONCATENATE("#Metadata!", ADDRESS(INDEX($AJ$2:$AJ$1001,MATCH(ROWS($AH$2:AH624),$AH$2:$AH$1001,0),0), INDEX($AO$1004:$BQ$1004,1,MATCH(COLUMNS($AO$1006:AV1006),$AO$1006:$BQ$1006,0)))),"Fix")))</f>
        <v>#N/A</v>
      </c>
      <c r="J624" s="5" t="e">
        <f ca="1">IF(OR(INDEX($AI$2:$AI$1001,MATCH(ROWS($AH$2:AH624),$AH$2:$AH$1001,0),1)&gt;=100000,INDEX($AO$1005:$BQ$1005,1,MATCH(COLUMNS($AO$1006:AW1006),$AO$1006:$BQ$1006,0))&gt;=100000), " ",IF(INDEX($AO$2:$BQ$1001,MATCH(ROWS($AH$2:AH624),$AH$2:$AH$1001,0),MATCH(COLUMNS($AO$1006:AW1006),$AO$1006:$BQ$1006,0)), HYPERLINK("#",""), HYPERLINK(CONCATENATE("#Metadata!", ADDRESS(INDEX($AJ$2:$AJ$1001,MATCH(ROWS($AH$2:AH624),$AH$2:$AH$1001,0),0), INDEX($AO$1004:$BQ$1004,1,MATCH(COLUMNS($AO$1006:AW1006),$AO$1006:$BQ$1006,0)))),"Fix")))</f>
        <v>#N/A</v>
      </c>
      <c r="K624" s="5" t="e">
        <f ca="1">IF(OR(INDEX($AI$2:$AI$1001,MATCH(ROWS($AH$2:AH624),$AH$2:$AH$1001,0),1)&gt;=100000,INDEX($AO$1005:$BQ$1005,1,MATCH(COLUMNS($AO$1006:AX1006),$AO$1006:$BQ$1006,0))&gt;=100000), " ",IF(INDEX($AO$2:$BQ$1001,MATCH(ROWS($AH$2:AH624),$AH$2:$AH$1001,0),MATCH(COLUMNS($AO$1006:AX1006),$AO$1006:$BQ$1006,0)), HYPERLINK("#",""), HYPERLINK(CONCATENATE("#Metadata!", ADDRESS(INDEX($AJ$2:$AJ$1001,MATCH(ROWS($AH$2:AH624),$AH$2:$AH$1001,0),0), INDEX($AO$1004:$BQ$1004,1,MATCH(COLUMNS($AO$1006:AX1006),$AO$1006:$BQ$1006,0)))),"Fix")))</f>
        <v>#N/A</v>
      </c>
      <c r="L624" s="5" t="e">
        <f ca="1">IF(OR(INDEX($AI$2:$AI$1001,MATCH(ROWS($AH$2:AH624),$AH$2:$AH$1001,0),1)&gt;=100000,INDEX($AO$1005:$BQ$1005,1,MATCH(COLUMNS($AO$1006:AY1006),$AO$1006:$BQ$1006,0))&gt;=100000), " ",IF(INDEX($AO$2:$BQ$1001,MATCH(ROWS($AH$2:AH624),$AH$2:$AH$1001,0),MATCH(COLUMNS($AO$1006:AY1006),$AO$1006:$BQ$1006,0)), HYPERLINK("#",""), HYPERLINK(CONCATENATE("#Metadata!", ADDRESS(INDEX($AJ$2:$AJ$1001,MATCH(ROWS($AH$2:AH624),$AH$2:$AH$1001,0),0), INDEX($AO$1004:$BQ$1004,1,MATCH(COLUMNS($AO$1006:AY1006),$AO$1006:$BQ$1006,0)))),"Fix")))</f>
        <v>#N/A</v>
      </c>
      <c r="M624" s="5" t="e">
        <f ca="1">IF(OR(INDEX($AI$2:$AI$1001,MATCH(ROWS($AH$2:AH624),$AH$2:$AH$1001,0),1)&gt;=100000,INDEX($AO$1005:$BQ$1005,1,MATCH(COLUMNS($AO$1006:AZ1006),$AO$1006:$BQ$1006,0))&gt;=100000), " ",IF(INDEX($AO$2:$BQ$1001,MATCH(ROWS($AH$2:AH624),$AH$2:$AH$1001,0),MATCH(COLUMNS($AO$1006:AZ1006),$AO$1006:$BQ$1006,0)), HYPERLINK("#",""), HYPERLINK(CONCATENATE("#Metadata!", ADDRESS(INDEX($AJ$2:$AJ$1001,MATCH(ROWS($AH$2:AH624),$AH$2:$AH$1001,0),0), INDEX($AO$1004:$BQ$1004,1,MATCH(COLUMNS($AO$1006:AZ1006),$AO$1006:$BQ$1006,0)))),"Fix")))</f>
        <v>#N/A</v>
      </c>
      <c r="N624" s="5" t="e">
        <f ca="1">IF(OR(INDEX($AI$2:$AI$1001,MATCH(ROWS($AH$2:AH624),$AH$2:$AH$1001,0),1)&gt;=100000,INDEX($AO$1005:$BQ$1005,1,MATCH(COLUMNS($AO$1006:BA1006),$AO$1006:$BQ$1006,0))&gt;=100000), " ",IF(INDEX($AO$2:$BQ$1001,MATCH(ROWS($AH$2:AH624),$AH$2:$AH$1001,0),MATCH(COLUMNS($AO$1006:BA1006),$AO$1006:$BQ$1006,0)), HYPERLINK("#",""), HYPERLINK(CONCATENATE("#Metadata!", ADDRESS(INDEX($AJ$2:$AJ$1001,MATCH(ROWS($AH$2:AH624),$AH$2:$AH$1001,0),0), INDEX($AO$1004:$BQ$1004,1,MATCH(COLUMNS($AO$1006:BA1006),$AO$1006:$BQ$1006,0)))),"Fix")))</f>
        <v>#N/A</v>
      </c>
      <c r="O624" s="5" t="e">
        <f ca="1">IF(OR(INDEX($AI$2:$AI$1001,MATCH(ROWS($AH$2:AH624),$AH$2:$AH$1001,0),1)&gt;=100000,INDEX($AO$1005:$BQ$1005,1,MATCH(COLUMNS($AO$1006:BB1006),$AO$1006:$BQ$1006,0))&gt;=100000), " ",IF(INDEX($AO$2:$BQ$1001,MATCH(ROWS($AH$2:AH624),$AH$2:$AH$1001,0),MATCH(COLUMNS($AO$1006:BB1006),$AO$1006:$BQ$1006,0)), HYPERLINK("#",""), HYPERLINK(CONCATENATE("#Metadata!", ADDRESS(INDEX($AJ$2:$AJ$1001,MATCH(ROWS($AH$2:AH624),$AH$2:$AH$1001,0),0), INDEX($AO$1004:$BQ$1004,1,MATCH(COLUMNS($AO$1006:BB1006),$AO$1006:$BQ$1006,0)))),"Fix")))</f>
        <v>#N/A</v>
      </c>
      <c r="P624" s="5" t="e">
        <f ca="1">IF(OR(INDEX($AI$2:$AI$1001,MATCH(ROWS($AH$2:AH624),$AH$2:$AH$1001,0),1)&gt;=100000,INDEX($AO$1005:$BQ$1005,1,MATCH(COLUMNS($AO$1006:BC1006),$AO$1006:$BQ$1006,0))&gt;=100000), " ",IF(INDEX($AO$2:$BQ$1001,MATCH(ROWS($AH$2:AH624),$AH$2:$AH$1001,0),MATCH(COLUMNS($AO$1006:BC1006),$AO$1006:$BQ$1006,0)), HYPERLINK("#",""), HYPERLINK(CONCATENATE("#Metadata!", ADDRESS(INDEX($AJ$2:$AJ$1001,MATCH(ROWS($AH$2:AH624),$AH$2:$AH$1001,0),0), INDEX($AO$1004:$BQ$1004,1,MATCH(COLUMNS($AO$1006:BC1006),$AO$1006:$BQ$1006,0)))),"Fix")))</f>
        <v>#N/A</v>
      </c>
      <c r="Q624" s="5" t="e">
        <f ca="1">IF(OR(INDEX($AI$2:$AI$1001,MATCH(ROWS($AH$2:AH624),$AH$2:$AH$1001,0),1)&gt;=100000,INDEX($AO$1005:$BQ$1005,1,MATCH(COLUMNS($AO$1006:BD1006),$AO$1006:$BQ$1006,0))&gt;=100000), " ",IF(INDEX($AO$2:$BQ$1001,MATCH(ROWS($AH$2:AH624),$AH$2:$AH$1001,0),MATCH(COLUMNS($AO$1006:BD1006),$AO$1006:$BQ$1006,0)), HYPERLINK("#",""), HYPERLINK(CONCATENATE("#Metadata!", ADDRESS(INDEX($AJ$2:$AJ$1001,MATCH(ROWS($AH$2:AH624),$AH$2:$AH$1001,0),0), INDEX($AO$1004:$BQ$1004,1,MATCH(COLUMNS($AO$1006:BD1006),$AO$1006:$BQ$1006,0)))),"Fix")))</f>
        <v>#N/A</v>
      </c>
      <c r="R624" s="5" t="e">
        <f ca="1">IF(OR(INDEX($AI$2:$AI$1001,MATCH(ROWS($AH$2:AH624),$AH$2:$AH$1001,0),1)&gt;=100000,INDEX($AO$1005:$BQ$1005,1,MATCH(COLUMNS($AO$1006:BE1006),$AO$1006:$BQ$1006,0))&gt;=100000), " ",IF(INDEX($AO$2:$BQ$1001,MATCH(ROWS($AH$2:AH624),$AH$2:$AH$1001,0),MATCH(COLUMNS($AO$1006:BE1006),$AO$1006:$BQ$1006,0)), HYPERLINK("#",""), HYPERLINK(CONCATENATE("#Metadata!", ADDRESS(INDEX($AJ$2:$AJ$1001,MATCH(ROWS($AH$2:AH624),$AH$2:$AH$1001,0),0), INDEX($AO$1004:$BQ$1004,1,MATCH(COLUMNS($AO$1006:BE1006),$AO$1006:$BQ$1006,0)))),"Fix")))</f>
        <v>#N/A</v>
      </c>
      <c r="S624" s="5" t="e">
        <f ca="1">IF(OR(INDEX($AI$2:$AI$1001,MATCH(ROWS($AH$2:AH624),$AH$2:$AH$1001,0),1)&gt;=100000,INDEX($AO$1005:$BQ$1005,1,MATCH(COLUMNS($AO$1006:BF1006),$AO$1006:$BQ$1006,0))&gt;=100000), " ",IF(INDEX($AO$2:$BQ$1001,MATCH(ROWS($AH$2:AH624),$AH$2:$AH$1001,0),MATCH(COLUMNS($AO$1006:BF1006),$AO$1006:$BQ$1006,0)), HYPERLINK("#",""), HYPERLINK(CONCATENATE("#Metadata!", ADDRESS(INDEX($AJ$2:$AJ$1001,MATCH(ROWS($AH$2:AH624),$AH$2:$AH$1001,0),0), INDEX($AO$1004:$BQ$1004,1,MATCH(COLUMNS($AO$1006:BF1006),$AO$1006:$BQ$1006,0)))),"Fix")))</f>
        <v>#N/A</v>
      </c>
      <c r="T624" s="5" t="e">
        <f ca="1">IF(OR(INDEX($AI$2:$AI$1001,MATCH(ROWS($AH$2:AH624),$AH$2:$AH$1001,0),1)&gt;=100000,INDEX($AO$1005:$BQ$1005,1,MATCH(COLUMNS($AO$1006:BG1006),$AO$1006:$BQ$1006,0))&gt;=100000), " ",IF(INDEX($AO$2:$BQ$1001,MATCH(ROWS($AH$2:AH624),$AH$2:$AH$1001,0),MATCH(COLUMNS($AO$1006:BG1006),$AO$1006:$BQ$1006,0)), HYPERLINK("#",""), HYPERLINK(CONCATENATE("#Metadata!", ADDRESS(INDEX($AJ$2:$AJ$1001,MATCH(ROWS($AH$2:AH624),$AH$2:$AH$1001,0),0), INDEX($AO$1004:$BQ$1004,1,MATCH(COLUMNS($AO$1006:BG1006),$AO$1006:$BQ$1006,0)))),"Fix")))</f>
        <v>#N/A</v>
      </c>
      <c r="U624" s="5" t="e">
        <f ca="1">IF(OR(INDEX($AI$2:$AI$1001,MATCH(ROWS($AH$2:AH624),$AH$2:$AH$1001,0),1)&gt;=100000,INDEX($AO$1005:$BQ$1005,1,MATCH(COLUMNS($AO$1006:BH1006),$AO$1006:$BQ$1006,0))&gt;=100000), " ",IF(INDEX($AO$2:$BQ$1001,MATCH(ROWS($AH$2:AH624),$AH$2:$AH$1001,0),MATCH(COLUMNS($AO$1006:BH1006),$AO$1006:$BQ$1006,0)), HYPERLINK("#",""), HYPERLINK(CONCATENATE("#Metadata!", ADDRESS(INDEX($AJ$2:$AJ$1001,MATCH(ROWS($AH$2:AH624),$AH$2:$AH$1001,0),0), INDEX($AO$1004:$BQ$1004,1,MATCH(COLUMNS($AO$1006:BH1006),$AO$1006:$BQ$1006,0)))),"Fix")))</f>
        <v>#N/A</v>
      </c>
      <c r="V624" s="5" t="e">
        <f ca="1">IF(OR(INDEX($AI$2:$AI$1001,MATCH(ROWS($AH$2:AH624),$AH$2:$AH$1001,0),1)&gt;=100000,INDEX($AO$1005:$BQ$1005,1,MATCH(COLUMNS($AO$1006:BI1006),$AO$1006:$BQ$1006,0))&gt;=100000), " ",IF(INDEX($AO$2:$BQ$1001,MATCH(ROWS($AH$2:AH624),$AH$2:$AH$1001,0),MATCH(COLUMNS($AO$1006:BI1006),$AO$1006:$BQ$1006,0)), HYPERLINK("#",""), HYPERLINK(CONCATENATE("#Metadata!", ADDRESS(INDEX($AJ$2:$AJ$1001,MATCH(ROWS($AH$2:AH624),$AH$2:$AH$1001,0),0), INDEX($AO$1004:$BQ$1004,1,MATCH(COLUMNS($AO$1006:BI1006),$AO$1006:$BQ$1006,0)))),"Fix")))</f>
        <v>#N/A</v>
      </c>
      <c r="W624" s="5" t="e">
        <f ca="1">IF(OR(INDEX($AI$2:$AI$1001,MATCH(ROWS($AH$2:AH624),$AH$2:$AH$1001,0),1)&gt;=100000,INDEX($AO$1005:$BQ$1005,1,MATCH(COLUMNS($AO$1006:BJ1006),$AO$1006:$BQ$1006,0))&gt;=100000), " ",IF(INDEX($AO$2:$BQ$1001,MATCH(ROWS($AH$2:AH624),$AH$2:$AH$1001,0),MATCH(COLUMNS($AO$1006:BJ1006),$AO$1006:$BQ$1006,0)), HYPERLINK("#",""), HYPERLINK(CONCATENATE("#Metadata!", ADDRESS(INDEX($AJ$2:$AJ$1001,MATCH(ROWS($AH$2:AH624),$AH$2:$AH$1001,0),0), INDEX($AO$1004:$BQ$1004,1,MATCH(COLUMNS($AO$1006:BJ1006),$AO$1006:$BQ$1006,0)))),"Fix")))</f>
        <v>#N/A</v>
      </c>
      <c r="X624" s="5" t="e">
        <f ca="1">IF(OR(INDEX($AI$2:$AI$1001,MATCH(ROWS($AH$2:AH624),$AH$2:$AH$1001,0),1)&gt;=100000,INDEX($AO$1005:$BQ$1005,1,MATCH(COLUMNS($AO$1006:BK1006),$AO$1006:$BQ$1006,0))&gt;=100000), " ",IF(INDEX($AO$2:$BQ$1001,MATCH(ROWS($AH$2:AH624),$AH$2:$AH$1001,0),MATCH(COLUMNS($AO$1006:BK1006),$AO$1006:$BQ$1006,0)), HYPERLINK("#",""), HYPERLINK(CONCATENATE("#Metadata!", ADDRESS(INDEX($AJ$2:$AJ$1001,MATCH(ROWS($AH$2:AH624),$AH$2:$AH$1001,0),0), INDEX($AO$1004:$BQ$1004,1,MATCH(COLUMNS($AO$1006:BK1006),$AO$1006:$BQ$1006,0)))),"Fix")))</f>
        <v>#N/A</v>
      </c>
      <c r="Y624" s="5" t="e">
        <f ca="1">IF(OR(INDEX($AI$2:$AI$1001,MATCH(ROWS($AH$2:AH624),$AH$2:$AH$1001,0),1)&gt;=100000,INDEX($AO$1005:$BQ$1005,1,MATCH(COLUMNS($AO$1006:BL1006),$AO$1006:$BQ$1006,0))&gt;=100000), " ",IF(INDEX($AO$2:$BQ$1001,MATCH(ROWS($AH$2:AH624),$AH$2:$AH$1001,0),MATCH(COLUMNS($AO$1006:BL1006),$AO$1006:$BQ$1006,0)), HYPERLINK("#",""), HYPERLINK(CONCATENATE("#Metadata!", ADDRESS(INDEX($AJ$2:$AJ$1001,MATCH(ROWS($AH$2:AH624),$AH$2:$AH$1001,0),0), INDEX($AO$1004:$BQ$1004,1,MATCH(COLUMNS($AO$1006:BL1006),$AO$1006:$BQ$1006,0)))),"Fix")))</f>
        <v>#N/A</v>
      </c>
      <c r="Z624" s="5" t="e">
        <f ca="1">IF(OR(INDEX($AI$2:$AI$1001,MATCH(ROWS($AH$2:AH624),$AH$2:$AH$1001,0),1)&gt;=100000,INDEX($AO$1005:$BQ$1005,1,MATCH(COLUMNS($AO$1006:BM1006),$AO$1006:$BQ$1006,0))&gt;=100000), " ",IF(INDEX($AO$2:$BQ$1001,MATCH(ROWS($AH$2:AH624),$AH$2:$AH$1001,0),MATCH(COLUMNS($AO$1006:BM1006),$AO$1006:$BQ$1006,0)), HYPERLINK("#",""), HYPERLINK(CONCATENATE("#Metadata!", ADDRESS(INDEX($AJ$2:$AJ$1001,MATCH(ROWS($AH$2:AH624),$AH$2:$AH$1001,0),0), INDEX($AO$1004:$BQ$1004,1,MATCH(COLUMNS($AO$1006:BM1006),$AO$1006:$BQ$1006,0)))),"Fix")))</f>
        <v>#N/A</v>
      </c>
      <c r="AA624" s="5" t="e">
        <f ca="1">IF(OR(INDEX($AI$2:$AI$1001,MATCH(ROWS($AH$2:AH624),$AH$2:$AH$1001,0),1)&gt;=100000,INDEX($AO$1005:$BQ$1005,1,MATCH(COLUMNS($AO$1006:BN1006),$AO$1006:$BQ$1006,0))&gt;=100000), " ",IF(INDEX($AO$2:$BQ$1001,MATCH(ROWS($AH$2:AH624),$AH$2:$AH$1001,0),MATCH(COLUMNS($AO$1006:BN1006),$AO$1006:$BQ$1006,0)), HYPERLINK("#",""), HYPERLINK(CONCATENATE("#Metadata!", ADDRESS(INDEX($AJ$2:$AJ$1001,MATCH(ROWS($AH$2:AH624),$AH$2:$AH$1001,0),0), INDEX($AO$1004:$BQ$1004,1,MATCH(COLUMNS($AO$1006:BN1006),$AO$1006:$BQ$1006,0)))),"Fix")))</f>
        <v>#N/A</v>
      </c>
      <c r="AB624" s="5" t="e">
        <f ca="1">IF(OR(INDEX($AI$2:$AI$1001,MATCH(ROWS($AH$2:AH624),$AH$2:$AH$1001,0),1)&gt;=100000,INDEX($AO$1005:$BQ$1005,1,MATCH(COLUMNS($AO$1006:BO1006),$AO$1006:$BQ$1006,0))&gt;=100000), " ",IF(INDEX($AO$2:$BQ$1001,MATCH(ROWS($AH$2:AH624),$AH$2:$AH$1001,0),MATCH(COLUMNS($AO$1006:BO1006),$AO$1006:$BQ$1006,0)), HYPERLINK("#",""), HYPERLINK(CONCATENATE("#Metadata!", ADDRESS(INDEX($AJ$2:$AJ$1001,MATCH(ROWS($AH$2:AH624),$AH$2:$AH$1001,0),0), INDEX($AO$1004:$BQ$1004,1,MATCH(COLUMNS($AO$1006:BO1006),$AO$1006:$BQ$1006,0)))),"Fix")))</f>
        <v>#N/A</v>
      </c>
      <c r="AC624" s="5" t="e">
        <f ca="1">IF(OR(INDEX($AI$2:$AI$1001,MATCH(ROWS($AH$2:AH624),$AH$2:$AH$1001,0),1)&gt;=100000,INDEX($AO$1005:$BQ$1005,1,MATCH(COLUMNS($AO$1006:BP1006),$AO$1006:$BQ$1006,0))&gt;=100000), " ",IF(INDEX($AO$2:$BQ$1001,MATCH(ROWS($AH$2:AH624),$AH$2:$AH$1001,0),MATCH(COLUMNS($AO$1006:BP1006),$AO$1006:$BQ$1006,0)), HYPERLINK("#",""), HYPERLINK(CONCATENATE("#Metadata!", ADDRESS(INDEX($AJ$2:$AJ$1001,MATCH(ROWS($AH$2:AH624),$AH$2:$AH$1001,0),0), INDEX($AO$1004:$BQ$1004,1,MATCH(COLUMNS($AO$1006:BP1006),$AO$1006:$BQ$1006,0)))),"Fix")))</f>
        <v>#N/A</v>
      </c>
      <c r="AD624" s="5" t="e">
        <f ca="1">IF(OR(INDEX($AI$2:$AI$1001,MATCH(ROWS($AH$2:AH624),$AH$2:$AH$1001,0),1)&gt;=100000,INDEX($AO$1005:$BQ$1005,1,MATCH(COLUMNS($AO$1006:BQ1006),$AO$1006:$BQ$1006,0))&gt;=100000), " ",IF(INDEX($AO$2:$BQ$1001,MATCH(ROWS($AH$2:AH624),$AH$2:$AH$1001,0),MATCH(COLUMNS($AO$1006:BQ1006),$AO$1006:$BQ$1006,0)), HYPERLINK("#",""), HYPERLINK(CONCATENATE("#Metadata!", ADDRESS(INDEX($AJ$2:$AJ$1001,MATCH(ROWS($AH$2:AH624),$AH$2:$AH$1001,0),0), INDEX($AO$1004:$BQ$1004,1,MATCH(COLUMNS($AO$1006:BQ1006),$AO$1006:$BQ$1006,0)))),"Fix")))</f>
        <v>#REF!</v>
      </c>
      <c r="AH624">
        <f ca="1"/>
        <v>621</v>
      </c>
      <c r="AI624">
        <v>100624</v>
      </c>
      <c r="AJ624">
        <v>624</v>
      </c>
      <c r="AK624" t="b">
        <f t="shared" si="9"/>
        <v>1</v>
      </c>
      <c r="AL624" t="b">
        <f>COUNTBLANK(Metadata!B624:AD624)=COLUMNS(Metadata!B624:AD624)</f>
        <v>1</v>
      </c>
      <c r="AM624" t="str">
        <v/>
      </c>
      <c r="AO624" t="b">
        <f ca="1">AND(IF(Metadata!B624="",FALSE,TRUE),COUNTIF(Metadata!B:B, Metadata!B624) = 1,NOT(ISERROR(SUMPRODUCT(SEARCH(MID(Metadata!B624,ROW(INDIRECT("1:"&amp;LEN(Metadata!B624))), 1),"0123456789abcdefghijklmnopqrstuvwxyzABCDEFGHIJKLMNOPQRSTUVWXYZ.")))))</f>
        <v>0</v>
      </c>
      <c r="AP624" t="b">
        <f>IF(Metadata!C624="",FALSE,TRUE)</f>
        <v>0</v>
      </c>
      <c r="AQ624" t="b">
        <f>IF(Metadata!D624="",FALSE,TRUE)</f>
        <v>0</v>
      </c>
      <c r="AR624" t="b">
        <f ca="1">OR(AND(IF(Metadata!E624="",FALSE,TRUE),OR(EXACT(Metadata!E624,"not collected"),EXACT(Metadata!E624,"not provided"),EXACT(Metadata!E624,"restricted access"))),AND(IF(Metadata!E624="",FALSE,TRUE),AND(AND(IFERROR(INT(LEFT(Metadata!E624,4))&gt;1900,FALSE),IFERROR(INT(LEFT(Metadata!E624,4))&lt;=YEAR(NOW()),FALSE)), OR(MID(Metadata!E624,5,1)="", AND(AND(MID(Metadata!E624,5,1)="-",IFERROR(INT(MID(Metadata!E624,6,1))&gt;=0,FALSE),IFERROR(INT(MID(Metadata!E624,6,1))&lt;=1,FALSE),NOT(MID(Metadata!E624,7,1)=""),IFERROR(INT(MID(Metadata!E624,6,2))&gt;=1,FALSE),IFERROR(INT(MID(Metadata!E624,6,2))&lt;=12,FALSE)), OR(MID(Metadata!E624,8,1)="", AND(AND(MID(Metadata!E624,8,1)="-",IFERROR(INT(MID(Metadata!E624,9,1))&gt;=0,FALSE),IFERROR(INT(MID(Metadata!E624,9,1))&lt;=3,FALSE),NOT(MID(Metadata!E624,10,1)=""),IFERROR(INT(MID(Metadata!E624,9,2))&gt;=1,FALSE),IFERROR(INT(MID(Metadata!E624,9,2))&lt;=31,FALSE)), OR(MID(Metadata!E624,11,1)="", AND(AND(MID(Metadata!E624,11,1)=" ",IFERROR(INT(MID(Metadata!E624,12,1))&gt;=0,FALSE),IFERROR(INT(MID(Metadata!E624,12,1))&lt;=2,FALSE),NOT(MID(Metadata!E624,13,1)=""),IFERROR(INT(MID(Metadata!E624,12,2))&gt;=0,FALSE),IFERROR(INT(MID(Metadata!E624,12,2))&lt;=23,FALSE)), OR(MID(Metadata!E624,14,1)="", AND(AND(MID(Metadata!E624,14,1)=":",IFERROR(INT(MID(Metadata!E624,15,1))&gt;=0,FALSE),IFERROR(INT(MID(Metadata!E624,15,1))&lt;=5,FALSE),NOT(MID(Metadata!E624,16,1)=""),IFERROR(INT(MID(Metadata!E624,15,2))&gt;=0,FALSE),IFERROR(INT(MID(Metadata!E624,15,2))&lt;=59,FALSE)), OR(MID(Metadata!E624,17,1)="", AND(AND(MID(Metadata!E624,17,1)=":",IFERROR(INT(MID(Metadata!E624,18,1))&gt;=0,FALSE),IFERROR(INT(MID(Metadata!E624,18,1))&lt;=5,FALSE),NOT(MID(Metadata!E624,19,1)=""),IFERROR(INT(MID(Metadata!E624,18,2))&gt;=0,FALSE),IFERROR(INT(MID(Metadata!E624,18,2))&lt;=59,FALSE)), LEN(Metadata!E624)&lt;=19)))))))))))))</f>
        <v>0</v>
      </c>
      <c r="AS624" t="b">
        <f>IF(Metadata!F624="",FALSE,TRUE)</f>
        <v>0</v>
      </c>
      <c r="AT624" t="b">
        <f>OR(AND(IF(Metadata!G624="",FALSE,TRUE),OR(EXACT(Metadata!G624,"not collected"),EXACT(Metadata!G624,"not provided"))),AND(IF(Metadata!G624="",FALSE,TRUE),OR(EXACT(Metadata!G624,"TRUE"),EXACT(Metadata!G624,"FALSE"))))</f>
        <v>0</v>
      </c>
      <c r="AU624" t="b">
        <f>OR(AND(IF(Metadata!H624="",FALSE,TRUE),OR(EXACT(Metadata!H624,"not collected"),EXACT(Metadata!H624,"not provided"),EXACT(Metadata!H624,"restricted access"))),AND(IF(Metadata!H624="",FALSE,ISNUMBER(VALUE(Metadata!H624))),Metadata!H624&gt;=-413))</f>
        <v>0</v>
      </c>
      <c r="AV624" t="b">
        <f>AND(IF(Metadata!I624="",FALSE,TRUE),EXACT(Metadata!I624,"meters"))</f>
        <v>0</v>
      </c>
      <c r="AW624" t="b">
        <f>AND(IF(Metadata!J624="",FALSE,TRUE),EXACT(Metadata!J624,"free-living"))</f>
        <v>0</v>
      </c>
      <c r="AX624" t="b">
        <f>AND(IF(Metadata!K624="",FALSE,TRUE),OR(EXACT(Metadata!K624,"saline"),EXACT(Metadata!K624,"non-saline")))</f>
        <v>0</v>
      </c>
      <c r="AY624" t="b">
        <f>AND(IF(Metadata!L624="",FALSE,TRUE),OR(EXACT(Metadata!L624,"sub-surface (non-saline)"),EXACT(Metadata!L624,"surface (non-saline)"),EXACT(Metadata!L624,"water (non-saline)"),EXACT(Metadata!L624,"soil (non-saline)"),EXACT(Metadata!L624,"aerosol (non-saline)"),EXACT(Metadata!L624,"sediment (non-saline)"),EXACT(Metadata!L624,"surface (saline)"),EXACT(Metadata!L624,"water (saline)"),EXACT(Metadata!L624,"hypersaline (saline)"),EXACT(Metadata!L624,"aerosol (saline)"),EXACT(Metadata!L624,"sediment (saline)")))</f>
        <v>0</v>
      </c>
      <c r="AZ624" t="b">
        <f>IF(Metadata!M624="",FALSE,TRUE)</f>
        <v>0</v>
      </c>
      <c r="BA624" t="b">
        <f>IF(Metadata!N624="",FALSE,TRUE)</f>
        <v>0</v>
      </c>
      <c r="BB624" t="b">
        <f>IF(Metadata!O624="",FALSE,TRUE)</f>
        <v>0</v>
      </c>
      <c r="BC624" t="b">
        <f>AND(IF(Metadata!P624="",FALSE,TRUE),OR(EXACT(Metadata!P624,"air"),EXACT(Metadata!P624,"microbial mat/biofilm"),EXACT(Metadata!P624,"misc environment"),EXACT(Metadata!P624,"sediment"),EXACT(Metadata!P624,"soil"),EXACT(Metadata!P624,"wastewater/sludge"),EXACT(Metadata!P624,"water")))</f>
        <v>0</v>
      </c>
      <c r="BD624" t="b">
        <f>IF(Metadata!Q624="",FALSE,TRUE)</f>
        <v>0</v>
      </c>
      <c r="BE624" t="b">
        <f>IF(Metadata!R624="",FALSE,TRUE)</f>
        <v>0</v>
      </c>
      <c r="BF624" t="b">
        <f>OR(AND(IF(Metadata!S624="",FALSE,TRUE),OR(EXACT(Metadata!S624,"not collected"),EXACT(Metadata!S624,"not provided"),EXACT(Metadata!S624,"restricted access"))),AND(IF(Metadata!S624="",FALSE,ISNUMBER(VALUE(Metadata!S624))),Metadata!S624&gt;=-90,Metadata!S624&lt;=90))</f>
        <v>0</v>
      </c>
      <c r="BG624" t="b">
        <f>AND(IF(Metadata!T624="",FALSE,TRUE),EXACT(Metadata!T624,"Decimal degrees"))</f>
        <v>0</v>
      </c>
      <c r="BH624" t="b">
        <f>OR(AND(IF(Metadata!U624="",FALSE,TRUE),OR(EXACT(Metadata!U624,"not applicable"),EXACT(Metadata!U624,"not collected"))),IF(Metadata!U624="",FALSE,TRUE))</f>
        <v>0</v>
      </c>
      <c r="BI624" t="b">
        <f>OR(AND(IF(Metadata!V624="",FALSE,TRUE),OR(EXACT(Metadata!V624,"not collected"),EXACT(Metadata!V624,"not provided"),EXACT(Metadata!V624,"restricted access"))),AND(IF(Metadata!V624="",FALSE,ISNUMBER(VALUE(Metadata!V624))),Metadata!V624&gt;=-180,Metadata!V624&lt;=180))</f>
        <v>0</v>
      </c>
      <c r="BJ624" t="b">
        <f>AND(IF(Metadata!W624="",FALSE,TRUE),EXACT(Metadata!W624,"Decimal degrees"))</f>
        <v>0</v>
      </c>
      <c r="BK624" t="b">
        <f>IF(Metadata!X624="",FALSE,TRUE)</f>
        <v>0</v>
      </c>
      <c r="BL624" t="b">
        <f>OR(AND(IF(Metadata!Y624="",FALSE,TRUE),OR(EXACT(Metadata!Y624,"not collected"),EXACT(Metadata!Y624,"not provided"),EXACT(Metadata!Y624,"restricted access"))),AND(IF(Metadata!Y624="",FALSE,TRUE),OR(EXACT(Metadata!Y624,"TRUE"),EXACT(Metadata!Y624,"FALSE"))))</f>
        <v>0</v>
      </c>
      <c r="BM624" t="b">
        <f>OR(AND(IF(Metadata!Z624="",FALSE,TRUE),EXACT(Metadata!Z624,"not applicable")),AND(IF(Metadata!Z624="",FALSE,TRUE),OR(EXACT(Metadata!Z624,"beer"),EXACT(Metadata!Z624,"cheese"),EXACT(Metadata!Z624,"fresh water"),EXACT(Metadata!Z624,"marine sediment"),EXACT(Metadata!Z624,"sea water"),EXACT(Metadata!Z624,"sediment"),EXACT(Metadata!Z624,"soil"),EXACT(Metadata!Z624,"waste water"))))</f>
        <v>0</v>
      </c>
      <c r="BN624" t="b">
        <f>AND(IF(Metadata!AA624="",FALSE,TRUE),EXACT(Metadata!AA624,"metagenome"))</f>
        <v>0</v>
      </c>
      <c r="BO624" t="b">
        <f>AND(IF(Metadata!AB624="",FALSE,TRUE),EXACT(Metadata!AB624,"256318"))</f>
        <v>0</v>
      </c>
      <c r="BP624" t="b">
        <f>IF(Metadata!AC624="",FALSE,TRUE)</f>
        <v>0</v>
      </c>
      <c r="BQ624" t="b">
        <f>IF(Metadata!AD624="",FALSE,TRUE)</f>
        <v>0</v>
      </c>
    </row>
    <row r="625" spans="1:69" x14ac:dyDescent="0.2">
      <c r="A625" s="4" t="e">
        <f ca="1">IF(B625=" "," ",HYPERLINK(CONCATENATE("#metadata!",ADDRESS(INDEX($AJ$2:$AJ$1001,MATCH(ROWS($AH$2:AH625),$AH$2:$AH$1001,0),0),2)),INDEX($AM$2:$AM$1001,MATCH(ROWS($AH$2:AH625),$AH$2:$AH$1001,0),0)))</f>
        <v>#N/A</v>
      </c>
      <c r="B625" s="5" t="e">
        <f ca="1">IF(OR(INDEX($AI$2:$AI$1001,MATCH(ROWS($AH$2:AH625),$AH$2:$AH$1001,0),1)&gt;=100000,INDEX($AO$1005:$BQ$1005,1,MATCH(COLUMNS($AO$1006:AO1006),$AO$1006:$BQ$1006,0))&gt;=100000), " ",IF(INDEX($AO$2:$BQ$1001,MATCH(ROWS($AH$2:AH625),$AH$2:$AH$1001,0),MATCH(COLUMNS($AO$1006:AO1006),$AO$1006:$BQ$1006,0)), HYPERLINK("#",""), HYPERLINK(CONCATENATE("#Metadata!", ADDRESS(INDEX($AJ$2:$AJ$1001,MATCH(ROWS($AH$2:AH625),$AH$2:$AH$1001,0),0), INDEX($AO$1004:$BQ$1004,1,MATCH(COLUMNS($AO$1006:AO1006),$AO$1006:$BQ$1006,0)))),"Fix")))</f>
        <v>#N/A</v>
      </c>
      <c r="C625" s="5" t="e">
        <f ca="1">IF(OR(INDEX($AI$2:$AI$1001,MATCH(ROWS($AH$2:AH625),$AH$2:$AH$1001,0),1)&gt;=100000,INDEX($AO$1005:$BQ$1005,1,MATCH(COLUMNS($AO$1006:AP1006),$AO$1006:$BQ$1006,0))&gt;=100000), " ",IF(INDEX($AO$2:$BQ$1001,MATCH(ROWS($AH$2:AH625),$AH$2:$AH$1001,0),MATCH(COLUMNS($AO$1006:AP1006),$AO$1006:$BQ$1006,0)), HYPERLINK("#",""), HYPERLINK(CONCATENATE("#Metadata!", ADDRESS(INDEX($AJ$2:$AJ$1001,MATCH(ROWS($AH$2:AH625),$AH$2:$AH$1001,0),0), INDEX($AO$1004:$BQ$1004,1,MATCH(COLUMNS($AO$1006:AP1006),$AO$1006:$BQ$1006,0)))),"Fix")))</f>
        <v>#N/A</v>
      </c>
      <c r="D625" s="5" t="e">
        <f ca="1">IF(OR(INDEX($AI$2:$AI$1001,MATCH(ROWS($AH$2:AH625),$AH$2:$AH$1001,0),1)&gt;=100000,INDEX($AO$1005:$BQ$1005,1,MATCH(COLUMNS($AO$1006:AQ1006),$AO$1006:$BQ$1006,0))&gt;=100000), " ",IF(INDEX($AO$2:$BQ$1001,MATCH(ROWS($AH$2:AH625),$AH$2:$AH$1001,0),MATCH(COLUMNS($AO$1006:AQ1006),$AO$1006:$BQ$1006,0)), HYPERLINK("#",""), HYPERLINK(CONCATENATE("#Metadata!", ADDRESS(INDEX($AJ$2:$AJ$1001,MATCH(ROWS($AH$2:AH625),$AH$2:$AH$1001,0),0), INDEX($AO$1004:$BQ$1004,1,MATCH(COLUMNS($AO$1006:AQ1006),$AO$1006:$BQ$1006,0)))),"Fix")))</f>
        <v>#N/A</v>
      </c>
      <c r="E625" s="5" t="e">
        <f ca="1">IF(OR(INDEX($AI$2:$AI$1001,MATCH(ROWS($AH$2:AH625),$AH$2:$AH$1001,0),1)&gt;=100000,INDEX($AO$1005:$BQ$1005,1,MATCH(COLUMNS($AO$1006:AR1006),$AO$1006:$BQ$1006,0))&gt;=100000), " ",IF(INDEX($AO$2:$BQ$1001,MATCH(ROWS($AH$2:AH625),$AH$2:$AH$1001,0),MATCH(COLUMNS($AO$1006:AR1006),$AO$1006:$BQ$1006,0)), HYPERLINK("#",""), HYPERLINK(CONCATENATE("#Metadata!", ADDRESS(INDEX($AJ$2:$AJ$1001,MATCH(ROWS($AH$2:AH625),$AH$2:$AH$1001,0),0), INDEX($AO$1004:$BQ$1004,1,MATCH(COLUMNS($AO$1006:AR1006),$AO$1006:$BQ$1006,0)))),"Fix")))</f>
        <v>#N/A</v>
      </c>
      <c r="F625" s="5" t="e">
        <f ca="1">IF(OR(INDEX($AI$2:$AI$1001,MATCH(ROWS($AH$2:AH625),$AH$2:$AH$1001,0),1)&gt;=100000,INDEX($AO$1005:$BQ$1005,1,MATCH(COLUMNS($AO$1006:AS1006),$AO$1006:$BQ$1006,0))&gt;=100000), " ",IF(INDEX($AO$2:$BQ$1001,MATCH(ROWS($AH$2:AH625),$AH$2:$AH$1001,0),MATCH(COLUMNS($AO$1006:AS1006),$AO$1006:$BQ$1006,0)), HYPERLINK("#",""), HYPERLINK(CONCATENATE("#Metadata!", ADDRESS(INDEX($AJ$2:$AJ$1001,MATCH(ROWS($AH$2:AH625),$AH$2:$AH$1001,0),0), INDEX($AO$1004:$BQ$1004,1,MATCH(COLUMNS($AO$1006:AS1006),$AO$1006:$BQ$1006,0)))),"Fix")))</f>
        <v>#N/A</v>
      </c>
      <c r="G625" s="5" t="e">
        <f ca="1">IF(OR(INDEX($AI$2:$AI$1001,MATCH(ROWS($AH$2:AH625),$AH$2:$AH$1001,0),1)&gt;=100000,INDEX($AO$1005:$BQ$1005,1,MATCH(COLUMNS($AO$1006:AT1006),$AO$1006:$BQ$1006,0))&gt;=100000), " ",IF(INDEX($AO$2:$BQ$1001,MATCH(ROWS($AH$2:AH625),$AH$2:$AH$1001,0),MATCH(COLUMNS($AO$1006:AT1006),$AO$1006:$BQ$1006,0)), HYPERLINK("#",""), HYPERLINK(CONCATENATE("#Metadata!", ADDRESS(INDEX($AJ$2:$AJ$1001,MATCH(ROWS($AH$2:AH625),$AH$2:$AH$1001,0),0), INDEX($AO$1004:$BQ$1004,1,MATCH(COLUMNS($AO$1006:AT1006),$AO$1006:$BQ$1006,0)))),"Fix")))</f>
        <v>#N/A</v>
      </c>
      <c r="H625" s="5" t="e">
        <f ca="1">IF(OR(INDEX($AI$2:$AI$1001,MATCH(ROWS($AH$2:AH625),$AH$2:$AH$1001,0),1)&gt;=100000,INDEX($AO$1005:$BQ$1005,1,MATCH(COLUMNS($AO$1006:AU1006),$AO$1006:$BQ$1006,0))&gt;=100000), " ",IF(INDEX($AO$2:$BQ$1001,MATCH(ROWS($AH$2:AH625),$AH$2:$AH$1001,0),MATCH(COLUMNS($AO$1006:AU1006),$AO$1006:$BQ$1006,0)), HYPERLINK("#",""), HYPERLINK(CONCATENATE("#Metadata!", ADDRESS(INDEX($AJ$2:$AJ$1001,MATCH(ROWS($AH$2:AH625),$AH$2:$AH$1001,0),0), INDEX($AO$1004:$BQ$1004,1,MATCH(COLUMNS($AO$1006:AU1006),$AO$1006:$BQ$1006,0)))),"Fix")))</f>
        <v>#N/A</v>
      </c>
      <c r="I625" s="5" t="e">
        <f ca="1">IF(OR(INDEX($AI$2:$AI$1001,MATCH(ROWS($AH$2:AH625),$AH$2:$AH$1001,0),1)&gt;=100000,INDEX($AO$1005:$BQ$1005,1,MATCH(COLUMNS($AO$1006:AV1006),$AO$1006:$BQ$1006,0))&gt;=100000), " ",IF(INDEX($AO$2:$BQ$1001,MATCH(ROWS($AH$2:AH625),$AH$2:$AH$1001,0),MATCH(COLUMNS($AO$1006:AV1006),$AO$1006:$BQ$1006,0)), HYPERLINK("#",""), HYPERLINK(CONCATENATE("#Metadata!", ADDRESS(INDEX($AJ$2:$AJ$1001,MATCH(ROWS($AH$2:AH625),$AH$2:$AH$1001,0),0), INDEX($AO$1004:$BQ$1004,1,MATCH(COLUMNS($AO$1006:AV1006),$AO$1006:$BQ$1006,0)))),"Fix")))</f>
        <v>#N/A</v>
      </c>
      <c r="J625" s="5" t="e">
        <f ca="1">IF(OR(INDEX($AI$2:$AI$1001,MATCH(ROWS($AH$2:AH625),$AH$2:$AH$1001,0),1)&gt;=100000,INDEX($AO$1005:$BQ$1005,1,MATCH(COLUMNS($AO$1006:AW1006),$AO$1006:$BQ$1006,0))&gt;=100000), " ",IF(INDEX($AO$2:$BQ$1001,MATCH(ROWS($AH$2:AH625),$AH$2:$AH$1001,0),MATCH(COLUMNS($AO$1006:AW1006),$AO$1006:$BQ$1006,0)), HYPERLINK("#",""), HYPERLINK(CONCATENATE("#Metadata!", ADDRESS(INDEX($AJ$2:$AJ$1001,MATCH(ROWS($AH$2:AH625),$AH$2:$AH$1001,0),0), INDEX($AO$1004:$BQ$1004,1,MATCH(COLUMNS($AO$1006:AW1006),$AO$1006:$BQ$1006,0)))),"Fix")))</f>
        <v>#N/A</v>
      </c>
      <c r="K625" s="5" t="e">
        <f ca="1">IF(OR(INDEX($AI$2:$AI$1001,MATCH(ROWS($AH$2:AH625),$AH$2:$AH$1001,0),1)&gt;=100000,INDEX($AO$1005:$BQ$1005,1,MATCH(COLUMNS($AO$1006:AX1006),$AO$1006:$BQ$1006,0))&gt;=100000), " ",IF(INDEX($AO$2:$BQ$1001,MATCH(ROWS($AH$2:AH625),$AH$2:$AH$1001,0),MATCH(COLUMNS($AO$1006:AX1006),$AO$1006:$BQ$1006,0)), HYPERLINK("#",""), HYPERLINK(CONCATENATE("#Metadata!", ADDRESS(INDEX($AJ$2:$AJ$1001,MATCH(ROWS($AH$2:AH625),$AH$2:$AH$1001,0),0), INDEX($AO$1004:$BQ$1004,1,MATCH(COLUMNS($AO$1006:AX1006),$AO$1006:$BQ$1006,0)))),"Fix")))</f>
        <v>#N/A</v>
      </c>
      <c r="L625" s="5" t="e">
        <f ca="1">IF(OR(INDEX($AI$2:$AI$1001,MATCH(ROWS($AH$2:AH625),$AH$2:$AH$1001,0),1)&gt;=100000,INDEX($AO$1005:$BQ$1005,1,MATCH(COLUMNS($AO$1006:AY1006),$AO$1006:$BQ$1006,0))&gt;=100000), " ",IF(INDEX($AO$2:$BQ$1001,MATCH(ROWS($AH$2:AH625),$AH$2:$AH$1001,0),MATCH(COLUMNS($AO$1006:AY1006),$AO$1006:$BQ$1006,0)), HYPERLINK("#",""), HYPERLINK(CONCATENATE("#Metadata!", ADDRESS(INDEX($AJ$2:$AJ$1001,MATCH(ROWS($AH$2:AH625),$AH$2:$AH$1001,0),0), INDEX($AO$1004:$BQ$1004,1,MATCH(COLUMNS($AO$1006:AY1006),$AO$1006:$BQ$1006,0)))),"Fix")))</f>
        <v>#N/A</v>
      </c>
      <c r="M625" s="5" t="e">
        <f ca="1">IF(OR(INDEX($AI$2:$AI$1001,MATCH(ROWS($AH$2:AH625),$AH$2:$AH$1001,0),1)&gt;=100000,INDEX($AO$1005:$BQ$1005,1,MATCH(COLUMNS($AO$1006:AZ1006),$AO$1006:$BQ$1006,0))&gt;=100000), " ",IF(INDEX($AO$2:$BQ$1001,MATCH(ROWS($AH$2:AH625),$AH$2:$AH$1001,0),MATCH(COLUMNS($AO$1006:AZ1006),$AO$1006:$BQ$1006,0)), HYPERLINK("#",""), HYPERLINK(CONCATENATE("#Metadata!", ADDRESS(INDEX($AJ$2:$AJ$1001,MATCH(ROWS($AH$2:AH625),$AH$2:$AH$1001,0),0), INDEX($AO$1004:$BQ$1004,1,MATCH(COLUMNS($AO$1006:AZ1006),$AO$1006:$BQ$1006,0)))),"Fix")))</f>
        <v>#N/A</v>
      </c>
      <c r="N625" s="5" t="e">
        <f ca="1">IF(OR(INDEX($AI$2:$AI$1001,MATCH(ROWS($AH$2:AH625),$AH$2:$AH$1001,0),1)&gt;=100000,INDEX($AO$1005:$BQ$1005,1,MATCH(COLUMNS($AO$1006:BA1006),$AO$1006:$BQ$1006,0))&gt;=100000), " ",IF(INDEX($AO$2:$BQ$1001,MATCH(ROWS($AH$2:AH625),$AH$2:$AH$1001,0),MATCH(COLUMNS($AO$1006:BA1006),$AO$1006:$BQ$1006,0)), HYPERLINK("#",""), HYPERLINK(CONCATENATE("#Metadata!", ADDRESS(INDEX($AJ$2:$AJ$1001,MATCH(ROWS($AH$2:AH625),$AH$2:$AH$1001,0),0), INDEX($AO$1004:$BQ$1004,1,MATCH(COLUMNS($AO$1006:BA1006),$AO$1006:$BQ$1006,0)))),"Fix")))</f>
        <v>#N/A</v>
      </c>
      <c r="O625" s="5" t="e">
        <f ca="1">IF(OR(INDEX($AI$2:$AI$1001,MATCH(ROWS($AH$2:AH625),$AH$2:$AH$1001,0),1)&gt;=100000,INDEX($AO$1005:$BQ$1005,1,MATCH(COLUMNS($AO$1006:BB1006),$AO$1006:$BQ$1006,0))&gt;=100000), " ",IF(INDEX($AO$2:$BQ$1001,MATCH(ROWS($AH$2:AH625),$AH$2:$AH$1001,0),MATCH(COLUMNS($AO$1006:BB1006),$AO$1006:$BQ$1006,0)), HYPERLINK("#",""), HYPERLINK(CONCATENATE("#Metadata!", ADDRESS(INDEX($AJ$2:$AJ$1001,MATCH(ROWS($AH$2:AH625),$AH$2:$AH$1001,0),0), INDEX($AO$1004:$BQ$1004,1,MATCH(COLUMNS($AO$1006:BB1006),$AO$1006:$BQ$1006,0)))),"Fix")))</f>
        <v>#N/A</v>
      </c>
      <c r="P625" s="5" t="e">
        <f ca="1">IF(OR(INDEX($AI$2:$AI$1001,MATCH(ROWS($AH$2:AH625),$AH$2:$AH$1001,0),1)&gt;=100000,INDEX($AO$1005:$BQ$1005,1,MATCH(COLUMNS($AO$1006:BC1006),$AO$1006:$BQ$1006,0))&gt;=100000), " ",IF(INDEX($AO$2:$BQ$1001,MATCH(ROWS($AH$2:AH625),$AH$2:$AH$1001,0),MATCH(COLUMNS($AO$1006:BC1006),$AO$1006:$BQ$1006,0)), HYPERLINK("#",""), HYPERLINK(CONCATENATE("#Metadata!", ADDRESS(INDEX($AJ$2:$AJ$1001,MATCH(ROWS($AH$2:AH625),$AH$2:$AH$1001,0),0), INDEX($AO$1004:$BQ$1004,1,MATCH(COLUMNS($AO$1006:BC1006),$AO$1006:$BQ$1006,0)))),"Fix")))</f>
        <v>#N/A</v>
      </c>
      <c r="Q625" s="5" t="e">
        <f ca="1">IF(OR(INDEX($AI$2:$AI$1001,MATCH(ROWS($AH$2:AH625),$AH$2:$AH$1001,0),1)&gt;=100000,INDEX($AO$1005:$BQ$1005,1,MATCH(COLUMNS($AO$1006:BD1006),$AO$1006:$BQ$1006,0))&gt;=100000), " ",IF(INDEX($AO$2:$BQ$1001,MATCH(ROWS($AH$2:AH625),$AH$2:$AH$1001,0),MATCH(COLUMNS($AO$1006:BD1006),$AO$1006:$BQ$1006,0)), HYPERLINK("#",""), HYPERLINK(CONCATENATE("#Metadata!", ADDRESS(INDEX($AJ$2:$AJ$1001,MATCH(ROWS($AH$2:AH625),$AH$2:$AH$1001,0),0), INDEX($AO$1004:$BQ$1004,1,MATCH(COLUMNS($AO$1006:BD1006),$AO$1006:$BQ$1006,0)))),"Fix")))</f>
        <v>#N/A</v>
      </c>
      <c r="R625" s="5" t="e">
        <f ca="1">IF(OR(INDEX($AI$2:$AI$1001,MATCH(ROWS($AH$2:AH625),$AH$2:$AH$1001,0),1)&gt;=100000,INDEX($AO$1005:$BQ$1005,1,MATCH(COLUMNS($AO$1006:BE1006),$AO$1006:$BQ$1006,0))&gt;=100000), " ",IF(INDEX($AO$2:$BQ$1001,MATCH(ROWS($AH$2:AH625),$AH$2:$AH$1001,0),MATCH(COLUMNS($AO$1006:BE1006),$AO$1006:$BQ$1006,0)), HYPERLINK("#",""), HYPERLINK(CONCATENATE("#Metadata!", ADDRESS(INDEX($AJ$2:$AJ$1001,MATCH(ROWS($AH$2:AH625),$AH$2:$AH$1001,0),0), INDEX($AO$1004:$BQ$1004,1,MATCH(COLUMNS($AO$1006:BE1006),$AO$1006:$BQ$1006,0)))),"Fix")))</f>
        <v>#N/A</v>
      </c>
      <c r="S625" s="5" t="e">
        <f ca="1">IF(OR(INDEX($AI$2:$AI$1001,MATCH(ROWS($AH$2:AH625),$AH$2:$AH$1001,0),1)&gt;=100000,INDEX($AO$1005:$BQ$1005,1,MATCH(COLUMNS($AO$1006:BF1006),$AO$1006:$BQ$1006,0))&gt;=100000), " ",IF(INDEX($AO$2:$BQ$1001,MATCH(ROWS($AH$2:AH625),$AH$2:$AH$1001,0),MATCH(COLUMNS($AO$1006:BF1006),$AO$1006:$BQ$1006,0)), HYPERLINK("#",""), HYPERLINK(CONCATENATE("#Metadata!", ADDRESS(INDEX($AJ$2:$AJ$1001,MATCH(ROWS($AH$2:AH625),$AH$2:$AH$1001,0),0), INDEX($AO$1004:$BQ$1004,1,MATCH(COLUMNS($AO$1006:BF1006),$AO$1006:$BQ$1006,0)))),"Fix")))</f>
        <v>#N/A</v>
      </c>
      <c r="T625" s="5" t="e">
        <f ca="1">IF(OR(INDEX($AI$2:$AI$1001,MATCH(ROWS($AH$2:AH625),$AH$2:$AH$1001,0),1)&gt;=100000,INDEX($AO$1005:$BQ$1005,1,MATCH(COLUMNS($AO$1006:BG1006),$AO$1006:$BQ$1006,0))&gt;=100000), " ",IF(INDEX($AO$2:$BQ$1001,MATCH(ROWS($AH$2:AH625),$AH$2:$AH$1001,0),MATCH(COLUMNS($AO$1006:BG1006),$AO$1006:$BQ$1006,0)), HYPERLINK("#",""), HYPERLINK(CONCATENATE("#Metadata!", ADDRESS(INDEX($AJ$2:$AJ$1001,MATCH(ROWS($AH$2:AH625),$AH$2:$AH$1001,0),0), INDEX($AO$1004:$BQ$1004,1,MATCH(COLUMNS($AO$1006:BG1006),$AO$1006:$BQ$1006,0)))),"Fix")))</f>
        <v>#N/A</v>
      </c>
      <c r="U625" s="5" t="e">
        <f ca="1">IF(OR(INDEX($AI$2:$AI$1001,MATCH(ROWS($AH$2:AH625),$AH$2:$AH$1001,0),1)&gt;=100000,INDEX($AO$1005:$BQ$1005,1,MATCH(COLUMNS($AO$1006:BH1006),$AO$1006:$BQ$1006,0))&gt;=100000), " ",IF(INDEX($AO$2:$BQ$1001,MATCH(ROWS($AH$2:AH625),$AH$2:$AH$1001,0),MATCH(COLUMNS($AO$1006:BH1006),$AO$1006:$BQ$1006,0)), HYPERLINK("#",""), HYPERLINK(CONCATENATE("#Metadata!", ADDRESS(INDEX($AJ$2:$AJ$1001,MATCH(ROWS($AH$2:AH625),$AH$2:$AH$1001,0),0), INDEX($AO$1004:$BQ$1004,1,MATCH(COLUMNS($AO$1006:BH1006),$AO$1006:$BQ$1006,0)))),"Fix")))</f>
        <v>#N/A</v>
      </c>
      <c r="V625" s="5" t="e">
        <f ca="1">IF(OR(INDEX($AI$2:$AI$1001,MATCH(ROWS($AH$2:AH625),$AH$2:$AH$1001,0),1)&gt;=100000,INDEX($AO$1005:$BQ$1005,1,MATCH(COLUMNS($AO$1006:BI1006),$AO$1006:$BQ$1006,0))&gt;=100000), " ",IF(INDEX($AO$2:$BQ$1001,MATCH(ROWS($AH$2:AH625),$AH$2:$AH$1001,0),MATCH(COLUMNS($AO$1006:BI1006),$AO$1006:$BQ$1006,0)), HYPERLINK("#",""), HYPERLINK(CONCATENATE("#Metadata!", ADDRESS(INDEX($AJ$2:$AJ$1001,MATCH(ROWS($AH$2:AH625),$AH$2:$AH$1001,0),0), INDEX($AO$1004:$BQ$1004,1,MATCH(COLUMNS($AO$1006:BI1006),$AO$1006:$BQ$1006,0)))),"Fix")))</f>
        <v>#N/A</v>
      </c>
      <c r="W625" s="5" t="e">
        <f ca="1">IF(OR(INDEX($AI$2:$AI$1001,MATCH(ROWS($AH$2:AH625),$AH$2:$AH$1001,0),1)&gt;=100000,INDEX($AO$1005:$BQ$1005,1,MATCH(COLUMNS($AO$1006:BJ1006),$AO$1006:$BQ$1006,0))&gt;=100000), " ",IF(INDEX($AO$2:$BQ$1001,MATCH(ROWS($AH$2:AH625),$AH$2:$AH$1001,0),MATCH(COLUMNS($AO$1006:BJ1006),$AO$1006:$BQ$1006,0)), HYPERLINK("#",""), HYPERLINK(CONCATENATE("#Metadata!", ADDRESS(INDEX($AJ$2:$AJ$1001,MATCH(ROWS($AH$2:AH625),$AH$2:$AH$1001,0),0), INDEX($AO$1004:$BQ$1004,1,MATCH(COLUMNS($AO$1006:BJ1006),$AO$1006:$BQ$1006,0)))),"Fix")))</f>
        <v>#N/A</v>
      </c>
      <c r="X625" s="5" t="e">
        <f ca="1">IF(OR(INDEX($AI$2:$AI$1001,MATCH(ROWS($AH$2:AH625),$AH$2:$AH$1001,0),1)&gt;=100000,INDEX($AO$1005:$BQ$1005,1,MATCH(COLUMNS($AO$1006:BK1006),$AO$1006:$BQ$1006,0))&gt;=100000), " ",IF(INDEX($AO$2:$BQ$1001,MATCH(ROWS($AH$2:AH625),$AH$2:$AH$1001,0),MATCH(COLUMNS($AO$1006:BK1006),$AO$1006:$BQ$1006,0)), HYPERLINK("#",""), HYPERLINK(CONCATENATE("#Metadata!", ADDRESS(INDEX($AJ$2:$AJ$1001,MATCH(ROWS($AH$2:AH625),$AH$2:$AH$1001,0),0), INDEX($AO$1004:$BQ$1004,1,MATCH(COLUMNS($AO$1006:BK1006),$AO$1006:$BQ$1006,0)))),"Fix")))</f>
        <v>#N/A</v>
      </c>
      <c r="Y625" s="5" t="e">
        <f ca="1">IF(OR(INDEX($AI$2:$AI$1001,MATCH(ROWS($AH$2:AH625),$AH$2:$AH$1001,0),1)&gt;=100000,INDEX($AO$1005:$BQ$1005,1,MATCH(COLUMNS($AO$1006:BL1006),$AO$1006:$BQ$1006,0))&gt;=100000), " ",IF(INDEX($AO$2:$BQ$1001,MATCH(ROWS($AH$2:AH625),$AH$2:$AH$1001,0),MATCH(COLUMNS($AO$1006:BL1006),$AO$1006:$BQ$1006,0)), HYPERLINK("#",""), HYPERLINK(CONCATENATE("#Metadata!", ADDRESS(INDEX($AJ$2:$AJ$1001,MATCH(ROWS($AH$2:AH625),$AH$2:$AH$1001,0),0), INDEX($AO$1004:$BQ$1004,1,MATCH(COLUMNS($AO$1006:BL1006),$AO$1006:$BQ$1006,0)))),"Fix")))</f>
        <v>#N/A</v>
      </c>
      <c r="Z625" s="5" t="e">
        <f ca="1">IF(OR(INDEX($AI$2:$AI$1001,MATCH(ROWS($AH$2:AH625),$AH$2:$AH$1001,0),1)&gt;=100000,INDEX($AO$1005:$BQ$1005,1,MATCH(COLUMNS($AO$1006:BM1006),$AO$1006:$BQ$1006,0))&gt;=100000), " ",IF(INDEX($AO$2:$BQ$1001,MATCH(ROWS($AH$2:AH625),$AH$2:$AH$1001,0),MATCH(COLUMNS($AO$1006:BM1006),$AO$1006:$BQ$1006,0)), HYPERLINK("#",""), HYPERLINK(CONCATENATE("#Metadata!", ADDRESS(INDEX($AJ$2:$AJ$1001,MATCH(ROWS($AH$2:AH625),$AH$2:$AH$1001,0),0), INDEX($AO$1004:$BQ$1004,1,MATCH(COLUMNS($AO$1006:BM1006),$AO$1006:$BQ$1006,0)))),"Fix")))</f>
        <v>#N/A</v>
      </c>
      <c r="AA625" s="5" t="e">
        <f ca="1">IF(OR(INDEX($AI$2:$AI$1001,MATCH(ROWS($AH$2:AH625),$AH$2:$AH$1001,0),1)&gt;=100000,INDEX($AO$1005:$BQ$1005,1,MATCH(COLUMNS($AO$1006:BN1006),$AO$1006:$BQ$1006,0))&gt;=100000), " ",IF(INDEX($AO$2:$BQ$1001,MATCH(ROWS($AH$2:AH625),$AH$2:$AH$1001,0),MATCH(COLUMNS($AO$1006:BN1006),$AO$1006:$BQ$1006,0)), HYPERLINK("#",""), HYPERLINK(CONCATENATE("#Metadata!", ADDRESS(INDEX($AJ$2:$AJ$1001,MATCH(ROWS($AH$2:AH625),$AH$2:$AH$1001,0),0), INDEX($AO$1004:$BQ$1004,1,MATCH(COLUMNS($AO$1006:BN1006),$AO$1006:$BQ$1006,0)))),"Fix")))</f>
        <v>#N/A</v>
      </c>
      <c r="AB625" s="5" t="e">
        <f ca="1">IF(OR(INDEX($AI$2:$AI$1001,MATCH(ROWS($AH$2:AH625),$AH$2:$AH$1001,0),1)&gt;=100000,INDEX($AO$1005:$BQ$1005,1,MATCH(COLUMNS($AO$1006:BO1006),$AO$1006:$BQ$1006,0))&gt;=100000), " ",IF(INDEX($AO$2:$BQ$1001,MATCH(ROWS($AH$2:AH625),$AH$2:$AH$1001,0),MATCH(COLUMNS($AO$1006:BO1006),$AO$1006:$BQ$1006,0)), HYPERLINK("#",""), HYPERLINK(CONCATENATE("#Metadata!", ADDRESS(INDEX($AJ$2:$AJ$1001,MATCH(ROWS($AH$2:AH625),$AH$2:$AH$1001,0),0), INDEX($AO$1004:$BQ$1004,1,MATCH(COLUMNS($AO$1006:BO1006),$AO$1006:$BQ$1006,0)))),"Fix")))</f>
        <v>#N/A</v>
      </c>
      <c r="AC625" s="5" t="e">
        <f ca="1">IF(OR(INDEX($AI$2:$AI$1001,MATCH(ROWS($AH$2:AH625),$AH$2:$AH$1001,0),1)&gt;=100000,INDEX($AO$1005:$BQ$1005,1,MATCH(COLUMNS($AO$1006:BP1006),$AO$1006:$BQ$1006,0))&gt;=100000), " ",IF(INDEX($AO$2:$BQ$1001,MATCH(ROWS($AH$2:AH625),$AH$2:$AH$1001,0),MATCH(COLUMNS($AO$1006:BP1006),$AO$1006:$BQ$1006,0)), HYPERLINK("#",""), HYPERLINK(CONCATENATE("#Metadata!", ADDRESS(INDEX($AJ$2:$AJ$1001,MATCH(ROWS($AH$2:AH625),$AH$2:$AH$1001,0),0), INDEX($AO$1004:$BQ$1004,1,MATCH(COLUMNS($AO$1006:BP1006),$AO$1006:$BQ$1006,0)))),"Fix")))</f>
        <v>#N/A</v>
      </c>
      <c r="AD625" s="5" t="e">
        <f ca="1">IF(OR(INDEX($AI$2:$AI$1001,MATCH(ROWS($AH$2:AH625),$AH$2:$AH$1001,0),1)&gt;=100000,INDEX($AO$1005:$BQ$1005,1,MATCH(COLUMNS($AO$1006:BQ1006),$AO$1006:$BQ$1006,0))&gt;=100000), " ",IF(INDEX($AO$2:$BQ$1001,MATCH(ROWS($AH$2:AH625),$AH$2:$AH$1001,0),MATCH(COLUMNS($AO$1006:BQ1006),$AO$1006:$BQ$1006,0)), HYPERLINK("#",""), HYPERLINK(CONCATENATE("#Metadata!", ADDRESS(INDEX($AJ$2:$AJ$1001,MATCH(ROWS($AH$2:AH625),$AH$2:$AH$1001,0),0), INDEX($AO$1004:$BQ$1004,1,MATCH(COLUMNS($AO$1006:BQ1006),$AO$1006:$BQ$1006,0)))),"Fix")))</f>
        <v>#REF!</v>
      </c>
      <c r="AH625">
        <f ca="1"/>
        <v>622</v>
      </c>
      <c r="AI625">
        <v>100625</v>
      </c>
      <c r="AJ625">
        <v>625</v>
      </c>
      <c r="AK625" t="b">
        <f t="shared" si="9"/>
        <v>1</v>
      </c>
      <c r="AL625" t="b">
        <f>COUNTBLANK(Metadata!B625:AD625)=COLUMNS(Metadata!B625:AD625)</f>
        <v>1</v>
      </c>
      <c r="AM625" t="str">
        <v/>
      </c>
      <c r="AO625" t="b">
        <f ca="1">AND(IF(Metadata!B625="",FALSE,TRUE),COUNTIF(Metadata!B:B, Metadata!B625) = 1,NOT(ISERROR(SUMPRODUCT(SEARCH(MID(Metadata!B625,ROW(INDIRECT("1:"&amp;LEN(Metadata!B625))), 1),"0123456789abcdefghijklmnopqrstuvwxyzABCDEFGHIJKLMNOPQRSTUVWXYZ.")))))</f>
        <v>0</v>
      </c>
      <c r="AP625" t="b">
        <f>IF(Metadata!C625="",FALSE,TRUE)</f>
        <v>0</v>
      </c>
      <c r="AQ625" t="b">
        <f>IF(Metadata!D625="",FALSE,TRUE)</f>
        <v>0</v>
      </c>
      <c r="AR625" t="b">
        <f ca="1">OR(AND(IF(Metadata!E625="",FALSE,TRUE),OR(EXACT(Metadata!E625,"not collected"),EXACT(Metadata!E625,"not provided"),EXACT(Metadata!E625,"restricted access"))),AND(IF(Metadata!E625="",FALSE,TRUE),AND(AND(IFERROR(INT(LEFT(Metadata!E625,4))&gt;1900,FALSE),IFERROR(INT(LEFT(Metadata!E625,4))&lt;=YEAR(NOW()),FALSE)), OR(MID(Metadata!E625,5,1)="", AND(AND(MID(Metadata!E625,5,1)="-",IFERROR(INT(MID(Metadata!E625,6,1))&gt;=0,FALSE),IFERROR(INT(MID(Metadata!E625,6,1))&lt;=1,FALSE),NOT(MID(Metadata!E625,7,1)=""),IFERROR(INT(MID(Metadata!E625,6,2))&gt;=1,FALSE),IFERROR(INT(MID(Metadata!E625,6,2))&lt;=12,FALSE)), OR(MID(Metadata!E625,8,1)="", AND(AND(MID(Metadata!E625,8,1)="-",IFERROR(INT(MID(Metadata!E625,9,1))&gt;=0,FALSE),IFERROR(INT(MID(Metadata!E625,9,1))&lt;=3,FALSE),NOT(MID(Metadata!E625,10,1)=""),IFERROR(INT(MID(Metadata!E625,9,2))&gt;=1,FALSE),IFERROR(INT(MID(Metadata!E625,9,2))&lt;=31,FALSE)), OR(MID(Metadata!E625,11,1)="", AND(AND(MID(Metadata!E625,11,1)=" ",IFERROR(INT(MID(Metadata!E625,12,1))&gt;=0,FALSE),IFERROR(INT(MID(Metadata!E625,12,1))&lt;=2,FALSE),NOT(MID(Metadata!E625,13,1)=""),IFERROR(INT(MID(Metadata!E625,12,2))&gt;=0,FALSE),IFERROR(INT(MID(Metadata!E625,12,2))&lt;=23,FALSE)), OR(MID(Metadata!E625,14,1)="", AND(AND(MID(Metadata!E625,14,1)=":",IFERROR(INT(MID(Metadata!E625,15,1))&gt;=0,FALSE),IFERROR(INT(MID(Metadata!E625,15,1))&lt;=5,FALSE),NOT(MID(Metadata!E625,16,1)=""),IFERROR(INT(MID(Metadata!E625,15,2))&gt;=0,FALSE),IFERROR(INT(MID(Metadata!E625,15,2))&lt;=59,FALSE)), OR(MID(Metadata!E625,17,1)="", AND(AND(MID(Metadata!E625,17,1)=":",IFERROR(INT(MID(Metadata!E625,18,1))&gt;=0,FALSE),IFERROR(INT(MID(Metadata!E625,18,1))&lt;=5,FALSE),NOT(MID(Metadata!E625,19,1)=""),IFERROR(INT(MID(Metadata!E625,18,2))&gt;=0,FALSE),IFERROR(INT(MID(Metadata!E625,18,2))&lt;=59,FALSE)), LEN(Metadata!E625)&lt;=19)))))))))))))</f>
        <v>0</v>
      </c>
      <c r="AS625" t="b">
        <f>IF(Metadata!F625="",FALSE,TRUE)</f>
        <v>0</v>
      </c>
      <c r="AT625" t="b">
        <f>OR(AND(IF(Metadata!G625="",FALSE,TRUE),OR(EXACT(Metadata!G625,"not collected"),EXACT(Metadata!G625,"not provided"))),AND(IF(Metadata!G625="",FALSE,TRUE),OR(EXACT(Metadata!G625,"TRUE"),EXACT(Metadata!G625,"FALSE"))))</f>
        <v>0</v>
      </c>
      <c r="AU625" t="b">
        <f>OR(AND(IF(Metadata!H625="",FALSE,TRUE),OR(EXACT(Metadata!H625,"not collected"),EXACT(Metadata!H625,"not provided"),EXACT(Metadata!H625,"restricted access"))),AND(IF(Metadata!H625="",FALSE,ISNUMBER(VALUE(Metadata!H625))),Metadata!H625&gt;=-413))</f>
        <v>0</v>
      </c>
      <c r="AV625" t="b">
        <f>AND(IF(Metadata!I625="",FALSE,TRUE),EXACT(Metadata!I625,"meters"))</f>
        <v>0</v>
      </c>
      <c r="AW625" t="b">
        <f>AND(IF(Metadata!J625="",FALSE,TRUE),EXACT(Metadata!J625,"free-living"))</f>
        <v>0</v>
      </c>
      <c r="AX625" t="b">
        <f>AND(IF(Metadata!K625="",FALSE,TRUE),OR(EXACT(Metadata!K625,"saline"),EXACT(Metadata!K625,"non-saline")))</f>
        <v>0</v>
      </c>
      <c r="AY625" t="b">
        <f>AND(IF(Metadata!L625="",FALSE,TRUE),OR(EXACT(Metadata!L625,"sub-surface (non-saline)"),EXACT(Metadata!L625,"surface (non-saline)"),EXACT(Metadata!L625,"water (non-saline)"),EXACT(Metadata!L625,"soil (non-saline)"),EXACT(Metadata!L625,"aerosol (non-saline)"),EXACT(Metadata!L625,"sediment (non-saline)"),EXACT(Metadata!L625,"surface (saline)"),EXACT(Metadata!L625,"water (saline)"),EXACT(Metadata!L625,"hypersaline (saline)"),EXACT(Metadata!L625,"aerosol (saline)"),EXACT(Metadata!L625,"sediment (saline)")))</f>
        <v>0</v>
      </c>
      <c r="AZ625" t="b">
        <f>IF(Metadata!M625="",FALSE,TRUE)</f>
        <v>0</v>
      </c>
      <c r="BA625" t="b">
        <f>IF(Metadata!N625="",FALSE,TRUE)</f>
        <v>0</v>
      </c>
      <c r="BB625" t="b">
        <f>IF(Metadata!O625="",FALSE,TRUE)</f>
        <v>0</v>
      </c>
      <c r="BC625" t="b">
        <f>AND(IF(Metadata!P625="",FALSE,TRUE),OR(EXACT(Metadata!P625,"air"),EXACT(Metadata!P625,"microbial mat/biofilm"),EXACT(Metadata!P625,"misc environment"),EXACT(Metadata!P625,"sediment"),EXACT(Metadata!P625,"soil"),EXACT(Metadata!P625,"wastewater/sludge"),EXACT(Metadata!P625,"water")))</f>
        <v>0</v>
      </c>
      <c r="BD625" t="b">
        <f>IF(Metadata!Q625="",FALSE,TRUE)</f>
        <v>0</v>
      </c>
      <c r="BE625" t="b">
        <f>IF(Metadata!R625="",FALSE,TRUE)</f>
        <v>0</v>
      </c>
      <c r="BF625" t="b">
        <f>OR(AND(IF(Metadata!S625="",FALSE,TRUE),OR(EXACT(Metadata!S625,"not collected"),EXACT(Metadata!S625,"not provided"),EXACT(Metadata!S625,"restricted access"))),AND(IF(Metadata!S625="",FALSE,ISNUMBER(VALUE(Metadata!S625))),Metadata!S625&gt;=-90,Metadata!S625&lt;=90))</f>
        <v>0</v>
      </c>
      <c r="BG625" t="b">
        <f>AND(IF(Metadata!T625="",FALSE,TRUE),EXACT(Metadata!T625,"Decimal degrees"))</f>
        <v>0</v>
      </c>
      <c r="BH625" t="b">
        <f>OR(AND(IF(Metadata!U625="",FALSE,TRUE),OR(EXACT(Metadata!U625,"not applicable"),EXACT(Metadata!U625,"not collected"))),IF(Metadata!U625="",FALSE,TRUE))</f>
        <v>0</v>
      </c>
      <c r="BI625" t="b">
        <f>OR(AND(IF(Metadata!V625="",FALSE,TRUE),OR(EXACT(Metadata!V625,"not collected"),EXACT(Metadata!V625,"not provided"),EXACT(Metadata!V625,"restricted access"))),AND(IF(Metadata!V625="",FALSE,ISNUMBER(VALUE(Metadata!V625))),Metadata!V625&gt;=-180,Metadata!V625&lt;=180))</f>
        <v>0</v>
      </c>
      <c r="BJ625" t="b">
        <f>AND(IF(Metadata!W625="",FALSE,TRUE),EXACT(Metadata!W625,"Decimal degrees"))</f>
        <v>0</v>
      </c>
      <c r="BK625" t="b">
        <f>IF(Metadata!X625="",FALSE,TRUE)</f>
        <v>0</v>
      </c>
      <c r="BL625" t="b">
        <f>OR(AND(IF(Metadata!Y625="",FALSE,TRUE),OR(EXACT(Metadata!Y625,"not collected"),EXACT(Metadata!Y625,"not provided"),EXACT(Metadata!Y625,"restricted access"))),AND(IF(Metadata!Y625="",FALSE,TRUE),OR(EXACT(Metadata!Y625,"TRUE"),EXACT(Metadata!Y625,"FALSE"))))</f>
        <v>0</v>
      </c>
      <c r="BM625" t="b">
        <f>OR(AND(IF(Metadata!Z625="",FALSE,TRUE),EXACT(Metadata!Z625,"not applicable")),AND(IF(Metadata!Z625="",FALSE,TRUE),OR(EXACT(Metadata!Z625,"beer"),EXACT(Metadata!Z625,"cheese"),EXACT(Metadata!Z625,"fresh water"),EXACT(Metadata!Z625,"marine sediment"),EXACT(Metadata!Z625,"sea water"),EXACT(Metadata!Z625,"sediment"),EXACT(Metadata!Z625,"soil"),EXACT(Metadata!Z625,"waste water"))))</f>
        <v>0</v>
      </c>
      <c r="BN625" t="b">
        <f>AND(IF(Metadata!AA625="",FALSE,TRUE),EXACT(Metadata!AA625,"metagenome"))</f>
        <v>0</v>
      </c>
      <c r="BO625" t="b">
        <f>AND(IF(Metadata!AB625="",FALSE,TRUE),EXACT(Metadata!AB625,"256318"))</f>
        <v>0</v>
      </c>
      <c r="BP625" t="b">
        <f>IF(Metadata!AC625="",FALSE,TRUE)</f>
        <v>0</v>
      </c>
      <c r="BQ625" t="b">
        <f>IF(Metadata!AD625="",FALSE,TRUE)</f>
        <v>0</v>
      </c>
    </row>
    <row r="626" spans="1:69" x14ac:dyDescent="0.2">
      <c r="A626" s="4" t="e">
        <f ca="1">IF(B626=" "," ",HYPERLINK(CONCATENATE("#metadata!",ADDRESS(INDEX($AJ$2:$AJ$1001,MATCH(ROWS($AH$2:AH626),$AH$2:$AH$1001,0),0),2)),INDEX($AM$2:$AM$1001,MATCH(ROWS($AH$2:AH626),$AH$2:$AH$1001,0),0)))</f>
        <v>#N/A</v>
      </c>
      <c r="B626" s="5" t="e">
        <f ca="1">IF(OR(INDEX($AI$2:$AI$1001,MATCH(ROWS($AH$2:AH626),$AH$2:$AH$1001,0),1)&gt;=100000,INDEX($AO$1005:$BQ$1005,1,MATCH(COLUMNS($AO$1006:AO1006),$AO$1006:$BQ$1006,0))&gt;=100000), " ",IF(INDEX($AO$2:$BQ$1001,MATCH(ROWS($AH$2:AH626),$AH$2:$AH$1001,0),MATCH(COLUMNS($AO$1006:AO1006),$AO$1006:$BQ$1006,0)), HYPERLINK("#",""), HYPERLINK(CONCATENATE("#Metadata!", ADDRESS(INDEX($AJ$2:$AJ$1001,MATCH(ROWS($AH$2:AH626),$AH$2:$AH$1001,0),0), INDEX($AO$1004:$BQ$1004,1,MATCH(COLUMNS($AO$1006:AO1006),$AO$1006:$BQ$1006,0)))),"Fix")))</f>
        <v>#N/A</v>
      </c>
      <c r="C626" s="5" t="e">
        <f ca="1">IF(OR(INDEX($AI$2:$AI$1001,MATCH(ROWS($AH$2:AH626),$AH$2:$AH$1001,0),1)&gt;=100000,INDEX($AO$1005:$BQ$1005,1,MATCH(COLUMNS($AO$1006:AP1006),$AO$1006:$BQ$1006,0))&gt;=100000), " ",IF(INDEX($AO$2:$BQ$1001,MATCH(ROWS($AH$2:AH626),$AH$2:$AH$1001,0),MATCH(COLUMNS($AO$1006:AP1006),$AO$1006:$BQ$1006,0)), HYPERLINK("#",""), HYPERLINK(CONCATENATE("#Metadata!", ADDRESS(INDEX($AJ$2:$AJ$1001,MATCH(ROWS($AH$2:AH626),$AH$2:$AH$1001,0),0), INDEX($AO$1004:$BQ$1004,1,MATCH(COLUMNS($AO$1006:AP1006),$AO$1006:$BQ$1006,0)))),"Fix")))</f>
        <v>#N/A</v>
      </c>
      <c r="D626" s="5" t="e">
        <f ca="1">IF(OR(INDEX($AI$2:$AI$1001,MATCH(ROWS($AH$2:AH626),$AH$2:$AH$1001,0),1)&gt;=100000,INDEX($AO$1005:$BQ$1005,1,MATCH(COLUMNS($AO$1006:AQ1006),$AO$1006:$BQ$1006,0))&gt;=100000), " ",IF(INDEX($AO$2:$BQ$1001,MATCH(ROWS($AH$2:AH626),$AH$2:$AH$1001,0),MATCH(COLUMNS($AO$1006:AQ1006),$AO$1006:$BQ$1006,0)), HYPERLINK("#",""), HYPERLINK(CONCATENATE("#Metadata!", ADDRESS(INDEX($AJ$2:$AJ$1001,MATCH(ROWS($AH$2:AH626),$AH$2:$AH$1001,0),0), INDEX($AO$1004:$BQ$1004,1,MATCH(COLUMNS($AO$1006:AQ1006),$AO$1006:$BQ$1006,0)))),"Fix")))</f>
        <v>#N/A</v>
      </c>
      <c r="E626" s="5" t="e">
        <f ca="1">IF(OR(INDEX($AI$2:$AI$1001,MATCH(ROWS($AH$2:AH626),$AH$2:$AH$1001,0),1)&gt;=100000,INDEX($AO$1005:$BQ$1005,1,MATCH(COLUMNS($AO$1006:AR1006),$AO$1006:$BQ$1006,0))&gt;=100000), " ",IF(INDEX($AO$2:$BQ$1001,MATCH(ROWS($AH$2:AH626),$AH$2:$AH$1001,0),MATCH(COLUMNS($AO$1006:AR1006),$AO$1006:$BQ$1006,0)), HYPERLINK("#",""), HYPERLINK(CONCATENATE("#Metadata!", ADDRESS(INDEX($AJ$2:$AJ$1001,MATCH(ROWS($AH$2:AH626),$AH$2:$AH$1001,0),0), INDEX($AO$1004:$BQ$1004,1,MATCH(COLUMNS($AO$1006:AR1006),$AO$1006:$BQ$1006,0)))),"Fix")))</f>
        <v>#N/A</v>
      </c>
      <c r="F626" s="5" t="e">
        <f ca="1">IF(OR(INDEX($AI$2:$AI$1001,MATCH(ROWS($AH$2:AH626),$AH$2:$AH$1001,0),1)&gt;=100000,INDEX($AO$1005:$BQ$1005,1,MATCH(COLUMNS($AO$1006:AS1006),$AO$1006:$BQ$1006,0))&gt;=100000), " ",IF(INDEX($AO$2:$BQ$1001,MATCH(ROWS($AH$2:AH626),$AH$2:$AH$1001,0),MATCH(COLUMNS($AO$1006:AS1006),$AO$1006:$BQ$1006,0)), HYPERLINK("#",""), HYPERLINK(CONCATENATE("#Metadata!", ADDRESS(INDEX($AJ$2:$AJ$1001,MATCH(ROWS($AH$2:AH626),$AH$2:$AH$1001,0),0), INDEX($AO$1004:$BQ$1004,1,MATCH(COLUMNS($AO$1006:AS1006),$AO$1006:$BQ$1006,0)))),"Fix")))</f>
        <v>#N/A</v>
      </c>
      <c r="G626" s="5" t="e">
        <f ca="1">IF(OR(INDEX($AI$2:$AI$1001,MATCH(ROWS($AH$2:AH626),$AH$2:$AH$1001,0),1)&gt;=100000,INDEX($AO$1005:$BQ$1005,1,MATCH(COLUMNS($AO$1006:AT1006),$AO$1006:$BQ$1006,0))&gt;=100000), " ",IF(INDEX($AO$2:$BQ$1001,MATCH(ROWS($AH$2:AH626),$AH$2:$AH$1001,0),MATCH(COLUMNS($AO$1006:AT1006),$AO$1006:$BQ$1006,0)), HYPERLINK("#",""), HYPERLINK(CONCATENATE("#Metadata!", ADDRESS(INDEX($AJ$2:$AJ$1001,MATCH(ROWS($AH$2:AH626),$AH$2:$AH$1001,0),0), INDEX($AO$1004:$BQ$1004,1,MATCH(COLUMNS($AO$1006:AT1006),$AO$1006:$BQ$1006,0)))),"Fix")))</f>
        <v>#N/A</v>
      </c>
      <c r="H626" s="5" t="e">
        <f ca="1">IF(OR(INDEX($AI$2:$AI$1001,MATCH(ROWS($AH$2:AH626),$AH$2:$AH$1001,0),1)&gt;=100000,INDEX($AO$1005:$BQ$1005,1,MATCH(COLUMNS($AO$1006:AU1006),$AO$1006:$BQ$1006,0))&gt;=100000), " ",IF(INDEX($AO$2:$BQ$1001,MATCH(ROWS($AH$2:AH626),$AH$2:$AH$1001,0),MATCH(COLUMNS($AO$1006:AU1006),$AO$1006:$BQ$1006,0)), HYPERLINK("#",""), HYPERLINK(CONCATENATE("#Metadata!", ADDRESS(INDEX($AJ$2:$AJ$1001,MATCH(ROWS($AH$2:AH626),$AH$2:$AH$1001,0),0), INDEX($AO$1004:$BQ$1004,1,MATCH(COLUMNS($AO$1006:AU1006),$AO$1006:$BQ$1006,0)))),"Fix")))</f>
        <v>#N/A</v>
      </c>
      <c r="I626" s="5" t="e">
        <f ca="1">IF(OR(INDEX($AI$2:$AI$1001,MATCH(ROWS($AH$2:AH626),$AH$2:$AH$1001,0),1)&gt;=100000,INDEX($AO$1005:$BQ$1005,1,MATCH(COLUMNS($AO$1006:AV1006),$AO$1006:$BQ$1006,0))&gt;=100000), " ",IF(INDEX($AO$2:$BQ$1001,MATCH(ROWS($AH$2:AH626),$AH$2:$AH$1001,0),MATCH(COLUMNS($AO$1006:AV1006),$AO$1006:$BQ$1006,0)), HYPERLINK("#",""), HYPERLINK(CONCATENATE("#Metadata!", ADDRESS(INDEX($AJ$2:$AJ$1001,MATCH(ROWS($AH$2:AH626),$AH$2:$AH$1001,0),0), INDEX($AO$1004:$BQ$1004,1,MATCH(COLUMNS($AO$1006:AV1006),$AO$1006:$BQ$1006,0)))),"Fix")))</f>
        <v>#N/A</v>
      </c>
      <c r="J626" s="5" t="e">
        <f ca="1">IF(OR(INDEX($AI$2:$AI$1001,MATCH(ROWS($AH$2:AH626),$AH$2:$AH$1001,0),1)&gt;=100000,INDEX($AO$1005:$BQ$1005,1,MATCH(COLUMNS($AO$1006:AW1006),$AO$1006:$BQ$1006,0))&gt;=100000), " ",IF(INDEX($AO$2:$BQ$1001,MATCH(ROWS($AH$2:AH626),$AH$2:$AH$1001,0),MATCH(COLUMNS($AO$1006:AW1006),$AO$1006:$BQ$1006,0)), HYPERLINK("#",""), HYPERLINK(CONCATENATE("#Metadata!", ADDRESS(INDEX($AJ$2:$AJ$1001,MATCH(ROWS($AH$2:AH626),$AH$2:$AH$1001,0),0), INDEX($AO$1004:$BQ$1004,1,MATCH(COLUMNS($AO$1006:AW1006),$AO$1006:$BQ$1006,0)))),"Fix")))</f>
        <v>#N/A</v>
      </c>
      <c r="K626" s="5" t="e">
        <f ca="1">IF(OR(INDEX($AI$2:$AI$1001,MATCH(ROWS($AH$2:AH626),$AH$2:$AH$1001,0),1)&gt;=100000,INDEX($AO$1005:$BQ$1005,1,MATCH(COLUMNS($AO$1006:AX1006),$AO$1006:$BQ$1006,0))&gt;=100000), " ",IF(INDEX($AO$2:$BQ$1001,MATCH(ROWS($AH$2:AH626),$AH$2:$AH$1001,0),MATCH(COLUMNS($AO$1006:AX1006),$AO$1006:$BQ$1006,0)), HYPERLINK("#",""), HYPERLINK(CONCATENATE("#Metadata!", ADDRESS(INDEX($AJ$2:$AJ$1001,MATCH(ROWS($AH$2:AH626),$AH$2:$AH$1001,0),0), INDEX($AO$1004:$BQ$1004,1,MATCH(COLUMNS($AO$1006:AX1006),$AO$1006:$BQ$1006,0)))),"Fix")))</f>
        <v>#N/A</v>
      </c>
      <c r="L626" s="5" t="e">
        <f ca="1">IF(OR(INDEX($AI$2:$AI$1001,MATCH(ROWS($AH$2:AH626),$AH$2:$AH$1001,0),1)&gt;=100000,INDEX($AO$1005:$BQ$1005,1,MATCH(COLUMNS($AO$1006:AY1006),$AO$1006:$BQ$1006,0))&gt;=100000), " ",IF(INDEX($AO$2:$BQ$1001,MATCH(ROWS($AH$2:AH626),$AH$2:$AH$1001,0),MATCH(COLUMNS($AO$1006:AY1006),$AO$1006:$BQ$1006,0)), HYPERLINK("#",""), HYPERLINK(CONCATENATE("#Metadata!", ADDRESS(INDEX($AJ$2:$AJ$1001,MATCH(ROWS($AH$2:AH626),$AH$2:$AH$1001,0),0), INDEX($AO$1004:$BQ$1004,1,MATCH(COLUMNS($AO$1006:AY1006),$AO$1006:$BQ$1006,0)))),"Fix")))</f>
        <v>#N/A</v>
      </c>
      <c r="M626" s="5" t="e">
        <f ca="1">IF(OR(INDEX($AI$2:$AI$1001,MATCH(ROWS($AH$2:AH626),$AH$2:$AH$1001,0),1)&gt;=100000,INDEX($AO$1005:$BQ$1005,1,MATCH(COLUMNS($AO$1006:AZ1006),$AO$1006:$BQ$1006,0))&gt;=100000), " ",IF(INDEX($AO$2:$BQ$1001,MATCH(ROWS($AH$2:AH626),$AH$2:$AH$1001,0),MATCH(COLUMNS($AO$1006:AZ1006),$AO$1006:$BQ$1006,0)), HYPERLINK("#",""), HYPERLINK(CONCATENATE("#Metadata!", ADDRESS(INDEX($AJ$2:$AJ$1001,MATCH(ROWS($AH$2:AH626),$AH$2:$AH$1001,0),0), INDEX($AO$1004:$BQ$1004,1,MATCH(COLUMNS($AO$1006:AZ1006),$AO$1006:$BQ$1006,0)))),"Fix")))</f>
        <v>#N/A</v>
      </c>
      <c r="N626" s="5" t="e">
        <f ca="1">IF(OR(INDEX($AI$2:$AI$1001,MATCH(ROWS($AH$2:AH626),$AH$2:$AH$1001,0),1)&gt;=100000,INDEX($AO$1005:$BQ$1005,1,MATCH(COLUMNS($AO$1006:BA1006),$AO$1006:$BQ$1006,0))&gt;=100000), " ",IF(INDEX($AO$2:$BQ$1001,MATCH(ROWS($AH$2:AH626),$AH$2:$AH$1001,0),MATCH(COLUMNS($AO$1006:BA1006),$AO$1006:$BQ$1006,0)), HYPERLINK("#",""), HYPERLINK(CONCATENATE("#Metadata!", ADDRESS(INDEX($AJ$2:$AJ$1001,MATCH(ROWS($AH$2:AH626),$AH$2:$AH$1001,0),0), INDEX($AO$1004:$BQ$1004,1,MATCH(COLUMNS($AO$1006:BA1006),$AO$1006:$BQ$1006,0)))),"Fix")))</f>
        <v>#N/A</v>
      </c>
      <c r="O626" s="5" t="e">
        <f ca="1">IF(OR(INDEX($AI$2:$AI$1001,MATCH(ROWS($AH$2:AH626),$AH$2:$AH$1001,0),1)&gt;=100000,INDEX($AO$1005:$BQ$1005,1,MATCH(COLUMNS($AO$1006:BB1006),$AO$1006:$BQ$1006,0))&gt;=100000), " ",IF(INDEX($AO$2:$BQ$1001,MATCH(ROWS($AH$2:AH626),$AH$2:$AH$1001,0),MATCH(COLUMNS($AO$1006:BB1006),$AO$1006:$BQ$1006,0)), HYPERLINK("#",""), HYPERLINK(CONCATENATE("#Metadata!", ADDRESS(INDEX($AJ$2:$AJ$1001,MATCH(ROWS($AH$2:AH626),$AH$2:$AH$1001,0),0), INDEX($AO$1004:$BQ$1004,1,MATCH(COLUMNS($AO$1006:BB1006),$AO$1006:$BQ$1006,0)))),"Fix")))</f>
        <v>#N/A</v>
      </c>
      <c r="P626" s="5" t="e">
        <f ca="1">IF(OR(INDEX($AI$2:$AI$1001,MATCH(ROWS($AH$2:AH626),$AH$2:$AH$1001,0),1)&gt;=100000,INDEX($AO$1005:$BQ$1005,1,MATCH(COLUMNS($AO$1006:BC1006),$AO$1006:$BQ$1006,0))&gt;=100000), " ",IF(INDEX($AO$2:$BQ$1001,MATCH(ROWS($AH$2:AH626),$AH$2:$AH$1001,0),MATCH(COLUMNS($AO$1006:BC1006),$AO$1006:$BQ$1006,0)), HYPERLINK("#",""), HYPERLINK(CONCATENATE("#Metadata!", ADDRESS(INDEX($AJ$2:$AJ$1001,MATCH(ROWS($AH$2:AH626),$AH$2:$AH$1001,0),0), INDEX($AO$1004:$BQ$1004,1,MATCH(COLUMNS($AO$1006:BC1006),$AO$1006:$BQ$1006,0)))),"Fix")))</f>
        <v>#N/A</v>
      </c>
      <c r="Q626" s="5" t="e">
        <f ca="1">IF(OR(INDEX($AI$2:$AI$1001,MATCH(ROWS($AH$2:AH626),$AH$2:$AH$1001,0),1)&gt;=100000,INDEX($AO$1005:$BQ$1005,1,MATCH(COLUMNS($AO$1006:BD1006),$AO$1006:$BQ$1006,0))&gt;=100000), " ",IF(INDEX($AO$2:$BQ$1001,MATCH(ROWS($AH$2:AH626),$AH$2:$AH$1001,0),MATCH(COLUMNS($AO$1006:BD1006),$AO$1006:$BQ$1006,0)), HYPERLINK("#",""), HYPERLINK(CONCATENATE("#Metadata!", ADDRESS(INDEX($AJ$2:$AJ$1001,MATCH(ROWS($AH$2:AH626),$AH$2:$AH$1001,0),0), INDEX($AO$1004:$BQ$1004,1,MATCH(COLUMNS($AO$1006:BD1006),$AO$1006:$BQ$1006,0)))),"Fix")))</f>
        <v>#N/A</v>
      </c>
      <c r="R626" s="5" t="e">
        <f ca="1">IF(OR(INDEX($AI$2:$AI$1001,MATCH(ROWS($AH$2:AH626),$AH$2:$AH$1001,0),1)&gt;=100000,INDEX($AO$1005:$BQ$1005,1,MATCH(COLUMNS($AO$1006:BE1006),$AO$1006:$BQ$1006,0))&gt;=100000), " ",IF(INDEX($AO$2:$BQ$1001,MATCH(ROWS($AH$2:AH626),$AH$2:$AH$1001,0),MATCH(COLUMNS($AO$1006:BE1006),$AO$1006:$BQ$1006,0)), HYPERLINK("#",""), HYPERLINK(CONCATENATE("#Metadata!", ADDRESS(INDEX($AJ$2:$AJ$1001,MATCH(ROWS($AH$2:AH626),$AH$2:$AH$1001,0),0), INDEX($AO$1004:$BQ$1004,1,MATCH(COLUMNS($AO$1006:BE1006),$AO$1006:$BQ$1006,0)))),"Fix")))</f>
        <v>#N/A</v>
      </c>
      <c r="S626" s="5" t="e">
        <f ca="1">IF(OR(INDEX($AI$2:$AI$1001,MATCH(ROWS($AH$2:AH626),$AH$2:$AH$1001,0),1)&gt;=100000,INDEX($AO$1005:$BQ$1005,1,MATCH(COLUMNS($AO$1006:BF1006),$AO$1006:$BQ$1006,0))&gt;=100000), " ",IF(INDEX($AO$2:$BQ$1001,MATCH(ROWS($AH$2:AH626),$AH$2:$AH$1001,0),MATCH(COLUMNS($AO$1006:BF1006),$AO$1006:$BQ$1006,0)), HYPERLINK("#",""), HYPERLINK(CONCATENATE("#Metadata!", ADDRESS(INDEX($AJ$2:$AJ$1001,MATCH(ROWS($AH$2:AH626),$AH$2:$AH$1001,0),0), INDEX($AO$1004:$BQ$1004,1,MATCH(COLUMNS($AO$1006:BF1006),$AO$1006:$BQ$1006,0)))),"Fix")))</f>
        <v>#N/A</v>
      </c>
      <c r="T626" s="5" t="e">
        <f ca="1">IF(OR(INDEX($AI$2:$AI$1001,MATCH(ROWS($AH$2:AH626),$AH$2:$AH$1001,0),1)&gt;=100000,INDEX($AO$1005:$BQ$1005,1,MATCH(COLUMNS($AO$1006:BG1006),$AO$1006:$BQ$1006,0))&gt;=100000), " ",IF(INDEX($AO$2:$BQ$1001,MATCH(ROWS($AH$2:AH626),$AH$2:$AH$1001,0),MATCH(COLUMNS($AO$1006:BG1006),$AO$1006:$BQ$1006,0)), HYPERLINK("#",""), HYPERLINK(CONCATENATE("#Metadata!", ADDRESS(INDEX($AJ$2:$AJ$1001,MATCH(ROWS($AH$2:AH626),$AH$2:$AH$1001,0),0), INDEX($AO$1004:$BQ$1004,1,MATCH(COLUMNS($AO$1006:BG1006),$AO$1006:$BQ$1006,0)))),"Fix")))</f>
        <v>#N/A</v>
      </c>
      <c r="U626" s="5" t="e">
        <f ca="1">IF(OR(INDEX($AI$2:$AI$1001,MATCH(ROWS($AH$2:AH626),$AH$2:$AH$1001,0),1)&gt;=100000,INDEX($AO$1005:$BQ$1005,1,MATCH(COLUMNS($AO$1006:BH1006),$AO$1006:$BQ$1006,0))&gt;=100000), " ",IF(INDEX($AO$2:$BQ$1001,MATCH(ROWS($AH$2:AH626),$AH$2:$AH$1001,0),MATCH(COLUMNS($AO$1006:BH1006),$AO$1006:$BQ$1006,0)), HYPERLINK("#",""), HYPERLINK(CONCATENATE("#Metadata!", ADDRESS(INDEX($AJ$2:$AJ$1001,MATCH(ROWS($AH$2:AH626),$AH$2:$AH$1001,0),0), INDEX($AO$1004:$BQ$1004,1,MATCH(COLUMNS($AO$1006:BH1006),$AO$1006:$BQ$1006,0)))),"Fix")))</f>
        <v>#N/A</v>
      </c>
      <c r="V626" s="5" t="e">
        <f ca="1">IF(OR(INDEX($AI$2:$AI$1001,MATCH(ROWS($AH$2:AH626),$AH$2:$AH$1001,0),1)&gt;=100000,INDEX($AO$1005:$BQ$1005,1,MATCH(COLUMNS($AO$1006:BI1006),$AO$1006:$BQ$1006,0))&gt;=100000), " ",IF(INDEX($AO$2:$BQ$1001,MATCH(ROWS($AH$2:AH626),$AH$2:$AH$1001,0),MATCH(COLUMNS($AO$1006:BI1006),$AO$1006:$BQ$1006,0)), HYPERLINK("#",""), HYPERLINK(CONCATENATE("#Metadata!", ADDRESS(INDEX($AJ$2:$AJ$1001,MATCH(ROWS($AH$2:AH626),$AH$2:$AH$1001,0),0), INDEX($AO$1004:$BQ$1004,1,MATCH(COLUMNS($AO$1006:BI1006),$AO$1006:$BQ$1006,0)))),"Fix")))</f>
        <v>#N/A</v>
      </c>
      <c r="W626" s="5" t="e">
        <f ca="1">IF(OR(INDEX($AI$2:$AI$1001,MATCH(ROWS($AH$2:AH626),$AH$2:$AH$1001,0),1)&gt;=100000,INDEX($AO$1005:$BQ$1005,1,MATCH(COLUMNS($AO$1006:BJ1006),$AO$1006:$BQ$1006,0))&gt;=100000), " ",IF(INDEX($AO$2:$BQ$1001,MATCH(ROWS($AH$2:AH626),$AH$2:$AH$1001,0),MATCH(COLUMNS($AO$1006:BJ1006),$AO$1006:$BQ$1006,0)), HYPERLINK("#",""), HYPERLINK(CONCATENATE("#Metadata!", ADDRESS(INDEX($AJ$2:$AJ$1001,MATCH(ROWS($AH$2:AH626),$AH$2:$AH$1001,0),0), INDEX($AO$1004:$BQ$1004,1,MATCH(COLUMNS($AO$1006:BJ1006),$AO$1006:$BQ$1006,0)))),"Fix")))</f>
        <v>#N/A</v>
      </c>
      <c r="X626" s="5" t="e">
        <f ca="1">IF(OR(INDEX($AI$2:$AI$1001,MATCH(ROWS($AH$2:AH626),$AH$2:$AH$1001,0),1)&gt;=100000,INDEX($AO$1005:$BQ$1005,1,MATCH(COLUMNS($AO$1006:BK1006),$AO$1006:$BQ$1006,0))&gt;=100000), " ",IF(INDEX($AO$2:$BQ$1001,MATCH(ROWS($AH$2:AH626),$AH$2:$AH$1001,0),MATCH(COLUMNS($AO$1006:BK1006),$AO$1006:$BQ$1006,0)), HYPERLINK("#",""), HYPERLINK(CONCATENATE("#Metadata!", ADDRESS(INDEX($AJ$2:$AJ$1001,MATCH(ROWS($AH$2:AH626),$AH$2:$AH$1001,0),0), INDEX($AO$1004:$BQ$1004,1,MATCH(COLUMNS($AO$1006:BK1006),$AO$1006:$BQ$1006,0)))),"Fix")))</f>
        <v>#N/A</v>
      </c>
      <c r="Y626" s="5" t="e">
        <f ca="1">IF(OR(INDEX($AI$2:$AI$1001,MATCH(ROWS($AH$2:AH626),$AH$2:$AH$1001,0),1)&gt;=100000,INDEX($AO$1005:$BQ$1005,1,MATCH(COLUMNS($AO$1006:BL1006),$AO$1006:$BQ$1006,0))&gt;=100000), " ",IF(INDEX($AO$2:$BQ$1001,MATCH(ROWS($AH$2:AH626),$AH$2:$AH$1001,0),MATCH(COLUMNS($AO$1006:BL1006),$AO$1006:$BQ$1006,0)), HYPERLINK("#",""), HYPERLINK(CONCATENATE("#Metadata!", ADDRESS(INDEX($AJ$2:$AJ$1001,MATCH(ROWS($AH$2:AH626),$AH$2:$AH$1001,0),0), INDEX($AO$1004:$BQ$1004,1,MATCH(COLUMNS($AO$1006:BL1006),$AO$1006:$BQ$1006,0)))),"Fix")))</f>
        <v>#N/A</v>
      </c>
      <c r="Z626" s="5" t="e">
        <f ca="1">IF(OR(INDEX($AI$2:$AI$1001,MATCH(ROWS($AH$2:AH626),$AH$2:$AH$1001,0),1)&gt;=100000,INDEX($AO$1005:$BQ$1005,1,MATCH(COLUMNS($AO$1006:BM1006),$AO$1006:$BQ$1006,0))&gt;=100000), " ",IF(INDEX($AO$2:$BQ$1001,MATCH(ROWS($AH$2:AH626),$AH$2:$AH$1001,0),MATCH(COLUMNS($AO$1006:BM1006),$AO$1006:$BQ$1006,0)), HYPERLINK("#",""), HYPERLINK(CONCATENATE("#Metadata!", ADDRESS(INDEX($AJ$2:$AJ$1001,MATCH(ROWS($AH$2:AH626),$AH$2:$AH$1001,0),0), INDEX($AO$1004:$BQ$1004,1,MATCH(COLUMNS($AO$1006:BM1006),$AO$1006:$BQ$1006,0)))),"Fix")))</f>
        <v>#N/A</v>
      </c>
      <c r="AA626" s="5" t="e">
        <f ca="1">IF(OR(INDEX($AI$2:$AI$1001,MATCH(ROWS($AH$2:AH626),$AH$2:$AH$1001,0),1)&gt;=100000,INDEX($AO$1005:$BQ$1005,1,MATCH(COLUMNS($AO$1006:BN1006),$AO$1006:$BQ$1006,0))&gt;=100000), " ",IF(INDEX($AO$2:$BQ$1001,MATCH(ROWS($AH$2:AH626),$AH$2:$AH$1001,0),MATCH(COLUMNS($AO$1006:BN1006),$AO$1006:$BQ$1006,0)), HYPERLINK("#",""), HYPERLINK(CONCATENATE("#Metadata!", ADDRESS(INDEX($AJ$2:$AJ$1001,MATCH(ROWS($AH$2:AH626),$AH$2:$AH$1001,0),0), INDEX($AO$1004:$BQ$1004,1,MATCH(COLUMNS($AO$1006:BN1006),$AO$1006:$BQ$1006,0)))),"Fix")))</f>
        <v>#N/A</v>
      </c>
      <c r="AB626" s="5" t="e">
        <f ca="1">IF(OR(INDEX($AI$2:$AI$1001,MATCH(ROWS($AH$2:AH626),$AH$2:$AH$1001,0),1)&gt;=100000,INDEX($AO$1005:$BQ$1005,1,MATCH(COLUMNS($AO$1006:BO1006),$AO$1006:$BQ$1006,0))&gt;=100000), " ",IF(INDEX($AO$2:$BQ$1001,MATCH(ROWS($AH$2:AH626),$AH$2:$AH$1001,0),MATCH(COLUMNS($AO$1006:BO1006),$AO$1006:$BQ$1006,0)), HYPERLINK("#",""), HYPERLINK(CONCATENATE("#Metadata!", ADDRESS(INDEX($AJ$2:$AJ$1001,MATCH(ROWS($AH$2:AH626),$AH$2:$AH$1001,0),0), INDEX($AO$1004:$BQ$1004,1,MATCH(COLUMNS($AO$1006:BO1006),$AO$1006:$BQ$1006,0)))),"Fix")))</f>
        <v>#N/A</v>
      </c>
      <c r="AC626" s="5" t="e">
        <f ca="1">IF(OR(INDEX($AI$2:$AI$1001,MATCH(ROWS($AH$2:AH626),$AH$2:$AH$1001,0),1)&gt;=100000,INDEX($AO$1005:$BQ$1005,1,MATCH(COLUMNS($AO$1006:BP1006),$AO$1006:$BQ$1006,0))&gt;=100000), " ",IF(INDEX($AO$2:$BQ$1001,MATCH(ROWS($AH$2:AH626),$AH$2:$AH$1001,0),MATCH(COLUMNS($AO$1006:BP1006),$AO$1006:$BQ$1006,0)), HYPERLINK("#",""), HYPERLINK(CONCATENATE("#Metadata!", ADDRESS(INDEX($AJ$2:$AJ$1001,MATCH(ROWS($AH$2:AH626),$AH$2:$AH$1001,0),0), INDEX($AO$1004:$BQ$1004,1,MATCH(COLUMNS($AO$1006:BP1006),$AO$1006:$BQ$1006,0)))),"Fix")))</f>
        <v>#N/A</v>
      </c>
      <c r="AD626" s="5" t="e">
        <f ca="1">IF(OR(INDEX($AI$2:$AI$1001,MATCH(ROWS($AH$2:AH626),$AH$2:$AH$1001,0),1)&gt;=100000,INDEX($AO$1005:$BQ$1005,1,MATCH(COLUMNS($AO$1006:BQ1006),$AO$1006:$BQ$1006,0))&gt;=100000), " ",IF(INDEX($AO$2:$BQ$1001,MATCH(ROWS($AH$2:AH626),$AH$2:$AH$1001,0),MATCH(COLUMNS($AO$1006:BQ1006),$AO$1006:$BQ$1006,0)), HYPERLINK("#",""), HYPERLINK(CONCATENATE("#Metadata!", ADDRESS(INDEX($AJ$2:$AJ$1001,MATCH(ROWS($AH$2:AH626),$AH$2:$AH$1001,0),0), INDEX($AO$1004:$BQ$1004,1,MATCH(COLUMNS($AO$1006:BQ1006),$AO$1006:$BQ$1006,0)))),"Fix")))</f>
        <v>#REF!</v>
      </c>
      <c r="AH626">
        <f ca="1"/>
        <v>623</v>
      </c>
      <c r="AI626">
        <v>100626</v>
      </c>
      <c r="AJ626">
        <v>626</v>
      </c>
      <c r="AK626" t="b">
        <f t="shared" si="9"/>
        <v>1</v>
      </c>
      <c r="AL626" t="b">
        <f>COUNTBLANK(Metadata!B626:AD626)=COLUMNS(Metadata!B626:AD626)</f>
        <v>1</v>
      </c>
      <c r="AM626" t="str">
        <v/>
      </c>
      <c r="AO626" t="b">
        <f ca="1">AND(IF(Metadata!B626="",FALSE,TRUE),COUNTIF(Metadata!B:B, Metadata!B626) = 1,NOT(ISERROR(SUMPRODUCT(SEARCH(MID(Metadata!B626,ROW(INDIRECT("1:"&amp;LEN(Metadata!B626))), 1),"0123456789abcdefghijklmnopqrstuvwxyzABCDEFGHIJKLMNOPQRSTUVWXYZ.")))))</f>
        <v>0</v>
      </c>
      <c r="AP626" t="b">
        <f>IF(Metadata!C626="",FALSE,TRUE)</f>
        <v>0</v>
      </c>
      <c r="AQ626" t="b">
        <f>IF(Metadata!D626="",FALSE,TRUE)</f>
        <v>0</v>
      </c>
      <c r="AR626" t="b">
        <f ca="1">OR(AND(IF(Metadata!E626="",FALSE,TRUE),OR(EXACT(Metadata!E626,"not collected"),EXACT(Metadata!E626,"not provided"),EXACT(Metadata!E626,"restricted access"))),AND(IF(Metadata!E626="",FALSE,TRUE),AND(AND(IFERROR(INT(LEFT(Metadata!E626,4))&gt;1900,FALSE),IFERROR(INT(LEFT(Metadata!E626,4))&lt;=YEAR(NOW()),FALSE)), OR(MID(Metadata!E626,5,1)="", AND(AND(MID(Metadata!E626,5,1)="-",IFERROR(INT(MID(Metadata!E626,6,1))&gt;=0,FALSE),IFERROR(INT(MID(Metadata!E626,6,1))&lt;=1,FALSE),NOT(MID(Metadata!E626,7,1)=""),IFERROR(INT(MID(Metadata!E626,6,2))&gt;=1,FALSE),IFERROR(INT(MID(Metadata!E626,6,2))&lt;=12,FALSE)), OR(MID(Metadata!E626,8,1)="", AND(AND(MID(Metadata!E626,8,1)="-",IFERROR(INT(MID(Metadata!E626,9,1))&gt;=0,FALSE),IFERROR(INT(MID(Metadata!E626,9,1))&lt;=3,FALSE),NOT(MID(Metadata!E626,10,1)=""),IFERROR(INT(MID(Metadata!E626,9,2))&gt;=1,FALSE),IFERROR(INT(MID(Metadata!E626,9,2))&lt;=31,FALSE)), OR(MID(Metadata!E626,11,1)="", AND(AND(MID(Metadata!E626,11,1)=" ",IFERROR(INT(MID(Metadata!E626,12,1))&gt;=0,FALSE),IFERROR(INT(MID(Metadata!E626,12,1))&lt;=2,FALSE),NOT(MID(Metadata!E626,13,1)=""),IFERROR(INT(MID(Metadata!E626,12,2))&gt;=0,FALSE),IFERROR(INT(MID(Metadata!E626,12,2))&lt;=23,FALSE)), OR(MID(Metadata!E626,14,1)="", AND(AND(MID(Metadata!E626,14,1)=":",IFERROR(INT(MID(Metadata!E626,15,1))&gt;=0,FALSE),IFERROR(INT(MID(Metadata!E626,15,1))&lt;=5,FALSE),NOT(MID(Metadata!E626,16,1)=""),IFERROR(INT(MID(Metadata!E626,15,2))&gt;=0,FALSE),IFERROR(INT(MID(Metadata!E626,15,2))&lt;=59,FALSE)), OR(MID(Metadata!E626,17,1)="", AND(AND(MID(Metadata!E626,17,1)=":",IFERROR(INT(MID(Metadata!E626,18,1))&gt;=0,FALSE),IFERROR(INT(MID(Metadata!E626,18,1))&lt;=5,FALSE),NOT(MID(Metadata!E626,19,1)=""),IFERROR(INT(MID(Metadata!E626,18,2))&gt;=0,FALSE),IFERROR(INT(MID(Metadata!E626,18,2))&lt;=59,FALSE)), LEN(Metadata!E626)&lt;=19)))))))))))))</f>
        <v>0</v>
      </c>
      <c r="AS626" t="b">
        <f>IF(Metadata!F626="",FALSE,TRUE)</f>
        <v>0</v>
      </c>
      <c r="AT626" t="b">
        <f>OR(AND(IF(Metadata!G626="",FALSE,TRUE),OR(EXACT(Metadata!G626,"not collected"),EXACT(Metadata!G626,"not provided"))),AND(IF(Metadata!G626="",FALSE,TRUE),OR(EXACT(Metadata!G626,"TRUE"),EXACT(Metadata!G626,"FALSE"))))</f>
        <v>0</v>
      </c>
      <c r="AU626" t="b">
        <f>OR(AND(IF(Metadata!H626="",FALSE,TRUE),OR(EXACT(Metadata!H626,"not collected"),EXACT(Metadata!H626,"not provided"),EXACT(Metadata!H626,"restricted access"))),AND(IF(Metadata!H626="",FALSE,ISNUMBER(VALUE(Metadata!H626))),Metadata!H626&gt;=-413))</f>
        <v>0</v>
      </c>
      <c r="AV626" t="b">
        <f>AND(IF(Metadata!I626="",FALSE,TRUE),EXACT(Metadata!I626,"meters"))</f>
        <v>0</v>
      </c>
      <c r="AW626" t="b">
        <f>AND(IF(Metadata!J626="",FALSE,TRUE),EXACT(Metadata!J626,"free-living"))</f>
        <v>0</v>
      </c>
      <c r="AX626" t="b">
        <f>AND(IF(Metadata!K626="",FALSE,TRUE),OR(EXACT(Metadata!K626,"saline"),EXACT(Metadata!K626,"non-saline")))</f>
        <v>0</v>
      </c>
      <c r="AY626" t="b">
        <f>AND(IF(Metadata!L626="",FALSE,TRUE),OR(EXACT(Metadata!L626,"sub-surface (non-saline)"),EXACT(Metadata!L626,"surface (non-saline)"),EXACT(Metadata!L626,"water (non-saline)"),EXACT(Metadata!L626,"soil (non-saline)"),EXACT(Metadata!L626,"aerosol (non-saline)"),EXACT(Metadata!L626,"sediment (non-saline)"),EXACT(Metadata!L626,"surface (saline)"),EXACT(Metadata!L626,"water (saline)"),EXACT(Metadata!L626,"hypersaline (saline)"),EXACT(Metadata!L626,"aerosol (saline)"),EXACT(Metadata!L626,"sediment (saline)")))</f>
        <v>0</v>
      </c>
      <c r="AZ626" t="b">
        <f>IF(Metadata!M626="",FALSE,TRUE)</f>
        <v>0</v>
      </c>
      <c r="BA626" t="b">
        <f>IF(Metadata!N626="",FALSE,TRUE)</f>
        <v>0</v>
      </c>
      <c r="BB626" t="b">
        <f>IF(Metadata!O626="",FALSE,TRUE)</f>
        <v>0</v>
      </c>
      <c r="BC626" t="b">
        <f>AND(IF(Metadata!P626="",FALSE,TRUE),OR(EXACT(Metadata!P626,"air"),EXACT(Metadata!P626,"microbial mat/biofilm"),EXACT(Metadata!P626,"misc environment"),EXACT(Metadata!P626,"sediment"),EXACT(Metadata!P626,"soil"),EXACT(Metadata!P626,"wastewater/sludge"),EXACT(Metadata!P626,"water")))</f>
        <v>0</v>
      </c>
      <c r="BD626" t="b">
        <f>IF(Metadata!Q626="",FALSE,TRUE)</f>
        <v>0</v>
      </c>
      <c r="BE626" t="b">
        <f>IF(Metadata!R626="",FALSE,TRUE)</f>
        <v>0</v>
      </c>
      <c r="BF626" t="b">
        <f>OR(AND(IF(Metadata!S626="",FALSE,TRUE),OR(EXACT(Metadata!S626,"not collected"),EXACT(Metadata!S626,"not provided"),EXACT(Metadata!S626,"restricted access"))),AND(IF(Metadata!S626="",FALSE,ISNUMBER(VALUE(Metadata!S626))),Metadata!S626&gt;=-90,Metadata!S626&lt;=90))</f>
        <v>0</v>
      </c>
      <c r="BG626" t="b">
        <f>AND(IF(Metadata!T626="",FALSE,TRUE),EXACT(Metadata!T626,"Decimal degrees"))</f>
        <v>0</v>
      </c>
      <c r="BH626" t="b">
        <f>OR(AND(IF(Metadata!U626="",FALSE,TRUE),OR(EXACT(Metadata!U626,"not applicable"),EXACT(Metadata!U626,"not collected"))),IF(Metadata!U626="",FALSE,TRUE))</f>
        <v>0</v>
      </c>
      <c r="BI626" t="b">
        <f>OR(AND(IF(Metadata!V626="",FALSE,TRUE),OR(EXACT(Metadata!V626,"not collected"),EXACT(Metadata!V626,"not provided"),EXACT(Metadata!V626,"restricted access"))),AND(IF(Metadata!V626="",FALSE,ISNUMBER(VALUE(Metadata!V626))),Metadata!V626&gt;=-180,Metadata!V626&lt;=180))</f>
        <v>0</v>
      </c>
      <c r="BJ626" t="b">
        <f>AND(IF(Metadata!W626="",FALSE,TRUE),EXACT(Metadata!W626,"Decimal degrees"))</f>
        <v>0</v>
      </c>
      <c r="BK626" t="b">
        <f>IF(Metadata!X626="",FALSE,TRUE)</f>
        <v>0</v>
      </c>
      <c r="BL626" t="b">
        <f>OR(AND(IF(Metadata!Y626="",FALSE,TRUE),OR(EXACT(Metadata!Y626,"not collected"),EXACT(Metadata!Y626,"not provided"),EXACT(Metadata!Y626,"restricted access"))),AND(IF(Metadata!Y626="",FALSE,TRUE),OR(EXACT(Metadata!Y626,"TRUE"),EXACT(Metadata!Y626,"FALSE"))))</f>
        <v>0</v>
      </c>
      <c r="BM626" t="b">
        <f>OR(AND(IF(Metadata!Z626="",FALSE,TRUE),EXACT(Metadata!Z626,"not applicable")),AND(IF(Metadata!Z626="",FALSE,TRUE),OR(EXACT(Metadata!Z626,"beer"),EXACT(Metadata!Z626,"cheese"),EXACT(Metadata!Z626,"fresh water"),EXACT(Metadata!Z626,"marine sediment"),EXACT(Metadata!Z626,"sea water"),EXACT(Metadata!Z626,"sediment"),EXACT(Metadata!Z626,"soil"),EXACT(Metadata!Z626,"waste water"))))</f>
        <v>0</v>
      </c>
      <c r="BN626" t="b">
        <f>AND(IF(Metadata!AA626="",FALSE,TRUE),EXACT(Metadata!AA626,"metagenome"))</f>
        <v>0</v>
      </c>
      <c r="BO626" t="b">
        <f>AND(IF(Metadata!AB626="",FALSE,TRUE),EXACT(Metadata!AB626,"256318"))</f>
        <v>0</v>
      </c>
      <c r="BP626" t="b">
        <f>IF(Metadata!AC626="",FALSE,TRUE)</f>
        <v>0</v>
      </c>
      <c r="BQ626" t="b">
        <f>IF(Metadata!AD626="",FALSE,TRUE)</f>
        <v>0</v>
      </c>
    </row>
    <row r="627" spans="1:69" x14ac:dyDescent="0.2">
      <c r="A627" s="4" t="e">
        <f ca="1">IF(B627=" "," ",HYPERLINK(CONCATENATE("#metadata!",ADDRESS(INDEX($AJ$2:$AJ$1001,MATCH(ROWS($AH$2:AH627),$AH$2:$AH$1001,0),0),2)),INDEX($AM$2:$AM$1001,MATCH(ROWS($AH$2:AH627),$AH$2:$AH$1001,0),0)))</f>
        <v>#N/A</v>
      </c>
      <c r="B627" s="5" t="e">
        <f ca="1">IF(OR(INDEX($AI$2:$AI$1001,MATCH(ROWS($AH$2:AH627),$AH$2:$AH$1001,0),1)&gt;=100000,INDEX($AO$1005:$BQ$1005,1,MATCH(COLUMNS($AO$1006:AO1006),$AO$1006:$BQ$1006,0))&gt;=100000), " ",IF(INDEX($AO$2:$BQ$1001,MATCH(ROWS($AH$2:AH627),$AH$2:$AH$1001,0),MATCH(COLUMNS($AO$1006:AO1006),$AO$1006:$BQ$1006,0)), HYPERLINK("#",""), HYPERLINK(CONCATENATE("#Metadata!", ADDRESS(INDEX($AJ$2:$AJ$1001,MATCH(ROWS($AH$2:AH627),$AH$2:$AH$1001,0),0), INDEX($AO$1004:$BQ$1004,1,MATCH(COLUMNS($AO$1006:AO1006),$AO$1006:$BQ$1006,0)))),"Fix")))</f>
        <v>#N/A</v>
      </c>
      <c r="C627" s="5" t="e">
        <f ca="1">IF(OR(INDEX($AI$2:$AI$1001,MATCH(ROWS($AH$2:AH627),$AH$2:$AH$1001,0),1)&gt;=100000,INDEX($AO$1005:$BQ$1005,1,MATCH(COLUMNS($AO$1006:AP1006),$AO$1006:$BQ$1006,0))&gt;=100000), " ",IF(INDEX($AO$2:$BQ$1001,MATCH(ROWS($AH$2:AH627),$AH$2:$AH$1001,0),MATCH(COLUMNS($AO$1006:AP1006),$AO$1006:$BQ$1006,0)), HYPERLINK("#",""), HYPERLINK(CONCATENATE("#Metadata!", ADDRESS(INDEX($AJ$2:$AJ$1001,MATCH(ROWS($AH$2:AH627),$AH$2:$AH$1001,0),0), INDEX($AO$1004:$BQ$1004,1,MATCH(COLUMNS($AO$1006:AP1006),$AO$1006:$BQ$1006,0)))),"Fix")))</f>
        <v>#N/A</v>
      </c>
      <c r="D627" s="5" t="e">
        <f ca="1">IF(OR(INDEX($AI$2:$AI$1001,MATCH(ROWS($AH$2:AH627),$AH$2:$AH$1001,0),1)&gt;=100000,INDEX($AO$1005:$BQ$1005,1,MATCH(COLUMNS($AO$1006:AQ1006),$AO$1006:$BQ$1006,0))&gt;=100000), " ",IF(INDEX($AO$2:$BQ$1001,MATCH(ROWS($AH$2:AH627),$AH$2:$AH$1001,0),MATCH(COLUMNS($AO$1006:AQ1006),$AO$1006:$BQ$1006,0)), HYPERLINK("#",""), HYPERLINK(CONCATENATE("#Metadata!", ADDRESS(INDEX($AJ$2:$AJ$1001,MATCH(ROWS($AH$2:AH627),$AH$2:$AH$1001,0),0), INDEX($AO$1004:$BQ$1004,1,MATCH(COLUMNS($AO$1006:AQ1006),$AO$1006:$BQ$1006,0)))),"Fix")))</f>
        <v>#N/A</v>
      </c>
      <c r="E627" s="5" t="e">
        <f ca="1">IF(OR(INDEX($AI$2:$AI$1001,MATCH(ROWS($AH$2:AH627),$AH$2:$AH$1001,0),1)&gt;=100000,INDEX($AO$1005:$BQ$1005,1,MATCH(COLUMNS($AO$1006:AR1006),$AO$1006:$BQ$1006,0))&gt;=100000), " ",IF(INDEX($AO$2:$BQ$1001,MATCH(ROWS($AH$2:AH627),$AH$2:$AH$1001,0),MATCH(COLUMNS($AO$1006:AR1006),$AO$1006:$BQ$1006,0)), HYPERLINK("#",""), HYPERLINK(CONCATENATE("#Metadata!", ADDRESS(INDEX($AJ$2:$AJ$1001,MATCH(ROWS($AH$2:AH627),$AH$2:$AH$1001,0),0), INDEX($AO$1004:$BQ$1004,1,MATCH(COLUMNS($AO$1006:AR1006),$AO$1006:$BQ$1006,0)))),"Fix")))</f>
        <v>#N/A</v>
      </c>
      <c r="F627" s="5" t="e">
        <f ca="1">IF(OR(INDEX($AI$2:$AI$1001,MATCH(ROWS($AH$2:AH627),$AH$2:$AH$1001,0),1)&gt;=100000,INDEX($AO$1005:$BQ$1005,1,MATCH(COLUMNS($AO$1006:AS1006),$AO$1006:$BQ$1006,0))&gt;=100000), " ",IF(INDEX($AO$2:$BQ$1001,MATCH(ROWS($AH$2:AH627),$AH$2:$AH$1001,0),MATCH(COLUMNS($AO$1006:AS1006),$AO$1006:$BQ$1006,0)), HYPERLINK("#",""), HYPERLINK(CONCATENATE("#Metadata!", ADDRESS(INDEX($AJ$2:$AJ$1001,MATCH(ROWS($AH$2:AH627),$AH$2:$AH$1001,0),0), INDEX($AO$1004:$BQ$1004,1,MATCH(COLUMNS($AO$1006:AS1006),$AO$1006:$BQ$1006,0)))),"Fix")))</f>
        <v>#N/A</v>
      </c>
      <c r="G627" s="5" t="e">
        <f ca="1">IF(OR(INDEX($AI$2:$AI$1001,MATCH(ROWS($AH$2:AH627),$AH$2:$AH$1001,0),1)&gt;=100000,INDEX($AO$1005:$BQ$1005,1,MATCH(COLUMNS($AO$1006:AT1006),$AO$1006:$BQ$1006,0))&gt;=100000), " ",IF(INDEX($AO$2:$BQ$1001,MATCH(ROWS($AH$2:AH627),$AH$2:$AH$1001,0),MATCH(COLUMNS($AO$1006:AT1006),$AO$1006:$BQ$1006,0)), HYPERLINK("#",""), HYPERLINK(CONCATENATE("#Metadata!", ADDRESS(INDEX($AJ$2:$AJ$1001,MATCH(ROWS($AH$2:AH627),$AH$2:$AH$1001,0),0), INDEX($AO$1004:$BQ$1004,1,MATCH(COLUMNS($AO$1006:AT1006),$AO$1006:$BQ$1006,0)))),"Fix")))</f>
        <v>#N/A</v>
      </c>
      <c r="H627" s="5" t="e">
        <f ca="1">IF(OR(INDEX($AI$2:$AI$1001,MATCH(ROWS($AH$2:AH627),$AH$2:$AH$1001,0),1)&gt;=100000,INDEX($AO$1005:$BQ$1005,1,MATCH(COLUMNS($AO$1006:AU1006),$AO$1006:$BQ$1006,0))&gt;=100000), " ",IF(INDEX($AO$2:$BQ$1001,MATCH(ROWS($AH$2:AH627),$AH$2:$AH$1001,0),MATCH(COLUMNS($AO$1006:AU1006),$AO$1006:$BQ$1006,0)), HYPERLINK("#",""), HYPERLINK(CONCATENATE("#Metadata!", ADDRESS(INDEX($AJ$2:$AJ$1001,MATCH(ROWS($AH$2:AH627),$AH$2:$AH$1001,0),0), INDEX($AO$1004:$BQ$1004,1,MATCH(COLUMNS($AO$1006:AU1006),$AO$1006:$BQ$1006,0)))),"Fix")))</f>
        <v>#N/A</v>
      </c>
      <c r="I627" s="5" t="e">
        <f ca="1">IF(OR(INDEX($AI$2:$AI$1001,MATCH(ROWS($AH$2:AH627),$AH$2:$AH$1001,0),1)&gt;=100000,INDEX($AO$1005:$BQ$1005,1,MATCH(COLUMNS($AO$1006:AV1006),$AO$1006:$BQ$1006,0))&gt;=100000), " ",IF(INDEX($AO$2:$BQ$1001,MATCH(ROWS($AH$2:AH627),$AH$2:$AH$1001,0),MATCH(COLUMNS($AO$1006:AV1006),$AO$1006:$BQ$1006,0)), HYPERLINK("#",""), HYPERLINK(CONCATENATE("#Metadata!", ADDRESS(INDEX($AJ$2:$AJ$1001,MATCH(ROWS($AH$2:AH627),$AH$2:$AH$1001,0),0), INDEX($AO$1004:$BQ$1004,1,MATCH(COLUMNS($AO$1006:AV1006),$AO$1006:$BQ$1006,0)))),"Fix")))</f>
        <v>#N/A</v>
      </c>
      <c r="J627" s="5" t="e">
        <f ca="1">IF(OR(INDEX($AI$2:$AI$1001,MATCH(ROWS($AH$2:AH627),$AH$2:$AH$1001,0),1)&gt;=100000,INDEX($AO$1005:$BQ$1005,1,MATCH(COLUMNS($AO$1006:AW1006),$AO$1006:$BQ$1006,0))&gt;=100000), " ",IF(INDEX($AO$2:$BQ$1001,MATCH(ROWS($AH$2:AH627),$AH$2:$AH$1001,0),MATCH(COLUMNS($AO$1006:AW1006),$AO$1006:$BQ$1006,0)), HYPERLINK("#",""), HYPERLINK(CONCATENATE("#Metadata!", ADDRESS(INDEX($AJ$2:$AJ$1001,MATCH(ROWS($AH$2:AH627),$AH$2:$AH$1001,0),0), INDEX($AO$1004:$BQ$1004,1,MATCH(COLUMNS($AO$1006:AW1006),$AO$1006:$BQ$1006,0)))),"Fix")))</f>
        <v>#N/A</v>
      </c>
      <c r="K627" s="5" t="e">
        <f ca="1">IF(OR(INDEX($AI$2:$AI$1001,MATCH(ROWS($AH$2:AH627),$AH$2:$AH$1001,0),1)&gt;=100000,INDEX($AO$1005:$BQ$1005,1,MATCH(COLUMNS($AO$1006:AX1006),$AO$1006:$BQ$1006,0))&gt;=100000), " ",IF(INDEX($AO$2:$BQ$1001,MATCH(ROWS($AH$2:AH627),$AH$2:$AH$1001,0),MATCH(COLUMNS($AO$1006:AX1006),$AO$1006:$BQ$1006,0)), HYPERLINK("#",""), HYPERLINK(CONCATENATE("#Metadata!", ADDRESS(INDEX($AJ$2:$AJ$1001,MATCH(ROWS($AH$2:AH627),$AH$2:$AH$1001,0),0), INDEX($AO$1004:$BQ$1004,1,MATCH(COLUMNS($AO$1006:AX1006),$AO$1006:$BQ$1006,0)))),"Fix")))</f>
        <v>#N/A</v>
      </c>
      <c r="L627" s="5" t="e">
        <f ca="1">IF(OR(INDEX($AI$2:$AI$1001,MATCH(ROWS($AH$2:AH627),$AH$2:$AH$1001,0),1)&gt;=100000,INDEX($AO$1005:$BQ$1005,1,MATCH(COLUMNS($AO$1006:AY1006),$AO$1006:$BQ$1006,0))&gt;=100000), " ",IF(INDEX($AO$2:$BQ$1001,MATCH(ROWS($AH$2:AH627),$AH$2:$AH$1001,0),MATCH(COLUMNS($AO$1006:AY1006),$AO$1006:$BQ$1006,0)), HYPERLINK("#",""), HYPERLINK(CONCATENATE("#Metadata!", ADDRESS(INDEX($AJ$2:$AJ$1001,MATCH(ROWS($AH$2:AH627),$AH$2:$AH$1001,0),0), INDEX($AO$1004:$BQ$1004,1,MATCH(COLUMNS($AO$1006:AY1006),$AO$1006:$BQ$1006,0)))),"Fix")))</f>
        <v>#N/A</v>
      </c>
      <c r="M627" s="5" t="e">
        <f ca="1">IF(OR(INDEX($AI$2:$AI$1001,MATCH(ROWS($AH$2:AH627),$AH$2:$AH$1001,0),1)&gt;=100000,INDEX($AO$1005:$BQ$1005,1,MATCH(COLUMNS($AO$1006:AZ1006),$AO$1006:$BQ$1006,0))&gt;=100000), " ",IF(INDEX($AO$2:$BQ$1001,MATCH(ROWS($AH$2:AH627),$AH$2:$AH$1001,0),MATCH(COLUMNS($AO$1006:AZ1006),$AO$1006:$BQ$1006,0)), HYPERLINK("#",""), HYPERLINK(CONCATENATE("#Metadata!", ADDRESS(INDEX($AJ$2:$AJ$1001,MATCH(ROWS($AH$2:AH627),$AH$2:$AH$1001,0),0), INDEX($AO$1004:$BQ$1004,1,MATCH(COLUMNS($AO$1006:AZ1006),$AO$1006:$BQ$1006,0)))),"Fix")))</f>
        <v>#N/A</v>
      </c>
      <c r="N627" s="5" t="e">
        <f ca="1">IF(OR(INDEX($AI$2:$AI$1001,MATCH(ROWS($AH$2:AH627),$AH$2:$AH$1001,0),1)&gt;=100000,INDEX($AO$1005:$BQ$1005,1,MATCH(COLUMNS($AO$1006:BA1006),$AO$1006:$BQ$1006,0))&gt;=100000), " ",IF(INDEX($AO$2:$BQ$1001,MATCH(ROWS($AH$2:AH627),$AH$2:$AH$1001,0),MATCH(COLUMNS($AO$1006:BA1006),$AO$1006:$BQ$1006,0)), HYPERLINK("#",""), HYPERLINK(CONCATENATE("#Metadata!", ADDRESS(INDEX($AJ$2:$AJ$1001,MATCH(ROWS($AH$2:AH627),$AH$2:$AH$1001,0),0), INDEX($AO$1004:$BQ$1004,1,MATCH(COLUMNS($AO$1006:BA1006),$AO$1006:$BQ$1006,0)))),"Fix")))</f>
        <v>#N/A</v>
      </c>
      <c r="O627" s="5" t="e">
        <f ca="1">IF(OR(INDEX($AI$2:$AI$1001,MATCH(ROWS($AH$2:AH627),$AH$2:$AH$1001,0),1)&gt;=100000,INDEX($AO$1005:$BQ$1005,1,MATCH(COLUMNS($AO$1006:BB1006),$AO$1006:$BQ$1006,0))&gt;=100000), " ",IF(INDEX($AO$2:$BQ$1001,MATCH(ROWS($AH$2:AH627),$AH$2:$AH$1001,0),MATCH(COLUMNS($AO$1006:BB1006),$AO$1006:$BQ$1006,0)), HYPERLINK("#",""), HYPERLINK(CONCATENATE("#Metadata!", ADDRESS(INDEX($AJ$2:$AJ$1001,MATCH(ROWS($AH$2:AH627),$AH$2:$AH$1001,0),0), INDEX($AO$1004:$BQ$1004,1,MATCH(COLUMNS($AO$1006:BB1006),$AO$1006:$BQ$1006,0)))),"Fix")))</f>
        <v>#N/A</v>
      </c>
      <c r="P627" s="5" t="e">
        <f ca="1">IF(OR(INDEX($AI$2:$AI$1001,MATCH(ROWS($AH$2:AH627),$AH$2:$AH$1001,0),1)&gt;=100000,INDEX($AO$1005:$BQ$1005,1,MATCH(COLUMNS($AO$1006:BC1006),$AO$1006:$BQ$1006,0))&gt;=100000), " ",IF(INDEX($AO$2:$BQ$1001,MATCH(ROWS($AH$2:AH627),$AH$2:$AH$1001,0),MATCH(COLUMNS($AO$1006:BC1006),$AO$1006:$BQ$1006,0)), HYPERLINK("#",""), HYPERLINK(CONCATENATE("#Metadata!", ADDRESS(INDEX($AJ$2:$AJ$1001,MATCH(ROWS($AH$2:AH627),$AH$2:$AH$1001,0),0), INDEX($AO$1004:$BQ$1004,1,MATCH(COLUMNS($AO$1006:BC1006),$AO$1006:$BQ$1006,0)))),"Fix")))</f>
        <v>#N/A</v>
      </c>
      <c r="Q627" s="5" t="e">
        <f ca="1">IF(OR(INDEX($AI$2:$AI$1001,MATCH(ROWS($AH$2:AH627),$AH$2:$AH$1001,0),1)&gt;=100000,INDEX($AO$1005:$BQ$1005,1,MATCH(COLUMNS($AO$1006:BD1006),$AO$1006:$BQ$1006,0))&gt;=100000), " ",IF(INDEX($AO$2:$BQ$1001,MATCH(ROWS($AH$2:AH627),$AH$2:$AH$1001,0),MATCH(COLUMNS($AO$1006:BD1006),$AO$1006:$BQ$1006,0)), HYPERLINK("#",""), HYPERLINK(CONCATENATE("#Metadata!", ADDRESS(INDEX($AJ$2:$AJ$1001,MATCH(ROWS($AH$2:AH627),$AH$2:$AH$1001,0),0), INDEX($AO$1004:$BQ$1004,1,MATCH(COLUMNS($AO$1006:BD1006),$AO$1006:$BQ$1006,0)))),"Fix")))</f>
        <v>#N/A</v>
      </c>
      <c r="R627" s="5" t="e">
        <f ca="1">IF(OR(INDEX($AI$2:$AI$1001,MATCH(ROWS($AH$2:AH627),$AH$2:$AH$1001,0),1)&gt;=100000,INDEX($AO$1005:$BQ$1005,1,MATCH(COLUMNS($AO$1006:BE1006),$AO$1006:$BQ$1006,0))&gt;=100000), " ",IF(INDEX($AO$2:$BQ$1001,MATCH(ROWS($AH$2:AH627),$AH$2:$AH$1001,0),MATCH(COLUMNS($AO$1006:BE1006),$AO$1006:$BQ$1006,0)), HYPERLINK("#",""), HYPERLINK(CONCATENATE("#Metadata!", ADDRESS(INDEX($AJ$2:$AJ$1001,MATCH(ROWS($AH$2:AH627),$AH$2:$AH$1001,0),0), INDEX($AO$1004:$BQ$1004,1,MATCH(COLUMNS($AO$1006:BE1006),$AO$1006:$BQ$1006,0)))),"Fix")))</f>
        <v>#N/A</v>
      </c>
      <c r="S627" s="5" t="e">
        <f ca="1">IF(OR(INDEX($AI$2:$AI$1001,MATCH(ROWS($AH$2:AH627),$AH$2:$AH$1001,0),1)&gt;=100000,INDEX($AO$1005:$BQ$1005,1,MATCH(COLUMNS($AO$1006:BF1006),$AO$1006:$BQ$1006,0))&gt;=100000), " ",IF(INDEX($AO$2:$BQ$1001,MATCH(ROWS($AH$2:AH627),$AH$2:$AH$1001,0),MATCH(COLUMNS($AO$1006:BF1006),$AO$1006:$BQ$1006,0)), HYPERLINK("#",""), HYPERLINK(CONCATENATE("#Metadata!", ADDRESS(INDEX($AJ$2:$AJ$1001,MATCH(ROWS($AH$2:AH627),$AH$2:$AH$1001,0),0), INDEX($AO$1004:$BQ$1004,1,MATCH(COLUMNS($AO$1006:BF1006),$AO$1006:$BQ$1006,0)))),"Fix")))</f>
        <v>#N/A</v>
      </c>
      <c r="T627" s="5" t="e">
        <f ca="1">IF(OR(INDEX($AI$2:$AI$1001,MATCH(ROWS($AH$2:AH627),$AH$2:$AH$1001,0),1)&gt;=100000,INDEX($AO$1005:$BQ$1005,1,MATCH(COLUMNS($AO$1006:BG1006),$AO$1006:$BQ$1006,0))&gt;=100000), " ",IF(INDEX($AO$2:$BQ$1001,MATCH(ROWS($AH$2:AH627),$AH$2:$AH$1001,0),MATCH(COLUMNS($AO$1006:BG1006),$AO$1006:$BQ$1006,0)), HYPERLINK("#",""), HYPERLINK(CONCATENATE("#Metadata!", ADDRESS(INDEX($AJ$2:$AJ$1001,MATCH(ROWS($AH$2:AH627),$AH$2:$AH$1001,0),0), INDEX($AO$1004:$BQ$1004,1,MATCH(COLUMNS($AO$1006:BG1006),$AO$1006:$BQ$1006,0)))),"Fix")))</f>
        <v>#N/A</v>
      </c>
      <c r="U627" s="5" t="e">
        <f ca="1">IF(OR(INDEX($AI$2:$AI$1001,MATCH(ROWS($AH$2:AH627),$AH$2:$AH$1001,0),1)&gt;=100000,INDEX($AO$1005:$BQ$1005,1,MATCH(COLUMNS($AO$1006:BH1006),$AO$1006:$BQ$1006,0))&gt;=100000), " ",IF(INDEX($AO$2:$BQ$1001,MATCH(ROWS($AH$2:AH627),$AH$2:$AH$1001,0),MATCH(COLUMNS($AO$1006:BH1006),$AO$1006:$BQ$1006,0)), HYPERLINK("#",""), HYPERLINK(CONCATENATE("#Metadata!", ADDRESS(INDEX($AJ$2:$AJ$1001,MATCH(ROWS($AH$2:AH627),$AH$2:$AH$1001,0),0), INDEX($AO$1004:$BQ$1004,1,MATCH(COLUMNS($AO$1006:BH1006),$AO$1006:$BQ$1006,0)))),"Fix")))</f>
        <v>#N/A</v>
      </c>
      <c r="V627" s="5" t="e">
        <f ca="1">IF(OR(INDEX($AI$2:$AI$1001,MATCH(ROWS($AH$2:AH627),$AH$2:$AH$1001,0),1)&gt;=100000,INDEX($AO$1005:$BQ$1005,1,MATCH(COLUMNS($AO$1006:BI1006),$AO$1006:$BQ$1006,0))&gt;=100000), " ",IF(INDEX($AO$2:$BQ$1001,MATCH(ROWS($AH$2:AH627),$AH$2:$AH$1001,0),MATCH(COLUMNS($AO$1006:BI1006),$AO$1006:$BQ$1006,0)), HYPERLINK("#",""), HYPERLINK(CONCATENATE("#Metadata!", ADDRESS(INDEX($AJ$2:$AJ$1001,MATCH(ROWS($AH$2:AH627),$AH$2:$AH$1001,0),0), INDEX($AO$1004:$BQ$1004,1,MATCH(COLUMNS($AO$1006:BI1006),$AO$1006:$BQ$1006,0)))),"Fix")))</f>
        <v>#N/A</v>
      </c>
      <c r="W627" s="5" t="e">
        <f ca="1">IF(OR(INDEX($AI$2:$AI$1001,MATCH(ROWS($AH$2:AH627),$AH$2:$AH$1001,0),1)&gt;=100000,INDEX($AO$1005:$BQ$1005,1,MATCH(COLUMNS($AO$1006:BJ1006),$AO$1006:$BQ$1006,0))&gt;=100000), " ",IF(INDEX($AO$2:$BQ$1001,MATCH(ROWS($AH$2:AH627),$AH$2:$AH$1001,0),MATCH(COLUMNS($AO$1006:BJ1006),$AO$1006:$BQ$1006,0)), HYPERLINK("#",""), HYPERLINK(CONCATENATE("#Metadata!", ADDRESS(INDEX($AJ$2:$AJ$1001,MATCH(ROWS($AH$2:AH627),$AH$2:$AH$1001,0),0), INDEX($AO$1004:$BQ$1004,1,MATCH(COLUMNS($AO$1006:BJ1006),$AO$1006:$BQ$1006,0)))),"Fix")))</f>
        <v>#N/A</v>
      </c>
      <c r="X627" s="5" t="e">
        <f ca="1">IF(OR(INDEX($AI$2:$AI$1001,MATCH(ROWS($AH$2:AH627),$AH$2:$AH$1001,0),1)&gt;=100000,INDEX($AO$1005:$BQ$1005,1,MATCH(COLUMNS($AO$1006:BK1006),$AO$1006:$BQ$1006,0))&gt;=100000), " ",IF(INDEX($AO$2:$BQ$1001,MATCH(ROWS($AH$2:AH627),$AH$2:$AH$1001,0),MATCH(COLUMNS($AO$1006:BK1006),$AO$1006:$BQ$1006,0)), HYPERLINK("#",""), HYPERLINK(CONCATENATE("#Metadata!", ADDRESS(INDEX($AJ$2:$AJ$1001,MATCH(ROWS($AH$2:AH627),$AH$2:$AH$1001,0),0), INDEX($AO$1004:$BQ$1004,1,MATCH(COLUMNS($AO$1006:BK1006),$AO$1006:$BQ$1006,0)))),"Fix")))</f>
        <v>#N/A</v>
      </c>
      <c r="Y627" s="5" t="e">
        <f ca="1">IF(OR(INDEX($AI$2:$AI$1001,MATCH(ROWS($AH$2:AH627),$AH$2:$AH$1001,0),1)&gt;=100000,INDEX($AO$1005:$BQ$1005,1,MATCH(COLUMNS($AO$1006:BL1006),$AO$1006:$BQ$1006,0))&gt;=100000), " ",IF(INDEX($AO$2:$BQ$1001,MATCH(ROWS($AH$2:AH627),$AH$2:$AH$1001,0),MATCH(COLUMNS($AO$1006:BL1006),$AO$1006:$BQ$1006,0)), HYPERLINK("#",""), HYPERLINK(CONCATENATE("#Metadata!", ADDRESS(INDEX($AJ$2:$AJ$1001,MATCH(ROWS($AH$2:AH627),$AH$2:$AH$1001,0),0), INDEX($AO$1004:$BQ$1004,1,MATCH(COLUMNS($AO$1006:BL1006),$AO$1006:$BQ$1006,0)))),"Fix")))</f>
        <v>#N/A</v>
      </c>
      <c r="Z627" s="5" t="e">
        <f ca="1">IF(OR(INDEX($AI$2:$AI$1001,MATCH(ROWS($AH$2:AH627),$AH$2:$AH$1001,0),1)&gt;=100000,INDEX($AO$1005:$BQ$1005,1,MATCH(COLUMNS($AO$1006:BM1006),$AO$1006:$BQ$1006,0))&gt;=100000), " ",IF(INDEX($AO$2:$BQ$1001,MATCH(ROWS($AH$2:AH627),$AH$2:$AH$1001,0),MATCH(COLUMNS($AO$1006:BM1006),$AO$1006:$BQ$1006,0)), HYPERLINK("#",""), HYPERLINK(CONCATENATE("#Metadata!", ADDRESS(INDEX($AJ$2:$AJ$1001,MATCH(ROWS($AH$2:AH627),$AH$2:$AH$1001,0),0), INDEX($AO$1004:$BQ$1004,1,MATCH(COLUMNS($AO$1006:BM1006),$AO$1006:$BQ$1006,0)))),"Fix")))</f>
        <v>#N/A</v>
      </c>
      <c r="AA627" s="5" t="e">
        <f ca="1">IF(OR(INDEX($AI$2:$AI$1001,MATCH(ROWS($AH$2:AH627),$AH$2:$AH$1001,0),1)&gt;=100000,INDEX($AO$1005:$BQ$1005,1,MATCH(COLUMNS($AO$1006:BN1006),$AO$1006:$BQ$1006,0))&gt;=100000), " ",IF(INDEX($AO$2:$BQ$1001,MATCH(ROWS($AH$2:AH627),$AH$2:$AH$1001,0),MATCH(COLUMNS($AO$1006:BN1006),$AO$1006:$BQ$1006,0)), HYPERLINK("#",""), HYPERLINK(CONCATENATE("#Metadata!", ADDRESS(INDEX($AJ$2:$AJ$1001,MATCH(ROWS($AH$2:AH627),$AH$2:$AH$1001,0),0), INDEX($AO$1004:$BQ$1004,1,MATCH(COLUMNS($AO$1006:BN1006),$AO$1006:$BQ$1006,0)))),"Fix")))</f>
        <v>#N/A</v>
      </c>
      <c r="AB627" s="5" t="e">
        <f ca="1">IF(OR(INDEX($AI$2:$AI$1001,MATCH(ROWS($AH$2:AH627),$AH$2:$AH$1001,0),1)&gt;=100000,INDEX($AO$1005:$BQ$1005,1,MATCH(COLUMNS($AO$1006:BO1006),$AO$1006:$BQ$1006,0))&gt;=100000), " ",IF(INDEX($AO$2:$BQ$1001,MATCH(ROWS($AH$2:AH627),$AH$2:$AH$1001,0),MATCH(COLUMNS($AO$1006:BO1006),$AO$1006:$BQ$1006,0)), HYPERLINK("#",""), HYPERLINK(CONCATENATE("#Metadata!", ADDRESS(INDEX($AJ$2:$AJ$1001,MATCH(ROWS($AH$2:AH627),$AH$2:$AH$1001,0),0), INDEX($AO$1004:$BQ$1004,1,MATCH(COLUMNS($AO$1006:BO1006),$AO$1006:$BQ$1006,0)))),"Fix")))</f>
        <v>#N/A</v>
      </c>
      <c r="AC627" s="5" t="e">
        <f ca="1">IF(OR(INDEX($AI$2:$AI$1001,MATCH(ROWS($AH$2:AH627),$AH$2:$AH$1001,0),1)&gt;=100000,INDEX($AO$1005:$BQ$1005,1,MATCH(COLUMNS($AO$1006:BP1006),$AO$1006:$BQ$1006,0))&gt;=100000), " ",IF(INDEX($AO$2:$BQ$1001,MATCH(ROWS($AH$2:AH627),$AH$2:$AH$1001,0),MATCH(COLUMNS($AO$1006:BP1006),$AO$1006:$BQ$1006,0)), HYPERLINK("#",""), HYPERLINK(CONCATENATE("#Metadata!", ADDRESS(INDEX($AJ$2:$AJ$1001,MATCH(ROWS($AH$2:AH627),$AH$2:$AH$1001,0),0), INDEX($AO$1004:$BQ$1004,1,MATCH(COLUMNS($AO$1006:BP1006),$AO$1006:$BQ$1006,0)))),"Fix")))</f>
        <v>#N/A</v>
      </c>
      <c r="AD627" s="5" t="e">
        <f ca="1">IF(OR(INDEX($AI$2:$AI$1001,MATCH(ROWS($AH$2:AH627),$AH$2:$AH$1001,0),1)&gt;=100000,INDEX($AO$1005:$BQ$1005,1,MATCH(COLUMNS($AO$1006:BQ1006),$AO$1006:$BQ$1006,0))&gt;=100000), " ",IF(INDEX($AO$2:$BQ$1001,MATCH(ROWS($AH$2:AH627),$AH$2:$AH$1001,0),MATCH(COLUMNS($AO$1006:BQ1006),$AO$1006:$BQ$1006,0)), HYPERLINK("#",""), HYPERLINK(CONCATENATE("#Metadata!", ADDRESS(INDEX($AJ$2:$AJ$1001,MATCH(ROWS($AH$2:AH627),$AH$2:$AH$1001,0),0), INDEX($AO$1004:$BQ$1004,1,MATCH(COLUMNS($AO$1006:BQ1006),$AO$1006:$BQ$1006,0)))),"Fix")))</f>
        <v>#REF!</v>
      </c>
      <c r="AH627">
        <f ca="1"/>
        <v>624</v>
      </c>
      <c r="AI627">
        <v>100627</v>
      </c>
      <c r="AJ627">
        <v>627</v>
      </c>
      <c r="AK627" t="b">
        <f t="shared" si="9"/>
        <v>1</v>
      </c>
      <c r="AL627" t="b">
        <f>COUNTBLANK(Metadata!B627:AD627)=COLUMNS(Metadata!B627:AD627)</f>
        <v>1</v>
      </c>
      <c r="AM627" t="str">
        <v/>
      </c>
      <c r="AO627" t="b">
        <f ca="1">AND(IF(Metadata!B627="",FALSE,TRUE),COUNTIF(Metadata!B:B, Metadata!B627) = 1,NOT(ISERROR(SUMPRODUCT(SEARCH(MID(Metadata!B627,ROW(INDIRECT("1:"&amp;LEN(Metadata!B627))), 1),"0123456789abcdefghijklmnopqrstuvwxyzABCDEFGHIJKLMNOPQRSTUVWXYZ.")))))</f>
        <v>0</v>
      </c>
      <c r="AP627" t="b">
        <f>IF(Metadata!C627="",FALSE,TRUE)</f>
        <v>0</v>
      </c>
      <c r="AQ627" t="b">
        <f>IF(Metadata!D627="",FALSE,TRUE)</f>
        <v>0</v>
      </c>
      <c r="AR627" t="b">
        <f ca="1">OR(AND(IF(Metadata!E627="",FALSE,TRUE),OR(EXACT(Metadata!E627,"not collected"),EXACT(Metadata!E627,"not provided"),EXACT(Metadata!E627,"restricted access"))),AND(IF(Metadata!E627="",FALSE,TRUE),AND(AND(IFERROR(INT(LEFT(Metadata!E627,4))&gt;1900,FALSE),IFERROR(INT(LEFT(Metadata!E627,4))&lt;=YEAR(NOW()),FALSE)), OR(MID(Metadata!E627,5,1)="", AND(AND(MID(Metadata!E627,5,1)="-",IFERROR(INT(MID(Metadata!E627,6,1))&gt;=0,FALSE),IFERROR(INT(MID(Metadata!E627,6,1))&lt;=1,FALSE),NOT(MID(Metadata!E627,7,1)=""),IFERROR(INT(MID(Metadata!E627,6,2))&gt;=1,FALSE),IFERROR(INT(MID(Metadata!E627,6,2))&lt;=12,FALSE)), OR(MID(Metadata!E627,8,1)="", AND(AND(MID(Metadata!E627,8,1)="-",IFERROR(INT(MID(Metadata!E627,9,1))&gt;=0,FALSE),IFERROR(INT(MID(Metadata!E627,9,1))&lt;=3,FALSE),NOT(MID(Metadata!E627,10,1)=""),IFERROR(INT(MID(Metadata!E627,9,2))&gt;=1,FALSE),IFERROR(INT(MID(Metadata!E627,9,2))&lt;=31,FALSE)), OR(MID(Metadata!E627,11,1)="", AND(AND(MID(Metadata!E627,11,1)=" ",IFERROR(INT(MID(Metadata!E627,12,1))&gt;=0,FALSE),IFERROR(INT(MID(Metadata!E627,12,1))&lt;=2,FALSE),NOT(MID(Metadata!E627,13,1)=""),IFERROR(INT(MID(Metadata!E627,12,2))&gt;=0,FALSE),IFERROR(INT(MID(Metadata!E627,12,2))&lt;=23,FALSE)), OR(MID(Metadata!E627,14,1)="", AND(AND(MID(Metadata!E627,14,1)=":",IFERROR(INT(MID(Metadata!E627,15,1))&gt;=0,FALSE),IFERROR(INT(MID(Metadata!E627,15,1))&lt;=5,FALSE),NOT(MID(Metadata!E627,16,1)=""),IFERROR(INT(MID(Metadata!E627,15,2))&gt;=0,FALSE),IFERROR(INT(MID(Metadata!E627,15,2))&lt;=59,FALSE)), OR(MID(Metadata!E627,17,1)="", AND(AND(MID(Metadata!E627,17,1)=":",IFERROR(INT(MID(Metadata!E627,18,1))&gt;=0,FALSE),IFERROR(INT(MID(Metadata!E627,18,1))&lt;=5,FALSE),NOT(MID(Metadata!E627,19,1)=""),IFERROR(INT(MID(Metadata!E627,18,2))&gt;=0,FALSE),IFERROR(INT(MID(Metadata!E627,18,2))&lt;=59,FALSE)), LEN(Metadata!E627)&lt;=19)))))))))))))</f>
        <v>0</v>
      </c>
      <c r="AS627" t="b">
        <f>IF(Metadata!F627="",FALSE,TRUE)</f>
        <v>0</v>
      </c>
      <c r="AT627" t="b">
        <f>OR(AND(IF(Metadata!G627="",FALSE,TRUE),OR(EXACT(Metadata!G627,"not collected"),EXACT(Metadata!G627,"not provided"))),AND(IF(Metadata!G627="",FALSE,TRUE),OR(EXACT(Metadata!G627,"TRUE"),EXACT(Metadata!G627,"FALSE"))))</f>
        <v>0</v>
      </c>
      <c r="AU627" t="b">
        <f>OR(AND(IF(Metadata!H627="",FALSE,TRUE),OR(EXACT(Metadata!H627,"not collected"),EXACT(Metadata!H627,"not provided"),EXACT(Metadata!H627,"restricted access"))),AND(IF(Metadata!H627="",FALSE,ISNUMBER(VALUE(Metadata!H627))),Metadata!H627&gt;=-413))</f>
        <v>0</v>
      </c>
      <c r="AV627" t="b">
        <f>AND(IF(Metadata!I627="",FALSE,TRUE),EXACT(Metadata!I627,"meters"))</f>
        <v>0</v>
      </c>
      <c r="AW627" t="b">
        <f>AND(IF(Metadata!J627="",FALSE,TRUE),EXACT(Metadata!J627,"free-living"))</f>
        <v>0</v>
      </c>
      <c r="AX627" t="b">
        <f>AND(IF(Metadata!K627="",FALSE,TRUE),OR(EXACT(Metadata!K627,"saline"),EXACT(Metadata!K627,"non-saline")))</f>
        <v>0</v>
      </c>
      <c r="AY627" t="b">
        <f>AND(IF(Metadata!L627="",FALSE,TRUE),OR(EXACT(Metadata!L627,"sub-surface (non-saline)"),EXACT(Metadata!L627,"surface (non-saline)"),EXACT(Metadata!L627,"water (non-saline)"),EXACT(Metadata!L627,"soil (non-saline)"),EXACT(Metadata!L627,"aerosol (non-saline)"),EXACT(Metadata!L627,"sediment (non-saline)"),EXACT(Metadata!L627,"surface (saline)"),EXACT(Metadata!L627,"water (saline)"),EXACT(Metadata!L627,"hypersaline (saline)"),EXACT(Metadata!L627,"aerosol (saline)"),EXACT(Metadata!L627,"sediment (saline)")))</f>
        <v>0</v>
      </c>
      <c r="AZ627" t="b">
        <f>IF(Metadata!M627="",FALSE,TRUE)</f>
        <v>0</v>
      </c>
      <c r="BA627" t="b">
        <f>IF(Metadata!N627="",FALSE,TRUE)</f>
        <v>0</v>
      </c>
      <c r="BB627" t="b">
        <f>IF(Metadata!O627="",FALSE,TRUE)</f>
        <v>0</v>
      </c>
      <c r="BC627" t="b">
        <f>AND(IF(Metadata!P627="",FALSE,TRUE),OR(EXACT(Metadata!P627,"air"),EXACT(Metadata!P627,"microbial mat/biofilm"),EXACT(Metadata!P627,"misc environment"),EXACT(Metadata!P627,"sediment"),EXACT(Metadata!P627,"soil"),EXACT(Metadata!P627,"wastewater/sludge"),EXACT(Metadata!P627,"water")))</f>
        <v>0</v>
      </c>
      <c r="BD627" t="b">
        <f>IF(Metadata!Q627="",FALSE,TRUE)</f>
        <v>0</v>
      </c>
      <c r="BE627" t="b">
        <f>IF(Metadata!R627="",FALSE,TRUE)</f>
        <v>0</v>
      </c>
      <c r="BF627" t="b">
        <f>OR(AND(IF(Metadata!S627="",FALSE,TRUE),OR(EXACT(Metadata!S627,"not collected"),EXACT(Metadata!S627,"not provided"),EXACT(Metadata!S627,"restricted access"))),AND(IF(Metadata!S627="",FALSE,ISNUMBER(VALUE(Metadata!S627))),Metadata!S627&gt;=-90,Metadata!S627&lt;=90))</f>
        <v>0</v>
      </c>
      <c r="BG627" t="b">
        <f>AND(IF(Metadata!T627="",FALSE,TRUE),EXACT(Metadata!T627,"Decimal degrees"))</f>
        <v>0</v>
      </c>
      <c r="BH627" t="b">
        <f>OR(AND(IF(Metadata!U627="",FALSE,TRUE),OR(EXACT(Metadata!U627,"not applicable"),EXACT(Metadata!U627,"not collected"))),IF(Metadata!U627="",FALSE,TRUE))</f>
        <v>0</v>
      </c>
      <c r="BI627" t="b">
        <f>OR(AND(IF(Metadata!V627="",FALSE,TRUE),OR(EXACT(Metadata!V627,"not collected"),EXACT(Metadata!V627,"not provided"),EXACT(Metadata!V627,"restricted access"))),AND(IF(Metadata!V627="",FALSE,ISNUMBER(VALUE(Metadata!V627))),Metadata!V627&gt;=-180,Metadata!V627&lt;=180))</f>
        <v>0</v>
      </c>
      <c r="BJ627" t="b">
        <f>AND(IF(Metadata!W627="",FALSE,TRUE),EXACT(Metadata!W627,"Decimal degrees"))</f>
        <v>0</v>
      </c>
      <c r="BK627" t="b">
        <f>IF(Metadata!X627="",FALSE,TRUE)</f>
        <v>0</v>
      </c>
      <c r="BL627" t="b">
        <f>OR(AND(IF(Metadata!Y627="",FALSE,TRUE),OR(EXACT(Metadata!Y627,"not collected"),EXACT(Metadata!Y627,"not provided"),EXACT(Metadata!Y627,"restricted access"))),AND(IF(Metadata!Y627="",FALSE,TRUE),OR(EXACT(Metadata!Y627,"TRUE"),EXACT(Metadata!Y627,"FALSE"))))</f>
        <v>0</v>
      </c>
      <c r="BM627" t="b">
        <f>OR(AND(IF(Metadata!Z627="",FALSE,TRUE),EXACT(Metadata!Z627,"not applicable")),AND(IF(Metadata!Z627="",FALSE,TRUE),OR(EXACT(Metadata!Z627,"beer"),EXACT(Metadata!Z627,"cheese"),EXACT(Metadata!Z627,"fresh water"),EXACT(Metadata!Z627,"marine sediment"),EXACT(Metadata!Z627,"sea water"),EXACT(Metadata!Z627,"sediment"),EXACT(Metadata!Z627,"soil"),EXACT(Metadata!Z627,"waste water"))))</f>
        <v>0</v>
      </c>
      <c r="BN627" t="b">
        <f>AND(IF(Metadata!AA627="",FALSE,TRUE),EXACT(Metadata!AA627,"metagenome"))</f>
        <v>0</v>
      </c>
      <c r="BO627" t="b">
        <f>AND(IF(Metadata!AB627="",FALSE,TRUE),EXACT(Metadata!AB627,"256318"))</f>
        <v>0</v>
      </c>
      <c r="BP627" t="b">
        <f>IF(Metadata!AC627="",FALSE,TRUE)</f>
        <v>0</v>
      </c>
      <c r="BQ627" t="b">
        <f>IF(Metadata!AD627="",FALSE,TRUE)</f>
        <v>0</v>
      </c>
    </row>
    <row r="628" spans="1:69" x14ac:dyDescent="0.2">
      <c r="A628" s="4" t="e">
        <f ca="1">IF(B628=" "," ",HYPERLINK(CONCATENATE("#metadata!",ADDRESS(INDEX($AJ$2:$AJ$1001,MATCH(ROWS($AH$2:AH628),$AH$2:$AH$1001,0),0),2)),INDEX($AM$2:$AM$1001,MATCH(ROWS($AH$2:AH628),$AH$2:$AH$1001,0),0)))</f>
        <v>#N/A</v>
      </c>
      <c r="B628" s="5" t="e">
        <f ca="1">IF(OR(INDEX($AI$2:$AI$1001,MATCH(ROWS($AH$2:AH628),$AH$2:$AH$1001,0),1)&gt;=100000,INDEX($AO$1005:$BQ$1005,1,MATCH(COLUMNS($AO$1006:AO1006),$AO$1006:$BQ$1006,0))&gt;=100000), " ",IF(INDEX($AO$2:$BQ$1001,MATCH(ROWS($AH$2:AH628),$AH$2:$AH$1001,0),MATCH(COLUMNS($AO$1006:AO1006),$AO$1006:$BQ$1006,0)), HYPERLINK("#",""), HYPERLINK(CONCATENATE("#Metadata!", ADDRESS(INDEX($AJ$2:$AJ$1001,MATCH(ROWS($AH$2:AH628),$AH$2:$AH$1001,0),0), INDEX($AO$1004:$BQ$1004,1,MATCH(COLUMNS($AO$1006:AO1006),$AO$1006:$BQ$1006,0)))),"Fix")))</f>
        <v>#N/A</v>
      </c>
      <c r="C628" s="5" t="e">
        <f ca="1">IF(OR(INDEX($AI$2:$AI$1001,MATCH(ROWS($AH$2:AH628),$AH$2:$AH$1001,0),1)&gt;=100000,INDEX($AO$1005:$BQ$1005,1,MATCH(COLUMNS($AO$1006:AP1006),$AO$1006:$BQ$1006,0))&gt;=100000), " ",IF(INDEX($AO$2:$BQ$1001,MATCH(ROWS($AH$2:AH628),$AH$2:$AH$1001,0),MATCH(COLUMNS($AO$1006:AP1006),$AO$1006:$BQ$1006,0)), HYPERLINK("#",""), HYPERLINK(CONCATENATE("#Metadata!", ADDRESS(INDEX($AJ$2:$AJ$1001,MATCH(ROWS($AH$2:AH628),$AH$2:$AH$1001,0),0), INDEX($AO$1004:$BQ$1004,1,MATCH(COLUMNS($AO$1006:AP1006),$AO$1006:$BQ$1006,0)))),"Fix")))</f>
        <v>#N/A</v>
      </c>
      <c r="D628" s="5" t="e">
        <f ca="1">IF(OR(INDEX($AI$2:$AI$1001,MATCH(ROWS($AH$2:AH628),$AH$2:$AH$1001,0),1)&gt;=100000,INDEX($AO$1005:$BQ$1005,1,MATCH(COLUMNS($AO$1006:AQ1006),$AO$1006:$BQ$1006,0))&gt;=100000), " ",IF(INDEX($AO$2:$BQ$1001,MATCH(ROWS($AH$2:AH628),$AH$2:$AH$1001,0),MATCH(COLUMNS($AO$1006:AQ1006),$AO$1006:$BQ$1006,0)), HYPERLINK("#",""), HYPERLINK(CONCATENATE("#Metadata!", ADDRESS(INDEX($AJ$2:$AJ$1001,MATCH(ROWS($AH$2:AH628),$AH$2:$AH$1001,0),0), INDEX($AO$1004:$BQ$1004,1,MATCH(COLUMNS($AO$1006:AQ1006),$AO$1006:$BQ$1006,0)))),"Fix")))</f>
        <v>#N/A</v>
      </c>
      <c r="E628" s="5" t="e">
        <f ca="1">IF(OR(INDEX($AI$2:$AI$1001,MATCH(ROWS($AH$2:AH628),$AH$2:$AH$1001,0),1)&gt;=100000,INDEX($AO$1005:$BQ$1005,1,MATCH(COLUMNS($AO$1006:AR1006),$AO$1006:$BQ$1006,0))&gt;=100000), " ",IF(INDEX($AO$2:$BQ$1001,MATCH(ROWS($AH$2:AH628),$AH$2:$AH$1001,0),MATCH(COLUMNS($AO$1006:AR1006),$AO$1006:$BQ$1006,0)), HYPERLINK("#",""), HYPERLINK(CONCATENATE("#Metadata!", ADDRESS(INDEX($AJ$2:$AJ$1001,MATCH(ROWS($AH$2:AH628),$AH$2:$AH$1001,0),0), INDEX($AO$1004:$BQ$1004,1,MATCH(COLUMNS($AO$1006:AR1006),$AO$1006:$BQ$1006,0)))),"Fix")))</f>
        <v>#N/A</v>
      </c>
      <c r="F628" s="5" t="e">
        <f ca="1">IF(OR(INDEX($AI$2:$AI$1001,MATCH(ROWS($AH$2:AH628),$AH$2:$AH$1001,0),1)&gt;=100000,INDEX($AO$1005:$BQ$1005,1,MATCH(COLUMNS($AO$1006:AS1006),$AO$1006:$BQ$1006,0))&gt;=100000), " ",IF(INDEX($AO$2:$BQ$1001,MATCH(ROWS($AH$2:AH628),$AH$2:$AH$1001,0),MATCH(COLUMNS($AO$1006:AS1006),$AO$1006:$BQ$1006,0)), HYPERLINK("#",""), HYPERLINK(CONCATENATE("#Metadata!", ADDRESS(INDEX($AJ$2:$AJ$1001,MATCH(ROWS($AH$2:AH628),$AH$2:$AH$1001,0),0), INDEX($AO$1004:$BQ$1004,1,MATCH(COLUMNS($AO$1006:AS1006),$AO$1006:$BQ$1006,0)))),"Fix")))</f>
        <v>#N/A</v>
      </c>
      <c r="G628" s="5" t="e">
        <f ca="1">IF(OR(INDEX($AI$2:$AI$1001,MATCH(ROWS($AH$2:AH628),$AH$2:$AH$1001,0),1)&gt;=100000,INDEX($AO$1005:$BQ$1005,1,MATCH(COLUMNS($AO$1006:AT1006),$AO$1006:$BQ$1006,0))&gt;=100000), " ",IF(INDEX($AO$2:$BQ$1001,MATCH(ROWS($AH$2:AH628),$AH$2:$AH$1001,0),MATCH(COLUMNS($AO$1006:AT1006),$AO$1006:$BQ$1006,0)), HYPERLINK("#",""), HYPERLINK(CONCATENATE("#Metadata!", ADDRESS(INDEX($AJ$2:$AJ$1001,MATCH(ROWS($AH$2:AH628),$AH$2:$AH$1001,0),0), INDEX($AO$1004:$BQ$1004,1,MATCH(COLUMNS($AO$1006:AT1006),$AO$1006:$BQ$1006,0)))),"Fix")))</f>
        <v>#N/A</v>
      </c>
      <c r="H628" s="5" t="e">
        <f ca="1">IF(OR(INDEX($AI$2:$AI$1001,MATCH(ROWS($AH$2:AH628),$AH$2:$AH$1001,0),1)&gt;=100000,INDEX($AO$1005:$BQ$1005,1,MATCH(COLUMNS($AO$1006:AU1006),$AO$1006:$BQ$1006,0))&gt;=100000), " ",IF(INDEX($AO$2:$BQ$1001,MATCH(ROWS($AH$2:AH628),$AH$2:$AH$1001,0),MATCH(COLUMNS($AO$1006:AU1006),$AO$1006:$BQ$1006,0)), HYPERLINK("#",""), HYPERLINK(CONCATENATE("#Metadata!", ADDRESS(INDEX($AJ$2:$AJ$1001,MATCH(ROWS($AH$2:AH628),$AH$2:$AH$1001,0),0), INDEX($AO$1004:$BQ$1004,1,MATCH(COLUMNS($AO$1006:AU1006),$AO$1006:$BQ$1006,0)))),"Fix")))</f>
        <v>#N/A</v>
      </c>
      <c r="I628" s="5" t="e">
        <f ca="1">IF(OR(INDEX($AI$2:$AI$1001,MATCH(ROWS($AH$2:AH628),$AH$2:$AH$1001,0),1)&gt;=100000,INDEX($AO$1005:$BQ$1005,1,MATCH(COLUMNS($AO$1006:AV1006),$AO$1006:$BQ$1006,0))&gt;=100000), " ",IF(INDEX($AO$2:$BQ$1001,MATCH(ROWS($AH$2:AH628),$AH$2:$AH$1001,0),MATCH(COLUMNS($AO$1006:AV1006),$AO$1006:$BQ$1006,0)), HYPERLINK("#",""), HYPERLINK(CONCATENATE("#Metadata!", ADDRESS(INDEX($AJ$2:$AJ$1001,MATCH(ROWS($AH$2:AH628),$AH$2:$AH$1001,0),0), INDEX($AO$1004:$BQ$1004,1,MATCH(COLUMNS($AO$1006:AV1006),$AO$1006:$BQ$1006,0)))),"Fix")))</f>
        <v>#N/A</v>
      </c>
      <c r="J628" s="5" t="e">
        <f ca="1">IF(OR(INDEX($AI$2:$AI$1001,MATCH(ROWS($AH$2:AH628),$AH$2:$AH$1001,0),1)&gt;=100000,INDEX($AO$1005:$BQ$1005,1,MATCH(COLUMNS($AO$1006:AW1006),$AO$1006:$BQ$1006,0))&gt;=100000), " ",IF(INDEX($AO$2:$BQ$1001,MATCH(ROWS($AH$2:AH628),$AH$2:$AH$1001,0),MATCH(COLUMNS($AO$1006:AW1006),$AO$1006:$BQ$1006,0)), HYPERLINK("#",""), HYPERLINK(CONCATENATE("#Metadata!", ADDRESS(INDEX($AJ$2:$AJ$1001,MATCH(ROWS($AH$2:AH628),$AH$2:$AH$1001,0),0), INDEX($AO$1004:$BQ$1004,1,MATCH(COLUMNS($AO$1006:AW1006),$AO$1006:$BQ$1006,0)))),"Fix")))</f>
        <v>#N/A</v>
      </c>
      <c r="K628" s="5" t="e">
        <f ca="1">IF(OR(INDEX($AI$2:$AI$1001,MATCH(ROWS($AH$2:AH628),$AH$2:$AH$1001,0),1)&gt;=100000,INDEX($AO$1005:$BQ$1005,1,MATCH(COLUMNS($AO$1006:AX1006),$AO$1006:$BQ$1006,0))&gt;=100000), " ",IF(INDEX($AO$2:$BQ$1001,MATCH(ROWS($AH$2:AH628),$AH$2:$AH$1001,0),MATCH(COLUMNS($AO$1006:AX1006),$AO$1006:$BQ$1006,0)), HYPERLINK("#",""), HYPERLINK(CONCATENATE("#Metadata!", ADDRESS(INDEX($AJ$2:$AJ$1001,MATCH(ROWS($AH$2:AH628),$AH$2:$AH$1001,0),0), INDEX($AO$1004:$BQ$1004,1,MATCH(COLUMNS($AO$1006:AX1006),$AO$1006:$BQ$1006,0)))),"Fix")))</f>
        <v>#N/A</v>
      </c>
      <c r="L628" s="5" t="e">
        <f ca="1">IF(OR(INDEX($AI$2:$AI$1001,MATCH(ROWS($AH$2:AH628),$AH$2:$AH$1001,0),1)&gt;=100000,INDEX($AO$1005:$BQ$1005,1,MATCH(COLUMNS($AO$1006:AY1006),$AO$1006:$BQ$1006,0))&gt;=100000), " ",IF(INDEX($AO$2:$BQ$1001,MATCH(ROWS($AH$2:AH628),$AH$2:$AH$1001,0),MATCH(COLUMNS($AO$1006:AY1006),$AO$1006:$BQ$1006,0)), HYPERLINK("#",""), HYPERLINK(CONCATENATE("#Metadata!", ADDRESS(INDEX($AJ$2:$AJ$1001,MATCH(ROWS($AH$2:AH628),$AH$2:$AH$1001,0),0), INDEX($AO$1004:$BQ$1004,1,MATCH(COLUMNS($AO$1006:AY1006),$AO$1006:$BQ$1006,0)))),"Fix")))</f>
        <v>#N/A</v>
      </c>
      <c r="M628" s="5" t="e">
        <f ca="1">IF(OR(INDEX($AI$2:$AI$1001,MATCH(ROWS($AH$2:AH628),$AH$2:$AH$1001,0),1)&gt;=100000,INDEX($AO$1005:$BQ$1005,1,MATCH(COLUMNS($AO$1006:AZ1006),$AO$1006:$BQ$1006,0))&gt;=100000), " ",IF(INDEX($AO$2:$BQ$1001,MATCH(ROWS($AH$2:AH628),$AH$2:$AH$1001,0),MATCH(COLUMNS($AO$1006:AZ1006),$AO$1006:$BQ$1006,0)), HYPERLINK("#",""), HYPERLINK(CONCATENATE("#Metadata!", ADDRESS(INDEX($AJ$2:$AJ$1001,MATCH(ROWS($AH$2:AH628),$AH$2:$AH$1001,0),0), INDEX($AO$1004:$BQ$1004,1,MATCH(COLUMNS($AO$1006:AZ1006),$AO$1006:$BQ$1006,0)))),"Fix")))</f>
        <v>#N/A</v>
      </c>
      <c r="N628" s="5" t="e">
        <f ca="1">IF(OR(INDEX($AI$2:$AI$1001,MATCH(ROWS($AH$2:AH628),$AH$2:$AH$1001,0),1)&gt;=100000,INDEX($AO$1005:$BQ$1005,1,MATCH(COLUMNS($AO$1006:BA1006),$AO$1006:$BQ$1006,0))&gt;=100000), " ",IF(INDEX($AO$2:$BQ$1001,MATCH(ROWS($AH$2:AH628),$AH$2:$AH$1001,0),MATCH(COLUMNS($AO$1006:BA1006),$AO$1006:$BQ$1006,0)), HYPERLINK("#",""), HYPERLINK(CONCATENATE("#Metadata!", ADDRESS(INDEX($AJ$2:$AJ$1001,MATCH(ROWS($AH$2:AH628),$AH$2:$AH$1001,0),0), INDEX($AO$1004:$BQ$1004,1,MATCH(COLUMNS($AO$1006:BA1006),$AO$1006:$BQ$1006,0)))),"Fix")))</f>
        <v>#N/A</v>
      </c>
      <c r="O628" s="5" t="e">
        <f ca="1">IF(OR(INDEX($AI$2:$AI$1001,MATCH(ROWS($AH$2:AH628),$AH$2:$AH$1001,0),1)&gt;=100000,INDEX($AO$1005:$BQ$1005,1,MATCH(COLUMNS($AO$1006:BB1006),$AO$1006:$BQ$1006,0))&gt;=100000), " ",IF(INDEX($AO$2:$BQ$1001,MATCH(ROWS($AH$2:AH628),$AH$2:$AH$1001,0),MATCH(COLUMNS($AO$1006:BB1006),$AO$1006:$BQ$1006,0)), HYPERLINK("#",""), HYPERLINK(CONCATENATE("#Metadata!", ADDRESS(INDEX($AJ$2:$AJ$1001,MATCH(ROWS($AH$2:AH628),$AH$2:$AH$1001,0),0), INDEX($AO$1004:$BQ$1004,1,MATCH(COLUMNS($AO$1006:BB1006),$AO$1006:$BQ$1006,0)))),"Fix")))</f>
        <v>#N/A</v>
      </c>
      <c r="P628" s="5" t="e">
        <f ca="1">IF(OR(INDEX($AI$2:$AI$1001,MATCH(ROWS($AH$2:AH628),$AH$2:$AH$1001,0),1)&gt;=100000,INDEX($AO$1005:$BQ$1005,1,MATCH(COLUMNS($AO$1006:BC1006),$AO$1006:$BQ$1006,0))&gt;=100000), " ",IF(INDEX($AO$2:$BQ$1001,MATCH(ROWS($AH$2:AH628),$AH$2:$AH$1001,0),MATCH(COLUMNS($AO$1006:BC1006),$AO$1006:$BQ$1006,0)), HYPERLINK("#",""), HYPERLINK(CONCATENATE("#Metadata!", ADDRESS(INDEX($AJ$2:$AJ$1001,MATCH(ROWS($AH$2:AH628),$AH$2:$AH$1001,0),0), INDEX($AO$1004:$BQ$1004,1,MATCH(COLUMNS($AO$1006:BC1006),$AO$1006:$BQ$1006,0)))),"Fix")))</f>
        <v>#N/A</v>
      </c>
      <c r="Q628" s="5" t="e">
        <f ca="1">IF(OR(INDEX($AI$2:$AI$1001,MATCH(ROWS($AH$2:AH628),$AH$2:$AH$1001,0),1)&gt;=100000,INDEX($AO$1005:$BQ$1005,1,MATCH(COLUMNS($AO$1006:BD1006),$AO$1006:$BQ$1006,0))&gt;=100000), " ",IF(INDEX($AO$2:$BQ$1001,MATCH(ROWS($AH$2:AH628),$AH$2:$AH$1001,0),MATCH(COLUMNS($AO$1006:BD1006),$AO$1006:$BQ$1006,0)), HYPERLINK("#",""), HYPERLINK(CONCATENATE("#Metadata!", ADDRESS(INDEX($AJ$2:$AJ$1001,MATCH(ROWS($AH$2:AH628),$AH$2:$AH$1001,0),0), INDEX($AO$1004:$BQ$1004,1,MATCH(COLUMNS($AO$1006:BD1006),$AO$1006:$BQ$1006,0)))),"Fix")))</f>
        <v>#N/A</v>
      </c>
      <c r="R628" s="5" t="e">
        <f ca="1">IF(OR(INDEX($AI$2:$AI$1001,MATCH(ROWS($AH$2:AH628),$AH$2:$AH$1001,0),1)&gt;=100000,INDEX($AO$1005:$BQ$1005,1,MATCH(COLUMNS($AO$1006:BE1006),$AO$1006:$BQ$1006,0))&gt;=100000), " ",IF(INDEX($AO$2:$BQ$1001,MATCH(ROWS($AH$2:AH628),$AH$2:$AH$1001,0),MATCH(COLUMNS($AO$1006:BE1006),$AO$1006:$BQ$1006,0)), HYPERLINK("#",""), HYPERLINK(CONCATENATE("#Metadata!", ADDRESS(INDEX($AJ$2:$AJ$1001,MATCH(ROWS($AH$2:AH628),$AH$2:$AH$1001,0),0), INDEX($AO$1004:$BQ$1004,1,MATCH(COLUMNS($AO$1006:BE1006),$AO$1006:$BQ$1006,0)))),"Fix")))</f>
        <v>#N/A</v>
      </c>
      <c r="S628" s="5" t="e">
        <f ca="1">IF(OR(INDEX($AI$2:$AI$1001,MATCH(ROWS($AH$2:AH628),$AH$2:$AH$1001,0),1)&gt;=100000,INDEX($AO$1005:$BQ$1005,1,MATCH(COLUMNS($AO$1006:BF1006),$AO$1006:$BQ$1006,0))&gt;=100000), " ",IF(INDEX($AO$2:$BQ$1001,MATCH(ROWS($AH$2:AH628),$AH$2:$AH$1001,0),MATCH(COLUMNS($AO$1006:BF1006),$AO$1006:$BQ$1006,0)), HYPERLINK("#",""), HYPERLINK(CONCATENATE("#Metadata!", ADDRESS(INDEX($AJ$2:$AJ$1001,MATCH(ROWS($AH$2:AH628),$AH$2:$AH$1001,0),0), INDEX($AO$1004:$BQ$1004,1,MATCH(COLUMNS($AO$1006:BF1006),$AO$1006:$BQ$1006,0)))),"Fix")))</f>
        <v>#N/A</v>
      </c>
      <c r="T628" s="5" t="e">
        <f ca="1">IF(OR(INDEX($AI$2:$AI$1001,MATCH(ROWS($AH$2:AH628),$AH$2:$AH$1001,0),1)&gt;=100000,INDEX($AO$1005:$BQ$1005,1,MATCH(COLUMNS($AO$1006:BG1006),$AO$1006:$BQ$1006,0))&gt;=100000), " ",IF(INDEX($AO$2:$BQ$1001,MATCH(ROWS($AH$2:AH628),$AH$2:$AH$1001,0),MATCH(COLUMNS($AO$1006:BG1006),$AO$1006:$BQ$1006,0)), HYPERLINK("#",""), HYPERLINK(CONCATENATE("#Metadata!", ADDRESS(INDEX($AJ$2:$AJ$1001,MATCH(ROWS($AH$2:AH628),$AH$2:$AH$1001,0),0), INDEX($AO$1004:$BQ$1004,1,MATCH(COLUMNS($AO$1006:BG1006),$AO$1006:$BQ$1006,0)))),"Fix")))</f>
        <v>#N/A</v>
      </c>
      <c r="U628" s="5" t="e">
        <f ca="1">IF(OR(INDEX($AI$2:$AI$1001,MATCH(ROWS($AH$2:AH628),$AH$2:$AH$1001,0),1)&gt;=100000,INDEX($AO$1005:$BQ$1005,1,MATCH(COLUMNS($AO$1006:BH1006),$AO$1006:$BQ$1006,0))&gt;=100000), " ",IF(INDEX($AO$2:$BQ$1001,MATCH(ROWS($AH$2:AH628),$AH$2:$AH$1001,0),MATCH(COLUMNS($AO$1006:BH1006),$AO$1006:$BQ$1006,0)), HYPERLINK("#",""), HYPERLINK(CONCATENATE("#Metadata!", ADDRESS(INDEX($AJ$2:$AJ$1001,MATCH(ROWS($AH$2:AH628),$AH$2:$AH$1001,0),0), INDEX($AO$1004:$BQ$1004,1,MATCH(COLUMNS($AO$1006:BH1006),$AO$1006:$BQ$1006,0)))),"Fix")))</f>
        <v>#N/A</v>
      </c>
      <c r="V628" s="5" t="e">
        <f ca="1">IF(OR(INDEX($AI$2:$AI$1001,MATCH(ROWS($AH$2:AH628),$AH$2:$AH$1001,0),1)&gt;=100000,INDEX($AO$1005:$BQ$1005,1,MATCH(COLUMNS($AO$1006:BI1006),$AO$1006:$BQ$1006,0))&gt;=100000), " ",IF(INDEX($AO$2:$BQ$1001,MATCH(ROWS($AH$2:AH628),$AH$2:$AH$1001,0),MATCH(COLUMNS($AO$1006:BI1006),$AO$1006:$BQ$1006,0)), HYPERLINK("#",""), HYPERLINK(CONCATENATE("#Metadata!", ADDRESS(INDEX($AJ$2:$AJ$1001,MATCH(ROWS($AH$2:AH628),$AH$2:$AH$1001,0),0), INDEX($AO$1004:$BQ$1004,1,MATCH(COLUMNS($AO$1006:BI1006),$AO$1006:$BQ$1006,0)))),"Fix")))</f>
        <v>#N/A</v>
      </c>
      <c r="W628" s="5" t="e">
        <f ca="1">IF(OR(INDEX($AI$2:$AI$1001,MATCH(ROWS($AH$2:AH628),$AH$2:$AH$1001,0),1)&gt;=100000,INDEX($AO$1005:$BQ$1005,1,MATCH(COLUMNS($AO$1006:BJ1006),$AO$1006:$BQ$1006,0))&gt;=100000), " ",IF(INDEX($AO$2:$BQ$1001,MATCH(ROWS($AH$2:AH628),$AH$2:$AH$1001,0),MATCH(COLUMNS($AO$1006:BJ1006),$AO$1006:$BQ$1006,0)), HYPERLINK("#",""), HYPERLINK(CONCATENATE("#Metadata!", ADDRESS(INDEX($AJ$2:$AJ$1001,MATCH(ROWS($AH$2:AH628),$AH$2:$AH$1001,0),0), INDEX($AO$1004:$BQ$1004,1,MATCH(COLUMNS($AO$1006:BJ1006),$AO$1006:$BQ$1006,0)))),"Fix")))</f>
        <v>#N/A</v>
      </c>
      <c r="X628" s="5" t="e">
        <f ca="1">IF(OR(INDEX($AI$2:$AI$1001,MATCH(ROWS($AH$2:AH628),$AH$2:$AH$1001,0),1)&gt;=100000,INDEX($AO$1005:$BQ$1005,1,MATCH(COLUMNS($AO$1006:BK1006),$AO$1006:$BQ$1006,0))&gt;=100000), " ",IF(INDEX($AO$2:$BQ$1001,MATCH(ROWS($AH$2:AH628),$AH$2:$AH$1001,0),MATCH(COLUMNS($AO$1006:BK1006),$AO$1006:$BQ$1006,0)), HYPERLINK("#",""), HYPERLINK(CONCATENATE("#Metadata!", ADDRESS(INDEX($AJ$2:$AJ$1001,MATCH(ROWS($AH$2:AH628),$AH$2:$AH$1001,0),0), INDEX($AO$1004:$BQ$1004,1,MATCH(COLUMNS($AO$1006:BK1006),$AO$1006:$BQ$1006,0)))),"Fix")))</f>
        <v>#N/A</v>
      </c>
      <c r="Y628" s="5" t="e">
        <f ca="1">IF(OR(INDEX($AI$2:$AI$1001,MATCH(ROWS($AH$2:AH628),$AH$2:$AH$1001,0),1)&gt;=100000,INDEX($AO$1005:$BQ$1005,1,MATCH(COLUMNS($AO$1006:BL1006),$AO$1006:$BQ$1006,0))&gt;=100000), " ",IF(INDEX($AO$2:$BQ$1001,MATCH(ROWS($AH$2:AH628),$AH$2:$AH$1001,0),MATCH(COLUMNS($AO$1006:BL1006),$AO$1006:$BQ$1006,0)), HYPERLINK("#",""), HYPERLINK(CONCATENATE("#Metadata!", ADDRESS(INDEX($AJ$2:$AJ$1001,MATCH(ROWS($AH$2:AH628),$AH$2:$AH$1001,0),0), INDEX($AO$1004:$BQ$1004,1,MATCH(COLUMNS($AO$1006:BL1006),$AO$1006:$BQ$1006,0)))),"Fix")))</f>
        <v>#N/A</v>
      </c>
      <c r="Z628" s="5" t="e">
        <f ca="1">IF(OR(INDEX($AI$2:$AI$1001,MATCH(ROWS($AH$2:AH628),$AH$2:$AH$1001,0),1)&gt;=100000,INDEX($AO$1005:$BQ$1005,1,MATCH(COLUMNS($AO$1006:BM1006),$AO$1006:$BQ$1006,0))&gt;=100000), " ",IF(INDEX($AO$2:$BQ$1001,MATCH(ROWS($AH$2:AH628),$AH$2:$AH$1001,0),MATCH(COLUMNS($AO$1006:BM1006),$AO$1006:$BQ$1006,0)), HYPERLINK("#",""), HYPERLINK(CONCATENATE("#Metadata!", ADDRESS(INDEX($AJ$2:$AJ$1001,MATCH(ROWS($AH$2:AH628),$AH$2:$AH$1001,0),0), INDEX($AO$1004:$BQ$1004,1,MATCH(COLUMNS($AO$1006:BM1006),$AO$1006:$BQ$1006,0)))),"Fix")))</f>
        <v>#N/A</v>
      </c>
      <c r="AA628" s="5" t="e">
        <f ca="1">IF(OR(INDEX($AI$2:$AI$1001,MATCH(ROWS($AH$2:AH628),$AH$2:$AH$1001,0),1)&gt;=100000,INDEX($AO$1005:$BQ$1005,1,MATCH(COLUMNS($AO$1006:BN1006),$AO$1006:$BQ$1006,0))&gt;=100000), " ",IF(INDEX($AO$2:$BQ$1001,MATCH(ROWS($AH$2:AH628),$AH$2:$AH$1001,0),MATCH(COLUMNS($AO$1006:BN1006),$AO$1006:$BQ$1006,0)), HYPERLINK("#",""), HYPERLINK(CONCATENATE("#Metadata!", ADDRESS(INDEX($AJ$2:$AJ$1001,MATCH(ROWS($AH$2:AH628),$AH$2:$AH$1001,0),0), INDEX($AO$1004:$BQ$1004,1,MATCH(COLUMNS($AO$1006:BN1006),$AO$1006:$BQ$1006,0)))),"Fix")))</f>
        <v>#N/A</v>
      </c>
      <c r="AB628" s="5" t="e">
        <f ca="1">IF(OR(INDEX($AI$2:$AI$1001,MATCH(ROWS($AH$2:AH628),$AH$2:$AH$1001,0),1)&gt;=100000,INDEX($AO$1005:$BQ$1005,1,MATCH(COLUMNS($AO$1006:BO1006),$AO$1006:$BQ$1006,0))&gt;=100000), " ",IF(INDEX($AO$2:$BQ$1001,MATCH(ROWS($AH$2:AH628),$AH$2:$AH$1001,0),MATCH(COLUMNS($AO$1006:BO1006),$AO$1006:$BQ$1006,0)), HYPERLINK("#",""), HYPERLINK(CONCATENATE("#Metadata!", ADDRESS(INDEX($AJ$2:$AJ$1001,MATCH(ROWS($AH$2:AH628),$AH$2:$AH$1001,0),0), INDEX($AO$1004:$BQ$1004,1,MATCH(COLUMNS($AO$1006:BO1006),$AO$1006:$BQ$1006,0)))),"Fix")))</f>
        <v>#N/A</v>
      </c>
      <c r="AC628" s="5" t="e">
        <f ca="1">IF(OR(INDEX($AI$2:$AI$1001,MATCH(ROWS($AH$2:AH628),$AH$2:$AH$1001,0),1)&gt;=100000,INDEX($AO$1005:$BQ$1005,1,MATCH(COLUMNS($AO$1006:BP1006),$AO$1006:$BQ$1006,0))&gt;=100000), " ",IF(INDEX($AO$2:$BQ$1001,MATCH(ROWS($AH$2:AH628),$AH$2:$AH$1001,0),MATCH(COLUMNS($AO$1006:BP1006),$AO$1006:$BQ$1006,0)), HYPERLINK("#",""), HYPERLINK(CONCATENATE("#Metadata!", ADDRESS(INDEX($AJ$2:$AJ$1001,MATCH(ROWS($AH$2:AH628),$AH$2:$AH$1001,0),0), INDEX($AO$1004:$BQ$1004,1,MATCH(COLUMNS($AO$1006:BP1006),$AO$1006:$BQ$1006,0)))),"Fix")))</f>
        <v>#N/A</v>
      </c>
      <c r="AD628" s="5" t="e">
        <f ca="1">IF(OR(INDEX($AI$2:$AI$1001,MATCH(ROWS($AH$2:AH628),$AH$2:$AH$1001,0),1)&gt;=100000,INDEX($AO$1005:$BQ$1005,1,MATCH(COLUMNS($AO$1006:BQ1006),$AO$1006:$BQ$1006,0))&gt;=100000), " ",IF(INDEX($AO$2:$BQ$1001,MATCH(ROWS($AH$2:AH628),$AH$2:$AH$1001,0),MATCH(COLUMNS($AO$1006:BQ1006),$AO$1006:$BQ$1006,0)), HYPERLINK("#",""), HYPERLINK(CONCATENATE("#Metadata!", ADDRESS(INDEX($AJ$2:$AJ$1001,MATCH(ROWS($AH$2:AH628),$AH$2:$AH$1001,0),0), INDEX($AO$1004:$BQ$1004,1,MATCH(COLUMNS($AO$1006:BQ1006),$AO$1006:$BQ$1006,0)))),"Fix")))</f>
        <v>#REF!</v>
      </c>
      <c r="AH628">
        <f ca="1"/>
        <v>625</v>
      </c>
      <c r="AI628">
        <v>100628</v>
      </c>
      <c r="AJ628">
        <v>628</v>
      </c>
      <c r="AK628" t="b">
        <f t="shared" si="9"/>
        <v>1</v>
      </c>
      <c r="AL628" t="b">
        <f>COUNTBLANK(Metadata!B628:AD628)=COLUMNS(Metadata!B628:AD628)</f>
        <v>1</v>
      </c>
      <c r="AM628" t="str">
        <v/>
      </c>
      <c r="AO628" t="b">
        <f ca="1">AND(IF(Metadata!B628="",FALSE,TRUE),COUNTIF(Metadata!B:B, Metadata!B628) = 1,NOT(ISERROR(SUMPRODUCT(SEARCH(MID(Metadata!B628,ROW(INDIRECT("1:"&amp;LEN(Metadata!B628))), 1),"0123456789abcdefghijklmnopqrstuvwxyzABCDEFGHIJKLMNOPQRSTUVWXYZ.")))))</f>
        <v>0</v>
      </c>
      <c r="AP628" t="b">
        <f>IF(Metadata!C628="",FALSE,TRUE)</f>
        <v>0</v>
      </c>
      <c r="AQ628" t="b">
        <f>IF(Metadata!D628="",FALSE,TRUE)</f>
        <v>0</v>
      </c>
      <c r="AR628" t="b">
        <f ca="1">OR(AND(IF(Metadata!E628="",FALSE,TRUE),OR(EXACT(Metadata!E628,"not collected"),EXACT(Metadata!E628,"not provided"),EXACT(Metadata!E628,"restricted access"))),AND(IF(Metadata!E628="",FALSE,TRUE),AND(AND(IFERROR(INT(LEFT(Metadata!E628,4))&gt;1900,FALSE),IFERROR(INT(LEFT(Metadata!E628,4))&lt;=YEAR(NOW()),FALSE)), OR(MID(Metadata!E628,5,1)="", AND(AND(MID(Metadata!E628,5,1)="-",IFERROR(INT(MID(Metadata!E628,6,1))&gt;=0,FALSE),IFERROR(INT(MID(Metadata!E628,6,1))&lt;=1,FALSE),NOT(MID(Metadata!E628,7,1)=""),IFERROR(INT(MID(Metadata!E628,6,2))&gt;=1,FALSE),IFERROR(INT(MID(Metadata!E628,6,2))&lt;=12,FALSE)), OR(MID(Metadata!E628,8,1)="", AND(AND(MID(Metadata!E628,8,1)="-",IFERROR(INT(MID(Metadata!E628,9,1))&gt;=0,FALSE),IFERROR(INT(MID(Metadata!E628,9,1))&lt;=3,FALSE),NOT(MID(Metadata!E628,10,1)=""),IFERROR(INT(MID(Metadata!E628,9,2))&gt;=1,FALSE),IFERROR(INT(MID(Metadata!E628,9,2))&lt;=31,FALSE)), OR(MID(Metadata!E628,11,1)="", AND(AND(MID(Metadata!E628,11,1)=" ",IFERROR(INT(MID(Metadata!E628,12,1))&gt;=0,FALSE),IFERROR(INT(MID(Metadata!E628,12,1))&lt;=2,FALSE),NOT(MID(Metadata!E628,13,1)=""),IFERROR(INT(MID(Metadata!E628,12,2))&gt;=0,FALSE),IFERROR(INT(MID(Metadata!E628,12,2))&lt;=23,FALSE)), OR(MID(Metadata!E628,14,1)="", AND(AND(MID(Metadata!E628,14,1)=":",IFERROR(INT(MID(Metadata!E628,15,1))&gt;=0,FALSE),IFERROR(INT(MID(Metadata!E628,15,1))&lt;=5,FALSE),NOT(MID(Metadata!E628,16,1)=""),IFERROR(INT(MID(Metadata!E628,15,2))&gt;=0,FALSE),IFERROR(INT(MID(Metadata!E628,15,2))&lt;=59,FALSE)), OR(MID(Metadata!E628,17,1)="", AND(AND(MID(Metadata!E628,17,1)=":",IFERROR(INT(MID(Metadata!E628,18,1))&gt;=0,FALSE),IFERROR(INT(MID(Metadata!E628,18,1))&lt;=5,FALSE),NOT(MID(Metadata!E628,19,1)=""),IFERROR(INT(MID(Metadata!E628,18,2))&gt;=0,FALSE),IFERROR(INT(MID(Metadata!E628,18,2))&lt;=59,FALSE)), LEN(Metadata!E628)&lt;=19)))))))))))))</f>
        <v>0</v>
      </c>
      <c r="AS628" t="b">
        <f>IF(Metadata!F628="",FALSE,TRUE)</f>
        <v>0</v>
      </c>
      <c r="AT628" t="b">
        <f>OR(AND(IF(Metadata!G628="",FALSE,TRUE),OR(EXACT(Metadata!G628,"not collected"),EXACT(Metadata!G628,"not provided"))),AND(IF(Metadata!G628="",FALSE,TRUE),OR(EXACT(Metadata!G628,"TRUE"),EXACT(Metadata!G628,"FALSE"))))</f>
        <v>0</v>
      </c>
      <c r="AU628" t="b">
        <f>OR(AND(IF(Metadata!H628="",FALSE,TRUE),OR(EXACT(Metadata!H628,"not collected"),EXACT(Metadata!H628,"not provided"),EXACT(Metadata!H628,"restricted access"))),AND(IF(Metadata!H628="",FALSE,ISNUMBER(VALUE(Metadata!H628))),Metadata!H628&gt;=-413))</f>
        <v>0</v>
      </c>
      <c r="AV628" t="b">
        <f>AND(IF(Metadata!I628="",FALSE,TRUE),EXACT(Metadata!I628,"meters"))</f>
        <v>0</v>
      </c>
      <c r="AW628" t="b">
        <f>AND(IF(Metadata!J628="",FALSE,TRUE),EXACT(Metadata!J628,"free-living"))</f>
        <v>0</v>
      </c>
      <c r="AX628" t="b">
        <f>AND(IF(Metadata!K628="",FALSE,TRUE),OR(EXACT(Metadata!K628,"saline"),EXACT(Metadata!K628,"non-saline")))</f>
        <v>0</v>
      </c>
      <c r="AY628" t="b">
        <f>AND(IF(Metadata!L628="",FALSE,TRUE),OR(EXACT(Metadata!L628,"sub-surface (non-saline)"),EXACT(Metadata!L628,"surface (non-saline)"),EXACT(Metadata!L628,"water (non-saline)"),EXACT(Metadata!L628,"soil (non-saline)"),EXACT(Metadata!L628,"aerosol (non-saline)"),EXACT(Metadata!L628,"sediment (non-saline)"),EXACT(Metadata!L628,"surface (saline)"),EXACT(Metadata!L628,"water (saline)"),EXACT(Metadata!L628,"hypersaline (saline)"),EXACT(Metadata!L628,"aerosol (saline)"),EXACT(Metadata!L628,"sediment (saline)")))</f>
        <v>0</v>
      </c>
      <c r="AZ628" t="b">
        <f>IF(Metadata!M628="",FALSE,TRUE)</f>
        <v>0</v>
      </c>
      <c r="BA628" t="b">
        <f>IF(Metadata!N628="",FALSE,TRUE)</f>
        <v>0</v>
      </c>
      <c r="BB628" t="b">
        <f>IF(Metadata!O628="",FALSE,TRUE)</f>
        <v>0</v>
      </c>
      <c r="BC628" t="b">
        <f>AND(IF(Metadata!P628="",FALSE,TRUE),OR(EXACT(Metadata!P628,"air"),EXACT(Metadata!P628,"microbial mat/biofilm"),EXACT(Metadata!P628,"misc environment"),EXACT(Metadata!P628,"sediment"),EXACT(Metadata!P628,"soil"),EXACT(Metadata!P628,"wastewater/sludge"),EXACT(Metadata!P628,"water")))</f>
        <v>0</v>
      </c>
      <c r="BD628" t="b">
        <f>IF(Metadata!Q628="",FALSE,TRUE)</f>
        <v>0</v>
      </c>
      <c r="BE628" t="b">
        <f>IF(Metadata!R628="",FALSE,TRUE)</f>
        <v>0</v>
      </c>
      <c r="BF628" t="b">
        <f>OR(AND(IF(Metadata!S628="",FALSE,TRUE),OR(EXACT(Metadata!S628,"not collected"),EXACT(Metadata!S628,"not provided"),EXACT(Metadata!S628,"restricted access"))),AND(IF(Metadata!S628="",FALSE,ISNUMBER(VALUE(Metadata!S628))),Metadata!S628&gt;=-90,Metadata!S628&lt;=90))</f>
        <v>0</v>
      </c>
      <c r="BG628" t="b">
        <f>AND(IF(Metadata!T628="",FALSE,TRUE),EXACT(Metadata!T628,"Decimal degrees"))</f>
        <v>0</v>
      </c>
      <c r="BH628" t="b">
        <f>OR(AND(IF(Metadata!U628="",FALSE,TRUE),OR(EXACT(Metadata!U628,"not applicable"),EXACT(Metadata!U628,"not collected"))),IF(Metadata!U628="",FALSE,TRUE))</f>
        <v>0</v>
      </c>
      <c r="BI628" t="b">
        <f>OR(AND(IF(Metadata!V628="",FALSE,TRUE),OR(EXACT(Metadata!V628,"not collected"),EXACT(Metadata!V628,"not provided"),EXACT(Metadata!V628,"restricted access"))),AND(IF(Metadata!V628="",FALSE,ISNUMBER(VALUE(Metadata!V628))),Metadata!V628&gt;=-180,Metadata!V628&lt;=180))</f>
        <v>0</v>
      </c>
      <c r="BJ628" t="b">
        <f>AND(IF(Metadata!W628="",FALSE,TRUE),EXACT(Metadata!W628,"Decimal degrees"))</f>
        <v>0</v>
      </c>
      <c r="BK628" t="b">
        <f>IF(Metadata!X628="",FALSE,TRUE)</f>
        <v>0</v>
      </c>
      <c r="BL628" t="b">
        <f>OR(AND(IF(Metadata!Y628="",FALSE,TRUE),OR(EXACT(Metadata!Y628,"not collected"),EXACT(Metadata!Y628,"not provided"),EXACT(Metadata!Y628,"restricted access"))),AND(IF(Metadata!Y628="",FALSE,TRUE),OR(EXACT(Metadata!Y628,"TRUE"),EXACT(Metadata!Y628,"FALSE"))))</f>
        <v>0</v>
      </c>
      <c r="BM628" t="b">
        <f>OR(AND(IF(Metadata!Z628="",FALSE,TRUE),EXACT(Metadata!Z628,"not applicable")),AND(IF(Metadata!Z628="",FALSE,TRUE),OR(EXACT(Metadata!Z628,"beer"),EXACT(Metadata!Z628,"cheese"),EXACT(Metadata!Z628,"fresh water"),EXACT(Metadata!Z628,"marine sediment"),EXACT(Metadata!Z628,"sea water"),EXACT(Metadata!Z628,"sediment"),EXACT(Metadata!Z628,"soil"),EXACT(Metadata!Z628,"waste water"))))</f>
        <v>0</v>
      </c>
      <c r="BN628" t="b">
        <f>AND(IF(Metadata!AA628="",FALSE,TRUE),EXACT(Metadata!AA628,"metagenome"))</f>
        <v>0</v>
      </c>
      <c r="BO628" t="b">
        <f>AND(IF(Metadata!AB628="",FALSE,TRUE),EXACT(Metadata!AB628,"256318"))</f>
        <v>0</v>
      </c>
      <c r="BP628" t="b">
        <f>IF(Metadata!AC628="",FALSE,TRUE)</f>
        <v>0</v>
      </c>
      <c r="BQ628" t="b">
        <f>IF(Metadata!AD628="",FALSE,TRUE)</f>
        <v>0</v>
      </c>
    </row>
    <row r="629" spans="1:69" x14ac:dyDescent="0.2">
      <c r="A629" s="4" t="e">
        <f ca="1">IF(B629=" "," ",HYPERLINK(CONCATENATE("#metadata!",ADDRESS(INDEX($AJ$2:$AJ$1001,MATCH(ROWS($AH$2:AH629),$AH$2:$AH$1001,0),0),2)),INDEX($AM$2:$AM$1001,MATCH(ROWS($AH$2:AH629),$AH$2:$AH$1001,0),0)))</f>
        <v>#N/A</v>
      </c>
      <c r="B629" s="5" t="e">
        <f ca="1">IF(OR(INDEX($AI$2:$AI$1001,MATCH(ROWS($AH$2:AH629),$AH$2:$AH$1001,0),1)&gt;=100000,INDEX($AO$1005:$BQ$1005,1,MATCH(COLUMNS($AO$1006:AO1006),$AO$1006:$BQ$1006,0))&gt;=100000), " ",IF(INDEX($AO$2:$BQ$1001,MATCH(ROWS($AH$2:AH629),$AH$2:$AH$1001,0),MATCH(COLUMNS($AO$1006:AO1006),$AO$1006:$BQ$1006,0)), HYPERLINK("#",""), HYPERLINK(CONCATENATE("#Metadata!", ADDRESS(INDEX($AJ$2:$AJ$1001,MATCH(ROWS($AH$2:AH629),$AH$2:$AH$1001,0),0), INDEX($AO$1004:$BQ$1004,1,MATCH(COLUMNS($AO$1006:AO1006),$AO$1006:$BQ$1006,0)))),"Fix")))</f>
        <v>#N/A</v>
      </c>
      <c r="C629" s="5" t="e">
        <f ca="1">IF(OR(INDEX($AI$2:$AI$1001,MATCH(ROWS($AH$2:AH629),$AH$2:$AH$1001,0),1)&gt;=100000,INDEX($AO$1005:$BQ$1005,1,MATCH(COLUMNS($AO$1006:AP1006),$AO$1006:$BQ$1006,0))&gt;=100000), " ",IF(INDEX($AO$2:$BQ$1001,MATCH(ROWS($AH$2:AH629),$AH$2:$AH$1001,0),MATCH(COLUMNS($AO$1006:AP1006),$AO$1006:$BQ$1006,0)), HYPERLINK("#",""), HYPERLINK(CONCATENATE("#Metadata!", ADDRESS(INDEX($AJ$2:$AJ$1001,MATCH(ROWS($AH$2:AH629),$AH$2:$AH$1001,0),0), INDEX($AO$1004:$BQ$1004,1,MATCH(COLUMNS($AO$1006:AP1006),$AO$1006:$BQ$1006,0)))),"Fix")))</f>
        <v>#N/A</v>
      </c>
      <c r="D629" s="5" t="e">
        <f ca="1">IF(OR(INDEX($AI$2:$AI$1001,MATCH(ROWS($AH$2:AH629),$AH$2:$AH$1001,0),1)&gt;=100000,INDEX($AO$1005:$BQ$1005,1,MATCH(COLUMNS($AO$1006:AQ1006),$AO$1006:$BQ$1006,0))&gt;=100000), " ",IF(INDEX($AO$2:$BQ$1001,MATCH(ROWS($AH$2:AH629),$AH$2:$AH$1001,0),MATCH(COLUMNS($AO$1006:AQ1006),$AO$1006:$BQ$1006,0)), HYPERLINK("#",""), HYPERLINK(CONCATENATE("#Metadata!", ADDRESS(INDEX($AJ$2:$AJ$1001,MATCH(ROWS($AH$2:AH629),$AH$2:$AH$1001,0),0), INDEX($AO$1004:$BQ$1004,1,MATCH(COLUMNS($AO$1006:AQ1006),$AO$1006:$BQ$1006,0)))),"Fix")))</f>
        <v>#N/A</v>
      </c>
      <c r="E629" s="5" t="e">
        <f ca="1">IF(OR(INDEX($AI$2:$AI$1001,MATCH(ROWS($AH$2:AH629),$AH$2:$AH$1001,0),1)&gt;=100000,INDEX($AO$1005:$BQ$1005,1,MATCH(COLUMNS($AO$1006:AR1006),$AO$1006:$BQ$1006,0))&gt;=100000), " ",IF(INDEX($AO$2:$BQ$1001,MATCH(ROWS($AH$2:AH629),$AH$2:$AH$1001,0),MATCH(COLUMNS($AO$1006:AR1006),$AO$1006:$BQ$1006,0)), HYPERLINK("#",""), HYPERLINK(CONCATENATE("#Metadata!", ADDRESS(INDEX($AJ$2:$AJ$1001,MATCH(ROWS($AH$2:AH629),$AH$2:$AH$1001,0),0), INDEX($AO$1004:$BQ$1004,1,MATCH(COLUMNS($AO$1006:AR1006),$AO$1006:$BQ$1006,0)))),"Fix")))</f>
        <v>#N/A</v>
      </c>
      <c r="F629" s="5" t="e">
        <f ca="1">IF(OR(INDEX($AI$2:$AI$1001,MATCH(ROWS($AH$2:AH629),$AH$2:$AH$1001,0),1)&gt;=100000,INDEX($AO$1005:$BQ$1005,1,MATCH(COLUMNS($AO$1006:AS1006),$AO$1006:$BQ$1006,0))&gt;=100000), " ",IF(INDEX($AO$2:$BQ$1001,MATCH(ROWS($AH$2:AH629),$AH$2:$AH$1001,0),MATCH(COLUMNS($AO$1006:AS1006),$AO$1006:$BQ$1006,0)), HYPERLINK("#",""), HYPERLINK(CONCATENATE("#Metadata!", ADDRESS(INDEX($AJ$2:$AJ$1001,MATCH(ROWS($AH$2:AH629),$AH$2:$AH$1001,0),0), INDEX($AO$1004:$BQ$1004,1,MATCH(COLUMNS($AO$1006:AS1006),$AO$1006:$BQ$1006,0)))),"Fix")))</f>
        <v>#N/A</v>
      </c>
      <c r="G629" s="5" t="e">
        <f ca="1">IF(OR(INDEX($AI$2:$AI$1001,MATCH(ROWS($AH$2:AH629),$AH$2:$AH$1001,0),1)&gt;=100000,INDEX($AO$1005:$BQ$1005,1,MATCH(COLUMNS($AO$1006:AT1006),$AO$1006:$BQ$1006,0))&gt;=100000), " ",IF(INDEX($AO$2:$BQ$1001,MATCH(ROWS($AH$2:AH629),$AH$2:$AH$1001,0),MATCH(COLUMNS($AO$1006:AT1006),$AO$1006:$BQ$1006,0)), HYPERLINK("#",""), HYPERLINK(CONCATENATE("#Metadata!", ADDRESS(INDEX($AJ$2:$AJ$1001,MATCH(ROWS($AH$2:AH629),$AH$2:$AH$1001,0),0), INDEX($AO$1004:$BQ$1004,1,MATCH(COLUMNS($AO$1006:AT1006),$AO$1006:$BQ$1006,0)))),"Fix")))</f>
        <v>#N/A</v>
      </c>
      <c r="H629" s="5" t="e">
        <f ca="1">IF(OR(INDEX($AI$2:$AI$1001,MATCH(ROWS($AH$2:AH629),$AH$2:$AH$1001,0),1)&gt;=100000,INDEX($AO$1005:$BQ$1005,1,MATCH(COLUMNS($AO$1006:AU1006),$AO$1006:$BQ$1006,0))&gt;=100000), " ",IF(INDEX($AO$2:$BQ$1001,MATCH(ROWS($AH$2:AH629),$AH$2:$AH$1001,0),MATCH(COLUMNS($AO$1006:AU1006),$AO$1006:$BQ$1006,0)), HYPERLINK("#",""), HYPERLINK(CONCATENATE("#Metadata!", ADDRESS(INDEX($AJ$2:$AJ$1001,MATCH(ROWS($AH$2:AH629),$AH$2:$AH$1001,0),0), INDEX($AO$1004:$BQ$1004,1,MATCH(COLUMNS($AO$1006:AU1006),$AO$1006:$BQ$1006,0)))),"Fix")))</f>
        <v>#N/A</v>
      </c>
      <c r="I629" s="5" t="e">
        <f ca="1">IF(OR(INDEX($AI$2:$AI$1001,MATCH(ROWS($AH$2:AH629),$AH$2:$AH$1001,0),1)&gt;=100000,INDEX($AO$1005:$BQ$1005,1,MATCH(COLUMNS($AO$1006:AV1006),$AO$1006:$BQ$1006,0))&gt;=100000), " ",IF(INDEX($AO$2:$BQ$1001,MATCH(ROWS($AH$2:AH629),$AH$2:$AH$1001,0),MATCH(COLUMNS($AO$1006:AV1006),$AO$1006:$BQ$1006,0)), HYPERLINK("#",""), HYPERLINK(CONCATENATE("#Metadata!", ADDRESS(INDEX($AJ$2:$AJ$1001,MATCH(ROWS($AH$2:AH629),$AH$2:$AH$1001,0),0), INDEX($AO$1004:$BQ$1004,1,MATCH(COLUMNS($AO$1006:AV1006),$AO$1006:$BQ$1006,0)))),"Fix")))</f>
        <v>#N/A</v>
      </c>
      <c r="J629" s="5" t="e">
        <f ca="1">IF(OR(INDEX($AI$2:$AI$1001,MATCH(ROWS($AH$2:AH629),$AH$2:$AH$1001,0),1)&gt;=100000,INDEX($AO$1005:$BQ$1005,1,MATCH(COLUMNS($AO$1006:AW1006),$AO$1006:$BQ$1006,0))&gt;=100000), " ",IF(INDEX($AO$2:$BQ$1001,MATCH(ROWS($AH$2:AH629),$AH$2:$AH$1001,0),MATCH(COLUMNS($AO$1006:AW1006),$AO$1006:$BQ$1006,0)), HYPERLINK("#",""), HYPERLINK(CONCATENATE("#Metadata!", ADDRESS(INDEX($AJ$2:$AJ$1001,MATCH(ROWS($AH$2:AH629),$AH$2:$AH$1001,0),0), INDEX($AO$1004:$BQ$1004,1,MATCH(COLUMNS($AO$1006:AW1006),$AO$1006:$BQ$1006,0)))),"Fix")))</f>
        <v>#N/A</v>
      </c>
      <c r="K629" s="5" t="e">
        <f ca="1">IF(OR(INDEX($AI$2:$AI$1001,MATCH(ROWS($AH$2:AH629),$AH$2:$AH$1001,0),1)&gt;=100000,INDEX($AO$1005:$BQ$1005,1,MATCH(COLUMNS($AO$1006:AX1006),$AO$1006:$BQ$1006,0))&gt;=100000), " ",IF(INDEX($AO$2:$BQ$1001,MATCH(ROWS($AH$2:AH629),$AH$2:$AH$1001,0),MATCH(COLUMNS($AO$1006:AX1006),$AO$1006:$BQ$1006,0)), HYPERLINK("#",""), HYPERLINK(CONCATENATE("#Metadata!", ADDRESS(INDEX($AJ$2:$AJ$1001,MATCH(ROWS($AH$2:AH629),$AH$2:$AH$1001,0),0), INDEX($AO$1004:$BQ$1004,1,MATCH(COLUMNS($AO$1006:AX1006),$AO$1006:$BQ$1006,0)))),"Fix")))</f>
        <v>#N/A</v>
      </c>
      <c r="L629" s="5" t="e">
        <f ca="1">IF(OR(INDEX($AI$2:$AI$1001,MATCH(ROWS($AH$2:AH629),$AH$2:$AH$1001,0),1)&gt;=100000,INDEX($AO$1005:$BQ$1005,1,MATCH(COLUMNS($AO$1006:AY1006),$AO$1006:$BQ$1006,0))&gt;=100000), " ",IF(INDEX($AO$2:$BQ$1001,MATCH(ROWS($AH$2:AH629),$AH$2:$AH$1001,0),MATCH(COLUMNS($AO$1006:AY1006),$AO$1006:$BQ$1006,0)), HYPERLINK("#",""), HYPERLINK(CONCATENATE("#Metadata!", ADDRESS(INDEX($AJ$2:$AJ$1001,MATCH(ROWS($AH$2:AH629),$AH$2:$AH$1001,0),0), INDEX($AO$1004:$BQ$1004,1,MATCH(COLUMNS($AO$1006:AY1006),$AO$1006:$BQ$1006,0)))),"Fix")))</f>
        <v>#N/A</v>
      </c>
      <c r="M629" s="5" t="e">
        <f ca="1">IF(OR(INDEX($AI$2:$AI$1001,MATCH(ROWS($AH$2:AH629),$AH$2:$AH$1001,0),1)&gt;=100000,INDEX($AO$1005:$BQ$1005,1,MATCH(COLUMNS($AO$1006:AZ1006),$AO$1006:$BQ$1006,0))&gt;=100000), " ",IF(INDEX($AO$2:$BQ$1001,MATCH(ROWS($AH$2:AH629),$AH$2:$AH$1001,0),MATCH(COLUMNS($AO$1006:AZ1006),$AO$1006:$BQ$1006,0)), HYPERLINK("#",""), HYPERLINK(CONCATENATE("#Metadata!", ADDRESS(INDEX($AJ$2:$AJ$1001,MATCH(ROWS($AH$2:AH629),$AH$2:$AH$1001,0),0), INDEX($AO$1004:$BQ$1004,1,MATCH(COLUMNS($AO$1006:AZ1006),$AO$1006:$BQ$1006,0)))),"Fix")))</f>
        <v>#N/A</v>
      </c>
      <c r="N629" s="5" t="e">
        <f ca="1">IF(OR(INDEX($AI$2:$AI$1001,MATCH(ROWS($AH$2:AH629),$AH$2:$AH$1001,0),1)&gt;=100000,INDEX($AO$1005:$BQ$1005,1,MATCH(COLUMNS($AO$1006:BA1006),$AO$1006:$BQ$1006,0))&gt;=100000), " ",IF(INDEX($AO$2:$BQ$1001,MATCH(ROWS($AH$2:AH629),$AH$2:$AH$1001,0),MATCH(COLUMNS($AO$1006:BA1006),$AO$1006:$BQ$1006,0)), HYPERLINK("#",""), HYPERLINK(CONCATENATE("#Metadata!", ADDRESS(INDEX($AJ$2:$AJ$1001,MATCH(ROWS($AH$2:AH629),$AH$2:$AH$1001,0),0), INDEX($AO$1004:$BQ$1004,1,MATCH(COLUMNS($AO$1006:BA1006),$AO$1006:$BQ$1006,0)))),"Fix")))</f>
        <v>#N/A</v>
      </c>
      <c r="O629" s="5" t="e">
        <f ca="1">IF(OR(INDEX($AI$2:$AI$1001,MATCH(ROWS($AH$2:AH629),$AH$2:$AH$1001,0),1)&gt;=100000,INDEX($AO$1005:$BQ$1005,1,MATCH(COLUMNS($AO$1006:BB1006),$AO$1006:$BQ$1006,0))&gt;=100000), " ",IF(INDEX($AO$2:$BQ$1001,MATCH(ROWS($AH$2:AH629),$AH$2:$AH$1001,0),MATCH(COLUMNS($AO$1006:BB1006),$AO$1006:$BQ$1006,0)), HYPERLINK("#",""), HYPERLINK(CONCATENATE("#Metadata!", ADDRESS(INDEX($AJ$2:$AJ$1001,MATCH(ROWS($AH$2:AH629),$AH$2:$AH$1001,0),0), INDEX($AO$1004:$BQ$1004,1,MATCH(COLUMNS($AO$1006:BB1006),$AO$1006:$BQ$1006,0)))),"Fix")))</f>
        <v>#N/A</v>
      </c>
      <c r="P629" s="5" t="e">
        <f ca="1">IF(OR(INDEX($AI$2:$AI$1001,MATCH(ROWS($AH$2:AH629),$AH$2:$AH$1001,0),1)&gt;=100000,INDEX($AO$1005:$BQ$1005,1,MATCH(COLUMNS($AO$1006:BC1006),$AO$1006:$BQ$1006,0))&gt;=100000), " ",IF(INDEX($AO$2:$BQ$1001,MATCH(ROWS($AH$2:AH629),$AH$2:$AH$1001,0),MATCH(COLUMNS($AO$1006:BC1006),$AO$1006:$BQ$1006,0)), HYPERLINK("#",""), HYPERLINK(CONCATENATE("#Metadata!", ADDRESS(INDEX($AJ$2:$AJ$1001,MATCH(ROWS($AH$2:AH629),$AH$2:$AH$1001,0),0), INDEX($AO$1004:$BQ$1004,1,MATCH(COLUMNS($AO$1006:BC1006),$AO$1006:$BQ$1006,0)))),"Fix")))</f>
        <v>#N/A</v>
      </c>
      <c r="Q629" s="5" t="e">
        <f ca="1">IF(OR(INDEX($AI$2:$AI$1001,MATCH(ROWS($AH$2:AH629),$AH$2:$AH$1001,0),1)&gt;=100000,INDEX($AO$1005:$BQ$1005,1,MATCH(COLUMNS($AO$1006:BD1006),$AO$1006:$BQ$1006,0))&gt;=100000), " ",IF(INDEX($AO$2:$BQ$1001,MATCH(ROWS($AH$2:AH629),$AH$2:$AH$1001,0),MATCH(COLUMNS($AO$1006:BD1006),$AO$1006:$BQ$1006,0)), HYPERLINK("#",""), HYPERLINK(CONCATENATE("#Metadata!", ADDRESS(INDEX($AJ$2:$AJ$1001,MATCH(ROWS($AH$2:AH629),$AH$2:$AH$1001,0),0), INDEX($AO$1004:$BQ$1004,1,MATCH(COLUMNS($AO$1006:BD1006),$AO$1006:$BQ$1006,0)))),"Fix")))</f>
        <v>#N/A</v>
      </c>
      <c r="R629" s="5" t="e">
        <f ca="1">IF(OR(INDEX($AI$2:$AI$1001,MATCH(ROWS($AH$2:AH629),$AH$2:$AH$1001,0),1)&gt;=100000,INDEX($AO$1005:$BQ$1005,1,MATCH(COLUMNS($AO$1006:BE1006),$AO$1006:$BQ$1006,0))&gt;=100000), " ",IF(INDEX($AO$2:$BQ$1001,MATCH(ROWS($AH$2:AH629),$AH$2:$AH$1001,0),MATCH(COLUMNS($AO$1006:BE1006),$AO$1006:$BQ$1006,0)), HYPERLINK("#",""), HYPERLINK(CONCATENATE("#Metadata!", ADDRESS(INDEX($AJ$2:$AJ$1001,MATCH(ROWS($AH$2:AH629),$AH$2:$AH$1001,0),0), INDEX($AO$1004:$BQ$1004,1,MATCH(COLUMNS($AO$1006:BE1006),$AO$1006:$BQ$1006,0)))),"Fix")))</f>
        <v>#N/A</v>
      </c>
      <c r="S629" s="5" t="e">
        <f ca="1">IF(OR(INDEX($AI$2:$AI$1001,MATCH(ROWS($AH$2:AH629),$AH$2:$AH$1001,0),1)&gt;=100000,INDEX($AO$1005:$BQ$1005,1,MATCH(COLUMNS($AO$1006:BF1006),$AO$1006:$BQ$1006,0))&gt;=100000), " ",IF(INDEX($AO$2:$BQ$1001,MATCH(ROWS($AH$2:AH629),$AH$2:$AH$1001,0),MATCH(COLUMNS($AO$1006:BF1006),$AO$1006:$BQ$1006,0)), HYPERLINK("#",""), HYPERLINK(CONCATENATE("#Metadata!", ADDRESS(INDEX($AJ$2:$AJ$1001,MATCH(ROWS($AH$2:AH629),$AH$2:$AH$1001,0),0), INDEX($AO$1004:$BQ$1004,1,MATCH(COLUMNS($AO$1006:BF1006),$AO$1006:$BQ$1006,0)))),"Fix")))</f>
        <v>#N/A</v>
      </c>
      <c r="T629" s="5" t="e">
        <f ca="1">IF(OR(INDEX($AI$2:$AI$1001,MATCH(ROWS($AH$2:AH629),$AH$2:$AH$1001,0),1)&gt;=100000,INDEX($AO$1005:$BQ$1005,1,MATCH(COLUMNS($AO$1006:BG1006),$AO$1006:$BQ$1006,0))&gt;=100000), " ",IF(INDEX($AO$2:$BQ$1001,MATCH(ROWS($AH$2:AH629),$AH$2:$AH$1001,0),MATCH(COLUMNS($AO$1006:BG1006),$AO$1006:$BQ$1006,0)), HYPERLINK("#",""), HYPERLINK(CONCATENATE("#Metadata!", ADDRESS(INDEX($AJ$2:$AJ$1001,MATCH(ROWS($AH$2:AH629),$AH$2:$AH$1001,0),0), INDEX($AO$1004:$BQ$1004,1,MATCH(COLUMNS($AO$1006:BG1006),$AO$1006:$BQ$1006,0)))),"Fix")))</f>
        <v>#N/A</v>
      </c>
      <c r="U629" s="5" t="e">
        <f ca="1">IF(OR(INDEX($AI$2:$AI$1001,MATCH(ROWS($AH$2:AH629),$AH$2:$AH$1001,0),1)&gt;=100000,INDEX($AO$1005:$BQ$1005,1,MATCH(COLUMNS($AO$1006:BH1006),$AO$1006:$BQ$1006,0))&gt;=100000), " ",IF(INDEX($AO$2:$BQ$1001,MATCH(ROWS($AH$2:AH629),$AH$2:$AH$1001,0),MATCH(COLUMNS($AO$1006:BH1006),$AO$1006:$BQ$1006,0)), HYPERLINK("#",""), HYPERLINK(CONCATENATE("#Metadata!", ADDRESS(INDEX($AJ$2:$AJ$1001,MATCH(ROWS($AH$2:AH629),$AH$2:$AH$1001,0),0), INDEX($AO$1004:$BQ$1004,1,MATCH(COLUMNS($AO$1006:BH1006),$AO$1006:$BQ$1006,0)))),"Fix")))</f>
        <v>#N/A</v>
      </c>
      <c r="V629" s="5" t="e">
        <f ca="1">IF(OR(INDEX($AI$2:$AI$1001,MATCH(ROWS($AH$2:AH629),$AH$2:$AH$1001,0),1)&gt;=100000,INDEX($AO$1005:$BQ$1005,1,MATCH(COLUMNS($AO$1006:BI1006),$AO$1006:$BQ$1006,0))&gt;=100000), " ",IF(INDEX($AO$2:$BQ$1001,MATCH(ROWS($AH$2:AH629),$AH$2:$AH$1001,0),MATCH(COLUMNS($AO$1006:BI1006),$AO$1006:$BQ$1006,0)), HYPERLINK("#",""), HYPERLINK(CONCATENATE("#Metadata!", ADDRESS(INDEX($AJ$2:$AJ$1001,MATCH(ROWS($AH$2:AH629),$AH$2:$AH$1001,0),0), INDEX($AO$1004:$BQ$1004,1,MATCH(COLUMNS($AO$1006:BI1006),$AO$1006:$BQ$1006,0)))),"Fix")))</f>
        <v>#N/A</v>
      </c>
      <c r="W629" s="5" t="e">
        <f ca="1">IF(OR(INDEX($AI$2:$AI$1001,MATCH(ROWS($AH$2:AH629),$AH$2:$AH$1001,0),1)&gt;=100000,INDEX($AO$1005:$BQ$1005,1,MATCH(COLUMNS($AO$1006:BJ1006),$AO$1006:$BQ$1006,0))&gt;=100000), " ",IF(INDEX($AO$2:$BQ$1001,MATCH(ROWS($AH$2:AH629),$AH$2:$AH$1001,0),MATCH(COLUMNS($AO$1006:BJ1006),$AO$1006:$BQ$1006,0)), HYPERLINK("#",""), HYPERLINK(CONCATENATE("#Metadata!", ADDRESS(INDEX($AJ$2:$AJ$1001,MATCH(ROWS($AH$2:AH629),$AH$2:$AH$1001,0),0), INDEX($AO$1004:$BQ$1004,1,MATCH(COLUMNS($AO$1006:BJ1006),$AO$1006:$BQ$1006,0)))),"Fix")))</f>
        <v>#N/A</v>
      </c>
      <c r="X629" s="5" t="e">
        <f ca="1">IF(OR(INDEX($AI$2:$AI$1001,MATCH(ROWS($AH$2:AH629),$AH$2:$AH$1001,0),1)&gt;=100000,INDEX($AO$1005:$BQ$1005,1,MATCH(COLUMNS($AO$1006:BK1006),$AO$1006:$BQ$1006,0))&gt;=100000), " ",IF(INDEX($AO$2:$BQ$1001,MATCH(ROWS($AH$2:AH629),$AH$2:$AH$1001,0),MATCH(COLUMNS($AO$1006:BK1006),$AO$1006:$BQ$1006,0)), HYPERLINK("#",""), HYPERLINK(CONCATENATE("#Metadata!", ADDRESS(INDEX($AJ$2:$AJ$1001,MATCH(ROWS($AH$2:AH629),$AH$2:$AH$1001,0),0), INDEX($AO$1004:$BQ$1004,1,MATCH(COLUMNS($AO$1006:BK1006),$AO$1006:$BQ$1006,0)))),"Fix")))</f>
        <v>#N/A</v>
      </c>
      <c r="Y629" s="5" t="e">
        <f ca="1">IF(OR(INDEX($AI$2:$AI$1001,MATCH(ROWS($AH$2:AH629),$AH$2:$AH$1001,0),1)&gt;=100000,INDEX($AO$1005:$BQ$1005,1,MATCH(COLUMNS($AO$1006:BL1006),$AO$1006:$BQ$1006,0))&gt;=100000), " ",IF(INDEX($AO$2:$BQ$1001,MATCH(ROWS($AH$2:AH629),$AH$2:$AH$1001,0),MATCH(COLUMNS($AO$1006:BL1006),$AO$1006:$BQ$1006,0)), HYPERLINK("#",""), HYPERLINK(CONCATENATE("#Metadata!", ADDRESS(INDEX($AJ$2:$AJ$1001,MATCH(ROWS($AH$2:AH629),$AH$2:$AH$1001,0),0), INDEX($AO$1004:$BQ$1004,1,MATCH(COLUMNS($AO$1006:BL1006),$AO$1006:$BQ$1006,0)))),"Fix")))</f>
        <v>#N/A</v>
      </c>
      <c r="Z629" s="5" t="e">
        <f ca="1">IF(OR(INDEX($AI$2:$AI$1001,MATCH(ROWS($AH$2:AH629),$AH$2:$AH$1001,0),1)&gt;=100000,INDEX($AO$1005:$BQ$1005,1,MATCH(COLUMNS($AO$1006:BM1006),$AO$1006:$BQ$1006,0))&gt;=100000), " ",IF(INDEX($AO$2:$BQ$1001,MATCH(ROWS($AH$2:AH629),$AH$2:$AH$1001,0),MATCH(COLUMNS($AO$1006:BM1006),$AO$1006:$BQ$1006,0)), HYPERLINK("#",""), HYPERLINK(CONCATENATE("#Metadata!", ADDRESS(INDEX($AJ$2:$AJ$1001,MATCH(ROWS($AH$2:AH629),$AH$2:$AH$1001,0),0), INDEX($AO$1004:$BQ$1004,1,MATCH(COLUMNS($AO$1006:BM1006),$AO$1006:$BQ$1006,0)))),"Fix")))</f>
        <v>#N/A</v>
      </c>
      <c r="AA629" s="5" t="e">
        <f ca="1">IF(OR(INDEX($AI$2:$AI$1001,MATCH(ROWS($AH$2:AH629),$AH$2:$AH$1001,0),1)&gt;=100000,INDEX($AO$1005:$BQ$1005,1,MATCH(COLUMNS($AO$1006:BN1006),$AO$1006:$BQ$1006,0))&gt;=100000), " ",IF(INDEX($AO$2:$BQ$1001,MATCH(ROWS($AH$2:AH629),$AH$2:$AH$1001,0),MATCH(COLUMNS($AO$1006:BN1006),$AO$1006:$BQ$1006,0)), HYPERLINK("#",""), HYPERLINK(CONCATENATE("#Metadata!", ADDRESS(INDEX($AJ$2:$AJ$1001,MATCH(ROWS($AH$2:AH629),$AH$2:$AH$1001,0),0), INDEX($AO$1004:$BQ$1004,1,MATCH(COLUMNS($AO$1006:BN1006),$AO$1006:$BQ$1006,0)))),"Fix")))</f>
        <v>#N/A</v>
      </c>
      <c r="AB629" s="5" t="e">
        <f ca="1">IF(OR(INDEX($AI$2:$AI$1001,MATCH(ROWS($AH$2:AH629),$AH$2:$AH$1001,0),1)&gt;=100000,INDEX($AO$1005:$BQ$1005,1,MATCH(COLUMNS($AO$1006:BO1006),$AO$1006:$BQ$1006,0))&gt;=100000), " ",IF(INDEX($AO$2:$BQ$1001,MATCH(ROWS($AH$2:AH629),$AH$2:$AH$1001,0),MATCH(COLUMNS($AO$1006:BO1006),$AO$1006:$BQ$1006,0)), HYPERLINK("#",""), HYPERLINK(CONCATENATE("#Metadata!", ADDRESS(INDEX($AJ$2:$AJ$1001,MATCH(ROWS($AH$2:AH629),$AH$2:$AH$1001,0),0), INDEX($AO$1004:$BQ$1004,1,MATCH(COLUMNS($AO$1006:BO1006),$AO$1006:$BQ$1006,0)))),"Fix")))</f>
        <v>#N/A</v>
      </c>
      <c r="AC629" s="5" t="e">
        <f ca="1">IF(OR(INDEX($AI$2:$AI$1001,MATCH(ROWS($AH$2:AH629),$AH$2:$AH$1001,0),1)&gt;=100000,INDEX($AO$1005:$BQ$1005,1,MATCH(COLUMNS($AO$1006:BP1006),$AO$1006:$BQ$1006,0))&gt;=100000), " ",IF(INDEX($AO$2:$BQ$1001,MATCH(ROWS($AH$2:AH629),$AH$2:$AH$1001,0),MATCH(COLUMNS($AO$1006:BP1006),$AO$1006:$BQ$1006,0)), HYPERLINK("#",""), HYPERLINK(CONCATENATE("#Metadata!", ADDRESS(INDEX($AJ$2:$AJ$1001,MATCH(ROWS($AH$2:AH629),$AH$2:$AH$1001,0),0), INDEX($AO$1004:$BQ$1004,1,MATCH(COLUMNS($AO$1006:BP1006),$AO$1006:$BQ$1006,0)))),"Fix")))</f>
        <v>#N/A</v>
      </c>
      <c r="AD629" s="5" t="e">
        <f ca="1">IF(OR(INDEX($AI$2:$AI$1001,MATCH(ROWS($AH$2:AH629),$AH$2:$AH$1001,0),1)&gt;=100000,INDEX($AO$1005:$BQ$1005,1,MATCH(COLUMNS($AO$1006:BQ1006),$AO$1006:$BQ$1006,0))&gt;=100000), " ",IF(INDEX($AO$2:$BQ$1001,MATCH(ROWS($AH$2:AH629),$AH$2:$AH$1001,0),MATCH(COLUMNS($AO$1006:BQ1006),$AO$1006:$BQ$1006,0)), HYPERLINK("#",""), HYPERLINK(CONCATENATE("#Metadata!", ADDRESS(INDEX($AJ$2:$AJ$1001,MATCH(ROWS($AH$2:AH629),$AH$2:$AH$1001,0),0), INDEX($AO$1004:$BQ$1004,1,MATCH(COLUMNS($AO$1006:BQ1006),$AO$1006:$BQ$1006,0)))),"Fix")))</f>
        <v>#REF!</v>
      </c>
      <c r="AH629">
        <f ca="1"/>
        <v>626</v>
      </c>
      <c r="AI629">
        <v>100629</v>
      </c>
      <c r="AJ629">
        <v>629</v>
      </c>
      <c r="AK629" t="b">
        <f t="shared" si="9"/>
        <v>1</v>
      </c>
      <c r="AL629" t="b">
        <f>COUNTBLANK(Metadata!B629:AD629)=COLUMNS(Metadata!B629:AD629)</f>
        <v>1</v>
      </c>
      <c r="AM629" t="str">
        <v/>
      </c>
      <c r="AO629" t="b">
        <f ca="1">AND(IF(Metadata!B629="",FALSE,TRUE),COUNTIF(Metadata!B:B, Metadata!B629) = 1,NOT(ISERROR(SUMPRODUCT(SEARCH(MID(Metadata!B629,ROW(INDIRECT("1:"&amp;LEN(Metadata!B629))), 1),"0123456789abcdefghijklmnopqrstuvwxyzABCDEFGHIJKLMNOPQRSTUVWXYZ.")))))</f>
        <v>0</v>
      </c>
      <c r="AP629" t="b">
        <f>IF(Metadata!C629="",FALSE,TRUE)</f>
        <v>0</v>
      </c>
      <c r="AQ629" t="b">
        <f>IF(Metadata!D629="",FALSE,TRUE)</f>
        <v>0</v>
      </c>
      <c r="AR629" t="b">
        <f ca="1">OR(AND(IF(Metadata!E629="",FALSE,TRUE),OR(EXACT(Metadata!E629,"not collected"),EXACT(Metadata!E629,"not provided"),EXACT(Metadata!E629,"restricted access"))),AND(IF(Metadata!E629="",FALSE,TRUE),AND(AND(IFERROR(INT(LEFT(Metadata!E629,4))&gt;1900,FALSE),IFERROR(INT(LEFT(Metadata!E629,4))&lt;=YEAR(NOW()),FALSE)), OR(MID(Metadata!E629,5,1)="", AND(AND(MID(Metadata!E629,5,1)="-",IFERROR(INT(MID(Metadata!E629,6,1))&gt;=0,FALSE),IFERROR(INT(MID(Metadata!E629,6,1))&lt;=1,FALSE),NOT(MID(Metadata!E629,7,1)=""),IFERROR(INT(MID(Metadata!E629,6,2))&gt;=1,FALSE),IFERROR(INT(MID(Metadata!E629,6,2))&lt;=12,FALSE)), OR(MID(Metadata!E629,8,1)="", AND(AND(MID(Metadata!E629,8,1)="-",IFERROR(INT(MID(Metadata!E629,9,1))&gt;=0,FALSE),IFERROR(INT(MID(Metadata!E629,9,1))&lt;=3,FALSE),NOT(MID(Metadata!E629,10,1)=""),IFERROR(INT(MID(Metadata!E629,9,2))&gt;=1,FALSE),IFERROR(INT(MID(Metadata!E629,9,2))&lt;=31,FALSE)), OR(MID(Metadata!E629,11,1)="", AND(AND(MID(Metadata!E629,11,1)=" ",IFERROR(INT(MID(Metadata!E629,12,1))&gt;=0,FALSE),IFERROR(INT(MID(Metadata!E629,12,1))&lt;=2,FALSE),NOT(MID(Metadata!E629,13,1)=""),IFERROR(INT(MID(Metadata!E629,12,2))&gt;=0,FALSE),IFERROR(INT(MID(Metadata!E629,12,2))&lt;=23,FALSE)), OR(MID(Metadata!E629,14,1)="", AND(AND(MID(Metadata!E629,14,1)=":",IFERROR(INT(MID(Metadata!E629,15,1))&gt;=0,FALSE),IFERROR(INT(MID(Metadata!E629,15,1))&lt;=5,FALSE),NOT(MID(Metadata!E629,16,1)=""),IFERROR(INT(MID(Metadata!E629,15,2))&gt;=0,FALSE),IFERROR(INT(MID(Metadata!E629,15,2))&lt;=59,FALSE)), OR(MID(Metadata!E629,17,1)="", AND(AND(MID(Metadata!E629,17,1)=":",IFERROR(INT(MID(Metadata!E629,18,1))&gt;=0,FALSE),IFERROR(INT(MID(Metadata!E629,18,1))&lt;=5,FALSE),NOT(MID(Metadata!E629,19,1)=""),IFERROR(INT(MID(Metadata!E629,18,2))&gt;=0,FALSE),IFERROR(INT(MID(Metadata!E629,18,2))&lt;=59,FALSE)), LEN(Metadata!E629)&lt;=19)))))))))))))</f>
        <v>0</v>
      </c>
      <c r="AS629" t="b">
        <f>IF(Metadata!F629="",FALSE,TRUE)</f>
        <v>0</v>
      </c>
      <c r="AT629" t="b">
        <f>OR(AND(IF(Metadata!G629="",FALSE,TRUE),OR(EXACT(Metadata!G629,"not collected"),EXACT(Metadata!G629,"not provided"))),AND(IF(Metadata!G629="",FALSE,TRUE),OR(EXACT(Metadata!G629,"TRUE"),EXACT(Metadata!G629,"FALSE"))))</f>
        <v>0</v>
      </c>
      <c r="AU629" t="b">
        <f>OR(AND(IF(Metadata!H629="",FALSE,TRUE),OR(EXACT(Metadata!H629,"not collected"),EXACT(Metadata!H629,"not provided"),EXACT(Metadata!H629,"restricted access"))),AND(IF(Metadata!H629="",FALSE,ISNUMBER(VALUE(Metadata!H629))),Metadata!H629&gt;=-413))</f>
        <v>0</v>
      </c>
      <c r="AV629" t="b">
        <f>AND(IF(Metadata!I629="",FALSE,TRUE),EXACT(Metadata!I629,"meters"))</f>
        <v>0</v>
      </c>
      <c r="AW629" t="b">
        <f>AND(IF(Metadata!J629="",FALSE,TRUE),EXACT(Metadata!J629,"free-living"))</f>
        <v>0</v>
      </c>
      <c r="AX629" t="b">
        <f>AND(IF(Metadata!K629="",FALSE,TRUE),OR(EXACT(Metadata!K629,"saline"),EXACT(Metadata!K629,"non-saline")))</f>
        <v>0</v>
      </c>
      <c r="AY629" t="b">
        <f>AND(IF(Metadata!L629="",FALSE,TRUE),OR(EXACT(Metadata!L629,"sub-surface (non-saline)"),EXACT(Metadata!L629,"surface (non-saline)"),EXACT(Metadata!L629,"water (non-saline)"),EXACT(Metadata!L629,"soil (non-saline)"),EXACT(Metadata!L629,"aerosol (non-saline)"),EXACT(Metadata!L629,"sediment (non-saline)"),EXACT(Metadata!L629,"surface (saline)"),EXACT(Metadata!L629,"water (saline)"),EXACT(Metadata!L629,"hypersaline (saline)"),EXACT(Metadata!L629,"aerosol (saline)"),EXACT(Metadata!L629,"sediment (saline)")))</f>
        <v>0</v>
      </c>
      <c r="AZ629" t="b">
        <f>IF(Metadata!M629="",FALSE,TRUE)</f>
        <v>0</v>
      </c>
      <c r="BA629" t="b">
        <f>IF(Metadata!N629="",FALSE,TRUE)</f>
        <v>0</v>
      </c>
      <c r="BB629" t="b">
        <f>IF(Metadata!O629="",FALSE,TRUE)</f>
        <v>0</v>
      </c>
      <c r="BC629" t="b">
        <f>AND(IF(Metadata!P629="",FALSE,TRUE),OR(EXACT(Metadata!P629,"air"),EXACT(Metadata!P629,"microbial mat/biofilm"),EXACT(Metadata!P629,"misc environment"),EXACT(Metadata!P629,"sediment"),EXACT(Metadata!P629,"soil"),EXACT(Metadata!P629,"wastewater/sludge"),EXACT(Metadata!P629,"water")))</f>
        <v>0</v>
      </c>
      <c r="BD629" t="b">
        <f>IF(Metadata!Q629="",FALSE,TRUE)</f>
        <v>0</v>
      </c>
      <c r="BE629" t="b">
        <f>IF(Metadata!R629="",FALSE,TRUE)</f>
        <v>0</v>
      </c>
      <c r="BF629" t="b">
        <f>OR(AND(IF(Metadata!S629="",FALSE,TRUE),OR(EXACT(Metadata!S629,"not collected"),EXACT(Metadata!S629,"not provided"),EXACT(Metadata!S629,"restricted access"))),AND(IF(Metadata!S629="",FALSE,ISNUMBER(VALUE(Metadata!S629))),Metadata!S629&gt;=-90,Metadata!S629&lt;=90))</f>
        <v>0</v>
      </c>
      <c r="BG629" t="b">
        <f>AND(IF(Metadata!T629="",FALSE,TRUE),EXACT(Metadata!T629,"Decimal degrees"))</f>
        <v>0</v>
      </c>
      <c r="BH629" t="b">
        <f>OR(AND(IF(Metadata!U629="",FALSE,TRUE),OR(EXACT(Metadata!U629,"not applicable"),EXACT(Metadata!U629,"not collected"))),IF(Metadata!U629="",FALSE,TRUE))</f>
        <v>0</v>
      </c>
      <c r="BI629" t="b">
        <f>OR(AND(IF(Metadata!V629="",FALSE,TRUE),OR(EXACT(Metadata!V629,"not collected"),EXACT(Metadata!V629,"not provided"),EXACT(Metadata!V629,"restricted access"))),AND(IF(Metadata!V629="",FALSE,ISNUMBER(VALUE(Metadata!V629))),Metadata!V629&gt;=-180,Metadata!V629&lt;=180))</f>
        <v>0</v>
      </c>
      <c r="BJ629" t="b">
        <f>AND(IF(Metadata!W629="",FALSE,TRUE),EXACT(Metadata!W629,"Decimal degrees"))</f>
        <v>0</v>
      </c>
      <c r="BK629" t="b">
        <f>IF(Metadata!X629="",FALSE,TRUE)</f>
        <v>0</v>
      </c>
      <c r="BL629" t="b">
        <f>OR(AND(IF(Metadata!Y629="",FALSE,TRUE),OR(EXACT(Metadata!Y629,"not collected"),EXACT(Metadata!Y629,"not provided"),EXACT(Metadata!Y629,"restricted access"))),AND(IF(Metadata!Y629="",FALSE,TRUE),OR(EXACT(Metadata!Y629,"TRUE"),EXACT(Metadata!Y629,"FALSE"))))</f>
        <v>0</v>
      </c>
      <c r="BM629" t="b">
        <f>OR(AND(IF(Metadata!Z629="",FALSE,TRUE),EXACT(Metadata!Z629,"not applicable")),AND(IF(Metadata!Z629="",FALSE,TRUE),OR(EXACT(Metadata!Z629,"beer"),EXACT(Metadata!Z629,"cheese"),EXACT(Metadata!Z629,"fresh water"),EXACT(Metadata!Z629,"marine sediment"),EXACT(Metadata!Z629,"sea water"),EXACT(Metadata!Z629,"sediment"),EXACT(Metadata!Z629,"soil"),EXACT(Metadata!Z629,"waste water"))))</f>
        <v>0</v>
      </c>
      <c r="BN629" t="b">
        <f>AND(IF(Metadata!AA629="",FALSE,TRUE),EXACT(Metadata!AA629,"metagenome"))</f>
        <v>0</v>
      </c>
      <c r="BO629" t="b">
        <f>AND(IF(Metadata!AB629="",FALSE,TRUE),EXACT(Metadata!AB629,"256318"))</f>
        <v>0</v>
      </c>
      <c r="BP629" t="b">
        <f>IF(Metadata!AC629="",FALSE,TRUE)</f>
        <v>0</v>
      </c>
      <c r="BQ629" t="b">
        <f>IF(Metadata!AD629="",FALSE,TRUE)</f>
        <v>0</v>
      </c>
    </row>
    <row r="630" spans="1:69" x14ac:dyDescent="0.2">
      <c r="A630" s="4" t="e">
        <f ca="1">IF(B630=" "," ",HYPERLINK(CONCATENATE("#metadata!",ADDRESS(INDEX($AJ$2:$AJ$1001,MATCH(ROWS($AH$2:AH630),$AH$2:$AH$1001,0),0),2)),INDEX($AM$2:$AM$1001,MATCH(ROWS($AH$2:AH630),$AH$2:$AH$1001,0),0)))</f>
        <v>#N/A</v>
      </c>
      <c r="B630" s="5" t="e">
        <f ca="1">IF(OR(INDEX($AI$2:$AI$1001,MATCH(ROWS($AH$2:AH630),$AH$2:$AH$1001,0),1)&gt;=100000,INDEX($AO$1005:$BQ$1005,1,MATCH(COLUMNS($AO$1006:AO1006),$AO$1006:$BQ$1006,0))&gt;=100000), " ",IF(INDEX($AO$2:$BQ$1001,MATCH(ROWS($AH$2:AH630),$AH$2:$AH$1001,0),MATCH(COLUMNS($AO$1006:AO1006),$AO$1006:$BQ$1006,0)), HYPERLINK("#",""), HYPERLINK(CONCATENATE("#Metadata!", ADDRESS(INDEX($AJ$2:$AJ$1001,MATCH(ROWS($AH$2:AH630),$AH$2:$AH$1001,0),0), INDEX($AO$1004:$BQ$1004,1,MATCH(COLUMNS($AO$1006:AO1006),$AO$1006:$BQ$1006,0)))),"Fix")))</f>
        <v>#N/A</v>
      </c>
      <c r="C630" s="5" t="e">
        <f ca="1">IF(OR(INDEX($AI$2:$AI$1001,MATCH(ROWS($AH$2:AH630),$AH$2:$AH$1001,0),1)&gt;=100000,INDEX($AO$1005:$BQ$1005,1,MATCH(COLUMNS($AO$1006:AP1006),$AO$1006:$BQ$1006,0))&gt;=100000), " ",IF(INDEX($AO$2:$BQ$1001,MATCH(ROWS($AH$2:AH630),$AH$2:$AH$1001,0),MATCH(COLUMNS($AO$1006:AP1006),$AO$1006:$BQ$1006,0)), HYPERLINK("#",""), HYPERLINK(CONCATENATE("#Metadata!", ADDRESS(INDEX($AJ$2:$AJ$1001,MATCH(ROWS($AH$2:AH630),$AH$2:$AH$1001,0),0), INDEX($AO$1004:$BQ$1004,1,MATCH(COLUMNS($AO$1006:AP1006),$AO$1006:$BQ$1006,0)))),"Fix")))</f>
        <v>#N/A</v>
      </c>
      <c r="D630" s="5" t="e">
        <f ca="1">IF(OR(INDEX($AI$2:$AI$1001,MATCH(ROWS($AH$2:AH630),$AH$2:$AH$1001,0),1)&gt;=100000,INDEX($AO$1005:$BQ$1005,1,MATCH(COLUMNS($AO$1006:AQ1006),$AO$1006:$BQ$1006,0))&gt;=100000), " ",IF(INDEX($AO$2:$BQ$1001,MATCH(ROWS($AH$2:AH630),$AH$2:$AH$1001,0),MATCH(COLUMNS($AO$1006:AQ1006),$AO$1006:$BQ$1006,0)), HYPERLINK("#",""), HYPERLINK(CONCATENATE("#Metadata!", ADDRESS(INDEX($AJ$2:$AJ$1001,MATCH(ROWS($AH$2:AH630),$AH$2:$AH$1001,0),0), INDEX($AO$1004:$BQ$1004,1,MATCH(COLUMNS($AO$1006:AQ1006),$AO$1006:$BQ$1006,0)))),"Fix")))</f>
        <v>#N/A</v>
      </c>
      <c r="E630" s="5" t="e">
        <f ca="1">IF(OR(INDEX($AI$2:$AI$1001,MATCH(ROWS($AH$2:AH630),$AH$2:$AH$1001,0),1)&gt;=100000,INDEX($AO$1005:$BQ$1005,1,MATCH(COLUMNS($AO$1006:AR1006),$AO$1006:$BQ$1006,0))&gt;=100000), " ",IF(INDEX($AO$2:$BQ$1001,MATCH(ROWS($AH$2:AH630),$AH$2:$AH$1001,0),MATCH(COLUMNS($AO$1006:AR1006),$AO$1006:$BQ$1006,0)), HYPERLINK("#",""), HYPERLINK(CONCATENATE("#Metadata!", ADDRESS(INDEX($AJ$2:$AJ$1001,MATCH(ROWS($AH$2:AH630),$AH$2:$AH$1001,0),0), INDEX($AO$1004:$BQ$1004,1,MATCH(COLUMNS($AO$1006:AR1006),$AO$1006:$BQ$1006,0)))),"Fix")))</f>
        <v>#N/A</v>
      </c>
      <c r="F630" s="5" t="e">
        <f ca="1">IF(OR(INDEX($AI$2:$AI$1001,MATCH(ROWS($AH$2:AH630),$AH$2:$AH$1001,0),1)&gt;=100000,INDEX($AO$1005:$BQ$1005,1,MATCH(COLUMNS($AO$1006:AS1006),$AO$1006:$BQ$1006,0))&gt;=100000), " ",IF(INDEX($AO$2:$BQ$1001,MATCH(ROWS($AH$2:AH630),$AH$2:$AH$1001,0),MATCH(COLUMNS($AO$1006:AS1006),$AO$1006:$BQ$1006,0)), HYPERLINK("#",""), HYPERLINK(CONCATENATE("#Metadata!", ADDRESS(INDEX($AJ$2:$AJ$1001,MATCH(ROWS($AH$2:AH630),$AH$2:$AH$1001,0),0), INDEX($AO$1004:$BQ$1004,1,MATCH(COLUMNS($AO$1006:AS1006),$AO$1006:$BQ$1006,0)))),"Fix")))</f>
        <v>#N/A</v>
      </c>
      <c r="G630" s="5" t="e">
        <f ca="1">IF(OR(INDEX($AI$2:$AI$1001,MATCH(ROWS($AH$2:AH630),$AH$2:$AH$1001,0),1)&gt;=100000,INDEX($AO$1005:$BQ$1005,1,MATCH(COLUMNS($AO$1006:AT1006),$AO$1006:$BQ$1006,0))&gt;=100000), " ",IF(INDEX($AO$2:$BQ$1001,MATCH(ROWS($AH$2:AH630),$AH$2:$AH$1001,0),MATCH(COLUMNS($AO$1006:AT1006),$AO$1006:$BQ$1006,0)), HYPERLINK("#",""), HYPERLINK(CONCATENATE("#Metadata!", ADDRESS(INDEX($AJ$2:$AJ$1001,MATCH(ROWS($AH$2:AH630),$AH$2:$AH$1001,0),0), INDEX($AO$1004:$BQ$1004,1,MATCH(COLUMNS($AO$1006:AT1006),$AO$1006:$BQ$1006,0)))),"Fix")))</f>
        <v>#N/A</v>
      </c>
      <c r="H630" s="5" t="e">
        <f ca="1">IF(OR(INDEX($AI$2:$AI$1001,MATCH(ROWS($AH$2:AH630),$AH$2:$AH$1001,0),1)&gt;=100000,INDEX($AO$1005:$BQ$1005,1,MATCH(COLUMNS($AO$1006:AU1006),$AO$1006:$BQ$1006,0))&gt;=100000), " ",IF(INDEX($AO$2:$BQ$1001,MATCH(ROWS($AH$2:AH630),$AH$2:$AH$1001,0),MATCH(COLUMNS($AO$1006:AU1006),$AO$1006:$BQ$1006,0)), HYPERLINK("#",""), HYPERLINK(CONCATENATE("#Metadata!", ADDRESS(INDEX($AJ$2:$AJ$1001,MATCH(ROWS($AH$2:AH630),$AH$2:$AH$1001,0),0), INDEX($AO$1004:$BQ$1004,1,MATCH(COLUMNS($AO$1006:AU1006),$AO$1006:$BQ$1006,0)))),"Fix")))</f>
        <v>#N/A</v>
      </c>
      <c r="I630" s="5" t="e">
        <f ca="1">IF(OR(INDEX($AI$2:$AI$1001,MATCH(ROWS($AH$2:AH630),$AH$2:$AH$1001,0),1)&gt;=100000,INDEX($AO$1005:$BQ$1005,1,MATCH(COLUMNS($AO$1006:AV1006),$AO$1006:$BQ$1006,0))&gt;=100000), " ",IF(INDEX($AO$2:$BQ$1001,MATCH(ROWS($AH$2:AH630),$AH$2:$AH$1001,0),MATCH(COLUMNS($AO$1006:AV1006),$AO$1006:$BQ$1006,0)), HYPERLINK("#",""), HYPERLINK(CONCATENATE("#Metadata!", ADDRESS(INDEX($AJ$2:$AJ$1001,MATCH(ROWS($AH$2:AH630),$AH$2:$AH$1001,0),0), INDEX($AO$1004:$BQ$1004,1,MATCH(COLUMNS($AO$1006:AV1006),$AO$1006:$BQ$1006,0)))),"Fix")))</f>
        <v>#N/A</v>
      </c>
      <c r="J630" s="5" t="e">
        <f ca="1">IF(OR(INDEX($AI$2:$AI$1001,MATCH(ROWS($AH$2:AH630),$AH$2:$AH$1001,0),1)&gt;=100000,INDEX($AO$1005:$BQ$1005,1,MATCH(COLUMNS($AO$1006:AW1006),$AO$1006:$BQ$1006,0))&gt;=100000), " ",IF(INDEX($AO$2:$BQ$1001,MATCH(ROWS($AH$2:AH630),$AH$2:$AH$1001,0),MATCH(COLUMNS($AO$1006:AW1006),$AO$1006:$BQ$1006,0)), HYPERLINK("#",""), HYPERLINK(CONCATENATE("#Metadata!", ADDRESS(INDEX($AJ$2:$AJ$1001,MATCH(ROWS($AH$2:AH630),$AH$2:$AH$1001,0),0), INDEX($AO$1004:$BQ$1004,1,MATCH(COLUMNS($AO$1006:AW1006),$AO$1006:$BQ$1006,0)))),"Fix")))</f>
        <v>#N/A</v>
      </c>
      <c r="K630" s="5" t="e">
        <f ca="1">IF(OR(INDEX($AI$2:$AI$1001,MATCH(ROWS($AH$2:AH630),$AH$2:$AH$1001,0),1)&gt;=100000,INDEX($AO$1005:$BQ$1005,1,MATCH(COLUMNS($AO$1006:AX1006),$AO$1006:$BQ$1006,0))&gt;=100000), " ",IF(INDEX($AO$2:$BQ$1001,MATCH(ROWS($AH$2:AH630),$AH$2:$AH$1001,0),MATCH(COLUMNS($AO$1006:AX1006),$AO$1006:$BQ$1006,0)), HYPERLINK("#",""), HYPERLINK(CONCATENATE("#Metadata!", ADDRESS(INDEX($AJ$2:$AJ$1001,MATCH(ROWS($AH$2:AH630),$AH$2:$AH$1001,0),0), INDEX($AO$1004:$BQ$1004,1,MATCH(COLUMNS($AO$1006:AX1006),$AO$1006:$BQ$1006,0)))),"Fix")))</f>
        <v>#N/A</v>
      </c>
      <c r="L630" s="5" t="e">
        <f ca="1">IF(OR(INDEX($AI$2:$AI$1001,MATCH(ROWS($AH$2:AH630),$AH$2:$AH$1001,0),1)&gt;=100000,INDEX($AO$1005:$BQ$1005,1,MATCH(COLUMNS($AO$1006:AY1006),$AO$1006:$BQ$1006,0))&gt;=100000), " ",IF(INDEX($AO$2:$BQ$1001,MATCH(ROWS($AH$2:AH630),$AH$2:$AH$1001,0),MATCH(COLUMNS($AO$1006:AY1006),$AO$1006:$BQ$1006,0)), HYPERLINK("#",""), HYPERLINK(CONCATENATE("#Metadata!", ADDRESS(INDEX($AJ$2:$AJ$1001,MATCH(ROWS($AH$2:AH630),$AH$2:$AH$1001,0),0), INDEX($AO$1004:$BQ$1004,1,MATCH(COLUMNS($AO$1006:AY1006),$AO$1006:$BQ$1006,0)))),"Fix")))</f>
        <v>#N/A</v>
      </c>
      <c r="M630" s="5" t="e">
        <f ca="1">IF(OR(INDEX($AI$2:$AI$1001,MATCH(ROWS($AH$2:AH630),$AH$2:$AH$1001,0),1)&gt;=100000,INDEX($AO$1005:$BQ$1005,1,MATCH(COLUMNS($AO$1006:AZ1006),$AO$1006:$BQ$1006,0))&gt;=100000), " ",IF(INDEX($AO$2:$BQ$1001,MATCH(ROWS($AH$2:AH630),$AH$2:$AH$1001,0),MATCH(COLUMNS($AO$1006:AZ1006),$AO$1006:$BQ$1006,0)), HYPERLINK("#",""), HYPERLINK(CONCATENATE("#Metadata!", ADDRESS(INDEX($AJ$2:$AJ$1001,MATCH(ROWS($AH$2:AH630),$AH$2:$AH$1001,0),0), INDEX($AO$1004:$BQ$1004,1,MATCH(COLUMNS($AO$1006:AZ1006),$AO$1006:$BQ$1006,0)))),"Fix")))</f>
        <v>#N/A</v>
      </c>
      <c r="N630" s="5" t="e">
        <f ca="1">IF(OR(INDEX($AI$2:$AI$1001,MATCH(ROWS($AH$2:AH630),$AH$2:$AH$1001,0),1)&gt;=100000,INDEX($AO$1005:$BQ$1005,1,MATCH(COLUMNS($AO$1006:BA1006),$AO$1006:$BQ$1006,0))&gt;=100000), " ",IF(INDEX($AO$2:$BQ$1001,MATCH(ROWS($AH$2:AH630),$AH$2:$AH$1001,0),MATCH(COLUMNS($AO$1006:BA1006),$AO$1006:$BQ$1006,0)), HYPERLINK("#",""), HYPERLINK(CONCATENATE("#Metadata!", ADDRESS(INDEX($AJ$2:$AJ$1001,MATCH(ROWS($AH$2:AH630),$AH$2:$AH$1001,0),0), INDEX($AO$1004:$BQ$1004,1,MATCH(COLUMNS($AO$1006:BA1006),$AO$1006:$BQ$1006,0)))),"Fix")))</f>
        <v>#N/A</v>
      </c>
      <c r="O630" s="5" t="e">
        <f ca="1">IF(OR(INDEX($AI$2:$AI$1001,MATCH(ROWS($AH$2:AH630),$AH$2:$AH$1001,0),1)&gt;=100000,INDEX($AO$1005:$BQ$1005,1,MATCH(COLUMNS($AO$1006:BB1006),$AO$1006:$BQ$1006,0))&gt;=100000), " ",IF(INDEX($AO$2:$BQ$1001,MATCH(ROWS($AH$2:AH630),$AH$2:$AH$1001,0),MATCH(COLUMNS($AO$1006:BB1006),$AO$1006:$BQ$1006,0)), HYPERLINK("#",""), HYPERLINK(CONCATENATE("#Metadata!", ADDRESS(INDEX($AJ$2:$AJ$1001,MATCH(ROWS($AH$2:AH630),$AH$2:$AH$1001,0),0), INDEX($AO$1004:$BQ$1004,1,MATCH(COLUMNS($AO$1006:BB1006),$AO$1006:$BQ$1006,0)))),"Fix")))</f>
        <v>#N/A</v>
      </c>
      <c r="P630" s="5" t="e">
        <f ca="1">IF(OR(INDEX($AI$2:$AI$1001,MATCH(ROWS($AH$2:AH630),$AH$2:$AH$1001,0),1)&gt;=100000,INDEX($AO$1005:$BQ$1005,1,MATCH(COLUMNS($AO$1006:BC1006),$AO$1006:$BQ$1006,0))&gt;=100000), " ",IF(INDEX($AO$2:$BQ$1001,MATCH(ROWS($AH$2:AH630),$AH$2:$AH$1001,0),MATCH(COLUMNS($AO$1006:BC1006),$AO$1006:$BQ$1006,0)), HYPERLINK("#",""), HYPERLINK(CONCATENATE("#Metadata!", ADDRESS(INDEX($AJ$2:$AJ$1001,MATCH(ROWS($AH$2:AH630),$AH$2:$AH$1001,0),0), INDEX($AO$1004:$BQ$1004,1,MATCH(COLUMNS($AO$1006:BC1006),$AO$1006:$BQ$1006,0)))),"Fix")))</f>
        <v>#N/A</v>
      </c>
      <c r="Q630" s="5" t="e">
        <f ca="1">IF(OR(INDEX($AI$2:$AI$1001,MATCH(ROWS($AH$2:AH630),$AH$2:$AH$1001,0),1)&gt;=100000,INDEX($AO$1005:$BQ$1005,1,MATCH(COLUMNS($AO$1006:BD1006),$AO$1006:$BQ$1006,0))&gt;=100000), " ",IF(INDEX($AO$2:$BQ$1001,MATCH(ROWS($AH$2:AH630),$AH$2:$AH$1001,0),MATCH(COLUMNS($AO$1006:BD1006),$AO$1006:$BQ$1006,0)), HYPERLINK("#",""), HYPERLINK(CONCATENATE("#Metadata!", ADDRESS(INDEX($AJ$2:$AJ$1001,MATCH(ROWS($AH$2:AH630),$AH$2:$AH$1001,0),0), INDEX($AO$1004:$BQ$1004,1,MATCH(COLUMNS($AO$1006:BD1006),$AO$1006:$BQ$1006,0)))),"Fix")))</f>
        <v>#N/A</v>
      </c>
      <c r="R630" s="5" t="e">
        <f ca="1">IF(OR(INDEX($AI$2:$AI$1001,MATCH(ROWS($AH$2:AH630),$AH$2:$AH$1001,0),1)&gt;=100000,INDEX($AO$1005:$BQ$1005,1,MATCH(COLUMNS($AO$1006:BE1006),$AO$1006:$BQ$1006,0))&gt;=100000), " ",IF(INDEX($AO$2:$BQ$1001,MATCH(ROWS($AH$2:AH630),$AH$2:$AH$1001,0),MATCH(COLUMNS($AO$1006:BE1006),$AO$1006:$BQ$1006,0)), HYPERLINK("#",""), HYPERLINK(CONCATENATE("#Metadata!", ADDRESS(INDEX($AJ$2:$AJ$1001,MATCH(ROWS($AH$2:AH630),$AH$2:$AH$1001,0),0), INDEX($AO$1004:$BQ$1004,1,MATCH(COLUMNS($AO$1006:BE1006),$AO$1006:$BQ$1006,0)))),"Fix")))</f>
        <v>#N/A</v>
      </c>
      <c r="S630" s="5" t="e">
        <f ca="1">IF(OR(INDEX($AI$2:$AI$1001,MATCH(ROWS($AH$2:AH630),$AH$2:$AH$1001,0),1)&gt;=100000,INDEX($AO$1005:$BQ$1005,1,MATCH(COLUMNS($AO$1006:BF1006),$AO$1006:$BQ$1006,0))&gt;=100000), " ",IF(INDEX($AO$2:$BQ$1001,MATCH(ROWS($AH$2:AH630),$AH$2:$AH$1001,0),MATCH(COLUMNS($AO$1006:BF1006),$AO$1006:$BQ$1006,0)), HYPERLINK("#",""), HYPERLINK(CONCATENATE("#Metadata!", ADDRESS(INDEX($AJ$2:$AJ$1001,MATCH(ROWS($AH$2:AH630),$AH$2:$AH$1001,0),0), INDEX($AO$1004:$BQ$1004,1,MATCH(COLUMNS($AO$1006:BF1006),$AO$1006:$BQ$1006,0)))),"Fix")))</f>
        <v>#N/A</v>
      </c>
      <c r="T630" s="5" t="e">
        <f ca="1">IF(OR(INDEX($AI$2:$AI$1001,MATCH(ROWS($AH$2:AH630),$AH$2:$AH$1001,0),1)&gt;=100000,INDEX($AO$1005:$BQ$1005,1,MATCH(COLUMNS($AO$1006:BG1006),$AO$1006:$BQ$1006,0))&gt;=100000), " ",IF(INDEX($AO$2:$BQ$1001,MATCH(ROWS($AH$2:AH630),$AH$2:$AH$1001,0),MATCH(COLUMNS($AO$1006:BG1006),$AO$1006:$BQ$1006,0)), HYPERLINK("#",""), HYPERLINK(CONCATENATE("#Metadata!", ADDRESS(INDEX($AJ$2:$AJ$1001,MATCH(ROWS($AH$2:AH630),$AH$2:$AH$1001,0),0), INDEX($AO$1004:$BQ$1004,1,MATCH(COLUMNS($AO$1006:BG1006),$AO$1006:$BQ$1006,0)))),"Fix")))</f>
        <v>#N/A</v>
      </c>
      <c r="U630" s="5" t="e">
        <f ca="1">IF(OR(INDEX($AI$2:$AI$1001,MATCH(ROWS($AH$2:AH630),$AH$2:$AH$1001,0),1)&gt;=100000,INDEX($AO$1005:$BQ$1005,1,MATCH(COLUMNS($AO$1006:BH1006),$AO$1006:$BQ$1006,0))&gt;=100000), " ",IF(INDEX($AO$2:$BQ$1001,MATCH(ROWS($AH$2:AH630),$AH$2:$AH$1001,0),MATCH(COLUMNS($AO$1006:BH1006),$AO$1006:$BQ$1006,0)), HYPERLINK("#",""), HYPERLINK(CONCATENATE("#Metadata!", ADDRESS(INDEX($AJ$2:$AJ$1001,MATCH(ROWS($AH$2:AH630),$AH$2:$AH$1001,0),0), INDEX($AO$1004:$BQ$1004,1,MATCH(COLUMNS($AO$1006:BH1006),$AO$1006:$BQ$1006,0)))),"Fix")))</f>
        <v>#N/A</v>
      </c>
      <c r="V630" s="5" t="e">
        <f ca="1">IF(OR(INDEX($AI$2:$AI$1001,MATCH(ROWS($AH$2:AH630),$AH$2:$AH$1001,0),1)&gt;=100000,INDEX($AO$1005:$BQ$1005,1,MATCH(COLUMNS($AO$1006:BI1006),$AO$1006:$BQ$1006,0))&gt;=100000), " ",IF(INDEX($AO$2:$BQ$1001,MATCH(ROWS($AH$2:AH630),$AH$2:$AH$1001,0),MATCH(COLUMNS($AO$1006:BI1006),$AO$1006:$BQ$1006,0)), HYPERLINK("#",""), HYPERLINK(CONCATENATE("#Metadata!", ADDRESS(INDEX($AJ$2:$AJ$1001,MATCH(ROWS($AH$2:AH630),$AH$2:$AH$1001,0),0), INDEX($AO$1004:$BQ$1004,1,MATCH(COLUMNS($AO$1006:BI1006),$AO$1006:$BQ$1006,0)))),"Fix")))</f>
        <v>#N/A</v>
      </c>
      <c r="W630" s="5" t="e">
        <f ca="1">IF(OR(INDEX($AI$2:$AI$1001,MATCH(ROWS($AH$2:AH630),$AH$2:$AH$1001,0),1)&gt;=100000,INDEX($AO$1005:$BQ$1005,1,MATCH(COLUMNS($AO$1006:BJ1006),$AO$1006:$BQ$1006,0))&gt;=100000), " ",IF(INDEX($AO$2:$BQ$1001,MATCH(ROWS($AH$2:AH630),$AH$2:$AH$1001,0),MATCH(COLUMNS($AO$1006:BJ1006),$AO$1006:$BQ$1006,0)), HYPERLINK("#",""), HYPERLINK(CONCATENATE("#Metadata!", ADDRESS(INDEX($AJ$2:$AJ$1001,MATCH(ROWS($AH$2:AH630),$AH$2:$AH$1001,0),0), INDEX($AO$1004:$BQ$1004,1,MATCH(COLUMNS($AO$1006:BJ1006),$AO$1006:$BQ$1006,0)))),"Fix")))</f>
        <v>#N/A</v>
      </c>
      <c r="X630" s="5" t="e">
        <f ca="1">IF(OR(INDEX($AI$2:$AI$1001,MATCH(ROWS($AH$2:AH630),$AH$2:$AH$1001,0),1)&gt;=100000,INDEX($AO$1005:$BQ$1005,1,MATCH(COLUMNS($AO$1006:BK1006),$AO$1006:$BQ$1006,0))&gt;=100000), " ",IF(INDEX($AO$2:$BQ$1001,MATCH(ROWS($AH$2:AH630),$AH$2:$AH$1001,0),MATCH(COLUMNS($AO$1006:BK1006),$AO$1006:$BQ$1006,0)), HYPERLINK("#",""), HYPERLINK(CONCATENATE("#Metadata!", ADDRESS(INDEX($AJ$2:$AJ$1001,MATCH(ROWS($AH$2:AH630),$AH$2:$AH$1001,0),0), INDEX($AO$1004:$BQ$1004,1,MATCH(COLUMNS($AO$1006:BK1006),$AO$1006:$BQ$1006,0)))),"Fix")))</f>
        <v>#N/A</v>
      </c>
      <c r="Y630" s="5" t="e">
        <f ca="1">IF(OR(INDEX($AI$2:$AI$1001,MATCH(ROWS($AH$2:AH630),$AH$2:$AH$1001,0),1)&gt;=100000,INDEX($AO$1005:$BQ$1005,1,MATCH(COLUMNS($AO$1006:BL1006),$AO$1006:$BQ$1006,0))&gt;=100000), " ",IF(INDEX($AO$2:$BQ$1001,MATCH(ROWS($AH$2:AH630),$AH$2:$AH$1001,0),MATCH(COLUMNS($AO$1006:BL1006),$AO$1006:$BQ$1006,0)), HYPERLINK("#",""), HYPERLINK(CONCATENATE("#Metadata!", ADDRESS(INDEX($AJ$2:$AJ$1001,MATCH(ROWS($AH$2:AH630),$AH$2:$AH$1001,0),0), INDEX($AO$1004:$BQ$1004,1,MATCH(COLUMNS($AO$1006:BL1006),$AO$1006:$BQ$1006,0)))),"Fix")))</f>
        <v>#N/A</v>
      </c>
      <c r="Z630" s="5" t="e">
        <f ca="1">IF(OR(INDEX($AI$2:$AI$1001,MATCH(ROWS($AH$2:AH630),$AH$2:$AH$1001,0),1)&gt;=100000,INDEX($AO$1005:$BQ$1005,1,MATCH(COLUMNS($AO$1006:BM1006),$AO$1006:$BQ$1006,0))&gt;=100000), " ",IF(INDEX($AO$2:$BQ$1001,MATCH(ROWS($AH$2:AH630),$AH$2:$AH$1001,0),MATCH(COLUMNS($AO$1006:BM1006),$AO$1006:$BQ$1006,0)), HYPERLINK("#",""), HYPERLINK(CONCATENATE("#Metadata!", ADDRESS(INDEX($AJ$2:$AJ$1001,MATCH(ROWS($AH$2:AH630),$AH$2:$AH$1001,0),0), INDEX($AO$1004:$BQ$1004,1,MATCH(COLUMNS($AO$1006:BM1006),$AO$1006:$BQ$1006,0)))),"Fix")))</f>
        <v>#N/A</v>
      </c>
      <c r="AA630" s="5" t="e">
        <f ca="1">IF(OR(INDEX($AI$2:$AI$1001,MATCH(ROWS($AH$2:AH630),$AH$2:$AH$1001,0),1)&gt;=100000,INDEX($AO$1005:$BQ$1005,1,MATCH(COLUMNS($AO$1006:BN1006),$AO$1006:$BQ$1006,0))&gt;=100000), " ",IF(INDEX($AO$2:$BQ$1001,MATCH(ROWS($AH$2:AH630),$AH$2:$AH$1001,0),MATCH(COLUMNS($AO$1006:BN1006),$AO$1006:$BQ$1006,0)), HYPERLINK("#",""), HYPERLINK(CONCATENATE("#Metadata!", ADDRESS(INDEX($AJ$2:$AJ$1001,MATCH(ROWS($AH$2:AH630),$AH$2:$AH$1001,0),0), INDEX($AO$1004:$BQ$1004,1,MATCH(COLUMNS($AO$1006:BN1006),$AO$1006:$BQ$1006,0)))),"Fix")))</f>
        <v>#N/A</v>
      </c>
      <c r="AB630" s="5" t="e">
        <f ca="1">IF(OR(INDEX($AI$2:$AI$1001,MATCH(ROWS($AH$2:AH630),$AH$2:$AH$1001,0),1)&gt;=100000,INDEX($AO$1005:$BQ$1005,1,MATCH(COLUMNS($AO$1006:BO1006),$AO$1006:$BQ$1006,0))&gt;=100000), " ",IF(INDEX($AO$2:$BQ$1001,MATCH(ROWS($AH$2:AH630),$AH$2:$AH$1001,0),MATCH(COLUMNS($AO$1006:BO1006),$AO$1006:$BQ$1006,0)), HYPERLINK("#",""), HYPERLINK(CONCATENATE("#Metadata!", ADDRESS(INDEX($AJ$2:$AJ$1001,MATCH(ROWS($AH$2:AH630),$AH$2:$AH$1001,0),0), INDEX($AO$1004:$BQ$1004,1,MATCH(COLUMNS($AO$1006:BO1006),$AO$1006:$BQ$1006,0)))),"Fix")))</f>
        <v>#N/A</v>
      </c>
      <c r="AC630" s="5" t="e">
        <f ca="1">IF(OR(INDEX($AI$2:$AI$1001,MATCH(ROWS($AH$2:AH630),$AH$2:$AH$1001,0),1)&gt;=100000,INDEX($AO$1005:$BQ$1005,1,MATCH(COLUMNS($AO$1006:BP1006),$AO$1006:$BQ$1006,0))&gt;=100000), " ",IF(INDEX($AO$2:$BQ$1001,MATCH(ROWS($AH$2:AH630),$AH$2:$AH$1001,0),MATCH(COLUMNS($AO$1006:BP1006),$AO$1006:$BQ$1006,0)), HYPERLINK("#",""), HYPERLINK(CONCATENATE("#Metadata!", ADDRESS(INDEX($AJ$2:$AJ$1001,MATCH(ROWS($AH$2:AH630),$AH$2:$AH$1001,0),0), INDEX($AO$1004:$BQ$1004,1,MATCH(COLUMNS($AO$1006:BP1006),$AO$1006:$BQ$1006,0)))),"Fix")))</f>
        <v>#N/A</v>
      </c>
      <c r="AD630" s="5" t="e">
        <f ca="1">IF(OR(INDEX($AI$2:$AI$1001,MATCH(ROWS($AH$2:AH630),$AH$2:$AH$1001,0),1)&gt;=100000,INDEX($AO$1005:$BQ$1005,1,MATCH(COLUMNS($AO$1006:BQ1006),$AO$1006:$BQ$1006,0))&gt;=100000), " ",IF(INDEX($AO$2:$BQ$1001,MATCH(ROWS($AH$2:AH630),$AH$2:$AH$1001,0),MATCH(COLUMNS($AO$1006:BQ1006),$AO$1006:$BQ$1006,0)), HYPERLINK("#",""), HYPERLINK(CONCATENATE("#Metadata!", ADDRESS(INDEX($AJ$2:$AJ$1001,MATCH(ROWS($AH$2:AH630),$AH$2:$AH$1001,0),0), INDEX($AO$1004:$BQ$1004,1,MATCH(COLUMNS($AO$1006:BQ1006),$AO$1006:$BQ$1006,0)))),"Fix")))</f>
        <v>#REF!</v>
      </c>
      <c r="AH630">
        <f ca="1"/>
        <v>627</v>
      </c>
      <c r="AI630">
        <v>100630</v>
      </c>
      <c r="AJ630">
        <v>630</v>
      </c>
      <c r="AK630" t="b">
        <f t="shared" si="9"/>
        <v>1</v>
      </c>
      <c r="AL630" t="b">
        <f>COUNTBLANK(Metadata!B630:AD630)=COLUMNS(Metadata!B630:AD630)</f>
        <v>1</v>
      </c>
      <c r="AM630" t="str">
        <v/>
      </c>
      <c r="AO630" t="b">
        <f ca="1">AND(IF(Metadata!B630="",FALSE,TRUE),COUNTIF(Metadata!B:B, Metadata!B630) = 1,NOT(ISERROR(SUMPRODUCT(SEARCH(MID(Metadata!B630,ROW(INDIRECT("1:"&amp;LEN(Metadata!B630))), 1),"0123456789abcdefghijklmnopqrstuvwxyzABCDEFGHIJKLMNOPQRSTUVWXYZ.")))))</f>
        <v>0</v>
      </c>
      <c r="AP630" t="b">
        <f>IF(Metadata!C630="",FALSE,TRUE)</f>
        <v>0</v>
      </c>
      <c r="AQ630" t="b">
        <f>IF(Metadata!D630="",FALSE,TRUE)</f>
        <v>0</v>
      </c>
      <c r="AR630" t="b">
        <f ca="1">OR(AND(IF(Metadata!E630="",FALSE,TRUE),OR(EXACT(Metadata!E630,"not collected"),EXACT(Metadata!E630,"not provided"),EXACT(Metadata!E630,"restricted access"))),AND(IF(Metadata!E630="",FALSE,TRUE),AND(AND(IFERROR(INT(LEFT(Metadata!E630,4))&gt;1900,FALSE),IFERROR(INT(LEFT(Metadata!E630,4))&lt;=YEAR(NOW()),FALSE)), OR(MID(Metadata!E630,5,1)="", AND(AND(MID(Metadata!E630,5,1)="-",IFERROR(INT(MID(Metadata!E630,6,1))&gt;=0,FALSE),IFERROR(INT(MID(Metadata!E630,6,1))&lt;=1,FALSE),NOT(MID(Metadata!E630,7,1)=""),IFERROR(INT(MID(Metadata!E630,6,2))&gt;=1,FALSE),IFERROR(INT(MID(Metadata!E630,6,2))&lt;=12,FALSE)), OR(MID(Metadata!E630,8,1)="", AND(AND(MID(Metadata!E630,8,1)="-",IFERROR(INT(MID(Metadata!E630,9,1))&gt;=0,FALSE),IFERROR(INT(MID(Metadata!E630,9,1))&lt;=3,FALSE),NOT(MID(Metadata!E630,10,1)=""),IFERROR(INT(MID(Metadata!E630,9,2))&gt;=1,FALSE),IFERROR(INT(MID(Metadata!E630,9,2))&lt;=31,FALSE)), OR(MID(Metadata!E630,11,1)="", AND(AND(MID(Metadata!E630,11,1)=" ",IFERROR(INT(MID(Metadata!E630,12,1))&gt;=0,FALSE),IFERROR(INT(MID(Metadata!E630,12,1))&lt;=2,FALSE),NOT(MID(Metadata!E630,13,1)=""),IFERROR(INT(MID(Metadata!E630,12,2))&gt;=0,FALSE),IFERROR(INT(MID(Metadata!E630,12,2))&lt;=23,FALSE)), OR(MID(Metadata!E630,14,1)="", AND(AND(MID(Metadata!E630,14,1)=":",IFERROR(INT(MID(Metadata!E630,15,1))&gt;=0,FALSE),IFERROR(INT(MID(Metadata!E630,15,1))&lt;=5,FALSE),NOT(MID(Metadata!E630,16,1)=""),IFERROR(INT(MID(Metadata!E630,15,2))&gt;=0,FALSE),IFERROR(INT(MID(Metadata!E630,15,2))&lt;=59,FALSE)), OR(MID(Metadata!E630,17,1)="", AND(AND(MID(Metadata!E630,17,1)=":",IFERROR(INT(MID(Metadata!E630,18,1))&gt;=0,FALSE),IFERROR(INT(MID(Metadata!E630,18,1))&lt;=5,FALSE),NOT(MID(Metadata!E630,19,1)=""),IFERROR(INT(MID(Metadata!E630,18,2))&gt;=0,FALSE),IFERROR(INT(MID(Metadata!E630,18,2))&lt;=59,FALSE)), LEN(Metadata!E630)&lt;=19)))))))))))))</f>
        <v>0</v>
      </c>
      <c r="AS630" t="b">
        <f>IF(Metadata!F630="",FALSE,TRUE)</f>
        <v>0</v>
      </c>
      <c r="AT630" t="b">
        <f>OR(AND(IF(Metadata!G630="",FALSE,TRUE),OR(EXACT(Metadata!G630,"not collected"),EXACT(Metadata!G630,"not provided"))),AND(IF(Metadata!G630="",FALSE,TRUE),OR(EXACT(Metadata!G630,"TRUE"),EXACT(Metadata!G630,"FALSE"))))</f>
        <v>0</v>
      </c>
      <c r="AU630" t="b">
        <f>OR(AND(IF(Metadata!H630="",FALSE,TRUE),OR(EXACT(Metadata!H630,"not collected"),EXACT(Metadata!H630,"not provided"),EXACT(Metadata!H630,"restricted access"))),AND(IF(Metadata!H630="",FALSE,ISNUMBER(VALUE(Metadata!H630))),Metadata!H630&gt;=-413))</f>
        <v>0</v>
      </c>
      <c r="AV630" t="b">
        <f>AND(IF(Metadata!I630="",FALSE,TRUE),EXACT(Metadata!I630,"meters"))</f>
        <v>0</v>
      </c>
      <c r="AW630" t="b">
        <f>AND(IF(Metadata!J630="",FALSE,TRUE),EXACT(Metadata!J630,"free-living"))</f>
        <v>0</v>
      </c>
      <c r="AX630" t="b">
        <f>AND(IF(Metadata!K630="",FALSE,TRUE),OR(EXACT(Metadata!K630,"saline"),EXACT(Metadata!K630,"non-saline")))</f>
        <v>0</v>
      </c>
      <c r="AY630" t="b">
        <f>AND(IF(Metadata!L630="",FALSE,TRUE),OR(EXACT(Metadata!L630,"sub-surface (non-saline)"),EXACT(Metadata!L630,"surface (non-saline)"),EXACT(Metadata!L630,"water (non-saline)"),EXACT(Metadata!L630,"soil (non-saline)"),EXACT(Metadata!L630,"aerosol (non-saline)"),EXACT(Metadata!L630,"sediment (non-saline)"),EXACT(Metadata!L630,"surface (saline)"),EXACT(Metadata!L630,"water (saline)"),EXACT(Metadata!L630,"hypersaline (saline)"),EXACT(Metadata!L630,"aerosol (saline)"),EXACT(Metadata!L630,"sediment (saline)")))</f>
        <v>0</v>
      </c>
      <c r="AZ630" t="b">
        <f>IF(Metadata!M630="",FALSE,TRUE)</f>
        <v>0</v>
      </c>
      <c r="BA630" t="b">
        <f>IF(Metadata!N630="",FALSE,TRUE)</f>
        <v>0</v>
      </c>
      <c r="BB630" t="b">
        <f>IF(Metadata!O630="",FALSE,TRUE)</f>
        <v>0</v>
      </c>
      <c r="BC630" t="b">
        <f>AND(IF(Metadata!P630="",FALSE,TRUE),OR(EXACT(Metadata!P630,"air"),EXACT(Metadata!P630,"microbial mat/biofilm"),EXACT(Metadata!P630,"misc environment"),EXACT(Metadata!P630,"sediment"),EXACT(Metadata!P630,"soil"),EXACT(Metadata!P630,"wastewater/sludge"),EXACT(Metadata!P630,"water")))</f>
        <v>0</v>
      </c>
      <c r="BD630" t="b">
        <f>IF(Metadata!Q630="",FALSE,TRUE)</f>
        <v>0</v>
      </c>
      <c r="BE630" t="b">
        <f>IF(Metadata!R630="",FALSE,TRUE)</f>
        <v>0</v>
      </c>
      <c r="BF630" t="b">
        <f>OR(AND(IF(Metadata!S630="",FALSE,TRUE),OR(EXACT(Metadata!S630,"not collected"),EXACT(Metadata!S630,"not provided"),EXACT(Metadata!S630,"restricted access"))),AND(IF(Metadata!S630="",FALSE,ISNUMBER(VALUE(Metadata!S630))),Metadata!S630&gt;=-90,Metadata!S630&lt;=90))</f>
        <v>0</v>
      </c>
      <c r="BG630" t="b">
        <f>AND(IF(Metadata!T630="",FALSE,TRUE),EXACT(Metadata!T630,"Decimal degrees"))</f>
        <v>0</v>
      </c>
      <c r="BH630" t="b">
        <f>OR(AND(IF(Metadata!U630="",FALSE,TRUE),OR(EXACT(Metadata!U630,"not applicable"),EXACT(Metadata!U630,"not collected"))),IF(Metadata!U630="",FALSE,TRUE))</f>
        <v>0</v>
      </c>
      <c r="BI630" t="b">
        <f>OR(AND(IF(Metadata!V630="",FALSE,TRUE),OR(EXACT(Metadata!V630,"not collected"),EXACT(Metadata!V630,"not provided"),EXACT(Metadata!V630,"restricted access"))),AND(IF(Metadata!V630="",FALSE,ISNUMBER(VALUE(Metadata!V630))),Metadata!V630&gt;=-180,Metadata!V630&lt;=180))</f>
        <v>0</v>
      </c>
      <c r="BJ630" t="b">
        <f>AND(IF(Metadata!W630="",FALSE,TRUE),EXACT(Metadata!W630,"Decimal degrees"))</f>
        <v>0</v>
      </c>
      <c r="BK630" t="b">
        <f>IF(Metadata!X630="",FALSE,TRUE)</f>
        <v>0</v>
      </c>
      <c r="BL630" t="b">
        <f>OR(AND(IF(Metadata!Y630="",FALSE,TRUE),OR(EXACT(Metadata!Y630,"not collected"),EXACT(Metadata!Y630,"not provided"),EXACT(Metadata!Y630,"restricted access"))),AND(IF(Metadata!Y630="",FALSE,TRUE),OR(EXACT(Metadata!Y630,"TRUE"),EXACT(Metadata!Y630,"FALSE"))))</f>
        <v>0</v>
      </c>
      <c r="BM630" t="b">
        <f>OR(AND(IF(Metadata!Z630="",FALSE,TRUE),EXACT(Metadata!Z630,"not applicable")),AND(IF(Metadata!Z630="",FALSE,TRUE),OR(EXACT(Metadata!Z630,"beer"),EXACT(Metadata!Z630,"cheese"),EXACT(Metadata!Z630,"fresh water"),EXACT(Metadata!Z630,"marine sediment"),EXACT(Metadata!Z630,"sea water"),EXACT(Metadata!Z630,"sediment"),EXACT(Metadata!Z630,"soil"),EXACT(Metadata!Z630,"waste water"))))</f>
        <v>0</v>
      </c>
      <c r="BN630" t="b">
        <f>AND(IF(Metadata!AA630="",FALSE,TRUE),EXACT(Metadata!AA630,"metagenome"))</f>
        <v>0</v>
      </c>
      <c r="BO630" t="b">
        <f>AND(IF(Metadata!AB630="",FALSE,TRUE),EXACT(Metadata!AB630,"256318"))</f>
        <v>0</v>
      </c>
      <c r="BP630" t="b">
        <f>IF(Metadata!AC630="",FALSE,TRUE)</f>
        <v>0</v>
      </c>
      <c r="BQ630" t="b">
        <f>IF(Metadata!AD630="",FALSE,TRUE)</f>
        <v>0</v>
      </c>
    </row>
    <row r="631" spans="1:69" x14ac:dyDescent="0.2">
      <c r="A631" s="4" t="e">
        <f ca="1">IF(B631=" "," ",HYPERLINK(CONCATENATE("#metadata!",ADDRESS(INDEX($AJ$2:$AJ$1001,MATCH(ROWS($AH$2:AH631),$AH$2:$AH$1001,0),0),2)),INDEX($AM$2:$AM$1001,MATCH(ROWS($AH$2:AH631),$AH$2:$AH$1001,0),0)))</f>
        <v>#N/A</v>
      </c>
      <c r="B631" s="5" t="e">
        <f ca="1">IF(OR(INDEX($AI$2:$AI$1001,MATCH(ROWS($AH$2:AH631),$AH$2:$AH$1001,0),1)&gt;=100000,INDEX($AO$1005:$BQ$1005,1,MATCH(COLUMNS($AO$1006:AO1006),$AO$1006:$BQ$1006,0))&gt;=100000), " ",IF(INDEX($AO$2:$BQ$1001,MATCH(ROWS($AH$2:AH631),$AH$2:$AH$1001,0),MATCH(COLUMNS($AO$1006:AO1006),$AO$1006:$BQ$1006,0)), HYPERLINK("#",""), HYPERLINK(CONCATENATE("#Metadata!", ADDRESS(INDEX($AJ$2:$AJ$1001,MATCH(ROWS($AH$2:AH631),$AH$2:$AH$1001,0),0), INDEX($AO$1004:$BQ$1004,1,MATCH(COLUMNS($AO$1006:AO1006),$AO$1006:$BQ$1006,0)))),"Fix")))</f>
        <v>#N/A</v>
      </c>
      <c r="C631" s="5" t="e">
        <f ca="1">IF(OR(INDEX($AI$2:$AI$1001,MATCH(ROWS($AH$2:AH631),$AH$2:$AH$1001,0),1)&gt;=100000,INDEX($AO$1005:$BQ$1005,1,MATCH(COLUMNS($AO$1006:AP1006),$AO$1006:$BQ$1006,0))&gt;=100000), " ",IF(INDEX($AO$2:$BQ$1001,MATCH(ROWS($AH$2:AH631),$AH$2:$AH$1001,0),MATCH(COLUMNS($AO$1006:AP1006),$AO$1006:$BQ$1006,0)), HYPERLINK("#",""), HYPERLINK(CONCATENATE("#Metadata!", ADDRESS(INDEX($AJ$2:$AJ$1001,MATCH(ROWS($AH$2:AH631),$AH$2:$AH$1001,0),0), INDEX($AO$1004:$BQ$1004,1,MATCH(COLUMNS($AO$1006:AP1006),$AO$1006:$BQ$1006,0)))),"Fix")))</f>
        <v>#N/A</v>
      </c>
      <c r="D631" s="5" t="e">
        <f ca="1">IF(OR(INDEX($AI$2:$AI$1001,MATCH(ROWS($AH$2:AH631),$AH$2:$AH$1001,0),1)&gt;=100000,INDEX($AO$1005:$BQ$1005,1,MATCH(COLUMNS($AO$1006:AQ1006),$AO$1006:$BQ$1006,0))&gt;=100000), " ",IF(INDEX($AO$2:$BQ$1001,MATCH(ROWS($AH$2:AH631),$AH$2:$AH$1001,0),MATCH(COLUMNS($AO$1006:AQ1006),$AO$1006:$BQ$1006,0)), HYPERLINK("#",""), HYPERLINK(CONCATENATE("#Metadata!", ADDRESS(INDEX($AJ$2:$AJ$1001,MATCH(ROWS($AH$2:AH631),$AH$2:$AH$1001,0),0), INDEX($AO$1004:$BQ$1004,1,MATCH(COLUMNS($AO$1006:AQ1006),$AO$1006:$BQ$1006,0)))),"Fix")))</f>
        <v>#N/A</v>
      </c>
      <c r="E631" s="5" t="e">
        <f ca="1">IF(OR(INDEX($AI$2:$AI$1001,MATCH(ROWS($AH$2:AH631),$AH$2:$AH$1001,0),1)&gt;=100000,INDEX($AO$1005:$BQ$1005,1,MATCH(COLUMNS($AO$1006:AR1006),$AO$1006:$BQ$1006,0))&gt;=100000), " ",IF(INDEX($AO$2:$BQ$1001,MATCH(ROWS($AH$2:AH631),$AH$2:$AH$1001,0),MATCH(COLUMNS($AO$1006:AR1006),$AO$1006:$BQ$1006,0)), HYPERLINK("#",""), HYPERLINK(CONCATENATE("#Metadata!", ADDRESS(INDEX($AJ$2:$AJ$1001,MATCH(ROWS($AH$2:AH631),$AH$2:$AH$1001,0),0), INDEX($AO$1004:$BQ$1004,1,MATCH(COLUMNS($AO$1006:AR1006),$AO$1006:$BQ$1006,0)))),"Fix")))</f>
        <v>#N/A</v>
      </c>
      <c r="F631" s="5" t="e">
        <f ca="1">IF(OR(INDEX($AI$2:$AI$1001,MATCH(ROWS($AH$2:AH631),$AH$2:$AH$1001,0),1)&gt;=100000,INDEX($AO$1005:$BQ$1005,1,MATCH(COLUMNS($AO$1006:AS1006),$AO$1006:$BQ$1006,0))&gt;=100000), " ",IF(INDEX($AO$2:$BQ$1001,MATCH(ROWS($AH$2:AH631),$AH$2:$AH$1001,0),MATCH(COLUMNS($AO$1006:AS1006),$AO$1006:$BQ$1006,0)), HYPERLINK("#",""), HYPERLINK(CONCATENATE("#Metadata!", ADDRESS(INDEX($AJ$2:$AJ$1001,MATCH(ROWS($AH$2:AH631),$AH$2:$AH$1001,0),0), INDEX($AO$1004:$BQ$1004,1,MATCH(COLUMNS($AO$1006:AS1006),$AO$1006:$BQ$1006,0)))),"Fix")))</f>
        <v>#N/A</v>
      </c>
      <c r="G631" s="5" t="e">
        <f ca="1">IF(OR(INDEX($AI$2:$AI$1001,MATCH(ROWS($AH$2:AH631),$AH$2:$AH$1001,0),1)&gt;=100000,INDEX($AO$1005:$BQ$1005,1,MATCH(COLUMNS($AO$1006:AT1006),$AO$1006:$BQ$1006,0))&gt;=100000), " ",IF(INDEX($AO$2:$BQ$1001,MATCH(ROWS($AH$2:AH631),$AH$2:$AH$1001,0),MATCH(COLUMNS($AO$1006:AT1006),$AO$1006:$BQ$1006,0)), HYPERLINK("#",""), HYPERLINK(CONCATENATE("#Metadata!", ADDRESS(INDEX($AJ$2:$AJ$1001,MATCH(ROWS($AH$2:AH631),$AH$2:$AH$1001,0),0), INDEX($AO$1004:$BQ$1004,1,MATCH(COLUMNS($AO$1006:AT1006),$AO$1006:$BQ$1006,0)))),"Fix")))</f>
        <v>#N/A</v>
      </c>
      <c r="H631" s="5" t="e">
        <f ca="1">IF(OR(INDEX($AI$2:$AI$1001,MATCH(ROWS($AH$2:AH631),$AH$2:$AH$1001,0),1)&gt;=100000,INDEX($AO$1005:$BQ$1005,1,MATCH(COLUMNS($AO$1006:AU1006),$AO$1006:$BQ$1006,0))&gt;=100000), " ",IF(INDEX($AO$2:$BQ$1001,MATCH(ROWS($AH$2:AH631),$AH$2:$AH$1001,0),MATCH(COLUMNS($AO$1006:AU1006),$AO$1006:$BQ$1006,0)), HYPERLINK("#",""), HYPERLINK(CONCATENATE("#Metadata!", ADDRESS(INDEX($AJ$2:$AJ$1001,MATCH(ROWS($AH$2:AH631),$AH$2:$AH$1001,0),0), INDEX($AO$1004:$BQ$1004,1,MATCH(COLUMNS($AO$1006:AU1006),$AO$1006:$BQ$1006,0)))),"Fix")))</f>
        <v>#N/A</v>
      </c>
      <c r="I631" s="5" t="e">
        <f ca="1">IF(OR(INDEX($AI$2:$AI$1001,MATCH(ROWS($AH$2:AH631),$AH$2:$AH$1001,0),1)&gt;=100000,INDEX($AO$1005:$BQ$1005,1,MATCH(COLUMNS($AO$1006:AV1006),$AO$1006:$BQ$1006,0))&gt;=100000), " ",IF(INDEX($AO$2:$BQ$1001,MATCH(ROWS($AH$2:AH631),$AH$2:$AH$1001,0),MATCH(COLUMNS($AO$1006:AV1006),$AO$1006:$BQ$1006,0)), HYPERLINK("#",""), HYPERLINK(CONCATENATE("#Metadata!", ADDRESS(INDEX($AJ$2:$AJ$1001,MATCH(ROWS($AH$2:AH631),$AH$2:$AH$1001,0),0), INDEX($AO$1004:$BQ$1004,1,MATCH(COLUMNS($AO$1006:AV1006),$AO$1006:$BQ$1006,0)))),"Fix")))</f>
        <v>#N/A</v>
      </c>
      <c r="J631" s="5" t="e">
        <f ca="1">IF(OR(INDEX($AI$2:$AI$1001,MATCH(ROWS($AH$2:AH631),$AH$2:$AH$1001,0),1)&gt;=100000,INDEX($AO$1005:$BQ$1005,1,MATCH(COLUMNS($AO$1006:AW1006),$AO$1006:$BQ$1006,0))&gt;=100000), " ",IF(INDEX($AO$2:$BQ$1001,MATCH(ROWS($AH$2:AH631),$AH$2:$AH$1001,0),MATCH(COLUMNS($AO$1006:AW1006),$AO$1006:$BQ$1006,0)), HYPERLINK("#",""), HYPERLINK(CONCATENATE("#Metadata!", ADDRESS(INDEX($AJ$2:$AJ$1001,MATCH(ROWS($AH$2:AH631),$AH$2:$AH$1001,0),0), INDEX($AO$1004:$BQ$1004,1,MATCH(COLUMNS($AO$1006:AW1006),$AO$1006:$BQ$1006,0)))),"Fix")))</f>
        <v>#N/A</v>
      </c>
      <c r="K631" s="5" t="e">
        <f ca="1">IF(OR(INDEX($AI$2:$AI$1001,MATCH(ROWS($AH$2:AH631),$AH$2:$AH$1001,0),1)&gt;=100000,INDEX($AO$1005:$BQ$1005,1,MATCH(COLUMNS($AO$1006:AX1006),$AO$1006:$BQ$1006,0))&gt;=100000), " ",IF(INDEX($AO$2:$BQ$1001,MATCH(ROWS($AH$2:AH631),$AH$2:$AH$1001,0),MATCH(COLUMNS($AO$1006:AX1006),$AO$1006:$BQ$1006,0)), HYPERLINK("#",""), HYPERLINK(CONCATENATE("#Metadata!", ADDRESS(INDEX($AJ$2:$AJ$1001,MATCH(ROWS($AH$2:AH631),$AH$2:$AH$1001,0),0), INDEX($AO$1004:$BQ$1004,1,MATCH(COLUMNS($AO$1006:AX1006),$AO$1006:$BQ$1006,0)))),"Fix")))</f>
        <v>#N/A</v>
      </c>
      <c r="L631" s="5" t="e">
        <f ca="1">IF(OR(INDEX($AI$2:$AI$1001,MATCH(ROWS($AH$2:AH631),$AH$2:$AH$1001,0),1)&gt;=100000,INDEX($AO$1005:$BQ$1005,1,MATCH(COLUMNS($AO$1006:AY1006),$AO$1006:$BQ$1006,0))&gt;=100000), " ",IF(INDEX($AO$2:$BQ$1001,MATCH(ROWS($AH$2:AH631),$AH$2:$AH$1001,0),MATCH(COLUMNS($AO$1006:AY1006),$AO$1006:$BQ$1006,0)), HYPERLINK("#",""), HYPERLINK(CONCATENATE("#Metadata!", ADDRESS(INDEX($AJ$2:$AJ$1001,MATCH(ROWS($AH$2:AH631),$AH$2:$AH$1001,0),0), INDEX($AO$1004:$BQ$1004,1,MATCH(COLUMNS($AO$1006:AY1006),$AO$1006:$BQ$1006,0)))),"Fix")))</f>
        <v>#N/A</v>
      </c>
      <c r="M631" s="5" t="e">
        <f ca="1">IF(OR(INDEX($AI$2:$AI$1001,MATCH(ROWS($AH$2:AH631),$AH$2:$AH$1001,0),1)&gt;=100000,INDEX($AO$1005:$BQ$1005,1,MATCH(COLUMNS($AO$1006:AZ1006),$AO$1006:$BQ$1006,0))&gt;=100000), " ",IF(INDEX($AO$2:$BQ$1001,MATCH(ROWS($AH$2:AH631),$AH$2:$AH$1001,0),MATCH(COLUMNS($AO$1006:AZ1006),$AO$1006:$BQ$1006,0)), HYPERLINK("#",""), HYPERLINK(CONCATENATE("#Metadata!", ADDRESS(INDEX($AJ$2:$AJ$1001,MATCH(ROWS($AH$2:AH631),$AH$2:$AH$1001,0),0), INDEX($AO$1004:$BQ$1004,1,MATCH(COLUMNS($AO$1006:AZ1006),$AO$1006:$BQ$1006,0)))),"Fix")))</f>
        <v>#N/A</v>
      </c>
      <c r="N631" s="5" t="e">
        <f ca="1">IF(OR(INDEX($AI$2:$AI$1001,MATCH(ROWS($AH$2:AH631),$AH$2:$AH$1001,0),1)&gt;=100000,INDEX($AO$1005:$BQ$1005,1,MATCH(COLUMNS($AO$1006:BA1006),$AO$1006:$BQ$1006,0))&gt;=100000), " ",IF(INDEX($AO$2:$BQ$1001,MATCH(ROWS($AH$2:AH631),$AH$2:$AH$1001,0),MATCH(COLUMNS($AO$1006:BA1006),$AO$1006:$BQ$1006,0)), HYPERLINK("#",""), HYPERLINK(CONCATENATE("#Metadata!", ADDRESS(INDEX($AJ$2:$AJ$1001,MATCH(ROWS($AH$2:AH631),$AH$2:$AH$1001,0),0), INDEX($AO$1004:$BQ$1004,1,MATCH(COLUMNS($AO$1006:BA1006),$AO$1006:$BQ$1006,0)))),"Fix")))</f>
        <v>#N/A</v>
      </c>
      <c r="O631" s="5" t="e">
        <f ca="1">IF(OR(INDEX($AI$2:$AI$1001,MATCH(ROWS($AH$2:AH631),$AH$2:$AH$1001,0),1)&gt;=100000,INDEX($AO$1005:$BQ$1005,1,MATCH(COLUMNS($AO$1006:BB1006),$AO$1006:$BQ$1006,0))&gt;=100000), " ",IF(INDEX($AO$2:$BQ$1001,MATCH(ROWS($AH$2:AH631),$AH$2:$AH$1001,0),MATCH(COLUMNS($AO$1006:BB1006),$AO$1006:$BQ$1006,0)), HYPERLINK("#",""), HYPERLINK(CONCATENATE("#Metadata!", ADDRESS(INDEX($AJ$2:$AJ$1001,MATCH(ROWS($AH$2:AH631),$AH$2:$AH$1001,0),0), INDEX($AO$1004:$BQ$1004,1,MATCH(COLUMNS($AO$1006:BB1006),$AO$1006:$BQ$1006,0)))),"Fix")))</f>
        <v>#N/A</v>
      </c>
      <c r="P631" s="5" t="e">
        <f ca="1">IF(OR(INDEX($AI$2:$AI$1001,MATCH(ROWS($AH$2:AH631),$AH$2:$AH$1001,0),1)&gt;=100000,INDEX($AO$1005:$BQ$1005,1,MATCH(COLUMNS($AO$1006:BC1006),$AO$1006:$BQ$1006,0))&gt;=100000), " ",IF(INDEX($AO$2:$BQ$1001,MATCH(ROWS($AH$2:AH631),$AH$2:$AH$1001,0),MATCH(COLUMNS($AO$1006:BC1006),$AO$1006:$BQ$1006,0)), HYPERLINK("#",""), HYPERLINK(CONCATENATE("#Metadata!", ADDRESS(INDEX($AJ$2:$AJ$1001,MATCH(ROWS($AH$2:AH631),$AH$2:$AH$1001,0),0), INDEX($AO$1004:$BQ$1004,1,MATCH(COLUMNS($AO$1006:BC1006),$AO$1006:$BQ$1006,0)))),"Fix")))</f>
        <v>#N/A</v>
      </c>
      <c r="Q631" s="5" t="e">
        <f ca="1">IF(OR(INDEX($AI$2:$AI$1001,MATCH(ROWS($AH$2:AH631),$AH$2:$AH$1001,0),1)&gt;=100000,INDEX($AO$1005:$BQ$1005,1,MATCH(COLUMNS($AO$1006:BD1006),$AO$1006:$BQ$1006,0))&gt;=100000), " ",IF(INDEX($AO$2:$BQ$1001,MATCH(ROWS($AH$2:AH631),$AH$2:$AH$1001,0),MATCH(COLUMNS($AO$1006:BD1006),$AO$1006:$BQ$1006,0)), HYPERLINK("#",""), HYPERLINK(CONCATENATE("#Metadata!", ADDRESS(INDEX($AJ$2:$AJ$1001,MATCH(ROWS($AH$2:AH631),$AH$2:$AH$1001,0),0), INDEX($AO$1004:$BQ$1004,1,MATCH(COLUMNS($AO$1006:BD1006),$AO$1006:$BQ$1006,0)))),"Fix")))</f>
        <v>#N/A</v>
      </c>
      <c r="R631" s="5" t="e">
        <f ca="1">IF(OR(INDEX($AI$2:$AI$1001,MATCH(ROWS($AH$2:AH631),$AH$2:$AH$1001,0),1)&gt;=100000,INDEX($AO$1005:$BQ$1005,1,MATCH(COLUMNS($AO$1006:BE1006),$AO$1006:$BQ$1006,0))&gt;=100000), " ",IF(INDEX($AO$2:$BQ$1001,MATCH(ROWS($AH$2:AH631),$AH$2:$AH$1001,0),MATCH(COLUMNS($AO$1006:BE1006),$AO$1006:$BQ$1006,0)), HYPERLINK("#",""), HYPERLINK(CONCATENATE("#Metadata!", ADDRESS(INDEX($AJ$2:$AJ$1001,MATCH(ROWS($AH$2:AH631),$AH$2:$AH$1001,0),0), INDEX($AO$1004:$BQ$1004,1,MATCH(COLUMNS($AO$1006:BE1006),$AO$1006:$BQ$1006,0)))),"Fix")))</f>
        <v>#N/A</v>
      </c>
      <c r="S631" s="5" t="e">
        <f ca="1">IF(OR(INDEX($AI$2:$AI$1001,MATCH(ROWS($AH$2:AH631),$AH$2:$AH$1001,0),1)&gt;=100000,INDEX($AO$1005:$BQ$1005,1,MATCH(COLUMNS($AO$1006:BF1006),$AO$1006:$BQ$1006,0))&gt;=100000), " ",IF(INDEX($AO$2:$BQ$1001,MATCH(ROWS($AH$2:AH631),$AH$2:$AH$1001,0),MATCH(COLUMNS($AO$1006:BF1006),$AO$1006:$BQ$1006,0)), HYPERLINK("#",""), HYPERLINK(CONCATENATE("#Metadata!", ADDRESS(INDEX($AJ$2:$AJ$1001,MATCH(ROWS($AH$2:AH631),$AH$2:$AH$1001,0),0), INDEX($AO$1004:$BQ$1004,1,MATCH(COLUMNS($AO$1006:BF1006),$AO$1006:$BQ$1006,0)))),"Fix")))</f>
        <v>#N/A</v>
      </c>
      <c r="T631" s="5" t="e">
        <f ca="1">IF(OR(INDEX($AI$2:$AI$1001,MATCH(ROWS($AH$2:AH631),$AH$2:$AH$1001,0),1)&gt;=100000,INDEX($AO$1005:$BQ$1005,1,MATCH(COLUMNS($AO$1006:BG1006),$AO$1006:$BQ$1006,0))&gt;=100000), " ",IF(INDEX($AO$2:$BQ$1001,MATCH(ROWS($AH$2:AH631),$AH$2:$AH$1001,0),MATCH(COLUMNS($AO$1006:BG1006),$AO$1006:$BQ$1006,0)), HYPERLINK("#",""), HYPERLINK(CONCATENATE("#Metadata!", ADDRESS(INDEX($AJ$2:$AJ$1001,MATCH(ROWS($AH$2:AH631),$AH$2:$AH$1001,0),0), INDEX($AO$1004:$BQ$1004,1,MATCH(COLUMNS($AO$1006:BG1006),$AO$1006:$BQ$1006,0)))),"Fix")))</f>
        <v>#N/A</v>
      </c>
      <c r="U631" s="5" t="e">
        <f ca="1">IF(OR(INDEX($AI$2:$AI$1001,MATCH(ROWS($AH$2:AH631),$AH$2:$AH$1001,0),1)&gt;=100000,INDEX($AO$1005:$BQ$1005,1,MATCH(COLUMNS($AO$1006:BH1006),$AO$1006:$BQ$1006,0))&gt;=100000), " ",IF(INDEX($AO$2:$BQ$1001,MATCH(ROWS($AH$2:AH631),$AH$2:$AH$1001,0),MATCH(COLUMNS($AO$1006:BH1006),$AO$1006:$BQ$1006,0)), HYPERLINK("#",""), HYPERLINK(CONCATENATE("#Metadata!", ADDRESS(INDEX($AJ$2:$AJ$1001,MATCH(ROWS($AH$2:AH631),$AH$2:$AH$1001,0),0), INDEX($AO$1004:$BQ$1004,1,MATCH(COLUMNS($AO$1006:BH1006),$AO$1006:$BQ$1006,0)))),"Fix")))</f>
        <v>#N/A</v>
      </c>
      <c r="V631" s="5" t="e">
        <f ca="1">IF(OR(INDEX($AI$2:$AI$1001,MATCH(ROWS($AH$2:AH631),$AH$2:$AH$1001,0),1)&gt;=100000,INDEX($AO$1005:$BQ$1005,1,MATCH(COLUMNS($AO$1006:BI1006),$AO$1006:$BQ$1006,0))&gt;=100000), " ",IF(INDEX($AO$2:$BQ$1001,MATCH(ROWS($AH$2:AH631),$AH$2:$AH$1001,0),MATCH(COLUMNS($AO$1006:BI1006),$AO$1006:$BQ$1006,0)), HYPERLINK("#",""), HYPERLINK(CONCATENATE("#Metadata!", ADDRESS(INDEX($AJ$2:$AJ$1001,MATCH(ROWS($AH$2:AH631),$AH$2:$AH$1001,0),0), INDEX($AO$1004:$BQ$1004,1,MATCH(COLUMNS($AO$1006:BI1006),$AO$1006:$BQ$1006,0)))),"Fix")))</f>
        <v>#N/A</v>
      </c>
      <c r="W631" s="5" t="e">
        <f ca="1">IF(OR(INDEX($AI$2:$AI$1001,MATCH(ROWS($AH$2:AH631),$AH$2:$AH$1001,0),1)&gt;=100000,INDEX($AO$1005:$BQ$1005,1,MATCH(COLUMNS($AO$1006:BJ1006),$AO$1006:$BQ$1006,0))&gt;=100000), " ",IF(INDEX($AO$2:$BQ$1001,MATCH(ROWS($AH$2:AH631),$AH$2:$AH$1001,0),MATCH(COLUMNS($AO$1006:BJ1006),$AO$1006:$BQ$1006,0)), HYPERLINK("#",""), HYPERLINK(CONCATENATE("#Metadata!", ADDRESS(INDEX($AJ$2:$AJ$1001,MATCH(ROWS($AH$2:AH631),$AH$2:$AH$1001,0),0), INDEX($AO$1004:$BQ$1004,1,MATCH(COLUMNS($AO$1006:BJ1006),$AO$1006:$BQ$1006,0)))),"Fix")))</f>
        <v>#N/A</v>
      </c>
      <c r="X631" s="5" t="e">
        <f ca="1">IF(OR(INDEX($AI$2:$AI$1001,MATCH(ROWS($AH$2:AH631),$AH$2:$AH$1001,0),1)&gt;=100000,INDEX($AO$1005:$BQ$1005,1,MATCH(COLUMNS($AO$1006:BK1006),$AO$1006:$BQ$1006,0))&gt;=100000), " ",IF(INDEX($AO$2:$BQ$1001,MATCH(ROWS($AH$2:AH631),$AH$2:$AH$1001,0),MATCH(COLUMNS($AO$1006:BK1006),$AO$1006:$BQ$1006,0)), HYPERLINK("#",""), HYPERLINK(CONCATENATE("#Metadata!", ADDRESS(INDEX($AJ$2:$AJ$1001,MATCH(ROWS($AH$2:AH631),$AH$2:$AH$1001,0),0), INDEX($AO$1004:$BQ$1004,1,MATCH(COLUMNS($AO$1006:BK1006),$AO$1006:$BQ$1006,0)))),"Fix")))</f>
        <v>#N/A</v>
      </c>
      <c r="Y631" s="5" t="e">
        <f ca="1">IF(OR(INDEX($AI$2:$AI$1001,MATCH(ROWS($AH$2:AH631),$AH$2:$AH$1001,0),1)&gt;=100000,INDEX($AO$1005:$BQ$1005,1,MATCH(COLUMNS($AO$1006:BL1006),$AO$1006:$BQ$1006,0))&gt;=100000), " ",IF(INDEX($AO$2:$BQ$1001,MATCH(ROWS($AH$2:AH631),$AH$2:$AH$1001,0),MATCH(COLUMNS($AO$1006:BL1006),$AO$1006:$BQ$1006,0)), HYPERLINK("#",""), HYPERLINK(CONCATENATE("#Metadata!", ADDRESS(INDEX($AJ$2:$AJ$1001,MATCH(ROWS($AH$2:AH631),$AH$2:$AH$1001,0),0), INDEX($AO$1004:$BQ$1004,1,MATCH(COLUMNS($AO$1006:BL1006),$AO$1006:$BQ$1006,0)))),"Fix")))</f>
        <v>#N/A</v>
      </c>
      <c r="Z631" s="5" t="e">
        <f ca="1">IF(OR(INDEX($AI$2:$AI$1001,MATCH(ROWS($AH$2:AH631),$AH$2:$AH$1001,0),1)&gt;=100000,INDEX($AO$1005:$BQ$1005,1,MATCH(COLUMNS($AO$1006:BM1006),$AO$1006:$BQ$1006,0))&gt;=100000), " ",IF(INDEX($AO$2:$BQ$1001,MATCH(ROWS($AH$2:AH631),$AH$2:$AH$1001,0),MATCH(COLUMNS($AO$1006:BM1006),$AO$1006:$BQ$1006,0)), HYPERLINK("#",""), HYPERLINK(CONCATENATE("#Metadata!", ADDRESS(INDEX($AJ$2:$AJ$1001,MATCH(ROWS($AH$2:AH631),$AH$2:$AH$1001,0),0), INDEX($AO$1004:$BQ$1004,1,MATCH(COLUMNS($AO$1006:BM1006),$AO$1006:$BQ$1006,0)))),"Fix")))</f>
        <v>#N/A</v>
      </c>
      <c r="AA631" s="5" t="e">
        <f ca="1">IF(OR(INDEX($AI$2:$AI$1001,MATCH(ROWS($AH$2:AH631),$AH$2:$AH$1001,0),1)&gt;=100000,INDEX($AO$1005:$BQ$1005,1,MATCH(COLUMNS($AO$1006:BN1006),$AO$1006:$BQ$1006,0))&gt;=100000), " ",IF(INDEX($AO$2:$BQ$1001,MATCH(ROWS($AH$2:AH631),$AH$2:$AH$1001,0),MATCH(COLUMNS($AO$1006:BN1006),$AO$1006:$BQ$1006,0)), HYPERLINK("#",""), HYPERLINK(CONCATENATE("#Metadata!", ADDRESS(INDEX($AJ$2:$AJ$1001,MATCH(ROWS($AH$2:AH631),$AH$2:$AH$1001,0),0), INDEX($AO$1004:$BQ$1004,1,MATCH(COLUMNS($AO$1006:BN1006),$AO$1006:$BQ$1006,0)))),"Fix")))</f>
        <v>#N/A</v>
      </c>
      <c r="AB631" s="5" t="e">
        <f ca="1">IF(OR(INDEX($AI$2:$AI$1001,MATCH(ROWS($AH$2:AH631),$AH$2:$AH$1001,0),1)&gt;=100000,INDEX($AO$1005:$BQ$1005,1,MATCH(COLUMNS($AO$1006:BO1006),$AO$1006:$BQ$1006,0))&gt;=100000), " ",IF(INDEX($AO$2:$BQ$1001,MATCH(ROWS($AH$2:AH631),$AH$2:$AH$1001,0),MATCH(COLUMNS($AO$1006:BO1006),$AO$1006:$BQ$1006,0)), HYPERLINK("#",""), HYPERLINK(CONCATENATE("#Metadata!", ADDRESS(INDEX($AJ$2:$AJ$1001,MATCH(ROWS($AH$2:AH631),$AH$2:$AH$1001,0),0), INDEX($AO$1004:$BQ$1004,1,MATCH(COLUMNS($AO$1006:BO1006),$AO$1006:$BQ$1006,0)))),"Fix")))</f>
        <v>#N/A</v>
      </c>
      <c r="AC631" s="5" t="e">
        <f ca="1">IF(OR(INDEX($AI$2:$AI$1001,MATCH(ROWS($AH$2:AH631),$AH$2:$AH$1001,0),1)&gt;=100000,INDEX($AO$1005:$BQ$1005,1,MATCH(COLUMNS($AO$1006:BP1006),$AO$1006:$BQ$1006,0))&gt;=100000), " ",IF(INDEX($AO$2:$BQ$1001,MATCH(ROWS($AH$2:AH631),$AH$2:$AH$1001,0),MATCH(COLUMNS($AO$1006:BP1006),$AO$1006:$BQ$1006,0)), HYPERLINK("#",""), HYPERLINK(CONCATENATE("#Metadata!", ADDRESS(INDEX($AJ$2:$AJ$1001,MATCH(ROWS($AH$2:AH631),$AH$2:$AH$1001,0),0), INDEX($AO$1004:$BQ$1004,1,MATCH(COLUMNS($AO$1006:BP1006),$AO$1006:$BQ$1006,0)))),"Fix")))</f>
        <v>#N/A</v>
      </c>
      <c r="AD631" s="5" t="e">
        <f ca="1">IF(OR(INDEX($AI$2:$AI$1001,MATCH(ROWS($AH$2:AH631),$AH$2:$AH$1001,0),1)&gt;=100000,INDEX($AO$1005:$BQ$1005,1,MATCH(COLUMNS($AO$1006:BQ1006),$AO$1006:$BQ$1006,0))&gt;=100000), " ",IF(INDEX($AO$2:$BQ$1001,MATCH(ROWS($AH$2:AH631),$AH$2:$AH$1001,0),MATCH(COLUMNS($AO$1006:BQ1006),$AO$1006:$BQ$1006,0)), HYPERLINK("#",""), HYPERLINK(CONCATENATE("#Metadata!", ADDRESS(INDEX($AJ$2:$AJ$1001,MATCH(ROWS($AH$2:AH631),$AH$2:$AH$1001,0),0), INDEX($AO$1004:$BQ$1004,1,MATCH(COLUMNS($AO$1006:BQ1006),$AO$1006:$BQ$1006,0)))),"Fix")))</f>
        <v>#REF!</v>
      </c>
      <c r="AH631">
        <f ca="1"/>
        <v>628</v>
      </c>
      <c r="AI631">
        <v>100631</v>
      </c>
      <c r="AJ631">
        <v>631</v>
      </c>
      <c r="AK631" t="b">
        <f t="shared" si="9"/>
        <v>1</v>
      </c>
      <c r="AL631" t="b">
        <f>COUNTBLANK(Metadata!B631:AD631)=COLUMNS(Metadata!B631:AD631)</f>
        <v>1</v>
      </c>
      <c r="AM631" t="str">
        <v/>
      </c>
      <c r="AO631" t="b">
        <f ca="1">AND(IF(Metadata!B631="",FALSE,TRUE),COUNTIF(Metadata!B:B, Metadata!B631) = 1,NOT(ISERROR(SUMPRODUCT(SEARCH(MID(Metadata!B631,ROW(INDIRECT("1:"&amp;LEN(Metadata!B631))), 1),"0123456789abcdefghijklmnopqrstuvwxyzABCDEFGHIJKLMNOPQRSTUVWXYZ.")))))</f>
        <v>0</v>
      </c>
      <c r="AP631" t="b">
        <f>IF(Metadata!C631="",FALSE,TRUE)</f>
        <v>0</v>
      </c>
      <c r="AQ631" t="b">
        <f>IF(Metadata!D631="",FALSE,TRUE)</f>
        <v>0</v>
      </c>
      <c r="AR631" t="b">
        <f ca="1">OR(AND(IF(Metadata!E631="",FALSE,TRUE),OR(EXACT(Metadata!E631,"not collected"),EXACT(Metadata!E631,"not provided"),EXACT(Metadata!E631,"restricted access"))),AND(IF(Metadata!E631="",FALSE,TRUE),AND(AND(IFERROR(INT(LEFT(Metadata!E631,4))&gt;1900,FALSE),IFERROR(INT(LEFT(Metadata!E631,4))&lt;=YEAR(NOW()),FALSE)), OR(MID(Metadata!E631,5,1)="", AND(AND(MID(Metadata!E631,5,1)="-",IFERROR(INT(MID(Metadata!E631,6,1))&gt;=0,FALSE),IFERROR(INT(MID(Metadata!E631,6,1))&lt;=1,FALSE),NOT(MID(Metadata!E631,7,1)=""),IFERROR(INT(MID(Metadata!E631,6,2))&gt;=1,FALSE),IFERROR(INT(MID(Metadata!E631,6,2))&lt;=12,FALSE)), OR(MID(Metadata!E631,8,1)="", AND(AND(MID(Metadata!E631,8,1)="-",IFERROR(INT(MID(Metadata!E631,9,1))&gt;=0,FALSE),IFERROR(INT(MID(Metadata!E631,9,1))&lt;=3,FALSE),NOT(MID(Metadata!E631,10,1)=""),IFERROR(INT(MID(Metadata!E631,9,2))&gt;=1,FALSE),IFERROR(INT(MID(Metadata!E631,9,2))&lt;=31,FALSE)), OR(MID(Metadata!E631,11,1)="", AND(AND(MID(Metadata!E631,11,1)=" ",IFERROR(INT(MID(Metadata!E631,12,1))&gt;=0,FALSE),IFERROR(INT(MID(Metadata!E631,12,1))&lt;=2,FALSE),NOT(MID(Metadata!E631,13,1)=""),IFERROR(INT(MID(Metadata!E631,12,2))&gt;=0,FALSE),IFERROR(INT(MID(Metadata!E631,12,2))&lt;=23,FALSE)), OR(MID(Metadata!E631,14,1)="", AND(AND(MID(Metadata!E631,14,1)=":",IFERROR(INT(MID(Metadata!E631,15,1))&gt;=0,FALSE),IFERROR(INT(MID(Metadata!E631,15,1))&lt;=5,FALSE),NOT(MID(Metadata!E631,16,1)=""),IFERROR(INT(MID(Metadata!E631,15,2))&gt;=0,FALSE),IFERROR(INT(MID(Metadata!E631,15,2))&lt;=59,FALSE)), OR(MID(Metadata!E631,17,1)="", AND(AND(MID(Metadata!E631,17,1)=":",IFERROR(INT(MID(Metadata!E631,18,1))&gt;=0,FALSE),IFERROR(INT(MID(Metadata!E631,18,1))&lt;=5,FALSE),NOT(MID(Metadata!E631,19,1)=""),IFERROR(INT(MID(Metadata!E631,18,2))&gt;=0,FALSE),IFERROR(INT(MID(Metadata!E631,18,2))&lt;=59,FALSE)), LEN(Metadata!E631)&lt;=19)))))))))))))</f>
        <v>0</v>
      </c>
      <c r="AS631" t="b">
        <f>IF(Metadata!F631="",FALSE,TRUE)</f>
        <v>0</v>
      </c>
      <c r="AT631" t="b">
        <f>OR(AND(IF(Metadata!G631="",FALSE,TRUE),OR(EXACT(Metadata!G631,"not collected"),EXACT(Metadata!G631,"not provided"))),AND(IF(Metadata!G631="",FALSE,TRUE),OR(EXACT(Metadata!G631,"TRUE"),EXACT(Metadata!G631,"FALSE"))))</f>
        <v>0</v>
      </c>
      <c r="AU631" t="b">
        <f>OR(AND(IF(Metadata!H631="",FALSE,TRUE),OR(EXACT(Metadata!H631,"not collected"),EXACT(Metadata!H631,"not provided"),EXACT(Metadata!H631,"restricted access"))),AND(IF(Metadata!H631="",FALSE,ISNUMBER(VALUE(Metadata!H631))),Metadata!H631&gt;=-413))</f>
        <v>0</v>
      </c>
      <c r="AV631" t="b">
        <f>AND(IF(Metadata!I631="",FALSE,TRUE),EXACT(Metadata!I631,"meters"))</f>
        <v>0</v>
      </c>
      <c r="AW631" t="b">
        <f>AND(IF(Metadata!J631="",FALSE,TRUE),EXACT(Metadata!J631,"free-living"))</f>
        <v>0</v>
      </c>
      <c r="AX631" t="b">
        <f>AND(IF(Metadata!K631="",FALSE,TRUE),OR(EXACT(Metadata!K631,"saline"),EXACT(Metadata!K631,"non-saline")))</f>
        <v>0</v>
      </c>
      <c r="AY631" t="b">
        <f>AND(IF(Metadata!L631="",FALSE,TRUE),OR(EXACT(Metadata!L631,"sub-surface (non-saline)"),EXACT(Metadata!L631,"surface (non-saline)"),EXACT(Metadata!L631,"water (non-saline)"),EXACT(Metadata!L631,"soil (non-saline)"),EXACT(Metadata!L631,"aerosol (non-saline)"),EXACT(Metadata!L631,"sediment (non-saline)"),EXACT(Metadata!L631,"surface (saline)"),EXACT(Metadata!L631,"water (saline)"),EXACT(Metadata!L631,"hypersaline (saline)"),EXACT(Metadata!L631,"aerosol (saline)"),EXACT(Metadata!L631,"sediment (saline)")))</f>
        <v>0</v>
      </c>
      <c r="AZ631" t="b">
        <f>IF(Metadata!M631="",FALSE,TRUE)</f>
        <v>0</v>
      </c>
      <c r="BA631" t="b">
        <f>IF(Metadata!N631="",FALSE,TRUE)</f>
        <v>0</v>
      </c>
      <c r="BB631" t="b">
        <f>IF(Metadata!O631="",FALSE,TRUE)</f>
        <v>0</v>
      </c>
      <c r="BC631" t="b">
        <f>AND(IF(Metadata!P631="",FALSE,TRUE),OR(EXACT(Metadata!P631,"air"),EXACT(Metadata!P631,"microbial mat/biofilm"),EXACT(Metadata!P631,"misc environment"),EXACT(Metadata!P631,"sediment"),EXACT(Metadata!P631,"soil"),EXACT(Metadata!P631,"wastewater/sludge"),EXACT(Metadata!P631,"water")))</f>
        <v>0</v>
      </c>
      <c r="BD631" t="b">
        <f>IF(Metadata!Q631="",FALSE,TRUE)</f>
        <v>0</v>
      </c>
      <c r="BE631" t="b">
        <f>IF(Metadata!R631="",FALSE,TRUE)</f>
        <v>0</v>
      </c>
      <c r="BF631" t="b">
        <f>OR(AND(IF(Metadata!S631="",FALSE,TRUE),OR(EXACT(Metadata!S631,"not collected"),EXACT(Metadata!S631,"not provided"),EXACT(Metadata!S631,"restricted access"))),AND(IF(Metadata!S631="",FALSE,ISNUMBER(VALUE(Metadata!S631))),Metadata!S631&gt;=-90,Metadata!S631&lt;=90))</f>
        <v>0</v>
      </c>
      <c r="BG631" t="b">
        <f>AND(IF(Metadata!T631="",FALSE,TRUE),EXACT(Metadata!T631,"Decimal degrees"))</f>
        <v>0</v>
      </c>
      <c r="BH631" t="b">
        <f>OR(AND(IF(Metadata!U631="",FALSE,TRUE),OR(EXACT(Metadata!U631,"not applicable"),EXACT(Metadata!U631,"not collected"))),IF(Metadata!U631="",FALSE,TRUE))</f>
        <v>0</v>
      </c>
      <c r="BI631" t="b">
        <f>OR(AND(IF(Metadata!V631="",FALSE,TRUE),OR(EXACT(Metadata!V631,"not collected"),EXACT(Metadata!V631,"not provided"),EXACT(Metadata!V631,"restricted access"))),AND(IF(Metadata!V631="",FALSE,ISNUMBER(VALUE(Metadata!V631))),Metadata!V631&gt;=-180,Metadata!V631&lt;=180))</f>
        <v>0</v>
      </c>
      <c r="BJ631" t="b">
        <f>AND(IF(Metadata!W631="",FALSE,TRUE),EXACT(Metadata!W631,"Decimal degrees"))</f>
        <v>0</v>
      </c>
      <c r="BK631" t="b">
        <f>IF(Metadata!X631="",FALSE,TRUE)</f>
        <v>0</v>
      </c>
      <c r="BL631" t="b">
        <f>OR(AND(IF(Metadata!Y631="",FALSE,TRUE),OR(EXACT(Metadata!Y631,"not collected"),EXACT(Metadata!Y631,"not provided"),EXACT(Metadata!Y631,"restricted access"))),AND(IF(Metadata!Y631="",FALSE,TRUE),OR(EXACT(Metadata!Y631,"TRUE"),EXACT(Metadata!Y631,"FALSE"))))</f>
        <v>0</v>
      </c>
      <c r="BM631" t="b">
        <f>OR(AND(IF(Metadata!Z631="",FALSE,TRUE),EXACT(Metadata!Z631,"not applicable")),AND(IF(Metadata!Z631="",FALSE,TRUE),OR(EXACT(Metadata!Z631,"beer"),EXACT(Metadata!Z631,"cheese"),EXACT(Metadata!Z631,"fresh water"),EXACT(Metadata!Z631,"marine sediment"),EXACT(Metadata!Z631,"sea water"),EXACT(Metadata!Z631,"sediment"),EXACT(Metadata!Z631,"soil"),EXACT(Metadata!Z631,"waste water"))))</f>
        <v>0</v>
      </c>
      <c r="BN631" t="b">
        <f>AND(IF(Metadata!AA631="",FALSE,TRUE),EXACT(Metadata!AA631,"metagenome"))</f>
        <v>0</v>
      </c>
      <c r="BO631" t="b">
        <f>AND(IF(Metadata!AB631="",FALSE,TRUE),EXACT(Metadata!AB631,"256318"))</f>
        <v>0</v>
      </c>
      <c r="BP631" t="b">
        <f>IF(Metadata!AC631="",FALSE,TRUE)</f>
        <v>0</v>
      </c>
      <c r="BQ631" t="b">
        <f>IF(Metadata!AD631="",FALSE,TRUE)</f>
        <v>0</v>
      </c>
    </row>
    <row r="632" spans="1:69" x14ac:dyDescent="0.2">
      <c r="A632" s="4" t="e">
        <f ca="1">IF(B632=" "," ",HYPERLINK(CONCATENATE("#metadata!",ADDRESS(INDEX($AJ$2:$AJ$1001,MATCH(ROWS($AH$2:AH632),$AH$2:$AH$1001,0),0),2)),INDEX($AM$2:$AM$1001,MATCH(ROWS($AH$2:AH632),$AH$2:$AH$1001,0),0)))</f>
        <v>#N/A</v>
      </c>
      <c r="B632" s="5" t="e">
        <f ca="1">IF(OR(INDEX($AI$2:$AI$1001,MATCH(ROWS($AH$2:AH632),$AH$2:$AH$1001,0),1)&gt;=100000,INDEX($AO$1005:$BQ$1005,1,MATCH(COLUMNS($AO$1006:AO1006),$AO$1006:$BQ$1006,0))&gt;=100000), " ",IF(INDEX($AO$2:$BQ$1001,MATCH(ROWS($AH$2:AH632),$AH$2:$AH$1001,0),MATCH(COLUMNS($AO$1006:AO1006),$AO$1006:$BQ$1006,0)), HYPERLINK("#",""), HYPERLINK(CONCATENATE("#Metadata!", ADDRESS(INDEX($AJ$2:$AJ$1001,MATCH(ROWS($AH$2:AH632),$AH$2:$AH$1001,0),0), INDEX($AO$1004:$BQ$1004,1,MATCH(COLUMNS($AO$1006:AO1006),$AO$1006:$BQ$1006,0)))),"Fix")))</f>
        <v>#N/A</v>
      </c>
      <c r="C632" s="5" t="e">
        <f ca="1">IF(OR(INDEX($AI$2:$AI$1001,MATCH(ROWS($AH$2:AH632),$AH$2:$AH$1001,0),1)&gt;=100000,INDEX($AO$1005:$BQ$1005,1,MATCH(COLUMNS($AO$1006:AP1006),$AO$1006:$BQ$1006,0))&gt;=100000), " ",IF(INDEX($AO$2:$BQ$1001,MATCH(ROWS($AH$2:AH632),$AH$2:$AH$1001,0),MATCH(COLUMNS($AO$1006:AP1006),$AO$1006:$BQ$1006,0)), HYPERLINK("#",""), HYPERLINK(CONCATENATE("#Metadata!", ADDRESS(INDEX($AJ$2:$AJ$1001,MATCH(ROWS($AH$2:AH632),$AH$2:$AH$1001,0),0), INDEX($AO$1004:$BQ$1004,1,MATCH(COLUMNS($AO$1006:AP1006),$AO$1006:$BQ$1006,0)))),"Fix")))</f>
        <v>#N/A</v>
      </c>
      <c r="D632" s="5" t="e">
        <f ca="1">IF(OR(INDEX($AI$2:$AI$1001,MATCH(ROWS($AH$2:AH632),$AH$2:$AH$1001,0),1)&gt;=100000,INDEX($AO$1005:$BQ$1005,1,MATCH(COLUMNS($AO$1006:AQ1006),$AO$1006:$BQ$1006,0))&gt;=100000), " ",IF(INDEX($AO$2:$BQ$1001,MATCH(ROWS($AH$2:AH632),$AH$2:$AH$1001,0),MATCH(COLUMNS($AO$1006:AQ1006),$AO$1006:$BQ$1006,0)), HYPERLINK("#",""), HYPERLINK(CONCATENATE("#Metadata!", ADDRESS(INDEX($AJ$2:$AJ$1001,MATCH(ROWS($AH$2:AH632),$AH$2:$AH$1001,0),0), INDEX($AO$1004:$BQ$1004,1,MATCH(COLUMNS($AO$1006:AQ1006),$AO$1006:$BQ$1006,0)))),"Fix")))</f>
        <v>#N/A</v>
      </c>
      <c r="E632" s="5" t="e">
        <f ca="1">IF(OR(INDEX($AI$2:$AI$1001,MATCH(ROWS($AH$2:AH632),$AH$2:$AH$1001,0),1)&gt;=100000,INDEX($AO$1005:$BQ$1005,1,MATCH(COLUMNS($AO$1006:AR1006),$AO$1006:$BQ$1006,0))&gt;=100000), " ",IF(INDEX($AO$2:$BQ$1001,MATCH(ROWS($AH$2:AH632),$AH$2:$AH$1001,0),MATCH(COLUMNS($AO$1006:AR1006),$AO$1006:$BQ$1006,0)), HYPERLINK("#",""), HYPERLINK(CONCATENATE("#Metadata!", ADDRESS(INDEX($AJ$2:$AJ$1001,MATCH(ROWS($AH$2:AH632),$AH$2:$AH$1001,0),0), INDEX($AO$1004:$BQ$1004,1,MATCH(COLUMNS($AO$1006:AR1006),$AO$1006:$BQ$1006,0)))),"Fix")))</f>
        <v>#N/A</v>
      </c>
      <c r="F632" s="5" t="e">
        <f ca="1">IF(OR(INDEX($AI$2:$AI$1001,MATCH(ROWS($AH$2:AH632),$AH$2:$AH$1001,0),1)&gt;=100000,INDEX($AO$1005:$BQ$1005,1,MATCH(COLUMNS($AO$1006:AS1006),$AO$1006:$BQ$1006,0))&gt;=100000), " ",IF(INDEX($AO$2:$BQ$1001,MATCH(ROWS($AH$2:AH632),$AH$2:$AH$1001,0),MATCH(COLUMNS($AO$1006:AS1006),$AO$1006:$BQ$1006,0)), HYPERLINK("#",""), HYPERLINK(CONCATENATE("#Metadata!", ADDRESS(INDEX($AJ$2:$AJ$1001,MATCH(ROWS($AH$2:AH632),$AH$2:$AH$1001,0),0), INDEX($AO$1004:$BQ$1004,1,MATCH(COLUMNS($AO$1006:AS1006),$AO$1006:$BQ$1006,0)))),"Fix")))</f>
        <v>#N/A</v>
      </c>
      <c r="G632" s="5" t="e">
        <f ca="1">IF(OR(INDEX($AI$2:$AI$1001,MATCH(ROWS($AH$2:AH632),$AH$2:$AH$1001,0),1)&gt;=100000,INDEX($AO$1005:$BQ$1005,1,MATCH(COLUMNS($AO$1006:AT1006),$AO$1006:$BQ$1006,0))&gt;=100000), " ",IF(INDEX($AO$2:$BQ$1001,MATCH(ROWS($AH$2:AH632),$AH$2:$AH$1001,0),MATCH(COLUMNS($AO$1006:AT1006),$AO$1006:$BQ$1006,0)), HYPERLINK("#",""), HYPERLINK(CONCATENATE("#Metadata!", ADDRESS(INDEX($AJ$2:$AJ$1001,MATCH(ROWS($AH$2:AH632),$AH$2:$AH$1001,0),0), INDEX($AO$1004:$BQ$1004,1,MATCH(COLUMNS($AO$1006:AT1006),$AO$1006:$BQ$1006,0)))),"Fix")))</f>
        <v>#N/A</v>
      </c>
      <c r="H632" s="5" t="e">
        <f ca="1">IF(OR(INDEX($AI$2:$AI$1001,MATCH(ROWS($AH$2:AH632),$AH$2:$AH$1001,0),1)&gt;=100000,INDEX($AO$1005:$BQ$1005,1,MATCH(COLUMNS($AO$1006:AU1006),$AO$1006:$BQ$1006,0))&gt;=100000), " ",IF(INDEX($AO$2:$BQ$1001,MATCH(ROWS($AH$2:AH632),$AH$2:$AH$1001,0),MATCH(COLUMNS($AO$1006:AU1006),$AO$1006:$BQ$1006,0)), HYPERLINK("#",""), HYPERLINK(CONCATENATE("#Metadata!", ADDRESS(INDEX($AJ$2:$AJ$1001,MATCH(ROWS($AH$2:AH632),$AH$2:$AH$1001,0),0), INDEX($AO$1004:$BQ$1004,1,MATCH(COLUMNS($AO$1006:AU1006),$AO$1006:$BQ$1006,0)))),"Fix")))</f>
        <v>#N/A</v>
      </c>
      <c r="I632" s="5" t="e">
        <f ca="1">IF(OR(INDEX($AI$2:$AI$1001,MATCH(ROWS($AH$2:AH632),$AH$2:$AH$1001,0),1)&gt;=100000,INDEX($AO$1005:$BQ$1005,1,MATCH(COLUMNS($AO$1006:AV1006),$AO$1006:$BQ$1006,0))&gt;=100000), " ",IF(INDEX($AO$2:$BQ$1001,MATCH(ROWS($AH$2:AH632),$AH$2:$AH$1001,0),MATCH(COLUMNS($AO$1006:AV1006),$AO$1006:$BQ$1006,0)), HYPERLINK("#",""), HYPERLINK(CONCATENATE("#Metadata!", ADDRESS(INDEX($AJ$2:$AJ$1001,MATCH(ROWS($AH$2:AH632),$AH$2:$AH$1001,0),0), INDEX($AO$1004:$BQ$1004,1,MATCH(COLUMNS($AO$1006:AV1006),$AO$1006:$BQ$1006,0)))),"Fix")))</f>
        <v>#N/A</v>
      </c>
      <c r="J632" s="5" t="e">
        <f ca="1">IF(OR(INDEX($AI$2:$AI$1001,MATCH(ROWS($AH$2:AH632),$AH$2:$AH$1001,0),1)&gt;=100000,INDEX($AO$1005:$BQ$1005,1,MATCH(COLUMNS($AO$1006:AW1006),$AO$1006:$BQ$1006,0))&gt;=100000), " ",IF(INDEX($AO$2:$BQ$1001,MATCH(ROWS($AH$2:AH632),$AH$2:$AH$1001,0),MATCH(COLUMNS($AO$1006:AW1006),$AO$1006:$BQ$1006,0)), HYPERLINK("#",""), HYPERLINK(CONCATENATE("#Metadata!", ADDRESS(INDEX($AJ$2:$AJ$1001,MATCH(ROWS($AH$2:AH632),$AH$2:$AH$1001,0),0), INDEX($AO$1004:$BQ$1004,1,MATCH(COLUMNS($AO$1006:AW1006),$AO$1006:$BQ$1006,0)))),"Fix")))</f>
        <v>#N/A</v>
      </c>
      <c r="K632" s="5" t="e">
        <f ca="1">IF(OR(INDEX($AI$2:$AI$1001,MATCH(ROWS($AH$2:AH632),$AH$2:$AH$1001,0),1)&gt;=100000,INDEX($AO$1005:$BQ$1005,1,MATCH(COLUMNS($AO$1006:AX1006),$AO$1006:$BQ$1006,0))&gt;=100000), " ",IF(INDEX($AO$2:$BQ$1001,MATCH(ROWS($AH$2:AH632),$AH$2:$AH$1001,0),MATCH(COLUMNS($AO$1006:AX1006),$AO$1006:$BQ$1006,0)), HYPERLINK("#",""), HYPERLINK(CONCATENATE("#Metadata!", ADDRESS(INDEX($AJ$2:$AJ$1001,MATCH(ROWS($AH$2:AH632),$AH$2:$AH$1001,0),0), INDEX($AO$1004:$BQ$1004,1,MATCH(COLUMNS($AO$1006:AX1006),$AO$1006:$BQ$1006,0)))),"Fix")))</f>
        <v>#N/A</v>
      </c>
      <c r="L632" s="5" t="e">
        <f ca="1">IF(OR(INDEX($AI$2:$AI$1001,MATCH(ROWS($AH$2:AH632),$AH$2:$AH$1001,0),1)&gt;=100000,INDEX($AO$1005:$BQ$1005,1,MATCH(COLUMNS($AO$1006:AY1006),$AO$1006:$BQ$1006,0))&gt;=100000), " ",IF(INDEX($AO$2:$BQ$1001,MATCH(ROWS($AH$2:AH632),$AH$2:$AH$1001,0),MATCH(COLUMNS($AO$1006:AY1006),$AO$1006:$BQ$1006,0)), HYPERLINK("#",""), HYPERLINK(CONCATENATE("#Metadata!", ADDRESS(INDEX($AJ$2:$AJ$1001,MATCH(ROWS($AH$2:AH632),$AH$2:$AH$1001,0),0), INDEX($AO$1004:$BQ$1004,1,MATCH(COLUMNS($AO$1006:AY1006),$AO$1006:$BQ$1006,0)))),"Fix")))</f>
        <v>#N/A</v>
      </c>
      <c r="M632" s="5" t="e">
        <f ca="1">IF(OR(INDEX($AI$2:$AI$1001,MATCH(ROWS($AH$2:AH632),$AH$2:$AH$1001,0),1)&gt;=100000,INDEX($AO$1005:$BQ$1005,1,MATCH(COLUMNS($AO$1006:AZ1006),$AO$1006:$BQ$1006,0))&gt;=100000), " ",IF(INDEX($AO$2:$BQ$1001,MATCH(ROWS($AH$2:AH632),$AH$2:$AH$1001,0),MATCH(COLUMNS($AO$1006:AZ1006),$AO$1006:$BQ$1006,0)), HYPERLINK("#",""), HYPERLINK(CONCATENATE("#Metadata!", ADDRESS(INDEX($AJ$2:$AJ$1001,MATCH(ROWS($AH$2:AH632),$AH$2:$AH$1001,0),0), INDEX($AO$1004:$BQ$1004,1,MATCH(COLUMNS($AO$1006:AZ1006),$AO$1006:$BQ$1006,0)))),"Fix")))</f>
        <v>#N/A</v>
      </c>
      <c r="N632" s="5" t="e">
        <f ca="1">IF(OR(INDEX($AI$2:$AI$1001,MATCH(ROWS($AH$2:AH632),$AH$2:$AH$1001,0),1)&gt;=100000,INDEX($AO$1005:$BQ$1005,1,MATCH(COLUMNS($AO$1006:BA1006),$AO$1006:$BQ$1006,0))&gt;=100000), " ",IF(INDEX($AO$2:$BQ$1001,MATCH(ROWS($AH$2:AH632),$AH$2:$AH$1001,0),MATCH(COLUMNS($AO$1006:BA1006),$AO$1006:$BQ$1006,0)), HYPERLINK("#",""), HYPERLINK(CONCATENATE("#Metadata!", ADDRESS(INDEX($AJ$2:$AJ$1001,MATCH(ROWS($AH$2:AH632),$AH$2:$AH$1001,0),0), INDEX($AO$1004:$BQ$1004,1,MATCH(COLUMNS($AO$1006:BA1006),$AO$1006:$BQ$1006,0)))),"Fix")))</f>
        <v>#N/A</v>
      </c>
      <c r="O632" s="5" t="e">
        <f ca="1">IF(OR(INDEX($AI$2:$AI$1001,MATCH(ROWS($AH$2:AH632),$AH$2:$AH$1001,0),1)&gt;=100000,INDEX($AO$1005:$BQ$1005,1,MATCH(COLUMNS($AO$1006:BB1006),$AO$1006:$BQ$1006,0))&gt;=100000), " ",IF(INDEX($AO$2:$BQ$1001,MATCH(ROWS($AH$2:AH632),$AH$2:$AH$1001,0),MATCH(COLUMNS($AO$1006:BB1006),$AO$1006:$BQ$1006,0)), HYPERLINK("#",""), HYPERLINK(CONCATENATE("#Metadata!", ADDRESS(INDEX($AJ$2:$AJ$1001,MATCH(ROWS($AH$2:AH632),$AH$2:$AH$1001,0),0), INDEX($AO$1004:$BQ$1004,1,MATCH(COLUMNS($AO$1006:BB1006),$AO$1006:$BQ$1006,0)))),"Fix")))</f>
        <v>#N/A</v>
      </c>
      <c r="P632" s="5" t="e">
        <f ca="1">IF(OR(INDEX($AI$2:$AI$1001,MATCH(ROWS($AH$2:AH632),$AH$2:$AH$1001,0),1)&gt;=100000,INDEX($AO$1005:$BQ$1005,1,MATCH(COLUMNS($AO$1006:BC1006),$AO$1006:$BQ$1006,0))&gt;=100000), " ",IF(INDEX($AO$2:$BQ$1001,MATCH(ROWS($AH$2:AH632),$AH$2:$AH$1001,0),MATCH(COLUMNS($AO$1006:BC1006),$AO$1006:$BQ$1006,0)), HYPERLINK("#",""), HYPERLINK(CONCATENATE("#Metadata!", ADDRESS(INDEX($AJ$2:$AJ$1001,MATCH(ROWS($AH$2:AH632),$AH$2:$AH$1001,0),0), INDEX($AO$1004:$BQ$1004,1,MATCH(COLUMNS($AO$1006:BC1006),$AO$1006:$BQ$1006,0)))),"Fix")))</f>
        <v>#N/A</v>
      </c>
      <c r="Q632" s="5" t="e">
        <f ca="1">IF(OR(INDEX($AI$2:$AI$1001,MATCH(ROWS($AH$2:AH632),$AH$2:$AH$1001,0),1)&gt;=100000,INDEX($AO$1005:$BQ$1005,1,MATCH(COLUMNS($AO$1006:BD1006),$AO$1006:$BQ$1006,0))&gt;=100000), " ",IF(INDEX($AO$2:$BQ$1001,MATCH(ROWS($AH$2:AH632),$AH$2:$AH$1001,0),MATCH(COLUMNS($AO$1006:BD1006),$AO$1006:$BQ$1006,0)), HYPERLINK("#",""), HYPERLINK(CONCATENATE("#Metadata!", ADDRESS(INDEX($AJ$2:$AJ$1001,MATCH(ROWS($AH$2:AH632),$AH$2:$AH$1001,0),0), INDEX($AO$1004:$BQ$1004,1,MATCH(COLUMNS($AO$1006:BD1006),$AO$1006:$BQ$1006,0)))),"Fix")))</f>
        <v>#N/A</v>
      </c>
      <c r="R632" s="5" t="e">
        <f ca="1">IF(OR(INDEX($AI$2:$AI$1001,MATCH(ROWS($AH$2:AH632),$AH$2:$AH$1001,0),1)&gt;=100000,INDEX($AO$1005:$BQ$1005,1,MATCH(COLUMNS($AO$1006:BE1006),$AO$1006:$BQ$1006,0))&gt;=100000), " ",IF(INDEX($AO$2:$BQ$1001,MATCH(ROWS($AH$2:AH632),$AH$2:$AH$1001,0),MATCH(COLUMNS($AO$1006:BE1006),$AO$1006:$BQ$1006,0)), HYPERLINK("#",""), HYPERLINK(CONCATENATE("#Metadata!", ADDRESS(INDEX($AJ$2:$AJ$1001,MATCH(ROWS($AH$2:AH632),$AH$2:$AH$1001,0),0), INDEX($AO$1004:$BQ$1004,1,MATCH(COLUMNS($AO$1006:BE1006),$AO$1006:$BQ$1006,0)))),"Fix")))</f>
        <v>#N/A</v>
      </c>
      <c r="S632" s="5" t="e">
        <f ca="1">IF(OR(INDEX($AI$2:$AI$1001,MATCH(ROWS($AH$2:AH632),$AH$2:$AH$1001,0),1)&gt;=100000,INDEX($AO$1005:$BQ$1005,1,MATCH(COLUMNS($AO$1006:BF1006),$AO$1006:$BQ$1006,0))&gt;=100000), " ",IF(INDEX($AO$2:$BQ$1001,MATCH(ROWS($AH$2:AH632),$AH$2:$AH$1001,0),MATCH(COLUMNS($AO$1006:BF1006),$AO$1006:$BQ$1006,0)), HYPERLINK("#",""), HYPERLINK(CONCATENATE("#Metadata!", ADDRESS(INDEX($AJ$2:$AJ$1001,MATCH(ROWS($AH$2:AH632),$AH$2:$AH$1001,0),0), INDEX($AO$1004:$BQ$1004,1,MATCH(COLUMNS($AO$1006:BF1006),$AO$1006:$BQ$1006,0)))),"Fix")))</f>
        <v>#N/A</v>
      </c>
      <c r="T632" s="5" t="e">
        <f ca="1">IF(OR(INDEX($AI$2:$AI$1001,MATCH(ROWS($AH$2:AH632),$AH$2:$AH$1001,0),1)&gt;=100000,INDEX($AO$1005:$BQ$1005,1,MATCH(COLUMNS($AO$1006:BG1006),$AO$1006:$BQ$1006,0))&gt;=100000), " ",IF(INDEX($AO$2:$BQ$1001,MATCH(ROWS($AH$2:AH632),$AH$2:$AH$1001,0),MATCH(COLUMNS($AO$1006:BG1006),$AO$1006:$BQ$1006,0)), HYPERLINK("#",""), HYPERLINK(CONCATENATE("#Metadata!", ADDRESS(INDEX($AJ$2:$AJ$1001,MATCH(ROWS($AH$2:AH632),$AH$2:$AH$1001,0),0), INDEX($AO$1004:$BQ$1004,1,MATCH(COLUMNS($AO$1006:BG1006),$AO$1006:$BQ$1006,0)))),"Fix")))</f>
        <v>#N/A</v>
      </c>
      <c r="U632" s="5" t="e">
        <f ca="1">IF(OR(INDEX($AI$2:$AI$1001,MATCH(ROWS($AH$2:AH632),$AH$2:$AH$1001,0),1)&gt;=100000,INDEX($AO$1005:$BQ$1005,1,MATCH(COLUMNS($AO$1006:BH1006),$AO$1006:$BQ$1006,0))&gt;=100000), " ",IF(INDEX($AO$2:$BQ$1001,MATCH(ROWS($AH$2:AH632),$AH$2:$AH$1001,0),MATCH(COLUMNS($AO$1006:BH1006),$AO$1006:$BQ$1006,0)), HYPERLINK("#",""), HYPERLINK(CONCATENATE("#Metadata!", ADDRESS(INDEX($AJ$2:$AJ$1001,MATCH(ROWS($AH$2:AH632),$AH$2:$AH$1001,0),0), INDEX($AO$1004:$BQ$1004,1,MATCH(COLUMNS($AO$1006:BH1006),$AO$1006:$BQ$1006,0)))),"Fix")))</f>
        <v>#N/A</v>
      </c>
      <c r="V632" s="5" t="e">
        <f ca="1">IF(OR(INDEX($AI$2:$AI$1001,MATCH(ROWS($AH$2:AH632),$AH$2:$AH$1001,0),1)&gt;=100000,INDEX($AO$1005:$BQ$1005,1,MATCH(COLUMNS($AO$1006:BI1006),$AO$1006:$BQ$1006,0))&gt;=100000), " ",IF(INDEX($AO$2:$BQ$1001,MATCH(ROWS($AH$2:AH632),$AH$2:$AH$1001,0),MATCH(COLUMNS($AO$1006:BI1006),$AO$1006:$BQ$1006,0)), HYPERLINK("#",""), HYPERLINK(CONCATENATE("#Metadata!", ADDRESS(INDEX($AJ$2:$AJ$1001,MATCH(ROWS($AH$2:AH632),$AH$2:$AH$1001,0),0), INDEX($AO$1004:$BQ$1004,1,MATCH(COLUMNS($AO$1006:BI1006),$AO$1006:$BQ$1006,0)))),"Fix")))</f>
        <v>#N/A</v>
      </c>
      <c r="W632" s="5" t="e">
        <f ca="1">IF(OR(INDEX($AI$2:$AI$1001,MATCH(ROWS($AH$2:AH632),$AH$2:$AH$1001,0),1)&gt;=100000,INDEX($AO$1005:$BQ$1005,1,MATCH(COLUMNS($AO$1006:BJ1006),$AO$1006:$BQ$1006,0))&gt;=100000), " ",IF(INDEX($AO$2:$BQ$1001,MATCH(ROWS($AH$2:AH632),$AH$2:$AH$1001,0),MATCH(COLUMNS($AO$1006:BJ1006),$AO$1006:$BQ$1006,0)), HYPERLINK("#",""), HYPERLINK(CONCATENATE("#Metadata!", ADDRESS(INDEX($AJ$2:$AJ$1001,MATCH(ROWS($AH$2:AH632),$AH$2:$AH$1001,0),0), INDEX($AO$1004:$BQ$1004,1,MATCH(COLUMNS($AO$1006:BJ1006),$AO$1006:$BQ$1006,0)))),"Fix")))</f>
        <v>#N/A</v>
      </c>
      <c r="X632" s="5" t="e">
        <f ca="1">IF(OR(INDEX($AI$2:$AI$1001,MATCH(ROWS($AH$2:AH632),$AH$2:$AH$1001,0),1)&gt;=100000,INDEX($AO$1005:$BQ$1005,1,MATCH(COLUMNS($AO$1006:BK1006),$AO$1006:$BQ$1006,0))&gt;=100000), " ",IF(INDEX($AO$2:$BQ$1001,MATCH(ROWS($AH$2:AH632),$AH$2:$AH$1001,0),MATCH(COLUMNS($AO$1006:BK1006),$AO$1006:$BQ$1006,0)), HYPERLINK("#",""), HYPERLINK(CONCATENATE("#Metadata!", ADDRESS(INDEX($AJ$2:$AJ$1001,MATCH(ROWS($AH$2:AH632),$AH$2:$AH$1001,0),0), INDEX($AO$1004:$BQ$1004,1,MATCH(COLUMNS($AO$1006:BK1006),$AO$1006:$BQ$1006,0)))),"Fix")))</f>
        <v>#N/A</v>
      </c>
      <c r="Y632" s="5" t="e">
        <f ca="1">IF(OR(INDEX($AI$2:$AI$1001,MATCH(ROWS($AH$2:AH632),$AH$2:$AH$1001,0),1)&gt;=100000,INDEX($AO$1005:$BQ$1005,1,MATCH(COLUMNS($AO$1006:BL1006),$AO$1006:$BQ$1006,0))&gt;=100000), " ",IF(INDEX($AO$2:$BQ$1001,MATCH(ROWS($AH$2:AH632),$AH$2:$AH$1001,0),MATCH(COLUMNS($AO$1006:BL1006),$AO$1006:$BQ$1006,0)), HYPERLINK("#",""), HYPERLINK(CONCATENATE("#Metadata!", ADDRESS(INDEX($AJ$2:$AJ$1001,MATCH(ROWS($AH$2:AH632),$AH$2:$AH$1001,0),0), INDEX($AO$1004:$BQ$1004,1,MATCH(COLUMNS($AO$1006:BL1006),$AO$1006:$BQ$1006,0)))),"Fix")))</f>
        <v>#N/A</v>
      </c>
      <c r="Z632" s="5" t="e">
        <f ca="1">IF(OR(INDEX($AI$2:$AI$1001,MATCH(ROWS($AH$2:AH632),$AH$2:$AH$1001,0),1)&gt;=100000,INDEX($AO$1005:$BQ$1005,1,MATCH(COLUMNS($AO$1006:BM1006),$AO$1006:$BQ$1006,0))&gt;=100000), " ",IF(INDEX($AO$2:$BQ$1001,MATCH(ROWS($AH$2:AH632),$AH$2:$AH$1001,0),MATCH(COLUMNS($AO$1006:BM1006),$AO$1006:$BQ$1006,0)), HYPERLINK("#",""), HYPERLINK(CONCATENATE("#Metadata!", ADDRESS(INDEX($AJ$2:$AJ$1001,MATCH(ROWS($AH$2:AH632),$AH$2:$AH$1001,0),0), INDEX($AO$1004:$BQ$1004,1,MATCH(COLUMNS($AO$1006:BM1006),$AO$1006:$BQ$1006,0)))),"Fix")))</f>
        <v>#N/A</v>
      </c>
      <c r="AA632" s="5" t="e">
        <f ca="1">IF(OR(INDEX($AI$2:$AI$1001,MATCH(ROWS($AH$2:AH632),$AH$2:$AH$1001,0),1)&gt;=100000,INDEX($AO$1005:$BQ$1005,1,MATCH(COLUMNS($AO$1006:BN1006),$AO$1006:$BQ$1006,0))&gt;=100000), " ",IF(INDEX($AO$2:$BQ$1001,MATCH(ROWS($AH$2:AH632),$AH$2:$AH$1001,0),MATCH(COLUMNS($AO$1006:BN1006),$AO$1006:$BQ$1006,0)), HYPERLINK("#",""), HYPERLINK(CONCATENATE("#Metadata!", ADDRESS(INDEX($AJ$2:$AJ$1001,MATCH(ROWS($AH$2:AH632),$AH$2:$AH$1001,0),0), INDEX($AO$1004:$BQ$1004,1,MATCH(COLUMNS($AO$1006:BN1006),$AO$1006:$BQ$1006,0)))),"Fix")))</f>
        <v>#N/A</v>
      </c>
      <c r="AB632" s="5" t="e">
        <f ca="1">IF(OR(INDEX($AI$2:$AI$1001,MATCH(ROWS($AH$2:AH632),$AH$2:$AH$1001,0),1)&gt;=100000,INDEX($AO$1005:$BQ$1005,1,MATCH(COLUMNS($AO$1006:BO1006),$AO$1006:$BQ$1006,0))&gt;=100000), " ",IF(INDEX($AO$2:$BQ$1001,MATCH(ROWS($AH$2:AH632),$AH$2:$AH$1001,0),MATCH(COLUMNS($AO$1006:BO1006),$AO$1006:$BQ$1006,0)), HYPERLINK("#",""), HYPERLINK(CONCATENATE("#Metadata!", ADDRESS(INDEX($AJ$2:$AJ$1001,MATCH(ROWS($AH$2:AH632),$AH$2:$AH$1001,0),0), INDEX($AO$1004:$BQ$1004,1,MATCH(COLUMNS($AO$1006:BO1006),$AO$1006:$BQ$1006,0)))),"Fix")))</f>
        <v>#N/A</v>
      </c>
      <c r="AC632" s="5" t="e">
        <f ca="1">IF(OR(INDEX($AI$2:$AI$1001,MATCH(ROWS($AH$2:AH632),$AH$2:$AH$1001,0),1)&gt;=100000,INDEX($AO$1005:$BQ$1005,1,MATCH(COLUMNS($AO$1006:BP1006),$AO$1006:$BQ$1006,0))&gt;=100000), " ",IF(INDEX($AO$2:$BQ$1001,MATCH(ROWS($AH$2:AH632),$AH$2:$AH$1001,0),MATCH(COLUMNS($AO$1006:BP1006),$AO$1006:$BQ$1006,0)), HYPERLINK("#",""), HYPERLINK(CONCATENATE("#Metadata!", ADDRESS(INDEX($AJ$2:$AJ$1001,MATCH(ROWS($AH$2:AH632),$AH$2:$AH$1001,0),0), INDEX($AO$1004:$BQ$1004,1,MATCH(COLUMNS($AO$1006:BP1006),$AO$1006:$BQ$1006,0)))),"Fix")))</f>
        <v>#N/A</v>
      </c>
      <c r="AD632" s="5" t="e">
        <f ca="1">IF(OR(INDEX($AI$2:$AI$1001,MATCH(ROWS($AH$2:AH632),$AH$2:$AH$1001,0),1)&gt;=100000,INDEX($AO$1005:$BQ$1005,1,MATCH(COLUMNS($AO$1006:BQ1006),$AO$1006:$BQ$1006,0))&gt;=100000), " ",IF(INDEX($AO$2:$BQ$1001,MATCH(ROWS($AH$2:AH632),$AH$2:$AH$1001,0),MATCH(COLUMNS($AO$1006:BQ1006),$AO$1006:$BQ$1006,0)), HYPERLINK("#",""), HYPERLINK(CONCATENATE("#Metadata!", ADDRESS(INDEX($AJ$2:$AJ$1001,MATCH(ROWS($AH$2:AH632),$AH$2:$AH$1001,0),0), INDEX($AO$1004:$BQ$1004,1,MATCH(COLUMNS($AO$1006:BQ1006),$AO$1006:$BQ$1006,0)))),"Fix")))</f>
        <v>#REF!</v>
      </c>
      <c r="AH632">
        <f ca="1"/>
        <v>629</v>
      </c>
      <c r="AI632">
        <v>100632</v>
      </c>
      <c r="AJ632">
        <v>632</v>
      </c>
      <c r="AK632" t="b">
        <f t="shared" si="9"/>
        <v>1</v>
      </c>
      <c r="AL632" t="b">
        <f>COUNTBLANK(Metadata!B632:AD632)=COLUMNS(Metadata!B632:AD632)</f>
        <v>1</v>
      </c>
      <c r="AM632" t="str">
        <v/>
      </c>
      <c r="AO632" t="b">
        <f ca="1">AND(IF(Metadata!B632="",FALSE,TRUE),COUNTIF(Metadata!B:B, Metadata!B632) = 1,NOT(ISERROR(SUMPRODUCT(SEARCH(MID(Metadata!B632,ROW(INDIRECT("1:"&amp;LEN(Metadata!B632))), 1),"0123456789abcdefghijklmnopqrstuvwxyzABCDEFGHIJKLMNOPQRSTUVWXYZ.")))))</f>
        <v>0</v>
      </c>
      <c r="AP632" t="b">
        <f>IF(Metadata!C632="",FALSE,TRUE)</f>
        <v>0</v>
      </c>
      <c r="AQ632" t="b">
        <f>IF(Metadata!D632="",FALSE,TRUE)</f>
        <v>0</v>
      </c>
      <c r="AR632" t="b">
        <f ca="1">OR(AND(IF(Metadata!E632="",FALSE,TRUE),OR(EXACT(Metadata!E632,"not collected"),EXACT(Metadata!E632,"not provided"),EXACT(Metadata!E632,"restricted access"))),AND(IF(Metadata!E632="",FALSE,TRUE),AND(AND(IFERROR(INT(LEFT(Metadata!E632,4))&gt;1900,FALSE),IFERROR(INT(LEFT(Metadata!E632,4))&lt;=YEAR(NOW()),FALSE)), OR(MID(Metadata!E632,5,1)="", AND(AND(MID(Metadata!E632,5,1)="-",IFERROR(INT(MID(Metadata!E632,6,1))&gt;=0,FALSE),IFERROR(INT(MID(Metadata!E632,6,1))&lt;=1,FALSE),NOT(MID(Metadata!E632,7,1)=""),IFERROR(INT(MID(Metadata!E632,6,2))&gt;=1,FALSE),IFERROR(INT(MID(Metadata!E632,6,2))&lt;=12,FALSE)), OR(MID(Metadata!E632,8,1)="", AND(AND(MID(Metadata!E632,8,1)="-",IFERROR(INT(MID(Metadata!E632,9,1))&gt;=0,FALSE),IFERROR(INT(MID(Metadata!E632,9,1))&lt;=3,FALSE),NOT(MID(Metadata!E632,10,1)=""),IFERROR(INT(MID(Metadata!E632,9,2))&gt;=1,FALSE),IFERROR(INT(MID(Metadata!E632,9,2))&lt;=31,FALSE)), OR(MID(Metadata!E632,11,1)="", AND(AND(MID(Metadata!E632,11,1)=" ",IFERROR(INT(MID(Metadata!E632,12,1))&gt;=0,FALSE),IFERROR(INT(MID(Metadata!E632,12,1))&lt;=2,FALSE),NOT(MID(Metadata!E632,13,1)=""),IFERROR(INT(MID(Metadata!E632,12,2))&gt;=0,FALSE),IFERROR(INT(MID(Metadata!E632,12,2))&lt;=23,FALSE)), OR(MID(Metadata!E632,14,1)="", AND(AND(MID(Metadata!E632,14,1)=":",IFERROR(INT(MID(Metadata!E632,15,1))&gt;=0,FALSE),IFERROR(INT(MID(Metadata!E632,15,1))&lt;=5,FALSE),NOT(MID(Metadata!E632,16,1)=""),IFERROR(INT(MID(Metadata!E632,15,2))&gt;=0,FALSE),IFERROR(INT(MID(Metadata!E632,15,2))&lt;=59,FALSE)), OR(MID(Metadata!E632,17,1)="", AND(AND(MID(Metadata!E632,17,1)=":",IFERROR(INT(MID(Metadata!E632,18,1))&gt;=0,FALSE),IFERROR(INT(MID(Metadata!E632,18,1))&lt;=5,FALSE),NOT(MID(Metadata!E632,19,1)=""),IFERROR(INT(MID(Metadata!E632,18,2))&gt;=0,FALSE),IFERROR(INT(MID(Metadata!E632,18,2))&lt;=59,FALSE)), LEN(Metadata!E632)&lt;=19)))))))))))))</f>
        <v>0</v>
      </c>
      <c r="AS632" t="b">
        <f>IF(Metadata!F632="",FALSE,TRUE)</f>
        <v>0</v>
      </c>
      <c r="AT632" t="b">
        <f>OR(AND(IF(Metadata!G632="",FALSE,TRUE),OR(EXACT(Metadata!G632,"not collected"),EXACT(Metadata!G632,"not provided"))),AND(IF(Metadata!G632="",FALSE,TRUE),OR(EXACT(Metadata!G632,"TRUE"),EXACT(Metadata!G632,"FALSE"))))</f>
        <v>0</v>
      </c>
      <c r="AU632" t="b">
        <f>OR(AND(IF(Metadata!H632="",FALSE,TRUE),OR(EXACT(Metadata!H632,"not collected"),EXACT(Metadata!H632,"not provided"),EXACT(Metadata!H632,"restricted access"))),AND(IF(Metadata!H632="",FALSE,ISNUMBER(VALUE(Metadata!H632))),Metadata!H632&gt;=-413))</f>
        <v>0</v>
      </c>
      <c r="AV632" t="b">
        <f>AND(IF(Metadata!I632="",FALSE,TRUE),EXACT(Metadata!I632,"meters"))</f>
        <v>0</v>
      </c>
      <c r="AW632" t="b">
        <f>AND(IF(Metadata!J632="",FALSE,TRUE),EXACT(Metadata!J632,"free-living"))</f>
        <v>0</v>
      </c>
      <c r="AX632" t="b">
        <f>AND(IF(Metadata!K632="",FALSE,TRUE),OR(EXACT(Metadata!K632,"saline"),EXACT(Metadata!K632,"non-saline")))</f>
        <v>0</v>
      </c>
      <c r="AY632" t="b">
        <f>AND(IF(Metadata!L632="",FALSE,TRUE),OR(EXACT(Metadata!L632,"sub-surface (non-saline)"),EXACT(Metadata!L632,"surface (non-saline)"),EXACT(Metadata!L632,"water (non-saline)"),EXACT(Metadata!L632,"soil (non-saline)"),EXACT(Metadata!L632,"aerosol (non-saline)"),EXACT(Metadata!L632,"sediment (non-saline)"),EXACT(Metadata!L632,"surface (saline)"),EXACT(Metadata!L632,"water (saline)"),EXACT(Metadata!L632,"hypersaline (saline)"),EXACT(Metadata!L632,"aerosol (saline)"),EXACT(Metadata!L632,"sediment (saline)")))</f>
        <v>0</v>
      </c>
      <c r="AZ632" t="b">
        <f>IF(Metadata!M632="",FALSE,TRUE)</f>
        <v>0</v>
      </c>
      <c r="BA632" t="b">
        <f>IF(Metadata!N632="",FALSE,TRUE)</f>
        <v>0</v>
      </c>
      <c r="BB632" t="b">
        <f>IF(Metadata!O632="",FALSE,TRUE)</f>
        <v>0</v>
      </c>
      <c r="BC632" t="b">
        <f>AND(IF(Metadata!P632="",FALSE,TRUE),OR(EXACT(Metadata!P632,"air"),EXACT(Metadata!P632,"microbial mat/biofilm"),EXACT(Metadata!P632,"misc environment"),EXACT(Metadata!P632,"sediment"),EXACT(Metadata!P632,"soil"),EXACT(Metadata!P632,"wastewater/sludge"),EXACT(Metadata!P632,"water")))</f>
        <v>0</v>
      </c>
      <c r="BD632" t="b">
        <f>IF(Metadata!Q632="",FALSE,TRUE)</f>
        <v>0</v>
      </c>
      <c r="BE632" t="b">
        <f>IF(Metadata!R632="",FALSE,TRUE)</f>
        <v>0</v>
      </c>
      <c r="BF632" t="b">
        <f>OR(AND(IF(Metadata!S632="",FALSE,TRUE),OR(EXACT(Metadata!S632,"not collected"),EXACT(Metadata!S632,"not provided"),EXACT(Metadata!S632,"restricted access"))),AND(IF(Metadata!S632="",FALSE,ISNUMBER(VALUE(Metadata!S632))),Metadata!S632&gt;=-90,Metadata!S632&lt;=90))</f>
        <v>0</v>
      </c>
      <c r="BG632" t="b">
        <f>AND(IF(Metadata!T632="",FALSE,TRUE),EXACT(Metadata!T632,"Decimal degrees"))</f>
        <v>0</v>
      </c>
      <c r="BH632" t="b">
        <f>OR(AND(IF(Metadata!U632="",FALSE,TRUE),OR(EXACT(Metadata!U632,"not applicable"),EXACT(Metadata!U632,"not collected"))),IF(Metadata!U632="",FALSE,TRUE))</f>
        <v>0</v>
      </c>
      <c r="BI632" t="b">
        <f>OR(AND(IF(Metadata!V632="",FALSE,TRUE),OR(EXACT(Metadata!V632,"not collected"),EXACT(Metadata!V632,"not provided"),EXACT(Metadata!V632,"restricted access"))),AND(IF(Metadata!V632="",FALSE,ISNUMBER(VALUE(Metadata!V632))),Metadata!V632&gt;=-180,Metadata!V632&lt;=180))</f>
        <v>0</v>
      </c>
      <c r="BJ632" t="b">
        <f>AND(IF(Metadata!W632="",FALSE,TRUE),EXACT(Metadata!W632,"Decimal degrees"))</f>
        <v>0</v>
      </c>
      <c r="BK632" t="b">
        <f>IF(Metadata!X632="",FALSE,TRUE)</f>
        <v>0</v>
      </c>
      <c r="BL632" t="b">
        <f>OR(AND(IF(Metadata!Y632="",FALSE,TRUE),OR(EXACT(Metadata!Y632,"not collected"),EXACT(Metadata!Y632,"not provided"),EXACT(Metadata!Y632,"restricted access"))),AND(IF(Metadata!Y632="",FALSE,TRUE),OR(EXACT(Metadata!Y632,"TRUE"),EXACT(Metadata!Y632,"FALSE"))))</f>
        <v>0</v>
      </c>
      <c r="BM632" t="b">
        <f>OR(AND(IF(Metadata!Z632="",FALSE,TRUE),EXACT(Metadata!Z632,"not applicable")),AND(IF(Metadata!Z632="",FALSE,TRUE),OR(EXACT(Metadata!Z632,"beer"),EXACT(Metadata!Z632,"cheese"),EXACT(Metadata!Z632,"fresh water"),EXACT(Metadata!Z632,"marine sediment"),EXACT(Metadata!Z632,"sea water"),EXACT(Metadata!Z632,"sediment"),EXACT(Metadata!Z632,"soil"),EXACT(Metadata!Z632,"waste water"))))</f>
        <v>0</v>
      </c>
      <c r="BN632" t="b">
        <f>AND(IF(Metadata!AA632="",FALSE,TRUE),EXACT(Metadata!AA632,"metagenome"))</f>
        <v>0</v>
      </c>
      <c r="BO632" t="b">
        <f>AND(IF(Metadata!AB632="",FALSE,TRUE),EXACT(Metadata!AB632,"256318"))</f>
        <v>0</v>
      </c>
      <c r="BP632" t="b">
        <f>IF(Metadata!AC632="",FALSE,TRUE)</f>
        <v>0</v>
      </c>
      <c r="BQ632" t="b">
        <f>IF(Metadata!AD632="",FALSE,TRUE)</f>
        <v>0</v>
      </c>
    </row>
    <row r="633" spans="1:69" x14ac:dyDescent="0.2">
      <c r="A633" s="4" t="e">
        <f ca="1">IF(B633=" "," ",HYPERLINK(CONCATENATE("#metadata!",ADDRESS(INDEX($AJ$2:$AJ$1001,MATCH(ROWS($AH$2:AH633),$AH$2:$AH$1001,0),0),2)),INDEX($AM$2:$AM$1001,MATCH(ROWS($AH$2:AH633),$AH$2:$AH$1001,0),0)))</f>
        <v>#N/A</v>
      </c>
      <c r="B633" s="5" t="e">
        <f ca="1">IF(OR(INDEX($AI$2:$AI$1001,MATCH(ROWS($AH$2:AH633),$AH$2:$AH$1001,0),1)&gt;=100000,INDEX($AO$1005:$BQ$1005,1,MATCH(COLUMNS($AO$1006:AO1006),$AO$1006:$BQ$1006,0))&gt;=100000), " ",IF(INDEX($AO$2:$BQ$1001,MATCH(ROWS($AH$2:AH633),$AH$2:$AH$1001,0),MATCH(COLUMNS($AO$1006:AO1006),$AO$1006:$BQ$1006,0)), HYPERLINK("#",""), HYPERLINK(CONCATENATE("#Metadata!", ADDRESS(INDEX($AJ$2:$AJ$1001,MATCH(ROWS($AH$2:AH633),$AH$2:$AH$1001,0),0), INDEX($AO$1004:$BQ$1004,1,MATCH(COLUMNS($AO$1006:AO1006),$AO$1006:$BQ$1006,0)))),"Fix")))</f>
        <v>#N/A</v>
      </c>
      <c r="C633" s="5" t="e">
        <f ca="1">IF(OR(INDEX($AI$2:$AI$1001,MATCH(ROWS($AH$2:AH633),$AH$2:$AH$1001,0),1)&gt;=100000,INDEX($AO$1005:$BQ$1005,1,MATCH(COLUMNS($AO$1006:AP1006),$AO$1006:$BQ$1006,0))&gt;=100000), " ",IF(INDEX($AO$2:$BQ$1001,MATCH(ROWS($AH$2:AH633),$AH$2:$AH$1001,0),MATCH(COLUMNS($AO$1006:AP1006),$AO$1006:$BQ$1006,0)), HYPERLINK("#",""), HYPERLINK(CONCATENATE("#Metadata!", ADDRESS(INDEX($AJ$2:$AJ$1001,MATCH(ROWS($AH$2:AH633),$AH$2:$AH$1001,0),0), INDEX($AO$1004:$BQ$1004,1,MATCH(COLUMNS($AO$1006:AP1006),$AO$1006:$BQ$1006,0)))),"Fix")))</f>
        <v>#N/A</v>
      </c>
      <c r="D633" s="5" t="e">
        <f ca="1">IF(OR(INDEX($AI$2:$AI$1001,MATCH(ROWS($AH$2:AH633),$AH$2:$AH$1001,0),1)&gt;=100000,INDEX($AO$1005:$BQ$1005,1,MATCH(COLUMNS($AO$1006:AQ1006),$AO$1006:$BQ$1006,0))&gt;=100000), " ",IF(INDEX($AO$2:$BQ$1001,MATCH(ROWS($AH$2:AH633),$AH$2:$AH$1001,0),MATCH(COLUMNS($AO$1006:AQ1006),$AO$1006:$BQ$1006,0)), HYPERLINK("#",""), HYPERLINK(CONCATENATE("#Metadata!", ADDRESS(INDEX($AJ$2:$AJ$1001,MATCH(ROWS($AH$2:AH633),$AH$2:$AH$1001,0),0), INDEX($AO$1004:$BQ$1004,1,MATCH(COLUMNS($AO$1006:AQ1006),$AO$1006:$BQ$1006,0)))),"Fix")))</f>
        <v>#N/A</v>
      </c>
      <c r="E633" s="5" t="e">
        <f ca="1">IF(OR(INDEX($AI$2:$AI$1001,MATCH(ROWS($AH$2:AH633),$AH$2:$AH$1001,0),1)&gt;=100000,INDEX($AO$1005:$BQ$1005,1,MATCH(COLUMNS($AO$1006:AR1006),$AO$1006:$BQ$1006,0))&gt;=100000), " ",IF(INDEX($AO$2:$BQ$1001,MATCH(ROWS($AH$2:AH633),$AH$2:$AH$1001,0),MATCH(COLUMNS($AO$1006:AR1006),$AO$1006:$BQ$1006,0)), HYPERLINK("#",""), HYPERLINK(CONCATENATE("#Metadata!", ADDRESS(INDEX($AJ$2:$AJ$1001,MATCH(ROWS($AH$2:AH633),$AH$2:$AH$1001,0),0), INDEX($AO$1004:$BQ$1004,1,MATCH(COLUMNS($AO$1006:AR1006),$AO$1006:$BQ$1006,0)))),"Fix")))</f>
        <v>#N/A</v>
      </c>
      <c r="F633" s="5" t="e">
        <f ca="1">IF(OR(INDEX($AI$2:$AI$1001,MATCH(ROWS($AH$2:AH633),$AH$2:$AH$1001,0),1)&gt;=100000,INDEX($AO$1005:$BQ$1005,1,MATCH(COLUMNS($AO$1006:AS1006),$AO$1006:$BQ$1006,0))&gt;=100000), " ",IF(INDEX($AO$2:$BQ$1001,MATCH(ROWS($AH$2:AH633),$AH$2:$AH$1001,0),MATCH(COLUMNS($AO$1006:AS1006),$AO$1006:$BQ$1006,0)), HYPERLINK("#",""), HYPERLINK(CONCATENATE("#Metadata!", ADDRESS(INDEX($AJ$2:$AJ$1001,MATCH(ROWS($AH$2:AH633),$AH$2:$AH$1001,0),0), INDEX($AO$1004:$BQ$1004,1,MATCH(COLUMNS($AO$1006:AS1006),$AO$1006:$BQ$1006,0)))),"Fix")))</f>
        <v>#N/A</v>
      </c>
      <c r="G633" s="5" t="e">
        <f ca="1">IF(OR(INDEX($AI$2:$AI$1001,MATCH(ROWS($AH$2:AH633),$AH$2:$AH$1001,0),1)&gt;=100000,INDEX($AO$1005:$BQ$1005,1,MATCH(COLUMNS($AO$1006:AT1006),$AO$1006:$BQ$1006,0))&gt;=100000), " ",IF(INDEX($AO$2:$BQ$1001,MATCH(ROWS($AH$2:AH633),$AH$2:$AH$1001,0),MATCH(COLUMNS($AO$1006:AT1006),$AO$1006:$BQ$1006,0)), HYPERLINK("#",""), HYPERLINK(CONCATENATE("#Metadata!", ADDRESS(INDEX($AJ$2:$AJ$1001,MATCH(ROWS($AH$2:AH633),$AH$2:$AH$1001,0),0), INDEX($AO$1004:$BQ$1004,1,MATCH(COLUMNS($AO$1006:AT1006),$AO$1006:$BQ$1006,0)))),"Fix")))</f>
        <v>#N/A</v>
      </c>
      <c r="H633" s="5" t="e">
        <f ca="1">IF(OR(INDEX($AI$2:$AI$1001,MATCH(ROWS($AH$2:AH633),$AH$2:$AH$1001,0),1)&gt;=100000,INDEX($AO$1005:$BQ$1005,1,MATCH(COLUMNS($AO$1006:AU1006),$AO$1006:$BQ$1006,0))&gt;=100000), " ",IF(INDEX($AO$2:$BQ$1001,MATCH(ROWS($AH$2:AH633),$AH$2:$AH$1001,0),MATCH(COLUMNS($AO$1006:AU1006),$AO$1006:$BQ$1006,0)), HYPERLINK("#",""), HYPERLINK(CONCATENATE("#Metadata!", ADDRESS(INDEX($AJ$2:$AJ$1001,MATCH(ROWS($AH$2:AH633),$AH$2:$AH$1001,0),0), INDEX($AO$1004:$BQ$1004,1,MATCH(COLUMNS($AO$1006:AU1006),$AO$1006:$BQ$1006,0)))),"Fix")))</f>
        <v>#N/A</v>
      </c>
      <c r="I633" s="5" t="e">
        <f ca="1">IF(OR(INDEX($AI$2:$AI$1001,MATCH(ROWS($AH$2:AH633),$AH$2:$AH$1001,0),1)&gt;=100000,INDEX($AO$1005:$BQ$1005,1,MATCH(COLUMNS($AO$1006:AV1006),$AO$1006:$BQ$1006,0))&gt;=100000), " ",IF(INDEX($AO$2:$BQ$1001,MATCH(ROWS($AH$2:AH633),$AH$2:$AH$1001,0),MATCH(COLUMNS($AO$1006:AV1006),$AO$1006:$BQ$1006,0)), HYPERLINK("#",""), HYPERLINK(CONCATENATE("#Metadata!", ADDRESS(INDEX($AJ$2:$AJ$1001,MATCH(ROWS($AH$2:AH633),$AH$2:$AH$1001,0),0), INDEX($AO$1004:$BQ$1004,1,MATCH(COLUMNS($AO$1006:AV1006),$AO$1006:$BQ$1006,0)))),"Fix")))</f>
        <v>#N/A</v>
      </c>
      <c r="J633" s="5" t="e">
        <f ca="1">IF(OR(INDEX($AI$2:$AI$1001,MATCH(ROWS($AH$2:AH633),$AH$2:$AH$1001,0),1)&gt;=100000,INDEX($AO$1005:$BQ$1005,1,MATCH(COLUMNS($AO$1006:AW1006),$AO$1006:$BQ$1006,0))&gt;=100000), " ",IF(INDEX($AO$2:$BQ$1001,MATCH(ROWS($AH$2:AH633),$AH$2:$AH$1001,0),MATCH(COLUMNS($AO$1006:AW1006),$AO$1006:$BQ$1006,0)), HYPERLINK("#",""), HYPERLINK(CONCATENATE("#Metadata!", ADDRESS(INDEX($AJ$2:$AJ$1001,MATCH(ROWS($AH$2:AH633),$AH$2:$AH$1001,0),0), INDEX($AO$1004:$BQ$1004,1,MATCH(COLUMNS($AO$1006:AW1006),$AO$1006:$BQ$1006,0)))),"Fix")))</f>
        <v>#N/A</v>
      </c>
      <c r="K633" s="5" t="e">
        <f ca="1">IF(OR(INDEX($AI$2:$AI$1001,MATCH(ROWS($AH$2:AH633),$AH$2:$AH$1001,0),1)&gt;=100000,INDEX($AO$1005:$BQ$1005,1,MATCH(COLUMNS($AO$1006:AX1006),$AO$1006:$BQ$1006,0))&gt;=100000), " ",IF(INDEX($AO$2:$BQ$1001,MATCH(ROWS($AH$2:AH633),$AH$2:$AH$1001,0),MATCH(COLUMNS($AO$1006:AX1006),$AO$1006:$BQ$1006,0)), HYPERLINK("#",""), HYPERLINK(CONCATENATE("#Metadata!", ADDRESS(INDEX($AJ$2:$AJ$1001,MATCH(ROWS($AH$2:AH633),$AH$2:$AH$1001,0),0), INDEX($AO$1004:$BQ$1004,1,MATCH(COLUMNS($AO$1006:AX1006),$AO$1006:$BQ$1006,0)))),"Fix")))</f>
        <v>#N/A</v>
      </c>
      <c r="L633" s="5" t="e">
        <f ca="1">IF(OR(INDEX($AI$2:$AI$1001,MATCH(ROWS($AH$2:AH633),$AH$2:$AH$1001,0),1)&gt;=100000,INDEX($AO$1005:$BQ$1005,1,MATCH(COLUMNS($AO$1006:AY1006),$AO$1006:$BQ$1006,0))&gt;=100000), " ",IF(INDEX($AO$2:$BQ$1001,MATCH(ROWS($AH$2:AH633),$AH$2:$AH$1001,0),MATCH(COLUMNS($AO$1006:AY1006),$AO$1006:$BQ$1006,0)), HYPERLINK("#",""), HYPERLINK(CONCATENATE("#Metadata!", ADDRESS(INDEX($AJ$2:$AJ$1001,MATCH(ROWS($AH$2:AH633),$AH$2:$AH$1001,0),0), INDEX($AO$1004:$BQ$1004,1,MATCH(COLUMNS($AO$1006:AY1006),$AO$1006:$BQ$1006,0)))),"Fix")))</f>
        <v>#N/A</v>
      </c>
      <c r="M633" s="5" t="e">
        <f ca="1">IF(OR(INDEX($AI$2:$AI$1001,MATCH(ROWS($AH$2:AH633),$AH$2:$AH$1001,0),1)&gt;=100000,INDEX($AO$1005:$BQ$1005,1,MATCH(COLUMNS($AO$1006:AZ1006),$AO$1006:$BQ$1006,0))&gt;=100000), " ",IF(INDEX($AO$2:$BQ$1001,MATCH(ROWS($AH$2:AH633),$AH$2:$AH$1001,0),MATCH(COLUMNS($AO$1006:AZ1006),$AO$1006:$BQ$1006,0)), HYPERLINK("#",""), HYPERLINK(CONCATENATE("#Metadata!", ADDRESS(INDEX($AJ$2:$AJ$1001,MATCH(ROWS($AH$2:AH633),$AH$2:$AH$1001,0),0), INDEX($AO$1004:$BQ$1004,1,MATCH(COLUMNS($AO$1006:AZ1006),$AO$1006:$BQ$1006,0)))),"Fix")))</f>
        <v>#N/A</v>
      </c>
      <c r="N633" s="5" t="e">
        <f ca="1">IF(OR(INDEX($AI$2:$AI$1001,MATCH(ROWS($AH$2:AH633),$AH$2:$AH$1001,0),1)&gt;=100000,INDEX($AO$1005:$BQ$1005,1,MATCH(COLUMNS($AO$1006:BA1006),$AO$1006:$BQ$1006,0))&gt;=100000), " ",IF(INDEX($AO$2:$BQ$1001,MATCH(ROWS($AH$2:AH633),$AH$2:$AH$1001,0),MATCH(COLUMNS($AO$1006:BA1006),$AO$1006:$BQ$1006,0)), HYPERLINK("#",""), HYPERLINK(CONCATENATE("#Metadata!", ADDRESS(INDEX($AJ$2:$AJ$1001,MATCH(ROWS($AH$2:AH633),$AH$2:$AH$1001,0),0), INDEX($AO$1004:$BQ$1004,1,MATCH(COLUMNS($AO$1006:BA1006),$AO$1006:$BQ$1006,0)))),"Fix")))</f>
        <v>#N/A</v>
      </c>
      <c r="O633" s="5" t="e">
        <f ca="1">IF(OR(INDEX($AI$2:$AI$1001,MATCH(ROWS($AH$2:AH633),$AH$2:$AH$1001,0),1)&gt;=100000,INDEX($AO$1005:$BQ$1005,1,MATCH(COLUMNS($AO$1006:BB1006),$AO$1006:$BQ$1006,0))&gt;=100000), " ",IF(INDEX($AO$2:$BQ$1001,MATCH(ROWS($AH$2:AH633),$AH$2:$AH$1001,0),MATCH(COLUMNS($AO$1006:BB1006),$AO$1006:$BQ$1006,0)), HYPERLINK("#",""), HYPERLINK(CONCATENATE("#Metadata!", ADDRESS(INDEX($AJ$2:$AJ$1001,MATCH(ROWS($AH$2:AH633),$AH$2:$AH$1001,0),0), INDEX($AO$1004:$BQ$1004,1,MATCH(COLUMNS($AO$1006:BB1006),$AO$1006:$BQ$1006,0)))),"Fix")))</f>
        <v>#N/A</v>
      </c>
      <c r="P633" s="5" t="e">
        <f ca="1">IF(OR(INDEX($AI$2:$AI$1001,MATCH(ROWS($AH$2:AH633),$AH$2:$AH$1001,0),1)&gt;=100000,INDEX($AO$1005:$BQ$1005,1,MATCH(COLUMNS($AO$1006:BC1006),$AO$1006:$BQ$1006,0))&gt;=100000), " ",IF(INDEX($AO$2:$BQ$1001,MATCH(ROWS($AH$2:AH633),$AH$2:$AH$1001,0),MATCH(COLUMNS($AO$1006:BC1006),$AO$1006:$BQ$1006,0)), HYPERLINK("#",""), HYPERLINK(CONCATENATE("#Metadata!", ADDRESS(INDEX($AJ$2:$AJ$1001,MATCH(ROWS($AH$2:AH633),$AH$2:$AH$1001,0),0), INDEX($AO$1004:$BQ$1004,1,MATCH(COLUMNS($AO$1006:BC1006),$AO$1006:$BQ$1006,0)))),"Fix")))</f>
        <v>#N/A</v>
      </c>
      <c r="Q633" s="5" t="e">
        <f ca="1">IF(OR(INDEX($AI$2:$AI$1001,MATCH(ROWS($AH$2:AH633),$AH$2:$AH$1001,0),1)&gt;=100000,INDEX($AO$1005:$BQ$1005,1,MATCH(COLUMNS($AO$1006:BD1006),$AO$1006:$BQ$1006,0))&gt;=100000), " ",IF(INDEX($AO$2:$BQ$1001,MATCH(ROWS($AH$2:AH633),$AH$2:$AH$1001,0),MATCH(COLUMNS($AO$1006:BD1006),$AO$1006:$BQ$1006,0)), HYPERLINK("#",""), HYPERLINK(CONCATENATE("#Metadata!", ADDRESS(INDEX($AJ$2:$AJ$1001,MATCH(ROWS($AH$2:AH633),$AH$2:$AH$1001,0),0), INDEX($AO$1004:$BQ$1004,1,MATCH(COLUMNS($AO$1006:BD1006),$AO$1006:$BQ$1006,0)))),"Fix")))</f>
        <v>#N/A</v>
      </c>
      <c r="R633" s="5" t="e">
        <f ca="1">IF(OR(INDEX($AI$2:$AI$1001,MATCH(ROWS($AH$2:AH633),$AH$2:$AH$1001,0),1)&gt;=100000,INDEX($AO$1005:$BQ$1005,1,MATCH(COLUMNS($AO$1006:BE1006),$AO$1006:$BQ$1006,0))&gt;=100000), " ",IF(INDEX($AO$2:$BQ$1001,MATCH(ROWS($AH$2:AH633),$AH$2:$AH$1001,0),MATCH(COLUMNS($AO$1006:BE1006),$AO$1006:$BQ$1006,0)), HYPERLINK("#",""), HYPERLINK(CONCATENATE("#Metadata!", ADDRESS(INDEX($AJ$2:$AJ$1001,MATCH(ROWS($AH$2:AH633),$AH$2:$AH$1001,0),0), INDEX($AO$1004:$BQ$1004,1,MATCH(COLUMNS($AO$1006:BE1006),$AO$1006:$BQ$1006,0)))),"Fix")))</f>
        <v>#N/A</v>
      </c>
      <c r="S633" s="5" t="e">
        <f ca="1">IF(OR(INDEX($AI$2:$AI$1001,MATCH(ROWS($AH$2:AH633),$AH$2:$AH$1001,0),1)&gt;=100000,INDEX($AO$1005:$BQ$1005,1,MATCH(COLUMNS($AO$1006:BF1006),$AO$1006:$BQ$1006,0))&gt;=100000), " ",IF(INDEX($AO$2:$BQ$1001,MATCH(ROWS($AH$2:AH633),$AH$2:$AH$1001,0),MATCH(COLUMNS($AO$1006:BF1006),$AO$1006:$BQ$1006,0)), HYPERLINK("#",""), HYPERLINK(CONCATENATE("#Metadata!", ADDRESS(INDEX($AJ$2:$AJ$1001,MATCH(ROWS($AH$2:AH633),$AH$2:$AH$1001,0),0), INDEX($AO$1004:$BQ$1004,1,MATCH(COLUMNS($AO$1006:BF1006),$AO$1006:$BQ$1006,0)))),"Fix")))</f>
        <v>#N/A</v>
      </c>
      <c r="T633" s="5" t="e">
        <f ca="1">IF(OR(INDEX($AI$2:$AI$1001,MATCH(ROWS($AH$2:AH633),$AH$2:$AH$1001,0),1)&gt;=100000,INDEX($AO$1005:$BQ$1005,1,MATCH(COLUMNS($AO$1006:BG1006),$AO$1006:$BQ$1006,0))&gt;=100000), " ",IF(INDEX($AO$2:$BQ$1001,MATCH(ROWS($AH$2:AH633),$AH$2:$AH$1001,0),MATCH(COLUMNS($AO$1006:BG1006),$AO$1006:$BQ$1006,0)), HYPERLINK("#",""), HYPERLINK(CONCATENATE("#Metadata!", ADDRESS(INDEX($AJ$2:$AJ$1001,MATCH(ROWS($AH$2:AH633),$AH$2:$AH$1001,0),0), INDEX($AO$1004:$BQ$1004,1,MATCH(COLUMNS($AO$1006:BG1006),$AO$1006:$BQ$1006,0)))),"Fix")))</f>
        <v>#N/A</v>
      </c>
      <c r="U633" s="5" t="e">
        <f ca="1">IF(OR(INDEX($AI$2:$AI$1001,MATCH(ROWS($AH$2:AH633),$AH$2:$AH$1001,0),1)&gt;=100000,INDEX($AO$1005:$BQ$1005,1,MATCH(COLUMNS($AO$1006:BH1006),$AO$1006:$BQ$1006,0))&gt;=100000), " ",IF(INDEX($AO$2:$BQ$1001,MATCH(ROWS($AH$2:AH633),$AH$2:$AH$1001,0),MATCH(COLUMNS($AO$1006:BH1006),$AO$1006:$BQ$1006,0)), HYPERLINK("#",""), HYPERLINK(CONCATENATE("#Metadata!", ADDRESS(INDEX($AJ$2:$AJ$1001,MATCH(ROWS($AH$2:AH633),$AH$2:$AH$1001,0),0), INDEX($AO$1004:$BQ$1004,1,MATCH(COLUMNS($AO$1006:BH1006),$AO$1006:$BQ$1006,0)))),"Fix")))</f>
        <v>#N/A</v>
      </c>
      <c r="V633" s="5" t="e">
        <f ca="1">IF(OR(INDEX($AI$2:$AI$1001,MATCH(ROWS($AH$2:AH633),$AH$2:$AH$1001,0),1)&gt;=100000,INDEX($AO$1005:$BQ$1005,1,MATCH(COLUMNS($AO$1006:BI1006),$AO$1006:$BQ$1006,0))&gt;=100000), " ",IF(INDEX($AO$2:$BQ$1001,MATCH(ROWS($AH$2:AH633),$AH$2:$AH$1001,0),MATCH(COLUMNS($AO$1006:BI1006),$AO$1006:$BQ$1006,0)), HYPERLINK("#",""), HYPERLINK(CONCATENATE("#Metadata!", ADDRESS(INDEX($AJ$2:$AJ$1001,MATCH(ROWS($AH$2:AH633),$AH$2:$AH$1001,0),0), INDEX($AO$1004:$BQ$1004,1,MATCH(COLUMNS($AO$1006:BI1006),$AO$1006:$BQ$1006,0)))),"Fix")))</f>
        <v>#N/A</v>
      </c>
      <c r="W633" s="5" t="e">
        <f ca="1">IF(OR(INDEX($AI$2:$AI$1001,MATCH(ROWS($AH$2:AH633),$AH$2:$AH$1001,0),1)&gt;=100000,INDEX($AO$1005:$BQ$1005,1,MATCH(COLUMNS($AO$1006:BJ1006),$AO$1006:$BQ$1006,0))&gt;=100000), " ",IF(INDEX($AO$2:$BQ$1001,MATCH(ROWS($AH$2:AH633),$AH$2:$AH$1001,0),MATCH(COLUMNS($AO$1006:BJ1006),$AO$1006:$BQ$1006,0)), HYPERLINK("#",""), HYPERLINK(CONCATENATE("#Metadata!", ADDRESS(INDEX($AJ$2:$AJ$1001,MATCH(ROWS($AH$2:AH633),$AH$2:$AH$1001,0),0), INDEX($AO$1004:$BQ$1004,1,MATCH(COLUMNS($AO$1006:BJ1006),$AO$1006:$BQ$1006,0)))),"Fix")))</f>
        <v>#N/A</v>
      </c>
      <c r="X633" s="5" t="e">
        <f ca="1">IF(OR(INDEX($AI$2:$AI$1001,MATCH(ROWS($AH$2:AH633),$AH$2:$AH$1001,0),1)&gt;=100000,INDEX($AO$1005:$BQ$1005,1,MATCH(COLUMNS($AO$1006:BK1006),$AO$1006:$BQ$1006,0))&gt;=100000), " ",IF(INDEX($AO$2:$BQ$1001,MATCH(ROWS($AH$2:AH633),$AH$2:$AH$1001,0),MATCH(COLUMNS($AO$1006:BK1006),$AO$1006:$BQ$1006,0)), HYPERLINK("#",""), HYPERLINK(CONCATENATE("#Metadata!", ADDRESS(INDEX($AJ$2:$AJ$1001,MATCH(ROWS($AH$2:AH633),$AH$2:$AH$1001,0),0), INDEX($AO$1004:$BQ$1004,1,MATCH(COLUMNS($AO$1006:BK1006),$AO$1006:$BQ$1006,0)))),"Fix")))</f>
        <v>#N/A</v>
      </c>
      <c r="Y633" s="5" t="e">
        <f ca="1">IF(OR(INDEX($AI$2:$AI$1001,MATCH(ROWS($AH$2:AH633),$AH$2:$AH$1001,0),1)&gt;=100000,INDEX($AO$1005:$BQ$1005,1,MATCH(COLUMNS($AO$1006:BL1006),$AO$1006:$BQ$1006,0))&gt;=100000), " ",IF(INDEX($AO$2:$BQ$1001,MATCH(ROWS($AH$2:AH633),$AH$2:$AH$1001,0),MATCH(COLUMNS($AO$1006:BL1006),$AO$1006:$BQ$1006,0)), HYPERLINK("#",""), HYPERLINK(CONCATENATE("#Metadata!", ADDRESS(INDEX($AJ$2:$AJ$1001,MATCH(ROWS($AH$2:AH633),$AH$2:$AH$1001,0),0), INDEX($AO$1004:$BQ$1004,1,MATCH(COLUMNS($AO$1006:BL1006),$AO$1006:$BQ$1006,0)))),"Fix")))</f>
        <v>#N/A</v>
      </c>
      <c r="Z633" s="5" t="e">
        <f ca="1">IF(OR(INDEX($AI$2:$AI$1001,MATCH(ROWS($AH$2:AH633),$AH$2:$AH$1001,0),1)&gt;=100000,INDEX($AO$1005:$BQ$1005,1,MATCH(COLUMNS($AO$1006:BM1006),$AO$1006:$BQ$1006,0))&gt;=100000), " ",IF(INDEX($AO$2:$BQ$1001,MATCH(ROWS($AH$2:AH633),$AH$2:$AH$1001,0),MATCH(COLUMNS($AO$1006:BM1006),$AO$1006:$BQ$1006,0)), HYPERLINK("#",""), HYPERLINK(CONCATENATE("#Metadata!", ADDRESS(INDEX($AJ$2:$AJ$1001,MATCH(ROWS($AH$2:AH633),$AH$2:$AH$1001,0),0), INDEX($AO$1004:$BQ$1004,1,MATCH(COLUMNS($AO$1006:BM1006),$AO$1006:$BQ$1006,0)))),"Fix")))</f>
        <v>#N/A</v>
      </c>
      <c r="AA633" s="5" t="e">
        <f ca="1">IF(OR(INDEX($AI$2:$AI$1001,MATCH(ROWS($AH$2:AH633),$AH$2:$AH$1001,0),1)&gt;=100000,INDEX($AO$1005:$BQ$1005,1,MATCH(COLUMNS($AO$1006:BN1006),$AO$1006:$BQ$1006,0))&gt;=100000), " ",IF(INDEX($AO$2:$BQ$1001,MATCH(ROWS($AH$2:AH633),$AH$2:$AH$1001,0),MATCH(COLUMNS($AO$1006:BN1006),$AO$1006:$BQ$1006,0)), HYPERLINK("#",""), HYPERLINK(CONCATENATE("#Metadata!", ADDRESS(INDEX($AJ$2:$AJ$1001,MATCH(ROWS($AH$2:AH633),$AH$2:$AH$1001,0),0), INDEX($AO$1004:$BQ$1004,1,MATCH(COLUMNS($AO$1006:BN1006),$AO$1006:$BQ$1006,0)))),"Fix")))</f>
        <v>#N/A</v>
      </c>
      <c r="AB633" s="5" t="e">
        <f ca="1">IF(OR(INDEX($AI$2:$AI$1001,MATCH(ROWS($AH$2:AH633),$AH$2:$AH$1001,0),1)&gt;=100000,INDEX($AO$1005:$BQ$1005,1,MATCH(COLUMNS($AO$1006:BO1006),$AO$1006:$BQ$1006,0))&gt;=100000), " ",IF(INDEX($AO$2:$BQ$1001,MATCH(ROWS($AH$2:AH633),$AH$2:$AH$1001,0),MATCH(COLUMNS($AO$1006:BO1006),$AO$1006:$BQ$1006,0)), HYPERLINK("#",""), HYPERLINK(CONCATENATE("#Metadata!", ADDRESS(INDEX($AJ$2:$AJ$1001,MATCH(ROWS($AH$2:AH633),$AH$2:$AH$1001,0),0), INDEX($AO$1004:$BQ$1004,1,MATCH(COLUMNS($AO$1006:BO1006),$AO$1006:$BQ$1006,0)))),"Fix")))</f>
        <v>#N/A</v>
      </c>
      <c r="AC633" s="5" t="e">
        <f ca="1">IF(OR(INDEX($AI$2:$AI$1001,MATCH(ROWS($AH$2:AH633),$AH$2:$AH$1001,0),1)&gt;=100000,INDEX($AO$1005:$BQ$1005,1,MATCH(COLUMNS($AO$1006:BP1006),$AO$1006:$BQ$1006,0))&gt;=100000), " ",IF(INDEX($AO$2:$BQ$1001,MATCH(ROWS($AH$2:AH633),$AH$2:$AH$1001,0),MATCH(COLUMNS($AO$1006:BP1006),$AO$1006:$BQ$1006,0)), HYPERLINK("#",""), HYPERLINK(CONCATENATE("#Metadata!", ADDRESS(INDEX($AJ$2:$AJ$1001,MATCH(ROWS($AH$2:AH633),$AH$2:$AH$1001,0),0), INDEX($AO$1004:$BQ$1004,1,MATCH(COLUMNS($AO$1006:BP1006),$AO$1006:$BQ$1006,0)))),"Fix")))</f>
        <v>#N/A</v>
      </c>
      <c r="AD633" s="5" t="e">
        <f ca="1">IF(OR(INDEX($AI$2:$AI$1001,MATCH(ROWS($AH$2:AH633),$AH$2:$AH$1001,0),1)&gt;=100000,INDEX($AO$1005:$BQ$1005,1,MATCH(COLUMNS($AO$1006:BQ1006),$AO$1006:$BQ$1006,0))&gt;=100000), " ",IF(INDEX($AO$2:$BQ$1001,MATCH(ROWS($AH$2:AH633),$AH$2:$AH$1001,0),MATCH(COLUMNS($AO$1006:BQ1006),$AO$1006:$BQ$1006,0)), HYPERLINK("#",""), HYPERLINK(CONCATENATE("#Metadata!", ADDRESS(INDEX($AJ$2:$AJ$1001,MATCH(ROWS($AH$2:AH633),$AH$2:$AH$1001,0),0), INDEX($AO$1004:$BQ$1004,1,MATCH(COLUMNS($AO$1006:BQ1006),$AO$1006:$BQ$1006,0)))),"Fix")))</f>
        <v>#REF!</v>
      </c>
      <c r="AH633">
        <f ca="1"/>
        <v>630</v>
      </c>
      <c r="AI633">
        <v>100633</v>
      </c>
      <c r="AJ633">
        <v>633</v>
      </c>
      <c r="AK633" t="b">
        <f t="shared" si="9"/>
        <v>1</v>
      </c>
      <c r="AL633" t="b">
        <f>COUNTBLANK(Metadata!B633:AD633)=COLUMNS(Metadata!B633:AD633)</f>
        <v>1</v>
      </c>
      <c r="AM633" t="str">
        <v/>
      </c>
      <c r="AO633" t="b">
        <f ca="1">AND(IF(Metadata!B633="",FALSE,TRUE),COUNTIF(Metadata!B:B, Metadata!B633) = 1,NOT(ISERROR(SUMPRODUCT(SEARCH(MID(Metadata!B633,ROW(INDIRECT("1:"&amp;LEN(Metadata!B633))), 1),"0123456789abcdefghijklmnopqrstuvwxyzABCDEFGHIJKLMNOPQRSTUVWXYZ.")))))</f>
        <v>0</v>
      </c>
      <c r="AP633" t="b">
        <f>IF(Metadata!C633="",FALSE,TRUE)</f>
        <v>0</v>
      </c>
      <c r="AQ633" t="b">
        <f>IF(Metadata!D633="",FALSE,TRUE)</f>
        <v>0</v>
      </c>
      <c r="AR633" t="b">
        <f ca="1">OR(AND(IF(Metadata!E633="",FALSE,TRUE),OR(EXACT(Metadata!E633,"not collected"),EXACT(Metadata!E633,"not provided"),EXACT(Metadata!E633,"restricted access"))),AND(IF(Metadata!E633="",FALSE,TRUE),AND(AND(IFERROR(INT(LEFT(Metadata!E633,4))&gt;1900,FALSE),IFERROR(INT(LEFT(Metadata!E633,4))&lt;=YEAR(NOW()),FALSE)), OR(MID(Metadata!E633,5,1)="", AND(AND(MID(Metadata!E633,5,1)="-",IFERROR(INT(MID(Metadata!E633,6,1))&gt;=0,FALSE),IFERROR(INT(MID(Metadata!E633,6,1))&lt;=1,FALSE),NOT(MID(Metadata!E633,7,1)=""),IFERROR(INT(MID(Metadata!E633,6,2))&gt;=1,FALSE),IFERROR(INT(MID(Metadata!E633,6,2))&lt;=12,FALSE)), OR(MID(Metadata!E633,8,1)="", AND(AND(MID(Metadata!E633,8,1)="-",IFERROR(INT(MID(Metadata!E633,9,1))&gt;=0,FALSE),IFERROR(INT(MID(Metadata!E633,9,1))&lt;=3,FALSE),NOT(MID(Metadata!E633,10,1)=""),IFERROR(INT(MID(Metadata!E633,9,2))&gt;=1,FALSE),IFERROR(INT(MID(Metadata!E633,9,2))&lt;=31,FALSE)), OR(MID(Metadata!E633,11,1)="", AND(AND(MID(Metadata!E633,11,1)=" ",IFERROR(INT(MID(Metadata!E633,12,1))&gt;=0,FALSE),IFERROR(INT(MID(Metadata!E633,12,1))&lt;=2,FALSE),NOT(MID(Metadata!E633,13,1)=""),IFERROR(INT(MID(Metadata!E633,12,2))&gt;=0,FALSE),IFERROR(INT(MID(Metadata!E633,12,2))&lt;=23,FALSE)), OR(MID(Metadata!E633,14,1)="", AND(AND(MID(Metadata!E633,14,1)=":",IFERROR(INT(MID(Metadata!E633,15,1))&gt;=0,FALSE),IFERROR(INT(MID(Metadata!E633,15,1))&lt;=5,FALSE),NOT(MID(Metadata!E633,16,1)=""),IFERROR(INT(MID(Metadata!E633,15,2))&gt;=0,FALSE),IFERROR(INT(MID(Metadata!E633,15,2))&lt;=59,FALSE)), OR(MID(Metadata!E633,17,1)="", AND(AND(MID(Metadata!E633,17,1)=":",IFERROR(INT(MID(Metadata!E633,18,1))&gt;=0,FALSE),IFERROR(INT(MID(Metadata!E633,18,1))&lt;=5,FALSE),NOT(MID(Metadata!E633,19,1)=""),IFERROR(INT(MID(Metadata!E633,18,2))&gt;=0,FALSE),IFERROR(INT(MID(Metadata!E633,18,2))&lt;=59,FALSE)), LEN(Metadata!E633)&lt;=19)))))))))))))</f>
        <v>0</v>
      </c>
      <c r="AS633" t="b">
        <f>IF(Metadata!F633="",FALSE,TRUE)</f>
        <v>0</v>
      </c>
      <c r="AT633" t="b">
        <f>OR(AND(IF(Metadata!G633="",FALSE,TRUE),OR(EXACT(Metadata!G633,"not collected"),EXACT(Metadata!G633,"not provided"))),AND(IF(Metadata!G633="",FALSE,TRUE),OR(EXACT(Metadata!G633,"TRUE"),EXACT(Metadata!G633,"FALSE"))))</f>
        <v>0</v>
      </c>
      <c r="AU633" t="b">
        <f>OR(AND(IF(Metadata!H633="",FALSE,TRUE),OR(EXACT(Metadata!H633,"not collected"),EXACT(Metadata!H633,"not provided"),EXACT(Metadata!H633,"restricted access"))),AND(IF(Metadata!H633="",FALSE,ISNUMBER(VALUE(Metadata!H633))),Metadata!H633&gt;=-413))</f>
        <v>0</v>
      </c>
      <c r="AV633" t="b">
        <f>AND(IF(Metadata!I633="",FALSE,TRUE),EXACT(Metadata!I633,"meters"))</f>
        <v>0</v>
      </c>
      <c r="AW633" t="b">
        <f>AND(IF(Metadata!J633="",FALSE,TRUE),EXACT(Metadata!J633,"free-living"))</f>
        <v>0</v>
      </c>
      <c r="AX633" t="b">
        <f>AND(IF(Metadata!K633="",FALSE,TRUE),OR(EXACT(Metadata!K633,"saline"),EXACT(Metadata!K633,"non-saline")))</f>
        <v>0</v>
      </c>
      <c r="AY633" t="b">
        <f>AND(IF(Metadata!L633="",FALSE,TRUE),OR(EXACT(Metadata!L633,"sub-surface (non-saline)"),EXACT(Metadata!L633,"surface (non-saline)"),EXACT(Metadata!L633,"water (non-saline)"),EXACT(Metadata!L633,"soil (non-saline)"),EXACT(Metadata!L633,"aerosol (non-saline)"),EXACT(Metadata!L633,"sediment (non-saline)"),EXACT(Metadata!L633,"surface (saline)"),EXACT(Metadata!L633,"water (saline)"),EXACT(Metadata!L633,"hypersaline (saline)"),EXACT(Metadata!L633,"aerosol (saline)"),EXACT(Metadata!L633,"sediment (saline)")))</f>
        <v>0</v>
      </c>
      <c r="AZ633" t="b">
        <f>IF(Metadata!M633="",FALSE,TRUE)</f>
        <v>0</v>
      </c>
      <c r="BA633" t="b">
        <f>IF(Metadata!N633="",FALSE,TRUE)</f>
        <v>0</v>
      </c>
      <c r="BB633" t="b">
        <f>IF(Metadata!O633="",FALSE,TRUE)</f>
        <v>0</v>
      </c>
      <c r="BC633" t="b">
        <f>AND(IF(Metadata!P633="",FALSE,TRUE),OR(EXACT(Metadata!P633,"air"),EXACT(Metadata!P633,"microbial mat/biofilm"),EXACT(Metadata!P633,"misc environment"),EXACT(Metadata!P633,"sediment"),EXACT(Metadata!P633,"soil"),EXACT(Metadata!P633,"wastewater/sludge"),EXACT(Metadata!P633,"water")))</f>
        <v>0</v>
      </c>
      <c r="BD633" t="b">
        <f>IF(Metadata!Q633="",FALSE,TRUE)</f>
        <v>0</v>
      </c>
      <c r="BE633" t="b">
        <f>IF(Metadata!R633="",FALSE,TRUE)</f>
        <v>0</v>
      </c>
      <c r="BF633" t="b">
        <f>OR(AND(IF(Metadata!S633="",FALSE,TRUE),OR(EXACT(Metadata!S633,"not collected"),EXACT(Metadata!S633,"not provided"),EXACT(Metadata!S633,"restricted access"))),AND(IF(Metadata!S633="",FALSE,ISNUMBER(VALUE(Metadata!S633))),Metadata!S633&gt;=-90,Metadata!S633&lt;=90))</f>
        <v>0</v>
      </c>
      <c r="BG633" t="b">
        <f>AND(IF(Metadata!T633="",FALSE,TRUE),EXACT(Metadata!T633,"Decimal degrees"))</f>
        <v>0</v>
      </c>
      <c r="BH633" t="b">
        <f>OR(AND(IF(Metadata!U633="",FALSE,TRUE),OR(EXACT(Metadata!U633,"not applicable"),EXACT(Metadata!U633,"not collected"))),IF(Metadata!U633="",FALSE,TRUE))</f>
        <v>0</v>
      </c>
      <c r="BI633" t="b">
        <f>OR(AND(IF(Metadata!V633="",FALSE,TRUE),OR(EXACT(Metadata!V633,"not collected"),EXACT(Metadata!V633,"not provided"),EXACT(Metadata!V633,"restricted access"))),AND(IF(Metadata!V633="",FALSE,ISNUMBER(VALUE(Metadata!V633))),Metadata!V633&gt;=-180,Metadata!V633&lt;=180))</f>
        <v>0</v>
      </c>
      <c r="BJ633" t="b">
        <f>AND(IF(Metadata!W633="",FALSE,TRUE),EXACT(Metadata!W633,"Decimal degrees"))</f>
        <v>0</v>
      </c>
      <c r="BK633" t="b">
        <f>IF(Metadata!X633="",FALSE,TRUE)</f>
        <v>0</v>
      </c>
      <c r="BL633" t="b">
        <f>OR(AND(IF(Metadata!Y633="",FALSE,TRUE),OR(EXACT(Metadata!Y633,"not collected"),EXACT(Metadata!Y633,"not provided"),EXACT(Metadata!Y633,"restricted access"))),AND(IF(Metadata!Y633="",FALSE,TRUE),OR(EXACT(Metadata!Y633,"TRUE"),EXACT(Metadata!Y633,"FALSE"))))</f>
        <v>0</v>
      </c>
      <c r="BM633" t="b">
        <f>OR(AND(IF(Metadata!Z633="",FALSE,TRUE),EXACT(Metadata!Z633,"not applicable")),AND(IF(Metadata!Z633="",FALSE,TRUE),OR(EXACT(Metadata!Z633,"beer"),EXACT(Metadata!Z633,"cheese"),EXACT(Metadata!Z633,"fresh water"),EXACT(Metadata!Z633,"marine sediment"),EXACT(Metadata!Z633,"sea water"),EXACT(Metadata!Z633,"sediment"),EXACT(Metadata!Z633,"soil"),EXACT(Metadata!Z633,"waste water"))))</f>
        <v>0</v>
      </c>
      <c r="BN633" t="b">
        <f>AND(IF(Metadata!AA633="",FALSE,TRUE),EXACT(Metadata!AA633,"metagenome"))</f>
        <v>0</v>
      </c>
      <c r="BO633" t="b">
        <f>AND(IF(Metadata!AB633="",FALSE,TRUE),EXACT(Metadata!AB633,"256318"))</f>
        <v>0</v>
      </c>
      <c r="BP633" t="b">
        <f>IF(Metadata!AC633="",FALSE,TRUE)</f>
        <v>0</v>
      </c>
      <c r="BQ633" t="b">
        <f>IF(Metadata!AD633="",FALSE,TRUE)</f>
        <v>0</v>
      </c>
    </row>
    <row r="634" spans="1:69" x14ac:dyDescent="0.2">
      <c r="A634" s="4" t="e">
        <f ca="1">IF(B634=" "," ",HYPERLINK(CONCATENATE("#metadata!",ADDRESS(INDEX($AJ$2:$AJ$1001,MATCH(ROWS($AH$2:AH634),$AH$2:$AH$1001,0),0),2)),INDEX($AM$2:$AM$1001,MATCH(ROWS($AH$2:AH634),$AH$2:$AH$1001,0),0)))</f>
        <v>#N/A</v>
      </c>
      <c r="B634" s="5" t="e">
        <f ca="1">IF(OR(INDEX($AI$2:$AI$1001,MATCH(ROWS($AH$2:AH634),$AH$2:$AH$1001,0),1)&gt;=100000,INDEX($AO$1005:$BQ$1005,1,MATCH(COLUMNS($AO$1006:AO1006),$AO$1006:$BQ$1006,0))&gt;=100000), " ",IF(INDEX($AO$2:$BQ$1001,MATCH(ROWS($AH$2:AH634),$AH$2:$AH$1001,0),MATCH(COLUMNS($AO$1006:AO1006),$AO$1006:$BQ$1006,0)), HYPERLINK("#",""), HYPERLINK(CONCATENATE("#Metadata!", ADDRESS(INDEX($AJ$2:$AJ$1001,MATCH(ROWS($AH$2:AH634),$AH$2:$AH$1001,0),0), INDEX($AO$1004:$BQ$1004,1,MATCH(COLUMNS($AO$1006:AO1006),$AO$1006:$BQ$1006,0)))),"Fix")))</f>
        <v>#N/A</v>
      </c>
      <c r="C634" s="5" t="e">
        <f ca="1">IF(OR(INDEX($AI$2:$AI$1001,MATCH(ROWS($AH$2:AH634),$AH$2:$AH$1001,0),1)&gt;=100000,INDEX($AO$1005:$BQ$1005,1,MATCH(COLUMNS($AO$1006:AP1006),$AO$1006:$BQ$1006,0))&gt;=100000), " ",IF(INDEX($AO$2:$BQ$1001,MATCH(ROWS($AH$2:AH634),$AH$2:$AH$1001,0),MATCH(COLUMNS($AO$1006:AP1006),$AO$1006:$BQ$1006,0)), HYPERLINK("#",""), HYPERLINK(CONCATENATE("#Metadata!", ADDRESS(INDEX($AJ$2:$AJ$1001,MATCH(ROWS($AH$2:AH634),$AH$2:$AH$1001,0),0), INDEX($AO$1004:$BQ$1004,1,MATCH(COLUMNS($AO$1006:AP1006),$AO$1006:$BQ$1006,0)))),"Fix")))</f>
        <v>#N/A</v>
      </c>
      <c r="D634" s="5" t="e">
        <f ca="1">IF(OR(INDEX($AI$2:$AI$1001,MATCH(ROWS($AH$2:AH634),$AH$2:$AH$1001,0),1)&gt;=100000,INDEX($AO$1005:$BQ$1005,1,MATCH(COLUMNS($AO$1006:AQ1006),$AO$1006:$BQ$1006,0))&gt;=100000), " ",IF(INDEX($AO$2:$BQ$1001,MATCH(ROWS($AH$2:AH634),$AH$2:$AH$1001,0),MATCH(COLUMNS($AO$1006:AQ1006),$AO$1006:$BQ$1006,0)), HYPERLINK("#",""), HYPERLINK(CONCATENATE("#Metadata!", ADDRESS(INDEX($AJ$2:$AJ$1001,MATCH(ROWS($AH$2:AH634),$AH$2:$AH$1001,0),0), INDEX($AO$1004:$BQ$1004,1,MATCH(COLUMNS($AO$1006:AQ1006),$AO$1006:$BQ$1006,0)))),"Fix")))</f>
        <v>#N/A</v>
      </c>
      <c r="E634" s="5" t="e">
        <f ca="1">IF(OR(INDEX($AI$2:$AI$1001,MATCH(ROWS($AH$2:AH634),$AH$2:$AH$1001,0),1)&gt;=100000,INDEX($AO$1005:$BQ$1005,1,MATCH(COLUMNS($AO$1006:AR1006),$AO$1006:$BQ$1006,0))&gt;=100000), " ",IF(INDEX($AO$2:$BQ$1001,MATCH(ROWS($AH$2:AH634),$AH$2:$AH$1001,0),MATCH(COLUMNS($AO$1006:AR1006),$AO$1006:$BQ$1006,0)), HYPERLINK("#",""), HYPERLINK(CONCATENATE("#Metadata!", ADDRESS(INDEX($AJ$2:$AJ$1001,MATCH(ROWS($AH$2:AH634),$AH$2:$AH$1001,0),0), INDEX($AO$1004:$BQ$1004,1,MATCH(COLUMNS($AO$1006:AR1006),$AO$1006:$BQ$1006,0)))),"Fix")))</f>
        <v>#N/A</v>
      </c>
      <c r="F634" s="5" t="e">
        <f ca="1">IF(OR(INDEX($AI$2:$AI$1001,MATCH(ROWS($AH$2:AH634),$AH$2:$AH$1001,0),1)&gt;=100000,INDEX($AO$1005:$BQ$1005,1,MATCH(COLUMNS($AO$1006:AS1006),$AO$1006:$BQ$1006,0))&gt;=100000), " ",IF(INDEX($AO$2:$BQ$1001,MATCH(ROWS($AH$2:AH634),$AH$2:$AH$1001,0),MATCH(COLUMNS($AO$1006:AS1006),$AO$1006:$BQ$1006,0)), HYPERLINK("#",""), HYPERLINK(CONCATENATE("#Metadata!", ADDRESS(INDEX($AJ$2:$AJ$1001,MATCH(ROWS($AH$2:AH634),$AH$2:$AH$1001,0),0), INDEX($AO$1004:$BQ$1004,1,MATCH(COLUMNS($AO$1006:AS1006),$AO$1006:$BQ$1006,0)))),"Fix")))</f>
        <v>#N/A</v>
      </c>
      <c r="G634" s="5" t="e">
        <f ca="1">IF(OR(INDEX($AI$2:$AI$1001,MATCH(ROWS($AH$2:AH634),$AH$2:$AH$1001,0),1)&gt;=100000,INDEX($AO$1005:$BQ$1005,1,MATCH(COLUMNS($AO$1006:AT1006),$AO$1006:$BQ$1006,0))&gt;=100000), " ",IF(INDEX($AO$2:$BQ$1001,MATCH(ROWS($AH$2:AH634),$AH$2:$AH$1001,0),MATCH(COLUMNS($AO$1006:AT1006),$AO$1006:$BQ$1006,0)), HYPERLINK("#",""), HYPERLINK(CONCATENATE("#Metadata!", ADDRESS(INDEX($AJ$2:$AJ$1001,MATCH(ROWS($AH$2:AH634),$AH$2:$AH$1001,0),0), INDEX($AO$1004:$BQ$1004,1,MATCH(COLUMNS($AO$1006:AT1006),$AO$1006:$BQ$1006,0)))),"Fix")))</f>
        <v>#N/A</v>
      </c>
      <c r="H634" s="5" t="e">
        <f ca="1">IF(OR(INDEX($AI$2:$AI$1001,MATCH(ROWS($AH$2:AH634),$AH$2:$AH$1001,0),1)&gt;=100000,INDEX($AO$1005:$BQ$1005,1,MATCH(COLUMNS($AO$1006:AU1006),$AO$1006:$BQ$1006,0))&gt;=100000), " ",IF(INDEX($AO$2:$BQ$1001,MATCH(ROWS($AH$2:AH634),$AH$2:$AH$1001,0),MATCH(COLUMNS($AO$1006:AU1006),$AO$1006:$BQ$1006,0)), HYPERLINK("#",""), HYPERLINK(CONCATENATE("#Metadata!", ADDRESS(INDEX($AJ$2:$AJ$1001,MATCH(ROWS($AH$2:AH634),$AH$2:$AH$1001,0),0), INDEX($AO$1004:$BQ$1004,1,MATCH(COLUMNS($AO$1006:AU1006),$AO$1006:$BQ$1006,0)))),"Fix")))</f>
        <v>#N/A</v>
      </c>
      <c r="I634" s="5" t="e">
        <f ca="1">IF(OR(INDEX($AI$2:$AI$1001,MATCH(ROWS($AH$2:AH634),$AH$2:$AH$1001,0),1)&gt;=100000,INDEX($AO$1005:$BQ$1005,1,MATCH(COLUMNS($AO$1006:AV1006),$AO$1006:$BQ$1006,0))&gt;=100000), " ",IF(INDEX($AO$2:$BQ$1001,MATCH(ROWS($AH$2:AH634),$AH$2:$AH$1001,0),MATCH(COLUMNS($AO$1006:AV1006),$AO$1006:$BQ$1006,0)), HYPERLINK("#",""), HYPERLINK(CONCATENATE("#Metadata!", ADDRESS(INDEX($AJ$2:$AJ$1001,MATCH(ROWS($AH$2:AH634),$AH$2:$AH$1001,0),0), INDEX($AO$1004:$BQ$1004,1,MATCH(COLUMNS($AO$1006:AV1006),$AO$1006:$BQ$1006,0)))),"Fix")))</f>
        <v>#N/A</v>
      </c>
      <c r="J634" s="5" t="e">
        <f ca="1">IF(OR(INDEX($AI$2:$AI$1001,MATCH(ROWS($AH$2:AH634),$AH$2:$AH$1001,0),1)&gt;=100000,INDEX($AO$1005:$BQ$1005,1,MATCH(COLUMNS($AO$1006:AW1006),$AO$1006:$BQ$1006,0))&gt;=100000), " ",IF(INDEX($AO$2:$BQ$1001,MATCH(ROWS($AH$2:AH634),$AH$2:$AH$1001,0),MATCH(COLUMNS($AO$1006:AW1006),$AO$1006:$BQ$1006,0)), HYPERLINK("#",""), HYPERLINK(CONCATENATE("#Metadata!", ADDRESS(INDEX($AJ$2:$AJ$1001,MATCH(ROWS($AH$2:AH634),$AH$2:$AH$1001,0),0), INDEX($AO$1004:$BQ$1004,1,MATCH(COLUMNS($AO$1006:AW1006),$AO$1006:$BQ$1006,0)))),"Fix")))</f>
        <v>#N/A</v>
      </c>
      <c r="K634" s="5" t="e">
        <f ca="1">IF(OR(INDEX($AI$2:$AI$1001,MATCH(ROWS($AH$2:AH634),$AH$2:$AH$1001,0),1)&gt;=100000,INDEX($AO$1005:$BQ$1005,1,MATCH(COLUMNS($AO$1006:AX1006),$AO$1006:$BQ$1006,0))&gt;=100000), " ",IF(INDEX($AO$2:$BQ$1001,MATCH(ROWS($AH$2:AH634),$AH$2:$AH$1001,0),MATCH(COLUMNS($AO$1006:AX1006),$AO$1006:$BQ$1006,0)), HYPERLINK("#",""), HYPERLINK(CONCATENATE("#Metadata!", ADDRESS(INDEX($AJ$2:$AJ$1001,MATCH(ROWS($AH$2:AH634),$AH$2:$AH$1001,0),0), INDEX($AO$1004:$BQ$1004,1,MATCH(COLUMNS($AO$1006:AX1006),$AO$1006:$BQ$1006,0)))),"Fix")))</f>
        <v>#N/A</v>
      </c>
      <c r="L634" s="5" t="e">
        <f ca="1">IF(OR(INDEX($AI$2:$AI$1001,MATCH(ROWS($AH$2:AH634),$AH$2:$AH$1001,0),1)&gt;=100000,INDEX($AO$1005:$BQ$1005,1,MATCH(COLUMNS($AO$1006:AY1006),$AO$1006:$BQ$1006,0))&gt;=100000), " ",IF(INDEX($AO$2:$BQ$1001,MATCH(ROWS($AH$2:AH634),$AH$2:$AH$1001,0),MATCH(COLUMNS($AO$1006:AY1006),$AO$1006:$BQ$1006,0)), HYPERLINK("#",""), HYPERLINK(CONCATENATE("#Metadata!", ADDRESS(INDEX($AJ$2:$AJ$1001,MATCH(ROWS($AH$2:AH634),$AH$2:$AH$1001,0),0), INDEX($AO$1004:$BQ$1004,1,MATCH(COLUMNS($AO$1006:AY1006),$AO$1006:$BQ$1006,0)))),"Fix")))</f>
        <v>#N/A</v>
      </c>
      <c r="M634" s="5" t="e">
        <f ca="1">IF(OR(INDEX($AI$2:$AI$1001,MATCH(ROWS($AH$2:AH634),$AH$2:$AH$1001,0),1)&gt;=100000,INDEX($AO$1005:$BQ$1005,1,MATCH(COLUMNS($AO$1006:AZ1006),$AO$1006:$BQ$1006,0))&gt;=100000), " ",IF(INDEX($AO$2:$BQ$1001,MATCH(ROWS($AH$2:AH634),$AH$2:$AH$1001,0),MATCH(COLUMNS($AO$1006:AZ1006),$AO$1006:$BQ$1006,0)), HYPERLINK("#",""), HYPERLINK(CONCATENATE("#Metadata!", ADDRESS(INDEX($AJ$2:$AJ$1001,MATCH(ROWS($AH$2:AH634),$AH$2:$AH$1001,0),0), INDEX($AO$1004:$BQ$1004,1,MATCH(COLUMNS($AO$1006:AZ1006),$AO$1006:$BQ$1006,0)))),"Fix")))</f>
        <v>#N/A</v>
      </c>
      <c r="N634" s="5" t="e">
        <f ca="1">IF(OR(INDEX($AI$2:$AI$1001,MATCH(ROWS($AH$2:AH634),$AH$2:$AH$1001,0),1)&gt;=100000,INDEX($AO$1005:$BQ$1005,1,MATCH(COLUMNS($AO$1006:BA1006),$AO$1006:$BQ$1006,0))&gt;=100000), " ",IF(INDEX($AO$2:$BQ$1001,MATCH(ROWS($AH$2:AH634),$AH$2:$AH$1001,0),MATCH(COLUMNS($AO$1006:BA1006),$AO$1006:$BQ$1006,0)), HYPERLINK("#",""), HYPERLINK(CONCATENATE("#Metadata!", ADDRESS(INDEX($AJ$2:$AJ$1001,MATCH(ROWS($AH$2:AH634),$AH$2:$AH$1001,0),0), INDEX($AO$1004:$BQ$1004,1,MATCH(COLUMNS($AO$1006:BA1006),$AO$1006:$BQ$1006,0)))),"Fix")))</f>
        <v>#N/A</v>
      </c>
      <c r="O634" s="5" t="e">
        <f ca="1">IF(OR(INDEX($AI$2:$AI$1001,MATCH(ROWS($AH$2:AH634),$AH$2:$AH$1001,0),1)&gt;=100000,INDEX($AO$1005:$BQ$1005,1,MATCH(COLUMNS($AO$1006:BB1006),$AO$1006:$BQ$1006,0))&gt;=100000), " ",IF(INDEX($AO$2:$BQ$1001,MATCH(ROWS($AH$2:AH634),$AH$2:$AH$1001,0),MATCH(COLUMNS($AO$1006:BB1006),$AO$1006:$BQ$1006,0)), HYPERLINK("#",""), HYPERLINK(CONCATENATE("#Metadata!", ADDRESS(INDEX($AJ$2:$AJ$1001,MATCH(ROWS($AH$2:AH634),$AH$2:$AH$1001,0),0), INDEX($AO$1004:$BQ$1004,1,MATCH(COLUMNS($AO$1006:BB1006),$AO$1006:$BQ$1006,0)))),"Fix")))</f>
        <v>#N/A</v>
      </c>
      <c r="P634" s="5" t="e">
        <f ca="1">IF(OR(INDEX($AI$2:$AI$1001,MATCH(ROWS($AH$2:AH634),$AH$2:$AH$1001,0),1)&gt;=100000,INDEX($AO$1005:$BQ$1005,1,MATCH(COLUMNS($AO$1006:BC1006),$AO$1006:$BQ$1006,0))&gt;=100000), " ",IF(INDEX($AO$2:$BQ$1001,MATCH(ROWS($AH$2:AH634),$AH$2:$AH$1001,0),MATCH(COLUMNS($AO$1006:BC1006),$AO$1006:$BQ$1006,0)), HYPERLINK("#",""), HYPERLINK(CONCATENATE("#Metadata!", ADDRESS(INDEX($AJ$2:$AJ$1001,MATCH(ROWS($AH$2:AH634),$AH$2:$AH$1001,0),0), INDEX($AO$1004:$BQ$1004,1,MATCH(COLUMNS($AO$1006:BC1006),$AO$1006:$BQ$1006,0)))),"Fix")))</f>
        <v>#N/A</v>
      </c>
      <c r="Q634" s="5" t="e">
        <f ca="1">IF(OR(INDEX($AI$2:$AI$1001,MATCH(ROWS($AH$2:AH634),$AH$2:$AH$1001,0),1)&gt;=100000,INDEX($AO$1005:$BQ$1005,1,MATCH(COLUMNS($AO$1006:BD1006),$AO$1006:$BQ$1006,0))&gt;=100000), " ",IF(INDEX($AO$2:$BQ$1001,MATCH(ROWS($AH$2:AH634),$AH$2:$AH$1001,0),MATCH(COLUMNS($AO$1006:BD1006),$AO$1006:$BQ$1006,0)), HYPERLINK("#",""), HYPERLINK(CONCATENATE("#Metadata!", ADDRESS(INDEX($AJ$2:$AJ$1001,MATCH(ROWS($AH$2:AH634),$AH$2:$AH$1001,0),0), INDEX($AO$1004:$BQ$1004,1,MATCH(COLUMNS($AO$1006:BD1006),$AO$1006:$BQ$1006,0)))),"Fix")))</f>
        <v>#N/A</v>
      </c>
      <c r="R634" s="5" t="e">
        <f ca="1">IF(OR(INDEX($AI$2:$AI$1001,MATCH(ROWS($AH$2:AH634),$AH$2:$AH$1001,0),1)&gt;=100000,INDEX($AO$1005:$BQ$1005,1,MATCH(COLUMNS($AO$1006:BE1006),$AO$1006:$BQ$1006,0))&gt;=100000), " ",IF(INDEX($AO$2:$BQ$1001,MATCH(ROWS($AH$2:AH634),$AH$2:$AH$1001,0),MATCH(COLUMNS($AO$1006:BE1006),$AO$1006:$BQ$1006,0)), HYPERLINK("#",""), HYPERLINK(CONCATENATE("#Metadata!", ADDRESS(INDEX($AJ$2:$AJ$1001,MATCH(ROWS($AH$2:AH634),$AH$2:$AH$1001,0),0), INDEX($AO$1004:$BQ$1004,1,MATCH(COLUMNS($AO$1006:BE1006),$AO$1006:$BQ$1006,0)))),"Fix")))</f>
        <v>#N/A</v>
      </c>
      <c r="S634" s="5" t="e">
        <f ca="1">IF(OR(INDEX($AI$2:$AI$1001,MATCH(ROWS($AH$2:AH634),$AH$2:$AH$1001,0),1)&gt;=100000,INDEX($AO$1005:$BQ$1005,1,MATCH(COLUMNS($AO$1006:BF1006),$AO$1006:$BQ$1006,0))&gt;=100000), " ",IF(INDEX($AO$2:$BQ$1001,MATCH(ROWS($AH$2:AH634),$AH$2:$AH$1001,0),MATCH(COLUMNS($AO$1006:BF1006),$AO$1006:$BQ$1006,0)), HYPERLINK("#",""), HYPERLINK(CONCATENATE("#Metadata!", ADDRESS(INDEX($AJ$2:$AJ$1001,MATCH(ROWS($AH$2:AH634),$AH$2:$AH$1001,0),0), INDEX($AO$1004:$BQ$1004,1,MATCH(COLUMNS($AO$1006:BF1006),$AO$1006:$BQ$1006,0)))),"Fix")))</f>
        <v>#N/A</v>
      </c>
      <c r="T634" s="5" t="e">
        <f ca="1">IF(OR(INDEX($AI$2:$AI$1001,MATCH(ROWS($AH$2:AH634),$AH$2:$AH$1001,0),1)&gt;=100000,INDEX($AO$1005:$BQ$1005,1,MATCH(COLUMNS($AO$1006:BG1006),$AO$1006:$BQ$1006,0))&gt;=100000), " ",IF(INDEX($AO$2:$BQ$1001,MATCH(ROWS($AH$2:AH634),$AH$2:$AH$1001,0),MATCH(COLUMNS($AO$1006:BG1006),$AO$1006:$BQ$1006,0)), HYPERLINK("#",""), HYPERLINK(CONCATENATE("#Metadata!", ADDRESS(INDEX($AJ$2:$AJ$1001,MATCH(ROWS($AH$2:AH634),$AH$2:$AH$1001,0),0), INDEX($AO$1004:$BQ$1004,1,MATCH(COLUMNS($AO$1006:BG1006),$AO$1006:$BQ$1006,0)))),"Fix")))</f>
        <v>#N/A</v>
      </c>
      <c r="U634" s="5" t="e">
        <f ca="1">IF(OR(INDEX($AI$2:$AI$1001,MATCH(ROWS($AH$2:AH634),$AH$2:$AH$1001,0),1)&gt;=100000,INDEX($AO$1005:$BQ$1005,1,MATCH(COLUMNS($AO$1006:BH1006),$AO$1006:$BQ$1006,0))&gt;=100000), " ",IF(INDEX($AO$2:$BQ$1001,MATCH(ROWS($AH$2:AH634),$AH$2:$AH$1001,0),MATCH(COLUMNS($AO$1006:BH1006),$AO$1006:$BQ$1006,0)), HYPERLINK("#",""), HYPERLINK(CONCATENATE("#Metadata!", ADDRESS(INDEX($AJ$2:$AJ$1001,MATCH(ROWS($AH$2:AH634),$AH$2:$AH$1001,0),0), INDEX($AO$1004:$BQ$1004,1,MATCH(COLUMNS($AO$1006:BH1006),$AO$1006:$BQ$1006,0)))),"Fix")))</f>
        <v>#N/A</v>
      </c>
      <c r="V634" s="5" t="e">
        <f ca="1">IF(OR(INDEX($AI$2:$AI$1001,MATCH(ROWS($AH$2:AH634),$AH$2:$AH$1001,0),1)&gt;=100000,INDEX($AO$1005:$BQ$1005,1,MATCH(COLUMNS($AO$1006:BI1006),$AO$1006:$BQ$1006,0))&gt;=100000), " ",IF(INDEX($AO$2:$BQ$1001,MATCH(ROWS($AH$2:AH634),$AH$2:$AH$1001,0),MATCH(COLUMNS($AO$1006:BI1006),$AO$1006:$BQ$1006,0)), HYPERLINK("#",""), HYPERLINK(CONCATENATE("#Metadata!", ADDRESS(INDEX($AJ$2:$AJ$1001,MATCH(ROWS($AH$2:AH634),$AH$2:$AH$1001,0),0), INDEX($AO$1004:$BQ$1004,1,MATCH(COLUMNS($AO$1006:BI1006),$AO$1006:$BQ$1006,0)))),"Fix")))</f>
        <v>#N/A</v>
      </c>
      <c r="W634" s="5" t="e">
        <f ca="1">IF(OR(INDEX($AI$2:$AI$1001,MATCH(ROWS($AH$2:AH634),$AH$2:$AH$1001,0),1)&gt;=100000,INDEX($AO$1005:$BQ$1005,1,MATCH(COLUMNS($AO$1006:BJ1006),$AO$1006:$BQ$1006,0))&gt;=100000), " ",IF(INDEX($AO$2:$BQ$1001,MATCH(ROWS($AH$2:AH634),$AH$2:$AH$1001,0),MATCH(COLUMNS($AO$1006:BJ1006),$AO$1006:$BQ$1006,0)), HYPERLINK("#",""), HYPERLINK(CONCATENATE("#Metadata!", ADDRESS(INDEX($AJ$2:$AJ$1001,MATCH(ROWS($AH$2:AH634),$AH$2:$AH$1001,0),0), INDEX($AO$1004:$BQ$1004,1,MATCH(COLUMNS($AO$1006:BJ1006),$AO$1006:$BQ$1006,0)))),"Fix")))</f>
        <v>#N/A</v>
      </c>
      <c r="X634" s="5" t="e">
        <f ca="1">IF(OR(INDEX($AI$2:$AI$1001,MATCH(ROWS($AH$2:AH634),$AH$2:$AH$1001,0),1)&gt;=100000,INDEX($AO$1005:$BQ$1005,1,MATCH(COLUMNS($AO$1006:BK1006),$AO$1006:$BQ$1006,0))&gt;=100000), " ",IF(INDEX($AO$2:$BQ$1001,MATCH(ROWS($AH$2:AH634),$AH$2:$AH$1001,0),MATCH(COLUMNS($AO$1006:BK1006),$AO$1006:$BQ$1006,0)), HYPERLINK("#",""), HYPERLINK(CONCATENATE("#Metadata!", ADDRESS(INDEX($AJ$2:$AJ$1001,MATCH(ROWS($AH$2:AH634),$AH$2:$AH$1001,0),0), INDEX($AO$1004:$BQ$1004,1,MATCH(COLUMNS($AO$1006:BK1006),$AO$1006:$BQ$1006,0)))),"Fix")))</f>
        <v>#N/A</v>
      </c>
      <c r="Y634" s="5" t="e">
        <f ca="1">IF(OR(INDEX($AI$2:$AI$1001,MATCH(ROWS($AH$2:AH634),$AH$2:$AH$1001,0),1)&gt;=100000,INDEX($AO$1005:$BQ$1005,1,MATCH(COLUMNS($AO$1006:BL1006),$AO$1006:$BQ$1006,0))&gt;=100000), " ",IF(INDEX($AO$2:$BQ$1001,MATCH(ROWS($AH$2:AH634),$AH$2:$AH$1001,0),MATCH(COLUMNS($AO$1006:BL1006),$AO$1006:$BQ$1006,0)), HYPERLINK("#",""), HYPERLINK(CONCATENATE("#Metadata!", ADDRESS(INDEX($AJ$2:$AJ$1001,MATCH(ROWS($AH$2:AH634),$AH$2:$AH$1001,0),0), INDEX($AO$1004:$BQ$1004,1,MATCH(COLUMNS($AO$1006:BL1006),$AO$1006:$BQ$1006,0)))),"Fix")))</f>
        <v>#N/A</v>
      </c>
      <c r="Z634" s="5" t="e">
        <f ca="1">IF(OR(INDEX($AI$2:$AI$1001,MATCH(ROWS($AH$2:AH634),$AH$2:$AH$1001,0),1)&gt;=100000,INDEX($AO$1005:$BQ$1005,1,MATCH(COLUMNS($AO$1006:BM1006),$AO$1006:$BQ$1006,0))&gt;=100000), " ",IF(INDEX($AO$2:$BQ$1001,MATCH(ROWS($AH$2:AH634),$AH$2:$AH$1001,0),MATCH(COLUMNS($AO$1006:BM1006),$AO$1006:$BQ$1006,0)), HYPERLINK("#",""), HYPERLINK(CONCATENATE("#Metadata!", ADDRESS(INDEX($AJ$2:$AJ$1001,MATCH(ROWS($AH$2:AH634),$AH$2:$AH$1001,0),0), INDEX($AO$1004:$BQ$1004,1,MATCH(COLUMNS($AO$1006:BM1006),$AO$1006:$BQ$1006,0)))),"Fix")))</f>
        <v>#N/A</v>
      </c>
      <c r="AA634" s="5" t="e">
        <f ca="1">IF(OR(INDEX($AI$2:$AI$1001,MATCH(ROWS($AH$2:AH634),$AH$2:$AH$1001,0),1)&gt;=100000,INDEX($AO$1005:$BQ$1005,1,MATCH(COLUMNS($AO$1006:BN1006),$AO$1006:$BQ$1006,0))&gt;=100000), " ",IF(INDEX($AO$2:$BQ$1001,MATCH(ROWS($AH$2:AH634),$AH$2:$AH$1001,0),MATCH(COLUMNS($AO$1006:BN1006),$AO$1006:$BQ$1006,0)), HYPERLINK("#",""), HYPERLINK(CONCATENATE("#Metadata!", ADDRESS(INDEX($AJ$2:$AJ$1001,MATCH(ROWS($AH$2:AH634),$AH$2:$AH$1001,0),0), INDEX($AO$1004:$BQ$1004,1,MATCH(COLUMNS($AO$1006:BN1006),$AO$1006:$BQ$1006,0)))),"Fix")))</f>
        <v>#N/A</v>
      </c>
      <c r="AB634" s="5" t="e">
        <f ca="1">IF(OR(INDEX($AI$2:$AI$1001,MATCH(ROWS($AH$2:AH634),$AH$2:$AH$1001,0),1)&gt;=100000,INDEX($AO$1005:$BQ$1005,1,MATCH(COLUMNS($AO$1006:BO1006),$AO$1006:$BQ$1006,0))&gt;=100000), " ",IF(INDEX($AO$2:$BQ$1001,MATCH(ROWS($AH$2:AH634),$AH$2:$AH$1001,0),MATCH(COLUMNS($AO$1006:BO1006),$AO$1006:$BQ$1006,0)), HYPERLINK("#",""), HYPERLINK(CONCATENATE("#Metadata!", ADDRESS(INDEX($AJ$2:$AJ$1001,MATCH(ROWS($AH$2:AH634),$AH$2:$AH$1001,0),0), INDEX($AO$1004:$BQ$1004,1,MATCH(COLUMNS($AO$1006:BO1006),$AO$1006:$BQ$1006,0)))),"Fix")))</f>
        <v>#N/A</v>
      </c>
      <c r="AC634" s="5" t="e">
        <f ca="1">IF(OR(INDEX($AI$2:$AI$1001,MATCH(ROWS($AH$2:AH634),$AH$2:$AH$1001,0),1)&gt;=100000,INDEX($AO$1005:$BQ$1005,1,MATCH(COLUMNS($AO$1006:BP1006),$AO$1006:$BQ$1006,0))&gt;=100000), " ",IF(INDEX($AO$2:$BQ$1001,MATCH(ROWS($AH$2:AH634),$AH$2:$AH$1001,0),MATCH(COLUMNS($AO$1006:BP1006),$AO$1006:$BQ$1006,0)), HYPERLINK("#",""), HYPERLINK(CONCATENATE("#Metadata!", ADDRESS(INDEX($AJ$2:$AJ$1001,MATCH(ROWS($AH$2:AH634),$AH$2:$AH$1001,0),0), INDEX($AO$1004:$BQ$1004,1,MATCH(COLUMNS($AO$1006:BP1006),$AO$1006:$BQ$1006,0)))),"Fix")))</f>
        <v>#N/A</v>
      </c>
      <c r="AD634" s="5" t="e">
        <f ca="1">IF(OR(INDEX($AI$2:$AI$1001,MATCH(ROWS($AH$2:AH634),$AH$2:$AH$1001,0),1)&gt;=100000,INDEX($AO$1005:$BQ$1005,1,MATCH(COLUMNS($AO$1006:BQ1006),$AO$1006:$BQ$1006,0))&gt;=100000), " ",IF(INDEX($AO$2:$BQ$1001,MATCH(ROWS($AH$2:AH634),$AH$2:$AH$1001,0),MATCH(COLUMNS($AO$1006:BQ1006),$AO$1006:$BQ$1006,0)), HYPERLINK("#",""), HYPERLINK(CONCATENATE("#Metadata!", ADDRESS(INDEX($AJ$2:$AJ$1001,MATCH(ROWS($AH$2:AH634),$AH$2:$AH$1001,0),0), INDEX($AO$1004:$BQ$1004,1,MATCH(COLUMNS($AO$1006:BQ1006),$AO$1006:$BQ$1006,0)))),"Fix")))</f>
        <v>#REF!</v>
      </c>
      <c r="AH634">
        <f ca="1"/>
        <v>631</v>
      </c>
      <c r="AI634">
        <v>100634</v>
      </c>
      <c r="AJ634">
        <v>634</v>
      </c>
      <c r="AK634" t="b">
        <f t="shared" si="9"/>
        <v>1</v>
      </c>
      <c r="AL634" t="b">
        <f>COUNTBLANK(Metadata!B634:AD634)=COLUMNS(Metadata!B634:AD634)</f>
        <v>1</v>
      </c>
      <c r="AM634" t="str">
        <v/>
      </c>
      <c r="AO634" t="b">
        <f ca="1">AND(IF(Metadata!B634="",FALSE,TRUE),COUNTIF(Metadata!B:B, Metadata!B634) = 1,NOT(ISERROR(SUMPRODUCT(SEARCH(MID(Metadata!B634,ROW(INDIRECT("1:"&amp;LEN(Metadata!B634))), 1),"0123456789abcdefghijklmnopqrstuvwxyzABCDEFGHIJKLMNOPQRSTUVWXYZ.")))))</f>
        <v>0</v>
      </c>
      <c r="AP634" t="b">
        <f>IF(Metadata!C634="",FALSE,TRUE)</f>
        <v>0</v>
      </c>
      <c r="AQ634" t="b">
        <f>IF(Metadata!D634="",FALSE,TRUE)</f>
        <v>0</v>
      </c>
      <c r="AR634" t="b">
        <f ca="1">OR(AND(IF(Metadata!E634="",FALSE,TRUE),OR(EXACT(Metadata!E634,"not collected"),EXACT(Metadata!E634,"not provided"),EXACT(Metadata!E634,"restricted access"))),AND(IF(Metadata!E634="",FALSE,TRUE),AND(AND(IFERROR(INT(LEFT(Metadata!E634,4))&gt;1900,FALSE),IFERROR(INT(LEFT(Metadata!E634,4))&lt;=YEAR(NOW()),FALSE)), OR(MID(Metadata!E634,5,1)="", AND(AND(MID(Metadata!E634,5,1)="-",IFERROR(INT(MID(Metadata!E634,6,1))&gt;=0,FALSE),IFERROR(INT(MID(Metadata!E634,6,1))&lt;=1,FALSE),NOT(MID(Metadata!E634,7,1)=""),IFERROR(INT(MID(Metadata!E634,6,2))&gt;=1,FALSE),IFERROR(INT(MID(Metadata!E634,6,2))&lt;=12,FALSE)), OR(MID(Metadata!E634,8,1)="", AND(AND(MID(Metadata!E634,8,1)="-",IFERROR(INT(MID(Metadata!E634,9,1))&gt;=0,FALSE),IFERROR(INT(MID(Metadata!E634,9,1))&lt;=3,FALSE),NOT(MID(Metadata!E634,10,1)=""),IFERROR(INT(MID(Metadata!E634,9,2))&gt;=1,FALSE),IFERROR(INT(MID(Metadata!E634,9,2))&lt;=31,FALSE)), OR(MID(Metadata!E634,11,1)="", AND(AND(MID(Metadata!E634,11,1)=" ",IFERROR(INT(MID(Metadata!E634,12,1))&gt;=0,FALSE),IFERROR(INT(MID(Metadata!E634,12,1))&lt;=2,FALSE),NOT(MID(Metadata!E634,13,1)=""),IFERROR(INT(MID(Metadata!E634,12,2))&gt;=0,FALSE),IFERROR(INT(MID(Metadata!E634,12,2))&lt;=23,FALSE)), OR(MID(Metadata!E634,14,1)="", AND(AND(MID(Metadata!E634,14,1)=":",IFERROR(INT(MID(Metadata!E634,15,1))&gt;=0,FALSE),IFERROR(INT(MID(Metadata!E634,15,1))&lt;=5,FALSE),NOT(MID(Metadata!E634,16,1)=""),IFERROR(INT(MID(Metadata!E634,15,2))&gt;=0,FALSE),IFERROR(INT(MID(Metadata!E634,15,2))&lt;=59,FALSE)), OR(MID(Metadata!E634,17,1)="", AND(AND(MID(Metadata!E634,17,1)=":",IFERROR(INT(MID(Metadata!E634,18,1))&gt;=0,FALSE),IFERROR(INT(MID(Metadata!E634,18,1))&lt;=5,FALSE),NOT(MID(Metadata!E634,19,1)=""),IFERROR(INT(MID(Metadata!E634,18,2))&gt;=0,FALSE),IFERROR(INT(MID(Metadata!E634,18,2))&lt;=59,FALSE)), LEN(Metadata!E634)&lt;=19)))))))))))))</f>
        <v>0</v>
      </c>
      <c r="AS634" t="b">
        <f>IF(Metadata!F634="",FALSE,TRUE)</f>
        <v>0</v>
      </c>
      <c r="AT634" t="b">
        <f>OR(AND(IF(Metadata!G634="",FALSE,TRUE),OR(EXACT(Metadata!G634,"not collected"),EXACT(Metadata!G634,"not provided"))),AND(IF(Metadata!G634="",FALSE,TRUE),OR(EXACT(Metadata!G634,"TRUE"),EXACT(Metadata!G634,"FALSE"))))</f>
        <v>0</v>
      </c>
      <c r="AU634" t="b">
        <f>OR(AND(IF(Metadata!H634="",FALSE,TRUE),OR(EXACT(Metadata!H634,"not collected"),EXACT(Metadata!H634,"not provided"),EXACT(Metadata!H634,"restricted access"))),AND(IF(Metadata!H634="",FALSE,ISNUMBER(VALUE(Metadata!H634))),Metadata!H634&gt;=-413))</f>
        <v>0</v>
      </c>
      <c r="AV634" t="b">
        <f>AND(IF(Metadata!I634="",FALSE,TRUE),EXACT(Metadata!I634,"meters"))</f>
        <v>0</v>
      </c>
      <c r="AW634" t="b">
        <f>AND(IF(Metadata!J634="",FALSE,TRUE),EXACT(Metadata!J634,"free-living"))</f>
        <v>0</v>
      </c>
      <c r="AX634" t="b">
        <f>AND(IF(Metadata!K634="",FALSE,TRUE),OR(EXACT(Metadata!K634,"saline"),EXACT(Metadata!K634,"non-saline")))</f>
        <v>0</v>
      </c>
      <c r="AY634" t="b">
        <f>AND(IF(Metadata!L634="",FALSE,TRUE),OR(EXACT(Metadata!L634,"sub-surface (non-saline)"),EXACT(Metadata!L634,"surface (non-saline)"),EXACT(Metadata!L634,"water (non-saline)"),EXACT(Metadata!L634,"soil (non-saline)"),EXACT(Metadata!L634,"aerosol (non-saline)"),EXACT(Metadata!L634,"sediment (non-saline)"),EXACT(Metadata!L634,"surface (saline)"),EXACT(Metadata!L634,"water (saline)"),EXACT(Metadata!L634,"hypersaline (saline)"),EXACT(Metadata!L634,"aerosol (saline)"),EXACT(Metadata!L634,"sediment (saline)")))</f>
        <v>0</v>
      </c>
      <c r="AZ634" t="b">
        <f>IF(Metadata!M634="",FALSE,TRUE)</f>
        <v>0</v>
      </c>
      <c r="BA634" t="b">
        <f>IF(Metadata!N634="",FALSE,TRUE)</f>
        <v>0</v>
      </c>
      <c r="BB634" t="b">
        <f>IF(Metadata!O634="",FALSE,TRUE)</f>
        <v>0</v>
      </c>
      <c r="BC634" t="b">
        <f>AND(IF(Metadata!P634="",FALSE,TRUE),OR(EXACT(Metadata!P634,"air"),EXACT(Metadata!P634,"microbial mat/biofilm"),EXACT(Metadata!P634,"misc environment"),EXACT(Metadata!P634,"sediment"),EXACT(Metadata!P634,"soil"),EXACT(Metadata!P634,"wastewater/sludge"),EXACT(Metadata!P634,"water")))</f>
        <v>0</v>
      </c>
      <c r="BD634" t="b">
        <f>IF(Metadata!Q634="",FALSE,TRUE)</f>
        <v>0</v>
      </c>
      <c r="BE634" t="b">
        <f>IF(Metadata!R634="",FALSE,TRUE)</f>
        <v>0</v>
      </c>
      <c r="BF634" t="b">
        <f>OR(AND(IF(Metadata!S634="",FALSE,TRUE),OR(EXACT(Metadata!S634,"not collected"),EXACT(Metadata!S634,"not provided"),EXACT(Metadata!S634,"restricted access"))),AND(IF(Metadata!S634="",FALSE,ISNUMBER(VALUE(Metadata!S634))),Metadata!S634&gt;=-90,Metadata!S634&lt;=90))</f>
        <v>0</v>
      </c>
      <c r="BG634" t="b">
        <f>AND(IF(Metadata!T634="",FALSE,TRUE),EXACT(Metadata!T634,"Decimal degrees"))</f>
        <v>0</v>
      </c>
      <c r="BH634" t="b">
        <f>OR(AND(IF(Metadata!U634="",FALSE,TRUE),OR(EXACT(Metadata!U634,"not applicable"),EXACT(Metadata!U634,"not collected"))),IF(Metadata!U634="",FALSE,TRUE))</f>
        <v>0</v>
      </c>
      <c r="BI634" t="b">
        <f>OR(AND(IF(Metadata!V634="",FALSE,TRUE),OR(EXACT(Metadata!V634,"not collected"),EXACT(Metadata!V634,"not provided"),EXACT(Metadata!V634,"restricted access"))),AND(IF(Metadata!V634="",FALSE,ISNUMBER(VALUE(Metadata!V634))),Metadata!V634&gt;=-180,Metadata!V634&lt;=180))</f>
        <v>0</v>
      </c>
      <c r="BJ634" t="b">
        <f>AND(IF(Metadata!W634="",FALSE,TRUE),EXACT(Metadata!W634,"Decimal degrees"))</f>
        <v>0</v>
      </c>
      <c r="BK634" t="b">
        <f>IF(Metadata!X634="",FALSE,TRUE)</f>
        <v>0</v>
      </c>
      <c r="BL634" t="b">
        <f>OR(AND(IF(Metadata!Y634="",FALSE,TRUE),OR(EXACT(Metadata!Y634,"not collected"),EXACT(Metadata!Y634,"not provided"),EXACT(Metadata!Y634,"restricted access"))),AND(IF(Metadata!Y634="",FALSE,TRUE),OR(EXACT(Metadata!Y634,"TRUE"),EXACT(Metadata!Y634,"FALSE"))))</f>
        <v>0</v>
      </c>
      <c r="BM634" t="b">
        <f>OR(AND(IF(Metadata!Z634="",FALSE,TRUE),EXACT(Metadata!Z634,"not applicable")),AND(IF(Metadata!Z634="",FALSE,TRUE),OR(EXACT(Metadata!Z634,"beer"),EXACT(Metadata!Z634,"cheese"),EXACT(Metadata!Z634,"fresh water"),EXACT(Metadata!Z634,"marine sediment"),EXACT(Metadata!Z634,"sea water"),EXACT(Metadata!Z634,"sediment"),EXACT(Metadata!Z634,"soil"),EXACT(Metadata!Z634,"waste water"))))</f>
        <v>0</v>
      </c>
      <c r="BN634" t="b">
        <f>AND(IF(Metadata!AA634="",FALSE,TRUE),EXACT(Metadata!AA634,"metagenome"))</f>
        <v>0</v>
      </c>
      <c r="BO634" t="b">
        <f>AND(IF(Metadata!AB634="",FALSE,TRUE),EXACT(Metadata!AB634,"256318"))</f>
        <v>0</v>
      </c>
      <c r="BP634" t="b">
        <f>IF(Metadata!AC634="",FALSE,TRUE)</f>
        <v>0</v>
      </c>
      <c r="BQ634" t="b">
        <f>IF(Metadata!AD634="",FALSE,TRUE)</f>
        <v>0</v>
      </c>
    </row>
    <row r="635" spans="1:69" x14ac:dyDescent="0.2">
      <c r="A635" s="4" t="e">
        <f ca="1">IF(B635=" "," ",HYPERLINK(CONCATENATE("#metadata!",ADDRESS(INDEX($AJ$2:$AJ$1001,MATCH(ROWS($AH$2:AH635),$AH$2:$AH$1001,0),0),2)),INDEX($AM$2:$AM$1001,MATCH(ROWS($AH$2:AH635),$AH$2:$AH$1001,0),0)))</f>
        <v>#N/A</v>
      </c>
      <c r="B635" s="5" t="e">
        <f ca="1">IF(OR(INDEX($AI$2:$AI$1001,MATCH(ROWS($AH$2:AH635),$AH$2:$AH$1001,0),1)&gt;=100000,INDEX($AO$1005:$BQ$1005,1,MATCH(COLUMNS($AO$1006:AO1006),$AO$1006:$BQ$1006,0))&gt;=100000), " ",IF(INDEX($AO$2:$BQ$1001,MATCH(ROWS($AH$2:AH635),$AH$2:$AH$1001,0),MATCH(COLUMNS($AO$1006:AO1006),$AO$1006:$BQ$1006,0)), HYPERLINK("#",""), HYPERLINK(CONCATENATE("#Metadata!", ADDRESS(INDEX($AJ$2:$AJ$1001,MATCH(ROWS($AH$2:AH635),$AH$2:$AH$1001,0),0), INDEX($AO$1004:$BQ$1004,1,MATCH(COLUMNS($AO$1006:AO1006),$AO$1006:$BQ$1006,0)))),"Fix")))</f>
        <v>#N/A</v>
      </c>
      <c r="C635" s="5" t="e">
        <f ca="1">IF(OR(INDEX($AI$2:$AI$1001,MATCH(ROWS($AH$2:AH635),$AH$2:$AH$1001,0),1)&gt;=100000,INDEX($AO$1005:$BQ$1005,1,MATCH(COLUMNS($AO$1006:AP1006),$AO$1006:$BQ$1006,0))&gt;=100000), " ",IF(INDEX($AO$2:$BQ$1001,MATCH(ROWS($AH$2:AH635),$AH$2:$AH$1001,0),MATCH(COLUMNS($AO$1006:AP1006),$AO$1006:$BQ$1006,0)), HYPERLINK("#",""), HYPERLINK(CONCATENATE("#Metadata!", ADDRESS(INDEX($AJ$2:$AJ$1001,MATCH(ROWS($AH$2:AH635),$AH$2:$AH$1001,0),0), INDEX($AO$1004:$BQ$1004,1,MATCH(COLUMNS($AO$1006:AP1006),$AO$1006:$BQ$1006,0)))),"Fix")))</f>
        <v>#N/A</v>
      </c>
      <c r="D635" s="5" t="e">
        <f ca="1">IF(OR(INDEX($AI$2:$AI$1001,MATCH(ROWS($AH$2:AH635),$AH$2:$AH$1001,0),1)&gt;=100000,INDEX($AO$1005:$BQ$1005,1,MATCH(COLUMNS($AO$1006:AQ1006),$AO$1006:$BQ$1006,0))&gt;=100000), " ",IF(INDEX($AO$2:$BQ$1001,MATCH(ROWS($AH$2:AH635),$AH$2:$AH$1001,0),MATCH(COLUMNS($AO$1006:AQ1006),$AO$1006:$BQ$1006,0)), HYPERLINK("#",""), HYPERLINK(CONCATENATE("#Metadata!", ADDRESS(INDEX($AJ$2:$AJ$1001,MATCH(ROWS($AH$2:AH635),$AH$2:$AH$1001,0),0), INDEX($AO$1004:$BQ$1004,1,MATCH(COLUMNS($AO$1006:AQ1006),$AO$1006:$BQ$1006,0)))),"Fix")))</f>
        <v>#N/A</v>
      </c>
      <c r="E635" s="5" t="e">
        <f ca="1">IF(OR(INDEX($AI$2:$AI$1001,MATCH(ROWS($AH$2:AH635),$AH$2:$AH$1001,0),1)&gt;=100000,INDEX($AO$1005:$BQ$1005,1,MATCH(COLUMNS($AO$1006:AR1006),$AO$1006:$BQ$1006,0))&gt;=100000), " ",IF(INDEX($AO$2:$BQ$1001,MATCH(ROWS($AH$2:AH635),$AH$2:$AH$1001,0),MATCH(COLUMNS($AO$1006:AR1006),$AO$1006:$BQ$1006,0)), HYPERLINK("#",""), HYPERLINK(CONCATENATE("#Metadata!", ADDRESS(INDEX($AJ$2:$AJ$1001,MATCH(ROWS($AH$2:AH635),$AH$2:$AH$1001,0),0), INDEX($AO$1004:$BQ$1004,1,MATCH(COLUMNS($AO$1006:AR1006),$AO$1006:$BQ$1006,0)))),"Fix")))</f>
        <v>#N/A</v>
      </c>
      <c r="F635" s="5" t="e">
        <f ca="1">IF(OR(INDEX($AI$2:$AI$1001,MATCH(ROWS($AH$2:AH635),$AH$2:$AH$1001,0),1)&gt;=100000,INDEX($AO$1005:$BQ$1005,1,MATCH(COLUMNS($AO$1006:AS1006),$AO$1006:$BQ$1006,0))&gt;=100000), " ",IF(INDEX($AO$2:$BQ$1001,MATCH(ROWS($AH$2:AH635),$AH$2:$AH$1001,0),MATCH(COLUMNS($AO$1006:AS1006),$AO$1006:$BQ$1006,0)), HYPERLINK("#",""), HYPERLINK(CONCATENATE("#Metadata!", ADDRESS(INDEX($AJ$2:$AJ$1001,MATCH(ROWS($AH$2:AH635),$AH$2:$AH$1001,0),0), INDEX($AO$1004:$BQ$1004,1,MATCH(COLUMNS($AO$1006:AS1006),$AO$1006:$BQ$1006,0)))),"Fix")))</f>
        <v>#N/A</v>
      </c>
      <c r="G635" s="5" t="e">
        <f ca="1">IF(OR(INDEX($AI$2:$AI$1001,MATCH(ROWS($AH$2:AH635),$AH$2:$AH$1001,0),1)&gt;=100000,INDEX($AO$1005:$BQ$1005,1,MATCH(COLUMNS($AO$1006:AT1006),$AO$1006:$BQ$1006,0))&gt;=100000), " ",IF(INDEX($AO$2:$BQ$1001,MATCH(ROWS($AH$2:AH635),$AH$2:$AH$1001,0),MATCH(COLUMNS($AO$1006:AT1006),$AO$1006:$BQ$1006,0)), HYPERLINK("#",""), HYPERLINK(CONCATENATE("#Metadata!", ADDRESS(INDEX($AJ$2:$AJ$1001,MATCH(ROWS($AH$2:AH635),$AH$2:$AH$1001,0),0), INDEX($AO$1004:$BQ$1004,1,MATCH(COLUMNS($AO$1006:AT1006),$AO$1006:$BQ$1006,0)))),"Fix")))</f>
        <v>#N/A</v>
      </c>
      <c r="H635" s="5" t="e">
        <f ca="1">IF(OR(INDEX($AI$2:$AI$1001,MATCH(ROWS($AH$2:AH635),$AH$2:$AH$1001,0),1)&gt;=100000,INDEX($AO$1005:$BQ$1005,1,MATCH(COLUMNS($AO$1006:AU1006),$AO$1006:$BQ$1006,0))&gt;=100000), " ",IF(INDEX($AO$2:$BQ$1001,MATCH(ROWS($AH$2:AH635),$AH$2:$AH$1001,0),MATCH(COLUMNS($AO$1006:AU1006),$AO$1006:$BQ$1006,0)), HYPERLINK("#",""), HYPERLINK(CONCATENATE("#Metadata!", ADDRESS(INDEX($AJ$2:$AJ$1001,MATCH(ROWS($AH$2:AH635),$AH$2:$AH$1001,0),0), INDEX($AO$1004:$BQ$1004,1,MATCH(COLUMNS($AO$1006:AU1006),$AO$1006:$BQ$1006,0)))),"Fix")))</f>
        <v>#N/A</v>
      </c>
      <c r="I635" s="5" t="e">
        <f ca="1">IF(OR(INDEX($AI$2:$AI$1001,MATCH(ROWS($AH$2:AH635),$AH$2:$AH$1001,0),1)&gt;=100000,INDEX($AO$1005:$BQ$1005,1,MATCH(COLUMNS($AO$1006:AV1006),$AO$1006:$BQ$1006,0))&gt;=100000), " ",IF(INDEX($AO$2:$BQ$1001,MATCH(ROWS($AH$2:AH635),$AH$2:$AH$1001,0),MATCH(COLUMNS($AO$1006:AV1006),$AO$1006:$BQ$1006,0)), HYPERLINK("#",""), HYPERLINK(CONCATENATE("#Metadata!", ADDRESS(INDEX($AJ$2:$AJ$1001,MATCH(ROWS($AH$2:AH635),$AH$2:$AH$1001,0),0), INDEX($AO$1004:$BQ$1004,1,MATCH(COLUMNS($AO$1006:AV1006),$AO$1006:$BQ$1006,0)))),"Fix")))</f>
        <v>#N/A</v>
      </c>
      <c r="J635" s="5" t="e">
        <f ca="1">IF(OR(INDEX($AI$2:$AI$1001,MATCH(ROWS($AH$2:AH635),$AH$2:$AH$1001,0),1)&gt;=100000,INDEX($AO$1005:$BQ$1005,1,MATCH(COLUMNS($AO$1006:AW1006),$AO$1006:$BQ$1006,0))&gt;=100000), " ",IF(INDEX($AO$2:$BQ$1001,MATCH(ROWS($AH$2:AH635),$AH$2:$AH$1001,0),MATCH(COLUMNS($AO$1006:AW1006),$AO$1006:$BQ$1006,0)), HYPERLINK("#",""), HYPERLINK(CONCATENATE("#Metadata!", ADDRESS(INDEX($AJ$2:$AJ$1001,MATCH(ROWS($AH$2:AH635),$AH$2:$AH$1001,0),0), INDEX($AO$1004:$BQ$1004,1,MATCH(COLUMNS($AO$1006:AW1006),$AO$1006:$BQ$1006,0)))),"Fix")))</f>
        <v>#N/A</v>
      </c>
      <c r="K635" s="5" t="e">
        <f ca="1">IF(OR(INDEX($AI$2:$AI$1001,MATCH(ROWS($AH$2:AH635),$AH$2:$AH$1001,0),1)&gt;=100000,INDEX($AO$1005:$BQ$1005,1,MATCH(COLUMNS($AO$1006:AX1006),$AO$1006:$BQ$1006,0))&gt;=100000), " ",IF(INDEX($AO$2:$BQ$1001,MATCH(ROWS($AH$2:AH635),$AH$2:$AH$1001,0),MATCH(COLUMNS($AO$1006:AX1006),$AO$1006:$BQ$1006,0)), HYPERLINK("#",""), HYPERLINK(CONCATENATE("#Metadata!", ADDRESS(INDEX($AJ$2:$AJ$1001,MATCH(ROWS($AH$2:AH635),$AH$2:$AH$1001,0),0), INDEX($AO$1004:$BQ$1004,1,MATCH(COLUMNS($AO$1006:AX1006),$AO$1006:$BQ$1006,0)))),"Fix")))</f>
        <v>#N/A</v>
      </c>
      <c r="L635" s="5" t="e">
        <f ca="1">IF(OR(INDEX($AI$2:$AI$1001,MATCH(ROWS($AH$2:AH635),$AH$2:$AH$1001,0),1)&gt;=100000,INDEX($AO$1005:$BQ$1005,1,MATCH(COLUMNS($AO$1006:AY1006),$AO$1006:$BQ$1006,0))&gt;=100000), " ",IF(INDEX($AO$2:$BQ$1001,MATCH(ROWS($AH$2:AH635),$AH$2:$AH$1001,0),MATCH(COLUMNS($AO$1006:AY1006),$AO$1006:$BQ$1006,0)), HYPERLINK("#",""), HYPERLINK(CONCATENATE("#Metadata!", ADDRESS(INDEX($AJ$2:$AJ$1001,MATCH(ROWS($AH$2:AH635),$AH$2:$AH$1001,0),0), INDEX($AO$1004:$BQ$1004,1,MATCH(COLUMNS($AO$1006:AY1006),$AO$1006:$BQ$1006,0)))),"Fix")))</f>
        <v>#N/A</v>
      </c>
      <c r="M635" s="5" t="e">
        <f ca="1">IF(OR(INDEX($AI$2:$AI$1001,MATCH(ROWS($AH$2:AH635),$AH$2:$AH$1001,0),1)&gt;=100000,INDEX($AO$1005:$BQ$1005,1,MATCH(COLUMNS($AO$1006:AZ1006),$AO$1006:$BQ$1006,0))&gt;=100000), " ",IF(INDEX($AO$2:$BQ$1001,MATCH(ROWS($AH$2:AH635),$AH$2:$AH$1001,0),MATCH(COLUMNS($AO$1006:AZ1006),$AO$1006:$BQ$1006,0)), HYPERLINK("#",""), HYPERLINK(CONCATENATE("#Metadata!", ADDRESS(INDEX($AJ$2:$AJ$1001,MATCH(ROWS($AH$2:AH635),$AH$2:$AH$1001,0),0), INDEX($AO$1004:$BQ$1004,1,MATCH(COLUMNS($AO$1006:AZ1006),$AO$1006:$BQ$1006,0)))),"Fix")))</f>
        <v>#N/A</v>
      </c>
      <c r="N635" s="5" t="e">
        <f ca="1">IF(OR(INDEX($AI$2:$AI$1001,MATCH(ROWS($AH$2:AH635),$AH$2:$AH$1001,0),1)&gt;=100000,INDEX($AO$1005:$BQ$1005,1,MATCH(COLUMNS($AO$1006:BA1006),$AO$1006:$BQ$1006,0))&gt;=100000), " ",IF(INDEX($AO$2:$BQ$1001,MATCH(ROWS($AH$2:AH635),$AH$2:$AH$1001,0),MATCH(COLUMNS($AO$1006:BA1006),$AO$1006:$BQ$1006,0)), HYPERLINK("#",""), HYPERLINK(CONCATENATE("#Metadata!", ADDRESS(INDEX($AJ$2:$AJ$1001,MATCH(ROWS($AH$2:AH635),$AH$2:$AH$1001,0),0), INDEX($AO$1004:$BQ$1004,1,MATCH(COLUMNS($AO$1006:BA1006),$AO$1006:$BQ$1006,0)))),"Fix")))</f>
        <v>#N/A</v>
      </c>
      <c r="O635" s="5" t="e">
        <f ca="1">IF(OR(INDEX($AI$2:$AI$1001,MATCH(ROWS($AH$2:AH635),$AH$2:$AH$1001,0),1)&gt;=100000,INDEX($AO$1005:$BQ$1005,1,MATCH(COLUMNS($AO$1006:BB1006),$AO$1006:$BQ$1006,0))&gt;=100000), " ",IF(INDEX($AO$2:$BQ$1001,MATCH(ROWS($AH$2:AH635),$AH$2:$AH$1001,0),MATCH(COLUMNS($AO$1006:BB1006),$AO$1006:$BQ$1006,0)), HYPERLINK("#",""), HYPERLINK(CONCATENATE("#Metadata!", ADDRESS(INDEX($AJ$2:$AJ$1001,MATCH(ROWS($AH$2:AH635),$AH$2:$AH$1001,0),0), INDEX($AO$1004:$BQ$1004,1,MATCH(COLUMNS($AO$1006:BB1006),$AO$1006:$BQ$1006,0)))),"Fix")))</f>
        <v>#N/A</v>
      </c>
      <c r="P635" s="5" t="e">
        <f ca="1">IF(OR(INDEX($AI$2:$AI$1001,MATCH(ROWS($AH$2:AH635),$AH$2:$AH$1001,0),1)&gt;=100000,INDEX($AO$1005:$BQ$1005,1,MATCH(COLUMNS($AO$1006:BC1006),$AO$1006:$BQ$1006,0))&gt;=100000), " ",IF(INDEX($AO$2:$BQ$1001,MATCH(ROWS($AH$2:AH635),$AH$2:$AH$1001,0),MATCH(COLUMNS($AO$1006:BC1006),$AO$1006:$BQ$1006,0)), HYPERLINK("#",""), HYPERLINK(CONCATENATE("#Metadata!", ADDRESS(INDEX($AJ$2:$AJ$1001,MATCH(ROWS($AH$2:AH635),$AH$2:$AH$1001,0),0), INDEX($AO$1004:$BQ$1004,1,MATCH(COLUMNS($AO$1006:BC1006),$AO$1006:$BQ$1006,0)))),"Fix")))</f>
        <v>#N/A</v>
      </c>
      <c r="Q635" s="5" t="e">
        <f ca="1">IF(OR(INDEX($AI$2:$AI$1001,MATCH(ROWS($AH$2:AH635),$AH$2:$AH$1001,0),1)&gt;=100000,INDEX($AO$1005:$BQ$1005,1,MATCH(COLUMNS($AO$1006:BD1006),$AO$1006:$BQ$1006,0))&gt;=100000), " ",IF(INDEX($AO$2:$BQ$1001,MATCH(ROWS($AH$2:AH635),$AH$2:$AH$1001,0),MATCH(COLUMNS($AO$1006:BD1006),$AO$1006:$BQ$1006,0)), HYPERLINK("#",""), HYPERLINK(CONCATENATE("#Metadata!", ADDRESS(INDEX($AJ$2:$AJ$1001,MATCH(ROWS($AH$2:AH635),$AH$2:$AH$1001,0),0), INDEX($AO$1004:$BQ$1004,1,MATCH(COLUMNS($AO$1006:BD1006),$AO$1006:$BQ$1006,0)))),"Fix")))</f>
        <v>#N/A</v>
      </c>
      <c r="R635" s="5" t="e">
        <f ca="1">IF(OR(INDEX($AI$2:$AI$1001,MATCH(ROWS($AH$2:AH635),$AH$2:$AH$1001,0),1)&gt;=100000,INDEX($AO$1005:$BQ$1005,1,MATCH(COLUMNS($AO$1006:BE1006),$AO$1006:$BQ$1006,0))&gt;=100000), " ",IF(INDEX($AO$2:$BQ$1001,MATCH(ROWS($AH$2:AH635),$AH$2:$AH$1001,0),MATCH(COLUMNS($AO$1006:BE1006),$AO$1006:$BQ$1006,0)), HYPERLINK("#",""), HYPERLINK(CONCATENATE("#Metadata!", ADDRESS(INDEX($AJ$2:$AJ$1001,MATCH(ROWS($AH$2:AH635),$AH$2:$AH$1001,0),0), INDEX($AO$1004:$BQ$1004,1,MATCH(COLUMNS($AO$1006:BE1006),$AO$1006:$BQ$1006,0)))),"Fix")))</f>
        <v>#N/A</v>
      </c>
      <c r="S635" s="5" t="e">
        <f ca="1">IF(OR(INDEX($AI$2:$AI$1001,MATCH(ROWS($AH$2:AH635),$AH$2:$AH$1001,0),1)&gt;=100000,INDEX($AO$1005:$BQ$1005,1,MATCH(COLUMNS($AO$1006:BF1006),$AO$1006:$BQ$1006,0))&gt;=100000), " ",IF(INDEX($AO$2:$BQ$1001,MATCH(ROWS($AH$2:AH635),$AH$2:$AH$1001,0),MATCH(COLUMNS($AO$1006:BF1006),$AO$1006:$BQ$1006,0)), HYPERLINK("#",""), HYPERLINK(CONCATENATE("#Metadata!", ADDRESS(INDEX($AJ$2:$AJ$1001,MATCH(ROWS($AH$2:AH635),$AH$2:$AH$1001,0),0), INDEX($AO$1004:$BQ$1004,1,MATCH(COLUMNS($AO$1006:BF1006),$AO$1006:$BQ$1006,0)))),"Fix")))</f>
        <v>#N/A</v>
      </c>
      <c r="T635" s="5" t="e">
        <f ca="1">IF(OR(INDEX($AI$2:$AI$1001,MATCH(ROWS($AH$2:AH635),$AH$2:$AH$1001,0),1)&gt;=100000,INDEX($AO$1005:$BQ$1005,1,MATCH(COLUMNS($AO$1006:BG1006),$AO$1006:$BQ$1006,0))&gt;=100000), " ",IF(INDEX($AO$2:$BQ$1001,MATCH(ROWS($AH$2:AH635),$AH$2:$AH$1001,0),MATCH(COLUMNS($AO$1006:BG1006),$AO$1006:$BQ$1006,0)), HYPERLINK("#",""), HYPERLINK(CONCATENATE("#Metadata!", ADDRESS(INDEX($AJ$2:$AJ$1001,MATCH(ROWS($AH$2:AH635),$AH$2:$AH$1001,0),0), INDEX($AO$1004:$BQ$1004,1,MATCH(COLUMNS($AO$1006:BG1006),$AO$1006:$BQ$1006,0)))),"Fix")))</f>
        <v>#N/A</v>
      </c>
      <c r="U635" s="5" t="e">
        <f ca="1">IF(OR(INDEX($AI$2:$AI$1001,MATCH(ROWS($AH$2:AH635),$AH$2:$AH$1001,0),1)&gt;=100000,INDEX($AO$1005:$BQ$1005,1,MATCH(COLUMNS($AO$1006:BH1006),$AO$1006:$BQ$1006,0))&gt;=100000), " ",IF(INDEX($AO$2:$BQ$1001,MATCH(ROWS($AH$2:AH635),$AH$2:$AH$1001,0),MATCH(COLUMNS($AO$1006:BH1006),$AO$1006:$BQ$1006,0)), HYPERLINK("#",""), HYPERLINK(CONCATENATE("#Metadata!", ADDRESS(INDEX($AJ$2:$AJ$1001,MATCH(ROWS($AH$2:AH635),$AH$2:$AH$1001,0),0), INDEX($AO$1004:$BQ$1004,1,MATCH(COLUMNS($AO$1006:BH1006),$AO$1006:$BQ$1006,0)))),"Fix")))</f>
        <v>#N/A</v>
      </c>
      <c r="V635" s="5" t="e">
        <f ca="1">IF(OR(INDEX($AI$2:$AI$1001,MATCH(ROWS($AH$2:AH635),$AH$2:$AH$1001,0),1)&gt;=100000,INDEX($AO$1005:$BQ$1005,1,MATCH(COLUMNS($AO$1006:BI1006),$AO$1006:$BQ$1006,0))&gt;=100000), " ",IF(INDEX($AO$2:$BQ$1001,MATCH(ROWS($AH$2:AH635),$AH$2:$AH$1001,0),MATCH(COLUMNS($AO$1006:BI1006),$AO$1006:$BQ$1006,0)), HYPERLINK("#",""), HYPERLINK(CONCATENATE("#Metadata!", ADDRESS(INDEX($AJ$2:$AJ$1001,MATCH(ROWS($AH$2:AH635),$AH$2:$AH$1001,0),0), INDEX($AO$1004:$BQ$1004,1,MATCH(COLUMNS($AO$1006:BI1006),$AO$1006:$BQ$1006,0)))),"Fix")))</f>
        <v>#N/A</v>
      </c>
      <c r="W635" s="5" t="e">
        <f ca="1">IF(OR(INDEX($AI$2:$AI$1001,MATCH(ROWS($AH$2:AH635),$AH$2:$AH$1001,0),1)&gt;=100000,INDEX($AO$1005:$BQ$1005,1,MATCH(COLUMNS($AO$1006:BJ1006),$AO$1006:$BQ$1006,0))&gt;=100000), " ",IF(INDEX($AO$2:$BQ$1001,MATCH(ROWS($AH$2:AH635),$AH$2:$AH$1001,0),MATCH(COLUMNS($AO$1006:BJ1006),$AO$1006:$BQ$1006,0)), HYPERLINK("#",""), HYPERLINK(CONCATENATE("#Metadata!", ADDRESS(INDEX($AJ$2:$AJ$1001,MATCH(ROWS($AH$2:AH635),$AH$2:$AH$1001,0),0), INDEX($AO$1004:$BQ$1004,1,MATCH(COLUMNS($AO$1006:BJ1006),$AO$1006:$BQ$1006,0)))),"Fix")))</f>
        <v>#N/A</v>
      </c>
      <c r="X635" s="5" t="e">
        <f ca="1">IF(OR(INDEX($AI$2:$AI$1001,MATCH(ROWS($AH$2:AH635),$AH$2:$AH$1001,0),1)&gt;=100000,INDEX($AO$1005:$BQ$1005,1,MATCH(COLUMNS($AO$1006:BK1006),$AO$1006:$BQ$1006,0))&gt;=100000), " ",IF(INDEX($AO$2:$BQ$1001,MATCH(ROWS($AH$2:AH635),$AH$2:$AH$1001,0),MATCH(COLUMNS($AO$1006:BK1006),$AO$1006:$BQ$1006,0)), HYPERLINK("#",""), HYPERLINK(CONCATENATE("#Metadata!", ADDRESS(INDEX($AJ$2:$AJ$1001,MATCH(ROWS($AH$2:AH635),$AH$2:$AH$1001,0),0), INDEX($AO$1004:$BQ$1004,1,MATCH(COLUMNS($AO$1006:BK1006),$AO$1006:$BQ$1006,0)))),"Fix")))</f>
        <v>#N/A</v>
      </c>
      <c r="Y635" s="5" t="e">
        <f ca="1">IF(OR(INDEX($AI$2:$AI$1001,MATCH(ROWS($AH$2:AH635),$AH$2:$AH$1001,0),1)&gt;=100000,INDEX($AO$1005:$BQ$1005,1,MATCH(COLUMNS($AO$1006:BL1006),$AO$1006:$BQ$1006,0))&gt;=100000), " ",IF(INDEX($AO$2:$BQ$1001,MATCH(ROWS($AH$2:AH635),$AH$2:$AH$1001,0),MATCH(COLUMNS($AO$1006:BL1006),$AO$1006:$BQ$1006,0)), HYPERLINK("#",""), HYPERLINK(CONCATENATE("#Metadata!", ADDRESS(INDEX($AJ$2:$AJ$1001,MATCH(ROWS($AH$2:AH635),$AH$2:$AH$1001,0),0), INDEX($AO$1004:$BQ$1004,1,MATCH(COLUMNS($AO$1006:BL1006),$AO$1006:$BQ$1006,0)))),"Fix")))</f>
        <v>#N/A</v>
      </c>
      <c r="Z635" s="5" t="e">
        <f ca="1">IF(OR(INDEX($AI$2:$AI$1001,MATCH(ROWS($AH$2:AH635),$AH$2:$AH$1001,0),1)&gt;=100000,INDEX($AO$1005:$BQ$1005,1,MATCH(COLUMNS($AO$1006:BM1006),$AO$1006:$BQ$1006,0))&gt;=100000), " ",IF(INDEX($AO$2:$BQ$1001,MATCH(ROWS($AH$2:AH635),$AH$2:$AH$1001,0),MATCH(COLUMNS($AO$1006:BM1006),$AO$1006:$BQ$1006,0)), HYPERLINK("#",""), HYPERLINK(CONCATENATE("#Metadata!", ADDRESS(INDEX($AJ$2:$AJ$1001,MATCH(ROWS($AH$2:AH635),$AH$2:$AH$1001,0),0), INDEX($AO$1004:$BQ$1004,1,MATCH(COLUMNS($AO$1006:BM1006),$AO$1006:$BQ$1006,0)))),"Fix")))</f>
        <v>#N/A</v>
      </c>
      <c r="AA635" s="5" t="e">
        <f ca="1">IF(OR(INDEX($AI$2:$AI$1001,MATCH(ROWS($AH$2:AH635),$AH$2:$AH$1001,0),1)&gt;=100000,INDEX($AO$1005:$BQ$1005,1,MATCH(COLUMNS($AO$1006:BN1006),$AO$1006:$BQ$1006,0))&gt;=100000), " ",IF(INDEX($AO$2:$BQ$1001,MATCH(ROWS($AH$2:AH635),$AH$2:$AH$1001,0),MATCH(COLUMNS($AO$1006:BN1006),$AO$1006:$BQ$1006,0)), HYPERLINK("#",""), HYPERLINK(CONCATENATE("#Metadata!", ADDRESS(INDEX($AJ$2:$AJ$1001,MATCH(ROWS($AH$2:AH635),$AH$2:$AH$1001,0),0), INDEX($AO$1004:$BQ$1004,1,MATCH(COLUMNS($AO$1006:BN1006),$AO$1006:$BQ$1006,0)))),"Fix")))</f>
        <v>#N/A</v>
      </c>
      <c r="AB635" s="5" t="e">
        <f ca="1">IF(OR(INDEX($AI$2:$AI$1001,MATCH(ROWS($AH$2:AH635),$AH$2:$AH$1001,0),1)&gt;=100000,INDEX($AO$1005:$BQ$1005,1,MATCH(COLUMNS($AO$1006:BO1006),$AO$1006:$BQ$1006,0))&gt;=100000), " ",IF(INDEX($AO$2:$BQ$1001,MATCH(ROWS($AH$2:AH635),$AH$2:$AH$1001,0),MATCH(COLUMNS($AO$1006:BO1006),$AO$1006:$BQ$1006,0)), HYPERLINK("#",""), HYPERLINK(CONCATENATE("#Metadata!", ADDRESS(INDEX($AJ$2:$AJ$1001,MATCH(ROWS($AH$2:AH635),$AH$2:$AH$1001,0),0), INDEX($AO$1004:$BQ$1004,1,MATCH(COLUMNS($AO$1006:BO1006),$AO$1006:$BQ$1006,0)))),"Fix")))</f>
        <v>#N/A</v>
      </c>
      <c r="AC635" s="5" t="e">
        <f ca="1">IF(OR(INDEX($AI$2:$AI$1001,MATCH(ROWS($AH$2:AH635),$AH$2:$AH$1001,0),1)&gt;=100000,INDEX($AO$1005:$BQ$1005,1,MATCH(COLUMNS($AO$1006:BP1006),$AO$1006:$BQ$1006,0))&gt;=100000), " ",IF(INDEX($AO$2:$BQ$1001,MATCH(ROWS($AH$2:AH635),$AH$2:$AH$1001,0),MATCH(COLUMNS($AO$1006:BP1006),$AO$1006:$BQ$1006,0)), HYPERLINK("#",""), HYPERLINK(CONCATENATE("#Metadata!", ADDRESS(INDEX($AJ$2:$AJ$1001,MATCH(ROWS($AH$2:AH635),$AH$2:$AH$1001,0),0), INDEX($AO$1004:$BQ$1004,1,MATCH(COLUMNS($AO$1006:BP1006),$AO$1006:$BQ$1006,0)))),"Fix")))</f>
        <v>#N/A</v>
      </c>
      <c r="AD635" s="5" t="e">
        <f ca="1">IF(OR(INDEX($AI$2:$AI$1001,MATCH(ROWS($AH$2:AH635),$AH$2:$AH$1001,0),1)&gt;=100000,INDEX($AO$1005:$BQ$1005,1,MATCH(COLUMNS($AO$1006:BQ1006),$AO$1006:$BQ$1006,0))&gt;=100000), " ",IF(INDEX($AO$2:$BQ$1001,MATCH(ROWS($AH$2:AH635),$AH$2:$AH$1001,0),MATCH(COLUMNS($AO$1006:BQ1006),$AO$1006:$BQ$1006,0)), HYPERLINK("#",""), HYPERLINK(CONCATENATE("#Metadata!", ADDRESS(INDEX($AJ$2:$AJ$1001,MATCH(ROWS($AH$2:AH635),$AH$2:$AH$1001,0),0), INDEX($AO$1004:$BQ$1004,1,MATCH(COLUMNS($AO$1006:BQ1006),$AO$1006:$BQ$1006,0)))),"Fix")))</f>
        <v>#REF!</v>
      </c>
      <c r="AH635">
        <f ca="1"/>
        <v>632</v>
      </c>
      <c r="AI635">
        <v>100635</v>
      </c>
      <c r="AJ635">
        <v>635</v>
      </c>
      <c r="AK635" t="b">
        <f t="shared" si="9"/>
        <v>1</v>
      </c>
      <c r="AL635" t="b">
        <f>COUNTBLANK(Metadata!B635:AD635)=COLUMNS(Metadata!B635:AD635)</f>
        <v>1</v>
      </c>
      <c r="AM635" t="str">
        <v/>
      </c>
      <c r="AO635" t="b">
        <f ca="1">AND(IF(Metadata!B635="",FALSE,TRUE),COUNTIF(Metadata!B:B, Metadata!B635) = 1,NOT(ISERROR(SUMPRODUCT(SEARCH(MID(Metadata!B635,ROW(INDIRECT("1:"&amp;LEN(Metadata!B635))), 1),"0123456789abcdefghijklmnopqrstuvwxyzABCDEFGHIJKLMNOPQRSTUVWXYZ.")))))</f>
        <v>0</v>
      </c>
      <c r="AP635" t="b">
        <f>IF(Metadata!C635="",FALSE,TRUE)</f>
        <v>0</v>
      </c>
      <c r="AQ635" t="b">
        <f>IF(Metadata!D635="",FALSE,TRUE)</f>
        <v>0</v>
      </c>
      <c r="AR635" t="b">
        <f ca="1">OR(AND(IF(Metadata!E635="",FALSE,TRUE),OR(EXACT(Metadata!E635,"not collected"),EXACT(Metadata!E635,"not provided"),EXACT(Metadata!E635,"restricted access"))),AND(IF(Metadata!E635="",FALSE,TRUE),AND(AND(IFERROR(INT(LEFT(Metadata!E635,4))&gt;1900,FALSE),IFERROR(INT(LEFT(Metadata!E635,4))&lt;=YEAR(NOW()),FALSE)), OR(MID(Metadata!E635,5,1)="", AND(AND(MID(Metadata!E635,5,1)="-",IFERROR(INT(MID(Metadata!E635,6,1))&gt;=0,FALSE),IFERROR(INT(MID(Metadata!E635,6,1))&lt;=1,FALSE),NOT(MID(Metadata!E635,7,1)=""),IFERROR(INT(MID(Metadata!E635,6,2))&gt;=1,FALSE),IFERROR(INT(MID(Metadata!E635,6,2))&lt;=12,FALSE)), OR(MID(Metadata!E635,8,1)="", AND(AND(MID(Metadata!E635,8,1)="-",IFERROR(INT(MID(Metadata!E635,9,1))&gt;=0,FALSE),IFERROR(INT(MID(Metadata!E635,9,1))&lt;=3,FALSE),NOT(MID(Metadata!E635,10,1)=""),IFERROR(INT(MID(Metadata!E635,9,2))&gt;=1,FALSE),IFERROR(INT(MID(Metadata!E635,9,2))&lt;=31,FALSE)), OR(MID(Metadata!E635,11,1)="", AND(AND(MID(Metadata!E635,11,1)=" ",IFERROR(INT(MID(Metadata!E635,12,1))&gt;=0,FALSE),IFERROR(INT(MID(Metadata!E635,12,1))&lt;=2,FALSE),NOT(MID(Metadata!E635,13,1)=""),IFERROR(INT(MID(Metadata!E635,12,2))&gt;=0,FALSE),IFERROR(INT(MID(Metadata!E635,12,2))&lt;=23,FALSE)), OR(MID(Metadata!E635,14,1)="", AND(AND(MID(Metadata!E635,14,1)=":",IFERROR(INT(MID(Metadata!E635,15,1))&gt;=0,FALSE),IFERROR(INT(MID(Metadata!E635,15,1))&lt;=5,FALSE),NOT(MID(Metadata!E635,16,1)=""),IFERROR(INT(MID(Metadata!E635,15,2))&gt;=0,FALSE),IFERROR(INT(MID(Metadata!E635,15,2))&lt;=59,FALSE)), OR(MID(Metadata!E635,17,1)="", AND(AND(MID(Metadata!E635,17,1)=":",IFERROR(INT(MID(Metadata!E635,18,1))&gt;=0,FALSE),IFERROR(INT(MID(Metadata!E635,18,1))&lt;=5,FALSE),NOT(MID(Metadata!E635,19,1)=""),IFERROR(INT(MID(Metadata!E635,18,2))&gt;=0,FALSE),IFERROR(INT(MID(Metadata!E635,18,2))&lt;=59,FALSE)), LEN(Metadata!E635)&lt;=19)))))))))))))</f>
        <v>0</v>
      </c>
      <c r="AS635" t="b">
        <f>IF(Metadata!F635="",FALSE,TRUE)</f>
        <v>0</v>
      </c>
      <c r="AT635" t="b">
        <f>OR(AND(IF(Metadata!G635="",FALSE,TRUE),OR(EXACT(Metadata!G635,"not collected"),EXACT(Metadata!G635,"not provided"))),AND(IF(Metadata!G635="",FALSE,TRUE),OR(EXACT(Metadata!G635,"TRUE"),EXACT(Metadata!G635,"FALSE"))))</f>
        <v>0</v>
      </c>
      <c r="AU635" t="b">
        <f>OR(AND(IF(Metadata!H635="",FALSE,TRUE),OR(EXACT(Metadata!H635,"not collected"),EXACT(Metadata!H635,"not provided"),EXACT(Metadata!H635,"restricted access"))),AND(IF(Metadata!H635="",FALSE,ISNUMBER(VALUE(Metadata!H635))),Metadata!H635&gt;=-413))</f>
        <v>0</v>
      </c>
      <c r="AV635" t="b">
        <f>AND(IF(Metadata!I635="",FALSE,TRUE),EXACT(Metadata!I635,"meters"))</f>
        <v>0</v>
      </c>
      <c r="AW635" t="b">
        <f>AND(IF(Metadata!J635="",FALSE,TRUE),EXACT(Metadata!J635,"free-living"))</f>
        <v>0</v>
      </c>
      <c r="AX635" t="b">
        <f>AND(IF(Metadata!K635="",FALSE,TRUE),OR(EXACT(Metadata!K635,"saline"),EXACT(Metadata!K635,"non-saline")))</f>
        <v>0</v>
      </c>
      <c r="AY635" t="b">
        <f>AND(IF(Metadata!L635="",FALSE,TRUE),OR(EXACT(Metadata!L635,"sub-surface (non-saline)"),EXACT(Metadata!L635,"surface (non-saline)"),EXACT(Metadata!L635,"water (non-saline)"),EXACT(Metadata!L635,"soil (non-saline)"),EXACT(Metadata!L635,"aerosol (non-saline)"),EXACT(Metadata!L635,"sediment (non-saline)"),EXACT(Metadata!L635,"surface (saline)"),EXACT(Metadata!L635,"water (saline)"),EXACT(Metadata!L635,"hypersaline (saline)"),EXACT(Metadata!L635,"aerosol (saline)"),EXACT(Metadata!L635,"sediment (saline)")))</f>
        <v>0</v>
      </c>
      <c r="AZ635" t="b">
        <f>IF(Metadata!M635="",FALSE,TRUE)</f>
        <v>0</v>
      </c>
      <c r="BA635" t="b">
        <f>IF(Metadata!N635="",FALSE,TRUE)</f>
        <v>0</v>
      </c>
      <c r="BB635" t="b">
        <f>IF(Metadata!O635="",FALSE,TRUE)</f>
        <v>0</v>
      </c>
      <c r="BC635" t="b">
        <f>AND(IF(Metadata!P635="",FALSE,TRUE),OR(EXACT(Metadata!P635,"air"),EXACT(Metadata!P635,"microbial mat/biofilm"),EXACT(Metadata!P635,"misc environment"),EXACT(Metadata!P635,"sediment"),EXACT(Metadata!P635,"soil"),EXACT(Metadata!P635,"wastewater/sludge"),EXACT(Metadata!P635,"water")))</f>
        <v>0</v>
      </c>
      <c r="BD635" t="b">
        <f>IF(Metadata!Q635="",FALSE,TRUE)</f>
        <v>0</v>
      </c>
      <c r="BE635" t="b">
        <f>IF(Metadata!R635="",FALSE,TRUE)</f>
        <v>0</v>
      </c>
      <c r="BF635" t="b">
        <f>OR(AND(IF(Metadata!S635="",FALSE,TRUE),OR(EXACT(Metadata!S635,"not collected"),EXACT(Metadata!S635,"not provided"),EXACT(Metadata!S635,"restricted access"))),AND(IF(Metadata!S635="",FALSE,ISNUMBER(VALUE(Metadata!S635))),Metadata!S635&gt;=-90,Metadata!S635&lt;=90))</f>
        <v>0</v>
      </c>
      <c r="BG635" t="b">
        <f>AND(IF(Metadata!T635="",FALSE,TRUE),EXACT(Metadata!T635,"Decimal degrees"))</f>
        <v>0</v>
      </c>
      <c r="BH635" t="b">
        <f>OR(AND(IF(Metadata!U635="",FALSE,TRUE),OR(EXACT(Metadata!U635,"not applicable"),EXACT(Metadata!U635,"not collected"))),IF(Metadata!U635="",FALSE,TRUE))</f>
        <v>0</v>
      </c>
      <c r="BI635" t="b">
        <f>OR(AND(IF(Metadata!V635="",FALSE,TRUE),OR(EXACT(Metadata!V635,"not collected"),EXACT(Metadata!V635,"not provided"),EXACT(Metadata!V635,"restricted access"))),AND(IF(Metadata!V635="",FALSE,ISNUMBER(VALUE(Metadata!V635))),Metadata!V635&gt;=-180,Metadata!V635&lt;=180))</f>
        <v>0</v>
      </c>
      <c r="BJ635" t="b">
        <f>AND(IF(Metadata!W635="",FALSE,TRUE),EXACT(Metadata!W635,"Decimal degrees"))</f>
        <v>0</v>
      </c>
      <c r="BK635" t="b">
        <f>IF(Metadata!X635="",FALSE,TRUE)</f>
        <v>0</v>
      </c>
      <c r="BL635" t="b">
        <f>OR(AND(IF(Metadata!Y635="",FALSE,TRUE),OR(EXACT(Metadata!Y635,"not collected"),EXACT(Metadata!Y635,"not provided"),EXACT(Metadata!Y635,"restricted access"))),AND(IF(Metadata!Y635="",FALSE,TRUE),OR(EXACT(Metadata!Y635,"TRUE"),EXACT(Metadata!Y635,"FALSE"))))</f>
        <v>0</v>
      </c>
      <c r="BM635" t="b">
        <f>OR(AND(IF(Metadata!Z635="",FALSE,TRUE),EXACT(Metadata!Z635,"not applicable")),AND(IF(Metadata!Z635="",FALSE,TRUE),OR(EXACT(Metadata!Z635,"beer"),EXACT(Metadata!Z635,"cheese"),EXACT(Metadata!Z635,"fresh water"),EXACT(Metadata!Z635,"marine sediment"),EXACT(Metadata!Z635,"sea water"),EXACT(Metadata!Z635,"sediment"),EXACT(Metadata!Z635,"soil"),EXACT(Metadata!Z635,"waste water"))))</f>
        <v>0</v>
      </c>
      <c r="BN635" t="b">
        <f>AND(IF(Metadata!AA635="",FALSE,TRUE),EXACT(Metadata!AA635,"metagenome"))</f>
        <v>0</v>
      </c>
      <c r="BO635" t="b">
        <f>AND(IF(Metadata!AB635="",FALSE,TRUE),EXACT(Metadata!AB635,"256318"))</f>
        <v>0</v>
      </c>
      <c r="BP635" t="b">
        <f>IF(Metadata!AC635="",FALSE,TRUE)</f>
        <v>0</v>
      </c>
      <c r="BQ635" t="b">
        <f>IF(Metadata!AD635="",FALSE,TRUE)</f>
        <v>0</v>
      </c>
    </row>
    <row r="636" spans="1:69" x14ac:dyDescent="0.2">
      <c r="A636" s="4" t="e">
        <f ca="1">IF(B636=" "," ",HYPERLINK(CONCATENATE("#metadata!",ADDRESS(INDEX($AJ$2:$AJ$1001,MATCH(ROWS($AH$2:AH636),$AH$2:$AH$1001,0),0),2)),INDEX($AM$2:$AM$1001,MATCH(ROWS($AH$2:AH636),$AH$2:$AH$1001,0),0)))</f>
        <v>#N/A</v>
      </c>
      <c r="B636" s="5" t="e">
        <f ca="1">IF(OR(INDEX($AI$2:$AI$1001,MATCH(ROWS($AH$2:AH636),$AH$2:$AH$1001,0),1)&gt;=100000,INDEX($AO$1005:$BQ$1005,1,MATCH(COLUMNS($AO$1006:AO1006),$AO$1006:$BQ$1006,0))&gt;=100000), " ",IF(INDEX($AO$2:$BQ$1001,MATCH(ROWS($AH$2:AH636),$AH$2:$AH$1001,0),MATCH(COLUMNS($AO$1006:AO1006),$AO$1006:$BQ$1006,0)), HYPERLINK("#",""), HYPERLINK(CONCATENATE("#Metadata!", ADDRESS(INDEX($AJ$2:$AJ$1001,MATCH(ROWS($AH$2:AH636),$AH$2:$AH$1001,0),0), INDEX($AO$1004:$BQ$1004,1,MATCH(COLUMNS($AO$1006:AO1006),$AO$1006:$BQ$1006,0)))),"Fix")))</f>
        <v>#N/A</v>
      </c>
      <c r="C636" s="5" t="e">
        <f ca="1">IF(OR(INDEX($AI$2:$AI$1001,MATCH(ROWS($AH$2:AH636),$AH$2:$AH$1001,0),1)&gt;=100000,INDEX($AO$1005:$BQ$1005,1,MATCH(COLUMNS($AO$1006:AP1006),$AO$1006:$BQ$1006,0))&gt;=100000), " ",IF(INDEX($AO$2:$BQ$1001,MATCH(ROWS($AH$2:AH636),$AH$2:$AH$1001,0),MATCH(COLUMNS($AO$1006:AP1006),$AO$1006:$BQ$1006,0)), HYPERLINK("#",""), HYPERLINK(CONCATENATE("#Metadata!", ADDRESS(INDEX($AJ$2:$AJ$1001,MATCH(ROWS($AH$2:AH636),$AH$2:$AH$1001,0),0), INDEX($AO$1004:$BQ$1004,1,MATCH(COLUMNS($AO$1006:AP1006),$AO$1006:$BQ$1006,0)))),"Fix")))</f>
        <v>#N/A</v>
      </c>
      <c r="D636" s="5" t="e">
        <f ca="1">IF(OR(INDEX($AI$2:$AI$1001,MATCH(ROWS($AH$2:AH636),$AH$2:$AH$1001,0),1)&gt;=100000,INDEX($AO$1005:$BQ$1005,1,MATCH(COLUMNS($AO$1006:AQ1006),$AO$1006:$BQ$1006,0))&gt;=100000), " ",IF(INDEX($AO$2:$BQ$1001,MATCH(ROWS($AH$2:AH636),$AH$2:$AH$1001,0),MATCH(COLUMNS($AO$1006:AQ1006),$AO$1006:$BQ$1006,0)), HYPERLINK("#",""), HYPERLINK(CONCATENATE("#Metadata!", ADDRESS(INDEX($AJ$2:$AJ$1001,MATCH(ROWS($AH$2:AH636),$AH$2:$AH$1001,0),0), INDEX($AO$1004:$BQ$1004,1,MATCH(COLUMNS($AO$1006:AQ1006),$AO$1006:$BQ$1006,0)))),"Fix")))</f>
        <v>#N/A</v>
      </c>
      <c r="E636" s="5" t="e">
        <f ca="1">IF(OR(INDEX($AI$2:$AI$1001,MATCH(ROWS($AH$2:AH636),$AH$2:$AH$1001,0),1)&gt;=100000,INDEX($AO$1005:$BQ$1005,1,MATCH(COLUMNS($AO$1006:AR1006),$AO$1006:$BQ$1006,0))&gt;=100000), " ",IF(INDEX($AO$2:$BQ$1001,MATCH(ROWS($AH$2:AH636),$AH$2:$AH$1001,0),MATCH(COLUMNS($AO$1006:AR1006),$AO$1006:$BQ$1006,0)), HYPERLINK("#",""), HYPERLINK(CONCATENATE("#Metadata!", ADDRESS(INDEX($AJ$2:$AJ$1001,MATCH(ROWS($AH$2:AH636),$AH$2:$AH$1001,0),0), INDEX($AO$1004:$BQ$1004,1,MATCH(COLUMNS($AO$1006:AR1006),$AO$1006:$BQ$1006,0)))),"Fix")))</f>
        <v>#N/A</v>
      </c>
      <c r="F636" s="5" t="e">
        <f ca="1">IF(OR(INDEX($AI$2:$AI$1001,MATCH(ROWS($AH$2:AH636),$AH$2:$AH$1001,0),1)&gt;=100000,INDEX($AO$1005:$BQ$1005,1,MATCH(COLUMNS($AO$1006:AS1006),$AO$1006:$BQ$1006,0))&gt;=100000), " ",IF(INDEX($AO$2:$BQ$1001,MATCH(ROWS($AH$2:AH636),$AH$2:$AH$1001,0),MATCH(COLUMNS($AO$1006:AS1006),$AO$1006:$BQ$1006,0)), HYPERLINK("#",""), HYPERLINK(CONCATENATE("#Metadata!", ADDRESS(INDEX($AJ$2:$AJ$1001,MATCH(ROWS($AH$2:AH636),$AH$2:$AH$1001,0),0), INDEX($AO$1004:$BQ$1004,1,MATCH(COLUMNS($AO$1006:AS1006),$AO$1006:$BQ$1006,0)))),"Fix")))</f>
        <v>#N/A</v>
      </c>
      <c r="G636" s="5" t="e">
        <f ca="1">IF(OR(INDEX($AI$2:$AI$1001,MATCH(ROWS($AH$2:AH636),$AH$2:$AH$1001,0),1)&gt;=100000,INDEX($AO$1005:$BQ$1005,1,MATCH(COLUMNS($AO$1006:AT1006),$AO$1006:$BQ$1006,0))&gt;=100000), " ",IF(INDEX($AO$2:$BQ$1001,MATCH(ROWS($AH$2:AH636),$AH$2:$AH$1001,0),MATCH(COLUMNS($AO$1006:AT1006),$AO$1006:$BQ$1006,0)), HYPERLINK("#",""), HYPERLINK(CONCATENATE("#Metadata!", ADDRESS(INDEX($AJ$2:$AJ$1001,MATCH(ROWS($AH$2:AH636),$AH$2:$AH$1001,0),0), INDEX($AO$1004:$BQ$1004,1,MATCH(COLUMNS($AO$1006:AT1006),$AO$1006:$BQ$1006,0)))),"Fix")))</f>
        <v>#N/A</v>
      </c>
      <c r="H636" s="5" t="e">
        <f ca="1">IF(OR(INDEX($AI$2:$AI$1001,MATCH(ROWS($AH$2:AH636),$AH$2:$AH$1001,0),1)&gt;=100000,INDEX($AO$1005:$BQ$1005,1,MATCH(COLUMNS($AO$1006:AU1006),$AO$1006:$BQ$1006,0))&gt;=100000), " ",IF(INDEX($AO$2:$BQ$1001,MATCH(ROWS($AH$2:AH636),$AH$2:$AH$1001,0),MATCH(COLUMNS($AO$1006:AU1006),$AO$1006:$BQ$1006,0)), HYPERLINK("#",""), HYPERLINK(CONCATENATE("#Metadata!", ADDRESS(INDEX($AJ$2:$AJ$1001,MATCH(ROWS($AH$2:AH636),$AH$2:$AH$1001,0),0), INDEX($AO$1004:$BQ$1004,1,MATCH(COLUMNS($AO$1006:AU1006),$AO$1006:$BQ$1006,0)))),"Fix")))</f>
        <v>#N/A</v>
      </c>
      <c r="I636" s="5" t="e">
        <f ca="1">IF(OR(INDEX($AI$2:$AI$1001,MATCH(ROWS($AH$2:AH636),$AH$2:$AH$1001,0),1)&gt;=100000,INDEX($AO$1005:$BQ$1005,1,MATCH(COLUMNS($AO$1006:AV1006),$AO$1006:$BQ$1006,0))&gt;=100000), " ",IF(INDEX($AO$2:$BQ$1001,MATCH(ROWS($AH$2:AH636),$AH$2:$AH$1001,0),MATCH(COLUMNS($AO$1006:AV1006),$AO$1006:$BQ$1006,0)), HYPERLINK("#",""), HYPERLINK(CONCATENATE("#Metadata!", ADDRESS(INDEX($AJ$2:$AJ$1001,MATCH(ROWS($AH$2:AH636),$AH$2:$AH$1001,0),0), INDEX($AO$1004:$BQ$1004,1,MATCH(COLUMNS($AO$1006:AV1006),$AO$1006:$BQ$1006,0)))),"Fix")))</f>
        <v>#N/A</v>
      </c>
      <c r="J636" s="5" t="e">
        <f ca="1">IF(OR(INDEX($AI$2:$AI$1001,MATCH(ROWS($AH$2:AH636),$AH$2:$AH$1001,0),1)&gt;=100000,INDEX($AO$1005:$BQ$1005,1,MATCH(COLUMNS($AO$1006:AW1006),$AO$1006:$BQ$1006,0))&gt;=100000), " ",IF(INDEX($AO$2:$BQ$1001,MATCH(ROWS($AH$2:AH636),$AH$2:$AH$1001,0),MATCH(COLUMNS($AO$1006:AW1006),$AO$1006:$BQ$1006,0)), HYPERLINK("#",""), HYPERLINK(CONCATENATE("#Metadata!", ADDRESS(INDEX($AJ$2:$AJ$1001,MATCH(ROWS($AH$2:AH636),$AH$2:$AH$1001,0),0), INDEX($AO$1004:$BQ$1004,1,MATCH(COLUMNS($AO$1006:AW1006),$AO$1006:$BQ$1006,0)))),"Fix")))</f>
        <v>#N/A</v>
      </c>
      <c r="K636" s="5" t="e">
        <f ca="1">IF(OR(INDEX($AI$2:$AI$1001,MATCH(ROWS($AH$2:AH636),$AH$2:$AH$1001,0),1)&gt;=100000,INDEX($AO$1005:$BQ$1005,1,MATCH(COLUMNS($AO$1006:AX1006),$AO$1006:$BQ$1006,0))&gt;=100000), " ",IF(INDEX($AO$2:$BQ$1001,MATCH(ROWS($AH$2:AH636),$AH$2:$AH$1001,0),MATCH(COLUMNS($AO$1006:AX1006),$AO$1006:$BQ$1006,0)), HYPERLINK("#",""), HYPERLINK(CONCATENATE("#Metadata!", ADDRESS(INDEX($AJ$2:$AJ$1001,MATCH(ROWS($AH$2:AH636),$AH$2:$AH$1001,0),0), INDEX($AO$1004:$BQ$1004,1,MATCH(COLUMNS($AO$1006:AX1006),$AO$1006:$BQ$1006,0)))),"Fix")))</f>
        <v>#N/A</v>
      </c>
      <c r="L636" s="5" t="e">
        <f ca="1">IF(OR(INDEX($AI$2:$AI$1001,MATCH(ROWS($AH$2:AH636),$AH$2:$AH$1001,0),1)&gt;=100000,INDEX($AO$1005:$BQ$1005,1,MATCH(COLUMNS($AO$1006:AY1006),$AO$1006:$BQ$1006,0))&gt;=100000), " ",IF(INDEX($AO$2:$BQ$1001,MATCH(ROWS($AH$2:AH636),$AH$2:$AH$1001,0),MATCH(COLUMNS($AO$1006:AY1006),$AO$1006:$BQ$1006,0)), HYPERLINK("#",""), HYPERLINK(CONCATENATE("#Metadata!", ADDRESS(INDEX($AJ$2:$AJ$1001,MATCH(ROWS($AH$2:AH636),$AH$2:$AH$1001,0),0), INDEX($AO$1004:$BQ$1004,1,MATCH(COLUMNS($AO$1006:AY1006),$AO$1006:$BQ$1006,0)))),"Fix")))</f>
        <v>#N/A</v>
      </c>
      <c r="M636" s="5" t="e">
        <f ca="1">IF(OR(INDEX($AI$2:$AI$1001,MATCH(ROWS($AH$2:AH636),$AH$2:$AH$1001,0),1)&gt;=100000,INDEX($AO$1005:$BQ$1005,1,MATCH(COLUMNS($AO$1006:AZ1006),$AO$1006:$BQ$1006,0))&gt;=100000), " ",IF(INDEX($AO$2:$BQ$1001,MATCH(ROWS($AH$2:AH636),$AH$2:$AH$1001,0),MATCH(COLUMNS($AO$1006:AZ1006),$AO$1006:$BQ$1006,0)), HYPERLINK("#",""), HYPERLINK(CONCATENATE("#Metadata!", ADDRESS(INDEX($AJ$2:$AJ$1001,MATCH(ROWS($AH$2:AH636),$AH$2:$AH$1001,0),0), INDEX($AO$1004:$BQ$1004,1,MATCH(COLUMNS($AO$1006:AZ1006),$AO$1006:$BQ$1006,0)))),"Fix")))</f>
        <v>#N/A</v>
      </c>
      <c r="N636" s="5" t="e">
        <f ca="1">IF(OR(INDEX($AI$2:$AI$1001,MATCH(ROWS($AH$2:AH636),$AH$2:$AH$1001,0),1)&gt;=100000,INDEX($AO$1005:$BQ$1005,1,MATCH(COLUMNS($AO$1006:BA1006),$AO$1006:$BQ$1006,0))&gt;=100000), " ",IF(INDEX($AO$2:$BQ$1001,MATCH(ROWS($AH$2:AH636),$AH$2:$AH$1001,0),MATCH(COLUMNS($AO$1006:BA1006),$AO$1006:$BQ$1006,0)), HYPERLINK("#",""), HYPERLINK(CONCATENATE("#Metadata!", ADDRESS(INDEX($AJ$2:$AJ$1001,MATCH(ROWS($AH$2:AH636),$AH$2:$AH$1001,0),0), INDEX($AO$1004:$BQ$1004,1,MATCH(COLUMNS($AO$1006:BA1006),$AO$1006:$BQ$1006,0)))),"Fix")))</f>
        <v>#N/A</v>
      </c>
      <c r="O636" s="5" t="e">
        <f ca="1">IF(OR(INDEX($AI$2:$AI$1001,MATCH(ROWS($AH$2:AH636),$AH$2:$AH$1001,0),1)&gt;=100000,INDEX($AO$1005:$BQ$1005,1,MATCH(COLUMNS($AO$1006:BB1006),$AO$1006:$BQ$1006,0))&gt;=100000), " ",IF(INDEX($AO$2:$BQ$1001,MATCH(ROWS($AH$2:AH636),$AH$2:$AH$1001,0),MATCH(COLUMNS($AO$1006:BB1006),$AO$1006:$BQ$1006,0)), HYPERLINK("#",""), HYPERLINK(CONCATENATE("#Metadata!", ADDRESS(INDEX($AJ$2:$AJ$1001,MATCH(ROWS($AH$2:AH636),$AH$2:$AH$1001,0),0), INDEX($AO$1004:$BQ$1004,1,MATCH(COLUMNS($AO$1006:BB1006),$AO$1006:$BQ$1006,0)))),"Fix")))</f>
        <v>#N/A</v>
      </c>
      <c r="P636" s="5" t="e">
        <f ca="1">IF(OR(INDEX($AI$2:$AI$1001,MATCH(ROWS($AH$2:AH636),$AH$2:$AH$1001,0),1)&gt;=100000,INDEX($AO$1005:$BQ$1005,1,MATCH(COLUMNS($AO$1006:BC1006),$AO$1006:$BQ$1006,0))&gt;=100000), " ",IF(INDEX($AO$2:$BQ$1001,MATCH(ROWS($AH$2:AH636),$AH$2:$AH$1001,0),MATCH(COLUMNS($AO$1006:BC1006),$AO$1006:$BQ$1006,0)), HYPERLINK("#",""), HYPERLINK(CONCATENATE("#Metadata!", ADDRESS(INDEX($AJ$2:$AJ$1001,MATCH(ROWS($AH$2:AH636),$AH$2:$AH$1001,0),0), INDEX($AO$1004:$BQ$1004,1,MATCH(COLUMNS($AO$1006:BC1006),$AO$1006:$BQ$1006,0)))),"Fix")))</f>
        <v>#N/A</v>
      </c>
      <c r="Q636" s="5" t="e">
        <f ca="1">IF(OR(INDEX($AI$2:$AI$1001,MATCH(ROWS($AH$2:AH636),$AH$2:$AH$1001,0),1)&gt;=100000,INDEX($AO$1005:$BQ$1005,1,MATCH(COLUMNS($AO$1006:BD1006),$AO$1006:$BQ$1006,0))&gt;=100000), " ",IF(INDEX($AO$2:$BQ$1001,MATCH(ROWS($AH$2:AH636),$AH$2:$AH$1001,0),MATCH(COLUMNS($AO$1006:BD1006),$AO$1006:$BQ$1006,0)), HYPERLINK("#",""), HYPERLINK(CONCATENATE("#Metadata!", ADDRESS(INDEX($AJ$2:$AJ$1001,MATCH(ROWS($AH$2:AH636),$AH$2:$AH$1001,0),0), INDEX($AO$1004:$BQ$1004,1,MATCH(COLUMNS($AO$1006:BD1006),$AO$1006:$BQ$1006,0)))),"Fix")))</f>
        <v>#N/A</v>
      </c>
      <c r="R636" s="5" t="e">
        <f ca="1">IF(OR(INDEX($AI$2:$AI$1001,MATCH(ROWS($AH$2:AH636),$AH$2:$AH$1001,0),1)&gt;=100000,INDEX($AO$1005:$BQ$1005,1,MATCH(COLUMNS($AO$1006:BE1006),$AO$1006:$BQ$1006,0))&gt;=100000), " ",IF(INDEX($AO$2:$BQ$1001,MATCH(ROWS($AH$2:AH636),$AH$2:$AH$1001,0),MATCH(COLUMNS($AO$1006:BE1006),$AO$1006:$BQ$1006,0)), HYPERLINK("#",""), HYPERLINK(CONCATENATE("#Metadata!", ADDRESS(INDEX($AJ$2:$AJ$1001,MATCH(ROWS($AH$2:AH636),$AH$2:$AH$1001,0),0), INDEX($AO$1004:$BQ$1004,1,MATCH(COLUMNS($AO$1006:BE1006),$AO$1006:$BQ$1006,0)))),"Fix")))</f>
        <v>#N/A</v>
      </c>
      <c r="S636" s="5" t="e">
        <f ca="1">IF(OR(INDEX($AI$2:$AI$1001,MATCH(ROWS($AH$2:AH636),$AH$2:$AH$1001,0),1)&gt;=100000,INDEX($AO$1005:$BQ$1005,1,MATCH(COLUMNS($AO$1006:BF1006),$AO$1006:$BQ$1006,0))&gt;=100000), " ",IF(INDEX($AO$2:$BQ$1001,MATCH(ROWS($AH$2:AH636),$AH$2:$AH$1001,0),MATCH(COLUMNS($AO$1006:BF1006),$AO$1006:$BQ$1006,0)), HYPERLINK("#",""), HYPERLINK(CONCATENATE("#Metadata!", ADDRESS(INDEX($AJ$2:$AJ$1001,MATCH(ROWS($AH$2:AH636),$AH$2:$AH$1001,0),0), INDEX($AO$1004:$BQ$1004,1,MATCH(COLUMNS($AO$1006:BF1006),$AO$1006:$BQ$1006,0)))),"Fix")))</f>
        <v>#N/A</v>
      </c>
      <c r="T636" s="5" t="e">
        <f ca="1">IF(OR(INDEX($AI$2:$AI$1001,MATCH(ROWS($AH$2:AH636),$AH$2:$AH$1001,0),1)&gt;=100000,INDEX($AO$1005:$BQ$1005,1,MATCH(COLUMNS($AO$1006:BG1006),$AO$1006:$BQ$1006,0))&gt;=100000), " ",IF(INDEX($AO$2:$BQ$1001,MATCH(ROWS($AH$2:AH636),$AH$2:$AH$1001,0),MATCH(COLUMNS($AO$1006:BG1006),$AO$1006:$BQ$1006,0)), HYPERLINK("#",""), HYPERLINK(CONCATENATE("#Metadata!", ADDRESS(INDEX($AJ$2:$AJ$1001,MATCH(ROWS($AH$2:AH636),$AH$2:$AH$1001,0),0), INDEX($AO$1004:$BQ$1004,1,MATCH(COLUMNS($AO$1006:BG1006),$AO$1006:$BQ$1006,0)))),"Fix")))</f>
        <v>#N/A</v>
      </c>
      <c r="U636" s="5" t="e">
        <f ca="1">IF(OR(INDEX($AI$2:$AI$1001,MATCH(ROWS($AH$2:AH636),$AH$2:$AH$1001,0),1)&gt;=100000,INDEX($AO$1005:$BQ$1005,1,MATCH(COLUMNS($AO$1006:BH1006),$AO$1006:$BQ$1006,0))&gt;=100000), " ",IF(INDEX($AO$2:$BQ$1001,MATCH(ROWS($AH$2:AH636),$AH$2:$AH$1001,0),MATCH(COLUMNS($AO$1006:BH1006),$AO$1006:$BQ$1006,0)), HYPERLINK("#",""), HYPERLINK(CONCATENATE("#Metadata!", ADDRESS(INDEX($AJ$2:$AJ$1001,MATCH(ROWS($AH$2:AH636),$AH$2:$AH$1001,0),0), INDEX($AO$1004:$BQ$1004,1,MATCH(COLUMNS($AO$1006:BH1006),$AO$1006:$BQ$1006,0)))),"Fix")))</f>
        <v>#N/A</v>
      </c>
      <c r="V636" s="5" t="e">
        <f ca="1">IF(OR(INDEX($AI$2:$AI$1001,MATCH(ROWS($AH$2:AH636),$AH$2:$AH$1001,0),1)&gt;=100000,INDEX($AO$1005:$BQ$1005,1,MATCH(COLUMNS($AO$1006:BI1006),$AO$1006:$BQ$1006,0))&gt;=100000), " ",IF(INDEX($AO$2:$BQ$1001,MATCH(ROWS($AH$2:AH636),$AH$2:$AH$1001,0),MATCH(COLUMNS($AO$1006:BI1006),$AO$1006:$BQ$1006,0)), HYPERLINK("#",""), HYPERLINK(CONCATENATE("#Metadata!", ADDRESS(INDEX($AJ$2:$AJ$1001,MATCH(ROWS($AH$2:AH636),$AH$2:$AH$1001,0),0), INDEX($AO$1004:$BQ$1004,1,MATCH(COLUMNS($AO$1006:BI1006),$AO$1006:$BQ$1006,0)))),"Fix")))</f>
        <v>#N/A</v>
      </c>
      <c r="W636" s="5" t="e">
        <f ca="1">IF(OR(INDEX($AI$2:$AI$1001,MATCH(ROWS($AH$2:AH636),$AH$2:$AH$1001,0),1)&gt;=100000,INDEX($AO$1005:$BQ$1005,1,MATCH(COLUMNS($AO$1006:BJ1006),$AO$1006:$BQ$1006,0))&gt;=100000), " ",IF(INDEX($AO$2:$BQ$1001,MATCH(ROWS($AH$2:AH636),$AH$2:$AH$1001,0),MATCH(COLUMNS($AO$1006:BJ1006),$AO$1006:$BQ$1006,0)), HYPERLINK("#",""), HYPERLINK(CONCATENATE("#Metadata!", ADDRESS(INDEX($AJ$2:$AJ$1001,MATCH(ROWS($AH$2:AH636),$AH$2:$AH$1001,0),0), INDEX($AO$1004:$BQ$1004,1,MATCH(COLUMNS($AO$1006:BJ1006),$AO$1006:$BQ$1006,0)))),"Fix")))</f>
        <v>#N/A</v>
      </c>
      <c r="X636" s="5" t="e">
        <f ca="1">IF(OR(INDEX($AI$2:$AI$1001,MATCH(ROWS($AH$2:AH636),$AH$2:$AH$1001,0),1)&gt;=100000,INDEX($AO$1005:$BQ$1005,1,MATCH(COLUMNS($AO$1006:BK1006),$AO$1006:$BQ$1006,0))&gt;=100000), " ",IF(INDEX($AO$2:$BQ$1001,MATCH(ROWS($AH$2:AH636),$AH$2:$AH$1001,0),MATCH(COLUMNS($AO$1006:BK1006),$AO$1006:$BQ$1006,0)), HYPERLINK("#",""), HYPERLINK(CONCATENATE("#Metadata!", ADDRESS(INDEX($AJ$2:$AJ$1001,MATCH(ROWS($AH$2:AH636),$AH$2:$AH$1001,0),0), INDEX($AO$1004:$BQ$1004,1,MATCH(COLUMNS($AO$1006:BK1006),$AO$1006:$BQ$1006,0)))),"Fix")))</f>
        <v>#N/A</v>
      </c>
      <c r="Y636" s="5" t="e">
        <f ca="1">IF(OR(INDEX($AI$2:$AI$1001,MATCH(ROWS($AH$2:AH636),$AH$2:$AH$1001,0),1)&gt;=100000,INDEX($AO$1005:$BQ$1005,1,MATCH(COLUMNS($AO$1006:BL1006),$AO$1006:$BQ$1006,0))&gt;=100000), " ",IF(INDEX($AO$2:$BQ$1001,MATCH(ROWS($AH$2:AH636),$AH$2:$AH$1001,0),MATCH(COLUMNS($AO$1006:BL1006),$AO$1006:$BQ$1006,0)), HYPERLINK("#",""), HYPERLINK(CONCATENATE("#Metadata!", ADDRESS(INDEX($AJ$2:$AJ$1001,MATCH(ROWS($AH$2:AH636),$AH$2:$AH$1001,0),0), INDEX($AO$1004:$BQ$1004,1,MATCH(COLUMNS($AO$1006:BL1006),$AO$1006:$BQ$1006,0)))),"Fix")))</f>
        <v>#N/A</v>
      </c>
      <c r="Z636" s="5" t="e">
        <f ca="1">IF(OR(INDEX($AI$2:$AI$1001,MATCH(ROWS($AH$2:AH636),$AH$2:$AH$1001,0),1)&gt;=100000,INDEX($AO$1005:$BQ$1005,1,MATCH(COLUMNS($AO$1006:BM1006),$AO$1006:$BQ$1006,0))&gt;=100000), " ",IF(INDEX($AO$2:$BQ$1001,MATCH(ROWS($AH$2:AH636),$AH$2:$AH$1001,0),MATCH(COLUMNS($AO$1006:BM1006),$AO$1006:$BQ$1006,0)), HYPERLINK("#",""), HYPERLINK(CONCATENATE("#Metadata!", ADDRESS(INDEX($AJ$2:$AJ$1001,MATCH(ROWS($AH$2:AH636),$AH$2:$AH$1001,0),0), INDEX($AO$1004:$BQ$1004,1,MATCH(COLUMNS($AO$1006:BM1006),$AO$1006:$BQ$1006,0)))),"Fix")))</f>
        <v>#N/A</v>
      </c>
      <c r="AA636" s="5" t="e">
        <f ca="1">IF(OR(INDEX($AI$2:$AI$1001,MATCH(ROWS($AH$2:AH636),$AH$2:$AH$1001,0),1)&gt;=100000,INDEX($AO$1005:$BQ$1005,1,MATCH(COLUMNS($AO$1006:BN1006),$AO$1006:$BQ$1006,0))&gt;=100000), " ",IF(INDEX($AO$2:$BQ$1001,MATCH(ROWS($AH$2:AH636),$AH$2:$AH$1001,0),MATCH(COLUMNS($AO$1006:BN1006),$AO$1006:$BQ$1006,0)), HYPERLINK("#",""), HYPERLINK(CONCATENATE("#Metadata!", ADDRESS(INDEX($AJ$2:$AJ$1001,MATCH(ROWS($AH$2:AH636),$AH$2:$AH$1001,0),0), INDEX($AO$1004:$BQ$1004,1,MATCH(COLUMNS($AO$1006:BN1006),$AO$1006:$BQ$1006,0)))),"Fix")))</f>
        <v>#N/A</v>
      </c>
      <c r="AB636" s="5" t="e">
        <f ca="1">IF(OR(INDEX($AI$2:$AI$1001,MATCH(ROWS($AH$2:AH636),$AH$2:$AH$1001,0),1)&gt;=100000,INDEX($AO$1005:$BQ$1005,1,MATCH(COLUMNS($AO$1006:BO1006),$AO$1006:$BQ$1006,0))&gt;=100000), " ",IF(INDEX($AO$2:$BQ$1001,MATCH(ROWS($AH$2:AH636),$AH$2:$AH$1001,0),MATCH(COLUMNS($AO$1006:BO1006),$AO$1006:$BQ$1006,0)), HYPERLINK("#",""), HYPERLINK(CONCATENATE("#Metadata!", ADDRESS(INDEX($AJ$2:$AJ$1001,MATCH(ROWS($AH$2:AH636),$AH$2:$AH$1001,0),0), INDEX($AO$1004:$BQ$1004,1,MATCH(COLUMNS($AO$1006:BO1006),$AO$1006:$BQ$1006,0)))),"Fix")))</f>
        <v>#N/A</v>
      </c>
      <c r="AC636" s="5" t="e">
        <f ca="1">IF(OR(INDEX($AI$2:$AI$1001,MATCH(ROWS($AH$2:AH636),$AH$2:$AH$1001,0),1)&gt;=100000,INDEX($AO$1005:$BQ$1005,1,MATCH(COLUMNS($AO$1006:BP1006),$AO$1006:$BQ$1006,0))&gt;=100000), " ",IF(INDEX($AO$2:$BQ$1001,MATCH(ROWS($AH$2:AH636),$AH$2:$AH$1001,0),MATCH(COLUMNS($AO$1006:BP1006),$AO$1006:$BQ$1006,0)), HYPERLINK("#",""), HYPERLINK(CONCATENATE("#Metadata!", ADDRESS(INDEX($AJ$2:$AJ$1001,MATCH(ROWS($AH$2:AH636),$AH$2:$AH$1001,0),0), INDEX($AO$1004:$BQ$1004,1,MATCH(COLUMNS($AO$1006:BP1006),$AO$1006:$BQ$1006,0)))),"Fix")))</f>
        <v>#N/A</v>
      </c>
      <c r="AD636" s="5" t="e">
        <f ca="1">IF(OR(INDEX($AI$2:$AI$1001,MATCH(ROWS($AH$2:AH636),$AH$2:$AH$1001,0),1)&gt;=100000,INDEX($AO$1005:$BQ$1005,1,MATCH(COLUMNS($AO$1006:BQ1006),$AO$1006:$BQ$1006,0))&gt;=100000), " ",IF(INDEX($AO$2:$BQ$1001,MATCH(ROWS($AH$2:AH636),$AH$2:$AH$1001,0),MATCH(COLUMNS($AO$1006:BQ1006),$AO$1006:$BQ$1006,0)), HYPERLINK("#",""), HYPERLINK(CONCATENATE("#Metadata!", ADDRESS(INDEX($AJ$2:$AJ$1001,MATCH(ROWS($AH$2:AH636),$AH$2:$AH$1001,0),0), INDEX($AO$1004:$BQ$1004,1,MATCH(COLUMNS($AO$1006:BQ1006),$AO$1006:$BQ$1006,0)))),"Fix")))</f>
        <v>#REF!</v>
      </c>
      <c r="AH636">
        <f ca="1"/>
        <v>633</v>
      </c>
      <c r="AI636">
        <v>100636</v>
      </c>
      <c r="AJ636">
        <v>636</v>
      </c>
      <c r="AK636" t="b">
        <f t="shared" si="9"/>
        <v>1</v>
      </c>
      <c r="AL636" t="b">
        <f>COUNTBLANK(Metadata!B636:AD636)=COLUMNS(Metadata!B636:AD636)</f>
        <v>1</v>
      </c>
      <c r="AM636" t="str">
        <v/>
      </c>
      <c r="AO636" t="b">
        <f ca="1">AND(IF(Metadata!B636="",FALSE,TRUE),COUNTIF(Metadata!B:B, Metadata!B636) = 1,NOT(ISERROR(SUMPRODUCT(SEARCH(MID(Metadata!B636,ROW(INDIRECT("1:"&amp;LEN(Metadata!B636))), 1),"0123456789abcdefghijklmnopqrstuvwxyzABCDEFGHIJKLMNOPQRSTUVWXYZ.")))))</f>
        <v>0</v>
      </c>
      <c r="AP636" t="b">
        <f>IF(Metadata!C636="",FALSE,TRUE)</f>
        <v>0</v>
      </c>
      <c r="AQ636" t="b">
        <f>IF(Metadata!D636="",FALSE,TRUE)</f>
        <v>0</v>
      </c>
      <c r="AR636" t="b">
        <f ca="1">OR(AND(IF(Metadata!E636="",FALSE,TRUE),OR(EXACT(Metadata!E636,"not collected"),EXACT(Metadata!E636,"not provided"),EXACT(Metadata!E636,"restricted access"))),AND(IF(Metadata!E636="",FALSE,TRUE),AND(AND(IFERROR(INT(LEFT(Metadata!E636,4))&gt;1900,FALSE),IFERROR(INT(LEFT(Metadata!E636,4))&lt;=YEAR(NOW()),FALSE)), OR(MID(Metadata!E636,5,1)="", AND(AND(MID(Metadata!E636,5,1)="-",IFERROR(INT(MID(Metadata!E636,6,1))&gt;=0,FALSE),IFERROR(INT(MID(Metadata!E636,6,1))&lt;=1,FALSE),NOT(MID(Metadata!E636,7,1)=""),IFERROR(INT(MID(Metadata!E636,6,2))&gt;=1,FALSE),IFERROR(INT(MID(Metadata!E636,6,2))&lt;=12,FALSE)), OR(MID(Metadata!E636,8,1)="", AND(AND(MID(Metadata!E636,8,1)="-",IFERROR(INT(MID(Metadata!E636,9,1))&gt;=0,FALSE),IFERROR(INT(MID(Metadata!E636,9,1))&lt;=3,FALSE),NOT(MID(Metadata!E636,10,1)=""),IFERROR(INT(MID(Metadata!E636,9,2))&gt;=1,FALSE),IFERROR(INT(MID(Metadata!E636,9,2))&lt;=31,FALSE)), OR(MID(Metadata!E636,11,1)="", AND(AND(MID(Metadata!E636,11,1)=" ",IFERROR(INT(MID(Metadata!E636,12,1))&gt;=0,FALSE),IFERROR(INT(MID(Metadata!E636,12,1))&lt;=2,FALSE),NOT(MID(Metadata!E636,13,1)=""),IFERROR(INT(MID(Metadata!E636,12,2))&gt;=0,FALSE),IFERROR(INT(MID(Metadata!E636,12,2))&lt;=23,FALSE)), OR(MID(Metadata!E636,14,1)="", AND(AND(MID(Metadata!E636,14,1)=":",IFERROR(INT(MID(Metadata!E636,15,1))&gt;=0,FALSE),IFERROR(INT(MID(Metadata!E636,15,1))&lt;=5,FALSE),NOT(MID(Metadata!E636,16,1)=""),IFERROR(INT(MID(Metadata!E636,15,2))&gt;=0,FALSE),IFERROR(INT(MID(Metadata!E636,15,2))&lt;=59,FALSE)), OR(MID(Metadata!E636,17,1)="", AND(AND(MID(Metadata!E636,17,1)=":",IFERROR(INT(MID(Metadata!E636,18,1))&gt;=0,FALSE),IFERROR(INT(MID(Metadata!E636,18,1))&lt;=5,FALSE),NOT(MID(Metadata!E636,19,1)=""),IFERROR(INT(MID(Metadata!E636,18,2))&gt;=0,FALSE),IFERROR(INT(MID(Metadata!E636,18,2))&lt;=59,FALSE)), LEN(Metadata!E636)&lt;=19)))))))))))))</f>
        <v>0</v>
      </c>
      <c r="AS636" t="b">
        <f>IF(Metadata!F636="",FALSE,TRUE)</f>
        <v>0</v>
      </c>
      <c r="AT636" t="b">
        <f>OR(AND(IF(Metadata!G636="",FALSE,TRUE),OR(EXACT(Metadata!G636,"not collected"),EXACT(Metadata!G636,"not provided"))),AND(IF(Metadata!G636="",FALSE,TRUE),OR(EXACT(Metadata!G636,"TRUE"),EXACT(Metadata!G636,"FALSE"))))</f>
        <v>0</v>
      </c>
      <c r="AU636" t="b">
        <f>OR(AND(IF(Metadata!H636="",FALSE,TRUE),OR(EXACT(Metadata!H636,"not collected"),EXACT(Metadata!H636,"not provided"),EXACT(Metadata!H636,"restricted access"))),AND(IF(Metadata!H636="",FALSE,ISNUMBER(VALUE(Metadata!H636))),Metadata!H636&gt;=-413))</f>
        <v>0</v>
      </c>
      <c r="AV636" t="b">
        <f>AND(IF(Metadata!I636="",FALSE,TRUE),EXACT(Metadata!I636,"meters"))</f>
        <v>0</v>
      </c>
      <c r="AW636" t="b">
        <f>AND(IF(Metadata!J636="",FALSE,TRUE),EXACT(Metadata!J636,"free-living"))</f>
        <v>0</v>
      </c>
      <c r="AX636" t="b">
        <f>AND(IF(Metadata!K636="",FALSE,TRUE),OR(EXACT(Metadata!K636,"saline"),EXACT(Metadata!K636,"non-saline")))</f>
        <v>0</v>
      </c>
      <c r="AY636" t="b">
        <f>AND(IF(Metadata!L636="",FALSE,TRUE),OR(EXACT(Metadata!L636,"sub-surface (non-saline)"),EXACT(Metadata!L636,"surface (non-saline)"),EXACT(Metadata!L636,"water (non-saline)"),EXACT(Metadata!L636,"soil (non-saline)"),EXACT(Metadata!L636,"aerosol (non-saline)"),EXACT(Metadata!L636,"sediment (non-saline)"),EXACT(Metadata!L636,"surface (saline)"),EXACT(Metadata!L636,"water (saline)"),EXACT(Metadata!L636,"hypersaline (saline)"),EXACT(Metadata!L636,"aerosol (saline)"),EXACT(Metadata!L636,"sediment (saline)")))</f>
        <v>0</v>
      </c>
      <c r="AZ636" t="b">
        <f>IF(Metadata!M636="",FALSE,TRUE)</f>
        <v>0</v>
      </c>
      <c r="BA636" t="b">
        <f>IF(Metadata!N636="",FALSE,TRUE)</f>
        <v>0</v>
      </c>
      <c r="BB636" t="b">
        <f>IF(Metadata!O636="",FALSE,TRUE)</f>
        <v>0</v>
      </c>
      <c r="BC636" t="b">
        <f>AND(IF(Metadata!P636="",FALSE,TRUE),OR(EXACT(Metadata!P636,"air"),EXACT(Metadata!P636,"microbial mat/biofilm"),EXACT(Metadata!P636,"misc environment"),EXACT(Metadata!P636,"sediment"),EXACT(Metadata!P636,"soil"),EXACT(Metadata!P636,"wastewater/sludge"),EXACT(Metadata!P636,"water")))</f>
        <v>0</v>
      </c>
      <c r="BD636" t="b">
        <f>IF(Metadata!Q636="",FALSE,TRUE)</f>
        <v>0</v>
      </c>
      <c r="BE636" t="b">
        <f>IF(Metadata!R636="",FALSE,TRUE)</f>
        <v>0</v>
      </c>
      <c r="BF636" t="b">
        <f>OR(AND(IF(Metadata!S636="",FALSE,TRUE),OR(EXACT(Metadata!S636,"not collected"),EXACT(Metadata!S636,"not provided"),EXACT(Metadata!S636,"restricted access"))),AND(IF(Metadata!S636="",FALSE,ISNUMBER(VALUE(Metadata!S636))),Metadata!S636&gt;=-90,Metadata!S636&lt;=90))</f>
        <v>0</v>
      </c>
      <c r="BG636" t="b">
        <f>AND(IF(Metadata!T636="",FALSE,TRUE),EXACT(Metadata!T636,"Decimal degrees"))</f>
        <v>0</v>
      </c>
      <c r="BH636" t="b">
        <f>OR(AND(IF(Metadata!U636="",FALSE,TRUE),OR(EXACT(Metadata!U636,"not applicable"),EXACT(Metadata!U636,"not collected"))),IF(Metadata!U636="",FALSE,TRUE))</f>
        <v>0</v>
      </c>
      <c r="BI636" t="b">
        <f>OR(AND(IF(Metadata!V636="",FALSE,TRUE),OR(EXACT(Metadata!V636,"not collected"),EXACT(Metadata!V636,"not provided"),EXACT(Metadata!V636,"restricted access"))),AND(IF(Metadata!V636="",FALSE,ISNUMBER(VALUE(Metadata!V636))),Metadata!V636&gt;=-180,Metadata!V636&lt;=180))</f>
        <v>0</v>
      </c>
      <c r="BJ636" t="b">
        <f>AND(IF(Metadata!W636="",FALSE,TRUE),EXACT(Metadata!W636,"Decimal degrees"))</f>
        <v>0</v>
      </c>
      <c r="BK636" t="b">
        <f>IF(Metadata!X636="",FALSE,TRUE)</f>
        <v>0</v>
      </c>
      <c r="BL636" t="b">
        <f>OR(AND(IF(Metadata!Y636="",FALSE,TRUE),OR(EXACT(Metadata!Y636,"not collected"),EXACT(Metadata!Y636,"not provided"),EXACT(Metadata!Y636,"restricted access"))),AND(IF(Metadata!Y636="",FALSE,TRUE),OR(EXACT(Metadata!Y636,"TRUE"),EXACT(Metadata!Y636,"FALSE"))))</f>
        <v>0</v>
      </c>
      <c r="BM636" t="b">
        <f>OR(AND(IF(Metadata!Z636="",FALSE,TRUE),EXACT(Metadata!Z636,"not applicable")),AND(IF(Metadata!Z636="",FALSE,TRUE),OR(EXACT(Metadata!Z636,"beer"),EXACT(Metadata!Z636,"cheese"),EXACT(Metadata!Z636,"fresh water"),EXACT(Metadata!Z636,"marine sediment"),EXACT(Metadata!Z636,"sea water"),EXACT(Metadata!Z636,"sediment"),EXACT(Metadata!Z636,"soil"),EXACT(Metadata!Z636,"waste water"))))</f>
        <v>0</v>
      </c>
      <c r="BN636" t="b">
        <f>AND(IF(Metadata!AA636="",FALSE,TRUE),EXACT(Metadata!AA636,"metagenome"))</f>
        <v>0</v>
      </c>
      <c r="BO636" t="b">
        <f>AND(IF(Metadata!AB636="",FALSE,TRUE),EXACT(Metadata!AB636,"256318"))</f>
        <v>0</v>
      </c>
      <c r="BP636" t="b">
        <f>IF(Metadata!AC636="",FALSE,TRUE)</f>
        <v>0</v>
      </c>
      <c r="BQ636" t="b">
        <f>IF(Metadata!AD636="",FALSE,TRUE)</f>
        <v>0</v>
      </c>
    </row>
    <row r="637" spans="1:69" x14ac:dyDescent="0.2">
      <c r="A637" s="4" t="e">
        <f ca="1">IF(B637=" "," ",HYPERLINK(CONCATENATE("#metadata!",ADDRESS(INDEX($AJ$2:$AJ$1001,MATCH(ROWS($AH$2:AH637),$AH$2:$AH$1001,0),0),2)),INDEX($AM$2:$AM$1001,MATCH(ROWS($AH$2:AH637),$AH$2:$AH$1001,0),0)))</f>
        <v>#N/A</v>
      </c>
      <c r="B637" s="5" t="e">
        <f ca="1">IF(OR(INDEX($AI$2:$AI$1001,MATCH(ROWS($AH$2:AH637),$AH$2:$AH$1001,0),1)&gt;=100000,INDEX($AO$1005:$BQ$1005,1,MATCH(COLUMNS($AO$1006:AO1006),$AO$1006:$BQ$1006,0))&gt;=100000), " ",IF(INDEX($AO$2:$BQ$1001,MATCH(ROWS($AH$2:AH637),$AH$2:$AH$1001,0),MATCH(COLUMNS($AO$1006:AO1006),$AO$1006:$BQ$1006,0)), HYPERLINK("#",""), HYPERLINK(CONCATENATE("#Metadata!", ADDRESS(INDEX($AJ$2:$AJ$1001,MATCH(ROWS($AH$2:AH637),$AH$2:$AH$1001,0),0), INDEX($AO$1004:$BQ$1004,1,MATCH(COLUMNS($AO$1006:AO1006),$AO$1006:$BQ$1006,0)))),"Fix")))</f>
        <v>#N/A</v>
      </c>
      <c r="C637" s="5" t="e">
        <f ca="1">IF(OR(INDEX($AI$2:$AI$1001,MATCH(ROWS($AH$2:AH637),$AH$2:$AH$1001,0),1)&gt;=100000,INDEX($AO$1005:$BQ$1005,1,MATCH(COLUMNS($AO$1006:AP1006),$AO$1006:$BQ$1006,0))&gt;=100000), " ",IF(INDEX($AO$2:$BQ$1001,MATCH(ROWS($AH$2:AH637),$AH$2:$AH$1001,0),MATCH(COLUMNS($AO$1006:AP1006),$AO$1006:$BQ$1006,0)), HYPERLINK("#",""), HYPERLINK(CONCATENATE("#Metadata!", ADDRESS(INDEX($AJ$2:$AJ$1001,MATCH(ROWS($AH$2:AH637),$AH$2:$AH$1001,0),0), INDEX($AO$1004:$BQ$1004,1,MATCH(COLUMNS($AO$1006:AP1006),$AO$1006:$BQ$1006,0)))),"Fix")))</f>
        <v>#N/A</v>
      </c>
      <c r="D637" s="5" t="e">
        <f ca="1">IF(OR(INDEX($AI$2:$AI$1001,MATCH(ROWS($AH$2:AH637),$AH$2:$AH$1001,0),1)&gt;=100000,INDEX($AO$1005:$BQ$1005,1,MATCH(COLUMNS($AO$1006:AQ1006),$AO$1006:$BQ$1006,0))&gt;=100000), " ",IF(INDEX($AO$2:$BQ$1001,MATCH(ROWS($AH$2:AH637),$AH$2:$AH$1001,0),MATCH(COLUMNS($AO$1006:AQ1006),$AO$1006:$BQ$1006,0)), HYPERLINK("#",""), HYPERLINK(CONCATENATE("#Metadata!", ADDRESS(INDEX($AJ$2:$AJ$1001,MATCH(ROWS($AH$2:AH637),$AH$2:$AH$1001,0),0), INDEX($AO$1004:$BQ$1004,1,MATCH(COLUMNS($AO$1006:AQ1006),$AO$1006:$BQ$1006,0)))),"Fix")))</f>
        <v>#N/A</v>
      </c>
      <c r="E637" s="5" t="e">
        <f ca="1">IF(OR(INDEX($AI$2:$AI$1001,MATCH(ROWS($AH$2:AH637),$AH$2:$AH$1001,0),1)&gt;=100000,INDEX($AO$1005:$BQ$1005,1,MATCH(COLUMNS($AO$1006:AR1006),$AO$1006:$BQ$1006,0))&gt;=100000), " ",IF(INDEX($AO$2:$BQ$1001,MATCH(ROWS($AH$2:AH637),$AH$2:$AH$1001,0),MATCH(COLUMNS($AO$1006:AR1006),$AO$1006:$BQ$1006,0)), HYPERLINK("#",""), HYPERLINK(CONCATENATE("#Metadata!", ADDRESS(INDEX($AJ$2:$AJ$1001,MATCH(ROWS($AH$2:AH637),$AH$2:$AH$1001,0),0), INDEX($AO$1004:$BQ$1004,1,MATCH(COLUMNS($AO$1006:AR1006),$AO$1006:$BQ$1006,0)))),"Fix")))</f>
        <v>#N/A</v>
      </c>
      <c r="F637" s="5" t="e">
        <f ca="1">IF(OR(INDEX($AI$2:$AI$1001,MATCH(ROWS($AH$2:AH637),$AH$2:$AH$1001,0),1)&gt;=100000,INDEX($AO$1005:$BQ$1005,1,MATCH(COLUMNS($AO$1006:AS1006),$AO$1006:$BQ$1006,0))&gt;=100000), " ",IF(INDEX($AO$2:$BQ$1001,MATCH(ROWS($AH$2:AH637),$AH$2:$AH$1001,0),MATCH(COLUMNS($AO$1006:AS1006),$AO$1006:$BQ$1006,0)), HYPERLINK("#",""), HYPERLINK(CONCATENATE("#Metadata!", ADDRESS(INDEX($AJ$2:$AJ$1001,MATCH(ROWS($AH$2:AH637),$AH$2:$AH$1001,0),0), INDEX($AO$1004:$BQ$1004,1,MATCH(COLUMNS($AO$1006:AS1006),$AO$1006:$BQ$1006,0)))),"Fix")))</f>
        <v>#N/A</v>
      </c>
      <c r="G637" s="5" t="e">
        <f ca="1">IF(OR(INDEX($AI$2:$AI$1001,MATCH(ROWS($AH$2:AH637),$AH$2:$AH$1001,0),1)&gt;=100000,INDEX($AO$1005:$BQ$1005,1,MATCH(COLUMNS($AO$1006:AT1006),$AO$1006:$BQ$1006,0))&gt;=100000), " ",IF(INDEX($AO$2:$BQ$1001,MATCH(ROWS($AH$2:AH637),$AH$2:$AH$1001,0),MATCH(COLUMNS($AO$1006:AT1006),$AO$1006:$BQ$1006,0)), HYPERLINK("#",""), HYPERLINK(CONCATENATE("#Metadata!", ADDRESS(INDEX($AJ$2:$AJ$1001,MATCH(ROWS($AH$2:AH637),$AH$2:$AH$1001,0),0), INDEX($AO$1004:$BQ$1004,1,MATCH(COLUMNS($AO$1006:AT1006),$AO$1006:$BQ$1006,0)))),"Fix")))</f>
        <v>#N/A</v>
      </c>
      <c r="H637" s="5" t="e">
        <f ca="1">IF(OR(INDEX($AI$2:$AI$1001,MATCH(ROWS($AH$2:AH637),$AH$2:$AH$1001,0),1)&gt;=100000,INDEX($AO$1005:$BQ$1005,1,MATCH(COLUMNS($AO$1006:AU1006),$AO$1006:$BQ$1006,0))&gt;=100000), " ",IF(INDEX($AO$2:$BQ$1001,MATCH(ROWS($AH$2:AH637),$AH$2:$AH$1001,0),MATCH(COLUMNS($AO$1006:AU1006),$AO$1006:$BQ$1006,0)), HYPERLINK("#",""), HYPERLINK(CONCATENATE("#Metadata!", ADDRESS(INDEX($AJ$2:$AJ$1001,MATCH(ROWS($AH$2:AH637),$AH$2:$AH$1001,0),0), INDEX($AO$1004:$BQ$1004,1,MATCH(COLUMNS($AO$1006:AU1006),$AO$1006:$BQ$1006,0)))),"Fix")))</f>
        <v>#N/A</v>
      </c>
      <c r="I637" s="5" t="e">
        <f ca="1">IF(OR(INDEX($AI$2:$AI$1001,MATCH(ROWS($AH$2:AH637),$AH$2:$AH$1001,0),1)&gt;=100000,INDEX($AO$1005:$BQ$1005,1,MATCH(COLUMNS($AO$1006:AV1006),$AO$1006:$BQ$1006,0))&gt;=100000), " ",IF(INDEX($AO$2:$BQ$1001,MATCH(ROWS($AH$2:AH637),$AH$2:$AH$1001,0),MATCH(COLUMNS($AO$1006:AV1006),$AO$1006:$BQ$1006,0)), HYPERLINK("#",""), HYPERLINK(CONCATENATE("#Metadata!", ADDRESS(INDEX($AJ$2:$AJ$1001,MATCH(ROWS($AH$2:AH637),$AH$2:$AH$1001,0),0), INDEX($AO$1004:$BQ$1004,1,MATCH(COLUMNS($AO$1006:AV1006),$AO$1006:$BQ$1006,0)))),"Fix")))</f>
        <v>#N/A</v>
      </c>
      <c r="J637" s="5" t="e">
        <f ca="1">IF(OR(INDEX($AI$2:$AI$1001,MATCH(ROWS($AH$2:AH637),$AH$2:$AH$1001,0),1)&gt;=100000,INDEX($AO$1005:$BQ$1005,1,MATCH(COLUMNS($AO$1006:AW1006),$AO$1006:$BQ$1006,0))&gt;=100000), " ",IF(INDEX($AO$2:$BQ$1001,MATCH(ROWS($AH$2:AH637),$AH$2:$AH$1001,0),MATCH(COLUMNS($AO$1006:AW1006),$AO$1006:$BQ$1006,0)), HYPERLINK("#",""), HYPERLINK(CONCATENATE("#Metadata!", ADDRESS(INDEX($AJ$2:$AJ$1001,MATCH(ROWS($AH$2:AH637),$AH$2:$AH$1001,0),0), INDEX($AO$1004:$BQ$1004,1,MATCH(COLUMNS($AO$1006:AW1006),$AO$1006:$BQ$1006,0)))),"Fix")))</f>
        <v>#N/A</v>
      </c>
      <c r="K637" s="5" t="e">
        <f ca="1">IF(OR(INDEX($AI$2:$AI$1001,MATCH(ROWS($AH$2:AH637),$AH$2:$AH$1001,0),1)&gt;=100000,INDEX($AO$1005:$BQ$1005,1,MATCH(COLUMNS($AO$1006:AX1006),$AO$1006:$BQ$1006,0))&gt;=100000), " ",IF(INDEX($AO$2:$BQ$1001,MATCH(ROWS($AH$2:AH637),$AH$2:$AH$1001,0),MATCH(COLUMNS($AO$1006:AX1006),$AO$1006:$BQ$1006,0)), HYPERLINK("#",""), HYPERLINK(CONCATENATE("#Metadata!", ADDRESS(INDEX($AJ$2:$AJ$1001,MATCH(ROWS($AH$2:AH637),$AH$2:$AH$1001,0),0), INDEX($AO$1004:$BQ$1004,1,MATCH(COLUMNS($AO$1006:AX1006),$AO$1006:$BQ$1006,0)))),"Fix")))</f>
        <v>#N/A</v>
      </c>
      <c r="L637" s="5" t="e">
        <f ca="1">IF(OR(INDEX($AI$2:$AI$1001,MATCH(ROWS($AH$2:AH637),$AH$2:$AH$1001,0),1)&gt;=100000,INDEX($AO$1005:$BQ$1005,1,MATCH(COLUMNS($AO$1006:AY1006),$AO$1006:$BQ$1006,0))&gt;=100000), " ",IF(INDEX($AO$2:$BQ$1001,MATCH(ROWS($AH$2:AH637),$AH$2:$AH$1001,0),MATCH(COLUMNS($AO$1006:AY1006),$AO$1006:$BQ$1006,0)), HYPERLINK("#",""), HYPERLINK(CONCATENATE("#Metadata!", ADDRESS(INDEX($AJ$2:$AJ$1001,MATCH(ROWS($AH$2:AH637),$AH$2:$AH$1001,0),0), INDEX($AO$1004:$BQ$1004,1,MATCH(COLUMNS($AO$1006:AY1006),$AO$1006:$BQ$1006,0)))),"Fix")))</f>
        <v>#N/A</v>
      </c>
      <c r="M637" s="5" t="e">
        <f ca="1">IF(OR(INDEX($AI$2:$AI$1001,MATCH(ROWS($AH$2:AH637),$AH$2:$AH$1001,0),1)&gt;=100000,INDEX($AO$1005:$BQ$1005,1,MATCH(COLUMNS($AO$1006:AZ1006),$AO$1006:$BQ$1006,0))&gt;=100000), " ",IF(INDEX($AO$2:$BQ$1001,MATCH(ROWS($AH$2:AH637),$AH$2:$AH$1001,0),MATCH(COLUMNS($AO$1006:AZ1006),$AO$1006:$BQ$1006,0)), HYPERLINK("#",""), HYPERLINK(CONCATENATE("#Metadata!", ADDRESS(INDEX($AJ$2:$AJ$1001,MATCH(ROWS($AH$2:AH637),$AH$2:$AH$1001,0),0), INDEX($AO$1004:$BQ$1004,1,MATCH(COLUMNS($AO$1006:AZ1006),$AO$1006:$BQ$1006,0)))),"Fix")))</f>
        <v>#N/A</v>
      </c>
      <c r="N637" s="5" t="e">
        <f ca="1">IF(OR(INDEX($AI$2:$AI$1001,MATCH(ROWS($AH$2:AH637),$AH$2:$AH$1001,0),1)&gt;=100000,INDEX($AO$1005:$BQ$1005,1,MATCH(COLUMNS($AO$1006:BA1006),$AO$1006:$BQ$1006,0))&gt;=100000), " ",IF(INDEX($AO$2:$BQ$1001,MATCH(ROWS($AH$2:AH637),$AH$2:$AH$1001,0),MATCH(COLUMNS($AO$1006:BA1006),$AO$1006:$BQ$1006,0)), HYPERLINK("#",""), HYPERLINK(CONCATENATE("#Metadata!", ADDRESS(INDEX($AJ$2:$AJ$1001,MATCH(ROWS($AH$2:AH637),$AH$2:$AH$1001,0),0), INDEX($AO$1004:$BQ$1004,1,MATCH(COLUMNS($AO$1006:BA1006),$AO$1006:$BQ$1006,0)))),"Fix")))</f>
        <v>#N/A</v>
      </c>
      <c r="O637" s="5" t="e">
        <f ca="1">IF(OR(INDEX($AI$2:$AI$1001,MATCH(ROWS($AH$2:AH637),$AH$2:$AH$1001,0),1)&gt;=100000,INDEX($AO$1005:$BQ$1005,1,MATCH(COLUMNS($AO$1006:BB1006),$AO$1006:$BQ$1006,0))&gt;=100000), " ",IF(INDEX($AO$2:$BQ$1001,MATCH(ROWS($AH$2:AH637),$AH$2:$AH$1001,0),MATCH(COLUMNS($AO$1006:BB1006),$AO$1006:$BQ$1006,0)), HYPERLINK("#",""), HYPERLINK(CONCATENATE("#Metadata!", ADDRESS(INDEX($AJ$2:$AJ$1001,MATCH(ROWS($AH$2:AH637),$AH$2:$AH$1001,0),0), INDEX($AO$1004:$BQ$1004,1,MATCH(COLUMNS($AO$1006:BB1006),$AO$1006:$BQ$1006,0)))),"Fix")))</f>
        <v>#N/A</v>
      </c>
      <c r="P637" s="5" t="e">
        <f ca="1">IF(OR(INDEX($AI$2:$AI$1001,MATCH(ROWS($AH$2:AH637),$AH$2:$AH$1001,0),1)&gt;=100000,INDEX($AO$1005:$BQ$1005,1,MATCH(COLUMNS($AO$1006:BC1006),$AO$1006:$BQ$1006,0))&gt;=100000), " ",IF(INDEX($AO$2:$BQ$1001,MATCH(ROWS($AH$2:AH637),$AH$2:$AH$1001,0),MATCH(COLUMNS($AO$1006:BC1006),$AO$1006:$BQ$1006,0)), HYPERLINK("#",""), HYPERLINK(CONCATENATE("#Metadata!", ADDRESS(INDEX($AJ$2:$AJ$1001,MATCH(ROWS($AH$2:AH637),$AH$2:$AH$1001,0),0), INDEX($AO$1004:$BQ$1004,1,MATCH(COLUMNS($AO$1006:BC1006),$AO$1006:$BQ$1006,0)))),"Fix")))</f>
        <v>#N/A</v>
      </c>
      <c r="Q637" s="5" t="e">
        <f ca="1">IF(OR(INDEX($AI$2:$AI$1001,MATCH(ROWS($AH$2:AH637),$AH$2:$AH$1001,0),1)&gt;=100000,INDEX($AO$1005:$BQ$1005,1,MATCH(COLUMNS($AO$1006:BD1006),$AO$1006:$BQ$1006,0))&gt;=100000), " ",IF(INDEX($AO$2:$BQ$1001,MATCH(ROWS($AH$2:AH637),$AH$2:$AH$1001,0),MATCH(COLUMNS($AO$1006:BD1006),$AO$1006:$BQ$1006,0)), HYPERLINK("#",""), HYPERLINK(CONCATENATE("#Metadata!", ADDRESS(INDEX($AJ$2:$AJ$1001,MATCH(ROWS($AH$2:AH637),$AH$2:$AH$1001,0),0), INDEX($AO$1004:$BQ$1004,1,MATCH(COLUMNS($AO$1006:BD1006),$AO$1006:$BQ$1006,0)))),"Fix")))</f>
        <v>#N/A</v>
      </c>
      <c r="R637" s="5" t="e">
        <f ca="1">IF(OR(INDEX($AI$2:$AI$1001,MATCH(ROWS($AH$2:AH637),$AH$2:$AH$1001,0),1)&gt;=100000,INDEX($AO$1005:$BQ$1005,1,MATCH(COLUMNS($AO$1006:BE1006),$AO$1006:$BQ$1006,0))&gt;=100000), " ",IF(INDEX($AO$2:$BQ$1001,MATCH(ROWS($AH$2:AH637),$AH$2:$AH$1001,0),MATCH(COLUMNS($AO$1006:BE1006),$AO$1006:$BQ$1006,0)), HYPERLINK("#",""), HYPERLINK(CONCATENATE("#Metadata!", ADDRESS(INDEX($AJ$2:$AJ$1001,MATCH(ROWS($AH$2:AH637),$AH$2:$AH$1001,0),0), INDEX($AO$1004:$BQ$1004,1,MATCH(COLUMNS($AO$1006:BE1006),$AO$1006:$BQ$1006,0)))),"Fix")))</f>
        <v>#N/A</v>
      </c>
      <c r="S637" s="5" t="e">
        <f ca="1">IF(OR(INDEX($AI$2:$AI$1001,MATCH(ROWS($AH$2:AH637),$AH$2:$AH$1001,0),1)&gt;=100000,INDEX($AO$1005:$BQ$1005,1,MATCH(COLUMNS($AO$1006:BF1006),$AO$1006:$BQ$1006,0))&gt;=100000), " ",IF(INDEX($AO$2:$BQ$1001,MATCH(ROWS($AH$2:AH637),$AH$2:$AH$1001,0),MATCH(COLUMNS($AO$1006:BF1006),$AO$1006:$BQ$1006,0)), HYPERLINK("#",""), HYPERLINK(CONCATENATE("#Metadata!", ADDRESS(INDEX($AJ$2:$AJ$1001,MATCH(ROWS($AH$2:AH637),$AH$2:$AH$1001,0),0), INDEX($AO$1004:$BQ$1004,1,MATCH(COLUMNS($AO$1006:BF1006),$AO$1006:$BQ$1006,0)))),"Fix")))</f>
        <v>#N/A</v>
      </c>
      <c r="T637" s="5" t="e">
        <f ca="1">IF(OR(INDEX($AI$2:$AI$1001,MATCH(ROWS($AH$2:AH637),$AH$2:$AH$1001,0),1)&gt;=100000,INDEX($AO$1005:$BQ$1005,1,MATCH(COLUMNS($AO$1006:BG1006),$AO$1006:$BQ$1006,0))&gt;=100000), " ",IF(INDEX($AO$2:$BQ$1001,MATCH(ROWS($AH$2:AH637),$AH$2:$AH$1001,0),MATCH(COLUMNS($AO$1006:BG1006),$AO$1006:$BQ$1006,0)), HYPERLINK("#",""), HYPERLINK(CONCATENATE("#Metadata!", ADDRESS(INDEX($AJ$2:$AJ$1001,MATCH(ROWS($AH$2:AH637),$AH$2:$AH$1001,0),0), INDEX($AO$1004:$BQ$1004,1,MATCH(COLUMNS($AO$1006:BG1006),$AO$1006:$BQ$1006,0)))),"Fix")))</f>
        <v>#N/A</v>
      </c>
      <c r="U637" s="5" t="e">
        <f ca="1">IF(OR(INDEX($AI$2:$AI$1001,MATCH(ROWS($AH$2:AH637),$AH$2:$AH$1001,0),1)&gt;=100000,INDEX($AO$1005:$BQ$1005,1,MATCH(COLUMNS($AO$1006:BH1006),$AO$1006:$BQ$1006,0))&gt;=100000), " ",IF(INDEX($AO$2:$BQ$1001,MATCH(ROWS($AH$2:AH637),$AH$2:$AH$1001,0),MATCH(COLUMNS($AO$1006:BH1006),$AO$1006:$BQ$1006,0)), HYPERLINK("#",""), HYPERLINK(CONCATENATE("#Metadata!", ADDRESS(INDEX($AJ$2:$AJ$1001,MATCH(ROWS($AH$2:AH637),$AH$2:$AH$1001,0),0), INDEX($AO$1004:$BQ$1004,1,MATCH(COLUMNS($AO$1006:BH1006),$AO$1006:$BQ$1006,0)))),"Fix")))</f>
        <v>#N/A</v>
      </c>
      <c r="V637" s="5" t="e">
        <f ca="1">IF(OR(INDEX($AI$2:$AI$1001,MATCH(ROWS($AH$2:AH637),$AH$2:$AH$1001,0),1)&gt;=100000,INDEX($AO$1005:$BQ$1005,1,MATCH(COLUMNS($AO$1006:BI1006),$AO$1006:$BQ$1006,0))&gt;=100000), " ",IF(INDEX($AO$2:$BQ$1001,MATCH(ROWS($AH$2:AH637),$AH$2:$AH$1001,0),MATCH(COLUMNS($AO$1006:BI1006),$AO$1006:$BQ$1006,0)), HYPERLINK("#",""), HYPERLINK(CONCATENATE("#Metadata!", ADDRESS(INDEX($AJ$2:$AJ$1001,MATCH(ROWS($AH$2:AH637),$AH$2:$AH$1001,0),0), INDEX($AO$1004:$BQ$1004,1,MATCH(COLUMNS($AO$1006:BI1006),$AO$1006:$BQ$1006,0)))),"Fix")))</f>
        <v>#N/A</v>
      </c>
      <c r="W637" s="5" t="e">
        <f ca="1">IF(OR(INDEX($AI$2:$AI$1001,MATCH(ROWS($AH$2:AH637),$AH$2:$AH$1001,0),1)&gt;=100000,INDEX($AO$1005:$BQ$1005,1,MATCH(COLUMNS($AO$1006:BJ1006),$AO$1006:$BQ$1006,0))&gt;=100000), " ",IF(INDEX($AO$2:$BQ$1001,MATCH(ROWS($AH$2:AH637),$AH$2:$AH$1001,0),MATCH(COLUMNS($AO$1006:BJ1006),$AO$1006:$BQ$1006,0)), HYPERLINK("#",""), HYPERLINK(CONCATENATE("#Metadata!", ADDRESS(INDEX($AJ$2:$AJ$1001,MATCH(ROWS($AH$2:AH637),$AH$2:$AH$1001,0),0), INDEX($AO$1004:$BQ$1004,1,MATCH(COLUMNS($AO$1006:BJ1006),$AO$1006:$BQ$1006,0)))),"Fix")))</f>
        <v>#N/A</v>
      </c>
      <c r="X637" s="5" t="e">
        <f ca="1">IF(OR(INDEX($AI$2:$AI$1001,MATCH(ROWS($AH$2:AH637),$AH$2:$AH$1001,0),1)&gt;=100000,INDEX($AO$1005:$BQ$1005,1,MATCH(COLUMNS($AO$1006:BK1006),$AO$1006:$BQ$1006,0))&gt;=100000), " ",IF(INDEX($AO$2:$BQ$1001,MATCH(ROWS($AH$2:AH637),$AH$2:$AH$1001,0),MATCH(COLUMNS($AO$1006:BK1006),$AO$1006:$BQ$1006,0)), HYPERLINK("#",""), HYPERLINK(CONCATENATE("#Metadata!", ADDRESS(INDEX($AJ$2:$AJ$1001,MATCH(ROWS($AH$2:AH637),$AH$2:$AH$1001,0),0), INDEX($AO$1004:$BQ$1004,1,MATCH(COLUMNS($AO$1006:BK1006),$AO$1006:$BQ$1006,0)))),"Fix")))</f>
        <v>#N/A</v>
      </c>
      <c r="Y637" s="5" t="e">
        <f ca="1">IF(OR(INDEX($AI$2:$AI$1001,MATCH(ROWS($AH$2:AH637),$AH$2:$AH$1001,0),1)&gt;=100000,INDEX($AO$1005:$BQ$1005,1,MATCH(COLUMNS($AO$1006:BL1006),$AO$1006:$BQ$1006,0))&gt;=100000), " ",IF(INDEX($AO$2:$BQ$1001,MATCH(ROWS($AH$2:AH637),$AH$2:$AH$1001,0),MATCH(COLUMNS($AO$1006:BL1006),$AO$1006:$BQ$1006,0)), HYPERLINK("#",""), HYPERLINK(CONCATENATE("#Metadata!", ADDRESS(INDEX($AJ$2:$AJ$1001,MATCH(ROWS($AH$2:AH637),$AH$2:$AH$1001,0),0), INDEX($AO$1004:$BQ$1004,1,MATCH(COLUMNS($AO$1006:BL1006),$AO$1006:$BQ$1006,0)))),"Fix")))</f>
        <v>#N/A</v>
      </c>
      <c r="Z637" s="5" t="e">
        <f ca="1">IF(OR(INDEX($AI$2:$AI$1001,MATCH(ROWS($AH$2:AH637),$AH$2:$AH$1001,0),1)&gt;=100000,INDEX($AO$1005:$BQ$1005,1,MATCH(COLUMNS($AO$1006:BM1006),$AO$1006:$BQ$1006,0))&gt;=100000), " ",IF(INDEX($AO$2:$BQ$1001,MATCH(ROWS($AH$2:AH637),$AH$2:$AH$1001,0),MATCH(COLUMNS($AO$1006:BM1006),$AO$1006:$BQ$1006,0)), HYPERLINK("#",""), HYPERLINK(CONCATENATE("#Metadata!", ADDRESS(INDEX($AJ$2:$AJ$1001,MATCH(ROWS($AH$2:AH637),$AH$2:$AH$1001,0),0), INDEX($AO$1004:$BQ$1004,1,MATCH(COLUMNS($AO$1006:BM1006),$AO$1006:$BQ$1006,0)))),"Fix")))</f>
        <v>#N/A</v>
      </c>
      <c r="AA637" s="5" t="e">
        <f ca="1">IF(OR(INDEX($AI$2:$AI$1001,MATCH(ROWS($AH$2:AH637),$AH$2:$AH$1001,0),1)&gt;=100000,INDEX($AO$1005:$BQ$1005,1,MATCH(COLUMNS($AO$1006:BN1006),$AO$1006:$BQ$1006,0))&gt;=100000), " ",IF(INDEX($AO$2:$BQ$1001,MATCH(ROWS($AH$2:AH637),$AH$2:$AH$1001,0),MATCH(COLUMNS($AO$1006:BN1006),$AO$1006:$BQ$1006,0)), HYPERLINK("#",""), HYPERLINK(CONCATENATE("#Metadata!", ADDRESS(INDEX($AJ$2:$AJ$1001,MATCH(ROWS($AH$2:AH637),$AH$2:$AH$1001,0),0), INDEX($AO$1004:$BQ$1004,1,MATCH(COLUMNS($AO$1006:BN1006),$AO$1006:$BQ$1006,0)))),"Fix")))</f>
        <v>#N/A</v>
      </c>
      <c r="AB637" s="5" t="e">
        <f ca="1">IF(OR(INDEX($AI$2:$AI$1001,MATCH(ROWS($AH$2:AH637),$AH$2:$AH$1001,0),1)&gt;=100000,INDEX($AO$1005:$BQ$1005,1,MATCH(COLUMNS($AO$1006:BO1006),$AO$1006:$BQ$1006,0))&gt;=100000), " ",IF(INDEX($AO$2:$BQ$1001,MATCH(ROWS($AH$2:AH637),$AH$2:$AH$1001,0),MATCH(COLUMNS($AO$1006:BO1006),$AO$1006:$BQ$1006,0)), HYPERLINK("#",""), HYPERLINK(CONCATENATE("#Metadata!", ADDRESS(INDEX($AJ$2:$AJ$1001,MATCH(ROWS($AH$2:AH637),$AH$2:$AH$1001,0),0), INDEX($AO$1004:$BQ$1004,1,MATCH(COLUMNS($AO$1006:BO1006),$AO$1006:$BQ$1006,0)))),"Fix")))</f>
        <v>#N/A</v>
      </c>
      <c r="AC637" s="5" t="e">
        <f ca="1">IF(OR(INDEX($AI$2:$AI$1001,MATCH(ROWS($AH$2:AH637),$AH$2:$AH$1001,0),1)&gt;=100000,INDEX($AO$1005:$BQ$1005,1,MATCH(COLUMNS($AO$1006:BP1006),$AO$1006:$BQ$1006,0))&gt;=100000), " ",IF(INDEX($AO$2:$BQ$1001,MATCH(ROWS($AH$2:AH637),$AH$2:$AH$1001,0),MATCH(COLUMNS($AO$1006:BP1006),$AO$1006:$BQ$1006,0)), HYPERLINK("#",""), HYPERLINK(CONCATENATE("#Metadata!", ADDRESS(INDEX($AJ$2:$AJ$1001,MATCH(ROWS($AH$2:AH637),$AH$2:$AH$1001,0),0), INDEX($AO$1004:$BQ$1004,1,MATCH(COLUMNS($AO$1006:BP1006),$AO$1006:$BQ$1006,0)))),"Fix")))</f>
        <v>#N/A</v>
      </c>
      <c r="AD637" s="5" t="e">
        <f ca="1">IF(OR(INDEX($AI$2:$AI$1001,MATCH(ROWS($AH$2:AH637),$AH$2:$AH$1001,0),1)&gt;=100000,INDEX($AO$1005:$BQ$1005,1,MATCH(COLUMNS($AO$1006:BQ1006),$AO$1006:$BQ$1006,0))&gt;=100000), " ",IF(INDEX($AO$2:$BQ$1001,MATCH(ROWS($AH$2:AH637),$AH$2:$AH$1001,0),MATCH(COLUMNS($AO$1006:BQ1006),$AO$1006:$BQ$1006,0)), HYPERLINK("#",""), HYPERLINK(CONCATENATE("#Metadata!", ADDRESS(INDEX($AJ$2:$AJ$1001,MATCH(ROWS($AH$2:AH637),$AH$2:$AH$1001,0),0), INDEX($AO$1004:$BQ$1004,1,MATCH(COLUMNS($AO$1006:BQ1006),$AO$1006:$BQ$1006,0)))),"Fix")))</f>
        <v>#REF!</v>
      </c>
      <c r="AH637">
        <f ca="1"/>
        <v>634</v>
      </c>
      <c r="AI637">
        <v>100637</v>
      </c>
      <c r="AJ637">
        <v>637</v>
      </c>
      <c r="AK637" t="b">
        <f t="shared" si="9"/>
        <v>1</v>
      </c>
      <c r="AL637" t="b">
        <f>COUNTBLANK(Metadata!B637:AD637)=COLUMNS(Metadata!B637:AD637)</f>
        <v>1</v>
      </c>
      <c r="AM637" t="str">
        <v/>
      </c>
      <c r="AO637" t="b">
        <f ca="1">AND(IF(Metadata!B637="",FALSE,TRUE),COUNTIF(Metadata!B:B, Metadata!B637) = 1,NOT(ISERROR(SUMPRODUCT(SEARCH(MID(Metadata!B637,ROW(INDIRECT("1:"&amp;LEN(Metadata!B637))), 1),"0123456789abcdefghijklmnopqrstuvwxyzABCDEFGHIJKLMNOPQRSTUVWXYZ.")))))</f>
        <v>0</v>
      </c>
      <c r="AP637" t="b">
        <f>IF(Metadata!C637="",FALSE,TRUE)</f>
        <v>0</v>
      </c>
      <c r="AQ637" t="b">
        <f>IF(Metadata!D637="",FALSE,TRUE)</f>
        <v>0</v>
      </c>
      <c r="AR637" t="b">
        <f ca="1">OR(AND(IF(Metadata!E637="",FALSE,TRUE),OR(EXACT(Metadata!E637,"not collected"),EXACT(Metadata!E637,"not provided"),EXACT(Metadata!E637,"restricted access"))),AND(IF(Metadata!E637="",FALSE,TRUE),AND(AND(IFERROR(INT(LEFT(Metadata!E637,4))&gt;1900,FALSE),IFERROR(INT(LEFT(Metadata!E637,4))&lt;=YEAR(NOW()),FALSE)), OR(MID(Metadata!E637,5,1)="", AND(AND(MID(Metadata!E637,5,1)="-",IFERROR(INT(MID(Metadata!E637,6,1))&gt;=0,FALSE),IFERROR(INT(MID(Metadata!E637,6,1))&lt;=1,FALSE),NOT(MID(Metadata!E637,7,1)=""),IFERROR(INT(MID(Metadata!E637,6,2))&gt;=1,FALSE),IFERROR(INT(MID(Metadata!E637,6,2))&lt;=12,FALSE)), OR(MID(Metadata!E637,8,1)="", AND(AND(MID(Metadata!E637,8,1)="-",IFERROR(INT(MID(Metadata!E637,9,1))&gt;=0,FALSE),IFERROR(INT(MID(Metadata!E637,9,1))&lt;=3,FALSE),NOT(MID(Metadata!E637,10,1)=""),IFERROR(INT(MID(Metadata!E637,9,2))&gt;=1,FALSE),IFERROR(INT(MID(Metadata!E637,9,2))&lt;=31,FALSE)), OR(MID(Metadata!E637,11,1)="", AND(AND(MID(Metadata!E637,11,1)=" ",IFERROR(INT(MID(Metadata!E637,12,1))&gt;=0,FALSE),IFERROR(INT(MID(Metadata!E637,12,1))&lt;=2,FALSE),NOT(MID(Metadata!E637,13,1)=""),IFERROR(INT(MID(Metadata!E637,12,2))&gt;=0,FALSE),IFERROR(INT(MID(Metadata!E637,12,2))&lt;=23,FALSE)), OR(MID(Metadata!E637,14,1)="", AND(AND(MID(Metadata!E637,14,1)=":",IFERROR(INT(MID(Metadata!E637,15,1))&gt;=0,FALSE),IFERROR(INT(MID(Metadata!E637,15,1))&lt;=5,FALSE),NOT(MID(Metadata!E637,16,1)=""),IFERROR(INT(MID(Metadata!E637,15,2))&gt;=0,FALSE),IFERROR(INT(MID(Metadata!E637,15,2))&lt;=59,FALSE)), OR(MID(Metadata!E637,17,1)="", AND(AND(MID(Metadata!E637,17,1)=":",IFERROR(INT(MID(Metadata!E637,18,1))&gt;=0,FALSE),IFERROR(INT(MID(Metadata!E637,18,1))&lt;=5,FALSE),NOT(MID(Metadata!E637,19,1)=""),IFERROR(INT(MID(Metadata!E637,18,2))&gt;=0,FALSE),IFERROR(INT(MID(Metadata!E637,18,2))&lt;=59,FALSE)), LEN(Metadata!E637)&lt;=19)))))))))))))</f>
        <v>0</v>
      </c>
      <c r="AS637" t="b">
        <f>IF(Metadata!F637="",FALSE,TRUE)</f>
        <v>0</v>
      </c>
      <c r="AT637" t="b">
        <f>OR(AND(IF(Metadata!G637="",FALSE,TRUE),OR(EXACT(Metadata!G637,"not collected"),EXACT(Metadata!G637,"not provided"))),AND(IF(Metadata!G637="",FALSE,TRUE),OR(EXACT(Metadata!G637,"TRUE"),EXACT(Metadata!G637,"FALSE"))))</f>
        <v>0</v>
      </c>
      <c r="AU637" t="b">
        <f>OR(AND(IF(Metadata!H637="",FALSE,TRUE),OR(EXACT(Metadata!H637,"not collected"),EXACT(Metadata!H637,"not provided"),EXACT(Metadata!H637,"restricted access"))),AND(IF(Metadata!H637="",FALSE,ISNUMBER(VALUE(Metadata!H637))),Metadata!H637&gt;=-413))</f>
        <v>0</v>
      </c>
      <c r="AV637" t="b">
        <f>AND(IF(Metadata!I637="",FALSE,TRUE),EXACT(Metadata!I637,"meters"))</f>
        <v>0</v>
      </c>
      <c r="AW637" t="b">
        <f>AND(IF(Metadata!J637="",FALSE,TRUE),EXACT(Metadata!J637,"free-living"))</f>
        <v>0</v>
      </c>
      <c r="AX637" t="b">
        <f>AND(IF(Metadata!K637="",FALSE,TRUE),OR(EXACT(Metadata!K637,"saline"),EXACT(Metadata!K637,"non-saline")))</f>
        <v>0</v>
      </c>
      <c r="AY637" t="b">
        <f>AND(IF(Metadata!L637="",FALSE,TRUE),OR(EXACT(Metadata!L637,"sub-surface (non-saline)"),EXACT(Metadata!L637,"surface (non-saline)"),EXACT(Metadata!L637,"water (non-saline)"),EXACT(Metadata!L637,"soil (non-saline)"),EXACT(Metadata!L637,"aerosol (non-saline)"),EXACT(Metadata!L637,"sediment (non-saline)"),EXACT(Metadata!L637,"surface (saline)"),EXACT(Metadata!L637,"water (saline)"),EXACT(Metadata!L637,"hypersaline (saline)"),EXACT(Metadata!L637,"aerosol (saline)"),EXACT(Metadata!L637,"sediment (saline)")))</f>
        <v>0</v>
      </c>
      <c r="AZ637" t="b">
        <f>IF(Metadata!M637="",FALSE,TRUE)</f>
        <v>0</v>
      </c>
      <c r="BA637" t="b">
        <f>IF(Metadata!N637="",FALSE,TRUE)</f>
        <v>0</v>
      </c>
      <c r="BB637" t="b">
        <f>IF(Metadata!O637="",FALSE,TRUE)</f>
        <v>0</v>
      </c>
      <c r="BC637" t="b">
        <f>AND(IF(Metadata!P637="",FALSE,TRUE),OR(EXACT(Metadata!P637,"air"),EXACT(Metadata!P637,"microbial mat/biofilm"),EXACT(Metadata!P637,"misc environment"),EXACT(Metadata!P637,"sediment"),EXACT(Metadata!P637,"soil"),EXACT(Metadata!P637,"wastewater/sludge"),EXACT(Metadata!P637,"water")))</f>
        <v>0</v>
      </c>
      <c r="BD637" t="b">
        <f>IF(Metadata!Q637="",FALSE,TRUE)</f>
        <v>0</v>
      </c>
      <c r="BE637" t="b">
        <f>IF(Metadata!R637="",FALSE,TRUE)</f>
        <v>0</v>
      </c>
      <c r="BF637" t="b">
        <f>OR(AND(IF(Metadata!S637="",FALSE,TRUE),OR(EXACT(Metadata!S637,"not collected"),EXACT(Metadata!S637,"not provided"),EXACT(Metadata!S637,"restricted access"))),AND(IF(Metadata!S637="",FALSE,ISNUMBER(VALUE(Metadata!S637))),Metadata!S637&gt;=-90,Metadata!S637&lt;=90))</f>
        <v>0</v>
      </c>
      <c r="BG637" t="b">
        <f>AND(IF(Metadata!T637="",FALSE,TRUE),EXACT(Metadata!T637,"Decimal degrees"))</f>
        <v>0</v>
      </c>
      <c r="BH637" t="b">
        <f>OR(AND(IF(Metadata!U637="",FALSE,TRUE),OR(EXACT(Metadata!U637,"not applicable"),EXACT(Metadata!U637,"not collected"))),IF(Metadata!U637="",FALSE,TRUE))</f>
        <v>0</v>
      </c>
      <c r="BI637" t="b">
        <f>OR(AND(IF(Metadata!V637="",FALSE,TRUE),OR(EXACT(Metadata!V637,"not collected"),EXACT(Metadata!V637,"not provided"),EXACT(Metadata!V637,"restricted access"))),AND(IF(Metadata!V637="",FALSE,ISNUMBER(VALUE(Metadata!V637))),Metadata!V637&gt;=-180,Metadata!V637&lt;=180))</f>
        <v>0</v>
      </c>
      <c r="BJ637" t="b">
        <f>AND(IF(Metadata!W637="",FALSE,TRUE),EXACT(Metadata!W637,"Decimal degrees"))</f>
        <v>0</v>
      </c>
      <c r="BK637" t="b">
        <f>IF(Metadata!X637="",FALSE,TRUE)</f>
        <v>0</v>
      </c>
      <c r="BL637" t="b">
        <f>OR(AND(IF(Metadata!Y637="",FALSE,TRUE),OR(EXACT(Metadata!Y637,"not collected"),EXACT(Metadata!Y637,"not provided"),EXACT(Metadata!Y637,"restricted access"))),AND(IF(Metadata!Y637="",FALSE,TRUE),OR(EXACT(Metadata!Y637,"TRUE"),EXACT(Metadata!Y637,"FALSE"))))</f>
        <v>0</v>
      </c>
      <c r="BM637" t="b">
        <f>OR(AND(IF(Metadata!Z637="",FALSE,TRUE),EXACT(Metadata!Z637,"not applicable")),AND(IF(Metadata!Z637="",FALSE,TRUE),OR(EXACT(Metadata!Z637,"beer"),EXACT(Metadata!Z637,"cheese"),EXACT(Metadata!Z637,"fresh water"),EXACT(Metadata!Z637,"marine sediment"),EXACT(Metadata!Z637,"sea water"),EXACT(Metadata!Z637,"sediment"),EXACT(Metadata!Z637,"soil"),EXACT(Metadata!Z637,"waste water"))))</f>
        <v>0</v>
      </c>
      <c r="BN637" t="b">
        <f>AND(IF(Metadata!AA637="",FALSE,TRUE),EXACT(Metadata!AA637,"metagenome"))</f>
        <v>0</v>
      </c>
      <c r="BO637" t="b">
        <f>AND(IF(Metadata!AB637="",FALSE,TRUE),EXACT(Metadata!AB637,"256318"))</f>
        <v>0</v>
      </c>
      <c r="BP637" t="b">
        <f>IF(Metadata!AC637="",FALSE,TRUE)</f>
        <v>0</v>
      </c>
      <c r="BQ637" t="b">
        <f>IF(Metadata!AD637="",FALSE,TRUE)</f>
        <v>0</v>
      </c>
    </row>
    <row r="638" spans="1:69" x14ac:dyDescent="0.2">
      <c r="A638" s="4" t="e">
        <f ca="1">IF(B638=" "," ",HYPERLINK(CONCATENATE("#metadata!",ADDRESS(INDEX($AJ$2:$AJ$1001,MATCH(ROWS($AH$2:AH638),$AH$2:$AH$1001,0),0),2)),INDEX($AM$2:$AM$1001,MATCH(ROWS($AH$2:AH638),$AH$2:$AH$1001,0),0)))</f>
        <v>#N/A</v>
      </c>
      <c r="B638" s="5" t="e">
        <f ca="1">IF(OR(INDEX($AI$2:$AI$1001,MATCH(ROWS($AH$2:AH638),$AH$2:$AH$1001,0),1)&gt;=100000,INDEX($AO$1005:$BQ$1005,1,MATCH(COLUMNS($AO$1006:AO1006),$AO$1006:$BQ$1006,0))&gt;=100000), " ",IF(INDEX($AO$2:$BQ$1001,MATCH(ROWS($AH$2:AH638),$AH$2:$AH$1001,0),MATCH(COLUMNS($AO$1006:AO1006),$AO$1006:$BQ$1006,0)), HYPERLINK("#",""), HYPERLINK(CONCATENATE("#Metadata!", ADDRESS(INDEX($AJ$2:$AJ$1001,MATCH(ROWS($AH$2:AH638),$AH$2:$AH$1001,0),0), INDEX($AO$1004:$BQ$1004,1,MATCH(COLUMNS($AO$1006:AO1006),$AO$1006:$BQ$1006,0)))),"Fix")))</f>
        <v>#N/A</v>
      </c>
      <c r="C638" s="5" t="e">
        <f ca="1">IF(OR(INDEX($AI$2:$AI$1001,MATCH(ROWS($AH$2:AH638),$AH$2:$AH$1001,0),1)&gt;=100000,INDEX($AO$1005:$BQ$1005,1,MATCH(COLUMNS($AO$1006:AP1006),$AO$1006:$BQ$1006,0))&gt;=100000), " ",IF(INDEX($AO$2:$BQ$1001,MATCH(ROWS($AH$2:AH638),$AH$2:$AH$1001,0),MATCH(COLUMNS($AO$1006:AP1006),$AO$1006:$BQ$1006,0)), HYPERLINK("#",""), HYPERLINK(CONCATENATE("#Metadata!", ADDRESS(INDEX($AJ$2:$AJ$1001,MATCH(ROWS($AH$2:AH638),$AH$2:$AH$1001,0),0), INDEX($AO$1004:$BQ$1004,1,MATCH(COLUMNS($AO$1006:AP1006),$AO$1006:$BQ$1006,0)))),"Fix")))</f>
        <v>#N/A</v>
      </c>
      <c r="D638" s="5" t="e">
        <f ca="1">IF(OR(INDEX($AI$2:$AI$1001,MATCH(ROWS($AH$2:AH638),$AH$2:$AH$1001,0),1)&gt;=100000,INDEX($AO$1005:$BQ$1005,1,MATCH(COLUMNS($AO$1006:AQ1006),$AO$1006:$BQ$1006,0))&gt;=100000), " ",IF(INDEX($AO$2:$BQ$1001,MATCH(ROWS($AH$2:AH638),$AH$2:$AH$1001,0),MATCH(COLUMNS($AO$1006:AQ1006),$AO$1006:$BQ$1006,0)), HYPERLINK("#",""), HYPERLINK(CONCATENATE("#Metadata!", ADDRESS(INDEX($AJ$2:$AJ$1001,MATCH(ROWS($AH$2:AH638),$AH$2:$AH$1001,0),0), INDEX($AO$1004:$BQ$1004,1,MATCH(COLUMNS($AO$1006:AQ1006),$AO$1006:$BQ$1006,0)))),"Fix")))</f>
        <v>#N/A</v>
      </c>
      <c r="E638" s="5" t="e">
        <f ca="1">IF(OR(INDEX($AI$2:$AI$1001,MATCH(ROWS($AH$2:AH638),$AH$2:$AH$1001,0),1)&gt;=100000,INDEX($AO$1005:$BQ$1005,1,MATCH(COLUMNS($AO$1006:AR1006),$AO$1006:$BQ$1006,0))&gt;=100000), " ",IF(INDEX($AO$2:$BQ$1001,MATCH(ROWS($AH$2:AH638),$AH$2:$AH$1001,0),MATCH(COLUMNS($AO$1006:AR1006),$AO$1006:$BQ$1006,0)), HYPERLINK("#",""), HYPERLINK(CONCATENATE("#Metadata!", ADDRESS(INDEX($AJ$2:$AJ$1001,MATCH(ROWS($AH$2:AH638),$AH$2:$AH$1001,0),0), INDEX($AO$1004:$BQ$1004,1,MATCH(COLUMNS($AO$1006:AR1006),$AO$1006:$BQ$1006,0)))),"Fix")))</f>
        <v>#N/A</v>
      </c>
      <c r="F638" s="5" t="e">
        <f ca="1">IF(OR(INDEX($AI$2:$AI$1001,MATCH(ROWS($AH$2:AH638),$AH$2:$AH$1001,0),1)&gt;=100000,INDEX($AO$1005:$BQ$1005,1,MATCH(COLUMNS($AO$1006:AS1006),$AO$1006:$BQ$1006,0))&gt;=100000), " ",IF(INDEX($AO$2:$BQ$1001,MATCH(ROWS($AH$2:AH638),$AH$2:$AH$1001,0),MATCH(COLUMNS($AO$1006:AS1006),$AO$1006:$BQ$1006,0)), HYPERLINK("#",""), HYPERLINK(CONCATENATE("#Metadata!", ADDRESS(INDEX($AJ$2:$AJ$1001,MATCH(ROWS($AH$2:AH638),$AH$2:$AH$1001,0),0), INDEX($AO$1004:$BQ$1004,1,MATCH(COLUMNS($AO$1006:AS1006),$AO$1006:$BQ$1006,0)))),"Fix")))</f>
        <v>#N/A</v>
      </c>
      <c r="G638" s="5" t="e">
        <f ca="1">IF(OR(INDEX($AI$2:$AI$1001,MATCH(ROWS($AH$2:AH638),$AH$2:$AH$1001,0),1)&gt;=100000,INDEX($AO$1005:$BQ$1005,1,MATCH(COLUMNS($AO$1006:AT1006),$AO$1006:$BQ$1006,0))&gt;=100000), " ",IF(INDEX($AO$2:$BQ$1001,MATCH(ROWS($AH$2:AH638),$AH$2:$AH$1001,0),MATCH(COLUMNS($AO$1006:AT1006),$AO$1006:$BQ$1006,0)), HYPERLINK("#",""), HYPERLINK(CONCATENATE("#Metadata!", ADDRESS(INDEX($AJ$2:$AJ$1001,MATCH(ROWS($AH$2:AH638),$AH$2:$AH$1001,0),0), INDEX($AO$1004:$BQ$1004,1,MATCH(COLUMNS($AO$1006:AT1006),$AO$1006:$BQ$1006,0)))),"Fix")))</f>
        <v>#N/A</v>
      </c>
      <c r="H638" s="5" t="e">
        <f ca="1">IF(OR(INDEX($AI$2:$AI$1001,MATCH(ROWS($AH$2:AH638),$AH$2:$AH$1001,0),1)&gt;=100000,INDEX($AO$1005:$BQ$1005,1,MATCH(COLUMNS($AO$1006:AU1006),$AO$1006:$BQ$1006,0))&gt;=100000), " ",IF(INDEX($AO$2:$BQ$1001,MATCH(ROWS($AH$2:AH638),$AH$2:$AH$1001,0),MATCH(COLUMNS($AO$1006:AU1006),$AO$1006:$BQ$1006,0)), HYPERLINK("#",""), HYPERLINK(CONCATENATE("#Metadata!", ADDRESS(INDEX($AJ$2:$AJ$1001,MATCH(ROWS($AH$2:AH638),$AH$2:$AH$1001,0),0), INDEX($AO$1004:$BQ$1004,1,MATCH(COLUMNS($AO$1006:AU1006),$AO$1006:$BQ$1006,0)))),"Fix")))</f>
        <v>#N/A</v>
      </c>
      <c r="I638" s="5" t="e">
        <f ca="1">IF(OR(INDEX($AI$2:$AI$1001,MATCH(ROWS($AH$2:AH638),$AH$2:$AH$1001,0),1)&gt;=100000,INDEX($AO$1005:$BQ$1005,1,MATCH(COLUMNS($AO$1006:AV1006),$AO$1006:$BQ$1006,0))&gt;=100000), " ",IF(INDEX($AO$2:$BQ$1001,MATCH(ROWS($AH$2:AH638),$AH$2:$AH$1001,0),MATCH(COLUMNS($AO$1006:AV1006),$AO$1006:$BQ$1006,0)), HYPERLINK("#",""), HYPERLINK(CONCATENATE("#Metadata!", ADDRESS(INDEX($AJ$2:$AJ$1001,MATCH(ROWS($AH$2:AH638),$AH$2:$AH$1001,0),0), INDEX($AO$1004:$BQ$1004,1,MATCH(COLUMNS($AO$1006:AV1006),$AO$1006:$BQ$1006,0)))),"Fix")))</f>
        <v>#N/A</v>
      </c>
      <c r="J638" s="5" t="e">
        <f ca="1">IF(OR(INDEX($AI$2:$AI$1001,MATCH(ROWS($AH$2:AH638),$AH$2:$AH$1001,0),1)&gt;=100000,INDEX($AO$1005:$BQ$1005,1,MATCH(COLUMNS($AO$1006:AW1006),$AO$1006:$BQ$1006,0))&gt;=100000), " ",IF(INDEX($AO$2:$BQ$1001,MATCH(ROWS($AH$2:AH638),$AH$2:$AH$1001,0),MATCH(COLUMNS($AO$1006:AW1006),$AO$1006:$BQ$1006,0)), HYPERLINK("#",""), HYPERLINK(CONCATENATE("#Metadata!", ADDRESS(INDEX($AJ$2:$AJ$1001,MATCH(ROWS($AH$2:AH638),$AH$2:$AH$1001,0),0), INDEX($AO$1004:$BQ$1004,1,MATCH(COLUMNS($AO$1006:AW1006),$AO$1006:$BQ$1006,0)))),"Fix")))</f>
        <v>#N/A</v>
      </c>
      <c r="K638" s="5" t="e">
        <f ca="1">IF(OR(INDEX($AI$2:$AI$1001,MATCH(ROWS($AH$2:AH638),$AH$2:$AH$1001,0),1)&gt;=100000,INDEX($AO$1005:$BQ$1005,1,MATCH(COLUMNS($AO$1006:AX1006),$AO$1006:$BQ$1006,0))&gt;=100000), " ",IF(INDEX($AO$2:$BQ$1001,MATCH(ROWS($AH$2:AH638),$AH$2:$AH$1001,0),MATCH(COLUMNS($AO$1006:AX1006),$AO$1006:$BQ$1006,0)), HYPERLINK("#",""), HYPERLINK(CONCATENATE("#Metadata!", ADDRESS(INDEX($AJ$2:$AJ$1001,MATCH(ROWS($AH$2:AH638),$AH$2:$AH$1001,0),0), INDEX($AO$1004:$BQ$1004,1,MATCH(COLUMNS($AO$1006:AX1006),$AO$1006:$BQ$1006,0)))),"Fix")))</f>
        <v>#N/A</v>
      </c>
      <c r="L638" s="5" t="e">
        <f ca="1">IF(OR(INDEX($AI$2:$AI$1001,MATCH(ROWS($AH$2:AH638),$AH$2:$AH$1001,0),1)&gt;=100000,INDEX($AO$1005:$BQ$1005,1,MATCH(COLUMNS($AO$1006:AY1006),$AO$1006:$BQ$1006,0))&gt;=100000), " ",IF(INDEX($AO$2:$BQ$1001,MATCH(ROWS($AH$2:AH638),$AH$2:$AH$1001,0),MATCH(COLUMNS($AO$1006:AY1006),$AO$1006:$BQ$1006,0)), HYPERLINK("#",""), HYPERLINK(CONCATENATE("#Metadata!", ADDRESS(INDEX($AJ$2:$AJ$1001,MATCH(ROWS($AH$2:AH638),$AH$2:$AH$1001,0),0), INDEX($AO$1004:$BQ$1004,1,MATCH(COLUMNS($AO$1006:AY1006),$AO$1006:$BQ$1006,0)))),"Fix")))</f>
        <v>#N/A</v>
      </c>
      <c r="M638" s="5" t="e">
        <f ca="1">IF(OR(INDEX($AI$2:$AI$1001,MATCH(ROWS($AH$2:AH638),$AH$2:$AH$1001,0),1)&gt;=100000,INDEX($AO$1005:$BQ$1005,1,MATCH(COLUMNS($AO$1006:AZ1006),$AO$1006:$BQ$1006,0))&gt;=100000), " ",IF(INDEX($AO$2:$BQ$1001,MATCH(ROWS($AH$2:AH638),$AH$2:$AH$1001,0),MATCH(COLUMNS($AO$1006:AZ1006),$AO$1006:$BQ$1006,0)), HYPERLINK("#",""), HYPERLINK(CONCATENATE("#Metadata!", ADDRESS(INDEX($AJ$2:$AJ$1001,MATCH(ROWS($AH$2:AH638),$AH$2:$AH$1001,0),0), INDEX($AO$1004:$BQ$1004,1,MATCH(COLUMNS($AO$1006:AZ1006),$AO$1006:$BQ$1006,0)))),"Fix")))</f>
        <v>#N/A</v>
      </c>
      <c r="N638" s="5" t="e">
        <f ca="1">IF(OR(INDEX($AI$2:$AI$1001,MATCH(ROWS($AH$2:AH638),$AH$2:$AH$1001,0),1)&gt;=100000,INDEX($AO$1005:$BQ$1005,1,MATCH(COLUMNS($AO$1006:BA1006),$AO$1006:$BQ$1006,0))&gt;=100000), " ",IF(INDEX($AO$2:$BQ$1001,MATCH(ROWS($AH$2:AH638),$AH$2:$AH$1001,0),MATCH(COLUMNS($AO$1006:BA1006),$AO$1006:$BQ$1006,0)), HYPERLINK("#",""), HYPERLINK(CONCATENATE("#Metadata!", ADDRESS(INDEX($AJ$2:$AJ$1001,MATCH(ROWS($AH$2:AH638),$AH$2:$AH$1001,0),0), INDEX($AO$1004:$BQ$1004,1,MATCH(COLUMNS($AO$1006:BA1006),$AO$1006:$BQ$1006,0)))),"Fix")))</f>
        <v>#N/A</v>
      </c>
      <c r="O638" s="5" t="e">
        <f ca="1">IF(OR(INDEX($AI$2:$AI$1001,MATCH(ROWS($AH$2:AH638),$AH$2:$AH$1001,0),1)&gt;=100000,INDEX($AO$1005:$BQ$1005,1,MATCH(COLUMNS($AO$1006:BB1006),$AO$1006:$BQ$1006,0))&gt;=100000), " ",IF(INDEX($AO$2:$BQ$1001,MATCH(ROWS($AH$2:AH638),$AH$2:$AH$1001,0),MATCH(COLUMNS($AO$1006:BB1006),$AO$1006:$BQ$1006,0)), HYPERLINK("#",""), HYPERLINK(CONCATENATE("#Metadata!", ADDRESS(INDEX($AJ$2:$AJ$1001,MATCH(ROWS($AH$2:AH638),$AH$2:$AH$1001,0),0), INDEX($AO$1004:$BQ$1004,1,MATCH(COLUMNS($AO$1006:BB1006),$AO$1006:$BQ$1006,0)))),"Fix")))</f>
        <v>#N/A</v>
      </c>
      <c r="P638" s="5" t="e">
        <f ca="1">IF(OR(INDEX($AI$2:$AI$1001,MATCH(ROWS($AH$2:AH638),$AH$2:$AH$1001,0),1)&gt;=100000,INDEX($AO$1005:$BQ$1005,1,MATCH(COLUMNS($AO$1006:BC1006),$AO$1006:$BQ$1006,0))&gt;=100000), " ",IF(INDEX($AO$2:$BQ$1001,MATCH(ROWS($AH$2:AH638),$AH$2:$AH$1001,0),MATCH(COLUMNS($AO$1006:BC1006),$AO$1006:$BQ$1006,0)), HYPERLINK("#",""), HYPERLINK(CONCATENATE("#Metadata!", ADDRESS(INDEX($AJ$2:$AJ$1001,MATCH(ROWS($AH$2:AH638),$AH$2:$AH$1001,0),0), INDEX($AO$1004:$BQ$1004,1,MATCH(COLUMNS($AO$1006:BC1006),$AO$1006:$BQ$1006,0)))),"Fix")))</f>
        <v>#N/A</v>
      </c>
      <c r="Q638" s="5" t="e">
        <f ca="1">IF(OR(INDEX($AI$2:$AI$1001,MATCH(ROWS($AH$2:AH638),$AH$2:$AH$1001,0),1)&gt;=100000,INDEX($AO$1005:$BQ$1005,1,MATCH(COLUMNS($AO$1006:BD1006),$AO$1006:$BQ$1006,0))&gt;=100000), " ",IF(INDEX($AO$2:$BQ$1001,MATCH(ROWS($AH$2:AH638),$AH$2:$AH$1001,0),MATCH(COLUMNS($AO$1006:BD1006),$AO$1006:$BQ$1006,0)), HYPERLINK("#",""), HYPERLINK(CONCATENATE("#Metadata!", ADDRESS(INDEX($AJ$2:$AJ$1001,MATCH(ROWS($AH$2:AH638),$AH$2:$AH$1001,0),0), INDEX($AO$1004:$BQ$1004,1,MATCH(COLUMNS($AO$1006:BD1006),$AO$1006:$BQ$1006,0)))),"Fix")))</f>
        <v>#N/A</v>
      </c>
      <c r="R638" s="5" t="e">
        <f ca="1">IF(OR(INDEX($AI$2:$AI$1001,MATCH(ROWS($AH$2:AH638),$AH$2:$AH$1001,0),1)&gt;=100000,INDEX($AO$1005:$BQ$1005,1,MATCH(COLUMNS($AO$1006:BE1006),$AO$1006:$BQ$1006,0))&gt;=100000), " ",IF(INDEX($AO$2:$BQ$1001,MATCH(ROWS($AH$2:AH638),$AH$2:$AH$1001,0),MATCH(COLUMNS($AO$1006:BE1006),$AO$1006:$BQ$1006,0)), HYPERLINK("#",""), HYPERLINK(CONCATENATE("#Metadata!", ADDRESS(INDEX($AJ$2:$AJ$1001,MATCH(ROWS($AH$2:AH638),$AH$2:$AH$1001,0),0), INDEX($AO$1004:$BQ$1004,1,MATCH(COLUMNS($AO$1006:BE1006),$AO$1006:$BQ$1006,0)))),"Fix")))</f>
        <v>#N/A</v>
      </c>
      <c r="S638" s="5" t="e">
        <f ca="1">IF(OR(INDEX($AI$2:$AI$1001,MATCH(ROWS($AH$2:AH638),$AH$2:$AH$1001,0),1)&gt;=100000,INDEX($AO$1005:$BQ$1005,1,MATCH(COLUMNS($AO$1006:BF1006),$AO$1006:$BQ$1006,0))&gt;=100000), " ",IF(INDEX($AO$2:$BQ$1001,MATCH(ROWS($AH$2:AH638),$AH$2:$AH$1001,0),MATCH(COLUMNS($AO$1006:BF1006),$AO$1006:$BQ$1006,0)), HYPERLINK("#",""), HYPERLINK(CONCATENATE("#Metadata!", ADDRESS(INDEX($AJ$2:$AJ$1001,MATCH(ROWS($AH$2:AH638),$AH$2:$AH$1001,0),0), INDEX($AO$1004:$BQ$1004,1,MATCH(COLUMNS($AO$1006:BF1006),$AO$1006:$BQ$1006,0)))),"Fix")))</f>
        <v>#N/A</v>
      </c>
      <c r="T638" s="5" t="e">
        <f ca="1">IF(OR(INDEX($AI$2:$AI$1001,MATCH(ROWS($AH$2:AH638),$AH$2:$AH$1001,0),1)&gt;=100000,INDEX($AO$1005:$BQ$1005,1,MATCH(COLUMNS($AO$1006:BG1006),$AO$1006:$BQ$1006,0))&gt;=100000), " ",IF(INDEX($AO$2:$BQ$1001,MATCH(ROWS($AH$2:AH638),$AH$2:$AH$1001,0),MATCH(COLUMNS($AO$1006:BG1006),$AO$1006:$BQ$1006,0)), HYPERLINK("#",""), HYPERLINK(CONCATENATE("#Metadata!", ADDRESS(INDEX($AJ$2:$AJ$1001,MATCH(ROWS($AH$2:AH638),$AH$2:$AH$1001,0),0), INDEX($AO$1004:$BQ$1004,1,MATCH(COLUMNS($AO$1006:BG1006),$AO$1006:$BQ$1006,0)))),"Fix")))</f>
        <v>#N/A</v>
      </c>
      <c r="U638" s="5" t="e">
        <f ca="1">IF(OR(INDEX($AI$2:$AI$1001,MATCH(ROWS($AH$2:AH638),$AH$2:$AH$1001,0),1)&gt;=100000,INDEX($AO$1005:$BQ$1005,1,MATCH(COLUMNS($AO$1006:BH1006),$AO$1006:$BQ$1006,0))&gt;=100000), " ",IF(INDEX($AO$2:$BQ$1001,MATCH(ROWS($AH$2:AH638),$AH$2:$AH$1001,0),MATCH(COLUMNS($AO$1006:BH1006),$AO$1006:$BQ$1006,0)), HYPERLINK("#",""), HYPERLINK(CONCATENATE("#Metadata!", ADDRESS(INDEX($AJ$2:$AJ$1001,MATCH(ROWS($AH$2:AH638),$AH$2:$AH$1001,0),0), INDEX($AO$1004:$BQ$1004,1,MATCH(COLUMNS($AO$1006:BH1006),$AO$1006:$BQ$1006,0)))),"Fix")))</f>
        <v>#N/A</v>
      </c>
      <c r="V638" s="5" t="e">
        <f ca="1">IF(OR(INDEX($AI$2:$AI$1001,MATCH(ROWS($AH$2:AH638),$AH$2:$AH$1001,0),1)&gt;=100000,INDEX($AO$1005:$BQ$1005,1,MATCH(COLUMNS($AO$1006:BI1006),$AO$1006:$BQ$1006,0))&gt;=100000), " ",IF(INDEX($AO$2:$BQ$1001,MATCH(ROWS($AH$2:AH638),$AH$2:$AH$1001,0),MATCH(COLUMNS($AO$1006:BI1006),$AO$1006:$BQ$1006,0)), HYPERLINK("#",""), HYPERLINK(CONCATENATE("#Metadata!", ADDRESS(INDEX($AJ$2:$AJ$1001,MATCH(ROWS($AH$2:AH638),$AH$2:$AH$1001,0),0), INDEX($AO$1004:$BQ$1004,1,MATCH(COLUMNS($AO$1006:BI1006),$AO$1006:$BQ$1006,0)))),"Fix")))</f>
        <v>#N/A</v>
      </c>
      <c r="W638" s="5" t="e">
        <f ca="1">IF(OR(INDEX($AI$2:$AI$1001,MATCH(ROWS($AH$2:AH638),$AH$2:$AH$1001,0),1)&gt;=100000,INDEX($AO$1005:$BQ$1005,1,MATCH(COLUMNS($AO$1006:BJ1006),$AO$1006:$BQ$1006,0))&gt;=100000), " ",IF(INDEX($AO$2:$BQ$1001,MATCH(ROWS($AH$2:AH638),$AH$2:$AH$1001,0),MATCH(COLUMNS($AO$1006:BJ1006),$AO$1006:$BQ$1006,0)), HYPERLINK("#",""), HYPERLINK(CONCATENATE("#Metadata!", ADDRESS(INDEX($AJ$2:$AJ$1001,MATCH(ROWS($AH$2:AH638),$AH$2:$AH$1001,0),0), INDEX($AO$1004:$BQ$1004,1,MATCH(COLUMNS($AO$1006:BJ1006),$AO$1006:$BQ$1006,0)))),"Fix")))</f>
        <v>#N/A</v>
      </c>
      <c r="X638" s="5" t="e">
        <f ca="1">IF(OR(INDEX($AI$2:$AI$1001,MATCH(ROWS($AH$2:AH638),$AH$2:$AH$1001,0),1)&gt;=100000,INDEX($AO$1005:$BQ$1005,1,MATCH(COLUMNS($AO$1006:BK1006),$AO$1006:$BQ$1006,0))&gt;=100000), " ",IF(INDEX($AO$2:$BQ$1001,MATCH(ROWS($AH$2:AH638),$AH$2:$AH$1001,0),MATCH(COLUMNS($AO$1006:BK1006),$AO$1006:$BQ$1006,0)), HYPERLINK("#",""), HYPERLINK(CONCATENATE("#Metadata!", ADDRESS(INDEX($AJ$2:$AJ$1001,MATCH(ROWS($AH$2:AH638),$AH$2:$AH$1001,0),0), INDEX($AO$1004:$BQ$1004,1,MATCH(COLUMNS($AO$1006:BK1006),$AO$1006:$BQ$1006,0)))),"Fix")))</f>
        <v>#N/A</v>
      </c>
      <c r="Y638" s="5" t="e">
        <f ca="1">IF(OR(INDEX($AI$2:$AI$1001,MATCH(ROWS($AH$2:AH638),$AH$2:$AH$1001,0),1)&gt;=100000,INDEX($AO$1005:$BQ$1005,1,MATCH(COLUMNS($AO$1006:BL1006),$AO$1006:$BQ$1006,0))&gt;=100000), " ",IF(INDEX($AO$2:$BQ$1001,MATCH(ROWS($AH$2:AH638),$AH$2:$AH$1001,0),MATCH(COLUMNS($AO$1006:BL1006),$AO$1006:$BQ$1006,0)), HYPERLINK("#",""), HYPERLINK(CONCATENATE("#Metadata!", ADDRESS(INDEX($AJ$2:$AJ$1001,MATCH(ROWS($AH$2:AH638),$AH$2:$AH$1001,0),0), INDEX($AO$1004:$BQ$1004,1,MATCH(COLUMNS($AO$1006:BL1006),$AO$1006:$BQ$1006,0)))),"Fix")))</f>
        <v>#N/A</v>
      </c>
      <c r="Z638" s="5" t="e">
        <f ca="1">IF(OR(INDEX($AI$2:$AI$1001,MATCH(ROWS($AH$2:AH638),$AH$2:$AH$1001,0),1)&gt;=100000,INDEX($AO$1005:$BQ$1005,1,MATCH(COLUMNS($AO$1006:BM1006),$AO$1006:$BQ$1006,0))&gt;=100000), " ",IF(INDEX($AO$2:$BQ$1001,MATCH(ROWS($AH$2:AH638),$AH$2:$AH$1001,0),MATCH(COLUMNS($AO$1006:BM1006),$AO$1006:$BQ$1006,0)), HYPERLINK("#",""), HYPERLINK(CONCATENATE("#Metadata!", ADDRESS(INDEX($AJ$2:$AJ$1001,MATCH(ROWS($AH$2:AH638),$AH$2:$AH$1001,0),0), INDEX($AO$1004:$BQ$1004,1,MATCH(COLUMNS($AO$1006:BM1006),$AO$1006:$BQ$1006,0)))),"Fix")))</f>
        <v>#N/A</v>
      </c>
      <c r="AA638" s="5" t="e">
        <f ca="1">IF(OR(INDEX($AI$2:$AI$1001,MATCH(ROWS($AH$2:AH638),$AH$2:$AH$1001,0),1)&gt;=100000,INDEX($AO$1005:$BQ$1005,1,MATCH(COLUMNS($AO$1006:BN1006),$AO$1006:$BQ$1006,0))&gt;=100000), " ",IF(INDEX($AO$2:$BQ$1001,MATCH(ROWS($AH$2:AH638),$AH$2:$AH$1001,0),MATCH(COLUMNS($AO$1006:BN1006),$AO$1006:$BQ$1006,0)), HYPERLINK("#",""), HYPERLINK(CONCATENATE("#Metadata!", ADDRESS(INDEX($AJ$2:$AJ$1001,MATCH(ROWS($AH$2:AH638),$AH$2:$AH$1001,0),0), INDEX($AO$1004:$BQ$1004,1,MATCH(COLUMNS($AO$1006:BN1006),$AO$1006:$BQ$1006,0)))),"Fix")))</f>
        <v>#N/A</v>
      </c>
      <c r="AB638" s="5" t="e">
        <f ca="1">IF(OR(INDEX($AI$2:$AI$1001,MATCH(ROWS($AH$2:AH638),$AH$2:$AH$1001,0),1)&gt;=100000,INDEX($AO$1005:$BQ$1005,1,MATCH(COLUMNS($AO$1006:BO1006),$AO$1006:$BQ$1006,0))&gt;=100000), " ",IF(INDEX($AO$2:$BQ$1001,MATCH(ROWS($AH$2:AH638),$AH$2:$AH$1001,0),MATCH(COLUMNS($AO$1006:BO1006),$AO$1006:$BQ$1006,0)), HYPERLINK("#",""), HYPERLINK(CONCATENATE("#Metadata!", ADDRESS(INDEX($AJ$2:$AJ$1001,MATCH(ROWS($AH$2:AH638),$AH$2:$AH$1001,0),0), INDEX($AO$1004:$BQ$1004,1,MATCH(COLUMNS($AO$1006:BO1006),$AO$1006:$BQ$1006,0)))),"Fix")))</f>
        <v>#N/A</v>
      </c>
      <c r="AC638" s="5" t="e">
        <f ca="1">IF(OR(INDEX($AI$2:$AI$1001,MATCH(ROWS($AH$2:AH638),$AH$2:$AH$1001,0),1)&gt;=100000,INDEX($AO$1005:$BQ$1005,1,MATCH(COLUMNS($AO$1006:BP1006),$AO$1006:$BQ$1006,0))&gt;=100000), " ",IF(INDEX($AO$2:$BQ$1001,MATCH(ROWS($AH$2:AH638),$AH$2:$AH$1001,0),MATCH(COLUMNS($AO$1006:BP1006),$AO$1006:$BQ$1006,0)), HYPERLINK("#",""), HYPERLINK(CONCATENATE("#Metadata!", ADDRESS(INDEX($AJ$2:$AJ$1001,MATCH(ROWS($AH$2:AH638),$AH$2:$AH$1001,0),0), INDEX($AO$1004:$BQ$1004,1,MATCH(COLUMNS($AO$1006:BP1006),$AO$1006:$BQ$1006,0)))),"Fix")))</f>
        <v>#N/A</v>
      </c>
      <c r="AD638" s="5" t="e">
        <f ca="1">IF(OR(INDEX($AI$2:$AI$1001,MATCH(ROWS($AH$2:AH638),$AH$2:$AH$1001,0),1)&gt;=100000,INDEX($AO$1005:$BQ$1005,1,MATCH(COLUMNS($AO$1006:BQ1006),$AO$1006:$BQ$1006,0))&gt;=100000), " ",IF(INDEX($AO$2:$BQ$1001,MATCH(ROWS($AH$2:AH638),$AH$2:$AH$1001,0),MATCH(COLUMNS($AO$1006:BQ1006),$AO$1006:$BQ$1006,0)), HYPERLINK("#",""), HYPERLINK(CONCATENATE("#Metadata!", ADDRESS(INDEX($AJ$2:$AJ$1001,MATCH(ROWS($AH$2:AH638),$AH$2:$AH$1001,0),0), INDEX($AO$1004:$BQ$1004,1,MATCH(COLUMNS($AO$1006:BQ1006),$AO$1006:$BQ$1006,0)))),"Fix")))</f>
        <v>#REF!</v>
      </c>
      <c r="AH638">
        <f ca="1"/>
        <v>635</v>
      </c>
      <c r="AI638">
        <v>100638</v>
      </c>
      <c r="AJ638">
        <v>638</v>
      </c>
      <c r="AK638" t="b">
        <f t="shared" si="9"/>
        <v>1</v>
      </c>
      <c r="AL638" t="b">
        <f>COUNTBLANK(Metadata!B638:AD638)=COLUMNS(Metadata!B638:AD638)</f>
        <v>1</v>
      </c>
      <c r="AM638" t="str">
        <v/>
      </c>
      <c r="AO638" t="b">
        <f ca="1">AND(IF(Metadata!B638="",FALSE,TRUE),COUNTIF(Metadata!B:B, Metadata!B638) = 1,NOT(ISERROR(SUMPRODUCT(SEARCH(MID(Metadata!B638,ROW(INDIRECT("1:"&amp;LEN(Metadata!B638))), 1),"0123456789abcdefghijklmnopqrstuvwxyzABCDEFGHIJKLMNOPQRSTUVWXYZ.")))))</f>
        <v>0</v>
      </c>
      <c r="AP638" t="b">
        <f>IF(Metadata!C638="",FALSE,TRUE)</f>
        <v>0</v>
      </c>
      <c r="AQ638" t="b">
        <f>IF(Metadata!D638="",FALSE,TRUE)</f>
        <v>0</v>
      </c>
      <c r="AR638" t="b">
        <f ca="1">OR(AND(IF(Metadata!E638="",FALSE,TRUE),OR(EXACT(Metadata!E638,"not collected"),EXACT(Metadata!E638,"not provided"),EXACT(Metadata!E638,"restricted access"))),AND(IF(Metadata!E638="",FALSE,TRUE),AND(AND(IFERROR(INT(LEFT(Metadata!E638,4))&gt;1900,FALSE),IFERROR(INT(LEFT(Metadata!E638,4))&lt;=YEAR(NOW()),FALSE)), OR(MID(Metadata!E638,5,1)="", AND(AND(MID(Metadata!E638,5,1)="-",IFERROR(INT(MID(Metadata!E638,6,1))&gt;=0,FALSE),IFERROR(INT(MID(Metadata!E638,6,1))&lt;=1,FALSE),NOT(MID(Metadata!E638,7,1)=""),IFERROR(INT(MID(Metadata!E638,6,2))&gt;=1,FALSE),IFERROR(INT(MID(Metadata!E638,6,2))&lt;=12,FALSE)), OR(MID(Metadata!E638,8,1)="", AND(AND(MID(Metadata!E638,8,1)="-",IFERROR(INT(MID(Metadata!E638,9,1))&gt;=0,FALSE),IFERROR(INT(MID(Metadata!E638,9,1))&lt;=3,FALSE),NOT(MID(Metadata!E638,10,1)=""),IFERROR(INT(MID(Metadata!E638,9,2))&gt;=1,FALSE),IFERROR(INT(MID(Metadata!E638,9,2))&lt;=31,FALSE)), OR(MID(Metadata!E638,11,1)="", AND(AND(MID(Metadata!E638,11,1)=" ",IFERROR(INT(MID(Metadata!E638,12,1))&gt;=0,FALSE),IFERROR(INT(MID(Metadata!E638,12,1))&lt;=2,FALSE),NOT(MID(Metadata!E638,13,1)=""),IFERROR(INT(MID(Metadata!E638,12,2))&gt;=0,FALSE),IFERROR(INT(MID(Metadata!E638,12,2))&lt;=23,FALSE)), OR(MID(Metadata!E638,14,1)="", AND(AND(MID(Metadata!E638,14,1)=":",IFERROR(INT(MID(Metadata!E638,15,1))&gt;=0,FALSE),IFERROR(INT(MID(Metadata!E638,15,1))&lt;=5,FALSE),NOT(MID(Metadata!E638,16,1)=""),IFERROR(INT(MID(Metadata!E638,15,2))&gt;=0,FALSE),IFERROR(INT(MID(Metadata!E638,15,2))&lt;=59,FALSE)), OR(MID(Metadata!E638,17,1)="", AND(AND(MID(Metadata!E638,17,1)=":",IFERROR(INT(MID(Metadata!E638,18,1))&gt;=0,FALSE),IFERROR(INT(MID(Metadata!E638,18,1))&lt;=5,FALSE),NOT(MID(Metadata!E638,19,1)=""),IFERROR(INT(MID(Metadata!E638,18,2))&gt;=0,FALSE),IFERROR(INT(MID(Metadata!E638,18,2))&lt;=59,FALSE)), LEN(Metadata!E638)&lt;=19)))))))))))))</f>
        <v>0</v>
      </c>
      <c r="AS638" t="b">
        <f>IF(Metadata!F638="",FALSE,TRUE)</f>
        <v>0</v>
      </c>
      <c r="AT638" t="b">
        <f>OR(AND(IF(Metadata!G638="",FALSE,TRUE),OR(EXACT(Metadata!G638,"not collected"),EXACT(Metadata!G638,"not provided"))),AND(IF(Metadata!G638="",FALSE,TRUE),OR(EXACT(Metadata!G638,"TRUE"),EXACT(Metadata!G638,"FALSE"))))</f>
        <v>0</v>
      </c>
      <c r="AU638" t="b">
        <f>OR(AND(IF(Metadata!H638="",FALSE,TRUE),OR(EXACT(Metadata!H638,"not collected"),EXACT(Metadata!H638,"not provided"),EXACT(Metadata!H638,"restricted access"))),AND(IF(Metadata!H638="",FALSE,ISNUMBER(VALUE(Metadata!H638))),Metadata!H638&gt;=-413))</f>
        <v>0</v>
      </c>
      <c r="AV638" t="b">
        <f>AND(IF(Metadata!I638="",FALSE,TRUE),EXACT(Metadata!I638,"meters"))</f>
        <v>0</v>
      </c>
      <c r="AW638" t="b">
        <f>AND(IF(Metadata!J638="",FALSE,TRUE),EXACT(Metadata!J638,"free-living"))</f>
        <v>0</v>
      </c>
      <c r="AX638" t="b">
        <f>AND(IF(Metadata!K638="",FALSE,TRUE),OR(EXACT(Metadata!K638,"saline"),EXACT(Metadata!K638,"non-saline")))</f>
        <v>0</v>
      </c>
      <c r="AY638" t="b">
        <f>AND(IF(Metadata!L638="",FALSE,TRUE),OR(EXACT(Metadata!L638,"sub-surface (non-saline)"),EXACT(Metadata!L638,"surface (non-saline)"),EXACT(Metadata!L638,"water (non-saline)"),EXACT(Metadata!L638,"soil (non-saline)"),EXACT(Metadata!L638,"aerosol (non-saline)"),EXACT(Metadata!L638,"sediment (non-saline)"),EXACT(Metadata!L638,"surface (saline)"),EXACT(Metadata!L638,"water (saline)"),EXACT(Metadata!L638,"hypersaline (saline)"),EXACT(Metadata!L638,"aerosol (saline)"),EXACT(Metadata!L638,"sediment (saline)")))</f>
        <v>0</v>
      </c>
      <c r="AZ638" t="b">
        <f>IF(Metadata!M638="",FALSE,TRUE)</f>
        <v>0</v>
      </c>
      <c r="BA638" t="b">
        <f>IF(Metadata!N638="",FALSE,TRUE)</f>
        <v>0</v>
      </c>
      <c r="BB638" t="b">
        <f>IF(Metadata!O638="",FALSE,TRUE)</f>
        <v>0</v>
      </c>
      <c r="BC638" t="b">
        <f>AND(IF(Metadata!P638="",FALSE,TRUE),OR(EXACT(Metadata!P638,"air"),EXACT(Metadata!P638,"microbial mat/biofilm"),EXACT(Metadata!P638,"misc environment"),EXACT(Metadata!P638,"sediment"),EXACT(Metadata!P638,"soil"),EXACT(Metadata!P638,"wastewater/sludge"),EXACT(Metadata!P638,"water")))</f>
        <v>0</v>
      </c>
      <c r="BD638" t="b">
        <f>IF(Metadata!Q638="",FALSE,TRUE)</f>
        <v>0</v>
      </c>
      <c r="BE638" t="b">
        <f>IF(Metadata!R638="",FALSE,TRUE)</f>
        <v>0</v>
      </c>
      <c r="BF638" t="b">
        <f>OR(AND(IF(Metadata!S638="",FALSE,TRUE),OR(EXACT(Metadata!S638,"not collected"),EXACT(Metadata!S638,"not provided"),EXACT(Metadata!S638,"restricted access"))),AND(IF(Metadata!S638="",FALSE,ISNUMBER(VALUE(Metadata!S638))),Metadata!S638&gt;=-90,Metadata!S638&lt;=90))</f>
        <v>0</v>
      </c>
      <c r="BG638" t="b">
        <f>AND(IF(Metadata!T638="",FALSE,TRUE),EXACT(Metadata!T638,"Decimal degrees"))</f>
        <v>0</v>
      </c>
      <c r="BH638" t="b">
        <f>OR(AND(IF(Metadata!U638="",FALSE,TRUE),OR(EXACT(Metadata!U638,"not applicable"),EXACT(Metadata!U638,"not collected"))),IF(Metadata!U638="",FALSE,TRUE))</f>
        <v>0</v>
      </c>
      <c r="BI638" t="b">
        <f>OR(AND(IF(Metadata!V638="",FALSE,TRUE),OR(EXACT(Metadata!V638,"not collected"),EXACT(Metadata!V638,"not provided"),EXACT(Metadata!V638,"restricted access"))),AND(IF(Metadata!V638="",FALSE,ISNUMBER(VALUE(Metadata!V638))),Metadata!V638&gt;=-180,Metadata!V638&lt;=180))</f>
        <v>0</v>
      </c>
      <c r="BJ638" t="b">
        <f>AND(IF(Metadata!W638="",FALSE,TRUE),EXACT(Metadata!W638,"Decimal degrees"))</f>
        <v>0</v>
      </c>
      <c r="BK638" t="b">
        <f>IF(Metadata!X638="",FALSE,TRUE)</f>
        <v>0</v>
      </c>
      <c r="BL638" t="b">
        <f>OR(AND(IF(Metadata!Y638="",FALSE,TRUE),OR(EXACT(Metadata!Y638,"not collected"),EXACT(Metadata!Y638,"not provided"),EXACT(Metadata!Y638,"restricted access"))),AND(IF(Metadata!Y638="",FALSE,TRUE),OR(EXACT(Metadata!Y638,"TRUE"),EXACT(Metadata!Y638,"FALSE"))))</f>
        <v>0</v>
      </c>
      <c r="BM638" t="b">
        <f>OR(AND(IF(Metadata!Z638="",FALSE,TRUE),EXACT(Metadata!Z638,"not applicable")),AND(IF(Metadata!Z638="",FALSE,TRUE),OR(EXACT(Metadata!Z638,"beer"),EXACT(Metadata!Z638,"cheese"),EXACT(Metadata!Z638,"fresh water"),EXACT(Metadata!Z638,"marine sediment"),EXACT(Metadata!Z638,"sea water"),EXACT(Metadata!Z638,"sediment"),EXACT(Metadata!Z638,"soil"),EXACT(Metadata!Z638,"waste water"))))</f>
        <v>0</v>
      </c>
      <c r="BN638" t="b">
        <f>AND(IF(Metadata!AA638="",FALSE,TRUE),EXACT(Metadata!AA638,"metagenome"))</f>
        <v>0</v>
      </c>
      <c r="BO638" t="b">
        <f>AND(IF(Metadata!AB638="",FALSE,TRUE),EXACT(Metadata!AB638,"256318"))</f>
        <v>0</v>
      </c>
      <c r="BP638" t="b">
        <f>IF(Metadata!AC638="",FALSE,TRUE)</f>
        <v>0</v>
      </c>
      <c r="BQ638" t="b">
        <f>IF(Metadata!AD638="",FALSE,TRUE)</f>
        <v>0</v>
      </c>
    </row>
    <row r="639" spans="1:69" x14ac:dyDescent="0.2">
      <c r="A639" s="4" t="e">
        <f ca="1">IF(B639=" "," ",HYPERLINK(CONCATENATE("#metadata!",ADDRESS(INDEX($AJ$2:$AJ$1001,MATCH(ROWS($AH$2:AH639),$AH$2:$AH$1001,0),0),2)),INDEX($AM$2:$AM$1001,MATCH(ROWS($AH$2:AH639),$AH$2:$AH$1001,0),0)))</f>
        <v>#N/A</v>
      </c>
      <c r="B639" s="5" t="e">
        <f ca="1">IF(OR(INDEX($AI$2:$AI$1001,MATCH(ROWS($AH$2:AH639),$AH$2:$AH$1001,0),1)&gt;=100000,INDEX($AO$1005:$BQ$1005,1,MATCH(COLUMNS($AO$1006:AO1006),$AO$1006:$BQ$1006,0))&gt;=100000), " ",IF(INDEX($AO$2:$BQ$1001,MATCH(ROWS($AH$2:AH639),$AH$2:$AH$1001,0),MATCH(COLUMNS($AO$1006:AO1006),$AO$1006:$BQ$1006,0)), HYPERLINK("#",""), HYPERLINK(CONCATENATE("#Metadata!", ADDRESS(INDEX($AJ$2:$AJ$1001,MATCH(ROWS($AH$2:AH639),$AH$2:$AH$1001,0),0), INDEX($AO$1004:$BQ$1004,1,MATCH(COLUMNS($AO$1006:AO1006),$AO$1006:$BQ$1006,0)))),"Fix")))</f>
        <v>#N/A</v>
      </c>
      <c r="C639" s="5" t="e">
        <f ca="1">IF(OR(INDEX($AI$2:$AI$1001,MATCH(ROWS($AH$2:AH639),$AH$2:$AH$1001,0),1)&gt;=100000,INDEX($AO$1005:$BQ$1005,1,MATCH(COLUMNS($AO$1006:AP1006),$AO$1006:$BQ$1006,0))&gt;=100000), " ",IF(INDEX($AO$2:$BQ$1001,MATCH(ROWS($AH$2:AH639),$AH$2:$AH$1001,0),MATCH(COLUMNS($AO$1006:AP1006),$AO$1006:$BQ$1006,0)), HYPERLINK("#",""), HYPERLINK(CONCATENATE("#Metadata!", ADDRESS(INDEX($AJ$2:$AJ$1001,MATCH(ROWS($AH$2:AH639),$AH$2:$AH$1001,0),0), INDEX($AO$1004:$BQ$1004,1,MATCH(COLUMNS($AO$1006:AP1006),$AO$1006:$BQ$1006,0)))),"Fix")))</f>
        <v>#N/A</v>
      </c>
      <c r="D639" s="5" t="e">
        <f ca="1">IF(OR(INDEX($AI$2:$AI$1001,MATCH(ROWS($AH$2:AH639),$AH$2:$AH$1001,0),1)&gt;=100000,INDEX($AO$1005:$BQ$1005,1,MATCH(COLUMNS($AO$1006:AQ1006),$AO$1006:$BQ$1006,0))&gt;=100000), " ",IF(INDEX($AO$2:$BQ$1001,MATCH(ROWS($AH$2:AH639),$AH$2:$AH$1001,0),MATCH(COLUMNS($AO$1006:AQ1006),$AO$1006:$BQ$1006,0)), HYPERLINK("#",""), HYPERLINK(CONCATENATE("#Metadata!", ADDRESS(INDEX($AJ$2:$AJ$1001,MATCH(ROWS($AH$2:AH639),$AH$2:$AH$1001,0),0), INDEX($AO$1004:$BQ$1004,1,MATCH(COLUMNS($AO$1006:AQ1006),$AO$1006:$BQ$1006,0)))),"Fix")))</f>
        <v>#N/A</v>
      </c>
      <c r="E639" s="5" t="e">
        <f ca="1">IF(OR(INDEX($AI$2:$AI$1001,MATCH(ROWS($AH$2:AH639),$AH$2:$AH$1001,0),1)&gt;=100000,INDEX($AO$1005:$BQ$1005,1,MATCH(COLUMNS($AO$1006:AR1006),$AO$1006:$BQ$1006,0))&gt;=100000), " ",IF(INDEX($AO$2:$BQ$1001,MATCH(ROWS($AH$2:AH639),$AH$2:$AH$1001,0),MATCH(COLUMNS($AO$1006:AR1006),$AO$1006:$BQ$1006,0)), HYPERLINK("#",""), HYPERLINK(CONCATENATE("#Metadata!", ADDRESS(INDEX($AJ$2:$AJ$1001,MATCH(ROWS($AH$2:AH639),$AH$2:$AH$1001,0),0), INDEX($AO$1004:$BQ$1004,1,MATCH(COLUMNS($AO$1006:AR1006),$AO$1006:$BQ$1006,0)))),"Fix")))</f>
        <v>#N/A</v>
      </c>
      <c r="F639" s="5" t="e">
        <f ca="1">IF(OR(INDEX($AI$2:$AI$1001,MATCH(ROWS($AH$2:AH639),$AH$2:$AH$1001,0),1)&gt;=100000,INDEX($AO$1005:$BQ$1005,1,MATCH(COLUMNS($AO$1006:AS1006),$AO$1006:$BQ$1006,0))&gt;=100000), " ",IF(INDEX($AO$2:$BQ$1001,MATCH(ROWS($AH$2:AH639),$AH$2:$AH$1001,0),MATCH(COLUMNS($AO$1006:AS1006),$AO$1006:$BQ$1006,0)), HYPERLINK("#",""), HYPERLINK(CONCATENATE("#Metadata!", ADDRESS(INDEX($AJ$2:$AJ$1001,MATCH(ROWS($AH$2:AH639),$AH$2:$AH$1001,0),0), INDEX($AO$1004:$BQ$1004,1,MATCH(COLUMNS($AO$1006:AS1006),$AO$1006:$BQ$1006,0)))),"Fix")))</f>
        <v>#N/A</v>
      </c>
      <c r="G639" s="5" t="e">
        <f ca="1">IF(OR(INDEX($AI$2:$AI$1001,MATCH(ROWS($AH$2:AH639),$AH$2:$AH$1001,0),1)&gt;=100000,INDEX($AO$1005:$BQ$1005,1,MATCH(COLUMNS($AO$1006:AT1006),$AO$1006:$BQ$1006,0))&gt;=100000), " ",IF(INDEX($AO$2:$BQ$1001,MATCH(ROWS($AH$2:AH639),$AH$2:$AH$1001,0),MATCH(COLUMNS($AO$1006:AT1006),$AO$1006:$BQ$1006,0)), HYPERLINK("#",""), HYPERLINK(CONCATENATE("#Metadata!", ADDRESS(INDEX($AJ$2:$AJ$1001,MATCH(ROWS($AH$2:AH639),$AH$2:$AH$1001,0),0), INDEX($AO$1004:$BQ$1004,1,MATCH(COLUMNS($AO$1006:AT1006),$AO$1006:$BQ$1006,0)))),"Fix")))</f>
        <v>#N/A</v>
      </c>
      <c r="H639" s="5" t="e">
        <f ca="1">IF(OR(INDEX($AI$2:$AI$1001,MATCH(ROWS($AH$2:AH639),$AH$2:$AH$1001,0),1)&gt;=100000,INDEX($AO$1005:$BQ$1005,1,MATCH(COLUMNS($AO$1006:AU1006),$AO$1006:$BQ$1006,0))&gt;=100000), " ",IF(INDEX($AO$2:$BQ$1001,MATCH(ROWS($AH$2:AH639),$AH$2:$AH$1001,0),MATCH(COLUMNS($AO$1006:AU1006),$AO$1006:$BQ$1006,0)), HYPERLINK("#",""), HYPERLINK(CONCATENATE("#Metadata!", ADDRESS(INDEX($AJ$2:$AJ$1001,MATCH(ROWS($AH$2:AH639),$AH$2:$AH$1001,0),0), INDEX($AO$1004:$BQ$1004,1,MATCH(COLUMNS($AO$1006:AU1006),$AO$1006:$BQ$1006,0)))),"Fix")))</f>
        <v>#N/A</v>
      </c>
      <c r="I639" s="5" t="e">
        <f ca="1">IF(OR(INDEX($AI$2:$AI$1001,MATCH(ROWS($AH$2:AH639),$AH$2:$AH$1001,0),1)&gt;=100000,INDEX($AO$1005:$BQ$1005,1,MATCH(COLUMNS($AO$1006:AV1006),$AO$1006:$BQ$1006,0))&gt;=100000), " ",IF(INDEX($AO$2:$BQ$1001,MATCH(ROWS($AH$2:AH639),$AH$2:$AH$1001,0),MATCH(COLUMNS($AO$1006:AV1006),$AO$1006:$BQ$1006,0)), HYPERLINK("#",""), HYPERLINK(CONCATENATE("#Metadata!", ADDRESS(INDEX($AJ$2:$AJ$1001,MATCH(ROWS($AH$2:AH639),$AH$2:$AH$1001,0),0), INDEX($AO$1004:$BQ$1004,1,MATCH(COLUMNS($AO$1006:AV1006),$AO$1006:$BQ$1006,0)))),"Fix")))</f>
        <v>#N/A</v>
      </c>
      <c r="J639" s="5" t="e">
        <f ca="1">IF(OR(INDEX($AI$2:$AI$1001,MATCH(ROWS($AH$2:AH639),$AH$2:$AH$1001,0),1)&gt;=100000,INDEX($AO$1005:$BQ$1005,1,MATCH(COLUMNS($AO$1006:AW1006),$AO$1006:$BQ$1006,0))&gt;=100000), " ",IF(INDEX($AO$2:$BQ$1001,MATCH(ROWS($AH$2:AH639),$AH$2:$AH$1001,0),MATCH(COLUMNS($AO$1006:AW1006),$AO$1006:$BQ$1006,0)), HYPERLINK("#",""), HYPERLINK(CONCATENATE("#Metadata!", ADDRESS(INDEX($AJ$2:$AJ$1001,MATCH(ROWS($AH$2:AH639),$AH$2:$AH$1001,0),0), INDEX($AO$1004:$BQ$1004,1,MATCH(COLUMNS($AO$1006:AW1006),$AO$1006:$BQ$1006,0)))),"Fix")))</f>
        <v>#N/A</v>
      </c>
      <c r="K639" s="5" t="e">
        <f ca="1">IF(OR(INDEX($AI$2:$AI$1001,MATCH(ROWS($AH$2:AH639),$AH$2:$AH$1001,0),1)&gt;=100000,INDEX($AO$1005:$BQ$1005,1,MATCH(COLUMNS($AO$1006:AX1006),$AO$1006:$BQ$1006,0))&gt;=100000), " ",IF(INDEX($AO$2:$BQ$1001,MATCH(ROWS($AH$2:AH639),$AH$2:$AH$1001,0),MATCH(COLUMNS($AO$1006:AX1006),$AO$1006:$BQ$1006,0)), HYPERLINK("#",""), HYPERLINK(CONCATENATE("#Metadata!", ADDRESS(INDEX($AJ$2:$AJ$1001,MATCH(ROWS($AH$2:AH639),$AH$2:$AH$1001,0),0), INDEX($AO$1004:$BQ$1004,1,MATCH(COLUMNS($AO$1006:AX1006),$AO$1006:$BQ$1006,0)))),"Fix")))</f>
        <v>#N/A</v>
      </c>
      <c r="L639" s="5" t="e">
        <f ca="1">IF(OR(INDEX($AI$2:$AI$1001,MATCH(ROWS($AH$2:AH639),$AH$2:$AH$1001,0),1)&gt;=100000,INDEX($AO$1005:$BQ$1005,1,MATCH(COLUMNS($AO$1006:AY1006),$AO$1006:$BQ$1006,0))&gt;=100000), " ",IF(INDEX($AO$2:$BQ$1001,MATCH(ROWS($AH$2:AH639),$AH$2:$AH$1001,0),MATCH(COLUMNS($AO$1006:AY1006),$AO$1006:$BQ$1006,0)), HYPERLINK("#",""), HYPERLINK(CONCATENATE("#Metadata!", ADDRESS(INDEX($AJ$2:$AJ$1001,MATCH(ROWS($AH$2:AH639),$AH$2:$AH$1001,0),0), INDEX($AO$1004:$BQ$1004,1,MATCH(COLUMNS($AO$1006:AY1006),$AO$1006:$BQ$1006,0)))),"Fix")))</f>
        <v>#N/A</v>
      </c>
      <c r="M639" s="5" t="e">
        <f ca="1">IF(OR(INDEX($AI$2:$AI$1001,MATCH(ROWS($AH$2:AH639),$AH$2:$AH$1001,0),1)&gt;=100000,INDEX($AO$1005:$BQ$1005,1,MATCH(COLUMNS($AO$1006:AZ1006),$AO$1006:$BQ$1006,0))&gt;=100000), " ",IF(INDEX($AO$2:$BQ$1001,MATCH(ROWS($AH$2:AH639),$AH$2:$AH$1001,0),MATCH(COLUMNS($AO$1006:AZ1006),$AO$1006:$BQ$1006,0)), HYPERLINK("#",""), HYPERLINK(CONCATENATE("#Metadata!", ADDRESS(INDEX($AJ$2:$AJ$1001,MATCH(ROWS($AH$2:AH639),$AH$2:$AH$1001,0),0), INDEX($AO$1004:$BQ$1004,1,MATCH(COLUMNS($AO$1006:AZ1006),$AO$1006:$BQ$1006,0)))),"Fix")))</f>
        <v>#N/A</v>
      </c>
      <c r="N639" s="5" t="e">
        <f ca="1">IF(OR(INDEX($AI$2:$AI$1001,MATCH(ROWS($AH$2:AH639),$AH$2:$AH$1001,0),1)&gt;=100000,INDEX($AO$1005:$BQ$1005,1,MATCH(COLUMNS($AO$1006:BA1006),$AO$1006:$BQ$1006,0))&gt;=100000), " ",IF(INDEX($AO$2:$BQ$1001,MATCH(ROWS($AH$2:AH639),$AH$2:$AH$1001,0),MATCH(COLUMNS($AO$1006:BA1006),$AO$1006:$BQ$1006,0)), HYPERLINK("#",""), HYPERLINK(CONCATENATE("#Metadata!", ADDRESS(INDEX($AJ$2:$AJ$1001,MATCH(ROWS($AH$2:AH639),$AH$2:$AH$1001,0),0), INDEX($AO$1004:$BQ$1004,1,MATCH(COLUMNS($AO$1006:BA1006),$AO$1006:$BQ$1006,0)))),"Fix")))</f>
        <v>#N/A</v>
      </c>
      <c r="O639" s="5" t="e">
        <f ca="1">IF(OR(INDEX($AI$2:$AI$1001,MATCH(ROWS($AH$2:AH639),$AH$2:$AH$1001,0),1)&gt;=100000,INDEX($AO$1005:$BQ$1005,1,MATCH(COLUMNS($AO$1006:BB1006),$AO$1006:$BQ$1006,0))&gt;=100000), " ",IF(INDEX($AO$2:$BQ$1001,MATCH(ROWS($AH$2:AH639),$AH$2:$AH$1001,0),MATCH(COLUMNS($AO$1006:BB1006),$AO$1006:$BQ$1006,0)), HYPERLINK("#",""), HYPERLINK(CONCATENATE("#Metadata!", ADDRESS(INDEX($AJ$2:$AJ$1001,MATCH(ROWS($AH$2:AH639),$AH$2:$AH$1001,0),0), INDEX($AO$1004:$BQ$1004,1,MATCH(COLUMNS($AO$1006:BB1006),$AO$1006:$BQ$1006,0)))),"Fix")))</f>
        <v>#N/A</v>
      </c>
      <c r="P639" s="5" t="e">
        <f ca="1">IF(OR(INDEX($AI$2:$AI$1001,MATCH(ROWS($AH$2:AH639),$AH$2:$AH$1001,0),1)&gt;=100000,INDEX($AO$1005:$BQ$1005,1,MATCH(COLUMNS($AO$1006:BC1006),$AO$1006:$BQ$1006,0))&gt;=100000), " ",IF(INDEX($AO$2:$BQ$1001,MATCH(ROWS($AH$2:AH639),$AH$2:$AH$1001,0),MATCH(COLUMNS($AO$1006:BC1006),$AO$1006:$BQ$1006,0)), HYPERLINK("#",""), HYPERLINK(CONCATENATE("#Metadata!", ADDRESS(INDEX($AJ$2:$AJ$1001,MATCH(ROWS($AH$2:AH639),$AH$2:$AH$1001,0),0), INDEX($AO$1004:$BQ$1004,1,MATCH(COLUMNS($AO$1006:BC1006),$AO$1006:$BQ$1006,0)))),"Fix")))</f>
        <v>#N/A</v>
      </c>
      <c r="Q639" s="5" t="e">
        <f ca="1">IF(OR(INDEX($AI$2:$AI$1001,MATCH(ROWS($AH$2:AH639),$AH$2:$AH$1001,0),1)&gt;=100000,INDEX($AO$1005:$BQ$1005,1,MATCH(COLUMNS($AO$1006:BD1006),$AO$1006:$BQ$1006,0))&gt;=100000), " ",IF(INDEX($AO$2:$BQ$1001,MATCH(ROWS($AH$2:AH639),$AH$2:$AH$1001,0),MATCH(COLUMNS($AO$1006:BD1006),$AO$1006:$BQ$1006,0)), HYPERLINK("#",""), HYPERLINK(CONCATENATE("#Metadata!", ADDRESS(INDEX($AJ$2:$AJ$1001,MATCH(ROWS($AH$2:AH639),$AH$2:$AH$1001,0),0), INDEX($AO$1004:$BQ$1004,1,MATCH(COLUMNS($AO$1006:BD1006),$AO$1006:$BQ$1006,0)))),"Fix")))</f>
        <v>#N/A</v>
      </c>
      <c r="R639" s="5" t="e">
        <f ca="1">IF(OR(INDEX($AI$2:$AI$1001,MATCH(ROWS($AH$2:AH639),$AH$2:$AH$1001,0),1)&gt;=100000,INDEX($AO$1005:$BQ$1005,1,MATCH(COLUMNS($AO$1006:BE1006),$AO$1006:$BQ$1006,0))&gt;=100000), " ",IF(INDEX($AO$2:$BQ$1001,MATCH(ROWS($AH$2:AH639),$AH$2:$AH$1001,0),MATCH(COLUMNS($AO$1006:BE1006),$AO$1006:$BQ$1006,0)), HYPERLINK("#",""), HYPERLINK(CONCATENATE("#Metadata!", ADDRESS(INDEX($AJ$2:$AJ$1001,MATCH(ROWS($AH$2:AH639),$AH$2:$AH$1001,0),0), INDEX($AO$1004:$BQ$1004,1,MATCH(COLUMNS($AO$1006:BE1006),$AO$1006:$BQ$1006,0)))),"Fix")))</f>
        <v>#N/A</v>
      </c>
      <c r="S639" s="5" t="e">
        <f ca="1">IF(OR(INDEX($AI$2:$AI$1001,MATCH(ROWS($AH$2:AH639),$AH$2:$AH$1001,0),1)&gt;=100000,INDEX($AO$1005:$BQ$1005,1,MATCH(COLUMNS($AO$1006:BF1006),$AO$1006:$BQ$1006,0))&gt;=100000), " ",IF(INDEX($AO$2:$BQ$1001,MATCH(ROWS($AH$2:AH639),$AH$2:$AH$1001,0),MATCH(COLUMNS($AO$1006:BF1006),$AO$1006:$BQ$1006,0)), HYPERLINK("#",""), HYPERLINK(CONCATENATE("#Metadata!", ADDRESS(INDEX($AJ$2:$AJ$1001,MATCH(ROWS($AH$2:AH639),$AH$2:$AH$1001,0),0), INDEX($AO$1004:$BQ$1004,1,MATCH(COLUMNS($AO$1006:BF1006),$AO$1006:$BQ$1006,0)))),"Fix")))</f>
        <v>#N/A</v>
      </c>
      <c r="T639" s="5" t="e">
        <f ca="1">IF(OR(INDEX($AI$2:$AI$1001,MATCH(ROWS($AH$2:AH639),$AH$2:$AH$1001,0),1)&gt;=100000,INDEX($AO$1005:$BQ$1005,1,MATCH(COLUMNS($AO$1006:BG1006),$AO$1006:$BQ$1006,0))&gt;=100000), " ",IF(INDEX($AO$2:$BQ$1001,MATCH(ROWS($AH$2:AH639),$AH$2:$AH$1001,0),MATCH(COLUMNS($AO$1006:BG1006),$AO$1006:$BQ$1006,0)), HYPERLINK("#",""), HYPERLINK(CONCATENATE("#Metadata!", ADDRESS(INDEX($AJ$2:$AJ$1001,MATCH(ROWS($AH$2:AH639),$AH$2:$AH$1001,0),0), INDEX($AO$1004:$BQ$1004,1,MATCH(COLUMNS($AO$1006:BG1006),$AO$1006:$BQ$1006,0)))),"Fix")))</f>
        <v>#N/A</v>
      </c>
      <c r="U639" s="5" t="e">
        <f ca="1">IF(OR(INDEX($AI$2:$AI$1001,MATCH(ROWS($AH$2:AH639),$AH$2:$AH$1001,0),1)&gt;=100000,INDEX($AO$1005:$BQ$1005,1,MATCH(COLUMNS($AO$1006:BH1006),$AO$1006:$BQ$1006,0))&gt;=100000), " ",IF(INDEX($AO$2:$BQ$1001,MATCH(ROWS($AH$2:AH639),$AH$2:$AH$1001,0),MATCH(COLUMNS($AO$1006:BH1006),$AO$1006:$BQ$1006,0)), HYPERLINK("#",""), HYPERLINK(CONCATENATE("#Metadata!", ADDRESS(INDEX($AJ$2:$AJ$1001,MATCH(ROWS($AH$2:AH639),$AH$2:$AH$1001,0),0), INDEX($AO$1004:$BQ$1004,1,MATCH(COLUMNS($AO$1006:BH1006),$AO$1006:$BQ$1006,0)))),"Fix")))</f>
        <v>#N/A</v>
      </c>
      <c r="V639" s="5" t="e">
        <f ca="1">IF(OR(INDEX($AI$2:$AI$1001,MATCH(ROWS($AH$2:AH639),$AH$2:$AH$1001,0),1)&gt;=100000,INDEX($AO$1005:$BQ$1005,1,MATCH(COLUMNS($AO$1006:BI1006),$AO$1006:$BQ$1006,0))&gt;=100000), " ",IF(INDEX($AO$2:$BQ$1001,MATCH(ROWS($AH$2:AH639),$AH$2:$AH$1001,0),MATCH(COLUMNS($AO$1006:BI1006),$AO$1006:$BQ$1006,0)), HYPERLINK("#",""), HYPERLINK(CONCATENATE("#Metadata!", ADDRESS(INDEX($AJ$2:$AJ$1001,MATCH(ROWS($AH$2:AH639),$AH$2:$AH$1001,0),0), INDEX($AO$1004:$BQ$1004,1,MATCH(COLUMNS($AO$1006:BI1006),$AO$1006:$BQ$1006,0)))),"Fix")))</f>
        <v>#N/A</v>
      </c>
      <c r="W639" s="5" t="e">
        <f ca="1">IF(OR(INDEX($AI$2:$AI$1001,MATCH(ROWS($AH$2:AH639),$AH$2:$AH$1001,0),1)&gt;=100000,INDEX($AO$1005:$BQ$1005,1,MATCH(COLUMNS($AO$1006:BJ1006),$AO$1006:$BQ$1006,0))&gt;=100000), " ",IF(INDEX($AO$2:$BQ$1001,MATCH(ROWS($AH$2:AH639),$AH$2:$AH$1001,0),MATCH(COLUMNS($AO$1006:BJ1006),$AO$1006:$BQ$1006,0)), HYPERLINK("#",""), HYPERLINK(CONCATENATE("#Metadata!", ADDRESS(INDEX($AJ$2:$AJ$1001,MATCH(ROWS($AH$2:AH639),$AH$2:$AH$1001,0),0), INDEX($AO$1004:$BQ$1004,1,MATCH(COLUMNS($AO$1006:BJ1006),$AO$1006:$BQ$1006,0)))),"Fix")))</f>
        <v>#N/A</v>
      </c>
      <c r="X639" s="5" t="e">
        <f ca="1">IF(OR(INDEX($AI$2:$AI$1001,MATCH(ROWS($AH$2:AH639),$AH$2:$AH$1001,0),1)&gt;=100000,INDEX($AO$1005:$BQ$1005,1,MATCH(COLUMNS($AO$1006:BK1006),$AO$1006:$BQ$1006,0))&gt;=100000), " ",IF(INDEX($AO$2:$BQ$1001,MATCH(ROWS($AH$2:AH639),$AH$2:$AH$1001,0),MATCH(COLUMNS($AO$1006:BK1006),$AO$1006:$BQ$1006,0)), HYPERLINK("#",""), HYPERLINK(CONCATENATE("#Metadata!", ADDRESS(INDEX($AJ$2:$AJ$1001,MATCH(ROWS($AH$2:AH639),$AH$2:$AH$1001,0),0), INDEX($AO$1004:$BQ$1004,1,MATCH(COLUMNS($AO$1006:BK1006),$AO$1006:$BQ$1006,0)))),"Fix")))</f>
        <v>#N/A</v>
      </c>
      <c r="Y639" s="5" t="e">
        <f ca="1">IF(OR(INDEX($AI$2:$AI$1001,MATCH(ROWS($AH$2:AH639),$AH$2:$AH$1001,0),1)&gt;=100000,INDEX($AO$1005:$BQ$1005,1,MATCH(COLUMNS($AO$1006:BL1006),$AO$1006:$BQ$1006,0))&gt;=100000), " ",IF(INDEX($AO$2:$BQ$1001,MATCH(ROWS($AH$2:AH639),$AH$2:$AH$1001,0),MATCH(COLUMNS($AO$1006:BL1006),$AO$1006:$BQ$1006,0)), HYPERLINK("#",""), HYPERLINK(CONCATENATE("#Metadata!", ADDRESS(INDEX($AJ$2:$AJ$1001,MATCH(ROWS($AH$2:AH639),$AH$2:$AH$1001,0),0), INDEX($AO$1004:$BQ$1004,1,MATCH(COLUMNS($AO$1006:BL1006),$AO$1006:$BQ$1006,0)))),"Fix")))</f>
        <v>#N/A</v>
      </c>
      <c r="Z639" s="5" t="e">
        <f ca="1">IF(OR(INDEX($AI$2:$AI$1001,MATCH(ROWS($AH$2:AH639),$AH$2:$AH$1001,0),1)&gt;=100000,INDEX($AO$1005:$BQ$1005,1,MATCH(COLUMNS($AO$1006:BM1006),$AO$1006:$BQ$1006,0))&gt;=100000), " ",IF(INDEX($AO$2:$BQ$1001,MATCH(ROWS($AH$2:AH639),$AH$2:$AH$1001,0),MATCH(COLUMNS($AO$1006:BM1006),$AO$1006:$BQ$1006,0)), HYPERLINK("#",""), HYPERLINK(CONCATENATE("#Metadata!", ADDRESS(INDEX($AJ$2:$AJ$1001,MATCH(ROWS($AH$2:AH639),$AH$2:$AH$1001,0),0), INDEX($AO$1004:$BQ$1004,1,MATCH(COLUMNS($AO$1006:BM1006),$AO$1006:$BQ$1006,0)))),"Fix")))</f>
        <v>#N/A</v>
      </c>
      <c r="AA639" s="5" t="e">
        <f ca="1">IF(OR(INDEX($AI$2:$AI$1001,MATCH(ROWS($AH$2:AH639),$AH$2:$AH$1001,0),1)&gt;=100000,INDEX($AO$1005:$BQ$1005,1,MATCH(COLUMNS($AO$1006:BN1006),$AO$1006:$BQ$1006,0))&gt;=100000), " ",IF(INDEX($AO$2:$BQ$1001,MATCH(ROWS($AH$2:AH639),$AH$2:$AH$1001,0),MATCH(COLUMNS($AO$1006:BN1006),$AO$1006:$BQ$1006,0)), HYPERLINK("#",""), HYPERLINK(CONCATENATE("#Metadata!", ADDRESS(INDEX($AJ$2:$AJ$1001,MATCH(ROWS($AH$2:AH639),$AH$2:$AH$1001,0),0), INDEX($AO$1004:$BQ$1004,1,MATCH(COLUMNS($AO$1006:BN1006),$AO$1006:$BQ$1006,0)))),"Fix")))</f>
        <v>#N/A</v>
      </c>
      <c r="AB639" s="5" t="e">
        <f ca="1">IF(OR(INDEX($AI$2:$AI$1001,MATCH(ROWS($AH$2:AH639),$AH$2:$AH$1001,0),1)&gt;=100000,INDEX($AO$1005:$BQ$1005,1,MATCH(COLUMNS($AO$1006:BO1006),$AO$1006:$BQ$1006,0))&gt;=100000), " ",IF(INDEX($AO$2:$BQ$1001,MATCH(ROWS($AH$2:AH639),$AH$2:$AH$1001,0),MATCH(COLUMNS($AO$1006:BO1006),$AO$1006:$BQ$1006,0)), HYPERLINK("#",""), HYPERLINK(CONCATENATE("#Metadata!", ADDRESS(INDEX($AJ$2:$AJ$1001,MATCH(ROWS($AH$2:AH639),$AH$2:$AH$1001,0),0), INDEX($AO$1004:$BQ$1004,1,MATCH(COLUMNS($AO$1006:BO1006),$AO$1006:$BQ$1006,0)))),"Fix")))</f>
        <v>#N/A</v>
      </c>
      <c r="AC639" s="5" t="e">
        <f ca="1">IF(OR(INDEX($AI$2:$AI$1001,MATCH(ROWS($AH$2:AH639),$AH$2:$AH$1001,0),1)&gt;=100000,INDEX($AO$1005:$BQ$1005,1,MATCH(COLUMNS($AO$1006:BP1006),$AO$1006:$BQ$1006,0))&gt;=100000), " ",IF(INDEX($AO$2:$BQ$1001,MATCH(ROWS($AH$2:AH639),$AH$2:$AH$1001,0),MATCH(COLUMNS($AO$1006:BP1006),$AO$1006:$BQ$1006,0)), HYPERLINK("#",""), HYPERLINK(CONCATENATE("#Metadata!", ADDRESS(INDEX($AJ$2:$AJ$1001,MATCH(ROWS($AH$2:AH639),$AH$2:$AH$1001,0),0), INDEX($AO$1004:$BQ$1004,1,MATCH(COLUMNS($AO$1006:BP1006),$AO$1006:$BQ$1006,0)))),"Fix")))</f>
        <v>#N/A</v>
      </c>
      <c r="AD639" s="5" t="e">
        <f ca="1">IF(OR(INDEX($AI$2:$AI$1001,MATCH(ROWS($AH$2:AH639),$AH$2:$AH$1001,0),1)&gt;=100000,INDEX($AO$1005:$BQ$1005,1,MATCH(COLUMNS($AO$1006:BQ1006),$AO$1006:$BQ$1006,0))&gt;=100000), " ",IF(INDEX($AO$2:$BQ$1001,MATCH(ROWS($AH$2:AH639),$AH$2:$AH$1001,0),MATCH(COLUMNS($AO$1006:BQ1006),$AO$1006:$BQ$1006,0)), HYPERLINK("#",""), HYPERLINK(CONCATENATE("#Metadata!", ADDRESS(INDEX($AJ$2:$AJ$1001,MATCH(ROWS($AH$2:AH639),$AH$2:$AH$1001,0),0), INDEX($AO$1004:$BQ$1004,1,MATCH(COLUMNS($AO$1006:BQ1006),$AO$1006:$BQ$1006,0)))),"Fix")))</f>
        <v>#REF!</v>
      </c>
      <c r="AH639">
        <f ca="1"/>
        <v>636</v>
      </c>
      <c r="AI639">
        <v>100639</v>
      </c>
      <c r="AJ639">
        <v>639</v>
      </c>
      <c r="AK639" t="b">
        <f t="shared" si="9"/>
        <v>1</v>
      </c>
      <c r="AL639" t="b">
        <f>COUNTBLANK(Metadata!B639:AD639)=COLUMNS(Metadata!B639:AD639)</f>
        <v>1</v>
      </c>
      <c r="AM639" t="str">
        <v/>
      </c>
      <c r="AO639" t="b">
        <f ca="1">AND(IF(Metadata!B639="",FALSE,TRUE),COUNTIF(Metadata!B:B, Metadata!B639) = 1,NOT(ISERROR(SUMPRODUCT(SEARCH(MID(Metadata!B639,ROW(INDIRECT("1:"&amp;LEN(Metadata!B639))), 1),"0123456789abcdefghijklmnopqrstuvwxyzABCDEFGHIJKLMNOPQRSTUVWXYZ.")))))</f>
        <v>0</v>
      </c>
      <c r="AP639" t="b">
        <f>IF(Metadata!C639="",FALSE,TRUE)</f>
        <v>0</v>
      </c>
      <c r="AQ639" t="b">
        <f>IF(Metadata!D639="",FALSE,TRUE)</f>
        <v>0</v>
      </c>
      <c r="AR639" t="b">
        <f ca="1">OR(AND(IF(Metadata!E639="",FALSE,TRUE),OR(EXACT(Metadata!E639,"not collected"),EXACT(Metadata!E639,"not provided"),EXACT(Metadata!E639,"restricted access"))),AND(IF(Metadata!E639="",FALSE,TRUE),AND(AND(IFERROR(INT(LEFT(Metadata!E639,4))&gt;1900,FALSE),IFERROR(INT(LEFT(Metadata!E639,4))&lt;=YEAR(NOW()),FALSE)), OR(MID(Metadata!E639,5,1)="", AND(AND(MID(Metadata!E639,5,1)="-",IFERROR(INT(MID(Metadata!E639,6,1))&gt;=0,FALSE),IFERROR(INT(MID(Metadata!E639,6,1))&lt;=1,FALSE),NOT(MID(Metadata!E639,7,1)=""),IFERROR(INT(MID(Metadata!E639,6,2))&gt;=1,FALSE),IFERROR(INT(MID(Metadata!E639,6,2))&lt;=12,FALSE)), OR(MID(Metadata!E639,8,1)="", AND(AND(MID(Metadata!E639,8,1)="-",IFERROR(INT(MID(Metadata!E639,9,1))&gt;=0,FALSE),IFERROR(INT(MID(Metadata!E639,9,1))&lt;=3,FALSE),NOT(MID(Metadata!E639,10,1)=""),IFERROR(INT(MID(Metadata!E639,9,2))&gt;=1,FALSE),IFERROR(INT(MID(Metadata!E639,9,2))&lt;=31,FALSE)), OR(MID(Metadata!E639,11,1)="", AND(AND(MID(Metadata!E639,11,1)=" ",IFERROR(INT(MID(Metadata!E639,12,1))&gt;=0,FALSE),IFERROR(INT(MID(Metadata!E639,12,1))&lt;=2,FALSE),NOT(MID(Metadata!E639,13,1)=""),IFERROR(INT(MID(Metadata!E639,12,2))&gt;=0,FALSE),IFERROR(INT(MID(Metadata!E639,12,2))&lt;=23,FALSE)), OR(MID(Metadata!E639,14,1)="", AND(AND(MID(Metadata!E639,14,1)=":",IFERROR(INT(MID(Metadata!E639,15,1))&gt;=0,FALSE),IFERROR(INT(MID(Metadata!E639,15,1))&lt;=5,FALSE),NOT(MID(Metadata!E639,16,1)=""),IFERROR(INT(MID(Metadata!E639,15,2))&gt;=0,FALSE),IFERROR(INT(MID(Metadata!E639,15,2))&lt;=59,FALSE)), OR(MID(Metadata!E639,17,1)="", AND(AND(MID(Metadata!E639,17,1)=":",IFERROR(INT(MID(Metadata!E639,18,1))&gt;=0,FALSE),IFERROR(INT(MID(Metadata!E639,18,1))&lt;=5,FALSE),NOT(MID(Metadata!E639,19,1)=""),IFERROR(INT(MID(Metadata!E639,18,2))&gt;=0,FALSE),IFERROR(INT(MID(Metadata!E639,18,2))&lt;=59,FALSE)), LEN(Metadata!E639)&lt;=19)))))))))))))</f>
        <v>0</v>
      </c>
      <c r="AS639" t="b">
        <f>IF(Metadata!F639="",FALSE,TRUE)</f>
        <v>0</v>
      </c>
      <c r="AT639" t="b">
        <f>OR(AND(IF(Metadata!G639="",FALSE,TRUE),OR(EXACT(Metadata!G639,"not collected"),EXACT(Metadata!G639,"not provided"))),AND(IF(Metadata!G639="",FALSE,TRUE),OR(EXACT(Metadata!G639,"TRUE"),EXACT(Metadata!G639,"FALSE"))))</f>
        <v>0</v>
      </c>
      <c r="AU639" t="b">
        <f>OR(AND(IF(Metadata!H639="",FALSE,TRUE),OR(EXACT(Metadata!H639,"not collected"),EXACT(Metadata!H639,"not provided"),EXACT(Metadata!H639,"restricted access"))),AND(IF(Metadata!H639="",FALSE,ISNUMBER(VALUE(Metadata!H639))),Metadata!H639&gt;=-413))</f>
        <v>0</v>
      </c>
      <c r="AV639" t="b">
        <f>AND(IF(Metadata!I639="",FALSE,TRUE),EXACT(Metadata!I639,"meters"))</f>
        <v>0</v>
      </c>
      <c r="AW639" t="b">
        <f>AND(IF(Metadata!J639="",FALSE,TRUE),EXACT(Metadata!J639,"free-living"))</f>
        <v>0</v>
      </c>
      <c r="AX639" t="b">
        <f>AND(IF(Metadata!K639="",FALSE,TRUE),OR(EXACT(Metadata!K639,"saline"),EXACT(Metadata!K639,"non-saline")))</f>
        <v>0</v>
      </c>
      <c r="AY639" t="b">
        <f>AND(IF(Metadata!L639="",FALSE,TRUE),OR(EXACT(Metadata!L639,"sub-surface (non-saline)"),EXACT(Metadata!L639,"surface (non-saline)"),EXACT(Metadata!L639,"water (non-saline)"),EXACT(Metadata!L639,"soil (non-saline)"),EXACT(Metadata!L639,"aerosol (non-saline)"),EXACT(Metadata!L639,"sediment (non-saline)"),EXACT(Metadata!L639,"surface (saline)"),EXACT(Metadata!L639,"water (saline)"),EXACT(Metadata!L639,"hypersaline (saline)"),EXACT(Metadata!L639,"aerosol (saline)"),EXACT(Metadata!L639,"sediment (saline)")))</f>
        <v>0</v>
      </c>
      <c r="AZ639" t="b">
        <f>IF(Metadata!M639="",FALSE,TRUE)</f>
        <v>0</v>
      </c>
      <c r="BA639" t="b">
        <f>IF(Metadata!N639="",FALSE,TRUE)</f>
        <v>0</v>
      </c>
      <c r="BB639" t="b">
        <f>IF(Metadata!O639="",FALSE,TRUE)</f>
        <v>0</v>
      </c>
      <c r="BC639" t="b">
        <f>AND(IF(Metadata!P639="",FALSE,TRUE),OR(EXACT(Metadata!P639,"air"),EXACT(Metadata!P639,"microbial mat/biofilm"),EXACT(Metadata!P639,"misc environment"),EXACT(Metadata!P639,"sediment"),EXACT(Metadata!P639,"soil"),EXACT(Metadata!P639,"wastewater/sludge"),EXACT(Metadata!P639,"water")))</f>
        <v>0</v>
      </c>
      <c r="BD639" t="b">
        <f>IF(Metadata!Q639="",FALSE,TRUE)</f>
        <v>0</v>
      </c>
      <c r="BE639" t="b">
        <f>IF(Metadata!R639="",FALSE,TRUE)</f>
        <v>0</v>
      </c>
      <c r="BF639" t="b">
        <f>OR(AND(IF(Metadata!S639="",FALSE,TRUE),OR(EXACT(Metadata!S639,"not collected"),EXACT(Metadata!S639,"not provided"),EXACT(Metadata!S639,"restricted access"))),AND(IF(Metadata!S639="",FALSE,ISNUMBER(VALUE(Metadata!S639))),Metadata!S639&gt;=-90,Metadata!S639&lt;=90))</f>
        <v>0</v>
      </c>
      <c r="BG639" t="b">
        <f>AND(IF(Metadata!T639="",FALSE,TRUE),EXACT(Metadata!T639,"Decimal degrees"))</f>
        <v>0</v>
      </c>
      <c r="BH639" t="b">
        <f>OR(AND(IF(Metadata!U639="",FALSE,TRUE),OR(EXACT(Metadata!U639,"not applicable"),EXACT(Metadata!U639,"not collected"))),IF(Metadata!U639="",FALSE,TRUE))</f>
        <v>0</v>
      </c>
      <c r="BI639" t="b">
        <f>OR(AND(IF(Metadata!V639="",FALSE,TRUE),OR(EXACT(Metadata!V639,"not collected"),EXACT(Metadata!V639,"not provided"),EXACT(Metadata!V639,"restricted access"))),AND(IF(Metadata!V639="",FALSE,ISNUMBER(VALUE(Metadata!V639))),Metadata!V639&gt;=-180,Metadata!V639&lt;=180))</f>
        <v>0</v>
      </c>
      <c r="BJ639" t="b">
        <f>AND(IF(Metadata!W639="",FALSE,TRUE),EXACT(Metadata!W639,"Decimal degrees"))</f>
        <v>0</v>
      </c>
      <c r="BK639" t="b">
        <f>IF(Metadata!X639="",FALSE,TRUE)</f>
        <v>0</v>
      </c>
      <c r="BL639" t="b">
        <f>OR(AND(IF(Metadata!Y639="",FALSE,TRUE),OR(EXACT(Metadata!Y639,"not collected"),EXACT(Metadata!Y639,"not provided"),EXACT(Metadata!Y639,"restricted access"))),AND(IF(Metadata!Y639="",FALSE,TRUE),OR(EXACT(Metadata!Y639,"TRUE"),EXACT(Metadata!Y639,"FALSE"))))</f>
        <v>0</v>
      </c>
      <c r="BM639" t="b">
        <f>OR(AND(IF(Metadata!Z639="",FALSE,TRUE),EXACT(Metadata!Z639,"not applicable")),AND(IF(Metadata!Z639="",FALSE,TRUE),OR(EXACT(Metadata!Z639,"beer"),EXACT(Metadata!Z639,"cheese"),EXACT(Metadata!Z639,"fresh water"),EXACT(Metadata!Z639,"marine sediment"),EXACT(Metadata!Z639,"sea water"),EXACT(Metadata!Z639,"sediment"),EXACT(Metadata!Z639,"soil"),EXACT(Metadata!Z639,"waste water"))))</f>
        <v>0</v>
      </c>
      <c r="BN639" t="b">
        <f>AND(IF(Metadata!AA639="",FALSE,TRUE),EXACT(Metadata!AA639,"metagenome"))</f>
        <v>0</v>
      </c>
      <c r="BO639" t="b">
        <f>AND(IF(Metadata!AB639="",FALSE,TRUE),EXACT(Metadata!AB639,"256318"))</f>
        <v>0</v>
      </c>
      <c r="BP639" t="b">
        <f>IF(Metadata!AC639="",FALSE,TRUE)</f>
        <v>0</v>
      </c>
      <c r="BQ639" t="b">
        <f>IF(Metadata!AD639="",FALSE,TRUE)</f>
        <v>0</v>
      </c>
    </row>
    <row r="640" spans="1:69" x14ac:dyDescent="0.2">
      <c r="A640" s="4" t="e">
        <f ca="1">IF(B640=" "," ",HYPERLINK(CONCATENATE("#metadata!",ADDRESS(INDEX($AJ$2:$AJ$1001,MATCH(ROWS($AH$2:AH640),$AH$2:$AH$1001,0),0),2)),INDEX($AM$2:$AM$1001,MATCH(ROWS($AH$2:AH640),$AH$2:$AH$1001,0),0)))</f>
        <v>#N/A</v>
      </c>
      <c r="B640" s="5" t="e">
        <f ca="1">IF(OR(INDEX($AI$2:$AI$1001,MATCH(ROWS($AH$2:AH640),$AH$2:$AH$1001,0),1)&gt;=100000,INDEX($AO$1005:$BQ$1005,1,MATCH(COLUMNS($AO$1006:AO1006),$AO$1006:$BQ$1006,0))&gt;=100000), " ",IF(INDEX($AO$2:$BQ$1001,MATCH(ROWS($AH$2:AH640),$AH$2:$AH$1001,0),MATCH(COLUMNS($AO$1006:AO1006),$AO$1006:$BQ$1006,0)), HYPERLINK("#",""), HYPERLINK(CONCATENATE("#Metadata!", ADDRESS(INDEX($AJ$2:$AJ$1001,MATCH(ROWS($AH$2:AH640),$AH$2:$AH$1001,0),0), INDEX($AO$1004:$BQ$1004,1,MATCH(COLUMNS($AO$1006:AO1006),$AO$1006:$BQ$1006,0)))),"Fix")))</f>
        <v>#N/A</v>
      </c>
      <c r="C640" s="5" t="e">
        <f ca="1">IF(OR(INDEX($AI$2:$AI$1001,MATCH(ROWS($AH$2:AH640),$AH$2:$AH$1001,0),1)&gt;=100000,INDEX($AO$1005:$BQ$1005,1,MATCH(COLUMNS($AO$1006:AP1006),$AO$1006:$BQ$1006,0))&gt;=100000), " ",IF(INDEX($AO$2:$BQ$1001,MATCH(ROWS($AH$2:AH640),$AH$2:$AH$1001,0),MATCH(COLUMNS($AO$1006:AP1006),$AO$1006:$BQ$1006,0)), HYPERLINK("#",""), HYPERLINK(CONCATENATE("#Metadata!", ADDRESS(INDEX($AJ$2:$AJ$1001,MATCH(ROWS($AH$2:AH640),$AH$2:$AH$1001,0),0), INDEX($AO$1004:$BQ$1004,1,MATCH(COLUMNS($AO$1006:AP1006),$AO$1006:$BQ$1006,0)))),"Fix")))</f>
        <v>#N/A</v>
      </c>
      <c r="D640" s="5" t="e">
        <f ca="1">IF(OR(INDEX($AI$2:$AI$1001,MATCH(ROWS($AH$2:AH640),$AH$2:$AH$1001,0),1)&gt;=100000,INDEX($AO$1005:$BQ$1005,1,MATCH(COLUMNS($AO$1006:AQ1006),$AO$1006:$BQ$1006,0))&gt;=100000), " ",IF(INDEX($AO$2:$BQ$1001,MATCH(ROWS($AH$2:AH640),$AH$2:$AH$1001,0),MATCH(COLUMNS($AO$1006:AQ1006),$AO$1006:$BQ$1006,0)), HYPERLINK("#",""), HYPERLINK(CONCATENATE("#Metadata!", ADDRESS(INDEX($AJ$2:$AJ$1001,MATCH(ROWS($AH$2:AH640),$AH$2:$AH$1001,0),0), INDEX($AO$1004:$BQ$1004,1,MATCH(COLUMNS($AO$1006:AQ1006),$AO$1006:$BQ$1006,0)))),"Fix")))</f>
        <v>#N/A</v>
      </c>
      <c r="E640" s="5" t="e">
        <f ca="1">IF(OR(INDEX($AI$2:$AI$1001,MATCH(ROWS($AH$2:AH640),$AH$2:$AH$1001,0),1)&gt;=100000,INDEX($AO$1005:$BQ$1005,1,MATCH(COLUMNS($AO$1006:AR1006),$AO$1006:$BQ$1006,0))&gt;=100000), " ",IF(INDEX($AO$2:$BQ$1001,MATCH(ROWS($AH$2:AH640),$AH$2:$AH$1001,0),MATCH(COLUMNS($AO$1006:AR1006),$AO$1006:$BQ$1006,0)), HYPERLINK("#",""), HYPERLINK(CONCATENATE("#Metadata!", ADDRESS(INDEX($AJ$2:$AJ$1001,MATCH(ROWS($AH$2:AH640),$AH$2:$AH$1001,0),0), INDEX($AO$1004:$BQ$1004,1,MATCH(COLUMNS($AO$1006:AR1006),$AO$1006:$BQ$1006,0)))),"Fix")))</f>
        <v>#N/A</v>
      </c>
      <c r="F640" s="5" t="e">
        <f ca="1">IF(OR(INDEX($AI$2:$AI$1001,MATCH(ROWS($AH$2:AH640),$AH$2:$AH$1001,0),1)&gt;=100000,INDEX($AO$1005:$BQ$1005,1,MATCH(COLUMNS($AO$1006:AS1006),$AO$1006:$BQ$1006,0))&gt;=100000), " ",IF(INDEX($AO$2:$BQ$1001,MATCH(ROWS($AH$2:AH640),$AH$2:$AH$1001,0),MATCH(COLUMNS($AO$1006:AS1006),$AO$1006:$BQ$1006,0)), HYPERLINK("#",""), HYPERLINK(CONCATENATE("#Metadata!", ADDRESS(INDEX($AJ$2:$AJ$1001,MATCH(ROWS($AH$2:AH640),$AH$2:$AH$1001,0),0), INDEX($AO$1004:$BQ$1004,1,MATCH(COLUMNS($AO$1006:AS1006),$AO$1006:$BQ$1006,0)))),"Fix")))</f>
        <v>#N/A</v>
      </c>
      <c r="G640" s="5" t="e">
        <f ca="1">IF(OR(INDEX($AI$2:$AI$1001,MATCH(ROWS($AH$2:AH640),$AH$2:$AH$1001,0),1)&gt;=100000,INDEX($AO$1005:$BQ$1005,1,MATCH(COLUMNS($AO$1006:AT1006),$AO$1006:$BQ$1006,0))&gt;=100000), " ",IF(INDEX($AO$2:$BQ$1001,MATCH(ROWS($AH$2:AH640),$AH$2:$AH$1001,0),MATCH(COLUMNS($AO$1006:AT1006),$AO$1006:$BQ$1006,0)), HYPERLINK("#",""), HYPERLINK(CONCATENATE("#Metadata!", ADDRESS(INDEX($AJ$2:$AJ$1001,MATCH(ROWS($AH$2:AH640),$AH$2:$AH$1001,0),0), INDEX($AO$1004:$BQ$1004,1,MATCH(COLUMNS($AO$1006:AT1006),$AO$1006:$BQ$1006,0)))),"Fix")))</f>
        <v>#N/A</v>
      </c>
      <c r="H640" s="5" t="e">
        <f ca="1">IF(OR(INDEX($AI$2:$AI$1001,MATCH(ROWS($AH$2:AH640),$AH$2:$AH$1001,0),1)&gt;=100000,INDEX($AO$1005:$BQ$1005,1,MATCH(COLUMNS($AO$1006:AU1006),$AO$1006:$BQ$1006,0))&gt;=100000), " ",IF(INDEX($AO$2:$BQ$1001,MATCH(ROWS($AH$2:AH640),$AH$2:$AH$1001,0),MATCH(COLUMNS($AO$1006:AU1006),$AO$1006:$BQ$1006,0)), HYPERLINK("#",""), HYPERLINK(CONCATENATE("#Metadata!", ADDRESS(INDEX($AJ$2:$AJ$1001,MATCH(ROWS($AH$2:AH640),$AH$2:$AH$1001,0),0), INDEX($AO$1004:$BQ$1004,1,MATCH(COLUMNS($AO$1006:AU1006),$AO$1006:$BQ$1006,0)))),"Fix")))</f>
        <v>#N/A</v>
      </c>
      <c r="I640" s="5" t="e">
        <f ca="1">IF(OR(INDEX($AI$2:$AI$1001,MATCH(ROWS($AH$2:AH640),$AH$2:$AH$1001,0),1)&gt;=100000,INDEX($AO$1005:$BQ$1005,1,MATCH(COLUMNS($AO$1006:AV1006),$AO$1006:$BQ$1006,0))&gt;=100000), " ",IF(INDEX($AO$2:$BQ$1001,MATCH(ROWS($AH$2:AH640),$AH$2:$AH$1001,0),MATCH(COLUMNS($AO$1006:AV1006),$AO$1006:$BQ$1006,0)), HYPERLINK("#",""), HYPERLINK(CONCATENATE("#Metadata!", ADDRESS(INDEX($AJ$2:$AJ$1001,MATCH(ROWS($AH$2:AH640),$AH$2:$AH$1001,0),0), INDEX($AO$1004:$BQ$1004,1,MATCH(COLUMNS($AO$1006:AV1006),$AO$1006:$BQ$1006,0)))),"Fix")))</f>
        <v>#N/A</v>
      </c>
      <c r="J640" s="5" t="e">
        <f ca="1">IF(OR(INDEX($AI$2:$AI$1001,MATCH(ROWS($AH$2:AH640),$AH$2:$AH$1001,0),1)&gt;=100000,INDEX($AO$1005:$BQ$1005,1,MATCH(COLUMNS($AO$1006:AW1006),$AO$1006:$BQ$1006,0))&gt;=100000), " ",IF(INDEX($AO$2:$BQ$1001,MATCH(ROWS($AH$2:AH640),$AH$2:$AH$1001,0),MATCH(COLUMNS($AO$1006:AW1006),$AO$1006:$BQ$1006,0)), HYPERLINK("#",""), HYPERLINK(CONCATENATE("#Metadata!", ADDRESS(INDEX($AJ$2:$AJ$1001,MATCH(ROWS($AH$2:AH640),$AH$2:$AH$1001,0),0), INDEX($AO$1004:$BQ$1004,1,MATCH(COLUMNS($AO$1006:AW1006),$AO$1006:$BQ$1006,0)))),"Fix")))</f>
        <v>#N/A</v>
      </c>
      <c r="K640" s="5" t="e">
        <f ca="1">IF(OR(INDEX($AI$2:$AI$1001,MATCH(ROWS($AH$2:AH640),$AH$2:$AH$1001,0),1)&gt;=100000,INDEX($AO$1005:$BQ$1005,1,MATCH(COLUMNS($AO$1006:AX1006),$AO$1006:$BQ$1006,0))&gt;=100000), " ",IF(INDEX($AO$2:$BQ$1001,MATCH(ROWS($AH$2:AH640),$AH$2:$AH$1001,0),MATCH(COLUMNS($AO$1006:AX1006),$AO$1006:$BQ$1006,0)), HYPERLINK("#",""), HYPERLINK(CONCATENATE("#Metadata!", ADDRESS(INDEX($AJ$2:$AJ$1001,MATCH(ROWS($AH$2:AH640),$AH$2:$AH$1001,0),0), INDEX($AO$1004:$BQ$1004,1,MATCH(COLUMNS($AO$1006:AX1006),$AO$1006:$BQ$1006,0)))),"Fix")))</f>
        <v>#N/A</v>
      </c>
      <c r="L640" s="5" t="e">
        <f ca="1">IF(OR(INDEX($AI$2:$AI$1001,MATCH(ROWS($AH$2:AH640),$AH$2:$AH$1001,0),1)&gt;=100000,INDEX($AO$1005:$BQ$1005,1,MATCH(COLUMNS($AO$1006:AY1006),$AO$1006:$BQ$1006,0))&gt;=100000), " ",IF(INDEX($AO$2:$BQ$1001,MATCH(ROWS($AH$2:AH640),$AH$2:$AH$1001,0),MATCH(COLUMNS($AO$1006:AY1006),$AO$1006:$BQ$1006,0)), HYPERLINK("#",""), HYPERLINK(CONCATENATE("#Metadata!", ADDRESS(INDEX($AJ$2:$AJ$1001,MATCH(ROWS($AH$2:AH640),$AH$2:$AH$1001,0),0), INDEX($AO$1004:$BQ$1004,1,MATCH(COLUMNS($AO$1006:AY1006),$AO$1006:$BQ$1006,0)))),"Fix")))</f>
        <v>#N/A</v>
      </c>
      <c r="M640" s="5" t="e">
        <f ca="1">IF(OR(INDEX($AI$2:$AI$1001,MATCH(ROWS($AH$2:AH640),$AH$2:$AH$1001,0),1)&gt;=100000,INDEX($AO$1005:$BQ$1005,1,MATCH(COLUMNS($AO$1006:AZ1006),$AO$1006:$BQ$1006,0))&gt;=100000), " ",IF(INDEX($AO$2:$BQ$1001,MATCH(ROWS($AH$2:AH640),$AH$2:$AH$1001,0),MATCH(COLUMNS($AO$1006:AZ1006),$AO$1006:$BQ$1006,0)), HYPERLINK("#",""), HYPERLINK(CONCATENATE("#Metadata!", ADDRESS(INDEX($AJ$2:$AJ$1001,MATCH(ROWS($AH$2:AH640),$AH$2:$AH$1001,0),0), INDEX($AO$1004:$BQ$1004,1,MATCH(COLUMNS($AO$1006:AZ1006),$AO$1006:$BQ$1006,0)))),"Fix")))</f>
        <v>#N/A</v>
      </c>
      <c r="N640" s="5" t="e">
        <f ca="1">IF(OR(INDEX($AI$2:$AI$1001,MATCH(ROWS($AH$2:AH640),$AH$2:$AH$1001,0),1)&gt;=100000,INDEX($AO$1005:$BQ$1005,1,MATCH(COLUMNS($AO$1006:BA1006),$AO$1006:$BQ$1006,0))&gt;=100000), " ",IF(INDEX($AO$2:$BQ$1001,MATCH(ROWS($AH$2:AH640),$AH$2:$AH$1001,0),MATCH(COLUMNS($AO$1006:BA1006),$AO$1006:$BQ$1006,0)), HYPERLINK("#",""), HYPERLINK(CONCATENATE("#Metadata!", ADDRESS(INDEX($AJ$2:$AJ$1001,MATCH(ROWS($AH$2:AH640),$AH$2:$AH$1001,0),0), INDEX($AO$1004:$BQ$1004,1,MATCH(COLUMNS($AO$1006:BA1006),$AO$1006:$BQ$1006,0)))),"Fix")))</f>
        <v>#N/A</v>
      </c>
      <c r="O640" s="5" t="e">
        <f ca="1">IF(OR(INDEX($AI$2:$AI$1001,MATCH(ROWS($AH$2:AH640),$AH$2:$AH$1001,0),1)&gt;=100000,INDEX($AO$1005:$BQ$1005,1,MATCH(COLUMNS($AO$1006:BB1006),$AO$1006:$BQ$1006,0))&gt;=100000), " ",IF(INDEX($AO$2:$BQ$1001,MATCH(ROWS($AH$2:AH640),$AH$2:$AH$1001,0),MATCH(COLUMNS($AO$1006:BB1006),$AO$1006:$BQ$1006,0)), HYPERLINK("#",""), HYPERLINK(CONCATENATE("#Metadata!", ADDRESS(INDEX($AJ$2:$AJ$1001,MATCH(ROWS($AH$2:AH640),$AH$2:$AH$1001,0),0), INDEX($AO$1004:$BQ$1004,1,MATCH(COLUMNS($AO$1006:BB1006),$AO$1006:$BQ$1006,0)))),"Fix")))</f>
        <v>#N/A</v>
      </c>
      <c r="P640" s="5" t="e">
        <f ca="1">IF(OR(INDEX($AI$2:$AI$1001,MATCH(ROWS($AH$2:AH640),$AH$2:$AH$1001,0),1)&gt;=100000,INDEX($AO$1005:$BQ$1005,1,MATCH(COLUMNS($AO$1006:BC1006),$AO$1006:$BQ$1006,0))&gt;=100000), " ",IF(INDEX($AO$2:$BQ$1001,MATCH(ROWS($AH$2:AH640),$AH$2:$AH$1001,0),MATCH(COLUMNS($AO$1006:BC1006),$AO$1006:$BQ$1006,0)), HYPERLINK("#",""), HYPERLINK(CONCATENATE("#Metadata!", ADDRESS(INDEX($AJ$2:$AJ$1001,MATCH(ROWS($AH$2:AH640),$AH$2:$AH$1001,0),0), INDEX($AO$1004:$BQ$1004,1,MATCH(COLUMNS($AO$1006:BC1006),$AO$1006:$BQ$1006,0)))),"Fix")))</f>
        <v>#N/A</v>
      </c>
      <c r="Q640" s="5" t="e">
        <f ca="1">IF(OR(INDEX($AI$2:$AI$1001,MATCH(ROWS($AH$2:AH640),$AH$2:$AH$1001,0),1)&gt;=100000,INDEX($AO$1005:$BQ$1005,1,MATCH(COLUMNS($AO$1006:BD1006),$AO$1006:$BQ$1006,0))&gt;=100000), " ",IF(INDEX($AO$2:$BQ$1001,MATCH(ROWS($AH$2:AH640),$AH$2:$AH$1001,0),MATCH(COLUMNS($AO$1006:BD1006),$AO$1006:$BQ$1006,0)), HYPERLINK("#",""), HYPERLINK(CONCATENATE("#Metadata!", ADDRESS(INDEX($AJ$2:$AJ$1001,MATCH(ROWS($AH$2:AH640),$AH$2:$AH$1001,0),0), INDEX($AO$1004:$BQ$1004,1,MATCH(COLUMNS($AO$1006:BD1006),$AO$1006:$BQ$1006,0)))),"Fix")))</f>
        <v>#N/A</v>
      </c>
      <c r="R640" s="5" t="e">
        <f ca="1">IF(OR(INDEX($AI$2:$AI$1001,MATCH(ROWS($AH$2:AH640),$AH$2:$AH$1001,0),1)&gt;=100000,INDEX($AO$1005:$BQ$1005,1,MATCH(COLUMNS($AO$1006:BE1006),$AO$1006:$BQ$1006,0))&gt;=100000), " ",IF(INDEX($AO$2:$BQ$1001,MATCH(ROWS($AH$2:AH640),$AH$2:$AH$1001,0),MATCH(COLUMNS($AO$1006:BE1006),$AO$1006:$BQ$1006,0)), HYPERLINK("#",""), HYPERLINK(CONCATENATE("#Metadata!", ADDRESS(INDEX($AJ$2:$AJ$1001,MATCH(ROWS($AH$2:AH640),$AH$2:$AH$1001,0),0), INDEX($AO$1004:$BQ$1004,1,MATCH(COLUMNS($AO$1006:BE1006),$AO$1006:$BQ$1006,0)))),"Fix")))</f>
        <v>#N/A</v>
      </c>
      <c r="S640" s="5" t="e">
        <f ca="1">IF(OR(INDEX($AI$2:$AI$1001,MATCH(ROWS($AH$2:AH640),$AH$2:$AH$1001,0),1)&gt;=100000,INDEX($AO$1005:$BQ$1005,1,MATCH(COLUMNS($AO$1006:BF1006),$AO$1006:$BQ$1006,0))&gt;=100000), " ",IF(INDEX($AO$2:$BQ$1001,MATCH(ROWS($AH$2:AH640),$AH$2:$AH$1001,0),MATCH(COLUMNS($AO$1006:BF1006),$AO$1006:$BQ$1006,0)), HYPERLINK("#",""), HYPERLINK(CONCATENATE("#Metadata!", ADDRESS(INDEX($AJ$2:$AJ$1001,MATCH(ROWS($AH$2:AH640),$AH$2:$AH$1001,0),0), INDEX($AO$1004:$BQ$1004,1,MATCH(COLUMNS($AO$1006:BF1006),$AO$1006:$BQ$1006,0)))),"Fix")))</f>
        <v>#N/A</v>
      </c>
      <c r="T640" s="5" t="e">
        <f ca="1">IF(OR(INDEX($AI$2:$AI$1001,MATCH(ROWS($AH$2:AH640),$AH$2:$AH$1001,0),1)&gt;=100000,INDEX($AO$1005:$BQ$1005,1,MATCH(COLUMNS($AO$1006:BG1006),$AO$1006:$BQ$1006,0))&gt;=100000), " ",IF(INDEX($AO$2:$BQ$1001,MATCH(ROWS($AH$2:AH640),$AH$2:$AH$1001,0),MATCH(COLUMNS($AO$1006:BG1006),$AO$1006:$BQ$1006,0)), HYPERLINK("#",""), HYPERLINK(CONCATENATE("#Metadata!", ADDRESS(INDEX($AJ$2:$AJ$1001,MATCH(ROWS($AH$2:AH640),$AH$2:$AH$1001,0),0), INDEX($AO$1004:$BQ$1004,1,MATCH(COLUMNS($AO$1006:BG1006),$AO$1006:$BQ$1006,0)))),"Fix")))</f>
        <v>#N/A</v>
      </c>
      <c r="U640" s="5" t="e">
        <f ca="1">IF(OR(INDEX($AI$2:$AI$1001,MATCH(ROWS($AH$2:AH640),$AH$2:$AH$1001,0),1)&gt;=100000,INDEX($AO$1005:$BQ$1005,1,MATCH(COLUMNS($AO$1006:BH1006),$AO$1006:$BQ$1006,0))&gt;=100000), " ",IF(INDEX($AO$2:$BQ$1001,MATCH(ROWS($AH$2:AH640),$AH$2:$AH$1001,0),MATCH(COLUMNS($AO$1006:BH1006),$AO$1006:$BQ$1006,0)), HYPERLINK("#",""), HYPERLINK(CONCATENATE("#Metadata!", ADDRESS(INDEX($AJ$2:$AJ$1001,MATCH(ROWS($AH$2:AH640),$AH$2:$AH$1001,0),0), INDEX($AO$1004:$BQ$1004,1,MATCH(COLUMNS($AO$1006:BH1006),$AO$1006:$BQ$1006,0)))),"Fix")))</f>
        <v>#N/A</v>
      </c>
      <c r="V640" s="5" t="e">
        <f ca="1">IF(OR(INDEX($AI$2:$AI$1001,MATCH(ROWS($AH$2:AH640),$AH$2:$AH$1001,0),1)&gt;=100000,INDEX($AO$1005:$BQ$1005,1,MATCH(COLUMNS($AO$1006:BI1006),$AO$1006:$BQ$1006,0))&gt;=100000), " ",IF(INDEX($AO$2:$BQ$1001,MATCH(ROWS($AH$2:AH640),$AH$2:$AH$1001,0),MATCH(COLUMNS($AO$1006:BI1006),$AO$1006:$BQ$1006,0)), HYPERLINK("#",""), HYPERLINK(CONCATENATE("#Metadata!", ADDRESS(INDEX($AJ$2:$AJ$1001,MATCH(ROWS($AH$2:AH640),$AH$2:$AH$1001,0),0), INDEX($AO$1004:$BQ$1004,1,MATCH(COLUMNS($AO$1006:BI1006),$AO$1006:$BQ$1006,0)))),"Fix")))</f>
        <v>#N/A</v>
      </c>
      <c r="W640" s="5" t="e">
        <f ca="1">IF(OR(INDEX($AI$2:$AI$1001,MATCH(ROWS($AH$2:AH640),$AH$2:$AH$1001,0),1)&gt;=100000,INDEX($AO$1005:$BQ$1005,1,MATCH(COLUMNS($AO$1006:BJ1006),$AO$1006:$BQ$1006,0))&gt;=100000), " ",IF(INDEX($AO$2:$BQ$1001,MATCH(ROWS($AH$2:AH640),$AH$2:$AH$1001,0),MATCH(COLUMNS($AO$1006:BJ1006),$AO$1006:$BQ$1006,0)), HYPERLINK("#",""), HYPERLINK(CONCATENATE("#Metadata!", ADDRESS(INDEX($AJ$2:$AJ$1001,MATCH(ROWS($AH$2:AH640),$AH$2:$AH$1001,0),0), INDEX($AO$1004:$BQ$1004,1,MATCH(COLUMNS($AO$1006:BJ1006),$AO$1006:$BQ$1006,0)))),"Fix")))</f>
        <v>#N/A</v>
      </c>
      <c r="X640" s="5" t="e">
        <f ca="1">IF(OR(INDEX($AI$2:$AI$1001,MATCH(ROWS($AH$2:AH640),$AH$2:$AH$1001,0),1)&gt;=100000,INDEX($AO$1005:$BQ$1005,1,MATCH(COLUMNS($AO$1006:BK1006),$AO$1006:$BQ$1006,0))&gt;=100000), " ",IF(INDEX($AO$2:$BQ$1001,MATCH(ROWS($AH$2:AH640),$AH$2:$AH$1001,0),MATCH(COLUMNS($AO$1006:BK1006),$AO$1006:$BQ$1006,0)), HYPERLINK("#",""), HYPERLINK(CONCATENATE("#Metadata!", ADDRESS(INDEX($AJ$2:$AJ$1001,MATCH(ROWS($AH$2:AH640),$AH$2:$AH$1001,0),0), INDEX($AO$1004:$BQ$1004,1,MATCH(COLUMNS($AO$1006:BK1006),$AO$1006:$BQ$1006,0)))),"Fix")))</f>
        <v>#N/A</v>
      </c>
      <c r="Y640" s="5" t="e">
        <f ca="1">IF(OR(INDEX($AI$2:$AI$1001,MATCH(ROWS($AH$2:AH640),$AH$2:$AH$1001,0),1)&gt;=100000,INDEX($AO$1005:$BQ$1005,1,MATCH(COLUMNS($AO$1006:BL1006),$AO$1006:$BQ$1006,0))&gt;=100000), " ",IF(INDEX($AO$2:$BQ$1001,MATCH(ROWS($AH$2:AH640),$AH$2:$AH$1001,0),MATCH(COLUMNS($AO$1006:BL1006),$AO$1006:$BQ$1006,0)), HYPERLINK("#",""), HYPERLINK(CONCATENATE("#Metadata!", ADDRESS(INDEX($AJ$2:$AJ$1001,MATCH(ROWS($AH$2:AH640),$AH$2:$AH$1001,0),0), INDEX($AO$1004:$BQ$1004,1,MATCH(COLUMNS($AO$1006:BL1006),$AO$1006:$BQ$1006,0)))),"Fix")))</f>
        <v>#N/A</v>
      </c>
      <c r="Z640" s="5" t="e">
        <f ca="1">IF(OR(INDEX($AI$2:$AI$1001,MATCH(ROWS($AH$2:AH640),$AH$2:$AH$1001,0),1)&gt;=100000,INDEX($AO$1005:$BQ$1005,1,MATCH(COLUMNS($AO$1006:BM1006),$AO$1006:$BQ$1006,0))&gt;=100000), " ",IF(INDEX($AO$2:$BQ$1001,MATCH(ROWS($AH$2:AH640),$AH$2:$AH$1001,0),MATCH(COLUMNS($AO$1006:BM1006),$AO$1006:$BQ$1006,0)), HYPERLINK("#",""), HYPERLINK(CONCATENATE("#Metadata!", ADDRESS(INDEX($AJ$2:$AJ$1001,MATCH(ROWS($AH$2:AH640),$AH$2:$AH$1001,0),0), INDEX($AO$1004:$BQ$1004,1,MATCH(COLUMNS($AO$1006:BM1006),$AO$1006:$BQ$1006,0)))),"Fix")))</f>
        <v>#N/A</v>
      </c>
      <c r="AA640" s="5" t="e">
        <f ca="1">IF(OR(INDEX($AI$2:$AI$1001,MATCH(ROWS($AH$2:AH640),$AH$2:$AH$1001,0),1)&gt;=100000,INDEX($AO$1005:$BQ$1005,1,MATCH(COLUMNS($AO$1006:BN1006),$AO$1006:$BQ$1006,0))&gt;=100000), " ",IF(INDEX($AO$2:$BQ$1001,MATCH(ROWS($AH$2:AH640),$AH$2:$AH$1001,0),MATCH(COLUMNS($AO$1006:BN1006),$AO$1006:$BQ$1006,0)), HYPERLINK("#",""), HYPERLINK(CONCATENATE("#Metadata!", ADDRESS(INDEX($AJ$2:$AJ$1001,MATCH(ROWS($AH$2:AH640),$AH$2:$AH$1001,0),0), INDEX($AO$1004:$BQ$1004,1,MATCH(COLUMNS($AO$1006:BN1006),$AO$1006:$BQ$1006,0)))),"Fix")))</f>
        <v>#N/A</v>
      </c>
      <c r="AB640" s="5" t="e">
        <f ca="1">IF(OR(INDEX($AI$2:$AI$1001,MATCH(ROWS($AH$2:AH640),$AH$2:$AH$1001,0),1)&gt;=100000,INDEX($AO$1005:$BQ$1005,1,MATCH(COLUMNS($AO$1006:BO1006),$AO$1006:$BQ$1006,0))&gt;=100000), " ",IF(INDEX($AO$2:$BQ$1001,MATCH(ROWS($AH$2:AH640),$AH$2:$AH$1001,0),MATCH(COLUMNS($AO$1006:BO1006),$AO$1006:$BQ$1006,0)), HYPERLINK("#",""), HYPERLINK(CONCATENATE("#Metadata!", ADDRESS(INDEX($AJ$2:$AJ$1001,MATCH(ROWS($AH$2:AH640),$AH$2:$AH$1001,0),0), INDEX($AO$1004:$BQ$1004,1,MATCH(COLUMNS($AO$1006:BO1006),$AO$1006:$BQ$1006,0)))),"Fix")))</f>
        <v>#N/A</v>
      </c>
      <c r="AC640" s="5" t="e">
        <f ca="1">IF(OR(INDEX($AI$2:$AI$1001,MATCH(ROWS($AH$2:AH640),$AH$2:$AH$1001,0),1)&gt;=100000,INDEX($AO$1005:$BQ$1005,1,MATCH(COLUMNS($AO$1006:BP1006),$AO$1006:$BQ$1006,0))&gt;=100000), " ",IF(INDEX($AO$2:$BQ$1001,MATCH(ROWS($AH$2:AH640),$AH$2:$AH$1001,0),MATCH(COLUMNS($AO$1006:BP1006),$AO$1006:$BQ$1006,0)), HYPERLINK("#",""), HYPERLINK(CONCATENATE("#Metadata!", ADDRESS(INDEX($AJ$2:$AJ$1001,MATCH(ROWS($AH$2:AH640),$AH$2:$AH$1001,0),0), INDEX($AO$1004:$BQ$1004,1,MATCH(COLUMNS($AO$1006:BP1006),$AO$1006:$BQ$1006,0)))),"Fix")))</f>
        <v>#N/A</v>
      </c>
      <c r="AD640" s="5" t="e">
        <f ca="1">IF(OR(INDEX($AI$2:$AI$1001,MATCH(ROWS($AH$2:AH640),$AH$2:$AH$1001,0),1)&gt;=100000,INDEX($AO$1005:$BQ$1005,1,MATCH(COLUMNS($AO$1006:BQ1006),$AO$1006:$BQ$1006,0))&gt;=100000), " ",IF(INDEX($AO$2:$BQ$1001,MATCH(ROWS($AH$2:AH640),$AH$2:$AH$1001,0),MATCH(COLUMNS($AO$1006:BQ1006),$AO$1006:$BQ$1006,0)), HYPERLINK("#",""), HYPERLINK(CONCATENATE("#Metadata!", ADDRESS(INDEX($AJ$2:$AJ$1001,MATCH(ROWS($AH$2:AH640),$AH$2:$AH$1001,0),0), INDEX($AO$1004:$BQ$1004,1,MATCH(COLUMNS($AO$1006:BQ1006),$AO$1006:$BQ$1006,0)))),"Fix")))</f>
        <v>#REF!</v>
      </c>
      <c r="AH640">
        <f ca="1"/>
        <v>637</v>
      </c>
      <c r="AI640">
        <v>100640</v>
      </c>
      <c r="AJ640">
        <v>640</v>
      </c>
      <c r="AK640" t="b">
        <f t="shared" si="9"/>
        <v>1</v>
      </c>
      <c r="AL640" t="b">
        <f>COUNTBLANK(Metadata!B640:AD640)=COLUMNS(Metadata!B640:AD640)</f>
        <v>1</v>
      </c>
      <c r="AM640" t="str">
        <v/>
      </c>
      <c r="AO640" t="b">
        <f ca="1">AND(IF(Metadata!B640="",FALSE,TRUE),COUNTIF(Metadata!B:B, Metadata!B640) = 1,NOT(ISERROR(SUMPRODUCT(SEARCH(MID(Metadata!B640,ROW(INDIRECT("1:"&amp;LEN(Metadata!B640))), 1),"0123456789abcdefghijklmnopqrstuvwxyzABCDEFGHIJKLMNOPQRSTUVWXYZ.")))))</f>
        <v>0</v>
      </c>
      <c r="AP640" t="b">
        <f>IF(Metadata!C640="",FALSE,TRUE)</f>
        <v>0</v>
      </c>
      <c r="AQ640" t="b">
        <f>IF(Metadata!D640="",FALSE,TRUE)</f>
        <v>0</v>
      </c>
      <c r="AR640" t="b">
        <f ca="1">OR(AND(IF(Metadata!E640="",FALSE,TRUE),OR(EXACT(Metadata!E640,"not collected"),EXACT(Metadata!E640,"not provided"),EXACT(Metadata!E640,"restricted access"))),AND(IF(Metadata!E640="",FALSE,TRUE),AND(AND(IFERROR(INT(LEFT(Metadata!E640,4))&gt;1900,FALSE),IFERROR(INT(LEFT(Metadata!E640,4))&lt;=YEAR(NOW()),FALSE)), OR(MID(Metadata!E640,5,1)="", AND(AND(MID(Metadata!E640,5,1)="-",IFERROR(INT(MID(Metadata!E640,6,1))&gt;=0,FALSE),IFERROR(INT(MID(Metadata!E640,6,1))&lt;=1,FALSE),NOT(MID(Metadata!E640,7,1)=""),IFERROR(INT(MID(Metadata!E640,6,2))&gt;=1,FALSE),IFERROR(INT(MID(Metadata!E640,6,2))&lt;=12,FALSE)), OR(MID(Metadata!E640,8,1)="", AND(AND(MID(Metadata!E640,8,1)="-",IFERROR(INT(MID(Metadata!E640,9,1))&gt;=0,FALSE),IFERROR(INT(MID(Metadata!E640,9,1))&lt;=3,FALSE),NOT(MID(Metadata!E640,10,1)=""),IFERROR(INT(MID(Metadata!E640,9,2))&gt;=1,FALSE),IFERROR(INT(MID(Metadata!E640,9,2))&lt;=31,FALSE)), OR(MID(Metadata!E640,11,1)="", AND(AND(MID(Metadata!E640,11,1)=" ",IFERROR(INT(MID(Metadata!E640,12,1))&gt;=0,FALSE),IFERROR(INT(MID(Metadata!E640,12,1))&lt;=2,FALSE),NOT(MID(Metadata!E640,13,1)=""),IFERROR(INT(MID(Metadata!E640,12,2))&gt;=0,FALSE),IFERROR(INT(MID(Metadata!E640,12,2))&lt;=23,FALSE)), OR(MID(Metadata!E640,14,1)="", AND(AND(MID(Metadata!E640,14,1)=":",IFERROR(INT(MID(Metadata!E640,15,1))&gt;=0,FALSE),IFERROR(INT(MID(Metadata!E640,15,1))&lt;=5,FALSE),NOT(MID(Metadata!E640,16,1)=""),IFERROR(INT(MID(Metadata!E640,15,2))&gt;=0,FALSE),IFERROR(INT(MID(Metadata!E640,15,2))&lt;=59,FALSE)), OR(MID(Metadata!E640,17,1)="", AND(AND(MID(Metadata!E640,17,1)=":",IFERROR(INT(MID(Metadata!E640,18,1))&gt;=0,FALSE),IFERROR(INT(MID(Metadata!E640,18,1))&lt;=5,FALSE),NOT(MID(Metadata!E640,19,1)=""),IFERROR(INT(MID(Metadata!E640,18,2))&gt;=0,FALSE),IFERROR(INT(MID(Metadata!E640,18,2))&lt;=59,FALSE)), LEN(Metadata!E640)&lt;=19)))))))))))))</f>
        <v>0</v>
      </c>
      <c r="AS640" t="b">
        <f>IF(Metadata!F640="",FALSE,TRUE)</f>
        <v>0</v>
      </c>
      <c r="AT640" t="b">
        <f>OR(AND(IF(Metadata!G640="",FALSE,TRUE),OR(EXACT(Metadata!G640,"not collected"),EXACT(Metadata!G640,"not provided"))),AND(IF(Metadata!G640="",FALSE,TRUE),OR(EXACT(Metadata!G640,"TRUE"),EXACT(Metadata!G640,"FALSE"))))</f>
        <v>0</v>
      </c>
      <c r="AU640" t="b">
        <f>OR(AND(IF(Metadata!H640="",FALSE,TRUE),OR(EXACT(Metadata!H640,"not collected"),EXACT(Metadata!H640,"not provided"),EXACT(Metadata!H640,"restricted access"))),AND(IF(Metadata!H640="",FALSE,ISNUMBER(VALUE(Metadata!H640))),Metadata!H640&gt;=-413))</f>
        <v>0</v>
      </c>
      <c r="AV640" t="b">
        <f>AND(IF(Metadata!I640="",FALSE,TRUE),EXACT(Metadata!I640,"meters"))</f>
        <v>0</v>
      </c>
      <c r="AW640" t="b">
        <f>AND(IF(Metadata!J640="",FALSE,TRUE),EXACT(Metadata!J640,"free-living"))</f>
        <v>0</v>
      </c>
      <c r="AX640" t="b">
        <f>AND(IF(Metadata!K640="",FALSE,TRUE),OR(EXACT(Metadata!K640,"saline"),EXACT(Metadata!K640,"non-saline")))</f>
        <v>0</v>
      </c>
      <c r="AY640" t="b">
        <f>AND(IF(Metadata!L640="",FALSE,TRUE),OR(EXACT(Metadata!L640,"sub-surface (non-saline)"),EXACT(Metadata!L640,"surface (non-saline)"),EXACT(Metadata!L640,"water (non-saline)"),EXACT(Metadata!L640,"soil (non-saline)"),EXACT(Metadata!L640,"aerosol (non-saline)"),EXACT(Metadata!L640,"sediment (non-saline)"),EXACT(Metadata!L640,"surface (saline)"),EXACT(Metadata!L640,"water (saline)"),EXACT(Metadata!L640,"hypersaline (saline)"),EXACT(Metadata!L640,"aerosol (saline)"),EXACT(Metadata!L640,"sediment (saline)")))</f>
        <v>0</v>
      </c>
      <c r="AZ640" t="b">
        <f>IF(Metadata!M640="",FALSE,TRUE)</f>
        <v>0</v>
      </c>
      <c r="BA640" t="b">
        <f>IF(Metadata!N640="",FALSE,TRUE)</f>
        <v>0</v>
      </c>
      <c r="BB640" t="b">
        <f>IF(Metadata!O640="",FALSE,TRUE)</f>
        <v>0</v>
      </c>
      <c r="BC640" t="b">
        <f>AND(IF(Metadata!P640="",FALSE,TRUE),OR(EXACT(Metadata!P640,"air"),EXACT(Metadata!P640,"microbial mat/biofilm"),EXACT(Metadata!P640,"misc environment"),EXACT(Metadata!P640,"sediment"),EXACT(Metadata!P640,"soil"),EXACT(Metadata!P640,"wastewater/sludge"),EXACT(Metadata!P640,"water")))</f>
        <v>0</v>
      </c>
      <c r="BD640" t="b">
        <f>IF(Metadata!Q640="",FALSE,TRUE)</f>
        <v>0</v>
      </c>
      <c r="BE640" t="b">
        <f>IF(Metadata!R640="",FALSE,TRUE)</f>
        <v>0</v>
      </c>
      <c r="BF640" t="b">
        <f>OR(AND(IF(Metadata!S640="",FALSE,TRUE),OR(EXACT(Metadata!S640,"not collected"),EXACT(Metadata!S640,"not provided"),EXACT(Metadata!S640,"restricted access"))),AND(IF(Metadata!S640="",FALSE,ISNUMBER(VALUE(Metadata!S640))),Metadata!S640&gt;=-90,Metadata!S640&lt;=90))</f>
        <v>0</v>
      </c>
      <c r="BG640" t="b">
        <f>AND(IF(Metadata!T640="",FALSE,TRUE),EXACT(Metadata!T640,"Decimal degrees"))</f>
        <v>0</v>
      </c>
      <c r="BH640" t="b">
        <f>OR(AND(IF(Metadata!U640="",FALSE,TRUE),OR(EXACT(Metadata!U640,"not applicable"),EXACT(Metadata!U640,"not collected"))),IF(Metadata!U640="",FALSE,TRUE))</f>
        <v>0</v>
      </c>
      <c r="BI640" t="b">
        <f>OR(AND(IF(Metadata!V640="",FALSE,TRUE),OR(EXACT(Metadata!V640,"not collected"),EXACT(Metadata!V640,"not provided"),EXACT(Metadata!V640,"restricted access"))),AND(IF(Metadata!V640="",FALSE,ISNUMBER(VALUE(Metadata!V640))),Metadata!V640&gt;=-180,Metadata!V640&lt;=180))</f>
        <v>0</v>
      </c>
      <c r="BJ640" t="b">
        <f>AND(IF(Metadata!W640="",FALSE,TRUE),EXACT(Metadata!W640,"Decimal degrees"))</f>
        <v>0</v>
      </c>
      <c r="BK640" t="b">
        <f>IF(Metadata!X640="",FALSE,TRUE)</f>
        <v>0</v>
      </c>
      <c r="BL640" t="b">
        <f>OR(AND(IF(Metadata!Y640="",FALSE,TRUE),OR(EXACT(Metadata!Y640,"not collected"),EXACT(Metadata!Y640,"not provided"),EXACT(Metadata!Y640,"restricted access"))),AND(IF(Metadata!Y640="",FALSE,TRUE),OR(EXACT(Metadata!Y640,"TRUE"),EXACT(Metadata!Y640,"FALSE"))))</f>
        <v>0</v>
      </c>
      <c r="BM640" t="b">
        <f>OR(AND(IF(Metadata!Z640="",FALSE,TRUE),EXACT(Metadata!Z640,"not applicable")),AND(IF(Metadata!Z640="",FALSE,TRUE),OR(EXACT(Metadata!Z640,"beer"),EXACT(Metadata!Z640,"cheese"),EXACT(Metadata!Z640,"fresh water"),EXACT(Metadata!Z640,"marine sediment"),EXACT(Metadata!Z640,"sea water"),EXACT(Metadata!Z640,"sediment"),EXACT(Metadata!Z640,"soil"),EXACT(Metadata!Z640,"waste water"))))</f>
        <v>0</v>
      </c>
      <c r="BN640" t="b">
        <f>AND(IF(Metadata!AA640="",FALSE,TRUE),EXACT(Metadata!AA640,"metagenome"))</f>
        <v>0</v>
      </c>
      <c r="BO640" t="b">
        <f>AND(IF(Metadata!AB640="",FALSE,TRUE),EXACT(Metadata!AB640,"256318"))</f>
        <v>0</v>
      </c>
      <c r="BP640" t="b">
        <f>IF(Metadata!AC640="",FALSE,TRUE)</f>
        <v>0</v>
      </c>
      <c r="BQ640" t="b">
        <f>IF(Metadata!AD640="",FALSE,TRUE)</f>
        <v>0</v>
      </c>
    </row>
    <row r="641" spans="1:69" x14ac:dyDescent="0.2">
      <c r="A641" s="4" t="e">
        <f ca="1">IF(B641=" "," ",HYPERLINK(CONCATENATE("#metadata!",ADDRESS(INDEX($AJ$2:$AJ$1001,MATCH(ROWS($AH$2:AH641),$AH$2:$AH$1001,0),0),2)),INDEX($AM$2:$AM$1001,MATCH(ROWS($AH$2:AH641),$AH$2:$AH$1001,0),0)))</f>
        <v>#N/A</v>
      </c>
      <c r="B641" s="5" t="e">
        <f ca="1">IF(OR(INDEX($AI$2:$AI$1001,MATCH(ROWS($AH$2:AH641),$AH$2:$AH$1001,0),1)&gt;=100000,INDEX($AO$1005:$BQ$1005,1,MATCH(COLUMNS($AO$1006:AO1006),$AO$1006:$BQ$1006,0))&gt;=100000), " ",IF(INDEX($AO$2:$BQ$1001,MATCH(ROWS($AH$2:AH641),$AH$2:$AH$1001,0),MATCH(COLUMNS($AO$1006:AO1006),$AO$1006:$BQ$1006,0)), HYPERLINK("#",""), HYPERLINK(CONCATENATE("#Metadata!", ADDRESS(INDEX($AJ$2:$AJ$1001,MATCH(ROWS($AH$2:AH641),$AH$2:$AH$1001,0),0), INDEX($AO$1004:$BQ$1004,1,MATCH(COLUMNS($AO$1006:AO1006),$AO$1006:$BQ$1006,0)))),"Fix")))</f>
        <v>#N/A</v>
      </c>
      <c r="C641" s="5" t="e">
        <f ca="1">IF(OR(INDEX($AI$2:$AI$1001,MATCH(ROWS($AH$2:AH641),$AH$2:$AH$1001,0),1)&gt;=100000,INDEX($AO$1005:$BQ$1005,1,MATCH(COLUMNS($AO$1006:AP1006),$AO$1006:$BQ$1006,0))&gt;=100000), " ",IF(INDEX($AO$2:$BQ$1001,MATCH(ROWS($AH$2:AH641),$AH$2:$AH$1001,0),MATCH(COLUMNS($AO$1006:AP1006),$AO$1006:$BQ$1006,0)), HYPERLINK("#",""), HYPERLINK(CONCATENATE("#Metadata!", ADDRESS(INDEX($AJ$2:$AJ$1001,MATCH(ROWS($AH$2:AH641),$AH$2:$AH$1001,0),0), INDEX($AO$1004:$BQ$1004,1,MATCH(COLUMNS($AO$1006:AP1006),$AO$1006:$BQ$1006,0)))),"Fix")))</f>
        <v>#N/A</v>
      </c>
      <c r="D641" s="5" t="e">
        <f ca="1">IF(OR(INDEX($AI$2:$AI$1001,MATCH(ROWS($AH$2:AH641),$AH$2:$AH$1001,0),1)&gt;=100000,INDEX($AO$1005:$BQ$1005,1,MATCH(COLUMNS($AO$1006:AQ1006),$AO$1006:$BQ$1006,0))&gt;=100000), " ",IF(INDEX($AO$2:$BQ$1001,MATCH(ROWS($AH$2:AH641),$AH$2:$AH$1001,0),MATCH(COLUMNS($AO$1006:AQ1006),$AO$1006:$BQ$1006,0)), HYPERLINK("#",""), HYPERLINK(CONCATENATE("#Metadata!", ADDRESS(INDEX($AJ$2:$AJ$1001,MATCH(ROWS($AH$2:AH641),$AH$2:$AH$1001,0),0), INDEX($AO$1004:$BQ$1004,1,MATCH(COLUMNS($AO$1006:AQ1006),$AO$1006:$BQ$1006,0)))),"Fix")))</f>
        <v>#N/A</v>
      </c>
      <c r="E641" s="5" t="e">
        <f ca="1">IF(OR(INDEX($AI$2:$AI$1001,MATCH(ROWS($AH$2:AH641),$AH$2:$AH$1001,0),1)&gt;=100000,INDEX($AO$1005:$BQ$1005,1,MATCH(COLUMNS($AO$1006:AR1006),$AO$1006:$BQ$1006,0))&gt;=100000), " ",IF(INDEX($AO$2:$BQ$1001,MATCH(ROWS($AH$2:AH641),$AH$2:$AH$1001,0),MATCH(COLUMNS($AO$1006:AR1006),$AO$1006:$BQ$1006,0)), HYPERLINK("#",""), HYPERLINK(CONCATENATE("#Metadata!", ADDRESS(INDEX($AJ$2:$AJ$1001,MATCH(ROWS($AH$2:AH641),$AH$2:$AH$1001,0),0), INDEX($AO$1004:$BQ$1004,1,MATCH(COLUMNS($AO$1006:AR1006),$AO$1006:$BQ$1006,0)))),"Fix")))</f>
        <v>#N/A</v>
      </c>
      <c r="F641" s="5" t="e">
        <f ca="1">IF(OR(INDEX($AI$2:$AI$1001,MATCH(ROWS($AH$2:AH641),$AH$2:$AH$1001,0),1)&gt;=100000,INDEX($AO$1005:$BQ$1005,1,MATCH(COLUMNS($AO$1006:AS1006),$AO$1006:$BQ$1006,0))&gt;=100000), " ",IF(INDEX($AO$2:$BQ$1001,MATCH(ROWS($AH$2:AH641),$AH$2:$AH$1001,0),MATCH(COLUMNS($AO$1006:AS1006),$AO$1006:$BQ$1006,0)), HYPERLINK("#",""), HYPERLINK(CONCATENATE("#Metadata!", ADDRESS(INDEX($AJ$2:$AJ$1001,MATCH(ROWS($AH$2:AH641),$AH$2:$AH$1001,0),0), INDEX($AO$1004:$BQ$1004,1,MATCH(COLUMNS($AO$1006:AS1006),$AO$1006:$BQ$1006,0)))),"Fix")))</f>
        <v>#N/A</v>
      </c>
      <c r="G641" s="5" t="e">
        <f ca="1">IF(OR(INDEX($AI$2:$AI$1001,MATCH(ROWS($AH$2:AH641),$AH$2:$AH$1001,0),1)&gt;=100000,INDEX($AO$1005:$BQ$1005,1,MATCH(COLUMNS($AO$1006:AT1006),$AO$1006:$BQ$1006,0))&gt;=100000), " ",IF(INDEX($AO$2:$BQ$1001,MATCH(ROWS($AH$2:AH641),$AH$2:$AH$1001,0),MATCH(COLUMNS($AO$1006:AT1006),$AO$1006:$BQ$1006,0)), HYPERLINK("#",""), HYPERLINK(CONCATENATE("#Metadata!", ADDRESS(INDEX($AJ$2:$AJ$1001,MATCH(ROWS($AH$2:AH641),$AH$2:$AH$1001,0),0), INDEX($AO$1004:$BQ$1004,1,MATCH(COLUMNS($AO$1006:AT1006),$AO$1006:$BQ$1006,0)))),"Fix")))</f>
        <v>#N/A</v>
      </c>
      <c r="H641" s="5" t="e">
        <f ca="1">IF(OR(INDEX($AI$2:$AI$1001,MATCH(ROWS($AH$2:AH641),$AH$2:$AH$1001,0),1)&gt;=100000,INDEX($AO$1005:$BQ$1005,1,MATCH(COLUMNS($AO$1006:AU1006),$AO$1006:$BQ$1006,0))&gt;=100000), " ",IF(INDEX($AO$2:$BQ$1001,MATCH(ROWS($AH$2:AH641),$AH$2:$AH$1001,0),MATCH(COLUMNS($AO$1006:AU1006),$AO$1006:$BQ$1006,0)), HYPERLINK("#",""), HYPERLINK(CONCATENATE("#Metadata!", ADDRESS(INDEX($AJ$2:$AJ$1001,MATCH(ROWS($AH$2:AH641),$AH$2:$AH$1001,0),0), INDEX($AO$1004:$BQ$1004,1,MATCH(COLUMNS($AO$1006:AU1006),$AO$1006:$BQ$1006,0)))),"Fix")))</f>
        <v>#N/A</v>
      </c>
      <c r="I641" s="5" t="e">
        <f ca="1">IF(OR(INDEX($AI$2:$AI$1001,MATCH(ROWS($AH$2:AH641),$AH$2:$AH$1001,0),1)&gt;=100000,INDEX($AO$1005:$BQ$1005,1,MATCH(COLUMNS($AO$1006:AV1006),$AO$1006:$BQ$1006,0))&gt;=100000), " ",IF(INDEX($AO$2:$BQ$1001,MATCH(ROWS($AH$2:AH641),$AH$2:$AH$1001,0),MATCH(COLUMNS($AO$1006:AV1006),$AO$1006:$BQ$1006,0)), HYPERLINK("#",""), HYPERLINK(CONCATENATE("#Metadata!", ADDRESS(INDEX($AJ$2:$AJ$1001,MATCH(ROWS($AH$2:AH641),$AH$2:$AH$1001,0),0), INDEX($AO$1004:$BQ$1004,1,MATCH(COLUMNS($AO$1006:AV1006),$AO$1006:$BQ$1006,0)))),"Fix")))</f>
        <v>#N/A</v>
      </c>
      <c r="J641" s="5" t="e">
        <f ca="1">IF(OR(INDEX($AI$2:$AI$1001,MATCH(ROWS($AH$2:AH641),$AH$2:$AH$1001,0),1)&gt;=100000,INDEX($AO$1005:$BQ$1005,1,MATCH(COLUMNS($AO$1006:AW1006),$AO$1006:$BQ$1006,0))&gt;=100000), " ",IF(INDEX($AO$2:$BQ$1001,MATCH(ROWS($AH$2:AH641),$AH$2:$AH$1001,0),MATCH(COLUMNS($AO$1006:AW1006),$AO$1006:$BQ$1006,0)), HYPERLINK("#",""), HYPERLINK(CONCATENATE("#Metadata!", ADDRESS(INDEX($AJ$2:$AJ$1001,MATCH(ROWS($AH$2:AH641),$AH$2:$AH$1001,0),0), INDEX($AO$1004:$BQ$1004,1,MATCH(COLUMNS($AO$1006:AW1006),$AO$1006:$BQ$1006,0)))),"Fix")))</f>
        <v>#N/A</v>
      </c>
      <c r="K641" s="5" t="e">
        <f ca="1">IF(OR(INDEX($AI$2:$AI$1001,MATCH(ROWS($AH$2:AH641),$AH$2:$AH$1001,0),1)&gt;=100000,INDEX($AO$1005:$BQ$1005,1,MATCH(COLUMNS($AO$1006:AX1006),$AO$1006:$BQ$1006,0))&gt;=100000), " ",IF(INDEX($AO$2:$BQ$1001,MATCH(ROWS($AH$2:AH641),$AH$2:$AH$1001,0),MATCH(COLUMNS($AO$1006:AX1006),$AO$1006:$BQ$1006,0)), HYPERLINK("#",""), HYPERLINK(CONCATENATE("#Metadata!", ADDRESS(INDEX($AJ$2:$AJ$1001,MATCH(ROWS($AH$2:AH641),$AH$2:$AH$1001,0),0), INDEX($AO$1004:$BQ$1004,1,MATCH(COLUMNS($AO$1006:AX1006),$AO$1006:$BQ$1006,0)))),"Fix")))</f>
        <v>#N/A</v>
      </c>
      <c r="L641" s="5" t="e">
        <f ca="1">IF(OR(INDEX($AI$2:$AI$1001,MATCH(ROWS($AH$2:AH641),$AH$2:$AH$1001,0),1)&gt;=100000,INDEX($AO$1005:$BQ$1005,1,MATCH(COLUMNS($AO$1006:AY1006),$AO$1006:$BQ$1006,0))&gt;=100000), " ",IF(INDEX($AO$2:$BQ$1001,MATCH(ROWS($AH$2:AH641),$AH$2:$AH$1001,0),MATCH(COLUMNS($AO$1006:AY1006),$AO$1006:$BQ$1006,0)), HYPERLINK("#",""), HYPERLINK(CONCATENATE("#Metadata!", ADDRESS(INDEX($AJ$2:$AJ$1001,MATCH(ROWS($AH$2:AH641),$AH$2:$AH$1001,0),0), INDEX($AO$1004:$BQ$1004,1,MATCH(COLUMNS($AO$1006:AY1006),$AO$1006:$BQ$1006,0)))),"Fix")))</f>
        <v>#N/A</v>
      </c>
      <c r="M641" s="5" t="e">
        <f ca="1">IF(OR(INDEX($AI$2:$AI$1001,MATCH(ROWS($AH$2:AH641),$AH$2:$AH$1001,0),1)&gt;=100000,INDEX($AO$1005:$BQ$1005,1,MATCH(COLUMNS($AO$1006:AZ1006),$AO$1006:$BQ$1006,0))&gt;=100000), " ",IF(INDEX($AO$2:$BQ$1001,MATCH(ROWS($AH$2:AH641),$AH$2:$AH$1001,0),MATCH(COLUMNS($AO$1006:AZ1006),$AO$1006:$BQ$1006,0)), HYPERLINK("#",""), HYPERLINK(CONCATENATE("#Metadata!", ADDRESS(INDEX($AJ$2:$AJ$1001,MATCH(ROWS($AH$2:AH641),$AH$2:$AH$1001,0),0), INDEX($AO$1004:$BQ$1004,1,MATCH(COLUMNS($AO$1006:AZ1006),$AO$1006:$BQ$1006,0)))),"Fix")))</f>
        <v>#N/A</v>
      </c>
      <c r="N641" s="5" t="e">
        <f ca="1">IF(OR(INDEX($AI$2:$AI$1001,MATCH(ROWS($AH$2:AH641),$AH$2:$AH$1001,0),1)&gt;=100000,INDEX($AO$1005:$BQ$1005,1,MATCH(COLUMNS($AO$1006:BA1006),$AO$1006:$BQ$1006,0))&gt;=100000), " ",IF(INDEX($AO$2:$BQ$1001,MATCH(ROWS($AH$2:AH641),$AH$2:$AH$1001,0),MATCH(COLUMNS($AO$1006:BA1006),$AO$1006:$BQ$1006,0)), HYPERLINK("#",""), HYPERLINK(CONCATENATE("#Metadata!", ADDRESS(INDEX($AJ$2:$AJ$1001,MATCH(ROWS($AH$2:AH641),$AH$2:$AH$1001,0),0), INDEX($AO$1004:$BQ$1004,1,MATCH(COLUMNS($AO$1006:BA1006),$AO$1006:$BQ$1006,0)))),"Fix")))</f>
        <v>#N/A</v>
      </c>
      <c r="O641" s="5" t="e">
        <f ca="1">IF(OR(INDEX($AI$2:$AI$1001,MATCH(ROWS($AH$2:AH641),$AH$2:$AH$1001,0),1)&gt;=100000,INDEX($AO$1005:$BQ$1005,1,MATCH(COLUMNS($AO$1006:BB1006),$AO$1006:$BQ$1006,0))&gt;=100000), " ",IF(INDEX($AO$2:$BQ$1001,MATCH(ROWS($AH$2:AH641),$AH$2:$AH$1001,0),MATCH(COLUMNS($AO$1006:BB1006),$AO$1006:$BQ$1006,0)), HYPERLINK("#",""), HYPERLINK(CONCATENATE("#Metadata!", ADDRESS(INDEX($AJ$2:$AJ$1001,MATCH(ROWS($AH$2:AH641),$AH$2:$AH$1001,0),0), INDEX($AO$1004:$BQ$1004,1,MATCH(COLUMNS($AO$1006:BB1006),$AO$1006:$BQ$1006,0)))),"Fix")))</f>
        <v>#N/A</v>
      </c>
      <c r="P641" s="5" t="e">
        <f ca="1">IF(OR(INDEX($AI$2:$AI$1001,MATCH(ROWS($AH$2:AH641),$AH$2:$AH$1001,0),1)&gt;=100000,INDEX($AO$1005:$BQ$1005,1,MATCH(COLUMNS($AO$1006:BC1006),$AO$1006:$BQ$1006,0))&gt;=100000), " ",IF(INDEX($AO$2:$BQ$1001,MATCH(ROWS($AH$2:AH641),$AH$2:$AH$1001,0),MATCH(COLUMNS($AO$1006:BC1006),$AO$1006:$BQ$1006,0)), HYPERLINK("#",""), HYPERLINK(CONCATENATE("#Metadata!", ADDRESS(INDEX($AJ$2:$AJ$1001,MATCH(ROWS($AH$2:AH641),$AH$2:$AH$1001,0),0), INDEX($AO$1004:$BQ$1004,1,MATCH(COLUMNS($AO$1006:BC1006),$AO$1006:$BQ$1006,0)))),"Fix")))</f>
        <v>#N/A</v>
      </c>
      <c r="Q641" s="5" t="e">
        <f ca="1">IF(OR(INDEX($AI$2:$AI$1001,MATCH(ROWS($AH$2:AH641),$AH$2:$AH$1001,0),1)&gt;=100000,INDEX($AO$1005:$BQ$1005,1,MATCH(COLUMNS($AO$1006:BD1006),$AO$1006:$BQ$1006,0))&gt;=100000), " ",IF(INDEX($AO$2:$BQ$1001,MATCH(ROWS($AH$2:AH641),$AH$2:$AH$1001,0),MATCH(COLUMNS($AO$1006:BD1006),$AO$1006:$BQ$1006,0)), HYPERLINK("#",""), HYPERLINK(CONCATENATE("#Metadata!", ADDRESS(INDEX($AJ$2:$AJ$1001,MATCH(ROWS($AH$2:AH641),$AH$2:$AH$1001,0),0), INDEX($AO$1004:$BQ$1004,1,MATCH(COLUMNS($AO$1006:BD1006),$AO$1006:$BQ$1006,0)))),"Fix")))</f>
        <v>#N/A</v>
      </c>
      <c r="R641" s="5" t="e">
        <f ca="1">IF(OR(INDEX($AI$2:$AI$1001,MATCH(ROWS($AH$2:AH641),$AH$2:$AH$1001,0),1)&gt;=100000,INDEX($AO$1005:$BQ$1005,1,MATCH(COLUMNS($AO$1006:BE1006),$AO$1006:$BQ$1006,0))&gt;=100000), " ",IF(INDEX($AO$2:$BQ$1001,MATCH(ROWS($AH$2:AH641),$AH$2:$AH$1001,0),MATCH(COLUMNS($AO$1006:BE1006),$AO$1006:$BQ$1006,0)), HYPERLINK("#",""), HYPERLINK(CONCATENATE("#Metadata!", ADDRESS(INDEX($AJ$2:$AJ$1001,MATCH(ROWS($AH$2:AH641),$AH$2:$AH$1001,0),0), INDEX($AO$1004:$BQ$1004,1,MATCH(COLUMNS($AO$1006:BE1006),$AO$1006:$BQ$1006,0)))),"Fix")))</f>
        <v>#N/A</v>
      </c>
      <c r="S641" s="5" t="e">
        <f ca="1">IF(OR(INDEX($AI$2:$AI$1001,MATCH(ROWS($AH$2:AH641),$AH$2:$AH$1001,0),1)&gt;=100000,INDEX($AO$1005:$BQ$1005,1,MATCH(COLUMNS($AO$1006:BF1006),$AO$1006:$BQ$1006,0))&gt;=100000), " ",IF(INDEX($AO$2:$BQ$1001,MATCH(ROWS($AH$2:AH641),$AH$2:$AH$1001,0),MATCH(COLUMNS($AO$1006:BF1006),$AO$1006:$BQ$1006,0)), HYPERLINK("#",""), HYPERLINK(CONCATENATE("#Metadata!", ADDRESS(INDEX($AJ$2:$AJ$1001,MATCH(ROWS($AH$2:AH641),$AH$2:$AH$1001,0),0), INDEX($AO$1004:$BQ$1004,1,MATCH(COLUMNS($AO$1006:BF1006),$AO$1006:$BQ$1006,0)))),"Fix")))</f>
        <v>#N/A</v>
      </c>
      <c r="T641" s="5" t="e">
        <f ca="1">IF(OR(INDEX($AI$2:$AI$1001,MATCH(ROWS($AH$2:AH641),$AH$2:$AH$1001,0),1)&gt;=100000,INDEX($AO$1005:$BQ$1005,1,MATCH(COLUMNS($AO$1006:BG1006),$AO$1006:$BQ$1006,0))&gt;=100000), " ",IF(INDEX($AO$2:$BQ$1001,MATCH(ROWS($AH$2:AH641),$AH$2:$AH$1001,0),MATCH(COLUMNS($AO$1006:BG1006),$AO$1006:$BQ$1006,0)), HYPERLINK("#",""), HYPERLINK(CONCATENATE("#Metadata!", ADDRESS(INDEX($AJ$2:$AJ$1001,MATCH(ROWS($AH$2:AH641),$AH$2:$AH$1001,0),0), INDEX($AO$1004:$BQ$1004,1,MATCH(COLUMNS($AO$1006:BG1006),$AO$1006:$BQ$1006,0)))),"Fix")))</f>
        <v>#N/A</v>
      </c>
      <c r="U641" s="5" t="e">
        <f ca="1">IF(OR(INDEX($AI$2:$AI$1001,MATCH(ROWS($AH$2:AH641),$AH$2:$AH$1001,0),1)&gt;=100000,INDEX($AO$1005:$BQ$1005,1,MATCH(COLUMNS($AO$1006:BH1006),$AO$1006:$BQ$1006,0))&gt;=100000), " ",IF(INDEX($AO$2:$BQ$1001,MATCH(ROWS($AH$2:AH641),$AH$2:$AH$1001,0),MATCH(COLUMNS($AO$1006:BH1006),$AO$1006:$BQ$1006,0)), HYPERLINK("#",""), HYPERLINK(CONCATENATE("#Metadata!", ADDRESS(INDEX($AJ$2:$AJ$1001,MATCH(ROWS($AH$2:AH641),$AH$2:$AH$1001,0),0), INDEX($AO$1004:$BQ$1004,1,MATCH(COLUMNS($AO$1006:BH1006),$AO$1006:$BQ$1006,0)))),"Fix")))</f>
        <v>#N/A</v>
      </c>
      <c r="V641" s="5" t="e">
        <f ca="1">IF(OR(INDEX($AI$2:$AI$1001,MATCH(ROWS($AH$2:AH641),$AH$2:$AH$1001,0),1)&gt;=100000,INDEX($AO$1005:$BQ$1005,1,MATCH(COLUMNS($AO$1006:BI1006),$AO$1006:$BQ$1006,0))&gt;=100000), " ",IF(INDEX($AO$2:$BQ$1001,MATCH(ROWS($AH$2:AH641),$AH$2:$AH$1001,0),MATCH(COLUMNS($AO$1006:BI1006),$AO$1006:$BQ$1006,0)), HYPERLINK("#",""), HYPERLINK(CONCATENATE("#Metadata!", ADDRESS(INDEX($AJ$2:$AJ$1001,MATCH(ROWS($AH$2:AH641),$AH$2:$AH$1001,0),0), INDEX($AO$1004:$BQ$1004,1,MATCH(COLUMNS($AO$1006:BI1006),$AO$1006:$BQ$1006,0)))),"Fix")))</f>
        <v>#N/A</v>
      </c>
      <c r="W641" s="5" t="e">
        <f ca="1">IF(OR(INDEX($AI$2:$AI$1001,MATCH(ROWS($AH$2:AH641),$AH$2:$AH$1001,0),1)&gt;=100000,INDEX($AO$1005:$BQ$1005,1,MATCH(COLUMNS($AO$1006:BJ1006),$AO$1006:$BQ$1006,0))&gt;=100000), " ",IF(INDEX($AO$2:$BQ$1001,MATCH(ROWS($AH$2:AH641),$AH$2:$AH$1001,0),MATCH(COLUMNS($AO$1006:BJ1006),$AO$1006:$BQ$1006,0)), HYPERLINK("#",""), HYPERLINK(CONCATENATE("#Metadata!", ADDRESS(INDEX($AJ$2:$AJ$1001,MATCH(ROWS($AH$2:AH641),$AH$2:$AH$1001,0),0), INDEX($AO$1004:$BQ$1004,1,MATCH(COLUMNS($AO$1006:BJ1006),$AO$1006:$BQ$1006,0)))),"Fix")))</f>
        <v>#N/A</v>
      </c>
      <c r="X641" s="5" t="e">
        <f ca="1">IF(OR(INDEX($AI$2:$AI$1001,MATCH(ROWS($AH$2:AH641),$AH$2:$AH$1001,0),1)&gt;=100000,INDEX($AO$1005:$BQ$1005,1,MATCH(COLUMNS($AO$1006:BK1006),$AO$1006:$BQ$1006,0))&gt;=100000), " ",IF(INDEX($AO$2:$BQ$1001,MATCH(ROWS($AH$2:AH641),$AH$2:$AH$1001,0),MATCH(COLUMNS($AO$1006:BK1006),$AO$1006:$BQ$1006,0)), HYPERLINK("#",""), HYPERLINK(CONCATENATE("#Metadata!", ADDRESS(INDEX($AJ$2:$AJ$1001,MATCH(ROWS($AH$2:AH641),$AH$2:$AH$1001,0),0), INDEX($AO$1004:$BQ$1004,1,MATCH(COLUMNS($AO$1006:BK1006),$AO$1006:$BQ$1006,0)))),"Fix")))</f>
        <v>#N/A</v>
      </c>
      <c r="Y641" s="5" t="e">
        <f ca="1">IF(OR(INDEX($AI$2:$AI$1001,MATCH(ROWS($AH$2:AH641),$AH$2:$AH$1001,0),1)&gt;=100000,INDEX($AO$1005:$BQ$1005,1,MATCH(COLUMNS($AO$1006:BL1006),$AO$1006:$BQ$1006,0))&gt;=100000), " ",IF(INDEX($AO$2:$BQ$1001,MATCH(ROWS($AH$2:AH641),$AH$2:$AH$1001,0),MATCH(COLUMNS($AO$1006:BL1006),$AO$1006:$BQ$1006,0)), HYPERLINK("#",""), HYPERLINK(CONCATENATE("#Metadata!", ADDRESS(INDEX($AJ$2:$AJ$1001,MATCH(ROWS($AH$2:AH641),$AH$2:$AH$1001,0),0), INDEX($AO$1004:$BQ$1004,1,MATCH(COLUMNS($AO$1006:BL1006),$AO$1006:$BQ$1006,0)))),"Fix")))</f>
        <v>#N/A</v>
      </c>
      <c r="Z641" s="5" t="e">
        <f ca="1">IF(OR(INDEX($AI$2:$AI$1001,MATCH(ROWS($AH$2:AH641),$AH$2:$AH$1001,0),1)&gt;=100000,INDEX($AO$1005:$BQ$1005,1,MATCH(COLUMNS($AO$1006:BM1006),$AO$1006:$BQ$1006,0))&gt;=100000), " ",IF(INDEX($AO$2:$BQ$1001,MATCH(ROWS($AH$2:AH641),$AH$2:$AH$1001,0),MATCH(COLUMNS($AO$1006:BM1006),$AO$1006:$BQ$1006,0)), HYPERLINK("#",""), HYPERLINK(CONCATENATE("#Metadata!", ADDRESS(INDEX($AJ$2:$AJ$1001,MATCH(ROWS($AH$2:AH641),$AH$2:$AH$1001,0),0), INDEX($AO$1004:$BQ$1004,1,MATCH(COLUMNS($AO$1006:BM1006),$AO$1006:$BQ$1006,0)))),"Fix")))</f>
        <v>#N/A</v>
      </c>
      <c r="AA641" s="5" t="e">
        <f ca="1">IF(OR(INDEX($AI$2:$AI$1001,MATCH(ROWS($AH$2:AH641),$AH$2:$AH$1001,0),1)&gt;=100000,INDEX($AO$1005:$BQ$1005,1,MATCH(COLUMNS($AO$1006:BN1006),$AO$1006:$BQ$1006,0))&gt;=100000), " ",IF(INDEX($AO$2:$BQ$1001,MATCH(ROWS($AH$2:AH641),$AH$2:$AH$1001,0),MATCH(COLUMNS($AO$1006:BN1006),$AO$1006:$BQ$1006,0)), HYPERLINK("#",""), HYPERLINK(CONCATENATE("#Metadata!", ADDRESS(INDEX($AJ$2:$AJ$1001,MATCH(ROWS($AH$2:AH641),$AH$2:$AH$1001,0),0), INDEX($AO$1004:$BQ$1004,1,MATCH(COLUMNS($AO$1006:BN1006),$AO$1006:$BQ$1006,0)))),"Fix")))</f>
        <v>#N/A</v>
      </c>
      <c r="AB641" s="5" t="e">
        <f ca="1">IF(OR(INDEX($AI$2:$AI$1001,MATCH(ROWS($AH$2:AH641),$AH$2:$AH$1001,0),1)&gt;=100000,INDEX($AO$1005:$BQ$1005,1,MATCH(COLUMNS($AO$1006:BO1006),$AO$1006:$BQ$1006,0))&gt;=100000), " ",IF(INDEX($AO$2:$BQ$1001,MATCH(ROWS($AH$2:AH641),$AH$2:$AH$1001,0),MATCH(COLUMNS($AO$1006:BO1006),$AO$1006:$BQ$1006,0)), HYPERLINK("#",""), HYPERLINK(CONCATENATE("#Metadata!", ADDRESS(INDEX($AJ$2:$AJ$1001,MATCH(ROWS($AH$2:AH641),$AH$2:$AH$1001,0),0), INDEX($AO$1004:$BQ$1004,1,MATCH(COLUMNS($AO$1006:BO1006),$AO$1006:$BQ$1006,0)))),"Fix")))</f>
        <v>#N/A</v>
      </c>
      <c r="AC641" s="5" t="e">
        <f ca="1">IF(OR(INDEX($AI$2:$AI$1001,MATCH(ROWS($AH$2:AH641),$AH$2:$AH$1001,0),1)&gt;=100000,INDEX($AO$1005:$BQ$1005,1,MATCH(COLUMNS($AO$1006:BP1006),$AO$1006:$BQ$1006,0))&gt;=100000), " ",IF(INDEX($AO$2:$BQ$1001,MATCH(ROWS($AH$2:AH641),$AH$2:$AH$1001,0),MATCH(COLUMNS($AO$1006:BP1006),$AO$1006:$BQ$1006,0)), HYPERLINK("#",""), HYPERLINK(CONCATENATE("#Metadata!", ADDRESS(INDEX($AJ$2:$AJ$1001,MATCH(ROWS($AH$2:AH641),$AH$2:$AH$1001,0),0), INDEX($AO$1004:$BQ$1004,1,MATCH(COLUMNS($AO$1006:BP1006),$AO$1006:$BQ$1006,0)))),"Fix")))</f>
        <v>#N/A</v>
      </c>
      <c r="AD641" s="5" t="e">
        <f ca="1">IF(OR(INDEX($AI$2:$AI$1001,MATCH(ROWS($AH$2:AH641),$AH$2:$AH$1001,0),1)&gt;=100000,INDEX($AO$1005:$BQ$1005,1,MATCH(COLUMNS($AO$1006:BQ1006),$AO$1006:$BQ$1006,0))&gt;=100000), " ",IF(INDEX($AO$2:$BQ$1001,MATCH(ROWS($AH$2:AH641),$AH$2:$AH$1001,0),MATCH(COLUMNS($AO$1006:BQ1006),$AO$1006:$BQ$1006,0)), HYPERLINK("#",""), HYPERLINK(CONCATENATE("#Metadata!", ADDRESS(INDEX($AJ$2:$AJ$1001,MATCH(ROWS($AH$2:AH641),$AH$2:$AH$1001,0),0), INDEX($AO$1004:$BQ$1004,1,MATCH(COLUMNS($AO$1006:BQ1006),$AO$1006:$BQ$1006,0)))),"Fix")))</f>
        <v>#REF!</v>
      </c>
      <c r="AH641">
        <f ca="1"/>
        <v>638</v>
      </c>
      <c r="AI641">
        <v>100641</v>
      </c>
      <c r="AJ641">
        <v>641</v>
      </c>
      <c r="AK641" t="b">
        <f t="shared" si="9"/>
        <v>1</v>
      </c>
      <c r="AL641" t="b">
        <f>COUNTBLANK(Metadata!B641:AD641)=COLUMNS(Metadata!B641:AD641)</f>
        <v>1</v>
      </c>
      <c r="AM641" t="str">
        <v/>
      </c>
      <c r="AO641" t="b">
        <f ca="1">AND(IF(Metadata!B641="",FALSE,TRUE),COUNTIF(Metadata!B:B, Metadata!B641) = 1,NOT(ISERROR(SUMPRODUCT(SEARCH(MID(Metadata!B641,ROW(INDIRECT("1:"&amp;LEN(Metadata!B641))), 1),"0123456789abcdefghijklmnopqrstuvwxyzABCDEFGHIJKLMNOPQRSTUVWXYZ.")))))</f>
        <v>0</v>
      </c>
      <c r="AP641" t="b">
        <f>IF(Metadata!C641="",FALSE,TRUE)</f>
        <v>0</v>
      </c>
      <c r="AQ641" t="b">
        <f>IF(Metadata!D641="",FALSE,TRUE)</f>
        <v>0</v>
      </c>
      <c r="AR641" t="b">
        <f ca="1">OR(AND(IF(Metadata!E641="",FALSE,TRUE),OR(EXACT(Metadata!E641,"not collected"),EXACT(Metadata!E641,"not provided"),EXACT(Metadata!E641,"restricted access"))),AND(IF(Metadata!E641="",FALSE,TRUE),AND(AND(IFERROR(INT(LEFT(Metadata!E641,4))&gt;1900,FALSE),IFERROR(INT(LEFT(Metadata!E641,4))&lt;=YEAR(NOW()),FALSE)), OR(MID(Metadata!E641,5,1)="", AND(AND(MID(Metadata!E641,5,1)="-",IFERROR(INT(MID(Metadata!E641,6,1))&gt;=0,FALSE),IFERROR(INT(MID(Metadata!E641,6,1))&lt;=1,FALSE),NOT(MID(Metadata!E641,7,1)=""),IFERROR(INT(MID(Metadata!E641,6,2))&gt;=1,FALSE),IFERROR(INT(MID(Metadata!E641,6,2))&lt;=12,FALSE)), OR(MID(Metadata!E641,8,1)="", AND(AND(MID(Metadata!E641,8,1)="-",IFERROR(INT(MID(Metadata!E641,9,1))&gt;=0,FALSE),IFERROR(INT(MID(Metadata!E641,9,1))&lt;=3,FALSE),NOT(MID(Metadata!E641,10,1)=""),IFERROR(INT(MID(Metadata!E641,9,2))&gt;=1,FALSE),IFERROR(INT(MID(Metadata!E641,9,2))&lt;=31,FALSE)), OR(MID(Metadata!E641,11,1)="", AND(AND(MID(Metadata!E641,11,1)=" ",IFERROR(INT(MID(Metadata!E641,12,1))&gt;=0,FALSE),IFERROR(INT(MID(Metadata!E641,12,1))&lt;=2,FALSE),NOT(MID(Metadata!E641,13,1)=""),IFERROR(INT(MID(Metadata!E641,12,2))&gt;=0,FALSE),IFERROR(INT(MID(Metadata!E641,12,2))&lt;=23,FALSE)), OR(MID(Metadata!E641,14,1)="", AND(AND(MID(Metadata!E641,14,1)=":",IFERROR(INT(MID(Metadata!E641,15,1))&gt;=0,FALSE),IFERROR(INT(MID(Metadata!E641,15,1))&lt;=5,FALSE),NOT(MID(Metadata!E641,16,1)=""),IFERROR(INT(MID(Metadata!E641,15,2))&gt;=0,FALSE),IFERROR(INT(MID(Metadata!E641,15,2))&lt;=59,FALSE)), OR(MID(Metadata!E641,17,1)="", AND(AND(MID(Metadata!E641,17,1)=":",IFERROR(INT(MID(Metadata!E641,18,1))&gt;=0,FALSE),IFERROR(INT(MID(Metadata!E641,18,1))&lt;=5,FALSE),NOT(MID(Metadata!E641,19,1)=""),IFERROR(INT(MID(Metadata!E641,18,2))&gt;=0,FALSE),IFERROR(INT(MID(Metadata!E641,18,2))&lt;=59,FALSE)), LEN(Metadata!E641)&lt;=19)))))))))))))</f>
        <v>0</v>
      </c>
      <c r="AS641" t="b">
        <f>IF(Metadata!F641="",FALSE,TRUE)</f>
        <v>0</v>
      </c>
      <c r="AT641" t="b">
        <f>OR(AND(IF(Metadata!G641="",FALSE,TRUE),OR(EXACT(Metadata!G641,"not collected"),EXACT(Metadata!G641,"not provided"))),AND(IF(Metadata!G641="",FALSE,TRUE),OR(EXACT(Metadata!G641,"TRUE"),EXACT(Metadata!G641,"FALSE"))))</f>
        <v>0</v>
      </c>
      <c r="AU641" t="b">
        <f>OR(AND(IF(Metadata!H641="",FALSE,TRUE),OR(EXACT(Metadata!H641,"not collected"),EXACT(Metadata!H641,"not provided"),EXACT(Metadata!H641,"restricted access"))),AND(IF(Metadata!H641="",FALSE,ISNUMBER(VALUE(Metadata!H641))),Metadata!H641&gt;=-413))</f>
        <v>0</v>
      </c>
      <c r="AV641" t="b">
        <f>AND(IF(Metadata!I641="",FALSE,TRUE),EXACT(Metadata!I641,"meters"))</f>
        <v>0</v>
      </c>
      <c r="AW641" t="b">
        <f>AND(IF(Metadata!J641="",FALSE,TRUE),EXACT(Metadata!J641,"free-living"))</f>
        <v>0</v>
      </c>
      <c r="AX641" t="b">
        <f>AND(IF(Metadata!K641="",FALSE,TRUE),OR(EXACT(Metadata!K641,"saline"),EXACT(Metadata!K641,"non-saline")))</f>
        <v>0</v>
      </c>
      <c r="AY641" t="b">
        <f>AND(IF(Metadata!L641="",FALSE,TRUE),OR(EXACT(Metadata!L641,"sub-surface (non-saline)"),EXACT(Metadata!L641,"surface (non-saline)"),EXACT(Metadata!L641,"water (non-saline)"),EXACT(Metadata!L641,"soil (non-saline)"),EXACT(Metadata!L641,"aerosol (non-saline)"),EXACT(Metadata!L641,"sediment (non-saline)"),EXACT(Metadata!L641,"surface (saline)"),EXACT(Metadata!L641,"water (saline)"),EXACT(Metadata!L641,"hypersaline (saline)"),EXACT(Metadata!L641,"aerosol (saline)"),EXACT(Metadata!L641,"sediment (saline)")))</f>
        <v>0</v>
      </c>
      <c r="AZ641" t="b">
        <f>IF(Metadata!M641="",FALSE,TRUE)</f>
        <v>0</v>
      </c>
      <c r="BA641" t="b">
        <f>IF(Metadata!N641="",FALSE,TRUE)</f>
        <v>0</v>
      </c>
      <c r="BB641" t="b">
        <f>IF(Metadata!O641="",FALSE,TRUE)</f>
        <v>0</v>
      </c>
      <c r="BC641" t="b">
        <f>AND(IF(Metadata!P641="",FALSE,TRUE),OR(EXACT(Metadata!P641,"air"),EXACT(Metadata!P641,"microbial mat/biofilm"),EXACT(Metadata!P641,"misc environment"),EXACT(Metadata!P641,"sediment"),EXACT(Metadata!P641,"soil"),EXACT(Metadata!P641,"wastewater/sludge"),EXACT(Metadata!P641,"water")))</f>
        <v>0</v>
      </c>
      <c r="BD641" t="b">
        <f>IF(Metadata!Q641="",FALSE,TRUE)</f>
        <v>0</v>
      </c>
      <c r="BE641" t="b">
        <f>IF(Metadata!R641="",FALSE,TRUE)</f>
        <v>0</v>
      </c>
      <c r="BF641" t="b">
        <f>OR(AND(IF(Metadata!S641="",FALSE,TRUE),OR(EXACT(Metadata!S641,"not collected"),EXACT(Metadata!S641,"not provided"),EXACT(Metadata!S641,"restricted access"))),AND(IF(Metadata!S641="",FALSE,ISNUMBER(VALUE(Metadata!S641))),Metadata!S641&gt;=-90,Metadata!S641&lt;=90))</f>
        <v>0</v>
      </c>
      <c r="BG641" t="b">
        <f>AND(IF(Metadata!T641="",FALSE,TRUE),EXACT(Metadata!T641,"Decimal degrees"))</f>
        <v>0</v>
      </c>
      <c r="BH641" t="b">
        <f>OR(AND(IF(Metadata!U641="",FALSE,TRUE),OR(EXACT(Metadata!U641,"not applicable"),EXACT(Metadata!U641,"not collected"))),IF(Metadata!U641="",FALSE,TRUE))</f>
        <v>0</v>
      </c>
      <c r="BI641" t="b">
        <f>OR(AND(IF(Metadata!V641="",FALSE,TRUE),OR(EXACT(Metadata!V641,"not collected"),EXACT(Metadata!V641,"not provided"),EXACT(Metadata!V641,"restricted access"))),AND(IF(Metadata!V641="",FALSE,ISNUMBER(VALUE(Metadata!V641))),Metadata!V641&gt;=-180,Metadata!V641&lt;=180))</f>
        <v>0</v>
      </c>
      <c r="BJ641" t="b">
        <f>AND(IF(Metadata!W641="",FALSE,TRUE),EXACT(Metadata!W641,"Decimal degrees"))</f>
        <v>0</v>
      </c>
      <c r="BK641" t="b">
        <f>IF(Metadata!X641="",FALSE,TRUE)</f>
        <v>0</v>
      </c>
      <c r="BL641" t="b">
        <f>OR(AND(IF(Metadata!Y641="",FALSE,TRUE),OR(EXACT(Metadata!Y641,"not collected"),EXACT(Metadata!Y641,"not provided"),EXACT(Metadata!Y641,"restricted access"))),AND(IF(Metadata!Y641="",FALSE,TRUE),OR(EXACT(Metadata!Y641,"TRUE"),EXACT(Metadata!Y641,"FALSE"))))</f>
        <v>0</v>
      </c>
      <c r="BM641" t="b">
        <f>OR(AND(IF(Metadata!Z641="",FALSE,TRUE),EXACT(Metadata!Z641,"not applicable")),AND(IF(Metadata!Z641="",FALSE,TRUE),OR(EXACT(Metadata!Z641,"beer"),EXACT(Metadata!Z641,"cheese"),EXACT(Metadata!Z641,"fresh water"),EXACT(Metadata!Z641,"marine sediment"),EXACT(Metadata!Z641,"sea water"),EXACT(Metadata!Z641,"sediment"),EXACT(Metadata!Z641,"soil"),EXACT(Metadata!Z641,"waste water"))))</f>
        <v>0</v>
      </c>
      <c r="BN641" t="b">
        <f>AND(IF(Metadata!AA641="",FALSE,TRUE),EXACT(Metadata!AA641,"metagenome"))</f>
        <v>0</v>
      </c>
      <c r="BO641" t="b">
        <f>AND(IF(Metadata!AB641="",FALSE,TRUE),EXACT(Metadata!AB641,"256318"))</f>
        <v>0</v>
      </c>
      <c r="BP641" t="b">
        <f>IF(Metadata!AC641="",FALSE,TRUE)</f>
        <v>0</v>
      </c>
      <c r="BQ641" t="b">
        <f>IF(Metadata!AD641="",FALSE,TRUE)</f>
        <v>0</v>
      </c>
    </row>
    <row r="642" spans="1:69" x14ac:dyDescent="0.2">
      <c r="A642" s="4" t="e">
        <f ca="1">IF(B642=" "," ",HYPERLINK(CONCATENATE("#metadata!",ADDRESS(INDEX($AJ$2:$AJ$1001,MATCH(ROWS($AH$2:AH642),$AH$2:$AH$1001,0),0),2)),INDEX($AM$2:$AM$1001,MATCH(ROWS($AH$2:AH642),$AH$2:$AH$1001,0),0)))</f>
        <v>#N/A</v>
      </c>
      <c r="B642" s="5" t="e">
        <f ca="1">IF(OR(INDEX($AI$2:$AI$1001,MATCH(ROWS($AH$2:AH642),$AH$2:$AH$1001,0),1)&gt;=100000,INDEX($AO$1005:$BQ$1005,1,MATCH(COLUMNS($AO$1006:AO1006),$AO$1006:$BQ$1006,0))&gt;=100000), " ",IF(INDEX($AO$2:$BQ$1001,MATCH(ROWS($AH$2:AH642),$AH$2:$AH$1001,0),MATCH(COLUMNS($AO$1006:AO1006),$AO$1006:$BQ$1006,0)), HYPERLINK("#",""), HYPERLINK(CONCATENATE("#Metadata!", ADDRESS(INDEX($AJ$2:$AJ$1001,MATCH(ROWS($AH$2:AH642),$AH$2:$AH$1001,0),0), INDEX($AO$1004:$BQ$1004,1,MATCH(COLUMNS($AO$1006:AO1006),$AO$1006:$BQ$1006,0)))),"Fix")))</f>
        <v>#N/A</v>
      </c>
      <c r="C642" s="5" t="e">
        <f ca="1">IF(OR(INDEX($AI$2:$AI$1001,MATCH(ROWS($AH$2:AH642),$AH$2:$AH$1001,0),1)&gt;=100000,INDEX($AO$1005:$BQ$1005,1,MATCH(COLUMNS($AO$1006:AP1006),$AO$1006:$BQ$1006,0))&gt;=100000), " ",IF(INDEX($AO$2:$BQ$1001,MATCH(ROWS($AH$2:AH642),$AH$2:$AH$1001,0),MATCH(COLUMNS($AO$1006:AP1006),$AO$1006:$BQ$1006,0)), HYPERLINK("#",""), HYPERLINK(CONCATENATE("#Metadata!", ADDRESS(INDEX($AJ$2:$AJ$1001,MATCH(ROWS($AH$2:AH642),$AH$2:$AH$1001,0),0), INDEX($AO$1004:$BQ$1004,1,MATCH(COLUMNS($AO$1006:AP1006),$AO$1006:$BQ$1006,0)))),"Fix")))</f>
        <v>#N/A</v>
      </c>
      <c r="D642" s="5" t="e">
        <f ca="1">IF(OR(INDEX($AI$2:$AI$1001,MATCH(ROWS($AH$2:AH642),$AH$2:$AH$1001,0),1)&gt;=100000,INDEX($AO$1005:$BQ$1005,1,MATCH(COLUMNS($AO$1006:AQ1006),$AO$1006:$BQ$1006,0))&gt;=100000), " ",IF(INDEX($AO$2:$BQ$1001,MATCH(ROWS($AH$2:AH642),$AH$2:$AH$1001,0),MATCH(COLUMNS($AO$1006:AQ1006),$AO$1006:$BQ$1006,0)), HYPERLINK("#",""), HYPERLINK(CONCATENATE("#Metadata!", ADDRESS(INDEX($AJ$2:$AJ$1001,MATCH(ROWS($AH$2:AH642),$AH$2:$AH$1001,0),0), INDEX($AO$1004:$BQ$1004,1,MATCH(COLUMNS($AO$1006:AQ1006),$AO$1006:$BQ$1006,0)))),"Fix")))</f>
        <v>#N/A</v>
      </c>
      <c r="E642" s="5" t="e">
        <f ca="1">IF(OR(INDEX($AI$2:$AI$1001,MATCH(ROWS($AH$2:AH642),$AH$2:$AH$1001,0),1)&gt;=100000,INDEX($AO$1005:$BQ$1005,1,MATCH(COLUMNS($AO$1006:AR1006),$AO$1006:$BQ$1006,0))&gt;=100000), " ",IF(INDEX($AO$2:$BQ$1001,MATCH(ROWS($AH$2:AH642),$AH$2:$AH$1001,0),MATCH(COLUMNS($AO$1006:AR1006),$AO$1006:$BQ$1006,0)), HYPERLINK("#",""), HYPERLINK(CONCATENATE("#Metadata!", ADDRESS(INDEX($AJ$2:$AJ$1001,MATCH(ROWS($AH$2:AH642),$AH$2:$AH$1001,0),0), INDEX($AO$1004:$BQ$1004,1,MATCH(COLUMNS($AO$1006:AR1006),$AO$1006:$BQ$1006,0)))),"Fix")))</f>
        <v>#N/A</v>
      </c>
      <c r="F642" s="5" t="e">
        <f ca="1">IF(OR(INDEX($AI$2:$AI$1001,MATCH(ROWS($AH$2:AH642),$AH$2:$AH$1001,0),1)&gt;=100000,INDEX($AO$1005:$BQ$1005,1,MATCH(COLUMNS($AO$1006:AS1006),$AO$1006:$BQ$1006,0))&gt;=100000), " ",IF(INDEX($AO$2:$BQ$1001,MATCH(ROWS($AH$2:AH642),$AH$2:$AH$1001,0),MATCH(COLUMNS($AO$1006:AS1006),$AO$1006:$BQ$1006,0)), HYPERLINK("#",""), HYPERLINK(CONCATENATE("#Metadata!", ADDRESS(INDEX($AJ$2:$AJ$1001,MATCH(ROWS($AH$2:AH642),$AH$2:$AH$1001,0),0), INDEX($AO$1004:$BQ$1004,1,MATCH(COLUMNS($AO$1006:AS1006),$AO$1006:$BQ$1006,0)))),"Fix")))</f>
        <v>#N/A</v>
      </c>
      <c r="G642" s="5" t="e">
        <f ca="1">IF(OR(INDEX($AI$2:$AI$1001,MATCH(ROWS($AH$2:AH642),$AH$2:$AH$1001,0),1)&gt;=100000,INDEX($AO$1005:$BQ$1005,1,MATCH(COLUMNS($AO$1006:AT1006),$AO$1006:$BQ$1006,0))&gt;=100000), " ",IF(INDEX($AO$2:$BQ$1001,MATCH(ROWS($AH$2:AH642),$AH$2:$AH$1001,0),MATCH(COLUMNS($AO$1006:AT1006),$AO$1006:$BQ$1006,0)), HYPERLINK("#",""), HYPERLINK(CONCATENATE("#Metadata!", ADDRESS(INDEX($AJ$2:$AJ$1001,MATCH(ROWS($AH$2:AH642),$AH$2:$AH$1001,0),0), INDEX($AO$1004:$BQ$1004,1,MATCH(COLUMNS($AO$1006:AT1006),$AO$1006:$BQ$1006,0)))),"Fix")))</f>
        <v>#N/A</v>
      </c>
      <c r="H642" s="5" t="e">
        <f ca="1">IF(OR(INDEX($AI$2:$AI$1001,MATCH(ROWS($AH$2:AH642),$AH$2:$AH$1001,0),1)&gt;=100000,INDEX($AO$1005:$BQ$1005,1,MATCH(COLUMNS($AO$1006:AU1006),$AO$1006:$BQ$1006,0))&gt;=100000), " ",IF(INDEX($AO$2:$BQ$1001,MATCH(ROWS($AH$2:AH642),$AH$2:$AH$1001,0),MATCH(COLUMNS($AO$1006:AU1006),$AO$1006:$BQ$1006,0)), HYPERLINK("#",""), HYPERLINK(CONCATENATE("#Metadata!", ADDRESS(INDEX($AJ$2:$AJ$1001,MATCH(ROWS($AH$2:AH642),$AH$2:$AH$1001,0),0), INDEX($AO$1004:$BQ$1004,1,MATCH(COLUMNS($AO$1006:AU1006),$AO$1006:$BQ$1006,0)))),"Fix")))</f>
        <v>#N/A</v>
      </c>
      <c r="I642" s="5" t="e">
        <f ca="1">IF(OR(INDEX($AI$2:$AI$1001,MATCH(ROWS($AH$2:AH642),$AH$2:$AH$1001,0),1)&gt;=100000,INDEX($AO$1005:$BQ$1005,1,MATCH(COLUMNS($AO$1006:AV1006),$AO$1006:$BQ$1006,0))&gt;=100000), " ",IF(INDEX($AO$2:$BQ$1001,MATCH(ROWS($AH$2:AH642),$AH$2:$AH$1001,0),MATCH(COLUMNS($AO$1006:AV1006),$AO$1006:$BQ$1006,0)), HYPERLINK("#",""), HYPERLINK(CONCATENATE("#Metadata!", ADDRESS(INDEX($AJ$2:$AJ$1001,MATCH(ROWS($AH$2:AH642),$AH$2:$AH$1001,0),0), INDEX($AO$1004:$BQ$1004,1,MATCH(COLUMNS($AO$1006:AV1006),$AO$1006:$BQ$1006,0)))),"Fix")))</f>
        <v>#N/A</v>
      </c>
      <c r="J642" s="5" t="e">
        <f ca="1">IF(OR(INDEX($AI$2:$AI$1001,MATCH(ROWS($AH$2:AH642),$AH$2:$AH$1001,0),1)&gt;=100000,INDEX($AO$1005:$BQ$1005,1,MATCH(COLUMNS($AO$1006:AW1006),$AO$1006:$BQ$1006,0))&gt;=100000), " ",IF(INDEX($AO$2:$BQ$1001,MATCH(ROWS($AH$2:AH642),$AH$2:$AH$1001,0),MATCH(COLUMNS($AO$1006:AW1006),$AO$1006:$BQ$1006,0)), HYPERLINK("#",""), HYPERLINK(CONCATENATE("#Metadata!", ADDRESS(INDEX($AJ$2:$AJ$1001,MATCH(ROWS($AH$2:AH642),$AH$2:$AH$1001,0),0), INDEX($AO$1004:$BQ$1004,1,MATCH(COLUMNS($AO$1006:AW1006),$AO$1006:$BQ$1006,0)))),"Fix")))</f>
        <v>#N/A</v>
      </c>
      <c r="K642" s="5" t="e">
        <f ca="1">IF(OR(INDEX($AI$2:$AI$1001,MATCH(ROWS($AH$2:AH642),$AH$2:$AH$1001,0),1)&gt;=100000,INDEX($AO$1005:$BQ$1005,1,MATCH(COLUMNS($AO$1006:AX1006),$AO$1006:$BQ$1006,0))&gt;=100000), " ",IF(INDEX($AO$2:$BQ$1001,MATCH(ROWS($AH$2:AH642),$AH$2:$AH$1001,0),MATCH(COLUMNS($AO$1006:AX1006),$AO$1006:$BQ$1006,0)), HYPERLINK("#",""), HYPERLINK(CONCATENATE("#Metadata!", ADDRESS(INDEX($AJ$2:$AJ$1001,MATCH(ROWS($AH$2:AH642),$AH$2:$AH$1001,0),0), INDEX($AO$1004:$BQ$1004,1,MATCH(COLUMNS($AO$1006:AX1006),$AO$1006:$BQ$1006,0)))),"Fix")))</f>
        <v>#N/A</v>
      </c>
      <c r="L642" s="5" t="e">
        <f ca="1">IF(OR(INDEX($AI$2:$AI$1001,MATCH(ROWS($AH$2:AH642),$AH$2:$AH$1001,0),1)&gt;=100000,INDEX($AO$1005:$BQ$1005,1,MATCH(COLUMNS($AO$1006:AY1006),$AO$1006:$BQ$1006,0))&gt;=100000), " ",IF(INDEX($AO$2:$BQ$1001,MATCH(ROWS($AH$2:AH642),$AH$2:$AH$1001,0),MATCH(COLUMNS($AO$1006:AY1006),$AO$1006:$BQ$1006,0)), HYPERLINK("#",""), HYPERLINK(CONCATENATE("#Metadata!", ADDRESS(INDEX($AJ$2:$AJ$1001,MATCH(ROWS($AH$2:AH642),$AH$2:$AH$1001,0),0), INDEX($AO$1004:$BQ$1004,1,MATCH(COLUMNS($AO$1006:AY1006),$AO$1006:$BQ$1006,0)))),"Fix")))</f>
        <v>#N/A</v>
      </c>
      <c r="M642" s="5" t="e">
        <f ca="1">IF(OR(INDEX($AI$2:$AI$1001,MATCH(ROWS($AH$2:AH642),$AH$2:$AH$1001,0),1)&gt;=100000,INDEX($AO$1005:$BQ$1005,1,MATCH(COLUMNS($AO$1006:AZ1006),$AO$1006:$BQ$1006,0))&gt;=100000), " ",IF(INDEX($AO$2:$BQ$1001,MATCH(ROWS($AH$2:AH642),$AH$2:$AH$1001,0),MATCH(COLUMNS($AO$1006:AZ1006),$AO$1006:$BQ$1006,0)), HYPERLINK("#",""), HYPERLINK(CONCATENATE("#Metadata!", ADDRESS(INDEX($AJ$2:$AJ$1001,MATCH(ROWS($AH$2:AH642),$AH$2:$AH$1001,0),0), INDEX($AO$1004:$BQ$1004,1,MATCH(COLUMNS($AO$1006:AZ1006),$AO$1006:$BQ$1006,0)))),"Fix")))</f>
        <v>#N/A</v>
      </c>
      <c r="N642" s="5" t="e">
        <f ca="1">IF(OR(INDEX($AI$2:$AI$1001,MATCH(ROWS($AH$2:AH642),$AH$2:$AH$1001,0),1)&gt;=100000,INDEX($AO$1005:$BQ$1005,1,MATCH(COLUMNS($AO$1006:BA1006),$AO$1006:$BQ$1006,0))&gt;=100000), " ",IF(INDEX($AO$2:$BQ$1001,MATCH(ROWS($AH$2:AH642),$AH$2:$AH$1001,0),MATCH(COLUMNS($AO$1006:BA1006),$AO$1006:$BQ$1006,0)), HYPERLINK("#",""), HYPERLINK(CONCATENATE("#Metadata!", ADDRESS(INDEX($AJ$2:$AJ$1001,MATCH(ROWS($AH$2:AH642),$AH$2:$AH$1001,0),0), INDEX($AO$1004:$BQ$1004,1,MATCH(COLUMNS($AO$1006:BA1006),$AO$1006:$BQ$1006,0)))),"Fix")))</f>
        <v>#N/A</v>
      </c>
      <c r="O642" s="5" t="e">
        <f ca="1">IF(OR(INDEX($AI$2:$AI$1001,MATCH(ROWS($AH$2:AH642),$AH$2:$AH$1001,0),1)&gt;=100000,INDEX($AO$1005:$BQ$1005,1,MATCH(COLUMNS($AO$1006:BB1006),$AO$1006:$BQ$1006,0))&gt;=100000), " ",IF(INDEX($AO$2:$BQ$1001,MATCH(ROWS($AH$2:AH642),$AH$2:$AH$1001,0),MATCH(COLUMNS($AO$1006:BB1006),$AO$1006:$BQ$1006,0)), HYPERLINK("#",""), HYPERLINK(CONCATENATE("#Metadata!", ADDRESS(INDEX($AJ$2:$AJ$1001,MATCH(ROWS($AH$2:AH642),$AH$2:$AH$1001,0),0), INDEX($AO$1004:$BQ$1004,1,MATCH(COLUMNS($AO$1006:BB1006),$AO$1006:$BQ$1006,0)))),"Fix")))</f>
        <v>#N/A</v>
      </c>
      <c r="P642" s="5" t="e">
        <f ca="1">IF(OR(INDEX($AI$2:$AI$1001,MATCH(ROWS($AH$2:AH642),$AH$2:$AH$1001,0),1)&gt;=100000,INDEX($AO$1005:$BQ$1005,1,MATCH(COLUMNS($AO$1006:BC1006),$AO$1006:$BQ$1006,0))&gt;=100000), " ",IF(INDEX($AO$2:$BQ$1001,MATCH(ROWS($AH$2:AH642),$AH$2:$AH$1001,0),MATCH(COLUMNS($AO$1006:BC1006),$AO$1006:$BQ$1006,0)), HYPERLINK("#",""), HYPERLINK(CONCATENATE("#Metadata!", ADDRESS(INDEX($AJ$2:$AJ$1001,MATCH(ROWS($AH$2:AH642),$AH$2:$AH$1001,0),0), INDEX($AO$1004:$BQ$1004,1,MATCH(COLUMNS($AO$1006:BC1006),$AO$1006:$BQ$1006,0)))),"Fix")))</f>
        <v>#N/A</v>
      </c>
      <c r="Q642" s="5" t="e">
        <f ca="1">IF(OR(INDEX($AI$2:$AI$1001,MATCH(ROWS($AH$2:AH642),$AH$2:$AH$1001,0),1)&gt;=100000,INDEX($AO$1005:$BQ$1005,1,MATCH(COLUMNS($AO$1006:BD1006),$AO$1006:$BQ$1006,0))&gt;=100000), " ",IF(INDEX($AO$2:$BQ$1001,MATCH(ROWS($AH$2:AH642),$AH$2:$AH$1001,0),MATCH(COLUMNS($AO$1006:BD1006),$AO$1006:$BQ$1006,0)), HYPERLINK("#",""), HYPERLINK(CONCATENATE("#Metadata!", ADDRESS(INDEX($AJ$2:$AJ$1001,MATCH(ROWS($AH$2:AH642),$AH$2:$AH$1001,0),0), INDEX($AO$1004:$BQ$1004,1,MATCH(COLUMNS($AO$1006:BD1006),$AO$1006:$BQ$1006,0)))),"Fix")))</f>
        <v>#N/A</v>
      </c>
      <c r="R642" s="5" t="e">
        <f ca="1">IF(OR(INDEX($AI$2:$AI$1001,MATCH(ROWS($AH$2:AH642),$AH$2:$AH$1001,0),1)&gt;=100000,INDEX($AO$1005:$BQ$1005,1,MATCH(COLUMNS($AO$1006:BE1006),$AO$1006:$BQ$1006,0))&gt;=100000), " ",IF(INDEX($AO$2:$BQ$1001,MATCH(ROWS($AH$2:AH642),$AH$2:$AH$1001,0),MATCH(COLUMNS($AO$1006:BE1006),$AO$1006:$BQ$1006,0)), HYPERLINK("#",""), HYPERLINK(CONCATENATE("#Metadata!", ADDRESS(INDEX($AJ$2:$AJ$1001,MATCH(ROWS($AH$2:AH642),$AH$2:$AH$1001,0),0), INDEX($AO$1004:$BQ$1004,1,MATCH(COLUMNS($AO$1006:BE1006),$AO$1006:$BQ$1006,0)))),"Fix")))</f>
        <v>#N/A</v>
      </c>
      <c r="S642" s="5" t="e">
        <f ca="1">IF(OR(INDEX($AI$2:$AI$1001,MATCH(ROWS($AH$2:AH642),$AH$2:$AH$1001,0),1)&gt;=100000,INDEX($AO$1005:$BQ$1005,1,MATCH(COLUMNS($AO$1006:BF1006),$AO$1006:$BQ$1006,0))&gt;=100000), " ",IF(INDEX($AO$2:$BQ$1001,MATCH(ROWS($AH$2:AH642),$AH$2:$AH$1001,0),MATCH(COLUMNS($AO$1006:BF1006),$AO$1006:$BQ$1006,0)), HYPERLINK("#",""), HYPERLINK(CONCATENATE("#Metadata!", ADDRESS(INDEX($AJ$2:$AJ$1001,MATCH(ROWS($AH$2:AH642),$AH$2:$AH$1001,0),0), INDEX($AO$1004:$BQ$1004,1,MATCH(COLUMNS($AO$1006:BF1006),$AO$1006:$BQ$1006,0)))),"Fix")))</f>
        <v>#N/A</v>
      </c>
      <c r="T642" s="5" t="e">
        <f ca="1">IF(OR(INDEX($AI$2:$AI$1001,MATCH(ROWS($AH$2:AH642),$AH$2:$AH$1001,0),1)&gt;=100000,INDEX($AO$1005:$BQ$1005,1,MATCH(COLUMNS($AO$1006:BG1006),$AO$1006:$BQ$1006,0))&gt;=100000), " ",IF(INDEX($AO$2:$BQ$1001,MATCH(ROWS($AH$2:AH642),$AH$2:$AH$1001,0),MATCH(COLUMNS($AO$1006:BG1006),$AO$1006:$BQ$1006,0)), HYPERLINK("#",""), HYPERLINK(CONCATENATE("#Metadata!", ADDRESS(INDEX($AJ$2:$AJ$1001,MATCH(ROWS($AH$2:AH642),$AH$2:$AH$1001,0),0), INDEX($AO$1004:$BQ$1004,1,MATCH(COLUMNS($AO$1006:BG1006),$AO$1006:$BQ$1006,0)))),"Fix")))</f>
        <v>#N/A</v>
      </c>
      <c r="U642" s="5" t="e">
        <f ca="1">IF(OR(INDEX($AI$2:$AI$1001,MATCH(ROWS($AH$2:AH642),$AH$2:$AH$1001,0),1)&gt;=100000,INDEX($AO$1005:$BQ$1005,1,MATCH(COLUMNS($AO$1006:BH1006),$AO$1006:$BQ$1006,0))&gt;=100000), " ",IF(INDEX($AO$2:$BQ$1001,MATCH(ROWS($AH$2:AH642),$AH$2:$AH$1001,0),MATCH(COLUMNS($AO$1006:BH1006),$AO$1006:$BQ$1006,0)), HYPERLINK("#",""), HYPERLINK(CONCATENATE("#Metadata!", ADDRESS(INDEX($AJ$2:$AJ$1001,MATCH(ROWS($AH$2:AH642),$AH$2:$AH$1001,0),0), INDEX($AO$1004:$BQ$1004,1,MATCH(COLUMNS($AO$1006:BH1006),$AO$1006:$BQ$1006,0)))),"Fix")))</f>
        <v>#N/A</v>
      </c>
      <c r="V642" s="5" t="e">
        <f ca="1">IF(OR(INDEX($AI$2:$AI$1001,MATCH(ROWS($AH$2:AH642),$AH$2:$AH$1001,0),1)&gt;=100000,INDEX($AO$1005:$BQ$1005,1,MATCH(COLUMNS($AO$1006:BI1006),$AO$1006:$BQ$1006,0))&gt;=100000), " ",IF(INDEX($AO$2:$BQ$1001,MATCH(ROWS($AH$2:AH642),$AH$2:$AH$1001,0),MATCH(COLUMNS($AO$1006:BI1006),$AO$1006:$BQ$1006,0)), HYPERLINK("#",""), HYPERLINK(CONCATENATE("#Metadata!", ADDRESS(INDEX($AJ$2:$AJ$1001,MATCH(ROWS($AH$2:AH642),$AH$2:$AH$1001,0),0), INDEX($AO$1004:$BQ$1004,1,MATCH(COLUMNS($AO$1006:BI1006),$AO$1006:$BQ$1006,0)))),"Fix")))</f>
        <v>#N/A</v>
      </c>
      <c r="W642" s="5" t="e">
        <f ca="1">IF(OR(INDEX($AI$2:$AI$1001,MATCH(ROWS($AH$2:AH642),$AH$2:$AH$1001,0),1)&gt;=100000,INDEX($AO$1005:$BQ$1005,1,MATCH(COLUMNS($AO$1006:BJ1006),$AO$1006:$BQ$1006,0))&gt;=100000), " ",IF(INDEX($AO$2:$BQ$1001,MATCH(ROWS($AH$2:AH642),$AH$2:$AH$1001,0),MATCH(COLUMNS($AO$1006:BJ1006),$AO$1006:$BQ$1006,0)), HYPERLINK("#",""), HYPERLINK(CONCATENATE("#Metadata!", ADDRESS(INDEX($AJ$2:$AJ$1001,MATCH(ROWS($AH$2:AH642),$AH$2:$AH$1001,0),0), INDEX($AO$1004:$BQ$1004,1,MATCH(COLUMNS($AO$1006:BJ1006),$AO$1006:$BQ$1006,0)))),"Fix")))</f>
        <v>#N/A</v>
      </c>
      <c r="X642" s="5" t="e">
        <f ca="1">IF(OR(INDEX($AI$2:$AI$1001,MATCH(ROWS($AH$2:AH642),$AH$2:$AH$1001,0),1)&gt;=100000,INDEX($AO$1005:$BQ$1005,1,MATCH(COLUMNS($AO$1006:BK1006),$AO$1006:$BQ$1006,0))&gt;=100000), " ",IF(INDEX($AO$2:$BQ$1001,MATCH(ROWS($AH$2:AH642),$AH$2:$AH$1001,0),MATCH(COLUMNS($AO$1006:BK1006),$AO$1006:$BQ$1006,0)), HYPERLINK("#",""), HYPERLINK(CONCATENATE("#Metadata!", ADDRESS(INDEX($AJ$2:$AJ$1001,MATCH(ROWS($AH$2:AH642),$AH$2:$AH$1001,0),0), INDEX($AO$1004:$BQ$1004,1,MATCH(COLUMNS($AO$1006:BK1006),$AO$1006:$BQ$1006,0)))),"Fix")))</f>
        <v>#N/A</v>
      </c>
      <c r="Y642" s="5" t="e">
        <f ca="1">IF(OR(INDEX($AI$2:$AI$1001,MATCH(ROWS($AH$2:AH642),$AH$2:$AH$1001,0),1)&gt;=100000,INDEX($AO$1005:$BQ$1005,1,MATCH(COLUMNS($AO$1006:BL1006),$AO$1006:$BQ$1006,0))&gt;=100000), " ",IF(INDEX($AO$2:$BQ$1001,MATCH(ROWS($AH$2:AH642),$AH$2:$AH$1001,0),MATCH(COLUMNS($AO$1006:BL1006),$AO$1006:$BQ$1006,0)), HYPERLINK("#",""), HYPERLINK(CONCATENATE("#Metadata!", ADDRESS(INDEX($AJ$2:$AJ$1001,MATCH(ROWS($AH$2:AH642),$AH$2:$AH$1001,0),0), INDEX($AO$1004:$BQ$1004,1,MATCH(COLUMNS($AO$1006:BL1006),$AO$1006:$BQ$1006,0)))),"Fix")))</f>
        <v>#N/A</v>
      </c>
      <c r="Z642" s="5" t="e">
        <f ca="1">IF(OR(INDEX($AI$2:$AI$1001,MATCH(ROWS($AH$2:AH642),$AH$2:$AH$1001,0),1)&gt;=100000,INDEX($AO$1005:$BQ$1005,1,MATCH(COLUMNS($AO$1006:BM1006),$AO$1006:$BQ$1006,0))&gt;=100000), " ",IF(INDEX($AO$2:$BQ$1001,MATCH(ROWS($AH$2:AH642),$AH$2:$AH$1001,0),MATCH(COLUMNS($AO$1006:BM1006),$AO$1006:$BQ$1006,0)), HYPERLINK("#",""), HYPERLINK(CONCATENATE("#Metadata!", ADDRESS(INDEX($AJ$2:$AJ$1001,MATCH(ROWS($AH$2:AH642),$AH$2:$AH$1001,0),0), INDEX($AO$1004:$BQ$1004,1,MATCH(COLUMNS($AO$1006:BM1006),$AO$1006:$BQ$1006,0)))),"Fix")))</f>
        <v>#N/A</v>
      </c>
      <c r="AA642" s="5" t="e">
        <f ca="1">IF(OR(INDEX($AI$2:$AI$1001,MATCH(ROWS($AH$2:AH642),$AH$2:$AH$1001,0),1)&gt;=100000,INDEX($AO$1005:$BQ$1005,1,MATCH(COLUMNS($AO$1006:BN1006),$AO$1006:$BQ$1006,0))&gt;=100000), " ",IF(INDEX($AO$2:$BQ$1001,MATCH(ROWS($AH$2:AH642),$AH$2:$AH$1001,0),MATCH(COLUMNS($AO$1006:BN1006),$AO$1006:$BQ$1006,0)), HYPERLINK("#",""), HYPERLINK(CONCATENATE("#Metadata!", ADDRESS(INDEX($AJ$2:$AJ$1001,MATCH(ROWS($AH$2:AH642),$AH$2:$AH$1001,0),0), INDEX($AO$1004:$BQ$1004,1,MATCH(COLUMNS($AO$1006:BN1006),$AO$1006:$BQ$1006,0)))),"Fix")))</f>
        <v>#N/A</v>
      </c>
      <c r="AB642" s="5" t="e">
        <f ca="1">IF(OR(INDEX($AI$2:$AI$1001,MATCH(ROWS($AH$2:AH642),$AH$2:$AH$1001,0),1)&gt;=100000,INDEX($AO$1005:$BQ$1005,1,MATCH(COLUMNS($AO$1006:BO1006),$AO$1006:$BQ$1006,0))&gt;=100000), " ",IF(INDEX($AO$2:$BQ$1001,MATCH(ROWS($AH$2:AH642),$AH$2:$AH$1001,0),MATCH(COLUMNS($AO$1006:BO1006),$AO$1006:$BQ$1006,0)), HYPERLINK("#",""), HYPERLINK(CONCATENATE("#Metadata!", ADDRESS(INDEX($AJ$2:$AJ$1001,MATCH(ROWS($AH$2:AH642),$AH$2:$AH$1001,0),0), INDEX($AO$1004:$BQ$1004,1,MATCH(COLUMNS($AO$1006:BO1006),$AO$1006:$BQ$1006,0)))),"Fix")))</f>
        <v>#N/A</v>
      </c>
      <c r="AC642" s="5" t="e">
        <f ca="1">IF(OR(INDEX($AI$2:$AI$1001,MATCH(ROWS($AH$2:AH642),$AH$2:$AH$1001,0),1)&gt;=100000,INDEX($AO$1005:$BQ$1005,1,MATCH(COLUMNS($AO$1006:BP1006),$AO$1006:$BQ$1006,0))&gt;=100000), " ",IF(INDEX($AO$2:$BQ$1001,MATCH(ROWS($AH$2:AH642),$AH$2:$AH$1001,0),MATCH(COLUMNS($AO$1006:BP1006),$AO$1006:$BQ$1006,0)), HYPERLINK("#",""), HYPERLINK(CONCATENATE("#Metadata!", ADDRESS(INDEX($AJ$2:$AJ$1001,MATCH(ROWS($AH$2:AH642),$AH$2:$AH$1001,0),0), INDEX($AO$1004:$BQ$1004,1,MATCH(COLUMNS($AO$1006:BP1006),$AO$1006:$BQ$1006,0)))),"Fix")))</f>
        <v>#N/A</v>
      </c>
      <c r="AD642" s="5" t="e">
        <f ca="1">IF(OR(INDEX($AI$2:$AI$1001,MATCH(ROWS($AH$2:AH642),$AH$2:$AH$1001,0),1)&gt;=100000,INDEX($AO$1005:$BQ$1005,1,MATCH(COLUMNS($AO$1006:BQ1006),$AO$1006:$BQ$1006,0))&gt;=100000), " ",IF(INDEX($AO$2:$BQ$1001,MATCH(ROWS($AH$2:AH642),$AH$2:$AH$1001,0),MATCH(COLUMNS($AO$1006:BQ1006),$AO$1006:$BQ$1006,0)), HYPERLINK("#",""), HYPERLINK(CONCATENATE("#Metadata!", ADDRESS(INDEX($AJ$2:$AJ$1001,MATCH(ROWS($AH$2:AH642),$AH$2:$AH$1001,0),0), INDEX($AO$1004:$BQ$1004,1,MATCH(COLUMNS($AO$1006:BQ1006),$AO$1006:$BQ$1006,0)))),"Fix")))</f>
        <v>#REF!</v>
      </c>
      <c r="AH642">
        <f ca="1"/>
        <v>639</v>
      </c>
      <c r="AI642">
        <v>100642</v>
      </c>
      <c r="AJ642">
        <v>642</v>
      </c>
      <c r="AK642" t="b">
        <f t="shared" ref="AK642:AK705" si="10">IF(AL642,TRUE,AND(AO642:BQ642))</f>
        <v>1</v>
      </c>
      <c r="AL642" t="b">
        <f>COUNTBLANK(Metadata!B642:AD642)=COLUMNS(Metadata!B642:AD642)</f>
        <v>1</v>
      </c>
      <c r="AM642" t="str">
        <v/>
      </c>
      <c r="AO642" t="b">
        <f ca="1">AND(IF(Metadata!B642="",FALSE,TRUE),COUNTIF(Metadata!B:B, Metadata!B642) = 1,NOT(ISERROR(SUMPRODUCT(SEARCH(MID(Metadata!B642,ROW(INDIRECT("1:"&amp;LEN(Metadata!B642))), 1),"0123456789abcdefghijklmnopqrstuvwxyzABCDEFGHIJKLMNOPQRSTUVWXYZ.")))))</f>
        <v>0</v>
      </c>
      <c r="AP642" t="b">
        <f>IF(Metadata!C642="",FALSE,TRUE)</f>
        <v>0</v>
      </c>
      <c r="AQ642" t="b">
        <f>IF(Metadata!D642="",FALSE,TRUE)</f>
        <v>0</v>
      </c>
      <c r="AR642" t="b">
        <f ca="1">OR(AND(IF(Metadata!E642="",FALSE,TRUE),OR(EXACT(Metadata!E642,"not collected"),EXACT(Metadata!E642,"not provided"),EXACT(Metadata!E642,"restricted access"))),AND(IF(Metadata!E642="",FALSE,TRUE),AND(AND(IFERROR(INT(LEFT(Metadata!E642,4))&gt;1900,FALSE),IFERROR(INT(LEFT(Metadata!E642,4))&lt;=YEAR(NOW()),FALSE)), OR(MID(Metadata!E642,5,1)="", AND(AND(MID(Metadata!E642,5,1)="-",IFERROR(INT(MID(Metadata!E642,6,1))&gt;=0,FALSE),IFERROR(INT(MID(Metadata!E642,6,1))&lt;=1,FALSE),NOT(MID(Metadata!E642,7,1)=""),IFERROR(INT(MID(Metadata!E642,6,2))&gt;=1,FALSE),IFERROR(INT(MID(Metadata!E642,6,2))&lt;=12,FALSE)), OR(MID(Metadata!E642,8,1)="", AND(AND(MID(Metadata!E642,8,1)="-",IFERROR(INT(MID(Metadata!E642,9,1))&gt;=0,FALSE),IFERROR(INT(MID(Metadata!E642,9,1))&lt;=3,FALSE),NOT(MID(Metadata!E642,10,1)=""),IFERROR(INT(MID(Metadata!E642,9,2))&gt;=1,FALSE),IFERROR(INT(MID(Metadata!E642,9,2))&lt;=31,FALSE)), OR(MID(Metadata!E642,11,1)="", AND(AND(MID(Metadata!E642,11,1)=" ",IFERROR(INT(MID(Metadata!E642,12,1))&gt;=0,FALSE),IFERROR(INT(MID(Metadata!E642,12,1))&lt;=2,FALSE),NOT(MID(Metadata!E642,13,1)=""),IFERROR(INT(MID(Metadata!E642,12,2))&gt;=0,FALSE),IFERROR(INT(MID(Metadata!E642,12,2))&lt;=23,FALSE)), OR(MID(Metadata!E642,14,1)="", AND(AND(MID(Metadata!E642,14,1)=":",IFERROR(INT(MID(Metadata!E642,15,1))&gt;=0,FALSE),IFERROR(INT(MID(Metadata!E642,15,1))&lt;=5,FALSE),NOT(MID(Metadata!E642,16,1)=""),IFERROR(INT(MID(Metadata!E642,15,2))&gt;=0,FALSE),IFERROR(INT(MID(Metadata!E642,15,2))&lt;=59,FALSE)), OR(MID(Metadata!E642,17,1)="", AND(AND(MID(Metadata!E642,17,1)=":",IFERROR(INT(MID(Metadata!E642,18,1))&gt;=0,FALSE),IFERROR(INT(MID(Metadata!E642,18,1))&lt;=5,FALSE),NOT(MID(Metadata!E642,19,1)=""),IFERROR(INT(MID(Metadata!E642,18,2))&gt;=0,FALSE),IFERROR(INT(MID(Metadata!E642,18,2))&lt;=59,FALSE)), LEN(Metadata!E642)&lt;=19)))))))))))))</f>
        <v>0</v>
      </c>
      <c r="AS642" t="b">
        <f>IF(Metadata!F642="",FALSE,TRUE)</f>
        <v>0</v>
      </c>
      <c r="AT642" t="b">
        <f>OR(AND(IF(Metadata!G642="",FALSE,TRUE),OR(EXACT(Metadata!G642,"not collected"),EXACT(Metadata!G642,"not provided"))),AND(IF(Metadata!G642="",FALSE,TRUE),OR(EXACT(Metadata!G642,"TRUE"),EXACT(Metadata!G642,"FALSE"))))</f>
        <v>0</v>
      </c>
      <c r="AU642" t="b">
        <f>OR(AND(IF(Metadata!H642="",FALSE,TRUE),OR(EXACT(Metadata!H642,"not collected"),EXACT(Metadata!H642,"not provided"),EXACT(Metadata!H642,"restricted access"))),AND(IF(Metadata!H642="",FALSE,ISNUMBER(VALUE(Metadata!H642))),Metadata!H642&gt;=-413))</f>
        <v>0</v>
      </c>
      <c r="AV642" t="b">
        <f>AND(IF(Metadata!I642="",FALSE,TRUE),EXACT(Metadata!I642,"meters"))</f>
        <v>0</v>
      </c>
      <c r="AW642" t="b">
        <f>AND(IF(Metadata!J642="",FALSE,TRUE),EXACT(Metadata!J642,"free-living"))</f>
        <v>0</v>
      </c>
      <c r="AX642" t="b">
        <f>AND(IF(Metadata!K642="",FALSE,TRUE),OR(EXACT(Metadata!K642,"saline"),EXACT(Metadata!K642,"non-saline")))</f>
        <v>0</v>
      </c>
      <c r="AY642" t="b">
        <f>AND(IF(Metadata!L642="",FALSE,TRUE),OR(EXACT(Metadata!L642,"sub-surface (non-saline)"),EXACT(Metadata!L642,"surface (non-saline)"),EXACT(Metadata!L642,"water (non-saline)"),EXACT(Metadata!L642,"soil (non-saline)"),EXACT(Metadata!L642,"aerosol (non-saline)"),EXACT(Metadata!L642,"sediment (non-saline)"),EXACT(Metadata!L642,"surface (saline)"),EXACT(Metadata!L642,"water (saline)"),EXACT(Metadata!L642,"hypersaline (saline)"),EXACT(Metadata!L642,"aerosol (saline)"),EXACT(Metadata!L642,"sediment (saline)")))</f>
        <v>0</v>
      </c>
      <c r="AZ642" t="b">
        <f>IF(Metadata!M642="",FALSE,TRUE)</f>
        <v>0</v>
      </c>
      <c r="BA642" t="b">
        <f>IF(Metadata!N642="",FALSE,TRUE)</f>
        <v>0</v>
      </c>
      <c r="BB642" t="b">
        <f>IF(Metadata!O642="",FALSE,TRUE)</f>
        <v>0</v>
      </c>
      <c r="BC642" t="b">
        <f>AND(IF(Metadata!P642="",FALSE,TRUE),OR(EXACT(Metadata!P642,"air"),EXACT(Metadata!P642,"microbial mat/biofilm"),EXACT(Metadata!P642,"misc environment"),EXACT(Metadata!P642,"sediment"),EXACT(Metadata!P642,"soil"),EXACT(Metadata!P642,"wastewater/sludge"),EXACT(Metadata!P642,"water")))</f>
        <v>0</v>
      </c>
      <c r="BD642" t="b">
        <f>IF(Metadata!Q642="",FALSE,TRUE)</f>
        <v>0</v>
      </c>
      <c r="BE642" t="b">
        <f>IF(Metadata!R642="",FALSE,TRUE)</f>
        <v>0</v>
      </c>
      <c r="BF642" t="b">
        <f>OR(AND(IF(Metadata!S642="",FALSE,TRUE),OR(EXACT(Metadata!S642,"not collected"),EXACT(Metadata!S642,"not provided"),EXACT(Metadata!S642,"restricted access"))),AND(IF(Metadata!S642="",FALSE,ISNUMBER(VALUE(Metadata!S642))),Metadata!S642&gt;=-90,Metadata!S642&lt;=90))</f>
        <v>0</v>
      </c>
      <c r="BG642" t="b">
        <f>AND(IF(Metadata!T642="",FALSE,TRUE),EXACT(Metadata!T642,"Decimal degrees"))</f>
        <v>0</v>
      </c>
      <c r="BH642" t="b">
        <f>OR(AND(IF(Metadata!U642="",FALSE,TRUE),OR(EXACT(Metadata!U642,"not applicable"),EXACT(Metadata!U642,"not collected"))),IF(Metadata!U642="",FALSE,TRUE))</f>
        <v>0</v>
      </c>
      <c r="BI642" t="b">
        <f>OR(AND(IF(Metadata!V642="",FALSE,TRUE),OR(EXACT(Metadata!V642,"not collected"),EXACT(Metadata!V642,"not provided"),EXACT(Metadata!V642,"restricted access"))),AND(IF(Metadata!V642="",FALSE,ISNUMBER(VALUE(Metadata!V642))),Metadata!V642&gt;=-180,Metadata!V642&lt;=180))</f>
        <v>0</v>
      </c>
      <c r="BJ642" t="b">
        <f>AND(IF(Metadata!W642="",FALSE,TRUE),EXACT(Metadata!W642,"Decimal degrees"))</f>
        <v>0</v>
      </c>
      <c r="BK642" t="b">
        <f>IF(Metadata!X642="",FALSE,TRUE)</f>
        <v>0</v>
      </c>
      <c r="BL642" t="b">
        <f>OR(AND(IF(Metadata!Y642="",FALSE,TRUE),OR(EXACT(Metadata!Y642,"not collected"),EXACT(Metadata!Y642,"not provided"),EXACT(Metadata!Y642,"restricted access"))),AND(IF(Metadata!Y642="",FALSE,TRUE),OR(EXACT(Metadata!Y642,"TRUE"),EXACT(Metadata!Y642,"FALSE"))))</f>
        <v>0</v>
      </c>
      <c r="BM642" t="b">
        <f>OR(AND(IF(Metadata!Z642="",FALSE,TRUE),EXACT(Metadata!Z642,"not applicable")),AND(IF(Metadata!Z642="",FALSE,TRUE),OR(EXACT(Metadata!Z642,"beer"),EXACT(Metadata!Z642,"cheese"),EXACT(Metadata!Z642,"fresh water"),EXACT(Metadata!Z642,"marine sediment"),EXACT(Metadata!Z642,"sea water"),EXACT(Metadata!Z642,"sediment"),EXACT(Metadata!Z642,"soil"),EXACT(Metadata!Z642,"waste water"))))</f>
        <v>0</v>
      </c>
      <c r="BN642" t="b">
        <f>AND(IF(Metadata!AA642="",FALSE,TRUE),EXACT(Metadata!AA642,"metagenome"))</f>
        <v>0</v>
      </c>
      <c r="BO642" t="b">
        <f>AND(IF(Metadata!AB642="",FALSE,TRUE),EXACT(Metadata!AB642,"256318"))</f>
        <v>0</v>
      </c>
      <c r="BP642" t="b">
        <f>IF(Metadata!AC642="",FALSE,TRUE)</f>
        <v>0</v>
      </c>
      <c r="BQ642" t="b">
        <f>IF(Metadata!AD642="",FALSE,TRUE)</f>
        <v>0</v>
      </c>
    </row>
    <row r="643" spans="1:69" x14ac:dyDescent="0.2">
      <c r="A643" s="4" t="e">
        <f ca="1">IF(B643=" "," ",HYPERLINK(CONCATENATE("#metadata!",ADDRESS(INDEX($AJ$2:$AJ$1001,MATCH(ROWS($AH$2:AH643),$AH$2:$AH$1001,0),0),2)),INDEX($AM$2:$AM$1001,MATCH(ROWS($AH$2:AH643),$AH$2:$AH$1001,0),0)))</f>
        <v>#N/A</v>
      </c>
      <c r="B643" s="5" t="e">
        <f ca="1">IF(OR(INDEX($AI$2:$AI$1001,MATCH(ROWS($AH$2:AH643),$AH$2:$AH$1001,0),1)&gt;=100000,INDEX($AO$1005:$BQ$1005,1,MATCH(COLUMNS($AO$1006:AO1006),$AO$1006:$BQ$1006,0))&gt;=100000), " ",IF(INDEX($AO$2:$BQ$1001,MATCH(ROWS($AH$2:AH643),$AH$2:$AH$1001,0),MATCH(COLUMNS($AO$1006:AO1006),$AO$1006:$BQ$1006,0)), HYPERLINK("#",""), HYPERLINK(CONCATENATE("#Metadata!", ADDRESS(INDEX($AJ$2:$AJ$1001,MATCH(ROWS($AH$2:AH643),$AH$2:$AH$1001,0),0), INDEX($AO$1004:$BQ$1004,1,MATCH(COLUMNS($AO$1006:AO1006),$AO$1006:$BQ$1006,0)))),"Fix")))</f>
        <v>#N/A</v>
      </c>
      <c r="C643" s="5" t="e">
        <f ca="1">IF(OR(INDEX($AI$2:$AI$1001,MATCH(ROWS($AH$2:AH643),$AH$2:$AH$1001,0),1)&gt;=100000,INDEX($AO$1005:$BQ$1005,1,MATCH(COLUMNS($AO$1006:AP1006),$AO$1006:$BQ$1006,0))&gt;=100000), " ",IF(INDEX($AO$2:$BQ$1001,MATCH(ROWS($AH$2:AH643),$AH$2:$AH$1001,0),MATCH(COLUMNS($AO$1006:AP1006),$AO$1006:$BQ$1006,0)), HYPERLINK("#",""), HYPERLINK(CONCATENATE("#Metadata!", ADDRESS(INDEX($AJ$2:$AJ$1001,MATCH(ROWS($AH$2:AH643),$AH$2:$AH$1001,0),0), INDEX($AO$1004:$BQ$1004,1,MATCH(COLUMNS($AO$1006:AP1006),$AO$1006:$BQ$1006,0)))),"Fix")))</f>
        <v>#N/A</v>
      </c>
      <c r="D643" s="5" t="e">
        <f ca="1">IF(OR(INDEX($AI$2:$AI$1001,MATCH(ROWS($AH$2:AH643),$AH$2:$AH$1001,0),1)&gt;=100000,INDEX($AO$1005:$BQ$1005,1,MATCH(COLUMNS($AO$1006:AQ1006),$AO$1006:$BQ$1006,0))&gt;=100000), " ",IF(INDEX($AO$2:$BQ$1001,MATCH(ROWS($AH$2:AH643),$AH$2:$AH$1001,0),MATCH(COLUMNS($AO$1006:AQ1006),$AO$1006:$BQ$1006,0)), HYPERLINK("#",""), HYPERLINK(CONCATENATE("#Metadata!", ADDRESS(INDEX($AJ$2:$AJ$1001,MATCH(ROWS($AH$2:AH643),$AH$2:$AH$1001,0),0), INDEX($AO$1004:$BQ$1004,1,MATCH(COLUMNS($AO$1006:AQ1006),$AO$1006:$BQ$1006,0)))),"Fix")))</f>
        <v>#N/A</v>
      </c>
      <c r="E643" s="5" t="e">
        <f ca="1">IF(OR(INDEX($AI$2:$AI$1001,MATCH(ROWS($AH$2:AH643),$AH$2:$AH$1001,0),1)&gt;=100000,INDEX($AO$1005:$BQ$1005,1,MATCH(COLUMNS($AO$1006:AR1006),$AO$1006:$BQ$1006,0))&gt;=100000), " ",IF(INDEX($AO$2:$BQ$1001,MATCH(ROWS($AH$2:AH643),$AH$2:$AH$1001,0),MATCH(COLUMNS($AO$1006:AR1006),$AO$1006:$BQ$1006,0)), HYPERLINK("#",""), HYPERLINK(CONCATENATE("#Metadata!", ADDRESS(INDEX($AJ$2:$AJ$1001,MATCH(ROWS($AH$2:AH643),$AH$2:$AH$1001,0),0), INDEX($AO$1004:$BQ$1004,1,MATCH(COLUMNS($AO$1006:AR1006),$AO$1006:$BQ$1006,0)))),"Fix")))</f>
        <v>#N/A</v>
      </c>
      <c r="F643" s="5" t="e">
        <f ca="1">IF(OR(INDEX($AI$2:$AI$1001,MATCH(ROWS($AH$2:AH643),$AH$2:$AH$1001,0),1)&gt;=100000,INDEX($AO$1005:$BQ$1005,1,MATCH(COLUMNS($AO$1006:AS1006),$AO$1006:$BQ$1006,0))&gt;=100000), " ",IF(INDEX($AO$2:$BQ$1001,MATCH(ROWS($AH$2:AH643),$AH$2:$AH$1001,0),MATCH(COLUMNS($AO$1006:AS1006),$AO$1006:$BQ$1006,0)), HYPERLINK("#",""), HYPERLINK(CONCATENATE("#Metadata!", ADDRESS(INDEX($AJ$2:$AJ$1001,MATCH(ROWS($AH$2:AH643),$AH$2:$AH$1001,0),0), INDEX($AO$1004:$BQ$1004,1,MATCH(COLUMNS($AO$1006:AS1006),$AO$1006:$BQ$1006,0)))),"Fix")))</f>
        <v>#N/A</v>
      </c>
      <c r="G643" s="5" t="e">
        <f ca="1">IF(OR(INDEX($AI$2:$AI$1001,MATCH(ROWS($AH$2:AH643),$AH$2:$AH$1001,0),1)&gt;=100000,INDEX($AO$1005:$BQ$1005,1,MATCH(COLUMNS($AO$1006:AT1006),$AO$1006:$BQ$1006,0))&gt;=100000), " ",IF(INDEX($AO$2:$BQ$1001,MATCH(ROWS($AH$2:AH643),$AH$2:$AH$1001,0),MATCH(COLUMNS($AO$1006:AT1006),$AO$1006:$BQ$1006,0)), HYPERLINK("#",""), HYPERLINK(CONCATENATE("#Metadata!", ADDRESS(INDEX($AJ$2:$AJ$1001,MATCH(ROWS($AH$2:AH643),$AH$2:$AH$1001,0),0), INDEX($AO$1004:$BQ$1004,1,MATCH(COLUMNS($AO$1006:AT1006),$AO$1006:$BQ$1006,0)))),"Fix")))</f>
        <v>#N/A</v>
      </c>
      <c r="H643" s="5" t="e">
        <f ca="1">IF(OR(INDEX($AI$2:$AI$1001,MATCH(ROWS($AH$2:AH643),$AH$2:$AH$1001,0),1)&gt;=100000,INDEX($AO$1005:$BQ$1005,1,MATCH(COLUMNS($AO$1006:AU1006),$AO$1006:$BQ$1006,0))&gt;=100000), " ",IF(INDEX($AO$2:$BQ$1001,MATCH(ROWS($AH$2:AH643),$AH$2:$AH$1001,0),MATCH(COLUMNS($AO$1006:AU1006),$AO$1006:$BQ$1006,0)), HYPERLINK("#",""), HYPERLINK(CONCATENATE("#Metadata!", ADDRESS(INDEX($AJ$2:$AJ$1001,MATCH(ROWS($AH$2:AH643),$AH$2:$AH$1001,0),0), INDEX($AO$1004:$BQ$1004,1,MATCH(COLUMNS($AO$1006:AU1006),$AO$1006:$BQ$1006,0)))),"Fix")))</f>
        <v>#N/A</v>
      </c>
      <c r="I643" s="5" t="e">
        <f ca="1">IF(OR(INDEX($AI$2:$AI$1001,MATCH(ROWS($AH$2:AH643),$AH$2:$AH$1001,0),1)&gt;=100000,INDEX($AO$1005:$BQ$1005,1,MATCH(COLUMNS($AO$1006:AV1006),$AO$1006:$BQ$1006,0))&gt;=100000), " ",IF(INDEX($AO$2:$BQ$1001,MATCH(ROWS($AH$2:AH643),$AH$2:$AH$1001,0),MATCH(COLUMNS($AO$1006:AV1006),$AO$1006:$BQ$1006,0)), HYPERLINK("#",""), HYPERLINK(CONCATENATE("#Metadata!", ADDRESS(INDEX($AJ$2:$AJ$1001,MATCH(ROWS($AH$2:AH643),$AH$2:$AH$1001,0),0), INDEX($AO$1004:$BQ$1004,1,MATCH(COLUMNS($AO$1006:AV1006),$AO$1006:$BQ$1006,0)))),"Fix")))</f>
        <v>#N/A</v>
      </c>
      <c r="J643" s="5" t="e">
        <f ca="1">IF(OR(INDEX($AI$2:$AI$1001,MATCH(ROWS($AH$2:AH643),$AH$2:$AH$1001,0),1)&gt;=100000,INDEX($AO$1005:$BQ$1005,1,MATCH(COLUMNS($AO$1006:AW1006),$AO$1006:$BQ$1006,0))&gt;=100000), " ",IF(INDEX($AO$2:$BQ$1001,MATCH(ROWS($AH$2:AH643),$AH$2:$AH$1001,0),MATCH(COLUMNS($AO$1006:AW1006),$AO$1006:$BQ$1006,0)), HYPERLINK("#",""), HYPERLINK(CONCATENATE("#Metadata!", ADDRESS(INDEX($AJ$2:$AJ$1001,MATCH(ROWS($AH$2:AH643),$AH$2:$AH$1001,0),0), INDEX($AO$1004:$BQ$1004,1,MATCH(COLUMNS($AO$1006:AW1006),$AO$1006:$BQ$1006,0)))),"Fix")))</f>
        <v>#N/A</v>
      </c>
      <c r="K643" s="5" t="e">
        <f ca="1">IF(OR(INDEX($AI$2:$AI$1001,MATCH(ROWS($AH$2:AH643),$AH$2:$AH$1001,0),1)&gt;=100000,INDEX($AO$1005:$BQ$1005,1,MATCH(COLUMNS($AO$1006:AX1006),$AO$1006:$BQ$1006,0))&gt;=100000), " ",IF(INDEX($AO$2:$BQ$1001,MATCH(ROWS($AH$2:AH643),$AH$2:$AH$1001,0),MATCH(COLUMNS($AO$1006:AX1006),$AO$1006:$BQ$1006,0)), HYPERLINK("#",""), HYPERLINK(CONCATENATE("#Metadata!", ADDRESS(INDEX($AJ$2:$AJ$1001,MATCH(ROWS($AH$2:AH643),$AH$2:$AH$1001,0),0), INDEX($AO$1004:$BQ$1004,1,MATCH(COLUMNS($AO$1006:AX1006),$AO$1006:$BQ$1006,0)))),"Fix")))</f>
        <v>#N/A</v>
      </c>
      <c r="L643" s="5" t="e">
        <f ca="1">IF(OR(INDEX($AI$2:$AI$1001,MATCH(ROWS($AH$2:AH643),$AH$2:$AH$1001,0),1)&gt;=100000,INDEX($AO$1005:$BQ$1005,1,MATCH(COLUMNS($AO$1006:AY1006),$AO$1006:$BQ$1006,0))&gt;=100000), " ",IF(INDEX($AO$2:$BQ$1001,MATCH(ROWS($AH$2:AH643),$AH$2:$AH$1001,0),MATCH(COLUMNS($AO$1006:AY1006),$AO$1006:$BQ$1006,0)), HYPERLINK("#",""), HYPERLINK(CONCATENATE("#Metadata!", ADDRESS(INDEX($AJ$2:$AJ$1001,MATCH(ROWS($AH$2:AH643),$AH$2:$AH$1001,0),0), INDEX($AO$1004:$BQ$1004,1,MATCH(COLUMNS($AO$1006:AY1006),$AO$1006:$BQ$1006,0)))),"Fix")))</f>
        <v>#N/A</v>
      </c>
      <c r="M643" s="5" t="e">
        <f ca="1">IF(OR(INDEX($AI$2:$AI$1001,MATCH(ROWS($AH$2:AH643),$AH$2:$AH$1001,0),1)&gt;=100000,INDEX($AO$1005:$BQ$1005,1,MATCH(COLUMNS($AO$1006:AZ1006),$AO$1006:$BQ$1006,0))&gt;=100000), " ",IF(INDEX($AO$2:$BQ$1001,MATCH(ROWS($AH$2:AH643),$AH$2:$AH$1001,0),MATCH(COLUMNS($AO$1006:AZ1006),$AO$1006:$BQ$1006,0)), HYPERLINK("#",""), HYPERLINK(CONCATENATE("#Metadata!", ADDRESS(INDEX($AJ$2:$AJ$1001,MATCH(ROWS($AH$2:AH643),$AH$2:$AH$1001,0),0), INDEX($AO$1004:$BQ$1004,1,MATCH(COLUMNS($AO$1006:AZ1006),$AO$1006:$BQ$1006,0)))),"Fix")))</f>
        <v>#N/A</v>
      </c>
      <c r="N643" s="5" t="e">
        <f ca="1">IF(OR(INDEX($AI$2:$AI$1001,MATCH(ROWS($AH$2:AH643),$AH$2:$AH$1001,0),1)&gt;=100000,INDEX($AO$1005:$BQ$1005,1,MATCH(COLUMNS($AO$1006:BA1006),$AO$1006:$BQ$1006,0))&gt;=100000), " ",IF(INDEX($AO$2:$BQ$1001,MATCH(ROWS($AH$2:AH643),$AH$2:$AH$1001,0),MATCH(COLUMNS($AO$1006:BA1006),$AO$1006:$BQ$1006,0)), HYPERLINK("#",""), HYPERLINK(CONCATENATE("#Metadata!", ADDRESS(INDEX($AJ$2:$AJ$1001,MATCH(ROWS($AH$2:AH643),$AH$2:$AH$1001,0),0), INDEX($AO$1004:$BQ$1004,1,MATCH(COLUMNS($AO$1006:BA1006),$AO$1006:$BQ$1006,0)))),"Fix")))</f>
        <v>#N/A</v>
      </c>
      <c r="O643" s="5" t="e">
        <f ca="1">IF(OR(INDEX($AI$2:$AI$1001,MATCH(ROWS($AH$2:AH643),$AH$2:$AH$1001,0),1)&gt;=100000,INDEX($AO$1005:$BQ$1005,1,MATCH(COLUMNS($AO$1006:BB1006),$AO$1006:$BQ$1006,0))&gt;=100000), " ",IF(INDEX($AO$2:$BQ$1001,MATCH(ROWS($AH$2:AH643),$AH$2:$AH$1001,0),MATCH(COLUMNS($AO$1006:BB1006),$AO$1006:$BQ$1006,0)), HYPERLINK("#",""), HYPERLINK(CONCATENATE("#Metadata!", ADDRESS(INDEX($AJ$2:$AJ$1001,MATCH(ROWS($AH$2:AH643),$AH$2:$AH$1001,0),0), INDEX($AO$1004:$BQ$1004,1,MATCH(COLUMNS($AO$1006:BB1006),$AO$1006:$BQ$1006,0)))),"Fix")))</f>
        <v>#N/A</v>
      </c>
      <c r="P643" s="5" t="e">
        <f ca="1">IF(OR(INDEX($AI$2:$AI$1001,MATCH(ROWS($AH$2:AH643),$AH$2:$AH$1001,0),1)&gt;=100000,INDEX($AO$1005:$BQ$1005,1,MATCH(COLUMNS($AO$1006:BC1006),$AO$1006:$BQ$1006,0))&gt;=100000), " ",IF(INDEX($AO$2:$BQ$1001,MATCH(ROWS($AH$2:AH643),$AH$2:$AH$1001,0),MATCH(COLUMNS($AO$1006:BC1006),$AO$1006:$BQ$1006,0)), HYPERLINK("#",""), HYPERLINK(CONCATENATE("#Metadata!", ADDRESS(INDEX($AJ$2:$AJ$1001,MATCH(ROWS($AH$2:AH643),$AH$2:$AH$1001,0),0), INDEX($AO$1004:$BQ$1004,1,MATCH(COLUMNS($AO$1006:BC1006),$AO$1006:$BQ$1006,0)))),"Fix")))</f>
        <v>#N/A</v>
      </c>
      <c r="Q643" s="5" t="e">
        <f ca="1">IF(OR(INDEX($AI$2:$AI$1001,MATCH(ROWS($AH$2:AH643),$AH$2:$AH$1001,0),1)&gt;=100000,INDEX($AO$1005:$BQ$1005,1,MATCH(COLUMNS($AO$1006:BD1006),$AO$1006:$BQ$1006,0))&gt;=100000), " ",IF(INDEX($AO$2:$BQ$1001,MATCH(ROWS($AH$2:AH643),$AH$2:$AH$1001,0),MATCH(COLUMNS($AO$1006:BD1006),$AO$1006:$BQ$1006,0)), HYPERLINK("#",""), HYPERLINK(CONCATENATE("#Metadata!", ADDRESS(INDEX($AJ$2:$AJ$1001,MATCH(ROWS($AH$2:AH643),$AH$2:$AH$1001,0),0), INDEX($AO$1004:$BQ$1004,1,MATCH(COLUMNS($AO$1006:BD1006),$AO$1006:$BQ$1006,0)))),"Fix")))</f>
        <v>#N/A</v>
      </c>
      <c r="R643" s="5" t="e">
        <f ca="1">IF(OR(INDEX($AI$2:$AI$1001,MATCH(ROWS($AH$2:AH643),$AH$2:$AH$1001,0),1)&gt;=100000,INDEX($AO$1005:$BQ$1005,1,MATCH(COLUMNS($AO$1006:BE1006),$AO$1006:$BQ$1006,0))&gt;=100000), " ",IF(INDEX($AO$2:$BQ$1001,MATCH(ROWS($AH$2:AH643),$AH$2:$AH$1001,0),MATCH(COLUMNS($AO$1006:BE1006),$AO$1006:$BQ$1006,0)), HYPERLINK("#",""), HYPERLINK(CONCATENATE("#Metadata!", ADDRESS(INDEX($AJ$2:$AJ$1001,MATCH(ROWS($AH$2:AH643),$AH$2:$AH$1001,0),0), INDEX($AO$1004:$BQ$1004,1,MATCH(COLUMNS($AO$1006:BE1006),$AO$1006:$BQ$1006,0)))),"Fix")))</f>
        <v>#N/A</v>
      </c>
      <c r="S643" s="5" t="e">
        <f ca="1">IF(OR(INDEX($AI$2:$AI$1001,MATCH(ROWS($AH$2:AH643),$AH$2:$AH$1001,0),1)&gt;=100000,INDEX($AO$1005:$BQ$1005,1,MATCH(COLUMNS($AO$1006:BF1006),$AO$1006:$BQ$1006,0))&gt;=100000), " ",IF(INDEX($AO$2:$BQ$1001,MATCH(ROWS($AH$2:AH643),$AH$2:$AH$1001,0),MATCH(COLUMNS($AO$1006:BF1006),$AO$1006:$BQ$1006,0)), HYPERLINK("#",""), HYPERLINK(CONCATENATE("#Metadata!", ADDRESS(INDEX($AJ$2:$AJ$1001,MATCH(ROWS($AH$2:AH643),$AH$2:$AH$1001,0),0), INDEX($AO$1004:$BQ$1004,1,MATCH(COLUMNS($AO$1006:BF1006),$AO$1006:$BQ$1006,0)))),"Fix")))</f>
        <v>#N/A</v>
      </c>
      <c r="T643" s="5" t="e">
        <f ca="1">IF(OR(INDEX($AI$2:$AI$1001,MATCH(ROWS($AH$2:AH643),$AH$2:$AH$1001,0),1)&gt;=100000,INDEX($AO$1005:$BQ$1005,1,MATCH(COLUMNS($AO$1006:BG1006),$AO$1006:$BQ$1006,0))&gt;=100000), " ",IF(INDEX($AO$2:$BQ$1001,MATCH(ROWS($AH$2:AH643),$AH$2:$AH$1001,0),MATCH(COLUMNS($AO$1006:BG1006),$AO$1006:$BQ$1006,0)), HYPERLINK("#",""), HYPERLINK(CONCATENATE("#Metadata!", ADDRESS(INDEX($AJ$2:$AJ$1001,MATCH(ROWS($AH$2:AH643),$AH$2:$AH$1001,0),0), INDEX($AO$1004:$BQ$1004,1,MATCH(COLUMNS($AO$1006:BG1006),$AO$1006:$BQ$1006,0)))),"Fix")))</f>
        <v>#N/A</v>
      </c>
      <c r="U643" s="5" t="e">
        <f ca="1">IF(OR(INDEX($AI$2:$AI$1001,MATCH(ROWS($AH$2:AH643),$AH$2:$AH$1001,0),1)&gt;=100000,INDEX($AO$1005:$BQ$1005,1,MATCH(COLUMNS($AO$1006:BH1006),$AO$1006:$BQ$1006,0))&gt;=100000), " ",IF(INDEX($AO$2:$BQ$1001,MATCH(ROWS($AH$2:AH643),$AH$2:$AH$1001,0),MATCH(COLUMNS($AO$1006:BH1006),$AO$1006:$BQ$1006,0)), HYPERLINK("#",""), HYPERLINK(CONCATENATE("#Metadata!", ADDRESS(INDEX($AJ$2:$AJ$1001,MATCH(ROWS($AH$2:AH643),$AH$2:$AH$1001,0),0), INDEX($AO$1004:$BQ$1004,1,MATCH(COLUMNS($AO$1006:BH1006),$AO$1006:$BQ$1006,0)))),"Fix")))</f>
        <v>#N/A</v>
      </c>
      <c r="V643" s="5" t="e">
        <f ca="1">IF(OR(INDEX($AI$2:$AI$1001,MATCH(ROWS($AH$2:AH643),$AH$2:$AH$1001,0),1)&gt;=100000,INDEX($AO$1005:$BQ$1005,1,MATCH(COLUMNS($AO$1006:BI1006),$AO$1006:$BQ$1006,0))&gt;=100000), " ",IF(INDEX($AO$2:$BQ$1001,MATCH(ROWS($AH$2:AH643),$AH$2:$AH$1001,0),MATCH(COLUMNS($AO$1006:BI1006),$AO$1006:$BQ$1006,0)), HYPERLINK("#",""), HYPERLINK(CONCATENATE("#Metadata!", ADDRESS(INDEX($AJ$2:$AJ$1001,MATCH(ROWS($AH$2:AH643),$AH$2:$AH$1001,0),0), INDEX($AO$1004:$BQ$1004,1,MATCH(COLUMNS($AO$1006:BI1006),$AO$1006:$BQ$1006,0)))),"Fix")))</f>
        <v>#N/A</v>
      </c>
      <c r="W643" s="5" t="e">
        <f ca="1">IF(OR(INDEX($AI$2:$AI$1001,MATCH(ROWS($AH$2:AH643),$AH$2:$AH$1001,0),1)&gt;=100000,INDEX($AO$1005:$BQ$1005,1,MATCH(COLUMNS($AO$1006:BJ1006),$AO$1006:$BQ$1006,0))&gt;=100000), " ",IF(INDEX($AO$2:$BQ$1001,MATCH(ROWS($AH$2:AH643),$AH$2:$AH$1001,0),MATCH(COLUMNS($AO$1006:BJ1006),$AO$1006:$BQ$1006,0)), HYPERLINK("#",""), HYPERLINK(CONCATENATE("#Metadata!", ADDRESS(INDEX($AJ$2:$AJ$1001,MATCH(ROWS($AH$2:AH643),$AH$2:$AH$1001,0),0), INDEX($AO$1004:$BQ$1004,1,MATCH(COLUMNS($AO$1006:BJ1006),$AO$1006:$BQ$1006,0)))),"Fix")))</f>
        <v>#N/A</v>
      </c>
      <c r="X643" s="5" t="e">
        <f ca="1">IF(OR(INDEX($AI$2:$AI$1001,MATCH(ROWS($AH$2:AH643),$AH$2:$AH$1001,0),1)&gt;=100000,INDEX($AO$1005:$BQ$1005,1,MATCH(COLUMNS($AO$1006:BK1006),$AO$1006:$BQ$1006,0))&gt;=100000), " ",IF(INDEX($AO$2:$BQ$1001,MATCH(ROWS($AH$2:AH643),$AH$2:$AH$1001,0),MATCH(COLUMNS($AO$1006:BK1006),$AO$1006:$BQ$1006,0)), HYPERLINK("#",""), HYPERLINK(CONCATENATE("#Metadata!", ADDRESS(INDEX($AJ$2:$AJ$1001,MATCH(ROWS($AH$2:AH643),$AH$2:$AH$1001,0),0), INDEX($AO$1004:$BQ$1004,1,MATCH(COLUMNS($AO$1006:BK1006),$AO$1006:$BQ$1006,0)))),"Fix")))</f>
        <v>#N/A</v>
      </c>
      <c r="Y643" s="5" t="e">
        <f ca="1">IF(OR(INDEX($AI$2:$AI$1001,MATCH(ROWS($AH$2:AH643),$AH$2:$AH$1001,0),1)&gt;=100000,INDEX($AO$1005:$BQ$1005,1,MATCH(COLUMNS($AO$1006:BL1006),$AO$1006:$BQ$1006,0))&gt;=100000), " ",IF(INDEX($AO$2:$BQ$1001,MATCH(ROWS($AH$2:AH643),$AH$2:$AH$1001,0),MATCH(COLUMNS($AO$1006:BL1006),$AO$1006:$BQ$1006,0)), HYPERLINK("#",""), HYPERLINK(CONCATENATE("#Metadata!", ADDRESS(INDEX($AJ$2:$AJ$1001,MATCH(ROWS($AH$2:AH643),$AH$2:$AH$1001,0),0), INDEX($AO$1004:$BQ$1004,1,MATCH(COLUMNS($AO$1006:BL1006),$AO$1006:$BQ$1006,0)))),"Fix")))</f>
        <v>#N/A</v>
      </c>
      <c r="Z643" s="5" t="e">
        <f ca="1">IF(OR(INDEX($AI$2:$AI$1001,MATCH(ROWS($AH$2:AH643),$AH$2:$AH$1001,0),1)&gt;=100000,INDEX($AO$1005:$BQ$1005,1,MATCH(COLUMNS($AO$1006:BM1006),$AO$1006:$BQ$1006,0))&gt;=100000), " ",IF(INDEX($AO$2:$BQ$1001,MATCH(ROWS($AH$2:AH643),$AH$2:$AH$1001,0),MATCH(COLUMNS($AO$1006:BM1006),$AO$1006:$BQ$1006,0)), HYPERLINK("#",""), HYPERLINK(CONCATENATE("#Metadata!", ADDRESS(INDEX($AJ$2:$AJ$1001,MATCH(ROWS($AH$2:AH643),$AH$2:$AH$1001,0),0), INDEX($AO$1004:$BQ$1004,1,MATCH(COLUMNS($AO$1006:BM1006),$AO$1006:$BQ$1006,0)))),"Fix")))</f>
        <v>#N/A</v>
      </c>
      <c r="AA643" s="5" t="e">
        <f ca="1">IF(OR(INDEX($AI$2:$AI$1001,MATCH(ROWS($AH$2:AH643),$AH$2:$AH$1001,0),1)&gt;=100000,INDEX($AO$1005:$BQ$1005,1,MATCH(COLUMNS($AO$1006:BN1006),$AO$1006:$BQ$1006,0))&gt;=100000), " ",IF(INDEX($AO$2:$BQ$1001,MATCH(ROWS($AH$2:AH643),$AH$2:$AH$1001,0),MATCH(COLUMNS($AO$1006:BN1006),$AO$1006:$BQ$1006,0)), HYPERLINK("#",""), HYPERLINK(CONCATENATE("#Metadata!", ADDRESS(INDEX($AJ$2:$AJ$1001,MATCH(ROWS($AH$2:AH643),$AH$2:$AH$1001,0),0), INDEX($AO$1004:$BQ$1004,1,MATCH(COLUMNS($AO$1006:BN1006),$AO$1006:$BQ$1006,0)))),"Fix")))</f>
        <v>#N/A</v>
      </c>
      <c r="AB643" s="5" t="e">
        <f ca="1">IF(OR(INDEX($AI$2:$AI$1001,MATCH(ROWS($AH$2:AH643),$AH$2:$AH$1001,0),1)&gt;=100000,INDEX($AO$1005:$BQ$1005,1,MATCH(COLUMNS($AO$1006:BO1006),$AO$1006:$BQ$1006,0))&gt;=100000), " ",IF(INDEX($AO$2:$BQ$1001,MATCH(ROWS($AH$2:AH643),$AH$2:$AH$1001,0),MATCH(COLUMNS($AO$1006:BO1006),$AO$1006:$BQ$1006,0)), HYPERLINK("#",""), HYPERLINK(CONCATENATE("#Metadata!", ADDRESS(INDEX($AJ$2:$AJ$1001,MATCH(ROWS($AH$2:AH643),$AH$2:$AH$1001,0),0), INDEX($AO$1004:$BQ$1004,1,MATCH(COLUMNS($AO$1006:BO1006),$AO$1006:$BQ$1006,0)))),"Fix")))</f>
        <v>#N/A</v>
      </c>
      <c r="AC643" s="5" t="e">
        <f ca="1">IF(OR(INDEX($AI$2:$AI$1001,MATCH(ROWS($AH$2:AH643),$AH$2:$AH$1001,0),1)&gt;=100000,INDEX($AO$1005:$BQ$1005,1,MATCH(COLUMNS($AO$1006:BP1006),$AO$1006:$BQ$1006,0))&gt;=100000), " ",IF(INDEX($AO$2:$BQ$1001,MATCH(ROWS($AH$2:AH643),$AH$2:$AH$1001,0),MATCH(COLUMNS($AO$1006:BP1006),$AO$1006:$BQ$1006,0)), HYPERLINK("#",""), HYPERLINK(CONCATENATE("#Metadata!", ADDRESS(INDEX($AJ$2:$AJ$1001,MATCH(ROWS($AH$2:AH643),$AH$2:$AH$1001,0),0), INDEX($AO$1004:$BQ$1004,1,MATCH(COLUMNS($AO$1006:BP1006),$AO$1006:$BQ$1006,0)))),"Fix")))</f>
        <v>#N/A</v>
      </c>
      <c r="AD643" s="5" t="e">
        <f ca="1">IF(OR(INDEX($AI$2:$AI$1001,MATCH(ROWS($AH$2:AH643),$AH$2:$AH$1001,0),1)&gt;=100000,INDEX($AO$1005:$BQ$1005,1,MATCH(COLUMNS($AO$1006:BQ1006),$AO$1006:$BQ$1006,0))&gt;=100000), " ",IF(INDEX($AO$2:$BQ$1001,MATCH(ROWS($AH$2:AH643),$AH$2:$AH$1001,0),MATCH(COLUMNS($AO$1006:BQ1006),$AO$1006:$BQ$1006,0)), HYPERLINK("#",""), HYPERLINK(CONCATENATE("#Metadata!", ADDRESS(INDEX($AJ$2:$AJ$1001,MATCH(ROWS($AH$2:AH643),$AH$2:$AH$1001,0),0), INDEX($AO$1004:$BQ$1004,1,MATCH(COLUMNS($AO$1006:BQ1006),$AO$1006:$BQ$1006,0)))),"Fix")))</f>
        <v>#REF!</v>
      </c>
      <c r="AH643">
        <f ca="1"/>
        <v>640</v>
      </c>
      <c r="AI643">
        <v>100643</v>
      </c>
      <c r="AJ643">
        <v>643</v>
      </c>
      <c r="AK643" t="b">
        <f t="shared" si="10"/>
        <v>1</v>
      </c>
      <c r="AL643" t="b">
        <f>COUNTBLANK(Metadata!B643:AD643)=COLUMNS(Metadata!B643:AD643)</f>
        <v>1</v>
      </c>
      <c r="AM643" t="str">
        <v/>
      </c>
      <c r="AO643" t="b">
        <f ca="1">AND(IF(Metadata!B643="",FALSE,TRUE),COUNTIF(Metadata!B:B, Metadata!B643) = 1,NOT(ISERROR(SUMPRODUCT(SEARCH(MID(Metadata!B643,ROW(INDIRECT("1:"&amp;LEN(Metadata!B643))), 1),"0123456789abcdefghijklmnopqrstuvwxyzABCDEFGHIJKLMNOPQRSTUVWXYZ.")))))</f>
        <v>0</v>
      </c>
      <c r="AP643" t="b">
        <f>IF(Metadata!C643="",FALSE,TRUE)</f>
        <v>0</v>
      </c>
      <c r="AQ643" t="b">
        <f>IF(Metadata!D643="",FALSE,TRUE)</f>
        <v>0</v>
      </c>
      <c r="AR643" t="b">
        <f ca="1">OR(AND(IF(Metadata!E643="",FALSE,TRUE),OR(EXACT(Metadata!E643,"not collected"),EXACT(Metadata!E643,"not provided"),EXACT(Metadata!E643,"restricted access"))),AND(IF(Metadata!E643="",FALSE,TRUE),AND(AND(IFERROR(INT(LEFT(Metadata!E643,4))&gt;1900,FALSE),IFERROR(INT(LEFT(Metadata!E643,4))&lt;=YEAR(NOW()),FALSE)), OR(MID(Metadata!E643,5,1)="", AND(AND(MID(Metadata!E643,5,1)="-",IFERROR(INT(MID(Metadata!E643,6,1))&gt;=0,FALSE),IFERROR(INT(MID(Metadata!E643,6,1))&lt;=1,FALSE),NOT(MID(Metadata!E643,7,1)=""),IFERROR(INT(MID(Metadata!E643,6,2))&gt;=1,FALSE),IFERROR(INT(MID(Metadata!E643,6,2))&lt;=12,FALSE)), OR(MID(Metadata!E643,8,1)="", AND(AND(MID(Metadata!E643,8,1)="-",IFERROR(INT(MID(Metadata!E643,9,1))&gt;=0,FALSE),IFERROR(INT(MID(Metadata!E643,9,1))&lt;=3,FALSE),NOT(MID(Metadata!E643,10,1)=""),IFERROR(INT(MID(Metadata!E643,9,2))&gt;=1,FALSE),IFERROR(INT(MID(Metadata!E643,9,2))&lt;=31,FALSE)), OR(MID(Metadata!E643,11,1)="", AND(AND(MID(Metadata!E643,11,1)=" ",IFERROR(INT(MID(Metadata!E643,12,1))&gt;=0,FALSE),IFERROR(INT(MID(Metadata!E643,12,1))&lt;=2,FALSE),NOT(MID(Metadata!E643,13,1)=""),IFERROR(INT(MID(Metadata!E643,12,2))&gt;=0,FALSE),IFERROR(INT(MID(Metadata!E643,12,2))&lt;=23,FALSE)),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AND(AND(MID(Metadata!E643,14,1)=":",IFERROR(INT(MID(Metadata!E643,15,1))&gt;=0,FALSE),IFERROR(INT(MID(Metadata!E643,15,1))&lt;=5,FALSE),NOT(MID(Metadata!E643,16,1)=""),IFERROR(INT(MID(Metadata!E643,15,2))&gt;=0,FALSE),IFERROR(INT(MID(Metadata!E643,15,2))&lt;=59,FALSE)), OR(MID(Metadata!E643,17,1)="", AND(AND(MID(Metadata!E643,17,1)=":",IFERROR(INT(MID(Metadata!E643,18,1))&gt;=0,FALSE),IFERROR(INT(MID(Metadata!E643,18,1))&lt;=5,FALSE),NOT(MID(Metadata!E643,19,1)=""),IFERROR(INT(MID(Metadata!E643,18,2))&gt;=0,FALSE),IFERROR(INT(MID(Metadata!E643,18,2))&lt;=59,FALSE)), LEN(Metadata!E643)&lt;=19)))))))))))))</f>
        <v>0</v>
      </c>
      <c r="AS643" t="b">
        <f>IF(Metadata!F643="",FALSE,TRUE)</f>
        <v>0</v>
      </c>
      <c r="AT643" t="b">
        <f>OR(AND(IF(Metadata!G643="",FALSE,TRUE),OR(EXACT(Metadata!G643,"not collected"),EXACT(Metadata!G643,"not provided"))),AND(IF(Metadata!G643="",FALSE,TRUE),OR(EXACT(Metadata!G643,"TRUE"),EXACT(Metadata!G643,"FALSE"))))</f>
        <v>0</v>
      </c>
      <c r="AU643" t="b">
        <f>OR(AND(IF(Metadata!H643="",FALSE,TRUE),OR(EXACT(Metadata!H643,"not collected"),EXACT(Metadata!H643,"not provided"),EXACT(Metadata!H643,"restricted access"))),AND(IF(Metadata!H643="",FALSE,ISNUMBER(VALUE(Metadata!H643))),Metadata!H643&gt;=-413))</f>
        <v>0</v>
      </c>
      <c r="AV643" t="b">
        <f>AND(IF(Metadata!I643="",FALSE,TRUE),EXACT(Metadata!I643,"meters"))</f>
        <v>0</v>
      </c>
      <c r="AW643" t="b">
        <f>AND(IF(Metadata!J643="",FALSE,TRUE),EXACT(Metadata!J643,"free-living"))</f>
        <v>0</v>
      </c>
      <c r="AX643" t="b">
        <f>AND(IF(Metadata!K643="",FALSE,TRUE),OR(EXACT(Metadata!K643,"saline"),EXACT(Metadata!K643,"non-saline")))</f>
        <v>0</v>
      </c>
      <c r="AY643" t="b">
        <f>AND(IF(Metadata!L643="",FALSE,TRUE),OR(EXACT(Metadata!L643,"sub-surface (non-saline)"),EXACT(Metadata!L643,"surface (non-saline)"),EXACT(Metadata!L643,"water (non-saline)"),EXACT(Metadata!L643,"soil (non-saline)"),EXACT(Metadata!L643,"aerosol (non-saline)"),EXACT(Metadata!L643,"sediment (non-saline)"),EXACT(Metadata!L643,"surface (saline)"),EXACT(Metadata!L643,"water (saline)"),EXACT(Metadata!L643,"hypersaline (saline)"),EXACT(Metadata!L643,"aerosol (saline)"),EXACT(Metadata!L643,"sediment (saline)")))</f>
        <v>0</v>
      </c>
      <c r="AZ643" t="b">
        <f>IF(Metadata!M643="",FALSE,TRUE)</f>
        <v>0</v>
      </c>
      <c r="BA643" t="b">
        <f>IF(Metadata!N643="",FALSE,TRUE)</f>
        <v>0</v>
      </c>
      <c r="BB643" t="b">
        <f>IF(Metadata!O643="",FALSE,TRUE)</f>
        <v>0</v>
      </c>
      <c r="BC643" t="b">
        <f>AND(IF(Metadata!P643="",FALSE,TRUE),OR(EXACT(Metadata!P643,"air"),EXACT(Metadata!P643,"microbial mat/biofilm"),EXACT(Metadata!P643,"misc environment"),EXACT(Metadata!P643,"sediment"),EXACT(Metadata!P643,"soil"),EXACT(Metadata!P643,"wastewater/sludge"),EXACT(Metadata!P643,"water")))</f>
        <v>0</v>
      </c>
      <c r="BD643" t="b">
        <f>IF(Metadata!Q643="",FALSE,TRUE)</f>
        <v>0</v>
      </c>
      <c r="BE643" t="b">
        <f>IF(Metadata!R643="",FALSE,TRUE)</f>
        <v>0</v>
      </c>
      <c r="BF643" t="b">
        <f>OR(AND(IF(Metadata!S643="",FALSE,TRUE),OR(EXACT(Metadata!S643,"not collected"),EXACT(Metadata!S643,"not provided"),EXACT(Metadata!S643,"restricted access"))),AND(IF(Metadata!S643="",FALSE,ISNUMBER(VALUE(Metadata!S643))),Metadata!S643&gt;=-90,Metadata!S643&lt;=90))</f>
        <v>0</v>
      </c>
      <c r="BG643" t="b">
        <f>AND(IF(Metadata!T643="",FALSE,TRUE),EXACT(Metadata!T643,"Decimal degrees"))</f>
        <v>0</v>
      </c>
      <c r="BH643" t="b">
        <f>OR(AND(IF(Metadata!U643="",FALSE,TRUE),OR(EXACT(Metadata!U643,"not applicable"),EXACT(Metadata!U643,"not collected"))),IF(Metadata!U643="",FALSE,TRUE))</f>
        <v>0</v>
      </c>
      <c r="BI643" t="b">
        <f>OR(AND(IF(Metadata!V643="",FALSE,TRUE),OR(EXACT(Metadata!V643,"not collected"),EXACT(Metadata!V643,"not provided"),EXACT(Metadata!V643,"restricted access"))),AND(IF(Metadata!V643="",FALSE,ISNUMBER(VALUE(Metadata!V643))),Metadata!V643&gt;=-180,Metadata!V643&lt;=180))</f>
        <v>0</v>
      </c>
      <c r="BJ643" t="b">
        <f>AND(IF(Metadata!W643="",FALSE,TRUE),EXACT(Metadata!W643,"Decimal degrees"))</f>
        <v>0</v>
      </c>
      <c r="BK643" t="b">
        <f>IF(Metadata!X643="",FALSE,TRUE)</f>
        <v>0</v>
      </c>
      <c r="BL643" t="b">
        <f>OR(AND(IF(Metadata!Y643="",FALSE,TRUE),OR(EXACT(Metadata!Y643,"not collected"),EXACT(Metadata!Y643,"not provided"),EXACT(Metadata!Y643,"restricted access"))),AND(IF(Metadata!Y643="",FALSE,TRUE),OR(EXACT(Metadata!Y643,"TRUE"),EXACT(Metadata!Y643,"FALSE"))))</f>
        <v>0</v>
      </c>
      <c r="BM643" t="b">
        <f>OR(AND(IF(Metadata!Z643="",FALSE,TRUE),EXACT(Metadata!Z643,"not applicable")),AND(IF(Metadata!Z643="",FALSE,TRUE),OR(EXACT(Metadata!Z643,"beer"),EXACT(Metadata!Z643,"cheese"),EXACT(Metadata!Z643,"fresh water"),EXACT(Metadata!Z643,"marine sediment"),EXACT(Metadata!Z643,"sea water"),EXACT(Metadata!Z643,"sediment"),EXACT(Metadata!Z643,"soil"),EXACT(Metadata!Z643,"waste water"))))</f>
        <v>0</v>
      </c>
      <c r="BN643" t="b">
        <f>AND(IF(Metadata!AA643="",FALSE,TRUE),EXACT(Metadata!AA643,"metagenome"))</f>
        <v>0</v>
      </c>
      <c r="BO643" t="b">
        <f>AND(IF(Metadata!AB643="",FALSE,TRUE),EXACT(Metadata!AB643,"256318"))</f>
        <v>0</v>
      </c>
      <c r="BP643" t="b">
        <f>IF(Metadata!AC643="",FALSE,TRUE)</f>
        <v>0</v>
      </c>
      <c r="BQ643" t="b">
        <f>IF(Metadata!AD643="",FALSE,TRUE)</f>
        <v>0</v>
      </c>
    </row>
    <row r="644" spans="1:69" x14ac:dyDescent="0.2">
      <c r="A644" s="4" t="e">
        <f ca="1">IF(B644=" "," ",HYPERLINK(CONCATENATE("#metadata!",ADDRESS(INDEX($AJ$2:$AJ$1001,MATCH(ROWS($AH$2:AH644),$AH$2:$AH$1001,0),0),2)),INDEX($AM$2:$AM$1001,MATCH(ROWS($AH$2:AH644),$AH$2:$AH$1001,0),0)))</f>
        <v>#N/A</v>
      </c>
      <c r="B644" s="5" t="e">
        <f ca="1">IF(OR(INDEX($AI$2:$AI$1001,MATCH(ROWS($AH$2:AH644),$AH$2:$AH$1001,0),1)&gt;=100000,INDEX($AO$1005:$BQ$1005,1,MATCH(COLUMNS($AO$1006:AO1006),$AO$1006:$BQ$1006,0))&gt;=100000), " ",IF(INDEX($AO$2:$BQ$1001,MATCH(ROWS($AH$2:AH644),$AH$2:$AH$1001,0),MATCH(COLUMNS($AO$1006:AO1006),$AO$1006:$BQ$1006,0)), HYPERLINK("#",""), HYPERLINK(CONCATENATE("#Metadata!", ADDRESS(INDEX($AJ$2:$AJ$1001,MATCH(ROWS($AH$2:AH644),$AH$2:$AH$1001,0),0), INDEX($AO$1004:$BQ$1004,1,MATCH(COLUMNS($AO$1006:AO1006),$AO$1006:$BQ$1006,0)))),"Fix")))</f>
        <v>#N/A</v>
      </c>
      <c r="C644" s="5" t="e">
        <f ca="1">IF(OR(INDEX($AI$2:$AI$1001,MATCH(ROWS($AH$2:AH644),$AH$2:$AH$1001,0),1)&gt;=100000,INDEX($AO$1005:$BQ$1005,1,MATCH(COLUMNS($AO$1006:AP1006),$AO$1006:$BQ$1006,0))&gt;=100000), " ",IF(INDEX($AO$2:$BQ$1001,MATCH(ROWS($AH$2:AH644),$AH$2:$AH$1001,0),MATCH(COLUMNS($AO$1006:AP1006),$AO$1006:$BQ$1006,0)), HYPERLINK("#",""), HYPERLINK(CONCATENATE("#Metadata!", ADDRESS(INDEX($AJ$2:$AJ$1001,MATCH(ROWS($AH$2:AH644),$AH$2:$AH$1001,0),0), INDEX($AO$1004:$BQ$1004,1,MATCH(COLUMNS($AO$1006:AP1006),$AO$1006:$BQ$1006,0)))),"Fix")))</f>
        <v>#N/A</v>
      </c>
      <c r="D644" s="5" t="e">
        <f ca="1">IF(OR(INDEX($AI$2:$AI$1001,MATCH(ROWS($AH$2:AH644),$AH$2:$AH$1001,0),1)&gt;=100000,INDEX($AO$1005:$BQ$1005,1,MATCH(COLUMNS($AO$1006:AQ1006),$AO$1006:$BQ$1006,0))&gt;=100000), " ",IF(INDEX($AO$2:$BQ$1001,MATCH(ROWS($AH$2:AH644),$AH$2:$AH$1001,0),MATCH(COLUMNS($AO$1006:AQ1006),$AO$1006:$BQ$1006,0)), HYPERLINK("#",""), HYPERLINK(CONCATENATE("#Metadata!", ADDRESS(INDEX($AJ$2:$AJ$1001,MATCH(ROWS($AH$2:AH644),$AH$2:$AH$1001,0),0), INDEX($AO$1004:$BQ$1004,1,MATCH(COLUMNS($AO$1006:AQ1006),$AO$1006:$BQ$1006,0)))),"Fix")))</f>
        <v>#N/A</v>
      </c>
      <c r="E644" s="5" t="e">
        <f ca="1">IF(OR(INDEX($AI$2:$AI$1001,MATCH(ROWS($AH$2:AH644),$AH$2:$AH$1001,0),1)&gt;=100000,INDEX($AO$1005:$BQ$1005,1,MATCH(COLUMNS($AO$1006:AR1006),$AO$1006:$BQ$1006,0))&gt;=100000), " ",IF(INDEX($AO$2:$BQ$1001,MATCH(ROWS($AH$2:AH644),$AH$2:$AH$1001,0),MATCH(COLUMNS($AO$1006:AR1006),$AO$1006:$BQ$1006,0)), HYPERLINK("#",""), HYPERLINK(CONCATENATE("#Metadata!", ADDRESS(INDEX($AJ$2:$AJ$1001,MATCH(ROWS($AH$2:AH644),$AH$2:$AH$1001,0),0), INDEX($AO$1004:$BQ$1004,1,MATCH(COLUMNS($AO$1006:AR1006),$AO$1006:$BQ$1006,0)))),"Fix")))</f>
        <v>#N/A</v>
      </c>
      <c r="F644" s="5" t="e">
        <f ca="1">IF(OR(INDEX($AI$2:$AI$1001,MATCH(ROWS($AH$2:AH644),$AH$2:$AH$1001,0),1)&gt;=100000,INDEX($AO$1005:$BQ$1005,1,MATCH(COLUMNS($AO$1006:AS1006),$AO$1006:$BQ$1006,0))&gt;=100000), " ",IF(INDEX($AO$2:$BQ$1001,MATCH(ROWS($AH$2:AH644),$AH$2:$AH$1001,0),MATCH(COLUMNS($AO$1006:AS1006),$AO$1006:$BQ$1006,0)), HYPERLINK("#",""), HYPERLINK(CONCATENATE("#Metadata!", ADDRESS(INDEX($AJ$2:$AJ$1001,MATCH(ROWS($AH$2:AH644),$AH$2:$AH$1001,0),0), INDEX($AO$1004:$BQ$1004,1,MATCH(COLUMNS($AO$1006:AS1006),$AO$1006:$BQ$1006,0)))),"Fix")))</f>
        <v>#N/A</v>
      </c>
      <c r="G644" s="5" t="e">
        <f ca="1">IF(OR(INDEX($AI$2:$AI$1001,MATCH(ROWS($AH$2:AH644),$AH$2:$AH$1001,0),1)&gt;=100000,INDEX($AO$1005:$BQ$1005,1,MATCH(COLUMNS($AO$1006:AT1006),$AO$1006:$BQ$1006,0))&gt;=100000), " ",IF(INDEX($AO$2:$BQ$1001,MATCH(ROWS($AH$2:AH644),$AH$2:$AH$1001,0),MATCH(COLUMNS($AO$1006:AT1006),$AO$1006:$BQ$1006,0)), HYPERLINK("#",""), HYPERLINK(CONCATENATE("#Metadata!", ADDRESS(INDEX($AJ$2:$AJ$1001,MATCH(ROWS($AH$2:AH644),$AH$2:$AH$1001,0),0), INDEX($AO$1004:$BQ$1004,1,MATCH(COLUMNS($AO$1006:AT1006),$AO$1006:$BQ$1006,0)))),"Fix")))</f>
        <v>#N/A</v>
      </c>
      <c r="H644" s="5" t="e">
        <f ca="1">IF(OR(INDEX($AI$2:$AI$1001,MATCH(ROWS($AH$2:AH644),$AH$2:$AH$1001,0),1)&gt;=100000,INDEX($AO$1005:$BQ$1005,1,MATCH(COLUMNS($AO$1006:AU1006),$AO$1006:$BQ$1006,0))&gt;=100000), " ",IF(INDEX($AO$2:$BQ$1001,MATCH(ROWS($AH$2:AH644),$AH$2:$AH$1001,0),MATCH(COLUMNS($AO$1006:AU1006),$AO$1006:$BQ$1006,0)), HYPERLINK("#",""), HYPERLINK(CONCATENATE("#Metadata!", ADDRESS(INDEX($AJ$2:$AJ$1001,MATCH(ROWS($AH$2:AH644),$AH$2:$AH$1001,0),0), INDEX($AO$1004:$BQ$1004,1,MATCH(COLUMNS($AO$1006:AU1006),$AO$1006:$BQ$1006,0)))),"Fix")))</f>
        <v>#N/A</v>
      </c>
      <c r="I644" s="5" t="e">
        <f ca="1">IF(OR(INDEX($AI$2:$AI$1001,MATCH(ROWS($AH$2:AH644),$AH$2:$AH$1001,0),1)&gt;=100000,INDEX($AO$1005:$BQ$1005,1,MATCH(COLUMNS($AO$1006:AV1006),$AO$1006:$BQ$1006,0))&gt;=100000), " ",IF(INDEX($AO$2:$BQ$1001,MATCH(ROWS($AH$2:AH644),$AH$2:$AH$1001,0),MATCH(COLUMNS($AO$1006:AV1006),$AO$1006:$BQ$1006,0)), HYPERLINK("#",""), HYPERLINK(CONCATENATE("#Metadata!", ADDRESS(INDEX($AJ$2:$AJ$1001,MATCH(ROWS($AH$2:AH644),$AH$2:$AH$1001,0),0), INDEX($AO$1004:$BQ$1004,1,MATCH(COLUMNS($AO$1006:AV1006),$AO$1006:$BQ$1006,0)))),"Fix")))</f>
        <v>#N/A</v>
      </c>
      <c r="J644" s="5" t="e">
        <f ca="1">IF(OR(INDEX($AI$2:$AI$1001,MATCH(ROWS($AH$2:AH644),$AH$2:$AH$1001,0),1)&gt;=100000,INDEX($AO$1005:$BQ$1005,1,MATCH(COLUMNS($AO$1006:AW1006),$AO$1006:$BQ$1006,0))&gt;=100000), " ",IF(INDEX($AO$2:$BQ$1001,MATCH(ROWS($AH$2:AH644),$AH$2:$AH$1001,0),MATCH(COLUMNS($AO$1006:AW1006),$AO$1006:$BQ$1006,0)), HYPERLINK("#",""), HYPERLINK(CONCATENATE("#Metadata!", ADDRESS(INDEX($AJ$2:$AJ$1001,MATCH(ROWS($AH$2:AH644),$AH$2:$AH$1001,0),0), INDEX($AO$1004:$BQ$1004,1,MATCH(COLUMNS($AO$1006:AW1006),$AO$1006:$BQ$1006,0)))),"Fix")))</f>
        <v>#N/A</v>
      </c>
      <c r="K644" s="5" t="e">
        <f ca="1">IF(OR(INDEX($AI$2:$AI$1001,MATCH(ROWS($AH$2:AH644),$AH$2:$AH$1001,0),1)&gt;=100000,INDEX($AO$1005:$BQ$1005,1,MATCH(COLUMNS($AO$1006:AX1006),$AO$1006:$BQ$1006,0))&gt;=100000), " ",IF(INDEX($AO$2:$BQ$1001,MATCH(ROWS($AH$2:AH644),$AH$2:$AH$1001,0),MATCH(COLUMNS($AO$1006:AX1006),$AO$1006:$BQ$1006,0)), HYPERLINK("#",""), HYPERLINK(CONCATENATE("#Metadata!", ADDRESS(INDEX($AJ$2:$AJ$1001,MATCH(ROWS($AH$2:AH644),$AH$2:$AH$1001,0),0), INDEX($AO$1004:$BQ$1004,1,MATCH(COLUMNS($AO$1006:AX1006),$AO$1006:$BQ$1006,0)))),"Fix")))</f>
        <v>#N/A</v>
      </c>
      <c r="L644" s="5" t="e">
        <f ca="1">IF(OR(INDEX($AI$2:$AI$1001,MATCH(ROWS($AH$2:AH644),$AH$2:$AH$1001,0),1)&gt;=100000,INDEX($AO$1005:$BQ$1005,1,MATCH(COLUMNS($AO$1006:AY1006),$AO$1006:$BQ$1006,0))&gt;=100000), " ",IF(INDEX($AO$2:$BQ$1001,MATCH(ROWS($AH$2:AH644),$AH$2:$AH$1001,0),MATCH(COLUMNS($AO$1006:AY1006),$AO$1006:$BQ$1006,0)), HYPERLINK("#",""), HYPERLINK(CONCATENATE("#Metadata!", ADDRESS(INDEX($AJ$2:$AJ$1001,MATCH(ROWS($AH$2:AH644),$AH$2:$AH$1001,0),0), INDEX($AO$1004:$BQ$1004,1,MATCH(COLUMNS($AO$1006:AY1006),$AO$1006:$BQ$1006,0)))),"Fix")))</f>
        <v>#N/A</v>
      </c>
      <c r="M644" s="5" t="e">
        <f ca="1">IF(OR(INDEX($AI$2:$AI$1001,MATCH(ROWS($AH$2:AH644),$AH$2:$AH$1001,0),1)&gt;=100000,INDEX($AO$1005:$BQ$1005,1,MATCH(COLUMNS($AO$1006:AZ1006),$AO$1006:$BQ$1006,0))&gt;=100000), " ",IF(INDEX($AO$2:$BQ$1001,MATCH(ROWS($AH$2:AH644),$AH$2:$AH$1001,0),MATCH(COLUMNS($AO$1006:AZ1006),$AO$1006:$BQ$1006,0)), HYPERLINK("#",""), HYPERLINK(CONCATENATE("#Metadata!", ADDRESS(INDEX($AJ$2:$AJ$1001,MATCH(ROWS($AH$2:AH644),$AH$2:$AH$1001,0),0), INDEX($AO$1004:$BQ$1004,1,MATCH(COLUMNS($AO$1006:AZ1006),$AO$1006:$BQ$1006,0)))),"Fix")))</f>
        <v>#N/A</v>
      </c>
      <c r="N644" s="5" t="e">
        <f ca="1">IF(OR(INDEX($AI$2:$AI$1001,MATCH(ROWS($AH$2:AH644),$AH$2:$AH$1001,0),1)&gt;=100000,INDEX($AO$1005:$BQ$1005,1,MATCH(COLUMNS($AO$1006:BA1006),$AO$1006:$BQ$1006,0))&gt;=100000), " ",IF(INDEX($AO$2:$BQ$1001,MATCH(ROWS($AH$2:AH644),$AH$2:$AH$1001,0),MATCH(COLUMNS($AO$1006:BA1006),$AO$1006:$BQ$1006,0)), HYPERLINK("#",""), HYPERLINK(CONCATENATE("#Metadata!", ADDRESS(INDEX($AJ$2:$AJ$1001,MATCH(ROWS($AH$2:AH644),$AH$2:$AH$1001,0),0), INDEX($AO$1004:$BQ$1004,1,MATCH(COLUMNS($AO$1006:BA1006),$AO$1006:$BQ$1006,0)))),"Fix")))</f>
        <v>#N/A</v>
      </c>
      <c r="O644" s="5" t="e">
        <f ca="1">IF(OR(INDEX($AI$2:$AI$1001,MATCH(ROWS($AH$2:AH644),$AH$2:$AH$1001,0),1)&gt;=100000,INDEX($AO$1005:$BQ$1005,1,MATCH(COLUMNS($AO$1006:BB1006),$AO$1006:$BQ$1006,0))&gt;=100000), " ",IF(INDEX($AO$2:$BQ$1001,MATCH(ROWS($AH$2:AH644),$AH$2:$AH$1001,0),MATCH(COLUMNS($AO$1006:BB1006),$AO$1006:$BQ$1006,0)), HYPERLINK("#",""), HYPERLINK(CONCATENATE("#Metadata!", ADDRESS(INDEX($AJ$2:$AJ$1001,MATCH(ROWS($AH$2:AH644),$AH$2:$AH$1001,0),0), INDEX($AO$1004:$BQ$1004,1,MATCH(COLUMNS($AO$1006:BB1006),$AO$1006:$BQ$1006,0)))),"Fix")))</f>
        <v>#N/A</v>
      </c>
      <c r="P644" s="5" t="e">
        <f ca="1">IF(OR(INDEX($AI$2:$AI$1001,MATCH(ROWS($AH$2:AH644),$AH$2:$AH$1001,0),1)&gt;=100000,INDEX($AO$1005:$BQ$1005,1,MATCH(COLUMNS($AO$1006:BC1006),$AO$1006:$BQ$1006,0))&gt;=100000), " ",IF(INDEX($AO$2:$BQ$1001,MATCH(ROWS($AH$2:AH644),$AH$2:$AH$1001,0),MATCH(COLUMNS($AO$1006:BC1006),$AO$1006:$BQ$1006,0)), HYPERLINK("#",""), HYPERLINK(CONCATENATE("#Metadata!", ADDRESS(INDEX($AJ$2:$AJ$1001,MATCH(ROWS($AH$2:AH644),$AH$2:$AH$1001,0),0), INDEX($AO$1004:$BQ$1004,1,MATCH(COLUMNS($AO$1006:BC1006),$AO$1006:$BQ$1006,0)))),"Fix")))</f>
        <v>#N/A</v>
      </c>
      <c r="Q644" s="5" t="e">
        <f ca="1">IF(OR(INDEX($AI$2:$AI$1001,MATCH(ROWS($AH$2:AH644),$AH$2:$AH$1001,0),1)&gt;=100000,INDEX($AO$1005:$BQ$1005,1,MATCH(COLUMNS($AO$1006:BD1006),$AO$1006:$BQ$1006,0))&gt;=100000), " ",IF(INDEX($AO$2:$BQ$1001,MATCH(ROWS($AH$2:AH644),$AH$2:$AH$1001,0),MATCH(COLUMNS($AO$1006:BD1006),$AO$1006:$BQ$1006,0)), HYPERLINK("#",""), HYPERLINK(CONCATENATE("#Metadata!", ADDRESS(INDEX($AJ$2:$AJ$1001,MATCH(ROWS($AH$2:AH644),$AH$2:$AH$1001,0),0), INDEX($AO$1004:$BQ$1004,1,MATCH(COLUMNS($AO$1006:BD1006),$AO$1006:$BQ$1006,0)))),"Fix")))</f>
        <v>#N/A</v>
      </c>
      <c r="R644" s="5" t="e">
        <f ca="1">IF(OR(INDEX($AI$2:$AI$1001,MATCH(ROWS($AH$2:AH644),$AH$2:$AH$1001,0),1)&gt;=100000,INDEX($AO$1005:$BQ$1005,1,MATCH(COLUMNS($AO$1006:BE1006),$AO$1006:$BQ$1006,0))&gt;=100000), " ",IF(INDEX($AO$2:$BQ$1001,MATCH(ROWS($AH$2:AH644),$AH$2:$AH$1001,0),MATCH(COLUMNS($AO$1006:BE1006),$AO$1006:$BQ$1006,0)), HYPERLINK("#",""), HYPERLINK(CONCATENATE("#Metadata!", ADDRESS(INDEX($AJ$2:$AJ$1001,MATCH(ROWS($AH$2:AH644),$AH$2:$AH$1001,0),0), INDEX($AO$1004:$BQ$1004,1,MATCH(COLUMNS($AO$1006:BE1006),$AO$1006:$BQ$1006,0)))),"Fix")))</f>
        <v>#N/A</v>
      </c>
      <c r="S644" s="5" t="e">
        <f ca="1">IF(OR(INDEX($AI$2:$AI$1001,MATCH(ROWS($AH$2:AH644),$AH$2:$AH$1001,0),1)&gt;=100000,INDEX($AO$1005:$BQ$1005,1,MATCH(COLUMNS($AO$1006:BF1006),$AO$1006:$BQ$1006,0))&gt;=100000), " ",IF(INDEX($AO$2:$BQ$1001,MATCH(ROWS($AH$2:AH644),$AH$2:$AH$1001,0),MATCH(COLUMNS($AO$1006:BF1006),$AO$1006:$BQ$1006,0)), HYPERLINK("#",""), HYPERLINK(CONCATENATE("#Metadata!", ADDRESS(INDEX($AJ$2:$AJ$1001,MATCH(ROWS($AH$2:AH644),$AH$2:$AH$1001,0),0), INDEX($AO$1004:$BQ$1004,1,MATCH(COLUMNS($AO$1006:BF1006),$AO$1006:$BQ$1006,0)))),"Fix")))</f>
        <v>#N/A</v>
      </c>
      <c r="T644" s="5" t="e">
        <f ca="1">IF(OR(INDEX($AI$2:$AI$1001,MATCH(ROWS($AH$2:AH644),$AH$2:$AH$1001,0),1)&gt;=100000,INDEX($AO$1005:$BQ$1005,1,MATCH(COLUMNS($AO$1006:BG1006),$AO$1006:$BQ$1006,0))&gt;=100000), " ",IF(INDEX($AO$2:$BQ$1001,MATCH(ROWS($AH$2:AH644),$AH$2:$AH$1001,0),MATCH(COLUMNS($AO$1006:BG1006),$AO$1006:$BQ$1006,0)), HYPERLINK("#",""), HYPERLINK(CONCATENATE("#Metadata!", ADDRESS(INDEX($AJ$2:$AJ$1001,MATCH(ROWS($AH$2:AH644),$AH$2:$AH$1001,0),0), INDEX($AO$1004:$BQ$1004,1,MATCH(COLUMNS($AO$1006:BG1006),$AO$1006:$BQ$1006,0)))),"Fix")))</f>
        <v>#N/A</v>
      </c>
      <c r="U644" s="5" t="e">
        <f ca="1">IF(OR(INDEX($AI$2:$AI$1001,MATCH(ROWS($AH$2:AH644),$AH$2:$AH$1001,0),1)&gt;=100000,INDEX($AO$1005:$BQ$1005,1,MATCH(COLUMNS($AO$1006:BH1006),$AO$1006:$BQ$1006,0))&gt;=100000), " ",IF(INDEX($AO$2:$BQ$1001,MATCH(ROWS($AH$2:AH644),$AH$2:$AH$1001,0),MATCH(COLUMNS($AO$1006:BH1006),$AO$1006:$BQ$1006,0)), HYPERLINK("#",""), HYPERLINK(CONCATENATE("#Metadata!", ADDRESS(INDEX($AJ$2:$AJ$1001,MATCH(ROWS($AH$2:AH644),$AH$2:$AH$1001,0),0), INDEX($AO$1004:$BQ$1004,1,MATCH(COLUMNS($AO$1006:BH1006),$AO$1006:$BQ$1006,0)))),"Fix")))</f>
        <v>#N/A</v>
      </c>
      <c r="V644" s="5" t="e">
        <f ca="1">IF(OR(INDEX($AI$2:$AI$1001,MATCH(ROWS($AH$2:AH644),$AH$2:$AH$1001,0),1)&gt;=100000,INDEX($AO$1005:$BQ$1005,1,MATCH(COLUMNS($AO$1006:BI1006),$AO$1006:$BQ$1006,0))&gt;=100000), " ",IF(INDEX($AO$2:$BQ$1001,MATCH(ROWS($AH$2:AH644),$AH$2:$AH$1001,0),MATCH(COLUMNS($AO$1006:BI1006),$AO$1006:$BQ$1006,0)), HYPERLINK("#",""), HYPERLINK(CONCATENATE("#Metadata!", ADDRESS(INDEX($AJ$2:$AJ$1001,MATCH(ROWS($AH$2:AH644),$AH$2:$AH$1001,0),0), INDEX($AO$1004:$BQ$1004,1,MATCH(COLUMNS($AO$1006:BI1006),$AO$1006:$BQ$1006,0)))),"Fix")))</f>
        <v>#N/A</v>
      </c>
      <c r="W644" s="5" t="e">
        <f ca="1">IF(OR(INDEX($AI$2:$AI$1001,MATCH(ROWS($AH$2:AH644),$AH$2:$AH$1001,0),1)&gt;=100000,INDEX($AO$1005:$BQ$1005,1,MATCH(COLUMNS($AO$1006:BJ1006),$AO$1006:$BQ$1006,0))&gt;=100000), " ",IF(INDEX($AO$2:$BQ$1001,MATCH(ROWS($AH$2:AH644),$AH$2:$AH$1001,0),MATCH(COLUMNS($AO$1006:BJ1006),$AO$1006:$BQ$1006,0)), HYPERLINK("#",""), HYPERLINK(CONCATENATE("#Metadata!", ADDRESS(INDEX($AJ$2:$AJ$1001,MATCH(ROWS($AH$2:AH644),$AH$2:$AH$1001,0),0), INDEX($AO$1004:$BQ$1004,1,MATCH(COLUMNS($AO$1006:BJ1006),$AO$1006:$BQ$1006,0)))),"Fix")))</f>
        <v>#N/A</v>
      </c>
      <c r="X644" s="5" t="e">
        <f ca="1">IF(OR(INDEX($AI$2:$AI$1001,MATCH(ROWS($AH$2:AH644),$AH$2:$AH$1001,0),1)&gt;=100000,INDEX($AO$1005:$BQ$1005,1,MATCH(COLUMNS($AO$1006:BK1006),$AO$1006:$BQ$1006,0))&gt;=100000), " ",IF(INDEX($AO$2:$BQ$1001,MATCH(ROWS($AH$2:AH644),$AH$2:$AH$1001,0),MATCH(COLUMNS($AO$1006:BK1006),$AO$1006:$BQ$1006,0)), HYPERLINK("#",""), HYPERLINK(CONCATENATE("#Metadata!", ADDRESS(INDEX($AJ$2:$AJ$1001,MATCH(ROWS($AH$2:AH644),$AH$2:$AH$1001,0),0), INDEX($AO$1004:$BQ$1004,1,MATCH(COLUMNS($AO$1006:BK1006),$AO$1006:$BQ$1006,0)))),"Fix")))</f>
        <v>#N/A</v>
      </c>
      <c r="Y644" s="5" t="e">
        <f ca="1">IF(OR(INDEX($AI$2:$AI$1001,MATCH(ROWS($AH$2:AH644),$AH$2:$AH$1001,0),1)&gt;=100000,INDEX($AO$1005:$BQ$1005,1,MATCH(COLUMNS($AO$1006:BL1006),$AO$1006:$BQ$1006,0))&gt;=100000), " ",IF(INDEX($AO$2:$BQ$1001,MATCH(ROWS($AH$2:AH644),$AH$2:$AH$1001,0),MATCH(COLUMNS($AO$1006:BL1006),$AO$1006:$BQ$1006,0)), HYPERLINK("#",""), HYPERLINK(CONCATENATE("#Metadata!", ADDRESS(INDEX($AJ$2:$AJ$1001,MATCH(ROWS($AH$2:AH644),$AH$2:$AH$1001,0),0), INDEX($AO$1004:$BQ$1004,1,MATCH(COLUMNS($AO$1006:BL1006),$AO$1006:$BQ$1006,0)))),"Fix")))</f>
        <v>#N/A</v>
      </c>
      <c r="Z644" s="5" t="e">
        <f ca="1">IF(OR(INDEX($AI$2:$AI$1001,MATCH(ROWS($AH$2:AH644),$AH$2:$AH$1001,0),1)&gt;=100000,INDEX($AO$1005:$BQ$1005,1,MATCH(COLUMNS($AO$1006:BM1006),$AO$1006:$BQ$1006,0))&gt;=100000), " ",IF(INDEX($AO$2:$BQ$1001,MATCH(ROWS($AH$2:AH644),$AH$2:$AH$1001,0),MATCH(COLUMNS($AO$1006:BM1006),$AO$1006:$BQ$1006,0)), HYPERLINK("#",""), HYPERLINK(CONCATENATE("#Metadata!", ADDRESS(INDEX($AJ$2:$AJ$1001,MATCH(ROWS($AH$2:AH644),$AH$2:$AH$1001,0),0), INDEX($AO$1004:$BQ$1004,1,MATCH(COLUMNS($AO$1006:BM1006),$AO$1006:$BQ$1006,0)))),"Fix")))</f>
        <v>#N/A</v>
      </c>
      <c r="AA644" s="5" t="e">
        <f ca="1">IF(OR(INDEX($AI$2:$AI$1001,MATCH(ROWS($AH$2:AH644),$AH$2:$AH$1001,0),1)&gt;=100000,INDEX($AO$1005:$BQ$1005,1,MATCH(COLUMNS($AO$1006:BN1006),$AO$1006:$BQ$1006,0))&gt;=100000), " ",IF(INDEX($AO$2:$BQ$1001,MATCH(ROWS($AH$2:AH644),$AH$2:$AH$1001,0),MATCH(COLUMNS($AO$1006:BN1006),$AO$1006:$BQ$1006,0)), HYPERLINK("#",""), HYPERLINK(CONCATENATE("#Metadata!", ADDRESS(INDEX($AJ$2:$AJ$1001,MATCH(ROWS($AH$2:AH644),$AH$2:$AH$1001,0),0), INDEX($AO$1004:$BQ$1004,1,MATCH(COLUMNS($AO$1006:BN1006),$AO$1006:$BQ$1006,0)))),"Fix")))</f>
        <v>#N/A</v>
      </c>
      <c r="AB644" s="5" t="e">
        <f ca="1">IF(OR(INDEX($AI$2:$AI$1001,MATCH(ROWS($AH$2:AH644),$AH$2:$AH$1001,0),1)&gt;=100000,INDEX($AO$1005:$BQ$1005,1,MATCH(COLUMNS($AO$1006:BO1006),$AO$1006:$BQ$1006,0))&gt;=100000), " ",IF(INDEX($AO$2:$BQ$1001,MATCH(ROWS($AH$2:AH644),$AH$2:$AH$1001,0),MATCH(COLUMNS($AO$1006:BO1006),$AO$1006:$BQ$1006,0)), HYPERLINK("#",""), HYPERLINK(CONCATENATE("#Metadata!", ADDRESS(INDEX($AJ$2:$AJ$1001,MATCH(ROWS($AH$2:AH644),$AH$2:$AH$1001,0),0), INDEX($AO$1004:$BQ$1004,1,MATCH(COLUMNS($AO$1006:BO1006),$AO$1006:$BQ$1006,0)))),"Fix")))</f>
        <v>#N/A</v>
      </c>
      <c r="AC644" s="5" t="e">
        <f ca="1">IF(OR(INDEX($AI$2:$AI$1001,MATCH(ROWS($AH$2:AH644),$AH$2:$AH$1001,0),1)&gt;=100000,INDEX($AO$1005:$BQ$1005,1,MATCH(COLUMNS($AO$1006:BP1006),$AO$1006:$BQ$1006,0))&gt;=100000), " ",IF(INDEX($AO$2:$BQ$1001,MATCH(ROWS($AH$2:AH644),$AH$2:$AH$1001,0),MATCH(COLUMNS($AO$1006:BP1006),$AO$1006:$BQ$1006,0)), HYPERLINK("#",""), HYPERLINK(CONCATENATE("#Metadata!", ADDRESS(INDEX($AJ$2:$AJ$1001,MATCH(ROWS($AH$2:AH644),$AH$2:$AH$1001,0),0), INDEX($AO$1004:$BQ$1004,1,MATCH(COLUMNS($AO$1006:BP1006),$AO$1006:$BQ$1006,0)))),"Fix")))</f>
        <v>#N/A</v>
      </c>
      <c r="AD644" s="5" t="e">
        <f ca="1">IF(OR(INDEX($AI$2:$AI$1001,MATCH(ROWS($AH$2:AH644),$AH$2:$AH$1001,0),1)&gt;=100000,INDEX($AO$1005:$BQ$1005,1,MATCH(COLUMNS($AO$1006:BQ1006),$AO$1006:$BQ$1006,0))&gt;=100000), " ",IF(INDEX($AO$2:$BQ$1001,MATCH(ROWS($AH$2:AH644),$AH$2:$AH$1001,0),MATCH(COLUMNS($AO$1006:BQ1006),$AO$1006:$BQ$1006,0)), HYPERLINK("#",""), HYPERLINK(CONCATENATE("#Metadata!", ADDRESS(INDEX($AJ$2:$AJ$1001,MATCH(ROWS($AH$2:AH644),$AH$2:$AH$1001,0),0), INDEX($AO$1004:$BQ$1004,1,MATCH(COLUMNS($AO$1006:BQ1006),$AO$1006:$BQ$1006,0)))),"Fix")))</f>
        <v>#REF!</v>
      </c>
      <c r="AH644">
        <f ca="1"/>
        <v>641</v>
      </c>
      <c r="AI644">
        <v>100644</v>
      </c>
      <c r="AJ644">
        <v>644</v>
      </c>
      <c r="AK644" t="b">
        <f t="shared" si="10"/>
        <v>1</v>
      </c>
      <c r="AL644" t="b">
        <f>COUNTBLANK(Metadata!B644:AD644)=COLUMNS(Metadata!B644:AD644)</f>
        <v>1</v>
      </c>
      <c r="AM644" t="str">
        <v/>
      </c>
      <c r="AO644" t="b">
        <f ca="1">AND(IF(Metadata!B644="",FALSE,TRUE),COUNTIF(Metadata!B:B, Metadata!B644) = 1,NOT(ISERROR(SUMPRODUCT(SEARCH(MID(Metadata!B644,ROW(INDIRECT("1:"&amp;LEN(Metadata!B644))), 1),"0123456789abcdefghijklmnopqrstuvwxyzABCDEFGHIJKLMNOPQRSTUVWXYZ.")))))</f>
        <v>0</v>
      </c>
      <c r="AP644" t="b">
        <f>IF(Metadata!C644="",FALSE,TRUE)</f>
        <v>0</v>
      </c>
      <c r="AQ644" t="b">
        <f>IF(Metadata!D644="",FALSE,TRUE)</f>
        <v>0</v>
      </c>
      <c r="AR644" t="b">
        <f ca="1">OR(AND(IF(Metadata!E644="",FALSE,TRUE),OR(EXACT(Metadata!E644,"not collected"),EXACT(Metadata!E644,"not provided"),EXACT(Metadata!E644,"restricted access"))),AND(IF(Metadata!E644="",FALSE,TRUE),AND(AND(IFERROR(INT(LEFT(Metadata!E644,4))&gt;1900,FALSE),IFERROR(INT(LEFT(Metadata!E644,4))&lt;=YEAR(NOW()),FALSE)), OR(MID(Metadata!E644,5,1)="", AND(AND(MID(Metadata!E644,5,1)="-",IFERROR(INT(MID(Metadata!E644,6,1))&gt;=0,FALSE),IFERROR(INT(MID(Metadata!E644,6,1))&lt;=1,FALSE),NOT(MID(Metadata!E644,7,1)=""),IFERROR(INT(MID(Metadata!E644,6,2))&gt;=1,FALSE),IFERROR(INT(MID(Metadata!E644,6,2))&lt;=12,FALSE)), OR(MID(Metadata!E644,8,1)="", AND(AND(MID(Metadata!E644,8,1)="-",IFERROR(INT(MID(Metadata!E644,9,1))&gt;=0,FALSE),IFERROR(INT(MID(Metadata!E644,9,1))&lt;=3,FALSE),NOT(MID(Metadata!E644,10,1)=""),IFERROR(INT(MID(Metadata!E644,9,2))&gt;=1,FALSE),IFERROR(INT(MID(Metadata!E644,9,2))&lt;=31,FALSE)), OR(MID(Metadata!E644,11,1)="", AND(AND(MID(Metadata!E644,11,1)=" ",IFERROR(INT(MID(Metadata!E644,12,1))&gt;=0,FALSE),IFERROR(INT(MID(Metadata!E644,12,1))&lt;=2,FALSE),NOT(MID(Metadata!E644,13,1)=""),IFERROR(INT(MID(Metadata!E644,12,2))&gt;=0,FALSE),IFERROR(INT(MID(Metadata!E644,12,2))&lt;=23,FALSE)), OR(MID(Metadata!E644,14,1)="", AND(AND(MID(Metadata!E644,14,1)=":",IFERROR(INT(MID(Metadata!E644,15,1))&gt;=0,FALSE),IFERROR(INT(MID(Metadata!E644,15,1))&lt;=5,FALSE),NOT(MID(Metadata!E644,16,1)=""),IFERROR(INT(MID(Metadata!E644,15,2))&gt;=0,FALSE),IFERROR(INT(MID(Metadata!E644,15,2))&lt;=59,FALSE)), OR(MID(Metadata!E644,17,1)="", AND(AND(MID(Metadata!E644,17,1)=":",IFERROR(INT(MID(Metadata!E644,18,1))&gt;=0,FALSE),IFERROR(INT(MID(Metadata!E644,18,1))&lt;=5,FALSE),NOT(MID(Metadata!E644,19,1)=""),IFERROR(INT(MID(Metadata!E644,18,2))&gt;=0,FALSE),IFERROR(INT(MID(Metadata!E644,18,2))&lt;=59,FALSE)), LEN(Metadata!E644)&lt;=19)))))))))))))</f>
        <v>0</v>
      </c>
      <c r="AS644" t="b">
        <f>IF(Metadata!F644="",FALSE,TRUE)</f>
        <v>0</v>
      </c>
      <c r="AT644" t="b">
        <f>OR(AND(IF(Metadata!G644="",FALSE,TRUE),OR(EXACT(Metadata!G644,"not collected"),EXACT(Metadata!G644,"not provided"))),AND(IF(Metadata!G644="",FALSE,TRUE),OR(EXACT(Metadata!G644,"TRUE"),EXACT(Metadata!G644,"FALSE"))))</f>
        <v>0</v>
      </c>
      <c r="AU644" t="b">
        <f>OR(AND(IF(Metadata!H644="",FALSE,TRUE),OR(EXACT(Metadata!H644,"not collected"),EXACT(Metadata!H644,"not provided"),EXACT(Metadata!H644,"restricted access"))),AND(IF(Metadata!H644="",FALSE,ISNUMBER(VALUE(Metadata!H644))),Metadata!H644&gt;=-413))</f>
        <v>0</v>
      </c>
      <c r="AV644" t="b">
        <f>AND(IF(Metadata!I644="",FALSE,TRUE),EXACT(Metadata!I644,"meters"))</f>
        <v>0</v>
      </c>
      <c r="AW644" t="b">
        <f>AND(IF(Metadata!J644="",FALSE,TRUE),EXACT(Metadata!J644,"free-living"))</f>
        <v>0</v>
      </c>
      <c r="AX644" t="b">
        <f>AND(IF(Metadata!K644="",FALSE,TRUE),OR(EXACT(Metadata!K644,"saline"),EXACT(Metadata!K644,"non-saline")))</f>
        <v>0</v>
      </c>
      <c r="AY644" t="b">
        <f>AND(IF(Metadata!L644="",FALSE,TRUE),OR(EXACT(Metadata!L644,"sub-surface (non-saline)"),EXACT(Metadata!L644,"surface (non-saline)"),EXACT(Metadata!L644,"water (non-saline)"),EXACT(Metadata!L644,"soil (non-saline)"),EXACT(Metadata!L644,"aerosol (non-saline)"),EXACT(Metadata!L644,"sediment (non-saline)"),EXACT(Metadata!L644,"surface (saline)"),EXACT(Metadata!L644,"water (saline)"),EXACT(Metadata!L644,"hypersaline (saline)"),EXACT(Metadata!L644,"aerosol (saline)"),EXACT(Metadata!L644,"sediment (saline)")))</f>
        <v>0</v>
      </c>
      <c r="AZ644" t="b">
        <f>IF(Metadata!M644="",FALSE,TRUE)</f>
        <v>0</v>
      </c>
      <c r="BA644" t="b">
        <f>IF(Metadata!N644="",FALSE,TRUE)</f>
        <v>0</v>
      </c>
      <c r="BB644" t="b">
        <f>IF(Metadata!O644="",FALSE,TRUE)</f>
        <v>0</v>
      </c>
      <c r="BC644" t="b">
        <f>AND(IF(Metadata!P644="",FALSE,TRUE),OR(EXACT(Metadata!P644,"air"),EXACT(Metadata!P644,"microbial mat/biofilm"),EXACT(Metadata!P644,"misc environment"),EXACT(Metadata!P644,"sediment"),EXACT(Metadata!P644,"soil"),EXACT(Metadata!P644,"wastewater/sludge"),EXACT(Metadata!P644,"water")))</f>
        <v>0</v>
      </c>
      <c r="BD644" t="b">
        <f>IF(Metadata!Q644="",FALSE,TRUE)</f>
        <v>0</v>
      </c>
      <c r="BE644" t="b">
        <f>IF(Metadata!R644="",FALSE,TRUE)</f>
        <v>0</v>
      </c>
      <c r="BF644" t="b">
        <f>OR(AND(IF(Metadata!S644="",FALSE,TRUE),OR(EXACT(Metadata!S644,"not collected"),EXACT(Metadata!S644,"not provided"),EXACT(Metadata!S644,"restricted access"))),AND(IF(Metadata!S644="",FALSE,ISNUMBER(VALUE(Metadata!S644))),Metadata!S644&gt;=-90,Metadata!S644&lt;=90))</f>
        <v>0</v>
      </c>
      <c r="BG644" t="b">
        <f>AND(IF(Metadata!T644="",FALSE,TRUE),EXACT(Metadata!T644,"Decimal degrees"))</f>
        <v>0</v>
      </c>
      <c r="BH644" t="b">
        <f>OR(AND(IF(Metadata!U644="",FALSE,TRUE),OR(EXACT(Metadata!U644,"not applicable"),EXACT(Metadata!U644,"not collected"))),IF(Metadata!U644="",FALSE,TRUE))</f>
        <v>0</v>
      </c>
      <c r="BI644" t="b">
        <f>OR(AND(IF(Metadata!V644="",FALSE,TRUE),OR(EXACT(Metadata!V644,"not collected"),EXACT(Metadata!V644,"not provided"),EXACT(Metadata!V644,"restricted access"))),AND(IF(Metadata!V644="",FALSE,ISNUMBER(VALUE(Metadata!V644))),Metadata!V644&gt;=-180,Metadata!V644&lt;=180))</f>
        <v>0</v>
      </c>
      <c r="BJ644" t="b">
        <f>AND(IF(Metadata!W644="",FALSE,TRUE),EXACT(Metadata!W644,"Decimal degrees"))</f>
        <v>0</v>
      </c>
      <c r="BK644" t="b">
        <f>IF(Metadata!X644="",FALSE,TRUE)</f>
        <v>0</v>
      </c>
      <c r="BL644" t="b">
        <f>OR(AND(IF(Metadata!Y644="",FALSE,TRUE),OR(EXACT(Metadata!Y644,"not collected"),EXACT(Metadata!Y644,"not provided"),EXACT(Metadata!Y644,"restricted access"))),AND(IF(Metadata!Y644="",FALSE,TRUE),OR(EXACT(Metadata!Y644,"TRUE"),EXACT(Metadata!Y644,"FALSE"))))</f>
        <v>0</v>
      </c>
      <c r="BM644" t="b">
        <f>OR(AND(IF(Metadata!Z644="",FALSE,TRUE),EXACT(Metadata!Z644,"not applicable")),AND(IF(Metadata!Z644="",FALSE,TRUE),OR(EXACT(Metadata!Z644,"beer"),EXACT(Metadata!Z644,"cheese"),EXACT(Metadata!Z644,"fresh water"),EXACT(Metadata!Z644,"marine sediment"),EXACT(Metadata!Z644,"sea water"),EXACT(Metadata!Z644,"sediment"),EXACT(Metadata!Z644,"soil"),EXACT(Metadata!Z644,"waste water"))))</f>
        <v>0</v>
      </c>
      <c r="BN644" t="b">
        <f>AND(IF(Metadata!AA644="",FALSE,TRUE),EXACT(Metadata!AA644,"metagenome"))</f>
        <v>0</v>
      </c>
      <c r="BO644" t="b">
        <f>AND(IF(Metadata!AB644="",FALSE,TRUE),EXACT(Metadata!AB644,"256318"))</f>
        <v>0</v>
      </c>
      <c r="BP644" t="b">
        <f>IF(Metadata!AC644="",FALSE,TRUE)</f>
        <v>0</v>
      </c>
      <c r="BQ644" t="b">
        <f>IF(Metadata!AD644="",FALSE,TRUE)</f>
        <v>0</v>
      </c>
    </row>
    <row r="645" spans="1:69" x14ac:dyDescent="0.2">
      <c r="A645" s="4" t="e">
        <f ca="1">IF(B645=" "," ",HYPERLINK(CONCATENATE("#metadata!",ADDRESS(INDEX($AJ$2:$AJ$1001,MATCH(ROWS($AH$2:AH645),$AH$2:$AH$1001,0),0),2)),INDEX($AM$2:$AM$1001,MATCH(ROWS($AH$2:AH645),$AH$2:$AH$1001,0),0)))</f>
        <v>#N/A</v>
      </c>
      <c r="B645" s="5" t="e">
        <f ca="1">IF(OR(INDEX($AI$2:$AI$1001,MATCH(ROWS($AH$2:AH645),$AH$2:$AH$1001,0),1)&gt;=100000,INDEX($AO$1005:$BQ$1005,1,MATCH(COLUMNS($AO$1006:AO1006),$AO$1006:$BQ$1006,0))&gt;=100000), " ",IF(INDEX($AO$2:$BQ$1001,MATCH(ROWS($AH$2:AH645),$AH$2:$AH$1001,0),MATCH(COLUMNS($AO$1006:AO1006),$AO$1006:$BQ$1006,0)), HYPERLINK("#",""), HYPERLINK(CONCATENATE("#Metadata!", ADDRESS(INDEX($AJ$2:$AJ$1001,MATCH(ROWS($AH$2:AH645),$AH$2:$AH$1001,0),0), INDEX($AO$1004:$BQ$1004,1,MATCH(COLUMNS($AO$1006:AO1006),$AO$1006:$BQ$1006,0)))),"Fix")))</f>
        <v>#N/A</v>
      </c>
      <c r="C645" s="5" t="e">
        <f ca="1">IF(OR(INDEX($AI$2:$AI$1001,MATCH(ROWS($AH$2:AH645),$AH$2:$AH$1001,0),1)&gt;=100000,INDEX($AO$1005:$BQ$1005,1,MATCH(COLUMNS($AO$1006:AP1006),$AO$1006:$BQ$1006,0))&gt;=100000), " ",IF(INDEX($AO$2:$BQ$1001,MATCH(ROWS($AH$2:AH645),$AH$2:$AH$1001,0),MATCH(COLUMNS($AO$1006:AP1006),$AO$1006:$BQ$1006,0)), HYPERLINK("#",""), HYPERLINK(CONCATENATE("#Metadata!", ADDRESS(INDEX($AJ$2:$AJ$1001,MATCH(ROWS($AH$2:AH645),$AH$2:$AH$1001,0),0), INDEX($AO$1004:$BQ$1004,1,MATCH(COLUMNS($AO$1006:AP1006),$AO$1006:$BQ$1006,0)))),"Fix")))</f>
        <v>#N/A</v>
      </c>
      <c r="D645" s="5" t="e">
        <f ca="1">IF(OR(INDEX($AI$2:$AI$1001,MATCH(ROWS($AH$2:AH645),$AH$2:$AH$1001,0),1)&gt;=100000,INDEX($AO$1005:$BQ$1005,1,MATCH(COLUMNS($AO$1006:AQ1006),$AO$1006:$BQ$1006,0))&gt;=100000), " ",IF(INDEX($AO$2:$BQ$1001,MATCH(ROWS($AH$2:AH645),$AH$2:$AH$1001,0),MATCH(COLUMNS($AO$1006:AQ1006),$AO$1006:$BQ$1006,0)), HYPERLINK("#",""), HYPERLINK(CONCATENATE("#Metadata!", ADDRESS(INDEX($AJ$2:$AJ$1001,MATCH(ROWS($AH$2:AH645),$AH$2:$AH$1001,0),0), INDEX($AO$1004:$BQ$1004,1,MATCH(COLUMNS($AO$1006:AQ1006),$AO$1006:$BQ$1006,0)))),"Fix")))</f>
        <v>#N/A</v>
      </c>
      <c r="E645" s="5" t="e">
        <f ca="1">IF(OR(INDEX($AI$2:$AI$1001,MATCH(ROWS($AH$2:AH645),$AH$2:$AH$1001,0),1)&gt;=100000,INDEX($AO$1005:$BQ$1005,1,MATCH(COLUMNS($AO$1006:AR1006),$AO$1006:$BQ$1006,0))&gt;=100000), " ",IF(INDEX($AO$2:$BQ$1001,MATCH(ROWS($AH$2:AH645),$AH$2:$AH$1001,0),MATCH(COLUMNS($AO$1006:AR1006),$AO$1006:$BQ$1006,0)), HYPERLINK("#",""), HYPERLINK(CONCATENATE("#Metadata!", ADDRESS(INDEX($AJ$2:$AJ$1001,MATCH(ROWS($AH$2:AH645),$AH$2:$AH$1001,0),0), INDEX($AO$1004:$BQ$1004,1,MATCH(COLUMNS($AO$1006:AR1006),$AO$1006:$BQ$1006,0)))),"Fix")))</f>
        <v>#N/A</v>
      </c>
      <c r="F645" s="5" t="e">
        <f ca="1">IF(OR(INDEX($AI$2:$AI$1001,MATCH(ROWS($AH$2:AH645),$AH$2:$AH$1001,0),1)&gt;=100000,INDEX($AO$1005:$BQ$1005,1,MATCH(COLUMNS($AO$1006:AS1006),$AO$1006:$BQ$1006,0))&gt;=100000), " ",IF(INDEX($AO$2:$BQ$1001,MATCH(ROWS($AH$2:AH645),$AH$2:$AH$1001,0),MATCH(COLUMNS($AO$1006:AS1006),$AO$1006:$BQ$1006,0)), HYPERLINK("#",""), HYPERLINK(CONCATENATE("#Metadata!", ADDRESS(INDEX($AJ$2:$AJ$1001,MATCH(ROWS($AH$2:AH645),$AH$2:$AH$1001,0),0), INDEX($AO$1004:$BQ$1004,1,MATCH(COLUMNS($AO$1006:AS1006),$AO$1006:$BQ$1006,0)))),"Fix")))</f>
        <v>#N/A</v>
      </c>
      <c r="G645" s="5" t="e">
        <f ca="1">IF(OR(INDEX($AI$2:$AI$1001,MATCH(ROWS($AH$2:AH645),$AH$2:$AH$1001,0),1)&gt;=100000,INDEX($AO$1005:$BQ$1005,1,MATCH(COLUMNS($AO$1006:AT1006),$AO$1006:$BQ$1006,0))&gt;=100000), " ",IF(INDEX($AO$2:$BQ$1001,MATCH(ROWS($AH$2:AH645),$AH$2:$AH$1001,0),MATCH(COLUMNS($AO$1006:AT1006),$AO$1006:$BQ$1006,0)), HYPERLINK("#",""), HYPERLINK(CONCATENATE("#Metadata!", ADDRESS(INDEX($AJ$2:$AJ$1001,MATCH(ROWS($AH$2:AH645),$AH$2:$AH$1001,0),0), INDEX($AO$1004:$BQ$1004,1,MATCH(COLUMNS($AO$1006:AT1006),$AO$1006:$BQ$1006,0)))),"Fix")))</f>
        <v>#N/A</v>
      </c>
      <c r="H645" s="5" t="e">
        <f ca="1">IF(OR(INDEX($AI$2:$AI$1001,MATCH(ROWS($AH$2:AH645),$AH$2:$AH$1001,0),1)&gt;=100000,INDEX($AO$1005:$BQ$1005,1,MATCH(COLUMNS($AO$1006:AU1006),$AO$1006:$BQ$1006,0))&gt;=100000), " ",IF(INDEX($AO$2:$BQ$1001,MATCH(ROWS($AH$2:AH645),$AH$2:$AH$1001,0),MATCH(COLUMNS($AO$1006:AU1006),$AO$1006:$BQ$1006,0)), HYPERLINK("#",""), HYPERLINK(CONCATENATE("#Metadata!", ADDRESS(INDEX($AJ$2:$AJ$1001,MATCH(ROWS($AH$2:AH645),$AH$2:$AH$1001,0),0), INDEX($AO$1004:$BQ$1004,1,MATCH(COLUMNS($AO$1006:AU1006),$AO$1006:$BQ$1006,0)))),"Fix")))</f>
        <v>#N/A</v>
      </c>
      <c r="I645" s="5" t="e">
        <f ca="1">IF(OR(INDEX($AI$2:$AI$1001,MATCH(ROWS($AH$2:AH645),$AH$2:$AH$1001,0),1)&gt;=100000,INDEX($AO$1005:$BQ$1005,1,MATCH(COLUMNS($AO$1006:AV1006),$AO$1006:$BQ$1006,0))&gt;=100000), " ",IF(INDEX($AO$2:$BQ$1001,MATCH(ROWS($AH$2:AH645),$AH$2:$AH$1001,0),MATCH(COLUMNS($AO$1006:AV1006),$AO$1006:$BQ$1006,0)), HYPERLINK("#",""), HYPERLINK(CONCATENATE("#Metadata!", ADDRESS(INDEX($AJ$2:$AJ$1001,MATCH(ROWS($AH$2:AH645),$AH$2:$AH$1001,0),0), INDEX($AO$1004:$BQ$1004,1,MATCH(COLUMNS($AO$1006:AV1006),$AO$1006:$BQ$1006,0)))),"Fix")))</f>
        <v>#N/A</v>
      </c>
      <c r="J645" s="5" t="e">
        <f ca="1">IF(OR(INDEX($AI$2:$AI$1001,MATCH(ROWS($AH$2:AH645),$AH$2:$AH$1001,0),1)&gt;=100000,INDEX($AO$1005:$BQ$1005,1,MATCH(COLUMNS($AO$1006:AW1006),$AO$1006:$BQ$1006,0))&gt;=100000), " ",IF(INDEX($AO$2:$BQ$1001,MATCH(ROWS($AH$2:AH645),$AH$2:$AH$1001,0),MATCH(COLUMNS($AO$1006:AW1006),$AO$1006:$BQ$1006,0)), HYPERLINK("#",""), HYPERLINK(CONCATENATE("#Metadata!", ADDRESS(INDEX($AJ$2:$AJ$1001,MATCH(ROWS($AH$2:AH645),$AH$2:$AH$1001,0),0), INDEX($AO$1004:$BQ$1004,1,MATCH(COLUMNS($AO$1006:AW1006),$AO$1006:$BQ$1006,0)))),"Fix")))</f>
        <v>#N/A</v>
      </c>
      <c r="K645" s="5" t="e">
        <f ca="1">IF(OR(INDEX($AI$2:$AI$1001,MATCH(ROWS($AH$2:AH645),$AH$2:$AH$1001,0),1)&gt;=100000,INDEX($AO$1005:$BQ$1005,1,MATCH(COLUMNS($AO$1006:AX1006),$AO$1006:$BQ$1006,0))&gt;=100000), " ",IF(INDEX($AO$2:$BQ$1001,MATCH(ROWS($AH$2:AH645),$AH$2:$AH$1001,0),MATCH(COLUMNS($AO$1006:AX1006),$AO$1006:$BQ$1006,0)), HYPERLINK("#",""), HYPERLINK(CONCATENATE("#Metadata!", ADDRESS(INDEX($AJ$2:$AJ$1001,MATCH(ROWS($AH$2:AH645),$AH$2:$AH$1001,0),0), INDEX($AO$1004:$BQ$1004,1,MATCH(COLUMNS($AO$1006:AX1006),$AO$1006:$BQ$1006,0)))),"Fix")))</f>
        <v>#N/A</v>
      </c>
      <c r="L645" s="5" t="e">
        <f ca="1">IF(OR(INDEX($AI$2:$AI$1001,MATCH(ROWS($AH$2:AH645),$AH$2:$AH$1001,0),1)&gt;=100000,INDEX($AO$1005:$BQ$1005,1,MATCH(COLUMNS($AO$1006:AY1006),$AO$1006:$BQ$1006,0))&gt;=100000), " ",IF(INDEX($AO$2:$BQ$1001,MATCH(ROWS($AH$2:AH645),$AH$2:$AH$1001,0),MATCH(COLUMNS($AO$1006:AY1006),$AO$1006:$BQ$1006,0)), HYPERLINK("#",""), HYPERLINK(CONCATENATE("#Metadata!", ADDRESS(INDEX($AJ$2:$AJ$1001,MATCH(ROWS($AH$2:AH645),$AH$2:$AH$1001,0),0), INDEX($AO$1004:$BQ$1004,1,MATCH(COLUMNS($AO$1006:AY1006),$AO$1006:$BQ$1006,0)))),"Fix")))</f>
        <v>#N/A</v>
      </c>
      <c r="M645" s="5" t="e">
        <f ca="1">IF(OR(INDEX($AI$2:$AI$1001,MATCH(ROWS($AH$2:AH645),$AH$2:$AH$1001,0),1)&gt;=100000,INDEX($AO$1005:$BQ$1005,1,MATCH(COLUMNS($AO$1006:AZ1006),$AO$1006:$BQ$1006,0))&gt;=100000), " ",IF(INDEX($AO$2:$BQ$1001,MATCH(ROWS($AH$2:AH645),$AH$2:$AH$1001,0),MATCH(COLUMNS($AO$1006:AZ1006),$AO$1006:$BQ$1006,0)), HYPERLINK("#",""), HYPERLINK(CONCATENATE("#Metadata!", ADDRESS(INDEX($AJ$2:$AJ$1001,MATCH(ROWS($AH$2:AH645),$AH$2:$AH$1001,0),0), INDEX($AO$1004:$BQ$1004,1,MATCH(COLUMNS($AO$1006:AZ1006),$AO$1006:$BQ$1006,0)))),"Fix")))</f>
        <v>#N/A</v>
      </c>
      <c r="N645" s="5" t="e">
        <f ca="1">IF(OR(INDEX($AI$2:$AI$1001,MATCH(ROWS($AH$2:AH645),$AH$2:$AH$1001,0),1)&gt;=100000,INDEX($AO$1005:$BQ$1005,1,MATCH(COLUMNS($AO$1006:BA1006),$AO$1006:$BQ$1006,0))&gt;=100000), " ",IF(INDEX($AO$2:$BQ$1001,MATCH(ROWS($AH$2:AH645),$AH$2:$AH$1001,0),MATCH(COLUMNS($AO$1006:BA1006),$AO$1006:$BQ$1006,0)), HYPERLINK("#",""), HYPERLINK(CONCATENATE("#Metadata!", ADDRESS(INDEX($AJ$2:$AJ$1001,MATCH(ROWS($AH$2:AH645),$AH$2:$AH$1001,0),0), INDEX($AO$1004:$BQ$1004,1,MATCH(COLUMNS($AO$1006:BA1006),$AO$1006:$BQ$1006,0)))),"Fix")))</f>
        <v>#N/A</v>
      </c>
      <c r="O645" s="5" t="e">
        <f ca="1">IF(OR(INDEX($AI$2:$AI$1001,MATCH(ROWS($AH$2:AH645),$AH$2:$AH$1001,0),1)&gt;=100000,INDEX($AO$1005:$BQ$1005,1,MATCH(COLUMNS($AO$1006:BB1006),$AO$1006:$BQ$1006,0))&gt;=100000), " ",IF(INDEX($AO$2:$BQ$1001,MATCH(ROWS($AH$2:AH645),$AH$2:$AH$1001,0),MATCH(COLUMNS($AO$1006:BB1006),$AO$1006:$BQ$1006,0)), HYPERLINK("#",""), HYPERLINK(CONCATENATE("#Metadata!", ADDRESS(INDEX($AJ$2:$AJ$1001,MATCH(ROWS($AH$2:AH645),$AH$2:$AH$1001,0),0), INDEX($AO$1004:$BQ$1004,1,MATCH(COLUMNS($AO$1006:BB1006),$AO$1006:$BQ$1006,0)))),"Fix")))</f>
        <v>#N/A</v>
      </c>
      <c r="P645" s="5" t="e">
        <f ca="1">IF(OR(INDEX($AI$2:$AI$1001,MATCH(ROWS($AH$2:AH645),$AH$2:$AH$1001,0),1)&gt;=100000,INDEX($AO$1005:$BQ$1005,1,MATCH(COLUMNS($AO$1006:BC1006),$AO$1006:$BQ$1006,0))&gt;=100000), " ",IF(INDEX($AO$2:$BQ$1001,MATCH(ROWS($AH$2:AH645),$AH$2:$AH$1001,0),MATCH(COLUMNS($AO$1006:BC1006),$AO$1006:$BQ$1006,0)), HYPERLINK("#",""), HYPERLINK(CONCATENATE("#Metadata!", ADDRESS(INDEX($AJ$2:$AJ$1001,MATCH(ROWS($AH$2:AH645),$AH$2:$AH$1001,0),0), INDEX($AO$1004:$BQ$1004,1,MATCH(COLUMNS($AO$1006:BC1006),$AO$1006:$BQ$1006,0)))),"Fix")))</f>
        <v>#N/A</v>
      </c>
      <c r="Q645" s="5" t="e">
        <f ca="1">IF(OR(INDEX($AI$2:$AI$1001,MATCH(ROWS($AH$2:AH645),$AH$2:$AH$1001,0),1)&gt;=100000,INDEX($AO$1005:$BQ$1005,1,MATCH(COLUMNS($AO$1006:BD1006),$AO$1006:$BQ$1006,0))&gt;=100000), " ",IF(INDEX($AO$2:$BQ$1001,MATCH(ROWS($AH$2:AH645),$AH$2:$AH$1001,0),MATCH(COLUMNS($AO$1006:BD1006),$AO$1006:$BQ$1006,0)), HYPERLINK("#",""), HYPERLINK(CONCATENATE("#Metadata!", ADDRESS(INDEX($AJ$2:$AJ$1001,MATCH(ROWS($AH$2:AH645),$AH$2:$AH$1001,0),0), INDEX($AO$1004:$BQ$1004,1,MATCH(COLUMNS($AO$1006:BD1006),$AO$1006:$BQ$1006,0)))),"Fix")))</f>
        <v>#N/A</v>
      </c>
      <c r="R645" s="5" t="e">
        <f ca="1">IF(OR(INDEX($AI$2:$AI$1001,MATCH(ROWS($AH$2:AH645),$AH$2:$AH$1001,0),1)&gt;=100000,INDEX($AO$1005:$BQ$1005,1,MATCH(COLUMNS($AO$1006:BE1006),$AO$1006:$BQ$1006,0))&gt;=100000), " ",IF(INDEX($AO$2:$BQ$1001,MATCH(ROWS($AH$2:AH645),$AH$2:$AH$1001,0),MATCH(COLUMNS($AO$1006:BE1006),$AO$1006:$BQ$1006,0)), HYPERLINK("#",""), HYPERLINK(CONCATENATE("#Metadata!", ADDRESS(INDEX($AJ$2:$AJ$1001,MATCH(ROWS($AH$2:AH645),$AH$2:$AH$1001,0),0), INDEX($AO$1004:$BQ$1004,1,MATCH(COLUMNS($AO$1006:BE1006),$AO$1006:$BQ$1006,0)))),"Fix")))</f>
        <v>#N/A</v>
      </c>
      <c r="S645" s="5" t="e">
        <f ca="1">IF(OR(INDEX($AI$2:$AI$1001,MATCH(ROWS($AH$2:AH645),$AH$2:$AH$1001,0),1)&gt;=100000,INDEX($AO$1005:$BQ$1005,1,MATCH(COLUMNS($AO$1006:BF1006),$AO$1006:$BQ$1006,0))&gt;=100000), " ",IF(INDEX($AO$2:$BQ$1001,MATCH(ROWS($AH$2:AH645),$AH$2:$AH$1001,0),MATCH(COLUMNS($AO$1006:BF1006),$AO$1006:$BQ$1006,0)), HYPERLINK("#",""), HYPERLINK(CONCATENATE("#Metadata!", ADDRESS(INDEX($AJ$2:$AJ$1001,MATCH(ROWS($AH$2:AH645),$AH$2:$AH$1001,0),0), INDEX($AO$1004:$BQ$1004,1,MATCH(COLUMNS($AO$1006:BF1006),$AO$1006:$BQ$1006,0)))),"Fix")))</f>
        <v>#N/A</v>
      </c>
      <c r="T645" s="5" t="e">
        <f ca="1">IF(OR(INDEX($AI$2:$AI$1001,MATCH(ROWS($AH$2:AH645),$AH$2:$AH$1001,0),1)&gt;=100000,INDEX($AO$1005:$BQ$1005,1,MATCH(COLUMNS($AO$1006:BG1006),$AO$1006:$BQ$1006,0))&gt;=100000), " ",IF(INDEX($AO$2:$BQ$1001,MATCH(ROWS($AH$2:AH645),$AH$2:$AH$1001,0),MATCH(COLUMNS($AO$1006:BG1006),$AO$1006:$BQ$1006,0)), HYPERLINK("#",""), HYPERLINK(CONCATENATE("#Metadata!", ADDRESS(INDEX($AJ$2:$AJ$1001,MATCH(ROWS($AH$2:AH645),$AH$2:$AH$1001,0),0), INDEX($AO$1004:$BQ$1004,1,MATCH(COLUMNS($AO$1006:BG1006),$AO$1006:$BQ$1006,0)))),"Fix")))</f>
        <v>#N/A</v>
      </c>
      <c r="U645" s="5" t="e">
        <f ca="1">IF(OR(INDEX($AI$2:$AI$1001,MATCH(ROWS($AH$2:AH645),$AH$2:$AH$1001,0),1)&gt;=100000,INDEX($AO$1005:$BQ$1005,1,MATCH(COLUMNS($AO$1006:BH1006),$AO$1006:$BQ$1006,0))&gt;=100000), " ",IF(INDEX($AO$2:$BQ$1001,MATCH(ROWS($AH$2:AH645),$AH$2:$AH$1001,0),MATCH(COLUMNS($AO$1006:BH1006),$AO$1006:$BQ$1006,0)), HYPERLINK("#",""), HYPERLINK(CONCATENATE("#Metadata!", ADDRESS(INDEX($AJ$2:$AJ$1001,MATCH(ROWS($AH$2:AH645),$AH$2:$AH$1001,0),0), INDEX($AO$1004:$BQ$1004,1,MATCH(COLUMNS($AO$1006:BH1006),$AO$1006:$BQ$1006,0)))),"Fix")))</f>
        <v>#N/A</v>
      </c>
      <c r="V645" s="5" t="e">
        <f ca="1">IF(OR(INDEX($AI$2:$AI$1001,MATCH(ROWS($AH$2:AH645),$AH$2:$AH$1001,0),1)&gt;=100000,INDEX($AO$1005:$BQ$1005,1,MATCH(COLUMNS($AO$1006:BI1006),$AO$1006:$BQ$1006,0))&gt;=100000), " ",IF(INDEX($AO$2:$BQ$1001,MATCH(ROWS($AH$2:AH645),$AH$2:$AH$1001,0),MATCH(COLUMNS($AO$1006:BI1006),$AO$1006:$BQ$1006,0)), HYPERLINK("#",""), HYPERLINK(CONCATENATE("#Metadata!", ADDRESS(INDEX($AJ$2:$AJ$1001,MATCH(ROWS($AH$2:AH645),$AH$2:$AH$1001,0),0), INDEX($AO$1004:$BQ$1004,1,MATCH(COLUMNS($AO$1006:BI1006),$AO$1006:$BQ$1006,0)))),"Fix")))</f>
        <v>#N/A</v>
      </c>
      <c r="W645" s="5" t="e">
        <f ca="1">IF(OR(INDEX($AI$2:$AI$1001,MATCH(ROWS($AH$2:AH645),$AH$2:$AH$1001,0),1)&gt;=100000,INDEX($AO$1005:$BQ$1005,1,MATCH(COLUMNS($AO$1006:BJ1006),$AO$1006:$BQ$1006,0))&gt;=100000), " ",IF(INDEX($AO$2:$BQ$1001,MATCH(ROWS($AH$2:AH645),$AH$2:$AH$1001,0),MATCH(COLUMNS($AO$1006:BJ1006),$AO$1006:$BQ$1006,0)), HYPERLINK("#",""), HYPERLINK(CONCATENATE("#Metadata!", ADDRESS(INDEX($AJ$2:$AJ$1001,MATCH(ROWS($AH$2:AH645),$AH$2:$AH$1001,0),0), INDEX($AO$1004:$BQ$1004,1,MATCH(COLUMNS($AO$1006:BJ1006),$AO$1006:$BQ$1006,0)))),"Fix")))</f>
        <v>#N/A</v>
      </c>
      <c r="X645" s="5" t="e">
        <f ca="1">IF(OR(INDEX($AI$2:$AI$1001,MATCH(ROWS($AH$2:AH645),$AH$2:$AH$1001,0),1)&gt;=100000,INDEX($AO$1005:$BQ$1005,1,MATCH(COLUMNS($AO$1006:BK1006),$AO$1006:$BQ$1006,0))&gt;=100000), " ",IF(INDEX($AO$2:$BQ$1001,MATCH(ROWS($AH$2:AH645),$AH$2:$AH$1001,0),MATCH(COLUMNS($AO$1006:BK1006),$AO$1006:$BQ$1006,0)), HYPERLINK("#",""), HYPERLINK(CONCATENATE("#Metadata!", ADDRESS(INDEX($AJ$2:$AJ$1001,MATCH(ROWS($AH$2:AH645),$AH$2:$AH$1001,0),0), INDEX($AO$1004:$BQ$1004,1,MATCH(COLUMNS($AO$1006:BK1006),$AO$1006:$BQ$1006,0)))),"Fix")))</f>
        <v>#N/A</v>
      </c>
      <c r="Y645" s="5" t="e">
        <f ca="1">IF(OR(INDEX($AI$2:$AI$1001,MATCH(ROWS($AH$2:AH645),$AH$2:$AH$1001,0),1)&gt;=100000,INDEX($AO$1005:$BQ$1005,1,MATCH(COLUMNS($AO$1006:BL1006),$AO$1006:$BQ$1006,0))&gt;=100000), " ",IF(INDEX($AO$2:$BQ$1001,MATCH(ROWS($AH$2:AH645),$AH$2:$AH$1001,0),MATCH(COLUMNS($AO$1006:BL1006),$AO$1006:$BQ$1006,0)), HYPERLINK("#",""), HYPERLINK(CONCATENATE("#Metadata!", ADDRESS(INDEX($AJ$2:$AJ$1001,MATCH(ROWS($AH$2:AH645),$AH$2:$AH$1001,0),0), INDEX($AO$1004:$BQ$1004,1,MATCH(COLUMNS($AO$1006:BL1006),$AO$1006:$BQ$1006,0)))),"Fix")))</f>
        <v>#N/A</v>
      </c>
      <c r="Z645" s="5" t="e">
        <f ca="1">IF(OR(INDEX($AI$2:$AI$1001,MATCH(ROWS($AH$2:AH645),$AH$2:$AH$1001,0),1)&gt;=100000,INDEX($AO$1005:$BQ$1005,1,MATCH(COLUMNS($AO$1006:BM1006),$AO$1006:$BQ$1006,0))&gt;=100000), " ",IF(INDEX($AO$2:$BQ$1001,MATCH(ROWS($AH$2:AH645),$AH$2:$AH$1001,0),MATCH(COLUMNS($AO$1006:BM1006),$AO$1006:$BQ$1006,0)), HYPERLINK("#",""), HYPERLINK(CONCATENATE("#Metadata!", ADDRESS(INDEX($AJ$2:$AJ$1001,MATCH(ROWS($AH$2:AH645),$AH$2:$AH$1001,0),0), INDEX($AO$1004:$BQ$1004,1,MATCH(COLUMNS($AO$1006:BM1006),$AO$1006:$BQ$1006,0)))),"Fix")))</f>
        <v>#N/A</v>
      </c>
      <c r="AA645" s="5" t="e">
        <f ca="1">IF(OR(INDEX($AI$2:$AI$1001,MATCH(ROWS($AH$2:AH645),$AH$2:$AH$1001,0),1)&gt;=100000,INDEX($AO$1005:$BQ$1005,1,MATCH(COLUMNS($AO$1006:BN1006),$AO$1006:$BQ$1006,0))&gt;=100000), " ",IF(INDEX($AO$2:$BQ$1001,MATCH(ROWS($AH$2:AH645),$AH$2:$AH$1001,0),MATCH(COLUMNS($AO$1006:BN1006),$AO$1006:$BQ$1006,0)), HYPERLINK("#",""), HYPERLINK(CONCATENATE("#Metadata!", ADDRESS(INDEX($AJ$2:$AJ$1001,MATCH(ROWS($AH$2:AH645),$AH$2:$AH$1001,0),0), INDEX($AO$1004:$BQ$1004,1,MATCH(COLUMNS($AO$1006:BN1006),$AO$1006:$BQ$1006,0)))),"Fix")))</f>
        <v>#N/A</v>
      </c>
      <c r="AB645" s="5" t="e">
        <f ca="1">IF(OR(INDEX($AI$2:$AI$1001,MATCH(ROWS($AH$2:AH645),$AH$2:$AH$1001,0),1)&gt;=100000,INDEX($AO$1005:$BQ$1005,1,MATCH(COLUMNS($AO$1006:BO1006),$AO$1006:$BQ$1006,0))&gt;=100000), " ",IF(INDEX($AO$2:$BQ$1001,MATCH(ROWS($AH$2:AH645),$AH$2:$AH$1001,0),MATCH(COLUMNS($AO$1006:BO1006),$AO$1006:$BQ$1006,0)), HYPERLINK("#",""), HYPERLINK(CONCATENATE("#Metadata!", ADDRESS(INDEX($AJ$2:$AJ$1001,MATCH(ROWS($AH$2:AH645),$AH$2:$AH$1001,0),0), INDEX($AO$1004:$BQ$1004,1,MATCH(COLUMNS($AO$1006:BO1006),$AO$1006:$BQ$1006,0)))),"Fix")))</f>
        <v>#N/A</v>
      </c>
      <c r="AC645" s="5" t="e">
        <f ca="1">IF(OR(INDEX($AI$2:$AI$1001,MATCH(ROWS($AH$2:AH645),$AH$2:$AH$1001,0),1)&gt;=100000,INDEX($AO$1005:$BQ$1005,1,MATCH(COLUMNS($AO$1006:BP1006),$AO$1006:$BQ$1006,0))&gt;=100000), " ",IF(INDEX($AO$2:$BQ$1001,MATCH(ROWS($AH$2:AH645),$AH$2:$AH$1001,0),MATCH(COLUMNS($AO$1006:BP1006),$AO$1006:$BQ$1006,0)), HYPERLINK("#",""), HYPERLINK(CONCATENATE("#Metadata!", ADDRESS(INDEX($AJ$2:$AJ$1001,MATCH(ROWS($AH$2:AH645),$AH$2:$AH$1001,0),0), INDEX($AO$1004:$BQ$1004,1,MATCH(COLUMNS($AO$1006:BP1006),$AO$1006:$BQ$1006,0)))),"Fix")))</f>
        <v>#N/A</v>
      </c>
      <c r="AD645" s="5" t="e">
        <f ca="1">IF(OR(INDEX($AI$2:$AI$1001,MATCH(ROWS($AH$2:AH645),$AH$2:$AH$1001,0),1)&gt;=100000,INDEX($AO$1005:$BQ$1005,1,MATCH(COLUMNS($AO$1006:BQ1006),$AO$1006:$BQ$1006,0))&gt;=100000), " ",IF(INDEX($AO$2:$BQ$1001,MATCH(ROWS($AH$2:AH645),$AH$2:$AH$1001,0),MATCH(COLUMNS($AO$1006:BQ1006),$AO$1006:$BQ$1006,0)), HYPERLINK("#",""), HYPERLINK(CONCATENATE("#Metadata!", ADDRESS(INDEX($AJ$2:$AJ$1001,MATCH(ROWS($AH$2:AH645),$AH$2:$AH$1001,0),0), INDEX($AO$1004:$BQ$1004,1,MATCH(COLUMNS($AO$1006:BQ1006),$AO$1006:$BQ$1006,0)))),"Fix")))</f>
        <v>#REF!</v>
      </c>
      <c r="AH645">
        <f ca="1"/>
        <v>642</v>
      </c>
      <c r="AI645">
        <v>100645</v>
      </c>
      <c r="AJ645">
        <v>645</v>
      </c>
      <c r="AK645" t="b">
        <f t="shared" si="10"/>
        <v>1</v>
      </c>
      <c r="AL645" t="b">
        <f>COUNTBLANK(Metadata!B645:AD645)=COLUMNS(Metadata!B645:AD645)</f>
        <v>1</v>
      </c>
      <c r="AM645" t="str">
        <v/>
      </c>
      <c r="AO645" t="b">
        <f ca="1">AND(IF(Metadata!B645="",FALSE,TRUE),COUNTIF(Metadata!B:B, Metadata!B645) = 1,NOT(ISERROR(SUMPRODUCT(SEARCH(MID(Metadata!B645,ROW(INDIRECT("1:"&amp;LEN(Metadata!B645))), 1),"0123456789abcdefghijklmnopqrstuvwxyzABCDEFGHIJKLMNOPQRSTUVWXYZ.")))))</f>
        <v>0</v>
      </c>
      <c r="AP645" t="b">
        <f>IF(Metadata!C645="",FALSE,TRUE)</f>
        <v>0</v>
      </c>
      <c r="AQ645" t="b">
        <f>IF(Metadata!D645="",FALSE,TRUE)</f>
        <v>0</v>
      </c>
      <c r="AR645" t="b">
        <f ca="1">OR(AND(IF(Metadata!E645="",FALSE,TRUE),OR(EXACT(Metadata!E645,"not collected"),EXACT(Metadata!E645,"not provided"),EXACT(Metadata!E645,"restricted access"))),AND(IF(Metadata!E645="",FALSE,TRUE),AND(AND(IFERROR(INT(LEFT(Metadata!E645,4))&gt;1900,FALSE),IFERROR(INT(LEFT(Metadata!E645,4))&lt;=YEAR(NOW()),FALSE)), OR(MID(Metadata!E645,5,1)="", AND(AND(MID(Metadata!E645,5,1)="-",IFERROR(INT(MID(Metadata!E645,6,1))&gt;=0,FALSE),IFERROR(INT(MID(Metadata!E645,6,1))&lt;=1,FALSE),NOT(MID(Metadata!E645,7,1)=""),IFERROR(INT(MID(Metadata!E645,6,2))&gt;=1,FALSE),IFERROR(INT(MID(Metadata!E645,6,2))&lt;=12,FALSE)), OR(MID(Metadata!E645,8,1)="", AND(AND(MID(Metadata!E645,8,1)="-",IFERROR(INT(MID(Metadata!E645,9,1))&gt;=0,FALSE),IFERROR(INT(MID(Metadata!E645,9,1))&lt;=3,FALSE),NOT(MID(Metadata!E645,10,1)=""),IFERROR(INT(MID(Metadata!E645,9,2))&gt;=1,FALSE),IFERROR(INT(MID(Metadata!E645,9,2))&lt;=31,FALSE)), OR(MID(Metadata!E645,11,1)="", AND(AND(MID(Metadata!E645,11,1)=" ",IFERROR(INT(MID(Metadata!E645,12,1))&gt;=0,FALSE),IFERROR(INT(MID(Metadata!E645,12,1))&lt;=2,FALSE),NOT(MID(Metadata!E645,13,1)=""),IFERROR(INT(MID(Metadata!E645,12,2))&gt;=0,FALSE),IFERROR(INT(MID(Metadata!E645,12,2))&lt;=23,FALSE)), OR(MID(Metadata!E645,14,1)="", AND(AND(MID(Metadata!E645,14,1)=":",IFERROR(INT(MID(Metadata!E645,15,1))&gt;=0,FALSE),IFERROR(INT(MID(Metadata!E645,15,1))&lt;=5,FALSE),NOT(MID(Metadata!E645,16,1)=""),IFERROR(INT(MID(Metadata!E645,15,2))&gt;=0,FALSE),IFERROR(INT(MID(Metadata!E645,15,2))&lt;=59,FALSE)), OR(MID(Metadata!E645,17,1)="", AND(AND(MID(Metadata!E645,17,1)=":",IFERROR(INT(MID(Metadata!E645,18,1))&gt;=0,FALSE),IFERROR(INT(MID(Metadata!E645,18,1))&lt;=5,FALSE),NOT(MID(Metadata!E645,19,1)=""),IFERROR(INT(MID(Metadata!E645,18,2))&gt;=0,FALSE),IFERROR(INT(MID(Metadata!E645,18,2))&lt;=59,FALSE)), LEN(Metadata!E645)&lt;=19)))))))))))))</f>
        <v>0</v>
      </c>
      <c r="AS645" t="b">
        <f>IF(Metadata!F645="",FALSE,TRUE)</f>
        <v>0</v>
      </c>
      <c r="AT645" t="b">
        <f>OR(AND(IF(Metadata!G645="",FALSE,TRUE),OR(EXACT(Metadata!G645,"not collected"),EXACT(Metadata!G645,"not provided"))),AND(IF(Metadata!G645="",FALSE,TRUE),OR(EXACT(Metadata!G645,"TRUE"),EXACT(Metadata!G645,"FALSE"))))</f>
        <v>0</v>
      </c>
      <c r="AU645" t="b">
        <f>OR(AND(IF(Metadata!H645="",FALSE,TRUE),OR(EXACT(Metadata!H645,"not collected"),EXACT(Metadata!H645,"not provided"),EXACT(Metadata!H645,"restricted access"))),AND(IF(Metadata!H645="",FALSE,ISNUMBER(VALUE(Metadata!H645))),Metadata!H645&gt;=-413))</f>
        <v>0</v>
      </c>
      <c r="AV645" t="b">
        <f>AND(IF(Metadata!I645="",FALSE,TRUE),EXACT(Metadata!I645,"meters"))</f>
        <v>0</v>
      </c>
      <c r="AW645" t="b">
        <f>AND(IF(Metadata!J645="",FALSE,TRUE),EXACT(Metadata!J645,"free-living"))</f>
        <v>0</v>
      </c>
      <c r="AX645" t="b">
        <f>AND(IF(Metadata!K645="",FALSE,TRUE),OR(EXACT(Metadata!K645,"saline"),EXACT(Metadata!K645,"non-saline")))</f>
        <v>0</v>
      </c>
      <c r="AY645" t="b">
        <f>AND(IF(Metadata!L645="",FALSE,TRUE),OR(EXACT(Metadata!L645,"sub-surface (non-saline)"),EXACT(Metadata!L645,"surface (non-saline)"),EXACT(Metadata!L645,"water (non-saline)"),EXACT(Metadata!L645,"soil (non-saline)"),EXACT(Metadata!L645,"aerosol (non-saline)"),EXACT(Metadata!L645,"sediment (non-saline)"),EXACT(Metadata!L645,"surface (saline)"),EXACT(Metadata!L645,"water (saline)"),EXACT(Metadata!L645,"hypersaline (saline)"),EXACT(Metadata!L645,"aerosol (saline)"),EXACT(Metadata!L645,"sediment (saline)")))</f>
        <v>0</v>
      </c>
      <c r="AZ645" t="b">
        <f>IF(Metadata!M645="",FALSE,TRUE)</f>
        <v>0</v>
      </c>
      <c r="BA645" t="b">
        <f>IF(Metadata!N645="",FALSE,TRUE)</f>
        <v>0</v>
      </c>
      <c r="BB645" t="b">
        <f>IF(Metadata!O645="",FALSE,TRUE)</f>
        <v>0</v>
      </c>
      <c r="BC645" t="b">
        <f>AND(IF(Metadata!P645="",FALSE,TRUE),OR(EXACT(Metadata!P645,"air"),EXACT(Metadata!P645,"microbial mat/biofilm"),EXACT(Metadata!P645,"misc environment"),EXACT(Metadata!P645,"sediment"),EXACT(Metadata!P645,"soil"),EXACT(Metadata!P645,"wastewater/sludge"),EXACT(Metadata!P645,"water")))</f>
        <v>0</v>
      </c>
      <c r="BD645" t="b">
        <f>IF(Metadata!Q645="",FALSE,TRUE)</f>
        <v>0</v>
      </c>
      <c r="BE645" t="b">
        <f>IF(Metadata!R645="",FALSE,TRUE)</f>
        <v>0</v>
      </c>
      <c r="BF645" t="b">
        <f>OR(AND(IF(Metadata!S645="",FALSE,TRUE),OR(EXACT(Metadata!S645,"not collected"),EXACT(Metadata!S645,"not provided"),EXACT(Metadata!S645,"restricted access"))),AND(IF(Metadata!S645="",FALSE,ISNUMBER(VALUE(Metadata!S645))),Metadata!S645&gt;=-90,Metadata!S645&lt;=90))</f>
        <v>0</v>
      </c>
      <c r="BG645" t="b">
        <f>AND(IF(Metadata!T645="",FALSE,TRUE),EXACT(Metadata!T645,"Decimal degrees"))</f>
        <v>0</v>
      </c>
      <c r="BH645" t="b">
        <f>OR(AND(IF(Metadata!U645="",FALSE,TRUE),OR(EXACT(Metadata!U645,"not applicable"),EXACT(Metadata!U645,"not collected"))),IF(Metadata!U645="",FALSE,TRUE))</f>
        <v>0</v>
      </c>
      <c r="BI645" t="b">
        <f>OR(AND(IF(Metadata!V645="",FALSE,TRUE),OR(EXACT(Metadata!V645,"not collected"),EXACT(Metadata!V645,"not provided"),EXACT(Metadata!V645,"restricted access"))),AND(IF(Metadata!V645="",FALSE,ISNUMBER(VALUE(Metadata!V645))),Metadata!V645&gt;=-180,Metadata!V645&lt;=180))</f>
        <v>0</v>
      </c>
      <c r="BJ645" t="b">
        <f>AND(IF(Metadata!W645="",FALSE,TRUE),EXACT(Metadata!W645,"Decimal degrees"))</f>
        <v>0</v>
      </c>
      <c r="BK645" t="b">
        <f>IF(Metadata!X645="",FALSE,TRUE)</f>
        <v>0</v>
      </c>
      <c r="BL645" t="b">
        <f>OR(AND(IF(Metadata!Y645="",FALSE,TRUE),OR(EXACT(Metadata!Y645,"not collected"),EXACT(Metadata!Y645,"not provided"),EXACT(Metadata!Y645,"restricted access"))),AND(IF(Metadata!Y645="",FALSE,TRUE),OR(EXACT(Metadata!Y645,"TRUE"),EXACT(Metadata!Y645,"FALSE"))))</f>
        <v>0</v>
      </c>
      <c r="BM645" t="b">
        <f>OR(AND(IF(Metadata!Z645="",FALSE,TRUE),EXACT(Metadata!Z645,"not applicable")),AND(IF(Metadata!Z645="",FALSE,TRUE),OR(EXACT(Metadata!Z645,"beer"),EXACT(Metadata!Z645,"cheese"),EXACT(Metadata!Z645,"fresh water"),EXACT(Metadata!Z645,"marine sediment"),EXACT(Metadata!Z645,"sea water"),EXACT(Metadata!Z645,"sediment"),EXACT(Metadata!Z645,"soil"),EXACT(Metadata!Z645,"waste water"))))</f>
        <v>0</v>
      </c>
      <c r="BN645" t="b">
        <f>AND(IF(Metadata!AA645="",FALSE,TRUE),EXACT(Metadata!AA645,"metagenome"))</f>
        <v>0</v>
      </c>
      <c r="BO645" t="b">
        <f>AND(IF(Metadata!AB645="",FALSE,TRUE),EXACT(Metadata!AB645,"256318"))</f>
        <v>0</v>
      </c>
      <c r="BP645" t="b">
        <f>IF(Metadata!AC645="",FALSE,TRUE)</f>
        <v>0</v>
      </c>
      <c r="BQ645" t="b">
        <f>IF(Metadata!AD645="",FALSE,TRUE)</f>
        <v>0</v>
      </c>
    </row>
    <row r="646" spans="1:69" x14ac:dyDescent="0.2">
      <c r="A646" s="4" t="e">
        <f ca="1">IF(B646=" "," ",HYPERLINK(CONCATENATE("#metadata!",ADDRESS(INDEX($AJ$2:$AJ$1001,MATCH(ROWS($AH$2:AH646),$AH$2:$AH$1001,0),0),2)),INDEX($AM$2:$AM$1001,MATCH(ROWS($AH$2:AH646),$AH$2:$AH$1001,0),0)))</f>
        <v>#N/A</v>
      </c>
      <c r="B646" s="5" t="e">
        <f ca="1">IF(OR(INDEX($AI$2:$AI$1001,MATCH(ROWS($AH$2:AH646),$AH$2:$AH$1001,0),1)&gt;=100000,INDEX($AO$1005:$BQ$1005,1,MATCH(COLUMNS($AO$1006:AO1006),$AO$1006:$BQ$1006,0))&gt;=100000), " ",IF(INDEX($AO$2:$BQ$1001,MATCH(ROWS($AH$2:AH646),$AH$2:$AH$1001,0),MATCH(COLUMNS($AO$1006:AO1006),$AO$1006:$BQ$1006,0)), HYPERLINK("#",""), HYPERLINK(CONCATENATE("#Metadata!", ADDRESS(INDEX($AJ$2:$AJ$1001,MATCH(ROWS($AH$2:AH646),$AH$2:$AH$1001,0),0), INDEX($AO$1004:$BQ$1004,1,MATCH(COLUMNS($AO$1006:AO1006),$AO$1006:$BQ$1006,0)))),"Fix")))</f>
        <v>#N/A</v>
      </c>
      <c r="C646" s="5" t="e">
        <f ca="1">IF(OR(INDEX($AI$2:$AI$1001,MATCH(ROWS($AH$2:AH646),$AH$2:$AH$1001,0),1)&gt;=100000,INDEX($AO$1005:$BQ$1005,1,MATCH(COLUMNS($AO$1006:AP1006),$AO$1006:$BQ$1006,0))&gt;=100000), " ",IF(INDEX($AO$2:$BQ$1001,MATCH(ROWS($AH$2:AH646),$AH$2:$AH$1001,0),MATCH(COLUMNS($AO$1006:AP1006),$AO$1006:$BQ$1006,0)), HYPERLINK("#",""), HYPERLINK(CONCATENATE("#Metadata!", ADDRESS(INDEX($AJ$2:$AJ$1001,MATCH(ROWS($AH$2:AH646),$AH$2:$AH$1001,0),0), INDEX($AO$1004:$BQ$1004,1,MATCH(COLUMNS($AO$1006:AP1006),$AO$1006:$BQ$1006,0)))),"Fix")))</f>
        <v>#N/A</v>
      </c>
      <c r="D646" s="5" t="e">
        <f ca="1">IF(OR(INDEX($AI$2:$AI$1001,MATCH(ROWS($AH$2:AH646),$AH$2:$AH$1001,0),1)&gt;=100000,INDEX($AO$1005:$BQ$1005,1,MATCH(COLUMNS($AO$1006:AQ1006),$AO$1006:$BQ$1006,0))&gt;=100000), " ",IF(INDEX($AO$2:$BQ$1001,MATCH(ROWS($AH$2:AH646),$AH$2:$AH$1001,0),MATCH(COLUMNS($AO$1006:AQ1006),$AO$1006:$BQ$1006,0)), HYPERLINK("#",""), HYPERLINK(CONCATENATE("#Metadata!", ADDRESS(INDEX($AJ$2:$AJ$1001,MATCH(ROWS($AH$2:AH646),$AH$2:$AH$1001,0),0), INDEX($AO$1004:$BQ$1004,1,MATCH(COLUMNS($AO$1006:AQ1006),$AO$1006:$BQ$1006,0)))),"Fix")))</f>
        <v>#N/A</v>
      </c>
      <c r="E646" s="5" t="e">
        <f ca="1">IF(OR(INDEX($AI$2:$AI$1001,MATCH(ROWS($AH$2:AH646),$AH$2:$AH$1001,0),1)&gt;=100000,INDEX($AO$1005:$BQ$1005,1,MATCH(COLUMNS($AO$1006:AR1006),$AO$1006:$BQ$1006,0))&gt;=100000), " ",IF(INDEX($AO$2:$BQ$1001,MATCH(ROWS($AH$2:AH646),$AH$2:$AH$1001,0),MATCH(COLUMNS($AO$1006:AR1006),$AO$1006:$BQ$1006,0)), HYPERLINK("#",""), HYPERLINK(CONCATENATE("#Metadata!", ADDRESS(INDEX($AJ$2:$AJ$1001,MATCH(ROWS($AH$2:AH646),$AH$2:$AH$1001,0),0), INDEX($AO$1004:$BQ$1004,1,MATCH(COLUMNS($AO$1006:AR1006),$AO$1006:$BQ$1006,0)))),"Fix")))</f>
        <v>#N/A</v>
      </c>
      <c r="F646" s="5" t="e">
        <f ca="1">IF(OR(INDEX($AI$2:$AI$1001,MATCH(ROWS($AH$2:AH646),$AH$2:$AH$1001,0),1)&gt;=100000,INDEX($AO$1005:$BQ$1005,1,MATCH(COLUMNS($AO$1006:AS1006),$AO$1006:$BQ$1006,0))&gt;=100000), " ",IF(INDEX($AO$2:$BQ$1001,MATCH(ROWS($AH$2:AH646),$AH$2:$AH$1001,0),MATCH(COLUMNS($AO$1006:AS1006),$AO$1006:$BQ$1006,0)), HYPERLINK("#",""), HYPERLINK(CONCATENATE("#Metadata!", ADDRESS(INDEX($AJ$2:$AJ$1001,MATCH(ROWS($AH$2:AH646),$AH$2:$AH$1001,0),0), INDEX($AO$1004:$BQ$1004,1,MATCH(COLUMNS($AO$1006:AS1006),$AO$1006:$BQ$1006,0)))),"Fix")))</f>
        <v>#N/A</v>
      </c>
      <c r="G646" s="5" t="e">
        <f ca="1">IF(OR(INDEX($AI$2:$AI$1001,MATCH(ROWS($AH$2:AH646),$AH$2:$AH$1001,0),1)&gt;=100000,INDEX($AO$1005:$BQ$1005,1,MATCH(COLUMNS($AO$1006:AT1006),$AO$1006:$BQ$1006,0))&gt;=100000), " ",IF(INDEX($AO$2:$BQ$1001,MATCH(ROWS($AH$2:AH646),$AH$2:$AH$1001,0),MATCH(COLUMNS($AO$1006:AT1006),$AO$1006:$BQ$1006,0)), HYPERLINK("#",""), HYPERLINK(CONCATENATE("#Metadata!", ADDRESS(INDEX($AJ$2:$AJ$1001,MATCH(ROWS($AH$2:AH646),$AH$2:$AH$1001,0),0), INDEX($AO$1004:$BQ$1004,1,MATCH(COLUMNS($AO$1006:AT1006),$AO$1006:$BQ$1006,0)))),"Fix")))</f>
        <v>#N/A</v>
      </c>
      <c r="H646" s="5" t="e">
        <f ca="1">IF(OR(INDEX($AI$2:$AI$1001,MATCH(ROWS($AH$2:AH646),$AH$2:$AH$1001,0),1)&gt;=100000,INDEX($AO$1005:$BQ$1005,1,MATCH(COLUMNS($AO$1006:AU1006),$AO$1006:$BQ$1006,0))&gt;=100000), " ",IF(INDEX($AO$2:$BQ$1001,MATCH(ROWS($AH$2:AH646),$AH$2:$AH$1001,0),MATCH(COLUMNS($AO$1006:AU1006),$AO$1006:$BQ$1006,0)), HYPERLINK("#",""), HYPERLINK(CONCATENATE("#Metadata!", ADDRESS(INDEX($AJ$2:$AJ$1001,MATCH(ROWS($AH$2:AH646),$AH$2:$AH$1001,0),0), INDEX($AO$1004:$BQ$1004,1,MATCH(COLUMNS($AO$1006:AU1006),$AO$1006:$BQ$1006,0)))),"Fix")))</f>
        <v>#N/A</v>
      </c>
      <c r="I646" s="5" t="e">
        <f ca="1">IF(OR(INDEX($AI$2:$AI$1001,MATCH(ROWS($AH$2:AH646),$AH$2:$AH$1001,0),1)&gt;=100000,INDEX($AO$1005:$BQ$1005,1,MATCH(COLUMNS($AO$1006:AV1006),$AO$1006:$BQ$1006,0))&gt;=100000), " ",IF(INDEX($AO$2:$BQ$1001,MATCH(ROWS($AH$2:AH646),$AH$2:$AH$1001,0),MATCH(COLUMNS($AO$1006:AV1006),$AO$1006:$BQ$1006,0)), HYPERLINK("#",""), HYPERLINK(CONCATENATE("#Metadata!", ADDRESS(INDEX($AJ$2:$AJ$1001,MATCH(ROWS($AH$2:AH646),$AH$2:$AH$1001,0),0), INDEX($AO$1004:$BQ$1004,1,MATCH(COLUMNS($AO$1006:AV1006),$AO$1006:$BQ$1006,0)))),"Fix")))</f>
        <v>#N/A</v>
      </c>
      <c r="J646" s="5" t="e">
        <f ca="1">IF(OR(INDEX($AI$2:$AI$1001,MATCH(ROWS($AH$2:AH646),$AH$2:$AH$1001,0),1)&gt;=100000,INDEX($AO$1005:$BQ$1005,1,MATCH(COLUMNS($AO$1006:AW1006),$AO$1006:$BQ$1006,0))&gt;=100000), " ",IF(INDEX($AO$2:$BQ$1001,MATCH(ROWS($AH$2:AH646),$AH$2:$AH$1001,0),MATCH(COLUMNS($AO$1006:AW1006),$AO$1006:$BQ$1006,0)), HYPERLINK("#",""), HYPERLINK(CONCATENATE("#Metadata!", ADDRESS(INDEX($AJ$2:$AJ$1001,MATCH(ROWS($AH$2:AH646),$AH$2:$AH$1001,0),0), INDEX($AO$1004:$BQ$1004,1,MATCH(COLUMNS($AO$1006:AW1006),$AO$1006:$BQ$1006,0)))),"Fix")))</f>
        <v>#N/A</v>
      </c>
      <c r="K646" s="5" t="e">
        <f ca="1">IF(OR(INDEX($AI$2:$AI$1001,MATCH(ROWS($AH$2:AH646),$AH$2:$AH$1001,0),1)&gt;=100000,INDEX($AO$1005:$BQ$1005,1,MATCH(COLUMNS($AO$1006:AX1006),$AO$1006:$BQ$1006,0))&gt;=100000), " ",IF(INDEX($AO$2:$BQ$1001,MATCH(ROWS($AH$2:AH646),$AH$2:$AH$1001,0),MATCH(COLUMNS($AO$1006:AX1006),$AO$1006:$BQ$1006,0)), HYPERLINK("#",""), HYPERLINK(CONCATENATE("#Metadata!", ADDRESS(INDEX($AJ$2:$AJ$1001,MATCH(ROWS($AH$2:AH646),$AH$2:$AH$1001,0),0), INDEX($AO$1004:$BQ$1004,1,MATCH(COLUMNS($AO$1006:AX1006),$AO$1006:$BQ$1006,0)))),"Fix")))</f>
        <v>#N/A</v>
      </c>
      <c r="L646" s="5" t="e">
        <f ca="1">IF(OR(INDEX($AI$2:$AI$1001,MATCH(ROWS($AH$2:AH646),$AH$2:$AH$1001,0),1)&gt;=100000,INDEX($AO$1005:$BQ$1005,1,MATCH(COLUMNS($AO$1006:AY1006),$AO$1006:$BQ$1006,0))&gt;=100000), " ",IF(INDEX($AO$2:$BQ$1001,MATCH(ROWS($AH$2:AH646),$AH$2:$AH$1001,0),MATCH(COLUMNS($AO$1006:AY1006),$AO$1006:$BQ$1006,0)), HYPERLINK("#",""), HYPERLINK(CONCATENATE("#Metadata!", ADDRESS(INDEX($AJ$2:$AJ$1001,MATCH(ROWS($AH$2:AH646),$AH$2:$AH$1001,0),0), INDEX($AO$1004:$BQ$1004,1,MATCH(COLUMNS($AO$1006:AY1006),$AO$1006:$BQ$1006,0)))),"Fix")))</f>
        <v>#N/A</v>
      </c>
      <c r="M646" s="5" t="e">
        <f ca="1">IF(OR(INDEX($AI$2:$AI$1001,MATCH(ROWS($AH$2:AH646),$AH$2:$AH$1001,0),1)&gt;=100000,INDEX($AO$1005:$BQ$1005,1,MATCH(COLUMNS($AO$1006:AZ1006),$AO$1006:$BQ$1006,0))&gt;=100000), " ",IF(INDEX($AO$2:$BQ$1001,MATCH(ROWS($AH$2:AH646),$AH$2:$AH$1001,0),MATCH(COLUMNS($AO$1006:AZ1006),$AO$1006:$BQ$1006,0)), HYPERLINK("#",""), HYPERLINK(CONCATENATE("#Metadata!", ADDRESS(INDEX($AJ$2:$AJ$1001,MATCH(ROWS($AH$2:AH646),$AH$2:$AH$1001,0),0), INDEX($AO$1004:$BQ$1004,1,MATCH(COLUMNS($AO$1006:AZ1006),$AO$1006:$BQ$1006,0)))),"Fix")))</f>
        <v>#N/A</v>
      </c>
      <c r="N646" s="5" t="e">
        <f ca="1">IF(OR(INDEX($AI$2:$AI$1001,MATCH(ROWS($AH$2:AH646),$AH$2:$AH$1001,0),1)&gt;=100000,INDEX($AO$1005:$BQ$1005,1,MATCH(COLUMNS($AO$1006:BA1006),$AO$1006:$BQ$1006,0))&gt;=100000), " ",IF(INDEX($AO$2:$BQ$1001,MATCH(ROWS($AH$2:AH646),$AH$2:$AH$1001,0),MATCH(COLUMNS($AO$1006:BA1006),$AO$1006:$BQ$1006,0)), HYPERLINK("#",""), HYPERLINK(CONCATENATE("#Metadata!", ADDRESS(INDEX($AJ$2:$AJ$1001,MATCH(ROWS($AH$2:AH646),$AH$2:$AH$1001,0),0), INDEX($AO$1004:$BQ$1004,1,MATCH(COLUMNS($AO$1006:BA1006),$AO$1006:$BQ$1006,0)))),"Fix")))</f>
        <v>#N/A</v>
      </c>
      <c r="O646" s="5" t="e">
        <f ca="1">IF(OR(INDEX($AI$2:$AI$1001,MATCH(ROWS($AH$2:AH646),$AH$2:$AH$1001,0),1)&gt;=100000,INDEX($AO$1005:$BQ$1005,1,MATCH(COLUMNS($AO$1006:BB1006),$AO$1006:$BQ$1006,0))&gt;=100000), " ",IF(INDEX($AO$2:$BQ$1001,MATCH(ROWS($AH$2:AH646),$AH$2:$AH$1001,0),MATCH(COLUMNS($AO$1006:BB1006),$AO$1006:$BQ$1006,0)), HYPERLINK("#",""), HYPERLINK(CONCATENATE("#Metadata!", ADDRESS(INDEX($AJ$2:$AJ$1001,MATCH(ROWS($AH$2:AH646),$AH$2:$AH$1001,0),0), INDEX($AO$1004:$BQ$1004,1,MATCH(COLUMNS($AO$1006:BB1006),$AO$1006:$BQ$1006,0)))),"Fix")))</f>
        <v>#N/A</v>
      </c>
      <c r="P646" s="5" t="e">
        <f ca="1">IF(OR(INDEX($AI$2:$AI$1001,MATCH(ROWS($AH$2:AH646),$AH$2:$AH$1001,0),1)&gt;=100000,INDEX($AO$1005:$BQ$1005,1,MATCH(COLUMNS($AO$1006:BC1006),$AO$1006:$BQ$1006,0))&gt;=100000), " ",IF(INDEX($AO$2:$BQ$1001,MATCH(ROWS($AH$2:AH646),$AH$2:$AH$1001,0),MATCH(COLUMNS($AO$1006:BC1006),$AO$1006:$BQ$1006,0)), HYPERLINK("#",""), HYPERLINK(CONCATENATE("#Metadata!", ADDRESS(INDEX($AJ$2:$AJ$1001,MATCH(ROWS($AH$2:AH646),$AH$2:$AH$1001,0),0), INDEX($AO$1004:$BQ$1004,1,MATCH(COLUMNS($AO$1006:BC1006),$AO$1006:$BQ$1006,0)))),"Fix")))</f>
        <v>#N/A</v>
      </c>
      <c r="Q646" s="5" t="e">
        <f ca="1">IF(OR(INDEX($AI$2:$AI$1001,MATCH(ROWS($AH$2:AH646),$AH$2:$AH$1001,0),1)&gt;=100000,INDEX($AO$1005:$BQ$1005,1,MATCH(COLUMNS($AO$1006:BD1006),$AO$1006:$BQ$1006,0))&gt;=100000), " ",IF(INDEX($AO$2:$BQ$1001,MATCH(ROWS($AH$2:AH646),$AH$2:$AH$1001,0),MATCH(COLUMNS($AO$1006:BD1006),$AO$1006:$BQ$1006,0)), HYPERLINK("#",""), HYPERLINK(CONCATENATE("#Metadata!", ADDRESS(INDEX($AJ$2:$AJ$1001,MATCH(ROWS($AH$2:AH646),$AH$2:$AH$1001,0),0), INDEX($AO$1004:$BQ$1004,1,MATCH(COLUMNS($AO$1006:BD1006),$AO$1006:$BQ$1006,0)))),"Fix")))</f>
        <v>#N/A</v>
      </c>
      <c r="R646" s="5" t="e">
        <f ca="1">IF(OR(INDEX($AI$2:$AI$1001,MATCH(ROWS($AH$2:AH646),$AH$2:$AH$1001,0),1)&gt;=100000,INDEX($AO$1005:$BQ$1005,1,MATCH(COLUMNS($AO$1006:BE1006),$AO$1006:$BQ$1006,0))&gt;=100000), " ",IF(INDEX($AO$2:$BQ$1001,MATCH(ROWS($AH$2:AH646),$AH$2:$AH$1001,0),MATCH(COLUMNS($AO$1006:BE1006),$AO$1006:$BQ$1006,0)), HYPERLINK("#",""), HYPERLINK(CONCATENATE("#Metadata!", ADDRESS(INDEX($AJ$2:$AJ$1001,MATCH(ROWS($AH$2:AH646),$AH$2:$AH$1001,0),0), INDEX($AO$1004:$BQ$1004,1,MATCH(COLUMNS($AO$1006:BE1006),$AO$1006:$BQ$1006,0)))),"Fix")))</f>
        <v>#N/A</v>
      </c>
      <c r="S646" s="5" t="e">
        <f ca="1">IF(OR(INDEX($AI$2:$AI$1001,MATCH(ROWS($AH$2:AH646),$AH$2:$AH$1001,0),1)&gt;=100000,INDEX($AO$1005:$BQ$1005,1,MATCH(COLUMNS($AO$1006:BF1006),$AO$1006:$BQ$1006,0))&gt;=100000), " ",IF(INDEX($AO$2:$BQ$1001,MATCH(ROWS($AH$2:AH646),$AH$2:$AH$1001,0),MATCH(COLUMNS($AO$1006:BF1006),$AO$1006:$BQ$1006,0)), HYPERLINK("#",""), HYPERLINK(CONCATENATE("#Metadata!", ADDRESS(INDEX($AJ$2:$AJ$1001,MATCH(ROWS($AH$2:AH646),$AH$2:$AH$1001,0),0), INDEX($AO$1004:$BQ$1004,1,MATCH(COLUMNS($AO$1006:BF1006),$AO$1006:$BQ$1006,0)))),"Fix")))</f>
        <v>#N/A</v>
      </c>
      <c r="T646" s="5" t="e">
        <f ca="1">IF(OR(INDEX($AI$2:$AI$1001,MATCH(ROWS($AH$2:AH646),$AH$2:$AH$1001,0),1)&gt;=100000,INDEX($AO$1005:$BQ$1005,1,MATCH(COLUMNS($AO$1006:BG1006),$AO$1006:$BQ$1006,0))&gt;=100000), " ",IF(INDEX($AO$2:$BQ$1001,MATCH(ROWS($AH$2:AH646),$AH$2:$AH$1001,0),MATCH(COLUMNS($AO$1006:BG1006),$AO$1006:$BQ$1006,0)), HYPERLINK("#",""), HYPERLINK(CONCATENATE("#Metadata!", ADDRESS(INDEX($AJ$2:$AJ$1001,MATCH(ROWS($AH$2:AH646),$AH$2:$AH$1001,0),0), INDEX($AO$1004:$BQ$1004,1,MATCH(COLUMNS($AO$1006:BG1006),$AO$1006:$BQ$1006,0)))),"Fix")))</f>
        <v>#N/A</v>
      </c>
      <c r="U646" s="5" t="e">
        <f ca="1">IF(OR(INDEX($AI$2:$AI$1001,MATCH(ROWS($AH$2:AH646),$AH$2:$AH$1001,0),1)&gt;=100000,INDEX($AO$1005:$BQ$1005,1,MATCH(COLUMNS($AO$1006:BH1006),$AO$1006:$BQ$1006,0))&gt;=100000), " ",IF(INDEX($AO$2:$BQ$1001,MATCH(ROWS($AH$2:AH646),$AH$2:$AH$1001,0),MATCH(COLUMNS($AO$1006:BH1006),$AO$1006:$BQ$1006,0)), HYPERLINK("#",""), HYPERLINK(CONCATENATE("#Metadata!", ADDRESS(INDEX($AJ$2:$AJ$1001,MATCH(ROWS($AH$2:AH646),$AH$2:$AH$1001,0),0), INDEX($AO$1004:$BQ$1004,1,MATCH(COLUMNS($AO$1006:BH1006),$AO$1006:$BQ$1006,0)))),"Fix")))</f>
        <v>#N/A</v>
      </c>
      <c r="V646" s="5" t="e">
        <f ca="1">IF(OR(INDEX($AI$2:$AI$1001,MATCH(ROWS($AH$2:AH646),$AH$2:$AH$1001,0),1)&gt;=100000,INDEX($AO$1005:$BQ$1005,1,MATCH(COLUMNS($AO$1006:BI1006),$AO$1006:$BQ$1006,0))&gt;=100000), " ",IF(INDEX($AO$2:$BQ$1001,MATCH(ROWS($AH$2:AH646),$AH$2:$AH$1001,0),MATCH(COLUMNS($AO$1006:BI1006),$AO$1006:$BQ$1006,0)), HYPERLINK("#",""), HYPERLINK(CONCATENATE("#Metadata!", ADDRESS(INDEX($AJ$2:$AJ$1001,MATCH(ROWS($AH$2:AH646),$AH$2:$AH$1001,0),0), INDEX($AO$1004:$BQ$1004,1,MATCH(COLUMNS($AO$1006:BI1006),$AO$1006:$BQ$1006,0)))),"Fix")))</f>
        <v>#N/A</v>
      </c>
      <c r="W646" s="5" t="e">
        <f ca="1">IF(OR(INDEX($AI$2:$AI$1001,MATCH(ROWS($AH$2:AH646),$AH$2:$AH$1001,0),1)&gt;=100000,INDEX($AO$1005:$BQ$1005,1,MATCH(COLUMNS($AO$1006:BJ1006),$AO$1006:$BQ$1006,0))&gt;=100000), " ",IF(INDEX($AO$2:$BQ$1001,MATCH(ROWS($AH$2:AH646),$AH$2:$AH$1001,0),MATCH(COLUMNS($AO$1006:BJ1006),$AO$1006:$BQ$1006,0)), HYPERLINK("#",""), HYPERLINK(CONCATENATE("#Metadata!", ADDRESS(INDEX($AJ$2:$AJ$1001,MATCH(ROWS($AH$2:AH646),$AH$2:$AH$1001,0),0), INDEX($AO$1004:$BQ$1004,1,MATCH(COLUMNS($AO$1006:BJ1006),$AO$1006:$BQ$1006,0)))),"Fix")))</f>
        <v>#N/A</v>
      </c>
      <c r="X646" s="5" t="e">
        <f ca="1">IF(OR(INDEX($AI$2:$AI$1001,MATCH(ROWS($AH$2:AH646),$AH$2:$AH$1001,0),1)&gt;=100000,INDEX($AO$1005:$BQ$1005,1,MATCH(COLUMNS($AO$1006:BK1006),$AO$1006:$BQ$1006,0))&gt;=100000), " ",IF(INDEX($AO$2:$BQ$1001,MATCH(ROWS($AH$2:AH646),$AH$2:$AH$1001,0),MATCH(COLUMNS($AO$1006:BK1006),$AO$1006:$BQ$1006,0)), HYPERLINK("#",""), HYPERLINK(CONCATENATE("#Metadata!", ADDRESS(INDEX($AJ$2:$AJ$1001,MATCH(ROWS($AH$2:AH646),$AH$2:$AH$1001,0),0), INDEX($AO$1004:$BQ$1004,1,MATCH(COLUMNS($AO$1006:BK1006),$AO$1006:$BQ$1006,0)))),"Fix")))</f>
        <v>#N/A</v>
      </c>
      <c r="Y646" s="5" t="e">
        <f ca="1">IF(OR(INDEX($AI$2:$AI$1001,MATCH(ROWS($AH$2:AH646),$AH$2:$AH$1001,0),1)&gt;=100000,INDEX($AO$1005:$BQ$1005,1,MATCH(COLUMNS($AO$1006:BL1006),$AO$1006:$BQ$1006,0))&gt;=100000), " ",IF(INDEX($AO$2:$BQ$1001,MATCH(ROWS($AH$2:AH646),$AH$2:$AH$1001,0),MATCH(COLUMNS($AO$1006:BL1006),$AO$1006:$BQ$1006,0)), HYPERLINK("#",""), HYPERLINK(CONCATENATE("#Metadata!", ADDRESS(INDEX($AJ$2:$AJ$1001,MATCH(ROWS($AH$2:AH646),$AH$2:$AH$1001,0),0), INDEX($AO$1004:$BQ$1004,1,MATCH(COLUMNS($AO$1006:BL1006),$AO$1006:$BQ$1006,0)))),"Fix")))</f>
        <v>#N/A</v>
      </c>
      <c r="Z646" s="5" t="e">
        <f ca="1">IF(OR(INDEX($AI$2:$AI$1001,MATCH(ROWS($AH$2:AH646),$AH$2:$AH$1001,0),1)&gt;=100000,INDEX($AO$1005:$BQ$1005,1,MATCH(COLUMNS($AO$1006:BM1006),$AO$1006:$BQ$1006,0))&gt;=100000), " ",IF(INDEX($AO$2:$BQ$1001,MATCH(ROWS($AH$2:AH646),$AH$2:$AH$1001,0),MATCH(COLUMNS($AO$1006:BM1006),$AO$1006:$BQ$1006,0)), HYPERLINK("#",""), HYPERLINK(CONCATENATE("#Metadata!", ADDRESS(INDEX($AJ$2:$AJ$1001,MATCH(ROWS($AH$2:AH646),$AH$2:$AH$1001,0),0), INDEX($AO$1004:$BQ$1004,1,MATCH(COLUMNS($AO$1006:BM1006),$AO$1006:$BQ$1006,0)))),"Fix")))</f>
        <v>#N/A</v>
      </c>
      <c r="AA646" s="5" t="e">
        <f ca="1">IF(OR(INDEX($AI$2:$AI$1001,MATCH(ROWS($AH$2:AH646),$AH$2:$AH$1001,0),1)&gt;=100000,INDEX($AO$1005:$BQ$1005,1,MATCH(COLUMNS($AO$1006:BN1006),$AO$1006:$BQ$1006,0))&gt;=100000), " ",IF(INDEX($AO$2:$BQ$1001,MATCH(ROWS($AH$2:AH646),$AH$2:$AH$1001,0),MATCH(COLUMNS($AO$1006:BN1006),$AO$1006:$BQ$1006,0)), HYPERLINK("#",""), HYPERLINK(CONCATENATE("#Metadata!", ADDRESS(INDEX($AJ$2:$AJ$1001,MATCH(ROWS($AH$2:AH646),$AH$2:$AH$1001,0),0), INDEX($AO$1004:$BQ$1004,1,MATCH(COLUMNS($AO$1006:BN1006),$AO$1006:$BQ$1006,0)))),"Fix")))</f>
        <v>#N/A</v>
      </c>
      <c r="AB646" s="5" t="e">
        <f ca="1">IF(OR(INDEX($AI$2:$AI$1001,MATCH(ROWS($AH$2:AH646),$AH$2:$AH$1001,0),1)&gt;=100000,INDEX($AO$1005:$BQ$1005,1,MATCH(COLUMNS($AO$1006:BO1006),$AO$1006:$BQ$1006,0))&gt;=100000), " ",IF(INDEX($AO$2:$BQ$1001,MATCH(ROWS($AH$2:AH646),$AH$2:$AH$1001,0),MATCH(COLUMNS($AO$1006:BO1006),$AO$1006:$BQ$1006,0)), HYPERLINK("#",""), HYPERLINK(CONCATENATE("#Metadata!", ADDRESS(INDEX($AJ$2:$AJ$1001,MATCH(ROWS($AH$2:AH646),$AH$2:$AH$1001,0),0), INDEX($AO$1004:$BQ$1004,1,MATCH(COLUMNS($AO$1006:BO1006),$AO$1006:$BQ$1006,0)))),"Fix")))</f>
        <v>#N/A</v>
      </c>
      <c r="AC646" s="5" t="e">
        <f ca="1">IF(OR(INDEX($AI$2:$AI$1001,MATCH(ROWS($AH$2:AH646),$AH$2:$AH$1001,0),1)&gt;=100000,INDEX($AO$1005:$BQ$1005,1,MATCH(COLUMNS($AO$1006:BP1006),$AO$1006:$BQ$1006,0))&gt;=100000), " ",IF(INDEX($AO$2:$BQ$1001,MATCH(ROWS($AH$2:AH646),$AH$2:$AH$1001,0),MATCH(COLUMNS($AO$1006:BP1006),$AO$1006:$BQ$1006,0)), HYPERLINK("#",""), HYPERLINK(CONCATENATE("#Metadata!", ADDRESS(INDEX($AJ$2:$AJ$1001,MATCH(ROWS($AH$2:AH646),$AH$2:$AH$1001,0),0), INDEX($AO$1004:$BQ$1004,1,MATCH(COLUMNS($AO$1006:BP1006),$AO$1006:$BQ$1006,0)))),"Fix")))</f>
        <v>#N/A</v>
      </c>
      <c r="AD646" s="5" t="e">
        <f ca="1">IF(OR(INDEX($AI$2:$AI$1001,MATCH(ROWS($AH$2:AH646),$AH$2:$AH$1001,0),1)&gt;=100000,INDEX($AO$1005:$BQ$1005,1,MATCH(COLUMNS($AO$1006:BQ1006),$AO$1006:$BQ$1006,0))&gt;=100000), " ",IF(INDEX($AO$2:$BQ$1001,MATCH(ROWS($AH$2:AH646),$AH$2:$AH$1001,0),MATCH(COLUMNS($AO$1006:BQ1006),$AO$1006:$BQ$1006,0)), HYPERLINK("#",""), HYPERLINK(CONCATENATE("#Metadata!", ADDRESS(INDEX($AJ$2:$AJ$1001,MATCH(ROWS($AH$2:AH646),$AH$2:$AH$1001,0),0), INDEX($AO$1004:$BQ$1004,1,MATCH(COLUMNS($AO$1006:BQ1006),$AO$1006:$BQ$1006,0)))),"Fix")))</f>
        <v>#REF!</v>
      </c>
      <c r="AH646">
        <f ca="1"/>
        <v>643</v>
      </c>
      <c r="AI646">
        <v>100646</v>
      </c>
      <c r="AJ646">
        <v>646</v>
      </c>
      <c r="AK646" t="b">
        <f t="shared" si="10"/>
        <v>1</v>
      </c>
      <c r="AL646" t="b">
        <f>COUNTBLANK(Metadata!B646:AD646)=COLUMNS(Metadata!B646:AD646)</f>
        <v>1</v>
      </c>
      <c r="AM646" t="str">
        <v/>
      </c>
      <c r="AO646" t="b">
        <f ca="1">AND(IF(Metadata!B646="",FALSE,TRUE),COUNTIF(Metadata!B:B, Metadata!B646) = 1,NOT(ISERROR(SUMPRODUCT(SEARCH(MID(Metadata!B646,ROW(INDIRECT("1:"&amp;LEN(Metadata!B646))), 1),"0123456789abcdefghijklmnopqrstuvwxyzABCDEFGHIJKLMNOPQRSTUVWXYZ.")))))</f>
        <v>0</v>
      </c>
      <c r="AP646" t="b">
        <f>IF(Metadata!C646="",FALSE,TRUE)</f>
        <v>0</v>
      </c>
      <c r="AQ646" t="b">
        <f>IF(Metadata!D646="",FALSE,TRUE)</f>
        <v>0</v>
      </c>
      <c r="AR646" t="b">
        <f ca="1">OR(AND(IF(Metadata!E646="",FALSE,TRUE),OR(EXACT(Metadata!E646,"not collected"),EXACT(Metadata!E646,"not provided"),EXACT(Metadata!E646,"restricted access"))),AND(IF(Metadata!E646="",FALSE,TRUE),AND(AND(IFERROR(INT(LEFT(Metadata!E646,4))&gt;1900,FALSE),IFERROR(INT(LEFT(Metadata!E646,4))&lt;=YEAR(NOW()),FALSE)), OR(MID(Metadata!E646,5,1)="", AND(AND(MID(Metadata!E646,5,1)="-",IFERROR(INT(MID(Metadata!E646,6,1))&gt;=0,FALSE),IFERROR(INT(MID(Metadata!E646,6,1))&lt;=1,FALSE),NOT(MID(Metadata!E646,7,1)=""),IFERROR(INT(MID(Metadata!E646,6,2))&gt;=1,FALSE),IFERROR(INT(MID(Metadata!E646,6,2))&lt;=12,FALSE)), OR(MID(Metadata!E646,8,1)="", AND(AND(MID(Metadata!E646,8,1)="-",IFERROR(INT(MID(Metadata!E646,9,1))&gt;=0,FALSE),IFERROR(INT(MID(Metadata!E646,9,1))&lt;=3,FALSE),NOT(MID(Metadata!E646,10,1)=""),IFERROR(INT(MID(Metadata!E646,9,2))&gt;=1,FALSE),IFERROR(INT(MID(Metadata!E646,9,2))&lt;=31,FALSE)), OR(MID(Metadata!E646,11,1)="", AND(AND(MID(Metadata!E646,11,1)=" ",IFERROR(INT(MID(Metadata!E646,12,1))&gt;=0,FALSE),IFERROR(INT(MID(Metadata!E646,12,1))&lt;=2,FALSE),NOT(MID(Metadata!E646,13,1)=""),IFERROR(INT(MID(Metadata!E646,12,2))&gt;=0,FALSE),IFERROR(INT(MID(Metadata!E646,12,2))&lt;=23,FALSE)), OR(MID(Metadata!E646,14,1)="", AND(AND(MID(Metadata!E646,14,1)=":",IFERROR(INT(MID(Metadata!E646,15,1))&gt;=0,FALSE),IFERROR(INT(MID(Metadata!E646,15,1))&lt;=5,FALSE),NOT(MID(Metadata!E646,16,1)=""),IFERROR(INT(MID(Metadata!E646,15,2))&gt;=0,FALSE),IFERROR(INT(MID(Metadata!E646,15,2))&lt;=59,FALSE)), OR(MID(Metadata!E646,17,1)="", AND(AND(MID(Metadata!E646,17,1)=":",IFERROR(INT(MID(Metadata!E646,18,1))&gt;=0,FALSE),IFERROR(INT(MID(Metadata!E646,18,1))&lt;=5,FALSE),NOT(MID(Metadata!E646,19,1)=""),IFERROR(INT(MID(Metadata!E646,18,2))&gt;=0,FALSE),IFERROR(INT(MID(Metadata!E646,18,2))&lt;=59,FALSE)), LEN(Metadata!E646)&lt;=19)))))))))))))</f>
        <v>0</v>
      </c>
      <c r="AS646" t="b">
        <f>IF(Metadata!F646="",FALSE,TRUE)</f>
        <v>0</v>
      </c>
      <c r="AT646" t="b">
        <f>OR(AND(IF(Metadata!G646="",FALSE,TRUE),OR(EXACT(Metadata!G646,"not collected"),EXACT(Metadata!G646,"not provided"))),AND(IF(Metadata!G646="",FALSE,TRUE),OR(EXACT(Metadata!G646,"TRUE"),EXACT(Metadata!G646,"FALSE"))))</f>
        <v>0</v>
      </c>
      <c r="AU646" t="b">
        <f>OR(AND(IF(Metadata!H646="",FALSE,TRUE),OR(EXACT(Metadata!H646,"not collected"),EXACT(Metadata!H646,"not provided"),EXACT(Metadata!H646,"restricted access"))),AND(IF(Metadata!H646="",FALSE,ISNUMBER(VALUE(Metadata!H646))),Metadata!H646&gt;=-413))</f>
        <v>0</v>
      </c>
      <c r="AV646" t="b">
        <f>AND(IF(Metadata!I646="",FALSE,TRUE),EXACT(Metadata!I646,"meters"))</f>
        <v>0</v>
      </c>
      <c r="AW646" t="b">
        <f>AND(IF(Metadata!J646="",FALSE,TRUE),EXACT(Metadata!J646,"free-living"))</f>
        <v>0</v>
      </c>
      <c r="AX646" t="b">
        <f>AND(IF(Metadata!K646="",FALSE,TRUE),OR(EXACT(Metadata!K646,"saline"),EXACT(Metadata!K646,"non-saline")))</f>
        <v>0</v>
      </c>
      <c r="AY646" t="b">
        <f>AND(IF(Metadata!L646="",FALSE,TRUE),OR(EXACT(Metadata!L646,"sub-surface (non-saline)"),EXACT(Metadata!L646,"surface (non-saline)"),EXACT(Metadata!L646,"water (non-saline)"),EXACT(Metadata!L646,"soil (non-saline)"),EXACT(Metadata!L646,"aerosol (non-saline)"),EXACT(Metadata!L646,"sediment (non-saline)"),EXACT(Metadata!L646,"surface (saline)"),EXACT(Metadata!L646,"water (saline)"),EXACT(Metadata!L646,"hypersaline (saline)"),EXACT(Metadata!L646,"aerosol (saline)"),EXACT(Metadata!L646,"sediment (saline)")))</f>
        <v>0</v>
      </c>
      <c r="AZ646" t="b">
        <f>IF(Metadata!M646="",FALSE,TRUE)</f>
        <v>0</v>
      </c>
      <c r="BA646" t="b">
        <f>IF(Metadata!N646="",FALSE,TRUE)</f>
        <v>0</v>
      </c>
      <c r="BB646" t="b">
        <f>IF(Metadata!O646="",FALSE,TRUE)</f>
        <v>0</v>
      </c>
      <c r="BC646" t="b">
        <f>AND(IF(Metadata!P646="",FALSE,TRUE),OR(EXACT(Metadata!P646,"air"),EXACT(Metadata!P646,"microbial mat/biofilm"),EXACT(Metadata!P646,"misc environment"),EXACT(Metadata!P646,"sediment"),EXACT(Metadata!P646,"soil"),EXACT(Metadata!P646,"wastewater/sludge"),EXACT(Metadata!P646,"water")))</f>
        <v>0</v>
      </c>
      <c r="BD646" t="b">
        <f>IF(Metadata!Q646="",FALSE,TRUE)</f>
        <v>0</v>
      </c>
      <c r="BE646" t="b">
        <f>IF(Metadata!R646="",FALSE,TRUE)</f>
        <v>0</v>
      </c>
      <c r="BF646" t="b">
        <f>OR(AND(IF(Metadata!S646="",FALSE,TRUE),OR(EXACT(Metadata!S646,"not collected"),EXACT(Metadata!S646,"not provided"),EXACT(Metadata!S646,"restricted access"))),AND(IF(Metadata!S646="",FALSE,ISNUMBER(VALUE(Metadata!S646))),Metadata!S646&gt;=-90,Metadata!S646&lt;=90))</f>
        <v>0</v>
      </c>
      <c r="BG646" t="b">
        <f>AND(IF(Metadata!T646="",FALSE,TRUE),EXACT(Metadata!T646,"Decimal degrees"))</f>
        <v>0</v>
      </c>
      <c r="BH646" t="b">
        <f>OR(AND(IF(Metadata!U646="",FALSE,TRUE),OR(EXACT(Metadata!U646,"not applicable"),EXACT(Metadata!U646,"not collected"))),IF(Metadata!U646="",FALSE,TRUE))</f>
        <v>0</v>
      </c>
      <c r="BI646" t="b">
        <f>OR(AND(IF(Metadata!V646="",FALSE,TRUE),OR(EXACT(Metadata!V646,"not collected"),EXACT(Metadata!V646,"not provided"),EXACT(Metadata!V646,"restricted access"))),AND(IF(Metadata!V646="",FALSE,ISNUMBER(VALUE(Metadata!V646))),Metadata!V646&gt;=-180,Metadata!V646&lt;=180))</f>
        <v>0</v>
      </c>
      <c r="BJ646" t="b">
        <f>AND(IF(Metadata!W646="",FALSE,TRUE),EXACT(Metadata!W646,"Decimal degrees"))</f>
        <v>0</v>
      </c>
      <c r="BK646" t="b">
        <f>IF(Metadata!X646="",FALSE,TRUE)</f>
        <v>0</v>
      </c>
      <c r="BL646" t="b">
        <f>OR(AND(IF(Metadata!Y646="",FALSE,TRUE),OR(EXACT(Metadata!Y646,"not collected"),EXACT(Metadata!Y646,"not provided"),EXACT(Metadata!Y646,"restricted access"))),AND(IF(Metadata!Y646="",FALSE,TRUE),OR(EXACT(Metadata!Y646,"TRUE"),EXACT(Metadata!Y646,"FALSE"))))</f>
        <v>0</v>
      </c>
      <c r="BM646" t="b">
        <f>OR(AND(IF(Metadata!Z646="",FALSE,TRUE),EXACT(Metadata!Z646,"not applicable")),AND(IF(Metadata!Z646="",FALSE,TRUE),OR(EXACT(Metadata!Z646,"beer"),EXACT(Metadata!Z646,"cheese"),EXACT(Metadata!Z646,"fresh water"),EXACT(Metadata!Z646,"marine sediment"),EXACT(Metadata!Z646,"sea water"),EXACT(Metadata!Z646,"sediment"),EXACT(Metadata!Z646,"soil"),EXACT(Metadata!Z646,"waste water"))))</f>
        <v>0</v>
      </c>
      <c r="BN646" t="b">
        <f>AND(IF(Metadata!AA646="",FALSE,TRUE),EXACT(Metadata!AA646,"metagenome"))</f>
        <v>0</v>
      </c>
      <c r="BO646" t="b">
        <f>AND(IF(Metadata!AB646="",FALSE,TRUE),EXACT(Metadata!AB646,"256318"))</f>
        <v>0</v>
      </c>
      <c r="BP646" t="b">
        <f>IF(Metadata!AC646="",FALSE,TRUE)</f>
        <v>0</v>
      </c>
      <c r="BQ646" t="b">
        <f>IF(Metadata!AD646="",FALSE,TRUE)</f>
        <v>0</v>
      </c>
    </row>
    <row r="647" spans="1:69" x14ac:dyDescent="0.2">
      <c r="A647" s="4" t="e">
        <f ca="1">IF(B647=" "," ",HYPERLINK(CONCATENATE("#metadata!",ADDRESS(INDEX($AJ$2:$AJ$1001,MATCH(ROWS($AH$2:AH647),$AH$2:$AH$1001,0),0),2)),INDEX($AM$2:$AM$1001,MATCH(ROWS($AH$2:AH647),$AH$2:$AH$1001,0),0)))</f>
        <v>#N/A</v>
      </c>
      <c r="B647" s="5" t="e">
        <f ca="1">IF(OR(INDEX($AI$2:$AI$1001,MATCH(ROWS($AH$2:AH647),$AH$2:$AH$1001,0),1)&gt;=100000,INDEX($AO$1005:$BQ$1005,1,MATCH(COLUMNS($AO$1006:AO1006),$AO$1006:$BQ$1006,0))&gt;=100000), " ",IF(INDEX($AO$2:$BQ$1001,MATCH(ROWS($AH$2:AH647),$AH$2:$AH$1001,0),MATCH(COLUMNS($AO$1006:AO1006),$AO$1006:$BQ$1006,0)), HYPERLINK("#",""), HYPERLINK(CONCATENATE("#Metadata!", ADDRESS(INDEX($AJ$2:$AJ$1001,MATCH(ROWS($AH$2:AH647),$AH$2:$AH$1001,0),0), INDEX($AO$1004:$BQ$1004,1,MATCH(COLUMNS($AO$1006:AO1006),$AO$1006:$BQ$1006,0)))),"Fix")))</f>
        <v>#N/A</v>
      </c>
      <c r="C647" s="5" t="e">
        <f ca="1">IF(OR(INDEX($AI$2:$AI$1001,MATCH(ROWS($AH$2:AH647),$AH$2:$AH$1001,0),1)&gt;=100000,INDEX($AO$1005:$BQ$1005,1,MATCH(COLUMNS($AO$1006:AP1006),$AO$1006:$BQ$1006,0))&gt;=100000), " ",IF(INDEX($AO$2:$BQ$1001,MATCH(ROWS($AH$2:AH647),$AH$2:$AH$1001,0),MATCH(COLUMNS($AO$1006:AP1006),$AO$1006:$BQ$1006,0)), HYPERLINK("#",""), HYPERLINK(CONCATENATE("#Metadata!", ADDRESS(INDEX($AJ$2:$AJ$1001,MATCH(ROWS($AH$2:AH647),$AH$2:$AH$1001,0),0), INDEX($AO$1004:$BQ$1004,1,MATCH(COLUMNS($AO$1006:AP1006),$AO$1006:$BQ$1006,0)))),"Fix")))</f>
        <v>#N/A</v>
      </c>
      <c r="D647" s="5" t="e">
        <f ca="1">IF(OR(INDEX($AI$2:$AI$1001,MATCH(ROWS($AH$2:AH647),$AH$2:$AH$1001,0),1)&gt;=100000,INDEX($AO$1005:$BQ$1005,1,MATCH(COLUMNS($AO$1006:AQ1006),$AO$1006:$BQ$1006,0))&gt;=100000), " ",IF(INDEX($AO$2:$BQ$1001,MATCH(ROWS($AH$2:AH647),$AH$2:$AH$1001,0),MATCH(COLUMNS($AO$1006:AQ1006),$AO$1006:$BQ$1006,0)), HYPERLINK("#",""), HYPERLINK(CONCATENATE("#Metadata!", ADDRESS(INDEX($AJ$2:$AJ$1001,MATCH(ROWS($AH$2:AH647),$AH$2:$AH$1001,0),0), INDEX($AO$1004:$BQ$1004,1,MATCH(COLUMNS($AO$1006:AQ1006),$AO$1006:$BQ$1006,0)))),"Fix")))</f>
        <v>#N/A</v>
      </c>
      <c r="E647" s="5" t="e">
        <f ca="1">IF(OR(INDEX($AI$2:$AI$1001,MATCH(ROWS($AH$2:AH647),$AH$2:$AH$1001,0),1)&gt;=100000,INDEX($AO$1005:$BQ$1005,1,MATCH(COLUMNS($AO$1006:AR1006),$AO$1006:$BQ$1006,0))&gt;=100000), " ",IF(INDEX($AO$2:$BQ$1001,MATCH(ROWS($AH$2:AH647),$AH$2:$AH$1001,0),MATCH(COLUMNS($AO$1006:AR1006),$AO$1006:$BQ$1006,0)), HYPERLINK("#",""), HYPERLINK(CONCATENATE("#Metadata!", ADDRESS(INDEX($AJ$2:$AJ$1001,MATCH(ROWS($AH$2:AH647),$AH$2:$AH$1001,0),0), INDEX($AO$1004:$BQ$1004,1,MATCH(COLUMNS($AO$1006:AR1006),$AO$1006:$BQ$1006,0)))),"Fix")))</f>
        <v>#N/A</v>
      </c>
      <c r="F647" s="5" t="e">
        <f ca="1">IF(OR(INDEX($AI$2:$AI$1001,MATCH(ROWS($AH$2:AH647),$AH$2:$AH$1001,0),1)&gt;=100000,INDEX($AO$1005:$BQ$1005,1,MATCH(COLUMNS($AO$1006:AS1006),$AO$1006:$BQ$1006,0))&gt;=100000), " ",IF(INDEX($AO$2:$BQ$1001,MATCH(ROWS($AH$2:AH647),$AH$2:$AH$1001,0),MATCH(COLUMNS($AO$1006:AS1006),$AO$1006:$BQ$1006,0)), HYPERLINK("#",""), HYPERLINK(CONCATENATE("#Metadata!", ADDRESS(INDEX($AJ$2:$AJ$1001,MATCH(ROWS($AH$2:AH647),$AH$2:$AH$1001,0),0), INDEX($AO$1004:$BQ$1004,1,MATCH(COLUMNS($AO$1006:AS1006),$AO$1006:$BQ$1006,0)))),"Fix")))</f>
        <v>#N/A</v>
      </c>
      <c r="G647" s="5" t="e">
        <f ca="1">IF(OR(INDEX($AI$2:$AI$1001,MATCH(ROWS($AH$2:AH647),$AH$2:$AH$1001,0),1)&gt;=100000,INDEX($AO$1005:$BQ$1005,1,MATCH(COLUMNS($AO$1006:AT1006),$AO$1006:$BQ$1006,0))&gt;=100000), " ",IF(INDEX($AO$2:$BQ$1001,MATCH(ROWS($AH$2:AH647),$AH$2:$AH$1001,0),MATCH(COLUMNS($AO$1006:AT1006),$AO$1006:$BQ$1006,0)), HYPERLINK("#",""), HYPERLINK(CONCATENATE("#Metadata!", ADDRESS(INDEX($AJ$2:$AJ$1001,MATCH(ROWS($AH$2:AH647),$AH$2:$AH$1001,0),0), INDEX($AO$1004:$BQ$1004,1,MATCH(COLUMNS($AO$1006:AT1006),$AO$1006:$BQ$1006,0)))),"Fix")))</f>
        <v>#N/A</v>
      </c>
      <c r="H647" s="5" t="e">
        <f ca="1">IF(OR(INDEX($AI$2:$AI$1001,MATCH(ROWS($AH$2:AH647),$AH$2:$AH$1001,0),1)&gt;=100000,INDEX($AO$1005:$BQ$1005,1,MATCH(COLUMNS($AO$1006:AU1006),$AO$1006:$BQ$1006,0))&gt;=100000), " ",IF(INDEX($AO$2:$BQ$1001,MATCH(ROWS($AH$2:AH647),$AH$2:$AH$1001,0),MATCH(COLUMNS($AO$1006:AU1006),$AO$1006:$BQ$1006,0)), HYPERLINK("#",""), HYPERLINK(CONCATENATE("#Metadata!", ADDRESS(INDEX($AJ$2:$AJ$1001,MATCH(ROWS($AH$2:AH647),$AH$2:$AH$1001,0),0), INDEX($AO$1004:$BQ$1004,1,MATCH(COLUMNS($AO$1006:AU1006),$AO$1006:$BQ$1006,0)))),"Fix")))</f>
        <v>#N/A</v>
      </c>
      <c r="I647" s="5" t="e">
        <f ca="1">IF(OR(INDEX($AI$2:$AI$1001,MATCH(ROWS($AH$2:AH647),$AH$2:$AH$1001,0),1)&gt;=100000,INDEX($AO$1005:$BQ$1005,1,MATCH(COLUMNS($AO$1006:AV1006),$AO$1006:$BQ$1006,0))&gt;=100000), " ",IF(INDEX($AO$2:$BQ$1001,MATCH(ROWS($AH$2:AH647),$AH$2:$AH$1001,0),MATCH(COLUMNS($AO$1006:AV1006),$AO$1006:$BQ$1006,0)), HYPERLINK("#",""), HYPERLINK(CONCATENATE("#Metadata!", ADDRESS(INDEX($AJ$2:$AJ$1001,MATCH(ROWS($AH$2:AH647),$AH$2:$AH$1001,0),0), INDEX($AO$1004:$BQ$1004,1,MATCH(COLUMNS($AO$1006:AV1006),$AO$1006:$BQ$1006,0)))),"Fix")))</f>
        <v>#N/A</v>
      </c>
      <c r="J647" s="5" t="e">
        <f ca="1">IF(OR(INDEX($AI$2:$AI$1001,MATCH(ROWS($AH$2:AH647),$AH$2:$AH$1001,0),1)&gt;=100000,INDEX($AO$1005:$BQ$1005,1,MATCH(COLUMNS($AO$1006:AW1006),$AO$1006:$BQ$1006,0))&gt;=100000), " ",IF(INDEX($AO$2:$BQ$1001,MATCH(ROWS($AH$2:AH647),$AH$2:$AH$1001,0),MATCH(COLUMNS($AO$1006:AW1006),$AO$1006:$BQ$1006,0)), HYPERLINK("#",""), HYPERLINK(CONCATENATE("#Metadata!", ADDRESS(INDEX($AJ$2:$AJ$1001,MATCH(ROWS($AH$2:AH647),$AH$2:$AH$1001,0),0), INDEX($AO$1004:$BQ$1004,1,MATCH(COLUMNS($AO$1006:AW1006),$AO$1006:$BQ$1006,0)))),"Fix")))</f>
        <v>#N/A</v>
      </c>
      <c r="K647" s="5" t="e">
        <f ca="1">IF(OR(INDEX($AI$2:$AI$1001,MATCH(ROWS($AH$2:AH647),$AH$2:$AH$1001,0),1)&gt;=100000,INDEX($AO$1005:$BQ$1005,1,MATCH(COLUMNS($AO$1006:AX1006),$AO$1006:$BQ$1006,0))&gt;=100000), " ",IF(INDEX($AO$2:$BQ$1001,MATCH(ROWS($AH$2:AH647),$AH$2:$AH$1001,0),MATCH(COLUMNS($AO$1006:AX1006),$AO$1006:$BQ$1006,0)), HYPERLINK("#",""), HYPERLINK(CONCATENATE("#Metadata!", ADDRESS(INDEX($AJ$2:$AJ$1001,MATCH(ROWS($AH$2:AH647),$AH$2:$AH$1001,0),0), INDEX($AO$1004:$BQ$1004,1,MATCH(COLUMNS($AO$1006:AX1006),$AO$1006:$BQ$1006,0)))),"Fix")))</f>
        <v>#N/A</v>
      </c>
      <c r="L647" s="5" t="e">
        <f ca="1">IF(OR(INDEX($AI$2:$AI$1001,MATCH(ROWS($AH$2:AH647),$AH$2:$AH$1001,0),1)&gt;=100000,INDEX($AO$1005:$BQ$1005,1,MATCH(COLUMNS($AO$1006:AY1006),$AO$1006:$BQ$1006,0))&gt;=100000), " ",IF(INDEX($AO$2:$BQ$1001,MATCH(ROWS($AH$2:AH647),$AH$2:$AH$1001,0),MATCH(COLUMNS($AO$1006:AY1006),$AO$1006:$BQ$1006,0)), HYPERLINK("#",""), HYPERLINK(CONCATENATE("#Metadata!", ADDRESS(INDEX($AJ$2:$AJ$1001,MATCH(ROWS($AH$2:AH647),$AH$2:$AH$1001,0),0), INDEX($AO$1004:$BQ$1004,1,MATCH(COLUMNS($AO$1006:AY1006),$AO$1006:$BQ$1006,0)))),"Fix")))</f>
        <v>#N/A</v>
      </c>
      <c r="M647" s="5" t="e">
        <f ca="1">IF(OR(INDEX($AI$2:$AI$1001,MATCH(ROWS($AH$2:AH647),$AH$2:$AH$1001,0),1)&gt;=100000,INDEX($AO$1005:$BQ$1005,1,MATCH(COLUMNS($AO$1006:AZ1006),$AO$1006:$BQ$1006,0))&gt;=100000), " ",IF(INDEX($AO$2:$BQ$1001,MATCH(ROWS($AH$2:AH647),$AH$2:$AH$1001,0),MATCH(COLUMNS($AO$1006:AZ1006),$AO$1006:$BQ$1006,0)), HYPERLINK("#",""), HYPERLINK(CONCATENATE("#Metadata!", ADDRESS(INDEX($AJ$2:$AJ$1001,MATCH(ROWS($AH$2:AH647),$AH$2:$AH$1001,0),0), INDEX($AO$1004:$BQ$1004,1,MATCH(COLUMNS($AO$1006:AZ1006),$AO$1006:$BQ$1006,0)))),"Fix")))</f>
        <v>#N/A</v>
      </c>
      <c r="N647" s="5" t="e">
        <f ca="1">IF(OR(INDEX($AI$2:$AI$1001,MATCH(ROWS($AH$2:AH647),$AH$2:$AH$1001,0),1)&gt;=100000,INDEX($AO$1005:$BQ$1005,1,MATCH(COLUMNS($AO$1006:BA1006),$AO$1006:$BQ$1006,0))&gt;=100000), " ",IF(INDEX($AO$2:$BQ$1001,MATCH(ROWS($AH$2:AH647),$AH$2:$AH$1001,0),MATCH(COLUMNS($AO$1006:BA1006),$AO$1006:$BQ$1006,0)), HYPERLINK("#",""), HYPERLINK(CONCATENATE("#Metadata!", ADDRESS(INDEX($AJ$2:$AJ$1001,MATCH(ROWS($AH$2:AH647),$AH$2:$AH$1001,0),0), INDEX($AO$1004:$BQ$1004,1,MATCH(COLUMNS($AO$1006:BA1006),$AO$1006:$BQ$1006,0)))),"Fix")))</f>
        <v>#N/A</v>
      </c>
      <c r="O647" s="5" t="e">
        <f ca="1">IF(OR(INDEX($AI$2:$AI$1001,MATCH(ROWS($AH$2:AH647),$AH$2:$AH$1001,0),1)&gt;=100000,INDEX($AO$1005:$BQ$1005,1,MATCH(COLUMNS($AO$1006:BB1006),$AO$1006:$BQ$1006,0))&gt;=100000), " ",IF(INDEX($AO$2:$BQ$1001,MATCH(ROWS($AH$2:AH647),$AH$2:$AH$1001,0),MATCH(COLUMNS($AO$1006:BB1006),$AO$1006:$BQ$1006,0)), HYPERLINK("#",""), HYPERLINK(CONCATENATE("#Metadata!", ADDRESS(INDEX($AJ$2:$AJ$1001,MATCH(ROWS($AH$2:AH647),$AH$2:$AH$1001,0),0), INDEX($AO$1004:$BQ$1004,1,MATCH(COLUMNS($AO$1006:BB1006),$AO$1006:$BQ$1006,0)))),"Fix")))</f>
        <v>#N/A</v>
      </c>
      <c r="P647" s="5" t="e">
        <f ca="1">IF(OR(INDEX($AI$2:$AI$1001,MATCH(ROWS($AH$2:AH647),$AH$2:$AH$1001,0),1)&gt;=100000,INDEX($AO$1005:$BQ$1005,1,MATCH(COLUMNS($AO$1006:BC1006),$AO$1006:$BQ$1006,0))&gt;=100000), " ",IF(INDEX($AO$2:$BQ$1001,MATCH(ROWS($AH$2:AH647),$AH$2:$AH$1001,0),MATCH(COLUMNS($AO$1006:BC1006),$AO$1006:$BQ$1006,0)), HYPERLINK("#",""), HYPERLINK(CONCATENATE("#Metadata!", ADDRESS(INDEX($AJ$2:$AJ$1001,MATCH(ROWS($AH$2:AH647),$AH$2:$AH$1001,0),0), INDEX($AO$1004:$BQ$1004,1,MATCH(COLUMNS($AO$1006:BC1006),$AO$1006:$BQ$1006,0)))),"Fix")))</f>
        <v>#N/A</v>
      </c>
      <c r="Q647" s="5" t="e">
        <f ca="1">IF(OR(INDEX($AI$2:$AI$1001,MATCH(ROWS($AH$2:AH647),$AH$2:$AH$1001,0),1)&gt;=100000,INDEX($AO$1005:$BQ$1005,1,MATCH(COLUMNS($AO$1006:BD1006),$AO$1006:$BQ$1006,0))&gt;=100000), " ",IF(INDEX($AO$2:$BQ$1001,MATCH(ROWS($AH$2:AH647),$AH$2:$AH$1001,0),MATCH(COLUMNS($AO$1006:BD1006),$AO$1006:$BQ$1006,0)), HYPERLINK("#",""), HYPERLINK(CONCATENATE("#Metadata!", ADDRESS(INDEX($AJ$2:$AJ$1001,MATCH(ROWS($AH$2:AH647),$AH$2:$AH$1001,0),0), INDEX($AO$1004:$BQ$1004,1,MATCH(COLUMNS($AO$1006:BD1006),$AO$1006:$BQ$1006,0)))),"Fix")))</f>
        <v>#N/A</v>
      </c>
      <c r="R647" s="5" t="e">
        <f ca="1">IF(OR(INDEX($AI$2:$AI$1001,MATCH(ROWS($AH$2:AH647),$AH$2:$AH$1001,0),1)&gt;=100000,INDEX($AO$1005:$BQ$1005,1,MATCH(COLUMNS($AO$1006:BE1006),$AO$1006:$BQ$1006,0))&gt;=100000), " ",IF(INDEX($AO$2:$BQ$1001,MATCH(ROWS($AH$2:AH647),$AH$2:$AH$1001,0),MATCH(COLUMNS($AO$1006:BE1006),$AO$1006:$BQ$1006,0)), HYPERLINK("#",""), HYPERLINK(CONCATENATE("#Metadata!", ADDRESS(INDEX($AJ$2:$AJ$1001,MATCH(ROWS($AH$2:AH647),$AH$2:$AH$1001,0),0), INDEX($AO$1004:$BQ$1004,1,MATCH(COLUMNS($AO$1006:BE1006),$AO$1006:$BQ$1006,0)))),"Fix")))</f>
        <v>#N/A</v>
      </c>
      <c r="S647" s="5" t="e">
        <f ca="1">IF(OR(INDEX($AI$2:$AI$1001,MATCH(ROWS($AH$2:AH647),$AH$2:$AH$1001,0),1)&gt;=100000,INDEX($AO$1005:$BQ$1005,1,MATCH(COLUMNS($AO$1006:BF1006),$AO$1006:$BQ$1006,0))&gt;=100000), " ",IF(INDEX($AO$2:$BQ$1001,MATCH(ROWS($AH$2:AH647),$AH$2:$AH$1001,0),MATCH(COLUMNS($AO$1006:BF1006),$AO$1006:$BQ$1006,0)), HYPERLINK("#",""), HYPERLINK(CONCATENATE("#Metadata!", ADDRESS(INDEX($AJ$2:$AJ$1001,MATCH(ROWS($AH$2:AH647),$AH$2:$AH$1001,0),0), INDEX($AO$1004:$BQ$1004,1,MATCH(COLUMNS($AO$1006:BF1006),$AO$1006:$BQ$1006,0)))),"Fix")))</f>
        <v>#N/A</v>
      </c>
      <c r="T647" s="5" t="e">
        <f ca="1">IF(OR(INDEX($AI$2:$AI$1001,MATCH(ROWS($AH$2:AH647),$AH$2:$AH$1001,0),1)&gt;=100000,INDEX($AO$1005:$BQ$1005,1,MATCH(COLUMNS($AO$1006:BG1006),$AO$1006:$BQ$1006,0))&gt;=100000), " ",IF(INDEX($AO$2:$BQ$1001,MATCH(ROWS($AH$2:AH647),$AH$2:$AH$1001,0),MATCH(COLUMNS($AO$1006:BG1006),$AO$1006:$BQ$1006,0)), HYPERLINK("#",""), HYPERLINK(CONCATENATE("#Metadata!", ADDRESS(INDEX($AJ$2:$AJ$1001,MATCH(ROWS($AH$2:AH647),$AH$2:$AH$1001,0),0), INDEX($AO$1004:$BQ$1004,1,MATCH(COLUMNS($AO$1006:BG1006),$AO$1006:$BQ$1006,0)))),"Fix")))</f>
        <v>#N/A</v>
      </c>
      <c r="U647" s="5" t="e">
        <f ca="1">IF(OR(INDEX($AI$2:$AI$1001,MATCH(ROWS($AH$2:AH647),$AH$2:$AH$1001,0),1)&gt;=100000,INDEX($AO$1005:$BQ$1005,1,MATCH(COLUMNS($AO$1006:BH1006),$AO$1006:$BQ$1006,0))&gt;=100000), " ",IF(INDEX($AO$2:$BQ$1001,MATCH(ROWS($AH$2:AH647),$AH$2:$AH$1001,0),MATCH(COLUMNS($AO$1006:BH1006),$AO$1006:$BQ$1006,0)), HYPERLINK("#",""), HYPERLINK(CONCATENATE("#Metadata!", ADDRESS(INDEX($AJ$2:$AJ$1001,MATCH(ROWS($AH$2:AH647),$AH$2:$AH$1001,0),0), INDEX($AO$1004:$BQ$1004,1,MATCH(COLUMNS($AO$1006:BH1006),$AO$1006:$BQ$1006,0)))),"Fix")))</f>
        <v>#N/A</v>
      </c>
      <c r="V647" s="5" t="e">
        <f ca="1">IF(OR(INDEX($AI$2:$AI$1001,MATCH(ROWS($AH$2:AH647),$AH$2:$AH$1001,0),1)&gt;=100000,INDEX($AO$1005:$BQ$1005,1,MATCH(COLUMNS($AO$1006:BI1006),$AO$1006:$BQ$1006,0))&gt;=100000), " ",IF(INDEX($AO$2:$BQ$1001,MATCH(ROWS($AH$2:AH647),$AH$2:$AH$1001,0),MATCH(COLUMNS($AO$1006:BI1006),$AO$1006:$BQ$1006,0)), HYPERLINK("#",""), HYPERLINK(CONCATENATE("#Metadata!", ADDRESS(INDEX($AJ$2:$AJ$1001,MATCH(ROWS($AH$2:AH647),$AH$2:$AH$1001,0),0), INDEX($AO$1004:$BQ$1004,1,MATCH(COLUMNS($AO$1006:BI1006),$AO$1006:$BQ$1006,0)))),"Fix")))</f>
        <v>#N/A</v>
      </c>
      <c r="W647" s="5" t="e">
        <f ca="1">IF(OR(INDEX($AI$2:$AI$1001,MATCH(ROWS($AH$2:AH647),$AH$2:$AH$1001,0),1)&gt;=100000,INDEX($AO$1005:$BQ$1005,1,MATCH(COLUMNS($AO$1006:BJ1006),$AO$1006:$BQ$1006,0))&gt;=100000), " ",IF(INDEX($AO$2:$BQ$1001,MATCH(ROWS($AH$2:AH647),$AH$2:$AH$1001,0),MATCH(COLUMNS($AO$1006:BJ1006),$AO$1006:$BQ$1006,0)), HYPERLINK("#",""), HYPERLINK(CONCATENATE("#Metadata!", ADDRESS(INDEX($AJ$2:$AJ$1001,MATCH(ROWS($AH$2:AH647),$AH$2:$AH$1001,0),0), INDEX($AO$1004:$BQ$1004,1,MATCH(COLUMNS($AO$1006:BJ1006),$AO$1006:$BQ$1006,0)))),"Fix")))</f>
        <v>#N/A</v>
      </c>
      <c r="X647" s="5" t="e">
        <f ca="1">IF(OR(INDEX($AI$2:$AI$1001,MATCH(ROWS($AH$2:AH647),$AH$2:$AH$1001,0),1)&gt;=100000,INDEX($AO$1005:$BQ$1005,1,MATCH(COLUMNS($AO$1006:BK1006),$AO$1006:$BQ$1006,0))&gt;=100000), " ",IF(INDEX($AO$2:$BQ$1001,MATCH(ROWS($AH$2:AH647),$AH$2:$AH$1001,0),MATCH(COLUMNS($AO$1006:BK1006),$AO$1006:$BQ$1006,0)), HYPERLINK("#",""), HYPERLINK(CONCATENATE("#Metadata!", ADDRESS(INDEX($AJ$2:$AJ$1001,MATCH(ROWS($AH$2:AH647),$AH$2:$AH$1001,0),0), INDEX($AO$1004:$BQ$1004,1,MATCH(COLUMNS($AO$1006:BK1006),$AO$1006:$BQ$1006,0)))),"Fix")))</f>
        <v>#N/A</v>
      </c>
      <c r="Y647" s="5" t="e">
        <f ca="1">IF(OR(INDEX($AI$2:$AI$1001,MATCH(ROWS($AH$2:AH647),$AH$2:$AH$1001,0),1)&gt;=100000,INDEX($AO$1005:$BQ$1005,1,MATCH(COLUMNS($AO$1006:BL1006),$AO$1006:$BQ$1006,0))&gt;=100000), " ",IF(INDEX($AO$2:$BQ$1001,MATCH(ROWS($AH$2:AH647),$AH$2:$AH$1001,0),MATCH(COLUMNS($AO$1006:BL1006),$AO$1006:$BQ$1006,0)), HYPERLINK("#",""), HYPERLINK(CONCATENATE("#Metadata!", ADDRESS(INDEX($AJ$2:$AJ$1001,MATCH(ROWS($AH$2:AH647),$AH$2:$AH$1001,0),0), INDEX($AO$1004:$BQ$1004,1,MATCH(COLUMNS($AO$1006:BL1006),$AO$1006:$BQ$1006,0)))),"Fix")))</f>
        <v>#N/A</v>
      </c>
      <c r="Z647" s="5" t="e">
        <f ca="1">IF(OR(INDEX($AI$2:$AI$1001,MATCH(ROWS($AH$2:AH647),$AH$2:$AH$1001,0),1)&gt;=100000,INDEX($AO$1005:$BQ$1005,1,MATCH(COLUMNS($AO$1006:BM1006),$AO$1006:$BQ$1006,0))&gt;=100000), " ",IF(INDEX($AO$2:$BQ$1001,MATCH(ROWS($AH$2:AH647),$AH$2:$AH$1001,0),MATCH(COLUMNS($AO$1006:BM1006),$AO$1006:$BQ$1006,0)), HYPERLINK("#",""), HYPERLINK(CONCATENATE("#Metadata!", ADDRESS(INDEX($AJ$2:$AJ$1001,MATCH(ROWS($AH$2:AH647),$AH$2:$AH$1001,0),0), INDEX($AO$1004:$BQ$1004,1,MATCH(COLUMNS($AO$1006:BM1006),$AO$1006:$BQ$1006,0)))),"Fix")))</f>
        <v>#N/A</v>
      </c>
      <c r="AA647" s="5" t="e">
        <f ca="1">IF(OR(INDEX($AI$2:$AI$1001,MATCH(ROWS($AH$2:AH647),$AH$2:$AH$1001,0),1)&gt;=100000,INDEX($AO$1005:$BQ$1005,1,MATCH(COLUMNS($AO$1006:BN1006),$AO$1006:$BQ$1006,0))&gt;=100000), " ",IF(INDEX($AO$2:$BQ$1001,MATCH(ROWS($AH$2:AH647),$AH$2:$AH$1001,0),MATCH(COLUMNS($AO$1006:BN1006),$AO$1006:$BQ$1006,0)), HYPERLINK("#",""), HYPERLINK(CONCATENATE("#Metadata!", ADDRESS(INDEX($AJ$2:$AJ$1001,MATCH(ROWS($AH$2:AH647),$AH$2:$AH$1001,0),0), INDEX($AO$1004:$BQ$1004,1,MATCH(COLUMNS($AO$1006:BN1006),$AO$1006:$BQ$1006,0)))),"Fix")))</f>
        <v>#N/A</v>
      </c>
      <c r="AB647" s="5" t="e">
        <f ca="1">IF(OR(INDEX($AI$2:$AI$1001,MATCH(ROWS($AH$2:AH647),$AH$2:$AH$1001,0),1)&gt;=100000,INDEX($AO$1005:$BQ$1005,1,MATCH(COLUMNS($AO$1006:BO1006),$AO$1006:$BQ$1006,0))&gt;=100000), " ",IF(INDEX($AO$2:$BQ$1001,MATCH(ROWS($AH$2:AH647),$AH$2:$AH$1001,0),MATCH(COLUMNS($AO$1006:BO1006),$AO$1006:$BQ$1006,0)), HYPERLINK("#",""), HYPERLINK(CONCATENATE("#Metadata!", ADDRESS(INDEX($AJ$2:$AJ$1001,MATCH(ROWS($AH$2:AH647),$AH$2:$AH$1001,0),0), INDEX($AO$1004:$BQ$1004,1,MATCH(COLUMNS($AO$1006:BO1006),$AO$1006:$BQ$1006,0)))),"Fix")))</f>
        <v>#N/A</v>
      </c>
      <c r="AC647" s="5" t="e">
        <f ca="1">IF(OR(INDEX($AI$2:$AI$1001,MATCH(ROWS($AH$2:AH647),$AH$2:$AH$1001,0),1)&gt;=100000,INDEX($AO$1005:$BQ$1005,1,MATCH(COLUMNS($AO$1006:BP1006),$AO$1006:$BQ$1006,0))&gt;=100000), " ",IF(INDEX($AO$2:$BQ$1001,MATCH(ROWS($AH$2:AH647),$AH$2:$AH$1001,0),MATCH(COLUMNS($AO$1006:BP1006),$AO$1006:$BQ$1006,0)), HYPERLINK("#",""), HYPERLINK(CONCATENATE("#Metadata!", ADDRESS(INDEX($AJ$2:$AJ$1001,MATCH(ROWS($AH$2:AH647),$AH$2:$AH$1001,0),0), INDEX($AO$1004:$BQ$1004,1,MATCH(COLUMNS($AO$1006:BP1006),$AO$1006:$BQ$1006,0)))),"Fix")))</f>
        <v>#N/A</v>
      </c>
      <c r="AD647" s="5" t="e">
        <f ca="1">IF(OR(INDEX($AI$2:$AI$1001,MATCH(ROWS($AH$2:AH647),$AH$2:$AH$1001,0),1)&gt;=100000,INDEX($AO$1005:$BQ$1005,1,MATCH(COLUMNS($AO$1006:BQ1006),$AO$1006:$BQ$1006,0))&gt;=100000), " ",IF(INDEX($AO$2:$BQ$1001,MATCH(ROWS($AH$2:AH647),$AH$2:$AH$1001,0),MATCH(COLUMNS($AO$1006:BQ1006),$AO$1006:$BQ$1006,0)), HYPERLINK("#",""), HYPERLINK(CONCATENATE("#Metadata!", ADDRESS(INDEX($AJ$2:$AJ$1001,MATCH(ROWS($AH$2:AH647),$AH$2:$AH$1001,0),0), INDEX($AO$1004:$BQ$1004,1,MATCH(COLUMNS($AO$1006:BQ1006),$AO$1006:$BQ$1006,0)))),"Fix")))</f>
        <v>#REF!</v>
      </c>
      <c r="AH647">
        <f ca="1"/>
        <v>644</v>
      </c>
      <c r="AI647">
        <v>100647</v>
      </c>
      <c r="AJ647">
        <v>647</v>
      </c>
      <c r="AK647" t="b">
        <f t="shared" si="10"/>
        <v>1</v>
      </c>
      <c r="AL647" t="b">
        <f>COUNTBLANK(Metadata!B647:AD647)=COLUMNS(Metadata!B647:AD647)</f>
        <v>1</v>
      </c>
      <c r="AM647" t="str">
        <v/>
      </c>
      <c r="AO647" t="b">
        <f ca="1">AND(IF(Metadata!B647="",FALSE,TRUE),COUNTIF(Metadata!B:B, Metadata!B647) = 1,NOT(ISERROR(SUMPRODUCT(SEARCH(MID(Metadata!B647,ROW(INDIRECT("1:"&amp;LEN(Metadata!B647))), 1),"0123456789abcdefghijklmnopqrstuvwxyzABCDEFGHIJKLMNOPQRSTUVWXYZ.")))))</f>
        <v>0</v>
      </c>
      <c r="AP647" t="b">
        <f>IF(Metadata!C647="",FALSE,TRUE)</f>
        <v>0</v>
      </c>
      <c r="AQ647" t="b">
        <f>IF(Metadata!D647="",FALSE,TRUE)</f>
        <v>0</v>
      </c>
      <c r="AR647" t="b">
        <f ca="1">OR(AND(IF(Metadata!E647="",FALSE,TRUE),OR(EXACT(Metadata!E647,"not collected"),EXACT(Metadata!E647,"not provided"),EXACT(Metadata!E647,"restricted access"))),AND(IF(Metadata!E647="",FALSE,TRUE),AND(AND(IFERROR(INT(LEFT(Metadata!E647,4))&gt;1900,FALSE),IFERROR(INT(LEFT(Metadata!E647,4))&lt;=YEAR(NOW()),FALSE)), OR(MID(Metadata!E647,5,1)="", AND(AND(MID(Metadata!E647,5,1)="-",IFERROR(INT(MID(Metadata!E647,6,1))&gt;=0,FALSE),IFERROR(INT(MID(Metadata!E647,6,1))&lt;=1,FALSE),NOT(MID(Metadata!E647,7,1)=""),IFERROR(INT(MID(Metadata!E647,6,2))&gt;=1,FALSE),IFERROR(INT(MID(Metadata!E647,6,2))&lt;=12,FALSE)), OR(MID(Metadata!E647,8,1)="", AND(AND(MID(Metadata!E647,8,1)="-",IFERROR(INT(MID(Metadata!E647,9,1))&gt;=0,FALSE),IFERROR(INT(MID(Metadata!E647,9,1))&lt;=3,FALSE),NOT(MID(Metadata!E647,10,1)=""),IFERROR(INT(MID(Metadata!E647,9,2))&gt;=1,FALSE),IFERROR(INT(MID(Metadata!E647,9,2))&lt;=31,FALSE)), OR(MID(Metadata!E647,11,1)="", AND(AND(MID(Metadata!E647,11,1)=" ",IFERROR(INT(MID(Metadata!E647,12,1))&gt;=0,FALSE),IFERROR(INT(MID(Metadata!E647,12,1))&lt;=2,FALSE),NOT(MID(Metadata!E647,13,1)=""),IFERROR(INT(MID(Metadata!E647,12,2))&gt;=0,FALSE),IFERROR(INT(MID(Metadata!E647,12,2))&lt;=23,FALSE)), OR(MID(Metadata!E647,14,1)="", AND(AND(MID(Metadata!E647,14,1)=":",IFERROR(INT(MID(Metadata!E647,15,1))&gt;=0,FALSE),IFERROR(INT(MID(Metadata!E647,15,1))&lt;=5,FALSE),NOT(MID(Metadata!E647,16,1)=""),IFERROR(INT(MID(Metadata!E647,15,2))&gt;=0,FALSE),IFERROR(INT(MID(Metadata!E647,15,2))&lt;=59,FALSE)), OR(MID(Metadata!E647,17,1)="", AND(AND(MID(Metadata!E647,17,1)=":",IFERROR(INT(MID(Metadata!E647,18,1))&gt;=0,FALSE),IFERROR(INT(MID(Metadata!E647,18,1))&lt;=5,FALSE),NOT(MID(Metadata!E647,19,1)=""),IFERROR(INT(MID(Metadata!E647,18,2))&gt;=0,FALSE),IFERROR(INT(MID(Metadata!E647,18,2))&lt;=59,FALSE)), LEN(Metadata!E647)&lt;=19)))))))))))))</f>
        <v>0</v>
      </c>
      <c r="AS647" t="b">
        <f>IF(Metadata!F647="",FALSE,TRUE)</f>
        <v>0</v>
      </c>
      <c r="AT647" t="b">
        <f>OR(AND(IF(Metadata!G647="",FALSE,TRUE),OR(EXACT(Metadata!G647,"not collected"),EXACT(Metadata!G647,"not provided"))),AND(IF(Metadata!G647="",FALSE,TRUE),OR(EXACT(Metadata!G647,"TRUE"),EXACT(Metadata!G647,"FALSE"))))</f>
        <v>0</v>
      </c>
      <c r="AU647" t="b">
        <f>OR(AND(IF(Metadata!H647="",FALSE,TRUE),OR(EXACT(Metadata!H647,"not collected"),EXACT(Metadata!H647,"not provided"),EXACT(Metadata!H647,"restricted access"))),AND(IF(Metadata!H647="",FALSE,ISNUMBER(VALUE(Metadata!H647))),Metadata!H647&gt;=-413))</f>
        <v>0</v>
      </c>
      <c r="AV647" t="b">
        <f>AND(IF(Metadata!I647="",FALSE,TRUE),EXACT(Metadata!I647,"meters"))</f>
        <v>0</v>
      </c>
      <c r="AW647" t="b">
        <f>AND(IF(Metadata!J647="",FALSE,TRUE),EXACT(Metadata!J647,"free-living"))</f>
        <v>0</v>
      </c>
      <c r="AX647" t="b">
        <f>AND(IF(Metadata!K647="",FALSE,TRUE),OR(EXACT(Metadata!K647,"saline"),EXACT(Metadata!K647,"non-saline")))</f>
        <v>0</v>
      </c>
      <c r="AY647" t="b">
        <f>AND(IF(Metadata!L647="",FALSE,TRUE),OR(EXACT(Metadata!L647,"sub-surface (non-saline)"),EXACT(Metadata!L647,"surface (non-saline)"),EXACT(Metadata!L647,"water (non-saline)"),EXACT(Metadata!L647,"soil (non-saline)"),EXACT(Metadata!L647,"aerosol (non-saline)"),EXACT(Metadata!L647,"sediment (non-saline)"),EXACT(Metadata!L647,"surface (saline)"),EXACT(Metadata!L647,"water (saline)"),EXACT(Metadata!L647,"hypersaline (saline)"),EXACT(Metadata!L647,"aerosol (saline)"),EXACT(Metadata!L647,"sediment (saline)")))</f>
        <v>0</v>
      </c>
      <c r="AZ647" t="b">
        <f>IF(Metadata!M647="",FALSE,TRUE)</f>
        <v>0</v>
      </c>
      <c r="BA647" t="b">
        <f>IF(Metadata!N647="",FALSE,TRUE)</f>
        <v>0</v>
      </c>
      <c r="BB647" t="b">
        <f>IF(Metadata!O647="",FALSE,TRUE)</f>
        <v>0</v>
      </c>
      <c r="BC647" t="b">
        <f>AND(IF(Metadata!P647="",FALSE,TRUE),OR(EXACT(Metadata!P647,"air"),EXACT(Metadata!P647,"microbial mat/biofilm"),EXACT(Metadata!P647,"misc environment"),EXACT(Metadata!P647,"sediment"),EXACT(Metadata!P647,"soil"),EXACT(Metadata!P647,"wastewater/sludge"),EXACT(Metadata!P647,"water")))</f>
        <v>0</v>
      </c>
      <c r="BD647" t="b">
        <f>IF(Metadata!Q647="",FALSE,TRUE)</f>
        <v>0</v>
      </c>
      <c r="BE647" t="b">
        <f>IF(Metadata!R647="",FALSE,TRUE)</f>
        <v>0</v>
      </c>
      <c r="BF647" t="b">
        <f>OR(AND(IF(Metadata!S647="",FALSE,TRUE),OR(EXACT(Metadata!S647,"not collected"),EXACT(Metadata!S647,"not provided"),EXACT(Metadata!S647,"restricted access"))),AND(IF(Metadata!S647="",FALSE,ISNUMBER(VALUE(Metadata!S647))),Metadata!S647&gt;=-90,Metadata!S647&lt;=90))</f>
        <v>0</v>
      </c>
      <c r="BG647" t="b">
        <f>AND(IF(Metadata!T647="",FALSE,TRUE),EXACT(Metadata!T647,"Decimal degrees"))</f>
        <v>0</v>
      </c>
      <c r="BH647" t="b">
        <f>OR(AND(IF(Metadata!U647="",FALSE,TRUE),OR(EXACT(Metadata!U647,"not applicable"),EXACT(Metadata!U647,"not collected"))),IF(Metadata!U647="",FALSE,TRUE))</f>
        <v>0</v>
      </c>
      <c r="BI647" t="b">
        <f>OR(AND(IF(Metadata!V647="",FALSE,TRUE),OR(EXACT(Metadata!V647,"not collected"),EXACT(Metadata!V647,"not provided"),EXACT(Metadata!V647,"restricted access"))),AND(IF(Metadata!V647="",FALSE,ISNUMBER(VALUE(Metadata!V647))),Metadata!V647&gt;=-180,Metadata!V647&lt;=180))</f>
        <v>0</v>
      </c>
      <c r="BJ647" t="b">
        <f>AND(IF(Metadata!W647="",FALSE,TRUE),EXACT(Metadata!W647,"Decimal degrees"))</f>
        <v>0</v>
      </c>
      <c r="BK647" t="b">
        <f>IF(Metadata!X647="",FALSE,TRUE)</f>
        <v>0</v>
      </c>
      <c r="BL647" t="b">
        <f>OR(AND(IF(Metadata!Y647="",FALSE,TRUE),OR(EXACT(Metadata!Y647,"not collected"),EXACT(Metadata!Y647,"not provided"),EXACT(Metadata!Y647,"restricted access"))),AND(IF(Metadata!Y647="",FALSE,TRUE),OR(EXACT(Metadata!Y647,"TRUE"),EXACT(Metadata!Y647,"FALSE"))))</f>
        <v>0</v>
      </c>
      <c r="BM647" t="b">
        <f>OR(AND(IF(Metadata!Z647="",FALSE,TRUE),EXACT(Metadata!Z647,"not applicable")),AND(IF(Metadata!Z647="",FALSE,TRUE),OR(EXACT(Metadata!Z647,"beer"),EXACT(Metadata!Z647,"cheese"),EXACT(Metadata!Z647,"fresh water"),EXACT(Metadata!Z647,"marine sediment"),EXACT(Metadata!Z647,"sea water"),EXACT(Metadata!Z647,"sediment"),EXACT(Metadata!Z647,"soil"),EXACT(Metadata!Z647,"waste water"))))</f>
        <v>0</v>
      </c>
      <c r="BN647" t="b">
        <f>AND(IF(Metadata!AA647="",FALSE,TRUE),EXACT(Metadata!AA647,"metagenome"))</f>
        <v>0</v>
      </c>
      <c r="BO647" t="b">
        <f>AND(IF(Metadata!AB647="",FALSE,TRUE),EXACT(Metadata!AB647,"256318"))</f>
        <v>0</v>
      </c>
      <c r="BP647" t="b">
        <f>IF(Metadata!AC647="",FALSE,TRUE)</f>
        <v>0</v>
      </c>
      <c r="BQ647" t="b">
        <f>IF(Metadata!AD647="",FALSE,TRUE)</f>
        <v>0</v>
      </c>
    </row>
    <row r="648" spans="1:69" x14ac:dyDescent="0.2">
      <c r="A648" s="4" t="e">
        <f ca="1">IF(B648=" "," ",HYPERLINK(CONCATENATE("#metadata!",ADDRESS(INDEX($AJ$2:$AJ$1001,MATCH(ROWS($AH$2:AH648),$AH$2:$AH$1001,0),0),2)),INDEX($AM$2:$AM$1001,MATCH(ROWS($AH$2:AH648),$AH$2:$AH$1001,0),0)))</f>
        <v>#N/A</v>
      </c>
      <c r="B648" s="5" t="e">
        <f ca="1">IF(OR(INDEX($AI$2:$AI$1001,MATCH(ROWS($AH$2:AH648),$AH$2:$AH$1001,0),1)&gt;=100000,INDEX($AO$1005:$BQ$1005,1,MATCH(COLUMNS($AO$1006:AO1006),$AO$1006:$BQ$1006,0))&gt;=100000), " ",IF(INDEX($AO$2:$BQ$1001,MATCH(ROWS($AH$2:AH648),$AH$2:$AH$1001,0),MATCH(COLUMNS($AO$1006:AO1006),$AO$1006:$BQ$1006,0)), HYPERLINK("#",""), HYPERLINK(CONCATENATE("#Metadata!", ADDRESS(INDEX($AJ$2:$AJ$1001,MATCH(ROWS($AH$2:AH648),$AH$2:$AH$1001,0),0), INDEX($AO$1004:$BQ$1004,1,MATCH(COLUMNS($AO$1006:AO1006),$AO$1006:$BQ$1006,0)))),"Fix")))</f>
        <v>#N/A</v>
      </c>
      <c r="C648" s="5" t="e">
        <f ca="1">IF(OR(INDEX($AI$2:$AI$1001,MATCH(ROWS($AH$2:AH648),$AH$2:$AH$1001,0),1)&gt;=100000,INDEX($AO$1005:$BQ$1005,1,MATCH(COLUMNS($AO$1006:AP1006),$AO$1006:$BQ$1006,0))&gt;=100000), " ",IF(INDEX($AO$2:$BQ$1001,MATCH(ROWS($AH$2:AH648),$AH$2:$AH$1001,0),MATCH(COLUMNS($AO$1006:AP1006),$AO$1006:$BQ$1006,0)), HYPERLINK("#",""), HYPERLINK(CONCATENATE("#Metadata!", ADDRESS(INDEX($AJ$2:$AJ$1001,MATCH(ROWS($AH$2:AH648),$AH$2:$AH$1001,0),0), INDEX($AO$1004:$BQ$1004,1,MATCH(COLUMNS($AO$1006:AP1006),$AO$1006:$BQ$1006,0)))),"Fix")))</f>
        <v>#N/A</v>
      </c>
      <c r="D648" s="5" t="e">
        <f ca="1">IF(OR(INDEX($AI$2:$AI$1001,MATCH(ROWS($AH$2:AH648),$AH$2:$AH$1001,0),1)&gt;=100000,INDEX($AO$1005:$BQ$1005,1,MATCH(COLUMNS($AO$1006:AQ1006),$AO$1006:$BQ$1006,0))&gt;=100000), " ",IF(INDEX($AO$2:$BQ$1001,MATCH(ROWS($AH$2:AH648),$AH$2:$AH$1001,0),MATCH(COLUMNS($AO$1006:AQ1006),$AO$1006:$BQ$1006,0)), HYPERLINK("#",""), HYPERLINK(CONCATENATE("#Metadata!", ADDRESS(INDEX($AJ$2:$AJ$1001,MATCH(ROWS($AH$2:AH648),$AH$2:$AH$1001,0),0), INDEX($AO$1004:$BQ$1004,1,MATCH(COLUMNS($AO$1006:AQ1006),$AO$1006:$BQ$1006,0)))),"Fix")))</f>
        <v>#N/A</v>
      </c>
      <c r="E648" s="5" t="e">
        <f ca="1">IF(OR(INDEX($AI$2:$AI$1001,MATCH(ROWS($AH$2:AH648),$AH$2:$AH$1001,0),1)&gt;=100000,INDEX($AO$1005:$BQ$1005,1,MATCH(COLUMNS($AO$1006:AR1006),$AO$1006:$BQ$1006,0))&gt;=100000), " ",IF(INDEX($AO$2:$BQ$1001,MATCH(ROWS($AH$2:AH648),$AH$2:$AH$1001,0),MATCH(COLUMNS($AO$1006:AR1006),$AO$1006:$BQ$1006,0)), HYPERLINK("#",""), HYPERLINK(CONCATENATE("#Metadata!", ADDRESS(INDEX($AJ$2:$AJ$1001,MATCH(ROWS($AH$2:AH648),$AH$2:$AH$1001,0),0), INDEX($AO$1004:$BQ$1004,1,MATCH(COLUMNS($AO$1006:AR1006),$AO$1006:$BQ$1006,0)))),"Fix")))</f>
        <v>#N/A</v>
      </c>
      <c r="F648" s="5" t="e">
        <f ca="1">IF(OR(INDEX($AI$2:$AI$1001,MATCH(ROWS($AH$2:AH648),$AH$2:$AH$1001,0),1)&gt;=100000,INDEX($AO$1005:$BQ$1005,1,MATCH(COLUMNS($AO$1006:AS1006),$AO$1006:$BQ$1006,0))&gt;=100000), " ",IF(INDEX($AO$2:$BQ$1001,MATCH(ROWS($AH$2:AH648),$AH$2:$AH$1001,0),MATCH(COLUMNS($AO$1006:AS1006),$AO$1006:$BQ$1006,0)), HYPERLINK("#",""), HYPERLINK(CONCATENATE("#Metadata!", ADDRESS(INDEX($AJ$2:$AJ$1001,MATCH(ROWS($AH$2:AH648),$AH$2:$AH$1001,0),0), INDEX($AO$1004:$BQ$1004,1,MATCH(COLUMNS($AO$1006:AS1006),$AO$1006:$BQ$1006,0)))),"Fix")))</f>
        <v>#N/A</v>
      </c>
      <c r="G648" s="5" t="e">
        <f ca="1">IF(OR(INDEX($AI$2:$AI$1001,MATCH(ROWS($AH$2:AH648),$AH$2:$AH$1001,0),1)&gt;=100000,INDEX($AO$1005:$BQ$1005,1,MATCH(COLUMNS($AO$1006:AT1006),$AO$1006:$BQ$1006,0))&gt;=100000), " ",IF(INDEX($AO$2:$BQ$1001,MATCH(ROWS($AH$2:AH648),$AH$2:$AH$1001,0),MATCH(COLUMNS($AO$1006:AT1006),$AO$1006:$BQ$1006,0)), HYPERLINK("#",""), HYPERLINK(CONCATENATE("#Metadata!", ADDRESS(INDEX($AJ$2:$AJ$1001,MATCH(ROWS($AH$2:AH648),$AH$2:$AH$1001,0),0), INDEX($AO$1004:$BQ$1004,1,MATCH(COLUMNS($AO$1006:AT1006),$AO$1006:$BQ$1006,0)))),"Fix")))</f>
        <v>#N/A</v>
      </c>
      <c r="H648" s="5" t="e">
        <f ca="1">IF(OR(INDEX($AI$2:$AI$1001,MATCH(ROWS($AH$2:AH648),$AH$2:$AH$1001,0),1)&gt;=100000,INDEX($AO$1005:$BQ$1005,1,MATCH(COLUMNS($AO$1006:AU1006),$AO$1006:$BQ$1006,0))&gt;=100000), " ",IF(INDEX($AO$2:$BQ$1001,MATCH(ROWS($AH$2:AH648),$AH$2:$AH$1001,0),MATCH(COLUMNS($AO$1006:AU1006),$AO$1006:$BQ$1006,0)), HYPERLINK("#",""), HYPERLINK(CONCATENATE("#Metadata!", ADDRESS(INDEX($AJ$2:$AJ$1001,MATCH(ROWS($AH$2:AH648),$AH$2:$AH$1001,0),0), INDEX($AO$1004:$BQ$1004,1,MATCH(COLUMNS($AO$1006:AU1006),$AO$1006:$BQ$1006,0)))),"Fix")))</f>
        <v>#N/A</v>
      </c>
      <c r="I648" s="5" t="e">
        <f ca="1">IF(OR(INDEX($AI$2:$AI$1001,MATCH(ROWS($AH$2:AH648),$AH$2:$AH$1001,0),1)&gt;=100000,INDEX($AO$1005:$BQ$1005,1,MATCH(COLUMNS($AO$1006:AV1006),$AO$1006:$BQ$1006,0))&gt;=100000), " ",IF(INDEX($AO$2:$BQ$1001,MATCH(ROWS($AH$2:AH648),$AH$2:$AH$1001,0),MATCH(COLUMNS($AO$1006:AV1006),$AO$1006:$BQ$1006,0)), HYPERLINK("#",""), HYPERLINK(CONCATENATE("#Metadata!", ADDRESS(INDEX($AJ$2:$AJ$1001,MATCH(ROWS($AH$2:AH648),$AH$2:$AH$1001,0),0), INDEX($AO$1004:$BQ$1004,1,MATCH(COLUMNS($AO$1006:AV1006),$AO$1006:$BQ$1006,0)))),"Fix")))</f>
        <v>#N/A</v>
      </c>
      <c r="J648" s="5" t="e">
        <f ca="1">IF(OR(INDEX($AI$2:$AI$1001,MATCH(ROWS($AH$2:AH648),$AH$2:$AH$1001,0),1)&gt;=100000,INDEX($AO$1005:$BQ$1005,1,MATCH(COLUMNS($AO$1006:AW1006),$AO$1006:$BQ$1006,0))&gt;=100000), " ",IF(INDEX($AO$2:$BQ$1001,MATCH(ROWS($AH$2:AH648),$AH$2:$AH$1001,0),MATCH(COLUMNS($AO$1006:AW1006),$AO$1006:$BQ$1006,0)), HYPERLINK("#",""), HYPERLINK(CONCATENATE("#Metadata!", ADDRESS(INDEX($AJ$2:$AJ$1001,MATCH(ROWS($AH$2:AH648),$AH$2:$AH$1001,0),0), INDEX($AO$1004:$BQ$1004,1,MATCH(COLUMNS($AO$1006:AW1006),$AO$1006:$BQ$1006,0)))),"Fix")))</f>
        <v>#N/A</v>
      </c>
      <c r="K648" s="5" t="e">
        <f ca="1">IF(OR(INDEX($AI$2:$AI$1001,MATCH(ROWS($AH$2:AH648),$AH$2:$AH$1001,0),1)&gt;=100000,INDEX($AO$1005:$BQ$1005,1,MATCH(COLUMNS($AO$1006:AX1006),$AO$1006:$BQ$1006,0))&gt;=100000), " ",IF(INDEX($AO$2:$BQ$1001,MATCH(ROWS($AH$2:AH648),$AH$2:$AH$1001,0),MATCH(COLUMNS($AO$1006:AX1006),$AO$1006:$BQ$1006,0)), HYPERLINK("#",""), HYPERLINK(CONCATENATE("#Metadata!", ADDRESS(INDEX($AJ$2:$AJ$1001,MATCH(ROWS($AH$2:AH648),$AH$2:$AH$1001,0),0), INDEX($AO$1004:$BQ$1004,1,MATCH(COLUMNS($AO$1006:AX1006),$AO$1006:$BQ$1006,0)))),"Fix")))</f>
        <v>#N/A</v>
      </c>
      <c r="L648" s="5" t="e">
        <f ca="1">IF(OR(INDEX($AI$2:$AI$1001,MATCH(ROWS($AH$2:AH648),$AH$2:$AH$1001,0),1)&gt;=100000,INDEX($AO$1005:$BQ$1005,1,MATCH(COLUMNS($AO$1006:AY1006),$AO$1006:$BQ$1006,0))&gt;=100000), " ",IF(INDEX($AO$2:$BQ$1001,MATCH(ROWS($AH$2:AH648),$AH$2:$AH$1001,0),MATCH(COLUMNS($AO$1006:AY1006),$AO$1006:$BQ$1006,0)), HYPERLINK("#",""), HYPERLINK(CONCATENATE("#Metadata!", ADDRESS(INDEX($AJ$2:$AJ$1001,MATCH(ROWS($AH$2:AH648),$AH$2:$AH$1001,0),0), INDEX($AO$1004:$BQ$1004,1,MATCH(COLUMNS($AO$1006:AY1006),$AO$1006:$BQ$1006,0)))),"Fix")))</f>
        <v>#N/A</v>
      </c>
      <c r="M648" s="5" t="e">
        <f ca="1">IF(OR(INDEX($AI$2:$AI$1001,MATCH(ROWS($AH$2:AH648),$AH$2:$AH$1001,0),1)&gt;=100000,INDEX($AO$1005:$BQ$1005,1,MATCH(COLUMNS($AO$1006:AZ1006),$AO$1006:$BQ$1006,0))&gt;=100000), " ",IF(INDEX($AO$2:$BQ$1001,MATCH(ROWS($AH$2:AH648),$AH$2:$AH$1001,0),MATCH(COLUMNS($AO$1006:AZ1006),$AO$1006:$BQ$1006,0)), HYPERLINK("#",""), HYPERLINK(CONCATENATE("#Metadata!", ADDRESS(INDEX($AJ$2:$AJ$1001,MATCH(ROWS($AH$2:AH648),$AH$2:$AH$1001,0),0), INDEX($AO$1004:$BQ$1004,1,MATCH(COLUMNS($AO$1006:AZ1006),$AO$1006:$BQ$1006,0)))),"Fix")))</f>
        <v>#N/A</v>
      </c>
      <c r="N648" s="5" t="e">
        <f ca="1">IF(OR(INDEX($AI$2:$AI$1001,MATCH(ROWS($AH$2:AH648),$AH$2:$AH$1001,0),1)&gt;=100000,INDEX($AO$1005:$BQ$1005,1,MATCH(COLUMNS($AO$1006:BA1006),$AO$1006:$BQ$1006,0))&gt;=100000), " ",IF(INDEX($AO$2:$BQ$1001,MATCH(ROWS($AH$2:AH648),$AH$2:$AH$1001,0),MATCH(COLUMNS($AO$1006:BA1006),$AO$1006:$BQ$1006,0)), HYPERLINK("#",""), HYPERLINK(CONCATENATE("#Metadata!", ADDRESS(INDEX($AJ$2:$AJ$1001,MATCH(ROWS($AH$2:AH648),$AH$2:$AH$1001,0),0), INDEX($AO$1004:$BQ$1004,1,MATCH(COLUMNS($AO$1006:BA1006),$AO$1006:$BQ$1006,0)))),"Fix")))</f>
        <v>#N/A</v>
      </c>
      <c r="O648" s="5" t="e">
        <f ca="1">IF(OR(INDEX($AI$2:$AI$1001,MATCH(ROWS($AH$2:AH648),$AH$2:$AH$1001,0),1)&gt;=100000,INDEX($AO$1005:$BQ$1005,1,MATCH(COLUMNS($AO$1006:BB1006),$AO$1006:$BQ$1006,0))&gt;=100000), " ",IF(INDEX($AO$2:$BQ$1001,MATCH(ROWS($AH$2:AH648),$AH$2:$AH$1001,0),MATCH(COLUMNS($AO$1006:BB1006),$AO$1006:$BQ$1006,0)), HYPERLINK("#",""), HYPERLINK(CONCATENATE("#Metadata!", ADDRESS(INDEX($AJ$2:$AJ$1001,MATCH(ROWS($AH$2:AH648),$AH$2:$AH$1001,0),0), INDEX($AO$1004:$BQ$1004,1,MATCH(COLUMNS($AO$1006:BB1006),$AO$1006:$BQ$1006,0)))),"Fix")))</f>
        <v>#N/A</v>
      </c>
      <c r="P648" s="5" t="e">
        <f ca="1">IF(OR(INDEX($AI$2:$AI$1001,MATCH(ROWS($AH$2:AH648),$AH$2:$AH$1001,0),1)&gt;=100000,INDEX($AO$1005:$BQ$1005,1,MATCH(COLUMNS($AO$1006:BC1006),$AO$1006:$BQ$1006,0))&gt;=100000), " ",IF(INDEX($AO$2:$BQ$1001,MATCH(ROWS($AH$2:AH648),$AH$2:$AH$1001,0),MATCH(COLUMNS($AO$1006:BC1006),$AO$1006:$BQ$1006,0)), HYPERLINK("#",""), HYPERLINK(CONCATENATE("#Metadata!", ADDRESS(INDEX($AJ$2:$AJ$1001,MATCH(ROWS($AH$2:AH648),$AH$2:$AH$1001,0),0), INDEX($AO$1004:$BQ$1004,1,MATCH(COLUMNS($AO$1006:BC1006),$AO$1006:$BQ$1006,0)))),"Fix")))</f>
        <v>#N/A</v>
      </c>
      <c r="Q648" s="5" t="e">
        <f ca="1">IF(OR(INDEX($AI$2:$AI$1001,MATCH(ROWS($AH$2:AH648),$AH$2:$AH$1001,0),1)&gt;=100000,INDEX($AO$1005:$BQ$1005,1,MATCH(COLUMNS($AO$1006:BD1006),$AO$1006:$BQ$1006,0))&gt;=100000), " ",IF(INDEX($AO$2:$BQ$1001,MATCH(ROWS($AH$2:AH648),$AH$2:$AH$1001,0),MATCH(COLUMNS($AO$1006:BD1006),$AO$1006:$BQ$1006,0)), HYPERLINK("#",""), HYPERLINK(CONCATENATE("#Metadata!", ADDRESS(INDEX($AJ$2:$AJ$1001,MATCH(ROWS($AH$2:AH648),$AH$2:$AH$1001,0),0), INDEX($AO$1004:$BQ$1004,1,MATCH(COLUMNS($AO$1006:BD1006),$AO$1006:$BQ$1006,0)))),"Fix")))</f>
        <v>#N/A</v>
      </c>
      <c r="R648" s="5" t="e">
        <f ca="1">IF(OR(INDEX($AI$2:$AI$1001,MATCH(ROWS($AH$2:AH648),$AH$2:$AH$1001,0),1)&gt;=100000,INDEX($AO$1005:$BQ$1005,1,MATCH(COLUMNS($AO$1006:BE1006),$AO$1006:$BQ$1006,0))&gt;=100000), " ",IF(INDEX($AO$2:$BQ$1001,MATCH(ROWS($AH$2:AH648),$AH$2:$AH$1001,0),MATCH(COLUMNS($AO$1006:BE1006),$AO$1006:$BQ$1006,0)), HYPERLINK("#",""), HYPERLINK(CONCATENATE("#Metadata!", ADDRESS(INDEX($AJ$2:$AJ$1001,MATCH(ROWS($AH$2:AH648),$AH$2:$AH$1001,0),0), INDEX($AO$1004:$BQ$1004,1,MATCH(COLUMNS($AO$1006:BE1006),$AO$1006:$BQ$1006,0)))),"Fix")))</f>
        <v>#N/A</v>
      </c>
      <c r="S648" s="5" t="e">
        <f ca="1">IF(OR(INDEX($AI$2:$AI$1001,MATCH(ROWS($AH$2:AH648),$AH$2:$AH$1001,0),1)&gt;=100000,INDEX($AO$1005:$BQ$1005,1,MATCH(COLUMNS($AO$1006:BF1006),$AO$1006:$BQ$1006,0))&gt;=100000), " ",IF(INDEX($AO$2:$BQ$1001,MATCH(ROWS($AH$2:AH648),$AH$2:$AH$1001,0),MATCH(COLUMNS($AO$1006:BF1006),$AO$1006:$BQ$1006,0)), HYPERLINK("#",""), HYPERLINK(CONCATENATE("#Metadata!", ADDRESS(INDEX($AJ$2:$AJ$1001,MATCH(ROWS($AH$2:AH648),$AH$2:$AH$1001,0),0), INDEX($AO$1004:$BQ$1004,1,MATCH(COLUMNS($AO$1006:BF1006),$AO$1006:$BQ$1006,0)))),"Fix")))</f>
        <v>#N/A</v>
      </c>
      <c r="T648" s="5" t="e">
        <f ca="1">IF(OR(INDEX($AI$2:$AI$1001,MATCH(ROWS($AH$2:AH648),$AH$2:$AH$1001,0),1)&gt;=100000,INDEX($AO$1005:$BQ$1005,1,MATCH(COLUMNS($AO$1006:BG1006),$AO$1006:$BQ$1006,0))&gt;=100000), " ",IF(INDEX($AO$2:$BQ$1001,MATCH(ROWS($AH$2:AH648),$AH$2:$AH$1001,0),MATCH(COLUMNS($AO$1006:BG1006),$AO$1006:$BQ$1006,0)), HYPERLINK("#",""), HYPERLINK(CONCATENATE("#Metadata!", ADDRESS(INDEX($AJ$2:$AJ$1001,MATCH(ROWS($AH$2:AH648),$AH$2:$AH$1001,0),0), INDEX($AO$1004:$BQ$1004,1,MATCH(COLUMNS($AO$1006:BG1006),$AO$1006:$BQ$1006,0)))),"Fix")))</f>
        <v>#N/A</v>
      </c>
      <c r="U648" s="5" t="e">
        <f ca="1">IF(OR(INDEX($AI$2:$AI$1001,MATCH(ROWS($AH$2:AH648),$AH$2:$AH$1001,0),1)&gt;=100000,INDEX($AO$1005:$BQ$1005,1,MATCH(COLUMNS($AO$1006:BH1006),$AO$1006:$BQ$1006,0))&gt;=100000), " ",IF(INDEX($AO$2:$BQ$1001,MATCH(ROWS($AH$2:AH648),$AH$2:$AH$1001,0),MATCH(COLUMNS($AO$1006:BH1006),$AO$1006:$BQ$1006,0)), HYPERLINK("#",""), HYPERLINK(CONCATENATE("#Metadata!", ADDRESS(INDEX($AJ$2:$AJ$1001,MATCH(ROWS($AH$2:AH648),$AH$2:$AH$1001,0),0), INDEX($AO$1004:$BQ$1004,1,MATCH(COLUMNS($AO$1006:BH1006),$AO$1006:$BQ$1006,0)))),"Fix")))</f>
        <v>#N/A</v>
      </c>
      <c r="V648" s="5" t="e">
        <f ca="1">IF(OR(INDEX($AI$2:$AI$1001,MATCH(ROWS($AH$2:AH648),$AH$2:$AH$1001,0),1)&gt;=100000,INDEX($AO$1005:$BQ$1005,1,MATCH(COLUMNS($AO$1006:BI1006),$AO$1006:$BQ$1006,0))&gt;=100000), " ",IF(INDEX($AO$2:$BQ$1001,MATCH(ROWS($AH$2:AH648),$AH$2:$AH$1001,0),MATCH(COLUMNS($AO$1006:BI1006),$AO$1006:$BQ$1006,0)), HYPERLINK("#",""), HYPERLINK(CONCATENATE("#Metadata!", ADDRESS(INDEX($AJ$2:$AJ$1001,MATCH(ROWS($AH$2:AH648),$AH$2:$AH$1001,0),0), INDEX($AO$1004:$BQ$1004,1,MATCH(COLUMNS($AO$1006:BI1006),$AO$1006:$BQ$1006,0)))),"Fix")))</f>
        <v>#N/A</v>
      </c>
      <c r="W648" s="5" t="e">
        <f ca="1">IF(OR(INDEX($AI$2:$AI$1001,MATCH(ROWS($AH$2:AH648),$AH$2:$AH$1001,0),1)&gt;=100000,INDEX($AO$1005:$BQ$1005,1,MATCH(COLUMNS($AO$1006:BJ1006),$AO$1006:$BQ$1006,0))&gt;=100000), " ",IF(INDEX($AO$2:$BQ$1001,MATCH(ROWS($AH$2:AH648),$AH$2:$AH$1001,0),MATCH(COLUMNS($AO$1006:BJ1006),$AO$1006:$BQ$1006,0)), HYPERLINK("#",""), HYPERLINK(CONCATENATE("#Metadata!", ADDRESS(INDEX($AJ$2:$AJ$1001,MATCH(ROWS($AH$2:AH648),$AH$2:$AH$1001,0),0), INDEX($AO$1004:$BQ$1004,1,MATCH(COLUMNS($AO$1006:BJ1006),$AO$1006:$BQ$1006,0)))),"Fix")))</f>
        <v>#N/A</v>
      </c>
      <c r="X648" s="5" t="e">
        <f ca="1">IF(OR(INDEX($AI$2:$AI$1001,MATCH(ROWS($AH$2:AH648),$AH$2:$AH$1001,0),1)&gt;=100000,INDEX($AO$1005:$BQ$1005,1,MATCH(COLUMNS($AO$1006:BK1006),$AO$1006:$BQ$1006,0))&gt;=100000), " ",IF(INDEX($AO$2:$BQ$1001,MATCH(ROWS($AH$2:AH648),$AH$2:$AH$1001,0),MATCH(COLUMNS($AO$1006:BK1006),$AO$1006:$BQ$1006,0)), HYPERLINK("#",""), HYPERLINK(CONCATENATE("#Metadata!", ADDRESS(INDEX($AJ$2:$AJ$1001,MATCH(ROWS($AH$2:AH648),$AH$2:$AH$1001,0),0), INDEX($AO$1004:$BQ$1004,1,MATCH(COLUMNS($AO$1006:BK1006),$AO$1006:$BQ$1006,0)))),"Fix")))</f>
        <v>#N/A</v>
      </c>
      <c r="Y648" s="5" t="e">
        <f ca="1">IF(OR(INDEX($AI$2:$AI$1001,MATCH(ROWS($AH$2:AH648),$AH$2:$AH$1001,0),1)&gt;=100000,INDEX($AO$1005:$BQ$1005,1,MATCH(COLUMNS($AO$1006:BL1006),$AO$1006:$BQ$1006,0))&gt;=100000), " ",IF(INDEX($AO$2:$BQ$1001,MATCH(ROWS($AH$2:AH648),$AH$2:$AH$1001,0),MATCH(COLUMNS($AO$1006:BL1006),$AO$1006:$BQ$1006,0)), HYPERLINK("#",""), HYPERLINK(CONCATENATE("#Metadata!", ADDRESS(INDEX($AJ$2:$AJ$1001,MATCH(ROWS($AH$2:AH648),$AH$2:$AH$1001,0),0), INDEX($AO$1004:$BQ$1004,1,MATCH(COLUMNS($AO$1006:BL1006),$AO$1006:$BQ$1006,0)))),"Fix")))</f>
        <v>#N/A</v>
      </c>
      <c r="Z648" s="5" t="e">
        <f ca="1">IF(OR(INDEX($AI$2:$AI$1001,MATCH(ROWS($AH$2:AH648),$AH$2:$AH$1001,0),1)&gt;=100000,INDEX($AO$1005:$BQ$1005,1,MATCH(COLUMNS($AO$1006:BM1006),$AO$1006:$BQ$1006,0))&gt;=100000), " ",IF(INDEX($AO$2:$BQ$1001,MATCH(ROWS($AH$2:AH648),$AH$2:$AH$1001,0),MATCH(COLUMNS($AO$1006:BM1006),$AO$1006:$BQ$1006,0)), HYPERLINK("#",""), HYPERLINK(CONCATENATE("#Metadata!", ADDRESS(INDEX($AJ$2:$AJ$1001,MATCH(ROWS($AH$2:AH648),$AH$2:$AH$1001,0),0), INDEX($AO$1004:$BQ$1004,1,MATCH(COLUMNS($AO$1006:BM1006),$AO$1006:$BQ$1006,0)))),"Fix")))</f>
        <v>#N/A</v>
      </c>
      <c r="AA648" s="5" t="e">
        <f ca="1">IF(OR(INDEX($AI$2:$AI$1001,MATCH(ROWS($AH$2:AH648),$AH$2:$AH$1001,0),1)&gt;=100000,INDEX($AO$1005:$BQ$1005,1,MATCH(COLUMNS($AO$1006:BN1006),$AO$1006:$BQ$1006,0))&gt;=100000), " ",IF(INDEX($AO$2:$BQ$1001,MATCH(ROWS($AH$2:AH648),$AH$2:$AH$1001,0),MATCH(COLUMNS($AO$1006:BN1006),$AO$1006:$BQ$1006,0)), HYPERLINK("#",""), HYPERLINK(CONCATENATE("#Metadata!", ADDRESS(INDEX($AJ$2:$AJ$1001,MATCH(ROWS($AH$2:AH648),$AH$2:$AH$1001,0),0), INDEX($AO$1004:$BQ$1004,1,MATCH(COLUMNS($AO$1006:BN1006),$AO$1006:$BQ$1006,0)))),"Fix")))</f>
        <v>#N/A</v>
      </c>
      <c r="AB648" s="5" t="e">
        <f ca="1">IF(OR(INDEX($AI$2:$AI$1001,MATCH(ROWS($AH$2:AH648),$AH$2:$AH$1001,0),1)&gt;=100000,INDEX($AO$1005:$BQ$1005,1,MATCH(COLUMNS($AO$1006:BO1006),$AO$1006:$BQ$1006,0))&gt;=100000), " ",IF(INDEX($AO$2:$BQ$1001,MATCH(ROWS($AH$2:AH648),$AH$2:$AH$1001,0),MATCH(COLUMNS($AO$1006:BO1006),$AO$1006:$BQ$1006,0)), HYPERLINK("#",""), HYPERLINK(CONCATENATE("#Metadata!", ADDRESS(INDEX($AJ$2:$AJ$1001,MATCH(ROWS($AH$2:AH648),$AH$2:$AH$1001,0),0), INDEX($AO$1004:$BQ$1004,1,MATCH(COLUMNS($AO$1006:BO1006),$AO$1006:$BQ$1006,0)))),"Fix")))</f>
        <v>#N/A</v>
      </c>
      <c r="AC648" s="5" t="e">
        <f ca="1">IF(OR(INDEX($AI$2:$AI$1001,MATCH(ROWS($AH$2:AH648),$AH$2:$AH$1001,0),1)&gt;=100000,INDEX($AO$1005:$BQ$1005,1,MATCH(COLUMNS($AO$1006:BP1006),$AO$1006:$BQ$1006,0))&gt;=100000), " ",IF(INDEX($AO$2:$BQ$1001,MATCH(ROWS($AH$2:AH648),$AH$2:$AH$1001,0),MATCH(COLUMNS($AO$1006:BP1006),$AO$1006:$BQ$1006,0)), HYPERLINK("#",""), HYPERLINK(CONCATENATE("#Metadata!", ADDRESS(INDEX($AJ$2:$AJ$1001,MATCH(ROWS($AH$2:AH648),$AH$2:$AH$1001,0),0), INDEX($AO$1004:$BQ$1004,1,MATCH(COLUMNS($AO$1006:BP1006),$AO$1006:$BQ$1006,0)))),"Fix")))</f>
        <v>#N/A</v>
      </c>
      <c r="AD648" s="5" t="e">
        <f ca="1">IF(OR(INDEX($AI$2:$AI$1001,MATCH(ROWS($AH$2:AH648),$AH$2:$AH$1001,0),1)&gt;=100000,INDEX($AO$1005:$BQ$1005,1,MATCH(COLUMNS($AO$1006:BQ1006),$AO$1006:$BQ$1006,0))&gt;=100000), " ",IF(INDEX($AO$2:$BQ$1001,MATCH(ROWS($AH$2:AH648),$AH$2:$AH$1001,0),MATCH(COLUMNS($AO$1006:BQ1006),$AO$1006:$BQ$1006,0)), HYPERLINK("#",""), HYPERLINK(CONCATENATE("#Metadata!", ADDRESS(INDEX($AJ$2:$AJ$1001,MATCH(ROWS($AH$2:AH648),$AH$2:$AH$1001,0),0), INDEX($AO$1004:$BQ$1004,1,MATCH(COLUMNS($AO$1006:BQ1006),$AO$1006:$BQ$1006,0)))),"Fix")))</f>
        <v>#REF!</v>
      </c>
      <c r="AH648">
        <f ca="1"/>
        <v>645</v>
      </c>
      <c r="AI648">
        <v>100648</v>
      </c>
      <c r="AJ648">
        <v>648</v>
      </c>
      <c r="AK648" t="b">
        <f t="shared" si="10"/>
        <v>1</v>
      </c>
      <c r="AL648" t="b">
        <f>COUNTBLANK(Metadata!B648:AD648)=COLUMNS(Metadata!B648:AD648)</f>
        <v>1</v>
      </c>
      <c r="AM648" t="str">
        <v/>
      </c>
      <c r="AO648" t="b">
        <f ca="1">AND(IF(Metadata!B648="",FALSE,TRUE),COUNTIF(Metadata!B:B, Metadata!B648) = 1,NOT(ISERROR(SUMPRODUCT(SEARCH(MID(Metadata!B648,ROW(INDIRECT("1:"&amp;LEN(Metadata!B648))), 1),"0123456789abcdefghijklmnopqrstuvwxyzABCDEFGHIJKLMNOPQRSTUVWXYZ.")))))</f>
        <v>0</v>
      </c>
      <c r="AP648" t="b">
        <f>IF(Metadata!C648="",FALSE,TRUE)</f>
        <v>0</v>
      </c>
      <c r="AQ648" t="b">
        <f>IF(Metadata!D648="",FALSE,TRUE)</f>
        <v>0</v>
      </c>
      <c r="AR648" t="b">
        <f ca="1">OR(AND(IF(Metadata!E648="",FALSE,TRUE),OR(EXACT(Metadata!E648,"not collected"),EXACT(Metadata!E648,"not provided"),EXACT(Metadata!E648,"restricted access"))),AND(IF(Metadata!E648="",FALSE,TRUE),AND(AND(IFERROR(INT(LEFT(Metadata!E648,4))&gt;1900,FALSE),IFERROR(INT(LEFT(Metadata!E648,4))&lt;=YEAR(NOW()),FALSE)), OR(MID(Metadata!E648,5,1)="", AND(AND(MID(Metadata!E648,5,1)="-",IFERROR(INT(MID(Metadata!E648,6,1))&gt;=0,FALSE),IFERROR(INT(MID(Metadata!E648,6,1))&lt;=1,FALSE),NOT(MID(Metadata!E648,7,1)=""),IFERROR(INT(MID(Metadata!E648,6,2))&gt;=1,FALSE),IFERROR(INT(MID(Metadata!E648,6,2))&lt;=12,FALSE)), OR(MID(Metadata!E648,8,1)="", AND(AND(MID(Metadata!E648,8,1)="-",IFERROR(INT(MID(Metadata!E648,9,1))&gt;=0,FALSE),IFERROR(INT(MID(Metadata!E648,9,1))&lt;=3,FALSE),NOT(MID(Metadata!E648,10,1)=""),IFERROR(INT(MID(Metadata!E648,9,2))&gt;=1,FALSE),IFERROR(INT(MID(Metadata!E648,9,2))&lt;=31,FALSE)), OR(MID(Metadata!E648,11,1)="", AND(AND(MID(Metadata!E648,11,1)=" ",IFERROR(INT(MID(Metadata!E648,12,1))&gt;=0,FALSE),IFERROR(INT(MID(Metadata!E648,12,1))&lt;=2,FALSE),NOT(MID(Metadata!E648,13,1)=""),IFERROR(INT(MID(Metadata!E648,12,2))&gt;=0,FALSE),IFERROR(INT(MID(Metadata!E648,12,2))&lt;=23,FALSE)), OR(MID(Metadata!E648,14,1)="", AND(AND(MID(Metadata!E648,14,1)=":",IFERROR(INT(MID(Metadata!E648,15,1))&gt;=0,FALSE),IFERROR(INT(MID(Metadata!E648,15,1))&lt;=5,FALSE),NOT(MID(Metadata!E648,16,1)=""),IFERROR(INT(MID(Metadata!E648,15,2))&gt;=0,FALSE),IFERROR(INT(MID(Metadata!E648,15,2))&lt;=59,FALSE)), OR(MID(Metadata!E648,17,1)="", AND(AND(MID(Metadata!E648,17,1)=":",IFERROR(INT(MID(Metadata!E648,18,1))&gt;=0,FALSE),IFERROR(INT(MID(Metadata!E648,18,1))&lt;=5,FALSE),NOT(MID(Metadata!E648,19,1)=""),IFERROR(INT(MID(Metadata!E648,18,2))&gt;=0,FALSE),IFERROR(INT(MID(Metadata!E648,18,2))&lt;=59,FALSE)), LEN(Metadata!E648)&lt;=19)))))))))))))</f>
        <v>0</v>
      </c>
      <c r="AS648" t="b">
        <f>IF(Metadata!F648="",FALSE,TRUE)</f>
        <v>0</v>
      </c>
      <c r="AT648" t="b">
        <f>OR(AND(IF(Metadata!G648="",FALSE,TRUE),OR(EXACT(Metadata!G648,"not collected"),EXACT(Metadata!G648,"not provided"))),AND(IF(Metadata!G648="",FALSE,TRUE),OR(EXACT(Metadata!G648,"TRUE"),EXACT(Metadata!G648,"FALSE"))))</f>
        <v>0</v>
      </c>
      <c r="AU648" t="b">
        <f>OR(AND(IF(Metadata!H648="",FALSE,TRUE),OR(EXACT(Metadata!H648,"not collected"),EXACT(Metadata!H648,"not provided"),EXACT(Metadata!H648,"restricted access"))),AND(IF(Metadata!H648="",FALSE,ISNUMBER(VALUE(Metadata!H648))),Metadata!H648&gt;=-413))</f>
        <v>0</v>
      </c>
      <c r="AV648" t="b">
        <f>AND(IF(Metadata!I648="",FALSE,TRUE),EXACT(Metadata!I648,"meters"))</f>
        <v>0</v>
      </c>
      <c r="AW648" t="b">
        <f>AND(IF(Metadata!J648="",FALSE,TRUE),EXACT(Metadata!J648,"free-living"))</f>
        <v>0</v>
      </c>
      <c r="AX648" t="b">
        <f>AND(IF(Metadata!K648="",FALSE,TRUE),OR(EXACT(Metadata!K648,"saline"),EXACT(Metadata!K648,"non-saline")))</f>
        <v>0</v>
      </c>
      <c r="AY648" t="b">
        <f>AND(IF(Metadata!L648="",FALSE,TRUE),OR(EXACT(Metadata!L648,"sub-surface (non-saline)"),EXACT(Metadata!L648,"surface (non-saline)"),EXACT(Metadata!L648,"water (non-saline)"),EXACT(Metadata!L648,"soil (non-saline)"),EXACT(Metadata!L648,"aerosol (non-saline)"),EXACT(Metadata!L648,"sediment (non-saline)"),EXACT(Metadata!L648,"surface (saline)"),EXACT(Metadata!L648,"water (saline)"),EXACT(Metadata!L648,"hypersaline (saline)"),EXACT(Metadata!L648,"aerosol (saline)"),EXACT(Metadata!L648,"sediment (saline)")))</f>
        <v>0</v>
      </c>
      <c r="AZ648" t="b">
        <f>IF(Metadata!M648="",FALSE,TRUE)</f>
        <v>0</v>
      </c>
      <c r="BA648" t="b">
        <f>IF(Metadata!N648="",FALSE,TRUE)</f>
        <v>0</v>
      </c>
      <c r="BB648" t="b">
        <f>IF(Metadata!O648="",FALSE,TRUE)</f>
        <v>0</v>
      </c>
      <c r="BC648" t="b">
        <f>AND(IF(Metadata!P648="",FALSE,TRUE),OR(EXACT(Metadata!P648,"air"),EXACT(Metadata!P648,"microbial mat/biofilm"),EXACT(Metadata!P648,"misc environment"),EXACT(Metadata!P648,"sediment"),EXACT(Metadata!P648,"soil"),EXACT(Metadata!P648,"wastewater/sludge"),EXACT(Metadata!P648,"water")))</f>
        <v>0</v>
      </c>
      <c r="BD648" t="b">
        <f>IF(Metadata!Q648="",FALSE,TRUE)</f>
        <v>0</v>
      </c>
      <c r="BE648" t="b">
        <f>IF(Metadata!R648="",FALSE,TRUE)</f>
        <v>0</v>
      </c>
      <c r="BF648" t="b">
        <f>OR(AND(IF(Metadata!S648="",FALSE,TRUE),OR(EXACT(Metadata!S648,"not collected"),EXACT(Metadata!S648,"not provided"),EXACT(Metadata!S648,"restricted access"))),AND(IF(Metadata!S648="",FALSE,ISNUMBER(VALUE(Metadata!S648))),Metadata!S648&gt;=-90,Metadata!S648&lt;=90))</f>
        <v>0</v>
      </c>
      <c r="BG648" t="b">
        <f>AND(IF(Metadata!T648="",FALSE,TRUE),EXACT(Metadata!T648,"Decimal degrees"))</f>
        <v>0</v>
      </c>
      <c r="BH648" t="b">
        <f>OR(AND(IF(Metadata!U648="",FALSE,TRUE),OR(EXACT(Metadata!U648,"not applicable"),EXACT(Metadata!U648,"not collected"))),IF(Metadata!U648="",FALSE,TRUE))</f>
        <v>0</v>
      </c>
      <c r="BI648" t="b">
        <f>OR(AND(IF(Metadata!V648="",FALSE,TRUE),OR(EXACT(Metadata!V648,"not collected"),EXACT(Metadata!V648,"not provided"),EXACT(Metadata!V648,"restricted access"))),AND(IF(Metadata!V648="",FALSE,ISNUMBER(VALUE(Metadata!V648))),Metadata!V648&gt;=-180,Metadata!V648&lt;=180))</f>
        <v>0</v>
      </c>
      <c r="BJ648" t="b">
        <f>AND(IF(Metadata!W648="",FALSE,TRUE),EXACT(Metadata!W648,"Decimal degrees"))</f>
        <v>0</v>
      </c>
      <c r="BK648" t="b">
        <f>IF(Metadata!X648="",FALSE,TRUE)</f>
        <v>0</v>
      </c>
      <c r="BL648" t="b">
        <f>OR(AND(IF(Metadata!Y648="",FALSE,TRUE),OR(EXACT(Metadata!Y648,"not collected"),EXACT(Metadata!Y648,"not provided"),EXACT(Metadata!Y648,"restricted access"))),AND(IF(Metadata!Y648="",FALSE,TRUE),OR(EXACT(Metadata!Y648,"TRUE"),EXACT(Metadata!Y648,"FALSE"))))</f>
        <v>0</v>
      </c>
      <c r="BM648" t="b">
        <f>OR(AND(IF(Metadata!Z648="",FALSE,TRUE),EXACT(Metadata!Z648,"not applicable")),AND(IF(Metadata!Z648="",FALSE,TRUE),OR(EXACT(Metadata!Z648,"beer"),EXACT(Metadata!Z648,"cheese"),EXACT(Metadata!Z648,"fresh water"),EXACT(Metadata!Z648,"marine sediment"),EXACT(Metadata!Z648,"sea water"),EXACT(Metadata!Z648,"sediment"),EXACT(Metadata!Z648,"soil"),EXACT(Metadata!Z648,"waste water"))))</f>
        <v>0</v>
      </c>
      <c r="BN648" t="b">
        <f>AND(IF(Metadata!AA648="",FALSE,TRUE),EXACT(Metadata!AA648,"metagenome"))</f>
        <v>0</v>
      </c>
      <c r="BO648" t="b">
        <f>AND(IF(Metadata!AB648="",FALSE,TRUE),EXACT(Metadata!AB648,"256318"))</f>
        <v>0</v>
      </c>
      <c r="BP648" t="b">
        <f>IF(Metadata!AC648="",FALSE,TRUE)</f>
        <v>0</v>
      </c>
      <c r="BQ648" t="b">
        <f>IF(Metadata!AD648="",FALSE,TRUE)</f>
        <v>0</v>
      </c>
    </row>
    <row r="649" spans="1:69" x14ac:dyDescent="0.2">
      <c r="A649" s="4" t="e">
        <f ca="1">IF(B649=" "," ",HYPERLINK(CONCATENATE("#metadata!",ADDRESS(INDEX($AJ$2:$AJ$1001,MATCH(ROWS($AH$2:AH649),$AH$2:$AH$1001,0),0),2)),INDEX($AM$2:$AM$1001,MATCH(ROWS($AH$2:AH649),$AH$2:$AH$1001,0),0)))</f>
        <v>#N/A</v>
      </c>
      <c r="B649" s="5" t="e">
        <f ca="1">IF(OR(INDEX($AI$2:$AI$1001,MATCH(ROWS($AH$2:AH649),$AH$2:$AH$1001,0),1)&gt;=100000,INDEX($AO$1005:$BQ$1005,1,MATCH(COLUMNS($AO$1006:AO1006),$AO$1006:$BQ$1006,0))&gt;=100000), " ",IF(INDEX($AO$2:$BQ$1001,MATCH(ROWS($AH$2:AH649),$AH$2:$AH$1001,0),MATCH(COLUMNS($AO$1006:AO1006),$AO$1006:$BQ$1006,0)), HYPERLINK("#",""), HYPERLINK(CONCATENATE("#Metadata!", ADDRESS(INDEX($AJ$2:$AJ$1001,MATCH(ROWS($AH$2:AH649),$AH$2:$AH$1001,0),0), INDEX($AO$1004:$BQ$1004,1,MATCH(COLUMNS($AO$1006:AO1006),$AO$1006:$BQ$1006,0)))),"Fix")))</f>
        <v>#N/A</v>
      </c>
      <c r="C649" s="5" t="e">
        <f ca="1">IF(OR(INDEX($AI$2:$AI$1001,MATCH(ROWS($AH$2:AH649),$AH$2:$AH$1001,0),1)&gt;=100000,INDEX($AO$1005:$BQ$1005,1,MATCH(COLUMNS($AO$1006:AP1006),$AO$1006:$BQ$1006,0))&gt;=100000), " ",IF(INDEX($AO$2:$BQ$1001,MATCH(ROWS($AH$2:AH649),$AH$2:$AH$1001,0),MATCH(COLUMNS($AO$1006:AP1006),$AO$1006:$BQ$1006,0)), HYPERLINK("#",""), HYPERLINK(CONCATENATE("#Metadata!", ADDRESS(INDEX($AJ$2:$AJ$1001,MATCH(ROWS($AH$2:AH649),$AH$2:$AH$1001,0),0), INDEX($AO$1004:$BQ$1004,1,MATCH(COLUMNS($AO$1006:AP1006),$AO$1006:$BQ$1006,0)))),"Fix")))</f>
        <v>#N/A</v>
      </c>
      <c r="D649" s="5" t="e">
        <f ca="1">IF(OR(INDEX($AI$2:$AI$1001,MATCH(ROWS($AH$2:AH649),$AH$2:$AH$1001,0),1)&gt;=100000,INDEX($AO$1005:$BQ$1005,1,MATCH(COLUMNS($AO$1006:AQ1006),$AO$1006:$BQ$1006,0))&gt;=100000), " ",IF(INDEX($AO$2:$BQ$1001,MATCH(ROWS($AH$2:AH649),$AH$2:$AH$1001,0),MATCH(COLUMNS($AO$1006:AQ1006),$AO$1006:$BQ$1006,0)), HYPERLINK("#",""), HYPERLINK(CONCATENATE("#Metadata!", ADDRESS(INDEX($AJ$2:$AJ$1001,MATCH(ROWS($AH$2:AH649),$AH$2:$AH$1001,0),0), INDEX($AO$1004:$BQ$1004,1,MATCH(COLUMNS($AO$1006:AQ1006),$AO$1006:$BQ$1006,0)))),"Fix")))</f>
        <v>#N/A</v>
      </c>
      <c r="E649" s="5" t="e">
        <f ca="1">IF(OR(INDEX($AI$2:$AI$1001,MATCH(ROWS($AH$2:AH649),$AH$2:$AH$1001,0),1)&gt;=100000,INDEX($AO$1005:$BQ$1005,1,MATCH(COLUMNS($AO$1006:AR1006),$AO$1006:$BQ$1006,0))&gt;=100000), " ",IF(INDEX($AO$2:$BQ$1001,MATCH(ROWS($AH$2:AH649),$AH$2:$AH$1001,0),MATCH(COLUMNS($AO$1006:AR1006),$AO$1006:$BQ$1006,0)), HYPERLINK("#",""), HYPERLINK(CONCATENATE("#Metadata!", ADDRESS(INDEX($AJ$2:$AJ$1001,MATCH(ROWS($AH$2:AH649),$AH$2:$AH$1001,0),0), INDEX($AO$1004:$BQ$1004,1,MATCH(COLUMNS($AO$1006:AR1006),$AO$1006:$BQ$1006,0)))),"Fix")))</f>
        <v>#N/A</v>
      </c>
      <c r="F649" s="5" t="e">
        <f ca="1">IF(OR(INDEX($AI$2:$AI$1001,MATCH(ROWS($AH$2:AH649),$AH$2:$AH$1001,0),1)&gt;=100000,INDEX($AO$1005:$BQ$1005,1,MATCH(COLUMNS($AO$1006:AS1006),$AO$1006:$BQ$1006,0))&gt;=100000), " ",IF(INDEX($AO$2:$BQ$1001,MATCH(ROWS($AH$2:AH649),$AH$2:$AH$1001,0),MATCH(COLUMNS($AO$1006:AS1006),$AO$1006:$BQ$1006,0)), HYPERLINK("#",""), HYPERLINK(CONCATENATE("#Metadata!", ADDRESS(INDEX($AJ$2:$AJ$1001,MATCH(ROWS($AH$2:AH649),$AH$2:$AH$1001,0),0), INDEX($AO$1004:$BQ$1004,1,MATCH(COLUMNS($AO$1006:AS1006),$AO$1006:$BQ$1006,0)))),"Fix")))</f>
        <v>#N/A</v>
      </c>
      <c r="G649" s="5" t="e">
        <f ca="1">IF(OR(INDEX($AI$2:$AI$1001,MATCH(ROWS($AH$2:AH649),$AH$2:$AH$1001,0),1)&gt;=100000,INDEX($AO$1005:$BQ$1005,1,MATCH(COLUMNS($AO$1006:AT1006),$AO$1006:$BQ$1006,0))&gt;=100000), " ",IF(INDEX($AO$2:$BQ$1001,MATCH(ROWS($AH$2:AH649),$AH$2:$AH$1001,0),MATCH(COLUMNS($AO$1006:AT1006),$AO$1006:$BQ$1006,0)), HYPERLINK("#",""), HYPERLINK(CONCATENATE("#Metadata!", ADDRESS(INDEX($AJ$2:$AJ$1001,MATCH(ROWS($AH$2:AH649),$AH$2:$AH$1001,0),0), INDEX($AO$1004:$BQ$1004,1,MATCH(COLUMNS($AO$1006:AT1006),$AO$1006:$BQ$1006,0)))),"Fix")))</f>
        <v>#N/A</v>
      </c>
      <c r="H649" s="5" t="e">
        <f ca="1">IF(OR(INDEX($AI$2:$AI$1001,MATCH(ROWS($AH$2:AH649),$AH$2:$AH$1001,0),1)&gt;=100000,INDEX($AO$1005:$BQ$1005,1,MATCH(COLUMNS($AO$1006:AU1006),$AO$1006:$BQ$1006,0))&gt;=100000), " ",IF(INDEX($AO$2:$BQ$1001,MATCH(ROWS($AH$2:AH649),$AH$2:$AH$1001,0),MATCH(COLUMNS($AO$1006:AU1006),$AO$1006:$BQ$1006,0)), HYPERLINK("#",""), HYPERLINK(CONCATENATE("#Metadata!", ADDRESS(INDEX($AJ$2:$AJ$1001,MATCH(ROWS($AH$2:AH649),$AH$2:$AH$1001,0),0), INDEX($AO$1004:$BQ$1004,1,MATCH(COLUMNS($AO$1006:AU1006),$AO$1006:$BQ$1006,0)))),"Fix")))</f>
        <v>#N/A</v>
      </c>
      <c r="I649" s="5" t="e">
        <f ca="1">IF(OR(INDEX($AI$2:$AI$1001,MATCH(ROWS($AH$2:AH649),$AH$2:$AH$1001,0),1)&gt;=100000,INDEX($AO$1005:$BQ$1005,1,MATCH(COLUMNS($AO$1006:AV1006),$AO$1006:$BQ$1006,0))&gt;=100000), " ",IF(INDEX($AO$2:$BQ$1001,MATCH(ROWS($AH$2:AH649),$AH$2:$AH$1001,0),MATCH(COLUMNS($AO$1006:AV1006),$AO$1006:$BQ$1006,0)), HYPERLINK("#",""), HYPERLINK(CONCATENATE("#Metadata!", ADDRESS(INDEX($AJ$2:$AJ$1001,MATCH(ROWS($AH$2:AH649),$AH$2:$AH$1001,0),0), INDEX($AO$1004:$BQ$1004,1,MATCH(COLUMNS($AO$1006:AV1006),$AO$1006:$BQ$1006,0)))),"Fix")))</f>
        <v>#N/A</v>
      </c>
      <c r="J649" s="5" t="e">
        <f ca="1">IF(OR(INDEX($AI$2:$AI$1001,MATCH(ROWS($AH$2:AH649),$AH$2:$AH$1001,0),1)&gt;=100000,INDEX($AO$1005:$BQ$1005,1,MATCH(COLUMNS($AO$1006:AW1006),$AO$1006:$BQ$1006,0))&gt;=100000), " ",IF(INDEX($AO$2:$BQ$1001,MATCH(ROWS($AH$2:AH649),$AH$2:$AH$1001,0),MATCH(COLUMNS($AO$1006:AW1006),$AO$1006:$BQ$1006,0)), HYPERLINK("#",""), HYPERLINK(CONCATENATE("#Metadata!", ADDRESS(INDEX($AJ$2:$AJ$1001,MATCH(ROWS($AH$2:AH649),$AH$2:$AH$1001,0),0), INDEX($AO$1004:$BQ$1004,1,MATCH(COLUMNS($AO$1006:AW1006),$AO$1006:$BQ$1006,0)))),"Fix")))</f>
        <v>#N/A</v>
      </c>
      <c r="K649" s="5" t="e">
        <f ca="1">IF(OR(INDEX($AI$2:$AI$1001,MATCH(ROWS($AH$2:AH649),$AH$2:$AH$1001,0),1)&gt;=100000,INDEX($AO$1005:$BQ$1005,1,MATCH(COLUMNS($AO$1006:AX1006),$AO$1006:$BQ$1006,0))&gt;=100000), " ",IF(INDEX($AO$2:$BQ$1001,MATCH(ROWS($AH$2:AH649),$AH$2:$AH$1001,0),MATCH(COLUMNS($AO$1006:AX1006),$AO$1006:$BQ$1006,0)), HYPERLINK("#",""), HYPERLINK(CONCATENATE("#Metadata!", ADDRESS(INDEX($AJ$2:$AJ$1001,MATCH(ROWS($AH$2:AH649),$AH$2:$AH$1001,0),0), INDEX($AO$1004:$BQ$1004,1,MATCH(COLUMNS($AO$1006:AX1006),$AO$1006:$BQ$1006,0)))),"Fix")))</f>
        <v>#N/A</v>
      </c>
      <c r="L649" s="5" t="e">
        <f ca="1">IF(OR(INDEX($AI$2:$AI$1001,MATCH(ROWS($AH$2:AH649),$AH$2:$AH$1001,0),1)&gt;=100000,INDEX($AO$1005:$BQ$1005,1,MATCH(COLUMNS($AO$1006:AY1006),$AO$1006:$BQ$1006,0))&gt;=100000), " ",IF(INDEX($AO$2:$BQ$1001,MATCH(ROWS($AH$2:AH649),$AH$2:$AH$1001,0),MATCH(COLUMNS($AO$1006:AY1006),$AO$1006:$BQ$1006,0)), HYPERLINK("#",""), HYPERLINK(CONCATENATE("#Metadata!", ADDRESS(INDEX($AJ$2:$AJ$1001,MATCH(ROWS($AH$2:AH649),$AH$2:$AH$1001,0),0), INDEX($AO$1004:$BQ$1004,1,MATCH(COLUMNS($AO$1006:AY1006),$AO$1006:$BQ$1006,0)))),"Fix")))</f>
        <v>#N/A</v>
      </c>
      <c r="M649" s="5" t="e">
        <f ca="1">IF(OR(INDEX($AI$2:$AI$1001,MATCH(ROWS($AH$2:AH649),$AH$2:$AH$1001,0),1)&gt;=100000,INDEX($AO$1005:$BQ$1005,1,MATCH(COLUMNS($AO$1006:AZ1006),$AO$1006:$BQ$1006,0))&gt;=100000), " ",IF(INDEX($AO$2:$BQ$1001,MATCH(ROWS($AH$2:AH649),$AH$2:$AH$1001,0),MATCH(COLUMNS($AO$1006:AZ1006),$AO$1006:$BQ$1006,0)), HYPERLINK("#",""), HYPERLINK(CONCATENATE("#Metadata!", ADDRESS(INDEX($AJ$2:$AJ$1001,MATCH(ROWS($AH$2:AH649),$AH$2:$AH$1001,0),0), INDEX($AO$1004:$BQ$1004,1,MATCH(COLUMNS($AO$1006:AZ1006),$AO$1006:$BQ$1006,0)))),"Fix")))</f>
        <v>#N/A</v>
      </c>
      <c r="N649" s="5" t="e">
        <f ca="1">IF(OR(INDEX($AI$2:$AI$1001,MATCH(ROWS($AH$2:AH649),$AH$2:$AH$1001,0),1)&gt;=100000,INDEX($AO$1005:$BQ$1005,1,MATCH(COLUMNS($AO$1006:BA1006),$AO$1006:$BQ$1006,0))&gt;=100000), " ",IF(INDEX($AO$2:$BQ$1001,MATCH(ROWS($AH$2:AH649),$AH$2:$AH$1001,0),MATCH(COLUMNS($AO$1006:BA1006),$AO$1006:$BQ$1006,0)), HYPERLINK("#",""), HYPERLINK(CONCATENATE("#Metadata!", ADDRESS(INDEX($AJ$2:$AJ$1001,MATCH(ROWS($AH$2:AH649),$AH$2:$AH$1001,0),0), INDEX($AO$1004:$BQ$1004,1,MATCH(COLUMNS($AO$1006:BA1006),$AO$1006:$BQ$1006,0)))),"Fix")))</f>
        <v>#N/A</v>
      </c>
      <c r="O649" s="5" t="e">
        <f ca="1">IF(OR(INDEX($AI$2:$AI$1001,MATCH(ROWS($AH$2:AH649),$AH$2:$AH$1001,0),1)&gt;=100000,INDEX($AO$1005:$BQ$1005,1,MATCH(COLUMNS($AO$1006:BB1006),$AO$1006:$BQ$1006,0))&gt;=100000), " ",IF(INDEX($AO$2:$BQ$1001,MATCH(ROWS($AH$2:AH649),$AH$2:$AH$1001,0),MATCH(COLUMNS($AO$1006:BB1006),$AO$1006:$BQ$1006,0)), HYPERLINK("#",""), HYPERLINK(CONCATENATE("#Metadata!", ADDRESS(INDEX($AJ$2:$AJ$1001,MATCH(ROWS($AH$2:AH649),$AH$2:$AH$1001,0),0), INDEX($AO$1004:$BQ$1004,1,MATCH(COLUMNS($AO$1006:BB1006),$AO$1006:$BQ$1006,0)))),"Fix")))</f>
        <v>#N/A</v>
      </c>
      <c r="P649" s="5" t="e">
        <f ca="1">IF(OR(INDEX($AI$2:$AI$1001,MATCH(ROWS($AH$2:AH649),$AH$2:$AH$1001,0),1)&gt;=100000,INDEX($AO$1005:$BQ$1005,1,MATCH(COLUMNS($AO$1006:BC1006),$AO$1006:$BQ$1006,0))&gt;=100000), " ",IF(INDEX($AO$2:$BQ$1001,MATCH(ROWS($AH$2:AH649),$AH$2:$AH$1001,0),MATCH(COLUMNS($AO$1006:BC1006),$AO$1006:$BQ$1006,0)), HYPERLINK("#",""), HYPERLINK(CONCATENATE("#Metadata!", ADDRESS(INDEX($AJ$2:$AJ$1001,MATCH(ROWS($AH$2:AH649),$AH$2:$AH$1001,0),0), INDEX($AO$1004:$BQ$1004,1,MATCH(COLUMNS($AO$1006:BC1006),$AO$1006:$BQ$1006,0)))),"Fix")))</f>
        <v>#N/A</v>
      </c>
      <c r="Q649" s="5" t="e">
        <f ca="1">IF(OR(INDEX($AI$2:$AI$1001,MATCH(ROWS($AH$2:AH649),$AH$2:$AH$1001,0),1)&gt;=100000,INDEX($AO$1005:$BQ$1005,1,MATCH(COLUMNS($AO$1006:BD1006),$AO$1006:$BQ$1006,0))&gt;=100000), " ",IF(INDEX($AO$2:$BQ$1001,MATCH(ROWS($AH$2:AH649),$AH$2:$AH$1001,0),MATCH(COLUMNS($AO$1006:BD1006),$AO$1006:$BQ$1006,0)), HYPERLINK("#",""), HYPERLINK(CONCATENATE("#Metadata!", ADDRESS(INDEX($AJ$2:$AJ$1001,MATCH(ROWS($AH$2:AH649),$AH$2:$AH$1001,0),0), INDEX($AO$1004:$BQ$1004,1,MATCH(COLUMNS($AO$1006:BD1006),$AO$1006:$BQ$1006,0)))),"Fix")))</f>
        <v>#N/A</v>
      </c>
      <c r="R649" s="5" t="e">
        <f ca="1">IF(OR(INDEX($AI$2:$AI$1001,MATCH(ROWS($AH$2:AH649),$AH$2:$AH$1001,0),1)&gt;=100000,INDEX($AO$1005:$BQ$1005,1,MATCH(COLUMNS($AO$1006:BE1006),$AO$1006:$BQ$1006,0))&gt;=100000), " ",IF(INDEX($AO$2:$BQ$1001,MATCH(ROWS($AH$2:AH649),$AH$2:$AH$1001,0),MATCH(COLUMNS($AO$1006:BE1006),$AO$1006:$BQ$1006,0)), HYPERLINK("#",""), HYPERLINK(CONCATENATE("#Metadata!", ADDRESS(INDEX($AJ$2:$AJ$1001,MATCH(ROWS($AH$2:AH649),$AH$2:$AH$1001,0),0), INDEX($AO$1004:$BQ$1004,1,MATCH(COLUMNS($AO$1006:BE1006),$AO$1006:$BQ$1006,0)))),"Fix")))</f>
        <v>#N/A</v>
      </c>
      <c r="S649" s="5" t="e">
        <f ca="1">IF(OR(INDEX($AI$2:$AI$1001,MATCH(ROWS($AH$2:AH649),$AH$2:$AH$1001,0),1)&gt;=100000,INDEX($AO$1005:$BQ$1005,1,MATCH(COLUMNS($AO$1006:BF1006),$AO$1006:$BQ$1006,0))&gt;=100000), " ",IF(INDEX($AO$2:$BQ$1001,MATCH(ROWS($AH$2:AH649),$AH$2:$AH$1001,0),MATCH(COLUMNS($AO$1006:BF1006),$AO$1006:$BQ$1006,0)), HYPERLINK("#",""), HYPERLINK(CONCATENATE("#Metadata!", ADDRESS(INDEX($AJ$2:$AJ$1001,MATCH(ROWS($AH$2:AH649),$AH$2:$AH$1001,0),0), INDEX($AO$1004:$BQ$1004,1,MATCH(COLUMNS($AO$1006:BF1006),$AO$1006:$BQ$1006,0)))),"Fix")))</f>
        <v>#N/A</v>
      </c>
      <c r="T649" s="5" t="e">
        <f ca="1">IF(OR(INDEX($AI$2:$AI$1001,MATCH(ROWS($AH$2:AH649),$AH$2:$AH$1001,0),1)&gt;=100000,INDEX($AO$1005:$BQ$1005,1,MATCH(COLUMNS($AO$1006:BG1006),$AO$1006:$BQ$1006,0))&gt;=100000), " ",IF(INDEX($AO$2:$BQ$1001,MATCH(ROWS($AH$2:AH649),$AH$2:$AH$1001,0),MATCH(COLUMNS($AO$1006:BG1006),$AO$1006:$BQ$1006,0)), HYPERLINK("#",""), HYPERLINK(CONCATENATE("#Metadata!", ADDRESS(INDEX($AJ$2:$AJ$1001,MATCH(ROWS($AH$2:AH649),$AH$2:$AH$1001,0),0), INDEX($AO$1004:$BQ$1004,1,MATCH(COLUMNS($AO$1006:BG1006),$AO$1006:$BQ$1006,0)))),"Fix")))</f>
        <v>#N/A</v>
      </c>
      <c r="U649" s="5" t="e">
        <f ca="1">IF(OR(INDEX($AI$2:$AI$1001,MATCH(ROWS($AH$2:AH649),$AH$2:$AH$1001,0),1)&gt;=100000,INDEX($AO$1005:$BQ$1005,1,MATCH(COLUMNS($AO$1006:BH1006),$AO$1006:$BQ$1006,0))&gt;=100000), " ",IF(INDEX($AO$2:$BQ$1001,MATCH(ROWS($AH$2:AH649),$AH$2:$AH$1001,0),MATCH(COLUMNS($AO$1006:BH1006),$AO$1006:$BQ$1006,0)), HYPERLINK("#",""), HYPERLINK(CONCATENATE("#Metadata!", ADDRESS(INDEX($AJ$2:$AJ$1001,MATCH(ROWS($AH$2:AH649),$AH$2:$AH$1001,0),0), INDEX($AO$1004:$BQ$1004,1,MATCH(COLUMNS($AO$1006:BH1006),$AO$1006:$BQ$1006,0)))),"Fix")))</f>
        <v>#N/A</v>
      </c>
      <c r="V649" s="5" t="e">
        <f ca="1">IF(OR(INDEX($AI$2:$AI$1001,MATCH(ROWS($AH$2:AH649),$AH$2:$AH$1001,0),1)&gt;=100000,INDEX($AO$1005:$BQ$1005,1,MATCH(COLUMNS($AO$1006:BI1006),$AO$1006:$BQ$1006,0))&gt;=100000), " ",IF(INDEX($AO$2:$BQ$1001,MATCH(ROWS($AH$2:AH649),$AH$2:$AH$1001,0),MATCH(COLUMNS($AO$1006:BI1006),$AO$1006:$BQ$1006,0)), HYPERLINK("#",""), HYPERLINK(CONCATENATE("#Metadata!", ADDRESS(INDEX($AJ$2:$AJ$1001,MATCH(ROWS($AH$2:AH649),$AH$2:$AH$1001,0),0), INDEX($AO$1004:$BQ$1004,1,MATCH(COLUMNS($AO$1006:BI1006),$AO$1006:$BQ$1006,0)))),"Fix")))</f>
        <v>#N/A</v>
      </c>
      <c r="W649" s="5" t="e">
        <f ca="1">IF(OR(INDEX($AI$2:$AI$1001,MATCH(ROWS($AH$2:AH649),$AH$2:$AH$1001,0),1)&gt;=100000,INDEX($AO$1005:$BQ$1005,1,MATCH(COLUMNS($AO$1006:BJ1006),$AO$1006:$BQ$1006,0))&gt;=100000), " ",IF(INDEX($AO$2:$BQ$1001,MATCH(ROWS($AH$2:AH649),$AH$2:$AH$1001,0),MATCH(COLUMNS($AO$1006:BJ1006),$AO$1006:$BQ$1006,0)), HYPERLINK("#",""), HYPERLINK(CONCATENATE("#Metadata!", ADDRESS(INDEX($AJ$2:$AJ$1001,MATCH(ROWS($AH$2:AH649),$AH$2:$AH$1001,0),0), INDEX($AO$1004:$BQ$1004,1,MATCH(COLUMNS($AO$1006:BJ1006),$AO$1006:$BQ$1006,0)))),"Fix")))</f>
        <v>#N/A</v>
      </c>
      <c r="X649" s="5" t="e">
        <f ca="1">IF(OR(INDEX($AI$2:$AI$1001,MATCH(ROWS($AH$2:AH649),$AH$2:$AH$1001,0),1)&gt;=100000,INDEX($AO$1005:$BQ$1005,1,MATCH(COLUMNS($AO$1006:BK1006),$AO$1006:$BQ$1006,0))&gt;=100000), " ",IF(INDEX($AO$2:$BQ$1001,MATCH(ROWS($AH$2:AH649),$AH$2:$AH$1001,0),MATCH(COLUMNS($AO$1006:BK1006),$AO$1006:$BQ$1006,0)), HYPERLINK("#",""), HYPERLINK(CONCATENATE("#Metadata!", ADDRESS(INDEX($AJ$2:$AJ$1001,MATCH(ROWS($AH$2:AH649),$AH$2:$AH$1001,0),0), INDEX($AO$1004:$BQ$1004,1,MATCH(COLUMNS($AO$1006:BK1006),$AO$1006:$BQ$1006,0)))),"Fix")))</f>
        <v>#N/A</v>
      </c>
      <c r="Y649" s="5" t="e">
        <f ca="1">IF(OR(INDEX($AI$2:$AI$1001,MATCH(ROWS($AH$2:AH649),$AH$2:$AH$1001,0),1)&gt;=100000,INDEX($AO$1005:$BQ$1005,1,MATCH(COLUMNS($AO$1006:BL1006),$AO$1006:$BQ$1006,0))&gt;=100000), " ",IF(INDEX($AO$2:$BQ$1001,MATCH(ROWS($AH$2:AH649),$AH$2:$AH$1001,0),MATCH(COLUMNS($AO$1006:BL1006),$AO$1006:$BQ$1006,0)), HYPERLINK("#",""), HYPERLINK(CONCATENATE("#Metadata!", ADDRESS(INDEX($AJ$2:$AJ$1001,MATCH(ROWS($AH$2:AH649),$AH$2:$AH$1001,0),0), INDEX($AO$1004:$BQ$1004,1,MATCH(COLUMNS($AO$1006:BL1006),$AO$1006:$BQ$1006,0)))),"Fix")))</f>
        <v>#N/A</v>
      </c>
      <c r="Z649" s="5" t="e">
        <f ca="1">IF(OR(INDEX($AI$2:$AI$1001,MATCH(ROWS($AH$2:AH649),$AH$2:$AH$1001,0),1)&gt;=100000,INDEX($AO$1005:$BQ$1005,1,MATCH(COLUMNS($AO$1006:BM1006),$AO$1006:$BQ$1006,0))&gt;=100000), " ",IF(INDEX($AO$2:$BQ$1001,MATCH(ROWS($AH$2:AH649),$AH$2:$AH$1001,0),MATCH(COLUMNS($AO$1006:BM1006),$AO$1006:$BQ$1006,0)), HYPERLINK("#",""), HYPERLINK(CONCATENATE("#Metadata!", ADDRESS(INDEX($AJ$2:$AJ$1001,MATCH(ROWS($AH$2:AH649),$AH$2:$AH$1001,0),0), INDEX($AO$1004:$BQ$1004,1,MATCH(COLUMNS($AO$1006:BM1006),$AO$1006:$BQ$1006,0)))),"Fix")))</f>
        <v>#N/A</v>
      </c>
      <c r="AA649" s="5" t="e">
        <f ca="1">IF(OR(INDEX($AI$2:$AI$1001,MATCH(ROWS($AH$2:AH649),$AH$2:$AH$1001,0),1)&gt;=100000,INDEX($AO$1005:$BQ$1005,1,MATCH(COLUMNS($AO$1006:BN1006),$AO$1006:$BQ$1006,0))&gt;=100000), " ",IF(INDEX($AO$2:$BQ$1001,MATCH(ROWS($AH$2:AH649),$AH$2:$AH$1001,0),MATCH(COLUMNS($AO$1006:BN1006),$AO$1006:$BQ$1006,0)), HYPERLINK("#",""), HYPERLINK(CONCATENATE("#Metadata!", ADDRESS(INDEX($AJ$2:$AJ$1001,MATCH(ROWS($AH$2:AH649),$AH$2:$AH$1001,0),0), INDEX($AO$1004:$BQ$1004,1,MATCH(COLUMNS($AO$1006:BN1006),$AO$1006:$BQ$1006,0)))),"Fix")))</f>
        <v>#N/A</v>
      </c>
      <c r="AB649" s="5" t="e">
        <f ca="1">IF(OR(INDEX($AI$2:$AI$1001,MATCH(ROWS($AH$2:AH649),$AH$2:$AH$1001,0),1)&gt;=100000,INDEX($AO$1005:$BQ$1005,1,MATCH(COLUMNS($AO$1006:BO1006),$AO$1006:$BQ$1006,0))&gt;=100000), " ",IF(INDEX($AO$2:$BQ$1001,MATCH(ROWS($AH$2:AH649),$AH$2:$AH$1001,0),MATCH(COLUMNS($AO$1006:BO1006),$AO$1006:$BQ$1006,0)), HYPERLINK("#",""), HYPERLINK(CONCATENATE("#Metadata!", ADDRESS(INDEX($AJ$2:$AJ$1001,MATCH(ROWS($AH$2:AH649),$AH$2:$AH$1001,0),0), INDEX($AO$1004:$BQ$1004,1,MATCH(COLUMNS($AO$1006:BO1006),$AO$1006:$BQ$1006,0)))),"Fix")))</f>
        <v>#N/A</v>
      </c>
      <c r="AC649" s="5" t="e">
        <f ca="1">IF(OR(INDEX($AI$2:$AI$1001,MATCH(ROWS($AH$2:AH649),$AH$2:$AH$1001,0),1)&gt;=100000,INDEX($AO$1005:$BQ$1005,1,MATCH(COLUMNS($AO$1006:BP1006),$AO$1006:$BQ$1006,0))&gt;=100000), " ",IF(INDEX($AO$2:$BQ$1001,MATCH(ROWS($AH$2:AH649),$AH$2:$AH$1001,0),MATCH(COLUMNS($AO$1006:BP1006),$AO$1006:$BQ$1006,0)), HYPERLINK("#",""), HYPERLINK(CONCATENATE("#Metadata!", ADDRESS(INDEX($AJ$2:$AJ$1001,MATCH(ROWS($AH$2:AH649),$AH$2:$AH$1001,0),0), INDEX($AO$1004:$BQ$1004,1,MATCH(COLUMNS($AO$1006:BP1006),$AO$1006:$BQ$1006,0)))),"Fix")))</f>
        <v>#N/A</v>
      </c>
      <c r="AD649" s="5" t="e">
        <f ca="1">IF(OR(INDEX($AI$2:$AI$1001,MATCH(ROWS($AH$2:AH649),$AH$2:$AH$1001,0),1)&gt;=100000,INDEX($AO$1005:$BQ$1005,1,MATCH(COLUMNS($AO$1006:BQ1006),$AO$1006:$BQ$1006,0))&gt;=100000), " ",IF(INDEX($AO$2:$BQ$1001,MATCH(ROWS($AH$2:AH649),$AH$2:$AH$1001,0),MATCH(COLUMNS($AO$1006:BQ1006),$AO$1006:$BQ$1006,0)), HYPERLINK("#",""), HYPERLINK(CONCATENATE("#Metadata!", ADDRESS(INDEX($AJ$2:$AJ$1001,MATCH(ROWS($AH$2:AH649),$AH$2:$AH$1001,0),0), INDEX($AO$1004:$BQ$1004,1,MATCH(COLUMNS($AO$1006:BQ1006),$AO$1006:$BQ$1006,0)))),"Fix")))</f>
        <v>#REF!</v>
      </c>
      <c r="AH649">
        <f ca="1"/>
        <v>646</v>
      </c>
      <c r="AI649">
        <v>100649</v>
      </c>
      <c r="AJ649">
        <v>649</v>
      </c>
      <c r="AK649" t="b">
        <f t="shared" si="10"/>
        <v>1</v>
      </c>
      <c r="AL649" t="b">
        <f>COUNTBLANK(Metadata!B649:AD649)=COLUMNS(Metadata!B649:AD649)</f>
        <v>1</v>
      </c>
      <c r="AM649" t="str">
        <v/>
      </c>
      <c r="AO649" t="b">
        <f ca="1">AND(IF(Metadata!B649="",FALSE,TRUE),COUNTIF(Metadata!B:B, Metadata!B649) = 1,NOT(ISERROR(SUMPRODUCT(SEARCH(MID(Metadata!B649,ROW(INDIRECT("1:"&amp;LEN(Metadata!B649))), 1),"0123456789abcdefghijklmnopqrstuvwxyzABCDEFGHIJKLMNOPQRSTUVWXYZ.")))))</f>
        <v>0</v>
      </c>
      <c r="AP649" t="b">
        <f>IF(Metadata!C649="",FALSE,TRUE)</f>
        <v>0</v>
      </c>
      <c r="AQ649" t="b">
        <f>IF(Metadata!D649="",FALSE,TRUE)</f>
        <v>0</v>
      </c>
      <c r="AR649" t="b">
        <f ca="1">OR(AND(IF(Metadata!E649="",FALSE,TRUE),OR(EXACT(Metadata!E649,"not collected"),EXACT(Metadata!E649,"not provided"),EXACT(Metadata!E649,"restricted access"))),AND(IF(Metadata!E649="",FALSE,TRUE),AND(AND(IFERROR(INT(LEFT(Metadata!E649,4))&gt;1900,FALSE),IFERROR(INT(LEFT(Metadata!E649,4))&lt;=YEAR(NOW()),FALSE)), OR(MID(Metadata!E649,5,1)="", AND(AND(MID(Metadata!E649,5,1)="-",IFERROR(INT(MID(Metadata!E649,6,1))&gt;=0,FALSE),IFERROR(INT(MID(Metadata!E649,6,1))&lt;=1,FALSE),NOT(MID(Metadata!E649,7,1)=""),IFERROR(INT(MID(Metadata!E649,6,2))&gt;=1,FALSE),IFERROR(INT(MID(Metadata!E649,6,2))&lt;=12,FALSE)), OR(MID(Metadata!E649,8,1)="", AND(AND(MID(Metadata!E649,8,1)="-",IFERROR(INT(MID(Metadata!E649,9,1))&gt;=0,FALSE),IFERROR(INT(MID(Metadata!E649,9,1))&lt;=3,FALSE),NOT(MID(Metadata!E649,10,1)=""),IFERROR(INT(MID(Metadata!E649,9,2))&gt;=1,FALSE),IFERROR(INT(MID(Metadata!E649,9,2))&lt;=31,FALSE)), OR(MID(Metadata!E649,11,1)="", AND(AND(MID(Metadata!E649,11,1)=" ",IFERROR(INT(MID(Metadata!E649,12,1))&gt;=0,FALSE),IFERROR(INT(MID(Metadata!E649,12,1))&lt;=2,FALSE),NOT(MID(Metadata!E649,13,1)=""),IFERROR(INT(MID(Metadata!E649,12,2))&gt;=0,FALSE),IFERROR(INT(MID(Metadata!E649,12,2))&lt;=23,FALSE)), OR(MID(Metadata!E649,14,1)="", AND(AND(MID(Metadata!E649,14,1)=":",IFERROR(INT(MID(Metadata!E649,15,1))&gt;=0,FALSE),IFERROR(INT(MID(Metadata!E649,15,1))&lt;=5,FALSE),NOT(MID(Metadata!E649,16,1)=""),IFERROR(INT(MID(Metadata!E649,15,2))&gt;=0,FALSE),IFERROR(INT(MID(Metadata!E649,15,2))&lt;=59,FALSE)), OR(MID(Metadata!E649,17,1)="", AND(AND(MID(Metadata!E649,17,1)=":",IFERROR(INT(MID(Metadata!E649,18,1))&gt;=0,FALSE),IFERROR(INT(MID(Metadata!E649,18,1))&lt;=5,FALSE),NOT(MID(Metadata!E649,19,1)=""),IFERROR(INT(MID(Metadata!E649,18,2))&gt;=0,FALSE),IFERROR(INT(MID(Metadata!E649,18,2))&lt;=59,FALSE)), LEN(Metadata!E649)&lt;=19)))))))))))))</f>
        <v>0</v>
      </c>
      <c r="AS649" t="b">
        <f>IF(Metadata!F649="",FALSE,TRUE)</f>
        <v>0</v>
      </c>
      <c r="AT649" t="b">
        <f>OR(AND(IF(Metadata!G649="",FALSE,TRUE),OR(EXACT(Metadata!G649,"not collected"),EXACT(Metadata!G649,"not provided"))),AND(IF(Metadata!G649="",FALSE,TRUE),OR(EXACT(Metadata!G649,"TRUE"),EXACT(Metadata!G649,"FALSE"))))</f>
        <v>0</v>
      </c>
      <c r="AU649" t="b">
        <f>OR(AND(IF(Metadata!H649="",FALSE,TRUE),OR(EXACT(Metadata!H649,"not collected"),EXACT(Metadata!H649,"not provided"),EXACT(Metadata!H649,"restricted access"))),AND(IF(Metadata!H649="",FALSE,ISNUMBER(VALUE(Metadata!H649))),Metadata!H649&gt;=-413))</f>
        <v>0</v>
      </c>
      <c r="AV649" t="b">
        <f>AND(IF(Metadata!I649="",FALSE,TRUE),EXACT(Metadata!I649,"meters"))</f>
        <v>0</v>
      </c>
      <c r="AW649" t="b">
        <f>AND(IF(Metadata!J649="",FALSE,TRUE),EXACT(Metadata!J649,"free-living"))</f>
        <v>0</v>
      </c>
      <c r="AX649" t="b">
        <f>AND(IF(Metadata!K649="",FALSE,TRUE),OR(EXACT(Metadata!K649,"saline"),EXACT(Metadata!K649,"non-saline")))</f>
        <v>0</v>
      </c>
      <c r="AY649" t="b">
        <f>AND(IF(Metadata!L649="",FALSE,TRUE),OR(EXACT(Metadata!L649,"sub-surface (non-saline)"),EXACT(Metadata!L649,"surface (non-saline)"),EXACT(Metadata!L649,"water (non-saline)"),EXACT(Metadata!L649,"soil (non-saline)"),EXACT(Metadata!L649,"aerosol (non-saline)"),EXACT(Metadata!L649,"sediment (non-saline)"),EXACT(Metadata!L649,"surface (saline)"),EXACT(Metadata!L649,"water (saline)"),EXACT(Metadata!L649,"hypersaline (saline)"),EXACT(Metadata!L649,"aerosol (saline)"),EXACT(Metadata!L649,"sediment (saline)")))</f>
        <v>0</v>
      </c>
      <c r="AZ649" t="b">
        <f>IF(Metadata!M649="",FALSE,TRUE)</f>
        <v>0</v>
      </c>
      <c r="BA649" t="b">
        <f>IF(Metadata!N649="",FALSE,TRUE)</f>
        <v>0</v>
      </c>
      <c r="BB649" t="b">
        <f>IF(Metadata!O649="",FALSE,TRUE)</f>
        <v>0</v>
      </c>
      <c r="BC649" t="b">
        <f>AND(IF(Metadata!P649="",FALSE,TRUE),OR(EXACT(Metadata!P649,"air"),EXACT(Metadata!P649,"microbial mat/biofilm"),EXACT(Metadata!P649,"misc environment"),EXACT(Metadata!P649,"sediment"),EXACT(Metadata!P649,"soil"),EXACT(Metadata!P649,"wastewater/sludge"),EXACT(Metadata!P649,"water")))</f>
        <v>0</v>
      </c>
      <c r="BD649" t="b">
        <f>IF(Metadata!Q649="",FALSE,TRUE)</f>
        <v>0</v>
      </c>
      <c r="BE649" t="b">
        <f>IF(Metadata!R649="",FALSE,TRUE)</f>
        <v>0</v>
      </c>
      <c r="BF649" t="b">
        <f>OR(AND(IF(Metadata!S649="",FALSE,TRUE),OR(EXACT(Metadata!S649,"not collected"),EXACT(Metadata!S649,"not provided"),EXACT(Metadata!S649,"restricted access"))),AND(IF(Metadata!S649="",FALSE,ISNUMBER(VALUE(Metadata!S649))),Metadata!S649&gt;=-90,Metadata!S649&lt;=90))</f>
        <v>0</v>
      </c>
      <c r="BG649" t="b">
        <f>AND(IF(Metadata!T649="",FALSE,TRUE),EXACT(Metadata!T649,"Decimal degrees"))</f>
        <v>0</v>
      </c>
      <c r="BH649" t="b">
        <f>OR(AND(IF(Metadata!U649="",FALSE,TRUE),OR(EXACT(Metadata!U649,"not applicable"),EXACT(Metadata!U649,"not collected"))),IF(Metadata!U649="",FALSE,TRUE))</f>
        <v>0</v>
      </c>
      <c r="BI649" t="b">
        <f>OR(AND(IF(Metadata!V649="",FALSE,TRUE),OR(EXACT(Metadata!V649,"not collected"),EXACT(Metadata!V649,"not provided"),EXACT(Metadata!V649,"restricted access"))),AND(IF(Metadata!V649="",FALSE,ISNUMBER(VALUE(Metadata!V649))),Metadata!V649&gt;=-180,Metadata!V649&lt;=180))</f>
        <v>0</v>
      </c>
      <c r="BJ649" t="b">
        <f>AND(IF(Metadata!W649="",FALSE,TRUE),EXACT(Metadata!W649,"Decimal degrees"))</f>
        <v>0</v>
      </c>
      <c r="BK649" t="b">
        <f>IF(Metadata!X649="",FALSE,TRUE)</f>
        <v>0</v>
      </c>
      <c r="BL649" t="b">
        <f>OR(AND(IF(Metadata!Y649="",FALSE,TRUE),OR(EXACT(Metadata!Y649,"not collected"),EXACT(Metadata!Y649,"not provided"),EXACT(Metadata!Y649,"restricted access"))),AND(IF(Metadata!Y649="",FALSE,TRUE),OR(EXACT(Metadata!Y649,"TRUE"),EXACT(Metadata!Y649,"FALSE"))))</f>
        <v>0</v>
      </c>
      <c r="BM649" t="b">
        <f>OR(AND(IF(Metadata!Z649="",FALSE,TRUE),EXACT(Metadata!Z649,"not applicable")),AND(IF(Metadata!Z649="",FALSE,TRUE),OR(EXACT(Metadata!Z649,"beer"),EXACT(Metadata!Z649,"cheese"),EXACT(Metadata!Z649,"fresh water"),EXACT(Metadata!Z649,"marine sediment"),EXACT(Metadata!Z649,"sea water"),EXACT(Metadata!Z649,"sediment"),EXACT(Metadata!Z649,"soil"),EXACT(Metadata!Z649,"waste water"))))</f>
        <v>0</v>
      </c>
      <c r="BN649" t="b">
        <f>AND(IF(Metadata!AA649="",FALSE,TRUE),EXACT(Metadata!AA649,"metagenome"))</f>
        <v>0</v>
      </c>
      <c r="BO649" t="b">
        <f>AND(IF(Metadata!AB649="",FALSE,TRUE),EXACT(Metadata!AB649,"256318"))</f>
        <v>0</v>
      </c>
      <c r="BP649" t="b">
        <f>IF(Metadata!AC649="",FALSE,TRUE)</f>
        <v>0</v>
      </c>
      <c r="BQ649" t="b">
        <f>IF(Metadata!AD649="",FALSE,TRUE)</f>
        <v>0</v>
      </c>
    </row>
    <row r="650" spans="1:69" x14ac:dyDescent="0.2">
      <c r="A650" s="4" t="e">
        <f ca="1">IF(B650=" "," ",HYPERLINK(CONCATENATE("#metadata!",ADDRESS(INDEX($AJ$2:$AJ$1001,MATCH(ROWS($AH$2:AH650),$AH$2:$AH$1001,0),0),2)),INDEX($AM$2:$AM$1001,MATCH(ROWS($AH$2:AH650),$AH$2:$AH$1001,0),0)))</f>
        <v>#N/A</v>
      </c>
      <c r="B650" s="5" t="e">
        <f ca="1">IF(OR(INDEX($AI$2:$AI$1001,MATCH(ROWS($AH$2:AH650),$AH$2:$AH$1001,0),1)&gt;=100000,INDEX($AO$1005:$BQ$1005,1,MATCH(COLUMNS($AO$1006:AO1006),$AO$1006:$BQ$1006,0))&gt;=100000), " ",IF(INDEX($AO$2:$BQ$1001,MATCH(ROWS($AH$2:AH650),$AH$2:$AH$1001,0),MATCH(COLUMNS($AO$1006:AO1006),$AO$1006:$BQ$1006,0)), HYPERLINK("#",""), HYPERLINK(CONCATENATE("#Metadata!", ADDRESS(INDEX($AJ$2:$AJ$1001,MATCH(ROWS($AH$2:AH650),$AH$2:$AH$1001,0),0), INDEX($AO$1004:$BQ$1004,1,MATCH(COLUMNS($AO$1006:AO1006),$AO$1006:$BQ$1006,0)))),"Fix")))</f>
        <v>#N/A</v>
      </c>
      <c r="C650" s="5" t="e">
        <f ca="1">IF(OR(INDEX($AI$2:$AI$1001,MATCH(ROWS($AH$2:AH650),$AH$2:$AH$1001,0),1)&gt;=100000,INDEX($AO$1005:$BQ$1005,1,MATCH(COLUMNS($AO$1006:AP1006),$AO$1006:$BQ$1006,0))&gt;=100000), " ",IF(INDEX($AO$2:$BQ$1001,MATCH(ROWS($AH$2:AH650),$AH$2:$AH$1001,0),MATCH(COLUMNS($AO$1006:AP1006),$AO$1006:$BQ$1006,0)), HYPERLINK("#",""), HYPERLINK(CONCATENATE("#Metadata!", ADDRESS(INDEX($AJ$2:$AJ$1001,MATCH(ROWS($AH$2:AH650),$AH$2:$AH$1001,0),0), INDEX($AO$1004:$BQ$1004,1,MATCH(COLUMNS($AO$1006:AP1006),$AO$1006:$BQ$1006,0)))),"Fix")))</f>
        <v>#N/A</v>
      </c>
      <c r="D650" s="5" t="e">
        <f ca="1">IF(OR(INDEX($AI$2:$AI$1001,MATCH(ROWS($AH$2:AH650),$AH$2:$AH$1001,0),1)&gt;=100000,INDEX($AO$1005:$BQ$1005,1,MATCH(COLUMNS($AO$1006:AQ1006),$AO$1006:$BQ$1006,0))&gt;=100000), " ",IF(INDEX($AO$2:$BQ$1001,MATCH(ROWS($AH$2:AH650),$AH$2:$AH$1001,0),MATCH(COLUMNS($AO$1006:AQ1006),$AO$1006:$BQ$1006,0)), HYPERLINK("#",""), HYPERLINK(CONCATENATE("#Metadata!", ADDRESS(INDEX($AJ$2:$AJ$1001,MATCH(ROWS($AH$2:AH650),$AH$2:$AH$1001,0),0), INDEX($AO$1004:$BQ$1004,1,MATCH(COLUMNS($AO$1006:AQ1006),$AO$1006:$BQ$1006,0)))),"Fix")))</f>
        <v>#N/A</v>
      </c>
      <c r="E650" s="5" t="e">
        <f ca="1">IF(OR(INDEX($AI$2:$AI$1001,MATCH(ROWS($AH$2:AH650),$AH$2:$AH$1001,0),1)&gt;=100000,INDEX($AO$1005:$BQ$1005,1,MATCH(COLUMNS($AO$1006:AR1006),$AO$1006:$BQ$1006,0))&gt;=100000), " ",IF(INDEX($AO$2:$BQ$1001,MATCH(ROWS($AH$2:AH650),$AH$2:$AH$1001,0),MATCH(COLUMNS($AO$1006:AR1006),$AO$1006:$BQ$1006,0)), HYPERLINK("#",""), HYPERLINK(CONCATENATE("#Metadata!", ADDRESS(INDEX($AJ$2:$AJ$1001,MATCH(ROWS($AH$2:AH650),$AH$2:$AH$1001,0),0), INDEX($AO$1004:$BQ$1004,1,MATCH(COLUMNS($AO$1006:AR1006),$AO$1006:$BQ$1006,0)))),"Fix")))</f>
        <v>#N/A</v>
      </c>
      <c r="F650" s="5" t="e">
        <f ca="1">IF(OR(INDEX($AI$2:$AI$1001,MATCH(ROWS($AH$2:AH650),$AH$2:$AH$1001,0),1)&gt;=100000,INDEX($AO$1005:$BQ$1005,1,MATCH(COLUMNS($AO$1006:AS1006),$AO$1006:$BQ$1006,0))&gt;=100000), " ",IF(INDEX($AO$2:$BQ$1001,MATCH(ROWS($AH$2:AH650),$AH$2:$AH$1001,0),MATCH(COLUMNS($AO$1006:AS1006),$AO$1006:$BQ$1006,0)), HYPERLINK("#",""), HYPERLINK(CONCATENATE("#Metadata!", ADDRESS(INDEX($AJ$2:$AJ$1001,MATCH(ROWS($AH$2:AH650),$AH$2:$AH$1001,0),0), INDEX($AO$1004:$BQ$1004,1,MATCH(COLUMNS($AO$1006:AS1006),$AO$1006:$BQ$1006,0)))),"Fix")))</f>
        <v>#N/A</v>
      </c>
      <c r="G650" s="5" t="e">
        <f ca="1">IF(OR(INDEX($AI$2:$AI$1001,MATCH(ROWS($AH$2:AH650),$AH$2:$AH$1001,0),1)&gt;=100000,INDEX($AO$1005:$BQ$1005,1,MATCH(COLUMNS($AO$1006:AT1006),$AO$1006:$BQ$1006,0))&gt;=100000), " ",IF(INDEX($AO$2:$BQ$1001,MATCH(ROWS($AH$2:AH650),$AH$2:$AH$1001,0),MATCH(COLUMNS($AO$1006:AT1006),$AO$1006:$BQ$1006,0)), HYPERLINK("#",""), HYPERLINK(CONCATENATE("#Metadata!", ADDRESS(INDEX($AJ$2:$AJ$1001,MATCH(ROWS($AH$2:AH650),$AH$2:$AH$1001,0),0), INDEX($AO$1004:$BQ$1004,1,MATCH(COLUMNS($AO$1006:AT1006),$AO$1006:$BQ$1006,0)))),"Fix")))</f>
        <v>#N/A</v>
      </c>
      <c r="H650" s="5" t="e">
        <f ca="1">IF(OR(INDEX($AI$2:$AI$1001,MATCH(ROWS($AH$2:AH650),$AH$2:$AH$1001,0),1)&gt;=100000,INDEX($AO$1005:$BQ$1005,1,MATCH(COLUMNS($AO$1006:AU1006),$AO$1006:$BQ$1006,0))&gt;=100000), " ",IF(INDEX($AO$2:$BQ$1001,MATCH(ROWS($AH$2:AH650),$AH$2:$AH$1001,0),MATCH(COLUMNS($AO$1006:AU1006),$AO$1006:$BQ$1006,0)), HYPERLINK("#",""), HYPERLINK(CONCATENATE("#Metadata!", ADDRESS(INDEX($AJ$2:$AJ$1001,MATCH(ROWS($AH$2:AH650),$AH$2:$AH$1001,0),0), INDEX($AO$1004:$BQ$1004,1,MATCH(COLUMNS($AO$1006:AU1006),$AO$1006:$BQ$1006,0)))),"Fix")))</f>
        <v>#N/A</v>
      </c>
      <c r="I650" s="5" t="e">
        <f ca="1">IF(OR(INDEX($AI$2:$AI$1001,MATCH(ROWS($AH$2:AH650),$AH$2:$AH$1001,0),1)&gt;=100000,INDEX($AO$1005:$BQ$1005,1,MATCH(COLUMNS($AO$1006:AV1006),$AO$1006:$BQ$1006,0))&gt;=100000), " ",IF(INDEX($AO$2:$BQ$1001,MATCH(ROWS($AH$2:AH650),$AH$2:$AH$1001,0),MATCH(COLUMNS($AO$1006:AV1006),$AO$1006:$BQ$1006,0)), HYPERLINK("#",""), HYPERLINK(CONCATENATE("#Metadata!", ADDRESS(INDEX($AJ$2:$AJ$1001,MATCH(ROWS($AH$2:AH650),$AH$2:$AH$1001,0),0), INDEX($AO$1004:$BQ$1004,1,MATCH(COLUMNS($AO$1006:AV1006),$AO$1006:$BQ$1006,0)))),"Fix")))</f>
        <v>#N/A</v>
      </c>
      <c r="J650" s="5" t="e">
        <f ca="1">IF(OR(INDEX($AI$2:$AI$1001,MATCH(ROWS($AH$2:AH650),$AH$2:$AH$1001,0),1)&gt;=100000,INDEX($AO$1005:$BQ$1005,1,MATCH(COLUMNS($AO$1006:AW1006),$AO$1006:$BQ$1006,0))&gt;=100000), " ",IF(INDEX($AO$2:$BQ$1001,MATCH(ROWS($AH$2:AH650),$AH$2:$AH$1001,0),MATCH(COLUMNS($AO$1006:AW1006),$AO$1006:$BQ$1006,0)), HYPERLINK("#",""), HYPERLINK(CONCATENATE("#Metadata!", ADDRESS(INDEX($AJ$2:$AJ$1001,MATCH(ROWS($AH$2:AH650),$AH$2:$AH$1001,0),0), INDEX($AO$1004:$BQ$1004,1,MATCH(COLUMNS($AO$1006:AW1006),$AO$1006:$BQ$1006,0)))),"Fix")))</f>
        <v>#N/A</v>
      </c>
      <c r="K650" s="5" t="e">
        <f ca="1">IF(OR(INDEX($AI$2:$AI$1001,MATCH(ROWS($AH$2:AH650),$AH$2:$AH$1001,0),1)&gt;=100000,INDEX($AO$1005:$BQ$1005,1,MATCH(COLUMNS($AO$1006:AX1006),$AO$1006:$BQ$1006,0))&gt;=100000), " ",IF(INDEX($AO$2:$BQ$1001,MATCH(ROWS($AH$2:AH650),$AH$2:$AH$1001,0),MATCH(COLUMNS($AO$1006:AX1006),$AO$1006:$BQ$1006,0)), HYPERLINK("#",""), HYPERLINK(CONCATENATE("#Metadata!", ADDRESS(INDEX($AJ$2:$AJ$1001,MATCH(ROWS($AH$2:AH650),$AH$2:$AH$1001,0),0), INDEX($AO$1004:$BQ$1004,1,MATCH(COLUMNS($AO$1006:AX1006),$AO$1006:$BQ$1006,0)))),"Fix")))</f>
        <v>#N/A</v>
      </c>
      <c r="L650" s="5" t="e">
        <f ca="1">IF(OR(INDEX($AI$2:$AI$1001,MATCH(ROWS($AH$2:AH650),$AH$2:$AH$1001,0),1)&gt;=100000,INDEX($AO$1005:$BQ$1005,1,MATCH(COLUMNS($AO$1006:AY1006),$AO$1006:$BQ$1006,0))&gt;=100000), " ",IF(INDEX($AO$2:$BQ$1001,MATCH(ROWS($AH$2:AH650),$AH$2:$AH$1001,0),MATCH(COLUMNS($AO$1006:AY1006),$AO$1006:$BQ$1006,0)), HYPERLINK("#",""), HYPERLINK(CONCATENATE("#Metadata!", ADDRESS(INDEX($AJ$2:$AJ$1001,MATCH(ROWS($AH$2:AH650),$AH$2:$AH$1001,0),0), INDEX($AO$1004:$BQ$1004,1,MATCH(COLUMNS($AO$1006:AY1006),$AO$1006:$BQ$1006,0)))),"Fix")))</f>
        <v>#N/A</v>
      </c>
      <c r="M650" s="5" t="e">
        <f ca="1">IF(OR(INDEX($AI$2:$AI$1001,MATCH(ROWS($AH$2:AH650),$AH$2:$AH$1001,0),1)&gt;=100000,INDEX($AO$1005:$BQ$1005,1,MATCH(COLUMNS($AO$1006:AZ1006),$AO$1006:$BQ$1006,0))&gt;=100000), " ",IF(INDEX($AO$2:$BQ$1001,MATCH(ROWS($AH$2:AH650),$AH$2:$AH$1001,0),MATCH(COLUMNS($AO$1006:AZ1006),$AO$1006:$BQ$1006,0)), HYPERLINK("#",""), HYPERLINK(CONCATENATE("#Metadata!", ADDRESS(INDEX($AJ$2:$AJ$1001,MATCH(ROWS($AH$2:AH650),$AH$2:$AH$1001,0),0), INDEX($AO$1004:$BQ$1004,1,MATCH(COLUMNS($AO$1006:AZ1006),$AO$1006:$BQ$1006,0)))),"Fix")))</f>
        <v>#N/A</v>
      </c>
      <c r="N650" s="5" t="e">
        <f ca="1">IF(OR(INDEX($AI$2:$AI$1001,MATCH(ROWS($AH$2:AH650),$AH$2:$AH$1001,0),1)&gt;=100000,INDEX($AO$1005:$BQ$1005,1,MATCH(COLUMNS($AO$1006:BA1006),$AO$1006:$BQ$1006,0))&gt;=100000), " ",IF(INDEX($AO$2:$BQ$1001,MATCH(ROWS($AH$2:AH650),$AH$2:$AH$1001,0),MATCH(COLUMNS($AO$1006:BA1006),$AO$1006:$BQ$1006,0)), HYPERLINK("#",""), HYPERLINK(CONCATENATE("#Metadata!", ADDRESS(INDEX($AJ$2:$AJ$1001,MATCH(ROWS($AH$2:AH650),$AH$2:$AH$1001,0),0), INDEX($AO$1004:$BQ$1004,1,MATCH(COLUMNS($AO$1006:BA1006),$AO$1006:$BQ$1006,0)))),"Fix")))</f>
        <v>#N/A</v>
      </c>
      <c r="O650" s="5" t="e">
        <f ca="1">IF(OR(INDEX($AI$2:$AI$1001,MATCH(ROWS($AH$2:AH650),$AH$2:$AH$1001,0),1)&gt;=100000,INDEX($AO$1005:$BQ$1005,1,MATCH(COLUMNS($AO$1006:BB1006),$AO$1006:$BQ$1006,0))&gt;=100000), " ",IF(INDEX($AO$2:$BQ$1001,MATCH(ROWS($AH$2:AH650),$AH$2:$AH$1001,0),MATCH(COLUMNS($AO$1006:BB1006),$AO$1006:$BQ$1006,0)), HYPERLINK("#",""), HYPERLINK(CONCATENATE("#Metadata!", ADDRESS(INDEX($AJ$2:$AJ$1001,MATCH(ROWS($AH$2:AH650),$AH$2:$AH$1001,0),0), INDEX($AO$1004:$BQ$1004,1,MATCH(COLUMNS($AO$1006:BB1006),$AO$1006:$BQ$1006,0)))),"Fix")))</f>
        <v>#N/A</v>
      </c>
      <c r="P650" s="5" t="e">
        <f ca="1">IF(OR(INDEX($AI$2:$AI$1001,MATCH(ROWS($AH$2:AH650),$AH$2:$AH$1001,0),1)&gt;=100000,INDEX($AO$1005:$BQ$1005,1,MATCH(COLUMNS($AO$1006:BC1006),$AO$1006:$BQ$1006,0))&gt;=100000), " ",IF(INDEX($AO$2:$BQ$1001,MATCH(ROWS($AH$2:AH650),$AH$2:$AH$1001,0),MATCH(COLUMNS($AO$1006:BC1006),$AO$1006:$BQ$1006,0)), HYPERLINK("#",""), HYPERLINK(CONCATENATE("#Metadata!", ADDRESS(INDEX($AJ$2:$AJ$1001,MATCH(ROWS($AH$2:AH650),$AH$2:$AH$1001,0),0), INDEX($AO$1004:$BQ$1004,1,MATCH(COLUMNS($AO$1006:BC1006),$AO$1006:$BQ$1006,0)))),"Fix")))</f>
        <v>#N/A</v>
      </c>
      <c r="Q650" s="5" t="e">
        <f ca="1">IF(OR(INDEX($AI$2:$AI$1001,MATCH(ROWS($AH$2:AH650),$AH$2:$AH$1001,0),1)&gt;=100000,INDEX($AO$1005:$BQ$1005,1,MATCH(COLUMNS($AO$1006:BD1006),$AO$1006:$BQ$1006,0))&gt;=100000), " ",IF(INDEX($AO$2:$BQ$1001,MATCH(ROWS($AH$2:AH650),$AH$2:$AH$1001,0),MATCH(COLUMNS($AO$1006:BD1006),$AO$1006:$BQ$1006,0)), HYPERLINK("#",""), HYPERLINK(CONCATENATE("#Metadata!", ADDRESS(INDEX($AJ$2:$AJ$1001,MATCH(ROWS($AH$2:AH650),$AH$2:$AH$1001,0),0), INDEX($AO$1004:$BQ$1004,1,MATCH(COLUMNS($AO$1006:BD1006),$AO$1006:$BQ$1006,0)))),"Fix")))</f>
        <v>#N/A</v>
      </c>
      <c r="R650" s="5" t="e">
        <f ca="1">IF(OR(INDEX($AI$2:$AI$1001,MATCH(ROWS($AH$2:AH650),$AH$2:$AH$1001,0),1)&gt;=100000,INDEX($AO$1005:$BQ$1005,1,MATCH(COLUMNS($AO$1006:BE1006),$AO$1006:$BQ$1006,0))&gt;=100000), " ",IF(INDEX($AO$2:$BQ$1001,MATCH(ROWS($AH$2:AH650),$AH$2:$AH$1001,0),MATCH(COLUMNS($AO$1006:BE1006),$AO$1006:$BQ$1006,0)), HYPERLINK("#",""), HYPERLINK(CONCATENATE("#Metadata!", ADDRESS(INDEX($AJ$2:$AJ$1001,MATCH(ROWS($AH$2:AH650),$AH$2:$AH$1001,0),0), INDEX($AO$1004:$BQ$1004,1,MATCH(COLUMNS($AO$1006:BE1006),$AO$1006:$BQ$1006,0)))),"Fix")))</f>
        <v>#N/A</v>
      </c>
      <c r="S650" s="5" t="e">
        <f ca="1">IF(OR(INDEX($AI$2:$AI$1001,MATCH(ROWS($AH$2:AH650),$AH$2:$AH$1001,0),1)&gt;=100000,INDEX($AO$1005:$BQ$1005,1,MATCH(COLUMNS($AO$1006:BF1006),$AO$1006:$BQ$1006,0))&gt;=100000), " ",IF(INDEX($AO$2:$BQ$1001,MATCH(ROWS($AH$2:AH650),$AH$2:$AH$1001,0),MATCH(COLUMNS($AO$1006:BF1006),$AO$1006:$BQ$1006,0)), HYPERLINK("#",""), HYPERLINK(CONCATENATE("#Metadata!", ADDRESS(INDEX($AJ$2:$AJ$1001,MATCH(ROWS($AH$2:AH650),$AH$2:$AH$1001,0),0), INDEX($AO$1004:$BQ$1004,1,MATCH(COLUMNS($AO$1006:BF1006),$AO$1006:$BQ$1006,0)))),"Fix")))</f>
        <v>#N/A</v>
      </c>
      <c r="T650" s="5" t="e">
        <f ca="1">IF(OR(INDEX($AI$2:$AI$1001,MATCH(ROWS($AH$2:AH650),$AH$2:$AH$1001,0),1)&gt;=100000,INDEX($AO$1005:$BQ$1005,1,MATCH(COLUMNS($AO$1006:BG1006),$AO$1006:$BQ$1006,0))&gt;=100000), " ",IF(INDEX($AO$2:$BQ$1001,MATCH(ROWS($AH$2:AH650),$AH$2:$AH$1001,0),MATCH(COLUMNS($AO$1006:BG1006),$AO$1006:$BQ$1006,0)), HYPERLINK("#",""), HYPERLINK(CONCATENATE("#Metadata!", ADDRESS(INDEX($AJ$2:$AJ$1001,MATCH(ROWS($AH$2:AH650),$AH$2:$AH$1001,0),0), INDEX($AO$1004:$BQ$1004,1,MATCH(COLUMNS($AO$1006:BG1006),$AO$1006:$BQ$1006,0)))),"Fix")))</f>
        <v>#N/A</v>
      </c>
      <c r="U650" s="5" t="e">
        <f ca="1">IF(OR(INDEX($AI$2:$AI$1001,MATCH(ROWS($AH$2:AH650),$AH$2:$AH$1001,0),1)&gt;=100000,INDEX($AO$1005:$BQ$1005,1,MATCH(COLUMNS($AO$1006:BH1006),$AO$1006:$BQ$1006,0))&gt;=100000), " ",IF(INDEX($AO$2:$BQ$1001,MATCH(ROWS($AH$2:AH650),$AH$2:$AH$1001,0),MATCH(COLUMNS($AO$1006:BH1006),$AO$1006:$BQ$1006,0)), HYPERLINK("#",""), HYPERLINK(CONCATENATE("#Metadata!", ADDRESS(INDEX($AJ$2:$AJ$1001,MATCH(ROWS($AH$2:AH650),$AH$2:$AH$1001,0),0), INDEX($AO$1004:$BQ$1004,1,MATCH(COLUMNS($AO$1006:BH1006),$AO$1006:$BQ$1006,0)))),"Fix")))</f>
        <v>#N/A</v>
      </c>
      <c r="V650" s="5" t="e">
        <f ca="1">IF(OR(INDEX($AI$2:$AI$1001,MATCH(ROWS($AH$2:AH650),$AH$2:$AH$1001,0),1)&gt;=100000,INDEX($AO$1005:$BQ$1005,1,MATCH(COLUMNS($AO$1006:BI1006),$AO$1006:$BQ$1006,0))&gt;=100000), " ",IF(INDEX($AO$2:$BQ$1001,MATCH(ROWS($AH$2:AH650),$AH$2:$AH$1001,0),MATCH(COLUMNS($AO$1006:BI1006),$AO$1006:$BQ$1006,0)), HYPERLINK("#",""), HYPERLINK(CONCATENATE("#Metadata!", ADDRESS(INDEX($AJ$2:$AJ$1001,MATCH(ROWS($AH$2:AH650),$AH$2:$AH$1001,0),0), INDEX($AO$1004:$BQ$1004,1,MATCH(COLUMNS($AO$1006:BI1006),$AO$1006:$BQ$1006,0)))),"Fix")))</f>
        <v>#N/A</v>
      </c>
      <c r="W650" s="5" t="e">
        <f ca="1">IF(OR(INDEX($AI$2:$AI$1001,MATCH(ROWS($AH$2:AH650),$AH$2:$AH$1001,0),1)&gt;=100000,INDEX($AO$1005:$BQ$1005,1,MATCH(COLUMNS($AO$1006:BJ1006),$AO$1006:$BQ$1006,0))&gt;=100000), " ",IF(INDEX($AO$2:$BQ$1001,MATCH(ROWS($AH$2:AH650),$AH$2:$AH$1001,0),MATCH(COLUMNS($AO$1006:BJ1006),$AO$1006:$BQ$1006,0)), HYPERLINK("#",""), HYPERLINK(CONCATENATE("#Metadata!", ADDRESS(INDEX($AJ$2:$AJ$1001,MATCH(ROWS($AH$2:AH650),$AH$2:$AH$1001,0),0), INDEX($AO$1004:$BQ$1004,1,MATCH(COLUMNS($AO$1006:BJ1006),$AO$1006:$BQ$1006,0)))),"Fix")))</f>
        <v>#N/A</v>
      </c>
      <c r="X650" s="5" t="e">
        <f ca="1">IF(OR(INDEX($AI$2:$AI$1001,MATCH(ROWS($AH$2:AH650),$AH$2:$AH$1001,0),1)&gt;=100000,INDEX($AO$1005:$BQ$1005,1,MATCH(COLUMNS($AO$1006:BK1006),$AO$1006:$BQ$1006,0))&gt;=100000), " ",IF(INDEX($AO$2:$BQ$1001,MATCH(ROWS($AH$2:AH650),$AH$2:$AH$1001,0),MATCH(COLUMNS($AO$1006:BK1006),$AO$1006:$BQ$1006,0)), HYPERLINK("#",""), HYPERLINK(CONCATENATE("#Metadata!", ADDRESS(INDEX($AJ$2:$AJ$1001,MATCH(ROWS($AH$2:AH650),$AH$2:$AH$1001,0),0), INDEX($AO$1004:$BQ$1004,1,MATCH(COLUMNS($AO$1006:BK1006),$AO$1006:$BQ$1006,0)))),"Fix")))</f>
        <v>#N/A</v>
      </c>
      <c r="Y650" s="5" t="e">
        <f ca="1">IF(OR(INDEX($AI$2:$AI$1001,MATCH(ROWS($AH$2:AH650),$AH$2:$AH$1001,0),1)&gt;=100000,INDEX($AO$1005:$BQ$1005,1,MATCH(COLUMNS($AO$1006:BL1006),$AO$1006:$BQ$1006,0))&gt;=100000), " ",IF(INDEX($AO$2:$BQ$1001,MATCH(ROWS($AH$2:AH650),$AH$2:$AH$1001,0),MATCH(COLUMNS($AO$1006:BL1006),$AO$1006:$BQ$1006,0)), HYPERLINK("#",""), HYPERLINK(CONCATENATE("#Metadata!", ADDRESS(INDEX($AJ$2:$AJ$1001,MATCH(ROWS($AH$2:AH650),$AH$2:$AH$1001,0),0), INDEX($AO$1004:$BQ$1004,1,MATCH(COLUMNS($AO$1006:BL1006),$AO$1006:$BQ$1006,0)))),"Fix")))</f>
        <v>#N/A</v>
      </c>
      <c r="Z650" s="5" t="e">
        <f ca="1">IF(OR(INDEX($AI$2:$AI$1001,MATCH(ROWS($AH$2:AH650),$AH$2:$AH$1001,0),1)&gt;=100000,INDEX($AO$1005:$BQ$1005,1,MATCH(COLUMNS($AO$1006:BM1006),$AO$1006:$BQ$1006,0))&gt;=100000), " ",IF(INDEX($AO$2:$BQ$1001,MATCH(ROWS($AH$2:AH650),$AH$2:$AH$1001,0),MATCH(COLUMNS($AO$1006:BM1006),$AO$1006:$BQ$1006,0)), HYPERLINK("#",""), HYPERLINK(CONCATENATE("#Metadata!", ADDRESS(INDEX($AJ$2:$AJ$1001,MATCH(ROWS($AH$2:AH650),$AH$2:$AH$1001,0),0), INDEX($AO$1004:$BQ$1004,1,MATCH(COLUMNS($AO$1006:BM1006),$AO$1006:$BQ$1006,0)))),"Fix")))</f>
        <v>#N/A</v>
      </c>
      <c r="AA650" s="5" t="e">
        <f ca="1">IF(OR(INDEX($AI$2:$AI$1001,MATCH(ROWS($AH$2:AH650),$AH$2:$AH$1001,0),1)&gt;=100000,INDEX($AO$1005:$BQ$1005,1,MATCH(COLUMNS($AO$1006:BN1006),$AO$1006:$BQ$1006,0))&gt;=100000), " ",IF(INDEX($AO$2:$BQ$1001,MATCH(ROWS($AH$2:AH650),$AH$2:$AH$1001,0),MATCH(COLUMNS($AO$1006:BN1006),$AO$1006:$BQ$1006,0)), HYPERLINK("#",""), HYPERLINK(CONCATENATE("#Metadata!", ADDRESS(INDEX($AJ$2:$AJ$1001,MATCH(ROWS($AH$2:AH650),$AH$2:$AH$1001,0),0), INDEX($AO$1004:$BQ$1004,1,MATCH(COLUMNS($AO$1006:BN1006),$AO$1006:$BQ$1006,0)))),"Fix")))</f>
        <v>#N/A</v>
      </c>
      <c r="AB650" s="5" t="e">
        <f ca="1">IF(OR(INDEX($AI$2:$AI$1001,MATCH(ROWS($AH$2:AH650),$AH$2:$AH$1001,0),1)&gt;=100000,INDEX($AO$1005:$BQ$1005,1,MATCH(COLUMNS($AO$1006:BO1006),$AO$1006:$BQ$1006,0))&gt;=100000), " ",IF(INDEX($AO$2:$BQ$1001,MATCH(ROWS($AH$2:AH650),$AH$2:$AH$1001,0),MATCH(COLUMNS($AO$1006:BO1006),$AO$1006:$BQ$1006,0)), HYPERLINK("#",""), HYPERLINK(CONCATENATE("#Metadata!", ADDRESS(INDEX($AJ$2:$AJ$1001,MATCH(ROWS($AH$2:AH650),$AH$2:$AH$1001,0),0), INDEX($AO$1004:$BQ$1004,1,MATCH(COLUMNS($AO$1006:BO1006),$AO$1006:$BQ$1006,0)))),"Fix")))</f>
        <v>#N/A</v>
      </c>
      <c r="AC650" s="5" t="e">
        <f ca="1">IF(OR(INDEX($AI$2:$AI$1001,MATCH(ROWS($AH$2:AH650),$AH$2:$AH$1001,0),1)&gt;=100000,INDEX($AO$1005:$BQ$1005,1,MATCH(COLUMNS($AO$1006:BP1006),$AO$1006:$BQ$1006,0))&gt;=100000), " ",IF(INDEX($AO$2:$BQ$1001,MATCH(ROWS($AH$2:AH650),$AH$2:$AH$1001,0),MATCH(COLUMNS($AO$1006:BP1006),$AO$1006:$BQ$1006,0)), HYPERLINK("#",""), HYPERLINK(CONCATENATE("#Metadata!", ADDRESS(INDEX($AJ$2:$AJ$1001,MATCH(ROWS($AH$2:AH650),$AH$2:$AH$1001,0),0), INDEX($AO$1004:$BQ$1004,1,MATCH(COLUMNS($AO$1006:BP1006),$AO$1006:$BQ$1006,0)))),"Fix")))</f>
        <v>#N/A</v>
      </c>
      <c r="AD650" s="5" t="e">
        <f ca="1">IF(OR(INDEX($AI$2:$AI$1001,MATCH(ROWS($AH$2:AH650),$AH$2:$AH$1001,0),1)&gt;=100000,INDEX($AO$1005:$BQ$1005,1,MATCH(COLUMNS($AO$1006:BQ1006),$AO$1006:$BQ$1006,0))&gt;=100000), " ",IF(INDEX($AO$2:$BQ$1001,MATCH(ROWS($AH$2:AH650),$AH$2:$AH$1001,0),MATCH(COLUMNS($AO$1006:BQ1006),$AO$1006:$BQ$1006,0)), HYPERLINK("#",""), HYPERLINK(CONCATENATE("#Metadata!", ADDRESS(INDEX($AJ$2:$AJ$1001,MATCH(ROWS($AH$2:AH650),$AH$2:$AH$1001,0),0), INDEX($AO$1004:$BQ$1004,1,MATCH(COLUMNS($AO$1006:BQ1006),$AO$1006:$BQ$1006,0)))),"Fix")))</f>
        <v>#REF!</v>
      </c>
      <c r="AH650">
        <f ca="1"/>
        <v>647</v>
      </c>
      <c r="AI650">
        <v>100650</v>
      </c>
      <c r="AJ650">
        <v>650</v>
      </c>
      <c r="AK650" t="b">
        <f t="shared" si="10"/>
        <v>1</v>
      </c>
      <c r="AL650" t="b">
        <f>COUNTBLANK(Metadata!B650:AD650)=COLUMNS(Metadata!B650:AD650)</f>
        <v>1</v>
      </c>
      <c r="AM650" t="str">
        <v/>
      </c>
      <c r="AO650" t="b">
        <f ca="1">AND(IF(Metadata!B650="",FALSE,TRUE),COUNTIF(Metadata!B:B, Metadata!B650) = 1,NOT(ISERROR(SUMPRODUCT(SEARCH(MID(Metadata!B650,ROW(INDIRECT("1:"&amp;LEN(Metadata!B650))), 1),"0123456789abcdefghijklmnopqrstuvwxyzABCDEFGHIJKLMNOPQRSTUVWXYZ.")))))</f>
        <v>0</v>
      </c>
      <c r="AP650" t="b">
        <f>IF(Metadata!C650="",FALSE,TRUE)</f>
        <v>0</v>
      </c>
      <c r="AQ650" t="b">
        <f>IF(Metadata!D650="",FALSE,TRUE)</f>
        <v>0</v>
      </c>
      <c r="AR650" t="b">
        <f ca="1">OR(AND(IF(Metadata!E650="",FALSE,TRUE),OR(EXACT(Metadata!E650,"not collected"),EXACT(Metadata!E650,"not provided"),EXACT(Metadata!E650,"restricted access"))),AND(IF(Metadata!E650="",FALSE,TRUE),AND(AND(IFERROR(INT(LEFT(Metadata!E650,4))&gt;1900,FALSE),IFERROR(INT(LEFT(Metadata!E650,4))&lt;=YEAR(NOW()),FALSE)), OR(MID(Metadata!E650,5,1)="", AND(AND(MID(Metadata!E650,5,1)="-",IFERROR(INT(MID(Metadata!E650,6,1))&gt;=0,FALSE),IFERROR(INT(MID(Metadata!E650,6,1))&lt;=1,FALSE),NOT(MID(Metadata!E650,7,1)=""),IFERROR(INT(MID(Metadata!E650,6,2))&gt;=1,FALSE),IFERROR(INT(MID(Metadata!E650,6,2))&lt;=12,FALSE)), OR(MID(Metadata!E650,8,1)="", AND(AND(MID(Metadata!E650,8,1)="-",IFERROR(INT(MID(Metadata!E650,9,1))&gt;=0,FALSE),IFERROR(INT(MID(Metadata!E650,9,1))&lt;=3,FALSE),NOT(MID(Metadata!E650,10,1)=""),IFERROR(INT(MID(Metadata!E650,9,2))&gt;=1,FALSE),IFERROR(INT(MID(Metadata!E650,9,2))&lt;=31,FALSE)), OR(MID(Metadata!E650,11,1)="", AND(AND(MID(Metadata!E650,11,1)=" ",IFERROR(INT(MID(Metadata!E650,12,1))&gt;=0,FALSE),IFERROR(INT(MID(Metadata!E650,12,1))&lt;=2,FALSE),NOT(MID(Metadata!E650,13,1)=""),IFERROR(INT(MID(Metadata!E650,12,2))&gt;=0,FALSE),IFERROR(INT(MID(Metadata!E650,12,2))&lt;=23,FALSE)), OR(MID(Metadata!E650,14,1)="", AND(AND(MID(Metadata!E650,14,1)=":",IFERROR(INT(MID(Metadata!E650,15,1))&gt;=0,FALSE),IFERROR(INT(MID(Metadata!E650,15,1))&lt;=5,FALSE),NOT(MID(Metadata!E650,16,1)=""),IFERROR(INT(MID(Metadata!E650,15,2))&gt;=0,FALSE),IFERROR(INT(MID(Metadata!E650,15,2))&lt;=59,FALSE)), OR(MID(Metadata!E650,17,1)="", AND(AND(MID(Metadata!E650,17,1)=":",IFERROR(INT(MID(Metadata!E650,18,1))&gt;=0,FALSE),IFERROR(INT(MID(Metadata!E650,18,1))&lt;=5,FALSE),NOT(MID(Metadata!E650,19,1)=""),IFERROR(INT(MID(Metadata!E650,18,2))&gt;=0,FALSE),IFERROR(INT(MID(Metadata!E650,18,2))&lt;=59,FALSE)), LEN(Metadata!E650)&lt;=19)))))))))))))</f>
        <v>0</v>
      </c>
      <c r="AS650" t="b">
        <f>IF(Metadata!F650="",FALSE,TRUE)</f>
        <v>0</v>
      </c>
      <c r="AT650" t="b">
        <f>OR(AND(IF(Metadata!G650="",FALSE,TRUE),OR(EXACT(Metadata!G650,"not collected"),EXACT(Metadata!G650,"not provided"))),AND(IF(Metadata!G650="",FALSE,TRUE),OR(EXACT(Metadata!G650,"TRUE"),EXACT(Metadata!G650,"FALSE"))))</f>
        <v>0</v>
      </c>
      <c r="AU650" t="b">
        <f>OR(AND(IF(Metadata!H650="",FALSE,TRUE),OR(EXACT(Metadata!H650,"not collected"),EXACT(Metadata!H650,"not provided"),EXACT(Metadata!H650,"restricted access"))),AND(IF(Metadata!H650="",FALSE,ISNUMBER(VALUE(Metadata!H650))),Metadata!H650&gt;=-413))</f>
        <v>0</v>
      </c>
      <c r="AV650" t="b">
        <f>AND(IF(Metadata!I650="",FALSE,TRUE),EXACT(Metadata!I650,"meters"))</f>
        <v>0</v>
      </c>
      <c r="AW650" t="b">
        <f>AND(IF(Metadata!J650="",FALSE,TRUE),EXACT(Metadata!J650,"free-living"))</f>
        <v>0</v>
      </c>
      <c r="AX650" t="b">
        <f>AND(IF(Metadata!K650="",FALSE,TRUE),OR(EXACT(Metadata!K650,"saline"),EXACT(Metadata!K650,"non-saline")))</f>
        <v>0</v>
      </c>
      <c r="AY650" t="b">
        <f>AND(IF(Metadata!L650="",FALSE,TRUE),OR(EXACT(Metadata!L650,"sub-surface (non-saline)"),EXACT(Metadata!L650,"surface (non-saline)"),EXACT(Metadata!L650,"water (non-saline)"),EXACT(Metadata!L650,"soil (non-saline)"),EXACT(Metadata!L650,"aerosol (non-saline)"),EXACT(Metadata!L650,"sediment (non-saline)"),EXACT(Metadata!L650,"surface (saline)"),EXACT(Metadata!L650,"water (saline)"),EXACT(Metadata!L650,"hypersaline (saline)"),EXACT(Metadata!L650,"aerosol (saline)"),EXACT(Metadata!L650,"sediment (saline)")))</f>
        <v>0</v>
      </c>
      <c r="AZ650" t="b">
        <f>IF(Metadata!M650="",FALSE,TRUE)</f>
        <v>0</v>
      </c>
      <c r="BA650" t="b">
        <f>IF(Metadata!N650="",FALSE,TRUE)</f>
        <v>0</v>
      </c>
      <c r="BB650" t="b">
        <f>IF(Metadata!O650="",FALSE,TRUE)</f>
        <v>0</v>
      </c>
      <c r="BC650" t="b">
        <f>AND(IF(Metadata!P650="",FALSE,TRUE),OR(EXACT(Metadata!P650,"air"),EXACT(Metadata!P650,"microbial mat/biofilm"),EXACT(Metadata!P650,"misc environment"),EXACT(Metadata!P650,"sediment"),EXACT(Metadata!P650,"soil"),EXACT(Metadata!P650,"wastewater/sludge"),EXACT(Metadata!P650,"water")))</f>
        <v>0</v>
      </c>
      <c r="BD650" t="b">
        <f>IF(Metadata!Q650="",FALSE,TRUE)</f>
        <v>0</v>
      </c>
      <c r="BE650" t="b">
        <f>IF(Metadata!R650="",FALSE,TRUE)</f>
        <v>0</v>
      </c>
      <c r="BF650" t="b">
        <f>OR(AND(IF(Metadata!S650="",FALSE,TRUE),OR(EXACT(Metadata!S650,"not collected"),EXACT(Metadata!S650,"not provided"),EXACT(Metadata!S650,"restricted access"))),AND(IF(Metadata!S650="",FALSE,ISNUMBER(VALUE(Metadata!S650))),Metadata!S650&gt;=-90,Metadata!S650&lt;=90))</f>
        <v>0</v>
      </c>
      <c r="BG650" t="b">
        <f>AND(IF(Metadata!T650="",FALSE,TRUE),EXACT(Metadata!T650,"Decimal degrees"))</f>
        <v>0</v>
      </c>
      <c r="BH650" t="b">
        <f>OR(AND(IF(Metadata!U650="",FALSE,TRUE),OR(EXACT(Metadata!U650,"not applicable"),EXACT(Metadata!U650,"not collected"))),IF(Metadata!U650="",FALSE,TRUE))</f>
        <v>0</v>
      </c>
      <c r="BI650" t="b">
        <f>OR(AND(IF(Metadata!V650="",FALSE,TRUE),OR(EXACT(Metadata!V650,"not collected"),EXACT(Metadata!V650,"not provided"),EXACT(Metadata!V650,"restricted access"))),AND(IF(Metadata!V650="",FALSE,ISNUMBER(VALUE(Metadata!V650))),Metadata!V650&gt;=-180,Metadata!V650&lt;=180))</f>
        <v>0</v>
      </c>
      <c r="BJ650" t="b">
        <f>AND(IF(Metadata!W650="",FALSE,TRUE),EXACT(Metadata!W650,"Decimal degrees"))</f>
        <v>0</v>
      </c>
      <c r="BK650" t="b">
        <f>IF(Metadata!X650="",FALSE,TRUE)</f>
        <v>0</v>
      </c>
      <c r="BL650" t="b">
        <f>OR(AND(IF(Metadata!Y650="",FALSE,TRUE),OR(EXACT(Metadata!Y650,"not collected"),EXACT(Metadata!Y650,"not provided"),EXACT(Metadata!Y650,"restricted access"))),AND(IF(Metadata!Y650="",FALSE,TRUE),OR(EXACT(Metadata!Y650,"TRUE"),EXACT(Metadata!Y650,"FALSE"))))</f>
        <v>0</v>
      </c>
      <c r="BM650" t="b">
        <f>OR(AND(IF(Metadata!Z650="",FALSE,TRUE),EXACT(Metadata!Z650,"not applicable")),AND(IF(Metadata!Z650="",FALSE,TRUE),OR(EXACT(Metadata!Z650,"beer"),EXACT(Metadata!Z650,"cheese"),EXACT(Metadata!Z650,"fresh water"),EXACT(Metadata!Z650,"marine sediment"),EXACT(Metadata!Z650,"sea water"),EXACT(Metadata!Z650,"sediment"),EXACT(Metadata!Z650,"soil"),EXACT(Metadata!Z650,"waste water"))))</f>
        <v>0</v>
      </c>
      <c r="BN650" t="b">
        <f>AND(IF(Metadata!AA650="",FALSE,TRUE),EXACT(Metadata!AA650,"metagenome"))</f>
        <v>0</v>
      </c>
      <c r="BO650" t="b">
        <f>AND(IF(Metadata!AB650="",FALSE,TRUE),EXACT(Metadata!AB650,"256318"))</f>
        <v>0</v>
      </c>
      <c r="BP650" t="b">
        <f>IF(Metadata!AC650="",FALSE,TRUE)</f>
        <v>0</v>
      </c>
      <c r="BQ650" t="b">
        <f>IF(Metadata!AD650="",FALSE,TRUE)</f>
        <v>0</v>
      </c>
    </row>
    <row r="651" spans="1:69" x14ac:dyDescent="0.2">
      <c r="A651" s="4" t="e">
        <f ca="1">IF(B651=" "," ",HYPERLINK(CONCATENATE("#metadata!",ADDRESS(INDEX($AJ$2:$AJ$1001,MATCH(ROWS($AH$2:AH651),$AH$2:$AH$1001,0),0),2)),INDEX($AM$2:$AM$1001,MATCH(ROWS($AH$2:AH651),$AH$2:$AH$1001,0),0)))</f>
        <v>#N/A</v>
      </c>
      <c r="B651" s="5" t="e">
        <f ca="1">IF(OR(INDEX($AI$2:$AI$1001,MATCH(ROWS($AH$2:AH651),$AH$2:$AH$1001,0),1)&gt;=100000,INDEX($AO$1005:$BQ$1005,1,MATCH(COLUMNS($AO$1006:AO1006),$AO$1006:$BQ$1006,0))&gt;=100000), " ",IF(INDEX($AO$2:$BQ$1001,MATCH(ROWS($AH$2:AH651),$AH$2:$AH$1001,0),MATCH(COLUMNS($AO$1006:AO1006),$AO$1006:$BQ$1006,0)), HYPERLINK("#",""), HYPERLINK(CONCATENATE("#Metadata!", ADDRESS(INDEX($AJ$2:$AJ$1001,MATCH(ROWS($AH$2:AH651),$AH$2:$AH$1001,0),0), INDEX($AO$1004:$BQ$1004,1,MATCH(COLUMNS($AO$1006:AO1006),$AO$1006:$BQ$1006,0)))),"Fix")))</f>
        <v>#N/A</v>
      </c>
      <c r="C651" s="5" t="e">
        <f ca="1">IF(OR(INDEX($AI$2:$AI$1001,MATCH(ROWS($AH$2:AH651),$AH$2:$AH$1001,0),1)&gt;=100000,INDEX($AO$1005:$BQ$1005,1,MATCH(COLUMNS($AO$1006:AP1006),$AO$1006:$BQ$1006,0))&gt;=100000), " ",IF(INDEX($AO$2:$BQ$1001,MATCH(ROWS($AH$2:AH651),$AH$2:$AH$1001,0),MATCH(COLUMNS($AO$1006:AP1006),$AO$1006:$BQ$1006,0)), HYPERLINK("#",""), HYPERLINK(CONCATENATE("#Metadata!", ADDRESS(INDEX($AJ$2:$AJ$1001,MATCH(ROWS($AH$2:AH651),$AH$2:$AH$1001,0),0), INDEX($AO$1004:$BQ$1004,1,MATCH(COLUMNS($AO$1006:AP1006),$AO$1006:$BQ$1006,0)))),"Fix")))</f>
        <v>#N/A</v>
      </c>
      <c r="D651" s="5" t="e">
        <f ca="1">IF(OR(INDEX($AI$2:$AI$1001,MATCH(ROWS($AH$2:AH651),$AH$2:$AH$1001,0),1)&gt;=100000,INDEX($AO$1005:$BQ$1005,1,MATCH(COLUMNS($AO$1006:AQ1006),$AO$1006:$BQ$1006,0))&gt;=100000), " ",IF(INDEX($AO$2:$BQ$1001,MATCH(ROWS($AH$2:AH651),$AH$2:$AH$1001,0),MATCH(COLUMNS($AO$1006:AQ1006),$AO$1006:$BQ$1006,0)), HYPERLINK("#",""), HYPERLINK(CONCATENATE("#Metadata!", ADDRESS(INDEX($AJ$2:$AJ$1001,MATCH(ROWS($AH$2:AH651),$AH$2:$AH$1001,0),0), INDEX($AO$1004:$BQ$1004,1,MATCH(COLUMNS($AO$1006:AQ1006),$AO$1006:$BQ$1006,0)))),"Fix")))</f>
        <v>#N/A</v>
      </c>
      <c r="E651" s="5" t="e">
        <f ca="1">IF(OR(INDEX($AI$2:$AI$1001,MATCH(ROWS($AH$2:AH651),$AH$2:$AH$1001,0),1)&gt;=100000,INDEX($AO$1005:$BQ$1005,1,MATCH(COLUMNS($AO$1006:AR1006),$AO$1006:$BQ$1006,0))&gt;=100000), " ",IF(INDEX($AO$2:$BQ$1001,MATCH(ROWS($AH$2:AH651),$AH$2:$AH$1001,0),MATCH(COLUMNS($AO$1006:AR1006),$AO$1006:$BQ$1006,0)), HYPERLINK("#",""), HYPERLINK(CONCATENATE("#Metadata!", ADDRESS(INDEX($AJ$2:$AJ$1001,MATCH(ROWS($AH$2:AH651),$AH$2:$AH$1001,0),0), INDEX($AO$1004:$BQ$1004,1,MATCH(COLUMNS($AO$1006:AR1006),$AO$1006:$BQ$1006,0)))),"Fix")))</f>
        <v>#N/A</v>
      </c>
      <c r="F651" s="5" t="e">
        <f ca="1">IF(OR(INDEX($AI$2:$AI$1001,MATCH(ROWS($AH$2:AH651),$AH$2:$AH$1001,0),1)&gt;=100000,INDEX($AO$1005:$BQ$1005,1,MATCH(COLUMNS($AO$1006:AS1006),$AO$1006:$BQ$1006,0))&gt;=100000), " ",IF(INDEX($AO$2:$BQ$1001,MATCH(ROWS($AH$2:AH651),$AH$2:$AH$1001,0),MATCH(COLUMNS($AO$1006:AS1006),$AO$1006:$BQ$1006,0)), HYPERLINK("#",""), HYPERLINK(CONCATENATE("#Metadata!", ADDRESS(INDEX($AJ$2:$AJ$1001,MATCH(ROWS($AH$2:AH651),$AH$2:$AH$1001,0),0), INDEX($AO$1004:$BQ$1004,1,MATCH(COLUMNS($AO$1006:AS1006),$AO$1006:$BQ$1006,0)))),"Fix")))</f>
        <v>#N/A</v>
      </c>
      <c r="G651" s="5" t="e">
        <f ca="1">IF(OR(INDEX($AI$2:$AI$1001,MATCH(ROWS($AH$2:AH651),$AH$2:$AH$1001,0),1)&gt;=100000,INDEX($AO$1005:$BQ$1005,1,MATCH(COLUMNS($AO$1006:AT1006),$AO$1006:$BQ$1006,0))&gt;=100000), " ",IF(INDEX($AO$2:$BQ$1001,MATCH(ROWS($AH$2:AH651),$AH$2:$AH$1001,0),MATCH(COLUMNS($AO$1006:AT1006),$AO$1006:$BQ$1006,0)), HYPERLINK("#",""), HYPERLINK(CONCATENATE("#Metadata!", ADDRESS(INDEX($AJ$2:$AJ$1001,MATCH(ROWS($AH$2:AH651),$AH$2:$AH$1001,0),0), INDEX($AO$1004:$BQ$1004,1,MATCH(COLUMNS($AO$1006:AT1006),$AO$1006:$BQ$1006,0)))),"Fix")))</f>
        <v>#N/A</v>
      </c>
      <c r="H651" s="5" t="e">
        <f ca="1">IF(OR(INDEX($AI$2:$AI$1001,MATCH(ROWS($AH$2:AH651),$AH$2:$AH$1001,0),1)&gt;=100000,INDEX($AO$1005:$BQ$1005,1,MATCH(COLUMNS($AO$1006:AU1006),$AO$1006:$BQ$1006,0))&gt;=100000), " ",IF(INDEX($AO$2:$BQ$1001,MATCH(ROWS($AH$2:AH651),$AH$2:$AH$1001,0),MATCH(COLUMNS($AO$1006:AU1006),$AO$1006:$BQ$1006,0)), HYPERLINK("#",""), HYPERLINK(CONCATENATE("#Metadata!", ADDRESS(INDEX($AJ$2:$AJ$1001,MATCH(ROWS($AH$2:AH651),$AH$2:$AH$1001,0),0), INDEX($AO$1004:$BQ$1004,1,MATCH(COLUMNS($AO$1006:AU1006),$AO$1006:$BQ$1006,0)))),"Fix")))</f>
        <v>#N/A</v>
      </c>
      <c r="I651" s="5" t="e">
        <f ca="1">IF(OR(INDEX($AI$2:$AI$1001,MATCH(ROWS($AH$2:AH651),$AH$2:$AH$1001,0),1)&gt;=100000,INDEX($AO$1005:$BQ$1005,1,MATCH(COLUMNS($AO$1006:AV1006),$AO$1006:$BQ$1006,0))&gt;=100000), " ",IF(INDEX($AO$2:$BQ$1001,MATCH(ROWS($AH$2:AH651),$AH$2:$AH$1001,0),MATCH(COLUMNS($AO$1006:AV1006),$AO$1006:$BQ$1006,0)), HYPERLINK("#",""), HYPERLINK(CONCATENATE("#Metadata!", ADDRESS(INDEX($AJ$2:$AJ$1001,MATCH(ROWS($AH$2:AH651),$AH$2:$AH$1001,0),0), INDEX($AO$1004:$BQ$1004,1,MATCH(COLUMNS($AO$1006:AV1006),$AO$1006:$BQ$1006,0)))),"Fix")))</f>
        <v>#N/A</v>
      </c>
      <c r="J651" s="5" t="e">
        <f ca="1">IF(OR(INDEX($AI$2:$AI$1001,MATCH(ROWS($AH$2:AH651),$AH$2:$AH$1001,0),1)&gt;=100000,INDEX($AO$1005:$BQ$1005,1,MATCH(COLUMNS($AO$1006:AW1006),$AO$1006:$BQ$1006,0))&gt;=100000), " ",IF(INDEX($AO$2:$BQ$1001,MATCH(ROWS($AH$2:AH651),$AH$2:$AH$1001,0),MATCH(COLUMNS($AO$1006:AW1006),$AO$1006:$BQ$1006,0)), HYPERLINK("#",""), HYPERLINK(CONCATENATE("#Metadata!", ADDRESS(INDEX($AJ$2:$AJ$1001,MATCH(ROWS($AH$2:AH651),$AH$2:$AH$1001,0),0), INDEX($AO$1004:$BQ$1004,1,MATCH(COLUMNS($AO$1006:AW1006),$AO$1006:$BQ$1006,0)))),"Fix")))</f>
        <v>#N/A</v>
      </c>
      <c r="K651" s="5" t="e">
        <f ca="1">IF(OR(INDEX($AI$2:$AI$1001,MATCH(ROWS($AH$2:AH651),$AH$2:$AH$1001,0),1)&gt;=100000,INDEX($AO$1005:$BQ$1005,1,MATCH(COLUMNS($AO$1006:AX1006),$AO$1006:$BQ$1006,0))&gt;=100000), " ",IF(INDEX($AO$2:$BQ$1001,MATCH(ROWS($AH$2:AH651),$AH$2:$AH$1001,0),MATCH(COLUMNS($AO$1006:AX1006),$AO$1006:$BQ$1006,0)), HYPERLINK("#",""), HYPERLINK(CONCATENATE("#Metadata!", ADDRESS(INDEX($AJ$2:$AJ$1001,MATCH(ROWS($AH$2:AH651),$AH$2:$AH$1001,0),0), INDEX($AO$1004:$BQ$1004,1,MATCH(COLUMNS($AO$1006:AX1006),$AO$1006:$BQ$1006,0)))),"Fix")))</f>
        <v>#N/A</v>
      </c>
      <c r="L651" s="5" t="e">
        <f ca="1">IF(OR(INDEX($AI$2:$AI$1001,MATCH(ROWS($AH$2:AH651),$AH$2:$AH$1001,0),1)&gt;=100000,INDEX($AO$1005:$BQ$1005,1,MATCH(COLUMNS($AO$1006:AY1006),$AO$1006:$BQ$1006,0))&gt;=100000), " ",IF(INDEX($AO$2:$BQ$1001,MATCH(ROWS($AH$2:AH651),$AH$2:$AH$1001,0),MATCH(COLUMNS($AO$1006:AY1006),$AO$1006:$BQ$1006,0)), HYPERLINK("#",""), HYPERLINK(CONCATENATE("#Metadata!", ADDRESS(INDEX($AJ$2:$AJ$1001,MATCH(ROWS($AH$2:AH651),$AH$2:$AH$1001,0),0), INDEX($AO$1004:$BQ$1004,1,MATCH(COLUMNS($AO$1006:AY1006),$AO$1006:$BQ$1006,0)))),"Fix")))</f>
        <v>#N/A</v>
      </c>
      <c r="M651" s="5" t="e">
        <f ca="1">IF(OR(INDEX($AI$2:$AI$1001,MATCH(ROWS($AH$2:AH651),$AH$2:$AH$1001,0),1)&gt;=100000,INDEX($AO$1005:$BQ$1005,1,MATCH(COLUMNS($AO$1006:AZ1006),$AO$1006:$BQ$1006,0))&gt;=100000), " ",IF(INDEX($AO$2:$BQ$1001,MATCH(ROWS($AH$2:AH651),$AH$2:$AH$1001,0),MATCH(COLUMNS($AO$1006:AZ1006),$AO$1006:$BQ$1006,0)), HYPERLINK("#",""), HYPERLINK(CONCATENATE("#Metadata!", ADDRESS(INDEX($AJ$2:$AJ$1001,MATCH(ROWS($AH$2:AH651),$AH$2:$AH$1001,0),0), INDEX($AO$1004:$BQ$1004,1,MATCH(COLUMNS($AO$1006:AZ1006),$AO$1006:$BQ$1006,0)))),"Fix")))</f>
        <v>#N/A</v>
      </c>
      <c r="N651" s="5" t="e">
        <f ca="1">IF(OR(INDEX($AI$2:$AI$1001,MATCH(ROWS($AH$2:AH651),$AH$2:$AH$1001,0),1)&gt;=100000,INDEX($AO$1005:$BQ$1005,1,MATCH(COLUMNS($AO$1006:BA1006),$AO$1006:$BQ$1006,0))&gt;=100000), " ",IF(INDEX($AO$2:$BQ$1001,MATCH(ROWS($AH$2:AH651),$AH$2:$AH$1001,0),MATCH(COLUMNS($AO$1006:BA1006),$AO$1006:$BQ$1006,0)), HYPERLINK("#",""), HYPERLINK(CONCATENATE("#Metadata!", ADDRESS(INDEX($AJ$2:$AJ$1001,MATCH(ROWS($AH$2:AH651),$AH$2:$AH$1001,0),0), INDEX($AO$1004:$BQ$1004,1,MATCH(COLUMNS($AO$1006:BA1006),$AO$1006:$BQ$1006,0)))),"Fix")))</f>
        <v>#N/A</v>
      </c>
      <c r="O651" s="5" t="e">
        <f ca="1">IF(OR(INDEX($AI$2:$AI$1001,MATCH(ROWS($AH$2:AH651),$AH$2:$AH$1001,0),1)&gt;=100000,INDEX($AO$1005:$BQ$1005,1,MATCH(COLUMNS($AO$1006:BB1006),$AO$1006:$BQ$1006,0))&gt;=100000), " ",IF(INDEX($AO$2:$BQ$1001,MATCH(ROWS($AH$2:AH651),$AH$2:$AH$1001,0),MATCH(COLUMNS($AO$1006:BB1006),$AO$1006:$BQ$1006,0)), HYPERLINK("#",""), HYPERLINK(CONCATENATE("#Metadata!", ADDRESS(INDEX($AJ$2:$AJ$1001,MATCH(ROWS($AH$2:AH651),$AH$2:$AH$1001,0),0), INDEX($AO$1004:$BQ$1004,1,MATCH(COLUMNS($AO$1006:BB1006),$AO$1006:$BQ$1006,0)))),"Fix")))</f>
        <v>#N/A</v>
      </c>
      <c r="P651" s="5" t="e">
        <f ca="1">IF(OR(INDEX($AI$2:$AI$1001,MATCH(ROWS($AH$2:AH651),$AH$2:$AH$1001,0),1)&gt;=100000,INDEX($AO$1005:$BQ$1005,1,MATCH(COLUMNS($AO$1006:BC1006),$AO$1006:$BQ$1006,0))&gt;=100000), " ",IF(INDEX($AO$2:$BQ$1001,MATCH(ROWS($AH$2:AH651),$AH$2:$AH$1001,0),MATCH(COLUMNS($AO$1006:BC1006),$AO$1006:$BQ$1006,0)), HYPERLINK("#",""), HYPERLINK(CONCATENATE("#Metadata!", ADDRESS(INDEX($AJ$2:$AJ$1001,MATCH(ROWS($AH$2:AH651),$AH$2:$AH$1001,0),0), INDEX($AO$1004:$BQ$1004,1,MATCH(COLUMNS($AO$1006:BC1006),$AO$1006:$BQ$1006,0)))),"Fix")))</f>
        <v>#N/A</v>
      </c>
      <c r="Q651" s="5" t="e">
        <f ca="1">IF(OR(INDEX($AI$2:$AI$1001,MATCH(ROWS($AH$2:AH651),$AH$2:$AH$1001,0),1)&gt;=100000,INDEX($AO$1005:$BQ$1005,1,MATCH(COLUMNS($AO$1006:BD1006),$AO$1006:$BQ$1006,0))&gt;=100000), " ",IF(INDEX($AO$2:$BQ$1001,MATCH(ROWS($AH$2:AH651),$AH$2:$AH$1001,0),MATCH(COLUMNS($AO$1006:BD1006),$AO$1006:$BQ$1006,0)), HYPERLINK("#",""), HYPERLINK(CONCATENATE("#Metadata!", ADDRESS(INDEX($AJ$2:$AJ$1001,MATCH(ROWS($AH$2:AH651),$AH$2:$AH$1001,0),0), INDEX($AO$1004:$BQ$1004,1,MATCH(COLUMNS($AO$1006:BD1006),$AO$1006:$BQ$1006,0)))),"Fix")))</f>
        <v>#N/A</v>
      </c>
      <c r="R651" s="5" t="e">
        <f ca="1">IF(OR(INDEX($AI$2:$AI$1001,MATCH(ROWS($AH$2:AH651),$AH$2:$AH$1001,0),1)&gt;=100000,INDEX($AO$1005:$BQ$1005,1,MATCH(COLUMNS($AO$1006:BE1006),$AO$1006:$BQ$1006,0))&gt;=100000), " ",IF(INDEX($AO$2:$BQ$1001,MATCH(ROWS($AH$2:AH651),$AH$2:$AH$1001,0),MATCH(COLUMNS($AO$1006:BE1006),$AO$1006:$BQ$1006,0)), HYPERLINK("#",""), HYPERLINK(CONCATENATE("#Metadata!", ADDRESS(INDEX($AJ$2:$AJ$1001,MATCH(ROWS($AH$2:AH651),$AH$2:$AH$1001,0),0), INDEX($AO$1004:$BQ$1004,1,MATCH(COLUMNS($AO$1006:BE1006),$AO$1006:$BQ$1006,0)))),"Fix")))</f>
        <v>#N/A</v>
      </c>
      <c r="S651" s="5" t="e">
        <f ca="1">IF(OR(INDEX($AI$2:$AI$1001,MATCH(ROWS($AH$2:AH651),$AH$2:$AH$1001,0),1)&gt;=100000,INDEX($AO$1005:$BQ$1005,1,MATCH(COLUMNS($AO$1006:BF1006),$AO$1006:$BQ$1006,0))&gt;=100000), " ",IF(INDEX($AO$2:$BQ$1001,MATCH(ROWS($AH$2:AH651),$AH$2:$AH$1001,0),MATCH(COLUMNS($AO$1006:BF1006),$AO$1006:$BQ$1006,0)), HYPERLINK("#",""), HYPERLINK(CONCATENATE("#Metadata!", ADDRESS(INDEX($AJ$2:$AJ$1001,MATCH(ROWS($AH$2:AH651),$AH$2:$AH$1001,0),0), INDEX($AO$1004:$BQ$1004,1,MATCH(COLUMNS($AO$1006:BF1006),$AO$1006:$BQ$1006,0)))),"Fix")))</f>
        <v>#N/A</v>
      </c>
      <c r="T651" s="5" t="e">
        <f ca="1">IF(OR(INDEX($AI$2:$AI$1001,MATCH(ROWS($AH$2:AH651),$AH$2:$AH$1001,0),1)&gt;=100000,INDEX($AO$1005:$BQ$1005,1,MATCH(COLUMNS($AO$1006:BG1006),$AO$1006:$BQ$1006,0))&gt;=100000), " ",IF(INDEX($AO$2:$BQ$1001,MATCH(ROWS($AH$2:AH651),$AH$2:$AH$1001,0),MATCH(COLUMNS($AO$1006:BG1006),$AO$1006:$BQ$1006,0)), HYPERLINK("#",""), HYPERLINK(CONCATENATE("#Metadata!", ADDRESS(INDEX($AJ$2:$AJ$1001,MATCH(ROWS($AH$2:AH651),$AH$2:$AH$1001,0),0), INDEX($AO$1004:$BQ$1004,1,MATCH(COLUMNS($AO$1006:BG1006),$AO$1006:$BQ$1006,0)))),"Fix")))</f>
        <v>#N/A</v>
      </c>
      <c r="U651" s="5" t="e">
        <f ca="1">IF(OR(INDEX($AI$2:$AI$1001,MATCH(ROWS($AH$2:AH651),$AH$2:$AH$1001,0),1)&gt;=100000,INDEX($AO$1005:$BQ$1005,1,MATCH(COLUMNS($AO$1006:BH1006),$AO$1006:$BQ$1006,0))&gt;=100000), " ",IF(INDEX($AO$2:$BQ$1001,MATCH(ROWS($AH$2:AH651),$AH$2:$AH$1001,0),MATCH(COLUMNS($AO$1006:BH1006),$AO$1006:$BQ$1006,0)), HYPERLINK("#",""), HYPERLINK(CONCATENATE("#Metadata!", ADDRESS(INDEX($AJ$2:$AJ$1001,MATCH(ROWS($AH$2:AH651),$AH$2:$AH$1001,0),0), INDEX($AO$1004:$BQ$1004,1,MATCH(COLUMNS($AO$1006:BH1006),$AO$1006:$BQ$1006,0)))),"Fix")))</f>
        <v>#N/A</v>
      </c>
      <c r="V651" s="5" t="e">
        <f ca="1">IF(OR(INDEX($AI$2:$AI$1001,MATCH(ROWS($AH$2:AH651),$AH$2:$AH$1001,0),1)&gt;=100000,INDEX($AO$1005:$BQ$1005,1,MATCH(COLUMNS($AO$1006:BI1006),$AO$1006:$BQ$1006,0))&gt;=100000), " ",IF(INDEX($AO$2:$BQ$1001,MATCH(ROWS($AH$2:AH651),$AH$2:$AH$1001,0),MATCH(COLUMNS($AO$1006:BI1006),$AO$1006:$BQ$1006,0)), HYPERLINK("#",""), HYPERLINK(CONCATENATE("#Metadata!", ADDRESS(INDEX($AJ$2:$AJ$1001,MATCH(ROWS($AH$2:AH651),$AH$2:$AH$1001,0),0), INDEX($AO$1004:$BQ$1004,1,MATCH(COLUMNS($AO$1006:BI1006),$AO$1006:$BQ$1006,0)))),"Fix")))</f>
        <v>#N/A</v>
      </c>
      <c r="W651" s="5" t="e">
        <f ca="1">IF(OR(INDEX($AI$2:$AI$1001,MATCH(ROWS($AH$2:AH651),$AH$2:$AH$1001,0),1)&gt;=100000,INDEX($AO$1005:$BQ$1005,1,MATCH(COLUMNS($AO$1006:BJ1006),$AO$1006:$BQ$1006,0))&gt;=100000), " ",IF(INDEX($AO$2:$BQ$1001,MATCH(ROWS($AH$2:AH651),$AH$2:$AH$1001,0),MATCH(COLUMNS($AO$1006:BJ1006),$AO$1006:$BQ$1006,0)), HYPERLINK("#",""), HYPERLINK(CONCATENATE("#Metadata!", ADDRESS(INDEX($AJ$2:$AJ$1001,MATCH(ROWS($AH$2:AH651),$AH$2:$AH$1001,0),0), INDEX($AO$1004:$BQ$1004,1,MATCH(COLUMNS($AO$1006:BJ1006),$AO$1006:$BQ$1006,0)))),"Fix")))</f>
        <v>#N/A</v>
      </c>
      <c r="X651" s="5" t="e">
        <f ca="1">IF(OR(INDEX($AI$2:$AI$1001,MATCH(ROWS($AH$2:AH651),$AH$2:$AH$1001,0),1)&gt;=100000,INDEX($AO$1005:$BQ$1005,1,MATCH(COLUMNS($AO$1006:BK1006),$AO$1006:$BQ$1006,0))&gt;=100000), " ",IF(INDEX($AO$2:$BQ$1001,MATCH(ROWS($AH$2:AH651),$AH$2:$AH$1001,0),MATCH(COLUMNS($AO$1006:BK1006),$AO$1006:$BQ$1006,0)), HYPERLINK("#",""), HYPERLINK(CONCATENATE("#Metadata!", ADDRESS(INDEX($AJ$2:$AJ$1001,MATCH(ROWS($AH$2:AH651),$AH$2:$AH$1001,0),0), INDEX($AO$1004:$BQ$1004,1,MATCH(COLUMNS($AO$1006:BK1006),$AO$1006:$BQ$1006,0)))),"Fix")))</f>
        <v>#N/A</v>
      </c>
      <c r="Y651" s="5" t="e">
        <f ca="1">IF(OR(INDEX($AI$2:$AI$1001,MATCH(ROWS($AH$2:AH651),$AH$2:$AH$1001,0),1)&gt;=100000,INDEX($AO$1005:$BQ$1005,1,MATCH(COLUMNS($AO$1006:BL1006),$AO$1006:$BQ$1006,0))&gt;=100000), " ",IF(INDEX($AO$2:$BQ$1001,MATCH(ROWS($AH$2:AH651),$AH$2:$AH$1001,0),MATCH(COLUMNS($AO$1006:BL1006),$AO$1006:$BQ$1006,0)), HYPERLINK("#",""), HYPERLINK(CONCATENATE("#Metadata!", ADDRESS(INDEX($AJ$2:$AJ$1001,MATCH(ROWS($AH$2:AH651),$AH$2:$AH$1001,0),0), INDEX($AO$1004:$BQ$1004,1,MATCH(COLUMNS($AO$1006:BL1006),$AO$1006:$BQ$1006,0)))),"Fix")))</f>
        <v>#N/A</v>
      </c>
      <c r="Z651" s="5" t="e">
        <f ca="1">IF(OR(INDEX($AI$2:$AI$1001,MATCH(ROWS($AH$2:AH651),$AH$2:$AH$1001,0),1)&gt;=100000,INDEX($AO$1005:$BQ$1005,1,MATCH(COLUMNS($AO$1006:BM1006),$AO$1006:$BQ$1006,0))&gt;=100000), " ",IF(INDEX($AO$2:$BQ$1001,MATCH(ROWS($AH$2:AH651),$AH$2:$AH$1001,0),MATCH(COLUMNS($AO$1006:BM1006),$AO$1006:$BQ$1006,0)), HYPERLINK("#",""), HYPERLINK(CONCATENATE("#Metadata!", ADDRESS(INDEX($AJ$2:$AJ$1001,MATCH(ROWS($AH$2:AH651),$AH$2:$AH$1001,0),0), INDEX($AO$1004:$BQ$1004,1,MATCH(COLUMNS($AO$1006:BM1006),$AO$1006:$BQ$1006,0)))),"Fix")))</f>
        <v>#N/A</v>
      </c>
      <c r="AA651" s="5" t="e">
        <f ca="1">IF(OR(INDEX($AI$2:$AI$1001,MATCH(ROWS($AH$2:AH651),$AH$2:$AH$1001,0),1)&gt;=100000,INDEX($AO$1005:$BQ$1005,1,MATCH(COLUMNS($AO$1006:BN1006),$AO$1006:$BQ$1006,0))&gt;=100000), " ",IF(INDEX($AO$2:$BQ$1001,MATCH(ROWS($AH$2:AH651),$AH$2:$AH$1001,0),MATCH(COLUMNS($AO$1006:BN1006),$AO$1006:$BQ$1006,0)), HYPERLINK("#",""), HYPERLINK(CONCATENATE("#Metadata!", ADDRESS(INDEX($AJ$2:$AJ$1001,MATCH(ROWS($AH$2:AH651),$AH$2:$AH$1001,0),0), INDEX($AO$1004:$BQ$1004,1,MATCH(COLUMNS($AO$1006:BN1006),$AO$1006:$BQ$1006,0)))),"Fix")))</f>
        <v>#N/A</v>
      </c>
      <c r="AB651" s="5" t="e">
        <f ca="1">IF(OR(INDEX($AI$2:$AI$1001,MATCH(ROWS($AH$2:AH651),$AH$2:$AH$1001,0),1)&gt;=100000,INDEX($AO$1005:$BQ$1005,1,MATCH(COLUMNS($AO$1006:BO1006),$AO$1006:$BQ$1006,0))&gt;=100000), " ",IF(INDEX($AO$2:$BQ$1001,MATCH(ROWS($AH$2:AH651),$AH$2:$AH$1001,0),MATCH(COLUMNS($AO$1006:BO1006),$AO$1006:$BQ$1006,0)), HYPERLINK("#",""), HYPERLINK(CONCATENATE("#Metadata!", ADDRESS(INDEX($AJ$2:$AJ$1001,MATCH(ROWS($AH$2:AH651),$AH$2:$AH$1001,0),0), INDEX($AO$1004:$BQ$1004,1,MATCH(COLUMNS($AO$1006:BO1006),$AO$1006:$BQ$1006,0)))),"Fix")))</f>
        <v>#N/A</v>
      </c>
      <c r="AC651" s="5" t="e">
        <f ca="1">IF(OR(INDEX($AI$2:$AI$1001,MATCH(ROWS($AH$2:AH651),$AH$2:$AH$1001,0),1)&gt;=100000,INDEX($AO$1005:$BQ$1005,1,MATCH(COLUMNS($AO$1006:BP1006),$AO$1006:$BQ$1006,0))&gt;=100000), " ",IF(INDEX($AO$2:$BQ$1001,MATCH(ROWS($AH$2:AH651),$AH$2:$AH$1001,0),MATCH(COLUMNS($AO$1006:BP1006),$AO$1006:$BQ$1006,0)), HYPERLINK("#",""), HYPERLINK(CONCATENATE("#Metadata!", ADDRESS(INDEX($AJ$2:$AJ$1001,MATCH(ROWS($AH$2:AH651),$AH$2:$AH$1001,0),0), INDEX($AO$1004:$BQ$1004,1,MATCH(COLUMNS($AO$1006:BP1006),$AO$1006:$BQ$1006,0)))),"Fix")))</f>
        <v>#N/A</v>
      </c>
      <c r="AD651" s="5" t="e">
        <f ca="1">IF(OR(INDEX($AI$2:$AI$1001,MATCH(ROWS($AH$2:AH651),$AH$2:$AH$1001,0),1)&gt;=100000,INDEX($AO$1005:$BQ$1005,1,MATCH(COLUMNS($AO$1006:BQ1006),$AO$1006:$BQ$1006,0))&gt;=100000), " ",IF(INDEX($AO$2:$BQ$1001,MATCH(ROWS($AH$2:AH651),$AH$2:$AH$1001,0),MATCH(COLUMNS($AO$1006:BQ1006),$AO$1006:$BQ$1006,0)), HYPERLINK("#",""), HYPERLINK(CONCATENATE("#Metadata!", ADDRESS(INDEX($AJ$2:$AJ$1001,MATCH(ROWS($AH$2:AH651),$AH$2:$AH$1001,0),0), INDEX($AO$1004:$BQ$1004,1,MATCH(COLUMNS($AO$1006:BQ1006),$AO$1006:$BQ$1006,0)))),"Fix")))</f>
        <v>#REF!</v>
      </c>
      <c r="AH651">
        <f ca="1"/>
        <v>648</v>
      </c>
      <c r="AI651">
        <v>100651</v>
      </c>
      <c r="AJ651">
        <v>651</v>
      </c>
      <c r="AK651" t="b">
        <f t="shared" si="10"/>
        <v>1</v>
      </c>
      <c r="AL651" t="b">
        <f>COUNTBLANK(Metadata!B651:AD651)=COLUMNS(Metadata!B651:AD651)</f>
        <v>1</v>
      </c>
      <c r="AM651" t="str">
        <v/>
      </c>
      <c r="AO651" t="b">
        <f ca="1">AND(IF(Metadata!B651="",FALSE,TRUE),COUNTIF(Metadata!B:B, Metadata!B651) = 1,NOT(ISERROR(SUMPRODUCT(SEARCH(MID(Metadata!B651,ROW(INDIRECT("1:"&amp;LEN(Metadata!B651))), 1),"0123456789abcdefghijklmnopqrstuvwxyzABCDEFGHIJKLMNOPQRSTUVWXYZ.")))))</f>
        <v>0</v>
      </c>
      <c r="AP651" t="b">
        <f>IF(Metadata!C651="",FALSE,TRUE)</f>
        <v>0</v>
      </c>
      <c r="AQ651" t="b">
        <f>IF(Metadata!D651="",FALSE,TRUE)</f>
        <v>0</v>
      </c>
      <c r="AR651" t="b">
        <f ca="1">OR(AND(IF(Metadata!E651="",FALSE,TRUE),OR(EXACT(Metadata!E651,"not collected"),EXACT(Metadata!E651,"not provided"),EXACT(Metadata!E651,"restricted access"))),AND(IF(Metadata!E651="",FALSE,TRUE),AND(AND(IFERROR(INT(LEFT(Metadata!E651,4))&gt;1900,FALSE),IFERROR(INT(LEFT(Metadata!E651,4))&lt;=YEAR(NOW()),FALSE)), OR(MID(Metadata!E651,5,1)="", AND(AND(MID(Metadata!E651,5,1)="-",IFERROR(INT(MID(Metadata!E651,6,1))&gt;=0,FALSE),IFERROR(INT(MID(Metadata!E651,6,1))&lt;=1,FALSE),NOT(MID(Metadata!E651,7,1)=""),IFERROR(INT(MID(Metadata!E651,6,2))&gt;=1,FALSE),IFERROR(INT(MID(Metadata!E651,6,2))&lt;=12,FALSE)), OR(MID(Metadata!E651,8,1)="", AND(AND(MID(Metadata!E651,8,1)="-",IFERROR(INT(MID(Metadata!E651,9,1))&gt;=0,FALSE),IFERROR(INT(MID(Metadata!E651,9,1))&lt;=3,FALSE),NOT(MID(Metadata!E651,10,1)=""),IFERROR(INT(MID(Metadata!E651,9,2))&gt;=1,FALSE),IFERROR(INT(MID(Metadata!E651,9,2))&lt;=31,FALSE)), OR(MID(Metadata!E651,11,1)="", AND(AND(MID(Metadata!E651,11,1)=" ",IFERROR(INT(MID(Metadata!E651,12,1))&gt;=0,FALSE),IFERROR(INT(MID(Metadata!E651,12,1))&lt;=2,FALSE),NOT(MID(Metadata!E651,13,1)=""),IFERROR(INT(MID(Metadata!E651,12,2))&gt;=0,FALSE),IFERROR(INT(MID(Metadata!E651,12,2))&lt;=23,FALSE)), OR(MID(Metadata!E651,14,1)="", AND(AND(MID(Metadata!E651,14,1)=":",IFERROR(INT(MID(Metadata!E651,15,1))&gt;=0,FALSE),IFERROR(INT(MID(Metadata!E651,15,1))&lt;=5,FALSE),NOT(MID(Metadata!E651,16,1)=""),IFERROR(INT(MID(Metadata!E651,15,2))&gt;=0,FALSE),IFERROR(INT(MID(Metadata!E651,15,2))&lt;=59,FALSE)), OR(MID(Metadata!E651,17,1)="", AND(AND(MID(Metadata!E651,17,1)=":",IFERROR(INT(MID(Metadata!E651,18,1))&gt;=0,FALSE),IFERROR(INT(MID(Metadata!E651,18,1))&lt;=5,FALSE),NOT(MID(Metadata!E651,19,1)=""),IFERROR(INT(MID(Metadata!E651,18,2))&gt;=0,FALSE),IFERROR(INT(MID(Metadata!E651,18,2))&lt;=59,FALSE)), LEN(Metadata!E651)&lt;=19)))))))))))))</f>
        <v>0</v>
      </c>
      <c r="AS651" t="b">
        <f>IF(Metadata!F651="",FALSE,TRUE)</f>
        <v>0</v>
      </c>
      <c r="AT651" t="b">
        <f>OR(AND(IF(Metadata!G651="",FALSE,TRUE),OR(EXACT(Metadata!G651,"not collected"),EXACT(Metadata!G651,"not provided"))),AND(IF(Metadata!G651="",FALSE,TRUE),OR(EXACT(Metadata!G651,"TRUE"),EXACT(Metadata!G651,"FALSE"))))</f>
        <v>0</v>
      </c>
      <c r="AU651" t="b">
        <f>OR(AND(IF(Metadata!H651="",FALSE,TRUE),OR(EXACT(Metadata!H651,"not collected"),EXACT(Metadata!H651,"not provided"),EXACT(Metadata!H651,"restricted access"))),AND(IF(Metadata!H651="",FALSE,ISNUMBER(VALUE(Metadata!H651))),Metadata!H651&gt;=-413))</f>
        <v>0</v>
      </c>
      <c r="AV651" t="b">
        <f>AND(IF(Metadata!I651="",FALSE,TRUE),EXACT(Metadata!I651,"meters"))</f>
        <v>0</v>
      </c>
      <c r="AW651" t="b">
        <f>AND(IF(Metadata!J651="",FALSE,TRUE),EXACT(Metadata!J651,"free-living"))</f>
        <v>0</v>
      </c>
      <c r="AX651" t="b">
        <f>AND(IF(Metadata!K651="",FALSE,TRUE),OR(EXACT(Metadata!K651,"saline"),EXACT(Metadata!K651,"non-saline")))</f>
        <v>0</v>
      </c>
      <c r="AY651" t="b">
        <f>AND(IF(Metadata!L651="",FALSE,TRUE),OR(EXACT(Metadata!L651,"sub-surface (non-saline)"),EXACT(Metadata!L651,"surface (non-saline)"),EXACT(Metadata!L651,"water (non-saline)"),EXACT(Metadata!L651,"soil (non-saline)"),EXACT(Metadata!L651,"aerosol (non-saline)"),EXACT(Metadata!L651,"sediment (non-saline)"),EXACT(Metadata!L651,"surface (saline)"),EXACT(Metadata!L651,"water (saline)"),EXACT(Metadata!L651,"hypersaline (saline)"),EXACT(Metadata!L651,"aerosol (saline)"),EXACT(Metadata!L651,"sediment (saline)")))</f>
        <v>0</v>
      </c>
      <c r="AZ651" t="b">
        <f>IF(Metadata!M651="",FALSE,TRUE)</f>
        <v>0</v>
      </c>
      <c r="BA651" t="b">
        <f>IF(Metadata!N651="",FALSE,TRUE)</f>
        <v>0</v>
      </c>
      <c r="BB651" t="b">
        <f>IF(Metadata!O651="",FALSE,TRUE)</f>
        <v>0</v>
      </c>
      <c r="BC651" t="b">
        <f>AND(IF(Metadata!P651="",FALSE,TRUE),OR(EXACT(Metadata!P651,"air"),EXACT(Metadata!P651,"microbial mat/biofilm"),EXACT(Metadata!P651,"misc environment"),EXACT(Metadata!P651,"sediment"),EXACT(Metadata!P651,"soil"),EXACT(Metadata!P651,"wastewater/sludge"),EXACT(Metadata!P651,"water")))</f>
        <v>0</v>
      </c>
      <c r="BD651" t="b">
        <f>IF(Metadata!Q651="",FALSE,TRUE)</f>
        <v>0</v>
      </c>
      <c r="BE651" t="b">
        <f>IF(Metadata!R651="",FALSE,TRUE)</f>
        <v>0</v>
      </c>
      <c r="BF651" t="b">
        <f>OR(AND(IF(Metadata!S651="",FALSE,TRUE),OR(EXACT(Metadata!S651,"not collected"),EXACT(Metadata!S651,"not provided"),EXACT(Metadata!S651,"restricted access"))),AND(IF(Metadata!S651="",FALSE,ISNUMBER(VALUE(Metadata!S651))),Metadata!S651&gt;=-90,Metadata!S651&lt;=90))</f>
        <v>0</v>
      </c>
      <c r="BG651" t="b">
        <f>AND(IF(Metadata!T651="",FALSE,TRUE),EXACT(Metadata!T651,"Decimal degrees"))</f>
        <v>0</v>
      </c>
      <c r="BH651" t="b">
        <f>OR(AND(IF(Metadata!U651="",FALSE,TRUE),OR(EXACT(Metadata!U651,"not applicable"),EXACT(Metadata!U651,"not collected"))),IF(Metadata!U651="",FALSE,TRUE))</f>
        <v>0</v>
      </c>
      <c r="BI651" t="b">
        <f>OR(AND(IF(Metadata!V651="",FALSE,TRUE),OR(EXACT(Metadata!V651,"not collected"),EXACT(Metadata!V651,"not provided"),EXACT(Metadata!V651,"restricted access"))),AND(IF(Metadata!V651="",FALSE,ISNUMBER(VALUE(Metadata!V651))),Metadata!V651&gt;=-180,Metadata!V651&lt;=180))</f>
        <v>0</v>
      </c>
      <c r="BJ651" t="b">
        <f>AND(IF(Metadata!W651="",FALSE,TRUE),EXACT(Metadata!W651,"Decimal degrees"))</f>
        <v>0</v>
      </c>
      <c r="BK651" t="b">
        <f>IF(Metadata!X651="",FALSE,TRUE)</f>
        <v>0</v>
      </c>
      <c r="BL651" t="b">
        <f>OR(AND(IF(Metadata!Y651="",FALSE,TRUE),OR(EXACT(Metadata!Y651,"not collected"),EXACT(Metadata!Y651,"not provided"),EXACT(Metadata!Y651,"restricted access"))),AND(IF(Metadata!Y651="",FALSE,TRUE),OR(EXACT(Metadata!Y651,"TRUE"),EXACT(Metadata!Y651,"FALSE"))))</f>
        <v>0</v>
      </c>
      <c r="BM651" t="b">
        <f>OR(AND(IF(Metadata!Z651="",FALSE,TRUE),EXACT(Metadata!Z651,"not applicable")),AND(IF(Metadata!Z651="",FALSE,TRUE),OR(EXACT(Metadata!Z651,"beer"),EXACT(Metadata!Z651,"cheese"),EXACT(Metadata!Z651,"fresh water"),EXACT(Metadata!Z651,"marine sediment"),EXACT(Metadata!Z651,"sea water"),EXACT(Metadata!Z651,"sediment"),EXACT(Metadata!Z651,"soil"),EXACT(Metadata!Z651,"waste water"))))</f>
        <v>0</v>
      </c>
      <c r="BN651" t="b">
        <f>AND(IF(Metadata!AA651="",FALSE,TRUE),EXACT(Metadata!AA651,"metagenome"))</f>
        <v>0</v>
      </c>
      <c r="BO651" t="b">
        <f>AND(IF(Metadata!AB651="",FALSE,TRUE),EXACT(Metadata!AB651,"256318"))</f>
        <v>0</v>
      </c>
      <c r="BP651" t="b">
        <f>IF(Metadata!AC651="",FALSE,TRUE)</f>
        <v>0</v>
      </c>
      <c r="BQ651" t="b">
        <f>IF(Metadata!AD651="",FALSE,TRUE)</f>
        <v>0</v>
      </c>
    </row>
    <row r="652" spans="1:69" x14ac:dyDescent="0.2">
      <c r="A652" s="4" t="e">
        <f ca="1">IF(B652=" "," ",HYPERLINK(CONCATENATE("#metadata!",ADDRESS(INDEX($AJ$2:$AJ$1001,MATCH(ROWS($AH$2:AH652),$AH$2:$AH$1001,0),0),2)),INDEX($AM$2:$AM$1001,MATCH(ROWS($AH$2:AH652),$AH$2:$AH$1001,0),0)))</f>
        <v>#N/A</v>
      </c>
      <c r="B652" s="5" t="e">
        <f ca="1">IF(OR(INDEX($AI$2:$AI$1001,MATCH(ROWS($AH$2:AH652),$AH$2:$AH$1001,0),1)&gt;=100000,INDEX($AO$1005:$BQ$1005,1,MATCH(COLUMNS($AO$1006:AO1006),$AO$1006:$BQ$1006,0))&gt;=100000), " ",IF(INDEX($AO$2:$BQ$1001,MATCH(ROWS($AH$2:AH652),$AH$2:$AH$1001,0),MATCH(COLUMNS($AO$1006:AO1006),$AO$1006:$BQ$1006,0)), HYPERLINK("#",""), HYPERLINK(CONCATENATE("#Metadata!", ADDRESS(INDEX($AJ$2:$AJ$1001,MATCH(ROWS($AH$2:AH652),$AH$2:$AH$1001,0),0), INDEX($AO$1004:$BQ$1004,1,MATCH(COLUMNS($AO$1006:AO1006),$AO$1006:$BQ$1006,0)))),"Fix")))</f>
        <v>#N/A</v>
      </c>
      <c r="C652" s="5" t="e">
        <f ca="1">IF(OR(INDEX($AI$2:$AI$1001,MATCH(ROWS($AH$2:AH652),$AH$2:$AH$1001,0),1)&gt;=100000,INDEX($AO$1005:$BQ$1005,1,MATCH(COLUMNS($AO$1006:AP1006),$AO$1006:$BQ$1006,0))&gt;=100000), " ",IF(INDEX($AO$2:$BQ$1001,MATCH(ROWS($AH$2:AH652),$AH$2:$AH$1001,0),MATCH(COLUMNS($AO$1006:AP1006),$AO$1006:$BQ$1006,0)), HYPERLINK("#",""), HYPERLINK(CONCATENATE("#Metadata!", ADDRESS(INDEX($AJ$2:$AJ$1001,MATCH(ROWS($AH$2:AH652),$AH$2:$AH$1001,0),0), INDEX($AO$1004:$BQ$1004,1,MATCH(COLUMNS($AO$1006:AP1006),$AO$1006:$BQ$1006,0)))),"Fix")))</f>
        <v>#N/A</v>
      </c>
      <c r="D652" s="5" t="e">
        <f ca="1">IF(OR(INDEX($AI$2:$AI$1001,MATCH(ROWS($AH$2:AH652),$AH$2:$AH$1001,0),1)&gt;=100000,INDEX($AO$1005:$BQ$1005,1,MATCH(COLUMNS($AO$1006:AQ1006),$AO$1006:$BQ$1006,0))&gt;=100000), " ",IF(INDEX($AO$2:$BQ$1001,MATCH(ROWS($AH$2:AH652),$AH$2:$AH$1001,0),MATCH(COLUMNS($AO$1006:AQ1006),$AO$1006:$BQ$1006,0)), HYPERLINK("#",""), HYPERLINK(CONCATENATE("#Metadata!", ADDRESS(INDEX($AJ$2:$AJ$1001,MATCH(ROWS($AH$2:AH652),$AH$2:$AH$1001,0),0), INDEX($AO$1004:$BQ$1004,1,MATCH(COLUMNS($AO$1006:AQ1006),$AO$1006:$BQ$1006,0)))),"Fix")))</f>
        <v>#N/A</v>
      </c>
      <c r="E652" s="5" t="e">
        <f ca="1">IF(OR(INDEX($AI$2:$AI$1001,MATCH(ROWS($AH$2:AH652),$AH$2:$AH$1001,0),1)&gt;=100000,INDEX($AO$1005:$BQ$1005,1,MATCH(COLUMNS($AO$1006:AR1006),$AO$1006:$BQ$1006,0))&gt;=100000), " ",IF(INDEX($AO$2:$BQ$1001,MATCH(ROWS($AH$2:AH652),$AH$2:$AH$1001,0),MATCH(COLUMNS($AO$1006:AR1006),$AO$1006:$BQ$1006,0)), HYPERLINK("#",""), HYPERLINK(CONCATENATE("#Metadata!", ADDRESS(INDEX($AJ$2:$AJ$1001,MATCH(ROWS($AH$2:AH652),$AH$2:$AH$1001,0),0), INDEX($AO$1004:$BQ$1004,1,MATCH(COLUMNS($AO$1006:AR1006),$AO$1006:$BQ$1006,0)))),"Fix")))</f>
        <v>#N/A</v>
      </c>
      <c r="F652" s="5" t="e">
        <f ca="1">IF(OR(INDEX($AI$2:$AI$1001,MATCH(ROWS($AH$2:AH652),$AH$2:$AH$1001,0),1)&gt;=100000,INDEX($AO$1005:$BQ$1005,1,MATCH(COLUMNS($AO$1006:AS1006),$AO$1006:$BQ$1006,0))&gt;=100000), " ",IF(INDEX($AO$2:$BQ$1001,MATCH(ROWS($AH$2:AH652),$AH$2:$AH$1001,0),MATCH(COLUMNS($AO$1006:AS1006),$AO$1006:$BQ$1006,0)), HYPERLINK("#",""), HYPERLINK(CONCATENATE("#Metadata!", ADDRESS(INDEX($AJ$2:$AJ$1001,MATCH(ROWS($AH$2:AH652),$AH$2:$AH$1001,0),0), INDEX($AO$1004:$BQ$1004,1,MATCH(COLUMNS($AO$1006:AS1006),$AO$1006:$BQ$1006,0)))),"Fix")))</f>
        <v>#N/A</v>
      </c>
      <c r="G652" s="5" t="e">
        <f ca="1">IF(OR(INDEX($AI$2:$AI$1001,MATCH(ROWS($AH$2:AH652),$AH$2:$AH$1001,0),1)&gt;=100000,INDEX($AO$1005:$BQ$1005,1,MATCH(COLUMNS($AO$1006:AT1006),$AO$1006:$BQ$1006,0))&gt;=100000), " ",IF(INDEX($AO$2:$BQ$1001,MATCH(ROWS($AH$2:AH652),$AH$2:$AH$1001,0),MATCH(COLUMNS($AO$1006:AT1006),$AO$1006:$BQ$1006,0)), HYPERLINK("#",""), HYPERLINK(CONCATENATE("#Metadata!", ADDRESS(INDEX($AJ$2:$AJ$1001,MATCH(ROWS($AH$2:AH652),$AH$2:$AH$1001,0),0), INDEX($AO$1004:$BQ$1004,1,MATCH(COLUMNS($AO$1006:AT1006),$AO$1006:$BQ$1006,0)))),"Fix")))</f>
        <v>#N/A</v>
      </c>
      <c r="H652" s="5" t="e">
        <f ca="1">IF(OR(INDEX($AI$2:$AI$1001,MATCH(ROWS($AH$2:AH652),$AH$2:$AH$1001,0),1)&gt;=100000,INDEX($AO$1005:$BQ$1005,1,MATCH(COLUMNS($AO$1006:AU1006),$AO$1006:$BQ$1006,0))&gt;=100000), " ",IF(INDEX($AO$2:$BQ$1001,MATCH(ROWS($AH$2:AH652),$AH$2:$AH$1001,0),MATCH(COLUMNS($AO$1006:AU1006),$AO$1006:$BQ$1006,0)), HYPERLINK("#",""), HYPERLINK(CONCATENATE("#Metadata!", ADDRESS(INDEX($AJ$2:$AJ$1001,MATCH(ROWS($AH$2:AH652),$AH$2:$AH$1001,0),0), INDEX($AO$1004:$BQ$1004,1,MATCH(COLUMNS($AO$1006:AU1006),$AO$1006:$BQ$1006,0)))),"Fix")))</f>
        <v>#N/A</v>
      </c>
      <c r="I652" s="5" t="e">
        <f ca="1">IF(OR(INDEX($AI$2:$AI$1001,MATCH(ROWS($AH$2:AH652),$AH$2:$AH$1001,0),1)&gt;=100000,INDEX($AO$1005:$BQ$1005,1,MATCH(COLUMNS($AO$1006:AV1006),$AO$1006:$BQ$1006,0))&gt;=100000), " ",IF(INDEX($AO$2:$BQ$1001,MATCH(ROWS($AH$2:AH652),$AH$2:$AH$1001,0),MATCH(COLUMNS($AO$1006:AV1006),$AO$1006:$BQ$1006,0)), HYPERLINK("#",""), HYPERLINK(CONCATENATE("#Metadata!", ADDRESS(INDEX($AJ$2:$AJ$1001,MATCH(ROWS($AH$2:AH652),$AH$2:$AH$1001,0),0), INDEX($AO$1004:$BQ$1004,1,MATCH(COLUMNS($AO$1006:AV1006),$AO$1006:$BQ$1006,0)))),"Fix")))</f>
        <v>#N/A</v>
      </c>
      <c r="J652" s="5" t="e">
        <f ca="1">IF(OR(INDEX($AI$2:$AI$1001,MATCH(ROWS($AH$2:AH652),$AH$2:$AH$1001,0),1)&gt;=100000,INDEX($AO$1005:$BQ$1005,1,MATCH(COLUMNS($AO$1006:AW1006),$AO$1006:$BQ$1006,0))&gt;=100000), " ",IF(INDEX($AO$2:$BQ$1001,MATCH(ROWS($AH$2:AH652),$AH$2:$AH$1001,0),MATCH(COLUMNS($AO$1006:AW1006),$AO$1006:$BQ$1006,0)), HYPERLINK("#",""), HYPERLINK(CONCATENATE("#Metadata!", ADDRESS(INDEX($AJ$2:$AJ$1001,MATCH(ROWS($AH$2:AH652),$AH$2:$AH$1001,0),0), INDEX($AO$1004:$BQ$1004,1,MATCH(COLUMNS($AO$1006:AW1006),$AO$1006:$BQ$1006,0)))),"Fix")))</f>
        <v>#N/A</v>
      </c>
      <c r="K652" s="5" t="e">
        <f ca="1">IF(OR(INDEX($AI$2:$AI$1001,MATCH(ROWS($AH$2:AH652),$AH$2:$AH$1001,0),1)&gt;=100000,INDEX($AO$1005:$BQ$1005,1,MATCH(COLUMNS($AO$1006:AX1006),$AO$1006:$BQ$1006,0))&gt;=100000), " ",IF(INDEX($AO$2:$BQ$1001,MATCH(ROWS($AH$2:AH652),$AH$2:$AH$1001,0),MATCH(COLUMNS($AO$1006:AX1006),$AO$1006:$BQ$1006,0)), HYPERLINK("#",""), HYPERLINK(CONCATENATE("#Metadata!", ADDRESS(INDEX($AJ$2:$AJ$1001,MATCH(ROWS($AH$2:AH652),$AH$2:$AH$1001,0),0), INDEX($AO$1004:$BQ$1004,1,MATCH(COLUMNS($AO$1006:AX1006),$AO$1006:$BQ$1006,0)))),"Fix")))</f>
        <v>#N/A</v>
      </c>
      <c r="L652" s="5" t="e">
        <f ca="1">IF(OR(INDEX($AI$2:$AI$1001,MATCH(ROWS($AH$2:AH652),$AH$2:$AH$1001,0),1)&gt;=100000,INDEX($AO$1005:$BQ$1005,1,MATCH(COLUMNS($AO$1006:AY1006),$AO$1006:$BQ$1006,0))&gt;=100000), " ",IF(INDEX($AO$2:$BQ$1001,MATCH(ROWS($AH$2:AH652),$AH$2:$AH$1001,0),MATCH(COLUMNS($AO$1006:AY1006),$AO$1006:$BQ$1006,0)), HYPERLINK("#",""), HYPERLINK(CONCATENATE("#Metadata!", ADDRESS(INDEX($AJ$2:$AJ$1001,MATCH(ROWS($AH$2:AH652),$AH$2:$AH$1001,0),0), INDEX($AO$1004:$BQ$1004,1,MATCH(COLUMNS($AO$1006:AY1006),$AO$1006:$BQ$1006,0)))),"Fix")))</f>
        <v>#N/A</v>
      </c>
      <c r="M652" s="5" t="e">
        <f ca="1">IF(OR(INDEX($AI$2:$AI$1001,MATCH(ROWS($AH$2:AH652),$AH$2:$AH$1001,0),1)&gt;=100000,INDEX($AO$1005:$BQ$1005,1,MATCH(COLUMNS($AO$1006:AZ1006),$AO$1006:$BQ$1006,0))&gt;=100000), " ",IF(INDEX($AO$2:$BQ$1001,MATCH(ROWS($AH$2:AH652),$AH$2:$AH$1001,0),MATCH(COLUMNS($AO$1006:AZ1006),$AO$1006:$BQ$1006,0)), HYPERLINK("#",""), HYPERLINK(CONCATENATE("#Metadata!", ADDRESS(INDEX($AJ$2:$AJ$1001,MATCH(ROWS($AH$2:AH652),$AH$2:$AH$1001,0),0), INDEX($AO$1004:$BQ$1004,1,MATCH(COLUMNS($AO$1006:AZ1006),$AO$1006:$BQ$1006,0)))),"Fix")))</f>
        <v>#N/A</v>
      </c>
      <c r="N652" s="5" t="e">
        <f ca="1">IF(OR(INDEX($AI$2:$AI$1001,MATCH(ROWS($AH$2:AH652),$AH$2:$AH$1001,0),1)&gt;=100000,INDEX($AO$1005:$BQ$1005,1,MATCH(COLUMNS($AO$1006:BA1006),$AO$1006:$BQ$1006,0))&gt;=100000), " ",IF(INDEX($AO$2:$BQ$1001,MATCH(ROWS($AH$2:AH652),$AH$2:$AH$1001,0),MATCH(COLUMNS($AO$1006:BA1006),$AO$1006:$BQ$1006,0)), HYPERLINK("#",""), HYPERLINK(CONCATENATE("#Metadata!", ADDRESS(INDEX($AJ$2:$AJ$1001,MATCH(ROWS($AH$2:AH652),$AH$2:$AH$1001,0),0), INDEX($AO$1004:$BQ$1004,1,MATCH(COLUMNS($AO$1006:BA1006),$AO$1006:$BQ$1006,0)))),"Fix")))</f>
        <v>#N/A</v>
      </c>
      <c r="O652" s="5" t="e">
        <f ca="1">IF(OR(INDEX($AI$2:$AI$1001,MATCH(ROWS($AH$2:AH652),$AH$2:$AH$1001,0),1)&gt;=100000,INDEX($AO$1005:$BQ$1005,1,MATCH(COLUMNS($AO$1006:BB1006),$AO$1006:$BQ$1006,0))&gt;=100000), " ",IF(INDEX($AO$2:$BQ$1001,MATCH(ROWS($AH$2:AH652),$AH$2:$AH$1001,0),MATCH(COLUMNS($AO$1006:BB1006),$AO$1006:$BQ$1006,0)), HYPERLINK("#",""), HYPERLINK(CONCATENATE("#Metadata!", ADDRESS(INDEX($AJ$2:$AJ$1001,MATCH(ROWS($AH$2:AH652),$AH$2:$AH$1001,0),0), INDEX($AO$1004:$BQ$1004,1,MATCH(COLUMNS($AO$1006:BB1006),$AO$1006:$BQ$1006,0)))),"Fix")))</f>
        <v>#N/A</v>
      </c>
      <c r="P652" s="5" t="e">
        <f ca="1">IF(OR(INDEX($AI$2:$AI$1001,MATCH(ROWS($AH$2:AH652),$AH$2:$AH$1001,0),1)&gt;=100000,INDEX($AO$1005:$BQ$1005,1,MATCH(COLUMNS($AO$1006:BC1006),$AO$1006:$BQ$1006,0))&gt;=100000), " ",IF(INDEX($AO$2:$BQ$1001,MATCH(ROWS($AH$2:AH652),$AH$2:$AH$1001,0),MATCH(COLUMNS($AO$1006:BC1006),$AO$1006:$BQ$1006,0)), HYPERLINK("#",""), HYPERLINK(CONCATENATE("#Metadata!", ADDRESS(INDEX($AJ$2:$AJ$1001,MATCH(ROWS($AH$2:AH652),$AH$2:$AH$1001,0),0), INDEX($AO$1004:$BQ$1004,1,MATCH(COLUMNS($AO$1006:BC1006),$AO$1006:$BQ$1006,0)))),"Fix")))</f>
        <v>#N/A</v>
      </c>
      <c r="Q652" s="5" t="e">
        <f ca="1">IF(OR(INDEX($AI$2:$AI$1001,MATCH(ROWS($AH$2:AH652),$AH$2:$AH$1001,0),1)&gt;=100000,INDEX($AO$1005:$BQ$1005,1,MATCH(COLUMNS($AO$1006:BD1006),$AO$1006:$BQ$1006,0))&gt;=100000), " ",IF(INDEX($AO$2:$BQ$1001,MATCH(ROWS($AH$2:AH652),$AH$2:$AH$1001,0),MATCH(COLUMNS($AO$1006:BD1006),$AO$1006:$BQ$1006,0)), HYPERLINK("#",""), HYPERLINK(CONCATENATE("#Metadata!", ADDRESS(INDEX($AJ$2:$AJ$1001,MATCH(ROWS($AH$2:AH652),$AH$2:$AH$1001,0),0), INDEX($AO$1004:$BQ$1004,1,MATCH(COLUMNS($AO$1006:BD1006),$AO$1006:$BQ$1006,0)))),"Fix")))</f>
        <v>#N/A</v>
      </c>
      <c r="R652" s="5" t="e">
        <f ca="1">IF(OR(INDEX($AI$2:$AI$1001,MATCH(ROWS($AH$2:AH652),$AH$2:$AH$1001,0),1)&gt;=100000,INDEX($AO$1005:$BQ$1005,1,MATCH(COLUMNS($AO$1006:BE1006),$AO$1006:$BQ$1006,0))&gt;=100000), " ",IF(INDEX($AO$2:$BQ$1001,MATCH(ROWS($AH$2:AH652),$AH$2:$AH$1001,0),MATCH(COLUMNS($AO$1006:BE1006),$AO$1006:$BQ$1006,0)), HYPERLINK("#",""), HYPERLINK(CONCATENATE("#Metadata!", ADDRESS(INDEX($AJ$2:$AJ$1001,MATCH(ROWS($AH$2:AH652),$AH$2:$AH$1001,0),0), INDEX($AO$1004:$BQ$1004,1,MATCH(COLUMNS($AO$1006:BE1006),$AO$1006:$BQ$1006,0)))),"Fix")))</f>
        <v>#N/A</v>
      </c>
      <c r="S652" s="5" t="e">
        <f ca="1">IF(OR(INDEX($AI$2:$AI$1001,MATCH(ROWS($AH$2:AH652),$AH$2:$AH$1001,0),1)&gt;=100000,INDEX($AO$1005:$BQ$1005,1,MATCH(COLUMNS($AO$1006:BF1006),$AO$1006:$BQ$1006,0))&gt;=100000), " ",IF(INDEX($AO$2:$BQ$1001,MATCH(ROWS($AH$2:AH652),$AH$2:$AH$1001,0),MATCH(COLUMNS($AO$1006:BF1006),$AO$1006:$BQ$1006,0)), HYPERLINK("#",""), HYPERLINK(CONCATENATE("#Metadata!", ADDRESS(INDEX($AJ$2:$AJ$1001,MATCH(ROWS($AH$2:AH652),$AH$2:$AH$1001,0),0), INDEX($AO$1004:$BQ$1004,1,MATCH(COLUMNS($AO$1006:BF1006),$AO$1006:$BQ$1006,0)))),"Fix")))</f>
        <v>#N/A</v>
      </c>
      <c r="T652" s="5" t="e">
        <f ca="1">IF(OR(INDEX($AI$2:$AI$1001,MATCH(ROWS($AH$2:AH652),$AH$2:$AH$1001,0),1)&gt;=100000,INDEX($AO$1005:$BQ$1005,1,MATCH(COLUMNS($AO$1006:BG1006),$AO$1006:$BQ$1006,0))&gt;=100000), " ",IF(INDEX($AO$2:$BQ$1001,MATCH(ROWS($AH$2:AH652),$AH$2:$AH$1001,0),MATCH(COLUMNS($AO$1006:BG1006),$AO$1006:$BQ$1006,0)), HYPERLINK("#",""), HYPERLINK(CONCATENATE("#Metadata!", ADDRESS(INDEX($AJ$2:$AJ$1001,MATCH(ROWS($AH$2:AH652),$AH$2:$AH$1001,0),0), INDEX($AO$1004:$BQ$1004,1,MATCH(COLUMNS($AO$1006:BG1006),$AO$1006:$BQ$1006,0)))),"Fix")))</f>
        <v>#N/A</v>
      </c>
      <c r="U652" s="5" t="e">
        <f ca="1">IF(OR(INDEX($AI$2:$AI$1001,MATCH(ROWS($AH$2:AH652),$AH$2:$AH$1001,0),1)&gt;=100000,INDEX($AO$1005:$BQ$1005,1,MATCH(COLUMNS($AO$1006:BH1006),$AO$1006:$BQ$1006,0))&gt;=100000), " ",IF(INDEX($AO$2:$BQ$1001,MATCH(ROWS($AH$2:AH652),$AH$2:$AH$1001,0),MATCH(COLUMNS($AO$1006:BH1006),$AO$1006:$BQ$1006,0)), HYPERLINK("#",""), HYPERLINK(CONCATENATE("#Metadata!", ADDRESS(INDEX($AJ$2:$AJ$1001,MATCH(ROWS($AH$2:AH652),$AH$2:$AH$1001,0),0), INDEX($AO$1004:$BQ$1004,1,MATCH(COLUMNS($AO$1006:BH1006),$AO$1006:$BQ$1006,0)))),"Fix")))</f>
        <v>#N/A</v>
      </c>
      <c r="V652" s="5" t="e">
        <f ca="1">IF(OR(INDEX($AI$2:$AI$1001,MATCH(ROWS($AH$2:AH652),$AH$2:$AH$1001,0),1)&gt;=100000,INDEX($AO$1005:$BQ$1005,1,MATCH(COLUMNS($AO$1006:BI1006),$AO$1006:$BQ$1006,0))&gt;=100000), " ",IF(INDEX($AO$2:$BQ$1001,MATCH(ROWS($AH$2:AH652),$AH$2:$AH$1001,0),MATCH(COLUMNS($AO$1006:BI1006),$AO$1006:$BQ$1006,0)), HYPERLINK("#",""), HYPERLINK(CONCATENATE("#Metadata!", ADDRESS(INDEX($AJ$2:$AJ$1001,MATCH(ROWS($AH$2:AH652),$AH$2:$AH$1001,0),0), INDEX($AO$1004:$BQ$1004,1,MATCH(COLUMNS($AO$1006:BI1006),$AO$1006:$BQ$1006,0)))),"Fix")))</f>
        <v>#N/A</v>
      </c>
      <c r="W652" s="5" t="e">
        <f ca="1">IF(OR(INDEX($AI$2:$AI$1001,MATCH(ROWS($AH$2:AH652),$AH$2:$AH$1001,0),1)&gt;=100000,INDEX($AO$1005:$BQ$1005,1,MATCH(COLUMNS($AO$1006:BJ1006),$AO$1006:$BQ$1006,0))&gt;=100000), " ",IF(INDEX($AO$2:$BQ$1001,MATCH(ROWS($AH$2:AH652),$AH$2:$AH$1001,0),MATCH(COLUMNS($AO$1006:BJ1006),$AO$1006:$BQ$1006,0)), HYPERLINK("#",""), HYPERLINK(CONCATENATE("#Metadata!", ADDRESS(INDEX($AJ$2:$AJ$1001,MATCH(ROWS($AH$2:AH652),$AH$2:$AH$1001,0),0), INDEX($AO$1004:$BQ$1004,1,MATCH(COLUMNS($AO$1006:BJ1006),$AO$1006:$BQ$1006,0)))),"Fix")))</f>
        <v>#N/A</v>
      </c>
      <c r="X652" s="5" t="e">
        <f ca="1">IF(OR(INDEX($AI$2:$AI$1001,MATCH(ROWS($AH$2:AH652),$AH$2:$AH$1001,0),1)&gt;=100000,INDEX($AO$1005:$BQ$1005,1,MATCH(COLUMNS($AO$1006:BK1006),$AO$1006:$BQ$1006,0))&gt;=100000), " ",IF(INDEX($AO$2:$BQ$1001,MATCH(ROWS($AH$2:AH652),$AH$2:$AH$1001,0),MATCH(COLUMNS($AO$1006:BK1006),$AO$1006:$BQ$1006,0)), HYPERLINK("#",""), HYPERLINK(CONCATENATE("#Metadata!", ADDRESS(INDEX($AJ$2:$AJ$1001,MATCH(ROWS($AH$2:AH652),$AH$2:$AH$1001,0),0), INDEX($AO$1004:$BQ$1004,1,MATCH(COLUMNS($AO$1006:BK1006),$AO$1006:$BQ$1006,0)))),"Fix")))</f>
        <v>#N/A</v>
      </c>
      <c r="Y652" s="5" t="e">
        <f ca="1">IF(OR(INDEX($AI$2:$AI$1001,MATCH(ROWS($AH$2:AH652),$AH$2:$AH$1001,0),1)&gt;=100000,INDEX($AO$1005:$BQ$1005,1,MATCH(COLUMNS($AO$1006:BL1006),$AO$1006:$BQ$1006,0))&gt;=100000), " ",IF(INDEX($AO$2:$BQ$1001,MATCH(ROWS($AH$2:AH652),$AH$2:$AH$1001,0),MATCH(COLUMNS($AO$1006:BL1006),$AO$1006:$BQ$1006,0)), HYPERLINK("#",""), HYPERLINK(CONCATENATE("#Metadata!", ADDRESS(INDEX($AJ$2:$AJ$1001,MATCH(ROWS($AH$2:AH652),$AH$2:$AH$1001,0),0), INDEX($AO$1004:$BQ$1004,1,MATCH(COLUMNS($AO$1006:BL1006),$AO$1006:$BQ$1006,0)))),"Fix")))</f>
        <v>#N/A</v>
      </c>
      <c r="Z652" s="5" t="e">
        <f ca="1">IF(OR(INDEX($AI$2:$AI$1001,MATCH(ROWS($AH$2:AH652),$AH$2:$AH$1001,0),1)&gt;=100000,INDEX($AO$1005:$BQ$1005,1,MATCH(COLUMNS($AO$1006:BM1006),$AO$1006:$BQ$1006,0))&gt;=100000), " ",IF(INDEX($AO$2:$BQ$1001,MATCH(ROWS($AH$2:AH652),$AH$2:$AH$1001,0),MATCH(COLUMNS($AO$1006:BM1006),$AO$1006:$BQ$1006,0)), HYPERLINK("#",""), HYPERLINK(CONCATENATE("#Metadata!", ADDRESS(INDEX($AJ$2:$AJ$1001,MATCH(ROWS($AH$2:AH652),$AH$2:$AH$1001,0),0), INDEX($AO$1004:$BQ$1004,1,MATCH(COLUMNS($AO$1006:BM1006),$AO$1006:$BQ$1006,0)))),"Fix")))</f>
        <v>#N/A</v>
      </c>
      <c r="AA652" s="5" t="e">
        <f ca="1">IF(OR(INDEX($AI$2:$AI$1001,MATCH(ROWS($AH$2:AH652),$AH$2:$AH$1001,0),1)&gt;=100000,INDEX($AO$1005:$BQ$1005,1,MATCH(COLUMNS($AO$1006:BN1006),$AO$1006:$BQ$1006,0))&gt;=100000), " ",IF(INDEX($AO$2:$BQ$1001,MATCH(ROWS($AH$2:AH652),$AH$2:$AH$1001,0),MATCH(COLUMNS($AO$1006:BN1006),$AO$1006:$BQ$1006,0)), HYPERLINK("#",""), HYPERLINK(CONCATENATE("#Metadata!", ADDRESS(INDEX($AJ$2:$AJ$1001,MATCH(ROWS($AH$2:AH652),$AH$2:$AH$1001,0),0), INDEX($AO$1004:$BQ$1004,1,MATCH(COLUMNS($AO$1006:BN1006),$AO$1006:$BQ$1006,0)))),"Fix")))</f>
        <v>#N/A</v>
      </c>
      <c r="AB652" s="5" t="e">
        <f ca="1">IF(OR(INDEX($AI$2:$AI$1001,MATCH(ROWS($AH$2:AH652),$AH$2:$AH$1001,0),1)&gt;=100000,INDEX($AO$1005:$BQ$1005,1,MATCH(COLUMNS($AO$1006:BO1006),$AO$1006:$BQ$1006,0))&gt;=100000), " ",IF(INDEX($AO$2:$BQ$1001,MATCH(ROWS($AH$2:AH652),$AH$2:$AH$1001,0),MATCH(COLUMNS($AO$1006:BO1006),$AO$1006:$BQ$1006,0)), HYPERLINK("#",""), HYPERLINK(CONCATENATE("#Metadata!", ADDRESS(INDEX($AJ$2:$AJ$1001,MATCH(ROWS($AH$2:AH652),$AH$2:$AH$1001,0),0), INDEX($AO$1004:$BQ$1004,1,MATCH(COLUMNS($AO$1006:BO1006),$AO$1006:$BQ$1006,0)))),"Fix")))</f>
        <v>#N/A</v>
      </c>
      <c r="AC652" s="5" t="e">
        <f ca="1">IF(OR(INDEX($AI$2:$AI$1001,MATCH(ROWS($AH$2:AH652),$AH$2:$AH$1001,0),1)&gt;=100000,INDEX($AO$1005:$BQ$1005,1,MATCH(COLUMNS($AO$1006:BP1006),$AO$1006:$BQ$1006,0))&gt;=100000), " ",IF(INDEX($AO$2:$BQ$1001,MATCH(ROWS($AH$2:AH652),$AH$2:$AH$1001,0),MATCH(COLUMNS($AO$1006:BP1006),$AO$1006:$BQ$1006,0)), HYPERLINK("#",""), HYPERLINK(CONCATENATE("#Metadata!", ADDRESS(INDEX($AJ$2:$AJ$1001,MATCH(ROWS($AH$2:AH652),$AH$2:$AH$1001,0),0), INDEX($AO$1004:$BQ$1004,1,MATCH(COLUMNS($AO$1006:BP1006),$AO$1006:$BQ$1006,0)))),"Fix")))</f>
        <v>#N/A</v>
      </c>
      <c r="AD652" s="5" t="e">
        <f ca="1">IF(OR(INDEX($AI$2:$AI$1001,MATCH(ROWS($AH$2:AH652),$AH$2:$AH$1001,0),1)&gt;=100000,INDEX($AO$1005:$BQ$1005,1,MATCH(COLUMNS($AO$1006:BQ1006),$AO$1006:$BQ$1006,0))&gt;=100000), " ",IF(INDEX($AO$2:$BQ$1001,MATCH(ROWS($AH$2:AH652),$AH$2:$AH$1001,0),MATCH(COLUMNS($AO$1006:BQ1006),$AO$1006:$BQ$1006,0)), HYPERLINK("#",""), HYPERLINK(CONCATENATE("#Metadata!", ADDRESS(INDEX($AJ$2:$AJ$1001,MATCH(ROWS($AH$2:AH652),$AH$2:$AH$1001,0),0), INDEX($AO$1004:$BQ$1004,1,MATCH(COLUMNS($AO$1006:BQ1006),$AO$1006:$BQ$1006,0)))),"Fix")))</f>
        <v>#REF!</v>
      </c>
      <c r="AH652">
        <f ca="1"/>
        <v>649</v>
      </c>
      <c r="AI652">
        <v>100652</v>
      </c>
      <c r="AJ652">
        <v>652</v>
      </c>
      <c r="AK652" t="b">
        <f t="shared" si="10"/>
        <v>1</v>
      </c>
      <c r="AL652" t="b">
        <f>COUNTBLANK(Metadata!B652:AD652)=COLUMNS(Metadata!B652:AD652)</f>
        <v>1</v>
      </c>
      <c r="AM652" t="str">
        <v/>
      </c>
      <c r="AO652" t="b">
        <f ca="1">AND(IF(Metadata!B652="",FALSE,TRUE),COUNTIF(Metadata!B:B, Metadata!B652) = 1,NOT(ISERROR(SUMPRODUCT(SEARCH(MID(Metadata!B652,ROW(INDIRECT("1:"&amp;LEN(Metadata!B652))), 1),"0123456789abcdefghijklmnopqrstuvwxyzABCDEFGHIJKLMNOPQRSTUVWXYZ.")))))</f>
        <v>0</v>
      </c>
      <c r="AP652" t="b">
        <f>IF(Metadata!C652="",FALSE,TRUE)</f>
        <v>0</v>
      </c>
      <c r="AQ652" t="b">
        <f>IF(Metadata!D652="",FALSE,TRUE)</f>
        <v>0</v>
      </c>
      <c r="AR652" t="b">
        <f ca="1">OR(AND(IF(Metadata!E652="",FALSE,TRUE),OR(EXACT(Metadata!E652,"not collected"),EXACT(Metadata!E652,"not provided"),EXACT(Metadata!E652,"restricted access"))),AND(IF(Metadata!E652="",FALSE,TRUE),AND(AND(IFERROR(INT(LEFT(Metadata!E652,4))&gt;1900,FALSE),IFERROR(INT(LEFT(Metadata!E652,4))&lt;=YEAR(NOW()),FALSE)), OR(MID(Metadata!E652,5,1)="", AND(AND(MID(Metadata!E652,5,1)="-",IFERROR(INT(MID(Metadata!E652,6,1))&gt;=0,FALSE),IFERROR(INT(MID(Metadata!E652,6,1))&lt;=1,FALSE),NOT(MID(Metadata!E652,7,1)=""),IFERROR(INT(MID(Metadata!E652,6,2))&gt;=1,FALSE),IFERROR(INT(MID(Metadata!E652,6,2))&lt;=12,FALSE)), OR(MID(Metadata!E652,8,1)="", AND(AND(MID(Metadata!E652,8,1)="-",IFERROR(INT(MID(Metadata!E652,9,1))&gt;=0,FALSE),IFERROR(INT(MID(Metadata!E652,9,1))&lt;=3,FALSE),NOT(MID(Metadata!E652,10,1)=""),IFERROR(INT(MID(Metadata!E652,9,2))&gt;=1,FALSE),IFERROR(INT(MID(Metadata!E652,9,2))&lt;=31,FALSE)), OR(MID(Metadata!E652,11,1)="", AND(AND(MID(Metadata!E652,11,1)=" ",IFERROR(INT(MID(Metadata!E652,12,1))&gt;=0,FALSE),IFERROR(INT(MID(Metadata!E652,12,1))&lt;=2,FALSE),NOT(MID(Metadata!E652,13,1)=""),IFERROR(INT(MID(Metadata!E652,12,2))&gt;=0,FALSE),IFERROR(INT(MID(Metadata!E652,12,2))&lt;=23,FALSE)), OR(MID(Metadata!E652,14,1)="", AND(AND(MID(Metadata!E652,14,1)=":",IFERROR(INT(MID(Metadata!E652,15,1))&gt;=0,FALSE),IFERROR(INT(MID(Metadata!E652,15,1))&lt;=5,FALSE),NOT(MID(Metadata!E652,16,1)=""),IFERROR(INT(MID(Metadata!E652,15,2))&gt;=0,FALSE),IFERROR(INT(MID(Metadata!E652,15,2))&lt;=59,FALSE)), OR(MID(Metadata!E652,17,1)="", AND(AND(MID(Metadata!E652,17,1)=":",IFERROR(INT(MID(Metadata!E652,18,1))&gt;=0,FALSE),IFERROR(INT(MID(Metadata!E652,18,1))&lt;=5,FALSE),NOT(MID(Metadata!E652,19,1)=""),IFERROR(INT(MID(Metadata!E652,18,2))&gt;=0,FALSE),IFERROR(INT(MID(Metadata!E652,18,2))&lt;=59,FALSE)), LEN(Metadata!E652)&lt;=19)))))))))))))</f>
        <v>0</v>
      </c>
      <c r="AS652" t="b">
        <f>IF(Metadata!F652="",FALSE,TRUE)</f>
        <v>0</v>
      </c>
      <c r="AT652" t="b">
        <f>OR(AND(IF(Metadata!G652="",FALSE,TRUE),OR(EXACT(Metadata!G652,"not collected"),EXACT(Metadata!G652,"not provided"))),AND(IF(Metadata!G652="",FALSE,TRUE),OR(EXACT(Metadata!G652,"TRUE"),EXACT(Metadata!G652,"FALSE"))))</f>
        <v>0</v>
      </c>
      <c r="AU652" t="b">
        <f>OR(AND(IF(Metadata!H652="",FALSE,TRUE),OR(EXACT(Metadata!H652,"not collected"),EXACT(Metadata!H652,"not provided"),EXACT(Metadata!H652,"restricted access"))),AND(IF(Metadata!H652="",FALSE,ISNUMBER(VALUE(Metadata!H652))),Metadata!H652&gt;=-413))</f>
        <v>0</v>
      </c>
      <c r="AV652" t="b">
        <f>AND(IF(Metadata!I652="",FALSE,TRUE),EXACT(Metadata!I652,"meters"))</f>
        <v>0</v>
      </c>
      <c r="AW652" t="b">
        <f>AND(IF(Metadata!J652="",FALSE,TRUE),EXACT(Metadata!J652,"free-living"))</f>
        <v>0</v>
      </c>
      <c r="AX652" t="b">
        <f>AND(IF(Metadata!K652="",FALSE,TRUE),OR(EXACT(Metadata!K652,"saline"),EXACT(Metadata!K652,"non-saline")))</f>
        <v>0</v>
      </c>
      <c r="AY652" t="b">
        <f>AND(IF(Metadata!L652="",FALSE,TRUE),OR(EXACT(Metadata!L652,"sub-surface (non-saline)"),EXACT(Metadata!L652,"surface (non-saline)"),EXACT(Metadata!L652,"water (non-saline)"),EXACT(Metadata!L652,"soil (non-saline)"),EXACT(Metadata!L652,"aerosol (non-saline)"),EXACT(Metadata!L652,"sediment (non-saline)"),EXACT(Metadata!L652,"surface (saline)"),EXACT(Metadata!L652,"water (saline)"),EXACT(Metadata!L652,"hypersaline (saline)"),EXACT(Metadata!L652,"aerosol (saline)"),EXACT(Metadata!L652,"sediment (saline)")))</f>
        <v>0</v>
      </c>
      <c r="AZ652" t="b">
        <f>IF(Metadata!M652="",FALSE,TRUE)</f>
        <v>0</v>
      </c>
      <c r="BA652" t="b">
        <f>IF(Metadata!N652="",FALSE,TRUE)</f>
        <v>0</v>
      </c>
      <c r="BB652" t="b">
        <f>IF(Metadata!O652="",FALSE,TRUE)</f>
        <v>0</v>
      </c>
      <c r="BC652" t="b">
        <f>AND(IF(Metadata!P652="",FALSE,TRUE),OR(EXACT(Metadata!P652,"air"),EXACT(Metadata!P652,"microbial mat/biofilm"),EXACT(Metadata!P652,"misc environment"),EXACT(Metadata!P652,"sediment"),EXACT(Metadata!P652,"soil"),EXACT(Metadata!P652,"wastewater/sludge"),EXACT(Metadata!P652,"water")))</f>
        <v>0</v>
      </c>
      <c r="BD652" t="b">
        <f>IF(Metadata!Q652="",FALSE,TRUE)</f>
        <v>0</v>
      </c>
      <c r="BE652" t="b">
        <f>IF(Metadata!R652="",FALSE,TRUE)</f>
        <v>0</v>
      </c>
      <c r="BF652" t="b">
        <f>OR(AND(IF(Metadata!S652="",FALSE,TRUE),OR(EXACT(Metadata!S652,"not collected"),EXACT(Metadata!S652,"not provided"),EXACT(Metadata!S652,"restricted access"))),AND(IF(Metadata!S652="",FALSE,ISNUMBER(VALUE(Metadata!S652))),Metadata!S652&gt;=-90,Metadata!S652&lt;=90))</f>
        <v>0</v>
      </c>
      <c r="BG652" t="b">
        <f>AND(IF(Metadata!T652="",FALSE,TRUE),EXACT(Metadata!T652,"Decimal degrees"))</f>
        <v>0</v>
      </c>
      <c r="BH652" t="b">
        <f>OR(AND(IF(Metadata!U652="",FALSE,TRUE),OR(EXACT(Metadata!U652,"not applicable"),EXACT(Metadata!U652,"not collected"))),IF(Metadata!U652="",FALSE,TRUE))</f>
        <v>0</v>
      </c>
      <c r="BI652" t="b">
        <f>OR(AND(IF(Metadata!V652="",FALSE,TRUE),OR(EXACT(Metadata!V652,"not collected"),EXACT(Metadata!V652,"not provided"),EXACT(Metadata!V652,"restricted access"))),AND(IF(Metadata!V652="",FALSE,ISNUMBER(VALUE(Metadata!V652))),Metadata!V652&gt;=-180,Metadata!V652&lt;=180))</f>
        <v>0</v>
      </c>
      <c r="BJ652" t="b">
        <f>AND(IF(Metadata!W652="",FALSE,TRUE),EXACT(Metadata!W652,"Decimal degrees"))</f>
        <v>0</v>
      </c>
      <c r="BK652" t="b">
        <f>IF(Metadata!X652="",FALSE,TRUE)</f>
        <v>0</v>
      </c>
      <c r="BL652" t="b">
        <f>OR(AND(IF(Metadata!Y652="",FALSE,TRUE),OR(EXACT(Metadata!Y652,"not collected"),EXACT(Metadata!Y652,"not provided"),EXACT(Metadata!Y652,"restricted access"))),AND(IF(Metadata!Y652="",FALSE,TRUE),OR(EXACT(Metadata!Y652,"TRUE"),EXACT(Metadata!Y652,"FALSE"))))</f>
        <v>0</v>
      </c>
      <c r="BM652" t="b">
        <f>OR(AND(IF(Metadata!Z652="",FALSE,TRUE),EXACT(Metadata!Z652,"not applicable")),AND(IF(Metadata!Z652="",FALSE,TRUE),OR(EXACT(Metadata!Z652,"beer"),EXACT(Metadata!Z652,"cheese"),EXACT(Metadata!Z652,"fresh water"),EXACT(Metadata!Z652,"marine sediment"),EXACT(Metadata!Z652,"sea water"),EXACT(Metadata!Z652,"sediment"),EXACT(Metadata!Z652,"soil"),EXACT(Metadata!Z652,"waste water"))))</f>
        <v>0</v>
      </c>
      <c r="BN652" t="b">
        <f>AND(IF(Metadata!AA652="",FALSE,TRUE),EXACT(Metadata!AA652,"metagenome"))</f>
        <v>0</v>
      </c>
      <c r="BO652" t="b">
        <f>AND(IF(Metadata!AB652="",FALSE,TRUE),EXACT(Metadata!AB652,"256318"))</f>
        <v>0</v>
      </c>
      <c r="BP652" t="b">
        <f>IF(Metadata!AC652="",FALSE,TRUE)</f>
        <v>0</v>
      </c>
      <c r="BQ652" t="b">
        <f>IF(Metadata!AD652="",FALSE,TRUE)</f>
        <v>0</v>
      </c>
    </row>
    <row r="653" spans="1:69" x14ac:dyDescent="0.2">
      <c r="A653" s="4" t="e">
        <f ca="1">IF(B653=" "," ",HYPERLINK(CONCATENATE("#metadata!",ADDRESS(INDEX($AJ$2:$AJ$1001,MATCH(ROWS($AH$2:AH653),$AH$2:$AH$1001,0),0),2)),INDEX($AM$2:$AM$1001,MATCH(ROWS($AH$2:AH653),$AH$2:$AH$1001,0),0)))</f>
        <v>#N/A</v>
      </c>
      <c r="B653" s="5" t="e">
        <f ca="1">IF(OR(INDEX($AI$2:$AI$1001,MATCH(ROWS($AH$2:AH653),$AH$2:$AH$1001,0),1)&gt;=100000,INDEX($AO$1005:$BQ$1005,1,MATCH(COLUMNS($AO$1006:AO1006),$AO$1006:$BQ$1006,0))&gt;=100000), " ",IF(INDEX($AO$2:$BQ$1001,MATCH(ROWS($AH$2:AH653),$AH$2:$AH$1001,0),MATCH(COLUMNS($AO$1006:AO1006),$AO$1006:$BQ$1006,0)), HYPERLINK("#",""), HYPERLINK(CONCATENATE("#Metadata!", ADDRESS(INDEX($AJ$2:$AJ$1001,MATCH(ROWS($AH$2:AH653),$AH$2:$AH$1001,0),0), INDEX($AO$1004:$BQ$1004,1,MATCH(COLUMNS($AO$1006:AO1006),$AO$1006:$BQ$1006,0)))),"Fix")))</f>
        <v>#N/A</v>
      </c>
      <c r="C653" s="5" t="e">
        <f ca="1">IF(OR(INDEX($AI$2:$AI$1001,MATCH(ROWS($AH$2:AH653),$AH$2:$AH$1001,0),1)&gt;=100000,INDEX($AO$1005:$BQ$1005,1,MATCH(COLUMNS($AO$1006:AP1006),$AO$1006:$BQ$1006,0))&gt;=100000), " ",IF(INDEX($AO$2:$BQ$1001,MATCH(ROWS($AH$2:AH653),$AH$2:$AH$1001,0),MATCH(COLUMNS($AO$1006:AP1006),$AO$1006:$BQ$1006,0)), HYPERLINK("#",""), HYPERLINK(CONCATENATE("#Metadata!", ADDRESS(INDEX($AJ$2:$AJ$1001,MATCH(ROWS($AH$2:AH653),$AH$2:$AH$1001,0),0), INDEX($AO$1004:$BQ$1004,1,MATCH(COLUMNS($AO$1006:AP1006),$AO$1006:$BQ$1006,0)))),"Fix")))</f>
        <v>#N/A</v>
      </c>
      <c r="D653" s="5" t="e">
        <f ca="1">IF(OR(INDEX($AI$2:$AI$1001,MATCH(ROWS($AH$2:AH653),$AH$2:$AH$1001,0),1)&gt;=100000,INDEX($AO$1005:$BQ$1005,1,MATCH(COLUMNS($AO$1006:AQ1006),$AO$1006:$BQ$1006,0))&gt;=100000), " ",IF(INDEX($AO$2:$BQ$1001,MATCH(ROWS($AH$2:AH653),$AH$2:$AH$1001,0),MATCH(COLUMNS($AO$1006:AQ1006),$AO$1006:$BQ$1006,0)), HYPERLINK("#",""), HYPERLINK(CONCATENATE("#Metadata!", ADDRESS(INDEX($AJ$2:$AJ$1001,MATCH(ROWS($AH$2:AH653),$AH$2:$AH$1001,0),0), INDEX($AO$1004:$BQ$1004,1,MATCH(COLUMNS($AO$1006:AQ1006),$AO$1006:$BQ$1006,0)))),"Fix")))</f>
        <v>#N/A</v>
      </c>
      <c r="E653" s="5" t="e">
        <f ca="1">IF(OR(INDEX($AI$2:$AI$1001,MATCH(ROWS($AH$2:AH653),$AH$2:$AH$1001,0),1)&gt;=100000,INDEX($AO$1005:$BQ$1005,1,MATCH(COLUMNS($AO$1006:AR1006),$AO$1006:$BQ$1006,0))&gt;=100000), " ",IF(INDEX($AO$2:$BQ$1001,MATCH(ROWS($AH$2:AH653),$AH$2:$AH$1001,0),MATCH(COLUMNS($AO$1006:AR1006),$AO$1006:$BQ$1006,0)), HYPERLINK("#",""), HYPERLINK(CONCATENATE("#Metadata!", ADDRESS(INDEX($AJ$2:$AJ$1001,MATCH(ROWS($AH$2:AH653),$AH$2:$AH$1001,0),0), INDEX($AO$1004:$BQ$1004,1,MATCH(COLUMNS($AO$1006:AR1006),$AO$1006:$BQ$1006,0)))),"Fix")))</f>
        <v>#N/A</v>
      </c>
      <c r="F653" s="5" t="e">
        <f ca="1">IF(OR(INDEX($AI$2:$AI$1001,MATCH(ROWS($AH$2:AH653),$AH$2:$AH$1001,0),1)&gt;=100000,INDEX($AO$1005:$BQ$1005,1,MATCH(COLUMNS($AO$1006:AS1006),$AO$1006:$BQ$1006,0))&gt;=100000), " ",IF(INDEX($AO$2:$BQ$1001,MATCH(ROWS($AH$2:AH653),$AH$2:$AH$1001,0),MATCH(COLUMNS($AO$1006:AS1006),$AO$1006:$BQ$1006,0)), HYPERLINK("#",""), HYPERLINK(CONCATENATE("#Metadata!", ADDRESS(INDEX($AJ$2:$AJ$1001,MATCH(ROWS($AH$2:AH653),$AH$2:$AH$1001,0),0), INDEX($AO$1004:$BQ$1004,1,MATCH(COLUMNS($AO$1006:AS1006),$AO$1006:$BQ$1006,0)))),"Fix")))</f>
        <v>#N/A</v>
      </c>
      <c r="G653" s="5" t="e">
        <f ca="1">IF(OR(INDEX($AI$2:$AI$1001,MATCH(ROWS($AH$2:AH653),$AH$2:$AH$1001,0),1)&gt;=100000,INDEX($AO$1005:$BQ$1005,1,MATCH(COLUMNS($AO$1006:AT1006),$AO$1006:$BQ$1006,0))&gt;=100000), " ",IF(INDEX($AO$2:$BQ$1001,MATCH(ROWS($AH$2:AH653),$AH$2:$AH$1001,0),MATCH(COLUMNS($AO$1006:AT1006),$AO$1006:$BQ$1006,0)), HYPERLINK("#",""), HYPERLINK(CONCATENATE("#Metadata!", ADDRESS(INDEX($AJ$2:$AJ$1001,MATCH(ROWS($AH$2:AH653),$AH$2:$AH$1001,0),0), INDEX($AO$1004:$BQ$1004,1,MATCH(COLUMNS($AO$1006:AT1006),$AO$1006:$BQ$1006,0)))),"Fix")))</f>
        <v>#N/A</v>
      </c>
      <c r="H653" s="5" t="e">
        <f ca="1">IF(OR(INDEX($AI$2:$AI$1001,MATCH(ROWS($AH$2:AH653),$AH$2:$AH$1001,0),1)&gt;=100000,INDEX($AO$1005:$BQ$1005,1,MATCH(COLUMNS($AO$1006:AU1006),$AO$1006:$BQ$1006,0))&gt;=100000), " ",IF(INDEX($AO$2:$BQ$1001,MATCH(ROWS($AH$2:AH653),$AH$2:$AH$1001,0),MATCH(COLUMNS($AO$1006:AU1006),$AO$1006:$BQ$1006,0)), HYPERLINK("#",""), HYPERLINK(CONCATENATE("#Metadata!", ADDRESS(INDEX($AJ$2:$AJ$1001,MATCH(ROWS($AH$2:AH653),$AH$2:$AH$1001,0),0), INDEX($AO$1004:$BQ$1004,1,MATCH(COLUMNS($AO$1006:AU1006),$AO$1006:$BQ$1006,0)))),"Fix")))</f>
        <v>#N/A</v>
      </c>
      <c r="I653" s="5" t="e">
        <f ca="1">IF(OR(INDEX($AI$2:$AI$1001,MATCH(ROWS($AH$2:AH653),$AH$2:$AH$1001,0),1)&gt;=100000,INDEX($AO$1005:$BQ$1005,1,MATCH(COLUMNS($AO$1006:AV1006),$AO$1006:$BQ$1006,0))&gt;=100000), " ",IF(INDEX($AO$2:$BQ$1001,MATCH(ROWS($AH$2:AH653),$AH$2:$AH$1001,0),MATCH(COLUMNS($AO$1006:AV1006),$AO$1006:$BQ$1006,0)), HYPERLINK("#",""), HYPERLINK(CONCATENATE("#Metadata!", ADDRESS(INDEX($AJ$2:$AJ$1001,MATCH(ROWS($AH$2:AH653),$AH$2:$AH$1001,0),0), INDEX($AO$1004:$BQ$1004,1,MATCH(COLUMNS($AO$1006:AV1006),$AO$1006:$BQ$1006,0)))),"Fix")))</f>
        <v>#N/A</v>
      </c>
      <c r="J653" s="5" t="e">
        <f ca="1">IF(OR(INDEX($AI$2:$AI$1001,MATCH(ROWS($AH$2:AH653),$AH$2:$AH$1001,0),1)&gt;=100000,INDEX($AO$1005:$BQ$1005,1,MATCH(COLUMNS($AO$1006:AW1006),$AO$1006:$BQ$1006,0))&gt;=100000), " ",IF(INDEX($AO$2:$BQ$1001,MATCH(ROWS($AH$2:AH653),$AH$2:$AH$1001,0),MATCH(COLUMNS($AO$1006:AW1006),$AO$1006:$BQ$1006,0)), HYPERLINK("#",""), HYPERLINK(CONCATENATE("#Metadata!", ADDRESS(INDEX($AJ$2:$AJ$1001,MATCH(ROWS($AH$2:AH653),$AH$2:$AH$1001,0),0), INDEX($AO$1004:$BQ$1004,1,MATCH(COLUMNS($AO$1006:AW1006),$AO$1006:$BQ$1006,0)))),"Fix")))</f>
        <v>#N/A</v>
      </c>
      <c r="K653" s="5" t="e">
        <f ca="1">IF(OR(INDEX($AI$2:$AI$1001,MATCH(ROWS($AH$2:AH653),$AH$2:$AH$1001,0),1)&gt;=100000,INDEX($AO$1005:$BQ$1005,1,MATCH(COLUMNS($AO$1006:AX1006),$AO$1006:$BQ$1006,0))&gt;=100000), " ",IF(INDEX($AO$2:$BQ$1001,MATCH(ROWS($AH$2:AH653),$AH$2:$AH$1001,0),MATCH(COLUMNS($AO$1006:AX1006),$AO$1006:$BQ$1006,0)), HYPERLINK("#",""), HYPERLINK(CONCATENATE("#Metadata!", ADDRESS(INDEX($AJ$2:$AJ$1001,MATCH(ROWS($AH$2:AH653),$AH$2:$AH$1001,0),0), INDEX($AO$1004:$BQ$1004,1,MATCH(COLUMNS($AO$1006:AX1006),$AO$1006:$BQ$1006,0)))),"Fix")))</f>
        <v>#N/A</v>
      </c>
      <c r="L653" s="5" t="e">
        <f ca="1">IF(OR(INDEX($AI$2:$AI$1001,MATCH(ROWS($AH$2:AH653),$AH$2:$AH$1001,0),1)&gt;=100000,INDEX($AO$1005:$BQ$1005,1,MATCH(COLUMNS($AO$1006:AY1006),$AO$1006:$BQ$1006,0))&gt;=100000), " ",IF(INDEX($AO$2:$BQ$1001,MATCH(ROWS($AH$2:AH653),$AH$2:$AH$1001,0),MATCH(COLUMNS($AO$1006:AY1006),$AO$1006:$BQ$1006,0)), HYPERLINK("#",""), HYPERLINK(CONCATENATE("#Metadata!", ADDRESS(INDEX($AJ$2:$AJ$1001,MATCH(ROWS($AH$2:AH653),$AH$2:$AH$1001,0),0), INDEX($AO$1004:$BQ$1004,1,MATCH(COLUMNS($AO$1006:AY1006),$AO$1006:$BQ$1006,0)))),"Fix")))</f>
        <v>#N/A</v>
      </c>
      <c r="M653" s="5" t="e">
        <f ca="1">IF(OR(INDEX($AI$2:$AI$1001,MATCH(ROWS($AH$2:AH653),$AH$2:$AH$1001,0),1)&gt;=100000,INDEX($AO$1005:$BQ$1005,1,MATCH(COLUMNS($AO$1006:AZ1006),$AO$1006:$BQ$1006,0))&gt;=100000), " ",IF(INDEX($AO$2:$BQ$1001,MATCH(ROWS($AH$2:AH653),$AH$2:$AH$1001,0),MATCH(COLUMNS($AO$1006:AZ1006),$AO$1006:$BQ$1006,0)), HYPERLINK("#",""), HYPERLINK(CONCATENATE("#Metadata!", ADDRESS(INDEX($AJ$2:$AJ$1001,MATCH(ROWS($AH$2:AH653),$AH$2:$AH$1001,0),0), INDEX($AO$1004:$BQ$1004,1,MATCH(COLUMNS($AO$1006:AZ1006),$AO$1006:$BQ$1006,0)))),"Fix")))</f>
        <v>#N/A</v>
      </c>
      <c r="N653" s="5" t="e">
        <f ca="1">IF(OR(INDEX($AI$2:$AI$1001,MATCH(ROWS($AH$2:AH653),$AH$2:$AH$1001,0),1)&gt;=100000,INDEX($AO$1005:$BQ$1005,1,MATCH(COLUMNS($AO$1006:BA1006),$AO$1006:$BQ$1006,0))&gt;=100000), " ",IF(INDEX($AO$2:$BQ$1001,MATCH(ROWS($AH$2:AH653),$AH$2:$AH$1001,0),MATCH(COLUMNS($AO$1006:BA1006),$AO$1006:$BQ$1006,0)), HYPERLINK("#",""), HYPERLINK(CONCATENATE("#Metadata!", ADDRESS(INDEX($AJ$2:$AJ$1001,MATCH(ROWS($AH$2:AH653),$AH$2:$AH$1001,0),0), INDEX($AO$1004:$BQ$1004,1,MATCH(COLUMNS($AO$1006:BA1006),$AO$1006:$BQ$1006,0)))),"Fix")))</f>
        <v>#N/A</v>
      </c>
      <c r="O653" s="5" t="e">
        <f ca="1">IF(OR(INDEX($AI$2:$AI$1001,MATCH(ROWS($AH$2:AH653),$AH$2:$AH$1001,0),1)&gt;=100000,INDEX($AO$1005:$BQ$1005,1,MATCH(COLUMNS($AO$1006:BB1006),$AO$1006:$BQ$1006,0))&gt;=100000), " ",IF(INDEX($AO$2:$BQ$1001,MATCH(ROWS($AH$2:AH653),$AH$2:$AH$1001,0),MATCH(COLUMNS($AO$1006:BB1006),$AO$1006:$BQ$1006,0)), HYPERLINK("#",""), HYPERLINK(CONCATENATE("#Metadata!", ADDRESS(INDEX($AJ$2:$AJ$1001,MATCH(ROWS($AH$2:AH653),$AH$2:$AH$1001,0),0), INDEX($AO$1004:$BQ$1004,1,MATCH(COLUMNS($AO$1006:BB1006),$AO$1006:$BQ$1006,0)))),"Fix")))</f>
        <v>#N/A</v>
      </c>
      <c r="P653" s="5" t="e">
        <f ca="1">IF(OR(INDEX($AI$2:$AI$1001,MATCH(ROWS($AH$2:AH653),$AH$2:$AH$1001,0),1)&gt;=100000,INDEX($AO$1005:$BQ$1005,1,MATCH(COLUMNS($AO$1006:BC1006),$AO$1006:$BQ$1006,0))&gt;=100000), " ",IF(INDEX($AO$2:$BQ$1001,MATCH(ROWS($AH$2:AH653),$AH$2:$AH$1001,0),MATCH(COLUMNS($AO$1006:BC1006),$AO$1006:$BQ$1006,0)), HYPERLINK("#",""), HYPERLINK(CONCATENATE("#Metadata!", ADDRESS(INDEX($AJ$2:$AJ$1001,MATCH(ROWS($AH$2:AH653),$AH$2:$AH$1001,0),0), INDEX($AO$1004:$BQ$1004,1,MATCH(COLUMNS($AO$1006:BC1006),$AO$1006:$BQ$1006,0)))),"Fix")))</f>
        <v>#N/A</v>
      </c>
      <c r="Q653" s="5" t="e">
        <f ca="1">IF(OR(INDEX($AI$2:$AI$1001,MATCH(ROWS($AH$2:AH653),$AH$2:$AH$1001,0),1)&gt;=100000,INDEX($AO$1005:$BQ$1005,1,MATCH(COLUMNS($AO$1006:BD1006),$AO$1006:$BQ$1006,0))&gt;=100000), " ",IF(INDEX($AO$2:$BQ$1001,MATCH(ROWS($AH$2:AH653),$AH$2:$AH$1001,0),MATCH(COLUMNS($AO$1006:BD1006),$AO$1006:$BQ$1006,0)), HYPERLINK("#",""), HYPERLINK(CONCATENATE("#Metadata!", ADDRESS(INDEX($AJ$2:$AJ$1001,MATCH(ROWS($AH$2:AH653),$AH$2:$AH$1001,0),0), INDEX($AO$1004:$BQ$1004,1,MATCH(COLUMNS($AO$1006:BD1006),$AO$1006:$BQ$1006,0)))),"Fix")))</f>
        <v>#N/A</v>
      </c>
      <c r="R653" s="5" t="e">
        <f ca="1">IF(OR(INDEX($AI$2:$AI$1001,MATCH(ROWS($AH$2:AH653),$AH$2:$AH$1001,0),1)&gt;=100000,INDEX($AO$1005:$BQ$1005,1,MATCH(COLUMNS($AO$1006:BE1006),$AO$1006:$BQ$1006,0))&gt;=100000), " ",IF(INDEX($AO$2:$BQ$1001,MATCH(ROWS($AH$2:AH653),$AH$2:$AH$1001,0),MATCH(COLUMNS($AO$1006:BE1006),$AO$1006:$BQ$1006,0)), HYPERLINK("#",""), HYPERLINK(CONCATENATE("#Metadata!", ADDRESS(INDEX($AJ$2:$AJ$1001,MATCH(ROWS($AH$2:AH653),$AH$2:$AH$1001,0),0), INDEX($AO$1004:$BQ$1004,1,MATCH(COLUMNS($AO$1006:BE1006),$AO$1006:$BQ$1006,0)))),"Fix")))</f>
        <v>#N/A</v>
      </c>
      <c r="S653" s="5" t="e">
        <f ca="1">IF(OR(INDEX($AI$2:$AI$1001,MATCH(ROWS($AH$2:AH653),$AH$2:$AH$1001,0),1)&gt;=100000,INDEX($AO$1005:$BQ$1005,1,MATCH(COLUMNS($AO$1006:BF1006),$AO$1006:$BQ$1006,0))&gt;=100000), " ",IF(INDEX($AO$2:$BQ$1001,MATCH(ROWS($AH$2:AH653),$AH$2:$AH$1001,0),MATCH(COLUMNS($AO$1006:BF1006),$AO$1006:$BQ$1006,0)), HYPERLINK("#",""), HYPERLINK(CONCATENATE("#Metadata!", ADDRESS(INDEX($AJ$2:$AJ$1001,MATCH(ROWS($AH$2:AH653),$AH$2:$AH$1001,0),0), INDEX($AO$1004:$BQ$1004,1,MATCH(COLUMNS($AO$1006:BF1006),$AO$1006:$BQ$1006,0)))),"Fix")))</f>
        <v>#N/A</v>
      </c>
      <c r="T653" s="5" t="e">
        <f ca="1">IF(OR(INDEX($AI$2:$AI$1001,MATCH(ROWS($AH$2:AH653),$AH$2:$AH$1001,0),1)&gt;=100000,INDEX($AO$1005:$BQ$1005,1,MATCH(COLUMNS($AO$1006:BG1006),$AO$1006:$BQ$1006,0))&gt;=100000), " ",IF(INDEX($AO$2:$BQ$1001,MATCH(ROWS($AH$2:AH653),$AH$2:$AH$1001,0),MATCH(COLUMNS($AO$1006:BG1006),$AO$1006:$BQ$1006,0)), HYPERLINK("#",""), HYPERLINK(CONCATENATE("#Metadata!", ADDRESS(INDEX($AJ$2:$AJ$1001,MATCH(ROWS($AH$2:AH653),$AH$2:$AH$1001,0),0), INDEX($AO$1004:$BQ$1004,1,MATCH(COLUMNS($AO$1006:BG1006),$AO$1006:$BQ$1006,0)))),"Fix")))</f>
        <v>#N/A</v>
      </c>
      <c r="U653" s="5" t="e">
        <f ca="1">IF(OR(INDEX($AI$2:$AI$1001,MATCH(ROWS($AH$2:AH653),$AH$2:$AH$1001,0),1)&gt;=100000,INDEX($AO$1005:$BQ$1005,1,MATCH(COLUMNS($AO$1006:BH1006),$AO$1006:$BQ$1006,0))&gt;=100000), " ",IF(INDEX($AO$2:$BQ$1001,MATCH(ROWS($AH$2:AH653),$AH$2:$AH$1001,0),MATCH(COLUMNS($AO$1006:BH1006),$AO$1006:$BQ$1006,0)), HYPERLINK("#",""), HYPERLINK(CONCATENATE("#Metadata!", ADDRESS(INDEX($AJ$2:$AJ$1001,MATCH(ROWS($AH$2:AH653),$AH$2:$AH$1001,0),0), INDEX($AO$1004:$BQ$1004,1,MATCH(COLUMNS($AO$1006:BH1006),$AO$1006:$BQ$1006,0)))),"Fix")))</f>
        <v>#N/A</v>
      </c>
      <c r="V653" s="5" t="e">
        <f ca="1">IF(OR(INDEX($AI$2:$AI$1001,MATCH(ROWS($AH$2:AH653),$AH$2:$AH$1001,0),1)&gt;=100000,INDEX($AO$1005:$BQ$1005,1,MATCH(COLUMNS($AO$1006:BI1006),$AO$1006:$BQ$1006,0))&gt;=100000), " ",IF(INDEX($AO$2:$BQ$1001,MATCH(ROWS($AH$2:AH653),$AH$2:$AH$1001,0),MATCH(COLUMNS($AO$1006:BI1006),$AO$1006:$BQ$1006,0)), HYPERLINK("#",""), HYPERLINK(CONCATENATE("#Metadata!", ADDRESS(INDEX($AJ$2:$AJ$1001,MATCH(ROWS($AH$2:AH653),$AH$2:$AH$1001,0),0), INDEX($AO$1004:$BQ$1004,1,MATCH(COLUMNS($AO$1006:BI1006),$AO$1006:$BQ$1006,0)))),"Fix")))</f>
        <v>#N/A</v>
      </c>
      <c r="W653" s="5" t="e">
        <f ca="1">IF(OR(INDEX($AI$2:$AI$1001,MATCH(ROWS($AH$2:AH653),$AH$2:$AH$1001,0),1)&gt;=100000,INDEX($AO$1005:$BQ$1005,1,MATCH(COLUMNS($AO$1006:BJ1006),$AO$1006:$BQ$1006,0))&gt;=100000), " ",IF(INDEX($AO$2:$BQ$1001,MATCH(ROWS($AH$2:AH653),$AH$2:$AH$1001,0),MATCH(COLUMNS($AO$1006:BJ1006),$AO$1006:$BQ$1006,0)), HYPERLINK("#",""), HYPERLINK(CONCATENATE("#Metadata!", ADDRESS(INDEX($AJ$2:$AJ$1001,MATCH(ROWS($AH$2:AH653),$AH$2:$AH$1001,0),0), INDEX($AO$1004:$BQ$1004,1,MATCH(COLUMNS($AO$1006:BJ1006),$AO$1006:$BQ$1006,0)))),"Fix")))</f>
        <v>#N/A</v>
      </c>
      <c r="X653" s="5" t="e">
        <f ca="1">IF(OR(INDEX($AI$2:$AI$1001,MATCH(ROWS($AH$2:AH653),$AH$2:$AH$1001,0),1)&gt;=100000,INDEX($AO$1005:$BQ$1005,1,MATCH(COLUMNS($AO$1006:BK1006),$AO$1006:$BQ$1006,0))&gt;=100000), " ",IF(INDEX($AO$2:$BQ$1001,MATCH(ROWS($AH$2:AH653),$AH$2:$AH$1001,0),MATCH(COLUMNS($AO$1006:BK1006),$AO$1006:$BQ$1006,0)), HYPERLINK("#",""), HYPERLINK(CONCATENATE("#Metadata!", ADDRESS(INDEX($AJ$2:$AJ$1001,MATCH(ROWS($AH$2:AH653),$AH$2:$AH$1001,0),0), INDEX($AO$1004:$BQ$1004,1,MATCH(COLUMNS($AO$1006:BK1006),$AO$1006:$BQ$1006,0)))),"Fix")))</f>
        <v>#N/A</v>
      </c>
      <c r="Y653" s="5" t="e">
        <f ca="1">IF(OR(INDEX($AI$2:$AI$1001,MATCH(ROWS($AH$2:AH653),$AH$2:$AH$1001,0),1)&gt;=100000,INDEX($AO$1005:$BQ$1005,1,MATCH(COLUMNS($AO$1006:BL1006),$AO$1006:$BQ$1006,0))&gt;=100000), " ",IF(INDEX($AO$2:$BQ$1001,MATCH(ROWS($AH$2:AH653),$AH$2:$AH$1001,0),MATCH(COLUMNS($AO$1006:BL1006),$AO$1006:$BQ$1006,0)), HYPERLINK("#",""), HYPERLINK(CONCATENATE("#Metadata!", ADDRESS(INDEX($AJ$2:$AJ$1001,MATCH(ROWS($AH$2:AH653),$AH$2:$AH$1001,0),0), INDEX($AO$1004:$BQ$1004,1,MATCH(COLUMNS($AO$1006:BL1006),$AO$1006:$BQ$1006,0)))),"Fix")))</f>
        <v>#N/A</v>
      </c>
      <c r="Z653" s="5" t="e">
        <f ca="1">IF(OR(INDEX($AI$2:$AI$1001,MATCH(ROWS($AH$2:AH653),$AH$2:$AH$1001,0),1)&gt;=100000,INDEX($AO$1005:$BQ$1005,1,MATCH(COLUMNS($AO$1006:BM1006),$AO$1006:$BQ$1006,0))&gt;=100000), " ",IF(INDEX($AO$2:$BQ$1001,MATCH(ROWS($AH$2:AH653),$AH$2:$AH$1001,0),MATCH(COLUMNS($AO$1006:BM1006),$AO$1006:$BQ$1006,0)), HYPERLINK("#",""), HYPERLINK(CONCATENATE("#Metadata!", ADDRESS(INDEX($AJ$2:$AJ$1001,MATCH(ROWS($AH$2:AH653),$AH$2:$AH$1001,0),0), INDEX($AO$1004:$BQ$1004,1,MATCH(COLUMNS($AO$1006:BM1006),$AO$1006:$BQ$1006,0)))),"Fix")))</f>
        <v>#N/A</v>
      </c>
      <c r="AA653" s="5" t="e">
        <f ca="1">IF(OR(INDEX($AI$2:$AI$1001,MATCH(ROWS($AH$2:AH653),$AH$2:$AH$1001,0),1)&gt;=100000,INDEX($AO$1005:$BQ$1005,1,MATCH(COLUMNS($AO$1006:BN1006),$AO$1006:$BQ$1006,0))&gt;=100000), " ",IF(INDEX($AO$2:$BQ$1001,MATCH(ROWS($AH$2:AH653),$AH$2:$AH$1001,0),MATCH(COLUMNS($AO$1006:BN1006),$AO$1006:$BQ$1006,0)), HYPERLINK("#",""), HYPERLINK(CONCATENATE("#Metadata!", ADDRESS(INDEX($AJ$2:$AJ$1001,MATCH(ROWS($AH$2:AH653),$AH$2:$AH$1001,0),0), INDEX($AO$1004:$BQ$1004,1,MATCH(COLUMNS($AO$1006:BN1006),$AO$1006:$BQ$1006,0)))),"Fix")))</f>
        <v>#N/A</v>
      </c>
      <c r="AB653" s="5" t="e">
        <f ca="1">IF(OR(INDEX($AI$2:$AI$1001,MATCH(ROWS($AH$2:AH653),$AH$2:$AH$1001,0),1)&gt;=100000,INDEX($AO$1005:$BQ$1005,1,MATCH(COLUMNS($AO$1006:BO1006),$AO$1006:$BQ$1006,0))&gt;=100000), " ",IF(INDEX($AO$2:$BQ$1001,MATCH(ROWS($AH$2:AH653),$AH$2:$AH$1001,0),MATCH(COLUMNS($AO$1006:BO1006),$AO$1006:$BQ$1006,0)), HYPERLINK("#",""), HYPERLINK(CONCATENATE("#Metadata!", ADDRESS(INDEX($AJ$2:$AJ$1001,MATCH(ROWS($AH$2:AH653),$AH$2:$AH$1001,0),0), INDEX($AO$1004:$BQ$1004,1,MATCH(COLUMNS($AO$1006:BO1006),$AO$1006:$BQ$1006,0)))),"Fix")))</f>
        <v>#N/A</v>
      </c>
      <c r="AC653" s="5" t="e">
        <f ca="1">IF(OR(INDEX($AI$2:$AI$1001,MATCH(ROWS($AH$2:AH653),$AH$2:$AH$1001,0),1)&gt;=100000,INDEX($AO$1005:$BQ$1005,1,MATCH(COLUMNS($AO$1006:BP1006),$AO$1006:$BQ$1006,0))&gt;=100000), " ",IF(INDEX($AO$2:$BQ$1001,MATCH(ROWS($AH$2:AH653),$AH$2:$AH$1001,0),MATCH(COLUMNS($AO$1006:BP1006),$AO$1006:$BQ$1006,0)), HYPERLINK("#",""), HYPERLINK(CONCATENATE("#Metadata!", ADDRESS(INDEX($AJ$2:$AJ$1001,MATCH(ROWS($AH$2:AH653),$AH$2:$AH$1001,0),0), INDEX($AO$1004:$BQ$1004,1,MATCH(COLUMNS($AO$1006:BP1006),$AO$1006:$BQ$1006,0)))),"Fix")))</f>
        <v>#N/A</v>
      </c>
      <c r="AD653" s="5" t="e">
        <f ca="1">IF(OR(INDEX($AI$2:$AI$1001,MATCH(ROWS($AH$2:AH653),$AH$2:$AH$1001,0),1)&gt;=100000,INDEX($AO$1005:$BQ$1005,1,MATCH(COLUMNS($AO$1006:BQ1006),$AO$1006:$BQ$1006,0))&gt;=100000), " ",IF(INDEX($AO$2:$BQ$1001,MATCH(ROWS($AH$2:AH653),$AH$2:$AH$1001,0),MATCH(COLUMNS($AO$1006:BQ1006),$AO$1006:$BQ$1006,0)), HYPERLINK("#",""), HYPERLINK(CONCATENATE("#Metadata!", ADDRESS(INDEX($AJ$2:$AJ$1001,MATCH(ROWS($AH$2:AH653),$AH$2:$AH$1001,0),0), INDEX($AO$1004:$BQ$1004,1,MATCH(COLUMNS($AO$1006:BQ1006),$AO$1006:$BQ$1006,0)))),"Fix")))</f>
        <v>#REF!</v>
      </c>
      <c r="AH653">
        <f ca="1"/>
        <v>650</v>
      </c>
      <c r="AI653">
        <v>100653</v>
      </c>
      <c r="AJ653">
        <v>653</v>
      </c>
      <c r="AK653" t="b">
        <f t="shared" si="10"/>
        <v>1</v>
      </c>
      <c r="AL653" t="b">
        <f>COUNTBLANK(Metadata!B653:AD653)=COLUMNS(Metadata!B653:AD653)</f>
        <v>1</v>
      </c>
      <c r="AM653" t="str">
        <v/>
      </c>
      <c r="AO653" t="b">
        <f ca="1">AND(IF(Metadata!B653="",FALSE,TRUE),COUNTIF(Metadata!B:B, Metadata!B653) = 1,NOT(ISERROR(SUMPRODUCT(SEARCH(MID(Metadata!B653,ROW(INDIRECT("1:"&amp;LEN(Metadata!B653))), 1),"0123456789abcdefghijklmnopqrstuvwxyzABCDEFGHIJKLMNOPQRSTUVWXYZ.")))))</f>
        <v>0</v>
      </c>
      <c r="AP653" t="b">
        <f>IF(Metadata!C653="",FALSE,TRUE)</f>
        <v>0</v>
      </c>
      <c r="AQ653" t="b">
        <f>IF(Metadata!D653="",FALSE,TRUE)</f>
        <v>0</v>
      </c>
      <c r="AR653" t="b">
        <f ca="1">OR(AND(IF(Metadata!E653="",FALSE,TRUE),OR(EXACT(Metadata!E653,"not collected"),EXACT(Metadata!E653,"not provided"),EXACT(Metadata!E653,"restricted access"))),AND(IF(Metadata!E653="",FALSE,TRUE),AND(AND(IFERROR(INT(LEFT(Metadata!E653,4))&gt;1900,FALSE),IFERROR(INT(LEFT(Metadata!E653,4))&lt;=YEAR(NOW()),FALSE)), OR(MID(Metadata!E653,5,1)="", AND(AND(MID(Metadata!E653,5,1)="-",IFERROR(INT(MID(Metadata!E653,6,1))&gt;=0,FALSE),IFERROR(INT(MID(Metadata!E653,6,1))&lt;=1,FALSE),NOT(MID(Metadata!E653,7,1)=""),IFERROR(INT(MID(Metadata!E653,6,2))&gt;=1,FALSE),IFERROR(INT(MID(Metadata!E653,6,2))&lt;=12,FALSE)), OR(MID(Metadata!E653,8,1)="", AND(AND(MID(Metadata!E653,8,1)="-",IFERROR(INT(MID(Metadata!E653,9,1))&gt;=0,FALSE),IFERROR(INT(MID(Metadata!E653,9,1))&lt;=3,FALSE),NOT(MID(Metadata!E653,10,1)=""),IFERROR(INT(MID(Metadata!E653,9,2))&gt;=1,FALSE),IFERROR(INT(MID(Metadata!E653,9,2))&lt;=31,FALSE)), OR(MID(Metadata!E653,11,1)="", AND(AND(MID(Metadata!E653,11,1)=" ",IFERROR(INT(MID(Metadata!E653,12,1))&gt;=0,FALSE),IFERROR(INT(MID(Metadata!E653,12,1))&lt;=2,FALSE),NOT(MID(Metadata!E653,13,1)=""),IFERROR(INT(MID(Metadata!E653,12,2))&gt;=0,FALSE),IFERROR(INT(MID(Metadata!E653,12,2))&lt;=23,FALSE)), OR(MID(Metadata!E653,14,1)="", AND(AND(MID(Metadata!E653,14,1)=":",IFERROR(INT(MID(Metadata!E653,15,1))&gt;=0,FALSE),IFERROR(INT(MID(Metadata!E653,15,1))&lt;=5,FALSE),NOT(MID(Metadata!E653,16,1)=""),IFERROR(INT(MID(Metadata!E653,15,2))&gt;=0,FALSE),IFERROR(INT(MID(Metadata!E653,15,2))&lt;=59,FALSE)), OR(MID(Metadata!E653,17,1)="", AND(AND(MID(Metadata!E653,17,1)=":",IFERROR(INT(MID(Metadata!E653,18,1))&gt;=0,FALSE),IFERROR(INT(MID(Metadata!E653,18,1))&lt;=5,FALSE),NOT(MID(Metadata!E653,19,1)=""),IFERROR(INT(MID(Metadata!E653,18,2))&gt;=0,FALSE),IFERROR(INT(MID(Metadata!E653,18,2))&lt;=59,FALSE)), LEN(Metadata!E653)&lt;=19)))))))))))))</f>
        <v>0</v>
      </c>
      <c r="AS653" t="b">
        <f>IF(Metadata!F653="",FALSE,TRUE)</f>
        <v>0</v>
      </c>
      <c r="AT653" t="b">
        <f>OR(AND(IF(Metadata!G653="",FALSE,TRUE),OR(EXACT(Metadata!G653,"not collected"),EXACT(Metadata!G653,"not provided"))),AND(IF(Metadata!G653="",FALSE,TRUE),OR(EXACT(Metadata!G653,"TRUE"),EXACT(Metadata!G653,"FALSE"))))</f>
        <v>0</v>
      </c>
      <c r="AU653" t="b">
        <f>OR(AND(IF(Metadata!H653="",FALSE,TRUE),OR(EXACT(Metadata!H653,"not collected"),EXACT(Metadata!H653,"not provided"),EXACT(Metadata!H653,"restricted access"))),AND(IF(Metadata!H653="",FALSE,ISNUMBER(VALUE(Metadata!H653))),Metadata!H653&gt;=-413))</f>
        <v>0</v>
      </c>
      <c r="AV653" t="b">
        <f>AND(IF(Metadata!I653="",FALSE,TRUE),EXACT(Metadata!I653,"meters"))</f>
        <v>0</v>
      </c>
      <c r="AW653" t="b">
        <f>AND(IF(Metadata!J653="",FALSE,TRUE),EXACT(Metadata!J653,"free-living"))</f>
        <v>0</v>
      </c>
      <c r="AX653" t="b">
        <f>AND(IF(Metadata!K653="",FALSE,TRUE),OR(EXACT(Metadata!K653,"saline"),EXACT(Metadata!K653,"non-saline")))</f>
        <v>0</v>
      </c>
      <c r="AY653" t="b">
        <f>AND(IF(Metadata!L653="",FALSE,TRUE),OR(EXACT(Metadata!L653,"sub-surface (non-saline)"),EXACT(Metadata!L653,"surface (non-saline)"),EXACT(Metadata!L653,"water (non-saline)"),EXACT(Metadata!L653,"soil (non-saline)"),EXACT(Metadata!L653,"aerosol (non-saline)"),EXACT(Metadata!L653,"sediment (non-saline)"),EXACT(Metadata!L653,"surface (saline)"),EXACT(Metadata!L653,"water (saline)"),EXACT(Metadata!L653,"hypersaline (saline)"),EXACT(Metadata!L653,"aerosol (saline)"),EXACT(Metadata!L653,"sediment (saline)")))</f>
        <v>0</v>
      </c>
      <c r="AZ653" t="b">
        <f>IF(Metadata!M653="",FALSE,TRUE)</f>
        <v>0</v>
      </c>
      <c r="BA653" t="b">
        <f>IF(Metadata!N653="",FALSE,TRUE)</f>
        <v>0</v>
      </c>
      <c r="BB653" t="b">
        <f>IF(Metadata!O653="",FALSE,TRUE)</f>
        <v>0</v>
      </c>
      <c r="BC653" t="b">
        <f>AND(IF(Metadata!P653="",FALSE,TRUE),OR(EXACT(Metadata!P653,"air"),EXACT(Metadata!P653,"microbial mat/biofilm"),EXACT(Metadata!P653,"misc environment"),EXACT(Metadata!P653,"sediment"),EXACT(Metadata!P653,"soil"),EXACT(Metadata!P653,"wastewater/sludge"),EXACT(Metadata!P653,"water")))</f>
        <v>0</v>
      </c>
      <c r="BD653" t="b">
        <f>IF(Metadata!Q653="",FALSE,TRUE)</f>
        <v>0</v>
      </c>
      <c r="BE653" t="b">
        <f>IF(Metadata!R653="",FALSE,TRUE)</f>
        <v>0</v>
      </c>
      <c r="BF653" t="b">
        <f>OR(AND(IF(Metadata!S653="",FALSE,TRUE),OR(EXACT(Metadata!S653,"not collected"),EXACT(Metadata!S653,"not provided"),EXACT(Metadata!S653,"restricted access"))),AND(IF(Metadata!S653="",FALSE,ISNUMBER(VALUE(Metadata!S653))),Metadata!S653&gt;=-90,Metadata!S653&lt;=90))</f>
        <v>0</v>
      </c>
      <c r="BG653" t="b">
        <f>AND(IF(Metadata!T653="",FALSE,TRUE),EXACT(Metadata!T653,"Decimal degrees"))</f>
        <v>0</v>
      </c>
      <c r="BH653" t="b">
        <f>OR(AND(IF(Metadata!U653="",FALSE,TRUE),OR(EXACT(Metadata!U653,"not applicable"),EXACT(Metadata!U653,"not collected"))),IF(Metadata!U653="",FALSE,TRUE))</f>
        <v>0</v>
      </c>
      <c r="BI653" t="b">
        <f>OR(AND(IF(Metadata!V653="",FALSE,TRUE),OR(EXACT(Metadata!V653,"not collected"),EXACT(Metadata!V653,"not provided"),EXACT(Metadata!V653,"restricted access"))),AND(IF(Metadata!V653="",FALSE,ISNUMBER(VALUE(Metadata!V653))),Metadata!V653&gt;=-180,Metadata!V653&lt;=180))</f>
        <v>0</v>
      </c>
      <c r="BJ653" t="b">
        <f>AND(IF(Metadata!W653="",FALSE,TRUE),EXACT(Metadata!W653,"Decimal degrees"))</f>
        <v>0</v>
      </c>
      <c r="BK653" t="b">
        <f>IF(Metadata!X653="",FALSE,TRUE)</f>
        <v>0</v>
      </c>
      <c r="BL653" t="b">
        <f>OR(AND(IF(Metadata!Y653="",FALSE,TRUE),OR(EXACT(Metadata!Y653,"not collected"),EXACT(Metadata!Y653,"not provided"),EXACT(Metadata!Y653,"restricted access"))),AND(IF(Metadata!Y653="",FALSE,TRUE),OR(EXACT(Metadata!Y653,"TRUE"),EXACT(Metadata!Y653,"FALSE"))))</f>
        <v>0</v>
      </c>
      <c r="BM653" t="b">
        <f>OR(AND(IF(Metadata!Z653="",FALSE,TRUE),EXACT(Metadata!Z653,"not applicable")),AND(IF(Metadata!Z653="",FALSE,TRUE),OR(EXACT(Metadata!Z653,"beer"),EXACT(Metadata!Z653,"cheese"),EXACT(Metadata!Z653,"fresh water"),EXACT(Metadata!Z653,"marine sediment"),EXACT(Metadata!Z653,"sea water"),EXACT(Metadata!Z653,"sediment"),EXACT(Metadata!Z653,"soil"),EXACT(Metadata!Z653,"waste water"))))</f>
        <v>0</v>
      </c>
      <c r="BN653" t="b">
        <f>AND(IF(Metadata!AA653="",FALSE,TRUE),EXACT(Metadata!AA653,"metagenome"))</f>
        <v>0</v>
      </c>
      <c r="BO653" t="b">
        <f>AND(IF(Metadata!AB653="",FALSE,TRUE),EXACT(Metadata!AB653,"256318"))</f>
        <v>0</v>
      </c>
      <c r="BP653" t="b">
        <f>IF(Metadata!AC653="",FALSE,TRUE)</f>
        <v>0</v>
      </c>
      <c r="BQ653" t="b">
        <f>IF(Metadata!AD653="",FALSE,TRUE)</f>
        <v>0</v>
      </c>
    </row>
    <row r="654" spans="1:69" x14ac:dyDescent="0.2">
      <c r="A654" s="4" t="e">
        <f ca="1">IF(B654=" "," ",HYPERLINK(CONCATENATE("#metadata!",ADDRESS(INDEX($AJ$2:$AJ$1001,MATCH(ROWS($AH$2:AH654),$AH$2:$AH$1001,0),0),2)),INDEX($AM$2:$AM$1001,MATCH(ROWS($AH$2:AH654),$AH$2:$AH$1001,0),0)))</f>
        <v>#N/A</v>
      </c>
      <c r="B654" s="5" t="e">
        <f ca="1">IF(OR(INDEX($AI$2:$AI$1001,MATCH(ROWS($AH$2:AH654),$AH$2:$AH$1001,0),1)&gt;=100000,INDEX($AO$1005:$BQ$1005,1,MATCH(COLUMNS($AO$1006:AO1006),$AO$1006:$BQ$1006,0))&gt;=100000), " ",IF(INDEX($AO$2:$BQ$1001,MATCH(ROWS($AH$2:AH654),$AH$2:$AH$1001,0),MATCH(COLUMNS($AO$1006:AO1006),$AO$1006:$BQ$1006,0)), HYPERLINK("#",""), HYPERLINK(CONCATENATE("#Metadata!", ADDRESS(INDEX($AJ$2:$AJ$1001,MATCH(ROWS($AH$2:AH654),$AH$2:$AH$1001,0),0), INDEX($AO$1004:$BQ$1004,1,MATCH(COLUMNS($AO$1006:AO1006),$AO$1006:$BQ$1006,0)))),"Fix")))</f>
        <v>#N/A</v>
      </c>
      <c r="C654" s="5" t="e">
        <f ca="1">IF(OR(INDEX($AI$2:$AI$1001,MATCH(ROWS($AH$2:AH654),$AH$2:$AH$1001,0),1)&gt;=100000,INDEX($AO$1005:$BQ$1005,1,MATCH(COLUMNS($AO$1006:AP1006),$AO$1006:$BQ$1006,0))&gt;=100000), " ",IF(INDEX($AO$2:$BQ$1001,MATCH(ROWS($AH$2:AH654),$AH$2:$AH$1001,0),MATCH(COLUMNS($AO$1006:AP1006),$AO$1006:$BQ$1006,0)), HYPERLINK("#",""), HYPERLINK(CONCATENATE("#Metadata!", ADDRESS(INDEX($AJ$2:$AJ$1001,MATCH(ROWS($AH$2:AH654),$AH$2:$AH$1001,0),0), INDEX($AO$1004:$BQ$1004,1,MATCH(COLUMNS($AO$1006:AP1006),$AO$1006:$BQ$1006,0)))),"Fix")))</f>
        <v>#N/A</v>
      </c>
      <c r="D654" s="5" t="e">
        <f ca="1">IF(OR(INDEX($AI$2:$AI$1001,MATCH(ROWS($AH$2:AH654),$AH$2:$AH$1001,0),1)&gt;=100000,INDEX($AO$1005:$BQ$1005,1,MATCH(COLUMNS($AO$1006:AQ1006),$AO$1006:$BQ$1006,0))&gt;=100000), " ",IF(INDEX($AO$2:$BQ$1001,MATCH(ROWS($AH$2:AH654),$AH$2:$AH$1001,0),MATCH(COLUMNS($AO$1006:AQ1006),$AO$1006:$BQ$1006,0)), HYPERLINK("#",""), HYPERLINK(CONCATENATE("#Metadata!", ADDRESS(INDEX($AJ$2:$AJ$1001,MATCH(ROWS($AH$2:AH654),$AH$2:$AH$1001,0),0), INDEX($AO$1004:$BQ$1004,1,MATCH(COLUMNS($AO$1006:AQ1006),$AO$1006:$BQ$1006,0)))),"Fix")))</f>
        <v>#N/A</v>
      </c>
      <c r="E654" s="5" t="e">
        <f ca="1">IF(OR(INDEX($AI$2:$AI$1001,MATCH(ROWS($AH$2:AH654),$AH$2:$AH$1001,0),1)&gt;=100000,INDEX($AO$1005:$BQ$1005,1,MATCH(COLUMNS($AO$1006:AR1006),$AO$1006:$BQ$1006,0))&gt;=100000), " ",IF(INDEX($AO$2:$BQ$1001,MATCH(ROWS($AH$2:AH654),$AH$2:$AH$1001,0),MATCH(COLUMNS($AO$1006:AR1006),$AO$1006:$BQ$1006,0)), HYPERLINK("#",""), HYPERLINK(CONCATENATE("#Metadata!", ADDRESS(INDEX($AJ$2:$AJ$1001,MATCH(ROWS($AH$2:AH654),$AH$2:$AH$1001,0),0), INDEX($AO$1004:$BQ$1004,1,MATCH(COLUMNS($AO$1006:AR1006),$AO$1006:$BQ$1006,0)))),"Fix")))</f>
        <v>#N/A</v>
      </c>
      <c r="F654" s="5" t="e">
        <f ca="1">IF(OR(INDEX($AI$2:$AI$1001,MATCH(ROWS($AH$2:AH654),$AH$2:$AH$1001,0),1)&gt;=100000,INDEX($AO$1005:$BQ$1005,1,MATCH(COLUMNS($AO$1006:AS1006),$AO$1006:$BQ$1006,0))&gt;=100000), " ",IF(INDEX($AO$2:$BQ$1001,MATCH(ROWS($AH$2:AH654),$AH$2:$AH$1001,0),MATCH(COLUMNS($AO$1006:AS1006),$AO$1006:$BQ$1006,0)), HYPERLINK("#",""), HYPERLINK(CONCATENATE("#Metadata!", ADDRESS(INDEX($AJ$2:$AJ$1001,MATCH(ROWS($AH$2:AH654),$AH$2:$AH$1001,0),0), INDEX($AO$1004:$BQ$1004,1,MATCH(COLUMNS($AO$1006:AS1006),$AO$1006:$BQ$1006,0)))),"Fix")))</f>
        <v>#N/A</v>
      </c>
      <c r="G654" s="5" t="e">
        <f ca="1">IF(OR(INDEX($AI$2:$AI$1001,MATCH(ROWS($AH$2:AH654),$AH$2:$AH$1001,0),1)&gt;=100000,INDEX($AO$1005:$BQ$1005,1,MATCH(COLUMNS($AO$1006:AT1006),$AO$1006:$BQ$1006,0))&gt;=100000), " ",IF(INDEX($AO$2:$BQ$1001,MATCH(ROWS($AH$2:AH654),$AH$2:$AH$1001,0),MATCH(COLUMNS($AO$1006:AT1006),$AO$1006:$BQ$1006,0)), HYPERLINK("#",""), HYPERLINK(CONCATENATE("#Metadata!", ADDRESS(INDEX($AJ$2:$AJ$1001,MATCH(ROWS($AH$2:AH654),$AH$2:$AH$1001,0),0), INDEX($AO$1004:$BQ$1004,1,MATCH(COLUMNS($AO$1006:AT1006),$AO$1006:$BQ$1006,0)))),"Fix")))</f>
        <v>#N/A</v>
      </c>
      <c r="H654" s="5" t="e">
        <f ca="1">IF(OR(INDEX($AI$2:$AI$1001,MATCH(ROWS($AH$2:AH654),$AH$2:$AH$1001,0),1)&gt;=100000,INDEX($AO$1005:$BQ$1005,1,MATCH(COLUMNS($AO$1006:AU1006),$AO$1006:$BQ$1006,0))&gt;=100000), " ",IF(INDEX($AO$2:$BQ$1001,MATCH(ROWS($AH$2:AH654),$AH$2:$AH$1001,0),MATCH(COLUMNS($AO$1006:AU1006),$AO$1006:$BQ$1006,0)), HYPERLINK("#",""), HYPERLINK(CONCATENATE("#Metadata!", ADDRESS(INDEX($AJ$2:$AJ$1001,MATCH(ROWS($AH$2:AH654),$AH$2:$AH$1001,0),0), INDEX($AO$1004:$BQ$1004,1,MATCH(COLUMNS($AO$1006:AU1006),$AO$1006:$BQ$1006,0)))),"Fix")))</f>
        <v>#N/A</v>
      </c>
      <c r="I654" s="5" t="e">
        <f ca="1">IF(OR(INDEX($AI$2:$AI$1001,MATCH(ROWS($AH$2:AH654),$AH$2:$AH$1001,0),1)&gt;=100000,INDEX($AO$1005:$BQ$1005,1,MATCH(COLUMNS($AO$1006:AV1006),$AO$1006:$BQ$1006,0))&gt;=100000), " ",IF(INDEX($AO$2:$BQ$1001,MATCH(ROWS($AH$2:AH654),$AH$2:$AH$1001,0),MATCH(COLUMNS($AO$1006:AV1006),$AO$1006:$BQ$1006,0)), HYPERLINK("#",""), HYPERLINK(CONCATENATE("#Metadata!", ADDRESS(INDEX($AJ$2:$AJ$1001,MATCH(ROWS($AH$2:AH654),$AH$2:$AH$1001,0),0), INDEX($AO$1004:$BQ$1004,1,MATCH(COLUMNS($AO$1006:AV1006),$AO$1006:$BQ$1006,0)))),"Fix")))</f>
        <v>#N/A</v>
      </c>
      <c r="J654" s="5" t="e">
        <f ca="1">IF(OR(INDEX($AI$2:$AI$1001,MATCH(ROWS($AH$2:AH654),$AH$2:$AH$1001,0),1)&gt;=100000,INDEX($AO$1005:$BQ$1005,1,MATCH(COLUMNS($AO$1006:AW1006),$AO$1006:$BQ$1006,0))&gt;=100000), " ",IF(INDEX($AO$2:$BQ$1001,MATCH(ROWS($AH$2:AH654),$AH$2:$AH$1001,0),MATCH(COLUMNS($AO$1006:AW1006),$AO$1006:$BQ$1006,0)), HYPERLINK("#",""), HYPERLINK(CONCATENATE("#Metadata!", ADDRESS(INDEX($AJ$2:$AJ$1001,MATCH(ROWS($AH$2:AH654),$AH$2:$AH$1001,0),0), INDEX($AO$1004:$BQ$1004,1,MATCH(COLUMNS($AO$1006:AW1006),$AO$1006:$BQ$1006,0)))),"Fix")))</f>
        <v>#N/A</v>
      </c>
      <c r="K654" s="5" t="e">
        <f ca="1">IF(OR(INDEX($AI$2:$AI$1001,MATCH(ROWS($AH$2:AH654),$AH$2:$AH$1001,0),1)&gt;=100000,INDEX($AO$1005:$BQ$1005,1,MATCH(COLUMNS($AO$1006:AX1006),$AO$1006:$BQ$1006,0))&gt;=100000), " ",IF(INDEX($AO$2:$BQ$1001,MATCH(ROWS($AH$2:AH654),$AH$2:$AH$1001,0),MATCH(COLUMNS($AO$1006:AX1006),$AO$1006:$BQ$1006,0)), HYPERLINK("#",""), HYPERLINK(CONCATENATE("#Metadata!", ADDRESS(INDEX($AJ$2:$AJ$1001,MATCH(ROWS($AH$2:AH654),$AH$2:$AH$1001,0),0), INDEX($AO$1004:$BQ$1004,1,MATCH(COLUMNS($AO$1006:AX1006),$AO$1006:$BQ$1006,0)))),"Fix")))</f>
        <v>#N/A</v>
      </c>
      <c r="L654" s="5" t="e">
        <f ca="1">IF(OR(INDEX($AI$2:$AI$1001,MATCH(ROWS($AH$2:AH654),$AH$2:$AH$1001,0),1)&gt;=100000,INDEX($AO$1005:$BQ$1005,1,MATCH(COLUMNS($AO$1006:AY1006),$AO$1006:$BQ$1006,0))&gt;=100000), " ",IF(INDEX($AO$2:$BQ$1001,MATCH(ROWS($AH$2:AH654),$AH$2:$AH$1001,0),MATCH(COLUMNS($AO$1006:AY1006),$AO$1006:$BQ$1006,0)), HYPERLINK("#",""), HYPERLINK(CONCATENATE("#Metadata!", ADDRESS(INDEX($AJ$2:$AJ$1001,MATCH(ROWS($AH$2:AH654),$AH$2:$AH$1001,0),0), INDEX($AO$1004:$BQ$1004,1,MATCH(COLUMNS($AO$1006:AY1006),$AO$1006:$BQ$1006,0)))),"Fix")))</f>
        <v>#N/A</v>
      </c>
      <c r="M654" s="5" t="e">
        <f ca="1">IF(OR(INDEX($AI$2:$AI$1001,MATCH(ROWS($AH$2:AH654),$AH$2:$AH$1001,0),1)&gt;=100000,INDEX($AO$1005:$BQ$1005,1,MATCH(COLUMNS($AO$1006:AZ1006),$AO$1006:$BQ$1006,0))&gt;=100000), " ",IF(INDEX($AO$2:$BQ$1001,MATCH(ROWS($AH$2:AH654),$AH$2:$AH$1001,0),MATCH(COLUMNS($AO$1006:AZ1006),$AO$1006:$BQ$1006,0)), HYPERLINK("#",""), HYPERLINK(CONCATENATE("#Metadata!", ADDRESS(INDEX($AJ$2:$AJ$1001,MATCH(ROWS($AH$2:AH654),$AH$2:$AH$1001,0),0), INDEX($AO$1004:$BQ$1004,1,MATCH(COLUMNS($AO$1006:AZ1006),$AO$1006:$BQ$1006,0)))),"Fix")))</f>
        <v>#N/A</v>
      </c>
      <c r="N654" s="5" t="e">
        <f ca="1">IF(OR(INDEX($AI$2:$AI$1001,MATCH(ROWS($AH$2:AH654),$AH$2:$AH$1001,0),1)&gt;=100000,INDEX($AO$1005:$BQ$1005,1,MATCH(COLUMNS($AO$1006:BA1006),$AO$1006:$BQ$1006,0))&gt;=100000), " ",IF(INDEX($AO$2:$BQ$1001,MATCH(ROWS($AH$2:AH654),$AH$2:$AH$1001,0),MATCH(COLUMNS($AO$1006:BA1006),$AO$1006:$BQ$1006,0)), HYPERLINK("#",""), HYPERLINK(CONCATENATE("#Metadata!", ADDRESS(INDEX($AJ$2:$AJ$1001,MATCH(ROWS($AH$2:AH654),$AH$2:$AH$1001,0),0), INDEX($AO$1004:$BQ$1004,1,MATCH(COLUMNS($AO$1006:BA1006),$AO$1006:$BQ$1006,0)))),"Fix")))</f>
        <v>#N/A</v>
      </c>
      <c r="O654" s="5" t="e">
        <f ca="1">IF(OR(INDEX($AI$2:$AI$1001,MATCH(ROWS($AH$2:AH654),$AH$2:$AH$1001,0),1)&gt;=100000,INDEX($AO$1005:$BQ$1005,1,MATCH(COLUMNS($AO$1006:BB1006),$AO$1006:$BQ$1006,0))&gt;=100000), " ",IF(INDEX($AO$2:$BQ$1001,MATCH(ROWS($AH$2:AH654),$AH$2:$AH$1001,0),MATCH(COLUMNS($AO$1006:BB1006),$AO$1006:$BQ$1006,0)), HYPERLINK("#",""), HYPERLINK(CONCATENATE("#Metadata!", ADDRESS(INDEX($AJ$2:$AJ$1001,MATCH(ROWS($AH$2:AH654),$AH$2:$AH$1001,0),0), INDEX($AO$1004:$BQ$1004,1,MATCH(COLUMNS($AO$1006:BB1006),$AO$1006:$BQ$1006,0)))),"Fix")))</f>
        <v>#N/A</v>
      </c>
      <c r="P654" s="5" t="e">
        <f ca="1">IF(OR(INDEX($AI$2:$AI$1001,MATCH(ROWS($AH$2:AH654),$AH$2:$AH$1001,0),1)&gt;=100000,INDEX($AO$1005:$BQ$1005,1,MATCH(COLUMNS($AO$1006:BC1006),$AO$1006:$BQ$1006,0))&gt;=100000), " ",IF(INDEX($AO$2:$BQ$1001,MATCH(ROWS($AH$2:AH654),$AH$2:$AH$1001,0),MATCH(COLUMNS($AO$1006:BC1006),$AO$1006:$BQ$1006,0)), HYPERLINK("#",""), HYPERLINK(CONCATENATE("#Metadata!", ADDRESS(INDEX($AJ$2:$AJ$1001,MATCH(ROWS($AH$2:AH654),$AH$2:$AH$1001,0),0), INDEX($AO$1004:$BQ$1004,1,MATCH(COLUMNS($AO$1006:BC1006),$AO$1006:$BQ$1006,0)))),"Fix")))</f>
        <v>#N/A</v>
      </c>
      <c r="Q654" s="5" t="e">
        <f ca="1">IF(OR(INDEX($AI$2:$AI$1001,MATCH(ROWS($AH$2:AH654),$AH$2:$AH$1001,0),1)&gt;=100000,INDEX($AO$1005:$BQ$1005,1,MATCH(COLUMNS($AO$1006:BD1006),$AO$1006:$BQ$1006,0))&gt;=100000), " ",IF(INDEX($AO$2:$BQ$1001,MATCH(ROWS($AH$2:AH654),$AH$2:$AH$1001,0),MATCH(COLUMNS($AO$1006:BD1006),$AO$1006:$BQ$1006,0)), HYPERLINK("#",""), HYPERLINK(CONCATENATE("#Metadata!", ADDRESS(INDEX($AJ$2:$AJ$1001,MATCH(ROWS($AH$2:AH654),$AH$2:$AH$1001,0),0), INDEX($AO$1004:$BQ$1004,1,MATCH(COLUMNS($AO$1006:BD1006),$AO$1006:$BQ$1006,0)))),"Fix")))</f>
        <v>#N/A</v>
      </c>
      <c r="R654" s="5" t="e">
        <f ca="1">IF(OR(INDEX($AI$2:$AI$1001,MATCH(ROWS($AH$2:AH654),$AH$2:$AH$1001,0),1)&gt;=100000,INDEX($AO$1005:$BQ$1005,1,MATCH(COLUMNS($AO$1006:BE1006),$AO$1006:$BQ$1006,0))&gt;=100000), " ",IF(INDEX($AO$2:$BQ$1001,MATCH(ROWS($AH$2:AH654),$AH$2:$AH$1001,0),MATCH(COLUMNS($AO$1006:BE1006),$AO$1006:$BQ$1006,0)), HYPERLINK("#",""), HYPERLINK(CONCATENATE("#Metadata!", ADDRESS(INDEX($AJ$2:$AJ$1001,MATCH(ROWS($AH$2:AH654),$AH$2:$AH$1001,0),0), INDEX($AO$1004:$BQ$1004,1,MATCH(COLUMNS($AO$1006:BE1006),$AO$1006:$BQ$1006,0)))),"Fix")))</f>
        <v>#N/A</v>
      </c>
      <c r="S654" s="5" t="e">
        <f ca="1">IF(OR(INDEX($AI$2:$AI$1001,MATCH(ROWS($AH$2:AH654),$AH$2:$AH$1001,0),1)&gt;=100000,INDEX($AO$1005:$BQ$1005,1,MATCH(COLUMNS($AO$1006:BF1006),$AO$1006:$BQ$1006,0))&gt;=100000), " ",IF(INDEX($AO$2:$BQ$1001,MATCH(ROWS($AH$2:AH654),$AH$2:$AH$1001,0),MATCH(COLUMNS($AO$1006:BF1006),$AO$1006:$BQ$1006,0)), HYPERLINK("#",""), HYPERLINK(CONCATENATE("#Metadata!", ADDRESS(INDEX($AJ$2:$AJ$1001,MATCH(ROWS($AH$2:AH654),$AH$2:$AH$1001,0),0), INDEX($AO$1004:$BQ$1004,1,MATCH(COLUMNS($AO$1006:BF1006),$AO$1006:$BQ$1006,0)))),"Fix")))</f>
        <v>#N/A</v>
      </c>
      <c r="T654" s="5" t="e">
        <f ca="1">IF(OR(INDEX($AI$2:$AI$1001,MATCH(ROWS($AH$2:AH654),$AH$2:$AH$1001,0),1)&gt;=100000,INDEX($AO$1005:$BQ$1005,1,MATCH(COLUMNS($AO$1006:BG1006),$AO$1006:$BQ$1006,0))&gt;=100000), " ",IF(INDEX($AO$2:$BQ$1001,MATCH(ROWS($AH$2:AH654),$AH$2:$AH$1001,0),MATCH(COLUMNS($AO$1006:BG1006),$AO$1006:$BQ$1006,0)), HYPERLINK("#",""), HYPERLINK(CONCATENATE("#Metadata!", ADDRESS(INDEX($AJ$2:$AJ$1001,MATCH(ROWS($AH$2:AH654),$AH$2:$AH$1001,0),0), INDEX($AO$1004:$BQ$1004,1,MATCH(COLUMNS($AO$1006:BG1006),$AO$1006:$BQ$1006,0)))),"Fix")))</f>
        <v>#N/A</v>
      </c>
      <c r="U654" s="5" t="e">
        <f ca="1">IF(OR(INDEX($AI$2:$AI$1001,MATCH(ROWS($AH$2:AH654),$AH$2:$AH$1001,0),1)&gt;=100000,INDEX($AO$1005:$BQ$1005,1,MATCH(COLUMNS($AO$1006:BH1006),$AO$1006:$BQ$1006,0))&gt;=100000), " ",IF(INDEX($AO$2:$BQ$1001,MATCH(ROWS($AH$2:AH654),$AH$2:$AH$1001,0),MATCH(COLUMNS($AO$1006:BH1006),$AO$1006:$BQ$1006,0)), HYPERLINK("#",""), HYPERLINK(CONCATENATE("#Metadata!", ADDRESS(INDEX($AJ$2:$AJ$1001,MATCH(ROWS($AH$2:AH654),$AH$2:$AH$1001,0),0), INDEX($AO$1004:$BQ$1004,1,MATCH(COLUMNS($AO$1006:BH1006),$AO$1006:$BQ$1006,0)))),"Fix")))</f>
        <v>#N/A</v>
      </c>
      <c r="V654" s="5" t="e">
        <f ca="1">IF(OR(INDEX($AI$2:$AI$1001,MATCH(ROWS($AH$2:AH654),$AH$2:$AH$1001,0),1)&gt;=100000,INDEX($AO$1005:$BQ$1005,1,MATCH(COLUMNS($AO$1006:BI1006),$AO$1006:$BQ$1006,0))&gt;=100000), " ",IF(INDEX($AO$2:$BQ$1001,MATCH(ROWS($AH$2:AH654),$AH$2:$AH$1001,0),MATCH(COLUMNS($AO$1006:BI1006),$AO$1006:$BQ$1006,0)), HYPERLINK("#",""), HYPERLINK(CONCATENATE("#Metadata!", ADDRESS(INDEX($AJ$2:$AJ$1001,MATCH(ROWS($AH$2:AH654),$AH$2:$AH$1001,0),0), INDEX($AO$1004:$BQ$1004,1,MATCH(COLUMNS($AO$1006:BI1006),$AO$1006:$BQ$1006,0)))),"Fix")))</f>
        <v>#N/A</v>
      </c>
      <c r="W654" s="5" t="e">
        <f ca="1">IF(OR(INDEX($AI$2:$AI$1001,MATCH(ROWS($AH$2:AH654),$AH$2:$AH$1001,0),1)&gt;=100000,INDEX($AO$1005:$BQ$1005,1,MATCH(COLUMNS($AO$1006:BJ1006),$AO$1006:$BQ$1006,0))&gt;=100000), " ",IF(INDEX($AO$2:$BQ$1001,MATCH(ROWS($AH$2:AH654),$AH$2:$AH$1001,0),MATCH(COLUMNS($AO$1006:BJ1006),$AO$1006:$BQ$1006,0)), HYPERLINK("#",""), HYPERLINK(CONCATENATE("#Metadata!", ADDRESS(INDEX($AJ$2:$AJ$1001,MATCH(ROWS($AH$2:AH654),$AH$2:$AH$1001,0),0), INDEX($AO$1004:$BQ$1004,1,MATCH(COLUMNS($AO$1006:BJ1006),$AO$1006:$BQ$1006,0)))),"Fix")))</f>
        <v>#N/A</v>
      </c>
      <c r="X654" s="5" t="e">
        <f ca="1">IF(OR(INDEX($AI$2:$AI$1001,MATCH(ROWS($AH$2:AH654),$AH$2:$AH$1001,0),1)&gt;=100000,INDEX($AO$1005:$BQ$1005,1,MATCH(COLUMNS($AO$1006:BK1006),$AO$1006:$BQ$1006,0))&gt;=100000), " ",IF(INDEX($AO$2:$BQ$1001,MATCH(ROWS($AH$2:AH654),$AH$2:$AH$1001,0),MATCH(COLUMNS($AO$1006:BK1006),$AO$1006:$BQ$1006,0)), HYPERLINK("#",""), HYPERLINK(CONCATENATE("#Metadata!", ADDRESS(INDEX($AJ$2:$AJ$1001,MATCH(ROWS($AH$2:AH654),$AH$2:$AH$1001,0),0), INDEX($AO$1004:$BQ$1004,1,MATCH(COLUMNS($AO$1006:BK1006),$AO$1006:$BQ$1006,0)))),"Fix")))</f>
        <v>#N/A</v>
      </c>
      <c r="Y654" s="5" t="e">
        <f ca="1">IF(OR(INDEX($AI$2:$AI$1001,MATCH(ROWS($AH$2:AH654),$AH$2:$AH$1001,0),1)&gt;=100000,INDEX($AO$1005:$BQ$1005,1,MATCH(COLUMNS($AO$1006:BL1006),$AO$1006:$BQ$1006,0))&gt;=100000), " ",IF(INDEX($AO$2:$BQ$1001,MATCH(ROWS($AH$2:AH654),$AH$2:$AH$1001,0),MATCH(COLUMNS($AO$1006:BL1006),$AO$1006:$BQ$1006,0)), HYPERLINK("#",""), HYPERLINK(CONCATENATE("#Metadata!", ADDRESS(INDEX($AJ$2:$AJ$1001,MATCH(ROWS($AH$2:AH654),$AH$2:$AH$1001,0),0), INDEX($AO$1004:$BQ$1004,1,MATCH(COLUMNS($AO$1006:BL1006),$AO$1006:$BQ$1006,0)))),"Fix")))</f>
        <v>#N/A</v>
      </c>
      <c r="Z654" s="5" t="e">
        <f ca="1">IF(OR(INDEX($AI$2:$AI$1001,MATCH(ROWS($AH$2:AH654),$AH$2:$AH$1001,0),1)&gt;=100000,INDEX($AO$1005:$BQ$1005,1,MATCH(COLUMNS($AO$1006:BM1006),$AO$1006:$BQ$1006,0))&gt;=100000), " ",IF(INDEX($AO$2:$BQ$1001,MATCH(ROWS($AH$2:AH654),$AH$2:$AH$1001,0),MATCH(COLUMNS($AO$1006:BM1006),$AO$1006:$BQ$1006,0)), HYPERLINK("#",""), HYPERLINK(CONCATENATE("#Metadata!", ADDRESS(INDEX($AJ$2:$AJ$1001,MATCH(ROWS($AH$2:AH654),$AH$2:$AH$1001,0),0), INDEX($AO$1004:$BQ$1004,1,MATCH(COLUMNS($AO$1006:BM1006),$AO$1006:$BQ$1006,0)))),"Fix")))</f>
        <v>#N/A</v>
      </c>
      <c r="AA654" s="5" t="e">
        <f ca="1">IF(OR(INDEX($AI$2:$AI$1001,MATCH(ROWS($AH$2:AH654),$AH$2:$AH$1001,0),1)&gt;=100000,INDEX($AO$1005:$BQ$1005,1,MATCH(COLUMNS($AO$1006:BN1006),$AO$1006:$BQ$1006,0))&gt;=100000), " ",IF(INDEX($AO$2:$BQ$1001,MATCH(ROWS($AH$2:AH654),$AH$2:$AH$1001,0),MATCH(COLUMNS($AO$1006:BN1006),$AO$1006:$BQ$1006,0)), HYPERLINK("#",""), HYPERLINK(CONCATENATE("#Metadata!", ADDRESS(INDEX($AJ$2:$AJ$1001,MATCH(ROWS($AH$2:AH654),$AH$2:$AH$1001,0),0), INDEX($AO$1004:$BQ$1004,1,MATCH(COLUMNS($AO$1006:BN1006),$AO$1006:$BQ$1006,0)))),"Fix")))</f>
        <v>#N/A</v>
      </c>
      <c r="AB654" s="5" t="e">
        <f ca="1">IF(OR(INDEX($AI$2:$AI$1001,MATCH(ROWS($AH$2:AH654),$AH$2:$AH$1001,0),1)&gt;=100000,INDEX($AO$1005:$BQ$1005,1,MATCH(COLUMNS($AO$1006:BO1006),$AO$1006:$BQ$1006,0))&gt;=100000), " ",IF(INDEX($AO$2:$BQ$1001,MATCH(ROWS($AH$2:AH654),$AH$2:$AH$1001,0),MATCH(COLUMNS($AO$1006:BO1006),$AO$1006:$BQ$1006,0)), HYPERLINK("#",""), HYPERLINK(CONCATENATE("#Metadata!", ADDRESS(INDEX($AJ$2:$AJ$1001,MATCH(ROWS($AH$2:AH654),$AH$2:$AH$1001,0),0), INDEX($AO$1004:$BQ$1004,1,MATCH(COLUMNS($AO$1006:BO1006),$AO$1006:$BQ$1006,0)))),"Fix")))</f>
        <v>#N/A</v>
      </c>
      <c r="AC654" s="5" t="e">
        <f ca="1">IF(OR(INDEX($AI$2:$AI$1001,MATCH(ROWS($AH$2:AH654),$AH$2:$AH$1001,0),1)&gt;=100000,INDEX($AO$1005:$BQ$1005,1,MATCH(COLUMNS($AO$1006:BP1006),$AO$1006:$BQ$1006,0))&gt;=100000), " ",IF(INDEX($AO$2:$BQ$1001,MATCH(ROWS($AH$2:AH654),$AH$2:$AH$1001,0),MATCH(COLUMNS($AO$1006:BP1006),$AO$1006:$BQ$1006,0)), HYPERLINK("#",""), HYPERLINK(CONCATENATE("#Metadata!", ADDRESS(INDEX($AJ$2:$AJ$1001,MATCH(ROWS($AH$2:AH654),$AH$2:$AH$1001,0),0), INDEX($AO$1004:$BQ$1004,1,MATCH(COLUMNS($AO$1006:BP1006),$AO$1006:$BQ$1006,0)))),"Fix")))</f>
        <v>#N/A</v>
      </c>
      <c r="AD654" s="5" t="e">
        <f ca="1">IF(OR(INDEX($AI$2:$AI$1001,MATCH(ROWS($AH$2:AH654),$AH$2:$AH$1001,0),1)&gt;=100000,INDEX($AO$1005:$BQ$1005,1,MATCH(COLUMNS($AO$1006:BQ1006),$AO$1006:$BQ$1006,0))&gt;=100000), " ",IF(INDEX($AO$2:$BQ$1001,MATCH(ROWS($AH$2:AH654),$AH$2:$AH$1001,0),MATCH(COLUMNS($AO$1006:BQ1006),$AO$1006:$BQ$1006,0)), HYPERLINK("#",""), HYPERLINK(CONCATENATE("#Metadata!", ADDRESS(INDEX($AJ$2:$AJ$1001,MATCH(ROWS($AH$2:AH654),$AH$2:$AH$1001,0),0), INDEX($AO$1004:$BQ$1004,1,MATCH(COLUMNS($AO$1006:BQ1006),$AO$1006:$BQ$1006,0)))),"Fix")))</f>
        <v>#REF!</v>
      </c>
      <c r="AH654">
        <f ca="1"/>
        <v>651</v>
      </c>
      <c r="AI654">
        <v>100654</v>
      </c>
      <c r="AJ654">
        <v>654</v>
      </c>
      <c r="AK654" t="b">
        <f t="shared" si="10"/>
        <v>1</v>
      </c>
      <c r="AL654" t="b">
        <f>COUNTBLANK(Metadata!B654:AD654)=COLUMNS(Metadata!B654:AD654)</f>
        <v>1</v>
      </c>
      <c r="AM654" t="str">
        <v/>
      </c>
      <c r="AO654" t="b">
        <f ca="1">AND(IF(Metadata!B654="",FALSE,TRUE),COUNTIF(Metadata!B:B, Metadata!B654) = 1,NOT(ISERROR(SUMPRODUCT(SEARCH(MID(Metadata!B654,ROW(INDIRECT("1:"&amp;LEN(Metadata!B654))), 1),"0123456789abcdefghijklmnopqrstuvwxyzABCDEFGHIJKLMNOPQRSTUVWXYZ.")))))</f>
        <v>0</v>
      </c>
      <c r="AP654" t="b">
        <f>IF(Metadata!C654="",FALSE,TRUE)</f>
        <v>0</v>
      </c>
      <c r="AQ654" t="b">
        <f>IF(Metadata!D654="",FALSE,TRUE)</f>
        <v>0</v>
      </c>
      <c r="AR654" t="b">
        <f ca="1">OR(AND(IF(Metadata!E654="",FALSE,TRUE),OR(EXACT(Metadata!E654,"not collected"),EXACT(Metadata!E654,"not provided"),EXACT(Metadata!E654,"restricted access"))),AND(IF(Metadata!E654="",FALSE,TRUE),AND(AND(IFERROR(INT(LEFT(Metadata!E654,4))&gt;1900,FALSE),IFERROR(INT(LEFT(Metadata!E654,4))&lt;=YEAR(NOW()),FALSE)), OR(MID(Metadata!E654,5,1)="", AND(AND(MID(Metadata!E654,5,1)="-",IFERROR(INT(MID(Metadata!E654,6,1))&gt;=0,FALSE),IFERROR(INT(MID(Metadata!E654,6,1))&lt;=1,FALSE),NOT(MID(Metadata!E654,7,1)=""),IFERROR(INT(MID(Metadata!E654,6,2))&gt;=1,FALSE),IFERROR(INT(MID(Metadata!E654,6,2))&lt;=12,FALSE)), OR(MID(Metadata!E654,8,1)="", AND(AND(MID(Metadata!E654,8,1)="-",IFERROR(INT(MID(Metadata!E654,9,1))&gt;=0,FALSE),IFERROR(INT(MID(Metadata!E654,9,1))&lt;=3,FALSE),NOT(MID(Metadata!E654,10,1)=""),IFERROR(INT(MID(Metadata!E654,9,2))&gt;=1,FALSE),IFERROR(INT(MID(Metadata!E654,9,2))&lt;=31,FALSE)), OR(MID(Metadata!E654,11,1)="", AND(AND(MID(Metadata!E654,11,1)=" ",IFERROR(INT(MID(Metadata!E654,12,1))&gt;=0,FALSE),IFERROR(INT(MID(Metadata!E654,12,1))&lt;=2,FALSE),NOT(MID(Metadata!E654,13,1)=""),IFERROR(INT(MID(Metadata!E654,12,2))&gt;=0,FALSE),IFERROR(INT(MID(Metadata!E654,12,2))&lt;=23,FALSE)), OR(MID(Metadata!E654,14,1)="", AND(AND(MID(Metadata!E654,14,1)=":",IFERROR(INT(MID(Metadata!E654,15,1))&gt;=0,FALSE),IFERROR(INT(MID(Metadata!E654,15,1))&lt;=5,FALSE),NOT(MID(Metadata!E654,16,1)=""),IFERROR(INT(MID(Metadata!E654,15,2))&gt;=0,FALSE),IFERROR(INT(MID(Metadata!E654,15,2))&lt;=59,FALSE)), OR(MID(Metadata!E654,17,1)="", AND(AND(MID(Metadata!E654,17,1)=":",IFERROR(INT(MID(Metadata!E654,18,1))&gt;=0,FALSE),IFERROR(INT(MID(Metadata!E654,18,1))&lt;=5,FALSE),NOT(MID(Metadata!E654,19,1)=""),IFERROR(INT(MID(Metadata!E654,18,2))&gt;=0,FALSE),IFERROR(INT(MID(Metadata!E654,18,2))&lt;=59,FALSE)), LEN(Metadata!E654)&lt;=19)))))))))))))</f>
        <v>0</v>
      </c>
      <c r="AS654" t="b">
        <f>IF(Metadata!F654="",FALSE,TRUE)</f>
        <v>0</v>
      </c>
      <c r="AT654" t="b">
        <f>OR(AND(IF(Metadata!G654="",FALSE,TRUE),OR(EXACT(Metadata!G654,"not collected"),EXACT(Metadata!G654,"not provided"))),AND(IF(Metadata!G654="",FALSE,TRUE),OR(EXACT(Metadata!G654,"TRUE"),EXACT(Metadata!G654,"FALSE"))))</f>
        <v>0</v>
      </c>
      <c r="AU654" t="b">
        <f>OR(AND(IF(Metadata!H654="",FALSE,TRUE),OR(EXACT(Metadata!H654,"not collected"),EXACT(Metadata!H654,"not provided"),EXACT(Metadata!H654,"restricted access"))),AND(IF(Metadata!H654="",FALSE,ISNUMBER(VALUE(Metadata!H654))),Metadata!H654&gt;=-413))</f>
        <v>0</v>
      </c>
      <c r="AV654" t="b">
        <f>AND(IF(Metadata!I654="",FALSE,TRUE),EXACT(Metadata!I654,"meters"))</f>
        <v>0</v>
      </c>
      <c r="AW654" t="b">
        <f>AND(IF(Metadata!J654="",FALSE,TRUE),EXACT(Metadata!J654,"free-living"))</f>
        <v>0</v>
      </c>
      <c r="AX654" t="b">
        <f>AND(IF(Metadata!K654="",FALSE,TRUE),OR(EXACT(Metadata!K654,"saline"),EXACT(Metadata!K654,"non-saline")))</f>
        <v>0</v>
      </c>
      <c r="AY654" t="b">
        <f>AND(IF(Metadata!L654="",FALSE,TRUE),OR(EXACT(Metadata!L654,"sub-surface (non-saline)"),EXACT(Metadata!L654,"surface (non-saline)"),EXACT(Metadata!L654,"water (non-saline)"),EXACT(Metadata!L654,"soil (non-saline)"),EXACT(Metadata!L654,"aerosol (non-saline)"),EXACT(Metadata!L654,"sediment (non-saline)"),EXACT(Metadata!L654,"surface (saline)"),EXACT(Metadata!L654,"water (saline)"),EXACT(Metadata!L654,"hypersaline (saline)"),EXACT(Metadata!L654,"aerosol (saline)"),EXACT(Metadata!L654,"sediment (saline)")))</f>
        <v>0</v>
      </c>
      <c r="AZ654" t="b">
        <f>IF(Metadata!M654="",FALSE,TRUE)</f>
        <v>0</v>
      </c>
      <c r="BA654" t="b">
        <f>IF(Metadata!N654="",FALSE,TRUE)</f>
        <v>0</v>
      </c>
      <c r="BB654" t="b">
        <f>IF(Metadata!O654="",FALSE,TRUE)</f>
        <v>0</v>
      </c>
      <c r="BC654" t="b">
        <f>AND(IF(Metadata!P654="",FALSE,TRUE),OR(EXACT(Metadata!P654,"air"),EXACT(Metadata!P654,"microbial mat/biofilm"),EXACT(Metadata!P654,"misc environment"),EXACT(Metadata!P654,"sediment"),EXACT(Metadata!P654,"soil"),EXACT(Metadata!P654,"wastewater/sludge"),EXACT(Metadata!P654,"water")))</f>
        <v>0</v>
      </c>
      <c r="BD654" t="b">
        <f>IF(Metadata!Q654="",FALSE,TRUE)</f>
        <v>0</v>
      </c>
      <c r="BE654" t="b">
        <f>IF(Metadata!R654="",FALSE,TRUE)</f>
        <v>0</v>
      </c>
      <c r="BF654" t="b">
        <f>OR(AND(IF(Metadata!S654="",FALSE,TRUE),OR(EXACT(Metadata!S654,"not collected"),EXACT(Metadata!S654,"not provided"),EXACT(Metadata!S654,"restricted access"))),AND(IF(Metadata!S654="",FALSE,ISNUMBER(VALUE(Metadata!S654))),Metadata!S654&gt;=-90,Metadata!S654&lt;=90))</f>
        <v>0</v>
      </c>
      <c r="BG654" t="b">
        <f>AND(IF(Metadata!T654="",FALSE,TRUE),EXACT(Metadata!T654,"Decimal degrees"))</f>
        <v>0</v>
      </c>
      <c r="BH654" t="b">
        <f>OR(AND(IF(Metadata!U654="",FALSE,TRUE),OR(EXACT(Metadata!U654,"not applicable"),EXACT(Metadata!U654,"not collected"))),IF(Metadata!U654="",FALSE,TRUE))</f>
        <v>0</v>
      </c>
      <c r="BI654" t="b">
        <f>OR(AND(IF(Metadata!V654="",FALSE,TRUE),OR(EXACT(Metadata!V654,"not collected"),EXACT(Metadata!V654,"not provided"),EXACT(Metadata!V654,"restricted access"))),AND(IF(Metadata!V654="",FALSE,ISNUMBER(VALUE(Metadata!V654))),Metadata!V654&gt;=-180,Metadata!V654&lt;=180))</f>
        <v>0</v>
      </c>
      <c r="BJ654" t="b">
        <f>AND(IF(Metadata!W654="",FALSE,TRUE),EXACT(Metadata!W654,"Decimal degrees"))</f>
        <v>0</v>
      </c>
      <c r="BK654" t="b">
        <f>IF(Metadata!X654="",FALSE,TRUE)</f>
        <v>0</v>
      </c>
      <c r="BL654" t="b">
        <f>OR(AND(IF(Metadata!Y654="",FALSE,TRUE),OR(EXACT(Metadata!Y654,"not collected"),EXACT(Metadata!Y654,"not provided"),EXACT(Metadata!Y654,"restricted access"))),AND(IF(Metadata!Y654="",FALSE,TRUE),OR(EXACT(Metadata!Y654,"TRUE"),EXACT(Metadata!Y654,"FALSE"))))</f>
        <v>0</v>
      </c>
      <c r="BM654" t="b">
        <f>OR(AND(IF(Metadata!Z654="",FALSE,TRUE),EXACT(Metadata!Z654,"not applicable")),AND(IF(Metadata!Z654="",FALSE,TRUE),OR(EXACT(Metadata!Z654,"beer"),EXACT(Metadata!Z654,"cheese"),EXACT(Metadata!Z654,"fresh water"),EXACT(Metadata!Z654,"marine sediment"),EXACT(Metadata!Z654,"sea water"),EXACT(Metadata!Z654,"sediment"),EXACT(Metadata!Z654,"soil"),EXACT(Metadata!Z654,"waste water"))))</f>
        <v>0</v>
      </c>
      <c r="BN654" t="b">
        <f>AND(IF(Metadata!AA654="",FALSE,TRUE),EXACT(Metadata!AA654,"metagenome"))</f>
        <v>0</v>
      </c>
      <c r="BO654" t="b">
        <f>AND(IF(Metadata!AB654="",FALSE,TRUE),EXACT(Metadata!AB654,"256318"))</f>
        <v>0</v>
      </c>
      <c r="BP654" t="b">
        <f>IF(Metadata!AC654="",FALSE,TRUE)</f>
        <v>0</v>
      </c>
      <c r="BQ654" t="b">
        <f>IF(Metadata!AD654="",FALSE,TRUE)</f>
        <v>0</v>
      </c>
    </row>
    <row r="655" spans="1:69" x14ac:dyDescent="0.2">
      <c r="A655" s="4" t="e">
        <f ca="1">IF(B655=" "," ",HYPERLINK(CONCATENATE("#metadata!",ADDRESS(INDEX($AJ$2:$AJ$1001,MATCH(ROWS($AH$2:AH655),$AH$2:$AH$1001,0),0),2)),INDEX($AM$2:$AM$1001,MATCH(ROWS($AH$2:AH655),$AH$2:$AH$1001,0),0)))</f>
        <v>#N/A</v>
      </c>
      <c r="B655" s="5" t="e">
        <f ca="1">IF(OR(INDEX($AI$2:$AI$1001,MATCH(ROWS($AH$2:AH655),$AH$2:$AH$1001,0),1)&gt;=100000,INDEX($AO$1005:$BQ$1005,1,MATCH(COLUMNS($AO$1006:AO1006),$AO$1006:$BQ$1006,0))&gt;=100000), " ",IF(INDEX($AO$2:$BQ$1001,MATCH(ROWS($AH$2:AH655),$AH$2:$AH$1001,0),MATCH(COLUMNS($AO$1006:AO1006),$AO$1006:$BQ$1006,0)), HYPERLINK("#",""), HYPERLINK(CONCATENATE("#Metadata!", ADDRESS(INDEX($AJ$2:$AJ$1001,MATCH(ROWS($AH$2:AH655),$AH$2:$AH$1001,0),0), INDEX($AO$1004:$BQ$1004,1,MATCH(COLUMNS($AO$1006:AO1006),$AO$1006:$BQ$1006,0)))),"Fix")))</f>
        <v>#N/A</v>
      </c>
      <c r="C655" s="5" t="e">
        <f ca="1">IF(OR(INDEX($AI$2:$AI$1001,MATCH(ROWS($AH$2:AH655),$AH$2:$AH$1001,0),1)&gt;=100000,INDEX($AO$1005:$BQ$1005,1,MATCH(COLUMNS($AO$1006:AP1006),$AO$1006:$BQ$1006,0))&gt;=100000), " ",IF(INDEX($AO$2:$BQ$1001,MATCH(ROWS($AH$2:AH655),$AH$2:$AH$1001,0),MATCH(COLUMNS($AO$1006:AP1006),$AO$1006:$BQ$1006,0)), HYPERLINK("#",""), HYPERLINK(CONCATENATE("#Metadata!", ADDRESS(INDEX($AJ$2:$AJ$1001,MATCH(ROWS($AH$2:AH655),$AH$2:$AH$1001,0),0), INDEX($AO$1004:$BQ$1004,1,MATCH(COLUMNS($AO$1006:AP1006),$AO$1006:$BQ$1006,0)))),"Fix")))</f>
        <v>#N/A</v>
      </c>
      <c r="D655" s="5" t="e">
        <f ca="1">IF(OR(INDEX($AI$2:$AI$1001,MATCH(ROWS($AH$2:AH655),$AH$2:$AH$1001,0),1)&gt;=100000,INDEX($AO$1005:$BQ$1005,1,MATCH(COLUMNS($AO$1006:AQ1006),$AO$1006:$BQ$1006,0))&gt;=100000), " ",IF(INDEX($AO$2:$BQ$1001,MATCH(ROWS($AH$2:AH655),$AH$2:$AH$1001,0),MATCH(COLUMNS($AO$1006:AQ1006),$AO$1006:$BQ$1006,0)), HYPERLINK("#",""), HYPERLINK(CONCATENATE("#Metadata!", ADDRESS(INDEX($AJ$2:$AJ$1001,MATCH(ROWS($AH$2:AH655),$AH$2:$AH$1001,0),0), INDEX($AO$1004:$BQ$1004,1,MATCH(COLUMNS($AO$1006:AQ1006),$AO$1006:$BQ$1006,0)))),"Fix")))</f>
        <v>#N/A</v>
      </c>
      <c r="E655" s="5" t="e">
        <f ca="1">IF(OR(INDEX($AI$2:$AI$1001,MATCH(ROWS($AH$2:AH655),$AH$2:$AH$1001,0),1)&gt;=100000,INDEX($AO$1005:$BQ$1005,1,MATCH(COLUMNS($AO$1006:AR1006),$AO$1006:$BQ$1006,0))&gt;=100000), " ",IF(INDEX($AO$2:$BQ$1001,MATCH(ROWS($AH$2:AH655),$AH$2:$AH$1001,0),MATCH(COLUMNS($AO$1006:AR1006),$AO$1006:$BQ$1006,0)), HYPERLINK("#",""), HYPERLINK(CONCATENATE("#Metadata!", ADDRESS(INDEX($AJ$2:$AJ$1001,MATCH(ROWS($AH$2:AH655),$AH$2:$AH$1001,0),0), INDEX($AO$1004:$BQ$1004,1,MATCH(COLUMNS($AO$1006:AR1006),$AO$1006:$BQ$1006,0)))),"Fix")))</f>
        <v>#N/A</v>
      </c>
      <c r="F655" s="5" t="e">
        <f ca="1">IF(OR(INDEX($AI$2:$AI$1001,MATCH(ROWS($AH$2:AH655),$AH$2:$AH$1001,0),1)&gt;=100000,INDEX($AO$1005:$BQ$1005,1,MATCH(COLUMNS($AO$1006:AS1006),$AO$1006:$BQ$1006,0))&gt;=100000), " ",IF(INDEX($AO$2:$BQ$1001,MATCH(ROWS($AH$2:AH655),$AH$2:$AH$1001,0),MATCH(COLUMNS($AO$1006:AS1006),$AO$1006:$BQ$1006,0)), HYPERLINK("#",""), HYPERLINK(CONCATENATE("#Metadata!", ADDRESS(INDEX($AJ$2:$AJ$1001,MATCH(ROWS($AH$2:AH655),$AH$2:$AH$1001,0),0), INDEX($AO$1004:$BQ$1004,1,MATCH(COLUMNS($AO$1006:AS1006),$AO$1006:$BQ$1006,0)))),"Fix")))</f>
        <v>#N/A</v>
      </c>
      <c r="G655" s="5" t="e">
        <f ca="1">IF(OR(INDEX($AI$2:$AI$1001,MATCH(ROWS($AH$2:AH655),$AH$2:$AH$1001,0),1)&gt;=100000,INDEX($AO$1005:$BQ$1005,1,MATCH(COLUMNS($AO$1006:AT1006),$AO$1006:$BQ$1006,0))&gt;=100000), " ",IF(INDEX($AO$2:$BQ$1001,MATCH(ROWS($AH$2:AH655),$AH$2:$AH$1001,0),MATCH(COLUMNS($AO$1006:AT1006),$AO$1006:$BQ$1006,0)), HYPERLINK("#",""), HYPERLINK(CONCATENATE("#Metadata!", ADDRESS(INDEX($AJ$2:$AJ$1001,MATCH(ROWS($AH$2:AH655),$AH$2:$AH$1001,0),0), INDEX($AO$1004:$BQ$1004,1,MATCH(COLUMNS($AO$1006:AT1006),$AO$1006:$BQ$1006,0)))),"Fix")))</f>
        <v>#N/A</v>
      </c>
      <c r="H655" s="5" t="e">
        <f ca="1">IF(OR(INDEX($AI$2:$AI$1001,MATCH(ROWS($AH$2:AH655),$AH$2:$AH$1001,0),1)&gt;=100000,INDEX($AO$1005:$BQ$1005,1,MATCH(COLUMNS($AO$1006:AU1006),$AO$1006:$BQ$1006,0))&gt;=100000), " ",IF(INDEX($AO$2:$BQ$1001,MATCH(ROWS($AH$2:AH655),$AH$2:$AH$1001,0),MATCH(COLUMNS($AO$1006:AU1006),$AO$1006:$BQ$1006,0)), HYPERLINK("#",""), HYPERLINK(CONCATENATE("#Metadata!", ADDRESS(INDEX($AJ$2:$AJ$1001,MATCH(ROWS($AH$2:AH655),$AH$2:$AH$1001,0),0), INDEX($AO$1004:$BQ$1004,1,MATCH(COLUMNS($AO$1006:AU1006),$AO$1006:$BQ$1006,0)))),"Fix")))</f>
        <v>#N/A</v>
      </c>
      <c r="I655" s="5" t="e">
        <f ca="1">IF(OR(INDEX($AI$2:$AI$1001,MATCH(ROWS($AH$2:AH655),$AH$2:$AH$1001,0),1)&gt;=100000,INDEX($AO$1005:$BQ$1005,1,MATCH(COLUMNS($AO$1006:AV1006),$AO$1006:$BQ$1006,0))&gt;=100000), " ",IF(INDEX($AO$2:$BQ$1001,MATCH(ROWS($AH$2:AH655),$AH$2:$AH$1001,0),MATCH(COLUMNS($AO$1006:AV1006),$AO$1006:$BQ$1006,0)), HYPERLINK("#",""), HYPERLINK(CONCATENATE("#Metadata!", ADDRESS(INDEX($AJ$2:$AJ$1001,MATCH(ROWS($AH$2:AH655),$AH$2:$AH$1001,0),0), INDEX($AO$1004:$BQ$1004,1,MATCH(COLUMNS($AO$1006:AV1006),$AO$1006:$BQ$1006,0)))),"Fix")))</f>
        <v>#N/A</v>
      </c>
      <c r="J655" s="5" t="e">
        <f ca="1">IF(OR(INDEX($AI$2:$AI$1001,MATCH(ROWS($AH$2:AH655),$AH$2:$AH$1001,0),1)&gt;=100000,INDEX($AO$1005:$BQ$1005,1,MATCH(COLUMNS($AO$1006:AW1006),$AO$1006:$BQ$1006,0))&gt;=100000), " ",IF(INDEX($AO$2:$BQ$1001,MATCH(ROWS($AH$2:AH655),$AH$2:$AH$1001,0),MATCH(COLUMNS($AO$1006:AW1006),$AO$1006:$BQ$1006,0)), HYPERLINK("#",""), HYPERLINK(CONCATENATE("#Metadata!", ADDRESS(INDEX($AJ$2:$AJ$1001,MATCH(ROWS($AH$2:AH655),$AH$2:$AH$1001,0),0), INDEX($AO$1004:$BQ$1004,1,MATCH(COLUMNS($AO$1006:AW1006),$AO$1006:$BQ$1006,0)))),"Fix")))</f>
        <v>#N/A</v>
      </c>
      <c r="K655" s="5" t="e">
        <f ca="1">IF(OR(INDEX($AI$2:$AI$1001,MATCH(ROWS($AH$2:AH655),$AH$2:$AH$1001,0),1)&gt;=100000,INDEX($AO$1005:$BQ$1005,1,MATCH(COLUMNS($AO$1006:AX1006),$AO$1006:$BQ$1006,0))&gt;=100000), " ",IF(INDEX($AO$2:$BQ$1001,MATCH(ROWS($AH$2:AH655),$AH$2:$AH$1001,0),MATCH(COLUMNS($AO$1006:AX1006),$AO$1006:$BQ$1006,0)), HYPERLINK("#",""), HYPERLINK(CONCATENATE("#Metadata!", ADDRESS(INDEX($AJ$2:$AJ$1001,MATCH(ROWS($AH$2:AH655),$AH$2:$AH$1001,0),0), INDEX($AO$1004:$BQ$1004,1,MATCH(COLUMNS($AO$1006:AX1006),$AO$1006:$BQ$1006,0)))),"Fix")))</f>
        <v>#N/A</v>
      </c>
      <c r="L655" s="5" t="e">
        <f ca="1">IF(OR(INDEX($AI$2:$AI$1001,MATCH(ROWS($AH$2:AH655),$AH$2:$AH$1001,0),1)&gt;=100000,INDEX($AO$1005:$BQ$1005,1,MATCH(COLUMNS($AO$1006:AY1006),$AO$1006:$BQ$1006,0))&gt;=100000), " ",IF(INDEX($AO$2:$BQ$1001,MATCH(ROWS($AH$2:AH655),$AH$2:$AH$1001,0),MATCH(COLUMNS($AO$1006:AY1006),$AO$1006:$BQ$1006,0)), HYPERLINK("#",""), HYPERLINK(CONCATENATE("#Metadata!", ADDRESS(INDEX($AJ$2:$AJ$1001,MATCH(ROWS($AH$2:AH655),$AH$2:$AH$1001,0),0), INDEX($AO$1004:$BQ$1004,1,MATCH(COLUMNS($AO$1006:AY1006),$AO$1006:$BQ$1006,0)))),"Fix")))</f>
        <v>#N/A</v>
      </c>
      <c r="M655" s="5" t="e">
        <f ca="1">IF(OR(INDEX($AI$2:$AI$1001,MATCH(ROWS($AH$2:AH655),$AH$2:$AH$1001,0),1)&gt;=100000,INDEX($AO$1005:$BQ$1005,1,MATCH(COLUMNS($AO$1006:AZ1006),$AO$1006:$BQ$1006,0))&gt;=100000), " ",IF(INDEX($AO$2:$BQ$1001,MATCH(ROWS($AH$2:AH655),$AH$2:$AH$1001,0),MATCH(COLUMNS($AO$1006:AZ1006),$AO$1006:$BQ$1006,0)), HYPERLINK("#",""), HYPERLINK(CONCATENATE("#Metadata!", ADDRESS(INDEX($AJ$2:$AJ$1001,MATCH(ROWS($AH$2:AH655),$AH$2:$AH$1001,0),0), INDEX($AO$1004:$BQ$1004,1,MATCH(COLUMNS($AO$1006:AZ1006),$AO$1006:$BQ$1006,0)))),"Fix")))</f>
        <v>#N/A</v>
      </c>
      <c r="N655" s="5" t="e">
        <f ca="1">IF(OR(INDEX($AI$2:$AI$1001,MATCH(ROWS($AH$2:AH655),$AH$2:$AH$1001,0),1)&gt;=100000,INDEX($AO$1005:$BQ$1005,1,MATCH(COLUMNS($AO$1006:BA1006),$AO$1006:$BQ$1006,0))&gt;=100000), " ",IF(INDEX($AO$2:$BQ$1001,MATCH(ROWS($AH$2:AH655),$AH$2:$AH$1001,0),MATCH(COLUMNS($AO$1006:BA1006),$AO$1006:$BQ$1006,0)), HYPERLINK("#",""), HYPERLINK(CONCATENATE("#Metadata!", ADDRESS(INDEX($AJ$2:$AJ$1001,MATCH(ROWS($AH$2:AH655),$AH$2:$AH$1001,0),0), INDEX($AO$1004:$BQ$1004,1,MATCH(COLUMNS($AO$1006:BA1006),$AO$1006:$BQ$1006,0)))),"Fix")))</f>
        <v>#N/A</v>
      </c>
      <c r="O655" s="5" t="e">
        <f ca="1">IF(OR(INDEX($AI$2:$AI$1001,MATCH(ROWS($AH$2:AH655),$AH$2:$AH$1001,0),1)&gt;=100000,INDEX($AO$1005:$BQ$1005,1,MATCH(COLUMNS($AO$1006:BB1006),$AO$1006:$BQ$1006,0))&gt;=100000), " ",IF(INDEX($AO$2:$BQ$1001,MATCH(ROWS($AH$2:AH655),$AH$2:$AH$1001,0),MATCH(COLUMNS($AO$1006:BB1006),$AO$1006:$BQ$1006,0)), HYPERLINK("#",""), HYPERLINK(CONCATENATE("#Metadata!", ADDRESS(INDEX($AJ$2:$AJ$1001,MATCH(ROWS($AH$2:AH655),$AH$2:$AH$1001,0),0), INDEX($AO$1004:$BQ$1004,1,MATCH(COLUMNS($AO$1006:BB1006),$AO$1006:$BQ$1006,0)))),"Fix")))</f>
        <v>#N/A</v>
      </c>
      <c r="P655" s="5" t="e">
        <f ca="1">IF(OR(INDEX($AI$2:$AI$1001,MATCH(ROWS($AH$2:AH655),$AH$2:$AH$1001,0),1)&gt;=100000,INDEX($AO$1005:$BQ$1005,1,MATCH(COLUMNS($AO$1006:BC1006),$AO$1006:$BQ$1006,0))&gt;=100000), " ",IF(INDEX($AO$2:$BQ$1001,MATCH(ROWS($AH$2:AH655),$AH$2:$AH$1001,0),MATCH(COLUMNS($AO$1006:BC1006),$AO$1006:$BQ$1006,0)), HYPERLINK("#",""), HYPERLINK(CONCATENATE("#Metadata!", ADDRESS(INDEX($AJ$2:$AJ$1001,MATCH(ROWS($AH$2:AH655),$AH$2:$AH$1001,0),0), INDEX($AO$1004:$BQ$1004,1,MATCH(COLUMNS($AO$1006:BC1006),$AO$1006:$BQ$1006,0)))),"Fix")))</f>
        <v>#N/A</v>
      </c>
      <c r="Q655" s="5" t="e">
        <f ca="1">IF(OR(INDEX($AI$2:$AI$1001,MATCH(ROWS($AH$2:AH655),$AH$2:$AH$1001,0),1)&gt;=100000,INDEX($AO$1005:$BQ$1005,1,MATCH(COLUMNS($AO$1006:BD1006),$AO$1006:$BQ$1006,0))&gt;=100000), " ",IF(INDEX($AO$2:$BQ$1001,MATCH(ROWS($AH$2:AH655),$AH$2:$AH$1001,0),MATCH(COLUMNS($AO$1006:BD1006),$AO$1006:$BQ$1006,0)), HYPERLINK("#",""), HYPERLINK(CONCATENATE("#Metadata!", ADDRESS(INDEX($AJ$2:$AJ$1001,MATCH(ROWS($AH$2:AH655),$AH$2:$AH$1001,0),0), INDEX($AO$1004:$BQ$1004,1,MATCH(COLUMNS($AO$1006:BD1006),$AO$1006:$BQ$1006,0)))),"Fix")))</f>
        <v>#N/A</v>
      </c>
      <c r="R655" s="5" t="e">
        <f ca="1">IF(OR(INDEX($AI$2:$AI$1001,MATCH(ROWS($AH$2:AH655),$AH$2:$AH$1001,0),1)&gt;=100000,INDEX($AO$1005:$BQ$1005,1,MATCH(COLUMNS($AO$1006:BE1006),$AO$1006:$BQ$1006,0))&gt;=100000), " ",IF(INDEX($AO$2:$BQ$1001,MATCH(ROWS($AH$2:AH655),$AH$2:$AH$1001,0),MATCH(COLUMNS($AO$1006:BE1006),$AO$1006:$BQ$1006,0)), HYPERLINK("#",""), HYPERLINK(CONCATENATE("#Metadata!", ADDRESS(INDEX($AJ$2:$AJ$1001,MATCH(ROWS($AH$2:AH655),$AH$2:$AH$1001,0),0), INDEX($AO$1004:$BQ$1004,1,MATCH(COLUMNS($AO$1006:BE1006),$AO$1006:$BQ$1006,0)))),"Fix")))</f>
        <v>#N/A</v>
      </c>
      <c r="S655" s="5" t="e">
        <f ca="1">IF(OR(INDEX($AI$2:$AI$1001,MATCH(ROWS($AH$2:AH655),$AH$2:$AH$1001,0),1)&gt;=100000,INDEX($AO$1005:$BQ$1005,1,MATCH(COLUMNS($AO$1006:BF1006),$AO$1006:$BQ$1006,0))&gt;=100000), " ",IF(INDEX($AO$2:$BQ$1001,MATCH(ROWS($AH$2:AH655),$AH$2:$AH$1001,0),MATCH(COLUMNS($AO$1006:BF1006),$AO$1006:$BQ$1006,0)), HYPERLINK("#",""), HYPERLINK(CONCATENATE("#Metadata!", ADDRESS(INDEX($AJ$2:$AJ$1001,MATCH(ROWS($AH$2:AH655),$AH$2:$AH$1001,0),0), INDEX($AO$1004:$BQ$1004,1,MATCH(COLUMNS($AO$1006:BF1006),$AO$1006:$BQ$1006,0)))),"Fix")))</f>
        <v>#N/A</v>
      </c>
      <c r="T655" s="5" t="e">
        <f ca="1">IF(OR(INDEX($AI$2:$AI$1001,MATCH(ROWS($AH$2:AH655),$AH$2:$AH$1001,0),1)&gt;=100000,INDEX($AO$1005:$BQ$1005,1,MATCH(COLUMNS($AO$1006:BG1006),$AO$1006:$BQ$1006,0))&gt;=100000), " ",IF(INDEX($AO$2:$BQ$1001,MATCH(ROWS($AH$2:AH655),$AH$2:$AH$1001,0),MATCH(COLUMNS($AO$1006:BG1006),$AO$1006:$BQ$1006,0)), HYPERLINK("#",""), HYPERLINK(CONCATENATE("#Metadata!", ADDRESS(INDEX($AJ$2:$AJ$1001,MATCH(ROWS($AH$2:AH655),$AH$2:$AH$1001,0),0), INDEX($AO$1004:$BQ$1004,1,MATCH(COLUMNS($AO$1006:BG1006),$AO$1006:$BQ$1006,0)))),"Fix")))</f>
        <v>#N/A</v>
      </c>
      <c r="U655" s="5" t="e">
        <f ca="1">IF(OR(INDEX($AI$2:$AI$1001,MATCH(ROWS($AH$2:AH655),$AH$2:$AH$1001,0),1)&gt;=100000,INDEX($AO$1005:$BQ$1005,1,MATCH(COLUMNS($AO$1006:BH1006),$AO$1006:$BQ$1006,0))&gt;=100000), " ",IF(INDEX($AO$2:$BQ$1001,MATCH(ROWS($AH$2:AH655),$AH$2:$AH$1001,0),MATCH(COLUMNS($AO$1006:BH1006),$AO$1006:$BQ$1006,0)), HYPERLINK("#",""), HYPERLINK(CONCATENATE("#Metadata!", ADDRESS(INDEX($AJ$2:$AJ$1001,MATCH(ROWS($AH$2:AH655),$AH$2:$AH$1001,0),0), INDEX($AO$1004:$BQ$1004,1,MATCH(COLUMNS($AO$1006:BH1006),$AO$1006:$BQ$1006,0)))),"Fix")))</f>
        <v>#N/A</v>
      </c>
      <c r="V655" s="5" t="e">
        <f ca="1">IF(OR(INDEX($AI$2:$AI$1001,MATCH(ROWS($AH$2:AH655),$AH$2:$AH$1001,0),1)&gt;=100000,INDEX($AO$1005:$BQ$1005,1,MATCH(COLUMNS($AO$1006:BI1006),$AO$1006:$BQ$1006,0))&gt;=100000), " ",IF(INDEX($AO$2:$BQ$1001,MATCH(ROWS($AH$2:AH655),$AH$2:$AH$1001,0),MATCH(COLUMNS($AO$1006:BI1006),$AO$1006:$BQ$1006,0)), HYPERLINK("#",""), HYPERLINK(CONCATENATE("#Metadata!", ADDRESS(INDEX($AJ$2:$AJ$1001,MATCH(ROWS($AH$2:AH655),$AH$2:$AH$1001,0),0), INDEX($AO$1004:$BQ$1004,1,MATCH(COLUMNS($AO$1006:BI1006),$AO$1006:$BQ$1006,0)))),"Fix")))</f>
        <v>#N/A</v>
      </c>
      <c r="W655" s="5" t="e">
        <f ca="1">IF(OR(INDEX($AI$2:$AI$1001,MATCH(ROWS($AH$2:AH655),$AH$2:$AH$1001,0),1)&gt;=100000,INDEX($AO$1005:$BQ$1005,1,MATCH(COLUMNS($AO$1006:BJ1006),$AO$1006:$BQ$1006,0))&gt;=100000), " ",IF(INDEX($AO$2:$BQ$1001,MATCH(ROWS($AH$2:AH655),$AH$2:$AH$1001,0),MATCH(COLUMNS($AO$1006:BJ1006),$AO$1006:$BQ$1006,0)), HYPERLINK("#",""), HYPERLINK(CONCATENATE("#Metadata!", ADDRESS(INDEX($AJ$2:$AJ$1001,MATCH(ROWS($AH$2:AH655),$AH$2:$AH$1001,0),0), INDEX($AO$1004:$BQ$1004,1,MATCH(COLUMNS($AO$1006:BJ1006),$AO$1006:$BQ$1006,0)))),"Fix")))</f>
        <v>#N/A</v>
      </c>
      <c r="X655" s="5" t="e">
        <f ca="1">IF(OR(INDEX($AI$2:$AI$1001,MATCH(ROWS($AH$2:AH655),$AH$2:$AH$1001,0),1)&gt;=100000,INDEX($AO$1005:$BQ$1005,1,MATCH(COLUMNS($AO$1006:BK1006),$AO$1006:$BQ$1006,0))&gt;=100000), " ",IF(INDEX($AO$2:$BQ$1001,MATCH(ROWS($AH$2:AH655),$AH$2:$AH$1001,0),MATCH(COLUMNS($AO$1006:BK1006),$AO$1006:$BQ$1006,0)), HYPERLINK("#",""), HYPERLINK(CONCATENATE("#Metadata!", ADDRESS(INDEX($AJ$2:$AJ$1001,MATCH(ROWS($AH$2:AH655),$AH$2:$AH$1001,0),0), INDEX($AO$1004:$BQ$1004,1,MATCH(COLUMNS($AO$1006:BK1006),$AO$1006:$BQ$1006,0)))),"Fix")))</f>
        <v>#N/A</v>
      </c>
      <c r="Y655" s="5" t="e">
        <f ca="1">IF(OR(INDEX($AI$2:$AI$1001,MATCH(ROWS($AH$2:AH655),$AH$2:$AH$1001,0),1)&gt;=100000,INDEX($AO$1005:$BQ$1005,1,MATCH(COLUMNS($AO$1006:BL1006),$AO$1006:$BQ$1006,0))&gt;=100000), " ",IF(INDEX($AO$2:$BQ$1001,MATCH(ROWS($AH$2:AH655),$AH$2:$AH$1001,0),MATCH(COLUMNS($AO$1006:BL1006),$AO$1006:$BQ$1006,0)), HYPERLINK("#",""), HYPERLINK(CONCATENATE("#Metadata!", ADDRESS(INDEX($AJ$2:$AJ$1001,MATCH(ROWS($AH$2:AH655),$AH$2:$AH$1001,0),0), INDEX($AO$1004:$BQ$1004,1,MATCH(COLUMNS($AO$1006:BL1006),$AO$1006:$BQ$1006,0)))),"Fix")))</f>
        <v>#N/A</v>
      </c>
      <c r="Z655" s="5" t="e">
        <f ca="1">IF(OR(INDEX($AI$2:$AI$1001,MATCH(ROWS($AH$2:AH655),$AH$2:$AH$1001,0),1)&gt;=100000,INDEX($AO$1005:$BQ$1005,1,MATCH(COLUMNS($AO$1006:BM1006),$AO$1006:$BQ$1006,0))&gt;=100000), " ",IF(INDEX($AO$2:$BQ$1001,MATCH(ROWS($AH$2:AH655),$AH$2:$AH$1001,0),MATCH(COLUMNS($AO$1006:BM1006),$AO$1006:$BQ$1006,0)), HYPERLINK("#",""), HYPERLINK(CONCATENATE("#Metadata!", ADDRESS(INDEX($AJ$2:$AJ$1001,MATCH(ROWS($AH$2:AH655),$AH$2:$AH$1001,0),0), INDEX($AO$1004:$BQ$1004,1,MATCH(COLUMNS($AO$1006:BM1006),$AO$1006:$BQ$1006,0)))),"Fix")))</f>
        <v>#N/A</v>
      </c>
      <c r="AA655" s="5" t="e">
        <f ca="1">IF(OR(INDEX($AI$2:$AI$1001,MATCH(ROWS($AH$2:AH655),$AH$2:$AH$1001,0),1)&gt;=100000,INDEX($AO$1005:$BQ$1005,1,MATCH(COLUMNS($AO$1006:BN1006),$AO$1006:$BQ$1006,0))&gt;=100000), " ",IF(INDEX($AO$2:$BQ$1001,MATCH(ROWS($AH$2:AH655),$AH$2:$AH$1001,0),MATCH(COLUMNS($AO$1006:BN1006),$AO$1006:$BQ$1006,0)), HYPERLINK("#",""), HYPERLINK(CONCATENATE("#Metadata!", ADDRESS(INDEX($AJ$2:$AJ$1001,MATCH(ROWS($AH$2:AH655),$AH$2:$AH$1001,0),0), INDEX($AO$1004:$BQ$1004,1,MATCH(COLUMNS($AO$1006:BN1006),$AO$1006:$BQ$1006,0)))),"Fix")))</f>
        <v>#N/A</v>
      </c>
      <c r="AB655" s="5" t="e">
        <f ca="1">IF(OR(INDEX($AI$2:$AI$1001,MATCH(ROWS($AH$2:AH655),$AH$2:$AH$1001,0),1)&gt;=100000,INDEX($AO$1005:$BQ$1005,1,MATCH(COLUMNS($AO$1006:BO1006),$AO$1006:$BQ$1006,0))&gt;=100000), " ",IF(INDEX($AO$2:$BQ$1001,MATCH(ROWS($AH$2:AH655),$AH$2:$AH$1001,0),MATCH(COLUMNS($AO$1006:BO1006),$AO$1006:$BQ$1006,0)), HYPERLINK("#",""), HYPERLINK(CONCATENATE("#Metadata!", ADDRESS(INDEX($AJ$2:$AJ$1001,MATCH(ROWS($AH$2:AH655),$AH$2:$AH$1001,0),0), INDEX($AO$1004:$BQ$1004,1,MATCH(COLUMNS($AO$1006:BO1006),$AO$1006:$BQ$1006,0)))),"Fix")))</f>
        <v>#N/A</v>
      </c>
      <c r="AC655" s="5" t="e">
        <f ca="1">IF(OR(INDEX($AI$2:$AI$1001,MATCH(ROWS($AH$2:AH655),$AH$2:$AH$1001,0),1)&gt;=100000,INDEX($AO$1005:$BQ$1005,1,MATCH(COLUMNS($AO$1006:BP1006),$AO$1006:$BQ$1006,0))&gt;=100000), " ",IF(INDEX($AO$2:$BQ$1001,MATCH(ROWS($AH$2:AH655),$AH$2:$AH$1001,0),MATCH(COLUMNS($AO$1006:BP1006),$AO$1006:$BQ$1006,0)), HYPERLINK("#",""), HYPERLINK(CONCATENATE("#Metadata!", ADDRESS(INDEX($AJ$2:$AJ$1001,MATCH(ROWS($AH$2:AH655),$AH$2:$AH$1001,0),0), INDEX($AO$1004:$BQ$1004,1,MATCH(COLUMNS($AO$1006:BP1006),$AO$1006:$BQ$1006,0)))),"Fix")))</f>
        <v>#N/A</v>
      </c>
      <c r="AD655" s="5" t="e">
        <f ca="1">IF(OR(INDEX($AI$2:$AI$1001,MATCH(ROWS($AH$2:AH655),$AH$2:$AH$1001,0),1)&gt;=100000,INDEX($AO$1005:$BQ$1005,1,MATCH(COLUMNS($AO$1006:BQ1006),$AO$1006:$BQ$1006,0))&gt;=100000), " ",IF(INDEX($AO$2:$BQ$1001,MATCH(ROWS($AH$2:AH655),$AH$2:$AH$1001,0),MATCH(COLUMNS($AO$1006:BQ1006),$AO$1006:$BQ$1006,0)), HYPERLINK("#",""), HYPERLINK(CONCATENATE("#Metadata!", ADDRESS(INDEX($AJ$2:$AJ$1001,MATCH(ROWS($AH$2:AH655),$AH$2:$AH$1001,0),0), INDEX($AO$1004:$BQ$1004,1,MATCH(COLUMNS($AO$1006:BQ1006),$AO$1006:$BQ$1006,0)))),"Fix")))</f>
        <v>#REF!</v>
      </c>
      <c r="AH655">
        <f ca="1"/>
        <v>652</v>
      </c>
      <c r="AI655">
        <v>100655</v>
      </c>
      <c r="AJ655">
        <v>655</v>
      </c>
      <c r="AK655" t="b">
        <f t="shared" si="10"/>
        <v>1</v>
      </c>
      <c r="AL655" t="b">
        <f>COUNTBLANK(Metadata!B655:AD655)=COLUMNS(Metadata!B655:AD655)</f>
        <v>1</v>
      </c>
      <c r="AM655" t="str">
        <v/>
      </c>
      <c r="AO655" t="b">
        <f ca="1">AND(IF(Metadata!B655="",FALSE,TRUE),COUNTIF(Metadata!B:B, Metadata!B655) = 1,NOT(ISERROR(SUMPRODUCT(SEARCH(MID(Metadata!B655,ROW(INDIRECT("1:"&amp;LEN(Metadata!B655))), 1),"0123456789abcdefghijklmnopqrstuvwxyzABCDEFGHIJKLMNOPQRSTUVWXYZ.")))))</f>
        <v>0</v>
      </c>
      <c r="AP655" t="b">
        <f>IF(Metadata!C655="",FALSE,TRUE)</f>
        <v>0</v>
      </c>
      <c r="AQ655" t="b">
        <f>IF(Metadata!D655="",FALSE,TRUE)</f>
        <v>0</v>
      </c>
      <c r="AR655" t="b">
        <f ca="1">OR(AND(IF(Metadata!E655="",FALSE,TRUE),OR(EXACT(Metadata!E655,"not collected"),EXACT(Metadata!E655,"not provided"),EXACT(Metadata!E655,"restricted access"))),AND(IF(Metadata!E655="",FALSE,TRUE),AND(AND(IFERROR(INT(LEFT(Metadata!E655,4))&gt;1900,FALSE),IFERROR(INT(LEFT(Metadata!E655,4))&lt;=YEAR(NOW()),FALSE)), OR(MID(Metadata!E655,5,1)="", AND(AND(MID(Metadata!E655,5,1)="-",IFERROR(INT(MID(Metadata!E655,6,1))&gt;=0,FALSE),IFERROR(INT(MID(Metadata!E655,6,1))&lt;=1,FALSE),NOT(MID(Metadata!E655,7,1)=""),IFERROR(INT(MID(Metadata!E655,6,2))&gt;=1,FALSE),IFERROR(INT(MID(Metadata!E655,6,2))&lt;=12,FALSE)), OR(MID(Metadata!E655,8,1)="", AND(AND(MID(Metadata!E655,8,1)="-",IFERROR(INT(MID(Metadata!E655,9,1))&gt;=0,FALSE),IFERROR(INT(MID(Metadata!E655,9,1))&lt;=3,FALSE),NOT(MID(Metadata!E655,10,1)=""),IFERROR(INT(MID(Metadata!E655,9,2))&gt;=1,FALSE),IFERROR(INT(MID(Metadata!E655,9,2))&lt;=31,FALSE)), OR(MID(Metadata!E655,11,1)="", AND(AND(MID(Metadata!E655,11,1)=" ",IFERROR(INT(MID(Metadata!E655,12,1))&gt;=0,FALSE),IFERROR(INT(MID(Metadata!E655,12,1))&lt;=2,FALSE),NOT(MID(Metadata!E655,13,1)=""),IFERROR(INT(MID(Metadata!E655,12,2))&gt;=0,FALSE),IFERROR(INT(MID(Metadata!E655,12,2))&lt;=23,FALSE)), OR(MID(Metadata!E655,14,1)="", AND(AND(MID(Metadata!E655,14,1)=":",IFERROR(INT(MID(Metadata!E655,15,1))&gt;=0,FALSE),IFERROR(INT(MID(Metadata!E655,15,1))&lt;=5,FALSE),NOT(MID(Metadata!E655,16,1)=""),IFERROR(INT(MID(Metadata!E655,15,2))&gt;=0,FALSE),IFERROR(INT(MID(Metadata!E655,15,2))&lt;=59,FALSE)), OR(MID(Metadata!E655,17,1)="", AND(AND(MID(Metadata!E655,17,1)=":",IFERROR(INT(MID(Metadata!E655,18,1))&gt;=0,FALSE),IFERROR(INT(MID(Metadata!E655,18,1))&lt;=5,FALSE),NOT(MID(Metadata!E655,19,1)=""),IFERROR(INT(MID(Metadata!E655,18,2))&gt;=0,FALSE),IFERROR(INT(MID(Metadata!E655,18,2))&lt;=59,FALSE)), LEN(Metadata!E655)&lt;=19)))))))))))))</f>
        <v>0</v>
      </c>
      <c r="AS655" t="b">
        <f>IF(Metadata!F655="",FALSE,TRUE)</f>
        <v>0</v>
      </c>
      <c r="AT655" t="b">
        <f>OR(AND(IF(Metadata!G655="",FALSE,TRUE),OR(EXACT(Metadata!G655,"not collected"),EXACT(Metadata!G655,"not provided"))),AND(IF(Metadata!G655="",FALSE,TRUE),OR(EXACT(Metadata!G655,"TRUE"),EXACT(Metadata!G655,"FALSE"))))</f>
        <v>0</v>
      </c>
      <c r="AU655" t="b">
        <f>OR(AND(IF(Metadata!H655="",FALSE,TRUE),OR(EXACT(Metadata!H655,"not collected"),EXACT(Metadata!H655,"not provided"),EXACT(Metadata!H655,"restricted access"))),AND(IF(Metadata!H655="",FALSE,ISNUMBER(VALUE(Metadata!H655))),Metadata!H655&gt;=-413))</f>
        <v>0</v>
      </c>
      <c r="AV655" t="b">
        <f>AND(IF(Metadata!I655="",FALSE,TRUE),EXACT(Metadata!I655,"meters"))</f>
        <v>0</v>
      </c>
      <c r="AW655" t="b">
        <f>AND(IF(Metadata!J655="",FALSE,TRUE),EXACT(Metadata!J655,"free-living"))</f>
        <v>0</v>
      </c>
      <c r="AX655" t="b">
        <f>AND(IF(Metadata!K655="",FALSE,TRUE),OR(EXACT(Metadata!K655,"saline"),EXACT(Metadata!K655,"non-saline")))</f>
        <v>0</v>
      </c>
      <c r="AY655" t="b">
        <f>AND(IF(Metadata!L655="",FALSE,TRUE),OR(EXACT(Metadata!L655,"sub-surface (non-saline)"),EXACT(Metadata!L655,"surface (non-saline)"),EXACT(Metadata!L655,"water (non-saline)"),EXACT(Metadata!L655,"soil (non-saline)"),EXACT(Metadata!L655,"aerosol (non-saline)"),EXACT(Metadata!L655,"sediment (non-saline)"),EXACT(Metadata!L655,"surface (saline)"),EXACT(Metadata!L655,"water (saline)"),EXACT(Metadata!L655,"hypersaline (saline)"),EXACT(Metadata!L655,"aerosol (saline)"),EXACT(Metadata!L655,"sediment (saline)")))</f>
        <v>0</v>
      </c>
      <c r="AZ655" t="b">
        <f>IF(Metadata!M655="",FALSE,TRUE)</f>
        <v>0</v>
      </c>
      <c r="BA655" t="b">
        <f>IF(Metadata!N655="",FALSE,TRUE)</f>
        <v>0</v>
      </c>
      <c r="BB655" t="b">
        <f>IF(Metadata!O655="",FALSE,TRUE)</f>
        <v>0</v>
      </c>
      <c r="BC655" t="b">
        <f>AND(IF(Metadata!P655="",FALSE,TRUE),OR(EXACT(Metadata!P655,"air"),EXACT(Metadata!P655,"microbial mat/biofilm"),EXACT(Metadata!P655,"misc environment"),EXACT(Metadata!P655,"sediment"),EXACT(Metadata!P655,"soil"),EXACT(Metadata!P655,"wastewater/sludge"),EXACT(Metadata!P655,"water")))</f>
        <v>0</v>
      </c>
      <c r="BD655" t="b">
        <f>IF(Metadata!Q655="",FALSE,TRUE)</f>
        <v>0</v>
      </c>
      <c r="BE655" t="b">
        <f>IF(Metadata!R655="",FALSE,TRUE)</f>
        <v>0</v>
      </c>
      <c r="BF655" t="b">
        <f>OR(AND(IF(Metadata!S655="",FALSE,TRUE),OR(EXACT(Metadata!S655,"not collected"),EXACT(Metadata!S655,"not provided"),EXACT(Metadata!S655,"restricted access"))),AND(IF(Metadata!S655="",FALSE,ISNUMBER(VALUE(Metadata!S655))),Metadata!S655&gt;=-90,Metadata!S655&lt;=90))</f>
        <v>0</v>
      </c>
      <c r="BG655" t="b">
        <f>AND(IF(Metadata!T655="",FALSE,TRUE),EXACT(Metadata!T655,"Decimal degrees"))</f>
        <v>0</v>
      </c>
      <c r="BH655" t="b">
        <f>OR(AND(IF(Metadata!U655="",FALSE,TRUE),OR(EXACT(Metadata!U655,"not applicable"),EXACT(Metadata!U655,"not collected"))),IF(Metadata!U655="",FALSE,TRUE))</f>
        <v>0</v>
      </c>
      <c r="BI655" t="b">
        <f>OR(AND(IF(Metadata!V655="",FALSE,TRUE),OR(EXACT(Metadata!V655,"not collected"),EXACT(Metadata!V655,"not provided"),EXACT(Metadata!V655,"restricted access"))),AND(IF(Metadata!V655="",FALSE,ISNUMBER(VALUE(Metadata!V655))),Metadata!V655&gt;=-180,Metadata!V655&lt;=180))</f>
        <v>0</v>
      </c>
      <c r="BJ655" t="b">
        <f>AND(IF(Metadata!W655="",FALSE,TRUE),EXACT(Metadata!W655,"Decimal degrees"))</f>
        <v>0</v>
      </c>
      <c r="BK655" t="b">
        <f>IF(Metadata!X655="",FALSE,TRUE)</f>
        <v>0</v>
      </c>
      <c r="BL655" t="b">
        <f>OR(AND(IF(Metadata!Y655="",FALSE,TRUE),OR(EXACT(Metadata!Y655,"not collected"),EXACT(Metadata!Y655,"not provided"),EXACT(Metadata!Y655,"restricted access"))),AND(IF(Metadata!Y655="",FALSE,TRUE),OR(EXACT(Metadata!Y655,"TRUE"),EXACT(Metadata!Y655,"FALSE"))))</f>
        <v>0</v>
      </c>
      <c r="BM655" t="b">
        <f>OR(AND(IF(Metadata!Z655="",FALSE,TRUE),EXACT(Metadata!Z655,"not applicable")),AND(IF(Metadata!Z655="",FALSE,TRUE),OR(EXACT(Metadata!Z655,"beer"),EXACT(Metadata!Z655,"cheese"),EXACT(Metadata!Z655,"fresh water"),EXACT(Metadata!Z655,"marine sediment"),EXACT(Metadata!Z655,"sea water"),EXACT(Metadata!Z655,"sediment"),EXACT(Metadata!Z655,"soil"),EXACT(Metadata!Z655,"waste water"))))</f>
        <v>0</v>
      </c>
      <c r="BN655" t="b">
        <f>AND(IF(Metadata!AA655="",FALSE,TRUE),EXACT(Metadata!AA655,"metagenome"))</f>
        <v>0</v>
      </c>
      <c r="BO655" t="b">
        <f>AND(IF(Metadata!AB655="",FALSE,TRUE),EXACT(Metadata!AB655,"256318"))</f>
        <v>0</v>
      </c>
      <c r="BP655" t="b">
        <f>IF(Metadata!AC655="",FALSE,TRUE)</f>
        <v>0</v>
      </c>
      <c r="BQ655" t="b">
        <f>IF(Metadata!AD655="",FALSE,TRUE)</f>
        <v>0</v>
      </c>
    </row>
    <row r="656" spans="1:69" x14ac:dyDescent="0.2">
      <c r="A656" s="4" t="e">
        <f ca="1">IF(B656=" "," ",HYPERLINK(CONCATENATE("#metadata!",ADDRESS(INDEX($AJ$2:$AJ$1001,MATCH(ROWS($AH$2:AH656),$AH$2:$AH$1001,0),0),2)),INDEX($AM$2:$AM$1001,MATCH(ROWS($AH$2:AH656),$AH$2:$AH$1001,0),0)))</f>
        <v>#N/A</v>
      </c>
      <c r="B656" s="5" t="e">
        <f ca="1">IF(OR(INDEX($AI$2:$AI$1001,MATCH(ROWS($AH$2:AH656),$AH$2:$AH$1001,0),1)&gt;=100000,INDEX($AO$1005:$BQ$1005,1,MATCH(COLUMNS($AO$1006:AO1006),$AO$1006:$BQ$1006,0))&gt;=100000), " ",IF(INDEX($AO$2:$BQ$1001,MATCH(ROWS($AH$2:AH656),$AH$2:$AH$1001,0),MATCH(COLUMNS($AO$1006:AO1006),$AO$1006:$BQ$1006,0)), HYPERLINK("#",""), HYPERLINK(CONCATENATE("#Metadata!", ADDRESS(INDEX($AJ$2:$AJ$1001,MATCH(ROWS($AH$2:AH656),$AH$2:$AH$1001,0),0), INDEX($AO$1004:$BQ$1004,1,MATCH(COLUMNS($AO$1006:AO1006),$AO$1006:$BQ$1006,0)))),"Fix")))</f>
        <v>#N/A</v>
      </c>
      <c r="C656" s="5" t="e">
        <f ca="1">IF(OR(INDEX($AI$2:$AI$1001,MATCH(ROWS($AH$2:AH656),$AH$2:$AH$1001,0),1)&gt;=100000,INDEX($AO$1005:$BQ$1005,1,MATCH(COLUMNS($AO$1006:AP1006),$AO$1006:$BQ$1006,0))&gt;=100000), " ",IF(INDEX($AO$2:$BQ$1001,MATCH(ROWS($AH$2:AH656),$AH$2:$AH$1001,0),MATCH(COLUMNS($AO$1006:AP1006),$AO$1006:$BQ$1006,0)), HYPERLINK("#",""), HYPERLINK(CONCATENATE("#Metadata!", ADDRESS(INDEX($AJ$2:$AJ$1001,MATCH(ROWS($AH$2:AH656),$AH$2:$AH$1001,0),0), INDEX($AO$1004:$BQ$1004,1,MATCH(COLUMNS($AO$1006:AP1006),$AO$1006:$BQ$1006,0)))),"Fix")))</f>
        <v>#N/A</v>
      </c>
      <c r="D656" s="5" t="e">
        <f ca="1">IF(OR(INDEX($AI$2:$AI$1001,MATCH(ROWS($AH$2:AH656),$AH$2:$AH$1001,0),1)&gt;=100000,INDEX($AO$1005:$BQ$1005,1,MATCH(COLUMNS($AO$1006:AQ1006),$AO$1006:$BQ$1006,0))&gt;=100000), " ",IF(INDEX($AO$2:$BQ$1001,MATCH(ROWS($AH$2:AH656),$AH$2:$AH$1001,0),MATCH(COLUMNS($AO$1006:AQ1006),$AO$1006:$BQ$1006,0)), HYPERLINK("#",""), HYPERLINK(CONCATENATE("#Metadata!", ADDRESS(INDEX($AJ$2:$AJ$1001,MATCH(ROWS($AH$2:AH656),$AH$2:$AH$1001,0),0), INDEX($AO$1004:$BQ$1004,1,MATCH(COLUMNS($AO$1006:AQ1006),$AO$1006:$BQ$1006,0)))),"Fix")))</f>
        <v>#N/A</v>
      </c>
      <c r="E656" s="5" t="e">
        <f ca="1">IF(OR(INDEX($AI$2:$AI$1001,MATCH(ROWS($AH$2:AH656),$AH$2:$AH$1001,0),1)&gt;=100000,INDEX($AO$1005:$BQ$1005,1,MATCH(COLUMNS($AO$1006:AR1006),$AO$1006:$BQ$1006,0))&gt;=100000), " ",IF(INDEX($AO$2:$BQ$1001,MATCH(ROWS($AH$2:AH656),$AH$2:$AH$1001,0),MATCH(COLUMNS($AO$1006:AR1006),$AO$1006:$BQ$1006,0)), HYPERLINK("#",""), HYPERLINK(CONCATENATE("#Metadata!", ADDRESS(INDEX($AJ$2:$AJ$1001,MATCH(ROWS($AH$2:AH656),$AH$2:$AH$1001,0),0), INDEX($AO$1004:$BQ$1004,1,MATCH(COLUMNS($AO$1006:AR1006),$AO$1006:$BQ$1006,0)))),"Fix")))</f>
        <v>#N/A</v>
      </c>
      <c r="F656" s="5" t="e">
        <f ca="1">IF(OR(INDEX($AI$2:$AI$1001,MATCH(ROWS($AH$2:AH656),$AH$2:$AH$1001,0),1)&gt;=100000,INDEX($AO$1005:$BQ$1005,1,MATCH(COLUMNS($AO$1006:AS1006),$AO$1006:$BQ$1006,0))&gt;=100000), " ",IF(INDEX($AO$2:$BQ$1001,MATCH(ROWS($AH$2:AH656),$AH$2:$AH$1001,0),MATCH(COLUMNS($AO$1006:AS1006),$AO$1006:$BQ$1006,0)), HYPERLINK("#",""), HYPERLINK(CONCATENATE("#Metadata!", ADDRESS(INDEX($AJ$2:$AJ$1001,MATCH(ROWS($AH$2:AH656),$AH$2:$AH$1001,0),0), INDEX($AO$1004:$BQ$1004,1,MATCH(COLUMNS($AO$1006:AS1006),$AO$1006:$BQ$1006,0)))),"Fix")))</f>
        <v>#N/A</v>
      </c>
      <c r="G656" s="5" t="e">
        <f ca="1">IF(OR(INDEX($AI$2:$AI$1001,MATCH(ROWS($AH$2:AH656),$AH$2:$AH$1001,0),1)&gt;=100000,INDEX($AO$1005:$BQ$1005,1,MATCH(COLUMNS($AO$1006:AT1006),$AO$1006:$BQ$1006,0))&gt;=100000), " ",IF(INDEX($AO$2:$BQ$1001,MATCH(ROWS($AH$2:AH656),$AH$2:$AH$1001,0),MATCH(COLUMNS($AO$1006:AT1006),$AO$1006:$BQ$1006,0)), HYPERLINK("#",""), HYPERLINK(CONCATENATE("#Metadata!", ADDRESS(INDEX($AJ$2:$AJ$1001,MATCH(ROWS($AH$2:AH656),$AH$2:$AH$1001,0),0), INDEX($AO$1004:$BQ$1004,1,MATCH(COLUMNS($AO$1006:AT1006),$AO$1006:$BQ$1006,0)))),"Fix")))</f>
        <v>#N/A</v>
      </c>
      <c r="H656" s="5" t="e">
        <f ca="1">IF(OR(INDEX($AI$2:$AI$1001,MATCH(ROWS($AH$2:AH656),$AH$2:$AH$1001,0),1)&gt;=100000,INDEX($AO$1005:$BQ$1005,1,MATCH(COLUMNS($AO$1006:AU1006),$AO$1006:$BQ$1006,0))&gt;=100000), " ",IF(INDEX($AO$2:$BQ$1001,MATCH(ROWS($AH$2:AH656),$AH$2:$AH$1001,0),MATCH(COLUMNS($AO$1006:AU1006),$AO$1006:$BQ$1006,0)), HYPERLINK("#",""), HYPERLINK(CONCATENATE("#Metadata!", ADDRESS(INDEX($AJ$2:$AJ$1001,MATCH(ROWS($AH$2:AH656),$AH$2:$AH$1001,0),0), INDEX($AO$1004:$BQ$1004,1,MATCH(COLUMNS($AO$1006:AU1006),$AO$1006:$BQ$1006,0)))),"Fix")))</f>
        <v>#N/A</v>
      </c>
      <c r="I656" s="5" t="e">
        <f ca="1">IF(OR(INDEX($AI$2:$AI$1001,MATCH(ROWS($AH$2:AH656),$AH$2:$AH$1001,0),1)&gt;=100000,INDEX($AO$1005:$BQ$1005,1,MATCH(COLUMNS($AO$1006:AV1006),$AO$1006:$BQ$1006,0))&gt;=100000), " ",IF(INDEX($AO$2:$BQ$1001,MATCH(ROWS($AH$2:AH656),$AH$2:$AH$1001,0),MATCH(COLUMNS($AO$1006:AV1006),$AO$1006:$BQ$1006,0)), HYPERLINK("#",""), HYPERLINK(CONCATENATE("#Metadata!", ADDRESS(INDEX($AJ$2:$AJ$1001,MATCH(ROWS($AH$2:AH656),$AH$2:$AH$1001,0),0), INDEX($AO$1004:$BQ$1004,1,MATCH(COLUMNS($AO$1006:AV1006),$AO$1006:$BQ$1006,0)))),"Fix")))</f>
        <v>#N/A</v>
      </c>
      <c r="J656" s="5" t="e">
        <f ca="1">IF(OR(INDEX($AI$2:$AI$1001,MATCH(ROWS($AH$2:AH656),$AH$2:$AH$1001,0),1)&gt;=100000,INDEX($AO$1005:$BQ$1005,1,MATCH(COLUMNS($AO$1006:AW1006),$AO$1006:$BQ$1006,0))&gt;=100000), " ",IF(INDEX($AO$2:$BQ$1001,MATCH(ROWS($AH$2:AH656),$AH$2:$AH$1001,0),MATCH(COLUMNS($AO$1006:AW1006),$AO$1006:$BQ$1006,0)), HYPERLINK("#",""), HYPERLINK(CONCATENATE("#Metadata!", ADDRESS(INDEX($AJ$2:$AJ$1001,MATCH(ROWS($AH$2:AH656),$AH$2:$AH$1001,0),0), INDEX($AO$1004:$BQ$1004,1,MATCH(COLUMNS($AO$1006:AW1006),$AO$1006:$BQ$1006,0)))),"Fix")))</f>
        <v>#N/A</v>
      </c>
      <c r="K656" s="5" t="e">
        <f ca="1">IF(OR(INDEX($AI$2:$AI$1001,MATCH(ROWS($AH$2:AH656),$AH$2:$AH$1001,0),1)&gt;=100000,INDEX($AO$1005:$BQ$1005,1,MATCH(COLUMNS($AO$1006:AX1006),$AO$1006:$BQ$1006,0))&gt;=100000), " ",IF(INDEX($AO$2:$BQ$1001,MATCH(ROWS($AH$2:AH656),$AH$2:$AH$1001,0),MATCH(COLUMNS($AO$1006:AX1006),$AO$1006:$BQ$1006,0)), HYPERLINK("#",""), HYPERLINK(CONCATENATE("#Metadata!", ADDRESS(INDEX($AJ$2:$AJ$1001,MATCH(ROWS($AH$2:AH656),$AH$2:$AH$1001,0),0), INDEX($AO$1004:$BQ$1004,1,MATCH(COLUMNS($AO$1006:AX1006),$AO$1006:$BQ$1006,0)))),"Fix")))</f>
        <v>#N/A</v>
      </c>
      <c r="L656" s="5" t="e">
        <f ca="1">IF(OR(INDEX($AI$2:$AI$1001,MATCH(ROWS($AH$2:AH656),$AH$2:$AH$1001,0),1)&gt;=100000,INDEX($AO$1005:$BQ$1005,1,MATCH(COLUMNS($AO$1006:AY1006),$AO$1006:$BQ$1006,0))&gt;=100000), " ",IF(INDEX($AO$2:$BQ$1001,MATCH(ROWS($AH$2:AH656),$AH$2:$AH$1001,0),MATCH(COLUMNS($AO$1006:AY1006),$AO$1006:$BQ$1006,0)), HYPERLINK("#",""), HYPERLINK(CONCATENATE("#Metadata!", ADDRESS(INDEX($AJ$2:$AJ$1001,MATCH(ROWS($AH$2:AH656),$AH$2:$AH$1001,0),0), INDEX($AO$1004:$BQ$1004,1,MATCH(COLUMNS($AO$1006:AY1006),$AO$1006:$BQ$1006,0)))),"Fix")))</f>
        <v>#N/A</v>
      </c>
      <c r="M656" s="5" t="e">
        <f ca="1">IF(OR(INDEX($AI$2:$AI$1001,MATCH(ROWS($AH$2:AH656),$AH$2:$AH$1001,0),1)&gt;=100000,INDEX($AO$1005:$BQ$1005,1,MATCH(COLUMNS($AO$1006:AZ1006),$AO$1006:$BQ$1006,0))&gt;=100000), " ",IF(INDEX($AO$2:$BQ$1001,MATCH(ROWS($AH$2:AH656),$AH$2:$AH$1001,0),MATCH(COLUMNS($AO$1006:AZ1006),$AO$1006:$BQ$1006,0)), HYPERLINK("#",""), HYPERLINK(CONCATENATE("#Metadata!", ADDRESS(INDEX($AJ$2:$AJ$1001,MATCH(ROWS($AH$2:AH656),$AH$2:$AH$1001,0),0), INDEX($AO$1004:$BQ$1004,1,MATCH(COLUMNS($AO$1006:AZ1006),$AO$1006:$BQ$1006,0)))),"Fix")))</f>
        <v>#N/A</v>
      </c>
      <c r="N656" s="5" t="e">
        <f ca="1">IF(OR(INDEX($AI$2:$AI$1001,MATCH(ROWS($AH$2:AH656),$AH$2:$AH$1001,0),1)&gt;=100000,INDEX($AO$1005:$BQ$1005,1,MATCH(COLUMNS($AO$1006:BA1006),$AO$1006:$BQ$1006,0))&gt;=100000), " ",IF(INDEX($AO$2:$BQ$1001,MATCH(ROWS($AH$2:AH656),$AH$2:$AH$1001,0),MATCH(COLUMNS($AO$1006:BA1006),$AO$1006:$BQ$1006,0)), HYPERLINK("#",""), HYPERLINK(CONCATENATE("#Metadata!", ADDRESS(INDEX($AJ$2:$AJ$1001,MATCH(ROWS($AH$2:AH656),$AH$2:$AH$1001,0),0), INDEX($AO$1004:$BQ$1004,1,MATCH(COLUMNS($AO$1006:BA1006),$AO$1006:$BQ$1006,0)))),"Fix")))</f>
        <v>#N/A</v>
      </c>
      <c r="O656" s="5" t="e">
        <f ca="1">IF(OR(INDEX($AI$2:$AI$1001,MATCH(ROWS($AH$2:AH656),$AH$2:$AH$1001,0),1)&gt;=100000,INDEX($AO$1005:$BQ$1005,1,MATCH(COLUMNS($AO$1006:BB1006),$AO$1006:$BQ$1006,0))&gt;=100000), " ",IF(INDEX($AO$2:$BQ$1001,MATCH(ROWS($AH$2:AH656),$AH$2:$AH$1001,0),MATCH(COLUMNS($AO$1006:BB1006),$AO$1006:$BQ$1006,0)), HYPERLINK("#",""), HYPERLINK(CONCATENATE("#Metadata!", ADDRESS(INDEX($AJ$2:$AJ$1001,MATCH(ROWS($AH$2:AH656),$AH$2:$AH$1001,0),0), INDEX($AO$1004:$BQ$1004,1,MATCH(COLUMNS($AO$1006:BB1006),$AO$1006:$BQ$1006,0)))),"Fix")))</f>
        <v>#N/A</v>
      </c>
      <c r="P656" s="5" t="e">
        <f ca="1">IF(OR(INDEX($AI$2:$AI$1001,MATCH(ROWS($AH$2:AH656),$AH$2:$AH$1001,0),1)&gt;=100000,INDEX($AO$1005:$BQ$1005,1,MATCH(COLUMNS($AO$1006:BC1006),$AO$1006:$BQ$1006,0))&gt;=100000), " ",IF(INDEX($AO$2:$BQ$1001,MATCH(ROWS($AH$2:AH656),$AH$2:$AH$1001,0),MATCH(COLUMNS($AO$1006:BC1006),$AO$1006:$BQ$1006,0)), HYPERLINK("#",""), HYPERLINK(CONCATENATE("#Metadata!", ADDRESS(INDEX($AJ$2:$AJ$1001,MATCH(ROWS($AH$2:AH656),$AH$2:$AH$1001,0),0), INDEX($AO$1004:$BQ$1004,1,MATCH(COLUMNS($AO$1006:BC1006),$AO$1006:$BQ$1006,0)))),"Fix")))</f>
        <v>#N/A</v>
      </c>
      <c r="Q656" s="5" t="e">
        <f ca="1">IF(OR(INDEX($AI$2:$AI$1001,MATCH(ROWS($AH$2:AH656),$AH$2:$AH$1001,0),1)&gt;=100000,INDEX($AO$1005:$BQ$1005,1,MATCH(COLUMNS($AO$1006:BD1006),$AO$1006:$BQ$1006,0))&gt;=100000), " ",IF(INDEX($AO$2:$BQ$1001,MATCH(ROWS($AH$2:AH656),$AH$2:$AH$1001,0),MATCH(COLUMNS($AO$1006:BD1006),$AO$1006:$BQ$1006,0)), HYPERLINK("#",""), HYPERLINK(CONCATENATE("#Metadata!", ADDRESS(INDEX($AJ$2:$AJ$1001,MATCH(ROWS($AH$2:AH656),$AH$2:$AH$1001,0),0), INDEX($AO$1004:$BQ$1004,1,MATCH(COLUMNS($AO$1006:BD1006),$AO$1006:$BQ$1006,0)))),"Fix")))</f>
        <v>#N/A</v>
      </c>
      <c r="R656" s="5" t="e">
        <f ca="1">IF(OR(INDEX($AI$2:$AI$1001,MATCH(ROWS($AH$2:AH656),$AH$2:$AH$1001,0),1)&gt;=100000,INDEX($AO$1005:$BQ$1005,1,MATCH(COLUMNS($AO$1006:BE1006),$AO$1006:$BQ$1006,0))&gt;=100000), " ",IF(INDEX($AO$2:$BQ$1001,MATCH(ROWS($AH$2:AH656),$AH$2:$AH$1001,0),MATCH(COLUMNS($AO$1006:BE1006),$AO$1006:$BQ$1006,0)), HYPERLINK("#",""), HYPERLINK(CONCATENATE("#Metadata!", ADDRESS(INDEX($AJ$2:$AJ$1001,MATCH(ROWS($AH$2:AH656),$AH$2:$AH$1001,0),0), INDEX($AO$1004:$BQ$1004,1,MATCH(COLUMNS($AO$1006:BE1006),$AO$1006:$BQ$1006,0)))),"Fix")))</f>
        <v>#N/A</v>
      </c>
      <c r="S656" s="5" t="e">
        <f ca="1">IF(OR(INDEX($AI$2:$AI$1001,MATCH(ROWS($AH$2:AH656),$AH$2:$AH$1001,0),1)&gt;=100000,INDEX($AO$1005:$BQ$1005,1,MATCH(COLUMNS($AO$1006:BF1006),$AO$1006:$BQ$1006,0))&gt;=100000), " ",IF(INDEX($AO$2:$BQ$1001,MATCH(ROWS($AH$2:AH656),$AH$2:$AH$1001,0),MATCH(COLUMNS($AO$1006:BF1006),$AO$1006:$BQ$1006,0)), HYPERLINK("#",""), HYPERLINK(CONCATENATE("#Metadata!", ADDRESS(INDEX($AJ$2:$AJ$1001,MATCH(ROWS($AH$2:AH656),$AH$2:$AH$1001,0),0), INDEX($AO$1004:$BQ$1004,1,MATCH(COLUMNS($AO$1006:BF1006),$AO$1006:$BQ$1006,0)))),"Fix")))</f>
        <v>#N/A</v>
      </c>
      <c r="T656" s="5" t="e">
        <f ca="1">IF(OR(INDEX($AI$2:$AI$1001,MATCH(ROWS($AH$2:AH656),$AH$2:$AH$1001,0),1)&gt;=100000,INDEX($AO$1005:$BQ$1005,1,MATCH(COLUMNS($AO$1006:BG1006),$AO$1006:$BQ$1006,0))&gt;=100000), " ",IF(INDEX($AO$2:$BQ$1001,MATCH(ROWS($AH$2:AH656),$AH$2:$AH$1001,0),MATCH(COLUMNS($AO$1006:BG1006),$AO$1006:$BQ$1006,0)), HYPERLINK("#",""), HYPERLINK(CONCATENATE("#Metadata!", ADDRESS(INDEX($AJ$2:$AJ$1001,MATCH(ROWS($AH$2:AH656),$AH$2:$AH$1001,0),0), INDEX($AO$1004:$BQ$1004,1,MATCH(COLUMNS($AO$1006:BG1006),$AO$1006:$BQ$1006,0)))),"Fix")))</f>
        <v>#N/A</v>
      </c>
      <c r="U656" s="5" t="e">
        <f ca="1">IF(OR(INDEX($AI$2:$AI$1001,MATCH(ROWS($AH$2:AH656),$AH$2:$AH$1001,0),1)&gt;=100000,INDEX($AO$1005:$BQ$1005,1,MATCH(COLUMNS($AO$1006:BH1006),$AO$1006:$BQ$1006,0))&gt;=100000), " ",IF(INDEX($AO$2:$BQ$1001,MATCH(ROWS($AH$2:AH656),$AH$2:$AH$1001,0),MATCH(COLUMNS($AO$1006:BH1006),$AO$1006:$BQ$1006,0)), HYPERLINK("#",""), HYPERLINK(CONCATENATE("#Metadata!", ADDRESS(INDEX($AJ$2:$AJ$1001,MATCH(ROWS($AH$2:AH656),$AH$2:$AH$1001,0),0), INDEX($AO$1004:$BQ$1004,1,MATCH(COLUMNS($AO$1006:BH1006),$AO$1006:$BQ$1006,0)))),"Fix")))</f>
        <v>#N/A</v>
      </c>
      <c r="V656" s="5" t="e">
        <f ca="1">IF(OR(INDEX($AI$2:$AI$1001,MATCH(ROWS($AH$2:AH656),$AH$2:$AH$1001,0),1)&gt;=100000,INDEX($AO$1005:$BQ$1005,1,MATCH(COLUMNS($AO$1006:BI1006),$AO$1006:$BQ$1006,0))&gt;=100000), " ",IF(INDEX($AO$2:$BQ$1001,MATCH(ROWS($AH$2:AH656),$AH$2:$AH$1001,0),MATCH(COLUMNS($AO$1006:BI1006),$AO$1006:$BQ$1006,0)), HYPERLINK("#",""), HYPERLINK(CONCATENATE("#Metadata!", ADDRESS(INDEX($AJ$2:$AJ$1001,MATCH(ROWS($AH$2:AH656),$AH$2:$AH$1001,0),0), INDEX($AO$1004:$BQ$1004,1,MATCH(COLUMNS($AO$1006:BI1006),$AO$1006:$BQ$1006,0)))),"Fix")))</f>
        <v>#N/A</v>
      </c>
      <c r="W656" s="5" t="e">
        <f ca="1">IF(OR(INDEX($AI$2:$AI$1001,MATCH(ROWS($AH$2:AH656),$AH$2:$AH$1001,0),1)&gt;=100000,INDEX($AO$1005:$BQ$1005,1,MATCH(COLUMNS($AO$1006:BJ1006),$AO$1006:$BQ$1006,0))&gt;=100000), " ",IF(INDEX($AO$2:$BQ$1001,MATCH(ROWS($AH$2:AH656),$AH$2:$AH$1001,0),MATCH(COLUMNS($AO$1006:BJ1006),$AO$1006:$BQ$1006,0)), HYPERLINK("#",""), HYPERLINK(CONCATENATE("#Metadata!", ADDRESS(INDEX($AJ$2:$AJ$1001,MATCH(ROWS($AH$2:AH656),$AH$2:$AH$1001,0),0), INDEX($AO$1004:$BQ$1004,1,MATCH(COLUMNS($AO$1006:BJ1006),$AO$1006:$BQ$1006,0)))),"Fix")))</f>
        <v>#N/A</v>
      </c>
      <c r="X656" s="5" t="e">
        <f ca="1">IF(OR(INDEX($AI$2:$AI$1001,MATCH(ROWS($AH$2:AH656),$AH$2:$AH$1001,0),1)&gt;=100000,INDEX($AO$1005:$BQ$1005,1,MATCH(COLUMNS($AO$1006:BK1006),$AO$1006:$BQ$1006,0))&gt;=100000), " ",IF(INDEX($AO$2:$BQ$1001,MATCH(ROWS($AH$2:AH656),$AH$2:$AH$1001,0),MATCH(COLUMNS($AO$1006:BK1006),$AO$1006:$BQ$1006,0)), HYPERLINK("#",""), HYPERLINK(CONCATENATE("#Metadata!", ADDRESS(INDEX($AJ$2:$AJ$1001,MATCH(ROWS($AH$2:AH656),$AH$2:$AH$1001,0),0), INDEX($AO$1004:$BQ$1004,1,MATCH(COLUMNS($AO$1006:BK1006),$AO$1006:$BQ$1006,0)))),"Fix")))</f>
        <v>#N/A</v>
      </c>
      <c r="Y656" s="5" t="e">
        <f ca="1">IF(OR(INDEX($AI$2:$AI$1001,MATCH(ROWS($AH$2:AH656),$AH$2:$AH$1001,0),1)&gt;=100000,INDEX($AO$1005:$BQ$1005,1,MATCH(COLUMNS($AO$1006:BL1006),$AO$1006:$BQ$1006,0))&gt;=100000), " ",IF(INDEX($AO$2:$BQ$1001,MATCH(ROWS($AH$2:AH656),$AH$2:$AH$1001,0),MATCH(COLUMNS($AO$1006:BL1006),$AO$1006:$BQ$1006,0)), HYPERLINK("#",""), HYPERLINK(CONCATENATE("#Metadata!", ADDRESS(INDEX($AJ$2:$AJ$1001,MATCH(ROWS($AH$2:AH656),$AH$2:$AH$1001,0),0), INDEX($AO$1004:$BQ$1004,1,MATCH(COLUMNS($AO$1006:BL1006),$AO$1006:$BQ$1006,0)))),"Fix")))</f>
        <v>#N/A</v>
      </c>
      <c r="Z656" s="5" t="e">
        <f ca="1">IF(OR(INDEX($AI$2:$AI$1001,MATCH(ROWS($AH$2:AH656),$AH$2:$AH$1001,0),1)&gt;=100000,INDEX($AO$1005:$BQ$1005,1,MATCH(COLUMNS($AO$1006:BM1006),$AO$1006:$BQ$1006,0))&gt;=100000), " ",IF(INDEX($AO$2:$BQ$1001,MATCH(ROWS($AH$2:AH656),$AH$2:$AH$1001,0),MATCH(COLUMNS($AO$1006:BM1006),$AO$1006:$BQ$1006,0)), HYPERLINK("#",""), HYPERLINK(CONCATENATE("#Metadata!", ADDRESS(INDEX($AJ$2:$AJ$1001,MATCH(ROWS($AH$2:AH656),$AH$2:$AH$1001,0),0), INDEX($AO$1004:$BQ$1004,1,MATCH(COLUMNS($AO$1006:BM1006),$AO$1006:$BQ$1006,0)))),"Fix")))</f>
        <v>#N/A</v>
      </c>
      <c r="AA656" s="5" t="e">
        <f ca="1">IF(OR(INDEX($AI$2:$AI$1001,MATCH(ROWS($AH$2:AH656),$AH$2:$AH$1001,0),1)&gt;=100000,INDEX($AO$1005:$BQ$1005,1,MATCH(COLUMNS($AO$1006:BN1006),$AO$1006:$BQ$1006,0))&gt;=100000), " ",IF(INDEX($AO$2:$BQ$1001,MATCH(ROWS($AH$2:AH656),$AH$2:$AH$1001,0),MATCH(COLUMNS($AO$1006:BN1006),$AO$1006:$BQ$1006,0)), HYPERLINK("#",""), HYPERLINK(CONCATENATE("#Metadata!", ADDRESS(INDEX($AJ$2:$AJ$1001,MATCH(ROWS($AH$2:AH656),$AH$2:$AH$1001,0),0), INDEX($AO$1004:$BQ$1004,1,MATCH(COLUMNS($AO$1006:BN1006),$AO$1006:$BQ$1006,0)))),"Fix")))</f>
        <v>#N/A</v>
      </c>
      <c r="AB656" s="5" t="e">
        <f ca="1">IF(OR(INDEX($AI$2:$AI$1001,MATCH(ROWS($AH$2:AH656),$AH$2:$AH$1001,0),1)&gt;=100000,INDEX($AO$1005:$BQ$1005,1,MATCH(COLUMNS($AO$1006:BO1006),$AO$1006:$BQ$1006,0))&gt;=100000), " ",IF(INDEX($AO$2:$BQ$1001,MATCH(ROWS($AH$2:AH656),$AH$2:$AH$1001,0),MATCH(COLUMNS($AO$1006:BO1006),$AO$1006:$BQ$1006,0)), HYPERLINK("#",""), HYPERLINK(CONCATENATE("#Metadata!", ADDRESS(INDEX($AJ$2:$AJ$1001,MATCH(ROWS($AH$2:AH656),$AH$2:$AH$1001,0),0), INDEX($AO$1004:$BQ$1004,1,MATCH(COLUMNS($AO$1006:BO1006),$AO$1006:$BQ$1006,0)))),"Fix")))</f>
        <v>#N/A</v>
      </c>
      <c r="AC656" s="5" t="e">
        <f ca="1">IF(OR(INDEX($AI$2:$AI$1001,MATCH(ROWS($AH$2:AH656),$AH$2:$AH$1001,0),1)&gt;=100000,INDEX($AO$1005:$BQ$1005,1,MATCH(COLUMNS($AO$1006:BP1006),$AO$1006:$BQ$1006,0))&gt;=100000), " ",IF(INDEX($AO$2:$BQ$1001,MATCH(ROWS($AH$2:AH656),$AH$2:$AH$1001,0),MATCH(COLUMNS($AO$1006:BP1006),$AO$1006:$BQ$1006,0)), HYPERLINK("#",""), HYPERLINK(CONCATENATE("#Metadata!", ADDRESS(INDEX($AJ$2:$AJ$1001,MATCH(ROWS($AH$2:AH656),$AH$2:$AH$1001,0),0), INDEX($AO$1004:$BQ$1004,1,MATCH(COLUMNS($AO$1006:BP1006),$AO$1006:$BQ$1006,0)))),"Fix")))</f>
        <v>#N/A</v>
      </c>
      <c r="AD656" s="5" t="e">
        <f ca="1">IF(OR(INDEX($AI$2:$AI$1001,MATCH(ROWS($AH$2:AH656),$AH$2:$AH$1001,0),1)&gt;=100000,INDEX($AO$1005:$BQ$1005,1,MATCH(COLUMNS($AO$1006:BQ1006),$AO$1006:$BQ$1006,0))&gt;=100000), " ",IF(INDEX($AO$2:$BQ$1001,MATCH(ROWS($AH$2:AH656),$AH$2:$AH$1001,0),MATCH(COLUMNS($AO$1006:BQ1006),$AO$1006:$BQ$1006,0)), HYPERLINK("#",""), HYPERLINK(CONCATENATE("#Metadata!", ADDRESS(INDEX($AJ$2:$AJ$1001,MATCH(ROWS($AH$2:AH656),$AH$2:$AH$1001,0),0), INDEX($AO$1004:$BQ$1004,1,MATCH(COLUMNS($AO$1006:BQ1006),$AO$1006:$BQ$1006,0)))),"Fix")))</f>
        <v>#REF!</v>
      </c>
      <c r="AH656">
        <f ca="1"/>
        <v>653</v>
      </c>
      <c r="AI656">
        <v>100656</v>
      </c>
      <c r="AJ656">
        <v>656</v>
      </c>
      <c r="AK656" t="b">
        <f t="shared" si="10"/>
        <v>1</v>
      </c>
      <c r="AL656" t="b">
        <f>COUNTBLANK(Metadata!B656:AD656)=COLUMNS(Metadata!B656:AD656)</f>
        <v>1</v>
      </c>
      <c r="AM656" t="str">
        <v/>
      </c>
      <c r="AO656" t="b">
        <f ca="1">AND(IF(Metadata!B656="",FALSE,TRUE),COUNTIF(Metadata!B:B, Metadata!B656) = 1,NOT(ISERROR(SUMPRODUCT(SEARCH(MID(Metadata!B656,ROW(INDIRECT("1:"&amp;LEN(Metadata!B656))), 1),"0123456789abcdefghijklmnopqrstuvwxyzABCDEFGHIJKLMNOPQRSTUVWXYZ.")))))</f>
        <v>0</v>
      </c>
      <c r="AP656" t="b">
        <f>IF(Metadata!C656="",FALSE,TRUE)</f>
        <v>0</v>
      </c>
      <c r="AQ656" t="b">
        <f>IF(Metadata!D656="",FALSE,TRUE)</f>
        <v>0</v>
      </c>
      <c r="AR656" t="b">
        <f ca="1">OR(AND(IF(Metadata!E656="",FALSE,TRUE),OR(EXACT(Metadata!E656,"not collected"),EXACT(Metadata!E656,"not provided"),EXACT(Metadata!E656,"restricted access"))),AND(IF(Metadata!E656="",FALSE,TRUE),AND(AND(IFERROR(INT(LEFT(Metadata!E656,4))&gt;1900,FALSE),IFERROR(INT(LEFT(Metadata!E656,4))&lt;=YEAR(NOW()),FALSE)), OR(MID(Metadata!E656,5,1)="", AND(AND(MID(Metadata!E656,5,1)="-",IFERROR(INT(MID(Metadata!E656,6,1))&gt;=0,FALSE),IFERROR(INT(MID(Metadata!E656,6,1))&lt;=1,FALSE),NOT(MID(Metadata!E656,7,1)=""),IFERROR(INT(MID(Metadata!E656,6,2))&gt;=1,FALSE),IFERROR(INT(MID(Metadata!E656,6,2))&lt;=12,FALSE)), OR(MID(Metadata!E656,8,1)="", AND(AND(MID(Metadata!E656,8,1)="-",IFERROR(INT(MID(Metadata!E656,9,1))&gt;=0,FALSE),IFERROR(INT(MID(Metadata!E656,9,1))&lt;=3,FALSE),NOT(MID(Metadata!E656,10,1)=""),IFERROR(INT(MID(Metadata!E656,9,2))&gt;=1,FALSE),IFERROR(INT(MID(Metadata!E656,9,2))&lt;=31,FALSE)), OR(MID(Metadata!E656,11,1)="", AND(AND(MID(Metadata!E656,11,1)=" ",IFERROR(INT(MID(Metadata!E656,12,1))&gt;=0,FALSE),IFERROR(INT(MID(Metadata!E656,12,1))&lt;=2,FALSE),NOT(MID(Metadata!E656,13,1)=""),IFERROR(INT(MID(Metadata!E656,12,2))&gt;=0,FALSE),IFERROR(INT(MID(Metadata!E656,12,2))&lt;=23,FALSE)), OR(MID(Metadata!E656,14,1)="", AND(AND(MID(Metadata!E656,14,1)=":",IFERROR(INT(MID(Metadata!E656,15,1))&gt;=0,FALSE),IFERROR(INT(MID(Metadata!E656,15,1))&lt;=5,FALSE),NOT(MID(Metadata!E656,16,1)=""),IFERROR(INT(MID(Metadata!E656,15,2))&gt;=0,FALSE),IFERROR(INT(MID(Metadata!E656,15,2))&lt;=59,FALSE)), OR(MID(Metadata!E656,17,1)="", AND(AND(MID(Metadata!E656,17,1)=":",IFERROR(INT(MID(Metadata!E656,18,1))&gt;=0,FALSE),IFERROR(INT(MID(Metadata!E656,18,1))&lt;=5,FALSE),NOT(MID(Metadata!E656,19,1)=""),IFERROR(INT(MID(Metadata!E656,18,2))&gt;=0,FALSE),IFERROR(INT(MID(Metadata!E656,18,2))&lt;=59,FALSE)), LEN(Metadata!E656)&lt;=19)))))))))))))</f>
        <v>0</v>
      </c>
      <c r="AS656" t="b">
        <f>IF(Metadata!F656="",FALSE,TRUE)</f>
        <v>0</v>
      </c>
      <c r="AT656" t="b">
        <f>OR(AND(IF(Metadata!G656="",FALSE,TRUE),OR(EXACT(Metadata!G656,"not collected"),EXACT(Metadata!G656,"not provided"))),AND(IF(Metadata!G656="",FALSE,TRUE),OR(EXACT(Metadata!G656,"TRUE"),EXACT(Metadata!G656,"FALSE"))))</f>
        <v>0</v>
      </c>
      <c r="AU656" t="b">
        <f>OR(AND(IF(Metadata!H656="",FALSE,TRUE),OR(EXACT(Metadata!H656,"not collected"),EXACT(Metadata!H656,"not provided"),EXACT(Metadata!H656,"restricted access"))),AND(IF(Metadata!H656="",FALSE,ISNUMBER(VALUE(Metadata!H656))),Metadata!H656&gt;=-413))</f>
        <v>0</v>
      </c>
      <c r="AV656" t="b">
        <f>AND(IF(Metadata!I656="",FALSE,TRUE),EXACT(Metadata!I656,"meters"))</f>
        <v>0</v>
      </c>
      <c r="AW656" t="b">
        <f>AND(IF(Metadata!J656="",FALSE,TRUE),EXACT(Metadata!J656,"free-living"))</f>
        <v>0</v>
      </c>
      <c r="AX656" t="b">
        <f>AND(IF(Metadata!K656="",FALSE,TRUE),OR(EXACT(Metadata!K656,"saline"),EXACT(Metadata!K656,"non-saline")))</f>
        <v>0</v>
      </c>
      <c r="AY656" t="b">
        <f>AND(IF(Metadata!L656="",FALSE,TRUE),OR(EXACT(Metadata!L656,"sub-surface (non-saline)"),EXACT(Metadata!L656,"surface (non-saline)"),EXACT(Metadata!L656,"water (non-saline)"),EXACT(Metadata!L656,"soil (non-saline)"),EXACT(Metadata!L656,"aerosol (non-saline)"),EXACT(Metadata!L656,"sediment (non-saline)"),EXACT(Metadata!L656,"surface (saline)"),EXACT(Metadata!L656,"water (saline)"),EXACT(Metadata!L656,"hypersaline (saline)"),EXACT(Metadata!L656,"aerosol (saline)"),EXACT(Metadata!L656,"sediment (saline)")))</f>
        <v>0</v>
      </c>
      <c r="AZ656" t="b">
        <f>IF(Metadata!M656="",FALSE,TRUE)</f>
        <v>0</v>
      </c>
      <c r="BA656" t="b">
        <f>IF(Metadata!N656="",FALSE,TRUE)</f>
        <v>0</v>
      </c>
      <c r="BB656" t="b">
        <f>IF(Metadata!O656="",FALSE,TRUE)</f>
        <v>0</v>
      </c>
      <c r="BC656" t="b">
        <f>AND(IF(Metadata!P656="",FALSE,TRUE),OR(EXACT(Metadata!P656,"air"),EXACT(Metadata!P656,"microbial mat/biofilm"),EXACT(Metadata!P656,"misc environment"),EXACT(Metadata!P656,"sediment"),EXACT(Metadata!P656,"soil"),EXACT(Metadata!P656,"wastewater/sludge"),EXACT(Metadata!P656,"water")))</f>
        <v>0</v>
      </c>
      <c r="BD656" t="b">
        <f>IF(Metadata!Q656="",FALSE,TRUE)</f>
        <v>0</v>
      </c>
      <c r="BE656" t="b">
        <f>IF(Metadata!R656="",FALSE,TRUE)</f>
        <v>0</v>
      </c>
      <c r="BF656" t="b">
        <f>OR(AND(IF(Metadata!S656="",FALSE,TRUE),OR(EXACT(Metadata!S656,"not collected"),EXACT(Metadata!S656,"not provided"),EXACT(Metadata!S656,"restricted access"))),AND(IF(Metadata!S656="",FALSE,ISNUMBER(VALUE(Metadata!S656))),Metadata!S656&gt;=-90,Metadata!S656&lt;=90))</f>
        <v>0</v>
      </c>
      <c r="BG656" t="b">
        <f>AND(IF(Metadata!T656="",FALSE,TRUE),EXACT(Metadata!T656,"Decimal degrees"))</f>
        <v>0</v>
      </c>
      <c r="BH656" t="b">
        <f>OR(AND(IF(Metadata!U656="",FALSE,TRUE),OR(EXACT(Metadata!U656,"not applicable"),EXACT(Metadata!U656,"not collected"))),IF(Metadata!U656="",FALSE,TRUE))</f>
        <v>0</v>
      </c>
      <c r="BI656" t="b">
        <f>OR(AND(IF(Metadata!V656="",FALSE,TRUE),OR(EXACT(Metadata!V656,"not collected"),EXACT(Metadata!V656,"not provided"),EXACT(Metadata!V656,"restricted access"))),AND(IF(Metadata!V656="",FALSE,ISNUMBER(VALUE(Metadata!V656))),Metadata!V656&gt;=-180,Metadata!V656&lt;=180))</f>
        <v>0</v>
      </c>
      <c r="BJ656" t="b">
        <f>AND(IF(Metadata!W656="",FALSE,TRUE),EXACT(Metadata!W656,"Decimal degrees"))</f>
        <v>0</v>
      </c>
      <c r="BK656" t="b">
        <f>IF(Metadata!X656="",FALSE,TRUE)</f>
        <v>0</v>
      </c>
      <c r="BL656" t="b">
        <f>OR(AND(IF(Metadata!Y656="",FALSE,TRUE),OR(EXACT(Metadata!Y656,"not collected"),EXACT(Metadata!Y656,"not provided"),EXACT(Metadata!Y656,"restricted access"))),AND(IF(Metadata!Y656="",FALSE,TRUE),OR(EXACT(Metadata!Y656,"TRUE"),EXACT(Metadata!Y656,"FALSE"))))</f>
        <v>0</v>
      </c>
      <c r="BM656" t="b">
        <f>OR(AND(IF(Metadata!Z656="",FALSE,TRUE),EXACT(Metadata!Z656,"not applicable")),AND(IF(Metadata!Z656="",FALSE,TRUE),OR(EXACT(Metadata!Z656,"beer"),EXACT(Metadata!Z656,"cheese"),EXACT(Metadata!Z656,"fresh water"),EXACT(Metadata!Z656,"marine sediment"),EXACT(Metadata!Z656,"sea water"),EXACT(Metadata!Z656,"sediment"),EXACT(Metadata!Z656,"soil"),EXACT(Metadata!Z656,"waste water"))))</f>
        <v>0</v>
      </c>
      <c r="BN656" t="b">
        <f>AND(IF(Metadata!AA656="",FALSE,TRUE),EXACT(Metadata!AA656,"metagenome"))</f>
        <v>0</v>
      </c>
      <c r="BO656" t="b">
        <f>AND(IF(Metadata!AB656="",FALSE,TRUE),EXACT(Metadata!AB656,"256318"))</f>
        <v>0</v>
      </c>
      <c r="BP656" t="b">
        <f>IF(Metadata!AC656="",FALSE,TRUE)</f>
        <v>0</v>
      </c>
      <c r="BQ656" t="b">
        <f>IF(Metadata!AD656="",FALSE,TRUE)</f>
        <v>0</v>
      </c>
    </row>
    <row r="657" spans="1:69" x14ac:dyDescent="0.2">
      <c r="A657" s="4" t="e">
        <f ca="1">IF(B657=" "," ",HYPERLINK(CONCATENATE("#metadata!",ADDRESS(INDEX($AJ$2:$AJ$1001,MATCH(ROWS($AH$2:AH657),$AH$2:$AH$1001,0),0),2)),INDEX($AM$2:$AM$1001,MATCH(ROWS($AH$2:AH657),$AH$2:$AH$1001,0),0)))</f>
        <v>#N/A</v>
      </c>
      <c r="B657" s="5" t="e">
        <f ca="1">IF(OR(INDEX($AI$2:$AI$1001,MATCH(ROWS($AH$2:AH657),$AH$2:$AH$1001,0),1)&gt;=100000,INDEX($AO$1005:$BQ$1005,1,MATCH(COLUMNS($AO$1006:AO1006),$AO$1006:$BQ$1006,0))&gt;=100000), " ",IF(INDEX($AO$2:$BQ$1001,MATCH(ROWS($AH$2:AH657),$AH$2:$AH$1001,0),MATCH(COLUMNS($AO$1006:AO1006),$AO$1006:$BQ$1006,0)), HYPERLINK("#",""), HYPERLINK(CONCATENATE("#Metadata!", ADDRESS(INDEX($AJ$2:$AJ$1001,MATCH(ROWS($AH$2:AH657),$AH$2:$AH$1001,0),0), INDEX($AO$1004:$BQ$1004,1,MATCH(COLUMNS($AO$1006:AO1006),$AO$1006:$BQ$1006,0)))),"Fix")))</f>
        <v>#N/A</v>
      </c>
      <c r="C657" s="5" t="e">
        <f ca="1">IF(OR(INDEX($AI$2:$AI$1001,MATCH(ROWS($AH$2:AH657),$AH$2:$AH$1001,0),1)&gt;=100000,INDEX($AO$1005:$BQ$1005,1,MATCH(COLUMNS($AO$1006:AP1006),$AO$1006:$BQ$1006,0))&gt;=100000), " ",IF(INDEX($AO$2:$BQ$1001,MATCH(ROWS($AH$2:AH657),$AH$2:$AH$1001,0),MATCH(COLUMNS($AO$1006:AP1006),$AO$1006:$BQ$1006,0)), HYPERLINK("#",""), HYPERLINK(CONCATENATE("#Metadata!", ADDRESS(INDEX($AJ$2:$AJ$1001,MATCH(ROWS($AH$2:AH657),$AH$2:$AH$1001,0),0), INDEX($AO$1004:$BQ$1004,1,MATCH(COLUMNS($AO$1006:AP1006),$AO$1006:$BQ$1006,0)))),"Fix")))</f>
        <v>#N/A</v>
      </c>
      <c r="D657" s="5" t="e">
        <f ca="1">IF(OR(INDEX($AI$2:$AI$1001,MATCH(ROWS($AH$2:AH657),$AH$2:$AH$1001,0),1)&gt;=100000,INDEX($AO$1005:$BQ$1005,1,MATCH(COLUMNS($AO$1006:AQ1006),$AO$1006:$BQ$1006,0))&gt;=100000), " ",IF(INDEX($AO$2:$BQ$1001,MATCH(ROWS($AH$2:AH657),$AH$2:$AH$1001,0),MATCH(COLUMNS($AO$1006:AQ1006),$AO$1006:$BQ$1006,0)), HYPERLINK("#",""), HYPERLINK(CONCATENATE("#Metadata!", ADDRESS(INDEX($AJ$2:$AJ$1001,MATCH(ROWS($AH$2:AH657),$AH$2:$AH$1001,0),0), INDEX($AO$1004:$BQ$1004,1,MATCH(COLUMNS($AO$1006:AQ1006),$AO$1006:$BQ$1006,0)))),"Fix")))</f>
        <v>#N/A</v>
      </c>
      <c r="E657" s="5" t="e">
        <f ca="1">IF(OR(INDEX($AI$2:$AI$1001,MATCH(ROWS($AH$2:AH657),$AH$2:$AH$1001,0),1)&gt;=100000,INDEX($AO$1005:$BQ$1005,1,MATCH(COLUMNS($AO$1006:AR1006),$AO$1006:$BQ$1006,0))&gt;=100000), " ",IF(INDEX($AO$2:$BQ$1001,MATCH(ROWS($AH$2:AH657),$AH$2:$AH$1001,0),MATCH(COLUMNS($AO$1006:AR1006),$AO$1006:$BQ$1006,0)), HYPERLINK("#",""), HYPERLINK(CONCATENATE("#Metadata!", ADDRESS(INDEX($AJ$2:$AJ$1001,MATCH(ROWS($AH$2:AH657),$AH$2:$AH$1001,0),0), INDEX($AO$1004:$BQ$1004,1,MATCH(COLUMNS($AO$1006:AR1006),$AO$1006:$BQ$1006,0)))),"Fix")))</f>
        <v>#N/A</v>
      </c>
      <c r="F657" s="5" t="e">
        <f ca="1">IF(OR(INDEX($AI$2:$AI$1001,MATCH(ROWS($AH$2:AH657),$AH$2:$AH$1001,0),1)&gt;=100000,INDEX($AO$1005:$BQ$1005,1,MATCH(COLUMNS($AO$1006:AS1006),$AO$1006:$BQ$1006,0))&gt;=100000), " ",IF(INDEX($AO$2:$BQ$1001,MATCH(ROWS($AH$2:AH657),$AH$2:$AH$1001,0),MATCH(COLUMNS($AO$1006:AS1006),$AO$1006:$BQ$1006,0)), HYPERLINK("#",""), HYPERLINK(CONCATENATE("#Metadata!", ADDRESS(INDEX($AJ$2:$AJ$1001,MATCH(ROWS($AH$2:AH657),$AH$2:$AH$1001,0),0), INDEX($AO$1004:$BQ$1004,1,MATCH(COLUMNS($AO$1006:AS1006),$AO$1006:$BQ$1006,0)))),"Fix")))</f>
        <v>#N/A</v>
      </c>
      <c r="G657" s="5" t="e">
        <f ca="1">IF(OR(INDEX($AI$2:$AI$1001,MATCH(ROWS($AH$2:AH657),$AH$2:$AH$1001,0),1)&gt;=100000,INDEX($AO$1005:$BQ$1005,1,MATCH(COLUMNS($AO$1006:AT1006),$AO$1006:$BQ$1006,0))&gt;=100000), " ",IF(INDEX($AO$2:$BQ$1001,MATCH(ROWS($AH$2:AH657),$AH$2:$AH$1001,0),MATCH(COLUMNS($AO$1006:AT1006),$AO$1006:$BQ$1006,0)), HYPERLINK("#",""), HYPERLINK(CONCATENATE("#Metadata!", ADDRESS(INDEX($AJ$2:$AJ$1001,MATCH(ROWS($AH$2:AH657),$AH$2:$AH$1001,0),0), INDEX($AO$1004:$BQ$1004,1,MATCH(COLUMNS($AO$1006:AT1006),$AO$1006:$BQ$1006,0)))),"Fix")))</f>
        <v>#N/A</v>
      </c>
      <c r="H657" s="5" t="e">
        <f ca="1">IF(OR(INDEX($AI$2:$AI$1001,MATCH(ROWS($AH$2:AH657),$AH$2:$AH$1001,0),1)&gt;=100000,INDEX($AO$1005:$BQ$1005,1,MATCH(COLUMNS($AO$1006:AU1006),$AO$1006:$BQ$1006,0))&gt;=100000), " ",IF(INDEX($AO$2:$BQ$1001,MATCH(ROWS($AH$2:AH657),$AH$2:$AH$1001,0),MATCH(COLUMNS($AO$1006:AU1006),$AO$1006:$BQ$1006,0)), HYPERLINK("#",""), HYPERLINK(CONCATENATE("#Metadata!", ADDRESS(INDEX($AJ$2:$AJ$1001,MATCH(ROWS($AH$2:AH657),$AH$2:$AH$1001,0),0), INDEX($AO$1004:$BQ$1004,1,MATCH(COLUMNS($AO$1006:AU1006),$AO$1006:$BQ$1006,0)))),"Fix")))</f>
        <v>#N/A</v>
      </c>
      <c r="I657" s="5" t="e">
        <f ca="1">IF(OR(INDEX($AI$2:$AI$1001,MATCH(ROWS($AH$2:AH657),$AH$2:$AH$1001,0),1)&gt;=100000,INDEX($AO$1005:$BQ$1005,1,MATCH(COLUMNS($AO$1006:AV1006),$AO$1006:$BQ$1006,0))&gt;=100000), " ",IF(INDEX($AO$2:$BQ$1001,MATCH(ROWS($AH$2:AH657),$AH$2:$AH$1001,0),MATCH(COLUMNS($AO$1006:AV1006),$AO$1006:$BQ$1006,0)), HYPERLINK("#",""), HYPERLINK(CONCATENATE("#Metadata!", ADDRESS(INDEX($AJ$2:$AJ$1001,MATCH(ROWS($AH$2:AH657),$AH$2:$AH$1001,0),0), INDEX($AO$1004:$BQ$1004,1,MATCH(COLUMNS($AO$1006:AV1006),$AO$1006:$BQ$1006,0)))),"Fix")))</f>
        <v>#N/A</v>
      </c>
      <c r="J657" s="5" t="e">
        <f ca="1">IF(OR(INDEX($AI$2:$AI$1001,MATCH(ROWS($AH$2:AH657),$AH$2:$AH$1001,0),1)&gt;=100000,INDEX($AO$1005:$BQ$1005,1,MATCH(COLUMNS($AO$1006:AW1006),$AO$1006:$BQ$1006,0))&gt;=100000), " ",IF(INDEX($AO$2:$BQ$1001,MATCH(ROWS($AH$2:AH657),$AH$2:$AH$1001,0),MATCH(COLUMNS($AO$1006:AW1006),$AO$1006:$BQ$1006,0)), HYPERLINK("#",""), HYPERLINK(CONCATENATE("#Metadata!", ADDRESS(INDEX($AJ$2:$AJ$1001,MATCH(ROWS($AH$2:AH657),$AH$2:$AH$1001,0),0), INDEX($AO$1004:$BQ$1004,1,MATCH(COLUMNS($AO$1006:AW1006),$AO$1006:$BQ$1006,0)))),"Fix")))</f>
        <v>#N/A</v>
      </c>
      <c r="K657" s="5" t="e">
        <f ca="1">IF(OR(INDEX($AI$2:$AI$1001,MATCH(ROWS($AH$2:AH657),$AH$2:$AH$1001,0),1)&gt;=100000,INDEX($AO$1005:$BQ$1005,1,MATCH(COLUMNS($AO$1006:AX1006),$AO$1006:$BQ$1006,0))&gt;=100000), " ",IF(INDEX($AO$2:$BQ$1001,MATCH(ROWS($AH$2:AH657),$AH$2:$AH$1001,0),MATCH(COLUMNS($AO$1006:AX1006),$AO$1006:$BQ$1006,0)), HYPERLINK("#",""), HYPERLINK(CONCATENATE("#Metadata!", ADDRESS(INDEX($AJ$2:$AJ$1001,MATCH(ROWS($AH$2:AH657),$AH$2:$AH$1001,0),0), INDEX($AO$1004:$BQ$1004,1,MATCH(COLUMNS($AO$1006:AX1006),$AO$1006:$BQ$1006,0)))),"Fix")))</f>
        <v>#N/A</v>
      </c>
      <c r="L657" s="5" t="e">
        <f ca="1">IF(OR(INDEX($AI$2:$AI$1001,MATCH(ROWS($AH$2:AH657),$AH$2:$AH$1001,0),1)&gt;=100000,INDEX($AO$1005:$BQ$1005,1,MATCH(COLUMNS($AO$1006:AY1006),$AO$1006:$BQ$1006,0))&gt;=100000), " ",IF(INDEX($AO$2:$BQ$1001,MATCH(ROWS($AH$2:AH657),$AH$2:$AH$1001,0),MATCH(COLUMNS($AO$1006:AY1006),$AO$1006:$BQ$1006,0)), HYPERLINK("#",""), HYPERLINK(CONCATENATE("#Metadata!", ADDRESS(INDEX($AJ$2:$AJ$1001,MATCH(ROWS($AH$2:AH657),$AH$2:$AH$1001,0),0), INDEX($AO$1004:$BQ$1004,1,MATCH(COLUMNS($AO$1006:AY1006),$AO$1006:$BQ$1006,0)))),"Fix")))</f>
        <v>#N/A</v>
      </c>
      <c r="M657" s="5" t="e">
        <f ca="1">IF(OR(INDEX($AI$2:$AI$1001,MATCH(ROWS($AH$2:AH657),$AH$2:$AH$1001,0),1)&gt;=100000,INDEX($AO$1005:$BQ$1005,1,MATCH(COLUMNS($AO$1006:AZ1006),$AO$1006:$BQ$1006,0))&gt;=100000), " ",IF(INDEX($AO$2:$BQ$1001,MATCH(ROWS($AH$2:AH657),$AH$2:$AH$1001,0),MATCH(COLUMNS($AO$1006:AZ1006),$AO$1006:$BQ$1006,0)), HYPERLINK("#",""), HYPERLINK(CONCATENATE("#Metadata!", ADDRESS(INDEX($AJ$2:$AJ$1001,MATCH(ROWS($AH$2:AH657),$AH$2:$AH$1001,0),0), INDEX($AO$1004:$BQ$1004,1,MATCH(COLUMNS($AO$1006:AZ1006),$AO$1006:$BQ$1006,0)))),"Fix")))</f>
        <v>#N/A</v>
      </c>
      <c r="N657" s="5" t="e">
        <f ca="1">IF(OR(INDEX($AI$2:$AI$1001,MATCH(ROWS($AH$2:AH657),$AH$2:$AH$1001,0),1)&gt;=100000,INDEX($AO$1005:$BQ$1005,1,MATCH(COLUMNS($AO$1006:BA1006),$AO$1006:$BQ$1006,0))&gt;=100000), " ",IF(INDEX($AO$2:$BQ$1001,MATCH(ROWS($AH$2:AH657),$AH$2:$AH$1001,0),MATCH(COLUMNS($AO$1006:BA1006),$AO$1006:$BQ$1006,0)), HYPERLINK("#",""), HYPERLINK(CONCATENATE("#Metadata!", ADDRESS(INDEX($AJ$2:$AJ$1001,MATCH(ROWS($AH$2:AH657),$AH$2:$AH$1001,0),0), INDEX($AO$1004:$BQ$1004,1,MATCH(COLUMNS($AO$1006:BA1006),$AO$1006:$BQ$1006,0)))),"Fix")))</f>
        <v>#N/A</v>
      </c>
      <c r="O657" s="5" t="e">
        <f ca="1">IF(OR(INDEX($AI$2:$AI$1001,MATCH(ROWS($AH$2:AH657),$AH$2:$AH$1001,0),1)&gt;=100000,INDEX($AO$1005:$BQ$1005,1,MATCH(COLUMNS($AO$1006:BB1006),$AO$1006:$BQ$1006,0))&gt;=100000), " ",IF(INDEX($AO$2:$BQ$1001,MATCH(ROWS($AH$2:AH657),$AH$2:$AH$1001,0),MATCH(COLUMNS($AO$1006:BB1006),$AO$1006:$BQ$1006,0)), HYPERLINK("#",""), HYPERLINK(CONCATENATE("#Metadata!", ADDRESS(INDEX($AJ$2:$AJ$1001,MATCH(ROWS($AH$2:AH657),$AH$2:$AH$1001,0),0), INDEX($AO$1004:$BQ$1004,1,MATCH(COLUMNS($AO$1006:BB1006),$AO$1006:$BQ$1006,0)))),"Fix")))</f>
        <v>#N/A</v>
      </c>
      <c r="P657" s="5" t="e">
        <f ca="1">IF(OR(INDEX($AI$2:$AI$1001,MATCH(ROWS($AH$2:AH657),$AH$2:$AH$1001,0),1)&gt;=100000,INDEX($AO$1005:$BQ$1005,1,MATCH(COLUMNS($AO$1006:BC1006),$AO$1006:$BQ$1006,0))&gt;=100000), " ",IF(INDEX($AO$2:$BQ$1001,MATCH(ROWS($AH$2:AH657),$AH$2:$AH$1001,0),MATCH(COLUMNS($AO$1006:BC1006),$AO$1006:$BQ$1006,0)), HYPERLINK("#",""), HYPERLINK(CONCATENATE("#Metadata!", ADDRESS(INDEX($AJ$2:$AJ$1001,MATCH(ROWS($AH$2:AH657),$AH$2:$AH$1001,0),0), INDEX($AO$1004:$BQ$1004,1,MATCH(COLUMNS($AO$1006:BC1006),$AO$1006:$BQ$1006,0)))),"Fix")))</f>
        <v>#N/A</v>
      </c>
      <c r="Q657" s="5" t="e">
        <f ca="1">IF(OR(INDEX($AI$2:$AI$1001,MATCH(ROWS($AH$2:AH657),$AH$2:$AH$1001,0),1)&gt;=100000,INDEX($AO$1005:$BQ$1005,1,MATCH(COLUMNS($AO$1006:BD1006),$AO$1006:$BQ$1006,0))&gt;=100000), " ",IF(INDEX($AO$2:$BQ$1001,MATCH(ROWS($AH$2:AH657),$AH$2:$AH$1001,0),MATCH(COLUMNS($AO$1006:BD1006),$AO$1006:$BQ$1006,0)), HYPERLINK("#",""), HYPERLINK(CONCATENATE("#Metadata!", ADDRESS(INDEX($AJ$2:$AJ$1001,MATCH(ROWS($AH$2:AH657),$AH$2:$AH$1001,0),0), INDEX($AO$1004:$BQ$1004,1,MATCH(COLUMNS($AO$1006:BD1006),$AO$1006:$BQ$1006,0)))),"Fix")))</f>
        <v>#N/A</v>
      </c>
      <c r="R657" s="5" t="e">
        <f ca="1">IF(OR(INDEX($AI$2:$AI$1001,MATCH(ROWS($AH$2:AH657),$AH$2:$AH$1001,0),1)&gt;=100000,INDEX($AO$1005:$BQ$1005,1,MATCH(COLUMNS($AO$1006:BE1006),$AO$1006:$BQ$1006,0))&gt;=100000), " ",IF(INDEX($AO$2:$BQ$1001,MATCH(ROWS($AH$2:AH657),$AH$2:$AH$1001,0),MATCH(COLUMNS($AO$1006:BE1006),$AO$1006:$BQ$1006,0)), HYPERLINK("#",""), HYPERLINK(CONCATENATE("#Metadata!", ADDRESS(INDEX($AJ$2:$AJ$1001,MATCH(ROWS($AH$2:AH657),$AH$2:$AH$1001,0),0), INDEX($AO$1004:$BQ$1004,1,MATCH(COLUMNS($AO$1006:BE1006),$AO$1006:$BQ$1006,0)))),"Fix")))</f>
        <v>#N/A</v>
      </c>
      <c r="S657" s="5" t="e">
        <f ca="1">IF(OR(INDEX($AI$2:$AI$1001,MATCH(ROWS($AH$2:AH657),$AH$2:$AH$1001,0),1)&gt;=100000,INDEX($AO$1005:$BQ$1005,1,MATCH(COLUMNS($AO$1006:BF1006),$AO$1006:$BQ$1006,0))&gt;=100000), " ",IF(INDEX($AO$2:$BQ$1001,MATCH(ROWS($AH$2:AH657),$AH$2:$AH$1001,0),MATCH(COLUMNS($AO$1006:BF1006),$AO$1006:$BQ$1006,0)), HYPERLINK("#",""), HYPERLINK(CONCATENATE("#Metadata!", ADDRESS(INDEX($AJ$2:$AJ$1001,MATCH(ROWS($AH$2:AH657),$AH$2:$AH$1001,0),0), INDEX($AO$1004:$BQ$1004,1,MATCH(COLUMNS($AO$1006:BF1006),$AO$1006:$BQ$1006,0)))),"Fix")))</f>
        <v>#N/A</v>
      </c>
      <c r="T657" s="5" t="e">
        <f ca="1">IF(OR(INDEX($AI$2:$AI$1001,MATCH(ROWS($AH$2:AH657),$AH$2:$AH$1001,0),1)&gt;=100000,INDEX($AO$1005:$BQ$1005,1,MATCH(COLUMNS($AO$1006:BG1006),$AO$1006:$BQ$1006,0))&gt;=100000), " ",IF(INDEX($AO$2:$BQ$1001,MATCH(ROWS($AH$2:AH657),$AH$2:$AH$1001,0),MATCH(COLUMNS($AO$1006:BG1006),$AO$1006:$BQ$1006,0)), HYPERLINK("#",""), HYPERLINK(CONCATENATE("#Metadata!", ADDRESS(INDEX($AJ$2:$AJ$1001,MATCH(ROWS($AH$2:AH657),$AH$2:$AH$1001,0),0), INDEX($AO$1004:$BQ$1004,1,MATCH(COLUMNS($AO$1006:BG1006),$AO$1006:$BQ$1006,0)))),"Fix")))</f>
        <v>#N/A</v>
      </c>
      <c r="U657" s="5" t="e">
        <f ca="1">IF(OR(INDEX($AI$2:$AI$1001,MATCH(ROWS($AH$2:AH657),$AH$2:$AH$1001,0),1)&gt;=100000,INDEX($AO$1005:$BQ$1005,1,MATCH(COLUMNS($AO$1006:BH1006),$AO$1006:$BQ$1006,0))&gt;=100000), " ",IF(INDEX($AO$2:$BQ$1001,MATCH(ROWS($AH$2:AH657),$AH$2:$AH$1001,0),MATCH(COLUMNS($AO$1006:BH1006),$AO$1006:$BQ$1006,0)), HYPERLINK("#",""), HYPERLINK(CONCATENATE("#Metadata!", ADDRESS(INDEX($AJ$2:$AJ$1001,MATCH(ROWS($AH$2:AH657),$AH$2:$AH$1001,0),0), INDEX($AO$1004:$BQ$1004,1,MATCH(COLUMNS($AO$1006:BH1006),$AO$1006:$BQ$1006,0)))),"Fix")))</f>
        <v>#N/A</v>
      </c>
      <c r="V657" s="5" t="e">
        <f ca="1">IF(OR(INDEX($AI$2:$AI$1001,MATCH(ROWS($AH$2:AH657),$AH$2:$AH$1001,0),1)&gt;=100000,INDEX($AO$1005:$BQ$1005,1,MATCH(COLUMNS($AO$1006:BI1006),$AO$1006:$BQ$1006,0))&gt;=100000), " ",IF(INDEX($AO$2:$BQ$1001,MATCH(ROWS($AH$2:AH657),$AH$2:$AH$1001,0),MATCH(COLUMNS($AO$1006:BI1006),$AO$1006:$BQ$1006,0)), HYPERLINK("#",""), HYPERLINK(CONCATENATE("#Metadata!", ADDRESS(INDEX($AJ$2:$AJ$1001,MATCH(ROWS($AH$2:AH657),$AH$2:$AH$1001,0),0), INDEX($AO$1004:$BQ$1004,1,MATCH(COLUMNS($AO$1006:BI1006),$AO$1006:$BQ$1006,0)))),"Fix")))</f>
        <v>#N/A</v>
      </c>
      <c r="W657" s="5" t="e">
        <f ca="1">IF(OR(INDEX($AI$2:$AI$1001,MATCH(ROWS($AH$2:AH657),$AH$2:$AH$1001,0),1)&gt;=100000,INDEX($AO$1005:$BQ$1005,1,MATCH(COLUMNS($AO$1006:BJ1006),$AO$1006:$BQ$1006,0))&gt;=100000), " ",IF(INDEX($AO$2:$BQ$1001,MATCH(ROWS($AH$2:AH657),$AH$2:$AH$1001,0),MATCH(COLUMNS($AO$1006:BJ1006),$AO$1006:$BQ$1006,0)), HYPERLINK("#",""), HYPERLINK(CONCATENATE("#Metadata!", ADDRESS(INDEX($AJ$2:$AJ$1001,MATCH(ROWS($AH$2:AH657),$AH$2:$AH$1001,0),0), INDEX($AO$1004:$BQ$1004,1,MATCH(COLUMNS($AO$1006:BJ1006),$AO$1006:$BQ$1006,0)))),"Fix")))</f>
        <v>#N/A</v>
      </c>
      <c r="X657" s="5" t="e">
        <f ca="1">IF(OR(INDEX($AI$2:$AI$1001,MATCH(ROWS($AH$2:AH657),$AH$2:$AH$1001,0),1)&gt;=100000,INDEX($AO$1005:$BQ$1005,1,MATCH(COLUMNS($AO$1006:BK1006),$AO$1006:$BQ$1006,0))&gt;=100000), " ",IF(INDEX($AO$2:$BQ$1001,MATCH(ROWS($AH$2:AH657),$AH$2:$AH$1001,0),MATCH(COLUMNS($AO$1006:BK1006),$AO$1006:$BQ$1006,0)), HYPERLINK("#",""), HYPERLINK(CONCATENATE("#Metadata!", ADDRESS(INDEX($AJ$2:$AJ$1001,MATCH(ROWS($AH$2:AH657),$AH$2:$AH$1001,0),0), INDEX($AO$1004:$BQ$1004,1,MATCH(COLUMNS($AO$1006:BK1006),$AO$1006:$BQ$1006,0)))),"Fix")))</f>
        <v>#N/A</v>
      </c>
      <c r="Y657" s="5" t="e">
        <f ca="1">IF(OR(INDEX($AI$2:$AI$1001,MATCH(ROWS($AH$2:AH657),$AH$2:$AH$1001,0),1)&gt;=100000,INDEX($AO$1005:$BQ$1005,1,MATCH(COLUMNS($AO$1006:BL1006),$AO$1006:$BQ$1006,0))&gt;=100000), " ",IF(INDEX($AO$2:$BQ$1001,MATCH(ROWS($AH$2:AH657),$AH$2:$AH$1001,0),MATCH(COLUMNS($AO$1006:BL1006),$AO$1006:$BQ$1006,0)), HYPERLINK("#",""), HYPERLINK(CONCATENATE("#Metadata!", ADDRESS(INDEX($AJ$2:$AJ$1001,MATCH(ROWS($AH$2:AH657),$AH$2:$AH$1001,0),0), INDEX($AO$1004:$BQ$1004,1,MATCH(COLUMNS($AO$1006:BL1006),$AO$1006:$BQ$1006,0)))),"Fix")))</f>
        <v>#N/A</v>
      </c>
      <c r="Z657" s="5" t="e">
        <f ca="1">IF(OR(INDEX($AI$2:$AI$1001,MATCH(ROWS($AH$2:AH657),$AH$2:$AH$1001,0),1)&gt;=100000,INDEX($AO$1005:$BQ$1005,1,MATCH(COLUMNS($AO$1006:BM1006),$AO$1006:$BQ$1006,0))&gt;=100000), " ",IF(INDEX($AO$2:$BQ$1001,MATCH(ROWS($AH$2:AH657),$AH$2:$AH$1001,0),MATCH(COLUMNS($AO$1006:BM1006),$AO$1006:$BQ$1006,0)), HYPERLINK("#",""), HYPERLINK(CONCATENATE("#Metadata!", ADDRESS(INDEX($AJ$2:$AJ$1001,MATCH(ROWS($AH$2:AH657),$AH$2:$AH$1001,0),0), INDEX($AO$1004:$BQ$1004,1,MATCH(COLUMNS($AO$1006:BM1006),$AO$1006:$BQ$1006,0)))),"Fix")))</f>
        <v>#N/A</v>
      </c>
      <c r="AA657" s="5" t="e">
        <f ca="1">IF(OR(INDEX($AI$2:$AI$1001,MATCH(ROWS($AH$2:AH657),$AH$2:$AH$1001,0),1)&gt;=100000,INDEX($AO$1005:$BQ$1005,1,MATCH(COLUMNS($AO$1006:BN1006),$AO$1006:$BQ$1006,0))&gt;=100000), " ",IF(INDEX($AO$2:$BQ$1001,MATCH(ROWS($AH$2:AH657),$AH$2:$AH$1001,0),MATCH(COLUMNS($AO$1006:BN1006),$AO$1006:$BQ$1006,0)), HYPERLINK("#",""), HYPERLINK(CONCATENATE("#Metadata!", ADDRESS(INDEX($AJ$2:$AJ$1001,MATCH(ROWS($AH$2:AH657),$AH$2:$AH$1001,0),0), INDEX($AO$1004:$BQ$1004,1,MATCH(COLUMNS($AO$1006:BN1006),$AO$1006:$BQ$1006,0)))),"Fix")))</f>
        <v>#N/A</v>
      </c>
      <c r="AB657" s="5" t="e">
        <f ca="1">IF(OR(INDEX($AI$2:$AI$1001,MATCH(ROWS($AH$2:AH657),$AH$2:$AH$1001,0),1)&gt;=100000,INDEX($AO$1005:$BQ$1005,1,MATCH(COLUMNS($AO$1006:BO1006),$AO$1006:$BQ$1006,0))&gt;=100000), " ",IF(INDEX($AO$2:$BQ$1001,MATCH(ROWS($AH$2:AH657),$AH$2:$AH$1001,0),MATCH(COLUMNS($AO$1006:BO1006),$AO$1006:$BQ$1006,0)), HYPERLINK("#",""), HYPERLINK(CONCATENATE("#Metadata!", ADDRESS(INDEX($AJ$2:$AJ$1001,MATCH(ROWS($AH$2:AH657),$AH$2:$AH$1001,0),0), INDEX($AO$1004:$BQ$1004,1,MATCH(COLUMNS($AO$1006:BO1006),$AO$1006:$BQ$1006,0)))),"Fix")))</f>
        <v>#N/A</v>
      </c>
      <c r="AC657" s="5" t="e">
        <f ca="1">IF(OR(INDEX($AI$2:$AI$1001,MATCH(ROWS($AH$2:AH657),$AH$2:$AH$1001,0),1)&gt;=100000,INDEX($AO$1005:$BQ$1005,1,MATCH(COLUMNS($AO$1006:BP1006),$AO$1006:$BQ$1006,0))&gt;=100000), " ",IF(INDEX($AO$2:$BQ$1001,MATCH(ROWS($AH$2:AH657),$AH$2:$AH$1001,0),MATCH(COLUMNS($AO$1006:BP1006),$AO$1006:$BQ$1006,0)), HYPERLINK("#",""), HYPERLINK(CONCATENATE("#Metadata!", ADDRESS(INDEX($AJ$2:$AJ$1001,MATCH(ROWS($AH$2:AH657),$AH$2:$AH$1001,0),0), INDEX($AO$1004:$BQ$1004,1,MATCH(COLUMNS($AO$1006:BP1006),$AO$1006:$BQ$1006,0)))),"Fix")))</f>
        <v>#N/A</v>
      </c>
      <c r="AD657" s="5" t="e">
        <f ca="1">IF(OR(INDEX($AI$2:$AI$1001,MATCH(ROWS($AH$2:AH657),$AH$2:$AH$1001,0),1)&gt;=100000,INDEX($AO$1005:$BQ$1005,1,MATCH(COLUMNS($AO$1006:BQ1006),$AO$1006:$BQ$1006,0))&gt;=100000), " ",IF(INDEX($AO$2:$BQ$1001,MATCH(ROWS($AH$2:AH657),$AH$2:$AH$1001,0),MATCH(COLUMNS($AO$1006:BQ1006),$AO$1006:$BQ$1006,0)), HYPERLINK("#",""), HYPERLINK(CONCATENATE("#Metadata!", ADDRESS(INDEX($AJ$2:$AJ$1001,MATCH(ROWS($AH$2:AH657),$AH$2:$AH$1001,0),0), INDEX($AO$1004:$BQ$1004,1,MATCH(COLUMNS($AO$1006:BQ1006),$AO$1006:$BQ$1006,0)))),"Fix")))</f>
        <v>#REF!</v>
      </c>
      <c r="AH657">
        <f ca="1"/>
        <v>654</v>
      </c>
      <c r="AI657">
        <v>100657</v>
      </c>
      <c r="AJ657">
        <v>657</v>
      </c>
      <c r="AK657" t="b">
        <f t="shared" si="10"/>
        <v>1</v>
      </c>
      <c r="AL657" t="b">
        <f>COUNTBLANK(Metadata!B657:AD657)=COLUMNS(Metadata!B657:AD657)</f>
        <v>1</v>
      </c>
      <c r="AM657" t="str">
        <v/>
      </c>
      <c r="AO657" t="b">
        <f ca="1">AND(IF(Metadata!B657="",FALSE,TRUE),COUNTIF(Metadata!B:B, Metadata!B657) = 1,NOT(ISERROR(SUMPRODUCT(SEARCH(MID(Metadata!B657,ROW(INDIRECT("1:"&amp;LEN(Metadata!B657))), 1),"0123456789abcdefghijklmnopqrstuvwxyzABCDEFGHIJKLMNOPQRSTUVWXYZ.")))))</f>
        <v>0</v>
      </c>
      <c r="AP657" t="b">
        <f>IF(Metadata!C657="",FALSE,TRUE)</f>
        <v>0</v>
      </c>
      <c r="AQ657" t="b">
        <f>IF(Metadata!D657="",FALSE,TRUE)</f>
        <v>0</v>
      </c>
      <c r="AR657" t="b">
        <f ca="1">OR(AND(IF(Metadata!E657="",FALSE,TRUE),OR(EXACT(Metadata!E657,"not collected"),EXACT(Metadata!E657,"not provided"),EXACT(Metadata!E657,"restricted access"))),AND(IF(Metadata!E657="",FALSE,TRUE),AND(AND(IFERROR(INT(LEFT(Metadata!E657,4))&gt;1900,FALSE),IFERROR(INT(LEFT(Metadata!E657,4))&lt;=YEAR(NOW()),FALSE)), OR(MID(Metadata!E657,5,1)="", AND(AND(MID(Metadata!E657,5,1)="-",IFERROR(INT(MID(Metadata!E657,6,1))&gt;=0,FALSE),IFERROR(INT(MID(Metadata!E657,6,1))&lt;=1,FALSE),NOT(MID(Metadata!E657,7,1)=""),IFERROR(INT(MID(Metadata!E657,6,2))&gt;=1,FALSE),IFERROR(INT(MID(Metadata!E657,6,2))&lt;=12,FALSE)), OR(MID(Metadata!E657,8,1)="", AND(AND(MID(Metadata!E657,8,1)="-",IFERROR(INT(MID(Metadata!E657,9,1))&gt;=0,FALSE),IFERROR(INT(MID(Metadata!E657,9,1))&lt;=3,FALSE),NOT(MID(Metadata!E657,10,1)=""),IFERROR(INT(MID(Metadata!E657,9,2))&gt;=1,FALSE),IFERROR(INT(MID(Metadata!E657,9,2))&lt;=31,FALSE)), OR(MID(Metadata!E657,11,1)="", AND(AND(MID(Metadata!E657,11,1)=" ",IFERROR(INT(MID(Metadata!E657,12,1))&gt;=0,FALSE),IFERROR(INT(MID(Metadata!E657,12,1))&lt;=2,FALSE),NOT(MID(Metadata!E657,13,1)=""),IFERROR(INT(MID(Metadata!E657,12,2))&gt;=0,FALSE),IFERROR(INT(MID(Metadata!E657,12,2))&lt;=23,FALSE)), OR(MID(Metadata!E657,14,1)="", AND(AND(MID(Metadata!E657,14,1)=":",IFERROR(INT(MID(Metadata!E657,15,1))&gt;=0,FALSE),IFERROR(INT(MID(Metadata!E657,15,1))&lt;=5,FALSE),NOT(MID(Metadata!E657,16,1)=""),IFERROR(INT(MID(Metadata!E657,15,2))&gt;=0,FALSE),IFERROR(INT(MID(Metadata!E657,15,2))&lt;=59,FALSE)), OR(MID(Metadata!E657,17,1)="", AND(AND(MID(Metadata!E657,17,1)=":",IFERROR(INT(MID(Metadata!E657,18,1))&gt;=0,FALSE),IFERROR(INT(MID(Metadata!E657,18,1))&lt;=5,FALSE),NOT(MID(Metadata!E657,19,1)=""),IFERROR(INT(MID(Metadata!E657,18,2))&gt;=0,FALSE),IFERROR(INT(MID(Metadata!E657,18,2))&lt;=59,FALSE)), LEN(Metadata!E657)&lt;=19)))))))))))))</f>
        <v>0</v>
      </c>
      <c r="AS657" t="b">
        <f>IF(Metadata!F657="",FALSE,TRUE)</f>
        <v>0</v>
      </c>
      <c r="AT657" t="b">
        <f>OR(AND(IF(Metadata!G657="",FALSE,TRUE),OR(EXACT(Metadata!G657,"not collected"),EXACT(Metadata!G657,"not provided"))),AND(IF(Metadata!G657="",FALSE,TRUE),OR(EXACT(Metadata!G657,"TRUE"),EXACT(Metadata!G657,"FALSE"))))</f>
        <v>0</v>
      </c>
      <c r="AU657" t="b">
        <f>OR(AND(IF(Metadata!H657="",FALSE,TRUE),OR(EXACT(Metadata!H657,"not collected"),EXACT(Metadata!H657,"not provided"),EXACT(Metadata!H657,"restricted access"))),AND(IF(Metadata!H657="",FALSE,ISNUMBER(VALUE(Metadata!H657))),Metadata!H657&gt;=-413))</f>
        <v>0</v>
      </c>
      <c r="AV657" t="b">
        <f>AND(IF(Metadata!I657="",FALSE,TRUE),EXACT(Metadata!I657,"meters"))</f>
        <v>0</v>
      </c>
      <c r="AW657" t="b">
        <f>AND(IF(Metadata!J657="",FALSE,TRUE),EXACT(Metadata!J657,"free-living"))</f>
        <v>0</v>
      </c>
      <c r="AX657" t="b">
        <f>AND(IF(Metadata!K657="",FALSE,TRUE),OR(EXACT(Metadata!K657,"saline"),EXACT(Metadata!K657,"non-saline")))</f>
        <v>0</v>
      </c>
      <c r="AY657" t="b">
        <f>AND(IF(Metadata!L657="",FALSE,TRUE),OR(EXACT(Metadata!L657,"sub-surface (non-saline)"),EXACT(Metadata!L657,"surface (non-saline)"),EXACT(Metadata!L657,"water (non-saline)"),EXACT(Metadata!L657,"soil (non-saline)"),EXACT(Metadata!L657,"aerosol (non-saline)"),EXACT(Metadata!L657,"sediment (non-saline)"),EXACT(Metadata!L657,"surface (saline)"),EXACT(Metadata!L657,"water (saline)"),EXACT(Metadata!L657,"hypersaline (saline)"),EXACT(Metadata!L657,"aerosol (saline)"),EXACT(Metadata!L657,"sediment (saline)")))</f>
        <v>0</v>
      </c>
      <c r="AZ657" t="b">
        <f>IF(Metadata!M657="",FALSE,TRUE)</f>
        <v>0</v>
      </c>
      <c r="BA657" t="b">
        <f>IF(Metadata!N657="",FALSE,TRUE)</f>
        <v>0</v>
      </c>
      <c r="BB657" t="b">
        <f>IF(Metadata!O657="",FALSE,TRUE)</f>
        <v>0</v>
      </c>
      <c r="BC657" t="b">
        <f>AND(IF(Metadata!P657="",FALSE,TRUE),OR(EXACT(Metadata!P657,"air"),EXACT(Metadata!P657,"microbial mat/biofilm"),EXACT(Metadata!P657,"misc environment"),EXACT(Metadata!P657,"sediment"),EXACT(Metadata!P657,"soil"),EXACT(Metadata!P657,"wastewater/sludge"),EXACT(Metadata!P657,"water")))</f>
        <v>0</v>
      </c>
      <c r="BD657" t="b">
        <f>IF(Metadata!Q657="",FALSE,TRUE)</f>
        <v>0</v>
      </c>
      <c r="BE657" t="b">
        <f>IF(Metadata!R657="",FALSE,TRUE)</f>
        <v>0</v>
      </c>
      <c r="BF657" t="b">
        <f>OR(AND(IF(Metadata!S657="",FALSE,TRUE),OR(EXACT(Metadata!S657,"not collected"),EXACT(Metadata!S657,"not provided"),EXACT(Metadata!S657,"restricted access"))),AND(IF(Metadata!S657="",FALSE,ISNUMBER(VALUE(Metadata!S657))),Metadata!S657&gt;=-90,Metadata!S657&lt;=90))</f>
        <v>0</v>
      </c>
      <c r="BG657" t="b">
        <f>AND(IF(Metadata!T657="",FALSE,TRUE),EXACT(Metadata!T657,"Decimal degrees"))</f>
        <v>0</v>
      </c>
      <c r="BH657" t="b">
        <f>OR(AND(IF(Metadata!U657="",FALSE,TRUE),OR(EXACT(Metadata!U657,"not applicable"),EXACT(Metadata!U657,"not collected"))),IF(Metadata!U657="",FALSE,TRUE))</f>
        <v>0</v>
      </c>
      <c r="BI657" t="b">
        <f>OR(AND(IF(Metadata!V657="",FALSE,TRUE),OR(EXACT(Metadata!V657,"not collected"),EXACT(Metadata!V657,"not provided"),EXACT(Metadata!V657,"restricted access"))),AND(IF(Metadata!V657="",FALSE,ISNUMBER(VALUE(Metadata!V657))),Metadata!V657&gt;=-180,Metadata!V657&lt;=180))</f>
        <v>0</v>
      </c>
      <c r="BJ657" t="b">
        <f>AND(IF(Metadata!W657="",FALSE,TRUE),EXACT(Metadata!W657,"Decimal degrees"))</f>
        <v>0</v>
      </c>
      <c r="BK657" t="b">
        <f>IF(Metadata!X657="",FALSE,TRUE)</f>
        <v>0</v>
      </c>
      <c r="BL657" t="b">
        <f>OR(AND(IF(Metadata!Y657="",FALSE,TRUE),OR(EXACT(Metadata!Y657,"not collected"),EXACT(Metadata!Y657,"not provided"),EXACT(Metadata!Y657,"restricted access"))),AND(IF(Metadata!Y657="",FALSE,TRUE),OR(EXACT(Metadata!Y657,"TRUE"),EXACT(Metadata!Y657,"FALSE"))))</f>
        <v>0</v>
      </c>
      <c r="BM657" t="b">
        <f>OR(AND(IF(Metadata!Z657="",FALSE,TRUE),EXACT(Metadata!Z657,"not applicable")),AND(IF(Metadata!Z657="",FALSE,TRUE),OR(EXACT(Metadata!Z657,"beer"),EXACT(Metadata!Z657,"cheese"),EXACT(Metadata!Z657,"fresh water"),EXACT(Metadata!Z657,"marine sediment"),EXACT(Metadata!Z657,"sea water"),EXACT(Metadata!Z657,"sediment"),EXACT(Metadata!Z657,"soil"),EXACT(Metadata!Z657,"waste water"))))</f>
        <v>0</v>
      </c>
      <c r="BN657" t="b">
        <f>AND(IF(Metadata!AA657="",FALSE,TRUE),EXACT(Metadata!AA657,"metagenome"))</f>
        <v>0</v>
      </c>
      <c r="BO657" t="b">
        <f>AND(IF(Metadata!AB657="",FALSE,TRUE),EXACT(Metadata!AB657,"256318"))</f>
        <v>0</v>
      </c>
      <c r="BP657" t="b">
        <f>IF(Metadata!AC657="",FALSE,TRUE)</f>
        <v>0</v>
      </c>
      <c r="BQ657" t="b">
        <f>IF(Metadata!AD657="",FALSE,TRUE)</f>
        <v>0</v>
      </c>
    </row>
    <row r="658" spans="1:69" x14ac:dyDescent="0.2">
      <c r="A658" s="4" t="e">
        <f ca="1">IF(B658=" "," ",HYPERLINK(CONCATENATE("#metadata!",ADDRESS(INDEX($AJ$2:$AJ$1001,MATCH(ROWS($AH$2:AH658),$AH$2:$AH$1001,0),0),2)),INDEX($AM$2:$AM$1001,MATCH(ROWS($AH$2:AH658),$AH$2:$AH$1001,0),0)))</f>
        <v>#N/A</v>
      </c>
      <c r="B658" s="5" t="e">
        <f ca="1">IF(OR(INDEX($AI$2:$AI$1001,MATCH(ROWS($AH$2:AH658),$AH$2:$AH$1001,0),1)&gt;=100000,INDEX($AO$1005:$BQ$1005,1,MATCH(COLUMNS($AO$1006:AO1006),$AO$1006:$BQ$1006,0))&gt;=100000), " ",IF(INDEX($AO$2:$BQ$1001,MATCH(ROWS($AH$2:AH658),$AH$2:$AH$1001,0),MATCH(COLUMNS($AO$1006:AO1006),$AO$1006:$BQ$1006,0)), HYPERLINK("#",""), HYPERLINK(CONCATENATE("#Metadata!", ADDRESS(INDEX($AJ$2:$AJ$1001,MATCH(ROWS($AH$2:AH658),$AH$2:$AH$1001,0),0), INDEX($AO$1004:$BQ$1004,1,MATCH(COLUMNS($AO$1006:AO1006),$AO$1006:$BQ$1006,0)))),"Fix")))</f>
        <v>#N/A</v>
      </c>
      <c r="C658" s="5" t="e">
        <f ca="1">IF(OR(INDEX($AI$2:$AI$1001,MATCH(ROWS($AH$2:AH658),$AH$2:$AH$1001,0),1)&gt;=100000,INDEX($AO$1005:$BQ$1005,1,MATCH(COLUMNS($AO$1006:AP1006),$AO$1006:$BQ$1006,0))&gt;=100000), " ",IF(INDEX($AO$2:$BQ$1001,MATCH(ROWS($AH$2:AH658),$AH$2:$AH$1001,0),MATCH(COLUMNS($AO$1006:AP1006),$AO$1006:$BQ$1006,0)), HYPERLINK("#",""), HYPERLINK(CONCATENATE("#Metadata!", ADDRESS(INDEX($AJ$2:$AJ$1001,MATCH(ROWS($AH$2:AH658),$AH$2:$AH$1001,0),0), INDEX($AO$1004:$BQ$1004,1,MATCH(COLUMNS($AO$1006:AP1006),$AO$1006:$BQ$1006,0)))),"Fix")))</f>
        <v>#N/A</v>
      </c>
      <c r="D658" s="5" t="e">
        <f ca="1">IF(OR(INDEX($AI$2:$AI$1001,MATCH(ROWS($AH$2:AH658),$AH$2:$AH$1001,0),1)&gt;=100000,INDEX($AO$1005:$BQ$1005,1,MATCH(COLUMNS($AO$1006:AQ1006),$AO$1006:$BQ$1006,0))&gt;=100000), " ",IF(INDEX($AO$2:$BQ$1001,MATCH(ROWS($AH$2:AH658),$AH$2:$AH$1001,0),MATCH(COLUMNS($AO$1006:AQ1006),$AO$1006:$BQ$1006,0)), HYPERLINK("#",""), HYPERLINK(CONCATENATE("#Metadata!", ADDRESS(INDEX($AJ$2:$AJ$1001,MATCH(ROWS($AH$2:AH658),$AH$2:$AH$1001,0),0), INDEX($AO$1004:$BQ$1004,1,MATCH(COLUMNS($AO$1006:AQ1006),$AO$1006:$BQ$1006,0)))),"Fix")))</f>
        <v>#N/A</v>
      </c>
      <c r="E658" s="5" t="e">
        <f ca="1">IF(OR(INDEX($AI$2:$AI$1001,MATCH(ROWS($AH$2:AH658),$AH$2:$AH$1001,0),1)&gt;=100000,INDEX($AO$1005:$BQ$1005,1,MATCH(COLUMNS($AO$1006:AR1006),$AO$1006:$BQ$1006,0))&gt;=100000), " ",IF(INDEX($AO$2:$BQ$1001,MATCH(ROWS($AH$2:AH658),$AH$2:$AH$1001,0),MATCH(COLUMNS($AO$1006:AR1006),$AO$1006:$BQ$1006,0)), HYPERLINK("#",""), HYPERLINK(CONCATENATE("#Metadata!", ADDRESS(INDEX($AJ$2:$AJ$1001,MATCH(ROWS($AH$2:AH658),$AH$2:$AH$1001,0),0), INDEX($AO$1004:$BQ$1004,1,MATCH(COLUMNS($AO$1006:AR1006),$AO$1006:$BQ$1006,0)))),"Fix")))</f>
        <v>#N/A</v>
      </c>
      <c r="F658" s="5" t="e">
        <f ca="1">IF(OR(INDEX($AI$2:$AI$1001,MATCH(ROWS($AH$2:AH658),$AH$2:$AH$1001,0),1)&gt;=100000,INDEX($AO$1005:$BQ$1005,1,MATCH(COLUMNS($AO$1006:AS1006),$AO$1006:$BQ$1006,0))&gt;=100000), " ",IF(INDEX($AO$2:$BQ$1001,MATCH(ROWS($AH$2:AH658),$AH$2:$AH$1001,0),MATCH(COLUMNS($AO$1006:AS1006),$AO$1006:$BQ$1006,0)), HYPERLINK("#",""), HYPERLINK(CONCATENATE("#Metadata!", ADDRESS(INDEX($AJ$2:$AJ$1001,MATCH(ROWS($AH$2:AH658),$AH$2:$AH$1001,0),0), INDEX($AO$1004:$BQ$1004,1,MATCH(COLUMNS($AO$1006:AS1006),$AO$1006:$BQ$1006,0)))),"Fix")))</f>
        <v>#N/A</v>
      </c>
      <c r="G658" s="5" t="e">
        <f ca="1">IF(OR(INDEX($AI$2:$AI$1001,MATCH(ROWS($AH$2:AH658),$AH$2:$AH$1001,0),1)&gt;=100000,INDEX($AO$1005:$BQ$1005,1,MATCH(COLUMNS($AO$1006:AT1006),$AO$1006:$BQ$1006,0))&gt;=100000), " ",IF(INDEX($AO$2:$BQ$1001,MATCH(ROWS($AH$2:AH658),$AH$2:$AH$1001,0),MATCH(COLUMNS($AO$1006:AT1006),$AO$1006:$BQ$1006,0)), HYPERLINK("#",""), HYPERLINK(CONCATENATE("#Metadata!", ADDRESS(INDEX($AJ$2:$AJ$1001,MATCH(ROWS($AH$2:AH658),$AH$2:$AH$1001,0),0), INDEX($AO$1004:$BQ$1004,1,MATCH(COLUMNS($AO$1006:AT1006),$AO$1006:$BQ$1006,0)))),"Fix")))</f>
        <v>#N/A</v>
      </c>
      <c r="H658" s="5" t="e">
        <f ca="1">IF(OR(INDEX($AI$2:$AI$1001,MATCH(ROWS($AH$2:AH658),$AH$2:$AH$1001,0),1)&gt;=100000,INDEX($AO$1005:$BQ$1005,1,MATCH(COLUMNS($AO$1006:AU1006),$AO$1006:$BQ$1006,0))&gt;=100000), " ",IF(INDEX($AO$2:$BQ$1001,MATCH(ROWS($AH$2:AH658),$AH$2:$AH$1001,0),MATCH(COLUMNS($AO$1006:AU1006),$AO$1006:$BQ$1006,0)), HYPERLINK("#",""), HYPERLINK(CONCATENATE("#Metadata!", ADDRESS(INDEX($AJ$2:$AJ$1001,MATCH(ROWS($AH$2:AH658),$AH$2:$AH$1001,0),0), INDEX($AO$1004:$BQ$1004,1,MATCH(COLUMNS($AO$1006:AU1006),$AO$1006:$BQ$1006,0)))),"Fix")))</f>
        <v>#N/A</v>
      </c>
      <c r="I658" s="5" t="e">
        <f ca="1">IF(OR(INDEX($AI$2:$AI$1001,MATCH(ROWS($AH$2:AH658),$AH$2:$AH$1001,0),1)&gt;=100000,INDEX($AO$1005:$BQ$1005,1,MATCH(COLUMNS($AO$1006:AV1006),$AO$1006:$BQ$1006,0))&gt;=100000), " ",IF(INDEX($AO$2:$BQ$1001,MATCH(ROWS($AH$2:AH658),$AH$2:$AH$1001,0),MATCH(COLUMNS($AO$1006:AV1006),$AO$1006:$BQ$1006,0)), HYPERLINK("#",""), HYPERLINK(CONCATENATE("#Metadata!", ADDRESS(INDEX($AJ$2:$AJ$1001,MATCH(ROWS($AH$2:AH658),$AH$2:$AH$1001,0),0), INDEX($AO$1004:$BQ$1004,1,MATCH(COLUMNS($AO$1006:AV1006),$AO$1006:$BQ$1006,0)))),"Fix")))</f>
        <v>#N/A</v>
      </c>
      <c r="J658" s="5" t="e">
        <f ca="1">IF(OR(INDEX($AI$2:$AI$1001,MATCH(ROWS($AH$2:AH658),$AH$2:$AH$1001,0),1)&gt;=100000,INDEX($AO$1005:$BQ$1005,1,MATCH(COLUMNS($AO$1006:AW1006),$AO$1006:$BQ$1006,0))&gt;=100000), " ",IF(INDEX($AO$2:$BQ$1001,MATCH(ROWS($AH$2:AH658),$AH$2:$AH$1001,0),MATCH(COLUMNS($AO$1006:AW1006),$AO$1006:$BQ$1006,0)), HYPERLINK("#",""), HYPERLINK(CONCATENATE("#Metadata!", ADDRESS(INDEX($AJ$2:$AJ$1001,MATCH(ROWS($AH$2:AH658),$AH$2:$AH$1001,0),0), INDEX($AO$1004:$BQ$1004,1,MATCH(COLUMNS($AO$1006:AW1006),$AO$1006:$BQ$1006,0)))),"Fix")))</f>
        <v>#N/A</v>
      </c>
      <c r="K658" s="5" t="e">
        <f ca="1">IF(OR(INDEX($AI$2:$AI$1001,MATCH(ROWS($AH$2:AH658),$AH$2:$AH$1001,0),1)&gt;=100000,INDEX($AO$1005:$BQ$1005,1,MATCH(COLUMNS($AO$1006:AX1006),$AO$1006:$BQ$1006,0))&gt;=100000), " ",IF(INDEX($AO$2:$BQ$1001,MATCH(ROWS($AH$2:AH658),$AH$2:$AH$1001,0),MATCH(COLUMNS($AO$1006:AX1006),$AO$1006:$BQ$1006,0)), HYPERLINK("#",""), HYPERLINK(CONCATENATE("#Metadata!", ADDRESS(INDEX($AJ$2:$AJ$1001,MATCH(ROWS($AH$2:AH658),$AH$2:$AH$1001,0),0), INDEX($AO$1004:$BQ$1004,1,MATCH(COLUMNS($AO$1006:AX1006),$AO$1006:$BQ$1006,0)))),"Fix")))</f>
        <v>#N/A</v>
      </c>
      <c r="L658" s="5" t="e">
        <f ca="1">IF(OR(INDEX($AI$2:$AI$1001,MATCH(ROWS($AH$2:AH658),$AH$2:$AH$1001,0),1)&gt;=100000,INDEX($AO$1005:$BQ$1005,1,MATCH(COLUMNS($AO$1006:AY1006),$AO$1006:$BQ$1006,0))&gt;=100000), " ",IF(INDEX($AO$2:$BQ$1001,MATCH(ROWS($AH$2:AH658),$AH$2:$AH$1001,0),MATCH(COLUMNS($AO$1006:AY1006),$AO$1006:$BQ$1006,0)), HYPERLINK("#",""), HYPERLINK(CONCATENATE("#Metadata!", ADDRESS(INDEX($AJ$2:$AJ$1001,MATCH(ROWS($AH$2:AH658),$AH$2:$AH$1001,0),0), INDEX($AO$1004:$BQ$1004,1,MATCH(COLUMNS($AO$1006:AY1006),$AO$1006:$BQ$1006,0)))),"Fix")))</f>
        <v>#N/A</v>
      </c>
      <c r="M658" s="5" t="e">
        <f ca="1">IF(OR(INDEX($AI$2:$AI$1001,MATCH(ROWS($AH$2:AH658),$AH$2:$AH$1001,0),1)&gt;=100000,INDEX($AO$1005:$BQ$1005,1,MATCH(COLUMNS($AO$1006:AZ1006),$AO$1006:$BQ$1006,0))&gt;=100000), " ",IF(INDEX($AO$2:$BQ$1001,MATCH(ROWS($AH$2:AH658),$AH$2:$AH$1001,0),MATCH(COLUMNS($AO$1006:AZ1006),$AO$1006:$BQ$1006,0)), HYPERLINK("#",""), HYPERLINK(CONCATENATE("#Metadata!", ADDRESS(INDEX($AJ$2:$AJ$1001,MATCH(ROWS($AH$2:AH658),$AH$2:$AH$1001,0),0), INDEX($AO$1004:$BQ$1004,1,MATCH(COLUMNS($AO$1006:AZ1006),$AO$1006:$BQ$1006,0)))),"Fix")))</f>
        <v>#N/A</v>
      </c>
      <c r="N658" s="5" t="e">
        <f ca="1">IF(OR(INDEX($AI$2:$AI$1001,MATCH(ROWS($AH$2:AH658),$AH$2:$AH$1001,0),1)&gt;=100000,INDEX($AO$1005:$BQ$1005,1,MATCH(COLUMNS($AO$1006:BA1006),$AO$1006:$BQ$1006,0))&gt;=100000), " ",IF(INDEX($AO$2:$BQ$1001,MATCH(ROWS($AH$2:AH658),$AH$2:$AH$1001,0),MATCH(COLUMNS($AO$1006:BA1006),$AO$1006:$BQ$1006,0)), HYPERLINK("#",""), HYPERLINK(CONCATENATE("#Metadata!", ADDRESS(INDEX($AJ$2:$AJ$1001,MATCH(ROWS($AH$2:AH658),$AH$2:$AH$1001,0),0), INDEX($AO$1004:$BQ$1004,1,MATCH(COLUMNS($AO$1006:BA1006),$AO$1006:$BQ$1006,0)))),"Fix")))</f>
        <v>#N/A</v>
      </c>
      <c r="O658" s="5" t="e">
        <f ca="1">IF(OR(INDEX($AI$2:$AI$1001,MATCH(ROWS($AH$2:AH658),$AH$2:$AH$1001,0),1)&gt;=100000,INDEX($AO$1005:$BQ$1005,1,MATCH(COLUMNS($AO$1006:BB1006),$AO$1006:$BQ$1006,0))&gt;=100000), " ",IF(INDEX($AO$2:$BQ$1001,MATCH(ROWS($AH$2:AH658),$AH$2:$AH$1001,0),MATCH(COLUMNS($AO$1006:BB1006),$AO$1006:$BQ$1006,0)), HYPERLINK("#",""), HYPERLINK(CONCATENATE("#Metadata!", ADDRESS(INDEX($AJ$2:$AJ$1001,MATCH(ROWS($AH$2:AH658),$AH$2:$AH$1001,0),0), INDEX($AO$1004:$BQ$1004,1,MATCH(COLUMNS($AO$1006:BB1006),$AO$1006:$BQ$1006,0)))),"Fix")))</f>
        <v>#N/A</v>
      </c>
      <c r="P658" s="5" t="e">
        <f ca="1">IF(OR(INDEX($AI$2:$AI$1001,MATCH(ROWS($AH$2:AH658),$AH$2:$AH$1001,0),1)&gt;=100000,INDEX($AO$1005:$BQ$1005,1,MATCH(COLUMNS($AO$1006:BC1006),$AO$1006:$BQ$1006,0))&gt;=100000), " ",IF(INDEX($AO$2:$BQ$1001,MATCH(ROWS($AH$2:AH658),$AH$2:$AH$1001,0),MATCH(COLUMNS($AO$1006:BC1006),$AO$1006:$BQ$1006,0)), HYPERLINK("#",""), HYPERLINK(CONCATENATE("#Metadata!", ADDRESS(INDEX($AJ$2:$AJ$1001,MATCH(ROWS($AH$2:AH658),$AH$2:$AH$1001,0),0), INDEX($AO$1004:$BQ$1004,1,MATCH(COLUMNS($AO$1006:BC1006),$AO$1006:$BQ$1006,0)))),"Fix")))</f>
        <v>#N/A</v>
      </c>
      <c r="Q658" s="5" t="e">
        <f ca="1">IF(OR(INDEX($AI$2:$AI$1001,MATCH(ROWS($AH$2:AH658),$AH$2:$AH$1001,0),1)&gt;=100000,INDEX($AO$1005:$BQ$1005,1,MATCH(COLUMNS($AO$1006:BD1006),$AO$1006:$BQ$1006,0))&gt;=100000), " ",IF(INDEX($AO$2:$BQ$1001,MATCH(ROWS($AH$2:AH658),$AH$2:$AH$1001,0),MATCH(COLUMNS($AO$1006:BD1006),$AO$1006:$BQ$1006,0)), HYPERLINK("#",""), HYPERLINK(CONCATENATE("#Metadata!", ADDRESS(INDEX($AJ$2:$AJ$1001,MATCH(ROWS($AH$2:AH658),$AH$2:$AH$1001,0),0), INDEX($AO$1004:$BQ$1004,1,MATCH(COLUMNS($AO$1006:BD1006),$AO$1006:$BQ$1006,0)))),"Fix")))</f>
        <v>#N/A</v>
      </c>
      <c r="R658" s="5" t="e">
        <f ca="1">IF(OR(INDEX($AI$2:$AI$1001,MATCH(ROWS($AH$2:AH658),$AH$2:$AH$1001,0),1)&gt;=100000,INDEX($AO$1005:$BQ$1005,1,MATCH(COLUMNS($AO$1006:BE1006),$AO$1006:$BQ$1006,0))&gt;=100000), " ",IF(INDEX($AO$2:$BQ$1001,MATCH(ROWS($AH$2:AH658),$AH$2:$AH$1001,0),MATCH(COLUMNS($AO$1006:BE1006),$AO$1006:$BQ$1006,0)), HYPERLINK("#",""), HYPERLINK(CONCATENATE("#Metadata!", ADDRESS(INDEX($AJ$2:$AJ$1001,MATCH(ROWS($AH$2:AH658),$AH$2:$AH$1001,0),0), INDEX($AO$1004:$BQ$1004,1,MATCH(COLUMNS($AO$1006:BE1006),$AO$1006:$BQ$1006,0)))),"Fix")))</f>
        <v>#N/A</v>
      </c>
      <c r="S658" s="5" t="e">
        <f ca="1">IF(OR(INDEX($AI$2:$AI$1001,MATCH(ROWS($AH$2:AH658),$AH$2:$AH$1001,0),1)&gt;=100000,INDEX($AO$1005:$BQ$1005,1,MATCH(COLUMNS($AO$1006:BF1006),$AO$1006:$BQ$1006,0))&gt;=100000), " ",IF(INDEX($AO$2:$BQ$1001,MATCH(ROWS($AH$2:AH658),$AH$2:$AH$1001,0),MATCH(COLUMNS($AO$1006:BF1006),$AO$1006:$BQ$1006,0)), HYPERLINK("#",""), HYPERLINK(CONCATENATE("#Metadata!", ADDRESS(INDEX($AJ$2:$AJ$1001,MATCH(ROWS($AH$2:AH658),$AH$2:$AH$1001,0),0), INDEX($AO$1004:$BQ$1004,1,MATCH(COLUMNS($AO$1006:BF1006),$AO$1006:$BQ$1006,0)))),"Fix")))</f>
        <v>#N/A</v>
      </c>
      <c r="T658" s="5" t="e">
        <f ca="1">IF(OR(INDEX($AI$2:$AI$1001,MATCH(ROWS($AH$2:AH658),$AH$2:$AH$1001,0),1)&gt;=100000,INDEX($AO$1005:$BQ$1005,1,MATCH(COLUMNS($AO$1006:BG1006),$AO$1006:$BQ$1006,0))&gt;=100000), " ",IF(INDEX($AO$2:$BQ$1001,MATCH(ROWS($AH$2:AH658),$AH$2:$AH$1001,0),MATCH(COLUMNS($AO$1006:BG1006),$AO$1006:$BQ$1006,0)), HYPERLINK("#",""), HYPERLINK(CONCATENATE("#Metadata!", ADDRESS(INDEX($AJ$2:$AJ$1001,MATCH(ROWS($AH$2:AH658),$AH$2:$AH$1001,0),0), INDEX($AO$1004:$BQ$1004,1,MATCH(COLUMNS($AO$1006:BG1006),$AO$1006:$BQ$1006,0)))),"Fix")))</f>
        <v>#N/A</v>
      </c>
      <c r="U658" s="5" t="e">
        <f ca="1">IF(OR(INDEX($AI$2:$AI$1001,MATCH(ROWS($AH$2:AH658),$AH$2:$AH$1001,0),1)&gt;=100000,INDEX($AO$1005:$BQ$1005,1,MATCH(COLUMNS($AO$1006:BH1006),$AO$1006:$BQ$1006,0))&gt;=100000), " ",IF(INDEX($AO$2:$BQ$1001,MATCH(ROWS($AH$2:AH658),$AH$2:$AH$1001,0),MATCH(COLUMNS($AO$1006:BH1006),$AO$1006:$BQ$1006,0)), HYPERLINK("#",""), HYPERLINK(CONCATENATE("#Metadata!", ADDRESS(INDEX($AJ$2:$AJ$1001,MATCH(ROWS($AH$2:AH658),$AH$2:$AH$1001,0),0), INDEX($AO$1004:$BQ$1004,1,MATCH(COLUMNS($AO$1006:BH1006),$AO$1006:$BQ$1006,0)))),"Fix")))</f>
        <v>#N/A</v>
      </c>
      <c r="V658" s="5" t="e">
        <f ca="1">IF(OR(INDEX($AI$2:$AI$1001,MATCH(ROWS($AH$2:AH658),$AH$2:$AH$1001,0),1)&gt;=100000,INDEX($AO$1005:$BQ$1005,1,MATCH(COLUMNS($AO$1006:BI1006),$AO$1006:$BQ$1006,0))&gt;=100000), " ",IF(INDEX($AO$2:$BQ$1001,MATCH(ROWS($AH$2:AH658),$AH$2:$AH$1001,0),MATCH(COLUMNS($AO$1006:BI1006),$AO$1006:$BQ$1006,0)), HYPERLINK("#",""), HYPERLINK(CONCATENATE("#Metadata!", ADDRESS(INDEX($AJ$2:$AJ$1001,MATCH(ROWS($AH$2:AH658),$AH$2:$AH$1001,0),0), INDEX($AO$1004:$BQ$1004,1,MATCH(COLUMNS($AO$1006:BI1006),$AO$1006:$BQ$1006,0)))),"Fix")))</f>
        <v>#N/A</v>
      </c>
      <c r="W658" s="5" t="e">
        <f ca="1">IF(OR(INDEX($AI$2:$AI$1001,MATCH(ROWS($AH$2:AH658),$AH$2:$AH$1001,0),1)&gt;=100000,INDEX($AO$1005:$BQ$1005,1,MATCH(COLUMNS($AO$1006:BJ1006),$AO$1006:$BQ$1006,0))&gt;=100000), " ",IF(INDEX($AO$2:$BQ$1001,MATCH(ROWS($AH$2:AH658),$AH$2:$AH$1001,0),MATCH(COLUMNS($AO$1006:BJ1006),$AO$1006:$BQ$1006,0)), HYPERLINK("#",""), HYPERLINK(CONCATENATE("#Metadata!", ADDRESS(INDEX($AJ$2:$AJ$1001,MATCH(ROWS($AH$2:AH658),$AH$2:$AH$1001,0),0), INDEX($AO$1004:$BQ$1004,1,MATCH(COLUMNS($AO$1006:BJ1006),$AO$1006:$BQ$1006,0)))),"Fix")))</f>
        <v>#N/A</v>
      </c>
      <c r="X658" s="5" t="e">
        <f ca="1">IF(OR(INDEX($AI$2:$AI$1001,MATCH(ROWS($AH$2:AH658),$AH$2:$AH$1001,0),1)&gt;=100000,INDEX($AO$1005:$BQ$1005,1,MATCH(COLUMNS($AO$1006:BK1006),$AO$1006:$BQ$1006,0))&gt;=100000), " ",IF(INDEX($AO$2:$BQ$1001,MATCH(ROWS($AH$2:AH658),$AH$2:$AH$1001,0),MATCH(COLUMNS($AO$1006:BK1006),$AO$1006:$BQ$1006,0)), HYPERLINK("#",""), HYPERLINK(CONCATENATE("#Metadata!", ADDRESS(INDEX($AJ$2:$AJ$1001,MATCH(ROWS($AH$2:AH658),$AH$2:$AH$1001,0),0), INDEX($AO$1004:$BQ$1004,1,MATCH(COLUMNS($AO$1006:BK1006),$AO$1006:$BQ$1006,0)))),"Fix")))</f>
        <v>#N/A</v>
      </c>
      <c r="Y658" s="5" t="e">
        <f ca="1">IF(OR(INDEX($AI$2:$AI$1001,MATCH(ROWS($AH$2:AH658),$AH$2:$AH$1001,0),1)&gt;=100000,INDEX($AO$1005:$BQ$1005,1,MATCH(COLUMNS($AO$1006:BL1006),$AO$1006:$BQ$1006,0))&gt;=100000), " ",IF(INDEX($AO$2:$BQ$1001,MATCH(ROWS($AH$2:AH658),$AH$2:$AH$1001,0),MATCH(COLUMNS($AO$1006:BL1006),$AO$1006:$BQ$1006,0)), HYPERLINK("#",""), HYPERLINK(CONCATENATE("#Metadata!", ADDRESS(INDEX($AJ$2:$AJ$1001,MATCH(ROWS($AH$2:AH658),$AH$2:$AH$1001,0),0), INDEX($AO$1004:$BQ$1004,1,MATCH(COLUMNS($AO$1006:BL1006),$AO$1006:$BQ$1006,0)))),"Fix")))</f>
        <v>#N/A</v>
      </c>
      <c r="Z658" s="5" t="e">
        <f ca="1">IF(OR(INDEX($AI$2:$AI$1001,MATCH(ROWS($AH$2:AH658),$AH$2:$AH$1001,0),1)&gt;=100000,INDEX($AO$1005:$BQ$1005,1,MATCH(COLUMNS($AO$1006:BM1006),$AO$1006:$BQ$1006,0))&gt;=100000), " ",IF(INDEX($AO$2:$BQ$1001,MATCH(ROWS($AH$2:AH658),$AH$2:$AH$1001,0),MATCH(COLUMNS($AO$1006:BM1006),$AO$1006:$BQ$1006,0)), HYPERLINK("#",""), HYPERLINK(CONCATENATE("#Metadata!", ADDRESS(INDEX($AJ$2:$AJ$1001,MATCH(ROWS($AH$2:AH658),$AH$2:$AH$1001,0),0), INDEX($AO$1004:$BQ$1004,1,MATCH(COLUMNS($AO$1006:BM1006),$AO$1006:$BQ$1006,0)))),"Fix")))</f>
        <v>#N/A</v>
      </c>
      <c r="AA658" s="5" t="e">
        <f ca="1">IF(OR(INDEX($AI$2:$AI$1001,MATCH(ROWS($AH$2:AH658),$AH$2:$AH$1001,0),1)&gt;=100000,INDEX($AO$1005:$BQ$1005,1,MATCH(COLUMNS($AO$1006:BN1006),$AO$1006:$BQ$1006,0))&gt;=100000), " ",IF(INDEX($AO$2:$BQ$1001,MATCH(ROWS($AH$2:AH658),$AH$2:$AH$1001,0),MATCH(COLUMNS($AO$1006:BN1006),$AO$1006:$BQ$1006,0)), HYPERLINK("#",""), HYPERLINK(CONCATENATE("#Metadata!", ADDRESS(INDEX($AJ$2:$AJ$1001,MATCH(ROWS($AH$2:AH658),$AH$2:$AH$1001,0),0), INDEX($AO$1004:$BQ$1004,1,MATCH(COLUMNS($AO$1006:BN1006),$AO$1006:$BQ$1006,0)))),"Fix")))</f>
        <v>#N/A</v>
      </c>
      <c r="AB658" s="5" t="e">
        <f ca="1">IF(OR(INDEX($AI$2:$AI$1001,MATCH(ROWS($AH$2:AH658),$AH$2:$AH$1001,0),1)&gt;=100000,INDEX($AO$1005:$BQ$1005,1,MATCH(COLUMNS($AO$1006:BO1006),$AO$1006:$BQ$1006,0))&gt;=100000), " ",IF(INDEX($AO$2:$BQ$1001,MATCH(ROWS($AH$2:AH658),$AH$2:$AH$1001,0),MATCH(COLUMNS($AO$1006:BO1006),$AO$1006:$BQ$1006,0)), HYPERLINK("#",""), HYPERLINK(CONCATENATE("#Metadata!", ADDRESS(INDEX($AJ$2:$AJ$1001,MATCH(ROWS($AH$2:AH658),$AH$2:$AH$1001,0),0), INDEX($AO$1004:$BQ$1004,1,MATCH(COLUMNS($AO$1006:BO1006),$AO$1006:$BQ$1006,0)))),"Fix")))</f>
        <v>#N/A</v>
      </c>
      <c r="AC658" s="5" t="e">
        <f ca="1">IF(OR(INDEX($AI$2:$AI$1001,MATCH(ROWS($AH$2:AH658),$AH$2:$AH$1001,0),1)&gt;=100000,INDEX($AO$1005:$BQ$1005,1,MATCH(COLUMNS($AO$1006:BP1006),$AO$1006:$BQ$1006,0))&gt;=100000), " ",IF(INDEX($AO$2:$BQ$1001,MATCH(ROWS($AH$2:AH658),$AH$2:$AH$1001,0),MATCH(COLUMNS($AO$1006:BP1006),$AO$1006:$BQ$1006,0)), HYPERLINK("#",""), HYPERLINK(CONCATENATE("#Metadata!", ADDRESS(INDEX($AJ$2:$AJ$1001,MATCH(ROWS($AH$2:AH658),$AH$2:$AH$1001,0),0), INDEX($AO$1004:$BQ$1004,1,MATCH(COLUMNS($AO$1006:BP1006),$AO$1006:$BQ$1006,0)))),"Fix")))</f>
        <v>#N/A</v>
      </c>
      <c r="AD658" s="5" t="e">
        <f ca="1">IF(OR(INDEX($AI$2:$AI$1001,MATCH(ROWS($AH$2:AH658),$AH$2:$AH$1001,0),1)&gt;=100000,INDEX($AO$1005:$BQ$1005,1,MATCH(COLUMNS($AO$1006:BQ1006),$AO$1006:$BQ$1006,0))&gt;=100000), " ",IF(INDEX($AO$2:$BQ$1001,MATCH(ROWS($AH$2:AH658),$AH$2:$AH$1001,0),MATCH(COLUMNS($AO$1006:BQ1006),$AO$1006:$BQ$1006,0)), HYPERLINK("#",""), HYPERLINK(CONCATENATE("#Metadata!", ADDRESS(INDEX($AJ$2:$AJ$1001,MATCH(ROWS($AH$2:AH658),$AH$2:$AH$1001,0),0), INDEX($AO$1004:$BQ$1004,1,MATCH(COLUMNS($AO$1006:BQ1006),$AO$1006:$BQ$1006,0)))),"Fix")))</f>
        <v>#REF!</v>
      </c>
      <c r="AH658">
        <f ca="1"/>
        <v>655</v>
      </c>
      <c r="AI658">
        <v>100658</v>
      </c>
      <c r="AJ658">
        <v>658</v>
      </c>
      <c r="AK658" t="b">
        <f t="shared" si="10"/>
        <v>1</v>
      </c>
      <c r="AL658" t="b">
        <f>COUNTBLANK(Metadata!B658:AD658)=COLUMNS(Metadata!B658:AD658)</f>
        <v>1</v>
      </c>
      <c r="AM658" t="str">
        <v/>
      </c>
      <c r="AO658" t="b">
        <f ca="1">AND(IF(Metadata!B658="",FALSE,TRUE),COUNTIF(Metadata!B:B, Metadata!B658) = 1,NOT(ISERROR(SUMPRODUCT(SEARCH(MID(Metadata!B658,ROW(INDIRECT("1:"&amp;LEN(Metadata!B658))), 1),"0123456789abcdefghijklmnopqrstuvwxyzABCDEFGHIJKLMNOPQRSTUVWXYZ.")))))</f>
        <v>0</v>
      </c>
      <c r="AP658" t="b">
        <f>IF(Metadata!C658="",FALSE,TRUE)</f>
        <v>0</v>
      </c>
      <c r="AQ658" t="b">
        <f>IF(Metadata!D658="",FALSE,TRUE)</f>
        <v>0</v>
      </c>
      <c r="AR658" t="b">
        <f ca="1">OR(AND(IF(Metadata!E658="",FALSE,TRUE),OR(EXACT(Metadata!E658,"not collected"),EXACT(Metadata!E658,"not provided"),EXACT(Metadata!E658,"restricted access"))),AND(IF(Metadata!E658="",FALSE,TRUE),AND(AND(IFERROR(INT(LEFT(Metadata!E658,4))&gt;1900,FALSE),IFERROR(INT(LEFT(Metadata!E658,4))&lt;=YEAR(NOW()),FALSE)), OR(MID(Metadata!E658,5,1)="", AND(AND(MID(Metadata!E658,5,1)="-",IFERROR(INT(MID(Metadata!E658,6,1))&gt;=0,FALSE),IFERROR(INT(MID(Metadata!E658,6,1))&lt;=1,FALSE),NOT(MID(Metadata!E658,7,1)=""),IFERROR(INT(MID(Metadata!E658,6,2))&gt;=1,FALSE),IFERROR(INT(MID(Metadata!E658,6,2))&lt;=12,FALSE)), OR(MID(Metadata!E658,8,1)="", AND(AND(MID(Metadata!E658,8,1)="-",IFERROR(INT(MID(Metadata!E658,9,1))&gt;=0,FALSE),IFERROR(INT(MID(Metadata!E658,9,1))&lt;=3,FALSE),NOT(MID(Metadata!E658,10,1)=""),IFERROR(INT(MID(Metadata!E658,9,2))&gt;=1,FALSE),IFERROR(INT(MID(Metadata!E658,9,2))&lt;=31,FALSE)), OR(MID(Metadata!E658,11,1)="", AND(AND(MID(Metadata!E658,11,1)=" ",IFERROR(INT(MID(Metadata!E658,12,1))&gt;=0,FALSE),IFERROR(INT(MID(Metadata!E658,12,1))&lt;=2,FALSE),NOT(MID(Metadata!E658,13,1)=""),IFERROR(INT(MID(Metadata!E658,12,2))&gt;=0,FALSE),IFERROR(INT(MID(Metadata!E658,12,2))&lt;=23,FALSE)), OR(MID(Metadata!E658,14,1)="", AND(AND(MID(Metadata!E658,14,1)=":",IFERROR(INT(MID(Metadata!E658,15,1))&gt;=0,FALSE),IFERROR(INT(MID(Metadata!E658,15,1))&lt;=5,FALSE),NOT(MID(Metadata!E658,16,1)=""),IFERROR(INT(MID(Metadata!E658,15,2))&gt;=0,FALSE),IFERROR(INT(MID(Metadata!E658,15,2))&lt;=59,FALSE)), OR(MID(Metadata!E658,17,1)="", AND(AND(MID(Metadata!E658,17,1)=":",IFERROR(INT(MID(Metadata!E658,18,1))&gt;=0,FALSE),IFERROR(INT(MID(Metadata!E658,18,1))&lt;=5,FALSE),NOT(MID(Metadata!E658,19,1)=""),IFERROR(INT(MID(Metadata!E658,18,2))&gt;=0,FALSE),IFERROR(INT(MID(Metadata!E658,18,2))&lt;=59,FALSE)), LEN(Metadata!E658)&lt;=19)))))))))))))</f>
        <v>0</v>
      </c>
      <c r="AS658" t="b">
        <f>IF(Metadata!F658="",FALSE,TRUE)</f>
        <v>0</v>
      </c>
      <c r="AT658" t="b">
        <f>OR(AND(IF(Metadata!G658="",FALSE,TRUE),OR(EXACT(Metadata!G658,"not collected"),EXACT(Metadata!G658,"not provided"))),AND(IF(Metadata!G658="",FALSE,TRUE),OR(EXACT(Metadata!G658,"TRUE"),EXACT(Metadata!G658,"FALSE"))))</f>
        <v>0</v>
      </c>
      <c r="AU658" t="b">
        <f>OR(AND(IF(Metadata!H658="",FALSE,TRUE),OR(EXACT(Metadata!H658,"not collected"),EXACT(Metadata!H658,"not provided"),EXACT(Metadata!H658,"restricted access"))),AND(IF(Metadata!H658="",FALSE,ISNUMBER(VALUE(Metadata!H658))),Metadata!H658&gt;=-413))</f>
        <v>0</v>
      </c>
      <c r="AV658" t="b">
        <f>AND(IF(Metadata!I658="",FALSE,TRUE),EXACT(Metadata!I658,"meters"))</f>
        <v>0</v>
      </c>
      <c r="AW658" t="b">
        <f>AND(IF(Metadata!J658="",FALSE,TRUE),EXACT(Metadata!J658,"free-living"))</f>
        <v>0</v>
      </c>
      <c r="AX658" t="b">
        <f>AND(IF(Metadata!K658="",FALSE,TRUE),OR(EXACT(Metadata!K658,"saline"),EXACT(Metadata!K658,"non-saline")))</f>
        <v>0</v>
      </c>
      <c r="AY658" t="b">
        <f>AND(IF(Metadata!L658="",FALSE,TRUE),OR(EXACT(Metadata!L658,"sub-surface (non-saline)"),EXACT(Metadata!L658,"surface (non-saline)"),EXACT(Metadata!L658,"water (non-saline)"),EXACT(Metadata!L658,"soil (non-saline)"),EXACT(Metadata!L658,"aerosol (non-saline)"),EXACT(Metadata!L658,"sediment (non-saline)"),EXACT(Metadata!L658,"surface (saline)"),EXACT(Metadata!L658,"water (saline)"),EXACT(Metadata!L658,"hypersaline (saline)"),EXACT(Metadata!L658,"aerosol (saline)"),EXACT(Metadata!L658,"sediment (saline)")))</f>
        <v>0</v>
      </c>
      <c r="AZ658" t="b">
        <f>IF(Metadata!M658="",FALSE,TRUE)</f>
        <v>0</v>
      </c>
      <c r="BA658" t="b">
        <f>IF(Metadata!N658="",FALSE,TRUE)</f>
        <v>0</v>
      </c>
      <c r="BB658" t="b">
        <f>IF(Metadata!O658="",FALSE,TRUE)</f>
        <v>0</v>
      </c>
      <c r="BC658" t="b">
        <f>AND(IF(Metadata!P658="",FALSE,TRUE),OR(EXACT(Metadata!P658,"air"),EXACT(Metadata!P658,"microbial mat/biofilm"),EXACT(Metadata!P658,"misc environment"),EXACT(Metadata!P658,"sediment"),EXACT(Metadata!P658,"soil"),EXACT(Metadata!P658,"wastewater/sludge"),EXACT(Metadata!P658,"water")))</f>
        <v>0</v>
      </c>
      <c r="BD658" t="b">
        <f>IF(Metadata!Q658="",FALSE,TRUE)</f>
        <v>0</v>
      </c>
      <c r="BE658" t="b">
        <f>IF(Metadata!R658="",FALSE,TRUE)</f>
        <v>0</v>
      </c>
      <c r="BF658" t="b">
        <f>OR(AND(IF(Metadata!S658="",FALSE,TRUE),OR(EXACT(Metadata!S658,"not collected"),EXACT(Metadata!S658,"not provided"),EXACT(Metadata!S658,"restricted access"))),AND(IF(Metadata!S658="",FALSE,ISNUMBER(VALUE(Metadata!S658))),Metadata!S658&gt;=-90,Metadata!S658&lt;=90))</f>
        <v>0</v>
      </c>
      <c r="BG658" t="b">
        <f>AND(IF(Metadata!T658="",FALSE,TRUE),EXACT(Metadata!T658,"Decimal degrees"))</f>
        <v>0</v>
      </c>
      <c r="BH658" t="b">
        <f>OR(AND(IF(Metadata!U658="",FALSE,TRUE),OR(EXACT(Metadata!U658,"not applicable"),EXACT(Metadata!U658,"not collected"))),IF(Metadata!U658="",FALSE,TRUE))</f>
        <v>0</v>
      </c>
      <c r="BI658" t="b">
        <f>OR(AND(IF(Metadata!V658="",FALSE,TRUE),OR(EXACT(Metadata!V658,"not collected"),EXACT(Metadata!V658,"not provided"),EXACT(Metadata!V658,"restricted access"))),AND(IF(Metadata!V658="",FALSE,ISNUMBER(VALUE(Metadata!V658))),Metadata!V658&gt;=-180,Metadata!V658&lt;=180))</f>
        <v>0</v>
      </c>
      <c r="BJ658" t="b">
        <f>AND(IF(Metadata!W658="",FALSE,TRUE),EXACT(Metadata!W658,"Decimal degrees"))</f>
        <v>0</v>
      </c>
      <c r="BK658" t="b">
        <f>IF(Metadata!X658="",FALSE,TRUE)</f>
        <v>0</v>
      </c>
      <c r="BL658" t="b">
        <f>OR(AND(IF(Metadata!Y658="",FALSE,TRUE),OR(EXACT(Metadata!Y658,"not collected"),EXACT(Metadata!Y658,"not provided"),EXACT(Metadata!Y658,"restricted access"))),AND(IF(Metadata!Y658="",FALSE,TRUE),OR(EXACT(Metadata!Y658,"TRUE"),EXACT(Metadata!Y658,"FALSE"))))</f>
        <v>0</v>
      </c>
      <c r="BM658" t="b">
        <f>OR(AND(IF(Metadata!Z658="",FALSE,TRUE),EXACT(Metadata!Z658,"not applicable")),AND(IF(Metadata!Z658="",FALSE,TRUE),OR(EXACT(Metadata!Z658,"beer"),EXACT(Metadata!Z658,"cheese"),EXACT(Metadata!Z658,"fresh water"),EXACT(Metadata!Z658,"marine sediment"),EXACT(Metadata!Z658,"sea water"),EXACT(Metadata!Z658,"sediment"),EXACT(Metadata!Z658,"soil"),EXACT(Metadata!Z658,"waste water"))))</f>
        <v>0</v>
      </c>
      <c r="BN658" t="b">
        <f>AND(IF(Metadata!AA658="",FALSE,TRUE),EXACT(Metadata!AA658,"metagenome"))</f>
        <v>0</v>
      </c>
      <c r="BO658" t="b">
        <f>AND(IF(Metadata!AB658="",FALSE,TRUE),EXACT(Metadata!AB658,"256318"))</f>
        <v>0</v>
      </c>
      <c r="BP658" t="b">
        <f>IF(Metadata!AC658="",FALSE,TRUE)</f>
        <v>0</v>
      </c>
      <c r="BQ658" t="b">
        <f>IF(Metadata!AD658="",FALSE,TRUE)</f>
        <v>0</v>
      </c>
    </row>
    <row r="659" spans="1:69" x14ac:dyDescent="0.2">
      <c r="A659" s="4" t="e">
        <f ca="1">IF(B659=" "," ",HYPERLINK(CONCATENATE("#metadata!",ADDRESS(INDEX($AJ$2:$AJ$1001,MATCH(ROWS($AH$2:AH659),$AH$2:$AH$1001,0),0),2)),INDEX($AM$2:$AM$1001,MATCH(ROWS($AH$2:AH659),$AH$2:$AH$1001,0),0)))</f>
        <v>#N/A</v>
      </c>
      <c r="B659" s="5" t="e">
        <f ca="1">IF(OR(INDEX($AI$2:$AI$1001,MATCH(ROWS($AH$2:AH659),$AH$2:$AH$1001,0),1)&gt;=100000,INDEX($AO$1005:$BQ$1005,1,MATCH(COLUMNS($AO$1006:AO1006),$AO$1006:$BQ$1006,0))&gt;=100000), " ",IF(INDEX($AO$2:$BQ$1001,MATCH(ROWS($AH$2:AH659),$AH$2:$AH$1001,0),MATCH(COLUMNS($AO$1006:AO1006),$AO$1006:$BQ$1006,0)), HYPERLINK("#",""), HYPERLINK(CONCATENATE("#Metadata!", ADDRESS(INDEX($AJ$2:$AJ$1001,MATCH(ROWS($AH$2:AH659),$AH$2:$AH$1001,0),0), INDEX($AO$1004:$BQ$1004,1,MATCH(COLUMNS($AO$1006:AO1006),$AO$1006:$BQ$1006,0)))),"Fix")))</f>
        <v>#N/A</v>
      </c>
      <c r="C659" s="5" t="e">
        <f ca="1">IF(OR(INDEX($AI$2:$AI$1001,MATCH(ROWS($AH$2:AH659),$AH$2:$AH$1001,0),1)&gt;=100000,INDEX($AO$1005:$BQ$1005,1,MATCH(COLUMNS($AO$1006:AP1006),$AO$1006:$BQ$1006,0))&gt;=100000), " ",IF(INDEX($AO$2:$BQ$1001,MATCH(ROWS($AH$2:AH659),$AH$2:$AH$1001,0),MATCH(COLUMNS($AO$1006:AP1006),$AO$1006:$BQ$1006,0)), HYPERLINK("#",""), HYPERLINK(CONCATENATE("#Metadata!", ADDRESS(INDEX($AJ$2:$AJ$1001,MATCH(ROWS($AH$2:AH659),$AH$2:$AH$1001,0),0), INDEX($AO$1004:$BQ$1004,1,MATCH(COLUMNS($AO$1006:AP1006),$AO$1006:$BQ$1006,0)))),"Fix")))</f>
        <v>#N/A</v>
      </c>
      <c r="D659" s="5" t="e">
        <f ca="1">IF(OR(INDEX($AI$2:$AI$1001,MATCH(ROWS($AH$2:AH659),$AH$2:$AH$1001,0),1)&gt;=100000,INDEX($AO$1005:$BQ$1005,1,MATCH(COLUMNS($AO$1006:AQ1006),$AO$1006:$BQ$1006,0))&gt;=100000), " ",IF(INDEX($AO$2:$BQ$1001,MATCH(ROWS($AH$2:AH659),$AH$2:$AH$1001,0),MATCH(COLUMNS($AO$1006:AQ1006),$AO$1006:$BQ$1006,0)), HYPERLINK("#",""), HYPERLINK(CONCATENATE("#Metadata!", ADDRESS(INDEX($AJ$2:$AJ$1001,MATCH(ROWS($AH$2:AH659),$AH$2:$AH$1001,0),0), INDEX($AO$1004:$BQ$1004,1,MATCH(COLUMNS($AO$1006:AQ1006),$AO$1006:$BQ$1006,0)))),"Fix")))</f>
        <v>#N/A</v>
      </c>
      <c r="E659" s="5" t="e">
        <f ca="1">IF(OR(INDEX($AI$2:$AI$1001,MATCH(ROWS($AH$2:AH659),$AH$2:$AH$1001,0),1)&gt;=100000,INDEX($AO$1005:$BQ$1005,1,MATCH(COLUMNS($AO$1006:AR1006),$AO$1006:$BQ$1006,0))&gt;=100000), " ",IF(INDEX($AO$2:$BQ$1001,MATCH(ROWS($AH$2:AH659),$AH$2:$AH$1001,0),MATCH(COLUMNS($AO$1006:AR1006),$AO$1006:$BQ$1006,0)), HYPERLINK("#",""), HYPERLINK(CONCATENATE("#Metadata!", ADDRESS(INDEX($AJ$2:$AJ$1001,MATCH(ROWS($AH$2:AH659),$AH$2:$AH$1001,0),0), INDEX($AO$1004:$BQ$1004,1,MATCH(COLUMNS($AO$1006:AR1006),$AO$1006:$BQ$1006,0)))),"Fix")))</f>
        <v>#N/A</v>
      </c>
      <c r="F659" s="5" t="e">
        <f ca="1">IF(OR(INDEX($AI$2:$AI$1001,MATCH(ROWS($AH$2:AH659),$AH$2:$AH$1001,0),1)&gt;=100000,INDEX($AO$1005:$BQ$1005,1,MATCH(COLUMNS($AO$1006:AS1006),$AO$1006:$BQ$1006,0))&gt;=100000), " ",IF(INDEX($AO$2:$BQ$1001,MATCH(ROWS($AH$2:AH659),$AH$2:$AH$1001,0),MATCH(COLUMNS($AO$1006:AS1006),$AO$1006:$BQ$1006,0)), HYPERLINK("#",""), HYPERLINK(CONCATENATE("#Metadata!", ADDRESS(INDEX($AJ$2:$AJ$1001,MATCH(ROWS($AH$2:AH659),$AH$2:$AH$1001,0),0), INDEX($AO$1004:$BQ$1004,1,MATCH(COLUMNS($AO$1006:AS1006),$AO$1006:$BQ$1006,0)))),"Fix")))</f>
        <v>#N/A</v>
      </c>
      <c r="G659" s="5" t="e">
        <f ca="1">IF(OR(INDEX($AI$2:$AI$1001,MATCH(ROWS($AH$2:AH659),$AH$2:$AH$1001,0),1)&gt;=100000,INDEX($AO$1005:$BQ$1005,1,MATCH(COLUMNS($AO$1006:AT1006),$AO$1006:$BQ$1006,0))&gt;=100000), " ",IF(INDEX($AO$2:$BQ$1001,MATCH(ROWS($AH$2:AH659),$AH$2:$AH$1001,0),MATCH(COLUMNS($AO$1006:AT1006),$AO$1006:$BQ$1006,0)), HYPERLINK("#",""), HYPERLINK(CONCATENATE("#Metadata!", ADDRESS(INDEX($AJ$2:$AJ$1001,MATCH(ROWS($AH$2:AH659),$AH$2:$AH$1001,0),0), INDEX($AO$1004:$BQ$1004,1,MATCH(COLUMNS($AO$1006:AT1006),$AO$1006:$BQ$1006,0)))),"Fix")))</f>
        <v>#N/A</v>
      </c>
      <c r="H659" s="5" t="e">
        <f ca="1">IF(OR(INDEX($AI$2:$AI$1001,MATCH(ROWS($AH$2:AH659),$AH$2:$AH$1001,0),1)&gt;=100000,INDEX($AO$1005:$BQ$1005,1,MATCH(COLUMNS($AO$1006:AU1006),$AO$1006:$BQ$1006,0))&gt;=100000), " ",IF(INDEX($AO$2:$BQ$1001,MATCH(ROWS($AH$2:AH659),$AH$2:$AH$1001,0),MATCH(COLUMNS($AO$1006:AU1006),$AO$1006:$BQ$1006,0)), HYPERLINK("#",""), HYPERLINK(CONCATENATE("#Metadata!", ADDRESS(INDEX($AJ$2:$AJ$1001,MATCH(ROWS($AH$2:AH659),$AH$2:$AH$1001,0),0), INDEX($AO$1004:$BQ$1004,1,MATCH(COLUMNS($AO$1006:AU1006),$AO$1006:$BQ$1006,0)))),"Fix")))</f>
        <v>#N/A</v>
      </c>
      <c r="I659" s="5" t="e">
        <f ca="1">IF(OR(INDEX($AI$2:$AI$1001,MATCH(ROWS($AH$2:AH659),$AH$2:$AH$1001,0),1)&gt;=100000,INDEX($AO$1005:$BQ$1005,1,MATCH(COLUMNS($AO$1006:AV1006),$AO$1006:$BQ$1006,0))&gt;=100000), " ",IF(INDEX($AO$2:$BQ$1001,MATCH(ROWS($AH$2:AH659),$AH$2:$AH$1001,0),MATCH(COLUMNS($AO$1006:AV1006),$AO$1006:$BQ$1006,0)), HYPERLINK("#",""), HYPERLINK(CONCATENATE("#Metadata!", ADDRESS(INDEX($AJ$2:$AJ$1001,MATCH(ROWS($AH$2:AH659),$AH$2:$AH$1001,0),0), INDEX($AO$1004:$BQ$1004,1,MATCH(COLUMNS($AO$1006:AV1006),$AO$1006:$BQ$1006,0)))),"Fix")))</f>
        <v>#N/A</v>
      </c>
      <c r="J659" s="5" t="e">
        <f ca="1">IF(OR(INDEX($AI$2:$AI$1001,MATCH(ROWS($AH$2:AH659),$AH$2:$AH$1001,0),1)&gt;=100000,INDEX($AO$1005:$BQ$1005,1,MATCH(COLUMNS($AO$1006:AW1006),$AO$1006:$BQ$1006,0))&gt;=100000), " ",IF(INDEX($AO$2:$BQ$1001,MATCH(ROWS($AH$2:AH659),$AH$2:$AH$1001,0),MATCH(COLUMNS($AO$1006:AW1006),$AO$1006:$BQ$1006,0)), HYPERLINK("#",""), HYPERLINK(CONCATENATE("#Metadata!", ADDRESS(INDEX($AJ$2:$AJ$1001,MATCH(ROWS($AH$2:AH659),$AH$2:$AH$1001,0),0), INDEX($AO$1004:$BQ$1004,1,MATCH(COLUMNS($AO$1006:AW1006),$AO$1006:$BQ$1006,0)))),"Fix")))</f>
        <v>#N/A</v>
      </c>
      <c r="K659" s="5" t="e">
        <f ca="1">IF(OR(INDEX($AI$2:$AI$1001,MATCH(ROWS($AH$2:AH659),$AH$2:$AH$1001,0),1)&gt;=100000,INDEX($AO$1005:$BQ$1005,1,MATCH(COLUMNS($AO$1006:AX1006),$AO$1006:$BQ$1006,0))&gt;=100000), " ",IF(INDEX($AO$2:$BQ$1001,MATCH(ROWS($AH$2:AH659),$AH$2:$AH$1001,0),MATCH(COLUMNS($AO$1006:AX1006),$AO$1006:$BQ$1006,0)), HYPERLINK("#",""), HYPERLINK(CONCATENATE("#Metadata!", ADDRESS(INDEX($AJ$2:$AJ$1001,MATCH(ROWS($AH$2:AH659),$AH$2:$AH$1001,0),0), INDEX($AO$1004:$BQ$1004,1,MATCH(COLUMNS($AO$1006:AX1006),$AO$1006:$BQ$1006,0)))),"Fix")))</f>
        <v>#N/A</v>
      </c>
      <c r="L659" s="5" t="e">
        <f ca="1">IF(OR(INDEX($AI$2:$AI$1001,MATCH(ROWS($AH$2:AH659),$AH$2:$AH$1001,0),1)&gt;=100000,INDEX($AO$1005:$BQ$1005,1,MATCH(COLUMNS($AO$1006:AY1006),$AO$1006:$BQ$1006,0))&gt;=100000), " ",IF(INDEX($AO$2:$BQ$1001,MATCH(ROWS($AH$2:AH659),$AH$2:$AH$1001,0),MATCH(COLUMNS($AO$1006:AY1006),$AO$1006:$BQ$1006,0)), HYPERLINK("#",""), HYPERLINK(CONCATENATE("#Metadata!", ADDRESS(INDEX($AJ$2:$AJ$1001,MATCH(ROWS($AH$2:AH659),$AH$2:$AH$1001,0),0), INDEX($AO$1004:$BQ$1004,1,MATCH(COLUMNS($AO$1006:AY1006),$AO$1006:$BQ$1006,0)))),"Fix")))</f>
        <v>#N/A</v>
      </c>
      <c r="M659" s="5" t="e">
        <f ca="1">IF(OR(INDEX($AI$2:$AI$1001,MATCH(ROWS($AH$2:AH659),$AH$2:$AH$1001,0),1)&gt;=100000,INDEX($AO$1005:$BQ$1005,1,MATCH(COLUMNS($AO$1006:AZ1006),$AO$1006:$BQ$1006,0))&gt;=100000), " ",IF(INDEX($AO$2:$BQ$1001,MATCH(ROWS($AH$2:AH659),$AH$2:$AH$1001,0),MATCH(COLUMNS($AO$1006:AZ1006),$AO$1006:$BQ$1006,0)), HYPERLINK("#",""), HYPERLINK(CONCATENATE("#Metadata!", ADDRESS(INDEX($AJ$2:$AJ$1001,MATCH(ROWS($AH$2:AH659),$AH$2:$AH$1001,0),0), INDEX($AO$1004:$BQ$1004,1,MATCH(COLUMNS($AO$1006:AZ1006),$AO$1006:$BQ$1006,0)))),"Fix")))</f>
        <v>#N/A</v>
      </c>
      <c r="N659" s="5" t="e">
        <f ca="1">IF(OR(INDEX($AI$2:$AI$1001,MATCH(ROWS($AH$2:AH659),$AH$2:$AH$1001,0),1)&gt;=100000,INDEX($AO$1005:$BQ$1005,1,MATCH(COLUMNS($AO$1006:BA1006),$AO$1006:$BQ$1006,0))&gt;=100000), " ",IF(INDEX($AO$2:$BQ$1001,MATCH(ROWS($AH$2:AH659),$AH$2:$AH$1001,0),MATCH(COLUMNS($AO$1006:BA1006),$AO$1006:$BQ$1006,0)), HYPERLINK("#",""), HYPERLINK(CONCATENATE("#Metadata!", ADDRESS(INDEX($AJ$2:$AJ$1001,MATCH(ROWS($AH$2:AH659),$AH$2:$AH$1001,0),0), INDEX($AO$1004:$BQ$1004,1,MATCH(COLUMNS($AO$1006:BA1006),$AO$1006:$BQ$1006,0)))),"Fix")))</f>
        <v>#N/A</v>
      </c>
      <c r="O659" s="5" t="e">
        <f ca="1">IF(OR(INDEX($AI$2:$AI$1001,MATCH(ROWS($AH$2:AH659),$AH$2:$AH$1001,0),1)&gt;=100000,INDEX($AO$1005:$BQ$1005,1,MATCH(COLUMNS($AO$1006:BB1006),$AO$1006:$BQ$1006,0))&gt;=100000), " ",IF(INDEX($AO$2:$BQ$1001,MATCH(ROWS($AH$2:AH659),$AH$2:$AH$1001,0),MATCH(COLUMNS($AO$1006:BB1006),$AO$1006:$BQ$1006,0)), HYPERLINK("#",""), HYPERLINK(CONCATENATE("#Metadata!", ADDRESS(INDEX($AJ$2:$AJ$1001,MATCH(ROWS($AH$2:AH659),$AH$2:$AH$1001,0),0), INDEX($AO$1004:$BQ$1004,1,MATCH(COLUMNS($AO$1006:BB1006),$AO$1006:$BQ$1006,0)))),"Fix")))</f>
        <v>#N/A</v>
      </c>
      <c r="P659" s="5" t="e">
        <f ca="1">IF(OR(INDEX($AI$2:$AI$1001,MATCH(ROWS($AH$2:AH659),$AH$2:$AH$1001,0),1)&gt;=100000,INDEX($AO$1005:$BQ$1005,1,MATCH(COLUMNS($AO$1006:BC1006),$AO$1006:$BQ$1006,0))&gt;=100000), " ",IF(INDEX($AO$2:$BQ$1001,MATCH(ROWS($AH$2:AH659),$AH$2:$AH$1001,0),MATCH(COLUMNS($AO$1006:BC1006),$AO$1006:$BQ$1006,0)), HYPERLINK("#",""), HYPERLINK(CONCATENATE("#Metadata!", ADDRESS(INDEX($AJ$2:$AJ$1001,MATCH(ROWS($AH$2:AH659),$AH$2:$AH$1001,0),0), INDEX($AO$1004:$BQ$1004,1,MATCH(COLUMNS($AO$1006:BC1006),$AO$1006:$BQ$1006,0)))),"Fix")))</f>
        <v>#N/A</v>
      </c>
      <c r="Q659" s="5" t="e">
        <f ca="1">IF(OR(INDEX($AI$2:$AI$1001,MATCH(ROWS($AH$2:AH659),$AH$2:$AH$1001,0),1)&gt;=100000,INDEX($AO$1005:$BQ$1005,1,MATCH(COLUMNS($AO$1006:BD1006),$AO$1006:$BQ$1006,0))&gt;=100000), " ",IF(INDEX($AO$2:$BQ$1001,MATCH(ROWS($AH$2:AH659),$AH$2:$AH$1001,0),MATCH(COLUMNS($AO$1006:BD1006),$AO$1006:$BQ$1006,0)), HYPERLINK("#",""), HYPERLINK(CONCATENATE("#Metadata!", ADDRESS(INDEX($AJ$2:$AJ$1001,MATCH(ROWS($AH$2:AH659),$AH$2:$AH$1001,0),0), INDEX($AO$1004:$BQ$1004,1,MATCH(COLUMNS($AO$1006:BD1006),$AO$1006:$BQ$1006,0)))),"Fix")))</f>
        <v>#N/A</v>
      </c>
      <c r="R659" s="5" t="e">
        <f ca="1">IF(OR(INDEX($AI$2:$AI$1001,MATCH(ROWS($AH$2:AH659),$AH$2:$AH$1001,0),1)&gt;=100000,INDEX($AO$1005:$BQ$1005,1,MATCH(COLUMNS($AO$1006:BE1006),$AO$1006:$BQ$1006,0))&gt;=100000), " ",IF(INDEX($AO$2:$BQ$1001,MATCH(ROWS($AH$2:AH659),$AH$2:$AH$1001,0),MATCH(COLUMNS($AO$1006:BE1006),$AO$1006:$BQ$1006,0)), HYPERLINK("#",""), HYPERLINK(CONCATENATE("#Metadata!", ADDRESS(INDEX($AJ$2:$AJ$1001,MATCH(ROWS($AH$2:AH659),$AH$2:$AH$1001,0),0), INDEX($AO$1004:$BQ$1004,1,MATCH(COLUMNS($AO$1006:BE1006),$AO$1006:$BQ$1006,0)))),"Fix")))</f>
        <v>#N/A</v>
      </c>
      <c r="S659" s="5" t="e">
        <f ca="1">IF(OR(INDEX($AI$2:$AI$1001,MATCH(ROWS($AH$2:AH659),$AH$2:$AH$1001,0),1)&gt;=100000,INDEX($AO$1005:$BQ$1005,1,MATCH(COLUMNS($AO$1006:BF1006),$AO$1006:$BQ$1006,0))&gt;=100000), " ",IF(INDEX($AO$2:$BQ$1001,MATCH(ROWS($AH$2:AH659),$AH$2:$AH$1001,0),MATCH(COLUMNS($AO$1006:BF1006),$AO$1006:$BQ$1006,0)), HYPERLINK("#",""), HYPERLINK(CONCATENATE("#Metadata!", ADDRESS(INDEX($AJ$2:$AJ$1001,MATCH(ROWS($AH$2:AH659),$AH$2:$AH$1001,0),0), INDEX($AO$1004:$BQ$1004,1,MATCH(COLUMNS($AO$1006:BF1006),$AO$1006:$BQ$1006,0)))),"Fix")))</f>
        <v>#N/A</v>
      </c>
      <c r="T659" s="5" t="e">
        <f ca="1">IF(OR(INDEX($AI$2:$AI$1001,MATCH(ROWS($AH$2:AH659),$AH$2:$AH$1001,0),1)&gt;=100000,INDEX($AO$1005:$BQ$1005,1,MATCH(COLUMNS($AO$1006:BG1006),$AO$1006:$BQ$1006,0))&gt;=100000), " ",IF(INDEX($AO$2:$BQ$1001,MATCH(ROWS($AH$2:AH659),$AH$2:$AH$1001,0),MATCH(COLUMNS($AO$1006:BG1006),$AO$1006:$BQ$1006,0)), HYPERLINK("#",""), HYPERLINK(CONCATENATE("#Metadata!", ADDRESS(INDEX($AJ$2:$AJ$1001,MATCH(ROWS($AH$2:AH659),$AH$2:$AH$1001,0),0), INDEX($AO$1004:$BQ$1004,1,MATCH(COLUMNS($AO$1006:BG1006),$AO$1006:$BQ$1006,0)))),"Fix")))</f>
        <v>#N/A</v>
      </c>
      <c r="U659" s="5" t="e">
        <f ca="1">IF(OR(INDEX($AI$2:$AI$1001,MATCH(ROWS($AH$2:AH659),$AH$2:$AH$1001,0),1)&gt;=100000,INDEX($AO$1005:$BQ$1005,1,MATCH(COLUMNS($AO$1006:BH1006),$AO$1006:$BQ$1006,0))&gt;=100000), " ",IF(INDEX($AO$2:$BQ$1001,MATCH(ROWS($AH$2:AH659),$AH$2:$AH$1001,0),MATCH(COLUMNS($AO$1006:BH1006),$AO$1006:$BQ$1006,0)), HYPERLINK("#",""), HYPERLINK(CONCATENATE("#Metadata!", ADDRESS(INDEX($AJ$2:$AJ$1001,MATCH(ROWS($AH$2:AH659),$AH$2:$AH$1001,0),0), INDEX($AO$1004:$BQ$1004,1,MATCH(COLUMNS($AO$1006:BH1006),$AO$1006:$BQ$1006,0)))),"Fix")))</f>
        <v>#N/A</v>
      </c>
      <c r="V659" s="5" t="e">
        <f ca="1">IF(OR(INDEX($AI$2:$AI$1001,MATCH(ROWS($AH$2:AH659),$AH$2:$AH$1001,0),1)&gt;=100000,INDEX($AO$1005:$BQ$1005,1,MATCH(COLUMNS($AO$1006:BI1006),$AO$1006:$BQ$1006,0))&gt;=100000), " ",IF(INDEX($AO$2:$BQ$1001,MATCH(ROWS($AH$2:AH659),$AH$2:$AH$1001,0),MATCH(COLUMNS($AO$1006:BI1006),$AO$1006:$BQ$1006,0)), HYPERLINK("#",""), HYPERLINK(CONCATENATE("#Metadata!", ADDRESS(INDEX($AJ$2:$AJ$1001,MATCH(ROWS($AH$2:AH659),$AH$2:$AH$1001,0),0), INDEX($AO$1004:$BQ$1004,1,MATCH(COLUMNS($AO$1006:BI1006),$AO$1006:$BQ$1006,0)))),"Fix")))</f>
        <v>#N/A</v>
      </c>
      <c r="W659" s="5" t="e">
        <f ca="1">IF(OR(INDEX($AI$2:$AI$1001,MATCH(ROWS($AH$2:AH659),$AH$2:$AH$1001,0),1)&gt;=100000,INDEX($AO$1005:$BQ$1005,1,MATCH(COLUMNS($AO$1006:BJ1006),$AO$1006:$BQ$1006,0))&gt;=100000), " ",IF(INDEX($AO$2:$BQ$1001,MATCH(ROWS($AH$2:AH659),$AH$2:$AH$1001,0),MATCH(COLUMNS($AO$1006:BJ1006),$AO$1006:$BQ$1006,0)), HYPERLINK("#",""), HYPERLINK(CONCATENATE("#Metadata!", ADDRESS(INDEX($AJ$2:$AJ$1001,MATCH(ROWS($AH$2:AH659),$AH$2:$AH$1001,0),0), INDEX($AO$1004:$BQ$1004,1,MATCH(COLUMNS($AO$1006:BJ1006),$AO$1006:$BQ$1006,0)))),"Fix")))</f>
        <v>#N/A</v>
      </c>
      <c r="X659" s="5" t="e">
        <f ca="1">IF(OR(INDEX($AI$2:$AI$1001,MATCH(ROWS($AH$2:AH659),$AH$2:$AH$1001,0),1)&gt;=100000,INDEX($AO$1005:$BQ$1005,1,MATCH(COLUMNS($AO$1006:BK1006),$AO$1006:$BQ$1006,0))&gt;=100000), " ",IF(INDEX($AO$2:$BQ$1001,MATCH(ROWS($AH$2:AH659),$AH$2:$AH$1001,0),MATCH(COLUMNS($AO$1006:BK1006),$AO$1006:$BQ$1006,0)), HYPERLINK("#",""), HYPERLINK(CONCATENATE("#Metadata!", ADDRESS(INDEX($AJ$2:$AJ$1001,MATCH(ROWS($AH$2:AH659),$AH$2:$AH$1001,0),0), INDEX($AO$1004:$BQ$1004,1,MATCH(COLUMNS($AO$1006:BK1006),$AO$1006:$BQ$1006,0)))),"Fix")))</f>
        <v>#N/A</v>
      </c>
      <c r="Y659" s="5" t="e">
        <f ca="1">IF(OR(INDEX($AI$2:$AI$1001,MATCH(ROWS($AH$2:AH659),$AH$2:$AH$1001,0),1)&gt;=100000,INDEX($AO$1005:$BQ$1005,1,MATCH(COLUMNS($AO$1006:BL1006),$AO$1006:$BQ$1006,0))&gt;=100000), " ",IF(INDEX($AO$2:$BQ$1001,MATCH(ROWS($AH$2:AH659),$AH$2:$AH$1001,0),MATCH(COLUMNS($AO$1006:BL1006),$AO$1006:$BQ$1006,0)), HYPERLINK("#",""), HYPERLINK(CONCATENATE("#Metadata!", ADDRESS(INDEX($AJ$2:$AJ$1001,MATCH(ROWS($AH$2:AH659),$AH$2:$AH$1001,0),0), INDEX($AO$1004:$BQ$1004,1,MATCH(COLUMNS($AO$1006:BL1006),$AO$1006:$BQ$1006,0)))),"Fix")))</f>
        <v>#N/A</v>
      </c>
      <c r="Z659" s="5" t="e">
        <f ca="1">IF(OR(INDEX($AI$2:$AI$1001,MATCH(ROWS($AH$2:AH659),$AH$2:$AH$1001,0),1)&gt;=100000,INDEX($AO$1005:$BQ$1005,1,MATCH(COLUMNS($AO$1006:BM1006),$AO$1006:$BQ$1006,0))&gt;=100000), " ",IF(INDEX($AO$2:$BQ$1001,MATCH(ROWS($AH$2:AH659),$AH$2:$AH$1001,0),MATCH(COLUMNS($AO$1006:BM1006),$AO$1006:$BQ$1006,0)), HYPERLINK("#",""), HYPERLINK(CONCATENATE("#Metadata!", ADDRESS(INDEX($AJ$2:$AJ$1001,MATCH(ROWS($AH$2:AH659),$AH$2:$AH$1001,0),0), INDEX($AO$1004:$BQ$1004,1,MATCH(COLUMNS($AO$1006:BM1006),$AO$1006:$BQ$1006,0)))),"Fix")))</f>
        <v>#N/A</v>
      </c>
      <c r="AA659" s="5" t="e">
        <f ca="1">IF(OR(INDEX($AI$2:$AI$1001,MATCH(ROWS($AH$2:AH659),$AH$2:$AH$1001,0),1)&gt;=100000,INDEX($AO$1005:$BQ$1005,1,MATCH(COLUMNS($AO$1006:BN1006),$AO$1006:$BQ$1006,0))&gt;=100000), " ",IF(INDEX($AO$2:$BQ$1001,MATCH(ROWS($AH$2:AH659),$AH$2:$AH$1001,0),MATCH(COLUMNS($AO$1006:BN1006),$AO$1006:$BQ$1006,0)), HYPERLINK("#",""), HYPERLINK(CONCATENATE("#Metadata!", ADDRESS(INDEX($AJ$2:$AJ$1001,MATCH(ROWS($AH$2:AH659),$AH$2:$AH$1001,0),0), INDEX($AO$1004:$BQ$1004,1,MATCH(COLUMNS($AO$1006:BN1006),$AO$1006:$BQ$1006,0)))),"Fix")))</f>
        <v>#N/A</v>
      </c>
      <c r="AB659" s="5" t="e">
        <f ca="1">IF(OR(INDEX($AI$2:$AI$1001,MATCH(ROWS($AH$2:AH659),$AH$2:$AH$1001,0),1)&gt;=100000,INDEX($AO$1005:$BQ$1005,1,MATCH(COLUMNS($AO$1006:BO1006),$AO$1006:$BQ$1006,0))&gt;=100000), " ",IF(INDEX($AO$2:$BQ$1001,MATCH(ROWS($AH$2:AH659),$AH$2:$AH$1001,0),MATCH(COLUMNS($AO$1006:BO1006),$AO$1006:$BQ$1006,0)), HYPERLINK("#",""), HYPERLINK(CONCATENATE("#Metadata!", ADDRESS(INDEX($AJ$2:$AJ$1001,MATCH(ROWS($AH$2:AH659),$AH$2:$AH$1001,0),0), INDEX($AO$1004:$BQ$1004,1,MATCH(COLUMNS($AO$1006:BO1006),$AO$1006:$BQ$1006,0)))),"Fix")))</f>
        <v>#N/A</v>
      </c>
      <c r="AC659" s="5" t="e">
        <f ca="1">IF(OR(INDEX($AI$2:$AI$1001,MATCH(ROWS($AH$2:AH659),$AH$2:$AH$1001,0),1)&gt;=100000,INDEX($AO$1005:$BQ$1005,1,MATCH(COLUMNS($AO$1006:BP1006),$AO$1006:$BQ$1006,0))&gt;=100000), " ",IF(INDEX($AO$2:$BQ$1001,MATCH(ROWS($AH$2:AH659),$AH$2:$AH$1001,0),MATCH(COLUMNS($AO$1006:BP1006),$AO$1006:$BQ$1006,0)), HYPERLINK("#",""), HYPERLINK(CONCATENATE("#Metadata!", ADDRESS(INDEX($AJ$2:$AJ$1001,MATCH(ROWS($AH$2:AH659),$AH$2:$AH$1001,0),0), INDEX($AO$1004:$BQ$1004,1,MATCH(COLUMNS($AO$1006:BP1006),$AO$1006:$BQ$1006,0)))),"Fix")))</f>
        <v>#N/A</v>
      </c>
      <c r="AD659" s="5" t="e">
        <f ca="1">IF(OR(INDEX($AI$2:$AI$1001,MATCH(ROWS($AH$2:AH659),$AH$2:$AH$1001,0),1)&gt;=100000,INDEX($AO$1005:$BQ$1005,1,MATCH(COLUMNS($AO$1006:BQ1006),$AO$1006:$BQ$1006,0))&gt;=100000), " ",IF(INDEX($AO$2:$BQ$1001,MATCH(ROWS($AH$2:AH659),$AH$2:$AH$1001,0),MATCH(COLUMNS($AO$1006:BQ1006),$AO$1006:$BQ$1006,0)), HYPERLINK("#",""), HYPERLINK(CONCATENATE("#Metadata!", ADDRESS(INDEX($AJ$2:$AJ$1001,MATCH(ROWS($AH$2:AH659),$AH$2:$AH$1001,0),0), INDEX($AO$1004:$BQ$1004,1,MATCH(COLUMNS($AO$1006:BQ1006),$AO$1006:$BQ$1006,0)))),"Fix")))</f>
        <v>#REF!</v>
      </c>
      <c r="AH659">
        <f ca="1"/>
        <v>656</v>
      </c>
      <c r="AI659">
        <v>100659</v>
      </c>
      <c r="AJ659">
        <v>659</v>
      </c>
      <c r="AK659" t="b">
        <f t="shared" si="10"/>
        <v>1</v>
      </c>
      <c r="AL659" t="b">
        <f>COUNTBLANK(Metadata!B659:AD659)=COLUMNS(Metadata!B659:AD659)</f>
        <v>1</v>
      </c>
      <c r="AM659" t="str">
        <v/>
      </c>
      <c r="AO659" t="b">
        <f ca="1">AND(IF(Metadata!B659="",FALSE,TRUE),COUNTIF(Metadata!B:B, Metadata!B659) = 1,NOT(ISERROR(SUMPRODUCT(SEARCH(MID(Metadata!B659,ROW(INDIRECT("1:"&amp;LEN(Metadata!B659))), 1),"0123456789abcdefghijklmnopqrstuvwxyzABCDEFGHIJKLMNOPQRSTUVWXYZ.")))))</f>
        <v>0</v>
      </c>
      <c r="AP659" t="b">
        <f>IF(Metadata!C659="",FALSE,TRUE)</f>
        <v>0</v>
      </c>
      <c r="AQ659" t="b">
        <f>IF(Metadata!D659="",FALSE,TRUE)</f>
        <v>0</v>
      </c>
      <c r="AR659" t="b">
        <f ca="1">OR(AND(IF(Metadata!E659="",FALSE,TRUE),OR(EXACT(Metadata!E659,"not collected"),EXACT(Metadata!E659,"not provided"),EXACT(Metadata!E659,"restricted access"))),AND(IF(Metadata!E659="",FALSE,TRUE),AND(AND(IFERROR(INT(LEFT(Metadata!E659,4))&gt;1900,FALSE),IFERROR(INT(LEFT(Metadata!E659,4))&lt;=YEAR(NOW()),FALSE)), OR(MID(Metadata!E659,5,1)="", AND(AND(MID(Metadata!E659,5,1)="-",IFERROR(INT(MID(Metadata!E659,6,1))&gt;=0,FALSE),IFERROR(INT(MID(Metadata!E659,6,1))&lt;=1,FALSE),NOT(MID(Metadata!E659,7,1)=""),IFERROR(INT(MID(Metadata!E659,6,2))&gt;=1,FALSE),IFERROR(INT(MID(Metadata!E659,6,2))&lt;=12,FALSE)), OR(MID(Metadata!E659,8,1)="", AND(AND(MID(Metadata!E659,8,1)="-",IFERROR(INT(MID(Metadata!E659,9,1))&gt;=0,FALSE),IFERROR(INT(MID(Metadata!E659,9,1))&lt;=3,FALSE),NOT(MID(Metadata!E659,10,1)=""),IFERROR(INT(MID(Metadata!E659,9,2))&gt;=1,FALSE),IFERROR(INT(MID(Metadata!E659,9,2))&lt;=31,FALSE)), OR(MID(Metadata!E659,11,1)="", AND(AND(MID(Metadata!E659,11,1)=" ",IFERROR(INT(MID(Metadata!E659,12,1))&gt;=0,FALSE),IFERROR(INT(MID(Metadata!E659,12,1))&lt;=2,FALSE),NOT(MID(Metadata!E659,13,1)=""),IFERROR(INT(MID(Metadata!E659,12,2))&gt;=0,FALSE),IFERROR(INT(MID(Metadata!E659,12,2))&lt;=23,FALSE)), OR(MID(Metadata!E659,14,1)="", AND(AND(MID(Metadata!E659,14,1)=":",IFERROR(INT(MID(Metadata!E659,15,1))&gt;=0,FALSE),IFERROR(INT(MID(Metadata!E659,15,1))&lt;=5,FALSE),NOT(MID(Metadata!E659,16,1)=""),IFERROR(INT(MID(Metadata!E659,15,2))&gt;=0,FALSE),IFERROR(INT(MID(Metadata!E659,15,2))&lt;=59,FALSE)), OR(MID(Metadata!E659,17,1)="", AND(AND(MID(Metadata!E659,17,1)=":",IFERROR(INT(MID(Metadata!E659,18,1))&gt;=0,FALSE),IFERROR(INT(MID(Metadata!E659,18,1))&lt;=5,FALSE),NOT(MID(Metadata!E659,19,1)=""),IFERROR(INT(MID(Metadata!E659,18,2))&gt;=0,FALSE),IFERROR(INT(MID(Metadata!E659,18,2))&lt;=59,FALSE)), LEN(Metadata!E659)&lt;=19)))))))))))))</f>
        <v>0</v>
      </c>
      <c r="AS659" t="b">
        <f>IF(Metadata!F659="",FALSE,TRUE)</f>
        <v>0</v>
      </c>
      <c r="AT659" t="b">
        <f>OR(AND(IF(Metadata!G659="",FALSE,TRUE),OR(EXACT(Metadata!G659,"not collected"),EXACT(Metadata!G659,"not provided"))),AND(IF(Metadata!G659="",FALSE,TRUE),OR(EXACT(Metadata!G659,"TRUE"),EXACT(Metadata!G659,"FALSE"))))</f>
        <v>0</v>
      </c>
      <c r="AU659" t="b">
        <f>OR(AND(IF(Metadata!H659="",FALSE,TRUE),OR(EXACT(Metadata!H659,"not collected"),EXACT(Metadata!H659,"not provided"),EXACT(Metadata!H659,"restricted access"))),AND(IF(Metadata!H659="",FALSE,ISNUMBER(VALUE(Metadata!H659))),Metadata!H659&gt;=-413))</f>
        <v>0</v>
      </c>
      <c r="AV659" t="b">
        <f>AND(IF(Metadata!I659="",FALSE,TRUE),EXACT(Metadata!I659,"meters"))</f>
        <v>0</v>
      </c>
      <c r="AW659" t="b">
        <f>AND(IF(Metadata!J659="",FALSE,TRUE),EXACT(Metadata!J659,"free-living"))</f>
        <v>0</v>
      </c>
      <c r="AX659" t="b">
        <f>AND(IF(Metadata!K659="",FALSE,TRUE),OR(EXACT(Metadata!K659,"saline"),EXACT(Metadata!K659,"non-saline")))</f>
        <v>0</v>
      </c>
      <c r="AY659" t="b">
        <f>AND(IF(Metadata!L659="",FALSE,TRUE),OR(EXACT(Metadata!L659,"sub-surface (non-saline)"),EXACT(Metadata!L659,"surface (non-saline)"),EXACT(Metadata!L659,"water (non-saline)"),EXACT(Metadata!L659,"soil (non-saline)"),EXACT(Metadata!L659,"aerosol (non-saline)"),EXACT(Metadata!L659,"sediment (non-saline)"),EXACT(Metadata!L659,"surface (saline)"),EXACT(Metadata!L659,"water (saline)"),EXACT(Metadata!L659,"hypersaline (saline)"),EXACT(Metadata!L659,"aerosol (saline)"),EXACT(Metadata!L659,"sediment (saline)")))</f>
        <v>0</v>
      </c>
      <c r="AZ659" t="b">
        <f>IF(Metadata!M659="",FALSE,TRUE)</f>
        <v>0</v>
      </c>
      <c r="BA659" t="b">
        <f>IF(Metadata!N659="",FALSE,TRUE)</f>
        <v>0</v>
      </c>
      <c r="BB659" t="b">
        <f>IF(Metadata!O659="",FALSE,TRUE)</f>
        <v>0</v>
      </c>
      <c r="BC659" t="b">
        <f>AND(IF(Metadata!P659="",FALSE,TRUE),OR(EXACT(Metadata!P659,"air"),EXACT(Metadata!P659,"microbial mat/biofilm"),EXACT(Metadata!P659,"misc environment"),EXACT(Metadata!P659,"sediment"),EXACT(Metadata!P659,"soil"),EXACT(Metadata!P659,"wastewater/sludge"),EXACT(Metadata!P659,"water")))</f>
        <v>0</v>
      </c>
      <c r="BD659" t="b">
        <f>IF(Metadata!Q659="",FALSE,TRUE)</f>
        <v>0</v>
      </c>
      <c r="BE659" t="b">
        <f>IF(Metadata!R659="",FALSE,TRUE)</f>
        <v>0</v>
      </c>
      <c r="BF659" t="b">
        <f>OR(AND(IF(Metadata!S659="",FALSE,TRUE),OR(EXACT(Metadata!S659,"not collected"),EXACT(Metadata!S659,"not provided"),EXACT(Metadata!S659,"restricted access"))),AND(IF(Metadata!S659="",FALSE,ISNUMBER(VALUE(Metadata!S659))),Metadata!S659&gt;=-90,Metadata!S659&lt;=90))</f>
        <v>0</v>
      </c>
      <c r="BG659" t="b">
        <f>AND(IF(Metadata!T659="",FALSE,TRUE),EXACT(Metadata!T659,"Decimal degrees"))</f>
        <v>0</v>
      </c>
      <c r="BH659" t="b">
        <f>OR(AND(IF(Metadata!U659="",FALSE,TRUE),OR(EXACT(Metadata!U659,"not applicable"),EXACT(Metadata!U659,"not collected"))),IF(Metadata!U659="",FALSE,TRUE))</f>
        <v>0</v>
      </c>
      <c r="BI659" t="b">
        <f>OR(AND(IF(Metadata!V659="",FALSE,TRUE),OR(EXACT(Metadata!V659,"not collected"),EXACT(Metadata!V659,"not provided"),EXACT(Metadata!V659,"restricted access"))),AND(IF(Metadata!V659="",FALSE,ISNUMBER(VALUE(Metadata!V659))),Metadata!V659&gt;=-180,Metadata!V659&lt;=180))</f>
        <v>0</v>
      </c>
      <c r="BJ659" t="b">
        <f>AND(IF(Metadata!W659="",FALSE,TRUE),EXACT(Metadata!W659,"Decimal degrees"))</f>
        <v>0</v>
      </c>
      <c r="BK659" t="b">
        <f>IF(Metadata!X659="",FALSE,TRUE)</f>
        <v>0</v>
      </c>
      <c r="BL659" t="b">
        <f>OR(AND(IF(Metadata!Y659="",FALSE,TRUE),OR(EXACT(Metadata!Y659,"not collected"),EXACT(Metadata!Y659,"not provided"),EXACT(Metadata!Y659,"restricted access"))),AND(IF(Metadata!Y659="",FALSE,TRUE),OR(EXACT(Metadata!Y659,"TRUE"),EXACT(Metadata!Y659,"FALSE"))))</f>
        <v>0</v>
      </c>
      <c r="BM659" t="b">
        <f>OR(AND(IF(Metadata!Z659="",FALSE,TRUE),EXACT(Metadata!Z659,"not applicable")),AND(IF(Metadata!Z659="",FALSE,TRUE),OR(EXACT(Metadata!Z659,"beer"),EXACT(Metadata!Z659,"cheese"),EXACT(Metadata!Z659,"fresh water"),EXACT(Metadata!Z659,"marine sediment"),EXACT(Metadata!Z659,"sea water"),EXACT(Metadata!Z659,"sediment"),EXACT(Metadata!Z659,"soil"),EXACT(Metadata!Z659,"waste water"))))</f>
        <v>0</v>
      </c>
      <c r="BN659" t="b">
        <f>AND(IF(Metadata!AA659="",FALSE,TRUE),EXACT(Metadata!AA659,"metagenome"))</f>
        <v>0</v>
      </c>
      <c r="BO659" t="b">
        <f>AND(IF(Metadata!AB659="",FALSE,TRUE),EXACT(Metadata!AB659,"256318"))</f>
        <v>0</v>
      </c>
      <c r="BP659" t="b">
        <f>IF(Metadata!AC659="",FALSE,TRUE)</f>
        <v>0</v>
      </c>
      <c r="BQ659" t="b">
        <f>IF(Metadata!AD659="",FALSE,TRUE)</f>
        <v>0</v>
      </c>
    </row>
    <row r="660" spans="1:69" x14ac:dyDescent="0.2">
      <c r="A660" s="4" t="e">
        <f ca="1">IF(B660=" "," ",HYPERLINK(CONCATENATE("#metadata!",ADDRESS(INDEX($AJ$2:$AJ$1001,MATCH(ROWS($AH$2:AH660),$AH$2:$AH$1001,0),0),2)),INDEX($AM$2:$AM$1001,MATCH(ROWS($AH$2:AH660),$AH$2:$AH$1001,0),0)))</f>
        <v>#N/A</v>
      </c>
      <c r="B660" s="5" t="e">
        <f ca="1">IF(OR(INDEX($AI$2:$AI$1001,MATCH(ROWS($AH$2:AH660),$AH$2:$AH$1001,0),1)&gt;=100000,INDEX($AO$1005:$BQ$1005,1,MATCH(COLUMNS($AO$1006:AO1006),$AO$1006:$BQ$1006,0))&gt;=100000), " ",IF(INDEX($AO$2:$BQ$1001,MATCH(ROWS($AH$2:AH660),$AH$2:$AH$1001,0),MATCH(COLUMNS($AO$1006:AO1006),$AO$1006:$BQ$1006,0)), HYPERLINK("#",""), HYPERLINK(CONCATENATE("#Metadata!", ADDRESS(INDEX($AJ$2:$AJ$1001,MATCH(ROWS($AH$2:AH660),$AH$2:$AH$1001,0),0), INDEX($AO$1004:$BQ$1004,1,MATCH(COLUMNS($AO$1006:AO1006),$AO$1006:$BQ$1006,0)))),"Fix")))</f>
        <v>#N/A</v>
      </c>
      <c r="C660" s="5" t="e">
        <f ca="1">IF(OR(INDEX($AI$2:$AI$1001,MATCH(ROWS($AH$2:AH660),$AH$2:$AH$1001,0),1)&gt;=100000,INDEX($AO$1005:$BQ$1005,1,MATCH(COLUMNS($AO$1006:AP1006),$AO$1006:$BQ$1006,0))&gt;=100000), " ",IF(INDEX($AO$2:$BQ$1001,MATCH(ROWS($AH$2:AH660),$AH$2:$AH$1001,0),MATCH(COLUMNS($AO$1006:AP1006),$AO$1006:$BQ$1006,0)), HYPERLINK("#",""), HYPERLINK(CONCATENATE("#Metadata!", ADDRESS(INDEX($AJ$2:$AJ$1001,MATCH(ROWS($AH$2:AH660),$AH$2:$AH$1001,0),0), INDEX($AO$1004:$BQ$1004,1,MATCH(COLUMNS($AO$1006:AP1006),$AO$1006:$BQ$1006,0)))),"Fix")))</f>
        <v>#N/A</v>
      </c>
      <c r="D660" s="5" t="e">
        <f ca="1">IF(OR(INDEX($AI$2:$AI$1001,MATCH(ROWS($AH$2:AH660),$AH$2:$AH$1001,0),1)&gt;=100000,INDEX($AO$1005:$BQ$1005,1,MATCH(COLUMNS($AO$1006:AQ1006),$AO$1006:$BQ$1006,0))&gt;=100000), " ",IF(INDEX($AO$2:$BQ$1001,MATCH(ROWS($AH$2:AH660),$AH$2:$AH$1001,0),MATCH(COLUMNS($AO$1006:AQ1006),$AO$1006:$BQ$1006,0)), HYPERLINK("#",""), HYPERLINK(CONCATENATE("#Metadata!", ADDRESS(INDEX($AJ$2:$AJ$1001,MATCH(ROWS($AH$2:AH660),$AH$2:$AH$1001,0),0), INDEX($AO$1004:$BQ$1004,1,MATCH(COLUMNS($AO$1006:AQ1006),$AO$1006:$BQ$1006,0)))),"Fix")))</f>
        <v>#N/A</v>
      </c>
      <c r="E660" s="5" t="e">
        <f ca="1">IF(OR(INDEX($AI$2:$AI$1001,MATCH(ROWS($AH$2:AH660),$AH$2:$AH$1001,0),1)&gt;=100000,INDEX($AO$1005:$BQ$1005,1,MATCH(COLUMNS($AO$1006:AR1006),$AO$1006:$BQ$1006,0))&gt;=100000), " ",IF(INDEX($AO$2:$BQ$1001,MATCH(ROWS($AH$2:AH660),$AH$2:$AH$1001,0),MATCH(COLUMNS($AO$1006:AR1006),$AO$1006:$BQ$1006,0)), HYPERLINK("#",""), HYPERLINK(CONCATENATE("#Metadata!", ADDRESS(INDEX($AJ$2:$AJ$1001,MATCH(ROWS($AH$2:AH660),$AH$2:$AH$1001,0),0), INDEX($AO$1004:$BQ$1004,1,MATCH(COLUMNS($AO$1006:AR1006),$AO$1006:$BQ$1006,0)))),"Fix")))</f>
        <v>#N/A</v>
      </c>
      <c r="F660" s="5" t="e">
        <f ca="1">IF(OR(INDEX($AI$2:$AI$1001,MATCH(ROWS($AH$2:AH660),$AH$2:$AH$1001,0),1)&gt;=100000,INDEX($AO$1005:$BQ$1005,1,MATCH(COLUMNS($AO$1006:AS1006),$AO$1006:$BQ$1006,0))&gt;=100000), " ",IF(INDEX($AO$2:$BQ$1001,MATCH(ROWS($AH$2:AH660),$AH$2:$AH$1001,0),MATCH(COLUMNS($AO$1006:AS1006),$AO$1006:$BQ$1006,0)), HYPERLINK("#",""), HYPERLINK(CONCATENATE("#Metadata!", ADDRESS(INDEX($AJ$2:$AJ$1001,MATCH(ROWS($AH$2:AH660),$AH$2:$AH$1001,0),0), INDEX($AO$1004:$BQ$1004,1,MATCH(COLUMNS($AO$1006:AS1006),$AO$1006:$BQ$1006,0)))),"Fix")))</f>
        <v>#N/A</v>
      </c>
      <c r="G660" s="5" t="e">
        <f ca="1">IF(OR(INDEX($AI$2:$AI$1001,MATCH(ROWS($AH$2:AH660),$AH$2:$AH$1001,0),1)&gt;=100000,INDEX($AO$1005:$BQ$1005,1,MATCH(COLUMNS($AO$1006:AT1006),$AO$1006:$BQ$1006,0))&gt;=100000), " ",IF(INDEX($AO$2:$BQ$1001,MATCH(ROWS($AH$2:AH660),$AH$2:$AH$1001,0),MATCH(COLUMNS($AO$1006:AT1006),$AO$1006:$BQ$1006,0)), HYPERLINK("#",""), HYPERLINK(CONCATENATE("#Metadata!", ADDRESS(INDEX($AJ$2:$AJ$1001,MATCH(ROWS($AH$2:AH660),$AH$2:$AH$1001,0),0), INDEX($AO$1004:$BQ$1004,1,MATCH(COLUMNS($AO$1006:AT1006),$AO$1006:$BQ$1006,0)))),"Fix")))</f>
        <v>#N/A</v>
      </c>
      <c r="H660" s="5" t="e">
        <f ca="1">IF(OR(INDEX($AI$2:$AI$1001,MATCH(ROWS($AH$2:AH660),$AH$2:$AH$1001,0),1)&gt;=100000,INDEX($AO$1005:$BQ$1005,1,MATCH(COLUMNS($AO$1006:AU1006),$AO$1006:$BQ$1006,0))&gt;=100000), " ",IF(INDEX($AO$2:$BQ$1001,MATCH(ROWS($AH$2:AH660),$AH$2:$AH$1001,0),MATCH(COLUMNS($AO$1006:AU1006),$AO$1006:$BQ$1006,0)), HYPERLINK("#",""), HYPERLINK(CONCATENATE("#Metadata!", ADDRESS(INDEX($AJ$2:$AJ$1001,MATCH(ROWS($AH$2:AH660),$AH$2:$AH$1001,0),0), INDEX($AO$1004:$BQ$1004,1,MATCH(COLUMNS($AO$1006:AU1006),$AO$1006:$BQ$1006,0)))),"Fix")))</f>
        <v>#N/A</v>
      </c>
      <c r="I660" s="5" t="e">
        <f ca="1">IF(OR(INDEX($AI$2:$AI$1001,MATCH(ROWS($AH$2:AH660),$AH$2:$AH$1001,0),1)&gt;=100000,INDEX($AO$1005:$BQ$1005,1,MATCH(COLUMNS($AO$1006:AV1006),$AO$1006:$BQ$1006,0))&gt;=100000), " ",IF(INDEX($AO$2:$BQ$1001,MATCH(ROWS($AH$2:AH660),$AH$2:$AH$1001,0),MATCH(COLUMNS($AO$1006:AV1006),$AO$1006:$BQ$1006,0)), HYPERLINK("#",""), HYPERLINK(CONCATENATE("#Metadata!", ADDRESS(INDEX($AJ$2:$AJ$1001,MATCH(ROWS($AH$2:AH660),$AH$2:$AH$1001,0),0), INDEX($AO$1004:$BQ$1004,1,MATCH(COLUMNS($AO$1006:AV1006),$AO$1006:$BQ$1006,0)))),"Fix")))</f>
        <v>#N/A</v>
      </c>
      <c r="J660" s="5" t="e">
        <f ca="1">IF(OR(INDEX($AI$2:$AI$1001,MATCH(ROWS($AH$2:AH660),$AH$2:$AH$1001,0),1)&gt;=100000,INDEX($AO$1005:$BQ$1005,1,MATCH(COLUMNS($AO$1006:AW1006),$AO$1006:$BQ$1006,0))&gt;=100000), " ",IF(INDEX($AO$2:$BQ$1001,MATCH(ROWS($AH$2:AH660),$AH$2:$AH$1001,0),MATCH(COLUMNS($AO$1006:AW1006),$AO$1006:$BQ$1006,0)), HYPERLINK("#",""), HYPERLINK(CONCATENATE("#Metadata!", ADDRESS(INDEX($AJ$2:$AJ$1001,MATCH(ROWS($AH$2:AH660),$AH$2:$AH$1001,0),0), INDEX($AO$1004:$BQ$1004,1,MATCH(COLUMNS($AO$1006:AW1006),$AO$1006:$BQ$1006,0)))),"Fix")))</f>
        <v>#N/A</v>
      </c>
      <c r="K660" s="5" t="e">
        <f ca="1">IF(OR(INDEX($AI$2:$AI$1001,MATCH(ROWS($AH$2:AH660),$AH$2:$AH$1001,0),1)&gt;=100000,INDEX($AO$1005:$BQ$1005,1,MATCH(COLUMNS($AO$1006:AX1006),$AO$1006:$BQ$1006,0))&gt;=100000), " ",IF(INDEX($AO$2:$BQ$1001,MATCH(ROWS($AH$2:AH660),$AH$2:$AH$1001,0),MATCH(COLUMNS($AO$1006:AX1006),$AO$1006:$BQ$1006,0)), HYPERLINK("#",""), HYPERLINK(CONCATENATE("#Metadata!", ADDRESS(INDEX($AJ$2:$AJ$1001,MATCH(ROWS($AH$2:AH660),$AH$2:$AH$1001,0),0), INDEX($AO$1004:$BQ$1004,1,MATCH(COLUMNS($AO$1006:AX1006),$AO$1006:$BQ$1006,0)))),"Fix")))</f>
        <v>#N/A</v>
      </c>
      <c r="L660" s="5" t="e">
        <f ca="1">IF(OR(INDEX($AI$2:$AI$1001,MATCH(ROWS($AH$2:AH660),$AH$2:$AH$1001,0),1)&gt;=100000,INDEX($AO$1005:$BQ$1005,1,MATCH(COLUMNS($AO$1006:AY1006),$AO$1006:$BQ$1006,0))&gt;=100000), " ",IF(INDEX($AO$2:$BQ$1001,MATCH(ROWS($AH$2:AH660),$AH$2:$AH$1001,0),MATCH(COLUMNS($AO$1006:AY1006),$AO$1006:$BQ$1006,0)), HYPERLINK("#",""), HYPERLINK(CONCATENATE("#Metadata!", ADDRESS(INDEX($AJ$2:$AJ$1001,MATCH(ROWS($AH$2:AH660),$AH$2:$AH$1001,0),0), INDEX($AO$1004:$BQ$1004,1,MATCH(COLUMNS($AO$1006:AY1006),$AO$1006:$BQ$1006,0)))),"Fix")))</f>
        <v>#N/A</v>
      </c>
      <c r="M660" s="5" t="e">
        <f ca="1">IF(OR(INDEX($AI$2:$AI$1001,MATCH(ROWS($AH$2:AH660),$AH$2:$AH$1001,0),1)&gt;=100000,INDEX($AO$1005:$BQ$1005,1,MATCH(COLUMNS($AO$1006:AZ1006),$AO$1006:$BQ$1006,0))&gt;=100000), " ",IF(INDEX($AO$2:$BQ$1001,MATCH(ROWS($AH$2:AH660),$AH$2:$AH$1001,0),MATCH(COLUMNS($AO$1006:AZ1006),$AO$1006:$BQ$1006,0)), HYPERLINK("#",""), HYPERLINK(CONCATENATE("#Metadata!", ADDRESS(INDEX($AJ$2:$AJ$1001,MATCH(ROWS($AH$2:AH660),$AH$2:$AH$1001,0),0), INDEX($AO$1004:$BQ$1004,1,MATCH(COLUMNS($AO$1006:AZ1006),$AO$1006:$BQ$1006,0)))),"Fix")))</f>
        <v>#N/A</v>
      </c>
      <c r="N660" s="5" t="e">
        <f ca="1">IF(OR(INDEX($AI$2:$AI$1001,MATCH(ROWS($AH$2:AH660),$AH$2:$AH$1001,0),1)&gt;=100000,INDEX($AO$1005:$BQ$1005,1,MATCH(COLUMNS($AO$1006:BA1006),$AO$1006:$BQ$1006,0))&gt;=100000), " ",IF(INDEX($AO$2:$BQ$1001,MATCH(ROWS($AH$2:AH660),$AH$2:$AH$1001,0),MATCH(COLUMNS($AO$1006:BA1006),$AO$1006:$BQ$1006,0)), HYPERLINK("#",""), HYPERLINK(CONCATENATE("#Metadata!", ADDRESS(INDEX($AJ$2:$AJ$1001,MATCH(ROWS($AH$2:AH660),$AH$2:$AH$1001,0),0), INDEX($AO$1004:$BQ$1004,1,MATCH(COLUMNS($AO$1006:BA1006),$AO$1006:$BQ$1006,0)))),"Fix")))</f>
        <v>#N/A</v>
      </c>
      <c r="O660" s="5" t="e">
        <f ca="1">IF(OR(INDEX($AI$2:$AI$1001,MATCH(ROWS($AH$2:AH660),$AH$2:$AH$1001,0),1)&gt;=100000,INDEX($AO$1005:$BQ$1005,1,MATCH(COLUMNS($AO$1006:BB1006),$AO$1006:$BQ$1006,0))&gt;=100000), " ",IF(INDEX($AO$2:$BQ$1001,MATCH(ROWS($AH$2:AH660),$AH$2:$AH$1001,0),MATCH(COLUMNS($AO$1006:BB1006),$AO$1006:$BQ$1006,0)), HYPERLINK("#",""), HYPERLINK(CONCATENATE("#Metadata!", ADDRESS(INDEX($AJ$2:$AJ$1001,MATCH(ROWS($AH$2:AH660),$AH$2:$AH$1001,0),0), INDEX($AO$1004:$BQ$1004,1,MATCH(COLUMNS($AO$1006:BB1006),$AO$1006:$BQ$1006,0)))),"Fix")))</f>
        <v>#N/A</v>
      </c>
      <c r="P660" s="5" t="e">
        <f ca="1">IF(OR(INDEX($AI$2:$AI$1001,MATCH(ROWS($AH$2:AH660),$AH$2:$AH$1001,0),1)&gt;=100000,INDEX($AO$1005:$BQ$1005,1,MATCH(COLUMNS($AO$1006:BC1006),$AO$1006:$BQ$1006,0))&gt;=100000), " ",IF(INDEX($AO$2:$BQ$1001,MATCH(ROWS($AH$2:AH660),$AH$2:$AH$1001,0),MATCH(COLUMNS($AO$1006:BC1006),$AO$1006:$BQ$1006,0)), HYPERLINK("#",""), HYPERLINK(CONCATENATE("#Metadata!", ADDRESS(INDEX($AJ$2:$AJ$1001,MATCH(ROWS($AH$2:AH660),$AH$2:$AH$1001,0),0), INDEX($AO$1004:$BQ$1004,1,MATCH(COLUMNS($AO$1006:BC1006),$AO$1006:$BQ$1006,0)))),"Fix")))</f>
        <v>#N/A</v>
      </c>
      <c r="Q660" s="5" t="e">
        <f ca="1">IF(OR(INDEX($AI$2:$AI$1001,MATCH(ROWS($AH$2:AH660),$AH$2:$AH$1001,0),1)&gt;=100000,INDEX($AO$1005:$BQ$1005,1,MATCH(COLUMNS($AO$1006:BD1006),$AO$1006:$BQ$1006,0))&gt;=100000), " ",IF(INDEX($AO$2:$BQ$1001,MATCH(ROWS($AH$2:AH660),$AH$2:$AH$1001,0),MATCH(COLUMNS($AO$1006:BD1006),$AO$1006:$BQ$1006,0)), HYPERLINK("#",""), HYPERLINK(CONCATENATE("#Metadata!", ADDRESS(INDEX($AJ$2:$AJ$1001,MATCH(ROWS($AH$2:AH660),$AH$2:$AH$1001,0),0), INDEX($AO$1004:$BQ$1004,1,MATCH(COLUMNS($AO$1006:BD1006),$AO$1006:$BQ$1006,0)))),"Fix")))</f>
        <v>#N/A</v>
      </c>
      <c r="R660" s="5" t="e">
        <f ca="1">IF(OR(INDEX($AI$2:$AI$1001,MATCH(ROWS($AH$2:AH660),$AH$2:$AH$1001,0),1)&gt;=100000,INDEX($AO$1005:$BQ$1005,1,MATCH(COLUMNS($AO$1006:BE1006),$AO$1006:$BQ$1006,0))&gt;=100000), " ",IF(INDEX($AO$2:$BQ$1001,MATCH(ROWS($AH$2:AH660),$AH$2:$AH$1001,0),MATCH(COLUMNS($AO$1006:BE1006),$AO$1006:$BQ$1006,0)), HYPERLINK("#",""), HYPERLINK(CONCATENATE("#Metadata!", ADDRESS(INDEX($AJ$2:$AJ$1001,MATCH(ROWS($AH$2:AH660),$AH$2:$AH$1001,0),0), INDEX($AO$1004:$BQ$1004,1,MATCH(COLUMNS($AO$1006:BE1006),$AO$1006:$BQ$1006,0)))),"Fix")))</f>
        <v>#N/A</v>
      </c>
      <c r="S660" s="5" t="e">
        <f ca="1">IF(OR(INDEX($AI$2:$AI$1001,MATCH(ROWS($AH$2:AH660),$AH$2:$AH$1001,0),1)&gt;=100000,INDEX($AO$1005:$BQ$1005,1,MATCH(COLUMNS($AO$1006:BF1006),$AO$1006:$BQ$1006,0))&gt;=100000), " ",IF(INDEX($AO$2:$BQ$1001,MATCH(ROWS($AH$2:AH660),$AH$2:$AH$1001,0),MATCH(COLUMNS($AO$1006:BF1006),$AO$1006:$BQ$1006,0)), HYPERLINK("#",""), HYPERLINK(CONCATENATE("#Metadata!", ADDRESS(INDEX($AJ$2:$AJ$1001,MATCH(ROWS($AH$2:AH660),$AH$2:$AH$1001,0),0), INDEX($AO$1004:$BQ$1004,1,MATCH(COLUMNS($AO$1006:BF1006),$AO$1006:$BQ$1006,0)))),"Fix")))</f>
        <v>#N/A</v>
      </c>
      <c r="T660" s="5" t="e">
        <f ca="1">IF(OR(INDEX($AI$2:$AI$1001,MATCH(ROWS($AH$2:AH660),$AH$2:$AH$1001,0),1)&gt;=100000,INDEX($AO$1005:$BQ$1005,1,MATCH(COLUMNS($AO$1006:BG1006),$AO$1006:$BQ$1006,0))&gt;=100000), " ",IF(INDEX($AO$2:$BQ$1001,MATCH(ROWS($AH$2:AH660),$AH$2:$AH$1001,0),MATCH(COLUMNS($AO$1006:BG1006),$AO$1006:$BQ$1006,0)), HYPERLINK("#",""), HYPERLINK(CONCATENATE("#Metadata!", ADDRESS(INDEX($AJ$2:$AJ$1001,MATCH(ROWS($AH$2:AH660),$AH$2:$AH$1001,0),0), INDEX($AO$1004:$BQ$1004,1,MATCH(COLUMNS($AO$1006:BG1006),$AO$1006:$BQ$1006,0)))),"Fix")))</f>
        <v>#N/A</v>
      </c>
      <c r="U660" s="5" t="e">
        <f ca="1">IF(OR(INDEX($AI$2:$AI$1001,MATCH(ROWS($AH$2:AH660),$AH$2:$AH$1001,0),1)&gt;=100000,INDEX($AO$1005:$BQ$1005,1,MATCH(COLUMNS($AO$1006:BH1006),$AO$1006:$BQ$1006,0))&gt;=100000), " ",IF(INDEX($AO$2:$BQ$1001,MATCH(ROWS($AH$2:AH660),$AH$2:$AH$1001,0),MATCH(COLUMNS($AO$1006:BH1006),$AO$1006:$BQ$1006,0)), HYPERLINK("#",""), HYPERLINK(CONCATENATE("#Metadata!", ADDRESS(INDEX($AJ$2:$AJ$1001,MATCH(ROWS($AH$2:AH660),$AH$2:$AH$1001,0),0), INDEX($AO$1004:$BQ$1004,1,MATCH(COLUMNS($AO$1006:BH1006),$AO$1006:$BQ$1006,0)))),"Fix")))</f>
        <v>#N/A</v>
      </c>
      <c r="V660" s="5" t="e">
        <f ca="1">IF(OR(INDEX($AI$2:$AI$1001,MATCH(ROWS($AH$2:AH660),$AH$2:$AH$1001,0),1)&gt;=100000,INDEX($AO$1005:$BQ$1005,1,MATCH(COLUMNS($AO$1006:BI1006),$AO$1006:$BQ$1006,0))&gt;=100000), " ",IF(INDEX($AO$2:$BQ$1001,MATCH(ROWS($AH$2:AH660),$AH$2:$AH$1001,0),MATCH(COLUMNS($AO$1006:BI1006),$AO$1006:$BQ$1006,0)), HYPERLINK("#",""), HYPERLINK(CONCATENATE("#Metadata!", ADDRESS(INDEX($AJ$2:$AJ$1001,MATCH(ROWS($AH$2:AH660),$AH$2:$AH$1001,0),0), INDEX($AO$1004:$BQ$1004,1,MATCH(COLUMNS($AO$1006:BI1006),$AO$1006:$BQ$1006,0)))),"Fix")))</f>
        <v>#N/A</v>
      </c>
      <c r="W660" s="5" t="e">
        <f ca="1">IF(OR(INDEX($AI$2:$AI$1001,MATCH(ROWS($AH$2:AH660),$AH$2:$AH$1001,0),1)&gt;=100000,INDEX($AO$1005:$BQ$1005,1,MATCH(COLUMNS($AO$1006:BJ1006),$AO$1006:$BQ$1006,0))&gt;=100000), " ",IF(INDEX($AO$2:$BQ$1001,MATCH(ROWS($AH$2:AH660),$AH$2:$AH$1001,0),MATCH(COLUMNS($AO$1006:BJ1006),$AO$1006:$BQ$1006,0)), HYPERLINK("#",""), HYPERLINK(CONCATENATE("#Metadata!", ADDRESS(INDEX($AJ$2:$AJ$1001,MATCH(ROWS($AH$2:AH660),$AH$2:$AH$1001,0),0), INDEX($AO$1004:$BQ$1004,1,MATCH(COLUMNS($AO$1006:BJ1006),$AO$1006:$BQ$1006,0)))),"Fix")))</f>
        <v>#N/A</v>
      </c>
      <c r="X660" s="5" t="e">
        <f ca="1">IF(OR(INDEX($AI$2:$AI$1001,MATCH(ROWS($AH$2:AH660),$AH$2:$AH$1001,0),1)&gt;=100000,INDEX($AO$1005:$BQ$1005,1,MATCH(COLUMNS($AO$1006:BK1006),$AO$1006:$BQ$1006,0))&gt;=100000), " ",IF(INDEX($AO$2:$BQ$1001,MATCH(ROWS($AH$2:AH660),$AH$2:$AH$1001,0),MATCH(COLUMNS($AO$1006:BK1006),$AO$1006:$BQ$1006,0)), HYPERLINK("#",""), HYPERLINK(CONCATENATE("#Metadata!", ADDRESS(INDEX($AJ$2:$AJ$1001,MATCH(ROWS($AH$2:AH660),$AH$2:$AH$1001,0),0), INDEX($AO$1004:$BQ$1004,1,MATCH(COLUMNS($AO$1006:BK1006),$AO$1006:$BQ$1006,0)))),"Fix")))</f>
        <v>#N/A</v>
      </c>
      <c r="Y660" s="5" t="e">
        <f ca="1">IF(OR(INDEX($AI$2:$AI$1001,MATCH(ROWS($AH$2:AH660),$AH$2:$AH$1001,0),1)&gt;=100000,INDEX($AO$1005:$BQ$1005,1,MATCH(COLUMNS($AO$1006:BL1006),$AO$1006:$BQ$1006,0))&gt;=100000), " ",IF(INDEX($AO$2:$BQ$1001,MATCH(ROWS($AH$2:AH660),$AH$2:$AH$1001,0),MATCH(COLUMNS($AO$1006:BL1006),$AO$1006:$BQ$1006,0)), HYPERLINK("#",""), HYPERLINK(CONCATENATE("#Metadata!", ADDRESS(INDEX($AJ$2:$AJ$1001,MATCH(ROWS($AH$2:AH660),$AH$2:$AH$1001,0),0), INDEX($AO$1004:$BQ$1004,1,MATCH(COLUMNS($AO$1006:BL1006),$AO$1006:$BQ$1006,0)))),"Fix")))</f>
        <v>#N/A</v>
      </c>
      <c r="Z660" s="5" t="e">
        <f ca="1">IF(OR(INDEX($AI$2:$AI$1001,MATCH(ROWS($AH$2:AH660),$AH$2:$AH$1001,0),1)&gt;=100000,INDEX($AO$1005:$BQ$1005,1,MATCH(COLUMNS($AO$1006:BM1006),$AO$1006:$BQ$1006,0))&gt;=100000), " ",IF(INDEX($AO$2:$BQ$1001,MATCH(ROWS($AH$2:AH660),$AH$2:$AH$1001,0),MATCH(COLUMNS($AO$1006:BM1006),$AO$1006:$BQ$1006,0)), HYPERLINK("#",""), HYPERLINK(CONCATENATE("#Metadata!", ADDRESS(INDEX($AJ$2:$AJ$1001,MATCH(ROWS($AH$2:AH660),$AH$2:$AH$1001,0),0), INDEX($AO$1004:$BQ$1004,1,MATCH(COLUMNS($AO$1006:BM1006),$AO$1006:$BQ$1006,0)))),"Fix")))</f>
        <v>#N/A</v>
      </c>
      <c r="AA660" s="5" t="e">
        <f ca="1">IF(OR(INDEX($AI$2:$AI$1001,MATCH(ROWS($AH$2:AH660),$AH$2:$AH$1001,0),1)&gt;=100000,INDEX($AO$1005:$BQ$1005,1,MATCH(COLUMNS($AO$1006:BN1006),$AO$1006:$BQ$1006,0))&gt;=100000), " ",IF(INDEX($AO$2:$BQ$1001,MATCH(ROWS($AH$2:AH660),$AH$2:$AH$1001,0),MATCH(COLUMNS($AO$1006:BN1006),$AO$1006:$BQ$1006,0)), HYPERLINK("#",""), HYPERLINK(CONCATENATE("#Metadata!", ADDRESS(INDEX($AJ$2:$AJ$1001,MATCH(ROWS($AH$2:AH660),$AH$2:$AH$1001,0),0), INDEX($AO$1004:$BQ$1004,1,MATCH(COLUMNS($AO$1006:BN1006),$AO$1006:$BQ$1006,0)))),"Fix")))</f>
        <v>#N/A</v>
      </c>
      <c r="AB660" s="5" t="e">
        <f ca="1">IF(OR(INDEX($AI$2:$AI$1001,MATCH(ROWS($AH$2:AH660),$AH$2:$AH$1001,0),1)&gt;=100000,INDEX($AO$1005:$BQ$1005,1,MATCH(COLUMNS($AO$1006:BO1006),$AO$1006:$BQ$1006,0))&gt;=100000), " ",IF(INDEX($AO$2:$BQ$1001,MATCH(ROWS($AH$2:AH660),$AH$2:$AH$1001,0),MATCH(COLUMNS($AO$1006:BO1006),$AO$1006:$BQ$1006,0)), HYPERLINK("#",""), HYPERLINK(CONCATENATE("#Metadata!", ADDRESS(INDEX($AJ$2:$AJ$1001,MATCH(ROWS($AH$2:AH660),$AH$2:$AH$1001,0),0), INDEX($AO$1004:$BQ$1004,1,MATCH(COLUMNS($AO$1006:BO1006),$AO$1006:$BQ$1006,0)))),"Fix")))</f>
        <v>#N/A</v>
      </c>
      <c r="AC660" s="5" t="e">
        <f ca="1">IF(OR(INDEX($AI$2:$AI$1001,MATCH(ROWS($AH$2:AH660),$AH$2:$AH$1001,0),1)&gt;=100000,INDEX($AO$1005:$BQ$1005,1,MATCH(COLUMNS($AO$1006:BP1006),$AO$1006:$BQ$1006,0))&gt;=100000), " ",IF(INDEX($AO$2:$BQ$1001,MATCH(ROWS($AH$2:AH660),$AH$2:$AH$1001,0),MATCH(COLUMNS($AO$1006:BP1006),$AO$1006:$BQ$1006,0)), HYPERLINK("#",""), HYPERLINK(CONCATENATE("#Metadata!", ADDRESS(INDEX($AJ$2:$AJ$1001,MATCH(ROWS($AH$2:AH660),$AH$2:$AH$1001,0),0), INDEX($AO$1004:$BQ$1004,1,MATCH(COLUMNS($AO$1006:BP1006),$AO$1006:$BQ$1006,0)))),"Fix")))</f>
        <v>#N/A</v>
      </c>
      <c r="AD660" s="5" t="e">
        <f ca="1">IF(OR(INDEX($AI$2:$AI$1001,MATCH(ROWS($AH$2:AH660),$AH$2:$AH$1001,0),1)&gt;=100000,INDEX($AO$1005:$BQ$1005,1,MATCH(COLUMNS($AO$1006:BQ1006),$AO$1006:$BQ$1006,0))&gt;=100000), " ",IF(INDEX($AO$2:$BQ$1001,MATCH(ROWS($AH$2:AH660),$AH$2:$AH$1001,0),MATCH(COLUMNS($AO$1006:BQ1006),$AO$1006:$BQ$1006,0)), HYPERLINK("#",""), HYPERLINK(CONCATENATE("#Metadata!", ADDRESS(INDEX($AJ$2:$AJ$1001,MATCH(ROWS($AH$2:AH660),$AH$2:$AH$1001,0),0), INDEX($AO$1004:$BQ$1004,1,MATCH(COLUMNS($AO$1006:BQ1006),$AO$1006:$BQ$1006,0)))),"Fix")))</f>
        <v>#REF!</v>
      </c>
      <c r="AH660">
        <f ca="1"/>
        <v>657</v>
      </c>
      <c r="AI660">
        <v>100660</v>
      </c>
      <c r="AJ660">
        <v>660</v>
      </c>
      <c r="AK660" t="b">
        <f t="shared" si="10"/>
        <v>1</v>
      </c>
      <c r="AL660" t="b">
        <f>COUNTBLANK(Metadata!B660:AD660)=COLUMNS(Metadata!B660:AD660)</f>
        <v>1</v>
      </c>
      <c r="AM660" t="str">
        <v/>
      </c>
      <c r="AO660" t="b">
        <f ca="1">AND(IF(Metadata!B660="",FALSE,TRUE),COUNTIF(Metadata!B:B, Metadata!B660) = 1,NOT(ISERROR(SUMPRODUCT(SEARCH(MID(Metadata!B660,ROW(INDIRECT("1:"&amp;LEN(Metadata!B660))), 1),"0123456789abcdefghijklmnopqrstuvwxyzABCDEFGHIJKLMNOPQRSTUVWXYZ.")))))</f>
        <v>0</v>
      </c>
      <c r="AP660" t="b">
        <f>IF(Metadata!C660="",FALSE,TRUE)</f>
        <v>0</v>
      </c>
      <c r="AQ660" t="b">
        <f>IF(Metadata!D660="",FALSE,TRUE)</f>
        <v>0</v>
      </c>
      <c r="AR660" t="b">
        <f ca="1">OR(AND(IF(Metadata!E660="",FALSE,TRUE),OR(EXACT(Metadata!E660,"not collected"),EXACT(Metadata!E660,"not provided"),EXACT(Metadata!E660,"restricted access"))),AND(IF(Metadata!E660="",FALSE,TRUE),AND(AND(IFERROR(INT(LEFT(Metadata!E660,4))&gt;1900,FALSE),IFERROR(INT(LEFT(Metadata!E660,4))&lt;=YEAR(NOW()),FALSE)), OR(MID(Metadata!E660,5,1)="", AND(AND(MID(Metadata!E660,5,1)="-",IFERROR(INT(MID(Metadata!E660,6,1))&gt;=0,FALSE),IFERROR(INT(MID(Metadata!E660,6,1))&lt;=1,FALSE),NOT(MID(Metadata!E660,7,1)=""),IFERROR(INT(MID(Metadata!E660,6,2))&gt;=1,FALSE),IFERROR(INT(MID(Metadata!E660,6,2))&lt;=12,FALSE)), OR(MID(Metadata!E660,8,1)="", AND(AND(MID(Metadata!E660,8,1)="-",IFERROR(INT(MID(Metadata!E660,9,1))&gt;=0,FALSE),IFERROR(INT(MID(Metadata!E660,9,1))&lt;=3,FALSE),NOT(MID(Metadata!E660,10,1)=""),IFERROR(INT(MID(Metadata!E660,9,2))&gt;=1,FALSE),IFERROR(INT(MID(Metadata!E660,9,2))&lt;=31,FALSE)), OR(MID(Metadata!E660,11,1)="", AND(AND(MID(Metadata!E660,11,1)=" ",IFERROR(INT(MID(Metadata!E660,12,1))&gt;=0,FALSE),IFERROR(INT(MID(Metadata!E660,12,1))&lt;=2,FALSE),NOT(MID(Metadata!E660,13,1)=""),IFERROR(INT(MID(Metadata!E660,12,2))&gt;=0,FALSE),IFERROR(INT(MID(Metadata!E660,12,2))&lt;=23,FALSE)), OR(MID(Metadata!E660,14,1)="", AND(AND(MID(Metadata!E660,14,1)=":",IFERROR(INT(MID(Metadata!E660,15,1))&gt;=0,FALSE),IFERROR(INT(MID(Metadata!E660,15,1))&lt;=5,FALSE),NOT(MID(Metadata!E660,16,1)=""),IFERROR(INT(MID(Metadata!E660,15,2))&gt;=0,FALSE),IFERROR(INT(MID(Metadata!E660,15,2))&lt;=59,FALSE)), OR(MID(Metadata!E660,17,1)="", AND(AND(MID(Metadata!E660,17,1)=":",IFERROR(INT(MID(Metadata!E660,18,1))&gt;=0,FALSE),IFERROR(INT(MID(Metadata!E660,18,1))&lt;=5,FALSE),NOT(MID(Metadata!E660,19,1)=""),IFERROR(INT(MID(Metadata!E660,18,2))&gt;=0,FALSE),IFERROR(INT(MID(Metadata!E660,18,2))&lt;=59,FALSE)), LEN(Metadata!E660)&lt;=19)))))))))))))</f>
        <v>0</v>
      </c>
      <c r="AS660" t="b">
        <f>IF(Metadata!F660="",FALSE,TRUE)</f>
        <v>0</v>
      </c>
      <c r="AT660" t="b">
        <f>OR(AND(IF(Metadata!G660="",FALSE,TRUE),OR(EXACT(Metadata!G660,"not collected"),EXACT(Metadata!G660,"not provided"))),AND(IF(Metadata!G660="",FALSE,TRUE),OR(EXACT(Metadata!G660,"TRUE"),EXACT(Metadata!G660,"FALSE"))))</f>
        <v>0</v>
      </c>
      <c r="AU660" t="b">
        <f>OR(AND(IF(Metadata!H660="",FALSE,TRUE),OR(EXACT(Metadata!H660,"not collected"),EXACT(Metadata!H660,"not provided"),EXACT(Metadata!H660,"restricted access"))),AND(IF(Metadata!H660="",FALSE,ISNUMBER(VALUE(Metadata!H660))),Metadata!H660&gt;=-413))</f>
        <v>0</v>
      </c>
      <c r="AV660" t="b">
        <f>AND(IF(Metadata!I660="",FALSE,TRUE),EXACT(Metadata!I660,"meters"))</f>
        <v>0</v>
      </c>
      <c r="AW660" t="b">
        <f>AND(IF(Metadata!J660="",FALSE,TRUE),EXACT(Metadata!J660,"free-living"))</f>
        <v>0</v>
      </c>
      <c r="AX660" t="b">
        <f>AND(IF(Metadata!K660="",FALSE,TRUE),OR(EXACT(Metadata!K660,"saline"),EXACT(Metadata!K660,"non-saline")))</f>
        <v>0</v>
      </c>
      <c r="AY660" t="b">
        <f>AND(IF(Metadata!L660="",FALSE,TRUE),OR(EXACT(Metadata!L660,"sub-surface (non-saline)"),EXACT(Metadata!L660,"surface (non-saline)"),EXACT(Metadata!L660,"water (non-saline)"),EXACT(Metadata!L660,"soil (non-saline)"),EXACT(Metadata!L660,"aerosol (non-saline)"),EXACT(Metadata!L660,"sediment (non-saline)"),EXACT(Metadata!L660,"surface (saline)"),EXACT(Metadata!L660,"water (saline)"),EXACT(Metadata!L660,"hypersaline (saline)"),EXACT(Metadata!L660,"aerosol (saline)"),EXACT(Metadata!L660,"sediment (saline)")))</f>
        <v>0</v>
      </c>
      <c r="AZ660" t="b">
        <f>IF(Metadata!M660="",FALSE,TRUE)</f>
        <v>0</v>
      </c>
      <c r="BA660" t="b">
        <f>IF(Metadata!N660="",FALSE,TRUE)</f>
        <v>0</v>
      </c>
      <c r="BB660" t="b">
        <f>IF(Metadata!O660="",FALSE,TRUE)</f>
        <v>0</v>
      </c>
      <c r="BC660" t="b">
        <f>AND(IF(Metadata!P660="",FALSE,TRUE),OR(EXACT(Metadata!P660,"air"),EXACT(Metadata!P660,"microbial mat/biofilm"),EXACT(Metadata!P660,"misc environment"),EXACT(Metadata!P660,"sediment"),EXACT(Metadata!P660,"soil"),EXACT(Metadata!P660,"wastewater/sludge"),EXACT(Metadata!P660,"water")))</f>
        <v>0</v>
      </c>
      <c r="BD660" t="b">
        <f>IF(Metadata!Q660="",FALSE,TRUE)</f>
        <v>0</v>
      </c>
      <c r="BE660" t="b">
        <f>IF(Metadata!R660="",FALSE,TRUE)</f>
        <v>0</v>
      </c>
      <c r="BF660" t="b">
        <f>OR(AND(IF(Metadata!S660="",FALSE,TRUE),OR(EXACT(Metadata!S660,"not collected"),EXACT(Metadata!S660,"not provided"),EXACT(Metadata!S660,"restricted access"))),AND(IF(Metadata!S660="",FALSE,ISNUMBER(VALUE(Metadata!S660))),Metadata!S660&gt;=-90,Metadata!S660&lt;=90))</f>
        <v>0</v>
      </c>
      <c r="BG660" t="b">
        <f>AND(IF(Metadata!T660="",FALSE,TRUE),EXACT(Metadata!T660,"Decimal degrees"))</f>
        <v>0</v>
      </c>
      <c r="BH660" t="b">
        <f>OR(AND(IF(Metadata!U660="",FALSE,TRUE),OR(EXACT(Metadata!U660,"not applicable"),EXACT(Metadata!U660,"not collected"))),IF(Metadata!U660="",FALSE,TRUE))</f>
        <v>0</v>
      </c>
      <c r="BI660" t="b">
        <f>OR(AND(IF(Metadata!V660="",FALSE,TRUE),OR(EXACT(Metadata!V660,"not collected"),EXACT(Metadata!V660,"not provided"),EXACT(Metadata!V660,"restricted access"))),AND(IF(Metadata!V660="",FALSE,ISNUMBER(VALUE(Metadata!V660))),Metadata!V660&gt;=-180,Metadata!V660&lt;=180))</f>
        <v>0</v>
      </c>
      <c r="BJ660" t="b">
        <f>AND(IF(Metadata!W660="",FALSE,TRUE),EXACT(Metadata!W660,"Decimal degrees"))</f>
        <v>0</v>
      </c>
      <c r="BK660" t="b">
        <f>IF(Metadata!X660="",FALSE,TRUE)</f>
        <v>0</v>
      </c>
      <c r="BL660" t="b">
        <f>OR(AND(IF(Metadata!Y660="",FALSE,TRUE),OR(EXACT(Metadata!Y660,"not collected"),EXACT(Metadata!Y660,"not provided"),EXACT(Metadata!Y660,"restricted access"))),AND(IF(Metadata!Y660="",FALSE,TRUE),OR(EXACT(Metadata!Y660,"TRUE"),EXACT(Metadata!Y660,"FALSE"))))</f>
        <v>0</v>
      </c>
      <c r="BM660" t="b">
        <f>OR(AND(IF(Metadata!Z660="",FALSE,TRUE),EXACT(Metadata!Z660,"not applicable")),AND(IF(Metadata!Z660="",FALSE,TRUE),OR(EXACT(Metadata!Z660,"beer"),EXACT(Metadata!Z660,"cheese"),EXACT(Metadata!Z660,"fresh water"),EXACT(Metadata!Z660,"marine sediment"),EXACT(Metadata!Z660,"sea water"),EXACT(Metadata!Z660,"sediment"),EXACT(Metadata!Z660,"soil"),EXACT(Metadata!Z660,"waste water"))))</f>
        <v>0</v>
      </c>
      <c r="BN660" t="b">
        <f>AND(IF(Metadata!AA660="",FALSE,TRUE),EXACT(Metadata!AA660,"metagenome"))</f>
        <v>0</v>
      </c>
      <c r="BO660" t="b">
        <f>AND(IF(Metadata!AB660="",FALSE,TRUE),EXACT(Metadata!AB660,"256318"))</f>
        <v>0</v>
      </c>
      <c r="BP660" t="b">
        <f>IF(Metadata!AC660="",FALSE,TRUE)</f>
        <v>0</v>
      </c>
      <c r="BQ660" t="b">
        <f>IF(Metadata!AD660="",FALSE,TRUE)</f>
        <v>0</v>
      </c>
    </row>
    <row r="661" spans="1:69" x14ac:dyDescent="0.2">
      <c r="A661" s="4" t="e">
        <f ca="1">IF(B661=" "," ",HYPERLINK(CONCATENATE("#metadata!",ADDRESS(INDEX($AJ$2:$AJ$1001,MATCH(ROWS($AH$2:AH661),$AH$2:$AH$1001,0),0),2)),INDEX($AM$2:$AM$1001,MATCH(ROWS($AH$2:AH661),$AH$2:$AH$1001,0),0)))</f>
        <v>#N/A</v>
      </c>
      <c r="B661" s="5" t="e">
        <f ca="1">IF(OR(INDEX($AI$2:$AI$1001,MATCH(ROWS($AH$2:AH661),$AH$2:$AH$1001,0),1)&gt;=100000,INDEX($AO$1005:$BQ$1005,1,MATCH(COLUMNS($AO$1006:AO1006),$AO$1006:$BQ$1006,0))&gt;=100000), " ",IF(INDEX($AO$2:$BQ$1001,MATCH(ROWS($AH$2:AH661),$AH$2:$AH$1001,0),MATCH(COLUMNS($AO$1006:AO1006),$AO$1006:$BQ$1006,0)), HYPERLINK("#",""), HYPERLINK(CONCATENATE("#Metadata!", ADDRESS(INDEX($AJ$2:$AJ$1001,MATCH(ROWS($AH$2:AH661),$AH$2:$AH$1001,0),0), INDEX($AO$1004:$BQ$1004,1,MATCH(COLUMNS($AO$1006:AO1006),$AO$1006:$BQ$1006,0)))),"Fix")))</f>
        <v>#N/A</v>
      </c>
      <c r="C661" s="5" t="e">
        <f ca="1">IF(OR(INDEX($AI$2:$AI$1001,MATCH(ROWS($AH$2:AH661),$AH$2:$AH$1001,0),1)&gt;=100000,INDEX($AO$1005:$BQ$1005,1,MATCH(COLUMNS($AO$1006:AP1006),$AO$1006:$BQ$1006,0))&gt;=100000), " ",IF(INDEX($AO$2:$BQ$1001,MATCH(ROWS($AH$2:AH661),$AH$2:$AH$1001,0),MATCH(COLUMNS($AO$1006:AP1006),$AO$1006:$BQ$1006,0)), HYPERLINK("#",""), HYPERLINK(CONCATENATE("#Metadata!", ADDRESS(INDEX($AJ$2:$AJ$1001,MATCH(ROWS($AH$2:AH661),$AH$2:$AH$1001,0),0), INDEX($AO$1004:$BQ$1004,1,MATCH(COLUMNS($AO$1006:AP1006),$AO$1006:$BQ$1006,0)))),"Fix")))</f>
        <v>#N/A</v>
      </c>
      <c r="D661" s="5" t="e">
        <f ca="1">IF(OR(INDEX($AI$2:$AI$1001,MATCH(ROWS($AH$2:AH661),$AH$2:$AH$1001,0),1)&gt;=100000,INDEX($AO$1005:$BQ$1005,1,MATCH(COLUMNS($AO$1006:AQ1006),$AO$1006:$BQ$1006,0))&gt;=100000), " ",IF(INDEX($AO$2:$BQ$1001,MATCH(ROWS($AH$2:AH661),$AH$2:$AH$1001,0),MATCH(COLUMNS($AO$1006:AQ1006),$AO$1006:$BQ$1006,0)), HYPERLINK("#",""), HYPERLINK(CONCATENATE("#Metadata!", ADDRESS(INDEX($AJ$2:$AJ$1001,MATCH(ROWS($AH$2:AH661),$AH$2:$AH$1001,0),0), INDEX($AO$1004:$BQ$1004,1,MATCH(COLUMNS($AO$1006:AQ1006),$AO$1006:$BQ$1006,0)))),"Fix")))</f>
        <v>#N/A</v>
      </c>
      <c r="E661" s="5" t="e">
        <f ca="1">IF(OR(INDEX($AI$2:$AI$1001,MATCH(ROWS($AH$2:AH661),$AH$2:$AH$1001,0),1)&gt;=100000,INDEX($AO$1005:$BQ$1005,1,MATCH(COLUMNS($AO$1006:AR1006),$AO$1006:$BQ$1006,0))&gt;=100000), " ",IF(INDEX($AO$2:$BQ$1001,MATCH(ROWS($AH$2:AH661),$AH$2:$AH$1001,0),MATCH(COLUMNS($AO$1006:AR1006),$AO$1006:$BQ$1006,0)), HYPERLINK("#",""), HYPERLINK(CONCATENATE("#Metadata!", ADDRESS(INDEX($AJ$2:$AJ$1001,MATCH(ROWS($AH$2:AH661),$AH$2:$AH$1001,0),0), INDEX($AO$1004:$BQ$1004,1,MATCH(COLUMNS($AO$1006:AR1006),$AO$1006:$BQ$1006,0)))),"Fix")))</f>
        <v>#N/A</v>
      </c>
      <c r="F661" s="5" t="e">
        <f ca="1">IF(OR(INDEX($AI$2:$AI$1001,MATCH(ROWS($AH$2:AH661),$AH$2:$AH$1001,0),1)&gt;=100000,INDEX($AO$1005:$BQ$1005,1,MATCH(COLUMNS($AO$1006:AS1006),$AO$1006:$BQ$1006,0))&gt;=100000), " ",IF(INDEX($AO$2:$BQ$1001,MATCH(ROWS($AH$2:AH661),$AH$2:$AH$1001,0),MATCH(COLUMNS($AO$1006:AS1006),$AO$1006:$BQ$1006,0)), HYPERLINK("#",""), HYPERLINK(CONCATENATE("#Metadata!", ADDRESS(INDEX($AJ$2:$AJ$1001,MATCH(ROWS($AH$2:AH661),$AH$2:$AH$1001,0),0), INDEX($AO$1004:$BQ$1004,1,MATCH(COLUMNS($AO$1006:AS1006),$AO$1006:$BQ$1006,0)))),"Fix")))</f>
        <v>#N/A</v>
      </c>
      <c r="G661" s="5" t="e">
        <f ca="1">IF(OR(INDEX($AI$2:$AI$1001,MATCH(ROWS($AH$2:AH661),$AH$2:$AH$1001,0),1)&gt;=100000,INDEX($AO$1005:$BQ$1005,1,MATCH(COLUMNS($AO$1006:AT1006),$AO$1006:$BQ$1006,0))&gt;=100000), " ",IF(INDEX($AO$2:$BQ$1001,MATCH(ROWS($AH$2:AH661),$AH$2:$AH$1001,0),MATCH(COLUMNS($AO$1006:AT1006),$AO$1006:$BQ$1006,0)), HYPERLINK("#",""), HYPERLINK(CONCATENATE("#Metadata!", ADDRESS(INDEX($AJ$2:$AJ$1001,MATCH(ROWS($AH$2:AH661),$AH$2:$AH$1001,0),0), INDEX($AO$1004:$BQ$1004,1,MATCH(COLUMNS($AO$1006:AT1006),$AO$1006:$BQ$1006,0)))),"Fix")))</f>
        <v>#N/A</v>
      </c>
      <c r="H661" s="5" t="e">
        <f ca="1">IF(OR(INDEX($AI$2:$AI$1001,MATCH(ROWS($AH$2:AH661),$AH$2:$AH$1001,0),1)&gt;=100000,INDEX($AO$1005:$BQ$1005,1,MATCH(COLUMNS($AO$1006:AU1006),$AO$1006:$BQ$1006,0))&gt;=100000), " ",IF(INDEX($AO$2:$BQ$1001,MATCH(ROWS($AH$2:AH661),$AH$2:$AH$1001,0),MATCH(COLUMNS($AO$1006:AU1006),$AO$1006:$BQ$1006,0)), HYPERLINK("#",""), HYPERLINK(CONCATENATE("#Metadata!", ADDRESS(INDEX($AJ$2:$AJ$1001,MATCH(ROWS($AH$2:AH661),$AH$2:$AH$1001,0),0), INDEX($AO$1004:$BQ$1004,1,MATCH(COLUMNS($AO$1006:AU1006),$AO$1006:$BQ$1006,0)))),"Fix")))</f>
        <v>#N/A</v>
      </c>
      <c r="I661" s="5" t="e">
        <f ca="1">IF(OR(INDEX($AI$2:$AI$1001,MATCH(ROWS($AH$2:AH661),$AH$2:$AH$1001,0),1)&gt;=100000,INDEX($AO$1005:$BQ$1005,1,MATCH(COLUMNS($AO$1006:AV1006),$AO$1006:$BQ$1006,0))&gt;=100000), " ",IF(INDEX($AO$2:$BQ$1001,MATCH(ROWS($AH$2:AH661),$AH$2:$AH$1001,0),MATCH(COLUMNS($AO$1006:AV1006),$AO$1006:$BQ$1006,0)), HYPERLINK("#",""), HYPERLINK(CONCATENATE("#Metadata!", ADDRESS(INDEX($AJ$2:$AJ$1001,MATCH(ROWS($AH$2:AH661),$AH$2:$AH$1001,0),0), INDEX($AO$1004:$BQ$1004,1,MATCH(COLUMNS($AO$1006:AV1006),$AO$1006:$BQ$1006,0)))),"Fix")))</f>
        <v>#N/A</v>
      </c>
      <c r="J661" s="5" t="e">
        <f ca="1">IF(OR(INDEX($AI$2:$AI$1001,MATCH(ROWS($AH$2:AH661),$AH$2:$AH$1001,0),1)&gt;=100000,INDEX($AO$1005:$BQ$1005,1,MATCH(COLUMNS($AO$1006:AW1006),$AO$1006:$BQ$1006,0))&gt;=100000), " ",IF(INDEX($AO$2:$BQ$1001,MATCH(ROWS($AH$2:AH661),$AH$2:$AH$1001,0),MATCH(COLUMNS($AO$1006:AW1006),$AO$1006:$BQ$1006,0)), HYPERLINK("#",""), HYPERLINK(CONCATENATE("#Metadata!", ADDRESS(INDEX($AJ$2:$AJ$1001,MATCH(ROWS($AH$2:AH661),$AH$2:$AH$1001,0),0), INDEX($AO$1004:$BQ$1004,1,MATCH(COLUMNS($AO$1006:AW1006),$AO$1006:$BQ$1006,0)))),"Fix")))</f>
        <v>#N/A</v>
      </c>
      <c r="K661" s="5" t="e">
        <f ca="1">IF(OR(INDEX($AI$2:$AI$1001,MATCH(ROWS($AH$2:AH661),$AH$2:$AH$1001,0),1)&gt;=100000,INDEX($AO$1005:$BQ$1005,1,MATCH(COLUMNS($AO$1006:AX1006),$AO$1006:$BQ$1006,0))&gt;=100000), " ",IF(INDEX($AO$2:$BQ$1001,MATCH(ROWS($AH$2:AH661),$AH$2:$AH$1001,0),MATCH(COLUMNS($AO$1006:AX1006),$AO$1006:$BQ$1006,0)), HYPERLINK("#",""), HYPERLINK(CONCATENATE("#Metadata!", ADDRESS(INDEX($AJ$2:$AJ$1001,MATCH(ROWS($AH$2:AH661),$AH$2:$AH$1001,0),0), INDEX($AO$1004:$BQ$1004,1,MATCH(COLUMNS($AO$1006:AX1006),$AO$1006:$BQ$1006,0)))),"Fix")))</f>
        <v>#N/A</v>
      </c>
      <c r="L661" s="5" t="e">
        <f ca="1">IF(OR(INDEX($AI$2:$AI$1001,MATCH(ROWS($AH$2:AH661),$AH$2:$AH$1001,0),1)&gt;=100000,INDEX($AO$1005:$BQ$1005,1,MATCH(COLUMNS($AO$1006:AY1006),$AO$1006:$BQ$1006,0))&gt;=100000), " ",IF(INDEX($AO$2:$BQ$1001,MATCH(ROWS($AH$2:AH661),$AH$2:$AH$1001,0),MATCH(COLUMNS($AO$1006:AY1006),$AO$1006:$BQ$1006,0)), HYPERLINK("#",""), HYPERLINK(CONCATENATE("#Metadata!", ADDRESS(INDEX($AJ$2:$AJ$1001,MATCH(ROWS($AH$2:AH661),$AH$2:$AH$1001,0),0), INDEX($AO$1004:$BQ$1004,1,MATCH(COLUMNS($AO$1006:AY1006),$AO$1006:$BQ$1006,0)))),"Fix")))</f>
        <v>#N/A</v>
      </c>
      <c r="M661" s="5" t="e">
        <f ca="1">IF(OR(INDEX($AI$2:$AI$1001,MATCH(ROWS($AH$2:AH661),$AH$2:$AH$1001,0),1)&gt;=100000,INDEX($AO$1005:$BQ$1005,1,MATCH(COLUMNS($AO$1006:AZ1006),$AO$1006:$BQ$1006,0))&gt;=100000), " ",IF(INDEX($AO$2:$BQ$1001,MATCH(ROWS($AH$2:AH661),$AH$2:$AH$1001,0),MATCH(COLUMNS($AO$1006:AZ1006),$AO$1006:$BQ$1006,0)), HYPERLINK("#",""), HYPERLINK(CONCATENATE("#Metadata!", ADDRESS(INDEX($AJ$2:$AJ$1001,MATCH(ROWS($AH$2:AH661),$AH$2:$AH$1001,0),0), INDEX($AO$1004:$BQ$1004,1,MATCH(COLUMNS($AO$1006:AZ1006),$AO$1006:$BQ$1006,0)))),"Fix")))</f>
        <v>#N/A</v>
      </c>
      <c r="N661" s="5" t="e">
        <f ca="1">IF(OR(INDEX($AI$2:$AI$1001,MATCH(ROWS($AH$2:AH661),$AH$2:$AH$1001,0),1)&gt;=100000,INDEX($AO$1005:$BQ$1005,1,MATCH(COLUMNS($AO$1006:BA1006),$AO$1006:$BQ$1006,0))&gt;=100000), " ",IF(INDEX($AO$2:$BQ$1001,MATCH(ROWS($AH$2:AH661),$AH$2:$AH$1001,0),MATCH(COLUMNS($AO$1006:BA1006),$AO$1006:$BQ$1006,0)), HYPERLINK("#",""), HYPERLINK(CONCATENATE("#Metadata!", ADDRESS(INDEX($AJ$2:$AJ$1001,MATCH(ROWS($AH$2:AH661),$AH$2:$AH$1001,0),0), INDEX($AO$1004:$BQ$1004,1,MATCH(COLUMNS($AO$1006:BA1006),$AO$1006:$BQ$1006,0)))),"Fix")))</f>
        <v>#N/A</v>
      </c>
      <c r="O661" s="5" t="e">
        <f ca="1">IF(OR(INDEX($AI$2:$AI$1001,MATCH(ROWS($AH$2:AH661),$AH$2:$AH$1001,0),1)&gt;=100000,INDEX($AO$1005:$BQ$1005,1,MATCH(COLUMNS($AO$1006:BB1006),$AO$1006:$BQ$1006,0))&gt;=100000), " ",IF(INDEX($AO$2:$BQ$1001,MATCH(ROWS($AH$2:AH661),$AH$2:$AH$1001,0),MATCH(COLUMNS($AO$1006:BB1006),$AO$1006:$BQ$1006,0)), HYPERLINK("#",""), HYPERLINK(CONCATENATE("#Metadata!", ADDRESS(INDEX($AJ$2:$AJ$1001,MATCH(ROWS($AH$2:AH661),$AH$2:$AH$1001,0),0), INDEX($AO$1004:$BQ$1004,1,MATCH(COLUMNS($AO$1006:BB1006),$AO$1006:$BQ$1006,0)))),"Fix")))</f>
        <v>#N/A</v>
      </c>
      <c r="P661" s="5" t="e">
        <f ca="1">IF(OR(INDEX($AI$2:$AI$1001,MATCH(ROWS($AH$2:AH661),$AH$2:$AH$1001,0),1)&gt;=100000,INDEX($AO$1005:$BQ$1005,1,MATCH(COLUMNS($AO$1006:BC1006),$AO$1006:$BQ$1006,0))&gt;=100000), " ",IF(INDEX($AO$2:$BQ$1001,MATCH(ROWS($AH$2:AH661),$AH$2:$AH$1001,0),MATCH(COLUMNS($AO$1006:BC1006),$AO$1006:$BQ$1006,0)), HYPERLINK("#",""), HYPERLINK(CONCATENATE("#Metadata!", ADDRESS(INDEX($AJ$2:$AJ$1001,MATCH(ROWS($AH$2:AH661),$AH$2:$AH$1001,0),0), INDEX($AO$1004:$BQ$1004,1,MATCH(COLUMNS($AO$1006:BC1006),$AO$1006:$BQ$1006,0)))),"Fix")))</f>
        <v>#N/A</v>
      </c>
      <c r="Q661" s="5" t="e">
        <f ca="1">IF(OR(INDEX($AI$2:$AI$1001,MATCH(ROWS($AH$2:AH661),$AH$2:$AH$1001,0),1)&gt;=100000,INDEX($AO$1005:$BQ$1005,1,MATCH(COLUMNS($AO$1006:BD1006),$AO$1006:$BQ$1006,0))&gt;=100000), " ",IF(INDEX($AO$2:$BQ$1001,MATCH(ROWS($AH$2:AH661),$AH$2:$AH$1001,0),MATCH(COLUMNS($AO$1006:BD1006),$AO$1006:$BQ$1006,0)), HYPERLINK("#",""), HYPERLINK(CONCATENATE("#Metadata!", ADDRESS(INDEX($AJ$2:$AJ$1001,MATCH(ROWS($AH$2:AH661),$AH$2:$AH$1001,0),0), INDEX($AO$1004:$BQ$1004,1,MATCH(COLUMNS($AO$1006:BD1006),$AO$1006:$BQ$1006,0)))),"Fix")))</f>
        <v>#N/A</v>
      </c>
      <c r="R661" s="5" t="e">
        <f ca="1">IF(OR(INDEX($AI$2:$AI$1001,MATCH(ROWS($AH$2:AH661),$AH$2:$AH$1001,0),1)&gt;=100000,INDEX($AO$1005:$BQ$1005,1,MATCH(COLUMNS($AO$1006:BE1006),$AO$1006:$BQ$1006,0))&gt;=100000), " ",IF(INDEX($AO$2:$BQ$1001,MATCH(ROWS($AH$2:AH661),$AH$2:$AH$1001,0),MATCH(COLUMNS($AO$1006:BE1006),$AO$1006:$BQ$1006,0)), HYPERLINK("#",""), HYPERLINK(CONCATENATE("#Metadata!", ADDRESS(INDEX($AJ$2:$AJ$1001,MATCH(ROWS($AH$2:AH661),$AH$2:$AH$1001,0),0), INDEX($AO$1004:$BQ$1004,1,MATCH(COLUMNS($AO$1006:BE1006),$AO$1006:$BQ$1006,0)))),"Fix")))</f>
        <v>#N/A</v>
      </c>
      <c r="S661" s="5" t="e">
        <f ca="1">IF(OR(INDEX($AI$2:$AI$1001,MATCH(ROWS($AH$2:AH661),$AH$2:$AH$1001,0),1)&gt;=100000,INDEX($AO$1005:$BQ$1005,1,MATCH(COLUMNS($AO$1006:BF1006),$AO$1006:$BQ$1006,0))&gt;=100000), " ",IF(INDEX($AO$2:$BQ$1001,MATCH(ROWS($AH$2:AH661),$AH$2:$AH$1001,0),MATCH(COLUMNS($AO$1006:BF1006),$AO$1006:$BQ$1006,0)), HYPERLINK("#",""), HYPERLINK(CONCATENATE("#Metadata!", ADDRESS(INDEX($AJ$2:$AJ$1001,MATCH(ROWS($AH$2:AH661),$AH$2:$AH$1001,0),0), INDEX($AO$1004:$BQ$1004,1,MATCH(COLUMNS($AO$1006:BF1006),$AO$1006:$BQ$1006,0)))),"Fix")))</f>
        <v>#N/A</v>
      </c>
      <c r="T661" s="5" t="e">
        <f ca="1">IF(OR(INDEX($AI$2:$AI$1001,MATCH(ROWS($AH$2:AH661),$AH$2:$AH$1001,0),1)&gt;=100000,INDEX($AO$1005:$BQ$1005,1,MATCH(COLUMNS($AO$1006:BG1006),$AO$1006:$BQ$1006,0))&gt;=100000), " ",IF(INDEX($AO$2:$BQ$1001,MATCH(ROWS($AH$2:AH661),$AH$2:$AH$1001,0),MATCH(COLUMNS($AO$1006:BG1006),$AO$1006:$BQ$1006,0)), HYPERLINK("#",""), HYPERLINK(CONCATENATE("#Metadata!", ADDRESS(INDEX($AJ$2:$AJ$1001,MATCH(ROWS($AH$2:AH661),$AH$2:$AH$1001,0),0), INDEX($AO$1004:$BQ$1004,1,MATCH(COLUMNS($AO$1006:BG1006),$AO$1006:$BQ$1006,0)))),"Fix")))</f>
        <v>#N/A</v>
      </c>
      <c r="U661" s="5" t="e">
        <f ca="1">IF(OR(INDEX($AI$2:$AI$1001,MATCH(ROWS($AH$2:AH661),$AH$2:$AH$1001,0),1)&gt;=100000,INDEX($AO$1005:$BQ$1005,1,MATCH(COLUMNS($AO$1006:BH1006),$AO$1006:$BQ$1006,0))&gt;=100000), " ",IF(INDEX($AO$2:$BQ$1001,MATCH(ROWS($AH$2:AH661),$AH$2:$AH$1001,0),MATCH(COLUMNS($AO$1006:BH1006),$AO$1006:$BQ$1006,0)), HYPERLINK("#",""), HYPERLINK(CONCATENATE("#Metadata!", ADDRESS(INDEX($AJ$2:$AJ$1001,MATCH(ROWS($AH$2:AH661),$AH$2:$AH$1001,0),0), INDEX($AO$1004:$BQ$1004,1,MATCH(COLUMNS($AO$1006:BH1006),$AO$1006:$BQ$1006,0)))),"Fix")))</f>
        <v>#N/A</v>
      </c>
      <c r="V661" s="5" t="e">
        <f ca="1">IF(OR(INDEX($AI$2:$AI$1001,MATCH(ROWS($AH$2:AH661),$AH$2:$AH$1001,0),1)&gt;=100000,INDEX($AO$1005:$BQ$1005,1,MATCH(COLUMNS($AO$1006:BI1006),$AO$1006:$BQ$1006,0))&gt;=100000), " ",IF(INDEX($AO$2:$BQ$1001,MATCH(ROWS($AH$2:AH661),$AH$2:$AH$1001,0),MATCH(COLUMNS($AO$1006:BI1006),$AO$1006:$BQ$1006,0)), HYPERLINK("#",""), HYPERLINK(CONCATENATE("#Metadata!", ADDRESS(INDEX($AJ$2:$AJ$1001,MATCH(ROWS($AH$2:AH661),$AH$2:$AH$1001,0),0), INDEX($AO$1004:$BQ$1004,1,MATCH(COLUMNS($AO$1006:BI1006),$AO$1006:$BQ$1006,0)))),"Fix")))</f>
        <v>#N/A</v>
      </c>
      <c r="W661" s="5" t="e">
        <f ca="1">IF(OR(INDEX($AI$2:$AI$1001,MATCH(ROWS($AH$2:AH661),$AH$2:$AH$1001,0),1)&gt;=100000,INDEX($AO$1005:$BQ$1005,1,MATCH(COLUMNS($AO$1006:BJ1006),$AO$1006:$BQ$1006,0))&gt;=100000), " ",IF(INDEX($AO$2:$BQ$1001,MATCH(ROWS($AH$2:AH661),$AH$2:$AH$1001,0),MATCH(COLUMNS($AO$1006:BJ1006),$AO$1006:$BQ$1006,0)), HYPERLINK("#",""), HYPERLINK(CONCATENATE("#Metadata!", ADDRESS(INDEX($AJ$2:$AJ$1001,MATCH(ROWS($AH$2:AH661),$AH$2:$AH$1001,0),0), INDEX($AO$1004:$BQ$1004,1,MATCH(COLUMNS($AO$1006:BJ1006),$AO$1006:$BQ$1006,0)))),"Fix")))</f>
        <v>#N/A</v>
      </c>
      <c r="X661" s="5" t="e">
        <f ca="1">IF(OR(INDEX($AI$2:$AI$1001,MATCH(ROWS($AH$2:AH661),$AH$2:$AH$1001,0),1)&gt;=100000,INDEX($AO$1005:$BQ$1005,1,MATCH(COLUMNS($AO$1006:BK1006),$AO$1006:$BQ$1006,0))&gt;=100000), " ",IF(INDEX($AO$2:$BQ$1001,MATCH(ROWS($AH$2:AH661),$AH$2:$AH$1001,0),MATCH(COLUMNS($AO$1006:BK1006),$AO$1006:$BQ$1006,0)), HYPERLINK("#",""), HYPERLINK(CONCATENATE("#Metadata!", ADDRESS(INDEX($AJ$2:$AJ$1001,MATCH(ROWS($AH$2:AH661),$AH$2:$AH$1001,0),0), INDEX($AO$1004:$BQ$1004,1,MATCH(COLUMNS($AO$1006:BK1006),$AO$1006:$BQ$1006,0)))),"Fix")))</f>
        <v>#N/A</v>
      </c>
      <c r="Y661" s="5" t="e">
        <f ca="1">IF(OR(INDEX($AI$2:$AI$1001,MATCH(ROWS($AH$2:AH661),$AH$2:$AH$1001,0),1)&gt;=100000,INDEX($AO$1005:$BQ$1005,1,MATCH(COLUMNS($AO$1006:BL1006),$AO$1006:$BQ$1006,0))&gt;=100000), " ",IF(INDEX($AO$2:$BQ$1001,MATCH(ROWS($AH$2:AH661),$AH$2:$AH$1001,0),MATCH(COLUMNS($AO$1006:BL1006),$AO$1006:$BQ$1006,0)), HYPERLINK("#",""), HYPERLINK(CONCATENATE("#Metadata!", ADDRESS(INDEX($AJ$2:$AJ$1001,MATCH(ROWS($AH$2:AH661),$AH$2:$AH$1001,0),0), INDEX($AO$1004:$BQ$1004,1,MATCH(COLUMNS($AO$1006:BL1006),$AO$1006:$BQ$1006,0)))),"Fix")))</f>
        <v>#N/A</v>
      </c>
      <c r="Z661" s="5" t="e">
        <f ca="1">IF(OR(INDEX($AI$2:$AI$1001,MATCH(ROWS($AH$2:AH661),$AH$2:$AH$1001,0),1)&gt;=100000,INDEX($AO$1005:$BQ$1005,1,MATCH(COLUMNS($AO$1006:BM1006),$AO$1006:$BQ$1006,0))&gt;=100000), " ",IF(INDEX($AO$2:$BQ$1001,MATCH(ROWS($AH$2:AH661),$AH$2:$AH$1001,0),MATCH(COLUMNS($AO$1006:BM1006),$AO$1006:$BQ$1006,0)), HYPERLINK("#",""), HYPERLINK(CONCATENATE("#Metadata!", ADDRESS(INDEX($AJ$2:$AJ$1001,MATCH(ROWS($AH$2:AH661),$AH$2:$AH$1001,0),0), INDEX($AO$1004:$BQ$1004,1,MATCH(COLUMNS($AO$1006:BM1006),$AO$1006:$BQ$1006,0)))),"Fix")))</f>
        <v>#N/A</v>
      </c>
      <c r="AA661" s="5" t="e">
        <f ca="1">IF(OR(INDEX($AI$2:$AI$1001,MATCH(ROWS($AH$2:AH661),$AH$2:$AH$1001,0),1)&gt;=100000,INDEX($AO$1005:$BQ$1005,1,MATCH(COLUMNS($AO$1006:BN1006),$AO$1006:$BQ$1006,0))&gt;=100000), " ",IF(INDEX($AO$2:$BQ$1001,MATCH(ROWS($AH$2:AH661),$AH$2:$AH$1001,0),MATCH(COLUMNS($AO$1006:BN1006),$AO$1006:$BQ$1006,0)), HYPERLINK("#",""), HYPERLINK(CONCATENATE("#Metadata!", ADDRESS(INDEX($AJ$2:$AJ$1001,MATCH(ROWS($AH$2:AH661),$AH$2:$AH$1001,0),0), INDEX($AO$1004:$BQ$1004,1,MATCH(COLUMNS($AO$1006:BN1006),$AO$1006:$BQ$1006,0)))),"Fix")))</f>
        <v>#N/A</v>
      </c>
      <c r="AB661" s="5" t="e">
        <f ca="1">IF(OR(INDEX($AI$2:$AI$1001,MATCH(ROWS($AH$2:AH661),$AH$2:$AH$1001,0),1)&gt;=100000,INDEX($AO$1005:$BQ$1005,1,MATCH(COLUMNS($AO$1006:BO1006),$AO$1006:$BQ$1006,0))&gt;=100000), " ",IF(INDEX($AO$2:$BQ$1001,MATCH(ROWS($AH$2:AH661),$AH$2:$AH$1001,0),MATCH(COLUMNS($AO$1006:BO1006),$AO$1006:$BQ$1006,0)), HYPERLINK("#",""), HYPERLINK(CONCATENATE("#Metadata!", ADDRESS(INDEX($AJ$2:$AJ$1001,MATCH(ROWS($AH$2:AH661),$AH$2:$AH$1001,0),0), INDEX($AO$1004:$BQ$1004,1,MATCH(COLUMNS($AO$1006:BO1006),$AO$1006:$BQ$1006,0)))),"Fix")))</f>
        <v>#N/A</v>
      </c>
      <c r="AC661" s="5" t="e">
        <f ca="1">IF(OR(INDEX($AI$2:$AI$1001,MATCH(ROWS($AH$2:AH661),$AH$2:$AH$1001,0),1)&gt;=100000,INDEX($AO$1005:$BQ$1005,1,MATCH(COLUMNS($AO$1006:BP1006),$AO$1006:$BQ$1006,0))&gt;=100000), " ",IF(INDEX($AO$2:$BQ$1001,MATCH(ROWS($AH$2:AH661),$AH$2:$AH$1001,0),MATCH(COLUMNS($AO$1006:BP1006),$AO$1006:$BQ$1006,0)), HYPERLINK("#",""), HYPERLINK(CONCATENATE("#Metadata!", ADDRESS(INDEX($AJ$2:$AJ$1001,MATCH(ROWS($AH$2:AH661),$AH$2:$AH$1001,0),0), INDEX($AO$1004:$BQ$1004,1,MATCH(COLUMNS($AO$1006:BP1006),$AO$1006:$BQ$1006,0)))),"Fix")))</f>
        <v>#N/A</v>
      </c>
      <c r="AD661" s="5" t="e">
        <f ca="1">IF(OR(INDEX($AI$2:$AI$1001,MATCH(ROWS($AH$2:AH661),$AH$2:$AH$1001,0),1)&gt;=100000,INDEX($AO$1005:$BQ$1005,1,MATCH(COLUMNS($AO$1006:BQ1006),$AO$1006:$BQ$1006,0))&gt;=100000), " ",IF(INDEX($AO$2:$BQ$1001,MATCH(ROWS($AH$2:AH661),$AH$2:$AH$1001,0),MATCH(COLUMNS($AO$1006:BQ1006),$AO$1006:$BQ$1006,0)), HYPERLINK("#",""), HYPERLINK(CONCATENATE("#Metadata!", ADDRESS(INDEX($AJ$2:$AJ$1001,MATCH(ROWS($AH$2:AH661),$AH$2:$AH$1001,0),0), INDEX($AO$1004:$BQ$1004,1,MATCH(COLUMNS($AO$1006:BQ1006),$AO$1006:$BQ$1006,0)))),"Fix")))</f>
        <v>#REF!</v>
      </c>
      <c r="AH661">
        <f ca="1"/>
        <v>658</v>
      </c>
      <c r="AI661">
        <v>100661</v>
      </c>
      <c r="AJ661">
        <v>661</v>
      </c>
      <c r="AK661" t="b">
        <f t="shared" si="10"/>
        <v>1</v>
      </c>
      <c r="AL661" t="b">
        <f>COUNTBLANK(Metadata!B661:AD661)=COLUMNS(Metadata!B661:AD661)</f>
        <v>1</v>
      </c>
      <c r="AM661" t="str">
        <v/>
      </c>
      <c r="AO661" t="b">
        <f ca="1">AND(IF(Metadata!B661="",FALSE,TRUE),COUNTIF(Metadata!B:B, Metadata!B661) = 1,NOT(ISERROR(SUMPRODUCT(SEARCH(MID(Metadata!B661,ROW(INDIRECT("1:"&amp;LEN(Metadata!B661))), 1),"0123456789abcdefghijklmnopqrstuvwxyzABCDEFGHIJKLMNOPQRSTUVWXYZ.")))))</f>
        <v>0</v>
      </c>
      <c r="AP661" t="b">
        <f>IF(Metadata!C661="",FALSE,TRUE)</f>
        <v>0</v>
      </c>
      <c r="AQ661" t="b">
        <f>IF(Metadata!D661="",FALSE,TRUE)</f>
        <v>0</v>
      </c>
      <c r="AR661" t="b">
        <f ca="1">OR(AND(IF(Metadata!E661="",FALSE,TRUE),OR(EXACT(Metadata!E661,"not collected"),EXACT(Metadata!E661,"not provided"),EXACT(Metadata!E661,"restricted access"))),AND(IF(Metadata!E661="",FALSE,TRUE),AND(AND(IFERROR(INT(LEFT(Metadata!E661,4))&gt;1900,FALSE),IFERROR(INT(LEFT(Metadata!E661,4))&lt;=YEAR(NOW()),FALSE)), OR(MID(Metadata!E661,5,1)="", AND(AND(MID(Metadata!E661,5,1)="-",IFERROR(INT(MID(Metadata!E661,6,1))&gt;=0,FALSE),IFERROR(INT(MID(Metadata!E661,6,1))&lt;=1,FALSE),NOT(MID(Metadata!E661,7,1)=""),IFERROR(INT(MID(Metadata!E661,6,2))&gt;=1,FALSE),IFERROR(INT(MID(Metadata!E661,6,2))&lt;=12,FALSE)), OR(MID(Metadata!E661,8,1)="", AND(AND(MID(Metadata!E661,8,1)="-",IFERROR(INT(MID(Metadata!E661,9,1))&gt;=0,FALSE),IFERROR(INT(MID(Metadata!E661,9,1))&lt;=3,FALSE),NOT(MID(Metadata!E661,10,1)=""),IFERROR(INT(MID(Metadata!E661,9,2))&gt;=1,FALSE),IFERROR(INT(MID(Metadata!E661,9,2))&lt;=31,FALSE)), OR(MID(Metadata!E661,11,1)="", AND(AND(MID(Metadata!E661,11,1)=" ",IFERROR(INT(MID(Metadata!E661,12,1))&gt;=0,FALSE),IFERROR(INT(MID(Metadata!E661,12,1))&lt;=2,FALSE),NOT(MID(Metadata!E661,13,1)=""),IFERROR(INT(MID(Metadata!E661,12,2))&gt;=0,FALSE),IFERROR(INT(MID(Metadata!E661,12,2))&lt;=23,FALSE)), OR(MID(Metadata!E661,14,1)="", AND(AND(MID(Metadata!E661,14,1)=":",IFERROR(INT(MID(Metadata!E661,15,1))&gt;=0,FALSE),IFERROR(INT(MID(Metadata!E661,15,1))&lt;=5,FALSE),NOT(MID(Metadata!E661,16,1)=""),IFERROR(INT(MID(Metadata!E661,15,2))&gt;=0,FALSE),IFERROR(INT(MID(Metadata!E661,15,2))&lt;=59,FALSE)), OR(MID(Metadata!E661,17,1)="", AND(AND(MID(Metadata!E661,17,1)=":",IFERROR(INT(MID(Metadata!E661,18,1))&gt;=0,FALSE),IFERROR(INT(MID(Metadata!E661,18,1))&lt;=5,FALSE),NOT(MID(Metadata!E661,19,1)=""),IFERROR(INT(MID(Metadata!E661,18,2))&gt;=0,FALSE),IFERROR(INT(MID(Metadata!E661,18,2))&lt;=59,FALSE)), LEN(Metadata!E661)&lt;=19)))))))))))))</f>
        <v>0</v>
      </c>
      <c r="AS661" t="b">
        <f>IF(Metadata!F661="",FALSE,TRUE)</f>
        <v>0</v>
      </c>
      <c r="AT661" t="b">
        <f>OR(AND(IF(Metadata!G661="",FALSE,TRUE),OR(EXACT(Metadata!G661,"not collected"),EXACT(Metadata!G661,"not provided"))),AND(IF(Metadata!G661="",FALSE,TRUE),OR(EXACT(Metadata!G661,"TRUE"),EXACT(Metadata!G661,"FALSE"))))</f>
        <v>0</v>
      </c>
      <c r="AU661" t="b">
        <f>OR(AND(IF(Metadata!H661="",FALSE,TRUE),OR(EXACT(Metadata!H661,"not collected"),EXACT(Metadata!H661,"not provided"),EXACT(Metadata!H661,"restricted access"))),AND(IF(Metadata!H661="",FALSE,ISNUMBER(VALUE(Metadata!H661))),Metadata!H661&gt;=-413))</f>
        <v>0</v>
      </c>
      <c r="AV661" t="b">
        <f>AND(IF(Metadata!I661="",FALSE,TRUE),EXACT(Metadata!I661,"meters"))</f>
        <v>0</v>
      </c>
      <c r="AW661" t="b">
        <f>AND(IF(Metadata!J661="",FALSE,TRUE),EXACT(Metadata!J661,"free-living"))</f>
        <v>0</v>
      </c>
      <c r="AX661" t="b">
        <f>AND(IF(Metadata!K661="",FALSE,TRUE),OR(EXACT(Metadata!K661,"saline"),EXACT(Metadata!K661,"non-saline")))</f>
        <v>0</v>
      </c>
      <c r="AY661" t="b">
        <f>AND(IF(Metadata!L661="",FALSE,TRUE),OR(EXACT(Metadata!L661,"sub-surface (non-saline)"),EXACT(Metadata!L661,"surface (non-saline)"),EXACT(Metadata!L661,"water (non-saline)"),EXACT(Metadata!L661,"soil (non-saline)"),EXACT(Metadata!L661,"aerosol (non-saline)"),EXACT(Metadata!L661,"sediment (non-saline)"),EXACT(Metadata!L661,"surface (saline)"),EXACT(Metadata!L661,"water (saline)"),EXACT(Metadata!L661,"hypersaline (saline)"),EXACT(Metadata!L661,"aerosol (saline)"),EXACT(Metadata!L661,"sediment (saline)")))</f>
        <v>0</v>
      </c>
      <c r="AZ661" t="b">
        <f>IF(Metadata!M661="",FALSE,TRUE)</f>
        <v>0</v>
      </c>
      <c r="BA661" t="b">
        <f>IF(Metadata!N661="",FALSE,TRUE)</f>
        <v>0</v>
      </c>
      <c r="BB661" t="b">
        <f>IF(Metadata!O661="",FALSE,TRUE)</f>
        <v>0</v>
      </c>
      <c r="BC661" t="b">
        <f>AND(IF(Metadata!P661="",FALSE,TRUE),OR(EXACT(Metadata!P661,"air"),EXACT(Metadata!P661,"microbial mat/biofilm"),EXACT(Metadata!P661,"misc environment"),EXACT(Metadata!P661,"sediment"),EXACT(Metadata!P661,"soil"),EXACT(Metadata!P661,"wastewater/sludge"),EXACT(Metadata!P661,"water")))</f>
        <v>0</v>
      </c>
      <c r="BD661" t="b">
        <f>IF(Metadata!Q661="",FALSE,TRUE)</f>
        <v>0</v>
      </c>
      <c r="BE661" t="b">
        <f>IF(Metadata!R661="",FALSE,TRUE)</f>
        <v>0</v>
      </c>
      <c r="BF661" t="b">
        <f>OR(AND(IF(Metadata!S661="",FALSE,TRUE),OR(EXACT(Metadata!S661,"not collected"),EXACT(Metadata!S661,"not provided"),EXACT(Metadata!S661,"restricted access"))),AND(IF(Metadata!S661="",FALSE,ISNUMBER(VALUE(Metadata!S661))),Metadata!S661&gt;=-90,Metadata!S661&lt;=90))</f>
        <v>0</v>
      </c>
      <c r="BG661" t="b">
        <f>AND(IF(Metadata!T661="",FALSE,TRUE),EXACT(Metadata!T661,"Decimal degrees"))</f>
        <v>0</v>
      </c>
      <c r="BH661" t="b">
        <f>OR(AND(IF(Metadata!U661="",FALSE,TRUE),OR(EXACT(Metadata!U661,"not applicable"),EXACT(Metadata!U661,"not collected"))),IF(Metadata!U661="",FALSE,TRUE))</f>
        <v>0</v>
      </c>
      <c r="BI661" t="b">
        <f>OR(AND(IF(Metadata!V661="",FALSE,TRUE),OR(EXACT(Metadata!V661,"not collected"),EXACT(Metadata!V661,"not provided"),EXACT(Metadata!V661,"restricted access"))),AND(IF(Metadata!V661="",FALSE,ISNUMBER(VALUE(Metadata!V661))),Metadata!V661&gt;=-180,Metadata!V661&lt;=180))</f>
        <v>0</v>
      </c>
      <c r="BJ661" t="b">
        <f>AND(IF(Metadata!W661="",FALSE,TRUE),EXACT(Metadata!W661,"Decimal degrees"))</f>
        <v>0</v>
      </c>
      <c r="BK661" t="b">
        <f>IF(Metadata!X661="",FALSE,TRUE)</f>
        <v>0</v>
      </c>
      <c r="BL661" t="b">
        <f>OR(AND(IF(Metadata!Y661="",FALSE,TRUE),OR(EXACT(Metadata!Y661,"not collected"),EXACT(Metadata!Y661,"not provided"),EXACT(Metadata!Y661,"restricted access"))),AND(IF(Metadata!Y661="",FALSE,TRUE),OR(EXACT(Metadata!Y661,"TRUE"),EXACT(Metadata!Y661,"FALSE"))))</f>
        <v>0</v>
      </c>
      <c r="BM661" t="b">
        <f>OR(AND(IF(Metadata!Z661="",FALSE,TRUE),EXACT(Metadata!Z661,"not applicable")),AND(IF(Metadata!Z661="",FALSE,TRUE),OR(EXACT(Metadata!Z661,"beer"),EXACT(Metadata!Z661,"cheese"),EXACT(Metadata!Z661,"fresh water"),EXACT(Metadata!Z661,"marine sediment"),EXACT(Metadata!Z661,"sea water"),EXACT(Metadata!Z661,"sediment"),EXACT(Metadata!Z661,"soil"),EXACT(Metadata!Z661,"waste water"))))</f>
        <v>0</v>
      </c>
      <c r="BN661" t="b">
        <f>AND(IF(Metadata!AA661="",FALSE,TRUE),EXACT(Metadata!AA661,"metagenome"))</f>
        <v>0</v>
      </c>
      <c r="BO661" t="b">
        <f>AND(IF(Metadata!AB661="",FALSE,TRUE),EXACT(Metadata!AB661,"256318"))</f>
        <v>0</v>
      </c>
      <c r="BP661" t="b">
        <f>IF(Metadata!AC661="",FALSE,TRUE)</f>
        <v>0</v>
      </c>
      <c r="BQ661" t="b">
        <f>IF(Metadata!AD661="",FALSE,TRUE)</f>
        <v>0</v>
      </c>
    </row>
    <row r="662" spans="1:69" x14ac:dyDescent="0.2">
      <c r="A662" s="4" t="e">
        <f ca="1">IF(B662=" "," ",HYPERLINK(CONCATENATE("#metadata!",ADDRESS(INDEX($AJ$2:$AJ$1001,MATCH(ROWS($AH$2:AH662),$AH$2:$AH$1001,0),0),2)),INDEX($AM$2:$AM$1001,MATCH(ROWS($AH$2:AH662),$AH$2:$AH$1001,0),0)))</f>
        <v>#N/A</v>
      </c>
      <c r="B662" s="5" t="e">
        <f ca="1">IF(OR(INDEX($AI$2:$AI$1001,MATCH(ROWS($AH$2:AH662),$AH$2:$AH$1001,0),1)&gt;=100000,INDEX($AO$1005:$BQ$1005,1,MATCH(COLUMNS($AO$1006:AO1006),$AO$1006:$BQ$1006,0))&gt;=100000), " ",IF(INDEX($AO$2:$BQ$1001,MATCH(ROWS($AH$2:AH662),$AH$2:$AH$1001,0),MATCH(COLUMNS($AO$1006:AO1006),$AO$1006:$BQ$1006,0)), HYPERLINK("#",""), HYPERLINK(CONCATENATE("#Metadata!", ADDRESS(INDEX($AJ$2:$AJ$1001,MATCH(ROWS($AH$2:AH662),$AH$2:$AH$1001,0),0), INDEX($AO$1004:$BQ$1004,1,MATCH(COLUMNS($AO$1006:AO1006),$AO$1006:$BQ$1006,0)))),"Fix")))</f>
        <v>#N/A</v>
      </c>
      <c r="C662" s="5" t="e">
        <f ca="1">IF(OR(INDEX($AI$2:$AI$1001,MATCH(ROWS($AH$2:AH662),$AH$2:$AH$1001,0),1)&gt;=100000,INDEX($AO$1005:$BQ$1005,1,MATCH(COLUMNS($AO$1006:AP1006),$AO$1006:$BQ$1006,0))&gt;=100000), " ",IF(INDEX($AO$2:$BQ$1001,MATCH(ROWS($AH$2:AH662),$AH$2:$AH$1001,0),MATCH(COLUMNS($AO$1006:AP1006),$AO$1006:$BQ$1006,0)), HYPERLINK("#",""), HYPERLINK(CONCATENATE("#Metadata!", ADDRESS(INDEX($AJ$2:$AJ$1001,MATCH(ROWS($AH$2:AH662),$AH$2:$AH$1001,0),0), INDEX($AO$1004:$BQ$1004,1,MATCH(COLUMNS($AO$1006:AP1006),$AO$1006:$BQ$1006,0)))),"Fix")))</f>
        <v>#N/A</v>
      </c>
      <c r="D662" s="5" t="e">
        <f ca="1">IF(OR(INDEX($AI$2:$AI$1001,MATCH(ROWS($AH$2:AH662),$AH$2:$AH$1001,0),1)&gt;=100000,INDEX($AO$1005:$BQ$1005,1,MATCH(COLUMNS($AO$1006:AQ1006),$AO$1006:$BQ$1006,0))&gt;=100000), " ",IF(INDEX($AO$2:$BQ$1001,MATCH(ROWS($AH$2:AH662),$AH$2:$AH$1001,0),MATCH(COLUMNS($AO$1006:AQ1006),$AO$1006:$BQ$1006,0)), HYPERLINK("#",""), HYPERLINK(CONCATENATE("#Metadata!", ADDRESS(INDEX($AJ$2:$AJ$1001,MATCH(ROWS($AH$2:AH662),$AH$2:$AH$1001,0),0), INDEX($AO$1004:$BQ$1004,1,MATCH(COLUMNS($AO$1006:AQ1006),$AO$1006:$BQ$1006,0)))),"Fix")))</f>
        <v>#N/A</v>
      </c>
      <c r="E662" s="5" t="e">
        <f ca="1">IF(OR(INDEX($AI$2:$AI$1001,MATCH(ROWS($AH$2:AH662),$AH$2:$AH$1001,0),1)&gt;=100000,INDEX($AO$1005:$BQ$1005,1,MATCH(COLUMNS($AO$1006:AR1006),$AO$1006:$BQ$1006,0))&gt;=100000), " ",IF(INDEX($AO$2:$BQ$1001,MATCH(ROWS($AH$2:AH662),$AH$2:$AH$1001,0),MATCH(COLUMNS($AO$1006:AR1006),$AO$1006:$BQ$1006,0)), HYPERLINK("#",""), HYPERLINK(CONCATENATE("#Metadata!", ADDRESS(INDEX($AJ$2:$AJ$1001,MATCH(ROWS($AH$2:AH662),$AH$2:$AH$1001,0),0), INDEX($AO$1004:$BQ$1004,1,MATCH(COLUMNS($AO$1006:AR1006),$AO$1006:$BQ$1006,0)))),"Fix")))</f>
        <v>#N/A</v>
      </c>
      <c r="F662" s="5" t="e">
        <f ca="1">IF(OR(INDEX($AI$2:$AI$1001,MATCH(ROWS($AH$2:AH662),$AH$2:$AH$1001,0),1)&gt;=100000,INDEX($AO$1005:$BQ$1005,1,MATCH(COLUMNS($AO$1006:AS1006),$AO$1006:$BQ$1006,0))&gt;=100000), " ",IF(INDEX($AO$2:$BQ$1001,MATCH(ROWS($AH$2:AH662),$AH$2:$AH$1001,0),MATCH(COLUMNS($AO$1006:AS1006),$AO$1006:$BQ$1006,0)), HYPERLINK("#",""), HYPERLINK(CONCATENATE("#Metadata!", ADDRESS(INDEX($AJ$2:$AJ$1001,MATCH(ROWS($AH$2:AH662),$AH$2:$AH$1001,0),0), INDEX($AO$1004:$BQ$1004,1,MATCH(COLUMNS($AO$1006:AS1006),$AO$1006:$BQ$1006,0)))),"Fix")))</f>
        <v>#N/A</v>
      </c>
      <c r="G662" s="5" t="e">
        <f ca="1">IF(OR(INDEX($AI$2:$AI$1001,MATCH(ROWS($AH$2:AH662),$AH$2:$AH$1001,0),1)&gt;=100000,INDEX($AO$1005:$BQ$1005,1,MATCH(COLUMNS($AO$1006:AT1006),$AO$1006:$BQ$1006,0))&gt;=100000), " ",IF(INDEX($AO$2:$BQ$1001,MATCH(ROWS($AH$2:AH662),$AH$2:$AH$1001,0),MATCH(COLUMNS($AO$1006:AT1006),$AO$1006:$BQ$1006,0)), HYPERLINK("#",""), HYPERLINK(CONCATENATE("#Metadata!", ADDRESS(INDEX($AJ$2:$AJ$1001,MATCH(ROWS($AH$2:AH662),$AH$2:$AH$1001,0),0), INDEX($AO$1004:$BQ$1004,1,MATCH(COLUMNS($AO$1006:AT1006),$AO$1006:$BQ$1006,0)))),"Fix")))</f>
        <v>#N/A</v>
      </c>
      <c r="H662" s="5" t="e">
        <f ca="1">IF(OR(INDEX($AI$2:$AI$1001,MATCH(ROWS($AH$2:AH662),$AH$2:$AH$1001,0),1)&gt;=100000,INDEX($AO$1005:$BQ$1005,1,MATCH(COLUMNS($AO$1006:AU1006),$AO$1006:$BQ$1006,0))&gt;=100000), " ",IF(INDEX($AO$2:$BQ$1001,MATCH(ROWS($AH$2:AH662),$AH$2:$AH$1001,0),MATCH(COLUMNS($AO$1006:AU1006),$AO$1006:$BQ$1006,0)), HYPERLINK("#",""), HYPERLINK(CONCATENATE("#Metadata!", ADDRESS(INDEX($AJ$2:$AJ$1001,MATCH(ROWS($AH$2:AH662),$AH$2:$AH$1001,0),0), INDEX($AO$1004:$BQ$1004,1,MATCH(COLUMNS($AO$1006:AU1006),$AO$1006:$BQ$1006,0)))),"Fix")))</f>
        <v>#N/A</v>
      </c>
      <c r="I662" s="5" t="e">
        <f ca="1">IF(OR(INDEX($AI$2:$AI$1001,MATCH(ROWS($AH$2:AH662),$AH$2:$AH$1001,0),1)&gt;=100000,INDEX($AO$1005:$BQ$1005,1,MATCH(COLUMNS($AO$1006:AV1006),$AO$1006:$BQ$1006,0))&gt;=100000), " ",IF(INDEX($AO$2:$BQ$1001,MATCH(ROWS($AH$2:AH662),$AH$2:$AH$1001,0),MATCH(COLUMNS($AO$1006:AV1006),$AO$1006:$BQ$1006,0)), HYPERLINK("#",""), HYPERLINK(CONCATENATE("#Metadata!", ADDRESS(INDEX($AJ$2:$AJ$1001,MATCH(ROWS($AH$2:AH662),$AH$2:$AH$1001,0),0), INDEX($AO$1004:$BQ$1004,1,MATCH(COLUMNS($AO$1006:AV1006),$AO$1006:$BQ$1006,0)))),"Fix")))</f>
        <v>#N/A</v>
      </c>
      <c r="J662" s="5" t="e">
        <f ca="1">IF(OR(INDEX($AI$2:$AI$1001,MATCH(ROWS($AH$2:AH662),$AH$2:$AH$1001,0),1)&gt;=100000,INDEX($AO$1005:$BQ$1005,1,MATCH(COLUMNS($AO$1006:AW1006),$AO$1006:$BQ$1006,0))&gt;=100000), " ",IF(INDEX($AO$2:$BQ$1001,MATCH(ROWS($AH$2:AH662),$AH$2:$AH$1001,0),MATCH(COLUMNS($AO$1006:AW1006),$AO$1006:$BQ$1006,0)), HYPERLINK("#",""), HYPERLINK(CONCATENATE("#Metadata!", ADDRESS(INDEX($AJ$2:$AJ$1001,MATCH(ROWS($AH$2:AH662),$AH$2:$AH$1001,0),0), INDEX($AO$1004:$BQ$1004,1,MATCH(COLUMNS($AO$1006:AW1006),$AO$1006:$BQ$1006,0)))),"Fix")))</f>
        <v>#N/A</v>
      </c>
      <c r="K662" s="5" t="e">
        <f ca="1">IF(OR(INDEX($AI$2:$AI$1001,MATCH(ROWS($AH$2:AH662),$AH$2:$AH$1001,0),1)&gt;=100000,INDEX($AO$1005:$BQ$1005,1,MATCH(COLUMNS($AO$1006:AX1006),$AO$1006:$BQ$1006,0))&gt;=100000), " ",IF(INDEX($AO$2:$BQ$1001,MATCH(ROWS($AH$2:AH662),$AH$2:$AH$1001,0),MATCH(COLUMNS($AO$1006:AX1006),$AO$1006:$BQ$1006,0)), HYPERLINK("#",""), HYPERLINK(CONCATENATE("#Metadata!", ADDRESS(INDEX($AJ$2:$AJ$1001,MATCH(ROWS($AH$2:AH662),$AH$2:$AH$1001,0),0), INDEX($AO$1004:$BQ$1004,1,MATCH(COLUMNS($AO$1006:AX1006),$AO$1006:$BQ$1006,0)))),"Fix")))</f>
        <v>#N/A</v>
      </c>
      <c r="L662" s="5" t="e">
        <f ca="1">IF(OR(INDEX($AI$2:$AI$1001,MATCH(ROWS($AH$2:AH662),$AH$2:$AH$1001,0),1)&gt;=100000,INDEX($AO$1005:$BQ$1005,1,MATCH(COLUMNS($AO$1006:AY1006),$AO$1006:$BQ$1006,0))&gt;=100000), " ",IF(INDEX($AO$2:$BQ$1001,MATCH(ROWS($AH$2:AH662),$AH$2:$AH$1001,0),MATCH(COLUMNS($AO$1006:AY1006),$AO$1006:$BQ$1006,0)), HYPERLINK("#",""), HYPERLINK(CONCATENATE("#Metadata!", ADDRESS(INDEX($AJ$2:$AJ$1001,MATCH(ROWS($AH$2:AH662),$AH$2:$AH$1001,0),0), INDEX($AO$1004:$BQ$1004,1,MATCH(COLUMNS($AO$1006:AY1006),$AO$1006:$BQ$1006,0)))),"Fix")))</f>
        <v>#N/A</v>
      </c>
      <c r="M662" s="5" t="e">
        <f ca="1">IF(OR(INDEX($AI$2:$AI$1001,MATCH(ROWS($AH$2:AH662),$AH$2:$AH$1001,0),1)&gt;=100000,INDEX($AO$1005:$BQ$1005,1,MATCH(COLUMNS($AO$1006:AZ1006),$AO$1006:$BQ$1006,0))&gt;=100000), " ",IF(INDEX($AO$2:$BQ$1001,MATCH(ROWS($AH$2:AH662),$AH$2:$AH$1001,0),MATCH(COLUMNS($AO$1006:AZ1006),$AO$1006:$BQ$1006,0)), HYPERLINK("#",""), HYPERLINK(CONCATENATE("#Metadata!", ADDRESS(INDEX($AJ$2:$AJ$1001,MATCH(ROWS($AH$2:AH662),$AH$2:$AH$1001,0),0), INDEX($AO$1004:$BQ$1004,1,MATCH(COLUMNS($AO$1006:AZ1006),$AO$1006:$BQ$1006,0)))),"Fix")))</f>
        <v>#N/A</v>
      </c>
      <c r="N662" s="5" t="e">
        <f ca="1">IF(OR(INDEX($AI$2:$AI$1001,MATCH(ROWS($AH$2:AH662),$AH$2:$AH$1001,0),1)&gt;=100000,INDEX($AO$1005:$BQ$1005,1,MATCH(COLUMNS($AO$1006:BA1006),$AO$1006:$BQ$1006,0))&gt;=100000), " ",IF(INDEX($AO$2:$BQ$1001,MATCH(ROWS($AH$2:AH662),$AH$2:$AH$1001,0),MATCH(COLUMNS($AO$1006:BA1006),$AO$1006:$BQ$1006,0)), HYPERLINK("#",""), HYPERLINK(CONCATENATE("#Metadata!", ADDRESS(INDEX($AJ$2:$AJ$1001,MATCH(ROWS($AH$2:AH662),$AH$2:$AH$1001,0),0), INDEX($AO$1004:$BQ$1004,1,MATCH(COLUMNS($AO$1006:BA1006),$AO$1006:$BQ$1006,0)))),"Fix")))</f>
        <v>#N/A</v>
      </c>
      <c r="O662" s="5" t="e">
        <f ca="1">IF(OR(INDEX($AI$2:$AI$1001,MATCH(ROWS($AH$2:AH662),$AH$2:$AH$1001,0),1)&gt;=100000,INDEX($AO$1005:$BQ$1005,1,MATCH(COLUMNS($AO$1006:BB1006),$AO$1006:$BQ$1006,0))&gt;=100000), " ",IF(INDEX($AO$2:$BQ$1001,MATCH(ROWS($AH$2:AH662),$AH$2:$AH$1001,0),MATCH(COLUMNS($AO$1006:BB1006),$AO$1006:$BQ$1006,0)), HYPERLINK("#",""), HYPERLINK(CONCATENATE("#Metadata!", ADDRESS(INDEX($AJ$2:$AJ$1001,MATCH(ROWS($AH$2:AH662),$AH$2:$AH$1001,0),0), INDEX($AO$1004:$BQ$1004,1,MATCH(COLUMNS($AO$1006:BB1006),$AO$1006:$BQ$1006,0)))),"Fix")))</f>
        <v>#N/A</v>
      </c>
      <c r="P662" s="5" t="e">
        <f ca="1">IF(OR(INDEX($AI$2:$AI$1001,MATCH(ROWS($AH$2:AH662),$AH$2:$AH$1001,0),1)&gt;=100000,INDEX($AO$1005:$BQ$1005,1,MATCH(COLUMNS($AO$1006:BC1006),$AO$1006:$BQ$1006,0))&gt;=100000), " ",IF(INDEX($AO$2:$BQ$1001,MATCH(ROWS($AH$2:AH662),$AH$2:$AH$1001,0),MATCH(COLUMNS($AO$1006:BC1006),$AO$1006:$BQ$1006,0)), HYPERLINK("#",""), HYPERLINK(CONCATENATE("#Metadata!", ADDRESS(INDEX($AJ$2:$AJ$1001,MATCH(ROWS($AH$2:AH662),$AH$2:$AH$1001,0),0), INDEX($AO$1004:$BQ$1004,1,MATCH(COLUMNS($AO$1006:BC1006),$AO$1006:$BQ$1006,0)))),"Fix")))</f>
        <v>#N/A</v>
      </c>
      <c r="Q662" s="5" t="e">
        <f ca="1">IF(OR(INDEX($AI$2:$AI$1001,MATCH(ROWS($AH$2:AH662),$AH$2:$AH$1001,0),1)&gt;=100000,INDEX($AO$1005:$BQ$1005,1,MATCH(COLUMNS($AO$1006:BD1006),$AO$1006:$BQ$1006,0))&gt;=100000), " ",IF(INDEX($AO$2:$BQ$1001,MATCH(ROWS($AH$2:AH662),$AH$2:$AH$1001,0),MATCH(COLUMNS($AO$1006:BD1006),$AO$1006:$BQ$1006,0)), HYPERLINK("#",""), HYPERLINK(CONCATENATE("#Metadata!", ADDRESS(INDEX($AJ$2:$AJ$1001,MATCH(ROWS($AH$2:AH662),$AH$2:$AH$1001,0),0), INDEX($AO$1004:$BQ$1004,1,MATCH(COLUMNS($AO$1006:BD1006),$AO$1006:$BQ$1006,0)))),"Fix")))</f>
        <v>#N/A</v>
      </c>
      <c r="R662" s="5" t="e">
        <f ca="1">IF(OR(INDEX($AI$2:$AI$1001,MATCH(ROWS($AH$2:AH662),$AH$2:$AH$1001,0),1)&gt;=100000,INDEX($AO$1005:$BQ$1005,1,MATCH(COLUMNS($AO$1006:BE1006),$AO$1006:$BQ$1006,0))&gt;=100000), " ",IF(INDEX($AO$2:$BQ$1001,MATCH(ROWS($AH$2:AH662),$AH$2:$AH$1001,0),MATCH(COLUMNS($AO$1006:BE1006),$AO$1006:$BQ$1006,0)), HYPERLINK("#",""), HYPERLINK(CONCATENATE("#Metadata!", ADDRESS(INDEX($AJ$2:$AJ$1001,MATCH(ROWS($AH$2:AH662),$AH$2:$AH$1001,0),0), INDEX($AO$1004:$BQ$1004,1,MATCH(COLUMNS($AO$1006:BE1006),$AO$1006:$BQ$1006,0)))),"Fix")))</f>
        <v>#N/A</v>
      </c>
      <c r="S662" s="5" t="e">
        <f ca="1">IF(OR(INDEX($AI$2:$AI$1001,MATCH(ROWS($AH$2:AH662),$AH$2:$AH$1001,0),1)&gt;=100000,INDEX($AO$1005:$BQ$1005,1,MATCH(COLUMNS($AO$1006:BF1006),$AO$1006:$BQ$1006,0))&gt;=100000), " ",IF(INDEX($AO$2:$BQ$1001,MATCH(ROWS($AH$2:AH662),$AH$2:$AH$1001,0),MATCH(COLUMNS($AO$1006:BF1006),$AO$1006:$BQ$1006,0)), HYPERLINK("#",""), HYPERLINK(CONCATENATE("#Metadata!", ADDRESS(INDEX($AJ$2:$AJ$1001,MATCH(ROWS($AH$2:AH662),$AH$2:$AH$1001,0),0), INDEX($AO$1004:$BQ$1004,1,MATCH(COLUMNS($AO$1006:BF1006),$AO$1006:$BQ$1006,0)))),"Fix")))</f>
        <v>#N/A</v>
      </c>
      <c r="T662" s="5" t="e">
        <f ca="1">IF(OR(INDEX($AI$2:$AI$1001,MATCH(ROWS($AH$2:AH662),$AH$2:$AH$1001,0),1)&gt;=100000,INDEX($AO$1005:$BQ$1005,1,MATCH(COLUMNS($AO$1006:BG1006),$AO$1006:$BQ$1006,0))&gt;=100000), " ",IF(INDEX($AO$2:$BQ$1001,MATCH(ROWS($AH$2:AH662),$AH$2:$AH$1001,0),MATCH(COLUMNS($AO$1006:BG1006),$AO$1006:$BQ$1006,0)), HYPERLINK("#",""), HYPERLINK(CONCATENATE("#Metadata!", ADDRESS(INDEX($AJ$2:$AJ$1001,MATCH(ROWS($AH$2:AH662),$AH$2:$AH$1001,0),0), INDEX($AO$1004:$BQ$1004,1,MATCH(COLUMNS($AO$1006:BG1006),$AO$1006:$BQ$1006,0)))),"Fix")))</f>
        <v>#N/A</v>
      </c>
      <c r="U662" s="5" t="e">
        <f ca="1">IF(OR(INDEX($AI$2:$AI$1001,MATCH(ROWS($AH$2:AH662),$AH$2:$AH$1001,0),1)&gt;=100000,INDEX($AO$1005:$BQ$1005,1,MATCH(COLUMNS($AO$1006:BH1006),$AO$1006:$BQ$1006,0))&gt;=100000), " ",IF(INDEX($AO$2:$BQ$1001,MATCH(ROWS($AH$2:AH662),$AH$2:$AH$1001,0),MATCH(COLUMNS($AO$1006:BH1006),$AO$1006:$BQ$1006,0)), HYPERLINK("#",""), HYPERLINK(CONCATENATE("#Metadata!", ADDRESS(INDEX($AJ$2:$AJ$1001,MATCH(ROWS($AH$2:AH662),$AH$2:$AH$1001,0),0), INDEX($AO$1004:$BQ$1004,1,MATCH(COLUMNS($AO$1006:BH1006),$AO$1006:$BQ$1006,0)))),"Fix")))</f>
        <v>#N/A</v>
      </c>
      <c r="V662" s="5" t="e">
        <f ca="1">IF(OR(INDEX($AI$2:$AI$1001,MATCH(ROWS($AH$2:AH662),$AH$2:$AH$1001,0),1)&gt;=100000,INDEX($AO$1005:$BQ$1005,1,MATCH(COLUMNS($AO$1006:BI1006),$AO$1006:$BQ$1006,0))&gt;=100000), " ",IF(INDEX($AO$2:$BQ$1001,MATCH(ROWS($AH$2:AH662),$AH$2:$AH$1001,0),MATCH(COLUMNS($AO$1006:BI1006),$AO$1006:$BQ$1006,0)), HYPERLINK("#",""), HYPERLINK(CONCATENATE("#Metadata!", ADDRESS(INDEX($AJ$2:$AJ$1001,MATCH(ROWS($AH$2:AH662),$AH$2:$AH$1001,0),0), INDEX($AO$1004:$BQ$1004,1,MATCH(COLUMNS($AO$1006:BI1006),$AO$1006:$BQ$1006,0)))),"Fix")))</f>
        <v>#N/A</v>
      </c>
      <c r="W662" s="5" t="e">
        <f ca="1">IF(OR(INDEX($AI$2:$AI$1001,MATCH(ROWS($AH$2:AH662),$AH$2:$AH$1001,0),1)&gt;=100000,INDEX($AO$1005:$BQ$1005,1,MATCH(COLUMNS($AO$1006:BJ1006),$AO$1006:$BQ$1006,0))&gt;=100000), " ",IF(INDEX($AO$2:$BQ$1001,MATCH(ROWS($AH$2:AH662),$AH$2:$AH$1001,0),MATCH(COLUMNS($AO$1006:BJ1006),$AO$1006:$BQ$1006,0)), HYPERLINK("#",""), HYPERLINK(CONCATENATE("#Metadata!", ADDRESS(INDEX($AJ$2:$AJ$1001,MATCH(ROWS($AH$2:AH662),$AH$2:$AH$1001,0),0), INDEX($AO$1004:$BQ$1004,1,MATCH(COLUMNS($AO$1006:BJ1006),$AO$1006:$BQ$1006,0)))),"Fix")))</f>
        <v>#N/A</v>
      </c>
      <c r="X662" s="5" t="e">
        <f ca="1">IF(OR(INDEX($AI$2:$AI$1001,MATCH(ROWS($AH$2:AH662),$AH$2:$AH$1001,0),1)&gt;=100000,INDEX($AO$1005:$BQ$1005,1,MATCH(COLUMNS($AO$1006:BK1006),$AO$1006:$BQ$1006,0))&gt;=100000), " ",IF(INDEX($AO$2:$BQ$1001,MATCH(ROWS($AH$2:AH662),$AH$2:$AH$1001,0),MATCH(COLUMNS($AO$1006:BK1006),$AO$1006:$BQ$1006,0)), HYPERLINK("#",""), HYPERLINK(CONCATENATE("#Metadata!", ADDRESS(INDEX($AJ$2:$AJ$1001,MATCH(ROWS($AH$2:AH662),$AH$2:$AH$1001,0),0), INDEX($AO$1004:$BQ$1004,1,MATCH(COLUMNS($AO$1006:BK1006),$AO$1006:$BQ$1006,0)))),"Fix")))</f>
        <v>#N/A</v>
      </c>
      <c r="Y662" s="5" t="e">
        <f ca="1">IF(OR(INDEX($AI$2:$AI$1001,MATCH(ROWS($AH$2:AH662),$AH$2:$AH$1001,0),1)&gt;=100000,INDEX($AO$1005:$BQ$1005,1,MATCH(COLUMNS($AO$1006:BL1006),$AO$1006:$BQ$1006,0))&gt;=100000), " ",IF(INDEX($AO$2:$BQ$1001,MATCH(ROWS($AH$2:AH662),$AH$2:$AH$1001,0),MATCH(COLUMNS($AO$1006:BL1006),$AO$1006:$BQ$1006,0)), HYPERLINK("#",""), HYPERLINK(CONCATENATE("#Metadata!", ADDRESS(INDEX($AJ$2:$AJ$1001,MATCH(ROWS($AH$2:AH662),$AH$2:$AH$1001,0),0), INDEX($AO$1004:$BQ$1004,1,MATCH(COLUMNS($AO$1006:BL1006),$AO$1006:$BQ$1006,0)))),"Fix")))</f>
        <v>#N/A</v>
      </c>
      <c r="Z662" s="5" t="e">
        <f ca="1">IF(OR(INDEX($AI$2:$AI$1001,MATCH(ROWS($AH$2:AH662),$AH$2:$AH$1001,0),1)&gt;=100000,INDEX($AO$1005:$BQ$1005,1,MATCH(COLUMNS($AO$1006:BM1006),$AO$1006:$BQ$1006,0))&gt;=100000), " ",IF(INDEX($AO$2:$BQ$1001,MATCH(ROWS($AH$2:AH662),$AH$2:$AH$1001,0),MATCH(COLUMNS($AO$1006:BM1006),$AO$1006:$BQ$1006,0)), HYPERLINK("#",""), HYPERLINK(CONCATENATE("#Metadata!", ADDRESS(INDEX($AJ$2:$AJ$1001,MATCH(ROWS($AH$2:AH662),$AH$2:$AH$1001,0),0), INDEX($AO$1004:$BQ$1004,1,MATCH(COLUMNS($AO$1006:BM1006),$AO$1006:$BQ$1006,0)))),"Fix")))</f>
        <v>#N/A</v>
      </c>
      <c r="AA662" s="5" t="e">
        <f ca="1">IF(OR(INDEX($AI$2:$AI$1001,MATCH(ROWS($AH$2:AH662),$AH$2:$AH$1001,0),1)&gt;=100000,INDEX($AO$1005:$BQ$1005,1,MATCH(COLUMNS($AO$1006:BN1006),$AO$1006:$BQ$1006,0))&gt;=100000), " ",IF(INDEX($AO$2:$BQ$1001,MATCH(ROWS($AH$2:AH662),$AH$2:$AH$1001,0),MATCH(COLUMNS($AO$1006:BN1006),$AO$1006:$BQ$1006,0)), HYPERLINK("#",""), HYPERLINK(CONCATENATE("#Metadata!", ADDRESS(INDEX($AJ$2:$AJ$1001,MATCH(ROWS($AH$2:AH662),$AH$2:$AH$1001,0),0), INDEX($AO$1004:$BQ$1004,1,MATCH(COLUMNS($AO$1006:BN1006),$AO$1006:$BQ$1006,0)))),"Fix")))</f>
        <v>#N/A</v>
      </c>
      <c r="AB662" s="5" t="e">
        <f ca="1">IF(OR(INDEX($AI$2:$AI$1001,MATCH(ROWS($AH$2:AH662),$AH$2:$AH$1001,0),1)&gt;=100000,INDEX($AO$1005:$BQ$1005,1,MATCH(COLUMNS($AO$1006:BO1006),$AO$1006:$BQ$1006,0))&gt;=100000), " ",IF(INDEX($AO$2:$BQ$1001,MATCH(ROWS($AH$2:AH662),$AH$2:$AH$1001,0),MATCH(COLUMNS($AO$1006:BO1006),$AO$1006:$BQ$1006,0)), HYPERLINK("#",""), HYPERLINK(CONCATENATE("#Metadata!", ADDRESS(INDEX($AJ$2:$AJ$1001,MATCH(ROWS($AH$2:AH662),$AH$2:$AH$1001,0),0), INDEX($AO$1004:$BQ$1004,1,MATCH(COLUMNS($AO$1006:BO1006),$AO$1006:$BQ$1006,0)))),"Fix")))</f>
        <v>#N/A</v>
      </c>
      <c r="AC662" s="5" t="e">
        <f ca="1">IF(OR(INDEX($AI$2:$AI$1001,MATCH(ROWS($AH$2:AH662),$AH$2:$AH$1001,0),1)&gt;=100000,INDEX($AO$1005:$BQ$1005,1,MATCH(COLUMNS($AO$1006:BP1006),$AO$1006:$BQ$1006,0))&gt;=100000), " ",IF(INDEX($AO$2:$BQ$1001,MATCH(ROWS($AH$2:AH662),$AH$2:$AH$1001,0),MATCH(COLUMNS($AO$1006:BP1006),$AO$1006:$BQ$1006,0)), HYPERLINK("#",""), HYPERLINK(CONCATENATE("#Metadata!", ADDRESS(INDEX($AJ$2:$AJ$1001,MATCH(ROWS($AH$2:AH662),$AH$2:$AH$1001,0),0), INDEX($AO$1004:$BQ$1004,1,MATCH(COLUMNS($AO$1006:BP1006),$AO$1006:$BQ$1006,0)))),"Fix")))</f>
        <v>#N/A</v>
      </c>
      <c r="AD662" s="5" t="e">
        <f ca="1">IF(OR(INDEX($AI$2:$AI$1001,MATCH(ROWS($AH$2:AH662),$AH$2:$AH$1001,0),1)&gt;=100000,INDEX($AO$1005:$BQ$1005,1,MATCH(COLUMNS($AO$1006:BQ1006),$AO$1006:$BQ$1006,0))&gt;=100000), " ",IF(INDEX($AO$2:$BQ$1001,MATCH(ROWS($AH$2:AH662),$AH$2:$AH$1001,0),MATCH(COLUMNS($AO$1006:BQ1006),$AO$1006:$BQ$1006,0)), HYPERLINK("#",""), HYPERLINK(CONCATENATE("#Metadata!", ADDRESS(INDEX($AJ$2:$AJ$1001,MATCH(ROWS($AH$2:AH662),$AH$2:$AH$1001,0),0), INDEX($AO$1004:$BQ$1004,1,MATCH(COLUMNS($AO$1006:BQ1006),$AO$1006:$BQ$1006,0)))),"Fix")))</f>
        <v>#REF!</v>
      </c>
      <c r="AH662">
        <f ca="1"/>
        <v>659</v>
      </c>
      <c r="AI662">
        <v>100662</v>
      </c>
      <c r="AJ662">
        <v>662</v>
      </c>
      <c r="AK662" t="b">
        <f t="shared" si="10"/>
        <v>1</v>
      </c>
      <c r="AL662" t="b">
        <f>COUNTBLANK(Metadata!B662:AD662)=COLUMNS(Metadata!B662:AD662)</f>
        <v>1</v>
      </c>
      <c r="AM662" t="str">
        <v/>
      </c>
      <c r="AO662" t="b">
        <f ca="1">AND(IF(Metadata!B662="",FALSE,TRUE),COUNTIF(Metadata!B:B, Metadata!B662) = 1,NOT(ISERROR(SUMPRODUCT(SEARCH(MID(Metadata!B662,ROW(INDIRECT("1:"&amp;LEN(Metadata!B662))), 1),"0123456789abcdefghijklmnopqrstuvwxyzABCDEFGHIJKLMNOPQRSTUVWXYZ.")))))</f>
        <v>0</v>
      </c>
      <c r="AP662" t="b">
        <f>IF(Metadata!C662="",FALSE,TRUE)</f>
        <v>0</v>
      </c>
      <c r="AQ662" t="b">
        <f>IF(Metadata!D662="",FALSE,TRUE)</f>
        <v>0</v>
      </c>
      <c r="AR662" t="b">
        <f ca="1">OR(AND(IF(Metadata!E662="",FALSE,TRUE),OR(EXACT(Metadata!E662,"not collected"),EXACT(Metadata!E662,"not provided"),EXACT(Metadata!E662,"restricted access"))),AND(IF(Metadata!E662="",FALSE,TRUE),AND(AND(IFERROR(INT(LEFT(Metadata!E662,4))&gt;1900,FALSE),IFERROR(INT(LEFT(Metadata!E662,4))&lt;=YEAR(NOW()),FALSE)), OR(MID(Metadata!E662,5,1)="", AND(AND(MID(Metadata!E662,5,1)="-",IFERROR(INT(MID(Metadata!E662,6,1))&gt;=0,FALSE),IFERROR(INT(MID(Metadata!E662,6,1))&lt;=1,FALSE),NOT(MID(Metadata!E662,7,1)=""),IFERROR(INT(MID(Metadata!E662,6,2))&gt;=1,FALSE),IFERROR(INT(MID(Metadata!E662,6,2))&lt;=12,FALSE)), OR(MID(Metadata!E662,8,1)="", AND(AND(MID(Metadata!E662,8,1)="-",IFERROR(INT(MID(Metadata!E662,9,1))&gt;=0,FALSE),IFERROR(INT(MID(Metadata!E662,9,1))&lt;=3,FALSE),NOT(MID(Metadata!E662,10,1)=""),IFERROR(INT(MID(Metadata!E662,9,2))&gt;=1,FALSE),IFERROR(INT(MID(Metadata!E662,9,2))&lt;=31,FALSE)), OR(MID(Metadata!E662,11,1)="", AND(AND(MID(Metadata!E662,11,1)=" ",IFERROR(INT(MID(Metadata!E662,12,1))&gt;=0,FALSE),IFERROR(INT(MID(Metadata!E662,12,1))&lt;=2,FALSE),NOT(MID(Metadata!E662,13,1)=""),IFERROR(INT(MID(Metadata!E662,12,2))&gt;=0,FALSE),IFERROR(INT(MID(Metadata!E662,12,2))&lt;=23,FALSE)), OR(MID(Metadata!E662,14,1)="", AND(AND(MID(Metadata!E662,14,1)=":",IFERROR(INT(MID(Metadata!E662,15,1))&gt;=0,FALSE),IFERROR(INT(MID(Metadata!E662,15,1))&lt;=5,FALSE),NOT(MID(Metadata!E662,16,1)=""),IFERROR(INT(MID(Metadata!E662,15,2))&gt;=0,FALSE),IFERROR(INT(MID(Metadata!E662,15,2))&lt;=59,FALSE)), OR(MID(Metadata!E662,17,1)="", AND(AND(MID(Metadata!E662,17,1)=":",IFERROR(INT(MID(Metadata!E662,18,1))&gt;=0,FALSE),IFERROR(INT(MID(Metadata!E662,18,1))&lt;=5,FALSE),NOT(MID(Metadata!E662,19,1)=""),IFERROR(INT(MID(Metadata!E662,18,2))&gt;=0,FALSE),IFERROR(INT(MID(Metadata!E662,18,2))&lt;=59,FALSE)), LEN(Metadata!E662)&lt;=19)))))))))))))</f>
        <v>0</v>
      </c>
      <c r="AS662" t="b">
        <f>IF(Metadata!F662="",FALSE,TRUE)</f>
        <v>0</v>
      </c>
      <c r="AT662" t="b">
        <f>OR(AND(IF(Metadata!G662="",FALSE,TRUE),OR(EXACT(Metadata!G662,"not collected"),EXACT(Metadata!G662,"not provided"))),AND(IF(Metadata!G662="",FALSE,TRUE),OR(EXACT(Metadata!G662,"TRUE"),EXACT(Metadata!G662,"FALSE"))))</f>
        <v>0</v>
      </c>
      <c r="AU662" t="b">
        <f>OR(AND(IF(Metadata!H662="",FALSE,TRUE),OR(EXACT(Metadata!H662,"not collected"),EXACT(Metadata!H662,"not provided"),EXACT(Metadata!H662,"restricted access"))),AND(IF(Metadata!H662="",FALSE,ISNUMBER(VALUE(Metadata!H662))),Metadata!H662&gt;=-413))</f>
        <v>0</v>
      </c>
      <c r="AV662" t="b">
        <f>AND(IF(Metadata!I662="",FALSE,TRUE),EXACT(Metadata!I662,"meters"))</f>
        <v>0</v>
      </c>
      <c r="AW662" t="b">
        <f>AND(IF(Metadata!J662="",FALSE,TRUE),EXACT(Metadata!J662,"free-living"))</f>
        <v>0</v>
      </c>
      <c r="AX662" t="b">
        <f>AND(IF(Metadata!K662="",FALSE,TRUE),OR(EXACT(Metadata!K662,"saline"),EXACT(Metadata!K662,"non-saline")))</f>
        <v>0</v>
      </c>
      <c r="AY662" t="b">
        <f>AND(IF(Metadata!L662="",FALSE,TRUE),OR(EXACT(Metadata!L662,"sub-surface (non-saline)"),EXACT(Metadata!L662,"surface (non-saline)"),EXACT(Metadata!L662,"water (non-saline)"),EXACT(Metadata!L662,"soil (non-saline)"),EXACT(Metadata!L662,"aerosol (non-saline)"),EXACT(Metadata!L662,"sediment (non-saline)"),EXACT(Metadata!L662,"surface (saline)"),EXACT(Metadata!L662,"water (saline)"),EXACT(Metadata!L662,"hypersaline (saline)"),EXACT(Metadata!L662,"aerosol (saline)"),EXACT(Metadata!L662,"sediment (saline)")))</f>
        <v>0</v>
      </c>
      <c r="AZ662" t="b">
        <f>IF(Metadata!M662="",FALSE,TRUE)</f>
        <v>0</v>
      </c>
      <c r="BA662" t="b">
        <f>IF(Metadata!N662="",FALSE,TRUE)</f>
        <v>0</v>
      </c>
      <c r="BB662" t="b">
        <f>IF(Metadata!O662="",FALSE,TRUE)</f>
        <v>0</v>
      </c>
      <c r="BC662" t="b">
        <f>AND(IF(Metadata!P662="",FALSE,TRUE),OR(EXACT(Metadata!P662,"air"),EXACT(Metadata!P662,"microbial mat/biofilm"),EXACT(Metadata!P662,"misc environment"),EXACT(Metadata!P662,"sediment"),EXACT(Metadata!P662,"soil"),EXACT(Metadata!P662,"wastewater/sludge"),EXACT(Metadata!P662,"water")))</f>
        <v>0</v>
      </c>
      <c r="BD662" t="b">
        <f>IF(Metadata!Q662="",FALSE,TRUE)</f>
        <v>0</v>
      </c>
      <c r="BE662" t="b">
        <f>IF(Metadata!R662="",FALSE,TRUE)</f>
        <v>0</v>
      </c>
      <c r="BF662" t="b">
        <f>OR(AND(IF(Metadata!S662="",FALSE,TRUE),OR(EXACT(Metadata!S662,"not collected"),EXACT(Metadata!S662,"not provided"),EXACT(Metadata!S662,"restricted access"))),AND(IF(Metadata!S662="",FALSE,ISNUMBER(VALUE(Metadata!S662))),Metadata!S662&gt;=-90,Metadata!S662&lt;=90))</f>
        <v>0</v>
      </c>
      <c r="BG662" t="b">
        <f>AND(IF(Metadata!T662="",FALSE,TRUE),EXACT(Metadata!T662,"Decimal degrees"))</f>
        <v>0</v>
      </c>
      <c r="BH662" t="b">
        <f>OR(AND(IF(Metadata!U662="",FALSE,TRUE),OR(EXACT(Metadata!U662,"not applicable"),EXACT(Metadata!U662,"not collected"))),IF(Metadata!U662="",FALSE,TRUE))</f>
        <v>0</v>
      </c>
      <c r="BI662" t="b">
        <f>OR(AND(IF(Metadata!V662="",FALSE,TRUE),OR(EXACT(Metadata!V662,"not collected"),EXACT(Metadata!V662,"not provided"),EXACT(Metadata!V662,"restricted access"))),AND(IF(Metadata!V662="",FALSE,ISNUMBER(VALUE(Metadata!V662))),Metadata!V662&gt;=-180,Metadata!V662&lt;=180))</f>
        <v>0</v>
      </c>
      <c r="BJ662" t="b">
        <f>AND(IF(Metadata!W662="",FALSE,TRUE),EXACT(Metadata!W662,"Decimal degrees"))</f>
        <v>0</v>
      </c>
      <c r="BK662" t="b">
        <f>IF(Metadata!X662="",FALSE,TRUE)</f>
        <v>0</v>
      </c>
      <c r="BL662" t="b">
        <f>OR(AND(IF(Metadata!Y662="",FALSE,TRUE),OR(EXACT(Metadata!Y662,"not collected"),EXACT(Metadata!Y662,"not provided"),EXACT(Metadata!Y662,"restricted access"))),AND(IF(Metadata!Y662="",FALSE,TRUE),OR(EXACT(Metadata!Y662,"TRUE"),EXACT(Metadata!Y662,"FALSE"))))</f>
        <v>0</v>
      </c>
      <c r="BM662" t="b">
        <f>OR(AND(IF(Metadata!Z662="",FALSE,TRUE),EXACT(Metadata!Z662,"not applicable")),AND(IF(Metadata!Z662="",FALSE,TRUE),OR(EXACT(Metadata!Z662,"beer"),EXACT(Metadata!Z662,"cheese"),EXACT(Metadata!Z662,"fresh water"),EXACT(Metadata!Z662,"marine sediment"),EXACT(Metadata!Z662,"sea water"),EXACT(Metadata!Z662,"sediment"),EXACT(Metadata!Z662,"soil"),EXACT(Metadata!Z662,"waste water"))))</f>
        <v>0</v>
      </c>
      <c r="BN662" t="b">
        <f>AND(IF(Metadata!AA662="",FALSE,TRUE),EXACT(Metadata!AA662,"metagenome"))</f>
        <v>0</v>
      </c>
      <c r="BO662" t="b">
        <f>AND(IF(Metadata!AB662="",FALSE,TRUE),EXACT(Metadata!AB662,"256318"))</f>
        <v>0</v>
      </c>
      <c r="BP662" t="b">
        <f>IF(Metadata!AC662="",FALSE,TRUE)</f>
        <v>0</v>
      </c>
      <c r="BQ662" t="b">
        <f>IF(Metadata!AD662="",FALSE,TRUE)</f>
        <v>0</v>
      </c>
    </row>
    <row r="663" spans="1:69" x14ac:dyDescent="0.2">
      <c r="A663" s="4" t="e">
        <f ca="1">IF(B663=" "," ",HYPERLINK(CONCATENATE("#metadata!",ADDRESS(INDEX($AJ$2:$AJ$1001,MATCH(ROWS($AH$2:AH663),$AH$2:$AH$1001,0),0),2)),INDEX($AM$2:$AM$1001,MATCH(ROWS($AH$2:AH663),$AH$2:$AH$1001,0),0)))</f>
        <v>#N/A</v>
      </c>
      <c r="B663" s="5" t="e">
        <f ca="1">IF(OR(INDEX($AI$2:$AI$1001,MATCH(ROWS($AH$2:AH663),$AH$2:$AH$1001,0),1)&gt;=100000,INDEX($AO$1005:$BQ$1005,1,MATCH(COLUMNS($AO$1006:AO1006),$AO$1006:$BQ$1006,0))&gt;=100000), " ",IF(INDEX($AO$2:$BQ$1001,MATCH(ROWS($AH$2:AH663),$AH$2:$AH$1001,0),MATCH(COLUMNS($AO$1006:AO1006),$AO$1006:$BQ$1006,0)), HYPERLINK("#",""), HYPERLINK(CONCATENATE("#Metadata!", ADDRESS(INDEX($AJ$2:$AJ$1001,MATCH(ROWS($AH$2:AH663),$AH$2:$AH$1001,0),0), INDEX($AO$1004:$BQ$1004,1,MATCH(COLUMNS($AO$1006:AO1006),$AO$1006:$BQ$1006,0)))),"Fix")))</f>
        <v>#N/A</v>
      </c>
      <c r="C663" s="5" t="e">
        <f ca="1">IF(OR(INDEX($AI$2:$AI$1001,MATCH(ROWS($AH$2:AH663),$AH$2:$AH$1001,0),1)&gt;=100000,INDEX($AO$1005:$BQ$1005,1,MATCH(COLUMNS($AO$1006:AP1006),$AO$1006:$BQ$1006,0))&gt;=100000), " ",IF(INDEX($AO$2:$BQ$1001,MATCH(ROWS($AH$2:AH663),$AH$2:$AH$1001,0),MATCH(COLUMNS($AO$1006:AP1006),$AO$1006:$BQ$1006,0)), HYPERLINK("#",""), HYPERLINK(CONCATENATE("#Metadata!", ADDRESS(INDEX($AJ$2:$AJ$1001,MATCH(ROWS($AH$2:AH663),$AH$2:$AH$1001,0),0), INDEX($AO$1004:$BQ$1004,1,MATCH(COLUMNS($AO$1006:AP1006),$AO$1006:$BQ$1006,0)))),"Fix")))</f>
        <v>#N/A</v>
      </c>
      <c r="D663" s="5" t="e">
        <f ca="1">IF(OR(INDEX($AI$2:$AI$1001,MATCH(ROWS($AH$2:AH663),$AH$2:$AH$1001,0),1)&gt;=100000,INDEX($AO$1005:$BQ$1005,1,MATCH(COLUMNS($AO$1006:AQ1006),$AO$1006:$BQ$1006,0))&gt;=100000), " ",IF(INDEX($AO$2:$BQ$1001,MATCH(ROWS($AH$2:AH663),$AH$2:$AH$1001,0),MATCH(COLUMNS($AO$1006:AQ1006),$AO$1006:$BQ$1006,0)), HYPERLINK("#",""), HYPERLINK(CONCATENATE("#Metadata!", ADDRESS(INDEX($AJ$2:$AJ$1001,MATCH(ROWS($AH$2:AH663),$AH$2:$AH$1001,0),0), INDEX($AO$1004:$BQ$1004,1,MATCH(COLUMNS($AO$1006:AQ1006),$AO$1006:$BQ$1006,0)))),"Fix")))</f>
        <v>#N/A</v>
      </c>
      <c r="E663" s="5" t="e">
        <f ca="1">IF(OR(INDEX($AI$2:$AI$1001,MATCH(ROWS($AH$2:AH663),$AH$2:$AH$1001,0),1)&gt;=100000,INDEX($AO$1005:$BQ$1005,1,MATCH(COLUMNS($AO$1006:AR1006),$AO$1006:$BQ$1006,0))&gt;=100000), " ",IF(INDEX($AO$2:$BQ$1001,MATCH(ROWS($AH$2:AH663),$AH$2:$AH$1001,0),MATCH(COLUMNS($AO$1006:AR1006),$AO$1006:$BQ$1006,0)), HYPERLINK("#",""), HYPERLINK(CONCATENATE("#Metadata!", ADDRESS(INDEX($AJ$2:$AJ$1001,MATCH(ROWS($AH$2:AH663),$AH$2:$AH$1001,0),0), INDEX($AO$1004:$BQ$1004,1,MATCH(COLUMNS($AO$1006:AR1006),$AO$1006:$BQ$1006,0)))),"Fix")))</f>
        <v>#N/A</v>
      </c>
      <c r="F663" s="5" t="e">
        <f ca="1">IF(OR(INDEX($AI$2:$AI$1001,MATCH(ROWS($AH$2:AH663),$AH$2:$AH$1001,0),1)&gt;=100000,INDEX($AO$1005:$BQ$1005,1,MATCH(COLUMNS($AO$1006:AS1006),$AO$1006:$BQ$1006,0))&gt;=100000), " ",IF(INDEX($AO$2:$BQ$1001,MATCH(ROWS($AH$2:AH663),$AH$2:$AH$1001,0),MATCH(COLUMNS($AO$1006:AS1006),$AO$1006:$BQ$1006,0)), HYPERLINK("#",""), HYPERLINK(CONCATENATE("#Metadata!", ADDRESS(INDEX($AJ$2:$AJ$1001,MATCH(ROWS($AH$2:AH663),$AH$2:$AH$1001,0),0), INDEX($AO$1004:$BQ$1004,1,MATCH(COLUMNS($AO$1006:AS1006),$AO$1006:$BQ$1006,0)))),"Fix")))</f>
        <v>#N/A</v>
      </c>
      <c r="G663" s="5" t="e">
        <f ca="1">IF(OR(INDEX($AI$2:$AI$1001,MATCH(ROWS($AH$2:AH663),$AH$2:$AH$1001,0),1)&gt;=100000,INDEX($AO$1005:$BQ$1005,1,MATCH(COLUMNS($AO$1006:AT1006),$AO$1006:$BQ$1006,0))&gt;=100000), " ",IF(INDEX($AO$2:$BQ$1001,MATCH(ROWS($AH$2:AH663),$AH$2:$AH$1001,0),MATCH(COLUMNS($AO$1006:AT1006),$AO$1006:$BQ$1006,0)), HYPERLINK("#",""), HYPERLINK(CONCATENATE("#Metadata!", ADDRESS(INDEX($AJ$2:$AJ$1001,MATCH(ROWS($AH$2:AH663),$AH$2:$AH$1001,0),0), INDEX($AO$1004:$BQ$1004,1,MATCH(COLUMNS($AO$1006:AT1006),$AO$1006:$BQ$1006,0)))),"Fix")))</f>
        <v>#N/A</v>
      </c>
      <c r="H663" s="5" t="e">
        <f ca="1">IF(OR(INDEX($AI$2:$AI$1001,MATCH(ROWS($AH$2:AH663),$AH$2:$AH$1001,0),1)&gt;=100000,INDEX($AO$1005:$BQ$1005,1,MATCH(COLUMNS($AO$1006:AU1006),$AO$1006:$BQ$1006,0))&gt;=100000), " ",IF(INDEX($AO$2:$BQ$1001,MATCH(ROWS($AH$2:AH663),$AH$2:$AH$1001,0),MATCH(COLUMNS($AO$1006:AU1006),$AO$1006:$BQ$1006,0)), HYPERLINK("#",""), HYPERLINK(CONCATENATE("#Metadata!", ADDRESS(INDEX($AJ$2:$AJ$1001,MATCH(ROWS($AH$2:AH663),$AH$2:$AH$1001,0),0), INDEX($AO$1004:$BQ$1004,1,MATCH(COLUMNS($AO$1006:AU1006),$AO$1006:$BQ$1006,0)))),"Fix")))</f>
        <v>#N/A</v>
      </c>
      <c r="I663" s="5" t="e">
        <f ca="1">IF(OR(INDEX($AI$2:$AI$1001,MATCH(ROWS($AH$2:AH663),$AH$2:$AH$1001,0),1)&gt;=100000,INDEX($AO$1005:$BQ$1005,1,MATCH(COLUMNS($AO$1006:AV1006),$AO$1006:$BQ$1006,0))&gt;=100000), " ",IF(INDEX($AO$2:$BQ$1001,MATCH(ROWS($AH$2:AH663),$AH$2:$AH$1001,0),MATCH(COLUMNS($AO$1006:AV1006),$AO$1006:$BQ$1006,0)), HYPERLINK("#",""), HYPERLINK(CONCATENATE("#Metadata!", ADDRESS(INDEX($AJ$2:$AJ$1001,MATCH(ROWS($AH$2:AH663),$AH$2:$AH$1001,0),0), INDEX($AO$1004:$BQ$1004,1,MATCH(COLUMNS($AO$1006:AV1006),$AO$1006:$BQ$1006,0)))),"Fix")))</f>
        <v>#N/A</v>
      </c>
      <c r="J663" s="5" t="e">
        <f ca="1">IF(OR(INDEX($AI$2:$AI$1001,MATCH(ROWS($AH$2:AH663),$AH$2:$AH$1001,0),1)&gt;=100000,INDEX($AO$1005:$BQ$1005,1,MATCH(COLUMNS($AO$1006:AW1006),$AO$1006:$BQ$1006,0))&gt;=100000), " ",IF(INDEX($AO$2:$BQ$1001,MATCH(ROWS($AH$2:AH663),$AH$2:$AH$1001,0),MATCH(COLUMNS($AO$1006:AW1006),$AO$1006:$BQ$1006,0)), HYPERLINK("#",""), HYPERLINK(CONCATENATE("#Metadata!", ADDRESS(INDEX($AJ$2:$AJ$1001,MATCH(ROWS($AH$2:AH663),$AH$2:$AH$1001,0),0), INDEX($AO$1004:$BQ$1004,1,MATCH(COLUMNS($AO$1006:AW1006),$AO$1006:$BQ$1006,0)))),"Fix")))</f>
        <v>#N/A</v>
      </c>
      <c r="K663" s="5" t="e">
        <f ca="1">IF(OR(INDEX($AI$2:$AI$1001,MATCH(ROWS($AH$2:AH663),$AH$2:$AH$1001,0),1)&gt;=100000,INDEX($AO$1005:$BQ$1005,1,MATCH(COLUMNS($AO$1006:AX1006),$AO$1006:$BQ$1006,0))&gt;=100000), " ",IF(INDEX($AO$2:$BQ$1001,MATCH(ROWS($AH$2:AH663),$AH$2:$AH$1001,0),MATCH(COLUMNS($AO$1006:AX1006),$AO$1006:$BQ$1006,0)), HYPERLINK("#",""), HYPERLINK(CONCATENATE("#Metadata!", ADDRESS(INDEX($AJ$2:$AJ$1001,MATCH(ROWS($AH$2:AH663),$AH$2:$AH$1001,0),0), INDEX($AO$1004:$BQ$1004,1,MATCH(COLUMNS($AO$1006:AX1006),$AO$1006:$BQ$1006,0)))),"Fix")))</f>
        <v>#N/A</v>
      </c>
      <c r="L663" s="5" t="e">
        <f ca="1">IF(OR(INDEX($AI$2:$AI$1001,MATCH(ROWS($AH$2:AH663),$AH$2:$AH$1001,0),1)&gt;=100000,INDEX($AO$1005:$BQ$1005,1,MATCH(COLUMNS($AO$1006:AY1006),$AO$1006:$BQ$1006,0))&gt;=100000), " ",IF(INDEX($AO$2:$BQ$1001,MATCH(ROWS($AH$2:AH663),$AH$2:$AH$1001,0),MATCH(COLUMNS($AO$1006:AY1006),$AO$1006:$BQ$1006,0)), HYPERLINK("#",""), HYPERLINK(CONCATENATE("#Metadata!", ADDRESS(INDEX($AJ$2:$AJ$1001,MATCH(ROWS($AH$2:AH663),$AH$2:$AH$1001,0),0), INDEX($AO$1004:$BQ$1004,1,MATCH(COLUMNS($AO$1006:AY1006),$AO$1006:$BQ$1006,0)))),"Fix")))</f>
        <v>#N/A</v>
      </c>
      <c r="M663" s="5" t="e">
        <f ca="1">IF(OR(INDEX($AI$2:$AI$1001,MATCH(ROWS($AH$2:AH663),$AH$2:$AH$1001,0),1)&gt;=100000,INDEX($AO$1005:$BQ$1005,1,MATCH(COLUMNS($AO$1006:AZ1006),$AO$1006:$BQ$1006,0))&gt;=100000), " ",IF(INDEX($AO$2:$BQ$1001,MATCH(ROWS($AH$2:AH663),$AH$2:$AH$1001,0),MATCH(COLUMNS($AO$1006:AZ1006),$AO$1006:$BQ$1006,0)), HYPERLINK("#",""), HYPERLINK(CONCATENATE("#Metadata!", ADDRESS(INDEX($AJ$2:$AJ$1001,MATCH(ROWS($AH$2:AH663),$AH$2:$AH$1001,0),0), INDEX($AO$1004:$BQ$1004,1,MATCH(COLUMNS($AO$1006:AZ1006),$AO$1006:$BQ$1006,0)))),"Fix")))</f>
        <v>#N/A</v>
      </c>
      <c r="N663" s="5" t="e">
        <f ca="1">IF(OR(INDEX($AI$2:$AI$1001,MATCH(ROWS($AH$2:AH663),$AH$2:$AH$1001,0),1)&gt;=100000,INDEX($AO$1005:$BQ$1005,1,MATCH(COLUMNS($AO$1006:BA1006),$AO$1006:$BQ$1006,0))&gt;=100000), " ",IF(INDEX($AO$2:$BQ$1001,MATCH(ROWS($AH$2:AH663),$AH$2:$AH$1001,0),MATCH(COLUMNS($AO$1006:BA1006),$AO$1006:$BQ$1006,0)), HYPERLINK("#",""), HYPERLINK(CONCATENATE("#Metadata!", ADDRESS(INDEX($AJ$2:$AJ$1001,MATCH(ROWS($AH$2:AH663),$AH$2:$AH$1001,0),0), INDEX($AO$1004:$BQ$1004,1,MATCH(COLUMNS($AO$1006:BA1006),$AO$1006:$BQ$1006,0)))),"Fix")))</f>
        <v>#N/A</v>
      </c>
      <c r="O663" s="5" t="e">
        <f ca="1">IF(OR(INDEX($AI$2:$AI$1001,MATCH(ROWS($AH$2:AH663),$AH$2:$AH$1001,0),1)&gt;=100000,INDEX($AO$1005:$BQ$1005,1,MATCH(COLUMNS($AO$1006:BB1006),$AO$1006:$BQ$1006,0))&gt;=100000), " ",IF(INDEX($AO$2:$BQ$1001,MATCH(ROWS($AH$2:AH663),$AH$2:$AH$1001,0),MATCH(COLUMNS($AO$1006:BB1006),$AO$1006:$BQ$1006,0)), HYPERLINK("#",""), HYPERLINK(CONCATENATE("#Metadata!", ADDRESS(INDEX($AJ$2:$AJ$1001,MATCH(ROWS($AH$2:AH663),$AH$2:$AH$1001,0),0), INDEX($AO$1004:$BQ$1004,1,MATCH(COLUMNS($AO$1006:BB1006),$AO$1006:$BQ$1006,0)))),"Fix")))</f>
        <v>#N/A</v>
      </c>
      <c r="P663" s="5" t="e">
        <f ca="1">IF(OR(INDEX($AI$2:$AI$1001,MATCH(ROWS($AH$2:AH663),$AH$2:$AH$1001,0),1)&gt;=100000,INDEX($AO$1005:$BQ$1005,1,MATCH(COLUMNS($AO$1006:BC1006),$AO$1006:$BQ$1006,0))&gt;=100000), " ",IF(INDEX($AO$2:$BQ$1001,MATCH(ROWS($AH$2:AH663),$AH$2:$AH$1001,0),MATCH(COLUMNS($AO$1006:BC1006),$AO$1006:$BQ$1006,0)), HYPERLINK("#",""), HYPERLINK(CONCATENATE("#Metadata!", ADDRESS(INDEX($AJ$2:$AJ$1001,MATCH(ROWS($AH$2:AH663),$AH$2:$AH$1001,0),0), INDEX($AO$1004:$BQ$1004,1,MATCH(COLUMNS($AO$1006:BC1006),$AO$1006:$BQ$1006,0)))),"Fix")))</f>
        <v>#N/A</v>
      </c>
      <c r="Q663" s="5" t="e">
        <f ca="1">IF(OR(INDEX($AI$2:$AI$1001,MATCH(ROWS($AH$2:AH663),$AH$2:$AH$1001,0),1)&gt;=100000,INDEX($AO$1005:$BQ$1005,1,MATCH(COLUMNS($AO$1006:BD1006),$AO$1006:$BQ$1006,0))&gt;=100000), " ",IF(INDEX($AO$2:$BQ$1001,MATCH(ROWS($AH$2:AH663),$AH$2:$AH$1001,0),MATCH(COLUMNS($AO$1006:BD1006),$AO$1006:$BQ$1006,0)), HYPERLINK("#",""), HYPERLINK(CONCATENATE("#Metadata!", ADDRESS(INDEX($AJ$2:$AJ$1001,MATCH(ROWS($AH$2:AH663),$AH$2:$AH$1001,0),0), INDEX($AO$1004:$BQ$1004,1,MATCH(COLUMNS($AO$1006:BD1006),$AO$1006:$BQ$1006,0)))),"Fix")))</f>
        <v>#N/A</v>
      </c>
      <c r="R663" s="5" t="e">
        <f ca="1">IF(OR(INDEX($AI$2:$AI$1001,MATCH(ROWS($AH$2:AH663),$AH$2:$AH$1001,0),1)&gt;=100000,INDEX($AO$1005:$BQ$1005,1,MATCH(COLUMNS($AO$1006:BE1006),$AO$1006:$BQ$1006,0))&gt;=100000), " ",IF(INDEX($AO$2:$BQ$1001,MATCH(ROWS($AH$2:AH663),$AH$2:$AH$1001,0),MATCH(COLUMNS($AO$1006:BE1006),$AO$1006:$BQ$1006,0)), HYPERLINK("#",""), HYPERLINK(CONCATENATE("#Metadata!", ADDRESS(INDEX($AJ$2:$AJ$1001,MATCH(ROWS($AH$2:AH663),$AH$2:$AH$1001,0),0), INDEX($AO$1004:$BQ$1004,1,MATCH(COLUMNS($AO$1006:BE1006),$AO$1006:$BQ$1006,0)))),"Fix")))</f>
        <v>#N/A</v>
      </c>
      <c r="S663" s="5" t="e">
        <f ca="1">IF(OR(INDEX($AI$2:$AI$1001,MATCH(ROWS($AH$2:AH663),$AH$2:$AH$1001,0),1)&gt;=100000,INDEX($AO$1005:$BQ$1005,1,MATCH(COLUMNS($AO$1006:BF1006),$AO$1006:$BQ$1006,0))&gt;=100000), " ",IF(INDEX($AO$2:$BQ$1001,MATCH(ROWS($AH$2:AH663),$AH$2:$AH$1001,0),MATCH(COLUMNS($AO$1006:BF1006),$AO$1006:$BQ$1006,0)), HYPERLINK("#",""), HYPERLINK(CONCATENATE("#Metadata!", ADDRESS(INDEX($AJ$2:$AJ$1001,MATCH(ROWS($AH$2:AH663),$AH$2:$AH$1001,0),0), INDEX($AO$1004:$BQ$1004,1,MATCH(COLUMNS($AO$1006:BF1006),$AO$1006:$BQ$1006,0)))),"Fix")))</f>
        <v>#N/A</v>
      </c>
      <c r="T663" s="5" t="e">
        <f ca="1">IF(OR(INDEX($AI$2:$AI$1001,MATCH(ROWS($AH$2:AH663),$AH$2:$AH$1001,0),1)&gt;=100000,INDEX($AO$1005:$BQ$1005,1,MATCH(COLUMNS($AO$1006:BG1006),$AO$1006:$BQ$1006,0))&gt;=100000), " ",IF(INDEX($AO$2:$BQ$1001,MATCH(ROWS($AH$2:AH663),$AH$2:$AH$1001,0),MATCH(COLUMNS($AO$1006:BG1006),$AO$1006:$BQ$1006,0)), HYPERLINK("#",""), HYPERLINK(CONCATENATE("#Metadata!", ADDRESS(INDEX($AJ$2:$AJ$1001,MATCH(ROWS($AH$2:AH663),$AH$2:$AH$1001,0),0), INDEX($AO$1004:$BQ$1004,1,MATCH(COLUMNS($AO$1006:BG1006),$AO$1006:$BQ$1006,0)))),"Fix")))</f>
        <v>#N/A</v>
      </c>
      <c r="U663" s="5" t="e">
        <f ca="1">IF(OR(INDEX($AI$2:$AI$1001,MATCH(ROWS($AH$2:AH663),$AH$2:$AH$1001,0),1)&gt;=100000,INDEX($AO$1005:$BQ$1005,1,MATCH(COLUMNS($AO$1006:BH1006),$AO$1006:$BQ$1006,0))&gt;=100000), " ",IF(INDEX($AO$2:$BQ$1001,MATCH(ROWS($AH$2:AH663),$AH$2:$AH$1001,0),MATCH(COLUMNS($AO$1006:BH1006),$AO$1006:$BQ$1006,0)), HYPERLINK("#",""), HYPERLINK(CONCATENATE("#Metadata!", ADDRESS(INDEX($AJ$2:$AJ$1001,MATCH(ROWS($AH$2:AH663),$AH$2:$AH$1001,0),0), INDEX($AO$1004:$BQ$1004,1,MATCH(COLUMNS($AO$1006:BH1006),$AO$1006:$BQ$1006,0)))),"Fix")))</f>
        <v>#N/A</v>
      </c>
      <c r="V663" s="5" t="e">
        <f ca="1">IF(OR(INDEX($AI$2:$AI$1001,MATCH(ROWS($AH$2:AH663),$AH$2:$AH$1001,0),1)&gt;=100000,INDEX($AO$1005:$BQ$1005,1,MATCH(COLUMNS($AO$1006:BI1006),$AO$1006:$BQ$1006,0))&gt;=100000), " ",IF(INDEX($AO$2:$BQ$1001,MATCH(ROWS($AH$2:AH663),$AH$2:$AH$1001,0),MATCH(COLUMNS($AO$1006:BI1006),$AO$1006:$BQ$1006,0)), HYPERLINK("#",""), HYPERLINK(CONCATENATE("#Metadata!", ADDRESS(INDEX($AJ$2:$AJ$1001,MATCH(ROWS($AH$2:AH663),$AH$2:$AH$1001,0),0), INDEX($AO$1004:$BQ$1004,1,MATCH(COLUMNS($AO$1006:BI1006),$AO$1006:$BQ$1006,0)))),"Fix")))</f>
        <v>#N/A</v>
      </c>
      <c r="W663" s="5" t="e">
        <f ca="1">IF(OR(INDEX($AI$2:$AI$1001,MATCH(ROWS($AH$2:AH663),$AH$2:$AH$1001,0),1)&gt;=100000,INDEX($AO$1005:$BQ$1005,1,MATCH(COLUMNS($AO$1006:BJ1006),$AO$1006:$BQ$1006,0))&gt;=100000), " ",IF(INDEX($AO$2:$BQ$1001,MATCH(ROWS($AH$2:AH663),$AH$2:$AH$1001,0),MATCH(COLUMNS($AO$1006:BJ1006),$AO$1006:$BQ$1006,0)), HYPERLINK("#",""), HYPERLINK(CONCATENATE("#Metadata!", ADDRESS(INDEX($AJ$2:$AJ$1001,MATCH(ROWS($AH$2:AH663),$AH$2:$AH$1001,0),0), INDEX($AO$1004:$BQ$1004,1,MATCH(COLUMNS($AO$1006:BJ1006),$AO$1006:$BQ$1006,0)))),"Fix")))</f>
        <v>#N/A</v>
      </c>
      <c r="X663" s="5" t="e">
        <f ca="1">IF(OR(INDEX($AI$2:$AI$1001,MATCH(ROWS($AH$2:AH663),$AH$2:$AH$1001,0),1)&gt;=100000,INDEX($AO$1005:$BQ$1005,1,MATCH(COLUMNS($AO$1006:BK1006),$AO$1006:$BQ$1006,0))&gt;=100000), " ",IF(INDEX($AO$2:$BQ$1001,MATCH(ROWS($AH$2:AH663),$AH$2:$AH$1001,0),MATCH(COLUMNS($AO$1006:BK1006),$AO$1006:$BQ$1006,0)), HYPERLINK("#",""), HYPERLINK(CONCATENATE("#Metadata!", ADDRESS(INDEX($AJ$2:$AJ$1001,MATCH(ROWS($AH$2:AH663),$AH$2:$AH$1001,0),0), INDEX($AO$1004:$BQ$1004,1,MATCH(COLUMNS($AO$1006:BK1006),$AO$1006:$BQ$1006,0)))),"Fix")))</f>
        <v>#N/A</v>
      </c>
      <c r="Y663" s="5" t="e">
        <f ca="1">IF(OR(INDEX($AI$2:$AI$1001,MATCH(ROWS($AH$2:AH663),$AH$2:$AH$1001,0),1)&gt;=100000,INDEX($AO$1005:$BQ$1005,1,MATCH(COLUMNS($AO$1006:BL1006),$AO$1006:$BQ$1006,0))&gt;=100000), " ",IF(INDEX($AO$2:$BQ$1001,MATCH(ROWS($AH$2:AH663),$AH$2:$AH$1001,0),MATCH(COLUMNS($AO$1006:BL1006),$AO$1006:$BQ$1006,0)), HYPERLINK("#",""), HYPERLINK(CONCATENATE("#Metadata!", ADDRESS(INDEX($AJ$2:$AJ$1001,MATCH(ROWS($AH$2:AH663),$AH$2:$AH$1001,0),0), INDEX($AO$1004:$BQ$1004,1,MATCH(COLUMNS($AO$1006:BL1006),$AO$1006:$BQ$1006,0)))),"Fix")))</f>
        <v>#N/A</v>
      </c>
      <c r="Z663" s="5" t="e">
        <f ca="1">IF(OR(INDEX($AI$2:$AI$1001,MATCH(ROWS($AH$2:AH663),$AH$2:$AH$1001,0),1)&gt;=100000,INDEX($AO$1005:$BQ$1005,1,MATCH(COLUMNS($AO$1006:BM1006),$AO$1006:$BQ$1006,0))&gt;=100000), " ",IF(INDEX($AO$2:$BQ$1001,MATCH(ROWS($AH$2:AH663),$AH$2:$AH$1001,0),MATCH(COLUMNS($AO$1006:BM1006),$AO$1006:$BQ$1006,0)), HYPERLINK("#",""), HYPERLINK(CONCATENATE("#Metadata!", ADDRESS(INDEX($AJ$2:$AJ$1001,MATCH(ROWS($AH$2:AH663),$AH$2:$AH$1001,0),0), INDEX($AO$1004:$BQ$1004,1,MATCH(COLUMNS($AO$1006:BM1006),$AO$1006:$BQ$1006,0)))),"Fix")))</f>
        <v>#N/A</v>
      </c>
      <c r="AA663" s="5" t="e">
        <f ca="1">IF(OR(INDEX($AI$2:$AI$1001,MATCH(ROWS($AH$2:AH663),$AH$2:$AH$1001,0),1)&gt;=100000,INDEX($AO$1005:$BQ$1005,1,MATCH(COLUMNS($AO$1006:BN1006),$AO$1006:$BQ$1006,0))&gt;=100000), " ",IF(INDEX($AO$2:$BQ$1001,MATCH(ROWS($AH$2:AH663),$AH$2:$AH$1001,0),MATCH(COLUMNS($AO$1006:BN1006),$AO$1006:$BQ$1006,0)), HYPERLINK("#",""), HYPERLINK(CONCATENATE("#Metadata!", ADDRESS(INDEX($AJ$2:$AJ$1001,MATCH(ROWS($AH$2:AH663),$AH$2:$AH$1001,0),0), INDEX($AO$1004:$BQ$1004,1,MATCH(COLUMNS($AO$1006:BN1006),$AO$1006:$BQ$1006,0)))),"Fix")))</f>
        <v>#N/A</v>
      </c>
      <c r="AB663" s="5" t="e">
        <f ca="1">IF(OR(INDEX($AI$2:$AI$1001,MATCH(ROWS($AH$2:AH663),$AH$2:$AH$1001,0),1)&gt;=100000,INDEX($AO$1005:$BQ$1005,1,MATCH(COLUMNS($AO$1006:BO1006),$AO$1006:$BQ$1006,0))&gt;=100000), " ",IF(INDEX($AO$2:$BQ$1001,MATCH(ROWS($AH$2:AH663),$AH$2:$AH$1001,0),MATCH(COLUMNS($AO$1006:BO1006),$AO$1006:$BQ$1006,0)), HYPERLINK("#",""), HYPERLINK(CONCATENATE("#Metadata!", ADDRESS(INDEX($AJ$2:$AJ$1001,MATCH(ROWS($AH$2:AH663),$AH$2:$AH$1001,0),0), INDEX($AO$1004:$BQ$1004,1,MATCH(COLUMNS($AO$1006:BO1006),$AO$1006:$BQ$1006,0)))),"Fix")))</f>
        <v>#N/A</v>
      </c>
      <c r="AC663" s="5" t="e">
        <f ca="1">IF(OR(INDEX($AI$2:$AI$1001,MATCH(ROWS($AH$2:AH663),$AH$2:$AH$1001,0),1)&gt;=100000,INDEX($AO$1005:$BQ$1005,1,MATCH(COLUMNS($AO$1006:BP1006),$AO$1006:$BQ$1006,0))&gt;=100000), " ",IF(INDEX($AO$2:$BQ$1001,MATCH(ROWS($AH$2:AH663),$AH$2:$AH$1001,0),MATCH(COLUMNS($AO$1006:BP1006),$AO$1006:$BQ$1006,0)), HYPERLINK("#",""), HYPERLINK(CONCATENATE("#Metadata!", ADDRESS(INDEX($AJ$2:$AJ$1001,MATCH(ROWS($AH$2:AH663),$AH$2:$AH$1001,0),0), INDEX($AO$1004:$BQ$1004,1,MATCH(COLUMNS($AO$1006:BP1006),$AO$1006:$BQ$1006,0)))),"Fix")))</f>
        <v>#N/A</v>
      </c>
      <c r="AD663" s="5" t="e">
        <f ca="1">IF(OR(INDEX($AI$2:$AI$1001,MATCH(ROWS($AH$2:AH663),$AH$2:$AH$1001,0),1)&gt;=100000,INDEX($AO$1005:$BQ$1005,1,MATCH(COLUMNS($AO$1006:BQ1006),$AO$1006:$BQ$1006,0))&gt;=100000), " ",IF(INDEX($AO$2:$BQ$1001,MATCH(ROWS($AH$2:AH663),$AH$2:$AH$1001,0),MATCH(COLUMNS($AO$1006:BQ1006),$AO$1006:$BQ$1006,0)), HYPERLINK("#",""), HYPERLINK(CONCATENATE("#Metadata!", ADDRESS(INDEX($AJ$2:$AJ$1001,MATCH(ROWS($AH$2:AH663),$AH$2:$AH$1001,0),0), INDEX($AO$1004:$BQ$1004,1,MATCH(COLUMNS($AO$1006:BQ1006),$AO$1006:$BQ$1006,0)))),"Fix")))</f>
        <v>#REF!</v>
      </c>
      <c r="AH663">
        <f ca="1"/>
        <v>660</v>
      </c>
      <c r="AI663">
        <v>100663</v>
      </c>
      <c r="AJ663">
        <v>663</v>
      </c>
      <c r="AK663" t="b">
        <f t="shared" si="10"/>
        <v>1</v>
      </c>
      <c r="AL663" t="b">
        <f>COUNTBLANK(Metadata!B663:AD663)=COLUMNS(Metadata!B663:AD663)</f>
        <v>1</v>
      </c>
      <c r="AM663" t="str">
        <v/>
      </c>
      <c r="AO663" t="b">
        <f ca="1">AND(IF(Metadata!B663="",FALSE,TRUE),COUNTIF(Metadata!B:B, Metadata!B663) = 1,NOT(ISERROR(SUMPRODUCT(SEARCH(MID(Metadata!B663,ROW(INDIRECT("1:"&amp;LEN(Metadata!B663))), 1),"0123456789abcdefghijklmnopqrstuvwxyzABCDEFGHIJKLMNOPQRSTUVWXYZ.")))))</f>
        <v>0</v>
      </c>
      <c r="AP663" t="b">
        <f>IF(Metadata!C663="",FALSE,TRUE)</f>
        <v>0</v>
      </c>
      <c r="AQ663" t="b">
        <f>IF(Metadata!D663="",FALSE,TRUE)</f>
        <v>0</v>
      </c>
      <c r="AR663" t="b">
        <f ca="1">OR(AND(IF(Metadata!E663="",FALSE,TRUE),OR(EXACT(Metadata!E663,"not collected"),EXACT(Metadata!E663,"not provided"),EXACT(Metadata!E663,"restricted access"))),AND(IF(Metadata!E663="",FALSE,TRUE),AND(AND(IFERROR(INT(LEFT(Metadata!E663,4))&gt;1900,FALSE),IFERROR(INT(LEFT(Metadata!E663,4))&lt;=YEAR(NOW()),FALSE)), OR(MID(Metadata!E663,5,1)="", AND(AND(MID(Metadata!E663,5,1)="-",IFERROR(INT(MID(Metadata!E663,6,1))&gt;=0,FALSE),IFERROR(INT(MID(Metadata!E663,6,1))&lt;=1,FALSE),NOT(MID(Metadata!E663,7,1)=""),IFERROR(INT(MID(Metadata!E663,6,2))&gt;=1,FALSE),IFERROR(INT(MID(Metadata!E663,6,2))&lt;=12,FALSE)), OR(MID(Metadata!E663,8,1)="", AND(AND(MID(Metadata!E663,8,1)="-",IFERROR(INT(MID(Metadata!E663,9,1))&gt;=0,FALSE),IFERROR(INT(MID(Metadata!E663,9,1))&lt;=3,FALSE),NOT(MID(Metadata!E663,10,1)=""),IFERROR(INT(MID(Metadata!E663,9,2))&gt;=1,FALSE),IFERROR(INT(MID(Metadata!E663,9,2))&lt;=31,FALSE)), OR(MID(Metadata!E663,11,1)="", AND(AND(MID(Metadata!E663,11,1)=" ",IFERROR(INT(MID(Metadata!E663,12,1))&gt;=0,FALSE),IFERROR(INT(MID(Metadata!E663,12,1))&lt;=2,FALSE),NOT(MID(Metadata!E663,13,1)=""),IFERROR(INT(MID(Metadata!E663,12,2))&gt;=0,FALSE),IFERROR(INT(MID(Metadata!E663,12,2))&lt;=23,FALSE)), OR(MID(Metadata!E663,14,1)="", AND(AND(MID(Metadata!E663,14,1)=":",IFERROR(INT(MID(Metadata!E663,15,1))&gt;=0,FALSE),IFERROR(INT(MID(Metadata!E663,15,1))&lt;=5,FALSE),NOT(MID(Metadata!E663,16,1)=""),IFERROR(INT(MID(Metadata!E663,15,2))&gt;=0,FALSE),IFERROR(INT(MID(Metadata!E663,15,2))&lt;=59,FALSE)), OR(MID(Metadata!E663,17,1)="", AND(AND(MID(Metadata!E663,17,1)=":",IFERROR(INT(MID(Metadata!E663,18,1))&gt;=0,FALSE),IFERROR(INT(MID(Metadata!E663,18,1))&lt;=5,FALSE),NOT(MID(Metadata!E663,19,1)=""),IFERROR(INT(MID(Metadata!E663,18,2))&gt;=0,FALSE),IFERROR(INT(MID(Metadata!E663,18,2))&lt;=59,FALSE)), LEN(Metadata!E663)&lt;=19)))))))))))))</f>
        <v>0</v>
      </c>
      <c r="AS663" t="b">
        <f>IF(Metadata!F663="",FALSE,TRUE)</f>
        <v>0</v>
      </c>
      <c r="AT663" t="b">
        <f>OR(AND(IF(Metadata!G663="",FALSE,TRUE),OR(EXACT(Metadata!G663,"not collected"),EXACT(Metadata!G663,"not provided"))),AND(IF(Metadata!G663="",FALSE,TRUE),OR(EXACT(Metadata!G663,"TRUE"),EXACT(Metadata!G663,"FALSE"))))</f>
        <v>0</v>
      </c>
      <c r="AU663" t="b">
        <f>OR(AND(IF(Metadata!H663="",FALSE,TRUE),OR(EXACT(Metadata!H663,"not collected"),EXACT(Metadata!H663,"not provided"),EXACT(Metadata!H663,"restricted access"))),AND(IF(Metadata!H663="",FALSE,ISNUMBER(VALUE(Metadata!H663))),Metadata!H663&gt;=-413))</f>
        <v>0</v>
      </c>
      <c r="AV663" t="b">
        <f>AND(IF(Metadata!I663="",FALSE,TRUE),EXACT(Metadata!I663,"meters"))</f>
        <v>0</v>
      </c>
      <c r="AW663" t="b">
        <f>AND(IF(Metadata!J663="",FALSE,TRUE),EXACT(Metadata!J663,"free-living"))</f>
        <v>0</v>
      </c>
      <c r="AX663" t="b">
        <f>AND(IF(Metadata!K663="",FALSE,TRUE),OR(EXACT(Metadata!K663,"saline"),EXACT(Metadata!K663,"non-saline")))</f>
        <v>0</v>
      </c>
      <c r="AY663" t="b">
        <f>AND(IF(Metadata!L663="",FALSE,TRUE),OR(EXACT(Metadata!L663,"sub-surface (non-saline)"),EXACT(Metadata!L663,"surface (non-saline)"),EXACT(Metadata!L663,"water (non-saline)"),EXACT(Metadata!L663,"soil (non-saline)"),EXACT(Metadata!L663,"aerosol (non-saline)"),EXACT(Metadata!L663,"sediment (non-saline)"),EXACT(Metadata!L663,"surface (saline)"),EXACT(Metadata!L663,"water (saline)"),EXACT(Metadata!L663,"hypersaline (saline)"),EXACT(Metadata!L663,"aerosol (saline)"),EXACT(Metadata!L663,"sediment (saline)")))</f>
        <v>0</v>
      </c>
      <c r="AZ663" t="b">
        <f>IF(Metadata!M663="",FALSE,TRUE)</f>
        <v>0</v>
      </c>
      <c r="BA663" t="b">
        <f>IF(Metadata!N663="",FALSE,TRUE)</f>
        <v>0</v>
      </c>
      <c r="BB663" t="b">
        <f>IF(Metadata!O663="",FALSE,TRUE)</f>
        <v>0</v>
      </c>
      <c r="BC663" t="b">
        <f>AND(IF(Metadata!P663="",FALSE,TRUE),OR(EXACT(Metadata!P663,"air"),EXACT(Metadata!P663,"microbial mat/biofilm"),EXACT(Metadata!P663,"misc environment"),EXACT(Metadata!P663,"sediment"),EXACT(Metadata!P663,"soil"),EXACT(Metadata!P663,"wastewater/sludge"),EXACT(Metadata!P663,"water")))</f>
        <v>0</v>
      </c>
      <c r="BD663" t="b">
        <f>IF(Metadata!Q663="",FALSE,TRUE)</f>
        <v>0</v>
      </c>
      <c r="BE663" t="b">
        <f>IF(Metadata!R663="",FALSE,TRUE)</f>
        <v>0</v>
      </c>
      <c r="BF663" t="b">
        <f>OR(AND(IF(Metadata!S663="",FALSE,TRUE),OR(EXACT(Metadata!S663,"not collected"),EXACT(Metadata!S663,"not provided"),EXACT(Metadata!S663,"restricted access"))),AND(IF(Metadata!S663="",FALSE,ISNUMBER(VALUE(Metadata!S663))),Metadata!S663&gt;=-90,Metadata!S663&lt;=90))</f>
        <v>0</v>
      </c>
      <c r="BG663" t="b">
        <f>AND(IF(Metadata!T663="",FALSE,TRUE),EXACT(Metadata!T663,"Decimal degrees"))</f>
        <v>0</v>
      </c>
      <c r="BH663" t="b">
        <f>OR(AND(IF(Metadata!U663="",FALSE,TRUE),OR(EXACT(Metadata!U663,"not applicable"),EXACT(Metadata!U663,"not collected"))),IF(Metadata!U663="",FALSE,TRUE))</f>
        <v>0</v>
      </c>
      <c r="BI663" t="b">
        <f>OR(AND(IF(Metadata!V663="",FALSE,TRUE),OR(EXACT(Metadata!V663,"not collected"),EXACT(Metadata!V663,"not provided"),EXACT(Metadata!V663,"restricted access"))),AND(IF(Metadata!V663="",FALSE,ISNUMBER(VALUE(Metadata!V663))),Metadata!V663&gt;=-180,Metadata!V663&lt;=180))</f>
        <v>0</v>
      </c>
      <c r="BJ663" t="b">
        <f>AND(IF(Metadata!W663="",FALSE,TRUE),EXACT(Metadata!W663,"Decimal degrees"))</f>
        <v>0</v>
      </c>
      <c r="BK663" t="b">
        <f>IF(Metadata!X663="",FALSE,TRUE)</f>
        <v>0</v>
      </c>
      <c r="BL663" t="b">
        <f>OR(AND(IF(Metadata!Y663="",FALSE,TRUE),OR(EXACT(Metadata!Y663,"not collected"),EXACT(Metadata!Y663,"not provided"),EXACT(Metadata!Y663,"restricted access"))),AND(IF(Metadata!Y663="",FALSE,TRUE),OR(EXACT(Metadata!Y663,"TRUE"),EXACT(Metadata!Y663,"FALSE"))))</f>
        <v>0</v>
      </c>
      <c r="BM663" t="b">
        <f>OR(AND(IF(Metadata!Z663="",FALSE,TRUE),EXACT(Metadata!Z663,"not applicable")),AND(IF(Metadata!Z663="",FALSE,TRUE),OR(EXACT(Metadata!Z663,"beer"),EXACT(Metadata!Z663,"cheese"),EXACT(Metadata!Z663,"fresh water"),EXACT(Metadata!Z663,"marine sediment"),EXACT(Metadata!Z663,"sea water"),EXACT(Metadata!Z663,"sediment"),EXACT(Metadata!Z663,"soil"),EXACT(Metadata!Z663,"waste water"))))</f>
        <v>0</v>
      </c>
      <c r="BN663" t="b">
        <f>AND(IF(Metadata!AA663="",FALSE,TRUE),EXACT(Metadata!AA663,"metagenome"))</f>
        <v>0</v>
      </c>
      <c r="BO663" t="b">
        <f>AND(IF(Metadata!AB663="",FALSE,TRUE),EXACT(Metadata!AB663,"256318"))</f>
        <v>0</v>
      </c>
      <c r="BP663" t="b">
        <f>IF(Metadata!AC663="",FALSE,TRUE)</f>
        <v>0</v>
      </c>
      <c r="BQ663" t="b">
        <f>IF(Metadata!AD663="",FALSE,TRUE)</f>
        <v>0</v>
      </c>
    </row>
    <row r="664" spans="1:69" x14ac:dyDescent="0.2">
      <c r="A664" s="4" t="e">
        <f ca="1">IF(B664=" "," ",HYPERLINK(CONCATENATE("#metadata!",ADDRESS(INDEX($AJ$2:$AJ$1001,MATCH(ROWS($AH$2:AH664),$AH$2:$AH$1001,0),0),2)),INDEX($AM$2:$AM$1001,MATCH(ROWS($AH$2:AH664),$AH$2:$AH$1001,0),0)))</f>
        <v>#N/A</v>
      </c>
      <c r="B664" s="5" t="e">
        <f ca="1">IF(OR(INDEX($AI$2:$AI$1001,MATCH(ROWS($AH$2:AH664),$AH$2:$AH$1001,0),1)&gt;=100000,INDEX($AO$1005:$BQ$1005,1,MATCH(COLUMNS($AO$1006:AO1006),$AO$1006:$BQ$1006,0))&gt;=100000), " ",IF(INDEX($AO$2:$BQ$1001,MATCH(ROWS($AH$2:AH664),$AH$2:$AH$1001,0),MATCH(COLUMNS($AO$1006:AO1006),$AO$1006:$BQ$1006,0)), HYPERLINK("#",""), HYPERLINK(CONCATENATE("#Metadata!", ADDRESS(INDEX($AJ$2:$AJ$1001,MATCH(ROWS($AH$2:AH664),$AH$2:$AH$1001,0),0), INDEX($AO$1004:$BQ$1004,1,MATCH(COLUMNS($AO$1006:AO1006),$AO$1006:$BQ$1006,0)))),"Fix")))</f>
        <v>#N/A</v>
      </c>
      <c r="C664" s="5" t="e">
        <f ca="1">IF(OR(INDEX($AI$2:$AI$1001,MATCH(ROWS($AH$2:AH664),$AH$2:$AH$1001,0),1)&gt;=100000,INDEX($AO$1005:$BQ$1005,1,MATCH(COLUMNS($AO$1006:AP1006),$AO$1006:$BQ$1006,0))&gt;=100000), " ",IF(INDEX($AO$2:$BQ$1001,MATCH(ROWS($AH$2:AH664),$AH$2:$AH$1001,0),MATCH(COLUMNS($AO$1006:AP1006),$AO$1006:$BQ$1006,0)), HYPERLINK("#",""), HYPERLINK(CONCATENATE("#Metadata!", ADDRESS(INDEX($AJ$2:$AJ$1001,MATCH(ROWS($AH$2:AH664),$AH$2:$AH$1001,0),0), INDEX($AO$1004:$BQ$1004,1,MATCH(COLUMNS($AO$1006:AP1006),$AO$1006:$BQ$1006,0)))),"Fix")))</f>
        <v>#N/A</v>
      </c>
      <c r="D664" s="5" t="e">
        <f ca="1">IF(OR(INDEX($AI$2:$AI$1001,MATCH(ROWS($AH$2:AH664),$AH$2:$AH$1001,0),1)&gt;=100000,INDEX($AO$1005:$BQ$1005,1,MATCH(COLUMNS($AO$1006:AQ1006),$AO$1006:$BQ$1006,0))&gt;=100000), " ",IF(INDEX($AO$2:$BQ$1001,MATCH(ROWS($AH$2:AH664),$AH$2:$AH$1001,0),MATCH(COLUMNS($AO$1006:AQ1006),$AO$1006:$BQ$1006,0)), HYPERLINK("#",""), HYPERLINK(CONCATENATE("#Metadata!", ADDRESS(INDEX($AJ$2:$AJ$1001,MATCH(ROWS($AH$2:AH664),$AH$2:$AH$1001,0),0), INDEX($AO$1004:$BQ$1004,1,MATCH(COLUMNS($AO$1006:AQ1006),$AO$1006:$BQ$1006,0)))),"Fix")))</f>
        <v>#N/A</v>
      </c>
      <c r="E664" s="5" t="e">
        <f ca="1">IF(OR(INDEX($AI$2:$AI$1001,MATCH(ROWS($AH$2:AH664),$AH$2:$AH$1001,0),1)&gt;=100000,INDEX($AO$1005:$BQ$1005,1,MATCH(COLUMNS($AO$1006:AR1006),$AO$1006:$BQ$1006,0))&gt;=100000), " ",IF(INDEX($AO$2:$BQ$1001,MATCH(ROWS($AH$2:AH664),$AH$2:$AH$1001,0),MATCH(COLUMNS($AO$1006:AR1006),$AO$1006:$BQ$1006,0)), HYPERLINK("#",""), HYPERLINK(CONCATENATE("#Metadata!", ADDRESS(INDEX($AJ$2:$AJ$1001,MATCH(ROWS($AH$2:AH664),$AH$2:$AH$1001,0),0), INDEX($AO$1004:$BQ$1004,1,MATCH(COLUMNS($AO$1006:AR1006),$AO$1006:$BQ$1006,0)))),"Fix")))</f>
        <v>#N/A</v>
      </c>
      <c r="F664" s="5" t="e">
        <f ca="1">IF(OR(INDEX($AI$2:$AI$1001,MATCH(ROWS($AH$2:AH664),$AH$2:$AH$1001,0),1)&gt;=100000,INDEX($AO$1005:$BQ$1005,1,MATCH(COLUMNS($AO$1006:AS1006),$AO$1006:$BQ$1006,0))&gt;=100000), " ",IF(INDEX($AO$2:$BQ$1001,MATCH(ROWS($AH$2:AH664),$AH$2:$AH$1001,0),MATCH(COLUMNS($AO$1006:AS1006),$AO$1006:$BQ$1006,0)), HYPERLINK("#",""), HYPERLINK(CONCATENATE("#Metadata!", ADDRESS(INDEX($AJ$2:$AJ$1001,MATCH(ROWS($AH$2:AH664),$AH$2:$AH$1001,0),0), INDEX($AO$1004:$BQ$1004,1,MATCH(COLUMNS($AO$1006:AS1006),$AO$1006:$BQ$1006,0)))),"Fix")))</f>
        <v>#N/A</v>
      </c>
      <c r="G664" s="5" t="e">
        <f ca="1">IF(OR(INDEX($AI$2:$AI$1001,MATCH(ROWS($AH$2:AH664),$AH$2:$AH$1001,0),1)&gt;=100000,INDEX($AO$1005:$BQ$1005,1,MATCH(COLUMNS($AO$1006:AT1006),$AO$1006:$BQ$1006,0))&gt;=100000), " ",IF(INDEX($AO$2:$BQ$1001,MATCH(ROWS($AH$2:AH664),$AH$2:$AH$1001,0),MATCH(COLUMNS($AO$1006:AT1006),$AO$1006:$BQ$1006,0)), HYPERLINK("#",""), HYPERLINK(CONCATENATE("#Metadata!", ADDRESS(INDEX($AJ$2:$AJ$1001,MATCH(ROWS($AH$2:AH664),$AH$2:$AH$1001,0),0), INDEX($AO$1004:$BQ$1004,1,MATCH(COLUMNS($AO$1006:AT1006),$AO$1006:$BQ$1006,0)))),"Fix")))</f>
        <v>#N/A</v>
      </c>
      <c r="H664" s="5" t="e">
        <f ca="1">IF(OR(INDEX($AI$2:$AI$1001,MATCH(ROWS($AH$2:AH664),$AH$2:$AH$1001,0),1)&gt;=100000,INDEX($AO$1005:$BQ$1005,1,MATCH(COLUMNS($AO$1006:AU1006),$AO$1006:$BQ$1006,0))&gt;=100000), " ",IF(INDEX($AO$2:$BQ$1001,MATCH(ROWS($AH$2:AH664),$AH$2:$AH$1001,0),MATCH(COLUMNS($AO$1006:AU1006),$AO$1006:$BQ$1006,0)), HYPERLINK("#",""), HYPERLINK(CONCATENATE("#Metadata!", ADDRESS(INDEX($AJ$2:$AJ$1001,MATCH(ROWS($AH$2:AH664),$AH$2:$AH$1001,0),0), INDEX($AO$1004:$BQ$1004,1,MATCH(COLUMNS($AO$1006:AU1006),$AO$1006:$BQ$1006,0)))),"Fix")))</f>
        <v>#N/A</v>
      </c>
      <c r="I664" s="5" t="e">
        <f ca="1">IF(OR(INDEX($AI$2:$AI$1001,MATCH(ROWS($AH$2:AH664),$AH$2:$AH$1001,0),1)&gt;=100000,INDEX($AO$1005:$BQ$1005,1,MATCH(COLUMNS($AO$1006:AV1006),$AO$1006:$BQ$1006,0))&gt;=100000), " ",IF(INDEX($AO$2:$BQ$1001,MATCH(ROWS($AH$2:AH664),$AH$2:$AH$1001,0),MATCH(COLUMNS($AO$1006:AV1006),$AO$1006:$BQ$1006,0)), HYPERLINK("#",""), HYPERLINK(CONCATENATE("#Metadata!", ADDRESS(INDEX($AJ$2:$AJ$1001,MATCH(ROWS($AH$2:AH664),$AH$2:$AH$1001,0),0), INDEX($AO$1004:$BQ$1004,1,MATCH(COLUMNS($AO$1006:AV1006),$AO$1006:$BQ$1006,0)))),"Fix")))</f>
        <v>#N/A</v>
      </c>
      <c r="J664" s="5" t="e">
        <f ca="1">IF(OR(INDEX($AI$2:$AI$1001,MATCH(ROWS($AH$2:AH664),$AH$2:$AH$1001,0),1)&gt;=100000,INDEX($AO$1005:$BQ$1005,1,MATCH(COLUMNS($AO$1006:AW1006),$AO$1006:$BQ$1006,0))&gt;=100000), " ",IF(INDEX($AO$2:$BQ$1001,MATCH(ROWS($AH$2:AH664),$AH$2:$AH$1001,0),MATCH(COLUMNS($AO$1006:AW1006),$AO$1006:$BQ$1006,0)), HYPERLINK("#",""), HYPERLINK(CONCATENATE("#Metadata!", ADDRESS(INDEX($AJ$2:$AJ$1001,MATCH(ROWS($AH$2:AH664),$AH$2:$AH$1001,0),0), INDEX($AO$1004:$BQ$1004,1,MATCH(COLUMNS($AO$1006:AW1006),$AO$1006:$BQ$1006,0)))),"Fix")))</f>
        <v>#N/A</v>
      </c>
      <c r="K664" s="5" t="e">
        <f ca="1">IF(OR(INDEX($AI$2:$AI$1001,MATCH(ROWS($AH$2:AH664),$AH$2:$AH$1001,0),1)&gt;=100000,INDEX($AO$1005:$BQ$1005,1,MATCH(COLUMNS($AO$1006:AX1006),$AO$1006:$BQ$1006,0))&gt;=100000), " ",IF(INDEX($AO$2:$BQ$1001,MATCH(ROWS($AH$2:AH664),$AH$2:$AH$1001,0),MATCH(COLUMNS($AO$1006:AX1006),$AO$1006:$BQ$1006,0)), HYPERLINK("#",""), HYPERLINK(CONCATENATE("#Metadata!", ADDRESS(INDEX($AJ$2:$AJ$1001,MATCH(ROWS($AH$2:AH664),$AH$2:$AH$1001,0),0), INDEX($AO$1004:$BQ$1004,1,MATCH(COLUMNS($AO$1006:AX1006),$AO$1006:$BQ$1006,0)))),"Fix")))</f>
        <v>#N/A</v>
      </c>
      <c r="L664" s="5" t="e">
        <f ca="1">IF(OR(INDEX($AI$2:$AI$1001,MATCH(ROWS($AH$2:AH664),$AH$2:$AH$1001,0),1)&gt;=100000,INDEX($AO$1005:$BQ$1005,1,MATCH(COLUMNS($AO$1006:AY1006),$AO$1006:$BQ$1006,0))&gt;=100000), " ",IF(INDEX($AO$2:$BQ$1001,MATCH(ROWS($AH$2:AH664),$AH$2:$AH$1001,0),MATCH(COLUMNS($AO$1006:AY1006),$AO$1006:$BQ$1006,0)), HYPERLINK("#",""), HYPERLINK(CONCATENATE("#Metadata!", ADDRESS(INDEX($AJ$2:$AJ$1001,MATCH(ROWS($AH$2:AH664),$AH$2:$AH$1001,0),0), INDEX($AO$1004:$BQ$1004,1,MATCH(COLUMNS($AO$1006:AY1006),$AO$1006:$BQ$1006,0)))),"Fix")))</f>
        <v>#N/A</v>
      </c>
      <c r="M664" s="5" t="e">
        <f ca="1">IF(OR(INDEX($AI$2:$AI$1001,MATCH(ROWS($AH$2:AH664),$AH$2:$AH$1001,0),1)&gt;=100000,INDEX($AO$1005:$BQ$1005,1,MATCH(COLUMNS($AO$1006:AZ1006),$AO$1006:$BQ$1006,0))&gt;=100000), " ",IF(INDEX($AO$2:$BQ$1001,MATCH(ROWS($AH$2:AH664),$AH$2:$AH$1001,0),MATCH(COLUMNS($AO$1006:AZ1006),$AO$1006:$BQ$1006,0)), HYPERLINK("#",""), HYPERLINK(CONCATENATE("#Metadata!", ADDRESS(INDEX($AJ$2:$AJ$1001,MATCH(ROWS($AH$2:AH664),$AH$2:$AH$1001,0),0), INDEX($AO$1004:$BQ$1004,1,MATCH(COLUMNS($AO$1006:AZ1006),$AO$1006:$BQ$1006,0)))),"Fix")))</f>
        <v>#N/A</v>
      </c>
      <c r="N664" s="5" t="e">
        <f ca="1">IF(OR(INDEX($AI$2:$AI$1001,MATCH(ROWS($AH$2:AH664),$AH$2:$AH$1001,0),1)&gt;=100000,INDEX($AO$1005:$BQ$1005,1,MATCH(COLUMNS($AO$1006:BA1006),$AO$1006:$BQ$1006,0))&gt;=100000), " ",IF(INDEX($AO$2:$BQ$1001,MATCH(ROWS($AH$2:AH664),$AH$2:$AH$1001,0),MATCH(COLUMNS($AO$1006:BA1006),$AO$1006:$BQ$1006,0)), HYPERLINK("#",""), HYPERLINK(CONCATENATE("#Metadata!", ADDRESS(INDEX($AJ$2:$AJ$1001,MATCH(ROWS($AH$2:AH664),$AH$2:$AH$1001,0),0), INDEX($AO$1004:$BQ$1004,1,MATCH(COLUMNS($AO$1006:BA1006),$AO$1006:$BQ$1006,0)))),"Fix")))</f>
        <v>#N/A</v>
      </c>
      <c r="O664" s="5" t="e">
        <f ca="1">IF(OR(INDEX($AI$2:$AI$1001,MATCH(ROWS($AH$2:AH664),$AH$2:$AH$1001,0),1)&gt;=100000,INDEX($AO$1005:$BQ$1005,1,MATCH(COLUMNS($AO$1006:BB1006),$AO$1006:$BQ$1006,0))&gt;=100000), " ",IF(INDEX($AO$2:$BQ$1001,MATCH(ROWS($AH$2:AH664),$AH$2:$AH$1001,0),MATCH(COLUMNS($AO$1006:BB1006),$AO$1006:$BQ$1006,0)), HYPERLINK("#",""), HYPERLINK(CONCATENATE("#Metadata!", ADDRESS(INDEX($AJ$2:$AJ$1001,MATCH(ROWS($AH$2:AH664),$AH$2:$AH$1001,0),0), INDEX($AO$1004:$BQ$1004,1,MATCH(COLUMNS($AO$1006:BB1006),$AO$1006:$BQ$1006,0)))),"Fix")))</f>
        <v>#N/A</v>
      </c>
      <c r="P664" s="5" t="e">
        <f ca="1">IF(OR(INDEX($AI$2:$AI$1001,MATCH(ROWS($AH$2:AH664),$AH$2:$AH$1001,0),1)&gt;=100000,INDEX($AO$1005:$BQ$1005,1,MATCH(COLUMNS($AO$1006:BC1006),$AO$1006:$BQ$1006,0))&gt;=100000), " ",IF(INDEX($AO$2:$BQ$1001,MATCH(ROWS($AH$2:AH664),$AH$2:$AH$1001,0),MATCH(COLUMNS($AO$1006:BC1006),$AO$1006:$BQ$1006,0)), HYPERLINK("#",""), HYPERLINK(CONCATENATE("#Metadata!", ADDRESS(INDEX($AJ$2:$AJ$1001,MATCH(ROWS($AH$2:AH664),$AH$2:$AH$1001,0),0), INDEX($AO$1004:$BQ$1004,1,MATCH(COLUMNS($AO$1006:BC1006),$AO$1006:$BQ$1006,0)))),"Fix")))</f>
        <v>#N/A</v>
      </c>
      <c r="Q664" s="5" t="e">
        <f ca="1">IF(OR(INDEX($AI$2:$AI$1001,MATCH(ROWS($AH$2:AH664),$AH$2:$AH$1001,0),1)&gt;=100000,INDEX($AO$1005:$BQ$1005,1,MATCH(COLUMNS($AO$1006:BD1006),$AO$1006:$BQ$1006,0))&gt;=100000), " ",IF(INDEX($AO$2:$BQ$1001,MATCH(ROWS($AH$2:AH664),$AH$2:$AH$1001,0),MATCH(COLUMNS($AO$1006:BD1006),$AO$1006:$BQ$1006,0)), HYPERLINK("#",""), HYPERLINK(CONCATENATE("#Metadata!", ADDRESS(INDEX($AJ$2:$AJ$1001,MATCH(ROWS($AH$2:AH664),$AH$2:$AH$1001,0),0), INDEX($AO$1004:$BQ$1004,1,MATCH(COLUMNS($AO$1006:BD1006),$AO$1006:$BQ$1006,0)))),"Fix")))</f>
        <v>#N/A</v>
      </c>
      <c r="R664" s="5" t="e">
        <f ca="1">IF(OR(INDEX($AI$2:$AI$1001,MATCH(ROWS($AH$2:AH664),$AH$2:$AH$1001,0),1)&gt;=100000,INDEX($AO$1005:$BQ$1005,1,MATCH(COLUMNS($AO$1006:BE1006),$AO$1006:$BQ$1006,0))&gt;=100000), " ",IF(INDEX($AO$2:$BQ$1001,MATCH(ROWS($AH$2:AH664),$AH$2:$AH$1001,0),MATCH(COLUMNS($AO$1006:BE1006),$AO$1006:$BQ$1006,0)), HYPERLINK("#",""), HYPERLINK(CONCATENATE("#Metadata!", ADDRESS(INDEX($AJ$2:$AJ$1001,MATCH(ROWS($AH$2:AH664),$AH$2:$AH$1001,0),0), INDEX($AO$1004:$BQ$1004,1,MATCH(COLUMNS($AO$1006:BE1006),$AO$1006:$BQ$1006,0)))),"Fix")))</f>
        <v>#N/A</v>
      </c>
      <c r="S664" s="5" t="e">
        <f ca="1">IF(OR(INDEX($AI$2:$AI$1001,MATCH(ROWS($AH$2:AH664),$AH$2:$AH$1001,0),1)&gt;=100000,INDEX($AO$1005:$BQ$1005,1,MATCH(COLUMNS($AO$1006:BF1006),$AO$1006:$BQ$1006,0))&gt;=100000), " ",IF(INDEX($AO$2:$BQ$1001,MATCH(ROWS($AH$2:AH664),$AH$2:$AH$1001,0),MATCH(COLUMNS($AO$1006:BF1006),$AO$1006:$BQ$1006,0)), HYPERLINK("#",""), HYPERLINK(CONCATENATE("#Metadata!", ADDRESS(INDEX($AJ$2:$AJ$1001,MATCH(ROWS($AH$2:AH664),$AH$2:$AH$1001,0),0), INDEX($AO$1004:$BQ$1004,1,MATCH(COLUMNS($AO$1006:BF1006),$AO$1006:$BQ$1006,0)))),"Fix")))</f>
        <v>#N/A</v>
      </c>
      <c r="T664" s="5" t="e">
        <f ca="1">IF(OR(INDEX($AI$2:$AI$1001,MATCH(ROWS($AH$2:AH664),$AH$2:$AH$1001,0),1)&gt;=100000,INDEX($AO$1005:$BQ$1005,1,MATCH(COLUMNS($AO$1006:BG1006),$AO$1006:$BQ$1006,0))&gt;=100000), " ",IF(INDEX($AO$2:$BQ$1001,MATCH(ROWS($AH$2:AH664),$AH$2:$AH$1001,0),MATCH(COLUMNS($AO$1006:BG1006),$AO$1006:$BQ$1006,0)), HYPERLINK("#",""), HYPERLINK(CONCATENATE("#Metadata!", ADDRESS(INDEX($AJ$2:$AJ$1001,MATCH(ROWS($AH$2:AH664),$AH$2:$AH$1001,0),0), INDEX($AO$1004:$BQ$1004,1,MATCH(COLUMNS($AO$1006:BG1006),$AO$1006:$BQ$1006,0)))),"Fix")))</f>
        <v>#N/A</v>
      </c>
      <c r="U664" s="5" t="e">
        <f ca="1">IF(OR(INDEX($AI$2:$AI$1001,MATCH(ROWS($AH$2:AH664),$AH$2:$AH$1001,0),1)&gt;=100000,INDEX($AO$1005:$BQ$1005,1,MATCH(COLUMNS($AO$1006:BH1006),$AO$1006:$BQ$1006,0))&gt;=100000), " ",IF(INDEX($AO$2:$BQ$1001,MATCH(ROWS($AH$2:AH664),$AH$2:$AH$1001,0),MATCH(COLUMNS($AO$1006:BH1006),$AO$1006:$BQ$1006,0)), HYPERLINK("#",""), HYPERLINK(CONCATENATE("#Metadata!", ADDRESS(INDEX($AJ$2:$AJ$1001,MATCH(ROWS($AH$2:AH664),$AH$2:$AH$1001,0),0), INDEX($AO$1004:$BQ$1004,1,MATCH(COLUMNS($AO$1006:BH1006),$AO$1006:$BQ$1006,0)))),"Fix")))</f>
        <v>#N/A</v>
      </c>
      <c r="V664" s="5" t="e">
        <f ca="1">IF(OR(INDEX($AI$2:$AI$1001,MATCH(ROWS($AH$2:AH664),$AH$2:$AH$1001,0),1)&gt;=100000,INDEX($AO$1005:$BQ$1005,1,MATCH(COLUMNS($AO$1006:BI1006),$AO$1006:$BQ$1006,0))&gt;=100000), " ",IF(INDEX($AO$2:$BQ$1001,MATCH(ROWS($AH$2:AH664),$AH$2:$AH$1001,0),MATCH(COLUMNS($AO$1006:BI1006),$AO$1006:$BQ$1006,0)), HYPERLINK("#",""), HYPERLINK(CONCATENATE("#Metadata!", ADDRESS(INDEX($AJ$2:$AJ$1001,MATCH(ROWS($AH$2:AH664),$AH$2:$AH$1001,0),0), INDEX($AO$1004:$BQ$1004,1,MATCH(COLUMNS($AO$1006:BI1006),$AO$1006:$BQ$1006,0)))),"Fix")))</f>
        <v>#N/A</v>
      </c>
      <c r="W664" s="5" t="e">
        <f ca="1">IF(OR(INDEX($AI$2:$AI$1001,MATCH(ROWS($AH$2:AH664),$AH$2:$AH$1001,0),1)&gt;=100000,INDEX($AO$1005:$BQ$1005,1,MATCH(COLUMNS($AO$1006:BJ1006),$AO$1006:$BQ$1006,0))&gt;=100000), " ",IF(INDEX($AO$2:$BQ$1001,MATCH(ROWS($AH$2:AH664),$AH$2:$AH$1001,0),MATCH(COLUMNS($AO$1006:BJ1006),$AO$1006:$BQ$1006,0)), HYPERLINK("#",""), HYPERLINK(CONCATENATE("#Metadata!", ADDRESS(INDEX($AJ$2:$AJ$1001,MATCH(ROWS($AH$2:AH664),$AH$2:$AH$1001,0),0), INDEX($AO$1004:$BQ$1004,1,MATCH(COLUMNS($AO$1006:BJ1006),$AO$1006:$BQ$1006,0)))),"Fix")))</f>
        <v>#N/A</v>
      </c>
      <c r="X664" s="5" t="e">
        <f ca="1">IF(OR(INDEX($AI$2:$AI$1001,MATCH(ROWS($AH$2:AH664),$AH$2:$AH$1001,0),1)&gt;=100000,INDEX($AO$1005:$BQ$1005,1,MATCH(COLUMNS($AO$1006:BK1006),$AO$1006:$BQ$1006,0))&gt;=100000), " ",IF(INDEX($AO$2:$BQ$1001,MATCH(ROWS($AH$2:AH664),$AH$2:$AH$1001,0),MATCH(COLUMNS($AO$1006:BK1006),$AO$1006:$BQ$1006,0)), HYPERLINK("#",""), HYPERLINK(CONCATENATE("#Metadata!", ADDRESS(INDEX($AJ$2:$AJ$1001,MATCH(ROWS($AH$2:AH664),$AH$2:$AH$1001,0),0), INDEX($AO$1004:$BQ$1004,1,MATCH(COLUMNS($AO$1006:BK1006),$AO$1006:$BQ$1006,0)))),"Fix")))</f>
        <v>#N/A</v>
      </c>
      <c r="Y664" s="5" t="e">
        <f ca="1">IF(OR(INDEX($AI$2:$AI$1001,MATCH(ROWS($AH$2:AH664),$AH$2:$AH$1001,0),1)&gt;=100000,INDEX($AO$1005:$BQ$1005,1,MATCH(COLUMNS($AO$1006:BL1006),$AO$1006:$BQ$1006,0))&gt;=100000), " ",IF(INDEX($AO$2:$BQ$1001,MATCH(ROWS($AH$2:AH664),$AH$2:$AH$1001,0),MATCH(COLUMNS($AO$1006:BL1006),$AO$1006:$BQ$1006,0)), HYPERLINK("#",""), HYPERLINK(CONCATENATE("#Metadata!", ADDRESS(INDEX($AJ$2:$AJ$1001,MATCH(ROWS($AH$2:AH664),$AH$2:$AH$1001,0),0), INDEX($AO$1004:$BQ$1004,1,MATCH(COLUMNS($AO$1006:BL1006),$AO$1006:$BQ$1006,0)))),"Fix")))</f>
        <v>#N/A</v>
      </c>
      <c r="Z664" s="5" t="e">
        <f ca="1">IF(OR(INDEX($AI$2:$AI$1001,MATCH(ROWS($AH$2:AH664),$AH$2:$AH$1001,0),1)&gt;=100000,INDEX($AO$1005:$BQ$1005,1,MATCH(COLUMNS($AO$1006:BM1006),$AO$1006:$BQ$1006,0))&gt;=100000), " ",IF(INDEX($AO$2:$BQ$1001,MATCH(ROWS($AH$2:AH664),$AH$2:$AH$1001,0),MATCH(COLUMNS($AO$1006:BM1006),$AO$1006:$BQ$1006,0)), HYPERLINK("#",""), HYPERLINK(CONCATENATE("#Metadata!", ADDRESS(INDEX($AJ$2:$AJ$1001,MATCH(ROWS($AH$2:AH664),$AH$2:$AH$1001,0),0), INDEX($AO$1004:$BQ$1004,1,MATCH(COLUMNS($AO$1006:BM1006),$AO$1006:$BQ$1006,0)))),"Fix")))</f>
        <v>#N/A</v>
      </c>
      <c r="AA664" s="5" t="e">
        <f ca="1">IF(OR(INDEX($AI$2:$AI$1001,MATCH(ROWS($AH$2:AH664),$AH$2:$AH$1001,0),1)&gt;=100000,INDEX($AO$1005:$BQ$1005,1,MATCH(COLUMNS($AO$1006:BN1006),$AO$1006:$BQ$1006,0))&gt;=100000), " ",IF(INDEX($AO$2:$BQ$1001,MATCH(ROWS($AH$2:AH664),$AH$2:$AH$1001,0),MATCH(COLUMNS($AO$1006:BN1006),$AO$1006:$BQ$1006,0)), HYPERLINK("#",""), HYPERLINK(CONCATENATE("#Metadata!", ADDRESS(INDEX($AJ$2:$AJ$1001,MATCH(ROWS($AH$2:AH664),$AH$2:$AH$1001,0),0), INDEX($AO$1004:$BQ$1004,1,MATCH(COLUMNS($AO$1006:BN1006),$AO$1006:$BQ$1006,0)))),"Fix")))</f>
        <v>#N/A</v>
      </c>
      <c r="AB664" s="5" t="e">
        <f ca="1">IF(OR(INDEX($AI$2:$AI$1001,MATCH(ROWS($AH$2:AH664),$AH$2:$AH$1001,0),1)&gt;=100000,INDEX($AO$1005:$BQ$1005,1,MATCH(COLUMNS($AO$1006:BO1006),$AO$1006:$BQ$1006,0))&gt;=100000), " ",IF(INDEX($AO$2:$BQ$1001,MATCH(ROWS($AH$2:AH664),$AH$2:$AH$1001,0),MATCH(COLUMNS($AO$1006:BO1006),$AO$1006:$BQ$1006,0)), HYPERLINK("#",""), HYPERLINK(CONCATENATE("#Metadata!", ADDRESS(INDEX($AJ$2:$AJ$1001,MATCH(ROWS($AH$2:AH664),$AH$2:$AH$1001,0),0), INDEX($AO$1004:$BQ$1004,1,MATCH(COLUMNS($AO$1006:BO1006),$AO$1006:$BQ$1006,0)))),"Fix")))</f>
        <v>#N/A</v>
      </c>
      <c r="AC664" s="5" t="e">
        <f ca="1">IF(OR(INDEX($AI$2:$AI$1001,MATCH(ROWS($AH$2:AH664),$AH$2:$AH$1001,0),1)&gt;=100000,INDEX($AO$1005:$BQ$1005,1,MATCH(COLUMNS($AO$1006:BP1006),$AO$1006:$BQ$1006,0))&gt;=100000), " ",IF(INDEX($AO$2:$BQ$1001,MATCH(ROWS($AH$2:AH664),$AH$2:$AH$1001,0),MATCH(COLUMNS($AO$1006:BP1006),$AO$1006:$BQ$1006,0)), HYPERLINK("#",""), HYPERLINK(CONCATENATE("#Metadata!", ADDRESS(INDEX($AJ$2:$AJ$1001,MATCH(ROWS($AH$2:AH664),$AH$2:$AH$1001,0),0), INDEX($AO$1004:$BQ$1004,1,MATCH(COLUMNS($AO$1006:BP1006),$AO$1006:$BQ$1006,0)))),"Fix")))</f>
        <v>#N/A</v>
      </c>
      <c r="AD664" s="5" t="e">
        <f ca="1">IF(OR(INDEX($AI$2:$AI$1001,MATCH(ROWS($AH$2:AH664),$AH$2:$AH$1001,0),1)&gt;=100000,INDEX($AO$1005:$BQ$1005,1,MATCH(COLUMNS($AO$1006:BQ1006),$AO$1006:$BQ$1006,0))&gt;=100000), " ",IF(INDEX($AO$2:$BQ$1001,MATCH(ROWS($AH$2:AH664),$AH$2:$AH$1001,0),MATCH(COLUMNS($AO$1006:BQ1006),$AO$1006:$BQ$1006,0)), HYPERLINK("#",""), HYPERLINK(CONCATENATE("#Metadata!", ADDRESS(INDEX($AJ$2:$AJ$1001,MATCH(ROWS($AH$2:AH664),$AH$2:$AH$1001,0),0), INDEX($AO$1004:$BQ$1004,1,MATCH(COLUMNS($AO$1006:BQ1006),$AO$1006:$BQ$1006,0)))),"Fix")))</f>
        <v>#REF!</v>
      </c>
      <c r="AH664">
        <f ca="1"/>
        <v>661</v>
      </c>
      <c r="AI664">
        <v>100664</v>
      </c>
      <c r="AJ664">
        <v>664</v>
      </c>
      <c r="AK664" t="b">
        <f t="shared" si="10"/>
        <v>1</v>
      </c>
      <c r="AL664" t="b">
        <f>COUNTBLANK(Metadata!B664:AD664)=COLUMNS(Metadata!B664:AD664)</f>
        <v>1</v>
      </c>
      <c r="AM664" t="str">
        <v/>
      </c>
      <c r="AO664" t="b">
        <f ca="1">AND(IF(Metadata!B664="",FALSE,TRUE),COUNTIF(Metadata!B:B, Metadata!B664) = 1,NOT(ISERROR(SUMPRODUCT(SEARCH(MID(Metadata!B664,ROW(INDIRECT("1:"&amp;LEN(Metadata!B664))), 1),"0123456789abcdefghijklmnopqrstuvwxyzABCDEFGHIJKLMNOPQRSTUVWXYZ.")))))</f>
        <v>0</v>
      </c>
      <c r="AP664" t="b">
        <f>IF(Metadata!C664="",FALSE,TRUE)</f>
        <v>0</v>
      </c>
      <c r="AQ664" t="b">
        <f>IF(Metadata!D664="",FALSE,TRUE)</f>
        <v>0</v>
      </c>
      <c r="AR664" t="b">
        <f ca="1">OR(AND(IF(Metadata!E664="",FALSE,TRUE),OR(EXACT(Metadata!E664,"not collected"),EXACT(Metadata!E664,"not provided"),EXACT(Metadata!E664,"restricted access"))),AND(IF(Metadata!E664="",FALSE,TRUE),AND(AND(IFERROR(INT(LEFT(Metadata!E664,4))&gt;1900,FALSE),IFERROR(INT(LEFT(Metadata!E664,4))&lt;=YEAR(NOW()),FALSE)), OR(MID(Metadata!E664,5,1)="", AND(AND(MID(Metadata!E664,5,1)="-",IFERROR(INT(MID(Metadata!E664,6,1))&gt;=0,FALSE),IFERROR(INT(MID(Metadata!E664,6,1))&lt;=1,FALSE),NOT(MID(Metadata!E664,7,1)=""),IFERROR(INT(MID(Metadata!E664,6,2))&gt;=1,FALSE),IFERROR(INT(MID(Metadata!E664,6,2))&lt;=12,FALSE)), OR(MID(Metadata!E664,8,1)="", AND(AND(MID(Metadata!E664,8,1)="-",IFERROR(INT(MID(Metadata!E664,9,1))&gt;=0,FALSE),IFERROR(INT(MID(Metadata!E664,9,1))&lt;=3,FALSE),NOT(MID(Metadata!E664,10,1)=""),IFERROR(INT(MID(Metadata!E664,9,2))&gt;=1,FALSE),IFERROR(INT(MID(Metadata!E664,9,2))&lt;=31,FALSE)), OR(MID(Metadata!E664,11,1)="", AND(AND(MID(Metadata!E664,11,1)=" ",IFERROR(INT(MID(Metadata!E664,12,1))&gt;=0,FALSE),IFERROR(INT(MID(Metadata!E664,12,1))&lt;=2,FALSE),NOT(MID(Metadata!E664,13,1)=""),IFERROR(INT(MID(Metadata!E664,12,2))&gt;=0,FALSE),IFERROR(INT(MID(Metadata!E664,12,2))&lt;=23,FALSE)), OR(MID(Metadata!E664,14,1)="", AND(AND(MID(Metadata!E664,14,1)=":",IFERROR(INT(MID(Metadata!E664,15,1))&gt;=0,FALSE),IFERROR(INT(MID(Metadata!E664,15,1))&lt;=5,FALSE),NOT(MID(Metadata!E664,16,1)=""),IFERROR(INT(MID(Metadata!E664,15,2))&gt;=0,FALSE),IFERROR(INT(MID(Metadata!E664,15,2))&lt;=59,FALSE)), OR(MID(Metadata!E664,17,1)="", AND(AND(MID(Metadata!E664,17,1)=":",IFERROR(INT(MID(Metadata!E664,18,1))&gt;=0,FALSE),IFERROR(INT(MID(Metadata!E664,18,1))&lt;=5,FALSE),NOT(MID(Metadata!E664,19,1)=""),IFERROR(INT(MID(Metadata!E664,18,2))&gt;=0,FALSE),IFERROR(INT(MID(Metadata!E664,18,2))&lt;=59,FALSE)), LEN(Metadata!E664)&lt;=19)))))))))))))</f>
        <v>0</v>
      </c>
      <c r="AS664" t="b">
        <f>IF(Metadata!F664="",FALSE,TRUE)</f>
        <v>0</v>
      </c>
      <c r="AT664" t="b">
        <f>OR(AND(IF(Metadata!G664="",FALSE,TRUE),OR(EXACT(Metadata!G664,"not collected"),EXACT(Metadata!G664,"not provided"))),AND(IF(Metadata!G664="",FALSE,TRUE),OR(EXACT(Metadata!G664,"TRUE"),EXACT(Metadata!G664,"FALSE"))))</f>
        <v>0</v>
      </c>
      <c r="AU664" t="b">
        <f>OR(AND(IF(Metadata!H664="",FALSE,TRUE),OR(EXACT(Metadata!H664,"not collected"),EXACT(Metadata!H664,"not provided"),EXACT(Metadata!H664,"restricted access"))),AND(IF(Metadata!H664="",FALSE,ISNUMBER(VALUE(Metadata!H664))),Metadata!H664&gt;=-413))</f>
        <v>0</v>
      </c>
      <c r="AV664" t="b">
        <f>AND(IF(Metadata!I664="",FALSE,TRUE),EXACT(Metadata!I664,"meters"))</f>
        <v>0</v>
      </c>
      <c r="AW664" t="b">
        <f>AND(IF(Metadata!J664="",FALSE,TRUE),EXACT(Metadata!J664,"free-living"))</f>
        <v>0</v>
      </c>
      <c r="AX664" t="b">
        <f>AND(IF(Metadata!K664="",FALSE,TRUE),OR(EXACT(Metadata!K664,"saline"),EXACT(Metadata!K664,"non-saline")))</f>
        <v>0</v>
      </c>
      <c r="AY664" t="b">
        <f>AND(IF(Metadata!L664="",FALSE,TRUE),OR(EXACT(Metadata!L664,"sub-surface (non-saline)"),EXACT(Metadata!L664,"surface (non-saline)"),EXACT(Metadata!L664,"water (non-saline)"),EXACT(Metadata!L664,"soil (non-saline)"),EXACT(Metadata!L664,"aerosol (non-saline)"),EXACT(Metadata!L664,"sediment (non-saline)"),EXACT(Metadata!L664,"surface (saline)"),EXACT(Metadata!L664,"water (saline)"),EXACT(Metadata!L664,"hypersaline (saline)"),EXACT(Metadata!L664,"aerosol (saline)"),EXACT(Metadata!L664,"sediment (saline)")))</f>
        <v>0</v>
      </c>
      <c r="AZ664" t="b">
        <f>IF(Metadata!M664="",FALSE,TRUE)</f>
        <v>0</v>
      </c>
      <c r="BA664" t="b">
        <f>IF(Metadata!N664="",FALSE,TRUE)</f>
        <v>0</v>
      </c>
      <c r="BB664" t="b">
        <f>IF(Metadata!O664="",FALSE,TRUE)</f>
        <v>0</v>
      </c>
      <c r="BC664" t="b">
        <f>AND(IF(Metadata!P664="",FALSE,TRUE),OR(EXACT(Metadata!P664,"air"),EXACT(Metadata!P664,"microbial mat/biofilm"),EXACT(Metadata!P664,"misc environment"),EXACT(Metadata!P664,"sediment"),EXACT(Metadata!P664,"soil"),EXACT(Metadata!P664,"wastewater/sludge"),EXACT(Metadata!P664,"water")))</f>
        <v>0</v>
      </c>
      <c r="BD664" t="b">
        <f>IF(Metadata!Q664="",FALSE,TRUE)</f>
        <v>0</v>
      </c>
      <c r="BE664" t="b">
        <f>IF(Metadata!R664="",FALSE,TRUE)</f>
        <v>0</v>
      </c>
      <c r="BF664" t="b">
        <f>OR(AND(IF(Metadata!S664="",FALSE,TRUE),OR(EXACT(Metadata!S664,"not collected"),EXACT(Metadata!S664,"not provided"),EXACT(Metadata!S664,"restricted access"))),AND(IF(Metadata!S664="",FALSE,ISNUMBER(VALUE(Metadata!S664))),Metadata!S664&gt;=-90,Metadata!S664&lt;=90))</f>
        <v>0</v>
      </c>
      <c r="BG664" t="b">
        <f>AND(IF(Metadata!T664="",FALSE,TRUE),EXACT(Metadata!T664,"Decimal degrees"))</f>
        <v>0</v>
      </c>
      <c r="BH664" t="b">
        <f>OR(AND(IF(Metadata!U664="",FALSE,TRUE),OR(EXACT(Metadata!U664,"not applicable"),EXACT(Metadata!U664,"not collected"))),IF(Metadata!U664="",FALSE,TRUE))</f>
        <v>0</v>
      </c>
      <c r="BI664" t="b">
        <f>OR(AND(IF(Metadata!V664="",FALSE,TRUE),OR(EXACT(Metadata!V664,"not collected"),EXACT(Metadata!V664,"not provided"),EXACT(Metadata!V664,"restricted access"))),AND(IF(Metadata!V664="",FALSE,ISNUMBER(VALUE(Metadata!V664))),Metadata!V664&gt;=-180,Metadata!V664&lt;=180))</f>
        <v>0</v>
      </c>
      <c r="BJ664" t="b">
        <f>AND(IF(Metadata!W664="",FALSE,TRUE),EXACT(Metadata!W664,"Decimal degrees"))</f>
        <v>0</v>
      </c>
      <c r="BK664" t="b">
        <f>IF(Metadata!X664="",FALSE,TRUE)</f>
        <v>0</v>
      </c>
      <c r="BL664" t="b">
        <f>OR(AND(IF(Metadata!Y664="",FALSE,TRUE),OR(EXACT(Metadata!Y664,"not collected"),EXACT(Metadata!Y664,"not provided"),EXACT(Metadata!Y664,"restricted access"))),AND(IF(Metadata!Y664="",FALSE,TRUE),OR(EXACT(Metadata!Y664,"TRUE"),EXACT(Metadata!Y664,"FALSE"))))</f>
        <v>0</v>
      </c>
      <c r="BM664" t="b">
        <f>OR(AND(IF(Metadata!Z664="",FALSE,TRUE),EXACT(Metadata!Z664,"not applicable")),AND(IF(Metadata!Z664="",FALSE,TRUE),OR(EXACT(Metadata!Z664,"beer"),EXACT(Metadata!Z664,"cheese"),EXACT(Metadata!Z664,"fresh water"),EXACT(Metadata!Z664,"marine sediment"),EXACT(Metadata!Z664,"sea water"),EXACT(Metadata!Z664,"sediment"),EXACT(Metadata!Z664,"soil"),EXACT(Metadata!Z664,"waste water"))))</f>
        <v>0</v>
      </c>
      <c r="BN664" t="b">
        <f>AND(IF(Metadata!AA664="",FALSE,TRUE),EXACT(Metadata!AA664,"metagenome"))</f>
        <v>0</v>
      </c>
      <c r="BO664" t="b">
        <f>AND(IF(Metadata!AB664="",FALSE,TRUE),EXACT(Metadata!AB664,"256318"))</f>
        <v>0</v>
      </c>
      <c r="BP664" t="b">
        <f>IF(Metadata!AC664="",FALSE,TRUE)</f>
        <v>0</v>
      </c>
      <c r="BQ664" t="b">
        <f>IF(Metadata!AD664="",FALSE,TRUE)</f>
        <v>0</v>
      </c>
    </row>
    <row r="665" spans="1:69" x14ac:dyDescent="0.2">
      <c r="A665" s="4" t="e">
        <f ca="1">IF(B665=" "," ",HYPERLINK(CONCATENATE("#metadata!",ADDRESS(INDEX($AJ$2:$AJ$1001,MATCH(ROWS($AH$2:AH665),$AH$2:$AH$1001,0),0),2)),INDEX($AM$2:$AM$1001,MATCH(ROWS($AH$2:AH665),$AH$2:$AH$1001,0),0)))</f>
        <v>#N/A</v>
      </c>
      <c r="B665" s="5" t="e">
        <f ca="1">IF(OR(INDEX($AI$2:$AI$1001,MATCH(ROWS($AH$2:AH665),$AH$2:$AH$1001,0),1)&gt;=100000,INDEX($AO$1005:$BQ$1005,1,MATCH(COLUMNS($AO$1006:AO1006),$AO$1006:$BQ$1006,0))&gt;=100000), " ",IF(INDEX($AO$2:$BQ$1001,MATCH(ROWS($AH$2:AH665),$AH$2:$AH$1001,0),MATCH(COLUMNS($AO$1006:AO1006),$AO$1006:$BQ$1006,0)), HYPERLINK("#",""), HYPERLINK(CONCATENATE("#Metadata!", ADDRESS(INDEX($AJ$2:$AJ$1001,MATCH(ROWS($AH$2:AH665),$AH$2:$AH$1001,0),0), INDEX($AO$1004:$BQ$1004,1,MATCH(COLUMNS($AO$1006:AO1006),$AO$1006:$BQ$1006,0)))),"Fix")))</f>
        <v>#N/A</v>
      </c>
      <c r="C665" s="5" t="e">
        <f ca="1">IF(OR(INDEX($AI$2:$AI$1001,MATCH(ROWS($AH$2:AH665),$AH$2:$AH$1001,0),1)&gt;=100000,INDEX($AO$1005:$BQ$1005,1,MATCH(COLUMNS($AO$1006:AP1006),$AO$1006:$BQ$1006,0))&gt;=100000), " ",IF(INDEX($AO$2:$BQ$1001,MATCH(ROWS($AH$2:AH665),$AH$2:$AH$1001,0),MATCH(COLUMNS($AO$1006:AP1006),$AO$1006:$BQ$1006,0)), HYPERLINK("#",""), HYPERLINK(CONCATENATE("#Metadata!", ADDRESS(INDEX($AJ$2:$AJ$1001,MATCH(ROWS($AH$2:AH665),$AH$2:$AH$1001,0),0), INDEX($AO$1004:$BQ$1004,1,MATCH(COLUMNS($AO$1006:AP1006),$AO$1006:$BQ$1006,0)))),"Fix")))</f>
        <v>#N/A</v>
      </c>
      <c r="D665" s="5" t="e">
        <f ca="1">IF(OR(INDEX($AI$2:$AI$1001,MATCH(ROWS($AH$2:AH665),$AH$2:$AH$1001,0),1)&gt;=100000,INDEX($AO$1005:$BQ$1005,1,MATCH(COLUMNS($AO$1006:AQ1006),$AO$1006:$BQ$1006,0))&gt;=100000), " ",IF(INDEX($AO$2:$BQ$1001,MATCH(ROWS($AH$2:AH665),$AH$2:$AH$1001,0),MATCH(COLUMNS($AO$1006:AQ1006),$AO$1006:$BQ$1006,0)), HYPERLINK("#",""), HYPERLINK(CONCATENATE("#Metadata!", ADDRESS(INDEX($AJ$2:$AJ$1001,MATCH(ROWS($AH$2:AH665),$AH$2:$AH$1001,0),0), INDEX($AO$1004:$BQ$1004,1,MATCH(COLUMNS($AO$1006:AQ1006),$AO$1006:$BQ$1006,0)))),"Fix")))</f>
        <v>#N/A</v>
      </c>
      <c r="E665" s="5" t="e">
        <f ca="1">IF(OR(INDEX($AI$2:$AI$1001,MATCH(ROWS($AH$2:AH665),$AH$2:$AH$1001,0),1)&gt;=100000,INDEX($AO$1005:$BQ$1005,1,MATCH(COLUMNS($AO$1006:AR1006),$AO$1006:$BQ$1006,0))&gt;=100000), " ",IF(INDEX($AO$2:$BQ$1001,MATCH(ROWS($AH$2:AH665),$AH$2:$AH$1001,0),MATCH(COLUMNS($AO$1006:AR1006),$AO$1006:$BQ$1006,0)), HYPERLINK("#",""), HYPERLINK(CONCATENATE("#Metadata!", ADDRESS(INDEX($AJ$2:$AJ$1001,MATCH(ROWS($AH$2:AH665),$AH$2:$AH$1001,0),0), INDEX($AO$1004:$BQ$1004,1,MATCH(COLUMNS($AO$1006:AR1006),$AO$1006:$BQ$1006,0)))),"Fix")))</f>
        <v>#N/A</v>
      </c>
      <c r="F665" s="5" t="e">
        <f ca="1">IF(OR(INDEX($AI$2:$AI$1001,MATCH(ROWS($AH$2:AH665),$AH$2:$AH$1001,0),1)&gt;=100000,INDEX($AO$1005:$BQ$1005,1,MATCH(COLUMNS($AO$1006:AS1006),$AO$1006:$BQ$1006,0))&gt;=100000), " ",IF(INDEX($AO$2:$BQ$1001,MATCH(ROWS($AH$2:AH665),$AH$2:$AH$1001,0),MATCH(COLUMNS($AO$1006:AS1006),$AO$1006:$BQ$1006,0)), HYPERLINK("#",""), HYPERLINK(CONCATENATE("#Metadata!", ADDRESS(INDEX($AJ$2:$AJ$1001,MATCH(ROWS($AH$2:AH665),$AH$2:$AH$1001,0),0), INDEX($AO$1004:$BQ$1004,1,MATCH(COLUMNS($AO$1006:AS1006),$AO$1006:$BQ$1006,0)))),"Fix")))</f>
        <v>#N/A</v>
      </c>
      <c r="G665" s="5" t="e">
        <f ca="1">IF(OR(INDEX($AI$2:$AI$1001,MATCH(ROWS($AH$2:AH665),$AH$2:$AH$1001,0),1)&gt;=100000,INDEX($AO$1005:$BQ$1005,1,MATCH(COLUMNS($AO$1006:AT1006),$AO$1006:$BQ$1006,0))&gt;=100000), " ",IF(INDEX($AO$2:$BQ$1001,MATCH(ROWS($AH$2:AH665),$AH$2:$AH$1001,0),MATCH(COLUMNS($AO$1006:AT1006),$AO$1006:$BQ$1006,0)), HYPERLINK("#",""), HYPERLINK(CONCATENATE("#Metadata!", ADDRESS(INDEX($AJ$2:$AJ$1001,MATCH(ROWS($AH$2:AH665),$AH$2:$AH$1001,0),0), INDEX($AO$1004:$BQ$1004,1,MATCH(COLUMNS($AO$1006:AT1006),$AO$1006:$BQ$1006,0)))),"Fix")))</f>
        <v>#N/A</v>
      </c>
      <c r="H665" s="5" t="e">
        <f ca="1">IF(OR(INDEX($AI$2:$AI$1001,MATCH(ROWS($AH$2:AH665),$AH$2:$AH$1001,0),1)&gt;=100000,INDEX($AO$1005:$BQ$1005,1,MATCH(COLUMNS($AO$1006:AU1006),$AO$1006:$BQ$1006,0))&gt;=100000), " ",IF(INDEX($AO$2:$BQ$1001,MATCH(ROWS($AH$2:AH665),$AH$2:$AH$1001,0),MATCH(COLUMNS($AO$1006:AU1006),$AO$1006:$BQ$1006,0)), HYPERLINK("#",""), HYPERLINK(CONCATENATE("#Metadata!", ADDRESS(INDEX($AJ$2:$AJ$1001,MATCH(ROWS($AH$2:AH665),$AH$2:$AH$1001,0),0), INDEX($AO$1004:$BQ$1004,1,MATCH(COLUMNS($AO$1006:AU1006),$AO$1006:$BQ$1006,0)))),"Fix")))</f>
        <v>#N/A</v>
      </c>
      <c r="I665" s="5" t="e">
        <f ca="1">IF(OR(INDEX($AI$2:$AI$1001,MATCH(ROWS($AH$2:AH665),$AH$2:$AH$1001,0),1)&gt;=100000,INDEX($AO$1005:$BQ$1005,1,MATCH(COLUMNS($AO$1006:AV1006),$AO$1006:$BQ$1006,0))&gt;=100000), " ",IF(INDEX($AO$2:$BQ$1001,MATCH(ROWS($AH$2:AH665),$AH$2:$AH$1001,0),MATCH(COLUMNS($AO$1006:AV1006),$AO$1006:$BQ$1006,0)), HYPERLINK("#",""), HYPERLINK(CONCATENATE("#Metadata!", ADDRESS(INDEX($AJ$2:$AJ$1001,MATCH(ROWS($AH$2:AH665),$AH$2:$AH$1001,0),0), INDEX($AO$1004:$BQ$1004,1,MATCH(COLUMNS($AO$1006:AV1006),$AO$1006:$BQ$1006,0)))),"Fix")))</f>
        <v>#N/A</v>
      </c>
      <c r="J665" s="5" t="e">
        <f ca="1">IF(OR(INDEX($AI$2:$AI$1001,MATCH(ROWS($AH$2:AH665),$AH$2:$AH$1001,0),1)&gt;=100000,INDEX($AO$1005:$BQ$1005,1,MATCH(COLUMNS($AO$1006:AW1006),$AO$1006:$BQ$1006,0))&gt;=100000), " ",IF(INDEX($AO$2:$BQ$1001,MATCH(ROWS($AH$2:AH665),$AH$2:$AH$1001,0),MATCH(COLUMNS($AO$1006:AW1006),$AO$1006:$BQ$1006,0)), HYPERLINK("#",""), HYPERLINK(CONCATENATE("#Metadata!", ADDRESS(INDEX($AJ$2:$AJ$1001,MATCH(ROWS($AH$2:AH665),$AH$2:$AH$1001,0),0), INDEX($AO$1004:$BQ$1004,1,MATCH(COLUMNS($AO$1006:AW1006),$AO$1006:$BQ$1006,0)))),"Fix")))</f>
        <v>#N/A</v>
      </c>
      <c r="K665" s="5" t="e">
        <f ca="1">IF(OR(INDEX($AI$2:$AI$1001,MATCH(ROWS($AH$2:AH665),$AH$2:$AH$1001,0),1)&gt;=100000,INDEX($AO$1005:$BQ$1005,1,MATCH(COLUMNS($AO$1006:AX1006),$AO$1006:$BQ$1006,0))&gt;=100000), " ",IF(INDEX($AO$2:$BQ$1001,MATCH(ROWS($AH$2:AH665),$AH$2:$AH$1001,0),MATCH(COLUMNS($AO$1006:AX1006),$AO$1006:$BQ$1006,0)), HYPERLINK("#",""), HYPERLINK(CONCATENATE("#Metadata!", ADDRESS(INDEX($AJ$2:$AJ$1001,MATCH(ROWS($AH$2:AH665),$AH$2:$AH$1001,0),0), INDEX($AO$1004:$BQ$1004,1,MATCH(COLUMNS($AO$1006:AX1006),$AO$1006:$BQ$1006,0)))),"Fix")))</f>
        <v>#N/A</v>
      </c>
      <c r="L665" s="5" t="e">
        <f ca="1">IF(OR(INDEX($AI$2:$AI$1001,MATCH(ROWS($AH$2:AH665),$AH$2:$AH$1001,0),1)&gt;=100000,INDEX($AO$1005:$BQ$1005,1,MATCH(COLUMNS($AO$1006:AY1006),$AO$1006:$BQ$1006,0))&gt;=100000), " ",IF(INDEX($AO$2:$BQ$1001,MATCH(ROWS($AH$2:AH665),$AH$2:$AH$1001,0),MATCH(COLUMNS($AO$1006:AY1006),$AO$1006:$BQ$1006,0)), HYPERLINK("#",""), HYPERLINK(CONCATENATE("#Metadata!", ADDRESS(INDEX($AJ$2:$AJ$1001,MATCH(ROWS($AH$2:AH665),$AH$2:$AH$1001,0),0), INDEX($AO$1004:$BQ$1004,1,MATCH(COLUMNS($AO$1006:AY1006),$AO$1006:$BQ$1006,0)))),"Fix")))</f>
        <v>#N/A</v>
      </c>
      <c r="M665" s="5" t="e">
        <f ca="1">IF(OR(INDEX($AI$2:$AI$1001,MATCH(ROWS($AH$2:AH665),$AH$2:$AH$1001,0),1)&gt;=100000,INDEX($AO$1005:$BQ$1005,1,MATCH(COLUMNS($AO$1006:AZ1006),$AO$1006:$BQ$1006,0))&gt;=100000), " ",IF(INDEX($AO$2:$BQ$1001,MATCH(ROWS($AH$2:AH665),$AH$2:$AH$1001,0),MATCH(COLUMNS($AO$1006:AZ1006),$AO$1006:$BQ$1006,0)), HYPERLINK("#",""), HYPERLINK(CONCATENATE("#Metadata!", ADDRESS(INDEX($AJ$2:$AJ$1001,MATCH(ROWS($AH$2:AH665),$AH$2:$AH$1001,0),0), INDEX($AO$1004:$BQ$1004,1,MATCH(COLUMNS($AO$1006:AZ1006),$AO$1006:$BQ$1006,0)))),"Fix")))</f>
        <v>#N/A</v>
      </c>
      <c r="N665" s="5" t="e">
        <f ca="1">IF(OR(INDEX($AI$2:$AI$1001,MATCH(ROWS($AH$2:AH665),$AH$2:$AH$1001,0),1)&gt;=100000,INDEX($AO$1005:$BQ$1005,1,MATCH(COLUMNS($AO$1006:BA1006),$AO$1006:$BQ$1006,0))&gt;=100000), " ",IF(INDEX($AO$2:$BQ$1001,MATCH(ROWS($AH$2:AH665),$AH$2:$AH$1001,0),MATCH(COLUMNS($AO$1006:BA1006),$AO$1006:$BQ$1006,0)), HYPERLINK("#",""), HYPERLINK(CONCATENATE("#Metadata!", ADDRESS(INDEX($AJ$2:$AJ$1001,MATCH(ROWS($AH$2:AH665),$AH$2:$AH$1001,0),0), INDEX($AO$1004:$BQ$1004,1,MATCH(COLUMNS($AO$1006:BA1006),$AO$1006:$BQ$1006,0)))),"Fix")))</f>
        <v>#N/A</v>
      </c>
      <c r="O665" s="5" t="e">
        <f ca="1">IF(OR(INDEX($AI$2:$AI$1001,MATCH(ROWS($AH$2:AH665),$AH$2:$AH$1001,0),1)&gt;=100000,INDEX($AO$1005:$BQ$1005,1,MATCH(COLUMNS($AO$1006:BB1006),$AO$1006:$BQ$1006,0))&gt;=100000), " ",IF(INDEX($AO$2:$BQ$1001,MATCH(ROWS($AH$2:AH665),$AH$2:$AH$1001,0),MATCH(COLUMNS($AO$1006:BB1006),$AO$1006:$BQ$1006,0)), HYPERLINK("#",""), HYPERLINK(CONCATENATE("#Metadata!", ADDRESS(INDEX($AJ$2:$AJ$1001,MATCH(ROWS($AH$2:AH665),$AH$2:$AH$1001,0),0), INDEX($AO$1004:$BQ$1004,1,MATCH(COLUMNS($AO$1006:BB1006),$AO$1006:$BQ$1006,0)))),"Fix")))</f>
        <v>#N/A</v>
      </c>
      <c r="P665" s="5" t="e">
        <f ca="1">IF(OR(INDEX($AI$2:$AI$1001,MATCH(ROWS($AH$2:AH665),$AH$2:$AH$1001,0),1)&gt;=100000,INDEX($AO$1005:$BQ$1005,1,MATCH(COLUMNS($AO$1006:BC1006),$AO$1006:$BQ$1006,0))&gt;=100000), " ",IF(INDEX($AO$2:$BQ$1001,MATCH(ROWS($AH$2:AH665),$AH$2:$AH$1001,0),MATCH(COLUMNS($AO$1006:BC1006),$AO$1006:$BQ$1006,0)), HYPERLINK("#",""), HYPERLINK(CONCATENATE("#Metadata!", ADDRESS(INDEX($AJ$2:$AJ$1001,MATCH(ROWS($AH$2:AH665),$AH$2:$AH$1001,0),0), INDEX($AO$1004:$BQ$1004,1,MATCH(COLUMNS($AO$1006:BC1006),$AO$1006:$BQ$1006,0)))),"Fix")))</f>
        <v>#N/A</v>
      </c>
      <c r="Q665" s="5" t="e">
        <f ca="1">IF(OR(INDEX($AI$2:$AI$1001,MATCH(ROWS($AH$2:AH665),$AH$2:$AH$1001,0),1)&gt;=100000,INDEX($AO$1005:$BQ$1005,1,MATCH(COLUMNS($AO$1006:BD1006),$AO$1006:$BQ$1006,0))&gt;=100000), " ",IF(INDEX($AO$2:$BQ$1001,MATCH(ROWS($AH$2:AH665),$AH$2:$AH$1001,0),MATCH(COLUMNS($AO$1006:BD1006),$AO$1006:$BQ$1006,0)), HYPERLINK("#",""), HYPERLINK(CONCATENATE("#Metadata!", ADDRESS(INDEX($AJ$2:$AJ$1001,MATCH(ROWS($AH$2:AH665),$AH$2:$AH$1001,0),0), INDEX($AO$1004:$BQ$1004,1,MATCH(COLUMNS($AO$1006:BD1006),$AO$1006:$BQ$1006,0)))),"Fix")))</f>
        <v>#N/A</v>
      </c>
      <c r="R665" s="5" t="e">
        <f ca="1">IF(OR(INDEX($AI$2:$AI$1001,MATCH(ROWS($AH$2:AH665),$AH$2:$AH$1001,0),1)&gt;=100000,INDEX($AO$1005:$BQ$1005,1,MATCH(COLUMNS($AO$1006:BE1006),$AO$1006:$BQ$1006,0))&gt;=100000), " ",IF(INDEX($AO$2:$BQ$1001,MATCH(ROWS($AH$2:AH665),$AH$2:$AH$1001,0),MATCH(COLUMNS($AO$1006:BE1006),$AO$1006:$BQ$1006,0)), HYPERLINK("#",""), HYPERLINK(CONCATENATE("#Metadata!", ADDRESS(INDEX($AJ$2:$AJ$1001,MATCH(ROWS($AH$2:AH665),$AH$2:$AH$1001,0),0), INDEX($AO$1004:$BQ$1004,1,MATCH(COLUMNS($AO$1006:BE1006),$AO$1006:$BQ$1006,0)))),"Fix")))</f>
        <v>#N/A</v>
      </c>
      <c r="S665" s="5" t="e">
        <f ca="1">IF(OR(INDEX($AI$2:$AI$1001,MATCH(ROWS($AH$2:AH665),$AH$2:$AH$1001,0),1)&gt;=100000,INDEX($AO$1005:$BQ$1005,1,MATCH(COLUMNS($AO$1006:BF1006),$AO$1006:$BQ$1006,0))&gt;=100000), " ",IF(INDEX($AO$2:$BQ$1001,MATCH(ROWS($AH$2:AH665),$AH$2:$AH$1001,0),MATCH(COLUMNS($AO$1006:BF1006),$AO$1006:$BQ$1006,0)), HYPERLINK("#",""), HYPERLINK(CONCATENATE("#Metadata!", ADDRESS(INDEX($AJ$2:$AJ$1001,MATCH(ROWS($AH$2:AH665),$AH$2:$AH$1001,0),0), INDEX($AO$1004:$BQ$1004,1,MATCH(COLUMNS($AO$1006:BF1006),$AO$1006:$BQ$1006,0)))),"Fix")))</f>
        <v>#N/A</v>
      </c>
      <c r="T665" s="5" t="e">
        <f ca="1">IF(OR(INDEX($AI$2:$AI$1001,MATCH(ROWS($AH$2:AH665),$AH$2:$AH$1001,0),1)&gt;=100000,INDEX($AO$1005:$BQ$1005,1,MATCH(COLUMNS($AO$1006:BG1006),$AO$1006:$BQ$1006,0))&gt;=100000), " ",IF(INDEX($AO$2:$BQ$1001,MATCH(ROWS($AH$2:AH665),$AH$2:$AH$1001,0),MATCH(COLUMNS($AO$1006:BG1006),$AO$1006:$BQ$1006,0)), HYPERLINK("#",""), HYPERLINK(CONCATENATE("#Metadata!", ADDRESS(INDEX($AJ$2:$AJ$1001,MATCH(ROWS($AH$2:AH665),$AH$2:$AH$1001,0),0), INDEX($AO$1004:$BQ$1004,1,MATCH(COLUMNS($AO$1006:BG1006),$AO$1006:$BQ$1006,0)))),"Fix")))</f>
        <v>#N/A</v>
      </c>
      <c r="U665" s="5" t="e">
        <f ca="1">IF(OR(INDEX($AI$2:$AI$1001,MATCH(ROWS($AH$2:AH665),$AH$2:$AH$1001,0),1)&gt;=100000,INDEX($AO$1005:$BQ$1005,1,MATCH(COLUMNS($AO$1006:BH1006),$AO$1006:$BQ$1006,0))&gt;=100000), " ",IF(INDEX($AO$2:$BQ$1001,MATCH(ROWS($AH$2:AH665),$AH$2:$AH$1001,0),MATCH(COLUMNS($AO$1006:BH1006),$AO$1006:$BQ$1006,0)), HYPERLINK("#",""), HYPERLINK(CONCATENATE("#Metadata!", ADDRESS(INDEX($AJ$2:$AJ$1001,MATCH(ROWS($AH$2:AH665),$AH$2:$AH$1001,0),0), INDEX($AO$1004:$BQ$1004,1,MATCH(COLUMNS($AO$1006:BH1006),$AO$1006:$BQ$1006,0)))),"Fix")))</f>
        <v>#N/A</v>
      </c>
      <c r="V665" s="5" t="e">
        <f ca="1">IF(OR(INDEX($AI$2:$AI$1001,MATCH(ROWS($AH$2:AH665),$AH$2:$AH$1001,0),1)&gt;=100000,INDEX($AO$1005:$BQ$1005,1,MATCH(COLUMNS($AO$1006:BI1006),$AO$1006:$BQ$1006,0))&gt;=100000), " ",IF(INDEX($AO$2:$BQ$1001,MATCH(ROWS($AH$2:AH665),$AH$2:$AH$1001,0),MATCH(COLUMNS($AO$1006:BI1006),$AO$1006:$BQ$1006,0)), HYPERLINK("#",""), HYPERLINK(CONCATENATE("#Metadata!", ADDRESS(INDEX($AJ$2:$AJ$1001,MATCH(ROWS($AH$2:AH665),$AH$2:$AH$1001,0),0), INDEX($AO$1004:$BQ$1004,1,MATCH(COLUMNS($AO$1006:BI1006),$AO$1006:$BQ$1006,0)))),"Fix")))</f>
        <v>#N/A</v>
      </c>
      <c r="W665" s="5" t="e">
        <f ca="1">IF(OR(INDEX($AI$2:$AI$1001,MATCH(ROWS($AH$2:AH665),$AH$2:$AH$1001,0),1)&gt;=100000,INDEX($AO$1005:$BQ$1005,1,MATCH(COLUMNS($AO$1006:BJ1006),$AO$1006:$BQ$1006,0))&gt;=100000), " ",IF(INDEX($AO$2:$BQ$1001,MATCH(ROWS($AH$2:AH665),$AH$2:$AH$1001,0),MATCH(COLUMNS($AO$1006:BJ1006),$AO$1006:$BQ$1006,0)), HYPERLINK("#",""), HYPERLINK(CONCATENATE("#Metadata!", ADDRESS(INDEX($AJ$2:$AJ$1001,MATCH(ROWS($AH$2:AH665),$AH$2:$AH$1001,0),0), INDEX($AO$1004:$BQ$1004,1,MATCH(COLUMNS($AO$1006:BJ1006),$AO$1006:$BQ$1006,0)))),"Fix")))</f>
        <v>#N/A</v>
      </c>
      <c r="X665" s="5" t="e">
        <f ca="1">IF(OR(INDEX($AI$2:$AI$1001,MATCH(ROWS($AH$2:AH665),$AH$2:$AH$1001,0),1)&gt;=100000,INDEX($AO$1005:$BQ$1005,1,MATCH(COLUMNS($AO$1006:BK1006),$AO$1006:$BQ$1006,0))&gt;=100000), " ",IF(INDEX($AO$2:$BQ$1001,MATCH(ROWS($AH$2:AH665),$AH$2:$AH$1001,0),MATCH(COLUMNS($AO$1006:BK1006),$AO$1006:$BQ$1006,0)), HYPERLINK("#",""), HYPERLINK(CONCATENATE("#Metadata!", ADDRESS(INDEX($AJ$2:$AJ$1001,MATCH(ROWS($AH$2:AH665),$AH$2:$AH$1001,0),0), INDEX($AO$1004:$BQ$1004,1,MATCH(COLUMNS($AO$1006:BK1006),$AO$1006:$BQ$1006,0)))),"Fix")))</f>
        <v>#N/A</v>
      </c>
      <c r="Y665" s="5" t="e">
        <f ca="1">IF(OR(INDEX($AI$2:$AI$1001,MATCH(ROWS($AH$2:AH665),$AH$2:$AH$1001,0),1)&gt;=100000,INDEX($AO$1005:$BQ$1005,1,MATCH(COLUMNS($AO$1006:BL1006),$AO$1006:$BQ$1006,0))&gt;=100000), " ",IF(INDEX($AO$2:$BQ$1001,MATCH(ROWS($AH$2:AH665),$AH$2:$AH$1001,0),MATCH(COLUMNS($AO$1006:BL1006),$AO$1006:$BQ$1006,0)), HYPERLINK("#",""), HYPERLINK(CONCATENATE("#Metadata!", ADDRESS(INDEX($AJ$2:$AJ$1001,MATCH(ROWS($AH$2:AH665),$AH$2:$AH$1001,0),0), INDEX($AO$1004:$BQ$1004,1,MATCH(COLUMNS($AO$1006:BL1006),$AO$1006:$BQ$1006,0)))),"Fix")))</f>
        <v>#N/A</v>
      </c>
      <c r="Z665" s="5" t="e">
        <f ca="1">IF(OR(INDEX($AI$2:$AI$1001,MATCH(ROWS($AH$2:AH665),$AH$2:$AH$1001,0),1)&gt;=100000,INDEX($AO$1005:$BQ$1005,1,MATCH(COLUMNS($AO$1006:BM1006),$AO$1006:$BQ$1006,0))&gt;=100000), " ",IF(INDEX($AO$2:$BQ$1001,MATCH(ROWS($AH$2:AH665),$AH$2:$AH$1001,0),MATCH(COLUMNS($AO$1006:BM1006),$AO$1006:$BQ$1006,0)), HYPERLINK("#",""), HYPERLINK(CONCATENATE("#Metadata!", ADDRESS(INDEX($AJ$2:$AJ$1001,MATCH(ROWS($AH$2:AH665),$AH$2:$AH$1001,0),0), INDEX($AO$1004:$BQ$1004,1,MATCH(COLUMNS($AO$1006:BM1006),$AO$1006:$BQ$1006,0)))),"Fix")))</f>
        <v>#N/A</v>
      </c>
      <c r="AA665" s="5" t="e">
        <f ca="1">IF(OR(INDEX($AI$2:$AI$1001,MATCH(ROWS($AH$2:AH665),$AH$2:$AH$1001,0),1)&gt;=100000,INDEX($AO$1005:$BQ$1005,1,MATCH(COLUMNS($AO$1006:BN1006),$AO$1006:$BQ$1006,0))&gt;=100000), " ",IF(INDEX($AO$2:$BQ$1001,MATCH(ROWS($AH$2:AH665),$AH$2:$AH$1001,0),MATCH(COLUMNS($AO$1006:BN1006),$AO$1006:$BQ$1006,0)), HYPERLINK("#",""), HYPERLINK(CONCATENATE("#Metadata!", ADDRESS(INDEX($AJ$2:$AJ$1001,MATCH(ROWS($AH$2:AH665),$AH$2:$AH$1001,0),0), INDEX($AO$1004:$BQ$1004,1,MATCH(COLUMNS($AO$1006:BN1006),$AO$1006:$BQ$1006,0)))),"Fix")))</f>
        <v>#N/A</v>
      </c>
      <c r="AB665" s="5" t="e">
        <f ca="1">IF(OR(INDEX($AI$2:$AI$1001,MATCH(ROWS($AH$2:AH665),$AH$2:$AH$1001,0),1)&gt;=100000,INDEX($AO$1005:$BQ$1005,1,MATCH(COLUMNS($AO$1006:BO1006),$AO$1006:$BQ$1006,0))&gt;=100000), " ",IF(INDEX($AO$2:$BQ$1001,MATCH(ROWS($AH$2:AH665),$AH$2:$AH$1001,0),MATCH(COLUMNS($AO$1006:BO1006),$AO$1006:$BQ$1006,0)), HYPERLINK("#",""), HYPERLINK(CONCATENATE("#Metadata!", ADDRESS(INDEX($AJ$2:$AJ$1001,MATCH(ROWS($AH$2:AH665),$AH$2:$AH$1001,0),0), INDEX($AO$1004:$BQ$1004,1,MATCH(COLUMNS($AO$1006:BO1006),$AO$1006:$BQ$1006,0)))),"Fix")))</f>
        <v>#N/A</v>
      </c>
      <c r="AC665" s="5" t="e">
        <f ca="1">IF(OR(INDEX($AI$2:$AI$1001,MATCH(ROWS($AH$2:AH665),$AH$2:$AH$1001,0),1)&gt;=100000,INDEX($AO$1005:$BQ$1005,1,MATCH(COLUMNS($AO$1006:BP1006),$AO$1006:$BQ$1006,0))&gt;=100000), " ",IF(INDEX($AO$2:$BQ$1001,MATCH(ROWS($AH$2:AH665),$AH$2:$AH$1001,0),MATCH(COLUMNS($AO$1006:BP1006),$AO$1006:$BQ$1006,0)), HYPERLINK("#",""), HYPERLINK(CONCATENATE("#Metadata!", ADDRESS(INDEX($AJ$2:$AJ$1001,MATCH(ROWS($AH$2:AH665),$AH$2:$AH$1001,0),0), INDEX($AO$1004:$BQ$1004,1,MATCH(COLUMNS($AO$1006:BP1006),$AO$1006:$BQ$1006,0)))),"Fix")))</f>
        <v>#N/A</v>
      </c>
      <c r="AD665" s="5" t="e">
        <f ca="1">IF(OR(INDEX($AI$2:$AI$1001,MATCH(ROWS($AH$2:AH665),$AH$2:$AH$1001,0),1)&gt;=100000,INDEX($AO$1005:$BQ$1005,1,MATCH(COLUMNS($AO$1006:BQ1006),$AO$1006:$BQ$1006,0))&gt;=100000), " ",IF(INDEX($AO$2:$BQ$1001,MATCH(ROWS($AH$2:AH665),$AH$2:$AH$1001,0),MATCH(COLUMNS($AO$1006:BQ1006),$AO$1006:$BQ$1006,0)), HYPERLINK("#",""), HYPERLINK(CONCATENATE("#Metadata!", ADDRESS(INDEX($AJ$2:$AJ$1001,MATCH(ROWS($AH$2:AH665),$AH$2:$AH$1001,0),0), INDEX($AO$1004:$BQ$1004,1,MATCH(COLUMNS($AO$1006:BQ1006),$AO$1006:$BQ$1006,0)))),"Fix")))</f>
        <v>#REF!</v>
      </c>
      <c r="AH665">
        <f ca="1"/>
        <v>662</v>
      </c>
      <c r="AI665">
        <v>100665</v>
      </c>
      <c r="AJ665">
        <v>665</v>
      </c>
      <c r="AK665" t="b">
        <f t="shared" si="10"/>
        <v>1</v>
      </c>
      <c r="AL665" t="b">
        <f>COUNTBLANK(Metadata!B665:AD665)=COLUMNS(Metadata!B665:AD665)</f>
        <v>1</v>
      </c>
      <c r="AM665" t="str">
        <v/>
      </c>
      <c r="AO665" t="b">
        <f ca="1">AND(IF(Metadata!B665="",FALSE,TRUE),COUNTIF(Metadata!B:B, Metadata!B665) = 1,NOT(ISERROR(SUMPRODUCT(SEARCH(MID(Metadata!B665,ROW(INDIRECT("1:"&amp;LEN(Metadata!B665))), 1),"0123456789abcdefghijklmnopqrstuvwxyzABCDEFGHIJKLMNOPQRSTUVWXYZ.")))))</f>
        <v>0</v>
      </c>
      <c r="AP665" t="b">
        <f>IF(Metadata!C665="",FALSE,TRUE)</f>
        <v>0</v>
      </c>
      <c r="AQ665" t="b">
        <f>IF(Metadata!D665="",FALSE,TRUE)</f>
        <v>0</v>
      </c>
      <c r="AR665" t="b">
        <f ca="1">OR(AND(IF(Metadata!E665="",FALSE,TRUE),OR(EXACT(Metadata!E665,"not collected"),EXACT(Metadata!E665,"not provided"),EXACT(Metadata!E665,"restricted access"))),AND(IF(Metadata!E665="",FALSE,TRUE),AND(AND(IFERROR(INT(LEFT(Metadata!E665,4))&gt;1900,FALSE),IFERROR(INT(LEFT(Metadata!E665,4))&lt;=YEAR(NOW()),FALSE)), OR(MID(Metadata!E665,5,1)="", AND(AND(MID(Metadata!E665,5,1)="-",IFERROR(INT(MID(Metadata!E665,6,1))&gt;=0,FALSE),IFERROR(INT(MID(Metadata!E665,6,1))&lt;=1,FALSE),NOT(MID(Metadata!E665,7,1)=""),IFERROR(INT(MID(Metadata!E665,6,2))&gt;=1,FALSE),IFERROR(INT(MID(Metadata!E665,6,2))&lt;=12,FALSE)), OR(MID(Metadata!E665,8,1)="", AND(AND(MID(Metadata!E665,8,1)="-",IFERROR(INT(MID(Metadata!E665,9,1))&gt;=0,FALSE),IFERROR(INT(MID(Metadata!E665,9,1))&lt;=3,FALSE),NOT(MID(Metadata!E665,10,1)=""),IFERROR(INT(MID(Metadata!E665,9,2))&gt;=1,FALSE),IFERROR(INT(MID(Metadata!E665,9,2))&lt;=31,FALSE)), OR(MID(Metadata!E665,11,1)="", AND(AND(MID(Metadata!E665,11,1)=" ",IFERROR(INT(MID(Metadata!E665,12,1))&gt;=0,FALSE),IFERROR(INT(MID(Metadata!E665,12,1))&lt;=2,FALSE),NOT(MID(Metadata!E665,13,1)=""),IFERROR(INT(MID(Metadata!E665,12,2))&gt;=0,FALSE),IFERROR(INT(MID(Metadata!E665,12,2))&lt;=23,FALSE)), OR(MID(Metadata!E665,14,1)="", AND(AND(MID(Metadata!E665,14,1)=":",IFERROR(INT(MID(Metadata!E665,15,1))&gt;=0,FALSE),IFERROR(INT(MID(Metadata!E665,15,1))&lt;=5,FALSE),NOT(MID(Metadata!E665,16,1)=""),IFERROR(INT(MID(Metadata!E665,15,2))&gt;=0,FALSE),IFERROR(INT(MID(Metadata!E665,15,2))&lt;=59,FALSE)), OR(MID(Metadata!E665,17,1)="", AND(AND(MID(Metadata!E665,17,1)=":",IFERROR(INT(MID(Metadata!E665,18,1))&gt;=0,FALSE),IFERROR(INT(MID(Metadata!E665,18,1))&lt;=5,FALSE),NOT(MID(Metadata!E665,19,1)=""),IFERROR(INT(MID(Metadata!E665,18,2))&gt;=0,FALSE),IFERROR(INT(MID(Metadata!E665,18,2))&lt;=59,FALSE)), LEN(Metadata!E665)&lt;=19)))))))))))))</f>
        <v>0</v>
      </c>
      <c r="AS665" t="b">
        <f>IF(Metadata!F665="",FALSE,TRUE)</f>
        <v>0</v>
      </c>
      <c r="AT665" t="b">
        <f>OR(AND(IF(Metadata!G665="",FALSE,TRUE),OR(EXACT(Metadata!G665,"not collected"),EXACT(Metadata!G665,"not provided"))),AND(IF(Metadata!G665="",FALSE,TRUE),OR(EXACT(Metadata!G665,"TRUE"),EXACT(Metadata!G665,"FALSE"))))</f>
        <v>0</v>
      </c>
      <c r="AU665" t="b">
        <f>OR(AND(IF(Metadata!H665="",FALSE,TRUE),OR(EXACT(Metadata!H665,"not collected"),EXACT(Metadata!H665,"not provided"),EXACT(Metadata!H665,"restricted access"))),AND(IF(Metadata!H665="",FALSE,ISNUMBER(VALUE(Metadata!H665))),Metadata!H665&gt;=-413))</f>
        <v>0</v>
      </c>
      <c r="AV665" t="b">
        <f>AND(IF(Metadata!I665="",FALSE,TRUE),EXACT(Metadata!I665,"meters"))</f>
        <v>0</v>
      </c>
      <c r="AW665" t="b">
        <f>AND(IF(Metadata!J665="",FALSE,TRUE),EXACT(Metadata!J665,"free-living"))</f>
        <v>0</v>
      </c>
      <c r="AX665" t="b">
        <f>AND(IF(Metadata!K665="",FALSE,TRUE),OR(EXACT(Metadata!K665,"saline"),EXACT(Metadata!K665,"non-saline")))</f>
        <v>0</v>
      </c>
      <c r="AY665" t="b">
        <f>AND(IF(Metadata!L665="",FALSE,TRUE),OR(EXACT(Metadata!L665,"sub-surface (non-saline)"),EXACT(Metadata!L665,"surface (non-saline)"),EXACT(Metadata!L665,"water (non-saline)"),EXACT(Metadata!L665,"soil (non-saline)"),EXACT(Metadata!L665,"aerosol (non-saline)"),EXACT(Metadata!L665,"sediment (non-saline)"),EXACT(Metadata!L665,"surface (saline)"),EXACT(Metadata!L665,"water (saline)"),EXACT(Metadata!L665,"hypersaline (saline)"),EXACT(Metadata!L665,"aerosol (saline)"),EXACT(Metadata!L665,"sediment (saline)")))</f>
        <v>0</v>
      </c>
      <c r="AZ665" t="b">
        <f>IF(Metadata!M665="",FALSE,TRUE)</f>
        <v>0</v>
      </c>
      <c r="BA665" t="b">
        <f>IF(Metadata!N665="",FALSE,TRUE)</f>
        <v>0</v>
      </c>
      <c r="BB665" t="b">
        <f>IF(Metadata!O665="",FALSE,TRUE)</f>
        <v>0</v>
      </c>
      <c r="BC665" t="b">
        <f>AND(IF(Metadata!P665="",FALSE,TRUE),OR(EXACT(Metadata!P665,"air"),EXACT(Metadata!P665,"microbial mat/biofilm"),EXACT(Metadata!P665,"misc environment"),EXACT(Metadata!P665,"sediment"),EXACT(Metadata!P665,"soil"),EXACT(Metadata!P665,"wastewater/sludge"),EXACT(Metadata!P665,"water")))</f>
        <v>0</v>
      </c>
      <c r="BD665" t="b">
        <f>IF(Metadata!Q665="",FALSE,TRUE)</f>
        <v>0</v>
      </c>
      <c r="BE665" t="b">
        <f>IF(Metadata!R665="",FALSE,TRUE)</f>
        <v>0</v>
      </c>
      <c r="BF665" t="b">
        <f>OR(AND(IF(Metadata!S665="",FALSE,TRUE),OR(EXACT(Metadata!S665,"not collected"),EXACT(Metadata!S665,"not provided"),EXACT(Metadata!S665,"restricted access"))),AND(IF(Metadata!S665="",FALSE,ISNUMBER(VALUE(Metadata!S665))),Metadata!S665&gt;=-90,Metadata!S665&lt;=90))</f>
        <v>0</v>
      </c>
      <c r="BG665" t="b">
        <f>AND(IF(Metadata!T665="",FALSE,TRUE),EXACT(Metadata!T665,"Decimal degrees"))</f>
        <v>0</v>
      </c>
      <c r="BH665" t="b">
        <f>OR(AND(IF(Metadata!U665="",FALSE,TRUE),OR(EXACT(Metadata!U665,"not applicable"),EXACT(Metadata!U665,"not collected"))),IF(Metadata!U665="",FALSE,TRUE))</f>
        <v>0</v>
      </c>
      <c r="BI665" t="b">
        <f>OR(AND(IF(Metadata!V665="",FALSE,TRUE),OR(EXACT(Metadata!V665,"not collected"),EXACT(Metadata!V665,"not provided"),EXACT(Metadata!V665,"restricted access"))),AND(IF(Metadata!V665="",FALSE,ISNUMBER(VALUE(Metadata!V665))),Metadata!V665&gt;=-180,Metadata!V665&lt;=180))</f>
        <v>0</v>
      </c>
      <c r="BJ665" t="b">
        <f>AND(IF(Metadata!W665="",FALSE,TRUE),EXACT(Metadata!W665,"Decimal degrees"))</f>
        <v>0</v>
      </c>
      <c r="BK665" t="b">
        <f>IF(Metadata!X665="",FALSE,TRUE)</f>
        <v>0</v>
      </c>
      <c r="BL665" t="b">
        <f>OR(AND(IF(Metadata!Y665="",FALSE,TRUE),OR(EXACT(Metadata!Y665,"not collected"),EXACT(Metadata!Y665,"not provided"),EXACT(Metadata!Y665,"restricted access"))),AND(IF(Metadata!Y665="",FALSE,TRUE),OR(EXACT(Metadata!Y665,"TRUE"),EXACT(Metadata!Y665,"FALSE"))))</f>
        <v>0</v>
      </c>
      <c r="BM665" t="b">
        <f>OR(AND(IF(Metadata!Z665="",FALSE,TRUE),EXACT(Metadata!Z665,"not applicable")),AND(IF(Metadata!Z665="",FALSE,TRUE),OR(EXACT(Metadata!Z665,"beer"),EXACT(Metadata!Z665,"cheese"),EXACT(Metadata!Z665,"fresh water"),EXACT(Metadata!Z665,"marine sediment"),EXACT(Metadata!Z665,"sea water"),EXACT(Metadata!Z665,"sediment"),EXACT(Metadata!Z665,"soil"),EXACT(Metadata!Z665,"waste water"))))</f>
        <v>0</v>
      </c>
      <c r="BN665" t="b">
        <f>AND(IF(Metadata!AA665="",FALSE,TRUE),EXACT(Metadata!AA665,"metagenome"))</f>
        <v>0</v>
      </c>
      <c r="BO665" t="b">
        <f>AND(IF(Metadata!AB665="",FALSE,TRUE),EXACT(Metadata!AB665,"256318"))</f>
        <v>0</v>
      </c>
      <c r="BP665" t="b">
        <f>IF(Metadata!AC665="",FALSE,TRUE)</f>
        <v>0</v>
      </c>
      <c r="BQ665" t="b">
        <f>IF(Metadata!AD665="",FALSE,TRUE)</f>
        <v>0</v>
      </c>
    </row>
    <row r="666" spans="1:69" x14ac:dyDescent="0.2">
      <c r="A666" s="4" t="e">
        <f ca="1">IF(B666=" "," ",HYPERLINK(CONCATENATE("#metadata!",ADDRESS(INDEX($AJ$2:$AJ$1001,MATCH(ROWS($AH$2:AH666),$AH$2:$AH$1001,0),0),2)),INDEX($AM$2:$AM$1001,MATCH(ROWS($AH$2:AH666),$AH$2:$AH$1001,0),0)))</f>
        <v>#N/A</v>
      </c>
      <c r="B666" s="5" t="e">
        <f ca="1">IF(OR(INDEX($AI$2:$AI$1001,MATCH(ROWS($AH$2:AH666),$AH$2:$AH$1001,0),1)&gt;=100000,INDEX($AO$1005:$BQ$1005,1,MATCH(COLUMNS($AO$1006:AO1006),$AO$1006:$BQ$1006,0))&gt;=100000), " ",IF(INDEX($AO$2:$BQ$1001,MATCH(ROWS($AH$2:AH666),$AH$2:$AH$1001,0),MATCH(COLUMNS($AO$1006:AO1006),$AO$1006:$BQ$1006,0)), HYPERLINK("#",""), HYPERLINK(CONCATENATE("#Metadata!", ADDRESS(INDEX($AJ$2:$AJ$1001,MATCH(ROWS($AH$2:AH666),$AH$2:$AH$1001,0),0), INDEX($AO$1004:$BQ$1004,1,MATCH(COLUMNS($AO$1006:AO1006),$AO$1006:$BQ$1006,0)))),"Fix")))</f>
        <v>#N/A</v>
      </c>
      <c r="C666" s="5" t="e">
        <f ca="1">IF(OR(INDEX($AI$2:$AI$1001,MATCH(ROWS($AH$2:AH666),$AH$2:$AH$1001,0),1)&gt;=100000,INDEX($AO$1005:$BQ$1005,1,MATCH(COLUMNS($AO$1006:AP1006),$AO$1006:$BQ$1006,0))&gt;=100000), " ",IF(INDEX($AO$2:$BQ$1001,MATCH(ROWS($AH$2:AH666),$AH$2:$AH$1001,0),MATCH(COLUMNS($AO$1006:AP1006),$AO$1006:$BQ$1006,0)), HYPERLINK("#",""), HYPERLINK(CONCATENATE("#Metadata!", ADDRESS(INDEX($AJ$2:$AJ$1001,MATCH(ROWS($AH$2:AH666),$AH$2:$AH$1001,0),0), INDEX($AO$1004:$BQ$1004,1,MATCH(COLUMNS($AO$1006:AP1006),$AO$1006:$BQ$1006,0)))),"Fix")))</f>
        <v>#N/A</v>
      </c>
      <c r="D666" s="5" t="e">
        <f ca="1">IF(OR(INDEX($AI$2:$AI$1001,MATCH(ROWS($AH$2:AH666),$AH$2:$AH$1001,0),1)&gt;=100000,INDEX($AO$1005:$BQ$1005,1,MATCH(COLUMNS($AO$1006:AQ1006),$AO$1006:$BQ$1006,0))&gt;=100000), " ",IF(INDEX($AO$2:$BQ$1001,MATCH(ROWS($AH$2:AH666),$AH$2:$AH$1001,0),MATCH(COLUMNS($AO$1006:AQ1006),$AO$1006:$BQ$1006,0)), HYPERLINK("#",""), HYPERLINK(CONCATENATE("#Metadata!", ADDRESS(INDEX($AJ$2:$AJ$1001,MATCH(ROWS($AH$2:AH666),$AH$2:$AH$1001,0),0), INDEX($AO$1004:$BQ$1004,1,MATCH(COLUMNS($AO$1006:AQ1006),$AO$1006:$BQ$1006,0)))),"Fix")))</f>
        <v>#N/A</v>
      </c>
      <c r="E666" s="5" t="e">
        <f ca="1">IF(OR(INDEX($AI$2:$AI$1001,MATCH(ROWS($AH$2:AH666),$AH$2:$AH$1001,0),1)&gt;=100000,INDEX($AO$1005:$BQ$1005,1,MATCH(COLUMNS($AO$1006:AR1006),$AO$1006:$BQ$1006,0))&gt;=100000), " ",IF(INDEX($AO$2:$BQ$1001,MATCH(ROWS($AH$2:AH666),$AH$2:$AH$1001,0),MATCH(COLUMNS($AO$1006:AR1006),$AO$1006:$BQ$1006,0)), HYPERLINK("#",""), HYPERLINK(CONCATENATE("#Metadata!", ADDRESS(INDEX($AJ$2:$AJ$1001,MATCH(ROWS($AH$2:AH666),$AH$2:$AH$1001,0),0), INDEX($AO$1004:$BQ$1004,1,MATCH(COLUMNS($AO$1006:AR1006),$AO$1006:$BQ$1006,0)))),"Fix")))</f>
        <v>#N/A</v>
      </c>
      <c r="F666" s="5" t="e">
        <f ca="1">IF(OR(INDEX($AI$2:$AI$1001,MATCH(ROWS($AH$2:AH666),$AH$2:$AH$1001,0),1)&gt;=100000,INDEX($AO$1005:$BQ$1005,1,MATCH(COLUMNS($AO$1006:AS1006),$AO$1006:$BQ$1006,0))&gt;=100000), " ",IF(INDEX($AO$2:$BQ$1001,MATCH(ROWS($AH$2:AH666),$AH$2:$AH$1001,0),MATCH(COLUMNS($AO$1006:AS1006),$AO$1006:$BQ$1006,0)), HYPERLINK("#",""), HYPERLINK(CONCATENATE("#Metadata!", ADDRESS(INDEX($AJ$2:$AJ$1001,MATCH(ROWS($AH$2:AH666),$AH$2:$AH$1001,0),0), INDEX($AO$1004:$BQ$1004,1,MATCH(COLUMNS($AO$1006:AS1006),$AO$1006:$BQ$1006,0)))),"Fix")))</f>
        <v>#N/A</v>
      </c>
      <c r="G666" s="5" t="e">
        <f ca="1">IF(OR(INDEX($AI$2:$AI$1001,MATCH(ROWS($AH$2:AH666),$AH$2:$AH$1001,0),1)&gt;=100000,INDEX($AO$1005:$BQ$1005,1,MATCH(COLUMNS($AO$1006:AT1006),$AO$1006:$BQ$1006,0))&gt;=100000), " ",IF(INDEX($AO$2:$BQ$1001,MATCH(ROWS($AH$2:AH666),$AH$2:$AH$1001,0),MATCH(COLUMNS($AO$1006:AT1006),$AO$1006:$BQ$1006,0)), HYPERLINK("#",""), HYPERLINK(CONCATENATE("#Metadata!", ADDRESS(INDEX($AJ$2:$AJ$1001,MATCH(ROWS($AH$2:AH666),$AH$2:$AH$1001,0),0), INDEX($AO$1004:$BQ$1004,1,MATCH(COLUMNS($AO$1006:AT1006),$AO$1006:$BQ$1006,0)))),"Fix")))</f>
        <v>#N/A</v>
      </c>
      <c r="H666" s="5" t="e">
        <f ca="1">IF(OR(INDEX($AI$2:$AI$1001,MATCH(ROWS($AH$2:AH666),$AH$2:$AH$1001,0),1)&gt;=100000,INDEX($AO$1005:$BQ$1005,1,MATCH(COLUMNS($AO$1006:AU1006),$AO$1006:$BQ$1006,0))&gt;=100000), " ",IF(INDEX($AO$2:$BQ$1001,MATCH(ROWS($AH$2:AH666),$AH$2:$AH$1001,0),MATCH(COLUMNS($AO$1006:AU1006),$AO$1006:$BQ$1006,0)), HYPERLINK("#",""), HYPERLINK(CONCATENATE("#Metadata!", ADDRESS(INDEX($AJ$2:$AJ$1001,MATCH(ROWS($AH$2:AH666),$AH$2:$AH$1001,0),0), INDEX($AO$1004:$BQ$1004,1,MATCH(COLUMNS($AO$1006:AU1006),$AO$1006:$BQ$1006,0)))),"Fix")))</f>
        <v>#N/A</v>
      </c>
      <c r="I666" s="5" t="e">
        <f ca="1">IF(OR(INDEX($AI$2:$AI$1001,MATCH(ROWS($AH$2:AH666),$AH$2:$AH$1001,0),1)&gt;=100000,INDEX($AO$1005:$BQ$1005,1,MATCH(COLUMNS($AO$1006:AV1006),$AO$1006:$BQ$1006,0))&gt;=100000), " ",IF(INDEX($AO$2:$BQ$1001,MATCH(ROWS($AH$2:AH666),$AH$2:$AH$1001,0),MATCH(COLUMNS($AO$1006:AV1006),$AO$1006:$BQ$1006,0)), HYPERLINK("#",""), HYPERLINK(CONCATENATE("#Metadata!", ADDRESS(INDEX($AJ$2:$AJ$1001,MATCH(ROWS($AH$2:AH666),$AH$2:$AH$1001,0),0), INDEX($AO$1004:$BQ$1004,1,MATCH(COLUMNS($AO$1006:AV1006),$AO$1006:$BQ$1006,0)))),"Fix")))</f>
        <v>#N/A</v>
      </c>
      <c r="J666" s="5" t="e">
        <f ca="1">IF(OR(INDEX($AI$2:$AI$1001,MATCH(ROWS($AH$2:AH666),$AH$2:$AH$1001,0),1)&gt;=100000,INDEX($AO$1005:$BQ$1005,1,MATCH(COLUMNS($AO$1006:AW1006),$AO$1006:$BQ$1006,0))&gt;=100000), " ",IF(INDEX($AO$2:$BQ$1001,MATCH(ROWS($AH$2:AH666),$AH$2:$AH$1001,0),MATCH(COLUMNS($AO$1006:AW1006),$AO$1006:$BQ$1006,0)), HYPERLINK("#",""), HYPERLINK(CONCATENATE("#Metadata!", ADDRESS(INDEX($AJ$2:$AJ$1001,MATCH(ROWS($AH$2:AH666),$AH$2:$AH$1001,0),0), INDEX($AO$1004:$BQ$1004,1,MATCH(COLUMNS($AO$1006:AW1006),$AO$1006:$BQ$1006,0)))),"Fix")))</f>
        <v>#N/A</v>
      </c>
      <c r="K666" s="5" t="e">
        <f ca="1">IF(OR(INDEX($AI$2:$AI$1001,MATCH(ROWS($AH$2:AH666),$AH$2:$AH$1001,0),1)&gt;=100000,INDEX($AO$1005:$BQ$1005,1,MATCH(COLUMNS($AO$1006:AX1006),$AO$1006:$BQ$1006,0))&gt;=100000), " ",IF(INDEX($AO$2:$BQ$1001,MATCH(ROWS($AH$2:AH666),$AH$2:$AH$1001,0),MATCH(COLUMNS($AO$1006:AX1006),$AO$1006:$BQ$1006,0)), HYPERLINK("#",""), HYPERLINK(CONCATENATE("#Metadata!", ADDRESS(INDEX($AJ$2:$AJ$1001,MATCH(ROWS($AH$2:AH666),$AH$2:$AH$1001,0),0), INDEX($AO$1004:$BQ$1004,1,MATCH(COLUMNS($AO$1006:AX1006),$AO$1006:$BQ$1006,0)))),"Fix")))</f>
        <v>#N/A</v>
      </c>
      <c r="L666" s="5" t="e">
        <f ca="1">IF(OR(INDEX($AI$2:$AI$1001,MATCH(ROWS($AH$2:AH666),$AH$2:$AH$1001,0),1)&gt;=100000,INDEX($AO$1005:$BQ$1005,1,MATCH(COLUMNS($AO$1006:AY1006),$AO$1006:$BQ$1006,0))&gt;=100000), " ",IF(INDEX($AO$2:$BQ$1001,MATCH(ROWS($AH$2:AH666),$AH$2:$AH$1001,0),MATCH(COLUMNS($AO$1006:AY1006),$AO$1006:$BQ$1006,0)), HYPERLINK("#",""), HYPERLINK(CONCATENATE("#Metadata!", ADDRESS(INDEX($AJ$2:$AJ$1001,MATCH(ROWS($AH$2:AH666),$AH$2:$AH$1001,0),0), INDEX($AO$1004:$BQ$1004,1,MATCH(COLUMNS($AO$1006:AY1006),$AO$1006:$BQ$1006,0)))),"Fix")))</f>
        <v>#N/A</v>
      </c>
      <c r="M666" s="5" t="e">
        <f ca="1">IF(OR(INDEX($AI$2:$AI$1001,MATCH(ROWS($AH$2:AH666),$AH$2:$AH$1001,0),1)&gt;=100000,INDEX($AO$1005:$BQ$1005,1,MATCH(COLUMNS($AO$1006:AZ1006),$AO$1006:$BQ$1006,0))&gt;=100000), " ",IF(INDEX($AO$2:$BQ$1001,MATCH(ROWS($AH$2:AH666),$AH$2:$AH$1001,0),MATCH(COLUMNS($AO$1006:AZ1006),$AO$1006:$BQ$1006,0)), HYPERLINK("#",""), HYPERLINK(CONCATENATE("#Metadata!", ADDRESS(INDEX($AJ$2:$AJ$1001,MATCH(ROWS($AH$2:AH666),$AH$2:$AH$1001,0),0), INDEX($AO$1004:$BQ$1004,1,MATCH(COLUMNS($AO$1006:AZ1006),$AO$1006:$BQ$1006,0)))),"Fix")))</f>
        <v>#N/A</v>
      </c>
      <c r="N666" s="5" t="e">
        <f ca="1">IF(OR(INDEX($AI$2:$AI$1001,MATCH(ROWS($AH$2:AH666),$AH$2:$AH$1001,0),1)&gt;=100000,INDEX($AO$1005:$BQ$1005,1,MATCH(COLUMNS($AO$1006:BA1006),$AO$1006:$BQ$1006,0))&gt;=100000), " ",IF(INDEX($AO$2:$BQ$1001,MATCH(ROWS($AH$2:AH666),$AH$2:$AH$1001,0),MATCH(COLUMNS($AO$1006:BA1006),$AO$1006:$BQ$1006,0)), HYPERLINK("#",""), HYPERLINK(CONCATENATE("#Metadata!", ADDRESS(INDEX($AJ$2:$AJ$1001,MATCH(ROWS($AH$2:AH666),$AH$2:$AH$1001,0),0), INDEX($AO$1004:$BQ$1004,1,MATCH(COLUMNS($AO$1006:BA1006),$AO$1006:$BQ$1006,0)))),"Fix")))</f>
        <v>#N/A</v>
      </c>
      <c r="O666" s="5" t="e">
        <f ca="1">IF(OR(INDEX($AI$2:$AI$1001,MATCH(ROWS($AH$2:AH666),$AH$2:$AH$1001,0),1)&gt;=100000,INDEX($AO$1005:$BQ$1005,1,MATCH(COLUMNS($AO$1006:BB1006),$AO$1006:$BQ$1006,0))&gt;=100000), " ",IF(INDEX($AO$2:$BQ$1001,MATCH(ROWS($AH$2:AH666),$AH$2:$AH$1001,0),MATCH(COLUMNS($AO$1006:BB1006),$AO$1006:$BQ$1006,0)), HYPERLINK("#",""), HYPERLINK(CONCATENATE("#Metadata!", ADDRESS(INDEX($AJ$2:$AJ$1001,MATCH(ROWS($AH$2:AH666),$AH$2:$AH$1001,0),0), INDEX($AO$1004:$BQ$1004,1,MATCH(COLUMNS($AO$1006:BB1006),$AO$1006:$BQ$1006,0)))),"Fix")))</f>
        <v>#N/A</v>
      </c>
      <c r="P666" s="5" t="e">
        <f ca="1">IF(OR(INDEX($AI$2:$AI$1001,MATCH(ROWS($AH$2:AH666),$AH$2:$AH$1001,0),1)&gt;=100000,INDEX($AO$1005:$BQ$1005,1,MATCH(COLUMNS($AO$1006:BC1006),$AO$1006:$BQ$1006,0))&gt;=100000), " ",IF(INDEX($AO$2:$BQ$1001,MATCH(ROWS($AH$2:AH666),$AH$2:$AH$1001,0),MATCH(COLUMNS($AO$1006:BC1006),$AO$1006:$BQ$1006,0)), HYPERLINK("#",""), HYPERLINK(CONCATENATE("#Metadata!", ADDRESS(INDEX($AJ$2:$AJ$1001,MATCH(ROWS($AH$2:AH666),$AH$2:$AH$1001,0),0), INDEX($AO$1004:$BQ$1004,1,MATCH(COLUMNS($AO$1006:BC1006),$AO$1006:$BQ$1006,0)))),"Fix")))</f>
        <v>#N/A</v>
      </c>
      <c r="Q666" s="5" t="e">
        <f ca="1">IF(OR(INDEX($AI$2:$AI$1001,MATCH(ROWS($AH$2:AH666),$AH$2:$AH$1001,0),1)&gt;=100000,INDEX($AO$1005:$BQ$1005,1,MATCH(COLUMNS($AO$1006:BD1006),$AO$1006:$BQ$1006,0))&gt;=100000), " ",IF(INDEX($AO$2:$BQ$1001,MATCH(ROWS($AH$2:AH666),$AH$2:$AH$1001,0),MATCH(COLUMNS($AO$1006:BD1006),$AO$1006:$BQ$1006,0)), HYPERLINK("#",""), HYPERLINK(CONCATENATE("#Metadata!", ADDRESS(INDEX($AJ$2:$AJ$1001,MATCH(ROWS($AH$2:AH666),$AH$2:$AH$1001,0),0), INDEX($AO$1004:$BQ$1004,1,MATCH(COLUMNS($AO$1006:BD1006),$AO$1006:$BQ$1006,0)))),"Fix")))</f>
        <v>#N/A</v>
      </c>
      <c r="R666" s="5" t="e">
        <f ca="1">IF(OR(INDEX($AI$2:$AI$1001,MATCH(ROWS($AH$2:AH666),$AH$2:$AH$1001,0),1)&gt;=100000,INDEX($AO$1005:$BQ$1005,1,MATCH(COLUMNS($AO$1006:BE1006),$AO$1006:$BQ$1006,0))&gt;=100000), " ",IF(INDEX($AO$2:$BQ$1001,MATCH(ROWS($AH$2:AH666),$AH$2:$AH$1001,0),MATCH(COLUMNS($AO$1006:BE1006),$AO$1006:$BQ$1006,0)), HYPERLINK("#",""), HYPERLINK(CONCATENATE("#Metadata!", ADDRESS(INDEX($AJ$2:$AJ$1001,MATCH(ROWS($AH$2:AH666),$AH$2:$AH$1001,0),0), INDEX($AO$1004:$BQ$1004,1,MATCH(COLUMNS($AO$1006:BE1006),$AO$1006:$BQ$1006,0)))),"Fix")))</f>
        <v>#N/A</v>
      </c>
      <c r="S666" s="5" t="e">
        <f ca="1">IF(OR(INDEX($AI$2:$AI$1001,MATCH(ROWS($AH$2:AH666),$AH$2:$AH$1001,0),1)&gt;=100000,INDEX($AO$1005:$BQ$1005,1,MATCH(COLUMNS($AO$1006:BF1006),$AO$1006:$BQ$1006,0))&gt;=100000), " ",IF(INDEX($AO$2:$BQ$1001,MATCH(ROWS($AH$2:AH666),$AH$2:$AH$1001,0),MATCH(COLUMNS($AO$1006:BF1006),$AO$1006:$BQ$1006,0)), HYPERLINK("#",""), HYPERLINK(CONCATENATE("#Metadata!", ADDRESS(INDEX($AJ$2:$AJ$1001,MATCH(ROWS($AH$2:AH666),$AH$2:$AH$1001,0),0), INDEX($AO$1004:$BQ$1004,1,MATCH(COLUMNS($AO$1006:BF1006),$AO$1006:$BQ$1006,0)))),"Fix")))</f>
        <v>#N/A</v>
      </c>
      <c r="T666" s="5" t="e">
        <f ca="1">IF(OR(INDEX($AI$2:$AI$1001,MATCH(ROWS($AH$2:AH666),$AH$2:$AH$1001,0),1)&gt;=100000,INDEX($AO$1005:$BQ$1005,1,MATCH(COLUMNS($AO$1006:BG1006),$AO$1006:$BQ$1006,0))&gt;=100000), " ",IF(INDEX($AO$2:$BQ$1001,MATCH(ROWS($AH$2:AH666),$AH$2:$AH$1001,0),MATCH(COLUMNS($AO$1006:BG1006),$AO$1006:$BQ$1006,0)), HYPERLINK("#",""), HYPERLINK(CONCATENATE("#Metadata!", ADDRESS(INDEX($AJ$2:$AJ$1001,MATCH(ROWS($AH$2:AH666),$AH$2:$AH$1001,0),0), INDEX($AO$1004:$BQ$1004,1,MATCH(COLUMNS($AO$1006:BG1006),$AO$1006:$BQ$1006,0)))),"Fix")))</f>
        <v>#N/A</v>
      </c>
      <c r="U666" s="5" t="e">
        <f ca="1">IF(OR(INDEX($AI$2:$AI$1001,MATCH(ROWS($AH$2:AH666),$AH$2:$AH$1001,0),1)&gt;=100000,INDEX($AO$1005:$BQ$1005,1,MATCH(COLUMNS($AO$1006:BH1006),$AO$1006:$BQ$1006,0))&gt;=100000), " ",IF(INDEX($AO$2:$BQ$1001,MATCH(ROWS($AH$2:AH666),$AH$2:$AH$1001,0),MATCH(COLUMNS($AO$1006:BH1006),$AO$1006:$BQ$1006,0)), HYPERLINK("#",""), HYPERLINK(CONCATENATE("#Metadata!", ADDRESS(INDEX($AJ$2:$AJ$1001,MATCH(ROWS($AH$2:AH666),$AH$2:$AH$1001,0),0), INDEX($AO$1004:$BQ$1004,1,MATCH(COLUMNS($AO$1006:BH1006),$AO$1006:$BQ$1006,0)))),"Fix")))</f>
        <v>#N/A</v>
      </c>
      <c r="V666" s="5" t="e">
        <f ca="1">IF(OR(INDEX($AI$2:$AI$1001,MATCH(ROWS($AH$2:AH666),$AH$2:$AH$1001,0),1)&gt;=100000,INDEX($AO$1005:$BQ$1005,1,MATCH(COLUMNS($AO$1006:BI1006),$AO$1006:$BQ$1006,0))&gt;=100000), " ",IF(INDEX($AO$2:$BQ$1001,MATCH(ROWS($AH$2:AH666),$AH$2:$AH$1001,0),MATCH(COLUMNS($AO$1006:BI1006),$AO$1006:$BQ$1006,0)), HYPERLINK("#",""), HYPERLINK(CONCATENATE("#Metadata!", ADDRESS(INDEX($AJ$2:$AJ$1001,MATCH(ROWS($AH$2:AH666),$AH$2:$AH$1001,0),0), INDEX($AO$1004:$BQ$1004,1,MATCH(COLUMNS($AO$1006:BI1006),$AO$1006:$BQ$1006,0)))),"Fix")))</f>
        <v>#N/A</v>
      </c>
      <c r="W666" s="5" t="e">
        <f ca="1">IF(OR(INDEX($AI$2:$AI$1001,MATCH(ROWS($AH$2:AH666),$AH$2:$AH$1001,0),1)&gt;=100000,INDEX($AO$1005:$BQ$1005,1,MATCH(COLUMNS($AO$1006:BJ1006),$AO$1006:$BQ$1006,0))&gt;=100000), " ",IF(INDEX($AO$2:$BQ$1001,MATCH(ROWS($AH$2:AH666),$AH$2:$AH$1001,0),MATCH(COLUMNS($AO$1006:BJ1006),$AO$1006:$BQ$1006,0)), HYPERLINK("#",""), HYPERLINK(CONCATENATE("#Metadata!", ADDRESS(INDEX($AJ$2:$AJ$1001,MATCH(ROWS($AH$2:AH666),$AH$2:$AH$1001,0),0), INDEX($AO$1004:$BQ$1004,1,MATCH(COLUMNS($AO$1006:BJ1006),$AO$1006:$BQ$1006,0)))),"Fix")))</f>
        <v>#N/A</v>
      </c>
      <c r="X666" s="5" t="e">
        <f ca="1">IF(OR(INDEX($AI$2:$AI$1001,MATCH(ROWS($AH$2:AH666),$AH$2:$AH$1001,0),1)&gt;=100000,INDEX($AO$1005:$BQ$1005,1,MATCH(COLUMNS($AO$1006:BK1006),$AO$1006:$BQ$1006,0))&gt;=100000), " ",IF(INDEX($AO$2:$BQ$1001,MATCH(ROWS($AH$2:AH666),$AH$2:$AH$1001,0),MATCH(COLUMNS($AO$1006:BK1006),$AO$1006:$BQ$1006,0)), HYPERLINK("#",""), HYPERLINK(CONCATENATE("#Metadata!", ADDRESS(INDEX($AJ$2:$AJ$1001,MATCH(ROWS($AH$2:AH666),$AH$2:$AH$1001,0),0), INDEX($AO$1004:$BQ$1004,1,MATCH(COLUMNS($AO$1006:BK1006),$AO$1006:$BQ$1006,0)))),"Fix")))</f>
        <v>#N/A</v>
      </c>
      <c r="Y666" s="5" t="e">
        <f ca="1">IF(OR(INDEX($AI$2:$AI$1001,MATCH(ROWS($AH$2:AH666),$AH$2:$AH$1001,0),1)&gt;=100000,INDEX($AO$1005:$BQ$1005,1,MATCH(COLUMNS($AO$1006:BL1006),$AO$1006:$BQ$1006,0))&gt;=100000), " ",IF(INDEX($AO$2:$BQ$1001,MATCH(ROWS($AH$2:AH666),$AH$2:$AH$1001,0),MATCH(COLUMNS($AO$1006:BL1006),$AO$1006:$BQ$1006,0)), HYPERLINK("#",""), HYPERLINK(CONCATENATE("#Metadata!", ADDRESS(INDEX($AJ$2:$AJ$1001,MATCH(ROWS($AH$2:AH666),$AH$2:$AH$1001,0),0), INDEX($AO$1004:$BQ$1004,1,MATCH(COLUMNS($AO$1006:BL1006),$AO$1006:$BQ$1006,0)))),"Fix")))</f>
        <v>#N/A</v>
      </c>
      <c r="Z666" s="5" t="e">
        <f ca="1">IF(OR(INDEX($AI$2:$AI$1001,MATCH(ROWS($AH$2:AH666),$AH$2:$AH$1001,0),1)&gt;=100000,INDEX($AO$1005:$BQ$1005,1,MATCH(COLUMNS($AO$1006:BM1006),$AO$1006:$BQ$1006,0))&gt;=100000), " ",IF(INDEX($AO$2:$BQ$1001,MATCH(ROWS($AH$2:AH666),$AH$2:$AH$1001,0),MATCH(COLUMNS($AO$1006:BM1006),$AO$1006:$BQ$1006,0)), HYPERLINK("#",""), HYPERLINK(CONCATENATE("#Metadata!", ADDRESS(INDEX($AJ$2:$AJ$1001,MATCH(ROWS($AH$2:AH666),$AH$2:$AH$1001,0),0), INDEX($AO$1004:$BQ$1004,1,MATCH(COLUMNS($AO$1006:BM1006),$AO$1006:$BQ$1006,0)))),"Fix")))</f>
        <v>#N/A</v>
      </c>
      <c r="AA666" s="5" t="e">
        <f ca="1">IF(OR(INDEX($AI$2:$AI$1001,MATCH(ROWS($AH$2:AH666),$AH$2:$AH$1001,0),1)&gt;=100000,INDEX($AO$1005:$BQ$1005,1,MATCH(COLUMNS($AO$1006:BN1006),$AO$1006:$BQ$1006,0))&gt;=100000), " ",IF(INDEX($AO$2:$BQ$1001,MATCH(ROWS($AH$2:AH666),$AH$2:$AH$1001,0),MATCH(COLUMNS($AO$1006:BN1006),$AO$1006:$BQ$1006,0)), HYPERLINK("#",""), HYPERLINK(CONCATENATE("#Metadata!", ADDRESS(INDEX($AJ$2:$AJ$1001,MATCH(ROWS($AH$2:AH666),$AH$2:$AH$1001,0),0), INDEX($AO$1004:$BQ$1004,1,MATCH(COLUMNS($AO$1006:BN1006),$AO$1006:$BQ$1006,0)))),"Fix")))</f>
        <v>#N/A</v>
      </c>
      <c r="AB666" s="5" t="e">
        <f ca="1">IF(OR(INDEX($AI$2:$AI$1001,MATCH(ROWS($AH$2:AH666),$AH$2:$AH$1001,0),1)&gt;=100000,INDEX($AO$1005:$BQ$1005,1,MATCH(COLUMNS($AO$1006:BO1006),$AO$1006:$BQ$1006,0))&gt;=100000), " ",IF(INDEX($AO$2:$BQ$1001,MATCH(ROWS($AH$2:AH666),$AH$2:$AH$1001,0),MATCH(COLUMNS($AO$1006:BO1006),$AO$1006:$BQ$1006,0)), HYPERLINK("#",""), HYPERLINK(CONCATENATE("#Metadata!", ADDRESS(INDEX($AJ$2:$AJ$1001,MATCH(ROWS($AH$2:AH666),$AH$2:$AH$1001,0),0), INDEX($AO$1004:$BQ$1004,1,MATCH(COLUMNS($AO$1006:BO1006),$AO$1006:$BQ$1006,0)))),"Fix")))</f>
        <v>#N/A</v>
      </c>
      <c r="AC666" s="5" t="e">
        <f ca="1">IF(OR(INDEX($AI$2:$AI$1001,MATCH(ROWS($AH$2:AH666),$AH$2:$AH$1001,0),1)&gt;=100000,INDEX($AO$1005:$BQ$1005,1,MATCH(COLUMNS($AO$1006:BP1006),$AO$1006:$BQ$1006,0))&gt;=100000), " ",IF(INDEX($AO$2:$BQ$1001,MATCH(ROWS($AH$2:AH666),$AH$2:$AH$1001,0),MATCH(COLUMNS($AO$1006:BP1006),$AO$1006:$BQ$1006,0)), HYPERLINK("#",""), HYPERLINK(CONCATENATE("#Metadata!", ADDRESS(INDEX($AJ$2:$AJ$1001,MATCH(ROWS($AH$2:AH666),$AH$2:$AH$1001,0),0), INDEX($AO$1004:$BQ$1004,1,MATCH(COLUMNS($AO$1006:BP1006),$AO$1006:$BQ$1006,0)))),"Fix")))</f>
        <v>#N/A</v>
      </c>
      <c r="AD666" s="5" t="e">
        <f ca="1">IF(OR(INDEX($AI$2:$AI$1001,MATCH(ROWS($AH$2:AH666),$AH$2:$AH$1001,0),1)&gt;=100000,INDEX($AO$1005:$BQ$1005,1,MATCH(COLUMNS($AO$1006:BQ1006),$AO$1006:$BQ$1006,0))&gt;=100000), " ",IF(INDEX($AO$2:$BQ$1001,MATCH(ROWS($AH$2:AH666),$AH$2:$AH$1001,0),MATCH(COLUMNS($AO$1006:BQ1006),$AO$1006:$BQ$1006,0)), HYPERLINK("#",""), HYPERLINK(CONCATENATE("#Metadata!", ADDRESS(INDEX($AJ$2:$AJ$1001,MATCH(ROWS($AH$2:AH666),$AH$2:$AH$1001,0),0), INDEX($AO$1004:$BQ$1004,1,MATCH(COLUMNS($AO$1006:BQ1006),$AO$1006:$BQ$1006,0)))),"Fix")))</f>
        <v>#REF!</v>
      </c>
      <c r="AH666">
        <f ca="1"/>
        <v>663</v>
      </c>
      <c r="AI666">
        <v>100666</v>
      </c>
      <c r="AJ666">
        <v>666</v>
      </c>
      <c r="AK666" t="b">
        <f t="shared" si="10"/>
        <v>1</v>
      </c>
      <c r="AL666" t="b">
        <f>COUNTBLANK(Metadata!B666:AD666)=COLUMNS(Metadata!B666:AD666)</f>
        <v>1</v>
      </c>
      <c r="AM666" t="str">
        <v/>
      </c>
      <c r="AO666" t="b">
        <f ca="1">AND(IF(Metadata!B666="",FALSE,TRUE),COUNTIF(Metadata!B:B, Metadata!B666) = 1,NOT(ISERROR(SUMPRODUCT(SEARCH(MID(Metadata!B666,ROW(INDIRECT("1:"&amp;LEN(Metadata!B666))), 1),"0123456789abcdefghijklmnopqrstuvwxyzABCDEFGHIJKLMNOPQRSTUVWXYZ.")))))</f>
        <v>0</v>
      </c>
      <c r="AP666" t="b">
        <f>IF(Metadata!C666="",FALSE,TRUE)</f>
        <v>0</v>
      </c>
      <c r="AQ666" t="b">
        <f>IF(Metadata!D666="",FALSE,TRUE)</f>
        <v>0</v>
      </c>
      <c r="AR666" t="b">
        <f ca="1">OR(AND(IF(Metadata!E666="",FALSE,TRUE),OR(EXACT(Metadata!E666,"not collected"),EXACT(Metadata!E666,"not provided"),EXACT(Metadata!E666,"restricted access"))),AND(IF(Metadata!E666="",FALSE,TRUE),AND(AND(IFERROR(INT(LEFT(Metadata!E666,4))&gt;1900,FALSE),IFERROR(INT(LEFT(Metadata!E666,4))&lt;=YEAR(NOW()),FALSE)), OR(MID(Metadata!E666,5,1)="", AND(AND(MID(Metadata!E666,5,1)="-",IFERROR(INT(MID(Metadata!E666,6,1))&gt;=0,FALSE),IFERROR(INT(MID(Metadata!E666,6,1))&lt;=1,FALSE),NOT(MID(Metadata!E666,7,1)=""),IFERROR(INT(MID(Metadata!E666,6,2))&gt;=1,FALSE),IFERROR(INT(MID(Metadata!E666,6,2))&lt;=12,FALSE)), OR(MID(Metadata!E666,8,1)="", AND(AND(MID(Metadata!E666,8,1)="-",IFERROR(INT(MID(Metadata!E666,9,1))&gt;=0,FALSE),IFERROR(INT(MID(Metadata!E666,9,1))&lt;=3,FALSE),NOT(MID(Metadata!E666,10,1)=""),IFERROR(INT(MID(Metadata!E666,9,2))&gt;=1,FALSE),IFERROR(INT(MID(Metadata!E666,9,2))&lt;=31,FALSE)), OR(MID(Metadata!E666,11,1)="", AND(AND(MID(Metadata!E666,11,1)=" ",IFERROR(INT(MID(Metadata!E666,12,1))&gt;=0,FALSE),IFERROR(INT(MID(Metadata!E666,12,1))&lt;=2,FALSE),NOT(MID(Metadata!E666,13,1)=""),IFERROR(INT(MID(Metadata!E666,12,2))&gt;=0,FALSE),IFERROR(INT(MID(Metadata!E666,12,2))&lt;=23,FALSE)), OR(MID(Metadata!E666,14,1)="", AND(AND(MID(Metadata!E666,14,1)=":",IFERROR(INT(MID(Metadata!E666,15,1))&gt;=0,FALSE),IFERROR(INT(MID(Metadata!E666,15,1))&lt;=5,FALSE),NOT(MID(Metadata!E666,16,1)=""),IFERROR(INT(MID(Metadata!E666,15,2))&gt;=0,FALSE),IFERROR(INT(MID(Metadata!E666,15,2))&lt;=59,FALSE)), OR(MID(Metadata!E666,17,1)="", AND(AND(MID(Metadata!E666,17,1)=":",IFERROR(INT(MID(Metadata!E666,18,1))&gt;=0,FALSE),IFERROR(INT(MID(Metadata!E666,18,1))&lt;=5,FALSE),NOT(MID(Metadata!E666,19,1)=""),IFERROR(INT(MID(Metadata!E666,18,2))&gt;=0,FALSE),IFERROR(INT(MID(Metadata!E666,18,2))&lt;=59,FALSE)), LEN(Metadata!E666)&lt;=19)))))))))))))</f>
        <v>0</v>
      </c>
      <c r="AS666" t="b">
        <f>IF(Metadata!F666="",FALSE,TRUE)</f>
        <v>0</v>
      </c>
      <c r="AT666" t="b">
        <f>OR(AND(IF(Metadata!G666="",FALSE,TRUE),OR(EXACT(Metadata!G666,"not collected"),EXACT(Metadata!G666,"not provided"))),AND(IF(Metadata!G666="",FALSE,TRUE),OR(EXACT(Metadata!G666,"TRUE"),EXACT(Metadata!G666,"FALSE"))))</f>
        <v>0</v>
      </c>
      <c r="AU666" t="b">
        <f>OR(AND(IF(Metadata!H666="",FALSE,TRUE),OR(EXACT(Metadata!H666,"not collected"),EXACT(Metadata!H666,"not provided"),EXACT(Metadata!H666,"restricted access"))),AND(IF(Metadata!H666="",FALSE,ISNUMBER(VALUE(Metadata!H666))),Metadata!H666&gt;=-413))</f>
        <v>0</v>
      </c>
      <c r="AV666" t="b">
        <f>AND(IF(Metadata!I666="",FALSE,TRUE),EXACT(Metadata!I666,"meters"))</f>
        <v>0</v>
      </c>
      <c r="AW666" t="b">
        <f>AND(IF(Metadata!J666="",FALSE,TRUE),EXACT(Metadata!J666,"free-living"))</f>
        <v>0</v>
      </c>
      <c r="AX666" t="b">
        <f>AND(IF(Metadata!K666="",FALSE,TRUE),OR(EXACT(Metadata!K666,"saline"),EXACT(Metadata!K666,"non-saline")))</f>
        <v>0</v>
      </c>
      <c r="AY666" t="b">
        <f>AND(IF(Metadata!L666="",FALSE,TRUE),OR(EXACT(Metadata!L666,"sub-surface (non-saline)"),EXACT(Metadata!L666,"surface (non-saline)"),EXACT(Metadata!L666,"water (non-saline)"),EXACT(Metadata!L666,"soil (non-saline)"),EXACT(Metadata!L666,"aerosol (non-saline)"),EXACT(Metadata!L666,"sediment (non-saline)"),EXACT(Metadata!L666,"surface (saline)"),EXACT(Metadata!L666,"water (saline)"),EXACT(Metadata!L666,"hypersaline (saline)"),EXACT(Metadata!L666,"aerosol (saline)"),EXACT(Metadata!L666,"sediment (saline)")))</f>
        <v>0</v>
      </c>
      <c r="AZ666" t="b">
        <f>IF(Metadata!M666="",FALSE,TRUE)</f>
        <v>0</v>
      </c>
      <c r="BA666" t="b">
        <f>IF(Metadata!N666="",FALSE,TRUE)</f>
        <v>0</v>
      </c>
      <c r="BB666" t="b">
        <f>IF(Metadata!O666="",FALSE,TRUE)</f>
        <v>0</v>
      </c>
      <c r="BC666" t="b">
        <f>AND(IF(Metadata!P666="",FALSE,TRUE),OR(EXACT(Metadata!P666,"air"),EXACT(Metadata!P666,"microbial mat/biofilm"),EXACT(Metadata!P666,"misc environment"),EXACT(Metadata!P666,"sediment"),EXACT(Metadata!P666,"soil"),EXACT(Metadata!P666,"wastewater/sludge"),EXACT(Metadata!P666,"water")))</f>
        <v>0</v>
      </c>
      <c r="BD666" t="b">
        <f>IF(Metadata!Q666="",FALSE,TRUE)</f>
        <v>0</v>
      </c>
      <c r="BE666" t="b">
        <f>IF(Metadata!R666="",FALSE,TRUE)</f>
        <v>0</v>
      </c>
      <c r="BF666" t="b">
        <f>OR(AND(IF(Metadata!S666="",FALSE,TRUE),OR(EXACT(Metadata!S666,"not collected"),EXACT(Metadata!S666,"not provided"),EXACT(Metadata!S666,"restricted access"))),AND(IF(Metadata!S666="",FALSE,ISNUMBER(VALUE(Metadata!S666))),Metadata!S666&gt;=-90,Metadata!S666&lt;=90))</f>
        <v>0</v>
      </c>
      <c r="BG666" t="b">
        <f>AND(IF(Metadata!T666="",FALSE,TRUE),EXACT(Metadata!T666,"Decimal degrees"))</f>
        <v>0</v>
      </c>
      <c r="BH666" t="b">
        <f>OR(AND(IF(Metadata!U666="",FALSE,TRUE),OR(EXACT(Metadata!U666,"not applicable"),EXACT(Metadata!U666,"not collected"))),IF(Metadata!U666="",FALSE,TRUE))</f>
        <v>0</v>
      </c>
      <c r="BI666" t="b">
        <f>OR(AND(IF(Metadata!V666="",FALSE,TRUE),OR(EXACT(Metadata!V666,"not collected"),EXACT(Metadata!V666,"not provided"),EXACT(Metadata!V666,"restricted access"))),AND(IF(Metadata!V666="",FALSE,ISNUMBER(VALUE(Metadata!V666))),Metadata!V666&gt;=-180,Metadata!V666&lt;=180))</f>
        <v>0</v>
      </c>
      <c r="BJ666" t="b">
        <f>AND(IF(Metadata!W666="",FALSE,TRUE),EXACT(Metadata!W666,"Decimal degrees"))</f>
        <v>0</v>
      </c>
      <c r="BK666" t="b">
        <f>IF(Metadata!X666="",FALSE,TRUE)</f>
        <v>0</v>
      </c>
      <c r="BL666" t="b">
        <f>OR(AND(IF(Metadata!Y666="",FALSE,TRUE),OR(EXACT(Metadata!Y666,"not collected"),EXACT(Metadata!Y666,"not provided"),EXACT(Metadata!Y666,"restricted access"))),AND(IF(Metadata!Y666="",FALSE,TRUE),OR(EXACT(Metadata!Y666,"TRUE"),EXACT(Metadata!Y666,"FALSE"))))</f>
        <v>0</v>
      </c>
      <c r="BM666" t="b">
        <f>OR(AND(IF(Metadata!Z666="",FALSE,TRUE),EXACT(Metadata!Z666,"not applicable")),AND(IF(Metadata!Z666="",FALSE,TRUE),OR(EXACT(Metadata!Z666,"beer"),EXACT(Metadata!Z666,"cheese"),EXACT(Metadata!Z666,"fresh water"),EXACT(Metadata!Z666,"marine sediment"),EXACT(Metadata!Z666,"sea water"),EXACT(Metadata!Z666,"sediment"),EXACT(Metadata!Z666,"soil"),EXACT(Metadata!Z666,"waste water"))))</f>
        <v>0</v>
      </c>
      <c r="BN666" t="b">
        <f>AND(IF(Metadata!AA666="",FALSE,TRUE),EXACT(Metadata!AA666,"metagenome"))</f>
        <v>0</v>
      </c>
      <c r="BO666" t="b">
        <f>AND(IF(Metadata!AB666="",FALSE,TRUE),EXACT(Metadata!AB666,"256318"))</f>
        <v>0</v>
      </c>
      <c r="BP666" t="b">
        <f>IF(Metadata!AC666="",FALSE,TRUE)</f>
        <v>0</v>
      </c>
      <c r="BQ666" t="b">
        <f>IF(Metadata!AD666="",FALSE,TRUE)</f>
        <v>0</v>
      </c>
    </row>
    <row r="667" spans="1:69" x14ac:dyDescent="0.2">
      <c r="A667" s="4" t="e">
        <f ca="1">IF(B667=" "," ",HYPERLINK(CONCATENATE("#metadata!",ADDRESS(INDEX($AJ$2:$AJ$1001,MATCH(ROWS($AH$2:AH667),$AH$2:$AH$1001,0),0),2)),INDEX($AM$2:$AM$1001,MATCH(ROWS($AH$2:AH667),$AH$2:$AH$1001,0),0)))</f>
        <v>#N/A</v>
      </c>
      <c r="B667" s="5" t="e">
        <f ca="1">IF(OR(INDEX($AI$2:$AI$1001,MATCH(ROWS($AH$2:AH667),$AH$2:$AH$1001,0),1)&gt;=100000,INDEX($AO$1005:$BQ$1005,1,MATCH(COLUMNS($AO$1006:AO1006),$AO$1006:$BQ$1006,0))&gt;=100000), " ",IF(INDEX($AO$2:$BQ$1001,MATCH(ROWS($AH$2:AH667),$AH$2:$AH$1001,0),MATCH(COLUMNS($AO$1006:AO1006),$AO$1006:$BQ$1006,0)), HYPERLINK("#",""), HYPERLINK(CONCATENATE("#Metadata!", ADDRESS(INDEX($AJ$2:$AJ$1001,MATCH(ROWS($AH$2:AH667),$AH$2:$AH$1001,0),0), INDEX($AO$1004:$BQ$1004,1,MATCH(COLUMNS($AO$1006:AO1006),$AO$1006:$BQ$1006,0)))),"Fix")))</f>
        <v>#N/A</v>
      </c>
      <c r="C667" s="5" t="e">
        <f ca="1">IF(OR(INDEX($AI$2:$AI$1001,MATCH(ROWS($AH$2:AH667),$AH$2:$AH$1001,0),1)&gt;=100000,INDEX($AO$1005:$BQ$1005,1,MATCH(COLUMNS($AO$1006:AP1006),$AO$1006:$BQ$1006,0))&gt;=100000), " ",IF(INDEX($AO$2:$BQ$1001,MATCH(ROWS($AH$2:AH667),$AH$2:$AH$1001,0),MATCH(COLUMNS($AO$1006:AP1006),$AO$1006:$BQ$1006,0)), HYPERLINK("#",""), HYPERLINK(CONCATENATE("#Metadata!", ADDRESS(INDEX($AJ$2:$AJ$1001,MATCH(ROWS($AH$2:AH667),$AH$2:$AH$1001,0),0), INDEX($AO$1004:$BQ$1004,1,MATCH(COLUMNS($AO$1006:AP1006),$AO$1006:$BQ$1006,0)))),"Fix")))</f>
        <v>#N/A</v>
      </c>
      <c r="D667" s="5" t="e">
        <f ca="1">IF(OR(INDEX($AI$2:$AI$1001,MATCH(ROWS($AH$2:AH667),$AH$2:$AH$1001,0),1)&gt;=100000,INDEX($AO$1005:$BQ$1005,1,MATCH(COLUMNS($AO$1006:AQ1006),$AO$1006:$BQ$1006,0))&gt;=100000), " ",IF(INDEX($AO$2:$BQ$1001,MATCH(ROWS($AH$2:AH667),$AH$2:$AH$1001,0),MATCH(COLUMNS($AO$1006:AQ1006),$AO$1006:$BQ$1006,0)), HYPERLINK("#",""), HYPERLINK(CONCATENATE("#Metadata!", ADDRESS(INDEX($AJ$2:$AJ$1001,MATCH(ROWS($AH$2:AH667),$AH$2:$AH$1001,0),0), INDEX($AO$1004:$BQ$1004,1,MATCH(COLUMNS($AO$1006:AQ1006),$AO$1006:$BQ$1006,0)))),"Fix")))</f>
        <v>#N/A</v>
      </c>
      <c r="E667" s="5" t="e">
        <f ca="1">IF(OR(INDEX($AI$2:$AI$1001,MATCH(ROWS($AH$2:AH667),$AH$2:$AH$1001,0),1)&gt;=100000,INDEX($AO$1005:$BQ$1005,1,MATCH(COLUMNS($AO$1006:AR1006),$AO$1006:$BQ$1006,0))&gt;=100000), " ",IF(INDEX($AO$2:$BQ$1001,MATCH(ROWS($AH$2:AH667),$AH$2:$AH$1001,0),MATCH(COLUMNS($AO$1006:AR1006),$AO$1006:$BQ$1006,0)), HYPERLINK("#",""), HYPERLINK(CONCATENATE("#Metadata!", ADDRESS(INDEX($AJ$2:$AJ$1001,MATCH(ROWS($AH$2:AH667),$AH$2:$AH$1001,0),0), INDEX($AO$1004:$BQ$1004,1,MATCH(COLUMNS($AO$1006:AR1006),$AO$1006:$BQ$1006,0)))),"Fix")))</f>
        <v>#N/A</v>
      </c>
      <c r="F667" s="5" t="e">
        <f ca="1">IF(OR(INDEX($AI$2:$AI$1001,MATCH(ROWS($AH$2:AH667),$AH$2:$AH$1001,0),1)&gt;=100000,INDEX($AO$1005:$BQ$1005,1,MATCH(COLUMNS($AO$1006:AS1006),$AO$1006:$BQ$1006,0))&gt;=100000), " ",IF(INDEX($AO$2:$BQ$1001,MATCH(ROWS($AH$2:AH667),$AH$2:$AH$1001,0),MATCH(COLUMNS($AO$1006:AS1006),$AO$1006:$BQ$1006,0)), HYPERLINK("#",""), HYPERLINK(CONCATENATE("#Metadata!", ADDRESS(INDEX($AJ$2:$AJ$1001,MATCH(ROWS($AH$2:AH667),$AH$2:$AH$1001,0),0), INDEX($AO$1004:$BQ$1004,1,MATCH(COLUMNS($AO$1006:AS1006),$AO$1006:$BQ$1006,0)))),"Fix")))</f>
        <v>#N/A</v>
      </c>
      <c r="G667" s="5" t="e">
        <f ca="1">IF(OR(INDEX($AI$2:$AI$1001,MATCH(ROWS($AH$2:AH667),$AH$2:$AH$1001,0),1)&gt;=100000,INDEX($AO$1005:$BQ$1005,1,MATCH(COLUMNS($AO$1006:AT1006),$AO$1006:$BQ$1006,0))&gt;=100000), " ",IF(INDEX($AO$2:$BQ$1001,MATCH(ROWS($AH$2:AH667),$AH$2:$AH$1001,0),MATCH(COLUMNS($AO$1006:AT1006),$AO$1006:$BQ$1006,0)), HYPERLINK("#",""), HYPERLINK(CONCATENATE("#Metadata!", ADDRESS(INDEX($AJ$2:$AJ$1001,MATCH(ROWS($AH$2:AH667),$AH$2:$AH$1001,0),0), INDEX($AO$1004:$BQ$1004,1,MATCH(COLUMNS($AO$1006:AT1006),$AO$1006:$BQ$1006,0)))),"Fix")))</f>
        <v>#N/A</v>
      </c>
      <c r="H667" s="5" t="e">
        <f ca="1">IF(OR(INDEX($AI$2:$AI$1001,MATCH(ROWS($AH$2:AH667),$AH$2:$AH$1001,0),1)&gt;=100000,INDEX($AO$1005:$BQ$1005,1,MATCH(COLUMNS($AO$1006:AU1006),$AO$1006:$BQ$1006,0))&gt;=100000), " ",IF(INDEX($AO$2:$BQ$1001,MATCH(ROWS($AH$2:AH667),$AH$2:$AH$1001,0),MATCH(COLUMNS($AO$1006:AU1006),$AO$1006:$BQ$1006,0)), HYPERLINK("#",""), HYPERLINK(CONCATENATE("#Metadata!", ADDRESS(INDEX($AJ$2:$AJ$1001,MATCH(ROWS($AH$2:AH667),$AH$2:$AH$1001,0),0), INDEX($AO$1004:$BQ$1004,1,MATCH(COLUMNS($AO$1006:AU1006),$AO$1006:$BQ$1006,0)))),"Fix")))</f>
        <v>#N/A</v>
      </c>
      <c r="I667" s="5" t="e">
        <f ca="1">IF(OR(INDEX($AI$2:$AI$1001,MATCH(ROWS($AH$2:AH667),$AH$2:$AH$1001,0),1)&gt;=100000,INDEX($AO$1005:$BQ$1005,1,MATCH(COLUMNS($AO$1006:AV1006),$AO$1006:$BQ$1006,0))&gt;=100000), " ",IF(INDEX($AO$2:$BQ$1001,MATCH(ROWS($AH$2:AH667),$AH$2:$AH$1001,0),MATCH(COLUMNS($AO$1006:AV1006),$AO$1006:$BQ$1006,0)), HYPERLINK("#",""), HYPERLINK(CONCATENATE("#Metadata!", ADDRESS(INDEX($AJ$2:$AJ$1001,MATCH(ROWS($AH$2:AH667),$AH$2:$AH$1001,0),0), INDEX($AO$1004:$BQ$1004,1,MATCH(COLUMNS($AO$1006:AV1006),$AO$1006:$BQ$1006,0)))),"Fix")))</f>
        <v>#N/A</v>
      </c>
      <c r="J667" s="5" t="e">
        <f ca="1">IF(OR(INDEX($AI$2:$AI$1001,MATCH(ROWS($AH$2:AH667),$AH$2:$AH$1001,0),1)&gt;=100000,INDEX($AO$1005:$BQ$1005,1,MATCH(COLUMNS($AO$1006:AW1006),$AO$1006:$BQ$1006,0))&gt;=100000), " ",IF(INDEX($AO$2:$BQ$1001,MATCH(ROWS($AH$2:AH667),$AH$2:$AH$1001,0),MATCH(COLUMNS($AO$1006:AW1006),$AO$1006:$BQ$1006,0)), HYPERLINK("#",""), HYPERLINK(CONCATENATE("#Metadata!", ADDRESS(INDEX($AJ$2:$AJ$1001,MATCH(ROWS($AH$2:AH667),$AH$2:$AH$1001,0),0), INDEX($AO$1004:$BQ$1004,1,MATCH(COLUMNS($AO$1006:AW1006),$AO$1006:$BQ$1006,0)))),"Fix")))</f>
        <v>#N/A</v>
      </c>
      <c r="K667" s="5" t="e">
        <f ca="1">IF(OR(INDEX($AI$2:$AI$1001,MATCH(ROWS($AH$2:AH667),$AH$2:$AH$1001,0),1)&gt;=100000,INDEX($AO$1005:$BQ$1005,1,MATCH(COLUMNS($AO$1006:AX1006),$AO$1006:$BQ$1006,0))&gt;=100000), " ",IF(INDEX($AO$2:$BQ$1001,MATCH(ROWS($AH$2:AH667),$AH$2:$AH$1001,0),MATCH(COLUMNS($AO$1006:AX1006),$AO$1006:$BQ$1006,0)), HYPERLINK("#",""), HYPERLINK(CONCATENATE("#Metadata!", ADDRESS(INDEX($AJ$2:$AJ$1001,MATCH(ROWS($AH$2:AH667),$AH$2:$AH$1001,0),0), INDEX($AO$1004:$BQ$1004,1,MATCH(COLUMNS($AO$1006:AX1006),$AO$1006:$BQ$1006,0)))),"Fix")))</f>
        <v>#N/A</v>
      </c>
      <c r="L667" s="5" t="e">
        <f ca="1">IF(OR(INDEX($AI$2:$AI$1001,MATCH(ROWS($AH$2:AH667),$AH$2:$AH$1001,0),1)&gt;=100000,INDEX($AO$1005:$BQ$1005,1,MATCH(COLUMNS($AO$1006:AY1006),$AO$1006:$BQ$1006,0))&gt;=100000), " ",IF(INDEX($AO$2:$BQ$1001,MATCH(ROWS($AH$2:AH667),$AH$2:$AH$1001,0),MATCH(COLUMNS($AO$1006:AY1006),$AO$1006:$BQ$1006,0)), HYPERLINK("#",""), HYPERLINK(CONCATENATE("#Metadata!", ADDRESS(INDEX($AJ$2:$AJ$1001,MATCH(ROWS($AH$2:AH667),$AH$2:$AH$1001,0),0), INDEX($AO$1004:$BQ$1004,1,MATCH(COLUMNS($AO$1006:AY1006),$AO$1006:$BQ$1006,0)))),"Fix")))</f>
        <v>#N/A</v>
      </c>
      <c r="M667" s="5" t="e">
        <f ca="1">IF(OR(INDEX($AI$2:$AI$1001,MATCH(ROWS($AH$2:AH667),$AH$2:$AH$1001,0),1)&gt;=100000,INDEX($AO$1005:$BQ$1005,1,MATCH(COLUMNS($AO$1006:AZ1006),$AO$1006:$BQ$1006,0))&gt;=100000), " ",IF(INDEX($AO$2:$BQ$1001,MATCH(ROWS($AH$2:AH667),$AH$2:$AH$1001,0),MATCH(COLUMNS($AO$1006:AZ1006),$AO$1006:$BQ$1006,0)), HYPERLINK("#",""), HYPERLINK(CONCATENATE("#Metadata!", ADDRESS(INDEX($AJ$2:$AJ$1001,MATCH(ROWS($AH$2:AH667),$AH$2:$AH$1001,0),0), INDEX($AO$1004:$BQ$1004,1,MATCH(COLUMNS($AO$1006:AZ1006),$AO$1006:$BQ$1006,0)))),"Fix")))</f>
        <v>#N/A</v>
      </c>
      <c r="N667" s="5" t="e">
        <f ca="1">IF(OR(INDEX($AI$2:$AI$1001,MATCH(ROWS($AH$2:AH667),$AH$2:$AH$1001,0),1)&gt;=100000,INDEX($AO$1005:$BQ$1005,1,MATCH(COLUMNS($AO$1006:BA1006),$AO$1006:$BQ$1006,0))&gt;=100000), " ",IF(INDEX($AO$2:$BQ$1001,MATCH(ROWS($AH$2:AH667),$AH$2:$AH$1001,0),MATCH(COLUMNS($AO$1006:BA1006),$AO$1006:$BQ$1006,0)), HYPERLINK("#",""), HYPERLINK(CONCATENATE("#Metadata!", ADDRESS(INDEX($AJ$2:$AJ$1001,MATCH(ROWS($AH$2:AH667),$AH$2:$AH$1001,0),0), INDEX($AO$1004:$BQ$1004,1,MATCH(COLUMNS($AO$1006:BA1006),$AO$1006:$BQ$1006,0)))),"Fix")))</f>
        <v>#N/A</v>
      </c>
      <c r="O667" s="5" t="e">
        <f ca="1">IF(OR(INDEX($AI$2:$AI$1001,MATCH(ROWS($AH$2:AH667),$AH$2:$AH$1001,0),1)&gt;=100000,INDEX($AO$1005:$BQ$1005,1,MATCH(COLUMNS($AO$1006:BB1006),$AO$1006:$BQ$1006,0))&gt;=100000), " ",IF(INDEX($AO$2:$BQ$1001,MATCH(ROWS($AH$2:AH667),$AH$2:$AH$1001,0),MATCH(COLUMNS($AO$1006:BB1006),$AO$1006:$BQ$1006,0)), HYPERLINK("#",""), HYPERLINK(CONCATENATE("#Metadata!", ADDRESS(INDEX($AJ$2:$AJ$1001,MATCH(ROWS($AH$2:AH667),$AH$2:$AH$1001,0),0), INDEX($AO$1004:$BQ$1004,1,MATCH(COLUMNS($AO$1006:BB1006),$AO$1006:$BQ$1006,0)))),"Fix")))</f>
        <v>#N/A</v>
      </c>
      <c r="P667" s="5" t="e">
        <f ca="1">IF(OR(INDEX($AI$2:$AI$1001,MATCH(ROWS($AH$2:AH667),$AH$2:$AH$1001,0),1)&gt;=100000,INDEX($AO$1005:$BQ$1005,1,MATCH(COLUMNS($AO$1006:BC1006),$AO$1006:$BQ$1006,0))&gt;=100000), " ",IF(INDEX($AO$2:$BQ$1001,MATCH(ROWS($AH$2:AH667),$AH$2:$AH$1001,0),MATCH(COLUMNS($AO$1006:BC1006),$AO$1006:$BQ$1006,0)), HYPERLINK("#",""), HYPERLINK(CONCATENATE("#Metadata!", ADDRESS(INDEX($AJ$2:$AJ$1001,MATCH(ROWS($AH$2:AH667),$AH$2:$AH$1001,0),0), INDEX($AO$1004:$BQ$1004,1,MATCH(COLUMNS($AO$1006:BC1006),$AO$1006:$BQ$1006,0)))),"Fix")))</f>
        <v>#N/A</v>
      </c>
      <c r="Q667" s="5" t="e">
        <f ca="1">IF(OR(INDEX($AI$2:$AI$1001,MATCH(ROWS($AH$2:AH667),$AH$2:$AH$1001,0),1)&gt;=100000,INDEX($AO$1005:$BQ$1005,1,MATCH(COLUMNS($AO$1006:BD1006),$AO$1006:$BQ$1006,0))&gt;=100000), " ",IF(INDEX($AO$2:$BQ$1001,MATCH(ROWS($AH$2:AH667),$AH$2:$AH$1001,0),MATCH(COLUMNS($AO$1006:BD1006),$AO$1006:$BQ$1006,0)), HYPERLINK("#",""), HYPERLINK(CONCATENATE("#Metadata!", ADDRESS(INDEX($AJ$2:$AJ$1001,MATCH(ROWS($AH$2:AH667),$AH$2:$AH$1001,0),0), INDEX($AO$1004:$BQ$1004,1,MATCH(COLUMNS($AO$1006:BD1006),$AO$1006:$BQ$1006,0)))),"Fix")))</f>
        <v>#N/A</v>
      </c>
      <c r="R667" s="5" t="e">
        <f ca="1">IF(OR(INDEX($AI$2:$AI$1001,MATCH(ROWS($AH$2:AH667),$AH$2:$AH$1001,0),1)&gt;=100000,INDEX($AO$1005:$BQ$1005,1,MATCH(COLUMNS($AO$1006:BE1006),$AO$1006:$BQ$1006,0))&gt;=100000), " ",IF(INDEX($AO$2:$BQ$1001,MATCH(ROWS($AH$2:AH667),$AH$2:$AH$1001,0),MATCH(COLUMNS($AO$1006:BE1006),$AO$1006:$BQ$1006,0)), HYPERLINK("#",""), HYPERLINK(CONCATENATE("#Metadata!", ADDRESS(INDEX($AJ$2:$AJ$1001,MATCH(ROWS($AH$2:AH667),$AH$2:$AH$1001,0),0), INDEX($AO$1004:$BQ$1004,1,MATCH(COLUMNS($AO$1006:BE1006),$AO$1006:$BQ$1006,0)))),"Fix")))</f>
        <v>#N/A</v>
      </c>
      <c r="S667" s="5" t="e">
        <f ca="1">IF(OR(INDEX($AI$2:$AI$1001,MATCH(ROWS($AH$2:AH667),$AH$2:$AH$1001,0),1)&gt;=100000,INDEX($AO$1005:$BQ$1005,1,MATCH(COLUMNS($AO$1006:BF1006),$AO$1006:$BQ$1006,0))&gt;=100000), " ",IF(INDEX($AO$2:$BQ$1001,MATCH(ROWS($AH$2:AH667),$AH$2:$AH$1001,0),MATCH(COLUMNS($AO$1006:BF1006),$AO$1006:$BQ$1006,0)), HYPERLINK("#",""), HYPERLINK(CONCATENATE("#Metadata!", ADDRESS(INDEX($AJ$2:$AJ$1001,MATCH(ROWS($AH$2:AH667),$AH$2:$AH$1001,0),0), INDEX($AO$1004:$BQ$1004,1,MATCH(COLUMNS($AO$1006:BF1006),$AO$1006:$BQ$1006,0)))),"Fix")))</f>
        <v>#N/A</v>
      </c>
      <c r="T667" s="5" t="e">
        <f ca="1">IF(OR(INDEX($AI$2:$AI$1001,MATCH(ROWS($AH$2:AH667),$AH$2:$AH$1001,0),1)&gt;=100000,INDEX($AO$1005:$BQ$1005,1,MATCH(COLUMNS($AO$1006:BG1006),$AO$1006:$BQ$1006,0))&gt;=100000), " ",IF(INDEX($AO$2:$BQ$1001,MATCH(ROWS($AH$2:AH667),$AH$2:$AH$1001,0),MATCH(COLUMNS($AO$1006:BG1006),$AO$1006:$BQ$1006,0)), HYPERLINK("#",""), HYPERLINK(CONCATENATE("#Metadata!", ADDRESS(INDEX($AJ$2:$AJ$1001,MATCH(ROWS($AH$2:AH667),$AH$2:$AH$1001,0),0), INDEX($AO$1004:$BQ$1004,1,MATCH(COLUMNS($AO$1006:BG1006),$AO$1006:$BQ$1006,0)))),"Fix")))</f>
        <v>#N/A</v>
      </c>
      <c r="U667" s="5" t="e">
        <f ca="1">IF(OR(INDEX($AI$2:$AI$1001,MATCH(ROWS($AH$2:AH667),$AH$2:$AH$1001,0),1)&gt;=100000,INDEX($AO$1005:$BQ$1005,1,MATCH(COLUMNS($AO$1006:BH1006),$AO$1006:$BQ$1006,0))&gt;=100000), " ",IF(INDEX($AO$2:$BQ$1001,MATCH(ROWS($AH$2:AH667),$AH$2:$AH$1001,0),MATCH(COLUMNS($AO$1006:BH1006),$AO$1006:$BQ$1006,0)), HYPERLINK("#",""), HYPERLINK(CONCATENATE("#Metadata!", ADDRESS(INDEX($AJ$2:$AJ$1001,MATCH(ROWS($AH$2:AH667),$AH$2:$AH$1001,0),0), INDEX($AO$1004:$BQ$1004,1,MATCH(COLUMNS($AO$1006:BH1006),$AO$1006:$BQ$1006,0)))),"Fix")))</f>
        <v>#N/A</v>
      </c>
      <c r="V667" s="5" t="e">
        <f ca="1">IF(OR(INDEX($AI$2:$AI$1001,MATCH(ROWS($AH$2:AH667),$AH$2:$AH$1001,0),1)&gt;=100000,INDEX($AO$1005:$BQ$1005,1,MATCH(COLUMNS($AO$1006:BI1006),$AO$1006:$BQ$1006,0))&gt;=100000), " ",IF(INDEX($AO$2:$BQ$1001,MATCH(ROWS($AH$2:AH667),$AH$2:$AH$1001,0),MATCH(COLUMNS($AO$1006:BI1006),$AO$1006:$BQ$1006,0)), HYPERLINK("#",""), HYPERLINK(CONCATENATE("#Metadata!", ADDRESS(INDEX($AJ$2:$AJ$1001,MATCH(ROWS($AH$2:AH667),$AH$2:$AH$1001,0),0), INDEX($AO$1004:$BQ$1004,1,MATCH(COLUMNS($AO$1006:BI1006),$AO$1006:$BQ$1006,0)))),"Fix")))</f>
        <v>#N/A</v>
      </c>
      <c r="W667" s="5" t="e">
        <f ca="1">IF(OR(INDEX($AI$2:$AI$1001,MATCH(ROWS($AH$2:AH667),$AH$2:$AH$1001,0),1)&gt;=100000,INDEX($AO$1005:$BQ$1005,1,MATCH(COLUMNS($AO$1006:BJ1006),$AO$1006:$BQ$1006,0))&gt;=100000), " ",IF(INDEX($AO$2:$BQ$1001,MATCH(ROWS($AH$2:AH667),$AH$2:$AH$1001,0),MATCH(COLUMNS($AO$1006:BJ1006),$AO$1006:$BQ$1006,0)), HYPERLINK("#",""), HYPERLINK(CONCATENATE("#Metadata!", ADDRESS(INDEX($AJ$2:$AJ$1001,MATCH(ROWS($AH$2:AH667),$AH$2:$AH$1001,0),0), INDEX($AO$1004:$BQ$1004,1,MATCH(COLUMNS($AO$1006:BJ1006),$AO$1006:$BQ$1006,0)))),"Fix")))</f>
        <v>#N/A</v>
      </c>
      <c r="X667" s="5" t="e">
        <f ca="1">IF(OR(INDEX($AI$2:$AI$1001,MATCH(ROWS($AH$2:AH667),$AH$2:$AH$1001,0),1)&gt;=100000,INDEX($AO$1005:$BQ$1005,1,MATCH(COLUMNS($AO$1006:BK1006),$AO$1006:$BQ$1006,0))&gt;=100000), " ",IF(INDEX($AO$2:$BQ$1001,MATCH(ROWS($AH$2:AH667),$AH$2:$AH$1001,0),MATCH(COLUMNS($AO$1006:BK1006),$AO$1006:$BQ$1006,0)), HYPERLINK("#",""), HYPERLINK(CONCATENATE("#Metadata!", ADDRESS(INDEX($AJ$2:$AJ$1001,MATCH(ROWS($AH$2:AH667),$AH$2:$AH$1001,0),0), INDEX($AO$1004:$BQ$1004,1,MATCH(COLUMNS($AO$1006:BK1006),$AO$1006:$BQ$1006,0)))),"Fix")))</f>
        <v>#N/A</v>
      </c>
      <c r="Y667" s="5" t="e">
        <f ca="1">IF(OR(INDEX($AI$2:$AI$1001,MATCH(ROWS($AH$2:AH667),$AH$2:$AH$1001,0),1)&gt;=100000,INDEX($AO$1005:$BQ$1005,1,MATCH(COLUMNS($AO$1006:BL1006),$AO$1006:$BQ$1006,0))&gt;=100000), " ",IF(INDEX($AO$2:$BQ$1001,MATCH(ROWS($AH$2:AH667),$AH$2:$AH$1001,0),MATCH(COLUMNS($AO$1006:BL1006),$AO$1006:$BQ$1006,0)), HYPERLINK("#",""), HYPERLINK(CONCATENATE("#Metadata!", ADDRESS(INDEX($AJ$2:$AJ$1001,MATCH(ROWS($AH$2:AH667),$AH$2:$AH$1001,0),0), INDEX($AO$1004:$BQ$1004,1,MATCH(COLUMNS($AO$1006:BL1006),$AO$1006:$BQ$1006,0)))),"Fix")))</f>
        <v>#N/A</v>
      </c>
      <c r="Z667" s="5" t="e">
        <f ca="1">IF(OR(INDEX($AI$2:$AI$1001,MATCH(ROWS($AH$2:AH667),$AH$2:$AH$1001,0),1)&gt;=100000,INDEX($AO$1005:$BQ$1005,1,MATCH(COLUMNS($AO$1006:BM1006),$AO$1006:$BQ$1006,0))&gt;=100000), " ",IF(INDEX($AO$2:$BQ$1001,MATCH(ROWS($AH$2:AH667),$AH$2:$AH$1001,0),MATCH(COLUMNS($AO$1006:BM1006),$AO$1006:$BQ$1006,0)), HYPERLINK("#",""), HYPERLINK(CONCATENATE("#Metadata!", ADDRESS(INDEX($AJ$2:$AJ$1001,MATCH(ROWS($AH$2:AH667),$AH$2:$AH$1001,0),0), INDEX($AO$1004:$BQ$1004,1,MATCH(COLUMNS($AO$1006:BM1006),$AO$1006:$BQ$1006,0)))),"Fix")))</f>
        <v>#N/A</v>
      </c>
      <c r="AA667" s="5" t="e">
        <f ca="1">IF(OR(INDEX($AI$2:$AI$1001,MATCH(ROWS($AH$2:AH667),$AH$2:$AH$1001,0),1)&gt;=100000,INDEX($AO$1005:$BQ$1005,1,MATCH(COLUMNS($AO$1006:BN1006),$AO$1006:$BQ$1006,0))&gt;=100000), " ",IF(INDEX($AO$2:$BQ$1001,MATCH(ROWS($AH$2:AH667),$AH$2:$AH$1001,0),MATCH(COLUMNS($AO$1006:BN1006),$AO$1006:$BQ$1006,0)), HYPERLINK("#",""), HYPERLINK(CONCATENATE("#Metadata!", ADDRESS(INDEX($AJ$2:$AJ$1001,MATCH(ROWS($AH$2:AH667),$AH$2:$AH$1001,0),0), INDEX($AO$1004:$BQ$1004,1,MATCH(COLUMNS($AO$1006:BN1006),$AO$1006:$BQ$1006,0)))),"Fix")))</f>
        <v>#N/A</v>
      </c>
      <c r="AB667" s="5" t="e">
        <f ca="1">IF(OR(INDEX($AI$2:$AI$1001,MATCH(ROWS($AH$2:AH667),$AH$2:$AH$1001,0),1)&gt;=100000,INDEX($AO$1005:$BQ$1005,1,MATCH(COLUMNS($AO$1006:BO1006),$AO$1006:$BQ$1006,0))&gt;=100000), " ",IF(INDEX($AO$2:$BQ$1001,MATCH(ROWS($AH$2:AH667),$AH$2:$AH$1001,0),MATCH(COLUMNS($AO$1006:BO1006),$AO$1006:$BQ$1006,0)), HYPERLINK("#",""), HYPERLINK(CONCATENATE("#Metadata!", ADDRESS(INDEX($AJ$2:$AJ$1001,MATCH(ROWS($AH$2:AH667),$AH$2:$AH$1001,0),0), INDEX($AO$1004:$BQ$1004,1,MATCH(COLUMNS($AO$1006:BO1006),$AO$1006:$BQ$1006,0)))),"Fix")))</f>
        <v>#N/A</v>
      </c>
      <c r="AC667" s="5" t="e">
        <f ca="1">IF(OR(INDEX($AI$2:$AI$1001,MATCH(ROWS($AH$2:AH667),$AH$2:$AH$1001,0),1)&gt;=100000,INDEX($AO$1005:$BQ$1005,1,MATCH(COLUMNS($AO$1006:BP1006),$AO$1006:$BQ$1006,0))&gt;=100000), " ",IF(INDEX($AO$2:$BQ$1001,MATCH(ROWS($AH$2:AH667),$AH$2:$AH$1001,0),MATCH(COLUMNS($AO$1006:BP1006),$AO$1006:$BQ$1006,0)), HYPERLINK("#",""), HYPERLINK(CONCATENATE("#Metadata!", ADDRESS(INDEX($AJ$2:$AJ$1001,MATCH(ROWS($AH$2:AH667),$AH$2:$AH$1001,0),0), INDEX($AO$1004:$BQ$1004,1,MATCH(COLUMNS($AO$1006:BP1006),$AO$1006:$BQ$1006,0)))),"Fix")))</f>
        <v>#N/A</v>
      </c>
      <c r="AD667" s="5" t="e">
        <f ca="1">IF(OR(INDEX($AI$2:$AI$1001,MATCH(ROWS($AH$2:AH667),$AH$2:$AH$1001,0),1)&gt;=100000,INDEX($AO$1005:$BQ$1005,1,MATCH(COLUMNS($AO$1006:BQ1006),$AO$1006:$BQ$1006,0))&gt;=100000), " ",IF(INDEX($AO$2:$BQ$1001,MATCH(ROWS($AH$2:AH667),$AH$2:$AH$1001,0),MATCH(COLUMNS($AO$1006:BQ1006),$AO$1006:$BQ$1006,0)), HYPERLINK("#",""), HYPERLINK(CONCATENATE("#Metadata!", ADDRESS(INDEX($AJ$2:$AJ$1001,MATCH(ROWS($AH$2:AH667),$AH$2:$AH$1001,0),0), INDEX($AO$1004:$BQ$1004,1,MATCH(COLUMNS($AO$1006:BQ1006),$AO$1006:$BQ$1006,0)))),"Fix")))</f>
        <v>#REF!</v>
      </c>
      <c r="AH667">
        <f ca="1"/>
        <v>664</v>
      </c>
      <c r="AI667">
        <v>100667</v>
      </c>
      <c r="AJ667">
        <v>667</v>
      </c>
      <c r="AK667" t="b">
        <f t="shared" si="10"/>
        <v>1</v>
      </c>
      <c r="AL667" t="b">
        <f>COUNTBLANK(Metadata!B667:AD667)=COLUMNS(Metadata!B667:AD667)</f>
        <v>1</v>
      </c>
      <c r="AM667" t="str">
        <v/>
      </c>
      <c r="AO667" t="b">
        <f ca="1">AND(IF(Metadata!B667="",FALSE,TRUE),COUNTIF(Metadata!B:B, Metadata!B667) = 1,NOT(ISERROR(SUMPRODUCT(SEARCH(MID(Metadata!B667,ROW(INDIRECT("1:"&amp;LEN(Metadata!B667))), 1),"0123456789abcdefghijklmnopqrstuvwxyzABCDEFGHIJKLMNOPQRSTUVWXYZ.")))))</f>
        <v>0</v>
      </c>
      <c r="AP667" t="b">
        <f>IF(Metadata!C667="",FALSE,TRUE)</f>
        <v>0</v>
      </c>
      <c r="AQ667" t="b">
        <f>IF(Metadata!D667="",FALSE,TRUE)</f>
        <v>0</v>
      </c>
      <c r="AR667" t="b">
        <f ca="1">OR(AND(IF(Metadata!E667="",FALSE,TRUE),OR(EXACT(Metadata!E667,"not collected"),EXACT(Metadata!E667,"not provided"),EXACT(Metadata!E667,"restricted access"))),AND(IF(Metadata!E667="",FALSE,TRUE),AND(AND(IFERROR(INT(LEFT(Metadata!E667,4))&gt;1900,FALSE),IFERROR(INT(LEFT(Metadata!E667,4))&lt;=YEAR(NOW()),FALSE)), OR(MID(Metadata!E667,5,1)="", AND(AND(MID(Metadata!E667,5,1)="-",IFERROR(INT(MID(Metadata!E667,6,1))&gt;=0,FALSE),IFERROR(INT(MID(Metadata!E667,6,1))&lt;=1,FALSE),NOT(MID(Metadata!E667,7,1)=""),IFERROR(INT(MID(Metadata!E667,6,2))&gt;=1,FALSE),IFERROR(INT(MID(Metadata!E667,6,2))&lt;=12,FALSE)), OR(MID(Metadata!E667,8,1)="", AND(AND(MID(Metadata!E667,8,1)="-",IFERROR(INT(MID(Metadata!E667,9,1))&gt;=0,FALSE),IFERROR(INT(MID(Metadata!E667,9,1))&lt;=3,FALSE),NOT(MID(Metadata!E667,10,1)=""),IFERROR(INT(MID(Metadata!E667,9,2))&gt;=1,FALSE),IFERROR(INT(MID(Metadata!E667,9,2))&lt;=31,FALSE)), OR(MID(Metadata!E667,11,1)="", AND(AND(MID(Metadata!E667,11,1)=" ",IFERROR(INT(MID(Metadata!E667,12,1))&gt;=0,FALSE),IFERROR(INT(MID(Metadata!E667,12,1))&lt;=2,FALSE),NOT(MID(Metadata!E667,13,1)=""),IFERROR(INT(MID(Metadata!E667,12,2))&gt;=0,FALSE),IFERROR(INT(MID(Metadata!E667,12,2))&lt;=23,FALSE)), OR(MID(Metadata!E667,14,1)="", AND(AND(MID(Metadata!E667,14,1)=":",IFERROR(INT(MID(Metadata!E667,15,1))&gt;=0,FALSE),IFERROR(INT(MID(Metadata!E667,15,1))&lt;=5,FALSE),NOT(MID(Metadata!E667,16,1)=""),IFERROR(INT(MID(Metadata!E667,15,2))&gt;=0,FALSE),IFERROR(INT(MID(Metadata!E667,15,2))&lt;=59,FALSE)), OR(MID(Metadata!E667,17,1)="", AND(AND(MID(Metadata!E667,17,1)=":",IFERROR(INT(MID(Metadata!E667,18,1))&gt;=0,FALSE),IFERROR(INT(MID(Metadata!E667,18,1))&lt;=5,FALSE),NOT(MID(Metadata!E667,19,1)=""),IFERROR(INT(MID(Metadata!E667,18,2))&gt;=0,FALSE),IFERROR(INT(MID(Metadata!E667,18,2))&lt;=59,FALSE)), LEN(Metadata!E667)&lt;=19)))))))))))))</f>
        <v>0</v>
      </c>
      <c r="AS667" t="b">
        <f>IF(Metadata!F667="",FALSE,TRUE)</f>
        <v>0</v>
      </c>
      <c r="AT667" t="b">
        <f>OR(AND(IF(Metadata!G667="",FALSE,TRUE),OR(EXACT(Metadata!G667,"not collected"),EXACT(Metadata!G667,"not provided"))),AND(IF(Metadata!G667="",FALSE,TRUE),OR(EXACT(Metadata!G667,"TRUE"),EXACT(Metadata!G667,"FALSE"))))</f>
        <v>0</v>
      </c>
      <c r="AU667" t="b">
        <f>OR(AND(IF(Metadata!H667="",FALSE,TRUE),OR(EXACT(Metadata!H667,"not collected"),EXACT(Metadata!H667,"not provided"),EXACT(Metadata!H667,"restricted access"))),AND(IF(Metadata!H667="",FALSE,ISNUMBER(VALUE(Metadata!H667))),Metadata!H667&gt;=-413))</f>
        <v>0</v>
      </c>
      <c r="AV667" t="b">
        <f>AND(IF(Metadata!I667="",FALSE,TRUE),EXACT(Metadata!I667,"meters"))</f>
        <v>0</v>
      </c>
      <c r="AW667" t="b">
        <f>AND(IF(Metadata!J667="",FALSE,TRUE),EXACT(Metadata!J667,"free-living"))</f>
        <v>0</v>
      </c>
      <c r="AX667" t="b">
        <f>AND(IF(Metadata!K667="",FALSE,TRUE),OR(EXACT(Metadata!K667,"saline"),EXACT(Metadata!K667,"non-saline")))</f>
        <v>0</v>
      </c>
      <c r="AY667" t="b">
        <f>AND(IF(Metadata!L667="",FALSE,TRUE),OR(EXACT(Metadata!L667,"sub-surface (non-saline)"),EXACT(Metadata!L667,"surface (non-saline)"),EXACT(Metadata!L667,"water (non-saline)"),EXACT(Metadata!L667,"soil (non-saline)"),EXACT(Metadata!L667,"aerosol (non-saline)"),EXACT(Metadata!L667,"sediment (non-saline)"),EXACT(Metadata!L667,"surface (saline)"),EXACT(Metadata!L667,"water (saline)"),EXACT(Metadata!L667,"hypersaline (saline)"),EXACT(Metadata!L667,"aerosol (saline)"),EXACT(Metadata!L667,"sediment (saline)")))</f>
        <v>0</v>
      </c>
      <c r="AZ667" t="b">
        <f>IF(Metadata!M667="",FALSE,TRUE)</f>
        <v>0</v>
      </c>
      <c r="BA667" t="b">
        <f>IF(Metadata!N667="",FALSE,TRUE)</f>
        <v>0</v>
      </c>
      <c r="BB667" t="b">
        <f>IF(Metadata!O667="",FALSE,TRUE)</f>
        <v>0</v>
      </c>
      <c r="BC667" t="b">
        <f>AND(IF(Metadata!P667="",FALSE,TRUE),OR(EXACT(Metadata!P667,"air"),EXACT(Metadata!P667,"microbial mat/biofilm"),EXACT(Metadata!P667,"misc environment"),EXACT(Metadata!P667,"sediment"),EXACT(Metadata!P667,"soil"),EXACT(Metadata!P667,"wastewater/sludge"),EXACT(Metadata!P667,"water")))</f>
        <v>0</v>
      </c>
      <c r="BD667" t="b">
        <f>IF(Metadata!Q667="",FALSE,TRUE)</f>
        <v>0</v>
      </c>
      <c r="BE667" t="b">
        <f>IF(Metadata!R667="",FALSE,TRUE)</f>
        <v>0</v>
      </c>
      <c r="BF667" t="b">
        <f>OR(AND(IF(Metadata!S667="",FALSE,TRUE),OR(EXACT(Metadata!S667,"not collected"),EXACT(Metadata!S667,"not provided"),EXACT(Metadata!S667,"restricted access"))),AND(IF(Metadata!S667="",FALSE,ISNUMBER(VALUE(Metadata!S667))),Metadata!S667&gt;=-90,Metadata!S667&lt;=90))</f>
        <v>0</v>
      </c>
      <c r="BG667" t="b">
        <f>AND(IF(Metadata!T667="",FALSE,TRUE),EXACT(Metadata!T667,"Decimal degrees"))</f>
        <v>0</v>
      </c>
      <c r="BH667" t="b">
        <f>OR(AND(IF(Metadata!U667="",FALSE,TRUE),OR(EXACT(Metadata!U667,"not applicable"),EXACT(Metadata!U667,"not collected"))),IF(Metadata!U667="",FALSE,TRUE))</f>
        <v>0</v>
      </c>
      <c r="BI667" t="b">
        <f>OR(AND(IF(Metadata!V667="",FALSE,TRUE),OR(EXACT(Metadata!V667,"not collected"),EXACT(Metadata!V667,"not provided"),EXACT(Metadata!V667,"restricted access"))),AND(IF(Metadata!V667="",FALSE,ISNUMBER(VALUE(Metadata!V667))),Metadata!V667&gt;=-180,Metadata!V667&lt;=180))</f>
        <v>0</v>
      </c>
      <c r="BJ667" t="b">
        <f>AND(IF(Metadata!W667="",FALSE,TRUE),EXACT(Metadata!W667,"Decimal degrees"))</f>
        <v>0</v>
      </c>
      <c r="BK667" t="b">
        <f>IF(Metadata!X667="",FALSE,TRUE)</f>
        <v>0</v>
      </c>
      <c r="BL667" t="b">
        <f>OR(AND(IF(Metadata!Y667="",FALSE,TRUE),OR(EXACT(Metadata!Y667,"not collected"),EXACT(Metadata!Y667,"not provided"),EXACT(Metadata!Y667,"restricted access"))),AND(IF(Metadata!Y667="",FALSE,TRUE),OR(EXACT(Metadata!Y667,"TRUE"),EXACT(Metadata!Y667,"FALSE"))))</f>
        <v>0</v>
      </c>
      <c r="BM667" t="b">
        <f>OR(AND(IF(Metadata!Z667="",FALSE,TRUE),EXACT(Metadata!Z667,"not applicable")),AND(IF(Metadata!Z667="",FALSE,TRUE),OR(EXACT(Metadata!Z667,"beer"),EXACT(Metadata!Z667,"cheese"),EXACT(Metadata!Z667,"fresh water"),EXACT(Metadata!Z667,"marine sediment"),EXACT(Metadata!Z667,"sea water"),EXACT(Metadata!Z667,"sediment"),EXACT(Metadata!Z667,"soil"),EXACT(Metadata!Z667,"waste water"))))</f>
        <v>0</v>
      </c>
      <c r="BN667" t="b">
        <f>AND(IF(Metadata!AA667="",FALSE,TRUE),EXACT(Metadata!AA667,"metagenome"))</f>
        <v>0</v>
      </c>
      <c r="BO667" t="b">
        <f>AND(IF(Metadata!AB667="",FALSE,TRUE),EXACT(Metadata!AB667,"256318"))</f>
        <v>0</v>
      </c>
      <c r="BP667" t="b">
        <f>IF(Metadata!AC667="",FALSE,TRUE)</f>
        <v>0</v>
      </c>
      <c r="BQ667" t="b">
        <f>IF(Metadata!AD667="",FALSE,TRUE)</f>
        <v>0</v>
      </c>
    </row>
    <row r="668" spans="1:69" x14ac:dyDescent="0.2">
      <c r="A668" s="4" t="e">
        <f ca="1">IF(B668=" "," ",HYPERLINK(CONCATENATE("#metadata!",ADDRESS(INDEX($AJ$2:$AJ$1001,MATCH(ROWS($AH$2:AH668),$AH$2:$AH$1001,0),0),2)),INDEX($AM$2:$AM$1001,MATCH(ROWS($AH$2:AH668),$AH$2:$AH$1001,0),0)))</f>
        <v>#N/A</v>
      </c>
      <c r="B668" s="5" t="e">
        <f ca="1">IF(OR(INDEX($AI$2:$AI$1001,MATCH(ROWS($AH$2:AH668),$AH$2:$AH$1001,0),1)&gt;=100000,INDEX($AO$1005:$BQ$1005,1,MATCH(COLUMNS($AO$1006:AO1006),$AO$1006:$BQ$1006,0))&gt;=100000), " ",IF(INDEX($AO$2:$BQ$1001,MATCH(ROWS($AH$2:AH668),$AH$2:$AH$1001,0),MATCH(COLUMNS($AO$1006:AO1006),$AO$1006:$BQ$1006,0)), HYPERLINK("#",""), HYPERLINK(CONCATENATE("#Metadata!", ADDRESS(INDEX($AJ$2:$AJ$1001,MATCH(ROWS($AH$2:AH668),$AH$2:$AH$1001,0),0), INDEX($AO$1004:$BQ$1004,1,MATCH(COLUMNS($AO$1006:AO1006),$AO$1006:$BQ$1006,0)))),"Fix")))</f>
        <v>#N/A</v>
      </c>
      <c r="C668" s="5" t="e">
        <f ca="1">IF(OR(INDEX($AI$2:$AI$1001,MATCH(ROWS($AH$2:AH668),$AH$2:$AH$1001,0),1)&gt;=100000,INDEX($AO$1005:$BQ$1005,1,MATCH(COLUMNS($AO$1006:AP1006),$AO$1006:$BQ$1006,0))&gt;=100000), " ",IF(INDEX($AO$2:$BQ$1001,MATCH(ROWS($AH$2:AH668),$AH$2:$AH$1001,0),MATCH(COLUMNS($AO$1006:AP1006),$AO$1006:$BQ$1006,0)), HYPERLINK("#",""), HYPERLINK(CONCATENATE("#Metadata!", ADDRESS(INDEX($AJ$2:$AJ$1001,MATCH(ROWS($AH$2:AH668),$AH$2:$AH$1001,0),0), INDEX($AO$1004:$BQ$1004,1,MATCH(COLUMNS($AO$1006:AP1006),$AO$1006:$BQ$1006,0)))),"Fix")))</f>
        <v>#N/A</v>
      </c>
      <c r="D668" s="5" t="e">
        <f ca="1">IF(OR(INDEX($AI$2:$AI$1001,MATCH(ROWS($AH$2:AH668),$AH$2:$AH$1001,0),1)&gt;=100000,INDEX($AO$1005:$BQ$1005,1,MATCH(COLUMNS($AO$1006:AQ1006),$AO$1006:$BQ$1006,0))&gt;=100000), " ",IF(INDEX($AO$2:$BQ$1001,MATCH(ROWS($AH$2:AH668),$AH$2:$AH$1001,0),MATCH(COLUMNS($AO$1006:AQ1006),$AO$1006:$BQ$1006,0)), HYPERLINK("#",""), HYPERLINK(CONCATENATE("#Metadata!", ADDRESS(INDEX($AJ$2:$AJ$1001,MATCH(ROWS($AH$2:AH668),$AH$2:$AH$1001,0),0), INDEX($AO$1004:$BQ$1004,1,MATCH(COLUMNS($AO$1006:AQ1006),$AO$1006:$BQ$1006,0)))),"Fix")))</f>
        <v>#N/A</v>
      </c>
      <c r="E668" s="5" t="e">
        <f ca="1">IF(OR(INDEX($AI$2:$AI$1001,MATCH(ROWS($AH$2:AH668),$AH$2:$AH$1001,0),1)&gt;=100000,INDEX($AO$1005:$BQ$1005,1,MATCH(COLUMNS($AO$1006:AR1006),$AO$1006:$BQ$1006,0))&gt;=100000), " ",IF(INDEX($AO$2:$BQ$1001,MATCH(ROWS($AH$2:AH668),$AH$2:$AH$1001,0),MATCH(COLUMNS($AO$1006:AR1006),$AO$1006:$BQ$1006,0)), HYPERLINK("#",""), HYPERLINK(CONCATENATE("#Metadata!", ADDRESS(INDEX($AJ$2:$AJ$1001,MATCH(ROWS($AH$2:AH668),$AH$2:$AH$1001,0),0), INDEX($AO$1004:$BQ$1004,1,MATCH(COLUMNS($AO$1006:AR1006),$AO$1006:$BQ$1006,0)))),"Fix")))</f>
        <v>#N/A</v>
      </c>
      <c r="F668" s="5" t="e">
        <f ca="1">IF(OR(INDEX($AI$2:$AI$1001,MATCH(ROWS($AH$2:AH668),$AH$2:$AH$1001,0),1)&gt;=100000,INDEX($AO$1005:$BQ$1005,1,MATCH(COLUMNS($AO$1006:AS1006),$AO$1006:$BQ$1006,0))&gt;=100000), " ",IF(INDEX($AO$2:$BQ$1001,MATCH(ROWS($AH$2:AH668),$AH$2:$AH$1001,0),MATCH(COLUMNS($AO$1006:AS1006),$AO$1006:$BQ$1006,0)), HYPERLINK("#",""), HYPERLINK(CONCATENATE("#Metadata!", ADDRESS(INDEX($AJ$2:$AJ$1001,MATCH(ROWS($AH$2:AH668),$AH$2:$AH$1001,0),0), INDEX($AO$1004:$BQ$1004,1,MATCH(COLUMNS($AO$1006:AS1006),$AO$1006:$BQ$1006,0)))),"Fix")))</f>
        <v>#N/A</v>
      </c>
      <c r="G668" s="5" t="e">
        <f ca="1">IF(OR(INDEX($AI$2:$AI$1001,MATCH(ROWS($AH$2:AH668),$AH$2:$AH$1001,0),1)&gt;=100000,INDEX($AO$1005:$BQ$1005,1,MATCH(COLUMNS($AO$1006:AT1006),$AO$1006:$BQ$1006,0))&gt;=100000), " ",IF(INDEX($AO$2:$BQ$1001,MATCH(ROWS($AH$2:AH668),$AH$2:$AH$1001,0),MATCH(COLUMNS($AO$1006:AT1006),$AO$1006:$BQ$1006,0)), HYPERLINK("#",""), HYPERLINK(CONCATENATE("#Metadata!", ADDRESS(INDEX($AJ$2:$AJ$1001,MATCH(ROWS($AH$2:AH668),$AH$2:$AH$1001,0),0), INDEX($AO$1004:$BQ$1004,1,MATCH(COLUMNS($AO$1006:AT1006),$AO$1006:$BQ$1006,0)))),"Fix")))</f>
        <v>#N/A</v>
      </c>
      <c r="H668" s="5" t="e">
        <f ca="1">IF(OR(INDEX($AI$2:$AI$1001,MATCH(ROWS($AH$2:AH668),$AH$2:$AH$1001,0),1)&gt;=100000,INDEX($AO$1005:$BQ$1005,1,MATCH(COLUMNS($AO$1006:AU1006),$AO$1006:$BQ$1006,0))&gt;=100000), " ",IF(INDEX($AO$2:$BQ$1001,MATCH(ROWS($AH$2:AH668),$AH$2:$AH$1001,0),MATCH(COLUMNS($AO$1006:AU1006),$AO$1006:$BQ$1006,0)), HYPERLINK("#",""), HYPERLINK(CONCATENATE("#Metadata!", ADDRESS(INDEX($AJ$2:$AJ$1001,MATCH(ROWS($AH$2:AH668),$AH$2:$AH$1001,0),0), INDEX($AO$1004:$BQ$1004,1,MATCH(COLUMNS($AO$1006:AU1006),$AO$1006:$BQ$1006,0)))),"Fix")))</f>
        <v>#N/A</v>
      </c>
      <c r="I668" s="5" t="e">
        <f ca="1">IF(OR(INDEX($AI$2:$AI$1001,MATCH(ROWS($AH$2:AH668),$AH$2:$AH$1001,0),1)&gt;=100000,INDEX($AO$1005:$BQ$1005,1,MATCH(COLUMNS($AO$1006:AV1006),$AO$1006:$BQ$1006,0))&gt;=100000), " ",IF(INDEX($AO$2:$BQ$1001,MATCH(ROWS($AH$2:AH668),$AH$2:$AH$1001,0),MATCH(COLUMNS($AO$1006:AV1006),$AO$1006:$BQ$1006,0)), HYPERLINK("#",""), HYPERLINK(CONCATENATE("#Metadata!", ADDRESS(INDEX($AJ$2:$AJ$1001,MATCH(ROWS($AH$2:AH668),$AH$2:$AH$1001,0),0), INDEX($AO$1004:$BQ$1004,1,MATCH(COLUMNS($AO$1006:AV1006),$AO$1006:$BQ$1006,0)))),"Fix")))</f>
        <v>#N/A</v>
      </c>
      <c r="J668" s="5" t="e">
        <f ca="1">IF(OR(INDEX($AI$2:$AI$1001,MATCH(ROWS($AH$2:AH668),$AH$2:$AH$1001,0),1)&gt;=100000,INDEX($AO$1005:$BQ$1005,1,MATCH(COLUMNS($AO$1006:AW1006),$AO$1006:$BQ$1006,0))&gt;=100000), " ",IF(INDEX($AO$2:$BQ$1001,MATCH(ROWS($AH$2:AH668),$AH$2:$AH$1001,0),MATCH(COLUMNS($AO$1006:AW1006),$AO$1006:$BQ$1006,0)), HYPERLINK("#",""), HYPERLINK(CONCATENATE("#Metadata!", ADDRESS(INDEX($AJ$2:$AJ$1001,MATCH(ROWS($AH$2:AH668),$AH$2:$AH$1001,0),0), INDEX($AO$1004:$BQ$1004,1,MATCH(COLUMNS($AO$1006:AW1006),$AO$1006:$BQ$1006,0)))),"Fix")))</f>
        <v>#N/A</v>
      </c>
      <c r="K668" s="5" t="e">
        <f ca="1">IF(OR(INDEX($AI$2:$AI$1001,MATCH(ROWS($AH$2:AH668),$AH$2:$AH$1001,0),1)&gt;=100000,INDEX($AO$1005:$BQ$1005,1,MATCH(COLUMNS($AO$1006:AX1006),$AO$1006:$BQ$1006,0))&gt;=100000), " ",IF(INDEX($AO$2:$BQ$1001,MATCH(ROWS($AH$2:AH668),$AH$2:$AH$1001,0),MATCH(COLUMNS($AO$1006:AX1006),$AO$1006:$BQ$1006,0)), HYPERLINK("#",""), HYPERLINK(CONCATENATE("#Metadata!", ADDRESS(INDEX($AJ$2:$AJ$1001,MATCH(ROWS($AH$2:AH668),$AH$2:$AH$1001,0),0), INDEX($AO$1004:$BQ$1004,1,MATCH(COLUMNS($AO$1006:AX1006),$AO$1006:$BQ$1006,0)))),"Fix")))</f>
        <v>#N/A</v>
      </c>
      <c r="L668" s="5" t="e">
        <f ca="1">IF(OR(INDEX($AI$2:$AI$1001,MATCH(ROWS($AH$2:AH668),$AH$2:$AH$1001,0),1)&gt;=100000,INDEX($AO$1005:$BQ$1005,1,MATCH(COLUMNS($AO$1006:AY1006),$AO$1006:$BQ$1006,0))&gt;=100000), " ",IF(INDEX($AO$2:$BQ$1001,MATCH(ROWS($AH$2:AH668),$AH$2:$AH$1001,0),MATCH(COLUMNS($AO$1006:AY1006),$AO$1006:$BQ$1006,0)), HYPERLINK("#",""), HYPERLINK(CONCATENATE("#Metadata!", ADDRESS(INDEX($AJ$2:$AJ$1001,MATCH(ROWS($AH$2:AH668),$AH$2:$AH$1001,0),0), INDEX($AO$1004:$BQ$1004,1,MATCH(COLUMNS($AO$1006:AY1006),$AO$1006:$BQ$1006,0)))),"Fix")))</f>
        <v>#N/A</v>
      </c>
      <c r="M668" s="5" t="e">
        <f ca="1">IF(OR(INDEX($AI$2:$AI$1001,MATCH(ROWS($AH$2:AH668),$AH$2:$AH$1001,0),1)&gt;=100000,INDEX($AO$1005:$BQ$1005,1,MATCH(COLUMNS($AO$1006:AZ1006),$AO$1006:$BQ$1006,0))&gt;=100000), " ",IF(INDEX($AO$2:$BQ$1001,MATCH(ROWS($AH$2:AH668),$AH$2:$AH$1001,0),MATCH(COLUMNS($AO$1006:AZ1006),$AO$1006:$BQ$1006,0)), HYPERLINK("#",""), HYPERLINK(CONCATENATE("#Metadata!", ADDRESS(INDEX($AJ$2:$AJ$1001,MATCH(ROWS($AH$2:AH668),$AH$2:$AH$1001,0),0), INDEX($AO$1004:$BQ$1004,1,MATCH(COLUMNS($AO$1006:AZ1006),$AO$1006:$BQ$1006,0)))),"Fix")))</f>
        <v>#N/A</v>
      </c>
      <c r="N668" s="5" t="e">
        <f ca="1">IF(OR(INDEX($AI$2:$AI$1001,MATCH(ROWS($AH$2:AH668),$AH$2:$AH$1001,0),1)&gt;=100000,INDEX($AO$1005:$BQ$1005,1,MATCH(COLUMNS($AO$1006:BA1006),$AO$1006:$BQ$1006,0))&gt;=100000), " ",IF(INDEX($AO$2:$BQ$1001,MATCH(ROWS($AH$2:AH668),$AH$2:$AH$1001,0),MATCH(COLUMNS($AO$1006:BA1006),$AO$1006:$BQ$1006,0)), HYPERLINK("#",""), HYPERLINK(CONCATENATE("#Metadata!", ADDRESS(INDEX($AJ$2:$AJ$1001,MATCH(ROWS($AH$2:AH668),$AH$2:$AH$1001,0),0), INDEX($AO$1004:$BQ$1004,1,MATCH(COLUMNS($AO$1006:BA1006),$AO$1006:$BQ$1006,0)))),"Fix")))</f>
        <v>#N/A</v>
      </c>
      <c r="O668" s="5" t="e">
        <f ca="1">IF(OR(INDEX($AI$2:$AI$1001,MATCH(ROWS($AH$2:AH668),$AH$2:$AH$1001,0),1)&gt;=100000,INDEX($AO$1005:$BQ$1005,1,MATCH(COLUMNS($AO$1006:BB1006),$AO$1006:$BQ$1006,0))&gt;=100000), " ",IF(INDEX($AO$2:$BQ$1001,MATCH(ROWS($AH$2:AH668),$AH$2:$AH$1001,0),MATCH(COLUMNS($AO$1006:BB1006),$AO$1006:$BQ$1006,0)), HYPERLINK("#",""), HYPERLINK(CONCATENATE("#Metadata!", ADDRESS(INDEX($AJ$2:$AJ$1001,MATCH(ROWS($AH$2:AH668),$AH$2:$AH$1001,0),0), INDEX($AO$1004:$BQ$1004,1,MATCH(COLUMNS($AO$1006:BB1006),$AO$1006:$BQ$1006,0)))),"Fix")))</f>
        <v>#N/A</v>
      </c>
      <c r="P668" s="5" t="e">
        <f ca="1">IF(OR(INDEX($AI$2:$AI$1001,MATCH(ROWS($AH$2:AH668),$AH$2:$AH$1001,0),1)&gt;=100000,INDEX($AO$1005:$BQ$1005,1,MATCH(COLUMNS($AO$1006:BC1006),$AO$1006:$BQ$1006,0))&gt;=100000), " ",IF(INDEX($AO$2:$BQ$1001,MATCH(ROWS($AH$2:AH668),$AH$2:$AH$1001,0),MATCH(COLUMNS($AO$1006:BC1006),$AO$1006:$BQ$1006,0)), HYPERLINK("#",""), HYPERLINK(CONCATENATE("#Metadata!", ADDRESS(INDEX($AJ$2:$AJ$1001,MATCH(ROWS($AH$2:AH668),$AH$2:$AH$1001,0),0), INDEX($AO$1004:$BQ$1004,1,MATCH(COLUMNS($AO$1006:BC1006),$AO$1006:$BQ$1006,0)))),"Fix")))</f>
        <v>#N/A</v>
      </c>
      <c r="Q668" s="5" t="e">
        <f ca="1">IF(OR(INDEX($AI$2:$AI$1001,MATCH(ROWS($AH$2:AH668),$AH$2:$AH$1001,0),1)&gt;=100000,INDEX($AO$1005:$BQ$1005,1,MATCH(COLUMNS($AO$1006:BD1006),$AO$1006:$BQ$1006,0))&gt;=100000), " ",IF(INDEX($AO$2:$BQ$1001,MATCH(ROWS($AH$2:AH668),$AH$2:$AH$1001,0),MATCH(COLUMNS($AO$1006:BD1006),$AO$1006:$BQ$1006,0)), HYPERLINK("#",""), HYPERLINK(CONCATENATE("#Metadata!", ADDRESS(INDEX($AJ$2:$AJ$1001,MATCH(ROWS($AH$2:AH668),$AH$2:$AH$1001,0),0), INDEX($AO$1004:$BQ$1004,1,MATCH(COLUMNS($AO$1006:BD1006),$AO$1006:$BQ$1006,0)))),"Fix")))</f>
        <v>#N/A</v>
      </c>
      <c r="R668" s="5" t="e">
        <f ca="1">IF(OR(INDEX($AI$2:$AI$1001,MATCH(ROWS($AH$2:AH668),$AH$2:$AH$1001,0),1)&gt;=100000,INDEX($AO$1005:$BQ$1005,1,MATCH(COLUMNS($AO$1006:BE1006),$AO$1006:$BQ$1006,0))&gt;=100000), " ",IF(INDEX($AO$2:$BQ$1001,MATCH(ROWS($AH$2:AH668),$AH$2:$AH$1001,0),MATCH(COLUMNS($AO$1006:BE1006),$AO$1006:$BQ$1006,0)), HYPERLINK("#",""), HYPERLINK(CONCATENATE("#Metadata!", ADDRESS(INDEX($AJ$2:$AJ$1001,MATCH(ROWS($AH$2:AH668),$AH$2:$AH$1001,0),0), INDEX($AO$1004:$BQ$1004,1,MATCH(COLUMNS($AO$1006:BE1006),$AO$1006:$BQ$1006,0)))),"Fix")))</f>
        <v>#N/A</v>
      </c>
      <c r="S668" s="5" t="e">
        <f ca="1">IF(OR(INDEX($AI$2:$AI$1001,MATCH(ROWS($AH$2:AH668),$AH$2:$AH$1001,0),1)&gt;=100000,INDEX($AO$1005:$BQ$1005,1,MATCH(COLUMNS($AO$1006:BF1006),$AO$1006:$BQ$1006,0))&gt;=100000), " ",IF(INDEX($AO$2:$BQ$1001,MATCH(ROWS($AH$2:AH668),$AH$2:$AH$1001,0),MATCH(COLUMNS($AO$1006:BF1006),$AO$1006:$BQ$1006,0)), HYPERLINK("#",""), HYPERLINK(CONCATENATE("#Metadata!", ADDRESS(INDEX($AJ$2:$AJ$1001,MATCH(ROWS($AH$2:AH668),$AH$2:$AH$1001,0),0), INDEX($AO$1004:$BQ$1004,1,MATCH(COLUMNS($AO$1006:BF1006),$AO$1006:$BQ$1006,0)))),"Fix")))</f>
        <v>#N/A</v>
      </c>
      <c r="T668" s="5" t="e">
        <f ca="1">IF(OR(INDEX($AI$2:$AI$1001,MATCH(ROWS($AH$2:AH668),$AH$2:$AH$1001,0),1)&gt;=100000,INDEX($AO$1005:$BQ$1005,1,MATCH(COLUMNS($AO$1006:BG1006),$AO$1006:$BQ$1006,0))&gt;=100000), " ",IF(INDEX($AO$2:$BQ$1001,MATCH(ROWS($AH$2:AH668),$AH$2:$AH$1001,0),MATCH(COLUMNS($AO$1006:BG1006),$AO$1006:$BQ$1006,0)), HYPERLINK("#",""), HYPERLINK(CONCATENATE("#Metadata!", ADDRESS(INDEX($AJ$2:$AJ$1001,MATCH(ROWS($AH$2:AH668),$AH$2:$AH$1001,0),0), INDEX($AO$1004:$BQ$1004,1,MATCH(COLUMNS($AO$1006:BG1006),$AO$1006:$BQ$1006,0)))),"Fix")))</f>
        <v>#N/A</v>
      </c>
      <c r="U668" s="5" t="e">
        <f ca="1">IF(OR(INDEX($AI$2:$AI$1001,MATCH(ROWS($AH$2:AH668),$AH$2:$AH$1001,0),1)&gt;=100000,INDEX($AO$1005:$BQ$1005,1,MATCH(COLUMNS($AO$1006:BH1006),$AO$1006:$BQ$1006,0))&gt;=100000), " ",IF(INDEX($AO$2:$BQ$1001,MATCH(ROWS($AH$2:AH668),$AH$2:$AH$1001,0),MATCH(COLUMNS($AO$1006:BH1006),$AO$1006:$BQ$1006,0)), HYPERLINK("#",""), HYPERLINK(CONCATENATE("#Metadata!", ADDRESS(INDEX($AJ$2:$AJ$1001,MATCH(ROWS($AH$2:AH668),$AH$2:$AH$1001,0),0), INDEX($AO$1004:$BQ$1004,1,MATCH(COLUMNS($AO$1006:BH1006),$AO$1006:$BQ$1006,0)))),"Fix")))</f>
        <v>#N/A</v>
      </c>
      <c r="V668" s="5" t="e">
        <f ca="1">IF(OR(INDEX($AI$2:$AI$1001,MATCH(ROWS($AH$2:AH668),$AH$2:$AH$1001,0),1)&gt;=100000,INDEX($AO$1005:$BQ$1005,1,MATCH(COLUMNS($AO$1006:BI1006),$AO$1006:$BQ$1006,0))&gt;=100000), " ",IF(INDEX($AO$2:$BQ$1001,MATCH(ROWS($AH$2:AH668),$AH$2:$AH$1001,0),MATCH(COLUMNS($AO$1006:BI1006),$AO$1006:$BQ$1006,0)), HYPERLINK("#",""), HYPERLINK(CONCATENATE("#Metadata!", ADDRESS(INDEX($AJ$2:$AJ$1001,MATCH(ROWS($AH$2:AH668),$AH$2:$AH$1001,0),0), INDEX($AO$1004:$BQ$1004,1,MATCH(COLUMNS($AO$1006:BI1006),$AO$1006:$BQ$1006,0)))),"Fix")))</f>
        <v>#N/A</v>
      </c>
      <c r="W668" s="5" t="e">
        <f ca="1">IF(OR(INDEX($AI$2:$AI$1001,MATCH(ROWS($AH$2:AH668),$AH$2:$AH$1001,0),1)&gt;=100000,INDEX($AO$1005:$BQ$1005,1,MATCH(COLUMNS($AO$1006:BJ1006),$AO$1006:$BQ$1006,0))&gt;=100000), " ",IF(INDEX($AO$2:$BQ$1001,MATCH(ROWS($AH$2:AH668),$AH$2:$AH$1001,0),MATCH(COLUMNS($AO$1006:BJ1006),$AO$1006:$BQ$1006,0)), HYPERLINK("#",""), HYPERLINK(CONCATENATE("#Metadata!", ADDRESS(INDEX($AJ$2:$AJ$1001,MATCH(ROWS($AH$2:AH668),$AH$2:$AH$1001,0),0), INDEX($AO$1004:$BQ$1004,1,MATCH(COLUMNS($AO$1006:BJ1006),$AO$1006:$BQ$1006,0)))),"Fix")))</f>
        <v>#N/A</v>
      </c>
      <c r="X668" s="5" t="e">
        <f ca="1">IF(OR(INDEX($AI$2:$AI$1001,MATCH(ROWS($AH$2:AH668),$AH$2:$AH$1001,0),1)&gt;=100000,INDEX($AO$1005:$BQ$1005,1,MATCH(COLUMNS($AO$1006:BK1006),$AO$1006:$BQ$1006,0))&gt;=100000), " ",IF(INDEX($AO$2:$BQ$1001,MATCH(ROWS($AH$2:AH668),$AH$2:$AH$1001,0),MATCH(COLUMNS($AO$1006:BK1006),$AO$1006:$BQ$1006,0)), HYPERLINK("#",""), HYPERLINK(CONCATENATE("#Metadata!", ADDRESS(INDEX($AJ$2:$AJ$1001,MATCH(ROWS($AH$2:AH668),$AH$2:$AH$1001,0),0), INDEX($AO$1004:$BQ$1004,1,MATCH(COLUMNS($AO$1006:BK1006),$AO$1006:$BQ$1006,0)))),"Fix")))</f>
        <v>#N/A</v>
      </c>
      <c r="Y668" s="5" t="e">
        <f ca="1">IF(OR(INDEX($AI$2:$AI$1001,MATCH(ROWS($AH$2:AH668),$AH$2:$AH$1001,0),1)&gt;=100000,INDEX($AO$1005:$BQ$1005,1,MATCH(COLUMNS($AO$1006:BL1006),$AO$1006:$BQ$1006,0))&gt;=100000), " ",IF(INDEX($AO$2:$BQ$1001,MATCH(ROWS($AH$2:AH668),$AH$2:$AH$1001,0),MATCH(COLUMNS($AO$1006:BL1006),$AO$1006:$BQ$1006,0)), HYPERLINK("#",""), HYPERLINK(CONCATENATE("#Metadata!", ADDRESS(INDEX($AJ$2:$AJ$1001,MATCH(ROWS($AH$2:AH668),$AH$2:$AH$1001,0),0), INDEX($AO$1004:$BQ$1004,1,MATCH(COLUMNS($AO$1006:BL1006),$AO$1006:$BQ$1006,0)))),"Fix")))</f>
        <v>#N/A</v>
      </c>
      <c r="Z668" s="5" t="e">
        <f ca="1">IF(OR(INDEX($AI$2:$AI$1001,MATCH(ROWS($AH$2:AH668),$AH$2:$AH$1001,0),1)&gt;=100000,INDEX($AO$1005:$BQ$1005,1,MATCH(COLUMNS($AO$1006:BM1006),$AO$1006:$BQ$1006,0))&gt;=100000), " ",IF(INDEX($AO$2:$BQ$1001,MATCH(ROWS($AH$2:AH668),$AH$2:$AH$1001,0),MATCH(COLUMNS($AO$1006:BM1006),$AO$1006:$BQ$1006,0)), HYPERLINK("#",""), HYPERLINK(CONCATENATE("#Metadata!", ADDRESS(INDEX($AJ$2:$AJ$1001,MATCH(ROWS($AH$2:AH668),$AH$2:$AH$1001,0),0), INDEX($AO$1004:$BQ$1004,1,MATCH(COLUMNS($AO$1006:BM1006),$AO$1006:$BQ$1006,0)))),"Fix")))</f>
        <v>#N/A</v>
      </c>
      <c r="AA668" s="5" t="e">
        <f ca="1">IF(OR(INDEX($AI$2:$AI$1001,MATCH(ROWS($AH$2:AH668),$AH$2:$AH$1001,0),1)&gt;=100000,INDEX($AO$1005:$BQ$1005,1,MATCH(COLUMNS($AO$1006:BN1006),$AO$1006:$BQ$1006,0))&gt;=100000), " ",IF(INDEX($AO$2:$BQ$1001,MATCH(ROWS($AH$2:AH668),$AH$2:$AH$1001,0),MATCH(COLUMNS($AO$1006:BN1006),$AO$1006:$BQ$1006,0)), HYPERLINK("#",""), HYPERLINK(CONCATENATE("#Metadata!", ADDRESS(INDEX($AJ$2:$AJ$1001,MATCH(ROWS($AH$2:AH668),$AH$2:$AH$1001,0),0), INDEX($AO$1004:$BQ$1004,1,MATCH(COLUMNS($AO$1006:BN1006),$AO$1006:$BQ$1006,0)))),"Fix")))</f>
        <v>#N/A</v>
      </c>
      <c r="AB668" s="5" t="e">
        <f ca="1">IF(OR(INDEX($AI$2:$AI$1001,MATCH(ROWS($AH$2:AH668),$AH$2:$AH$1001,0),1)&gt;=100000,INDEX($AO$1005:$BQ$1005,1,MATCH(COLUMNS($AO$1006:BO1006),$AO$1006:$BQ$1006,0))&gt;=100000), " ",IF(INDEX($AO$2:$BQ$1001,MATCH(ROWS($AH$2:AH668),$AH$2:$AH$1001,0),MATCH(COLUMNS($AO$1006:BO1006),$AO$1006:$BQ$1006,0)), HYPERLINK("#",""), HYPERLINK(CONCATENATE("#Metadata!", ADDRESS(INDEX($AJ$2:$AJ$1001,MATCH(ROWS($AH$2:AH668),$AH$2:$AH$1001,0),0), INDEX($AO$1004:$BQ$1004,1,MATCH(COLUMNS($AO$1006:BO1006),$AO$1006:$BQ$1006,0)))),"Fix")))</f>
        <v>#N/A</v>
      </c>
      <c r="AC668" s="5" t="e">
        <f ca="1">IF(OR(INDEX($AI$2:$AI$1001,MATCH(ROWS($AH$2:AH668),$AH$2:$AH$1001,0),1)&gt;=100000,INDEX($AO$1005:$BQ$1005,1,MATCH(COLUMNS($AO$1006:BP1006),$AO$1006:$BQ$1006,0))&gt;=100000), " ",IF(INDEX($AO$2:$BQ$1001,MATCH(ROWS($AH$2:AH668),$AH$2:$AH$1001,0),MATCH(COLUMNS($AO$1006:BP1006),$AO$1006:$BQ$1006,0)), HYPERLINK("#",""), HYPERLINK(CONCATENATE("#Metadata!", ADDRESS(INDEX($AJ$2:$AJ$1001,MATCH(ROWS($AH$2:AH668),$AH$2:$AH$1001,0),0), INDEX($AO$1004:$BQ$1004,1,MATCH(COLUMNS($AO$1006:BP1006),$AO$1006:$BQ$1006,0)))),"Fix")))</f>
        <v>#N/A</v>
      </c>
      <c r="AD668" s="5" t="e">
        <f ca="1">IF(OR(INDEX($AI$2:$AI$1001,MATCH(ROWS($AH$2:AH668),$AH$2:$AH$1001,0),1)&gt;=100000,INDEX($AO$1005:$BQ$1005,1,MATCH(COLUMNS($AO$1006:BQ1006),$AO$1006:$BQ$1006,0))&gt;=100000), " ",IF(INDEX($AO$2:$BQ$1001,MATCH(ROWS($AH$2:AH668),$AH$2:$AH$1001,0),MATCH(COLUMNS($AO$1006:BQ1006),$AO$1006:$BQ$1006,0)), HYPERLINK("#",""), HYPERLINK(CONCATENATE("#Metadata!", ADDRESS(INDEX($AJ$2:$AJ$1001,MATCH(ROWS($AH$2:AH668),$AH$2:$AH$1001,0),0), INDEX($AO$1004:$BQ$1004,1,MATCH(COLUMNS($AO$1006:BQ1006),$AO$1006:$BQ$1006,0)))),"Fix")))</f>
        <v>#REF!</v>
      </c>
      <c r="AH668">
        <f ca="1"/>
        <v>665</v>
      </c>
      <c r="AI668">
        <v>100668</v>
      </c>
      <c r="AJ668">
        <v>668</v>
      </c>
      <c r="AK668" t="b">
        <f t="shared" si="10"/>
        <v>1</v>
      </c>
      <c r="AL668" t="b">
        <f>COUNTBLANK(Metadata!B668:AD668)=COLUMNS(Metadata!B668:AD668)</f>
        <v>1</v>
      </c>
      <c r="AM668" t="str">
        <v/>
      </c>
      <c r="AO668" t="b">
        <f ca="1">AND(IF(Metadata!B668="",FALSE,TRUE),COUNTIF(Metadata!B:B, Metadata!B668) = 1,NOT(ISERROR(SUMPRODUCT(SEARCH(MID(Metadata!B668,ROW(INDIRECT("1:"&amp;LEN(Metadata!B668))), 1),"0123456789abcdefghijklmnopqrstuvwxyzABCDEFGHIJKLMNOPQRSTUVWXYZ.")))))</f>
        <v>0</v>
      </c>
      <c r="AP668" t="b">
        <f>IF(Metadata!C668="",FALSE,TRUE)</f>
        <v>0</v>
      </c>
      <c r="AQ668" t="b">
        <f>IF(Metadata!D668="",FALSE,TRUE)</f>
        <v>0</v>
      </c>
      <c r="AR668" t="b">
        <f ca="1">OR(AND(IF(Metadata!E668="",FALSE,TRUE),OR(EXACT(Metadata!E668,"not collected"),EXACT(Metadata!E668,"not provided"),EXACT(Metadata!E668,"restricted access"))),AND(IF(Metadata!E668="",FALSE,TRUE),AND(AND(IFERROR(INT(LEFT(Metadata!E668,4))&gt;1900,FALSE),IFERROR(INT(LEFT(Metadata!E668,4))&lt;=YEAR(NOW()),FALSE)), OR(MID(Metadata!E668,5,1)="", AND(AND(MID(Metadata!E668,5,1)="-",IFERROR(INT(MID(Metadata!E668,6,1))&gt;=0,FALSE),IFERROR(INT(MID(Metadata!E668,6,1))&lt;=1,FALSE),NOT(MID(Metadata!E668,7,1)=""),IFERROR(INT(MID(Metadata!E668,6,2))&gt;=1,FALSE),IFERROR(INT(MID(Metadata!E668,6,2))&lt;=12,FALSE)), OR(MID(Metadata!E668,8,1)="", AND(AND(MID(Metadata!E668,8,1)="-",IFERROR(INT(MID(Metadata!E668,9,1))&gt;=0,FALSE),IFERROR(INT(MID(Metadata!E668,9,1))&lt;=3,FALSE),NOT(MID(Metadata!E668,10,1)=""),IFERROR(INT(MID(Metadata!E668,9,2))&gt;=1,FALSE),IFERROR(INT(MID(Metadata!E668,9,2))&lt;=31,FALSE)), OR(MID(Metadata!E668,11,1)="", AND(AND(MID(Metadata!E668,11,1)=" ",IFERROR(INT(MID(Metadata!E668,12,1))&gt;=0,FALSE),IFERROR(INT(MID(Metadata!E668,12,1))&lt;=2,FALSE),NOT(MID(Metadata!E668,13,1)=""),IFERROR(INT(MID(Metadata!E668,12,2))&gt;=0,FALSE),IFERROR(INT(MID(Metadata!E668,12,2))&lt;=23,FALSE)), OR(MID(Metadata!E668,14,1)="", AND(AND(MID(Metadata!E668,14,1)=":",IFERROR(INT(MID(Metadata!E668,15,1))&gt;=0,FALSE),IFERROR(INT(MID(Metadata!E668,15,1))&lt;=5,FALSE),NOT(MID(Metadata!E668,16,1)=""),IFERROR(INT(MID(Metadata!E668,15,2))&gt;=0,FALSE),IFERROR(INT(MID(Metadata!E668,15,2))&lt;=59,FALSE)), OR(MID(Metadata!E668,17,1)="", AND(AND(MID(Metadata!E668,17,1)=":",IFERROR(INT(MID(Metadata!E668,18,1))&gt;=0,FALSE),IFERROR(INT(MID(Metadata!E668,18,1))&lt;=5,FALSE),NOT(MID(Metadata!E668,19,1)=""),IFERROR(INT(MID(Metadata!E668,18,2))&gt;=0,FALSE),IFERROR(INT(MID(Metadata!E668,18,2))&lt;=59,FALSE)), LEN(Metadata!E668)&lt;=19)))))))))))))</f>
        <v>0</v>
      </c>
      <c r="AS668" t="b">
        <f>IF(Metadata!F668="",FALSE,TRUE)</f>
        <v>0</v>
      </c>
      <c r="AT668" t="b">
        <f>OR(AND(IF(Metadata!G668="",FALSE,TRUE),OR(EXACT(Metadata!G668,"not collected"),EXACT(Metadata!G668,"not provided"))),AND(IF(Metadata!G668="",FALSE,TRUE),OR(EXACT(Metadata!G668,"TRUE"),EXACT(Metadata!G668,"FALSE"))))</f>
        <v>0</v>
      </c>
      <c r="AU668" t="b">
        <f>OR(AND(IF(Metadata!H668="",FALSE,TRUE),OR(EXACT(Metadata!H668,"not collected"),EXACT(Metadata!H668,"not provided"),EXACT(Metadata!H668,"restricted access"))),AND(IF(Metadata!H668="",FALSE,ISNUMBER(VALUE(Metadata!H668))),Metadata!H668&gt;=-413))</f>
        <v>0</v>
      </c>
      <c r="AV668" t="b">
        <f>AND(IF(Metadata!I668="",FALSE,TRUE),EXACT(Metadata!I668,"meters"))</f>
        <v>0</v>
      </c>
      <c r="AW668" t="b">
        <f>AND(IF(Metadata!J668="",FALSE,TRUE),EXACT(Metadata!J668,"free-living"))</f>
        <v>0</v>
      </c>
      <c r="AX668" t="b">
        <f>AND(IF(Metadata!K668="",FALSE,TRUE),OR(EXACT(Metadata!K668,"saline"),EXACT(Metadata!K668,"non-saline")))</f>
        <v>0</v>
      </c>
      <c r="AY668" t="b">
        <f>AND(IF(Metadata!L668="",FALSE,TRUE),OR(EXACT(Metadata!L668,"sub-surface (non-saline)"),EXACT(Metadata!L668,"surface (non-saline)"),EXACT(Metadata!L668,"water (non-saline)"),EXACT(Metadata!L668,"soil (non-saline)"),EXACT(Metadata!L668,"aerosol (non-saline)"),EXACT(Metadata!L668,"sediment (non-saline)"),EXACT(Metadata!L668,"surface (saline)"),EXACT(Metadata!L668,"water (saline)"),EXACT(Metadata!L668,"hypersaline (saline)"),EXACT(Metadata!L668,"aerosol (saline)"),EXACT(Metadata!L668,"sediment (saline)")))</f>
        <v>0</v>
      </c>
      <c r="AZ668" t="b">
        <f>IF(Metadata!M668="",FALSE,TRUE)</f>
        <v>0</v>
      </c>
      <c r="BA668" t="b">
        <f>IF(Metadata!N668="",FALSE,TRUE)</f>
        <v>0</v>
      </c>
      <c r="BB668" t="b">
        <f>IF(Metadata!O668="",FALSE,TRUE)</f>
        <v>0</v>
      </c>
      <c r="BC668" t="b">
        <f>AND(IF(Metadata!P668="",FALSE,TRUE),OR(EXACT(Metadata!P668,"air"),EXACT(Metadata!P668,"microbial mat/biofilm"),EXACT(Metadata!P668,"misc environment"),EXACT(Metadata!P668,"sediment"),EXACT(Metadata!P668,"soil"),EXACT(Metadata!P668,"wastewater/sludge"),EXACT(Metadata!P668,"water")))</f>
        <v>0</v>
      </c>
      <c r="BD668" t="b">
        <f>IF(Metadata!Q668="",FALSE,TRUE)</f>
        <v>0</v>
      </c>
      <c r="BE668" t="b">
        <f>IF(Metadata!R668="",FALSE,TRUE)</f>
        <v>0</v>
      </c>
      <c r="BF668" t="b">
        <f>OR(AND(IF(Metadata!S668="",FALSE,TRUE),OR(EXACT(Metadata!S668,"not collected"),EXACT(Metadata!S668,"not provided"),EXACT(Metadata!S668,"restricted access"))),AND(IF(Metadata!S668="",FALSE,ISNUMBER(VALUE(Metadata!S668))),Metadata!S668&gt;=-90,Metadata!S668&lt;=90))</f>
        <v>0</v>
      </c>
      <c r="BG668" t="b">
        <f>AND(IF(Metadata!T668="",FALSE,TRUE),EXACT(Metadata!T668,"Decimal degrees"))</f>
        <v>0</v>
      </c>
      <c r="BH668" t="b">
        <f>OR(AND(IF(Metadata!U668="",FALSE,TRUE),OR(EXACT(Metadata!U668,"not applicable"),EXACT(Metadata!U668,"not collected"))),IF(Metadata!U668="",FALSE,TRUE))</f>
        <v>0</v>
      </c>
      <c r="BI668" t="b">
        <f>OR(AND(IF(Metadata!V668="",FALSE,TRUE),OR(EXACT(Metadata!V668,"not collected"),EXACT(Metadata!V668,"not provided"),EXACT(Metadata!V668,"restricted access"))),AND(IF(Metadata!V668="",FALSE,ISNUMBER(VALUE(Metadata!V668))),Metadata!V668&gt;=-180,Metadata!V668&lt;=180))</f>
        <v>0</v>
      </c>
      <c r="BJ668" t="b">
        <f>AND(IF(Metadata!W668="",FALSE,TRUE),EXACT(Metadata!W668,"Decimal degrees"))</f>
        <v>0</v>
      </c>
      <c r="BK668" t="b">
        <f>IF(Metadata!X668="",FALSE,TRUE)</f>
        <v>0</v>
      </c>
      <c r="BL668" t="b">
        <f>OR(AND(IF(Metadata!Y668="",FALSE,TRUE),OR(EXACT(Metadata!Y668,"not collected"),EXACT(Metadata!Y668,"not provided"),EXACT(Metadata!Y668,"restricted access"))),AND(IF(Metadata!Y668="",FALSE,TRUE),OR(EXACT(Metadata!Y668,"TRUE"),EXACT(Metadata!Y668,"FALSE"))))</f>
        <v>0</v>
      </c>
      <c r="BM668" t="b">
        <f>OR(AND(IF(Metadata!Z668="",FALSE,TRUE),EXACT(Metadata!Z668,"not applicable")),AND(IF(Metadata!Z668="",FALSE,TRUE),OR(EXACT(Metadata!Z668,"beer"),EXACT(Metadata!Z668,"cheese"),EXACT(Metadata!Z668,"fresh water"),EXACT(Metadata!Z668,"marine sediment"),EXACT(Metadata!Z668,"sea water"),EXACT(Metadata!Z668,"sediment"),EXACT(Metadata!Z668,"soil"),EXACT(Metadata!Z668,"waste water"))))</f>
        <v>0</v>
      </c>
      <c r="BN668" t="b">
        <f>AND(IF(Metadata!AA668="",FALSE,TRUE),EXACT(Metadata!AA668,"metagenome"))</f>
        <v>0</v>
      </c>
      <c r="BO668" t="b">
        <f>AND(IF(Metadata!AB668="",FALSE,TRUE),EXACT(Metadata!AB668,"256318"))</f>
        <v>0</v>
      </c>
      <c r="BP668" t="b">
        <f>IF(Metadata!AC668="",FALSE,TRUE)</f>
        <v>0</v>
      </c>
      <c r="BQ668" t="b">
        <f>IF(Metadata!AD668="",FALSE,TRUE)</f>
        <v>0</v>
      </c>
    </row>
    <row r="669" spans="1:69" x14ac:dyDescent="0.2">
      <c r="A669" s="4" t="e">
        <f ca="1">IF(B669=" "," ",HYPERLINK(CONCATENATE("#metadata!",ADDRESS(INDEX($AJ$2:$AJ$1001,MATCH(ROWS($AH$2:AH669),$AH$2:$AH$1001,0),0),2)),INDEX($AM$2:$AM$1001,MATCH(ROWS($AH$2:AH669),$AH$2:$AH$1001,0),0)))</f>
        <v>#N/A</v>
      </c>
      <c r="B669" s="5" t="e">
        <f ca="1">IF(OR(INDEX($AI$2:$AI$1001,MATCH(ROWS($AH$2:AH669),$AH$2:$AH$1001,0),1)&gt;=100000,INDEX($AO$1005:$BQ$1005,1,MATCH(COLUMNS($AO$1006:AO1006),$AO$1006:$BQ$1006,0))&gt;=100000), " ",IF(INDEX($AO$2:$BQ$1001,MATCH(ROWS($AH$2:AH669),$AH$2:$AH$1001,0),MATCH(COLUMNS($AO$1006:AO1006),$AO$1006:$BQ$1006,0)), HYPERLINK("#",""), HYPERLINK(CONCATENATE("#Metadata!", ADDRESS(INDEX($AJ$2:$AJ$1001,MATCH(ROWS($AH$2:AH669),$AH$2:$AH$1001,0),0), INDEX($AO$1004:$BQ$1004,1,MATCH(COLUMNS($AO$1006:AO1006),$AO$1006:$BQ$1006,0)))),"Fix")))</f>
        <v>#N/A</v>
      </c>
      <c r="C669" s="5" t="e">
        <f ca="1">IF(OR(INDEX($AI$2:$AI$1001,MATCH(ROWS($AH$2:AH669),$AH$2:$AH$1001,0),1)&gt;=100000,INDEX($AO$1005:$BQ$1005,1,MATCH(COLUMNS($AO$1006:AP1006),$AO$1006:$BQ$1006,0))&gt;=100000), " ",IF(INDEX($AO$2:$BQ$1001,MATCH(ROWS($AH$2:AH669),$AH$2:$AH$1001,0),MATCH(COLUMNS($AO$1006:AP1006),$AO$1006:$BQ$1006,0)), HYPERLINK("#",""), HYPERLINK(CONCATENATE("#Metadata!", ADDRESS(INDEX($AJ$2:$AJ$1001,MATCH(ROWS($AH$2:AH669),$AH$2:$AH$1001,0),0), INDEX($AO$1004:$BQ$1004,1,MATCH(COLUMNS($AO$1006:AP1006),$AO$1006:$BQ$1006,0)))),"Fix")))</f>
        <v>#N/A</v>
      </c>
      <c r="D669" s="5" t="e">
        <f ca="1">IF(OR(INDEX($AI$2:$AI$1001,MATCH(ROWS($AH$2:AH669),$AH$2:$AH$1001,0),1)&gt;=100000,INDEX($AO$1005:$BQ$1005,1,MATCH(COLUMNS($AO$1006:AQ1006),$AO$1006:$BQ$1006,0))&gt;=100000), " ",IF(INDEX($AO$2:$BQ$1001,MATCH(ROWS($AH$2:AH669),$AH$2:$AH$1001,0),MATCH(COLUMNS($AO$1006:AQ1006),$AO$1006:$BQ$1006,0)), HYPERLINK("#",""), HYPERLINK(CONCATENATE("#Metadata!", ADDRESS(INDEX($AJ$2:$AJ$1001,MATCH(ROWS($AH$2:AH669),$AH$2:$AH$1001,0),0), INDEX($AO$1004:$BQ$1004,1,MATCH(COLUMNS($AO$1006:AQ1006),$AO$1006:$BQ$1006,0)))),"Fix")))</f>
        <v>#N/A</v>
      </c>
      <c r="E669" s="5" t="e">
        <f ca="1">IF(OR(INDEX($AI$2:$AI$1001,MATCH(ROWS($AH$2:AH669),$AH$2:$AH$1001,0),1)&gt;=100000,INDEX($AO$1005:$BQ$1005,1,MATCH(COLUMNS($AO$1006:AR1006),$AO$1006:$BQ$1006,0))&gt;=100000), " ",IF(INDEX($AO$2:$BQ$1001,MATCH(ROWS($AH$2:AH669),$AH$2:$AH$1001,0),MATCH(COLUMNS($AO$1006:AR1006),$AO$1006:$BQ$1006,0)), HYPERLINK("#",""), HYPERLINK(CONCATENATE("#Metadata!", ADDRESS(INDEX($AJ$2:$AJ$1001,MATCH(ROWS($AH$2:AH669),$AH$2:$AH$1001,0),0), INDEX($AO$1004:$BQ$1004,1,MATCH(COLUMNS($AO$1006:AR1006),$AO$1006:$BQ$1006,0)))),"Fix")))</f>
        <v>#N/A</v>
      </c>
      <c r="F669" s="5" t="e">
        <f ca="1">IF(OR(INDEX($AI$2:$AI$1001,MATCH(ROWS($AH$2:AH669),$AH$2:$AH$1001,0),1)&gt;=100000,INDEX($AO$1005:$BQ$1005,1,MATCH(COLUMNS($AO$1006:AS1006),$AO$1006:$BQ$1006,0))&gt;=100000), " ",IF(INDEX($AO$2:$BQ$1001,MATCH(ROWS($AH$2:AH669),$AH$2:$AH$1001,0),MATCH(COLUMNS($AO$1006:AS1006),$AO$1006:$BQ$1006,0)), HYPERLINK("#",""), HYPERLINK(CONCATENATE("#Metadata!", ADDRESS(INDEX($AJ$2:$AJ$1001,MATCH(ROWS($AH$2:AH669),$AH$2:$AH$1001,0),0), INDEX($AO$1004:$BQ$1004,1,MATCH(COLUMNS($AO$1006:AS1006),$AO$1006:$BQ$1006,0)))),"Fix")))</f>
        <v>#N/A</v>
      </c>
      <c r="G669" s="5" t="e">
        <f ca="1">IF(OR(INDEX($AI$2:$AI$1001,MATCH(ROWS($AH$2:AH669),$AH$2:$AH$1001,0),1)&gt;=100000,INDEX($AO$1005:$BQ$1005,1,MATCH(COLUMNS($AO$1006:AT1006),$AO$1006:$BQ$1006,0))&gt;=100000), " ",IF(INDEX($AO$2:$BQ$1001,MATCH(ROWS($AH$2:AH669),$AH$2:$AH$1001,0),MATCH(COLUMNS($AO$1006:AT1006),$AO$1006:$BQ$1006,0)), HYPERLINK("#",""), HYPERLINK(CONCATENATE("#Metadata!", ADDRESS(INDEX($AJ$2:$AJ$1001,MATCH(ROWS($AH$2:AH669),$AH$2:$AH$1001,0),0), INDEX($AO$1004:$BQ$1004,1,MATCH(COLUMNS($AO$1006:AT1006),$AO$1006:$BQ$1006,0)))),"Fix")))</f>
        <v>#N/A</v>
      </c>
      <c r="H669" s="5" t="e">
        <f ca="1">IF(OR(INDEX($AI$2:$AI$1001,MATCH(ROWS($AH$2:AH669),$AH$2:$AH$1001,0),1)&gt;=100000,INDEX($AO$1005:$BQ$1005,1,MATCH(COLUMNS($AO$1006:AU1006),$AO$1006:$BQ$1006,0))&gt;=100000), " ",IF(INDEX($AO$2:$BQ$1001,MATCH(ROWS($AH$2:AH669),$AH$2:$AH$1001,0),MATCH(COLUMNS($AO$1006:AU1006),$AO$1006:$BQ$1006,0)), HYPERLINK("#",""), HYPERLINK(CONCATENATE("#Metadata!", ADDRESS(INDEX($AJ$2:$AJ$1001,MATCH(ROWS($AH$2:AH669),$AH$2:$AH$1001,0),0), INDEX($AO$1004:$BQ$1004,1,MATCH(COLUMNS($AO$1006:AU1006),$AO$1006:$BQ$1006,0)))),"Fix")))</f>
        <v>#N/A</v>
      </c>
      <c r="I669" s="5" t="e">
        <f ca="1">IF(OR(INDEX($AI$2:$AI$1001,MATCH(ROWS($AH$2:AH669),$AH$2:$AH$1001,0),1)&gt;=100000,INDEX($AO$1005:$BQ$1005,1,MATCH(COLUMNS($AO$1006:AV1006),$AO$1006:$BQ$1006,0))&gt;=100000), " ",IF(INDEX($AO$2:$BQ$1001,MATCH(ROWS($AH$2:AH669),$AH$2:$AH$1001,0),MATCH(COLUMNS($AO$1006:AV1006),$AO$1006:$BQ$1006,0)), HYPERLINK("#",""), HYPERLINK(CONCATENATE("#Metadata!", ADDRESS(INDEX($AJ$2:$AJ$1001,MATCH(ROWS($AH$2:AH669),$AH$2:$AH$1001,0),0), INDEX($AO$1004:$BQ$1004,1,MATCH(COLUMNS($AO$1006:AV1006),$AO$1006:$BQ$1006,0)))),"Fix")))</f>
        <v>#N/A</v>
      </c>
      <c r="J669" s="5" t="e">
        <f ca="1">IF(OR(INDEX($AI$2:$AI$1001,MATCH(ROWS($AH$2:AH669),$AH$2:$AH$1001,0),1)&gt;=100000,INDEX($AO$1005:$BQ$1005,1,MATCH(COLUMNS($AO$1006:AW1006),$AO$1006:$BQ$1006,0))&gt;=100000), " ",IF(INDEX($AO$2:$BQ$1001,MATCH(ROWS($AH$2:AH669),$AH$2:$AH$1001,0),MATCH(COLUMNS($AO$1006:AW1006),$AO$1006:$BQ$1006,0)), HYPERLINK("#",""), HYPERLINK(CONCATENATE("#Metadata!", ADDRESS(INDEX($AJ$2:$AJ$1001,MATCH(ROWS($AH$2:AH669),$AH$2:$AH$1001,0),0), INDEX($AO$1004:$BQ$1004,1,MATCH(COLUMNS($AO$1006:AW1006),$AO$1006:$BQ$1006,0)))),"Fix")))</f>
        <v>#N/A</v>
      </c>
      <c r="K669" s="5" t="e">
        <f ca="1">IF(OR(INDEX($AI$2:$AI$1001,MATCH(ROWS($AH$2:AH669),$AH$2:$AH$1001,0),1)&gt;=100000,INDEX($AO$1005:$BQ$1005,1,MATCH(COLUMNS($AO$1006:AX1006),$AO$1006:$BQ$1006,0))&gt;=100000), " ",IF(INDEX($AO$2:$BQ$1001,MATCH(ROWS($AH$2:AH669),$AH$2:$AH$1001,0),MATCH(COLUMNS($AO$1006:AX1006),$AO$1006:$BQ$1006,0)), HYPERLINK("#",""), HYPERLINK(CONCATENATE("#Metadata!", ADDRESS(INDEX($AJ$2:$AJ$1001,MATCH(ROWS($AH$2:AH669),$AH$2:$AH$1001,0),0), INDEX($AO$1004:$BQ$1004,1,MATCH(COLUMNS($AO$1006:AX1006),$AO$1006:$BQ$1006,0)))),"Fix")))</f>
        <v>#N/A</v>
      </c>
      <c r="L669" s="5" t="e">
        <f ca="1">IF(OR(INDEX($AI$2:$AI$1001,MATCH(ROWS($AH$2:AH669),$AH$2:$AH$1001,0),1)&gt;=100000,INDEX($AO$1005:$BQ$1005,1,MATCH(COLUMNS($AO$1006:AY1006),$AO$1006:$BQ$1006,0))&gt;=100000), " ",IF(INDEX($AO$2:$BQ$1001,MATCH(ROWS($AH$2:AH669),$AH$2:$AH$1001,0),MATCH(COLUMNS($AO$1006:AY1006),$AO$1006:$BQ$1006,0)), HYPERLINK("#",""), HYPERLINK(CONCATENATE("#Metadata!", ADDRESS(INDEX($AJ$2:$AJ$1001,MATCH(ROWS($AH$2:AH669),$AH$2:$AH$1001,0),0), INDEX($AO$1004:$BQ$1004,1,MATCH(COLUMNS($AO$1006:AY1006),$AO$1006:$BQ$1006,0)))),"Fix")))</f>
        <v>#N/A</v>
      </c>
      <c r="M669" s="5" t="e">
        <f ca="1">IF(OR(INDEX($AI$2:$AI$1001,MATCH(ROWS($AH$2:AH669),$AH$2:$AH$1001,0),1)&gt;=100000,INDEX($AO$1005:$BQ$1005,1,MATCH(COLUMNS($AO$1006:AZ1006),$AO$1006:$BQ$1006,0))&gt;=100000), " ",IF(INDEX($AO$2:$BQ$1001,MATCH(ROWS($AH$2:AH669),$AH$2:$AH$1001,0),MATCH(COLUMNS($AO$1006:AZ1006),$AO$1006:$BQ$1006,0)), HYPERLINK("#",""), HYPERLINK(CONCATENATE("#Metadata!", ADDRESS(INDEX($AJ$2:$AJ$1001,MATCH(ROWS($AH$2:AH669),$AH$2:$AH$1001,0),0), INDEX($AO$1004:$BQ$1004,1,MATCH(COLUMNS($AO$1006:AZ1006),$AO$1006:$BQ$1006,0)))),"Fix")))</f>
        <v>#N/A</v>
      </c>
      <c r="N669" s="5" t="e">
        <f ca="1">IF(OR(INDEX($AI$2:$AI$1001,MATCH(ROWS($AH$2:AH669),$AH$2:$AH$1001,0),1)&gt;=100000,INDEX($AO$1005:$BQ$1005,1,MATCH(COLUMNS($AO$1006:BA1006),$AO$1006:$BQ$1006,0))&gt;=100000), " ",IF(INDEX($AO$2:$BQ$1001,MATCH(ROWS($AH$2:AH669),$AH$2:$AH$1001,0),MATCH(COLUMNS($AO$1006:BA1006),$AO$1006:$BQ$1006,0)), HYPERLINK("#",""), HYPERLINK(CONCATENATE("#Metadata!", ADDRESS(INDEX($AJ$2:$AJ$1001,MATCH(ROWS($AH$2:AH669),$AH$2:$AH$1001,0),0), INDEX($AO$1004:$BQ$1004,1,MATCH(COLUMNS($AO$1006:BA1006),$AO$1006:$BQ$1006,0)))),"Fix")))</f>
        <v>#N/A</v>
      </c>
      <c r="O669" s="5" t="e">
        <f ca="1">IF(OR(INDEX($AI$2:$AI$1001,MATCH(ROWS($AH$2:AH669),$AH$2:$AH$1001,0),1)&gt;=100000,INDEX($AO$1005:$BQ$1005,1,MATCH(COLUMNS($AO$1006:BB1006),$AO$1006:$BQ$1006,0))&gt;=100000), " ",IF(INDEX($AO$2:$BQ$1001,MATCH(ROWS($AH$2:AH669),$AH$2:$AH$1001,0),MATCH(COLUMNS($AO$1006:BB1006),$AO$1006:$BQ$1006,0)), HYPERLINK("#",""), HYPERLINK(CONCATENATE("#Metadata!", ADDRESS(INDEX($AJ$2:$AJ$1001,MATCH(ROWS($AH$2:AH669),$AH$2:$AH$1001,0),0), INDEX($AO$1004:$BQ$1004,1,MATCH(COLUMNS($AO$1006:BB1006),$AO$1006:$BQ$1006,0)))),"Fix")))</f>
        <v>#N/A</v>
      </c>
      <c r="P669" s="5" t="e">
        <f ca="1">IF(OR(INDEX($AI$2:$AI$1001,MATCH(ROWS($AH$2:AH669),$AH$2:$AH$1001,0),1)&gt;=100000,INDEX($AO$1005:$BQ$1005,1,MATCH(COLUMNS($AO$1006:BC1006),$AO$1006:$BQ$1006,0))&gt;=100000), " ",IF(INDEX($AO$2:$BQ$1001,MATCH(ROWS($AH$2:AH669),$AH$2:$AH$1001,0),MATCH(COLUMNS($AO$1006:BC1006),$AO$1006:$BQ$1006,0)), HYPERLINK("#",""), HYPERLINK(CONCATENATE("#Metadata!", ADDRESS(INDEX($AJ$2:$AJ$1001,MATCH(ROWS($AH$2:AH669),$AH$2:$AH$1001,0),0), INDEX($AO$1004:$BQ$1004,1,MATCH(COLUMNS($AO$1006:BC1006),$AO$1006:$BQ$1006,0)))),"Fix")))</f>
        <v>#N/A</v>
      </c>
      <c r="Q669" s="5" t="e">
        <f ca="1">IF(OR(INDEX($AI$2:$AI$1001,MATCH(ROWS($AH$2:AH669),$AH$2:$AH$1001,0),1)&gt;=100000,INDEX($AO$1005:$BQ$1005,1,MATCH(COLUMNS($AO$1006:BD1006),$AO$1006:$BQ$1006,0))&gt;=100000), " ",IF(INDEX($AO$2:$BQ$1001,MATCH(ROWS($AH$2:AH669),$AH$2:$AH$1001,0),MATCH(COLUMNS($AO$1006:BD1006),$AO$1006:$BQ$1006,0)), HYPERLINK("#",""), HYPERLINK(CONCATENATE("#Metadata!", ADDRESS(INDEX($AJ$2:$AJ$1001,MATCH(ROWS($AH$2:AH669),$AH$2:$AH$1001,0),0), INDEX($AO$1004:$BQ$1004,1,MATCH(COLUMNS($AO$1006:BD1006),$AO$1006:$BQ$1006,0)))),"Fix")))</f>
        <v>#N/A</v>
      </c>
      <c r="R669" s="5" t="e">
        <f ca="1">IF(OR(INDEX($AI$2:$AI$1001,MATCH(ROWS($AH$2:AH669),$AH$2:$AH$1001,0),1)&gt;=100000,INDEX($AO$1005:$BQ$1005,1,MATCH(COLUMNS($AO$1006:BE1006),$AO$1006:$BQ$1006,0))&gt;=100000), " ",IF(INDEX($AO$2:$BQ$1001,MATCH(ROWS($AH$2:AH669),$AH$2:$AH$1001,0),MATCH(COLUMNS($AO$1006:BE1006),$AO$1006:$BQ$1006,0)), HYPERLINK("#",""), HYPERLINK(CONCATENATE("#Metadata!", ADDRESS(INDEX($AJ$2:$AJ$1001,MATCH(ROWS($AH$2:AH669),$AH$2:$AH$1001,0),0), INDEX($AO$1004:$BQ$1004,1,MATCH(COLUMNS($AO$1006:BE1006),$AO$1006:$BQ$1006,0)))),"Fix")))</f>
        <v>#N/A</v>
      </c>
      <c r="S669" s="5" t="e">
        <f ca="1">IF(OR(INDEX($AI$2:$AI$1001,MATCH(ROWS($AH$2:AH669),$AH$2:$AH$1001,0),1)&gt;=100000,INDEX($AO$1005:$BQ$1005,1,MATCH(COLUMNS($AO$1006:BF1006),$AO$1006:$BQ$1006,0))&gt;=100000), " ",IF(INDEX($AO$2:$BQ$1001,MATCH(ROWS($AH$2:AH669),$AH$2:$AH$1001,0),MATCH(COLUMNS($AO$1006:BF1006),$AO$1006:$BQ$1006,0)), HYPERLINK("#",""), HYPERLINK(CONCATENATE("#Metadata!", ADDRESS(INDEX($AJ$2:$AJ$1001,MATCH(ROWS($AH$2:AH669),$AH$2:$AH$1001,0),0), INDEX($AO$1004:$BQ$1004,1,MATCH(COLUMNS($AO$1006:BF1006),$AO$1006:$BQ$1006,0)))),"Fix")))</f>
        <v>#N/A</v>
      </c>
      <c r="T669" s="5" t="e">
        <f ca="1">IF(OR(INDEX($AI$2:$AI$1001,MATCH(ROWS($AH$2:AH669),$AH$2:$AH$1001,0),1)&gt;=100000,INDEX($AO$1005:$BQ$1005,1,MATCH(COLUMNS($AO$1006:BG1006),$AO$1006:$BQ$1006,0))&gt;=100000), " ",IF(INDEX($AO$2:$BQ$1001,MATCH(ROWS($AH$2:AH669),$AH$2:$AH$1001,0),MATCH(COLUMNS($AO$1006:BG1006),$AO$1006:$BQ$1006,0)), HYPERLINK("#",""), HYPERLINK(CONCATENATE("#Metadata!", ADDRESS(INDEX($AJ$2:$AJ$1001,MATCH(ROWS($AH$2:AH669),$AH$2:$AH$1001,0),0), INDEX($AO$1004:$BQ$1004,1,MATCH(COLUMNS($AO$1006:BG1006),$AO$1006:$BQ$1006,0)))),"Fix")))</f>
        <v>#N/A</v>
      </c>
      <c r="U669" s="5" t="e">
        <f ca="1">IF(OR(INDEX($AI$2:$AI$1001,MATCH(ROWS($AH$2:AH669),$AH$2:$AH$1001,0),1)&gt;=100000,INDEX($AO$1005:$BQ$1005,1,MATCH(COLUMNS($AO$1006:BH1006),$AO$1006:$BQ$1006,0))&gt;=100000), " ",IF(INDEX($AO$2:$BQ$1001,MATCH(ROWS($AH$2:AH669),$AH$2:$AH$1001,0),MATCH(COLUMNS($AO$1006:BH1006),$AO$1006:$BQ$1006,0)), HYPERLINK("#",""), HYPERLINK(CONCATENATE("#Metadata!", ADDRESS(INDEX($AJ$2:$AJ$1001,MATCH(ROWS($AH$2:AH669),$AH$2:$AH$1001,0),0), INDEX($AO$1004:$BQ$1004,1,MATCH(COLUMNS($AO$1006:BH1006),$AO$1006:$BQ$1006,0)))),"Fix")))</f>
        <v>#N/A</v>
      </c>
      <c r="V669" s="5" t="e">
        <f ca="1">IF(OR(INDEX($AI$2:$AI$1001,MATCH(ROWS($AH$2:AH669),$AH$2:$AH$1001,0),1)&gt;=100000,INDEX($AO$1005:$BQ$1005,1,MATCH(COLUMNS($AO$1006:BI1006),$AO$1006:$BQ$1006,0))&gt;=100000), " ",IF(INDEX($AO$2:$BQ$1001,MATCH(ROWS($AH$2:AH669),$AH$2:$AH$1001,0),MATCH(COLUMNS($AO$1006:BI1006),$AO$1006:$BQ$1006,0)), HYPERLINK("#",""), HYPERLINK(CONCATENATE("#Metadata!", ADDRESS(INDEX($AJ$2:$AJ$1001,MATCH(ROWS($AH$2:AH669),$AH$2:$AH$1001,0),0), INDEX($AO$1004:$BQ$1004,1,MATCH(COLUMNS($AO$1006:BI1006),$AO$1006:$BQ$1006,0)))),"Fix")))</f>
        <v>#N/A</v>
      </c>
      <c r="W669" s="5" t="e">
        <f ca="1">IF(OR(INDEX($AI$2:$AI$1001,MATCH(ROWS($AH$2:AH669),$AH$2:$AH$1001,0),1)&gt;=100000,INDEX($AO$1005:$BQ$1005,1,MATCH(COLUMNS($AO$1006:BJ1006),$AO$1006:$BQ$1006,0))&gt;=100000), " ",IF(INDEX($AO$2:$BQ$1001,MATCH(ROWS($AH$2:AH669),$AH$2:$AH$1001,0),MATCH(COLUMNS($AO$1006:BJ1006),$AO$1006:$BQ$1006,0)), HYPERLINK("#",""), HYPERLINK(CONCATENATE("#Metadata!", ADDRESS(INDEX($AJ$2:$AJ$1001,MATCH(ROWS($AH$2:AH669),$AH$2:$AH$1001,0),0), INDEX($AO$1004:$BQ$1004,1,MATCH(COLUMNS($AO$1006:BJ1006),$AO$1006:$BQ$1006,0)))),"Fix")))</f>
        <v>#N/A</v>
      </c>
      <c r="X669" s="5" t="e">
        <f ca="1">IF(OR(INDEX($AI$2:$AI$1001,MATCH(ROWS($AH$2:AH669),$AH$2:$AH$1001,0),1)&gt;=100000,INDEX($AO$1005:$BQ$1005,1,MATCH(COLUMNS($AO$1006:BK1006),$AO$1006:$BQ$1006,0))&gt;=100000), " ",IF(INDEX($AO$2:$BQ$1001,MATCH(ROWS($AH$2:AH669),$AH$2:$AH$1001,0),MATCH(COLUMNS($AO$1006:BK1006),$AO$1006:$BQ$1006,0)), HYPERLINK("#",""), HYPERLINK(CONCATENATE("#Metadata!", ADDRESS(INDEX($AJ$2:$AJ$1001,MATCH(ROWS($AH$2:AH669),$AH$2:$AH$1001,0),0), INDEX($AO$1004:$BQ$1004,1,MATCH(COLUMNS($AO$1006:BK1006),$AO$1006:$BQ$1006,0)))),"Fix")))</f>
        <v>#N/A</v>
      </c>
      <c r="Y669" s="5" t="e">
        <f ca="1">IF(OR(INDEX($AI$2:$AI$1001,MATCH(ROWS($AH$2:AH669),$AH$2:$AH$1001,0),1)&gt;=100000,INDEX($AO$1005:$BQ$1005,1,MATCH(COLUMNS($AO$1006:BL1006),$AO$1006:$BQ$1006,0))&gt;=100000), " ",IF(INDEX($AO$2:$BQ$1001,MATCH(ROWS($AH$2:AH669),$AH$2:$AH$1001,0),MATCH(COLUMNS($AO$1006:BL1006),$AO$1006:$BQ$1006,0)), HYPERLINK("#",""), HYPERLINK(CONCATENATE("#Metadata!", ADDRESS(INDEX($AJ$2:$AJ$1001,MATCH(ROWS($AH$2:AH669),$AH$2:$AH$1001,0),0), INDEX($AO$1004:$BQ$1004,1,MATCH(COLUMNS($AO$1006:BL1006),$AO$1006:$BQ$1006,0)))),"Fix")))</f>
        <v>#N/A</v>
      </c>
      <c r="Z669" s="5" t="e">
        <f ca="1">IF(OR(INDEX($AI$2:$AI$1001,MATCH(ROWS($AH$2:AH669),$AH$2:$AH$1001,0),1)&gt;=100000,INDEX($AO$1005:$BQ$1005,1,MATCH(COLUMNS($AO$1006:BM1006),$AO$1006:$BQ$1006,0))&gt;=100000), " ",IF(INDEX($AO$2:$BQ$1001,MATCH(ROWS($AH$2:AH669),$AH$2:$AH$1001,0),MATCH(COLUMNS($AO$1006:BM1006),$AO$1006:$BQ$1006,0)), HYPERLINK("#",""), HYPERLINK(CONCATENATE("#Metadata!", ADDRESS(INDEX($AJ$2:$AJ$1001,MATCH(ROWS($AH$2:AH669),$AH$2:$AH$1001,0),0), INDEX($AO$1004:$BQ$1004,1,MATCH(COLUMNS($AO$1006:BM1006),$AO$1006:$BQ$1006,0)))),"Fix")))</f>
        <v>#N/A</v>
      </c>
      <c r="AA669" s="5" t="e">
        <f ca="1">IF(OR(INDEX($AI$2:$AI$1001,MATCH(ROWS($AH$2:AH669),$AH$2:$AH$1001,0),1)&gt;=100000,INDEX($AO$1005:$BQ$1005,1,MATCH(COLUMNS($AO$1006:BN1006),$AO$1006:$BQ$1006,0))&gt;=100000), " ",IF(INDEX($AO$2:$BQ$1001,MATCH(ROWS($AH$2:AH669),$AH$2:$AH$1001,0),MATCH(COLUMNS($AO$1006:BN1006),$AO$1006:$BQ$1006,0)), HYPERLINK("#",""), HYPERLINK(CONCATENATE("#Metadata!", ADDRESS(INDEX($AJ$2:$AJ$1001,MATCH(ROWS($AH$2:AH669),$AH$2:$AH$1001,0),0), INDEX($AO$1004:$BQ$1004,1,MATCH(COLUMNS($AO$1006:BN1006),$AO$1006:$BQ$1006,0)))),"Fix")))</f>
        <v>#N/A</v>
      </c>
      <c r="AB669" s="5" t="e">
        <f ca="1">IF(OR(INDEX($AI$2:$AI$1001,MATCH(ROWS($AH$2:AH669),$AH$2:$AH$1001,0),1)&gt;=100000,INDEX($AO$1005:$BQ$1005,1,MATCH(COLUMNS($AO$1006:BO1006),$AO$1006:$BQ$1006,0))&gt;=100000), " ",IF(INDEX($AO$2:$BQ$1001,MATCH(ROWS($AH$2:AH669),$AH$2:$AH$1001,0),MATCH(COLUMNS($AO$1006:BO1006),$AO$1006:$BQ$1006,0)), HYPERLINK("#",""), HYPERLINK(CONCATENATE("#Metadata!", ADDRESS(INDEX($AJ$2:$AJ$1001,MATCH(ROWS($AH$2:AH669),$AH$2:$AH$1001,0),0), INDEX($AO$1004:$BQ$1004,1,MATCH(COLUMNS($AO$1006:BO1006),$AO$1006:$BQ$1006,0)))),"Fix")))</f>
        <v>#N/A</v>
      </c>
      <c r="AC669" s="5" t="e">
        <f ca="1">IF(OR(INDEX($AI$2:$AI$1001,MATCH(ROWS($AH$2:AH669),$AH$2:$AH$1001,0),1)&gt;=100000,INDEX($AO$1005:$BQ$1005,1,MATCH(COLUMNS($AO$1006:BP1006),$AO$1006:$BQ$1006,0))&gt;=100000), " ",IF(INDEX($AO$2:$BQ$1001,MATCH(ROWS($AH$2:AH669),$AH$2:$AH$1001,0),MATCH(COLUMNS($AO$1006:BP1006),$AO$1006:$BQ$1006,0)), HYPERLINK("#",""), HYPERLINK(CONCATENATE("#Metadata!", ADDRESS(INDEX($AJ$2:$AJ$1001,MATCH(ROWS($AH$2:AH669),$AH$2:$AH$1001,0),0), INDEX($AO$1004:$BQ$1004,1,MATCH(COLUMNS($AO$1006:BP1006),$AO$1006:$BQ$1006,0)))),"Fix")))</f>
        <v>#N/A</v>
      </c>
      <c r="AD669" s="5" t="e">
        <f ca="1">IF(OR(INDEX($AI$2:$AI$1001,MATCH(ROWS($AH$2:AH669),$AH$2:$AH$1001,0),1)&gt;=100000,INDEX($AO$1005:$BQ$1005,1,MATCH(COLUMNS($AO$1006:BQ1006),$AO$1006:$BQ$1006,0))&gt;=100000), " ",IF(INDEX($AO$2:$BQ$1001,MATCH(ROWS($AH$2:AH669),$AH$2:$AH$1001,0),MATCH(COLUMNS($AO$1006:BQ1006),$AO$1006:$BQ$1006,0)), HYPERLINK("#",""), HYPERLINK(CONCATENATE("#Metadata!", ADDRESS(INDEX($AJ$2:$AJ$1001,MATCH(ROWS($AH$2:AH669),$AH$2:$AH$1001,0),0), INDEX($AO$1004:$BQ$1004,1,MATCH(COLUMNS($AO$1006:BQ1006),$AO$1006:$BQ$1006,0)))),"Fix")))</f>
        <v>#REF!</v>
      </c>
      <c r="AH669">
        <f ca="1"/>
        <v>666</v>
      </c>
      <c r="AI669">
        <v>100669</v>
      </c>
      <c r="AJ669">
        <v>669</v>
      </c>
      <c r="AK669" t="b">
        <f t="shared" si="10"/>
        <v>1</v>
      </c>
      <c r="AL669" t="b">
        <f>COUNTBLANK(Metadata!B669:AD669)=COLUMNS(Metadata!B669:AD669)</f>
        <v>1</v>
      </c>
      <c r="AM669" t="str">
        <v/>
      </c>
      <c r="AO669" t="b">
        <f ca="1">AND(IF(Metadata!B669="",FALSE,TRUE),COUNTIF(Metadata!B:B, Metadata!B669) = 1,NOT(ISERROR(SUMPRODUCT(SEARCH(MID(Metadata!B669,ROW(INDIRECT("1:"&amp;LEN(Metadata!B669))), 1),"0123456789abcdefghijklmnopqrstuvwxyzABCDEFGHIJKLMNOPQRSTUVWXYZ.")))))</f>
        <v>0</v>
      </c>
      <c r="AP669" t="b">
        <f>IF(Metadata!C669="",FALSE,TRUE)</f>
        <v>0</v>
      </c>
      <c r="AQ669" t="b">
        <f>IF(Metadata!D669="",FALSE,TRUE)</f>
        <v>0</v>
      </c>
      <c r="AR669" t="b">
        <f ca="1">OR(AND(IF(Metadata!E669="",FALSE,TRUE),OR(EXACT(Metadata!E669,"not collected"),EXACT(Metadata!E669,"not provided"),EXACT(Metadata!E669,"restricted access"))),AND(IF(Metadata!E669="",FALSE,TRUE),AND(AND(IFERROR(INT(LEFT(Metadata!E669,4))&gt;1900,FALSE),IFERROR(INT(LEFT(Metadata!E669,4))&lt;=YEAR(NOW()),FALSE)), OR(MID(Metadata!E669,5,1)="", AND(AND(MID(Metadata!E669,5,1)="-",IFERROR(INT(MID(Metadata!E669,6,1))&gt;=0,FALSE),IFERROR(INT(MID(Metadata!E669,6,1))&lt;=1,FALSE),NOT(MID(Metadata!E669,7,1)=""),IFERROR(INT(MID(Metadata!E669,6,2))&gt;=1,FALSE),IFERROR(INT(MID(Metadata!E669,6,2))&lt;=12,FALSE)), OR(MID(Metadata!E669,8,1)="", AND(AND(MID(Metadata!E669,8,1)="-",IFERROR(INT(MID(Metadata!E669,9,1))&gt;=0,FALSE),IFERROR(INT(MID(Metadata!E669,9,1))&lt;=3,FALSE),NOT(MID(Metadata!E669,10,1)=""),IFERROR(INT(MID(Metadata!E669,9,2))&gt;=1,FALSE),IFERROR(INT(MID(Metadata!E669,9,2))&lt;=31,FALSE)), OR(MID(Metadata!E669,11,1)="", AND(AND(MID(Metadata!E669,11,1)=" ",IFERROR(INT(MID(Metadata!E669,12,1))&gt;=0,FALSE),IFERROR(INT(MID(Metadata!E669,12,1))&lt;=2,FALSE),NOT(MID(Metadata!E669,13,1)=""),IFERROR(INT(MID(Metadata!E669,12,2))&gt;=0,FALSE),IFERROR(INT(MID(Metadata!E669,12,2))&lt;=23,FALSE)), OR(MID(Metadata!E669,14,1)="", AND(AND(MID(Metadata!E669,14,1)=":",IFERROR(INT(MID(Metadata!E669,15,1))&gt;=0,FALSE),IFERROR(INT(MID(Metadata!E669,15,1))&lt;=5,FALSE),NOT(MID(Metadata!E669,16,1)=""),IFERROR(INT(MID(Metadata!E669,15,2))&gt;=0,FALSE),IFERROR(INT(MID(Metadata!E669,15,2))&lt;=59,FALSE)), OR(MID(Metadata!E669,17,1)="", AND(AND(MID(Metadata!E669,17,1)=":",IFERROR(INT(MID(Metadata!E669,18,1))&gt;=0,FALSE),IFERROR(INT(MID(Metadata!E669,18,1))&lt;=5,FALSE),NOT(MID(Metadata!E669,19,1)=""),IFERROR(INT(MID(Metadata!E669,18,2))&gt;=0,FALSE),IFERROR(INT(MID(Metadata!E669,18,2))&lt;=59,FALSE)), LEN(Metadata!E669)&lt;=19)))))))))))))</f>
        <v>0</v>
      </c>
      <c r="AS669" t="b">
        <f>IF(Metadata!F669="",FALSE,TRUE)</f>
        <v>0</v>
      </c>
      <c r="AT669" t="b">
        <f>OR(AND(IF(Metadata!G669="",FALSE,TRUE),OR(EXACT(Metadata!G669,"not collected"),EXACT(Metadata!G669,"not provided"))),AND(IF(Metadata!G669="",FALSE,TRUE),OR(EXACT(Metadata!G669,"TRUE"),EXACT(Metadata!G669,"FALSE"))))</f>
        <v>0</v>
      </c>
      <c r="AU669" t="b">
        <f>OR(AND(IF(Metadata!H669="",FALSE,TRUE),OR(EXACT(Metadata!H669,"not collected"),EXACT(Metadata!H669,"not provided"),EXACT(Metadata!H669,"restricted access"))),AND(IF(Metadata!H669="",FALSE,ISNUMBER(VALUE(Metadata!H669))),Metadata!H669&gt;=-413))</f>
        <v>0</v>
      </c>
      <c r="AV669" t="b">
        <f>AND(IF(Metadata!I669="",FALSE,TRUE),EXACT(Metadata!I669,"meters"))</f>
        <v>0</v>
      </c>
      <c r="AW669" t="b">
        <f>AND(IF(Metadata!J669="",FALSE,TRUE),EXACT(Metadata!J669,"free-living"))</f>
        <v>0</v>
      </c>
      <c r="AX669" t="b">
        <f>AND(IF(Metadata!K669="",FALSE,TRUE),OR(EXACT(Metadata!K669,"saline"),EXACT(Metadata!K669,"non-saline")))</f>
        <v>0</v>
      </c>
      <c r="AY669" t="b">
        <f>AND(IF(Metadata!L669="",FALSE,TRUE),OR(EXACT(Metadata!L669,"sub-surface (non-saline)"),EXACT(Metadata!L669,"surface (non-saline)"),EXACT(Metadata!L669,"water (non-saline)"),EXACT(Metadata!L669,"soil (non-saline)"),EXACT(Metadata!L669,"aerosol (non-saline)"),EXACT(Metadata!L669,"sediment (non-saline)"),EXACT(Metadata!L669,"surface (saline)"),EXACT(Metadata!L669,"water (saline)"),EXACT(Metadata!L669,"hypersaline (saline)"),EXACT(Metadata!L669,"aerosol (saline)"),EXACT(Metadata!L669,"sediment (saline)")))</f>
        <v>0</v>
      </c>
      <c r="AZ669" t="b">
        <f>IF(Metadata!M669="",FALSE,TRUE)</f>
        <v>0</v>
      </c>
      <c r="BA669" t="b">
        <f>IF(Metadata!N669="",FALSE,TRUE)</f>
        <v>0</v>
      </c>
      <c r="BB669" t="b">
        <f>IF(Metadata!O669="",FALSE,TRUE)</f>
        <v>0</v>
      </c>
      <c r="BC669" t="b">
        <f>AND(IF(Metadata!P669="",FALSE,TRUE),OR(EXACT(Metadata!P669,"air"),EXACT(Metadata!P669,"microbial mat/biofilm"),EXACT(Metadata!P669,"misc environment"),EXACT(Metadata!P669,"sediment"),EXACT(Metadata!P669,"soil"),EXACT(Metadata!P669,"wastewater/sludge"),EXACT(Metadata!P669,"water")))</f>
        <v>0</v>
      </c>
      <c r="BD669" t="b">
        <f>IF(Metadata!Q669="",FALSE,TRUE)</f>
        <v>0</v>
      </c>
      <c r="BE669" t="b">
        <f>IF(Metadata!R669="",FALSE,TRUE)</f>
        <v>0</v>
      </c>
      <c r="BF669" t="b">
        <f>OR(AND(IF(Metadata!S669="",FALSE,TRUE),OR(EXACT(Metadata!S669,"not collected"),EXACT(Metadata!S669,"not provided"),EXACT(Metadata!S669,"restricted access"))),AND(IF(Metadata!S669="",FALSE,ISNUMBER(VALUE(Metadata!S669))),Metadata!S669&gt;=-90,Metadata!S669&lt;=90))</f>
        <v>0</v>
      </c>
      <c r="BG669" t="b">
        <f>AND(IF(Metadata!T669="",FALSE,TRUE),EXACT(Metadata!T669,"Decimal degrees"))</f>
        <v>0</v>
      </c>
      <c r="BH669" t="b">
        <f>OR(AND(IF(Metadata!U669="",FALSE,TRUE),OR(EXACT(Metadata!U669,"not applicable"),EXACT(Metadata!U669,"not collected"))),IF(Metadata!U669="",FALSE,TRUE))</f>
        <v>0</v>
      </c>
      <c r="BI669" t="b">
        <f>OR(AND(IF(Metadata!V669="",FALSE,TRUE),OR(EXACT(Metadata!V669,"not collected"),EXACT(Metadata!V669,"not provided"),EXACT(Metadata!V669,"restricted access"))),AND(IF(Metadata!V669="",FALSE,ISNUMBER(VALUE(Metadata!V669))),Metadata!V669&gt;=-180,Metadata!V669&lt;=180))</f>
        <v>0</v>
      </c>
      <c r="BJ669" t="b">
        <f>AND(IF(Metadata!W669="",FALSE,TRUE),EXACT(Metadata!W669,"Decimal degrees"))</f>
        <v>0</v>
      </c>
      <c r="BK669" t="b">
        <f>IF(Metadata!X669="",FALSE,TRUE)</f>
        <v>0</v>
      </c>
      <c r="BL669" t="b">
        <f>OR(AND(IF(Metadata!Y669="",FALSE,TRUE),OR(EXACT(Metadata!Y669,"not collected"),EXACT(Metadata!Y669,"not provided"),EXACT(Metadata!Y669,"restricted access"))),AND(IF(Metadata!Y669="",FALSE,TRUE),OR(EXACT(Metadata!Y669,"TRUE"),EXACT(Metadata!Y669,"FALSE"))))</f>
        <v>0</v>
      </c>
      <c r="BM669" t="b">
        <f>OR(AND(IF(Metadata!Z669="",FALSE,TRUE),EXACT(Metadata!Z669,"not applicable")),AND(IF(Metadata!Z669="",FALSE,TRUE),OR(EXACT(Metadata!Z669,"beer"),EXACT(Metadata!Z669,"cheese"),EXACT(Metadata!Z669,"fresh water"),EXACT(Metadata!Z669,"marine sediment"),EXACT(Metadata!Z669,"sea water"),EXACT(Metadata!Z669,"sediment"),EXACT(Metadata!Z669,"soil"),EXACT(Metadata!Z669,"waste water"))))</f>
        <v>0</v>
      </c>
      <c r="BN669" t="b">
        <f>AND(IF(Metadata!AA669="",FALSE,TRUE),EXACT(Metadata!AA669,"metagenome"))</f>
        <v>0</v>
      </c>
      <c r="BO669" t="b">
        <f>AND(IF(Metadata!AB669="",FALSE,TRUE),EXACT(Metadata!AB669,"256318"))</f>
        <v>0</v>
      </c>
      <c r="BP669" t="b">
        <f>IF(Metadata!AC669="",FALSE,TRUE)</f>
        <v>0</v>
      </c>
      <c r="BQ669" t="b">
        <f>IF(Metadata!AD669="",FALSE,TRUE)</f>
        <v>0</v>
      </c>
    </row>
    <row r="670" spans="1:69" x14ac:dyDescent="0.2">
      <c r="A670" s="4" t="e">
        <f ca="1">IF(B670=" "," ",HYPERLINK(CONCATENATE("#metadata!",ADDRESS(INDEX($AJ$2:$AJ$1001,MATCH(ROWS($AH$2:AH670),$AH$2:$AH$1001,0),0),2)),INDEX($AM$2:$AM$1001,MATCH(ROWS($AH$2:AH670),$AH$2:$AH$1001,0),0)))</f>
        <v>#N/A</v>
      </c>
      <c r="B670" s="5" t="e">
        <f ca="1">IF(OR(INDEX($AI$2:$AI$1001,MATCH(ROWS($AH$2:AH670),$AH$2:$AH$1001,0),1)&gt;=100000,INDEX($AO$1005:$BQ$1005,1,MATCH(COLUMNS($AO$1006:AO1006),$AO$1006:$BQ$1006,0))&gt;=100000), " ",IF(INDEX($AO$2:$BQ$1001,MATCH(ROWS($AH$2:AH670),$AH$2:$AH$1001,0),MATCH(COLUMNS($AO$1006:AO1006),$AO$1006:$BQ$1006,0)), HYPERLINK("#",""), HYPERLINK(CONCATENATE("#Metadata!", ADDRESS(INDEX($AJ$2:$AJ$1001,MATCH(ROWS($AH$2:AH670),$AH$2:$AH$1001,0),0), INDEX($AO$1004:$BQ$1004,1,MATCH(COLUMNS($AO$1006:AO1006),$AO$1006:$BQ$1006,0)))),"Fix")))</f>
        <v>#N/A</v>
      </c>
      <c r="C670" s="5" t="e">
        <f ca="1">IF(OR(INDEX($AI$2:$AI$1001,MATCH(ROWS($AH$2:AH670),$AH$2:$AH$1001,0),1)&gt;=100000,INDEX($AO$1005:$BQ$1005,1,MATCH(COLUMNS($AO$1006:AP1006),$AO$1006:$BQ$1006,0))&gt;=100000), " ",IF(INDEX($AO$2:$BQ$1001,MATCH(ROWS($AH$2:AH670),$AH$2:$AH$1001,0),MATCH(COLUMNS($AO$1006:AP1006),$AO$1006:$BQ$1006,0)), HYPERLINK("#",""), HYPERLINK(CONCATENATE("#Metadata!", ADDRESS(INDEX($AJ$2:$AJ$1001,MATCH(ROWS($AH$2:AH670),$AH$2:$AH$1001,0),0), INDEX($AO$1004:$BQ$1004,1,MATCH(COLUMNS($AO$1006:AP1006),$AO$1006:$BQ$1006,0)))),"Fix")))</f>
        <v>#N/A</v>
      </c>
      <c r="D670" s="5" t="e">
        <f ca="1">IF(OR(INDEX($AI$2:$AI$1001,MATCH(ROWS($AH$2:AH670),$AH$2:$AH$1001,0),1)&gt;=100000,INDEX($AO$1005:$BQ$1005,1,MATCH(COLUMNS($AO$1006:AQ1006),$AO$1006:$BQ$1006,0))&gt;=100000), " ",IF(INDEX($AO$2:$BQ$1001,MATCH(ROWS($AH$2:AH670),$AH$2:$AH$1001,0),MATCH(COLUMNS($AO$1006:AQ1006),$AO$1006:$BQ$1006,0)), HYPERLINK("#",""), HYPERLINK(CONCATENATE("#Metadata!", ADDRESS(INDEX($AJ$2:$AJ$1001,MATCH(ROWS($AH$2:AH670),$AH$2:$AH$1001,0),0), INDEX($AO$1004:$BQ$1004,1,MATCH(COLUMNS($AO$1006:AQ1006),$AO$1006:$BQ$1006,0)))),"Fix")))</f>
        <v>#N/A</v>
      </c>
      <c r="E670" s="5" t="e">
        <f ca="1">IF(OR(INDEX($AI$2:$AI$1001,MATCH(ROWS($AH$2:AH670),$AH$2:$AH$1001,0),1)&gt;=100000,INDEX($AO$1005:$BQ$1005,1,MATCH(COLUMNS($AO$1006:AR1006),$AO$1006:$BQ$1006,0))&gt;=100000), " ",IF(INDEX($AO$2:$BQ$1001,MATCH(ROWS($AH$2:AH670),$AH$2:$AH$1001,0),MATCH(COLUMNS($AO$1006:AR1006),$AO$1006:$BQ$1006,0)), HYPERLINK("#",""), HYPERLINK(CONCATENATE("#Metadata!", ADDRESS(INDEX($AJ$2:$AJ$1001,MATCH(ROWS($AH$2:AH670),$AH$2:$AH$1001,0),0), INDEX($AO$1004:$BQ$1004,1,MATCH(COLUMNS($AO$1006:AR1006),$AO$1006:$BQ$1006,0)))),"Fix")))</f>
        <v>#N/A</v>
      </c>
      <c r="F670" s="5" t="e">
        <f ca="1">IF(OR(INDEX($AI$2:$AI$1001,MATCH(ROWS($AH$2:AH670),$AH$2:$AH$1001,0),1)&gt;=100000,INDEX($AO$1005:$BQ$1005,1,MATCH(COLUMNS($AO$1006:AS1006),$AO$1006:$BQ$1006,0))&gt;=100000), " ",IF(INDEX($AO$2:$BQ$1001,MATCH(ROWS($AH$2:AH670),$AH$2:$AH$1001,0),MATCH(COLUMNS($AO$1006:AS1006),$AO$1006:$BQ$1006,0)), HYPERLINK("#",""), HYPERLINK(CONCATENATE("#Metadata!", ADDRESS(INDEX($AJ$2:$AJ$1001,MATCH(ROWS($AH$2:AH670),$AH$2:$AH$1001,0),0), INDEX($AO$1004:$BQ$1004,1,MATCH(COLUMNS($AO$1006:AS1006),$AO$1006:$BQ$1006,0)))),"Fix")))</f>
        <v>#N/A</v>
      </c>
      <c r="G670" s="5" t="e">
        <f ca="1">IF(OR(INDEX($AI$2:$AI$1001,MATCH(ROWS($AH$2:AH670),$AH$2:$AH$1001,0),1)&gt;=100000,INDEX($AO$1005:$BQ$1005,1,MATCH(COLUMNS($AO$1006:AT1006),$AO$1006:$BQ$1006,0))&gt;=100000), " ",IF(INDEX($AO$2:$BQ$1001,MATCH(ROWS($AH$2:AH670),$AH$2:$AH$1001,0),MATCH(COLUMNS($AO$1006:AT1006),$AO$1006:$BQ$1006,0)), HYPERLINK("#",""), HYPERLINK(CONCATENATE("#Metadata!", ADDRESS(INDEX($AJ$2:$AJ$1001,MATCH(ROWS($AH$2:AH670),$AH$2:$AH$1001,0),0), INDEX($AO$1004:$BQ$1004,1,MATCH(COLUMNS($AO$1006:AT1006),$AO$1006:$BQ$1006,0)))),"Fix")))</f>
        <v>#N/A</v>
      </c>
      <c r="H670" s="5" t="e">
        <f ca="1">IF(OR(INDEX($AI$2:$AI$1001,MATCH(ROWS($AH$2:AH670),$AH$2:$AH$1001,0),1)&gt;=100000,INDEX($AO$1005:$BQ$1005,1,MATCH(COLUMNS($AO$1006:AU1006),$AO$1006:$BQ$1006,0))&gt;=100000), " ",IF(INDEX($AO$2:$BQ$1001,MATCH(ROWS($AH$2:AH670),$AH$2:$AH$1001,0),MATCH(COLUMNS($AO$1006:AU1006),$AO$1006:$BQ$1006,0)), HYPERLINK("#",""), HYPERLINK(CONCATENATE("#Metadata!", ADDRESS(INDEX($AJ$2:$AJ$1001,MATCH(ROWS($AH$2:AH670),$AH$2:$AH$1001,0),0), INDEX($AO$1004:$BQ$1004,1,MATCH(COLUMNS($AO$1006:AU1006),$AO$1006:$BQ$1006,0)))),"Fix")))</f>
        <v>#N/A</v>
      </c>
      <c r="I670" s="5" t="e">
        <f ca="1">IF(OR(INDEX($AI$2:$AI$1001,MATCH(ROWS($AH$2:AH670),$AH$2:$AH$1001,0),1)&gt;=100000,INDEX($AO$1005:$BQ$1005,1,MATCH(COLUMNS($AO$1006:AV1006),$AO$1006:$BQ$1006,0))&gt;=100000), " ",IF(INDEX($AO$2:$BQ$1001,MATCH(ROWS($AH$2:AH670),$AH$2:$AH$1001,0),MATCH(COLUMNS($AO$1006:AV1006),$AO$1006:$BQ$1006,0)), HYPERLINK("#",""), HYPERLINK(CONCATENATE("#Metadata!", ADDRESS(INDEX($AJ$2:$AJ$1001,MATCH(ROWS($AH$2:AH670),$AH$2:$AH$1001,0),0), INDEX($AO$1004:$BQ$1004,1,MATCH(COLUMNS($AO$1006:AV1006),$AO$1006:$BQ$1006,0)))),"Fix")))</f>
        <v>#N/A</v>
      </c>
      <c r="J670" s="5" t="e">
        <f ca="1">IF(OR(INDEX($AI$2:$AI$1001,MATCH(ROWS($AH$2:AH670),$AH$2:$AH$1001,0),1)&gt;=100000,INDEX($AO$1005:$BQ$1005,1,MATCH(COLUMNS($AO$1006:AW1006),$AO$1006:$BQ$1006,0))&gt;=100000), " ",IF(INDEX($AO$2:$BQ$1001,MATCH(ROWS($AH$2:AH670),$AH$2:$AH$1001,0),MATCH(COLUMNS($AO$1006:AW1006),$AO$1006:$BQ$1006,0)), HYPERLINK("#",""), HYPERLINK(CONCATENATE("#Metadata!", ADDRESS(INDEX($AJ$2:$AJ$1001,MATCH(ROWS($AH$2:AH670),$AH$2:$AH$1001,0),0), INDEX($AO$1004:$BQ$1004,1,MATCH(COLUMNS($AO$1006:AW1006),$AO$1006:$BQ$1006,0)))),"Fix")))</f>
        <v>#N/A</v>
      </c>
      <c r="K670" s="5" t="e">
        <f ca="1">IF(OR(INDEX($AI$2:$AI$1001,MATCH(ROWS($AH$2:AH670),$AH$2:$AH$1001,0),1)&gt;=100000,INDEX($AO$1005:$BQ$1005,1,MATCH(COLUMNS($AO$1006:AX1006),$AO$1006:$BQ$1006,0))&gt;=100000), " ",IF(INDEX($AO$2:$BQ$1001,MATCH(ROWS($AH$2:AH670),$AH$2:$AH$1001,0),MATCH(COLUMNS($AO$1006:AX1006),$AO$1006:$BQ$1006,0)), HYPERLINK("#",""), HYPERLINK(CONCATENATE("#Metadata!", ADDRESS(INDEX($AJ$2:$AJ$1001,MATCH(ROWS($AH$2:AH670),$AH$2:$AH$1001,0),0), INDEX($AO$1004:$BQ$1004,1,MATCH(COLUMNS($AO$1006:AX1006),$AO$1006:$BQ$1006,0)))),"Fix")))</f>
        <v>#N/A</v>
      </c>
      <c r="L670" s="5" t="e">
        <f ca="1">IF(OR(INDEX($AI$2:$AI$1001,MATCH(ROWS($AH$2:AH670),$AH$2:$AH$1001,0),1)&gt;=100000,INDEX($AO$1005:$BQ$1005,1,MATCH(COLUMNS($AO$1006:AY1006),$AO$1006:$BQ$1006,0))&gt;=100000), " ",IF(INDEX($AO$2:$BQ$1001,MATCH(ROWS($AH$2:AH670),$AH$2:$AH$1001,0),MATCH(COLUMNS($AO$1006:AY1006),$AO$1006:$BQ$1006,0)), HYPERLINK("#",""), HYPERLINK(CONCATENATE("#Metadata!", ADDRESS(INDEX($AJ$2:$AJ$1001,MATCH(ROWS($AH$2:AH670),$AH$2:$AH$1001,0),0), INDEX($AO$1004:$BQ$1004,1,MATCH(COLUMNS($AO$1006:AY1006),$AO$1006:$BQ$1006,0)))),"Fix")))</f>
        <v>#N/A</v>
      </c>
      <c r="M670" s="5" t="e">
        <f ca="1">IF(OR(INDEX($AI$2:$AI$1001,MATCH(ROWS($AH$2:AH670),$AH$2:$AH$1001,0),1)&gt;=100000,INDEX($AO$1005:$BQ$1005,1,MATCH(COLUMNS($AO$1006:AZ1006),$AO$1006:$BQ$1006,0))&gt;=100000), " ",IF(INDEX($AO$2:$BQ$1001,MATCH(ROWS($AH$2:AH670),$AH$2:$AH$1001,0),MATCH(COLUMNS($AO$1006:AZ1006),$AO$1006:$BQ$1006,0)), HYPERLINK("#",""), HYPERLINK(CONCATENATE("#Metadata!", ADDRESS(INDEX($AJ$2:$AJ$1001,MATCH(ROWS($AH$2:AH670),$AH$2:$AH$1001,0),0), INDEX($AO$1004:$BQ$1004,1,MATCH(COLUMNS($AO$1006:AZ1006),$AO$1006:$BQ$1006,0)))),"Fix")))</f>
        <v>#N/A</v>
      </c>
      <c r="N670" s="5" t="e">
        <f ca="1">IF(OR(INDEX($AI$2:$AI$1001,MATCH(ROWS($AH$2:AH670),$AH$2:$AH$1001,0),1)&gt;=100000,INDEX($AO$1005:$BQ$1005,1,MATCH(COLUMNS($AO$1006:BA1006),$AO$1006:$BQ$1006,0))&gt;=100000), " ",IF(INDEX($AO$2:$BQ$1001,MATCH(ROWS($AH$2:AH670),$AH$2:$AH$1001,0),MATCH(COLUMNS($AO$1006:BA1006),$AO$1006:$BQ$1006,0)), HYPERLINK("#",""), HYPERLINK(CONCATENATE("#Metadata!", ADDRESS(INDEX($AJ$2:$AJ$1001,MATCH(ROWS($AH$2:AH670),$AH$2:$AH$1001,0),0), INDEX($AO$1004:$BQ$1004,1,MATCH(COLUMNS($AO$1006:BA1006),$AO$1006:$BQ$1006,0)))),"Fix")))</f>
        <v>#N/A</v>
      </c>
      <c r="O670" s="5" t="e">
        <f ca="1">IF(OR(INDEX($AI$2:$AI$1001,MATCH(ROWS($AH$2:AH670),$AH$2:$AH$1001,0),1)&gt;=100000,INDEX($AO$1005:$BQ$1005,1,MATCH(COLUMNS($AO$1006:BB1006),$AO$1006:$BQ$1006,0))&gt;=100000), " ",IF(INDEX($AO$2:$BQ$1001,MATCH(ROWS($AH$2:AH670),$AH$2:$AH$1001,0),MATCH(COLUMNS($AO$1006:BB1006),$AO$1006:$BQ$1006,0)), HYPERLINK("#",""), HYPERLINK(CONCATENATE("#Metadata!", ADDRESS(INDEX($AJ$2:$AJ$1001,MATCH(ROWS($AH$2:AH670),$AH$2:$AH$1001,0),0), INDEX($AO$1004:$BQ$1004,1,MATCH(COLUMNS($AO$1006:BB1006),$AO$1006:$BQ$1006,0)))),"Fix")))</f>
        <v>#N/A</v>
      </c>
      <c r="P670" s="5" t="e">
        <f ca="1">IF(OR(INDEX($AI$2:$AI$1001,MATCH(ROWS($AH$2:AH670),$AH$2:$AH$1001,0),1)&gt;=100000,INDEX($AO$1005:$BQ$1005,1,MATCH(COLUMNS($AO$1006:BC1006),$AO$1006:$BQ$1006,0))&gt;=100000), " ",IF(INDEX($AO$2:$BQ$1001,MATCH(ROWS($AH$2:AH670),$AH$2:$AH$1001,0),MATCH(COLUMNS($AO$1006:BC1006),$AO$1006:$BQ$1006,0)), HYPERLINK("#",""), HYPERLINK(CONCATENATE("#Metadata!", ADDRESS(INDEX($AJ$2:$AJ$1001,MATCH(ROWS($AH$2:AH670),$AH$2:$AH$1001,0),0), INDEX($AO$1004:$BQ$1004,1,MATCH(COLUMNS($AO$1006:BC1006),$AO$1006:$BQ$1006,0)))),"Fix")))</f>
        <v>#N/A</v>
      </c>
      <c r="Q670" s="5" t="e">
        <f ca="1">IF(OR(INDEX($AI$2:$AI$1001,MATCH(ROWS($AH$2:AH670),$AH$2:$AH$1001,0),1)&gt;=100000,INDEX($AO$1005:$BQ$1005,1,MATCH(COLUMNS($AO$1006:BD1006),$AO$1006:$BQ$1006,0))&gt;=100000), " ",IF(INDEX($AO$2:$BQ$1001,MATCH(ROWS($AH$2:AH670),$AH$2:$AH$1001,0),MATCH(COLUMNS($AO$1006:BD1006),$AO$1006:$BQ$1006,0)), HYPERLINK("#",""), HYPERLINK(CONCATENATE("#Metadata!", ADDRESS(INDEX($AJ$2:$AJ$1001,MATCH(ROWS($AH$2:AH670),$AH$2:$AH$1001,0),0), INDEX($AO$1004:$BQ$1004,1,MATCH(COLUMNS($AO$1006:BD1006),$AO$1006:$BQ$1006,0)))),"Fix")))</f>
        <v>#N/A</v>
      </c>
      <c r="R670" s="5" t="e">
        <f ca="1">IF(OR(INDEX($AI$2:$AI$1001,MATCH(ROWS($AH$2:AH670),$AH$2:$AH$1001,0),1)&gt;=100000,INDEX($AO$1005:$BQ$1005,1,MATCH(COLUMNS($AO$1006:BE1006),$AO$1006:$BQ$1006,0))&gt;=100000), " ",IF(INDEX($AO$2:$BQ$1001,MATCH(ROWS($AH$2:AH670),$AH$2:$AH$1001,0),MATCH(COLUMNS($AO$1006:BE1006),$AO$1006:$BQ$1006,0)), HYPERLINK("#",""), HYPERLINK(CONCATENATE("#Metadata!", ADDRESS(INDEX($AJ$2:$AJ$1001,MATCH(ROWS($AH$2:AH670),$AH$2:$AH$1001,0),0), INDEX($AO$1004:$BQ$1004,1,MATCH(COLUMNS($AO$1006:BE1006),$AO$1006:$BQ$1006,0)))),"Fix")))</f>
        <v>#N/A</v>
      </c>
      <c r="S670" s="5" t="e">
        <f ca="1">IF(OR(INDEX($AI$2:$AI$1001,MATCH(ROWS($AH$2:AH670),$AH$2:$AH$1001,0),1)&gt;=100000,INDEX($AO$1005:$BQ$1005,1,MATCH(COLUMNS($AO$1006:BF1006),$AO$1006:$BQ$1006,0))&gt;=100000), " ",IF(INDEX($AO$2:$BQ$1001,MATCH(ROWS($AH$2:AH670),$AH$2:$AH$1001,0),MATCH(COLUMNS($AO$1006:BF1006),$AO$1006:$BQ$1006,0)), HYPERLINK("#",""), HYPERLINK(CONCATENATE("#Metadata!", ADDRESS(INDEX($AJ$2:$AJ$1001,MATCH(ROWS($AH$2:AH670),$AH$2:$AH$1001,0),0), INDEX($AO$1004:$BQ$1004,1,MATCH(COLUMNS($AO$1006:BF1006),$AO$1006:$BQ$1006,0)))),"Fix")))</f>
        <v>#N/A</v>
      </c>
      <c r="T670" s="5" t="e">
        <f ca="1">IF(OR(INDEX($AI$2:$AI$1001,MATCH(ROWS($AH$2:AH670),$AH$2:$AH$1001,0),1)&gt;=100000,INDEX($AO$1005:$BQ$1005,1,MATCH(COLUMNS($AO$1006:BG1006),$AO$1006:$BQ$1006,0))&gt;=100000), " ",IF(INDEX($AO$2:$BQ$1001,MATCH(ROWS($AH$2:AH670),$AH$2:$AH$1001,0),MATCH(COLUMNS($AO$1006:BG1006),$AO$1006:$BQ$1006,0)), HYPERLINK("#",""), HYPERLINK(CONCATENATE("#Metadata!", ADDRESS(INDEX($AJ$2:$AJ$1001,MATCH(ROWS($AH$2:AH670),$AH$2:$AH$1001,0),0), INDEX($AO$1004:$BQ$1004,1,MATCH(COLUMNS($AO$1006:BG1006),$AO$1006:$BQ$1006,0)))),"Fix")))</f>
        <v>#N/A</v>
      </c>
      <c r="U670" s="5" t="e">
        <f ca="1">IF(OR(INDEX($AI$2:$AI$1001,MATCH(ROWS($AH$2:AH670),$AH$2:$AH$1001,0),1)&gt;=100000,INDEX($AO$1005:$BQ$1005,1,MATCH(COLUMNS($AO$1006:BH1006),$AO$1006:$BQ$1006,0))&gt;=100000), " ",IF(INDEX($AO$2:$BQ$1001,MATCH(ROWS($AH$2:AH670),$AH$2:$AH$1001,0),MATCH(COLUMNS($AO$1006:BH1006),$AO$1006:$BQ$1006,0)), HYPERLINK("#",""), HYPERLINK(CONCATENATE("#Metadata!", ADDRESS(INDEX($AJ$2:$AJ$1001,MATCH(ROWS($AH$2:AH670),$AH$2:$AH$1001,0),0), INDEX($AO$1004:$BQ$1004,1,MATCH(COLUMNS($AO$1006:BH1006),$AO$1006:$BQ$1006,0)))),"Fix")))</f>
        <v>#N/A</v>
      </c>
      <c r="V670" s="5" t="e">
        <f ca="1">IF(OR(INDEX($AI$2:$AI$1001,MATCH(ROWS($AH$2:AH670),$AH$2:$AH$1001,0),1)&gt;=100000,INDEX($AO$1005:$BQ$1005,1,MATCH(COLUMNS($AO$1006:BI1006),$AO$1006:$BQ$1006,0))&gt;=100000), " ",IF(INDEX($AO$2:$BQ$1001,MATCH(ROWS($AH$2:AH670),$AH$2:$AH$1001,0),MATCH(COLUMNS($AO$1006:BI1006),$AO$1006:$BQ$1006,0)), HYPERLINK("#",""), HYPERLINK(CONCATENATE("#Metadata!", ADDRESS(INDEX($AJ$2:$AJ$1001,MATCH(ROWS($AH$2:AH670),$AH$2:$AH$1001,0),0), INDEX($AO$1004:$BQ$1004,1,MATCH(COLUMNS($AO$1006:BI1006),$AO$1006:$BQ$1006,0)))),"Fix")))</f>
        <v>#N/A</v>
      </c>
      <c r="W670" s="5" t="e">
        <f ca="1">IF(OR(INDEX($AI$2:$AI$1001,MATCH(ROWS($AH$2:AH670),$AH$2:$AH$1001,0),1)&gt;=100000,INDEX($AO$1005:$BQ$1005,1,MATCH(COLUMNS($AO$1006:BJ1006),$AO$1006:$BQ$1006,0))&gt;=100000), " ",IF(INDEX($AO$2:$BQ$1001,MATCH(ROWS($AH$2:AH670),$AH$2:$AH$1001,0),MATCH(COLUMNS($AO$1006:BJ1006),$AO$1006:$BQ$1006,0)), HYPERLINK("#",""), HYPERLINK(CONCATENATE("#Metadata!", ADDRESS(INDEX($AJ$2:$AJ$1001,MATCH(ROWS($AH$2:AH670),$AH$2:$AH$1001,0),0), INDEX($AO$1004:$BQ$1004,1,MATCH(COLUMNS($AO$1006:BJ1006),$AO$1006:$BQ$1006,0)))),"Fix")))</f>
        <v>#N/A</v>
      </c>
      <c r="X670" s="5" t="e">
        <f ca="1">IF(OR(INDEX($AI$2:$AI$1001,MATCH(ROWS($AH$2:AH670),$AH$2:$AH$1001,0),1)&gt;=100000,INDEX($AO$1005:$BQ$1005,1,MATCH(COLUMNS($AO$1006:BK1006),$AO$1006:$BQ$1006,0))&gt;=100000), " ",IF(INDEX($AO$2:$BQ$1001,MATCH(ROWS($AH$2:AH670),$AH$2:$AH$1001,0),MATCH(COLUMNS($AO$1006:BK1006),$AO$1006:$BQ$1006,0)), HYPERLINK("#",""), HYPERLINK(CONCATENATE("#Metadata!", ADDRESS(INDEX($AJ$2:$AJ$1001,MATCH(ROWS($AH$2:AH670),$AH$2:$AH$1001,0),0), INDEX($AO$1004:$BQ$1004,1,MATCH(COLUMNS($AO$1006:BK1006),$AO$1006:$BQ$1006,0)))),"Fix")))</f>
        <v>#N/A</v>
      </c>
      <c r="Y670" s="5" t="e">
        <f ca="1">IF(OR(INDEX($AI$2:$AI$1001,MATCH(ROWS($AH$2:AH670),$AH$2:$AH$1001,0),1)&gt;=100000,INDEX($AO$1005:$BQ$1005,1,MATCH(COLUMNS($AO$1006:BL1006),$AO$1006:$BQ$1006,0))&gt;=100000), " ",IF(INDEX($AO$2:$BQ$1001,MATCH(ROWS($AH$2:AH670),$AH$2:$AH$1001,0),MATCH(COLUMNS($AO$1006:BL1006),$AO$1006:$BQ$1006,0)), HYPERLINK("#",""), HYPERLINK(CONCATENATE("#Metadata!", ADDRESS(INDEX($AJ$2:$AJ$1001,MATCH(ROWS($AH$2:AH670),$AH$2:$AH$1001,0),0), INDEX($AO$1004:$BQ$1004,1,MATCH(COLUMNS($AO$1006:BL1006),$AO$1006:$BQ$1006,0)))),"Fix")))</f>
        <v>#N/A</v>
      </c>
      <c r="Z670" s="5" t="e">
        <f ca="1">IF(OR(INDEX($AI$2:$AI$1001,MATCH(ROWS($AH$2:AH670),$AH$2:$AH$1001,0),1)&gt;=100000,INDEX($AO$1005:$BQ$1005,1,MATCH(COLUMNS($AO$1006:BM1006),$AO$1006:$BQ$1006,0))&gt;=100000), " ",IF(INDEX($AO$2:$BQ$1001,MATCH(ROWS($AH$2:AH670),$AH$2:$AH$1001,0),MATCH(COLUMNS($AO$1006:BM1006),$AO$1006:$BQ$1006,0)), HYPERLINK("#",""), HYPERLINK(CONCATENATE("#Metadata!", ADDRESS(INDEX($AJ$2:$AJ$1001,MATCH(ROWS($AH$2:AH670),$AH$2:$AH$1001,0),0), INDEX($AO$1004:$BQ$1004,1,MATCH(COLUMNS($AO$1006:BM1006),$AO$1006:$BQ$1006,0)))),"Fix")))</f>
        <v>#N/A</v>
      </c>
      <c r="AA670" s="5" t="e">
        <f ca="1">IF(OR(INDEX($AI$2:$AI$1001,MATCH(ROWS($AH$2:AH670),$AH$2:$AH$1001,0),1)&gt;=100000,INDEX($AO$1005:$BQ$1005,1,MATCH(COLUMNS($AO$1006:BN1006),$AO$1006:$BQ$1006,0))&gt;=100000), " ",IF(INDEX($AO$2:$BQ$1001,MATCH(ROWS($AH$2:AH670),$AH$2:$AH$1001,0),MATCH(COLUMNS($AO$1006:BN1006),$AO$1006:$BQ$1006,0)), HYPERLINK("#",""), HYPERLINK(CONCATENATE("#Metadata!", ADDRESS(INDEX($AJ$2:$AJ$1001,MATCH(ROWS($AH$2:AH670),$AH$2:$AH$1001,0),0), INDEX($AO$1004:$BQ$1004,1,MATCH(COLUMNS($AO$1006:BN1006),$AO$1006:$BQ$1006,0)))),"Fix")))</f>
        <v>#N/A</v>
      </c>
      <c r="AB670" s="5" t="e">
        <f ca="1">IF(OR(INDEX($AI$2:$AI$1001,MATCH(ROWS($AH$2:AH670),$AH$2:$AH$1001,0),1)&gt;=100000,INDEX($AO$1005:$BQ$1005,1,MATCH(COLUMNS($AO$1006:BO1006),$AO$1006:$BQ$1006,0))&gt;=100000), " ",IF(INDEX($AO$2:$BQ$1001,MATCH(ROWS($AH$2:AH670),$AH$2:$AH$1001,0),MATCH(COLUMNS($AO$1006:BO1006),$AO$1006:$BQ$1006,0)), HYPERLINK("#",""), HYPERLINK(CONCATENATE("#Metadata!", ADDRESS(INDEX($AJ$2:$AJ$1001,MATCH(ROWS($AH$2:AH670),$AH$2:$AH$1001,0),0), INDEX($AO$1004:$BQ$1004,1,MATCH(COLUMNS($AO$1006:BO1006),$AO$1006:$BQ$1006,0)))),"Fix")))</f>
        <v>#N/A</v>
      </c>
      <c r="AC670" s="5" t="e">
        <f ca="1">IF(OR(INDEX($AI$2:$AI$1001,MATCH(ROWS($AH$2:AH670),$AH$2:$AH$1001,0),1)&gt;=100000,INDEX($AO$1005:$BQ$1005,1,MATCH(COLUMNS($AO$1006:BP1006),$AO$1006:$BQ$1006,0))&gt;=100000), " ",IF(INDEX($AO$2:$BQ$1001,MATCH(ROWS($AH$2:AH670),$AH$2:$AH$1001,0),MATCH(COLUMNS($AO$1006:BP1006),$AO$1006:$BQ$1006,0)), HYPERLINK("#",""), HYPERLINK(CONCATENATE("#Metadata!", ADDRESS(INDEX($AJ$2:$AJ$1001,MATCH(ROWS($AH$2:AH670),$AH$2:$AH$1001,0),0), INDEX($AO$1004:$BQ$1004,1,MATCH(COLUMNS($AO$1006:BP1006),$AO$1006:$BQ$1006,0)))),"Fix")))</f>
        <v>#N/A</v>
      </c>
      <c r="AD670" s="5" t="e">
        <f ca="1">IF(OR(INDEX($AI$2:$AI$1001,MATCH(ROWS($AH$2:AH670),$AH$2:$AH$1001,0),1)&gt;=100000,INDEX($AO$1005:$BQ$1005,1,MATCH(COLUMNS($AO$1006:BQ1006),$AO$1006:$BQ$1006,0))&gt;=100000), " ",IF(INDEX($AO$2:$BQ$1001,MATCH(ROWS($AH$2:AH670),$AH$2:$AH$1001,0),MATCH(COLUMNS($AO$1006:BQ1006),$AO$1006:$BQ$1006,0)), HYPERLINK("#",""), HYPERLINK(CONCATENATE("#Metadata!", ADDRESS(INDEX($AJ$2:$AJ$1001,MATCH(ROWS($AH$2:AH670),$AH$2:$AH$1001,0),0), INDEX($AO$1004:$BQ$1004,1,MATCH(COLUMNS($AO$1006:BQ1006),$AO$1006:$BQ$1006,0)))),"Fix")))</f>
        <v>#REF!</v>
      </c>
      <c r="AH670">
        <f ca="1"/>
        <v>667</v>
      </c>
      <c r="AI670">
        <v>100670</v>
      </c>
      <c r="AJ670">
        <v>670</v>
      </c>
      <c r="AK670" t="b">
        <f t="shared" si="10"/>
        <v>1</v>
      </c>
      <c r="AL670" t="b">
        <f>COUNTBLANK(Metadata!B670:AD670)=COLUMNS(Metadata!B670:AD670)</f>
        <v>1</v>
      </c>
      <c r="AM670" t="str">
        <v/>
      </c>
      <c r="AO670" t="b">
        <f ca="1">AND(IF(Metadata!B670="",FALSE,TRUE),COUNTIF(Metadata!B:B, Metadata!B670) = 1,NOT(ISERROR(SUMPRODUCT(SEARCH(MID(Metadata!B670,ROW(INDIRECT("1:"&amp;LEN(Metadata!B670))), 1),"0123456789abcdefghijklmnopqrstuvwxyzABCDEFGHIJKLMNOPQRSTUVWXYZ.")))))</f>
        <v>0</v>
      </c>
      <c r="AP670" t="b">
        <f>IF(Metadata!C670="",FALSE,TRUE)</f>
        <v>0</v>
      </c>
      <c r="AQ670" t="b">
        <f>IF(Metadata!D670="",FALSE,TRUE)</f>
        <v>0</v>
      </c>
      <c r="AR670" t="b">
        <f ca="1">OR(AND(IF(Metadata!E670="",FALSE,TRUE),OR(EXACT(Metadata!E670,"not collected"),EXACT(Metadata!E670,"not provided"),EXACT(Metadata!E670,"restricted access"))),AND(IF(Metadata!E670="",FALSE,TRUE),AND(AND(IFERROR(INT(LEFT(Metadata!E670,4))&gt;1900,FALSE),IFERROR(INT(LEFT(Metadata!E670,4))&lt;=YEAR(NOW()),FALSE)), OR(MID(Metadata!E670,5,1)="", AND(AND(MID(Metadata!E670,5,1)="-",IFERROR(INT(MID(Metadata!E670,6,1))&gt;=0,FALSE),IFERROR(INT(MID(Metadata!E670,6,1))&lt;=1,FALSE),NOT(MID(Metadata!E670,7,1)=""),IFERROR(INT(MID(Metadata!E670,6,2))&gt;=1,FALSE),IFERROR(INT(MID(Metadata!E670,6,2))&lt;=12,FALSE)), OR(MID(Metadata!E670,8,1)="", AND(AND(MID(Metadata!E670,8,1)="-",IFERROR(INT(MID(Metadata!E670,9,1))&gt;=0,FALSE),IFERROR(INT(MID(Metadata!E670,9,1))&lt;=3,FALSE),NOT(MID(Metadata!E670,10,1)=""),IFERROR(INT(MID(Metadata!E670,9,2))&gt;=1,FALSE),IFERROR(INT(MID(Metadata!E670,9,2))&lt;=31,FALSE)), OR(MID(Metadata!E670,11,1)="", AND(AND(MID(Metadata!E670,11,1)=" ",IFERROR(INT(MID(Metadata!E670,12,1))&gt;=0,FALSE),IFERROR(INT(MID(Metadata!E670,12,1))&lt;=2,FALSE),NOT(MID(Metadata!E670,13,1)=""),IFERROR(INT(MID(Metadata!E670,12,2))&gt;=0,FALSE),IFERROR(INT(MID(Metadata!E670,12,2))&lt;=23,FALSE)), OR(MID(Metadata!E670,14,1)="", AND(AND(MID(Metadata!E670,14,1)=":",IFERROR(INT(MID(Metadata!E670,15,1))&gt;=0,FALSE),IFERROR(INT(MID(Metadata!E670,15,1))&lt;=5,FALSE),NOT(MID(Metadata!E670,16,1)=""),IFERROR(INT(MID(Metadata!E670,15,2))&gt;=0,FALSE),IFERROR(INT(MID(Metadata!E670,15,2))&lt;=59,FALSE)), OR(MID(Metadata!E670,17,1)="", AND(AND(MID(Metadata!E670,17,1)=":",IFERROR(INT(MID(Metadata!E670,18,1))&gt;=0,FALSE),IFERROR(INT(MID(Metadata!E670,18,1))&lt;=5,FALSE),NOT(MID(Metadata!E670,19,1)=""),IFERROR(INT(MID(Metadata!E670,18,2))&gt;=0,FALSE),IFERROR(INT(MID(Metadata!E670,18,2))&lt;=59,FALSE)), LEN(Metadata!E670)&lt;=19)))))))))))))</f>
        <v>0</v>
      </c>
      <c r="AS670" t="b">
        <f>IF(Metadata!F670="",FALSE,TRUE)</f>
        <v>0</v>
      </c>
      <c r="AT670" t="b">
        <f>OR(AND(IF(Metadata!G670="",FALSE,TRUE),OR(EXACT(Metadata!G670,"not collected"),EXACT(Metadata!G670,"not provided"))),AND(IF(Metadata!G670="",FALSE,TRUE),OR(EXACT(Metadata!G670,"TRUE"),EXACT(Metadata!G670,"FALSE"))))</f>
        <v>0</v>
      </c>
      <c r="AU670" t="b">
        <f>OR(AND(IF(Metadata!H670="",FALSE,TRUE),OR(EXACT(Metadata!H670,"not collected"),EXACT(Metadata!H670,"not provided"),EXACT(Metadata!H670,"restricted access"))),AND(IF(Metadata!H670="",FALSE,ISNUMBER(VALUE(Metadata!H670))),Metadata!H670&gt;=-413))</f>
        <v>0</v>
      </c>
      <c r="AV670" t="b">
        <f>AND(IF(Metadata!I670="",FALSE,TRUE),EXACT(Metadata!I670,"meters"))</f>
        <v>0</v>
      </c>
      <c r="AW670" t="b">
        <f>AND(IF(Metadata!J670="",FALSE,TRUE),EXACT(Metadata!J670,"free-living"))</f>
        <v>0</v>
      </c>
      <c r="AX670" t="b">
        <f>AND(IF(Metadata!K670="",FALSE,TRUE),OR(EXACT(Metadata!K670,"saline"),EXACT(Metadata!K670,"non-saline")))</f>
        <v>0</v>
      </c>
      <c r="AY670" t="b">
        <f>AND(IF(Metadata!L670="",FALSE,TRUE),OR(EXACT(Metadata!L670,"sub-surface (non-saline)"),EXACT(Metadata!L670,"surface (non-saline)"),EXACT(Metadata!L670,"water (non-saline)"),EXACT(Metadata!L670,"soil (non-saline)"),EXACT(Metadata!L670,"aerosol (non-saline)"),EXACT(Metadata!L670,"sediment (non-saline)"),EXACT(Metadata!L670,"surface (saline)"),EXACT(Metadata!L670,"water (saline)"),EXACT(Metadata!L670,"hypersaline (saline)"),EXACT(Metadata!L670,"aerosol (saline)"),EXACT(Metadata!L670,"sediment (saline)")))</f>
        <v>0</v>
      </c>
      <c r="AZ670" t="b">
        <f>IF(Metadata!M670="",FALSE,TRUE)</f>
        <v>0</v>
      </c>
      <c r="BA670" t="b">
        <f>IF(Metadata!N670="",FALSE,TRUE)</f>
        <v>0</v>
      </c>
      <c r="BB670" t="b">
        <f>IF(Metadata!O670="",FALSE,TRUE)</f>
        <v>0</v>
      </c>
      <c r="BC670" t="b">
        <f>AND(IF(Metadata!P670="",FALSE,TRUE),OR(EXACT(Metadata!P670,"air"),EXACT(Metadata!P670,"microbial mat/biofilm"),EXACT(Metadata!P670,"misc environment"),EXACT(Metadata!P670,"sediment"),EXACT(Metadata!P670,"soil"),EXACT(Metadata!P670,"wastewater/sludge"),EXACT(Metadata!P670,"water")))</f>
        <v>0</v>
      </c>
      <c r="BD670" t="b">
        <f>IF(Metadata!Q670="",FALSE,TRUE)</f>
        <v>0</v>
      </c>
      <c r="BE670" t="b">
        <f>IF(Metadata!R670="",FALSE,TRUE)</f>
        <v>0</v>
      </c>
      <c r="BF670" t="b">
        <f>OR(AND(IF(Metadata!S670="",FALSE,TRUE),OR(EXACT(Metadata!S670,"not collected"),EXACT(Metadata!S670,"not provided"),EXACT(Metadata!S670,"restricted access"))),AND(IF(Metadata!S670="",FALSE,ISNUMBER(VALUE(Metadata!S670))),Metadata!S670&gt;=-90,Metadata!S670&lt;=90))</f>
        <v>0</v>
      </c>
      <c r="BG670" t="b">
        <f>AND(IF(Metadata!T670="",FALSE,TRUE),EXACT(Metadata!T670,"Decimal degrees"))</f>
        <v>0</v>
      </c>
      <c r="BH670" t="b">
        <f>OR(AND(IF(Metadata!U670="",FALSE,TRUE),OR(EXACT(Metadata!U670,"not applicable"),EXACT(Metadata!U670,"not collected"))),IF(Metadata!U670="",FALSE,TRUE))</f>
        <v>0</v>
      </c>
      <c r="BI670" t="b">
        <f>OR(AND(IF(Metadata!V670="",FALSE,TRUE),OR(EXACT(Metadata!V670,"not collected"),EXACT(Metadata!V670,"not provided"),EXACT(Metadata!V670,"restricted access"))),AND(IF(Metadata!V670="",FALSE,ISNUMBER(VALUE(Metadata!V670))),Metadata!V670&gt;=-180,Metadata!V670&lt;=180))</f>
        <v>0</v>
      </c>
      <c r="BJ670" t="b">
        <f>AND(IF(Metadata!W670="",FALSE,TRUE),EXACT(Metadata!W670,"Decimal degrees"))</f>
        <v>0</v>
      </c>
      <c r="BK670" t="b">
        <f>IF(Metadata!X670="",FALSE,TRUE)</f>
        <v>0</v>
      </c>
      <c r="BL670" t="b">
        <f>OR(AND(IF(Metadata!Y670="",FALSE,TRUE),OR(EXACT(Metadata!Y670,"not collected"),EXACT(Metadata!Y670,"not provided"),EXACT(Metadata!Y670,"restricted access"))),AND(IF(Metadata!Y670="",FALSE,TRUE),OR(EXACT(Metadata!Y670,"TRUE"),EXACT(Metadata!Y670,"FALSE"))))</f>
        <v>0</v>
      </c>
      <c r="BM670" t="b">
        <f>OR(AND(IF(Metadata!Z670="",FALSE,TRUE),EXACT(Metadata!Z670,"not applicable")),AND(IF(Metadata!Z670="",FALSE,TRUE),OR(EXACT(Metadata!Z670,"beer"),EXACT(Metadata!Z670,"cheese"),EXACT(Metadata!Z670,"fresh water"),EXACT(Metadata!Z670,"marine sediment"),EXACT(Metadata!Z670,"sea water"),EXACT(Metadata!Z670,"sediment"),EXACT(Metadata!Z670,"soil"),EXACT(Metadata!Z670,"waste water"))))</f>
        <v>0</v>
      </c>
      <c r="BN670" t="b">
        <f>AND(IF(Metadata!AA670="",FALSE,TRUE),EXACT(Metadata!AA670,"metagenome"))</f>
        <v>0</v>
      </c>
      <c r="BO670" t="b">
        <f>AND(IF(Metadata!AB670="",FALSE,TRUE),EXACT(Metadata!AB670,"256318"))</f>
        <v>0</v>
      </c>
      <c r="BP670" t="b">
        <f>IF(Metadata!AC670="",FALSE,TRUE)</f>
        <v>0</v>
      </c>
      <c r="BQ670" t="b">
        <f>IF(Metadata!AD670="",FALSE,TRUE)</f>
        <v>0</v>
      </c>
    </row>
    <row r="671" spans="1:69" x14ac:dyDescent="0.2">
      <c r="A671" s="4" t="e">
        <f ca="1">IF(B671=" "," ",HYPERLINK(CONCATENATE("#metadata!",ADDRESS(INDEX($AJ$2:$AJ$1001,MATCH(ROWS($AH$2:AH671),$AH$2:$AH$1001,0),0),2)),INDEX($AM$2:$AM$1001,MATCH(ROWS($AH$2:AH671),$AH$2:$AH$1001,0),0)))</f>
        <v>#N/A</v>
      </c>
      <c r="B671" s="5" t="e">
        <f ca="1">IF(OR(INDEX($AI$2:$AI$1001,MATCH(ROWS($AH$2:AH671),$AH$2:$AH$1001,0),1)&gt;=100000,INDEX($AO$1005:$BQ$1005,1,MATCH(COLUMNS($AO$1006:AO1006),$AO$1006:$BQ$1006,0))&gt;=100000), " ",IF(INDEX($AO$2:$BQ$1001,MATCH(ROWS($AH$2:AH671),$AH$2:$AH$1001,0),MATCH(COLUMNS($AO$1006:AO1006),$AO$1006:$BQ$1006,0)), HYPERLINK("#",""), HYPERLINK(CONCATENATE("#Metadata!", ADDRESS(INDEX($AJ$2:$AJ$1001,MATCH(ROWS($AH$2:AH671),$AH$2:$AH$1001,0),0), INDEX($AO$1004:$BQ$1004,1,MATCH(COLUMNS($AO$1006:AO1006),$AO$1006:$BQ$1006,0)))),"Fix")))</f>
        <v>#N/A</v>
      </c>
      <c r="C671" s="5" t="e">
        <f ca="1">IF(OR(INDEX($AI$2:$AI$1001,MATCH(ROWS($AH$2:AH671),$AH$2:$AH$1001,0),1)&gt;=100000,INDEX($AO$1005:$BQ$1005,1,MATCH(COLUMNS($AO$1006:AP1006),$AO$1006:$BQ$1006,0))&gt;=100000), " ",IF(INDEX($AO$2:$BQ$1001,MATCH(ROWS($AH$2:AH671),$AH$2:$AH$1001,0),MATCH(COLUMNS($AO$1006:AP1006),$AO$1006:$BQ$1006,0)), HYPERLINK("#",""), HYPERLINK(CONCATENATE("#Metadata!", ADDRESS(INDEX($AJ$2:$AJ$1001,MATCH(ROWS($AH$2:AH671),$AH$2:$AH$1001,0),0), INDEX($AO$1004:$BQ$1004,1,MATCH(COLUMNS($AO$1006:AP1006),$AO$1006:$BQ$1006,0)))),"Fix")))</f>
        <v>#N/A</v>
      </c>
      <c r="D671" s="5" t="e">
        <f ca="1">IF(OR(INDEX($AI$2:$AI$1001,MATCH(ROWS($AH$2:AH671),$AH$2:$AH$1001,0),1)&gt;=100000,INDEX($AO$1005:$BQ$1005,1,MATCH(COLUMNS($AO$1006:AQ1006),$AO$1006:$BQ$1006,0))&gt;=100000), " ",IF(INDEX($AO$2:$BQ$1001,MATCH(ROWS($AH$2:AH671),$AH$2:$AH$1001,0),MATCH(COLUMNS($AO$1006:AQ1006),$AO$1006:$BQ$1006,0)), HYPERLINK("#",""), HYPERLINK(CONCATENATE("#Metadata!", ADDRESS(INDEX($AJ$2:$AJ$1001,MATCH(ROWS($AH$2:AH671),$AH$2:$AH$1001,0),0), INDEX($AO$1004:$BQ$1004,1,MATCH(COLUMNS($AO$1006:AQ1006),$AO$1006:$BQ$1006,0)))),"Fix")))</f>
        <v>#N/A</v>
      </c>
      <c r="E671" s="5" t="e">
        <f ca="1">IF(OR(INDEX($AI$2:$AI$1001,MATCH(ROWS($AH$2:AH671),$AH$2:$AH$1001,0),1)&gt;=100000,INDEX($AO$1005:$BQ$1005,1,MATCH(COLUMNS($AO$1006:AR1006),$AO$1006:$BQ$1006,0))&gt;=100000), " ",IF(INDEX($AO$2:$BQ$1001,MATCH(ROWS($AH$2:AH671),$AH$2:$AH$1001,0),MATCH(COLUMNS($AO$1006:AR1006),$AO$1006:$BQ$1006,0)), HYPERLINK("#",""), HYPERLINK(CONCATENATE("#Metadata!", ADDRESS(INDEX($AJ$2:$AJ$1001,MATCH(ROWS($AH$2:AH671),$AH$2:$AH$1001,0),0), INDEX($AO$1004:$BQ$1004,1,MATCH(COLUMNS($AO$1006:AR1006),$AO$1006:$BQ$1006,0)))),"Fix")))</f>
        <v>#N/A</v>
      </c>
      <c r="F671" s="5" t="e">
        <f ca="1">IF(OR(INDEX($AI$2:$AI$1001,MATCH(ROWS($AH$2:AH671),$AH$2:$AH$1001,0),1)&gt;=100000,INDEX($AO$1005:$BQ$1005,1,MATCH(COLUMNS($AO$1006:AS1006),$AO$1006:$BQ$1006,0))&gt;=100000), " ",IF(INDEX($AO$2:$BQ$1001,MATCH(ROWS($AH$2:AH671),$AH$2:$AH$1001,0),MATCH(COLUMNS($AO$1006:AS1006),$AO$1006:$BQ$1006,0)), HYPERLINK("#",""), HYPERLINK(CONCATENATE("#Metadata!", ADDRESS(INDEX($AJ$2:$AJ$1001,MATCH(ROWS($AH$2:AH671),$AH$2:$AH$1001,0),0), INDEX($AO$1004:$BQ$1004,1,MATCH(COLUMNS($AO$1006:AS1006),$AO$1006:$BQ$1006,0)))),"Fix")))</f>
        <v>#N/A</v>
      </c>
      <c r="G671" s="5" t="e">
        <f ca="1">IF(OR(INDEX($AI$2:$AI$1001,MATCH(ROWS($AH$2:AH671),$AH$2:$AH$1001,0),1)&gt;=100000,INDEX($AO$1005:$BQ$1005,1,MATCH(COLUMNS($AO$1006:AT1006),$AO$1006:$BQ$1006,0))&gt;=100000), " ",IF(INDEX($AO$2:$BQ$1001,MATCH(ROWS($AH$2:AH671),$AH$2:$AH$1001,0),MATCH(COLUMNS($AO$1006:AT1006),$AO$1006:$BQ$1006,0)), HYPERLINK("#",""), HYPERLINK(CONCATENATE("#Metadata!", ADDRESS(INDEX($AJ$2:$AJ$1001,MATCH(ROWS($AH$2:AH671),$AH$2:$AH$1001,0),0), INDEX($AO$1004:$BQ$1004,1,MATCH(COLUMNS($AO$1006:AT1006),$AO$1006:$BQ$1006,0)))),"Fix")))</f>
        <v>#N/A</v>
      </c>
      <c r="H671" s="5" t="e">
        <f ca="1">IF(OR(INDEX($AI$2:$AI$1001,MATCH(ROWS($AH$2:AH671),$AH$2:$AH$1001,0),1)&gt;=100000,INDEX($AO$1005:$BQ$1005,1,MATCH(COLUMNS($AO$1006:AU1006),$AO$1006:$BQ$1006,0))&gt;=100000), " ",IF(INDEX($AO$2:$BQ$1001,MATCH(ROWS($AH$2:AH671),$AH$2:$AH$1001,0),MATCH(COLUMNS($AO$1006:AU1006),$AO$1006:$BQ$1006,0)), HYPERLINK("#",""), HYPERLINK(CONCATENATE("#Metadata!", ADDRESS(INDEX($AJ$2:$AJ$1001,MATCH(ROWS($AH$2:AH671),$AH$2:$AH$1001,0),0), INDEX($AO$1004:$BQ$1004,1,MATCH(COLUMNS($AO$1006:AU1006),$AO$1006:$BQ$1006,0)))),"Fix")))</f>
        <v>#N/A</v>
      </c>
      <c r="I671" s="5" t="e">
        <f ca="1">IF(OR(INDEX($AI$2:$AI$1001,MATCH(ROWS($AH$2:AH671),$AH$2:$AH$1001,0),1)&gt;=100000,INDEX($AO$1005:$BQ$1005,1,MATCH(COLUMNS($AO$1006:AV1006),$AO$1006:$BQ$1006,0))&gt;=100000), " ",IF(INDEX($AO$2:$BQ$1001,MATCH(ROWS($AH$2:AH671),$AH$2:$AH$1001,0),MATCH(COLUMNS($AO$1006:AV1006),$AO$1006:$BQ$1006,0)), HYPERLINK("#",""), HYPERLINK(CONCATENATE("#Metadata!", ADDRESS(INDEX($AJ$2:$AJ$1001,MATCH(ROWS($AH$2:AH671),$AH$2:$AH$1001,0),0), INDEX($AO$1004:$BQ$1004,1,MATCH(COLUMNS($AO$1006:AV1006),$AO$1006:$BQ$1006,0)))),"Fix")))</f>
        <v>#N/A</v>
      </c>
      <c r="J671" s="5" t="e">
        <f ca="1">IF(OR(INDEX($AI$2:$AI$1001,MATCH(ROWS($AH$2:AH671),$AH$2:$AH$1001,0),1)&gt;=100000,INDEX($AO$1005:$BQ$1005,1,MATCH(COLUMNS($AO$1006:AW1006),$AO$1006:$BQ$1006,0))&gt;=100000), " ",IF(INDEX($AO$2:$BQ$1001,MATCH(ROWS($AH$2:AH671),$AH$2:$AH$1001,0),MATCH(COLUMNS($AO$1006:AW1006),$AO$1006:$BQ$1006,0)), HYPERLINK("#",""), HYPERLINK(CONCATENATE("#Metadata!", ADDRESS(INDEX($AJ$2:$AJ$1001,MATCH(ROWS($AH$2:AH671),$AH$2:$AH$1001,0),0), INDEX($AO$1004:$BQ$1004,1,MATCH(COLUMNS($AO$1006:AW1006),$AO$1006:$BQ$1006,0)))),"Fix")))</f>
        <v>#N/A</v>
      </c>
      <c r="K671" s="5" t="e">
        <f ca="1">IF(OR(INDEX($AI$2:$AI$1001,MATCH(ROWS($AH$2:AH671),$AH$2:$AH$1001,0),1)&gt;=100000,INDEX($AO$1005:$BQ$1005,1,MATCH(COLUMNS($AO$1006:AX1006),$AO$1006:$BQ$1006,0))&gt;=100000), " ",IF(INDEX($AO$2:$BQ$1001,MATCH(ROWS($AH$2:AH671),$AH$2:$AH$1001,0),MATCH(COLUMNS($AO$1006:AX1006),$AO$1006:$BQ$1006,0)), HYPERLINK("#",""), HYPERLINK(CONCATENATE("#Metadata!", ADDRESS(INDEX($AJ$2:$AJ$1001,MATCH(ROWS($AH$2:AH671),$AH$2:$AH$1001,0),0), INDEX($AO$1004:$BQ$1004,1,MATCH(COLUMNS($AO$1006:AX1006),$AO$1006:$BQ$1006,0)))),"Fix")))</f>
        <v>#N/A</v>
      </c>
      <c r="L671" s="5" t="e">
        <f ca="1">IF(OR(INDEX($AI$2:$AI$1001,MATCH(ROWS($AH$2:AH671),$AH$2:$AH$1001,0),1)&gt;=100000,INDEX($AO$1005:$BQ$1005,1,MATCH(COLUMNS($AO$1006:AY1006),$AO$1006:$BQ$1006,0))&gt;=100000), " ",IF(INDEX($AO$2:$BQ$1001,MATCH(ROWS($AH$2:AH671),$AH$2:$AH$1001,0),MATCH(COLUMNS($AO$1006:AY1006),$AO$1006:$BQ$1006,0)), HYPERLINK("#",""), HYPERLINK(CONCATENATE("#Metadata!", ADDRESS(INDEX($AJ$2:$AJ$1001,MATCH(ROWS($AH$2:AH671),$AH$2:$AH$1001,0),0), INDEX($AO$1004:$BQ$1004,1,MATCH(COLUMNS($AO$1006:AY1006),$AO$1006:$BQ$1006,0)))),"Fix")))</f>
        <v>#N/A</v>
      </c>
      <c r="M671" s="5" t="e">
        <f ca="1">IF(OR(INDEX($AI$2:$AI$1001,MATCH(ROWS($AH$2:AH671),$AH$2:$AH$1001,0),1)&gt;=100000,INDEX($AO$1005:$BQ$1005,1,MATCH(COLUMNS($AO$1006:AZ1006),$AO$1006:$BQ$1006,0))&gt;=100000), " ",IF(INDEX($AO$2:$BQ$1001,MATCH(ROWS($AH$2:AH671),$AH$2:$AH$1001,0),MATCH(COLUMNS($AO$1006:AZ1006),$AO$1006:$BQ$1006,0)), HYPERLINK("#",""), HYPERLINK(CONCATENATE("#Metadata!", ADDRESS(INDEX($AJ$2:$AJ$1001,MATCH(ROWS($AH$2:AH671),$AH$2:$AH$1001,0),0), INDEX($AO$1004:$BQ$1004,1,MATCH(COLUMNS($AO$1006:AZ1006),$AO$1006:$BQ$1006,0)))),"Fix")))</f>
        <v>#N/A</v>
      </c>
      <c r="N671" s="5" t="e">
        <f ca="1">IF(OR(INDEX($AI$2:$AI$1001,MATCH(ROWS($AH$2:AH671),$AH$2:$AH$1001,0),1)&gt;=100000,INDEX($AO$1005:$BQ$1005,1,MATCH(COLUMNS($AO$1006:BA1006),$AO$1006:$BQ$1006,0))&gt;=100000), " ",IF(INDEX($AO$2:$BQ$1001,MATCH(ROWS($AH$2:AH671),$AH$2:$AH$1001,0),MATCH(COLUMNS($AO$1006:BA1006),$AO$1006:$BQ$1006,0)), HYPERLINK("#",""), HYPERLINK(CONCATENATE("#Metadata!", ADDRESS(INDEX($AJ$2:$AJ$1001,MATCH(ROWS($AH$2:AH671),$AH$2:$AH$1001,0),0), INDEX($AO$1004:$BQ$1004,1,MATCH(COLUMNS($AO$1006:BA1006),$AO$1006:$BQ$1006,0)))),"Fix")))</f>
        <v>#N/A</v>
      </c>
      <c r="O671" s="5" t="e">
        <f ca="1">IF(OR(INDEX($AI$2:$AI$1001,MATCH(ROWS($AH$2:AH671),$AH$2:$AH$1001,0),1)&gt;=100000,INDEX($AO$1005:$BQ$1005,1,MATCH(COLUMNS($AO$1006:BB1006),$AO$1006:$BQ$1006,0))&gt;=100000), " ",IF(INDEX($AO$2:$BQ$1001,MATCH(ROWS($AH$2:AH671),$AH$2:$AH$1001,0),MATCH(COLUMNS($AO$1006:BB1006),$AO$1006:$BQ$1006,0)), HYPERLINK("#",""), HYPERLINK(CONCATENATE("#Metadata!", ADDRESS(INDEX($AJ$2:$AJ$1001,MATCH(ROWS($AH$2:AH671),$AH$2:$AH$1001,0),0), INDEX($AO$1004:$BQ$1004,1,MATCH(COLUMNS($AO$1006:BB1006),$AO$1006:$BQ$1006,0)))),"Fix")))</f>
        <v>#N/A</v>
      </c>
      <c r="P671" s="5" t="e">
        <f ca="1">IF(OR(INDEX($AI$2:$AI$1001,MATCH(ROWS($AH$2:AH671),$AH$2:$AH$1001,0),1)&gt;=100000,INDEX($AO$1005:$BQ$1005,1,MATCH(COLUMNS($AO$1006:BC1006),$AO$1006:$BQ$1006,0))&gt;=100000), " ",IF(INDEX($AO$2:$BQ$1001,MATCH(ROWS($AH$2:AH671),$AH$2:$AH$1001,0),MATCH(COLUMNS($AO$1006:BC1006),$AO$1006:$BQ$1006,0)), HYPERLINK("#",""), HYPERLINK(CONCATENATE("#Metadata!", ADDRESS(INDEX($AJ$2:$AJ$1001,MATCH(ROWS($AH$2:AH671),$AH$2:$AH$1001,0),0), INDEX($AO$1004:$BQ$1004,1,MATCH(COLUMNS($AO$1006:BC1006),$AO$1006:$BQ$1006,0)))),"Fix")))</f>
        <v>#N/A</v>
      </c>
      <c r="Q671" s="5" t="e">
        <f ca="1">IF(OR(INDEX($AI$2:$AI$1001,MATCH(ROWS($AH$2:AH671),$AH$2:$AH$1001,0),1)&gt;=100000,INDEX($AO$1005:$BQ$1005,1,MATCH(COLUMNS($AO$1006:BD1006),$AO$1006:$BQ$1006,0))&gt;=100000), " ",IF(INDEX($AO$2:$BQ$1001,MATCH(ROWS($AH$2:AH671),$AH$2:$AH$1001,0),MATCH(COLUMNS($AO$1006:BD1006),$AO$1006:$BQ$1006,0)), HYPERLINK("#",""), HYPERLINK(CONCATENATE("#Metadata!", ADDRESS(INDEX($AJ$2:$AJ$1001,MATCH(ROWS($AH$2:AH671),$AH$2:$AH$1001,0),0), INDEX($AO$1004:$BQ$1004,1,MATCH(COLUMNS($AO$1006:BD1006),$AO$1006:$BQ$1006,0)))),"Fix")))</f>
        <v>#N/A</v>
      </c>
      <c r="R671" s="5" t="e">
        <f ca="1">IF(OR(INDEX($AI$2:$AI$1001,MATCH(ROWS($AH$2:AH671),$AH$2:$AH$1001,0),1)&gt;=100000,INDEX($AO$1005:$BQ$1005,1,MATCH(COLUMNS($AO$1006:BE1006),$AO$1006:$BQ$1006,0))&gt;=100000), " ",IF(INDEX($AO$2:$BQ$1001,MATCH(ROWS($AH$2:AH671),$AH$2:$AH$1001,0),MATCH(COLUMNS($AO$1006:BE1006),$AO$1006:$BQ$1006,0)), HYPERLINK("#",""), HYPERLINK(CONCATENATE("#Metadata!", ADDRESS(INDEX($AJ$2:$AJ$1001,MATCH(ROWS($AH$2:AH671),$AH$2:$AH$1001,0),0), INDEX($AO$1004:$BQ$1004,1,MATCH(COLUMNS($AO$1006:BE1006),$AO$1006:$BQ$1006,0)))),"Fix")))</f>
        <v>#N/A</v>
      </c>
      <c r="S671" s="5" t="e">
        <f ca="1">IF(OR(INDEX($AI$2:$AI$1001,MATCH(ROWS($AH$2:AH671),$AH$2:$AH$1001,0),1)&gt;=100000,INDEX($AO$1005:$BQ$1005,1,MATCH(COLUMNS($AO$1006:BF1006),$AO$1006:$BQ$1006,0))&gt;=100000), " ",IF(INDEX($AO$2:$BQ$1001,MATCH(ROWS($AH$2:AH671),$AH$2:$AH$1001,0),MATCH(COLUMNS($AO$1006:BF1006),$AO$1006:$BQ$1006,0)), HYPERLINK("#",""), HYPERLINK(CONCATENATE("#Metadata!", ADDRESS(INDEX($AJ$2:$AJ$1001,MATCH(ROWS($AH$2:AH671),$AH$2:$AH$1001,0),0), INDEX($AO$1004:$BQ$1004,1,MATCH(COLUMNS($AO$1006:BF1006),$AO$1006:$BQ$1006,0)))),"Fix")))</f>
        <v>#N/A</v>
      </c>
      <c r="T671" s="5" t="e">
        <f ca="1">IF(OR(INDEX($AI$2:$AI$1001,MATCH(ROWS($AH$2:AH671),$AH$2:$AH$1001,0),1)&gt;=100000,INDEX($AO$1005:$BQ$1005,1,MATCH(COLUMNS($AO$1006:BG1006),$AO$1006:$BQ$1006,0))&gt;=100000), " ",IF(INDEX($AO$2:$BQ$1001,MATCH(ROWS($AH$2:AH671),$AH$2:$AH$1001,0),MATCH(COLUMNS($AO$1006:BG1006),$AO$1006:$BQ$1006,0)), HYPERLINK("#",""), HYPERLINK(CONCATENATE("#Metadata!", ADDRESS(INDEX($AJ$2:$AJ$1001,MATCH(ROWS($AH$2:AH671),$AH$2:$AH$1001,0),0), INDEX($AO$1004:$BQ$1004,1,MATCH(COLUMNS($AO$1006:BG1006),$AO$1006:$BQ$1006,0)))),"Fix")))</f>
        <v>#N/A</v>
      </c>
      <c r="U671" s="5" t="e">
        <f ca="1">IF(OR(INDEX($AI$2:$AI$1001,MATCH(ROWS($AH$2:AH671),$AH$2:$AH$1001,0),1)&gt;=100000,INDEX($AO$1005:$BQ$1005,1,MATCH(COLUMNS($AO$1006:BH1006),$AO$1006:$BQ$1006,0))&gt;=100000), " ",IF(INDEX($AO$2:$BQ$1001,MATCH(ROWS($AH$2:AH671),$AH$2:$AH$1001,0),MATCH(COLUMNS($AO$1006:BH1006),$AO$1006:$BQ$1006,0)), HYPERLINK("#",""), HYPERLINK(CONCATENATE("#Metadata!", ADDRESS(INDEX($AJ$2:$AJ$1001,MATCH(ROWS($AH$2:AH671),$AH$2:$AH$1001,0),0), INDEX($AO$1004:$BQ$1004,1,MATCH(COLUMNS($AO$1006:BH1006),$AO$1006:$BQ$1006,0)))),"Fix")))</f>
        <v>#N/A</v>
      </c>
      <c r="V671" s="5" t="e">
        <f ca="1">IF(OR(INDEX($AI$2:$AI$1001,MATCH(ROWS($AH$2:AH671),$AH$2:$AH$1001,0),1)&gt;=100000,INDEX($AO$1005:$BQ$1005,1,MATCH(COLUMNS($AO$1006:BI1006),$AO$1006:$BQ$1006,0))&gt;=100000), " ",IF(INDEX($AO$2:$BQ$1001,MATCH(ROWS($AH$2:AH671),$AH$2:$AH$1001,0),MATCH(COLUMNS($AO$1006:BI1006),$AO$1006:$BQ$1006,0)), HYPERLINK("#",""), HYPERLINK(CONCATENATE("#Metadata!", ADDRESS(INDEX($AJ$2:$AJ$1001,MATCH(ROWS($AH$2:AH671),$AH$2:$AH$1001,0),0), INDEX($AO$1004:$BQ$1004,1,MATCH(COLUMNS($AO$1006:BI1006),$AO$1006:$BQ$1006,0)))),"Fix")))</f>
        <v>#N/A</v>
      </c>
      <c r="W671" s="5" t="e">
        <f ca="1">IF(OR(INDEX($AI$2:$AI$1001,MATCH(ROWS($AH$2:AH671),$AH$2:$AH$1001,0),1)&gt;=100000,INDEX($AO$1005:$BQ$1005,1,MATCH(COLUMNS($AO$1006:BJ1006),$AO$1006:$BQ$1006,0))&gt;=100000), " ",IF(INDEX($AO$2:$BQ$1001,MATCH(ROWS($AH$2:AH671),$AH$2:$AH$1001,0),MATCH(COLUMNS($AO$1006:BJ1006),$AO$1006:$BQ$1006,0)), HYPERLINK("#",""), HYPERLINK(CONCATENATE("#Metadata!", ADDRESS(INDEX($AJ$2:$AJ$1001,MATCH(ROWS($AH$2:AH671),$AH$2:$AH$1001,0),0), INDEX($AO$1004:$BQ$1004,1,MATCH(COLUMNS($AO$1006:BJ1006),$AO$1006:$BQ$1006,0)))),"Fix")))</f>
        <v>#N/A</v>
      </c>
      <c r="X671" s="5" t="e">
        <f ca="1">IF(OR(INDEX($AI$2:$AI$1001,MATCH(ROWS($AH$2:AH671),$AH$2:$AH$1001,0),1)&gt;=100000,INDEX($AO$1005:$BQ$1005,1,MATCH(COLUMNS($AO$1006:BK1006),$AO$1006:$BQ$1006,0))&gt;=100000), " ",IF(INDEX($AO$2:$BQ$1001,MATCH(ROWS($AH$2:AH671),$AH$2:$AH$1001,0),MATCH(COLUMNS($AO$1006:BK1006),$AO$1006:$BQ$1006,0)), HYPERLINK("#",""), HYPERLINK(CONCATENATE("#Metadata!", ADDRESS(INDEX($AJ$2:$AJ$1001,MATCH(ROWS($AH$2:AH671),$AH$2:$AH$1001,0),0), INDEX($AO$1004:$BQ$1004,1,MATCH(COLUMNS($AO$1006:BK1006),$AO$1006:$BQ$1006,0)))),"Fix")))</f>
        <v>#N/A</v>
      </c>
      <c r="Y671" s="5" t="e">
        <f ca="1">IF(OR(INDEX($AI$2:$AI$1001,MATCH(ROWS($AH$2:AH671),$AH$2:$AH$1001,0),1)&gt;=100000,INDEX($AO$1005:$BQ$1005,1,MATCH(COLUMNS($AO$1006:BL1006),$AO$1006:$BQ$1006,0))&gt;=100000), " ",IF(INDEX($AO$2:$BQ$1001,MATCH(ROWS($AH$2:AH671),$AH$2:$AH$1001,0),MATCH(COLUMNS($AO$1006:BL1006),$AO$1006:$BQ$1006,0)), HYPERLINK("#",""), HYPERLINK(CONCATENATE("#Metadata!", ADDRESS(INDEX($AJ$2:$AJ$1001,MATCH(ROWS($AH$2:AH671),$AH$2:$AH$1001,0),0), INDEX($AO$1004:$BQ$1004,1,MATCH(COLUMNS($AO$1006:BL1006),$AO$1006:$BQ$1006,0)))),"Fix")))</f>
        <v>#N/A</v>
      </c>
      <c r="Z671" s="5" t="e">
        <f ca="1">IF(OR(INDEX($AI$2:$AI$1001,MATCH(ROWS($AH$2:AH671),$AH$2:$AH$1001,0),1)&gt;=100000,INDEX($AO$1005:$BQ$1005,1,MATCH(COLUMNS($AO$1006:BM1006),$AO$1006:$BQ$1006,0))&gt;=100000), " ",IF(INDEX($AO$2:$BQ$1001,MATCH(ROWS($AH$2:AH671),$AH$2:$AH$1001,0),MATCH(COLUMNS($AO$1006:BM1006),$AO$1006:$BQ$1006,0)), HYPERLINK("#",""), HYPERLINK(CONCATENATE("#Metadata!", ADDRESS(INDEX($AJ$2:$AJ$1001,MATCH(ROWS($AH$2:AH671),$AH$2:$AH$1001,0),0), INDEX($AO$1004:$BQ$1004,1,MATCH(COLUMNS($AO$1006:BM1006),$AO$1006:$BQ$1006,0)))),"Fix")))</f>
        <v>#N/A</v>
      </c>
      <c r="AA671" s="5" t="e">
        <f ca="1">IF(OR(INDEX($AI$2:$AI$1001,MATCH(ROWS($AH$2:AH671),$AH$2:$AH$1001,0),1)&gt;=100000,INDEX($AO$1005:$BQ$1005,1,MATCH(COLUMNS($AO$1006:BN1006),$AO$1006:$BQ$1006,0))&gt;=100000), " ",IF(INDEX($AO$2:$BQ$1001,MATCH(ROWS($AH$2:AH671),$AH$2:$AH$1001,0),MATCH(COLUMNS($AO$1006:BN1006),$AO$1006:$BQ$1006,0)), HYPERLINK("#",""), HYPERLINK(CONCATENATE("#Metadata!", ADDRESS(INDEX($AJ$2:$AJ$1001,MATCH(ROWS($AH$2:AH671),$AH$2:$AH$1001,0),0), INDEX($AO$1004:$BQ$1004,1,MATCH(COLUMNS($AO$1006:BN1006),$AO$1006:$BQ$1006,0)))),"Fix")))</f>
        <v>#N/A</v>
      </c>
      <c r="AB671" s="5" t="e">
        <f ca="1">IF(OR(INDEX($AI$2:$AI$1001,MATCH(ROWS($AH$2:AH671),$AH$2:$AH$1001,0),1)&gt;=100000,INDEX($AO$1005:$BQ$1005,1,MATCH(COLUMNS($AO$1006:BO1006),$AO$1006:$BQ$1006,0))&gt;=100000), " ",IF(INDEX($AO$2:$BQ$1001,MATCH(ROWS($AH$2:AH671),$AH$2:$AH$1001,0),MATCH(COLUMNS($AO$1006:BO1006),$AO$1006:$BQ$1006,0)), HYPERLINK("#",""), HYPERLINK(CONCATENATE("#Metadata!", ADDRESS(INDEX($AJ$2:$AJ$1001,MATCH(ROWS($AH$2:AH671),$AH$2:$AH$1001,0),0), INDEX($AO$1004:$BQ$1004,1,MATCH(COLUMNS($AO$1006:BO1006),$AO$1006:$BQ$1006,0)))),"Fix")))</f>
        <v>#N/A</v>
      </c>
      <c r="AC671" s="5" t="e">
        <f ca="1">IF(OR(INDEX($AI$2:$AI$1001,MATCH(ROWS($AH$2:AH671),$AH$2:$AH$1001,0),1)&gt;=100000,INDEX($AO$1005:$BQ$1005,1,MATCH(COLUMNS($AO$1006:BP1006),$AO$1006:$BQ$1006,0))&gt;=100000), " ",IF(INDEX($AO$2:$BQ$1001,MATCH(ROWS($AH$2:AH671),$AH$2:$AH$1001,0),MATCH(COLUMNS($AO$1006:BP1006),$AO$1006:$BQ$1006,0)), HYPERLINK("#",""), HYPERLINK(CONCATENATE("#Metadata!", ADDRESS(INDEX($AJ$2:$AJ$1001,MATCH(ROWS($AH$2:AH671),$AH$2:$AH$1001,0),0), INDEX($AO$1004:$BQ$1004,1,MATCH(COLUMNS($AO$1006:BP1006),$AO$1006:$BQ$1006,0)))),"Fix")))</f>
        <v>#N/A</v>
      </c>
      <c r="AD671" s="5" t="e">
        <f ca="1">IF(OR(INDEX($AI$2:$AI$1001,MATCH(ROWS($AH$2:AH671),$AH$2:$AH$1001,0),1)&gt;=100000,INDEX($AO$1005:$BQ$1005,1,MATCH(COLUMNS($AO$1006:BQ1006),$AO$1006:$BQ$1006,0))&gt;=100000), " ",IF(INDEX($AO$2:$BQ$1001,MATCH(ROWS($AH$2:AH671),$AH$2:$AH$1001,0),MATCH(COLUMNS($AO$1006:BQ1006),$AO$1006:$BQ$1006,0)), HYPERLINK("#",""), HYPERLINK(CONCATENATE("#Metadata!", ADDRESS(INDEX($AJ$2:$AJ$1001,MATCH(ROWS($AH$2:AH671),$AH$2:$AH$1001,0),0), INDEX($AO$1004:$BQ$1004,1,MATCH(COLUMNS($AO$1006:BQ1006),$AO$1006:$BQ$1006,0)))),"Fix")))</f>
        <v>#REF!</v>
      </c>
      <c r="AH671">
        <f ca="1"/>
        <v>668</v>
      </c>
      <c r="AI671">
        <v>100671</v>
      </c>
      <c r="AJ671">
        <v>671</v>
      </c>
      <c r="AK671" t="b">
        <f t="shared" si="10"/>
        <v>1</v>
      </c>
      <c r="AL671" t="b">
        <f>COUNTBLANK(Metadata!B671:AD671)=COLUMNS(Metadata!B671:AD671)</f>
        <v>1</v>
      </c>
      <c r="AM671" t="str">
        <v/>
      </c>
      <c r="AO671" t="b">
        <f ca="1">AND(IF(Metadata!B671="",FALSE,TRUE),COUNTIF(Metadata!B:B, Metadata!B671) = 1,NOT(ISERROR(SUMPRODUCT(SEARCH(MID(Metadata!B671,ROW(INDIRECT("1:"&amp;LEN(Metadata!B671))), 1),"0123456789abcdefghijklmnopqrstuvwxyzABCDEFGHIJKLMNOPQRSTUVWXYZ.")))))</f>
        <v>0</v>
      </c>
      <c r="AP671" t="b">
        <f>IF(Metadata!C671="",FALSE,TRUE)</f>
        <v>0</v>
      </c>
      <c r="AQ671" t="b">
        <f>IF(Metadata!D671="",FALSE,TRUE)</f>
        <v>0</v>
      </c>
      <c r="AR671" t="b">
        <f ca="1">OR(AND(IF(Metadata!E671="",FALSE,TRUE),OR(EXACT(Metadata!E671,"not collected"),EXACT(Metadata!E671,"not provided"),EXACT(Metadata!E671,"restricted access"))),AND(IF(Metadata!E671="",FALSE,TRUE),AND(AND(IFERROR(INT(LEFT(Metadata!E671,4))&gt;1900,FALSE),IFERROR(INT(LEFT(Metadata!E671,4))&lt;=YEAR(NOW()),FALSE)), OR(MID(Metadata!E671,5,1)="", AND(AND(MID(Metadata!E671,5,1)="-",IFERROR(INT(MID(Metadata!E671,6,1))&gt;=0,FALSE),IFERROR(INT(MID(Metadata!E671,6,1))&lt;=1,FALSE),NOT(MID(Metadata!E671,7,1)=""),IFERROR(INT(MID(Metadata!E671,6,2))&gt;=1,FALSE),IFERROR(INT(MID(Metadata!E671,6,2))&lt;=12,FALSE)), OR(MID(Metadata!E671,8,1)="", AND(AND(MID(Metadata!E671,8,1)="-",IFERROR(INT(MID(Metadata!E671,9,1))&gt;=0,FALSE),IFERROR(INT(MID(Metadata!E671,9,1))&lt;=3,FALSE),NOT(MID(Metadata!E671,10,1)=""),IFERROR(INT(MID(Metadata!E671,9,2))&gt;=1,FALSE),IFERROR(INT(MID(Metadata!E671,9,2))&lt;=31,FALSE)), OR(MID(Metadata!E671,11,1)="", AND(AND(MID(Metadata!E671,11,1)=" ",IFERROR(INT(MID(Metadata!E671,12,1))&gt;=0,FALSE),IFERROR(INT(MID(Metadata!E671,12,1))&lt;=2,FALSE),NOT(MID(Metadata!E671,13,1)=""),IFERROR(INT(MID(Metadata!E671,12,2))&gt;=0,FALSE),IFERROR(INT(MID(Metadata!E671,12,2))&lt;=23,FALSE)), OR(MID(Metadata!E671,14,1)="", AND(AND(MID(Metadata!E671,14,1)=":",IFERROR(INT(MID(Metadata!E671,15,1))&gt;=0,FALSE),IFERROR(INT(MID(Metadata!E671,15,1))&lt;=5,FALSE),NOT(MID(Metadata!E671,16,1)=""),IFERROR(INT(MID(Metadata!E671,15,2))&gt;=0,FALSE),IFERROR(INT(MID(Metadata!E671,15,2))&lt;=59,FALSE)), OR(MID(Metadata!E671,17,1)="", AND(AND(MID(Metadata!E671,17,1)=":",IFERROR(INT(MID(Metadata!E671,18,1))&gt;=0,FALSE),IFERROR(INT(MID(Metadata!E671,18,1))&lt;=5,FALSE),NOT(MID(Metadata!E671,19,1)=""),IFERROR(INT(MID(Metadata!E671,18,2))&gt;=0,FALSE),IFERROR(INT(MID(Metadata!E671,18,2))&lt;=59,FALSE)), LEN(Metadata!E671)&lt;=19)))))))))))))</f>
        <v>0</v>
      </c>
      <c r="AS671" t="b">
        <f>IF(Metadata!F671="",FALSE,TRUE)</f>
        <v>0</v>
      </c>
      <c r="AT671" t="b">
        <f>OR(AND(IF(Metadata!G671="",FALSE,TRUE),OR(EXACT(Metadata!G671,"not collected"),EXACT(Metadata!G671,"not provided"))),AND(IF(Metadata!G671="",FALSE,TRUE),OR(EXACT(Metadata!G671,"TRUE"),EXACT(Metadata!G671,"FALSE"))))</f>
        <v>0</v>
      </c>
      <c r="AU671" t="b">
        <f>OR(AND(IF(Metadata!H671="",FALSE,TRUE),OR(EXACT(Metadata!H671,"not collected"),EXACT(Metadata!H671,"not provided"),EXACT(Metadata!H671,"restricted access"))),AND(IF(Metadata!H671="",FALSE,ISNUMBER(VALUE(Metadata!H671))),Metadata!H671&gt;=-413))</f>
        <v>0</v>
      </c>
      <c r="AV671" t="b">
        <f>AND(IF(Metadata!I671="",FALSE,TRUE),EXACT(Metadata!I671,"meters"))</f>
        <v>0</v>
      </c>
      <c r="AW671" t="b">
        <f>AND(IF(Metadata!J671="",FALSE,TRUE),EXACT(Metadata!J671,"free-living"))</f>
        <v>0</v>
      </c>
      <c r="AX671" t="b">
        <f>AND(IF(Metadata!K671="",FALSE,TRUE),OR(EXACT(Metadata!K671,"saline"),EXACT(Metadata!K671,"non-saline")))</f>
        <v>0</v>
      </c>
      <c r="AY671" t="b">
        <f>AND(IF(Metadata!L671="",FALSE,TRUE),OR(EXACT(Metadata!L671,"sub-surface (non-saline)"),EXACT(Metadata!L671,"surface (non-saline)"),EXACT(Metadata!L671,"water (non-saline)"),EXACT(Metadata!L671,"soil (non-saline)"),EXACT(Metadata!L671,"aerosol (non-saline)"),EXACT(Metadata!L671,"sediment (non-saline)"),EXACT(Metadata!L671,"surface (saline)"),EXACT(Metadata!L671,"water (saline)"),EXACT(Metadata!L671,"hypersaline (saline)"),EXACT(Metadata!L671,"aerosol (saline)"),EXACT(Metadata!L671,"sediment (saline)")))</f>
        <v>0</v>
      </c>
      <c r="AZ671" t="b">
        <f>IF(Metadata!M671="",FALSE,TRUE)</f>
        <v>0</v>
      </c>
      <c r="BA671" t="b">
        <f>IF(Metadata!N671="",FALSE,TRUE)</f>
        <v>0</v>
      </c>
      <c r="BB671" t="b">
        <f>IF(Metadata!O671="",FALSE,TRUE)</f>
        <v>0</v>
      </c>
      <c r="BC671" t="b">
        <f>AND(IF(Metadata!P671="",FALSE,TRUE),OR(EXACT(Metadata!P671,"air"),EXACT(Metadata!P671,"microbial mat/biofilm"),EXACT(Metadata!P671,"misc environment"),EXACT(Metadata!P671,"sediment"),EXACT(Metadata!P671,"soil"),EXACT(Metadata!P671,"wastewater/sludge"),EXACT(Metadata!P671,"water")))</f>
        <v>0</v>
      </c>
      <c r="BD671" t="b">
        <f>IF(Metadata!Q671="",FALSE,TRUE)</f>
        <v>0</v>
      </c>
      <c r="BE671" t="b">
        <f>IF(Metadata!R671="",FALSE,TRUE)</f>
        <v>0</v>
      </c>
      <c r="BF671" t="b">
        <f>OR(AND(IF(Metadata!S671="",FALSE,TRUE),OR(EXACT(Metadata!S671,"not collected"),EXACT(Metadata!S671,"not provided"),EXACT(Metadata!S671,"restricted access"))),AND(IF(Metadata!S671="",FALSE,ISNUMBER(VALUE(Metadata!S671))),Metadata!S671&gt;=-90,Metadata!S671&lt;=90))</f>
        <v>0</v>
      </c>
      <c r="BG671" t="b">
        <f>AND(IF(Metadata!T671="",FALSE,TRUE),EXACT(Metadata!T671,"Decimal degrees"))</f>
        <v>0</v>
      </c>
      <c r="BH671" t="b">
        <f>OR(AND(IF(Metadata!U671="",FALSE,TRUE),OR(EXACT(Metadata!U671,"not applicable"),EXACT(Metadata!U671,"not collected"))),IF(Metadata!U671="",FALSE,TRUE))</f>
        <v>0</v>
      </c>
      <c r="BI671" t="b">
        <f>OR(AND(IF(Metadata!V671="",FALSE,TRUE),OR(EXACT(Metadata!V671,"not collected"),EXACT(Metadata!V671,"not provided"),EXACT(Metadata!V671,"restricted access"))),AND(IF(Metadata!V671="",FALSE,ISNUMBER(VALUE(Metadata!V671))),Metadata!V671&gt;=-180,Metadata!V671&lt;=180))</f>
        <v>0</v>
      </c>
      <c r="BJ671" t="b">
        <f>AND(IF(Metadata!W671="",FALSE,TRUE),EXACT(Metadata!W671,"Decimal degrees"))</f>
        <v>0</v>
      </c>
      <c r="BK671" t="b">
        <f>IF(Metadata!X671="",FALSE,TRUE)</f>
        <v>0</v>
      </c>
      <c r="BL671" t="b">
        <f>OR(AND(IF(Metadata!Y671="",FALSE,TRUE),OR(EXACT(Metadata!Y671,"not collected"),EXACT(Metadata!Y671,"not provided"),EXACT(Metadata!Y671,"restricted access"))),AND(IF(Metadata!Y671="",FALSE,TRUE),OR(EXACT(Metadata!Y671,"TRUE"),EXACT(Metadata!Y671,"FALSE"))))</f>
        <v>0</v>
      </c>
      <c r="BM671" t="b">
        <f>OR(AND(IF(Metadata!Z671="",FALSE,TRUE),EXACT(Metadata!Z671,"not applicable")),AND(IF(Metadata!Z671="",FALSE,TRUE),OR(EXACT(Metadata!Z671,"beer"),EXACT(Metadata!Z671,"cheese"),EXACT(Metadata!Z671,"fresh water"),EXACT(Metadata!Z671,"marine sediment"),EXACT(Metadata!Z671,"sea water"),EXACT(Metadata!Z671,"sediment"),EXACT(Metadata!Z671,"soil"),EXACT(Metadata!Z671,"waste water"))))</f>
        <v>0</v>
      </c>
      <c r="BN671" t="b">
        <f>AND(IF(Metadata!AA671="",FALSE,TRUE),EXACT(Metadata!AA671,"metagenome"))</f>
        <v>0</v>
      </c>
      <c r="BO671" t="b">
        <f>AND(IF(Metadata!AB671="",FALSE,TRUE),EXACT(Metadata!AB671,"256318"))</f>
        <v>0</v>
      </c>
      <c r="BP671" t="b">
        <f>IF(Metadata!AC671="",FALSE,TRUE)</f>
        <v>0</v>
      </c>
      <c r="BQ671" t="b">
        <f>IF(Metadata!AD671="",FALSE,TRUE)</f>
        <v>0</v>
      </c>
    </row>
    <row r="672" spans="1:69" x14ac:dyDescent="0.2">
      <c r="A672" s="4" t="e">
        <f ca="1">IF(B672=" "," ",HYPERLINK(CONCATENATE("#metadata!",ADDRESS(INDEX($AJ$2:$AJ$1001,MATCH(ROWS($AH$2:AH672),$AH$2:$AH$1001,0),0),2)),INDEX($AM$2:$AM$1001,MATCH(ROWS($AH$2:AH672),$AH$2:$AH$1001,0),0)))</f>
        <v>#N/A</v>
      </c>
      <c r="B672" s="5" t="e">
        <f ca="1">IF(OR(INDEX($AI$2:$AI$1001,MATCH(ROWS($AH$2:AH672),$AH$2:$AH$1001,0),1)&gt;=100000,INDEX($AO$1005:$BQ$1005,1,MATCH(COLUMNS($AO$1006:AO1006),$AO$1006:$BQ$1006,0))&gt;=100000), " ",IF(INDEX($AO$2:$BQ$1001,MATCH(ROWS($AH$2:AH672),$AH$2:$AH$1001,0),MATCH(COLUMNS($AO$1006:AO1006),$AO$1006:$BQ$1006,0)), HYPERLINK("#",""), HYPERLINK(CONCATENATE("#Metadata!", ADDRESS(INDEX($AJ$2:$AJ$1001,MATCH(ROWS($AH$2:AH672),$AH$2:$AH$1001,0),0), INDEX($AO$1004:$BQ$1004,1,MATCH(COLUMNS($AO$1006:AO1006),$AO$1006:$BQ$1006,0)))),"Fix")))</f>
        <v>#N/A</v>
      </c>
      <c r="C672" s="5" t="e">
        <f ca="1">IF(OR(INDEX($AI$2:$AI$1001,MATCH(ROWS($AH$2:AH672),$AH$2:$AH$1001,0),1)&gt;=100000,INDEX($AO$1005:$BQ$1005,1,MATCH(COLUMNS($AO$1006:AP1006),$AO$1006:$BQ$1006,0))&gt;=100000), " ",IF(INDEX($AO$2:$BQ$1001,MATCH(ROWS($AH$2:AH672),$AH$2:$AH$1001,0),MATCH(COLUMNS($AO$1006:AP1006),$AO$1006:$BQ$1006,0)), HYPERLINK("#",""), HYPERLINK(CONCATENATE("#Metadata!", ADDRESS(INDEX($AJ$2:$AJ$1001,MATCH(ROWS($AH$2:AH672),$AH$2:$AH$1001,0),0), INDEX($AO$1004:$BQ$1004,1,MATCH(COLUMNS($AO$1006:AP1006),$AO$1006:$BQ$1006,0)))),"Fix")))</f>
        <v>#N/A</v>
      </c>
      <c r="D672" s="5" t="e">
        <f ca="1">IF(OR(INDEX($AI$2:$AI$1001,MATCH(ROWS($AH$2:AH672),$AH$2:$AH$1001,0),1)&gt;=100000,INDEX($AO$1005:$BQ$1005,1,MATCH(COLUMNS($AO$1006:AQ1006),$AO$1006:$BQ$1006,0))&gt;=100000), " ",IF(INDEX($AO$2:$BQ$1001,MATCH(ROWS($AH$2:AH672),$AH$2:$AH$1001,0),MATCH(COLUMNS($AO$1006:AQ1006),$AO$1006:$BQ$1006,0)), HYPERLINK("#",""), HYPERLINK(CONCATENATE("#Metadata!", ADDRESS(INDEX($AJ$2:$AJ$1001,MATCH(ROWS($AH$2:AH672),$AH$2:$AH$1001,0),0), INDEX($AO$1004:$BQ$1004,1,MATCH(COLUMNS($AO$1006:AQ1006),$AO$1006:$BQ$1006,0)))),"Fix")))</f>
        <v>#N/A</v>
      </c>
      <c r="E672" s="5" t="e">
        <f ca="1">IF(OR(INDEX($AI$2:$AI$1001,MATCH(ROWS($AH$2:AH672),$AH$2:$AH$1001,0),1)&gt;=100000,INDEX($AO$1005:$BQ$1005,1,MATCH(COLUMNS($AO$1006:AR1006),$AO$1006:$BQ$1006,0))&gt;=100000), " ",IF(INDEX($AO$2:$BQ$1001,MATCH(ROWS($AH$2:AH672),$AH$2:$AH$1001,0),MATCH(COLUMNS($AO$1006:AR1006),$AO$1006:$BQ$1006,0)), HYPERLINK("#",""), HYPERLINK(CONCATENATE("#Metadata!", ADDRESS(INDEX($AJ$2:$AJ$1001,MATCH(ROWS($AH$2:AH672),$AH$2:$AH$1001,0),0), INDEX($AO$1004:$BQ$1004,1,MATCH(COLUMNS($AO$1006:AR1006),$AO$1006:$BQ$1006,0)))),"Fix")))</f>
        <v>#N/A</v>
      </c>
      <c r="F672" s="5" t="e">
        <f ca="1">IF(OR(INDEX($AI$2:$AI$1001,MATCH(ROWS($AH$2:AH672),$AH$2:$AH$1001,0),1)&gt;=100000,INDEX($AO$1005:$BQ$1005,1,MATCH(COLUMNS($AO$1006:AS1006),$AO$1006:$BQ$1006,0))&gt;=100000), " ",IF(INDEX($AO$2:$BQ$1001,MATCH(ROWS($AH$2:AH672),$AH$2:$AH$1001,0),MATCH(COLUMNS($AO$1006:AS1006),$AO$1006:$BQ$1006,0)), HYPERLINK("#",""), HYPERLINK(CONCATENATE("#Metadata!", ADDRESS(INDEX($AJ$2:$AJ$1001,MATCH(ROWS($AH$2:AH672),$AH$2:$AH$1001,0),0), INDEX($AO$1004:$BQ$1004,1,MATCH(COLUMNS($AO$1006:AS1006),$AO$1006:$BQ$1006,0)))),"Fix")))</f>
        <v>#N/A</v>
      </c>
      <c r="G672" s="5" t="e">
        <f ca="1">IF(OR(INDEX($AI$2:$AI$1001,MATCH(ROWS($AH$2:AH672),$AH$2:$AH$1001,0),1)&gt;=100000,INDEX($AO$1005:$BQ$1005,1,MATCH(COLUMNS($AO$1006:AT1006),$AO$1006:$BQ$1006,0))&gt;=100000), " ",IF(INDEX($AO$2:$BQ$1001,MATCH(ROWS($AH$2:AH672),$AH$2:$AH$1001,0),MATCH(COLUMNS($AO$1006:AT1006),$AO$1006:$BQ$1006,0)), HYPERLINK("#",""), HYPERLINK(CONCATENATE("#Metadata!", ADDRESS(INDEX($AJ$2:$AJ$1001,MATCH(ROWS($AH$2:AH672),$AH$2:$AH$1001,0),0), INDEX($AO$1004:$BQ$1004,1,MATCH(COLUMNS($AO$1006:AT1006),$AO$1006:$BQ$1006,0)))),"Fix")))</f>
        <v>#N/A</v>
      </c>
      <c r="H672" s="5" t="e">
        <f ca="1">IF(OR(INDEX($AI$2:$AI$1001,MATCH(ROWS($AH$2:AH672),$AH$2:$AH$1001,0),1)&gt;=100000,INDEX($AO$1005:$BQ$1005,1,MATCH(COLUMNS($AO$1006:AU1006),$AO$1006:$BQ$1006,0))&gt;=100000), " ",IF(INDEX($AO$2:$BQ$1001,MATCH(ROWS($AH$2:AH672),$AH$2:$AH$1001,0),MATCH(COLUMNS($AO$1006:AU1006),$AO$1006:$BQ$1006,0)), HYPERLINK("#",""), HYPERLINK(CONCATENATE("#Metadata!", ADDRESS(INDEX($AJ$2:$AJ$1001,MATCH(ROWS($AH$2:AH672),$AH$2:$AH$1001,0),0), INDEX($AO$1004:$BQ$1004,1,MATCH(COLUMNS($AO$1006:AU1006),$AO$1006:$BQ$1006,0)))),"Fix")))</f>
        <v>#N/A</v>
      </c>
      <c r="I672" s="5" t="e">
        <f ca="1">IF(OR(INDEX($AI$2:$AI$1001,MATCH(ROWS($AH$2:AH672),$AH$2:$AH$1001,0),1)&gt;=100000,INDEX($AO$1005:$BQ$1005,1,MATCH(COLUMNS($AO$1006:AV1006),$AO$1006:$BQ$1006,0))&gt;=100000), " ",IF(INDEX($AO$2:$BQ$1001,MATCH(ROWS($AH$2:AH672),$AH$2:$AH$1001,0),MATCH(COLUMNS($AO$1006:AV1006),$AO$1006:$BQ$1006,0)), HYPERLINK("#",""), HYPERLINK(CONCATENATE("#Metadata!", ADDRESS(INDEX($AJ$2:$AJ$1001,MATCH(ROWS($AH$2:AH672),$AH$2:$AH$1001,0),0), INDEX($AO$1004:$BQ$1004,1,MATCH(COLUMNS($AO$1006:AV1006),$AO$1006:$BQ$1006,0)))),"Fix")))</f>
        <v>#N/A</v>
      </c>
      <c r="J672" s="5" t="e">
        <f ca="1">IF(OR(INDEX($AI$2:$AI$1001,MATCH(ROWS($AH$2:AH672),$AH$2:$AH$1001,0),1)&gt;=100000,INDEX($AO$1005:$BQ$1005,1,MATCH(COLUMNS($AO$1006:AW1006),$AO$1006:$BQ$1006,0))&gt;=100000), " ",IF(INDEX($AO$2:$BQ$1001,MATCH(ROWS($AH$2:AH672),$AH$2:$AH$1001,0),MATCH(COLUMNS($AO$1006:AW1006),$AO$1006:$BQ$1006,0)), HYPERLINK("#",""), HYPERLINK(CONCATENATE("#Metadata!", ADDRESS(INDEX($AJ$2:$AJ$1001,MATCH(ROWS($AH$2:AH672),$AH$2:$AH$1001,0),0), INDEX($AO$1004:$BQ$1004,1,MATCH(COLUMNS($AO$1006:AW1006),$AO$1006:$BQ$1006,0)))),"Fix")))</f>
        <v>#N/A</v>
      </c>
      <c r="K672" s="5" t="e">
        <f ca="1">IF(OR(INDEX($AI$2:$AI$1001,MATCH(ROWS($AH$2:AH672),$AH$2:$AH$1001,0),1)&gt;=100000,INDEX($AO$1005:$BQ$1005,1,MATCH(COLUMNS($AO$1006:AX1006),$AO$1006:$BQ$1006,0))&gt;=100000), " ",IF(INDEX($AO$2:$BQ$1001,MATCH(ROWS($AH$2:AH672),$AH$2:$AH$1001,0),MATCH(COLUMNS($AO$1006:AX1006),$AO$1006:$BQ$1006,0)), HYPERLINK("#",""), HYPERLINK(CONCATENATE("#Metadata!", ADDRESS(INDEX($AJ$2:$AJ$1001,MATCH(ROWS($AH$2:AH672),$AH$2:$AH$1001,0),0), INDEX($AO$1004:$BQ$1004,1,MATCH(COLUMNS($AO$1006:AX1006),$AO$1006:$BQ$1006,0)))),"Fix")))</f>
        <v>#N/A</v>
      </c>
      <c r="L672" s="5" t="e">
        <f ca="1">IF(OR(INDEX($AI$2:$AI$1001,MATCH(ROWS($AH$2:AH672),$AH$2:$AH$1001,0),1)&gt;=100000,INDEX($AO$1005:$BQ$1005,1,MATCH(COLUMNS($AO$1006:AY1006),$AO$1006:$BQ$1006,0))&gt;=100000), " ",IF(INDEX($AO$2:$BQ$1001,MATCH(ROWS($AH$2:AH672),$AH$2:$AH$1001,0),MATCH(COLUMNS($AO$1006:AY1006),$AO$1006:$BQ$1006,0)), HYPERLINK("#",""), HYPERLINK(CONCATENATE("#Metadata!", ADDRESS(INDEX($AJ$2:$AJ$1001,MATCH(ROWS($AH$2:AH672),$AH$2:$AH$1001,0),0), INDEX($AO$1004:$BQ$1004,1,MATCH(COLUMNS($AO$1006:AY1006),$AO$1006:$BQ$1006,0)))),"Fix")))</f>
        <v>#N/A</v>
      </c>
      <c r="M672" s="5" t="e">
        <f ca="1">IF(OR(INDEX($AI$2:$AI$1001,MATCH(ROWS($AH$2:AH672),$AH$2:$AH$1001,0),1)&gt;=100000,INDEX($AO$1005:$BQ$1005,1,MATCH(COLUMNS($AO$1006:AZ1006),$AO$1006:$BQ$1006,0))&gt;=100000), " ",IF(INDEX($AO$2:$BQ$1001,MATCH(ROWS($AH$2:AH672),$AH$2:$AH$1001,0),MATCH(COLUMNS($AO$1006:AZ1006),$AO$1006:$BQ$1006,0)), HYPERLINK("#",""), HYPERLINK(CONCATENATE("#Metadata!", ADDRESS(INDEX($AJ$2:$AJ$1001,MATCH(ROWS($AH$2:AH672),$AH$2:$AH$1001,0),0), INDEX($AO$1004:$BQ$1004,1,MATCH(COLUMNS($AO$1006:AZ1006),$AO$1006:$BQ$1006,0)))),"Fix")))</f>
        <v>#N/A</v>
      </c>
      <c r="N672" s="5" t="e">
        <f ca="1">IF(OR(INDEX($AI$2:$AI$1001,MATCH(ROWS($AH$2:AH672),$AH$2:$AH$1001,0),1)&gt;=100000,INDEX($AO$1005:$BQ$1005,1,MATCH(COLUMNS($AO$1006:BA1006),$AO$1006:$BQ$1006,0))&gt;=100000), " ",IF(INDEX($AO$2:$BQ$1001,MATCH(ROWS($AH$2:AH672),$AH$2:$AH$1001,0),MATCH(COLUMNS($AO$1006:BA1006),$AO$1006:$BQ$1006,0)), HYPERLINK("#",""), HYPERLINK(CONCATENATE("#Metadata!", ADDRESS(INDEX($AJ$2:$AJ$1001,MATCH(ROWS($AH$2:AH672),$AH$2:$AH$1001,0),0), INDEX($AO$1004:$BQ$1004,1,MATCH(COLUMNS($AO$1006:BA1006),$AO$1006:$BQ$1006,0)))),"Fix")))</f>
        <v>#N/A</v>
      </c>
      <c r="O672" s="5" t="e">
        <f ca="1">IF(OR(INDEX($AI$2:$AI$1001,MATCH(ROWS($AH$2:AH672),$AH$2:$AH$1001,0),1)&gt;=100000,INDEX($AO$1005:$BQ$1005,1,MATCH(COLUMNS($AO$1006:BB1006),$AO$1006:$BQ$1006,0))&gt;=100000), " ",IF(INDEX($AO$2:$BQ$1001,MATCH(ROWS($AH$2:AH672),$AH$2:$AH$1001,0),MATCH(COLUMNS($AO$1006:BB1006),$AO$1006:$BQ$1006,0)), HYPERLINK("#",""), HYPERLINK(CONCATENATE("#Metadata!", ADDRESS(INDEX($AJ$2:$AJ$1001,MATCH(ROWS($AH$2:AH672),$AH$2:$AH$1001,0),0), INDEX($AO$1004:$BQ$1004,1,MATCH(COLUMNS($AO$1006:BB1006),$AO$1006:$BQ$1006,0)))),"Fix")))</f>
        <v>#N/A</v>
      </c>
      <c r="P672" s="5" t="e">
        <f ca="1">IF(OR(INDEX($AI$2:$AI$1001,MATCH(ROWS($AH$2:AH672),$AH$2:$AH$1001,0),1)&gt;=100000,INDEX($AO$1005:$BQ$1005,1,MATCH(COLUMNS($AO$1006:BC1006),$AO$1006:$BQ$1006,0))&gt;=100000), " ",IF(INDEX($AO$2:$BQ$1001,MATCH(ROWS($AH$2:AH672),$AH$2:$AH$1001,0),MATCH(COLUMNS($AO$1006:BC1006),$AO$1006:$BQ$1006,0)), HYPERLINK("#",""), HYPERLINK(CONCATENATE("#Metadata!", ADDRESS(INDEX($AJ$2:$AJ$1001,MATCH(ROWS($AH$2:AH672),$AH$2:$AH$1001,0),0), INDEX($AO$1004:$BQ$1004,1,MATCH(COLUMNS($AO$1006:BC1006),$AO$1006:$BQ$1006,0)))),"Fix")))</f>
        <v>#N/A</v>
      </c>
      <c r="Q672" s="5" t="e">
        <f ca="1">IF(OR(INDEX($AI$2:$AI$1001,MATCH(ROWS($AH$2:AH672),$AH$2:$AH$1001,0),1)&gt;=100000,INDEX($AO$1005:$BQ$1005,1,MATCH(COLUMNS($AO$1006:BD1006),$AO$1006:$BQ$1006,0))&gt;=100000), " ",IF(INDEX($AO$2:$BQ$1001,MATCH(ROWS($AH$2:AH672),$AH$2:$AH$1001,0),MATCH(COLUMNS($AO$1006:BD1006),$AO$1006:$BQ$1006,0)), HYPERLINK("#",""), HYPERLINK(CONCATENATE("#Metadata!", ADDRESS(INDEX($AJ$2:$AJ$1001,MATCH(ROWS($AH$2:AH672),$AH$2:$AH$1001,0),0), INDEX($AO$1004:$BQ$1004,1,MATCH(COLUMNS($AO$1006:BD1006),$AO$1006:$BQ$1006,0)))),"Fix")))</f>
        <v>#N/A</v>
      </c>
      <c r="R672" s="5" t="e">
        <f ca="1">IF(OR(INDEX($AI$2:$AI$1001,MATCH(ROWS($AH$2:AH672),$AH$2:$AH$1001,0),1)&gt;=100000,INDEX($AO$1005:$BQ$1005,1,MATCH(COLUMNS($AO$1006:BE1006),$AO$1006:$BQ$1006,0))&gt;=100000), " ",IF(INDEX($AO$2:$BQ$1001,MATCH(ROWS($AH$2:AH672),$AH$2:$AH$1001,0),MATCH(COLUMNS($AO$1006:BE1006),$AO$1006:$BQ$1006,0)), HYPERLINK("#",""), HYPERLINK(CONCATENATE("#Metadata!", ADDRESS(INDEX($AJ$2:$AJ$1001,MATCH(ROWS($AH$2:AH672),$AH$2:$AH$1001,0),0), INDEX($AO$1004:$BQ$1004,1,MATCH(COLUMNS($AO$1006:BE1006),$AO$1006:$BQ$1006,0)))),"Fix")))</f>
        <v>#N/A</v>
      </c>
      <c r="S672" s="5" t="e">
        <f ca="1">IF(OR(INDEX($AI$2:$AI$1001,MATCH(ROWS($AH$2:AH672),$AH$2:$AH$1001,0),1)&gt;=100000,INDEX($AO$1005:$BQ$1005,1,MATCH(COLUMNS($AO$1006:BF1006),$AO$1006:$BQ$1006,0))&gt;=100000), " ",IF(INDEX($AO$2:$BQ$1001,MATCH(ROWS($AH$2:AH672),$AH$2:$AH$1001,0),MATCH(COLUMNS($AO$1006:BF1006),$AO$1006:$BQ$1006,0)), HYPERLINK("#",""), HYPERLINK(CONCATENATE("#Metadata!", ADDRESS(INDEX($AJ$2:$AJ$1001,MATCH(ROWS($AH$2:AH672),$AH$2:$AH$1001,0),0), INDEX($AO$1004:$BQ$1004,1,MATCH(COLUMNS($AO$1006:BF1006),$AO$1006:$BQ$1006,0)))),"Fix")))</f>
        <v>#N/A</v>
      </c>
      <c r="T672" s="5" t="e">
        <f ca="1">IF(OR(INDEX($AI$2:$AI$1001,MATCH(ROWS($AH$2:AH672),$AH$2:$AH$1001,0),1)&gt;=100000,INDEX($AO$1005:$BQ$1005,1,MATCH(COLUMNS($AO$1006:BG1006),$AO$1006:$BQ$1006,0))&gt;=100000), " ",IF(INDEX($AO$2:$BQ$1001,MATCH(ROWS($AH$2:AH672),$AH$2:$AH$1001,0),MATCH(COLUMNS($AO$1006:BG1006),$AO$1006:$BQ$1006,0)), HYPERLINK("#",""), HYPERLINK(CONCATENATE("#Metadata!", ADDRESS(INDEX($AJ$2:$AJ$1001,MATCH(ROWS($AH$2:AH672),$AH$2:$AH$1001,0),0), INDEX($AO$1004:$BQ$1004,1,MATCH(COLUMNS($AO$1006:BG1006),$AO$1006:$BQ$1006,0)))),"Fix")))</f>
        <v>#N/A</v>
      </c>
      <c r="U672" s="5" t="e">
        <f ca="1">IF(OR(INDEX($AI$2:$AI$1001,MATCH(ROWS($AH$2:AH672),$AH$2:$AH$1001,0),1)&gt;=100000,INDEX($AO$1005:$BQ$1005,1,MATCH(COLUMNS($AO$1006:BH1006),$AO$1006:$BQ$1006,0))&gt;=100000), " ",IF(INDEX($AO$2:$BQ$1001,MATCH(ROWS($AH$2:AH672),$AH$2:$AH$1001,0),MATCH(COLUMNS($AO$1006:BH1006),$AO$1006:$BQ$1006,0)), HYPERLINK("#",""), HYPERLINK(CONCATENATE("#Metadata!", ADDRESS(INDEX($AJ$2:$AJ$1001,MATCH(ROWS($AH$2:AH672),$AH$2:$AH$1001,0),0), INDEX($AO$1004:$BQ$1004,1,MATCH(COLUMNS($AO$1006:BH1006),$AO$1006:$BQ$1006,0)))),"Fix")))</f>
        <v>#N/A</v>
      </c>
      <c r="V672" s="5" t="e">
        <f ca="1">IF(OR(INDEX($AI$2:$AI$1001,MATCH(ROWS($AH$2:AH672),$AH$2:$AH$1001,0),1)&gt;=100000,INDEX($AO$1005:$BQ$1005,1,MATCH(COLUMNS($AO$1006:BI1006),$AO$1006:$BQ$1006,0))&gt;=100000), " ",IF(INDEX($AO$2:$BQ$1001,MATCH(ROWS($AH$2:AH672),$AH$2:$AH$1001,0),MATCH(COLUMNS($AO$1006:BI1006),$AO$1006:$BQ$1006,0)), HYPERLINK("#",""), HYPERLINK(CONCATENATE("#Metadata!", ADDRESS(INDEX($AJ$2:$AJ$1001,MATCH(ROWS($AH$2:AH672),$AH$2:$AH$1001,0),0), INDEX($AO$1004:$BQ$1004,1,MATCH(COLUMNS($AO$1006:BI1006),$AO$1006:$BQ$1006,0)))),"Fix")))</f>
        <v>#N/A</v>
      </c>
      <c r="W672" s="5" t="e">
        <f ca="1">IF(OR(INDEX($AI$2:$AI$1001,MATCH(ROWS($AH$2:AH672),$AH$2:$AH$1001,0),1)&gt;=100000,INDEX($AO$1005:$BQ$1005,1,MATCH(COLUMNS($AO$1006:BJ1006),$AO$1006:$BQ$1006,0))&gt;=100000), " ",IF(INDEX($AO$2:$BQ$1001,MATCH(ROWS($AH$2:AH672),$AH$2:$AH$1001,0),MATCH(COLUMNS($AO$1006:BJ1006),$AO$1006:$BQ$1006,0)), HYPERLINK("#",""), HYPERLINK(CONCATENATE("#Metadata!", ADDRESS(INDEX($AJ$2:$AJ$1001,MATCH(ROWS($AH$2:AH672),$AH$2:$AH$1001,0),0), INDEX($AO$1004:$BQ$1004,1,MATCH(COLUMNS($AO$1006:BJ1006),$AO$1006:$BQ$1006,0)))),"Fix")))</f>
        <v>#N/A</v>
      </c>
      <c r="X672" s="5" t="e">
        <f ca="1">IF(OR(INDEX($AI$2:$AI$1001,MATCH(ROWS($AH$2:AH672),$AH$2:$AH$1001,0),1)&gt;=100000,INDEX($AO$1005:$BQ$1005,1,MATCH(COLUMNS($AO$1006:BK1006),$AO$1006:$BQ$1006,0))&gt;=100000), " ",IF(INDEX($AO$2:$BQ$1001,MATCH(ROWS($AH$2:AH672),$AH$2:$AH$1001,0),MATCH(COLUMNS($AO$1006:BK1006),$AO$1006:$BQ$1006,0)), HYPERLINK("#",""), HYPERLINK(CONCATENATE("#Metadata!", ADDRESS(INDEX($AJ$2:$AJ$1001,MATCH(ROWS($AH$2:AH672),$AH$2:$AH$1001,0),0), INDEX($AO$1004:$BQ$1004,1,MATCH(COLUMNS($AO$1006:BK1006),$AO$1006:$BQ$1006,0)))),"Fix")))</f>
        <v>#N/A</v>
      </c>
      <c r="Y672" s="5" t="e">
        <f ca="1">IF(OR(INDEX($AI$2:$AI$1001,MATCH(ROWS($AH$2:AH672),$AH$2:$AH$1001,0),1)&gt;=100000,INDEX($AO$1005:$BQ$1005,1,MATCH(COLUMNS($AO$1006:BL1006),$AO$1006:$BQ$1006,0))&gt;=100000), " ",IF(INDEX($AO$2:$BQ$1001,MATCH(ROWS($AH$2:AH672),$AH$2:$AH$1001,0),MATCH(COLUMNS($AO$1006:BL1006),$AO$1006:$BQ$1006,0)), HYPERLINK("#",""), HYPERLINK(CONCATENATE("#Metadata!", ADDRESS(INDEX($AJ$2:$AJ$1001,MATCH(ROWS($AH$2:AH672),$AH$2:$AH$1001,0),0), INDEX($AO$1004:$BQ$1004,1,MATCH(COLUMNS($AO$1006:BL1006),$AO$1006:$BQ$1006,0)))),"Fix")))</f>
        <v>#N/A</v>
      </c>
      <c r="Z672" s="5" t="e">
        <f ca="1">IF(OR(INDEX($AI$2:$AI$1001,MATCH(ROWS($AH$2:AH672),$AH$2:$AH$1001,0),1)&gt;=100000,INDEX($AO$1005:$BQ$1005,1,MATCH(COLUMNS($AO$1006:BM1006),$AO$1006:$BQ$1006,0))&gt;=100000), " ",IF(INDEX($AO$2:$BQ$1001,MATCH(ROWS($AH$2:AH672),$AH$2:$AH$1001,0),MATCH(COLUMNS($AO$1006:BM1006),$AO$1006:$BQ$1006,0)), HYPERLINK("#",""), HYPERLINK(CONCATENATE("#Metadata!", ADDRESS(INDEX($AJ$2:$AJ$1001,MATCH(ROWS($AH$2:AH672),$AH$2:$AH$1001,0),0), INDEX($AO$1004:$BQ$1004,1,MATCH(COLUMNS($AO$1006:BM1006),$AO$1006:$BQ$1006,0)))),"Fix")))</f>
        <v>#N/A</v>
      </c>
      <c r="AA672" s="5" t="e">
        <f ca="1">IF(OR(INDEX($AI$2:$AI$1001,MATCH(ROWS($AH$2:AH672),$AH$2:$AH$1001,0),1)&gt;=100000,INDEX($AO$1005:$BQ$1005,1,MATCH(COLUMNS($AO$1006:BN1006),$AO$1006:$BQ$1006,0))&gt;=100000), " ",IF(INDEX($AO$2:$BQ$1001,MATCH(ROWS($AH$2:AH672),$AH$2:$AH$1001,0),MATCH(COLUMNS($AO$1006:BN1006),$AO$1006:$BQ$1006,0)), HYPERLINK("#",""), HYPERLINK(CONCATENATE("#Metadata!", ADDRESS(INDEX($AJ$2:$AJ$1001,MATCH(ROWS($AH$2:AH672),$AH$2:$AH$1001,0),0), INDEX($AO$1004:$BQ$1004,1,MATCH(COLUMNS($AO$1006:BN1006),$AO$1006:$BQ$1006,0)))),"Fix")))</f>
        <v>#N/A</v>
      </c>
      <c r="AB672" s="5" t="e">
        <f ca="1">IF(OR(INDEX($AI$2:$AI$1001,MATCH(ROWS($AH$2:AH672),$AH$2:$AH$1001,0),1)&gt;=100000,INDEX($AO$1005:$BQ$1005,1,MATCH(COLUMNS($AO$1006:BO1006),$AO$1006:$BQ$1006,0))&gt;=100000), " ",IF(INDEX($AO$2:$BQ$1001,MATCH(ROWS($AH$2:AH672),$AH$2:$AH$1001,0),MATCH(COLUMNS($AO$1006:BO1006),$AO$1006:$BQ$1006,0)), HYPERLINK("#",""), HYPERLINK(CONCATENATE("#Metadata!", ADDRESS(INDEX($AJ$2:$AJ$1001,MATCH(ROWS($AH$2:AH672),$AH$2:$AH$1001,0),0), INDEX($AO$1004:$BQ$1004,1,MATCH(COLUMNS($AO$1006:BO1006),$AO$1006:$BQ$1006,0)))),"Fix")))</f>
        <v>#N/A</v>
      </c>
      <c r="AC672" s="5" t="e">
        <f ca="1">IF(OR(INDEX($AI$2:$AI$1001,MATCH(ROWS($AH$2:AH672),$AH$2:$AH$1001,0),1)&gt;=100000,INDEX($AO$1005:$BQ$1005,1,MATCH(COLUMNS($AO$1006:BP1006),$AO$1006:$BQ$1006,0))&gt;=100000), " ",IF(INDEX($AO$2:$BQ$1001,MATCH(ROWS($AH$2:AH672),$AH$2:$AH$1001,0),MATCH(COLUMNS($AO$1006:BP1006),$AO$1006:$BQ$1006,0)), HYPERLINK("#",""), HYPERLINK(CONCATENATE("#Metadata!", ADDRESS(INDEX($AJ$2:$AJ$1001,MATCH(ROWS($AH$2:AH672),$AH$2:$AH$1001,0),0), INDEX($AO$1004:$BQ$1004,1,MATCH(COLUMNS($AO$1006:BP1006),$AO$1006:$BQ$1006,0)))),"Fix")))</f>
        <v>#N/A</v>
      </c>
      <c r="AD672" s="5" t="e">
        <f ca="1">IF(OR(INDEX($AI$2:$AI$1001,MATCH(ROWS($AH$2:AH672),$AH$2:$AH$1001,0),1)&gt;=100000,INDEX($AO$1005:$BQ$1005,1,MATCH(COLUMNS($AO$1006:BQ1006),$AO$1006:$BQ$1006,0))&gt;=100000), " ",IF(INDEX($AO$2:$BQ$1001,MATCH(ROWS($AH$2:AH672),$AH$2:$AH$1001,0),MATCH(COLUMNS($AO$1006:BQ1006),$AO$1006:$BQ$1006,0)), HYPERLINK("#",""), HYPERLINK(CONCATENATE("#Metadata!", ADDRESS(INDEX($AJ$2:$AJ$1001,MATCH(ROWS($AH$2:AH672),$AH$2:$AH$1001,0),0), INDEX($AO$1004:$BQ$1004,1,MATCH(COLUMNS($AO$1006:BQ1006),$AO$1006:$BQ$1006,0)))),"Fix")))</f>
        <v>#REF!</v>
      </c>
      <c r="AH672">
        <f ca="1"/>
        <v>669</v>
      </c>
      <c r="AI672">
        <v>100672</v>
      </c>
      <c r="AJ672">
        <v>672</v>
      </c>
      <c r="AK672" t="b">
        <f t="shared" si="10"/>
        <v>1</v>
      </c>
      <c r="AL672" t="b">
        <f>COUNTBLANK(Metadata!B672:AD672)=COLUMNS(Metadata!B672:AD672)</f>
        <v>1</v>
      </c>
      <c r="AM672" t="str">
        <v/>
      </c>
      <c r="AO672" t="b">
        <f ca="1">AND(IF(Metadata!B672="",FALSE,TRUE),COUNTIF(Metadata!B:B, Metadata!B672) = 1,NOT(ISERROR(SUMPRODUCT(SEARCH(MID(Metadata!B672,ROW(INDIRECT("1:"&amp;LEN(Metadata!B672))), 1),"0123456789abcdefghijklmnopqrstuvwxyzABCDEFGHIJKLMNOPQRSTUVWXYZ.")))))</f>
        <v>0</v>
      </c>
      <c r="AP672" t="b">
        <f>IF(Metadata!C672="",FALSE,TRUE)</f>
        <v>0</v>
      </c>
      <c r="AQ672" t="b">
        <f>IF(Metadata!D672="",FALSE,TRUE)</f>
        <v>0</v>
      </c>
      <c r="AR672" t="b">
        <f ca="1">OR(AND(IF(Metadata!E672="",FALSE,TRUE),OR(EXACT(Metadata!E672,"not collected"),EXACT(Metadata!E672,"not provided"),EXACT(Metadata!E672,"restricted access"))),AND(IF(Metadata!E672="",FALSE,TRUE),AND(AND(IFERROR(INT(LEFT(Metadata!E672,4))&gt;1900,FALSE),IFERROR(INT(LEFT(Metadata!E672,4))&lt;=YEAR(NOW()),FALSE)), OR(MID(Metadata!E672,5,1)="", AND(AND(MID(Metadata!E672,5,1)="-",IFERROR(INT(MID(Metadata!E672,6,1))&gt;=0,FALSE),IFERROR(INT(MID(Metadata!E672,6,1))&lt;=1,FALSE),NOT(MID(Metadata!E672,7,1)=""),IFERROR(INT(MID(Metadata!E672,6,2))&gt;=1,FALSE),IFERROR(INT(MID(Metadata!E672,6,2))&lt;=12,FALSE)), OR(MID(Metadata!E672,8,1)="", AND(AND(MID(Metadata!E672,8,1)="-",IFERROR(INT(MID(Metadata!E672,9,1))&gt;=0,FALSE),IFERROR(INT(MID(Metadata!E672,9,1))&lt;=3,FALSE),NOT(MID(Metadata!E672,10,1)=""),IFERROR(INT(MID(Metadata!E672,9,2))&gt;=1,FALSE),IFERROR(INT(MID(Metadata!E672,9,2))&lt;=31,FALSE)), OR(MID(Metadata!E672,11,1)="", AND(AND(MID(Metadata!E672,11,1)=" ",IFERROR(INT(MID(Metadata!E672,12,1))&gt;=0,FALSE),IFERROR(INT(MID(Metadata!E672,12,1))&lt;=2,FALSE),NOT(MID(Metadata!E672,13,1)=""),IFERROR(INT(MID(Metadata!E672,12,2))&gt;=0,FALSE),IFERROR(INT(MID(Metadata!E672,12,2))&lt;=23,FALSE)), OR(MID(Metadata!E672,14,1)="", AND(AND(MID(Metadata!E672,14,1)=":",IFERROR(INT(MID(Metadata!E672,15,1))&gt;=0,FALSE),IFERROR(INT(MID(Metadata!E672,15,1))&lt;=5,FALSE),NOT(MID(Metadata!E672,16,1)=""),IFERROR(INT(MID(Metadata!E672,15,2))&gt;=0,FALSE),IFERROR(INT(MID(Metadata!E672,15,2))&lt;=59,FALSE)), OR(MID(Metadata!E672,17,1)="", AND(AND(MID(Metadata!E672,17,1)=":",IFERROR(INT(MID(Metadata!E672,18,1))&gt;=0,FALSE),IFERROR(INT(MID(Metadata!E672,18,1))&lt;=5,FALSE),NOT(MID(Metadata!E672,19,1)=""),IFERROR(INT(MID(Metadata!E672,18,2))&gt;=0,FALSE),IFERROR(INT(MID(Metadata!E672,18,2))&lt;=59,FALSE)), LEN(Metadata!E672)&lt;=19)))))))))))))</f>
        <v>0</v>
      </c>
      <c r="AS672" t="b">
        <f>IF(Metadata!F672="",FALSE,TRUE)</f>
        <v>0</v>
      </c>
      <c r="AT672" t="b">
        <f>OR(AND(IF(Metadata!G672="",FALSE,TRUE),OR(EXACT(Metadata!G672,"not collected"),EXACT(Metadata!G672,"not provided"))),AND(IF(Metadata!G672="",FALSE,TRUE),OR(EXACT(Metadata!G672,"TRUE"),EXACT(Metadata!G672,"FALSE"))))</f>
        <v>0</v>
      </c>
      <c r="AU672" t="b">
        <f>OR(AND(IF(Metadata!H672="",FALSE,TRUE),OR(EXACT(Metadata!H672,"not collected"),EXACT(Metadata!H672,"not provided"),EXACT(Metadata!H672,"restricted access"))),AND(IF(Metadata!H672="",FALSE,ISNUMBER(VALUE(Metadata!H672))),Metadata!H672&gt;=-413))</f>
        <v>0</v>
      </c>
      <c r="AV672" t="b">
        <f>AND(IF(Metadata!I672="",FALSE,TRUE),EXACT(Metadata!I672,"meters"))</f>
        <v>0</v>
      </c>
      <c r="AW672" t="b">
        <f>AND(IF(Metadata!J672="",FALSE,TRUE),EXACT(Metadata!J672,"free-living"))</f>
        <v>0</v>
      </c>
      <c r="AX672" t="b">
        <f>AND(IF(Metadata!K672="",FALSE,TRUE),OR(EXACT(Metadata!K672,"saline"),EXACT(Metadata!K672,"non-saline")))</f>
        <v>0</v>
      </c>
      <c r="AY672" t="b">
        <f>AND(IF(Metadata!L672="",FALSE,TRUE),OR(EXACT(Metadata!L672,"sub-surface (non-saline)"),EXACT(Metadata!L672,"surface (non-saline)"),EXACT(Metadata!L672,"water (non-saline)"),EXACT(Metadata!L672,"soil (non-saline)"),EXACT(Metadata!L672,"aerosol (non-saline)"),EXACT(Metadata!L672,"sediment (non-saline)"),EXACT(Metadata!L672,"surface (saline)"),EXACT(Metadata!L672,"water (saline)"),EXACT(Metadata!L672,"hypersaline (saline)"),EXACT(Metadata!L672,"aerosol (saline)"),EXACT(Metadata!L672,"sediment (saline)")))</f>
        <v>0</v>
      </c>
      <c r="AZ672" t="b">
        <f>IF(Metadata!M672="",FALSE,TRUE)</f>
        <v>0</v>
      </c>
      <c r="BA672" t="b">
        <f>IF(Metadata!N672="",FALSE,TRUE)</f>
        <v>0</v>
      </c>
      <c r="BB672" t="b">
        <f>IF(Metadata!O672="",FALSE,TRUE)</f>
        <v>0</v>
      </c>
      <c r="BC672" t="b">
        <f>AND(IF(Metadata!P672="",FALSE,TRUE),OR(EXACT(Metadata!P672,"air"),EXACT(Metadata!P672,"microbial mat/biofilm"),EXACT(Metadata!P672,"misc environment"),EXACT(Metadata!P672,"sediment"),EXACT(Metadata!P672,"soil"),EXACT(Metadata!P672,"wastewater/sludge"),EXACT(Metadata!P672,"water")))</f>
        <v>0</v>
      </c>
      <c r="BD672" t="b">
        <f>IF(Metadata!Q672="",FALSE,TRUE)</f>
        <v>0</v>
      </c>
      <c r="BE672" t="b">
        <f>IF(Metadata!R672="",FALSE,TRUE)</f>
        <v>0</v>
      </c>
      <c r="BF672" t="b">
        <f>OR(AND(IF(Metadata!S672="",FALSE,TRUE),OR(EXACT(Metadata!S672,"not collected"),EXACT(Metadata!S672,"not provided"),EXACT(Metadata!S672,"restricted access"))),AND(IF(Metadata!S672="",FALSE,ISNUMBER(VALUE(Metadata!S672))),Metadata!S672&gt;=-90,Metadata!S672&lt;=90))</f>
        <v>0</v>
      </c>
      <c r="BG672" t="b">
        <f>AND(IF(Metadata!T672="",FALSE,TRUE),EXACT(Metadata!T672,"Decimal degrees"))</f>
        <v>0</v>
      </c>
      <c r="BH672" t="b">
        <f>OR(AND(IF(Metadata!U672="",FALSE,TRUE),OR(EXACT(Metadata!U672,"not applicable"),EXACT(Metadata!U672,"not collected"))),IF(Metadata!U672="",FALSE,TRUE))</f>
        <v>0</v>
      </c>
      <c r="BI672" t="b">
        <f>OR(AND(IF(Metadata!V672="",FALSE,TRUE),OR(EXACT(Metadata!V672,"not collected"),EXACT(Metadata!V672,"not provided"),EXACT(Metadata!V672,"restricted access"))),AND(IF(Metadata!V672="",FALSE,ISNUMBER(VALUE(Metadata!V672))),Metadata!V672&gt;=-180,Metadata!V672&lt;=180))</f>
        <v>0</v>
      </c>
      <c r="BJ672" t="b">
        <f>AND(IF(Metadata!W672="",FALSE,TRUE),EXACT(Metadata!W672,"Decimal degrees"))</f>
        <v>0</v>
      </c>
      <c r="BK672" t="b">
        <f>IF(Metadata!X672="",FALSE,TRUE)</f>
        <v>0</v>
      </c>
      <c r="BL672" t="b">
        <f>OR(AND(IF(Metadata!Y672="",FALSE,TRUE),OR(EXACT(Metadata!Y672,"not collected"),EXACT(Metadata!Y672,"not provided"),EXACT(Metadata!Y672,"restricted access"))),AND(IF(Metadata!Y672="",FALSE,TRUE),OR(EXACT(Metadata!Y672,"TRUE"),EXACT(Metadata!Y672,"FALSE"))))</f>
        <v>0</v>
      </c>
      <c r="BM672" t="b">
        <f>OR(AND(IF(Metadata!Z672="",FALSE,TRUE),EXACT(Metadata!Z672,"not applicable")),AND(IF(Metadata!Z672="",FALSE,TRUE),OR(EXACT(Metadata!Z672,"beer"),EXACT(Metadata!Z672,"cheese"),EXACT(Metadata!Z672,"fresh water"),EXACT(Metadata!Z672,"marine sediment"),EXACT(Metadata!Z672,"sea water"),EXACT(Metadata!Z672,"sediment"),EXACT(Metadata!Z672,"soil"),EXACT(Metadata!Z672,"waste water"))))</f>
        <v>0</v>
      </c>
      <c r="BN672" t="b">
        <f>AND(IF(Metadata!AA672="",FALSE,TRUE),EXACT(Metadata!AA672,"metagenome"))</f>
        <v>0</v>
      </c>
      <c r="BO672" t="b">
        <f>AND(IF(Metadata!AB672="",FALSE,TRUE),EXACT(Metadata!AB672,"256318"))</f>
        <v>0</v>
      </c>
      <c r="BP672" t="b">
        <f>IF(Metadata!AC672="",FALSE,TRUE)</f>
        <v>0</v>
      </c>
      <c r="BQ672" t="b">
        <f>IF(Metadata!AD672="",FALSE,TRUE)</f>
        <v>0</v>
      </c>
    </row>
    <row r="673" spans="1:69" x14ac:dyDescent="0.2">
      <c r="A673" s="4" t="e">
        <f ca="1">IF(B673=" "," ",HYPERLINK(CONCATENATE("#metadata!",ADDRESS(INDEX($AJ$2:$AJ$1001,MATCH(ROWS($AH$2:AH673),$AH$2:$AH$1001,0),0),2)),INDEX($AM$2:$AM$1001,MATCH(ROWS($AH$2:AH673),$AH$2:$AH$1001,0),0)))</f>
        <v>#N/A</v>
      </c>
      <c r="B673" s="5" t="e">
        <f ca="1">IF(OR(INDEX($AI$2:$AI$1001,MATCH(ROWS($AH$2:AH673),$AH$2:$AH$1001,0),1)&gt;=100000,INDEX($AO$1005:$BQ$1005,1,MATCH(COLUMNS($AO$1006:AO1006),$AO$1006:$BQ$1006,0))&gt;=100000), " ",IF(INDEX($AO$2:$BQ$1001,MATCH(ROWS($AH$2:AH673),$AH$2:$AH$1001,0),MATCH(COLUMNS($AO$1006:AO1006),$AO$1006:$BQ$1006,0)), HYPERLINK("#",""), HYPERLINK(CONCATENATE("#Metadata!", ADDRESS(INDEX($AJ$2:$AJ$1001,MATCH(ROWS($AH$2:AH673),$AH$2:$AH$1001,0),0), INDEX($AO$1004:$BQ$1004,1,MATCH(COLUMNS($AO$1006:AO1006),$AO$1006:$BQ$1006,0)))),"Fix")))</f>
        <v>#N/A</v>
      </c>
      <c r="C673" s="5" t="e">
        <f ca="1">IF(OR(INDEX($AI$2:$AI$1001,MATCH(ROWS($AH$2:AH673),$AH$2:$AH$1001,0),1)&gt;=100000,INDEX($AO$1005:$BQ$1005,1,MATCH(COLUMNS($AO$1006:AP1006),$AO$1006:$BQ$1006,0))&gt;=100000), " ",IF(INDEX($AO$2:$BQ$1001,MATCH(ROWS($AH$2:AH673),$AH$2:$AH$1001,0),MATCH(COLUMNS($AO$1006:AP1006),$AO$1006:$BQ$1006,0)), HYPERLINK("#",""), HYPERLINK(CONCATENATE("#Metadata!", ADDRESS(INDEX($AJ$2:$AJ$1001,MATCH(ROWS($AH$2:AH673),$AH$2:$AH$1001,0),0), INDEX($AO$1004:$BQ$1004,1,MATCH(COLUMNS($AO$1006:AP1006),$AO$1006:$BQ$1006,0)))),"Fix")))</f>
        <v>#N/A</v>
      </c>
      <c r="D673" s="5" t="e">
        <f ca="1">IF(OR(INDEX($AI$2:$AI$1001,MATCH(ROWS($AH$2:AH673),$AH$2:$AH$1001,0),1)&gt;=100000,INDEX($AO$1005:$BQ$1005,1,MATCH(COLUMNS($AO$1006:AQ1006),$AO$1006:$BQ$1006,0))&gt;=100000), " ",IF(INDEX($AO$2:$BQ$1001,MATCH(ROWS($AH$2:AH673),$AH$2:$AH$1001,0),MATCH(COLUMNS($AO$1006:AQ1006),$AO$1006:$BQ$1006,0)), HYPERLINK("#",""), HYPERLINK(CONCATENATE("#Metadata!", ADDRESS(INDEX($AJ$2:$AJ$1001,MATCH(ROWS($AH$2:AH673),$AH$2:$AH$1001,0),0), INDEX($AO$1004:$BQ$1004,1,MATCH(COLUMNS($AO$1006:AQ1006),$AO$1006:$BQ$1006,0)))),"Fix")))</f>
        <v>#N/A</v>
      </c>
      <c r="E673" s="5" t="e">
        <f ca="1">IF(OR(INDEX($AI$2:$AI$1001,MATCH(ROWS($AH$2:AH673),$AH$2:$AH$1001,0),1)&gt;=100000,INDEX($AO$1005:$BQ$1005,1,MATCH(COLUMNS($AO$1006:AR1006),$AO$1006:$BQ$1006,0))&gt;=100000), " ",IF(INDEX($AO$2:$BQ$1001,MATCH(ROWS($AH$2:AH673),$AH$2:$AH$1001,0),MATCH(COLUMNS($AO$1006:AR1006),$AO$1006:$BQ$1006,0)), HYPERLINK("#",""), HYPERLINK(CONCATENATE("#Metadata!", ADDRESS(INDEX($AJ$2:$AJ$1001,MATCH(ROWS($AH$2:AH673),$AH$2:$AH$1001,0),0), INDEX($AO$1004:$BQ$1004,1,MATCH(COLUMNS($AO$1006:AR1006),$AO$1006:$BQ$1006,0)))),"Fix")))</f>
        <v>#N/A</v>
      </c>
      <c r="F673" s="5" t="e">
        <f ca="1">IF(OR(INDEX($AI$2:$AI$1001,MATCH(ROWS($AH$2:AH673),$AH$2:$AH$1001,0),1)&gt;=100000,INDEX($AO$1005:$BQ$1005,1,MATCH(COLUMNS($AO$1006:AS1006),$AO$1006:$BQ$1006,0))&gt;=100000), " ",IF(INDEX($AO$2:$BQ$1001,MATCH(ROWS($AH$2:AH673),$AH$2:$AH$1001,0),MATCH(COLUMNS($AO$1006:AS1006),$AO$1006:$BQ$1006,0)), HYPERLINK("#",""), HYPERLINK(CONCATENATE("#Metadata!", ADDRESS(INDEX($AJ$2:$AJ$1001,MATCH(ROWS($AH$2:AH673),$AH$2:$AH$1001,0),0), INDEX($AO$1004:$BQ$1004,1,MATCH(COLUMNS($AO$1006:AS1006),$AO$1006:$BQ$1006,0)))),"Fix")))</f>
        <v>#N/A</v>
      </c>
      <c r="G673" s="5" t="e">
        <f ca="1">IF(OR(INDEX($AI$2:$AI$1001,MATCH(ROWS($AH$2:AH673),$AH$2:$AH$1001,0),1)&gt;=100000,INDEX($AO$1005:$BQ$1005,1,MATCH(COLUMNS($AO$1006:AT1006),$AO$1006:$BQ$1006,0))&gt;=100000), " ",IF(INDEX($AO$2:$BQ$1001,MATCH(ROWS($AH$2:AH673),$AH$2:$AH$1001,0),MATCH(COLUMNS($AO$1006:AT1006),$AO$1006:$BQ$1006,0)), HYPERLINK("#",""), HYPERLINK(CONCATENATE("#Metadata!", ADDRESS(INDEX($AJ$2:$AJ$1001,MATCH(ROWS($AH$2:AH673),$AH$2:$AH$1001,0),0), INDEX($AO$1004:$BQ$1004,1,MATCH(COLUMNS($AO$1006:AT1006),$AO$1006:$BQ$1006,0)))),"Fix")))</f>
        <v>#N/A</v>
      </c>
      <c r="H673" s="5" t="e">
        <f ca="1">IF(OR(INDEX($AI$2:$AI$1001,MATCH(ROWS($AH$2:AH673),$AH$2:$AH$1001,0),1)&gt;=100000,INDEX($AO$1005:$BQ$1005,1,MATCH(COLUMNS($AO$1006:AU1006),$AO$1006:$BQ$1006,0))&gt;=100000), " ",IF(INDEX($AO$2:$BQ$1001,MATCH(ROWS($AH$2:AH673),$AH$2:$AH$1001,0),MATCH(COLUMNS($AO$1006:AU1006),$AO$1006:$BQ$1006,0)), HYPERLINK("#",""), HYPERLINK(CONCATENATE("#Metadata!", ADDRESS(INDEX($AJ$2:$AJ$1001,MATCH(ROWS($AH$2:AH673),$AH$2:$AH$1001,0),0), INDEX($AO$1004:$BQ$1004,1,MATCH(COLUMNS($AO$1006:AU1006),$AO$1006:$BQ$1006,0)))),"Fix")))</f>
        <v>#N/A</v>
      </c>
      <c r="I673" s="5" t="e">
        <f ca="1">IF(OR(INDEX($AI$2:$AI$1001,MATCH(ROWS($AH$2:AH673),$AH$2:$AH$1001,0),1)&gt;=100000,INDEX($AO$1005:$BQ$1005,1,MATCH(COLUMNS($AO$1006:AV1006),$AO$1006:$BQ$1006,0))&gt;=100000), " ",IF(INDEX($AO$2:$BQ$1001,MATCH(ROWS($AH$2:AH673),$AH$2:$AH$1001,0),MATCH(COLUMNS($AO$1006:AV1006),$AO$1006:$BQ$1006,0)), HYPERLINK("#",""), HYPERLINK(CONCATENATE("#Metadata!", ADDRESS(INDEX($AJ$2:$AJ$1001,MATCH(ROWS($AH$2:AH673),$AH$2:$AH$1001,0),0), INDEX($AO$1004:$BQ$1004,1,MATCH(COLUMNS($AO$1006:AV1006),$AO$1006:$BQ$1006,0)))),"Fix")))</f>
        <v>#N/A</v>
      </c>
      <c r="J673" s="5" t="e">
        <f ca="1">IF(OR(INDEX($AI$2:$AI$1001,MATCH(ROWS($AH$2:AH673),$AH$2:$AH$1001,0),1)&gt;=100000,INDEX($AO$1005:$BQ$1005,1,MATCH(COLUMNS($AO$1006:AW1006),$AO$1006:$BQ$1006,0))&gt;=100000), " ",IF(INDEX($AO$2:$BQ$1001,MATCH(ROWS($AH$2:AH673),$AH$2:$AH$1001,0),MATCH(COLUMNS($AO$1006:AW1006),$AO$1006:$BQ$1006,0)), HYPERLINK("#",""), HYPERLINK(CONCATENATE("#Metadata!", ADDRESS(INDEX($AJ$2:$AJ$1001,MATCH(ROWS($AH$2:AH673),$AH$2:$AH$1001,0),0), INDEX($AO$1004:$BQ$1004,1,MATCH(COLUMNS($AO$1006:AW1006),$AO$1006:$BQ$1006,0)))),"Fix")))</f>
        <v>#N/A</v>
      </c>
      <c r="K673" s="5" t="e">
        <f ca="1">IF(OR(INDEX($AI$2:$AI$1001,MATCH(ROWS($AH$2:AH673),$AH$2:$AH$1001,0),1)&gt;=100000,INDEX($AO$1005:$BQ$1005,1,MATCH(COLUMNS($AO$1006:AX1006),$AO$1006:$BQ$1006,0))&gt;=100000), " ",IF(INDEX($AO$2:$BQ$1001,MATCH(ROWS($AH$2:AH673),$AH$2:$AH$1001,0),MATCH(COLUMNS($AO$1006:AX1006),$AO$1006:$BQ$1006,0)), HYPERLINK("#",""), HYPERLINK(CONCATENATE("#Metadata!", ADDRESS(INDEX($AJ$2:$AJ$1001,MATCH(ROWS($AH$2:AH673),$AH$2:$AH$1001,0),0), INDEX($AO$1004:$BQ$1004,1,MATCH(COLUMNS($AO$1006:AX1006),$AO$1006:$BQ$1006,0)))),"Fix")))</f>
        <v>#N/A</v>
      </c>
      <c r="L673" s="5" t="e">
        <f ca="1">IF(OR(INDEX($AI$2:$AI$1001,MATCH(ROWS($AH$2:AH673),$AH$2:$AH$1001,0),1)&gt;=100000,INDEX($AO$1005:$BQ$1005,1,MATCH(COLUMNS($AO$1006:AY1006),$AO$1006:$BQ$1006,0))&gt;=100000), " ",IF(INDEX($AO$2:$BQ$1001,MATCH(ROWS($AH$2:AH673),$AH$2:$AH$1001,0),MATCH(COLUMNS($AO$1006:AY1006),$AO$1006:$BQ$1006,0)), HYPERLINK("#",""), HYPERLINK(CONCATENATE("#Metadata!", ADDRESS(INDEX($AJ$2:$AJ$1001,MATCH(ROWS($AH$2:AH673),$AH$2:$AH$1001,0),0), INDEX($AO$1004:$BQ$1004,1,MATCH(COLUMNS($AO$1006:AY1006),$AO$1006:$BQ$1006,0)))),"Fix")))</f>
        <v>#N/A</v>
      </c>
      <c r="M673" s="5" t="e">
        <f ca="1">IF(OR(INDEX($AI$2:$AI$1001,MATCH(ROWS($AH$2:AH673),$AH$2:$AH$1001,0),1)&gt;=100000,INDEX($AO$1005:$BQ$1005,1,MATCH(COLUMNS($AO$1006:AZ1006),$AO$1006:$BQ$1006,0))&gt;=100000), " ",IF(INDEX($AO$2:$BQ$1001,MATCH(ROWS($AH$2:AH673),$AH$2:$AH$1001,0),MATCH(COLUMNS($AO$1006:AZ1006),$AO$1006:$BQ$1006,0)), HYPERLINK("#",""), HYPERLINK(CONCATENATE("#Metadata!", ADDRESS(INDEX($AJ$2:$AJ$1001,MATCH(ROWS($AH$2:AH673),$AH$2:$AH$1001,0),0), INDEX($AO$1004:$BQ$1004,1,MATCH(COLUMNS($AO$1006:AZ1006),$AO$1006:$BQ$1006,0)))),"Fix")))</f>
        <v>#N/A</v>
      </c>
      <c r="N673" s="5" t="e">
        <f ca="1">IF(OR(INDEX($AI$2:$AI$1001,MATCH(ROWS($AH$2:AH673),$AH$2:$AH$1001,0),1)&gt;=100000,INDEX($AO$1005:$BQ$1005,1,MATCH(COLUMNS($AO$1006:BA1006),$AO$1006:$BQ$1006,0))&gt;=100000), " ",IF(INDEX($AO$2:$BQ$1001,MATCH(ROWS($AH$2:AH673),$AH$2:$AH$1001,0),MATCH(COLUMNS($AO$1006:BA1006),$AO$1006:$BQ$1006,0)), HYPERLINK("#",""), HYPERLINK(CONCATENATE("#Metadata!", ADDRESS(INDEX($AJ$2:$AJ$1001,MATCH(ROWS($AH$2:AH673),$AH$2:$AH$1001,0),0), INDEX($AO$1004:$BQ$1004,1,MATCH(COLUMNS($AO$1006:BA1006),$AO$1006:$BQ$1006,0)))),"Fix")))</f>
        <v>#N/A</v>
      </c>
      <c r="O673" s="5" t="e">
        <f ca="1">IF(OR(INDEX($AI$2:$AI$1001,MATCH(ROWS($AH$2:AH673),$AH$2:$AH$1001,0),1)&gt;=100000,INDEX($AO$1005:$BQ$1005,1,MATCH(COLUMNS($AO$1006:BB1006),$AO$1006:$BQ$1006,0))&gt;=100000), " ",IF(INDEX($AO$2:$BQ$1001,MATCH(ROWS($AH$2:AH673),$AH$2:$AH$1001,0),MATCH(COLUMNS($AO$1006:BB1006),$AO$1006:$BQ$1006,0)), HYPERLINK("#",""), HYPERLINK(CONCATENATE("#Metadata!", ADDRESS(INDEX($AJ$2:$AJ$1001,MATCH(ROWS($AH$2:AH673),$AH$2:$AH$1001,0),0), INDEX($AO$1004:$BQ$1004,1,MATCH(COLUMNS($AO$1006:BB1006),$AO$1006:$BQ$1006,0)))),"Fix")))</f>
        <v>#N/A</v>
      </c>
      <c r="P673" s="5" t="e">
        <f ca="1">IF(OR(INDEX($AI$2:$AI$1001,MATCH(ROWS($AH$2:AH673),$AH$2:$AH$1001,0),1)&gt;=100000,INDEX($AO$1005:$BQ$1005,1,MATCH(COLUMNS($AO$1006:BC1006),$AO$1006:$BQ$1006,0))&gt;=100000), " ",IF(INDEX($AO$2:$BQ$1001,MATCH(ROWS($AH$2:AH673),$AH$2:$AH$1001,0),MATCH(COLUMNS($AO$1006:BC1006),$AO$1006:$BQ$1006,0)), HYPERLINK("#",""), HYPERLINK(CONCATENATE("#Metadata!", ADDRESS(INDEX($AJ$2:$AJ$1001,MATCH(ROWS($AH$2:AH673),$AH$2:$AH$1001,0),0), INDEX($AO$1004:$BQ$1004,1,MATCH(COLUMNS($AO$1006:BC1006),$AO$1006:$BQ$1006,0)))),"Fix")))</f>
        <v>#N/A</v>
      </c>
      <c r="Q673" s="5" t="e">
        <f ca="1">IF(OR(INDEX($AI$2:$AI$1001,MATCH(ROWS($AH$2:AH673),$AH$2:$AH$1001,0),1)&gt;=100000,INDEX($AO$1005:$BQ$1005,1,MATCH(COLUMNS($AO$1006:BD1006),$AO$1006:$BQ$1006,0))&gt;=100000), " ",IF(INDEX($AO$2:$BQ$1001,MATCH(ROWS($AH$2:AH673),$AH$2:$AH$1001,0),MATCH(COLUMNS($AO$1006:BD1006),$AO$1006:$BQ$1006,0)), HYPERLINK("#",""), HYPERLINK(CONCATENATE("#Metadata!", ADDRESS(INDEX($AJ$2:$AJ$1001,MATCH(ROWS($AH$2:AH673),$AH$2:$AH$1001,0),0), INDEX($AO$1004:$BQ$1004,1,MATCH(COLUMNS($AO$1006:BD1006),$AO$1006:$BQ$1006,0)))),"Fix")))</f>
        <v>#N/A</v>
      </c>
      <c r="R673" s="5" t="e">
        <f ca="1">IF(OR(INDEX($AI$2:$AI$1001,MATCH(ROWS($AH$2:AH673),$AH$2:$AH$1001,0),1)&gt;=100000,INDEX($AO$1005:$BQ$1005,1,MATCH(COLUMNS($AO$1006:BE1006),$AO$1006:$BQ$1006,0))&gt;=100000), " ",IF(INDEX($AO$2:$BQ$1001,MATCH(ROWS($AH$2:AH673),$AH$2:$AH$1001,0),MATCH(COLUMNS($AO$1006:BE1006),$AO$1006:$BQ$1006,0)), HYPERLINK("#",""), HYPERLINK(CONCATENATE("#Metadata!", ADDRESS(INDEX($AJ$2:$AJ$1001,MATCH(ROWS($AH$2:AH673),$AH$2:$AH$1001,0),0), INDEX($AO$1004:$BQ$1004,1,MATCH(COLUMNS($AO$1006:BE1006),$AO$1006:$BQ$1006,0)))),"Fix")))</f>
        <v>#N/A</v>
      </c>
      <c r="S673" s="5" t="e">
        <f ca="1">IF(OR(INDEX($AI$2:$AI$1001,MATCH(ROWS($AH$2:AH673),$AH$2:$AH$1001,0),1)&gt;=100000,INDEX($AO$1005:$BQ$1005,1,MATCH(COLUMNS($AO$1006:BF1006),$AO$1006:$BQ$1006,0))&gt;=100000), " ",IF(INDEX($AO$2:$BQ$1001,MATCH(ROWS($AH$2:AH673),$AH$2:$AH$1001,0),MATCH(COLUMNS($AO$1006:BF1006),$AO$1006:$BQ$1006,0)), HYPERLINK("#",""), HYPERLINK(CONCATENATE("#Metadata!", ADDRESS(INDEX($AJ$2:$AJ$1001,MATCH(ROWS($AH$2:AH673),$AH$2:$AH$1001,0),0), INDEX($AO$1004:$BQ$1004,1,MATCH(COLUMNS($AO$1006:BF1006),$AO$1006:$BQ$1006,0)))),"Fix")))</f>
        <v>#N/A</v>
      </c>
      <c r="T673" s="5" t="e">
        <f ca="1">IF(OR(INDEX($AI$2:$AI$1001,MATCH(ROWS($AH$2:AH673),$AH$2:$AH$1001,0),1)&gt;=100000,INDEX($AO$1005:$BQ$1005,1,MATCH(COLUMNS($AO$1006:BG1006),$AO$1006:$BQ$1006,0))&gt;=100000), " ",IF(INDEX($AO$2:$BQ$1001,MATCH(ROWS($AH$2:AH673),$AH$2:$AH$1001,0),MATCH(COLUMNS($AO$1006:BG1006),$AO$1006:$BQ$1006,0)), HYPERLINK("#",""), HYPERLINK(CONCATENATE("#Metadata!", ADDRESS(INDEX($AJ$2:$AJ$1001,MATCH(ROWS($AH$2:AH673),$AH$2:$AH$1001,0),0), INDEX($AO$1004:$BQ$1004,1,MATCH(COLUMNS($AO$1006:BG1006),$AO$1006:$BQ$1006,0)))),"Fix")))</f>
        <v>#N/A</v>
      </c>
      <c r="U673" s="5" t="e">
        <f ca="1">IF(OR(INDEX($AI$2:$AI$1001,MATCH(ROWS($AH$2:AH673),$AH$2:$AH$1001,0),1)&gt;=100000,INDEX($AO$1005:$BQ$1005,1,MATCH(COLUMNS($AO$1006:BH1006),$AO$1006:$BQ$1006,0))&gt;=100000), " ",IF(INDEX($AO$2:$BQ$1001,MATCH(ROWS($AH$2:AH673),$AH$2:$AH$1001,0),MATCH(COLUMNS($AO$1006:BH1006),$AO$1006:$BQ$1006,0)), HYPERLINK("#",""), HYPERLINK(CONCATENATE("#Metadata!", ADDRESS(INDEX($AJ$2:$AJ$1001,MATCH(ROWS($AH$2:AH673),$AH$2:$AH$1001,0),0), INDEX($AO$1004:$BQ$1004,1,MATCH(COLUMNS($AO$1006:BH1006),$AO$1006:$BQ$1006,0)))),"Fix")))</f>
        <v>#N/A</v>
      </c>
      <c r="V673" s="5" t="e">
        <f ca="1">IF(OR(INDEX($AI$2:$AI$1001,MATCH(ROWS($AH$2:AH673),$AH$2:$AH$1001,0),1)&gt;=100000,INDEX($AO$1005:$BQ$1005,1,MATCH(COLUMNS($AO$1006:BI1006),$AO$1006:$BQ$1006,0))&gt;=100000), " ",IF(INDEX($AO$2:$BQ$1001,MATCH(ROWS($AH$2:AH673),$AH$2:$AH$1001,0),MATCH(COLUMNS($AO$1006:BI1006),$AO$1006:$BQ$1006,0)), HYPERLINK("#",""), HYPERLINK(CONCATENATE("#Metadata!", ADDRESS(INDEX($AJ$2:$AJ$1001,MATCH(ROWS($AH$2:AH673),$AH$2:$AH$1001,0),0), INDEX($AO$1004:$BQ$1004,1,MATCH(COLUMNS($AO$1006:BI1006),$AO$1006:$BQ$1006,0)))),"Fix")))</f>
        <v>#N/A</v>
      </c>
      <c r="W673" s="5" t="e">
        <f ca="1">IF(OR(INDEX($AI$2:$AI$1001,MATCH(ROWS($AH$2:AH673),$AH$2:$AH$1001,0),1)&gt;=100000,INDEX($AO$1005:$BQ$1005,1,MATCH(COLUMNS($AO$1006:BJ1006),$AO$1006:$BQ$1006,0))&gt;=100000), " ",IF(INDEX($AO$2:$BQ$1001,MATCH(ROWS($AH$2:AH673),$AH$2:$AH$1001,0),MATCH(COLUMNS($AO$1006:BJ1006),$AO$1006:$BQ$1006,0)), HYPERLINK("#",""), HYPERLINK(CONCATENATE("#Metadata!", ADDRESS(INDEX($AJ$2:$AJ$1001,MATCH(ROWS($AH$2:AH673),$AH$2:$AH$1001,0),0), INDEX($AO$1004:$BQ$1004,1,MATCH(COLUMNS($AO$1006:BJ1006),$AO$1006:$BQ$1006,0)))),"Fix")))</f>
        <v>#N/A</v>
      </c>
      <c r="X673" s="5" t="e">
        <f ca="1">IF(OR(INDEX($AI$2:$AI$1001,MATCH(ROWS($AH$2:AH673),$AH$2:$AH$1001,0),1)&gt;=100000,INDEX($AO$1005:$BQ$1005,1,MATCH(COLUMNS($AO$1006:BK1006),$AO$1006:$BQ$1006,0))&gt;=100000), " ",IF(INDEX($AO$2:$BQ$1001,MATCH(ROWS($AH$2:AH673),$AH$2:$AH$1001,0),MATCH(COLUMNS($AO$1006:BK1006),$AO$1006:$BQ$1006,0)), HYPERLINK("#",""), HYPERLINK(CONCATENATE("#Metadata!", ADDRESS(INDEX($AJ$2:$AJ$1001,MATCH(ROWS($AH$2:AH673),$AH$2:$AH$1001,0),0), INDEX($AO$1004:$BQ$1004,1,MATCH(COLUMNS($AO$1006:BK1006),$AO$1006:$BQ$1006,0)))),"Fix")))</f>
        <v>#N/A</v>
      </c>
      <c r="Y673" s="5" t="e">
        <f ca="1">IF(OR(INDEX($AI$2:$AI$1001,MATCH(ROWS($AH$2:AH673),$AH$2:$AH$1001,0),1)&gt;=100000,INDEX($AO$1005:$BQ$1005,1,MATCH(COLUMNS($AO$1006:BL1006),$AO$1006:$BQ$1006,0))&gt;=100000), " ",IF(INDEX($AO$2:$BQ$1001,MATCH(ROWS($AH$2:AH673),$AH$2:$AH$1001,0),MATCH(COLUMNS($AO$1006:BL1006),$AO$1006:$BQ$1006,0)), HYPERLINK("#",""), HYPERLINK(CONCATENATE("#Metadata!", ADDRESS(INDEX($AJ$2:$AJ$1001,MATCH(ROWS($AH$2:AH673),$AH$2:$AH$1001,0),0), INDEX($AO$1004:$BQ$1004,1,MATCH(COLUMNS($AO$1006:BL1006),$AO$1006:$BQ$1006,0)))),"Fix")))</f>
        <v>#N/A</v>
      </c>
      <c r="Z673" s="5" t="e">
        <f ca="1">IF(OR(INDEX($AI$2:$AI$1001,MATCH(ROWS($AH$2:AH673),$AH$2:$AH$1001,0),1)&gt;=100000,INDEX($AO$1005:$BQ$1005,1,MATCH(COLUMNS($AO$1006:BM1006),$AO$1006:$BQ$1006,0))&gt;=100000), " ",IF(INDEX($AO$2:$BQ$1001,MATCH(ROWS($AH$2:AH673),$AH$2:$AH$1001,0),MATCH(COLUMNS($AO$1006:BM1006),$AO$1006:$BQ$1006,0)), HYPERLINK("#",""), HYPERLINK(CONCATENATE("#Metadata!", ADDRESS(INDEX($AJ$2:$AJ$1001,MATCH(ROWS($AH$2:AH673),$AH$2:$AH$1001,0),0), INDEX($AO$1004:$BQ$1004,1,MATCH(COLUMNS($AO$1006:BM1006),$AO$1006:$BQ$1006,0)))),"Fix")))</f>
        <v>#N/A</v>
      </c>
      <c r="AA673" s="5" t="e">
        <f ca="1">IF(OR(INDEX($AI$2:$AI$1001,MATCH(ROWS($AH$2:AH673),$AH$2:$AH$1001,0),1)&gt;=100000,INDEX($AO$1005:$BQ$1005,1,MATCH(COLUMNS($AO$1006:BN1006),$AO$1006:$BQ$1006,0))&gt;=100000), " ",IF(INDEX($AO$2:$BQ$1001,MATCH(ROWS($AH$2:AH673),$AH$2:$AH$1001,0),MATCH(COLUMNS($AO$1006:BN1006),$AO$1006:$BQ$1006,0)), HYPERLINK("#",""), HYPERLINK(CONCATENATE("#Metadata!", ADDRESS(INDEX($AJ$2:$AJ$1001,MATCH(ROWS($AH$2:AH673),$AH$2:$AH$1001,0),0), INDEX($AO$1004:$BQ$1004,1,MATCH(COLUMNS($AO$1006:BN1006),$AO$1006:$BQ$1006,0)))),"Fix")))</f>
        <v>#N/A</v>
      </c>
      <c r="AB673" s="5" t="e">
        <f ca="1">IF(OR(INDEX($AI$2:$AI$1001,MATCH(ROWS($AH$2:AH673),$AH$2:$AH$1001,0),1)&gt;=100000,INDEX($AO$1005:$BQ$1005,1,MATCH(COLUMNS($AO$1006:BO1006),$AO$1006:$BQ$1006,0))&gt;=100000), " ",IF(INDEX($AO$2:$BQ$1001,MATCH(ROWS($AH$2:AH673),$AH$2:$AH$1001,0),MATCH(COLUMNS($AO$1006:BO1006),$AO$1006:$BQ$1006,0)), HYPERLINK("#",""), HYPERLINK(CONCATENATE("#Metadata!", ADDRESS(INDEX($AJ$2:$AJ$1001,MATCH(ROWS($AH$2:AH673),$AH$2:$AH$1001,0),0), INDEX($AO$1004:$BQ$1004,1,MATCH(COLUMNS($AO$1006:BO1006),$AO$1006:$BQ$1006,0)))),"Fix")))</f>
        <v>#N/A</v>
      </c>
      <c r="AC673" s="5" t="e">
        <f ca="1">IF(OR(INDEX($AI$2:$AI$1001,MATCH(ROWS($AH$2:AH673),$AH$2:$AH$1001,0),1)&gt;=100000,INDEX($AO$1005:$BQ$1005,1,MATCH(COLUMNS($AO$1006:BP1006),$AO$1006:$BQ$1006,0))&gt;=100000), " ",IF(INDEX($AO$2:$BQ$1001,MATCH(ROWS($AH$2:AH673),$AH$2:$AH$1001,0),MATCH(COLUMNS($AO$1006:BP1006),$AO$1006:$BQ$1006,0)), HYPERLINK("#",""), HYPERLINK(CONCATENATE("#Metadata!", ADDRESS(INDEX($AJ$2:$AJ$1001,MATCH(ROWS($AH$2:AH673),$AH$2:$AH$1001,0),0), INDEX($AO$1004:$BQ$1004,1,MATCH(COLUMNS($AO$1006:BP1006),$AO$1006:$BQ$1006,0)))),"Fix")))</f>
        <v>#N/A</v>
      </c>
      <c r="AD673" s="5" t="e">
        <f ca="1">IF(OR(INDEX($AI$2:$AI$1001,MATCH(ROWS($AH$2:AH673),$AH$2:$AH$1001,0),1)&gt;=100000,INDEX($AO$1005:$BQ$1005,1,MATCH(COLUMNS($AO$1006:BQ1006),$AO$1006:$BQ$1006,0))&gt;=100000), " ",IF(INDEX($AO$2:$BQ$1001,MATCH(ROWS($AH$2:AH673),$AH$2:$AH$1001,0),MATCH(COLUMNS($AO$1006:BQ1006),$AO$1006:$BQ$1006,0)), HYPERLINK("#",""), HYPERLINK(CONCATENATE("#Metadata!", ADDRESS(INDEX($AJ$2:$AJ$1001,MATCH(ROWS($AH$2:AH673),$AH$2:$AH$1001,0),0), INDEX($AO$1004:$BQ$1004,1,MATCH(COLUMNS($AO$1006:BQ1006),$AO$1006:$BQ$1006,0)))),"Fix")))</f>
        <v>#REF!</v>
      </c>
      <c r="AH673">
        <f ca="1"/>
        <v>670</v>
      </c>
      <c r="AI673">
        <v>100673</v>
      </c>
      <c r="AJ673">
        <v>673</v>
      </c>
      <c r="AK673" t="b">
        <f t="shared" si="10"/>
        <v>1</v>
      </c>
      <c r="AL673" t="b">
        <f>COUNTBLANK(Metadata!B673:AD673)=COLUMNS(Metadata!B673:AD673)</f>
        <v>1</v>
      </c>
      <c r="AM673" t="str">
        <v/>
      </c>
      <c r="AO673" t="b">
        <f ca="1">AND(IF(Metadata!B673="",FALSE,TRUE),COUNTIF(Metadata!B:B, Metadata!B673) = 1,NOT(ISERROR(SUMPRODUCT(SEARCH(MID(Metadata!B673,ROW(INDIRECT("1:"&amp;LEN(Metadata!B673))), 1),"0123456789abcdefghijklmnopqrstuvwxyzABCDEFGHIJKLMNOPQRSTUVWXYZ.")))))</f>
        <v>0</v>
      </c>
      <c r="AP673" t="b">
        <f>IF(Metadata!C673="",FALSE,TRUE)</f>
        <v>0</v>
      </c>
      <c r="AQ673" t="b">
        <f>IF(Metadata!D673="",FALSE,TRUE)</f>
        <v>0</v>
      </c>
      <c r="AR673" t="b">
        <f ca="1">OR(AND(IF(Metadata!E673="",FALSE,TRUE),OR(EXACT(Metadata!E673,"not collected"),EXACT(Metadata!E673,"not provided"),EXACT(Metadata!E673,"restricted access"))),AND(IF(Metadata!E673="",FALSE,TRUE),AND(AND(IFERROR(INT(LEFT(Metadata!E673,4))&gt;1900,FALSE),IFERROR(INT(LEFT(Metadata!E673,4))&lt;=YEAR(NOW()),FALSE)), OR(MID(Metadata!E673,5,1)="", AND(AND(MID(Metadata!E673,5,1)="-",IFERROR(INT(MID(Metadata!E673,6,1))&gt;=0,FALSE),IFERROR(INT(MID(Metadata!E673,6,1))&lt;=1,FALSE),NOT(MID(Metadata!E673,7,1)=""),IFERROR(INT(MID(Metadata!E673,6,2))&gt;=1,FALSE),IFERROR(INT(MID(Metadata!E673,6,2))&lt;=12,FALSE)), OR(MID(Metadata!E673,8,1)="", AND(AND(MID(Metadata!E673,8,1)="-",IFERROR(INT(MID(Metadata!E673,9,1))&gt;=0,FALSE),IFERROR(INT(MID(Metadata!E673,9,1))&lt;=3,FALSE),NOT(MID(Metadata!E673,10,1)=""),IFERROR(INT(MID(Metadata!E673,9,2))&gt;=1,FALSE),IFERROR(INT(MID(Metadata!E673,9,2))&lt;=31,FALSE)), OR(MID(Metadata!E673,11,1)="", AND(AND(MID(Metadata!E673,11,1)=" ",IFERROR(INT(MID(Metadata!E673,12,1))&gt;=0,FALSE),IFERROR(INT(MID(Metadata!E673,12,1))&lt;=2,FALSE),NOT(MID(Metadata!E673,13,1)=""),IFERROR(INT(MID(Metadata!E673,12,2))&gt;=0,FALSE),IFERROR(INT(MID(Metadata!E673,12,2))&lt;=23,FALSE)), OR(MID(Metadata!E673,14,1)="", AND(AND(MID(Metadata!E673,14,1)=":",IFERROR(INT(MID(Metadata!E673,15,1))&gt;=0,FALSE),IFERROR(INT(MID(Metadata!E673,15,1))&lt;=5,FALSE),NOT(MID(Metadata!E673,16,1)=""),IFERROR(INT(MID(Metadata!E673,15,2))&gt;=0,FALSE),IFERROR(INT(MID(Metadata!E673,15,2))&lt;=59,FALSE)), OR(MID(Metadata!E673,17,1)="", AND(AND(MID(Metadata!E673,17,1)=":",IFERROR(INT(MID(Metadata!E673,18,1))&gt;=0,FALSE),IFERROR(INT(MID(Metadata!E673,18,1))&lt;=5,FALSE),NOT(MID(Metadata!E673,19,1)=""),IFERROR(INT(MID(Metadata!E673,18,2))&gt;=0,FALSE),IFERROR(INT(MID(Metadata!E673,18,2))&lt;=59,FALSE)), LEN(Metadata!E673)&lt;=19)))))))))))))</f>
        <v>0</v>
      </c>
      <c r="AS673" t="b">
        <f>IF(Metadata!F673="",FALSE,TRUE)</f>
        <v>0</v>
      </c>
      <c r="AT673" t="b">
        <f>OR(AND(IF(Metadata!G673="",FALSE,TRUE),OR(EXACT(Metadata!G673,"not collected"),EXACT(Metadata!G673,"not provided"))),AND(IF(Metadata!G673="",FALSE,TRUE),OR(EXACT(Metadata!G673,"TRUE"),EXACT(Metadata!G673,"FALSE"))))</f>
        <v>0</v>
      </c>
      <c r="AU673" t="b">
        <f>OR(AND(IF(Metadata!H673="",FALSE,TRUE),OR(EXACT(Metadata!H673,"not collected"),EXACT(Metadata!H673,"not provided"),EXACT(Metadata!H673,"restricted access"))),AND(IF(Metadata!H673="",FALSE,ISNUMBER(VALUE(Metadata!H673))),Metadata!H673&gt;=-413))</f>
        <v>0</v>
      </c>
      <c r="AV673" t="b">
        <f>AND(IF(Metadata!I673="",FALSE,TRUE),EXACT(Metadata!I673,"meters"))</f>
        <v>0</v>
      </c>
      <c r="AW673" t="b">
        <f>AND(IF(Metadata!J673="",FALSE,TRUE),EXACT(Metadata!J673,"free-living"))</f>
        <v>0</v>
      </c>
      <c r="AX673" t="b">
        <f>AND(IF(Metadata!K673="",FALSE,TRUE),OR(EXACT(Metadata!K673,"saline"),EXACT(Metadata!K673,"non-saline")))</f>
        <v>0</v>
      </c>
      <c r="AY673" t="b">
        <f>AND(IF(Metadata!L673="",FALSE,TRUE),OR(EXACT(Metadata!L673,"sub-surface (non-saline)"),EXACT(Metadata!L673,"surface (non-saline)"),EXACT(Metadata!L673,"water (non-saline)"),EXACT(Metadata!L673,"soil (non-saline)"),EXACT(Metadata!L673,"aerosol (non-saline)"),EXACT(Metadata!L673,"sediment (non-saline)"),EXACT(Metadata!L673,"surface (saline)"),EXACT(Metadata!L673,"water (saline)"),EXACT(Metadata!L673,"hypersaline (saline)"),EXACT(Metadata!L673,"aerosol (saline)"),EXACT(Metadata!L673,"sediment (saline)")))</f>
        <v>0</v>
      </c>
      <c r="AZ673" t="b">
        <f>IF(Metadata!M673="",FALSE,TRUE)</f>
        <v>0</v>
      </c>
      <c r="BA673" t="b">
        <f>IF(Metadata!N673="",FALSE,TRUE)</f>
        <v>0</v>
      </c>
      <c r="BB673" t="b">
        <f>IF(Metadata!O673="",FALSE,TRUE)</f>
        <v>0</v>
      </c>
      <c r="BC673" t="b">
        <f>AND(IF(Metadata!P673="",FALSE,TRUE),OR(EXACT(Metadata!P673,"air"),EXACT(Metadata!P673,"microbial mat/biofilm"),EXACT(Metadata!P673,"misc environment"),EXACT(Metadata!P673,"sediment"),EXACT(Metadata!P673,"soil"),EXACT(Metadata!P673,"wastewater/sludge"),EXACT(Metadata!P673,"water")))</f>
        <v>0</v>
      </c>
      <c r="BD673" t="b">
        <f>IF(Metadata!Q673="",FALSE,TRUE)</f>
        <v>0</v>
      </c>
      <c r="BE673" t="b">
        <f>IF(Metadata!R673="",FALSE,TRUE)</f>
        <v>0</v>
      </c>
      <c r="BF673" t="b">
        <f>OR(AND(IF(Metadata!S673="",FALSE,TRUE),OR(EXACT(Metadata!S673,"not collected"),EXACT(Metadata!S673,"not provided"),EXACT(Metadata!S673,"restricted access"))),AND(IF(Metadata!S673="",FALSE,ISNUMBER(VALUE(Metadata!S673))),Metadata!S673&gt;=-90,Metadata!S673&lt;=90))</f>
        <v>0</v>
      </c>
      <c r="BG673" t="b">
        <f>AND(IF(Metadata!T673="",FALSE,TRUE),EXACT(Metadata!T673,"Decimal degrees"))</f>
        <v>0</v>
      </c>
      <c r="BH673" t="b">
        <f>OR(AND(IF(Metadata!U673="",FALSE,TRUE),OR(EXACT(Metadata!U673,"not applicable"),EXACT(Metadata!U673,"not collected"))),IF(Metadata!U673="",FALSE,TRUE))</f>
        <v>0</v>
      </c>
      <c r="BI673" t="b">
        <f>OR(AND(IF(Metadata!V673="",FALSE,TRUE),OR(EXACT(Metadata!V673,"not collected"),EXACT(Metadata!V673,"not provided"),EXACT(Metadata!V673,"restricted access"))),AND(IF(Metadata!V673="",FALSE,ISNUMBER(VALUE(Metadata!V673))),Metadata!V673&gt;=-180,Metadata!V673&lt;=180))</f>
        <v>0</v>
      </c>
      <c r="BJ673" t="b">
        <f>AND(IF(Metadata!W673="",FALSE,TRUE),EXACT(Metadata!W673,"Decimal degrees"))</f>
        <v>0</v>
      </c>
      <c r="BK673" t="b">
        <f>IF(Metadata!X673="",FALSE,TRUE)</f>
        <v>0</v>
      </c>
      <c r="BL673" t="b">
        <f>OR(AND(IF(Metadata!Y673="",FALSE,TRUE),OR(EXACT(Metadata!Y673,"not collected"),EXACT(Metadata!Y673,"not provided"),EXACT(Metadata!Y673,"restricted access"))),AND(IF(Metadata!Y673="",FALSE,TRUE),OR(EXACT(Metadata!Y673,"TRUE"),EXACT(Metadata!Y673,"FALSE"))))</f>
        <v>0</v>
      </c>
      <c r="BM673" t="b">
        <f>OR(AND(IF(Metadata!Z673="",FALSE,TRUE),EXACT(Metadata!Z673,"not applicable")),AND(IF(Metadata!Z673="",FALSE,TRUE),OR(EXACT(Metadata!Z673,"beer"),EXACT(Metadata!Z673,"cheese"),EXACT(Metadata!Z673,"fresh water"),EXACT(Metadata!Z673,"marine sediment"),EXACT(Metadata!Z673,"sea water"),EXACT(Metadata!Z673,"sediment"),EXACT(Metadata!Z673,"soil"),EXACT(Metadata!Z673,"waste water"))))</f>
        <v>0</v>
      </c>
      <c r="BN673" t="b">
        <f>AND(IF(Metadata!AA673="",FALSE,TRUE),EXACT(Metadata!AA673,"metagenome"))</f>
        <v>0</v>
      </c>
      <c r="BO673" t="b">
        <f>AND(IF(Metadata!AB673="",FALSE,TRUE),EXACT(Metadata!AB673,"256318"))</f>
        <v>0</v>
      </c>
      <c r="BP673" t="b">
        <f>IF(Metadata!AC673="",FALSE,TRUE)</f>
        <v>0</v>
      </c>
      <c r="BQ673" t="b">
        <f>IF(Metadata!AD673="",FALSE,TRUE)</f>
        <v>0</v>
      </c>
    </row>
    <row r="674" spans="1:69" x14ac:dyDescent="0.2">
      <c r="A674" s="4" t="e">
        <f ca="1">IF(B674=" "," ",HYPERLINK(CONCATENATE("#metadata!",ADDRESS(INDEX($AJ$2:$AJ$1001,MATCH(ROWS($AH$2:AH674),$AH$2:$AH$1001,0),0),2)),INDEX($AM$2:$AM$1001,MATCH(ROWS($AH$2:AH674),$AH$2:$AH$1001,0),0)))</f>
        <v>#N/A</v>
      </c>
      <c r="B674" s="5" t="e">
        <f ca="1">IF(OR(INDEX($AI$2:$AI$1001,MATCH(ROWS($AH$2:AH674),$AH$2:$AH$1001,0),1)&gt;=100000,INDEX($AO$1005:$BQ$1005,1,MATCH(COLUMNS($AO$1006:AO1006),$AO$1006:$BQ$1006,0))&gt;=100000), " ",IF(INDEX($AO$2:$BQ$1001,MATCH(ROWS($AH$2:AH674),$AH$2:$AH$1001,0),MATCH(COLUMNS($AO$1006:AO1006),$AO$1006:$BQ$1006,0)), HYPERLINK("#",""), HYPERLINK(CONCATENATE("#Metadata!", ADDRESS(INDEX($AJ$2:$AJ$1001,MATCH(ROWS($AH$2:AH674),$AH$2:$AH$1001,0),0), INDEX($AO$1004:$BQ$1004,1,MATCH(COLUMNS($AO$1006:AO1006),$AO$1006:$BQ$1006,0)))),"Fix")))</f>
        <v>#N/A</v>
      </c>
      <c r="C674" s="5" t="e">
        <f ca="1">IF(OR(INDEX($AI$2:$AI$1001,MATCH(ROWS($AH$2:AH674),$AH$2:$AH$1001,0),1)&gt;=100000,INDEX($AO$1005:$BQ$1005,1,MATCH(COLUMNS($AO$1006:AP1006),$AO$1006:$BQ$1006,0))&gt;=100000), " ",IF(INDEX($AO$2:$BQ$1001,MATCH(ROWS($AH$2:AH674),$AH$2:$AH$1001,0),MATCH(COLUMNS($AO$1006:AP1006),$AO$1006:$BQ$1006,0)), HYPERLINK("#",""), HYPERLINK(CONCATENATE("#Metadata!", ADDRESS(INDEX($AJ$2:$AJ$1001,MATCH(ROWS($AH$2:AH674),$AH$2:$AH$1001,0),0), INDEX($AO$1004:$BQ$1004,1,MATCH(COLUMNS($AO$1006:AP1006),$AO$1006:$BQ$1006,0)))),"Fix")))</f>
        <v>#N/A</v>
      </c>
      <c r="D674" s="5" t="e">
        <f ca="1">IF(OR(INDEX($AI$2:$AI$1001,MATCH(ROWS($AH$2:AH674),$AH$2:$AH$1001,0),1)&gt;=100000,INDEX($AO$1005:$BQ$1005,1,MATCH(COLUMNS($AO$1006:AQ1006),$AO$1006:$BQ$1006,0))&gt;=100000), " ",IF(INDEX($AO$2:$BQ$1001,MATCH(ROWS($AH$2:AH674),$AH$2:$AH$1001,0),MATCH(COLUMNS($AO$1006:AQ1006),$AO$1006:$BQ$1006,0)), HYPERLINK("#",""), HYPERLINK(CONCATENATE("#Metadata!", ADDRESS(INDEX($AJ$2:$AJ$1001,MATCH(ROWS($AH$2:AH674),$AH$2:$AH$1001,0),0), INDEX($AO$1004:$BQ$1004,1,MATCH(COLUMNS($AO$1006:AQ1006),$AO$1006:$BQ$1006,0)))),"Fix")))</f>
        <v>#N/A</v>
      </c>
      <c r="E674" s="5" t="e">
        <f ca="1">IF(OR(INDEX($AI$2:$AI$1001,MATCH(ROWS($AH$2:AH674),$AH$2:$AH$1001,0),1)&gt;=100000,INDEX($AO$1005:$BQ$1005,1,MATCH(COLUMNS($AO$1006:AR1006),$AO$1006:$BQ$1006,0))&gt;=100000), " ",IF(INDEX($AO$2:$BQ$1001,MATCH(ROWS($AH$2:AH674),$AH$2:$AH$1001,0),MATCH(COLUMNS($AO$1006:AR1006),$AO$1006:$BQ$1006,0)), HYPERLINK("#",""), HYPERLINK(CONCATENATE("#Metadata!", ADDRESS(INDEX($AJ$2:$AJ$1001,MATCH(ROWS($AH$2:AH674),$AH$2:$AH$1001,0),0), INDEX($AO$1004:$BQ$1004,1,MATCH(COLUMNS($AO$1006:AR1006),$AO$1006:$BQ$1006,0)))),"Fix")))</f>
        <v>#N/A</v>
      </c>
      <c r="F674" s="5" t="e">
        <f ca="1">IF(OR(INDEX($AI$2:$AI$1001,MATCH(ROWS($AH$2:AH674),$AH$2:$AH$1001,0),1)&gt;=100000,INDEX($AO$1005:$BQ$1005,1,MATCH(COLUMNS($AO$1006:AS1006),$AO$1006:$BQ$1006,0))&gt;=100000), " ",IF(INDEX($AO$2:$BQ$1001,MATCH(ROWS($AH$2:AH674),$AH$2:$AH$1001,0),MATCH(COLUMNS($AO$1006:AS1006),$AO$1006:$BQ$1006,0)), HYPERLINK("#",""), HYPERLINK(CONCATENATE("#Metadata!", ADDRESS(INDEX($AJ$2:$AJ$1001,MATCH(ROWS($AH$2:AH674),$AH$2:$AH$1001,0),0), INDEX($AO$1004:$BQ$1004,1,MATCH(COLUMNS($AO$1006:AS1006),$AO$1006:$BQ$1006,0)))),"Fix")))</f>
        <v>#N/A</v>
      </c>
      <c r="G674" s="5" t="e">
        <f ca="1">IF(OR(INDEX($AI$2:$AI$1001,MATCH(ROWS($AH$2:AH674),$AH$2:$AH$1001,0),1)&gt;=100000,INDEX($AO$1005:$BQ$1005,1,MATCH(COLUMNS($AO$1006:AT1006),$AO$1006:$BQ$1006,0))&gt;=100000), " ",IF(INDEX($AO$2:$BQ$1001,MATCH(ROWS($AH$2:AH674),$AH$2:$AH$1001,0),MATCH(COLUMNS($AO$1006:AT1006),$AO$1006:$BQ$1006,0)), HYPERLINK("#",""), HYPERLINK(CONCATENATE("#Metadata!", ADDRESS(INDEX($AJ$2:$AJ$1001,MATCH(ROWS($AH$2:AH674),$AH$2:$AH$1001,0),0), INDEX($AO$1004:$BQ$1004,1,MATCH(COLUMNS($AO$1006:AT1006),$AO$1006:$BQ$1006,0)))),"Fix")))</f>
        <v>#N/A</v>
      </c>
      <c r="H674" s="5" t="e">
        <f ca="1">IF(OR(INDEX($AI$2:$AI$1001,MATCH(ROWS($AH$2:AH674),$AH$2:$AH$1001,0),1)&gt;=100000,INDEX($AO$1005:$BQ$1005,1,MATCH(COLUMNS($AO$1006:AU1006),$AO$1006:$BQ$1006,0))&gt;=100000), " ",IF(INDEX($AO$2:$BQ$1001,MATCH(ROWS($AH$2:AH674),$AH$2:$AH$1001,0),MATCH(COLUMNS($AO$1006:AU1006),$AO$1006:$BQ$1006,0)), HYPERLINK("#",""), HYPERLINK(CONCATENATE("#Metadata!", ADDRESS(INDEX($AJ$2:$AJ$1001,MATCH(ROWS($AH$2:AH674),$AH$2:$AH$1001,0),0), INDEX($AO$1004:$BQ$1004,1,MATCH(COLUMNS($AO$1006:AU1006),$AO$1006:$BQ$1006,0)))),"Fix")))</f>
        <v>#N/A</v>
      </c>
      <c r="I674" s="5" t="e">
        <f ca="1">IF(OR(INDEX($AI$2:$AI$1001,MATCH(ROWS($AH$2:AH674),$AH$2:$AH$1001,0),1)&gt;=100000,INDEX($AO$1005:$BQ$1005,1,MATCH(COLUMNS($AO$1006:AV1006),$AO$1006:$BQ$1006,0))&gt;=100000), " ",IF(INDEX($AO$2:$BQ$1001,MATCH(ROWS($AH$2:AH674),$AH$2:$AH$1001,0),MATCH(COLUMNS($AO$1006:AV1006),$AO$1006:$BQ$1006,0)), HYPERLINK("#",""), HYPERLINK(CONCATENATE("#Metadata!", ADDRESS(INDEX($AJ$2:$AJ$1001,MATCH(ROWS($AH$2:AH674),$AH$2:$AH$1001,0),0), INDEX($AO$1004:$BQ$1004,1,MATCH(COLUMNS($AO$1006:AV1006),$AO$1006:$BQ$1006,0)))),"Fix")))</f>
        <v>#N/A</v>
      </c>
      <c r="J674" s="5" t="e">
        <f ca="1">IF(OR(INDEX($AI$2:$AI$1001,MATCH(ROWS($AH$2:AH674),$AH$2:$AH$1001,0),1)&gt;=100000,INDEX($AO$1005:$BQ$1005,1,MATCH(COLUMNS($AO$1006:AW1006),$AO$1006:$BQ$1006,0))&gt;=100000), " ",IF(INDEX($AO$2:$BQ$1001,MATCH(ROWS($AH$2:AH674),$AH$2:$AH$1001,0),MATCH(COLUMNS($AO$1006:AW1006),$AO$1006:$BQ$1006,0)), HYPERLINK("#",""), HYPERLINK(CONCATENATE("#Metadata!", ADDRESS(INDEX($AJ$2:$AJ$1001,MATCH(ROWS($AH$2:AH674),$AH$2:$AH$1001,0),0), INDEX($AO$1004:$BQ$1004,1,MATCH(COLUMNS($AO$1006:AW1006),$AO$1006:$BQ$1006,0)))),"Fix")))</f>
        <v>#N/A</v>
      </c>
      <c r="K674" s="5" t="e">
        <f ca="1">IF(OR(INDEX($AI$2:$AI$1001,MATCH(ROWS($AH$2:AH674),$AH$2:$AH$1001,0),1)&gt;=100000,INDEX($AO$1005:$BQ$1005,1,MATCH(COLUMNS($AO$1006:AX1006),$AO$1006:$BQ$1006,0))&gt;=100000), " ",IF(INDEX($AO$2:$BQ$1001,MATCH(ROWS($AH$2:AH674),$AH$2:$AH$1001,0),MATCH(COLUMNS($AO$1006:AX1006),$AO$1006:$BQ$1006,0)), HYPERLINK("#",""), HYPERLINK(CONCATENATE("#Metadata!", ADDRESS(INDEX($AJ$2:$AJ$1001,MATCH(ROWS($AH$2:AH674),$AH$2:$AH$1001,0),0), INDEX($AO$1004:$BQ$1004,1,MATCH(COLUMNS($AO$1006:AX1006),$AO$1006:$BQ$1006,0)))),"Fix")))</f>
        <v>#N/A</v>
      </c>
      <c r="L674" s="5" t="e">
        <f ca="1">IF(OR(INDEX($AI$2:$AI$1001,MATCH(ROWS($AH$2:AH674),$AH$2:$AH$1001,0),1)&gt;=100000,INDEX($AO$1005:$BQ$1005,1,MATCH(COLUMNS($AO$1006:AY1006),$AO$1006:$BQ$1006,0))&gt;=100000), " ",IF(INDEX($AO$2:$BQ$1001,MATCH(ROWS($AH$2:AH674),$AH$2:$AH$1001,0),MATCH(COLUMNS($AO$1006:AY1006),$AO$1006:$BQ$1006,0)), HYPERLINK("#",""), HYPERLINK(CONCATENATE("#Metadata!", ADDRESS(INDEX($AJ$2:$AJ$1001,MATCH(ROWS($AH$2:AH674),$AH$2:$AH$1001,0),0), INDEX($AO$1004:$BQ$1004,1,MATCH(COLUMNS($AO$1006:AY1006),$AO$1006:$BQ$1006,0)))),"Fix")))</f>
        <v>#N/A</v>
      </c>
      <c r="M674" s="5" t="e">
        <f ca="1">IF(OR(INDEX($AI$2:$AI$1001,MATCH(ROWS($AH$2:AH674),$AH$2:$AH$1001,0),1)&gt;=100000,INDEX($AO$1005:$BQ$1005,1,MATCH(COLUMNS($AO$1006:AZ1006),$AO$1006:$BQ$1006,0))&gt;=100000), " ",IF(INDEX($AO$2:$BQ$1001,MATCH(ROWS($AH$2:AH674),$AH$2:$AH$1001,0),MATCH(COLUMNS($AO$1006:AZ1006),$AO$1006:$BQ$1006,0)), HYPERLINK("#",""), HYPERLINK(CONCATENATE("#Metadata!", ADDRESS(INDEX($AJ$2:$AJ$1001,MATCH(ROWS($AH$2:AH674),$AH$2:$AH$1001,0),0), INDEX($AO$1004:$BQ$1004,1,MATCH(COLUMNS($AO$1006:AZ1006),$AO$1006:$BQ$1006,0)))),"Fix")))</f>
        <v>#N/A</v>
      </c>
      <c r="N674" s="5" t="e">
        <f ca="1">IF(OR(INDEX($AI$2:$AI$1001,MATCH(ROWS($AH$2:AH674),$AH$2:$AH$1001,0),1)&gt;=100000,INDEX($AO$1005:$BQ$1005,1,MATCH(COLUMNS($AO$1006:BA1006),$AO$1006:$BQ$1006,0))&gt;=100000), " ",IF(INDEX($AO$2:$BQ$1001,MATCH(ROWS($AH$2:AH674),$AH$2:$AH$1001,0),MATCH(COLUMNS($AO$1006:BA1006),$AO$1006:$BQ$1006,0)), HYPERLINK("#",""), HYPERLINK(CONCATENATE("#Metadata!", ADDRESS(INDEX($AJ$2:$AJ$1001,MATCH(ROWS($AH$2:AH674),$AH$2:$AH$1001,0),0), INDEX($AO$1004:$BQ$1004,1,MATCH(COLUMNS($AO$1006:BA1006),$AO$1006:$BQ$1006,0)))),"Fix")))</f>
        <v>#N/A</v>
      </c>
      <c r="O674" s="5" t="e">
        <f ca="1">IF(OR(INDEX($AI$2:$AI$1001,MATCH(ROWS($AH$2:AH674),$AH$2:$AH$1001,0),1)&gt;=100000,INDEX($AO$1005:$BQ$1005,1,MATCH(COLUMNS($AO$1006:BB1006),$AO$1006:$BQ$1006,0))&gt;=100000), " ",IF(INDEX($AO$2:$BQ$1001,MATCH(ROWS($AH$2:AH674),$AH$2:$AH$1001,0),MATCH(COLUMNS($AO$1006:BB1006),$AO$1006:$BQ$1006,0)), HYPERLINK("#",""), HYPERLINK(CONCATENATE("#Metadata!", ADDRESS(INDEX($AJ$2:$AJ$1001,MATCH(ROWS($AH$2:AH674),$AH$2:$AH$1001,0),0), INDEX($AO$1004:$BQ$1004,1,MATCH(COLUMNS($AO$1006:BB1006),$AO$1006:$BQ$1006,0)))),"Fix")))</f>
        <v>#N/A</v>
      </c>
      <c r="P674" s="5" t="e">
        <f ca="1">IF(OR(INDEX($AI$2:$AI$1001,MATCH(ROWS($AH$2:AH674),$AH$2:$AH$1001,0),1)&gt;=100000,INDEX($AO$1005:$BQ$1005,1,MATCH(COLUMNS($AO$1006:BC1006),$AO$1006:$BQ$1006,0))&gt;=100000), " ",IF(INDEX($AO$2:$BQ$1001,MATCH(ROWS($AH$2:AH674),$AH$2:$AH$1001,0),MATCH(COLUMNS($AO$1006:BC1006),$AO$1006:$BQ$1006,0)), HYPERLINK("#",""), HYPERLINK(CONCATENATE("#Metadata!", ADDRESS(INDEX($AJ$2:$AJ$1001,MATCH(ROWS($AH$2:AH674),$AH$2:$AH$1001,0),0), INDEX($AO$1004:$BQ$1004,1,MATCH(COLUMNS($AO$1006:BC1006),$AO$1006:$BQ$1006,0)))),"Fix")))</f>
        <v>#N/A</v>
      </c>
      <c r="Q674" s="5" t="e">
        <f ca="1">IF(OR(INDEX($AI$2:$AI$1001,MATCH(ROWS($AH$2:AH674),$AH$2:$AH$1001,0),1)&gt;=100000,INDEX($AO$1005:$BQ$1005,1,MATCH(COLUMNS($AO$1006:BD1006),$AO$1006:$BQ$1006,0))&gt;=100000), " ",IF(INDEX($AO$2:$BQ$1001,MATCH(ROWS($AH$2:AH674),$AH$2:$AH$1001,0),MATCH(COLUMNS($AO$1006:BD1006),$AO$1006:$BQ$1006,0)), HYPERLINK("#",""), HYPERLINK(CONCATENATE("#Metadata!", ADDRESS(INDEX($AJ$2:$AJ$1001,MATCH(ROWS($AH$2:AH674),$AH$2:$AH$1001,0),0), INDEX($AO$1004:$BQ$1004,1,MATCH(COLUMNS($AO$1006:BD1006),$AO$1006:$BQ$1006,0)))),"Fix")))</f>
        <v>#N/A</v>
      </c>
      <c r="R674" s="5" t="e">
        <f ca="1">IF(OR(INDEX($AI$2:$AI$1001,MATCH(ROWS($AH$2:AH674),$AH$2:$AH$1001,0),1)&gt;=100000,INDEX($AO$1005:$BQ$1005,1,MATCH(COLUMNS($AO$1006:BE1006),$AO$1006:$BQ$1006,0))&gt;=100000), " ",IF(INDEX($AO$2:$BQ$1001,MATCH(ROWS($AH$2:AH674),$AH$2:$AH$1001,0),MATCH(COLUMNS($AO$1006:BE1006),$AO$1006:$BQ$1006,0)), HYPERLINK("#",""), HYPERLINK(CONCATENATE("#Metadata!", ADDRESS(INDEX($AJ$2:$AJ$1001,MATCH(ROWS($AH$2:AH674),$AH$2:$AH$1001,0),0), INDEX($AO$1004:$BQ$1004,1,MATCH(COLUMNS($AO$1006:BE1006),$AO$1006:$BQ$1006,0)))),"Fix")))</f>
        <v>#N/A</v>
      </c>
      <c r="S674" s="5" t="e">
        <f ca="1">IF(OR(INDEX($AI$2:$AI$1001,MATCH(ROWS($AH$2:AH674),$AH$2:$AH$1001,0),1)&gt;=100000,INDEX($AO$1005:$BQ$1005,1,MATCH(COLUMNS($AO$1006:BF1006),$AO$1006:$BQ$1006,0))&gt;=100000), " ",IF(INDEX($AO$2:$BQ$1001,MATCH(ROWS($AH$2:AH674),$AH$2:$AH$1001,0),MATCH(COLUMNS($AO$1006:BF1006),$AO$1006:$BQ$1006,0)), HYPERLINK("#",""), HYPERLINK(CONCATENATE("#Metadata!", ADDRESS(INDEX($AJ$2:$AJ$1001,MATCH(ROWS($AH$2:AH674),$AH$2:$AH$1001,0),0), INDEX($AO$1004:$BQ$1004,1,MATCH(COLUMNS($AO$1006:BF1006),$AO$1006:$BQ$1006,0)))),"Fix")))</f>
        <v>#N/A</v>
      </c>
      <c r="T674" s="5" t="e">
        <f ca="1">IF(OR(INDEX($AI$2:$AI$1001,MATCH(ROWS($AH$2:AH674),$AH$2:$AH$1001,0),1)&gt;=100000,INDEX($AO$1005:$BQ$1005,1,MATCH(COLUMNS($AO$1006:BG1006),$AO$1006:$BQ$1006,0))&gt;=100000), " ",IF(INDEX($AO$2:$BQ$1001,MATCH(ROWS($AH$2:AH674),$AH$2:$AH$1001,0),MATCH(COLUMNS($AO$1006:BG1006),$AO$1006:$BQ$1006,0)), HYPERLINK("#",""), HYPERLINK(CONCATENATE("#Metadata!", ADDRESS(INDEX($AJ$2:$AJ$1001,MATCH(ROWS($AH$2:AH674),$AH$2:$AH$1001,0),0), INDEX($AO$1004:$BQ$1004,1,MATCH(COLUMNS($AO$1006:BG1006),$AO$1006:$BQ$1006,0)))),"Fix")))</f>
        <v>#N/A</v>
      </c>
      <c r="U674" s="5" t="e">
        <f ca="1">IF(OR(INDEX($AI$2:$AI$1001,MATCH(ROWS($AH$2:AH674),$AH$2:$AH$1001,0),1)&gt;=100000,INDEX($AO$1005:$BQ$1005,1,MATCH(COLUMNS($AO$1006:BH1006),$AO$1006:$BQ$1006,0))&gt;=100000), " ",IF(INDEX($AO$2:$BQ$1001,MATCH(ROWS($AH$2:AH674),$AH$2:$AH$1001,0),MATCH(COLUMNS($AO$1006:BH1006),$AO$1006:$BQ$1006,0)), HYPERLINK("#",""), HYPERLINK(CONCATENATE("#Metadata!", ADDRESS(INDEX($AJ$2:$AJ$1001,MATCH(ROWS($AH$2:AH674),$AH$2:$AH$1001,0),0), INDEX($AO$1004:$BQ$1004,1,MATCH(COLUMNS($AO$1006:BH1006),$AO$1006:$BQ$1006,0)))),"Fix")))</f>
        <v>#N/A</v>
      </c>
      <c r="V674" s="5" t="e">
        <f ca="1">IF(OR(INDEX($AI$2:$AI$1001,MATCH(ROWS($AH$2:AH674),$AH$2:$AH$1001,0),1)&gt;=100000,INDEX($AO$1005:$BQ$1005,1,MATCH(COLUMNS($AO$1006:BI1006),$AO$1006:$BQ$1006,0))&gt;=100000), " ",IF(INDEX($AO$2:$BQ$1001,MATCH(ROWS($AH$2:AH674),$AH$2:$AH$1001,0),MATCH(COLUMNS($AO$1006:BI1006),$AO$1006:$BQ$1006,0)), HYPERLINK("#",""), HYPERLINK(CONCATENATE("#Metadata!", ADDRESS(INDEX($AJ$2:$AJ$1001,MATCH(ROWS($AH$2:AH674),$AH$2:$AH$1001,0),0), INDEX($AO$1004:$BQ$1004,1,MATCH(COLUMNS($AO$1006:BI1006),$AO$1006:$BQ$1006,0)))),"Fix")))</f>
        <v>#N/A</v>
      </c>
      <c r="W674" s="5" t="e">
        <f ca="1">IF(OR(INDEX($AI$2:$AI$1001,MATCH(ROWS($AH$2:AH674),$AH$2:$AH$1001,0),1)&gt;=100000,INDEX($AO$1005:$BQ$1005,1,MATCH(COLUMNS($AO$1006:BJ1006),$AO$1006:$BQ$1006,0))&gt;=100000), " ",IF(INDEX($AO$2:$BQ$1001,MATCH(ROWS($AH$2:AH674),$AH$2:$AH$1001,0),MATCH(COLUMNS($AO$1006:BJ1006),$AO$1006:$BQ$1006,0)), HYPERLINK("#",""), HYPERLINK(CONCATENATE("#Metadata!", ADDRESS(INDEX($AJ$2:$AJ$1001,MATCH(ROWS($AH$2:AH674),$AH$2:$AH$1001,0),0), INDEX($AO$1004:$BQ$1004,1,MATCH(COLUMNS($AO$1006:BJ1006),$AO$1006:$BQ$1006,0)))),"Fix")))</f>
        <v>#N/A</v>
      </c>
      <c r="X674" s="5" t="e">
        <f ca="1">IF(OR(INDEX($AI$2:$AI$1001,MATCH(ROWS($AH$2:AH674),$AH$2:$AH$1001,0),1)&gt;=100000,INDEX($AO$1005:$BQ$1005,1,MATCH(COLUMNS($AO$1006:BK1006),$AO$1006:$BQ$1006,0))&gt;=100000), " ",IF(INDEX($AO$2:$BQ$1001,MATCH(ROWS($AH$2:AH674),$AH$2:$AH$1001,0),MATCH(COLUMNS($AO$1006:BK1006),$AO$1006:$BQ$1006,0)), HYPERLINK("#",""), HYPERLINK(CONCATENATE("#Metadata!", ADDRESS(INDEX($AJ$2:$AJ$1001,MATCH(ROWS($AH$2:AH674),$AH$2:$AH$1001,0),0), INDEX($AO$1004:$BQ$1004,1,MATCH(COLUMNS($AO$1006:BK1006),$AO$1006:$BQ$1006,0)))),"Fix")))</f>
        <v>#N/A</v>
      </c>
      <c r="Y674" s="5" t="e">
        <f ca="1">IF(OR(INDEX($AI$2:$AI$1001,MATCH(ROWS($AH$2:AH674),$AH$2:$AH$1001,0),1)&gt;=100000,INDEX($AO$1005:$BQ$1005,1,MATCH(COLUMNS($AO$1006:BL1006),$AO$1006:$BQ$1006,0))&gt;=100000), " ",IF(INDEX($AO$2:$BQ$1001,MATCH(ROWS($AH$2:AH674),$AH$2:$AH$1001,0),MATCH(COLUMNS($AO$1006:BL1006),$AO$1006:$BQ$1006,0)), HYPERLINK("#",""), HYPERLINK(CONCATENATE("#Metadata!", ADDRESS(INDEX($AJ$2:$AJ$1001,MATCH(ROWS($AH$2:AH674),$AH$2:$AH$1001,0),0), INDEX($AO$1004:$BQ$1004,1,MATCH(COLUMNS($AO$1006:BL1006),$AO$1006:$BQ$1006,0)))),"Fix")))</f>
        <v>#N/A</v>
      </c>
      <c r="Z674" s="5" t="e">
        <f ca="1">IF(OR(INDEX($AI$2:$AI$1001,MATCH(ROWS($AH$2:AH674),$AH$2:$AH$1001,0),1)&gt;=100000,INDEX($AO$1005:$BQ$1005,1,MATCH(COLUMNS($AO$1006:BM1006),$AO$1006:$BQ$1006,0))&gt;=100000), " ",IF(INDEX($AO$2:$BQ$1001,MATCH(ROWS($AH$2:AH674),$AH$2:$AH$1001,0),MATCH(COLUMNS($AO$1006:BM1006),$AO$1006:$BQ$1006,0)), HYPERLINK("#",""), HYPERLINK(CONCATENATE("#Metadata!", ADDRESS(INDEX($AJ$2:$AJ$1001,MATCH(ROWS($AH$2:AH674),$AH$2:$AH$1001,0),0), INDEX($AO$1004:$BQ$1004,1,MATCH(COLUMNS($AO$1006:BM1006),$AO$1006:$BQ$1006,0)))),"Fix")))</f>
        <v>#N/A</v>
      </c>
      <c r="AA674" s="5" t="e">
        <f ca="1">IF(OR(INDEX($AI$2:$AI$1001,MATCH(ROWS($AH$2:AH674),$AH$2:$AH$1001,0),1)&gt;=100000,INDEX($AO$1005:$BQ$1005,1,MATCH(COLUMNS($AO$1006:BN1006),$AO$1006:$BQ$1006,0))&gt;=100000), " ",IF(INDEX($AO$2:$BQ$1001,MATCH(ROWS($AH$2:AH674),$AH$2:$AH$1001,0),MATCH(COLUMNS($AO$1006:BN1006),$AO$1006:$BQ$1006,0)), HYPERLINK("#",""), HYPERLINK(CONCATENATE("#Metadata!", ADDRESS(INDEX($AJ$2:$AJ$1001,MATCH(ROWS($AH$2:AH674),$AH$2:$AH$1001,0),0), INDEX($AO$1004:$BQ$1004,1,MATCH(COLUMNS($AO$1006:BN1006),$AO$1006:$BQ$1006,0)))),"Fix")))</f>
        <v>#N/A</v>
      </c>
      <c r="AB674" s="5" t="e">
        <f ca="1">IF(OR(INDEX($AI$2:$AI$1001,MATCH(ROWS($AH$2:AH674),$AH$2:$AH$1001,0),1)&gt;=100000,INDEX($AO$1005:$BQ$1005,1,MATCH(COLUMNS($AO$1006:BO1006),$AO$1006:$BQ$1006,0))&gt;=100000), " ",IF(INDEX($AO$2:$BQ$1001,MATCH(ROWS($AH$2:AH674),$AH$2:$AH$1001,0),MATCH(COLUMNS($AO$1006:BO1006),$AO$1006:$BQ$1006,0)), HYPERLINK("#",""), HYPERLINK(CONCATENATE("#Metadata!", ADDRESS(INDEX($AJ$2:$AJ$1001,MATCH(ROWS($AH$2:AH674),$AH$2:$AH$1001,0),0), INDEX($AO$1004:$BQ$1004,1,MATCH(COLUMNS($AO$1006:BO1006),$AO$1006:$BQ$1006,0)))),"Fix")))</f>
        <v>#N/A</v>
      </c>
      <c r="AC674" s="5" t="e">
        <f ca="1">IF(OR(INDEX($AI$2:$AI$1001,MATCH(ROWS($AH$2:AH674),$AH$2:$AH$1001,0),1)&gt;=100000,INDEX($AO$1005:$BQ$1005,1,MATCH(COLUMNS($AO$1006:BP1006),$AO$1006:$BQ$1006,0))&gt;=100000), " ",IF(INDEX($AO$2:$BQ$1001,MATCH(ROWS($AH$2:AH674),$AH$2:$AH$1001,0),MATCH(COLUMNS($AO$1006:BP1006),$AO$1006:$BQ$1006,0)), HYPERLINK("#",""), HYPERLINK(CONCATENATE("#Metadata!", ADDRESS(INDEX($AJ$2:$AJ$1001,MATCH(ROWS($AH$2:AH674),$AH$2:$AH$1001,0),0), INDEX($AO$1004:$BQ$1004,1,MATCH(COLUMNS($AO$1006:BP1006),$AO$1006:$BQ$1006,0)))),"Fix")))</f>
        <v>#N/A</v>
      </c>
      <c r="AD674" s="5" t="e">
        <f ca="1">IF(OR(INDEX($AI$2:$AI$1001,MATCH(ROWS($AH$2:AH674),$AH$2:$AH$1001,0),1)&gt;=100000,INDEX($AO$1005:$BQ$1005,1,MATCH(COLUMNS($AO$1006:BQ1006),$AO$1006:$BQ$1006,0))&gt;=100000), " ",IF(INDEX($AO$2:$BQ$1001,MATCH(ROWS($AH$2:AH674),$AH$2:$AH$1001,0),MATCH(COLUMNS($AO$1006:BQ1006),$AO$1006:$BQ$1006,0)), HYPERLINK("#",""), HYPERLINK(CONCATENATE("#Metadata!", ADDRESS(INDEX($AJ$2:$AJ$1001,MATCH(ROWS($AH$2:AH674),$AH$2:$AH$1001,0),0), INDEX($AO$1004:$BQ$1004,1,MATCH(COLUMNS($AO$1006:BQ1006),$AO$1006:$BQ$1006,0)))),"Fix")))</f>
        <v>#REF!</v>
      </c>
      <c r="AH674">
        <f ca="1"/>
        <v>671</v>
      </c>
      <c r="AI674">
        <v>100674</v>
      </c>
      <c r="AJ674">
        <v>674</v>
      </c>
      <c r="AK674" t="b">
        <f t="shared" si="10"/>
        <v>1</v>
      </c>
      <c r="AL674" t="b">
        <f>COUNTBLANK(Metadata!B674:AD674)=COLUMNS(Metadata!B674:AD674)</f>
        <v>1</v>
      </c>
      <c r="AM674" t="str">
        <v/>
      </c>
      <c r="AO674" t="b">
        <f ca="1">AND(IF(Metadata!B674="",FALSE,TRUE),COUNTIF(Metadata!B:B, Metadata!B674) = 1,NOT(ISERROR(SUMPRODUCT(SEARCH(MID(Metadata!B674,ROW(INDIRECT("1:"&amp;LEN(Metadata!B674))), 1),"0123456789abcdefghijklmnopqrstuvwxyzABCDEFGHIJKLMNOPQRSTUVWXYZ.")))))</f>
        <v>0</v>
      </c>
      <c r="AP674" t="b">
        <f>IF(Metadata!C674="",FALSE,TRUE)</f>
        <v>0</v>
      </c>
      <c r="AQ674" t="b">
        <f>IF(Metadata!D674="",FALSE,TRUE)</f>
        <v>0</v>
      </c>
      <c r="AR674" t="b">
        <f ca="1">OR(AND(IF(Metadata!E674="",FALSE,TRUE),OR(EXACT(Metadata!E674,"not collected"),EXACT(Metadata!E674,"not provided"),EXACT(Metadata!E674,"restricted access"))),AND(IF(Metadata!E674="",FALSE,TRUE),AND(AND(IFERROR(INT(LEFT(Metadata!E674,4))&gt;1900,FALSE),IFERROR(INT(LEFT(Metadata!E674,4))&lt;=YEAR(NOW()),FALSE)), OR(MID(Metadata!E674,5,1)="", AND(AND(MID(Metadata!E674,5,1)="-",IFERROR(INT(MID(Metadata!E674,6,1))&gt;=0,FALSE),IFERROR(INT(MID(Metadata!E674,6,1))&lt;=1,FALSE),NOT(MID(Metadata!E674,7,1)=""),IFERROR(INT(MID(Metadata!E674,6,2))&gt;=1,FALSE),IFERROR(INT(MID(Metadata!E674,6,2))&lt;=12,FALSE)), OR(MID(Metadata!E674,8,1)="", AND(AND(MID(Metadata!E674,8,1)="-",IFERROR(INT(MID(Metadata!E674,9,1))&gt;=0,FALSE),IFERROR(INT(MID(Metadata!E674,9,1))&lt;=3,FALSE),NOT(MID(Metadata!E674,10,1)=""),IFERROR(INT(MID(Metadata!E674,9,2))&gt;=1,FALSE),IFERROR(INT(MID(Metadata!E674,9,2))&lt;=31,FALSE)), OR(MID(Metadata!E674,11,1)="", AND(AND(MID(Metadata!E674,11,1)=" ",IFERROR(INT(MID(Metadata!E674,12,1))&gt;=0,FALSE),IFERROR(INT(MID(Metadata!E674,12,1))&lt;=2,FALSE),NOT(MID(Metadata!E674,13,1)=""),IFERROR(INT(MID(Metadata!E674,12,2))&gt;=0,FALSE),IFERROR(INT(MID(Metadata!E674,12,2))&lt;=23,FALSE)), OR(MID(Metadata!E674,14,1)="", AND(AND(MID(Metadata!E674,14,1)=":",IFERROR(INT(MID(Metadata!E674,15,1))&gt;=0,FALSE),IFERROR(INT(MID(Metadata!E674,15,1))&lt;=5,FALSE),NOT(MID(Metadata!E674,16,1)=""),IFERROR(INT(MID(Metadata!E674,15,2))&gt;=0,FALSE),IFERROR(INT(MID(Metadata!E674,15,2))&lt;=59,FALSE)), OR(MID(Metadata!E674,17,1)="", AND(AND(MID(Metadata!E674,17,1)=":",IFERROR(INT(MID(Metadata!E674,18,1))&gt;=0,FALSE),IFERROR(INT(MID(Metadata!E674,18,1))&lt;=5,FALSE),NOT(MID(Metadata!E674,19,1)=""),IFERROR(INT(MID(Metadata!E674,18,2))&gt;=0,FALSE),IFERROR(INT(MID(Metadata!E674,18,2))&lt;=59,FALSE)), LEN(Metadata!E674)&lt;=19)))))))))))))</f>
        <v>0</v>
      </c>
      <c r="AS674" t="b">
        <f>IF(Metadata!F674="",FALSE,TRUE)</f>
        <v>0</v>
      </c>
      <c r="AT674" t="b">
        <f>OR(AND(IF(Metadata!G674="",FALSE,TRUE),OR(EXACT(Metadata!G674,"not collected"),EXACT(Metadata!G674,"not provided"))),AND(IF(Metadata!G674="",FALSE,TRUE),OR(EXACT(Metadata!G674,"TRUE"),EXACT(Metadata!G674,"FALSE"))))</f>
        <v>0</v>
      </c>
      <c r="AU674" t="b">
        <f>OR(AND(IF(Metadata!H674="",FALSE,TRUE),OR(EXACT(Metadata!H674,"not collected"),EXACT(Metadata!H674,"not provided"),EXACT(Metadata!H674,"restricted access"))),AND(IF(Metadata!H674="",FALSE,ISNUMBER(VALUE(Metadata!H674))),Metadata!H674&gt;=-413))</f>
        <v>0</v>
      </c>
      <c r="AV674" t="b">
        <f>AND(IF(Metadata!I674="",FALSE,TRUE),EXACT(Metadata!I674,"meters"))</f>
        <v>0</v>
      </c>
      <c r="AW674" t="b">
        <f>AND(IF(Metadata!J674="",FALSE,TRUE),EXACT(Metadata!J674,"free-living"))</f>
        <v>0</v>
      </c>
      <c r="AX674" t="b">
        <f>AND(IF(Metadata!K674="",FALSE,TRUE),OR(EXACT(Metadata!K674,"saline"),EXACT(Metadata!K674,"non-saline")))</f>
        <v>0</v>
      </c>
      <c r="AY674" t="b">
        <f>AND(IF(Metadata!L674="",FALSE,TRUE),OR(EXACT(Metadata!L674,"sub-surface (non-saline)"),EXACT(Metadata!L674,"surface (non-saline)"),EXACT(Metadata!L674,"water (non-saline)"),EXACT(Metadata!L674,"soil (non-saline)"),EXACT(Metadata!L674,"aerosol (non-saline)"),EXACT(Metadata!L674,"sediment (non-saline)"),EXACT(Metadata!L674,"surface (saline)"),EXACT(Metadata!L674,"water (saline)"),EXACT(Metadata!L674,"hypersaline (saline)"),EXACT(Metadata!L674,"aerosol (saline)"),EXACT(Metadata!L674,"sediment (saline)")))</f>
        <v>0</v>
      </c>
      <c r="AZ674" t="b">
        <f>IF(Metadata!M674="",FALSE,TRUE)</f>
        <v>0</v>
      </c>
      <c r="BA674" t="b">
        <f>IF(Metadata!N674="",FALSE,TRUE)</f>
        <v>0</v>
      </c>
      <c r="BB674" t="b">
        <f>IF(Metadata!O674="",FALSE,TRUE)</f>
        <v>0</v>
      </c>
      <c r="BC674" t="b">
        <f>AND(IF(Metadata!P674="",FALSE,TRUE),OR(EXACT(Metadata!P674,"air"),EXACT(Metadata!P674,"microbial mat/biofilm"),EXACT(Metadata!P674,"misc environment"),EXACT(Metadata!P674,"sediment"),EXACT(Metadata!P674,"soil"),EXACT(Metadata!P674,"wastewater/sludge"),EXACT(Metadata!P674,"water")))</f>
        <v>0</v>
      </c>
      <c r="BD674" t="b">
        <f>IF(Metadata!Q674="",FALSE,TRUE)</f>
        <v>0</v>
      </c>
      <c r="BE674" t="b">
        <f>IF(Metadata!R674="",FALSE,TRUE)</f>
        <v>0</v>
      </c>
      <c r="BF674" t="b">
        <f>OR(AND(IF(Metadata!S674="",FALSE,TRUE),OR(EXACT(Metadata!S674,"not collected"),EXACT(Metadata!S674,"not provided"),EXACT(Metadata!S674,"restricted access"))),AND(IF(Metadata!S674="",FALSE,ISNUMBER(VALUE(Metadata!S674))),Metadata!S674&gt;=-90,Metadata!S674&lt;=90))</f>
        <v>0</v>
      </c>
      <c r="BG674" t="b">
        <f>AND(IF(Metadata!T674="",FALSE,TRUE),EXACT(Metadata!T674,"Decimal degrees"))</f>
        <v>0</v>
      </c>
      <c r="BH674" t="b">
        <f>OR(AND(IF(Metadata!U674="",FALSE,TRUE),OR(EXACT(Metadata!U674,"not applicable"),EXACT(Metadata!U674,"not collected"))),IF(Metadata!U674="",FALSE,TRUE))</f>
        <v>0</v>
      </c>
      <c r="BI674" t="b">
        <f>OR(AND(IF(Metadata!V674="",FALSE,TRUE),OR(EXACT(Metadata!V674,"not collected"),EXACT(Metadata!V674,"not provided"),EXACT(Metadata!V674,"restricted access"))),AND(IF(Metadata!V674="",FALSE,ISNUMBER(VALUE(Metadata!V674))),Metadata!V674&gt;=-180,Metadata!V674&lt;=180))</f>
        <v>0</v>
      </c>
      <c r="BJ674" t="b">
        <f>AND(IF(Metadata!W674="",FALSE,TRUE),EXACT(Metadata!W674,"Decimal degrees"))</f>
        <v>0</v>
      </c>
      <c r="BK674" t="b">
        <f>IF(Metadata!X674="",FALSE,TRUE)</f>
        <v>0</v>
      </c>
      <c r="BL674" t="b">
        <f>OR(AND(IF(Metadata!Y674="",FALSE,TRUE),OR(EXACT(Metadata!Y674,"not collected"),EXACT(Metadata!Y674,"not provided"),EXACT(Metadata!Y674,"restricted access"))),AND(IF(Metadata!Y674="",FALSE,TRUE),OR(EXACT(Metadata!Y674,"TRUE"),EXACT(Metadata!Y674,"FALSE"))))</f>
        <v>0</v>
      </c>
      <c r="BM674" t="b">
        <f>OR(AND(IF(Metadata!Z674="",FALSE,TRUE),EXACT(Metadata!Z674,"not applicable")),AND(IF(Metadata!Z674="",FALSE,TRUE),OR(EXACT(Metadata!Z674,"beer"),EXACT(Metadata!Z674,"cheese"),EXACT(Metadata!Z674,"fresh water"),EXACT(Metadata!Z674,"marine sediment"),EXACT(Metadata!Z674,"sea water"),EXACT(Metadata!Z674,"sediment"),EXACT(Metadata!Z674,"soil"),EXACT(Metadata!Z674,"waste water"))))</f>
        <v>0</v>
      </c>
      <c r="BN674" t="b">
        <f>AND(IF(Metadata!AA674="",FALSE,TRUE),EXACT(Metadata!AA674,"metagenome"))</f>
        <v>0</v>
      </c>
      <c r="BO674" t="b">
        <f>AND(IF(Metadata!AB674="",FALSE,TRUE),EXACT(Metadata!AB674,"256318"))</f>
        <v>0</v>
      </c>
      <c r="BP674" t="b">
        <f>IF(Metadata!AC674="",FALSE,TRUE)</f>
        <v>0</v>
      </c>
      <c r="BQ674" t="b">
        <f>IF(Metadata!AD674="",FALSE,TRUE)</f>
        <v>0</v>
      </c>
    </row>
    <row r="675" spans="1:69" x14ac:dyDescent="0.2">
      <c r="A675" s="4" t="e">
        <f ca="1">IF(B675=" "," ",HYPERLINK(CONCATENATE("#metadata!",ADDRESS(INDEX($AJ$2:$AJ$1001,MATCH(ROWS($AH$2:AH675),$AH$2:$AH$1001,0),0),2)),INDEX($AM$2:$AM$1001,MATCH(ROWS($AH$2:AH675),$AH$2:$AH$1001,0),0)))</f>
        <v>#N/A</v>
      </c>
      <c r="B675" s="5" t="e">
        <f ca="1">IF(OR(INDEX($AI$2:$AI$1001,MATCH(ROWS($AH$2:AH675),$AH$2:$AH$1001,0),1)&gt;=100000,INDEX($AO$1005:$BQ$1005,1,MATCH(COLUMNS($AO$1006:AO1006),$AO$1006:$BQ$1006,0))&gt;=100000), " ",IF(INDEX($AO$2:$BQ$1001,MATCH(ROWS($AH$2:AH675),$AH$2:$AH$1001,0),MATCH(COLUMNS($AO$1006:AO1006),$AO$1006:$BQ$1006,0)), HYPERLINK("#",""), HYPERLINK(CONCATENATE("#Metadata!", ADDRESS(INDEX($AJ$2:$AJ$1001,MATCH(ROWS($AH$2:AH675),$AH$2:$AH$1001,0),0), INDEX($AO$1004:$BQ$1004,1,MATCH(COLUMNS($AO$1006:AO1006),$AO$1006:$BQ$1006,0)))),"Fix")))</f>
        <v>#N/A</v>
      </c>
      <c r="C675" s="5" t="e">
        <f ca="1">IF(OR(INDEX($AI$2:$AI$1001,MATCH(ROWS($AH$2:AH675),$AH$2:$AH$1001,0),1)&gt;=100000,INDEX($AO$1005:$BQ$1005,1,MATCH(COLUMNS($AO$1006:AP1006),$AO$1006:$BQ$1006,0))&gt;=100000), " ",IF(INDEX($AO$2:$BQ$1001,MATCH(ROWS($AH$2:AH675),$AH$2:$AH$1001,0),MATCH(COLUMNS($AO$1006:AP1006),$AO$1006:$BQ$1006,0)), HYPERLINK("#",""), HYPERLINK(CONCATENATE("#Metadata!", ADDRESS(INDEX($AJ$2:$AJ$1001,MATCH(ROWS($AH$2:AH675),$AH$2:$AH$1001,0),0), INDEX($AO$1004:$BQ$1004,1,MATCH(COLUMNS($AO$1006:AP1006),$AO$1006:$BQ$1006,0)))),"Fix")))</f>
        <v>#N/A</v>
      </c>
      <c r="D675" s="5" t="e">
        <f ca="1">IF(OR(INDEX($AI$2:$AI$1001,MATCH(ROWS($AH$2:AH675),$AH$2:$AH$1001,0),1)&gt;=100000,INDEX($AO$1005:$BQ$1005,1,MATCH(COLUMNS($AO$1006:AQ1006),$AO$1006:$BQ$1006,0))&gt;=100000), " ",IF(INDEX($AO$2:$BQ$1001,MATCH(ROWS($AH$2:AH675),$AH$2:$AH$1001,0),MATCH(COLUMNS($AO$1006:AQ1006),$AO$1006:$BQ$1006,0)), HYPERLINK("#",""), HYPERLINK(CONCATENATE("#Metadata!", ADDRESS(INDEX($AJ$2:$AJ$1001,MATCH(ROWS($AH$2:AH675),$AH$2:$AH$1001,0),0), INDEX($AO$1004:$BQ$1004,1,MATCH(COLUMNS($AO$1006:AQ1006),$AO$1006:$BQ$1006,0)))),"Fix")))</f>
        <v>#N/A</v>
      </c>
      <c r="E675" s="5" t="e">
        <f ca="1">IF(OR(INDEX($AI$2:$AI$1001,MATCH(ROWS($AH$2:AH675),$AH$2:$AH$1001,0),1)&gt;=100000,INDEX($AO$1005:$BQ$1005,1,MATCH(COLUMNS($AO$1006:AR1006),$AO$1006:$BQ$1006,0))&gt;=100000), " ",IF(INDEX($AO$2:$BQ$1001,MATCH(ROWS($AH$2:AH675),$AH$2:$AH$1001,0),MATCH(COLUMNS($AO$1006:AR1006),$AO$1006:$BQ$1006,0)), HYPERLINK("#",""), HYPERLINK(CONCATENATE("#Metadata!", ADDRESS(INDEX($AJ$2:$AJ$1001,MATCH(ROWS($AH$2:AH675),$AH$2:$AH$1001,0),0), INDEX($AO$1004:$BQ$1004,1,MATCH(COLUMNS($AO$1006:AR1006),$AO$1006:$BQ$1006,0)))),"Fix")))</f>
        <v>#N/A</v>
      </c>
      <c r="F675" s="5" t="e">
        <f ca="1">IF(OR(INDEX($AI$2:$AI$1001,MATCH(ROWS($AH$2:AH675),$AH$2:$AH$1001,0),1)&gt;=100000,INDEX($AO$1005:$BQ$1005,1,MATCH(COLUMNS($AO$1006:AS1006),$AO$1006:$BQ$1006,0))&gt;=100000), " ",IF(INDEX($AO$2:$BQ$1001,MATCH(ROWS($AH$2:AH675),$AH$2:$AH$1001,0),MATCH(COLUMNS($AO$1006:AS1006),$AO$1006:$BQ$1006,0)), HYPERLINK("#",""), HYPERLINK(CONCATENATE("#Metadata!", ADDRESS(INDEX($AJ$2:$AJ$1001,MATCH(ROWS($AH$2:AH675),$AH$2:$AH$1001,0),0), INDEX($AO$1004:$BQ$1004,1,MATCH(COLUMNS($AO$1006:AS1006),$AO$1006:$BQ$1006,0)))),"Fix")))</f>
        <v>#N/A</v>
      </c>
      <c r="G675" s="5" t="e">
        <f ca="1">IF(OR(INDEX($AI$2:$AI$1001,MATCH(ROWS($AH$2:AH675),$AH$2:$AH$1001,0),1)&gt;=100000,INDEX($AO$1005:$BQ$1005,1,MATCH(COLUMNS($AO$1006:AT1006),$AO$1006:$BQ$1006,0))&gt;=100000), " ",IF(INDEX($AO$2:$BQ$1001,MATCH(ROWS($AH$2:AH675),$AH$2:$AH$1001,0),MATCH(COLUMNS($AO$1006:AT1006),$AO$1006:$BQ$1006,0)), HYPERLINK("#",""), HYPERLINK(CONCATENATE("#Metadata!", ADDRESS(INDEX($AJ$2:$AJ$1001,MATCH(ROWS($AH$2:AH675),$AH$2:$AH$1001,0),0), INDEX($AO$1004:$BQ$1004,1,MATCH(COLUMNS($AO$1006:AT1006),$AO$1006:$BQ$1006,0)))),"Fix")))</f>
        <v>#N/A</v>
      </c>
      <c r="H675" s="5" t="e">
        <f ca="1">IF(OR(INDEX($AI$2:$AI$1001,MATCH(ROWS($AH$2:AH675),$AH$2:$AH$1001,0),1)&gt;=100000,INDEX($AO$1005:$BQ$1005,1,MATCH(COLUMNS($AO$1006:AU1006),$AO$1006:$BQ$1006,0))&gt;=100000), " ",IF(INDEX($AO$2:$BQ$1001,MATCH(ROWS($AH$2:AH675),$AH$2:$AH$1001,0),MATCH(COLUMNS($AO$1006:AU1006),$AO$1006:$BQ$1006,0)), HYPERLINK("#",""), HYPERLINK(CONCATENATE("#Metadata!", ADDRESS(INDEX($AJ$2:$AJ$1001,MATCH(ROWS($AH$2:AH675),$AH$2:$AH$1001,0),0), INDEX($AO$1004:$BQ$1004,1,MATCH(COLUMNS($AO$1006:AU1006),$AO$1006:$BQ$1006,0)))),"Fix")))</f>
        <v>#N/A</v>
      </c>
      <c r="I675" s="5" t="e">
        <f ca="1">IF(OR(INDEX($AI$2:$AI$1001,MATCH(ROWS($AH$2:AH675),$AH$2:$AH$1001,0),1)&gt;=100000,INDEX($AO$1005:$BQ$1005,1,MATCH(COLUMNS($AO$1006:AV1006),$AO$1006:$BQ$1006,0))&gt;=100000), " ",IF(INDEX($AO$2:$BQ$1001,MATCH(ROWS($AH$2:AH675),$AH$2:$AH$1001,0),MATCH(COLUMNS($AO$1006:AV1006),$AO$1006:$BQ$1006,0)), HYPERLINK("#",""), HYPERLINK(CONCATENATE("#Metadata!", ADDRESS(INDEX($AJ$2:$AJ$1001,MATCH(ROWS($AH$2:AH675),$AH$2:$AH$1001,0),0), INDEX($AO$1004:$BQ$1004,1,MATCH(COLUMNS($AO$1006:AV1006),$AO$1006:$BQ$1006,0)))),"Fix")))</f>
        <v>#N/A</v>
      </c>
      <c r="J675" s="5" t="e">
        <f ca="1">IF(OR(INDEX($AI$2:$AI$1001,MATCH(ROWS($AH$2:AH675),$AH$2:$AH$1001,0),1)&gt;=100000,INDEX($AO$1005:$BQ$1005,1,MATCH(COLUMNS($AO$1006:AW1006),$AO$1006:$BQ$1006,0))&gt;=100000), " ",IF(INDEX($AO$2:$BQ$1001,MATCH(ROWS($AH$2:AH675),$AH$2:$AH$1001,0),MATCH(COLUMNS($AO$1006:AW1006),$AO$1006:$BQ$1006,0)), HYPERLINK("#",""), HYPERLINK(CONCATENATE("#Metadata!", ADDRESS(INDEX($AJ$2:$AJ$1001,MATCH(ROWS($AH$2:AH675),$AH$2:$AH$1001,0),0), INDEX($AO$1004:$BQ$1004,1,MATCH(COLUMNS($AO$1006:AW1006),$AO$1006:$BQ$1006,0)))),"Fix")))</f>
        <v>#N/A</v>
      </c>
      <c r="K675" s="5" t="e">
        <f ca="1">IF(OR(INDEX($AI$2:$AI$1001,MATCH(ROWS($AH$2:AH675),$AH$2:$AH$1001,0),1)&gt;=100000,INDEX($AO$1005:$BQ$1005,1,MATCH(COLUMNS($AO$1006:AX1006),$AO$1006:$BQ$1006,0))&gt;=100000), " ",IF(INDEX($AO$2:$BQ$1001,MATCH(ROWS($AH$2:AH675),$AH$2:$AH$1001,0),MATCH(COLUMNS($AO$1006:AX1006),$AO$1006:$BQ$1006,0)), HYPERLINK("#",""), HYPERLINK(CONCATENATE("#Metadata!", ADDRESS(INDEX($AJ$2:$AJ$1001,MATCH(ROWS($AH$2:AH675),$AH$2:$AH$1001,0),0), INDEX($AO$1004:$BQ$1004,1,MATCH(COLUMNS($AO$1006:AX1006),$AO$1006:$BQ$1006,0)))),"Fix")))</f>
        <v>#N/A</v>
      </c>
      <c r="L675" s="5" t="e">
        <f ca="1">IF(OR(INDEX($AI$2:$AI$1001,MATCH(ROWS($AH$2:AH675),$AH$2:$AH$1001,0),1)&gt;=100000,INDEX($AO$1005:$BQ$1005,1,MATCH(COLUMNS($AO$1006:AY1006),$AO$1006:$BQ$1006,0))&gt;=100000), " ",IF(INDEX($AO$2:$BQ$1001,MATCH(ROWS($AH$2:AH675),$AH$2:$AH$1001,0),MATCH(COLUMNS($AO$1006:AY1006),$AO$1006:$BQ$1006,0)), HYPERLINK("#",""), HYPERLINK(CONCATENATE("#Metadata!", ADDRESS(INDEX($AJ$2:$AJ$1001,MATCH(ROWS($AH$2:AH675),$AH$2:$AH$1001,0),0), INDEX($AO$1004:$BQ$1004,1,MATCH(COLUMNS($AO$1006:AY1006),$AO$1006:$BQ$1006,0)))),"Fix")))</f>
        <v>#N/A</v>
      </c>
      <c r="M675" s="5" t="e">
        <f ca="1">IF(OR(INDEX($AI$2:$AI$1001,MATCH(ROWS($AH$2:AH675),$AH$2:$AH$1001,0),1)&gt;=100000,INDEX($AO$1005:$BQ$1005,1,MATCH(COLUMNS($AO$1006:AZ1006),$AO$1006:$BQ$1006,0))&gt;=100000), " ",IF(INDEX($AO$2:$BQ$1001,MATCH(ROWS($AH$2:AH675),$AH$2:$AH$1001,0),MATCH(COLUMNS($AO$1006:AZ1006),$AO$1006:$BQ$1006,0)), HYPERLINK("#",""), HYPERLINK(CONCATENATE("#Metadata!", ADDRESS(INDEX($AJ$2:$AJ$1001,MATCH(ROWS($AH$2:AH675),$AH$2:$AH$1001,0),0), INDEX($AO$1004:$BQ$1004,1,MATCH(COLUMNS($AO$1006:AZ1006),$AO$1006:$BQ$1006,0)))),"Fix")))</f>
        <v>#N/A</v>
      </c>
      <c r="N675" s="5" t="e">
        <f ca="1">IF(OR(INDEX($AI$2:$AI$1001,MATCH(ROWS($AH$2:AH675),$AH$2:$AH$1001,0),1)&gt;=100000,INDEX($AO$1005:$BQ$1005,1,MATCH(COLUMNS($AO$1006:BA1006),$AO$1006:$BQ$1006,0))&gt;=100000), " ",IF(INDEX($AO$2:$BQ$1001,MATCH(ROWS($AH$2:AH675),$AH$2:$AH$1001,0),MATCH(COLUMNS($AO$1006:BA1006),$AO$1006:$BQ$1006,0)), HYPERLINK("#",""), HYPERLINK(CONCATENATE("#Metadata!", ADDRESS(INDEX($AJ$2:$AJ$1001,MATCH(ROWS($AH$2:AH675),$AH$2:$AH$1001,0),0), INDEX($AO$1004:$BQ$1004,1,MATCH(COLUMNS($AO$1006:BA1006),$AO$1006:$BQ$1006,0)))),"Fix")))</f>
        <v>#N/A</v>
      </c>
      <c r="O675" s="5" t="e">
        <f ca="1">IF(OR(INDEX($AI$2:$AI$1001,MATCH(ROWS($AH$2:AH675),$AH$2:$AH$1001,0),1)&gt;=100000,INDEX($AO$1005:$BQ$1005,1,MATCH(COLUMNS($AO$1006:BB1006),$AO$1006:$BQ$1006,0))&gt;=100000), " ",IF(INDEX($AO$2:$BQ$1001,MATCH(ROWS($AH$2:AH675),$AH$2:$AH$1001,0),MATCH(COLUMNS($AO$1006:BB1006),$AO$1006:$BQ$1006,0)), HYPERLINK("#",""), HYPERLINK(CONCATENATE("#Metadata!", ADDRESS(INDEX($AJ$2:$AJ$1001,MATCH(ROWS($AH$2:AH675),$AH$2:$AH$1001,0),0), INDEX($AO$1004:$BQ$1004,1,MATCH(COLUMNS($AO$1006:BB1006),$AO$1006:$BQ$1006,0)))),"Fix")))</f>
        <v>#N/A</v>
      </c>
      <c r="P675" s="5" t="e">
        <f ca="1">IF(OR(INDEX($AI$2:$AI$1001,MATCH(ROWS($AH$2:AH675),$AH$2:$AH$1001,0),1)&gt;=100000,INDEX($AO$1005:$BQ$1005,1,MATCH(COLUMNS($AO$1006:BC1006),$AO$1006:$BQ$1006,0))&gt;=100000), " ",IF(INDEX($AO$2:$BQ$1001,MATCH(ROWS($AH$2:AH675),$AH$2:$AH$1001,0),MATCH(COLUMNS($AO$1006:BC1006),$AO$1006:$BQ$1006,0)), HYPERLINK("#",""), HYPERLINK(CONCATENATE("#Metadata!", ADDRESS(INDEX($AJ$2:$AJ$1001,MATCH(ROWS($AH$2:AH675),$AH$2:$AH$1001,0),0), INDEX($AO$1004:$BQ$1004,1,MATCH(COLUMNS($AO$1006:BC1006),$AO$1006:$BQ$1006,0)))),"Fix")))</f>
        <v>#N/A</v>
      </c>
      <c r="Q675" s="5" t="e">
        <f ca="1">IF(OR(INDEX($AI$2:$AI$1001,MATCH(ROWS($AH$2:AH675),$AH$2:$AH$1001,0),1)&gt;=100000,INDEX($AO$1005:$BQ$1005,1,MATCH(COLUMNS($AO$1006:BD1006),$AO$1006:$BQ$1006,0))&gt;=100000), " ",IF(INDEX($AO$2:$BQ$1001,MATCH(ROWS($AH$2:AH675),$AH$2:$AH$1001,0),MATCH(COLUMNS($AO$1006:BD1006),$AO$1006:$BQ$1006,0)), HYPERLINK("#",""), HYPERLINK(CONCATENATE("#Metadata!", ADDRESS(INDEX($AJ$2:$AJ$1001,MATCH(ROWS($AH$2:AH675),$AH$2:$AH$1001,0),0), INDEX($AO$1004:$BQ$1004,1,MATCH(COLUMNS($AO$1006:BD1006),$AO$1006:$BQ$1006,0)))),"Fix")))</f>
        <v>#N/A</v>
      </c>
      <c r="R675" s="5" t="e">
        <f ca="1">IF(OR(INDEX($AI$2:$AI$1001,MATCH(ROWS($AH$2:AH675),$AH$2:$AH$1001,0),1)&gt;=100000,INDEX($AO$1005:$BQ$1005,1,MATCH(COLUMNS($AO$1006:BE1006),$AO$1006:$BQ$1006,0))&gt;=100000), " ",IF(INDEX($AO$2:$BQ$1001,MATCH(ROWS($AH$2:AH675),$AH$2:$AH$1001,0),MATCH(COLUMNS($AO$1006:BE1006),$AO$1006:$BQ$1006,0)), HYPERLINK("#",""), HYPERLINK(CONCATENATE("#Metadata!", ADDRESS(INDEX($AJ$2:$AJ$1001,MATCH(ROWS($AH$2:AH675),$AH$2:$AH$1001,0),0), INDEX($AO$1004:$BQ$1004,1,MATCH(COLUMNS($AO$1006:BE1006),$AO$1006:$BQ$1006,0)))),"Fix")))</f>
        <v>#N/A</v>
      </c>
      <c r="S675" s="5" t="e">
        <f ca="1">IF(OR(INDEX($AI$2:$AI$1001,MATCH(ROWS($AH$2:AH675),$AH$2:$AH$1001,0),1)&gt;=100000,INDEX($AO$1005:$BQ$1005,1,MATCH(COLUMNS($AO$1006:BF1006),$AO$1006:$BQ$1006,0))&gt;=100000), " ",IF(INDEX($AO$2:$BQ$1001,MATCH(ROWS($AH$2:AH675),$AH$2:$AH$1001,0),MATCH(COLUMNS($AO$1006:BF1006),$AO$1006:$BQ$1006,0)), HYPERLINK("#",""), HYPERLINK(CONCATENATE("#Metadata!", ADDRESS(INDEX($AJ$2:$AJ$1001,MATCH(ROWS($AH$2:AH675),$AH$2:$AH$1001,0),0), INDEX($AO$1004:$BQ$1004,1,MATCH(COLUMNS($AO$1006:BF1006),$AO$1006:$BQ$1006,0)))),"Fix")))</f>
        <v>#N/A</v>
      </c>
      <c r="T675" s="5" t="e">
        <f ca="1">IF(OR(INDEX($AI$2:$AI$1001,MATCH(ROWS($AH$2:AH675),$AH$2:$AH$1001,0),1)&gt;=100000,INDEX($AO$1005:$BQ$1005,1,MATCH(COLUMNS($AO$1006:BG1006),$AO$1006:$BQ$1006,0))&gt;=100000), " ",IF(INDEX($AO$2:$BQ$1001,MATCH(ROWS($AH$2:AH675),$AH$2:$AH$1001,0),MATCH(COLUMNS($AO$1006:BG1006),$AO$1006:$BQ$1006,0)), HYPERLINK("#",""), HYPERLINK(CONCATENATE("#Metadata!", ADDRESS(INDEX($AJ$2:$AJ$1001,MATCH(ROWS($AH$2:AH675),$AH$2:$AH$1001,0),0), INDEX($AO$1004:$BQ$1004,1,MATCH(COLUMNS($AO$1006:BG1006),$AO$1006:$BQ$1006,0)))),"Fix")))</f>
        <v>#N/A</v>
      </c>
      <c r="U675" s="5" t="e">
        <f ca="1">IF(OR(INDEX($AI$2:$AI$1001,MATCH(ROWS($AH$2:AH675),$AH$2:$AH$1001,0),1)&gt;=100000,INDEX($AO$1005:$BQ$1005,1,MATCH(COLUMNS($AO$1006:BH1006),$AO$1006:$BQ$1006,0))&gt;=100000), " ",IF(INDEX($AO$2:$BQ$1001,MATCH(ROWS($AH$2:AH675),$AH$2:$AH$1001,0),MATCH(COLUMNS($AO$1006:BH1006),$AO$1006:$BQ$1006,0)), HYPERLINK("#",""), HYPERLINK(CONCATENATE("#Metadata!", ADDRESS(INDEX($AJ$2:$AJ$1001,MATCH(ROWS($AH$2:AH675),$AH$2:$AH$1001,0),0), INDEX($AO$1004:$BQ$1004,1,MATCH(COLUMNS($AO$1006:BH1006),$AO$1006:$BQ$1006,0)))),"Fix")))</f>
        <v>#N/A</v>
      </c>
      <c r="V675" s="5" t="e">
        <f ca="1">IF(OR(INDEX($AI$2:$AI$1001,MATCH(ROWS($AH$2:AH675),$AH$2:$AH$1001,0),1)&gt;=100000,INDEX($AO$1005:$BQ$1005,1,MATCH(COLUMNS($AO$1006:BI1006),$AO$1006:$BQ$1006,0))&gt;=100000), " ",IF(INDEX($AO$2:$BQ$1001,MATCH(ROWS($AH$2:AH675),$AH$2:$AH$1001,0),MATCH(COLUMNS($AO$1006:BI1006),$AO$1006:$BQ$1006,0)), HYPERLINK("#",""), HYPERLINK(CONCATENATE("#Metadata!", ADDRESS(INDEX($AJ$2:$AJ$1001,MATCH(ROWS($AH$2:AH675),$AH$2:$AH$1001,0),0), INDEX($AO$1004:$BQ$1004,1,MATCH(COLUMNS($AO$1006:BI1006),$AO$1006:$BQ$1006,0)))),"Fix")))</f>
        <v>#N/A</v>
      </c>
      <c r="W675" s="5" t="e">
        <f ca="1">IF(OR(INDEX($AI$2:$AI$1001,MATCH(ROWS($AH$2:AH675),$AH$2:$AH$1001,0),1)&gt;=100000,INDEX($AO$1005:$BQ$1005,1,MATCH(COLUMNS($AO$1006:BJ1006),$AO$1006:$BQ$1006,0))&gt;=100000), " ",IF(INDEX($AO$2:$BQ$1001,MATCH(ROWS($AH$2:AH675),$AH$2:$AH$1001,0),MATCH(COLUMNS($AO$1006:BJ1006),$AO$1006:$BQ$1006,0)), HYPERLINK("#",""), HYPERLINK(CONCATENATE("#Metadata!", ADDRESS(INDEX($AJ$2:$AJ$1001,MATCH(ROWS($AH$2:AH675),$AH$2:$AH$1001,0),0), INDEX($AO$1004:$BQ$1004,1,MATCH(COLUMNS($AO$1006:BJ1006),$AO$1006:$BQ$1006,0)))),"Fix")))</f>
        <v>#N/A</v>
      </c>
      <c r="X675" s="5" t="e">
        <f ca="1">IF(OR(INDEX($AI$2:$AI$1001,MATCH(ROWS($AH$2:AH675),$AH$2:$AH$1001,0),1)&gt;=100000,INDEX($AO$1005:$BQ$1005,1,MATCH(COLUMNS($AO$1006:BK1006),$AO$1006:$BQ$1006,0))&gt;=100000), " ",IF(INDEX($AO$2:$BQ$1001,MATCH(ROWS($AH$2:AH675),$AH$2:$AH$1001,0),MATCH(COLUMNS($AO$1006:BK1006),$AO$1006:$BQ$1006,0)), HYPERLINK("#",""), HYPERLINK(CONCATENATE("#Metadata!", ADDRESS(INDEX($AJ$2:$AJ$1001,MATCH(ROWS($AH$2:AH675),$AH$2:$AH$1001,0),0), INDEX($AO$1004:$BQ$1004,1,MATCH(COLUMNS($AO$1006:BK1006),$AO$1006:$BQ$1006,0)))),"Fix")))</f>
        <v>#N/A</v>
      </c>
      <c r="Y675" s="5" t="e">
        <f ca="1">IF(OR(INDEX($AI$2:$AI$1001,MATCH(ROWS($AH$2:AH675),$AH$2:$AH$1001,0),1)&gt;=100000,INDEX($AO$1005:$BQ$1005,1,MATCH(COLUMNS($AO$1006:BL1006),$AO$1006:$BQ$1006,0))&gt;=100000), " ",IF(INDEX($AO$2:$BQ$1001,MATCH(ROWS($AH$2:AH675),$AH$2:$AH$1001,0),MATCH(COLUMNS($AO$1006:BL1006),$AO$1006:$BQ$1006,0)), HYPERLINK("#",""), HYPERLINK(CONCATENATE("#Metadata!", ADDRESS(INDEX($AJ$2:$AJ$1001,MATCH(ROWS($AH$2:AH675),$AH$2:$AH$1001,0),0), INDEX($AO$1004:$BQ$1004,1,MATCH(COLUMNS($AO$1006:BL1006),$AO$1006:$BQ$1006,0)))),"Fix")))</f>
        <v>#N/A</v>
      </c>
      <c r="Z675" s="5" t="e">
        <f ca="1">IF(OR(INDEX($AI$2:$AI$1001,MATCH(ROWS($AH$2:AH675),$AH$2:$AH$1001,0),1)&gt;=100000,INDEX($AO$1005:$BQ$1005,1,MATCH(COLUMNS($AO$1006:BM1006),$AO$1006:$BQ$1006,0))&gt;=100000), " ",IF(INDEX($AO$2:$BQ$1001,MATCH(ROWS($AH$2:AH675),$AH$2:$AH$1001,0),MATCH(COLUMNS($AO$1006:BM1006),$AO$1006:$BQ$1006,0)), HYPERLINK("#",""), HYPERLINK(CONCATENATE("#Metadata!", ADDRESS(INDEX($AJ$2:$AJ$1001,MATCH(ROWS($AH$2:AH675),$AH$2:$AH$1001,0),0), INDEX($AO$1004:$BQ$1004,1,MATCH(COLUMNS($AO$1006:BM1006),$AO$1006:$BQ$1006,0)))),"Fix")))</f>
        <v>#N/A</v>
      </c>
      <c r="AA675" s="5" t="e">
        <f ca="1">IF(OR(INDEX($AI$2:$AI$1001,MATCH(ROWS($AH$2:AH675),$AH$2:$AH$1001,0),1)&gt;=100000,INDEX($AO$1005:$BQ$1005,1,MATCH(COLUMNS($AO$1006:BN1006),$AO$1006:$BQ$1006,0))&gt;=100000), " ",IF(INDEX($AO$2:$BQ$1001,MATCH(ROWS($AH$2:AH675),$AH$2:$AH$1001,0),MATCH(COLUMNS($AO$1006:BN1006),$AO$1006:$BQ$1006,0)), HYPERLINK("#",""), HYPERLINK(CONCATENATE("#Metadata!", ADDRESS(INDEX($AJ$2:$AJ$1001,MATCH(ROWS($AH$2:AH675),$AH$2:$AH$1001,0),0), INDEX($AO$1004:$BQ$1004,1,MATCH(COLUMNS($AO$1006:BN1006),$AO$1006:$BQ$1006,0)))),"Fix")))</f>
        <v>#N/A</v>
      </c>
      <c r="AB675" s="5" t="e">
        <f ca="1">IF(OR(INDEX($AI$2:$AI$1001,MATCH(ROWS($AH$2:AH675),$AH$2:$AH$1001,0),1)&gt;=100000,INDEX($AO$1005:$BQ$1005,1,MATCH(COLUMNS($AO$1006:BO1006),$AO$1006:$BQ$1006,0))&gt;=100000), " ",IF(INDEX($AO$2:$BQ$1001,MATCH(ROWS($AH$2:AH675),$AH$2:$AH$1001,0),MATCH(COLUMNS($AO$1006:BO1006),$AO$1006:$BQ$1006,0)), HYPERLINK("#",""), HYPERLINK(CONCATENATE("#Metadata!", ADDRESS(INDEX($AJ$2:$AJ$1001,MATCH(ROWS($AH$2:AH675),$AH$2:$AH$1001,0),0), INDEX($AO$1004:$BQ$1004,1,MATCH(COLUMNS($AO$1006:BO1006),$AO$1006:$BQ$1006,0)))),"Fix")))</f>
        <v>#N/A</v>
      </c>
      <c r="AC675" s="5" t="e">
        <f ca="1">IF(OR(INDEX($AI$2:$AI$1001,MATCH(ROWS($AH$2:AH675),$AH$2:$AH$1001,0),1)&gt;=100000,INDEX($AO$1005:$BQ$1005,1,MATCH(COLUMNS($AO$1006:BP1006),$AO$1006:$BQ$1006,0))&gt;=100000), " ",IF(INDEX($AO$2:$BQ$1001,MATCH(ROWS($AH$2:AH675),$AH$2:$AH$1001,0),MATCH(COLUMNS($AO$1006:BP1006),$AO$1006:$BQ$1006,0)), HYPERLINK("#",""), HYPERLINK(CONCATENATE("#Metadata!", ADDRESS(INDEX($AJ$2:$AJ$1001,MATCH(ROWS($AH$2:AH675),$AH$2:$AH$1001,0),0), INDEX($AO$1004:$BQ$1004,1,MATCH(COLUMNS($AO$1006:BP1006),$AO$1006:$BQ$1006,0)))),"Fix")))</f>
        <v>#N/A</v>
      </c>
      <c r="AD675" s="5" t="e">
        <f ca="1">IF(OR(INDEX($AI$2:$AI$1001,MATCH(ROWS($AH$2:AH675),$AH$2:$AH$1001,0),1)&gt;=100000,INDEX($AO$1005:$BQ$1005,1,MATCH(COLUMNS($AO$1006:BQ1006),$AO$1006:$BQ$1006,0))&gt;=100000), " ",IF(INDEX($AO$2:$BQ$1001,MATCH(ROWS($AH$2:AH675),$AH$2:$AH$1001,0),MATCH(COLUMNS($AO$1006:BQ1006),$AO$1006:$BQ$1006,0)), HYPERLINK("#",""), HYPERLINK(CONCATENATE("#Metadata!", ADDRESS(INDEX($AJ$2:$AJ$1001,MATCH(ROWS($AH$2:AH675),$AH$2:$AH$1001,0),0), INDEX($AO$1004:$BQ$1004,1,MATCH(COLUMNS($AO$1006:BQ1006),$AO$1006:$BQ$1006,0)))),"Fix")))</f>
        <v>#REF!</v>
      </c>
      <c r="AH675">
        <f ca="1"/>
        <v>672</v>
      </c>
      <c r="AI675">
        <v>100675</v>
      </c>
      <c r="AJ675">
        <v>675</v>
      </c>
      <c r="AK675" t="b">
        <f t="shared" si="10"/>
        <v>1</v>
      </c>
      <c r="AL675" t="b">
        <f>COUNTBLANK(Metadata!B675:AD675)=COLUMNS(Metadata!B675:AD675)</f>
        <v>1</v>
      </c>
      <c r="AM675" t="str">
        <v/>
      </c>
      <c r="AO675" t="b">
        <f ca="1">AND(IF(Metadata!B675="",FALSE,TRUE),COUNTIF(Metadata!B:B, Metadata!B675) = 1,NOT(ISERROR(SUMPRODUCT(SEARCH(MID(Metadata!B675,ROW(INDIRECT("1:"&amp;LEN(Metadata!B675))), 1),"0123456789abcdefghijklmnopqrstuvwxyzABCDEFGHIJKLMNOPQRSTUVWXYZ.")))))</f>
        <v>0</v>
      </c>
      <c r="AP675" t="b">
        <f>IF(Metadata!C675="",FALSE,TRUE)</f>
        <v>0</v>
      </c>
      <c r="AQ675" t="b">
        <f>IF(Metadata!D675="",FALSE,TRUE)</f>
        <v>0</v>
      </c>
      <c r="AR675" t="b">
        <f ca="1">OR(AND(IF(Metadata!E675="",FALSE,TRUE),OR(EXACT(Metadata!E675,"not collected"),EXACT(Metadata!E675,"not provided"),EXACT(Metadata!E675,"restricted access"))),AND(IF(Metadata!E675="",FALSE,TRUE),AND(AND(IFERROR(INT(LEFT(Metadata!E675,4))&gt;1900,FALSE),IFERROR(INT(LEFT(Metadata!E675,4))&lt;=YEAR(NOW()),FALSE)), OR(MID(Metadata!E675,5,1)="", AND(AND(MID(Metadata!E675,5,1)="-",IFERROR(INT(MID(Metadata!E675,6,1))&gt;=0,FALSE),IFERROR(INT(MID(Metadata!E675,6,1))&lt;=1,FALSE),NOT(MID(Metadata!E675,7,1)=""),IFERROR(INT(MID(Metadata!E675,6,2))&gt;=1,FALSE),IFERROR(INT(MID(Metadata!E675,6,2))&lt;=12,FALSE)), OR(MID(Metadata!E675,8,1)="", AND(AND(MID(Metadata!E675,8,1)="-",IFERROR(INT(MID(Metadata!E675,9,1))&gt;=0,FALSE),IFERROR(INT(MID(Metadata!E675,9,1))&lt;=3,FALSE),NOT(MID(Metadata!E675,10,1)=""),IFERROR(INT(MID(Metadata!E675,9,2))&gt;=1,FALSE),IFERROR(INT(MID(Metadata!E675,9,2))&lt;=31,FALSE)), OR(MID(Metadata!E675,11,1)="", AND(AND(MID(Metadata!E675,11,1)=" ",IFERROR(INT(MID(Metadata!E675,12,1))&gt;=0,FALSE),IFERROR(INT(MID(Metadata!E675,12,1))&lt;=2,FALSE),NOT(MID(Metadata!E675,13,1)=""),IFERROR(INT(MID(Metadata!E675,12,2))&gt;=0,FALSE),IFERROR(INT(MID(Metadata!E675,12,2))&lt;=23,FALSE)), OR(MID(Metadata!E675,14,1)="", AND(AND(MID(Metadata!E675,14,1)=":",IFERROR(INT(MID(Metadata!E675,15,1))&gt;=0,FALSE),IFERROR(INT(MID(Metadata!E675,15,1))&lt;=5,FALSE),NOT(MID(Metadata!E675,16,1)=""),IFERROR(INT(MID(Metadata!E675,15,2))&gt;=0,FALSE),IFERROR(INT(MID(Metadata!E675,15,2))&lt;=59,FALSE)), OR(MID(Metadata!E675,17,1)="", AND(AND(MID(Metadata!E675,17,1)=":",IFERROR(INT(MID(Metadata!E675,18,1))&gt;=0,FALSE),IFERROR(INT(MID(Metadata!E675,18,1))&lt;=5,FALSE),NOT(MID(Metadata!E675,19,1)=""),IFERROR(INT(MID(Metadata!E675,18,2))&gt;=0,FALSE),IFERROR(INT(MID(Metadata!E675,18,2))&lt;=59,FALSE)), LEN(Metadata!E675)&lt;=19)))))))))))))</f>
        <v>0</v>
      </c>
      <c r="AS675" t="b">
        <f>IF(Metadata!F675="",FALSE,TRUE)</f>
        <v>0</v>
      </c>
      <c r="AT675" t="b">
        <f>OR(AND(IF(Metadata!G675="",FALSE,TRUE),OR(EXACT(Metadata!G675,"not collected"),EXACT(Metadata!G675,"not provided"))),AND(IF(Metadata!G675="",FALSE,TRUE),OR(EXACT(Metadata!G675,"TRUE"),EXACT(Metadata!G675,"FALSE"))))</f>
        <v>0</v>
      </c>
      <c r="AU675" t="b">
        <f>OR(AND(IF(Metadata!H675="",FALSE,TRUE),OR(EXACT(Metadata!H675,"not collected"),EXACT(Metadata!H675,"not provided"),EXACT(Metadata!H675,"restricted access"))),AND(IF(Metadata!H675="",FALSE,ISNUMBER(VALUE(Metadata!H675))),Metadata!H675&gt;=-413))</f>
        <v>0</v>
      </c>
      <c r="AV675" t="b">
        <f>AND(IF(Metadata!I675="",FALSE,TRUE),EXACT(Metadata!I675,"meters"))</f>
        <v>0</v>
      </c>
      <c r="AW675" t="b">
        <f>AND(IF(Metadata!J675="",FALSE,TRUE),EXACT(Metadata!J675,"free-living"))</f>
        <v>0</v>
      </c>
      <c r="AX675" t="b">
        <f>AND(IF(Metadata!K675="",FALSE,TRUE),OR(EXACT(Metadata!K675,"saline"),EXACT(Metadata!K675,"non-saline")))</f>
        <v>0</v>
      </c>
      <c r="AY675" t="b">
        <f>AND(IF(Metadata!L675="",FALSE,TRUE),OR(EXACT(Metadata!L675,"sub-surface (non-saline)"),EXACT(Metadata!L675,"surface (non-saline)"),EXACT(Metadata!L675,"water (non-saline)"),EXACT(Metadata!L675,"soil (non-saline)"),EXACT(Metadata!L675,"aerosol (non-saline)"),EXACT(Metadata!L675,"sediment (non-saline)"),EXACT(Metadata!L675,"surface (saline)"),EXACT(Metadata!L675,"water (saline)"),EXACT(Metadata!L675,"hypersaline (saline)"),EXACT(Metadata!L675,"aerosol (saline)"),EXACT(Metadata!L675,"sediment (saline)")))</f>
        <v>0</v>
      </c>
      <c r="AZ675" t="b">
        <f>IF(Metadata!M675="",FALSE,TRUE)</f>
        <v>0</v>
      </c>
      <c r="BA675" t="b">
        <f>IF(Metadata!N675="",FALSE,TRUE)</f>
        <v>0</v>
      </c>
      <c r="BB675" t="b">
        <f>IF(Metadata!O675="",FALSE,TRUE)</f>
        <v>0</v>
      </c>
      <c r="BC675" t="b">
        <f>AND(IF(Metadata!P675="",FALSE,TRUE),OR(EXACT(Metadata!P675,"air"),EXACT(Metadata!P675,"microbial mat/biofilm"),EXACT(Metadata!P675,"misc environment"),EXACT(Metadata!P675,"sediment"),EXACT(Metadata!P675,"soil"),EXACT(Metadata!P675,"wastewater/sludge"),EXACT(Metadata!P675,"water")))</f>
        <v>0</v>
      </c>
      <c r="BD675" t="b">
        <f>IF(Metadata!Q675="",FALSE,TRUE)</f>
        <v>0</v>
      </c>
      <c r="BE675" t="b">
        <f>IF(Metadata!R675="",FALSE,TRUE)</f>
        <v>0</v>
      </c>
      <c r="BF675" t="b">
        <f>OR(AND(IF(Metadata!S675="",FALSE,TRUE),OR(EXACT(Metadata!S675,"not collected"),EXACT(Metadata!S675,"not provided"),EXACT(Metadata!S675,"restricted access"))),AND(IF(Metadata!S675="",FALSE,ISNUMBER(VALUE(Metadata!S675))),Metadata!S675&gt;=-90,Metadata!S675&lt;=90))</f>
        <v>0</v>
      </c>
      <c r="BG675" t="b">
        <f>AND(IF(Metadata!T675="",FALSE,TRUE),EXACT(Metadata!T675,"Decimal degrees"))</f>
        <v>0</v>
      </c>
      <c r="BH675" t="b">
        <f>OR(AND(IF(Metadata!U675="",FALSE,TRUE),OR(EXACT(Metadata!U675,"not applicable"),EXACT(Metadata!U675,"not collected"))),IF(Metadata!U675="",FALSE,TRUE))</f>
        <v>0</v>
      </c>
      <c r="BI675" t="b">
        <f>OR(AND(IF(Metadata!V675="",FALSE,TRUE),OR(EXACT(Metadata!V675,"not collected"),EXACT(Metadata!V675,"not provided"),EXACT(Metadata!V675,"restricted access"))),AND(IF(Metadata!V675="",FALSE,ISNUMBER(VALUE(Metadata!V675))),Metadata!V675&gt;=-180,Metadata!V675&lt;=180))</f>
        <v>0</v>
      </c>
      <c r="BJ675" t="b">
        <f>AND(IF(Metadata!W675="",FALSE,TRUE),EXACT(Metadata!W675,"Decimal degrees"))</f>
        <v>0</v>
      </c>
      <c r="BK675" t="b">
        <f>IF(Metadata!X675="",FALSE,TRUE)</f>
        <v>0</v>
      </c>
      <c r="BL675" t="b">
        <f>OR(AND(IF(Metadata!Y675="",FALSE,TRUE),OR(EXACT(Metadata!Y675,"not collected"),EXACT(Metadata!Y675,"not provided"),EXACT(Metadata!Y675,"restricted access"))),AND(IF(Metadata!Y675="",FALSE,TRUE),OR(EXACT(Metadata!Y675,"TRUE"),EXACT(Metadata!Y675,"FALSE"))))</f>
        <v>0</v>
      </c>
      <c r="BM675" t="b">
        <f>OR(AND(IF(Metadata!Z675="",FALSE,TRUE),EXACT(Metadata!Z675,"not applicable")),AND(IF(Metadata!Z675="",FALSE,TRUE),OR(EXACT(Metadata!Z675,"beer"),EXACT(Metadata!Z675,"cheese"),EXACT(Metadata!Z675,"fresh water"),EXACT(Metadata!Z675,"marine sediment"),EXACT(Metadata!Z675,"sea water"),EXACT(Metadata!Z675,"sediment"),EXACT(Metadata!Z675,"soil"),EXACT(Metadata!Z675,"waste water"))))</f>
        <v>0</v>
      </c>
      <c r="BN675" t="b">
        <f>AND(IF(Metadata!AA675="",FALSE,TRUE),EXACT(Metadata!AA675,"metagenome"))</f>
        <v>0</v>
      </c>
      <c r="BO675" t="b">
        <f>AND(IF(Metadata!AB675="",FALSE,TRUE),EXACT(Metadata!AB675,"256318"))</f>
        <v>0</v>
      </c>
      <c r="BP675" t="b">
        <f>IF(Metadata!AC675="",FALSE,TRUE)</f>
        <v>0</v>
      </c>
      <c r="BQ675" t="b">
        <f>IF(Metadata!AD675="",FALSE,TRUE)</f>
        <v>0</v>
      </c>
    </row>
    <row r="676" spans="1:69" x14ac:dyDescent="0.2">
      <c r="A676" s="4" t="e">
        <f ca="1">IF(B676=" "," ",HYPERLINK(CONCATENATE("#metadata!",ADDRESS(INDEX($AJ$2:$AJ$1001,MATCH(ROWS($AH$2:AH676),$AH$2:$AH$1001,0),0),2)),INDEX($AM$2:$AM$1001,MATCH(ROWS($AH$2:AH676),$AH$2:$AH$1001,0),0)))</f>
        <v>#N/A</v>
      </c>
      <c r="B676" s="5" t="e">
        <f ca="1">IF(OR(INDEX($AI$2:$AI$1001,MATCH(ROWS($AH$2:AH676),$AH$2:$AH$1001,0),1)&gt;=100000,INDEX($AO$1005:$BQ$1005,1,MATCH(COLUMNS($AO$1006:AO1006),$AO$1006:$BQ$1006,0))&gt;=100000), " ",IF(INDEX($AO$2:$BQ$1001,MATCH(ROWS($AH$2:AH676),$AH$2:$AH$1001,0),MATCH(COLUMNS($AO$1006:AO1006),$AO$1006:$BQ$1006,0)), HYPERLINK("#",""), HYPERLINK(CONCATENATE("#Metadata!", ADDRESS(INDEX($AJ$2:$AJ$1001,MATCH(ROWS($AH$2:AH676),$AH$2:$AH$1001,0),0), INDEX($AO$1004:$BQ$1004,1,MATCH(COLUMNS($AO$1006:AO1006),$AO$1006:$BQ$1006,0)))),"Fix")))</f>
        <v>#N/A</v>
      </c>
      <c r="C676" s="5" t="e">
        <f ca="1">IF(OR(INDEX($AI$2:$AI$1001,MATCH(ROWS($AH$2:AH676),$AH$2:$AH$1001,0),1)&gt;=100000,INDEX($AO$1005:$BQ$1005,1,MATCH(COLUMNS($AO$1006:AP1006),$AO$1006:$BQ$1006,0))&gt;=100000), " ",IF(INDEX($AO$2:$BQ$1001,MATCH(ROWS($AH$2:AH676),$AH$2:$AH$1001,0),MATCH(COLUMNS($AO$1006:AP1006),$AO$1006:$BQ$1006,0)), HYPERLINK("#",""), HYPERLINK(CONCATENATE("#Metadata!", ADDRESS(INDEX($AJ$2:$AJ$1001,MATCH(ROWS($AH$2:AH676),$AH$2:$AH$1001,0),0), INDEX($AO$1004:$BQ$1004,1,MATCH(COLUMNS($AO$1006:AP1006),$AO$1006:$BQ$1006,0)))),"Fix")))</f>
        <v>#N/A</v>
      </c>
      <c r="D676" s="5" t="e">
        <f ca="1">IF(OR(INDEX($AI$2:$AI$1001,MATCH(ROWS($AH$2:AH676),$AH$2:$AH$1001,0),1)&gt;=100000,INDEX($AO$1005:$BQ$1005,1,MATCH(COLUMNS($AO$1006:AQ1006),$AO$1006:$BQ$1006,0))&gt;=100000), " ",IF(INDEX($AO$2:$BQ$1001,MATCH(ROWS($AH$2:AH676),$AH$2:$AH$1001,0),MATCH(COLUMNS($AO$1006:AQ1006),$AO$1006:$BQ$1006,0)), HYPERLINK("#",""), HYPERLINK(CONCATENATE("#Metadata!", ADDRESS(INDEX($AJ$2:$AJ$1001,MATCH(ROWS($AH$2:AH676),$AH$2:$AH$1001,0),0), INDEX($AO$1004:$BQ$1004,1,MATCH(COLUMNS($AO$1006:AQ1006),$AO$1006:$BQ$1006,0)))),"Fix")))</f>
        <v>#N/A</v>
      </c>
      <c r="E676" s="5" t="e">
        <f ca="1">IF(OR(INDEX($AI$2:$AI$1001,MATCH(ROWS($AH$2:AH676),$AH$2:$AH$1001,0),1)&gt;=100000,INDEX($AO$1005:$BQ$1005,1,MATCH(COLUMNS($AO$1006:AR1006),$AO$1006:$BQ$1006,0))&gt;=100000), " ",IF(INDEX($AO$2:$BQ$1001,MATCH(ROWS($AH$2:AH676),$AH$2:$AH$1001,0),MATCH(COLUMNS($AO$1006:AR1006),$AO$1006:$BQ$1006,0)), HYPERLINK("#",""), HYPERLINK(CONCATENATE("#Metadata!", ADDRESS(INDEX($AJ$2:$AJ$1001,MATCH(ROWS($AH$2:AH676),$AH$2:$AH$1001,0),0), INDEX($AO$1004:$BQ$1004,1,MATCH(COLUMNS($AO$1006:AR1006),$AO$1006:$BQ$1006,0)))),"Fix")))</f>
        <v>#N/A</v>
      </c>
      <c r="F676" s="5" t="e">
        <f ca="1">IF(OR(INDEX($AI$2:$AI$1001,MATCH(ROWS($AH$2:AH676),$AH$2:$AH$1001,0),1)&gt;=100000,INDEX($AO$1005:$BQ$1005,1,MATCH(COLUMNS($AO$1006:AS1006),$AO$1006:$BQ$1006,0))&gt;=100000), " ",IF(INDEX($AO$2:$BQ$1001,MATCH(ROWS($AH$2:AH676),$AH$2:$AH$1001,0),MATCH(COLUMNS($AO$1006:AS1006),$AO$1006:$BQ$1006,0)), HYPERLINK("#",""), HYPERLINK(CONCATENATE("#Metadata!", ADDRESS(INDEX($AJ$2:$AJ$1001,MATCH(ROWS($AH$2:AH676),$AH$2:$AH$1001,0),0), INDEX($AO$1004:$BQ$1004,1,MATCH(COLUMNS($AO$1006:AS1006),$AO$1006:$BQ$1006,0)))),"Fix")))</f>
        <v>#N/A</v>
      </c>
      <c r="G676" s="5" t="e">
        <f ca="1">IF(OR(INDEX($AI$2:$AI$1001,MATCH(ROWS($AH$2:AH676),$AH$2:$AH$1001,0),1)&gt;=100000,INDEX($AO$1005:$BQ$1005,1,MATCH(COLUMNS($AO$1006:AT1006),$AO$1006:$BQ$1006,0))&gt;=100000), " ",IF(INDEX($AO$2:$BQ$1001,MATCH(ROWS($AH$2:AH676),$AH$2:$AH$1001,0),MATCH(COLUMNS($AO$1006:AT1006),$AO$1006:$BQ$1006,0)), HYPERLINK("#",""), HYPERLINK(CONCATENATE("#Metadata!", ADDRESS(INDEX($AJ$2:$AJ$1001,MATCH(ROWS($AH$2:AH676),$AH$2:$AH$1001,0),0), INDEX($AO$1004:$BQ$1004,1,MATCH(COLUMNS($AO$1006:AT1006),$AO$1006:$BQ$1006,0)))),"Fix")))</f>
        <v>#N/A</v>
      </c>
      <c r="H676" s="5" t="e">
        <f ca="1">IF(OR(INDEX($AI$2:$AI$1001,MATCH(ROWS($AH$2:AH676),$AH$2:$AH$1001,0),1)&gt;=100000,INDEX($AO$1005:$BQ$1005,1,MATCH(COLUMNS($AO$1006:AU1006),$AO$1006:$BQ$1006,0))&gt;=100000), " ",IF(INDEX($AO$2:$BQ$1001,MATCH(ROWS($AH$2:AH676),$AH$2:$AH$1001,0),MATCH(COLUMNS($AO$1006:AU1006),$AO$1006:$BQ$1006,0)), HYPERLINK("#",""), HYPERLINK(CONCATENATE("#Metadata!", ADDRESS(INDEX($AJ$2:$AJ$1001,MATCH(ROWS($AH$2:AH676),$AH$2:$AH$1001,0),0), INDEX($AO$1004:$BQ$1004,1,MATCH(COLUMNS($AO$1006:AU1006),$AO$1006:$BQ$1006,0)))),"Fix")))</f>
        <v>#N/A</v>
      </c>
      <c r="I676" s="5" t="e">
        <f ca="1">IF(OR(INDEX($AI$2:$AI$1001,MATCH(ROWS($AH$2:AH676),$AH$2:$AH$1001,0),1)&gt;=100000,INDEX($AO$1005:$BQ$1005,1,MATCH(COLUMNS($AO$1006:AV1006),$AO$1006:$BQ$1006,0))&gt;=100000), " ",IF(INDEX($AO$2:$BQ$1001,MATCH(ROWS($AH$2:AH676),$AH$2:$AH$1001,0),MATCH(COLUMNS($AO$1006:AV1006),$AO$1006:$BQ$1006,0)), HYPERLINK("#",""), HYPERLINK(CONCATENATE("#Metadata!", ADDRESS(INDEX($AJ$2:$AJ$1001,MATCH(ROWS($AH$2:AH676),$AH$2:$AH$1001,0),0), INDEX($AO$1004:$BQ$1004,1,MATCH(COLUMNS($AO$1006:AV1006),$AO$1006:$BQ$1006,0)))),"Fix")))</f>
        <v>#N/A</v>
      </c>
      <c r="J676" s="5" t="e">
        <f ca="1">IF(OR(INDEX($AI$2:$AI$1001,MATCH(ROWS($AH$2:AH676),$AH$2:$AH$1001,0),1)&gt;=100000,INDEX($AO$1005:$BQ$1005,1,MATCH(COLUMNS($AO$1006:AW1006),$AO$1006:$BQ$1006,0))&gt;=100000), " ",IF(INDEX($AO$2:$BQ$1001,MATCH(ROWS($AH$2:AH676),$AH$2:$AH$1001,0),MATCH(COLUMNS($AO$1006:AW1006),$AO$1006:$BQ$1006,0)), HYPERLINK("#",""), HYPERLINK(CONCATENATE("#Metadata!", ADDRESS(INDEX($AJ$2:$AJ$1001,MATCH(ROWS($AH$2:AH676),$AH$2:$AH$1001,0),0), INDEX($AO$1004:$BQ$1004,1,MATCH(COLUMNS($AO$1006:AW1006),$AO$1006:$BQ$1006,0)))),"Fix")))</f>
        <v>#N/A</v>
      </c>
      <c r="K676" s="5" t="e">
        <f ca="1">IF(OR(INDEX($AI$2:$AI$1001,MATCH(ROWS($AH$2:AH676),$AH$2:$AH$1001,0),1)&gt;=100000,INDEX($AO$1005:$BQ$1005,1,MATCH(COLUMNS($AO$1006:AX1006),$AO$1006:$BQ$1006,0))&gt;=100000), " ",IF(INDEX($AO$2:$BQ$1001,MATCH(ROWS($AH$2:AH676),$AH$2:$AH$1001,0),MATCH(COLUMNS($AO$1006:AX1006),$AO$1006:$BQ$1006,0)), HYPERLINK("#",""), HYPERLINK(CONCATENATE("#Metadata!", ADDRESS(INDEX($AJ$2:$AJ$1001,MATCH(ROWS($AH$2:AH676),$AH$2:$AH$1001,0),0), INDEX($AO$1004:$BQ$1004,1,MATCH(COLUMNS($AO$1006:AX1006),$AO$1006:$BQ$1006,0)))),"Fix")))</f>
        <v>#N/A</v>
      </c>
      <c r="L676" s="5" t="e">
        <f ca="1">IF(OR(INDEX($AI$2:$AI$1001,MATCH(ROWS($AH$2:AH676),$AH$2:$AH$1001,0),1)&gt;=100000,INDEX($AO$1005:$BQ$1005,1,MATCH(COLUMNS($AO$1006:AY1006),$AO$1006:$BQ$1006,0))&gt;=100000), " ",IF(INDEX($AO$2:$BQ$1001,MATCH(ROWS($AH$2:AH676),$AH$2:$AH$1001,0),MATCH(COLUMNS($AO$1006:AY1006),$AO$1006:$BQ$1006,0)), HYPERLINK("#",""), HYPERLINK(CONCATENATE("#Metadata!", ADDRESS(INDEX($AJ$2:$AJ$1001,MATCH(ROWS($AH$2:AH676),$AH$2:$AH$1001,0),0), INDEX($AO$1004:$BQ$1004,1,MATCH(COLUMNS($AO$1006:AY1006),$AO$1006:$BQ$1006,0)))),"Fix")))</f>
        <v>#N/A</v>
      </c>
      <c r="M676" s="5" t="e">
        <f ca="1">IF(OR(INDEX($AI$2:$AI$1001,MATCH(ROWS($AH$2:AH676),$AH$2:$AH$1001,0),1)&gt;=100000,INDEX($AO$1005:$BQ$1005,1,MATCH(COLUMNS($AO$1006:AZ1006),$AO$1006:$BQ$1006,0))&gt;=100000), " ",IF(INDEX($AO$2:$BQ$1001,MATCH(ROWS($AH$2:AH676),$AH$2:$AH$1001,0),MATCH(COLUMNS($AO$1006:AZ1006),$AO$1006:$BQ$1006,0)), HYPERLINK("#",""), HYPERLINK(CONCATENATE("#Metadata!", ADDRESS(INDEX($AJ$2:$AJ$1001,MATCH(ROWS($AH$2:AH676),$AH$2:$AH$1001,0),0), INDEX($AO$1004:$BQ$1004,1,MATCH(COLUMNS($AO$1006:AZ1006),$AO$1006:$BQ$1006,0)))),"Fix")))</f>
        <v>#N/A</v>
      </c>
      <c r="N676" s="5" t="e">
        <f ca="1">IF(OR(INDEX($AI$2:$AI$1001,MATCH(ROWS($AH$2:AH676),$AH$2:$AH$1001,0),1)&gt;=100000,INDEX($AO$1005:$BQ$1005,1,MATCH(COLUMNS($AO$1006:BA1006),$AO$1006:$BQ$1006,0))&gt;=100000), " ",IF(INDEX($AO$2:$BQ$1001,MATCH(ROWS($AH$2:AH676),$AH$2:$AH$1001,0),MATCH(COLUMNS($AO$1006:BA1006),$AO$1006:$BQ$1006,0)), HYPERLINK("#",""), HYPERLINK(CONCATENATE("#Metadata!", ADDRESS(INDEX($AJ$2:$AJ$1001,MATCH(ROWS($AH$2:AH676),$AH$2:$AH$1001,0),0), INDEX($AO$1004:$BQ$1004,1,MATCH(COLUMNS($AO$1006:BA1006),$AO$1006:$BQ$1006,0)))),"Fix")))</f>
        <v>#N/A</v>
      </c>
      <c r="O676" s="5" t="e">
        <f ca="1">IF(OR(INDEX($AI$2:$AI$1001,MATCH(ROWS($AH$2:AH676),$AH$2:$AH$1001,0),1)&gt;=100000,INDEX($AO$1005:$BQ$1005,1,MATCH(COLUMNS($AO$1006:BB1006),$AO$1006:$BQ$1006,0))&gt;=100000), " ",IF(INDEX($AO$2:$BQ$1001,MATCH(ROWS($AH$2:AH676),$AH$2:$AH$1001,0),MATCH(COLUMNS($AO$1006:BB1006),$AO$1006:$BQ$1006,0)), HYPERLINK("#",""), HYPERLINK(CONCATENATE("#Metadata!", ADDRESS(INDEX($AJ$2:$AJ$1001,MATCH(ROWS($AH$2:AH676),$AH$2:$AH$1001,0),0), INDEX($AO$1004:$BQ$1004,1,MATCH(COLUMNS($AO$1006:BB1006),$AO$1006:$BQ$1006,0)))),"Fix")))</f>
        <v>#N/A</v>
      </c>
      <c r="P676" s="5" t="e">
        <f ca="1">IF(OR(INDEX($AI$2:$AI$1001,MATCH(ROWS($AH$2:AH676),$AH$2:$AH$1001,0),1)&gt;=100000,INDEX($AO$1005:$BQ$1005,1,MATCH(COLUMNS($AO$1006:BC1006),$AO$1006:$BQ$1006,0))&gt;=100000), " ",IF(INDEX($AO$2:$BQ$1001,MATCH(ROWS($AH$2:AH676),$AH$2:$AH$1001,0),MATCH(COLUMNS($AO$1006:BC1006),$AO$1006:$BQ$1006,0)), HYPERLINK("#",""), HYPERLINK(CONCATENATE("#Metadata!", ADDRESS(INDEX($AJ$2:$AJ$1001,MATCH(ROWS($AH$2:AH676),$AH$2:$AH$1001,0),0), INDEX($AO$1004:$BQ$1004,1,MATCH(COLUMNS($AO$1006:BC1006),$AO$1006:$BQ$1006,0)))),"Fix")))</f>
        <v>#N/A</v>
      </c>
      <c r="Q676" s="5" t="e">
        <f ca="1">IF(OR(INDEX($AI$2:$AI$1001,MATCH(ROWS($AH$2:AH676),$AH$2:$AH$1001,0),1)&gt;=100000,INDEX($AO$1005:$BQ$1005,1,MATCH(COLUMNS($AO$1006:BD1006),$AO$1006:$BQ$1006,0))&gt;=100000), " ",IF(INDEX($AO$2:$BQ$1001,MATCH(ROWS($AH$2:AH676),$AH$2:$AH$1001,0),MATCH(COLUMNS($AO$1006:BD1006),$AO$1006:$BQ$1006,0)), HYPERLINK("#",""), HYPERLINK(CONCATENATE("#Metadata!", ADDRESS(INDEX($AJ$2:$AJ$1001,MATCH(ROWS($AH$2:AH676),$AH$2:$AH$1001,0),0), INDEX($AO$1004:$BQ$1004,1,MATCH(COLUMNS($AO$1006:BD1006),$AO$1006:$BQ$1006,0)))),"Fix")))</f>
        <v>#N/A</v>
      </c>
      <c r="R676" s="5" t="e">
        <f ca="1">IF(OR(INDEX($AI$2:$AI$1001,MATCH(ROWS($AH$2:AH676),$AH$2:$AH$1001,0),1)&gt;=100000,INDEX($AO$1005:$BQ$1005,1,MATCH(COLUMNS($AO$1006:BE1006),$AO$1006:$BQ$1006,0))&gt;=100000), " ",IF(INDEX($AO$2:$BQ$1001,MATCH(ROWS($AH$2:AH676),$AH$2:$AH$1001,0),MATCH(COLUMNS($AO$1006:BE1006),$AO$1006:$BQ$1006,0)), HYPERLINK("#",""), HYPERLINK(CONCATENATE("#Metadata!", ADDRESS(INDEX($AJ$2:$AJ$1001,MATCH(ROWS($AH$2:AH676),$AH$2:$AH$1001,0),0), INDEX($AO$1004:$BQ$1004,1,MATCH(COLUMNS($AO$1006:BE1006),$AO$1006:$BQ$1006,0)))),"Fix")))</f>
        <v>#N/A</v>
      </c>
      <c r="S676" s="5" t="e">
        <f ca="1">IF(OR(INDEX($AI$2:$AI$1001,MATCH(ROWS($AH$2:AH676),$AH$2:$AH$1001,0),1)&gt;=100000,INDEX($AO$1005:$BQ$1005,1,MATCH(COLUMNS($AO$1006:BF1006),$AO$1006:$BQ$1006,0))&gt;=100000), " ",IF(INDEX($AO$2:$BQ$1001,MATCH(ROWS($AH$2:AH676),$AH$2:$AH$1001,0),MATCH(COLUMNS($AO$1006:BF1006),$AO$1006:$BQ$1006,0)), HYPERLINK("#",""), HYPERLINK(CONCATENATE("#Metadata!", ADDRESS(INDEX($AJ$2:$AJ$1001,MATCH(ROWS($AH$2:AH676),$AH$2:$AH$1001,0),0), INDEX($AO$1004:$BQ$1004,1,MATCH(COLUMNS($AO$1006:BF1006),$AO$1006:$BQ$1006,0)))),"Fix")))</f>
        <v>#N/A</v>
      </c>
      <c r="T676" s="5" t="e">
        <f ca="1">IF(OR(INDEX($AI$2:$AI$1001,MATCH(ROWS($AH$2:AH676),$AH$2:$AH$1001,0),1)&gt;=100000,INDEX($AO$1005:$BQ$1005,1,MATCH(COLUMNS($AO$1006:BG1006),$AO$1006:$BQ$1006,0))&gt;=100000), " ",IF(INDEX($AO$2:$BQ$1001,MATCH(ROWS($AH$2:AH676),$AH$2:$AH$1001,0),MATCH(COLUMNS($AO$1006:BG1006),$AO$1006:$BQ$1006,0)), HYPERLINK("#",""), HYPERLINK(CONCATENATE("#Metadata!", ADDRESS(INDEX($AJ$2:$AJ$1001,MATCH(ROWS($AH$2:AH676),$AH$2:$AH$1001,0),0), INDEX($AO$1004:$BQ$1004,1,MATCH(COLUMNS($AO$1006:BG1006),$AO$1006:$BQ$1006,0)))),"Fix")))</f>
        <v>#N/A</v>
      </c>
      <c r="U676" s="5" t="e">
        <f ca="1">IF(OR(INDEX($AI$2:$AI$1001,MATCH(ROWS($AH$2:AH676),$AH$2:$AH$1001,0),1)&gt;=100000,INDEX($AO$1005:$BQ$1005,1,MATCH(COLUMNS($AO$1006:BH1006),$AO$1006:$BQ$1006,0))&gt;=100000), " ",IF(INDEX($AO$2:$BQ$1001,MATCH(ROWS($AH$2:AH676),$AH$2:$AH$1001,0),MATCH(COLUMNS($AO$1006:BH1006),$AO$1006:$BQ$1006,0)), HYPERLINK("#",""), HYPERLINK(CONCATENATE("#Metadata!", ADDRESS(INDEX($AJ$2:$AJ$1001,MATCH(ROWS($AH$2:AH676),$AH$2:$AH$1001,0),0), INDEX($AO$1004:$BQ$1004,1,MATCH(COLUMNS($AO$1006:BH1006),$AO$1006:$BQ$1006,0)))),"Fix")))</f>
        <v>#N/A</v>
      </c>
      <c r="V676" s="5" t="e">
        <f ca="1">IF(OR(INDEX($AI$2:$AI$1001,MATCH(ROWS($AH$2:AH676),$AH$2:$AH$1001,0),1)&gt;=100000,INDEX($AO$1005:$BQ$1005,1,MATCH(COLUMNS($AO$1006:BI1006),$AO$1006:$BQ$1006,0))&gt;=100000), " ",IF(INDEX($AO$2:$BQ$1001,MATCH(ROWS($AH$2:AH676),$AH$2:$AH$1001,0),MATCH(COLUMNS($AO$1006:BI1006),$AO$1006:$BQ$1006,0)), HYPERLINK("#",""), HYPERLINK(CONCATENATE("#Metadata!", ADDRESS(INDEX($AJ$2:$AJ$1001,MATCH(ROWS($AH$2:AH676),$AH$2:$AH$1001,0),0), INDEX($AO$1004:$BQ$1004,1,MATCH(COLUMNS($AO$1006:BI1006),$AO$1006:$BQ$1006,0)))),"Fix")))</f>
        <v>#N/A</v>
      </c>
      <c r="W676" s="5" t="e">
        <f ca="1">IF(OR(INDEX($AI$2:$AI$1001,MATCH(ROWS($AH$2:AH676),$AH$2:$AH$1001,0),1)&gt;=100000,INDEX($AO$1005:$BQ$1005,1,MATCH(COLUMNS($AO$1006:BJ1006),$AO$1006:$BQ$1006,0))&gt;=100000), " ",IF(INDEX($AO$2:$BQ$1001,MATCH(ROWS($AH$2:AH676),$AH$2:$AH$1001,0),MATCH(COLUMNS($AO$1006:BJ1006),$AO$1006:$BQ$1006,0)), HYPERLINK("#",""), HYPERLINK(CONCATENATE("#Metadata!", ADDRESS(INDEX($AJ$2:$AJ$1001,MATCH(ROWS($AH$2:AH676),$AH$2:$AH$1001,0),0), INDEX($AO$1004:$BQ$1004,1,MATCH(COLUMNS($AO$1006:BJ1006),$AO$1006:$BQ$1006,0)))),"Fix")))</f>
        <v>#N/A</v>
      </c>
      <c r="X676" s="5" t="e">
        <f ca="1">IF(OR(INDEX($AI$2:$AI$1001,MATCH(ROWS($AH$2:AH676),$AH$2:$AH$1001,0),1)&gt;=100000,INDEX($AO$1005:$BQ$1005,1,MATCH(COLUMNS($AO$1006:BK1006),$AO$1006:$BQ$1006,0))&gt;=100000), " ",IF(INDEX($AO$2:$BQ$1001,MATCH(ROWS($AH$2:AH676),$AH$2:$AH$1001,0),MATCH(COLUMNS($AO$1006:BK1006),$AO$1006:$BQ$1006,0)), HYPERLINK("#",""), HYPERLINK(CONCATENATE("#Metadata!", ADDRESS(INDEX($AJ$2:$AJ$1001,MATCH(ROWS($AH$2:AH676),$AH$2:$AH$1001,0),0), INDEX($AO$1004:$BQ$1004,1,MATCH(COLUMNS($AO$1006:BK1006),$AO$1006:$BQ$1006,0)))),"Fix")))</f>
        <v>#N/A</v>
      </c>
      <c r="Y676" s="5" t="e">
        <f ca="1">IF(OR(INDEX($AI$2:$AI$1001,MATCH(ROWS($AH$2:AH676),$AH$2:$AH$1001,0),1)&gt;=100000,INDEX($AO$1005:$BQ$1005,1,MATCH(COLUMNS($AO$1006:BL1006),$AO$1006:$BQ$1006,0))&gt;=100000), " ",IF(INDEX($AO$2:$BQ$1001,MATCH(ROWS($AH$2:AH676),$AH$2:$AH$1001,0),MATCH(COLUMNS($AO$1006:BL1006),$AO$1006:$BQ$1006,0)), HYPERLINK("#",""), HYPERLINK(CONCATENATE("#Metadata!", ADDRESS(INDEX($AJ$2:$AJ$1001,MATCH(ROWS($AH$2:AH676),$AH$2:$AH$1001,0),0), INDEX($AO$1004:$BQ$1004,1,MATCH(COLUMNS($AO$1006:BL1006),$AO$1006:$BQ$1006,0)))),"Fix")))</f>
        <v>#N/A</v>
      </c>
      <c r="Z676" s="5" t="e">
        <f ca="1">IF(OR(INDEX($AI$2:$AI$1001,MATCH(ROWS($AH$2:AH676),$AH$2:$AH$1001,0),1)&gt;=100000,INDEX($AO$1005:$BQ$1005,1,MATCH(COLUMNS($AO$1006:BM1006),$AO$1006:$BQ$1006,0))&gt;=100000), " ",IF(INDEX($AO$2:$BQ$1001,MATCH(ROWS($AH$2:AH676),$AH$2:$AH$1001,0),MATCH(COLUMNS($AO$1006:BM1006),$AO$1006:$BQ$1006,0)), HYPERLINK("#",""), HYPERLINK(CONCATENATE("#Metadata!", ADDRESS(INDEX($AJ$2:$AJ$1001,MATCH(ROWS($AH$2:AH676),$AH$2:$AH$1001,0),0), INDEX($AO$1004:$BQ$1004,1,MATCH(COLUMNS($AO$1006:BM1006),$AO$1006:$BQ$1006,0)))),"Fix")))</f>
        <v>#N/A</v>
      </c>
      <c r="AA676" s="5" t="e">
        <f ca="1">IF(OR(INDEX($AI$2:$AI$1001,MATCH(ROWS($AH$2:AH676),$AH$2:$AH$1001,0),1)&gt;=100000,INDEX($AO$1005:$BQ$1005,1,MATCH(COLUMNS($AO$1006:BN1006),$AO$1006:$BQ$1006,0))&gt;=100000), " ",IF(INDEX($AO$2:$BQ$1001,MATCH(ROWS($AH$2:AH676),$AH$2:$AH$1001,0),MATCH(COLUMNS($AO$1006:BN1006),$AO$1006:$BQ$1006,0)), HYPERLINK("#",""), HYPERLINK(CONCATENATE("#Metadata!", ADDRESS(INDEX($AJ$2:$AJ$1001,MATCH(ROWS($AH$2:AH676),$AH$2:$AH$1001,0),0), INDEX($AO$1004:$BQ$1004,1,MATCH(COLUMNS($AO$1006:BN1006),$AO$1006:$BQ$1006,0)))),"Fix")))</f>
        <v>#N/A</v>
      </c>
      <c r="AB676" s="5" t="e">
        <f ca="1">IF(OR(INDEX($AI$2:$AI$1001,MATCH(ROWS($AH$2:AH676),$AH$2:$AH$1001,0),1)&gt;=100000,INDEX($AO$1005:$BQ$1005,1,MATCH(COLUMNS($AO$1006:BO1006),$AO$1006:$BQ$1006,0))&gt;=100000), " ",IF(INDEX($AO$2:$BQ$1001,MATCH(ROWS($AH$2:AH676),$AH$2:$AH$1001,0),MATCH(COLUMNS($AO$1006:BO1006),$AO$1006:$BQ$1006,0)), HYPERLINK("#",""), HYPERLINK(CONCATENATE("#Metadata!", ADDRESS(INDEX($AJ$2:$AJ$1001,MATCH(ROWS($AH$2:AH676),$AH$2:$AH$1001,0),0), INDEX($AO$1004:$BQ$1004,1,MATCH(COLUMNS($AO$1006:BO1006),$AO$1006:$BQ$1006,0)))),"Fix")))</f>
        <v>#N/A</v>
      </c>
      <c r="AC676" s="5" t="e">
        <f ca="1">IF(OR(INDEX($AI$2:$AI$1001,MATCH(ROWS($AH$2:AH676),$AH$2:$AH$1001,0),1)&gt;=100000,INDEX($AO$1005:$BQ$1005,1,MATCH(COLUMNS($AO$1006:BP1006),$AO$1006:$BQ$1006,0))&gt;=100000), " ",IF(INDEX($AO$2:$BQ$1001,MATCH(ROWS($AH$2:AH676),$AH$2:$AH$1001,0),MATCH(COLUMNS($AO$1006:BP1006),$AO$1006:$BQ$1006,0)), HYPERLINK("#",""), HYPERLINK(CONCATENATE("#Metadata!", ADDRESS(INDEX($AJ$2:$AJ$1001,MATCH(ROWS($AH$2:AH676),$AH$2:$AH$1001,0),0), INDEX($AO$1004:$BQ$1004,1,MATCH(COLUMNS($AO$1006:BP1006),$AO$1006:$BQ$1006,0)))),"Fix")))</f>
        <v>#N/A</v>
      </c>
      <c r="AD676" s="5" t="e">
        <f ca="1">IF(OR(INDEX($AI$2:$AI$1001,MATCH(ROWS($AH$2:AH676),$AH$2:$AH$1001,0),1)&gt;=100000,INDEX($AO$1005:$BQ$1005,1,MATCH(COLUMNS($AO$1006:BQ1006),$AO$1006:$BQ$1006,0))&gt;=100000), " ",IF(INDEX($AO$2:$BQ$1001,MATCH(ROWS($AH$2:AH676),$AH$2:$AH$1001,0),MATCH(COLUMNS($AO$1006:BQ1006),$AO$1006:$BQ$1006,0)), HYPERLINK("#",""), HYPERLINK(CONCATENATE("#Metadata!", ADDRESS(INDEX($AJ$2:$AJ$1001,MATCH(ROWS($AH$2:AH676),$AH$2:$AH$1001,0),0), INDEX($AO$1004:$BQ$1004,1,MATCH(COLUMNS($AO$1006:BQ1006),$AO$1006:$BQ$1006,0)))),"Fix")))</f>
        <v>#REF!</v>
      </c>
      <c r="AH676">
        <f ca="1"/>
        <v>673</v>
      </c>
      <c r="AI676">
        <v>100676</v>
      </c>
      <c r="AJ676">
        <v>676</v>
      </c>
      <c r="AK676" t="b">
        <f t="shared" si="10"/>
        <v>1</v>
      </c>
      <c r="AL676" t="b">
        <f>COUNTBLANK(Metadata!B676:AD676)=COLUMNS(Metadata!B676:AD676)</f>
        <v>1</v>
      </c>
      <c r="AM676" t="str">
        <v/>
      </c>
      <c r="AO676" t="b">
        <f ca="1">AND(IF(Metadata!B676="",FALSE,TRUE),COUNTIF(Metadata!B:B, Metadata!B676) = 1,NOT(ISERROR(SUMPRODUCT(SEARCH(MID(Metadata!B676,ROW(INDIRECT("1:"&amp;LEN(Metadata!B676))), 1),"0123456789abcdefghijklmnopqrstuvwxyzABCDEFGHIJKLMNOPQRSTUVWXYZ.")))))</f>
        <v>0</v>
      </c>
      <c r="AP676" t="b">
        <f>IF(Metadata!C676="",FALSE,TRUE)</f>
        <v>0</v>
      </c>
      <c r="AQ676" t="b">
        <f>IF(Metadata!D676="",FALSE,TRUE)</f>
        <v>0</v>
      </c>
      <c r="AR676" t="b">
        <f ca="1">OR(AND(IF(Metadata!E676="",FALSE,TRUE),OR(EXACT(Metadata!E676,"not collected"),EXACT(Metadata!E676,"not provided"),EXACT(Metadata!E676,"restricted access"))),AND(IF(Metadata!E676="",FALSE,TRUE),AND(AND(IFERROR(INT(LEFT(Metadata!E676,4))&gt;1900,FALSE),IFERROR(INT(LEFT(Metadata!E676,4))&lt;=YEAR(NOW()),FALSE)), OR(MID(Metadata!E676,5,1)="", AND(AND(MID(Metadata!E676,5,1)="-",IFERROR(INT(MID(Metadata!E676,6,1))&gt;=0,FALSE),IFERROR(INT(MID(Metadata!E676,6,1))&lt;=1,FALSE),NOT(MID(Metadata!E676,7,1)=""),IFERROR(INT(MID(Metadata!E676,6,2))&gt;=1,FALSE),IFERROR(INT(MID(Metadata!E676,6,2))&lt;=12,FALSE)), OR(MID(Metadata!E676,8,1)="", AND(AND(MID(Metadata!E676,8,1)="-",IFERROR(INT(MID(Metadata!E676,9,1))&gt;=0,FALSE),IFERROR(INT(MID(Metadata!E676,9,1))&lt;=3,FALSE),NOT(MID(Metadata!E676,10,1)=""),IFERROR(INT(MID(Metadata!E676,9,2))&gt;=1,FALSE),IFERROR(INT(MID(Metadata!E676,9,2))&lt;=31,FALSE)), OR(MID(Metadata!E676,11,1)="", AND(AND(MID(Metadata!E676,11,1)=" ",IFERROR(INT(MID(Metadata!E676,12,1))&gt;=0,FALSE),IFERROR(INT(MID(Metadata!E676,12,1))&lt;=2,FALSE),NOT(MID(Metadata!E676,13,1)=""),IFERROR(INT(MID(Metadata!E676,12,2))&gt;=0,FALSE),IFERROR(INT(MID(Metadata!E676,12,2))&lt;=23,FALSE)), OR(MID(Metadata!E676,14,1)="", AND(AND(MID(Metadata!E676,14,1)=":",IFERROR(INT(MID(Metadata!E676,15,1))&gt;=0,FALSE),IFERROR(INT(MID(Metadata!E676,15,1))&lt;=5,FALSE),NOT(MID(Metadata!E676,16,1)=""),IFERROR(INT(MID(Metadata!E676,15,2))&gt;=0,FALSE),IFERROR(INT(MID(Metadata!E676,15,2))&lt;=59,FALSE)), OR(MID(Metadata!E676,17,1)="", AND(AND(MID(Metadata!E676,17,1)=":",IFERROR(INT(MID(Metadata!E676,18,1))&gt;=0,FALSE),IFERROR(INT(MID(Metadata!E676,18,1))&lt;=5,FALSE),NOT(MID(Metadata!E676,19,1)=""),IFERROR(INT(MID(Metadata!E676,18,2))&gt;=0,FALSE),IFERROR(INT(MID(Metadata!E676,18,2))&lt;=59,FALSE)), LEN(Metadata!E676)&lt;=19)))))))))))))</f>
        <v>0</v>
      </c>
      <c r="AS676" t="b">
        <f>IF(Metadata!F676="",FALSE,TRUE)</f>
        <v>0</v>
      </c>
      <c r="AT676" t="b">
        <f>OR(AND(IF(Metadata!G676="",FALSE,TRUE),OR(EXACT(Metadata!G676,"not collected"),EXACT(Metadata!G676,"not provided"))),AND(IF(Metadata!G676="",FALSE,TRUE),OR(EXACT(Metadata!G676,"TRUE"),EXACT(Metadata!G676,"FALSE"))))</f>
        <v>0</v>
      </c>
      <c r="AU676" t="b">
        <f>OR(AND(IF(Metadata!H676="",FALSE,TRUE),OR(EXACT(Metadata!H676,"not collected"),EXACT(Metadata!H676,"not provided"),EXACT(Metadata!H676,"restricted access"))),AND(IF(Metadata!H676="",FALSE,ISNUMBER(VALUE(Metadata!H676))),Metadata!H676&gt;=-413))</f>
        <v>0</v>
      </c>
      <c r="AV676" t="b">
        <f>AND(IF(Metadata!I676="",FALSE,TRUE),EXACT(Metadata!I676,"meters"))</f>
        <v>0</v>
      </c>
      <c r="AW676" t="b">
        <f>AND(IF(Metadata!J676="",FALSE,TRUE),EXACT(Metadata!J676,"free-living"))</f>
        <v>0</v>
      </c>
      <c r="AX676" t="b">
        <f>AND(IF(Metadata!K676="",FALSE,TRUE),OR(EXACT(Metadata!K676,"saline"),EXACT(Metadata!K676,"non-saline")))</f>
        <v>0</v>
      </c>
      <c r="AY676" t="b">
        <f>AND(IF(Metadata!L676="",FALSE,TRUE),OR(EXACT(Metadata!L676,"sub-surface (non-saline)"),EXACT(Metadata!L676,"surface (non-saline)"),EXACT(Metadata!L676,"water (non-saline)"),EXACT(Metadata!L676,"soil (non-saline)"),EXACT(Metadata!L676,"aerosol (non-saline)"),EXACT(Metadata!L676,"sediment (non-saline)"),EXACT(Metadata!L676,"surface (saline)"),EXACT(Metadata!L676,"water (saline)"),EXACT(Metadata!L676,"hypersaline (saline)"),EXACT(Metadata!L676,"aerosol (saline)"),EXACT(Metadata!L676,"sediment (saline)")))</f>
        <v>0</v>
      </c>
      <c r="AZ676" t="b">
        <f>IF(Metadata!M676="",FALSE,TRUE)</f>
        <v>0</v>
      </c>
      <c r="BA676" t="b">
        <f>IF(Metadata!N676="",FALSE,TRUE)</f>
        <v>0</v>
      </c>
      <c r="BB676" t="b">
        <f>IF(Metadata!O676="",FALSE,TRUE)</f>
        <v>0</v>
      </c>
      <c r="BC676" t="b">
        <f>AND(IF(Metadata!P676="",FALSE,TRUE),OR(EXACT(Metadata!P676,"air"),EXACT(Metadata!P676,"microbial mat/biofilm"),EXACT(Metadata!P676,"misc environment"),EXACT(Metadata!P676,"sediment"),EXACT(Metadata!P676,"soil"),EXACT(Metadata!P676,"wastewater/sludge"),EXACT(Metadata!P676,"water")))</f>
        <v>0</v>
      </c>
      <c r="BD676" t="b">
        <f>IF(Metadata!Q676="",FALSE,TRUE)</f>
        <v>0</v>
      </c>
      <c r="BE676" t="b">
        <f>IF(Metadata!R676="",FALSE,TRUE)</f>
        <v>0</v>
      </c>
      <c r="BF676" t="b">
        <f>OR(AND(IF(Metadata!S676="",FALSE,TRUE),OR(EXACT(Metadata!S676,"not collected"),EXACT(Metadata!S676,"not provided"),EXACT(Metadata!S676,"restricted access"))),AND(IF(Metadata!S676="",FALSE,ISNUMBER(VALUE(Metadata!S676))),Metadata!S676&gt;=-90,Metadata!S676&lt;=90))</f>
        <v>0</v>
      </c>
      <c r="BG676" t="b">
        <f>AND(IF(Metadata!T676="",FALSE,TRUE),EXACT(Metadata!T676,"Decimal degrees"))</f>
        <v>0</v>
      </c>
      <c r="BH676" t="b">
        <f>OR(AND(IF(Metadata!U676="",FALSE,TRUE),OR(EXACT(Metadata!U676,"not applicable"),EXACT(Metadata!U676,"not collected"))),IF(Metadata!U676="",FALSE,TRUE))</f>
        <v>0</v>
      </c>
      <c r="BI676" t="b">
        <f>OR(AND(IF(Metadata!V676="",FALSE,TRUE),OR(EXACT(Metadata!V676,"not collected"),EXACT(Metadata!V676,"not provided"),EXACT(Metadata!V676,"restricted access"))),AND(IF(Metadata!V676="",FALSE,ISNUMBER(VALUE(Metadata!V676))),Metadata!V676&gt;=-180,Metadata!V676&lt;=180))</f>
        <v>0</v>
      </c>
      <c r="BJ676" t="b">
        <f>AND(IF(Metadata!W676="",FALSE,TRUE),EXACT(Metadata!W676,"Decimal degrees"))</f>
        <v>0</v>
      </c>
      <c r="BK676" t="b">
        <f>IF(Metadata!X676="",FALSE,TRUE)</f>
        <v>0</v>
      </c>
      <c r="BL676" t="b">
        <f>OR(AND(IF(Metadata!Y676="",FALSE,TRUE),OR(EXACT(Metadata!Y676,"not collected"),EXACT(Metadata!Y676,"not provided"),EXACT(Metadata!Y676,"restricted access"))),AND(IF(Metadata!Y676="",FALSE,TRUE),OR(EXACT(Metadata!Y676,"TRUE"),EXACT(Metadata!Y676,"FALSE"))))</f>
        <v>0</v>
      </c>
      <c r="BM676" t="b">
        <f>OR(AND(IF(Metadata!Z676="",FALSE,TRUE),EXACT(Metadata!Z676,"not applicable")),AND(IF(Metadata!Z676="",FALSE,TRUE),OR(EXACT(Metadata!Z676,"beer"),EXACT(Metadata!Z676,"cheese"),EXACT(Metadata!Z676,"fresh water"),EXACT(Metadata!Z676,"marine sediment"),EXACT(Metadata!Z676,"sea water"),EXACT(Metadata!Z676,"sediment"),EXACT(Metadata!Z676,"soil"),EXACT(Metadata!Z676,"waste water"))))</f>
        <v>0</v>
      </c>
      <c r="BN676" t="b">
        <f>AND(IF(Metadata!AA676="",FALSE,TRUE),EXACT(Metadata!AA676,"metagenome"))</f>
        <v>0</v>
      </c>
      <c r="BO676" t="b">
        <f>AND(IF(Metadata!AB676="",FALSE,TRUE),EXACT(Metadata!AB676,"256318"))</f>
        <v>0</v>
      </c>
      <c r="BP676" t="b">
        <f>IF(Metadata!AC676="",FALSE,TRUE)</f>
        <v>0</v>
      </c>
      <c r="BQ676" t="b">
        <f>IF(Metadata!AD676="",FALSE,TRUE)</f>
        <v>0</v>
      </c>
    </row>
    <row r="677" spans="1:69" x14ac:dyDescent="0.2">
      <c r="A677" s="4" t="e">
        <f ca="1">IF(B677=" "," ",HYPERLINK(CONCATENATE("#metadata!",ADDRESS(INDEX($AJ$2:$AJ$1001,MATCH(ROWS($AH$2:AH677),$AH$2:$AH$1001,0),0),2)),INDEX($AM$2:$AM$1001,MATCH(ROWS($AH$2:AH677),$AH$2:$AH$1001,0),0)))</f>
        <v>#N/A</v>
      </c>
      <c r="B677" s="5" t="e">
        <f ca="1">IF(OR(INDEX($AI$2:$AI$1001,MATCH(ROWS($AH$2:AH677),$AH$2:$AH$1001,0),1)&gt;=100000,INDEX($AO$1005:$BQ$1005,1,MATCH(COLUMNS($AO$1006:AO1006),$AO$1006:$BQ$1006,0))&gt;=100000), " ",IF(INDEX($AO$2:$BQ$1001,MATCH(ROWS($AH$2:AH677),$AH$2:$AH$1001,0),MATCH(COLUMNS($AO$1006:AO1006),$AO$1006:$BQ$1006,0)), HYPERLINK("#",""), HYPERLINK(CONCATENATE("#Metadata!", ADDRESS(INDEX($AJ$2:$AJ$1001,MATCH(ROWS($AH$2:AH677),$AH$2:$AH$1001,0),0), INDEX($AO$1004:$BQ$1004,1,MATCH(COLUMNS($AO$1006:AO1006),$AO$1006:$BQ$1006,0)))),"Fix")))</f>
        <v>#N/A</v>
      </c>
      <c r="C677" s="5" t="e">
        <f ca="1">IF(OR(INDEX($AI$2:$AI$1001,MATCH(ROWS($AH$2:AH677),$AH$2:$AH$1001,0),1)&gt;=100000,INDEX($AO$1005:$BQ$1005,1,MATCH(COLUMNS($AO$1006:AP1006),$AO$1006:$BQ$1006,0))&gt;=100000), " ",IF(INDEX($AO$2:$BQ$1001,MATCH(ROWS($AH$2:AH677),$AH$2:$AH$1001,0),MATCH(COLUMNS($AO$1006:AP1006),$AO$1006:$BQ$1006,0)), HYPERLINK("#",""), HYPERLINK(CONCATENATE("#Metadata!", ADDRESS(INDEX($AJ$2:$AJ$1001,MATCH(ROWS($AH$2:AH677),$AH$2:$AH$1001,0),0), INDEX($AO$1004:$BQ$1004,1,MATCH(COLUMNS($AO$1006:AP1006),$AO$1006:$BQ$1006,0)))),"Fix")))</f>
        <v>#N/A</v>
      </c>
      <c r="D677" s="5" t="e">
        <f ca="1">IF(OR(INDEX($AI$2:$AI$1001,MATCH(ROWS($AH$2:AH677),$AH$2:$AH$1001,0),1)&gt;=100000,INDEX($AO$1005:$BQ$1005,1,MATCH(COLUMNS($AO$1006:AQ1006),$AO$1006:$BQ$1006,0))&gt;=100000), " ",IF(INDEX($AO$2:$BQ$1001,MATCH(ROWS($AH$2:AH677),$AH$2:$AH$1001,0),MATCH(COLUMNS($AO$1006:AQ1006),$AO$1006:$BQ$1006,0)), HYPERLINK("#",""), HYPERLINK(CONCATENATE("#Metadata!", ADDRESS(INDEX($AJ$2:$AJ$1001,MATCH(ROWS($AH$2:AH677),$AH$2:$AH$1001,0),0), INDEX($AO$1004:$BQ$1004,1,MATCH(COLUMNS($AO$1006:AQ1006),$AO$1006:$BQ$1006,0)))),"Fix")))</f>
        <v>#N/A</v>
      </c>
      <c r="E677" s="5" t="e">
        <f ca="1">IF(OR(INDEX($AI$2:$AI$1001,MATCH(ROWS($AH$2:AH677),$AH$2:$AH$1001,0),1)&gt;=100000,INDEX($AO$1005:$BQ$1005,1,MATCH(COLUMNS($AO$1006:AR1006),$AO$1006:$BQ$1006,0))&gt;=100000), " ",IF(INDEX($AO$2:$BQ$1001,MATCH(ROWS($AH$2:AH677),$AH$2:$AH$1001,0),MATCH(COLUMNS($AO$1006:AR1006),$AO$1006:$BQ$1006,0)), HYPERLINK("#",""), HYPERLINK(CONCATENATE("#Metadata!", ADDRESS(INDEX($AJ$2:$AJ$1001,MATCH(ROWS($AH$2:AH677),$AH$2:$AH$1001,0),0), INDEX($AO$1004:$BQ$1004,1,MATCH(COLUMNS($AO$1006:AR1006),$AO$1006:$BQ$1006,0)))),"Fix")))</f>
        <v>#N/A</v>
      </c>
      <c r="F677" s="5" t="e">
        <f ca="1">IF(OR(INDEX($AI$2:$AI$1001,MATCH(ROWS($AH$2:AH677),$AH$2:$AH$1001,0),1)&gt;=100000,INDEX($AO$1005:$BQ$1005,1,MATCH(COLUMNS($AO$1006:AS1006),$AO$1006:$BQ$1006,0))&gt;=100000), " ",IF(INDEX($AO$2:$BQ$1001,MATCH(ROWS($AH$2:AH677),$AH$2:$AH$1001,0),MATCH(COLUMNS($AO$1006:AS1006),$AO$1006:$BQ$1006,0)), HYPERLINK("#",""), HYPERLINK(CONCATENATE("#Metadata!", ADDRESS(INDEX($AJ$2:$AJ$1001,MATCH(ROWS($AH$2:AH677),$AH$2:$AH$1001,0),0), INDEX($AO$1004:$BQ$1004,1,MATCH(COLUMNS($AO$1006:AS1006),$AO$1006:$BQ$1006,0)))),"Fix")))</f>
        <v>#N/A</v>
      </c>
      <c r="G677" s="5" t="e">
        <f ca="1">IF(OR(INDEX($AI$2:$AI$1001,MATCH(ROWS($AH$2:AH677),$AH$2:$AH$1001,0),1)&gt;=100000,INDEX($AO$1005:$BQ$1005,1,MATCH(COLUMNS($AO$1006:AT1006),$AO$1006:$BQ$1006,0))&gt;=100000), " ",IF(INDEX($AO$2:$BQ$1001,MATCH(ROWS($AH$2:AH677),$AH$2:$AH$1001,0),MATCH(COLUMNS($AO$1006:AT1006),$AO$1006:$BQ$1006,0)), HYPERLINK("#",""), HYPERLINK(CONCATENATE("#Metadata!", ADDRESS(INDEX($AJ$2:$AJ$1001,MATCH(ROWS($AH$2:AH677),$AH$2:$AH$1001,0),0), INDEX($AO$1004:$BQ$1004,1,MATCH(COLUMNS($AO$1006:AT1006),$AO$1006:$BQ$1006,0)))),"Fix")))</f>
        <v>#N/A</v>
      </c>
      <c r="H677" s="5" t="e">
        <f ca="1">IF(OR(INDEX($AI$2:$AI$1001,MATCH(ROWS($AH$2:AH677),$AH$2:$AH$1001,0),1)&gt;=100000,INDEX($AO$1005:$BQ$1005,1,MATCH(COLUMNS($AO$1006:AU1006),$AO$1006:$BQ$1006,0))&gt;=100000), " ",IF(INDEX($AO$2:$BQ$1001,MATCH(ROWS($AH$2:AH677),$AH$2:$AH$1001,0),MATCH(COLUMNS($AO$1006:AU1006),$AO$1006:$BQ$1006,0)), HYPERLINK("#",""), HYPERLINK(CONCATENATE("#Metadata!", ADDRESS(INDEX($AJ$2:$AJ$1001,MATCH(ROWS($AH$2:AH677),$AH$2:$AH$1001,0),0), INDEX($AO$1004:$BQ$1004,1,MATCH(COLUMNS($AO$1006:AU1006),$AO$1006:$BQ$1006,0)))),"Fix")))</f>
        <v>#N/A</v>
      </c>
      <c r="I677" s="5" t="e">
        <f ca="1">IF(OR(INDEX($AI$2:$AI$1001,MATCH(ROWS($AH$2:AH677),$AH$2:$AH$1001,0),1)&gt;=100000,INDEX($AO$1005:$BQ$1005,1,MATCH(COLUMNS($AO$1006:AV1006),$AO$1006:$BQ$1006,0))&gt;=100000), " ",IF(INDEX($AO$2:$BQ$1001,MATCH(ROWS($AH$2:AH677),$AH$2:$AH$1001,0),MATCH(COLUMNS($AO$1006:AV1006),$AO$1006:$BQ$1006,0)), HYPERLINK("#",""), HYPERLINK(CONCATENATE("#Metadata!", ADDRESS(INDEX($AJ$2:$AJ$1001,MATCH(ROWS($AH$2:AH677),$AH$2:$AH$1001,0),0), INDEX($AO$1004:$BQ$1004,1,MATCH(COLUMNS($AO$1006:AV1006),$AO$1006:$BQ$1006,0)))),"Fix")))</f>
        <v>#N/A</v>
      </c>
      <c r="J677" s="5" t="e">
        <f ca="1">IF(OR(INDEX($AI$2:$AI$1001,MATCH(ROWS($AH$2:AH677),$AH$2:$AH$1001,0),1)&gt;=100000,INDEX($AO$1005:$BQ$1005,1,MATCH(COLUMNS($AO$1006:AW1006),$AO$1006:$BQ$1006,0))&gt;=100000), " ",IF(INDEX($AO$2:$BQ$1001,MATCH(ROWS($AH$2:AH677),$AH$2:$AH$1001,0),MATCH(COLUMNS($AO$1006:AW1006),$AO$1006:$BQ$1006,0)), HYPERLINK("#",""), HYPERLINK(CONCATENATE("#Metadata!", ADDRESS(INDEX($AJ$2:$AJ$1001,MATCH(ROWS($AH$2:AH677),$AH$2:$AH$1001,0),0), INDEX($AO$1004:$BQ$1004,1,MATCH(COLUMNS($AO$1006:AW1006),$AO$1006:$BQ$1006,0)))),"Fix")))</f>
        <v>#N/A</v>
      </c>
      <c r="K677" s="5" t="e">
        <f ca="1">IF(OR(INDEX($AI$2:$AI$1001,MATCH(ROWS($AH$2:AH677),$AH$2:$AH$1001,0),1)&gt;=100000,INDEX($AO$1005:$BQ$1005,1,MATCH(COLUMNS($AO$1006:AX1006),$AO$1006:$BQ$1006,0))&gt;=100000), " ",IF(INDEX($AO$2:$BQ$1001,MATCH(ROWS($AH$2:AH677),$AH$2:$AH$1001,0),MATCH(COLUMNS($AO$1006:AX1006),$AO$1006:$BQ$1006,0)), HYPERLINK("#",""), HYPERLINK(CONCATENATE("#Metadata!", ADDRESS(INDEX($AJ$2:$AJ$1001,MATCH(ROWS($AH$2:AH677),$AH$2:$AH$1001,0),0), INDEX($AO$1004:$BQ$1004,1,MATCH(COLUMNS($AO$1006:AX1006),$AO$1006:$BQ$1006,0)))),"Fix")))</f>
        <v>#N/A</v>
      </c>
      <c r="L677" s="5" t="e">
        <f ca="1">IF(OR(INDEX($AI$2:$AI$1001,MATCH(ROWS($AH$2:AH677),$AH$2:$AH$1001,0),1)&gt;=100000,INDEX($AO$1005:$BQ$1005,1,MATCH(COLUMNS($AO$1006:AY1006),$AO$1006:$BQ$1006,0))&gt;=100000), " ",IF(INDEX($AO$2:$BQ$1001,MATCH(ROWS($AH$2:AH677),$AH$2:$AH$1001,0),MATCH(COLUMNS($AO$1006:AY1006),$AO$1006:$BQ$1006,0)), HYPERLINK("#",""), HYPERLINK(CONCATENATE("#Metadata!", ADDRESS(INDEX($AJ$2:$AJ$1001,MATCH(ROWS($AH$2:AH677),$AH$2:$AH$1001,0),0), INDEX($AO$1004:$BQ$1004,1,MATCH(COLUMNS($AO$1006:AY1006),$AO$1006:$BQ$1006,0)))),"Fix")))</f>
        <v>#N/A</v>
      </c>
      <c r="M677" s="5" t="e">
        <f ca="1">IF(OR(INDEX($AI$2:$AI$1001,MATCH(ROWS($AH$2:AH677),$AH$2:$AH$1001,0),1)&gt;=100000,INDEX($AO$1005:$BQ$1005,1,MATCH(COLUMNS($AO$1006:AZ1006),$AO$1006:$BQ$1006,0))&gt;=100000), " ",IF(INDEX($AO$2:$BQ$1001,MATCH(ROWS($AH$2:AH677),$AH$2:$AH$1001,0),MATCH(COLUMNS($AO$1006:AZ1006),$AO$1006:$BQ$1006,0)), HYPERLINK("#",""), HYPERLINK(CONCATENATE("#Metadata!", ADDRESS(INDEX($AJ$2:$AJ$1001,MATCH(ROWS($AH$2:AH677),$AH$2:$AH$1001,0),0), INDEX($AO$1004:$BQ$1004,1,MATCH(COLUMNS($AO$1006:AZ1006),$AO$1006:$BQ$1006,0)))),"Fix")))</f>
        <v>#N/A</v>
      </c>
      <c r="N677" s="5" t="e">
        <f ca="1">IF(OR(INDEX($AI$2:$AI$1001,MATCH(ROWS($AH$2:AH677),$AH$2:$AH$1001,0),1)&gt;=100000,INDEX($AO$1005:$BQ$1005,1,MATCH(COLUMNS($AO$1006:BA1006),$AO$1006:$BQ$1006,0))&gt;=100000), " ",IF(INDEX($AO$2:$BQ$1001,MATCH(ROWS($AH$2:AH677),$AH$2:$AH$1001,0),MATCH(COLUMNS($AO$1006:BA1006),$AO$1006:$BQ$1006,0)), HYPERLINK("#",""), HYPERLINK(CONCATENATE("#Metadata!", ADDRESS(INDEX($AJ$2:$AJ$1001,MATCH(ROWS($AH$2:AH677),$AH$2:$AH$1001,0),0), INDEX($AO$1004:$BQ$1004,1,MATCH(COLUMNS($AO$1006:BA1006),$AO$1006:$BQ$1006,0)))),"Fix")))</f>
        <v>#N/A</v>
      </c>
      <c r="O677" s="5" t="e">
        <f ca="1">IF(OR(INDEX($AI$2:$AI$1001,MATCH(ROWS($AH$2:AH677),$AH$2:$AH$1001,0),1)&gt;=100000,INDEX($AO$1005:$BQ$1005,1,MATCH(COLUMNS($AO$1006:BB1006),$AO$1006:$BQ$1006,0))&gt;=100000), " ",IF(INDEX($AO$2:$BQ$1001,MATCH(ROWS($AH$2:AH677),$AH$2:$AH$1001,0),MATCH(COLUMNS($AO$1006:BB1006),$AO$1006:$BQ$1006,0)), HYPERLINK("#",""), HYPERLINK(CONCATENATE("#Metadata!", ADDRESS(INDEX($AJ$2:$AJ$1001,MATCH(ROWS($AH$2:AH677),$AH$2:$AH$1001,0),0), INDEX($AO$1004:$BQ$1004,1,MATCH(COLUMNS($AO$1006:BB1006),$AO$1006:$BQ$1006,0)))),"Fix")))</f>
        <v>#N/A</v>
      </c>
      <c r="P677" s="5" t="e">
        <f ca="1">IF(OR(INDEX($AI$2:$AI$1001,MATCH(ROWS($AH$2:AH677),$AH$2:$AH$1001,0),1)&gt;=100000,INDEX($AO$1005:$BQ$1005,1,MATCH(COLUMNS($AO$1006:BC1006),$AO$1006:$BQ$1006,0))&gt;=100000), " ",IF(INDEX($AO$2:$BQ$1001,MATCH(ROWS($AH$2:AH677),$AH$2:$AH$1001,0),MATCH(COLUMNS($AO$1006:BC1006),$AO$1006:$BQ$1006,0)), HYPERLINK("#",""), HYPERLINK(CONCATENATE("#Metadata!", ADDRESS(INDEX($AJ$2:$AJ$1001,MATCH(ROWS($AH$2:AH677),$AH$2:$AH$1001,0),0), INDEX($AO$1004:$BQ$1004,1,MATCH(COLUMNS($AO$1006:BC1006),$AO$1006:$BQ$1006,0)))),"Fix")))</f>
        <v>#N/A</v>
      </c>
      <c r="Q677" s="5" t="e">
        <f ca="1">IF(OR(INDEX($AI$2:$AI$1001,MATCH(ROWS($AH$2:AH677),$AH$2:$AH$1001,0),1)&gt;=100000,INDEX($AO$1005:$BQ$1005,1,MATCH(COLUMNS($AO$1006:BD1006),$AO$1006:$BQ$1006,0))&gt;=100000), " ",IF(INDEX($AO$2:$BQ$1001,MATCH(ROWS($AH$2:AH677),$AH$2:$AH$1001,0),MATCH(COLUMNS($AO$1006:BD1006),$AO$1006:$BQ$1006,0)), HYPERLINK("#",""), HYPERLINK(CONCATENATE("#Metadata!", ADDRESS(INDEX($AJ$2:$AJ$1001,MATCH(ROWS($AH$2:AH677),$AH$2:$AH$1001,0),0), INDEX($AO$1004:$BQ$1004,1,MATCH(COLUMNS($AO$1006:BD1006),$AO$1006:$BQ$1006,0)))),"Fix")))</f>
        <v>#N/A</v>
      </c>
      <c r="R677" s="5" t="e">
        <f ca="1">IF(OR(INDEX($AI$2:$AI$1001,MATCH(ROWS($AH$2:AH677),$AH$2:$AH$1001,0),1)&gt;=100000,INDEX($AO$1005:$BQ$1005,1,MATCH(COLUMNS($AO$1006:BE1006),$AO$1006:$BQ$1006,0))&gt;=100000), " ",IF(INDEX($AO$2:$BQ$1001,MATCH(ROWS($AH$2:AH677),$AH$2:$AH$1001,0),MATCH(COLUMNS($AO$1006:BE1006),$AO$1006:$BQ$1006,0)), HYPERLINK("#",""), HYPERLINK(CONCATENATE("#Metadata!", ADDRESS(INDEX($AJ$2:$AJ$1001,MATCH(ROWS($AH$2:AH677),$AH$2:$AH$1001,0),0), INDEX($AO$1004:$BQ$1004,1,MATCH(COLUMNS($AO$1006:BE1006),$AO$1006:$BQ$1006,0)))),"Fix")))</f>
        <v>#N/A</v>
      </c>
      <c r="S677" s="5" t="e">
        <f ca="1">IF(OR(INDEX($AI$2:$AI$1001,MATCH(ROWS($AH$2:AH677),$AH$2:$AH$1001,0),1)&gt;=100000,INDEX($AO$1005:$BQ$1005,1,MATCH(COLUMNS($AO$1006:BF1006),$AO$1006:$BQ$1006,0))&gt;=100000), " ",IF(INDEX($AO$2:$BQ$1001,MATCH(ROWS($AH$2:AH677),$AH$2:$AH$1001,0),MATCH(COLUMNS($AO$1006:BF1006),$AO$1006:$BQ$1006,0)), HYPERLINK("#",""), HYPERLINK(CONCATENATE("#Metadata!", ADDRESS(INDEX($AJ$2:$AJ$1001,MATCH(ROWS($AH$2:AH677),$AH$2:$AH$1001,0),0), INDEX($AO$1004:$BQ$1004,1,MATCH(COLUMNS($AO$1006:BF1006),$AO$1006:$BQ$1006,0)))),"Fix")))</f>
        <v>#N/A</v>
      </c>
      <c r="T677" s="5" t="e">
        <f ca="1">IF(OR(INDEX($AI$2:$AI$1001,MATCH(ROWS($AH$2:AH677),$AH$2:$AH$1001,0),1)&gt;=100000,INDEX($AO$1005:$BQ$1005,1,MATCH(COLUMNS($AO$1006:BG1006),$AO$1006:$BQ$1006,0))&gt;=100000), " ",IF(INDEX($AO$2:$BQ$1001,MATCH(ROWS($AH$2:AH677),$AH$2:$AH$1001,0),MATCH(COLUMNS($AO$1006:BG1006),$AO$1006:$BQ$1006,0)), HYPERLINK("#",""), HYPERLINK(CONCATENATE("#Metadata!", ADDRESS(INDEX($AJ$2:$AJ$1001,MATCH(ROWS($AH$2:AH677),$AH$2:$AH$1001,0),0), INDEX($AO$1004:$BQ$1004,1,MATCH(COLUMNS($AO$1006:BG1006),$AO$1006:$BQ$1006,0)))),"Fix")))</f>
        <v>#N/A</v>
      </c>
      <c r="U677" s="5" t="e">
        <f ca="1">IF(OR(INDEX($AI$2:$AI$1001,MATCH(ROWS($AH$2:AH677),$AH$2:$AH$1001,0),1)&gt;=100000,INDEX($AO$1005:$BQ$1005,1,MATCH(COLUMNS($AO$1006:BH1006),$AO$1006:$BQ$1006,0))&gt;=100000), " ",IF(INDEX($AO$2:$BQ$1001,MATCH(ROWS($AH$2:AH677),$AH$2:$AH$1001,0),MATCH(COLUMNS($AO$1006:BH1006),$AO$1006:$BQ$1006,0)), HYPERLINK("#",""), HYPERLINK(CONCATENATE("#Metadata!", ADDRESS(INDEX($AJ$2:$AJ$1001,MATCH(ROWS($AH$2:AH677),$AH$2:$AH$1001,0),0), INDEX($AO$1004:$BQ$1004,1,MATCH(COLUMNS($AO$1006:BH1006),$AO$1006:$BQ$1006,0)))),"Fix")))</f>
        <v>#N/A</v>
      </c>
      <c r="V677" s="5" t="e">
        <f ca="1">IF(OR(INDEX($AI$2:$AI$1001,MATCH(ROWS($AH$2:AH677),$AH$2:$AH$1001,0),1)&gt;=100000,INDEX($AO$1005:$BQ$1005,1,MATCH(COLUMNS($AO$1006:BI1006),$AO$1006:$BQ$1006,0))&gt;=100000), " ",IF(INDEX($AO$2:$BQ$1001,MATCH(ROWS($AH$2:AH677),$AH$2:$AH$1001,0),MATCH(COLUMNS($AO$1006:BI1006),$AO$1006:$BQ$1006,0)), HYPERLINK("#",""), HYPERLINK(CONCATENATE("#Metadata!", ADDRESS(INDEX($AJ$2:$AJ$1001,MATCH(ROWS($AH$2:AH677),$AH$2:$AH$1001,0),0), INDEX($AO$1004:$BQ$1004,1,MATCH(COLUMNS($AO$1006:BI1006),$AO$1006:$BQ$1006,0)))),"Fix")))</f>
        <v>#N/A</v>
      </c>
      <c r="W677" s="5" t="e">
        <f ca="1">IF(OR(INDEX($AI$2:$AI$1001,MATCH(ROWS($AH$2:AH677),$AH$2:$AH$1001,0),1)&gt;=100000,INDEX($AO$1005:$BQ$1005,1,MATCH(COLUMNS($AO$1006:BJ1006),$AO$1006:$BQ$1006,0))&gt;=100000), " ",IF(INDEX($AO$2:$BQ$1001,MATCH(ROWS($AH$2:AH677),$AH$2:$AH$1001,0),MATCH(COLUMNS($AO$1006:BJ1006),$AO$1006:$BQ$1006,0)), HYPERLINK("#",""), HYPERLINK(CONCATENATE("#Metadata!", ADDRESS(INDEX($AJ$2:$AJ$1001,MATCH(ROWS($AH$2:AH677),$AH$2:$AH$1001,0),0), INDEX($AO$1004:$BQ$1004,1,MATCH(COLUMNS($AO$1006:BJ1006),$AO$1006:$BQ$1006,0)))),"Fix")))</f>
        <v>#N/A</v>
      </c>
      <c r="X677" s="5" t="e">
        <f ca="1">IF(OR(INDEX($AI$2:$AI$1001,MATCH(ROWS($AH$2:AH677),$AH$2:$AH$1001,0),1)&gt;=100000,INDEX($AO$1005:$BQ$1005,1,MATCH(COLUMNS($AO$1006:BK1006),$AO$1006:$BQ$1006,0))&gt;=100000), " ",IF(INDEX($AO$2:$BQ$1001,MATCH(ROWS($AH$2:AH677),$AH$2:$AH$1001,0),MATCH(COLUMNS($AO$1006:BK1006),$AO$1006:$BQ$1006,0)), HYPERLINK("#",""), HYPERLINK(CONCATENATE("#Metadata!", ADDRESS(INDEX($AJ$2:$AJ$1001,MATCH(ROWS($AH$2:AH677),$AH$2:$AH$1001,0),0), INDEX($AO$1004:$BQ$1004,1,MATCH(COLUMNS($AO$1006:BK1006),$AO$1006:$BQ$1006,0)))),"Fix")))</f>
        <v>#N/A</v>
      </c>
      <c r="Y677" s="5" t="e">
        <f ca="1">IF(OR(INDEX($AI$2:$AI$1001,MATCH(ROWS($AH$2:AH677),$AH$2:$AH$1001,0),1)&gt;=100000,INDEX($AO$1005:$BQ$1005,1,MATCH(COLUMNS($AO$1006:BL1006),$AO$1006:$BQ$1006,0))&gt;=100000), " ",IF(INDEX($AO$2:$BQ$1001,MATCH(ROWS($AH$2:AH677),$AH$2:$AH$1001,0),MATCH(COLUMNS($AO$1006:BL1006),$AO$1006:$BQ$1006,0)), HYPERLINK("#",""), HYPERLINK(CONCATENATE("#Metadata!", ADDRESS(INDEX($AJ$2:$AJ$1001,MATCH(ROWS($AH$2:AH677),$AH$2:$AH$1001,0),0), INDEX($AO$1004:$BQ$1004,1,MATCH(COLUMNS($AO$1006:BL1006),$AO$1006:$BQ$1006,0)))),"Fix")))</f>
        <v>#N/A</v>
      </c>
      <c r="Z677" s="5" t="e">
        <f ca="1">IF(OR(INDEX($AI$2:$AI$1001,MATCH(ROWS($AH$2:AH677),$AH$2:$AH$1001,0),1)&gt;=100000,INDEX($AO$1005:$BQ$1005,1,MATCH(COLUMNS($AO$1006:BM1006),$AO$1006:$BQ$1006,0))&gt;=100000), " ",IF(INDEX($AO$2:$BQ$1001,MATCH(ROWS($AH$2:AH677),$AH$2:$AH$1001,0),MATCH(COLUMNS($AO$1006:BM1006),$AO$1006:$BQ$1006,0)), HYPERLINK("#",""), HYPERLINK(CONCATENATE("#Metadata!", ADDRESS(INDEX($AJ$2:$AJ$1001,MATCH(ROWS($AH$2:AH677),$AH$2:$AH$1001,0),0), INDEX($AO$1004:$BQ$1004,1,MATCH(COLUMNS($AO$1006:BM1006),$AO$1006:$BQ$1006,0)))),"Fix")))</f>
        <v>#N/A</v>
      </c>
      <c r="AA677" s="5" t="e">
        <f ca="1">IF(OR(INDEX($AI$2:$AI$1001,MATCH(ROWS($AH$2:AH677),$AH$2:$AH$1001,0),1)&gt;=100000,INDEX($AO$1005:$BQ$1005,1,MATCH(COLUMNS($AO$1006:BN1006),$AO$1006:$BQ$1006,0))&gt;=100000), " ",IF(INDEX($AO$2:$BQ$1001,MATCH(ROWS($AH$2:AH677),$AH$2:$AH$1001,0),MATCH(COLUMNS($AO$1006:BN1006),$AO$1006:$BQ$1006,0)), HYPERLINK("#",""), HYPERLINK(CONCATENATE("#Metadata!", ADDRESS(INDEX($AJ$2:$AJ$1001,MATCH(ROWS($AH$2:AH677),$AH$2:$AH$1001,0),0), INDEX($AO$1004:$BQ$1004,1,MATCH(COLUMNS($AO$1006:BN1006),$AO$1006:$BQ$1006,0)))),"Fix")))</f>
        <v>#N/A</v>
      </c>
      <c r="AB677" s="5" t="e">
        <f ca="1">IF(OR(INDEX($AI$2:$AI$1001,MATCH(ROWS($AH$2:AH677),$AH$2:$AH$1001,0),1)&gt;=100000,INDEX($AO$1005:$BQ$1005,1,MATCH(COLUMNS($AO$1006:BO1006),$AO$1006:$BQ$1006,0))&gt;=100000), " ",IF(INDEX($AO$2:$BQ$1001,MATCH(ROWS($AH$2:AH677),$AH$2:$AH$1001,0),MATCH(COLUMNS($AO$1006:BO1006),$AO$1006:$BQ$1006,0)), HYPERLINK("#",""), HYPERLINK(CONCATENATE("#Metadata!", ADDRESS(INDEX($AJ$2:$AJ$1001,MATCH(ROWS($AH$2:AH677),$AH$2:$AH$1001,0),0), INDEX($AO$1004:$BQ$1004,1,MATCH(COLUMNS($AO$1006:BO1006),$AO$1006:$BQ$1006,0)))),"Fix")))</f>
        <v>#N/A</v>
      </c>
      <c r="AC677" s="5" t="e">
        <f ca="1">IF(OR(INDEX($AI$2:$AI$1001,MATCH(ROWS($AH$2:AH677),$AH$2:$AH$1001,0),1)&gt;=100000,INDEX($AO$1005:$BQ$1005,1,MATCH(COLUMNS($AO$1006:BP1006),$AO$1006:$BQ$1006,0))&gt;=100000), " ",IF(INDEX($AO$2:$BQ$1001,MATCH(ROWS($AH$2:AH677),$AH$2:$AH$1001,0),MATCH(COLUMNS($AO$1006:BP1006),$AO$1006:$BQ$1006,0)), HYPERLINK("#",""), HYPERLINK(CONCATENATE("#Metadata!", ADDRESS(INDEX($AJ$2:$AJ$1001,MATCH(ROWS($AH$2:AH677),$AH$2:$AH$1001,0),0), INDEX($AO$1004:$BQ$1004,1,MATCH(COLUMNS($AO$1006:BP1006),$AO$1006:$BQ$1006,0)))),"Fix")))</f>
        <v>#N/A</v>
      </c>
      <c r="AD677" s="5" t="e">
        <f ca="1">IF(OR(INDEX($AI$2:$AI$1001,MATCH(ROWS($AH$2:AH677),$AH$2:$AH$1001,0),1)&gt;=100000,INDEX($AO$1005:$BQ$1005,1,MATCH(COLUMNS($AO$1006:BQ1006),$AO$1006:$BQ$1006,0))&gt;=100000), " ",IF(INDEX($AO$2:$BQ$1001,MATCH(ROWS($AH$2:AH677),$AH$2:$AH$1001,0),MATCH(COLUMNS($AO$1006:BQ1006),$AO$1006:$BQ$1006,0)), HYPERLINK("#",""), HYPERLINK(CONCATENATE("#Metadata!", ADDRESS(INDEX($AJ$2:$AJ$1001,MATCH(ROWS($AH$2:AH677),$AH$2:$AH$1001,0),0), INDEX($AO$1004:$BQ$1004,1,MATCH(COLUMNS($AO$1006:BQ1006),$AO$1006:$BQ$1006,0)))),"Fix")))</f>
        <v>#REF!</v>
      </c>
      <c r="AH677">
        <f ca="1"/>
        <v>674</v>
      </c>
      <c r="AI677">
        <v>100677</v>
      </c>
      <c r="AJ677">
        <v>677</v>
      </c>
      <c r="AK677" t="b">
        <f t="shared" si="10"/>
        <v>1</v>
      </c>
      <c r="AL677" t="b">
        <f>COUNTBLANK(Metadata!B677:AD677)=COLUMNS(Metadata!B677:AD677)</f>
        <v>1</v>
      </c>
      <c r="AM677" t="str">
        <v/>
      </c>
      <c r="AO677" t="b">
        <f ca="1">AND(IF(Metadata!B677="",FALSE,TRUE),COUNTIF(Metadata!B:B, Metadata!B677) = 1,NOT(ISERROR(SUMPRODUCT(SEARCH(MID(Metadata!B677,ROW(INDIRECT("1:"&amp;LEN(Metadata!B677))), 1),"0123456789abcdefghijklmnopqrstuvwxyzABCDEFGHIJKLMNOPQRSTUVWXYZ.")))))</f>
        <v>0</v>
      </c>
      <c r="AP677" t="b">
        <f>IF(Metadata!C677="",FALSE,TRUE)</f>
        <v>0</v>
      </c>
      <c r="AQ677" t="b">
        <f>IF(Metadata!D677="",FALSE,TRUE)</f>
        <v>0</v>
      </c>
      <c r="AR677" t="b">
        <f ca="1">OR(AND(IF(Metadata!E677="",FALSE,TRUE),OR(EXACT(Metadata!E677,"not collected"),EXACT(Metadata!E677,"not provided"),EXACT(Metadata!E677,"restricted access"))),AND(IF(Metadata!E677="",FALSE,TRUE),AND(AND(IFERROR(INT(LEFT(Metadata!E677,4))&gt;1900,FALSE),IFERROR(INT(LEFT(Metadata!E677,4))&lt;=YEAR(NOW()),FALSE)), OR(MID(Metadata!E677,5,1)="", AND(AND(MID(Metadata!E677,5,1)="-",IFERROR(INT(MID(Metadata!E677,6,1))&gt;=0,FALSE),IFERROR(INT(MID(Metadata!E677,6,1))&lt;=1,FALSE),NOT(MID(Metadata!E677,7,1)=""),IFERROR(INT(MID(Metadata!E677,6,2))&gt;=1,FALSE),IFERROR(INT(MID(Metadata!E677,6,2))&lt;=12,FALSE)), OR(MID(Metadata!E677,8,1)="", AND(AND(MID(Metadata!E677,8,1)="-",IFERROR(INT(MID(Metadata!E677,9,1))&gt;=0,FALSE),IFERROR(INT(MID(Metadata!E677,9,1))&lt;=3,FALSE),NOT(MID(Metadata!E677,10,1)=""),IFERROR(INT(MID(Metadata!E677,9,2))&gt;=1,FALSE),IFERROR(INT(MID(Metadata!E677,9,2))&lt;=31,FALSE)), OR(MID(Metadata!E677,11,1)="", AND(AND(MID(Metadata!E677,11,1)=" ",IFERROR(INT(MID(Metadata!E677,12,1))&gt;=0,FALSE),IFERROR(INT(MID(Metadata!E677,12,1))&lt;=2,FALSE),NOT(MID(Metadata!E677,13,1)=""),IFERROR(INT(MID(Metadata!E677,12,2))&gt;=0,FALSE),IFERROR(INT(MID(Metadata!E677,12,2))&lt;=23,FALSE)), OR(MID(Metadata!E677,14,1)="", AND(AND(MID(Metadata!E677,14,1)=":",IFERROR(INT(MID(Metadata!E677,15,1))&gt;=0,FALSE),IFERROR(INT(MID(Metadata!E677,15,1))&lt;=5,FALSE),NOT(MID(Metadata!E677,16,1)=""),IFERROR(INT(MID(Metadata!E677,15,2))&gt;=0,FALSE),IFERROR(INT(MID(Metadata!E677,15,2))&lt;=59,FALSE)), OR(MID(Metadata!E677,17,1)="", AND(AND(MID(Metadata!E677,17,1)=":",IFERROR(INT(MID(Metadata!E677,18,1))&gt;=0,FALSE),IFERROR(INT(MID(Metadata!E677,18,1))&lt;=5,FALSE),NOT(MID(Metadata!E677,19,1)=""),IFERROR(INT(MID(Metadata!E677,18,2))&gt;=0,FALSE),IFERROR(INT(MID(Metadata!E677,18,2))&lt;=59,FALSE)), LEN(Metadata!E677)&lt;=19)))))))))))))</f>
        <v>0</v>
      </c>
      <c r="AS677" t="b">
        <f>IF(Metadata!F677="",FALSE,TRUE)</f>
        <v>0</v>
      </c>
      <c r="AT677" t="b">
        <f>OR(AND(IF(Metadata!G677="",FALSE,TRUE),OR(EXACT(Metadata!G677,"not collected"),EXACT(Metadata!G677,"not provided"))),AND(IF(Metadata!G677="",FALSE,TRUE),OR(EXACT(Metadata!G677,"TRUE"),EXACT(Metadata!G677,"FALSE"))))</f>
        <v>0</v>
      </c>
      <c r="AU677" t="b">
        <f>OR(AND(IF(Metadata!H677="",FALSE,TRUE),OR(EXACT(Metadata!H677,"not collected"),EXACT(Metadata!H677,"not provided"),EXACT(Metadata!H677,"restricted access"))),AND(IF(Metadata!H677="",FALSE,ISNUMBER(VALUE(Metadata!H677))),Metadata!H677&gt;=-413))</f>
        <v>0</v>
      </c>
      <c r="AV677" t="b">
        <f>AND(IF(Metadata!I677="",FALSE,TRUE),EXACT(Metadata!I677,"meters"))</f>
        <v>0</v>
      </c>
      <c r="AW677" t="b">
        <f>AND(IF(Metadata!J677="",FALSE,TRUE),EXACT(Metadata!J677,"free-living"))</f>
        <v>0</v>
      </c>
      <c r="AX677" t="b">
        <f>AND(IF(Metadata!K677="",FALSE,TRUE),OR(EXACT(Metadata!K677,"saline"),EXACT(Metadata!K677,"non-saline")))</f>
        <v>0</v>
      </c>
      <c r="AY677" t="b">
        <f>AND(IF(Metadata!L677="",FALSE,TRUE),OR(EXACT(Metadata!L677,"sub-surface (non-saline)"),EXACT(Metadata!L677,"surface (non-saline)"),EXACT(Metadata!L677,"water (non-saline)"),EXACT(Metadata!L677,"soil (non-saline)"),EXACT(Metadata!L677,"aerosol (non-saline)"),EXACT(Metadata!L677,"sediment (non-saline)"),EXACT(Metadata!L677,"surface (saline)"),EXACT(Metadata!L677,"water (saline)"),EXACT(Metadata!L677,"hypersaline (saline)"),EXACT(Metadata!L677,"aerosol (saline)"),EXACT(Metadata!L677,"sediment (saline)")))</f>
        <v>0</v>
      </c>
      <c r="AZ677" t="b">
        <f>IF(Metadata!M677="",FALSE,TRUE)</f>
        <v>0</v>
      </c>
      <c r="BA677" t="b">
        <f>IF(Metadata!N677="",FALSE,TRUE)</f>
        <v>0</v>
      </c>
      <c r="BB677" t="b">
        <f>IF(Metadata!O677="",FALSE,TRUE)</f>
        <v>0</v>
      </c>
      <c r="BC677" t="b">
        <f>AND(IF(Metadata!P677="",FALSE,TRUE),OR(EXACT(Metadata!P677,"air"),EXACT(Metadata!P677,"microbial mat/biofilm"),EXACT(Metadata!P677,"misc environment"),EXACT(Metadata!P677,"sediment"),EXACT(Metadata!P677,"soil"),EXACT(Metadata!P677,"wastewater/sludge"),EXACT(Metadata!P677,"water")))</f>
        <v>0</v>
      </c>
      <c r="BD677" t="b">
        <f>IF(Metadata!Q677="",FALSE,TRUE)</f>
        <v>0</v>
      </c>
      <c r="BE677" t="b">
        <f>IF(Metadata!R677="",FALSE,TRUE)</f>
        <v>0</v>
      </c>
      <c r="BF677" t="b">
        <f>OR(AND(IF(Metadata!S677="",FALSE,TRUE),OR(EXACT(Metadata!S677,"not collected"),EXACT(Metadata!S677,"not provided"),EXACT(Metadata!S677,"restricted access"))),AND(IF(Metadata!S677="",FALSE,ISNUMBER(VALUE(Metadata!S677))),Metadata!S677&gt;=-90,Metadata!S677&lt;=90))</f>
        <v>0</v>
      </c>
      <c r="BG677" t="b">
        <f>AND(IF(Metadata!T677="",FALSE,TRUE),EXACT(Metadata!T677,"Decimal degrees"))</f>
        <v>0</v>
      </c>
      <c r="BH677" t="b">
        <f>OR(AND(IF(Metadata!U677="",FALSE,TRUE),OR(EXACT(Metadata!U677,"not applicable"),EXACT(Metadata!U677,"not collected"))),IF(Metadata!U677="",FALSE,TRUE))</f>
        <v>0</v>
      </c>
      <c r="BI677" t="b">
        <f>OR(AND(IF(Metadata!V677="",FALSE,TRUE),OR(EXACT(Metadata!V677,"not collected"),EXACT(Metadata!V677,"not provided"),EXACT(Metadata!V677,"restricted access"))),AND(IF(Metadata!V677="",FALSE,ISNUMBER(VALUE(Metadata!V677))),Metadata!V677&gt;=-180,Metadata!V677&lt;=180))</f>
        <v>0</v>
      </c>
      <c r="BJ677" t="b">
        <f>AND(IF(Metadata!W677="",FALSE,TRUE),EXACT(Metadata!W677,"Decimal degrees"))</f>
        <v>0</v>
      </c>
      <c r="BK677" t="b">
        <f>IF(Metadata!X677="",FALSE,TRUE)</f>
        <v>0</v>
      </c>
      <c r="BL677" t="b">
        <f>OR(AND(IF(Metadata!Y677="",FALSE,TRUE),OR(EXACT(Metadata!Y677,"not collected"),EXACT(Metadata!Y677,"not provided"),EXACT(Metadata!Y677,"restricted access"))),AND(IF(Metadata!Y677="",FALSE,TRUE),OR(EXACT(Metadata!Y677,"TRUE"),EXACT(Metadata!Y677,"FALSE"))))</f>
        <v>0</v>
      </c>
      <c r="BM677" t="b">
        <f>OR(AND(IF(Metadata!Z677="",FALSE,TRUE),EXACT(Metadata!Z677,"not applicable")),AND(IF(Metadata!Z677="",FALSE,TRUE),OR(EXACT(Metadata!Z677,"beer"),EXACT(Metadata!Z677,"cheese"),EXACT(Metadata!Z677,"fresh water"),EXACT(Metadata!Z677,"marine sediment"),EXACT(Metadata!Z677,"sea water"),EXACT(Metadata!Z677,"sediment"),EXACT(Metadata!Z677,"soil"),EXACT(Metadata!Z677,"waste water"))))</f>
        <v>0</v>
      </c>
      <c r="BN677" t="b">
        <f>AND(IF(Metadata!AA677="",FALSE,TRUE),EXACT(Metadata!AA677,"metagenome"))</f>
        <v>0</v>
      </c>
      <c r="BO677" t="b">
        <f>AND(IF(Metadata!AB677="",FALSE,TRUE),EXACT(Metadata!AB677,"256318"))</f>
        <v>0</v>
      </c>
      <c r="BP677" t="b">
        <f>IF(Metadata!AC677="",FALSE,TRUE)</f>
        <v>0</v>
      </c>
      <c r="BQ677" t="b">
        <f>IF(Metadata!AD677="",FALSE,TRUE)</f>
        <v>0</v>
      </c>
    </row>
    <row r="678" spans="1:69" x14ac:dyDescent="0.2">
      <c r="A678" s="4" t="e">
        <f ca="1">IF(B678=" "," ",HYPERLINK(CONCATENATE("#metadata!",ADDRESS(INDEX($AJ$2:$AJ$1001,MATCH(ROWS($AH$2:AH678),$AH$2:$AH$1001,0),0),2)),INDEX($AM$2:$AM$1001,MATCH(ROWS($AH$2:AH678),$AH$2:$AH$1001,0),0)))</f>
        <v>#N/A</v>
      </c>
      <c r="B678" s="5" t="e">
        <f ca="1">IF(OR(INDEX($AI$2:$AI$1001,MATCH(ROWS($AH$2:AH678),$AH$2:$AH$1001,0),1)&gt;=100000,INDEX($AO$1005:$BQ$1005,1,MATCH(COLUMNS($AO$1006:AO1006),$AO$1006:$BQ$1006,0))&gt;=100000), " ",IF(INDEX($AO$2:$BQ$1001,MATCH(ROWS($AH$2:AH678),$AH$2:$AH$1001,0),MATCH(COLUMNS($AO$1006:AO1006),$AO$1006:$BQ$1006,0)), HYPERLINK("#",""), HYPERLINK(CONCATENATE("#Metadata!", ADDRESS(INDEX($AJ$2:$AJ$1001,MATCH(ROWS($AH$2:AH678),$AH$2:$AH$1001,0),0), INDEX($AO$1004:$BQ$1004,1,MATCH(COLUMNS($AO$1006:AO1006),$AO$1006:$BQ$1006,0)))),"Fix")))</f>
        <v>#N/A</v>
      </c>
      <c r="C678" s="5" t="e">
        <f ca="1">IF(OR(INDEX($AI$2:$AI$1001,MATCH(ROWS($AH$2:AH678),$AH$2:$AH$1001,0),1)&gt;=100000,INDEX($AO$1005:$BQ$1005,1,MATCH(COLUMNS($AO$1006:AP1006),$AO$1006:$BQ$1006,0))&gt;=100000), " ",IF(INDEX($AO$2:$BQ$1001,MATCH(ROWS($AH$2:AH678),$AH$2:$AH$1001,0),MATCH(COLUMNS($AO$1006:AP1006),$AO$1006:$BQ$1006,0)), HYPERLINK("#",""), HYPERLINK(CONCATENATE("#Metadata!", ADDRESS(INDEX($AJ$2:$AJ$1001,MATCH(ROWS($AH$2:AH678),$AH$2:$AH$1001,0),0), INDEX($AO$1004:$BQ$1004,1,MATCH(COLUMNS($AO$1006:AP1006),$AO$1006:$BQ$1006,0)))),"Fix")))</f>
        <v>#N/A</v>
      </c>
      <c r="D678" s="5" t="e">
        <f ca="1">IF(OR(INDEX($AI$2:$AI$1001,MATCH(ROWS($AH$2:AH678),$AH$2:$AH$1001,0),1)&gt;=100000,INDEX($AO$1005:$BQ$1005,1,MATCH(COLUMNS($AO$1006:AQ1006),$AO$1006:$BQ$1006,0))&gt;=100000), " ",IF(INDEX($AO$2:$BQ$1001,MATCH(ROWS($AH$2:AH678),$AH$2:$AH$1001,0),MATCH(COLUMNS($AO$1006:AQ1006),$AO$1006:$BQ$1006,0)), HYPERLINK("#",""), HYPERLINK(CONCATENATE("#Metadata!", ADDRESS(INDEX($AJ$2:$AJ$1001,MATCH(ROWS($AH$2:AH678),$AH$2:$AH$1001,0),0), INDEX($AO$1004:$BQ$1004,1,MATCH(COLUMNS($AO$1006:AQ1006),$AO$1006:$BQ$1006,0)))),"Fix")))</f>
        <v>#N/A</v>
      </c>
      <c r="E678" s="5" t="e">
        <f ca="1">IF(OR(INDEX($AI$2:$AI$1001,MATCH(ROWS($AH$2:AH678),$AH$2:$AH$1001,0),1)&gt;=100000,INDEX($AO$1005:$BQ$1005,1,MATCH(COLUMNS($AO$1006:AR1006),$AO$1006:$BQ$1006,0))&gt;=100000), " ",IF(INDEX($AO$2:$BQ$1001,MATCH(ROWS($AH$2:AH678),$AH$2:$AH$1001,0),MATCH(COLUMNS($AO$1006:AR1006),$AO$1006:$BQ$1006,0)), HYPERLINK("#",""), HYPERLINK(CONCATENATE("#Metadata!", ADDRESS(INDEX($AJ$2:$AJ$1001,MATCH(ROWS($AH$2:AH678),$AH$2:$AH$1001,0),0), INDEX($AO$1004:$BQ$1004,1,MATCH(COLUMNS($AO$1006:AR1006),$AO$1006:$BQ$1006,0)))),"Fix")))</f>
        <v>#N/A</v>
      </c>
      <c r="F678" s="5" t="e">
        <f ca="1">IF(OR(INDEX($AI$2:$AI$1001,MATCH(ROWS($AH$2:AH678),$AH$2:$AH$1001,0),1)&gt;=100000,INDEX($AO$1005:$BQ$1005,1,MATCH(COLUMNS($AO$1006:AS1006),$AO$1006:$BQ$1006,0))&gt;=100000), " ",IF(INDEX($AO$2:$BQ$1001,MATCH(ROWS($AH$2:AH678),$AH$2:$AH$1001,0),MATCH(COLUMNS($AO$1006:AS1006),$AO$1006:$BQ$1006,0)), HYPERLINK("#",""), HYPERLINK(CONCATENATE("#Metadata!", ADDRESS(INDEX($AJ$2:$AJ$1001,MATCH(ROWS($AH$2:AH678),$AH$2:$AH$1001,0),0), INDEX($AO$1004:$BQ$1004,1,MATCH(COLUMNS($AO$1006:AS1006),$AO$1006:$BQ$1006,0)))),"Fix")))</f>
        <v>#N/A</v>
      </c>
      <c r="G678" s="5" t="e">
        <f ca="1">IF(OR(INDEX($AI$2:$AI$1001,MATCH(ROWS($AH$2:AH678),$AH$2:$AH$1001,0),1)&gt;=100000,INDEX($AO$1005:$BQ$1005,1,MATCH(COLUMNS($AO$1006:AT1006),$AO$1006:$BQ$1006,0))&gt;=100000), " ",IF(INDEX($AO$2:$BQ$1001,MATCH(ROWS($AH$2:AH678),$AH$2:$AH$1001,0),MATCH(COLUMNS($AO$1006:AT1006),$AO$1006:$BQ$1006,0)), HYPERLINK("#",""), HYPERLINK(CONCATENATE("#Metadata!", ADDRESS(INDEX($AJ$2:$AJ$1001,MATCH(ROWS($AH$2:AH678),$AH$2:$AH$1001,0),0), INDEX($AO$1004:$BQ$1004,1,MATCH(COLUMNS($AO$1006:AT1006),$AO$1006:$BQ$1006,0)))),"Fix")))</f>
        <v>#N/A</v>
      </c>
      <c r="H678" s="5" t="e">
        <f ca="1">IF(OR(INDEX($AI$2:$AI$1001,MATCH(ROWS($AH$2:AH678),$AH$2:$AH$1001,0),1)&gt;=100000,INDEX($AO$1005:$BQ$1005,1,MATCH(COLUMNS($AO$1006:AU1006),$AO$1006:$BQ$1006,0))&gt;=100000), " ",IF(INDEX($AO$2:$BQ$1001,MATCH(ROWS($AH$2:AH678),$AH$2:$AH$1001,0),MATCH(COLUMNS($AO$1006:AU1006),$AO$1006:$BQ$1006,0)), HYPERLINK("#",""), HYPERLINK(CONCATENATE("#Metadata!", ADDRESS(INDEX($AJ$2:$AJ$1001,MATCH(ROWS($AH$2:AH678),$AH$2:$AH$1001,0),0), INDEX($AO$1004:$BQ$1004,1,MATCH(COLUMNS($AO$1006:AU1006),$AO$1006:$BQ$1006,0)))),"Fix")))</f>
        <v>#N/A</v>
      </c>
      <c r="I678" s="5" t="e">
        <f ca="1">IF(OR(INDEX($AI$2:$AI$1001,MATCH(ROWS($AH$2:AH678),$AH$2:$AH$1001,0),1)&gt;=100000,INDEX($AO$1005:$BQ$1005,1,MATCH(COLUMNS($AO$1006:AV1006),$AO$1006:$BQ$1006,0))&gt;=100000), " ",IF(INDEX($AO$2:$BQ$1001,MATCH(ROWS($AH$2:AH678),$AH$2:$AH$1001,0),MATCH(COLUMNS($AO$1006:AV1006),$AO$1006:$BQ$1006,0)), HYPERLINK("#",""), HYPERLINK(CONCATENATE("#Metadata!", ADDRESS(INDEX($AJ$2:$AJ$1001,MATCH(ROWS($AH$2:AH678),$AH$2:$AH$1001,0),0), INDEX($AO$1004:$BQ$1004,1,MATCH(COLUMNS($AO$1006:AV1006),$AO$1006:$BQ$1006,0)))),"Fix")))</f>
        <v>#N/A</v>
      </c>
      <c r="J678" s="5" t="e">
        <f ca="1">IF(OR(INDEX($AI$2:$AI$1001,MATCH(ROWS($AH$2:AH678),$AH$2:$AH$1001,0),1)&gt;=100000,INDEX($AO$1005:$BQ$1005,1,MATCH(COLUMNS($AO$1006:AW1006),$AO$1006:$BQ$1006,0))&gt;=100000), " ",IF(INDEX($AO$2:$BQ$1001,MATCH(ROWS($AH$2:AH678),$AH$2:$AH$1001,0),MATCH(COLUMNS($AO$1006:AW1006),$AO$1006:$BQ$1006,0)), HYPERLINK("#",""), HYPERLINK(CONCATENATE("#Metadata!", ADDRESS(INDEX($AJ$2:$AJ$1001,MATCH(ROWS($AH$2:AH678),$AH$2:$AH$1001,0),0), INDEX($AO$1004:$BQ$1004,1,MATCH(COLUMNS($AO$1006:AW1006),$AO$1006:$BQ$1006,0)))),"Fix")))</f>
        <v>#N/A</v>
      </c>
      <c r="K678" s="5" t="e">
        <f ca="1">IF(OR(INDEX($AI$2:$AI$1001,MATCH(ROWS($AH$2:AH678),$AH$2:$AH$1001,0),1)&gt;=100000,INDEX($AO$1005:$BQ$1005,1,MATCH(COLUMNS($AO$1006:AX1006),$AO$1006:$BQ$1006,0))&gt;=100000), " ",IF(INDEX($AO$2:$BQ$1001,MATCH(ROWS($AH$2:AH678),$AH$2:$AH$1001,0),MATCH(COLUMNS($AO$1006:AX1006),$AO$1006:$BQ$1006,0)), HYPERLINK("#",""), HYPERLINK(CONCATENATE("#Metadata!", ADDRESS(INDEX($AJ$2:$AJ$1001,MATCH(ROWS($AH$2:AH678),$AH$2:$AH$1001,0),0), INDEX($AO$1004:$BQ$1004,1,MATCH(COLUMNS($AO$1006:AX1006),$AO$1006:$BQ$1006,0)))),"Fix")))</f>
        <v>#N/A</v>
      </c>
      <c r="L678" s="5" t="e">
        <f ca="1">IF(OR(INDEX($AI$2:$AI$1001,MATCH(ROWS($AH$2:AH678),$AH$2:$AH$1001,0),1)&gt;=100000,INDEX($AO$1005:$BQ$1005,1,MATCH(COLUMNS($AO$1006:AY1006),$AO$1006:$BQ$1006,0))&gt;=100000), " ",IF(INDEX($AO$2:$BQ$1001,MATCH(ROWS($AH$2:AH678),$AH$2:$AH$1001,0),MATCH(COLUMNS($AO$1006:AY1006),$AO$1006:$BQ$1006,0)), HYPERLINK("#",""), HYPERLINK(CONCATENATE("#Metadata!", ADDRESS(INDEX($AJ$2:$AJ$1001,MATCH(ROWS($AH$2:AH678),$AH$2:$AH$1001,0),0), INDEX($AO$1004:$BQ$1004,1,MATCH(COLUMNS($AO$1006:AY1006),$AO$1006:$BQ$1006,0)))),"Fix")))</f>
        <v>#N/A</v>
      </c>
      <c r="M678" s="5" t="e">
        <f ca="1">IF(OR(INDEX($AI$2:$AI$1001,MATCH(ROWS($AH$2:AH678),$AH$2:$AH$1001,0),1)&gt;=100000,INDEX($AO$1005:$BQ$1005,1,MATCH(COLUMNS($AO$1006:AZ1006),$AO$1006:$BQ$1006,0))&gt;=100000), " ",IF(INDEX($AO$2:$BQ$1001,MATCH(ROWS($AH$2:AH678),$AH$2:$AH$1001,0),MATCH(COLUMNS($AO$1006:AZ1006),$AO$1006:$BQ$1006,0)), HYPERLINK("#",""), HYPERLINK(CONCATENATE("#Metadata!", ADDRESS(INDEX($AJ$2:$AJ$1001,MATCH(ROWS($AH$2:AH678),$AH$2:$AH$1001,0),0), INDEX($AO$1004:$BQ$1004,1,MATCH(COLUMNS($AO$1006:AZ1006),$AO$1006:$BQ$1006,0)))),"Fix")))</f>
        <v>#N/A</v>
      </c>
      <c r="N678" s="5" t="e">
        <f ca="1">IF(OR(INDEX($AI$2:$AI$1001,MATCH(ROWS($AH$2:AH678),$AH$2:$AH$1001,0),1)&gt;=100000,INDEX($AO$1005:$BQ$1005,1,MATCH(COLUMNS($AO$1006:BA1006),$AO$1006:$BQ$1006,0))&gt;=100000), " ",IF(INDEX($AO$2:$BQ$1001,MATCH(ROWS($AH$2:AH678),$AH$2:$AH$1001,0),MATCH(COLUMNS($AO$1006:BA1006),$AO$1006:$BQ$1006,0)), HYPERLINK("#",""), HYPERLINK(CONCATENATE("#Metadata!", ADDRESS(INDEX($AJ$2:$AJ$1001,MATCH(ROWS($AH$2:AH678),$AH$2:$AH$1001,0),0), INDEX($AO$1004:$BQ$1004,1,MATCH(COLUMNS($AO$1006:BA1006),$AO$1006:$BQ$1006,0)))),"Fix")))</f>
        <v>#N/A</v>
      </c>
      <c r="O678" s="5" t="e">
        <f ca="1">IF(OR(INDEX($AI$2:$AI$1001,MATCH(ROWS($AH$2:AH678),$AH$2:$AH$1001,0),1)&gt;=100000,INDEX($AO$1005:$BQ$1005,1,MATCH(COLUMNS($AO$1006:BB1006),$AO$1006:$BQ$1006,0))&gt;=100000), " ",IF(INDEX($AO$2:$BQ$1001,MATCH(ROWS($AH$2:AH678),$AH$2:$AH$1001,0),MATCH(COLUMNS($AO$1006:BB1006),$AO$1006:$BQ$1006,0)), HYPERLINK("#",""), HYPERLINK(CONCATENATE("#Metadata!", ADDRESS(INDEX($AJ$2:$AJ$1001,MATCH(ROWS($AH$2:AH678),$AH$2:$AH$1001,0),0), INDEX($AO$1004:$BQ$1004,1,MATCH(COLUMNS($AO$1006:BB1006),$AO$1006:$BQ$1006,0)))),"Fix")))</f>
        <v>#N/A</v>
      </c>
      <c r="P678" s="5" t="e">
        <f ca="1">IF(OR(INDEX($AI$2:$AI$1001,MATCH(ROWS($AH$2:AH678),$AH$2:$AH$1001,0),1)&gt;=100000,INDEX($AO$1005:$BQ$1005,1,MATCH(COLUMNS($AO$1006:BC1006),$AO$1006:$BQ$1006,0))&gt;=100000), " ",IF(INDEX($AO$2:$BQ$1001,MATCH(ROWS($AH$2:AH678),$AH$2:$AH$1001,0),MATCH(COLUMNS($AO$1006:BC1006),$AO$1006:$BQ$1006,0)), HYPERLINK("#",""), HYPERLINK(CONCATENATE("#Metadata!", ADDRESS(INDEX($AJ$2:$AJ$1001,MATCH(ROWS($AH$2:AH678),$AH$2:$AH$1001,0),0), INDEX($AO$1004:$BQ$1004,1,MATCH(COLUMNS($AO$1006:BC1006),$AO$1006:$BQ$1006,0)))),"Fix")))</f>
        <v>#N/A</v>
      </c>
      <c r="Q678" s="5" t="e">
        <f ca="1">IF(OR(INDEX($AI$2:$AI$1001,MATCH(ROWS($AH$2:AH678),$AH$2:$AH$1001,0),1)&gt;=100000,INDEX($AO$1005:$BQ$1005,1,MATCH(COLUMNS($AO$1006:BD1006),$AO$1006:$BQ$1006,0))&gt;=100000), " ",IF(INDEX($AO$2:$BQ$1001,MATCH(ROWS($AH$2:AH678),$AH$2:$AH$1001,0),MATCH(COLUMNS($AO$1006:BD1006),$AO$1006:$BQ$1006,0)), HYPERLINK("#",""), HYPERLINK(CONCATENATE("#Metadata!", ADDRESS(INDEX($AJ$2:$AJ$1001,MATCH(ROWS($AH$2:AH678),$AH$2:$AH$1001,0),0), INDEX($AO$1004:$BQ$1004,1,MATCH(COLUMNS($AO$1006:BD1006),$AO$1006:$BQ$1006,0)))),"Fix")))</f>
        <v>#N/A</v>
      </c>
      <c r="R678" s="5" t="e">
        <f ca="1">IF(OR(INDEX($AI$2:$AI$1001,MATCH(ROWS($AH$2:AH678),$AH$2:$AH$1001,0),1)&gt;=100000,INDEX($AO$1005:$BQ$1005,1,MATCH(COLUMNS($AO$1006:BE1006),$AO$1006:$BQ$1006,0))&gt;=100000), " ",IF(INDEX($AO$2:$BQ$1001,MATCH(ROWS($AH$2:AH678),$AH$2:$AH$1001,0),MATCH(COLUMNS($AO$1006:BE1006),$AO$1006:$BQ$1006,0)), HYPERLINK("#",""), HYPERLINK(CONCATENATE("#Metadata!", ADDRESS(INDEX($AJ$2:$AJ$1001,MATCH(ROWS($AH$2:AH678),$AH$2:$AH$1001,0),0), INDEX($AO$1004:$BQ$1004,1,MATCH(COLUMNS($AO$1006:BE1006),$AO$1006:$BQ$1006,0)))),"Fix")))</f>
        <v>#N/A</v>
      </c>
      <c r="S678" s="5" t="e">
        <f ca="1">IF(OR(INDEX($AI$2:$AI$1001,MATCH(ROWS($AH$2:AH678),$AH$2:$AH$1001,0),1)&gt;=100000,INDEX($AO$1005:$BQ$1005,1,MATCH(COLUMNS($AO$1006:BF1006),$AO$1006:$BQ$1006,0))&gt;=100000), " ",IF(INDEX($AO$2:$BQ$1001,MATCH(ROWS($AH$2:AH678),$AH$2:$AH$1001,0),MATCH(COLUMNS($AO$1006:BF1006),$AO$1006:$BQ$1006,0)), HYPERLINK("#",""), HYPERLINK(CONCATENATE("#Metadata!", ADDRESS(INDEX($AJ$2:$AJ$1001,MATCH(ROWS($AH$2:AH678),$AH$2:$AH$1001,0),0), INDEX($AO$1004:$BQ$1004,1,MATCH(COLUMNS($AO$1006:BF1006),$AO$1006:$BQ$1006,0)))),"Fix")))</f>
        <v>#N/A</v>
      </c>
      <c r="T678" s="5" t="e">
        <f ca="1">IF(OR(INDEX($AI$2:$AI$1001,MATCH(ROWS($AH$2:AH678),$AH$2:$AH$1001,0),1)&gt;=100000,INDEX($AO$1005:$BQ$1005,1,MATCH(COLUMNS($AO$1006:BG1006),$AO$1006:$BQ$1006,0))&gt;=100000), " ",IF(INDEX($AO$2:$BQ$1001,MATCH(ROWS($AH$2:AH678),$AH$2:$AH$1001,0),MATCH(COLUMNS($AO$1006:BG1006),$AO$1006:$BQ$1006,0)), HYPERLINK("#",""), HYPERLINK(CONCATENATE("#Metadata!", ADDRESS(INDEX($AJ$2:$AJ$1001,MATCH(ROWS($AH$2:AH678),$AH$2:$AH$1001,0),0), INDEX($AO$1004:$BQ$1004,1,MATCH(COLUMNS($AO$1006:BG1006),$AO$1006:$BQ$1006,0)))),"Fix")))</f>
        <v>#N/A</v>
      </c>
      <c r="U678" s="5" t="e">
        <f ca="1">IF(OR(INDEX($AI$2:$AI$1001,MATCH(ROWS($AH$2:AH678),$AH$2:$AH$1001,0),1)&gt;=100000,INDEX($AO$1005:$BQ$1005,1,MATCH(COLUMNS($AO$1006:BH1006),$AO$1006:$BQ$1006,0))&gt;=100000), " ",IF(INDEX($AO$2:$BQ$1001,MATCH(ROWS($AH$2:AH678),$AH$2:$AH$1001,0),MATCH(COLUMNS($AO$1006:BH1006),$AO$1006:$BQ$1006,0)), HYPERLINK("#",""), HYPERLINK(CONCATENATE("#Metadata!", ADDRESS(INDEX($AJ$2:$AJ$1001,MATCH(ROWS($AH$2:AH678),$AH$2:$AH$1001,0),0), INDEX($AO$1004:$BQ$1004,1,MATCH(COLUMNS($AO$1006:BH1006),$AO$1006:$BQ$1006,0)))),"Fix")))</f>
        <v>#N/A</v>
      </c>
      <c r="V678" s="5" t="e">
        <f ca="1">IF(OR(INDEX($AI$2:$AI$1001,MATCH(ROWS($AH$2:AH678),$AH$2:$AH$1001,0),1)&gt;=100000,INDEX($AO$1005:$BQ$1005,1,MATCH(COLUMNS($AO$1006:BI1006),$AO$1006:$BQ$1006,0))&gt;=100000), " ",IF(INDEX($AO$2:$BQ$1001,MATCH(ROWS($AH$2:AH678),$AH$2:$AH$1001,0),MATCH(COLUMNS($AO$1006:BI1006),$AO$1006:$BQ$1006,0)), HYPERLINK("#",""), HYPERLINK(CONCATENATE("#Metadata!", ADDRESS(INDEX($AJ$2:$AJ$1001,MATCH(ROWS($AH$2:AH678),$AH$2:$AH$1001,0),0), INDEX($AO$1004:$BQ$1004,1,MATCH(COLUMNS($AO$1006:BI1006),$AO$1006:$BQ$1006,0)))),"Fix")))</f>
        <v>#N/A</v>
      </c>
      <c r="W678" s="5" t="e">
        <f ca="1">IF(OR(INDEX($AI$2:$AI$1001,MATCH(ROWS($AH$2:AH678),$AH$2:$AH$1001,0),1)&gt;=100000,INDEX($AO$1005:$BQ$1005,1,MATCH(COLUMNS($AO$1006:BJ1006),$AO$1006:$BQ$1006,0))&gt;=100000), " ",IF(INDEX($AO$2:$BQ$1001,MATCH(ROWS($AH$2:AH678),$AH$2:$AH$1001,0),MATCH(COLUMNS($AO$1006:BJ1006),$AO$1006:$BQ$1006,0)), HYPERLINK("#",""), HYPERLINK(CONCATENATE("#Metadata!", ADDRESS(INDEX($AJ$2:$AJ$1001,MATCH(ROWS($AH$2:AH678),$AH$2:$AH$1001,0),0), INDEX($AO$1004:$BQ$1004,1,MATCH(COLUMNS($AO$1006:BJ1006),$AO$1006:$BQ$1006,0)))),"Fix")))</f>
        <v>#N/A</v>
      </c>
      <c r="X678" s="5" t="e">
        <f ca="1">IF(OR(INDEX($AI$2:$AI$1001,MATCH(ROWS($AH$2:AH678),$AH$2:$AH$1001,0),1)&gt;=100000,INDEX($AO$1005:$BQ$1005,1,MATCH(COLUMNS($AO$1006:BK1006),$AO$1006:$BQ$1006,0))&gt;=100000), " ",IF(INDEX($AO$2:$BQ$1001,MATCH(ROWS($AH$2:AH678),$AH$2:$AH$1001,0),MATCH(COLUMNS($AO$1006:BK1006),$AO$1006:$BQ$1006,0)), HYPERLINK("#",""), HYPERLINK(CONCATENATE("#Metadata!", ADDRESS(INDEX($AJ$2:$AJ$1001,MATCH(ROWS($AH$2:AH678),$AH$2:$AH$1001,0),0), INDEX($AO$1004:$BQ$1004,1,MATCH(COLUMNS($AO$1006:BK1006),$AO$1006:$BQ$1006,0)))),"Fix")))</f>
        <v>#N/A</v>
      </c>
      <c r="Y678" s="5" t="e">
        <f ca="1">IF(OR(INDEX($AI$2:$AI$1001,MATCH(ROWS($AH$2:AH678),$AH$2:$AH$1001,0),1)&gt;=100000,INDEX($AO$1005:$BQ$1005,1,MATCH(COLUMNS($AO$1006:BL1006),$AO$1006:$BQ$1006,0))&gt;=100000), " ",IF(INDEX($AO$2:$BQ$1001,MATCH(ROWS($AH$2:AH678),$AH$2:$AH$1001,0),MATCH(COLUMNS($AO$1006:BL1006),$AO$1006:$BQ$1006,0)), HYPERLINK("#",""), HYPERLINK(CONCATENATE("#Metadata!", ADDRESS(INDEX($AJ$2:$AJ$1001,MATCH(ROWS($AH$2:AH678),$AH$2:$AH$1001,0),0), INDEX($AO$1004:$BQ$1004,1,MATCH(COLUMNS($AO$1006:BL1006),$AO$1006:$BQ$1006,0)))),"Fix")))</f>
        <v>#N/A</v>
      </c>
      <c r="Z678" s="5" t="e">
        <f ca="1">IF(OR(INDEX($AI$2:$AI$1001,MATCH(ROWS($AH$2:AH678),$AH$2:$AH$1001,0),1)&gt;=100000,INDEX($AO$1005:$BQ$1005,1,MATCH(COLUMNS($AO$1006:BM1006),$AO$1006:$BQ$1006,0))&gt;=100000), " ",IF(INDEX($AO$2:$BQ$1001,MATCH(ROWS($AH$2:AH678),$AH$2:$AH$1001,0),MATCH(COLUMNS($AO$1006:BM1006),$AO$1006:$BQ$1006,0)), HYPERLINK("#",""), HYPERLINK(CONCATENATE("#Metadata!", ADDRESS(INDEX($AJ$2:$AJ$1001,MATCH(ROWS($AH$2:AH678),$AH$2:$AH$1001,0),0), INDEX($AO$1004:$BQ$1004,1,MATCH(COLUMNS($AO$1006:BM1006),$AO$1006:$BQ$1006,0)))),"Fix")))</f>
        <v>#N/A</v>
      </c>
      <c r="AA678" s="5" t="e">
        <f ca="1">IF(OR(INDEX($AI$2:$AI$1001,MATCH(ROWS($AH$2:AH678),$AH$2:$AH$1001,0),1)&gt;=100000,INDEX($AO$1005:$BQ$1005,1,MATCH(COLUMNS($AO$1006:BN1006),$AO$1006:$BQ$1006,0))&gt;=100000), " ",IF(INDEX($AO$2:$BQ$1001,MATCH(ROWS($AH$2:AH678),$AH$2:$AH$1001,0),MATCH(COLUMNS($AO$1006:BN1006),$AO$1006:$BQ$1006,0)), HYPERLINK("#",""), HYPERLINK(CONCATENATE("#Metadata!", ADDRESS(INDEX($AJ$2:$AJ$1001,MATCH(ROWS($AH$2:AH678),$AH$2:$AH$1001,0),0), INDEX($AO$1004:$BQ$1004,1,MATCH(COLUMNS($AO$1006:BN1006),$AO$1006:$BQ$1006,0)))),"Fix")))</f>
        <v>#N/A</v>
      </c>
      <c r="AB678" s="5" t="e">
        <f ca="1">IF(OR(INDEX($AI$2:$AI$1001,MATCH(ROWS($AH$2:AH678),$AH$2:$AH$1001,0),1)&gt;=100000,INDEX($AO$1005:$BQ$1005,1,MATCH(COLUMNS($AO$1006:BO1006),$AO$1006:$BQ$1006,0))&gt;=100000), " ",IF(INDEX($AO$2:$BQ$1001,MATCH(ROWS($AH$2:AH678),$AH$2:$AH$1001,0),MATCH(COLUMNS($AO$1006:BO1006),$AO$1006:$BQ$1006,0)), HYPERLINK("#",""), HYPERLINK(CONCATENATE("#Metadata!", ADDRESS(INDEX($AJ$2:$AJ$1001,MATCH(ROWS($AH$2:AH678),$AH$2:$AH$1001,0),0), INDEX($AO$1004:$BQ$1004,1,MATCH(COLUMNS($AO$1006:BO1006),$AO$1006:$BQ$1006,0)))),"Fix")))</f>
        <v>#N/A</v>
      </c>
      <c r="AC678" s="5" t="e">
        <f ca="1">IF(OR(INDEX($AI$2:$AI$1001,MATCH(ROWS($AH$2:AH678),$AH$2:$AH$1001,0),1)&gt;=100000,INDEX($AO$1005:$BQ$1005,1,MATCH(COLUMNS($AO$1006:BP1006),$AO$1006:$BQ$1006,0))&gt;=100000), " ",IF(INDEX($AO$2:$BQ$1001,MATCH(ROWS($AH$2:AH678),$AH$2:$AH$1001,0),MATCH(COLUMNS($AO$1006:BP1006),$AO$1006:$BQ$1006,0)), HYPERLINK("#",""), HYPERLINK(CONCATENATE("#Metadata!", ADDRESS(INDEX($AJ$2:$AJ$1001,MATCH(ROWS($AH$2:AH678),$AH$2:$AH$1001,0),0), INDEX($AO$1004:$BQ$1004,1,MATCH(COLUMNS($AO$1006:BP1006),$AO$1006:$BQ$1006,0)))),"Fix")))</f>
        <v>#N/A</v>
      </c>
      <c r="AD678" s="5" t="e">
        <f ca="1">IF(OR(INDEX($AI$2:$AI$1001,MATCH(ROWS($AH$2:AH678),$AH$2:$AH$1001,0),1)&gt;=100000,INDEX($AO$1005:$BQ$1005,1,MATCH(COLUMNS($AO$1006:BQ1006),$AO$1006:$BQ$1006,0))&gt;=100000), " ",IF(INDEX($AO$2:$BQ$1001,MATCH(ROWS($AH$2:AH678),$AH$2:$AH$1001,0),MATCH(COLUMNS($AO$1006:BQ1006),$AO$1006:$BQ$1006,0)), HYPERLINK("#",""), HYPERLINK(CONCATENATE("#Metadata!", ADDRESS(INDEX($AJ$2:$AJ$1001,MATCH(ROWS($AH$2:AH678),$AH$2:$AH$1001,0),0), INDEX($AO$1004:$BQ$1004,1,MATCH(COLUMNS($AO$1006:BQ1006),$AO$1006:$BQ$1006,0)))),"Fix")))</f>
        <v>#REF!</v>
      </c>
      <c r="AH678">
        <f ca="1"/>
        <v>675</v>
      </c>
      <c r="AI678">
        <v>100678</v>
      </c>
      <c r="AJ678">
        <v>678</v>
      </c>
      <c r="AK678" t="b">
        <f t="shared" si="10"/>
        <v>1</v>
      </c>
      <c r="AL678" t="b">
        <f>COUNTBLANK(Metadata!B678:AD678)=COLUMNS(Metadata!B678:AD678)</f>
        <v>1</v>
      </c>
      <c r="AM678" t="str">
        <v/>
      </c>
      <c r="AO678" t="b">
        <f ca="1">AND(IF(Metadata!B678="",FALSE,TRUE),COUNTIF(Metadata!B:B, Metadata!B678) = 1,NOT(ISERROR(SUMPRODUCT(SEARCH(MID(Metadata!B678,ROW(INDIRECT("1:"&amp;LEN(Metadata!B678))), 1),"0123456789abcdefghijklmnopqrstuvwxyzABCDEFGHIJKLMNOPQRSTUVWXYZ.")))))</f>
        <v>0</v>
      </c>
      <c r="AP678" t="b">
        <f>IF(Metadata!C678="",FALSE,TRUE)</f>
        <v>0</v>
      </c>
      <c r="AQ678" t="b">
        <f>IF(Metadata!D678="",FALSE,TRUE)</f>
        <v>0</v>
      </c>
      <c r="AR678" t="b">
        <f ca="1">OR(AND(IF(Metadata!E678="",FALSE,TRUE),OR(EXACT(Metadata!E678,"not collected"),EXACT(Metadata!E678,"not provided"),EXACT(Metadata!E678,"restricted access"))),AND(IF(Metadata!E678="",FALSE,TRUE),AND(AND(IFERROR(INT(LEFT(Metadata!E678,4))&gt;1900,FALSE),IFERROR(INT(LEFT(Metadata!E678,4))&lt;=YEAR(NOW()),FALSE)), OR(MID(Metadata!E678,5,1)="", AND(AND(MID(Metadata!E678,5,1)="-",IFERROR(INT(MID(Metadata!E678,6,1))&gt;=0,FALSE),IFERROR(INT(MID(Metadata!E678,6,1))&lt;=1,FALSE),NOT(MID(Metadata!E678,7,1)=""),IFERROR(INT(MID(Metadata!E678,6,2))&gt;=1,FALSE),IFERROR(INT(MID(Metadata!E678,6,2))&lt;=12,FALSE)), OR(MID(Metadata!E678,8,1)="", AND(AND(MID(Metadata!E678,8,1)="-",IFERROR(INT(MID(Metadata!E678,9,1))&gt;=0,FALSE),IFERROR(INT(MID(Metadata!E678,9,1))&lt;=3,FALSE),NOT(MID(Metadata!E678,10,1)=""),IFERROR(INT(MID(Metadata!E678,9,2))&gt;=1,FALSE),IFERROR(INT(MID(Metadata!E678,9,2))&lt;=31,FALSE)), OR(MID(Metadata!E678,11,1)="", AND(AND(MID(Metadata!E678,11,1)=" ",IFERROR(INT(MID(Metadata!E678,12,1))&gt;=0,FALSE),IFERROR(INT(MID(Metadata!E678,12,1))&lt;=2,FALSE),NOT(MID(Metadata!E678,13,1)=""),IFERROR(INT(MID(Metadata!E678,12,2))&gt;=0,FALSE),IFERROR(INT(MID(Metadata!E678,12,2))&lt;=23,FALSE)), OR(MID(Metadata!E678,14,1)="", AND(AND(MID(Metadata!E678,14,1)=":",IFERROR(INT(MID(Metadata!E678,15,1))&gt;=0,FALSE),IFERROR(INT(MID(Metadata!E678,15,1))&lt;=5,FALSE),NOT(MID(Metadata!E678,16,1)=""),IFERROR(INT(MID(Metadata!E678,15,2))&gt;=0,FALSE),IFERROR(INT(MID(Metadata!E678,15,2))&lt;=59,FALSE)), OR(MID(Metadata!E678,17,1)="", AND(AND(MID(Metadata!E678,17,1)=":",IFERROR(INT(MID(Metadata!E678,18,1))&gt;=0,FALSE),IFERROR(INT(MID(Metadata!E678,18,1))&lt;=5,FALSE),NOT(MID(Metadata!E678,19,1)=""),IFERROR(INT(MID(Metadata!E678,18,2))&gt;=0,FALSE),IFERROR(INT(MID(Metadata!E678,18,2))&lt;=59,FALSE)), LEN(Metadata!E678)&lt;=19)))))))))))))</f>
        <v>0</v>
      </c>
      <c r="AS678" t="b">
        <f>IF(Metadata!F678="",FALSE,TRUE)</f>
        <v>0</v>
      </c>
      <c r="AT678" t="b">
        <f>OR(AND(IF(Metadata!G678="",FALSE,TRUE),OR(EXACT(Metadata!G678,"not collected"),EXACT(Metadata!G678,"not provided"))),AND(IF(Metadata!G678="",FALSE,TRUE),OR(EXACT(Metadata!G678,"TRUE"),EXACT(Metadata!G678,"FALSE"))))</f>
        <v>0</v>
      </c>
      <c r="AU678" t="b">
        <f>OR(AND(IF(Metadata!H678="",FALSE,TRUE),OR(EXACT(Metadata!H678,"not collected"),EXACT(Metadata!H678,"not provided"),EXACT(Metadata!H678,"restricted access"))),AND(IF(Metadata!H678="",FALSE,ISNUMBER(VALUE(Metadata!H678))),Metadata!H678&gt;=-413))</f>
        <v>0</v>
      </c>
      <c r="AV678" t="b">
        <f>AND(IF(Metadata!I678="",FALSE,TRUE),EXACT(Metadata!I678,"meters"))</f>
        <v>0</v>
      </c>
      <c r="AW678" t="b">
        <f>AND(IF(Metadata!J678="",FALSE,TRUE),EXACT(Metadata!J678,"free-living"))</f>
        <v>0</v>
      </c>
      <c r="AX678" t="b">
        <f>AND(IF(Metadata!K678="",FALSE,TRUE),OR(EXACT(Metadata!K678,"saline"),EXACT(Metadata!K678,"non-saline")))</f>
        <v>0</v>
      </c>
      <c r="AY678" t="b">
        <f>AND(IF(Metadata!L678="",FALSE,TRUE),OR(EXACT(Metadata!L678,"sub-surface (non-saline)"),EXACT(Metadata!L678,"surface (non-saline)"),EXACT(Metadata!L678,"water (non-saline)"),EXACT(Metadata!L678,"soil (non-saline)"),EXACT(Metadata!L678,"aerosol (non-saline)"),EXACT(Metadata!L678,"sediment (non-saline)"),EXACT(Metadata!L678,"surface (saline)"),EXACT(Metadata!L678,"water (saline)"),EXACT(Metadata!L678,"hypersaline (saline)"),EXACT(Metadata!L678,"aerosol (saline)"),EXACT(Metadata!L678,"sediment (saline)")))</f>
        <v>0</v>
      </c>
      <c r="AZ678" t="b">
        <f>IF(Metadata!M678="",FALSE,TRUE)</f>
        <v>0</v>
      </c>
      <c r="BA678" t="b">
        <f>IF(Metadata!N678="",FALSE,TRUE)</f>
        <v>0</v>
      </c>
      <c r="BB678" t="b">
        <f>IF(Metadata!O678="",FALSE,TRUE)</f>
        <v>0</v>
      </c>
      <c r="BC678" t="b">
        <f>AND(IF(Metadata!P678="",FALSE,TRUE),OR(EXACT(Metadata!P678,"air"),EXACT(Metadata!P678,"microbial mat/biofilm"),EXACT(Metadata!P678,"misc environment"),EXACT(Metadata!P678,"sediment"),EXACT(Metadata!P678,"soil"),EXACT(Metadata!P678,"wastewater/sludge"),EXACT(Metadata!P678,"water")))</f>
        <v>0</v>
      </c>
      <c r="BD678" t="b">
        <f>IF(Metadata!Q678="",FALSE,TRUE)</f>
        <v>0</v>
      </c>
      <c r="BE678" t="b">
        <f>IF(Metadata!R678="",FALSE,TRUE)</f>
        <v>0</v>
      </c>
      <c r="BF678" t="b">
        <f>OR(AND(IF(Metadata!S678="",FALSE,TRUE),OR(EXACT(Metadata!S678,"not collected"),EXACT(Metadata!S678,"not provided"),EXACT(Metadata!S678,"restricted access"))),AND(IF(Metadata!S678="",FALSE,ISNUMBER(VALUE(Metadata!S678))),Metadata!S678&gt;=-90,Metadata!S678&lt;=90))</f>
        <v>0</v>
      </c>
      <c r="BG678" t="b">
        <f>AND(IF(Metadata!T678="",FALSE,TRUE),EXACT(Metadata!T678,"Decimal degrees"))</f>
        <v>0</v>
      </c>
      <c r="BH678" t="b">
        <f>OR(AND(IF(Metadata!U678="",FALSE,TRUE),OR(EXACT(Metadata!U678,"not applicable"),EXACT(Metadata!U678,"not collected"))),IF(Metadata!U678="",FALSE,TRUE))</f>
        <v>0</v>
      </c>
      <c r="BI678" t="b">
        <f>OR(AND(IF(Metadata!V678="",FALSE,TRUE),OR(EXACT(Metadata!V678,"not collected"),EXACT(Metadata!V678,"not provided"),EXACT(Metadata!V678,"restricted access"))),AND(IF(Metadata!V678="",FALSE,ISNUMBER(VALUE(Metadata!V678))),Metadata!V678&gt;=-180,Metadata!V678&lt;=180))</f>
        <v>0</v>
      </c>
      <c r="BJ678" t="b">
        <f>AND(IF(Metadata!W678="",FALSE,TRUE),EXACT(Metadata!W678,"Decimal degrees"))</f>
        <v>0</v>
      </c>
      <c r="BK678" t="b">
        <f>IF(Metadata!X678="",FALSE,TRUE)</f>
        <v>0</v>
      </c>
      <c r="BL678" t="b">
        <f>OR(AND(IF(Metadata!Y678="",FALSE,TRUE),OR(EXACT(Metadata!Y678,"not collected"),EXACT(Metadata!Y678,"not provided"),EXACT(Metadata!Y678,"restricted access"))),AND(IF(Metadata!Y678="",FALSE,TRUE),OR(EXACT(Metadata!Y678,"TRUE"),EXACT(Metadata!Y678,"FALSE"))))</f>
        <v>0</v>
      </c>
      <c r="BM678" t="b">
        <f>OR(AND(IF(Metadata!Z678="",FALSE,TRUE),EXACT(Metadata!Z678,"not applicable")),AND(IF(Metadata!Z678="",FALSE,TRUE),OR(EXACT(Metadata!Z678,"beer"),EXACT(Metadata!Z678,"cheese"),EXACT(Metadata!Z678,"fresh water"),EXACT(Metadata!Z678,"marine sediment"),EXACT(Metadata!Z678,"sea water"),EXACT(Metadata!Z678,"sediment"),EXACT(Metadata!Z678,"soil"),EXACT(Metadata!Z678,"waste water"))))</f>
        <v>0</v>
      </c>
      <c r="BN678" t="b">
        <f>AND(IF(Metadata!AA678="",FALSE,TRUE),EXACT(Metadata!AA678,"metagenome"))</f>
        <v>0</v>
      </c>
      <c r="BO678" t="b">
        <f>AND(IF(Metadata!AB678="",FALSE,TRUE),EXACT(Metadata!AB678,"256318"))</f>
        <v>0</v>
      </c>
      <c r="BP678" t="b">
        <f>IF(Metadata!AC678="",FALSE,TRUE)</f>
        <v>0</v>
      </c>
      <c r="BQ678" t="b">
        <f>IF(Metadata!AD678="",FALSE,TRUE)</f>
        <v>0</v>
      </c>
    </row>
    <row r="679" spans="1:69" x14ac:dyDescent="0.2">
      <c r="A679" s="4" t="e">
        <f ca="1">IF(B679=" "," ",HYPERLINK(CONCATENATE("#metadata!",ADDRESS(INDEX($AJ$2:$AJ$1001,MATCH(ROWS($AH$2:AH679),$AH$2:$AH$1001,0),0),2)),INDEX($AM$2:$AM$1001,MATCH(ROWS($AH$2:AH679),$AH$2:$AH$1001,0),0)))</f>
        <v>#N/A</v>
      </c>
      <c r="B679" s="5" t="e">
        <f ca="1">IF(OR(INDEX($AI$2:$AI$1001,MATCH(ROWS($AH$2:AH679),$AH$2:$AH$1001,0),1)&gt;=100000,INDEX($AO$1005:$BQ$1005,1,MATCH(COLUMNS($AO$1006:AO1006),$AO$1006:$BQ$1006,0))&gt;=100000), " ",IF(INDEX($AO$2:$BQ$1001,MATCH(ROWS($AH$2:AH679),$AH$2:$AH$1001,0),MATCH(COLUMNS($AO$1006:AO1006),$AO$1006:$BQ$1006,0)), HYPERLINK("#",""), HYPERLINK(CONCATENATE("#Metadata!", ADDRESS(INDEX($AJ$2:$AJ$1001,MATCH(ROWS($AH$2:AH679),$AH$2:$AH$1001,0),0), INDEX($AO$1004:$BQ$1004,1,MATCH(COLUMNS($AO$1006:AO1006),$AO$1006:$BQ$1006,0)))),"Fix")))</f>
        <v>#N/A</v>
      </c>
      <c r="C679" s="5" t="e">
        <f ca="1">IF(OR(INDEX($AI$2:$AI$1001,MATCH(ROWS($AH$2:AH679),$AH$2:$AH$1001,0),1)&gt;=100000,INDEX($AO$1005:$BQ$1005,1,MATCH(COLUMNS($AO$1006:AP1006),$AO$1006:$BQ$1006,0))&gt;=100000), " ",IF(INDEX($AO$2:$BQ$1001,MATCH(ROWS($AH$2:AH679),$AH$2:$AH$1001,0),MATCH(COLUMNS($AO$1006:AP1006),$AO$1006:$BQ$1006,0)), HYPERLINK("#",""), HYPERLINK(CONCATENATE("#Metadata!", ADDRESS(INDEX($AJ$2:$AJ$1001,MATCH(ROWS($AH$2:AH679),$AH$2:$AH$1001,0),0), INDEX($AO$1004:$BQ$1004,1,MATCH(COLUMNS($AO$1006:AP1006),$AO$1006:$BQ$1006,0)))),"Fix")))</f>
        <v>#N/A</v>
      </c>
      <c r="D679" s="5" t="e">
        <f ca="1">IF(OR(INDEX($AI$2:$AI$1001,MATCH(ROWS($AH$2:AH679),$AH$2:$AH$1001,0),1)&gt;=100000,INDEX($AO$1005:$BQ$1005,1,MATCH(COLUMNS($AO$1006:AQ1006),$AO$1006:$BQ$1006,0))&gt;=100000), " ",IF(INDEX($AO$2:$BQ$1001,MATCH(ROWS($AH$2:AH679),$AH$2:$AH$1001,0),MATCH(COLUMNS($AO$1006:AQ1006),$AO$1006:$BQ$1006,0)), HYPERLINK("#",""), HYPERLINK(CONCATENATE("#Metadata!", ADDRESS(INDEX($AJ$2:$AJ$1001,MATCH(ROWS($AH$2:AH679),$AH$2:$AH$1001,0),0), INDEX($AO$1004:$BQ$1004,1,MATCH(COLUMNS($AO$1006:AQ1006),$AO$1006:$BQ$1006,0)))),"Fix")))</f>
        <v>#N/A</v>
      </c>
      <c r="E679" s="5" t="e">
        <f ca="1">IF(OR(INDEX($AI$2:$AI$1001,MATCH(ROWS($AH$2:AH679),$AH$2:$AH$1001,0),1)&gt;=100000,INDEX($AO$1005:$BQ$1005,1,MATCH(COLUMNS($AO$1006:AR1006),$AO$1006:$BQ$1006,0))&gt;=100000), " ",IF(INDEX($AO$2:$BQ$1001,MATCH(ROWS($AH$2:AH679),$AH$2:$AH$1001,0),MATCH(COLUMNS($AO$1006:AR1006),$AO$1006:$BQ$1006,0)), HYPERLINK("#",""), HYPERLINK(CONCATENATE("#Metadata!", ADDRESS(INDEX($AJ$2:$AJ$1001,MATCH(ROWS($AH$2:AH679),$AH$2:$AH$1001,0),0), INDEX($AO$1004:$BQ$1004,1,MATCH(COLUMNS($AO$1006:AR1006),$AO$1006:$BQ$1006,0)))),"Fix")))</f>
        <v>#N/A</v>
      </c>
      <c r="F679" s="5" t="e">
        <f ca="1">IF(OR(INDEX($AI$2:$AI$1001,MATCH(ROWS($AH$2:AH679),$AH$2:$AH$1001,0),1)&gt;=100000,INDEX($AO$1005:$BQ$1005,1,MATCH(COLUMNS($AO$1006:AS1006),$AO$1006:$BQ$1006,0))&gt;=100000), " ",IF(INDEX($AO$2:$BQ$1001,MATCH(ROWS($AH$2:AH679),$AH$2:$AH$1001,0),MATCH(COLUMNS($AO$1006:AS1006),$AO$1006:$BQ$1006,0)), HYPERLINK("#",""), HYPERLINK(CONCATENATE("#Metadata!", ADDRESS(INDEX($AJ$2:$AJ$1001,MATCH(ROWS($AH$2:AH679),$AH$2:$AH$1001,0),0), INDEX($AO$1004:$BQ$1004,1,MATCH(COLUMNS($AO$1006:AS1006),$AO$1006:$BQ$1006,0)))),"Fix")))</f>
        <v>#N/A</v>
      </c>
      <c r="G679" s="5" t="e">
        <f ca="1">IF(OR(INDEX($AI$2:$AI$1001,MATCH(ROWS($AH$2:AH679),$AH$2:$AH$1001,0),1)&gt;=100000,INDEX($AO$1005:$BQ$1005,1,MATCH(COLUMNS($AO$1006:AT1006),$AO$1006:$BQ$1006,0))&gt;=100000), " ",IF(INDEX($AO$2:$BQ$1001,MATCH(ROWS($AH$2:AH679),$AH$2:$AH$1001,0),MATCH(COLUMNS($AO$1006:AT1006),$AO$1006:$BQ$1006,0)), HYPERLINK("#",""), HYPERLINK(CONCATENATE("#Metadata!", ADDRESS(INDEX($AJ$2:$AJ$1001,MATCH(ROWS($AH$2:AH679),$AH$2:$AH$1001,0),0), INDEX($AO$1004:$BQ$1004,1,MATCH(COLUMNS($AO$1006:AT1006),$AO$1006:$BQ$1006,0)))),"Fix")))</f>
        <v>#N/A</v>
      </c>
      <c r="H679" s="5" t="e">
        <f ca="1">IF(OR(INDEX($AI$2:$AI$1001,MATCH(ROWS($AH$2:AH679),$AH$2:$AH$1001,0),1)&gt;=100000,INDEX($AO$1005:$BQ$1005,1,MATCH(COLUMNS($AO$1006:AU1006),$AO$1006:$BQ$1006,0))&gt;=100000), " ",IF(INDEX($AO$2:$BQ$1001,MATCH(ROWS($AH$2:AH679),$AH$2:$AH$1001,0),MATCH(COLUMNS($AO$1006:AU1006),$AO$1006:$BQ$1006,0)), HYPERLINK("#",""), HYPERLINK(CONCATENATE("#Metadata!", ADDRESS(INDEX($AJ$2:$AJ$1001,MATCH(ROWS($AH$2:AH679),$AH$2:$AH$1001,0),0), INDEX($AO$1004:$BQ$1004,1,MATCH(COLUMNS($AO$1006:AU1006),$AO$1006:$BQ$1006,0)))),"Fix")))</f>
        <v>#N/A</v>
      </c>
      <c r="I679" s="5" t="e">
        <f ca="1">IF(OR(INDEX($AI$2:$AI$1001,MATCH(ROWS($AH$2:AH679),$AH$2:$AH$1001,0),1)&gt;=100000,INDEX($AO$1005:$BQ$1005,1,MATCH(COLUMNS($AO$1006:AV1006),$AO$1006:$BQ$1006,0))&gt;=100000), " ",IF(INDEX($AO$2:$BQ$1001,MATCH(ROWS($AH$2:AH679),$AH$2:$AH$1001,0),MATCH(COLUMNS($AO$1006:AV1006),$AO$1006:$BQ$1006,0)), HYPERLINK("#",""), HYPERLINK(CONCATENATE("#Metadata!", ADDRESS(INDEX($AJ$2:$AJ$1001,MATCH(ROWS($AH$2:AH679),$AH$2:$AH$1001,0),0), INDEX($AO$1004:$BQ$1004,1,MATCH(COLUMNS($AO$1006:AV1006),$AO$1006:$BQ$1006,0)))),"Fix")))</f>
        <v>#N/A</v>
      </c>
      <c r="J679" s="5" t="e">
        <f ca="1">IF(OR(INDEX($AI$2:$AI$1001,MATCH(ROWS($AH$2:AH679),$AH$2:$AH$1001,0),1)&gt;=100000,INDEX($AO$1005:$BQ$1005,1,MATCH(COLUMNS($AO$1006:AW1006),$AO$1006:$BQ$1006,0))&gt;=100000), " ",IF(INDEX($AO$2:$BQ$1001,MATCH(ROWS($AH$2:AH679),$AH$2:$AH$1001,0),MATCH(COLUMNS($AO$1006:AW1006),$AO$1006:$BQ$1006,0)), HYPERLINK("#",""), HYPERLINK(CONCATENATE("#Metadata!", ADDRESS(INDEX($AJ$2:$AJ$1001,MATCH(ROWS($AH$2:AH679),$AH$2:$AH$1001,0),0), INDEX($AO$1004:$BQ$1004,1,MATCH(COLUMNS($AO$1006:AW1006),$AO$1006:$BQ$1006,0)))),"Fix")))</f>
        <v>#N/A</v>
      </c>
      <c r="K679" s="5" t="e">
        <f ca="1">IF(OR(INDEX($AI$2:$AI$1001,MATCH(ROWS($AH$2:AH679),$AH$2:$AH$1001,0),1)&gt;=100000,INDEX($AO$1005:$BQ$1005,1,MATCH(COLUMNS($AO$1006:AX1006),$AO$1006:$BQ$1006,0))&gt;=100000), " ",IF(INDEX($AO$2:$BQ$1001,MATCH(ROWS($AH$2:AH679),$AH$2:$AH$1001,0),MATCH(COLUMNS($AO$1006:AX1006),$AO$1006:$BQ$1006,0)), HYPERLINK("#",""), HYPERLINK(CONCATENATE("#Metadata!", ADDRESS(INDEX($AJ$2:$AJ$1001,MATCH(ROWS($AH$2:AH679),$AH$2:$AH$1001,0),0), INDEX($AO$1004:$BQ$1004,1,MATCH(COLUMNS($AO$1006:AX1006),$AO$1006:$BQ$1006,0)))),"Fix")))</f>
        <v>#N/A</v>
      </c>
      <c r="L679" s="5" t="e">
        <f ca="1">IF(OR(INDEX($AI$2:$AI$1001,MATCH(ROWS($AH$2:AH679),$AH$2:$AH$1001,0),1)&gt;=100000,INDEX($AO$1005:$BQ$1005,1,MATCH(COLUMNS($AO$1006:AY1006),$AO$1006:$BQ$1006,0))&gt;=100000), " ",IF(INDEX($AO$2:$BQ$1001,MATCH(ROWS($AH$2:AH679),$AH$2:$AH$1001,0),MATCH(COLUMNS($AO$1006:AY1006),$AO$1006:$BQ$1006,0)), HYPERLINK("#",""), HYPERLINK(CONCATENATE("#Metadata!", ADDRESS(INDEX($AJ$2:$AJ$1001,MATCH(ROWS($AH$2:AH679),$AH$2:$AH$1001,0),0), INDEX($AO$1004:$BQ$1004,1,MATCH(COLUMNS($AO$1006:AY1006),$AO$1006:$BQ$1006,0)))),"Fix")))</f>
        <v>#N/A</v>
      </c>
      <c r="M679" s="5" t="e">
        <f ca="1">IF(OR(INDEX($AI$2:$AI$1001,MATCH(ROWS($AH$2:AH679),$AH$2:$AH$1001,0),1)&gt;=100000,INDEX($AO$1005:$BQ$1005,1,MATCH(COLUMNS($AO$1006:AZ1006),$AO$1006:$BQ$1006,0))&gt;=100000), " ",IF(INDEX($AO$2:$BQ$1001,MATCH(ROWS($AH$2:AH679),$AH$2:$AH$1001,0),MATCH(COLUMNS($AO$1006:AZ1006),$AO$1006:$BQ$1006,0)), HYPERLINK("#",""), HYPERLINK(CONCATENATE("#Metadata!", ADDRESS(INDEX($AJ$2:$AJ$1001,MATCH(ROWS($AH$2:AH679),$AH$2:$AH$1001,0),0), INDEX($AO$1004:$BQ$1004,1,MATCH(COLUMNS($AO$1006:AZ1006),$AO$1006:$BQ$1006,0)))),"Fix")))</f>
        <v>#N/A</v>
      </c>
      <c r="N679" s="5" t="e">
        <f ca="1">IF(OR(INDEX($AI$2:$AI$1001,MATCH(ROWS($AH$2:AH679),$AH$2:$AH$1001,0),1)&gt;=100000,INDEX($AO$1005:$BQ$1005,1,MATCH(COLUMNS($AO$1006:BA1006),$AO$1006:$BQ$1006,0))&gt;=100000), " ",IF(INDEX($AO$2:$BQ$1001,MATCH(ROWS($AH$2:AH679),$AH$2:$AH$1001,0),MATCH(COLUMNS($AO$1006:BA1006),$AO$1006:$BQ$1006,0)), HYPERLINK("#",""), HYPERLINK(CONCATENATE("#Metadata!", ADDRESS(INDEX($AJ$2:$AJ$1001,MATCH(ROWS($AH$2:AH679),$AH$2:$AH$1001,0),0), INDEX($AO$1004:$BQ$1004,1,MATCH(COLUMNS($AO$1006:BA1006),$AO$1006:$BQ$1006,0)))),"Fix")))</f>
        <v>#N/A</v>
      </c>
      <c r="O679" s="5" t="e">
        <f ca="1">IF(OR(INDEX($AI$2:$AI$1001,MATCH(ROWS($AH$2:AH679),$AH$2:$AH$1001,0),1)&gt;=100000,INDEX($AO$1005:$BQ$1005,1,MATCH(COLUMNS($AO$1006:BB1006),$AO$1006:$BQ$1006,0))&gt;=100000), " ",IF(INDEX($AO$2:$BQ$1001,MATCH(ROWS($AH$2:AH679),$AH$2:$AH$1001,0),MATCH(COLUMNS($AO$1006:BB1006),$AO$1006:$BQ$1006,0)), HYPERLINK("#",""), HYPERLINK(CONCATENATE("#Metadata!", ADDRESS(INDEX($AJ$2:$AJ$1001,MATCH(ROWS($AH$2:AH679),$AH$2:$AH$1001,0),0), INDEX($AO$1004:$BQ$1004,1,MATCH(COLUMNS($AO$1006:BB1006),$AO$1006:$BQ$1006,0)))),"Fix")))</f>
        <v>#N/A</v>
      </c>
      <c r="P679" s="5" t="e">
        <f ca="1">IF(OR(INDEX($AI$2:$AI$1001,MATCH(ROWS($AH$2:AH679),$AH$2:$AH$1001,0),1)&gt;=100000,INDEX($AO$1005:$BQ$1005,1,MATCH(COLUMNS($AO$1006:BC1006),$AO$1006:$BQ$1006,0))&gt;=100000), " ",IF(INDEX($AO$2:$BQ$1001,MATCH(ROWS($AH$2:AH679),$AH$2:$AH$1001,0),MATCH(COLUMNS($AO$1006:BC1006),$AO$1006:$BQ$1006,0)), HYPERLINK("#",""), HYPERLINK(CONCATENATE("#Metadata!", ADDRESS(INDEX($AJ$2:$AJ$1001,MATCH(ROWS($AH$2:AH679),$AH$2:$AH$1001,0),0), INDEX($AO$1004:$BQ$1004,1,MATCH(COLUMNS($AO$1006:BC1006),$AO$1006:$BQ$1006,0)))),"Fix")))</f>
        <v>#N/A</v>
      </c>
      <c r="Q679" s="5" t="e">
        <f ca="1">IF(OR(INDEX($AI$2:$AI$1001,MATCH(ROWS($AH$2:AH679),$AH$2:$AH$1001,0),1)&gt;=100000,INDEX($AO$1005:$BQ$1005,1,MATCH(COLUMNS($AO$1006:BD1006),$AO$1006:$BQ$1006,0))&gt;=100000), " ",IF(INDEX($AO$2:$BQ$1001,MATCH(ROWS($AH$2:AH679),$AH$2:$AH$1001,0),MATCH(COLUMNS($AO$1006:BD1006),$AO$1006:$BQ$1006,0)), HYPERLINK("#",""), HYPERLINK(CONCATENATE("#Metadata!", ADDRESS(INDEX($AJ$2:$AJ$1001,MATCH(ROWS($AH$2:AH679),$AH$2:$AH$1001,0),0), INDEX($AO$1004:$BQ$1004,1,MATCH(COLUMNS($AO$1006:BD1006),$AO$1006:$BQ$1006,0)))),"Fix")))</f>
        <v>#N/A</v>
      </c>
      <c r="R679" s="5" t="e">
        <f ca="1">IF(OR(INDEX($AI$2:$AI$1001,MATCH(ROWS($AH$2:AH679),$AH$2:$AH$1001,0),1)&gt;=100000,INDEX($AO$1005:$BQ$1005,1,MATCH(COLUMNS($AO$1006:BE1006),$AO$1006:$BQ$1006,0))&gt;=100000), " ",IF(INDEX($AO$2:$BQ$1001,MATCH(ROWS($AH$2:AH679),$AH$2:$AH$1001,0),MATCH(COLUMNS($AO$1006:BE1006),$AO$1006:$BQ$1006,0)), HYPERLINK("#",""), HYPERLINK(CONCATENATE("#Metadata!", ADDRESS(INDEX($AJ$2:$AJ$1001,MATCH(ROWS($AH$2:AH679),$AH$2:$AH$1001,0),0), INDEX($AO$1004:$BQ$1004,1,MATCH(COLUMNS($AO$1006:BE1006),$AO$1006:$BQ$1006,0)))),"Fix")))</f>
        <v>#N/A</v>
      </c>
      <c r="S679" s="5" t="e">
        <f ca="1">IF(OR(INDEX($AI$2:$AI$1001,MATCH(ROWS($AH$2:AH679),$AH$2:$AH$1001,0),1)&gt;=100000,INDEX($AO$1005:$BQ$1005,1,MATCH(COLUMNS($AO$1006:BF1006),$AO$1006:$BQ$1006,0))&gt;=100000), " ",IF(INDEX($AO$2:$BQ$1001,MATCH(ROWS($AH$2:AH679),$AH$2:$AH$1001,0),MATCH(COLUMNS($AO$1006:BF1006),$AO$1006:$BQ$1006,0)), HYPERLINK("#",""), HYPERLINK(CONCATENATE("#Metadata!", ADDRESS(INDEX($AJ$2:$AJ$1001,MATCH(ROWS($AH$2:AH679),$AH$2:$AH$1001,0),0), INDEX($AO$1004:$BQ$1004,1,MATCH(COLUMNS($AO$1006:BF1006),$AO$1006:$BQ$1006,0)))),"Fix")))</f>
        <v>#N/A</v>
      </c>
      <c r="T679" s="5" t="e">
        <f ca="1">IF(OR(INDEX($AI$2:$AI$1001,MATCH(ROWS($AH$2:AH679),$AH$2:$AH$1001,0),1)&gt;=100000,INDEX($AO$1005:$BQ$1005,1,MATCH(COLUMNS($AO$1006:BG1006),$AO$1006:$BQ$1006,0))&gt;=100000), " ",IF(INDEX($AO$2:$BQ$1001,MATCH(ROWS($AH$2:AH679),$AH$2:$AH$1001,0),MATCH(COLUMNS($AO$1006:BG1006),$AO$1006:$BQ$1006,0)), HYPERLINK("#",""), HYPERLINK(CONCATENATE("#Metadata!", ADDRESS(INDEX($AJ$2:$AJ$1001,MATCH(ROWS($AH$2:AH679),$AH$2:$AH$1001,0),0), INDEX($AO$1004:$BQ$1004,1,MATCH(COLUMNS($AO$1006:BG1006),$AO$1006:$BQ$1006,0)))),"Fix")))</f>
        <v>#N/A</v>
      </c>
      <c r="U679" s="5" t="e">
        <f ca="1">IF(OR(INDEX($AI$2:$AI$1001,MATCH(ROWS($AH$2:AH679),$AH$2:$AH$1001,0),1)&gt;=100000,INDEX($AO$1005:$BQ$1005,1,MATCH(COLUMNS($AO$1006:BH1006),$AO$1006:$BQ$1006,0))&gt;=100000), " ",IF(INDEX($AO$2:$BQ$1001,MATCH(ROWS($AH$2:AH679),$AH$2:$AH$1001,0),MATCH(COLUMNS($AO$1006:BH1006),$AO$1006:$BQ$1006,0)), HYPERLINK("#",""), HYPERLINK(CONCATENATE("#Metadata!", ADDRESS(INDEX($AJ$2:$AJ$1001,MATCH(ROWS($AH$2:AH679),$AH$2:$AH$1001,0),0), INDEX($AO$1004:$BQ$1004,1,MATCH(COLUMNS($AO$1006:BH1006),$AO$1006:$BQ$1006,0)))),"Fix")))</f>
        <v>#N/A</v>
      </c>
      <c r="V679" s="5" t="e">
        <f ca="1">IF(OR(INDEX($AI$2:$AI$1001,MATCH(ROWS($AH$2:AH679),$AH$2:$AH$1001,0),1)&gt;=100000,INDEX($AO$1005:$BQ$1005,1,MATCH(COLUMNS($AO$1006:BI1006),$AO$1006:$BQ$1006,0))&gt;=100000), " ",IF(INDEX($AO$2:$BQ$1001,MATCH(ROWS($AH$2:AH679),$AH$2:$AH$1001,0),MATCH(COLUMNS($AO$1006:BI1006),$AO$1006:$BQ$1006,0)), HYPERLINK("#",""), HYPERLINK(CONCATENATE("#Metadata!", ADDRESS(INDEX($AJ$2:$AJ$1001,MATCH(ROWS($AH$2:AH679),$AH$2:$AH$1001,0),0), INDEX($AO$1004:$BQ$1004,1,MATCH(COLUMNS($AO$1006:BI1006),$AO$1006:$BQ$1006,0)))),"Fix")))</f>
        <v>#N/A</v>
      </c>
      <c r="W679" s="5" t="e">
        <f ca="1">IF(OR(INDEX($AI$2:$AI$1001,MATCH(ROWS($AH$2:AH679),$AH$2:$AH$1001,0),1)&gt;=100000,INDEX($AO$1005:$BQ$1005,1,MATCH(COLUMNS($AO$1006:BJ1006),$AO$1006:$BQ$1006,0))&gt;=100000), " ",IF(INDEX($AO$2:$BQ$1001,MATCH(ROWS($AH$2:AH679),$AH$2:$AH$1001,0),MATCH(COLUMNS($AO$1006:BJ1006),$AO$1006:$BQ$1006,0)), HYPERLINK("#",""), HYPERLINK(CONCATENATE("#Metadata!", ADDRESS(INDEX($AJ$2:$AJ$1001,MATCH(ROWS($AH$2:AH679),$AH$2:$AH$1001,0),0), INDEX($AO$1004:$BQ$1004,1,MATCH(COLUMNS($AO$1006:BJ1006),$AO$1006:$BQ$1006,0)))),"Fix")))</f>
        <v>#N/A</v>
      </c>
      <c r="X679" s="5" t="e">
        <f ca="1">IF(OR(INDEX($AI$2:$AI$1001,MATCH(ROWS($AH$2:AH679),$AH$2:$AH$1001,0),1)&gt;=100000,INDEX($AO$1005:$BQ$1005,1,MATCH(COLUMNS($AO$1006:BK1006),$AO$1006:$BQ$1006,0))&gt;=100000), " ",IF(INDEX($AO$2:$BQ$1001,MATCH(ROWS($AH$2:AH679),$AH$2:$AH$1001,0),MATCH(COLUMNS($AO$1006:BK1006),$AO$1006:$BQ$1006,0)), HYPERLINK("#",""), HYPERLINK(CONCATENATE("#Metadata!", ADDRESS(INDEX($AJ$2:$AJ$1001,MATCH(ROWS($AH$2:AH679),$AH$2:$AH$1001,0),0), INDEX($AO$1004:$BQ$1004,1,MATCH(COLUMNS($AO$1006:BK1006),$AO$1006:$BQ$1006,0)))),"Fix")))</f>
        <v>#N/A</v>
      </c>
      <c r="Y679" s="5" t="e">
        <f ca="1">IF(OR(INDEX($AI$2:$AI$1001,MATCH(ROWS($AH$2:AH679),$AH$2:$AH$1001,0),1)&gt;=100000,INDEX($AO$1005:$BQ$1005,1,MATCH(COLUMNS($AO$1006:BL1006),$AO$1006:$BQ$1006,0))&gt;=100000), " ",IF(INDEX($AO$2:$BQ$1001,MATCH(ROWS($AH$2:AH679),$AH$2:$AH$1001,0),MATCH(COLUMNS($AO$1006:BL1006),$AO$1006:$BQ$1006,0)), HYPERLINK("#",""), HYPERLINK(CONCATENATE("#Metadata!", ADDRESS(INDEX($AJ$2:$AJ$1001,MATCH(ROWS($AH$2:AH679),$AH$2:$AH$1001,0),0), INDEX($AO$1004:$BQ$1004,1,MATCH(COLUMNS($AO$1006:BL1006),$AO$1006:$BQ$1006,0)))),"Fix")))</f>
        <v>#N/A</v>
      </c>
      <c r="Z679" s="5" t="e">
        <f ca="1">IF(OR(INDEX($AI$2:$AI$1001,MATCH(ROWS($AH$2:AH679),$AH$2:$AH$1001,0),1)&gt;=100000,INDEX($AO$1005:$BQ$1005,1,MATCH(COLUMNS($AO$1006:BM1006),$AO$1006:$BQ$1006,0))&gt;=100000), " ",IF(INDEX($AO$2:$BQ$1001,MATCH(ROWS($AH$2:AH679),$AH$2:$AH$1001,0),MATCH(COLUMNS($AO$1006:BM1006),$AO$1006:$BQ$1006,0)), HYPERLINK("#",""), HYPERLINK(CONCATENATE("#Metadata!", ADDRESS(INDEX($AJ$2:$AJ$1001,MATCH(ROWS($AH$2:AH679),$AH$2:$AH$1001,0),0), INDEX($AO$1004:$BQ$1004,1,MATCH(COLUMNS($AO$1006:BM1006),$AO$1006:$BQ$1006,0)))),"Fix")))</f>
        <v>#N/A</v>
      </c>
      <c r="AA679" s="5" t="e">
        <f ca="1">IF(OR(INDEX($AI$2:$AI$1001,MATCH(ROWS($AH$2:AH679),$AH$2:$AH$1001,0),1)&gt;=100000,INDEX($AO$1005:$BQ$1005,1,MATCH(COLUMNS($AO$1006:BN1006),$AO$1006:$BQ$1006,0))&gt;=100000), " ",IF(INDEX($AO$2:$BQ$1001,MATCH(ROWS($AH$2:AH679),$AH$2:$AH$1001,0),MATCH(COLUMNS($AO$1006:BN1006),$AO$1006:$BQ$1006,0)), HYPERLINK("#",""), HYPERLINK(CONCATENATE("#Metadata!", ADDRESS(INDEX($AJ$2:$AJ$1001,MATCH(ROWS($AH$2:AH679),$AH$2:$AH$1001,0),0), INDEX($AO$1004:$BQ$1004,1,MATCH(COLUMNS($AO$1006:BN1006),$AO$1006:$BQ$1006,0)))),"Fix")))</f>
        <v>#N/A</v>
      </c>
      <c r="AB679" s="5" t="e">
        <f ca="1">IF(OR(INDEX($AI$2:$AI$1001,MATCH(ROWS($AH$2:AH679),$AH$2:$AH$1001,0),1)&gt;=100000,INDEX($AO$1005:$BQ$1005,1,MATCH(COLUMNS($AO$1006:BO1006),$AO$1006:$BQ$1006,0))&gt;=100000), " ",IF(INDEX($AO$2:$BQ$1001,MATCH(ROWS($AH$2:AH679),$AH$2:$AH$1001,0),MATCH(COLUMNS($AO$1006:BO1006),$AO$1006:$BQ$1006,0)), HYPERLINK("#",""), HYPERLINK(CONCATENATE("#Metadata!", ADDRESS(INDEX($AJ$2:$AJ$1001,MATCH(ROWS($AH$2:AH679),$AH$2:$AH$1001,0),0), INDEX($AO$1004:$BQ$1004,1,MATCH(COLUMNS($AO$1006:BO1006),$AO$1006:$BQ$1006,0)))),"Fix")))</f>
        <v>#N/A</v>
      </c>
      <c r="AC679" s="5" t="e">
        <f ca="1">IF(OR(INDEX($AI$2:$AI$1001,MATCH(ROWS($AH$2:AH679),$AH$2:$AH$1001,0),1)&gt;=100000,INDEX($AO$1005:$BQ$1005,1,MATCH(COLUMNS($AO$1006:BP1006),$AO$1006:$BQ$1006,0))&gt;=100000), " ",IF(INDEX($AO$2:$BQ$1001,MATCH(ROWS($AH$2:AH679),$AH$2:$AH$1001,0),MATCH(COLUMNS($AO$1006:BP1006),$AO$1006:$BQ$1006,0)), HYPERLINK("#",""), HYPERLINK(CONCATENATE("#Metadata!", ADDRESS(INDEX($AJ$2:$AJ$1001,MATCH(ROWS($AH$2:AH679),$AH$2:$AH$1001,0),0), INDEX($AO$1004:$BQ$1004,1,MATCH(COLUMNS($AO$1006:BP1006),$AO$1006:$BQ$1006,0)))),"Fix")))</f>
        <v>#N/A</v>
      </c>
      <c r="AD679" s="5" t="e">
        <f ca="1">IF(OR(INDEX($AI$2:$AI$1001,MATCH(ROWS($AH$2:AH679),$AH$2:$AH$1001,0),1)&gt;=100000,INDEX($AO$1005:$BQ$1005,1,MATCH(COLUMNS($AO$1006:BQ1006),$AO$1006:$BQ$1006,0))&gt;=100000), " ",IF(INDEX($AO$2:$BQ$1001,MATCH(ROWS($AH$2:AH679),$AH$2:$AH$1001,0),MATCH(COLUMNS($AO$1006:BQ1006),$AO$1006:$BQ$1006,0)), HYPERLINK("#",""), HYPERLINK(CONCATENATE("#Metadata!", ADDRESS(INDEX($AJ$2:$AJ$1001,MATCH(ROWS($AH$2:AH679),$AH$2:$AH$1001,0),0), INDEX($AO$1004:$BQ$1004,1,MATCH(COLUMNS($AO$1006:BQ1006),$AO$1006:$BQ$1006,0)))),"Fix")))</f>
        <v>#REF!</v>
      </c>
      <c r="AH679">
        <f ca="1"/>
        <v>676</v>
      </c>
      <c r="AI679">
        <v>100679</v>
      </c>
      <c r="AJ679">
        <v>679</v>
      </c>
      <c r="AK679" t="b">
        <f t="shared" si="10"/>
        <v>1</v>
      </c>
      <c r="AL679" t="b">
        <f>COUNTBLANK(Metadata!B679:AD679)=COLUMNS(Metadata!B679:AD679)</f>
        <v>1</v>
      </c>
      <c r="AM679" t="str">
        <v/>
      </c>
      <c r="AO679" t="b">
        <f ca="1">AND(IF(Metadata!B679="",FALSE,TRUE),COUNTIF(Metadata!B:B, Metadata!B679) = 1,NOT(ISERROR(SUMPRODUCT(SEARCH(MID(Metadata!B679,ROW(INDIRECT("1:"&amp;LEN(Metadata!B679))), 1),"0123456789abcdefghijklmnopqrstuvwxyzABCDEFGHIJKLMNOPQRSTUVWXYZ.")))))</f>
        <v>0</v>
      </c>
      <c r="AP679" t="b">
        <f>IF(Metadata!C679="",FALSE,TRUE)</f>
        <v>0</v>
      </c>
      <c r="AQ679" t="b">
        <f>IF(Metadata!D679="",FALSE,TRUE)</f>
        <v>0</v>
      </c>
      <c r="AR679" t="b">
        <f ca="1">OR(AND(IF(Metadata!E679="",FALSE,TRUE),OR(EXACT(Metadata!E679,"not collected"),EXACT(Metadata!E679,"not provided"),EXACT(Metadata!E679,"restricted access"))),AND(IF(Metadata!E679="",FALSE,TRUE),AND(AND(IFERROR(INT(LEFT(Metadata!E679,4))&gt;1900,FALSE),IFERROR(INT(LEFT(Metadata!E679,4))&lt;=YEAR(NOW()),FALSE)), OR(MID(Metadata!E679,5,1)="", AND(AND(MID(Metadata!E679,5,1)="-",IFERROR(INT(MID(Metadata!E679,6,1))&gt;=0,FALSE),IFERROR(INT(MID(Metadata!E679,6,1))&lt;=1,FALSE),NOT(MID(Metadata!E679,7,1)=""),IFERROR(INT(MID(Metadata!E679,6,2))&gt;=1,FALSE),IFERROR(INT(MID(Metadata!E679,6,2))&lt;=12,FALSE)), OR(MID(Metadata!E679,8,1)="", AND(AND(MID(Metadata!E679,8,1)="-",IFERROR(INT(MID(Metadata!E679,9,1))&gt;=0,FALSE),IFERROR(INT(MID(Metadata!E679,9,1))&lt;=3,FALSE),NOT(MID(Metadata!E679,10,1)=""),IFERROR(INT(MID(Metadata!E679,9,2))&gt;=1,FALSE),IFERROR(INT(MID(Metadata!E679,9,2))&lt;=31,FALSE)), OR(MID(Metadata!E679,11,1)="", AND(AND(MID(Metadata!E679,11,1)=" ",IFERROR(INT(MID(Metadata!E679,12,1))&gt;=0,FALSE),IFERROR(INT(MID(Metadata!E679,12,1))&lt;=2,FALSE),NOT(MID(Metadata!E679,13,1)=""),IFERROR(INT(MID(Metadata!E679,12,2))&gt;=0,FALSE),IFERROR(INT(MID(Metadata!E679,12,2))&lt;=23,FALSE)), OR(MID(Metadata!E679,14,1)="", AND(AND(MID(Metadata!E679,14,1)=":",IFERROR(INT(MID(Metadata!E679,15,1))&gt;=0,FALSE),IFERROR(INT(MID(Metadata!E679,15,1))&lt;=5,FALSE),NOT(MID(Metadata!E679,16,1)=""),IFERROR(INT(MID(Metadata!E679,15,2))&gt;=0,FALSE),IFERROR(INT(MID(Metadata!E679,15,2))&lt;=59,FALSE)), OR(MID(Metadata!E679,17,1)="", AND(AND(MID(Metadata!E679,17,1)=":",IFERROR(INT(MID(Metadata!E679,18,1))&gt;=0,FALSE),IFERROR(INT(MID(Metadata!E679,18,1))&lt;=5,FALSE),NOT(MID(Metadata!E679,19,1)=""),IFERROR(INT(MID(Metadata!E679,18,2))&gt;=0,FALSE),IFERROR(INT(MID(Metadata!E679,18,2))&lt;=59,FALSE)), LEN(Metadata!E679)&lt;=19)))))))))))))</f>
        <v>0</v>
      </c>
      <c r="AS679" t="b">
        <f>IF(Metadata!F679="",FALSE,TRUE)</f>
        <v>0</v>
      </c>
      <c r="AT679" t="b">
        <f>OR(AND(IF(Metadata!G679="",FALSE,TRUE),OR(EXACT(Metadata!G679,"not collected"),EXACT(Metadata!G679,"not provided"))),AND(IF(Metadata!G679="",FALSE,TRUE),OR(EXACT(Metadata!G679,"TRUE"),EXACT(Metadata!G679,"FALSE"))))</f>
        <v>0</v>
      </c>
      <c r="AU679" t="b">
        <f>OR(AND(IF(Metadata!H679="",FALSE,TRUE),OR(EXACT(Metadata!H679,"not collected"),EXACT(Metadata!H679,"not provided"),EXACT(Metadata!H679,"restricted access"))),AND(IF(Metadata!H679="",FALSE,ISNUMBER(VALUE(Metadata!H679))),Metadata!H679&gt;=-413))</f>
        <v>0</v>
      </c>
      <c r="AV679" t="b">
        <f>AND(IF(Metadata!I679="",FALSE,TRUE),EXACT(Metadata!I679,"meters"))</f>
        <v>0</v>
      </c>
      <c r="AW679" t="b">
        <f>AND(IF(Metadata!J679="",FALSE,TRUE),EXACT(Metadata!J679,"free-living"))</f>
        <v>0</v>
      </c>
      <c r="AX679" t="b">
        <f>AND(IF(Metadata!K679="",FALSE,TRUE),OR(EXACT(Metadata!K679,"saline"),EXACT(Metadata!K679,"non-saline")))</f>
        <v>0</v>
      </c>
      <c r="AY679" t="b">
        <f>AND(IF(Metadata!L679="",FALSE,TRUE),OR(EXACT(Metadata!L679,"sub-surface (non-saline)"),EXACT(Metadata!L679,"surface (non-saline)"),EXACT(Metadata!L679,"water (non-saline)"),EXACT(Metadata!L679,"soil (non-saline)"),EXACT(Metadata!L679,"aerosol (non-saline)"),EXACT(Metadata!L679,"sediment (non-saline)"),EXACT(Metadata!L679,"surface (saline)"),EXACT(Metadata!L679,"water (saline)"),EXACT(Metadata!L679,"hypersaline (saline)"),EXACT(Metadata!L679,"aerosol (saline)"),EXACT(Metadata!L679,"sediment (saline)")))</f>
        <v>0</v>
      </c>
      <c r="AZ679" t="b">
        <f>IF(Metadata!M679="",FALSE,TRUE)</f>
        <v>0</v>
      </c>
      <c r="BA679" t="b">
        <f>IF(Metadata!N679="",FALSE,TRUE)</f>
        <v>0</v>
      </c>
      <c r="BB679" t="b">
        <f>IF(Metadata!O679="",FALSE,TRUE)</f>
        <v>0</v>
      </c>
      <c r="BC679" t="b">
        <f>AND(IF(Metadata!P679="",FALSE,TRUE),OR(EXACT(Metadata!P679,"air"),EXACT(Metadata!P679,"microbial mat/biofilm"),EXACT(Metadata!P679,"misc environment"),EXACT(Metadata!P679,"sediment"),EXACT(Metadata!P679,"soil"),EXACT(Metadata!P679,"wastewater/sludge"),EXACT(Metadata!P679,"water")))</f>
        <v>0</v>
      </c>
      <c r="BD679" t="b">
        <f>IF(Metadata!Q679="",FALSE,TRUE)</f>
        <v>0</v>
      </c>
      <c r="BE679" t="b">
        <f>IF(Metadata!R679="",FALSE,TRUE)</f>
        <v>0</v>
      </c>
      <c r="BF679" t="b">
        <f>OR(AND(IF(Metadata!S679="",FALSE,TRUE),OR(EXACT(Metadata!S679,"not collected"),EXACT(Metadata!S679,"not provided"),EXACT(Metadata!S679,"restricted access"))),AND(IF(Metadata!S679="",FALSE,ISNUMBER(VALUE(Metadata!S679))),Metadata!S679&gt;=-90,Metadata!S679&lt;=90))</f>
        <v>0</v>
      </c>
      <c r="BG679" t="b">
        <f>AND(IF(Metadata!T679="",FALSE,TRUE),EXACT(Metadata!T679,"Decimal degrees"))</f>
        <v>0</v>
      </c>
      <c r="BH679" t="b">
        <f>OR(AND(IF(Metadata!U679="",FALSE,TRUE),OR(EXACT(Metadata!U679,"not applicable"),EXACT(Metadata!U679,"not collected"))),IF(Metadata!U679="",FALSE,TRUE))</f>
        <v>0</v>
      </c>
      <c r="BI679" t="b">
        <f>OR(AND(IF(Metadata!V679="",FALSE,TRUE),OR(EXACT(Metadata!V679,"not collected"),EXACT(Metadata!V679,"not provided"),EXACT(Metadata!V679,"restricted access"))),AND(IF(Metadata!V679="",FALSE,ISNUMBER(VALUE(Metadata!V679))),Metadata!V679&gt;=-180,Metadata!V679&lt;=180))</f>
        <v>0</v>
      </c>
      <c r="BJ679" t="b">
        <f>AND(IF(Metadata!W679="",FALSE,TRUE),EXACT(Metadata!W679,"Decimal degrees"))</f>
        <v>0</v>
      </c>
      <c r="BK679" t="b">
        <f>IF(Metadata!X679="",FALSE,TRUE)</f>
        <v>0</v>
      </c>
      <c r="BL679" t="b">
        <f>OR(AND(IF(Metadata!Y679="",FALSE,TRUE),OR(EXACT(Metadata!Y679,"not collected"),EXACT(Metadata!Y679,"not provided"),EXACT(Metadata!Y679,"restricted access"))),AND(IF(Metadata!Y679="",FALSE,TRUE),OR(EXACT(Metadata!Y679,"TRUE"),EXACT(Metadata!Y679,"FALSE"))))</f>
        <v>0</v>
      </c>
      <c r="BM679" t="b">
        <f>OR(AND(IF(Metadata!Z679="",FALSE,TRUE),EXACT(Metadata!Z679,"not applicable")),AND(IF(Metadata!Z679="",FALSE,TRUE),OR(EXACT(Metadata!Z679,"beer"),EXACT(Metadata!Z679,"cheese"),EXACT(Metadata!Z679,"fresh water"),EXACT(Metadata!Z679,"marine sediment"),EXACT(Metadata!Z679,"sea water"),EXACT(Metadata!Z679,"sediment"),EXACT(Metadata!Z679,"soil"),EXACT(Metadata!Z679,"waste water"))))</f>
        <v>0</v>
      </c>
      <c r="BN679" t="b">
        <f>AND(IF(Metadata!AA679="",FALSE,TRUE),EXACT(Metadata!AA679,"metagenome"))</f>
        <v>0</v>
      </c>
      <c r="BO679" t="b">
        <f>AND(IF(Metadata!AB679="",FALSE,TRUE),EXACT(Metadata!AB679,"256318"))</f>
        <v>0</v>
      </c>
      <c r="BP679" t="b">
        <f>IF(Metadata!AC679="",FALSE,TRUE)</f>
        <v>0</v>
      </c>
      <c r="BQ679" t="b">
        <f>IF(Metadata!AD679="",FALSE,TRUE)</f>
        <v>0</v>
      </c>
    </row>
    <row r="680" spans="1:69" x14ac:dyDescent="0.2">
      <c r="A680" s="4" t="e">
        <f ca="1">IF(B680=" "," ",HYPERLINK(CONCATENATE("#metadata!",ADDRESS(INDEX($AJ$2:$AJ$1001,MATCH(ROWS($AH$2:AH680),$AH$2:$AH$1001,0),0),2)),INDEX($AM$2:$AM$1001,MATCH(ROWS($AH$2:AH680),$AH$2:$AH$1001,0),0)))</f>
        <v>#N/A</v>
      </c>
      <c r="B680" s="5" t="e">
        <f ca="1">IF(OR(INDEX($AI$2:$AI$1001,MATCH(ROWS($AH$2:AH680),$AH$2:$AH$1001,0),1)&gt;=100000,INDEX($AO$1005:$BQ$1005,1,MATCH(COLUMNS($AO$1006:AO1006),$AO$1006:$BQ$1006,0))&gt;=100000), " ",IF(INDEX($AO$2:$BQ$1001,MATCH(ROWS($AH$2:AH680),$AH$2:$AH$1001,0),MATCH(COLUMNS($AO$1006:AO1006),$AO$1006:$BQ$1006,0)), HYPERLINK("#",""), HYPERLINK(CONCATENATE("#Metadata!", ADDRESS(INDEX($AJ$2:$AJ$1001,MATCH(ROWS($AH$2:AH680),$AH$2:$AH$1001,0),0), INDEX($AO$1004:$BQ$1004,1,MATCH(COLUMNS($AO$1006:AO1006),$AO$1006:$BQ$1006,0)))),"Fix")))</f>
        <v>#N/A</v>
      </c>
      <c r="C680" s="5" t="e">
        <f ca="1">IF(OR(INDEX($AI$2:$AI$1001,MATCH(ROWS($AH$2:AH680),$AH$2:$AH$1001,0),1)&gt;=100000,INDEX($AO$1005:$BQ$1005,1,MATCH(COLUMNS($AO$1006:AP1006),$AO$1006:$BQ$1006,0))&gt;=100000), " ",IF(INDEX($AO$2:$BQ$1001,MATCH(ROWS($AH$2:AH680),$AH$2:$AH$1001,0),MATCH(COLUMNS($AO$1006:AP1006),$AO$1006:$BQ$1006,0)), HYPERLINK("#",""), HYPERLINK(CONCATENATE("#Metadata!", ADDRESS(INDEX($AJ$2:$AJ$1001,MATCH(ROWS($AH$2:AH680),$AH$2:$AH$1001,0),0), INDEX($AO$1004:$BQ$1004,1,MATCH(COLUMNS($AO$1006:AP1006),$AO$1006:$BQ$1006,0)))),"Fix")))</f>
        <v>#N/A</v>
      </c>
      <c r="D680" s="5" t="e">
        <f ca="1">IF(OR(INDEX($AI$2:$AI$1001,MATCH(ROWS($AH$2:AH680),$AH$2:$AH$1001,0),1)&gt;=100000,INDEX($AO$1005:$BQ$1005,1,MATCH(COLUMNS($AO$1006:AQ1006),$AO$1006:$BQ$1006,0))&gt;=100000), " ",IF(INDEX($AO$2:$BQ$1001,MATCH(ROWS($AH$2:AH680),$AH$2:$AH$1001,0),MATCH(COLUMNS($AO$1006:AQ1006),$AO$1006:$BQ$1006,0)), HYPERLINK("#",""), HYPERLINK(CONCATENATE("#Metadata!", ADDRESS(INDEX($AJ$2:$AJ$1001,MATCH(ROWS($AH$2:AH680),$AH$2:$AH$1001,0),0), INDEX($AO$1004:$BQ$1004,1,MATCH(COLUMNS($AO$1006:AQ1006),$AO$1006:$BQ$1006,0)))),"Fix")))</f>
        <v>#N/A</v>
      </c>
      <c r="E680" s="5" t="e">
        <f ca="1">IF(OR(INDEX($AI$2:$AI$1001,MATCH(ROWS($AH$2:AH680),$AH$2:$AH$1001,0),1)&gt;=100000,INDEX($AO$1005:$BQ$1005,1,MATCH(COLUMNS($AO$1006:AR1006),$AO$1006:$BQ$1006,0))&gt;=100000), " ",IF(INDEX($AO$2:$BQ$1001,MATCH(ROWS($AH$2:AH680),$AH$2:$AH$1001,0),MATCH(COLUMNS($AO$1006:AR1006),$AO$1006:$BQ$1006,0)), HYPERLINK("#",""), HYPERLINK(CONCATENATE("#Metadata!", ADDRESS(INDEX($AJ$2:$AJ$1001,MATCH(ROWS($AH$2:AH680),$AH$2:$AH$1001,0),0), INDEX($AO$1004:$BQ$1004,1,MATCH(COLUMNS($AO$1006:AR1006),$AO$1006:$BQ$1006,0)))),"Fix")))</f>
        <v>#N/A</v>
      </c>
      <c r="F680" s="5" t="e">
        <f ca="1">IF(OR(INDEX($AI$2:$AI$1001,MATCH(ROWS($AH$2:AH680),$AH$2:$AH$1001,0),1)&gt;=100000,INDEX($AO$1005:$BQ$1005,1,MATCH(COLUMNS($AO$1006:AS1006),$AO$1006:$BQ$1006,0))&gt;=100000), " ",IF(INDEX($AO$2:$BQ$1001,MATCH(ROWS($AH$2:AH680),$AH$2:$AH$1001,0),MATCH(COLUMNS($AO$1006:AS1006),$AO$1006:$BQ$1006,0)), HYPERLINK("#",""), HYPERLINK(CONCATENATE("#Metadata!", ADDRESS(INDEX($AJ$2:$AJ$1001,MATCH(ROWS($AH$2:AH680),$AH$2:$AH$1001,0),0), INDEX($AO$1004:$BQ$1004,1,MATCH(COLUMNS($AO$1006:AS1006),$AO$1006:$BQ$1006,0)))),"Fix")))</f>
        <v>#N/A</v>
      </c>
      <c r="G680" s="5" t="e">
        <f ca="1">IF(OR(INDEX($AI$2:$AI$1001,MATCH(ROWS($AH$2:AH680),$AH$2:$AH$1001,0),1)&gt;=100000,INDEX($AO$1005:$BQ$1005,1,MATCH(COLUMNS($AO$1006:AT1006),$AO$1006:$BQ$1006,0))&gt;=100000), " ",IF(INDEX($AO$2:$BQ$1001,MATCH(ROWS($AH$2:AH680),$AH$2:$AH$1001,0),MATCH(COLUMNS($AO$1006:AT1006),$AO$1006:$BQ$1006,0)), HYPERLINK("#",""), HYPERLINK(CONCATENATE("#Metadata!", ADDRESS(INDEX($AJ$2:$AJ$1001,MATCH(ROWS($AH$2:AH680),$AH$2:$AH$1001,0),0), INDEX($AO$1004:$BQ$1004,1,MATCH(COLUMNS($AO$1006:AT1006),$AO$1006:$BQ$1006,0)))),"Fix")))</f>
        <v>#N/A</v>
      </c>
      <c r="H680" s="5" t="e">
        <f ca="1">IF(OR(INDEX($AI$2:$AI$1001,MATCH(ROWS($AH$2:AH680),$AH$2:$AH$1001,0),1)&gt;=100000,INDEX($AO$1005:$BQ$1005,1,MATCH(COLUMNS($AO$1006:AU1006),$AO$1006:$BQ$1006,0))&gt;=100000), " ",IF(INDEX($AO$2:$BQ$1001,MATCH(ROWS($AH$2:AH680),$AH$2:$AH$1001,0),MATCH(COLUMNS($AO$1006:AU1006),$AO$1006:$BQ$1006,0)), HYPERLINK("#",""), HYPERLINK(CONCATENATE("#Metadata!", ADDRESS(INDEX($AJ$2:$AJ$1001,MATCH(ROWS($AH$2:AH680),$AH$2:$AH$1001,0),0), INDEX($AO$1004:$BQ$1004,1,MATCH(COLUMNS($AO$1006:AU1006),$AO$1006:$BQ$1006,0)))),"Fix")))</f>
        <v>#N/A</v>
      </c>
      <c r="I680" s="5" t="e">
        <f ca="1">IF(OR(INDEX($AI$2:$AI$1001,MATCH(ROWS($AH$2:AH680),$AH$2:$AH$1001,0),1)&gt;=100000,INDEX($AO$1005:$BQ$1005,1,MATCH(COLUMNS($AO$1006:AV1006),$AO$1006:$BQ$1006,0))&gt;=100000), " ",IF(INDEX($AO$2:$BQ$1001,MATCH(ROWS($AH$2:AH680),$AH$2:$AH$1001,0),MATCH(COLUMNS($AO$1006:AV1006),$AO$1006:$BQ$1006,0)), HYPERLINK("#",""), HYPERLINK(CONCATENATE("#Metadata!", ADDRESS(INDEX($AJ$2:$AJ$1001,MATCH(ROWS($AH$2:AH680),$AH$2:$AH$1001,0),0), INDEX($AO$1004:$BQ$1004,1,MATCH(COLUMNS($AO$1006:AV1006),$AO$1006:$BQ$1006,0)))),"Fix")))</f>
        <v>#N/A</v>
      </c>
      <c r="J680" s="5" t="e">
        <f ca="1">IF(OR(INDEX($AI$2:$AI$1001,MATCH(ROWS($AH$2:AH680),$AH$2:$AH$1001,0),1)&gt;=100000,INDEX($AO$1005:$BQ$1005,1,MATCH(COLUMNS($AO$1006:AW1006),$AO$1006:$BQ$1006,0))&gt;=100000), " ",IF(INDEX($AO$2:$BQ$1001,MATCH(ROWS($AH$2:AH680),$AH$2:$AH$1001,0),MATCH(COLUMNS($AO$1006:AW1006),$AO$1006:$BQ$1006,0)), HYPERLINK("#",""), HYPERLINK(CONCATENATE("#Metadata!", ADDRESS(INDEX($AJ$2:$AJ$1001,MATCH(ROWS($AH$2:AH680),$AH$2:$AH$1001,0),0), INDEX($AO$1004:$BQ$1004,1,MATCH(COLUMNS($AO$1006:AW1006),$AO$1006:$BQ$1006,0)))),"Fix")))</f>
        <v>#N/A</v>
      </c>
      <c r="K680" s="5" t="e">
        <f ca="1">IF(OR(INDEX($AI$2:$AI$1001,MATCH(ROWS($AH$2:AH680),$AH$2:$AH$1001,0),1)&gt;=100000,INDEX($AO$1005:$BQ$1005,1,MATCH(COLUMNS($AO$1006:AX1006),$AO$1006:$BQ$1006,0))&gt;=100000), " ",IF(INDEX($AO$2:$BQ$1001,MATCH(ROWS($AH$2:AH680),$AH$2:$AH$1001,0),MATCH(COLUMNS($AO$1006:AX1006),$AO$1006:$BQ$1006,0)), HYPERLINK("#",""), HYPERLINK(CONCATENATE("#Metadata!", ADDRESS(INDEX($AJ$2:$AJ$1001,MATCH(ROWS($AH$2:AH680),$AH$2:$AH$1001,0),0), INDEX($AO$1004:$BQ$1004,1,MATCH(COLUMNS($AO$1006:AX1006),$AO$1006:$BQ$1006,0)))),"Fix")))</f>
        <v>#N/A</v>
      </c>
      <c r="L680" s="5" t="e">
        <f ca="1">IF(OR(INDEX($AI$2:$AI$1001,MATCH(ROWS($AH$2:AH680),$AH$2:$AH$1001,0),1)&gt;=100000,INDEX($AO$1005:$BQ$1005,1,MATCH(COLUMNS($AO$1006:AY1006),$AO$1006:$BQ$1006,0))&gt;=100000), " ",IF(INDEX($AO$2:$BQ$1001,MATCH(ROWS($AH$2:AH680),$AH$2:$AH$1001,0),MATCH(COLUMNS($AO$1006:AY1006),$AO$1006:$BQ$1006,0)), HYPERLINK("#",""), HYPERLINK(CONCATENATE("#Metadata!", ADDRESS(INDEX($AJ$2:$AJ$1001,MATCH(ROWS($AH$2:AH680),$AH$2:$AH$1001,0),0), INDEX($AO$1004:$BQ$1004,1,MATCH(COLUMNS($AO$1006:AY1006),$AO$1006:$BQ$1006,0)))),"Fix")))</f>
        <v>#N/A</v>
      </c>
      <c r="M680" s="5" t="e">
        <f ca="1">IF(OR(INDEX($AI$2:$AI$1001,MATCH(ROWS($AH$2:AH680),$AH$2:$AH$1001,0),1)&gt;=100000,INDEX($AO$1005:$BQ$1005,1,MATCH(COLUMNS($AO$1006:AZ1006),$AO$1006:$BQ$1006,0))&gt;=100000), " ",IF(INDEX($AO$2:$BQ$1001,MATCH(ROWS($AH$2:AH680),$AH$2:$AH$1001,0),MATCH(COLUMNS($AO$1006:AZ1006),$AO$1006:$BQ$1006,0)), HYPERLINK("#",""), HYPERLINK(CONCATENATE("#Metadata!", ADDRESS(INDEX($AJ$2:$AJ$1001,MATCH(ROWS($AH$2:AH680),$AH$2:$AH$1001,0),0), INDEX($AO$1004:$BQ$1004,1,MATCH(COLUMNS($AO$1006:AZ1006),$AO$1006:$BQ$1006,0)))),"Fix")))</f>
        <v>#N/A</v>
      </c>
      <c r="N680" s="5" t="e">
        <f ca="1">IF(OR(INDEX($AI$2:$AI$1001,MATCH(ROWS($AH$2:AH680),$AH$2:$AH$1001,0),1)&gt;=100000,INDEX($AO$1005:$BQ$1005,1,MATCH(COLUMNS($AO$1006:BA1006),$AO$1006:$BQ$1006,0))&gt;=100000), " ",IF(INDEX($AO$2:$BQ$1001,MATCH(ROWS($AH$2:AH680),$AH$2:$AH$1001,0),MATCH(COLUMNS($AO$1006:BA1006),$AO$1006:$BQ$1006,0)), HYPERLINK("#",""), HYPERLINK(CONCATENATE("#Metadata!", ADDRESS(INDEX($AJ$2:$AJ$1001,MATCH(ROWS($AH$2:AH680),$AH$2:$AH$1001,0),0), INDEX($AO$1004:$BQ$1004,1,MATCH(COLUMNS($AO$1006:BA1006),$AO$1006:$BQ$1006,0)))),"Fix")))</f>
        <v>#N/A</v>
      </c>
      <c r="O680" s="5" t="e">
        <f ca="1">IF(OR(INDEX($AI$2:$AI$1001,MATCH(ROWS($AH$2:AH680),$AH$2:$AH$1001,0),1)&gt;=100000,INDEX($AO$1005:$BQ$1005,1,MATCH(COLUMNS($AO$1006:BB1006),$AO$1006:$BQ$1006,0))&gt;=100000), " ",IF(INDEX($AO$2:$BQ$1001,MATCH(ROWS($AH$2:AH680),$AH$2:$AH$1001,0),MATCH(COLUMNS($AO$1006:BB1006),$AO$1006:$BQ$1006,0)), HYPERLINK("#",""), HYPERLINK(CONCATENATE("#Metadata!", ADDRESS(INDEX($AJ$2:$AJ$1001,MATCH(ROWS($AH$2:AH680),$AH$2:$AH$1001,0),0), INDEX($AO$1004:$BQ$1004,1,MATCH(COLUMNS($AO$1006:BB1006),$AO$1006:$BQ$1006,0)))),"Fix")))</f>
        <v>#N/A</v>
      </c>
      <c r="P680" s="5" t="e">
        <f ca="1">IF(OR(INDEX($AI$2:$AI$1001,MATCH(ROWS($AH$2:AH680),$AH$2:$AH$1001,0),1)&gt;=100000,INDEX($AO$1005:$BQ$1005,1,MATCH(COLUMNS($AO$1006:BC1006),$AO$1006:$BQ$1006,0))&gt;=100000), " ",IF(INDEX($AO$2:$BQ$1001,MATCH(ROWS($AH$2:AH680),$AH$2:$AH$1001,0),MATCH(COLUMNS($AO$1006:BC1006),$AO$1006:$BQ$1006,0)), HYPERLINK("#",""), HYPERLINK(CONCATENATE("#Metadata!", ADDRESS(INDEX($AJ$2:$AJ$1001,MATCH(ROWS($AH$2:AH680),$AH$2:$AH$1001,0),0), INDEX($AO$1004:$BQ$1004,1,MATCH(COLUMNS($AO$1006:BC1006),$AO$1006:$BQ$1006,0)))),"Fix")))</f>
        <v>#N/A</v>
      </c>
      <c r="Q680" s="5" t="e">
        <f ca="1">IF(OR(INDEX($AI$2:$AI$1001,MATCH(ROWS($AH$2:AH680),$AH$2:$AH$1001,0),1)&gt;=100000,INDEX($AO$1005:$BQ$1005,1,MATCH(COLUMNS($AO$1006:BD1006),$AO$1006:$BQ$1006,0))&gt;=100000), " ",IF(INDEX($AO$2:$BQ$1001,MATCH(ROWS($AH$2:AH680),$AH$2:$AH$1001,0),MATCH(COLUMNS($AO$1006:BD1006),$AO$1006:$BQ$1006,0)), HYPERLINK("#",""), HYPERLINK(CONCATENATE("#Metadata!", ADDRESS(INDEX($AJ$2:$AJ$1001,MATCH(ROWS($AH$2:AH680),$AH$2:$AH$1001,0),0), INDEX($AO$1004:$BQ$1004,1,MATCH(COLUMNS($AO$1006:BD1006),$AO$1006:$BQ$1006,0)))),"Fix")))</f>
        <v>#N/A</v>
      </c>
      <c r="R680" s="5" t="e">
        <f ca="1">IF(OR(INDEX($AI$2:$AI$1001,MATCH(ROWS($AH$2:AH680),$AH$2:$AH$1001,0),1)&gt;=100000,INDEX($AO$1005:$BQ$1005,1,MATCH(COLUMNS($AO$1006:BE1006),$AO$1006:$BQ$1006,0))&gt;=100000), " ",IF(INDEX($AO$2:$BQ$1001,MATCH(ROWS($AH$2:AH680),$AH$2:$AH$1001,0),MATCH(COLUMNS($AO$1006:BE1006),$AO$1006:$BQ$1006,0)), HYPERLINK("#",""), HYPERLINK(CONCATENATE("#Metadata!", ADDRESS(INDEX($AJ$2:$AJ$1001,MATCH(ROWS($AH$2:AH680),$AH$2:$AH$1001,0),0), INDEX($AO$1004:$BQ$1004,1,MATCH(COLUMNS($AO$1006:BE1006),$AO$1006:$BQ$1006,0)))),"Fix")))</f>
        <v>#N/A</v>
      </c>
      <c r="S680" s="5" t="e">
        <f ca="1">IF(OR(INDEX($AI$2:$AI$1001,MATCH(ROWS($AH$2:AH680),$AH$2:$AH$1001,0),1)&gt;=100000,INDEX($AO$1005:$BQ$1005,1,MATCH(COLUMNS($AO$1006:BF1006),$AO$1006:$BQ$1006,0))&gt;=100000), " ",IF(INDEX($AO$2:$BQ$1001,MATCH(ROWS($AH$2:AH680),$AH$2:$AH$1001,0),MATCH(COLUMNS($AO$1006:BF1006),$AO$1006:$BQ$1006,0)), HYPERLINK("#",""), HYPERLINK(CONCATENATE("#Metadata!", ADDRESS(INDEX($AJ$2:$AJ$1001,MATCH(ROWS($AH$2:AH680),$AH$2:$AH$1001,0),0), INDEX($AO$1004:$BQ$1004,1,MATCH(COLUMNS($AO$1006:BF1006),$AO$1006:$BQ$1006,0)))),"Fix")))</f>
        <v>#N/A</v>
      </c>
      <c r="T680" s="5" t="e">
        <f ca="1">IF(OR(INDEX($AI$2:$AI$1001,MATCH(ROWS($AH$2:AH680),$AH$2:$AH$1001,0),1)&gt;=100000,INDEX($AO$1005:$BQ$1005,1,MATCH(COLUMNS($AO$1006:BG1006),$AO$1006:$BQ$1006,0))&gt;=100000), " ",IF(INDEX($AO$2:$BQ$1001,MATCH(ROWS($AH$2:AH680),$AH$2:$AH$1001,0),MATCH(COLUMNS($AO$1006:BG1006),$AO$1006:$BQ$1006,0)), HYPERLINK("#",""), HYPERLINK(CONCATENATE("#Metadata!", ADDRESS(INDEX($AJ$2:$AJ$1001,MATCH(ROWS($AH$2:AH680),$AH$2:$AH$1001,0),0), INDEX($AO$1004:$BQ$1004,1,MATCH(COLUMNS($AO$1006:BG1006),$AO$1006:$BQ$1006,0)))),"Fix")))</f>
        <v>#N/A</v>
      </c>
      <c r="U680" s="5" t="e">
        <f ca="1">IF(OR(INDEX($AI$2:$AI$1001,MATCH(ROWS($AH$2:AH680),$AH$2:$AH$1001,0),1)&gt;=100000,INDEX($AO$1005:$BQ$1005,1,MATCH(COLUMNS($AO$1006:BH1006),$AO$1006:$BQ$1006,0))&gt;=100000), " ",IF(INDEX($AO$2:$BQ$1001,MATCH(ROWS($AH$2:AH680),$AH$2:$AH$1001,0),MATCH(COLUMNS($AO$1006:BH1006),$AO$1006:$BQ$1006,0)), HYPERLINK("#",""), HYPERLINK(CONCATENATE("#Metadata!", ADDRESS(INDEX($AJ$2:$AJ$1001,MATCH(ROWS($AH$2:AH680),$AH$2:$AH$1001,0),0), INDEX($AO$1004:$BQ$1004,1,MATCH(COLUMNS($AO$1006:BH1006),$AO$1006:$BQ$1006,0)))),"Fix")))</f>
        <v>#N/A</v>
      </c>
      <c r="V680" s="5" t="e">
        <f ca="1">IF(OR(INDEX($AI$2:$AI$1001,MATCH(ROWS($AH$2:AH680),$AH$2:$AH$1001,0),1)&gt;=100000,INDEX($AO$1005:$BQ$1005,1,MATCH(COLUMNS($AO$1006:BI1006),$AO$1006:$BQ$1006,0))&gt;=100000), " ",IF(INDEX($AO$2:$BQ$1001,MATCH(ROWS($AH$2:AH680),$AH$2:$AH$1001,0),MATCH(COLUMNS($AO$1006:BI1006),$AO$1006:$BQ$1006,0)), HYPERLINK("#",""), HYPERLINK(CONCATENATE("#Metadata!", ADDRESS(INDEX($AJ$2:$AJ$1001,MATCH(ROWS($AH$2:AH680),$AH$2:$AH$1001,0),0), INDEX($AO$1004:$BQ$1004,1,MATCH(COLUMNS($AO$1006:BI1006),$AO$1006:$BQ$1006,0)))),"Fix")))</f>
        <v>#N/A</v>
      </c>
      <c r="W680" s="5" t="e">
        <f ca="1">IF(OR(INDEX($AI$2:$AI$1001,MATCH(ROWS($AH$2:AH680),$AH$2:$AH$1001,0),1)&gt;=100000,INDEX($AO$1005:$BQ$1005,1,MATCH(COLUMNS($AO$1006:BJ1006),$AO$1006:$BQ$1006,0))&gt;=100000), " ",IF(INDEX($AO$2:$BQ$1001,MATCH(ROWS($AH$2:AH680),$AH$2:$AH$1001,0),MATCH(COLUMNS($AO$1006:BJ1006),$AO$1006:$BQ$1006,0)), HYPERLINK("#",""), HYPERLINK(CONCATENATE("#Metadata!", ADDRESS(INDEX($AJ$2:$AJ$1001,MATCH(ROWS($AH$2:AH680),$AH$2:$AH$1001,0),0), INDEX($AO$1004:$BQ$1004,1,MATCH(COLUMNS($AO$1006:BJ1006),$AO$1006:$BQ$1006,0)))),"Fix")))</f>
        <v>#N/A</v>
      </c>
      <c r="X680" s="5" t="e">
        <f ca="1">IF(OR(INDEX($AI$2:$AI$1001,MATCH(ROWS($AH$2:AH680),$AH$2:$AH$1001,0),1)&gt;=100000,INDEX($AO$1005:$BQ$1005,1,MATCH(COLUMNS($AO$1006:BK1006),$AO$1006:$BQ$1006,0))&gt;=100000), " ",IF(INDEX($AO$2:$BQ$1001,MATCH(ROWS($AH$2:AH680),$AH$2:$AH$1001,0),MATCH(COLUMNS($AO$1006:BK1006),$AO$1006:$BQ$1006,0)), HYPERLINK("#",""), HYPERLINK(CONCATENATE("#Metadata!", ADDRESS(INDEX($AJ$2:$AJ$1001,MATCH(ROWS($AH$2:AH680),$AH$2:$AH$1001,0),0), INDEX($AO$1004:$BQ$1004,1,MATCH(COLUMNS($AO$1006:BK1006),$AO$1006:$BQ$1006,0)))),"Fix")))</f>
        <v>#N/A</v>
      </c>
      <c r="Y680" s="5" t="e">
        <f ca="1">IF(OR(INDEX($AI$2:$AI$1001,MATCH(ROWS($AH$2:AH680),$AH$2:$AH$1001,0),1)&gt;=100000,INDEX($AO$1005:$BQ$1005,1,MATCH(COLUMNS($AO$1006:BL1006),$AO$1006:$BQ$1006,0))&gt;=100000), " ",IF(INDEX($AO$2:$BQ$1001,MATCH(ROWS($AH$2:AH680),$AH$2:$AH$1001,0),MATCH(COLUMNS($AO$1006:BL1006),$AO$1006:$BQ$1006,0)), HYPERLINK("#",""), HYPERLINK(CONCATENATE("#Metadata!", ADDRESS(INDEX($AJ$2:$AJ$1001,MATCH(ROWS($AH$2:AH680),$AH$2:$AH$1001,0),0), INDEX($AO$1004:$BQ$1004,1,MATCH(COLUMNS($AO$1006:BL1006),$AO$1006:$BQ$1006,0)))),"Fix")))</f>
        <v>#N/A</v>
      </c>
      <c r="Z680" s="5" t="e">
        <f ca="1">IF(OR(INDEX($AI$2:$AI$1001,MATCH(ROWS($AH$2:AH680),$AH$2:$AH$1001,0),1)&gt;=100000,INDEX($AO$1005:$BQ$1005,1,MATCH(COLUMNS($AO$1006:BM1006),$AO$1006:$BQ$1006,0))&gt;=100000), " ",IF(INDEX($AO$2:$BQ$1001,MATCH(ROWS($AH$2:AH680),$AH$2:$AH$1001,0),MATCH(COLUMNS($AO$1006:BM1006),$AO$1006:$BQ$1006,0)), HYPERLINK("#",""), HYPERLINK(CONCATENATE("#Metadata!", ADDRESS(INDEX($AJ$2:$AJ$1001,MATCH(ROWS($AH$2:AH680),$AH$2:$AH$1001,0),0), INDEX($AO$1004:$BQ$1004,1,MATCH(COLUMNS($AO$1006:BM1006),$AO$1006:$BQ$1006,0)))),"Fix")))</f>
        <v>#N/A</v>
      </c>
      <c r="AA680" s="5" t="e">
        <f ca="1">IF(OR(INDEX($AI$2:$AI$1001,MATCH(ROWS($AH$2:AH680),$AH$2:$AH$1001,0),1)&gt;=100000,INDEX($AO$1005:$BQ$1005,1,MATCH(COLUMNS($AO$1006:BN1006),$AO$1006:$BQ$1006,0))&gt;=100000), " ",IF(INDEX($AO$2:$BQ$1001,MATCH(ROWS($AH$2:AH680),$AH$2:$AH$1001,0),MATCH(COLUMNS($AO$1006:BN1006),$AO$1006:$BQ$1006,0)), HYPERLINK("#",""), HYPERLINK(CONCATENATE("#Metadata!", ADDRESS(INDEX($AJ$2:$AJ$1001,MATCH(ROWS($AH$2:AH680),$AH$2:$AH$1001,0),0), INDEX($AO$1004:$BQ$1004,1,MATCH(COLUMNS($AO$1006:BN1006),$AO$1006:$BQ$1006,0)))),"Fix")))</f>
        <v>#N/A</v>
      </c>
      <c r="AB680" s="5" t="e">
        <f ca="1">IF(OR(INDEX($AI$2:$AI$1001,MATCH(ROWS($AH$2:AH680),$AH$2:$AH$1001,0),1)&gt;=100000,INDEX($AO$1005:$BQ$1005,1,MATCH(COLUMNS($AO$1006:BO1006),$AO$1006:$BQ$1006,0))&gt;=100000), " ",IF(INDEX($AO$2:$BQ$1001,MATCH(ROWS($AH$2:AH680),$AH$2:$AH$1001,0),MATCH(COLUMNS($AO$1006:BO1006),$AO$1006:$BQ$1006,0)), HYPERLINK("#",""), HYPERLINK(CONCATENATE("#Metadata!", ADDRESS(INDEX($AJ$2:$AJ$1001,MATCH(ROWS($AH$2:AH680),$AH$2:$AH$1001,0),0), INDEX($AO$1004:$BQ$1004,1,MATCH(COLUMNS($AO$1006:BO1006),$AO$1006:$BQ$1006,0)))),"Fix")))</f>
        <v>#N/A</v>
      </c>
      <c r="AC680" s="5" t="e">
        <f ca="1">IF(OR(INDEX($AI$2:$AI$1001,MATCH(ROWS($AH$2:AH680),$AH$2:$AH$1001,0),1)&gt;=100000,INDEX($AO$1005:$BQ$1005,1,MATCH(COLUMNS($AO$1006:BP1006),$AO$1006:$BQ$1006,0))&gt;=100000), " ",IF(INDEX($AO$2:$BQ$1001,MATCH(ROWS($AH$2:AH680),$AH$2:$AH$1001,0),MATCH(COLUMNS($AO$1006:BP1006),$AO$1006:$BQ$1006,0)), HYPERLINK("#",""), HYPERLINK(CONCATENATE("#Metadata!", ADDRESS(INDEX($AJ$2:$AJ$1001,MATCH(ROWS($AH$2:AH680),$AH$2:$AH$1001,0),0), INDEX($AO$1004:$BQ$1004,1,MATCH(COLUMNS($AO$1006:BP1006),$AO$1006:$BQ$1006,0)))),"Fix")))</f>
        <v>#N/A</v>
      </c>
      <c r="AD680" s="5" t="e">
        <f ca="1">IF(OR(INDEX($AI$2:$AI$1001,MATCH(ROWS($AH$2:AH680),$AH$2:$AH$1001,0),1)&gt;=100000,INDEX($AO$1005:$BQ$1005,1,MATCH(COLUMNS($AO$1006:BQ1006),$AO$1006:$BQ$1006,0))&gt;=100000), " ",IF(INDEX($AO$2:$BQ$1001,MATCH(ROWS($AH$2:AH680),$AH$2:$AH$1001,0),MATCH(COLUMNS($AO$1006:BQ1006),$AO$1006:$BQ$1006,0)), HYPERLINK("#",""), HYPERLINK(CONCATENATE("#Metadata!", ADDRESS(INDEX($AJ$2:$AJ$1001,MATCH(ROWS($AH$2:AH680),$AH$2:$AH$1001,0),0), INDEX($AO$1004:$BQ$1004,1,MATCH(COLUMNS($AO$1006:BQ1006),$AO$1006:$BQ$1006,0)))),"Fix")))</f>
        <v>#REF!</v>
      </c>
      <c r="AH680">
        <f ca="1"/>
        <v>677</v>
      </c>
      <c r="AI680">
        <v>100680</v>
      </c>
      <c r="AJ680">
        <v>680</v>
      </c>
      <c r="AK680" t="b">
        <f t="shared" si="10"/>
        <v>1</v>
      </c>
      <c r="AL680" t="b">
        <f>COUNTBLANK(Metadata!B680:AD680)=COLUMNS(Metadata!B680:AD680)</f>
        <v>1</v>
      </c>
      <c r="AM680" t="str">
        <v/>
      </c>
      <c r="AO680" t="b">
        <f ca="1">AND(IF(Metadata!B680="",FALSE,TRUE),COUNTIF(Metadata!B:B, Metadata!B680) = 1,NOT(ISERROR(SUMPRODUCT(SEARCH(MID(Metadata!B680,ROW(INDIRECT("1:"&amp;LEN(Metadata!B680))), 1),"0123456789abcdefghijklmnopqrstuvwxyzABCDEFGHIJKLMNOPQRSTUVWXYZ.")))))</f>
        <v>0</v>
      </c>
      <c r="AP680" t="b">
        <f>IF(Metadata!C680="",FALSE,TRUE)</f>
        <v>0</v>
      </c>
      <c r="AQ680" t="b">
        <f>IF(Metadata!D680="",FALSE,TRUE)</f>
        <v>0</v>
      </c>
      <c r="AR680" t="b">
        <f ca="1">OR(AND(IF(Metadata!E680="",FALSE,TRUE),OR(EXACT(Metadata!E680,"not collected"),EXACT(Metadata!E680,"not provided"),EXACT(Metadata!E680,"restricted access"))),AND(IF(Metadata!E680="",FALSE,TRUE),AND(AND(IFERROR(INT(LEFT(Metadata!E680,4))&gt;1900,FALSE),IFERROR(INT(LEFT(Metadata!E680,4))&lt;=YEAR(NOW()),FALSE)), OR(MID(Metadata!E680,5,1)="", AND(AND(MID(Metadata!E680,5,1)="-",IFERROR(INT(MID(Metadata!E680,6,1))&gt;=0,FALSE),IFERROR(INT(MID(Metadata!E680,6,1))&lt;=1,FALSE),NOT(MID(Metadata!E680,7,1)=""),IFERROR(INT(MID(Metadata!E680,6,2))&gt;=1,FALSE),IFERROR(INT(MID(Metadata!E680,6,2))&lt;=12,FALSE)), OR(MID(Metadata!E680,8,1)="", AND(AND(MID(Metadata!E680,8,1)="-",IFERROR(INT(MID(Metadata!E680,9,1))&gt;=0,FALSE),IFERROR(INT(MID(Metadata!E680,9,1))&lt;=3,FALSE),NOT(MID(Metadata!E680,10,1)=""),IFERROR(INT(MID(Metadata!E680,9,2))&gt;=1,FALSE),IFERROR(INT(MID(Metadata!E680,9,2))&lt;=31,FALSE)), OR(MID(Metadata!E680,11,1)="", AND(AND(MID(Metadata!E680,11,1)=" ",IFERROR(INT(MID(Metadata!E680,12,1))&gt;=0,FALSE),IFERROR(INT(MID(Metadata!E680,12,1))&lt;=2,FALSE),NOT(MID(Metadata!E680,13,1)=""),IFERROR(INT(MID(Metadata!E680,12,2))&gt;=0,FALSE),IFERROR(INT(MID(Metadata!E680,12,2))&lt;=23,FALSE)), OR(MID(Metadata!E680,14,1)="", AND(AND(MID(Metadata!E680,14,1)=":",IFERROR(INT(MID(Metadata!E680,15,1))&gt;=0,FALSE),IFERROR(INT(MID(Metadata!E680,15,1))&lt;=5,FALSE),NOT(MID(Metadata!E680,16,1)=""),IFERROR(INT(MID(Metadata!E680,15,2))&gt;=0,FALSE),IFERROR(INT(MID(Metadata!E680,15,2))&lt;=59,FALSE)), OR(MID(Metadata!E680,17,1)="", AND(AND(MID(Metadata!E680,17,1)=":",IFERROR(INT(MID(Metadata!E680,18,1))&gt;=0,FALSE),IFERROR(INT(MID(Metadata!E680,18,1))&lt;=5,FALSE),NOT(MID(Metadata!E680,19,1)=""),IFERROR(INT(MID(Metadata!E680,18,2))&gt;=0,FALSE),IFERROR(INT(MID(Metadata!E680,18,2))&lt;=59,FALSE)), LEN(Metadata!E680)&lt;=19)))))))))))))</f>
        <v>0</v>
      </c>
      <c r="AS680" t="b">
        <f>IF(Metadata!F680="",FALSE,TRUE)</f>
        <v>0</v>
      </c>
      <c r="AT680" t="b">
        <f>OR(AND(IF(Metadata!G680="",FALSE,TRUE),OR(EXACT(Metadata!G680,"not collected"),EXACT(Metadata!G680,"not provided"))),AND(IF(Metadata!G680="",FALSE,TRUE),OR(EXACT(Metadata!G680,"TRUE"),EXACT(Metadata!G680,"FALSE"))))</f>
        <v>0</v>
      </c>
      <c r="AU680" t="b">
        <f>OR(AND(IF(Metadata!H680="",FALSE,TRUE),OR(EXACT(Metadata!H680,"not collected"),EXACT(Metadata!H680,"not provided"),EXACT(Metadata!H680,"restricted access"))),AND(IF(Metadata!H680="",FALSE,ISNUMBER(VALUE(Metadata!H680))),Metadata!H680&gt;=-413))</f>
        <v>0</v>
      </c>
      <c r="AV680" t="b">
        <f>AND(IF(Metadata!I680="",FALSE,TRUE),EXACT(Metadata!I680,"meters"))</f>
        <v>0</v>
      </c>
      <c r="AW680" t="b">
        <f>AND(IF(Metadata!J680="",FALSE,TRUE),EXACT(Metadata!J680,"free-living"))</f>
        <v>0</v>
      </c>
      <c r="AX680" t="b">
        <f>AND(IF(Metadata!K680="",FALSE,TRUE),OR(EXACT(Metadata!K680,"saline"),EXACT(Metadata!K680,"non-saline")))</f>
        <v>0</v>
      </c>
      <c r="AY680" t="b">
        <f>AND(IF(Metadata!L680="",FALSE,TRUE),OR(EXACT(Metadata!L680,"sub-surface (non-saline)"),EXACT(Metadata!L680,"surface (non-saline)"),EXACT(Metadata!L680,"water (non-saline)"),EXACT(Metadata!L680,"soil (non-saline)"),EXACT(Metadata!L680,"aerosol (non-saline)"),EXACT(Metadata!L680,"sediment (non-saline)"),EXACT(Metadata!L680,"surface (saline)"),EXACT(Metadata!L680,"water (saline)"),EXACT(Metadata!L680,"hypersaline (saline)"),EXACT(Metadata!L680,"aerosol (saline)"),EXACT(Metadata!L680,"sediment (saline)")))</f>
        <v>0</v>
      </c>
      <c r="AZ680" t="b">
        <f>IF(Metadata!M680="",FALSE,TRUE)</f>
        <v>0</v>
      </c>
      <c r="BA680" t="b">
        <f>IF(Metadata!N680="",FALSE,TRUE)</f>
        <v>0</v>
      </c>
      <c r="BB680" t="b">
        <f>IF(Metadata!O680="",FALSE,TRUE)</f>
        <v>0</v>
      </c>
      <c r="BC680" t="b">
        <f>AND(IF(Metadata!P680="",FALSE,TRUE),OR(EXACT(Metadata!P680,"air"),EXACT(Metadata!P680,"microbial mat/biofilm"),EXACT(Metadata!P680,"misc environment"),EXACT(Metadata!P680,"sediment"),EXACT(Metadata!P680,"soil"),EXACT(Metadata!P680,"wastewater/sludge"),EXACT(Metadata!P680,"water")))</f>
        <v>0</v>
      </c>
      <c r="BD680" t="b">
        <f>IF(Metadata!Q680="",FALSE,TRUE)</f>
        <v>0</v>
      </c>
      <c r="BE680" t="b">
        <f>IF(Metadata!R680="",FALSE,TRUE)</f>
        <v>0</v>
      </c>
      <c r="BF680" t="b">
        <f>OR(AND(IF(Metadata!S680="",FALSE,TRUE),OR(EXACT(Metadata!S680,"not collected"),EXACT(Metadata!S680,"not provided"),EXACT(Metadata!S680,"restricted access"))),AND(IF(Metadata!S680="",FALSE,ISNUMBER(VALUE(Metadata!S680))),Metadata!S680&gt;=-90,Metadata!S680&lt;=90))</f>
        <v>0</v>
      </c>
      <c r="BG680" t="b">
        <f>AND(IF(Metadata!T680="",FALSE,TRUE),EXACT(Metadata!T680,"Decimal degrees"))</f>
        <v>0</v>
      </c>
      <c r="BH680" t="b">
        <f>OR(AND(IF(Metadata!U680="",FALSE,TRUE),OR(EXACT(Metadata!U680,"not applicable"),EXACT(Metadata!U680,"not collected"))),IF(Metadata!U680="",FALSE,TRUE))</f>
        <v>0</v>
      </c>
      <c r="BI680" t="b">
        <f>OR(AND(IF(Metadata!V680="",FALSE,TRUE),OR(EXACT(Metadata!V680,"not collected"),EXACT(Metadata!V680,"not provided"),EXACT(Metadata!V680,"restricted access"))),AND(IF(Metadata!V680="",FALSE,ISNUMBER(VALUE(Metadata!V680))),Metadata!V680&gt;=-180,Metadata!V680&lt;=180))</f>
        <v>0</v>
      </c>
      <c r="BJ680" t="b">
        <f>AND(IF(Metadata!W680="",FALSE,TRUE),EXACT(Metadata!W680,"Decimal degrees"))</f>
        <v>0</v>
      </c>
      <c r="BK680" t="b">
        <f>IF(Metadata!X680="",FALSE,TRUE)</f>
        <v>0</v>
      </c>
      <c r="BL680" t="b">
        <f>OR(AND(IF(Metadata!Y680="",FALSE,TRUE),OR(EXACT(Metadata!Y680,"not collected"),EXACT(Metadata!Y680,"not provided"),EXACT(Metadata!Y680,"restricted access"))),AND(IF(Metadata!Y680="",FALSE,TRUE),OR(EXACT(Metadata!Y680,"TRUE"),EXACT(Metadata!Y680,"FALSE"))))</f>
        <v>0</v>
      </c>
      <c r="BM680" t="b">
        <f>OR(AND(IF(Metadata!Z680="",FALSE,TRUE),EXACT(Metadata!Z680,"not applicable")),AND(IF(Metadata!Z680="",FALSE,TRUE),OR(EXACT(Metadata!Z680,"beer"),EXACT(Metadata!Z680,"cheese"),EXACT(Metadata!Z680,"fresh water"),EXACT(Metadata!Z680,"marine sediment"),EXACT(Metadata!Z680,"sea water"),EXACT(Metadata!Z680,"sediment"),EXACT(Metadata!Z680,"soil"),EXACT(Metadata!Z680,"waste water"))))</f>
        <v>0</v>
      </c>
      <c r="BN680" t="b">
        <f>AND(IF(Metadata!AA680="",FALSE,TRUE),EXACT(Metadata!AA680,"metagenome"))</f>
        <v>0</v>
      </c>
      <c r="BO680" t="b">
        <f>AND(IF(Metadata!AB680="",FALSE,TRUE),EXACT(Metadata!AB680,"256318"))</f>
        <v>0</v>
      </c>
      <c r="BP680" t="b">
        <f>IF(Metadata!AC680="",FALSE,TRUE)</f>
        <v>0</v>
      </c>
      <c r="BQ680" t="b">
        <f>IF(Metadata!AD680="",FALSE,TRUE)</f>
        <v>0</v>
      </c>
    </row>
    <row r="681" spans="1:69" x14ac:dyDescent="0.2">
      <c r="A681" s="4" t="e">
        <f ca="1">IF(B681=" "," ",HYPERLINK(CONCATENATE("#metadata!",ADDRESS(INDEX($AJ$2:$AJ$1001,MATCH(ROWS($AH$2:AH681),$AH$2:$AH$1001,0),0),2)),INDEX($AM$2:$AM$1001,MATCH(ROWS($AH$2:AH681),$AH$2:$AH$1001,0),0)))</f>
        <v>#N/A</v>
      </c>
      <c r="B681" s="5" t="e">
        <f ca="1">IF(OR(INDEX($AI$2:$AI$1001,MATCH(ROWS($AH$2:AH681),$AH$2:$AH$1001,0),1)&gt;=100000,INDEX($AO$1005:$BQ$1005,1,MATCH(COLUMNS($AO$1006:AO1006),$AO$1006:$BQ$1006,0))&gt;=100000), " ",IF(INDEX($AO$2:$BQ$1001,MATCH(ROWS($AH$2:AH681),$AH$2:$AH$1001,0),MATCH(COLUMNS($AO$1006:AO1006),$AO$1006:$BQ$1006,0)), HYPERLINK("#",""), HYPERLINK(CONCATENATE("#Metadata!", ADDRESS(INDEX($AJ$2:$AJ$1001,MATCH(ROWS($AH$2:AH681),$AH$2:$AH$1001,0),0), INDEX($AO$1004:$BQ$1004,1,MATCH(COLUMNS($AO$1006:AO1006),$AO$1006:$BQ$1006,0)))),"Fix")))</f>
        <v>#N/A</v>
      </c>
      <c r="C681" s="5" t="e">
        <f ca="1">IF(OR(INDEX($AI$2:$AI$1001,MATCH(ROWS($AH$2:AH681),$AH$2:$AH$1001,0),1)&gt;=100000,INDEX($AO$1005:$BQ$1005,1,MATCH(COLUMNS($AO$1006:AP1006),$AO$1006:$BQ$1006,0))&gt;=100000), " ",IF(INDEX($AO$2:$BQ$1001,MATCH(ROWS($AH$2:AH681),$AH$2:$AH$1001,0),MATCH(COLUMNS($AO$1006:AP1006),$AO$1006:$BQ$1006,0)), HYPERLINK("#",""), HYPERLINK(CONCATENATE("#Metadata!", ADDRESS(INDEX($AJ$2:$AJ$1001,MATCH(ROWS($AH$2:AH681),$AH$2:$AH$1001,0),0), INDEX($AO$1004:$BQ$1004,1,MATCH(COLUMNS($AO$1006:AP1006),$AO$1006:$BQ$1006,0)))),"Fix")))</f>
        <v>#N/A</v>
      </c>
      <c r="D681" s="5" t="e">
        <f ca="1">IF(OR(INDEX($AI$2:$AI$1001,MATCH(ROWS($AH$2:AH681),$AH$2:$AH$1001,0),1)&gt;=100000,INDEX($AO$1005:$BQ$1005,1,MATCH(COLUMNS($AO$1006:AQ1006),$AO$1006:$BQ$1006,0))&gt;=100000), " ",IF(INDEX($AO$2:$BQ$1001,MATCH(ROWS($AH$2:AH681),$AH$2:$AH$1001,0),MATCH(COLUMNS($AO$1006:AQ1006),$AO$1006:$BQ$1006,0)), HYPERLINK("#",""), HYPERLINK(CONCATENATE("#Metadata!", ADDRESS(INDEX($AJ$2:$AJ$1001,MATCH(ROWS($AH$2:AH681),$AH$2:$AH$1001,0),0), INDEX($AO$1004:$BQ$1004,1,MATCH(COLUMNS($AO$1006:AQ1006),$AO$1006:$BQ$1006,0)))),"Fix")))</f>
        <v>#N/A</v>
      </c>
      <c r="E681" s="5" t="e">
        <f ca="1">IF(OR(INDEX($AI$2:$AI$1001,MATCH(ROWS($AH$2:AH681),$AH$2:$AH$1001,0),1)&gt;=100000,INDEX($AO$1005:$BQ$1005,1,MATCH(COLUMNS($AO$1006:AR1006),$AO$1006:$BQ$1006,0))&gt;=100000), " ",IF(INDEX($AO$2:$BQ$1001,MATCH(ROWS($AH$2:AH681),$AH$2:$AH$1001,0),MATCH(COLUMNS($AO$1006:AR1006),$AO$1006:$BQ$1006,0)), HYPERLINK("#",""), HYPERLINK(CONCATENATE("#Metadata!", ADDRESS(INDEX($AJ$2:$AJ$1001,MATCH(ROWS($AH$2:AH681),$AH$2:$AH$1001,0),0), INDEX($AO$1004:$BQ$1004,1,MATCH(COLUMNS($AO$1006:AR1006),$AO$1006:$BQ$1006,0)))),"Fix")))</f>
        <v>#N/A</v>
      </c>
      <c r="F681" s="5" t="e">
        <f ca="1">IF(OR(INDEX($AI$2:$AI$1001,MATCH(ROWS($AH$2:AH681),$AH$2:$AH$1001,0),1)&gt;=100000,INDEX($AO$1005:$BQ$1005,1,MATCH(COLUMNS($AO$1006:AS1006),$AO$1006:$BQ$1006,0))&gt;=100000), " ",IF(INDEX($AO$2:$BQ$1001,MATCH(ROWS($AH$2:AH681),$AH$2:$AH$1001,0),MATCH(COLUMNS($AO$1006:AS1006),$AO$1006:$BQ$1006,0)), HYPERLINK("#",""), HYPERLINK(CONCATENATE("#Metadata!", ADDRESS(INDEX($AJ$2:$AJ$1001,MATCH(ROWS($AH$2:AH681),$AH$2:$AH$1001,0),0), INDEX($AO$1004:$BQ$1004,1,MATCH(COLUMNS($AO$1006:AS1006),$AO$1006:$BQ$1006,0)))),"Fix")))</f>
        <v>#N/A</v>
      </c>
      <c r="G681" s="5" t="e">
        <f ca="1">IF(OR(INDEX($AI$2:$AI$1001,MATCH(ROWS($AH$2:AH681),$AH$2:$AH$1001,0),1)&gt;=100000,INDEX($AO$1005:$BQ$1005,1,MATCH(COLUMNS($AO$1006:AT1006),$AO$1006:$BQ$1006,0))&gt;=100000), " ",IF(INDEX($AO$2:$BQ$1001,MATCH(ROWS($AH$2:AH681),$AH$2:$AH$1001,0),MATCH(COLUMNS($AO$1006:AT1006),$AO$1006:$BQ$1006,0)), HYPERLINK("#",""), HYPERLINK(CONCATENATE("#Metadata!", ADDRESS(INDEX($AJ$2:$AJ$1001,MATCH(ROWS($AH$2:AH681),$AH$2:$AH$1001,0),0), INDEX($AO$1004:$BQ$1004,1,MATCH(COLUMNS($AO$1006:AT1006),$AO$1006:$BQ$1006,0)))),"Fix")))</f>
        <v>#N/A</v>
      </c>
      <c r="H681" s="5" t="e">
        <f ca="1">IF(OR(INDEX($AI$2:$AI$1001,MATCH(ROWS($AH$2:AH681),$AH$2:$AH$1001,0),1)&gt;=100000,INDEX($AO$1005:$BQ$1005,1,MATCH(COLUMNS($AO$1006:AU1006),$AO$1006:$BQ$1006,0))&gt;=100000), " ",IF(INDEX($AO$2:$BQ$1001,MATCH(ROWS($AH$2:AH681),$AH$2:$AH$1001,0),MATCH(COLUMNS($AO$1006:AU1006),$AO$1006:$BQ$1006,0)), HYPERLINK("#",""), HYPERLINK(CONCATENATE("#Metadata!", ADDRESS(INDEX($AJ$2:$AJ$1001,MATCH(ROWS($AH$2:AH681),$AH$2:$AH$1001,0),0), INDEX($AO$1004:$BQ$1004,1,MATCH(COLUMNS($AO$1006:AU1006),$AO$1006:$BQ$1006,0)))),"Fix")))</f>
        <v>#N/A</v>
      </c>
      <c r="I681" s="5" t="e">
        <f ca="1">IF(OR(INDEX($AI$2:$AI$1001,MATCH(ROWS($AH$2:AH681),$AH$2:$AH$1001,0),1)&gt;=100000,INDEX($AO$1005:$BQ$1005,1,MATCH(COLUMNS($AO$1006:AV1006),$AO$1006:$BQ$1006,0))&gt;=100000), " ",IF(INDEX($AO$2:$BQ$1001,MATCH(ROWS($AH$2:AH681),$AH$2:$AH$1001,0),MATCH(COLUMNS($AO$1006:AV1006),$AO$1006:$BQ$1006,0)), HYPERLINK("#",""), HYPERLINK(CONCATENATE("#Metadata!", ADDRESS(INDEX($AJ$2:$AJ$1001,MATCH(ROWS($AH$2:AH681),$AH$2:$AH$1001,0),0), INDEX($AO$1004:$BQ$1004,1,MATCH(COLUMNS($AO$1006:AV1006),$AO$1006:$BQ$1006,0)))),"Fix")))</f>
        <v>#N/A</v>
      </c>
      <c r="J681" s="5" t="e">
        <f ca="1">IF(OR(INDEX($AI$2:$AI$1001,MATCH(ROWS($AH$2:AH681),$AH$2:$AH$1001,0),1)&gt;=100000,INDEX($AO$1005:$BQ$1005,1,MATCH(COLUMNS($AO$1006:AW1006),$AO$1006:$BQ$1006,0))&gt;=100000), " ",IF(INDEX($AO$2:$BQ$1001,MATCH(ROWS($AH$2:AH681),$AH$2:$AH$1001,0),MATCH(COLUMNS($AO$1006:AW1006),$AO$1006:$BQ$1006,0)), HYPERLINK("#",""), HYPERLINK(CONCATENATE("#Metadata!", ADDRESS(INDEX($AJ$2:$AJ$1001,MATCH(ROWS($AH$2:AH681),$AH$2:$AH$1001,0),0), INDEX($AO$1004:$BQ$1004,1,MATCH(COLUMNS($AO$1006:AW1006),$AO$1006:$BQ$1006,0)))),"Fix")))</f>
        <v>#N/A</v>
      </c>
      <c r="K681" s="5" t="e">
        <f ca="1">IF(OR(INDEX($AI$2:$AI$1001,MATCH(ROWS($AH$2:AH681),$AH$2:$AH$1001,0),1)&gt;=100000,INDEX($AO$1005:$BQ$1005,1,MATCH(COLUMNS($AO$1006:AX1006),$AO$1006:$BQ$1006,0))&gt;=100000), " ",IF(INDEX($AO$2:$BQ$1001,MATCH(ROWS($AH$2:AH681),$AH$2:$AH$1001,0),MATCH(COLUMNS($AO$1006:AX1006),$AO$1006:$BQ$1006,0)), HYPERLINK("#",""), HYPERLINK(CONCATENATE("#Metadata!", ADDRESS(INDEX($AJ$2:$AJ$1001,MATCH(ROWS($AH$2:AH681),$AH$2:$AH$1001,0),0), INDEX($AO$1004:$BQ$1004,1,MATCH(COLUMNS($AO$1006:AX1006),$AO$1006:$BQ$1006,0)))),"Fix")))</f>
        <v>#N/A</v>
      </c>
      <c r="L681" s="5" t="e">
        <f ca="1">IF(OR(INDEX($AI$2:$AI$1001,MATCH(ROWS($AH$2:AH681),$AH$2:$AH$1001,0),1)&gt;=100000,INDEX($AO$1005:$BQ$1005,1,MATCH(COLUMNS($AO$1006:AY1006),$AO$1006:$BQ$1006,0))&gt;=100000), " ",IF(INDEX($AO$2:$BQ$1001,MATCH(ROWS($AH$2:AH681),$AH$2:$AH$1001,0),MATCH(COLUMNS($AO$1006:AY1006),$AO$1006:$BQ$1006,0)), HYPERLINK("#",""), HYPERLINK(CONCATENATE("#Metadata!", ADDRESS(INDEX($AJ$2:$AJ$1001,MATCH(ROWS($AH$2:AH681),$AH$2:$AH$1001,0),0), INDEX($AO$1004:$BQ$1004,1,MATCH(COLUMNS($AO$1006:AY1006),$AO$1006:$BQ$1006,0)))),"Fix")))</f>
        <v>#N/A</v>
      </c>
      <c r="M681" s="5" t="e">
        <f ca="1">IF(OR(INDEX($AI$2:$AI$1001,MATCH(ROWS($AH$2:AH681),$AH$2:$AH$1001,0),1)&gt;=100000,INDEX($AO$1005:$BQ$1005,1,MATCH(COLUMNS($AO$1006:AZ1006),$AO$1006:$BQ$1006,0))&gt;=100000), " ",IF(INDEX($AO$2:$BQ$1001,MATCH(ROWS($AH$2:AH681),$AH$2:$AH$1001,0),MATCH(COLUMNS($AO$1006:AZ1006),$AO$1006:$BQ$1006,0)), HYPERLINK("#",""), HYPERLINK(CONCATENATE("#Metadata!", ADDRESS(INDEX($AJ$2:$AJ$1001,MATCH(ROWS($AH$2:AH681),$AH$2:$AH$1001,0),0), INDEX($AO$1004:$BQ$1004,1,MATCH(COLUMNS($AO$1006:AZ1006),$AO$1006:$BQ$1006,0)))),"Fix")))</f>
        <v>#N/A</v>
      </c>
      <c r="N681" s="5" t="e">
        <f ca="1">IF(OR(INDEX($AI$2:$AI$1001,MATCH(ROWS($AH$2:AH681),$AH$2:$AH$1001,0),1)&gt;=100000,INDEX($AO$1005:$BQ$1005,1,MATCH(COLUMNS($AO$1006:BA1006),$AO$1006:$BQ$1006,0))&gt;=100000), " ",IF(INDEX($AO$2:$BQ$1001,MATCH(ROWS($AH$2:AH681),$AH$2:$AH$1001,0),MATCH(COLUMNS($AO$1006:BA1006),$AO$1006:$BQ$1006,0)), HYPERLINK("#",""), HYPERLINK(CONCATENATE("#Metadata!", ADDRESS(INDEX($AJ$2:$AJ$1001,MATCH(ROWS($AH$2:AH681),$AH$2:$AH$1001,0),0), INDEX($AO$1004:$BQ$1004,1,MATCH(COLUMNS($AO$1006:BA1006),$AO$1006:$BQ$1006,0)))),"Fix")))</f>
        <v>#N/A</v>
      </c>
      <c r="O681" s="5" t="e">
        <f ca="1">IF(OR(INDEX($AI$2:$AI$1001,MATCH(ROWS($AH$2:AH681),$AH$2:$AH$1001,0),1)&gt;=100000,INDEX($AO$1005:$BQ$1005,1,MATCH(COLUMNS($AO$1006:BB1006),$AO$1006:$BQ$1006,0))&gt;=100000), " ",IF(INDEX($AO$2:$BQ$1001,MATCH(ROWS($AH$2:AH681),$AH$2:$AH$1001,0),MATCH(COLUMNS($AO$1006:BB1006),$AO$1006:$BQ$1006,0)), HYPERLINK("#",""), HYPERLINK(CONCATENATE("#Metadata!", ADDRESS(INDEX($AJ$2:$AJ$1001,MATCH(ROWS($AH$2:AH681),$AH$2:$AH$1001,0),0), INDEX($AO$1004:$BQ$1004,1,MATCH(COLUMNS($AO$1006:BB1006),$AO$1006:$BQ$1006,0)))),"Fix")))</f>
        <v>#N/A</v>
      </c>
      <c r="P681" s="5" t="e">
        <f ca="1">IF(OR(INDEX($AI$2:$AI$1001,MATCH(ROWS($AH$2:AH681),$AH$2:$AH$1001,0),1)&gt;=100000,INDEX($AO$1005:$BQ$1005,1,MATCH(COLUMNS($AO$1006:BC1006),$AO$1006:$BQ$1006,0))&gt;=100000), " ",IF(INDEX($AO$2:$BQ$1001,MATCH(ROWS($AH$2:AH681),$AH$2:$AH$1001,0),MATCH(COLUMNS($AO$1006:BC1006),$AO$1006:$BQ$1006,0)), HYPERLINK("#",""), HYPERLINK(CONCATENATE("#Metadata!", ADDRESS(INDEX($AJ$2:$AJ$1001,MATCH(ROWS($AH$2:AH681),$AH$2:$AH$1001,0),0), INDEX($AO$1004:$BQ$1004,1,MATCH(COLUMNS($AO$1006:BC1006),$AO$1006:$BQ$1006,0)))),"Fix")))</f>
        <v>#N/A</v>
      </c>
      <c r="Q681" s="5" t="e">
        <f ca="1">IF(OR(INDEX($AI$2:$AI$1001,MATCH(ROWS($AH$2:AH681),$AH$2:$AH$1001,0),1)&gt;=100000,INDEX($AO$1005:$BQ$1005,1,MATCH(COLUMNS($AO$1006:BD1006),$AO$1006:$BQ$1006,0))&gt;=100000), " ",IF(INDEX($AO$2:$BQ$1001,MATCH(ROWS($AH$2:AH681),$AH$2:$AH$1001,0),MATCH(COLUMNS($AO$1006:BD1006),$AO$1006:$BQ$1006,0)), HYPERLINK("#",""), HYPERLINK(CONCATENATE("#Metadata!", ADDRESS(INDEX($AJ$2:$AJ$1001,MATCH(ROWS($AH$2:AH681),$AH$2:$AH$1001,0),0), INDEX($AO$1004:$BQ$1004,1,MATCH(COLUMNS($AO$1006:BD1006),$AO$1006:$BQ$1006,0)))),"Fix")))</f>
        <v>#N/A</v>
      </c>
      <c r="R681" s="5" t="e">
        <f ca="1">IF(OR(INDEX($AI$2:$AI$1001,MATCH(ROWS($AH$2:AH681),$AH$2:$AH$1001,0),1)&gt;=100000,INDEX($AO$1005:$BQ$1005,1,MATCH(COLUMNS($AO$1006:BE1006),$AO$1006:$BQ$1006,0))&gt;=100000), " ",IF(INDEX($AO$2:$BQ$1001,MATCH(ROWS($AH$2:AH681),$AH$2:$AH$1001,0),MATCH(COLUMNS($AO$1006:BE1006),$AO$1006:$BQ$1006,0)), HYPERLINK("#",""), HYPERLINK(CONCATENATE("#Metadata!", ADDRESS(INDEX($AJ$2:$AJ$1001,MATCH(ROWS($AH$2:AH681),$AH$2:$AH$1001,0),0), INDEX($AO$1004:$BQ$1004,1,MATCH(COLUMNS($AO$1006:BE1006),$AO$1006:$BQ$1006,0)))),"Fix")))</f>
        <v>#N/A</v>
      </c>
      <c r="S681" s="5" t="e">
        <f ca="1">IF(OR(INDEX($AI$2:$AI$1001,MATCH(ROWS($AH$2:AH681),$AH$2:$AH$1001,0),1)&gt;=100000,INDEX($AO$1005:$BQ$1005,1,MATCH(COLUMNS($AO$1006:BF1006),$AO$1006:$BQ$1006,0))&gt;=100000), " ",IF(INDEX($AO$2:$BQ$1001,MATCH(ROWS($AH$2:AH681),$AH$2:$AH$1001,0),MATCH(COLUMNS($AO$1006:BF1006),$AO$1006:$BQ$1006,0)), HYPERLINK("#",""), HYPERLINK(CONCATENATE("#Metadata!", ADDRESS(INDEX($AJ$2:$AJ$1001,MATCH(ROWS($AH$2:AH681),$AH$2:$AH$1001,0),0), INDEX($AO$1004:$BQ$1004,1,MATCH(COLUMNS($AO$1006:BF1006),$AO$1006:$BQ$1006,0)))),"Fix")))</f>
        <v>#N/A</v>
      </c>
      <c r="T681" s="5" t="e">
        <f ca="1">IF(OR(INDEX($AI$2:$AI$1001,MATCH(ROWS($AH$2:AH681),$AH$2:$AH$1001,0),1)&gt;=100000,INDEX($AO$1005:$BQ$1005,1,MATCH(COLUMNS($AO$1006:BG1006),$AO$1006:$BQ$1006,0))&gt;=100000), " ",IF(INDEX($AO$2:$BQ$1001,MATCH(ROWS($AH$2:AH681),$AH$2:$AH$1001,0),MATCH(COLUMNS($AO$1006:BG1006),$AO$1006:$BQ$1006,0)), HYPERLINK("#",""), HYPERLINK(CONCATENATE("#Metadata!", ADDRESS(INDEX($AJ$2:$AJ$1001,MATCH(ROWS($AH$2:AH681),$AH$2:$AH$1001,0),0), INDEX($AO$1004:$BQ$1004,1,MATCH(COLUMNS($AO$1006:BG1006),$AO$1006:$BQ$1006,0)))),"Fix")))</f>
        <v>#N/A</v>
      </c>
      <c r="U681" s="5" t="e">
        <f ca="1">IF(OR(INDEX($AI$2:$AI$1001,MATCH(ROWS($AH$2:AH681),$AH$2:$AH$1001,0),1)&gt;=100000,INDEX($AO$1005:$BQ$1005,1,MATCH(COLUMNS($AO$1006:BH1006),$AO$1006:$BQ$1006,0))&gt;=100000), " ",IF(INDEX($AO$2:$BQ$1001,MATCH(ROWS($AH$2:AH681),$AH$2:$AH$1001,0),MATCH(COLUMNS($AO$1006:BH1006),$AO$1006:$BQ$1006,0)), HYPERLINK("#",""), HYPERLINK(CONCATENATE("#Metadata!", ADDRESS(INDEX($AJ$2:$AJ$1001,MATCH(ROWS($AH$2:AH681),$AH$2:$AH$1001,0),0), INDEX($AO$1004:$BQ$1004,1,MATCH(COLUMNS($AO$1006:BH1006),$AO$1006:$BQ$1006,0)))),"Fix")))</f>
        <v>#N/A</v>
      </c>
      <c r="V681" s="5" t="e">
        <f ca="1">IF(OR(INDEX($AI$2:$AI$1001,MATCH(ROWS($AH$2:AH681),$AH$2:$AH$1001,0),1)&gt;=100000,INDEX($AO$1005:$BQ$1005,1,MATCH(COLUMNS($AO$1006:BI1006),$AO$1006:$BQ$1006,0))&gt;=100000), " ",IF(INDEX($AO$2:$BQ$1001,MATCH(ROWS($AH$2:AH681),$AH$2:$AH$1001,0),MATCH(COLUMNS($AO$1006:BI1006),$AO$1006:$BQ$1006,0)), HYPERLINK("#",""), HYPERLINK(CONCATENATE("#Metadata!", ADDRESS(INDEX($AJ$2:$AJ$1001,MATCH(ROWS($AH$2:AH681),$AH$2:$AH$1001,0),0), INDEX($AO$1004:$BQ$1004,1,MATCH(COLUMNS($AO$1006:BI1006),$AO$1006:$BQ$1006,0)))),"Fix")))</f>
        <v>#N/A</v>
      </c>
      <c r="W681" s="5" t="e">
        <f ca="1">IF(OR(INDEX($AI$2:$AI$1001,MATCH(ROWS($AH$2:AH681),$AH$2:$AH$1001,0),1)&gt;=100000,INDEX($AO$1005:$BQ$1005,1,MATCH(COLUMNS($AO$1006:BJ1006),$AO$1006:$BQ$1006,0))&gt;=100000), " ",IF(INDEX($AO$2:$BQ$1001,MATCH(ROWS($AH$2:AH681),$AH$2:$AH$1001,0),MATCH(COLUMNS($AO$1006:BJ1006),$AO$1006:$BQ$1006,0)), HYPERLINK("#",""), HYPERLINK(CONCATENATE("#Metadata!", ADDRESS(INDEX($AJ$2:$AJ$1001,MATCH(ROWS($AH$2:AH681),$AH$2:$AH$1001,0),0), INDEX($AO$1004:$BQ$1004,1,MATCH(COLUMNS($AO$1006:BJ1006),$AO$1006:$BQ$1006,0)))),"Fix")))</f>
        <v>#N/A</v>
      </c>
      <c r="X681" s="5" t="e">
        <f ca="1">IF(OR(INDEX($AI$2:$AI$1001,MATCH(ROWS($AH$2:AH681),$AH$2:$AH$1001,0),1)&gt;=100000,INDEX($AO$1005:$BQ$1005,1,MATCH(COLUMNS($AO$1006:BK1006),$AO$1006:$BQ$1006,0))&gt;=100000), " ",IF(INDEX($AO$2:$BQ$1001,MATCH(ROWS($AH$2:AH681),$AH$2:$AH$1001,0),MATCH(COLUMNS($AO$1006:BK1006),$AO$1006:$BQ$1006,0)), HYPERLINK("#",""), HYPERLINK(CONCATENATE("#Metadata!", ADDRESS(INDEX($AJ$2:$AJ$1001,MATCH(ROWS($AH$2:AH681),$AH$2:$AH$1001,0),0), INDEX($AO$1004:$BQ$1004,1,MATCH(COLUMNS($AO$1006:BK1006),$AO$1006:$BQ$1006,0)))),"Fix")))</f>
        <v>#N/A</v>
      </c>
      <c r="Y681" s="5" t="e">
        <f ca="1">IF(OR(INDEX($AI$2:$AI$1001,MATCH(ROWS($AH$2:AH681),$AH$2:$AH$1001,0),1)&gt;=100000,INDEX($AO$1005:$BQ$1005,1,MATCH(COLUMNS($AO$1006:BL1006),$AO$1006:$BQ$1006,0))&gt;=100000), " ",IF(INDEX($AO$2:$BQ$1001,MATCH(ROWS($AH$2:AH681),$AH$2:$AH$1001,0),MATCH(COLUMNS($AO$1006:BL1006),$AO$1006:$BQ$1006,0)), HYPERLINK("#",""), HYPERLINK(CONCATENATE("#Metadata!", ADDRESS(INDEX($AJ$2:$AJ$1001,MATCH(ROWS($AH$2:AH681),$AH$2:$AH$1001,0),0), INDEX($AO$1004:$BQ$1004,1,MATCH(COLUMNS($AO$1006:BL1006),$AO$1006:$BQ$1006,0)))),"Fix")))</f>
        <v>#N/A</v>
      </c>
      <c r="Z681" s="5" t="e">
        <f ca="1">IF(OR(INDEX($AI$2:$AI$1001,MATCH(ROWS($AH$2:AH681),$AH$2:$AH$1001,0),1)&gt;=100000,INDEX($AO$1005:$BQ$1005,1,MATCH(COLUMNS($AO$1006:BM1006),$AO$1006:$BQ$1006,0))&gt;=100000), " ",IF(INDEX($AO$2:$BQ$1001,MATCH(ROWS($AH$2:AH681),$AH$2:$AH$1001,0),MATCH(COLUMNS($AO$1006:BM1006),$AO$1006:$BQ$1006,0)), HYPERLINK("#",""), HYPERLINK(CONCATENATE("#Metadata!", ADDRESS(INDEX($AJ$2:$AJ$1001,MATCH(ROWS($AH$2:AH681),$AH$2:$AH$1001,0),0), INDEX($AO$1004:$BQ$1004,1,MATCH(COLUMNS($AO$1006:BM1006),$AO$1006:$BQ$1006,0)))),"Fix")))</f>
        <v>#N/A</v>
      </c>
      <c r="AA681" s="5" t="e">
        <f ca="1">IF(OR(INDEX($AI$2:$AI$1001,MATCH(ROWS($AH$2:AH681),$AH$2:$AH$1001,0),1)&gt;=100000,INDEX($AO$1005:$BQ$1005,1,MATCH(COLUMNS($AO$1006:BN1006),$AO$1006:$BQ$1006,0))&gt;=100000), " ",IF(INDEX($AO$2:$BQ$1001,MATCH(ROWS($AH$2:AH681),$AH$2:$AH$1001,0),MATCH(COLUMNS($AO$1006:BN1006),$AO$1006:$BQ$1006,0)), HYPERLINK("#",""), HYPERLINK(CONCATENATE("#Metadata!", ADDRESS(INDEX($AJ$2:$AJ$1001,MATCH(ROWS($AH$2:AH681),$AH$2:$AH$1001,0),0), INDEX($AO$1004:$BQ$1004,1,MATCH(COLUMNS($AO$1006:BN1006),$AO$1006:$BQ$1006,0)))),"Fix")))</f>
        <v>#N/A</v>
      </c>
      <c r="AB681" s="5" t="e">
        <f ca="1">IF(OR(INDEX($AI$2:$AI$1001,MATCH(ROWS($AH$2:AH681),$AH$2:$AH$1001,0),1)&gt;=100000,INDEX($AO$1005:$BQ$1005,1,MATCH(COLUMNS($AO$1006:BO1006),$AO$1006:$BQ$1006,0))&gt;=100000), " ",IF(INDEX($AO$2:$BQ$1001,MATCH(ROWS($AH$2:AH681),$AH$2:$AH$1001,0),MATCH(COLUMNS($AO$1006:BO1006),$AO$1006:$BQ$1006,0)), HYPERLINK("#",""), HYPERLINK(CONCATENATE("#Metadata!", ADDRESS(INDEX($AJ$2:$AJ$1001,MATCH(ROWS($AH$2:AH681),$AH$2:$AH$1001,0),0), INDEX($AO$1004:$BQ$1004,1,MATCH(COLUMNS($AO$1006:BO1006),$AO$1006:$BQ$1006,0)))),"Fix")))</f>
        <v>#N/A</v>
      </c>
      <c r="AC681" s="5" t="e">
        <f ca="1">IF(OR(INDEX($AI$2:$AI$1001,MATCH(ROWS($AH$2:AH681),$AH$2:$AH$1001,0),1)&gt;=100000,INDEX($AO$1005:$BQ$1005,1,MATCH(COLUMNS($AO$1006:BP1006),$AO$1006:$BQ$1006,0))&gt;=100000), " ",IF(INDEX($AO$2:$BQ$1001,MATCH(ROWS($AH$2:AH681),$AH$2:$AH$1001,0),MATCH(COLUMNS($AO$1006:BP1006),$AO$1006:$BQ$1006,0)), HYPERLINK("#",""), HYPERLINK(CONCATENATE("#Metadata!", ADDRESS(INDEX($AJ$2:$AJ$1001,MATCH(ROWS($AH$2:AH681),$AH$2:$AH$1001,0),0), INDEX($AO$1004:$BQ$1004,1,MATCH(COLUMNS($AO$1006:BP1006),$AO$1006:$BQ$1006,0)))),"Fix")))</f>
        <v>#N/A</v>
      </c>
      <c r="AD681" s="5" t="e">
        <f ca="1">IF(OR(INDEX($AI$2:$AI$1001,MATCH(ROWS($AH$2:AH681),$AH$2:$AH$1001,0),1)&gt;=100000,INDEX($AO$1005:$BQ$1005,1,MATCH(COLUMNS($AO$1006:BQ1006),$AO$1006:$BQ$1006,0))&gt;=100000), " ",IF(INDEX($AO$2:$BQ$1001,MATCH(ROWS($AH$2:AH681),$AH$2:$AH$1001,0),MATCH(COLUMNS($AO$1006:BQ1006),$AO$1006:$BQ$1006,0)), HYPERLINK("#",""), HYPERLINK(CONCATENATE("#Metadata!", ADDRESS(INDEX($AJ$2:$AJ$1001,MATCH(ROWS($AH$2:AH681),$AH$2:$AH$1001,0),0), INDEX($AO$1004:$BQ$1004,1,MATCH(COLUMNS($AO$1006:BQ1006),$AO$1006:$BQ$1006,0)))),"Fix")))</f>
        <v>#REF!</v>
      </c>
      <c r="AH681">
        <f ca="1"/>
        <v>678</v>
      </c>
      <c r="AI681">
        <v>100681</v>
      </c>
      <c r="AJ681">
        <v>681</v>
      </c>
      <c r="AK681" t="b">
        <f t="shared" si="10"/>
        <v>1</v>
      </c>
      <c r="AL681" t="b">
        <f>COUNTBLANK(Metadata!B681:AD681)=COLUMNS(Metadata!B681:AD681)</f>
        <v>1</v>
      </c>
      <c r="AM681" t="str">
        <v/>
      </c>
      <c r="AO681" t="b">
        <f ca="1">AND(IF(Metadata!B681="",FALSE,TRUE),COUNTIF(Metadata!B:B, Metadata!B681) = 1,NOT(ISERROR(SUMPRODUCT(SEARCH(MID(Metadata!B681,ROW(INDIRECT("1:"&amp;LEN(Metadata!B681))), 1),"0123456789abcdefghijklmnopqrstuvwxyzABCDEFGHIJKLMNOPQRSTUVWXYZ.")))))</f>
        <v>0</v>
      </c>
      <c r="AP681" t="b">
        <f>IF(Metadata!C681="",FALSE,TRUE)</f>
        <v>0</v>
      </c>
      <c r="AQ681" t="b">
        <f>IF(Metadata!D681="",FALSE,TRUE)</f>
        <v>0</v>
      </c>
      <c r="AR681" t="b">
        <f ca="1">OR(AND(IF(Metadata!E681="",FALSE,TRUE),OR(EXACT(Metadata!E681,"not collected"),EXACT(Metadata!E681,"not provided"),EXACT(Metadata!E681,"restricted access"))),AND(IF(Metadata!E681="",FALSE,TRUE),AND(AND(IFERROR(INT(LEFT(Metadata!E681,4))&gt;1900,FALSE),IFERROR(INT(LEFT(Metadata!E681,4))&lt;=YEAR(NOW()),FALSE)), OR(MID(Metadata!E681,5,1)="", AND(AND(MID(Metadata!E681,5,1)="-",IFERROR(INT(MID(Metadata!E681,6,1))&gt;=0,FALSE),IFERROR(INT(MID(Metadata!E681,6,1))&lt;=1,FALSE),NOT(MID(Metadata!E681,7,1)=""),IFERROR(INT(MID(Metadata!E681,6,2))&gt;=1,FALSE),IFERROR(INT(MID(Metadata!E681,6,2))&lt;=12,FALSE)), OR(MID(Metadata!E681,8,1)="", AND(AND(MID(Metadata!E681,8,1)="-",IFERROR(INT(MID(Metadata!E681,9,1))&gt;=0,FALSE),IFERROR(INT(MID(Metadata!E681,9,1))&lt;=3,FALSE),NOT(MID(Metadata!E681,10,1)=""),IFERROR(INT(MID(Metadata!E681,9,2))&gt;=1,FALSE),IFERROR(INT(MID(Metadata!E681,9,2))&lt;=31,FALSE)), OR(MID(Metadata!E681,11,1)="", AND(AND(MID(Metadata!E681,11,1)=" ",IFERROR(INT(MID(Metadata!E681,12,1))&gt;=0,FALSE),IFERROR(INT(MID(Metadata!E681,12,1))&lt;=2,FALSE),NOT(MID(Metadata!E681,13,1)=""),IFERROR(INT(MID(Metadata!E681,12,2))&gt;=0,FALSE),IFERROR(INT(MID(Metadata!E681,12,2))&lt;=23,FALSE)), OR(MID(Metadata!E681,14,1)="", AND(AND(MID(Metadata!E681,14,1)=":",IFERROR(INT(MID(Metadata!E681,15,1))&gt;=0,FALSE),IFERROR(INT(MID(Metadata!E681,15,1))&lt;=5,FALSE),NOT(MID(Metadata!E681,16,1)=""),IFERROR(INT(MID(Metadata!E681,15,2))&gt;=0,FALSE),IFERROR(INT(MID(Metadata!E681,15,2))&lt;=59,FALSE)), OR(MID(Metadata!E681,17,1)="", AND(AND(MID(Metadata!E681,17,1)=":",IFERROR(INT(MID(Metadata!E681,18,1))&gt;=0,FALSE),IFERROR(INT(MID(Metadata!E681,18,1))&lt;=5,FALSE),NOT(MID(Metadata!E681,19,1)=""),IFERROR(INT(MID(Metadata!E681,18,2))&gt;=0,FALSE),IFERROR(INT(MID(Metadata!E681,18,2))&lt;=59,FALSE)), LEN(Metadata!E681)&lt;=19)))))))))))))</f>
        <v>0</v>
      </c>
      <c r="AS681" t="b">
        <f>IF(Metadata!F681="",FALSE,TRUE)</f>
        <v>0</v>
      </c>
      <c r="AT681" t="b">
        <f>OR(AND(IF(Metadata!G681="",FALSE,TRUE),OR(EXACT(Metadata!G681,"not collected"),EXACT(Metadata!G681,"not provided"))),AND(IF(Metadata!G681="",FALSE,TRUE),OR(EXACT(Metadata!G681,"TRUE"),EXACT(Metadata!G681,"FALSE"))))</f>
        <v>0</v>
      </c>
      <c r="AU681" t="b">
        <f>OR(AND(IF(Metadata!H681="",FALSE,TRUE),OR(EXACT(Metadata!H681,"not collected"),EXACT(Metadata!H681,"not provided"),EXACT(Metadata!H681,"restricted access"))),AND(IF(Metadata!H681="",FALSE,ISNUMBER(VALUE(Metadata!H681))),Metadata!H681&gt;=-413))</f>
        <v>0</v>
      </c>
      <c r="AV681" t="b">
        <f>AND(IF(Metadata!I681="",FALSE,TRUE),EXACT(Metadata!I681,"meters"))</f>
        <v>0</v>
      </c>
      <c r="AW681" t="b">
        <f>AND(IF(Metadata!J681="",FALSE,TRUE),EXACT(Metadata!J681,"free-living"))</f>
        <v>0</v>
      </c>
      <c r="AX681" t="b">
        <f>AND(IF(Metadata!K681="",FALSE,TRUE),OR(EXACT(Metadata!K681,"saline"),EXACT(Metadata!K681,"non-saline")))</f>
        <v>0</v>
      </c>
      <c r="AY681" t="b">
        <f>AND(IF(Metadata!L681="",FALSE,TRUE),OR(EXACT(Metadata!L681,"sub-surface (non-saline)"),EXACT(Metadata!L681,"surface (non-saline)"),EXACT(Metadata!L681,"water (non-saline)"),EXACT(Metadata!L681,"soil (non-saline)"),EXACT(Metadata!L681,"aerosol (non-saline)"),EXACT(Metadata!L681,"sediment (non-saline)"),EXACT(Metadata!L681,"surface (saline)"),EXACT(Metadata!L681,"water (saline)"),EXACT(Metadata!L681,"hypersaline (saline)"),EXACT(Metadata!L681,"aerosol (saline)"),EXACT(Metadata!L681,"sediment (saline)")))</f>
        <v>0</v>
      </c>
      <c r="AZ681" t="b">
        <f>IF(Metadata!M681="",FALSE,TRUE)</f>
        <v>0</v>
      </c>
      <c r="BA681" t="b">
        <f>IF(Metadata!N681="",FALSE,TRUE)</f>
        <v>0</v>
      </c>
      <c r="BB681" t="b">
        <f>IF(Metadata!O681="",FALSE,TRUE)</f>
        <v>0</v>
      </c>
      <c r="BC681" t="b">
        <f>AND(IF(Metadata!P681="",FALSE,TRUE),OR(EXACT(Metadata!P681,"air"),EXACT(Metadata!P681,"microbial mat/biofilm"),EXACT(Metadata!P681,"misc environment"),EXACT(Metadata!P681,"sediment"),EXACT(Metadata!P681,"soil"),EXACT(Metadata!P681,"wastewater/sludge"),EXACT(Metadata!P681,"water")))</f>
        <v>0</v>
      </c>
      <c r="BD681" t="b">
        <f>IF(Metadata!Q681="",FALSE,TRUE)</f>
        <v>0</v>
      </c>
      <c r="BE681" t="b">
        <f>IF(Metadata!R681="",FALSE,TRUE)</f>
        <v>0</v>
      </c>
      <c r="BF681" t="b">
        <f>OR(AND(IF(Metadata!S681="",FALSE,TRUE),OR(EXACT(Metadata!S681,"not collected"),EXACT(Metadata!S681,"not provided"),EXACT(Metadata!S681,"restricted access"))),AND(IF(Metadata!S681="",FALSE,ISNUMBER(VALUE(Metadata!S681))),Metadata!S681&gt;=-90,Metadata!S681&lt;=90))</f>
        <v>0</v>
      </c>
      <c r="BG681" t="b">
        <f>AND(IF(Metadata!T681="",FALSE,TRUE),EXACT(Metadata!T681,"Decimal degrees"))</f>
        <v>0</v>
      </c>
      <c r="BH681" t="b">
        <f>OR(AND(IF(Metadata!U681="",FALSE,TRUE),OR(EXACT(Metadata!U681,"not applicable"),EXACT(Metadata!U681,"not collected"))),IF(Metadata!U681="",FALSE,TRUE))</f>
        <v>0</v>
      </c>
      <c r="BI681" t="b">
        <f>OR(AND(IF(Metadata!V681="",FALSE,TRUE),OR(EXACT(Metadata!V681,"not collected"),EXACT(Metadata!V681,"not provided"),EXACT(Metadata!V681,"restricted access"))),AND(IF(Metadata!V681="",FALSE,ISNUMBER(VALUE(Metadata!V681))),Metadata!V681&gt;=-180,Metadata!V681&lt;=180))</f>
        <v>0</v>
      </c>
      <c r="BJ681" t="b">
        <f>AND(IF(Metadata!W681="",FALSE,TRUE),EXACT(Metadata!W681,"Decimal degrees"))</f>
        <v>0</v>
      </c>
      <c r="BK681" t="b">
        <f>IF(Metadata!X681="",FALSE,TRUE)</f>
        <v>0</v>
      </c>
      <c r="BL681" t="b">
        <f>OR(AND(IF(Metadata!Y681="",FALSE,TRUE),OR(EXACT(Metadata!Y681,"not collected"),EXACT(Metadata!Y681,"not provided"),EXACT(Metadata!Y681,"restricted access"))),AND(IF(Metadata!Y681="",FALSE,TRUE),OR(EXACT(Metadata!Y681,"TRUE"),EXACT(Metadata!Y681,"FALSE"))))</f>
        <v>0</v>
      </c>
      <c r="BM681" t="b">
        <f>OR(AND(IF(Metadata!Z681="",FALSE,TRUE),EXACT(Metadata!Z681,"not applicable")),AND(IF(Metadata!Z681="",FALSE,TRUE),OR(EXACT(Metadata!Z681,"beer"),EXACT(Metadata!Z681,"cheese"),EXACT(Metadata!Z681,"fresh water"),EXACT(Metadata!Z681,"marine sediment"),EXACT(Metadata!Z681,"sea water"),EXACT(Metadata!Z681,"sediment"),EXACT(Metadata!Z681,"soil"),EXACT(Metadata!Z681,"waste water"))))</f>
        <v>0</v>
      </c>
      <c r="BN681" t="b">
        <f>AND(IF(Metadata!AA681="",FALSE,TRUE),EXACT(Metadata!AA681,"metagenome"))</f>
        <v>0</v>
      </c>
      <c r="BO681" t="b">
        <f>AND(IF(Metadata!AB681="",FALSE,TRUE),EXACT(Metadata!AB681,"256318"))</f>
        <v>0</v>
      </c>
      <c r="BP681" t="b">
        <f>IF(Metadata!AC681="",FALSE,TRUE)</f>
        <v>0</v>
      </c>
      <c r="BQ681" t="b">
        <f>IF(Metadata!AD681="",FALSE,TRUE)</f>
        <v>0</v>
      </c>
    </row>
    <row r="682" spans="1:69" x14ac:dyDescent="0.2">
      <c r="A682" s="4" t="e">
        <f ca="1">IF(B682=" "," ",HYPERLINK(CONCATENATE("#metadata!",ADDRESS(INDEX($AJ$2:$AJ$1001,MATCH(ROWS($AH$2:AH682),$AH$2:$AH$1001,0),0),2)),INDEX($AM$2:$AM$1001,MATCH(ROWS($AH$2:AH682),$AH$2:$AH$1001,0),0)))</f>
        <v>#N/A</v>
      </c>
      <c r="B682" s="5" t="e">
        <f ca="1">IF(OR(INDEX($AI$2:$AI$1001,MATCH(ROWS($AH$2:AH682),$AH$2:$AH$1001,0),1)&gt;=100000,INDEX($AO$1005:$BQ$1005,1,MATCH(COLUMNS($AO$1006:AO1006),$AO$1006:$BQ$1006,0))&gt;=100000), " ",IF(INDEX($AO$2:$BQ$1001,MATCH(ROWS($AH$2:AH682),$AH$2:$AH$1001,0),MATCH(COLUMNS($AO$1006:AO1006),$AO$1006:$BQ$1006,0)), HYPERLINK("#",""), HYPERLINK(CONCATENATE("#Metadata!", ADDRESS(INDEX($AJ$2:$AJ$1001,MATCH(ROWS($AH$2:AH682),$AH$2:$AH$1001,0),0), INDEX($AO$1004:$BQ$1004,1,MATCH(COLUMNS($AO$1006:AO1006),$AO$1006:$BQ$1006,0)))),"Fix")))</f>
        <v>#N/A</v>
      </c>
      <c r="C682" s="5" t="e">
        <f ca="1">IF(OR(INDEX($AI$2:$AI$1001,MATCH(ROWS($AH$2:AH682),$AH$2:$AH$1001,0),1)&gt;=100000,INDEX($AO$1005:$BQ$1005,1,MATCH(COLUMNS($AO$1006:AP1006),$AO$1006:$BQ$1006,0))&gt;=100000), " ",IF(INDEX($AO$2:$BQ$1001,MATCH(ROWS($AH$2:AH682),$AH$2:$AH$1001,0),MATCH(COLUMNS($AO$1006:AP1006),$AO$1006:$BQ$1006,0)), HYPERLINK("#",""), HYPERLINK(CONCATENATE("#Metadata!", ADDRESS(INDEX($AJ$2:$AJ$1001,MATCH(ROWS($AH$2:AH682),$AH$2:$AH$1001,0),0), INDEX($AO$1004:$BQ$1004,1,MATCH(COLUMNS($AO$1006:AP1006),$AO$1006:$BQ$1006,0)))),"Fix")))</f>
        <v>#N/A</v>
      </c>
      <c r="D682" s="5" t="e">
        <f ca="1">IF(OR(INDEX($AI$2:$AI$1001,MATCH(ROWS($AH$2:AH682),$AH$2:$AH$1001,0),1)&gt;=100000,INDEX($AO$1005:$BQ$1005,1,MATCH(COLUMNS($AO$1006:AQ1006),$AO$1006:$BQ$1006,0))&gt;=100000), " ",IF(INDEX($AO$2:$BQ$1001,MATCH(ROWS($AH$2:AH682),$AH$2:$AH$1001,0),MATCH(COLUMNS($AO$1006:AQ1006),$AO$1006:$BQ$1006,0)), HYPERLINK("#",""), HYPERLINK(CONCATENATE("#Metadata!", ADDRESS(INDEX($AJ$2:$AJ$1001,MATCH(ROWS($AH$2:AH682),$AH$2:$AH$1001,0),0), INDEX($AO$1004:$BQ$1004,1,MATCH(COLUMNS($AO$1006:AQ1006),$AO$1006:$BQ$1006,0)))),"Fix")))</f>
        <v>#N/A</v>
      </c>
      <c r="E682" s="5" t="e">
        <f ca="1">IF(OR(INDEX($AI$2:$AI$1001,MATCH(ROWS($AH$2:AH682),$AH$2:$AH$1001,0),1)&gt;=100000,INDEX($AO$1005:$BQ$1005,1,MATCH(COLUMNS($AO$1006:AR1006),$AO$1006:$BQ$1006,0))&gt;=100000), " ",IF(INDEX($AO$2:$BQ$1001,MATCH(ROWS($AH$2:AH682),$AH$2:$AH$1001,0),MATCH(COLUMNS($AO$1006:AR1006),$AO$1006:$BQ$1006,0)), HYPERLINK("#",""), HYPERLINK(CONCATENATE("#Metadata!", ADDRESS(INDEX($AJ$2:$AJ$1001,MATCH(ROWS($AH$2:AH682),$AH$2:$AH$1001,0),0), INDEX($AO$1004:$BQ$1004,1,MATCH(COLUMNS($AO$1006:AR1006),$AO$1006:$BQ$1006,0)))),"Fix")))</f>
        <v>#N/A</v>
      </c>
      <c r="F682" s="5" t="e">
        <f ca="1">IF(OR(INDEX($AI$2:$AI$1001,MATCH(ROWS($AH$2:AH682),$AH$2:$AH$1001,0),1)&gt;=100000,INDEX($AO$1005:$BQ$1005,1,MATCH(COLUMNS($AO$1006:AS1006),$AO$1006:$BQ$1006,0))&gt;=100000), " ",IF(INDEX($AO$2:$BQ$1001,MATCH(ROWS($AH$2:AH682),$AH$2:$AH$1001,0),MATCH(COLUMNS($AO$1006:AS1006),$AO$1006:$BQ$1006,0)), HYPERLINK("#",""), HYPERLINK(CONCATENATE("#Metadata!", ADDRESS(INDEX($AJ$2:$AJ$1001,MATCH(ROWS($AH$2:AH682),$AH$2:$AH$1001,0),0), INDEX($AO$1004:$BQ$1004,1,MATCH(COLUMNS($AO$1006:AS1006),$AO$1006:$BQ$1006,0)))),"Fix")))</f>
        <v>#N/A</v>
      </c>
      <c r="G682" s="5" t="e">
        <f ca="1">IF(OR(INDEX($AI$2:$AI$1001,MATCH(ROWS($AH$2:AH682),$AH$2:$AH$1001,0),1)&gt;=100000,INDEX($AO$1005:$BQ$1005,1,MATCH(COLUMNS($AO$1006:AT1006),$AO$1006:$BQ$1006,0))&gt;=100000), " ",IF(INDEX($AO$2:$BQ$1001,MATCH(ROWS($AH$2:AH682),$AH$2:$AH$1001,0),MATCH(COLUMNS($AO$1006:AT1006),$AO$1006:$BQ$1006,0)), HYPERLINK("#",""), HYPERLINK(CONCATENATE("#Metadata!", ADDRESS(INDEX($AJ$2:$AJ$1001,MATCH(ROWS($AH$2:AH682),$AH$2:$AH$1001,0),0), INDEX($AO$1004:$BQ$1004,1,MATCH(COLUMNS($AO$1006:AT1006),$AO$1006:$BQ$1006,0)))),"Fix")))</f>
        <v>#N/A</v>
      </c>
      <c r="H682" s="5" t="e">
        <f ca="1">IF(OR(INDEX($AI$2:$AI$1001,MATCH(ROWS($AH$2:AH682),$AH$2:$AH$1001,0),1)&gt;=100000,INDEX($AO$1005:$BQ$1005,1,MATCH(COLUMNS($AO$1006:AU1006),$AO$1006:$BQ$1006,0))&gt;=100000), " ",IF(INDEX($AO$2:$BQ$1001,MATCH(ROWS($AH$2:AH682),$AH$2:$AH$1001,0),MATCH(COLUMNS($AO$1006:AU1006),$AO$1006:$BQ$1006,0)), HYPERLINK("#",""), HYPERLINK(CONCATENATE("#Metadata!", ADDRESS(INDEX($AJ$2:$AJ$1001,MATCH(ROWS($AH$2:AH682),$AH$2:$AH$1001,0),0), INDEX($AO$1004:$BQ$1004,1,MATCH(COLUMNS($AO$1006:AU1006),$AO$1006:$BQ$1006,0)))),"Fix")))</f>
        <v>#N/A</v>
      </c>
      <c r="I682" s="5" t="e">
        <f ca="1">IF(OR(INDEX($AI$2:$AI$1001,MATCH(ROWS($AH$2:AH682),$AH$2:$AH$1001,0),1)&gt;=100000,INDEX($AO$1005:$BQ$1005,1,MATCH(COLUMNS($AO$1006:AV1006),$AO$1006:$BQ$1006,0))&gt;=100000), " ",IF(INDEX($AO$2:$BQ$1001,MATCH(ROWS($AH$2:AH682),$AH$2:$AH$1001,0),MATCH(COLUMNS($AO$1006:AV1006),$AO$1006:$BQ$1006,0)), HYPERLINK("#",""), HYPERLINK(CONCATENATE("#Metadata!", ADDRESS(INDEX($AJ$2:$AJ$1001,MATCH(ROWS($AH$2:AH682),$AH$2:$AH$1001,0),0), INDEX($AO$1004:$BQ$1004,1,MATCH(COLUMNS($AO$1006:AV1006),$AO$1006:$BQ$1006,0)))),"Fix")))</f>
        <v>#N/A</v>
      </c>
      <c r="J682" s="5" t="e">
        <f ca="1">IF(OR(INDEX($AI$2:$AI$1001,MATCH(ROWS($AH$2:AH682),$AH$2:$AH$1001,0),1)&gt;=100000,INDEX($AO$1005:$BQ$1005,1,MATCH(COLUMNS($AO$1006:AW1006),$AO$1006:$BQ$1006,0))&gt;=100000), " ",IF(INDEX($AO$2:$BQ$1001,MATCH(ROWS($AH$2:AH682),$AH$2:$AH$1001,0),MATCH(COLUMNS($AO$1006:AW1006),$AO$1006:$BQ$1006,0)), HYPERLINK("#",""), HYPERLINK(CONCATENATE("#Metadata!", ADDRESS(INDEX($AJ$2:$AJ$1001,MATCH(ROWS($AH$2:AH682),$AH$2:$AH$1001,0),0), INDEX($AO$1004:$BQ$1004,1,MATCH(COLUMNS($AO$1006:AW1006),$AO$1006:$BQ$1006,0)))),"Fix")))</f>
        <v>#N/A</v>
      </c>
      <c r="K682" s="5" t="e">
        <f ca="1">IF(OR(INDEX($AI$2:$AI$1001,MATCH(ROWS($AH$2:AH682),$AH$2:$AH$1001,0),1)&gt;=100000,INDEX($AO$1005:$BQ$1005,1,MATCH(COLUMNS($AO$1006:AX1006),$AO$1006:$BQ$1006,0))&gt;=100000), " ",IF(INDEX($AO$2:$BQ$1001,MATCH(ROWS($AH$2:AH682),$AH$2:$AH$1001,0),MATCH(COLUMNS($AO$1006:AX1006),$AO$1006:$BQ$1006,0)), HYPERLINK("#",""), HYPERLINK(CONCATENATE("#Metadata!", ADDRESS(INDEX($AJ$2:$AJ$1001,MATCH(ROWS($AH$2:AH682),$AH$2:$AH$1001,0),0), INDEX($AO$1004:$BQ$1004,1,MATCH(COLUMNS($AO$1006:AX1006),$AO$1006:$BQ$1006,0)))),"Fix")))</f>
        <v>#N/A</v>
      </c>
      <c r="L682" s="5" t="e">
        <f ca="1">IF(OR(INDEX($AI$2:$AI$1001,MATCH(ROWS($AH$2:AH682),$AH$2:$AH$1001,0),1)&gt;=100000,INDEX($AO$1005:$BQ$1005,1,MATCH(COLUMNS($AO$1006:AY1006),$AO$1006:$BQ$1006,0))&gt;=100000), " ",IF(INDEX($AO$2:$BQ$1001,MATCH(ROWS($AH$2:AH682),$AH$2:$AH$1001,0),MATCH(COLUMNS($AO$1006:AY1006),$AO$1006:$BQ$1006,0)), HYPERLINK("#",""), HYPERLINK(CONCATENATE("#Metadata!", ADDRESS(INDEX($AJ$2:$AJ$1001,MATCH(ROWS($AH$2:AH682),$AH$2:$AH$1001,0),0), INDEX($AO$1004:$BQ$1004,1,MATCH(COLUMNS($AO$1006:AY1006),$AO$1006:$BQ$1006,0)))),"Fix")))</f>
        <v>#N/A</v>
      </c>
      <c r="M682" s="5" t="e">
        <f ca="1">IF(OR(INDEX($AI$2:$AI$1001,MATCH(ROWS($AH$2:AH682),$AH$2:$AH$1001,0),1)&gt;=100000,INDEX($AO$1005:$BQ$1005,1,MATCH(COLUMNS($AO$1006:AZ1006),$AO$1006:$BQ$1006,0))&gt;=100000), " ",IF(INDEX($AO$2:$BQ$1001,MATCH(ROWS($AH$2:AH682),$AH$2:$AH$1001,0),MATCH(COLUMNS($AO$1006:AZ1006),$AO$1006:$BQ$1006,0)), HYPERLINK("#",""), HYPERLINK(CONCATENATE("#Metadata!", ADDRESS(INDEX($AJ$2:$AJ$1001,MATCH(ROWS($AH$2:AH682),$AH$2:$AH$1001,0),0), INDEX($AO$1004:$BQ$1004,1,MATCH(COLUMNS($AO$1006:AZ1006),$AO$1006:$BQ$1006,0)))),"Fix")))</f>
        <v>#N/A</v>
      </c>
      <c r="N682" s="5" t="e">
        <f ca="1">IF(OR(INDEX($AI$2:$AI$1001,MATCH(ROWS($AH$2:AH682),$AH$2:$AH$1001,0),1)&gt;=100000,INDEX($AO$1005:$BQ$1005,1,MATCH(COLUMNS($AO$1006:BA1006),$AO$1006:$BQ$1006,0))&gt;=100000), " ",IF(INDEX($AO$2:$BQ$1001,MATCH(ROWS($AH$2:AH682),$AH$2:$AH$1001,0),MATCH(COLUMNS($AO$1006:BA1006),$AO$1006:$BQ$1006,0)), HYPERLINK("#",""), HYPERLINK(CONCATENATE("#Metadata!", ADDRESS(INDEX($AJ$2:$AJ$1001,MATCH(ROWS($AH$2:AH682),$AH$2:$AH$1001,0),0), INDEX($AO$1004:$BQ$1004,1,MATCH(COLUMNS($AO$1006:BA1006),$AO$1006:$BQ$1006,0)))),"Fix")))</f>
        <v>#N/A</v>
      </c>
      <c r="O682" s="5" t="e">
        <f ca="1">IF(OR(INDEX($AI$2:$AI$1001,MATCH(ROWS($AH$2:AH682),$AH$2:$AH$1001,0),1)&gt;=100000,INDEX($AO$1005:$BQ$1005,1,MATCH(COLUMNS($AO$1006:BB1006),$AO$1006:$BQ$1006,0))&gt;=100000), " ",IF(INDEX($AO$2:$BQ$1001,MATCH(ROWS($AH$2:AH682),$AH$2:$AH$1001,0),MATCH(COLUMNS($AO$1006:BB1006),$AO$1006:$BQ$1006,0)), HYPERLINK("#",""), HYPERLINK(CONCATENATE("#Metadata!", ADDRESS(INDEX($AJ$2:$AJ$1001,MATCH(ROWS($AH$2:AH682),$AH$2:$AH$1001,0),0), INDEX($AO$1004:$BQ$1004,1,MATCH(COLUMNS($AO$1006:BB1006),$AO$1006:$BQ$1006,0)))),"Fix")))</f>
        <v>#N/A</v>
      </c>
      <c r="P682" s="5" t="e">
        <f ca="1">IF(OR(INDEX($AI$2:$AI$1001,MATCH(ROWS($AH$2:AH682),$AH$2:$AH$1001,0),1)&gt;=100000,INDEX($AO$1005:$BQ$1005,1,MATCH(COLUMNS($AO$1006:BC1006),$AO$1006:$BQ$1006,0))&gt;=100000), " ",IF(INDEX($AO$2:$BQ$1001,MATCH(ROWS($AH$2:AH682),$AH$2:$AH$1001,0),MATCH(COLUMNS($AO$1006:BC1006),$AO$1006:$BQ$1006,0)), HYPERLINK("#",""), HYPERLINK(CONCATENATE("#Metadata!", ADDRESS(INDEX($AJ$2:$AJ$1001,MATCH(ROWS($AH$2:AH682),$AH$2:$AH$1001,0),0), INDEX($AO$1004:$BQ$1004,1,MATCH(COLUMNS($AO$1006:BC1006),$AO$1006:$BQ$1006,0)))),"Fix")))</f>
        <v>#N/A</v>
      </c>
      <c r="Q682" s="5" t="e">
        <f ca="1">IF(OR(INDEX($AI$2:$AI$1001,MATCH(ROWS($AH$2:AH682),$AH$2:$AH$1001,0),1)&gt;=100000,INDEX($AO$1005:$BQ$1005,1,MATCH(COLUMNS($AO$1006:BD1006),$AO$1006:$BQ$1006,0))&gt;=100000), " ",IF(INDEX($AO$2:$BQ$1001,MATCH(ROWS($AH$2:AH682),$AH$2:$AH$1001,0),MATCH(COLUMNS($AO$1006:BD1006),$AO$1006:$BQ$1006,0)), HYPERLINK("#",""), HYPERLINK(CONCATENATE("#Metadata!", ADDRESS(INDEX($AJ$2:$AJ$1001,MATCH(ROWS($AH$2:AH682),$AH$2:$AH$1001,0),0), INDEX($AO$1004:$BQ$1004,1,MATCH(COLUMNS($AO$1006:BD1006),$AO$1006:$BQ$1006,0)))),"Fix")))</f>
        <v>#N/A</v>
      </c>
      <c r="R682" s="5" t="e">
        <f ca="1">IF(OR(INDEX($AI$2:$AI$1001,MATCH(ROWS($AH$2:AH682),$AH$2:$AH$1001,0),1)&gt;=100000,INDEX($AO$1005:$BQ$1005,1,MATCH(COLUMNS($AO$1006:BE1006),$AO$1006:$BQ$1006,0))&gt;=100000), " ",IF(INDEX($AO$2:$BQ$1001,MATCH(ROWS($AH$2:AH682),$AH$2:$AH$1001,0),MATCH(COLUMNS($AO$1006:BE1006),$AO$1006:$BQ$1006,0)), HYPERLINK("#",""), HYPERLINK(CONCATENATE("#Metadata!", ADDRESS(INDEX($AJ$2:$AJ$1001,MATCH(ROWS($AH$2:AH682),$AH$2:$AH$1001,0),0), INDEX($AO$1004:$BQ$1004,1,MATCH(COLUMNS($AO$1006:BE1006),$AO$1006:$BQ$1006,0)))),"Fix")))</f>
        <v>#N/A</v>
      </c>
      <c r="S682" s="5" t="e">
        <f ca="1">IF(OR(INDEX($AI$2:$AI$1001,MATCH(ROWS($AH$2:AH682),$AH$2:$AH$1001,0),1)&gt;=100000,INDEX($AO$1005:$BQ$1005,1,MATCH(COLUMNS($AO$1006:BF1006),$AO$1006:$BQ$1006,0))&gt;=100000), " ",IF(INDEX($AO$2:$BQ$1001,MATCH(ROWS($AH$2:AH682),$AH$2:$AH$1001,0),MATCH(COLUMNS($AO$1006:BF1006),$AO$1006:$BQ$1006,0)), HYPERLINK("#",""), HYPERLINK(CONCATENATE("#Metadata!", ADDRESS(INDEX($AJ$2:$AJ$1001,MATCH(ROWS($AH$2:AH682),$AH$2:$AH$1001,0),0), INDEX($AO$1004:$BQ$1004,1,MATCH(COLUMNS($AO$1006:BF1006),$AO$1006:$BQ$1006,0)))),"Fix")))</f>
        <v>#N/A</v>
      </c>
      <c r="T682" s="5" t="e">
        <f ca="1">IF(OR(INDEX($AI$2:$AI$1001,MATCH(ROWS($AH$2:AH682),$AH$2:$AH$1001,0),1)&gt;=100000,INDEX($AO$1005:$BQ$1005,1,MATCH(COLUMNS($AO$1006:BG1006),$AO$1006:$BQ$1006,0))&gt;=100000), " ",IF(INDEX($AO$2:$BQ$1001,MATCH(ROWS($AH$2:AH682),$AH$2:$AH$1001,0),MATCH(COLUMNS($AO$1006:BG1006),$AO$1006:$BQ$1006,0)), HYPERLINK("#",""), HYPERLINK(CONCATENATE("#Metadata!", ADDRESS(INDEX($AJ$2:$AJ$1001,MATCH(ROWS($AH$2:AH682),$AH$2:$AH$1001,0),0), INDEX($AO$1004:$BQ$1004,1,MATCH(COLUMNS($AO$1006:BG1006),$AO$1006:$BQ$1006,0)))),"Fix")))</f>
        <v>#N/A</v>
      </c>
      <c r="U682" s="5" t="e">
        <f ca="1">IF(OR(INDEX($AI$2:$AI$1001,MATCH(ROWS($AH$2:AH682),$AH$2:$AH$1001,0),1)&gt;=100000,INDEX($AO$1005:$BQ$1005,1,MATCH(COLUMNS($AO$1006:BH1006),$AO$1006:$BQ$1006,0))&gt;=100000), " ",IF(INDEX($AO$2:$BQ$1001,MATCH(ROWS($AH$2:AH682),$AH$2:$AH$1001,0),MATCH(COLUMNS($AO$1006:BH1006),$AO$1006:$BQ$1006,0)), HYPERLINK("#",""), HYPERLINK(CONCATENATE("#Metadata!", ADDRESS(INDEX($AJ$2:$AJ$1001,MATCH(ROWS($AH$2:AH682),$AH$2:$AH$1001,0),0), INDEX($AO$1004:$BQ$1004,1,MATCH(COLUMNS($AO$1006:BH1006),$AO$1006:$BQ$1006,0)))),"Fix")))</f>
        <v>#N/A</v>
      </c>
      <c r="V682" s="5" t="e">
        <f ca="1">IF(OR(INDEX($AI$2:$AI$1001,MATCH(ROWS($AH$2:AH682),$AH$2:$AH$1001,0),1)&gt;=100000,INDEX($AO$1005:$BQ$1005,1,MATCH(COLUMNS($AO$1006:BI1006),$AO$1006:$BQ$1006,0))&gt;=100000), " ",IF(INDEX($AO$2:$BQ$1001,MATCH(ROWS($AH$2:AH682),$AH$2:$AH$1001,0),MATCH(COLUMNS($AO$1006:BI1006),$AO$1006:$BQ$1006,0)), HYPERLINK("#",""), HYPERLINK(CONCATENATE("#Metadata!", ADDRESS(INDEX($AJ$2:$AJ$1001,MATCH(ROWS($AH$2:AH682),$AH$2:$AH$1001,0),0), INDEX($AO$1004:$BQ$1004,1,MATCH(COLUMNS($AO$1006:BI1006),$AO$1006:$BQ$1006,0)))),"Fix")))</f>
        <v>#N/A</v>
      </c>
      <c r="W682" s="5" t="e">
        <f ca="1">IF(OR(INDEX($AI$2:$AI$1001,MATCH(ROWS($AH$2:AH682),$AH$2:$AH$1001,0),1)&gt;=100000,INDEX($AO$1005:$BQ$1005,1,MATCH(COLUMNS($AO$1006:BJ1006),$AO$1006:$BQ$1006,0))&gt;=100000), " ",IF(INDEX($AO$2:$BQ$1001,MATCH(ROWS($AH$2:AH682),$AH$2:$AH$1001,0),MATCH(COLUMNS($AO$1006:BJ1006),$AO$1006:$BQ$1006,0)), HYPERLINK("#",""), HYPERLINK(CONCATENATE("#Metadata!", ADDRESS(INDEX($AJ$2:$AJ$1001,MATCH(ROWS($AH$2:AH682),$AH$2:$AH$1001,0),0), INDEX($AO$1004:$BQ$1004,1,MATCH(COLUMNS($AO$1006:BJ1006),$AO$1006:$BQ$1006,0)))),"Fix")))</f>
        <v>#N/A</v>
      </c>
      <c r="X682" s="5" t="e">
        <f ca="1">IF(OR(INDEX($AI$2:$AI$1001,MATCH(ROWS($AH$2:AH682),$AH$2:$AH$1001,0),1)&gt;=100000,INDEX($AO$1005:$BQ$1005,1,MATCH(COLUMNS($AO$1006:BK1006),$AO$1006:$BQ$1006,0))&gt;=100000), " ",IF(INDEX($AO$2:$BQ$1001,MATCH(ROWS($AH$2:AH682),$AH$2:$AH$1001,0),MATCH(COLUMNS($AO$1006:BK1006),$AO$1006:$BQ$1006,0)), HYPERLINK("#",""), HYPERLINK(CONCATENATE("#Metadata!", ADDRESS(INDEX($AJ$2:$AJ$1001,MATCH(ROWS($AH$2:AH682),$AH$2:$AH$1001,0),0), INDEX($AO$1004:$BQ$1004,1,MATCH(COLUMNS($AO$1006:BK1006),$AO$1006:$BQ$1006,0)))),"Fix")))</f>
        <v>#N/A</v>
      </c>
      <c r="Y682" s="5" t="e">
        <f ca="1">IF(OR(INDEX($AI$2:$AI$1001,MATCH(ROWS($AH$2:AH682),$AH$2:$AH$1001,0),1)&gt;=100000,INDEX($AO$1005:$BQ$1005,1,MATCH(COLUMNS($AO$1006:BL1006),$AO$1006:$BQ$1006,0))&gt;=100000), " ",IF(INDEX($AO$2:$BQ$1001,MATCH(ROWS($AH$2:AH682),$AH$2:$AH$1001,0),MATCH(COLUMNS($AO$1006:BL1006),$AO$1006:$BQ$1006,0)), HYPERLINK("#",""), HYPERLINK(CONCATENATE("#Metadata!", ADDRESS(INDEX($AJ$2:$AJ$1001,MATCH(ROWS($AH$2:AH682),$AH$2:$AH$1001,0),0), INDEX($AO$1004:$BQ$1004,1,MATCH(COLUMNS($AO$1006:BL1006),$AO$1006:$BQ$1006,0)))),"Fix")))</f>
        <v>#N/A</v>
      </c>
      <c r="Z682" s="5" t="e">
        <f ca="1">IF(OR(INDEX($AI$2:$AI$1001,MATCH(ROWS($AH$2:AH682),$AH$2:$AH$1001,0),1)&gt;=100000,INDEX($AO$1005:$BQ$1005,1,MATCH(COLUMNS($AO$1006:BM1006),$AO$1006:$BQ$1006,0))&gt;=100000), " ",IF(INDEX($AO$2:$BQ$1001,MATCH(ROWS($AH$2:AH682),$AH$2:$AH$1001,0),MATCH(COLUMNS($AO$1006:BM1006),$AO$1006:$BQ$1006,0)), HYPERLINK("#",""), HYPERLINK(CONCATENATE("#Metadata!", ADDRESS(INDEX($AJ$2:$AJ$1001,MATCH(ROWS($AH$2:AH682),$AH$2:$AH$1001,0),0), INDEX($AO$1004:$BQ$1004,1,MATCH(COLUMNS($AO$1006:BM1006),$AO$1006:$BQ$1006,0)))),"Fix")))</f>
        <v>#N/A</v>
      </c>
      <c r="AA682" s="5" t="e">
        <f ca="1">IF(OR(INDEX($AI$2:$AI$1001,MATCH(ROWS($AH$2:AH682),$AH$2:$AH$1001,0),1)&gt;=100000,INDEX($AO$1005:$BQ$1005,1,MATCH(COLUMNS($AO$1006:BN1006),$AO$1006:$BQ$1006,0))&gt;=100000), " ",IF(INDEX($AO$2:$BQ$1001,MATCH(ROWS($AH$2:AH682),$AH$2:$AH$1001,0),MATCH(COLUMNS($AO$1006:BN1006),$AO$1006:$BQ$1006,0)), HYPERLINK("#",""), HYPERLINK(CONCATENATE("#Metadata!", ADDRESS(INDEX($AJ$2:$AJ$1001,MATCH(ROWS($AH$2:AH682),$AH$2:$AH$1001,0),0), INDEX($AO$1004:$BQ$1004,1,MATCH(COLUMNS($AO$1006:BN1006),$AO$1006:$BQ$1006,0)))),"Fix")))</f>
        <v>#N/A</v>
      </c>
      <c r="AB682" s="5" t="e">
        <f ca="1">IF(OR(INDEX($AI$2:$AI$1001,MATCH(ROWS($AH$2:AH682),$AH$2:$AH$1001,0),1)&gt;=100000,INDEX($AO$1005:$BQ$1005,1,MATCH(COLUMNS($AO$1006:BO1006),$AO$1006:$BQ$1006,0))&gt;=100000), " ",IF(INDEX($AO$2:$BQ$1001,MATCH(ROWS($AH$2:AH682),$AH$2:$AH$1001,0),MATCH(COLUMNS($AO$1006:BO1006),$AO$1006:$BQ$1006,0)), HYPERLINK("#",""), HYPERLINK(CONCATENATE("#Metadata!", ADDRESS(INDEX($AJ$2:$AJ$1001,MATCH(ROWS($AH$2:AH682),$AH$2:$AH$1001,0),0), INDEX($AO$1004:$BQ$1004,1,MATCH(COLUMNS($AO$1006:BO1006),$AO$1006:$BQ$1006,0)))),"Fix")))</f>
        <v>#N/A</v>
      </c>
      <c r="AC682" s="5" t="e">
        <f ca="1">IF(OR(INDEX($AI$2:$AI$1001,MATCH(ROWS($AH$2:AH682),$AH$2:$AH$1001,0),1)&gt;=100000,INDEX($AO$1005:$BQ$1005,1,MATCH(COLUMNS($AO$1006:BP1006),$AO$1006:$BQ$1006,0))&gt;=100000), " ",IF(INDEX($AO$2:$BQ$1001,MATCH(ROWS($AH$2:AH682),$AH$2:$AH$1001,0),MATCH(COLUMNS($AO$1006:BP1006),$AO$1006:$BQ$1006,0)), HYPERLINK("#",""), HYPERLINK(CONCATENATE("#Metadata!", ADDRESS(INDEX($AJ$2:$AJ$1001,MATCH(ROWS($AH$2:AH682),$AH$2:$AH$1001,0),0), INDEX($AO$1004:$BQ$1004,1,MATCH(COLUMNS($AO$1006:BP1006),$AO$1006:$BQ$1006,0)))),"Fix")))</f>
        <v>#N/A</v>
      </c>
      <c r="AD682" s="5" t="e">
        <f ca="1">IF(OR(INDEX($AI$2:$AI$1001,MATCH(ROWS($AH$2:AH682),$AH$2:$AH$1001,0),1)&gt;=100000,INDEX($AO$1005:$BQ$1005,1,MATCH(COLUMNS($AO$1006:BQ1006),$AO$1006:$BQ$1006,0))&gt;=100000), " ",IF(INDEX($AO$2:$BQ$1001,MATCH(ROWS($AH$2:AH682),$AH$2:$AH$1001,0),MATCH(COLUMNS($AO$1006:BQ1006),$AO$1006:$BQ$1006,0)), HYPERLINK("#",""), HYPERLINK(CONCATENATE("#Metadata!", ADDRESS(INDEX($AJ$2:$AJ$1001,MATCH(ROWS($AH$2:AH682),$AH$2:$AH$1001,0),0), INDEX($AO$1004:$BQ$1004,1,MATCH(COLUMNS($AO$1006:BQ1006),$AO$1006:$BQ$1006,0)))),"Fix")))</f>
        <v>#REF!</v>
      </c>
      <c r="AH682">
        <f ca="1"/>
        <v>679</v>
      </c>
      <c r="AI682">
        <v>100682</v>
      </c>
      <c r="AJ682">
        <v>682</v>
      </c>
      <c r="AK682" t="b">
        <f t="shared" si="10"/>
        <v>1</v>
      </c>
      <c r="AL682" t="b">
        <f>COUNTBLANK(Metadata!B682:AD682)=COLUMNS(Metadata!B682:AD682)</f>
        <v>1</v>
      </c>
      <c r="AM682" t="str">
        <v/>
      </c>
      <c r="AO682" t="b">
        <f ca="1">AND(IF(Metadata!B682="",FALSE,TRUE),COUNTIF(Metadata!B:B, Metadata!B682) = 1,NOT(ISERROR(SUMPRODUCT(SEARCH(MID(Metadata!B682,ROW(INDIRECT("1:"&amp;LEN(Metadata!B682))), 1),"0123456789abcdefghijklmnopqrstuvwxyzABCDEFGHIJKLMNOPQRSTUVWXYZ.")))))</f>
        <v>0</v>
      </c>
      <c r="AP682" t="b">
        <f>IF(Metadata!C682="",FALSE,TRUE)</f>
        <v>0</v>
      </c>
      <c r="AQ682" t="b">
        <f>IF(Metadata!D682="",FALSE,TRUE)</f>
        <v>0</v>
      </c>
      <c r="AR682" t="b">
        <f ca="1">OR(AND(IF(Metadata!E682="",FALSE,TRUE),OR(EXACT(Metadata!E682,"not collected"),EXACT(Metadata!E682,"not provided"),EXACT(Metadata!E682,"restricted access"))),AND(IF(Metadata!E682="",FALSE,TRUE),AND(AND(IFERROR(INT(LEFT(Metadata!E682,4))&gt;1900,FALSE),IFERROR(INT(LEFT(Metadata!E682,4))&lt;=YEAR(NOW()),FALSE)), OR(MID(Metadata!E682,5,1)="", AND(AND(MID(Metadata!E682,5,1)="-",IFERROR(INT(MID(Metadata!E682,6,1))&gt;=0,FALSE),IFERROR(INT(MID(Metadata!E682,6,1))&lt;=1,FALSE),NOT(MID(Metadata!E682,7,1)=""),IFERROR(INT(MID(Metadata!E682,6,2))&gt;=1,FALSE),IFERROR(INT(MID(Metadata!E682,6,2))&lt;=12,FALSE)), OR(MID(Metadata!E682,8,1)="", AND(AND(MID(Metadata!E682,8,1)="-",IFERROR(INT(MID(Metadata!E682,9,1))&gt;=0,FALSE),IFERROR(INT(MID(Metadata!E682,9,1))&lt;=3,FALSE),NOT(MID(Metadata!E682,10,1)=""),IFERROR(INT(MID(Metadata!E682,9,2))&gt;=1,FALSE),IFERROR(INT(MID(Metadata!E682,9,2))&lt;=31,FALSE)), OR(MID(Metadata!E682,11,1)="", AND(AND(MID(Metadata!E682,11,1)=" ",IFERROR(INT(MID(Metadata!E682,12,1))&gt;=0,FALSE),IFERROR(INT(MID(Metadata!E682,12,1))&lt;=2,FALSE),NOT(MID(Metadata!E682,13,1)=""),IFERROR(INT(MID(Metadata!E682,12,2))&gt;=0,FALSE),IFERROR(INT(MID(Metadata!E682,12,2))&lt;=23,FALSE)), OR(MID(Metadata!E682,14,1)="", AND(AND(MID(Metadata!E682,14,1)=":",IFERROR(INT(MID(Metadata!E682,15,1))&gt;=0,FALSE),IFERROR(INT(MID(Metadata!E682,15,1))&lt;=5,FALSE),NOT(MID(Metadata!E682,16,1)=""),IFERROR(INT(MID(Metadata!E682,15,2))&gt;=0,FALSE),IFERROR(INT(MID(Metadata!E682,15,2))&lt;=59,FALSE)), OR(MID(Metadata!E682,17,1)="", AND(AND(MID(Metadata!E682,17,1)=":",IFERROR(INT(MID(Metadata!E682,18,1))&gt;=0,FALSE),IFERROR(INT(MID(Metadata!E682,18,1))&lt;=5,FALSE),NOT(MID(Metadata!E682,19,1)=""),IFERROR(INT(MID(Metadata!E682,18,2))&gt;=0,FALSE),IFERROR(INT(MID(Metadata!E682,18,2))&lt;=59,FALSE)), LEN(Metadata!E682)&lt;=19)))))))))))))</f>
        <v>0</v>
      </c>
      <c r="AS682" t="b">
        <f>IF(Metadata!F682="",FALSE,TRUE)</f>
        <v>0</v>
      </c>
      <c r="AT682" t="b">
        <f>OR(AND(IF(Metadata!G682="",FALSE,TRUE),OR(EXACT(Metadata!G682,"not collected"),EXACT(Metadata!G682,"not provided"))),AND(IF(Metadata!G682="",FALSE,TRUE),OR(EXACT(Metadata!G682,"TRUE"),EXACT(Metadata!G682,"FALSE"))))</f>
        <v>0</v>
      </c>
      <c r="AU682" t="b">
        <f>OR(AND(IF(Metadata!H682="",FALSE,TRUE),OR(EXACT(Metadata!H682,"not collected"),EXACT(Metadata!H682,"not provided"),EXACT(Metadata!H682,"restricted access"))),AND(IF(Metadata!H682="",FALSE,ISNUMBER(VALUE(Metadata!H682))),Metadata!H682&gt;=-413))</f>
        <v>0</v>
      </c>
      <c r="AV682" t="b">
        <f>AND(IF(Metadata!I682="",FALSE,TRUE),EXACT(Metadata!I682,"meters"))</f>
        <v>0</v>
      </c>
      <c r="AW682" t="b">
        <f>AND(IF(Metadata!J682="",FALSE,TRUE),EXACT(Metadata!J682,"free-living"))</f>
        <v>0</v>
      </c>
      <c r="AX682" t="b">
        <f>AND(IF(Metadata!K682="",FALSE,TRUE),OR(EXACT(Metadata!K682,"saline"),EXACT(Metadata!K682,"non-saline")))</f>
        <v>0</v>
      </c>
      <c r="AY682" t="b">
        <f>AND(IF(Metadata!L682="",FALSE,TRUE),OR(EXACT(Metadata!L682,"sub-surface (non-saline)"),EXACT(Metadata!L682,"surface (non-saline)"),EXACT(Metadata!L682,"water (non-saline)"),EXACT(Metadata!L682,"soil (non-saline)"),EXACT(Metadata!L682,"aerosol (non-saline)"),EXACT(Metadata!L682,"sediment (non-saline)"),EXACT(Metadata!L682,"surface (saline)"),EXACT(Metadata!L682,"water (saline)"),EXACT(Metadata!L682,"hypersaline (saline)"),EXACT(Metadata!L682,"aerosol (saline)"),EXACT(Metadata!L682,"sediment (saline)")))</f>
        <v>0</v>
      </c>
      <c r="AZ682" t="b">
        <f>IF(Metadata!M682="",FALSE,TRUE)</f>
        <v>0</v>
      </c>
      <c r="BA682" t="b">
        <f>IF(Metadata!N682="",FALSE,TRUE)</f>
        <v>0</v>
      </c>
      <c r="BB682" t="b">
        <f>IF(Metadata!O682="",FALSE,TRUE)</f>
        <v>0</v>
      </c>
      <c r="BC682" t="b">
        <f>AND(IF(Metadata!P682="",FALSE,TRUE),OR(EXACT(Metadata!P682,"air"),EXACT(Metadata!P682,"microbial mat/biofilm"),EXACT(Metadata!P682,"misc environment"),EXACT(Metadata!P682,"sediment"),EXACT(Metadata!P682,"soil"),EXACT(Metadata!P682,"wastewater/sludge"),EXACT(Metadata!P682,"water")))</f>
        <v>0</v>
      </c>
      <c r="BD682" t="b">
        <f>IF(Metadata!Q682="",FALSE,TRUE)</f>
        <v>0</v>
      </c>
      <c r="BE682" t="b">
        <f>IF(Metadata!R682="",FALSE,TRUE)</f>
        <v>0</v>
      </c>
      <c r="BF682" t="b">
        <f>OR(AND(IF(Metadata!S682="",FALSE,TRUE),OR(EXACT(Metadata!S682,"not collected"),EXACT(Metadata!S682,"not provided"),EXACT(Metadata!S682,"restricted access"))),AND(IF(Metadata!S682="",FALSE,ISNUMBER(VALUE(Metadata!S682))),Metadata!S682&gt;=-90,Metadata!S682&lt;=90))</f>
        <v>0</v>
      </c>
      <c r="BG682" t="b">
        <f>AND(IF(Metadata!T682="",FALSE,TRUE),EXACT(Metadata!T682,"Decimal degrees"))</f>
        <v>0</v>
      </c>
      <c r="BH682" t="b">
        <f>OR(AND(IF(Metadata!U682="",FALSE,TRUE),OR(EXACT(Metadata!U682,"not applicable"),EXACT(Metadata!U682,"not collected"))),IF(Metadata!U682="",FALSE,TRUE))</f>
        <v>0</v>
      </c>
      <c r="BI682" t="b">
        <f>OR(AND(IF(Metadata!V682="",FALSE,TRUE),OR(EXACT(Metadata!V682,"not collected"),EXACT(Metadata!V682,"not provided"),EXACT(Metadata!V682,"restricted access"))),AND(IF(Metadata!V682="",FALSE,ISNUMBER(VALUE(Metadata!V682))),Metadata!V682&gt;=-180,Metadata!V682&lt;=180))</f>
        <v>0</v>
      </c>
      <c r="BJ682" t="b">
        <f>AND(IF(Metadata!W682="",FALSE,TRUE),EXACT(Metadata!W682,"Decimal degrees"))</f>
        <v>0</v>
      </c>
      <c r="BK682" t="b">
        <f>IF(Metadata!X682="",FALSE,TRUE)</f>
        <v>0</v>
      </c>
      <c r="BL682" t="b">
        <f>OR(AND(IF(Metadata!Y682="",FALSE,TRUE),OR(EXACT(Metadata!Y682,"not collected"),EXACT(Metadata!Y682,"not provided"),EXACT(Metadata!Y682,"restricted access"))),AND(IF(Metadata!Y682="",FALSE,TRUE),OR(EXACT(Metadata!Y682,"TRUE"),EXACT(Metadata!Y682,"FALSE"))))</f>
        <v>0</v>
      </c>
      <c r="BM682" t="b">
        <f>OR(AND(IF(Metadata!Z682="",FALSE,TRUE),EXACT(Metadata!Z682,"not applicable")),AND(IF(Metadata!Z682="",FALSE,TRUE),OR(EXACT(Metadata!Z682,"beer"),EXACT(Metadata!Z682,"cheese"),EXACT(Metadata!Z682,"fresh water"),EXACT(Metadata!Z682,"marine sediment"),EXACT(Metadata!Z682,"sea water"),EXACT(Metadata!Z682,"sediment"),EXACT(Metadata!Z682,"soil"),EXACT(Metadata!Z682,"waste water"))))</f>
        <v>0</v>
      </c>
      <c r="BN682" t="b">
        <f>AND(IF(Metadata!AA682="",FALSE,TRUE),EXACT(Metadata!AA682,"metagenome"))</f>
        <v>0</v>
      </c>
      <c r="BO682" t="b">
        <f>AND(IF(Metadata!AB682="",FALSE,TRUE),EXACT(Metadata!AB682,"256318"))</f>
        <v>0</v>
      </c>
      <c r="BP682" t="b">
        <f>IF(Metadata!AC682="",FALSE,TRUE)</f>
        <v>0</v>
      </c>
      <c r="BQ682" t="b">
        <f>IF(Metadata!AD682="",FALSE,TRUE)</f>
        <v>0</v>
      </c>
    </row>
    <row r="683" spans="1:69" x14ac:dyDescent="0.2">
      <c r="A683" s="4" t="e">
        <f ca="1">IF(B683=" "," ",HYPERLINK(CONCATENATE("#metadata!",ADDRESS(INDEX($AJ$2:$AJ$1001,MATCH(ROWS($AH$2:AH683),$AH$2:$AH$1001,0),0),2)),INDEX($AM$2:$AM$1001,MATCH(ROWS($AH$2:AH683),$AH$2:$AH$1001,0),0)))</f>
        <v>#N/A</v>
      </c>
      <c r="B683" s="5" t="e">
        <f ca="1">IF(OR(INDEX($AI$2:$AI$1001,MATCH(ROWS($AH$2:AH683),$AH$2:$AH$1001,0),1)&gt;=100000,INDEX($AO$1005:$BQ$1005,1,MATCH(COLUMNS($AO$1006:AO1006),$AO$1006:$BQ$1006,0))&gt;=100000), " ",IF(INDEX($AO$2:$BQ$1001,MATCH(ROWS($AH$2:AH683),$AH$2:$AH$1001,0),MATCH(COLUMNS($AO$1006:AO1006),$AO$1006:$BQ$1006,0)), HYPERLINK("#",""), HYPERLINK(CONCATENATE("#Metadata!", ADDRESS(INDEX($AJ$2:$AJ$1001,MATCH(ROWS($AH$2:AH683),$AH$2:$AH$1001,0),0), INDEX($AO$1004:$BQ$1004,1,MATCH(COLUMNS($AO$1006:AO1006),$AO$1006:$BQ$1006,0)))),"Fix")))</f>
        <v>#N/A</v>
      </c>
      <c r="C683" s="5" t="e">
        <f ca="1">IF(OR(INDEX($AI$2:$AI$1001,MATCH(ROWS($AH$2:AH683),$AH$2:$AH$1001,0),1)&gt;=100000,INDEX($AO$1005:$BQ$1005,1,MATCH(COLUMNS($AO$1006:AP1006),$AO$1006:$BQ$1006,0))&gt;=100000), " ",IF(INDEX($AO$2:$BQ$1001,MATCH(ROWS($AH$2:AH683),$AH$2:$AH$1001,0),MATCH(COLUMNS($AO$1006:AP1006),$AO$1006:$BQ$1006,0)), HYPERLINK("#",""), HYPERLINK(CONCATENATE("#Metadata!", ADDRESS(INDEX($AJ$2:$AJ$1001,MATCH(ROWS($AH$2:AH683),$AH$2:$AH$1001,0),0), INDEX($AO$1004:$BQ$1004,1,MATCH(COLUMNS($AO$1006:AP1006),$AO$1006:$BQ$1006,0)))),"Fix")))</f>
        <v>#N/A</v>
      </c>
      <c r="D683" s="5" t="e">
        <f ca="1">IF(OR(INDEX($AI$2:$AI$1001,MATCH(ROWS($AH$2:AH683),$AH$2:$AH$1001,0),1)&gt;=100000,INDEX($AO$1005:$BQ$1005,1,MATCH(COLUMNS($AO$1006:AQ1006),$AO$1006:$BQ$1006,0))&gt;=100000), " ",IF(INDEX($AO$2:$BQ$1001,MATCH(ROWS($AH$2:AH683),$AH$2:$AH$1001,0),MATCH(COLUMNS($AO$1006:AQ1006),$AO$1006:$BQ$1006,0)), HYPERLINK("#",""), HYPERLINK(CONCATENATE("#Metadata!", ADDRESS(INDEX($AJ$2:$AJ$1001,MATCH(ROWS($AH$2:AH683),$AH$2:$AH$1001,0),0), INDEX($AO$1004:$BQ$1004,1,MATCH(COLUMNS($AO$1006:AQ1006),$AO$1006:$BQ$1006,0)))),"Fix")))</f>
        <v>#N/A</v>
      </c>
      <c r="E683" s="5" t="e">
        <f ca="1">IF(OR(INDEX($AI$2:$AI$1001,MATCH(ROWS($AH$2:AH683),$AH$2:$AH$1001,0),1)&gt;=100000,INDEX($AO$1005:$BQ$1005,1,MATCH(COLUMNS($AO$1006:AR1006),$AO$1006:$BQ$1006,0))&gt;=100000), " ",IF(INDEX($AO$2:$BQ$1001,MATCH(ROWS($AH$2:AH683),$AH$2:$AH$1001,0),MATCH(COLUMNS($AO$1006:AR1006),$AO$1006:$BQ$1006,0)), HYPERLINK("#",""), HYPERLINK(CONCATENATE("#Metadata!", ADDRESS(INDEX($AJ$2:$AJ$1001,MATCH(ROWS($AH$2:AH683),$AH$2:$AH$1001,0),0), INDEX($AO$1004:$BQ$1004,1,MATCH(COLUMNS($AO$1006:AR1006),$AO$1006:$BQ$1006,0)))),"Fix")))</f>
        <v>#N/A</v>
      </c>
      <c r="F683" s="5" t="e">
        <f ca="1">IF(OR(INDEX($AI$2:$AI$1001,MATCH(ROWS($AH$2:AH683),$AH$2:$AH$1001,0),1)&gt;=100000,INDEX($AO$1005:$BQ$1005,1,MATCH(COLUMNS($AO$1006:AS1006),$AO$1006:$BQ$1006,0))&gt;=100000), " ",IF(INDEX($AO$2:$BQ$1001,MATCH(ROWS($AH$2:AH683),$AH$2:$AH$1001,0),MATCH(COLUMNS($AO$1006:AS1006),$AO$1006:$BQ$1006,0)), HYPERLINK("#",""), HYPERLINK(CONCATENATE("#Metadata!", ADDRESS(INDEX($AJ$2:$AJ$1001,MATCH(ROWS($AH$2:AH683),$AH$2:$AH$1001,0),0), INDEX($AO$1004:$BQ$1004,1,MATCH(COLUMNS($AO$1006:AS1006),$AO$1006:$BQ$1006,0)))),"Fix")))</f>
        <v>#N/A</v>
      </c>
      <c r="G683" s="5" t="e">
        <f ca="1">IF(OR(INDEX($AI$2:$AI$1001,MATCH(ROWS($AH$2:AH683),$AH$2:$AH$1001,0),1)&gt;=100000,INDEX($AO$1005:$BQ$1005,1,MATCH(COLUMNS($AO$1006:AT1006),$AO$1006:$BQ$1006,0))&gt;=100000), " ",IF(INDEX($AO$2:$BQ$1001,MATCH(ROWS($AH$2:AH683),$AH$2:$AH$1001,0),MATCH(COLUMNS($AO$1006:AT1006),$AO$1006:$BQ$1006,0)), HYPERLINK("#",""), HYPERLINK(CONCATENATE("#Metadata!", ADDRESS(INDEX($AJ$2:$AJ$1001,MATCH(ROWS($AH$2:AH683),$AH$2:$AH$1001,0),0), INDEX($AO$1004:$BQ$1004,1,MATCH(COLUMNS($AO$1006:AT1006),$AO$1006:$BQ$1006,0)))),"Fix")))</f>
        <v>#N/A</v>
      </c>
      <c r="H683" s="5" t="e">
        <f ca="1">IF(OR(INDEX($AI$2:$AI$1001,MATCH(ROWS($AH$2:AH683),$AH$2:$AH$1001,0),1)&gt;=100000,INDEX($AO$1005:$BQ$1005,1,MATCH(COLUMNS($AO$1006:AU1006),$AO$1006:$BQ$1006,0))&gt;=100000), " ",IF(INDEX($AO$2:$BQ$1001,MATCH(ROWS($AH$2:AH683),$AH$2:$AH$1001,0),MATCH(COLUMNS($AO$1006:AU1006),$AO$1006:$BQ$1006,0)), HYPERLINK("#",""), HYPERLINK(CONCATENATE("#Metadata!", ADDRESS(INDEX($AJ$2:$AJ$1001,MATCH(ROWS($AH$2:AH683),$AH$2:$AH$1001,0),0), INDEX($AO$1004:$BQ$1004,1,MATCH(COLUMNS($AO$1006:AU1006),$AO$1006:$BQ$1006,0)))),"Fix")))</f>
        <v>#N/A</v>
      </c>
      <c r="I683" s="5" t="e">
        <f ca="1">IF(OR(INDEX($AI$2:$AI$1001,MATCH(ROWS($AH$2:AH683),$AH$2:$AH$1001,0),1)&gt;=100000,INDEX($AO$1005:$BQ$1005,1,MATCH(COLUMNS($AO$1006:AV1006),$AO$1006:$BQ$1006,0))&gt;=100000), " ",IF(INDEX($AO$2:$BQ$1001,MATCH(ROWS($AH$2:AH683),$AH$2:$AH$1001,0),MATCH(COLUMNS($AO$1006:AV1006),$AO$1006:$BQ$1006,0)), HYPERLINK("#",""), HYPERLINK(CONCATENATE("#Metadata!", ADDRESS(INDEX($AJ$2:$AJ$1001,MATCH(ROWS($AH$2:AH683),$AH$2:$AH$1001,0),0), INDEX($AO$1004:$BQ$1004,1,MATCH(COLUMNS($AO$1006:AV1006),$AO$1006:$BQ$1006,0)))),"Fix")))</f>
        <v>#N/A</v>
      </c>
      <c r="J683" s="5" t="e">
        <f ca="1">IF(OR(INDEX($AI$2:$AI$1001,MATCH(ROWS($AH$2:AH683),$AH$2:$AH$1001,0),1)&gt;=100000,INDEX($AO$1005:$BQ$1005,1,MATCH(COLUMNS($AO$1006:AW1006),$AO$1006:$BQ$1006,0))&gt;=100000), " ",IF(INDEX($AO$2:$BQ$1001,MATCH(ROWS($AH$2:AH683),$AH$2:$AH$1001,0),MATCH(COLUMNS($AO$1006:AW1006),$AO$1006:$BQ$1006,0)), HYPERLINK("#",""), HYPERLINK(CONCATENATE("#Metadata!", ADDRESS(INDEX($AJ$2:$AJ$1001,MATCH(ROWS($AH$2:AH683),$AH$2:$AH$1001,0),0), INDEX($AO$1004:$BQ$1004,1,MATCH(COLUMNS($AO$1006:AW1006),$AO$1006:$BQ$1006,0)))),"Fix")))</f>
        <v>#N/A</v>
      </c>
      <c r="K683" s="5" t="e">
        <f ca="1">IF(OR(INDEX($AI$2:$AI$1001,MATCH(ROWS($AH$2:AH683),$AH$2:$AH$1001,0),1)&gt;=100000,INDEX($AO$1005:$BQ$1005,1,MATCH(COLUMNS($AO$1006:AX1006),$AO$1006:$BQ$1006,0))&gt;=100000), " ",IF(INDEX($AO$2:$BQ$1001,MATCH(ROWS($AH$2:AH683),$AH$2:$AH$1001,0),MATCH(COLUMNS($AO$1006:AX1006),$AO$1006:$BQ$1006,0)), HYPERLINK("#",""), HYPERLINK(CONCATENATE("#Metadata!", ADDRESS(INDEX($AJ$2:$AJ$1001,MATCH(ROWS($AH$2:AH683),$AH$2:$AH$1001,0),0), INDEX($AO$1004:$BQ$1004,1,MATCH(COLUMNS($AO$1006:AX1006),$AO$1006:$BQ$1006,0)))),"Fix")))</f>
        <v>#N/A</v>
      </c>
      <c r="L683" s="5" t="e">
        <f ca="1">IF(OR(INDEX($AI$2:$AI$1001,MATCH(ROWS($AH$2:AH683),$AH$2:$AH$1001,0),1)&gt;=100000,INDEX($AO$1005:$BQ$1005,1,MATCH(COLUMNS($AO$1006:AY1006),$AO$1006:$BQ$1006,0))&gt;=100000), " ",IF(INDEX($AO$2:$BQ$1001,MATCH(ROWS($AH$2:AH683),$AH$2:$AH$1001,0),MATCH(COLUMNS($AO$1006:AY1006),$AO$1006:$BQ$1006,0)), HYPERLINK("#",""), HYPERLINK(CONCATENATE("#Metadata!", ADDRESS(INDEX($AJ$2:$AJ$1001,MATCH(ROWS($AH$2:AH683),$AH$2:$AH$1001,0),0), INDEX($AO$1004:$BQ$1004,1,MATCH(COLUMNS($AO$1006:AY1006),$AO$1006:$BQ$1006,0)))),"Fix")))</f>
        <v>#N/A</v>
      </c>
      <c r="M683" s="5" t="e">
        <f ca="1">IF(OR(INDEX($AI$2:$AI$1001,MATCH(ROWS($AH$2:AH683),$AH$2:$AH$1001,0),1)&gt;=100000,INDEX($AO$1005:$BQ$1005,1,MATCH(COLUMNS($AO$1006:AZ1006),$AO$1006:$BQ$1006,0))&gt;=100000), " ",IF(INDEX($AO$2:$BQ$1001,MATCH(ROWS($AH$2:AH683),$AH$2:$AH$1001,0),MATCH(COLUMNS($AO$1006:AZ1006),$AO$1006:$BQ$1006,0)), HYPERLINK("#",""), HYPERLINK(CONCATENATE("#Metadata!", ADDRESS(INDEX($AJ$2:$AJ$1001,MATCH(ROWS($AH$2:AH683),$AH$2:$AH$1001,0),0), INDEX($AO$1004:$BQ$1004,1,MATCH(COLUMNS($AO$1006:AZ1006),$AO$1006:$BQ$1006,0)))),"Fix")))</f>
        <v>#N/A</v>
      </c>
      <c r="N683" s="5" t="e">
        <f ca="1">IF(OR(INDEX($AI$2:$AI$1001,MATCH(ROWS($AH$2:AH683),$AH$2:$AH$1001,0),1)&gt;=100000,INDEX($AO$1005:$BQ$1005,1,MATCH(COLUMNS($AO$1006:BA1006),$AO$1006:$BQ$1006,0))&gt;=100000), " ",IF(INDEX($AO$2:$BQ$1001,MATCH(ROWS($AH$2:AH683),$AH$2:$AH$1001,0),MATCH(COLUMNS($AO$1006:BA1006),$AO$1006:$BQ$1006,0)), HYPERLINK("#",""), HYPERLINK(CONCATENATE("#Metadata!", ADDRESS(INDEX($AJ$2:$AJ$1001,MATCH(ROWS($AH$2:AH683),$AH$2:$AH$1001,0),0), INDEX($AO$1004:$BQ$1004,1,MATCH(COLUMNS($AO$1006:BA1006),$AO$1006:$BQ$1006,0)))),"Fix")))</f>
        <v>#N/A</v>
      </c>
      <c r="O683" s="5" t="e">
        <f ca="1">IF(OR(INDEX($AI$2:$AI$1001,MATCH(ROWS($AH$2:AH683),$AH$2:$AH$1001,0),1)&gt;=100000,INDEX($AO$1005:$BQ$1005,1,MATCH(COLUMNS($AO$1006:BB1006),$AO$1006:$BQ$1006,0))&gt;=100000), " ",IF(INDEX($AO$2:$BQ$1001,MATCH(ROWS($AH$2:AH683),$AH$2:$AH$1001,0),MATCH(COLUMNS($AO$1006:BB1006),$AO$1006:$BQ$1006,0)), HYPERLINK("#",""), HYPERLINK(CONCATENATE("#Metadata!", ADDRESS(INDEX($AJ$2:$AJ$1001,MATCH(ROWS($AH$2:AH683),$AH$2:$AH$1001,0),0), INDEX($AO$1004:$BQ$1004,1,MATCH(COLUMNS($AO$1006:BB1006),$AO$1006:$BQ$1006,0)))),"Fix")))</f>
        <v>#N/A</v>
      </c>
      <c r="P683" s="5" t="e">
        <f ca="1">IF(OR(INDEX($AI$2:$AI$1001,MATCH(ROWS($AH$2:AH683),$AH$2:$AH$1001,0),1)&gt;=100000,INDEX($AO$1005:$BQ$1005,1,MATCH(COLUMNS($AO$1006:BC1006),$AO$1006:$BQ$1006,0))&gt;=100000), " ",IF(INDEX($AO$2:$BQ$1001,MATCH(ROWS($AH$2:AH683),$AH$2:$AH$1001,0),MATCH(COLUMNS($AO$1006:BC1006),$AO$1006:$BQ$1006,0)), HYPERLINK("#",""), HYPERLINK(CONCATENATE("#Metadata!", ADDRESS(INDEX($AJ$2:$AJ$1001,MATCH(ROWS($AH$2:AH683),$AH$2:$AH$1001,0),0), INDEX($AO$1004:$BQ$1004,1,MATCH(COLUMNS($AO$1006:BC1006),$AO$1006:$BQ$1006,0)))),"Fix")))</f>
        <v>#N/A</v>
      </c>
      <c r="Q683" s="5" t="e">
        <f ca="1">IF(OR(INDEX($AI$2:$AI$1001,MATCH(ROWS($AH$2:AH683),$AH$2:$AH$1001,0),1)&gt;=100000,INDEX($AO$1005:$BQ$1005,1,MATCH(COLUMNS($AO$1006:BD1006),$AO$1006:$BQ$1006,0))&gt;=100000), " ",IF(INDEX($AO$2:$BQ$1001,MATCH(ROWS($AH$2:AH683),$AH$2:$AH$1001,0),MATCH(COLUMNS($AO$1006:BD1006),$AO$1006:$BQ$1006,0)), HYPERLINK("#",""), HYPERLINK(CONCATENATE("#Metadata!", ADDRESS(INDEX($AJ$2:$AJ$1001,MATCH(ROWS($AH$2:AH683),$AH$2:$AH$1001,0),0), INDEX($AO$1004:$BQ$1004,1,MATCH(COLUMNS($AO$1006:BD1006),$AO$1006:$BQ$1006,0)))),"Fix")))</f>
        <v>#N/A</v>
      </c>
      <c r="R683" s="5" t="e">
        <f ca="1">IF(OR(INDEX($AI$2:$AI$1001,MATCH(ROWS($AH$2:AH683),$AH$2:$AH$1001,0),1)&gt;=100000,INDEX($AO$1005:$BQ$1005,1,MATCH(COLUMNS($AO$1006:BE1006),$AO$1006:$BQ$1006,0))&gt;=100000), " ",IF(INDEX($AO$2:$BQ$1001,MATCH(ROWS($AH$2:AH683),$AH$2:$AH$1001,0),MATCH(COLUMNS($AO$1006:BE1006),$AO$1006:$BQ$1006,0)), HYPERLINK("#",""), HYPERLINK(CONCATENATE("#Metadata!", ADDRESS(INDEX($AJ$2:$AJ$1001,MATCH(ROWS($AH$2:AH683),$AH$2:$AH$1001,0),0), INDEX($AO$1004:$BQ$1004,1,MATCH(COLUMNS($AO$1006:BE1006),$AO$1006:$BQ$1006,0)))),"Fix")))</f>
        <v>#N/A</v>
      </c>
      <c r="S683" s="5" t="e">
        <f ca="1">IF(OR(INDEX($AI$2:$AI$1001,MATCH(ROWS($AH$2:AH683),$AH$2:$AH$1001,0),1)&gt;=100000,INDEX($AO$1005:$BQ$1005,1,MATCH(COLUMNS($AO$1006:BF1006),$AO$1006:$BQ$1006,0))&gt;=100000), " ",IF(INDEX($AO$2:$BQ$1001,MATCH(ROWS($AH$2:AH683),$AH$2:$AH$1001,0),MATCH(COLUMNS($AO$1006:BF1006),$AO$1006:$BQ$1006,0)), HYPERLINK("#",""), HYPERLINK(CONCATENATE("#Metadata!", ADDRESS(INDEX($AJ$2:$AJ$1001,MATCH(ROWS($AH$2:AH683),$AH$2:$AH$1001,0),0), INDEX($AO$1004:$BQ$1004,1,MATCH(COLUMNS($AO$1006:BF1006),$AO$1006:$BQ$1006,0)))),"Fix")))</f>
        <v>#N/A</v>
      </c>
      <c r="T683" s="5" t="e">
        <f ca="1">IF(OR(INDEX($AI$2:$AI$1001,MATCH(ROWS($AH$2:AH683),$AH$2:$AH$1001,0),1)&gt;=100000,INDEX($AO$1005:$BQ$1005,1,MATCH(COLUMNS($AO$1006:BG1006),$AO$1006:$BQ$1006,0))&gt;=100000), " ",IF(INDEX($AO$2:$BQ$1001,MATCH(ROWS($AH$2:AH683),$AH$2:$AH$1001,0),MATCH(COLUMNS($AO$1006:BG1006),$AO$1006:$BQ$1006,0)), HYPERLINK("#",""), HYPERLINK(CONCATENATE("#Metadata!", ADDRESS(INDEX($AJ$2:$AJ$1001,MATCH(ROWS($AH$2:AH683),$AH$2:$AH$1001,0),0), INDEX($AO$1004:$BQ$1004,1,MATCH(COLUMNS($AO$1006:BG1006),$AO$1006:$BQ$1006,0)))),"Fix")))</f>
        <v>#N/A</v>
      </c>
      <c r="U683" s="5" t="e">
        <f ca="1">IF(OR(INDEX($AI$2:$AI$1001,MATCH(ROWS($AH$2:AH683),$AH$2:$AH$1001,0),1)&gt;=100000,INDEX($AO$1005:$BQ$1005,1,MATCH(COLUMNS($AO$1006:BH1006),$AO$1006:$BQ$1006,0))&gt;=100000), " ",IF(INDEX($AO$2:$BQ$1001,MATCH(ROWS($AH$2:AH683),$AH$2:$AH$1001,0),MATCH(COLUMNS($AO$1006:BH1006),$AO$1006:$BQ$1006,0)), HYPERLINK("#",""), HYPERLINK(CONCATENATE("#Metadata!", ADDRESS(INDEX($AJ$2:$AJ$1001,MATCH(ROWS($AH$2:AH683),$AH$2:$AH$1001,0),0), INDEX($AO$1004:$BQ$1004,1,MATCH(COLUMNS($AO$1006:BH1006),$AO$1006:$BQ$1006,0)))),"Fix")))</f>
        <v>#N/A</v>
      </c>
      <c r="V683" s="5" t="e">
        <f ca="1">IF(OR(INDEX($AI$2:$AI$1001,MATCH(ROWS($AH$2:AH683),$AH$2:$AH$1001,0),1)&gt;=100000,INDEX($AO$1005:$BQ$1005,1,MATCH(COLUMNS($AO$1006:BI1006),$AO$1006:$BQ$1006,0))&gt;=100000), " ",IF(INDEX($AO$2:$BQ$1001,MATCH(ROWS($AH$2:AH683),$AH$2:$AH$1001,0),MATCH(COLUMNS($AO$1006:BI1006),$AO$1006:$BQ$1006,0)), HYPERLINK("#",""), HYPERLINK(CONCATENATE("#Metadata!", ADDRESS(INDEX($AJ$2:$AJ$1001,MATCH(ROWS($AH$2:AH683),$AH$2:$AH$1001,0),0), INDEX($AO$1004:$BQ$1004,1,MATCH(COLUMNS($AO$1006:BI1006),$AO$1006:$BQ$1006,0)))),"Fix")))</f>
        <v>#N/A</v>
      </c>
      <c r="W683" s="5" t="e">
        <f ca="1">IF(OR(INDEX($AI$2:$AI$1001,MATCH(ROWS($AH$2:AH683),$AH$2:$AH$1001,0),1)&gt;=100000,INDEX($AO$1005:$BQ$1005,1,MATCH(COLUMNS($AO$1006:BJ1006),$AO$1006:$BQ$1006,0))&gt;=100000), " ",IF(INDEX($AO$2:$BQ$1001,MATCH(ROWS($AH$2:AH683),$AH$2:$AH$1001,0),MATCH(COLUMNS($AO$1006:BJ1006),$AO$1006:$BQ$1006,0)), HYPERLINK("#",""), HYPERLINK(CONCATENATE("#Metadata!", ADDRESS(INDEX($AJ$2:$AJ$1001,MATCH(ROWS($AH$2:AH683),$AH$2:$AH$1001,0),0), INDEX($AO$1004:$BQ$1004,1,MATCH(COLUMNS($AO$1006:BJ1006),$AO$1006:$BQ$1006,0)))),"Fix")))</f>
        <v>#N/A</v>
      </c>
      <c r="X683" s="5" t="e">
        <f ca="1">IF(OR(INDEX($AI$2:$AI$1001,MATCH(ROWS($AH$2:AH683),$AH$2:$AH$1001,0),1)&gt;=100000,INDEX($AO$1005:$BQ$1005,1,MATCH(COLUMNS($AO$1006:BK1006),$AO$1006:$BQ$1006,0))&gt;=100000), " ",IF(INDEX($AO$2:$BQ$1001,MATCH(ROWS($AH$2:AH683),$AH$2:$AH$1001,0),MATCH(COLUMNS($AO$1006:BK1006),$AO$1006:$BQ$1006,0)), HYPERLINK("#",""), HYPERLINK(CONCATENATE("#Metadata!", ADDRESS(INDEX($AJ$2:$AJ$1001,MATCH(ROWS($AH$2:AH683),$AH$2:$AH$1001,0),0), INDEX($AO$1004:$BQ$1004,1,MATCH(COLUMNS($AO$1006:BK1006),$AO$1006:$BQ$1006,0)))),"Fix")))</f>
        <v>#N/A</v>
      </c>
      <c r="Y683" s="5" t="e">
        <f ca="1">IF(OR(INDEX($AI$2:$AI$1001,MATCH(ROWS($AH$2:AH683),$AH$2:$AH$1001,0),1)&gt;=100000,INDEX($AO$1005:$BQ$1005,1,MATCH(COLUMNS($AO$1006:BL1006),$AO$1006:$BQ$1006,0))&gt;=100000), " ",IF(INDEX($AO$2:$BQ$1001,MATCH(ROWS($AH$2:AH683),$AH$2:$AH$1001,0),MATCH(COLUMNS($AO$1006:BL1006),$AO$1006:$BQ$1006,0)), HYPERLINK("#",""), HYPERLINK(CONCATENATE("#Metadata!", ADDRESS(INDEX($AJ$2:$AJ$1001,MATCH(ROWS($AH$2:AH683),$AH$2:$AH$1001,0),0), INDEX($AO$1004:$BQ$1004,1,MATCH(COLUMNS($AO$1006:BL1006),$AO$1006:$BQ$1006,0)))),"Fix")))</f>
        <v>#N/A</v>
      </c>
      <c r="Z683" s="5" t="e">
        <f ca="1">IF(OR(INDEX($AI$2:$AI$1001,MATCH(ROWS($AH$2:AH683),$AH$2:$AH$1001,0),1)&gt;=100000,INDEX($AO$1005:$BQ$1005,1,MATCH(COLUMNS($AO$1006:BM1006),$AO$1006:$BQ$1006,0))&gt;=100000), " ",IF(INDEX($AO$2:$BQ$1001,MATCH(ROWS($AH$2:AH683),$AH$2:$AH$1001,0),MATCH(COLUMNS($AO$1006:BM1006),$AO$1006:$BQ$1006,0)), HYPERLINK("#",""), HYPERLINK(CONCATENATE("#Metadata!", ADDRESS(INDEX($AJ$2:$AJ$1001,MATCH(ROWS($AH$2:AH683),$AH$2:$AH$1001,0),0), INDEX($AO$1004:$BQ$1004,1,MATCH(COLUMNS($AO$1006:BM1006),$AO$1006:$BQ$1006,0)))),"Fix")))</f>
        <v>#N/A</v>
      </c>
      <c r="AA683" s="5" t="e">
        <f ca="1">IF(OR(INDEX($AI$2:$AI$1001,MATCH(ROWS($AH$2:AH683),$AH$2:$AH$1001,0),1)&gt;=100000,INDEX($AO$1005:$BQ$1005,1,MATCH(COLUMNS($AO$1006:BN1006),$AO$1006:$BQ$1006,0))&gt;=100000), " ",IF(INDEX($AO$2:$BQ$1001,MATCH(ROWS($AH$2:AH683),$AH$2:$AH$1001,0),MATCH(COLUMNS($AO$1006:BN1006),$AO$1006:$BQ$1006,0)), HYPERLINK("#",""), HYPERLINK(CONCATENATE("#Metadata!", ADDRESS(INDEX($AJ$2:$AJ$1001,MATCH(ROWS($AH$2:AH683),$AH$2:$AH$1001,0),0), INDEX($AO$1004:$BQ$1004,1,MATCH(COLUMNS($AO$1006:BN1006),$AO$1006:$BQ$1006,0)))),"Fix")))</f>
        <v>#N/A</v>
      </c>
      <c r="AB683" s="5" t="e">
        <f ca="1">IF(OR(INDEX($AI$2:$AI$1001,MATCH(ROWS($AH$2:AH683),$AH$2:$AH$1001,0),1)&gt;=100000,INDEX($AO$1005:$BQ$1005,1,MATCH(COLUMNS($AO$1006:BO1006),$AO$1006:$BQ$1006,0))&gt;=100000), " ",IF(INDEX($AO$2:$BQ$1001,MATCH(ROWS($AH$2:AH683),$AH$2:$AH$1001,0),MATCH(COLUMNS($AO$1006:BO1006),$AO$1006:$BQ$1006,0)), HYPERLINK("#",""), HYPERLINK(CONCATENATE("#Metadata!", ADDRESS(INDEX($AJ$2:$AJ$1001,MATCH(ROWS($AH$2:AH683),$AH$2:$AH$1001,0),0), INDEX($AO$1004:$BQ$1004,1,MATCH(COLUMNS($AO$1006:BO1006),$AO$1006:$BQ$1006,0)))),"Fix")))</f>
        <v>#N/A</v>
      </c>
      <c r="AC683" s="5" t="e">
        <f ca="1">IF(OR(INDEX($AI$2:$AI$1001,MATCH(ROWS($AH$2:AH683),$AH$2:$AH$1001,0),1)&gt;=100000,INDEX($AO$1005:$BQ$1005,1,MATCH(COLUMNS($AO$1006:BP1006),$AO$1006:$BQ$1006,0))&gt;=100000), " ",IF(INDEX($AO$2:$BQ$1001,MATCH(ROWS($AH$2:AH683),$AH$2:$AH$1001,0),MATCH(COLUMNS($AO$1006:BP1006),$AO$1006:$BQ$1006,0)), HYPERLINK("#",""), HYPERLINK(CONCATENATE("#Metadata!", ADDRESS(INDEX($AJ$2:$AJ$1001,MATCH(ROWS($AH$2:AH683),$AH$2:$AH$1001,0),0), INDEX($AO$1004:$BQ$1004,1,MATCH(COLUMNS($AO$1006:BP1006),$AO$1006:$BQ$1006,0)))),"Fix")))</f>
        <v>#N/A</v>
      </c>
      <c r="AD683" s="5" t="e">
        <f ca="1">IF(OR(INDEX($AI$2:$AI$1001,MATCH(ROWS($AH$2:AH683),$AH$2:$AH$1001,0),1)&gt;=100000,INDEX($AO$1005:$BQ$1005,1,MATCH(COLUMNS($AO$1006:BQ1006),$AO$1006:$BQ$1006,0))&gt;=100000), " ",IF(INDEX($AO$2:$BQ$1001,MATCH(ROWS($AH$2:AH683),$AH$2:$AH$1001,0),MATCH(COLUMNS($AO$1006:BQ1006),$AO$1006:$BQ$1006,0)), HYPERLINK("#",""), HYPERLINK(CONCATENATE("#Metadata!", ADDRESS(INDEX($AJ$2:$AJ$1001,MATCH(ROWS($AH$2:AH683),$AH$2:$AH$1001,0),0), INDEX($AO$1004:$BQ$1004,1,MATCH(COLUMNS($AO$1006:BQ1006),$AO$1006:$BQ$1006,0)))),"Fix")))</f>
        <v>#REF!</v>
      </c>
      <c r="AH683">
        <f ca="1"/>
        <v>680</v>
      </c>
      <c r="AI683">
        <v>100683</v>
      </c>
      <c r="AJ683">
        <v>683</v>
      </c>
      <c r="AK683" t="b">
        <f t="shared" si="10"/>
        <v>1</v>
      </c>
      <c r="AL683" t="b">
        <f>COUNTBLANK(Metadata!B683:AD683)=COLUMNS(Metadata!B683:AD683)</f>
        <v>1</v>
      </c>
      <c r="AM683" t="str">
        <v/>
      </c>
      <c r="AO683" t="b">
        <f ca="1">AND(IF(Metadata!B683="",FALSE,TRUE),COUNTIF(Metadata!B:B, Metadata!B683) = 1,NOT(ISERROR(SUMPRODUCT(SEARCH(MID(Metadata!B683,ROW(INDIRECT("1:"&amp;LEN(Metadata!B683))), 1),"0123456789abcdefghijklmnopqrstuvwxyzABCDEFGHIJKLMNOPQRSTUVWXYZ.")))))</f>
        <v>0</v>
      </c>
      <c r="AP683" t="b">
        <f>IF(Metadata!C683="",FALSE,TRUE)</f>
        <v>0</v>
      </c>
      <c r="AQ683" t="b">
        <f>IF(Metadata!D683="",FALSE,TRUE)</f>
        <v>0</v>
      </c>
      <c r="AR683" t="b">
        <f ca="1">OR(AND(IF(Metadata!E683="",FALSE,TRUE),OR(EXACT(Metadata!E683,"not collected"),EXACT(Metadata!E683,"not provided"),EXACT(Metadata!E683,"restricted access"))),AND(IF(Metadata!E683="",FALSE,TRUE),AND(AND(IFERROR(INT(LEFT(Metadata!E683,4))&gt;1900,FALSE),IFERROR(INT(LEFT(Metadata!E683,4))&lt;=YEAR(NOW()),FALSE)), OR(MID(Metadata!E683,5,1)="", AND(AND(MID(Metadata!E683,5,1)="-",IFERROR(INT(MID(Metadata!E683,6,1))&gt;=0,FALSE),IFERROR(INT(MID(Metadata!E683,6,1))&lt;=1,FALSE),NOT(MID(Metadata!E683,7,1)=""),IFERROR(INT(MID(Metadata!E683,6,2))&gt;=1,FALSE),IFERROR(INT(MID(Metadata!E683,6,2))&lt;=12,FALSE)), OR(MID(Metadata!E683,8,1)="", AND(AND(MID(Metadata!E683,8,1)="-",IFERROR(INT(MID(Metadata!E683,9,1))&gt;=0,FALSE),IFERROR(INT(MID(Metadata!E683,9,1))&lt;=3,FALSE),NOT(MID(Metadata!E683,10,1)=""),IFERROR(INT(MID(Metadata!E683,9,2))&gt;=1,FALSE),IFERROR(INT(MID(Metadata!E683,9,2))&lt;=31,FALSE)), OR(MID(Metadata!E683,11,1)="", AND(AND(MID(Metadata!E683,11,1)=" ",IFERROR(INT(MID(Metadata!E683,12,1))&gt;=0,FALSE),IFERROR(INT(MID(Metadata!E683,12,1))&lt;=2,FALSE),NOT(MID(Metadata!E683,13,1)=""),IFERROR(INT(MID(Metadata!E683,12,2))&gt;=0,FALSE),IFERROR(INT(MID(Metadata!E683,12,2))&lt;=23,FALSE)), OR(MID(Metadata!E683,14,1)="", AND(AND(MID(Metadata!E683,14,1)=":",IFERROR(INT(MID(Metadata!E683,15,1))&gt;=0,FALSE),IFERROR(INT(MID(Metadata!E683,15,1))&lt;=5,FALSE),NOT(MID(Metadata!E683,16,1)=""),IFERROR(INT(MID(Metadata!E683,15,2))&gt;=0,FALSE),IFERROR(INT(MID(Metadata!E683,15,2))&lt;=59,FALSE)), OR(MID(Metadata!E683,17,1)="", AND(AND(MID(Metadata!E683,17,1)=":",IFERROR(INT(MID(Metadata!E683,18,1))&gt;=0,FALSE),IFERROR(INT(MID(Metadata!E683,18,1))&lt;=5,FALSE),NOT(MID(Metadata!E683,19,1)=""),IFERROR(INT(MID(Metadata!E683,18,2))&gt;=0,FALSE),IFERROR(INT(MID(Metadata!E683,18,2))&lt;=59,FALSE)), LEN(Metadata!E683)&lt;=19)))))))))))))</f>
        <v>0</v>
      </c>
      <c r="AS683" t="b">
        <f>IF(Metadata!F683="",FALSE,TRUE)</f>
        <v>0</v>
      </c>
      <c r="AT683" t="b">
        <f>OR(AND(IF(Metadata!G683="",FALSE,TRUE),OR(EXACT(Metadata!G683,"not collected"),EXACT(Metadata!G683,"not provided"))),AND(IF(Metadata!G683="",FALSE,TRUE),OR(EXACT(Metadata!G683,"TRUE"),EXACT(Metadata!G683,"FALSE"))))</f>
        <v>0</v>
      </c>
      <c r="AU683" t="b">
        <f>OR(AND(IF(Metadata!H683="",FALSE,TRUE),OR(EXACT(Metadata!H683,"not collected"),EXACT(Metadata!H683,"not provided"),EXACT(Metadata!H683,"restricted access"))),AND(IF(Metadata!H683="",FALSE,ISNUMBER(VALUE(Metadata!H683))),Metadata!H683&gt;=-413))</f>
        <v>0</v>
      </c>
      <c r="AV683" t="b">
        <f>AND(IF(Metadata!I683="",FALSE,TRUE),EXACT(Metadata!I683,"meters"))</f>
        <v>0</v>
      </c>
      <c r="AW683" t="b">
        <f>AND(IF(Metadata!J683="",FALSE,TRUE),EXACT(Metadata!J683,"free-living"))</f>
        <v>0</v>
      </c>
      <c r="AX683" t="b">
        <f>AND(IF(Metadata!K683="",FALSE,TRUE),OR(EXACT(Metadata!K683,"saline"),EXACT(Metadata!K683,"non-saline")))</f>
        <v>0</v>
      </c>
      <c r="AY683" t="b">
        <f>AND(IF(Metadata!L683="",FALSE,TRUE),OR(EXACT(Metadata!L683,"sub-surface (non-saline)"),EXACT(Metadata!L683,"surface (non-saline)"),EXACT(Metadata!L683,"water (non-saline)"),EXACT(Metadata!L683,"soil (non-saline)"),EXACT(Metadata!L683,"aerosol (non-saline)"),EXACT(Metadata!L683,"sediment (non-saline)"),EXACT(Metadata!L683,"surface (saline)"),EXACT(Metadata!L683,"water (saline)"),EXACT(Metadata!L683,"hypersaline (saline)"),EXACT(Metadata!L683,"aerosol (saline)"),EXACT(Metadata!L683,"sediment (saline)")))</f>
        <v>0</v>
      </c>
      <c r="AZ683" t="b">
        <f>IF(Metadata!M683="",FALSE,TRUE)</f>
        <v>0</v>
      </c>
      <c r="BA683" t="b">
        <f>IF(Metadata!N683="",FALSE,TRUE)</f>
        <v>0</v>
      </c>
      <c r="BB683" t="b">
        <f>IF(Metadata!O683="",FALSE,TRUE)</f>
        <v>0</v>
      </c>
      <c r="BC683" t="b">
        <f>AND(IF(Metadata!P683="",FALSE,TRUE),OR(EXACT(Metadata!P683,"air"),EXACT(Metadata!P683,"microbial mat/biofilm"),EXACT(Metadata!P683,"misc environment"),EXACT(Metadata!P683,"sediment"),EXACT(Metadata!P683,"soil"),EXACT(Metadata!P683,"wastewater/sludge"),EXACT(Metadata!P683,"water")))</f>
        <v>0</v>
      </c>
      <c r="BD683" t="b">
        <f>IF(Metadata!Q683="",FALSE,TRUE)</f>
        <v>0</v>
      </c>
      <c r="BE683" t="b">
        <f>IF(Metadata!R683="",FALSE,TRUE)</f>
        <v>0</v>
      </c>
      <c r="BF683" t="b">
        <f>OR(AND(IF(Metadata!S683="",FALSE,TRUE),OR(EXACT(Metadata!S683,"not collected"),EXACT(Metadata!S683,"not provided"),EXACT(Metadata!S683,"restricted access"))),AND(IF(Metadata!S683="",FALSE,ISNUMBER(VALUE(Metadata!S683))),Metadata!S683&gt;=-90,Metadata!S683&lt;=90))</f>
        <v>0</v>
      </c>
      <c r="BG683" t="b">
        <f>AND(IF(Metadata!T683="",FALSE,TRUE),EXACT(Metadata!T683,"Decimal degrees"))</f>
        <v>0</v>
      </c>
      <c r="BH683" t="b">
        <f>OR(AND(IF(Metadata!U683="",FALSE,TRUE),OR(EXACT(Metadata!U683,"not applicable"),EXACT(Metadata!U683,"not collected"))),IF(Metadata!U683="",FALSE,TRUE))</f>
        <v>0</v>
      </c>
      <c r="BI683" t="b">
        <f>OR(AND(IF(Metadata!V683="",FALSE,TRUE),OR(EXACT(Metadata!V683,"not collected"),EXACT(Metadata!V683,"not provided"),EXACT(Metadata!V683,"restricted access"))),AND(IF(Metadata!V683="",FALSE,ISNUMBER(VALUE(Metadata!V683))),Metadata!V683&gt;=-180,Metadata!V683&lt;=180))</f>
        <v>0</v>
      </c>
      <c r="BJ683" t="b">
        <f>AND(IF(Metadata!W683="",FALSE,TRUE),EXACT(Metadata!W683,"Decimal degrees"))</f>
        <v>0</v>
      </c>
      <c r="BK683" t="b">
        <f>IF(Metadata!X683="",FALSE,TRUE)</f>
        <v>0</v>
      </c>
      <c r="BL683" t="b">
        <f>OR(AND(IF(Metadata!Y683="",FALSE,TRUE),OR(EXACT(Metadata!Y683,"not collected"),EXACT(Metadata!Y683,"not provided"),EXACT(Metadata!Y683,"restricted access"))),AND(IF(Metadata!Y683="",FALSE,TRUE),OR(EXACT(Metadata!Y683,"TRUE"),EXACT(Metadata!Y683,"FALSE"))))</f>
        <v>0</v>
      </c>
      <c r="BM683" t="b">
        <f>OR(AND(IF(Metadata!Z683="",FALSE,TRUE),EXACT(Metadata!Z683,"not applicable")),AND(IF(Metadata!Z683="",FALSE,TRUE),OR(EXACT(Metadata!Z683,"beer"),EXACT(Metadata!Z683,"cheese"),EXACT(Metadata!Z683,"fresh water"),EXACT(Metadata!Z683,"marine sediment"),EXACT(Metadata!Z683,"sea water"),EXACT(Metadata!Z683,"sediment"),EXACT(Metadata!Z683,"soil"),EXACT(Metadata!Z683,"waste water"))))</f>
        <v>0</v>
      </c>
      <c r="BN683" t="b">
        <f>AND(IF(Metadata!AA683="",FALSE,TRUE),EXACT(Metadata!AA683,"metagenome"))</f>
        <v>0</v>
      </c>
      <c r="BO683" t="b">
        <f>AND(IF(Metadata!AB683="",FALSE,TRUE),EXACT(Metadata!AB683,"256318"))</f>
        <v>0</v>
      </c>
      <c r="BP683" t="b">
        <f>IF(Metadata!AC683="",FALSE,TRUE)</f>
        <v>0</v>
      </c>
      <c r="BQ683" t="b">
        <f>IF(Metadata!AD683="",FALSE,TRUE)</f>
        <v>0</v>
      </c>
    </row>
    <row r="684" spans="1:69" x14ac:dyDescent="0.2">
      <c r="A684" s="4" t="e">
        <f ca="1">IF(B684=" "," ",HYPERLINK(CONCATENATE("#metadata!",ADDRESS(INDEX($AJ$2:$AJ$1001,MATCH(ROWS($AH$2:AH684),$AH$2:$AH$1001,0),0),2)),INDEX($AM$2:$AM$1001,MATCH(ROWS($AH$2:AH684),$AH$2:$AH$1001,0),0)))</f>
        <v>#N/A</v>
      </c>
      <c r="B684" s="5" t="e">
        <f ca="1">IF(OR(INDEX($AI$2:$AI$1001,MATCH(ROWS($AH$2:AH684),$AH$2:$AH$1001,0),1)&gt;=100000,INDEX($AO$1005:$BQ$1005,1,MATCH(COLUMNS($AO$1006:AO1006),$AO$1006:$BQ$1006,0))&gt;=100000), " ",IF(INDEX($AO$2:$BQ$1001,MATCH(ROWS($AH$2:AH684),$AH$2:$AH$1001,0),MATCH(COLUMNS($AO$1006:AO1006),$AO$1006:$BQ$1006,0)), HYPERLINK("#",""), HYPERLINK(CONCATENATE("#Metadata!", ADDRESS(INDEX($AJ$2:$AJ$1001,MATCH(ROWS($AH$2:AH684),$AH$2:$AH$1001,0),0), INDEX($AO$1004:$BQ$1004,1,MATCH(COLUMNS($AO$1006:AO1006),$AO$1006:$BQ$1006,0)))),"Fix")))</f>
        <v>#N/A</v>
      </c>
      <c r="C684" s="5" t="e">
        <f ca="1">IF(OR(INDEX($AI$2:$AI$1001,MATCH(ROWS($AH$2:AH684),$AH$2:$AH$1001,0),1)&gt;=100000,INDEX($AO$1005:$BQ$1005,1,MATCH(COLUMNS($AO$1006:AP1006),$AO$1006:$BQ$1006,0))&gt;=100000), " ",IF(INDEX($AO$2:$BQ$1001,MATCH(ROWS($AH$2:AH684),$AH$2:$AH$1001,0),MATCH(COLUMNS($AO$1006:AP1006),$AO$1006:$BQ$1006,0)), HYPERLINK("#",""), HYPERLINK(CONCATENATE("#Metadata!", ADDRESS(INDEX($AJ$2:$AJ$1001,MATCH(ROWS($AH$2:AH684),$AH$2:$AH$1001,0),0), INDEX($AO$1004:$BQ$1004,1,MATCH(COLUMNS($AO$1006:AP1006),$AO$1006:$BQ$1006,0)))),"Fix")))</f>
        <v>#N/A</v>
      </c>
      <c r="D684" s="5" t="e">
        <f ca="1">IF(OR(INDEX($AI$2:$AI$1001,MATCH(ROWS($AH$2:AH684),$AH$2:$AH$1001,0),1)&gt;=100000,INDEX($AO$1005:$BQ$1005,1,MATCH(COLUMNS($AO$1006:AQ1006),$AO$1006:$BQ$1006,0))&gt;=100000), " ",IF(INDEX($AO$2:$BQ$1001,MATCH(ROWS($AH$2:AH684),$AH$2:$AH$1001,0),MATCH(COLUMNS($AO$1006:AQ1006),$AO$1006:$BQ$1006,0)), HYPERLINK("#",""), HYPERLINK(CONCATENATE("#Metadata!", ADDRESS(INDEX($AJ$2:$AJ$1001,MATCH(ROWS($AH$2:AH684),$AH$2:$AH$1001,0),0), INDEX($AO$1004:$BQ$1004,1,MATCH(COLUMNS($AO$1006:AQ1006),$AO$1006:$BQ$1006,0)))),"Fix")))</f>
        <v>#N/A</v>
      </c>
      <c r="E684" s="5" t="e">
        <f ca="1">IF(OR(INDEX($AI$2:$AI$1001,MATCH(ROWS($AH$2:AH684),$AH$2:$AH$1001,0),1)&gt;=100000,INDEX($AO$1005:$BQ$1005,1,MATCH(COLUMNS($AO$1006:AR1006),$AO$1006:$BQ$1006,0))&gt;=100000), " ",IF(INDEX($AO$2:$BQ$1001,MATCH(ROWS($AH$2:AH684),$AH$2:$AH$1001,0),MATCH(COLUMNS($AO$1006:AR1006),$AO$1006:$BQ$1006,0)), HYPERLINK("#",""), HYPERLINK(CONCATENATE("#Metadata!", ADDRESS(INDEX($AJ$2:$AJ$1001,MATCH(ROWS($AH$2:AH684),$AH$2:$AH$1001,0),0), INDEX($AO$1004:$BQ$1004,1,MATCH(COLUMNS($AO$1006:AR1006),$AO$1006:$BQ$1006,0)))),"Fix")))</f>
        <v>#N/A</v>
      </c>
      <c r="F684" s="5" t="e">
        <f ca="1">IF(OR(INDEX($AI$2:$AI$1001,MATCH(ROWS($AH$2:AH684),$AH$2:$AH$1001,0),1)&gt;=100000,INDEX($AO$1005:$BQ$1005,1,MATCH(COLUMNS($AO$1006:AS1006),$AO$1006:$BQ$1006,0))&gt;=100000), " ",IF(INDEX($AO$2:$BQ$1001,MATCH(ROWS($AH$2:AH684),$AH$2:$AH$1001,0),MATCH(COLUMNS($AO$1006:AS1006),$AO$1006:$BQ$1006,0)), HYPERLINK("#",""), HYPERLINK(CONCATENATE("#Metadata!", ADDRESS(INDEX($AJ$2:$AJ$1001,MATCH(ROWS($AH$2:AH684),$AH$2:$AH$1001,0),0), INDEX($AO$1004:$BQ$1004,1,MATCH(COLUMNS($AO$1006:AS1006),$AO$1006:$BQ$1006,0)))),"Fix")))</f>
        <v>#N/A</v>
      </c>
      <c r="G684" s="5" t="e">
        <f ca="1">IF(OR(INDEX($AI$2:$AI$1001,MATCH(ROWS($AH$2:AH684),$AH$2:$AH$1001,0),1)&gt;=100000,INDEX($AO$1005:$BQ$1005,1,MATCH(COLUMNS($AO$1006:AT1006),$AO$1006:$BQ$1006,0))&gt;=100000), " ",IF(INDEX($AO$2:$BQ$1001,MATCH(ROWS($AH$2:AH684),$AH$2:$AH$1001,0),MATCH(COLUMNS($AO$1006:AT1006),$AO$1006:$BQ$1006,0)), HYPERLINK("#",""), HYPERLINK(CONCATENATE("#Metadata!", ADDRESS(INDEX($AJ$2:$AJ$1001,MATCH(ROWS($AH$2:AH684),$AH$2:$AH$1001,0),0), INDEX($AO$1004:$BQ$1004,1,MATCH(COLUMNS($AO$1006:AT1006),$AO$1006:$BQ$1006,0)))),"Fix")))</f>
        <v>#N/A</v>
      </c>
      <c r="H684" s="5" t="e">
        <f ca="1">IF(OR(INDEX($AI$2:$AI$1001,MATCH(ROWS($AH$2:AH684),$AH$2:$AH$1001,0),1)&gt;=100000,INDEX($AO$1005:$BQ$1005,1,MATCH(COLUMNS($AO$1006:AU1006),$AO$1006:$BQ$1006,0))&gt;=100000), " ",IF(INDEX($AO$2:$BQ$1001,MATCH(ROWS($AH$2:AH684),$AH$2:$AH$1001,0),MATCH(COLUMNS($AO$1006:AU1006),$AO$1006:$BQ$1006,0)), HYPERLINK("#",""), HYPERLINK(CONCATENATE("#Metadata!", ADDRESS(INDEX($AJ$2:$AJ$1001,MATCH(ROWS($AH$2:AH684),$AH$2:$AH$1001,0),0), INDEX($AO$1004:$BQ$1004,1,MATCH(COLUMNS($AO$1006:AU1006),$AO$1006:$BQ$1006,0)))),"Fix")))</f>
        <v>#N/A</v>
      </c>
      <c r="I684" s="5" t="e">
        <f ca="1">IF(OR(INDEX($AI$2:$AI$1001,MATCH(ROWS($AH$2:AH684),$AH$2:$AH$1001,0),1)&gt;=100000,INDEX($AO$1005:$BQ$1005,1,MATCH(COLUMNS($AO$1006:AV1006),$AO$1006:$BQ$1006,0))&gt;=100000), " ",IF(INDEX($AO$2:$BQ$1001,MATCH(ROWS($AH$2:AH684),$AH$2:$AH$1001,0),MATCH(COLUMNS($AO$1006:AV1006),$AO$1006:$BQ$1006,0)), HYPERLINK("#",""), HYPERLINK(CONCATENATE("#Metadata!", ADDRESS(INDEX($AJ$2:$AJ$1001,MATCH(ROWS($AH$2:AH684),$AH$2:$AH$1001,0),0), INDEX($AO$1004:$BQ$1004,1,MATCH(COLUMNS($AO$1006:AV1006),$AO$1006:$BQ$1006,0)))),"Fix")))</f>
        <v>#N/A</v>
      </c>
      <c r="J684" s="5" t="e">
        <f ca="1">IF(OR(INDEX($AI$2:$AI$1001,MATCH(ROWS($AH$2:AH684),$AH$2:$AH$1001,0),1)&gt;=100000,INDEX($AO$1005:$BQ$1005,1,MATCH(COLUMNS($AO$1006:AW1006),$AO$1006:$BQ$1006,0))&gt;=100000), " ",IF(INDEX($AO$2:$BQ$1001,MATCH(ROWS($AH$2:AH684),$AH$2:$AH$1001,0),MATCH(COLUMNS($AO$1006:AW1006),$AO$1006:$BQ$1006,0)), HYPERLINK("#",""), HYPERLINK(CONCATENATE("#Metadata!", ADDRESS(INDEX($AJ$2:$AJ$1001,MATCH(ROWS($AH$2:AH684),$AH$2:$AH$1001,0),0), INDEX($AO$1004:$BQ$1004,1,MATCH(COLUMNS($AO$1006:AW1006),$AO$1006:$BQ$1006,0)))),"Fix")))</f>
        <v>#N/A</v>
      </c>
      <c r="K684" s="5" t="e">
        <f ca="1">IF(OR(INDEX($AI$2:$AI$1001,MATCH(ROWS($AH$2:AH684),$AH$2:$AH$1001,0),1)&gt;=100000,INDEX($AO$1005:$BQ$1005,1,MATCH(COLUMNS($AO$1006:AX1006),$AO$1006:$BQ$1006,0))&gt;=100000), " ",IF(INDEX($AO$2:$BQ$1001,MATCH(ROWS($AH$2:AH684),$AH$2:$AH$1001,0),MATCH(COLUMNS($AO$1006:AX1006),$AO$1006:$BQ$1006,0)), HYPERLINK("#",""), HYPERLINK(CONCATENATE("#Metadata!", ADDRESS(INDEX($AJ$2:$AJ$1001,MATCH(ROWS($AH$2:AH684),$AH$2:$AH$1001,0),0), INDEX($AO$1004:$BQ$1004,1,MATCH(COLUMNS($AO$1006:AX1006),$AO$1006:$BQ$1006,0)))),"Fix")))</f>
        <v>#N/A</v>
      </c>
      <c r="L684" s="5" t="e">
        <f ca="1">IF(OR(INDEX($AI$2:$AI$1001,MATCH(ROWS($AH$2:AH684),$AH$2:$AH$1001,0),1)&gt;=100000,INDEX($AO$1005:$BQ$1005,1,MATCH(COLUMNS($AO$1006:AY1006),$AO$1006:$BQ$1006,0))&gt;=100000), " ",IF(INDEX($AO$2:$BQ$1001,MATCH(ROWS($AH$2:AH684),$AH$2:$AH$1001,0),MATCH(COLUMNS($AO$1006:AY1006),$AO$1006:$BQ$1006,0)), HYPERLINK("#",""), HYPERLINK(CONCATENATE("#Metadata!", ADDRESS(INDEX($AJ$2:$AJ$1001,MATCH(ROWS($AH$2:AH684),$AH$2:$AH$1001,0),0), INDEX($AO$1004:$BQ$1004,1,MATCH(COLUMNS($AO$1006:AY1006),$AO$1006:$BQ$1006,0)))),"Fix")))</f>
        <v>#N/A</v>
      </c>
      <c r="M684" s="5" t="e">
        <f ca="1">IF(OR(INDEX($AI$2:$AI$1001,MATCH(ROWS($AH$2:AH684),$AH$2:$AH$1001,0),1)&gt;=100000,INDEX($AO$1005:$BQ$1005,1,MATCH(COLUMNS($AO$1006:AZ1006),$AO$1006:$BQ$1006,0))&gt;=100000), " ",IF(INDEX($AO$2:$BQ$1001,MATCH(ROWS($AH$2:AH684),$AH$2:$AH$1001,0),MATCH(COLUMNS($AO$1006:AZ1006),$AO$1006:$BQ$1006,0)), HYPERLINK("#",""), HYPERLINK(CONCATENATE("#Metadata!", ADDRESS(INDEX($AJ$2:$AJ$1001,MATCH(ROWS($AH$2:AH684),$AH$2:$AH$1001,0),0), INDEX($AO$1004:$BQ$1004,1,MATCH(COLUMNS($AO$1006:AZ1006),$AO$1006:$BQ$1006,0)))),"Fix")))</f>
        <v>#N/A</v>
      </c>
      <c r="N684" s="5" t="e">
        <f ca="1">IF(OR(INDEX($AI$2:$AI$1001,MATCH(ROWS($AH$2:AH684),$AH$2:$AH$1001,0),1)&gt;=100000,INDEX($AO$1005:$BQ$1005,1,MATCH(COLUMNS($AO$1006:BA1006),$AO$1006:$BQ$1006,0))&gt;=100000), " ",IF(INDEX($AO$2:$BQ$1001,MATCH(ROWS($AH$2:AH684),$AH$2:$AH$1001,0),MATCH(COLUMNS($AO$1006:BA1006),$AO$1006:$BQ$1006,0)), HYPERLINK("#",""), HYPERLINK(CONCATENATE("#Metadata!", ADDRESS(INDEX($AJ$2:$AJ$1001,MATCH(ROWS($AH$2:AH684),$AH$2:$AH$1001,0),0), INDEX($AO$1004:$BQ$1004,1,MATCH(COLUMNS($AO$1006:BA1006),$AO$1006:$BQ$1006,0)))),"Fix")))</f>
        <v>#N/A</v>
      </c>
      <c r="O684" s="5" t="e">
        <f ca="1">IF(OR(INDEX($AI$2:$AI$1001,MATCH(ROWS($AH$2:AH684),$AH$2:$AH$1001,0),1)&gt;=100000,INDEX($AO$1005:$BQ$1005,1,MATCH(COLUMNS($AO$1006:BB1006),$AO$1006:$BQ$1006,0))&gt;=100000), " ",IF(INDEX($AO$2:$BQ$1001,MATCH(ROWS($AH$2:AH684),$AH$2:$AH$1001,0),MATCH(COLUMNS($AO$1006:BB1006),$AO$1006:$BQ$1006,0)), HYPERLINK("#",""), HYPERLINK(CONCATENATE("#Metadata!", ADDRESS(INDEX($AJ$2:$AJ$1001,MATCH(ROWS($AH$2:AH684),$AH$2:$AH$1001,0),0), INDEX($AO$1004:$BQ$1004,1,MATCH(COLUMNS($AO$1006:BB1006),$AO$1006:$BQ$1006,0)))),"Fix")))</f>
        <v>#N/A</v>
      </c>
      <c r="P684" s="5" t="e">
        <f ca="1">IF(OR(INDEX($AI$2:$AI$1001,MATCH(ROWS($AH$2:AH684),$AH$2:$AH$1001,0),1)&gt;=100000,INDEX($AO$1005:$BQ$1005,1,MATCH(COLUMNS($AO$1006:BC1006),$AO$1006:$BQ$1006,0))&gt;=100000), " ",IF(INDEX($AO$2:$BQ$1001,MATCH(ROWS($AH$2:AH684),$AH$2:$AH$1001,0),MATCH(COLUMNS($AO$1006:BC1006),$AO$1006:$BQ$1006,0)), HYPERLINK("#",""), HYPERLINK(CONCATENATE("#Metadata!", ADDRESS(INDEX($AJ$2:$AJ$1001,MATCH(ROWS($AH$2:AH684),$AH$2:$AH$1001,0),0), INDEX($AO$1004:$BQ$1004,1,MATCH(COLUMNS($AO$1006:BC1006),$AO$1006:$BQ$1006,0)))),"Fix")))</f>
        <v>#N/A</v>
      </c>
      <c r="Q684" s="5" t="e">
        <f ca="1">IF(OR(INDEX($AI$2:$AI$1001,MATCH(ROWS($AH$2:AH684),$AH$2:$AH$1001,0),1)&gt;=100000,INDEX($AO$1005:$BQ$1005,1,MATCH(COLUMNS($AO$1006:BD1006),$AO$1006:$BQ$1006,0))&gt;=100000), " ",IF(INDEX($AO$2:$BQ$1001,MATCH(ROWS($AH$2:AH684),$AH$2:$AH$1001,0),MATCH(COLUMNS($AO$1006:BD1006),$AO$1006:$BQ$1006,0)), HYPERLINK("#",""), HYPERLINK(CONCATENATE("#Metadata!", ADDRESS(INDEX($AJ$2:$AJ$1001,MATCH(ROWS($AH$2:AH684),$AH$2:$AH$1001,0),0), INDEX($AO$1004:$BQ$1004,1,MATCH(COLUMNS($AO$1006:BD1006),$AO$1006:$BQ$1006,0)))),"Fix")))</f>
        <v>#N/A</v>
      </c>
      <c r="R684" s="5" t="e">
        <f ca="1">IF(OR(INDEX($AI$2:$AI$1001,MATCH(ROWS($AH$2:AH684),$AH$2:$AH$1001,0),1)&gt;=100000,INDEX($AO$1005:$BQ$1005,1,MATCH(COLUMNS($AO$1006:BE1006),$AO$1006:$BQ$1006,0))&gt;=100000), " ",IF(INDEX($AO$2:$BQ$1001,MATCH(ROWS($AH$2:AH684),$AH$2:$AH$1001,0),MATCH(COLUMNS($AO$1006:BE1006),$AO$1006:$BQ$1006,0)), HYPERLINK("#",""), HYPERLINK(CONCATENATE("#Metadata!", ADDRESS(INDEX($AJ$2:$AJ$1001,MATCH(ROWS($AH$2:AH684),$AH$2:$AH$1001,0),0), INDEX($AO$1004:$BQ$1004,1,MATCH(COLUMNS($AO$1006:BE1006),$AO$1006:$BQ$1006,0)))),"Fix")))</f>
        <v>#N/A</v>
      </c>
      <c r="S684" s="5" t="e">
        <f ca="1">IF(OR(INDEX($AI$2:$AI$1001,MATCH(ROWS($AH$2:AH684),$AH$2:$AH$1001,0),1)&gt;=100000,INDEX($AO$1005:$BQ$1005,1,MATCH(COLUMNS($AO$1006:BF1006),$AO$1006:$BQ$1006,0))&gt;=100000), " ",IF(INDEX($AO$2:$BQ$1001,MATCH(ROWS($AH$2:AH684),$AH$2:$AH$1001,0),MATCH(COLUMNS($AO$1006:BF1006),$AO$1006:$BQ$1006,0)), HYPERLINK("#",""), HYPERLINK(CONCATENATE("#Metadata!", ADDRESS(INDEX($AJ$2:$AJ$1001,MATCH(ROWS($AH$2:AH684),$AH$2:$AH$1001,0),0), INDEX($AO$1004:$BQ$1004,1,MATCH(COLUMNS($AO$1006:BF1006),$AO$1006:$BQ$1006,0)))),"Fix")))</f>
        <v>#N/A</v>
      </c>
      <c r="T684" s="5" t="e">
        <f ca="1">IF(OR(INDEX($AI$2:$AI$1001,MATCH(ROWS($AH$2:AH684),$AH$2:$AH$1001,0),1)&gt;=100000,INDEX($AO$1005:$BQ$1005,1,MATCH(COLUMNS($AO$1006:BG1006),$AO$1006:$BQ$1006,0))&gt;=100000), " ",IF(INDEX($AO$2:$BQ$1001,MATCH(ROWS($AH$2:AH684),$AH$2:$AH$1001,0),MATCH(COLUMNS($AO$1006:BG1006),$AO$1006:$BQ$1006,0)), HYPERLINK("#",""), HYPERLINK(CONCATENATE("#Metadata!", ADDRESS(INDEX($AJ$2:$AJ$1001,MATCH(ROWS($AH$2:AH684),$AH$2:$AH$1001,0),0), INDEX($AO$1004:$BQ$1004,1,MATCH(COLUMNS($AO$1006:BG1006),$AO$1006:$BQ$1006,0)))),"Fix")))</f>
        <v>#N/A</v>
      </c>
      <c r="U684" s="5" t="e">
        <f ca="1">IF(OR(INDEX($AI$2:$AI$1001,MATCH(ROWS($AH$2:AH684),$AH$2:$AH$1001,0),1)&gt;=100000,INDEX($AO$1005:$BQ$1005,1,MATCH(COLUMNS($AO$1006:BH1006),$AO$1006:$BQ$1006,0))&gt;=100000), " ",IF(INDEX($AO$2:$BQ$1001,MATCH(ROWS($AH$2:AH684),$AH$2:$AH$1001,0),MATCH(COLUMNS($AO$1006:BH1006),$AO$1006:$BQ$1006,0)), HYPERLINK("#",""), HYPERLINK(CONCATENATE("#Metadata!", ADDRESS(INDEX($AJ$2:$AJ$1001,MATCH(ROWS($AH$2:AH684),$AH$2:$AH$1001,0),0), INDEX($AO$1004:$BQ$1004,1,MATCH(COLUMNS($AO$1006:BH1006),$AO$1006:$BQ$1006,0)))),"Fix")))</f>
        <v>#N/A</v>
      </c>
      <c r="V684" s="5" t="e">
        <f ca="1">IF(OR(INDEX($AI$2:$AI$1001,MATCH(ROWS($AH$2:AH684),$AH$2:$AH$1001,0),1)&gt;=100000,INDEX($AO$1005:$BQ$1005,1,MATCH(COLUMNS($AO$1006:BI1006),$AO$1006:$BQ$1006,0))&gt;=100000), " ",IF(INDEX($AO$2:$BQ$1001,MATCH(ROWS($AH$2:AH684),$AH$2:$AH$1001,0),MATCH(COLUMNS($AO$1006:BI1006),$AO$1006:$BQ$1006,0)), HYPERLINK("#",""), HYPERLINK(CONCATENATE("#Metadata!", ADDRESS(INDEX($AJ$2:$AJ$1001,MATCH(ROWS($AH$2:AH684),$AH$2:$AH$1001,0),0), INDEX($AO$1004:$BQ$1004,1,MATCH(COLUMNS($AO$1006:BI1006),$AO$1006:$BQ$1006,0)))),"Fix")))</f>
        <v>#N/A</v>
      </c>
      <c r="W684" s="5" t="e">
        <f ca="1">IF(OR(INDEX($AI$2:$AI$1001,MATCH(ROWS($AH$2:AH684),$AH$2:$AH$1001,0),1)&gt;=100000,INDEX($AO$1005:$BQ$1005,1,MATCH(COLUMNS($AO$1006:BJ1006),$AO$1006:$BQ$1006,0))&gt;=100000), " ",IF(INDEX($AO$2:$BQ$1001,MATCH(ROWS($AH$2:AH684),$AH$2:$AH$1001,0),MATCH(COLUMNS($AO$1006:BJ1006),$AO$1006:$BQ$1006,0)), HYPERLINK("#",""), HYPERLINK(CONCATENATE("#Metadata!", ADDRESS(INDEX($AJ$2:$AJ$1001,MATCH(ROWS($AH$2:AH684),$AH$2:$AH$1001,0),0), INDEX($AO$1004:$BQ$1004,1,MATCH(COLUMNS($AO$1006:BJ1006),$AO$1006:$BQ$1006,0)))),"Fix")))</f>
        <v>#N/A</v>
      </c>
      <c r="X684" s="5" t="e">
        <f ca="1">IF(OR(INDEX($AI$2:$AI$1001,MATCH(ROWS($AH$2:AH684),$AH$2:$AH$1001,0),1)&gt;=100000,INDEX($AO$1005:$BQ$1005,1,MATCH(COLUMNS($AO$1006:BK1006),$AO$1006:$BQ$1006,0))&gt;=100000), " ",IF(INDEX($AO$2:$BQ$1001,MATCH(ROWS($AH$2:AH684),$AH$2:$AH$1001,0),MATCH(COLUMNS($AO$1006:BK1006),$AO$1006:$BQ$1006,0)), HYPERLINK("#",""), HYPERLINK(CONCATENATE("#Metadata!", ADDRESS(INDEX($AJ$2:$AJ$1001,MATCH(ROWS($AH$2:AH684),$AH$2:$AH$1001,0),0), INDEX($AO$1004:$BQ$1004,1,MATCH(COLUMNS($AO$1006:BK1006),$AO$1006:$BQ$1006,0)))),"Fix")))</f>
        <v>#N/A</v>
      </c>
      <c r="Y684" s="5" t="e">
        <f ca="1">IF(OR(INDEX($AI$2:$AI$1001,MATCH(ROWS($AH$2:AH684),$AH$2:$AH$1001,0),1)&gt;=100000,INDEX($AO$1005:$BQ$1005,1,MATCH(COLUMNS($AO$1006:BL1006),$AO$1006:$BQ$1006,0))&gt;=100000), " ",IF(INDEX($AO$2:$BQ$1001,MATCH(ROWS($AH$2:AH684),$AH$2:$AH$1001,0),MATCH(COLUMNS($AO$1006:BL1006),$AO$1006:$BQ$1006,0)), HYPERLINK("#",""), HYPERLINK(CONCATENATE("#Metadata!", ADDRESS(INDEX($AJ$2:$AJ$1001,MATCH(ROWS($AH$2:AH684),$AH$2:$AH$1001,0),0), INDEX($AO$1004:$BQ$1004,1,MATCH(COLUMNS($AO$1006:BL1006),$AO$1006:$BQ$1006,0)))),"Fix")))</f>
        <v>#N/A</v>
      </c>
      <c r="Z684" s="5" t="e">
        <f ca="1">IF(OR(INDEX($AI$2:$AI$1001,MATCH(ROWS($AH$2:AH684),$AH$2:$AH$1001,0),1)&gt;=100000,INDEX($AO$1005:$BQ$1005,1,MATCH(COLUMNS($AO$1006:BM1006),$AO$1006:$BQ$1006,0))&gt;=100000), " ",IF(INDEX($AO$2:$BQ$1001,MATCH(ROWS($AH$2:AH684),$AH$2:$AH$1001,0),MATCH(COLUMNS($AO$1006:BM1006),$AO$1006:$BQ$1006,0)), HYPERLINK("#",""), HYPERLINK(CONCATENATE("#Metadata!", ADDRESS(INDEX($AJ$2:$AJ$1001,MATCH(ROWS($AH$2:AH684),$AH$2:$AH$1001,0),0), INDEX($AO$1004:$BQ$1004,1,MATCH(COLUMNS($AO$1006:BM1006),$AO$1006:$BQ$1006,0)))),"Fix")))</f>
        <v>#N/A</v>
      </c>
      <c r="AA684" s="5" t="e">
        <f ca="1">IF(OR(INDEX($AI$2:$AI$1001,MATCH(ROWS($AH$2:AH684),$AH$2:$AH$1001,0),1)&gt;=100000,INDEX($AO$1005:$BQ$1005,1,MATCH(COLUMNS($AO$1006:BN1006),$AO$1006:$BQ$1006,0))&gt;=100000), " ",IF(INDEX($AO$2:$BQ$1001,MATCH(ROWS($AH$2:AH684),$AH$2:$AH$1001,0),MATCH(COLUMNS($AO$1006:BN1006),$AO$1006:$BQ$1006,0)), HYPERLINK("#",""), HYPERLINK(CONCATENATE("#Metadata!", ADDRESS(INDEX($AJ$2:$AJ$1001,MATCH(ROWS($AH$2:AH684),$AH$2:$AH$1001,0),0), INDEX($AO$1004:$BQ$1004,1,MATCH(COLUMNS($AO$1006:BN1006),$AO$1006:$BQ$1006,0)))),"Fix")))</f>
        <v>#N/A</v>
      </c>
      <c r="AB684" s="5" t="e">
        <f ca="1">IF(OR(INDEX($AI$2:$AI$1001,MATCH(ROWS($AH$2:AH684),$AH$2:$AH$1001,0),1)&gt;=100000,INDEX($AO$1005:$BQ$1005,1,MATCH(COLUMNS($AO$1006:BO1006),$AO$1006:$BQ$1006,0))&gt;=100000), " ",IF(INDEX($AO$2:$BQ$1001,MATCH(ROWS($AH$2:AH684),$AH$2:$AH$1001,0),MATCH(COLUMNS($AO$1006:BO1006),$AO$1006:$BQ$1006,0)), HYPERLINK("#",""), HYPERLINK(CONCATENATE("#Metadata!", ADDRESS(INDEX($AJ$2:$AJ$1001,MATCH(ROWS($AH$2:AH684),$AH$2:$AH$1001,0),0), INDEX($AO$1004:$BQ$1004,1,MATCH(COLUMNS($AO$1006:BO1006),$AO$1006:$BQ$1006,0)))),"Fix")))</f>
        <v>#N/A</v>
      </c>
      <c r="AC684" s="5" t="e">
        <f ca="1">IF(OR(INDEX($AI$2:$AI$1001,MATCH(ROWS($AH$2:AH684),$AH$2:$AH$1001,0),1)&gt;=100000,INDEX($AO$1005:$BQ$1005,1,MATCH(COLUMNS($AO$1006:BP1006),$AO$1006:$BQ$1006,0))&gt;=100000), " ",IF(INDEX($AO$2:$BQ$1001,MATCH(ROWS($AH$2:AH684),$AH$2:$AH$1001,0),MATCH(COLUMNS($AO$1006:BP1006),$AO$1006:$BQ$1006,0)), HYPERLINK("#",""), HYPERLINK(CONCATENATE("#Metadata!", ADDRESS(INDEX($AJ$2:$AJ$1001,MATCH(ROWS($AH$2:AH684),$AH$2:$AH$1001,0),0), INDEX($AO$1004:$BQ$1004,1,MATCH(COLUMNS($AO$1006:BP1006),$AO$1006:$BQ$1006,0)))),"Fix")))</f>
        <v>#N/A</v>
      </c>
      <c r="AD684" s="5" t="e">
        <f ca="1">IF(OR(INDEX($AI$2:$AI$1001,MATCH(ROWS($AH$2:AH684),$AH$2:$AH$1001,0),1)&gt;=100000,INDEX($AO$1005:$BQ$1005,1,MATCH(COLUMNS($AO$1006:BQ1006),$AO$1006:$BQ$1006,0))&gt;=100000), " ",IF(INDEX($AO$2:$BQ$1001,MATCH(ROWS($AH$2:AH684),$AH$2:$AH$1001,0),MATCH(COLUMNS($AO$1006:BQ1006),$AO$1006:$BQ$1006,0)), HYPERLINK("#",""), HYPERLINK(CONCATENATE("#Metadata!", ADDRESS(INDEX($AJ$2:$AJ$1001,MATCH(ROWS($AH$2:AH684),$AH$2:$AH$1001,0),0), INDEX($AO$1004:$BQ$1004,1,MATCH(COLUMNS($AO$1006:BQ1006),$AO$1006:$BQ$1006,0)))),"Fix")))</f>
        <v>#REF!</v>
      </c>
      <c r="AH684">
        <f ca="1"/>
        <v>681</v>
      </c>
      <c r="AI684">
        <v>100684</v>
      </c>
      <c r="AJ684">
        <v>684</v>
      </c>
      <c r="AK684" t="b">
        <f t="shared" si="10"/>
        <v>1</v>
      </c>
      <c r="AL684" t="b">
        <f>COUNTBLANK(Metadata!B684:AD684)=COLUMNS(Metadata!B684:AD684)</f>
        <v>1</v>
      </c>
      <c r="AM684" t="str">
        <v/>
      </c>
      <c r="AO684" t="b">
        <f ca="1">AND(IF(Metadata!B684="",FALSE,TRUE),COUNTIF(Metadata!B:B, Metadata!B684) = 1,NOT(ISERROR(SUMPRODUCT(SEARCH(MID(Metadata!B684,ROW(INDIRECT("1:"&amp;LEN(Metadata!B684))), 1),"0123456789abcdefghijklmnopqrstuvwxyzABCDEFGHIJKLMNOPQRSTUVWXYZ.")))))</f>
        <v>0</v>
      </c>
      <c r="AP684" t="b">
        <f>IF(Metadata!C684="",FALSE,TRUE)</f>
        <v>0</v>
      </c>
      <c r="AQ684" t="b">
        <f>IF(Metadata!D684="",FALSE,TRUE)</f>
        <v>0</v>
      </c>
      <c r="AR684" t="b">
        <f ca="1">OR(AND(IF(Metadata!E684="",FALSE,TRUE),OR(EXACT(Metadata!E684,"not collected"),EXACT(Metadata!E684,"not provided"),EXACT(Metadata!E684,"restricted access"))),AND(IF(Metadata!E684="",FALSE,TRUE),AND(AND(IFERROR(INT(LEFT(Metadata!E684,4))&gt;1900,FALSE),IFERROR(INT(LEFT(Metadata!E684,4))&lt;=YEAR(NOW()),FALSE)), OR(MID(Metadata!E684,5,1)="", AND(AND(MID(Metadata!E684,5,1)="-",IFERROR(INT(MID(Metadata!E684,6,1))&gt;=0,FALSE),IFERROR(INT(MID(Metadata!E684,6,1))&lt;=1,FALSE),NOT(MID(Metadata!E684,7,1)=""),IFERROR(INT(MID(Metadata!E684,6,2))&gt;=1,FALSE),IFERROR(INT(MID(Metadata!E684,6,2))&lt;=12,FALSE)), OR(MID(Metadata!E684,8,1)="", AND(AND(MID(Metadata!E684,8,1)="-",IFERROR(INT(MID(Metadata!E684,9,1))&gt;=0,FALSE),IFERROR(INT(MID(Metadata!E684,9,1))&lt;=3,FALSE),NOT(MID(Metadata!E684,10,1)=""),IFERROR(INT(MID(Metadata!E684,9,2))&gt;=1,FALSE),IFERROR(INT(MID(Metadata!E684,9,2))&lt;=31,FALSE)), OR(MID(Metadata!E684,11,1)="", AND(AND(MID(Metadata!E684,11,1)=" ",IFERROR(INT(MID(Metadata!E684,12,1))&gt;=0,FALSE),IFERROR(INT(MID(Metadata!E684,12,1))&lt;=2,FALSE),NOT(MID(Metadata!E684,13,1)=""),IFERROR(INT(MID(Metadata!E684,12,2))&gt;=0,FALSE),IFERROR(INT(MID(Metadata!E684,12,2))&lt;=23,FALSE)), OR(MID(Metadata!E684,14,1)="", AND(AND(MID(Metadata!E684,14,1)=":",IFERROR(INT(MID(Metadata!E684,15,1))&gt;=0,FALSE),IFERROR(INT(MID(Metadata!E684,15,1))&lt;=5,FALSE),NOT(MID(Metadata!E684,16,1)=""),IFERROR(INT(MID(Metadata!E684,15,2))&gt;=0,FALSE),IFERROR(INT(MID(Metadata!E684,15,2))&lt;=59,FALSE)), OR(MID(Metadata!E684,17,1)="", AND(AND(MID(Metadata!E684,17,1)=":",IFERROR(INT(MID(Metadata!E684,18,1))&gt;=0,FALSE),IFERROR(INT(MID(Metadata!E684,18,1))&lt;=5,FALSE),NOT(MID(Metadata!E684,19,1)=""),IFERROR(INT(MID(Metadata!E684,18,2))&gt;=0,FALSE),IFERROR(INT(MID(Metadata!E684,18,2))&lt;=59,FALSE)), LEN(Metadata!E684)&lt;=19)))))))))))))</f>
        <v>0</v>
      </c>
      <c r="AS684" t="b">
        <f>IF(Metadata!F684="",FALSE,TRUE)</f>
        <v>0</v>
      </c>
      <c r="AT684" t="b">
        <f>OR(AND(IF(Metadata!G684="",FALSE,TRUE),OR(EXACT(Metadata!G684,"not collected"),EXACT(Metadata!G684,"not provided"))),AND(IF(Metadata!G684="",FALSE,TRUE),OR(EXACT(Metadata!G684,"TRUE"),EXACT(Metadata!G684,"FALSE"))))</f>
        <v>0</v>
      </c>
      <c r="AU684" t="b">
        <f>OR(AND(IF(Metadata!H684="",FALSE,TRUE),OR(EXACT(Metadata!H684,"not collected"),EXACT(Metadata!H684,"not provided"),EXACT(Metadata!H684,"restricted access"))),AND(IF(Metadata!H684="",FALSE,ISNUMBER(VALUE(Metadata!H684))),Metadata!H684&gt;=-413))</f>
        <v>0</v>
      </c>
      <c r="AV684" t="b">
        <f>AND(IF(Metadata!I684="",FALSE,TRUE),EXACT(Metadata!I684,"meters"))</f>
        <v>0</v>
      </c>
      <c r="AW684" t="b">
        <f>AND(IF(Metadata!J684="",FALSE,TRUE),EXACT(Metadata!J684,"free-living"))</f>
        <v>0</v>
      </c>
      <c r="AX684" t="b">
        <f>AND(IF(Metadata!K684="",FALSE,TRUE),OR(EXACT(Metadata!K684,"saline"),EXACT(Metadata!K684,"non-saline")))</f>
        <v>0</v>
      </c>
      <c r="AY684" t="b">
        <f>AND(IF(Metadata!L684="",FALSE,TRUE),OR(EXACT(Metadata!L684,"sub-surface (non-saline)"),EXACT(Metadata!L684,"surface (non-saline)"),EXACT(Metadata!L684,"water (non-saline)"),EXACT(Metadata!L684,"soil (non-saline)"),EXACT(Metadata!L684,"aerosol (non-saline)"),EXACT(Metadata!L684,"sediment (non-saline)"),EXACT(Metadata!L684,"surface (saline)"),EXACT(Metadata!L684,"water (saline)"),EXACT(Metadata!L684,"hypersaline (saline)"),EXACT(Metadata!L684,"aerosol (saline)"),EXACT(Metadata!L684,"sediment (saline)")))</f>
        <v>0</v>
      </c>
      <c r="AZ684" t="b">
        <f>IF(Metadata!M684="",FALSE,TRUE)</f>
        <v>0</v>
      </c>
      <c r="BA684" t="b">
        <f>IF(Metadata!N684="",FALSE,TRUE)</f>
        <v>0</v>
      </c>
      <c r="BB684" t="b">
        <f>IF(Metadata!O684="",FALSE,TRUE)</f>
        <v>0</v>
      </c>
      <c r="BC684" t="b">
        <f>AND(IF(Metadata!P684="",FALSE,TRUE),OR(EXACT(Metadata!P684,"air"),EXACT(Metadata!P684,"microbial mat/biofilm"),EXACT(Metadata!P684,"misc environment"),EXACT(Metadata!P684,"sediment"),EXACT(Metadata!P684,"soil"),EXACT(Metadata!P684,"wastewater/sludge"),EXACT(Metadata!P684,"water")))</f>
        <v>0</v>
      </c>
      <c r="BD684" t="b">
        <f>IF(Metadata!Q684="",FALSE,TRUE)</f>
        <v>0</v>
      </c>
      <c r="BE684" t="b">
        <f>IF(Metadata!R684="",FALSE,TRUE)</f>
        <v>0</v>
      </c>
      <c r="BF684" t="b">
        <f>OR(AND(IF(Metadata!S684="",FALSE,TRUE),OR(EXACT(Metadata!S684,"not collected"),EXACT(Metadata!S684,"not provided"),EXACT(Metadata!S684,"restricted access"))),AND(IF(Metadata!S684="",FALSE,ISNUMBER(VALUE(Metadata!S684))),Metadata!S684&gt;=-90,Metadata!S684&lt;=90))</f>
        <v>0</v>
      </c>
      <c r="BG684" t="b">
        <f>AND(IF(Metadata!T684="",FALSE,TRUE),EXACT(Metadata!T684,"Decimal degrees"))</f>
        <v>0</v>
      </c>
      <c r="BH684" t="b">
        <f>OR(AND(IF(Metadata!U684="",FALSE,TRUE),OR(EXACT(Metadata!U684,"not applicable"),EXACT(Metadata!U684,"not collected"))),IF(Metadata!U684="",FALSE,TRUE))</f>
        <v>0</v>
      </c>
      <c r="BI684" t="b">
        <f>OR(AND(IF(Metadata!V684="",FALSE,TRUE),OR(EXACT(Metadata!V684,"not collected"),EXACT(Metadata!V684,"not provided"),EXACT(Metadata!V684,"restricted access"))),AND(IF(Metadata!V684="",FALSE,ISNUMBER(VALUE(Metadata!V684))),Metadata!V684&gt;=-180,Metadata!V684&lt;=180))</f>
        <v>0</v>
      </c>
      <c r="BJ684" t="b">
        <f>AND(IF(Metadata!W684="",FALSE,TRUE),EXACT(Metadata!W684,"Decimal degrees"))</f>
        <v>0</v>
      </c>
      <c r="BK684" t="b">
        <f>IF(Metadata!X684="",FALSE,TRUE)</f>
        <v>0</v>
      </c>
      <c r="BL684" t="b">
        <f>OR(AND(IF(Metadata!Y684="",FALSE,TRUE),OR(EXACT(Metadata!Y684,"not collected"),EXACT(Metadata!Y684,"not provided"),EXACT(Metadata!Y684,"restricted access"))),AND(IF(Metadata!Y684="",FALSE,TRUE),OR(EXACT(Metadata!Y684,"TRUE"),EXACT(Metadata!Y684,"FALSE"))))</f>
        <v>0</v>
      </c>
      <c r="BM684" t="b">
        <f>OR(AND(IF(Metadata!Z684="",FALSE,TRUE),EXACT(Metadata!Z684,"not applicable")),AND(IF(Metadata!Z684="",FALSE,TRUE),OR(EXACT(Metadata!Z684,"beer"),EXACT(Metadata!Z684,"cheese"),EXACT(Metadata!Z684,"fresh water"),EXACT(Metadata!Z684,"marine sediment"),EXACT(Metadata!Z684,"sea water"),EXACT(Metadata!Z684,"sediment"),EXACT(Metadata!Z684,"soil"),EXACT(Metadata!Z684,"waste water"))))</f>
        <v>0</v>
      </c>
      <c r="BN684" t="b">
        <f>AND(IF(Metadata!AA684="",FALSE,TRUE),EXACT(Metadata!AA684,"metagenome"))</f>
        <v>0</v>
      </c>
      <c r="BO684" t="b">
        <f>AND(IF(Metadata!AB684="",FALSE,TRUE),EXACT(Metadata!AB684,"256318"))</f>
        <v>0</v>
      </c>
      <c r="BP684" t="b">
        <f>IF(Metadata!AC684="",FALSE,TRUE)</f>
        <v>0</v>
      </c>
      <c r="BQ684" t="b">
        <f>IF(Metadata!AD684="",FALSE,TRUE)</f>
        <v>0</v>
      </c>
    </row>
    <row r="685" spans="1:69" x14ac:dyDescent="0.2">
      <c r="A685" s="4" t="e">
        <f ca="1">IF(B685=" "," ",HYPERLINK(CONCATENATE("#metadata!",ADDRESS(INDEX($AJ$2:$AJ$1001,MATCH(ROWS($AH$2:AH685),$AH$2:$AH$1001,0),0),2)),INDEX($AM$2:$AM$1001,MATCH(ROWS($AH$2:AH685),$AH$2:$AH$1001,0),0)))</f>
        <v>#N/A</v>
      </c>
      <c r="B685" s="5" t="e">
        <f ca="1">IF(OR(INDEX($AI$2:$AI$1001,MATCH(ROWS($AH$2:AH685),$AH$2:$AH$1001,0),1)&gt;=100000,INDEX($AO$1005:$BQ$1005,1,MATCH(COLUMNS($AO$1006:AO1006),$AO$1006:$BQ$1006,0))&gt;=100000), " ",IF(INDEX($AO$2:$BQ$1001,MATCH(ROWS($AH$2:AH685),$AH$2:$AH$1001,0),MATCH(COLUMNS($AO$1006:AO1006),$AO$1006:$BQ$1006,0)), HYPERLINK("#",""), HYPERLINK(CONCATENATE("#Metadata!", ADDRESS(INDEX($AJ$2:$AJ$1001,MATCH(ROWS($AH$2:AH685),$AH$2:$AH$1001,0),0), INDEX($AO$1004:$BQ$1004,1,MATCH(COLUMNS($AO$1006:AO1006),$AO$1006:$BQ$1006,0)))),"Fix")))</f>
        <v>#N/A</v>
      </c>
      <c r="C685" s="5" t="e">
        <f ca="1">IF(OR(INDEX($AI$2:$AI$1001,MATCH(ROWS($AH$2:AH685),$AH$2:$AH$1001,0),1)&gt;=100000,INDEX($AO$1005:$BQ$1005,1,MATCH(COLUMNS($AO$1006:AP1006),$AO$1006:$BQ$1006,0))&gt;=100000), " ",IF(INDEX($AO$2:$BQ$1001,MATCH(ROWS($AH$2:AH685),$AH$2:$AH$1001,0),MATCH(COLUMNS($AO$1006:AP1006),$AO$1006:$BQ$1006,0)), HYPERLINK("#",""), HYPERLINK(CONCATENATE("#Metadata!", ADDRESS(INDEX($AJ$2:$AJ$1001,MATCH(ROWS($AH$2:AH685),$AH$2:$AH$1001,0),0), INDEX($AO$1004:$BQ$1004,1,MATCH(COLUMNS($AO$1006:AP1006),$AO$1006:$BQ$1006,0)))),"Fix")))</f>
        <v>#N/A</v>
      </c>
      <c r="D685" s="5" t="e">
        <f ca="1">IF(OR(INDEX($AI$2:$AI$1001,MATCH(ROWS($AH$2:AH685),$AH$2:$AH$1001,0),1)&gt;=100000,INDEX($AO$1005:$BQ$1005,1,MATCH(COLUMNS($AO$1006:AQ1006),$AO$1006:$BQ$1006,0))&gt;=100000), " ",IF(INDEX($AO$2:$BQ$1001,MATCH(ROWS($AH$2:AH685),$AH$2:$AH$1001,0),MATCH(COLUMNS($AO$1006:AQ1006),$AO$1006:$BQ$1006,0)), HYPERLINK("#",""), HYPERLINK(CONCATENATE("#Metadata!", ADDRESS(INDEX($AJ$2:$AJ$1001,MATCH(ROWS($AH$2:AH685),$AH$2:$AH$1001,0),0), INDEX($AO$1004:$BQ$1004,1,MATCH(COLUMNS($AO$1006:AQ1006),$AO$1006:$BQ$1006,0)))),"Fix")))</f>
        <v>#N/A</v>
      </c>
      <c r="E685" s="5" t="e">
        <f ca="1">IF(OR(INDEX($AI$2:$AI$1001,MATCH(ROWS($AH$2:AH685),$AH$2:$AH$1001,0),1)&gt;=100000,INDEX($AO$1005:$BQ$1005,1,MATCH(COLUMNS($AO$1006:AR1006),$AO$1006:$BQ$1006,0))&gt;=100000), " ",IF(INDEX($AO$2:$BQ$1001,MATCH(ROWS($AH$2:AH685),$AH$2:$AH$1001,0),MATCH(COLUMNS($AO$1006:AR1006),$AO$1006:$BQ$1006,0)), HYPERLINK("#",""), HYPERLINK(CONCATENATE("#Metadata!", ADDRESS(INDEX($AJ$2:$AJ$1001,MATCH(ROWS($AH$2:AH685),$AH$2:$AH$1001,0),0), INDEX($AO$1004:$BQ$1004,1,MATCH(COLUMNS($AO$1006:AR1006),$AO$1006:$BQ$1006,0)))),"Fix")))</f>
        <v>#N/A</v>
      </c>
      <c r="F685" s="5" t="e">
        <f ca="1">IF(OR(INDEX($AI$2:$AI$1001,MATCH(ROWS($AH$2:AH685),$AH$2:$AH$1001,0),1)&gt;=100000,INDEX($AO$1005:$BQ$1005,1,MATCH(COLUMNS($AO$1006:AS1006),$AO$1006:$BQ$1006,0))&gt;=100000), " ",IF(INDEX($AO$2:$BQ$1001,MATCH(ROWS($AH$2:AH685),$AH$2:$AH$1001,0),MATCH(COLUMNS($AO$1006:AS1006),$AO$1006:$BQ$1006,0)), HYPERLINK("#",""), HYPERLINK(CONCATENATE("#Metadata!", ADDRESS(INDEX($AJ$2:$AJ$1001,MATCH(ROWS($AH$2:AH685),$AH$2:$AH$1001,0),0), INDEX($AO$1004:$BQ$1004,1,MATCH(COLUMNS($AO$1006:AS1006),$AO$1006:$BQ$1006,0)))),"Fix")))</f>
        <v>#N/A</v>
      </c>
      <c r="G685" s="5" t="e">
        <f ca="1">IF(OR(INDEX($AI$2:$AI$1001,MATCH(ROWS($AH$2:AH685),$AH$2:$AH$1001,0),1)&gt;=100000,INDEX($AO$1005:$BQ$1005,1,MATCH(COLUMNS($AO$1006:AT1006),$AO$1006:$BQ$1006,0))&gt;=100000), " ",IF(INDEX($AO$2:$BQ$1001,MATCH(ROWS($AH$2:AH685),$AH$2:$AH$1001,0),MATCH(COLUMNS($AO$1006:AT1006),$AO$1006:$BQ$1006,0)), HYPERLINK("#",""), HYPERLINK(CONCATENATE("#Metadata!", ADDRESS(INDEX($AJ$2:$AJ$1001,MATCH(ROWS($AH$2:AH685),$AH$2:$AH$1001,0),0), INDEX($AO$1004:$BQ$1004,1,MATCH(COLUMNS($AO$1006:AT1006),$AO$1006:$BQ$1006,0)))),"Fix")))</f>
        <v>#N/A</v>
      </c>
      <c r="H685" s="5" t="e">
        <f ca="1">IF(OR(INDEX($AI$2:$AI$1001,MATCH(ROWS($AH$2:AH685),$AH$2:$AH$1001,0),1)&gt;=100000,INDEX($AO$1005:$BQ$1005,1,MATCH(COLUMNS($AO$1006:AU1006),$AO$1006:$BQ$1006,0))&gt;=100000), " ",IF(INDEX($AO$2:$BQ$1001,MATCH(ROWS($AH$2:AH685),$AH$2:$AH$1001,0),MATCH(COLUMNS($AO$1006:AU1006),$AO$1006:$BQ$1006,0)), HYPERLINK("#",""), HYPERLINK(CONCATENATE("#Metadata!", ADDRESS(INDEX($AJ$2:$AJ$1001,MATCH(ROWS($AH$2:AH685),$AH$2:$AH$1001,0),0), INDEX($AO$1004:$BQ$1004,1,MATCH(COLUMNS($AO$1006:AU1006),$AO$1006:$BQ$1006,0)))),"Fix")))</f>
        <v>#N/A</v>
      </c>
      <c r="I685" s="5" t="e">
        <f ca="1">IF(OR(INDEX($AI$2:$AI$1001,MATCH(ROWS($AH$2:AH685),$AH$2:$AH$1001,0),1)&gt;=100000,INDEX($AO$1005:$BQ$1005,1,MATCH(COLUMNS($AO$1006:AV1006),$AO$1006:$BQ$1006,0))&gt;=100000), " ",IF(INDEX($AO$2:$BQ$1001,MATCH(ROWS($AH$2:AH685),$AH$2:$AH$1001,0),MATCH(COLUMNS($AO$1006:AV1006),$AO$1006:$BQ$1006,0)), HYPERLINK("#",""), HYPERLINK(CONCATENATE("#Metadata!", ADDRESS(INDEX($AJ$2:$AJ$1001,MATCH(ROWS($AH$2:AH685),$AH$2:$AH$1001,0),0), INDEX($AO$1004:$BQ$1004,1,MATCH(COLUMNS($AO$1006:AV1006),$AO$1006:$BQ$1006,0)))),"Fix")))</f>
        <v>#N/A</v>
      </c>
      <c r="J685" s="5" t="e">
        <f ca="1">IF(OR(INDEX($AI$2:$AI$1001,MATCH(ROWS($AH$2:AH685),$AH$2:$AH$1001,0),1)&gt;=100000,INDEX($AO$1005:$BQ$1005,1,MATCH(COLUMNS($AO$1006:AW1006),$AO$1006:$BQ$1006,0))&gt;=100000), " ",IF(INDEX($AO$2:$BQ$1001,MATCH(ROWS($AH$2:AH685),$AH$2:$AH$1001,0),MATCH(COLUMNS($AO$1006:AW1006),$AO$1006:$BQ$1006,0)), HYPERLINK("#",""), HYPERLINK(CONCATENATE("#Metadata!", ADDRESS(INDEX($AJ$2:$AJ$1001,MATCH(ROWS($AH$2:AH685),$AH$2:$AH$1001,0),0), INDEX($AO$1004:$BQ$1004,1,MATCH(COLUMNS($AO$1006:AW1006),$AO$1006:$BQ$1006,0)))),"Fix")))</f>
        <v>#N/A</v>
      </c>
      <c r="K685" s="5" t="e">
        <f ca="1">IF(OR(INDEX($AI$2:$AI$1001,MATCH(ROWS($AH$2:AH685),$AH$2:$AH$1001,0),1)&gt;=100000,INDEX($AO$1005:$BQ$1005,1,MATCH(COLUMNS($AO$1006:AX1006),$AO$1006:$BQ$1006,0))&gt;=100000), " ",IF(INDEX($AO$2:$BQ$1001,MATCH(ROWS($AH$2:AH685),$AH$2:$AH$1001,0),MATCH(COLUMNS($AO$1006:AX1006),$AO$1006:$BQ$1006,0)), HYPERLINK("#",""), HYPERLINK(CONCATENATE("#Metadata!", ADDRESS(INDEX($AJ$2:$AJ$1001,MATCH(ROWS($AH$2:AH685),$AH$2:$AH$1001,0),0), INDEX($AO$1004:$BQ$1004,1,MATCH(COLUMNS($AO$1006:AX1006),$AO$1006:$BQ$1006,0)))),"Fix")))</f>
        <v>#N/A</v>
      </c>
      <c r="L685" s="5" t="e">
        <f ca="1">IF(OR(INDEX($AI$2:$AI$1001,MATCH(ROWS($AH$2:AH685),$AH$2:$AH$1001,0),1)&gt;=100000,INDEX($AO$1005:$BQ$1005,1,MATCH(COLUMNS($AO$1006:AY1006),$AO$1006:$BQ$1006,0))&gt;=100000), " ",IF(INDEX($AO$2:$BQ$1001,MATCH(ROWS($AH$2:AH685),$AH$2:$AH$1001,0),MATCH(COLUMNS($AO$1006:AY1006),$AO$1006:$BQ$1006,0)), HYPERLINK("#",""), HYPERLINK(CONCATENATE("#Metadata!", ADDRESS(INDEX($AJ$2:$AJ$1001,MATCH(ROWS($AH$2:AH685),$AH$2:$AH$1001,0),0), INDEX($AO$1004:$BQ$1004,1,MATCH(COLUMNS($AO$1006:AY1006),$AO$1006:$BQ$1006,0)))),"Fix")))</f>
        <v>#N/A</v>
      </c>
      <c r="M685" s="5" t="e">
        <f ca="1">IF(OR(INDEX($AI$2:$AI$1001,MATCH(ROWS($AH$2:AH685),$AH$2:$AH$1001,0),1)&gt;=100000,INDEX($AO$1005:$BQ$1005,1,MATCH(COLUMNS($AO$1006:AZ1006),$AO$1006:$BQ$1006,0))&gt;=100000), " ",IF(INDEX($AO$2:$BQ$1001,MATCH(ROWS($AH$2:AH685),$AH$2:$AH$1001,0),MATCH(COLUMNS($AO$1006:AZ1006),$AO$1006:$BQ$1006,0)), HYPERLINK("#",""), HYPERLINK(CONCATENATE("#Metadata!", ADDRESS(INDEX($AJ$2:$AJ$1001,MATCH(ROWS($AH$2:AH685),$AH$2:$AH$1001,0),0), INDEX($AO$1004:$BQ$1004,1,MATCH(COLUMNS($AO$1006:AZ1006),$AO$1006:$BQ$1006,0)))),"Fix")))</f>
        <v>#N/A</v>
      </c>
      <c r="N685" s="5" t="e">
        <f ca="1">IF(OR(INDEX($AI$2:$AI$1001,MATCH(ROWS($AH$2:AH685),$AH$2:$AH$1001,0),1)&gt;=100000,INDEX($AO$1005:$BQ$1005,1,MATCH(COLUMNS($AO$1006:BA1006),$AO$1006:$BQ$1006,0))&gt;=100000), " ",IF(INDEX($AO$2:$BQ$1001,MATCH(ROWS($AH$2:AH685),$AH$2:$AH$1001,0),MATCH(COLUMNS($AO$1006:BA1006),$AO$1006:$BQ$1006,0)), HYPERLINK("#",""), HYPERLINK(CONCATENATE("#Metadata!", ADDRESS(INDEX($AJ$2:$AJ$1001,MATCH(ROWS($AH$2:AH685),$AH$2:$AH$1001,0),0), INDEX($AO$1004:$BQ$1004,1,MATCH(COLUMNS($AO$1006:BA1006),$AO$1006:$BQ$1006,0)))),"Fix")))</f>
        <v>#N/A</v>
      </c>
      <c r="O685" s="5" t="e">
        <f ca="1">IF(OR(INDEX($AI$2:$AI$1001,MATCH(ROWS($AH$2:AH685),$AH$2:$AH$1001,0),1)&gt;=100000,INDEX($AO$1005:$BQ$1005,1,MATCH(COLUMNS($AO$1006:BB1006),$AO$1006:$BQ$1006,0))&gt;=100000), " ",IF(INDEX($AO$2:$BQ$1001,MATCH(ROWS($AH$2:AH685),$AH$2:$AH$1001,0),MATCH(COLUMNS($AO$1006:BB1006),$AO$1006:$BQ$1006,0)), HYPERLINK("#",""), HYPERLINK(CONCATENATE("#Metadata!", ADDRESS(INDEX($AJ$2:$AJ$1001,MATCH(ROWS($AH$2:AH685),$AH$2:$AH$1001,0),0), INDEX($AO$1004:$BQ$1004,1,MATCH(COLUMNS($AO$1006:BB1006),$AO$1006:$BQ$1006,0)))),"Fix")))</f>
        <v>#N/A</v>
      </c>
      <c r="P685" s="5" t="e">
        <f ca="1">IF(OR(INDEX($AI$2:$AI$1001,MATCH(ROWS($AH$2:AH685),$AH$2:$AH$1001,0),1)&gt;=100000,INDEX($AO$1005:$BQ$1005,1,MATCH(COLUMNS($AO$1006:BC1006),$AO$1006:$BQ$1006,0))&gt;=100000), " ",IF(INDEX($AO$2:$BQ$1001,MATCH(ROWS($AH$2:AH685),$AH$2:$AH$1001,0),MATCH(COLUMNS($AO$1006:BC1006),$AO$1006:$BQ$1006,0)), HYPERLINK("#",""), HYPERLINK(CONCATENATE("#Metadata!", ADDRESS(INDEX($AJ$2:$AJ$1001,MATCH(ROWS($AH$2:AH685),$AH$2:$AH$1001,0),0), INDEX($AO$1004:$BQ$1004,1,MATCH(COLUMNS($AO$1006:BC1006),$AO$1006:$BQ$1006,0)))),"Fix")))</f>
        <v>#N/A</v>
      </c>
      <c r="Q685" s="5" t="e">
        <f ca="1">IF(OR(INDEX($AI$2:$AI$1001,MATCH(ROWS($AH$2:AH685),$AH$2:$AH$1001,0),1)&gt;=100000,INDEX($AO$1005:$BQ$1005,1,MATCH(COLUMNS($AO$1006:BD1006),$AO$1006:$BQ$1006,0))&gt;=100000), " ",IF(INDEX($AO$2:$BQ$1001,MATCH(ROWS($AH$2:AH685),$AH$2:$AH$1001,0),MATCH(COLUMNS($AO$1006:BD1006),$AO$1006:$BQ$1006,0)), HYPERLINK("#",""), HYPERLINK(CONCATENATE("#Metadata!", ADDRESS(INDEX($AJ$2:$AJ$1001,MATCH(ROWS($AH$2:AH685),$AH$2:$AH$1001,0),0), INDEX($AO$1004:$BQ$1004,1,MATCH(COLUMNS($AO$1006:BD1006),$AO$1006:$BQ$1006,0)))),"Fix")))</f>
        <v>#N/A</v>
      </c>
      <c r="R685" s="5" t="e">
        <f ca="1">IF(OR(INDEX($AI$2:$AI$1001,MATCH(ROWS($AH$2:AH685),$AH$2:$AH$1001,0),1)&gt;=100000,INDEX($AO$1005:$BQ$1005,1,MATCH(COLUMNS($AO$1006:BE1006),$AO$1006:$BQ$1006,0))&gt;=100000), " ",IF(INDEX($AO$2:$BQ$1001,MATCH(ROWS($AH$2:AH685),$AH$2:$AH$1001,0),MATCH(COLUMNS($AO$1006:BE1006),$AO$1006:$BQ$1006,0)), HYPERLINK("#",""), HYPERLINK(CONCATENATE("#Metadata!", ADDRESS(INDEX($AJ$2:$AJ$1001,MATCH(ROWS($AH$2:AH685),$AH$2:$AH$1001,0),0), INDEX($AO$1004:$BQ$1004,1,MATCH(COLUMNS($AO$1006:BE1006),$AO$1006:$BQ$1006,0)))),"Fix")))</f>
        <v>#N/A</v>
      </c>
      <c r="S685" s="5" t="e">
        <f ca="1">IF(OR(INDEX($AI$2:$AI$1001,MATCH(ROWS($AH$2:AH685),$AH$2:$AH$1001,0),1)&gt;=100000,INDEX($AO$1005:$BQ$1005,1,MATCH(COLUMNS($AO$1006:BF1006),$AO$1006:$BQ$1006,0))&gt;=100000), " ",IF(INDEX($AO$2:$BQ$1001,MATCH(ROWS($AH$2:AH685),$AH$2:$AH$1001,0),MATCH(COLUMNS($AO$1006:BF1006),$AO$1006:$BQ$1006,0)), HYPERLINK("#",""), HYPERLINK(CONCATENATE("#Metadata!", ADDRESS(INDEX($AJ$2:$AJ$1001,MATCH(ROWS($AH$2:AH685),$AH$2:$AH$1001,0),0), INDEX($AO$1004:$BQ$1004,1,MATCH(COLUMNS($AO$1006:BF1006),$AO$1006:$BQ$1006,0)))),"Fix")))</f>
        <v>#N/A</v>
      </c>
      <c r="T685" s="5" t="e">
        <f ca="1">IF(OR(INDEX($AI$2:$AI$1001,MATCH(ROWS($AH$2:AH685),$AH$2:$AH$1001,0),1)&gt;=100000,INDEX($AO$1005:$BQ$1005,1,MATCH(COLUMNS($AO$1006:BG1006),$AO$1006:$BQ$1006,0))&gt;=100000), " ",IF(INDEX($AO$2:$BQ$1001,MATCH(ROWS($AH$2:AH685),$AH$2:$AH$1001,0),MATCH(COLUMNS($AO$1006:BG1006),$AO$1006:$BQ$1006,0)), HYPERLINK("#",""), HYPERLINK(CONCATENATE("#Metadata!", ADDRESS(INDEX($AJ$2:$AJ$1001,MATCH(ROWS($AH$2:AH685),$AH$2:$AH$1001,0),0), INDEX($AO$1004:$BQ$1004,1,MATCH(COLUMNS($AO$1006:BG1006),$AO$1006:$BQ$1006,0)))),"Fix")))</f>
        <v>#N/A</v>
      </c>
      <c r="U685" s="5" t="e">
        <f ca="1">IF(OR(INDEX($AI$2:$AI$1001,MATCH(ROWS($AH$2:AH685),$AH$2:$AH$1001,0),1)&gt;=100000,INDEX($AO$1005:$BQ$1005,1,MATCH(COLUMNS($AO$1006:BH1006),$AO$1006:$BQ$1006,0))&gt;=100000), " ",IF(INDEX($AO$2:$BQ$1001,MATCH(ROWS($AH$2:AH685),$AH$2:$AH$1001,0),MATCH(COLUMNS($AO$1006:BH1006),$AO$1006:$BQ$1006,0)), HYPERLINK("#",""), HYPERLINK(CONCATENATE("#Metadata!", ADDRESS(INDEX($AJ$2:$AJ$1001,MATCH(ROWS($AH$2:AH685),$AH$2:$AH$1001,0),0), INDEX($AO$1004:$BQ$1004,1,MATCH(COLUMNS($AO$1006:BH1006),$AO$1006:$BQ$1006,0)))),"Fix")))</f>
        <v>#N/A</v>
      </c>
      <c r="V685" s="5" t="e">
        <f ca="1">IF(OR(INDEX($AI$2:$AI$1001,MATCH(ROWS($AH$2:AH685),$AH$2:$AH$1001,0),1)&gt;=100000,INDEX($AO$1005:$BQ$1005,1,MATCH(COLUMNS($AO$1006:BI1006),$AO$1006:$BQ$1006,0))&gt;=100000), " ",IF(INDEX($AO$2:$BQ$1001,MATCH(ROWS($AH$2:AH685),$AH$2:$AH$1001,0),MATCH(COLUMNS($AO$1006:BI1006),$AO$1006:$BQ$1006,0)), HYPERLINK("#",""), HYPERLINK(CONCATENATE("#Metadata!", ADDRESS(INDEX($AJ$2:$AJ$1001,MATCH(ROWS($AH$2:AH685),$AH$2:$AH$1001,0),0), INDEX($AO$1004:$BQ$1004,1,MATCH(COLUMNS($AO$1006:BI1006),$AO$1006:$BQ$1006,0)))),"Fix")))</f>
        <v>#N/A</v>
      </c>
      <c r="W685" s="5" t="e">
        <f ca="1">IF(OR(INDEX($AI$2:$AI$1001,MATCH(ROWS($AH$2:AH685),$AH$2:$AH$1001,0),1)&gt;=100000,INDEX($AO$1005:$BQ$1005,1,MATCH(COLUMNS($AO$1006:BJ1006),$AO$1006:$BQ$1006,0))&gt;=100000), " ",IF(INDEX($AO$2:$BQ$1001,MATCH(ROWS($AH$2:AH685),$AH$2:$AH$1001,0),MATCH(COLUMNS($AO$1006:BJ1006),$AO$1006:$BQ$1006,0)), HYPERLINK("#",""), HYPERLINK(CONCATENATE("#Metadata!", ADDRESS(INDEX($AJ$2:$AJ$1001,MATCH(ROWS($AH$2:AH685),$AH$2:$AH$1001,0),0), INDEX($AO$1004:$BQ$1004,1,MATCH(COLUMNS($AO$1006:BJ1006),$AO$1006:$BQ$1006,0)))),"Fix")))</f>
        <v>#N/A</v>
      </c>
      <c r="X685" s="5" t="e">
        <f ca="1">IF(OR(INDEX($AI$2:$AI$1001,MATCH(ROWS($AH$2:AH685),$AH$2:$AH$1001,0),1)&gt;=100000,INDEX($AO$1005:$BQ$1005,1,MATCH(COLUMNS($AO$1006:BK1006),$AO$1006:$BQ$1006,0))&gt;=100000), " ",IF(INDEX($AO$2:$BQ$1001,MATCH(ROWS($AH$2:AH685),$AH$2:$AH$1001,0),MATCH(COLUMNS($AO$1006:BK1006),$AO$1006:$BQ$1006,0)), HYPERLINK("#",""), HYPERLINK(CONCATENATE("#Metadata!", ADDRESS(INDEX($AJ$2:$AJ$1001,MATCH(ROWS($AH$2:AH685),$AH$2:$AH$1001,0),0), INDEX($AO$1004:$BQ$1004,1,MATCH(COLUMNS($AO$1006:BK1006),$AO$1006:$BQ$1006,0)))),"Fix")))</f>
        <v>#N/A</v>
      </c>
      <c r="Y685" s="5" t="e">
        <f ca="1">IF(OR(INDEX($AI$2:$AI$1001,MATCH(ROWS($AH$2:AH685),$AH$2:$AH$1001,0),1)&gt;=100000,INDEX($AO$1005:$BQ$1005,1,MATCH(COLUMNS($AO$1006:BL1006),$AO$1006:$BQ$1006,0))&gt;=100000), " ",IF(INDEX($AO$2:$BQ$1001,MATCH(ROWS($AH$2:AH685),$AH$2:$AH$1001,0),MATCH(COLUMNS($AO$1006:BL1006),$AO$1006:$BQ$1006,0)), HYPERLINK("#",""), HYPERLINK(CONCATENATE("#Metadata!", ADDRESS(INDEX($AJ$2:$AJ$1001,MATCH(ROWS($AH$2:AH685),$AH$2:$AH$1001,0),0), INDEX($AO$1004:$BQ$1004,1,MATCH(COLUMNS($AO$1006:BL1006),$AO$1006:$BQ$1006,0)))),"Fix")))</f>
        <v>#N/A</v>
      </c>
      <c r="Z685" s="5" t="e">
        <f ca="1">IF(OR(INDEX($AI$2:$AI$1001,MATCH(ROWS($AH$2:AH685),$AH$2:$AH$1001,0),1)&gt;=100000,INDEX($AO$1005:$BQ$1005,1,MATCH(COLUMNS($AO$1006:BM1006),$AO$1006:$BQ$1006,0))&gt;=100000), " ",IF(INDEX($AO$2:$BQ$1001,MATCH(ROWS($AH$2:AH685),$AH$2:$AH$1001,0),MATCH(COLUMNS($AO$1006:BM1006),$AO$1006:$BQ$1006,0)), HYPERLINK("#",""), HYPERLINK(CONCATENATE("#Metadata!", ADDRESS(INDEX($AJ$2:$AJ$1001,MATCH(ROWS($AH$2:AH685),$AH$2:$AH$1001,0),0), INDEX($AO$1004:$BQ$1004,1,MATCH(COLUMNS($AO$1006:BM1006),$AO$1006:$BQ$1006,0)))),"Fix")))</f>
        <v>#N/A</v>
      </c>
      <c r="AA685" s="5" t="e">
        <f ca="1">IF(OR(INDEX($AI$2:$AI$1001,MATCH(ROWS($AH$2:AH685),$AH$2:$AH$1001,0),1)&gt;=100000,INDEX($AO$1005:$BQ$1005,1,MATCH(COLUMNS($AO$1006:BN1006),$AO$1006:$BQ$1006,0))&gt;=100000), " ",IF(INDEX($AO$2:$BQ$1001,MATCH(ROWS($AH$2:AH685),$AH$2:$AH$1001,0),MATCH(COLUMNS($AO$1006:BN1006),$AO$1006:$BQ$1006,0)), HYPERLINK("#",""), HYPERLINK(CONCATENATE("#Metadata!", ADDRESS(INDEX($AJ$2:$AJ$1001,MATCH(ROWS($AH$2:AH685),$AH$2:$AH$1001,0),0), INDEX($AO$1004:$BQ$1004,1,MATCH(COLUMNS($AO$1006:BN1006),$AO$1006:$BQ$1006,0)))),"Fix")))</f>
        <v>#N/A</v>
      </c>
      <c r="AB685" s="5" t="e">
        <f ca="1">IF(OR(INDEX($AI$2:$AI$1001,MATCH(ROWS($AH$2:AH685),$AH$2:$AH$1001,0),1)&gt;=100000,INDEX($AO$1005:$BQ$1005,1,MATCH(COLUMNS($AO$1006:BO1006),$AO$1006:$BQ$1006,0))&gt;=100000), " ",IF(INDEX($AO$2:$BQ$1001,MATCH(ROWS($AH$2:AH685),$AH$2:$AH$1001,0),MATCH(COLUMNS($AO$1006:BO1006),$AO$1006:$BQ$1006,0)), HYPERLINK("#",""), HYPERLINK(CONCATENATE("#Metadata!", ADDRESS(INDEX($AJ$2:$AJ$1001,MATCH(ROWS($AH$2:AH685),$AH$2:$AH$1001,0),0), INDEX($AO$1004:$BQ$1004,1,MATCH(COLUMNS($AO$1006:BO1006),$AO$1006:$BQ$1006,0)))),"Fix")))</f>
        <v>#N/A</v>
      </c>
      <c r="AC685" s="5" t="e">
        <f ca="1">IF(OR(INDEX($AI$2:$AI$1001,MATCH(ROWS($AH$2:AH685),$AH$2:$AH$1001,0),1)&gt;=100000,INDEX($AO$1005:$BQ$1005,1,MATCH(COLUMNS($AO$1006:BP1006),$AO$1006:$BQ$1006,0))&gt;=100000), " ",IF(INDEX($AO$2:$BQ$1001,MATCH(ROWS($AH$2:AH685),$AH$2:$AH$1001,0),MATCH(COLUMNS($AO$1006:BP1006),$AO$1006:$BQ$1006,0)), HYPERLINK("#",""), HYPERLINK(CONCATENATE("#Metadata!", ADDRESS(INDEX($AJ$2:$AJ$1001,MATCH(ROWS($AH$2:AH685),$AH$2:$AH$1001,0),0), INDEX($AO$1004:$BQ$1004,1,MATCH(COLUMNS($AO$1006:BP1006),$AO$1006:$BQ$1006,0)))),"Fix")))</f>
        <v>#N/A</v>
      </c>
      <c r="AD685" s="5" t="e">
        <f ca="1">IF(OR(INDEX($AI$2:$AI$1001,MATCH(ROWS($AH$2:AH685),$AH$2:$AH$1001,0),1)&gt;=100000,INDEX($AO$1005:$BQ$1005,1,MATCH(COLUMNS($AO$1006:BQ1006),$AO$1006:$BQ$1006,0))&gt;=100000), " ",IF(INDEX($AO$2:$BQ$1001,MATCH(ROWS($AH$2:AH685),$AH$2:$AH$1001,0),MATCH(COLUMNS($AO$1006:BQ1006),$AO$1006:$BQ$1006,0)), HYPERLINK("#",""), HYPERLINK(CONCATENATE("#Metadata!", ADDRESS(INDEX($AJ$2:$AJ$1001,MATCH(ROWS($AH$2:AH685),$AH$2:$AH$1001,0),0), INDEX($AO$1004:$BQ$1004,1,MATCH(COLUMNS($AO$1006:BQ1006),$AO$1006:$BQ$1006,0)))),"Fix")))</f>
        <v>#REF!</v>
      </c>
      <c r="AH685">
        <f ca="1"/>
        <v>682</v>
      </c>
      <c r="AI685">
        <v>100685</v>
      </c>
      <c r="AJ685">
        <v>685</v>
      </c>
      <c r="AK685" t="b">
        <f t="shared" si="10"/>
        <v>1</v>
      </c>
      <c r="AL685" t="b">
        <f>COUNTBLANK(Metadata!B685:AD685)=COLUMNS(Metadata!B685:AD685)</f>
        <v>1</v>
      </c>
      <c r="AM685" t="str">
        <v/>
      </c>
      <c r="AO685" t="b">
        <f ca="1">AND(IF(Metadata!B685="",FALSE,TRUE),COUNTIF(Metadata!B:B, Metadata!B685) = 1,NOT(ISERROR(SUMPRODUCT(SEARCH(MID(Metadata!B685,ROW(INDIRECT("1:"&amp;LEN(Metadata!B685))), 1),"0123456789abcdefghijklmnopqrstuvwxyzABCDEFGHIJKLMNOPQRSTUVWXYZ.")))))</f>
        <v>0</v>
      </c>
      <c r="AP685" t="b">
        <f>IF(Metadata!C685="",FALSE,TRUE)</f>
        <v>0</v>
      </c>
      <c r="AQ685" t="b">
        <f>IF(Metadata!D685="",FALSE,TRUE)</f>
        <v>0</v>
      </c>
      <c r="AR685" t="b">
        <f ca="1">OR(AND(IF(Metadata!E685="",FALSE,TRUE),OR(EXACT(Metadata!E685,"not collected"),EXACT(Metadata!E685,"not provided"),EXACT(Metadata!E685,"restricted access"))),AND(IF(Metadata!E685="",FALSE,TRUE),AND(AND(IFERROR(INT(LEFT(Metadata!E685,4))&gt;1900,FALSE),IFERROR(INT(LEFT(Metadata!E685,4))&lt;=YEAR(NOW()),FALSE)), OR(MID(Metadata!E685,5,1)="", AND(AND(MID(Metadata!E685,5,1)="-",IFERROR(INT(MID(Metadata!E685,6,1))&gt;=0,FALSE),IFERROR(INT(MID(Metadata!E685,6,1))&lt;=1,FALSE),NOT(MID(Metadata!E685,7,1)=""),IFERROR(INT(MID(Metadata!E685,6,2))&gt;=1,FALSE),IFERROR(INT(MID(Metadata!E685,6,2))&lt;=12,FALSE)), OR(MID(Metadata!E685,8,1)="", AND(AND(MID(Metadata!E685,8,1)="-",IFERROR(INT(MID(Metadata!E685,9,1))&gt;=0,FALSE),IFERROR(INT(MID(Metadata!E685,9,1))&lt;=3,FALSE),NOT(MID(Metadata!E685,10,1)=""),IFERROR(INT(MID(Metadata!E685,9,2))&gt;=1,FALSE),IFERROR(INT(MID(Metadata!E685,9,2))&lt;=31,FALSE)), OR(MID(Metadata!E685,11,1)="", AND(AND(MID(Metadata!E685,11,1)=" ",IFERROR(INT(MID(Metadata!E685,12,1))&gt;=0,FALSE),IFERROR(INT(MID(Metadata!E685,12,1))&lt;=2,FALSE),NOT(MID(Metadata!E685,13,1)=""),IFERROR(INT(MID(Metadata!E685,12,2))&gt;=0,FALSE),IFERROR(INT(MID(Metadata!E685,12,2))&lt;=23,FALSE)), OR(MID(Metadata!E685,14,1)="", AND(AND(MID(Metadata!E685,14,1)=":",IFERROR(INT(MID(Metadata!E685,15,1))&gt;=0,FALSE),IFERROR(INT(MID(Metadata!E685,15,1))&lt;=5,FALSE),NOT(MID(Metadata!E685,16,1)=""),IFERROR(INT(MID(Metadata!E685,15,2))&gt;=0,FALSE),IFERROR(INT(MID(Metadata!E685,15,2))&lt;=59,FALSE)), OR(MID(Metadata!E685,17,1)="", AND(AND(MID(Metadata!E685,17,1)=":",IFERROR(INT(MID(Metadata!E685,18,1))&gt;=0,FALSE),IFERROR(INT(MID(Metadata!E685,18,1))&lt;=5,FALSE),NOT(MID(Metadata!E685,19,1)=""),IFERROR(INT(MID(Metadata!E685,18,2))&gt;=0,FALSE),IFERROR(INT(MID(Metadata!E685,18,2))&lt;=59,FALSE)), LEN(Metadata!E685)&lt;=19)))))))))))))</f>
        <v>0</v>
      </c>
      <c r="AS685" t="b">
        <f>IF(Metadata!F685="",FALSE,TRUE)</f>
        <v>0</v>
      </c>
      <c r="AT685" t="b">
        <f>OR(AND(IF(Metadata!G685="",FALSE,TRUE),OR(EXACT(Metadata!G685,"not collected"),EXACT(Metadata!G685,"not provided"))),AND(IF(Metadata!G685="",FALSE,TRUE),OR(EXACT(Metadata!G685,"TRUE"),EXACT(Metadata!G685,"FALSE"))))</f>
        <v>0</v>
      </c>
      <c r="AU685" t="b">
        <f>OR(AND(IF(Metadata!H685="",FALSE,TRUE),OR(EXACT(Metadata!H685,"not collected"),EXACT(Metadata!H685,"not provided"),EXACT(Metadata!H685,"restricted access"))),AND(IF(Metadata!H685="",FALSE,ISNUMBER(VALUE(Metadata!H685))),Metadata!H685&gt;=-413))</f>
        <v>0</v>
      </c>
      <c r="AV685" t="b">
        <f>AND(IF(Metadata!I685="",FALSE,TRUE),EXACT(Metadata!I685,"meters"))</f>
        <v>0</v>
      </c>
      <c r="AW685" t="b">
        <f>AND(IF(Metadata!J685="",FALSE,TRUE),EXACT(Metadata!J685,"free-living"))</f>
        <v>0</v>
      </c>
      <c r="AX685" t="b">
        <f>AND(IF(Metadata!K685="",FALSE,TRUE),OR(EXACT(Metadata!K685,"saline"),EXACT(Metadata!K685,"non-saline")))</f>
        <v>0</v>
      </c>
      <c r="AY685" t="b">
        <f>AND(IF(Metadata!L685="",FALSE,TRUE),OR(EXACT(Metadata!L685,"sub-surface (non-saline)"),EXACT(Metadata!L685,"surface (non-saline)"),EXACT(Metadata!L685,"water (non-saline)"),EXACT(Metadata!L685,"soil (non-saline)"),EXACT(Metadata!L685,"aerosol (non-saline)"),EXACT(Metadata!L685,"sediment (non-saline)"),EXACT(Metadata!L685,"surface (saline)"),EXACT(Metadata!L685,"water (saline)"),EXACT(Metadata!L685,"hypersaline (saline)"),EXACT(Metadata!L685,"aerosol (saline)"),EXACT(Metadata!L685,"sediment (saline)")))</f>
        <v>0</v>
      </c>
      <c r="AZ685" t="b">
        <f>IF(Metadata!M685="",FALSE,TRUE)</f>
        <v>0</v>
      </c>
      <c r="BA685" t="b">
        <f>IF(Metadata!N685="",FALSE,TRUE)</f>
        <v>0</v>
      </c>
      <c r="BB685" t="b">
        <f>IF(Metadata!O685="",FALSE,TRUE)</f>
        <v>0</v>
      </c>
      <c r="BC685" t="b">
        <f>AND(IF(Metadata!P685="",FALSE,TRUE),OR(EXACT(Metadata!P685,"air"),EXACT(Metadata!P685,"microbial mat/biofilm"),EXACT(Metadata!P685,"misc environment"),EXACT(Metadata!P685,"sediment"),EXACT(Metadata!P685,"soil"),EXACT(Metadata!P685,"wastewater/sludge"),EXACT(Metadata!P685,"water")))</f>
        <v>0</v>
      </c>
      <c r="BD685" t="b">
        <f>IF(Metadata!Q685="",FALSE,TRUE)</f>
        <v>0</v>
      </c>
      <c r="BE685" t="b">
        <f>IF(Metadata!R685="",FALSE,TRUE)</f>
        <v>0</v>
      </c>
      <c r="BF685" t="b">
        <f>OR(AND(IF(Metadata!S685="",FALSE,TRUE),OR(EXACT(Metadata!S685,"not collected"),EXACT(Metadata!S685,"not provided"),EXACT(Metadata!S685,"restricted access"))),AND(IF(Metadata!S685="",FALSE,ISNUMBER(VALUE(Metadata!S685))),Metadata!S685&gt;=-90,Metadata!S685&lt;=90))</f>
        <v>0</v>
      </c>
      <c r="BG685" t="b">
        <f>AND(IF(Metadata!T685="",FALSE,TRUE),EXACT(Metadata!T685,"Decimal degrees"))</f>
        <v>0</v>
      </c>
      <c r="BH685" t="b">
        <f>OR(AND(IF(Metadata!U685="",FALSE,TRUE),OR(EXACT(Metadata!U685,"not applicable"),EXACT(Metadata!U685,"not collected"))),IF(Metadata!U685="",FALSE,TRUE))</f>
        <v>0</v>
      </c>
      <c r="BI685" t="b">
        <f>OR(AND(IF(Metadata!V685="",FALSE,TRUE),OR(EXACT(Metadata!V685,"not collected"),EXACT(Metadata!V685,"not provided"),EXACT(Metadata!V685,"restricted access"))),AND(IF(Metadata!V685="",FALSE,ISNUMBER(VALUE(Metadata!V685))),Metadata!V685&gt;=-180,Metadata!V685&lt;=180))</f>
        <v>0</v>
      </c>
      <c r="BJ685" t="b">
        <f>AND(IF(Metadata!W685="",FALSE,TRUE),EXACT(Metadata!W685,"Decimal degrees"))</f>
        <v>0</v>
      </c>
      <c r="BK685" t="b">
        <f>IF(Metadata!X685="",FALSE,TRUE)</f>
        <v>0</v>
      </c>
      <c r="BL685" t="b">
        <f>OR(AND(IF(Metadata!Y685="",FALSE,TRUE),OR(EXACT(Metadata!Y685,"not collected"),EXACT(Metadata!Y685,"not provided"),EXACT(Metadata!Y685,"restricted access"))),AND(IF(Metadata!Y685="",FALSE,TRUE),OR(EXACT(Metadata!Y685,"TRUE"),EXACT(Metadata!Y685,"FALSE"))))</f>
        <v>0</v>
      </c>
      <c r="BM685" t="b">
        <f>OR(AND(IF(Metadata!Z685="",FALSE,TRUE),EXACT(Metadata!Z685,"not applicable")),AND(IF(Metadata!Z685="",FALSE,TRUE),OR(EXACT(Metadata!Z685,"beer"),EXACT(Metadata!Z685,"cheese"),EXACT(Metadata!Z685,"fresh water"),EXACT(Metadata!Z685,"marine sediment"),EXACT(Metadata!Z685,"sea water"),EXACT(Metadata!Z685,"sediment"),EXACT(Metadata!Z685,"soil"),EXACT(Metadata!Z685,"waste water"))))</f>
        <v>0</v>
      </c>
      <c r="BN685" t="b">
        <f>AND(IF(Metadata!AA685="",FALSE,TRUE),EXACT(Metadata!AA685,"metagenome"))</f>
        <v>0</v>
      </c>
      <c r="BO685" t="b">
        <f>AND(IF(Metadata!AB685="",FALSE,TRUE),EXACT(Metadata!AB685,"256318"))</f>
        <v>0</v>
      </c>
      <c r="BP685" t="b">
        <f>IF(Metadata!AC685="",FALSE,TRUE)</f>
        <v>0</v>
      </c>
      <c r="BQ685" t="b">
        <f>IF(Metadata!AD685="",FALSE,TRUE)</f>
        <v>0</v>
      </c>
    </row>
    <row r="686" spans="1:69" x14ac:dyDescent="0.2">
      <c r="A686" s="4" t="e">
        <f ca="1">IF(B686=" "," ",HYPERLINK(CONCATENATE("#metadata!",ADDRESS(INDEX($AJ$2:$AJ$1001,MATCH(ROWS($AH$2:AH686),$AH$2:$AH$1001,0),0),2)),INDEX($AM$2:$AM$1001,MATCH(ROWS($AH$2:AH686),$AH$2:$AH$1001,0),0)))</f>
        <v>#N/A</v>
      </c>
      <c r="B686" s="5" t="e">
        <f ca="1">IF(OR(INDEX($AI$2:$AI$1001,MATCH(ROWS($AH$2:AH686),$AH$2:$AH$1001,0),1)&gt;=100000,INDEX($AO$1005:$BQ$1005,1,MATCH(COLUMNS($AO$1006:AO1006),$AO$1006:$BQ$1006,0))&gt;=100000), " ",IF(INDEX($AO$2:$BQ$1001,MATCH(ROWS($AH$2:AH686),$AH$2:$AH$1001,0),MATCH(COLUMNS($AO$1006:AO1006),$AO$1006:$BQ$1006,0)), HYPERLINK("#",""), HYPERLINK(CONCATENATE("#Metadata!", ADDRESS(INDEX($AJ$2:$AJ$1001,MATCH(ROWS($AH$2:AH686),$AH$2:$AH$1001,0),0), INDEX($AO$1004:$BQ$1004,1,MATCH(COLUMNS($AO$1006:AO1006),$AO$1006:$BQ$1006,0)))),"Fix")))</f>
        <v>#N/A</v>
      </c>
      <c r="C686" s="5" t="e">
        <f ca="1">IF(OR(INDEX($AI$2:$AI$1001,MATCH(ROWS($AH$2:AH686),$AH$2:$AH$1001,0),1)&gt;=100000,INDEX($AO$1005:$BQ$1005,1,MATCH(COLUMNS($AO$1006:AP1006),$AO$1006:$BQ$1006,0))&gt;=100000), " ",IF(INDEX($AO$2:$BQ$1001,MATCH(ROWS($AH$2:AH686),$AH$2:$AH$1001,0),MATCH(COLUMNS($AO$1006:AP1006),$AO$1006:$BQ$1006,0)), HYPERLINK("#",""), HYPERLINK(CONCATENATE("#Metadata!", ADDRESS(INDEX($AJ$2:$AJ$1001,MATCH(ROWS($AH$2:AH686),$AH$2:$AH$1001,0),0), INDEX($AO$1004:$BQ$1004,1,MATCH(COLUMNS($AO$1006:AP1006),$AO$1006:$BQ$1006,0)))),"Fix")))</f>
        <v>#N/A</v>
      </c>
      <c r="D686" s="5" t="e">
        <f ca="1">IF(OR(INDEX($AI$2:$AI$1001,MATCH(ROWS($AH$2:AH686),$AH$2:$AH$1001,0),1)&gt;=100000,INDEX($AO$1005:$BQ$1005,1,MATCH(COLUMNS($AO$1006:AQ1006),$AO$1006:$BQ$1006,0))&gt;=100000), " ",IF(INDEX($AO$2:$BQ$1001,MATCH(ROWS($AH$2:AH686),$AH$2:$AH$1001,0),MATCH(COLUMNS($AO$1006:AQ1006),$AO$1006:$BQ$1006,0)), HYPERLINK("#",""), HYPERLINK(CONCATENATE("#Metadata!", ADDRESS(INDEX($AJ$2:$AJ$1001,MATCH(ROWS($AH$2:AH686),$AH$2:$AH$1001,0),0), INDEX($AO$1004:$BQ$1004,1,MATCH(COLUMNS($AO$1006:AQ1006),$AO$1006:$BQ$1006,0)))),"Fix")))</f>
        <v>#N/A</v>
      </c>
      <c r="E686" s="5" t="e">
        <f ca="1">IF(OR(INDEX($AI$2:$AI$1001,MATCH(ROWS($AH$2:AH686),$AH$2:$AH$1001,0),1)&gt;=100000,INDEX($AO$1005:$BQ$1005,1,MATCH(COLUMNS($AO$1006:AR1006),$AO$1006:$BQ$1006,0))&gt;=100000), " ",IF(INDEX($AO$2:$BQ$1001,MATCH(ROWS($AH$2:AH686),$AH$2:$AH$1001,0),MATCH(COLUMNS($AO$1006:AR1006),$AO$1006:$BQ$1006,0)), HYPERLINK("#",""), HYPERLINK(CONCATENATE("#Metadata!", ADDRESS(INDEX($AJ$2:$AJ$1001,MATCH(ROWS($AH$2:AH686),$AH$2:$AH$1001,0),0), INDEX($AO$1004:$BQ$1004,1,MATCH(COLUMNS($AO$1006:AR1006),$AO$1006:$BQ$1006,0)))),"Fix")))</f>
        <v>#N/A</v>
      </c>
      <c r="F686" s="5" t="e">
        <f ca="1">IF(OR(INDEX($AI$2:$AI$1001,MATCH(ROWS($AH$2:AH686),$AH$2:$AH$1001,0),1)&gt;=100000,INDEX($AO$1005:$BQ$1005,1,MATCH(COLUMNS($AO$1006:AS1006),$AO$1006:$BQ$1006,0))&gt;=100000), " ",IF(INDEX($AO$2:$BQ$1001,MATCH(ROWS($AH$2:AH686),$AH$2:$AH$1001,0),MATCH(COLUMNS($AO$1006:AS1006),$AO$1006:$BQ$1006,0)), HYPERLINK("#",""), HYPERLINK(CONCATENATE("#Metadata!", ADDRESS(INDEX($AJ$2:$AJ$1001,MATCH(ROWS($AH$2:AH686),$AH$2:$AH$1001,0),0), INDEX($AO$1004:$BQ$1004,1,MATCH(COLUMNS($AO$1006:AS1006),$AO$1006:$BQ$1006,0)))),"Fix")))</f>
        <v>#N/A</v>
      </c>
      <c r="G686" s="5" t="e">
        <f ca="1">IF(OR(INDEX($AI$2:$AI$1001,MATCH(ROWS($AH$2:AH686),$AH$2:$AH$1001,0),1)&gt;=100000,INDEX($AO$1005:$BQ$1005,1,MATCH(COLUMNS($AO$1006:AT1006),$AO$1006:$BQ$1006,0))&gt;=100000), " ",IF(INDEX($AO$2:$BQ$1001,MATCH(ROWS($AH$2:AH686),$AH$2:$AH$1001,0),MATCH(COLUMNS($AO$1006:AT1006),$AO$1006:$BQ$1006,0)), HYPERLINK("#",""), HYPERLINK(CONCATENATE("#Metadata!", ADDRESS(INDEX($AJ$2:$AJ$1001,MATCH(ROWS($AH$2:AH686),$AH$2:$AH$1001,0),0), INDEX($AO$1004:$BQ$1004,1,MATCH(COLUMNS($AO$1006:AT1006),$AO$1006:$BQ$1006,0)))),"Fix")))</f>
        <v>#N/A</v>
      </c>
      <c r="H686" s="5" t="e">
        <f ca="1">IF(OR(INDEX($AI$2:$AI$1001,MATCH(ROWS($AH$2:AH686),$AH$2:$AH$1001,0),1)&gt;=100000,INDEX($AO$1005:$BQ$1005,1,MATCH(COLUMNS($AO$1006:AU1006),$AO$1006:$BQ$1006,0))&gt;=100000), " ",IF(INDEX($AO$2:$BQ$1001,MATCH(ROWS($AH$2:AH686),$AH$2:$AH$1001,0),MATCH(COLUMNS($AO$1006:AU1006),$AO$1006:$BQ$1006,0)), HYPERLINK("#",""), HYPERLINK(CONCATENATE("#Metadata!", ADDRESS(INDEX($AJ$2:$AJ$1001,MATCH(ROWS($AH$2:AH686),$AH$2:$AH$1001,0),0), INDEX($AO$1004:$BQ$1004,1,MATCH(COLUMNS($AO$1006:AU1006),$AO$1006:$BQ$1006,0)))),"Fix")))</f>
        <v>#N/A</v>
      </c>
      <c r="I686" s="5" t="e">
        <f ca="1">IF(OR(INDEX($AI$2:$AI$1001,MATCH(ROWS($AH$2:AH686),$AH$2:$AH$1001,0),1)&gt;=100000,INDEX($AO$1005:$BQ$1005,1,MATCH(COLUMNS($AO$1006:AV1006),$AO$1006:$BQ$1006,0))&gt;=100000), " ",IF(INDEX($AO$2:$BQ$1001,MATCH(ROWS($AH$2:AH686),$AH$2:$AH$1001,0),MATCH(COLUMNS($AO$1006:AV1006),$AO$1006:$BQ$1006,0)), HYPERLINK("#",""), HYPERLINK(CONCATENATE("#Metadata!", ADDRESS(INDEX($AJ$2:$AJ$1001,MATCH(ROWS($AH$2:AH686),$AH$2:$AH$1001,0),0), INDEX($AO$1004:$BQ$1004,1,MATCH(COLUMNS($AO$1006:AV1006),$AO$1006:$BQ$1006,0)))),"Fix")))</f>
        <v>#N/A</v>
      </c>
      <c r="J686" s="5" t="e">
        <f ca="1">IF(OR(INDEX($AI$2:$AI$1001,MATCH(ROWS($AH$2:AH686),$AH$2:$AH$1001,0),1)&gt;=100000,INDEX($AO$1005:$BQ$1005,1,MATCH(COLUMNS($AO$1006:AW1006),$AO$1006:$BQ$1006,0))&gt;=100000), " ",IF(INDEX($AO$2:$BQ$1001,MATCH(ROWS($AH$2:AH686),$AH$2:$AH$1001,0),MATCH(COLUMNS($AO$1006:AW1006),$AO$1006:$BQ$1006,0)), HYPERLINK("#",""), HYPERLINK(CONCATENATE("#Metadata!", ADDRESS(INDEX($AJ$2:$AJ$1001,MATCH(ROWS($AH$2:AH686),$AH$2:$AH$1001,0),0), INDEX($AO$1004:$BQ$1004,1,MATCH(COLUMNS($AO$1006:AW1006),$AO$1006:$BQ$1006,0)))),"Fix")))</f>
        <v>#N/A</v>
      </c>
      <c r="K686" s="5" t="e">
        <f ca="1">IF(OR(INDEX($AI$2:$AI$1001,MATCH(ROWS($AH$2:AH686),$AH$2:$AH$1001,0),1)&gt;=100000,INDEX($AO$1005:$BQ$1005,1,MATCH(COLUMNS($AO$1006:AX1006),$AO$1006:$BQ$1006,0))&gt;=100000), " ",IF(INDEX($AO$2:$BQ$1001,MATCH(ROWS($AH$2:AH686),$AH$2:$AH$1001,0),MATCH(COLUMNS($AO$1006:AX1006),$AO$1006:$BQ$1006,0)), HYPERLINK("#",""), HYPERLINK(CONCATENATE("#Metadata!", ADDRESS(INDEX($AJ$2:$AJ$1001,MATCH(ROWS($AH$2:AH686),$AH$2:$AH$1001,0),0), INDEX($AO$1004:$BQ$1004,1,MATCH(COLUMNS($AO$1006:AX1006),$AO$1006:$BQ$1006,0)))),"Fix")))</f>
        <v>#N/A</v>
      </c>
      <c r="L686" s="5" t="e">
        <f ca="1">IF(OR(INDEX($AI$2:$AI$1001,MATCH(ROWS($AH$2:AH686),$AH$2:$AH$1001,0),1)&gt;=100000,INDEX($AO$1005:$BQ$1005,1,MATCH(COLUMNS($AO$1006:AY1006),$AO$1006:$BQ$1006,0))&gt;=100000), " ",IF(INDEX($AO$2:$BQ$1001,MATCH(ROWS($AH$2:AH686),$AH$2:$AH$1001,0),MATCH(COLUMNS($AO$1006:AY1006),$AO$1006:$BQ$1006,0)), HYPERLINK("#",""), HYPERLINK(CONCATENATE("#Metadata!", ADDRESS(INDEX($AJ$2:$AJ$1001,MATCH(ROWS($AH$2:AH686),$AH$2:$AH$1001,0),0), INDEX($AO$1004:$BQ$1004,1,MATCH(COLUMNS($AO$1006:AY1006),$AO$1006:$BQ$1006,0)))),"Fix")))</f>
        <v>#N/A</v>
      </c>
      <c r="M686" s="5" t="e">
        <f ca="1">IF(OR(INDEX($AI$2:$AI$1001,MATCH(ROWS($AH$2:AH686),$AH$2:$AH$1001,0),1)&gt;=100000,INDEX($AO$1005:$BQ$1005,1,MATCH(COLUMNS($AO$1006:AZ1006),$AO$1006:$BQ$1006,0))&gt;=100000), " ",IF(INDEX($AO$2:$BQ$1001,MATCH(ROWS($AH$2:AH686),$AH$2:$AH$1001,0),MATCH(COLUMNS($AO$1006:AZ1006),$AO$1006:$BQ$1006,0)), HYPERLINK("#",""), HYPERLINK(CONCATENATE("#Metadata!", ADDRESS(INDEX($AJ$2:$AJ$1001,MATCH(ROWS($AH$2:AH686),$AH$2:$AH$1001,0),0), INDEX($AO$1004:$BQ$1004,1,MATCH(COLUMNS($AO$1006:AZ1006),$AO$1006:$BQ$1006,0)))),"Fix")))</f>
        <v>#N/A</v>
      </c>
      <c r="N686" s="5" t="e">
        <f ca="1">IF(OR(INDEX($AI$2:$AI$1001,MATCH(ROWS($AH$2:AH686),$AH$2:$AH$1001,0),1)&gt;=100000,INDEX($AO$1005:$BQ$1005,1,MATCH(COLUMNS($AO$1006:BA1006),$AO$1006:$BQ$1006,0))&gt;=100000), " ",IF(INDEX($AO$2:$BQ$1001,MATCH(ROWS($AH$2:AH686),$AH$2:$AH$1001,0),MATCH(COLUMNS($AO$1006:BA1006),$AO$1006:$BQ$1006,0)), HYPERLINK("#",""), HYPERLINK(CONCATENATE("#Metadata!", ADDRESS(INDEX($AJ$2:$AJ$1001,MATCH(ROWS($AH$2:AH686),$AH$2:$AH$1001,0),0), INDEX($AO$1004:$BQ$1004,1,MATCH(COLUMNS($AO$1006:BA1006),$AO$1006:$BQ$1006,0)))),"Fix")))</f>
        <v>#N/A</v>
      </c>
      <c r="O686" s="5" t="e">
        <f ca="1">IF(OR(INDEX($AI$2:$AI$1001,MATCH(ROWS($AH$2:AH686),$AH$2:$AH$1001,0),1)&gt;=100000,INDEX($AO$1005:$BQ$1005,1,MATCH(COLUMNS($AO$1006:BB1006),$AO$1006:$BQ$1006,0))&gt;=100000), " ",IF(INDEX($AO$2:$BQ$1001,MATCH(ROWS($AH$2:AH686),$AH$2:$AH$1001,0),MATCH(COLUMNS($AO$1006:BB1006),$AO$1006:$BQ$1006,0)), HYPERLINK("#",""), HYPERLINK(CONCATENATE("#Metadata!", ADDRESS(INDEX($AJ$2:$AJ$1001,MATCH(ROWS($AH$2:AH686),$AH$2:$AH$1001,0),0), INDEX($AO$1004:$BQ$1004,1,MATCH(COLUMNS($AO$1006:BB1006),$AO$1006:$BQ$1006,0)))),"Fix")))</f>
        <v>#N/A</v>
      </c>
      <c r="P686" s="5" t="e">
        <f ca="1">IF(OR(INDEX($AI$2:$AI$1001,MATCH(ROWS($AH$2:AH686),$AH$2:$AH$1001,0),1)&gt;=100000,INDEX($AO$1005:$BQ$1005,1,MATCH(COLUMNS($AO$1006:BC1006),$AO$1006:$BQ$1006,0))&gt;=100000), " ",IF(INDEX($AO$2:$BQ$1001,MATCH(ROWS($AH$2:AH686),$AH$2:$AH$1001,0),MATCH(COLUMNS($AO$1006:BC1006),$AO$1006:$BQ$1006,0)), HYPERLINK("#",""), HYPERLINK(CONCATENATE("#Metadata!", ADDRESS(INDEX($AJ$2:$AJ$1001,MATCH(ROWS($AH$2:AH686),$AH$2:$AH$1001,0),0), INDEX($AO$1004:$BQ$1004,1,MATCH(COLUMNS($AO$1006:BC1006),$AO$1006:$BQ$1006,0)))),"Fix")))</f>
        <v>#N/A</v>
      </c>
      <c r="Q686" s="5" t="e">
        <f ca="1">IF(OR(INDEX($AI$2:$AI$1001,MATCH(ROWS($AH$2:AH686),$AH$2:$AH$1001,0),1)&gt;=100000,INDEX($AO$1005:$BQ$1005,1,MATCH(COLUMNS($AO$1006:BD1006),$AO$1006:$BQ$1006,0))&gt;=100000), " ",IF(INDEX($AO$2:$BQ$1001,MATCH(ROWS($AH$2:AH686),$AH$2:$AH$1001,0),MATCH(COLUMNS($AO$1006:BD1006),$AO$1006:$BQ$1006,0)), HYPERLINK("#",""), HYPERLINK(CONCATENATE("#Metadata!", ADDRESS(INDEX($AJ$2:$AJ$1001,MATCH(ROWS($AH$2:AH686),$AH$2:$AH$1001,0),0), INDEX($AO$1004:$BQ$1004,1,MATCH(COLUMNS($AO$1006:BD1006),$AO$1006:$BQ$1006,0)))),"Fix")))</f>
        <v>#N/A</v>
      </c>
      <c r="R686" s="5" t="e">
        <f ca="1">IF(OR(INDEX($AI$2:$AI$1001,MATCH(ROWS($AH$2:AH686),$AH$2:$AH$1001,0),1)&gt;=100000,INDEX($AO$1005:$BQ$1005,1,MATCH(COLUMNS($AO$1006:BE1006),$AO$1006:$BQ$1006,0))&gt;=100000), " ",IF(INDEX($AO$2:$BQ$1001,MATCH(ROWS($AH$2:AH686),$AH$2:$AH$1001,0),MATCH(COLUMNS($AO$1006:BE1006),$AO$1006:$BQ$1006,0)), HYPERLINK("#",""), HYPERLINK(CONCATENATE("#Metadata!", ADDRESS(INDEX($AJ$2:$AJ$1001,MATCH(ROWS($AH$2:AH686),$AH$2:$AH$1001,0),0), INDEX($AO$1004:$BQ$1004,1,MATCH(COLUMNS($AO$1006:BE1006),$AO$1006:$BQ$1006,0)))),"Fix")))</f>
        <v>#N/A</v>
      </c>
      <c r="S686" s="5" t="e">
        <f ca="1">IF(OR(INDEX($AI$2:$AI$1001,MATCH(ROWS($AH$2:AH686),$AH$2:$AH$1001,0),1)&gt;=100000,INDEX($AO$1005:$BQ$1005,1,MATCH(COLUMNS($AO$1006:BF1006),$AO$1006:$BQ$1006,0))&gt;=100000), " ",IF(INDEX($AO$2:$BQ$1001,MATCH(ROWS($AH$2:AH686),$AH$2:$AH$1001,0),MATCH(COLUMNS($AO$1006:BF1006),$AO$1006:$BQ$1006,0)), HYPERLINK("#",""), HYPERLINK(CONCATENATE("#Metadata!", ADDRESS(INDEX($AJ$2:$AJ$1001,MATCH(ROWS($AH$2:AH686),$AH$2:$AH$1001,0),0), INDEX($AO$1004:$BQ$1004,1,MATCH(COLUMNS($AO$1006:BF1006),$AO$1006:$BQ$1006,0)))),"Fix")))</f>
        <v>#N/A</v>
      </c>
      <c r="T686" s="5" t="e">
        <f ca="1">IF(OR(INDEX($AI$2:$AI$1001,MATCH(ROWS($AH$2:AH686),$AH$2:$AH$1001,0),1)&gt;=100000,INDEX($AO$1005:$BQ$1005,1,MATCH(COLUMNS($AO$1006:BG1006),$AO$1006:$BQ$1006,0))&gt;=100000), " ",IF(INDEX($AO$2:$BQ$1001,MATCH(ROWS($AH$2:AH686),$AH$2:$AH$1001,0),MATCH(COLUMNS($AO$1006:BG1006),$AO$1006:$BQ$1006,0)), HYPERLINK("#",""), HYPERLINK(CONCATENATE("#Metadata!", ADDRESS(INDEX($AJ$2:$AJ$1001,MATCH(ROWS($AH$2:AH686),$AH$2:$AH$1001,0),0), INDEX($AO$1004:$BQ$1004,1,MATCH(COLUMNS($AO$1006:BG1006),$AO$1006:$BQ$1006,0)))),"Fix")))</f>
        <v>#N/A</v>
      </c>
      <c r="U686" s="5" t="e">
        <f ca="1">IF(OR(INDEX($AI$2:$AI$1001,MATCH(ROWS($AH$2:AH686),$AH$2:$AH$1001,0),1)&gt;=100000,INDEX($AO$1005:$BQ$1005,1,MATCH(COLUMNS($AO$1006:BH1006),$AO$1006:$BQ$1006,0))&gt;=100000), " ",IF(INDEX($AO$2:$BQ$1001,MATCH(ROWS($AH$2:AH686),$AH$2:$AH$1001,0),MATCH(COLUMNS($AO$1006:BH1006),$AO$1006:$BQ$1006,0)), HYPERLINK("#",""), HYPERLINK(CONCATENATE("#Metadata!", ADDRESS(INDEX($AJ$2:$AJ$1001,MATCH(ROWS($AH$2:AH686),$AH$2:$AH$1001,0),0), INDEX($AO$1004:$BQ$1004,1,MATCH(COLUMNS($AO$1006:BH1006),$AO$1006:$BQ$1006,0)))),"Fix")))</f>
        <v>#N/A</v>
      </c>
      <c r="V686" s="5" t="e">
        <f ca="1">IF(OR(INDEX($AI$2:$AI$1001,MATCH(ROWS($AH$2:AH686),$AH$2:$AH$1001,0),1)&gt;=100000,INDEX($AO$1005:$BQ$1005,1,MATCH(COLUMNS($AO$1006:BI1006),$AO$1006:$BQ$1006,0))&gt;=100000), " ",IF(INDEX($AO$2:$BQ$1001,MATCH(ROWS($AH$2:AH686),$AH$2:$AH$1001,0),MATCH(COLUMNS($AO$1006:BI1006),$AO$1006:$BQ$1006,0)), HYPERLINK("#",""), HYPERLINK(CONCATENATE("#Metadata!", ADDRESS(INDEX($AJ$2:$AJ$1001,MATCH(ROWS($AH$2:AH686),$AH$2:$AH$1001,0),0), INDEX($AO$1004:$BQ$1004,1,MATCH(COLUMNS($AO$1006:BI1006),$AO$1006:$BQ$1006,0)))),"Fix")))</f>
        <v>#N/A</v>
      </c>
      <c r="W686" s="5" t="e">
        <f ca="1">IF(OR(INDEX($AI$2:$AI$1001,MATCH(ROWS($AH$2:AH686),$AH$2:$AH$1001,0),1)&gt;=100000,INDEX($AO$1005:$BQ$1005,1,MATCH(COLUMNS($AO$1006:BJ1006),$AO$1006:$BQ$1006,0))&gt;=100000), " ",IF(INDEX($AO$2:$BQ$1001,MATCH(ROWS($AH$2:AH686),$AH$2:$AH$1001,0),MATCH(COLUMNS($AO$1006:BJ1006),$AO$1006:$BQ$1006,0)), HYPERLINK("#",""), HYPERLINK(CONCATENATE("#Metadata!", ADDRESS(INDEX($AJ$2:$AJ$1001,MATCH(ROWS($AH$2:AH686),$AH$2:$AH$1001,0),0), INDEX($AO$1004:$BQ$1004,1,MATCH(COLUMNS($AO$1006:BJ1006),$AO$1006:$BQ$1006,0)))),"Fix")))</f>
        <v>#N/A</v>
      </c>
      <c r="X686" s="5" t="e">
        <f ca="1">IF(OR(INDEX($AI$2:$AI$1001,MATCH(ROWS($AH$2:AH686),$AH$2:$AH$1001,0),1)&gt;=100000,INDEX($AO$1005:$BQ$1005,1,MATCH(COLUMNS($AO$1006:BK1006),$AO$1006:$BQ$1006,0))&gt;=100000), " ",IF(INDEX($AO$2:$BQ$1001,MATCH(ROWS($AH$2:AH686),$AH$2:$AH$1001,0),MATCH(COLUMNS($AO$1006:BK1006),$AO$1006:$BQ$1006,0)), HYPERLINK("#",""), HYPERLINK(CONCATENATE("#Metadata!", ADDRESS(INDEX($AJ$2:$AJ$1001,MATCH(ROWS($AH$2:AH686),$AH$2:$AH$1001,0),0), INDEX($AO$1004:$BQ$1004,1,MATCH(COLUMNS($AO$1006:BK1006),$AO$1006:$BQ$1006,0)))),"Fix")))</f>
        <v>#N/A</v>
      </c>
      <c r="Y686" s="5" t="e">
        <f ca="1">IF(OR(INDEX($AI$2:$AI$1001,MATCH(ROWS($AH$2:AH686),$AH$2:$AH$1001,0),1)&gt;=100000,INDEX($AO$1005:$BQ$1005,1,MATCH(COLUMNS($AO$1006:BL1006),$AO$1006:$BQ$1006,0))&gt;=100000), " ",IF(INDEX($AO$2:$BQ$1001,MATCH(ROWS($AH$2:AH686),$AH$2:$AH$1001,0),MATCH(COLUMNS($AO$1006:BL1006),$AO$1006:$BQ$1006,0)), HYPERLINK("#",""), HYPERLINK(CONCATENATE("#Metadata!", ADDRESS(INDEX($AJ$2:$AJ$1001,MATCH(ROWS($AH$2:AH686),$AH$2:$AH$1001,0),0), INDEX($AO$1004:$BQ$1004,1,MATCH(COLUMNS($AO$1006:BL1006),$AO$1006:$BQ$1006,0)))),"Fix")))</f>
        <v>#N/A</v>
      </c>
      <c r="Z686" s="5" t="e">
        <f ca="1">IF(OR(INDEX($AI$2:$AI$1001,MATCH(ROWS($AH$2:AH686),$AH$2:$AH$1001,0),1)&gt;=100000,INDEX($AO$1005:$BQ$1005,1,MATCH(COLUMNS($AO$1006:BM1006),$AO$1006:$BQ$1006,0))&gt;=100000), " ",IF(INDEX($AO$2:$BQ$1001,MATCH(ROWS($AH$2:AH686),$AH$2:$AH$1001,0),MATCH(COLUMNS($AO$1006:BM1006),$AO$1006:$BQ$1006,0)), HYPERLINK("#",""), HYPERLINK(CONCATENATE("#Metadata!", ADDRESS(INDEX($AJ$2:$AJ$1001,MATCH(ROWS($AH$2:AH686),$AH$2:$AH$1001,0),0), INDEX($AO$1004:$BQ$1004,1,MATCH(COLUMNS($AO$1006:BM1006),$AO$1006:$BQ$1006,0)))),"Fix")))</f>
        <v>#N/A</v>
      </c>
      <c r="AA686" s="5" t="e">
        <f ca="1">IF(OR(INDEX($AI$2:$AI$1001,MATCH(ROWS($AH$2:AH686),$AH$2:$AH$1001,0),1)&gt;=100000,INDEX($AO$1005:$BQ$1005,1,MATCH(COLUMNS($AO$1006:BN1006),$AO$1006:$BQ$1006,0))&gt;=100000), " ",IF(INDEX($AO$2:$BQ$1001,MATCH(ROWS($AH$2:AH686),$AH$2:$AH$1001,0),MATCH(COLUMNS($AO$1006:BN1006),$AO$1006:$BQ$1006,0)), HYPERLINK("#",""), HYPERLINK(CONCATENATE("#Metadata!", ADDRESS(INDEX($AJ$2:$AJ$1001,MATCH(ROWS($AH$2:AH686),$AH$2:$AH$1001,0),0), INDEX($AO$1004:$BQ$1004,1,MATCH(COLUMNS($AO$1006:BN1006),$AO$1006:$BQ$1006,0)))),"Fix")))</f>
        <v>#N/A</v>
      </c>
      <c r="AB686" s="5" t="e">
        <f ca="1">IF(OR(INDEX($AI$2:$AI$1001,MATCH(ROWS($AH$2:AH686),$AH$2:$AH$1001,0),1)&gt;=100000,INDEX($AO$1005:$BQ$1005,1,MATCH(COLUMNS($AO$1006:BO1006),$AO$1006:$BQ$1006,0))&gt;=100000), " ",IF(INDEX($AO$2:$BQ$1001,MATCH(ROWS($AH$2:AH686),$AH$2:$AH$1001,0),MATCH(COLUMNS($AO$1006:BO1006),$AO$1006:$BQ$1006,0)), HYPERLINK("#",""), HYPERLINK(CONCATENATE("#Metadata!", ADDRESS(INDEX($AJ$2:$AJ$1001,MATCH(ROWS($AH$2:AH686),$AH$2:$AH$1001,0),0), INDEX($AO$1004:$BQ$1004,1,MATCH(COLUMNS($AO$1006:BO1006),$AO$1006:$BQ$1006,0)))),"Fix")))</f>
        <v>#N/A</v>
      </c>
      <c r="AC686" s="5" t="e">
        <f ca="1">IF(OR(INDEX($AI$2:$AI$1001,MATCH(ROWS($AH$2:AH686),$AH$2:$AH$1001,0),1)&gt;=100000,INDEX($AO$1005:$BQ$1005,1,MATCH(COLUMNS($AO$1006:BP1006),$AO$1006:$BQ$1006,0))&gt;=100000), " ",IF(INDEX($AO$2:$BQ$1001,MATCH(ROWS($AH$2:AH686),$AH$2:$AH$1001,0),MATCH(COLUMNS($AO$1006:BP1006),$AO$1006:$BQ$1006,0)), HYPERLINK("#",""), HYPERLINK(CONCATENATE("#Metadata!", ADDRESS(INDEX($AJ$2:$AJ$1001,MATCH(ROWS($AH$2:AH686),$AH$2:$AH$1001,0),0), INDEX($AO$1004:$BQ$1004,1,MATCH(COLUMNS($AO$1006:BP1006),$AO$1006:$BQ$1006,0)))),"Fix")))</f>
        <v>#N/A</v>
      </c>
      <c r="AD686" s="5" t="e">
        <f ca="1">IF(OR(INDEX($AI$2:$AI$1001,MATCH(ROWS($AH$2:AH686),$AH$2:$AH$1001,0),1)&gt;=100000,INDEX($AO$1005:$BQ$1005,1,MATCH(COLUMNS($AO$1006:BQ1006),$AO$1006:$BQ$1006,0))&gt;=100000), " ",IF(INDEX($AO$2:$BQ$1001,MATCH(ROWS($AH$2:AH686),$AH$2:$AH$1001,0),MATCH(COLUMNS($AO$1006:BQ1006),$AO$1006:$BQ$1006,0)), HYPERLINK("#",""), HYPERLINK(CONCATENATE("#Metadata!", ADDRESS(INDEX($AJ$2:$AJ$1001,MATCH(ROWS($AH$2:AH686),$AH$2:$AH$1001,0),0), INDEX($AO$1004:$BQ$1004,1,MATCH(COLUMNS($AO$1006:BQ1006),$AO$1006:$BQ$1006,0)))),"Fix")))</f>
        <v>#REF!</v>
      </c>
      <c r="AH686">
        <f ca="1"/>
        <v>683</v>
      </c>
      <c r="AI686">
        <v>100686</v>
      </c>
      <c r="AJ686">
        <v>686</v>
      </c>
      <c r="AK686" t="b">
        <f t="shared" si="10"/>
        <v>1</v>
      </c>
      <c r="AL686" t="b">
        <f>COUNTBLANK(Metadata!B686:AD686)=COLUMNS(Metadata!B686:AD686)</f>
        <v>1</v>
      </c>
      <c r="AM686" t="str">
        <v/>
      </c>
      <c r="AO686" t="b">
        <f ca="1">AND(IF(Metadata!B686="",FALSE,TRUE),COUNTIF(Metadata!B:B, Metadata!B686) = 1,NOT(ISERROR(SUMPRODUCT(SEARCH(MID(Metadata!B686,ROW(INDIRECT("1:"&amp;LEN(Metadata!B686))), 1),"0123456789abcdefghijklmnopqrstuvwxyzABCDEFGHIJKLMNOPQRSTUVWXYZ.")))))</f>
        <v>0</v>
      </c>
      <c r="AP686" t="b">
        <f>IF(Metadata!C686="",FALSE,TRUE)</f>
        <v>0</v>
      </c>
      <c r="AQ686" t="b">
        <f>IF(Metadata!D686="",FALSE,TRUE)</f>
        <v>0</v>
      </c>
      <c r="AR686" t="b">
        <f ca="1">OR(AND(IF(Metadata!E686="",FALSE,TRUE),OR(EXACT(Metadata!E686,"not collected"),EXACT(Metadata!E686,"not provided"),EXACT(Metadata!E686,"restricted access"))),AND(IF(Metadata!E686="",FALSE,TRUE),AND(AND(IFERROR(INT(LEFT(Metadata!E686,4))&gt;1900,FALSE),IFERROR(INT(LEFT(Metadata!E686,4))&lt;=YEAR(NOW()),FALSE)), OR(MID(Metadata!E686,5,1)="", AND(AND(MID(Metadata!E686,5,1)="-",IFERROR(INT(MID(Metadata!E686,6,1))&gt;=0,FALSE),IFERROR(INT(MID(Metadata!E686,6,1))&lt;=1,FALSE),NOT(MID(Metadata!E686,7,1)=""),IFERROR(INT(MID(Metadata!E686,6,2))&gt;=1,FALSE),IFERROR(INT(MID(Metadata!E686,6,2))&lt;=12,FALSE)), OR(MID(Metadata!E686,8,1)="", AND(AND(MID(Metadata!E686,8,1)="-",IFERROR(INT(MID(Metadata!E686,9,1))&gt;=0,FALSE),IFERROR(INT(MID(Metadata!E686,9,1))&lt;=3,FALSE),NOT(MID(Metadata!E686,10,1)=""),IFERROR(INT(MID(Metadata!E686,9,2))&gt;=1,FALSE),IFERROR(INT(MID(Metadata!E686,9,2))&lt;=31,FALSE)), OR(MID(Metadata!E686,11,1)="", AND(AND(MID(Metadata!E686,11,1)=" ",IFERROR(INT(MID(Metadata!E686,12,1))&gt;=0,FALSE),IFERROR(INT(MID(Metadata!E686,12,1))&lt;=2,FALSE),NOT(MID(Metadata!E686,13,1)=""),IFERROR(INT(MID(Metadata!E686,12,2))&gt;=0,FALSE),IFERROR(INT(MID(Metadata!E686,12,2))&lt;=23,FALSE)), OR(MID(Metadata!E686,14,1)="", AND(AND(MID(Metadata!E686,14,1)=":",IFERROR(INT(MID(Metadata!E686,15,1))&gt;=0,FALSE),IFERROR(INT(MID(Metadata!E686,15,1))&lt;=5,FALSE),NOT(MID(Metadata!E686,16,1)=""),IFERROR(INT(MID(Metadata!E686,15,2))&gt;=0,FALSE),IFERROR(INT(MID(Metadata!E686,15,2))&lt;=59,FALSE)), OR(MID(Metadata!E686,17,1)="", AND(AND(MID(Metadata!E686,17,1)=":",IFERROR(INT(MID(Metadata!E686,18,1))&gt;=0,FALSE),IFERROR(INT(MID(Metadata!E686,18,1))&lt;=5,FALSE),NOT(MID(Metadata!E686,19,1)=""),IFERROR(INT(MID(Metadata!E686,18,2))&gt;=0,FALSE),IFERROR(INT(MID(Metadata!E686,18,2))&lt;=59,FALSE)), LEN(Metadata!E686)&lt;=19)))))))))))))</f>
        <v>0</v>
      </c>
      <c r="AS686" t="b">
        <f>IF(Metadata!F686="",FALSE,TRUE)</f>
        <v>0</v>
      </c>
      <c r="AT686" t="b">
        <f>OR(AND(IF(Metadata!G686="",FALSE,TRUE),OR(EXACT(Metadata!G686,"not collected"),EXACT(Metadata!G686,"not provided"))),AND(IF(Metadata!G686="",FALSE,TRUE),OR(EXACT(Metadata!G686,"TRUE"),EXACT(Metadata!G686,"FALSE"))))</f>
        <v>0</v>
      </c>
      <c r="AU686" t="b">
        <f>OR(AND(IF(Metadata!H686="",FALSE,TRUE),OR(EXACT(Metadata!H686,"not collected"),EXACT(Metadata!H686,"not provided"),EXACT(Metadata!H686,"restricted access"))),AND(IF(Metadata!H686="",FALSE,ISNUMBER(VALUE(Metadata!H686))),Metadata!H686&gt;=-413))</f>
        <v>0</v>
      </c>
      <c r="AV686" t="b">
        <f>AND(IF(Metadata!I686="",FALSE,TRUE),EXACT(Metadata!I686,"meters"))</f>
        <v>0</v>
      </c>
      <c r="AW686" t="b">
        <f>AND(IF(Metadata!J686="",FALSE,TRUE),EXACT(Metadata!J686,"free-living"))</f>
        <v>0</v>
      </c>
      <c r="AX686" t="b">
        <f>AND(IF(Metadata!K686="",FALSE,TRUE),OR(EXACT(Metadata!K686,"saline"),EXACT(Metadata!K686,"non-saline")))</f>
        <v>0</v>
      </c>
      <c r="AY686" t="b">
        <f>AND(IF(Metadata!L686="",FALSE,TRUE),OR(EXACT(Metadata!L686,"sub-surface (non-saline)"),EXACT(Metadata!L686,"surface (non-saline)"),EXACT(Metadata!L686,"water (non-saline)"),EXACT(Metadata!L686,"soil (non-saline)"),EXACT(Metadata!L686,"aerosol (non-saline)"),EXACT(Metadata!L686,"sediment (non-saline)"),EXACT(Metadata!L686,"surface (saline)"),EXACT(Metadata!L686,"water (saline)"),EXACT(Metadata!L686,"hypersaline (saline)"),EXACT(Metadata!L686,"aerosol (saline)"),EXACT(Metadata!L686,"sediment (saline)")))</f>
        <v>0</v>
      </c>
      <c r="AZ686" t="b">
        <f>IF(Metadata!M686="",FALSE,TRUE)</f>
        <v>0</v>
      </c>
      <c r="BA686" t="b">
        <f>IF(Metadata!N686="",FALSE,TRUE)</f>
        <v>0</v>
      </c>
      <c r="BB686" t="b">
        <f>IF(Metadata!O686="",FALSE,TRUE)</f>
        <v>0</v>
      </c>
      <c r="BC686" t="b">
        <f>AND(IF(Metadata!P686="",FALSE,TRUE),OR(EXACT(Metadata!P686,"air"),EXACT(Metadata!P686,"microbial mat/biofilm"),EXACT(Metadata!P686,"misc environment"),EXACT(Metadata!P686,"sediment"),EXACT(Metadata!P686,"soil"),EXACT(Metadata!P686,"wastewater/sludge"),EXACT(Metadata!P686,"water")))</f>
        <v>0</v>
      </c>
      <c r="BD686" t="b">
        <f>IF(Metadata!Q686="",FALSE,TRUE)</f>
        <v>0</v>
      </c>
      <c r="BE686" t="b">
        <f>IF(Metadata!R686="",FALSE,TRUE)</f>
        <v>0</v>
      </c>
      <c r="BF686" t="b">
        <f>OR(AND(IF(Metadata!S686="",FALSE,TRUE),OR(EXACT(Metadata!S686,"not collected"),EXACT(Metadata!S686,"not provided"),EXACT(Metadata!S686,"restricted access"))),AND(IF(Metadata!S686="",FALSE,ISNUMBER(VALUE(Metadata!S686))),Metadata!S686&gt;=-90,Metadata!S686&lt;=90))</f>
        <v>0</v>
      </c>
      <c r="BG686" t="b">
        <f>AND(IF(Metadata!T686="",FALSE,TRUE),EXACT(Metadata!T686,"Decimal degrees"))</f>
        <v>0</v>
      </c>
      <c r="BH686" t="b">
        <f>OR(AND(IF(Metadata!U686="",FALSE,TRUE),OR(EXACT(Metadata!U686,"not applicable"),EXACT(Metadata!U686,"not collected"))),IF(Metadata!U686="",FALSE,TRUE))</f>
        <v>0</v>
      </c>
      <c r="BI686" t="b">
        <f>OR(AND(IF(Metadata!V686="",FALSE,TRUE),OR(EXACT(Metadata!V686,"not collected"),EXACT(Metadata!V686,"not provided"),EXACT(Metadata!V686,"restricted access"))),AND(IF(Metadata!V686="",FALSE,ISNUMBER(VALUE(Metadata!V686))),Metadata!V686&gt;=-180,Metadata!V686&lt;=180))</f>
        <v>0</v>
      </c>
      <c r="BJ686" t="b">
        <f>AND(IF(Metadata!W686="",FALSE,TRUE),EXACT(Metadata!W686,"Decimal degrees"))</f>
        <v>0</v>
      </c>
      <c r="BK686" t="b">
        <f>IF(Metadata!X686="",FALSE,TRUE)</f>
        <v>0</v>
      </c>
      <c r="BL686" t="b">
        <f>OR(AND(IF(Metadata!Y686="",FALSE,TRUE),OR(EXACT(Metadata!Y686,"not collected"),EXACT(Metadata!Y686,"not provided"),EXACT(Metadata!Y686,"restricted access"))),AND(IF(Metadata!Y686="",FALSE,TRUE),OR(EXACT(Metadata!Y686,"TRUE"),EXACT(Metadata!Y686,"FALSE"))))</f>
        <v>0</v>
      </c>
      <c r="BM686" t="b">
        <f>OR(AND(IF(Metadata!Z686="",FALSE,TRUE),EXACT(Metadata!Z686,"not applicable")),AND(IF(Metadata!Z686="",FALSE,TRUE),OR(EXACT(Metadata!Z686,"beer"),EXACT(Metadata!Z686,"cheese"),EXACT(Metadata!Z686,"fresh water"),EXACT(Metadata!Z686,"marine sediment"),EXACT(Metadata!Z686,"sea water"),EXACT(Metadata!Z686,"sediment"),EXACT(Metadata!Z686,"soil"),EXACT(Metadata!Z686,"waste water"))))</f>
        <v>0</v>
      </c>
      <c r="BN686" t="b">
        <f>AND(IF(Metadata!AA686="",FALSE,TRUE),EXACT(Metadata!AA686,"metagenome"))</f>
        <v>0</v>
      </c>
      <c r="BO686" t="b">
        <f>AND(IF(Metadata!AB686="",FALSE,TRUE),EXACT(Metadata!AB686,"256318"))</f>
        <v>0</v>
      </c>
      <c r="BP686" t="b">
        <f>IF(Metadata!AC686="",FALSE,TRUE)</f>
        <v>0</v>
      </c>
      <c r="BQ686" t="b">
        <f>IF(Metadata!AD686="",FALSE,TRUE)</f>
        <v>0</v>
      </c>
    </row>
    <row r="687" spans="1:69" x14ac:dyDescent="0.2">
      <c r="A687" s="4" t="e">
        <f ca="1">IF(B687=" "," ",HYPERLINK(CONCATENATE("#metadata!",ADDRESS(INDEX($AJ$2:$AJ$1001,MATCH(ROWS($AH$2:AH687),$AH$2:$AH$1001,0),0),2)),INDEX($AM$2:$AM$1001,MATCH(ROWS($AH$2:AH687),$AH$2:$AH$1001,0),0)))</f>
        <v>#N/A</v>
      </c>
      <c r="B687" s="5" t="e">
        <f ca="1">IF(OR(INDEX($AI$2:$AI$1001,MATCH(ROWS($AH$2:AH687),$AH$2:$AH$1001,0),1)&gt;=100000,INDEX($AO$1005:$BQ$1005,1,MATCH(COLUMNS($AO$1006:AO1006),$AO$1006:$BQ$1006,0))&gt;=100000), " ",IF(INDEX($AO$2:$BQ$1001,MATCH(ROWS($AH$2:AH687),$AH$2:$AH$1001,0),MATCH(COLUMNS($AO$1006:AO1006),$AO$1006:$BQ$1006,0)), HYPERLINK("#",""), HYPERLINK(CONCATENATE("#Metadata!", ADDRESS(INDEX($AJ$2:$AJ$1001,MATCH(ROWS($AH$2:AH687),$AH$2:$AH$1001,0),0), INDEX($AO$1004:$BQ$1004,1,MATCH(COLUMNS($AO$1006:AO1006),$AO$1006:$BQ$1006,0)))),"Fix")))</f>
        <v>#N/A</v>
      </c>
      <c r="C687" s="5" t="e">
        <f ca="1">IF(OR(INDEX($AI$2:$AI$1001,MATCH(ROWS($AH$2:AH687),$AH$2:$AH$1001,0),1)&gt;=100000,INDEX($AO$1005:$BQ$1005,1,MATCH(COLUMNS($AO$1006:AP1006),$AO$1006:$BQ$1006,0))&gt;=100000), " ",IF(INDEX($AO$2:$BQ$1001,MATCH(ROWS($AH$2:AH687),$AH$2:$AH$1001,0),MATCH(COLUMNS($AO$1006:AP1006),$AO$1006:$BQ$1006,0)), HYPERLINK("#",""), HYPERLINK(CONCATENATE("#Metadata!", ADDRESS(INDEX($AJ$2:$AJ$1001,MATCH(ROWS($AH$2:AH687),$AH$2:$AH$1001,0),0), INDEX($AO$1004:$BQ$1004,1,MATCH(COLUMNS($AO$1006:AP1006),$AO$1006:$BQ$1006,0)))),"Fix")))</f>
        <v>#N/A</v>
      </c>
      <c r="D687" s="5" t="e">
        <f ca="1">IF(OR(INDEX($AI$2:$AI$1001,MATCH(ROWS($AH$2:AH687),$AH$2:$AH$1001,0),1)&gt;=100000,INDEX($AO$1005:$BQ$1005,1,MATCH(COLUMNS($AO$1006:AQ1006),$AO$1006:$BQ$1006,0))&gt;=100000), " ",IF(INDEX($AO$2:$BQ$1001,MATCH(ROWS($AH$2:AH687),$AH$2:$AH$1001,0),MATCH(COLUMNS($AO$1006:AQ1006),$AO$1006:$BQ$1006,0)), HYPERLINK("#",""), HYPERLINK(CONCATENATE("#Metadata!", ADDRESS(INDEX($AJ$2:$AJ$1001,MATCH(ROWS($AH$2:AH687),$AH$2:$AH$1001,0),0), INDEX($AO$1004:$BQ$1004,1,MATCH(COLUMNS($AO$1006:AQ1006),$AO$1006:$BQ$1006,0)))),"Fix")))</f>
        <v>#N/A</v>
      </c>
      <c r="E687" s="5" t="e">
        <f ca="1">IF(OR(INDEX($AI$2:$AI$1001,MATCH(ROWS($AH$2:AH687),$AH$2:$AH$1001,0),1)&gt;=100000,INDEX($AO$1005:$BQ$1005,1,MATCH(COLUMNS($AO$1006:AR1006),$AO$1006:$BQ$1006,0))&gt;=100000), " ",IF(INDEX($AO$2:$BQ$1001,MATCH(ROWS($AH$2:AH687),$AH$2:$AH$1001,0),MATCH(COLUMNS($AO$1006:AR1006),$AO$1006:$BQ$1006,0)), HYPERLINK("#",""), HYPERLINK(CONCATENATE("#Metadata!", ADDRESS(INDEX($AJ$2:$AJ$1001,MATCH(ROWS($AH$2:AH687),$AH$2:$AH$1001,0),0), INDEX($AO$1004:$BQ$1004,1,MATCH(COLUMNS($AO$1006:AR1006),$AO$1006:$BQ$1006,0)))),"Fix")))</f>
        <v>#N/A</v>
      </c>
      <c r="F687" s="5" t="e">
        <f ca="1">IF(OR(INDEX($AI$2:$AI$1001,MATCH(ROWS($AH$2:AH687),$AH$2:$AH$1001,0),1)&gt;=100000,INDEX($AO$1005:$BQ$1005,1,MATCH(COLUMNS($AO$1006:AS1006),$AO$1006:$BQ$1006,0))&gt;=100000), " ",IF(INDEX($AO$2:$BQ$1001,MATCH(ROWS($AH$2:AH687),$AH$2:$AH$1001,0),MATCH(COLUMNS($AO$1006:AS1006),$AO$1006:$BQ$1006,0)), HYPERLINK("#",""), HYPERLINK(CONCATENATE("#Metadata!", ADDRESS(INDEX($AJ$2:$AJ$1001,MATCH(ROWS($AH$2:AH687),$AH$2:$AH$1001,0),0), INDEX($AO$1004:$BQ$1004,1,MATCH(COLUMNS($AO$1006:AS1006),$AO$1006:$BQ$1006,0)))),"Fix")))</f>
        <v>#N/A</v>
      </c>
      <c r="G687" s="5" t="e">
        <f ca="1">IF(OR(INDEX($AI$2:$AI$1001,MATCH(ROWS($AH$2:AH687),$AH$2:$AH$1001,0),1)&gt;=100000,INDEX($AO$1005:$BQ$1005,1,MATCH(COLUMNS($AO$1006:AT1006),$AO$1006:$BQ$1006,0))&gt;=100000), " ",IF(INDEX($AO$2:$BQ$1001,MATCH(ROWS($AH$2:AH687),$AH$2:$AH$1001,0),MATCH(COLUMNS($AO$1006:AT1006),$AO$1006:$BQ$1006,0)), HYPERLINK("#",""), HYPERLINK(CONCATENATE("#Metadata!", ADDRESS(INDEX($AJ$2:$AJ$1001,MATCH(ROWS($AH$2:AH687),$AH$2:$AH$1001,0),0), INDEX($AO$1004:$BQ$1004,1,MATCH(COLUMNS($AO$1006:AT1006),$AO$1006:$BQ$1006,0)))),"Fix")))</f>
        <v>#N/A</v>
      </c>
      <c r="H687" s="5" t="e">
        <f ca="1">IF(OR(INDEX($AI$2:$AI$1001,MATCH(ROWS($AH$2:AH687),$AH$2:$AH$1001,0),1)&gt;=100000,INDEX($AO$1005:$BQ$1005,1,MATCH(COLUMNS($AO$1006:AU1006),$AO$1006:$BQ$1006,0))&gt;=100000), " ",IF(INDEX($AO$2:$BQ$1001,MATCH(ROWS($AH$2:AH687),$AH$2:$AH$1001,0),MATCH(COLUMNS($AO$1006:AU1006),$AO$1006:$BQ$1006,0)), HYPERLINK("#",""), HYPERLINK(CONCATENATE("#Metadata!", ADDRESS(INDEX($AJ$2:$AJ$1001,MATCH(ROWS($AH$2:AH687),$AH$2:$AH$1001,0),0), INDEX($AO$1004:$BQ$1004,1,MATCH(COLUMNS($AO$1006:AU1006),$AO$1006:$BQ$1006,0)))),"Fix")))</f>
        <v>#N/A</v>
      </c>
      <c r="I687" s="5" t="e">
        <f ca="1">IF(OR(INDEX($AI$2:$AI$1001,MATCH(ROWS($AH$2:AH687),$AH$2:$AH$1001,0),1)&gt;=100000,INDEX($AO$1005:$BQ$1005,1,MATCH(COLUMNS($AO$1006:AV1006),$AO$1006:$BQ$1006,0))&gt;=100000), " ",IF(INDEX($AO$2:$BQ$1001,MATCH(ROWS($AH$2:AH687),$AH$2:$AH$1001,0),MATCH(COLUMNS($AO$1006:AV1006),$AO$1006:$BQ$1006,0)), HYPERLINK("#",""), HYPERLINK(CONCATENATE("#Metadata!", ADDRESS(INDEX($AJ$2:$AJ$1001,MATCH(ROWS($AH$2:AH687),$AH$2:$AH$1001,0),0), INDEX($AO$1004:$BQ$1004,1,MATCH(COLUMNS($AO$1006:AV1006),$AO$1006:$BQ$1006,0)))),"Fix")))</f>
        <v>#N/A</v>
      </c>
      <c r="J687" s="5" t="e">
        <f ca="1">IF(OR(INDEX($AI$2:$AI$1001,MATCH(ROWS($AH$2:AH687),$AH$2:$AH$1001,0),1)&gt;=100000,INDEX($AO$1005:$BQ$1005,1,MATCH(COLUMNS($AO$1006:AW1006),$AO$1006:$BQ$1006,0))&gt;=100000), " ",IF(INDEX($AO$2:$BQ$1001,MATCH(ROWS($AH$2:AH687),$AH$2:$AH$1001,0),MATCH(COLUMNS($AO$1006:AW1006),$AO$1006:$BQ$1006,0)), HYPERLINK("#",""), HYPERLINK(CONCATENATE("#Metadata!", ADDRESS(INDEX($AJ$2:$AJ$1001,MATCH(ROWS($AH$2:AH687),$AH$2:$AH$1001,0),0), INDEX($AO$1004:$BQ$1004,1,MATCH(COLUMNS($AO$1006:AW1006),$AO$1006:$BQ$1006,0)))),"Fix")))</f>
        <v>#N/A</v>
      </c>
      <c r="K687" s="5" t="e">
        <f ca="1">IF(OR(INDEX($AI$2:$AI$1001,MATCH(ROWS($AH$2:AH687),$AH$2:$AH$1001,0),1)&gt;=100000,INDEX($AO$1005:$BQ$1005,1,MATCH(COLUMNS($AO$1006:AX1006),$AO$1006:$BQ$1006,0))&gt;=100000), " ",IF(INDEX($AO$2:$BQ$1001,MATCH(ROWS($AH$2:AH687),$AH$2:$AH$1001,0),MATCH(COLUMNS($AO$1006:AX1006),$AO$1006:$BQ$1006,0)), HYPERLINK("#",""), HYPERLINK(CONCATENATE("#Metadata!", ADDRESS(INDEX($AJ$2:$AJ$1001,MATCH(ROWS($AH$2:AH687),$AH$2:$AH$1001,0),0), INDEX($AO$1004:$BQ$1004,1,MATCH(COLUMNS($AO$1006:AX1006),$AO$1006:$BQ$1006,0)))),"Fix")))</f>
        <v>#N/A</v>
      </c>
      <c r="L687" s="5" t="e">
        <f ca="1">IF(OR(INDEX($AI$2:$AI$1001,MATCH(ROWS($AH$2:AH687),$AH$2:$AH$1001,0),1)&gt;=100000,INDEX($AO$1005:$BQ$1005,1,MATCH(COLUMNS($AO$1006:AY1006),$AO$1006:$BQ$1006,0))&gt;=100000), " ",IF(INDEX($AO$2:$BQ$1001,MATCH(ROWS($AH$2:AH687),$AH$2:$AH$1001,0),MATCH(COLUMNS($AO$1006:AY1006),$AO$1006:$BQ$1006,0)), HYPERLINK("#",""), HYPERLINK(CONCATENATE("#Metadata!", ADDRESS(INDEX($AJ$2:$AJ$1001,MATCH(ROWS($AH$2:AH687),$AH$2:$AH$1001,0),0), INDEX($AO$1004:$BQ$1004,1,MATCH(COLUMNS($AO$1006:AY1006),$AO$1006:$BQ$1006,0)))),"Fix")))</f>
        <v>#N/A</v>
      </c>
      <c r="M687" s="5" t="e">
        <f ca="1">IF(OR(INDEX($AI$2:$AI$1001,MATCH(ROWS($AH$2:AH687),$AH$2:$AH$1001,0),1)&gt;=100000,INDEX($AO$1005:$BQ$1005,1,MATCH(COLUMNS($AO$1006:AZ1006),$AO$1006:$BQ$1006,0))&gt;=100000), " ",IF(INDEX($AO$2:$BQ$1001,MATCH(ROWS($AH$2:AH687),$AH$2:$AH$1001,0),MATCH(COLUMNS($AO$1006:AZ1006),$AO$1006:$BQ$1006,0)), HYPERLINK("#",""), HYPERLINK(CONCATENATE("#Metadata!", ADDRESS(INDEX($AJ$2:$AJ$1001,MATCH(ROWS($AH$2:AH687),$AH$2:$AH$1001,0),0), INDEX($AO$1004:$BQ$1004,1,MATCH(COLUMNS($AO$1006:AZ1006),$AO$1006:$BQ$1006,0)))),"Fix")))</f>
        <v>#N/A</v>
      </c>
      <c r="N687" s="5" t="e">
        <f ca="1">IF(OR(INDEX($AI$2:$AI$1001,MATCH(ROWS($AH$2:AH687),$AH$2:$AH$1001,0),1)&gt;=100000,INDEX($AO$1005:$BQ$1005,1,MATCH(COLUMNS($AO$1006:BA1006),$AO$1006:$BQ$1006,0))&gt;=100000), " ",IF(INDEX($AO$2:$BQ$1001,MATCH(ROWS($AH$2:AH687),$AH$2:$AH$1001,0),MATCH(COLUMNS($AO$1006:BA1006),$AO$1006:$BQ$1006,0)), HYPERLINK("#",""), HYPERLINK(CONCATENATE("#Metadata!", ADDRESS(INDEX($AJ$2:$AJ$1001,MATCH(ROWS($AH$2:AH687),$AH$2:$AH$1001,0),0), INDEX($AO$1004:$BQ$1004,1,MATCH(COLUMNS($AO$1006:BA1006),$AO$1006:$BQ$1006,0)))),"Fix")))</f>
        <v>#N/A</v>
      </c>
      <c r="O687" s="5" t="e">
        <f ca="1">IF(OR(INDEX($AI$2:$AI$1001,MATCH(ROWS($AH$2:AH687),$AH$2:$AH$1001,0),1)&gt;=100000,INDEX($AO$1005:$BQ$1005,1,MATCH(COLUMNS($AO$1006:BB1006),$AO$1006:$BQ$1006,0))&gt;=100000), " ",IF(INDEX($AO$2:$BQ$1001,MATCH(ROWS($AH$2:AH687),$AH$2:$AH$1001,0),MATCH(COLUMNS($AO$1006:BB1006),$AO$1006:$BQ$1006,0)), HYPERLINK("#",""), HYPERLINK(CONCATENATE("#Metadata!", ADDRESS(INDEX($AJ$2:$AJ$1001,MATCH(ROWS($AH$2:AH687),$AH$2:$AH$1001,0),0), INDEX($AO$1004:$BQ$1004,1,MATCH(COLUMNS($AO$1006:BB1006),$AO$1006:$BQ$1006,0)))),"Fix")))</f>
        <v>#N/A</v>
      </c>
      <c r="P687" s="5" t="e">
        <f ca="1">IF(OR(INDEX($AI$2:$AI$1001,MATCH(ROWS($AH$2:AH687),$AH$2:$AH$1001,0),1)&gt;=100000,INDEX($AO$1005:$BQ$1005,1,MATCH(COLUMNS($AO$1006:BC1006),$AO$1006:$BQ$1006,0))&gt;=100000), " ",IF(INDEX($AO$2:$BQ$1001,MATCH(ROWS($AH$2:AH687),$AH$2:$AH$1001,0),MATCH(COLUMNS($AO$1006:BC1006),$AO$1006:$BQ$1006,0)), HYPERLINK("#",""), HYPERLINK(CONCATENATE("#Metadata!", ADDRESS(INDEX($AJ$2:$AJ$1001,MATCH(ROWS($AH$2:AH687),$AH$2:$AH$1001,0),0), INDEX($AO$1004:$BQ$1004,1,MATCH(COLUMNS($AO$1006:BC1006),$AO$1006:$BQ$1006,0)))),"Fix")))</f>
        <v>#N/A</v>
      </c>
      <c r="Q687" s="5" t="e">
        <f ca="1">IF(OR(INDEX($AI$2:$AI$1001,MATCH(ROWS($AH$2:AH687),$AH$2:$AH$1001,0),1)&gt;=100000,INDEX($AO$1005:$BQ$1005,1,MATCH(COLUMNS($AO$1006:BD1006),$AO$1006:$BQ$1006,0))&gt;=100000), " ",IF(INDEX($AO$2:$BQ$1001,MATCH(ROWS($AH$2:AH687),$AH$2:$AH$1001,0),MATCH(COLUMNS($AO$1006:BD1006),$AO$1006:$BQ$1006,0)), HYPERLINK("#",""), HYPERLINK(CONCATENATE("#Metadata!", ADDRESS(INDEX($AJ$2:$AJ$1001,MATCH(ROWS($AH$2:AH687),$AH$2:$AH$1001,0),0), INDEX($AO$1004:$BQ$1004,1,MATCH(COLUMNS($AO$1006:BD1006),$AO$1006:$BQ$1006,0)))),"Fix")))</f>
        <v>#N/A</v>
      </c>
      <c r="R687" s="5" t="e">
        <f ca="1">IF(OR(INDEX($AI$2:$AI$1001,MATCH(ROWS($AH$2:AH687),$AH$2:$AH$1001,0),1)&gt;=100000,INDEX($AO$1005:$BQ$1005,1,MATCH(COLUMNS($AO$1006:BE1006),$AO$1006:$BQ$1006,0))&gt;=100000), " ",IF(INDEX($AO$2:$BQ$1001,MATCH(ROWS($AH$2:AH687),$AH$2:$AH$1001,0),MATCH(COLUMNS($AO$1006:BE1006),$AO$1006:$BQ$1006,0)), HYPERLINK("#",""), HYPERLINK(CONCATENATE("#Metadata!", ADDRESS(INDEX($AJ$2:$AJ$1001,MATCH(ROWS($AH$2:AH687),$AH$2:$AH$1001,0),0), INDEX($AO$1004:$BQ$1004,1,MATCH(COLUMNS($AO$1006:BE1006),$AO$1006:$BQ$1006,0)))),"Fix")))</f>
        <v>#N/A</v>
      </c>
      <c r="S687" s="5" t="e">
        <f ca="1">IF(OR(INDEX($AI$2:$AI$1001,MATCH(ROWS($AH$2:AH687),$AH$2:$AH$1001,0),1)&gt;=100000,INDEX($AO$1005:$BQ$1005,1,MATCH(COLUMNS($AO$1006:BF1006),$AO$1006:$BQ$1006,0))&gt;=100000), " ",IF(INDEX($AO$2:$BQ$1001,MATCH(ROWS($AH$2:AH687),$AH$2:$AH$1001,0),MATCH(COLUMNS($AO$1006:BF1006),$AO$1006:$BQ$1006,0)), HYPERLINK("#",""), HYPERLINK(CONCATENATE("#Metadata!", ADDRESS(INDEX($AJ$2:$AJ$1001,MATCH(ROWS($AH$2:AH687),$AH$2:$AH$1001,0),0), INDEX($AO$1004:$BQ$1004,1,MATCH(COLUMNS($AO$1006:BF1006),$AO$1006:$BQ$1006,0)))),"Fix")))</f>
        <v>#N/A</v>
      </c>
      <c r="T687" s="5" t="e">
        <f ca="1">IF(OR(INDEX($AI$2:$AI$1001,MATCH(ROWS($AH$2:AH687),$AH$2:$AH$1001,0),1)&gt;=100000,INDEX($AO$1005:$BQ$1005,1,MATCH(COLUMNS($AO$1006:BG1006),$AO$1006:$BQ$1006,0))&gt;=100000), " ",IF(INDEX($AO$2:$BQ$1001,MATCH(ROWS($AH$2:AH687),$AH$2:$AH$1001,0),MATCH(COLUMNS($AO$1006:BG1006),$AO$1006:$BQ$1006,0)), HYPERLINK("#",""), HYPERLINK(CONCATENATE("#Metadata!", ADDRESS(INDEX($AJ$2:$AJ$1001,MATCH(ROWS($AH$2:AH687),$AH$2:$AH$1001,0),0), INDEX($AO$1004:$BQ$1004,1,MATCH(COLUMNS($AO$1006:BG1006),$AO$1006:$BQ$1006,0)))),"Fix")))</f>
        <v>#N/A</v>
      </c>
      <c r="U687" s="5" t="e">
        <f ca="1">IF(OR(INDEX($AI$2:$AI$1001,MATCH(ROWS($AH$2:AH687),$AH$2:$AH$1001,0),1)&gt;=100000,INDEX($AO$1005:$BQ$1005,1,MATCH(COLUMNS($AO$1006:BH1006),$AO$1006:$BQ$1006,0))&gt;=100000), " ",IF(INDEX($AO$2:$BQ$1001,MATCH(ROWS($AH$2:AH687),$AH$2:$AH$1001,0),MATCH(COLUMNS($AO$1006:BH1006),$AO$1006:$BQ$1006,0)), HYPERLINK("#",""), HYPERLINK(CONCATENATE("#Metadata!", ADDRESS(INDEX($AJ$2:$AJ$1001,MATCH(ROWS($AH$2:AH687),$AH$2:$AH$1001,0),0), INDEX($AO$1004:$BQ$1004,1,MATCH(COLUMNS($AO$1006:BH1006),$AO$1006:$BQ$1006,0)))),"Fix")))</f>
        <v>#N/A</v>
      </c>
      <c r="V687" s="5" t="e">
        <f ca="1">IF(OR(INDEX($AI$2:$AI$1001,MATCH(ROWS($AH$2:AH687),$AH$2:$AH$1001,0),1)&gt;=100000,INDEX($AO$1005:$BQ$1005,1,MATCH(COLUMNS($AO$1006:BI1006),$AO$1006:$BQ$1006,0))&gt;=100000), " ",IF(INDEX($AO$2:$BQ$1001,MATCH(ROWS($AH$2:AH687),$AH$2:$AH$1001,0),MATCH(COLUMNS($AO$1006:BI1006),$AO$1006:$BQ$1006,0)), HYPERLINK("#",""), HYPERLINK(CONCATENATE("#Metadata!", ADDRESS(INDEX($AJ$2:$AJ$1001,MATCH(ROWS($AH$2:AH687),$AH$2:$AH$1001,0),0), INDEX($AO$1004:$BQ$1004,1,MATCH(COLUMNS($AO$1006:BI1006),$AO$1006:$BQ$1006,0)))),"Fix")))</f>
        <v>#N/A</v>
      </c>
      <c r="W687" s="5" t="e">
        <f ca="1">IF(OR(INDEX($AI$2:$AI$1001,MATCH(ROWS($AH$2:AH687),$AH$2:$AH$1001,0),1)&gt;=100000,INDEX($AO$1005:$BQ$1005,1,MATCH(COLUMNS($AO$1006:BJ1006),$AO$1006:$BQ$1006,0))&gt;=100000), " ",IF(INDEX($AO$2:$BQ$1001,MATCH(ROWS($AH$2:AH687),$AH$2:$AH$1001,0),MATCH(COLUMNS($AO$1006:BJ1006),$AO$1006:$BQ$1006,0)), HYPERLINK("#",""), HYPERLINK(CONCATENATE("#Metadata!", ADDRESS(INDEX($AJ$2:$AJ$1001,MATCH(ROWS($AH$2:AH687),$AH$2:$AH$1001,0),0), INDEX($AO$1004:$BQ$1004,1,MATCH(COLUMNS($AO$1006:BJ1006),$AO$1006:$BQ$1006,0)))),"Fix")))</f>
        <v>#N/A</v>
      </c>
      <c r="X687" s="5" t="e">
        <f ca="1">IF(OR(INDEX($AI$2:$AI$1001,MATCH(ROWS($AH$2:AH687),$AH$2:$AH$1001,0),1)&gt;=100000,INDEX($AO$1005:$BQ$1005,1,MATCH(COLUMNS($AO$1006:BK1006),$AO$1006:$BQ$1006,0))&gt;=100000), " ",IF(INDEX($AO$2:$BQ$1001,MATCH(ROWS($AH$2:AH687),$AH$2:$AH$1001,0),MATCH(COLUMNS($AO$1006:BK1006),$AO$1006:$BQ$1006,0)), HYPERLINK("#",""), HYPERLINK(CONCATENATE("#Metadata!", ADDRESS(INDEX($AJ$2:$AJ$1001,MATCH(ROWS($AH$2:AH687),$AH$2:$AH$1001,0),0), INDEX($AO$1004:$BQ$1004,1,MATCH(COLUMNS($AO$1006:BK1006),$AO$1006:$BQ$1006,0)))),"Fix")))</f>
        <v>#N/A</v>
      </c>
      <c r="Y687" s="5" t="e">
        <f ca="1">IF(OR(INDEX($AI$2:$AI$1001,MATCH(ROWS($AH$2:AH687),$AH$2:$AH$1001,0),1)&gt;=100000,INDEX($AO$1005:$BQ$1005,1,MATCH(COLUMNS($AO$1006:BL1006),$AO$1006:$BQ$1006,0))&gt;=100000), " ",IF(INDEX($AO$2:$BQ$1001,MATCH(ROWS($AH$2:AH687),$AH$2:$AH$1001,0),MATCH(COLUMNS($AO$1006:BL1006),$AO$1006:$BQ$1006,0)), HYPERLINK("#",""), HYPERLINK(CONCATENATE("#Metadata!", ADDRESS(INDEX($AJ$2:$AJ$1001,MATCH(ROWS($AH$2:AH687),$AH$2:$AH$1001,0),0), INDEX($AO$1004:$BQ$1004,1,MATCH(COLUMNS($AO$1006:BL1006),$AO$1006:$BQ$1006,0)))),"Fix")))</f>
        <v>#N/A</v>
      </c>
      <c r="Z687" s="5" t="e">
        <f ca="1">IF(OR(INDEX($AI$2:$AI$1001,MATCH(ROWS($AH$2:AH687),$AH$2:$AH$1001,0),1)&gt;=100000,INDEX($AO$1005:$BQ$1005,1,MATCH(COLUMNS($AO$1006:BM1006),$AO$1006:$BQ$1006,0))&gt;=100000), " ",IF(INDEX($AO$2:$BQ$1001,MATCH(ROWS($AH$2:AH687),$AH$2:$AH$1001,0),MATCH(COLUMNS($AO$1006:BM1006),$AO$1006:$BQ$1006,0)), HYPERLINK("#",""), HYPERLINK(CONCATENATE("#Metadata!", ADDRESS(INDEX($AJ$2:$AJ$1001,MATCH(ROWS($AH$2:AH687),$AH$2:$AH$1001,0),0), INDEX($AO$1004:$BQ$1004,1,MATCH(COLUMNS($AO$1006:BM1006),$AO$1006:$BQ$1006,0)))),"Fix")))</f>
        <v>#N/A</v>
      </c>
      <c r="AA687" s="5" t="e">
        <f ca="1">IF(OR(INDEX($AI$2:$AI$1001,MATCH(ROWS($AH$2:AH687),$AH$2:$AH$1001,0),1)&gt;=100000,INDEX($AO$1005:$BQ$1005,1,MATCH(COLUMNS($AO$1006:BN1006),$AO$1006:$BQ$1006,0))&gt;=100000), " ",IF(INDEX($AO$2:$BQ$1001,MATCH(ROWS($AH$2:AH687),$AH$2:$AH$1001,0),MATCH(COLUMNS($AO$1006:BN1006),$AO$1006:$BQ$1006,0)), HYPERLINK("#",""), HYPERLINK(CONCATENATE("#Metadata!", ADDRESS(INDEX($AJ$2:$AJ$1001,MATCH(ROWS($AH$2:AH687),$AH$2:$AH$1001,0),0), INDEX($AO$1004:$BQ$1004,1,MATCH(COLUMNS($AO$1006:BN1006),$AO$1006:$BQ$1006,0)))),"Fix")))</f>
        <v>#N/A</v>
      </c>
      <c r="AB687" s="5" t="e">
        <f ca="1">IF(OR(INDEX($AI$2:$AI$1001,MATCH(ROWS($AH$2:AH687),$AH$2:$AH$1001,0),1)&gt;=100000,INDEX($AO$1005:$BQ$1005,1,MATCH(COLUMNS($AO$1006:BO1006),$AO$1006:$BQ$1006,0))&gt;=100000), " ",IF(INDEX($AO$2:$BQ$1001,MATCH(ROWS($AH$2:AH687),$AH$2:$AH$1001,0),MATCH(COLUMNS($AO$1006:BO1006),$AO$1006:$BQ$1006,0)), HYPERLINK("#",""), HYPERLINK(CONCATENATE("#Metadata!", ADDRESS(INDEX($AJ$2:$AJ$1001,MATCH(ROWS($AH$2:AH687),$AH$2:$AH$1001,0),0), INDEX($AO$1004:$BQ$1004,1,MATCH(COLUMNS($AO$1006:BO1006),$AO$1006:$BQ$1006,0)))),"Fix")))</f>
        <v>#N/A</v>
      </c>
      <c r="AC687" s="5" t="e">
        <f ca="1">IF(OR(INDEX($AI$2:$AI$1001,MATCH(ROWS($AH$2:AH687),$AH$2:$AH$1001,0),1)&gt;=100000,INDEX($AO$1005:$BQ$1005,1,MATCH(COLUMNS($AO$1006:BP1006),$AO$1006:$BQ$1006,0))&gt;=100000), " ",IF(INDEX($AO$2:$BQ$1001,MATCH(ROWS($AH$2:AH687),$AH$2:$AH$1001,0),MATCH(COLUMNS($AO$1006:BP1006),$AO$1006:$BQ$1006,0)), HYPERLINK("#",""), HYPERLINK(CONCATENATE("#Metadata!", ADDRESS(INDEX($AJ$2:$AJ$1001,MATCH(ROWS($AH$2:AH687),$AH$2:$AH$1001,0),0), INDEX($AO$1004:$BQ$1004,1,MATCH(COLUMNS($AO$1006:BP1006),$AO$1006:$BQ$1006,0)))),"Fix")))</f>
        <v>#N/A</v>
      </c>
      <c r="AD687" s="5" t="e">
        <f ca="1">IF(OR(INDEX($AI$2:$AI$1001,MATCH(ROWS($AH$2:AH687),$AH$2:$AH$1001,0),1)&gt;=100000,INDEX($AO$1005:$BQ$1005,1,MATCH(COLUMNS($AO$1006:BQ1006),$AO$1006:$BQ$1006,0))&gt;=100000), " ",IF(INDEX($AO$2:$BQ$1001,MATCH(ROWS($AH$2:AH687),$AH$2:$AH$1001,0),MATCH(COLUMNS($AO$1006:BQ1006),$AO$1006:$BQ$1006,0)), HYPERLINK("#",""), HYPERLINK(CONCATENATE("#Metadata!", ADDRESS(INDEX($AJ$2:$AJ$1001,MATCH(ROWS($AH$2:AH687),$AH$2:$AH$1001,0),0), INDEX($AO$1004:$BQ$1004,1,MATCH(COLUMNS($AO$1006:BQ1006),$AO$1006:$BQ$1006,0)))),"Fix")))</f>
        <v>#REF!</v>
      </c>
      <c r="AH687">
        <f ca="1"/>
        <v>684</v>
      </c>
      <c r="AI687">
        <v>100687</v>
      </c>
      <c r="AJ687">
        <v>687</v>
      </c>
      <c r="AK687" t="b">
        <f t="shared" si="10"/>
        <v>1</v>
      </c>
      <c r="AL687" t="b">
        <f>COUNTBLANK(Metadata!B687:AD687)=COLUMNS(Metadata!B687:AD687)</f>
        <v>1</v>
      </c>
      <c r="AM687" t="str">
        <v/>
      </c>
      <c r="AO687" t="b">
        <f ca="1">AND(IF(Metadata!B687="",FALSE,TRUE),COUNTIF(Metadata!B:B, Metadata!B687) = 1,NOT(ISERROR(SUMPRODUCT(SEARCH(MID(Metadata!B687,ROW(INDIRECT("1:"&amp;LEN(Metadata!B687))), 1),"0123456789abcdefghijklmnopqrstuvwxyzABCDEFGHIJKLMNOPQRSTUVWXYZ.")))))</f>
        <v>0</v>
      </c>
      <c r="AP687" t="b">
        <f>IF(Metadata!C687="",FALSE,TRUE)</f>
        <v>0</v>
      </c>
      <c r="AQ687" t="b">
        <f>IF(Metadata!D687="",FALSE,TRUE)</f>
        <v>0</v>
      </c>
      <c r="AR687" t="b">
        <f ca="1">OR(AND(IF(Metadata!E687="",FALSE,TRUE),OR(EXACT(Metadata!E687,"not collected"),EXACT(Metadata!E687,"not provided"),EXACT(Metadata!E687,"restricted access"))),AND(IF(Metadata!E687="",FALSE,TRUE),AND(AND(IFERROR(INT(LEFT(Metadata!E687,4))&gt;1900,FALSE),IFERROR(INT(LEFT(Metadata!E687,4))&lt;=YEAR(NOW()),FALSE)), OR(MID(Metadata!E687,5,1)="", AND(AND(MID(Metadata!E687,5,1)="-",IFERROR(INT(MID(Metadata!E687,6,1))&gt;=0,FALSE),IFERROR(INT(MID(Metadata!E687,6,1))&lt;=1,FALSE),NOT(MID(Metadata!E687,7,1)=""),IFERROR(INT(MID(Metadata!E687,6,2))&gt;=1,FALSE),IFERROR(INT(MID(Metadata!E687,6,2))&lt;=12,FALSE)), OR(MID(Metadata!E687,8,1)="", AND(AND(MID(Metadata!E687,8,1)="-",IFERROR(INT(MID(Metadata!E687,9,1))&gt;=0,FALSE),IFERROR(INT(MID(Metadata!E687,9,1))&lt;=3,FALSE),NOT(MID(Metadata!E687,10,1)=""),IFERROR(INT(MID(Metadata!E687,9,2))&gt;=1,FALSE),IFERROR(INT(MID(Metadata!E687,9,2))&lt;=31,FALSE)), OR(MID(Metadata!E687,11,1)="", AND(AND(MID(Metadata!E687,11,1)=" ",IFERROR(INT(MID(Metadata!E687,12,1))&gt;=0,FALSE),IFERROR(INT(MID(Metadata!E687,12,1))&lt;=2,FALSE),NOT(MID(Metadata!E687,13,1)=""),IFERROR(INT(MID(Metadata!E687,12,2))&gt;=0,FALSE),IFERROR(INT(MID(Metadata!E687,12,2))&lt;=23,FALSE)), OR(MID(Metadata!E687,14,1)="", AND(AND(MID(Metadata!E687,14,1)=":",IFERROR(INT(MID(Metadata!E687,15,1))&gt;=0,FALSE),IFERROR(INT(MID(Metadata!E687,15,1))&lt;=5,FALSE),NOT(MID(Metadata!E687,16,1)=""),IFERROR(INT(MID(Metadata!E687,15,2))&gt;=0,FALSE),IFERROR(INT(MID(Metadata!E687,15,2))&lt;=59,FALSE)), OR(MID(Metadata!E687,17,1)="", AND(AND(MID(Metadata!E687,17,1)=":",IFERROR(INT(MID(Metadata!E687,18,1))&gt;=0,FALSE),IFERROR(INT(MID(Metadata!E687,18,1))&lt;=5,FALSE),NOT(MID(Metadata!E687,19,1)=""),IFERROR(INT(MID(Metadata!E687,18,2))&gt;=0,FALSE),IFERROR(INT(MID(Metadata!E687,18,2))&lt;=59,FALSE)), LEN(Metadata!E687)&lt;=19)))))))))))))</f>
        <v>0</v>
      </c>
      <c r="AS687" t="b">
        <f>IF(Metadata!F687="",FALSE,TRUE)</f>
        <v>0</v>
      </c>
      <c r="AT687" t="b">
        <f>OR(AND(IF(Metadata!G687="",FALSE,TRUE),OR(EXACT(Metadata!G687,"not collected"),EXACT(Metadata!G687,"not provided"))),AND(IF(Metadata!G687="",FALSE,TRUE),OR(EXACT(Metadata!G687,"TRUE"),EXACT(Metadata!G687,"FALSE"))))</f>
        <v>0</v>
      </c>
      <c r="AU687" t="b">
        <f>OR(AND(IF(Metadata!H687="",FALSE,TRUE),OR(EXACT(Metadata!H687,"not collected"),EXACT(Metadata!H687,"not provided"),EXACT(Metadata!H687,"restricted access"))),AND(IF(Metadata!H687="",FALSE,ISNUMBER(VALUE(Metadata!H687))),Metadata!H687&gt;=-413))</f>
        <v>0</v>
      </c>
      <c r="AV687" t="b">
        <f>AND(IF(Metadata!I687="",FALSE,TRUE),EXACT(Metadata!I687,"meters"))</f>
        <v>0</v>
      </c>
      <c r="AW687" t="b">
        <f>AND(IF(Metadata!J687="",FALSE,TRUE),EXACT(Metadata!J687,"free-living"))</f>
        <v>0</v>
      </c>
      <c r="AX687" t="b">
        <f>AND(IF(Metadata!K687="",FALSE,TRUE),OR(EXACT(Metadata!K687,"saline"),EXACT(Metadata!K687,"non-saline")))</f>
        <v>0</v>
      </c>
      <c r="AY687" t="b">
        <f>AND(IF(Metadata!L687="",FALSE,TRUE),OR(EXACT(Metadata!L687,"sub-surface (non-saline)"),EXACT(Metadata!L687,"surface (non-saline)"),EXACT(Metadata!L687,"water (non-saline)"),EXACT(Metadata!L687,"soil (non-saline)"),EXACT(Metadata!L687,"aerosol (non-saline)"),EXACT(Metadata!L687,"sediment (non-saline)"),EXACT(Metadata!L687,"surface (saline)"),EXACT(Metadata!L687,"water (saline)"),EXACT(Metadata!L687,"hypersaline (saline)"),EXACT(Metadata!L687,"aerosol (saline)"),EXACT(Metadata!L687,"sediment (saline)")))</f>
        <v>0</v>
      </c>
      <c r="AZ687" t="b">
        <f>IF(Metadata!M687="",FALSE,TRUE)</f>
        <v>0</v>
      </c>
      <c r="BA687" t="b">
        <f>IF(Metadata!N687="",FALSE,TRUE)</f>
        <v>0</v>
      </c>
      <c r="BB687" t="b">
        <f>IF(Metadata!O687="",FALSE,TRUE)</f>
        <v>0</v>
      </c>
      <c r="BC687" t="b">
        <f>AND(IF(Metadata!P687="",FALSE,TRUE),OR(EXACT(Metadata!P687,"air"),EXACT(Metadata!P687,"microbial mat/biofilm"),EXACT(Metadata!P687,"misc environment"),EXACT(Metadata!P687,"sediment"),EXACT(Metadata!P687,"soil"),EXACT(Metadata!P687,"wastewater/sludge"),EXACT(Metadata!P687,"water")))</f>
        <v>0</v>
      </c>
      <c r="BD687" t="b">
        <f>IF(Metadata!Q687="",FALSE,TRUE)</f>
        <v>0</v>
      </c>
      <c r="BE687" t="b">
        <f>IF(Metadata!R687="",FALSE,TRUE)</f>
        <v>0</v>
      </c>
      <c r="BF687" t="b">
        <f>OR(AND(IF(Metadata!S687="",FALSE,TRUE),OR(EXACT(Metadata!S687,"not collected"),EXACT(Metadata!S687,"not provided"),EXACT(Metadata!S687,"restricted access"))),AND(IF(Metadata!S687="",FALSE,ISNUMBER(VALUE(Metadata!S687))),Metadata!S687&gt;=-90,Metadata!S687&lt;=90))</f>
        <v>0</v>
      </c>
      <c r="BG687" t="b">
        <f>AND(IF(Metadata!T687="",FALSE,TRUE),EXACT(Metadata!T687,"Decimal degrees"))</f>
        <v>0</v>
      </c>
      <c r="BH687" t="b">
        <f>OR(AND(IF(Metadata!U687="",FALSE,TRUE),OR(EXACT(Metadata!U687,"not applicable"),EXACT(Metadata!U687,"not collected"))),IF(Metadata!U687="",FALSE,TRUE))</f>
        <v>0</v>
      </c>
      <c r="BI687" t="b">
        <f>OR(AND(IF(Metadata!V687="",FALSE,TRUE),OR(EXACT(Metadata!V687,"not collected"),EXACT(Metadata!V687,"not provided"),EXACT(Metadata!V687,"restricted access"))),AND(IF(Metadata!V687="",FALSE,ISNUMBER(VALUE(Metadata!V687))),Metadata!V687&gt;=-180,Metadata!V687&lt;=180))</f>
        <v>0</v>
      </c>
      <c r="BJ687" t="b">
        <f>AND(IF(Metadata!W687="",FALSE,TRUE),EXACT(Metadata!W687,"Decimal degrees"))</f>
        <v>0</v>
      </c>
      <c r="BK687" t="b">
        <f>IF(Metadata!X687="",FALSE,TRUE)</f>
        <v>0</v>
      </c>
      <c r="BL687" t="b">
        <f>OR(AND(IF(Metadata!Y687="",FALSE,TRUE),OR(EXACT(Metadata!Y687,"not collected"),EXACT(Metadata!Y687,"not provided"),EXACT(Metadata!Y687,"restricted access"))),AND(IF(Metadata!Y687="",FALSE,TRUE),OR(EXACT(Metadata!Y687,"TRUE"),EXACT(Metadata!Y687,"FALSE"))))</f>
        <v>0</v>
      </c>
      <c r="BM687" t="b">
        <f>OR(AND(IF(Metadata!Z687="",FALSE,TRUE),EXACT(Metadata!Z687,"not applicable")),AND(IF(Metadata!Z687="",FALSE,TRUE),OR(EXACT(Metadata!Z687,"beer"),EXACT(Metadata!Z687,"cheese"),EXACT(Metadata!Z687,"fresh water"),EXACT(Metadata!Z687,"marine sediment"),EXACT(Metadata!Z687,"sea water"),EXACT(Metadata!Z687,"sediment"),EXACT(Metadata!Z687,"soil"),EXACT(Metadata!Z687,"waste water"))))</f>
        <v>0</v>
      </c>
      <c r="BN687" t="b">
        <f>AND(IF(Metadata!AA687="",FALSE,TRUE),EXACT(Metadata!AA687,"metagenome"))</f>
        <v>0</v>
      </c>
      <c r="BO687" t="b">
        <f>AND(IF(Metadata!AB687="",FALSE,TRUE),EXACT(Metadata!AB687,"256318"))</f>
        <v>0</v>
      </c>
      <c r="BP687" t="b">
        <f>IF(Metadata!AC687="",FALSE,TRUE)</f>
        <v>0</v>
      </c>
      <c r="BQ687" t="b">
        <f>IF(Metadata!AD687="",FALSE,TRUE)</f>
        <v>0</v>
      </c>
    </row>
    <row r="688" spans="1:69" x14ac:dyDescent="0.2">
      <c r="A688" s="4" t="e">
        <f ca="1">IF(B688=" "," ",HYPERLINK(CONCATENATE("#metadata!",ADDRESS(INDEX($AJ$2:$AJ$1001,MATCH(ROWS($AH$2:AH688),$AH$2:$AH$1001,0),0),2)),INDEX($AM$2:$AM$1001,MATCH(ROWS($AH$2:AH688),$AH$2:$AH$1001,0),0)))</f>
        <v>#N/A</v>
      </c>
      <c r="B688" s="5" t="e">
        <f ca="1">IF(OR(INDEX($AI$2:$AI$1001,MATCH(ROWS($AH$2:AH688),$AH$2:$AH$1001,0),1)&gt;=100000,INDEX($AO$1005:$BQ$1005,1,MATCH(COLUMNS($AO$1006:AO1006),$AO$1006:$BQ$1006,0))&gt;=100000), " ",IF(INDEX($AO$2:$BQ$1001,MATCH(ROWS($AH$2:AH688),$AH$2:$AH$1001,0),MATCH(COLUMNS($AO$1006:AO1006),$AO$1006:$BQ$1006,0)), HYPERLINK("#",""), HYPERLINK(CONCATENATE("#Metadata!", ADDRESS(INDEX($AJ$2:$AJ$1001,MATCH(ROWS($AH$2:AH688),$AH$2:$AH$1001,0),0), INDEX($AO$1004:$BQ$1004,1,MATCH(COLUMNS($AO$1006:AO1006),$AO$1006:$BQ$1006,0)))),"Fix")))</f>
        <v>#N/A</v>
      </c>
      <c r="C688" s="5" t="e">
        <f ca="1">IF(OR(INDEX($AI$2:$AI$1001,MATCH(ROWS($AH$2:AH688),$AH$2:$AH$1001,0),1)&gt;=100000,INDEX($AO$1005:$BQ$1005,1,MATCH(COLUMNS($AO$1006:AP1006),$AO$1006:$BQ$1006,0))&gt;=100000), " ",IF(INDEX($AO$2:$BQ$1001,MATCH(ROWS($AH$2:AH688),$AH$2:$AH$1001,0),MATCH(COLUMNS($AO$1006:AP1006),$AO$1006:$BQ$1006,0)), HYPERLINK("#",""), HYPERLINK(CONCATENATE("#Metadata!", ADDRESS(INDEX($AJ$2:$AJ$1001,MATCH(ROWS($AH$2:AH688),$AH$2:$AH$1001,0),0), INDEX($AO$1004:$BQ$1004,1,MATCH(COLUMNS($AO$1006:AP1006),$AO$1006:$BQ$1006,0)))),"Fix")))</f>
        <v>#N/A</v>
      </c>
      <c r="D688" s="5" t="e">
        <f ca="1">IF(OR(INDEX($AI$2:$AI$1001,MATCH(ROWS($AH$2:AH688),$AH$2:$AH$1001,0),1)&gt;=100000,INDEX($AO$1005:$BQ$1005,1,MATCH(COLUMNS($AO$1006:AQ1006),$AO$1006:$BQ$1006,0))&gt;=100000), " ",IF(INDEX($AO$2:$BQ$1001,MATCH(ROWS($AH$2:AH688),$AH$2:$AH$1001,0),MATCH(COLUMNS($AO$1006:AQ1006),$AO$1006:$BQ$1006,0)), HYPERLINK("#",""), HYPERLINK(CONCATENATE("#Metadata!", ADDRESS(INDEX($AJ$2:$AJ$1001,MATCH(ROWS($AH$2:AH688),$AH$2:$AH$1001,0),0), INDEX($AO$1004:$BQ$1004,1,MATCH(COLUMNS($AO$1006:AQ1006),$AO$1006:$BQ$1006,0)))),"Fix")))</f>
        <v>#N/A</v>
      </c>
      <c r="E688" s="5" t="e">
        <f ca="1">IF(OR(INDEX($AI$2:$AI$1001,MATCH(ROWS($AH$2:AH688),$AH$2:$AH$1001,0),1)&gt;=100000,INDEX($AO$1005:$BQ$1005,1,MATCH(COLUMNS($AO$1006:AR1006),$AO$1006:$BQ$1006,0))&gt;=100000), " ",IF(INDEX($AO$2:$BQ$1001,MATCH(ROWS($AH$2:AH688),$AH$2:$AH$1001,0),MATCH(COLUMNS($AO$1006:AR1006),$AO$1006:$BQ$1006,0)), HYPERLINK("#",""), HYPERLINK(CONCATENATE("#Metadata!", ADDRESS(INDEX($AJ$2:$AJ$1001,MATCH(ROWS($AH$2:AH688),$AH$2:$AH$1001,0),0), INDEX($AO$1004:$BQ$1004,1,MATCH(COLUMNS($AO$1006:AR1006),$AO$1006:$BQ$1006,0)))),"Fix")))</f>
        <v>#N/A</v>
      </c>
      <c r="F688" s="5" t="e">
        <f ca="1">IF(OR(INDEX($AI$2:$AI$1001,MATCH(ROWS($AH$2:AH688),$AH$2:$AH$1001,0),1)&gt;=100000,INDEX($AO$1005:$BQ$1005,1,MATCH(COLUMNS($AO$1006:AS1006),$AO$1006:$BQ$1006,0))&gt;=100000), " ",IF(INDEX($AO$2:$BQ$1001,MATCH(ROWS($AH$2:AH688),$AH$2:$AH$1001,0),MATCH(COLUMNS($AO$1006:AS1006),$AO$1006:$BQ$1006,0)), HYPERLINK("#",""), HYPERLINK(CONCATENATE("#Metadata!", ADDRESS(INDEX($AJ$2:$AJ$1001,MATCH(ROWS($AH$2:AH688),$AH$2:$AH$1001,0),0), INDEX($AO$1004:$BQ$1004,1,MATCH(COLUMNS($AO$1006:AS1006),$AO$1006:$BQ$1006,0)))),"Fix")))</f>
        <v>#N/A</v>
      </c>
      <c r="G688" s="5" t="e">
        <f ca="1">IF(OR(INDEX($AI$2:$AI$1001,MATCH(ROWS($AH$2:AH688),$AH$2:$AH$1001,0),1)&gt;=100000,INDEX($AO$1005:$BQ$1005,1,MATCH(COLUMNS($AO$1006:AT1006),$AO$1006:$BQ$1006,0))&gt;=100000), " ",IF(INDEX($AO$2:$BQ$1001,MATCH(ROWS($AH$2:AH688),$AH$2:$AH$1001,0),MATCH(COLUMNS($AO$1006:AT1006),$AO$1006:$BQ$1006,0)), HYPERLINK("#",""), HYPERLINK(CONCATENATE("#Metadata!", ADDRESS(INDEX($AJ$2:$AJ$1001,MATCH(ROWS($AH$2:AH688),$AH$2:$AH$1001,0),0), INDEX($AO$1004:$BQ$1004,1,MATCH(COLUMNS($AO$1006:AT1006),$AO$1006:$BQ$1006,0)))),"Fix")))</f>
        <v>#N/A</v>
      </c>
      <c r="H688" s="5" t="e">
        <f ca="1">IF(OR(INDEX($AI$2:$AI$1001,MATCH(ROWS($AH$2:AH688),$AH$2:$AH$1001,0),1)&gt;=100000,INDEX($AO$1005:$BQ$1005,1,MATCH(COLUMNS($AO$1006:AU1006),$AO$1006:$BQ$1006,0))&gt;=100000), " ",IF(INDEX($AO$2:$BQ$1001,MATCH(ROWS($AH$2:AH688),$AH$2:$AH$1001,0),MATCH(COLUMNS($AO$1006:AU1006),$AO$1006:$BQ$1006,0)), HYPERLINK("#",""), HYPERLINK(CONCATENATE("#Metadata!", ADDRESS(INDEX($AJ$2:$AJ$1001,MATCH(ROWS($AH$2:AH688),$AH$2:$AH$1001,0),0), INDEX($AO$1004:$BQ$1004,1,MATCH(COLUMNS($AO$1006:AU1006),$AO$1006:$BQ$1006,0)))),"Fix")))</f>
        <v>#N/A</v>
      </c>
      <c r="I688" s="5" t="e">
        <f ca="1">IF(OR(INDEX($AI$2:$AI$1001,MATCH(ROWS($AH$2:AH688),$AH$2:$AH$1001,0),1)&gt;=100000,INDEX($AO$1005:$BQ$1005,1,MATCH(COLUMNS($AO$1006:AV1006),$AO$1006:$BQ$1006,0))&gt;=100000), " ",IF(INDEX($AO$2:$BQ$1001,MATCH(ROWS($AH$2:AH688),$AH$2:$AH$1001,0),MATCH(COLUMNS($AO$1006:AV1006),$AO$1006:$BQ$1006,0)), HYPERLINK("#",""), HYPERLINK(CONCATENATE("#Metadata!", ADDRESS(INDEX($AJ$2:$AJ$1001,MATCH(ROWS($AH$2:AH688),$AH$2:$AH$1001,0),0), INDEX($AO$1004:$BQ$1004,1,MATCH(COLUMNS($AO$1006:AV1006),$AO$1006:$BQ$1006,0)))),"Fix")))</f>
        <v>#N/A</v>
      </c>
      <c r="J688" s="5" t="e">
        <f ca="1">IF(OR(INDEX($AI$2:$AI$1001,MATCH(ROWS($AH$2:AH688),$AH$2:$AH$1001,0),1)&gt;=100000,INDEX($AO$1005:$BQ$1005,1,MATCH(COLUMNS($AO$1006:AW1006),$AO$1006:$BQ$1006,0))&gt;=100000), " ",IF(INDEX($AO$2:$BQ$1001,MATCH(ROWS($AH$2:AH688),$AH$2:$AH$1001,0),MATCH(COLUMNS($AO$1006:AW1006),$AO$1006:$BQ$1006,0)), HYPERLINK("#",""), HYPERLINK(CONCATENATE("#Metadata!", ADDRESS(INDEX($AJ$2:$AJ$1001,MATCH(ROWS($AH$2:AH688),$AH$2:$AH$1001,0),0), INDEX($AO$1004:$BQ$1004,1,MATCH(COLUMNS($AO$1006:AW1006),$AO$1006:$BQ$1006,0)))),"Fix")))</f>
        <v>#N/A</v>
      </c>
      <c r="K688" s="5" t="e">
        <f ca="1">IF(OR(INDEX($AI$2:$AI$1001,MATCH(ROWS($AH$2:AH688),$AH$2:$AH$1001,0),1)&gt;=100000,INDEX($AO$1005:$BQ$1005,1,MATCH(COLUMNS($AO$1006:AX1006),$AO$1006:$BQ$1006,0))&gt;=100000), " ",IF(INDEX($AO$2:$BQ$1001,MATCH(ROWS($AH$2:AH688),$AH$2:$AH$1001,0),MATCH(COLUMNS($AO$1006:AX1006),$AO$1006:$BQ$1006,0)), HYPERLINK("#",""), HYPERLINK(CONCATENATE("#Metadata!", ADDRESS(INDEX($AJ$2:$AJ$1001,MATCH(ROWS($AH$2:AH688),$AH$2:$AH$1001,0),0), INDEX($AO$1004:$BQ$1004,1,MATCH(COLUMNS($AO$1006:AX1006),$AO$1006:$BQ$1006,0)))),"Fix")))</f>
        <v>#N/A</v>
      </c>
      <c r="L688" s="5" t="e">
        <f ca="1">IF(OR(INDEX($AI$2:$AI$1001,MATCH(ROWS($AH$2:AH688),$AH$2:$AH$1001,0),1)&gt;=100000,INDEX($AO$1005:$BQ$1005,1,MATCH(COLUMNS($AO$1006:AY1006),$AO$1006:$BQ$1006,0))&gt;=100000), " ",IF(INDEX($AO$2:$BQ$1001,MATCH(ROWS($AH$2:AH688),$AH$2:$AH$1001,0),MATCH(COLUMNS($AO$1006:AY1006),$AO$1006:$BQ$1006,0)), HYPERLINK("#",""), HYPERLINK(CONCATENATE("#Metadata!", ADDRESS(INDEX($AJ$2:$AJ$1001,MATCH(ROWS($AH$2:AH688),$AH$2:$AH$1001,0),0), INDEX($AO$1004:$BQ$1004,1,MATCH(COLUMNS($AO$1006:AY1006),$AO$1006:$BQ$1006,0)))),"Fix")))</f>
        <v>#N/A</v>
      </c>
      <c r="M688" s="5" t="e">
        <f ca="1">IF(OR(INDEX($AI$2:$AI$1001,MATCH(ROWS($AH$2:AH688),$AH$2:$AH$1001,0),1)&gt;=100000,INDEX($AO$1005:$BQ$1005,1,MATCH(COLUMNS($AO$1006:AZ1006),$AO$1006:$BQ$1006,0))&gt;=100000), " ",IF(INDEX($AO$2:$BQ$1001,MATCH(ROWS($AH$2:AH688),$AH$2:$AH$1001,0),MATCH(COLUMNS($AO$1006:AZ1006),$AO$1006:$BQ$1006,0)), HYPERLINK("#",""), HYPERLINK(CONCATENATE("#Metadata!", ADDRESS(INDEX($AJ$2:$AJ$1001,MATCH(ROWS($AH$2:AH688),$AH$2:$AH$1001,0),0), INDEX($AO$1004:$BQ$1004,1,MATCH(COLUMNS($AO$1006:AZ1006),$AO$1006:$BQ$1006,0)))),"Fix")))</f>
        <v>#N/A</v>
      </c>
      <c r="N688" s="5" t="e">
        <f ca="1">IF(OR(INDEX($AI$2:$AI$1001,MATCH(ROWS($AH$2:AH688),$AH$2:$AH$1001,0),1)&gt;=100000,INDEX($AO$1005:$BQ$1005,1,MATCH(COLUMNS($AO$1006:BA1006),$AO$1006:$BQ$1006,0))&gt;=100000), " ",IF(INDEX($AO$2:$BQ$1001,MATCH(ROWS($AH$2:AH688),$AH$2:$AH$1001,0),MATCH(COLUMNS($AO$1006:BA1006),$AO$1006:$BQ$1006,0)), HYPERLINK("#",""), HYPERLINK(CONCATENATE("#Metadata!", ADDRESS(INDEX($AJ$2:$AJ$1001,MATCH(ROWS($AH$2:AH688),$AH$2:$AH$1001,0),0), INDEX($AO$1004:$BQ$1004,1,MATCH(COLUMNS($AO$1006:BA1006),$AO$1006:$BQ$1006,0)))),"Fix")))</f>
        <v>#N/A</v>
      </c>
      <c r="O688" s="5" t="e">
        <f ca="1">IF(OR(INDEX($AI$2:$AI$1001,MATCH(ROWS($AH$2:AH688),$AH$2:$AH$1001,0),1)&gt;=100000,INDEX($AO$1005:$BQ$1005,1,MATCH(COLUMNS($AO$1006:BB1006),$AO$1006:$BQ$1006,0))&gt;=100000), " ",IF(INDEX($AO$2:$BQ$1001,MATCH(ROWS($AH$2:AH688),$AH$2:$AH$1001,0),MATCH(COLUMNS($AO$1006:BB1006),$AO$1006:$BQ$1006,0)), HYPERLINK("#",""), HYPERLINK(CONCATENATE("#Metadata!", ADDRESS(INDEX($AJ$2:$AJ$1001,MATCH(ROWS($AH$2:AH688),$AH$2:$AH$1001,0),0), INDEX($AO$1004:$BQ$1004,1,MATCH(COLUMNS($AO$1006:BB1006),$AO$1006:$BQ$1006,0)))),"Fix")))</f>
        <v>#N/A</v>
      </c>
      <c r="P688" s="5" t="e">
        <f ca="1">IF(OR(INDEX($AI$2:$AI$1001,MATCH(ROWS($AH$2:AH688),$AH$2:$AH$1001,0),1)&gt;=100000,INDEX($AO$1005:$BQ$1005,1,MATCH(COLUMNS($AO$1006:BC1006),$AO$1006:$BQ$1006,0))&gt;=100000), " ",IF(INDEX($AO$2:$BQ$1001,MATCH(ROWS($AH$2:AH688),$AH$2:$AH$1001,0),MATCH(COLUMNS($AO$1006:BC1006),$AO$1006:$BQ$1006,0)), HYPERLINK("#",""), HYPERLINK(CONCATENATE("#Metadata!", ADDRESS(INDEX($AJ$2:$AJ$1001,MATCH(ROWS($AH$2:AH688),$AH$2:$AH$1001,0),0), INDEX($AO$1004:$BQ$1004,1,MATCH(COLUMNS($AO$1006:BC1006),$AO$1006:$BQ$1006,0)))),"Fix")))</f>
        <v>#N/A</v>
      </c>
      <c r="Q688" s="5" t="e">
        <f ca="1">IF(OR(INDEX($AI$2:$AI$1001,MATCH(ROWS($AH$2:AH688),$AH$2:$AH$1001,0),1)&gt;=100000,INDEX($AO$1005:$BQ$1005,1,MATCH(COLUMNS($AO$1006:BD1006),$AO$1006:$BQ$1006,0))&gt;=100000), " ",IF(INDEX($AO$2:$BQ$1001,MATCH(ROWS($AH$2:AH688),$AH$2:$AH$1001,0),MATCH(COLUMNS($AO$1006:BD1006),$AO$1006:$BQ$1006,0)), HYPERLINK("#",""), HYPERLINK(CONCATENATE("#Metadata!", ADDRESS(INDEX($AJ$2:$AJ$1001,MATCH(ROWS($AH$2:AH688),$AH$2:$AH$1001,0),0), INDEX($AO$1004:$BQ$1004,1,MATCH(COLUMNS($AO$1006:BD1006),$AO$1006:$BQ$1006,0)))),"Fix")))</f>
        <v>#N/A</v>
      </c>
      <c r="R688" s="5" t="e">
        <f ca="1">IF(OR(INDEX($AI$2:$AI$1001,MATCH(ROWS($AH$2:AH688),$AH$2:$AH$1001,0),1)&gt;=100000,INDEX($AO$1005:$BQ$1005,1,MATCH(COLUMNS($AO$1006:BE1006),$AO$1006:$BQ$1006,0))&gt;=100000), " ",IF(INDEX($AO$2:$BQ$1001,MATCH(ROWS($AH$2:AH688),$AH$2:$AH$1001,0),MATCH(COLUMNS($AO$1006:BE1006),$AO$1006:$BQ$1006,0)), HYPERLINK("#",""), HYPERLINK(CONCATENATE("#Metadata!", ADDRESS(INDEX($AJ$2:$AJ$1001,MATCH(ROWS($AH$2:AH688),$AH$2:$AH$1001,0),0), INDEX($AO$1004:$BQ$1004,1,MATCH(COLUMNS($AO$1006:BE1006),$AO$1006:$BQ$1006,0)))),"Fix")))</f>
        <v>#N/A</v>
      </c>
      <c r="S688" s="5" t="e">
        <f ca="1">IF(OR(INDEX($AI$2:$AI$1001,MATCH(ROWS($AH$2:AH688),$AH$2:$AH$1001,0),1)&gt;=100000,INDEX($AO$1005:$BQ$1005,1,MATCH(COLUMNS($AO$1006:BF1006),$AO$1006:$BQ$1006,0))&gt;=100000), " ",IF(INDEX($AO$2:$BQ$1001,MATCH(ROWS($AH$2:AH688),$AH$2:$AH$1001,0),MATCH(COLUMNS($AO$1006:BF1006),$AO$1006:$BQ$1006,0)), HYPERLINK("#",""), HYPERLINK(CONCATENATE("#Metadata!", ADDRESS(INDEX($AJ$2:$AJ$1001,MATCH(ROWS($AH$2:AH688),$AH$2:$AH$1001,0),0), INDEX($AO$1004:$BQ$1004,1,MATCH(COLUMNS($AO$1006:BF1006),$AO$1006:$BQ$1006,0)))),"Fix")))</f>
        <v>#N/A</v>
      </c>
      <c r="T688" s="5" t="e">
        <f ca="1">IF(OR(INDEX($AI$2:$AI$1001,MATCH(ROWS($AH$2:AH688),$AH$2:$AH$1001,0),1)&gt;=100000,INDEX($AO$1005:$BQ$1005,1,MATCH(COLUMNS($AO$1006:BG1006),$AO$1006:$BQ$1006,0))&gt;=100000), " ",IF(INDEX($AO$2:$BQ$1001,MATCH(ROWS($AH$2:AH688),$AH$2:$AH$1001,0),MATCH(COLUMNS($AO$1006:BG1006),$AO$1006:$BQ$1006,0)), HYPERLINK("#",""), HYPERLINK(CONCATENATE("#Metadata!", ADDRESS(INDEX($AJ$2:$AJ$1001,MATCH(ROWS($AH$2:AH688),$AH$2:$AH$1001,0),0), INDEX($AO$1004:$BQ$1004,1,MATCH(COLUMNS($AO$1006:BG1006),$AO$1006:$BQ$1006,0)))),"Fix")))</f>
        <v>#N/A</v>
      </c>
      <c r="U688" s="5" t="e">
        <f ca="1">IF(OR(INDEX($AI$2:$AI$1001,MATCH(ROWS($AH$2:AH688),$AH$2:$AH$1001,0),1)&gt;=100000,INDEX($AO$1005:$BQ$1005,1,MATCH(COLUMNS($AO$1006:BH1006),$AO$1006:$BQ$1006,0))&gt;=100000), " ",IF(INDEX($AO$2:$BQ$1001,MATCH(ROWS($AH$2:AH688),$AH$2:$AH$1001,0),MATCH(COLUMNS($AO$1006:BH1006),$AO$1006:$BQ$1006,0)), HYPERLINK("#",""), HYPERLINK(CONCATENATE("#Metadata!", ADDRESS(INDEX($AJ$2:$AJ$1001,MATCH(ROWS($AH$2:AH688),$AH$2:$AH$1001,0),0), INDEX($AO$1004:$BQ$1004,1,MATCH(COLUMNS($AO$1006:BH1006),$AO$1006:$BQ$1006,0)))),"Fix")))</f>
        <v>#N/A</v>
      </c>
      <c r="V688" s="5" t="e">
        <f ca="1">IF(OR(INDEX($AI$2:$AI$1001,MATCH(ROWS($AH$2:AH688),$AH$2:$AH$1001,0),1)&gt;=100000,INDEX($AO$1005:$BQ$1005,1,MATCH(COLUMNS($AO$1006:BI1006),$AO$1006:$BQ$1006,0))&gt;=100000), " ",IF(INDEX($AO$2:$BQ$1001,MATCH(ROWS($AH$2:AH688),$AH$2:$AH$1001,0),MATCH(COLUMNS($AO$1006:BI1006),$AO$1006:$BQ$1006,0)), HYPERLINK("#",""), HYPERLINK(CONCATENATE("#Metadata!", ADDRESS(INDEX($AJ$2:$AJ$1001,MATCH(ROWS($AH$2:AH688),$AH$2:$AH$1001,0),0), INDEX($AO$1004:$BQ$1004,1,MATCH(COLUMNS($AO$1006:BI1006),$AO$1006:$BQ$1006,0)))),"Fix")))</f>
        <v>#N/A</v>
      </c>
      <c r="W688" s="5" t="e">
        <f ca="1">IF(OR(INDEX($AI$2:$AI$1001,MATCH(ROWS($AH$2:AH688),$AH$2:$AH$1001,0),1)&gt;=100000,INDEX($AO$1005:$BQ$1005,1,MATCH(COLUMNS($AO$1006:BJ1006),$AO$1006:$BQ$1006,0))&gt;=100000), " ",IF(INDEX($AO$2:$BQ$1001,MATCH(ROWS($AH$2:AH688),$AH$2:$AH$1001,0),MATCH(COLUMNS($AO$1006:BJ1006),$AO$1006:$BQ$1006,0)), HYPERLINK("#",""), HYPERLINK(CONCATENATE("#Metadata!", ADDRESS(INDEX($AJ$2:$AJ$1001,MATCH(ROWS($AH$2:AH688),$AH$2:$AH$1001,0),0), INDEX($AO$1004:$BQ$1004,1,MATCH(COLUMNS($AO$1006:BJ1006),$AO$1006:$BQ$1006,0)))),"Fix")))</f>
        <v>#N/A</v>
      </c>
      <c r="X688" s="5" t="e">
        <f ca="1">IF(OR(INDEX($AI$2:$AI$1001,MATCH(ROWS($AH$2:AH688),$AH$2:$AH$1001,0),1)&gt;=100000,INDEX($AO$1005:$BQ$1005,1,MATCH(COLUMNS($AO$1006:BK1006),$AO$1006:$BQ$1006,0))&gt;=100000), " ",IF(INDEX($AO$2:$BQ$1001,MATCH(ROWS($AH$2:AH688),$AH$2:$AH$1001,0),MATCH(COLUMNS($AO$1006:BK1006),$AO$1006:$BQ$1006,0)), HYPERLINK("#",""), HYPERLINK(CONCATENATE("#Metadata!", ADDRESS(INDEX($AJ$2:$AJ$1001,MATCH(ROWS($AH$2:AH688),$AH$2:$AH$1001,0),0), INDEX($AO$1004:$BQ$1004,1,MATCH(COLUMNS($AO$1006:BK1006),$AO$1006:$BQ$1006,0)))),"Fix")))</f>
        <v>#N/A</v>
      </c>
      <c r="Y688" s="5" t="e">
        <f ca="1">IF(OR(INDEX($AI$2:$AI$1001,MATCH(ROWS($AH$2:AH688),$AH$2:$AH$1001,0),1)&gt;=100000,INDEX($AO$1005:$BQ$1005,1,MATCH(COLUMNS($AO$1006:BL1006),$AO$1006:$BQ$1006,0))&gt;=100000), " ",IF(INDEX($AO$2:$BQ$1001,MATCH(ROWS($AH$2:AH688),$AH$2:$AH$1001,0),MATCH(COLUMNS($AO$1006:BL1006),$AO$1006:$BQ$1006,0)), HYPERLINK("#",""), HYPERLINK(CONCATENATE("#Metadata!", ADDRESS(INDEX($AJ$2:$AJ$1001,MATCH(ROWS($AH$2:AH688),$AH$2:$AH$1001,0),0), INDEX($AO$1004:$BQ$1004,1,MATCH(COLUMNS($AO$1006:BL1006),$AO$1006:$BQ$1006,0)))),"Fix")))</f>
        <v>#N/A</v>
      </c>
      <c r="Z688" s="5" t="e">
        <f ca="1">IF(OR(INDEX($AI$2:$AI$1001,MATCH(ROWS($AH$2:AH688),$AH$2:$AH$1001,0),1)&gt;=100000,INDEX($AO$1005:$BQ$1005,1,MATCH(COLUMNS($AO$1006:BM1006),$AO$1006:$BQ$1006,0))&gt;=100000), " ",IF(INDEX($AO$2:$BQ$1001,MATCH(ROWS($AH$2:AH688),$AH$2:$AH$1001,0),MATCH(COLUMNS($AO$1006:BM1006),$AO$1006:$BQ$1006,0)), HYPERLINK("#",""), HYPERLINK(CONCATENATE("#Metadata!", ADDRESS(INDEX($AJ$2:$AJ$1001,MATCH(ROWS($AH$2:AH688),$AH$2:$AH$1001,0),0), INDEX($AO$1004:$BQ$1004,1,MATCH(COLUMNS($AO$1006:BM1006),$AO$1006:$BQ$1006,0)))),"Fix")))</f>
        <v>#N/A</v>
      </c>
      <c r="AA688" s="5" t="e">
        <f ca="1">IF(OR(INDEX($AI$2:$AI$1001,MATCH(ROWS($AH$2:AH688),$AH$2:$AH$1001,0),1)&gt;=100000,INDEX($AO$1005:$BQ$1005,1,MATCH(COLUMNS($AO$1006:BN1006),$AO$1006:$BQ$1006,0))&gt;=100000), " ",IF(INDEX($AO$2:$BQ$1001,MATCH(ROWS($AH$2:AH688),$AH$2:$AH$1001,0),MATCH(COLUMNS($AO$1006:BN1006),$AO$1006:$BQ$1006,0)), HYPERLINK("#",""), HYPERLINK(CONCATENATE("#Metadata!", ADDRESS(INDEX($AJ$2:$AJ$1001,MATCH(ROWS($AH$2:AH688),$AH$2:$AH$1001,0),0), INDEX($AO$1004:$BQ$1004,1,MATCH(COLUMNS($AO$1006:BN1006),$AO$1006:$BQ$1006,0)))),"Fix")))</f>
        <v>#N/A</v>
      </c>
      <c r="AB688" s="5" t="e">
        <f ca="1">IF(OR(INDEX($AI$2:$AI$1001,MATCH(ROWS($AH$2:AH688),$AH$2:$AH$1001,0),1)&gt;=100000,INDEX($AO$1005:$BQ$1005,1,MATCH(COLUMNS($AO$1006:BO1006),$AO$1006:$BQ$1006,0))&gt;=100000), " ",IF(INDEX($AO$2:$BQ$1001,MATCH(ROWS($AH$2:AH688),$AH$2:$AH$1001,0),MATCH(COLUMNS($AO$1006:BO1006),$AO$1006:$BQ$1006,0)), HYPERLINK("#",""), HYPERLINK(CONCATENATE("#Metadata!", ADDRESS(INDEX($AJ$2:$AJ$1001,MATCH(ROWS($AH$2:AH688),$AH$2:$AH$1001,0),0), INDEX($AO$1004:$BQ$1004,1,MATCH(COLUMNS($AO$1006:BO1006),$AO$1006:$BQ$1006,0)))),"Fix")))</f>
        <v>#N/A</v>
      </c>
      <c r="AC688" s="5" t="e">
        <f ca="1">IF(OR(INDEX($AI$2:$AI$1001,MATCH(ROWS($AH$2:AH688),$AH$2:$AH$1001,0),1)&gt;=100000,INDEX($AO$1005:$BQ$1005,1,MATCH(COLUMNS($AO$1006:BP1006),$AO$1006:$BQ$1006,0))&gt;=100000), " ",IF(INDEX($AO$2:$BQ$1001,MATCH(ROWS($AH$2:AH688),$AH$2:$AH$1001,0),MATCH(COLUMNS($AO$1006:BP1006),$AO$1006:$BQ$1006,0)), HYPERLINK("#",""), HYPERLINK(CONCATENATE("#Metadata!", ADDRESS(INDEX($AJ$2:$AJ$1001,MATCH(ROWS($AH$2:AH688),$AH$2:$AH$1001,0),0), INDEX($AO$1004:$BQ$1004,1,MATCH(COLUMNS($AO$1006:BP1006),$AO$1006:$BQ$1006,0)))),"Fix")))</f>
        <v>#N/A</v>
      </c>
      <c r="AD688" s="5" t="e">
        <f ca="1">IF(OR(INDEX($AI$2:$AI$1001,MATCH(ROWS($AH$2:AH688),$AH$2:$AH$1001,0),1)&gt;=100000,INDEX($AO$1005:$BQ$1005,1,MATCH(COLUMNS($AO$1006:BQ1006),$AO$1006:$BQ$1006,0))&gt;=100000), " ",IF(INDEX($AO$2:$BQ$1001,MATCH(ROWS($AH$2:AH688),$AH$2:$AH$1001,0),MATCH(COLUMNS($AO$1006:BQ1006),$AO$1006:$BQ$1006,0)), HYPERLINK("#",""), HYPERLINK(CONCATENATE("#Metadata!", ADDRESS(INDEX($AJ$2:$AJ$1001,MATCH(ROWS($AH$2:AH688),$AH$2:$AH$1001,0),0), INDEX($AO$1004:$BQ$1004,1,MATCH(COLUMNS($AO$1006:BQ1006),$AO$1006:$BQ$1006,0)))),"Fix")))</f>
        <v>#REF!</v>
      </c>
      <c r="AH688">
        <f ca="1"/>
        <v>685</v>
      </c>
      <c r="AI688">
        <v>100688</v>
      </c>
      <c r="AJ688">
        <v>688</v>
      </c>
      <c r="AK688" t="b">
        <f t="shared" si="10"/>
        <v>1</v>
      </c>
      <c r="AL688" t="b">
        <f>COUNTBLANK(Metadata!B688:AD688)=COLUMNS(Metadata!B688:AD688)</f>
        <v>1</v>
      </c>
      <c r="AM688" t="str">
        <v/>
      </c>
      <c r="AO688" t="b">
        <f ca="1">AND(IF(Metadata!B688="",FALSE,TRUE),COUNTIF(Metadata!B:B, Metadata!B688) = 1,NOT(ISERROR(SUMPRODUCT(SEARCH(MID(Metadata!B688,ROW(INDIRECT("1:"&amp;LEN(Metadata!B688))), 1),"0123456789abcdefghijklmnopqrstuvwxyzABCDEFGHIJKLMNOPQRSTUVWXYZ.")))))</f>
        <v>0</v>
      </c>
      <c r="AP688" t="b">
        <f>IF(Metadata!C688="",FALSE,TRUE)</f>
        <v>0</v>
      </c>
      <c r="AQ688" t="b">
        <f>IF(Metadata!D688="",FALSE,TRUE)</f>
        <v>0</v>
      </c>
      <c r="AR688" t="b">
        <f ca="1">OR(AND(IF(Metadata!E688="",FALSE,TRUE),OR(EXACT(Metadata!E688,"not collected"),EXACT(Metadata!E688,"not provided"),EXACT(Metadata!E688,"restricted access"))),AND(IF(Metadata!E688="",FALSE,TRUE),AND(AND(IFERROR(INT(LEFT(Metadata!E688,4))&gt;1900,FALSE),IFERROR(INT(LEFT(Metadata!E688,4))&lt;=YEAR(NOW()),FALSE)), OR(MID(Metadata!E688,5,1)="", AND(AND(MID(Metadata!E688,5,1)="-",IFERROR(INT(MID(Metadata!E688,6,1))&gt;=0,FALSE),IFERROR(INT(MID(Metadata!E688,6,1))&lt;=1,FALSE),NOT(MID(Metadata!E688,7,1)=""),IFERROR(INT(MID(Metadata!E688,6,2))&gt;=1,FALSE),IFERROR(INT(MID(Metadata!E688,6,2))&lt;=12,FALSE)), OR(MID(Metadata!E688,8,1)="", AND(AND(MID(Metadata!E688,8,1)="-",IFERROR(INT(MID(Metadata!E688,9,1))&gt;=0,FALSE),IFERROR(INT(MID(Metadata!E688,9,1))&lt;=3,FALSE),NOT(MID(Metadata!E688,10,1)=""),IFERROR(INT(MID(Metadata!E688,9,2))&gt;=1,FALSE),IFERROR(INT(MID(Metadata!E688,9,2))&lt;=31,FALSE)), OR(MID(Metadata!E688,11,1)="", AND(AND(MID(Metadata!E688,11,1)=" ",IFERROR(INT(MID(Metadata!E688,12,1))&gt;=0,FALSE),IFERROR(INT(MID(Metadata!E688,12,1))&lt;=2,FALSE),NOT(MID(Metadata!E688,13,1)=""),IFERROR(INT(MID(Metadata!E688,12,2))&gt;=0,FALSE),IFERROR(INT(MID(Metadata!E688,12,2))&lt;=23,FALSE)), OR(MID(Metadata!E688,14,1)="", AND(AND(MID(Metadata!E688,14,1)=":",IFERROR(INT(MID(Metadata!E688,15,1))&gt;=0,FALSE),IFERROR(INT(MID(Metadata!E688,15,1))&lt;=5,FALSE),NOT(MID(Metadata!E688,16,1)=""),IFERROR(INT(MID(Metadata!E688,15,2))&gt;=0,FALSE),IFERROR(INT(MID(Metadata!E688,15,2))&lt;=59,FALSE)), OR(MID(Metadata!E688,17,1)="", AND(AND(MID(Metadata!E688,17,1)=":",IFERROR(INT(MID(Metadata!E688,18,1))&gt;=0,FALSE),IFERROR(INT(MID(Metadata!E688,18,1))&lt;=5,FALSE),NOT(MID(Metadata!E688,19,1)=""),IFERROR(INT(MID(Metadata!E688,18,2))&gt;=0,FALSE),IFERROR(INT(MID(Metadata!E688,18,2))&lt;=59,FALSE)), LEN(Metadata!E688)&lt;=19)))))))))))))</f>
        <v>0</v>
      </c>
      <c r="AS688" t="b">
        <f>IF(Metadata!F688="",FALSE,TRUE)</f>
        <v>0</v>
      </c>
      <c r="AT688" t="b">
        <f>OR(AND(IF(Metadata!G688="",FALSE,TRUE),OR(EXACT(Metadata!G688,"not collected"),EXACT(Metadata!G688,"not provided"))),AND(IF(Metadata!G688="",FALSE,TRUE),OR(EXACT(Metadata!G688,"TRUE"),EXACT(Metadata!G688,"FALSE"))))</f>
        <v>0</v>
      </c>
      <c r="AU688" t="b">
        <f>OR(AND(IF(Metadata!H688="",FALSE,TRUE),OR(EXACT(Metadata!H688,"not collected"),EXACT(Metadata!H688,"not provided"),EXACT(Metadata!H688,"restricted access"))),AND(IF(Metadata!H688="",FALSE,ISNUMBER(VALUE(Metadata!H688))),Metadata!H688&gt;=-413))</f>
        <v>0</v>
      </c>
      <c r="AV688" t="b">
        <f>AND(IF(Metadata!I688="",FALSE,TRUE),EXACT(Metadata!I688,"meters"))</f>
        <v>0</v>
      </c>
      <c r="AW688" t="b">
        <f>AND(IF(Metadata!J688="",FALSE,TRUE),EXACT(Metadata!J688,"free-living"))</f>
        <v>0</v>
      </c>
      <c r="AX688" t="b">
        <f>AND(IF(Metadata!K688="",FALSE,TRUE),OR(EXACT(Metadata!K688,"saline"),EXACT(Metadata!K688,"non-saline")))</f>
        <v>0</v>
      </c>
      <c r="AY688" t="b">
        <f>AND(IF(Metadata!L688="",FALSE,TRUE),OR(EXACT(Metadata!L688,"sub-surface (non-saline)"),EXACT(Metadata!L688,"surface (non-saline)"),EXACT(Metadata!L688,"water (non-saline)"),EXACT(Metadata!L688,"soil (non-saline)"),EXACT(Metadata!L688,"aerosol (non-saline)"),EXACT(Metadata!L688,"sediment (non-saline)"),EXACT(Metadata!L688,"surface (saline)"),EXACT(Metadata!L688,"water (saline)"),EXACT(Metadata!L688,"hypersaline (saline)"),EXACT(Metadata!L688,"aerosol (saline)"),EXACT(Metadata!L688,"sediment (saline)")))</f>
        <v>0</v>
      </c>
      <c r="AZ688" t="b">
        <f>IF(Metadata!M688="",FALSE,TRUE)</f>
        <v>0</v>
      </c>
      <c r="BA688" t="b">
        <f>IF(Metadata!N688="",FALSE,TRUE)</f>
        <v>0</v>
      </c>
      <c r="BB688" t="b">
        <f>IF(Metadata!O688="",FALSE,TRUE)</f>
        <v>0</v>
      </c>
      <c r="BC688" t="b">
        <f>AND(IF(Metadata!P688="",FALSE,TRUE),OR(EXACT(Metadata!P688,"air"),EXACT(Metadata!P688,"microbial mat/biofilm"),EXACT(Metadata!P688,"misc environment"),EXACT(Metadata!P688,"sediment"),EXACT(Metadata!P688,"soil"),EXACT(Metadata!P688,"wastewater/sludge"),EXACT(Metadata!P688,"water")))</f>
        <v>0</v>
      </c>
      <c r="BD688" t="b">
        <f>IF(Metadata!Q688="",FALSE,TRUE)</f>
        <v>0</v>
      </c>
      <c r="BE688" t="b">
        <f>IF(Metadata!R688="",FALSE,TRUE)</f>
        <v>0</v>
      </c>
      <c r="BF688" t="b">
        <f>OR(AND(IF(Metadata!S688="",FALSE,TRUE),OR(EXACT(Metadata!S688,"not collected"),EXACT(Metadata!S688,"not provided"),EXACT(Metadata!S688,"restricted access"))),AND(IF(Metadata!S688="",FALSE,ISNUMBER(VALUE(Metadata!S688))),Metadata!S688&gt;=-90,Metadata!S688&lt;=90))</f>
        <v>0</v>
      </c>
      <c r="BG688" t="b">
        <f>AND(IF(Metadata!T688="",FALSE,TRUE),EXACT(Metadata!T688,"Decimal degrees"))</f>
        <v>0</v>
      </c>
      <c r="BH688" t="b">
        <f>OR(AND(IF(Metadata!U688="",FALSE,TRUE),OR(EXACT(Metadata!U688,"not applicable"),EXACT(Metadata!U688,"not collected"))),IF(Metadata!U688="",FALSE,TRUE))</f>
        <v>0</v>
      </c>
      <c r="BI688" t="b">
        <f>OR(AND(IF(Metadata!V688="",FALSE,TRUE),OR(EXACT(Metadata!V688,"not collected"),EXACT(Metadata!V688,"not provided"),EXACT(Metadata!V688,"restricted access"))),AND(IF(Metadata!V688="",FALSE,ISNUMBER(VALUE(Metadata!V688))),Metadata!V688&gt;=-180,Metadata!V688&lt;=180))</f>
        <v>0</v>
      </c>
      <c r="BJ688" t="b">
        <f>AND(IF(Metadata!W688="",FALSE,TRUE),EXACT(Metadata!W688,"Decimal degrees"))</f>
        <v>0</v>
      </c>
      <c r="BK688" t="b">
        <f>IF(Metadata!X688="",FALSE,TRUE)</f>
        <v>0</v>
      </c>
      <c r="BL688" t="b">
        <f>OR(AND(IF(Metadata!Y688="",FALSE,TRUE),OR(EXACT(Metadata!Y688,"not collected"),EXACT(Metadata!Y688,"not provided"),EXACT(Metadata!Y688,"restricted access"))),AND(IF(Metadata!Y688="",FALSE,TRUE),OR(EXACT(Metadata!Y688,"TRUE"),EXACT(Metadata!Y688,"FALSE"))))</f>
        <v>0</v>
      </c>
      <c r="BM688" t="b">
        <f>OR(AND(IF(Metadata!Z688="",FALSE,TRUE),EXACT(Metadata!Z688,"not applicable")),AND(IF(Metadata!Z688="",FALSE,TRUE),OR(EXACT(Metadata!Z688,"beer"),EXACT(Metadata!Z688,"cheese"),EXACT(Metadata!Z688,"fresh water"),EXACT(Metadata!Z688,"marine sediment"),EXACT(Metadata!Z688,"sea water"),EXACT(Metadata!Z688,"sediment"),EXACT(Metadata!Z688,"soil"),EXACT(Metadata!Z688,"waste water"))))</f>
        <v>0</v>
      </c>
      <c r="BN688" t="b">
        <f>AND(IF(Metadata!AA688="",FALSE,TRUE),EXACT(Metadata!AA688,"metagenome"))</f>
        <v>0</v>
      </c>
      <c r="BO688" t="b">
        <f>AND(IF(Metadata!AB688="",FALSE,TRUE),EXACT(Metadata!AB688,"256318"))</f>
        <v>0</v>
      </c>
      <c r="BP688" t="b">
        <f>IF(Metadata!AC688="",FALSE,TRUE)</f>
        <v>0</v>
      </c>
      <c r="BQ688" t="b">
        <f>IF(Metadata!AD688="",FALSE,TRUE)</f>
        <v>0</v>
      </c>
    </row>
    <row r="689" spans="1:69" x14ac:dyDescent="0.2">
      <c r="A689" s="4" t="e">
        <f ca="1">IF(B689=" "," ",HYPERLINK(CONCATENATE("#metadata!",ADDRESS(INDEX($AJ$2:$AJ$1001,MATCH(ROWS($AH$2:AH689),$AH$2:$AH$1001,0),0),2)),INDEX($AM$2:$AM$1001,MATCH(ROWS($AH$2:AH689),$AH$2:$AH$1001,0),0)))</f>
        <v>#N/A</v>
      </c>
      <c r="B689" s="5" t="e">
        <f ca="1">IF(OR(INDEX($AI$2:$AI$1001,MATCH(ROWS($AH$2:AH689),$AH$2:$AH$1001,0),1)&gt;=100000,INDEX($AO$1005:$BQ$1005,1,MATCH(COLUMNS($AO$1006:AO1006),$AO$1006:$BQ$1006,0))&gt;=100000), " ",IF(INDEX($AO$2:$BQ$1001,MATCH(ROWS($AH$2:AH689),$AH$2:$AH$1001,0),MATCH(COLUMNS($AO$1006:AO1006),$AO$1006:$BQ$1006,0)), HYPERLINK("#",""), HYPERLINK(CONCATENATE("#Metadata!", ADDRESS(INDEX($AJ$2:$AJ$1001,MATCH(ROWS($AH$2:AH689),$AH$2:$AH$1001,0),0), INDEX($AO$1004:$BQ$1004,1,MATCH(COLUMNS($AO$1006:AO1006),$AO$1006:$BQ$1006,0)))),"Fix")))</f>
        <v>#N/A</v>
      </c>
      <c r="C689" s="5" t="e">
        <f ca="1">IF(OR(INDEX($AI$2:$AI$1001,MATCH(ROWS($AH$2:AH689),$AH$2:$AH$1001,0),1)&gt;=100000,INDEX($AO$1005:$BQ$1005,1,MATCH(COLUMNS($AO$1006:AP1006),$AO$1006:$BQ$1006,0))&gt;=100000), " ",IF(INDEX($AO$2:$BQ$1001,MATCH(ROWS($AH$2:AH689),$AH$2:$AH$1001,0),MATCH(COLUMNS($AO$1006:AP1006),$AO$1006:$BQ$1006,0)), HYPERLINK("#",""), HYPERLINK(CONCATENATE("#Metadata!", ADDRESS(INDEX($AJ$2:$AJ$1001,MATCH(ROWS($AH$2:AH689),$AH$2:$AH$1001,0),0), INDEX($AO$1004:$BQ$1004,1,MATCH(COLUMNS($AO$1006:AP1006),$AO$1006:$BQ$1006,0)))),"Fix")))</f>
        <v>#N/A</v>
      </c>
      <c r="D689" s="5" t="e">
        <f ca="1">IF(OR(INDEX($AI$2:$AI$1001,MATCH(ROWS($AH$2:AH689),$AH$2:$AH$1001,0),1)&gt;=100000,INDEX($AO$1005:$BQ$1005,1,MATCH(COLUMNS($AO$1006:AQ1006),$AO$1006:$BQ$1006,0))&gt;=100000), " ",IF(INDEX($AO$2:$BQ$1001,MATCH(ROWS($AH$2:AH689),$AH$2:$AH$1001,0),MATCH(COLUMNS($AO$1006:AQ1006),$AO$1006:$BQ$1006,0)), HYPERLINK("#",""), HYPERLINK(CONCATENATE("#Metadata!", ADDRESS(INDEX($AJ$2:$AJ$1001,MATCH(ROWS($AH$2:AH689),$AH$2:$AH$1001,0),0), INDEX($AO$1004:$BQ$1004,1,MATCH(COLUMNS($AO$1006:AQ1006),$AO$1006:$BQ$1006,0)))),"Fix")))</f>
        <v>#N/A</v>
      </c>
      <c r="E689" s="5" t="e">
        <f ca="1">IF(OR(INDEX($AI$2:$AI$1001,MATCH(ROWS($AH$2:AH689),$AH$2:$AH$1001,0),1)&gt;=100000,INDEX($AO$1005:$BQ$1005,1,MATCH(COLUMNS($AO$1006:AR1006),$AO$1006:$BQ$1006,0))&gt;=100000), " ",IF(INDEX($AO$2:$BQ$1001,MATCH(ROWS($AH$2:AH689),$AH$2:$AH$1001,0),MATCH(COLUMNS($AO$1006:AR1006),$AO$1006:$BQ$1006,0)), HYPERLINK("#",""), HYPERLINK(CONCATENATE("#Metadata!", ADDRESS(INDEX($AJ$2:$AJ$1001,MATCH(ROWS($AH$2:AH689),$AH$2:$AH$1001,0),0), INDEX($AO$1004:$BQ$1004,1,MATCH(COLUMNS($AO$1006:AR1006),$AO$1006:$BQ$1006,0)))),"Fix")))</f>
        <v>#N/A</v>
      </c>
      <c r="F689" s="5" t="e">
        <f ca="1">IF(OR(INDEX($AI$2:$AI$1001,MATCH(ROWS($AH$2:AH689),$AH$2:$AH$1001,0),1)&gt;=100000,INDEX($AO$1005:$BQ$1005,1,MATCH(COLUMNS($AO$1006:AS1006),$AO$1006:$BQ$1006,0))&gt;=100000), " ",IF(INDEX($AO$2:$BQ$1001,MATCH(ROWS($AH$2:AH689),$AH$2:$AH$1001,0),MATCH(COLUMNS($AO$1006:AS1006),$AO$1006:$BQ$1006,0)), HYPERLINK("#",""), HYPERLINK(CONCATENATE("#Metadata!", ADDRESS(INDEX($AJ$2:$AJ$1001,MATCH(ROWS($AH$2:AH689),$AH$2:$AH$1001,0),0), INDEX($AO$1004:$BQ$1004,1,MATCH(COLUMNS($AO$1006:AS1006),$AO$1006:$BQ$1006,0)))),"Fix")))</f>
        <v>#N/A</v>
      </c>
      <c r="G689" s="5" t="e">
        <f ca="1">IF(OR(INDEX($AI$2:$AI$1001,MATCH(ROWS($AH$2:AH689),$AH$2:$AH$1001,0),1)&gt;=100000,INDEX($AO$1005:$BQ$1005,1,MATCH(COLUMNS($AO$1006:AT1006),$AO$1006:$BQ$1006,0))&gt;=100000), " ",IF(INDEX($AO$2:$BQ$1001,MATCH(ROWS($AH$2:AH689),$AH$2:$AH$1001,0),MATCH(COLUMNS($AO$1006:AT1006),$AO$1006:$BQ$1006,0)), HYPERLINK("#",""), HYPERLINK(CONCATENATE("#Metadata!", ADDRESS(INDEX($AJ$2:$AJ$1001,MATCH(ROWS($AH$2:AH689),$AH$2:$AH$1001,0),0), INDEX($AO$1004:$BQ$1004,1,MATCH(COLUMNS($AO$1006:AT1006),$AO$1006:$BQ$1006,0)))),"Fix")))</f>
        <v>#N/A</v>
      </c>
      <c r="H689" s="5" t="e">
        <f ca="1">IF(OR(INDEX($AI$2:$AI$1001,MATCH(ROWS($AH$2:AH689),$AH$2:$AH$1001,0),1)&gt;=100000,INDEX($AO$1005:$BQ$1005,1,MATCH(COLUMNS($AO$1006:AU1006),$AO$1006:$BQ$1006,0))&gt;=100000), " ",IF(INDEX($AO$2:$BQ$1001,MATCH(ROWS($AH$2:AH689),$AH$2:$AH$1001,0),MATCH(COLUMNS($AO$1006:AU1006),$AO$1006:$BQ$1006,0)), HYPERLINK("#",""), HYPERLINK(CONCATENATE("#Metadata!", ADDRESS(INDEX($AJ$2:$AJ$1001,MATCH(ROWS($AH$2:AH689),$AH$2:$AH$1001,0),0), INDEX($AO$1004:$BQ$1004,1,MATCH(COLUMNS($AO$1006:AU1006),$AO$1006:$BQ$1006,0)))),"Fix")))</f>
        <v>#N/A</v>
      </c>
      <c r="I689" s="5" t="e">
        <f ca="1">IF(OR(INDEX($AI$2:$AI$1001,MATCH(ROWS($AH$2:AH689),$AH$2:$AH$1001,0),1)&gt;=100000,INDEX($AO$1005:$BQ$1005,1,MATCH(COLUMNS($AO$1006:AV1006),$AO$1006:$BQ$1006,0))&gt;=100000), " ",IF(INDEX($AO$2:$BQ$1001,MATCH(ROWS($AH$2:AH689),$AH$2:$AH$1001,0),MATCH(COLUMNS($AO$1006:AV1006),$AO$1006:$BQ$1006,0)), HYPERLINK("#",""), HYPERLINK(CONCATENATE("#Metadata!", ADDRESS(INDEX($AJ$2:$AJ$1001,MATCH(ROWS($AH$2:AH689),$AH$2:$AH$1001,0),0), INDEX($AO$1004:$BQ$1004,1,MATCH(COLUMNS($AO$1006:AV1006),$AO$1006:$BQ$1006,0)))),"Fix")))</f>
        <v>#N/A</v>
      </c>
      <c r="J689" s="5" t="e">
        <f ca="1">IF(OR(INDEX($AI$2:$AI$1001,MATCH(ROWS($AH$2:AH689),$AH$2:$AH$1001,0),1)&gt;=100000,INDEX($AO$1005:$BQ$1005,1,MATCH(COLUMNS($AO$1006:AW1006),$AO$1006:$BQ$1006,0))&gt;=100000), " ",IF(INDEX($AO$2:$BQ$1001,MATCH(ROWS($AH$2:AH689),$AH$2:$AH$1001,0),MATCH(COLUMNS($AO$1006:AW1006),$AO$1006:$BQ$1006,0)), HYPERLINK("#",""), HYPERLINK(CONCATENATE("#Metadata!", ADDRESS(INDEX($AJ$2:$AJ$1001,MATCH(ROWS($AH$2:AH689),$AH$2:$AH$1001,0),0), INDEX($AO$1004:$BQ$1004,1,MATCH(COLUMNS($AO$1006:AW1006),$AO$1006:$BQ$1006,0)))),"Fix")))</f>
        <v>#N/A</v>
      </c>
      <c r="K689" s="5" t="e">
        <f ca="1">IF(OR(INDEX($AI$2:$AI$1001,MATCH(ROWS($AH$2:AH689),$AH$2:$AH$1001,0),1)&gt;=100000,INDEX($AO$1005:$BQ$1005,1,MATCH(COLUMNS($AO$1006:AX1006),$AO$1006:$BQ$1006,0))&gt;=100000), " ",IF(INDEX($AO$2:$BQ$1001,MATCH(ROWS($AH$2:AH689),$AH$2:$AH$1001,0),MATCH(COLUMNS($AO$1006:AX1006),$AO$1006:$BQ$1006,0)), HYPERLINK("#",""), HYPERLINK(CONCATENATE("#Metadata!", ADDRESS(INDEX($AJ$2:$AJ$1001,MATCH(ROWS($AH$2:AH689),$AH$2:$AH$1001,0),0), INDEX($AO$1004:$BQ$1004,1,MATCH(COLUMNS($AO$1006:AX1006),$AO$1006:$BQ$1006,0)))),"Fix")))</f>
        <v>#N/A</v>
      </c>
      <c r="L689" s="5" t="e">
        <f ca="1">IF(OR(INDEX($AI$2:$AI$1001,MATCH(ROWS($AH$2:AH689),$AH$2:$AH$1001,0),1)&gt;=100000,INDEX($AO$1005:$BQ$1005,1,MATCH(COLUMNS($AO$1006:AY1006),$AO$1006:$BQ$1006,0))&gt;=100000), " ",IF(INDEX($AO$2:$BQ$1001,MATCH(ROWS($AH$2:AH689),$AH$2:$AH$1001,0),MATCH(COLUMNS($AO$1006:AY1006),$AO$1006:$BQ$1006,0)), HYPERLINK("#",""), HYPERLINK(CONCATENATE("#Metadata!", ADDRESS(INDEX($AJ$2:$AJ$1001,MATCH(ROWS($AH$2:AH689),$AH$2:$AH$1001,0),0), INDEX($AO$1004:$BQ$1004,1,MATCH(COLUMNS($AO$1006:AY1006),$AO$1006:$BQ$1006,0)))),"Fix")))</f>
        <v>#N/A</v>
      </c>
      <c r="M689" s="5" t="e">
        <f ca="1">IF(OR(INDEX($AI$2:$AI$1001,MATCH(ROWS($AH$2:AH689),$AH$2:$AH$1001,0),1)&gt;=100000,INDEX($AO$1005:$BQ$1005,1,MATCH(COLUMNS($AO$1006:AZ1006),$AO$1006:$BQ$1006,0))&gt;=100000), " ",IF(INDEX($AO$2:$BQ$1001,MATCH(ROWS($AH$2:AH689),$AH$2:$AH$1001,0),MATCH(COLUMNS($AO$1006:AZ1006),$AO$1006:$BQ$1006,0)), HYPERLINK("#",""), HYPERLINK(CONCATENATE("#Metadata!", ADDRESS(INDEX($AJ$2:$AJ$1001,MATCH(ROWS($AH$2:AH689),$AH$2:$AH$1001,0),0), INDEX($AO$1004:$BQ$1004,1,MATCH(COLUMNS($AO$1006:AZ1006),$AO$1006:$BQ$1006,0)))),"Fix")))</f>
        <v>#N/A</v>
      </c>
      <c r="N689" s="5" t="e">
        <f ca="1">IF(OR(INDEX($AI$2:$AI$1001,MATCH(ROWS($AH$2:AH689),$AH$2:$AH$1001,0),1)&gt;=100000,INDEX($AO$1005:$BQ$1005,1,MATCH(COLUMNS($AO$1006:BA1006),$AO$1006:$BQ$1006,0))&gt;=100000), " ",IF(INDEX($AO$2:$BQ$1001,MATCH(ROWS($AH$2:AH689),$AH$2:$AH$1001,0),MATCH(COLUMNS($AO$1006:BA1006),$AO$1006:$BQ$1006,0)), HYPERLINK("#",""), HYPERLINK(CONCATENATE("#Metadata!", ADDRESS(INDEX($AJ$2:$AJ$1001,MATCH(ROWS($AH$2:AH689),$AH$2:$AH$1001,0),0), INDEX($AO$1004:$BQ$1004,1,MATCH(COLUMNS($AO$1006:BA1006),$AO$1006:$BQ$1006,0)))),"Fix")))</f>
        <v>#N/A</v>
      </c>
      <c r="O689" s="5" t="e">
        <f ca="1">IF(OR(INDEX($AI$2:$AI$1001,MATCH(ROWS($AH$2:AH689),$AH$2:$AH$1001,0),1)&gt;=100000,INDEX($AO$1005:$BQ$1005,1,MATCH(COLUMNS($AO$1006:BB1006),$AO$1006:$BQ$1006,0))&gt;=100000), " ",IF(INDEX($AO$2:$BQ$1001,MATCH(ROWS($AH$2:AH689),$AH$2:$AH$1001,0),MATCH(COLUMNS($AO$1006:BB1006),$AO$1006:$BQ$1006,0)), HYPERLINK("#",""), HYPERLINK(CONCATENATE("#Metadata!", ADDRESS(INDEX($AJ$2:$AJ$1001,MATCH(ROWS($AH$2:AH689),$AH$2:$AH$1001,0),0), INDEX($AO$1004:$BQ$1004,1,MATCH(COLUMNS($AO$1006:BB1006),$AO$1006:$BQ$1006,0)))),"Fix")))</f>
        <v>#N/A</v>
      </c>
      <c r="P689" s="5" t="e">
        <f ca="1">IF(OR(INDEX($AI$2:$AI$1001,MATCH(ROWS($AH$2:AH689),$AH$2:$AH$1001,0),1)&gt;=100000,INDEX($AO$1005:$BQ$1005,1,MATCH(COLUMNS($AO$1006:BC1006),$AO$1006:$BQ$1006,0))&gt;=100000), " ",IF(INDEX($AO$2:$BQ$1001,MATCH(ROWS($AH$2:AH689),$AH$2:$AH$1001,0),MATCH(COLUMNS($AO$1006:BC1006),$AO$1006:$BQ$1006,0)), HYPERLINK("#",""), HYPERLINK(CONCATENATE("#Metadata!", ADDRESS(INDEX($AJ$2:$AJ$1001,MATCH(ROWS($AH$2:AH689),$AH$2:$AH$1001,0),0), INDEX($AO$1004:$BQ$1004,1,MATCH(COLUMNS($AO$1006:BC1006),$AO$1006:$BQ$1006,0)))),"Fix")))</f>
        <v>#N/A</v>
      </c>
      <c r="Q689" s="5" t="e">
        <f ca="1">IF(OR(INDEX($AI$2:$AI$1001,MATCH(ROWS($AH$2:AH689),$AH$2:$AH$1001,0),1)&gt;=100000,INDEX($AO$1005:$BQ$1005,1,MATCH(COLUMNS($AO$1006:BD1006),$AO$1006:$BQ$1006,0))&gt;=100000), " ",IF(INDEX($AO$2:$BQ$1001,MATCH(ROWS($AH$2:AH689),$AH$2:$AH$1001,0),MATCH(COLUMNS($AO$1006:BD1006),$AO$1006:$BQ$1006,0)), HYPERLINK("#",""), HYPERLINK(CONCATENATE("#Metadata!", ADDRESS(INDEX($AJ$2:$AJ$1001,MATCH(ROWS($AH$2:AH689),$AH$2:$AH$1001,0),0), INDEX($AO$1004:$BQ$1004,1,MATCH(COLUMNS($AO$1006:BD1006),$AO$1006:$BQ$1006,0)))),"Fix")))</f>
        <v>#N/A</v>
      </c>
      <c r="R689" s="5" t="e">
        <f ca="1">IF(OR(INDEX($AI$2:$AI$1001,MATCH(ROWS($AH$2:AH689),$AH$2:$AH$1001,0),1)&gt;=100000,INDEX($AO$1005:$BQ$1005,1,MATCH(COLUMNS($AO$1006:BE1006),$AO$1006:$BQ$1006,0))&gt;=100000), " ",IF(INDEX($AO$2:$BQ$1001,MATCH(ROWS($AH$2:AH689),$AH$2:$AH$1001,0),MATCH(COLUMNS($AO$1006:BE1006),$AO$1006:$BQ$1006,0)), HYPERLINK("#",""), HYPERLINK(CONCATENATE("#Metadata!", ADDRESS(INDEX($AJ$2:$AJ$1001,MATCH(ROWS($AH$2:AH689),$AH$2:$AH$1001,0),0), INDEX($AO$1004:$BQ$1004,1,MATCH(COLUMNS($AO$1006:BE1006),$AO$1006:$BQ$1006,0)))),"Fix")))</f>
        <v>#N/A</v>
      </c>
      <c r="S689" s="5" t="e">
        <f ca="1">IF(OR(INDEX($AI$2:$AI$1001,MATCH(ROWS($AH$2:AH689),$AH$2:$AH$1001,0),1)&gt;=100000,INDEX($AO$1005:$BQ$1005,1,MATCH(COLUMNS($AO$1006:BF1006),$AO$1006:$BQ$1006,0))&gt;=100000), " ",IF(INDEX($AO$2:$BQ$1001,MATCH(ROWS($AH$2:AH689),$AH$2:$AH$1001,0),MATCH(COLUMNS($AO$1006:BF1006),$AO$1006:$BQ$1006,0)), HYPERLINK("#",""), HYPERLINK(CONCATENATE("#Metadata!", ADDRESS(INDEX($AJ$2:$AJ$1001,MATCH(ROWS($AH$2:AH689),$AH$2:$AH$1001,0),0), INDEX($AO$1004:$BQ$1004,1,MATCH(COLUMNS($AO$1006:BF1006),$AO$1006:$BQ$1006,0)))),"Fix")))</f>
        <v>#N/A</v>
      </c>
      <c r="T689" s="5" t="e">
        <f ca="1">IF(OR(INDEX($AI$2:$AI$1001,MATCH(ROWS($AH$2:AH689),$AH$2:$AH$1001,0),1)&gt;=100000,INDEX($AO$1005:$BQ$1005,1,MATCH(COLUMNS($AO$1006:BG1006),$AO$1006:$BQ$1006,0))&gt;=100000), " ",IF(INDEX($AO$2:$BQ$1001,MATCH(ROWS($AH$2:AH689),$AH$2:$AH$1001,0),MATCH(COLUMNS($AO$1006:BG1006),$AO$1006:$BQ$1006,0)), HYPERLINK("#",""), HYPERLINK(CONCATENATE("#Metadata!", ADDRESS(INDEX($AJ$2:$AJ$1001,MATCH(ROWS($AH$2:AH689),$AH$2:$AH$1001,0),0), INDEX($AO$1004:$BQ$1004,1,MATCH(COLUMNS($AO$1006:BG1006),$AO$1006:$BQ$1006,0)))),"Fix")))</f>
        <v>#N/A</v>
      </c>
      <c r="U689" s="5" t="e">
        <f ca="1">IF(OR(INDEX($AI$2:$AI$1001,MATCH(ROWS($AH$2:AH689),$AH$2:$AH$1001,0),1)&gt;=100000,INDEX($AO$1005:$BQ$1005,1,MATCH(COLUMNS($AO$1006:BH1006),$AO$1006:$BQ$1006,0))&gt;=100000), " ",IF(INDEX($AO$2:$BQ$1001,MATCH(ROWS($AH$2:AH689),$AH$2:$AH$1001,0),MATCH(COLUMNS($AO$1006:BH1006),$AO$1006:$BQ$1006,0)), HYPERLINK("#",""), HYPERLINK(CONCATENATE("#Metadata!", ADDRESS(INDEX($AJ$2:$AJ$1001,MATCH(ROWS($AH$2:AH689),$AH$2:$AH$1001,0),0), INDEX($AO$1004:$BQ$1004,1,MATCH(COLUMNS($AO$1006:BH1006),$AO$1006:$BQ$1006,0)))),"Fix")))</f>
        <v>#N/A</v>
      </c>
      <c r="V689" s="5" t="e">
        <f ca="1">IF(OR(INDEX($AI$2:$AI$1001,MATCH(ROWS($AH$2:AH689),$AH$2:$AH$1001,0),1)&gt;=100000,INDEX($AO$1005:$BQ$1005,1,MATCH(COLUMNS($AO$1006:BI1006),$AO$1006:$BQ$1006,0))&gt;=100000), " ",IF(INDEX($AO$2:$BQ$1001,MATCH(ROWS($AH$2:AH689),$AH$2:$AH$1001,0),MATCH(COLUMNS($AO$1006:BI1006),$AO$1006:$BQ$1006,0)), HYPERLINK("#",""), HYPERLINK(CONCATENATE("#Metadata!", ADDRESS(INDEX($AJ$2:$AJ$1001,MATCH(ROWS($AH$2:AH689),$AH$2:$AH$1001,0),0), INDEX($AO$1004:$BQ$1004,1,MATCH(COLUMNS($AO$1006:BI1006),$AO$1006:$BQ$1006,0)))),"Fix")))</f>
        <v>#N/A</v>
      </c>
      <c r="W689" s="5" t="e">
        <f ca="1">IF(OR(INDEX($AI$2:$AI$1001,MATCH(ROWS($AH$2:AH689),$AH$2:$AH$1001,0),1)&gt;=100000,INDEX($AO$1005:$BQ$1005,1,MATCH(COLUMNS($AO$1006:BJ1006),$AO$1006:$BQ$1006,0))&gt;=100000), " ",IF(INDEX($AO$2:$BQ$1001,MATCH(ROWS($AH$2:AH689),$AH$2:$AH$1001,0),MATCH(COLUMNS($AO$1006:BJ1006),$AO$1006:$BQ$1006,0)), HYPERLINK("#",""), HYPERLINK(CONCATENATE("#Metadata!", ADDRESS(INDEX($AJ$2:$AJ$1001,MATCH(ROWS($AH$2:AH689),$AH$2:$AH$1001,0),0), INDEX($AO$1004:$BQ$1004,1,MATCH(COLUMNS($AO$1006:BJ1006),$AO$1006:$BQ$1006,0)))),"Fix")))</f>
        <v>#N/A</v>
      </c>
      <c r="X689" s="5" t="e">
        <f ca="1">IF(OR(INDEX($AI$2:$AI$1001,MATCH(ROWS($AH$2:AH689),$AH$2:$AH$1001,0),1)&gt;=100000,INDEX($AO$1005:$BQ$1005,1,MATCH(COLUMNS($AO$1006:BK1006),$AO$1006:$BQ$1006,0))&gt;=100000), " ",IF(INDEX($AO$2:$BQ$1001,MATCH(ROWS($AH$2:AH689),$AH$2:$AH$1001,0),MATCH(COLUMNS($AO$1006:BK1006),$AO$1006:$BQ$1006,0)), HYPERLINK("#",""), HYPERLINK(CONCATENATE("#Metadata!", ADDRESS(INDEX($AJ$2:$AJ$1001,MATCH(ROWS($AH$2:AH689),$AH$2:$AH$1001,0),0), INDEX($AO$1004:$BQ$1004,1,MATCH(COLUMNS($AO$1006:BK1006),$AO$1006:$BQ$1006,0)))),"Fix")))</f>
        <v>#N/A</v>
      </c>
      <c r="Y689" s="5" t="e">
        <f ca="1">IF(OR(INDEX($AI$2:$AI$1001,MATCH(ROWS($AH$2:AH689),$AH$2:$AH$1001,0),1)&gt;=100000,INDEX($AO$1005:$BQ$1005,1,MATCH(COLUMNS($AO$1006:BL1006),$AO$1006:$BQ$1006,0))&gt;=100000), " ",IF(INDEX($AO$2:$BQ$1001,MATCH(ROWS($AH$2:AH689),$AH$2:$AH$1001,0),MATCH(COLUMNS($AO$1006:BL1006),$AO$1006:$BQ$1006,0)), HYPERLINK("#",""), HYPERLINK(CONCATENATE("#Metadata!", ADDRESS(INDEX($AJ$2:$AJ$1001,MATCH(ROWS($AH$2:AH689),$AH$2:$AH$1001,0),0), INDEX($AO$1004:$BQ$1004,1,MATCH(COLUMNS($AO$1006:BL1006),$AO$1006:$BQ$1006,0)))),"Fix")))</f>
        <v>#N/A</v>
      </c>
      <c r="Z689" s="5" t="e">
        <f ca="1">IF(OR(INDEX($AI$2:$AI$1001,MATCH(ROWS($AH$2:AH689),$AH$2:$AH$1001,0),1)&gt;=100000,INDEX($AO$1005:$BQ$1005,1,MATCH(COLUMNS($AO$1006:BM1006),$AO$1006:$BQ$1006,0))&gt;=100000), " ",IF(INDEX($AO$2:$BQ$1001,MATCH(ROWS($AH$2:AH689),$AH$2:$AH$1001,0),MATCH(COLUMNS($AO$1006:BM1006),$AO$1006:$BQ$1006,0)), HYPERLINK("#",""), HYPERLINK(CONCATENATE("#Metadata!", ADDRESS(INDEX($AJ$2:$AJ$1001,MATCH(ROWS($AH$2:AH689),$AH$2:$AH$1001,0),0), INDEX($AO$1004:$BQ$1004,1,MATCH(COLUMNS($AO$1006:BM1006),$AO$1006:$BQ$1006,0)))),"Fix")))</f>
        <v>#N/A</v>
      </c>
      <c r="AA689" s="5" t="e">
        <f ca="1">IF(OR(INDEX($AI$2:$AI$1001,MATCH(ROWS($AH$2:AH689),$AH$2:$AH$1001,0),1)&gt;=100000,INDEX($AO$1005:$BQ$1005,1,MATCH(COLUMNS($AO$1006:BN1006),$AO$1006:$BQ$1006,0))&gt;=100000), " ",IF(INDEX($AO$2:$BQ$1001,MATCH(ROWS($AH$2:AH689),$AH$2:$AH$1001,0),MATCH(COLUMNS($AO$1006:BN1006),$AO$1006:$BQ$1006,0)), HYPERLINK("#",""), HYPERLINK(CONCATENATE("#Metadata!", ADDRESS(INDEX($AJ$2:$AJ$1001,MATCH(ROWS($AH$2:AH689),$AH$2:$AH$1001,0),0), INDEX($AO$1004:$BQ$1004,1,MATCH(COLUMNS($AO$1006:BN1006),$AO$1006:$BQ$1006,0)))),"Fix")))</f>
        <v>#N/A</v>
      </c>
      <c r="AB689" s="5" t="e">
        <f ca="1">IF(OR(INDEX($AI$2:$AI$1001,MATCH(ROWS($AH$2:AH689),$AH$2:$AH$1001,0),1)&gt;=100000,INDEX($AO$1005:$BQ$1005,1,MATCH(COLUMNS($AO$1006:BO1006),$AO$1006:$BQ$1006,0))&gt;=100000), " ",IF(INDEX($AO$2:$BQ$1001,MATCH(ROWS($AH$2:AH689),$AH$2:$AH$1001,0),MATCH(COLUMNS($AO$1006:BO1006),$AO$1006:$BQ$1006,0)), HYPERLINK("#",""), HYPERLINK(CONCATENATE("#Metadata!", ADDRESS(INDEX($AJ$2:$AJ$1001,MATCH(ROWS($AH$2:AH689),$AH$2:$AH$1001,0),0), INDEX($AO$1004:$BQ$1004,1,MATCH(COLUMNS($AO$1006:BO1006),$AO$1006:$BQ$1006,0)))),"Fix")))</f>
        <v>#N/A</v>
      </c>
      <c r="AC689" s="5" t="e">
        <f ca="1">IF(OR(INDEX($AI$2:$AI$1001,MATCH(ROWS($AH$2:AH689),$AH$2:$AH$1001,0),1)&gt;=100000,INDEX($AO$1005:$BQ$1005,1,MATCH(COLUMNS($AO$1006:BP1006),$AO$1006:$BQ$1006,0))&gt;=100000), " ",IF(INDEX($AO$2:$BQ$1001,MATCH(ROWS($AH$2:AH689),$AH$2:$AH$1001,0),MATCH(COLUMNS($AO$1006:BP1006),$AO$1006:$BQ$1006,0)), HYPERLINK("#",""), HYPERLINK(CONCATENATE("#Metadata!", ADDRESS(INDEX($AJ$2:$AJ$1001,MATCH(ROWS($AH$2:AH689),$AH$2:$AH$1001,0),0), INDEX($AO$1004:$BQ$1004,1,MATCH(COLUMNS($AO$1006:BP1006),$AO$1006:$BQ$1006,0)))),"Fix")))</f>
        <v>#N/A</v>
      </c>
      <c r="AD689" s="5" t="e">
        <f ca="1">IF(OR(INDEX($AI$2:$AI$1001,MATCH(ROWS($AH$2:AH689),$AH$2:$AH$1001,0),1)&gt;=100000,INDEX($AO$1005:$BQ$1005,1,MATCH(COLUMNS($AO$1006:BQ1006),$AO$1006:$BQ$1006,0))&gt;=100000), " ",IF(INDEX($AO$2:$BQ$1001,MATCH(ROWS($AH$2:AH689),$AH$2:$AH$1001,0),MATCH(COLUMNS($AO$1006:BQ1006),$AO$1006:$BQ$1006,0)), HYPERLINK("#",""), HYPERLINK(CONCATENATE("#Metadata!", ADDRESS(INDEX($AJ$2:$AJ$1001,MATCH(ROWS($AH$2:AH689),$AH$2:$AH$1001,0),0), INDEX($AO$1004:$BQ$1004,1,MATCH(COLUMNS($AO$1006:BQ1006),$AO$1006:$BQ$1006,0)))),"Fix")))</f>
        <v>#REF!</v>
      </c>
      <c r="AH689">
        <f ca="1"/>
        <v>686</v>
      </c>
      <c r="AI689">
        <v>100689</v>
      </c>
      <c r="AJ689">
        <v>689</v>
      </c>
      <c r="AK689" t="b">
        <f t="shared" si="10"/>
        <v>1</v>
      </c>
      <c r="AL689" t="b">
        <f>COUNTBLANK(Metadata!B689:AD689)=COLUMNS(Metadata!B689:AD689)</f>
        <v>1</v>
      </c>
      <c r="AM689" t="str">
        <v/>
      </c>
      <c r="AO689" t="b">
        <f ca="1">AND(IF(Metadata!B689="",FALSE,TRUE),COUNTIF(Metadata!B:B, Metadata!B689) = 1,NOT(ISERROR(SUMPRODUCT(SEARCH(MID(Metadata!B689,ROW(INDIRECT("1:"&amp;LEN(Metadata!B689))), 1),"0123456789abcdefghijklmnopqrstuvwxyzABCDEFGHIJKLMNOPQRSTUVWXYZ.")))))</f>
        <v>0</v>
      </c>
      <c r="AP689" t="b">
        <f>IF(Metadata!C689="",FALSE,TRUE)</f>
        <v>0</v>
      </c>
      <c r="AQ689" t="b">
        <f>IF(Metadata!D689="",FALSE,TRUE)</f>
        <v>0</v>
      </c>
      <c r="AR689" t="b">
        <f ca="1">OR(AND(IF(Metadata!E689="",FALSE,TRUE),OR(EXACT(Metadata!E689,"not collected"),EXACT(Metadata!E689,"not provided"),EXACT(Metadata!E689,"restricted access"))),AND(IF(Metadata!E689="",FALSE,TRUE),AND(AND(IFERROR(INT(LEFT(Metadata!E689,4))&gt;1900,FALSE),IFERROR(INT(LEFT(Metadata!E689,4))&lt;=YEAR(NOW()),FALSE)), OR(MID(Metadata!E689,5,1)="", AND(AND(MID(Metadata!E689,5,1)="-",IFERROR(INT(MID(Metadata!E689,6,1))&gt;=0,FALSE),IFERROR(INT(MID(Metadata!E689,6,1))&lt;=1,FALSE),NOT(MID(Metadata!E689,7,1)=""),IFERROR(INT(MID(Metadata!E689,6,2))&gt;=1,FALSE),IFERROR(INT(MID(Metadata!E689,6,2))&lt;=12,FALSE)), OR(MID(Metadata!E689,8,1)="", AND(AND(MID(Metadata!E689,8,1)="-",IFERROR(INT(MID(Metadata!E689,9,1))&gt;=0,FALSE),IFERROR(INT(MID(Metadata!E689,9,1))&lt;=3,FALSE),NOT(MID(Metadata!E689,10,1)=""),IFERROR(INT(MID(Metadata!E689,9,2))&gt;=1,FALSE),IFERROR(INT(MID(Metadata!E689,9,2))&lt;=31,FALSE)), OR(MID(Metadata!E689,11,1)="", AND(AND(MID(Metadata!E689,11,1)=" ",IFERROR(INT(MID(Metadata!E689,12,1))&gt;=0,FALSE),IFERROR(INT(MID(Metadata!E689,12,1))&lt;=2,FALSE),NOT(MID(Metadata!E689,13,1)=""),IFERROR(INT(MID(Metadata!E689,12,2))&gt;=0,FALSE),IFERROR(INT(MID(Metadata!E689,12,2))&lt;=23,FALSE)), OR(MID(Metadata!E689,14,1)="", AND(AND(MID(Metadata!E689,14,1)=":",IFERROR(INT(MID(Metadata!E689,15,1))&gt;=0,FALSE),IFERROR(INT(MID(Metadata!E689,15,1))&lt;=5,FALSE),NOT(MID(Metadata!E689,16,1)=""),IFERROR(INT(MID(Metadata!E689,15,2))&gt;=0,FALSE),IFERROR(INT(MID(Metadata!E689,15,2))&lt;=59,FALSE)), OR(MID(Metadata!E689,17,1)="", AND(AND(MID(Metadata!E689,17,1)=":",IFERROR(INT(MID(Metadata!E689,18,1))&gt;=0,FALSE),IFERROR(INT(MID(Metadata!E689,18,1))&lt;=5,FALSE),NOT(MID(Metadata!E689,19,1)=""),IFERROR(INT(MID(Metadata!E689,18,2))&gt;=0,FALSE),IFERROR(INT(MID(Metadata!E689,18,2))&lt;=59,FALSE)), LEN(Metadata!E689)&lt;=19)))))))))))))</f>
        <v>0</v>
      </c>
      <c r="AS689" t="b">
        <f>IF(Metadata!F689="",FALSE,TRUE)</f>
        <v>0</v>
      </c>
      <c r="AT689" t="b">
        <f>OR(AND(IF(Metadata!G689="",FALSE,TRUE),OR(EXACT(Metadata!G689,"not collected"),EXACT(Metadata!G689,"not provided"))),AND(IF(Metadata!G689="",FALSE,TRUE),OR(EXACT(Metadata!G689,"TRUE"),EXACT(Metadata!G689,"FALSE"))))</f>
        <v>0</v>
      </c>
      <c r="AU689" t="b">
        <f>OR(AND(IF(Metadata!H689="",FALSE,TRUE),OR(EXACT(Metadata!H689,"not collected"),EXACT(Metadata!H689,"not provided"),EXACT(Metadata!H689,"restricted access"))),AND(IF(Metadata!H689="",FALSE,ISNUMBER(VALUE(Metadata!H689))),Metadata!H689&gt;=-413))</f>
        <v>0</v>
      </c>
      <c r="AV689" t="b">
        <f>AND(IF(Metadata!I689="",FALSE,TRUE),EXACT(Metadata!I689,"meters"))</f>
        <v>0</v>
      </c>
      <c r="AW689" t="b">
        <f>AND(IF(Metadata!J689="",FALSE,TRUE),EXACT(Metadata!J689,"free-living"))</f>
        <v>0</v>
      </c>
      <c r="AX689" t="b">
        <f>AND(IF(Metadata!K689="",FALSE,TRUE),OR(EXACT(Metadata!K689,"saline"),EXACT(Metadata!K689,"non-saline")))</f>
        <v>0</v>
      </c>
      <c r="AY689" t="b">
        <f>AND(IF(Metadata!L689="",FALSE,TRUE),OR(EXACT(Metadata!L689,"sub-surface (non-saline)"),EXACT(Metadata!L689,"surface (non-saline)"),EXACT(Metadata!L689,"water (non-saline)"),EXACT(Metadata!L689,"soil (non-saline)"),EXACT(Metadata!L689,"aerosol (non-saline)"),EXACT(Metadata!L689,"sediment (non-saline)"),EXACT(Metadata!L689,"surface (saline)"),EXACT(Metadata!L689,"water (saline)"),EXACT(Metadata!L689,"hypersaline (saline)"),EXACT(Metadata!L689,"aerosol (saline)"),EXACT(Metadata!L689,"sediment (saline)")))</f>
        <v>0</v>
      </c>
      <c r="AZ689" t="b">
        <f>IF(Metadata!M689="",FALSE,TRUE)</f>
        <v>0</v>
      </c>
      <c r="BA689" t="b">
        <f>IF(Metadata!N689="",FALSE,TRUE)</f>
        <v>0</v>
      </c>
      <c r="BB689" t="b">
        <f>IF(Metadata!O689="",FALSE,TRUE)</f>
        <v>0</v>
      </c>
      <c r="BC689" t="b">
        <f>AND(IF(Metadata!P689="",FALSE,TRUE),OR(EXACT(Metadata!P689,"air"),EXACT(Metadata!P689,"microbial mat/biofilm"),EXACT(Metadata!P689,"misc environment"),EXACT(Metadata!P689,"sediment"),EXACT(Metadata!P689,"soil"),EXACT(Metadata!P689,"wastewater/sludge"),EXACT(Metadata!P689,"water")))</f>
        <v>0</v>
      </c>
      <c r="BD689" t="b">
        <f>IF(Metadata!Q689="",FALSE,TRUE)</f>
        <v>0</v>
      </c>
      <c r="BE689" t="b">
        <f>IF(Metadata!R689="",FALSE,TRUE)</f>
        <v>0</v>
      </c>
      <c r="BF689" t="b">
        <f>OR(AND(IF(Metadata!S689="",FALSE,TRUE),OR(EXACT(Metadata!S689,"not collected"),EXACT(Metadata!S689,"not provided"),EXACT(Metadata!S689,"restricted access"))),AND(IF(Metadata!S689="",FALSE,ISNUMBER(VALUE(Metadata!S689))),Metadata!S689&gt;=-90,Metadata!S689&lt;=90))</f>
        <v>0</v>
      </c>
      <c r="BG689" t="b">
        <f>AND(IF(Metadata!T689="",FALSE,TRUE),EXACT(Metadata!T689,"Decimal degrees"))</f>
        <v>0</v>
      </c>
      <c r="BH689" t="b">
        <f>OR(AND(IF(Metadata!U689="",FALSE,TRUE),OR(EXACT(Metadata!U689,"not applicable"),EXACT(Metadata!U689,"not collected"))),IF(Metadata!U689="",FALSE,TRUE))</f>
        <v>0</v>
      </c>
      <c r="BI689" t="b">
        <f>OR(AND(IF(Metadata!V689="",FALSE,TRUE),OR(EXACT(Metadata!V689,"not collected"),EXACT(Metadata!V689,"not provided"),EXACT(Metadata!V689,"restricted access"))),AND(IF(Metadata!V689="",FALSE,ISNUMBER(VALUE(Metadata!V689))),Metadata!V689&gt;=-180,Metadata!V689&lt;=180))</f>
        <v>0</v>
      </c>
      <c r="BJ689" t="b">
        <f>AND(IF(Metadata!W689="",FALSE,TRUE),EXACT(Metadata!W689,"Decimal degrees"))</f>
        <v>0</v>
      </c>
      <c r="BK689" t="b">
        <f>IF(Metadata!X689="",FALSE,TRUE)</f>
        <v>0</v>
      </c>
      <c r="BL689" t="b">
        <f>OR(AND(IF(Metadata!Y689="",FALSE,TRUE),OR(EXACT(Metadata!Y689,"not collected"),EXACT(Metadata!Y689,"not provided"),EXACT(Metadata!Y689,"restricted access"))),AND(IF(Metadata!Y689="",FALSE,TRUE),OR(EXACT(Metadata!Y689,"TRUE"),EXACT(Metadata!Y689,"FALSE"))))</f>
        <v>0</v>
      </c>
      <c r="BM689" t="b">
        <f>OR(AND(IF(Metadata!Z689="",FALSE,TRUE),EXACT(Metadata!Z689,"not applicable")),AND(IF(Metadata!Z689="",FALSE,TRUE),OR(EXACT(Metadata!Z689,"beer"),EXACT(Metadata!Z689,"cheese"),EXACT(Metadata!Z689,"fresh water"),EXACT(Metadata!Z689,"marine sediment"),EXACT(Metadata!Z689,"sea water"),EXACT(Metadata!Z689,"sediment"),EXACT(Metadata!Z689,"soil"),EXACT(Metadata!Z689,"waste water"))))</f>
        <v>0</v>
      </c>
      <c r="BN689" t="b">
        <f>AND(IF(Metadata!AA689="",FALSE,TRUE),EXACT(Metadata!AA689,"metagenome"))</f>
        <v>0</v>
      </c>
      <c r="BO689" t="b">
        <f>AND(IF(Metadata!AB689="",FALSE,TRUE),EXACT(Metadata!AB689,"256318"))</f>
        <v>0</v>
      </c>
      <c r="BP689" t="b">
        <f>IF(Metadata!AC689="",FALSE,TRUE)</f>
        <v>0</v>
      </c>
      <c r="BQ689" t="b">
        <f>IF(Metadata!AD689="",FALSE,TRUE)</f>
        <v>0</v>
      </c>
    </row>
    <row r="690" spans="1:69" x14ac:dyDescent="0.2">
      <c r="A690" s="4" t="e">
        <f ca="1">IF(B690=" "," ",HYPERLINK(CONCATENATE("#metadata!",ADDRESS(INDEX($AJ$2:$AJ$1001,MATCH(ROWS($AH$2:AH690),$AH$2:$AH$1001,0),0),2)),INDEX($AM$2:$AM$1001,MATCH(ROWS($AH$2:AH690),$AH$2:$AH$1001,0),0)))</f>
        <v>#N/A</v>
      </c>
      <c r="B690" s="5" t="e">
        <f ca="1">IF(OR(INDEX($AI$2:$AI$1001,MATCH(ROWS($AH$2:AH690),$AH$2:$AH$1001,0),1)&gt;=100000,INDEX($AO$1005:$BQ$1005,1,MATCH(COLUMNS($AO$1006:AO1006),$AO$1006:$BQ$1006,0))&gt;=100000), " ",IF(INDEX($AO$2:$BQ$1001,MATCH(ROWS($AH$2:AH690),$AH$2:$AH$1001,0),MATCH(COLUMNS($AO$1006:AO1006),$AO$1006:$BQ$1006,0)), HYPERLINK("#",""), HYPERLINK(CONCATENATE("#Metadata!", ADDRESS(INDEX($AJ$2:$AJ$1001,MATCH(ROWS($AH$2:AH690),$AH$2:$AH$1001,0),0), INDEX($AO$1004:$BQ$1004,1,MATCH(COLUMNS($AO$1006:AO1006),$AO$1006:$BQ$1006,0)))),"Fix")))</f>
        <v>#N/A</v>
      </c>
      <c r="C690" s="5" t="e">
        <f ca="1">IF(OR(INDEX($AI$2:$AI$1001,MATCH(ROWS($AH$2:AH690),$AH$2:$AH$1001,0),1)&gt;=100000,INDEX($AO$1005:$BQ$1005,1,MATCH(COLUMNS($AO$1006:AP1006),$AO$1006:$BQ$1006,0))&gt;=100000), " ",IF(INDEX($AO$2:$BQ$1001,MATCH(ROWS($AH$2:AH690),$AH$2:$AH$1001,0),MATCH(COLUMNS($AO$1006:AP1006),$AO$1006:$BQ$1006,0)), HYPERLINK("#",""), HYPERLINK(CONCATENATE("#Metadata!", ADDRESS(INDEX($AJ$2:$AJ$1001,MATCH(ROWS($AH$2:AH690),$AH$2:$AH$1001,0),0), INDEX($AO$1004:$BQ$1004,1,MATCH(COLUMNS($AO$1006:AP1006),$AO$1006:$BQ$1006,0)))),"Fix")))</f>
        <v>#N/A</v>
      </c>
      <c r="D690" s="5" t="e">
        <f ca="1">IF(OR(INDEX($AI$2:$AI$1001,MATCH(ROWS($AH$2:AH690),$AH$2:$AH$1001,0),1)&gt;=100000,INDEX($AO$1005:$BQ$1005,1,MATCH(COLUMNS($AO$1006:AQ1006),$AO$1006:$BQ$1006,0))&gt;=100000), " ",IF(INDEX($AO$2:$BQ$1001,MATCH(ROWS($AH$2:AH690),$AH$2:$AH$1001,0),MATCH(COLUMNS($AO$1006:AQ1006),$AO$1006:$BQ$1006,0)), HYPERLINK("#",""), HYPERLINK(CONCATENATE("#Metadata!", ADDRESS(INDEX($AJ$2:$AJ$1001,MATCH(ROWS($AH$2:AH690),$AH$2:$AH$1001,0),0), INDEX($AO$1004:$BQ$1004,1,MATCH(COLUMNS($AO$1006:AQ1006),$AO$1006:$BQ$1006,0)))),"Fix")))</f>
        <v>#N/A</v>
      </c>
      <c r="E690" s="5" t="e">
        <f ca="1">IF(OR(INDEX($AI$2:$AI$1001,MATCH(ROWS($AH$2:AH690),$AH$2:$AH$1001,0),1)&gt;=100000,INDEX($AO$1005:$BQ$1005,1,MATCH(COLUMNS($AO$1006:AR1006),$AO$1006:$BQ$1006,0))&gt;=100000), " ",IF(INDEX($AO$2:$BQ$1001,MATCH(ROWS($AH$2:AH690),$AH$2:$AH$1001,0),MATCH(COLUMNS($AO$1006:AR1006),$AO$1006:$BQ$1006,0)), HYPERLINK("#",""), HYPERLINK(CONCATENATE("#Metadata!", ADDRESS(INDEX($AJ$2:$AJ$1001,MATCH(ROWS($AH$2:AH690),$AH$2:$AH$1001,0),0), INDEX($AO$1004:$BQ$1004,1,MATCH(COLUMNS($AO$1006:AR1006),$AO$1006:$BQ$1006,0)))),"Fix")))</f>
        <v>#N/A</v>
      </c>
      <c r="F690" s="5" t="e">
        <f ca="1">IF(OR(INDEX($AI$2:$AI$1001,MATCH(ROWS($AH$2:AH690),$AH$2:$AH$1001,0),1)&gt;=100000,INDEX($AO$1005:$BQ$1005,1,MATCH(COLUMNS($AO$1006:AS1006),$AO$1006:$BQ$1006,0))&gt;=100000), " ",IF(INDEX($AO$2:$BQ$1001,MATCH(ROWS($AH$2:AH690),$AH$2:$AH$1001,0),MATCH(COLUMNS($AO$1006:AS1006),$AO$1006:$BQ$1006,0)), HYPERLINK("#",""), HYPERLINK(CONCATENATE("#Metadata!", ADDRESS(INDEX($AJ$2:$AJ$1001,MATCH(ROWS($AH$2:AH690),$AH$2:$AH$1001,0),0), INDEX($AO$1004:$BQ$1004,1,MATCH(COLUMNS($AO$1006:AS1006),$AO$1006:$BQ$1006,0)))),"Fix")))</f>
        <v>#N/A</v>
      </c>
      <c r="G690" s="5" t="e">
        <f ca="1">IF(OR(INDEX($AI$2:$AI$1001,MATCH(ROWS($AH$2:AH690),$AH$2:$AH$1001,0),1)&gt;=100000,INDEX($AO$1005:$BQ$1005,1,MATCH(COLUMNS($AO$1006:AT1006),$AO$1006:$BQ$1006,0))&gt;=100000), " ",IF(INDEX($AO$2:$BQ$1001,MATCH(ROWS($AH$2:AH690),$AH$2:$AH$1001,0),MATCH(COLUMNS($AO$1006:AT1006),$AO$1006:$BQ$1006,0)), HYPERLINK("#",""), HYPERLINK(CONCATENATE("#Metadata!", ADDRESS(INDEX($AJ$2:$AJ$1001,MATCH(ROWS($AH$2:AH690),$AH$2:$AH$1001,0),0), INDEX($AO$1004:$BQ$1004,1,MATCH(COLUMNS($AO$1006:AT1006),$AO$1006:$BQ$1006,0)))),"Fix")))</f>
        <v>#N/A</v>
      </c>
      <c r="H690" s="5" t="e">
        <f ca="1">IF(OR(INDEX($AI$2:$AI$1001,MATCH(ROWS($AH$2:AH690),$AH$2:$AH$1001,0),1)&gt;=100000,INDEX($AO$1005:$BQ$1005,1,MATCH(COLUMNS($AO$1006:AU1006),$AO$1006:$BQ$1006,0))&gt;=100000), " ",IF(INDEX($AO$2:$BQ$1001,MATCH(ROWS($AH$2:AH690),$AH$2:$AH$1001,0),MATCH(COLUMNS($AO$1006:AU1006),$AO$1006:$BQ$1006,0)), HYPERLINK("#",""), HYPERLINK(CONCATENATE("#Metadata!", ADDRESS(INDEX($AJ$2:$AJ$1001,MATCH(ROWS($AH$2:AH690),$AH$2:$AH$1001,0),0), INDEX($AO$1004:$BQ$1004,1,MATCH(COLUMNS($AO$1006:AU1006),$AO$1006:$BQ$1006,0)))),"Fix")))</f>
        <v>#N/A</v>
      </c>
      <c r="I690" s="5" t="e">
        <f ca="1">IF(OR(INDEX($AI$2:$AI$1001,MATCH(ROWS($AH$2:AH690),$AH$2:$AH$1001,0),1)&gt;=100000,INDEX($AO$1005:$BQ$1005,1,MATCH(COLUMNS($AO$1006:AV1006),$AO$1006:$BQ$1006,0))&gt;=100000), " ",IF(INDEX($AO$2:$BQ$1001,MATCH(ROWS($AH$2:AH690),$AH$2:$AH$1001,0),MATCH(COLUMNS($AO$1006:AV1006),$AO$1006:$BQ$1006,0)), HYPERLINK("#",""), HYPERLINK(CONCATENATE("#Metadata!", ADDRESS(INDEX($AJ$2:$AJ$1001,MATCH(ROWS($AH$2:AH690),$AH$2:$AH$1001,0),0), INDEX($AO$1004:$BQ$1004,1,MATCH(COLUMNS($AO$1006:AV1006),$AO$1006:$BQ$1006,0)))),"Fix")))</f>
        <v>#N/A</v>
      </c>
      <c r="J690" s="5" t="e">
        <f ca="1">IF(OR(INDEX($AI$2:$AI$1001,MATCH(ROWS($AH$2:AH690),$AH$2:$AH$1001,0),1)&gt;=100000,INDEX($AO$1005:$BQ$1005,1,MATCH(COLUMNS($AO$1006:AW1006),$AO$1006:$BQ$1006,0))&gt;=100000), " ",IF(INDEX($AO$2:$BQ$1001,MATCH(ROWS($AH$2:AH690),$AH$2:$AH$1001,0),MATCH(COLUMNS($AO$1006:AW1006),$AO$1006:$BQ$1006,0)), HYPERLINK("#",""), HYPERLINK(CONCATENATE("#Metadata!", ADDRESS(INDEX($AJ$2:$AJ$1001,MATCH(ROWS($AH$2:AH690),$AH$2:$AH$1001,0),0), INDEX($AO$1004:$BQ$1004,1,MATCH(COLUMNS($AO$1006:AW1006),$AO$1006:$BQ$1006,0)))),"Fix")))</f>
        <v>#N/A</v>
      </c>
      <c r="K690" s="5" t="e">
        <f ca="1">IF(OR(INDEX($AI$2:$AI$1001,MATCH(ROWS($AH$2:AH690),$AH$2:$AH$1001,0),1)&gt;=100000,INDEX($AO$1005:$BQ$1005,1,MATCH(COLUMNS($AO$1006:AX1006),$AO$1006:$BQ$1006,0))&gt;=100000), " ",IF(INDEX($AO$2:$BQ$1001,MATCH(ROWS($AH$2:AH690),$AH$2:$AH$1001,0),MATCH(COLUMNS($AO$1006:AX1006),$AO$1006:$BQ$1006,0)), HYPERLINK("#",""), HYPERLINK(CONCATENATE("#Metadata!", ADDRESS(INDEX($AJ$2:$AJ$1001,MATCH(ROWS($AH$2:AH690),$AH$2:$AH$1001,0),0), INDEX($AO$1004:$BQ$1004,1,MATCH(COLUMNS($AO$1006:AX1006),$AO$1006:$BQ$1006,0)))),"Fix")))</f>
        <v>#N/A</v>
      </c>
      <c r="L690" s="5" t="e">
        <f ca="1">IF(OR(INDEX($AI$2:$AI$1001,MATCH(ROWS($AH$2:AH690),$AH$2:$AH$1001,0),1)&gt;=100000,INDEX($AO$1005:$BQ$1005,1,MATCH(COLUMNS($AO$1006:AY1006),$AO$1006:$BQ$1006,0))&gt;=100000), " ",IF(INDEX($AO$2:$BQ$1001,MATCH(ROWS($AH$2:AH690),$AH$2:$AH$1001,0),MATCH(COLUMNS($AO$1006:AY1006),$AO$1006:$BQ$1006,0)), HYPERLINK("#",""), HYPERLINK(CONCATENATE("#Metadata!", ADDRESS(INDEX($AJ$2:$AJ$1001,MATCH(ROWS($AH$2:AH690),$AH$2:$AH$1001,0),0), INDEX($AO$1004:$BQ$1004,1,MATCH(COLUMNS($AO$1006:AY1006),$AO$1006:$BQ$1006,0)))),"Fix")))</f>
        <v>#N/A</v>
      </c>
      <c r="M690" s="5" t="e">
        <f ca="1">IF(OR(INDEX($AI$2:$AI$1001,MATCH(ROWS($AH$2:AH690),$AH$2:$AH$1001,0),1)&gt;=100000,INDEX($AO$1005:$BQ$1005,1,MATCH(COLUMNS($AO$1006:AZ1006),$AO$1006:$BQ$1006,0))&gt;=100000), " ",IF(INDEX($AO$2:$BQ$1001,MATCH(ROWS($AH$2:AH690),$AH$2:$AH$1001,0),MATCH(COLUMNS($AO$1006:AZ1006),$AO$1006:$BQ$1006,0)), HYPERLINK("#",""), HYPERLINK(CONCATENATE("#Metadata!", ADDRESS(INDEX($AJ$2:$AJ$1001,MATCH(ROWS($AH$2:AH690),$AH$2:$AH$1001,0),0), INDEX($AO$1004:$BQ$1004,1,MATCH(COLUMNS($AO$1006:AZ1006),$AO$1006:$BQ$1006,0)))),"Fix")))</f>
        <v>#N/A</v>
      </c>
      <c r="N690" s="5" t="e">
        <f ca="1">IF(OR(INDEX($AI$2:$AI$1001,MATCH(ROWS($AH$2:AH690),$AH$2:$AH$1001,0),1)&gt;=100000,INDEX($AO$1005:$BQ$1005,1,MATCH(COLUMNS($AO$1006:BA1006),$AO$1006:$BQ$1006,0))&gt;=100000), " ",IF(INDEX($AO$2:$BQ$1001,MATCH(ROWS($AH$2:AH690),$AH$2:$AH$1001,0),MATCH(COLUMNS($AO$1006:BA1006),$AO$1006:$BQ$1006,0)), HYPERLINK("#",""), HYPERLINK(CONCATENATE("#Metadata!", ADDRESS(INDEX($AJ$2:$AJ$1001,MATCH(ROWS($AH$2:AH690),$AH$2:$AH$1001,0),0), INDEX($AO$1004:$BQ$1004,1,MATCH(COLUMNS($AO$1006:BA1006),$AO$1006:$BQ$1006,0)))),"Fix")))</f>
        <v>#N/A</v>
      </c>
      <c r="O690" s="5" t="e">
        <f ca="1">IF(OR(INDEX($AI$2:$AI$1001,MATCH(ROWS($AH$2:AH690),$AH$2:$AH$1001,0),1)&gt;=100000,INDEX($AO$1005:$BQ$1005,1,MATCH(COLUMNS($AO$1006:BB1006),$AO$1006:$BQ$1006,0))&gt;=100000), " ",IF(INDEX($AO$2:$BQ$1001,MATCH(ROWS($AH$2:AH690),$AH$2:$AH$1001,0),MATCH(COLUMNS($AO$1006:BB1006),$AO$1006:$BQ$1006,0)), HYPERLINK("#",""), HYPERLINK(CONCATENATE("#Metadata!", ADDRESS(INDEX($AJ$2:$AJ$1001,MATCH(ROWS($AH$2:AH690),$AH$2:$AH$1001,0),0), INDEX($AO$1004:$BQ$1004,1,MATCH(COLUMNS($AO$1006:BB1006),$AO$1006:$BQ$1006,0)))),"Fix")))</f>
        <v>#N/A</v>
      </c>
      <c r="P690" s="5" t="e">
        <f ca="1">IF(OR(INDEX($AI$2:$AI$1001,MATCH(ROWS($AH$2:AH690),$AH$2:$AH$1001,0),1)&gt;=100000,INDEX($AO$1005:$BQ$1005,1,MATCH(COLUMNS($AO$1006:BC1006),$AO$1006:$BQ$1006,0))&gt;=100000), " ",IF(INDEX($AO$2:$BQ$1001,MATCH(ROWS($AH$2:AH690),$AH$2:$AH$1001,0),MATCH(COLUMNS($AO$1006:BC1006),$AO$1006:$BQ$1006,0)), HYPERLINK("#",""), HYPERLINK(CONCATENATE("#Metadata!", ADDRESS(INDEX($AJ$2:$AJ$1001,MATCH(ROWS($AH$2:AH690),$AH$2:$AH$1001,0),0), INDEX($AO$1004:$BQ$1004,1,MATCH(COLUMNS($AO$1006:BC1006),$AO$1006:$BQ$1006,0)))),"Fix")))</f>
        <v>#N/A</v>
      </c>
      <c r="Q690" s="5" t="e">
        <f ca="1">IF(OR(INDEX($AI$2:$AI$1001,MATCH(ROWS($AH$2:AH690),$AH$2:$AH$1001,0),1)&gt;=100000,INDEX($AO$1005:$BQ$1005,1,MATCH(COLUMNS($AO$1006:BD1006),$AO$1006:$BQ$1006,0))&gt;=100000), " ",IF(INDEX($AO$2:$BQ$1001,MATCH(ROWS($AH$2:AH690),$AH$2:$AH$1001,0),MATCH(COLUMNS($AO$1006:BD1006),$AO$1006:$BQ$1006,0)), HYPERLINK("#",""), HYPERLINK(CONCATENATE("#Metadata!", ADDRESS(INDEX($AJ$2:$AJ$1001,MATCH(ROWS($AH$2:AH690),$AH$2:$AH$1001,0),0), INDEX($AO$1004:$BQ$1004,1,MATCH(COLUMNS($AO$1006:BD1006),$AO$1006:$BQ$1006,0)))),"Fix")))</f>
        <v>#N/A</v>
      </c>
      <c r="R690" s="5" t="e">
        <f ca="1">IF(OR(INDEX($AI$2:$AI$1001,MATCH(ROWS($AH$2:AH690),$AH$2:$AH$1001,0),1)&gt;=100000,INDEX($AO$1005:$BQ$1005,1,MATCH(COLUMNS($AO$1006:BE1006),$AO$1006:$BQ$1006,0))&gt;=100000), " ",IF(INDEX($AO$2:$BQ$1001,MATCH(ROWS($AH$2:AH690),$AH$2:$AH$1001,0),MATCH(COLUMNS($AO$1006:BE1006),$AO$1006:$BQ$1006,0)), HYPERLINK("#",""), HYPERLINK(CONCATENATE("#Metadata!", ADDRESS(INDEX($AJ$2:$AJ$1001,MATCH(ROWS($AH$2:AH690),$AH$2:$AH$1001,0),0), INDEX($AO$1004:$BQ$1004,1,MATCH(COLUMNS($AO$1006:BE1006),$AO$1006:$BQ$1006,0)))),"Fix")))</f>
        <v>#N/A</v>
      </c>
      <c r="S690" s="5" t="e">
        <f ca="1">IF(OR(INDEX($AI$2:$AI$1001,MATCH(ROWS($AH$2:AH690),$AH$2:$AH$1001,0),1)&gt;=100000,INDEX($AO$1005:$BQ$1005,1,MATCH(COLUMNS($AO$1006:BF1006),$AO$1006:$BQ$1006,0))&gt;=100000), " ",IF(INDEX($AO$2:$BQ$1001,MATCH(ROWS($AH$2:AH690),$AH$2:$AH$1001,0),MATCH(COLUMNS($AO$1006:BF1006),$AO$1006:$BQ$1006,0)), HYPERLINK("#",""), HYPERLINK(CONCATENATE("#Metadata!", ADDRESS(INDEX($AJ$2:$AJ$1001,MATCH(ROWS($AH$2:AH690),$AH$2:$AH$1001,0),0), INDEX($AO$1004:$BQ$1004,1,MATCH(COLUMNS($AO$1006:BF1006),$AO$1006:$BQ$1006,0)))),"Fix")))</f>
        <v>#N/A</v>
      </c>
      <c r="T690" s="5" t="e">
        <f ca="1">IF(OR(INDEX($AI$2:$AI$1001,MATCH(ROWS($AH$2:AH690),$AH$2:$AH$1001,0),1)&gt;=100000,INDEX($AO$1005:$BQ$1005,1,MATCH(COLUMNS($AO$1006:BG1006),$AO$1006:$BQ$1006,0))&gt;=100000), " ",IF(INDEX($AO$2:$BQ$1001,MATCH(ROWS($AH$2:AH690),$AH$2:$AH$1001,0),MATCH(COLUMNS($AO$1006:BG1006),$AO$1006:$BQ$1006,0)), HYPERLINK("#",""), HYPERLINK(CONCATENATE("#Metadata!", ADDRESS(INDEX($AJ$2:$AJ$1001,MATCH(ROWS($AH$2:AH690),$AH$2:$AH$1001,0),0), INDEX($AO$1004:$BQ$1004,1,MATCH(COLUMNS($AO$1006:BG1006),$AO$1006:$BQ$1006,0)))),"Fix")))</f>
        <v>#N/A</v>
      </c>
      <c r="U690" s="5" t="e">
        <f ca="1">IF(OR(INDEX($AI$2:$AI$1001,MATCH(ROWS($AH$2:AH690),$AH$2:$AH$1001,0),1)&gt;=100000,INDEX($AO$1005:$BQ$1005,1,MATCH(COLUMNS($AO$1006:BH1006),$AO$1006:$BQ$1006,0))&gt;=100000), " ",IF(INDEX($AO$2:$BQ$1001,MATCH(ROWS($AH$2:AH690),$AH$2:$AH$1001,0),MATCH(COLUMNS($AO$1006:BH1006),$AO$1006:$BQ$1006,0)), HYPERLINK("#",""), HYPERLINK(CONCATENATE("#Metadata!", ADDRESS(INDEX($AJ$2:$AJ$1001,MATCH(ROWS($AH$2:AH690),$AH$2:$AH$1001,0),0), INDEX($AO$1004:$BQ$1004,1,MATCH(COLUMNS($AO$1006:BH1006),$AO$1006:$BQ$1006,0)))),"Fix")))</f>
        <v>#N/A</v>
      </c>
      <c r="V690" s="5" t="e">
        <f ca="1">IF(OR(INDEX($AI$2:$AI$1001,MATCH(ROWS($AH$2:AH690),$AH$2:$AH$1001,0),1)&gt;=100000,INDEX($AO$1005:$BQ$1005,1,MATCH(COLUMNS($AO$1006:BI1006),$AO$1006:$BQ$1006,0))&gt;=100000), " ",IF(INDEX($AO$2:$BQ$1001,MATCH(ROWS($AH$2:AH690),$AH$2:$AH$1001,0),MATCH(COLUMNS($AO$1006:BI1006),$AO$1006:$BQ$1006,0)), HYPERLINK("#",""), HYPERLINK(CONCATENATE("#Metadata!", ADDRESS(INDEX($AJ$2:$AJ$1001,MATCH(ROWS($AH$2:AH690),$AH$2:$AH$1001,0),0), INDEX($AO$1004:$BQ$1004,1,MATCH(COLUMNS($AO$1006:BI1006),$AO$1006:$BQ$1006,0)))),"Fix")))</f>
        <v>#N/A</v>
      </c>
      <c r="W690" s="5" t="e">
        <f ca="1">IF(OR(INDEX($AI$2:$AI$1001,MATCH(ROWS($AH$2:AH690),$AH$2:$AH$1001,0),1)&gt;=100000,INDEX($AO$1005:$BQ$1005,1,MATCH(COLUMNS($AO$1006:BJ1006),$AO$1006:$BQ$1006,0))&gt;=100000), " ",IF(INDEX($AO$2:$BQ$1001,MATCH(ROWS($AH$2:AH690),$AH$2:$AH$1001,0),MATCH(COLUMNS($AO$1006:BJ1006),$AO$1006:$BQ$1006,0)), HYPERLINK("#",""), HYPERLINK(CONCATENATE("#Metadata!", ADDRESS(INDEX($AJ$2:$AJ$1001,MATCH(ROWS($AH$2:AH690),$AH$2:$AH$1001,0),0), INDEX($AO$1004:$BQ$1004,1,MATCH(COLUMNS($AO$1006:BJ1006),$AO$1006:$BQ$1006,0)))),"Fix")))</f>
        <v>#N/A</v>
      </c>
      <c r="X690" s="5" t="e">
        <f ca="1">IF(OR(INDEX($AI$2:$AI$1001,MATCH(ROWS($AH$2:AH690),$AH$2:$AH$1001,0),1)&gt;=100000,INDEX($AO$1005:$BQ$1005,1,MATCH(COLUMNS($AO$1006:BK1006),$AO$1006:$BQ$1006,0))&gt;=100000), " ",IF(INDEX($AO$2:$BQ$1001,MATCH(ROWS($AH$2:AH690),$AH$2:$AH$1001,0),MATCH(COLUMNS($AO$1006:BK1006),$AO$1006:$BQ$1006,0)), HYPERLINK("#",""), HYPERLINK(CONCATENATE("#Metadata!", ADDRESS(INDEX($AJ$2:$AJ$1001,MATCH(ROWS($AH$2:AH690),$AH$2:$AH$1001,0),0), INDEX($AO$1004:$BQ$1004,1,MATCH(COLUMNS($AO$1006:BK1006),$AO$1006:$BQ$1006,0)))),"Fix")))</f>
        <v>#N/A</v>
      </c>
      <c r="Y690" s="5" t="e">
        <f ca="1">IF(OR(INDEX($AI$2:$AI$1001,MATCH(ROWS($AH$2:AH690),$AH$2:$AH$1001,0),1)&gt;=100000,INDEX($AO$1005:$BQ$1005,1,MATCH(COLUMNS($AO$1006:BL1006),$AO$1006:$BQ$1006,0))&gt;=100000), " ",IF(INDEX($AO$2:$BQ$1001,MATCH(ROWS($AH$2:AH690),$AH$2:$AH$1001,0),MATCH(COLUMNS($AO$1006:BL1006),$AO$1006:$BQ$1006,0)), HYPERLINK("#",""), HYPERLINK(CONCATENATE("#Metadata!", ADDRESS(INDEX($AJ$2:$AJ$1001,MATCH(ROWS($AH$2:AH690),$AH$2:$AH$1001,0),0), INDEX($AO$1004:$BQ$1004,1,MATCH(COLUMNS($AO$1006:BL1006),$AO$1006:$BQ$1006,0)))),"Fix")))</f>
        <v>#N/A</v>
      </c>
      <c r="Z690" s="5" t="e">
        <f ca="1">IF(OR(INDEX($AI$2:$AI$1001,MATCH(ROWS($AH$2:AH690),$AH$2:$AH$1001,0),1)&gt;=100000,INDEX($AO$1005:$BQ$1005,1,MATCH(COLUMNS($AO$1006:BM1006),$AO$1006:$BQ$1006,0))&gt;=100000), " ",IF(INDEX($AO$2:$BQ$1001,MATCH(ROWS($AH$2:AH690),$AH$2:$AH$1001,0),MATCH(COLUMNS($AO$1006:BM1006),$AO$1006:$BQ$1006,0)), HYPERLINK("#",""), HYPERLINK(CONCATENATE("#Metadata!", ADDRESS(INDEX($AJ$2:$AJ$1001,MATCH(ROWS($AH$2:AH690),$AH$2:$AH$1001,0),0), INDEX($AO$1004:$BQ$1004,1,MATCH(COLUMNS($AO$1006:BM1006),$AO$1006:$BQ$1006,0)))),"Fix")))</f>
        <v>#N/A</v>
      </c>
      <c r="AA690" s="5" t="e">
        <f ca="1">IF(OR(INDEX($AI$2:$AI$1001,MATCH(ROWS($AH$2:AH690),$AH$2:$AH$1001,0),1)&gt;=100000,INDEX($AO$1005:$BQ$1005,1,MATCH(COLUMNS($AO$1006:BN1006),$AO$1006:$BQ$1006,0))&gt;=100000), " ",IF(INDEX($AO$2:$BQ$1001,MATCH(ROWS($AH$2:AH690),$AH$2:$AH$1001,0),MATCH(COLUMNS($AO$1006:BN1006),$AO$1006:$BQ$1006,0)), HYPERLINK("#",""), HYPERLINK(CONCATENATE("#Metadata!", ADDRESS(INDEX($AJ$2:$AJ$1001,MATCH(ROWS($AH$2:AH690),$AH$2:$AH$1001,0),0), INDEX($AO$1004:$BQ$1004,1,MATCH(COLUMNS($AO$1006:BN1006),$AO$1006:$BQ$1006,0)))),"Fix")))</f>
        <v>#N/A</v>
      </c>
      <c r="AB690" s="5" t="e">
        <f ca="1">IF(OR(INDEX($AI$2:$AI$1001,MATCH(ROWS($AH$2:AH690),$AH$2:$AH$1001,0),1)&gt;=100000,INDEX($AO$1005:$BQ$1005,1,MATCH(COLUMNS($AO$1006:BO1006),$AO$1006:$BQ$1006,0))&gt;=100000), " ",IF(INDEX($AO$2:$BQ$1001,MATCH(ROWS($AH$2:AH690),$AH$2:$AH$1001,0),MATCH(COLUMNS($AO$1006:BO1006),$AO$1006:$BQ$1006,0)), HYPERLINK("#",""), HYPERLINK(CONCATENATE("#Metadata!", ADDRESS(INDEX($AJ$2:$AJ$1001,MATCH(ROWS($AH$2:AH690),$AH$2:$AH$1001,0),0), INDEX($AO$1004:$BQ$1004,1,MATCH(COLUMNS($AO$1006:BO1006),$AO$1006:$BQ$1006,0)))),"Fix")))</f>
        <v>#N/A</v>
      </c>
      <c r="AC690" s="5" t="e">
        <f ca="1">IF(OR(INDEX($AI$2:$AI$1001,MATCH(ROWS($AH$2:AH690),$AH$2:$AH$1001,0),1)&gt;=100000,INDEX($AO$1005:$BQ$1005,1,MATCH(COLUMNS($AO$1006:BP1006),$AO$1006:$BQ$1006,0))&gt;=100000), " ",IF(INDEX($AO$2:$BQ$1001,MATCH(ROWS($AH$2:AH690),$AH$2:$AH$1001,0),MATCH(COLUMNS($AO$1006:BP1006),$AO$1006:$BQ$1006,0)), HYPERLINK("#",""), HYPERLINK(CONCATENATE("#Metadata!", ADDRESS(INDEX($AJ$2:$AJ$1001,MATCH(ROWS($AH$2:AH690),$AH$2:$AH$1001,0),0), INDEX($AO$1004:$BQ$1004,1,MATCH(COLUMNS($AO$1006:BP1006),$AO$1006:$BQ$1006,0)))),"Fix")))</f>
        <v>#N/A</v>
      </c>
      <c r="AD690" s="5" t="e">
        <f ca="1">IF(OR(INDEX($AI$2:$AI$1001,MATCH(ROWS($AH$2:AH690),$AH$2:$AH$1001,0),1)&gt;=100000,INDEX($AO$1005:$BQ$1005,1,MATCH(COLUMNS($AO$1006:BQ1006),$AO$1006:$BQ$1006,0))&gt;=100000), " ",IF(INDEX($AO$2:$BQ$1001,MATCH(ROWS($AH$2:AH690),$AH$2:$AH$1001,0),MATCH(COLUMNS($AO$1006:BQ1006),$AO$1006:$BQ$1006,0)), HYPERLINK("#",""), HYPERLINK(CONCATENATE("#Metadata!", ADDRESS(INDEX($AJ$2:$AJ$1001,MATCH(ROWS($AH$2:AH690),$AH$2:$AH$1001,0),0), INDEX($AO$1004:$BQ$1004,1,MATCH(COLUMNS($AO$1006:BQ1006),$AO$1006:$BQ$1006,0)))),"Fix")))</f>
        <v>#REF!</v>
      </c>
      <c r="AH690">
        <f ca="1"/>
        <v>687</v>
      </c>
      <c r="AI690">
        <v>100690</v>
      </c>
      <c r="AJ690">
        <v>690</v>
      </c>
      <c r="AK690" t="b">
        <f t="shared" si="10"/>
        <v>1</v>
      </c>
      <c r="AL690" t="b">
        <f>COUNTBLANK(Metadata!B690:AD690)=COLUMNS(Metadata!B690:AD690)</f>
        <v>1</v>
      </c>
      <c r="AM690" t="str">
        <v/>
      </c>
      <c r="AO690" t="b">
        <f ca="1">AND(IF(Metadata!B690="",FALSE,TRUE),COUNTIF(Metadata!B:B, Metadata!B690) = 1,NOT(ISERROR(SUMPRODUCT(SEARCH(MID(Metadata!B690,ROW(INDIRECT("1:"&amp;LEN(Metadata!B690))), 1),"0123456789abcdefghijklmnopqrstuvwxyzABCDEFGHIJKLMNOPQRSTUVWXYZ.")))))</f>
        <v>0</v>
      </c>
      <c r="AP690" t="b">
        <f>IF(Metadata!C690="",FALSE,TRUE)</f>
        <v>0</v>
      </c>
      <c r="AQ690" t="b">
        <f>IF(Metadata!D690="",FALSE,TRUE)</f>
        <v>0</v>
      </c>
      <c r="AR690" t="b">
        <f ca="1">OR(AND(IF(Metadata!E690="",FALSE,TRUE),OR(EXACT(Metadata!E690,"not collected"),EXACT(Metadata!E690,"not provided"),EXACT(Metadata!E690,"restricted access"))),AND(IF(Metadata!E690="",FALSE,TRUE),AND(AND(IFERROR(INT(LEFT(Metadata!E690,4))&gt;1900,FALSE),IFERROR(INT(LEFT(Metadata!E690,4))&lt;=YEAR(NOW()),FALSE)), OR(MID(Metadata!E690,5,1)="", AND(AND(MID(Metadata!E690,5,1)="-",IFERROR(INT(MID(Metadata!E690,6,1))&gt;=0,FALSE),IFERROR(INT(MID(Metadata!E690,6,1))&lt;=1,FALSE),NOT(MID(Metadata!E690,7,1)=""),IFERROR(INT(MID(Metadata!E690,6,2))&gt;=1,FALSE),IFERROR(INT(MID(Metadata!E690,6,2))&lt;=12,FALSE)), OR(MID(Metadata!E690,8,1)="", AND(AND(MID(Metadata!E690,8,1)="-",IFERROR(INT(MID(Metadata!E690,9,1))&gt;=0,FALSE),IFERROR(INT(MID(Metadata!E690,9,1))&lt;=3,FALSE),NOT(MID(Metadata!E690,10,1)=""),IFERROR(INT(MID(Metadata!E690,9,2))&gt;=1,FALSE),IFERROR(INT(MID(Metadata!E690,9,2))&lt;=31,FALSE)), OR(MID(Metadata!E690,11,1)="", AND(AND(MID(Metadata!E690,11,1)=" ",IFERROR(INT(MID(Metadata!E690,12,1))&gt;=0,FALSE),IFERROR(INT(MID(Metadata!E690,12,1))&lt;=2,FALSE),NOT(MID(Metadata!E690,13,1)=""),IFERROR(INT(MID(Metadata!E690,12,2))&gt;=0,FALSE),IFERROR(INT(MID(Metadata!E690,12,2))&lt;=23,FALSE)), OR(MID(Metadata!E690,14,1)="", AND(AND(MID(Metadata!E690,14,1)=":",IFERROR(INT(MID(Metadata!E690,15,1))&gt;=0,FALSE),IFERROR(INT(MID(Metadata!E690,15,1))&lt;=5,FALSE),NOT(MID(Metadata!E690,16,1)=""),IFERROR(INT(MID(Metadata!E690,15,2))&gt;=0,FALSE),IFERROR(INT(MID(Metadata!E690,15,2))&lt;=59,FALSE)), OR(MID(Metadata!E690,17,1)="", AND(AND(MID(Metadata!E690,17,1)=":",IFERROR(INT(MID(Metadata!E690,18,1))&gt;=0,FALSE),IFERROR(INT(MID(Metadata!E690,18,1))&lt;=5,FALSE),NOT(MID(Metadata!E690,19,1)=""),IFERROR(INT(MID(Metadata!E690,18,2))&gt;=0,FALSE),IFERROR(INT(MID(Metadata!E690,18,2))&lt;=59,FALSE)), LEN(Metadata!E690)&lt;=19)))))))))))))</f>
        <v>0</v>
      </c>
      <c r="AS690" t="b">
        <f>IF(Metadata!F690="",FALSE,TRUE)</f>
        <v>0</v>
      </c>
      <c r="AT690" t="b">
        <f>OR(AND(IF(Metadata!G690="",FALSE,TRUE),OR(EXACT(Metadata!G690,"not collected"),EXACT(Metadata!G690,"not provided"))),AND(IF(Metadata!G690="",FALSE,TRUE),OR(EXACT(Metadata!G690,"TRUE"),EXACT(Metadata!G690,"FALSE"))))</f>
        <v>0</v>
      </c>
      <c r="AU690" t="b">
        <f>OR(AND(IF(Metadata!H690="",FALSE,TRUE),OR(EXACT(Metadata!H690,"not collected"),EXACT(Metadata!H690,"not provided"),EXACT(Metadata!H690,"restricted access"))),AND(IF(Metadata!H690="",FALSE,ISNUMBER(VALUE(Metadata!H690))),Metadata!H690&gt;=-413))</f>
        <v>0</v>
      </c>
      <c r="AV690" t="b">
        <f>AND(IF(Metadata!I690="",FALSE,TRUE),EXACT(Metadata!I690,"meters"))</f>
        <v>0</v>
      </c>
      <c r="AW690" t="b">
        <f>AND(IF(Metadata!J690="",FALSE,TRUE),EXACT(Metadata!J690,"free-living"))</f>
        <v>0</v>
      </c>
      <c r="AX690" t="b">
        <f>AND(IF(Metadata!K690="",FALSE,TRUE),OR(EXACT(Metadata!K690,"saline"),EXACT(Metadata!K690,"non-saline")))</f>
        <v>0</v>
      </c>
      <c r="AY690" t="b">
        <f>AND(IF(Metadata!L690="",FALSE,TRUE),OR(EXACT(Metadata!L690,"sub-surface (non-saline)"),EXACT(Metadata!L690,"surface (non-saline)"),EXACT(Metadata!L690,"water (non-saline)"),EXACT(Metadata!L690,"soil (non-saline)"),EXACT(Metadata!L690,"aerosol (non-saline)"),EXACT(Metadata!L690,"sediment (non-saline)"),EXACT(Metadata!L690,"surface (saline)"),EXACT(Metadata!L690,"water (saline)"),EXACT(Metadata!L690,"hypersaline (saline)"),EXACT(Metadata!L690,"aerosol (saline)"),EXACT(Metadata!L690,"sediment (saline)")))</f>
        <v>0</v>
      </c>
      <c r="AZ690" t="b">
        <f>IF(Metadata!M690="",FALSE,TRUE)</f>
        <v>0</v>
      </c>
      <c r="BA690" t="b">
        <f>IF(Metadata!N690="",FALSE,TRUE)</f>
        <v>0</v>
      </c>
      <c r="BB690" t="b">
        <f>IF(Metadata!O690="",FALSE,TRUE)</f>
        <v>0</v>
      </c>
      <c r="BC690" t="b">
        <f>AND(IF(Metadata!P690="",FALSE,TRUE),OR(EXACT(Metadata!P690,"air"),EXACT(Metadata!P690,"microbial mat/biofilm"),EXACT(Metadata!P690,"misc environment"),EXACT(Metadata!P690,"sediment"),EXACT(Metadata!P690,"soil"),EXACT(Metadata!P690,"wastewater/sludge"),EXACT(Metadata!P690,"water")))</f>
        <v>0</v>
      </c>
      <c r="BD690" t="b">
        <f>IF(Metadata!Q690="",FALSE,TRUE)</f>
        <v>0</v>
      </c>
      <c r="BE690" t="b">
        <f>IF(Metadata!R690="",FALSE,TRUE)</f>
        <v>0</v>
      </c>
      <c r="BF690" t="b">
        <f>OR(AND(IF(Metadata!S690="",FALSE,TRUE),OR(EXACT(Metadata!S690,"not collected"),EXACT(Metadata!S690,"not provided"),EXACT(Metadata!S690,"restricted access"))),AND(IF(Metadata!S690="",FALSE,ISNUMBER(VALUE(Metadata!S690))),Metadata!S690&gt;=-90,Metadata!S690&lt;=90))</f>
        <v>0</v>
      </c>
      <c r="BG690" t="b">
        <f>AND(IF(Metadata!T690="",FALSE,TRUE),EXACT(Metadata!T690,"Decimal degrees"))</f>
        <v>0</v>
      </c>
      <c r="BH690" t="b">
        <f>OR(AND(IF(Metadata!U690="",FALSE,TRUE),OR(EXACT(Metadata!U690,"not applicable"),EXACT(Metadata!U690,"not collected"))),IF(Metadata!U690="",FALSE,TRUE))</f>
        <v>0</v>
      </c>
      <c r="BI690" t="b">
        <f>OR(AND(IF(Metadata!V690="",FALSE,TRUE),OR(EXACT(Metadata!V690,"not collected"),EXACT(Metadata!V690,"not provided"),EXACT(Metadata!V690,"restricted access"))),AND(IF(Metadata!V690="",FALSE,ISNUMBER(VALUE(Metadata!V690))),Metadata!V690&gt;=-180,Metadata!V690&lt;=180))</f>
        <v>0</v>
      </c>
      <c r="BJ690" t="b">
        <f>AND(IF(Metadata!W690="",FALSE,TRUE),EXACT(Metadata!W690,"Decimal degrees"))</f>
        <v>0</v>
      </c>
      <c r="BK690" t="b">
        <f>IF(Metadata!X690="",FALSE,TRUE)</f>
        <v>0</v>
      </c>
      <c r="BL690" t="b">
        <f>OR(AND(IF(Metadata!Y690="",FALSE,TRUE),OR(EXACT(Metadata!Y690,"not collected"),EXACT(Metadata!Y690,"not provided"),EXACT(Metadata!Y690,"restricted access"))),AND(IF(Metadata!Y690="",FALSE,TRUE),OR(EXACT(Metadata!Y690,"TRUE"),EXACT(Metadata!Y690,"FALSE"))))</f>
        <v>0</v>
      </c>
      <c r="BM690" t="b">
        <f>OR(AND(IF(Metadata!Z690="",FALSE,TRUE),EXACT(Metadata!Z690,"not applicable")),AND(IF(Metadata!Z690="",FALSE,TRUE),OR(EXACT(Metadata!Z690,"beer"),EXACT(Metadata!Z690,"cheese"),EXACT(Metadata!Z690,"fresh water"),EXACT(Metadata!Z690,"marine sediment"),EXACT(Metadata!Z690,"sea water"),EXACT(Metadata!Z690,"sediment"),EXACT(Metadata!Z690,"soil"),EXACT(Metadata!Z690,"waste water"))))</f>
        <v>0</v>
      </c>
      <c r="BN690" t="b">
        <f>AND(IF(Metadata!AA690="",FALSE,TRUE),EXACT(Metadata!AA690,"metagenome"))</f>
        <v>0</v>
      </c>
      <c r="BO690" t="b">
        <f>AND(IF(Metadata!AB690="",FALSE,TRUE),EXACT(Metadata!AB690,"256318"))</f>
        <v>0</v>
      </c>
      <c r="BP690" t="b">
        <f>IF(Metadata!AC690="",FALSE,TRUE)</f>
        <v>0</v>
      </c>
      <c r="BQ690" t="b">
        <f>IF(Metadata!AD690="",FALSE,TRUE)</f>
        <v>0</v>
      </c>
    </row>
    <row r="691" spans="1:69" x14ac:dyDescent="0.2">
      <c r="A691" s="4" t="e">
        <f ca="1">IF(B691=" "," ",HYPERLINK(CONCATENATE("#metadata!",ADDRESS(INDEX($AJ$2:$AJ$1001,MATCH(ROWS($AH$2:AH691),$AH$2:$AH$1001,0),0),2)),INDEX($AM$2:$AM$1001,MATCH(ROWS($AH$2:AH691),$AH$2:$AH$1001,0),0)))</f>
        <v>#N/A</v>
      </c>
      <c r="B691" s="5" t="e">
        <f ca="1">IF(OR(INDEX($AI$2:$AI$1001,MATCH(ROWS($AH$2:AH691),$AH$2:$AH$1001,0),1)&gt;=100000,INDEX($AO$1005:$BQ$1005,1,MATCH(COLUMNS($AO$1006:AO1006),$AO$1006:$BQ$1006,0))&gt;=100000), " ",IF(INDEX($AO$2:$BQ$1001,MATCH(ROWS($AH$2:AH691),$AH$2:$AH$1001,0),MATCH(COLUMNS($AO$1006:AO1006),$AO$1006:$BQ$1006,0)), HYPERLINK("#",""), HYPERLINK(CONCATENATE("#Metadata!", ADDRESS(INDEX($AJ$2:$AJ$1001,MATCH(ROWS($AH$2:AH691),$AH$2:$AH$1001,0),0), INDEX($AO$1004:$BQ$1004,1,MATCH(COLUMNS($AO$1006:AO1006),$AO$1006:$BQ$1006,0)))),"Fix")))</f>
        <v>#N/A</v>
      </c>
      <c r="C691" s="5" t="e">
        <f ca="1">IF(OR(INDEX($AI$2:$AI$1001,MATCH(ROWS($AH$2:AH691),$AH$2:$AH$1001,0),1)&gt;=100000,INDEX($AO$1005:$BQ$1005,1,MATCH(COLUMNS($AO$1006:AP1006),$AO$1006:$BQ$1006,0))&gt;=100000), " ",IF(INDEX($AO$2:$BQ$1001,MATCH(ROWS($AH$2:AH691),$AH$2:$AH$1001,0),MATCH(COLUMNS($AO$1006:AP1006),$AO$1006:$BQ$1006,0)), HYPERLINK("#",""), HYPERLINK(CONCATENATE("#Metadata!", ADDRESS(INDEX($AJ$2:$AJ$1001,MATCH(ROWS($AH$2:AH691),$AH$2:$AH$1001,0),0), INDEX($AO$1004:$BQ$1004,1,MATCH(COLUMNS($AO$1006:AP1006),$AO$1006:$BQ$1006,0)))),"Fix")))</f>
        <v>#N/A</v>
      </c>
      <c r="D691" s="5" t="e">
        <f ca="1">IF(OR(INDEX($AI$2:$AI$1001,MATCH(ROWS($AH$2:AH691),$AH$2:$AH$1001,0),1)&gt;=100000,INDEX($AO$1005:$BQ$1005,1,MATCH(COLUMNS($AO$1006:AQ1006),$AO$1006:$BQ$1006,0))&gt;=100000), " ",IF(INDEX($AO$2:$BQ$1001,MATCH(ROWS($AH$2:AH691),$AH$2:$AH$1001,0),MATCH(COLUMNS($AO$1006:AQ1006),$AO$1006:$BQ$1006,0)), HYPERLINK("#",""), HYPERLINK(CONCATENATE("#Metadata!", ADDRESS(INDEX($AJ$2:$AJ$1001,MATCH(ROWS($AH$2:AH691),$AH$2:$AH$1001,0),0), INDEX($AO$1004:$BQ$1004,1,MATCH(COLUMNS($AO$1006:AQ1006),$AO$1006:$BQ$1006,0)))),"Fix")))</f>
        <v>#N/A</v>
      </c>
      <c r="E691" s="5" t="e">
        <f ca="1">IF(OR(INDEX($AI$2:$AI$1001,MATCH(ROWS($AH$2:AH691),$AH$2:$AH$1001,0),1)&gt;=100000,INDEX($AO$1005:$BQ$1005,1,MATCH(COLUMNS($AO$1006:AR1006),$AO$1006:$BQ$1006,0))&gt;=100000), " ",IF(INDEX($AO$2:$BQ$1001,MATCH(ROWS($AH$2:AH691),$AH$2:$AH$1001,0),MATCH(COLUMNS($AO$1006:AR1006),$AO$1006:$BQ$1006,0)), HYPERLINK("#",""), HYPERLINK(CONCATENATE("#Metadata!", ADDRESS(INDEX($AJ$2:$AJ$1001,MATCH(ROWS($AH$2:AH691),$AH$2:$AH$1001,0),0), INDEX($AO$1004:$BQ$1004,1,MATCH(COLUMNS($AO$1006:AR1006),$AO$1006:$BQ$1006,0)))),"Fix")))</f>
        <v>#N/A</v>
      </c>
      <c r="F691" s="5" t="e">
        <f ca="1">IF(OR(INDEX($AI$2:$AI$1001,MATCH(ROWS($AH$2:AH691),$AH$2:$AH$1001,0),1)&gt;=100000,INDEX($AO$1005:$BQ$1005,1,MATCH(COLUMNS($AO$1006:AS1006),$AO$1006:$BQ$1006,0))&gt;=100000), " ",IF(INDEX($AO$2:$BQ$1001,MATCH(ROWS($AH$2:AH691),$AH$2:$AH$1001,0),MATCH(COLUMNS($AO$1006:AS1006),$AO$1006:$BQ$1006,0)), HYPERLINK("#",""), HYPERLINK(CONCATENATE("#Metadata!", ADDRESS(INDEX($AJ$2:$AJ$1001,MATCH(ROWS($AH$2:AH691),$AH$2:$AH$1001,0),0), INDEX($AO$1004:$BQ$1004,1,MATCH(COLUMNS($AO$1006:AS1006),$AO$1006:$BQ$1006,0)))),"Fix")))</f>
        <v>#N/A</v>
      </c>
      <c r="G691" s="5" t="e">
        <f ca="1">IF(OR(INDEX($AI$2:$AI$1001,MATCH(ROWS($AH$2:AH691),$AH$2:$AH$1001,0),1)&gt;=100000,INDEX($AO$1005:$BQ$1005,1,MATCH(COLUMNS($AO$1006:AT1006),$AO$1006:$BQ$1006,0))&gt;=100000), " ",IF(INDEX($AO$2:$BQ$1001,MATCH(ROWS($AH$2:AH691),$AH$2:$AH$1001,0),MATCH(COLUMNS($AO$1006:AT1006),$AO$1006:$BQ$1006,0)), HYPERLINK("#",""), HYPERLINK(CONCATENATE("#Metadata!", ADDRESS(INDEX($AJ$2:$AJ$1001,MATCH(ROWS($AH$2:AH691),$AH$2:$AH$1001,0),0), INDEX($AO$1004:$BQ$1004,1,MATCH(COLUMNS($AO$1006:AT1006),$AO$1006:$BQ$1006,0)))),"Fix")))</f>
        <v>#N/A</v>
      </c>
      <c r="H691" s="5" t="e">
        <f ca="1">IF(OR(INDEX($AI$2:$AI$1001,MATCH(ROWS($AH$2:AH691),$AH$2:$AH$1001,0),1)&gt;=100000,INDEX($AO$1005:$BQ$1005,1,MATCH(COLUMNS($AO$1006:AU1006),$AO$1006:$BQ$1006,0))&gt;=100000), " ",IF(INDEX($AO$2:$BQ$1001,MATCH(ROWS($AH$2:AH691),$AH$2:$AH$1001,0),MATCH(COLUMNS($AO$1006:AU1006),$AO$1006:$BQ$1006,0)), HYPERLINK("#",""), HYPERLINK(CONCATENATE("#Metadata!", ADDRESS(INDEX($AJ$2:$AJ$1001,MATCH(ROWS($AH$2:AH691),$AH$2:$AH$1001,0),0), INDEX($AO$1004:$BQ$1004,1,MATCH(COLUMNS($AO$1006:AU1006),$AO$1006:$BQ$1006,0)))),"Fix")))</f>
        <v>#N/A</v>
      </c>
      <c r="I691" s="5" t="e">
        <f ca="1">IF(OR(INDEX($AI$2:$AI$1001,MATCH(ROWS($AH$2:AH691),$AH$2:$AH$1001,0),1)&gt;=100000,INDEX($AO$1005:$BQ$1005,1,MATCH(COLUMNS($AO$1006:AV1006),$AO$1006:$BQ$1006,0))&gt;=100000), " ",IF(INDEX($AO$2:$BQ$1001,MATCH(ROWS($AH$2:AH691),$AH$2:$AH$1001,0),MATCH(COLUMNS($AO$1006:AV1006),$AO$1006:$BQ$1006,0)), HYPERLINK("#",""), HYPERLINK(CONCATENATE("#Metadata!", ADDRESS(INDEX($AJ$2:$AJ$1001,MATCH(ROWS($AH$2:AH691),$AH$2:$AH$1001,0),0), INDEX($AO$1004:$BQ$1004,1,MATCH(COLUMNS($AO$1006:AV1006),$AO$1006:$BQ$1006,0)))),"Fix")))</f>
        <v>#N/A</v>
      </c>
      <c r="J691" s="5" t="e">
        <f ca="1">IF(OR(INDEX($AI$2:$AI$1001,MATCH(ROWS($AH$2:AH691),$AH$2:$AH$1001,0),1)&gt;=100000,INDEX($AO$1005:$BQ$1005,1,MATCH(COLUMNS($AO$1006:AW1006),$AO$1006:$BQ$1006,0))&gt;=100000), " ",IF(INDEX($AO$2:$BQ$1001,MATCH(ROWS($AH$2:AH691),$AH$2:$AH$1001,0),MATCH(COLUMNS($AO$1006:AW1006),$AO$1006:$BQ$1006,0)), HYPERLINK("#",""), HYPERLINK(CONCATENATE("#Metadata!", ADDRESS(INDEX($AJ$2:$AJ$1001,MATCH(ROWS($AH$2:AH691),$AH$2:$AH$1001,0),0), INDEX($AO$1004:$BQ$1004,1,MATCH(COLUMNS($AO$1006:AW1006),$AO$1006:$BQ$1006,0)))),"Fix")))</f>
        <v>#N/A</v>
      </c>
      <c r="K691" s="5" t="e">
        <f ca="1">IF(OR(INDEX($AI$2:$AI$1001,MATCH(ROWS($AH$2:AH691),$AH$2:$AH$1001,0),1)&gt;=100000,INDEX($AO$1005:$BQ$1005,1,MATCH(COLUMNS($AO$1006:AX1006),$AO$1006:$BQ$1006,0))&gt;=100000), " ",IF(INDEX($AO$2:$BQ$1001,MATCH(ROWS($AH$2:AH691),$AH$2:$AH$1001,0),MATCH(COLUMNS($AO$1006:AX1006),$AO$1006:$BQ$1006,0)), HYPERLINK("#",""), HYPERLINK(CONCATENATE("#Metadata!", ADDRESS(INDEX($AJ$2:$AJ$1001,MATCH(ROWS($AH$2:AH691),$AH$2:$AH$1001,0),0), INDEX($AO$1004:$BQ$1004,1,MATCH(COLUMNS($AO$1006:AX1006),$AO$1006:$BQ$1006,0)))),"Fix")))</f>
        <v>#N/A</v>
      </c>
      <c r="L691" s="5" t="e">
        <f ca="1">IF(OR(INDEX($AI$2:$AI$1001,MATCH(ROWS($AH$2:AH691),$AH$2:$AH$1001,0),1)&gt;=100000,INDEX($AO$1005:$BQ$1005,1,MATCH(COLUMNS($AO$1006:AY1006),$AO$1006:$BQ$1006,0))&gt;=100000), " ",IF(INDEX($AO$2:$BQ$1001,MATCH(ROWS($AH$2:AH691),$AH$2:$AH$1001,0),MATCH(COLUMNS($AO$1006:AY1006),$AO$1006:$BQ$1006,0)), HYPERLINK("#",""), HYPERLINK(CONCATENATE("#Metadata!", ADDRESS(INDEX($AJ$2:$AJ$1001,MATCH(ROWS($AH$2:AH691),$AH$2:$AH$1001,0),0), INDEX($AO$1004:$BQ$1004,1,MATCH(COLUMNS($AO$1006:AY1006),$AO$1006:$BQ$1006,0)))),"Fix")))</f>
        <v>#N/A</v>
      </c>
      <c r="M691" s="5" t="e">
        <f ca="1">IF(OR(INDEX($AI$2:$AI$1001,MATCH(ROWS($AH$2:AH691),$AH$2:$AH$1001,0),1)&gt;=100000,INDEX($AO$1005:$BQ$1005,1,MATCH(COLUMNS($AO$1006:AZ1006),$AO$1006:$BQ$1006,0))&gt;=100000), " ",IF(INDEX($AO$2:$BQ$1001,MATCH(ROWS($AH$2:AH691),$AH$2:$AH$1001,0),MATCH(COLUMNS($AO$1006:AZ1006),$AO$1006:$BQ$1006,0)), HYPERLINK("#",""), HYPERLINK(CONCATENATE("#Metadata!", ADDRESS(INDEX($AJ$2:$AJ$1001,MATCH(ROWS($AH$2:AH691),$AH$2:$AH$1001,0),0), INDEX($AO$1004:$BQ$1004,1,MATCH(COLUMNS($AO$1006:AZ1006),$AO$1006:$BQ$1006,0)))),"Fix")))</f>
        <v>#N/A</v>
      </c>
      <c r="N691" s="5" t="e">
        <f ca="1">IF(OR(INDEX($AI$2:$AI$1001,MATCH(ROWS($AH$2:AH691),$AH$2:$AH$1001,0),1)&gt;=100000,INDEX($AO$1005:$BQ$1005,1,MATCH(COLUMNS($AO$1006:BA1006),$AO$1006:$BQ$1006,0))&gt;=100000), " ",IF(INDEX($AO$2:$BQ$1001,MATCH(ROWS($AH$2:AH691),$AH$2:$AH$1001,0),MATCH(COLUMNS($AO$1006:BA1006),$AO$1006:$BQ$1006,0)), HYPERLINK("#",""), HYPERLINK(CONCATENATE("#Metadata!", ADDRESS(INDEX($AJ$2:$AJ$1001,MATCH(ROWS($AH$2:AH691),$AH$2:$AH$1001,0),0), INDEX($AO$1004:$BQ$1004,1,MATCH(COLUMNS($AO$1006:BA1006),$AO$1006:$BQ$1006,0)))),"Fix")))</f>
        <v>#N/A</v>
      </c>
      <c r="O691" s="5" t="e">
        <f ca="1">IF(OR(INDEX($AI$2:$AI$1001,MATCH(ROWS($AH$2:AH691),$AH$2:$AH$1001,0),1)&gt;=100000,INDEX($AO$1005:$BQ$1005,1,MATCH(COLUMNS($AO$1006:BB1006),$AO$1006:$BQ$1006,0))&gt;=100000), " ",IF(INDEX($AO$2:$BQ$1001,MATCH(ROWS($AH$2:AH691),$AH$2:$AH$1001,0),MATCH(COLUMNS($AO$1006:BB1006),$AO$1006:$BQ$1006,0)), HYPERLINK("#",""), HYPERLINK(CONCATENATE("#Metadata!", ADDRESS(INDEX($AJ$2:$AJ$1001,MATCH(ROWS($AH$2:AH691),$AH$2:$AH$1001,0),0), INDEX($AO$1004:$BQ$1004,1,MATCH(COLUMNS($AO$1006:BB1006),$AO$1006:$BQ$1006,0)))),"Fix")))</f>
        <v>#N/A</v>
      </c>
      <c r="P691" s="5" t="e">
        <f ca="1">IF(OR(INDEX($AI$2:$AI$1001,MATCH(ROWS($AH$2:AH691),$AH$2:$AH$1001,0),1)&gt;=100000,INDEX($AO$1005:$BQ$1005,1,MATCH(COLUMNS($AO$1006:BC1006),$AO$1006:$BQ$1006,0))&gt;=100000), " ",IF(INDEX($AO$2:$BQ$1001,MATCH(ROWS($AH$2:AH691),$AH$2:$AH$1001,0),MATCH(COLUMNS($AO$1006:BC1006),$AO$1006:$BQ$1006,0)), HYPERLINK("#",""), HYPERLINK(CONCATENATE("#Metadata!", ADDRESS(INDEX($AJ$2:$AJ$1001,MATCH(ROWS($AH$2:AH691),$AH$2:$AH$1001,0),0), INDEX($AO$1004:$BQ$1004,1,MATCH(COLUMNS($AO$1006:BC1006),$AO$1006:$BQ$1006,0)))),"Fix")))</f>
        <v>#N/A</v>
      </c>
      <c r="Q691" s="5" t="e">
        <f ca="1">IF(OR(INDEX($AI$2:$AI$1001,MATCH(ROWS($AH$2:AH691),$AH$2:$AH$1001,0),1)&gt;=100000,INDEX($AO$1005:$BQ$1005,1,MATCH(COLUMNS($AO$1006:BD1006),$AO$1006:$BQ$1006,0))&gt;=100000), " ",IF(INDEX($AO$2:$BQ$1001,MATCH(ROWS($AH$2:AH691),$AH$2:$AH$1001,0),MATCH(COLUMNS($AO$1006:BD1006),$AO$1006:$BQ$1006,0)), HYPERLINK("#",""), HYPERLINK(CONCATENATE("#Metadata!", ADDRESS(INDEX($AJ$2:$AJ$1001,MATCH(ROWS($AH$2:AH691),$AH$2:$AH$1001,0),0), INDEX($AO$1004:$BQ$1004,1,MATCH(COLUMNS($AO$1006:BD1006),$AO$1006:$BQ$1006,0)))),"Fix")))</f>
        <v>#N/A</v>
      </c>
      <c r="R691" s="5" t="e">
        <f ca="1">IF(OR(INDEX($AI$2:$AI$1001,MATCH(ROWS($AH$2:AH691),$AH$2:$AH$1001,0),1)&gt;=100000,INDEX($AO$1005:$BQ$1005,1,MATCH(COLUMNS($AO$1006:BE1006),$AO$1006:$BQ$1006,0))&gt;=100000), " ",IF(INDEX($AO$2:$BQ$1001,MATCH(ROWS($AH$2:AH691),$AH$2:$AH$1001,0),MATCH(COLUMNS($AO$1006:BE1006),$AO$1006:$BQ$1006,0)), HYPERLINK("#",""), HYPERLINK(CONCATENATE("#Metadata!", ADDRESS(INDEX($AJ$2:$AJ$1001,MATCH(ROWS($AH$2:AH691),$AH$2:$AH$1001,0),0), INDEX($AO$1004:$BQ$1004,1,MATCH(COLUMNS($AO$1006:BE1006),$AO$1006:$BQ$1006,0)))),"Fix")))</f>
        <v>#N/A</v>
      </c>
      <c r="S691" s="5" t="e">
        <f ca="1">IF(OR(INDEX($AI$2:$AI$1001,MATCH(ROWS($AH$2:AH691),$AH$2:$AH$1001,0),1)&gt;=100000,INDEX($AO$1005:$BQ$1005,1,MATCH(COLUMNS($AO$1006:BF1006),$AO$1006:$BQ$1006,0))&gt;=100000), " ",IF(INDEX($AO$2:$BQ$1001,MATCH(ROWS($AH$2:AH691),$AH$2:$AH$1001,0),MATCH(COLUMNS($AO$1006:BF1006),$AO$1006:$BQ$1006,0)), HYPERLINK("#",""), HYPERLINK(CONCATENATE("#Metadata!", ADDRESS(INDEX($AJ$2:$AJ$1001,MATCH(ROWS($AH$2:AH691),$AH$2:$AH$1001,0),0), INDEX($AO$1004:$BQ$1004,1,MATCH(COLUMNS($AO$1006:BF1006),$AO$1006:$BQ$1006,0)))),"Fix")))</f>
        <v>#N/A</v>
      </c>
      <c r="T691" s="5" t="e">
        <f ca="1">IF(OR(INDEX($AI$2:$AI$1001,MATCH(ROWS($AH$2:AH691),$AH$2:$AH$1001,0),1)&gt;=100000,INDEX($AO$1005:$BQ$1005,1,MATCH(COLUMNS($AO$1006:BG1006),$AO$1006:$BQ$1006,0))&gt;=100000), " ",IF(INDEX($AO$2:$BQ$1001,MATCH(ROWS($AH$2:AH691),$AH$2:$AH$1001,0),MATCH(COLUMNS($AO$1006:BG1006),$AO$1006:$BQ$1006,0)), HYPERLINK("#",""), HYPERLINK(CONCATENATE("#Metadata!", ADDRESS(INDEX($AJ$2:$AJ$1001,MATCH(ROWS($AH$2:AH691),$AH$2:$AH$1001,0),0), INDEX($AO$1004:$BQ$1004,1,MATCH(COLUMNS($AO$1006:BG1006),$AO$1006:$BQ$1006,0)))),"Fix")))</f>
        <v>#N/A</v>
      </c>
      <c r="U691" s="5" t="e">
        <f ca="1">IF(OR(INDEX($AI$2:$AI$1001,MATCH(ROWS($AH$2:AH691),$AH$2:$AH$1001,0),1)&gt;=100000,INDEX($AO$1005:$BQ$1005,1,MATCH(COLUMNS($AO$1006:BH1006),$AO$1006:$BQ$1006,0))&gt;=100000), " ",IF(INDEX($AO$2:$BQ$1001,MATCH(ROWS($AH$2:AH691),$AH$2:$AH$1001,0),MATCH(COLUMNS($AO$1006:BH1006),$AO$1006:$BQ$1006,0)), HYPERLINK("#",""), HYPERLINK(CONCATENATE("#Metadata!", ADDRESS(INDEX($AJ$2:$AJ$1001,MATCH(ROWS($AH$2:AH691),$AH$2:$AH$1001,0),0), INDEX($AO$1004:$BQ$1004,1,MATCH(COLUMNS($AO$1006:BH1006),$AO$1006:$BQ$1006,0)))),"Fix")))</f>
        <v>#N/A</v>
      </c>
      <c r="V691" s="5" t="e">
        <f ca="1">IF(OR(INDEX($AI$2:$AI$1001,MATCH(ROWS($AH$2:AH691),$AH$2:$AH$1001,0),1)&gt;=100000,INDEX($AO$1005:$BQ$1005,1,MATCH(COLUMNS($AO$1006:BI1006),$AO$1006:$BQ$1006,0))&gt;=100000), " ",IF(INDEX($AO$2:$BQ$1001,MATCH(ROWS($AH$2:AH691),$AH$2:$AH$1001,0),MATCH(COLUMNS($AO$1006:BI1006),$AO$1006:$BQ$1006,0)), HYPERLINK("#",""), HYPERLINK(CONCATENATE("#Metadata!", ADDRESS(INDEX($AJ$2:$AJ$1001,MATCH(ROWS($AH$2:AH691),$AH$2:$AH$1001,0),0), INDEX($AO$1004:$BQ$1004,1,MATCH(COLUMNS($AO$1006:BI1006),$AO$1006:$BQ$1006,0)))),"Fix")))</f>
        <v>#N/A</v>
      </c>
      <c r="W691" s="5" t="e">
        <f ca="1">IF(OR(INDEX($AI$2:$AI$1001,MATCH(ROWS($AH$2:AH691),$AH$2:$AH$1001,0),1)&gt;=100000,INDEX($AO$1005:$BQ$1005,1,MATCH(COLUMNS($AO$1006:BJ1006),$AO$1006:$BQ$1006,0))&gt;=100000), " ",IF(INDEX($AO$2:$BQ$1001,MATCH(ROWS($AH$2:AH691),$AH$2:$AH$1001,0),MATCH(COLUMNS($AO$1006:BJ1006),$AO$1006:$BQ$1006,0)), HYPERLINK("#",""), HYPERLINK(CONCATENATE("#Metadata!", ADDRESS(INDEX($AJ$2:$AJ$1001,MATCH(ROWS($AH$2:AH691),$AH$2:$AH$1001,0),0), INDEX($AO$1004:$BQ$1004,1,MATCH(COLUMNS($AO$1006:BJ1006),$AO$1006:$BQ$1006,0)))),"Fix")))</f>
        <v>#N/A</v>
      </c>
      <c r="X691" s="5" t="e">
        <f ca="1">IF(OR(INDEX($AI$2:$AI$1001,MATCH(ROWS($AH$2:AH691),$AH$2:$AH$1001,0),1)&gt;=100000,INDEX($AO$1005:$BQ$1005,1,MATCH(COLUMNS($AO$1006:BK1006),$AO$1006:$BQ$1006,0))&gt;=100000), " ",IF(INDEX($AO$2:$BQ$1001,MATCH(ROWS($AH$2:AH691),$AH$2:$AH$1001,0),MATCH(COLUMNS($AO$1006:BK1006),$AO$1006:$BQ$1006,0)), HYPERLINK("#",""), HYPERLINK(CONCATENATE("#Metadata!", ADDRESS(INDEX($AJ$2:$AJ$1001,MATCH(ROWS($AH$2:AH691),$AH$2:$AH$1001,0),0), INDEX($AO$1004:$BQ$1004,1,MATCH(COLUMNS($AO$1006:BK1006),$AO$1006:$BQ$1006,0)))),"Fix")))</f>
        <v>#N/A</v>
      </c>
      <c r="Y691" s="5" t="e">
        <f ca="1">IF(OR(INDEX($AI$2:$AI$1001,MATCH(ROWS($AH$2:AH691),$AH$2:$AH$1001,0),1)&gt;=100000,INDEX($AO$1005:$BQ$1005,1,MATCH(COLUMNS($AO$1006:BL1006),$AO$1006:$BQ$1006,0))&gt;=100000), " ",IF(INDEX($AO$2:$BQ$1001,MATCH(ROWS($AH$2:AH691),$AH$2:$AH$1001,0),MATCH(COLUMNS($AO$1006:BL1006),$AO$1006:$BQ$1006,0)), HYPERLINK("#",""), HYPERLINK(CONCATENATE("#Metadata!", ADDRESS(INDEX($AJ$2:$AJ$1001,MATCH(ROWS($AH$2:AH691),$AH$2:$AH$1001,0),0), INDEX($AO$1004:$BQ$1004,1,MATCH(COLUMNS($AO$1006:BL1006),$AO$1006:$BQ$1006,0)))),"Fix")))</f>
        <v>#N/A</v>
      </c>
      <c r="Z691" s="5" t="e">
        <f ca="1">IF(OR(INDEX($AI$2:$AI$1001,MATCH(ROWS($AH$2:AH691),$AH$2:$AH$1001,0),1)&gt;=100000,INDEX($AO$1005:$BQ$1005,1,MATCH(COLUMNS($AO$1006:BM1006),$AO$1006:$BQ$1006,0))&gt;=100000), " ",IF(INDEX($AO$2:$BQ$1001,MATCH(ROWS($AH$2:AH691),$AH$2:$AH$1001,0),MATCH(COLUMNS($AO$1006:BM1006),$AO$1006:$BQ$1006,0)), HYPERLINK("#",""), HYPERLINK(CONCATENATE("#Metadata!", ADDRESS(INDEX($AJ$2:$AJ$1001,MATCH(ROWS($AH$2:AH691),$AH$2:$AH$1001,0),0), INDEX($AO$1004:$BQ$1004,1,MATCH(COLUMNS($AO$1006:BM1006),$AO$1006:$BQ$1006,0)))),"Fix")))</f>
        <v>#N/A</v>
      </c>
      <c r="AA691" s="5" t="e">
        <f ca="1">IF(OR(INDEX($AI$2:$AI$1001,MATCH(ROWS($AH$2:AH691),$AH$2:$AH$1001,0),1)&gt;=100000,INDEX($AO$1005:$BQ$1005,1,MATCH(COLUMNS($AO$1006:BN1006),$AO$1006:$BQ$1006,0))&gt;=100000), " ",IF(INDEX($AO$2:$BQ$1001,MATCH(ROWS($AH$2:AH691),$AH$2:$AH$1001,0),MATCH(COLUMNS($AO$1006:BN1006),$AO$1006:$BQ$1006,0)), HYPERLINK("#",""), HYPERLINK(CONCATENATE("#Metadata!", ADDRESS(INDEX($AJ$2:$AJ$1001,MATCH(ROWS($AH$2:AH691),$AH$2:$AH$1001,0),0), INDEX($AO$1004:$BQ$1004,1,MATCH(COLUMNS($AO$1006:BN1006),$AO$1006:$BQ$1006,0)))),"Fix")))</f>
        <v>#N/A</v>
      </c>
      <c r="AB691" s="5" t="e">
        <f ca="1">IF(OR(INDEX($AI$2:$AI$1001,MATCH(ROWS($AH$2:AH691),$AH$2:$AH$1001,0),1)&gt;=100000,INDEX($AO$1005:$BQ$1005,1,MATCH(COLUMNS($AO$1006:BO1006),$AO$1006:$BQ$1006,0))&gt;=100000), " ",IF(INDEX($AO$2:$BQ$1001,MATCH(ROWS($AH$2:AH691),$AH$2:$AH$1001,0),MATCH(COLUMNS($AO$1006:BO1006),$AO$1006:$BQ$1006,0)), HYPERLINK("#",""), HYPERLINK(CONCATENATE("#Metadata!", ADDRESS(INDEX($AJ$2:$AJ$1001,MATCH(ROWS($AH$2:AH691),$AH$2:$AH$1001,0),0), INDEX($AO$1004:$BQ$1004,1,MATCH(COLUMNS($AO$1006:BO1006),$AO$1006:$BQ$1006,0)))),"Fix")))</f>
        <v>#N/A</v>
      </c>
      <c r="AC691" s="5" t="e">
        <f ca="1">IF(OR(INDEX($AI$2:$AI$1001,MATCH(ROWS($AH$2:AH691),$AH$2:$AH$1001,0),1)&gt;=100000,INDEX($AO$1005:$BQ$1005,1,MATCH(COLUMNS($AO$1006:BP1006),$AO$1006:$BQ$1006,0))&gt;=100000), " ",IF(INDEX($AO$2:$BQ$1001,MATCH(ROWS($AH$2:AH691),$AH$2:$AH$1001,0),MATCH(COLUMNS($AO$1006:BP1006),$AO$1006:$BQ$1006,0)), HYPERLINK("#",""), HYPERLINK(CONCATENATE("#Metadata!", ADDRESS(INDEX($AJ$2:$AJ$1001,MATCH(ROWS($AH$2:AH691),$AH$2:$AH$1001,0),0), INDEX($AO$1004:$BQ$1004,1,MATCH(COLUMNS($AO$1006:BP1006),$AO$1006:$BQ$1006,0)))),"Fix")))</f>
        <v>#N/A</v>
      </c>
      <c r="AD691" s="5" t="e">
        <f ca="1">IF(OR(INDEX($AI$2:$AI$1001,MATCH(ROWS($AH$2:AH691),$AH$2:$AH$1001,0),1)&gt;=100000,INDEX($AO$1005:$BQ$1005,1,MATCH(COLUMNS($AO$1006:BQ1006),$AO$1006:$BQ$1006,0))&gt;=100000), " ",IF(INDEX($AO$2:$BQ$1001,MATCH(ROWS($AH$2:AH691),$AH$2:$AH$1001,0),MATCH(COLUMNS($AO$1006:BQ1006),$AO$1006:$BQ$1006,0)), HYPERLINK("#",""), HYPERLINK(CONCATENATE("#Metadata!", ADDRESS(INDEX($AJ$2:$AJ$1001,MATCH(ROWS($AH$2:AH691),$AH$2:$AH$1001,0),0), INDEX($AO$1004:$BQ$1004,1,MATCH(COLUMNS($AO$1006:BQ1006),$AO$1006:$BQ$1006,0)))),"Fix")))</f>
        <v>#REF!</v>
      </c>
      <c r="AH691">
        <f ca="1"/>
        <v>688</v>
      </c>
      <c r="AI691">
        <v>100691</v>
      </c>
      <c r="AJ691">
        <v>691</v>
      </c>
      <c r="AK691" t="b">
        <f t="shared" si="10"/>
        <v>1</v>
      </c>
      <c r="AL691" t="b">
        <f>COUNTBLANK(Metadata!B691:AD691)=COLUMNS(Metadata!B691:AD691)</f>
        <v>1</v>
      </c>
      <c r="AM691" t="str">
        <v/>
      </c>
      <c r="AO691" t="b">
        <f ca="1">AND(IF(Metadata!B691="",FALSE,TRUE),COUNTIF(Metadata!B:B, Metadata!B691) = 1,NOT(ISERROR(SUMPRODUCT(SEARCH(MID(Metadata!B691,ROW(INDIRECT("1:"&amp;LEN(Metadata!B691))), 1),"0123456789abcdefghijklmnopqrstuvwxyzABCDEFGHIJKLMNOPQRSTUVWXYZ.")))))</f>
        <v>0</v>
      </c>
      <c r="AP691" t="b">
        <f>IF(Metadata!C691="",FALSE,TRUE)</f>
        <v>0</v>
      </c>
      <c r="AQ691" t="b">
        <f>IF(Metadata!D691="",FALSE,TRUE)</f>
        <v>0</v>
      </c>
      <c r="AR691" t="b">
        <f ca="1">OR(AND(IF(Metadata!E691="",FALSE,TRUE),OR(EXACT(Metadata!E691,"not collected"),EXACT(Metadata!E691,"not provided"),EXACT(Metadata!E691,"restricted access"))),AND(IF(Metadata!E691="",FALSE,TRUE),AND(AND(IFERROR(INT(LEFT(Metadata!E691,4))&gt;1900,FALSE),IFERROR(INT(LEFT(Metadata!E691,4))&lt;=YEAR(NOW()),FALSE)), OR(MID(Metadata!E691,5,1)="", AND(AND(MID(Metadata!E691,5,1)="-",IFERROR(INT(MID(Metadata!E691,6,1))&gt;=0,FALSE),IFERROR(INT(MID(Metadata!E691,6,1))&lt;=1,FALSE),NOT(MID(Metadata!E691,7,1)=""),IFERROR(INT(MID(Metadata!E691,6,2))&gt;=1,FALSE),IFERROR(INT(MID(Metadata!E691,6,2))&lt;=12,FALSE)), OR(MID(Metadata!E691,8,1)="", AND(AND(MID(Metadata!E691,8,1)="-",IFERROR(INT(MID(Metadata!E691,9,1))&gt;=0,FALSE),IFERROR(INT(MID(Metadata!E691,9,1))&lt;=3,FALSE),NOT(MID(Metadata!E691,10,1)=""),IFERROR(INT(MID(Metadata!E691,9,2))&gt;=1,FALSE),IFERROR(INT(MID(Metadata!E691,9,2))&lt;=31,FALSE)), OR(MID(Metadata!E691,11,1)="", AND(AND(MID(Metadata!E691,11,1)=" ",IFERROR(INT(MID(Metadata!E691,12,1))&gt;=0,FALSE),IFERROR(INT(MID(Metadata!E691,12,1))&lt;=2,FALSE),NOT(MID(Metadata!E691,13,1)=""),IFERROR(INT(MID(Metadata!E691,12,2))&gt;=0,FALSE),IFERROR(INT(MID(Metadata!E691,12,2))&lt;=23,FALSE)), OR(MID(Metadata!E691,14,1)="", AND(AND(MID(Metadata!E691,14,1)=":",IFERROR(INT(MID(Metadata!E691,15,1))&gt;=0,FALSE),IFERROR(INT(MID(Metadata!E691,15,1))&lt;=5,FALSE),NOT(MID(Metadata!E691,16,1)=""),IFERROR(INT(MID(Metadata!E691,15,2))&gt;=0,FALSE),IFERROR(INT(MID(Metadata!E691,15,2))&lt;=59,FALSE)), OR(MID(Metadata!E691,17,1)="", AND(AND(MID(Metadata!E691,17,1)=":",IFERROR(INT(MID(Metadata!E691,18,1))&gt;=0,FALSE),IFERROR(INT(MID(Metadata!E691,18,1))&lt;=5,FALSE),NOT(MID(Metadata!E691,19,1)=""),IFERROR(INT(MID(Metadata!E691,18,2))&gt;=0,FALSE),IFERROR(INT(MID(Metadata!E691,18,2))&lt;=59,FALSE)), LEN(Metadata!E691)&lt;=19)))))))))))))</f>
        <v>0</v>
      </c>
      <c r="AS691" t="b">
        <f>IF(Metadata!F691="",FALSE,TRUE)</f>
        <v>0</v>
      </c>
      <c r="AT691" t="b">
        <f>OR(AND(IF(Metadata!G691="",FALSE,TRUE),OR(EXACT(Metadata!G691,"not collected"),EXACT(Metadata!G691,"not provided"))),AND(IF(Metadata!G691="",FALSE,TRUE),OR(EXACT(Metadata!G691,"TRUE"),EXACT(Metadata!G691,"FALSE"))))</f>
        <v>0</v>
      </c>
      <c r="AU691" t="b">
        <f>OR(AND(IF(Metadata!H691="",FALSE,TRUE),OR(EXACT(Metadata!H691,"not collected"),EXACT(Metadata!H691,"not provided"),EXACT(Metadata!H691,"restricted access"))),AND(IF(Metadata!H691="",FALSE,ISNUMBER(VALUE(Metadata!H691))),Metadata!H691&gt;=-413))</f>
        <v>0</v>
      </c>
      <c r="AV691" t="b">
        <f>AND(IF(Metadata!I691="",FALSE,TRUE),EXACT(Metadata!I691,"meters"))</f>
        <v>0</v>
      </c>
      <c r="AW691" t="b">
        <f>AND(IF(Metadata!J691="",FALSE,TRUE),EXACT(Metadata!J691,"free-living"))</f>
        <v>0</v>
      </c>
      <c r="AX691" t="b">
        <f>AND(IF(Metadata!K691="",FALSE,TRUE),OR(EXACT(Metadata!K691,"saline"),EXACT(Metadata!K691,"non-saline")))</f>
        <v>0</v>
      </c>
      <c r="AY691" t="b">
        <f>AND(IF(Metadata!L691="",FALSE,TRUE),OR(EXACT(Metadata!L691,"sub-surface (non-saline)"),EXACT(Metadata!L691,"surface (non-saline)"),EXACT(Metadata!L691,"water (non-saline)"),EXACT(Metadata!L691,"soil (non-saline)"),EXACT(Metadata!L691,"aerosol (non-saline)"),EXACT(Metadata!L691,"sediment (non-saline)"),EXACT(Metadata!L691,"surface (saline)"),EXACT(Metadata!L691,"water (saline)"),EXACT(Metadata!L691,"hypersaline (saline)"),EXACT(Metadata!L691,"aerosol (saline)"),EXACT(Metadata!L691,"sediment (saline)")))</f>
        <v>0</v>
      </c>
      <c r="AZ691" t="b">
        <f>IF(Metadata!M691="",FALSE,TRUE)</f>
        <v>0</v>
      </c>
      <c r="BA691" t="b">
        <f>IF(Metadata!N691="",FALSE,TRUE)</f>
        <v>0</v>
      </c>
      <c r="BB691" t="b">
        <f>IF(Metadata!O691="",FALSE,TRUE)</f>
        <v>0</v>
      </c>
      <c r="BC691" t="b">
        <f>AND(IF(Metadata!P691="",FALSE,TRUE),OR(EXACT(Metadata!P691,"air"),EXACT(Metadata!P691,"microbial mat/biofilm"),EXACT(Metadata!P691,"misc environment"),EXACT(Metadata!P691,"sediment"),EXACT(Metadata!P691,"soil"),EXACT(Metadata!P691,"wastewater/sludge"),EXACT(Metadata!P691,"water")))</f>
        <v>0</v>
      </c>
      <c r="BD691" t="b">
        <f>IF(Metadata!Q691="",FALSE,TRUE)</f>
        <v>0</v>
      </c>
      <c r="BE691" t="b">
        <f>IF(Metadata!R691="",FALSE,TRUE)</f>
        <v>0</v>
      </c>
      <c r="BF691" t="b">
        <f>OR(AND(IF(Metadata!S691="",FALSE,TRUE),OR(EXACT(Metadata!S691,"not collected"),EXACT(Metadata!S691,"not provided"),EXACT(Metadata!S691,"restricted access"))),AND(IF(Metadata!S691="",FALSE,ISNUMBER(VALUE(Metadata!S691))),Metadata!S691&gt;=-90,Metadata!S691&lt;=90))</f>
        <v>0</v>
      </c>
      <c r="BG691" t="b">
        <f>AND(IF(Metadata!T691="",FALSE,TRUE),EXACT(Metadata!T691,"Decimal degrees"))</f>
        <v>0</v>
      </c>
      <c r="BH691" t="b">
        <f>OR(AND(IF(Metadata!U691="",FALSE,TRUE),OR(EXACT(Metadata!U691,"not applicable"),EXACT(Metadata!U691,"not collected"))),IF(Metadata!U691="",FALSE,TRUE))</f>
        <v>0</v>
      </c>
      <c r="BI691" t="b">
        <f>OR(AND(IF(Metadata!V691="",FALSE,TRUE),OR(EXACT(Metadata!V691,"not collected"),EXACT(Metadata!V691,"not provided"),EXACT(Metadata!V691,"restricted access"))),AND(IF(Metadata!V691="",FALSE,ISNUMBER(VALUE(Metadata!V691))),Metadata!V691&gt;=-180,Metadata!V691&lt;=180))</f>
        <v>0</v>
      </c>
      <c r="BJ691" t="b">
        <f>AND(IF(Metadata!W691="",FALSE,TRUE),EXACT(Metadata!W691,"Decimal degrees"))</f>
        <v>0</v>
      </c>
      <c r="BK691" t="b">
        <f>IF(Metadata!X691="",FALSE,TRUE)</f>
        <v>0</v>
      </c>
      <c r="BL691" t="b">
        <f>OR(AND(IF(Metadata!Y691="",FALSE,TRUE),OR(EXACT(Metadata!Y691,"not collected"),EXACT(Metadata!Y691,"not provided"),EXACT(Metadata!Y691,"restricted access"))),AND(IF(Metadata!Y691="",FALSE,TRUE),OR(EXACT(Metadata!Y691,"TRUE"),EXACT(Metadata!Y691,"FALSE"))))</f>
        <v>0</v>
      </c>
      <c r="BM691" t="b">
        <f>OR(AND(IF(Metadata!Z691="",FALSE,TRUE),EXACT(Metadata!Z691,"not applicable")),AND(IF(Metadata!Z691="",FALSE,TRUE),OR(EXACT(Metadata!Z691,"beer"),EXACT(Metadata!Z691,"cheese"),EXACT(Metadata!Z691,"fresh water"),EXACT(Metadata!Z691,"marine sediment"),EXACT(Metadata!Z691,"sea water"),EXACT(Metadata!Z691,"sediment"),EXACT(Metadata!Z691,"soil"),EXACT(Metadata!Z691,"waste water"))))</f>
        <v>0</v>
      </c>
      <c r="BN691" t="b">
        <f>AND(IF(Metadata!AA691="",FALSE,TRUE),EXACT(Metadata!AA691,"metagenome"))</f>
        <v>0</v>
      </c>
      <c r="BO691" t="b">
        <f>AND(IF(Metadata!AB691="",FALSE,TRUE),EXACT(Metadata!AB691,"256318"))</f>
        <v>0</v>
      </c>
      <c r="BP691" t="b">
        <f>IF(Metadata!AC691="",FALSE,TRUE)</f>
        <v>0</v>
      </c>
      <c r="BQ691" t="b">
        <f>IF(Metadata!AD691="",FALSE,TRUE)</f>
        <v>0</v>
      </c>
    </row>
    <row r="692" spans="1:69" x14ac:dyDescent="0.2">
      <c r="A692" s="4" t="e">
        <f ca="1">IF(B692=" "," ",HYPERLINK(CONCATENATE("#metadata!",ADDRESS(INDEX($AJ$2:$AJ$1001,MATCH(ROWS($AH$2:AH692),$AH$2:$AH$1001,0),0),2)),INDEX($AM$2:$AM$1001,MATCH(ROWS($AH$2:AH692),$AH$2:$AH$1001,0),0)))</f>
        <v>#N/A</v>
      </c>
      <c r="B692" s="5" t="e">
        <f ca="1">IF(OR(INDEX($AI$2:$AI$1001,MATCH(ROWS($AH$2:AH692),$AH$2:$AH$1001,0),1)&gt;=100000,INDEX($AO$1005:$BQ$1005,1,MATCH(COLUMNS($AO$1006:AO1006),$AO$1006:$BQ$1006,0))&gt;=100000), " ",IF(INDEX($AO$2:$BQ$1001,MATCH(ROWS($AH$2:AH692),$AH$2:$AH$1001,0),MATCH(COLUMNS($AO$1006:AO1006),$AO$1006:$BQ$1006,0)), HYPERLINK("#",""), HYPERLINK(CONCATENATE("#Metadata!", ADDRESS(INDEX($AJ$2:$AJ$1001,MATCH(ROWS($AH$2:AH692),$AH$2:$AH$1001,0),0), INDEX($AO$1004:$BQ$1004,1,MATCH(COLUMNS($AO$1006:AO1006),$AO$1006:$BQ$1006,0)))),"Fix")))</f>
        <v>#N/A</v>
      </c>
      <c r="C692" s="5" t="e">
        <f ca="1">IF(OR(INDEX($AI$2:$AI$1001,MATCH(ROWS($AH$2:AH692),$AH$2:$AH$1001,0),1)&gt;=100000,INDEX($AO$1005:$BQ$1005,1,MATCH(COLUMNS($AO$1006:AP1006),$AO$1006:$BQ$1006,0))&gt;=100000), " ",IF(INDEX($AO$2:$BQ$1001,MATCH(ROWS($AH$2:AH692),$AH$2:$AH$1001,0),MATCH(COLUMNS($AO$1006:AP1006),$AO$1006:$BQ$1006,0)), HYPERLINK("#",""), HYPERLINK(CONCATENATE("#Metadata!", ADDRESS(INDEX($AJ$2:$AJ$1001,MATCH(ROWS($AH$2:AH692),$AH$2:$AH$1001,0),0), INDEX($AO$1004:$BQ$1004,1,MATCH(COLUMNS($AO$1006:AP1006),$AO$1006:$BQ$1006,0)))),"Fix")))</f>
        <v>#N/A</v>
      </c>
      <c r="D692" s="5" t="e">
        <f ca="1">IF(OR(INDEX($AI$2:$AI$1001,MATCH(ROWS($AH$2:AH692),$AH$2:$AH$1001,0),1)&gt;=100000,INDEX($AO$1005:$BQ$1005,1,MATCH(COLUMNS($AO$1006:AQ1006),$AO$1006:$BQ$1006,0))&gt;=100000), " ",IF(INDEX($AO$2:$BQ$1001,MATCH(ROWS($AH$2:AH692),$AH$2:$AH$1001,0),MATCH(COLUMNS($AO$1006:AQ1006),$AO$1006:$BQ$1006,0)), HYPERLINK("#",""), HYPERLINK(CONCATENATE("#Metadata!", ADDRESS(INDEX($AJ$2:$AJ$1001,MATCH(ROWS($AH$2:AH692),$AH$2:$AH$1001,0),0), INDEX($AO$1004:$BQ$1004,1,MATCH(COLUMNS($AO$1006:AQ1006),$AO$1006:$BQ$1006,0)))),"Fix")))</f>
        <v>#N/A</v>
      </c>
      <c r="E692" s="5" t="e">
        <f ca="1">IF(OR(INDEX($AI$2:$AI$1001,MATCH(ROWS($AH$2:AH692),$AH$2:$AH$1001,0),1)&gt;=100000,INDEX($AO$1005:$BQ$1005,1,MATCH(COLUMNS($AO$1006:AR1006),$AO$1006:$BQ$1006,0))&gt;=100000), " ",IF(INDEX($AO$2:$BQ$1001,MATCH(ROWS($AH$2:AH692),$AH$2:$AH$1001,0),MATCH(COLUMNS($AO$1006:AR1006),$AO$1006:$BQ$1006,0)), HYPERLINK("#",""), HYPERLINK(CONCATENATE("#Metadata!", ADDRESS(INDEX($AJ$2:$AJ$1001,MATCH(ROWS($AH$2:AH692),$AH$2:$AH$1001,0),0), INDEX($AO$1004:$BQ$1004,1,MATCH(COLUMNS($AO$1006:AR1006),$AO$1006:$BQ$1006,0)))),"Fix")))</f>
        <v>#N/A</v>
      </c>
      <c r="F692" s="5" t="e">
        <f ca="1">IF(OR(INDEX($AI$2:$AI$1001,MATCH(ROWS($AH$2:AH692),$AH$2:$AH$1001,0),1)&gt;=100000,INDEX($AO$1005:$BQ$1005,1,MATCH(COLUMNS($AO$1006:AS1006),$AO$1006:$BQ$1006,0))&gt;=100000), " ",IF(INDEX($AO$2:$BQ$1001,MATCH(ROWS($AH$2:AH692),$AH$2:$AH$1001,0),MATCH(COLUMNS($AO$1006:AS1006),$AO$1006:$BQ$1006,0)), HYPERLINK("#",""), HYPERLINK(CONCATENATE("#Metadata!", ADDRESS(INDEX($AJ$2:$AJ$1001,MATCH(ROWS($AH$2:AH692),$AH$2:$AH$1001,0),0), INDEX($AO$1004:$BQ$1004,1,MATCH(COLUMNS($AO$1006:AS1006),$AO$1006:$BQ$1006,0)))),"Fix")))</f>
        <v>#N/A</v>
      </c>
      <c r="G692" s="5" t="e">
        <f ca="1">IF(OR(INDEX($AI$2:$AI$1001,MATCH(ROWS($AH$2:AH692),$AH$2:$AH$1001,0),1)&gt;=100000,INDEX($AO$1005:$BQ$1005,1,MATCH(COLUMNS($AO$1006:AT1006),$AO$1006:$BQ$1006,0))&gt;=100000), " ",IF(INDEX($AO$2:$BQ$1001,MATCH(ROWS($AH$2:AH692),$AH$2:$AH$1001,0),MATCH(COLUMNS($AO$1006:AT1006),$AO$1006:$BQ$1006,0)), HYPERLINK("#",""), HYPERLINK(CONCATENATE("#Metadata!", ADDRESS(INDEX($AJ$2:$AJ$1001,MATCH(ROWS($AH$2:AH692),$AH$2:$AH$1001,0),0), INDEX($AO$1004:$BQ$1004,1,MATCH(COLUMNS($AO$1006:AT1006),$AO$1006:$BQ$1006,0)))),"Fix")))</f>
        <v>#N/A</v>
      </c>
      <c r="H692" s="5" t="e">
        <f ca="1">IF(OR(INDEX($AI$2:$AI$1001,MATCH(ROWS($AH$2:AH692),$AH$2:$AH$1001,0),1)&gt;=100000,INDEX($AO$1005:$BQ$1005,1,MATCH(COLUMNS($AO$1006:AU1006),$AO$1006:$BQ$1006,0))&gt;=100000), " ",IF(INDEX($AO$2:$BQ$1001,MATCH(ROWS($AH$2:AH692),$AH$2:$AH$1001,0),MATCH(COLUMNS($AO$1006:AU1006),$AO$1006:$BQ$1006,0)), HYPERLINK("#",""), HYPERLINK(CONCATENATE("#Metadata!", ADDRESS(INDEX($AJ$2:$AJ$1001,MATCH(ROWS($AH$2:AH692),$AH$2:$AH$1001,0),0), INDEX($AO$1004:$BQ$1004,1,MATCH(COLUMNS($AO$1006:AU1006),$AO$1006:$BQ$1006,0)))),"Fix")))</f>
        <v>#N/A</v>
      </c>
      <c r="I692" s="5" t="e">
        <f ca="1">IF(OR(INDEX($AI$2:$AI$1001,MATCH(ROWS($AH$2:AH692),$AH$2:$AH$1001,0),1)&gt;=100000,INDEX($AO$1005:$BQ$1005,1,MATCH(COLUMNS($AO$1006:AV1006),$AO$1006:$BQ$1006,0))&gt;=100000), " ",IF(INDEX($AO$2:$BQ$1001,MATCH(ROWS($AH$2:AH692),$AH$2:$AH$1001,0),MATCH(COLUMNS($AO$1006:AV1006),$AO$1006:$BQ$1006,0)), HYPERLINK("#",""), HYPERLINK(CONCATENATE("#Metadata!", ADDRESS(INDEX($AJ$2:$AJ$1001,MATCH(ROWS($AH$2:AH692),$AH$2:$AH$1001,0),0), INDEX($AO$1004:$BQ$1004,1,MATCH(COLUMNS($AO$1006:AV1006),$AO$1006:$BQ$1006,0)))),"Fix")))</f>
        <v>#N/A</v>
      </c>
      <c r="J692" s="5" t="e">
        <f ca="1">IF(OR(INDEX($AI$2:$AI$1001,MATCH(ROWS($AH$2:AH692),$AH$2:$AH$1001,0),1)&gt;=100000,INDEX($AO$1005:$BQ$1005,1,MATCH(COLUMNS($AO$1006:AW1006),$AO$1006:$BQ$1006,0))&gt;=100000), " ",IF(INDEX($AO$2:$BQ$1001,MATCH(ROWS($AH$2:AH692),$AH$2:$AH$1001,0),MATCH(COLUMNS($AO$1006:AW1006),$AO$1006:$BQ$1006,0)), HYPERLINK("#",""), HYPERLINK(CONCATENATE("#Metadata!", ADDRESS(INDEX($AJ$2:$AJ$1001,MATCH(ROWS($AH$2:AH692),$AH$2:$AH$1001,0),0), INDEX($AO$1004:$BQ$1004,1,MATCH(COLUMNS($AO$1006:AW1006),$AO$1006:$BQ$1006,0)))),"Fix")))</f>
        <v>#N/A</v>
      </c>
      <c r="K692" s="5" t="e">
        <f ca="1">IF(OR(INDEX($AI$2:$AI$1001,MATCH(ROWS($AH$2:AH692),$AH$2:$AH$1001,0),1)&gt;=100000,INDEX($AO$1005:$BQ$1005,1,MATCH(COLUMNS($AO$1006:AX1006),$AO$1006:$BQ$1006,0))&gt;=100000), " ",IF(INDEX($AO$2:$BQ$1001,MATCH(ROWS($AH$2:AH692),$AH$2:$AH$1001,0),MATCH(COLUMNS($AO$1006:AX1006),$AO$1006:$BQ$1006,0)), HYPERLINK("#",""), HYPERLINK(CONCATENATE("#Metadata!", ADDRESS(INDEX($AJ$2:$AJ$1001,MATCH(ROWS($AH$2:AH692),$AH$2:$AH$1001,0),0), INDEX($AO$1004:$BQ$1004,1,MATCH(COLUMNS($AO$1006:AX1006),$AO$1006:$BQ$1006,0)))),"Fix")))</f>
        <v>#N/A</v>
      </c>
      <c r="L692" s="5" t="e">
        <f ca="1">IF(OR(INDEX($AI$2:$AI$1001,MATCH(ROWS($AH$2:AH692),$AH$2:$AH$1001,0),1)&gt;=100000,INDEX($AO$1005:$BQ$1005,1,MATCH(COLUMNS($AO$1006:AY1006),$AO$1006:$BQ$1006,0))&gt;=100000), " ",IF(INDEX($AO$2:$BQ$1001,MATCH(ROWS($AH$2:AH692),$AH$2:$AH$1001,0),MATCH(COLUMNS($AO$1006:AY1006),$AO$1006:$BQ$1006,0)), HYPERLINK("#",""), HYPERLINK(CONCATENATE("#Metadata!", ADDRESS(INDEX($AJ$2:$AJ$1001,MATCH(ROWS($AH$2:AH692),$AH$2:$AH$1001,0),0), INDEX($AO$1004:$BQ$1004,1,MATCH(COLUMNS($AO$1006:AY1006),$AO$1006:$BQ$1006,0)))),"Fix")))</f>
        <v>#N/A</v>
      </c>
      <c r="M692" s="5" t="e">
        <f ca="1">IF(OR(INDEX($AI$2:$AI$1001,MATCH(ROWS($AH$2:AH692),$AH$2:$AH$1001,0),1)&gt;=100000,INDEX($AO$1005:$BQ$1005,1,MATCH(COLUMNS($AO$1006:AZ1006),$AO$1006:$BQ$1006,0))&gt;=100000), " ",IF(INDEX($AO$2:$BQ$1001,MATCH(ROWS($AH$2:AH692),$AH$2:$AH$1001,0),MATCH(COLUMNS($AO$1006:AZ1006),$AO$1006:$BQ$1006,0)), HYPERLINK("#",""), HYPERLINK(CONCATENATE("#Metadata!", ADDRESS(INDEX($AJ$2:$AJ$1001,MATCH(ROWS($AH$2:AH692),$AH$2:$AH$1001,0),0), INDEX($AO$1004:$BQ$1004,1,MATCH(COLUMNS($AO$1006:AZ1006),$AO$1006:$BQ$1006,0)))),"Fix")))</f>
        <v>#N/A</v>
      </c>
      <c r="N692" s="5" t="e">
        <f ca="1">IF(OR(INDEX($AI$2:$AI$1001,MATCH(ROWS($AH$2:AH692),$AH$2:$AH$1001,0),1)&gt;=100000,INDEX($AO$1005:$BQ$1005,1,MATCH(COLUMNS($AO$1006:BA1006),$AO$1006:$BQ$1006,0))&gt;=100000), " ",IF(INDEX($AO$2:$BQ$1001,MATCH(ROWS($AH$2:AH692),$AH$2:$AH$1001,0),MATCH(COLUMNS($AO$1006:BA1006),$AO$1006:$BQ$1006,0)), HYPERLINK("#",""), HYPERLINK(CONCATENATE("#Metadata!", ADDRESS(INDEX($AJ$2:$AJ$1001,MATCH(ROWS($AH$2:AH692),$AH$2:$AH$1001,0),0), INDEX($AO$1004:$BQ$1004,1,MATCH(COLUMNS($AO$1006:BA1006),$AO$1006:$BQ$1006,0)))),"Fix")))</f>
        <v>#N/A</v>
      </c>
      <c r="O692" s="5" t="e">
        <f ca="1">IF(OR(INDEX($AI$2:$AI$1001,MATCH(ROWS($AH$2:AH692),$AH$2:$AH$1001,0),1)&gt;=100000,INDEX($AO$1005:$BQ$1005,1,MATCH(COLUMNS($AO$1006:BB1006),$AO$1006:$BQ$1006,0))&gt;=100000), " ",IF(INDEX($AO$2:$BQ$1001,MATCH(ROWS($AH$2:AH692),$AH$2:$AH$1001,0),MATCH(COLUMNS($AO$1006:BB1006),$AO$1006:$BQ$1006,0)), HYPERLINK("#",""), HYPERLINK(CONCATENATE("#Metadata!", ADDRESS(INDEX($AJ$2:$AJ$1001,MATCH(ROWS($AH$2:AH692),$AH$2:$AH$1001,0),0), INDEX($AO$1004:$BQ$1004,1,MATCH(COLUMNS($AO$1006:BB1006),$AO$1006:$BQ$1006,0)))),"Fix")))</f>
        <v>#N/A</v>
      </c>
      <c r="P692" s="5" t="e">
        <f ca="1">IF(OR(INDEX($AI$2:$AI$1001,MATCH(ROWS($AH$2:AH692),$AH$2:$AH$1001,0),1)&gt;=100000,INDEX($AO$1005:$BQ$1005,1,MATCH(COLUMNS($AO$1006:BC1006),$AO$1006:$BQ$1006,0))&gt;=100000), " ",IF(INDEX($AO$2:$BQ$1001,MATCH(ROWS($AH$2:AH692),$AH$2:$AH$1001,0),MATCH(COLUMNS($AO$1006:BC1006),$AO$1006:$BQ$1006,0)), HYPERLINK("#",""), HYPERLINK(CONCATENATE("#Metadata!", ADDRESS(INDEX($AJ$2:$AJ$1001,MATCH(ROWS($AH$2:AH692),$AH$2:$AH$1001,0),0), INDEX($AO$1004:$BQ$1004,1,MATCH(COLUMNS($AO$1006:BC1006),$AO$1006:$BQ$1006,0)))),"Fix")))</f>
        <v>#N/A</v>
      </c>
      <c r="Q692" s="5" t="e">
        <f ca="1">IF(OR(INDEX($AI$2:$AI$1001,MATCH(ROWS($AH$2:AH692),$AH$2:$AH$1001,0),1)&gt;=100000,INDEX($AO$1005:$BQ$1005,1,MATCH(COLUMNS($AO$1006:BD1006),$AO$1006:$BQ$1006,0))&gt;=100000), " ",IF(INDEX($AO$2:$BQ$1001,MATCH(ROWS($AH$2:AH692),$AH$2:$AH$1001,0),MATCH(COLUMNS($AO$1006:BD1006),$AO$1006:$BQ$1006,0)), HYPERLINK("#",""), HYPERLINK(CONCATENATE("#Metadata!", ADDRESS(INDEX($AJ$2:$AJ$1001,MATCH(ROWS($AH$2:AH692),$AH$2:$AH$1001,0),0), INDEX($AO$1004:$BQ$1004,1,MATCH(COLUMNS($AO$1006:BD1006),$AO$1006:$BQ$1006,0)))),"Fix")))</f>
        <v>#N/A</v>
      </c>
      <c r="R692" s="5" t="e">
        <f ca="1">IF(OR(INDEX($AI$2:$AI$1001,MATCH(ROWS($AH$2:AH692),$AH$2:$AH$1001,0),1)&gt;=100000,INDEX($AO$1005:$BQ$1005,1,MATCH(COLUMNS($AO$1006:BE1006),$AO$1006:$BQ$1006,0))&gt;=100000), " ",IF(INDEX($AO$2:$BQ$1001,MATCH(ROWS($AH$2:AH692),$AH$2:$AH$1001,0),MATCH(COLUMNS($AO$1006:BE1006),$AO$1006:$BQ$1006,0)), HYPERLINK("#",""), HYPERLINK(CONCATENATE("#Metadata!", ADDRESS(INDEX($AJ$2:$AJ$1001,MATCH(ROWS($AH$2:AH692),$AH$2:$AH$1001,0),0), INDEX($AO$1004:$BQ$1004,1,MATCH(COLUMNS($AO$1006:BE1006),$AO$1006:$BQ$1006,0)))),"Fix")))</f>
        <v>#N/A</v>
      </c>
      <c r="S692" s="5" t="e">
        <f ca="1">IF(OR(INDEX($AI$2:$AI$1001,MATCH(ROWS($AH$2:AH692),$AH$2:$AH$1001,0),1)&gt;=100000,INDEX($AO$1005:$BQ$1005,1,MATCH(COLUMNS($AO$1006:BF1006),$AO$1006:$BQ$1006,0))&gt;=100000), " ",IF(INDEX($AO$2:$BQ$1001,MATCH(ROWS($AH$2:AH692),$AH$2:$AH$1001,0),MATCH(COLUMNS($AO$1006:BF1006),$AO$1006:$BQ$1006,0)), HYPERLINK("#",""), HYPERLINK(CONCATENATE("#Metadata!", ADDRESS(INDEX($AJ$2:$AJ$1001,MATCH(ROWS($AH$2:AH692),$AH$2:$AH$1001,0),0), INDEX($AO$1004:$BQ$1004,1,MATCH(COLUMNS($AO$1006:BF1006),$AO$1006:$BQ$1006,0)))),"Fix")))</f>
        <v>#N/A</v>
      </c>
      <c r="T692" s="5" t="e">
        <f ca="1">IF(OR(INDEX($AI$2:$AI$1001,MATCH(ROWS($AH$2:AH692),$AH$2:$AH$1001,0),1)&gt;=100000,INDEX($AO$1005:$BQ$1005,1,MATCH(COLUMNS($AO$1006:BG1006),$AO$1006:$BQ$1006,0))&gt;=100000), " ",IF(INDEX($AO$2:$BQ$1001,MATCH(ROWS($AH$2:AH692),$AH$2:$AH$1001,0),MATCH(COLUMNS($AO$1006:BG1006),$AO$1006:$BQ$1006,0)), HYPERLINK("#",""), HYPERLINK(CONCATENATE("#Metadata!", ADDRESS(INDEX($AJ$2:$AJ$1001,MATCH(ROWS($AH$2:AH692),$AH$2:$AH$1001,0),0), INDEX($AO$1004:$BQ$1004,1,MATCH(COLUMNS($AO$1006:BG1006),$AO$1006:$BQ$1006,0)))),"Fix")))</f>
        <v>#N/A</v>
      </c>
      <c r="U692" s="5" t="e">
        <f ca="1">IF(OR(INDEX($AI$2:$AI$1001,MATCH(ROWS($AH$2:AH692),$AH$2:$AH$1001,0),1)&gt;=100000,INDEX($AO$1005:$BQ$1005,1,MATCH(COLUMNS($AO$1006:BH1006),$AO$1006:$BQ$1006,0))&gt;=100000), " ",IF(INDEX($AO$2:$BQ$1001,MATCH(ROWS($AH$2:AH692),$AH$2:$AH$1001,0),MATCH(COLUMNS($AO$1006:BH1006),$AO$1006:$BQ$1006,0)), HYPERLINK("#",""), HYPERLINK(CONCATENATE("#Metadata!", ADDRESS(INDEX($AJ$2:$AJ$1001,MATCH(ROWS($AH$2:AH692),$AH$2:$AH$1001,0),0), INDEX($AO$1004:$BQ$1004,1,MATCH(COLUMNS($AO$1006:BH1006),$AO$1006:$BQ$1006,0)))),"Fix")))</f>
        <v>#N/A</v>
      </c>
      <c r="V692" s="5" t="e">
        <f ca="1">IF(OR(INDEX($AI$2:$AI$1001,MATCH(ROWS($AH$2:AH692),$AH$2:$AH$1001,0),1)&gt;=100000,INDEX($AO$1005:$BQ$1005,1,MATCH(COLUMNS($AO$1006:BI1006),$AO$1006:$BQ$1006,0))&gt;=100000), " ",IF(INDEX($AO$2:$BQ$1001,MATCH(ROWS($AH$2:AH692),$AH$2:$AH$1001,0),MATCH(COLUMNS($AO$1006:BI1006),$AO$1006:$BQ$1006,0)), HYPERLINK("#",""), HYPERLINK(CONCATENATE("#Metadata!", ADDRESS(INDEX($AJ$2:$AJ$1001,MATCH(ROWS($AH$2:AH692),$AH$2:$AH$1001,0),0), INDEX($AO$1004:$BQ$1004,1,MATCH(COLUMNS($AO$1006:BI1006),$AO$1006:$BQ$1006,0)))),"Fix")))</f>
        <v>#N/A</v>
      </c>
      <c r="W692" s="5" t="e">
        <f ca="1">IF(OR(INDEX($AI$2:$AI$1001,MATCH(ROWS($AH$2:AH692),$AH$2:$AH$1001,0),1)&gt;=100000,INDEX($AO$1005:$BQ$1005,1,MATCH(COLUMNS($AO$1006:BJ1006),$AO$1006:$BQ$1006,0))&gt;=100000), " ",IF(INDEX($AO$2:$BQ$1001,MATCH(ROWS($AH$2:AH692),$AH$2:$AH$1001,0),MATCH(COLUMNS($AO$1006:BJ1006),$AO$1006:$BQ$1006,0)), HYPERLINK("#",""), HYPERLINK(CONCATENATE("#Metadata!", ADDRESS(INDEX($AJ$2:$AJ$1001,MATCH(ROWS($AH$2:AH692),$AH$2:$AH$1001,0),0), INDEX($AO$1004:$BQ$1004,1,MATCH(COLUMNS($AO$1006:BJ1006),$AO$1006:$BQ$1006,0)))),"Fix")))</f>
        <v>#N/A</v>
      </c>
      <c r="X692" s="5" t="e">
        <f ca="1">IF(OR(INDEX($AI$2:$AI$1001,MATCH(ROWS($AH$2:AH692),$AH$2:$AH$1001,0),1)&gt;=100000,INDEX($AO$1005:$BQ$1005,1,MATCH(COLUMNS($AO$1006:BK1006),$AO$1006:$BQ$1006,0))&gt;=100000), " ",IF(INDEX($AO$2:$BQ$1001,MATCH(ROWS($AH$2:AH692),$AH$2:$AH$1001,0),MATCH(COLUMNS($AO$1006:BK1006),$AO$1006:$BQ$1006,0)), HYPERLINK("#",""), HYPERLINK(CONCATENATE("#Metadata!", ADDRESS(INDEX($AJ$2:$AJ$1001,MATCH(ROWS($AH$2:AH692),$AH$2:$AH$1001,0),0), INDEX($AO$1004:$BQ$1004,1,MATCH(COLUMNS($AO$1006:BK1006),$AO$1006:$BQ$1006,0)))),"Fix")))</f>
        <v>#N/A</v>
      </c>
      <c r="Y692" s="5" t="e">
        <f ca="1">IF(OR(INDEX($AI$2:$AI$1001,MATCH(ROWS($AH$2:AH692),$AH$2:$AH$1001,0),1)&gt;=100000,INDEX($AO$1005:$BQ$1005,1,MATCH(COLUMNS($AO$1006:BL1006),$AO$1006:$BQ$1006,0))&gt;=100000), " ",IF(INDEX($AO$2:$BQ$1001,MATCH(ROWS($AH$2:AH692),$AH$2:$AH$1001,0),MATCH(COLUMNS($AO$1006:BL1006),$AO$1006:$BQ$1006,0)), HYPERLINK("#",""), HYPERLINK(CONCATENATE("#Metadata!", ADDRESS(INDEX($AJ$2:$AJ$1001,MATCH(ROWS($AH$2:AH692),$AH$2:$AH$1001,0),0), INDEX($AO$1004:$BQ$1004,1,MATCH(COLUMNS($AO$1006:BL1006),$AO$1006:$BQ$1006,0)))),"Fix")))</f>
        <v>#N/A</v>
      </c>
      <c r="Z692" s="5" t="e">
        <f ca="1">IF(OR(INDEX($AI$2:$AI$1001,MATCH(ROWS($AH$2:AH692),$AH$2:$AH$1001,0),1)&gt;=100000,INDEX($AO$1005:$BQ$1005,1,MATCH(COLUMNS($AO$1006:BM1006),$AO$1006:$BQ$1006,0))&gt;=100000), " ",IF(INDEX($AO$2:$BQ$1001,MATCH(ROWS($AH$2:AH692),$AH$2:$AH$1001,0),MATCH(COLUMNS($AO$1006:BM1006),$AO$1006:$BQ$1006,0)), HYPERLINK("#",""), HYPERLINK(CONCATENATE("#Metadata!", ADDRESS(INDEX($AJ$2:$AJ$1001,MATCH(ROWS($AH$2:AH692),$AH$2:$AH$1001,0),0), INDEX($AO$1004:$BQ$1004,1,MATCH(COLUMNS($AO$1006:BM1006),$AO$1006:$BQ$1006,0)))),"Fix")))</f>
        <v>#N/A</v>
      </c>
      <c r="AA692" s="5" t="e">
        <f ca="1">IF(OR(INDEX($AI$2:$AI$1001,MATCH(ROWS($AH$2:AH692),$AH$2:$AH$1001,0),1)&gt;=100000,INDEX($AO$1005:$BQ$1005,1,MATCH(COLUMNS($AO$1006:BN1006),$AO$1006:$BQ$1006,0))&gt;=100000), " ",IF(INDEX($AO$2:$BQ$1001,MATCH(ROWS($AH$2:AH692),$AH$2:$AH$1001,0),MATCH(COLUMNS($AO$1006:BN1006),$AO$1006:$BQ$1006,0)), HYPERLINK("#",""), HYPERLINK(CONCATENATE("#Metadata!", ADDRESS(INDEX($AJ$2:$AJ$1001,MATCH(ROWS($AH$2:AH692),$AH$2:$AH$1001,0),0), INDEX($AO$1004:$BQ$1004,1,MATCH(COLUMNS($AO$1006:BN1006),$AO$1006:$BQ$1006,0)))),"Fix")))</f>
        <v>#N/A</v>
      </c>
      <c r="AB692" s="5" t="e">
        <f ca="1">IF(OR(INDEX($AI$2:$AI$1001,MATCH(ROWS($AH$2:AH692),$AH$2:$AH$1001,0),1)&gt;=100000,INDEX($AO$1005:$BQ$1005,1,MATCH(COLUMNS($AO$1006:BO1006),$AO$1006:$BQ$1006,0))&gt;=100000), " ",IF(INDEX($AO$2:$BQ$1001,MATCH(ROWS($AH$2:AH692),$AH$2:$AH$1001,0),MATCH(COLUMNS($AO$1006:BO1006),$AO$1006:$BQ$1006,0)), HYPERLINK("#",""), HYPERLINK(CONCATENATE("#Metadata!", ADDRESS(INDEX($AJ$2:$AJ$1001,MATCH(ROWS($AH$2:AH692),$AH$2:$AH$1001,0),0), INDEX($AO$1004:$BQ$1004,1,MATCH(COLUMNS($AO$1006:BO1006),$AO$1006:$BQ$1006,0)))),"Fix")))</f>
        <v>#N/A</v>
      </c>
      <c r="AC692" s="5" t="e">
        <f ca="1">IF(OR(INDEX($AI$2:$AI$1001,MATCH(ROWS($AH$2:AH692),$AH$2:$AH$1001,0),1)&gt;=100000,INDEX($AO$1005:$BQ$1005,1,MATCH(COLUMNS($AO$1006:BP1006),$AO$1006:$BQ$1006,0))&gt;=100000), " ",IF(INDEX($AO$2:$BQ$1001,MATCH(ROWS($AH$2:AH692),$AH$2:$AH$1001,0),MATCH(COLUMNS($AO$1006:BP1006),$AO$1006:$BQ$1006,0)), HYPERLINK("#",""), HYPERLINK(CONCATENATE("#Metadata!", ADDRESS(INDEX($AJ$2:$AJ$1001,MATCH(ROWS($AH$2:AH692),$AH$2:$AH$1001,0),0), INDEX($AO$1004:$BQ$1004,1,MATCH(COLUMNS($AO$1006:BP1006),$AO$1006:$BQ$1006,0)))),"Fix")))</f>
        <v>#N/A</v>
      </c>
      <c r="AD692" s="5" t="e">
        <f ca="1">IF(OR(INDEX($AI$2:$AI$1001,MATCH(ROWS($AH$2:AH692),$AH$2:$AH$1001,0),1)&gt;=100000,INDEX($AO$1005:$BQ$1005,1,MATCH(COLUMNS($AO$1006:BQ1006),$AO$1006:$BQ$1006,0))&gt;=100000), " ",IF(INDEX($AO$2:$BQ$1001,MATCH(ROWS($AH$2:AH692),$AH$2:$AH$1001,0),MATCH(COLUMNS($AO$1006:BQ1006),$AO$1006:$BQ$1006,0)), HYPERLINK("#",""), HYPERLINK(CONCATENATE("#Metadata!", ADDRESS(INDEX($AJ$2:$AJ$1001,MATCH(ROWS($AH$2:AH692),$AH$2:$AH$1001,0),0), INDEX($AO$1004:$BQ$1004,1,MATCH(COLUMNS($AO$1006:BQ1006),$AO$1006:$BQ$1006,0)))),"Fix")))</f>
        <v>#REF!</v>
      </c>
      <c r="AH692">
        <f ca="1"/>
        <v>689</v>
      </c>
      <c r="AI692">
        <v>100692</v>
      </c>
      <c r="AJ692">
        <v>692</v>
      </c>
      <c r="AK692" t="b">
        <f t="shared" si="10"/>
        <v>1</v>
      </c>
      <c r="AL692" t="b">
        <f>COUNTBLANK(Metadata!B692:AD692)=COLUMNS(Metadata!B692:AD692)</f>
        <v>1</v>
      </c>
      <c r="AM692" t="str">
        <v/>
      </c>
      <c r="AO692" t="b">
        <f ca="1">AND(IF(Metadata!B692="",FALSE,TRUE),COUNTIF(Metadata!B:B, Metadata!B692) = 1,NOT(ISERROR(SUMPRODUCT(SEARCH(MID(Metadata!B692,ROW(INDIRECT("1:"&amp;LEN(Metadata!B692))), 1),"0123456789abcdefghijklmnopqrstuvwxyzABCDEFGHIJKLMNOPQRSTUVWXYZ.")))))</f>
        <v>0</v>
      </c>
      <c r="AP692" t="b">
        <f>IF(Metadata!C692="",FALSE,TRUE)</f>
        <v>0</v>
      </c>
      <c r="AQ692" t="b">
        <f>IF(Metadata!D692="",FALSE,TRUE)</f>
        <v>0</v>
      </c>
      <c r="AR692" t="b">
        <f ca="1">OR(AND(IF(Metadata!E692="",FALSE,TRUE),OR(EXACT(Metadata!E692,"not collected"),EXACT(Metadata!E692,"not provided"),EXACT(Metadata!E692,"restricted access"))),AND(IF(Metadata!E692="",FALSE,TRUE),AND(AND(IFERROR(INT(LEFT(Metadata!E692,4))&gt;1900,FALSE),IFERROR(INT(LEFT(Metadata!E692,4))&lt;=YEAR(NOW()),FALSE)), OR(MID(Metadata!E692,5,1)="", AND(AND(MID(Metadata!E692,5,1)="-",IFERROR(INT(MID(Metadata!E692,6,1))&gt;=0,FALSE),IFERROR(INT(MID(Metadata!E692,6,1))&lt;=1,FALSE),NOT(MID(Metadata!E692,7,1)=""),IFERROR(INT(MID(Metadata!E692,6,2))&gt;=1,FALSE),IFERROR(INT(MID(Metadata!E692,6,2))&lt;=12,FALSE)), OR(MID(Metadata!E692,8,1)="", AND(AND(MID(Metadata!E692,8,1)="-",IFERROR(INT(MID(Metadata!E692,9,1))&gt;=0,FALSE),IFERROR(INT(MID(Metadata!E692,9,1))&lt;=3,FALSE),NOT(MID(Metadata!E692,10,1)=""),IFERROR(INT(MID(Metadata!E692,9,2))&gt;=1,FALSE),IFERROR(INT(MID(Metadata!E692,9,2))&lt;=31,FALSE)), OR(MID(Metadata!E692,11,1)="", AND(AND(MID(Metadata!E692,11,1)=" ",IFERROR(INT(MID(Metadata!E692,12,1))&gt;=0,FALSE),IFERROR(INT(MID(Metadata!E692,12,1))&lt;=2,FALSE),NOT(MID(Metadata!E692,13,1)=""),IFERROR(INT(MID(Metadata!E692,12,2))&gt;=0,FALSE),IFERROR(INT(MID(Metadata!E692,12,2))&lt;=23,FALSE)), OR(MID(Metadata!E692,14,1)="", AND(AND(MID(Metadata!E692,14,1)=":",IFERROR(INT(MID(Metadata!E692,15,1))&gt;=0,FALSE),IFERROR(INT(MID(Metadata!E692,15,1))&lt;=5,FALSE),NOT(MID(Metadata!E692,16,1)=""),IFERROR(INT(MID(Metadata!E692,15,2))&gt;=0,FALSE),IFERROR(INT(MID(Metadata!E692,15,2))&lt;=59,FALSE)), OR(MID(Metadata!E692,17,1)="", AND(AND(MID(Metadata!E692,17,1)=":",IFERROR(INT(MID(Metadata!E692,18,1))&gt;=0,FALSE),IFERROR(INT(MID(Metadata!E692,18,1))&lt;=5,FALSE),NOT(MID(Metadata!E692,19,1)=""),IFERROR(INT(MID(Metadata!E692,18,2))&gt;=0,FALSE),IFERROR(INT(MID(Metadata!E692,18,2))&lt;=59,FALSE)), LEN(Metadata!E692)&lt;=19)))))))))))))</f>
        <v>0</v>
      </c>
      <c r="AS692" t="b">
        <f>IF(Metadata!F692="",FALSE,TRUE)</f>
        <v>0</v>
      </c>
      <c r="AT692" t="b">
        <f>OR(AND(IF(Metadata!G692="",FALSE,TRUE),OR(EXACT(Metadata!G692,"not collected"),EXACT(Metadata!G692,"not provided"))),AND(IF(Metadata!G692="",FALSE,TRUE),OR(EXACT(Metadata!G692,"TRUE"),EXACT(Metadata!G692,"FALSE"))))</f>
        <v>0</v>
      </c>
      <c r="AU692" t="b">
        <f>OR(AND(IF(Metadata!H692="",FALSE,TRUE),OR(EXACT(Metadata!H692,"not collected"),EXACT(Metadata!H692,"not provided"),EXACT(Metadata!H692,"restricted access"))),AND(IF(Metadata!H692="",FALSE,ISNUMBER(VALUE(Metadata!H692))),Metadata!H692&gt;=-413))</f>
        <v>0</v>
      </c>
      <c r="AV692" t="b">
        <f>AND(IF(Metadata!I692="",FALSE,TRUE),EXACT(Metadata!I692,"meters"))</f>
        <v>0</v>
      </c>
      <c r="AW692" t="b">
        <f>AND(IF(Metadata!J692="",FALSE,TRUE),EXACT(Metadata!J692,"free-living"))</f>
        <v>0</v>
      </c>
      <c r="AX692" t="b">
        <f>AND(IF(Metadata!K692="",FALSE,TRUE),OR(EXACT(Metadata!K692,"saline"),EXACT(Metadata!K692,"non-saline")))</f>
        <v>0</v>
      </c>
      <c r="AY692" t="b">
        <f>AND(IF(Metadata!L692="",FALSE,TRUE),OR(EXACT(Metadata!L692,"sub-surface (non-saline)"),EXACT(Metadata!L692,"surface (non-saline)"),EXACT(Metadata!L692,"water (non-saline)"),EXACT(Metadata!L692,"soil (non-saline)"),EXACT(Metadata!L692,"aerosol (non-saline)"),EXACT(Metadata!L692,"sediment (non-saline)"),EXACT(Metadata!L692,"surface (saline)"),EXACT(Metadata!L692,"water (saline)"),EXACT(Metadata!L692,"hypersaline (saline)"),EXACT(Metadata!L692,"aerosol (saline)"),EXACT(Metadata!L692,"sediment (saline)")))</f>
        <v>0</v>
      </c>
      <c r="AZ692" t="b">
        <f>IF(Metadata!M692="",FALSE,TRUE)</f>
        <v>0</v>
      </c>
      <c r="BA692" t="b">
        <f>IF(Metadata!N692="",FALSE,TRUE)</f>
        <v>0</v>
      </c>
      <c r="BB692" t="b">
        <f>IF(Metadata!O692="",FALSE,TRUE)</f>
        <v>0</v>
      </c>
      <c r="BC692" t="b">
        <f>AND(IF(Metadata!P692="",FALSE,TRUE),OR(EXACT(Metadata!P692,"air"),EXACT(Metadata!P692,"microbial mat/biofilm"),EXACT(Metadata!P692,"misc environment"),EXACT(Metadata!P692,"sediment"),EXACT(Metadata!P692,"soil"),EXACT(Metadata!P692,"wastewater/sludge"),EXACT(Metadata!P692,"water")))</f>
        <v>0</v>
      </c>
      <c r="BD692" t="b">
        <f>IF(Metadata!Q692="",FALSE,TRUE)</f>
        <v>0</v>
      </c>
      <c r="BE692" t="b">
        <f>IF(Metadata!R692="",FALSE,TRUE)</f>
        <v>0</v>
      </c>
      <c r="BF692" t="b">
        <f>OR(AND(IF(Metadata!S692="",FALSE,TRUE),OR(EXACT(Metadata!S692,"not collected"),EXACT(Metadata!S692,"not provided"),EXACT(Metadata!S692,"restricted access"))),AND(IF(Metadata!S692="",FALSE,ISNUMBER(VALUE(Metadata!S692))),Metadata!S692&gt;=-90,Metadata!S692&lt;=90))</f>
        <v>0</v>
      </c>
      <c r="BG692" t="b">
        <f>AND(IF(Metadata!T692="",FALSE,TRUE),EXACT(Metadata!T692,"Decimal degrees"))</f>
        <v>0</v>
      </c>
      <c r="BH692" t="b">
        <f>OR(AND(IF(Metadata!U692="",FALSE,TRUE),OR(EXACT(Metadata!U692,"not applicable"),EXACT(Metadata!U692,"not collected"))),IF(Metadata!U692="",FALSE,TRUE))</f>
        <v>0</v>
      </c>
      <c r="BI692" t="b">
        <f>OR(AND(IF(Metadata!V692="",FALSE,TRUE),OR(EXACT(Metadata!V692,"not collected"),EXACT(Metadata!V692,"not provided"),EXACT(Metadata!V692,"restricted access"))),AND(IF(Metadata!V692="",FALSE,ISNUMBER(VALUE(Metadata!V692))),Metadata!V692&gt;=-180,Metadata!V692&lt;=180))</f>
        <v>0</v>
      </c>
      <c r="BJ692" t="b">
        <f>AND(IF(Metadata!W692="",FALSE,TRUE),EXACT(Metadata!W692,"Decimal degrees"))</f>
        <v>0</v>
      </c>
      <c r="BK692" t="b">
        <f>IF(Metadata!X692="",FALSE,TRUE)</f>
        <v>0</v>
      </c>
      <c r="BL692" t="b">
        <f>OR(AND(IF(Metadata!Y692="",FALSE,TRUE),OR(EXACT(Metadata!Y692,"not collected"),EXACT(Metadata!Y692,"not provided"),EXACT(Metadata!Y692,"restricted access"))),AND(IF(Metadata!Y692="",FALSE,TRUE),OR(EXACT(Metadata!Y692,"TRUE"),EXACT(Metadata!Y692,"FALSE"))))</f>
        <v>0</v>
      </c>
      <c r="BM692" t="b">
        <f>OR(AND(IF(Metadata!Z692="",FALSE,TRUE),EXACT(Metadata!Z692,"not applicable")),AND(IF(Metadata!Z692="",FALSE,TRUE),OR(EXACT(Metadata!Z692,"beer"),EXACT(Metadata!Z692,"cheese"),EXACT(Metadata!Z692,"fresh water"),EXACT(Metadata!Z692,"marine sediment"),EXACT(Metadata!Z692,"sea water"),EXACT(Metadata!Z692,"sediment"),EXACT(Metadata!Z692,"soil"),EXACT(Metadata!Z692,"waste water"))))</f>
        <v>0</v>
      </c>
      <c r="BN692" t="b">
        <f>AND(IF(Metadata!AA692="",FALSE,TRUE),EXACT(Metadata!AA692,"metagenome"))</f>
        <v>0</v>
      </c>
      <c r="BO692" t="b">
        <f>AND(IF(Metadata!AB692="",FALSE,TRUE),EXACT(Metadata!AB692,"256318"))</f>
        <v>0</v>
      </c>
      <c r="BP692" t="b">
        <f>IF(Metadata!AC692="",FALSE,TRUE)</f>
        <v>0</v>
      </c>
      <c r="BQ692" t="b">
        <f>IF(Metadata!AD692="",FALSE,TRUE)</f>
        <v>0</v>
      </c>
    </row>
    <row r="693" spans="1:69" x14ac:dyDescent="0.2">
      <c r="A693" s="4" t="e">
        <f ca="1">IF(B693=" "," ",HYPERLINK(CONCATENATE("#metadata!",ADDRESS(INDEX($AJ$2:$AJ$1001,MATCH(ROWS($AH$2:AH693),$AH$2:$AH$1001,0),0),2)),INDEX($AM$2:$AM$1001,MATCH(ROWS($AH$2:AH693),$AH$2:$AH$1001,0),0)))</f>
        <v>#N/A</v>
      </c>
      <c r="B693" s="5" t="e">
        <f ca="1">IF(OR(INDEX($AI$2:$AI$1001,MATCH(ROWS($AH$2:AH693),$AH$2:$AH$1001,0),1)&gt;=100000,INDEX($AO$1005:$BQ$1005,1,MATCH(COLUMNS($AO$1006:AO1006),$AO$1006:$BQ$1006,0))&gt;=100000), " ",IF(INDEX($AO$2:$BQ$1001,MATCH(ROWS($AH$2:AH693),$AH$2:$AH$1001,0),MATCH(COLUMNS($AO$1006:AO1006),$AO$1006:$BQ$1006,0)), HYPERLINK("#",""), HYPERLINK(CONCATENATE("#Metadata!", ADDRESS(INDEX($AJ$2:$AJ$1001,MATCH(ROWS($AH$2:AH693),$AH$2:$AH$1001,0),0), INDEX($AO$1004:$BQ$1004,1,MATCH(COLUMNS($AO$1006:AO1006),$AO$1006:$BQ$1006,0)))),"Fix")))</f>
        <v>#N/A</v>
      </c>
      <c r="C693" s="5" t="e">
        <f ca="1">IF(OR(INDEX($AI$2:$AI$1001,MATCH(ROWS($AH$2:AH693),$AH$2:$AH$1001,0),1)&gt;=100000,INDEX($AO$1005:$BQ$1005,1,MATCH(COLUMNS($AO$1006:AP1006),$AO$1006:$BQ$1006,0))&gt;=100000), " ",IF(INDEX($AO$2:$BQ$1001,MATCH(ROWS($AH$2:AH693),$AH$2:$AH$1001,0),MATCH(COLUMNS($AO$1006:AP1006),$AO$1006:$BQ$1006,0)), HYPERLINK("#",""), HYPERLINK(CONCATENATE("#Metadata!", ADDRESS(INDEX($AJ$2:$AJ$1001,MATCH(ROWS($AH$2:AH693),$AH$2:$AH$1001,0),0), INDEX($AO$1004:$BQ$1004,1,MATCH(COLUMNS($AO$1006:AP1006),$AO$1006:$BQ$1006,0)))),"Fix")))</f>
        <v>#N/A</v>
      </c>
      <c r="D693" s="5" t="e">
        <f ca="1">IF(OR(INDEX($AI$2:$AI$1001,MATCH(ROWS($AH$2:AH693),$AH$2:$AH$1001,0),1)&gt;=100000,INDEX($AO$1005:$BQ$1005,1,MATCH(COLUMNS($AO$1006:AQ1006),$AO$1006:$BQ$1006,0))&gt;=100000), " ",IF(INDEX($AO$2:$BQ$1001,MATCH(ROWS($AH$2:AH693),$AH$2:$AH$1001,0),MATCH(COLUMNS($AO$1006:AQ1006),$AO$1006:$BQ$1006,0)), HYPERLINK("#",""), HYPERLINK(CONCATENATE("#Metadata!", ADDRESS(INDEX($AJ$2:$AJ$1001,MATCH(ROWS($AH$2:AH693),$AH$2:$AH$1001,0),0), INDEX($AO$1004:$BQ$1004,1,MATCH(COLUMNS($AO$1006:AQ1006),$AO$1006:$BQ$1006,0)))),"Fix")))</f>
        <v>#N/A</v>
      </c>
      <c r="E693" s="5" t="e">
        <f ca="1">IF(OR(INDEX($AI$2:$AI$1001,MATCH(ROWS($AH$2:AH693),$AH$2:$AH$1001,0),1)&gt;=100000,INDEX($AO$1005:$BQ$1005,1,MATCH(COLUMNS($AO$1006:AR1006),$AO$1006:$BQ$1006,0))&gt;=100000), " ",IF(INDEX($AO$2:$BQ$1001,MATCH(ROWS($AH$2:AH693),$AH$2:$AH$1001,0),MATCH(COLUMNS($AO$1006:AR1006),$AO$1006:$BQ$1006,0)), HYPERLINK("#",""), HYPERLINK(CONCATENATE("#Metadata!", ADDRESS(INDEX($AJ$2:$AJ$1001,MATCH(ROWS($AH$2:AH693),$AH$2:$AH$1001,0),0), INDEX($AO$1004:$BQ$1004,1,MATCH(COLUMNS($AO$1006:AR1006),$AO$1006:$BQ$1006,0)))),"Fix")))</f>
        <v>#N/A</v>
      </c>
      <c r="F693" s="5" t="e">
        <f ca="1">IF(OR(INDEX($AI$2:$AI$1001,MATCH(ROWS($AH$2:AH693),$AH$2:$AH$1001,0),1)&gt;=100000,INDEX($AO$1005:$BQ$1005,1,MATCH(COLUMNS($AO$1006:AS1006),$AO$1006:$BQ$1006,0))&gt;=100000), " ",IF(INDEX($AO$2:$BQ$1001,MATCH(ROWS($AH$2:AH693),$AH$2:$AH$1001,0),MATCH(COLUMNS($AO$1006:AS1006),$AO$1006:$BQ$1006,0)), HYPERLINK("#",""), HYPERLINK(CONCATENATE("#Metadata!", ADDRESS(INDEX($AJ$2:$AJ$1001,MATCH(ROWS($AH$2:AH693),$AH$2:$AH$1001,0),0), INDEX($AO$1004:$BQ$1004,1,MATCH(COLUMNS($AO$1006:AS1006),$AO$1006:$BQ$1006,0)))),"Fix")))</f>
        <v>#N/A</v>
      </c>
      <c r="G693" s="5" t="e">
        <f ca="1">IF(OR(INDEX($AI$2:$AI$1001,MATCH(ROWS($AH$2:AH693),$AH$2:$AH$1001,0),1)&gt;=100000,INDEX($AO$1005:$BQ$1005,1,MATCH(COLUMNS($AO$1006:AT1006),$AO$1006:$BQ$1006,0))&gt;=100000), " ",IF(INDEX($AO$2:$BQ$1001,MATCH(ROWS($AH$2:AH693),$AH$2:$AH$1001,0),MATCH(COLUMNS($AO$1006:AT1006),$AO$1006:$BQ$1006,0)), HYPERLINK("#",""), HYPERLINK(CONCATENATE("#Metadata!", ADDRESS(INDEX($AJ$2:$AJ$1001,MATCH(ROWS($AH$2:AH693),$AH$2:$AH$1001,0),0), INDEX($AO$1004:$BQ$1004,1,MATCH(COLUMNS($AO$1006:AT1006),$AO$1006:$BQ$1006,0)))),"Fix")))</f>
        <v>#N/A</v>
      </c>
      <c r="H693" s="5" t="e">
        <f ca="1">IF(OR(INDEX($AI$2:$AI$1001,MATCH(ROWS($AH$2:AH693),$AH$2:$AH$1001,0),1)&gt;=100000,INDEX($AO$1005:$BQ$1005,1,MATCH(COLUMNS($AO$1006:AU1006),$AO$1006:$BQ$1006,0))&gt;=100000), " ",IF(INDEX($AO$2:$BQ$1001,MATCH(ROWS($AH$2:AH693),$AH$2:$AH$1001,0),MATCH(COLUMNS($AO$1006:AU1006),$AO$1006:$BQ$1006,0)), HYPERLINK("#",""), HYPERLINK(CONCATENATE("#Metadata!", ADDRESS(INDEX($AJ$2:$AJ$1001,MATCH(ROWS($AH$2:AH693),$AH$2:$AH$1001,0),0), INDEX($AO$1004:$BQ$1004,1,MATCH(COLUMNS($AO$1006:AU1006),$AO$1006:$BQ$1006,0)))),"Fix")))</f>
        <v>#N/A</v>
      </c>
      <c r="I693" s="5" t="e">
        <f ca="1">IF(OR(INDEX($AI$2:$AI$1001,MATCH(ROWS($AH$2:AH693),$AH$2:$AH$1001,0),1)&gt;=100000,INDEX($AO$1005:$BQ$1005,1,MATCH(COLUMNS($AO$1006:AV1006),$AO$1006:$BQ$1006,0))&gt;=100000), " ",IF(INDEX($AO$2:$BQ$1001,MATCH(ROWS($AH$2:AH693),$AH$2:$AH$1001,0),MATCH(COLUMNS($AO$1006:AV1006),$AO$1006:$BQ$1006,0)), HYPERLINK("#",""), HYPERLINK(CONCATENATE("#Metadata!", ADDRESS(INDEX($AJ$2:$AJ$1001,MATCH(ROWS($AH$2:AH693),$AH$2:$AH$1001,0),0), INDEX($AO$1004:$BQ$1004,1,MATCH(COLUMNS($AO$1006:AV1006),$AO$1006:$BQ$1006,0)))),"Fix")))</f>
        <v>#N/A</v>
      </c>
      <c r="J693" s="5" t="e">
        <f ca="1">IF(OR(INDEX($AI$2:$AI$1001,MATCH(ROWS($AH$2:AH693),$AH$2:$AH$1001,0),1)&gt;=100000,INDEX($AO$1005:$BQ$1005,1,MATCH(COLUMNS($AO$1006:AW1006),$AO$1006:$BQ$1006,0))&gt;=100000), " ",IF(INDEX($AO$2:$BQ$1001,MATCH(ROWS($AH$2:AH693),$AH$2:$AH$1001,0),MATCH(COLUMNS($AO$1006:AW1006),$AO$1006:$BQ$1006,0)), HYPERLINK("#",""), HYPERLINK(CONCATENATE("#Metadata!", ADDRESS(INDEX($AJ$2:$AJ$1001,MATCH(ROWS($AH$2:AH693),$AH$2:$AH$1001,0),0), INDEX($AO$1004:$BQ$1004,1,MATCH(COLUMNS($AO$1006:AW1006),$AO$1006:$BQ$1006,0)))),"Fix")))</f>
        <v>#N/A</v>
      </c>
      <c r="K693" s="5" t="e">
        <f ca="1">IF(OR(INDEX($AI$2:$AI$1001,MATCH(ROWS($AH$2:AH693),$AH$2:$AH$1001,0),1)&gt;=100000,INDEX($AO$1005:$BQ$1005,1,MATCH(COLUMNS($AO$1006:AX1006),$AO$1006:$BQ$1006,0))&gt;=100000), " ",IF(INDEX($AO$2:$BQ$1001,MATCH(ROWS($AH$2:AH693),$AH$2:$AH$1001,0),MATCH(COLUMNS($AO$1006:AX1006),$AO$1006:$BQ$1006,0)), HYPERLINK("#",""), HYPERLINK(CONCATENATE("#Metadata!", ADDRESS(INDEX($AJ$2:$AJ$1001,MATCH(ROWS($AH$2:AH693),$AH$2:$AH$1001,0),0), INDEX($AO$1004:$BQ$1004,1,MATCH(COLUMNS($AO$1006:AX1006),$AO$1006:$BQ$1006,0)))),"Fix")))</f>
        <v>#N/A</v>
      </c>
      <c r="L693" s="5" t="e">
        <f ca="1">IF(OR(INDEX($AI$2:$AI$1001,MATCH(ROWS($AH$2:AH693),$AH$2:$AH$1001,0),1)&gt;=100000,INDEX($AO$1005:$BQ$1005,1,MATCH(COLUMNS($AO$1006:AY1006),$AO$1006:$BQ$1006,0))&gt;=100000), " ",IF(INDEX($AO$2:$BQ$1001,MATCH(ROWS($AH$2:AH693),$AH$2:$AH$1001,0),MATCH(COLUMNS($AO$1006:AY1006),$AO$1006:$BQ$1006,0)), HYPERLINK("#",""), HYPERLINK(CONCATENATE("#Metadata!", ADDRESS(INDEX($AJ$2:$AJ$1001,MATCH(ROWS($AH$2:AH693),$AH$2:$AH$1001,0),0), INDEX($AO$1004:$BQ$1004,1,MATCH(COLUMNS($AO$1006:AY1006),$AO$1006:$BQ$1006,0)))),"Fix")))</f>
        <v>#N/A</v>
      </c>
      <c r="M693" s="5" t="e">
        <f ca="1">IF(OR(INDEX($AI$2:$AI$1001,MATCH(ROWS($AH$2:AH693),$AH$2:$AH$1001,0),1)&gt;=100000,INDEX($AO$1005:$BQ$1005,1,MATCH(COLUMNS($AO$1006:AZ1006),$AO$1006:$BQ$1006,0))&gt;=100000), " ",IF(INDEX($AO$2:$BQ$1001,MATCH(ROWS($AH$2:AH693),$AH$2:$AH$1001,0),MATCH(COLUMNS($AO$1006:AZ1006),$AO$1006:$BQ$1006,0)), HYPERLINK("#",""), HYPERLINK(CONCATENATE("#Metadata!", ADDRESS(INDEX($AJ$2:$AJ$1001,MATCH(ROWS($AH$2:AH693),$AH$2:$AH$1001,0),0), INDEX($AO$1004:$BQ$1004,1,MATCH(COLUMNS($AO$1006:AZ1006),$AO$1006:$BQ$1006,0)))),"Fix")))</f>
        <v>#N/A</v>
      </c>
      <c r="N693" s="5" t="e">
        <f ca="1">IF(OR(INDEX($AI$2:$AI$1001,MATCH(ROWS($AH$2:AH693),$AH$2:$AH$1001,0),1)&gt;=100000,INDEX($AO$1005:$BQ$1005,1,MATCH(COLUMNS($AO$1006:BA1006),$AO$1006:$BQ$1006,0))&gt;=100000), " ",IF(INDEX($AO$2:$BQ$1001,MATCH(ROWS($AH$2:AH693),$AH$2:$AH$1001,0),MATCH(COLUMNS($AO$1006:BA1006),$AO$1006:$BQ$1006,0)), HYPERLINK("#",""), HYPERLINK(CONCATENATE("#Metadata!", ADDRESS(INDEX($AJ$2:$AJ$1001,MATCH(ROWS($AH$2:AH693),$AH$2:$AH$1001,0),0), INDEX($AO$1004:$BQ$1004,1,MATCH(COLUMNS($AO$1006:BA1006),$AO$1006:$BQ$1006,0)))),"Fix")))</f>
        <v>#N/A</v>
      </c>
      <c r="O693" s="5" t="e">
        <f ca="1">IF(OR(INDEX($AI$2:$AI$1001,MATCH(ROWS($AH$2:AH693),$AH$2:$AH$1001,0),1)&gt;=100000,INDEX($AO$1005:$BQ$1005,1,MATCH(COLUMNS($AO$1006:BB1006),$AO$1006:$BQ$1006,0))&gt;=100000), " ",IF(INDEX($AO$2:$BQ$1001,MATCH(ROWS($AH$2:AH693),$AH$2:$AH$1001,0),MATCH(COLUMNS($AO$1006:BB1006),$AO$1006:$BQ$1006,0)), HYPERLINK("#",""), HYPERLINK(CONCATENATE("#Metadata!", ADDRESS(INDEX($AJ$2:$AJ$1001,MATCH(ROWS($AH$2:AH693),$AH$2:$AH$1001,0),0), INDEX($AO$1004:$BQ$1004,1,MATCH(COLUMNS($AO$1006:BB1006),$AO$1006:$BQ$1006,0)))),"Fix")))</f>
        <v>#N/A</v>
      </c>
      <c r="P693" s="5" t="e">
        <f ca="1">IF(OR(INDEX($AI$2:$AI$1001,MATCH(ROWS($AH$2:AH693),$AH$2:$AH$1001,0),1)&gt;=100000,INDEX($AO$1005:$BQ$1005,1,MATCH(COLUMNS($AO$1006:BC1006),$AO$1006:$BQ$1006,0))&gt;=100000), " ",IF(INDEX($AO$2:$BQ$1001,MATCH(ROWS($AH$2:AH693),$AH$2:$AH$1001,0),MATCH(COLUMNS($AO$1006:BC1006),$AO$1006:$BQ$1006,0)), HYPERLINK("#",""), HYPERLINK(CONCATENATE("#Metadata!", ADDRESS(INDEX($AJ$2:$AJ$1001,MATCH(ROWS($AH$2:AH693),$AH$2:$AH$1001,0),0), INDEX($AO$1004:$BQ$1004,1,MATCH(COLUMNS($AO$1006:BC1006),$AO$1006:$BQ$1006,0)))),"Fix")))</f>
        <v>#N/A</v>
      </c>
      <c r="Q693" s="5" t="e">
        <f ca="1">IF(OR(INDEX($AI$2:$AI$1001,MATCH(ROWS($AH$2:AH693),$AH$2:$AH$1001,0),1)&gt;=100000,INDEX($AO$1005:$BQ$1005,1,MATCH(COLUMNS($AO$1006:BD1006),$AO$1006:$BQ$1006,0))&gt;=100000), " ",IF(INDEX($AO$2:$BQ$1001,MATCH(ROWS($AH$2:AH693),$AH$2:$AH$1001,0),MATCH(COLUMNS($AO$1006:BD1006),$AO$1006:$BQ$1006,0)), HYPERLINK("#",""), HYPERLINK(CONCATENATE("#Metadata!", ADDRESS(INDEX($AJ$2:$AJ$1001,MATCH(ROWS($AH$2:AH693),$AH$2:$AH$1001,0),0), INDEX($AO$1004:$BQ$1004,1,MATCH(COLUMNS($AO$1006:BD1006),$AO$1006:$BQ$1006,0)))),"Fix")))</f>
        <v>#N/A</v>
      </c>
      <c r="R693" s="5" t="e">
        <f ca="1">IF(OR(INDEX($AI$2:$AI$1001,MATCH(ROWS($AH$2:AH693),$AH$2:$AH$1001,0),1)&gt;=100000,INDEX($AO$1005:$BQ$1005,1,MATCH(COLUMNS($AO$1006:BE1006),$AO$1006:$BQ$1006,0))&gt;=100000), " ",IF(INDEX($AO$2:$BQ$1001,MATCH(ROWS($AH$2:AH693),$AH$2:$AH$1001,0),MATCH(COLUMNS($AO$1006:BE1006),$AO$1006:$BQ$1006,0)), HYPERLINK("#",""), HYPERLINK(CONCATENATE("#Metadata!", ADDRESS(INDEX($AJ$2:$AJ$1001,MATCH(ROWS($AH$2:AH693),$AH$2:$AH$1001,0),0), INDEX($AO$1004:$BQ$1004,1,MATCH(COLUMNS($AO$1006:BE1006),$AO$1006:$BQ$1006,0)))),"Fix")))</f>
        <v>#N/A</v>
      </c>
      <c r="S693" s="5" t="e">
        <f ca="1">IF(OR(INDEX($AI$2:$AI$1001,MATCH(ROWS($AH$2:AH693),$AH$2:$AH$1001,0),1)&gt;=100000,INDEX($AO$1005:$BQ$1005,1,MATCH(COLUMNS($AO$1006:BF1006),$AO$1006:$BQ$1006,0))&gt;=100000), " ",IF(INDEX($AO$2:$BQ$1001,MATCH(ROWS($AH$2:AH693),$AH$2:$AH$1001,0),MATCH(COLUMNS($AO$1006:BF1006),$AO$1006:$BQ$1006,0)), HYPERLINK("#",""), HYPERLINK(CONCATENATE("#Metadata!", ADDRESS(INDEX($AJ$2:$AJ$1001,MATCH(ROWS($AH$2:AH693),$AH$2:$AH$1001,0),0), INDEX($AO$1004:$BQ$1004,1,MATCH(COLUMNS($AO$1006:BF1006),$AO$1006:$BQ$1006,0)))),"Fix")))</f>
        <v>#N/A</v>
      </c>
      <c r="T693" s="5" t="e">
        <f ca="1">IF(OR(INDEX($AI$2:$AI$1001,MATCH(ROWS($AH$2:AH693),$AH$2:$AH$1001,0),1)&gt;=100000,INDEX($AO$1005:$BQ$1005,1,MATCH(COLUMNS($AO$1006:BG1006),$AO$1006:$BQ$1006,0))&gt;=100000), " ",IF(INDEX($AO$2:$BQ$1001,MATCH(ROWS($AH$2:AH693),$AH$2:$AH$1001,0),MATCH(COLUMNS($AO$1006:BG1006),$AO$1006:$BQ$1006,0)), HYPERLINK("#",""), HYPERLINK(CONCATENATE("#Metadata!", ADDRESS(INDEX($AJ$2:$AJ$1001,MATCH(ROWS($AH$2:AH693),$AH$2:$AH$1001,0),0), INDEX($AO$1004:$BQ$1004,1,MATCH(COLUMNS($AO$1006:BG1006),$AO$1006:$BQ$1006,0)))),"Fix")))</f>
        <v>#N/A</v>
      </c>
      <c r="U693" s="5" t="e">
        <f ca="1">IF(OR(INDEX($AI$2:$AI$1001,MATCH(ROWS($AH$2:AH693),$AH$2:$AH$1001,0),1)&gt;=100000,INDEX($AO$1005:$BQ$1005,1,MATCH(COLUMNS($AO$1006:BH1006),$AO$1006:$BQ$1006,0))&gt;=100000), " ",IF(INDEX($AO$2:$BQ$1001,MATCH(ROWS($AH$2:AH693),$AH$2:$AH$1001,0),MATCH(COLUMNS($AO$1006:BH1006),$AO$1006:$BQ$1006,0)), HYPERLINK("#",""), HYPERLINK(CONCATENATE("#Metadata!", ADDRESS(INDEX($AJ$2:$AJ$1001,MATCH(ROWS($AH$2:AH693),$AH$2:$AH$1001,0),0), INDEX($AO$1004:$BQ$1004,1,MATCH(COLUMNS($AO$1006:BH1006),$AO$1006:$BQ$1006,0)))),"Fix")))</f>
        <v>#N/A</v>
      </c>
      <c r="V693" s="5" t="e">
        <f ca="1">IF(OR(INDEX($AI$2:$AI$1001,MATCH(ROWS($AH$2:AH693),$AH$2:$AH$1001,0),1)&gt;=100000,INDEX($AO$1005:$BQ$1005,1,MATCH(COLUMNS($AO$1006:BI1006),$AO$1006:$BQ$1006,0))&gt;=100000), " ",IF(INDEX($AO$2:$BQ$1001,MATCH(ROWS($AH$2:AH693),$AH$2:$AH$1001,0),MATCH(COLUMNS($AO$1006:BI1006),$AO$1006:$BQ$1006,0)), HYPERLINK("#",""), HYPERLINK(CONCATENATE("#Metadata!", ADDRESS(INDEX($AJ$2:$AJ$1001,MATCH(ROWS($AH$2:AH693),$AH$2:$AH$1001,0),0), INDEX($AO$1004:$BQ$1004,1,MATCH(COLUMNS($AO$1006:BI1006),$AO$1006:$BQ$1006,0)))),"Fix")))</f>
        <v>#N/A</v>
      </c>
      <c r="W693" s="5" t="e">
        <f ca="1">IF(OR(INDEX($AI$2:$AI$1001,MATCH(ROWS($AH$2:AH693),$AH$2:$AH$1001,0),1)&gt;=100000,INDEX($AO$1005:$BQ$1005,1,MATCH(COLUMNS($AO$1006:BJ1006),$AO$1006:$BQ$1006,0))&gt;=100000), " ",IF(INDEX($AO$2:$BQ$1001,MATCH(ROWS($AH$2:AH693),$AH$2:$AH$1001,0),MATCH(COLUMNS($AO$1006:BJ1006),$AO$1006:$BQ$1006,0)), HYPERLINK("#",""), HYPERLINK(CONCATENATE("#Metadata!", ADDRESS(INDEX($AJ$2:$AJ$1001,MATCH(ROWS($AH$2:AH693),$AH$2:$AH$1001,0),0), INDEX($AO$1004:$BQ$1004,1,MATCH(COLUMNS($AO$1006:BJ1006),$AO$1006:$BQ$1006,0)))),"Fix")))</f>
        <v>#N/A</v>
      </c>
      <c r="X693" s="5" t="e">
        <f ca="1">IF(OR(INDEX($AI$2:$AI$1001,MATCH(ROWS($AH$2:AH693),$AH$2:$AH$1001,0),1)&gt;=100000,INDEX($AO$1005:$BQ$1005,1,MATCH(COLUMNS($AO$1006:BK1006),$AO$1006:$BQ$1006,0))&gt;=100000), " ",IF(INDEX($AO$2:$BQ$1001,MATCH(ROWS($AH$2:AH693),$AH$2:$AH$1001,0),MATCH(COLUMNS($AO$1006:BK1006),$AO$1006:$BQ$1006,0)), HYPERLINK("#",""), HYPERLINK(CONCATENATE("#Metadata!", ADDRESS(INDEX($AJ$2:$AJ$1001,MATCH(ROWS($AH$2:AH693),$AH$2:$AH$1001,0),0), INDEX($AO$1004:$BQ$1004,1,MATCH(COLUMNS($AO$1006:BK1006),$AO$1006:$BQ$1006,0)))),"Fix")))</f>
        <v>#N/A</v>
      </c>
      <c r="Y693" s="5" t="e">
        <f ca="1">IF(OR(INDEX($AI$2:$AI$1001,MATCH(ROWS($AH$2:AH693),$AH$2:$AH$1001,0),1)&gt;=100000,INDEX($AO$1005:$BQ$1005,1,MATCH(COLUMNS($AO$1006:BL1006),$AO$1006:$BQ$1006,0))&gt;=100000), " ",IF(INDEX($AO$2:$BQ$1001,MATCH(ROWS($AH$2:AH693),$AH$2:$AH$1001,0),MATCH(COLUMNS($AO$1006:BL1006),$AO$1006:$BQ$1006,0)), HYPERLINK("#",""), HYPERLINK(CONCATENATE("#Metadata!", ADDRESS(INDEX($AJ$2:$AJ$1001,MATCH(ROWS($AH$2:AH693),$AH$2:$AH$1001,0),0), INDEX($AO$1004:$BQ$1004,1,MATCH(COLUMNS($AO$1006:BL1006),$AO$1006:$BQ$1006,0)))),"Fix")))</f>
        <v>#N/A</v>
      </c>
      <c r="Z693" s="5" t="e">
        <f ca="1">IF(OR(INDEX($AI$2:$AI$1001,MATCH(ROWS($AH$2:AH693),$AH$2:$AH$1001,0),1)&gt;=100000,INDEX($AO$1005:$BQ$1005,1,MATCH(COLUMNS($AO$1006:BM1006),$AO$1006:$BQ$1006,0))&gt;=100000), " ",IF(INDEX($AO$2:$BQ$1001,MATCH(ROWS($AH$2:AH693),$AH$2:$AH$1001,0),MATCH(COLUMNS($AO$1006:BM1006),$AO$1006:$BQ$1006,0)), HYPERLINK("#",""), HYPERLINK(CONCATENATE("#Metadata!", ADDRESS(INDEX($AJ$2:$AJ$1001,MATCH(ROWS($AH$2:AH693),$AH$2:$AH$1001,0),0), INDEX($AO$1004:$BQ$1004,1,MATCH(COLUMNS($AO$1006:BM1006),$AO$1006:$BQ$1006,0)))),"Fix")))</f>
        <v>#N/A</v>
      </c>
      <c r="AA693" s="5" t="e">
        <f ca="1">IF(OR(INDEX($AI$2:$AI$1001,MATCH(ROWS($AH$2:AH693),$AH$2:$AH$1001,0),1)&gt;=100000,INDEX($AO$1005:$BQ$1005,1,MATCH(COLUMNS($AO$1006:BN1006),$AO$1006:$BQ$1006,0))&gt;=100000), " ",IF(INDEX($AO$2:$BQ$1001,MATCH(ROWS($AH$2:AH693),$AH$2:$AH$1001,0),MATCH(COLUMNS($AO$1006:BN1006),$AO$1006:$BQ$1006,0)), HYPERLINK("#",""), HYPERLINK(CONCATENATE("#Metadata!", ADDRESS(INDEX($AJ$2:$AJ$1001,MATCH(ROWS($AH$2:AH693),$AH$2:$AH$1001,0),0), INDEX($AO$1004:$BQ$1004,1,MATCH(COLUMNS($AO$1006:BN1006),$AO$1006:$BQ$1006,0)))),"Fix")))</f>
        <v>#N/A</v>
      </c>
      <c r="AB693" s="5" t="e">
        <f ca="1">IF(OR(INDEX($AI$2:$AI$1001,MATCH(ROWS($AH$2:AH693),$AH$2:$AH$1001,0),1)&gt;=100000,INDEX($AO$1005:$BQ$1005,1,MATCH(COLUMNS($AO$1006:BO1006),$AO$1006:$BQ$1006,0))&gt;=100000), " ",IF(INDEX($AO$2:$BQ$1001,MATCH(ROWS($AH$2:AH693),$AH$2:$AH$1001,0),MATCH(COLUMNS($AO$1006:BO1006),$AO$1006:$BQ$1006,0)), HYPERLINK("#",""), HYPERLINK(CONCATENATE("#Metadata!", ADDRESS(INDEX($AJ$2:$AJ$1001,MATCH(ROWS($AH$2:AH693),$AH$2:$AH$1001,0),0), INDEX($AO$1004:$BQ$1004,1,MATCH(COLUMNS($AO$1006:BO1006),$AO$1006:$BQ$1006,0)))),"Fix")))</f>
        <v>#N/A</v>
      </c>
      <c r="AC693" s="5" t="e">
        <f ca="1">IF(OR(INDEX($AI$2:$AI$1001,MATCH(ROWS($AH$2:AH693),$AH$2:$AH$1001,0),1)&gt;=100000,INDEX($AO$1005:$BQ$1005,1,MATCH(COLUMNS($AO$1006:BP1006),$AO$1006:$BQ$1006,0))&gt;=100000), " ",IF(INDEX($AO$2:$BQ$1001,MATCH(ROWS($AH$2:AH693),$AH$2:$AH$1001,0),MATCH(COLUMNS($AO$1006:BP1006),$AO$1006:$BQ$1006,0)), HYPERLINK("#",""), HYPERLINK(CONCATENATE("#Metadata!", ADDRESS(INDEX($AJ$2:$AJ$1001,MATCH(ROWS($AH$2:AH693),$AH$2:$AH$1001,0),0), INDEX($AO$1004:$BQ$1004,1,MATCH(COLUMNS($AO$1006:BP1006),$AO$1006:$BQ$1006,0)))),"Fix")))</f>
        <v>#N/A</v>
      </c>
      <c r="AD693" s="5" t="e">
        <f ca="1">IF(OR(INDEX($AI$2:$AI$1001,MATCH(ROWS($AH$2:AH693),$AH$2:$AH$1001,0),1)&gt;=100000,INDEX($AO$1005:$BQ$1005,1,MATCH(COLUMNS($AO$1006:BQ1006),$AO$1006:$BQ$1006,0))&gt;=100000), " ",IF(INDEX($AO$2:$BQ$1001,MATCH(ROWS($AH$2:AH693),$AH$2:$AH$1001,0),MATCH(COLUMNS($AO$1006:BQ1006),$AO$1006:$BQ$1006,0)), HYPERLINK("#",""), HYPERLINK(CONCATENATE("#Metadata!", ADDRESS(INDEX($AJ$2:$AJ$1001,MATCH(ROWS($AH$2:AH693),$AH$2:$AH$1001,0),0), INDEX($AO$1004:$BQ$1004,1,MATCH(COLUMNS($AO$1006:BQ1006),$AO$1006:$BQ$1006,0)))),"Fix")))</f>
        <v>#REF!</v>
      </c>
      <c r="AH693">
        <f ca="1"/>
        <v>690</v>
      </c>
      <c r="AI693">
        <v>100693</v>
      </c>
      <c r="AJ693">
        <v>693</v>
      </c>
      <c r="AK693" t="b">
        <f t="shared" si="10"/>
        <v>1</v>
      </c>
      <c r="AL693" t="b">
        <f>COUNTBLANK(Metadata!B693:AD693)=COLUMNS(Metadata!B693:AD693)</f>
        <v>1</v>
      </c>
      <c r="AM693" t="str">
        <v/>
      </c>
      <c r="AO693" t="b">
        <f ca="1">AND(IF(Metadata!B693="",FALSE,TRUE),COUNTIF(Metadata!B:B, Metadata!B693) = 1,NOT(ISERROR(SUMPRODUCT(SEARCH(MID(Metadata!B693,ROW(INDIRECT("1:"&amp;LEN(Metadata!B693))), 1),"0123456789abcdefghijklmnopqrstuvwxyzABCDEFGHIJKLMNOPQRSTUVWXYZ.")))))</f>
        <v>0</v>
      </c>
      <c r="AP693" t="b">
        <f>IF(Metadata!C693="",FALSE,TRUE)</f>
        <v>0</v>
      </c>
      <c r="AQ693" t="b">
        <f>IF(Metadata!D693="",FALSE,TRUE)</f>
        <v>0</v>
      </c>
      <c r="AR693" t="b">
        <f ca="1">OR(AND(IF(Metadata!E693="",FALSE,TRUE),OR(EXACT(Metadata!E693,"not collected"),EXACT(Metadata!E693,"not provided"),EXACT(Metadata!E693,"restricted access"))),AND(IF(Metadata!E693="",FALSE,TRUE),AND(AND(IFERROR(INT(LEFT(Metadata!E693,4))&gt;1900,FALSE),IFERROR(INT(LEFT(Metadata!E693,4))&lt;=YEAR(NOW()),FALSE)), OR(MID(Metadata!E693,5,1)="", AND(AND(MID(Metadata!E693,5,1)="-",IFERROR(INT(MID(Metadata!E693,6,1))&gt;=0,FALSE),IFERROR(INT(MID(Metadata!E693,6,1))&lt;=1,FALSE),NOT(MID(Metadata!E693,7,1)=""),IFERROR(INT(MID(Metadata!E693,6,2))&gt;=1,FALSE),IFERROR(INT(MID(Metadata!E693,6,2))&lt;=12,FALSE)), OR(MID(Metadata!E693,8,1)="", AND(AND(MID(Metadata!E693,8,1)="-",IFERROR(INT(MID(Metadata!E693,9,1))&gt;=0,FALSE),IFERROR(INT(MID(Metadata!E693,9,1))&lt;=3,FALSE),NOT(MID(Metadata!E693,10,1)=""),IFERROR(INT(MID(Metadata!E693,9,2))&gt;=1,FALSE),IFERROR(INT(MID(Metadata!E693,9,2))&lt;=31,FALSE)), OR(MID(Metadata!E693,11,1)="", AND(AND(MID(Metadata!E693,11,1)=" ",IFERROR(INT(MID(Metadata!E693,12,1))&gt;=0,FALSE),IFERROR(INT(MID(Metadata!E693,12,1))&lt;=2,FALSE),NOT(MID(Metadata!E693,13,1)=""),IFERROR(INT(MID(Metadata!E693,12,2))&gt;=0,FALSE),IFERROR(INT(MID(Metadata!E693,12,2))&lt;=23,FALSE)), OR(MID(Metadata!E693,14,1)="", AND(AND(MID(Metadata!E693,14,1)=":",IFERROR(INT(MID(Metadata!E693,15,1))&gt;=0,FALSE),IFERROR(INT(MID(Metadata!E693,15,1))&lt;=5,FALSE),NOT(MID(Metadata!E693,16,1)=""),IFERROR(INT(MID(Metadata!E693,15,2))&gt;=0,FALSE),IFERROR(INT(MID(Metadata!E693,15,2))&lt;=59,FALSE)), OR(MID(Metadata!E693,17,1)="", AND(AND(MID(Metadata!E693,17,1)=":",IFERROR(INT(MID(Metadata!E693,18,1))&gt;=0,FALSE),IFERROR(INT(MID(Metadata!E693,18,1))&lt;=5,FALSE),NOT(MID(Metadata!E693,19,1)=""),IFERROR(INT(MID(Metadata!E693,18,2))&gt;=0,FALSE),IFERROR(INT(MID(Metadata!E693,18,2))&lt;=59,FALSE)), LEN(Metadata!E693)&lt;=19)))))))))))))</f>
        <v>0</v>
      </c>
      <c r="AS693" t="b">
        <f>IF(Metadata!F693="",FALSE,TRUE)</f>
        <v>0</v>
      </c>
      <c r="AT693" t="b">
        <f>OR(AND(IF(Metadata!G693="",FALSE,TRUE),OR(EXACT(Metadata!G693,"not collected"),EXACT(Metadata!G693,"not provided"))),AND(IF(Metadata!G693="",FALSE,TRUE),OR(EXACT(Metadata!G693,"TRUE"),EXACT(Metadata!G693,"FALSE"))))</f>
        <v>0</v>
      </c>
      <c r="AU693" t="b">
        <f>OR(AND(IF(Metadata!H693="",FALSE,TRUE),OR(EXACT(Metadata!H693,"not collected"),EXACT(Metadata!H693,"not provided"),EXACT(Metadata!H693,"restricted access"))),AND(IF(Metadata!H693="",FALSE,ISNUMBER(VALUE(Metadata!H693))),Metadata!H693&gt;=-413))</f>
        <v>0</v>
      </c>
      <c r="AV693" t="b">
        <f>AND(IF(Metadata!I693="",FALSE,TRUE),EXACT(Metadata!I693,"meters"))</f>
        <v>0</v>
      </c>
      <c r="AW693" t="b">
        <f>AND(IF(Metadata!J693="",FALSE,TRUE),EXACT(Metadata!J693,"free-living"))</f>
        <v>0</v>
      </c>
      <c r="AX693" t="b">
        <f>AND(IF(Metadata!K693="",FALSE,TRUE),OR(EXACT(Metadata!K693,"saline"),EXACT(Metadata!K693,"non-saline")))</f>
        <v>0</v>
      </c>
      <c r="AY693" t="b">
        <f>AND(IF(Metadata!L693="",FALSE,TRUE),OR(EXACT(Metadata!L693,"sub-surface (non-saline)"),EXACT(Metadata!L693,"surface (non-saline)"),EXACT(Metadata!L693,"water (non-saline)"),EXACT(Metadata!L693,"soil (non-saline)"),EXACT(Metadata!L693,"aerosol (non-saline)"),EXACT(Metadata!L693,"sediment (non-saline)"),EXACT(Metadata!L693,"surface (saline)"),EXACT(Metadata!L693,"water (saline)"),EXACT(Metadata!L693,"hypersaline (saline)"),EXACT(Metadata!L693,"aerosol (saline)"),EXACT(Metadata!L693,"sediment (saline)")))</f>
        <v>0</v>
      </c>
      <c r="AZ693" t="b">
        <f>IF(Metadata!M693="",FALSE,TRUE)</f>
        <v>0</v>
      </c>
      <c r="BA693" t="b">
        <f>IF(Metadata!N693="",FALSE,TRUE)</f>
        <v>0</v>
      </c>
      <c r="BB693" t="b">
        <f>IF(Metadata!O693="",FALSE,TRUE)</f>
        <v>0</v>
      </c>
      <c r="BC693" t="b">
        <f>AND(IF(Metadata!P693="",FALSE,TRUE),OR(EXACT(Metadata!P693,"air"),EXACT(Metadata!P693,"microbial mat/biofilm"),EXACT(Metadata!P693,"misc environment"),EXACT(Metadata!P693,"sediment"),EXACT(Metadata!P693,"soil"),EXACT(Metadata!P693,"wastewater/sludge"),EXACT(Metadata!P693,"water")))</f>
        <v>0</v>
      </c>
      <c r="BD693" t="b">
        <f>IF(Metadata!Q693="",FALSE,TRUE)</f>
        <v>0</v>
      </c>
      <c r="BE693" t="b">
        <f>IF(Metadata!R693="",FALSE,TRUE)</f>
        <v>0</v>
      </c>
      <c r="BF693" t="b">
        <f>OR(AND(IF(Metadata!S693="",FALSE,TRUE),OR(EXACT(Metadata!S693,"not collected"),EXACT(Metadata!S693,"not provided"),EXACT(Metadata!S693,"restricted access"))),AND(IF(Metadata!S693="",FALSE,ISNUMBER(VALUE(Metadata!S693))),Metadata!S693&gt;=-90,Metadata!S693&lt;=90))</f>
        <v>0</v>
      </c>
      <c r="BG693" t="b">
        <f>AND(IF(Metadata!T693="",FALSE,TRUE),EXACT(Metadata!T693,"Decimal degrees"))</f>
        <v>0</v>
      </c>
      <c r="BH693" t="b">
        <f>OR(AND(IF(Metadata!U693="",FALSE,TRUE),OR(EXACT(Metadata!U693,"not applicable"),EXACT(Metadata!U693,"not collected"))),IF(Metadata!U693="",FALSE,TRUE))</f>
        <v>0</v>
      </c>
      <c r="BI693" t="b">
        <f>OR(AND(IF(Metadata!V693="",FALSE,TRUE),OR(EXACT(Metadata!V693,"not collected"),EXACT(Metadata!V693,"not provided"),EXACT(Metadata!V693,"restricted access"))),AND(IF(Metadata!V693="",FALSE,ISNUMBER(VALUE(Metadata!V693))),Metadata!V693&gt;=-180,Metadata!V693&lt;=180))</f>
        <v>0</v>
      </c>
      <c r="BJ693" t="b">
        <f>AND(IF(Metadata!W693="",FALSE,TRUE),EXACT(Metadata!W693,"Decimal degrees"))</f>
        <v>0</v>
      </c>
      <c r="BK693" t="b">
        <f>IF(Metadata!X693="",FALSE,TRUE)</f>
        <v>0</v>
      </c>
      <c r="BL693" t="b">
        <f>OR(AND(IF(Metadata!Y693="",FALSE,TRUE),OR(EXACT(Metadata!Y693,"not collected"),EXACT(Metadata!Y693,"not provided"),EXACT(Metadata!Y693,"restricted access"))),AND(IF(Metadata!Y693="",FALSE,TRUE),OR(EXACT(Metadata!Y693,"TRUE"),EXACT(Metadata!Y693,"FALSE"))))</f>
        <v>0</v>
      </c>
      <c r="BM693" t="b">
        <f>OR(AND(IF(Metadata!Z693="",FALSE,TRUE),EXACT(Metadata!Z693,"not applicable")),AND(IF(Metadata!Z693="",FALSE,TRUE),OR(EXACT(Metadata!Z693,"beer"),EXACT(Metadata!Z693,"cheese"),EXACT(Metadata!Z693,"fresh water"),EXACT(Metadata!Z693,"marine sediment"),EXACT(Metadata!Z693,"sea water"),EXACT(Metadata!Z693,"sediment"),EXACT(Metadata!Z693,"soil"),EXACT(Metadata!Z693,"waste water"))))</f>
        <v>0</v>
      </c>
      <c r="BN693" t="b">
        <f>AND(IF(Metadata!AA693="",FALSE,TRUE),EXACT(Metadata!AA693,"metagenome"))</f>
        <v>0</v>
      </c>
      <c r="BO693" t="b">
        <f>AND(IF(Metadata!AB693="",FALSE,TRUE),EXACT(Metadata!AB693,"256318"))</f>
        <v>0</v>
      </c>
      <c r="BP693" t="b">
        <f>IF(Metadata!AC693="",FALSE,TRUE)</f>
        <v>0</v>
      </c>
      <c r="BQ693" t="b">
        <f>IF(Metadata!AD693="",FALSE,TRUE)</f>
        <v>0</v>
      </c>
    </row>
    <row r="694" spans="1:69" x14ac:dyDescent="0.2">
      <c r="A694" s="4" t="e">
        <f ca="1">IF(B694=" "," ",HYPERLINK(CONCATENATE("#metadata!",ADDRESS(INDEX($AJ$2:$AJ$1001,MATCH(ROWS($AH$2:AH694),$AH$2:$AH$1001,0),0),2)),INDEX($AM$2:$AM$1001,MATCH(ROWS($AH$2:AH694),$AH$2:$AH$1001,0),0)))</f>
        <v>#N/A</v>
      </c>
      <c r="B694" s="5" t="e">
        <f ca="1">IF(OR(INDEX($AI$2:$AI$1001,MATCH(ROWS($AH$2:AH694),$AH$2:$AH$1001,0),1)&gt;=100000,INDEX($AO$1005:$BQ$1005,1,MATCH(COLUMNS($AO$1006:AO1006),$AO$1006:$BQ$1006,0))&gt;=100000), " ",IF(INDEX($AO$2:$BQ$1001,MATCH(ROWS($AH$2:AH694),$AH$2:$AH$1001,0),MATCH(COLUMNS($AO$1006:AO1006),$AO$1006:$BQ$1006,0)), HYPERLINK("#",""), HYPERLINK(CONCATENATE("#Metadata!", ADDRESS(INDEX($AJ$2:$AJ$1001,MATCH(ROWS($AH$2:AH694),$AH$2:$AH$1001,0),0), INDEX($AO$1004:$BQ$1004,1,MATCH(COLUMNS($AO$1006:AO1006),$AO$1006:$BQ$1006,0)))),"Fix")))</f>
        <v>#N/A</v>
      </c>
      <c r="C694" s="5" t="e">
        <f ca="1">IF(OR(INDEX($AI$2:$AI$1001,MATCH(ROWS($AH$2:AH694),$AH$2:$AH$1001,0),1)&gt;=100000,INDEX($AO$1005:$BQ$1005,1,MATCH(COLUMNS($AO$1006:AP1006),$AO$1006:$BQ$1006,0))&gt;=100000), " ",IF(INDEX($AO$2:$BQ$1001,MATCH(ROWS($AH$2:AH694),$AH$2:$AH$1001,0),MATCH(COLUMNS($AO$1006:AP1006),$AO$1006:$BQ$1006,0)), HYPERLINK("#",""), HYPERLINK(CONCATENATE("#Metadata!", ADDRESS(INDEX($AJ$2:$AJ$1001,MATCH(ROWS($AH$2:AH694),$AH$2:$AH$1001,0),0), INDEX($AO$1004:$BQ$1004,1,MATCH(COLUMNS($AO$1006:AP1006),$AO$1006:$BQ$1006,0)))),"Fix")))</f>
        <v>#N/A</v>
      </c>
      <c r="D694" s="5" t="e">
        <f ca="1">IF(OR(INDEX($AI$2:$AI$1001,MATCH(ROWS($AH$2:AH694),$AH$2:$AH$1001,0),1)&gt;=100000,INDEX($AO$1005:$BQ$1005,1,MATCH(COLUMNS($AO$1006:AQ1006),$AO$1006:$BQ$1006,0))&gt;=100000), " ",IF(INDEX($AO$2:$BQ$1001,MATCH(ROWS($AH$2:AH694),$AH$2:$AH$1001,0),MATCH(COLUMNS($AO$1006:AQ1006),$AO$1006:$BQ$1006,0)), HYPERLINK("#",""), HYPERLINK(CONCATENATE("#Metadata!", ADDRESS(INDEX($AJ$2:$AJ$1001,MATCH(ROWS($AH$2:AH694),$AH$2:$AH$1001,0),0), INDEX($AO$1004:$BQ$1004,1,MATCH(COLUMNS($AO$1006:AQ1006),$AO$1006:$BQ$1006,0)))),"Fix")))</f>
        <v>#N/A</v>
      </c>
      <c r="E694" s="5" t="e">
        <f ca="1">IF(OR(INDEX($AI$2:$AI$1001,MATCH(ROWS($AH$2:AH694),$AH$2:$AH$1001,0),1)&gt;=100000,INDEX($AO$1005:$BQ$1005,1,MATCH(COLUMNS($AO$1006:AR1006),$AO$1006:$BQ$1006,0))&gt;=100000), " ",IF(INDEX($AO$2:$BQ$1001,MATCH(ROWS($AH$2:AH694),$AH$2:$AH$1001,0),MATCH(COLUMNS($AO$1006:AR1006),$AO$1006:$BQ$1006,0)), HYPERLINK("#",""), HYPERLINK(CONCATENATE("#Metadata!", ADDRESS(INDEX($AJ$2:$AJ$1001,MATCH(ROWS($AH$2:AH694),$AH$2:$AH$1001,0),0), INDEX($AO$1004:$BQ$1004,1,MATCH(COLUMNS($AO$1006:AR1006),$AO$1006:$BQ$1006,0)))),"Fix")))</f>
        <v>#N/A</v>
      </c>
      <c r="F694" s="5" t="e">
        <f ca="1">IF(OR(INDEX($AI$2:$AI$1001,MATCH(ROWS($AH$2:AH694),$AH$2:$AH$1001,0),1)&gt;=100000,INDEX($AO$1005:$BQ$1005,1,MATCH(COLUMNS($AO$1006:AS1006),$AO$1006:$BQ$1006,0))&gt;=100000), " ",IF(INDEX($AO$2:$BQ$1001,MATCH(ROWS($AH$2:AH694),$AH$2:$AH$1001,0),MATCH(COLUMNS($AO$1006:AS1006),$AO$1006:$BQ$1006,0)), HYPERLINK("#",""), HYPERLINK(CONCATENATE("#Metadata!", ADDRESS(INDEX($AJ$2:$AJ$1001,MATCH(ROWS($AH$2:AH694),$AH$2:$AH$1001,0),0), INDEX($AO$1004:$BQ$1004,1,MATCH(COLUMNS($AO$1006:AS1006),$AO$1006:$BQ$1006,0)))),"Fix")))</f>
        <v>#N/A</v>
      </c>
      <c r="G694" s="5" t="e">
        <f ca="1">IF(OR(INDEX($AI$2:$AI$1001,MATCH(ROWS($AH$2:AH694),$AH$2:$AH$1001,0),1)&gt;=100000,INDEX($AO$1005:$BQ$1005,1,MATCH(COLUMNS($AO$1006:AT1006),$AO$1006:$BQ$1006,0))&gt;=100000), " ",IF(INDEX($AO$2:$BQ$1001,MATCH(ROWS($AH$2:AH694),$AH$2:$AH$1001,0),MATCH(COLUMNS($AO$1006:AT1006),$AO$1006:$BQ$1006,0)), HYPERLINK("#",""), HYPERLINK(CONCATENATE("#Metadata!", ADDRESS(INDEX($AJ$2:$AJ$1001,MATCH(ROWS($AH$2:AH694),$AH$2:$AH$1001,0),0), INDEX($AO$1004:$BQ$1004,1,MATCH(COLUMNS($AO$1006:AT1006),$AO$1006:$BQ$1006,0)))),"Fix")))</f>
        <v>#N/A</v>
      </c>
      <c r="H694" s="5" t="e">
        <f ca="1">IF(OR(INDEX($AI$2:$AI$1001,MATCH(ROWS($AH$2:AH694),$AH$2:$AH$1001,0),1)&gt;=100000,INDEX($AO$1005:$BQ$1005,1,MATCH(COLUMNS($AO$1006:AU1006),$AO$1006:$BQ$1006,0))&gt;=100000), " ",IF(INDEX($AO$2:$BQ$1001,MATCH(ROWS($AH$2:AH694),$AH$2:$AH$1001,0),MATCH(COLUMNS($AO$1006:AU1006),$AO$1006:$BQ$1006,0)), HYPERLINK("#",""), HYPERLINK(CONCATENATE("#Metadata!", ADDRESS(INDEX($AJ$2:$AJ$1001,MATCH(ROWS($AH$2:AH694),$AH$2:$AH$1001,0),0), INDEX($AO$1004:$BQ$1004,1,MATCH(COLUMNS($AO$1006:AU1006),$AO$1006:$BQ$1006,0)))),"Fix")))</f>
        <v>#N/A</v>
      </c>
      <c r="I694" s="5" t="e">
        <f ca="1">IF(OR(INDEX($AI$2:$AI$1001,MATCH(ROWS($AH$2:AH694),$AH$2:$AH$1001,0),1)&gt;=100000,INDEX($AO$1005:$BQ$1005,1,MATCH(COLUMNS($AO$1006:AV1006),$AO$1006:$BQ$1006,0))&gt;=100000), " ",IF(INDEX($AO$2:$BQ$1001,MATCH(ROWS($AH$2:AH694),$AH$2:$AH$1001,0),MATCH(COLUMNS($AO$1006:AV1006),$AO$1006:$BQ$1006,0)), HYPERLINK("#",""), HYPERLINK(CONCATENATE("#Metadata!", ADDRESS(INDEX($AJ$2:$AJ$1001,MATCH(ROWS($AH$2:AH694),$AH$2:$AH$1001,0),0), INDEX($AO$1004:$BQ$1004,1,MATCH(COLUMNS($AO$1006:AV1006),$AO$1006:$BQ$1006,0)))),"Fix")))</f>
        <v>#N/A</v>
      </c>
      <c r="J694" s="5" t="e">
        <f ca="1">IF(OR(INDEX($AI$2:$AI$1001,MATCH(ROWS($AH$2:AH694),$AH$2:$AH$1001,0),1)&gt;=100000,INDEX($AO$1005:$BQ$1005,1,MATCH(COLUMNS($AO$1006:AW1006),$AO$1006:$BQ$1006,0))&gt;=100000), " ",IF(INDEX($AO$2:$BQ$1001,MATCH(ROWS($AH$2:AH694),$AH$2:$AH$1001,0),MATCH(COLUMNS($AO$1006:AW1006),$AO$1006:$BQ$1006,0)), HYPERLINK("#",""), HYPERLINK(CONCATENATE("#Metadata!", ADDRESS(INDEX($AJ$2:$AJ$1001,MATCH(ROWS($AH$2:AH694),$AH$2:$AH$1001,0),0), INDEX($AO$1004:$BQ$1004,1,MATCH(COLUMNS($AO$1006:AW1006),$AO$1006:$BQ$1006,0)))),"Fix")))</f>
        <v>#N/A</v>
      </c>
      <c r="K694" s="5" t="e">
        <f ca="1">IF(OR(INDEX($AI$2:$AI$1001,MATCH(ROWS($AH$2:AH694),$AH$2:$AH$1001,0),1)&gt;=100000,INDEX($AO$1005:$BQ$1005,1,MATCH(COLUMNS($AO$1006:AX1006),$AO$1006:$BQ$1006,0))&gt;=100000), " ",IF(INDEX($AO$2:$BQ$1001,MATCH(ROWS($AH$2:AH694),$AH$2:$AH$1001,0),MATCH(COLUMNS($AO$1006:AX1006),$AO$1006:$BQ$1006,0)), HYPERLINK("#",""), HYPERLINK(CONCATENATE("#Metadata!", ADDRESS(INDEX($AJ$2:$AJ$1001,MATCH(ROWS($AH$2:AH694),$AH$2:$AH$1001,0),0), INDEX($AO$1004:$BQ$1004,1,MATCH(COLUMNS($AO$1006:AX1006),$AO$1006:$BQ$1006,0)))),"Fix")))</f>
        <v>#N/A</v>
      </c>
      <c r="L694" s="5" t="e">
        <f ca="1">IF(OR(INDEX($AI$2:$AI$1001,MATCH(ROWS($AH$2:AH694),$AH$2:$AH$1001,0),1)&gt;=100000,INDEX($AO$1005:$BQ$1005,1,MATCH(COLUMNS($AO$1006:AY1006),$AO$1006:$BQ$1006,0))&gt;=100000), " ",IF(INDEX($AO$2:$BQ$1001,MATCH(ROWS($AH$2:AH694),$AH$2:$AH$1001,0),MATCH(COLUMNS($AO$1006:AY1006),$AO$1006:$BQ$1006,0)), HYPERLINK("#",""), HYPERLINK(CONCATENATE("#Metadata!", ADDRESS(INDEX($AJ$2:$AJ$1001,MATCH(ROWS($AH$2:AH694),$AH$2:$AH$1001,0),0), INDEX($AO$1004:$BQ$1004,1,MATCH(COLUMNS($AO$1006:AY1006),$AO$1006:$BQ$1006,0)))),"Fix")))</f>
        <v>#N/A</v>
      </c>
      <c r="M694" s="5" t="e">
        <f ca="1">IF(OR(INDEX($AI$2:$AI$1001,MATCH(ROWS($AH$2:AH694),$AH$2:$AH$1001,0),1)&gt;=100000,INDEX($AO$1005:$BQ$1005,1,MATCH(COLUMNS($AO$1006:AZ1006),$AO$1006:$BQ$1006,0))&gt;=100000), " ",IF(INDEX($AO$2:$BQ$1001,MATCH(ROWS($AH$2:AH694),$AH$2:$AH$1001,0),MATCH(COLUMNS($AO$1006:AZ1006),$AO$1006:$BQ$1006,0)), HYPERLINK("#",""), HYPERLINK(CONCATENATE("#Metadata!", ADDRESS(INDEX($AJ$2:$AJ$1001,MATCH(ROWS($AH$2:AH694),$AH$2:$AH$1001,0),0), INDEX($AO$1004:$BQ$1004,1,MATCH(COLUMNS($AO$1006:AZ1006),$AO$1006:$BQ$1006,0)))),"Fix")))</f>
        <v>#N/A</v>
      </c>
      <c r="N694" s="5" t="e">
        <f ca="1">IF(OR(INDEX($AI$2:$AI$1001,MATCH(ROWS($AH$2:AH694),$AH$2:$AH$1001,0),1)&gt;=100000,INDEX($AO$1005:$BQ$1005,1,MATCH(COLUMNS($AO$1006:BA1006),$AO$1006:$BQ$1006,0))&gt;=100000), " ",IF(INDEX($AO$2:$BQ$1001,MATCH(ROWS($AH$2:AH694),$AH$2:$AH$1001,0),MATCH(COLUMNS($AO$1006:BA1006),$AO$1006:$BQ$1006,0)), HYPERLINK("#",""), HYPERLINK(CONCATENATE("#Metadata!", ADDRESS(INDEX($AJ$2:$AJ$1001,MATCH(ROWS($AH$2:AH694),$AH$2:$AH$1001,0),0), INDEX($AO$1004:$BQ$1004,1,MATCH(COLUMNS($AO$1006:BA1006),$AO$1006:$BQ$1006,0)))),"Fix")))</f>
        <v>#N/A</v>
      </c>
      <c r="O694" s="5" t="e">
        <f ca="1">IF(OR(INDEX($AI$2:$AI$1001,MATCH(ROWS($AH$2:AH694),$AH$2:$AH$1001,0),1)&gt;=100000,INDEX($AO$1005:$BQ$1005,1,MATCH(COLUMNS($AO$1006:BB1006),$AO$1006:$BQ$1006,0))&gt;=100000), " ",IF(INDEX($AO$2:$BQ$1001,MATCH(ROWS($AH$2:AH694),$AH$2:$AH$1001,0),MATCH(COLUMNS($AO$1006:BB1006),$AO$1006:$BQ$1006,0)), HYPERLINK("#",""), HYPERLINK(CONCATENATE("#Metadata!", ADDRESS(INDEX($AJ$2:$AJ$1001,MATCH(ROWS($AH$2:AH694),$AH$2:$AH$1001,0),0), INDEX($AO$1004:$BQ$1004,1,MATCH(COLUMNS($AO$1006:BB1006),$AO$1006:$BQ$1006,0)))),"Fix")))</f>
        <v>#N/A</v>
      </c>
      <c r="P694" s="5" t="e">
        <f ca="1">IF(OR(INDEX($AI$2:$AI$1001,MATCH(ROWS($AH$2:AH694),$AH$2:$AH$1001,0),1)&gt;=100000,INDEX($AO$1005:$BQ$1005,1,MATCH(COLUMNS($AO$1006:BC1006),$AO$1006:$BQ$1006,0))&gt;=100000), " ",IF(INDEX($AO$2:$BQ$1001,MATCH(ROWS($AH$2:AH694),$AH$2:$AH$1001,0),MATCH(COLUMNS($AO$1006:BC1006),$AO$1006:$BQ$1006,0)), HYPERLINK("#",""), HYPERLINK(CONCATENATE("#Metadata!", ADDRESS(INDEX($AJ$2:$AJ$1001,MATCH(ROWS($AH$2:AH694),$AH$2:$AH$1001,0),0), INDEX($AO$1004:$BQ$1004,1,MATCH(COLUMNS($AO$1006:BC1006),$AO$1006:$BQ$1006,0)))),"Fix")))</f>
        <v>#N/A</v>
      </c>
      <c r="Q694" s="5" t="e">
        <f ca="1">IF(OR(INDEX($AI$2:$AI$1001,MATCH(ROWS($AH$2:AH694),$AH$2:$AH$1001,0),1)&gt;=100000,INDEX($AO$1005:$BQ$1005,1,MATCH(COLUMNS($AO$1006:BD1006),$AO$1006:$BQ$1006,0))&gt;=100000), " ",IF(INDEX($AO$2:$BQ$1001,MATCH(ROWS($AH$2:AH694),$AH$2:$AH$1001,0),MATCH(COLUMNS($AO$1006:BD1006),$AO$1006:$BQ$1006,0)), HYPERLINK("#",""), HYPERLINK(CONCATENATE("#Metadata!", ADDRESS(INDEX($AJ$2:$AJ$1001,MATCH(ROWS($AH$2:AH694),$AH$2:$AH$1001,0),0), INDEX($AO$1004:$BQ$1004,1,MATCH(COLUMNS($AO$1006:BD1006),$AO$1006:$BQ$1006,0)))),"Fix")))</f>
        <v>#N/A</v>
      </c>
      <c r="R694" s="5" t="e">
        <f ca="1">IF(OR(INDEX($AI$2:$AI$1001,MATCH(ROWS($AH$2:AH694),$AH$2:$AH$1001,0),1)&gt;=100000,INDEX($AO$1005:$BQ$1005,1,MATCH(COLUMNS($AO$1006:BE1006),$AO$1006:$BQ$1006,0))&gt;=100000), " ",IF(INDEX($AO$2:$BQ$1001,MATCH(ROWS($AH$2:AH694),$AH$2:$AH$1001,0),MATCH(COLUMNS($AO$1006:BE1006),$AO$1006:$BQ$1006,0)), HYPERLINK("#",""), HYPERLINK(CONCATENATE("#Metadata!", ADDRESS(INDEX($AJ$2:$AJ$1001,MATCH(ROWS($AH$2:AH694),$AH$2:$AH$1001,0),0), INDEX($AO$1004:$BQ$1004,1,MATCH(COLUMNS($AO$1006:BE1006),$AO$1006:$BQ$1006,0)))),"Fix")))</f>
        <v>#N/A</v>
      </c>
      <c r="S694" s="5" t="e">
        <f ca="1">IF(OR(INDEX($AI$2:$AI$1001,MATCH(ROWS($AH$2:AH694),$AH$2:$AH$1001,0),1)&gt;=100000,INDEX($AO$1005:$BQ$1005,1,MATCH(COLUMNS($AO$1006:BF1006),$AO$1006:$BQ$1006,0))&gt;=100000), " ",IF(INDEX($AO$2:$BQ$1001,MATCH(ROWS($AH$2:AH694),$AH$2:$AH$1001,0),MATCH(COLUMNS($AO$1006:BF1006),$AO$1006:$BQ$1006,0)), HYPERLINK("#",""), HYPERLINK(CONCATENATE("#Metadata!", ADDRESS(INDEX($AJ$2:$AJ$1001,MATCH(ROWS($AH$2:AH694),$AH$2:$AH$1001,0),0), INDEX($AO$1004:$BQ$1004,1,MATCH(COLUMNS($AO$1006:BF1006),$AO$1006:$BQ$1006,0)))),"Fix")))</f>
        <v>#N/A</v>
      </c>
      <c r="T694" s="5" t="e">
        <f ca="1">IF(OR(INDEX($AI$2:$AI$1001,MATCH(ROWS($AH$2:AH694),$AH$2:$AH$1001,0),1)&gt;=100000,INDEX($AO$1005:$BQ$1005,1,MATCH(COLUMNS($AO$1006:BG1006),$AO$1006:$BQ$1006,0))&gt;=100000), " ",IF(INDEX($AO$2:$BQ$1001,MATCH(ROWS($AH$2:AH694),$AH$2:$AH$1001,0),MATCH(COLUMNS($AO$1006:BG1006),$AO$1006:$BQ$1006,0)), HYPERLINK("#",""), HYPERLINK(CONCATENATE("#Metadata!", ADDRESS(INDEX($AJ$2:$AJ$1001,MATCH(ROWS($AH$2:AH694),$AH$2:$AH$1001,0),0), INDEX($AO$1004:$BQ$1004,1,MATCH(COLUMNS($AO$1006:BG1006),$AO$1006:$BQ$1006,0)))),"Fix")))</f>
        <v>#N/A</v>
      </c>
      <c r="U694" s="5" t="e">
        <f ca="1">IF(OR(INDEX($AI$2:$AI$1001,MATCH(ROWS($AH$2:AH694),$AH$2:$AH$1001,0),1)&gt;=100000,INDEX($AO$1005:$BQ$1005,1,MATCH(COLUMNS($AO$1006:BH1006),$AO$1006:$BQ$1006,0))&gt;=100000), " ",IF(INDEX($AO$2:$BQ$1001,MATCH(ROWS($AH$2:AH694),$AH$2:$AH$1001,0),MATCH(COLUMNS($AO$1006:BH1006),$AO$1006:$BQ$1006,0)), HYPERLINK("#",""), HYPERLINK(CONCATENATE("#Metadata!", ADDRESS(INDEX($AJ$2:$AJ$1001,MATCH(ROWS($AH$2:AH694),$AH$2:$AH$1001,0),0), INDEX($AO$1004:$BQ$1004,1,MATCH(COLUMNS($AO$1006:BH1006),$AO$1006:$BQ$1006,0)))),"Fix")))</f>
        <v>#N/A</v>
      </c>
      <c r="V694" s="5" t="e">
        <f ca="1">IF(OR(INDEX($AI$2:$AI$1001,MATCH(ROWS($AH$2:AH694),$AH$2:$AH$1001,0),1)&gt;=100000,INDEX($AO$1005:$BQ$1005,1,MATCH(COLUMNS($AO$1006:BI1006),$AO$1006:$BQ$1006,0))&gt;=100000), " ",IF(INDEX($AO$2:$BQ$1001,MATCH(ROWS($AH$2:AH694),$AH$2:$AH$1001,0),MATCH(COLUMNS($AO$1006:BI1006),$AO$1006:$BQ$1006,0)), HYPERLINK("#",""), HYPERLINK(CONCATENATE("#Metadata!", ADDRESS(INDEX($AJ$2:$AJ$1001,MATCH(ROWS($AH$2:AH694),$AH$2:$AH$1001,0),0), INDEX($AO$1004:$BQ$1004,1,MATCH(COLUMNS($AO$1006:BI1006),$AO$1006:$BQ$1006,0)))),"Fix")))</f>
        <v>#N/A</v>
      </c>
      <c r="W694" s="5" t="e">
        <f ca="1">IF(OR(INDEX($AI$2:$AI$1001,MATCH(ROWS($AH$2:AH694),$AH$2:$AH$1001,0),1)&gt;=100000,INDEX($AO$1005:$BQ$1005,1,MATCH(COLUMNS($AO$1006:BJ1006),$AO$1006:$BQ$1006,0))&gt;=100000), " ",IF(INDEX($AO$2:$BQ$1001,MATCH(ROWS($AH$2:AH694),$AH$2:$AH$1001,0),MATCH(COLUMNS($AO$1006:BJ1006),$AO$1006:$BQ$1006,0)), HYPERLINK("#",""), HYPERLINK(CONCATENATE("#Metadata!", ADDRESS(INDEX($AJ$2:$AJ$1001,MATCH(ROWS($AH$2:AH694),$AH$2:$AH$1001,0),0), INDEX($AO$1004:$BQ$1004,1,MATCH(COLUMNS($AO$1006:BJ1006),$AO$1006:$BQ$1006,0)))),"Fix")))</f>
        <v>#N/A</v>
      </c>
      <c r="X694" s="5" t="e">
        <f ca="1">IF(OR(INDEX($AI$2:$AI$1001,MATCH(ROWS($AH$2:AH694),$AH$2:$AH$1001,0),1)&gt;=100000,INDEX($AO$1005:$BQ$1005,1,MATCH(COLUMNS($AO$1006:BK1006),$AO$1006:$BQ$1006,0))&gt;=100000), " ",IF(INDEX($AO$2:$BQ$1001,MATCH(ROWS($AH$2:AH694),$AH$2:$AH$1001,0),MATCH(COLUMNS($AO$1006:BK1006),$AO$1006:$BQ$1006,0)), HYPERLINK("#",""), HYPERLINK(CONCATENATE("#Metadata!", ADDRESS(INDEX($AJ$2:$AJ$1001,MATCH(ROWS($AH$2:AH694),$AH$2:$AH$1001,0),0), INDEX($AO$1004:$BQ$1004,1,MATCH(COLUMNS($AO$1006:BK1006),$AO$1006:$BQ$1006,0)))),"Fix")))</f>
        <v>#N/A</v>
      </c>
      <c r="Y694" s="5" t="e">
        <f ca="1">IF(OR(INDEX($AI$2:$AI$1001,MATCH(ROWS($AH$2:AH694),$AH$2:$AH$1001,0),1)&gt;=100000,INDEX($AO$1005:$BQ$1005,1,MATCH(COLUMNS($AO$1006:BL1006),$AO$1006:$BQ$1006,0))&gt;=100000), " ",IF(INDEX($AO$2:$BQ$1001,MATCH(ROWS($AH$2:AH694),$AH$2:$AH$1001,0),MATCH(COLUMNS($AO$1006:BL1006),$AO$1006:$BQ$1006,0)), HYPERLINK("#",""), HYPERLINK(CONCATENATE("#Metadata!", ADDRESS(INDEX($AJ$2:$AJ$1001,MATCH(ROWS($AH$2:AH694),$AH$2:$AH$1001,0),0), INDEX($AO$1004:$BQ$1004,1,MATCH(COLUMNS($AO$1006:BL1006),$AO$1006:$BQ$1006,0)))),"Fix")))</f>
        <v>#N/A</v>
      </c>
      <c r="Z694" s="5" t="e">
        <f ca="1">IF(OR(INDEX($AI$2:$AI$1001,MATCH(ROWS($AH$2:AH694),$AH$2:$AH$1001,0),1)&gt;=100000,INDEX($AO$1005:$BQ$1005,1,MATCH(COLUMNS($AO$1006:BM1006),$AO$1006:$BQ$1006,0))&gt;=100000), " ",IF(INDEX($AO$2:$BQ$1001,MATCH(ROWS($AH$2:AH694),$AH$2:$AH$1001,0),MATCH(COLUMNS($AO$1006:BM1006),$AO$1006:$BQ$1006,0)), HYPERLINK("#",""), HYPERLINK(CONCATENATE("#Metadata!", ADDRESS(INDEX($AJ$2:$AJ$1001,MATCH(ROWS($AH$2:AH694),$AH$2:$AH$1001,0),0), INDEX($AO$1004:$BQ$1004,1,MATCH(COLUMNS($AO$1006:BM1006),$AO$1006:$BQ$1006,0)))),"Fix")))</f>
        <v>#N/A</v>
      </c>
      <c r="AA694" s="5" t="e">
        <f ca="1">IF(OR(INDEX($AI$2:$AI$1001,MATCH(ROWS($AH$2:AH694),$AH$2:$AH$1001,0),1)&gt;=100000,INDEX($AO$1005:$BQ$1005,1,MATCH(COLUMNS($AO$1006:BN1006),$AO$1006:$BQ$1006,0))&gt;=100000), " ",IF(INDEX($AO$2:$BQ$1001,MATCH(ROWS($AH$2:AH694),$AH$2:$AH$1001,0),MATCH(COLUMNS($AO$1006:BN1006),$AO$1006:$BQ$1006,0)), HYPERLINK("#",""), HYPERLINK(CONCATENATE("#Metadata!", ADDRESS(INDEX($AJ$2:$AJ$1001,MATCH(ROWS($AH$2:AH694),$AH$2:$AH$1001,0),0), INDEX($AO$1004:$BQ$1004,1,MATCH(COLUMNS($AO$1006:BN1006),$AO$1006:$BQ$1006,0)))),"Fix")))</f>
        <v>#N/A</v>
      </c>
      <c r="AB694" s="5" t="e">
        <f ca="1">IF(OR(INDEX($AI$2:$AI$1001,MATCH(ROWS($AH$2:AH694),$AH$2:$AH$1001,0),1)&gt;=100000,INDEX($AO$1005:$BQ$1005,1,MATCH(COLUMNS($AO$1006:BO1006),$AO$1006:$BQ$1006,0))&gt;=100000), " ",IF(INDEX($AO$2:$BQ$1001,MATCH(ROWS($AH$2:AH694),$AH$2:$AH$1001,0),MATCH(COLUMNS($AO$1006:BO1006),$AO$1006:$BQ$1006,0)), HYPERLINK("#",""), HYPERLINK(CONCATENATE("#Metadata!", ADDRESS(INDEX($AJ$2:$AJ$1001,MATCH(ROWS($AH$2:AH694),$AH$2:$AH$1001,0),0), INDEX($AO$1004:$BQ$1004,1,MATCH(COLUMNS($AO$1006:BO1006),$AO$1006:$BQ$1006,0)))),"Fix")))</f>
        <v>#N/A</v>
      </c>
      <c r="AC694" s="5" t="e">
        <f ca="1">IF(OR(INDEX($AI$2:$AI$1001,MATCH(ROWS($AH$2:AH694),$AH$2:$AH$1001,0),1)&gt;=100000,INDEX($AO$1005:$BQ$1005,1,MATCH(COLUMNS($AO$1006:BP1006),$AO$1006:$BQ$1006,0))&gt;=100000), " ",IF(INDEX($AO$2:$BQ$1001,MATCH(ROWS($AH$2:AH694),$AH$2:$AH$1001,0),MATCH(COLUMNS($AO$1006:BP1006),$AO$1006:$BQ$1006,0)), HYPERLINK("#",""), HYPERLINK(CONCATENATE("#Metadata!", ADDRESS(INDEX($AJ$2:$AJ$1001,MATCH(ROWS($AH$2:AH694),$AH$2:$AH$1001,0),0), INDEX($AO$1004:$BQ$1004,1,MATCH(COLUMNS($AO$1006:BP1006),$AO$1006:$BQ$1006,0)))),"Fix")))</f>
        <v>#N/A</v>
      </c>
      <c r="AD694" s="5" t="e">
        <f ca="1">IF(OR(INDEX($AI$2:$AI$1001,MATCH(ROWS($AH$2:AH694),$AH$2:$AH$1001,0),1)&gt;=100000,INDEX($AO$1005:$BQ$1005,1,MATCH(COLUMNS($AO$1006:BQ1006),$AO$1006:$BQ$1006,0))&gt;=100000), " ",IF(INDEX($AO$2:$BQ$1001,MATCH(ROWS($AH$2:AH694),$AH$2:$AH$1001,0),MATCH(COLUMNS($AO$1006:BQ1006),$AO$1006:$BQ$1006,0)), HYPERLINK("#",""), HYPERLINK(CONCATENATE("#Metadata!", ADDRESS(INDEX($AJ$2:$AJ$1001,MATCH(ROWS($AH$2:AH694),$AH$2:$AH$1001,0),0), INDEX($AO$1004:$BQ$1004,1,MATCH(COLUMNS($AO$1006:BQ1006),$AO$1006:$BQ$1006,0)))),"Fix")))</f>
        <v>#REF!</v>
      </c>
      <c r="AH694">
        <f ca="1"/>
        <v>691</v>
      </c>
      <c r="AI694">
        <v>100694</v>
      </c>
      <c r="AJ694">
        <v>694</v>
      </c>
      <c r="AK694" t="b">
        <f t="shared" si="10"/>
        <v>1</v>
      </c>
      <c r="AL694" t="b">
        <f>COUNTBLANK(Metadata!B694:AD694)=COLUMNS(Metadata!B694:AD694)</f>
        <v>1</v>
      </c>
      <c r="AM694" t="str">
        <v/>
      </c>
      <c r="AO694" t="b">
        <f ca="1">AND(IF(Metadata!B694="",FALSE,TRUE),COUNTIF(Metadata!B:B, Metadata!B694) = 1,NOT(ISERROR(SUMPRODUCT(SEARCH(MID(Metadata!B694,ROW(INDIRECT("1:"&amp;LEN(Metadata!B694))), 1),"0123456789abcdefghijklmnopqrstuvwxyzABCDEFGHIJKLMNOPQRSTUVWXYZ.")))))</f>
        <v>0</v>
      </c>
      <c r="AP694" t="b">
        <f>IF(Metadata!C694="",FALSE,TRUE)</f>
        <v>0</v>
      </c>
      <c r="AQ694" t="b">
        <f>IF(Metadata!D694="",FALSE,TRUE)</f>
        <v>0</v>
      </c>
      <c r="AR694" t="b">
        <f ca="1">OR(AND(IF(Metadata!E694="",FALSE,TRUE),OR(EXACT(Metadata!E694,"not collected"),EXACT(Metadata!E694,"not provided"),EXACT(Metadata!E694,"restricted access"))),AND(IF(Metadata!E694="",FALSE,TRUE),AND(AND(IFERROR(INT(LEFT(Metadata!E694,4))&gt;1900,FALSE),IFERROR(INT(LEFT(Metadata!E694,4))&lt;=YEAR(NOW()),FALSE)), OR(MID(Metadata!E694,5,1)="", AND(AND(MID(Metadata!E694,5,1)="-",IFERROR(INT(MID(Metadata!E694,6,1))&gt;=0,FALSE),IFERROR(INT(MID(Metadata!E694,6,1))&lt;=1,FALSE),NOT(MID(Metadata!E694,7,1)=""),IFERROR(INT(MID(Metadata!E694,6,2))&gt;=1,FALSE),IFERROR(INT(MID(Metadata!E694,6,2))&lt;=12,FALSE)), OR(MID(Metadata!E694,8,1)="", AND(AND(MID(Metadata!E694,8,1)="-",IFERROR(INT(MID(Metadata!E694,9,1))&gt;=0,FALSE),IFERROR(INT(MID(Metadata!E694,9,1))&lt;=3,FALSE),NOT(MID(Metadata!E694,10,1)=""),IFERROR(INT(MID(Metadata!E694,9,2))&gt;=1,FALSE),IFERROR(INT(MID(Metadata!E694,9,2))&lt;=31,FALSE)), OR(MID(Metadata!E694,11,1)="", AND(AND(MID(Metadata!E694,11,1)=" ",IFERROR(INT(MID(Metadata!E694,12,1))&gt;=0,FALSE),IFERROR(INT(MID(Metadata!E694,12,1))&lt;=2,FALSE),NOT(MID(Metadata!E694,13,1)=""),IFERROR(INT(MID(Metadata!E694,12,2))&gt;=0,FALSE),IFERROR(INT(MID(Metadata!E694,12,2))&lt;=23,FALSE)), OR(MID(Metadata!E694,14,1)="", AND(AND(MID(Metadata!E694,14,1)=":",IFERROR(INT(MID(Metadata!E694,15,1))&gt;=0,FALSE),IFERROR(INT(MID(Metadata!E694,15,1))&lt;=5,FALSE),NOT(MID(Metadata!E694,16,1)=""),IFERROR(INT(MID(Metadata!E694,15,2))&gt;=0,FALSE),IFERROR(INT(MID(Metadata!E694,15,2))&lt;=59,FALSE)), OR(MID(Metadata!E694,17,1)="", AND(AND(MID(Metadata!E694,17,1)=":",IFERROR(INT(MID(Metadata!E694,18,1))&gt;=0,FALSE),IFERROR(INT(MID(Metadata!E694,18,1))&lt;=5,FALSE),NOT(MID(Metadata!E694,19,1)=""),IFERROR(INT(MID(Metadata!E694,18,2))&gt;=0,FALSE),IFERROR(INT(MID(Metadata!E694,18,2))&lt;=59,FALSE)), LEN(Metadata!E694)&lt;=19)))))))))))))</f>
        <v>0</v>
      </c>
      <c r="AS694" t="b">
        <f>IF(Metadata!F694="",FALSE,TRUE)</f>
        <v>0</v>
      </c>
      <c r="AT694" t="b">
        <f>OR(AND(IF(Metadata!G694="",FALSE,TRUE),OR(EXACT(Metadata!G694,"not collected"),EXACT(Metadata!G694,"not provided"))),AND(IF(Metadata!G694="",FALSE,TRUE),OR(EXACT(Metadata!G694,"TRUE"),EXACT(Metadata!G694,"FALSE"))))</f>
        <v>0</v>
      </c>
      <c r="AU694" t="b">
        <f>OR(AND(IF(Metadata!H694="",FALSE,TRUE),OR(EXACT(Metadata!H694,"not collected"),EXACT(Metadata!H694,"not provided"),EXACT(Metadata!H694,"restricted access"))),AND(IF(Metadata!H694="",FALSE,ISNUMBER(VALUE(Metadata!H694))),Metadata!H694&gt;=-413))</f>
        <v>0</v>
      </c>
      <c r="AV694" t="b">
        <f>AND(IF(Metadata!I694="",FALSE,TRUE),EXACT(Metadata!I694,"meters"))</f>
        <v>0</v>
      </c>
      <c r="AW694" t="b">
        <f>AND(IF(Metadata!J694="",FALSE,TRUE),EXACT(Metadata!J694,"free-living"))</f>
        <v>0</v>
      </c>
      <c r="AX694" t="b">
        <f>AND(IF(Metadata!K694="",FALSE,TRUE),OR(EXACT(Metadata!K694,"saline"),EXACT(Metadata!K694,"non-saline")))</f>
        <v>0</v>
      </c>
      <c r="AY694" t="b">
        <f>AND(IF(Metadata!L694="",FALSE,TRUE),OR(EXACT(Metadata!L694,"sub-surface (non-saline)"),EXACT(Metadata!L694,"surface (non-saline)"),EXACT(Metadata!L694,"water (non-saline)"),EXACT(Metadata!L694,"soil (non-saline)"),EXACT(Metadata!L694,"aerosol (non-saline)"),EXACT(Metadata!L694,"sediment (non-saline)"),EXACT(Metadata!L694,"surface (saline)"),EXACT(Metadata!L694,"water (saline)"),EXACT(Metadata!L694,"hypersaline (saline)"),EXACT(Metadata!L694,"aerosol (saline)"),EXACT(Metadata!L694,"sediment (saline)")))</f>
        <v>0</v>
      </c>
      <c r="AZ694" t="b">
        <f>IF(Metadata!M694="",FALSE,TRUE)</f>
        <v>0</v>
      </c>
      <c r="BA694" t="b">
        <f>IF(Metadata!N694="",FALSE,TRUE)</f>
        <v>0</v>
      </c>
      <c r="BB694" t="b">
        <f>IF(Metadata!O694="",FALSE,TRUE)</f>
        <v>0</v>
      </c>
      <c r="BC694" t="b">
        <f>AND(IF(Metadata!P694="",FALSE,TRUE),OR(EXACT(Metadata!P694,"air"),EXACT(Metadata!P694,"microbial mat/biofilm"),EXACT(Metadata!P694,"misc environment"),EXACT(Metadata!P694,"sediment"),EXACT(Metadata!P694,"soil"),EXACT(Metadata!P694,"wastewater/sludge"),EXACT(Metadata!P694,"water")))</f>
        <v>0</v>
      </c>
      <c r="BD694" t="b">
        <f>IF(Metadata!Q694="",FALSE,TRUE)</f>
        <v>0</v>
      </c>
      <c r="BE694" t="b">
        <f>IF(Metadata!R694="",FALSE,TRUE)</f>
        <v>0</v>
      </c>
      <c r="BF694" t="b">
        <f>OR(AND(IF(Metadata!S694="",FALSE,TRUE),OR(EXACT(Metadata!S694,"not collected"),EXACT(Metadata!S694,"not provided"),EXACT(Metadata!S694,"restricted access"))),AND(IF(Metadata!S694="",FALSE,ISNUMBER(VALUE(Metadata!S694))),Metadata!S694&gt;=-90,Metadata!S694&lt;=90))</f>
        <v>0</v>
      </c>
      <c r="BG694" t="b">
        <f>AND(IF(Metadata!T694="",FALSE,TRUE),EXACT(Metadata!T694,"Decimal degrees"))</f>
        <v>0</v>
      </c>
      <c r="BH694" t="b">
        <f>OR(AND(IF(Metadata!U694="",FALSE,TRUE),OR(EXACT(Metadata!U694,"not applicable"),EXACT(Metadata!U694,"not collected"))),IF(Metadata!U694="",FALSE,TRUE))</f>
        <v>0</v>
      </c>
      <c r="BI694" t="b">
        <f>OR(AND(IF(Metadata!V694="",FALSE,TRUE),OR(EXACT(Metadata!V694,"not collected"),EXACT(Metadata!V694,"not provided"),EXACT(Metadata!V694,"restricted access"))),AND(IF(Metadata!V694="",FALSE,ISNUMBER(VALUE(Metadata!V694))),Metadata!V694&gt;=-180,Metadata!V694&lt;=180))</f>
        <v>0</v>
      </c>
      <c r="BJ694" t="b">
        <f>AND(IF(Metadata!W694="",FALSE,TRUE),EXACT(Metadata!W694,"Decimal degrees"))</f>
        <v>0</v>
      </c>
      <c r="BK694" t="b">
        <f>IF(Metadata!X694="",FALSE,TRUE)</f>
        <v>0</v>
      </c>
      <c r="BL694" t="b">
        <f>OR(AND(IF(Metadata!Y694="",FALSE,TRUE),OR(EXACT(Metadata!Y694,"not collected"),EXACT(Metadata!Y694,"not provided"),EXACT(Metadata!Y694,"restricted access"))),AND(IF(Metadata!Y694="",FALSE,TRUE),OR(EXACT(Metadata!Y694,"TRUE"),EXACT(Metadata!Y694,"FALSE"))))</f>
        <v>0</v>
      </c>
      <c r="BM694" t="b">
        <f>OR(AND(IF(Metadata!Z694="",FALSE,TRUE),EXACT(Metadata!Z694,"not applicable")),AND(IF(Metadata!Z694="",FALSE,TRUE),OR(EXACT(Metadata!Z694,"beer"),EXACT(Metadata!Z694,"cheese"),EXACT(Metadata!Z694,"fresh water"),EXACT(Metadata!Z694,"marine sediment"),EXACT(Metadata!Z694,"sea water"),EXACT(Metadata!Z694,"sediment"),EXACT(Metadata!Z694,"soil"),EXACT(Metadata!Z694,"waste water"))))</f>
        <v>0</v>
      </c>
      <c r="BN694" t="b">
        <f>AND(IF(Metadata!AA694="",FALSE,TRUE),EXACT(Metadata!AA694,"metagenome"))</f>
        <v>0</v>
      </c>
      <c r="BO694" t="b">
        <f>AND(IF(Metadata!AB694="",FALSE,TRUE),EXACT(Metadata!AB694,"256318"))</f>
        <v>0</v>
      </c>
      <c r="BP694" t="b">
        <f>IF(Metadata!AC694="",FALSE,TRUE)</f>
        <v>0</v>
      </c>
      <c r="BQ694" t="b">
        <f>IF(Metadata!AD694="",FALSE,TRUE)</f>
        <v>0</v>
      </c>
    </row>
    <row r="695" spans="1:69" x14ac:dyDescent="0.2">
      <c r="A695" s="4" t="e">
        <f ca="1">IF(B695=" "," ",HYPERLINK(CONCATENATE("#metadata!",ADDRESS(INDEX($AJ$2:$AJ$1001,MATCH(ROWS($AH$2:AH695),$AH$2:$AH$1001,0),0),2)),INDEX($AM$2:$AM$1001,MATCH(ROWS($AH$2:AH695),$AH$2:$AH$1001,0),0)))</f>
        <v>#N/A</v>
      </c>
      <c r="B695" s="5" t="e">
        <f ca="1">IF(OR(INDEX($AI$2:$AI$1001,MATCH(ROWS($AH$2:AH695),$AH$2:$AH$1001,0),1)&gt;=100000,INDEX($AO$1005:$BQ$1005,1,MATCH(COLUMNS($AO$1006:AO1006),$AO$1006:$BQ$1006,0))&gt;=100000), " ",IF(INDEX($AO$2:$BQ$1001,MATCH(ROWS($AH$2:AH695),$AH$2:$AH$1001,0),MATCH(COLUMNS($AO$1006:AO1006),$AO$1006:$BQ$1006,0)), HYPERLINK("#",""), HYPERLINK(CONCATENATE("#Metadata!", ADDRESS(INDEX($AJ$2:$AJ$1001,MATCH(ROWS($AH$2:AH695),$AH$2:$AH$1001,0),0), INDEX($AO$1004:$BQ$1004,1,MATCH(COLUMNS($AO$1006:AO1006),$AO$1006:$BQ$1006,0)))),"Fix")))</f>
        <v>#N/A</v>
      </c>
      <c r="C695" s="5" t="e">
        <f ca="1">IF(OR(INDEX($AI$2:$AI$1001,MATCH(ROWS($AH$2:AH695),$AH$2:$AH$1001,0),1)&gt;=100000,INDEX($AO$1005:$BQ$1005,1,MATCH(COLUMNS($AO$1006:AP1006),$AO$1006:$BQ$1006,0))&gt;=100000), " ",IF(INDEX($AO$2:$BQ$1001,MATCH(ROWS($AH$2:AH695),$AH$2:$AH$1001,0),MATCH(COLUMNS($AO$1006:AP1006),$AO$1006:$BQ$1006,0)), HYPERLINK("#",""), HYPERLINK(CONCATENATE("#Metadata!", ADDRESS(INDEX($AJ$2:$AJ$1001,MATCH(ROWS($AH$2:AH695),$AH$2:$AH$1001,0),0), INDEX($AO$1004:$BQ$1004,1,MATCH(COLUMNS($AO$1006:AP1006),$AO$1006:$BQ$1006,0)))),"Fix")))</f>
        <v>#N/A</v>
      </c>
      <c r="D695" s="5" t="e">
        <f ca="1">IF(OR(INDEX($AI$2:$AI$1001,MATCH(ROWS($AH$2:AH695),$AH$2:$AH$1001,0),1)&gt;=100000,INDEX($AO$1005:$BQ$1005,1,MATCH(COLUMNS($AO$1006:AQ1006),$AO$1006:$BQ$1006,0))&gt;=100000), " ",IF(INDEX($AO$2:$BQ$1001,MATCH(ROWS($AH$2:AH695),$AH$2:$AH$1001,0),MATCH(COLUMNS($AO$1006:AQ1006),$AO$1006:$BQ$1006,0)), HYPERLINK("#",""), HYPERLINK(CONCATENATE("#Metadata!", ADDRESS(INDEX($AJ$2:$AJ$1001,MATCH(ROWS($AH$2:AH695),$AH$2:$AH$1001,0),0), INDEX($AO$1004:$BQ$1004,1,MATCH(COLUMNS($AO$1006:AQ1006),$AO$1006:$BQ$1006,0)))),"Fix")))</f>
        <v>#N/A</v>
      </c>
      <c r="E695" s="5" t="e">
        <f ca="1">IF(OR(INDEX($AI$2:$AI$1001,MATCH(ROWS($AH$2:AH695),$AH$2:$AH$1001,0),1)&gt;=100000,INDEX($AO$1005:$BQ$1005,1,MATCH(COLUMNS($AO$1006:AR1006),$AO$1006:$BQ$1006,0))&gt;=100000), " ",IF(INDEX($AO$2:$BQ$1001,MATCH(ROWS($AH$2:AH695),$AH$2:$AH$1001,0),MATCH(COLUMNS($AO$1006:AR1006),$AO$1006:$BQ$1006,0)), HYPERLINK("#",""), HYPERLINK(CONCATENATE("#Metadata!", ADDRESS(INDEX($AJ$2:$AJ$1001,MATCH(ROWS($AH$2:AH695),$AH$2:$AH$1001,0),0), INDEX($AO$1004:$BQ$1004,1,MATCH(COLUMNS($AO$1006:AR1006),$AO$1006:$BQ$1006,0)))),"Fix")))</f>
        <v>#N/A</v>
      </c>
      <c r="F695" s="5" t="e">
        <f ca="1">IF(OR(INDEX($AI$2:$AI$1001,MATCH(ROWS($AH$2:AH695),$AH$2:$AH$1001,0),1)&gt;=100000,INDEX($AO$1005:$BQ$1005,1,MATCH(COLUMNS($AO$1006:AS1006),$AO$1006:$BQ$1006,0))&gt;=100000), " ",IF(INDEX($AO$2:$BQ$1001,MATCH(ROWS($AH$2:AH695),$AH$2:$AH$1001,0),MATCH(COLUMNS($AO$1006:AS1006),$AO$1006:$BQ$1006,0)), HYPERLINK("#",""), HYPERLINK(CONCATENATE("#Metadata!", ADDRESS(INDEX($AJ$2:$AJ$1001,MATCH(ROWS($AH$2:AH695),$AH$2:$AH$1001,0),0), INDEX($AO$1004:$BQ$1004,1,MATCH(COLUMNS($AO$1006:AS1006),$AO$1006:$BQ$1006,0)))),"Fix")))</f>
        <v>#N/A</v>
      </c>
      <c r="G695" s="5" t="e">
        <f ca="1">IF(OR(INDEX($AI$2:$AI$1001,MATCH(ROWS($AH$2:AH695),$AH$2:$AH$1001,0),1)&gt;=100000,INDEX($AO$1005:$BQ$1005,1,MATCH(COLUMNS($AO$1006:AT1006),$AO$1006:$BQ$1006,0))&gt;=100000), " ",IF(INDEX($AO$2:$BQ$1001,MATCH(ROWS($AH$2:AH695),$AH$2:$AH$1001,0),MATCH(COLUMNS($AO$1006:AT1006),$AO$1006:$BQ$1006,0)), HYPERLINK("#",""), HYPERLINK(CONCATENATE("#Metadata!", ADDRESS(INDEX($AJ$2:$AJ$1001,MATCH(ROWS($AH$2:AH695),$AH$2:$AH$1001,0),0), INDEX($AO$1004:$BQ$1004,1,MATCH(COLUMNS($AO$1006:AT1006),$AO$1006:$BQ$1006,0)))),"Fix")))</f>
        <v>#N/A</v>
      </c>
      <c r="H695" s="5" t="e">
        <f ca="1">IF(OR(INDEX($AI$2:$AI$1001,MATCH(ROWS($AH$2:AH695),$AH$2:$AH$1001,0),1)&gt;=100000,INDEX($AO$1005:$BQ$1005,1,MATCH(COLUMNS($AO$1006:AU1006),$AO$1006:$BQ$1006,0))&gt;=100000), " ",IF(INDEX($AO$2:$BQ$1001,MATCH(ROWS($AH$2:AH695),$AH$2:$AH$1001,0),MATCH(COLUMNS($AO$1006:AU1006),$AO$1006:$BQ$1006,0)), HYPERLINK("#",""), HYPERLINK(CONCATENATE("#Metadata!", ADDRESS(INDEX($AJ$2:$AJ$1001,MATCH(ROWS($AH$2:AH695),$AH$2:$AH$1001,0),0), INDEX($AO$1004:$BQ$1004,1,MATCH(COLUMNS($AO$1006:AU1006),$AO$1006:$BQ$1006,0)))),"Fix")))</f>
        <v>#N/A</v>
      </c>
      <c r="I695" s="5" t="e">
        <f ca="1">IF(OR(INDEX($AI$2:$AI$1001,MATCH(ROWS($AH$2:AH695),$AH$2:$AH$1001,0),1)&gt;=100000,INDEX($AO$1005:$BQ$1005,1,MATCH(COLUMNS($AO$1006:AV1006),$AO$1006:$BQ$1006,0))&gt;=100000), " ",IF(INDEX($AO$2:$BQ$1001,MATCH(ROWS($AH$2:AH695),$AH$2:$AH$1001,0),MATCH(COLUMNS($AO$1006:AV1006),$AO$1006:$BQ$1006,0)), HYPERLINK("#",""), HYPERLINK(CONCATENATE("#Metadata!", ADDRESS(INDEX($AJ$2:$AJ$1001,MATCH(ROWS($AH$2:AH695),$AH$2:$AH$1001,0),0), INDEX($AO$1004:$BQ$1004,1,MATCH(COLUMNS($AO$1006:AV1006),$AO$1006:$BQ$1006,0)))),"Fix")))</f>
        <v>#N/A</v>
      </c>
      <c r="J695" s="5" t="e">
        <f ca="1">IF(OR(INDEX($AI$2:$AI$1001,MATCH(ROWS($AH$2:AH695),$AH$2:$AH$1001,0),1)&gt;=100000,INDEX($AO$1005:$BQ$1005,1,MATCH(COLUMNS($AO$1006:AW1006),$AO$1006:$BQ$1006,0))&gt;=100000), " ",IF(INDEX($AO$2:$BQ$1001,MATCH(ROWS($AH$2:AH695),$AH$2:$AH$1001,0),MATCH(COLUMNS($AO$1006:AW1006),$AO$1006:$BQ$1006,0)), HYPERLINK("#",""), HYPERLINK(CONCATENATE("#Metadata!", ADDRESS(INDEX($AJ$2:$AJ$1001,MATCH(ROWS($AH$2:AH695),$AH$2:$AH$1001,0),0), INDEX($AO$1004:$BQ$1004,1,MATCH(COLUMNS($AO$1006:AW1006),$AO$1006:$BQ$1006,0)))),"Fix")))</f>
        <v>#N/A</v>
      </c>
      <c r="K695" s="5" t="e">
        <f ca="1">IF(OR(INDEX($AI$2:$AI$1001,MATCH(ROWS($AH$2:AH695),$AH$2:$AH$1001,0),1)&gt;=100000,INDEX($AO$1005:$BQ$1005,1,MATCH(COLUMNS($AO$1006:AX1006),$AO$1006:$BQ$1006,0))&gt;=100000), " ",IF(INDEX($AO$2:$BQ$1001,MATCH(ROWS($AH$2:AH695),$AH$2:$AH$1001,0),MATCH(COLUMNS($AO$1006:AX1006),$AO$1006:$BQ$1006,0)), HYPERLINK("#",""), HYPERLINK(CONCATENATE("#Metadata!", ADDRESS(INDEX($AJ$2:$AJ$1001,MATCH(ROWS($AH$2:AH695),$AH$2:$AH$1001,0),0), INDEX($AO$1004:$BQ$1004,1,MATCH(COLUMNS($AO$1006:AX1006),$AO$1006:$BQ$1006,0)))),"Fix")))</f>
        <v>#N/A</v>
      </c>
      <c r="L695" s="5" t="e">
        <f ca="1">IF(OR(INDEX($AI$2:$AI$1001,MATCH(ROWS($AH$2:AH695),$AH$2:$AH$1001,0),1)&gt;=100000,INDEX($AO$1005:$BQ$1005,1,MATCH(COLUMNS($AO$1006:AY1006),$AO$1006:$BQ$1006,0))&gt;=100000), " ",IF(INDEX($AO$2:$BQ$1001,MATCH(ROWS($AH$2:AH695),$AH$2:$AH$1001,0),MATCH(COLUMNS($AO$1006:AY1006),$AO$1006:$BQ$1006,0)), HYPERLINK("#",""), HYPERLINK(CONCATENATE("#Metadata!", ADDRESS(INDEX($AJ$2:$AJ$1001,MATCH(ROWS($AH$2:AH695),$AH$2:$AH$1001,0),0), INDEX($AO$1004:$BQ$1004,1,MATCH(COLUMNS($AO$1006:AY1006),$AO$1006:$BQ$1006,0)))),"Fix")))</f>
        <v>#N/A</v>
      </c>
      <c r="M695" s="5" t="e">
        <f ca="1">IF(OR(INDEX($AI$2:$AI$1001,MATCH(ROWS($AH$2:AH695),$AH$2:$AH$1001,0),1)&gt;=100000,INDEX($AO$1005:$BQ$1005,1,MATCH(COLUMNS($AO$1006:AZ1006),$AO$1006:$BQ$1006,0))&gt;=100000), " ",IF(INDEX($AO$2:$BQ$1001,MATCH(ROWS($AH$2:AH695),$AH$2:$AH$1001,0),MATCH(COLUMNS($AO$1006:AZ1006),$AO$1006:$BQ$1006,0)), HYPERLINK("#",""), HYPERLINK(CONCATENATE("#Metadata!", ADDRESS(INDEX($AJ$2:$AJ$1001,MATCH(ROWS($AH$2:AH695),$AH$2:$AH$1001,0),0), INDEX($AO$1004:$BQ$1004,1,MATCH(COLUMNS($AO$1006:AZ1006),$AO$1006:$BQ$1006,0)))),"Fix")))</f>
        <v>#N/A</v>
      </c>
      <c r="N695" s="5" t="e">
        <f ca="1">IF(OR(INDEX($AI$2:$AI$1001,MATCH(ROWS($AH$2:AH695),$AH$2:$AH$1001,0),1)&gt;=100000,INDEX($AO$1005:$BQ$1005,1,MATCH(COLUMNS($AO$1006:BA1006),$AO$1006:$BQ$1006,0))&gt;=100000), " ",IF(INDEX($AO$2:$BQ$1001,MATCH(ROWS($AH$2:AH695),$AH$2:$AH$1001,0),MATCH(COLUMNS($AO$1006:BA1006),$AO$1006:$BQ$1006,0)), HYPERLINK("#",""), HYPERLINK(CONCATENATE("#Metadata!", ADDRESS(INDEX($AJ$2:$AJ$1001,MATCH(ROWS($AH$2:AH695),$AH$2:$AH$1001,0),0), INDEX($AO$1004:$BQ$1004,1,MATCH(COLUMNS($AO$1006:BA1006),$AO$1006:$BQ$1006,0)))),"Fix")))</f>
        <v>#N/A</v>
      </c>
      <c r="O695" s="5" t="e">
        <f ca="1">IF(OR(INDEX($AI$2:$AI$1001,MATCH(ROWS($AH$2:AH695),$AH$2:$AH$1001,0),1)&gt;=100000,INDEX($AO$1005:$BQ$1005,1,MATCH(COLUMNS($AO$1006:BB1006),$AO$1006:$BQ$1006,0))&gt;=100000), " ",IF(INDEX($AO$2:$BQ$1001,MATCH(ROWS($AH$2:AH695),$AH$2:$AH$1001,0),MATCH(COLUMNS($AO$1006:BB1006),$AO$1006:$BQ$1006,0)), HYPERLINK("#",""), HYPERLINK(CONCATENATE("#Metadata!", ADDRESS(INDEX($AJ$2:$AJ$1001,MATCH(ROWS($AH$2:AH695),$AH$2:$AH$1001,0),0), INDEX($AO$1004:$BQ$1004,1,MATCH(COLUMNS($AO$1006:BB1006),$AO$1006:$BQ$1006,0)))),"Fix")))</f>
        <v>#N/A</v>
      </c>
      <c r="P695" s="5" t="e">
        <f ca="1">IF(OR(INDEX($AI$2:$AI$1001,MATCH(ROWS($AH$2:AH695),$AH$2:$AH$1001,0),1)&gt;=100000,INDEX($AO$1005:$BQ$1005,1,MATCH(COLUMNS($AO$1006:BC1006),$AO$1006:$BQ$1006,0))&gt;=100000), " ",IF(INDEX($AO$2:$BQ$1001,MATCH(ROWS($AH$2:AH695),$AH$2:$AH$1001,0),MATCH(COLUMNS($AO$1006:BC1006),$AO$1006:$BQ$1006,0)), HYPERLINK("#",""), HYPERLINK(CONCATENATE("#Metadata!", ADDRESS(INDEX($AJ$2:$AJ$1001,MATCH(ROWS($AH$2:AH695),$AH$2:$AH$1001,0),0), INDEX($AO$1004:$BQ$1004,1,MATCH(COLUMNS($AO$1006:BC1006),$AO$1006:$BQ$1006,0)))),"Fix")))</f>
        <v>#N/A</v>
      </c>
      <c r="Q695" s="5" t="e">
        <f ca="1">IF(OR(INDEX($AI$2:$AI$1001,MATCH(ROWS($AH$2:AH695),$AH$2:$AH$1001,0),1)&gt;=100000,INDEX($AO$1005:$BQ$1005,1,MATCH(COLUMNS($AO$1006:BD1006),$AO$1006:$BQ$1006,0))&gt;=100000), " ",IF(INDEX($AO$2:$BQ$1001,MATCH(ROWS($AH$2:AH695),$AH$2:$AH$1001,0),MATCH(COLUMNS($AO$1006:BD1006),$AO$1006:$BQ$1006,0)), HYPERLINK("#",""), HYPERLINK(CONCATENATE("#Metadata!", ADDRESS(INDEX($AJ$2:$AJ$1001,MATCH(ROWS($AH$2:AH695),$AH$2:$AH$1001,0),0), INDEX($AO$1004:$BQ$1004,1,MATCH(COLUMNS($AO$1006:BD1006),$AO$1006:$BQ$1006,0)))),"Fix")))</f>
        <v>#N/A</v>
      </c>
      <c r="R695" s="5" t="e">
        <f ca="1">IF(OR(INDEX($AI$2:$AI$1001,MATCH(ROWS($AH$2:AH695),$AH$2:$AH$1001,0),1)&gt;=100000,INDEX($AO$1005:$BQ$1005,1,MATCH(COLUMNS($AO$1006:BE1006),$AO$1006:$BQ$1006,0))&gt;=100000), " ",IF(INDEX($AO$2:$BQ$1001,MATCH(ROWS($AH$2:AH695),$AH$2:$AH$1001,0),MATCH(COLUMNS($AO$1006:BE1006),$AO$1006:$BQ$1006,0)), HYPERLINK("#",""), HYPERLINK(CONCATENATE("#Metadata!", ADDRESS(INDEX($AJ$2:$AJ$1001,MATCH(ROWS($AH$2:AH695),$AH$2:$AH$1001,0),0), INDEX($AO$1004:$BQ$1004,1,MATCH(COLUMNS($AO$1006:BE1006),$AO$1006:$BQ$1006,0)))),"Fix")))</f>
        <v>#N/A</v>
      </c>
      <c r="S695" s="5" t="e">
        <f ca="1">IF(OR(INDEX($AI$2:$AI$1001,MATCH(ROWS($AH$2:AH695),$AH$2:$AH$1001,0),1)&gt;=100000,INDEX($AO$1005:$BQ$1005,1,MATCH(COLUMNS($AO$1006:BF1006),$AO$1006:$BQ$1006,0))&gt;=100000), " ",IF(INDEX($AO$2:$BQ$1001,MATCH(ROWS($AH$2:AH695),$AH$2:$AH$1001,0),MATCH(COLUMNS($AO$1006:BF1006),$AO$1006:$BQ$1006,0)), HYPERLINK("#",""), HYPERLINK(CONCATENATE("#Metadata!", ADDRESS(INDEX($AJ$2:$AJ$1001,MATCH(ROWS($AH$2:AH695),$AH$2:$AH$1001,0),0), INDEX($AO$1004:$BQ$1004,1,MATCH(COLUMNS($AO$1006:BF1006),$AO$1006:$BQ$1006,0)))),"Fix")))</f>
        <v>#N/A</v>
      </c>
      <c r="T695" s="5" t="e">
        <f ca="1">IF(OR(INDEX($AI$2:$AI$1001,MATCH(ROWS($AH$2:AH695),$AH$2:$AH$1001,0),1)&gt;=100000,INDEX($AO$1005:$BQ$1005,1,MATCH(COLUMNS($AO$1006:BG1006),$AO$1006:$BQ$1006,0))&gt;=100000), " ",IF(INDEX($AO$2:$BQ$1001,MATCH(ROWS($AH$2:AH695),$AH$2:$AH$1001,0),MATCH(COLUMNS($AO$1006:BG1006),$AO$1006:$BQ$1006,0)), HYPERLINK("#",""), HYPERLINK(CONCATENATE("#Metadata!", ADDRESS(INDEX($AJ$2:$AJ$1001,MATCH(ROWS($AH$2:AH695),$AH$2:$AH$1001,0),0), INDEX($AO$1004:$BQ$1004,1,MATCH(COLUMNS($AO$1006:BG1006),$AO$1006:$BQ$1006,0)))),"Fix")))</f>
        <v>#N/A</v>
      </c>
      <c r="U695" s="5" t="e">
        <f ca="1">IF(OR(INDEX($AI$2:$AI$1001,MATCH(ROWS($AH$2:AH695),$AH$2:$AH$1001,0),1)&gt;=100000,INDEX($AO$1005:$BQ$1005,1,MATCH(COLUMNS($AO$1006:BH1006),$AO$1006:$BQ$1006,0))&gt;=100000), " ",IF(INDEX($AO$2:$BQ$1001,MATCH(ROWS($AH$2:AH695),$AH$2:$AH$1001,0),MATCH(COLUMNS($AO$1006:BH1006),$AO$1006:$BQ$1006,0)), HYPERLINK("#",""), HYPERLINK(CONCATENATE("#Metadata!", ADDRESS(INDEX($AJ$2:$AJ$1001,MATCH(ROWS($AH$2:AH695),$AH$2:$AH$1001,0),0), INDEX($AO$1004:$BQ$1004,1,MATCH(COLUMNS($AO$1006:BH1006),$AO$1006:$BQ$1006,0)))),"Fix")))</f>
        <v>#N/A</v>
      </c>
      <c r="V695" s="5" t="e">
        <f ca="1">IF(OR(INDEX($AI$2:$AI$1001,MATCH(ROWS($AH$2:AH695),$AH$2:$AH$1001,0),1)&gt;=100000,INDEX($AO$1005:$BQ$1005,1,MATCH(COLUMNS($AO$1006:BI1006),$AO$1006:$BQ$1006,0))&gt;=100000), " ",IF(INDEX($AO$2:$BQ$1001,MATCH(ROWS($AH$2:AH695),$AH$2:$AH$1001,0),MATCH(COLUMNS($AO$1006:BI1006),$AO$1006:$BQ$1006,0)), HYPERLINK("#",""), HYPERLINK(CONCATENATE("#Metadata!", ADDRESS(INDEX($AJ$2:$AJ$1001,MATCH(ROWS($AH$2:AH695),$AH$2:$AH$1001,0),0), INDEX($AO$1004:$BQ$1004,1,MATCH(COLUMNS($AO$1006:BI1006),$AO$1006:$BQ$1006,0)))),"Fix")))</f>
        <v>#N/A</v>
      </c>
      <c r="W695" s="5" t="e">
        <f ca="1">IF(OR(INDEX($AI$2:$AI$1001,MATCH(ROWS($AH$2:AH695),$AH$2:$AH$1001,0),1)&gt;=100000,INDEX($AO$1005:$BQ$1005,1,MATCH(COLUMNS($AO$1006:BJ1006),$AO$1006:$BQ$1006,0))&gt;=100000), " ",IF(INDEX($AO$2:$BQ$1001,MATCH(ROWS($AH$2:AH695),$AH$2:$AH$1001,0),MATCH(COLUMNS($AO$1006:BJ1006),$AO$1006:$BQ$1006,0)), HYPERLINK("#",""), HYPERLINK(CONCATENATE("#Metadata!", ADDRESS(INDEX($AJ$2:$AJ$1001,MATCH(ROWS($AH$2:AH695),$AH$2:$AH$1001,0),0), INDEX($AO$1004:$BQ$1004,1,MATCH(COLUMNS($AO$1006:BJ1006),$AO$1006:$BQ$1006,0)))),"Fix")))</f>
        <v>#N/A</v>
      </c>
      <c r="X695" s="5" t="e">
        <f ca="1">IF(OR(INDEX($AI$2:$AI$1001,MATCH(ROWS($AH$2:AH695),$AH$2:$AH$1001,0),1)&gt;=100000,INDEX($AO$1005:$BQ$1005,1,MATCH(COLUMNS($AO$1006:BK1006),$AO$1006:$BQ$1006,0))&gt;=100000), " ",IF(INDEX($AO$2:$BQ$1001,MATCH(ROWS($AH$2:AH695),$AH$2:$AH$1001,0),MATCH(COLUMNS($AO$1006:BK1006),$AO$1006:$BQ$1006,0)), HYPERLINK("#",""), HYPERLINK(CONCATENATE("#Metadata!", ADDRESS(INDEX($AJ$2:$AJ$1001,MATCH(ROWS($AH$2:AH695),$AH$2:$AH$1001,0),0), INDEX($AO$1004:$BQ$1004,1,MATCH(COLUMNS($AO$1006:BK1006),$AO$1006:$BQ$1006,0)))),"Fix")))</f>
        <v>#N/A</v>
      </c>
      <c r="Y695" s="5" t="e">
        <f ca="1">IF(OR(INDEX($AI$2:$AI$1001,MATCH(ROWS($AH$2:AH695),$AH$2:$AH$1001,0),1)&gt;=100000,INDEX($AO$1005:$BQ$1005,1,MATCH(COLUMNS($AO$1006:BL1006),$AO$1006:$BQ$1006,0))&gt;=100000), " ",IF(INDEX($AO$2:$BQ$1001,MATCH(ROWS($AH$2:AH695),$AH$2:$AH$1001,0),MATCH(COLUMNS($AO$1006:BL1006),$AO$1006:$BQ$1006,0)), HYPERLINK("#",""), HYPERLINK(CONCATENATE("#Metadata!", ADDRESS(INDEX($AJ$2:$AJ$1001,MATCH(ROWS($AH$2:AH695),$AH$2:$AH$1001,0),0), INDEX($AO$1004:$BQ$1004,1,MATCH(COLUMNS($AO$1006:BL1006),$AO$1006:$BQ$1006,0)))),"Fix")))</f>
        <v>#N/A</v>
      </c>
      <c r="Z695" s="5" t="e">
        <f ca="1">IF(OR(INDEX($AI$2:$AI$1001,MATCH(ROWS($AH$2:AH695),$AH$2:$AH$1001,0),1)&gt;=100000,INDEX($AO$1005:$BQ$1005,1,MATCH(COLUMNS($AO$1006:BM1006),$AO$1006:$BQ$1006,0))&gt;=100000), " ",IF(INDEX($AO$2:$BQ$1001,MATCH(ROWS($AH$2:AH695),$AH$2:$AH$1001,0),MATCH(COLUMNS($AO$1006:BM1006),$AO$1006:$BQ$1006,0)), HYPERLINK("#",""), HYPERLINK(CONCATENATE("#Metadata!", ADDRESS(INDEX($AJ$2:$AJ$1001,MATCH(ROWS($AH$2:AH695),$AH$2:$AH$1001,0),0), INDEX($AO$1004:$BQ$1004,1,MATCH(COLUMNS($AO$1006:BM1006),$AO$1006:$BQ$1006,0)))),"Fix")))</f>
        <v>#N/A</v>
      </c>
      <c r="AA695" s="5" t="e">
        <f ca="1">IF(OR(INDEX($AI$2:$AI$1001,MATCH(ROWS($AH$2:AH695),$AH$2:$AH$1001,0),1)&gt;=100000,INDEX($AO$1005:$BQ$1005,1,MATCH(COLUMNS($AO$1006:BN1006),$AO$1006:$BQ$1006,0))&gt;=100000), " ",IF(INDEX($AO$2:$BQ$1001,MATCH(ROWS($AH$2:AH695),$AH$2:$AH$1001,0),MATCH(COLUMNS($AO$1006:BN1006),$AO$1006:$BQ$1006,0)), HYPERLINK("#",""), HYPERLINK(CONCATENATE("#Metadata!", ADDRESS(INDEX($AJ$2:$AJ$1001,MATCH(ROWS($AH$2:AH695),$AH$2:$AH$1001,0),0), INDEX($AO$1004:$BQ$1004,1,MATCH(COLUMNS($AO$1006:BN1006),$AO$1006:$BQ$1006,0)))),"Fix")))</f>
        <v>#N/A</v>
      </c>
      <c r="AB695" s="5" t="e">
        <f ca="1">IF(OR(INDEX($AI$2:$AI$1001,MATCH(ROWS($AH$2:AH695),$AH$2:$AH$1001,0),1)&gt;=100000,INDEX($AO$1005:$BQ$1005,1,MATCH(COLUMNS($AO$1006:BO1006),$AO$1006:$BQ$1006,0))&gt;=100000), " ",IF(INDEX($AO$2:$BQ$1001,MATCH(ROWS($AH$2:AH695),$AH$2:$AH$1001,0),MATCH(COLUMNS($AO$1006:BO1006),$AO$1006:$BQ$1006,0)), HYPERLINK("#",""), HYPERLINK(CONCATENATE("#Metadata!", ADDRESS(INDEX($AJ$2:$AJ$1001,MATCH(ROWS($AH$2:AH695),$AH$2:$AH$1001,0),0), INDEX($AO$1004:$BQ$1004,1,MATCH(COLUMNS($AO$1006:BO1006),$AO$1006:$BQ$1006,0)))),"Fix")))</f>
        <v>#N/A</v>
      </c>
      <c r="AC695" s="5" t="e">
        <f ca="1">IF(OR(INDEX($AI$2:$AI$1001,MATCH(ROWS($AH$2:AH695),$AH$2:$AH$1001,0),1)&gt;=100000,INDEX($AO$1005:$BQ$1005,1,MATCH(COLUMNS($AO$1006:BP1006),$AO$1006:$BQ$1006,0))&gt;=100000), " ",IF(INDEX($AO$2:$BQ$1001,MATCH(ROWS($AH$2:AH695),$AH$2:$AH$1001,0),MATCH(COLUMNS($AO$1006:BP1006),$AO$1006:$BQ$1006,0)), HYPERLINK("#",""), HYPERLINK(CONCATENATE("#Metadata!", ADDRESS(INDEX($AJ$2:$AJ$1001,MATCH(ROWS($AH$2:AH695),$AH$2:$AH$1001,0),0), INDEX($AO$1004:$BQ$1004,1,MATCH(COLUMNS($AO$1006:BP1006),$AO$1006:$BQ$1006,0)))),"Fix")))</f>
        <v>#N/A</v>
      </c>
      <c r="AD695" s="5" t="e">
        <f ca="1">IF(OR(INDEX($AI$2:$AI$1001,MATCH(ROWS($AH$2:AH695),$AH$2:$AH$1001,0),1)&gt;=100000,INDEX($AO$1005:$BQ$1005,1,MATCH(COLUMNS($AO$1006:BQ1006),$AO$1006:$BQ$1006,0))&gt;=100000), " ",IF(INDEX($AO$2:$BQ$1001,MATCH(ROWS($AH$2:AH695),$AH$2:$AH$1001,0),MATCH(COLUMNS($AO$1006:BQ1006),$AO$1006:$BQ$1006,0)), HYPERLINK("#",""), HYPERLINK(CONCATENATE("#Metadata!", ADDRESS(INDEX($AJ$2:$AJ$1001,MATCH(ROWS($AH$2:AH695),$AH$2:$AH$1001,0),0), INDEX($AO$1004:$BQ$1004,1,MATCH(COLUMNS($AO$1006:BQ1006),$AO$1006:$BQ$1006,0)))),"Fix")))</f>
        <v>#REF!</v>
      </c>
      <c r="AH695">
        <f ca="1"/>
        <v>692</v>
      </c>
      <c r="AI695">
        <v>100695</v>
      </c>
      <c r="AJ695">
        <v>695</v>
      </c>
      <c r="AK695" t="b">
        <f t="shared" si="10"/>
        <v>1</v>
      </c>
      <c r="AL695" t="b">
        <f>COUNTBLANK(Metadata!B695:AD695)=COLUMNS(Metadata!B695:AD695)</f>
        <v>1</v>
      </c>
      <c r="AM695" t="str">
        <v/>
      </c>
      <c r="AO695" t="b">
        <f ca="1">AND(IF(Metadata!B695="",FALSE,TRUE),COUNTIF(Metadata!B:B, Metadata!B695) = 1,NOT(ISERROR(SUMPRODUCT(SEARCH(MID(Metadata!B695,ROW(INDIRECT("1:"&amp;LEN(Metadata!B695))), 1),"0123456789abcdefghijklmnopqrstuvwxyzABCDEFGHIJKLMNOPQRSTUVWXYZ.")))))</f>
        <v>0</v>
      </c>
      <c r="AP695" t="b">
        <f>IF(Metadata!C695="",FALSE,TRUE)</f>
        <v>0</v>
      </c>
      <c r="AQ695" t="b">
        <f>IF(Metadata!D695="",FALSE,TRUE)</f>
        <v>0</v>
      </c>
      <c r="AR695" t="b">
        <f ca="1">OR(AND(IF(Metadata!E695="",FALSE,TRUE),OR(EXACT(Metadata!E695,"not collected"),EXACT(Metadata!E695,"not provided"),EXACT(Metadata!E695,"restricted access"))),AND(IF(Metadata!E695="",FALSE,TRUE),AND(AND(IFERROR(INT(LEFT(Metadata!E695,4))&gt;1900,FALSE),IFERROR(INT(LEFT(Metadata!E695,4))&lt;=YEAR(NOW()),FALSE)), OR(MID(Metadata!E695,5,1)="", AND(AND(MID(Metadata!E695,5,1)="-",IFERROR(INT(MID(Metadata!E695,6,1))&gt;=0,FALSE),IFERROR(INT(MID(Metadata!E695,6,1))&lt;=1,FALSE),NOT(MID(Metadata!E695,7,1)=""),IFERROR(INT(MID(Metadata!E695,6,2))&gt;=1,FALSE),IFERROR(INT(MID(Metadata!E695,6,2))&lt;=12,FALSE)), OR(MID(Metadata!E695,8,1)="", AND(AND(MID(Metadata!E695,8,1)="-",IFERROR(INT(MID(Metadata!E695,9,1))&gt;=0,FALSE),IFERROR(INT(MID(Metadata!E695,9,1))&lt;=3,FALSE),NOT(MID(Metadata!E695,10,1)=""),IFERROR(INT(MID(Metadata!E695,9,2))&gt;=1,FALSE),IFERROR(INT(MID(Metadata!E695,9,2))&lt;=31,FALSE)), OR(MID(Metadata!E695,11,1)="", AND(AND(MID(Metadata!E695,11,1)=" ",IFERROR(INT(MID(Metadata!E695,12,1))&gt;=0,FALSE),IFERROR(INT(MID(Metadata!E695,12,1))&lt;=2,FALSE),NOT(MID(Metadata!E695,13,1)=""),IFERROR(INT(MID(Metadata!E695,12,2))&gt;=0,FALSE),IFERROR(INT(MID(Metadata!E695,12,2))&lt;=23,FALSE)), OR(MID(Metadata!E695,14,1)="", AND(AND(MID(Metadata!E695,14,1)=":",IFERROR(INT(MID(Metadata!E695,15,1))&gt;=0,FALSE),IFERROR(INT(MID(Metadata!E695,15,1))&lt;=5,FALSE),NOT(MID(Metadata!E695,16,1)=""),IFERROR(INT(MID(Metadata!E695,15,2))&gt;=0,FALSE),IFERROR(INT(MID(Metadata!E695,15,2))&lt;=59,FALSE)), OR(MID(Metadata!E695,17,1)="", AND(AND(MID(Metadata!E695,17,1)=":",IFERROR(INT(MID(Metadata!E695,18,1))&gt;=0,FALSE),IFERROR(INT(MID(Metadata!E695,18,1))&lt;=5,FALSE),NOT(MID(Metadata!E695,19,1)=""),IFERROR(INT(MID(Metadata!E695,18,2))&gt;=0,FALSE),IFERROR(INT(MID(Metadata!E695,18,2))&lt;=59,FALSE)), LEN(Metadata!E695)&lt;=19)))))))))))))</f>
        <v>0</v>
      </c>
      <c r="AS695" t="b">
        <f>IF(Metadata!F695="",FALSE,TRUE)</f>
        <v>0</v>
      </c>
      <c r="AT695" t="b">
        <f>OR(AND(IF(Metadata!G695="",FALSE,TRUE),OR(EXACT(Metadata!G695,"not collected"),EXACT(Metadata!G695,"not provided"))),AND(IF(Metadata!G695="",FALSE,TRUE),OR(EXACT(Metadata!G695,"TRUE"),EXACT(Metadata!G695,"FALSE"))))</f>
        <v>0</v>
      </c>
      <c r="AU695" t="b">
        <f>OR(AND(IF(Metadata!H695="",FALSE,TRUE),OR(EXACT(Metadata!H695,"not collected"),EXACT(Metadata!H695,"not provided"),EXACT(Metadata!H695,"restricted access"))),AND(IF(Metadata!H695="",FALSE,ISNUMBER(VALUE(Metadata!H695))),Metadata!H695&gt;=-413))</f>
        <v>0</v>
      </c>
      <c r="AV695" t="b">
        <f>AND(IF(Metadata!I695="",FALSE,TRUE),EXACT(Metadata!I695,"meters"))</f>
        <v>0</v>
      </c>
      <c r="AW695" t="b">
        <f>AND(IF(Metadata!J695="",FALSE,TRUE),EXACT(Metadata!J695,"free-living"))</f>
        <v>0</v>
      </c>
      <c r="AX695" t="b">
        <f>AND(IF(Metadata!K695="",FALSE,TRUE),OR(EXACT(Metadata!K695,"saline"),EXACT(Metadata!K695,"non-saline")))</f>
        <v>0</v>
      </c>
      <c r="AY695" t="b">
        <f>AND(IF(Metadata!L695="",FALSE,TRUE),OR(EXACT(Metadata!L695,"sub-surface (non-saline)"),EXACT(Metadata!L695,"surface (non-saline)"),EXACT(Metadata!L695,"water (non-saline)"),EXACT(Metadata!L695,"soil (non-saline)"),EXACT(Metadata!L695,"aerosol (non-saline)"),EXACT(Metadata!L695,"sediment (non-saline)"),EXACT(Metadata!L695,"surface (saline)"),EXACT(Metadata!L695,"water (saline)"),EXACT(Metadata!L695,"hypersaline (saline)"),EXACT(Metadata!L695,"aerosol (saline)"),EXACT(Metadata!L695,"sediment (saline)")))</f>
        <v>0</v>
      </c>
      <c r="AZ695" t="b">
        <f>IF(Metadata!M695="",FALSE,TRUE)</f>
        <v>0</v>
      </c>
      <c r="BA695" t="b">
        <f>IF(Metadata!N695="",FALSE,TRUE)</f>
        <v>0</v>
      </c>
      <c r="BB695" t="b">
        <f>IF(Metadata!O695="",FALSE,TRUE)</f>
        <v>0</v>
      </c>
      <c r="BC695" t="b">
        <f>AND(IF(Metadata!P695="",FALSE,TRUE),OR(EXACT(Metadata!P695,"air"),EXACT(Metadata!P695,"microbial mat/biofilm"),EXACT(Metadata!P695,"misc environment"),EXACT(Metadata!P695,"sediment"),EXACT(Metadata!P695,"soil"),EXACT(Metadata!P695,"wastewater/sludge"),EXACT(Metadata!P695,"water")))</f>
        <v>0</v>
      </c>
      <c r="BD695" t="b">
        <f>IF(Metadata!Q695="",FALSE,TRUE)</f>
        <v>0</v>
      </c>
      <c r="BE695" t="b">
        <f>IF(Metadata!R695="",FALSE,TRUE)</f>
        <v>0</v>
      </c>
      <c r="BF695" t="b">
        <f>OR(AND(IF(Metadata!S695="",FALSE,TRUE),OR(EXACT(Metadata!S695,"not collected"),EXACT(Metadata!S695,"not provided"),EXACT(Metadata!S695,"restricted access"))),AND(IF(Metadata!S695="",FALSE,ISNUMBER(VALUE(Metadata!S695))),Metadata!S695&gt;=-90,Metadata!S695&lt;=90))</f>
        <v>0</v>
      </c>
      <c r="BG695" t="b">
        <f>AND(IF(Metadata!T695="",FALSE,TRUE),EXACT(Metadata!T695,"Decimal degrees"))</f>
        <v>0</v>
      </c>
      <c r="BH695" t="b">
        <f>OR(AND(IF(Metadata!U695="",FALSE,TRUE),OR(EXACT(Metadata!U695,"not applicable"),EXACT(Metadata!U695,"not collected"))),IF(Metadata!U695="",FALSE,TRUE))</f>
        <v>0</v>
      </c>
      <c r="BI695" t="b">
        <f>OR(AND(IF(Metadata!V695="",FALSE,TRUE),OR(EXACT(Metadata!V695,"not collected"),EXACT(Metadata!V695,"not provided"),EXACT(Metadata!V695,"restricted access"))),AND(IF(Metadata!V695="",FALSE,ISNUMBER(VALUE(Metadata!V695))),Metadata!V695&gt;=-180,Metadata!V695&lt;=180))</f>
        <v>0</v>
      </c>
      <c r="BJ695" t="b">
        <f>AND(IF(Metadata!W695="",FALSE,TRUE),EXACT(Metadata!W695,"Decimal degrees"))</f>
        <v>0</v>
      </c>
      <c r="BK695" t="b">
        <f>IF(Metadata!X695="",FALSE,TRUE)</f>
        <v>0</v>
      </c>
      <c r="BL695" t="b">
        <f>OR(AND(IF(Metadata!Y695="",FALSE,TRUE),OR(EXACT(Metadata!Y695,"not collected"),EXACT(Metadata!Y695,"not provided"),EXACT(Metadata!Y695,"restricted access"))),AND(IF(Metadata!Y695="",FALSE,TRUE),OR(EXACT(Metadata!Y695,"TRUE"),EXACT(Metadata!Y695,"FALSE"))))</f>
        <v>0</v>
      </c>
      <c r="BM695" t="b">
        <f>OR(AND(IF(Metadata!Z695="",FALSE,TRUE),EXACT(Metadata!Z695,"not applicable")),AND(IF(Metadata!Z695="",FALSE,TRUE),OR(EXACT(Metadata!Z695,"beer"),EXACT(Metadata!Z695,"cheese"),EXACT(Metadata!Z695,"fresh water"),EXACT(Metadata!Z695,"marine sediment"),EXACT(Metadata!Z695,"sea water"),EXACT(Metadata!Z695,"sediment"),EXACT(Metadata!Z695,"soil"),EXACT(Metadata!Z695,"waste water"))))</f>
        <v>0</v>
      </c>
      <c r="BN695" t="b">
        <f>AND(IF(Metadata!AA695="",FALSE,TRUE),EXACT(Metadata!AA695,"metagenome"))</f>
        <v>0</v>
      </c>
      <c r="BO695" t="b">
        <f>AND(IF(Metadata!AB695="",FALSE,TRUE),EXACT(Metadata!AB695,"256318"))</f>
        <v>0</v>
      </c>
      <c r="BP695" t="b">
        <f>IF(Metadata!AC695="",FALSE,TRUE)</f>
        <v>0</v>
      </c>
      <c r="BQ695" t="b">
        <f>IF(Metadata!AD695="",FALSE,TRUE)</f>
        <v>0</v>
      </c>
    </row>
    <row r="696" spans="1:69" x14ac:dyDescent="0.2">
      <c r="A696" s="4" t="e">
        <f ca="1">IF(B696=" "," ",HYPERLINK(CONCATENATE("#metadata!",ADDRESS(INDEX($AJ$2:$AJ$1001,MATCH(ROWS($AH$2:AH696),$AH$2:$AH$1001,0),0),2)),INDEX($AM$2:$AM$1001,MATCH(ROWS($AH$2:AH696),$AH$2:$AH$1001,0),0)))</f>
        <v>#N/A</v>
      </c>
      <c r="B696" s="5" t="e">
        <f ca="1">IF(OR(INDEX($AI$2:$AI$1001,MATCH(ROWS($AH$2:AH696),$AH$2:$AH$1001,0),1)&gt;=100000,INDEX($AO$1005:$BQ$1005,1,MATCH(COLUMNS($AO$1006:AO1006),$AO$1006:$BQ$1006,0))&gt;=100000), " ",IF(INDEX($AO$2:$BQ$1001,MATCH(ROWS($AH$2:AH696),$AH$2:$AH$1001,0),MATCH(COLUMNS($AO$1006:AO1006),$AO$1006:$BQ$1006,0)), HYPERLINK("#",""), HYPERLINK(CONCATENATE("#Metadata!", ADDRESS(INDEX($AJ$2:$AJ$1001,MATCH(ROWS($AH$2:AH696),$AH$2:$AH$1001,0),0), INDEX($AO$1004:$BQ$1004,1,MATCH(COLUMNS($AO$1006:AO1006),$AO$1006:$BQ$1006,0)))),"Fix")))</f>
        <v>#N/A</v>
      </c>
      <c r="C696" s="5" t="e">
        <f ca="1">IF(OR(INDEX($AI$2:$AI$1001,MATCH(ROWS($AH$2:AH696),$AH$2:$AH$1001,0),1)&gt;=100000,INDEX($AO$1005:$BQ$1005,1,MATCH(COLUMNS($AO$1006:AP1006),$AO$1006:$BQ$1006,0))&gt;=100000), " ",IF(INDEX($AO$2:$BQ$1001,MATCH(ROWS($AH$2:AH696),$AH$2:$AH$1001,0),MATCH(COLUMNS($AO$1006:AP1006),$AO$1006:$BQ$1006,0)), HYPERLINK("#",""), HYPERLINK(CONCATENATE("#Metadata!", ADDRESS(INDEX($AJ$2:$AJ$1001,MATCH(ROWS($AH$2:AH696),$AH$2:$AH$1001,0),0), INDEX($AO$1004:$BQ$1004,1,MATCH(COLUMNS($AO$1006:AP1006),$AO$1006:$BQ$1006,0)))),"Fix")))</f>
        <v>#N/A</v>
      </c>
      <c r="D696" s="5" t="e">
        <f ca="1">IF(OR(INDEX($AI$2:$AI$1001,MATCH(ROWS($AH$2:AH696),$AH$2:$AH$1001,0),1)&gt;=100000,INDEX($AO$1005:$BQ$1005,1,MATCH(COLUMNS($AO$1006:AQ1006),$AO$1006:$BQ$1006,0))&gt;=100000), " ",IF(INDEX($AO$2:$BQ$1001,MATCH(ROWS($AH$2:AH696),$AH$2:$AH$1001,0),MATCH(COLUMNS($AO$1006:AQ1006),$AO$1006:$BQ$1006,0)), HYPERLINK("#",""), HYPERLINK(CONCATENATE("#Metadata!", ADDRESS(INDEX($AJ$2:$AJ$1001,MATCH(ROWS($AH$2:AH696),$AH$2:$AH$1001,0),0), INDEX($AO$1004:$BQ$1004,1,MATCH(COLUMNS($AO$1006:AQ1006),$AO$1006:$BQ$1006,0)))),"Fix")))</f>
        <v>#N/A</v>
      </c>
      <c r="E696" s="5" t="e">
        <f ca="1">IF(OR(INDEX($AI$2:$AI$1001,MATCH(ROWS($AH$2:AH696),$AH$2:$AH$1001,0),1)&gt;=100000,INDEX($AO$1005:$BQ$1005,1,MATCH(COLUMNS($AO$1006:AR1006),$AO$1006:$BQ$1006,0))&gt;=100000), " ",IF(INDEX($AO$2:$BQ$1001,MATCH(ROWS($AH$2:AH696),$AH$2:$AH$1001,0),MATCH(COLUMNS($AO$1006:AR1006),$AO$1006:$BQ$1006,0)), HYPERLINK("#",""), HYPERLINK(CONCATENATE("#Metadata!", ADDRESS(INDEX($AJ$2:$AJ$1001,MATCH(ROWS($AH$2:AH696),$AH$2:$AH$1001,0),0), INDEX($AO$1004:$BQ$1004,1,MATCH(COLUMNS($AO$1006:AR1006),$AO$1006:$BQ$1006,0)))),"Fix")))</f>
        <v>#N/A</v>
      </c>
      <c r="F696" s="5" t="e">
        <f ca="1">IF(OR(INDEX($AI$2:$AI$1001,MATCH(ROWS($AH$2:AH696),$AH$2:$AH$1001,0),1)&gt;=100000,INDEX($AO$1005:$BQ$1005,1,MATCH(COLUMNS($AO$1006:AS1006),$AO$1006:$BQ$1006,0))&gt;=100000), " ",IF(INDEX($AO$2:$BQ$1001,MATCH(ROWS($AH$2:AH696),$AH$2:$AH$1001,0),MATCH(COLUMNS($AO$1006:AS1006),$AO$1006:$BQ$1006,0)), HYPERLINK("#",""), HYPERLINK(CONCATENATE("#Metadata!", ADDRESS(INDEX($AJ$2:$AJ$1001,MATCH(ROWS($AH$2:AH696),$AH$2:$AH$1001,0),0), INDEX($AO$1004:$BQ$1004,1,MATCH(COLUMNS($AO$1006:AS1006),$AO$1006:$BQ$1006,0)))),"Fix")))</f>
        <v>#N/A</v>
      </c>
      <c r="G696" s="5" t="e">
        <f ca="1">IF(OR(INDEX($AI$2:$AI$1001,MATCH(ROWS($AH$2:AH696),$AH$2:$AH$1001,0),1)&gt;=100000,INDEX($AO$1005:$BQ$1005,1,MATCH(COLUMNS($AO$1006:AT1006),$AO$1006:$BQ$1006,0))&gt;=100000), " ",IF(INDEX($AO$2:$BQ$1001,MATCH(ROWS($AH$2:AH696),$AH$2:$AH$1001,0),MATCH(COLUMNS($AO$1006:AT1006),$AO$1006:$BQ$1006,0)), HYPERLINK("#",""), HYPERLINK(CONCATENATE("#Metadata!", ADDRESS(INDEX($AJ$2:$AJ$1001,MATCH(ROWS($AH$2:AH696),$AH$2:$AH$1001,0),0), INDEX($AO$1004:$BQ$1004,1,MATCH(COLUMNS($AO$1006:AT1006),$AO$1006:$BQ$1006,0)))),"Fix")))</f>
        <v>#N/A</v>
      </c>
      <c r="H696" s="5" t="e">
        <f ca="1">IF(OR(INDEX($AI$2:$AI$1001,MATCH(ROWS($AH$2:AH696),$AH$2:$AH$1001,0),1)&gt;=100000,INDEX($AO$1005:$BQ$1005,1,MATCH(COLUMNS($AO$1006:AU1006),$AO$1006:$BQ$1006,0))&gt;=100000), " ",IF(INDEX($AO$2:$BQ$1001,MATCH(ROWS($AH$2:AH696),$AH$2:$AH$1001,0),MATCH(COLUMNS($AO$1006:AU1006),$AO$1006:$BQ$1006,0)), HYPERLINK("#",""), HYPERLINK(CONCATENATE("#Metadata!", ADDRESS(INDEX($AJ$2:$AJ$1001,MATCH(ROWS($AH$2:AH696),$AH$2:$AH$1001,0),0), INDEX($AO$1004:$BQ$1004,1,MATCH(COLUMNS($AO$1006:AU1006),$AO$1006:$BQ$1006,0)))),"Fix")))</f>
        <v>#N/A</v>
      </c>
      <c r="I696" s="5" t="e">
        <f ca="1">IF(OR(INDEX($AI$2:$AI$1001,MATCH(ROWS($AH$2:AH696),$AH$2:$AH$1001,0),1)&gt;=100000,INDEX($AO$1005:$BQ$1005,1,MATCH(COLUMNS($AO$1006:AV1006),$AO$1006:$BQ$1006,0))&gt;=100000), " ",IF(INDEX($AO$2:$BQ$1001,MATCH(ROWS($AH$2:AH696),$AH$2:$AH$1001,0),MATCH(COLUMNS($AO$1006:AV1006),$AO$1006:$BQ$1006,0)), HYPERLINK("#",""), HYPERLINK(CONCATENATE("#Metadata!", ADDRESS(INDEX($AJ$2:$AJ$1001,MATCH(ROWS($AH$2:AH696),$AH$2:$AH$1001,0),0), INDEX($AO$1004:$BQ$1004,1,MATCH(COLUMNS($AO$1006:AV1006),$AO$1006:$BQ$1006,0)))),"Fix")))</f>
        <v>#N/A</v>
      </c>
      <c r="J696" s="5" t="e">
        <f ca="1">IF(OR(INDEX($AI$2:$AI$1001,MATCH(ROWS($AH$2:AH696),$AH$2:$AH$1001,0),1)&gt;=100000,INDEX($AO$1005:$BQ$1005,1,MATCH(COLUMNS($AO$1006:AW1006),$AO$1006:$BQ$1006,0))&gt;=100000), " ",IF(INDEX($AO$2:$BQ$1001,MATCH(ROWS($AH$2:AH696),$AH$2:$AH$1001,0),MATCH(COLUMNS($AO$1006:AW1006),$AO$1006:$BQ$1006,0)), HYPERLINK("#",""), HYPERLINK(CONCATENATE("#Metadata!", ADDRESS(INDEX($AJ$2:$AJ$1001,MATCH(ROWS($AH$2:AH696),$AH$2:$AH$1001,0),0), INDEX($AO$1004:$BQ$1004,1,MATCH(COLUMNS($AO$1006:AW1006),$AO$1006:$BQ$1006,0)))),"Fix")))</f>
        <v>#N/A</v>
      </c>
      <c r="K696" s="5" t="e">
        <f ca="1">IF(OR(INDEX($AI$2:$AI$1001,MATCH(ROWS($AH$2:AH696),$AH$2:$AH$1001,0),1)&gt;=100000,INDEX($AO$1005:$BQ$1005,1,MATCH(COLUMNS($AO$1006:AX1006),$AO$1006:$BQ$1006,0))&gt;=100000), " ",IF(INDEX($AO$2:$BQ$1001,MATCH(ROWS($AH$2:AH696),$AH$2:$AH$1001,0),MATCH(COLUMNS($AO$1006:AX1006),$AO$1006:$BQ$1006,0)), HYPERLINK("#",""), HYPERLINK(CONCATENATE("#Metadata!", ADDRESS(INDEX($AJ$2:$AJ$1001,MATCH(ROWS($AH$2:AH696),$AH$2:$AH$1001,0),0), INDEX($AO$1004:$BQ$1004,1,MATCH(COLUMNS($AO$1006:AX1006),$AO$1006:$BQ$1006,0)))),"Fix")))</f>
        <v>#N/A</v>
      </c>
      <c r="L696" s="5" t="e">
        <f ca="1">IF(OR(INDEX($AI$2:$AI$1001,MATCH(ROWS($AH$2:AH696),$AH$2:$AH$1001,0),1)&gt;=100000,INDEX($AO$1005:$BQ$1005,1,MATCH(COLUMNS($AO$1006:AY1006),$AO$1006:$BQ$1006,0))&gt;=100000), " ",IF(INDEX($AO$2:$BQ$1001,MATCH(ROWS($AH$2:AH696),$AH$2:$AH$1001,0),MATCH(COLUMNS($AO$1006:AY1006),$AO$1006:$BQ$1006,0)), HYPERLINK("#",""), HYPERLINK(CONCATENATE("#Metadata!", ADDRESS(INDEX($AJ$2:$AJ$1001,MATCH(ROWS($AH$2:AH696),$AH$2:$AH$1001,0),0), INDEX($AO$1004:$BQ$1004,1,MATCH(COLUMNS($AO$1006:AY1006),$AO$1006:$BQ$1006,0)))),"Fix")))</f>
        <v>#N/A</v>
      </c>
      <c r="M696" s="5" t="e">
        <f ca="1">IF(OR(INDEX($AI$2:$AI$1001,MATCH(ROWS($AH$2:AH696),$AH$2:$AH$1001,0),1)&gt;=100000,INDEX($AO$1005:$BQ$1005,1,MATCH(COLUMNS($AO$1006:AZ1006),$AO$1006:$BQ$1006,0))&gt;=100000), " ",IF(INDEX($AO$2:$BQ$1001,MATCH(ROWS($AH$2:AH696),$AH$2:$AH$1001,0),MATCH(COLUMNS($AO$1006:AZ1006),$AO$1006:$BQ$1006,0)), HYPERLINK("#",""), HYPERLINK(CONCATENATE("#Metadata!", ADDRESS(INDEX($AJ$2:$AJ$1001,MATCH(ROWS($AH$2:AH696),$AH$2:$AH$1001,0),0), INDEX($AO$1004:$BQ$1004,1,MATCH(COLUMNS($AO$1006:AZ1006),$AO$1006:$BQ$1006,0)))),"Fix")))</f>
        <v>#N/A</v>
      </c>
      <c r="N696" s="5" t="e">
        <f ca="1">IF(OR(INDEX($AI$2:$AI$1001,MATCH(ROWS($AH$2:AH696),$AH$2:$AH$1001,0),1)&gt;=100000,INDEX($AO$1005:$BQ$1005,1,MATCH(COLUMNS($AO$1006:BA1006),$AO$1006:$BQ$1006,0))&gt;=100000), " ",IF(INDEX($AO$2:$BQ$1001,MATCH(ROWS($AH$2:AH696),$AH$2:$AH$1001,0),MATCH(COLUMNS($AO$1006:BA1006),$AO$1006:$BQ$1006,0)), HYPERLINK("#",""), HYPERLINK(CONCATENATE("#Metadata!", ADDRESS(INDEX($AJ$2:$AJ$1001,MATCH(ROWS($AH$2:AH696),$AH$2:$AH$1001,0),0), INDEX($AO$1004:$BQ$1004,1,MATCH(COLUMNS($AO$1006:BA1006),$AO$1006:$BQ$1006,0)))),"Fix")))</f>
        <v>#N/A</v>
      </c>
      <c r="O696" s="5" t="e">
        <f ca="1">IF(OR(INDEX($AI$2:$AI$1001,MATCH(ROWS($AH$2:AH696),$AH$2:$AH$1001,0),1)&gt;=100000,INDEX($AO$1005:$BQ$1005,1,MATCH(COLUMNS($AO$1006:BB1006),$AO$1006:$BQ$1006,0))&gt;=100000), " ",IF(INDEX($AO$2:$BQ$1001,MATCH(ROWS($AH$2:AH696),$AH$2:$AH$1001,0),MATCH(COLUMNS($AO$1006:BB1006),$AO$1006:$BQ$1006,0)), HYPERLINK("#",""), HYPERLINK(CONCATENATE("#Metadata!", ADDRESS(INDEX($AJ$2:$AJ$1001,MATCH(ROWS($AH$2:AH696),$AH$2:$AH$1001,0),0), INDEX($AO$1004:$BQ$1004,1,MATCH(COLUMNS($AO$1006:BB1006),$AO$1006:$BQ$1006,0)))),"Fix")))</f>
        <v>#N/A</v>
      </c>
      <c r="P696" s="5" t="e">
        <f ca="1">IF(OR(INDEX($AI$2:$AI$1001,MATCH(ROWS($AH$2:AH696),$AH$2:$AH$1001,0),1)&gt;=100000,INDEX($AO$1005:$BQ$1005,1,MATCH(COLUMNS($AO$1006:BC1006),$AO$1006:$BQ$1006,0))&gt;=100000), " ",IF(INDEX($AO$2:$BQ$1001,MATCH(ROWS($AH$2:AH696),$AH$2:$AH$1001,0),MATCH(COLUMNS($AO$1006:BC1006),$AO$1006:$BQ$1006,0)), HYPERLINK("#",""), HYPERLINK(CONCATENATE("#Metadata!", ADDRESS(INDEX($AJ$2:$AJ$1001,MATCH(ROWS($AH$2:AH696),$AH$2:$AH$1001,0),0), INDEX($AO$1004:$BQ$1004,1,MATCH(COLUMNS($AO$1006:BC1006),$AO$1006:$BQ$1006,0)))),"Fix")))</f>
        <v>#N/A</v>
      </c>
      <c r="Q696" s="5" t="e">
        <f ca="1">IF(OR(INDEX($AI$2:$AI$1001,MATCH(ROWS($AH$2:AH696),$AH$2:$AH$1001,0),1)&gt;=100000,INDEX($AO$1005:$BQ$1005,1,MATCH(COLUMNS($AO$1006:BD1006),$AO$1006:$BQ$1006,0))&gt;=100000), " ",IF(INDEX($AO$2:$BQ$1001,MATCH(ROWS($AH$2:AH696),$AH$2:$AH$1001,0),MATCH(COLUMNS($AO$1006:BD1006),$AO$1006:$BQ$1006,0)), HYPERLINK("#",""), HYPERLINK(CONCATENATE("#Metadata!", ADDRESS(INDEX($AJ$2:$AJ$1001,MATCH(ROWS($AH$2:AH696),$AH$2:$AH$1001,0),0), INDEX($AO$1004:$BQ$1004,1,MATCH(COLUMNS($AO$1006:BD1006),$AO$1006:$BQ$1006,0)))),"Fix")))</f>
        <v>#N/A</v>
      </c>
      <c r="R696" s="5" t="e">
        <f ca="1">IF(OR(INDEX($AI$2:$AI$1001,MATCH(ROWS($AH$2:AH696),$AH$2:$AH$1001,0),1)&gt;=100000,INDEX($AO$1005:$BQ$1005,1,MATCH(COLUMNS($AO$1006:BE1006),$AO$1006:$BQ$1006,0))&gt;=100000), " ",IF(INDEX($AO$2:$BQ$1001,MATCH(ROWS($AH$2:AH696),$AH$2:$AH$1001,0),MATCH(COLUMNS($AO$1006:BE1006),$AO$1006:$BQ$1006,0)), HYPERLINK("#",""), HYPERLINK(CONCATENATE("#Metadata!", ADDRESS(INDEX($AJ$2:$AJ$1001,MATCH(ROWS($AH$2:AH696),$AH$2:$AH$1001,0),0), INDEX($AO$1004:$BQ$1004,1,MATCH(COLUMNS($AO$1006:BE1006),$AO$1006:$BQ$1006,0)))),"Fix")))</f>
        <v>#N/A</v>
      </c>
      <c r="S696" s="5" t="e">
        <f ca="1">IF(OR(INDEX($AI$2:$AI$1001,MATCH(ROWS($AH$2:AH696),$AH$2:$AH$1001,0),1)&gt;=100000,INDEX($AO$1005:$BQ$1005,1,MATCH(COLUMNS($AO$1006:BF1006),$AO$1006:$BQ$1006,0))&gt;=100000), " ",IF(INDEX($AO$2:$BQ$1001,MATCH(ROWS($AH$2:AH696),$AH$2:$AH$1001,0),MATCH(COLUMNS($AO$1006:BF1006),$AO$1006:$BQ$1006,0)), HYPERLINK("#",""), HYPERLINK(CONCATENATE("#Metadata!", ADDRESS(INDEX($AJ$2:$AJ$1001,MATCH(ROWS($AH$2:AH696),$AH$2:$AH$1001,0),0), INDEX($AO$1004:$BQ$1004,1,MATCH(COLUMNS($AO$1006:BF1006),$AO$1006:$BQ$1006,0)))),"Fix")))</f>
        <v>#N/A</v>
      </c>
      <c r="T696" s="5" t="e">
        <f ca="1">IF(OR(INDEX($AI$2:$AI$1001,MATCH(ROWS($AH$2:AH696),$AH$2:$AH$1001,0),1)&gt;=100000,INDEX($AO$1005:$BQ$1005,1,MATCH(COLUMNS($AO$1006:BG1006),$AO$1006:$BQ$1006,0))&gt;=100000), " ",IF(INDEX($AO$2:$BQ$1001,MATCH(ROWS($AH$2:AH696),$AH$2:$AH$1001,0),MATCH(COLUMNS($AO$1006:BG1006),$AO$1006:$BQ$1006,0)), HYPERLINK("#",""), HYPERLINK(CONCATENATE("#Metadata!", ADDRESS(INDEX($AJ$2:$AJ$1001,MATCH(ROWS($AH$2:AH696),$AH$2:$AH$1001,0),0), INDEX($AO$1004:$BQ$1004,1,MATCH(COLUMNS($AO$1006:BG1006),$AO$1006:$BQ$1006,0)))),"Fix")))</f>
        <v>#N/A</v>
      </c>
      <c r="U696" s="5" t="e">
        <f ca="1">IF(OR(INDEX($AI$2:$AI$1001,MATCH(ROWS($AH$2:AH696),$AH$2:$AH$1001,0),1)&gt;=100000,INDEX($AO$1005:$BQ$1005,1,MATCH(COLUMNS($AO$1006:BH1006),$AO$1006:$BQ$1006,0))&gt;=100000), " ",IF(INDEX($AO$2:$BQ$1001,MATCH(ROWS($AH$2:AH696),$AH$2:$AH$1001,0),MATCH(COLUMNS($AO$1006:BH1006),$AO$1006:$BQ$1006,0)), HYPERLINK("#",""), HYPERLINK(CONCATENATE("#Metadata!", ADDRESS(INDEX($AJ$2:$AJ$1001,MATCH(ROWS($AH$2:AH696),$AH$2:$AH$1001,0),0), INDEX($AO$1004:$BQ$1004,1,MATCH(COLUMNS($AO$1006:BH1006),$AO$1006:$BQ$1006,0)))),"Fix")))</f>
        <v>#N/A</v>
      </c>
      <c r="V696" s="5" t="e">
        <f ca="1">IF(OR(INDEX($AI$2:$AI$1001,MATCH(ROWS($AH$2:AH696),$AH$2:$AH$1001,0),1)&gt;=100000,INDEX($AO$1005:$BQ$1005,1,MATCH(COLUMNS($AO$1006:BI1006),$AO$1006:$BQ$1006,0))&gt;=100000), " ",IF(INDEX($AO$2:$BQ$1001,MATCH(ROWS($AH$2:AH696),$AH$2:$AH$1001,0),MATCH(COLUMNS($AO$1006:BI1006),$AO$1006:$BQ$1006,0)), HYPERLINK("#",""), HYPERLINK(CONCATENATE("#Metadata!", ADDRESS(INDEX($AJ$2:$AJ$1001,MATCH(ROWS($AH$2:AH696),$AH$2:$AH$1001,0),0), INDEX($AO$1004:$BQ$1004,1,MATCH(COLUMNS($AO$1006:BI1006),$AO$1006:$BQ$1006,0)))),"Fix")))</f>
        <v>#N/A</v>
      </c>
      <c r="W696" s="5" t="e">
        <f ca="1">IF(OR(INDEX($AI$2:$AI$1001,MATCH(ROWS($AH$2:AH696),$AH$2:$AH$1001,0),1)&gt;=100000,INDEX($AO$1005:$BQ$1005,1,MATCH(COLUMNS($AO$1006:BJ1006),$AO$1006:$BQ$1006,0))&gt;=100000), " ",IF(INDEX($AO$2:$BQ$1001,MATCH(ROWS($AH$2:AH696),$AH$2:$AH$1001,0),MATCH(COLUMNS($AO$1006:BJ1006),$AO$1006:$BQ$1006,0)), HYPERLINK("#",""), HYPERLINK(CONCATENATE("#Metadata!", ADDRESS(INDEX($AJ$2:$AJ$1001,MATCH(ROWS($AH$2:AH696),$AH$2:$AH$1001,0),0), INDEX($AO$1004:$BQ$1004,1,MATCH(COLUMNS($AO$1006:BJ1006),$AO$1006:$BQ$1006,0)))),"Fix")))</f>
        <v>#N/A</v>
      </c>
      <c r="X696" s="5" t="e">
        <f ca="1">IF(OR(INDEX($AI$2:$AI$1001,MATCH(ROWS($AH$2:AH696),$AH$2:$AH$1001,0),1)&gt;=100000,INDEX($AO$1005:$BQ$1005,1,MATCH(COLUMNS($AO$1006:BK1006),$AO$1006:$BQ$1006,0))&gt;=100000), " ",IF(INDEX($AO$2:$BQ$1001,MATCH(ROWS($AH$2:AH696),$AH$2:$AH$1001,0),MATCH(COLUMNS($AO$1006:BK1006),$AO$1006:$BQ$1006,0)), HYPERLINK("#",""), HYPERLINK(CONCATENATE("#Metadata!", ADDRESS(INDEX($AJ$2:$AJ$1001,MATCH(ROWS($AH$2:AH696),$AH$2:$AH$1001,0),0), INDEX($AO$1004:$BQ$1004,1,MATCH(COLUMNS($AO$1006:BK1006),$AO$1006:$BQ$1006,0)))),"Fix")))</f>
        <v>#N/A</v>
      </c>
      <c r="Y696" s="5" t="e">
        <f ca="1">IF(OR(INDEX($AI$2:$AI$1001,MATCH(ROWS($AH$2:AH696),$AH$2:$AH$1001,0),1)&gt;=100000,INDEX($AO$1005:$BQ$1005,1,MATCH(COLUMNS($AO$1006:BL1006),$AO$1006:$BQ$1006,0))&gt;=100000), " ",IF(INDEX($AO$2:$BQ$1001,MATCH(ROWS($AH$2:AH696),$AH$2:$AH$1001,0),MATCH(COLUMNS($AO$1006:BL1006),$AO$1006:$BQ$1006,0)), HYPERLINK("#",""), HYPERLINK(CONCATENATE("#Metadata!", ADDRESS(INDEX($AJ$2:$AJ$1001,MATCH(ROWS($AH$2:AH696),$AH$2:$AH$1001,0),0), INDEX($AO$1004:$BQ$1004,1,MATCH(COLUMNS($AO$1006:BL1006),$AO$1006:$BQ$1006,0)))),"Fix")))</f>
        <v>#N/A</v>
      </c>
      <c r="Z696" s="5" t="e">
        <f ca="1">IF(OR(INDEX($AI$2:$AI$1001,MATCH(ROWS($AH$2:AH696),$AH$2:$AH$1001,0),1)&gt;=100000,INDEX($AO$1005:$BQ$1005,1,MATCH(COLUMNS($AO$1006:BM1006),$AO$1006:$BQ$1006,0))&gt;=100000), " ",IF(INDEX($AO$2:$BQ$1001,MATCH(ROWS($AH$2:AH696),$AH$2:$AH$1001,0),MATCH(COLUMNS($AO$1006:BM1006),$AO$1006:$BQ$1006,0)), HYPERLINK("#",""), HYPERLINK(CONCATENATE("#Metadata!", ADDRESS(INDEX($AJ$2:$AJ$1001,MATCH(ROWS($AH$2:AH696),$AH$2:$AH$1001,0),0), INDEX($AO$1004:$BQ$1004,1,MATCH(COLUMNS($AO$1006:BM1006),$AO$1006:$BQ$1006,0)))),"Fix")))</f>
        <v>#N/A</v>
      </c>
      <c r="AA696" s="5" t="e">
        <f ca="1">IF(OR(INDEX($AI$2:$AI$1001,MATCH(ROWS($AH$2:AH696),$AH$2:$AH$1001,0),1)&gt;=100000,INDEX($AO$1005:$BQ$1005,1,MATCH(COLUMNS($AO$1006:BN1006),$AO$1006:$BQ$1006,0))&gt;=100000), " ",IF(INDEX($AO$2:$BQ$1001,MATCH(ROWS($AH$2:AH696),$AH$2:$AH$1001,0),MATCH(COLUMNS($AO$1006:BN1006),$AO$1006:$BQ$1006,0)), HYPERLINK("#",""), HYPERLINK(CONCATENATE("#Metadata!", ADDRESS(INDEX($AJ$2:$AJ$1001,MATCH(ROWS($AH$2:AH696),$AH$2:$AH$1001,0),0), INDEX($AO$1004:$BQ$1004,1,MATCH(COLUMNS($AO$1006:BN1006),$AO$1006:$BQ$1006,0)))),"Fix")))</f>
        <v>#N/A</v>
      </c>
      <c r="AB696" s="5" t="e">
        <f ca="1">IF(OR(INDEX($AI$2:$AI$1001,MATCH(ROWS($AH$2:AH696),$AH$2:$AH$1001,0),1)&gt;=100000,INDEX($AO$1005:$BQ$1005,1,MATCH(COLUMNS($AO$1006:BO1006),$AO$1006:$BQ$1006,0))&gt;=100000), " ",IF(INDEX($AO$2:$BQ$1001,MATCH(ROWS($AH$2:AH696),$AH$2:$AH$1001,0),MATCH(COLUMNS($AO$1006:BO1006),$AO$1006:$BQ$1006,0)), HYPERLINK("#",""), HYPERLINK(CONCATENATE("#Metadata!", ADDRESS(INDEX($AJ$2:$AJ$1001,MATCH(ROWS($AH$2:AH696),$AH$2:$AH$1001,0),0), INDEX($AO$1004:$BQ$1004,1,MATCH(COLUMNS($AO$1006:BO1006),$AO$1006:$BQ$1006,0)))),"Fix")))</f>
        <v>#N/A</v>
      </c>
      <c r="AC696" s="5" t="e">
        <f ca="1">IF(OR(INDEX($AI$2:$AI$1001,MATCH(ROWS($AH$2:AH696),$AH$2:$AH$1001,0),1)&gt;=100000,INDEX($AO$1005:$BQ$1005,1,MATCH(COLUMNS($AO$1006:BP1006),$AO$1006:$BQ$1006,0))&gt;=100000), " ",IF(INDEX($AO$2:$BQ$1001,MATCH(ROWS($AH$2:AH696),$AH$2:$AH$1001,0),MATCH(COLUMNS($AO$1006:BP1006),$AO$1006:$BQ$1006,0)), HYPERLINK("#",""), HYPERLINK(CONCATENATE("#Metadata!", ADDRESS(INDEX($AJ$2:$AJ$1001,MATCH(ROWS($AH$2:AH696),$AH$2:$AH$1001,0),0), INDEX($AO$1004:$BQ$1004,1,MATCH(COLUMNS($AO$1006:BP1006),$AO$1006:$BQ$1006,0)))),"Fix")))</f>
        <v>#N/A</v>
      </c>
      <c r="AD696" s="5" t="e">
        <f ca="1">IF(OR(INDEX($AI$2:$AI$1001,MATCH(ROWS($AH$2:AH696),$AH$2:$AH$1001,0),1)&gt;=100000,INDEX($AO$1005:$BQ$1005,1,MATCH(COLUMNS($AO$1006:BQ1006),$AO$1006:$BQ$1006,0))&gt;=100000), " ",IF(INDEX($AO$2:$BQ$1001,MATCH(ROWS($AH$2:AH696),$AH$2:$AH$1001,0),MATCH(COLUMNS($AO$1006:BQ1006),$AO$1006:$BQ$1006,0)), HYPERLINK("#",""), HYPERLINK(CONCATENATE("#Metadata!", ADDRESS(INDEX($AJ$2:$AJ$1001,MATCH(ROWS($AH$2:AH696),$AH$2:$AH$1001,0),0), INDEX($AO$1004:$BQ$1004,1,MATCH(COLUMNS($AO$1006:BQ1006),$AO$1006:$BQ$1006,0)))),"Fix")))</f>
        <v>#REF!</v>
      </c>
      <c r="AH696">
        <f ca="1"/>
        <v>693</v>
      </c>
      <c r="AI696">
        <v>100696</v>
      </c>
      <c r="AJ696">
        <v>696</v>
      </c>
      <c r="AK696" t="b">
        <f t="shared" si="10"/>
        <v>1</v>
      </c>
      <c r="AL696" t="b">
        <f>COUNTBLANK(Metadata!B696:AD696)=COLUMNS(Metadata!B696:AD696)</f>
        <v>1</v>
      </c>
      <c r="AM696" t="str">
        <v/>
      </c>
      <c r="AO696" t="b">
        <f ca="1">AND(IF(Metadata!B696="",FALSE,TRUE),COUNTIF(Metadata!B:B, Metadata!B696) = 1,NOT(ISERROR(SUMPRODUCT(SEARCH(MID(Metadata!B696,ROW(INDIRECT("1:"&amp;LEN(Metadata!B696))), 1),"0123456789abcdefghijklmnopqrstuvwxyzABCDEFGHIJKLMNOPQRSTUVWXYZ.")))))</f>
        <v>0</v>
      </c>
      <c r="AP696" t="b">
        <f>IF(Metadata!C696="",FALSE,TRUE)</f>
        <v>0</v>
      </c>
      <c r="AQ696" t="b">
        <f>IF(Metadata!D696="",FALSE,TRUE)</f>
        <v>0</v>
      </c>
      <c r="AR696" t="b">
        <f ca="1">OR(AND(IF(Metadata!E696="",FALSE,TRUE),OR(EXACT(Metadata!E696,"not collected"),EXACT(Metadata!E696,"not provided"),EXACT(Metadata!E696,"restricted access"))),AND(IF(Metadata!E696="",FALSE,TRUE),AND(AND(IFERROR(INT(LEFT(Metadata!E696,4))&gt;1900,FALSE),IFERROR(INT(LEFT(Metadata!E696,4))&lt;=YEAR(NOW()),FALSE)), OR(MID(Metadata!E696,5,1)="", AND(AND(MID(Metadata!E696,5,1)="-",IFERROR(INT(MID(Metadata!E696,6,1))&gt;=0,FALSE),IFERROR(INT(MID(Metadata!E696,6,1))&lt;=1,FALSE),NOT(MID(Metadata!E696,7,1)=""),IFERROR(INT(MID(Metadata!E696,6,2))&gt;=1,FALSE),IFERROR(INT(MID(Metadata!E696,6,2))&lt;=12,FALSE)), OR(MID(Metadata!E696,8,1)="", AND(AND(MID(Metadata!E696,8,1)="-",IFERROR(INT(MID(Metadata!E696,9,1))&gt;=0,FALSE),IFERROR(INT(MID(Metadata!E696,9,1))&lt;=3,FALSE),NOT(MID(Metadata!E696,10,1)=""),IFERROR(INT(MID(Metadata!E696,9,2))&gt;=1,FALSE),IFERROR(INT(MID(Metadata!E696,9,2))&lt;=31,FALSE)), OR(MID(Metadata!E696,11,1)="", AND(AND(MID(Metadata!E696,11,1)=" ",IFERROR(INT(MID(Metadata!E696,12,1))&gt;=0,FALSE),IFERROR(INT(MID(Metadata!E696,12,1))&lt;=2,FALSE),NOT(MID(Metadata!E696,13,1)=""),IFERROR(INT(MID(Metadata!E696,12,2))&gt;=0,FALSE),IFERROR(INT(MID(Metadata!E696,12,2))&lt;=23,FALSE)), OR(MID(Metadata!E696,14,1)="", AND(AND(MID(Metadata!E696,14,1)=":",IFERROR(INT(MID(Metadata!E696,15,1))&gt;=0,FALSE),IFERROR(INT(MID(Metadata!E696,15,1))&lt;=5,FALSE),NOT(MID(Metadata!E696,16,1)=""),IFERROR(INT(MID(Metadata!E696,15,2))&gt;=0,FALSE),IFERROR(INT(MID(Metadata!E696,15,2))&lt;=59,FALSE)), OR(MID(Metadata!E696,17,1)="", AND(AND(MID(Metadata!E696,17,1)=":",IFERROR(INT(MID(Metadata!E696,18,1))&gt;=0,FALSE),IFERROR(INT(MID(Metadata!E696,18,1))&lt;=5,FALSE),NOT(MID(Metadata!E696,19,1)=""),IFERROR(INT(MID(Metadata!E696,18,2))&gt;=0,FALSE),IFERROR(INT(MID(Metadata!E696,18,2))&lt;=59,FALSE)), LEN(Metadata!E696)&lt;=19)))))))))))))</f>
        <v>0</v>
      </c>
      <c r="AS696" t="b">
        <f>IF(Metadata!F696="",FALSE,TRUE)</f>
        <v>0</v>
      </c>
      <c r="AT696" t="b">
        <f>OR(AND(IF(Metadata!G696="",FALSE,TRUE),OR(EXACT(Metadata!G696,"not collected"),EXACT(Metadata!G696,"not provided"))),AND(IF(Metadata!G696="",FALSE,TRUE),OR(EXACT(Metadata!G696,"TRUE"),EXACT(Metadata!G696,"FALSE"))))</f>
        <v>0</v>
      </c>
      <c r="AU696" t="b">
        <f>OR(AND(IF(Metadata!H696="",FALSE,TRUE),OR(EXACT(Metadata!H696,"not collected"),EXACT(Metadata!H696,"not provided"),EXACT(Metadata!H696,"restricted access"))),AND(IF(Metadata!H696="",FALSE,ISNUMBER(VALUE(Metadata!H696))),Metadata!H696&gt;=-413))</f>
        <v>0</v>
      </c>
      <c r="AV696" t="b">
        <f>AND(IF(Metadata!I696="",FALSE,TRUE),EXACT(Metadata!I696,"meters"))</f>
        <v>0</v>
      </c>
      <c r="AW696" t="b">
        <f>AND(IF(Metadata!J696="",FALSE,TRUE),EXACT(Metadata!J696,"free-living"))</f>
        <v>0</v>
      </c>
      <c r="AX696" t="b">
        <f>AND(IF(Metadata!K696="",FALSE,TRUE),OR(EXACT(Metadata!K696,"saline"),EXACT(Metadata!K696,"non-saline")))</f>
        <v>0</v>
      </c>
      <c r="AY696" t="b">
        <f>AND(IF(Metadata!L696="",FALSE,TRUE),OR(EXACT(Metadata!L696,"sub-surface (non-saline)"),EXACT(Metadata!L696,"surface (non-saline)"),EXACT(Metadata!L696,"water (non-saline)"),EXACT(Metadata!L696,"soil (non-saline)"),EXACT(Metadata!L696,"aerosol (non-saline)"),EXACT(Metadata!L696,"sediment (non-saline)"),EXACT(Metadata!L696,"surface (saline)"),EXACT(Metadata!L696,"water (saline)"),EXACT(Metadata!L696,"hypersaline (saline)"),EXACT(Metadata!L696,"aerosol (saline)"),EXACT(Metadata!L696,"sediment (saline)")))</f>
        <v>0</v>
      </c>
      <c r="AZ696" t="b">
        <f>IF(Metadata!M696="",FALSE,TRUE)</f>
        <v>0</v>
      </c>
      <c r="BA696" t="b">
        <f>IF(Metadata!N696="",FALSE,TRUE)</f>
        <v>0</v>
      </c>
      <c r="BB696" t="b">
        <f>IF(Metadata!O696="",FALSE,TRUE)</f>
        <v>0</v>
      </c>
      <c r="BC696" t="b">
        <f>AND(IF(Metadata!P696="",FALSE,TRUE),OR(EXACT(Metadata!P696,"air"),EXACT(Metadata!P696,"microbial mat/biofilm"),EXACT(Metadata!P696,"misc environment"),EXACT(Metadata!P696,"sediment"),EXACT(Metadata!P696,"soil"),EXACT(Metadata!P696,"wastewater/sludge"),EXACT(Metadata!P696,"water")))</f>
        <v>0</v>
      </c>
      <c r="BD696" t="b">
        <f>IF(Metadata!Q696="",FALSE,TRUE)</f>
        <v>0</v>
      </c>
      <c r="BE696" t="b">
        <f>IF(Metadata!R696="",FALSE,TRUE)</f>
        <v>0</v>
      </c>
      <c r="BF696" t="b">
        <f>OR(AND(IF(Metadata!S696="",FALSE,TRUE),OR(EXACT(Metadata!S696,"not collected"),EXACT(Metadata!S696,"not provided"),EXACT(Metadata!S696,"restricted access"))),AND(IF(Metadata!S696="",FALSE,ISNUMBER(VALUE(Metadata!S696))),Metadata!S696&gt;=-90,Metadata!S696&lt;=90))</f>
        <v>0</v>
      </c>
      <c r="BG696" t="b">
        <f>AND(IF(Metadata!T696="",FALSE,TRUE),EXACT(Metadata!T696,"Decimal degrees"))</f>
        <v>0</v>
      </c>
      <c r="BH696" t="b">
        <f>OR(AND(IF(Metadata!U696="",FALSE,TRUE),OR(EXACT(Metadata!U696,"not applicable"),EXACT(Metadata!U696,"not collected"))),IF(Metadata!U696="",FALSE,TRUE))</f>
        <v>0</v>
      </c>
      <c r="BI696" t="b">
        <f>OR(AND(IF(Metadata!V696="",FALSE,TRUE),OR(EXACT(Metadata!V696,"not collected"),EXACT(Metadata!V696,"not provided"),EXACT(Metadata!V696,"restricted access"))),AND(IF(Metadata!V696="",FALSE,ISNUMBER(VALUE(Metadata!V696))),Metadata!V696&gt;=-180,Metadata!V696&lt;=180))</f>
        <v>0</v>
      </c>
      <c r="BJ696" t="b">
        <f>AND(IF(Metadata!W696="",FALSE,TRUE),EXACT(Metadata!W696,"Decimal degrees"))</f>
        <v>0</v>
      </c>
      <c r="BK696" t="b">
        <f>IF(Metadata!X696="",FALSE,TRUE)</f>
        <v>0</v>
      </c>
      <c r="BL696" t="b">
        <f>OR(AND(IF(Metadata!Y696="",FALSE,TRUE),OR(EXACT(Metadata!Y696,"not collected"),EXACT(Metadata!Y696,"not provided"),EXACT(Metadata!Y696,"restricted access"))),AND(IF(Metadata!Y696="",FALSE,TRUE),OR(EXACT(Metadata!Y696,"TRUE"),EXACT(Metadata!Y696,"FALSE"))))</f>
        <v>0</v>
      </c>
      <c r="BM696" t="b">
        <f>OR(AND(IF(Metadata!Z696="",FALSE,TRUE),EXACT(Metadata!Z696,"not applicable")),AND(IF(Metadata!Z696="",FALSE,TRUE),OR(EXACT(Metadata!Z696,"beer"),EXACT(Metadata!Z696,"cheese"),EXACT(Metadata!Z696,"fresh water"),EXACT(Metadata!Z696,"marine sediment"),EXACT(Metadata!Z696,"sea water"),EXACT(Metadata!Z696,"sediment"),EXACT(Metadata!Z696,"soil"),EXACT(Metadata!Z696,"waste water"))))</f>
        <v>0</v>
      </c>
      <c r="BN696" t="b">
        <f>AND(IF(Metadata!AA696="",FALSE,TRUE),EXACT(Metadata!AA696,"metagenome"))</f>
        <v>0</v>
      </c>
      <c r="BO696" t="b">
        <f>AND(IF(Metadata!AB696="",FALSE,TRUE),EXACT(Metadata!AB696,"256318"))</f>
        <v>0</v>
      </c>
      <c r="BP696" t="b">
        <f>IF(Metadata!AC696="",FALSE,TRUE)</f>
        <v>0</v>
      </c>
      <c r="BQ696" t="b">
        <f>IF(Metadata!AD696="",FALSE,TRUE)</f>
        <v>0</v>
      </c>
    </row>
    <row r="697" spans="1:69" x14ac:dyDescent="0.2">
      <c r="A697" s="4" t="e">
        <f ca="1">IF(B697=" "," ",HYPERLINK(CONCATENATE("#metadata!",ADDRESS(INDEX($AJ$2:$AJ$1001,MATCH(ROWS($AH$2:AH697),$AH$2:$AH$1001,0),0),2)),INDEX($AM$2:$AM$1001,MATCH(ROWS($AH$2:AH697),$AH$2:$AH$1001,0),0)))</f>
        <v>#N/A</v>
      </c>
      <c r="B697" s="5" t="e">
        <f ca="1">IF(OR(INDEX($AI$2:$AI$1001,MATCH(ROWS($AH$2:AH697),$AH$2:$AH$1001,0),1)&gt;=100000,INDEX($AO$1005:$BQ$1005,1,MATCH(COLUMNS($AO$1006:AO1006),$AO$1006:$BQ$1006,0))&gt;=100000), " ",IF(INDEX($AO$2:$BQ$1001,MATCH(ROWS($AH$2:AH697),$AH$2:$AH$1001,0),MATCH(COLUMNS($AO$1006:AO1006),$AO$1006:$BQ$1006,0)), HYPERLINK("#",""), HYPERLINK(CONCATENATE("#Metadata!", ADDRESS(INDEX($AJ$2:$AJ$1001,MATCH(ROWS($AH$2:AH697),$AH$2:$AH$1001,0),0), INDEX($AO$1004:$BQ$1004,1,MATCH(COLUMNS($AO$1006:AO1006),$AO$1006:$BQ$1006,0)))),"Fix")))</f>
        <v>#N/A</v>
      </c>
      <c r="C697" s="5" t="e">
        <f ca="1">IF(OR(INDEX($AI$2:$AI$1001,MATCH(ROWS($AH$2:AH697),$AH$2:$AH$1001,0),1)&gt;=100000,INDEX($AO$1005:$BQ$1005,1,MATCH(COLUMNS($AO$1006:AP1006),$AO$1006:$BQ$1006,0))&gt;=100000), " ",IF(INDEX($AO$2:$BQ$1001,MATCH(ROWS($AH$2:AH697),$AH$2:$AH$1001,0),MATCH(COLUMNS($AO$1006:AP1006),$AO$1006:$BQ$1006,0)), HYPERLINK("#",""), HYPERLINK(CONCATENATE("#Metadata!", ADDRESS(INDEX($AJ$2:$AJ$1001,MATCH(ROWS($AH$2:AH697),$AH$2:$AH$1001,0),0), INDEX($AO$1004:$BQ$1004,1,MATCH(COLUMNS($AO$1006:AP1006),$AO$1006:$BQ$1006,0)))),"Fix")))</f>
        <v>#N/A</v>
      </c>
      <c r="D697" s="5" t="e">
        <f ca="1">IF(OR(INDEX($AI$2:$AI$1001,MATCH(ROWS($AH$2:AH697),$AH$2:$AH$1001,0),1)&gt;=100000,INDEX($AO$1005:$BQ$1005,1,MATCH(COLUMNS($AO$1006:AQ1006),$AO$1006:$BQ$1006,0))&gt;=100000), " ",IF(INDEX($AO$2:$BQ$1001,MATCH(ROWS($AH$2:AH697),$AH$2:$AH$1001,0),MATCH(COLUMNS($AO$1006:AQ1006),$AO$1006:$BQ$1006,0)), HYPERLINK("#",""), HYPERLINK(CONCATENATE("#Metadata!", ADDRESS(INDEX($AJ$2:$AJ$1001,MATCH(ROWS($AH$2:AH697),$AH$2:$AH$1001,0),0), INDEX($AO$1004:$BQ$1004,1,MATCH(COLUMNS($AO$1006:AQ1006),$AO$1006:$BQ$1006,0)))),"Fix")))</f>
        <v>#N/A</v>
      </c>
      <c r="E697" s="5" t="e">
        <f ca="1">IF(OR(INDEX($AI$2:$AI$1001,MATCH(ROWS($AH$2:AH697),$AH$2:$AH$1001,0),1)&gt;=100000,INDEX($AO$1005:$BQ$1005,1,MATCH(COLUMNS($AO$1006:AR1006),$AO$1006:$BQ$1006,0))&gt;=100000), " ",IF(INDEX($AO$2:$BQ$1001,MATCH(ROWS($AH$2:AH697),$AH$2:$AH$1001,0),MATCH(COLUMNS($AO$1006:AR1006),$AO$1006:$BQ$1006,0)), HYPERLINK("#",""), HYPERLINK(CONCATENATE("#Metadata!", ADDRESS(INDEX($AJ$2:$AJ$1001,MATCH(ROWS($AH$2:AH697),$AH$2:$AH$1001,0),0), INDEX($AO$1004:$BQ$1004,1,MATCH(COLUMNS($AO$1006:AR1006),$AO$1006:$BQ$1006,0)))),"Fix")))</f>
        <v>#N/A</v>
      </c>
      <c r="F697" s="5" t="e">
        <f ca="1">IF(OR(INDEX($AI$2:$AI$1001,MATCH(ROWS($AH$2:AH697),$AH$2:$AH$1001,0),1)&gt;=100000,INDEX($AO$1005:$BQ$1005,1,MATCH(COLUMNS($AO$1006:AS1006),$AO$1006:$BQ$1006,0))&gt;=100000), " ",IF(INDEX($AO$2:$BQ$1001,MATCH(ROWS($AH$2:AH697),$AH$2:$AH$1001,0),MATCH(COLUMNS($AO$1006:AS1006),$AO$1006:$BQ$1006,0)), HYPERLINK("#",""), HYPERLINK(CONCATENATE("#Metadata!", ADDRESS(INDEX($AJ$2:$AJ$1001,MATCH(ROWS($AH$2:AH697),$AH$2:$AH$1001,0),0), INDEX($AO$1004:$BQ$1004,1,MATCH(COLUMNS($AO$1006:AS1006),$AO$1006:$BQ$1006,0)))),"Fix")))</f>
        <v>#N/A</v>
      </c>
      <c r="G697" s="5" t="e">
        <f ca="1">IF(OR(INDEX($AI$2:$AI$1001,MATCH(ROWS($AH$2:AH697),$AH$2:$AH$1001,0),1)&gt;=100000,INDEX($AO$1005:$BQ$1005,1,MATCH(COLUMNS($AO$1006:AT1006),$AO$1006:$BQ$1006,0))&gt;=100000), " ",IF(INDEX($AO$2:$BQ$1001,MATCH(ROWS($AH$2:AH697),$AH$2:$AH$1001,0),MATCH(COLUMNS($AO$1006:AT1006),$AO$1006:$BQ$1006,0)), HYPERLINK("#",""), HYPERLINK(CONCATENATE("#Metadata!", ADDRESS(INDEX($AJ$2:$AJ$1001,MATCH(ROWS($AH$2:AH697),$AH$2:$AH$1001,0),0), INDEX($AO$1004:$BQ$1004,1,MATCH(COLUMNS($AO$1006:AT1006),$AO$1006:$BQ$1006,0)))),"Fix")))</f>
        <v>#N/A</v>
      </c>
      <c r="H697" s="5" t="e">
        <f ca="1">IF(OR(INDEX($AI$2:$AI$1001,MATCH(ROWS($AH$2:AH697),$AH$2:$AH$1001,0),1)&gt;=100000,INDEX($AO$1005:$BQ$1005,1,MATCH(COLUMNS($AO$1006:AU1006),$AO$1006:$BQ$1006,0))&gt;=100000), " ",IF(INDEX($AO$2:$BQ$1001,MATCH(ROWS($AH$2:AH697),$AH$2:$AH$1001,0),MATCH(COLUMNS($AO$1006:AU1006),$AO$1006:$BQ$1006,0)), HYPERLINK("#",""), HYPERLINK(CONCATENATE("#Metadata!", ADDRESS(INDEX($AJ$2:$AJ$1001,MATCH(ROWS($AH$2:AH697),$AH$2:$AH$1001,0),0), INDEX($AO$1004:$BQ$1004,1,MATCH(COLUMNS($AO$1006:AU1006),$AO$1006:$BQ$1006,0)))),"Fix")))</f>
        <v>#N/A</v>
      </c>
      <c r="I697" s="5" t="e">
        <f ca="1">IF(OR(INDEX($AI$2:$AI$1001,MATCH(ROWS($AH$2:AH697),$AH$2:$AH$1001,0),1)&gt;=100000,INDEX($AO$1005:$BQ$1005,1,MATCH(COLUMNS($AO$1006:AV1006),$AO$1006:$BQ$1006,0))&gt;=100000), " ",IF(INDEX($AO$2:$BQ$1001,MATCH(ROWS($AH$2:AH697),$AH$2:$AH$1001,0),MATCH(COLUMNS($AO$1006:AV1006),$AO$1006:$BQ$1006,0)), HYPERLINK("#",""), HYPERLINK(CONCATENATE("#Metadata!", ADDRESS(INDEX($AJ$2:$AJ$1001,MATCH(ROWS($AH$2:AH697),$AH$2:$AH$1001,0),0), INDEX($AO$1004:$BQ$1004,1,MATCH(COLUMNS($AO$1006:AV1006),$AO$1006:$BQ$1006,0)))),"Fix")))</f>
        <v>#N/A</v>
      </c>
      <c r="J697" s="5" t="e">
        <f ca="1">IF(OR(INDEX($AI$2:$AI$1001,MATCH(ROWS($AH$2:AH697),$AH$2:$AH$1001,0),1)&gt;=100000,INDEX($AO$1005:$BQ$1005,1,MATCH(COLUMNS($AO$1006:AW1006),$AO$1006:$BQ$1006,0))&gt;=100000), " ",IF(INDEX($AO$2:$BQ$1001,MATCH(ROWS($AH$2:AH697),$AH$2:$AH$1001,0),MATCH(COLUMNS($AO$1006:AW1006),$AO$1006:$BQ$1006,0)), HYPERLINK("#",""), HYPERLINK(CONCATENATE("#Metadata!", ADDRESS(INDEX($AJ$2:$AJ$1001,MATCH(ROWS($AH$2:AH697),$AH$2:$AH$1001,0),0), INDEX($AO$1004:$BQ$1004,1,MATCH(COLUMNS($AO$1006:AW1006),$AO$1006:$BQ$1006,0)))),"Fix")))</f>
        <v>#N/A</v>
      </c>
      <c r="K697" s="5" t="e">
        <f ca="1">IF(OR(INDEX($AI$2:$AI$1001,MATCH(ROWS($AH$2:AH697),$AH$2:$AH$1001,0),1)&gt;=100000,INDEX($AO$1005:$BQ$1005,1,MATCH(COLUMNS($AO$1006:AX1006),$AO$1006:$BQ$1006,0))&gt;=100000), " ",IF(INDEX($AO$2:$BQ$1001,MATCH(ROWS($AH$2:AH697),$AH$2:$AH$1001,0),MATCH(COLUMNS($AO$1006:AX1006),$AO$1006:$BQ$1006,0)), HYPERLINK("#",""), HYPERLINK(CONCATENATE("#Metadata!", ADDRESS(INDEX($AJ$2:$AJ$1001,MATCH(ROWS($AH$2:AH697),$AH$2:$AH$1001,0),0), INDEX($AO$1004:$BQ$1004,1,MATCH(COLUMNS($AO$1006:AX1006),$AO$1006:$BQ$1006,0)))),"Fix")))</f>
        <v>#N/A</v>
      </c>
      <c r="L697" s="5" t="e">
        <f ca="1">IF(OR(INDEX($AI$2:$AI$1001,MATCH(ROWS($AH$2:AH697),$AH$2:$AH$1001,0),1)&gt;=100000,INDEX($AO$1005:$BQ$1005,1,MATCH(COLUMNS($AO$1006:AY1006),$AO$1006:$BQ$1006,0))&gt;=100000), " ",IF(INDEX($AO$2:$BQ$1001,MATCH(ROWS($AH$2:AH697),$AH$2:$AH$1001,0),MATCH(COLUMNS($AO$1006:AY1006),$AO$1006:$BQ$1006,0)), HYPERLINK("#",""), HYPERLINK(CONCATENATE("#Metadata!", ADDRESS(INDEX($AJ$2:$AJ$1001,MATCH(ROWS($AH$2:AH697),$AH$2:$AH$1001,0),0), INDEX($AO$1004:$BQ$1004,1,MATCH(COLUMNS($AO$1006:AY1006),$AO$1006:$BQ$1006,0)))),"Fix")))</f>
        <v>#N/A</v>
      </c>
      <c r="M697" s="5" t="e">
        <f ca="1">IF(OR(INDEX($AI$2:$AI$1001,MATCH(ROWS($AH$2:AH697),$AH$2:$AH$1001,0),1)&gt;=100000,INDEX($AO$1005:$BQ$1005,1,MATCH(COLUMNS($AO$1006:AZ1006),$AO$1006:$BQ$1006,0))&gt;=100000), " ",IF(INDEX($AO$2:$BQ$1001,MATCH(ROWS($AH$2:AH697),$AH$2:$AH$1001,0),MATCH(COLUMNS($AO$1006:AZ1006),$AO$1006:$BQ$1006,0)), HYPERLINK("#",""), HYPERLINK(CONCATENATE("#Metadata!", ADDRESS(INDEX($AJ$2:$AJ$1001,MATCH(ROWS($AH$2:AH697),$AH$2:$AH$1001,0),0), INDEX($AO$1004:$BQ$1004,1,MATCH(COLUMNS($AO$1006:AZ1006),$AO$1006:$BQ$1006,0)))),"Fix")))</f>
        <v>#N/A</v>
      </c>
      <c r="N697" s="5" t="e">
        <f ca="1">IF(OR(INDEX($AI$2:$AI$1001,MATCH(ROWS($AH$2:AH697),$AH$2:$AH$1001,0),1)&gt;=100000,INDEX($AO$1005:$BQ$1005,1,MATCH(COLUMNS($AO$1006:BA1006),$AO$1006:$BQ$1006,0))&gt;=100000), " ",IF(INDEX($AO$2:$BQ$1001,MATCH(ROWS($AH$2:AH697),$AH$2:$AH$1001,0),MATCH(COLUMNS($AO$1006:BA1006),$AO$1006:$BQ$1006,0)), HYPERLINK("#",""), HYPERLINK(CONCATENATE("#Metadata!", ADDRESS(INDEX($AJ$2:$AJ$1001,MATCH(ROWS($AH$2:AH697),$AH$2:$AH$1001,0),0), INDEX($AO$1004:$BQ$1004,1,MATCH(COLUMNS($AO$1006:BA1006),$AO$1006:$BQ$1006,0)))),"Fix")))</f>
        <v>#N/A</v>
      </c>
      <c r="O697" s="5" t="e">
        <f ca="1">IF(OR(INDEX($AI$2:$AI$1001,MATCH(ROWS($AH$2:AH697),$AH$2:$AH$1001,0),1)&gt;=100000,INDEX($AO$1005:$BQ$1005,1,MATCH(COLUMNS($AO$1006:BB1006),$AO$1006:$BQ$1006,0))&gt;=100000), " ",IF(INDEX($AO$2:$BQ$1001,MATCH(ROWS($AH$2:AH697),$AH$2:$AH$1001,0),MATCH(COLUMNS($AO$1006:BB1006),$AO$1006:$BQ$1006,0)), HYPERLINK("#",""), HYPERLINK(CONCATENATE("#Metadata!", ADDRESS(INDEX($AJ$2:$AJ$1001,MATCH(ROWS($AH$2:AH697),$AH$2:$AH$1001,0),0), INDEX($AO$1004:$BQ$1004,1,MATCH(COLUMNS($AO$1006:BB1006),$AO$1006:$BQ$1006,0)))),"Fix")))</f>
        <v>#N/A</v>
      </c>
      <c r="P697" s="5" t="e">
        <f ca="1">IF(OR(INDEX($AI$2:$AI$1001,MATCH(ROWS($AH$2:AH697),$AH$2:$AH$1001,0),1)&gt;=100000,INDEX($AO$1005:$BQ$1005,1,MATCH(COLUMNS($AO$1006:BC1006),$AO$1006:$BQ$1006,0))&gt;=100000), " ",IF(INDEX($AO$2:$BQ$1001,MATCH(ROWS($AH$2:AH697),$AH$2:$AH$1001,0),MATCH(COLUMNS($AO$1006:BC1006),$AO$1006:$BQ$1006,0)), HYPERLINK("#",""), HYPERLINK(CONCATENATE("#Metadata!", ADDRESS(INDEX($AJ$2:$AJ$1001,MATCH(ROWS($AH$2:AH697),$AH$2:$AH$1001,0),0), INDEX($AO$1004:$BQ$1004,1,MATCH(COLUMNS($AO$1006:BC1006),$AO$1006:$BQ$1006,0)))),"Fix")))</f>
        <v>#N/A</v>
      </c>
      <c r="Q697" s="5" t="e">
        <f ca="1">IF(OR(INDEX($AI$2:$AI$1001,MATCH(ROWS($AH$2:AH697),$AH$2:$AH$1001,0),1)&gt;=100000,INDEX($AO$1005:$BQ$1005,1,MATCH(COLUMNS($AO$1006:BD1006),$AO$1006:$BQ$1006,0))&gt;=100000), " ",IF(INDEX($AO$2:$BQ$1001,MATCH(ROWS($AH$2:AH697),$AH$2:$AH$1001,0),MATCH(COLUMNS($AO$1006:BD1006),$AO$1006:$BQ$1006,0)), HYPERLINK("#",""), HYPERLINK(CONCATENATE("#Metadata!", ADDRESS(INDEX($AJ$2:$AJ$1001,MATCH(ROWS($AH$2:AH697),$AH$2:$AH$1001,0),0), INDEX($AO$1004:$BQ$1004,1,MATCH(COLUMNS($AO$1006:BD1006),$AO$1006:$BQ$1006,0)))),"Fix")))</f>
        <v>#N/A</v>
      </c>
      <c r="R697" s="5" t="e">
        <f ca="1">IF(OR(INDEX($AI$2:$AI$1001,MATCH(ROWS($AH$2:AH697),$AH$2:$AH$1001,0),1)&gt;=100000,INDEX($AO$1005:$BQ$1005,1,MATCH(COLUMNS($AO$1006:BE1006),$AO$1006:$BQ$1006,0))&gt;=100000), " ",IF(INDEX($AO$2:$BQ$1001,MATCH(ROWS($AH$2:AH697),$AH$2:$AH$1001,0),MATCH(COLUMNS($AO$1006:BE1006),$AO$1006:$BQ$1006,0)), HYPERLINK("#",""), HYPERLINK(CONCATENATE("#Metadata!", ADDRESS(INDEX($AJ$2:$AJ$1001,MATCH(ROWS($AH$2:AH697),$AH$2:$AH$1001,0),0), INDEX($AO$1004:$BQ$1004,1,MATCH(COLUMNS($AO$1006:BE1006),$AO$1006:$BQ$1006,0)))),"Fix")))</f>
        <v>#N/A</v>
      </c>
      <c r="S697" s="5" t="e">
        <f ca="1">IF(OR(INDEX($AI$2:$AI$1001,MATCH(ROWS($AH$2:AH697),$AH$2:$AH$1001,0),1)&gt;=100000,INDEX($AO$1005:$BQ$1005,1,MATCH(COLUMNS($AO$1006:BF1006),$AO$1006:$BQ$1006,0))&gt;=100000), " ",IF(INDEX($AO$2:$BQ$1001,MATCH(ROWS($AH$2:AH697),$AH$2:$AH$1001,0),MATCH(COLUMNS($AO$1006:BF1006),$AO$1006:$BQ$1006,0)), HYPERLINK("#",""), HYPERLINK(CONCATENATE("#Metadata!", ADDRESS(INDEX($AJ$2:$AJ$1001,MATCH(ROWS($AH$2:AH697),$AH$2:$AH$1001,0),0), INDEX($AO$1004:$BQ$1004,1,MATCH(COLUMNS($AO$1006:BF1006),$AO$1006:$BQ$1006,0)))),"Fix")))</f>
        <v>#N/A</v>
      </c>
      <c r="T697" s="5" t="e">
        <f ca="1">IF(OR(INDEX($AI$2:$AI$1001,MATCH(ROWS($AH$2:AH697),$AH$2:$AH$1001,0),1)&gt;=100000,INDEX($AO$1005:$BQ$1005,1,MATCH(COLUMNS($AO$1006:BG1006),$AO$1006:$BQ$1006,0))&gt;=100000), " ",IF(INDEX($AO$2:$BQ$1001,MATCH(ROWS($AH$2:AH697),$AH$2:$AH$1001,0),MATCH(COLUMNS($AO$1006:BG1006),$AO$1006:$BQ$1006,0)), HYPERLINK("#",""), HYPERLINK(CONCATENATE("#Metadata!", ADDRESS(INDEX($AJ$2:$AJ$1001,MATCH(ROWS($AH$2:AH697),$AH$2:$AH$1001,0),0), INDEX($AO$1004:$BQ$1004,1,MATCH(COLUMNS($AO$1006:BG1006),$AO$1006:$BQ$1006,0)))),"Fix")))</f>
        <v>#N/A</v>
      </c>
      <c r="U697" s="5" t="e">
        <f ca="1">IF(OR(INDEX($AI$2:$AI$1001,MATCH(ROWS($AH$2:AH697),$AH$2:$AH$1001,0),1)&gt;=100000,INDEX($AO$1005:$BQ$1005,1,MATCH(COLUMNS($AO$1006:BH1006),$AO$1006:$BQ$1006,0))&gt;=100000), " ",IF(INDEX($AO$2:$BQ$1001,MATCH(ROWS($AH$2:AH697),$AH$2:$AH$1001,0),MATCH(COLUMNS($AO$1006:BH1006),$AO$1006:$BQ$1006,0)), HYPERLINK("#",""), HYPERLINK(CONCATENATE("#Metadata!", ADDRESS(INDEX($AJ$2:$AJ$1001,MATCH(ROWS($AH$2:AH697),$AH$2:$AH$1001,0),0), INDEX($AO$1004:$BQ$1004,1,MATCH(COLUMNS($AO$1006:BH1006),$AO$1006:$BQ$1006,0)))),"Fix")))</f>
        <v>#N/A</v>
      </c>
      <c r="V697" s="5" t="e">
        <f ca="1">IF(OR(INDEX($AI$2:$AI$1001,MATCH(ROWS($AH$2:AH697),$AH$2:$AH$1001,0),1)&gt;=100000,INDEX($AO$1005:$BQ$1005,1,MATCH(COLUMNS($AO$1006:BI1006),$AO$1006:$BQ$1006,0))&gt;=100000), " ",IF(INDEX($AO$2:$BQ$1001,MATCH(ROWS($AH$2:AH697),$AH$2:$AH$1001,0),MATCH(COLUMNS($AO$1006:BI1006),$AO$1006:$BQ$1006,0)), HYPERLINK("#",""), HYPERLINK(CONCATENATE("#Metadata!", ADDRESS(INDEX($AJ$2:$AJ$1001,MATCH(ROWS($AH$2:AH697),$AH$2:$AH$1001,0),0), INDEX($AO$1004:$BQ$1004,1,MATCH(COLUMNS($AO$1006:BI1006),$AO$1006:$BQ$1006,0)))),"Fix")))</f>
        <v>#N/A</v>
      </c>
      <c r="W697" s="5" t="e">
        <f ca="1">IF(OR(INDEX($AI$2:$AI$1001,MATCH(ROWS($AH$2:AH697),$AH$2:$AH$1001,0),1)&gt;=100000,INDEX($AO$1005:$BQ$1005,1,MATCH(COLUMNS($AO$1006:BJ1006),$AO$1006:$BQ$1006,0))&gt;=100000), " ",IF(INDEX($AO$2:$BQ$1001,MATCH(ROWS($AH$2:AH697),$AH$2:$AH$1001,0),MATCH(COLUMNS($AO$1006:BJ1006),$AO$1006:$BQ$1006,0)), HYPERLINK("#",""), HYPERLINK(CONCATENATE("#Metadata!", ADDRESS(INDEX($AJ$2:$AJ$1001,MATCH(ROWS($AH$2:AH697),$AH$2:$AH$1001,0),0), INDEX($AO$1004:$BQ$1004,1,MATCH(COLUMNS($AO$1006:BJ1006),$AO$1006:$BQ$1006,0)))),"Fix")))</f>
        <v>#N/A</v>
      </c>
      <c r="X697" s="5" t="e">
        <f ca="1">IF(OR(INDEX($AI$2:$AI$1001,MATCH(ROWS($AH$2:AH697),$AH$2:$AH$1001,0),1)&gt;=100000,INDEX($AO$1005:$BQ$1005,1,MATCH(COLUMNS($AO$1006:BK1006),$AO$1006:$BQ$1006,0))&gt;=100000), " ",IF(INDEX($AO$2:$BQ$1001,MATCH(ROWS($AH$2:AH697),$AH$2:$AH$1001,0),MATCH(COLUMNS($AO$1006:BK1006),$AO$1006:$BQ$1006,0)), HYPERLINK("#",""), HYPERLINK(CONCATENATE("#Metadata!", ADDRESS(INDEX($AJ$2:$AJ$1001,MATCH(ROWS($AH$2:AH697),$AH$2:$AH$1001,0),0), INDEX($AO$1004:$BQ$1004,1,MATCH(COLUMNS($AO$1006:BK1006),$AO$1006:$BQ$1006,0)))),"Fix")))</f>
        <v>#N/A</v>
      </c>
      <c r="Y697" s="5" t="e">
        <f ca="1">IF(OR(INDEX($AI$2:$AI$1001,MATCH(ROWS($AH$2:AH697),$AH$2:$AH$1001,0),1)&gt;=100000,INDEX($AO$1005:$BQ$1005,1,MATCH(COLUMNS($AO$1006:BL1006),$AO$1006:$BQ$1006,0))&gt;=100000), " ",IF(INDEX($AO$2:$BQ$1001,MATCH(ROWS($AH$2:AH697),$AH$2:$AH$1001,0),MATCH(COLUMNS($AO$1006:BL1006),$AO$1006:$BQ$1006,0)), HYPERLINK("#",""), HYPERLINK(CONCATENATE("#Metadata!", ADDRESS(INDEX($AJ$2:$AJ$1001,MATCH(ROWS($AH$2:AH697),$AH$2:$AH$1001,0),0), INDEX($AO$1004:$BQ$1004,1,MATCH(COLUMNS($AO$1006:BL1006),$AO$1006:$BQ$1006,0)))),"Fix")))</f>
        <v>#N/A</v>
      </c>
      <c r="Z697" s="5" t="e">
        <f ca="1">IF(OR(INDEX($AI$2:$AI$1001,MATCH(ROWS($AH$2:AH697),$AH$2:$AH$1001,0),1)&gt;=100000,INDEX($AO$1005:$BQ$1005,1,MATCH(COLUMNS($AO$1006:BM1006),$AO$1006:$BQ$1006,0))&gt;=100000), " ",IF(INDEX($AO$2:$BQ$1001,MATCH(ROWS($AH$2:AH697),$AH$2:$AH$1001,0),MATCH(COLUMNS($AO$1006:BM1006),$AO$1006:$BQ$1006,0)), HYPERLINK("#",""), HYPERLINK(CONCATENATE("#Metadata!", ADDRESS(INDEX($AJ$2:$AJ$1001,MATCH(ROWS($AH$2:AH697),$AH$2:$AH$1001,0),0), INDEX($AO$1004:$BQ$1004,1,MATCH(COLUMNS($AO$1006:BM1006),$AO$1006:$BQ$1006,0)))),"Fix")))</f>
        <v>#N/A</v>
      </c>
      <c r="AA697" s="5" t="e">
        <f ca="1">IF(OR(INDEX($AI$2:$AI$1001,MATCH(ROWS($AH$2:AH697),$AH$2:$AH$1001,0),1)&gt;=100000,INDEX($AO$1005:$BQ$1005,1,MATCH(COLUMNS($AO$1006:BN1006),$AO$1006:$BQ$1006,0))&gt;=100000), " ",IF(INDEX($AO$2:$BQ$1001,MATCH(ROWS($AH$2:AH697),$AH$2:$AH$1001,0),MATCH(COLUMNS($AO$1006:BN1006),$AO$1006:$BQ$1006,0)), HYPERLINK("#",""), HYPERLINK(CONCATENATE("#Metadata!", ADDRESS(INDEX($AJ$2:$AJ$1001,MATCH(ROWS($AH$2:AH697),$AH$2:$AH$1001,0),0), INDEX($AO$1004:$BQ$1004,1,MATCH(COLUMNS($AO$1006:BN1006),$AO$1006:$BQ$1006,0)))),"Fix")))</f>
        <v>#N/A</v>
      </c>
      <c r="AB697" s="5" t="e">
        <f ca="1">IF(OR(INDEX($AI$2:$AI$1001,MATCH(ROWS($AH$2:AH697),$AH$2:$AH$1001,0),1)&gt;=100000,INDEX($AO$1005:$BQ$1005,1,MATCH(COLUMNS($AO$1006:BO1006),$AO$1006:$BQ$1006,0))&gt;=100000), " ",IF(INDEX($AO$2:$BQ$1001,MATCH(ROWS($AH$2:AH697),$AH$2:$AH$1001,0),MATCH(COLUMNS($AO$1006:BO1006),$AO$1006:$BQ$1006,0)), HYPERLINK("#",""), HYPERLINK(CONCATENATE("#Metadata!", ADDRESS(INDEX($AJ$2:$AJ$1001,MATCH(ROWS($AH$2:AH697),$AH$2:$AH$1001,0),0), INDEX($AO$1004:$BQ$1004,1,MATCH(COLUMNS($AO$1006:BO1006),$AO$1006:$BQ$1006,0)))),"Fix")))</f>
        <v>#N/A</v>
      </c>
      <c r="AC697" s="5" t="e">
        <f ca="1">IF(OR(INDEX($AI$2:$AI$1001,MATCH(ROWS($AH$2:AH697),$AH$2:$AH$1001,0),1)&gt;=100000,INDEX($AO$1005:$BQ$1005,1,MATCH(COLUMNS($AO$1006:BP1006),$AO$1006:$BQ$1006,0))&gt;=100000), " ",IF(INDEX($AO$2:$BQ$1001,MATCH(ROWS($AH$2:AH697),$AH$2:$AH$1001,0),MATCH(COLUMNS($AO$1006:BP1006),$AO$1006:$BQ$1006,0)), HYPERLINK("#",""), HYPERLINK(CONCATENATE("#Metadata!", ADDRESS(INDEX($AJ$2:$AJ$1001,MATCH(ROWS($AH$2:AH697),$AH$2:$AH$1001,0),0), INDEX($AO$1004:$BQ$1004,1,MATCH(COLUMNS($AO$1006:BP1006),$AO$1006:$BQ$1006,0)))),"Fix")))</f>
        <v>#N/A</v>
      </c>
      <c r="AD697" s="5" t="e">
        <f ca="1">IF(OR(INDEX($AI$2:$AI$1001,MATCH(ROWS($AH$2:AH697),$AH$2:$AH$1001,0),1)&gt;=100000,INDEX($AO$1005:$BQ$1005,1,MATCH(COLUMNS($AO$1006:BQ1006),$AO$1006:$BQ$1006,0))&gt;=100000), " ",IF(INDEX($AO$2:$BQ$1001,MATCH(ROWS($AH$2:AH697),$AH$2:$AH$1001,0),MATCH(COLUMNS($AO$1006:BQ1006),$AO$1006:$BQ$1006,0)), HYPERLINK("#",""), HYPERLINK(CONCATENATE("#Metadata!", ADDRESS(INDEX($AJ$2:$AJ$1001,MATCH(ROWS($AH$2:AH697),$AH$2:$AH$1001,0),0), INDEX($AO$1004:$BQ$1004,1,MATCH(COLUMNS($AO$1006:BQ1006),$AO$1006:$BQ$1006,0)))),"Fix")))</f>
        <v>#REF!</v>
      </c>
      <c r="AH697">
        <f ca="1"/>
        <v>694</v>
      </c>
      <c r="AI697">
        <v>100697</v>
      </c>
      <c r="AJ697">
        <v>697</v>
      </c>
      <c r="AK697" t="b">
        <f t="shared" si="10"/>
        <v>1</v>
      </c>
      <c r="AL697" t="b">
        <f>COUNTBLANK(Metadata!B697:AD697)=COLUMNS(Metadata!B697:AD697)</f>
        <v>1</v>
      </c>
      <c r="AM697" t="str">
        <v/>
      </c>
      <c r="AO697" t="b">
        <f ca="1">AND(IF(Metadata!B697="",FALSE,TRUE),COUNTIF(Metadata!B:B, Metadata!B697) = 1,NOT(ISERROR(SUMPRODUCT(SEARCH(MID(Metadata!B697,ROW(INDIRECT("1:"&amp;LEN(Metadata!B697))), 1),"0123456789abcdefghijklmnopqrstuvwxyzABCDEFGHIJKLMNOPQRSTUVWXYZ.")))))</f>
        <v>0</v>
      </c>
      <c r="AP697" t="b">
        <f>IF(Metadata!C697="",FALSE,TRUE)</f>
        <v>0</v>
      </c>
      <c r="AQ697" t="b">
        <f>IF(Metadata!D697="",FALSE,TRUE)</f>
        <v>0</v>
      </c>
      <c r="AR697" t="b">
        <f ca="1">OR(AND(IF(Metadata!E697="",FALSE,TRUE),OR(EXACT(Metadata!E697,"not collected"),EXACT(Metadata!E697,"not provided"),EXACT(Metadata!E697,"restricted access"))),AND(IF(Metadata!E697="",FALSE,TRUE),AND(AND(IFERROR(INT(LEFT(Metadata!E697,4))&gt;1900,FALSE),IFERROR(INT(LEFT(Metadata!E697,4))&lt;=YEAR(NOW()),FALSE)), OR(MID(Metadata!E697,5,1)="", AND(AND(MID(Metadata!E697,5,1)="-",IFERROR(INT(MID(Metadata!E697,6,1))&gt;=0,FALSE),IFERROR(INT(MID(Metadata!E697,6,1))&lt;=1,FALSE),NOT(MID(Metadata!E697,7,1)=""),IFERROR(INT(MID(Metadata!E697,6,2))&gt;=1,FALSE),IFERROR(INT(MID(Metadata!E697,6,2))&lt;=12,FALSE)), OR(MID(Metadata!E697,8,1)="", AND(AND(MID(Metadata!E697,8,1)="-",IFERROR(INT(MID(Metadata!E697,9,1))&gt;=0,FALSE),IFERROR(INT(MID(Metadata!E697,9,1))&lt;=3,FALSE),NOT(MID(Metadata!E697,10,1)=""),IFERROR(INT(MID(Metadata!E697,9,2))&gt;=1,FALSE),IFERROR(INT(MID(Metadata!E697,9,2))&lt;=31,FALSE)), OR(MID(Metadata!E697,11,1)="", AND(AND(MID(Metadata!E697,11,1)=" ",IFERROR(INT(MID(Metadata!E697,12,1))&gt;=0,FALSE),IFERROR(INT(MID(Metadata!E697,12,1))&lt;=2,FALSE),NOT(MID(Metadata!E697,13,1)=""),IFERROR(INT(MID(Metadata!E697,12,2))&gt;=0,FALSE),IFERROR(INT(MID(Metadata!E697,12,2))&lt;=23,FALSE)), OR(MID(Metadata!E697,14,1)="", AND(AND(MID(Metadata!E697,14,1)=":",IFERROR(INT(MID(Metadata!E697,15,1))&gt;=0,FALSE),IFERROR(INT(MID(Metadata!E697,15,1))&lt;=5,FALSE),NOT(MID(Metadata!E697,16,1)=""),IFERROR(INT(MID(Metadata!E697,15,2))&gt;=0,FALSE),IFERROR(INT(MID(Metadata!E697,15,2))&lt;=59,FALSE)), OR(MID(Metadata!E697,17,1)="", AND(AND(MID(Metadata!E697,17,1)=":",IFERROR(INT(MID(Metadata!E697,18,1))&gt;=0,FALSE),IFERROR(INT(MID(Metadata!E697,18,1))&lt;=5,FALSE),NOT(MID(Metadata!E697,19,1)=""),IFERROR(INT(MID(Metadata!E697,18,2))&gt;=0,FALSE),IFERROR(INT(MID(Metadata!E697,18,2))&lt;=59,FALSE)), LEN(Metadata!E697)&lt;=19)))))))))))))</f>
        <v>0</v>
      </c>
      <c r="AS697" t="b">
        <f>IF(Metadata!F697="",FALSE,TRUE)</f>
        <v>0</v>
      </c>
      <c r="AT697" t="b">
        <f>OR(AND(IF(Metadata!G697="",FALSE,TRUE),OR(EXACT(Metadata!G697,"not collected"),EXACT(Metadata!G697,"not provided"))),AND(IF(Metadata!G697="",FALSE,TRUE),OR(EXACT(Metadata!G697,"TRUE"),EXACT(Metadata!G697,"FALSE"))))</f>
        <v>0</v>
      </c>
      <c r="AU697" t="b">
        <f>OR(AND(IF(Metadata!H697="",FALSE,TRUE),OR(EXACT(Metadata!H697,"not collected"),EXACT(Metadata!H697,"not provided"),EXACT(Metadata!H697,"restricted access"))),AND(IF(Metadata!H697="",FALSE,ISNUMBER(VALUE(Metadata!H697))),Metadata!H697&gt;=-413))</f>
        <v>0</v>
      </c>
      <c r="AV697" t="b">
        <f>AND(IF(Metadata!I697="",FALSE,TRUE),EXACT(Metadata!I697,"meters"))</f>
        <v>0</v>
      </c>
      <c r="AW697" t="b">
        <f>AND(IF(Metadata!J697="",FALSE,TRUE),EXACT(Metadata!J697,"free-living"))</f>
        <v>0</v>
      </c>
      <c r="AX697" t="b">
        <f>AND(IF(Metadata!K697="",FALSE,TRUE),OR(EXACT(Metadata!K697,"saline"),EXACT(Metadata!K697,"non-saline")))</f>
        <v>0</v>
      </c>
      <c r="AY697" t="b">
        <f>AND(IF(Metadata!L697="",FALSE,TRUE),OR(EXACT(Metadata!L697,"sub-surface (non-saline)"),EXACT(Metadata!L697,"surface (non-saline)"),EXACT(Metadata!L697,"water (non-saline)"),EXACT(Metadata!L697,"soil (non-saline)"),EXACT(Metadata!L697,"aerosol (non-saline)"),EXACT(Metadata!L697,"sediment (non-saline)"),EXACT(Metadata!L697,"surface (saline)"),EXACT(Metadata!L697,"water (saline)"),EXACT(Metadata!L697,"hypersaline (saline)"),EXACT(Metadata!L697,"aerosol (saline)"),EXACT(Metadata!L697,"sediment (saline)")))</f>
        <v>0</v>
      </c>
      <c r="AZ697" t="b">
        <f>IF(Metadata!M697="",FALSE,TRUE)</f>
        <v>0</v>
      </c>
      <c r="BA697" t="b">
        <f>IF(Metadata!N697="",FALSE,TRUE)</f>
        <v>0</v>
      </c>
      <c r="BB697" t="b">
        <f>IF(Metadata!O697="",FALSE,TRUE)</f>
        <v>0</v>
      </c>
      <c r="BC697" t="b">
        <f>AND(IF(Metadata!P697="",FALSE,TRUE),OR(EXACT(Metadata!P697,"air"),EXACT(Metadata!P697,"microbial mat/biofilm"),EXACT(Metadata!P697,"misc environment"),EXACT(Metadata!P697,"sediment"),EXACT(Metadata!P697,"soil"),EXACT(Metadata!P697,"wastewater/sludge"),EXACT(Metadata!P697,"water")))</f>
        <v>0</v>
      </c>
      <c r="BD697" t="b">
        <f>IF(Metadata!Q697="",FALSE,TRUE)</f>
        <v>0</v>
      </c>
      <c r="BE697" t="b">
        <f>IF(Metadata!R697="",FALSE,TRUE)</f>
        <v>0</v>
      </c>
      <c r="BF697" t="b">
        <f>OR(AND(IF(Metadata!S697="",FALSE,TRUE),OR(EXACT(Metadata!S697,"not collected"),EXACT(Metadata!S697,"not provided"),EXACT(Metadata!S697,"restricted access"))),AND(IF(Metadata!S697="",FALSE,ISNUMBER(VALUE(Metadata!S697))),Metadata!S697&gt;=-90,Metadata!S697&lt;=90))</f>
        <v>0</v>
      </c>
      <c r="BG697" t="b">
        <f>AND(IF(Metadata!T697="",FALSE,TRUE),EXACT(Metadata!T697,"Decimal degrees"))</f>
        <v>0</v>
      </c>
      <c r="BH697" t="b">
        <f>OR(AND(IF(Metadata!U697="",FALSE,TRUE),OR(EXACT(Metadata!U697,"not applicable"),EXACT(Metadata!U697,"not collected"))),IF(Metadata!U697="",FALSE,TRUE))</f>
        <v>0</v>
      </c>
      <c r="BI697" t="b">
        <f>OR(AND(IF(Metadata!V697="",FALSE,TRUE),OR(EXACT(Metadata!V697,"not collected"),EXACT(Metadata!V697,"not provided"),EXACT(Metadata!V697,"restricted access"))),AND(IF(Metadata!V697="",FALSE,ISNUMBER(VALUE(Metadata!V697))),Metadata!V697&gt;=-180,Metadata!V697&lt;=180))</f>
        <v>0</v>
      </c>
      <c r="BJ697" t="b">
        <f>AND(IF(Metadata!W697="",FALSE,TRUE),EXACT(Metadata!W697,"Decimal degrees"))</f>
        <v>0</v>
      </c>
      <c r="BK697" t="b">
        <f>IF(Metadata!X697="",FALSE,TRUE)</f>
        <v>0</v>
      </c>
      <c r="BL697" t="b">
        <f>OR(AND(IF(Metadata!Y697="",FALSE,TRUE),OR(EXACT(Metadata!Y697,"not collected"),EXACT(Metadata!Y697,"not provided"),EXACT(Metadata!Y697,"restricted access"))),AND(IF(Metadata!Y697="",FALSE,TRUE),OR(EXACT(Metadata!Y697,"TRUE"),EXACT(Metadata!Y697,"FALSE"))))</f>
        <v>0</v>
      </c>
      <c r="BM697" t="b">
        <f>OR(AND(IF(Metadata!Z697="",FALSE,TRUE),EXACT(Metadata!Z697,"not applicable")),AND(IF(Metadata!Z697="",FALSE,TRUE),OR(EXACT(Metadata!Z697,"beer"),EXACT(Metadata!Z697,"cheese"),EXACT(Metadata!Z697,"fresh water"),EXACT(Metadata!Z697,"marine sediment"),EXACT(Metadata!Z697,"sea water"),EXACT(Metadata!Z697,"sediment"),EXACT(Metadata!Z697,"soil"),EXACT(Metadata!Z697,"waste water"))))</f>
        <v>0</v>
      </c>
      <c r="BN697" t="b">
        <f>AND(IF(Metadata!AA697="",FALSE,TRUE),EXACT(Metadata!AA697,"metagenome"))</f>
        <v>0</v>
      </c>
      <c r="BO697" t="b">
        <f>AND(IF(Metadata!AB697="",FALSE,TRUE),EXACT(Metadata!AB697,"256318"))</f>
        <v>0</v>
      </c>
      <c r="BP697" t="b">
        <f>IF(Metadata!AC697="",FALSE,TRUE)</f>
        <v>0</v>
      </c>
      <c r="BQ697" t="b">
        <f>IF(Metadata!AD697="",FALSE,TRUE)</f>
        <v>0</v>
      </c>
    </row>
    <row r="698" spans="1:69" x14ac:dyDescent="0.2">
      <c r="A698" s="4" t="e">
        <f ca="1">IF(B698=" "," ",HYPERLINK(CONCATENATE("#metadata!",ADDRESS(INDEX($AJ$2:$AJ$1001,MATCH(ROWS($AH$2:AH698),$AH$2:$AH$1001,0),0),2)),INDEX($AM$2:$AM$1001,MATCH(ROWS($AH$2:AH698),$AH$2:$AH$1001,0),0)))</f>
        <v>#N/A</v>
      </c>
      <c r="B698" s="5" t="e">
        <f ca="1">IF(OR(INDEX($AI$2:$AI$1001,MATCH(ROWS($AH$2:AH698),$AH$2:$AH$1001,0),1)&gt;=100000,INDEX($AO$1005:$BQ$1005,1,MATCH(COLUMNS($AO$1006:AO1006),$AO$1006:$BQ$1006,0))&gt;=100000), " ",IF(INDEX($AO$2:$BQ$1001,MATCH(ROWS($AH$2:AH698),$AH$2:$AH$1001,0),MATCH(COLUMNS($AO$1006:AO1006),$AO$1006:$BQ$1006,0)), HYPERLINK("#",""), HYPERLINK(CONCATENATE("#Metadata!", ADDRESS(INDEX($AJ$2:$AJ$1001,MATCH(ROWS($AH$2:AH698),$AH$2:$AH$1001,0),0), INDEX($AO$1004:$BQ$1004,1,MATCH(COLUMNS($AO$1006:AO1006),$AO$1006:$BQ$1006,0)))),"Fix")))</f>
        <v>#N/A</v>
      </c>
      <c r="C698" s="5" t="e">
        <f ca="1">IF(OR(INDEX($AI$2:$AI$1001,MATCH(ROWS($AH$2:AH698),$AH$2:$AH$1001,0),1)&gt;=100000,INDEX($AO$1005:$BQ$1005,1,MATCH(COLUMNS($AO$1006:AP1006),$AO$1006:$BQ$1006,0))&gt;=100000), " ",IF(INDEX($AO$2:$BQ$1001,MATCH(ROWS($AH$2:AH698),$AH$2:$AH$1001,0),MATCH(COLUMNS($AO$1006:AP1006),$AO$1006:$BQ$1006,0)), HYPERLINK("#",""), HYPERLINK(CONCATENATE("#Metadata!", ADDRESS(INDEX($AJ$2:$AJ$1001,MATCH(ROWS($AH$2:AH698),$AH$2:$AH$1001,0),0), INDEX($AO$1004:$BQ$1004,1,MATCH(COLUMNS($AO$1006:AP1006),$AO$1006:$BQ$1006,0)))),"Fix")))</f>
        <v>#N/A</v>
      </c>
      <c r="D698" s="5" t="e">
        <f ca="1">IF(OR(INDEX($AI$2:$AI$1001,MATCH(ROWS($AH$2:AH698),$AH$2:$AH$1001,0),1)&gt;=100000,INDEX($AO$1005:$BQ$1005,1,MATCH(COLUMNS($AO$1006:AQ1006),$AO$1006:$BQ$1006,0))&gt;=100000), " ",IF(INDEX($AO$2:$BQ$1001,MATCH(ROWS($AH$2:AH698),$AH$2:$AH$1001,0),MATCH(COLUMNS($AO$1006:AQ1006),$AO$1006:$BQ$1006,0)), HYPERLINK("#",""), HYPERLINK(CONCATENATE("#Metadata!", ADDRESS(INDEX($AJ$2:$AJ$1001,MATCH(ROWS($AH$2:AH698),$AH$2:$AH$1001,0),0), INDEX($AO$1004:$BQ$1004,1,MATCH(COLUMNS($AO$1006:AQ1006),$AO$1006:$BQ$1006,0)))),"Fix")))</f>
        <v>#N/A</v>
      </c>
      <c r="E698" s="5" t="e">
        <f ca="1">IF(OR(INDEX($AI$2:$AI$1001,MATCH(ROWS($AH$2:AH698),$AH$2:$AH$1001,0),1)&gt;=100000,INDEX($AO$1005:$BQ$1005,1,MATCH(COLUMNS($AO$1006:AR1006),$AO$1006:$BQ$1006,0))&gt;=100000), " ",IF(INDEX($AO$2:$BQ$1001,MATCH(ROWS($AH$2:AH698),$AH$2:$AH$1001,0),MATCH(COLUMNS($AO$1006:AR1006),$AO$1006:$BQ$1006,0)), HYPERLINK("#",""), HYPERLINK(CONCATENATE("#Metadata!", ADDRESS(INDEX($AJ$2:$AJ$1001,MATCH(ROWS($AH$2:AH698),$AH$2:$AH$1001,0),0), INDEX($AO$1004:$BQ$1004,1,MATCH(COLUMNS($AO$1006:AR1006),$AO$1006:$BQ$1006,0)))),"Fix")))</f>
        <v>#N/A</v>
      </c>
      <c r="F698" s="5" t="e">
        <f ca="1">IF(OR(INDEX($AI$2:$AI$1001,MATCH(ROWS($AH$2:AH698),$AH$2:$AH$1001,0),1)&gt;=100000,INDEX($AO$1005:$BQ$1005,1,MATCH(COLUMNS($AO$1006:AS1006),$AO$1006:$BQ$1006,0))&gt;=100000), " ",IF(INDEX($AO$2:$BQ$1001,MATCH(ROWS($AH$2:AH698),$AH$2:$AH$1001,0),MATCH(COLUMNS($AO$1006:AS1006),$AO$1006:$BQ$1006,0)), HYPERLINK("#",""), HYPERLINK(CONCATENATE("#Metadata!", ADDRESS(INDEX($AJ$2:$AJ$1001,MATCH(ROWS($AH$2:AH698),$AH$2:$AH$1001,0),0), INDEX($AO$1004:$BQ$1004,1,MATCH(COLUMNS($AO$1006:AS1006),$AO$1006:$BQ$1006,0)))),"Fix")))</f>
        <v>#N/A</v>
      </c>
      <c r="G698" s="5" t="e">
        <f ca="1">IF(OR(INDEX($AI$2:$AI$1001,MATCH(ROWS($AH$2:AH698),$AH$2:$AH$1001,0),1)&gt;=100000,INDEX($AO$1005:$BQ$1005,1,MATCH(COLUMNS($AO$1006:AT1006),$AO$1006:$BQ$1006,0))&gt;=100000), " ",IF(INDEX($AO$2:$BQ$1001,MATCH(ROWS($AH$2:AH698),$AH$2:$AH$1001,0),MATCH(COLUMNS($AO$1006:AT1006),$AO$1006:$BQ$1006,0)), HYPERLINK("#",""), HYPERLINK(CONCATENATE("#Metadata!", ADDRESS(INDEX($AJ$2:$AJ$1001,MATCH(ROWS($AH$2:AH698),$AH$2:$AH$1001,0),0), INDEX($AO$1004:$BQ$1004,1,MATCH(COLUMNS($AO$1006:AT1006),$AO$1006:$BQ$1006,0)))),"Fix")))</f>
        <v>#N/A</v>
      </c>
      <c r="H698" s="5" t="e">
        <f ca="1">IF(OR(INDEX($AI$2:$AI$1001,MATCH(ROWS($AH$2:AH698),$AH$2:$AH$1001,0),1)&gt;=100000,INDEX($AO$1005:$BQ$1005,1,MATCH(COLUMNS($AO$1006:AU1006),$AO$1006:$BQ$1006,0))&gt;=100000), " ",IF(INDEX($AO$2:$BQ$1001,MATCH(ROWS($AH$2:AH698),$AH$2:$AH$1001,0),MATCH(COLUMNS($AO$1006:AU1006),$AO$1006:$BQ$1006,0)), HYPERLINK("#",""), HYPERLINK(CONCATENATE("#Metadata!", ADDRESS(INDEX($AJ$2:$AJ$1001,MATCH(ROWS($AH$2:AH698),$AH$2:$AH$1001,0),0), INDEX($AO$1004:$BQ$1004,1,MATCH(COLUMNS($AO$1006:AU1006),$AO$1006:$BQ$1006,0)))),"Fix")))</f>
        <v>#N/A</v>
      </c>
      <c r="I698" s="5" t="e">
        <f ca="1">IF(OR(INDEX($AI$2:$AI$1001,MATCH(ROWS($AH$2:AH698),$AH$2:$AH$1001,0),1)&gt;=100000,INDEX($AO$1005:$BQ$1005,1,MATCH(COLUMNS($AO$1006:AV1006),$AO$1006:$BQ$1006,0))&gt;=100000), " ",IF(INDEX($AO$2:$BQ$1001,MATCH(ROWS($AH$2:AH698),$AH$2:$AH$1001,0),MATCH(COLUMNS($AO$1006:AV1006),$AO$1006:$BQ$1006,0)), HYPERLINK("#",""), HYPERLINK(CONCATENATE("#Metadata!", ADDRESS(INDEX($AJ$2:$AJ$1001,MATCH(ROWS($AH$2:AH698),$AH$2:$AH$1001,0),0), INDEX($AO$1004:$BQ$1004,1,MATCH(COLUMNS($AO$1006:AV1006),$AO$1006:$BQ$1006,0)))),"Fix")))</f>
        <v>#N/A</v>
      </c>
      <c r="J698" s="5" t="e">
        <f ca="1">IF(OR(INDEX($AI$2:$AI$1001,MATCH(ROWS($AH$2:AH698),$AH$2:$AH$1001,0),1)&gt;=100000,INDEX($AO$1005:$BQ$1005,1,MATCH(COLUMNS($AO$1006:AW1006),$AO$1006:$BQ$1006,0))&gt;=100000), " ",IF(INDEX($AO$2:$BQ$1001,MATCH(ROWS($AH$2:AH698),$AH$2:$AH$1001,0),MATCH(COLUMNS($AO$1006:AW1006),$AO$1006:$BQ$1006,0)), HYPERLINK("#",""), HYPERLINK(CONCATENATE("#Metadata!", ADDRESS(INDEX($AJ$2:$AJ$1001,MATCH(ROWS($AH$2:AH698),$AH$2:$AH$1001,0),0), INDEX($AO$1004:$BQ$1004,1,MATCH(COLUMNS($AO$1006:AW1006),$AO$1006:$BQ$1006,0)))),"Fix")))</f>
        <v>#N/A</v>
      </c>
      <c r="K698" s="5" t="e">
        <f ca="1">IF(OR(INDEX($AI$2:$AI$1001,MATCH(ROWS($AH$2:AH698),$AH$2:$AH$1001,0),1)&gt;=100000,INDEX($AO$1005:$BQ$1005,1,MATCH(COLUMNS($AO$1006:AX1006),$AO$1006:$BQ$1006,0))&gt;=100000), " ",IF(INDEX($AO$2:$BQ$1001,MATCH(ROWS($AH$2:AH698),$AH$2:$AH$1001,0),MATCH(COLUMNS($AO$1006:AX1006),$AO$1006:$BQ$1006,0)), HYPERLINK("#",""), HYPERLINK(CONCATENATE("#Metadata!", ADDRESS(INDEX($AJ$2:$AJ$1001,MATCH(ROWS($AH$2:AH698),$AH$2:$AH$1001,0),0), INDEX($AO$1004:$BQ$1004,1,MATCH(COLUMNS($AO$1006:AX1006),$AO$1006:$BQ$1006,0)))),"Fix")))</f>
        <v>#N/A</v>
      </c>
      <c r="L698" s="5" t="e">
        <f ca="1">IF(OR(INDEX($AI$2:$AI$1001,MATCH(ROWS($AH$2:AH698),$AH$2:$AH$1001,0),1)&gt;=100000,INDEX($AO$1005:$BQ$1005,1,MATCH(COLUMNS($AO$1006:AY1006),$AO$1006:$BQ$1006,0))&gt;=100000), " ",IF(INDEX($AO$2:$BQ$1001,MATCH(ROWS($AH$2:AH698),$AH$2:$AH$1001,0),MATCH(COLUMNS($AO$1006:AY1006),$AO$1006:$BQ$1006,0)), HYPERLINK("#",""), HYPERLINK(CONCATENATE("#Metadata!", ADDRESS(INDEX($AJ$2:$AJ$1001,MATCH(ROWS($AH$2:AH698),$AH$2:$AH$1001,0),0), INDEX($AO$1004:$BQ$1004,1,MATCH(COLUMNS($AO$1006:AY1006),$AO$1006:$BQ$1006,0)))),"Fix")))</f>
        <v>#N/A</v>
      </c>
      <c r="M698" s="5" t="e">
        <f ca="1">IF(OR(INDEX($AI$2:$AI$1001,MATCH(ROWS($AH$2:AH698),$AH$2:$AH$1001,0),1)&gt;=100000,INDEX($AO$1005:$BQ$1005,1,MATCH(COLUMNS($AO$1006:AZ1006),$AO$1006:$BQ$1006,0))&gt;=100000), " ",IF(INDEX($AO$2:$BQ$1001,MATCH(ROWS($AH$2:AH698),$AH$2:$AH$1001,0),MATCH(COLUMNS($AO$1006:AZ1006),$AO$1006:$BQ$1006,0)), HYPERLINK("#",""), HYPERLINK(CONCATENATE("#Metadata!", ADDRESS(INDEX($AJ$2:$AJ$1001,MATCH(ROWS($AH$2:AH698),$AH$2:$AH$1001,0),0), INDEX($AO$1004:$BQ$1004,1,MATCH(COLUMNS($AO$1006:AZ1006),$AO$1006:$BQ$1006,0)))),"Fix")))</f>
        <v>#N/A</v>
      </c>
      <c r="N698" s="5" t="e">
        <f ca="1">IF(OR(INDEX($AI$2:$AI$1001,MATCH(ROWS($AH$2:AH698),$AH$2:$AH$1001,0),1)&gt;=100000,INDEX($AO$1005:$BQ$1005,1,MATCH(COLUMNS($AO$1006:BA1006),$AO$1006:$BQ$1006,0))&gt;=100000), " ",IF(INDEX($AO$2:$BQ$1001,MATCH(ROWS($AH$2:AH698),$AH$2:$AH$1001,0),MATCH(COLUMNS($AO$1006:BA1006),$AO$1006:$BQ$1006,0)), HYPERLINK("#",""), HYPERLINK(CONCATENATE("#Metadata!", ADDRESS(INDEX($AJ$2:$AJ$1001,MATCH(ROWS($AH$2:AH698),$AH$2:$AH$1001,0),0), INDEX($AO$1004:$BQ$1004,1,MATCH(COLUMNS($AO$1006:BA1006),$AO$1006:$BQ$1006,0)))),"Fix")))</f>
        <v>#N/A</v>
      </c>
      <c r="O698" s="5" t="e">
        <f ca="1">IF(OR(INDEX($AI$2:$AI$1001,MATCH(ROWS($AH$2:AH698),$AH$2:$AH$1001,0),1)&gt;=100000,INDEX($AO$1005:$BQ$1005,1,MATCH(COLUMNS($AO$1006:BB1006),$AO$1006:$BQ$1006,0))&gt;=100000), " ",IF(INDEX($AO$2:$BQ$1001,MATCH(ROWS($AH$2:AH698),$AH$2:$AH$1001,0),MATCH(COLUMNS($AO$1006:BB1006),$AO$1006:$BQ$1006,0)), HYPERLINK("#",""), HYPERLINK(CONCATENATE("#Metadata!", ADDRESS(INDEX($AJ$2:$AJ$1001,MATCH(ROWS($AH$2:AH698),$AH$2:$AH$1001,0),0), INDEX($AO$1004:$BQ$1004,1,MATCH(COLUMNS($AO$1006:BB1006),$AO$1006:$BQ$1006,0)))),"Fix")))</f>
        <v>#N/A</v>
      </c>
      <c r="P698" s="5" t="e">
        <f ca="1">IF(OR(INDEX($AI$2:$AI$1001,MATCH(ROWS($AH$2:AH698),$AH$2:$AH$1001,0),1)&gt;=100000,INDEX($AO$1005:$BQ$1005,1,MATCH(COLUMNS($AO$1006:BC1006),$AO$1006:$BQ$1006,0))&gt;=100000), " ",IF(INDEX($AO$2:$BQ$1001,MATCH(ROWS($AH$2:AH698),$AH$2:$AH$1001,0),MATCH(COLUMNS($AO$1006:BC1006),$AO$1006:$BQ$1006,0)), HYPERLINK("#",""), HYPERLINK(CONCATENATE("#Metadata!", ADDRESS(INDEX($AJ$2:$AJ$1001,MATCH(ROWS($AH$2:AH698),$AH$2:$AH$1001,0),0), INDEX($AO$1004:$BQ$1004,1,MATCH(COLUMNS($AO$1006:BC1006),$AO$1006:$BQ$1006,0)))),"Fix")))</f>
        <v>#N/A</v>
      </c>
      <c r="Q698" s="5" t="e">
        <f ca="1">IF(OR(INDEX($AI$2:$AI$1001,MATCH(ROWS($AH$2:AH698),$AH$2:$AH$1001,0),1)&gt;=100000,INDEX($AO$1005:$BQ$1005,1,MATCH(COLUMNS($AO$1006:BD1006),$AO$1006:$BQ$1006,0))&gt;=100000), " ",IF(INDEX($AO$2:$BQ$1001,MATCH(ROWS($AH$2:AH698),$AH$2:$AH$1001,0),MATCH(COLUMNS($AO$1006:BD1006),$AO$1006:$BQ$1006,0)), HYPERLINK("#",""), HYPERLINK(CONCATENATE("#Metadata!", ADDRESS(INDEX($AJ$2:$AJ$1001,MATCH(ROWS($AH$2:AH698),$AH$2:$AH$1001,0),0), INDEX($AO$1004:$BQ$1004,1,MATCH(COLUMNS($AO$1006:BD1006),$AO$1006:$BQ$1006,0)))),"Fix")))</f>
        <v>#N/A</v>
      </c>
      <c r="R698" s="5" t="e">
        <f ca="1">IF(OR(INDEX($AI$2:$AI$1001,MATCH(ROWS($AH$2:AH698),$AH$2:$AH$1001,0),1)&gt;=100000,INDEX($AO$1005:$BQ$1005,1,MATCH(COLUMNS($AO$1006:BE1006),$AO$1006:$BQ$1006,0))&gt;=100000), " ",IF(INDEX($AO$2:$BQ$1001,MATCH(ROWS($AH$2:AH698),$AH$2:$AH$1001,0),MATCH(COLUMNS($AO$1006:BE1006),$AO$1006:$BQ$1006,0)), HYPERLINK("#",""), HYPERLINK(CONCATENATE("#Metadata!", ADDRESS(INDEX($AJ$2:$AJ$1001,MATCH(ROWS($AH$2:AH698),$AH$2:$AH$1001,0),0), INDEX($AO$1004:$BQ$1004,1,MATCH(COLUMNS($AO$1006:BE1006),$AO$1006:$BQ$1006,0)))),"Fix")))</f>
        <v>#N/A</v>
      </c>
      <c r="S698" s="5" t="e">
        <f ca="1">IF(OR(INDEX($AI$2:$AI$1001,MATCH(ROWS($AH$2:AH698),$AH$2:$AH$1001,0),1)&gt;=100000,INDEX($AO$1005:$BQ$1005,1,MATCH(COLUMNS($AO$1006:BF1006),$AO$1006:$BQ$1006,0))&gt;=100000), " ",IF(INDEX($AO$2:$BQ$1001,MATCH(ROWS($AH$2:AH698),$AH$2:$AH$1001,0),MATCH(COLUMNS($AO$1006:BF1006),$AO$1006:$BQ$1006,0)), HYPERLINK("#",""), HYPERLINK(CONCATENATE("#Metadata!", ADDRESS(INDEX($AJ$2:$AJ$1001,MATCH(ROWS($AH$2:AH698),$AH$2:$AH$1001,0),0), INDEX($AO$1004:$BQ$1004,1,MATCH(COLUMNS($AO$1006:BF1006),$AO$1006:$BQ$1006,0)))),"Fix")))</f>
        <v>#N/A</v>
      </c>
      <c r="T698" s="5" t="e">
        <f ca="1">IF(OR(INDEX($AI$2:$AI$1001,MATCH(ROWS($AH$2:AH698),$AH$2:$AH$1001,0),1)&gt;=100000,INDEX($AO$1005:$BQ$1005,1,MATCH(COLUMNS($AO$1006:BG1006),$AO$1006:$BQ$1006,0))&gt;=100000), " ",IF(INDEX($AO$2:$BQ$1001,MATCH(ROWS($AH$2:AH698),$AH$2:$AH$1001,0),MATCH(COLUMNS($AO$1006:BG1006),$AO$1006:$BQ$1006,0)), HYPERLINK("#",""), HYPERLINK(CONCATENATE("#Metadata!", ADDRESS(INDEX($AJ$2:$AJ$1001,MATCH(ROWS($AH$2:AH698),$AH$2:$AH$1001,0),0), INDEX($AO$1004:$BQ$1004,1,MATCH(COLUMNS($AO$1006:BG1006),$AO$1006:$BQ$1006,0)))),"Fix")))</f>
        <v>#N/A</v>
      </c>
      <c r="U698" s="5" t="e">
        <f ca="1">IF(OR(INDEX($AI$2:$AI$1001,MATCH(ROWS($AH$2:AH698),$AH$2:$AH$1001,0),1)&gt;=100000,INDEX($AO$1005:$BQ$1005,1,MATCH(COLUMNS($AO$1006:BH1006),$AO$1006:$BQ$1006,0))&gt;=100000), " ",IF(INDEX($AO$2:$BQ$1001,MATCH(ROWS($AH$2:AH698),$AH$2:$AH$1001,0),MATCH(COLUMNS($AO$1006:BH1006),$AO$1006:$BQ$1006,0)), HYPERLINK("#",""), HYPERLINK(CONCATENATE("#Metadata!", ADDRESS(INDEX($AJ$2:$AJ$1001,MATCH(ROWS($AH$2:AH698),$AH$2:$AH$1001,0),0), INDEX($AO$1004:$BQ$1004,1,MATCH(COLUMNS($AO$1006:BH1006),$AO$1006:$BQ$1006,0)))),"Fix")))</f>
        <v>#N/A</v>
      </c>
      <c r="V698" s="5" t="e">
        <f ca="1">IF(OR(INDEX($AI$2:$AI$1001,MATCH(ROWS($AH$2:AH698),$AH$2:$AH$1001,0),1)&gt;=100000,INDEX($AO$1005:$BQ$1005,1,MATCH(COLUMNS($AO$1006:BI1006),$AO$1006:$BQ$1006,0))&gt;=100000), " ",IF(INDEX($AO$2:$BQ$1001,MATCH(ROWS($AH$2:AH698),$AH$2:$AH$1001,0),MATCH(COLUMNS($AO$1006:BI1006),$AO$1006:$BQ$1006,0)), HYPERLINK("#",""), HYPERLINK(CONCATENATE("#Metadata!", ADDRESS(INDEX($AJ$2:$AJ$1001,MATCH(ROWS($AH$2:AH698),$AH$2:$AH$1001,0),0), INDEX($AO$1004:$BQ$1004,1,MATCH(COLUMNS($AO$1006:BI1006),$AO$1006:$BQ$1006,0)))),"Fix")))</f>
        <v>#N/A</v>
      </c>
      <c r="W698" s="5" t="e">
        <f ca="1">IF(OR(INDEX($AI$2:$AI$1001,MATCH(ROWS($AH$2:AH698),$AH$2:$AH$1001,0),1)&gt;=100000,INDEX($AO$1005:$BQ$1005,1,MATCH(COLUMNS($AO$1006:BJ1006),$AO$1006:$BQ$1006,0))&gt;=100000), " ",IF(INDEX($AO$2:$BQ$1001,MATCH(ROWS($AH$2:AH698),$AH$2:$AH$1001,0),MATCH(COLUMNS($AO$1006:BJ1006),$AO$1006:$BQ$1006,0)), HYPERLINK("#",""), HYPERLINK(CONCATENATE("#Metadata!", ADDRESS(INDEX($AJ$2:$AJ$1001,MATCH(ROWS($AH$2:AH698),$AH$2:$AH$1001,0),0), INDEX($AO$1004:$BQ$1004,1,MATCH(COLUMNS($AO$1006:BJ1006),$AO$1006:$BQ$1006,0)))),"Fix")))</f>
        <v>#N/A</v>
      </c>
      <c r="X698" s="5" t="e">
        <f ca="1">IF(OR(INDEX($AI$2:$AI$1001,MATCH(ROWS($AH$2:AH698),$AH$2:$AH$1001,0),1)&gt;=100000,INDEX($AO$1005:$BQ$1005,1,MATCH(COLUMNS($AO$1006:BK1006),$AO$1006:$BQ$1006,0))&gt;=100000), " ",IF(INDEX($AO$2:$BQ$1001,MATCH(ROWS($AH$2:AH698),$AH$2:$AH$1001,0),MATCH(COLUMNS($AO$1006:BK1006),$AO$1006:$BQ$1006,0)), HYPERLINK("#",""), HYPERLINK(CONCATENATE("#Metadata!", ADDRESS(INDEX($AJ$2:$AJ$1001,MATCH(ROWS($AH$2:AH698),$AH$2:$AH$1001,0),0), INDEX($AO$1004:$BQ$1004,1,MATCH(COLUMNS($AO$1006:BK1006),$AO$1006:$BQ$1006,0)))),"Fix")))</f>
        <v>#N/A</v>
      </c>
      <c r="Y698" s="5" t="e">
        <f ca="1">IF(OR(INDEX($AI$2:$AI$1001,MATCH(ROWS($AH$2:AH698),$AH$2:$AH$1001,0),1)&gt;=100000,INDEX($AO$1005:$BQ$1005,1,MATCH(COLUMNS($AO$1006:BL1006),$AO$1006:$BQ$1006,0))&gt;=100000), " ",IF(INDEX($AO$2:$BQ$1001,MATCH(ROWS($AH$2:AH698),$AH$2:$AH$1001,0),MATCH(COLUMNS($AO$1006:BL1006),$AO$1006:$BQ$1006,0)), HYPERLINK("#",""), HYPERLINK(CONCATENATE("#Metadata!", ADDRESS(INDEX($AJ$2:$AJ$1001,MATCH(ROWS($AH$2:AH698),$AH$2:$AH$1001,0),0), INDEX($AO$1004:$BQ$1004,1,MATCH(COLUMNS($AO$1006:BL1006),$AO$1006:$BQ$1006,0)))),"Fix")))</f>
        <v>#N/A</v>
      </c>
      <c r="Z698" s="5" t="e">
        <f ca="1">IF(OR(INDEX($AI$2:$AI$1001,MATCH(ROWS($AH$2:AH698),$AH$2:$AH$1001,0),1)&gt;=100000,INDEX($AO$1005:$BQ$1005,1,MATCH(COLUMNS($AO$1006:BM1006),$AO$1006:$BQ$1006,0))&gt;=100000), " ",IF(INDEX($AO$2:$BQ$1001,MATCH(ROWS($AH$2:AH698),$AH$2:$AH$1001,0),MATCH(COLUMNS($AO$1006:BM1006),$AO$1006:$BQ$1006,0)), HYPERLINK("#",""), HYPERLINK(CONCATENATE("#Metadata!", ADDRESS(INDEX($AJ$2:$AJ$1001,MATCH(ROWS($AH$2:AH698),$AH$2:$AH$1001,0),0), INDEX($AO$1004:$BQ$1004,1,MATCH(COLUMNS($AO$1006:BM1006),$AO$1006:$BQ$1006,0)))),"Fix")))</f>
        <v>#N/A</v>
      </c>
      <c r="AA698" s="5" t="e">
        <f ca="1">IF(OR(INDEX($AI$2:$AI$1001,MATCH(ROWS($AH$2:AH698),$AH$2:$AH$1001,0),1)&gt;=100000,INDEX($AO$1005:$BQ$1005,1,MATCH(COLUMNS($AO$1006:BN1006),$AO$1006:$BQ$1006,0))&gt;=100000), " ",IF(INDEX($AO$2:$BQ$1001,MATCH(ROWS($AH$2:AH698),$AH$2:$AH$1001,0),MATCH(COLUMNS($AO$1006:BN1006),$AO$1006:$BQ$1006,0)), HYPERLINK("#",""), HYPERLINK(CONCATENATE("#Metadata!", ADDRESS(INDEX($AJ$2:$AJ$1001,MATCH(ROWS($AH$2:AH698),$AH$2:$AH$1001,0),0), INDEX($AO$1004:$BQ$1004,1,MATCH(COLUMNS($AO$1006:BN1006),$AO$1006:$BQ$1006,0)))),"Fix")))</f>
        <v>#N/A</v>
      </c>
      <c r="AB698" s="5" t="e">
        <f ca="1">IF(OR(INDEX($AI$2:$AI$1001,MATCH(ROWS($AH$2:AH698),$AH$2:$AH$1001,0),1)&gt;=100000,INDEX($AO$1005:$BQ$1005,1,MATCH(COLUMNS($AO$1006:BO1006),$AO$1006:$BQ$1006,0))&gt;=100000), " ",IF(INDEX($AO$2:$BQ$1001,MATCH(ROWS($AH$2:AH698),$AH$2:$AH$1001,0),MATCH(COLUMNS($AO$1006:BO1006),$AO$1006:$BQ$1006,0)), HYPERLINK("#",""), HYPERLINK(CONCATENATE("#Metadata!", ADDRESS(INDEX($AJ$2:$AJ$1001,MATCH(ROWS($AH$2:AH698),$AH$2:$AH$1001,0),0), INDEX($AO$1004:$BQ$1004,1,MATCH(COLUMNS($AO$1006:BO1006),$AO$1006:$BQ$1006,0)))),"Fix")))</f>
        <v>#N/A</v>
      </c>
      <c r="AC698" s="5" t="e">
        <f ca="1">IF(OR(INDEX($AI$2:$AI$1001,MATCH(ROWS($AH$2:AH698),$AH$2:$AH$1001,0),1)&gt;=100000,INDEX($AO$1005:$BQ$1005,1,MATCH(COLUMNS($AO$1006:BP1006),$AO$1006:$BQ$1006,0))&gt;=100000), " ",IF(INDEX($AO$2:$BQ$1001,MATCH(ROWS($AH$2:AH698),$AH$2:$AH$1001,0),MATCH(COLUMNS($AO$1006:BP1006),$AO$1006:$BQ$1006,0)), HYPERLINK("#",""), HYPERLINK(CONCATENATE("#Metadata!", ADDRESS(INDEX($AJ$2:$AJ$1001,MATCH(ROWS($AH$2:AH698),$AH$2:$AH$1001,0),0), INDEX($AO$1004:$BQ$1004,1,MATCH(COLUMNS($AO$1006:BP1006),$AO$1006:$BQ$1006,0)))),"Fix")))</f>
        <v>#N/A</v>
      </c>
      <c r="AD698" s="5" t="e">
        <f ca="1">IF(OR(INDEX($AI$2:$AI$1001,MATCH(ROWS($AH$2:AH698),$AH$2:$AH$1001,0),1)&gt;=100000,INDEX($AO$1005:$BQ$1005,1,MATCH(COLUMNS($AO$1006:BQ1006),$AO$1006:$BQ$1006,0))&gt;=100000), " ",IF(INDEX($AO$2:$BQ$1001,MATCH(ROWS($AH$2:AH698),$AH$2:$AH$1001,0),MATCH(COLUMNS($AO$1006:BQ1006),$AO$1006:$BQ$1006,0)), HYPERLINK("#",""), HYPERLINK(CONCATENATE("#Metadata!", ADDRESS(INDEX($AJ$2:$AJ$1001,MATCH(ROWS($AH$2:AH698),$AH$2:$AH$1001,0),0), INDEX($AO$1004:$BQ$1004,1,MATCH(COLUMNS($AO$1006:BQ1006),$AO$1006:$BQ$1006,0)))),"Fix")))</f>
        <v>#REF!</v>
      </c>
      <c r="AH698">
        <f ca="1"/>
        <v>695</v>
      </c>
      <c r="AI698">
        <v>100698</v>
      </c>
      <c r="AJ698">
        <v>698</v>
      </c>
      <c r="AK698" t="b">
        <f t="shared" si="10"/>
        <v>1</v>
      </c>
      <c r="AL698" t="b">
        <f>COUNTBLANK(Metadata!B698:AD698)=COLUMNS(Metadata!B698:AD698)</f>
        <v>1</v>
      </c>
      <c r="AM698" t="str">
        <v/>
      </c>
      <c r="AO698" t="b">
        <f ca="1">AND(IF(Metadata!B698="",FALSE,TRUE),COUNTIF(Metadata!B:B, Metadata!B698) = 1,NOT(ISERROR(SUMPRODUCT(SEARCH(MID(Metadata!B698,ROW(INDIRECT("1:"&amp;LEN(Metadata!B698))), 1),"0123456789abcdefghijklmnopqrstuvwxyzABCDEFGHIJKLMNOPQRSTUVWXYZ.")))))</f>
        <v>0</v>
      </c>
      <c r="AP698" t="b">
        <f>IF(Metadata!C698="",FALSE,TRUE)</f>
        <v>0</v>
      </c>
      <c r="AQ698" t="b">
        <f>IF(Metadata!D698="",FALSE,TRUE)</f>
        <v>0</v>
      </c>
      <c r="AR698" t="b">
        <f ca="1">OR(AND(IF(Metadata!E698="",FALSE,TRUE),OR(EXACT(Metadata!E698,"not collected"),EXACT(Metadata!E698,"not provided"),EXACT(Metadata!E698,"restricted access"))),AND(IF(Metadata!E698="",FALSE,TRUE),AND(AND(IFERROR(INT(LEFT(Metadata!E698,4))&gt;1900,FALSE),IFERROR(INT(LEFT(Metadata!E698,4))&lt;=YEAR(NOW()),FALSE)), OR(MID(Metadata!E698,5,1)="", AND(AND(MID(Metadata!E698,5,1)="-",IFERROR(INT(MID(Metadata!E698,6,1))&gt;=0,FALSE),IFERROR(INT(MID(Metadata!E698,6,1))&lt;=1,FALSE),NOT(MID(Metadata!E698,7,1)=""),IFERROR(INT(MID(Metadata!E698,6,2))&gt;=1,FALSE),IFERROR(INT(MID(Metadata!E698,6,2))&lt;=12,FALSE)), OR(MID(Metadata!E698,8,1)="", AND(AND(MID(Metadata!E698,8,1)="-",IFERROR(INT(MID(Metadata!E698,9,1))&gt;=0,FALSE),IFERROR(INT(MID(Metadata!E698,9,1))&lt;=3,FALSE),NOT(MID(Metadata!E698,10,1)=""),IFERROR(INT(MID(Metadata!E698,9,2))&gt;=1,FALSE),IFERROR(INT(MID(Metadata!E698,9,2))&lt;=31,FALSE)), OR(MID(Metadata!E698,11,1)="", AND(AND(MID(Metadata!E698,11,1)=" ",IFERROR(INT(MID(Metadata!E698,12,1))&gt;=0,FALSE),IFERROR(INT(MID(Metadata!E698,12,1))&lt;=2,FALSE),NOT(MID(Metadata!E698,13,1)=""),IFERROR(INT(MID(Metadata!E698,12,2))&gt;=0,FALSE),IFERROR(INT(MID(Metadata!E698,12,2))&lt;=23,FALSE)), OR(MID(Metadata!E698,14,1)="", AND(AND(MID(Metadata!E698,14,1)=":",IFERROR(INT(MID(Metadata!E698,15,1))&gt;=0,FALSE),IFERROR(INT(MID(Metadata!E698,15,1))&lt;=5,FALSE),NOT(MID(Metadata!E698,16,1)=""),IFERROR(INT(MID(Metadata!E698,15,2))&gt;=0,FALSE),IFERROR(INT(MID(Metadata!E698,15,2))&lt;=59,FALSE)), OR(MID(Metadata!E698,17,1)="", AND(AND(MID(Metadata!E698,17,1)=":",IFERROR(INT(MID(Metadata!E698,18,1))&gt;=0,FALSE),IFERROR(INT(MID(Metadata!E698,18,1))&lt;=5,FALSE),NOT(MID(Metadata!E698,19,1)=""),IFERROR(INT(MID(Metadata!E698,18,2))&gt;=0,FALSE),IFERROR(INT(MID(Metadata!E698,18,2))&lt;=59,FALSE)), LEN(Metadata!E698)&lt;=19)))))))))))))</f>
        <v>0</v>
      </c>
      <c r="AS698" t="b">
        <f>IF(Metadata!F698="",FALSE,TRUE)</f>
        <v>0</v>
      </c>
      <c r="AT698" t="b">
        <f>OR(AND(IF(Metadata!G698="",FALSE,TRUE),OR(EXACT(Metadata!G698,"not collected"),EXACT(Metadata!G698,"not provided"))),AND(IF(Metadata!G698="",FALSE,TRUE),OR(EXACT(Metadata!G698,"TRUE"),EXACT(Metadata!G698,"FALSE"))))</f>
        <v>0</v>
      </c>
      <c r="AU698" t="b">
        <f>OR(AND(IF(Metadata!H698="",FALSE,TRUE),OR(EXACT(Metadata!H698,"not collected"),EXACT(Metadata!H698,"not provided"),EXACT(Metadata!H698,"restricted access"))),AND(IF(Metadata!H698="",FALSE,ISNUMBER(VALUE(Metadata!H698))),Metadata!H698&gt;=-413))</f>
        <v>0</v>
      </c>
      <c r="AV698" t="b">
        <f>AND(IF(Metadata!I698="",FALSE,TRUE),EXACT(Metadata!I698,"meters"))</f>
        <v>0</v>
      </c>
      <c r="AW698" t="b">
        <f>AND(IF(Metadata!J698="",FALSE,TRUE),EXACT(Metadata!J698,"free-living"))</f>
        <v>0</v>
      </c>
      <c r="AX698" t="b">
        <f>AND(IF(Metadata!K698="",FALSE,TRUE),OR(EXACT(Metadata!K698,"saline"),EXACT(Metadata!K698,"non-saline")))</f>
        <v>0</v>
      </c>
      <c r="AY698" t="b">
        <f>AND(IF(Metadata!L698="",FALSE,TRUE),OR(EXACT(Metadata!L698,"sub-surface (non-saline)"),EXACT(Metadata!L698,"surface (non-saline)"),EXACT(Metadata!L698,"water (non-saline)"),EXACT(Metadata!L698,"soil (non-saline)"),EXACT(Metadata!L698,"aerosol (non-saline)"),EXACT(Metadata!L698,"sediment (non-saline)"),EXACT(Metadata!L698,"surface (saline)"),EXACT(Metadata!L698,"water (saline)"),EXACT(Metadata!L698,"hypersaline (saline)"),EXACT(Metadata!L698,"aerosol (saline)"),EXACT(Metadata!L698,"sediment (saline)")))</f>
        <v>0</v>
      </c>
      <c r="AZ698" t="b">
        <f>IF(Metadata!M698="",FALSE,TRUE)</f>
        <v>0</v>
      </c>
      <c r="BA698" t="b">
        <f>IF(Metadata!N698="",FALSE,TRUE)</f>
        <v>0</v>
      </c>
      <c r="BB698" t="b">
        <f>IF(Metadata!O698="",FALSE,TRUE)</f>
        <v>0</v>
      </c>
      <c r="BC698" t="b">
        <f>AND(IF(Metadata!P698="",FALSE,TRUE),OR(EXACT(Metadata!P698,"air"),EXACT(Metadata!P698,"microbial mat/biofilm"),EXACT(Metadata!P698,"misc environment"),EXACT(Metadata!P698,"sediment"),EXACT(Metadata!P698,"soil"),EXACT(Metadata!P698,"wastewater/sludge"),EXACT(Metadata!P698,"water")))</f>
        <v>0</v>
      </c>
      <c r="BD698" t="b">
        <f>IF(Metadata!Q698="",FALSE,TRUE)</f>
        <v>0</v>
      </c>
      <c r="BE698" t="b">
        <f>IF(Metadata!R698="",FALSE,TRUE)</f>
        <v>0</v>
      </c>
      <c r="BF698" t="b">
        <f>OR(AND(IF(Metadata!S698="",FALSE,TRUE),OR(EXACT(Metadata!S698,"not collected"),EXACT(Metadata!S698,"not provided"),EXACT(Metadata!S698,"restricted access"))),AND(IF(Metadata!S698="",FALSE,ISNUMBER(VALUE(Metadata!S698))),Metadata!S698&gt;=-90,Metadata!S698&lt;=90))</f>
        <v>0</v>
      </c>
      <c r="BG698" t="b">
        <f>AND(IF(Metadata!T698="",FALSE,TRUE),EXACT(Metadata!T698,"Decimal degrees"))</f>
        <v>0</v>
      </c>
      <c r="BH698" t="b">
        <f>OR(AND(IF(Metadata!U698="",FALSE,TRUE),OR(EXACT(Metadata!U698,"not applicable"),EXACT(Metadata!U698,"not collected"))),IF(Metadata!U698="",FALSE,TRUE))</f>
        <v>0</v>
      </c>
      <c r="BI698" t="b">
        <f>OR(AND(IF(Metadata!V698="",FALSE,TRUE),OR(EXACT(Metadata!V698,"not collected"),EXACT(Metadata!V698,"not provided"),EXACT(Metadata!V698,"restricted access"))),AND(IF(Metadata!V698="",FALSE,ISNUMBER(VALUE(Metadata!V698))),Metadata!V698&gt;=-180,Metadata!V698&lt;=180))</f>
        <v>0</v>
      </c>
      <c r="BJ698" t="b">
        <f>AND(IF(Metadata!W698="",FALSE,TRUE),EXACT(Metadata!W698,"Decimal degrees"))</f>
        <v>0</v>
      </c>
      <c r="BK698" t="b">
        <f>IF(Metadata!X698="",FALSE,TRUE)</f>
        <v>0</v>
      </c>
      <c r="BL698" t="b">
        <f>OR(AND(IF(Metadata!Y698="",FALSE,TRUE),OR(EXACT(Metadata!Y698,"not collected"),EXACT(Metadata!Y698,"not provided"),EXACT(Metadata!Y698,"restricted access"))),AND(IF(Metadata!Y698="",FALSE,TRUE),OR(EXACT(Metadata!Y698,"TRUE"),EXACT(Metadata!Y698,"FALSE"))))</f>
        <v>0</v>
      </c>
      <c r="BM698" t="b">
        <f>OR(AND(IF(Metadata!Z698="",FALSE,TRUE),EXACT(Metadata!Z698,"not applicable")),AND(IF(Metadata!Z698="",FALSE,TRUE),OR(EXACT(Metadata!Z698,"beer"),EXACT(Metadata!Z698,"cheese"),EXACT(Metadata!Z698,"fresh water"),EXACT(Metadata!Z698,"marine sediment"),EXACT(Metadata!Z698,"sea water"),EXACT(Metadata!Z698,"sediment"),EXACT(Metadata!Z698,"soil"),EXACT(Metadata!Z698,"waste water"))))</f>
        <v>0</v>
      </c>
      <c r="BN698" t="b">
        <f>AND(IF(Metadata!AA698="",FALSE,TRUE),EXACT(Metadata!AA698,"metagenome"))</f>
        <v>0</v>
      </c>
      <c r="BO698" t="b">
        <f>AND(IF(Metadata!AB698="",FALSE,TRUE),EXACT(Metadata!AB698,"256318"))</f>
        <v>0</v>
      </c>
      <c r="BP698" t="b">
        <f>IF(Metadata!AC698="",FALSE,TRUE)</f>
        <v>0</v>
      </c>
      <c r="BQ698" t="b">
        <f>IF(Metadata!AD698="",FALSE,TRUE)</f>
        <v>0</v>
      </c>
    </row>
    <row r="699" spans="1:69" x14ac:dyDescent="0.2">
      <c r="A699" s="4" t="e">
        <f ca="1">IF(B699=" "," ",HYPERLINK(CONCATENATE("#metadata!",ADDRESS(INDEX($AJ$2:$AJ$1001,MATCH(ROWS($AH$2:AH699),$AH$2:$AH$1001,0),0),2)),INDEX($AM$2:$AM$1001,MATCH(ROWS($AH$2:AH699),$AH$2:$AH$1001,0),0)))</f>
        <v>#N/A</v>
      </c>
      <c r="B699" s="5" t="e">
        <f ca="1">IF(OR(INDEX($AI$2:$AI$1001,MATCH(ROWS($AH$2:AH699),$AH$2:$AH$1001,0),1)&gt;=100000,INDEX($AO$1005:$BQ$1005,1,MATCH(COLUMNS($AO$1006:AO1006),$AO$1006:$BQ$1006,0))&gt;=100000), " ",IF(INDEX($AO$2:$BQ$1001,MATCH(ROWS($AH$2:AH699),$AH$2:$AH$1001,0),MATCH(COLUMNS($AO$1006:AO1006),$AO$1006:$BQ$1006,0)), HYPERLINK("#",""), HYPERLINK(CONCATENATE("#Metadata!", ADDRESS(INDEX($AJ$2:$AJ$1001,MATCH(ROWS($AH$2:AH699),$AH$2:$AH$1001,0),0), INDEX($AO$1004:$BQ$1004,1,MATCH(COLUMNS($AO$1006:AO1006),$AO$1006:$BQ$1006,0)))),"Fix")))</f>
        <v>#N/A</v>
      </c>
      <c r="C699" s="5" t="e">
        <f ca="1">IF(OR(INDEX($AI$2:$AI$1001,MATCH(ROWS($AH$2:AH699),$AH$2:$AH$1001,0),1)&gt;=100000,INDEX($AO$1005:$BQ$1005,1,MATCH(COLUMNS($AO$1006:AP1006),$AO$1006:$BQ$1006,0))&gt;=100000), " ",IF(INDEX($AO$2:$BQ$1001,MATCH(ROWS($AH$2:AH699),$AH$2:$AH$1001,0),MATCH(COLUMNS($AO$1006:AP1006),$AO$1006:$BQ$1006,0)), HYPERLINK("#",""), HYPERLINK(CONCATENATE("#Metadata!", ADDRESS(INDEX($AJ$2:$AJ$1001,MATCH(ROWS($AH$2:AH699),$AH$2:$AH$1001,0),0), INDEX($AO$1004:$BQ$1004,1,MATCH(COLUMNS($AO$1006:AP1006),$AO$1006:$BQ$1006,0)))),"Fix")))</f>
        <v>#N/A</v>
      </c>
      <c r="D699" s="5" t="e">
        <f ca="1">IF(OR(INDEX($AI$2:$AI$1001,MATCH(ROWS($AH$2:AH699),$AH$2:$AH$1001,0),1)&gt;=100000,INDEX($AO$1005:$BQ$1005,1,MATCH(COLUMNS($AO$1006:AQ1006),$AO$1006:$BQ$1006,0))&gt;=100000), " ",IF(INDEX($AO$2:$BQ$1001,MATCH(ROWS($AH$2:AH699),$AH$2:$AH$1001,0),MATCH(COLUMNS($AO$1006:AQ1006),$AO$1006:$BQ$1006,0)), HYPERLINK("#",""), HYPERLINK(CONCATENATE("#Metadata!", ADDRESS(INDEX($AJ$2:$AJ$1001,MATCH(ROWS($AH$2:AH699),$AH$2:$AH$1001,0),0), INDEX($AO$1004:$BQ$1004,1,MATCH(COLUMNS($AO$1006:AQ1006),$AO$1006:$BQ$1006,0)))),"Fix")))</f>
        <v>#N/A</v>
      </c>
      <c r="E699" s="5" t="e">
        <f ca="1">IF(OR(INDEX($AI$2:$AI$1001,MATCH(ROWS($AH$2:AH699),$AH$2:$AH$1001,0),1)&gt;=100000,INDEX($AO$1005:$BQ$1005,1,MATCH(COLUMNS($AO$1006:AR1006),$AO$1006:$BQ$1006,0))&gt;=100000), " ",IF(INDEX($AO$2:$BQ$1001,MATCH(ROWS($AH$2:AH699),$AH$2:$AH$1001,0),MATCH(COLUMNS($AO$1006:AR1006),$AO$1006:$BQ$1006,0)), HYPERLINK("#",""), HYPERLINK(CONCATENATE("#Metadata!", ADDRESS(INDEX($AJ$2:$AJ$1001,MATCH(ROWS($AH$2:AH699),$AH$2:$AH$1001,0),0), INDEX($AO$1004:$BQ$1004,1,MATCH(COLUMNS($AO$1006:AR1006),$AO$1006:$BQ$1006,0)))),"Fix")))</f>
        <v>#N/A</v>
      </c>
      <c r="F699" s="5" t="e">
        <f ca="1">IF(OR(INDEX($AI$2:$AI$1001,MATCH(ROWS($AH$2:AH699),$AH$2:$AH$1001,0),1)&gt;=100000,INDEX($AO$1005:$BQ$1005,1,MATCH(COLUMNS($AO$1006:AS1006),$AO$1006:$BQ$1006,0))&gt;=100000), " ",IF(INDEX($AO$2:$BQ$1001,MATCH(ROWS($AH$2:AH699),$AH$2:$AH$1001,0),MATCH(COLUMNS($AO$1006:AS1006),$AO$1006:$BQ$1006,0)), HYPERLINK("#",""), HYPERLINK(CONCATENATE("#Metadata!", ADDRESS(INDEX($AJ$2:$AJ$1001,MATCH(ROWS($AH$2:AH699),$AH$2:$AH$1001,0),0), INDEX($AO$1004:$BQ$1004,1,MATCH(COLUMNS($AO$1006:AS1006),$AO$1006:$BQ$1006,0)))),"Fix")))</f>
        <v>#N/A</v>
      </c>
      <c r="G699" s="5" t="e">
        <f ca="1">IF(OR(INDEX($AI$2:$AI$1001,MATCH(ROWS($AH$2:AH699),$AH$2:$AH$1001,0),1)&gt;=100000,INDEX($AO$1005:$BQ$1005,1,MATCH(COLUMNS($AO$1006:AT1006),$AO$1006:$BQ$1006,0))&gt;=100000), " ",IF(INDEX($AO$2:$BQ$1001,MATCH(ROWS($AH$2:AH699),$AH$2:$AH$1001,0),MATCH(COLUMNS($AO$1006:AT1006),$AO$1006:$BQ$1006,0)), HYPERLINK("#",""), HYPERLINK(CONCATENATE("#Metadata!", ADDRESS(INDEX($AJ$2:$AJ$1001,MATCH(ROWS($AH$2:AH699),$AH$2:$AH$1001,0),0), INDEX($AO$1004:$BQ$1004,1,MATCH(COLUMNS($AO$1006:AT1006),$AO$1006:$BQ$1006,0)))),"Fix")))</f>
        <v>#N/A</v>
      </c>
      <c r="H699" s="5" t="e">
        <f ca="1">IF(OR(INDEX($AI$2:$AI$1001,MATCH(ROWS($AH$2:AH699),$AH$2:$AH$1001,0),1)&gt;=100000,INDEX($AO$1005:$BQ$1005,1,MATCH(COLUMNS($AO$1006:AU1006),$AO$1006:$BQ$1006,0))&gt;=100000), " ",IF(INDEX($AO$2:$BQ$1001,MATCH(ROWS($AH$2:AH699),$AH$2:$AH$1001,0),MATCH(COLUMNS($AO$1006:AU1006),$AO$1006:$BQ$1006,0)), HYPERLINK("#",""), HYPERLINK(CONCATENATE("#Metadata!", ADDRESS(INDEX($AJ$2:$AJ$1001,MATCH(ROWS($AH$2:AH699),$AH$2:$AH$1001,0),0), INDEX($AO$1004:$BQ$1004,1,MATCH(COLUMNS($AO$1006:AU1006),$AO$1006:$BQ$1006,0)))),"Fix")))</f>
        <v>#N/A</v>
      </c>
      <c r="I699" s="5" t="e">
        <f ca="1">IF(OR(INDEX($AI$2:$AI$1001,MATCH(ROWS($AH$2:AH699),$AH$2:$AH$1001,0),1)&gt;=100000,INDEX($AO$1005:$BQ$1005,1,MATCH(COLUMNS($AO$1006:AV1006),$AO$1006:$BQ$1006,0))&gt;=100000), " ",IF(INDEX($AO$2:$BQ$1001,MATCH(ROWS($AH$2:AH699),$AH$2:$AH$1001,0),MATCH(COLUMNS($AO$1006:AV1006),$AO$1006:$BQ$1006,0)), HYPERLINK("#",""), HYPERLINK(CONCATENATE("#Metadata!", ADDRESS(INDEX($AJ$2:$AJ$1001,MATCH(ROWS($AH$2:AH699),$AH$2:$AH$1001,0),0), INDEX($AO$1004:$BQ$1004,1,MATCH(COLUMNS($AO$1006:AV1006),$AO$1006:$BQ$1006,0)))),"Fix")))</f>
        <v>#N/A</v>
      </c>
      <c r="J699" s="5" t="e">
        <f ca="1">IF(OR(INDEX($AI$2:$AI$1001,MATCH(ROWS($AH$2:AH699),$AH$2:$AH$1001,0),1)&gt;=100000,INDEX($AO$1005:$BQ$1005,1,MATCH(COLUMNS($AO$1006:AW1006),$AO$1006:$BQ$1006,0))&gt;=100000), " ",IF(INDEX($AO$2:$BQ$1001,MATCH(ROWS($AH$2:AH699),$AH$2:$AH$1001,0),MATCH(COLUMNS($AO$1006:AW1006),$AO$1006:$BQ$1006,0)), HYPERLINK("#",""), HYPERLINK(CONCATENATE("#Metadata!", ADDRESS(INDEX($AJ$2:$AJ$1001,MATCH(ROWS($AH$2:AH699),$AH$2:$AH$1001,0),0), INDEX($AO$1004:$BQ$1004,1,MATCH(COLUMNS($AO$1006:AW1006),$AO$1006:$BQ$1006,0)))),"Fix")))</f>
        <v>#N/A</v>
      </c>
      <c r="K699" s="5" t="e">
        <f ca="1">IF(OR(INDEX($AI$2:$AI$1001,MATCH(ROWS($AH$2:AH699),$AH$2:$AH$1001,0),1)&gt;=100000,INDEX($AO$1005:$BQ$1005,1,MATCH(COLUMNS($AO$1006:AX1006),$AO$1006:$BQ$1006,0))&gt;=100000), " ",IF(INDEX($AO$2:$BQ$1001,MATCH(ROWS($AH$2:AH699),$AH$2:$AH$1001,0),MATCH(COLUMNS($AO$1006:AX1006),$AO$1006:$BQ$1006,0)), HYPERLINK("#",""), HYPERLINK(CONCATENATE("#Metadata!", ADDRESS(INDEX($AJ$2:$AJ$1001,MATCH(ROWS($AH$2:AH699),$AH$2:$AH$1001,0),0), INDEX($AO$1004:$BQ$1004,1,MATCH(COLUMNS($AO$1006:AX1006),$AO$1006:$BQ$1006,0)))),"Fix")))</f>
        <v>#N/A</v>
      </c>
      <c r="L699" s="5" t="e">
        <f ca="1">IF(OR(INDEX($AI$2:$AI$1001,MATCH(ROWS($AH$2:AH699),$AH$2:$AH$1001,0),1)&gt;=100000,INDEX($AO$1005:$BQ$1005,1,MATCH(COLUMNS($AO$1006:AY1006),$AO$1006:$BQ$1006,0))&gt;=100000), " ",IF(INDEX($AO$2:$BQ$1001,MATCH(ROWS($AH$2:AH699),$AH$2:$AH$1001,0),MATCH(COLUMNS($AO$1006:AY1006),$AO$1006:$BQ$1006,0)), HYPERLINK("#",""), HYPERLINK(CONCATENATE("#Metadata!", ADDRESS(INDEX($AJ$2:$AJ$1001,MATCH(ROWS($AH$2:AH699),$AH$2:$AH$1001,0),0), INDEX($AO$1004:$BQ$1004,1,MATCH(COLUMNS($AO$1006:AY1006),$AO$1006:$BQ$1006,0)))),"Fix")))</f>
        <v>#N/A</v>
      </c>
      <c r="M699" s="5" t="e">
        <f ca="1">IF(OR(INDEX($AI$2:$AI$1001,MATCH(ROWS($AH$2:AH699),$AH$2:$AH$1001,0),1)&gt;=100000,INDEX($AO$1005:$BQ$1005,1,MATCH(COLUMNS($AO$1006:AZ1006),$AO$1006:$BQ$1006,0))&gt;=100000), " ",IF(INDEX($AO$2:$BQ$1001,MATCH(ROWS($AH$2:AH699),$AH$2:$AH$1001,0),MATCH(COLUMNS($AO$1006:AZ1006),$AO$1006:$BQ$1006,0)), HYPERLINK("#",""), HYPERLINK(CONCATENATE("#Metadata!", ADDRESS(INDEX($AJ$2:$AJ$1001,MATCH(ROWS($AH$2:AH699),$AH$2:$AH$1001,0),0), INDEX($AO$1004:$BQ$1004,1,MATCH(COLUMNS($AO$1006:AZ1006),$AO$1006:$BQ$1006,0)))),"Fix")))</f>
        <v>#N/A</v>
      </c>
      <c r="N699" s="5" t="e">
        <f ca="1">IF(OR(INDEX($AI$2:$AI$1001,MATCH(ROWS($AH$2:AH699),$AH$2:$AH$1001,0),1)&gt;=100000,INDEX($AO$1005:$BQ$1005,1,MATCH(COLUMNS($AO$1006:BA1006),$AO$1006:$BQ$1006,0))&gt;=100000), " ",IF(INDEX($AO$2:$BQ$1001,MATCH(ROWS($AH$2:AH699),$AH$2:$AH$1001,0),MATCH(COLUMNS($AO$1006:BA1006),$AO$1006:$BQ$1006,0)), HYPERLINK("#",""), HYPERLINK(CONCATENATE("#Metadata!", ADDRESS(INDEX($AJ$2:$AJ$1001,MATCH(ROWS($AH$2:AH699),$AH$2:$AH$1001,0),0), INDEX($AO$1004:$BQ$1004,1,MATCH(COLUMNS($AO$1006:BA1006),$AO$1006:$BQ$1006,0)))),"Fix")))</f>
        <v>#N/A</v>
      </c>
      <c r="O699" s="5" t="e">
        <f ca="1">IF(OR(INDEX($AI$2:$AI$1001,MATCH(ROWS($AH$2:AH699),$AH$2:$AH$1001,0),1)&gt;=100000,INDEX($AO$1005:$BQ$1005,1,MATCH(COLUMNS($AO$1006:BB1006),$AO$1006:$BQ$1006,0))&gt;=100000), " ",IF(INDEX($AO$2:$BQ$1001,MATCH(ROWS($AH$2:AH699),$AH$2:$AH$1001,0),MATCH(COLUMNS($AO$1006:BB1006),$AO$1006:$BQ$1006,0)), HYPERLINK("#",""), HYPERLINK(CONCATENATE("#Metadata!", ADDRESS(INDEX($AJ$2:$AJ$1001,MATCH(ROWS($AH$2:AH699),$AH$2:$AH$1001,0),0), INDEX($AO$1004:$BQ$1004,1,MATCH(COLUMNS($AO$1006:BB1006),$AO$1006:$BQ$1006,0)))),"Fix")))</f>
        <v>#N/A</v>
      </c>
      <c r="P699" s="5" t="e">
        <f ca="1">IF(OR(INDEX($AI$2:$AI$1001,MATCH(ROWS($AH$2:AH699),$AH$2:$AH$1001,0),1)&gt;=100000,INDEX($AO$1005:$BQ$1005,1,MATCH(COLUMNS($AO$1006:BC1006),$AO$1006:$BQ$1006,0))&gt;=100000), " ",IF(INDEX($AO$2:$BQ$1001,MATCH(ROWS($AH$2:AH699),$AH$2:$AH$1001,0),MATCH(COLUMNS($AO$1006:BC1006),$AO$1006:$BQ$1006,0)), HYPERLINK("#",""), HYPERLINK(CONCATENATE("#Metadata!", ADDRESS(INDEX($AJ$2:$AJ$1001,MATCH(ROWS($AH$2:AH699),$AH$2:$AH$1001,0),0), INDEX($AO$1004:$BQ$1004,1,MATCH(COLUMNS($AO$1006:BC1006),$AO$1006:$BQ$1006,0)))),"Fix")))</f>
        <v>#N/A</v>
      </c>
      <c r="Q699" s="5" t="e">
        <f ca="1">IF(OR(INDEX($AI$2:$AI$1001,MATCH(ROWS($AH$2:AH699),$AH$2:$AH$1001,0),1)&gt;=100000,INDEX($AO$1005:$BQ$1005,1,MATCH(COLUMNS($AO$1006:BD1006),$AO$1006:$BQ$1006,0))&gt;=100000), " ",IF(INDEX($AO$2:$BQ$1001,MATCH(ROWS($AH$2:AH699),$AH$2:$AH$1001,0),MATCH(COLUMNS($AO$1006:BD1006),$AO$1006:$BQ$1006,0)), HYPERLINK("#",""), HYPERLINK(CONCATENATE("#Metadata!", ADDRESS(INDEX($AJ$2:$AJ$1001,MATCH(ROWS($AH$2:AH699),$AH$2:$AH$1001,0),0), INDEX($AO$1004:$BQ$1004,1,MATCH(COLUMNS($AO$1006:BD1006),$AO$1006:$BQ$1006,0)))),"Fix")))</f>
        <v>#N/A</v>
      </c>
      <c r="R699" s="5" t="e">
        <f ca="1">IF(OR(INDEX($AI$2:$AI$1001,MATCH(ROWS($AH$2:AH699),$AH$2:$AH$1001,0),1)&gt;=100000,INDEX($AO$1005:$BQ$1005,1,MATCH(COLUMNS($AO$1006:BE1006),$AO$1006:$BQ$1006,0))&gt;=100000), " ",IF(INDEX($AO$2:$BQ$1001,MATCH(ROWS($AH$2:AH699),$AH$2:$AH$1001,0),MATCH(COLUMNS($AO$1006:BE1006),$AO$1006:$BQ$1006,0)), HYPERLINK("#",""), HYPERLINK(CONCATENATE("#Metadata!", ADDRESS(INDEX($AJ$2:$AJ$1001,MATCH(ROWS($AH$2:AH699),$AH$2:$AH$1001,0),0), INDEX($AO$1004:$BQ$1004,1,MATCH(COLUMNS($AO$1006:BE1006),$AO$1006:$BQ$1006,0)))),"Fix")))</f>
        <v>#N/A</v>
      </c>
      <c r="S699" s="5" t="e">
        <f ca="1">IF(OR(INDEX($AI$2:$AI$1001,MATCH(ROWS($AH$2:AH699),$AH$2:$AH$1001,0),1)&gt;=100000,INDEX($AO$1005:$BQ$1005,1,MATCH(COLUMNS($AO$1006:BF1006),$AO$1006:$BQ$1006,0))&gt;=100000), " ",IF(INDEX($AO$2:$BQ$1001,MATCH(ROWS($AH$2:AH699),$AH$2:$AH$1001,0),MATCH(COLUMNS($AO$1006:BF1006),$AO$1006:$BQ$1006,0)), HYPERLINK("#",""), HYPERLINK(CONCATENATE("#Metadata!", ADDRESS(INDEX($AJ$2:$AJ$1001,MATCH(ROWS($AH$2:AH699),$AH$2:$AH$1001,0),0), INDEX($AO$1004:$BQ$1004,1,MATCH(COLUMNS($AO$1006:BF1006),$AO$1006:$BQ$1006,0)))),"Fix")))</f>
        <v>#N/A</v>
      </c>
      <c r="T699" s="5" t="e">
        <f ca="1">IF(OR(INDEX($AI$2:$AI$1001,MATCH(ROWS($AH$2:AH699),$AH$2:$AH$1001,0),1)&gt;=100000,INDEX($AO$1005:$BQ$1005,1,MATCH(COLUMNS($AO$1006:BG1006),$AO$1006:$BQ$1006,0))&gt;=100000), " ",IF(INDEX($AO$2:$BQ$1001,MATCH(ROWS($AH$2:AH699),$AH$2:$AH$1001,0),MATCH(COLUMNS($AO$1006:BG1006),$AO$1006:$BQ$1006,0)), HYPERLINK("#",""), HYPERLINK(CONCATENATE("#Metadata!", ADDRESS(INDEX($AJ$2:$AJ$1001,MATCH(ROWS($AH$2:AH699),$AH$2:$AH$1001,0),0), INDEX($AO$1004:$BQ$1004,1,MATCH(COLUMNS($AO$1006:BG1006),$AO$1006:$BQ$1006,0)))),"Fix")))</f>
        <v>#N/A</v>
      </c>
      <c r="U699" s="5" t="e">
        <f ca="1">IF(OR(INDEX($AI$2:$AI$1001,MATCH(ROWS($AH$2:AH699),$AH$2:$AH$1001,0),1)&gt;=100000,INDEX($AO$1005:$BQ$1005,1,MATCH(COLUMNS($AO$1006:BH1006),$AO$1006:$BQ$1006,0))&gt;=100000), " ",IF(INDEX($AO$2:$BQ$1001,MATCH(ROWS($AH$2:AH699),$AH$2:$AH$1001,0),MATCH(COLUMNS($AO$1006:BH1006),$AO$1006:$BQ$1006,0)), HYPERLINK("#",""), HYPERLINK(CONCATENATE("#Metadata!", ADDRESS(INDEX($AJ$2:$AJ$1001,MATCH(ROWS($AH$2:AH699),$AH$2:$AH$1001,0),0), INDEX($AO$1004:$BQ$1004,1,MATCH(COLUMNS($AO$1006:BH1006),$AO$1006:$BQ$1006,0)))),"Fix")))</f>
        <v>#N/A</v>
      </c>
      <c r="V699" s="5" t="e">
        <f ca="1">IF(OR(INDEX($AI$2:$AI$1001,MATCH(ROWS($AH$2:AH699),$AH$2:$AH$1001,0),1)&gt;=100000,INDEX($AO$1005:$BQ$1005,1,MATCH(COLUMNS($AO$1006:BI1006),$AO$1006:$BQ$1006,0))&gt;=100000), " ",IF(INDEX($AO$2:$BQ$1001,MATCH(ROWS($AH$2:AH699),$AH$2:$AH$1001,0),MATCH(COLUMNS($AO$1006:BI1006),$AO$1006:$BQ$1006,0)), HYPERLINK("#",""), HYPERLINK(CONCATENATE("#Metadata!", ADDRESS(INDEX($AJ$2:$AJ$1001,MATCH(ROWS($AH$2:AH699),$AH$2:$AH$1001,0),0), INDEX($AO$1004:$BQ$1004,1,MATCH(COLUMNS($AO$1006:BI1006),$AO$1006:$BQ$1006,0)))),"Fix")))</f>
        <v>#N/A</v>
      </c>
      <c r="W699" s="5" t="e">
        <f ca="1">IF(OR(INDEX($AI$2:$AI$1001,MATCH(ROWS($AH$2:AH699),$AH$2:$AH$1001,0),1)&gt;=100000,INDEX($AO$1005:$BQ$1005,1,MATCH(COLUMNS($AO$1006:BJ1006),$AO$1006:$BQ$1006,0))&gt;=100000), " ",IF(INDEX($AO$2:$BQ$1001,MATCH(ROWS($AH$2:AH699),$AH$2:$AH$1001,0),MATCH(COLUMNS($AO$1006:BJ1006),$AO$1006:$BQ$1006,0)), HYPERLINK("#",""), HYPERLINK(CONCATENATE("#Metadata!", ADDRESS(INDEX($AJ$2:$AJ$1001,MATCH(ROWS($AH$2:AH699),$AH$2:$AH$1001,0),0), INDEX($AO$1004:$BQ$1004,1,MATCH(COLUMNS($AO$1006:BJ1006),$AO$1006:$BQ$1006,0)))),"Fix")))</f>
        <v>#N/A</v>
      </c>
      <c r="X699" s="5" t="e">
        <f ca="1">IF(OR(INDEX($AI$2:$AI$1001,MATCH(ROWS($AH$2:AH699),$AH$2:$AH$1001,0),1)&gt;=100000,INDEX($AO$1005:$BQ$1005,1,MATCH(COLUMNS($AO$1006:BK1006),$AO$1006:$BQ$1006,0))&gt;=100000), " ",IF(INDEX($AO$2:$BQ$1001,MATCH(ROWS($AH$2:AH699),$AH$2:$AH$1001,0),MATCH(COLUMNS($AO$1006:BK1006),$AO$1006:$BQ$1006,0)), HYPERLINK("#",""), HYPERLINK(CONCATENATE("#Metadata!", ADDRESS(INDEX($AJ$2:$AJ$1001,MATCH(ROWS($AH$2:AH699),$AH$2:$AH$1001,0),0), INDEX($AO$1004:$BQ$1004,1,MATCH(COLUMNS($AO$1006:BK1006),$AO$1006:$BQ$1006,0)))),"Fix")))</f>
        <v>#N/A</v>
      </c>
      <c r="Y699" s="5" t="e">
        <f ca="1">IF(OR(INDEX($AI$2:$AI$1001,MATCH(ROWS($AH$2:AH699),$AH$2:$AH$1001,0),1)&gt;=100000,INDEX($AO$1005:$BQ$1005,1,MATCH(COLUMNS($AO$1006:BL1006),$AO$1006:$BQ$1006,0))&gt;=100000), " ",IF(INDEX($AO$2:$BQ$1001,MATCH(ROWS($AH$2:AH699),$AH$2:$AH$1001,0),MATCH(COLUMNS($AO$1006:BL1006),$AO$1006:$BQ$1006,0)), HYPERLINK("#",""), HYPERLINK(CONCATENATE("#Metadata!", ADDRESS(INDEX($AJ$2:$AJ$1001,MATCH(ROWS($AH$2:AH699),$AH$2:$AH$1001,0),0), INDEX($AO$1004:$BQ$1004,1,MATCH(COLUMNS($AO$1006:BL1006),$AO$1006:$BQ$1006,0)))),"Fix")))</f>
        <v>#N/A</v>
      </c>
      <c r="Z699" s="5" t="e">
        <f ca="1">IF(OR(INDEX($AI$2:$AI$1001,MATCH(ROWS($AH$2:AH699),$AH$2:$AH$1001,0),1)&gt;=100000,INDEX($AO$1005:$BQ$1005,1,MATCH(COLUMNS($AO$1006:BM1006),$AO$1006:$BQ$1006,0))&gt;=100000), " ",IF(INDEX($AO$2:$BQ$1001,MATCH(ROWS($AH$2:AH699),$AH$2:$AH$1001,0),MATCH(COLUMNS($AO$1006:BM1006),$AO$1006:$BQ$1006,0)), HYPERLINK("#",""), HYPERLINK(CONCATENATE("#Metadata!", ADDRESS(INDEX($AJ$2:$AJ$1001,MATCH(ROWS($AH$2:AH699),$AH$2:$AH$1001,0),0), INDEX($AO$1004:$BQ$1004,1,MATCH(COLUMNS($AO$1006:BM1006),$AO$1006:$BQ$1006,0)))),"Fix")))</f>
        <v>#N/A</v>
      </c>
      <c r="AA699" s="5" t="e">
        <f ca="1">IF(OR(INDEX($AI$2:$AI$1001,MATCH(ROWS($AH$2:AH699),$AH$2:$AH$1001,0),1)&gt;=100000,INDEX($AO$1005:$BQ$1005,1,MATCH(COLUMNS($AO$1006:BN1006),$AO$1006:$BQ$1006,0))&gt;=100000), " ",IF(INDEX($AO$2:$BQ$1001,MATCH(ROWS($AH$2:AH699),$AH$2:$AH$1001,0),MATCH(COLUMNS($AO$1006:BN1006),$AO$1006:$BQ$1006,0)), HYPERLINK("#",""), HYPERLINK(CONCATENATE("#Metadata!", ADDRESS(INDEX($AJ$2:$AJ$1001,MATCH(ROWS($AH$2:AH699),$AH$2:$AH$1001,0),0), INDEX($AO$1004:$BQ$1004,1,MATCH(COLUMNS($AO$1006:BN1006),$AO$1006:$BQ$1006,0)))),"Fix")))</f>
        <v>#N/A</v>
      </c>
      <c r="AB699" s="5" t="e">
        <f ca="1">IF(OR(INDEX($AI$2:$AI$1001,MATCH(ROWS($AH$2:AH699),$AH$2:$AH$1001,0),1)&gt;=100000,INDEX($AO$1005:$BQ$1005,1,MATCH(COLUMNS($AO$1006:BO1006),$AO$1006:$BQ$1006,0))&gt;=100000), " ",IF(INDEX($AO$2:$BQ$1001,MATCH(ROWS($AH$2:AH699),$AH$2:$AH$1001,0),MATCH(COLUMNS($AO$1006:BO1006),$AO$1006:$BQ$1006,0)), HYPERLINK("#",""), HYPERLINK(CONCATENATE("#Metadata!", ADDRESS(INDEX($AJ$2:$AJ$1001,MATCH(ROWS($AH$2:AH699),$AH$2:$AH$1001,0),0), INDEX($AO$1004:$BQ$1004,1,MATCH(COLUMNS($AO$1006:BO1006),$AO$1006:$BQ$1006,0)))),"Fix")))</f>
        <v>#N/A</v>
      </c>
      <c r="AC699" s="5" t="e">
        <f ca="1">IF(OR(INDEX($AI$2:$AI$1001,MATCH(ROWS($AH$2:AH699),$AH$2:$AH$1001,0),1)&gt;=100000,INDEX($AO$1005:$BQ$1005,1,MATCH(COLUMNS($AO$1006:BP1006),$AO$1006:$BQ$1006,0))&gt;=100000), " ",IF(INDEX($AO$2:$BQ$1001,MATCH(ROWS($AH$2:AH699),$AH$2:$AH$1001,0),MATCH(COLUMNS($AO$1006:BP1006),$AO$1006:$BQ$1006,0)), HYPERLINK("#",""), HYPERLINK(CONCATENATE("#Metadata!", ADDRESS(INDEX($AJ$2:$AJ$1001,MATCH(ROWS($AH$2:AH699),$AH$2:$AH$1001,0),0), INDEX($AO$1004:$BQ$1004,1,MATCH(COLUMNS($AO$1006:BP1006),$AO$1006:$BQ$1006,0)))),"Fix")))</f>
        <v>#N/A</v>
      </c>
      <c r="AD699" s="5" t="e">
        <f ca="1">IF(OR(INDEX($AI$2:$AI$1001,MATCH(ROWS($AH$2:AH699),$AH$2:$AH$1001,0),1)&gt;=100000,INDEX($AO$1005:$BQ$1005,1,MATCH(COLUMNS($AO$1006:BQ1006),$AO$1006:$BQ$1006,0))&gt;=100000), " ",IF(INDEX($AO$2:$BQ$1001,MATCH(ROWS($AH$2:AH699),$AH$2:$AH$1001,0),MATCH(COLUMNS($AO$1006:BQ1006),$AO$1006:$BQ$1006,0)), HYPERLINK("#",""), HYPERLINK(CONCATENATE("#Metadata!", ADDRESS(INDEX($AJ$2:$AJ$1001,MATCH(ROWS($AH$2:AH699),$AH$2:$AH$1001,0),0), INDEX($AO$1004:$BQ$1004,1,MATCH(COLUMNS($AO$1006:BQ1006),$AO$1006:$BQ$1006,0)))),"Fix")))</f>
        <v>#REF!</v>
      </c>
      <c r="AH699">
        <f ca="1"/>
        <v>696</v>
      </c>
      <c r="AI699">
        <v>100699</v>
      </c>
      <c r="AJ699">
        <v>699</v>
      </c>
      <c r="AK699" t="b">
        <f t="shared" si="10"/>
        <v>1</v>
      </c>
      <c r="AL699" t="b">
        <f>COUNTBLANK(Metadata!B699:AD699)=COLUMNS(Metadata!B699:AD699)</f>
        <v>1</v>
      </c>
      <c r="AM699" t="str">
        <v/>
      </c>
      <c r="AO699" t="b">
        <f ca="1">AND(IF(Metadata!B699="",FALSE,TRUE),COUNTIF(Metadata!B:B, Metadata!B699) = 1,NOT(ISERROR(SUMPRODUCT(SEARCH(MID(Metadata!B699,ROW(INDIRECT("1:"&amp;LEN(Metadata!B699))), 1),"0123456789abcdefghijklmnopqrstuvwxyzABCDEFGHIJKLMNOPQRSTUVWXYZ.")))))</f>
        <v>0</v>
      </c>
      <c r="AP699" t="b">
        <f>IF(Metadata!C699="",FALSE,TRUE)</f>
        <v>0</v>
      </c>
      <c r="AQ699" t="b">
        <f>IF(Metadata!D699="",FALSE,TRUE)</f>
        <v>0</v>
      </c>
      <c r="AR699" t="b">
        <f ca="1">OR(AND(IF(Metadata!E699="",FALSE,TRUE),OR(EXACT(Metadata!E699,"not collected"),EXACT(Metadata!E699,"not provided"),EXACT(Metadata!E699,"restricted access"))),AND(IF(Metadata!E699="",FALSE,TRUE),AND(AND(IFERROR(INT(LEFT(Metadata!E699,4))&gt;1900,FALSE),IFERROR(INT(LEFT(Metadata!E699,4))&lt;=YEAR(NOW()),FALSE)), OR(MID(Metadata!E699,5,1)="", AND(AND(MID(Metadata!E699,5,1)="-",IFERROR(INT(MID(Metadata!E699,6,1))&gt;=0,FALSE),IFERROR(INT(MID(Metadata!E699,6,1))&lt;=1,FALSE),NOT(MID(Metadata!E699,7,1)=""),IFERROR(INT(MID(Metadata!E699,6,2))&gt;=1,FALSE),IFERROR(INT(MID(Metadata!E699,6,2))&lt;=12,FALSE)), OR(MID(Metadata!E699,8,1)="", AND(AND(MID(Metadata!E699,8,1)="-",IFERROR(INT(MID(Metadata!E699,9,1))&gt;=0,FALSE),IFERROR(INT(MID(Metadata!E699,9,1))&lt;=3,FALSE),NOT(MID(Metadata!E699,10,1)=""),IFERROR(INT(MID(Metadata!E699,9,2))&gt;=1,FALSE),IFERROR(INT(MID(Metadata!E699,9,2))&lt;=31,FALSE)), OR(MID(Metadata!E699,11,1)="", AND(AND(MID(Metadata!E699,11,1)=" ",IFERROR(INT(MID(Metadata!E699,12,1))&gt;=0,FALSE),IFERROR(INT(MID(Metadata!E699,12,1))&lt;=2,FALSE),NOT(MID(Metadata!E699,13,1)=""),IFERROR(INT(MID(Metadata!E699,12,2))&gt;=0,FALSE),IFERROR(INT(MID(Metadata!E699,12,2))&lt;=23,FALSE)), OR(MID(Metadata!E699,14,1)="", AND(AND(MID(Metadata!E699,14,1)=":",IFERROR(INT(MID(Metadata!E699,15,1))&gt;=0,FALSE),IFERROR(INT(MID(Metadata!E699,15,1))&lt;=5,FALSE),NOT(MID(Metadata!E699,16,1)=""),IFERROR(INT(MID(Metadata!E699,15,2))&gt;=0,FALSE),IFERROR(INT(MID(Metadata!E699,15,2))&lt;=59,FALSE)), OR(MID(Metadata!E699,17,1)="", AND(AND(MID(Metadata!E699,17,1)=":",IFERROR(INT(MID(Metadata!E699,18,1))&gt;=0,FALSE),IFERROR(INT(MID(Metadata!E699,18,1))&lt;=5,FALSE),NOT(MID(Metadata!E699,19,1)=""),IFERROR(INT(MID(Metadata!E699,18,2))&gt;=0,FALSE),IFERROR(INT(MID(Metadata!E699,18,2))&lt;=59,FALSE)), LEN(Metadata!E699)&lt;=19)))))))))))))</f>
        <v>0</v>
      </c>
      <c r="AS699" t="b">
        <f>IF(Metadata!F699="",FALSE,TRUE)</f>
        <v>0</v>
      </c>
      <c r="AT699" t="b">
        <f>OR(AND(IF(Metadata!G699="",FALSE,TRUE),OR(EXACT(Metadata!G699,"not collected"),EXACT(Metadata!G699,"not provided"))),AND(IF(Metadata!G699="",FALSE,TRUE),OR(EXACT(Metadata!G699,"TRUE"),EXACT(Metadata!G699,"FALSE"))))</f>
        <v>0</v>
      </c>
      <c r="AU699" t="b">
        <f>OR(AND(IF(Metadata!H699="",FALSE,TRUE),OR(EXACT(Metadata!H699,"not collected"),EXACT(Metadata!H699,"not provided"),EXACT(Metadata!H699,"restricted access"))),AND(IF(Metadata!H699="",FALSE,ISNUMBER(VALUE(Metadata!H699))),Metadata!H699&gt;=-413))</f>
        <v>0</v>
      </c>
      <c r="AV699" t="b">
        <f>AND(IF(Metadata!I699="",FALSE,TRUE),EXACT(Metadata!I699,"meters"))</f>
        <v>0</v>
      </c>
      <c r="AW699" t="b">
        <f>AND(IF(Metadata!J699="",FALSE,TRUE),EXACT(Metadata!J699,"free-living"))</f>
        <v>0</v>
      </c>
      <c r="AX699" t="b">
        <f>AND(IF(Metadata!K699="",FALSE,TRUE),OR(EXACT(Metadata!K699,"saline"),EXACT(Metadata!K699,"non-saline")))</f>
        <v>0</v>
      </c>
      <c r="AY699" t="b">
        <f>AND(IF(Metadata!L699="",FALSE,TRUE),OR(EXACT(Metadata!L699,"sub-surface (non-saline)"),EXACT(Metadata!L699,"surface (non-saline)"),EXACT(Metadata!L699,"water (non-saline)"),EXACT(Metadata!L699,"soil (non-saline)"),EXACT(Metadata!L699,"aerosol (non-saline)"),EXACT(Metadata!L699,"sediment (non-saline)"),EXACT(Metadata!L699,"surface (saline)"),EXACT(Metadata!L699,"water (saline)"),EXACT(Metadata!L699,"hypersaline (saline)"),EXACT(Metadata!L699,"aerosol (saline)"),EXACT(Metadata!L699,"sediment (saline)")))</f>
        <v>0</v>
      </c>
      <c r="AZ699" t="b">
        <f>IF(Metadata!M699="",FALSE,TRUE)</f>
        <v>0</v>
      </c>
      <c r="BA699" t="b">
        <f>IF(Metadata!N699="",FALSE,TRUE)</f>
        <v>0</v>
      </c>
      <c r="BB699" t="b">
        <f>IF(Metadata!O699="",FALSE,TRUE)</f>
        <v>0</v>
      </c>
      <c r="BC699" t="b">
        <f>AND(IF(Metadata!P699="",FALSE,TRUE),OR(EXACT(Metadata!P699,"air"),EXACT(Metadata!P699,"microbial mat/biofilm"),EXACT(Metadata!P699,"misc environment"),EXACT(Metadata!P699,"sediment"),EXACT(Metadata!P699,"soil"),EXACT(Metadata!P699,"wastewater/sludge"),EXACT(Metadata!P699,"water")))</f>
        <v>0</v>
      </c>
      <c r="BD699" t="b">
        <f>IF(Metadata!Q699="",FALSE,TRUE)</f>
        <v>0</v>
      </c>
      <c r="BE699" t="b">
        <f>IF(Metadata!R699="",FALSE,TRUE)</f>
        <v>0</v>
      </c>
      <c r="BF699" t="b">
        <f>OR(AND(IF(Metadata!S699="",FALSE,TRUE),OR(EXACT(Metadata!S699,"not collected"),EXACT(Metadata!S699,"not provided"),EXACT(Metadata!S699,"restricted access"))),AND(IF(Metadata!S699="",FALSE,ISNUMBER(VALUE(Metadata!S699))),Metadata!S699&gt;=-90,Metadata!S699&lt;=90))</f>
        <v>0</v>
      </c>
      <c r="BG699" t="b">
        <f>AND(IF(Metadata!T699="",FALSE,TRUE),EXACT(Metadata!T699,"Decimal degrees"))</f>
        <v>0</v>
      </c>
      <c r="BH699" t="b">
        <f>OR(AND(IF(Metadata!U699="",FALSE,TRUE),OR(EXACT(Metadata!U699,"not applicable"),EXACT(Metadata!U699,"not collected"))),IF(Metadata!U699="",FALSE,TRUE))</f>
        <v>0</v>
      </c>
      <c r="BI699" t="b">
        <f>OR(AND(IF(Metadata!V699="",FALSE,TRUE),OR(EXACT(Metadata!V699,"not collected"),EXACT(Metadata!V699,"not provided"),EXACT(Metadata!V699,"restricted access"))),AND(IF(Metadata!V699="",FALSE,ISNUMBER(VALUE(Metadata!V699))),Metadata!V699&gt;=-180,Metadata!V699&lt;=180))</f>
        <v>0</v>
      </c>
      <c r="BJ699" t="b">
        <f>AND(IF(Metadata!W699="",FALSE,TRUE),EXACT(Metadata!W699,"Decimal degrees"))</f>
        <v>0</v>
      </c>
      <c r="BK699" t="b">
        <f>IF(Metadata!X699="",FALSE,TRUE)</f>
        <v>0</v>
      </c>
      <c r="BL699" t="b">
        <f>OR(AND(IF(Metadata!Y699="",FALSE,TRUE),OR(EXACT(Metadata!Y699,"not collected"),EXACT(Metadata!Y699,"not provided"),EXACT(Metadata!Y699,"restricted access"))),AND(IF(Metadata!Y699="",FALSE,TRUE),OR(EXACT(Metadata!Y699,"TRUE"),EXACT(Metadata!Y699,"FALSE"))))</f>
        <v>0</v>
      </c>
      <c r="BM699" t="b">
        <f>OR(AND(IF(Metadata!Z699="",FALSE,TRUE),EXACT(Metadata!Z699,"not applicable")),AND(IF(Metadata!Z699="",FALSE,TRUE),OR(EXACT(Metadata!Z699,"beer"),EXACT(Metadata!Z699,"cheese"),EXACT(Metadata!Z699,"fresh water"),EXACT(Metadata!Z699,"marine sediment"),EXACT(Metadata!Z699,"sea water"),EXACT(Metadata!Z699,"sediment"),EXACT(Metadata!Z699,"soil"),EXACT(Metadata!Z699,"waste water"))))</f>
        <v>0</v>
      </c>
      <c r="BN699" t="b">
        <f>AND(IF(Metadata!AA699="",FALSE,TRUE),EXACT(Metadata!AA699,"metagenome"))</f>
        <v>0</v>
      </c>
      <c r="BO699" t="b">
        <f>AND(IF(Metadata!AB699="",FALSE,TRUE),EXACT(Metadata!AB699,"256318"))</f>
        <v>0</v>
      </c>
      <c r="BP699" t="b">
        <f>IF(Metadata!AC699="",FALSE,TRUE)</f>
        <v>0</v>
      </c>
      <c r="BQ699" t="b">
        <f>IF(Metadata!AD699="",FALSE,TRUE)</f>
        <v>0</v>
      </c>
    </row>
    <row r="700" spans="1:69" x14ac:dyDescent="0.2">
      <c r="A700" s="4" t="e">
        <f ca="1">IF(B700=" "," ",HYPERLINK(CONCATENATE("#metadata!",ADDRESS(INDEX($AJ$2:$AJ$1001,MATCH(ROWS($AH$2:AH700),$AH$2:$AH$1001,0),0),2)),INDEX($AM$2:$AM$1001,MATCH(ROWS($AH$2:AH700),$AH$2:$AH$1001,0),0)))</f>
        <v>#N/A</v>
      </c>
      <c r="B700" s="5" t="e">
        <f ca="1">IF(OR(INDEX($AI$2:$AI$1001,MATCH(ROWS($AH$2:AH700),$AH$2:$AH$1001,0),1)&gt;=100000,INDEX($AO$1005:$BQ$1005,1,MATCH(COLUMNS($AO$1006:AO1006),$AO$1006:$BQ$1006,0))&gt;=100000), " ",IF(INDEX($AO$2:$BQ$1001,MATCH(ROWS($AH$2:AH700),$AH$2:$AH$1001,0),MATCH(COLUMNS($AO$1006:AO1006),$AO$1006:$BQ$1006,0)), HYPERLINK("#",""), HYPERLINK(CONCATENATE("#Metadata!", ADDRESS(INDEX($AJ$2:$AJ$1001,MATCH(ROWS($AH$2:AH700),$AH$2:$AH$1001,0),0), INDEX($AO$1004:$BQ$1004,1,MATCH(COLUMNS($AO$1006:AO1006),$AO$1006:$BQ$1006,0)))),"Fix")))</f>
        <v>#N/A</v>
      </c>
      <c r="C700" s="5" t="e">
        <f ca="1">IF(OR(INDEX($AI$2:$AI$1001,MATCH(ROWS($AH$2:AH700),$AH$2:$AH$1001,0),1)&gt;=100000,INDEX($AO$1005:$BQ$1005,1,MATCH(COLUMNS($AO$1006:AP1006),$AO$1006:$BQ$1006,0))&gt;=100000), " ",IF(INDEX($AO$2:$BQ$1001,MATCH(ROWS($AH$2:AH700),$AH$2:$AH$1001,0),MATCH(COLUMNS($AO$1006:AP1006),$AO$1006:$BQ$1006,0)), HYPERLINK("#",""), HYPERLINK(CONCATENATE("#Metadata!", ADDRESS(INDEX($AJ$2:$AJ$1001,MATCH(ROWS($AH$2:AH700),$AH$2:$AH$1001,0),0), INDEX($AO$1004:$BQ$1004,1,MATCH(COLUMNS($AO$1006:AP1006),$AO$1006:$BQ$1006,0)))),"Fix")))</f>
        <v>#N/A</v>
      </c>
      <c r="D700" s="5" t="e">
        <f ca="1">IF(OR(INDEX($AI$2:$AI$1001,MATCH(ROWS($AH$2:AH700),$AH$2:$AH$1001,0),1)&gt;=100000,INDEX($AO$1005:$BQ$1005,1,MATCH(COLUMNS($AO$1006:AQ1006),$AO$1006:$BQ$1006,0))&gt;=100000), " ",IF(INDEX($AO$2:$BQ$1001,MATCH(ROWS($AH$2:AH700),$AH$2:$AH$1001,0),MATCH(COLUMNS($AO$1006:AQ1006),$AO$1006:$BQ$1006,0)), HYPERLINK("#",""), HYPERLINK(CONCATENATE("#Metadata!", ADDRESS(INDEX($AJ$2:$AJ$1001,MATCH(ROWS($AH$2:AH700),$AH$2:$AH$1001,0),0), INDEX($AO$1004:$BQ$1004,1,MATCH(COLUMNS($AO$1006:AQ1006),$AO$1006:$BQ$1006,0)))),"Fix")))</f>
        <v>#N/A</v>
      </c>
      <c r="E700" s="5" t="e">
        <f ca="1">IF(OR(INDEX($AI$2:$AI$1001,MATCH(ROWS($AH$2:AH700),$AH$2:$AH$1001,0),1)&gt;=100000,INDEX($AO$1005:$BQ$1005,1,MATCH(COLUMNS($AO$1006:AR1006),$AO$1006:$BQ$1006,0))&gt;=100000), " ",IF(INDEX($AO$2:$BQ$1001,MATCH(ROWS($AH$2:AH700),$AH$2:$AH$1001,0),MATCH(COLUMNS($AO$1006:AR1006),$AO$1006:$BQ$1006,0)), HYPERLINK("#",""), HYPERLINK(CONCATENATE("#Metadata!", ADDRESS(INDEX($AJ$2:$AJ$1001,MATCH(ROWS($AH$2:AH700),$AH$2:$AH$1001,0),0), INDEX($AO$1004:$BQ$1004,1,MATCH(COLUMNS($AO$1006:AR1006),$AO$1006:$BQ$1006,0)))),"Fix")))</f>
        <v>#N/A</v>
      </c>
      <c r="F700" s="5" t="e">
        <f ca="1">IF(OR(INDEX($AI$2:$AI$1001,MATCH(ROWS($AH$2:AH700),$AH$2:$AH$1001,0),1)&gt;=100000,INDEX($AO$1005:$BQ$1005,1,MATCH(COLUMNS($AO$1006:AS1006),$AO$1006:$BQ$1006,0))&gt;=100000), " ",IF(INDEX($AO$2:$BQ$1001,MATCH(ROWS($AH$2:AH700),$AH$2:$AH$1001,0),MATCH(COLUMNS($AO$1006:AS1006),$AO$1006:$BQ$1006,0)), HYPERLINK("#",""), HYPERLINK(CONCATENATE("#Metadata!", ADDRESS(INDEX($AJ$2:$AJ$1001,MATCH(ROWS($AH$2:AH700),$AH$2:$AH$1001,0),0), INDEX($AO$1004:$BQ$1004,1,MATCH(COLUMNS($AO$1006:AS1006),$AO$1006:$BQ$1006,0)))),"Fix")))</f>
        <v>#N/A</v>
      </c>
      <c r="G700" s="5" t="e">
        <f ca="1">IF(OR(INDEX($AI$2:$AI$1001,MATCH(ROWS($AH$2:AH700),$AH$2:$AH$1001,0),1)&gt;=100000,INDEX($AO$1005:$BQ$1005,1,MATCH(COLUMNS($AO$1006:AT1006),$AO$1006:$BQ$1006,0))&gt;=100000), " ",IF(INDEX($AO$2:$BQ$1001,MATCH(ROWS($AH$2:AH700),$AH$2:$AH$1001,0),MATCH(COLUMNS($AO$1006:AT1006),$AO$1006:$BQ$1006,0)), HYPERLINK("#",""), HYPERLINK(CONCATENATE("#Metadata!", ADDRESS(INDEX($AJ$2:$AJ$1001,MATCH(ROWS($AH$2:AH700),$AH$2:$AH$1001,0),0), INDEX($AO$1004:$BQ$1004,1,MATCH(COLUMNS($AO$1006:AT1006),$AO$1006:$BQ$1006,0)))),"Fix")))</f>
        <v>#N/A</v>
      </c>
      <c r="H700" s="5" t="e">
        <f ca="1">IF(OR(INDEX($AI$2:$AI$1001,MATCH(ROWS($AH$2:AH700),$AH$2:$AH$1001,0),1)&gt;=100000,INDEX($AO$1005:$BQ$1005,1,MATCH(COLUMNS($AO$1006:AU1006),$AO$1006:$BQ$1006,0))&gt;=100000), " ",IF(INDEX($AO$2:$BQ$1001,MATCH(ROWS($AH$2:AH700),$AH$2:$AH$1001,0),MATCH(COLUMNS($AO$1006:AU1006),$AO$1006:$BQ$1006,0)), HYPERLINK("#",""), HYPERLINK(CONCATENATE("#Metadata!", ADDRESS(INDEX($AJ$2:$AJ$1001,MATCH(ROWS($AH$2:AH700),$AH$2:$AH$1001,0),0), INDEX($AO$1004:$BQ$1004,1,MATCH(COLUMNS($AO$1006:AU1006),$AO$1006:$BQ$1006,0)))),"Fix")))</f>
        <v>#N/A</v>
      </c>
      <c r="I700" s="5" t="e">
        <f ca="1">IF(OR(INDEX($AI$2:$AI$1001,MATCH(ROWS($AH$2:AH700),$AH$2:$AH$1001,0),1)&gt;=100000,INDEX($AO$1005:$BQ$1005,1,MATCH(COLUMNS($AO$1006:AV1006),$AO$1006:$BQ$1006,0))&gt;=100000), " ",IF(INDEX($AO$2:$BQ$1001,MATCH(ROWS($AH$2:AH700),$AH$2:$AH$1001,0),MATCH(COLUMNS($AO$1006:AV1006),$AO$1006:$BQ$1006,0)), HYPERLINK("#",""), HYPERLINK(CONCATENATE("#Metadata!", ADDRESS(INDEX($AJ$2:$AJ$1001,MATCH(ROWS($AH$2:AH700),$AH$2:$AH$1001,0),0), INDEX($AO$1004:$BQ$1004,1,MATCH(COLUMNS($AO$1006:AV1006),$AO$1006:$BQ$1006,0)))),"Fix")))</f>
        <v>#N/A</v>
      </c>
      <c r="J700" s="5" t="e">
        <f ca="1">IF(OR(INDEX($AI$2:$AI$1001,MATCH(ROWS($AH$2:AH700),$AH$2:$AH$1001,0),1)&gt;=100000,INDEX($AO$1005:$BQ$1005,1,MATCH(COLUMNS($AO$1006:AW1006),$AO$1006:$BQ$1006,0))&gt;=100000), " ",IF(INDEX($AO$2:$BQ$1001,MATCH(ROWS($AH$2:AH700),$AH$2:$AH$1001,0),MATCH(COLUMNS($AO$1006:AW1006),$AO$1006:$BQ$1006,0)), HYPERLINK("#",""), HYPERLINK(CONCATENATE("#Metadata!", ADDRESS(INDEX($AJ$2:$AJ$1001,MATCH(ROWS($AH$2:AH700),$AH$2:$AH$1001,0),0), INDEX($AO$1004:$BQ$1004,1,MATCH(COLUMNS($AO$1006:AW1006),$AO$1006:$BQ$1006,0)))),"Fix")))</f>
        <v>#N/A</v>
      </c>
      <c r="K700" s="5" t="e">
        <f ca="1">IF(OR(INDEX($AI$2:$AI$1001,MATCH(ROWS($AH$2:AH700),$AH$2:$AH$1001,0),1)&gt;=100000,INDEX($AO$1005:$BQ$1005,1,MATCH(COLUMNS($AO$1006:AX1006),$AO$1006:$BQ$1006,0))&gt;=100000), " ",IF(INDEX($AO$2:$BQ$1001,MATCH(ROWS($AH$2:AH700),$AH$2:$AH$1001,0),MATCH(COLUMNS($AO$1006:AX1006),$AO$1006:$BQ$1006,0)), HYPERLINK("#",""), HYPERLINK(CONCATENATE("#Metadata!", ADDRESS(INDEX($AJ$2:$AJ$1001,MATCH(ROWS($AH$2:AH700),$AH$2:$AH$1001,0),0), INDEX($AO$1004:$BQ$1004,1,MATCH(COLUMNS($AO$1006:AX1006),$AO$1006:$BQ$1006,0)))),"Fix")))</f>
        <v>#N/A</v>
      </c>
      <c r="L700" s="5" t="e">
        <f ca="1">IF(OR(INDEX($AI$2:$AI$1001,MATCH(ROWS($AH$2:AH700),$AH$2:$AH$1001,0),1)&gt;=100000,INDEX($AO$1005:$BQ$1005,1,MATCH(COLUMNS($AO$1006:AY1006),$AO$1006:$BQ$1006,0))&gt;=100000), " ",IF(INDEX($AO$2:$BQ$1001,MATCH(ROWS($AH$2:AH700),$AH$2:$AH$1001,0),MATCH(COLUMNS($AO$1006:AY1006),$AO$1006:$BQ$1006,0)), HYPERLINK("#",""), HYPERLINK(CONCATENATE("#Metadata!", ADDRESS(INDEX($AJ$2:$AJ$1001,MATCH(ROWS($AH$2:AH700),$AH$2:$AH$1001,0),0), INDEX($AO$1004:$BQ$1004,1,MATCH(COLUMNS($AO$1006:AY1006),$AO$1006:$BQ$1006,0)))),"Fix")))</f>
        <v>#N/A</v>
      </c>
      <c r="M700" s="5" t="e">
        <f ca="1">IF(OR(INDEX($AI$2:$AI$1001,MATCH(ROWS($AH$2:AH700),$AH$2:$AH$1001,0),1)&gt;=100000,INDEX($AO$1005:$BQ$1005,1,MATCH(COLUMNS($AO$1006:AZ1006),$AO$1006:$BQ$1006,0))&gt;=100000), " ",IF(INDEX($AO$2:$BQ$1001,MATCH(ROWS($AH$2:AH700),$AH$2:$AH$1001,0),MATCH(COLUMNS($AO$1006:AZ1006),$AO$1006:$BQ$1006,0)), HYPERLINK("#",""), HYPERLINK(CONCATENATE("#Metadata!", ADDRESS(INDEX($AJ$2:$AJ$1001,MATCH(ROWS($AH$2:AH700),$AH$2:$AH$1001,0),0), INDEX($AO$1004:$BQ$1004,1,MATCH(COLUMNS($AO$1006:AZ1006),$AO$1006:$BQ$1006,0)))),"Fix")))</f>
        <v>#N/A</v>
      </c>
      <c r="N700" s="5" t="e">
        <f ca="1">IF(OR(INDEX($AI$2:$AI$1001,MATCH(ROWS($AH$2:AH700),$AH$2:$AH$1001,0),1)&gt;=100000,INDEX($AO$1005:$BQ$1005,1,MATCH(COLUMNS($AO$1006:BA1006),$AO$1006:$BQ$1006,0))&gt;=100000), " ",IF(INDEX($AO$2:$BQ$1001,MATCH(ROWS($AH$2:AH700),$AH$2:$AH$1001,0),MATCH(COLUMNS($AO$1006:BA1006),$AO$1006:$BQ$1006,0)), HYPERLINK("#",""), HYPERLINK(CONCATENATE("#Metadata!", ADDRESS(INDEX($AJ$2:$AJ$1001,MATCH(ROWS($AH$2:AH700),$AH$2:$AH$1001,0),0), INDEX($AO$1004:$BQ$1004,1,MATCH(COLUMNS($AO$1006:BA1006),$AO$1006:$BQ$1006,0)))),"Fix")))</f>
        <v>#N/A</v>
      </c>
      <c r="O700" s="5" t="e">
        <f ca="1">IF(OR(INDEX($AI$2:$AI$1001,MATCH(ROWS($AH$2:AH700),$AH$2:$AH$1001,0),1)&gt;=100000,INDEX($AO$1005:$BQ$1005,1,MATCH(COLUMNS($AO$1006:BB1006),$AO$1006:$BQ$1006,0))&gt;=100000), " ",IF(INDEX($AO$2:$BQ$1001,MATCH(ROWS($AH$2:AH700),$AH$2:$AH$1001,0),MATCH(COLUMNS($AO$1006:BB1006),$AO$1006:$BQ$1006,0)), HYPERLINK("#",""), HYPERLINK(CONCATENATE("#Metadata!", ADDRESS(INDEX($AJ$2:$AJ$1001,MATCH(ROWS($AH$2:AH700),$AH$2:$AH$1001,0),0), INDEX($AO$1004:$BQ$1004,1,MATCH(COLUMNS($AO$1006:BB1006),$AO$1006:$BQ$1006,0)))),"Fix")))</f>
        <v>#N/A</v>
      </c>
      <c r="P700" s="5" t="e">
        <f ca="1">IF(OR(INDEX($AI$2:$AI$1001,MATCH(ROWS($AH$2:AH700),$AH$2:$AH$1001,0),1)&gt;=100000,INDEX($AO$1005:$BQ$1005,1,MATCH(COLUMNS($AO$1006:BC1006),$AO$1006:$BQ$1006,0))&gt;=100000), " ",IF(INDEX($AO$2:$BQ$1001,MATCH(ROWS($AH$2:AH700),$AH$2:$AH$1001,0),MATCH(COLUMNS($AO$1006:BC1006),$AO$1006:$BQ$1006,0)), HYPERLINK("#",""), HYPERLINK(CONCATENATE("#Metadata!", ADDRESS(INDEX($AJ$2:$AJ$1001,MATCH(ROWS($AH$2:AH700),$AH$2:$AH$1001,0),0), INDEX($AO$1004:$BQ$1004,1,MATCH(COLUMNS($AO$1006:BC1006),$AO$1006:$BQ$1006,0)))),"Fix")))</f>
        <v>#N/A</v>
      </c>
      <c r="Q700" s="5" t="e">
        <f ca="1">IF(OR(INDEX($AI$2:$AI$1001,MATCH(ROWS($AH$2:AH700),$AH$2:$AH$1001,0),1)&gt;=100000,INDEX($AO$1005:$BQ$1005,1,MATCH(COLUMNS($AO$1006:BD1006),$AO$1006:$BQ$1006,0))&gt;=100000), " ",IF(INDEX($AO$2:$BQ$1001,MATCH(ROWS($AH$2:AH700),$AH$2:$AH$1001,0),MATCH(COLUMNS($AO$1006:BD1006),$AO$1006:$BQ$1006,0)), HYPERLINK("#",""), HYPERLINK(CONCATENATE("#Metadata!", ADDRESS(INDEX($AJ$2:$AJ$1001,MATCH(ROWS($AH$2:AH700),$AH$2:$AH$1001,0),0), INDEX($AO$1004:$BQ$1004,1,MATCH(COLUMNS($AO$1006:BD1006),$AO$1006:$BQ$1006,0)))),"Fix")))</f>
        <v>#N/A</v>
      </c>
      <c r="R700" s="5" t="e">
        <f ca="1">IF(OR(INDEX($AI$2:$AI$1001,MATCH(ROWS($AH$2:AH700),$AH$2:$AH$1001,0),1)&gt;=100000,INDEX($AO$1005:$BQ$1005,1,MATCH(COLUMNS($AO$1006:BE1006),$AO$1006:$BQ$1006,0))&gt;=100000), " ",IF(INDEX($AO$2:$BQ$1001,MATCH(ROWS($AH$2:AH700),$AH$2:$AH$1001,0),MATCH(COLUMNS($AO$1006:BE1006),$AO$1006:$BQ$1006,0)), HYPERLINK("#",""), HYPERLINK(CONCATENATE("#Metadata!", ADDRESS(INDEX($AJ$2:$AJ$1001,MATCH(ROWS($AH$2:AH700),$AH$2:$AH$1001,0),0), INDEX($AO$1004:$BQ$1004,1,MATCH(COLUMNS($AO$1006:BE1006),$AO$1006:$BQ$1006,0)))),"Fix")))</f>
        <v>#N/A</v>
      </c>
      <c r="S700" s="5" t="e">
        <f ca="1">IF(OR(INDEX($AI$2:$AI$1001,MATCH(ROWS($AH$2:AH700),$AH$2:$AH$1001,0),1)&gt;=100000,INDEX($AO$1005:$BQ$1005,1,MATCH(COLUMNS($AO$1006:BF1006),$AO$1006:$BQ$1006,0))&gt;=100000), " ",IF(INDEX($AO$2:$BQ$1001,MATCH(ROWS($AH$2:AH700),$AH$2:$AH$1001,0),MATCH(COLUMNS($AO$1006:BF1006),$AO$1006:$BQ$1006,0)), HYPERLINK("#",""), HYPERLINK(CONCATENATE("#Metadata!", ADDRESS(INDEX($AJ$2:$AJ$1001,MATCH(ROWS($AH$2:AH700),$AH$2:$AH$1001,0),0), INDEX($AO$1004:$BQ$1004,1,MATCH(COLUMNS($AO$1006:BF1006),$AO$1006:$BQ$1006,0)))),"Fix")))</f>
        <v>#N/A</v>
      </c>
      <c r="T700" s="5" t="e">
        <f ca="1">IF(OR(INDEX($AI$2:$AI$1001,MATCH(ROWS($AH$2:AH700),$AH$2:$AH$1001,0),1)&gt;=100000,INDEX($AO$1005:$BQ$1005,1,MATCH(COLUMNS($AO$1006:BG1006),$AO$1006:$BQ$1006,0))&gt;=100000), " ",IF(INDEX($AO$2:$BQ$1001,MATCH(ROWS($AH$2:AH700),$AH$2:$AH$1001,0),MATCH(COLUMNS($AO$1006:BG1006),$AO$1006:$BQ$1006,0)), HYPERLINK("#",""), HYPERLINK(CONCATENATE("#Metadata!", ADDRESS(INDEX($AJ$2:$AJ$1001,MATCH(ROWS($AH$2:AH700),$AH$2:$AH$1001,0),0), INDEX($AO$1004:$BQ$1004,1,MATCH(COLUMNS($AO$1006:BG1006),$AO$1006:$BQ$1006,0)))),"Fix")))</f>
        <v>#N/A</v>
      </c>
      <c r="U700" s="5" t="e">
        <f ca="1">IF(OR(INDEX($AI$2:$AI$1001,MATCH(ROWS($AH$2:AH700),$AH$2:$AH$1001,0),1)&gt;=100000,INDEX($AO$1005:$BQ$1005,1,MATCH(COLUMNS($AO$1006:BH1006),$AO$1006:$BQ$1006,0))&gt;=100000), " ",IF(INDEX($AO$2:$BQ$1001,MATCH(ROWS($AH$2:AH700),$AH$2:$AH$1001,0),MATCH(COLUMNS($AO$1006:BH1006),$AO$1006:$BQ$1006,0)), HYPERLINK("#",""), HYPERLINK(CONCATENATE("#Metadata!", ADDRESS(INDEX($AJ$2:$AJ$1001,MATCH(ROWS($AH$2:AH700),$AH$2:$AH$1001,0),0), INDEX($AO$1004:$BQ$1004,1,MATCH(COLUMNS($AO$1006:BH1006),$AO$1006:$BQ$1006,0)))),"Fix")))</f>
        <v>#N/A</v>
      </c>
      <c r="V700" s="5" t="e">
        <f ca="1">IF(OR(INDEX($AI$2:$AI$1001,MATCH(ROWS($AH$2:AH700),$AH$2:$AH$1001,0),1)&gt;=100000,INDEX($AO$1005:$BQ$1005,1,MATCH(COLUMNS($AO$1006:BI1006),$AO$1006:$BQ$1006,0))&gt;=100000), " ",IF(INDEX($AO$2:$BQ$1001,MATCH(ROWS($AH$2:AH700),$AH$2:$AH$1001,0),MATCH(COLUMNS($AO$1006:BI1006),$AO$1006:$BQ$1006,0)), HYPERLINK("#",""), HYPERLINK(CONCATENATE("#Metadata!", ADDRESS(INDEX($AJ$2:$AJ$1001,MATCH(ROWS($AH$2:AH700),$AH$2:$AH$1001,0),0), INDEX($AO$1004:$BQ$1004,1,MATCH(COLUMNS($AO$1006:BI1006),$AO$1006:$BQ$1006,0)))),"Fix")))</f>
        <v>#N/A</v>
      </c>
      <c r="W700" s="5" t="e">
        <f ca="1">IF(OR(INDEX($AI$2:$AI$1001,MATCH(ROWS($AH$2:AH700),$AH$2:$AH$1001,0),1)&gt;=100000,INDEX($AO$1005:$BQ$1005,1,MATCH(COLUMNS($AO$1006:BJ1006),$AO$1006:$BQ$1006,0))&gt;=100000), " ",IF(INDEX($AO$2:$BQ$1001,MATCH(ROWS($AH$2:AH700),$AH$2:$AH$1001,0),MATCH(COLUMNS($AO$1006:BJ1006),$AO$1006:$BQ$1006,0)), HYPERLINK("#",""), HYPERLINK(CONCATENATE("#Metadata!", ADDRESS(INDEX($AJ$2:$AJ$1001,MATCH(ROWS($AH$2:AH700),$AH$2:$AH$1001,0),0), INDEX($AO$1004:$BQ$1004,1,MATCH(COLUMNS($AO$1006:BJ1006),$AO$1006:$BQ$1006,0)))),"Fix")))</f>
        <v>#N/A</v>
      </c>
      <c r="X700" s="5" t="e">
        <f ca="1">IF(OR(INDEX($AI$2:$AI$1001,MATCH(ROWS($AH$2:AH700),$AH$2:$AH$1001,0),1)&gt;=100000,INDEX($AO$1005:$BQ$1005,1,MATCH(COLUMNS($AO$1006:BK1006),$AO$1006:$BQ$1006,0))&gt;=100000), " ",IF(INDEX($AO$2:$BQ$1001,MATCH(ROWS($AH$2:AH700),$AH$2:$AH$1001,0),MATCH(COLUMNS($AO$1006:BK1006),$AO$1006:$BQ$1006,0)), HYPERLINK("#",""), HYPERLINK(CONCATENATE("#Metadata!", ADDRESS(INDEX($AJ$2:$AJ$1001,MATCH(ROWS($AH$2:AH700),$AH$2:$AH$1001,0),0), INDEX($AO$1004:$BQ$1004,1,MATCH(COLUMNS($AO$1006:BK1006),$AO$1006:$BQ$1006,0)))),"Fix")))</f>
        <v>#N/A</v>
      </c>
      <c r="Y700" s="5" t="e">
        <f ca="1">IF(OR(INDEX($AI$2:$AI$1001,MATCH(ROWS($AH$2:AH700),$AH$2:$AH$1001,0),1)&gt;=100000,INDEX($AO$1005:$BQ$1005,1,MATCH(COLUMNS($AO$1006:BL1006),$AO$1006:$BQ$1006,0))&gt;=100000), " ",IF(INDEX($AO$2:$BQ$1001,MATCH(ROWS($AH$2:AH700),$AH$2:$AH$1001,0),MATCH(COLUMNS($AO$1006:BL1006),$AO$1006:$BQ$1006,0)), HYPERLINK("#",""), HYPERLINK(CONCATENATE("#Metadata!", ADDRESS(INDEX($AJ$2:$AJ$1001,MATCH(ROWS($AH$2:AH700),$AH$2:$AH$1001,0),0), INDEX($AO$1004:$BQ$1004,1,MATCH(COLUMNS($AO$1006:BL1006),$AO$1006:$BQ$1006,0)))),"Fix")))</f>
        <v>#N/A</v>
      </c>
      <c r="Z700" s="5" t="e">
        <f ca="1">IF(OR(INDEX($AI$2:$AI$1001,MATCH(ROWS($AH$2:AH700),$AH$2:$AH$1001,0),1)&gt;=100000,INDEX($AO$1005:$BQ$1005,1,MATCH(COLUMNS($AO$1006:BM1006),$AO$1006:$BQ$1006,0))&gt;=100000), " ",IF(INDEX($AO$2:$BQ$1001,MATCH(ROWS($AH$2:AH700),$AH$2:$AH$1001,0),MATCH(COLUMNS($AO$1006:BM1006),$AO$1006:$BQ$1006,0)), HYPERLINK("#",""), HYPERLINK(CONCATENATE("#Metadata!", ADDRESS(INDEX($AJ$2:$AJ$1001,MATCH(ROWS($AH$2:AH700),$AH$2:$AH$1001,0),0), INDEX($AO$1004:$BQ$1004,1,MATCH(COLUMNS($AO$1006:BM1006),$AO$1006:$BQ$1006,0)))),"Fix")))</f>
        <v>#N/A</v>
      </c>
      <c r="AA700" s="5" t="e">
        <f ca="1">IF(OR(INDEX($AI$2:$AI$1001,MATCH(ROWS($AH$2:AH700),$AH$2:$AH$1001,0),1)&gt;=100000,INDEX($AO$1005:$BQ$1005,1,MATCH(COLUMNS($AO$1006:BN1006),$AO$1006:$BQ$1006,0))&gt;=100000), " ",IF(INDEX($AO$2:$BQ$1001,MATCH(ROWS($AH$2:AH700),$AH$2:$AH$1001,0),MATCH(COLUMNS($AO$1006:BN1006),$AO$1006:$BQ$1006,0)), HYPERLINK("#",""), HYPERLINK(CONCATENATE("#Metadata!", ADDRESS(INDEX($AJ$2:$AJ$1001,MATCH(ROWS($AH$2:AH700),$AH$2:$AH$1001,0),0), INDEX($AO$1004:$BQ$1004,1,MATCH(COLUMNS($AO$1006:BN1006),$AO$1006:$BQ$1006,0)))),"Fix")))</f>
        <v>#N/A</v>
      </c>
      <c r="AB700" s="5" t="e">
        <f ca="1">IF(OR(INDEX($AI$2:$AI$1001,MATCH(ROWS($AH$2:AH700),$AH$2:$AH$1001,0),1)&gt;=100000,INDEX($AO$1005:$BQ$1005,1,MATCH(COLUMNS($AO$1006:BO1006),$AO$1006:$BQ$1006,0))&gt;=100000), " ",IF(INDEX($AO$2:$BQ$1001,MATCH(ROWS($AH$2:AH700),$AH$2:$AH$1001,0),MATCH(COLUMNS($AO$1006:BO1006),$AO$1006:$BQ$1006,0)), HYPERLINK("#",""), HYPERLINK(CONCATENATE("#Metadata!", ADDRESS(INDEX($AJ$2:$AJ$1001,MATCH(ROWS($AH$2:AH700),$AH$2:$AH$1001,0),0), INDEX($AO$1004:$BQ$1004,1,MATCH(COLUMNS($AO$1006:BO1006),$AO$1006:$BQ$1006,0)))),"Fix")))</f>
        <v>#N/A</v>
      </c>
      <c r="AC700" s="5" t="e">
        <f ca="1">IF(OR(INDEX($AI$2:$AI$1001,MATCH(ROWS($AH$2:AH700),$AH$2:$AH$1001,0),1)&gt;=100000,INDEX($AO$1005:$BQ$1005,1,MATCH(COLUMNS($AO$1006:BP1006),$AO$1006:$BQ$1006,0))&gt;=100000), " ",IF(INDEX($AO$2:$BQ$1001,MATCH(ROWS($AH$2:AH700),$AH$2:$AH$1001,0),MATCH(COLUMNS($AO$1006:BP1006),$AO$1006:$BQ$1006,0)), HYPERLINK("#",""), HYPERLINK(CONCATENATE("#Metadata!", ADDRESS(INDEX($AJ$2:$AJ$1001,MATCH(ROWS($AH$2:AH700),$AH$2:$AH$1001,0),0), INDEX($AO$1004:$BQ$1004,1,MATCH(COLUMNS($AO$1006:BP1006),$AO$1006:$BQ$1006,0)))),"Fix")))</f>
        <v>#N/A</v>
      </c>
      <c r="AD700" s="5" t="e">
        <f ca="1">IF(OR(INDEX($AI$2:$AI$1001,MATCH(ROWS($AH$2:AH700),$AH$2:$AH$1001,0),1)&gt;=100000,INDEX($AO$1005:$BQ$1005,1,MATCH(COLUMNS($AO$1006:BQ1006),$AO$1006:$BQ$1006,0))&gt;=100000), " ",IF(INDEX($AO$2:$BQ$1001,MATCH(ROWS($AH$2:AH700),$AH$2:$AH$1001,0),MATCH(COLUMNS($AO$1006:BQ1006),$AO$1006:$BQ$1006,0)), HYPERLINK("#",""), HYPERLINK(CONCATENATE("#Metadata!", ADDRESS(INDEX($AJ$2:$AJ$1001,MATCH(ROWS($AH$2:AH700),$AH$2:$AH$1001,0),0), INDEX($AO$1004:$BQ$1004,1,MATCH(COLUMNS($AO$1006:BQ1006),$AO$1006:$BQ$1006,0)))),"Fix")))</f>
        <v>#REF!</v>
      </c>
      <c r="AH700">
        <f ca="1"/>
        <v>697</v>
      </c>
      <c r="AI700">
        <v>100700</v>
      </c>
      <c r="AJ700">
        <v>700</v>
      </c>
      <c r="AK700" t="b">
        <f t="shared" si="10"/>
        <v>1</v>
      </c>
      <c r="AL700" t="b">
        <f>COUNTBLANK(Metadata!B700:AD700)=COLUMNS(Metadata!B700:AD700)</f>
        <v>1</v>
      </c>
      <c r="AM700" t="str">
        <v/>
      </c>
      <c r="AO700" t="b">
        <f ca="1">AND(IF(Metadata!B700="",FALSE,TRUE),COUNTIF(Metadata!B:B, Metadata!B700) = 1,NOT(ISERROR(SUMPRODUCT(SEARCH(MID(Metadata!B700,ROW(INDIRECT("1:"&amp;LEN(Metadata!B700))), 1),"0123456789abcdefghijklmnopqrstuvwxyzABCDEFGHIJKLMNOPQRSTUVWXYZ.")))))</f>
        <v>0</v>
      </c>
      <c r="AP700" t="b">
        <f>IF(Metadata!C700="",FALSE,TRUE)</f>
        <v>0</v>
      </c>
      <c r="AQ700" t="b">
        <f>IF(Metadata!D700="",FALSE,TRUE)</f>
        <v>0</v>
      </c>
      <c r="AR700" t="b">
        <f ca="1">OR(AND(IF(Metadata!E700="",FALSE,TRUE),OR(EXACT(Metadata!E700,"not collected"),EXACT(Metadata!E700,"not provided"),EXACT(Metadata!E700,"restricted access"))),AND(IF(Metadata!E700="",FALSE,TRUE),AND(AND(IFERROR(INT(LEFT(Metadata!E700,4))&gt;1900,FALSE),IFERROR(INT(LEFT(Metadata!E700,4))&lt;=YEAR(NOW()),FALSE)), OR(MID(Metadata!E700,5,1)="", AND(AND(MID(Metadata!E700,5,1)="-",IFERROR(INT(MID(Metadata!E700,6,1))&gt;=0,FALSE),IFERROR(INT(MID(Metadata!E700,6,1))&lt;=1,FALSE),NOT(MID(Metadata!E700,7,1)=""),IFERROR(INT(MID(Metadata!E700,6,2))&gt;=1,FALSE),IFERROR(INT(MID(Metadata!E700,6,2))&lt;=12,FALSE)), OR(MID(Metadata!E700,8,1)="", AND(AND(MID(Metadata!E700,8,1)="-",IFERROR(INT(MID(Metadata!E700,9,1))&gt;=0,FALSE),IFERROR(INT(MID(Metadata!E700,9,1))&lt;=3,FALSE),NOT(MID(Metadata!E700,10,1)=""),IFERROR(INT(MID(Metadata!E700,9,2))&gt;=1,FALSE),IFERROR(INT(MID(Metadata!E700,9,2))&lt;=31,FALSE)), OR(MID(Metadata!E700,11,1)="", AND(AND(MID(Metadata!E700,11,1)=" ",IFERROR(INT(MID(Metadata!E700,12,1))&gt;=0,FALSE),IFERROR(INT(MID(Metadata!E700,12,1))&lt;=2,FALSE),NOT(MID(Metadata!E700,13,1)=""),IFERROR(INT(MID(Metadata!E700,12,2))&gt;=0,FALSE),IFERROR(INT(MID(Metadata!E700,12,2))&lt;=23,FALSE)), OR(MID(Metadata!E700,14,1)="", AND(AND(MID(Metadata!E700,14,1)=":",IFERROR(INT(MID(Metadata!E700,15,1))&gt;=0,FALSE),IFERROR(INT(MID(Metadata!E700,15,1))&lt;=5,FALSE),NOT(MID(Metadata!E700,16,1)=""),IFERROR(INT(MID(Metadata!E700,15,2))&gt;=0,FALSE),IFERROR(INT(MID(Metadata!E700,15,2))&lt;=59,FALSE)), OR(MID(Metadata!E700,17,1)="", AND(AND(MID(Metadata!E700,17,1)=":",IFERROR(INT(MID(Metadata!E700,18,1))&gt;=0,FALSE),IFERROR(INT(MID(Metadata!E700,18,1))&lt;=5,FALSE),NOT(MID(Metadata!E700,19,1)=""),IFERROR(INT(MID(Metadata!E700,18,2))&gt;=0,FALSE),IFERROR(INT(MID(Metadata!E700,18,2))&lt;=59,FALSE)), LEN(Metadata!E700)&lt;=19)))))))))))))</f>
        <v>0</v>
      </c>
      <c r="AS700" t="b">
        <f>IF(Metadata!F700="",FALSE,TRUE)</f>
        <v>0</v>
      </c>
      <c r="AT700" t="b">
        <f>OR(AND(IF(Metadata!G700="",FALSE,TRUE),OR(EXACT(Metadata!G700,"not collected"),EXACT(Metadata!G700,"not provided"))),AND(IF(Metadata!G700="",FALSE,TRUE),OR(EXACT(Metadata!G700,"TRUE"),EXACT(Metadata!G700,"FALSE"))))</f>
        <v>0</v>
      </c>
      <c r="AU700" t="b">
        <f>OR(AND(IF(Metadata!H700="",FALSE,TRUE),OR(EXACT(Metadata!H700,"not collected"),EXACT(Metadata!H700,"not provided"),EXACT(Metadata!H700,"restricted access"))),AND(IF(Metadata!H700="",FALSE,ISNUMBER(VALUE(Metadata!H700))),Metadata!H700&gt;=-413))</f>
        <v>0</v>
      </c>
      <c r="AV700" t="b">
        <f>AND(IF(Metadata!I700="",FALSE,TRUE),EXACT(Metadata!I700,"meters"))</f>
        <v>0</v>
      </c>
      <c r="AW700" t="b">
        <f>AND(IF(Metadata!J700="",FALSE,TRUE),EXACT(Metadata!J700,"free-living"))</f>
        <v>0</v>
      </c>
      <c r="AX700" t="b">
        <f>AND(IF(Metadata!K700="",FALSE,TRUE),OR(EXACT(Metadata!K700,"saline"),EXACT(Metadata!K700,"non-saline")))</f>
        <v>0</v>
      </c>
      <c r="AY700" t="b">
        <f>AND(IF(Metadata!L700="",FALSE,TRUE),OR(EXACT(Metadata!L700,"sub-surface (non-saline)"),EXACT(Metadata!L700,"surface (non-saline)"),EXACT(Metadata!L700,"water (non-saline)"),EXACT(Metadata!L700,"soil (non-saline)"),EXACT(Metadata!L700,"aerosol (non-saline)"),EXACT(Metadata!L700,"sediment (non-saline)"),EXACT(Metadata!L700,"surface (saline)"),EXACT(Metadata!L700,"water (saline)"),EXACT(Metadata!L700,"hypersaline (saline)"),EXACT(Metadata!L700,"aerosol (saline)"),EXACT(Metadata!L700,"sediment (saline)")))</f>
        <v>0</v>
      </c>
      <c r="AZ700" t="b">
        <f>IF(Metadata!M700="",FALSE,TRUE)</f>
        <v>0</v>
      </c>
      <c r="BA700" t="b">
        <f>IF(Metadata!N700="",FALSE,TRUE)</f>
        <v>0</v>
      </c>
      <c r="BB700" t="b">
        <f>IF(Metadata!O700="",FALSE,TRUE)</f>
        <v>0</v>
      </c>
      <c r="BC700" t="b">
        <f>AND(IF(Metadata!P700="",FALSE,TRUE),OR(EXACT(Metadata!P700,"air"),EXACT(Metadata!P700,"microbial mat/biofilm"),EXACT(Metadata!P700,"misc environment"),EXACT(Metadata!P700,"sediment"),EXACT(Metadata!P700,"soil"),EXACT(Metadata!P700,"wastewater/sludge"),EXACT(Metadata!P700,"water")))</f>
        <v>0</v>
      </c>
      <c r="BD700" t="b">
        <f>IF(Metadata!Q700="",FALSE,TRUE)</f>
        <v>0</v>
      </c>
      <c r="BE700" t="b">
        <f>IF(Metadata!R700="",FALSE,TRUE)</f>
        <v>0</v>
      </c>
      <c r="BF700" t="b">
        <f>OR(AND(IF(Metadata!S700="",FALSE,TRUE),OR(EXACT(Metadata!S700,"not collected"),EXACT(Metadata!S700,"not provided"),EXACT(Metadata!S700,"restricted access"))),AND(IF(Metadata!S700="",FALSE,ISNUMBER(VALUE(Metadata!S700))),Metadata!S700&gt;=-90,Metadata!S700&lt;=90))</f>
        <v>0</v>
      </c>
      <c r="BG700" t="b">
        <f>AND(IF(Metadata!T700="",FALSE,TRUE),EXACT(Metadata!T700,"Decimal degrees"))</f>
        <v>0</v>
      </c>
      <c r="BH700" t="b">
        <f>OR(AND(IF(Metadata!U700="",FALSE,TRUE),OR(EXACT(Metadata!U700,"not applicable"),EXACT(Metadata!U700,"not collected"))),IF(Metadata!U700="",FALSE,TRUE))</f>
        <v>0</v>
      </c>
      <c r="BI700" t="b">
        <f>OR(AND(IF(Metadata!V700="",FALSE,TRUE),OR(EXACT(Metadata!V700,"not collected"),EXACT(Metadata!V700,"not provided"),EXACT(Metadata!V700,"restricted access"))),AND(IF(Metadata!V700="",FALSE,ISNUMBER(VALUE(Metadata!V700))),Metadata!V700&gt;=-180,Metadata!V700&lt;=180))</f>
        <v>0</v>
      </c>
      <c r="BJ700" t="b">
        <f>AND(IF(Metadata!W700="",FALSE,TRUE),EXACT(Metadata!W700,"Decimal degrees"))</f>
        <v>0</v>
      </c>
      <c r="BK700" t="b">
        <f>IF(Metadata!X700="",FALSE,TRUE)</f>
        <v>0</v>
      </c>
      <c r="BL700" t="b">
        <f>OR(AND(IF(Metadata!Y700="",FALSE,TRUE),OR(EXACT(Metadata!Y700,"not collected"),EXACT(Metadata!Y700,"not provided"),EXACT(Metadata!Y700,"restricted access"))),AND(IF(Metadata!Y700="",FALSE,TRUE),OR(EXACT(Metadata!Y700,"TRUE"),EXACT(Metadata!Y700,"FALSE"))))</f>
        <v>0</v>
      </c>
      <c r="BM700" t="b">
        <f>OR(AND(IF(Metadata!Z700="",FALSE,TRUE),EXACT(Metadata!Z700,"not applicable")),AND(IF(Metadata!Z700="",FALSE,TRUE),OR(EXACT(Metadata!Z700,"beer"),EXACT(Metadata!Z700,"cheese"),EXACT(Metadata!Z700,"fresh water"),EXACT(Metadata!Z700,"marine sediment"),EXACT(Metadata!Z700,"sea water"),EXACT(Metadata!Z700,"sediment"),EXACT(Metadata!Z700,"soil"),EXACT(Metadata!Z700,"waste water"))))</f>
        <v>0</v>
      </c>
      <c r="BN700" t="b">
        <f>AND(IF(Metadata!AA700="",FALSE,TRUE),EXACT(Metadata!AA700,"metagenome"))</f>
        <v>0</v>
      </c>
      <c r="BO700" t="b">
        <f>AND(IF(Metadata!AB700="",FALSE,TRUE),EXACT(Metadata!AB700,"256318"))</f>
        <v>0</v>
      </c>
      <c r="BP700" t="b">
        <f>IF(Metadata!AC700="",FALSE,TRUE)</f>
        <v>0</v>
      </c>
      <c r="BQ700" t="b">
        <f>IF(Metadata!AD700="",FALSE,TRUE)</f>
        <v>0</v>
      </c>
    </row>
    <row r="701" spans="1:69" x14ac:dyDescent="0.2">
      <c r="A701" s="4" t="e">
        <f ca="1">IF(B701=" "," ",HYPERLINK(CONCATENATE("#metadata!",ADDRESS(INDEX($AJ$2:$AJ$1001,MATCH(ROWS($AH$2:AH701),$AH$2:$AH$1001,0),0),2)),INDEX($AM$2:$AM$1001,MATCH(ROWS($AH$2:AH701),$AH$2:$AH$1001,0),0)))</f>
        <v>#N/A</v>
      </c>
      <c r="B701" s="5" t="e">
        <f ca="1">IF(OR(INDEX($AI$2:$AI$1001,MATCH(ROWS($AH$2:AH701),$AH$2:$AH$1001,0),1)&gt;=100000,INDEX($AO$1005:$BQ$1005,1,MATCH(COLUMNS($AO$1006:AO1006),$AO$1006:$BQ$1006,0))&gt;=100000), " ",IF(INDEX($AO$2:$BQ$1001,MATCH(ROWS($AH$2:AH701),$AH$2:$AH$1001,0),MATCH(COLUMNS($AO$1006:AO1006),$AO$1006:$BQ$1006,0)), HYPERLINK("#",""), HYPERLINK(CONCATENATE("#Metadata!", ADDRESS(INDEX($AJ$2:$AJ$1001,MATCH(ROWS($AH$2:AH701),$AH$2:$AH$1001,0),0), INDEX($AO$1004:$BQ$1004,1,MATCH(COLUMNS($AO$1006:AO1006),$AO$1006:$BQ$1006,0)))),"Fix")))</f>
        <v>#N/A</v>
      </c>
      <c r="C701" s="5" t="e">
        <f ca="1">IF(OR(INDEX($AI$2:$AI$1001,MATCH(ROWS($AH$2:AH701),$AH$2:$AH$1001,0),1)&gt;=100000,INDEX($AO$1005:$BQ$1005,1,MATCH(COLUMNS($AO$1006:AP1006),$AO$1006:$BQ$1006,0))&gt;=100000), " ",IF(INDEX($AO$2:$BQ$1001,MATCH(ROWS($AH$2:AH701),$AH$2:$AH$1001,0),MATCH(COLUMNS($AO$1006:AP1006),$AO$1006:$BQ$1006,0)), HYPERLINK("#",""), HYPERLINK(CONCATENATE("#Metadata!", ADDRESS(INDEX($AJ$2:$AJ$1001,MATCH(ROWS($AH$2:AH701),$AH$2:$AH$1001,0),0), INDEX($AO$1004:$BQ$1004,1,MATCH(COLUMNS($AO$1006:AP1006),$AO$1006:$BQ$1006,0)))),"Fix")))</f>
        <v>#N/A</v>
      </c>
      <c r="D701" s="5" t="e">
        <f ca="1">IF(OR(INDEX($AI$2:$AI$1001,MATCH(ROWS($AH$2:AH701),$AH$2:$AH$1001,0),1)&gt;=100000,INDEX($AO$1005:$BQ$1005,1,MATCH(COLUMNS($AO$1006:AQ1006),$AO$1006:$BQ$1006,0))&gt;=100000), " ",IF(INDEX($AO$2:$BQ$1001,MATCH(ROWS($AH$2:AH701),$AH$2:$AH$1001,0),MATCH(COLUMNS($AO$1006:AQ1006),$AO$1006:$BQ$1006,0)), HYPERLINK("#",""), HYPERLINK(CONCATENATE("#Metadata!", ADDRESS(INDEX($AJ$2:$AJ$1001,MATCH(ROWS($AH$2:AH701),$AH$2:$AH$1001,0),0), INDEX($AO$1004:$BQ$1004,1,MATCH(COLUMNS($AO$1006:AQ1006),$AO$1006:$BQ$1006,0)))),"Fix")))</f>
        <v>#N/A</v>
      </c>
      <c r="E701" s="5" t="e">
        <f ca="1">IF(OR(INDEX($AI$2:$AI$1001,MATCH(ROWS($AH$2:AH701),$AH$2:$AH$1001,0),1)&gt;=100000,INDEX($AO$1005:$BQ$1005,1,MATCH(COLUMNS($AO$1006:AR1006),$AO$1006:$BQ$1006,0))&gt;=100000), " ",IF(INDEX($AO$2:$BQ$1001,MATCH(ROWS($AH$2:AH701),$AH$2:$AH$1001,0),MATCH(COLUMNS($AO$1006:AR1006),$AO$1006:$BQ$1006,0)), HYPERLINK("#",""), HYPERLINK(CONCATENATE("#Metadata!", ADDRESS(INDEX($AJ$2:$AJ$1001,MATCH(ROWS($AH$2:AH701),$AH$2:$AH$1001,0),0), INDEX($AO$1004:$BQ$1004,1,MATCH(COLUMNS($AO$1006:AR1006),$AO$1006:$BQ$1006,0)))),"Fix")))</f>
        <v>#N/A</v>
      </c>
      <c r="F701" s="5" t="e">
        <f ca="1">IF(OR(INDEX($AI$2:$AI$1001,MATCH(ROWS($AH$2:AH701),$AH$2:$AH$1001,0),1)&gt;=100000,INDEX($AO$1005:$BQ$1005,1,MATCH(COLUMNS($AO$1006:AS1006),$AO$1006:$BQ$1006,0))&gt;=100000), " ",IF(INDEX($AO$2:$BQ$1001,MATCH(ROWS($AH$2:AH701),$AH$2:$AH$1001,0),MATCH(COLUMNS($AO$1006:AS1006),$AO$1006:$BQ$1006,0)), HYPERLINK("#",""), HYPERLINK(CONCATENATE("#Metadata!", ADDRESS(INDEX($AJ$2:$AJ$1001,MATCH(ROWS($AH$2:AH701),$AH$2:$AH$1001,0),0), INDEX($AO$1004:$BQ$1004,1,MATCH(COLUMNS($AO$1006:AS1006),$AO$1006:$BQ$1006,0)))),"Fix")))</f>
        <v>#N/A</v>
      </c>
      <c r="G701" s="5" t="e">
        <f ca="1">IF(OR(INDEX($AI$2:$AI$1001,MATCH(ROWS($AH$2:AH701),$AH$2:$AH$1001,0),1)&gt;=100000,INDEX($AO$1005:$BQ$1005,1,MATCH(COLUMNS($AO$1006:AT1006),$AO$1006:$BQ$1006,0))&gt;=100000), " ",IF(INDEX($AO$2:$BQ$1001,MATCH(ROWS($AH$2:AH701),$AH$2:$AH$1001,0),MATCH(COLUMNS($AO$1006:AT1006),$AO$1006:$BQ$1006,0)), HYPERLINK("#",""), HYPERLINK(CONCATENATE("#Metadata!", ADDRESS(INDEX($AJ$2:$AJ$1001,MATCH(ROWS($AH$2:AH701),$AH$2:$AH$1001,0),0), INDEX($AO$1004:$BQ$1004,1,MATCH(COLUMNS($AO$1006:AT1006),$AO$1006:$BQ$1006,0)))),"Fix")))</f>
        <v>#N/A</v>
      </c>
      <c r="H701" s="5" t="e">
        <f ca="1">IF(OR(INDEX($AI$2:$AI$1001,MATCH(ROWS($AH$2:AH701),$AH$2:$AH$1001,0),1)&gt;=100000,INDEX($AO$1005:$BQ$1005,1,MATCH(COLUMNS($AO$1006:AU1006),$AO$1006:$BQ$1006,0))&gt;=100000), " ",IF(INDEX($AO$2:$BQ$1001,MATCH(ROWS($AH$2:AH701),$AH$2:$AH$1001,0),MATCH(COLUMNS($AO$1006:AU1006),$AO$1006:$BQ$1006,0)), HYPERLINK("#",""), HYPERLINK(CONCATENATE("#Metadata!", ADDRESS(INDEX($AJ$2:$AJ$1001,MATCH(ROWS($AH$2:AH701),$AH$2:$AH$1001,0),0), INDEX($AO$1004:$BQ$1004,1,MATCH(COLUMNS($AO$1006:AU1006),$AO$1006:$BQ$1006,0)))),"Fix")))</f>
        <v>#N/A</v>
      </c>
      <c r="I701" s="5" t="e">
        <f ca="1">IF(OR(INDEX($AI$2:$AI$1001,MATCH(ROWS($AH$2:AH701),$AH$2:$AH$1001,0),1)&gt;=100000,INDEX($AO$1005:$BQ$1005,1,MATCH(COLUMNS($AO$1006:AV1006),$AO$1006:$BQ$1006,0))&gt;=100000), " ",IF(INDEX($AO$2:$BQ$1001,MATCH(ROWS($AH$2:AH701),$AH$2:$AH$1001,0),MATCH(COLUMNS($AO$1006:AV1006),$AO$1006:$BQ$1006,0)), HYPERLINK("#",""), HYPERLINK(CONCATENATE("#Metadata!", ADDRESS(INDEX($AJ$2:$AJ$1001,MATCH(ROWS($AH$2:AH701),$AH$2:$AH$1001,0),0), INDEX($AO$1004:$BQ$1004,1,MATCH(COLUMNS($AO$1006:AV1006),$AO$1006:$BQ$1006,0)))),"Fix")))</f>
        <v>#N/A</v>
      </c>
      <c r="J701" s="5" t="e">
        <f ca="1">IF(OR(INDEX($AI$2:$AI$1001,MATCH(ROWS($AH$2:AH701),$AH$2:$AH$1001,0),1)&gt;=100000,INDEX($AO$1005:$BQ$1005,1,MATCH(COLUMNS($AO$1006:AW1006),$AO$1006:$BQ$1006,0))&gt;=100000), " ",IF(INDEX($AO$2:$BQ$1001,MATCH(ROWS($AH$2:AH701),$AH$2:$AH$1001,0),MATCH(COLUMNS($AO$1006:AW1006),$AO$1006:$BQ$1006,0)), HYPERLINK("#",""), HYPERLINK(CONCATENATE("#Metadata!", ADDRESS(INDEX($AJ$2:$AJ$1001,MATCH(ROWS($AH$2:AH701),$AH$2:$AH$1001,0),0), INDEX($AO$1004:$BQ$1004,1,MATCH(COLUMNS($AO$1006:AW1006),$AO$1006:$BQ$1006,0)))),"Fix")))</f>
        <v>#N/A</v>
      </c>
      <c r="K701" s="5" t="e">
        <f ca="1">IF(OR(INDEX($AI$2:$AI$1001,MATCH(ROWS($AH$2:AH701),$AH$2:$AH$1001,0),1)&gt;=100000,INDEX($AO$1005:$BQ$1005,1,MATCH(COLUMNS($AO$1006:AX1006),$AO$1006:$BQ$1006,0))&gt;=100000), " ",IF(INDEX($AO$2:$BQ$1001,MATCH(ROWS($AH$2:AH701),$AH$2:$AH$1001,0),MATCH(COLUMNS($AO$1006:AX1006),$AO$1006:$BQ$1006,0)), HYPERLINK("#",""), HYPERLINK(CONCATENATE("#Metadata!", ADDRESS(INDEX($AJ$2:$AJ$1001,MATCH(ROWS($AH$2:AH701),$AH$2:$AH$1001,0),0), INDEX($AO$1004:$BQ$1004,1,MATCH(COLUMNS($AO$1006:AX1006),$AO$1006:$BQ$1006,0)))),"Fix")))</f>
        <v>#N/A</v>
      </c>
      <c r="L701" s="5" t="e">
        <f ca="1">IF(OR(INDEX($AI$2:$AI$1001,MATCH(ROWS($AH$2:AH701),$AH$2:$AH$1001,0),1)&gt;=100000,INDEX($AO$1005:$BQ$1005,1,MATCH(COLUMNS($AO$1006:AY1006),$AO$1006:$BQ$1006,0))&gt;=100000), " ",IF(INDEX($AO$2:$BQ$1001,MATCH(ROWS($AH$2:AH701),$AH$2:$AH$1001,0),MATCH(COLUMNS($AO$1006:AY1006),$AO$1006:$BQ$1006,0)), HYPERLINK("#",""), HYPERLINK(CONCATENATE("#Metadata!", ADDRESS(INDEX($AJ$2:$AJ$1001,MATCH(ROWS($AH$2:AH701),$AH$2:$AH$1001,0),0), INDEX($AO$1004:$BQ$1004,1,MATCH(COLUMNS($AO$1006:AY1006),$AO$1006:$BQ$1006,0)))),"Fix")))</f>
        <v>#N/A</v>
      </c>
      <c r="M701" s="5" t="e">
        <f ca="1">IF(OR(INDEX($AI$2:$AI$1001,MATCH(ROWS($AH$2:AH701),$AH$2:$AH$1001,0),1)&gt;=100000,INDEX($AO$1005:$BQ$1005,1,MATCH(COLUMNS($AO$1006:AZ1006),$AO$1006:$BQ$1006,0))&gt;=100000), " ",IF(INDEX($AO$2:$BQ$1001,MATCH(ROWS($AH$2:AH701),$AH$2:$AH$1001,0),MATCH(COLUMNS($AO$1006:AZ1006),$AO$1006:$BQ$1006,0)), HYPERLINK("#",""), HYPERLINK(CONCATENATE("#Metadata!", ADDRESS(INDEX($AJ$2:$AJ$1001,MATCH(ROWS($AH$2:AH701),$AH$2:$AH$1001,0),0), INDEX($AO$1004:$BQ$1004,1,MATCH(COLUMNS($AO$1006:AZ1006),$AO$1006:$BQ$1006,0)))),"Fix")))</f>
        <v>#N/A</v>
      </c>
      <c r="N701" s="5" t="e">
        <f ca="1">IF(OR(INDEX($AI$2:$AI$1001,MATCH(ROWS($AH$2:AH701),$AH$2:$AH$1001,0),1)&gt;=100000,INDEX($AO$1005:$BQ$1005,1,MATCH(COLUMNS($AO$1006:BA1006),$AO$1006:$BQ$1006,0))&gt;=100000), " ",IF(INDEX($AO$2:$BQ$1001,MATCH(ROWS($AH$2:AH701),$AH$2:$AH$1001,0),MATCH(COLUMNS($AO$1006:BA1006),$AO$1006:$BQ$1006,0)), HYPERLINK("#",""), HYPERLINK(CONCATENATE("#Metadata!", ADDRESS(INDEX($AJ$2:$AJ$1001,MATCH(ROWS($AH$2:AH701),$AH$2:$AH$1001,0),0), INDEX($AO$1004:$BQ$1004,1,MATCH(COLUMNS($AO$1006:BA1006),$AO$1006:$BQ$1006,0)))),"Fix")))</f>
        <v>#N/A</v>
      </c>
      <c r="O701" s="5" t="e">
        <f ca="1">IF(OR(INDEX($AI$2:$AI$1001,MATCH(ROWS($AH$2:AH701),$AH$2:$AH$1001,0),1)&gt;=100000,INDEX($AO$1005:$BQ$1005,1,MATCH(COLUMNS($AO$1006:BB1006),$AO$1006:$BQ$1006,0))&gt;=100000), " ",IF(INDEX($AO$2:$BQ$1001,MATCH(ROWS($AH$2:AH701),$AH$2:$AH$1001,0),MATCH(COLUMNS($AO$1006:BB1006),$AO$1006:$BQ$1006,0)), HYPERLINK("#",""), HYPERLINK(CONCATENATE("#Metadata!", ADDRESS(INDEX($AJ$2:$AJ$1001,MATCH(ROWS($AH$2:AH701),$AH$2:$AH$1001,0),0), INDEX($AO$1004:$BQ$1004,1,MATCH(COLUMNS($AO$1006:BB1006),$AO$1006:$BQ$1006,0)))),"Fix")))</f>
        <v>#N/A</v>
      </c>
      <c r="P701" s="5" t="e">
        <f ca="1">IF(OR(INDEX($AI$2:$AI$1001,MATCH(ROWS($AH$2:AH701),$AH$2:$AH$1001,0),1)&gt;=100000,INDEX($AO$1005:$BQ$1005,1,MATCH(COLUMNS($AO$1006:BC1006),$AO$1006:$BQ$1006,0))&gt;=100000), " ",IF(INDEX($AO$2:$BQ$1001,MATCH(ROWS($AH$2:AH701),$AH$2:$AH$1001,0),MATCH(COLUMNS($AO$1006:BC1006),$AO$1006:$BQ$1006,0)), HYPERLINK("#",""), HYPERLINK(CONCATENATE("#Metadata!", ADDRESS(INDEX($AJ$2:$AJ$1001,MATCH(ROWS($AH$2:AH701),$AH$2:$AH$1001,0),0), INDEX($AO$1004:$BQ$1004,1,MATCH(COLUMNS($AO$1006:BC1006),$AO$1006:$BQ$1006,0)))),"Fix")))</f>
        <v>#N/A</v>
      </c>
      <c r="Q701" s="5" t="e">
        <f ca="1">IF(OR(INDEX($AI$2:$AI$1001,MATCH(ROWS($AH$2:AH701),$AH$2:$AH$1001,0),1)&gt;=100000,INDEX($AO$1005:$BQ$1005,1,MATCH(COLUMNS($AO$1006:BD1006),$AO$1006:$BQ$1006,0))&gt;=100000), " ",IF(INDEX($AO$2:$BQ$1001,MATCH(ROWS($AH$2:AH701),$AH$2:$AH$1001,0),MATCH(COLUMNS($AO$1006:BD1006),$AO$1006:$BQ$1006,0)), HYPERLINK("#",""), HYPERLINK(CONCATENATE("#Metadata!", ADDRESS(INDEX($AJ$2:$AJ$1001,MATCH(ROWS($AH$2:AH701),$AH$2:$AH$1001,0),0), INDEX($AO$1004:$BQ$1004,1,MATCH(COLUMNS($AO$1006:BD1006),$AO$1006:$BQ$1006,0)))),"Fix")))</f>
        <v>#N/A</v>
      </c>
      <c r="R701" s="5" t="e">
        <f ca="1">IF(OR(INDEX($AI$2:$AI$1001,MATCH(ROWS($AH$2:AH701),$AH$2:$AH$1001,0),1)&gt;=100000,INDEX($AO$1005:$BQ$1005,1,MATCH(COLUMNS($AO$1006:BE1006),$AO$1006:$BQ$1006,0))&gt;=100000), " ",IF(INDEX($AO$2:$BQ$1001,MATCH(ROWS($AH$2:AH701),$AH$2:$AH$1001,0),MATCH(COLUMNS($AO$1006:BE1006),$AO$1006:$BQ$1006,0)), HYPERLINK("#",""), HYPERLINK(CONCATENATE("#Metadata!", ADDRESS(INDEX($AJ$2:$AJ$1001,MATCH(ROWS($AH$2:AH701),$AH$2:$AH$1001,0),0), INDEX($AO$1004:$BQ$1004,1,MATCH(COLUMNS($AO$1006:BE1006),$AO$1006:$BQ$1006,0)))),"Fix")))</f>
        <v>#N/A</v>
      </c>
      <c r="S701" s="5" t="e">
        <f ca="1">IF(OR(INDEX($AI$2:$AI$1001,MATCH(ROWS($AH$2:AH701),$AH$2:$AH$1001,0),1)&gt;=100000,INDEX($AO$1005:$BQ$1005,1,MATCH(COLUMNS($AO$1006:BF1006),$AO$1006:$BQ$1006,0))&gt;=100000), " ",IF(INDEX($AO$2:$BQ$1001,MATCH(ROWS($AH$2:AH701),$AH$2:$AH$1001,0),MATCH(COLUMNS($AO$1006:BF1006),$AO$1006:$BQ$1006,0)), HYPERLINK("#",""), HYPERLINK(CONCATENATE("#Metadata!", ADDRESS(INDEX($AJ$2:$AJ$1001,MATCH(ROWS($AH$2:AH701),$AH$2:$AH$1001,0),0), INDEX($AO$1004:$BQ$1004,1,MATCH(COLUMNS($AO$1006:BF1006),$AO$1006:$BQ$1006,0)))),"Fix")))</f>
        <v>#N/A</v>
      </c>
      <c r="T701" s="5" t="e">
        <f ca="1">IF(OR(INDEX($AI$2:$AI$1001,MATCH(ROWS($AH$2:AH701),$AH$2:$AH$1001,0),1)&gt;=100000,INDEX($AO$1005:$BQ$1005,1,MATCH(COLUMNS($AO$1006:BG1006),$AO$1006:$BQ$1006,0))&gt;=100000), " ",IF(INDEX($AO$2:$BQ$1001,MATCH(ROWS($AH$2:AH701),$AH$2:$AH$1001,0),MATCH(COLUMNS($AO$1006:BG1006),$AO$1006:$BQ$1006,0)), HYPERLINK("#",""), HYPERLINK(CONCATENATE("#Metadata!", ADDRESS(INDEX($AJ$2:$AJ$1001,MATCH(ROWS($AH$2:AH701),$AH$2:$AH$1001,0),0), INDEX($AO$1004:$BQ$1004,1,MATCH(COLUMNS($AO$1006:BG1006),$AO$1006:$BQ$1006,0)))),"Fix")))</f>
        <v>#N/A</v>
      </c>
      <c r="U701" s="5" t="e">
        <f ca="1">IF(OR(INDEX($AI$2:$AI$1001,MATCH(ROWS($AH$2:AH701),$AH$2:$AH$1001,0),1)&gt;=100000,INDEX($AO$1005:$BQ$1005,1,MATCH(COLUMNS($AO$1006:BH1006),$AO$1006:$BQ$1006,0))&gt;=100000), " ",IF(INDEX($AO$2:$BQ$1001,MATCH(ROWS($AH$2:AH701),$AH$2:$AH$1001,0),MATCH(COLUMNS($AO$1006:BH1006),$AO$1006:$BQ$1006,0)), HYPERLINK("#",""), HYPERLINK(CONCATENATE("#Metadata!", ADDRESS(INDEX($AJ$2:$AJ$1001,MATCH(ROWS($AH$2:AH701),$AH$2:$AH$1001,0),0), INDEX($AO$1004:$BQ$1004,1,MATCH(COLUMNS($AO$1006:BH1006),$AO$1006:$BQ$1006,0)))),"Fix")))</f>
        <v>#N/A</v>
      </c>
      <c r="V701" s="5" t="e">
        <f ca="1">IF(OR(INDEX($AI$2:$AI$1001,MATCH(ROWS($AH$2:AH701),$AH$2:$AH$1001,0),1)&gt;=100000,INDEX($AO$1005:$BQ$1005,1,MATCH(COLUMNS($AO$1006:BI1006),$AO$1006:$BQ$1006,0))&gt;=100000), " ",IF(INDEX($AO$2:$BQ$1001,MATCH(ROWS($AH$2:AH701),$AH$2:$AH$1001,0),MATCH(COLUMNS($AO$1006:BI1006),$AO$1006:$BQ$1006,0)), HYPERLINK("#",""), HYPERLINK(CONCATENATE("#Metadata!", ADDRESS(INDEX($AJ$2:$AJ$1001,MATCH(ROWS($AH$2:AH701),$AH$2:$AH$1001,0),0), INDEX($AO$1004:$BQ$1004,1,MATCH(COLUMNS($AO$1006:BI1006),$AO$1006:$BQ$1006,0)))),"Fix")))</f>
        <v>#N/A</v>
      </c>
      <c r="W701" s="5" t="e">
        <f ca="1">IF(OR(INDEX($AI$2:$AI$1001,MATCH(ROWS($AH$2:AH701),$AH$2:$AH$1001,0),1)&gt;=100000,INDEX($AO$1005:$BQ$1005,1,MATCH(COLUMNS($AO$1006:BJ1006),$AO$1006:$BQ$1006,0))&gt;=100000), " ",IF(INDEX($AO$2:$BQ$1001,MATCH(ROWS($AH$2:AH701),$AH$2:$AH$1001,0),MATCH(COLUMNS($AO$1006:BJ1006),$AO$1006:$BQ$1006,0)), HYPERLINK("#",""), HYPERLINK(CONCATENATE("#Metadata!", ADDRESS(INDEX($AJ$2:$AJ$1001,MATCH(ROWS($AH$2:AH701),$AH$2:$AH$1001,0),0), INDEX($AO$1004:$BQ$1004,1,MATCH(COLUMNS($AO$1006:BJ1006),$AO$1006:$BQ$1006,0)))),"Fix")))</f>
        <v>#N/A</v>
      </c>
      <c r="X701" s="5" t="e">
        <f ca="1">IF(OR(INDEX($AI$2:$AI$1001,MATCH(ROWS($AH$2:AH701),$AH$2:$AH$1001,0),1)&gt;=100000,INDEX($AO$1005:$BQ$1005,1,MATCH(COLUMNS($AO$1006:BK1006),$AO$1006:$BQ$1006,0))&gt;=100000), " ",IF(INDEX($AO$2:$BQ$1001,MATCH(ROWS($AH$2:AH701),$AH$2:$AH$1001,0),MATCH(COLUMNS($AO$1006:BK1006),$AO$1006:$BQ$1006,0)), HYPERLINK("#",""), HYPERLINK(CONCATENATE("#Metadata!", ADDRESS(INDEX($AJ$2:$AJ$1001,MATCH(ROWS($AH$2:AH701),$AH$2:$AH$1001,0),0), INDEX($AO$1004:$BQ$1004,1,MATCH(COLUMNS($AO$1006:BK1006),$AO$1006:$BQ$1006,0)))),"Fix")))</f>
        <v>#N/A</v>
      </c>
      <c r="Y701" s="5" t="e">
        <f ca="1">IF(OR(INDEX($AI$2:$AI$1001,MATCH(ROWS($AH$2:AH701),$AH$2:$AH$1001,0),1)&gt;=100000,INDEX($AO$1005:$BQ$1005,1,MATCH(COLUMNS($AO$1006:BL1006),$AO$1006:$BQ$1006,0))&gt;=100000), " ",IF(INDEX($AO$2:$BQ$1001,MATCH(ROWS($AH$2:AH701),$AH$2:$AH$1001,0),MATCH(COLUMNS($AO$1006:BL1006),$AO$1006:$BQ$1006,0)), HYPERLINK("#",""), HYPERLINK(CONCATENATE("#Metadata!", ADDRESS(INDEX($AJ$2:$AJ$1001,MATCH(ROWS($AH$2:AH701),$AH$2:$AH$1001,0),0), INDEX($AO$1004:$BQ$1004,1,MATCH(COLUMNS($AO$1006:BL1006),$AO$1006:$BQ$1006,0)))),"Fix")))</f>
        <v>#N/A</v>
      </c>
      <c r="Z701" s="5" t="e">
        <f ca="1">IF(OR(INDEX($AI$2:$AI$1001,MATCH(ROWS($AH$2:AH701),$AH$2:$AH$1001,0),1)&gt;=100000,INDEX($AO$1005:$BQ$1005,1,MATCH(COLUMNS($AO$1006:BM1006),$AO$1006:$BQ$1006,0))&gt;=100000), " ",IF(INDEX($AO$2:$BQ$1001,MATCH(ROWS($AH$2:AH701),$AH$2:$AH$1001,0),MATCH(COLUMNS($AO$1006:BM1006),$AO$1006:$BQ$1006,0)), HYPERLINK("#",""), HYPERLINK(CONCATENATE("#Metadata!", ADDRESS(INDEX($AJ$2:$AJ$1001,MATCH(ROWS($AH$2:AH701),$AH$2:$AH$1001,0),0), INDEX($AO$1004:$BQ$1004,1,MATCH(COLUMNS($AO$1006:BM1006),$AO$1006:$BQ$1006,0)))),"Fix")))</f>
        <v>#N/A</v>
      </c>
      <c r="AA701" s="5" t="e">
        <f ca="1">IF(OR(INDEX($AI$2:$AI$1001,MATCH(ROWS($AH$2:AH701),$AH$2:$AH$1001,0),1)&gt;=100000,INDEX($AO$1005:$BQ$1005,1,MATCH(COLUMNS($AO$1006:BN1006),$AO$1006:$BQ$1006,0))&gt;=100000), " ",IF(INDEX($AO$2:$BQ$1001,MATCH(ROWS($AH$2:AH701),$AH$2:$AH$1001,0),MATCH(COLUMNS($AO$1006:BN1006),$AO$1006:$BQ$1006,0)), HYPERLINK("#",""), HYPERLINK(CONCATENATE("#Metadata!", ADDRESS(INDEX($AJ$2:$AJ$1001,MATCH(ROWS($AH$2:AH701),$AH$2:$AH$1001,0),0), INDEX($AO$1004:$BQ$1004,1,MATCH(COLUMNS($AO$1006:BN1006),$AO$1006:$BQ$1006,0)))),"Fix")))</f>
        <v>#N/A</v>
      </c>
      <c r="AB701" s="5" t="e">
        <f ca="1">IF(OR(INDEX($AI$2:$AI$1001,MATCH(ROWS($AH$2:AH701),$AH$2:$AH$1001,0),1)&gt;=100000,INDEX($AO$1005:$BQ$1005,1,MATCH(COLUMNS($AO$1006:BO1006),$AO$1006:$BQ$1006,0))&gt;=100000), " ",IF(INDEX($AO$2:$BQ$1001,MATCH(ROWS($AH$2:AH701),$AH$2:$AH$1001,0),MATCH(COLUMNS($AO$1006:BO1006),$AO$1006:$BQ$1006,0)), HYPERLINK("#",""), HYPERLINK(CONCATENATE("#Metadata!", ADDRESS(INDEX($AJ$2:$AJ$1001,MATCH(ROWS($AH$2:AH701),$AH$2:$AH$1001,0),0), INDEX($AO$1004:$BQ$1004,1,MATCH(COLUMNS($AO$1006:BO1006),$AO$1006:$BQ$1006,0)))),"Fix")))</f>
        <v>#N/A</v>
      </c>
      <c r="AC701" s="5" t="e">
        <f ca="1">IF(OR(INDEX($AI$2:$AI$1001,MATCH(ROWS($AH$2:AH701),$AH$2:$AH$1001,0),1)&gt;=100000,INDEX($AO$1005:$BQ$1005,1,MATCH(COLUMNS($AO$1006:BP1006),$AO$1006:$BQ$1006,0))&gt;=100000), " ",IF(INDEX($AO$2:$BQ$1001,MATCH(ROWS($AH$2:AH701),$AH$2:$AH$1001,0),MATCH(COLUMNS($AO$1006:BP1006),$AO$1006:$BQ$1006,0)), HYPERLINK("#",""), HYPERLINK(CONCATENATE("#Metadata!", ADDRESS(INDEX($AJ$2:$AJ$1001,MATCH(ROWS($AH$2:AH701),$AH$2:$AH$1001,0),0), INDEX($AO$1004:$BQ$1004,1,MATCH(COLUMNS($AO$1006:BP1006),$AO$1006:$BQ$1006,0)))),"Fix")))</f>
        <v>#N/A</v>
      </c>
      <c r="AD701" s="5" t="e">
        <f ca="1">IF(OR(INDEX($AI$2:$AI$1001,MATCH(ROWS($AH$2:AH701),$AH$2:$AH$1001,0),1)&gt;=100000,INDEX($AO$1005:$BQ$1005,1,MATCH(COLUMNS($AO$1006:BQ1006),$AO$1006:$BQ$1006,0))&gt;=100000), " ",IF(INDEX($AO$2:$BQ$1001,MATCH(ROWS($AH$2:AH701),$AH$2:$AH$1001,0),MATCH(COLUMNS($AO$1006:BQ1006),$AO$1006:$BQ$1006,0)), HYPERLINK("#",""), HYPERLINK(CONCATENATE("#Metadata!", ADDRESS(INDEX($AJ$2:$AJ$1001,MATCH(ROWS($AH$2:AH701),$AH$2:$AH$1001,0),0), INDEX($AO$1004:$BQ$1004,1,MATCH(COLUMNS($AO$1006:BQ1006),$AO$1006:$BQ$1006,0)))),"Fix")))</f>
        <v>#REF!</v>
      </c>
      <c r="AH701">
        <f ca="1"/>
        <v>698</v>
      </c>
      <c r="AI701">
        <v>100701</v>
      </c>
      <c r="AJ701">
        <v>701</v>
      </c>
      <c r="AK701" t="b">
        <f t="shared" si="10"/>
        <v>1</v>
      </c>
      <c r="AL701" t="b">
        <f>COUNTBLANK(Metadata!B701:AD701)=COLUMNS(Metadata!B701:AD701)</f>
        <v>1</v>
      </c>
      <c r="AM701" t="str">
        <v/>
      </c>
      <c r="AO701" t="b">
        <f ca="1">AND(IF(Metadata!B701="",FALSE,TRUE),COUNTIF(Metadata!B:B, Metadata!B701) = 1,NOT(ISERROR(SUMPRODUCT(SEARCH(MID(Metadata!B701,ROW(INDIRECT("1:"&amp;LEN(Metadata!B701))), 1),"0123456789abcdefghijklmnopqrstuvwxyzABCDEFGHIJKLMNOPQRSTUVWXYZ.")))))</f>
        <v>0</v>
      </c>
      <c r="AP701" t="b">
        <f>IF(Metadata!C701="",FALSE,TRUE)</f>
        <v>0</v>
      </c>
      <c r="AQ701" t="b">
        <f>IF(Metadata!D701="",FALSE,TRUE)</f>
        <v>0</v>
      </c>
      <c r="AR701" t="b">
        <f ca="1">OR(AND(IF(Metadata!E701="",FALSE,TRUE),OR(EXACT(Metadata!E701,"not collected"),EXACT(Metadata!E701,"not provided"),EXACT(Metadata!E701,"restricted access"))),AND(IF(Metadata!E701="",FALSE,TRUE),AND(AND(IFERROR(INT(LEFT(Metadata!E701,4))&gt;1900,FALSE),IFERROR(INT(LEFT(Metadata!E701,4))&lt;=YEAR(NOW()),FALSE)), OR(MID(Metadata!E701,5,1)="", AND(AND(MID(Metadata!E701,5,1)="-",IFERROR(INT(MID(Metadata!E701,6,1))&gt;=0,FALSE),IFERROR(INT(MID(Metadata!E701,6,1))&lt;=1,FALSE),NOT(MID(Metadata!E701,7,1)=""),IFERROR(INT(MID(Metadata!E701,6,2))&gt;=1,FALSE),IFERROR(INT(MID(Metadata!E701,6,2))&lt;=12,FALSE)), OR(MID(Metadata!E701,8,1)="", AND(AND(MID(Metadata!E701,8,1)="-",IFERROR(INT(MID(Metadata!E701,9,1))&gt;=0,FALSE),IFERROR(INT(MID(Metadata!E701,9,1))&lt;=3,FALSE),NOT(MID(Metadata!E701,10,1)=""),IFERROR(INT(MID(Metadata!E701,9,2))&gt;=1,FALSE),IFERROR(INT(MID(Metadata!E701,9,2))&lt;=31,FALSE)), OR(MID(Metadata!E701,11,1)="", AND(AND(MID(Metadata!E701,11,1)=" ",IFERROR(INT(MID(Metadata!E701,12,1))&gt;=0,FALSE),IFERROR(INT(MID(Metadata!E701,12,1))&lt;=2,FALSE),NOT(MID(Metadata!E701,13,1)=""),IFERROR(INT(MID(Metadata!E701,12,2))&gt;=0,FALSE),IFERROR(INT(MID(Metadata!E701,12,2))&lt;=23,FALSE)), OR(MID(Metadata!E701,14,1)="", AND(AND(MID(Metadata!E701,14,1)=":",IFERROR(INT(MID(Metadata!E701,15,1))&gt;=0,FALSE),IFERROR(INT(MID(Metadata!E701,15,1))&lt;=5,FALSE),NOT(MID(Metadata!E701,16,1)=""),IFERROR(INT(MID(Metadata!E701,15,2))&gt;=0,FALSE),IFERROR(INT(MID(Metadata!E701,15,2))&lt;=59,FALSE)), OR(MID(Metadata!E701,17,1)="", AND(AND(MID(Metadata!E701,17,1)=":",IFERROR(INT(MID(Metadata!E701,18,1))&gt;=0,FALSE),IFERROR(INT(MID(Metadata!E701,18,1))&lt;=5,FALSE),NOT(MID(Metadata!E701,19,1)=""),IFERROR(INT(MID(Metadata!E701,18,2))&gt;=0,FALSE),IFERROR(INT(MID(Metadata!E701,18,2))&lt;=59,FALSE)), LEN(Metadata!E701)&lt;=19)))))))))))))</f>
        <v>0</v>
      </c>
      <c r="AS701" t="b">
        <f>IF(Metadata!F701="",FALSE,TRUE)</f>
        <v>0</v>
      </c>
      <c r="AT701" t="b">
        <f>OR(AND(IF(Metadata!G701="",FALSE,TRUE),OR(EXACT(Metadata!G701,"not collected"),EXACT(Metadata!G701,"not provided"))),AND(IF(Metadata!G701="",FALSE,TRUE),OR(EXACT(Metadata!G701,"TRUE"),EXACT(Metadata!G701,"FALSE"))))</f>
        <v>0</v>
      </c>
      <c r="AU701" t="b">
        <f>OR(AND(IF(Metadata!H701="",FALSE,TRUE),OR(EXACT(Metadata!H701,"not collected"),EXACT(Metadata!H701,"not provided"),EXACT(Metadata!H701,"restricted access"))),AND(IF(Metadata!H701="",FALSE,ISNUMBER(VALUE(Metadata!H701))),Metadata!H701&gt;=-413))</f>
        <v>0</v>
      </c>
      <c r="AV701" t="b">
        <f>AND(IF(Metadata!I701="",FALSE,TRUE),EXACT(Metadata!I701,"meters"))</f>
        <v>0</v>
      </c>
      <c r="AW701" t="b">
        <f>AND(IF(Metadata!J701="",FALSE,TRUE),EXACT(Metadata!J701,"free-living"))</f>
        <v>0</v>
      </c>
      <c r="AX701" t="b">
        <f>AND(IF(Metadata!K701="",FALSE,TRUE),OR(EXACT(Metadata!K701,"saline"),EXACT(Metadata!K701,"non-saline")))</f>
        <v>0</v>
      </c>
      <c r="AY701" t="b">
        <f>AND(IF(Metadata!L701="",FALSE,TRUE),OR(EXACT(Metadata!L701,"sub-surface (non-saline)"),EXACT(Metadata!L701,"surface (non-saline)"),EXACT(Metadata!L701,"water (non-saline)"),EXACT(Metadata!L701,"soil (non-saline)"),EXACT(Metadata!L701,"aerosol (non-saline)"),EXACT(Metadata!L701,"sediment (non-saline)"),EXACT(Metadata!L701,"surface (saline)"),EXACT(Metadata!L701,"water (saline)"),EXACT(Metadata!L701,"hypersaline (saline)"),EXACT(Metadata!L701,"aerosol (saline)"),EXACT(Metadata!L701,"sediment (saline)")))</f>
        <v>0</v>
      </c>
      <c r="AZ701" t="b">
        <f>IF(Metadata!M701="",FALSE,TRUE)</f>
        <v>0</v>
      </c>
      <c r="BA701" t="b">
        <f>IF(Metadata!N701="",FALSE,TRUE)</f>
        <v>0</v>
      </c>
      <c r="BB701" t="b">
        <f>IF(Metadata!O701="",FALSE,TRUE)</f>
        <v>0</v>
      </c>
      <c r="BC701" t="b">
        <f>AND(IF(Metadata!P701="",FALSE,TRUE),OR(EXACT(Metadata!P701,"air"),EXACT(Metadata!P701,"microbial mat/biofilm"),EXACT(Metadata!P701,"misc environment"),EXACT(Metadata!P701,"sediment"),EXACT(Metadata!P701,"soil"),EXACT(Metadata!P701,"wastewater/sludge"),EXACT(Metadata!P701,"water")))</f>
        <v>0</v>
      </c>
      <c r="BD701" t="b">
        <f>IF(Metadata!Q701="",FALSE,TRUE)</f>
        <v>0</v>
      </c>
      <c r="BE701" t="b">
        <f>IF(Metadata!R701="",FALSE,TRUE)</f>
        <v>0</v>
      </c>
      <c r="BF701" t="b">
        <f>OR(AND(IF(Metadata!S701="",FALSE,TRUE),OR(EXACT(Metadata!S701,"not collected"),EXACT(Metadata!S701,"not provided"),EXACT(Metadata!S701,"restricted access"))),AND(IF(Metadata!S701="",FALSE,ISNUMBER(VALUE(Metadata!S701))),Metadata!S701&gt;=-90,Metadata!S701&lt;=90))</f>
        <v>0</v>
      </c>
      <c r="BG701" t="b">
        <f>AND(IF(Metadata!T701="",FALSE,TRUE),EXACT(Metadata!T701,"Decimal degrees"))</f>
        <v>0</v>
      </c>
      <c r="BH701" t="b">
        <f>OR(AND(IF(Metadata!U701="",FALSE,TRUE),OR(EXACT(Metadata!U701,"not applicable"),EXACT(Metadata!U701,"not collected"))),IF(Metadata!U701="",FALSE,TRUE))</f>
        <v>0</v>
      </c>
      <c r="BI701" t="b">
        <f>OR(AND(IF(Metadata!V701="",FALSE,TRUE),OR(EXACT(Metadata!V701,"not collected"),EXACT(Metadata!V701,"not provided"),EXACT(Metadata!V701,"restricted access"))),AND(IF(Metadata!V701="",FALSE,ISNUMBER(VALUE(Metadata!V701))),Metadata!V701&gt;=-180,Metadata!V701&lt;=180))</f>
        <v>0</v>
      </c>
      <c r="BJ701" t="b">
        <f>AND(IF(Metadata!W701="",FALSE,TRUE),EXACT(Metadata!W701,"Decimal degrees"))</f>
        <v>0</v>
      </c>
      <c r="BK701" t="b">
        <f>IF(Metadata!X701="",FALSE,TRUE)</f>
        <v>0</v>
      </c>
      <c r="BL701" t="b">
        <f>OR(AND(IF(Metadata!Y701="",FALSE,TRUE),OR(EXACT(Metadata!Y701,"not collected"),EXACT(Metadata!Y701,"not provided"),EXACT(Metadata!Y701,"restricted access"))),AND(IF(Metadata!Y701="",FALSE,TRUE),OR(EXACT(Metadata!Y701,"TRUE"),EXACT(Metadata!Y701,"FALSE"))))</f>
        <v>0</v>
      </c>
      <c r="BM701" t="b">
        <f>OR(AND(IF(Metadata!Z701="",FALSE,TRUE),EXACT(Metadata!Z701,"not applicable")),AND(IF(Metadata!Z701="",FALSE,TRUE),OR(EXACT(Metadata!Z701,"beer"),EXACT(Metadata!Z701,"cheese"),EXACT(Metadata!Z701,"fresh water"),EXACT(Metadata!Z701,"marine sediment"),EXACT(Metadata!Z701,"sea water"),EXACT(Metadata!Z701,"sediment"),EXACT(Metadata!Z701,"soil"),EXACT(Metadata!Z701,"waste water"))))</f>
        <v>0</v>
      </c>
      <c r="BN701" t="b">
        <f>AND(IF(Metadata!AA701="",FALSE,TRUE),EXACT(Metadata!AA701,"metagenome"))</f>
        <v>0</v>
      </c>
      <c r="BO701" t="b">
        <f>AND(IF(Metadata!AB701="",FALSE,TRUE),EXACT(Metadata!AB701,"256318"))</f>
        <v>0</v>
      </c>
      <c r="BP701" t="b">
        <f>IF(Metadata!AC701="",FALSE,TRUE)</f>
        <v>0</v>
      </c>
      <c r="BQ701" t="b">
        <f>IF(Metadata!AD701="",FALSE,TRUE)</f>
        <v>0</v>
      </c>
    </row>
    <row r="702" spans="1:69" x14ac:dyDescent="0.2">
      <c r="A702" s="4" t="e">
        <f ca="1">IF(B702=" "," ",HYPERLINK(CONCATENATE("#metadata!",ADDRESS(INDEX($AJ$2:$AJ$1001,MATCH(ROWS($AH$2:AH702),$AH$2:$AH$1001,0),0),2)),INDEX($AM$2:$AM$1001,MATCH(ROWS($AH$2:AH702),$AH$2:$AH$1001,0),0)))</f>
        <v>#N/A</v>
      </c>
      <c r="B702" s="5" t="e">
        <f ca="1">IF(OR(INDEX($AI$2:$AI$1001,MATCH(ROWS($AH$2:AH702),$AH$2:$AH$1001,0),1)&gt;=100000,INDEX($AO$1005:$BQ$1005,1,MATCH(COLUMNS($AO$1006:AO1006),$AO$1006:$BQ$1006,0))&gt;=100000), " ",IF(INDEX($AO$2:$BQ$1001,MATCH(ROWS($AH$2:AH702),$AH$2:$AH$1001,0),MATCH(COLUMNS($AO$1006:AO1006),$AO$1006:$BQ$1006,0)), HYPERLINK("#",""), HYPERLINK(CONCATENATE("#Metadata!", ADDRESS(INDEX($AJ$2:$AJ$1001,MATCH(ROWS($AH$2:AH702),$AH$2:$AH$1001,0),0), INDEX($AO$1004:$BQ$1004,1,MATCH(COLUMNS($AO$1006:AO1006),$AO$1006:$BQ$1006,0)))),"Fix")))</f>
        <v>#N/A</v>
      </c>
      <c r="C702" s="5" t="e">
        <f ca="1">IF(OR(INDEX($AI$2:$AI$1001,MATCH(ROWS($AH$2:AH702),$AH$2:$AH$1001,0),1)&gt;=100000,INDEX($AO$1005:$BQ$1005,1,MATCH(COLUMNS($AO$1006:AP1006),$AO$1006:$BQ$1006,0))&gt;=100000), " ",IF(INDEX($AO$2:$BQ$1001,MATCH(ROWS($AH$2:AH702),$AH$2:$AH$1001,0),MATCH(COLUMNS($AO$1006:AP1006),$AO$1006:$BQ$1006,0)), HYPERLINK("#",""), HYPERLINK(CONCATENATE("#Metadata!", ADDRESS(INDEX($AJ$2:$AJ$1001,MATCH(ROWS($AH$2:AH702),$AH$2:$AH$1001,0),0), INDEX($AO$1004:$BQ$1004,1,MATCH(COLUMNS($AO$1006:AP1006),$AO$1006:$BQ$1006,0)))),"Fix")))</f>
        <v>#N/A</v>
      </c>
      <c r="D702" s="5" t="e">
        <f ca="1">IF(OR(INDEX($AI$2:$AI$1001,MATCH(ROWS($AH$2:AH702),$AH$2:$AH$1001,0),1)&gt;=100000,INDEX($AO$1005:$BQ$1005,1,MATCH(COLUMNS($AO$1006:AQ1006),$AO$1006:$BQ$1006,0))&gt;=100000), " ",IF(INDEX($AO$2:$BQ$1001,MATCH(ROWS($AH$2:AH702),$AH$2:$AH$1001,0),MATCH(COLUMNS($AO$1006:AQ1006),$AO$1006:$BQ$1006,0)), HYPERLINK("#",""), HYPERLINK(CONCATENATE("#Metadata!", ADDRESS(INDEX($AJ$2:$AJ$1001,MATCH(ROWS($AH$2:AH702),$AH$2:$AH$1001,0),0), INDEX($AO$1004:$BQ$1004,1,MATCH(COLUMNS($AO$1006:AQ1006),$AO$1006:$BQ$1006,0)))),"Fix")))</f>
        <v>#N/A</v>
      </c>
      <c r="E702" s="5" t="e">
        <f ca="1">IF(OR(INDEX($AI$2:$AI$1001,MATCH(ROWS($AH$2:AH702),$AH$2:$AH$1001,0),1)&gt;=100000,INDEX($AO$1005:$BQ$1005,1,MATCH(COLUMNS($AO$1006:AR1006),$AO$1006:$BQ$1006,0))&gt;=100000), " ",IF(INDEX($AO$2:$BQ$1001,MATCH(ROWS($AH$2:AH702),$AH$2:$AH$1001,0),MATCH(COLUMNS($AO$1006:AR1006),$AO$1006:$BQ$1006,0)), HYPERLINK("#",""), HYPERLINK(CONCATENATE("#Metadata!", ADDRESS(INDEX($AJ$2:$AJ$1001,MATCH(ROWS($AH$2:AH702),$AH$2:$AH$1001,0),0), INDEX($AO$1004:$BQ$1004,1,MATCH(COLUMNS($AO$1006:AR1006),$AO$1006:$BQ$1006,0)))),"Fix")))</f>
        <v>#N/A</v>
      </c>
      <c r="F702" s="5" t="e">
        <f ca="1">IF(OR(INDEX($AI$2:$AI$1001,MATCH(ROWS($AH$2:AH702),$AH$2:$AH$1001,0),1)&gt;=100000,INDEX($AO$1005:$BQ$1005,1,MATCH(COLUMNS($AO$1006:AS1006),$AO$1006:$BQ$1006,0))&gt;=100000), " ",IF(INDEX($AO$2:$BQ$1001,MATCH(ROWS($AH$2:AH702),$AH$2:$AH$1001,0),MATCH(COLUMNS($AO$1006:AS1006),$AO$1006:$BQ$1006,0)), HYPERLINK("#",""), HYPERLINK(CONCATENATE("#Metadata!", ADDRESS(INDEX($AJ$2:$AJ$1001,MATCH(ROWS($AH$2:AH702),$AH$2:$AH$1001,0),0), INDEX($AO$1004:$BQ$1004,1,MATCH(COLUMNS($AO$1006:AS1006),$AO$1006:$BQ$1006,0)))),"Fix")))</f>
        <v>#N/A</v>
      </c>
      <c r="G702" s="5" t="e">
        <f ca="1">IF(OR(INDEX($AI$2:$AI$1001,MATCH(ROWS($AH$2:AH702),$AH$2:$AH$1001,0),1)&gt;=100000,INDEX($AO$1005:$BQ$1005,1,MATCH(COLUMNS($AO$1006:AT1006),$AO$1006:$BQ$1006,0))&gt;=100000), " ",IF(INDEX($AO$2:$BQ$1001,MATCH(ROWS($AH$2:AH702),$AH$2:$AH$1001,0),MATCH(COLUMNS($AO$1006:AT1006),$AO$1006:$BQ$1006,0)), HYPERLINK("#",""), HYPERLINK(CONCATENATE("#Metadata!", ADDRESS(INDEX($AJ$2:$AJ$1001,MATCH(ROWS($AH$2:AH702),$AH$2:$AH$1001,0),0), INDEX($AO$1004:$BQ$1004,1,MATCH(COLUMNS($AO$1006:AT1006),$AO$1006:$BQ$1006,0)))),"Fix")))</f>
        <v>#N/A</v>
      </c>
      <c r="H702" s="5" t="e">
        <f ca="1">IF(OR(INDEX($AI$2:$AI$1001,MATCH(ROWS($AH$2:AH702),$AH$2:$AH$1001,0),1)&gt;=100000,INDEX($AO$1005:$BQ$1005,1,MATCH(COLUMNS($AO$1006:AU1006),$AO$1006:$BQ$1006,0))&gt;=100000), " ",IF(INDEX($AO$2:$BQ$1001,MATCH(ROWS($AH$2:AH702),$AH$2:$AH$1001,0),MATCH(COLUMNS($AO$1006:AU1006),$AO$1006:$BQ$1006,0)), HYPERLINK("#",""), HYPERLINK(CONCATENATE("#Metadata!", ADDRESS(INDEX($AJ$2:$AJ$1001,MATCH(ROWS($AH$2:AH702),$AH$2:$AH$1001,0),0), INDEX($AO$1004:$BQ$1004,1,MATCH(COLUMNS($AO$1006:AU1006),$AO$1006:$BQ$1006,0)))),"Fix")))</f>
        <v>#N/A</v>
      </c>
      <c r="I702" s="5" t="e">
        <f ca="1">IF(OR(INDEX($AI$2:$AI$1001,MATCH(ROWS($AH$2:AH702),$AH$2:$AH$1001,0),1)&gt;=100000,INDEX($AO$1005:$BQ$1005,1,MATCH(COLUMNS($AO$1006:AV1006),$AO$1006:$BQ$1006,0))&gt;=100000), " ",IF(INDEX($AO$2:$BQ$1001,MATCH(ROWS($AH$2:AH702),$AH$2:$AH$1001,0),MATCH(COLUMNS($AO$1006:AV1006),$AO$1006:$BQ$1006,0)), HYPERLINK("#",""), HYPERLINK(CONCATENATE("#Metadata!", ADDRESS(INDEX($AJ$2:$AJ$1001,MATCH(ROWS($AH$2:AH702),$AH$2:$AH$1001,0),0), INDEX($AO$1004:$BQ$1004,1,MATCH(COLUMNS($AO$1006:AV1006),$AO$1006:$BQ$1006,0)))),"Fix")))</f>
        <v>#N/A</v>
      </c>
      <c r="J702" s="5" t="e">
        <f ca="1">IF(OR(INDEX($AI$2:$AI$1001,MATCH(ROWS($AH$2:AH702),$AH$2:$AH$1001,0),1)&gt;=100000,INDEX($AO$1005:$BQ$1005,1,MATCH(COLUMNS($AO$1006:AW1006),$AO$1006:$BQ$1006,0))&gt;=100000), " ",IF(INDEX($AO$2:$BQ$1001,MATCH(ROWS($AH$2:AH702),$AH$2:$AH$1001,0),MATCH(COLUMNS($AO$1006:AW1006),$AO$1006:$BQ$1006,0)), HYPERLINK("#",""), HYPERLINK(CONCATENATE("#Metadata!", ADDRESS(INDEX($AJ$2:$AJ$1001,MATCH(ROWS($AH$2:AH702),$AH$2:$AH$1001,0),0), INDEX($AO$1004:$BQ$1004,1,MATCH(COLUMNS($AO$1006:AW1006),$AO$1006:$BQ$1006,0)))),"Fix")))</f>
        <v>#N/A</v>
      </c>
      <c r="K702" s="5" t="e">
        <f ca="1">IF(OR(INDEX($AI$2:$AI$1001,MATCH(ROWS($AH$2:AH702),$AH$2:$AH$1001,0),1)&gt;=100000,INDEX($AO$1005:$BQ$1005,1,MATCH(COLUMNS($AO$1006:AX1006),$AO$1006:$BQ$1006,0))&gt;=100000), " ",IF(INDEX($AO$2:$BQ$1001,MATCH(ROWS($AH$2:AH702),$AH$2:$AH$1001,0),MATCH(COLUMNS($AO$1006:AX1006),$AO$1006:$BQ$1006,0)), HYPERLINK("#",""), HYPERLINK(CONCATENATE("#Metadata!", ADDRESS(INDEX($AJ$2:$AJ$1001,MATCH(ROWS($AH$2:AH702),$AH$2:$AH$1001,0),0), INDEX($AO$1004:$BQ$1004,1,MATCH(COLUMNS($AO$1006:AX1006),$AO$1006:$BQ$1006,0)))),"Fix")))</f>
        <v>#N/A</v>
      </c>
      <c r="L702" s="5" t="e">
        <f ca="1">IF(OR(INDEX($AI$2:$AI$1001,MATCH(ROWS($AH$2:AH702),$AH$2:$AH$1001,0),1)&gt;=100000,INDEX($AO$1005:$BQ$1005,1,MATCH(COLUMNS($AO$1006:AY1006),$AO$1006:$BQ$1006,0))&gt;=100000), " ",IF(INDEX($AO$2:$BQ$1001,MATCH(ROWS($AH$2:AH702),$AH$2:$AH$1001,0),MATCH(COLUMNS($AO$1006:AY1006),$AO$1006:$BQ$1006,0)), HYPERLINK("#",""), HYPERLINK(CONCATENATE("#Metadata!", ADDRESS(INDEX($AJ$2:$AJ$1001,MATCH(ROWS($AH$2:AH702),$AH$2:$AH$1001,0),0), INDEX($AO$1004:$BQ$1004,1,MATCH(COLUMNS($AO$1006:AY1006),$AO$1006:$BQ$1006,0)))),"Fix")))</f>
        <v>#N/A</v>
      </c>
      <c r="M702" s="5" t="e">
        <f ca="1">IF(OR(INDEX($AI$2:$AI$1001,MATCH(ROWS($AH$2:AH702),$AH$2:$AH$1001,0),1)&gt;=100000,INDEX($AO$1005:$BQ$1005,1,MATCH(COLUMNS($AO$1006:AZ1006),$AO$1006:$BQ$1006,0))&gt;=100000), " ",IF(INDEX($AO$2:$BQ$1001,MATCH(ROWS($AH$2:AH702),$AH$2:$AH$1001,0),MATCH(COLUMNS($AO$1006:AZ1006),$AO$1006:$BQ$1006,0)), HYPERLINK("#",""), HYPERLINK(CONCATENATE("#Metadata!", ADDRESS(INDEX($AJ$2:$AJ$1001,MATCH(ROWS($AH$2:AH702),$AH$2:$AH$1001,0),0), INDEX($AO$1004:$BQ$1004,1,MATCH(COLUMNS($AO$1006:AZ1006),$AO$1006:$BQ$1006,0)))),"Fix")))</f>
        <v>#N/A</v>
      </c>
      <c r="N702" s="5" t="e">
        <f ca="1">IF(OR(INDEX($AI$2:$AI$1001,MATCH(ROWS($AH$2:AH702),$AH$2:$AH$1001,0),1)&gt;=100000,INDEX($AO$1005:$BQ$1005,1,MATCH(COLUMNS($AO$1006:BA1006),$AO$1006:$BQ$1006,0))&gt;=100000), " ",IF(INDEX($AO$2:$BQ$1001,MATCH(ROWS($AH$2:AH702),$AH$2:$AH$1001,0),MATCH(COLUMNS($AO$1006:BA1006),$AO$1006:$BQ$1006,0)), HYPERLINK("#",""), HYPERLINK(CONCATENATE("#Metadata!", ADDRESS(INDEX($AJ$2:$AJ$1001,MATCH(ROWS($AH$2:AH702),$AH$2:$AH$1001,0),0), INDEX($AO$1004:$BQ$1004,1,MATCH(COLUMNS($AO$1006:BA1006),$AO$1006:$BQ$1006,0)))),"Fix")))</f>
        <v>#N/A</v>
      </c>
      <c r="O702" s="5" t="e">
        <f ca="1">IF(OR(INDEX($AI$2:$AI$1001,MATCH(ROWS($AH$2:AH702),$AH$2:$AH$1001,0),1)&gt;=100000,INDEX($AO$1005:$BQ$1005,1,MATCH(COLUMNS($AO$1006:BB1006),$AO$1006:$BQ$1006,0))&gt;=100000), " ",IF(INDEX($AO$2:$BQ$1001,MATCH(ROWS($AH$2:AH702),$AH$2:$AH$1001,0),MATCH(COLUMNS($AO$1006:BB1006),$AO$1006:$BQ$1006,0)), HYPERLINK("#",""), HYPERLINK(CONCATENATE("#Metadata!", ADDRESS(INDEX($AJ$2:$AJ$1001,MATCH(ROWS($AH$2:AH702),$AH$2:$AH$1001,0),0), INDEX($AO$1004:$BQ$1004,1,MATCH(COLUMNS($AO$1006:BB1006),$AO$1006:$BQ$1006,0)))),"Fix")))</f>
        <v>#N/A</v>
      </c>
      <c r="P702" s="5" t="e">
        <f ca="1">IF(OR(INDEX($AI$2:$AI$1001,MATCH(ROWS($AH$2:AH702),$AH$2:$AH$1001,0),1)&gt;=100000,INDEX($AO$1005:$BQ$1005,1,MATCH(COLUMNS($AO$1006:BC1006),$AO$1006:$BQ$1006,0))&gt;=100000), " ",IF(INDEX($AO$2:$BQ$1001,MATCH(ROWS($AH$2:AH702),$AH$2:$AH$1001,0),MATCH(COLUMNS($AO$1006:BC1006),$AO$1006:$BQ$1006,0)), HYPERLINK("#",""), HYPERLINK(CONCATENATE("#Metadata!", ADDRESS(INDEX($AJ$2:$AJ$1001,MATCH(ROWS($AH$2:AH702),$AH$2:$AH$1001,0),0), INDEX($AO$1004:$BQ$1004,1,MATCH(COLUMNS($AO$1006:BC1006),$AO$1006:$BQ$1006,0)))),"Fix")))</f>
        <v>#N/A</v>
      </c>
      <c r="Q702" s="5" t="e">
        <f ca="1">IF(OR(INDEX($AI$2:$AI$1001,MATCH(ROWS($AH$2:AH702),$AH$2:$AH$1001,0),1)&gt;=100000,INDEX($AO$1005:$BQ$1005,1,MATCH(COLUMNS($AO$1006:BD1006),$AO$1006:$BQ$1006,0))&gt;=100000), " ",IF(INDEX($AO$2:$BQ$1001,MATCH(ROWS($AH$2:AH702),$AH$2:$AH$1001,0),MATCH(COLUMNS($AO$1006:BD1006),$AO$1006:$BQ$1006,0)), HYPERLINK("#",""), HYPERLINK(CONCATENATE("#Metadata!", ADDRESS(INDEX($AJ$2:$AJ$1001,MATCH(ROWS($AH$2:AH702),$AH$2:$AH$1001,0),0), INDEX($AO$1004:$BQ$1004,1,MATCH(COLUMNS($AO$1006:BD1006),$AO$1006:$BQ$1006,0)))),"Fix")))</f>
        <v>#N/A</v>
      </c>
      <c r="R702" s="5" t="e">
        <f ca="1">IF(OR(INDEX($AI$2:$AI$1001,MATCH(ROWS($AH$2:AH702),$AH$2:$AH$1001,0),1)&gt;=100000,INDEX($AO$1005:$BQ$1005,1,MATCH(COLUMNS($AO$1006:BE1006),$AO$1006:$BQ$1006,0))&gt;=100000), " ",IF(INDEX($AO$2:$BQ$1001,MATCH(ROWS($AH$2:AH702),$AH$2:$AH$1001,0),MATCH(COLUMNS($AO$1006:BE1006),$AO$1006:$BQ$1006,0)), HYPERLINK("#",""), HYPERLINK(CONCATENATE("#Metadata!", ADDRESS(INDEX($AJ$2:$AJ$1001,MATCH(ROWS($AH$2:AH702),$AH$2:$AH$1001,0),0), INDEX($AO$1004:$BQ$1004,1,MATCH(COLUMNS($AO$1006:BE1006),$AO$1006:$BQ$1006,0)))),"Fix")))</f>
        <v>#N/A</v>
      </c>
      <c r="S702" s="5" t="e">
        <f ca="1">IF(OR(INDEX($AI$2:$AI$1001,MATCH(ROWS($AH$2:AH702),$AH$2:$AH$1001,0),1)&gt;=100000,INDEX($AO$1005:$BQ$1005,1,MATCH(COLUMNS($AO$1006:BF1006),$AO$1006:$BQ$1006,0))&gt;=100000), " ",IF(INDEX($AO$2:$BQ$1001,MATCH(ROWS($AH$2:AH702),$AH$2:$AH$1001,0),MATCH(COLUMNS($AO$1006:BF1006),$AO$1006:$BQ$1006,0)), HYPERLINK("#",""), HYPERLINK(CONCATENATE("#Metadata!", ADDRESS(INDEX($AJ$2:$AJ$1001,MATCH(ROWS($AH$2:AH702),$AH$2:$AH$1001,0),0), INDEX($AO$1004:$BQ$1004,1,MATCH(COLUMNS($AO$1006:BF1006),$AO$1006:$BQ$1006,0)))),"Fix")))</f>
        <v>#N/A</v>
      </c>
      <c r="T702" s="5" t="e">
        <f ca="1">IF(OR(INDEX($AI$2:$AI$1001,MATCH(ROWS($AH$2:AH702),$AH$2:$AH$1001,0),1)&gt;=100000,INDEX($AO$1005:$BQ$1005,1,MATCH(COLUMNS($AO$1006:BG1006),$AO$1006:$BQ$1006,0))&gt;=100000), " ",IF(INDEX($AO$2:$BQ$1001,MATCH(ROWS($AH$2:AH702),$AH$2:$AH$1001,0),MATCH(COLUMNS($AO$1006:BG1006),$AO$1006:$BQ$1006,0)), HYPERLINK("#",""), HYPERLINK(CONCATENATE("#Metadata!", ADDRESS(INDEX($AJ$2:$AJ$1001,MATCH(ROWS($AH$2:AH702),$AH$2:$AH$1001,0),0), INDEX($AO$1004:$BQ$1004,1,MATCH(COLUMNS($AO$1006:BG1006),$AO$1006:$BQ$1006,0)))),"Fix")))</f>
        <v>#N/A</v>
      </c>
      <c r="U702" s="5" t="e">
        <f ca="1">IF(OR(INDEX($AI$2:$AI$1001,MATCH(ROWS($AH$2:AH702),$AH$2:$AH$1001,0),1)&gt;=100000,INDEX($AO$1005:$BQ$1005,1,MATCH(COLUMNS($AO$1006:BH1006),$AO$1006:$BQ$1006,0))&gt;=100000), " ",IF(INDEX($AO$2:$BQ$1001,MATCH(ROWS($AH$2:AH702),$AH$2:$AH$1001,0),MATCH(COLUMNS($AO$1006:BH1006),$AO$1006:$BQ$1006,0)), HYPERLINK("#",""), HYPERLINK(CONCATENATE("#Metadata!", ADDRESS(INDEX($AJ$2:$AJ$1001,MATCH(ROWS($AH$2:AH702),$AH$2:$AH$1001,0),0), INDEX($AO$1004:$BQ$1004,1,MATCH(COLUMNS($AO$1006:BH1006),$AO$1006:$BQ$1006,0)))),"Fix")))</f>
        <v>#N/A</v>
      </c>
      <c r="V702" s="5" t="e">
        <f ca="1">IF(OR(INDEX($AI$2:$AI$1001,MATCH(ROWS($AH$2:AH702),$AH$2:$AH$1001,0),1)&gt;=100000,INDEX($AO$1005:$BQ$1005,1,MATCH(COLUMNS($AO$1006:BI1006),$AO$1006:$BQ$1006,0))&gt;=100000), " ",IF(INDEX($AO$2:$BQ$1001,MATCH(ROWS($AH$2:AH702),$AH$2:$AH$1001,0),MATCH(COLUMNS($AO$1006:BI1006),$AO$1006:$BQ$1006,0)), HYPERLINK("#",""), HYPERLINK(CONCATENATE("#Metadata!", ADDRESS(INDEX($AJ$2:$AJ$1001,MATCH(ROWS($AH$2:AH702),$AH$2:$AH$1001,0),0), INDEX($AO$1004:$BQ$1004,1,MATCH(COLUMNS($AO$1006:BI1006),$AO$1006:$BQ$1006,0)))),"Fix")))</f>
        <v>#N/A</v>
      </c>
      <c r="W702" s="5" t="e">
        <f ca="1">IF(OR(INDEX($AI$2:$AI$1001,MATCH(ROWS($AH$2:AH702),$AH$2:$AH$1001,0),1)&gt;=100000,INDEX($AO$1005:$BQ$1005,1,MATCH(COLUMNS($AO$1006:BJ1006),$AO$1006:$BQ$1006,0))&gt;=100000), " ",IF(INDEX($AO$2:$BQ$1001,MATCH(ROWS($AH$2:AH702),$AH$2:$AH$1001,0),MATCH(COLUMNS($AO$1006:BJ1006),$AO$1006:$BQ$1006,0)), HYPERLINK("#",""), HYPERLINK(CONCATENATE("#Metadata!", ADDRESS(INDEX($AJ$2:$AJ$1001,MATCH(ROWS($AH$2:AH702),$AH$2:$AH$1001,0),0), INDEX($AO$1004:$BQ$1004,1,MATCH(COLUMNS($AO$1006:BJ1006),$AO$1006:$BQ$1006,0)))),"Fix")))</f>
        <v>#N/A</v>
      </c>
      <c r="X702" s="5" t="e">
        <f ca="1">IF(OR(INDEX($AI$2:$AI$1001,MATCH(ROWS($AH$2:AH702),$AH$2:$AH$1001,0),1)&gt;=100000,INDEX($AO$1005:$BQ$1005,1,MATCH(COLUMNS($AO$1006:BK1006),$AO$1006:$BQ$1006,0))&gt;=100000), " ",IF(INDEX($AO$2:$BQ$1001,MATCH(ROWS($AH$2:AH702),$AH$2:$AH$1001,0),MATCH(COLUMNS($AO$1006:BK1006),$AO$1006:$BQ$1006,0)), HYPERLINK("#",""), HYPERLINK(CONCATENATE("#Metadata!", ADDRESS(INDEX($AJ$2:$AJ$1001,MATCH(ROWS($AH$2:AH702),$AH$2:$AH$1001,0),0), INDEX($AO$1004:$BQ$1004,1,MATCH(COLUMNS($AO$1006:BK1006),$AO$1006:$BQ$1006,0)))),"Fix")))</f>
        <v>#N/A</v>
      </c>
      <c r="Y702" s="5" t="e">
        <f ca="1">IF(OR(INDEX($AI$2:$AI$1001,MATCH(ROWS($AH$2:AH702),$AH$2:$AH$1001,0),1)&gt;=100000,INDEX($AO$1005:$BQ$1005,1,MATCH(COLUMNS($AO$1006:BL1006),$AO$1006:$BQ$1006,0))&gt;=100000), " ",IF(INDEX($AO$2:$BQ$1001,MATCH(ROWS($AH$2:AH702),$AH$2:$AH$1001,0),MATCH(COLUMNS($AO$1006:BL1006),$AO$1006:$BQ$1006,0)), HYPERLINK("#",""), HYPERLINK(CONCATENATE("#Metadata!", ADDRESS(INDEX($AJ$2:$AJ$1001,MATCH(ROWS($AH$2:AH702),$AH$2:$AH$1001,0),0), INDEX($AO$1004:$BQ$1004,1,MATCH(COLUMNS($AO$1006:BL1006),$AO$1006:$BQ$1006,0)))),"Fix")))</f>
        <v>#N/A</v>
      </c>
      <c r="Z702" s="5" t="e">
        <f ca="1">IF(OR(INDEX($AI$2:$AI$1001,MATCH(ROWS($AH$2:AH702),$AH$2:$AH$1001,0),1)&gt;=100000,INDEX($AO$1005:$BQ$1005,1,MATCH(COLUMNS($AO$1006:BM1006),$AO$1006:$BQ$1006,0))&gt;=100000), " ",IF(INDEX($AO$2:$BQ$1001,MATCH(ROWS($AH$2:AH702),$AH$2:$AH$1001,0),MATCH(COLUMNS($AO$1006:BM1006),$AO$1006:$BQ$1006,0)), HYPERLINK("#",""), HYPERLINK(CONCATENATE("#Metadata!", ADDRESS(INDEX($AJ$2:$AJ$1001,MATCH(ROWS($AH$2:AH702),$AH$2:$AH$1001,0),0), INDEX($AO$1004:$BQ$1004,1,MATCH(COLUMNS($AO$1006:BM1006),$AO$1006:$BQ$1006,0)))),"Fix")))</f>
        <v>#N/A</v>
      </c>
      <c r="AA702" s="5" t="e">
        <f ca="1">IF(OR(INDEX($AI$2:$AI$1001,MATCH(ROWS($AH$2:AH702),$AH$2:$AH$1001,0),1)&gt;=100000,INDEX($AO$1005:$BQ$1005,1,MATCH(COLUMNS($AO$1006:BN1006),$AO$1006:$BQ$1006,0))&gt;=100000), " ",IF(INDEX($AO$2:$BQ$1001,MATCH(ROWS($AH$2:AH702),$AH$2:$AH$1001,0),MATCH(COLUMNS($AO$1006:BN1006),$AO$1006:$BQ$1006,0)), HYPERLINK("#",""), HYPERLINK(CONCATENATE("#Metadata!", ADDRESS(INDEX($AJ$2:$AJ$1001,MATCH(ROWS($AH$2:AH702),$AH$2:$AH$1001,0),0), INDEX($AO$1004:$BQ$1004,1,MATCH(COLUMNS($AO$1006:BN1006),$AO$1006:$BQ$1006,0)))),"Fix")))</f>
        <v>#N/A</v>
      </c>
      <c r="AB702" s="5" t="e">
        <f ca="1">IF(OR(INDEX($AI$2:$AI$1001,MATCH(ROWS($AH$2:AH702),$AH$2:$AH$1001,0),1)&gt;=100000,INDEX($AO$1005:$BQ$1005,1,MATCH(COLUMNS($AO$1006:BO1006),$AO$1006:$BQ$1006,0))&gt;=100000), " ",IF(INDEX($AO$2:$BQ$1001,MATCH(ROWS($AH$2:AH702),$AH$2:$AH$1001,0),MATCH(COLUMNS($AO$1006:BO1006),$AO$1006:$BQ$1006,0)), HYPERLINK("#",""), HYPERLINK(CONCATENATE("#Metadata!", ADDRESS(INDEX($AJ$2:$AJ$1001,MATCH(ROWS($AH$2:AH702),$AH$2:$AH$1001,0),0), INDEX($AO$1004:$BQ$1004,1,MATCH(COLUMNS($AO$1006:BO1006),$AO$1006:$BQ$1006,0)))),"Fix")))</f>
        <v>#N/A</v>
      </c>
      <c r="AC702" s="5" t="e">
        <f ca="1">IF(OR(INDEX($AI$2:$AI$1001,MATCH(ROWS($AH$2:AH702),$AH$2:$AH$1001,0),1)&gt;=100000,INDEX($AO$1005:$BQ$1005,1,MATCH(COLUMNS($AO$1006:BP1006),$AO$1006:$BQ$1006,0))&gt;=100000), " ",IF(INDEX($AO$2:$BQ$1001,MATCH(ROWS($AH$2:AH702),$AH$2:$AH$1001,0),MATCH(COLUMNS($AO$1006:BP1006),$AO$1006:$BQ$1006,0)), HYPERLINK("#",""), HYPERLINK(CONCATENATE("#Metadata!", ADDRESS(INDEX($AJ$2:$AJ$1001,MATCH(ROWS($AH$2:AH702),$AH$2:$AH$1001,0),0), INDEX($AO$1004:$BQ$1004,1,MATCH(COLUMNS($AO$1006:BP1006),$AO$1006:$BQ$1006,0)))),"Fix")))</f>
        <v>#N/A</v>
      </c>
      <c r="AD702" s="5" t="e">
        <f ca="1">IF(OR(INDEX($AI$2:$AI$1001,MATCH(ROWS($AH$2:AH702),$AH$2:$AH$1001,0),1)&gt;=100000,INDEX($AO$1005:$BQ$1005,1,MATCH(COLUMNS($AO$1006:BQ1006),$AO$1006:$BQ$1006,0))&gt;=100000), " ",IF(INDEX($AO$2:$BQ$1001,MATCH(ROWS($AH$2:AH702),$AH$2:$AH$1001,0),MATCH(COLUMNS($AO$1006:BQ1006),$AO$1006:$BQ$1006,0)), HYPERLINK("#",""), HYPERLINK(CONCATENATE("#Metadata!", ADDRESS(INDEX($AJ$2:$AJ$1001,MATCH(ROWS($AH$2:AH702),$AH$2:$AH$1001,0),0), INDEX($AO$1004:$BQ$1004,1,MATCH(COLUMNS($AO$1006:BQ1006),$AO$1006:$BQ$1006,0)))),"Fix")))</f>
        <v>#REF!</v>
      </c>
      <c r="AH702">
        <f ca="1"/>
        <v>699</v>
      </c>
      <c r="AI702">
        <v>100702</v>
      </c>
      <c r="AJ702">
        <v>702</v>
      </c>
      <c r="AK702" t="b">
        <f t="shared" si="10"/>
        <v>1</v>
      </c>
      <c r="AL702" t="b">
        <f>COUNTBLANK(Metadata!B702:AD702)=COLUMNS(Metadata!B702:AD702)</f>
        <v>1</v>
      </c>
      <c r="AM702" t="str">
        <v/>
      </c>
      <c r="AO702" t="b">
        <f ca="1">AND(IF(Metadata!B702="",FALSE,TRUE),COUNTIF(Metadata!B:B, Metadata!B702) = 1,NOT(ISERROR(SUMPRODUCT(SEARCH(MID(Metadata!B702,ROW(INDIRECT("1:"&amp;LEN(Metadata!B702))), 1),"0123456789abcdefghijklmnopqrstuvwxyzABCDEFGHIJKLMNOPQRSTUVWXYZ.")))))</f>
        <v>0</v>
      </c>
      <c r="AP702" t="b">
        <f>IF(Metadata!C702="",FALSE,TRUE)</f>
        <v>0</v>
      </c>
      <c r="AQ702" t="b">
        <f>IF(Metadata!D702="",FALSE,TRUE)</f>
        <v>0</v>
      </c>
      <c r="AR702" t="b">
        <f ca="1">OR(AND(IF(Metadata!E702="",FALSE,TRUE),OR(EXACT(Metadata!E702,"not collected"),EXACT(Metadata!E702,"not provided"),EXACT(Metadata!E702,"restricted access"))),AND(IF(Metadata!E702="",FALSE,TRUE),AND(AND(IFERROR(INT(LEFT(Metadata!E702,4))&gt;1900,FALSE),IFERROR(INT(LEFT(Metadata!E702,4))&lt;=YEAR(NOW()),FALSE)), OR(MID(Metadata!E702,5,1)="", AND(AND(MID(Metadata!E702,5,1)="-",IFERROR(INT(MID(Metadata!E702,6,1))&gt;=0,FALSE),IFERROR(INT(MID(Metadata!E702,6,1))&lt;=1,FALSE),NOT(MID(Metadata!E702,7,1)=""),IFERROR(INT(MID(Metadata!E702,6,2))&gt;=1,FALSE),IFERROR(INT(MID(Metadata!E702,6,2))&lt;=12,FALSE)), OR(MID(Metadata!E702,8,1)="", AND(AND(MID(Metadata!E702,8,1)="-",IFERROR(INT(MID(Metadata!E702,9,1))&gt;=0,FALSE),IFERROR(INT(MID(Metadata!E702,9,1))&lt;=3,FALSE),NOT(MID(Metadata!E702,10,1)=""),IFERROR(INT(MID(Metadata!E702,9,2))&gt;=1,FALSE),IFERROR(INT(MID(Metadata!E702,9,2))&lt;=31,FALSE)), OR(MID(Metadata!E702,11,1)="", AND(AND(MID(Metadata!E702,11,1)=" ",IFERROR(INT(MID(Metadata!E702,12,1))&gt;=0,FALSE),IFERROR(INT(MID(Metadata!E702,12,1))&lt;=2,FALSE),NOT(MID(Metadata!E702,13,1)=""),IFERROR(INT(MID(Metadata!E702,12,2))&gt;=0,FALSE),IFERROR(INT(MID(Metadata!E702,12,2))&lt;=23,FALSE)), OR(MID(Metadata!E702,14,1)="", AND(AND(MID(Metadata!E702,14,1)=":",IFERROR(INT(MID(Metadata!E702,15,1))&gt;=0,FALSE),IFERROR(INT(MID(Metadata!E702,15,1))&lt;=5,FALSE),NOT(MID(Metadata!E702,16,1)=""),IFERROR(INT(MID(Metadata!E702,15,2))&gt;=0,FALSE),IFERROR(INT(MID(Metadata!E702,15,2))&lt;=59,FALSE)), OR(MID(Metadata!E702,17,1)="", AND(AND(MID(Metadata!E702,17,1)=":",IFERROR(INT(MID(Metadata!E702,18,1))&gt;=0,FALSE),IFERROR(INT(MID(Metadata!E702,18,1))&lt;=5,FALSE),NOT(MID(Metadata!E702,19,1)=""),IFERROR(INT(MID(Metadata!E702,18,2))&gt;=0,FALSE),IFERROR(INT(MID(Metadata!E702,18,2))&lt;=59,FALSE)), LEN(Metadata!E702)&lt;=19)))))))))))))</f>
        <v>0</v>
      </c>
      <c r="AS702" t="b">
        <f>IF(Metadata!F702="",FALSE,TRUE)</f>
        <v>0</v>
      </c>
      <c r="AT702" t="b">
        <f>OR(AND(IF(Metadata!G702="",FALSE,TRUE),OR(EXACT(Metadata!G702,"not collected"),EXACT(Metadata!G702,"not provided"))),AND(IF(Metadata!G702="",FALSE,TRUE),OR(EXACT(Metadata!G702,"TRUE"),EXACT(Metadata!G702,"FALSE"))))</f>
        <v>0</v>
      </c>
      <c r="AU702" t="b">
        <f>OR(AND(IF(Metadata!H702="",FALSE,TRUE),OR(EXACT(Metadata!H702,"not collected"),EXACT(Metadata!H702,"not provided"),EXACT(Metadata!H702,"restricted access"))),AND(IF(Metadata!H702="",FALSE,ISNUMBER(VALUE(Metadata!H702))),Metadata!H702&gt;=-413))</f>
        <v>0</v>
      </c>
      <c r="AV702" t="b">
        <f>AND(IF(Metadata!I702="",FALSE,TRUE),EXACT(Metadata!I702,"meters"))</f>
        <v>0</v>
      </c>
      <c r="AW702" t="b">
        <f>AND(IF(Metadata!J702="",FALSE,TRUE),EXACT(Metadata!J702,"free-living"))</f>
        <v>0</v>
      </c>
      <c r="AX702" t="b">
        <f>AND(IF(Metadata!K702="",FALSE,TRUE),OR(EXACT(Metadata!K702,"saline"),EXACT(Metadata!K702,"non-saline")))</f>
        <v>0</v>
      </c>
      <c r="AY702" t="b">
        <f>AND(IF(Metadata!L702="",FALSE,TRUE),OR(EXACT(Metadata!L702,"sub-surface (non-saline)"),EXACT(Metadata!L702,"surface (non-saline)"),EXACT(Metadata!L702,"water (non-saline)"),EXACT(Metadata!L702,"soil (non-saline)"),EXACT(Metadata!L702,"aerosol (non-saline)"),EXACT(Metadata!L702,"sediment (non-saline)"),EXACT(Metadata!L702,"surface (saline)"),EXACT(Metadata!L702,"water (saline)"),EXACT(Metadata!L702,"hypersaline (saline)"),EXACT(Metadata!L702,"aerosol (saline)"),EXACT(Metadata!L702,"sediment (saline)")))</f>
        <v>0</v>
      </c>
      <c r="AZ702" t="b">
        <f>IF(Metadata!M702="",FALSE,TRUE)</f>
        <v>0</v>
      </c>
      <c r="BA702" t="b">
        <f>IF(Metadata!N702="",FALSE,TRUE)</f>
        <v>0</v>
      </c>
      <c r="BB702" t="b">
        <f>IF(Metadata!O702="",FALSE,TRUE)</f>
        <v>0</v>
      </c>
      <c r="BC702" t="b">
        <f>AND(IF(Metadata!P702="",FALSE,TRUE),OR(EXACT(Metadata!P702,"air"),EXACT(Metadata!P702,"microbial mat/biofilm"),EXACT(Metadata!P702,"misc environment"),EXACT(Metadata!P702,"sediment"),EXACT(Metadata!P702,"soil"),EXACT(Metadata!P702,"wastewater/sludge"),EXACT(Metadata!P702,"water")))</f>
        <v>0</v>
      </c>
      <c r="BD702" t="b">
        <f>IF(Metadata!Q702="",FALSE,TRUE)</f>
        <v>0</v>
      </c>
      <c r="BE702" t="b">
        <f>IF(Metadata!R702="",FALSE,TRUE)</f>
        <v>0</v>
      </c>
      <c r="BF702" t="b">
        <f>OR(AND(IF(Metadata!S702="",FALSE,TRUE),OR(EXACT(Metadata!S702,"not collected"),EXACT(Metadata!S702,"not provided"),EXACT(Metadata!S702,"restricted access"))),AND(IF(Metadata!S702="",FALSE,ISNUMBER(VALUE(Metadata!S702))),Metadata!S702&gt;=-90,Metadata!S702&lt;=90))</f>
        <v>0</v>
      </c>
      <c r="BG702" t="b">
        <f>AND(IF(Metadata!T702="",FALSE,TRUE),EXACT(Metadata!T702,"Decimal degrees"))</f>
        <v>0</v>
      </c>
      <c r="BH702" t="b">
        <f>OR(AND(IF(Metadata!U702="",FALSE,TRUE),OR(EXACT(Metadata!U702,"not applicable"),EXACT(Metadata!U702,"not collected"))),IF(Metadata!U702="",FALSE,TRUE))</f>
        <v>0</v>
      </c>
      <c r="BI702" t="b">
        <f>OR(AND(IF(Metadata!V702="",FALSE,TRUE),OR(EXACT(Metadata!V702,"not collected"),EXACT(Metadata!V702,"not provided"),EXACT(Metadata!V702,"restricted access"))),AND(IF(Metadata!V702="",FALSE,ISNUMBER(VALUE(Metadata!V702))),Metadata!V702&gt;=-180,Metadata!V702&lt;=180))</f>
        <v>0</v>
      </c>
      <c r="BJ702" t="b">
        <f>AND(IF(Metadata!W702="",FALSE,TRUE),EXACT(Metadata!W702,"Decimal degrees"))</f>
        <v>0</v>
      </c>
      <c r="BK702" t="b">
        <f>IF(Metadata!X702="",FALSE,TRUE)</f>
        <v>0</v>
      </c>
      <c r="BL702" t="b">
        <f>OR(AND(IF(Metadata!Y702="",FALSE,TRUE),OR(EXACT(Metadata!Y702,"not collected"),EXACT(Metadata!Y702,"not provided"),EXACT(Metadata!Y702,"restricted access"))),AND(IF(Metadata!Y702="",FALSE,TRUE),OR(EXACT(Metadata!Y702,"TRUE"),EXACT(Metadata!Y702,"FALSE"))))</f>
        <v>0</v>
      </c>
      <c r="BM702" t="b">
        <f>OR(AND(IF(Metadata!Z702="",FALSE,TRUE),EXACT(Metadata!Z702,"not applicable")),AND(IF(Metadata!Z702="",FALSE,TRUE),OR(EXACT(Metadata!Z702,"beer"),EXACT(Metadata!Z702,"cheese"),EXACT(Metadata!Z702,"fresh water"),EXACT(Metadata!Z702,"marine sediment"),EXACT(Metadata!Z702,"sea water"),EXACT(Metadata!Z702,"sediment"),EXACT(Metadata!Z702,"soil"),EXACT(Metadata!Z702,"waste water"))))</f>
        <v>0</v>
      </c>
      <c r="BN702" t="b">
        <f>AND(IF(Metadata!AA702="",FALSE,TRUE),EXACT(Metadata!AA702,"metagenome"))</f>
        <v>0</v>
      </c>
      <c r="BO702" t="b">
        <f>AND(IF(Metadata!AB702="",FALSE,TRUE),EXACT(Metadata!AB702,"256318"))</f>
        <v>0</v>
      </c>
      <c r="BP702" t="b">
        <f>IF(Metadata!AC702="",FALSE,TRUE)</f>
        <v>0</v>
      </c>
      <c r="BQ702" t="b">
        <f>IF(Metadata!AD702="",FALSE,TRUE)</f>
        <v>0</v>
      </c>
    </row>
    <row r="703" spans="1:69" x14ac:dyDescent="0.2">
      <c r="A703" s="4" t="e">
        <f ca="1">IF(B703=" "," ",HYPERLINK(CONCATENATE("#metadata!",ADDRESS(INDEX($AJ$2:$AJ$1001,MATCH(ROWS($AH$2:AH703),$AH$2:$AH$1001,0),0),2)),INDEX($AM$2:$AM$1001,MATCH(ROWS($AH$2:AH703),$AH$2:$AH$1001,0),0)))</f>
        <v>#N/A</v>
      </c>
      <c r="B703" s="5" t="e">
        <f ca="1">IF(OR(INDEX($AI$2:$AI$1001,MATCH(ROWS($AH$2:AH703),$AH$2:$AH$1001,0),1)&gt;=100000,INDEX($AO$1005:$BQ$1005,1,MATCH(COLUMNS($AO$1006:AO1006),$AO$1006:$BQ$1006,0))&gt;=100000), " ",IF(INDEX($AO$2:$BQ$1001,MATCH(ROWS($AH$2:AH703),$AH$2:$AH$1001,0),MATCH(COLUMNS($AO$1006:AO1006),$AO$1006:$BQ$1006,0)), HYPERLINK("#",""), HYPERLINK(CONCATENATE("#Metadata!", ADDRESS(INDEX($AJ$2:$AJ$1001,MATCH(ROWS($AH$2:AH703),$AH$2:$AH$1001,0),0), INDEX($AO$1004:$BQ$1004,1,MATCH(COLUMNS($AO$1006:AO1006),$AO$1006:$BQ$1006,0)))),"Fix")))</f>
        <v>#N/A</v>
      </c>
      <c r="C703" s="5" t="e">
        <f ca="1">IF(OR(INDEX($AI$2:$AI$1001,MATCH(ROWS($AH$2:AH703),$AH$2:$AH$1001,0),1)&gt;=100000,INDEX($AO$1005:$BQ$1005,1,MATCH(COLUMNS($AO$1006:AP1006),$AO$1006:$BQ$1006,0))&gt;=100000), " ",IF(INDEX($AO$2:$BQ$1001,MATCH(ROWS($AH$2:AH703),$AH$2:$AH$1001,0),MATCH(COLUMNS($AO$1006:AP1006),$AO$1006:$BQ$1006,0)), HYPERLINK("#",""), HYPERLINK(CONCATENATE("#Metadata!", ADDRESS(INDEX($AJ$2:$AJ$1001,MATCH(ROWS($AH$2:AH703),$AH$2:$AH$1001,0),0), INDEX($AO$1004:$BQ$1004,1,MATCH(COLUMNS($AO$1006:AP1006),$AO$1006:$BQ$1006,0)))),"Fix")))</f>
        <v>#N/A</v>
      </c>
      <c r="D703" s="5" t="e">
        <f ca="1">IF(OR(INDEX($AI$2:$AI$1001,MATCH(ROWS($AH$2:AH703),$AH$2:$AH$1001,0),1)&gt;=100000,INDEX($AO$1005:$BQ$1005,1,MATCH(COLUMNS($AO$1006:AQ1006),$AO$1006:$BQ$1006,0))&gt;=100000), " ",IF(INDEX($AO$2:$BQ$1001,MATCH(ROWS($AH$2:AH703),$AH$2:$AH$1001,0),MATCH(COLUMNS($AO$1006:AQ1006),$AO$1006:$BQ$1006,0)), HYPERLINK("#",""), HYPERLINK(CONCATENATE("#Metadata!", ADDRESS(INDEX($AJ$2:$AJ$1001,MATCH(ROWS($AH$2:AH703),$AH$2:$AH$1001,0),0), INDEX($AO$1004:$BQ$1004,1,MATCH(COLUMNS($AO$1006:AQ1006),$AO$1006:$BQ$1006,0)))),"Fix")))</f>
        <v>#N/A</v>
      </c>
      <c r="E703" s="5" t="e">
        <f ca="1">IF(OR(INDEX($AI$2:$AI$1001,MATCH(ROWS($AH$2:AH703),$AH$2:$AH$1001,0),1)&gt;=100000,INDEX($AO$1005:$BQ$1005,1,MATCH(COLUMNS($AO$1006:AR1006),$AO$1006:$BQ$1006,0))&gt;=100000), " ",IF(INDEX($AO$2:$BQ$1001,MATCH(ROWS($AH$2:AH703),$AH$2:$AH$1001,0),MATCH(COLUMNS($AO$1006:AR1006),$AO$1006:$BQ$1006,0)), HYPERLINK("#",""), HYPERLINK(CONCATENATE("#Metadata!", ADDRESS(INDEX($AJ$2:$AJ$1001,MATCH(ROWS($AH$2:AH703),$AH$2:$AH$1001,0),0), INDEX($AO$1004:$BQ$1004,1,MATCH(COLUMNS($AO$1006:AR1006),$AO$1006:$BQ$1006,0)))),"Fix")))</f>
        <v>#N/A</v>
      </c>
      <c r="F703" s="5" t="e">
        <f ca="1">IF(OR(INDEX($AI$2:$AI$1001,MATCH(ROWS($AH$2:AH703),$AH$2:$AH$1001,0),1)&gt;=100000,INDEX($AO$1005:$BQ$1005,1,MATCH(COLUMNS($AO$1006:AS1006),$AO$1006:$BQ$1006,0))&gt;=100000), " ",IF(INDEX($AO$2:$BQ$1001,MATCH(ROWS($AH$2:AH703),$AH$2:$AH$1001,0),MATCH(COLUMNS($AO$1006:AS1006),$AO$1006:$BQ$1006,0)), HYPERLINK("#",""), HYPERLINK(CONCATENATE("#Metadata!", ADDRESS(INDEX($AJ$2:$AJ$1001,MATCH(ROWS($AH$2:AH703),$AH$2:$AH$1001,0),0), INDEX($AO$1004:$BQ$1004,1,MATCH(COLUMNS($AO$1006:AS1006),$AO$1006:$BQ$1006,0)))),"Fix")))</f>
        <v>#N/A</v>
      </c>
      <c r="G703" s="5" t="e">
        <f ca="1">IF(OR(INDEX($AI$2:$AI$1001,MATCH(ROWS($AH$2:AH703),$AH$2:$AH$1001,0),1)&gt;=100000,INDEX($AO$1005:$BQ$1005,1,MATCH(COLUMNS($AO$1006:AT1006),$AO$1006:$BQ$1006,0))&gt;=100000), " ",IF(INDEX($AO$2:$BQ$1001,MATCH(ROWS($AH$2:AH703),$AH$2:$AH$1001,0),MATCH(COLUMNS($AO$1006:AT1006),$AO$1006:$BQ$1006,0)), HYPERLINK("#",""), HYPERLINK(CONCATENATE("#Metadata!", ADDRESS(INDEX($AJ$2:$AJ$1001,MATCH(ROWS($AH$2:AH703),$AH$2:$AH$1001,0),0), INDEX($AO$1004:$BQ$1004,1,MATCH(COLUMNS($AO$1006:AT1006),$AO$1006:$BQ$1006,0)))),"Fix")))</f>
        <v>#N/A</v>
      </c>
      <c r="H703" s="5" t="e">
        <f ca="1">IF(OR(INDEX($AI$2:$AI$1001,MATCH(ROWS($AH$2:AH703),$AH$2:$AH$1001,0),1)&gt;=100000,INDEX($AO$1005:$BQ$1005,1,MATCH(COLUMNS($AO$1006:AU1006),$AO$1006:$BQ$1006,0))&gt;=100000), " ",IF(INDEX($AO$2:$BQ$1001,MATCH(ROWS($AH$2:AH703),$AH$2:$AH$1001,0),MATCH(COLUMNS($AO$1006:AU1006),$AO$1006:$BQ$1006,0)), HYPERLINK("#",""), HYPERLINK(CONCATENATE("#Metadata!", ADDRESS(INDEX($AJ$2:$AJ$1001,MATCH(ROWS($AH$2:AH703),$AH$2:$AH$1001,0),0), INDEX($AO$1004:$BQ$1004,1,MATCH(COLUMNS($AO$1006:AU1006),$AO$1006:$BQ$1006,0)))),"Fix")))</f>
        <v>#N/A</v>
      </c>
      <c r="I703" s="5" t="e">
        <f ca="1">IF(OR(INDEX($AI$2:$AI$1001,MATCH(ROWS($AH$2:AH703),$AH$2:$AH$1001,0),1)&gt;=100000,INDEX($AO$1005:$BQ$1005,1,MATCH(COLUMNS($AO$1006:AV1006),$AO$1006:$BQ$1006,0))&gt;=100000), " ",IF(INDEX($AO$2:$BQ$1001,MATCH(ROWS($AH$2:AH703),$AH$2:$AH$1001,0),MATCH(COLUMNS($AO$1006:AV1006),$AO$1006:$BQ$1006,0)), HYPERLINK("#",""), HYPERLINK(CONCATENATE("#Metadata!", ADDRESS(INDEX($AJ$2:$AJ$1001,MATCH(ROWS($AH$2:AH703),$AH$2:$AH$1001,0),0), INDEX($AO$1004:$BQ$1004,1,MATCH(COLUMNS($AO$1006:AV1006),$AO$1006:$BQ$1006,0)))),"Fix")))</f>
        <v>#N/A</v>
      </c>
      <c r="J703" s="5" t="e">
        <f ca="1">IF(OR(INDEX($AI$2:$AI$1001,MATCH(ROWS($AH$2:AH703),$AH$2:$AH$1001,0),1)&gt;=100000,INDEX($AO$1005:$BQ$1005,1,MATCH(COLUMNS($AO$1006:AW1006),$AO$1006:$BQ$1006,0))&gt;=100000), " ",IF(INDEX($AO$2:$BQ$1001,MATCH(ROWS($AH$2:AH703),$AH$2:$AH$1001,0),MATCH(COLUMNS($AO$1006:AW1006),$AO$1006:$BQ$1006,0)), HYPERLINK("#",""), HYPERLINK(CONCATENATE("#Metadata!", ADDRESS(INDEX($AJ$2:$AJ$1001,MATCH(ROWS($AH$2:AH703),$AH$2:$AH$1001,0),0), INDEX($AO$1004:$BQ$1004,1,MATCH(COLUMNS($AO$1006:AW1006),$AO$1006:$BQ$1006,0)))),"Fix")))</f>
        <v>#N/A</v>
      </c>
      <c r="K703" s="5" t="e">
        <f ca="1">IF(OR(INDEX($AI$2:$AI$1001,MATCH(ROWS($AH$2:AH703),$AH$2:$AH$1001,0),1)&gt;=100000,INDEX($AO$1005:$BQ$1005,1,MATCH(COLUMNS($AO$1006:AX1006),$AO$1006:$BQ$1006,0))&gt;=100000), " ",IF(INDEX($AO$2:$BQ$1001,MATCH(ROWS($AH$2:AH703),$AH$2:$AH$1001,0),MATCH(COLUMNS($AO$1006:AX1006),$AO$1006:$BQ$1006,0)), HYPERLINK("#",""), HYPERLINK(CONCATENATE("#Metadata!", ADDRESS(INDEX($AJ$2:$AJ$1001,MATCH(ROWS($AH$2:AH703),$AH$2:$AH$1001,0),0), INDEX($AO$1004:$BQ$1004,1,MATCH(COLUMNS($AO$1006:AX1006),$AO$1006:$BQ$1006,0)))),"Fix")))</f>
        <v>#N/A</v>
      </c>
      <c r="L703" s="5" t="e">
        <f ca="1">IF(OR(INDEX($AI$2:$AI$1001,MATCH(ROWS($AH$2:AH703),$AH$2:$AH$1001,0),1)&gt;=100000,INDEX($AO$1005:$BQ$1005,1,MATCH(COLUMNS($AO$1006:AY1006),$AO$1006:$BQ$1006,0))&gt;=100000), " ",IF(INDEX($AO$2:$BQ$1001,MATCH(ROWS($AH$2:AH703),$AH$2:$AH$1001,0),MATCH(COLUMNS($AO$1006:AY1006),$AO$1006:$BQ$1006,0)), HYPERLINK("#",""), HYPERLINK(CONCATENATE("#Metadata!", ADDRESS(INDEX($AJ$2:$AJ$1001,MATCH(ROWS($AH$2:AH703),$AH$2:$AH$1001,0),0), INDEX($AO$1004:$BQ$1004,1,MATCH(COLUMNS($AO$1006:AY1006),$AO$1006:$BQ$1006,0)))),"Fix")))</f>
        <v>#N/A</v>
      </c>
      <c r="M703" s="5" t="e">
        <f ca="1">IF(OR(INDEX($AI$2:$AI$1001,MATCH(ROWS($AH$2:AH703),$AH$2:$AH$1001,0),1)&gt;=100000,INDEX($AO$1005:$BQ$1005,1,MATCH(COLUMNS($AO$1006:AZ1006),$AO$1006:$BQ$1006,0))&gt;=100000), " ",IF(INDEX($AO$2:$BQ$1001,MATCH(ROWS($AH$2:AH703),$AH$2:$AH$1001,0),MATCH(COLUMNS($AO$1006:AZ1006),$AO$1006:$BQ$1006,0)), HYPERLINK("#",""), HYPERLINK(CONCATENATE("#Metadata!", ADDRESS(INDEX($AJ$2:$AJ$1001,MATCH(ROWS($AH$2:AH703),$AH$2:$AH$1001,0),0), INDEX($AO$1004:$BQ$1004,1,MATCH(COLUMNS($AO$1006:AZ1006),$AO$1006:$BQ$1006,0)))),"Fix")))</f>
        <v>#N/A</v>
      </c>
      <c r="N703" s="5" t="e">
        <f ca="1">IF(OR(INDEX($AI$2:$AI$1001,MATCH(ROWS($AH$2:AH703),$AH$2:$AH$1001,0),1)&gt;=100000,INDEX($AO$1005:$BQ$1005,1,MATCH(COLUMNS($AO$1006:BA1006),$AO$1006:$BQ$1006,0))&gt;=100000), " ",IF(INDEX($AO$2:$BQ$1001,MATCH(ROWS($AH$2:AH703),$AH$2:$AH$1001,0),MATCH(COLUMNS($AO$1006:BA1006),$AO$1006:$BQ$1006,0)), HYPERLINK("#",""), HYPERLINK(CONCATENATE("#Metadata!", ADDRESS(INDEX($AJ$2:$AJ$1001,MATCH(ROWS($AH$2:AH703),$AH$2:$AH$1001,0),0), INDEX($AO$1004:$BQ$1004,1,MATCH(COLUMNS($AO$1006:BA1006),$AO$1006:$BQ$1006,0)))),"Fix")))</f>
        <v>#N/A</v>
      </c>
      <c r="O703" s="5" t="e">
        <f ca="1">IF(OR(INDEX($AI$2:$AI$1001,MATCH(ROWS($AH$2:AH703),$AH$2:$AH$1001,0),1)&gt;=100000,INDEX($AO$1005:$BQ$1005,1,MATCH(COLUMNS($AO$1006:BB1006),$AO$1006:$BQ$1006,0))&gt;=100000), " ",IF(INDEX($AO$2:$BQ$1001,MATCH(ROWS($AH$2:AH703),$AH$2:$AH$1001,0),MATCH(COLUMNS($AO$1006:BB1006),$AO$1006:$BQ$1006,0)), HYPERLINK("#",""), HYPERLINK(CONCATENATE("#Metadata!", ADDRESS(INDEX($AJ$2:$AJ$1001,MATCH(ROWS($AH$2:AH703),$AH$2:$AH$1001,0),0), INDEX($AO$1004:$BQ$1004,1,MATCH(COLUMNS($AO$1006:BB1006),$AO$1006:$BQ$1006,0)))),"Fix")))</f>
        <v>#N/A</v>
      </c>
      <c r="P703" s="5" t="e">
        <f ca="1">IF(OR(INDEX($AI$2:$AI$1001,MATCH(ROWS($AH$2:AH703),$AH$2:$AH$1001,0),1)&gt;=100000,INDEX($AO$1005:$BQ$1005,1,MATCH(COLUMNS($AO$1006:BC1006),$AO$1006:$BQ$1006,0))&gt;=100000), " ",IF(INDEX($AO$2:$BQ$1001,MATCH(ROWS($AH$2:AH703),$AH$2:$AH$1001,0),MATCH(COLUMNS($AO$1006:BC1006),$AO$1006:$BQ$1006,0)), HYPERLINK("#",""), HYPERLINK(CONCATENATE("#Metadata!", ADDRESS(INDEX($AJ$2:$AJ$1001,MATCH(ROWS($AH$2:AH703),$AH$2:$AH$1001,0),0), INDEX($AO$1004:$BQ$1004,1,MATCH(COLUMNS($AO$1006:BC1006),$AO$1006:$BQ$1006,0)))),"Fix")))</f>
        <v>#N/A</v>
      </c>
      <c r="Q703" s="5" t="e">
        <f ca="1">IF(OR(INDEX($AI$2:$AI$1001,MATCH(ROWS($AH$2:AH703),$AH$2:$AH$1001,0),1)&gt;=100000,INDEX($AO$1005:$BQ$1005,1,MATCH(COLUMNS($AO$1006:BD1006),$AO$1006:$BQ$1006,0))&gt;=100000), " ",IF(INDEX($AO$2:$BQ$1001,MATCH(ROWS($AH$2:AH703),$AH$2:$AH$1001,0),MATCH(COLUMNS($AO$1006:BD1006),$AO$1006:$BQ$1006,0)), HYPERLINK("#",""), HYPERLINK(CONCATENATE("#Metadata!", ADDRESS(INDEX($AJ$2:$AJ$1001,MATCH(ROWS($AH$2:AH703),$AH$2:$AH$1001,0),0), INDEX($AO$1004:$BQ$1004,1,MATCH(COLUMNS($AO$1006:BD1006),$AO$1006:$BQ$1006,0)))),"Fix")))</f>
        <v>#N/A</v>
      </c>
      <c r="R703" s="5" t="e">
        <f ca="1">IF(OR(INDEX($AI$2:$AI$1001,MATCH(ROWS($AH$2:AH703),$AH$2:$AH$1001,0),1)&gt;=100000,INDEX($AO$1005:$BQ$1005,1,MATCH(COLUMNS($AO$1006:BE1006),$AO$1006:$BQ$1006,0))&gt;=100000), " ",IF(INDEX($AO$2:$BQ$1001,MATCH(ROWS($AH$2:AH703),$AH$2:$AH$1001,0),MATCH(COLUMNS($AO$1006:BE1006),$AO$1006:$BQ$1006,0)), HYPERLINK("#",""), HYPERLINK(CONCATENATE("#Metadata!", ADDRESS(INDEX($AJ$2:$AJ$1001,MATCH(ROWS($AH$2:AH703),$AH$2:$AH$1001,0),0), INDEX($AO$1004:$BQ$1004,1,MATCH(COLUMNS($AO$1006:BE1006),$AO$1006:$BQ$1006,0)))),"Fix")))</f>
        <v>#N/A</v>
      </c>
      <c r="S703" s="5" t="e">
        <f ca="1">IF(OR(INDEX($AI$2:$AI$1001,MATCH(ROWS($AH$2:AH703),$AH$2:$AH$1001,0),1)&gt;=100000,INDEX($AO$1005:$BQ$1005,1,MATCH(COLUMNS($AO$1006:BF1006),$AO$1006:$BQ$1006,0))&gt;=100000), " ",IF(INDEX($AO$2:$BQ$1001,MATCH(ROWS($AH$2:AH703),$AH$2:$AH$1001,0),MATCH(COLUMNS($AO$1006:BF1006),$AO$1006:$BQ$1006,0)), HYPERLINK("#",""), HYPERLINK(CONCATENATE("#Metadata!", ADDRESS(INDEX($AJ$2:$AJ$1001,MATCH(ROWS($AH$2:AH703),$AH$2:$AH$1001,0),0), INDEX($AO$1004:$BQ$1004,1,MATCH(COLUMNS($AO$1006:BF1006),$AO$1006:$BQ$1006,0)))),"Fix")))</f>
        <v>#N/A</v>
      </c>
      <c r="T703" s="5" t="e">
        <f ca="1">IF(OR(INDEX($AI$2:$AI$1001,MATCH(ROWS($AH$2:AH703),$AH$2:$AH$1001,0),1)&gt;=100000,INDEX($AO$1005:$BQ$1005,1,MATCH(COLUMNS($AO$1006:BG1006),$AO$1006:$BQ$1006,0))&gt;=100000), " ",IF(INDEX($AO$2:$BQ$1001,MATCH(ROWS($AH$2:AH703),$AH$2:$AH$1001,0),MATCH(COLUMNS($AO$1006:BG1006),$AO$1006:$BQ$1006,0)), HYPERLINK("#",""), HYPERLINK(CONCATENATE("#Metadata!", ADDRESS(INDEX($AJ$2:$AJ$1001,MATCH(ROWS($AH$2:AH703),$AH$2:$AH$1001,0),0), INDEX($AO$1004:$BQ$1004,1,MATCH(COLUMNS($AO$1006:BG1006),$AO$1006:$BQ$1006,0)))),"Fix")))</f>
        <v>#N/A</v>
      </c>
      <c r="U703" s="5" t="e">
        <f ca="1">IF(OR(INDEX($AI$2:$AI$1001,MATCH(ROWS($AH$2:AH703),$AH$2:$AH$1001,0),1)&gt;=100000,INDEX($AO$1005:$BQ$1005,1,MATCH(COLUMNS($AO$1006:BH1006),$AO$1006:$BQ$1006,0))&gt;=100000), " ",IF(INDEX($AO$2:$BQ$1001,MATCH(ROWS($AH$2:AH703),$AH$2:$AH$1001,0),MATCH(COLUMNS($AO$1006:BH1006),$AO$1006:$BQ$1006,0)), HYPERLINK("#",""), HYPERLINK(CONCATENATE("#Metadata!", ADDRESS(INDEX($AJ$2:$AJ$1001,MATCH(ROWS($AH$2:AH703),$AH$2:$AH$1001,0),0), INDEX($AO$1004:$BQ$1004,1,MATCH(COLUMNS($AO$1006:BH1006),$AO$1006:$BQ$1006,0)))),"Fix")))</f>
        <v>#N/A</v>
      </c>
      <c r="V703" s="5" t="e">
        <f ca="1">IF(OR(INDEX($AI$2:$AI$1001,MATCH(ROWS($AH$2:AH703),$AH$2:$AH$1001,0),1)&gt;=100000,INDEX($AO$1005:$BQ$1005,1,MATCH(COLUMNS($AO$1006:BI1006),$AO$1006:$BQ$1006,0))&gt;=100000), " ",IF(INDEX($AO$2:$BQ$1001,MATCH(ROWS($AH$2:AH703),$AH$2:$AH$1001,0),MATCH(COLUMNS($AO$1006:BI1006),$AO$1006:$BQ$1006,0)), HYPERLINK("#",""), HYPERLINK(CONCATENATE("#Metadata!", ADDRESS(INDEX($AJ$2:$AJ$1001,MATCH(ROWS($AH$2:AH703),$AH$2:$AH$1001,0),0), INDEX($AO$1004:$BQ$1004,1,MATCH(COLUMNS($AO$1006:BI1006),$AO$1006:$BQ$1006,0)))),"Fix")))</f>
        <v>#N/A</v>
      </c>
      <c r="W703" s="5" t="e">
        <f ca="1">IF(OR(INDEX($AI$2:$AI$1001,MATCH(ROWS($AH$2:AH703),$AH$2:$AH$1001,0),1)&gt;=100000,INDEX($AO$1005:$BQ$1005,1,MATCH(COLUMNS($AO$1006:BJ1006),$AO$1006:$BQ$1006,0))&gt;=100000), " ",IF(INDEX($AO$2:$BQ$1001,MATCH(ROWS($AH$2:AH703),$AH$2:$AH$1001,0),MATCH(COLUMNS($AO$1006:BJ1006),$AO$1006:$BQ$1006,0)), HYPERLINK("#",""), HYPERLINK(CONCATENATE("#Metadata!", ADDRESS(INDEX($AJ$2:$AJ$1001,MATCH(ROWS($AH$2:AH703),$AH$2:$AH$1001,0),0), INDEX($AO$1004:$BQ$1004,1,MATCH(COLUMNS($AO$1006:BJ1006),$AO$1006:$BQ$1006,0)))),"Fix")))</f>
        <v>#N/A</v>
      </c>
      <c r="X703" s="5" t="e">
        <f ca="1">IF(OR(INDEX($AI$2:$AI$1001,MATCH(ROWS($AH$2:AH703),$AH$2:$AH$1001,0),1)&gt;=100000,INDEX($AO$1005:$BQ$1005,1,MATCH(COLUMNS($AO$1006:BK1006),$AO$1006:$BQ$1006,0))&gt;=100000), " ",IF(INDEX($AO$2:$BQ$1001,MATCH(ROWS($AH$2:AH703),$AH$2:$AH$1001,0),MATCH(COLUMNS($AO$1006:BK1006),$AO$1006:$BQ$1006,0)), HYPERLINK("#",""), HYPERLINK(CONCATENATE("#Metadata!", ADDRESS(INDEX($AJ$2:$AJ$1001,MATCH(ROWS($AH$2:AH703),$AH$2:$AH$1001,0),0), INDEX($AO$1004:$BQ$1004,1,MATCH(COLUMNS($AO$1006:BK1006),$AO$1006:$BQ$1006,0)))),"Fix")))</f>
        <v>#N/A</v>
      </c>
      <c r="Y703" s="5" t="e">
        <f ca="1">IF(OR(INDEX($AI$2:$AI$1001,MATCH(ROWS($AH$2:AH703),$AH$2:$AH$1001,0),1)&gt;=100000,INDEX($AO$1005:$BQ$1005,1,MATCH(COLUMNS($AO$1006:BL1006),$AO$1006:$BQ$1006,0))&gt;=100000), " ",IF(INDEX($AO$2:$BQ$1001,MATCH(ROWS($AH$2:AH703),$AH$2:$AH$1001,0),MATCH(COLUMNS($AO$1006:BL1006),$AO$1006:$BQ$1006,0)), HYPERLINK("#",""), HYPERLINK(CONCATENATE("#Metadata!", ADDRESS(INDEX($AJ$2:$AJ$1001,MATCH(ROWS($AH$2:AH703),$AH$2:$AH$1001,0),0), INDEX($AO$1004:$BQ$1004,1,MATCH(COLUMNS($AO$1006:BL1006),$AO$1006:$BQ$1006,0)))),"Fix")))</f>
        <v>#N/A</v>
      </c>
      <c r="Z703" s="5" t="e">
        <f ca="1">IF(OR(INDEX($AI$2:$AI$1001,MATCH(ROWS($AH$2:AH703),$AH$2:$AH$1001,0),1)&gt;=100000,INDEX($AO$1005:$BQ$1005,1,MATCH(COLUMNS($AO$1006:BM1006),$AO$1006:$BQ$1006,0))&gt;=100000), " ",IF(INDEX($AO$2:$BQ$1001,MATCH(ROWS($AH$2:AH703),$AH$2:$AH$1001,0),MATCH(COLUMNS($AO$1006:BM1006),$AO$1006:$BQ$1006,0)), HYPERLINK("#",""), HYPERLINK(CONCATENATE("#Metadata!", ADDRESS(INDEX($AJ$2:$AJ$1001,MATCH(ROWS($AH$2:AH703),$AH$2:$AH$1001,0),0), INDEX($AO$1004:$BQ$1004,1,MATCH(COLUMNS($AO$1006:BM1006),$AO$1006:$BQ$1006,0)))),"Fix")))</f>
        <v>#N/A</v>
      </c>
      <c r="AA703" s="5" t="e">
        <f ca="1">IF(OR(INDEX($AI$2:$AI$1001,MATCH(ROWS($AH$2:AH703),$AH$2:$AH$1001,0),1)&gt;=100000,INDEX($AO$1005:$BQ$1005,1,MATCH(COLUMNS($AO$1006:BN1006),$AO$1006:$BQ$1006,0))&gt;=100000), " ",IF(INDEX($AO$2:$BQ$1001,MATCH(ROWS($AH$2:AH703),$AH$2:$AH$1001,0),MATCH(COLUMNS($AO$1006:BN1006),$AO$1006:$BQ$1006,0)), HYPERLINK("#",""), HYPERLINK(CONCATENATE("#Metadata!", ADDRESS(INDEX($AJ$2:$AJ$1001,MATCH(ROWS($AH$2:AH703),$AH$2:$AH$1001,0),0), INDEX($AO$1004:$BQ$1004,1,MATCH(COLUMNS($AO$1006:BN1006),$AO$1006:$BQ$1006,0)))),"Fix")))</f>
        <v>#N/A</v>
      </c>
      <c r="AB703" s="5" t="e">
        <f ca="1">IF(OR(INDEX($AI$2:$AI$1001,MATCH(ROWS($AH$2:AH703),$AH$2:$AH$1001,0),1)&gt;=100000,INDEX($AO$1005:$BQ$1005,1,MATCH(COLUMNS($AO$1006:BO1006),$AO$1006:$BQ$1006,0))&gt;=100000), " ",IF(INDEX($AO$2:$BQ$1001,MATCH(ROWS($AH$2:AH703),$AH$2:$AH$1001,0),MATCH(COLUMNS($AO$1006:BO1006),$AO$1006:$BQ$1006,0)), HYPERLINK("#",""), HYPERLINK(CONCATENATE("#Metadata!", ADDRESS(INDEX($AJ$2:$AJ$1001,MATCH(ROWS($AH$2:AH703),$AH$2:$AH$1001,0),0), INDEX($AO$1004:$BQ$1004,1,MATCH(COLUMNS($AO$1006:BO1006),$AO$1006:$BQ$1006,0)))),"Fix")))</f>
        <v>#N/A</v>
      </c>
      <c r="AC703" s="5" t="e">
        <f ca="1">IF(OR(INDEX($AI$2:$AI$1001,MATCH(ROWS($AH$2:AH703),$AH$2:$AH$1001,0),1)&gt;=100000,INDEX($AO$1005:$BQ$1005,1,MATCH(COLUMNS($AO$1006:BP1006),$AO$1006:$BQ$1006,0))&gt;=100000), " ",IF(INDEX($AO$2:$BQ$1001,MATCH(ROWS($AH$2:AH703),$AH$2:$AH$1001,0),MATCH(COLUMNS($AO$1006:BP1006),$AO$1006:$BQ$1006,0)), HYPERLINK("#",""), HYPERLINK(CONCATENATE("#Metadata!", ADDRESS(INDEX($AJ$2:$AJ$1001,MATCH(ROWS($AH$2:AH703),$AH$2:$AH$1001,0),0), INDEX($AO$1004:$BQ$1004,1,MATCH(COLUMNS($AO$1006:BP1006),$AO$1006:$BQ$1006,0)))),"Fix")))</f>
        <v>#N/A</v>
      </c>
      <c r="AD703" s="5" t="e">
        <f ca="1">IF(OR(INDEX($AI$2:$AI$1001,MATCH(ROWS($AH$2:AH703),$AH$2:$AH$1001,0),1)&gt;=100000,INDEX($AO$1005:$BQ$1005,1,MATCH(COLUMNS($AO$1006:BQ1006),$AO$1006:$BQ$1006,0))&gt;=100000), " ",IF(INDEX($AO$2:$BQ$1001,MATCH(ROWS($AH$2:AH703),$AH$2:$AH$1001,0),MATCH(COLUMNS($AO$1006:BQ1006),$AO$1006:$BQ$1006,0)), HYPERLINK("#",""), HYPERLINK(CONCATENATE("#Metadata!", ADDRESS(INDEX($AJ$2:$AJ$1001,MATCH(ROWS($AH$2:AH703),$AH$2:$AH$1001,0),0), INDEX($AO$1004:$BQ$1004,1,MATCH(COLUMNS($AO$1006:BQ1006),$AO$1006:$BQ$1006,0)))),"Fix")))</f>
        <v>#REF!</v>
      </c>
      <c r="AH703">
        <f ca="1"/>
        <v>700</v>
      </c>
      <c r="AI703">
        <v>100703</v>
      </c>
      <c r="AJ703">
        <v>703</v>
      </c>
      <c r="AK703" t="b">
        <f t="shared" si="10"/>
        <v>1</v>
      </c>
      <c r="AL703" t="b">
        <f>COUNTBLANK(Metadata!B703:AD703)=COLUMNS(Metadata!B703:AD703)</f>
        <v>1</v>
      </c>
      <c r="AM703" t="str">
        <v/>
      </c>
      <c r="AO703" t="b">
        <f ca="1">AND(IF(Metadata!B703="",FALSE,TRUE),COUNTIF(Metadata!B:B, Metadata!B703) = 1,NOT(ISERROR(SUMPRODUCT(SEARCH(MID(Metadata!B703,ROW(INDIRECT("1:"&amp;LEN(Metadata!B703))), 1),"0123456789abcdefghijklmnopqrstuvwxyzABCDEFGHIJKLMNOPQRSTUVWXYZ.")))))</f>
        <v>0</v>
      </c>
      <c r="AP703" t="b">
        <f>IF(Metadata!C703="",FALSE,TRUE)</f>
        <v>0</v>
      </c>
      <c r="AQ703" t="b">
        <f>IF(Metadata!D703="",FALSE,TRUE)</f>
        <v>0</v>
      </c>
      <c r="AR703" t="b">
        <f ca="1">OR(AND(IF(Metadata!E703="",FALSE,TRUE),OR(EXACT(Metadata!E703,"not collected"),EXACT(Metadata!E703,"not provided"),EXACT(Metadata!E703,"restricted access"))),AND(IF(Metadata!E703="",FALSE,TRUE),AND(AND(IFERROR(INT(LEFT(Metadata!E703,4))&gt;1900,FALSE),IFERROR(INT(LEFT(Metadata!E703,4))&lt;=YEAR(NOW()),FALSE)), OR(MID(Metadata!E703,5,1)="", AND(AND(MID(Metadata!E703,5,1)="-",IFERROR(INT(MID(Metadata!E703,6,1))&gt;=0,FALSE),IFERROR(INT(MID(Metadata!E703,6,1))&lt;=1,FALSE),NOT(MID(Metadata!E703,7,1)=""),IFERROR(INT(MID(Metadata!E703,6,2))&gt;=1,FALSE),IFERROR(INT(MID(Metadata!E703,6,2))&lt;=12,FALSE)), OR(MID(Metadata!E703,8,1)="", AND(AND(MID(Metadata!E703,8,1)="-",IFERROR(INT(MID(Metadata!E703,9,1))&gt;=0,FALSE),IFERROR(INT(MID(Metadata!E703,9,1))&lt;=3,FALSE),NOT(MID(Metadata!E703,10,1)=""),IFERROR(INT(MID(Metadata!E703,9,2))&gt;=1,FALSE),IFERROR(INT(MID(Metadata!E703,9,2))&lt;=31,FALSE)), OR(MID(Metadata!E703,11,1)="", AND(AND(MID(Metadata!E703,11,1)=" ",IFERROR(INT(MID(Metadata!E703,12,1))&gt;=0,FALSE),IFERROR(INT(MID(Metadata!E703,12,1))&lt;=2,FALSE),NOT(MID(Metadata!E703,13,1)=""),IFERROR(INT(MID(Metadata!E703,12,2))&gt;=0,FALSE),IFERROR(INT(MID(Metadata!E703,12,2))&lt;=23,FALSE)), OR(MID(Metadata!E703,14,1)="", AND(AND(MID(Metadata!E703,14,1)=":",IFERROR(INT(MID(Metadata!E703,15,1))&gt;=0,FALSE),IFERROR(INT(MID(Metadata!E703,15,1))&lt;=5,FALSE),NOT(MID(Metadata!E703,16,1)=""),IFERROR(INT(MID(Metadata!E703,15,2))&gt;=0,FALSE),IFERROR(INT(MID(Metadata!E703,15,2))&lt;=59,FALSE)), OR(MID(Metadata!E703,17,1)="", AND(AND(MID(Metadata!E703,17,1)=":",IFERROR(INT(MID(Metadata!E703,18,1))&gt;=0,FALSE),IFERROR(INT(MID(Metadata!E703,18,1))&lt;=5,FALSE),NOT(MID(Metadata!E703,19,1)=""),IFERROR(INT(MID(Metadata!E703,18,2))&gt;=0,FALSE),IFERROR(INT(MID(Metadata!E703,18,2))&lt;=59,FALSE)), LEN(Metadata!E703)&lt;=19)))))))))))))</f>
        <v>0</v>
      </c>
      <c r="AS703" t="b">
        <f>IF(Metadata!F703="",FALSE,TRUE)</f>
        <v>0</v>
      </c>
      <c r="AT703" t="b">
        <f>OR(AND(IF(Metadata!G703="",FALSE,TRUE),OR(EXACT(Metadata!G703,"not collected"),EXACT(Metadata!G703,"not provided"))),AND(IF(Metadata!G703="",FALSE,TRUE),OR(EXACT(Metadata!G703,"TRUE"),EXACT(Metadata!G703,"FALSE"))))</f>
        <v>0</v>
      </c>
      <c r="AU703" t="b">
        <f>OR(AND(IF(Metadata!H703="",FALSE,TRUE),OR(EXACT(Metadata!H703,"not collected"),EXACT(Metadata!H703,"not provided"),EXACT(Metadata!H703,"restricted access"))),AND(IF(Metadata!H703="",FALSE,ISNUMBER(VALUE(Metadata!H703))),Metadata!H703&gt;=-413))</f>
        <v>0</v>
      </c>
      <c r="AV703" t="b">
        <f>AND(IF(Metadata!I703="",FALSE,TRUE),EXACT(Metadata!I703,"meters"))</f>
        <v>0</v>
      </c>
      <c r="AW703" t="b">
        <f>AND(IF(Metadata!J703="",FALSE,TRUE),EXACT(Metadata!J703,"free-living"))</f>
        <v>0</v>
      </c>
      <c r="AX703" t="b">
        <f>AND(IF(Metadata!K703="",FALSE,TRUE),OR(EXACT(Metadata!K703,"saline"),EXACT(Metadata!K703,"non-saline")))</f>
        <v>0</v>
      </c>
      <c r="AY703" t="b">
        <f>AND(IF(Metadata!L703="",FALSE,TRUE),OR(EXACT(Metadata!L703,"sub-surface (non-saline)"),EXACT(Metadata!L703,"surface (non-saline)"),EXACT(Metadata!L703,"water (non-saline)"),EXACT(Metadata!L703,"soil (non-saline)"),EXACT(Metadata!L703,"aerosol (non-saline)"),EXACT(Metadata!L703,"sediment (non-saline)"),EXACT(Metadata!L703,"surface (saline)"),EXACT(Metadata!L703,"water (saline)"),EXACT(Metadata!L703,"hypersaline (saline)"),EXACT(Metadata!L703,"aerosol (saline)"),EXACT(Metadata!L703,"sediment (saline)")))</f>
        <v>0</v>
      </c>
      <c r="AZ703" t="b">
        <f>IF(Metadata!M703="",FALSE,TRUE)</f>
        <v>0</v>
      </c>
      <c r="BA703" t="b">
        <f>IF(Metadata!N703="",FALSE,TRUE)</f>
        <v>0</v>
      </c>
      <c r="BB703" t="b">
        <f>IF(Metadata!O703="",FALSE,TRUE)</f>
        <v>0</v>
      </c>
      <c r="BC703" t="b">
        <f>AND(IF(Metadata!P703="",FALSE,TRUE),OR(EXACT(Metadata!P703,"air"),EXACT(Metadata!P703,"microbial mat/biofilm"),EXACT(Metadata!P703,"misc environment"),EXACT(Metadata!P703,"sediment"),EXACT(Metadata!P703,"soil"),EXACT(Metadata!P703,"wastewater/sludge"),EXACT(Metadata!P703,"water")))</f>
        <v>0</v>
      </c>
      <c r="BD703" t="b">
        <f>IF(Metadata!Q703="",FALSE,TRUE)</f>
        <v>0</v>
      </c>
      <c r="BE703" t="b">
        <f>IF(Metadata!R703="",FALSE,TRUE)</f>
        <v>0</v>
      </c>
      <c r="BF703" t="b">
        <f>OR(AND(IF(Metadata!S703="",FALSE,TRUE),OR(EXACT(Metadata!S703,"not collected"),EXACT(Metadata!S703,"not provided"),EXACT(Metadata!S703,"restricted access"))),AND(IF(Metadata!S703="",FALSE,ISNUMBER(VALUE(Metadata!S703))),Metadata!S703&gt;=-90,Metadata!S703&lt;=90))</f>
        <v>0</v>
      </c>
      <c r="BG703" t="b">
        <f>AND(IF(Metadata!T703="",FALSE,TRUE),EXACT(Metadata!T703,"Decimal degrees"))</f>
        <v>0</v>
      </c>
      <c r="BH703" t="b">
        <f>OR(AND(IF(Metadata!U703="",FALSE,TRUE),OR(EXACT(Metadata!U703,"not applicable"),EXACT(Metadata!U703,"not collected"))),IF(Metadata!U703="",FALSE,TRUE))</f>
        <v>0</v>
      </c>
      <c r="BI703" t="b">
        <f>OR(AND(IF(Metadata!V703="",FALSE,TRUE),OR(EXACT(Metadata!V703,"not collected"),EXACT(Metadata!V703,"not provided"),EXACT(Metadata!V703,"restricted access"))),AND(IF(Metadata!V703="",FALSE,ISNUMBER(VALUE(Metadata!V703))),Metadata!V703&gt;=-180,Metadata!V703&lt;=180))</f>
        <v>0</v>
      </c>
      <c r="BJ703" t="b">
        <f>AND(IF(Metadata!W703="",FALSE,TRUE),EXACT(Metadata!W703,"Decimal degrees"))</f>
        <v>0</v>
      </c>
      <c r="BK703" t="b">
        <f>IF(Metadata!X703="",FALSE,TRUE)</f>
        <v>0</v>
      </c>
      <c r="BL703" t="b">
        <f>OR(AND(IF(Metadata!Y703="",FALSE,TRUE),OR(EXACT(Metadata!Y703,"not collected"),EXACT(Metadata!Y703,"not provided"),EXACT(Metadata!Y703,"restricted access"))),AND(IF(Metadata!Y703="",FALSE,TRUE),OR(EXACT(Metadata!Y703,"TRUE"),EXACT(Metadata!Y703,"FALSE"))))</f>
        <v>0</v>
      </c>
      <c r="BM703" t="b">
        <f>OR(AND(IF(Metadata!Z703="",FALSE,TRUE),EXACT(Metadata!Z703,"not applicable")),AND(IF(Metadata!Z703="",FALSE,TRUE),OR(EXACT(Metadata!Z703,"beer"),EXACT(Metadata!Z703,"cheese"),EXACT(Metadata!Z703,"fresh water"),EXACT(Metadata!Z703,"marine sediment"),EXACT(Metadata!Z703,"sea water"),EXACT(Metadata!Z703,"sediment"),EXACT(Metadata!Z703,"soil"),EXACT(Metadata!Z703,"waste water"))))</f>
        <v>0</v>
      </c>
      <c r="BN703" t="b">
        <f>AND(IF(Metadata!AA703="",FALSE,TRUE),EXACT(Metadata!AA703,"metagenome"))</f>
        <v>0</v>
      </c>
      <c r="BO703" t="b">
        <f>AND(IF(Metadata!AB703="",FALSE,TRUE),EXACT(Metadata!AB703,"256318"))</f>
        <v>0</v>
      </c>
      <c r="BP703" t="b">
        <f>IF(Metadata!AC703="",FALSE,TRUE)</f>
        <v>0</v>
      </c>
      <c r="BQ703" t="b">
        <f>IF(Metadata!AD703="",FALSE,TRUE)</f>
        <v>0</v>
      </c>
    </row>
    <row r="704" spans="1:69" x14ac:dyDescent="0.2">
      <c r="A704" s="4" t="e">
        <f ca="1">IF(B704=" "," ",HYPERLINK(CONCATENATE("#metadata!",ADDRESS(INDEX($AJ$2:$AJ$1001,MATCH(ROWS($AH$2:AH704),$AH$2:$AH$1001,0),0),2)),INDEX($AM$2:$AM$1001,MATCH(ROWS($AH$2:AH704),$AH$2:$AH$1001,0),0)))</f>
        <v>#N/A</v>
      </c>
      <c r="B704" s="5" t="e">
        <f ca="1">IF(OR(INDEX($AI$2:$AI$1001,MATCH(ROWS($AH$2:AH704),$AH$2:$AH$1001,0),1)&gt;=100000,INDEX($AO$1005:$BQ$1005,1,MATCH(COLUMNS($AO$1006:AO1006),$AO$1006:$BQ$1006,0))&gt;=100000), " ",IF(INDEX($AO$2:$BQ$1001,MATCH(ROWS($AH$2:AH704),$AH$2:$AH$1001,0),MATCH(COLUMNS($AO$1006:AO1006),$AO$1006:$BQ$1006,0)), HYPERLINK("#",""), HYPERLINK(CONCATENATE("#Metadata!", ADDRESS(INDEX($AJ$2:$AJ$1001,MATCH(ROWS($AH$2:AH704),$AH$2:$AH$1001,0),0), INDEX($AO$1004:$BQ$1004,1,MATCH(COLUMNS($AO$1006:AO1006),$AO$1006:$BQ$1006,0)))),"Fix")))</f>
        <v>#N/A</v>
      </c>
      <c r="C704" s="5" t="e">
        <f ca="1">IF(OR(INDEX($AI$2:$AI$1001,MATCH(ROWS($AH$2:AH704),$AH$2:$AH$1001,0),1)&gt;=100000,INDEX($AO$1005:$BQ$1005,1,MATCH(COLUMNS($AO$1006:AP1006),$AO$1006:$BQ$1006,0))&gt;=100000), " ",IF(INDEX($AO$2:$BQ$1001,MATCH(ROWS($AH$2:AH704),$AH$2:$AH$1001,0),MATCH(COLUMNS($AO$1006:AP1006),$AO$1006:$BQ$1006,0)), HYPERLINK("#",""), HYPERLINK(CONCATENATE("#Metadata!", ADDRESS(INDEX($AJ$2:$AJ$1001,MATCH(ROWS($AH$2:AH704),$AH$2:$AH$1001,0),0), INDEX($AO$1004:$BQ$1004,1,MATCH(COLUMNS($AO$1006:AP1006),$AO$1006:$BQ$1006,0)))),"Fix")))</f>
        <v>#N/A</v>
      </c>
      <c r="D704" s="5" t="e">
        <f ca="1">IF(OR(INDEX($AI$2:$AI$1001,MATCH(ROWS($AH$2:AH704),$AH$2:$AH$1001,0),1)&gt;=100000,INDEX($AO$1005:$BQ$1005,1,MATCH(COLUMNS($AO$1006:AQ1006),$AO$1006:$BQ$1006,0))&gt;=100000), " ",IF(INDEX($AO$2:$BQ$1001,MATCH(ROWS($AH$2:AH704),$AH$2:$AH$1001,0),MATCH(COLUMNS($AO$1006:AQ1006),$AO$1006:$BQ$1006,0)), HYPERLINK("#",""), HYPERLINK(CONCATENATE("#Metadata!", ADDRESS(INDEX($AJ$2:$AJ$1001,MATCH(ROWS($AH$2:AH704),$AH$2:$AH$1001,0),0), INDEX($AO$1004:$BQ$1004,1,MATCH(COLUMNS($AO$1006:AQ1006),$AO$1006:$BQ$1006,0)))),"Fix")))</f>
        <v>#N/A</v>
      </c>
      <c r="E704" s="5" t="e">
        <f ca="1">IF(OR(INDEX($AI$2:$AI$1001,MATCH(ROWS($AH$2:AH704),$AH$2:$AH$1001,0),1)&gt;=100000,INDEX($AO$1005:$BQ$1005,1,MATCH(COLUMNS($AO$1006:AR1006),$AO$1006:$BQ$1006,0))&gt;=100000), " ",IF(INDEX($AO$2:$BQ$1001,MATCH(ROWS($AH$2:AH704),$AH$2:$AH$1001,0),MATCH(COLUMNS($AO$1006:AR1006),$AO$1006:$BQ$1006,0)), HYPERLINK("#",""), HYPERLINK(CONCATENATE("#Metadata!", ADDRESS(INDEX($AJ$2:$AJ$1001,MATCH(ROWS($AH$2:AH704),$AH$2:$AH$1001,0),0), INDEX($AO$1004:$BQ$1004,1,MATCH(COLUMNS($AO$1006:AR1006),$AO$1006:$BQ$1006,0)))),"Fix")))</f>
        <v>#N/A</v>
      </c>
      <c r="F704" s="5" t="e">
        <f ca="1">IF(OR(INDEX($AI$2:$AI$1001,MATCH(ROWS($AH$2:AH704),$AH$2:$AH$1001,0),1)&gt;=100000,INDEX($AO$1005:$BQ$1005,1,MATCH(COLUMNS($AO$1006:AS1006),$AO$1006:$BQ$1006,0))&gt;=100000), " ",IF(INDEX($AO$2:$BQ$1001,MATCH(ROWS($AH$2:AH704),$AH$2:$AH$1001,0),MATCH(COLUMNS($AO$1006:AS1006),$AO$1006:$BQ$1006,0)), HYPERLINK("#",""), HYPERLINK(CONCATENATE("#Metadata!", ADDRESS(INDEX($AJ$2:$AJ$1001,MATCH(ROWS($AH$2:AH704),$AH$2:$AH$1001,0),0), INDEX($AO$1004:$BQ$1004,1,MATCH(COLUMNS($AO$1006:AS1006),$AO$1006:$BQ$1006,0)))),"Fix")))</f>
        <v>#N/A</v>
      </c>
      <c r="G704" s="5" t="e">
        <f ca="1">IF(OR(INDEX($AI$2:$AI$1001,MATCH(ROWS($AH$2:AH704),$AH$2:$AH$1001,0),1)&gt;=100000,INDEX($AO$1005:$BQ$1005,1,MATCH(COLUMNS($AO$1006:AT1006),$AO$1006:$BQ$1006,0))&gt;=100000), " ",IF(INDEX($AO$2:$BQ$1001,MATCH(ROWS($AH$2:AH704),$AH$2:$AH$1001,0),MATCH(COLUMNS($AO$1006:AT1006),$AO$1006:$BQ$1006,0)), HYPERLINK("#",""), HYPERLINK(CONCATENATE("#Metadata!", ADDRESS(INDEX($AJ$2:$AJ$1001,MATCH(ROWS($AH$2:AH704),$AH$2:$AH$1001,0),0), INDEX($AO$1004:$BQ$1004,1,MATCH(COLUMNS($AO$1006:AT1006),$AO$1006:$BQ$1006,0)))),"Fix")))</f>
        <v>#N/A</v>
      </c>
      <c r="H704" s="5" t="e">
        <f ca="1">IF(OR(INDEX($AI$2:$AI$1001,MATCH(ROWS($AH$2:AH704),$AH$2:$AH$1001,0),1)&gt;=100000,INDEX($AO$1005:$BQ$1005,1,MATCH(COLUMNS($AO$1006:AU1006),$AO$1006:$BQ$1006,0))&gt;=100000), " ",IF(INDEX($AO$2:$BQ$1001,MATCH(ROWS($AH$2:AH704),$AH$2:$AH$1001,0),MATCH(COLUMNS($AO$1006:AU1006),$AO$1006:$BQ$1006,0)), HYPERLINK("#",""), HYPERLINK(CONCATENATE("#Metadata!", ADDRESS(INDEX($AJ$2:$AJ$1001,MATCH(ROWS($AH$2:AH704),$AH$2:$AH$1001,0),0), INDEX($AO$1004:$BQ$1004,1,MATCH(COLUMNS($AO$1006:AU1006),$AO$1006:$BQ$1006,0)))),"Fix")))</f>
        <v>#N/A</v>
      </c>
      <c r="I704" s="5" t="e">
        <f ca="1">IF(OR(INDEX($AI$2:$AI$1001,MATCH(ROWS($AH$2:AH704),$AH$2:$AH$1001,0),1)&gt;=100000,INDEX($AO$1005:$BQ$1005,1,MATCH(COLUMNS($AO$1006:AV1006),$AO$1006:$BQ$1006,0))&gt;=100000), " ",IF(INDEX($AO$2:$BQ$1001,MATCH(ROWS($AH$2:AH704),$AH$2:$AH$1001,0),MATCH(COLUMNS($AO$1006:AV1006),$AO$1006:$BQ$1006,0)), HYPERLINK("#",""), HYPERLINK(CONCATENATE("#Metadata!", ADDRESS(INDEX($AJ$2:$AJ$1001,MATCH(ROWS($AH$2:AH704),$AH$2:$AH$1001,0),0), INDEX($AO$1004:$BQ$1004,1,MATCH(COLUMNS($AO$1006:AV1006),$AO$1006:$BQ$1006,0)))),"Fix")))</f>
        <v>#N/A</v>
      </c>
      <c r="J704" s="5" t="e">
        <f ca="1">IF(OR(INDEX($AI$2:$AI$1001,MATCH(ROWS($AH$2:AH704),$AH$2:$AH$1001,0),1)&gt;=100000,INDEX($AO$1005:$BQ$1005,1,MATCH(COLUMNS($AO$1006:AW1006),$AO$1006:$BQ$1006,0))&gt;=100000), " ",IF(INDEX($AO$2:$BQ$1001,MATCH(ROWS($AH$2:AH704),$AH$2:$AH$1001,0),MATCH(COLUMNS($AO$1006:AW1006),$AO$1006:$BQ$1006,0)), HYPERLINK("#",""), HYPERLINK(CONCATENATE("#Metadata!", ADDRESS(INDEX($AJ$2:$AJ$1001,MATCH(ROWS($AH$2:AH704),$AH$2:$AH$1001,0),0), INDEX($AO$1004:$BQ$1004,1,MATCH(COLUMNS($AO$1006:AW1006),$AO$1006:$BQ$1006,0)))),"Fix")))</f>
        <v>#N/A</v>
      </c>
      <c r="K704" s="5" t="e">
        <f ca="1">IF(OR(INDEX($AI$2:$AI$1001,MATCH(ROWS($AH$2:AH704),$AH$2:$AH$1001,0),1)&gt;=100000,INDEX($AO$1005:$BQ$1005,1,MATCH(COLUMNS($AO$1006:AX1006),$AO$1006:$BQ$1006,0))&gt;=100000), " ",IF(INDEX($AO$2:$BQ$1001,MATCH(ROWS($AH$2:AH704),$AH$2:$AH$1001,0),MATCH(COLUMNS($AO$1006:AX1006),$AO$1006:$BQ$1006,0)), HYPERLINK("#",""), HYPERLINK(CONCATENATE("#Metadata!", ADDRESS(INDEX($AJ$2:$AJ$1001,MATCH(ROWS($AH$2:AH704),$AH$2:$AH$1001,0),0), INDEX($AO$1004:$BQ$1004,1,MATCH(COLUMNS($AO$1006:AX1006),$AO$1006:$BQ$1006,0)))),"Fix")))</f>
        <v>#N/A</v>
      </c>
      <c r="L704" s="5" t="e">
        <f ca="1">IF(OR(INDEX($AI$2:$AI$1001,MATCH(ROWS($AH$2:AH704),$AH$2:$AH$1001,0),1)&gt;=100000,INDEX($AO$1005:$BQ$1005,1,MATCH(COLUMNS($AO$1006:AY1006),$AO$1006:$BQ$1006,0))&gt;=100000), " ",IF(INDEX($AO$2:$BQ$1001,MATCH(ROWS($AH$2:AH704),$AH$2:$AH$1001,0),MATCH(COLUMNS($AO$1006:AY1006),$AO$1006:$BQ$1006,0)), HYPERLINK("#",""), HYPERLINK(CONCATENATE("#Metadata!", ADDRESS(INDEX($AJ$2:$AJ$1001,MATCH(ROWS($AH$2:AH704),$AH$2:$AH$1001,0),0), INDEX($AO$1004:$BQ$1004,1,MATCH(COLUMNS($AO$1006:AY1006),$AO$1006:$BQ$1006,0)))),"Fix")))</f>
        <v>#N/A</v>
      </c>
      <c r="M704" s="5" t="e">
        <f ca="1">IF(OR(INDEX($AI$2:$AI$1001,MATCH(ROWS($AH$2:AH704),$AH$2:$AH$1001,0),1)&gt;=100000,INDEX($AO$1005:$BQ$1005,1,MATCH(COLUMNS($AO$1006:AZ1006),$AO$1006:$BQ$1006,0))&gt;=100000), " ",IF(INDEX($AO$2:$BQ$1001,MATCH(ROWS($AH$2:AH704),$AH$2:$AH$1001,0),MATCH(COLUMNS($AO$1006:AZ1006),$AO$1006:$BQ$1006,0)), HYPERLINK("#",""), HYPERLINK(CONCATENATE("#Metadata!", ADDRESS(INDEX($AJ$2:$AJ$1001,MATCH(ROWS($AH$2:AH704),$AH$2:$AH$1001,0),0), INDEX($AO$1004:$BQ$1004,1,MATCH(COLUMNS($AO$1006:AZ1006),$AO$1006:$BQ$1006,0)))),"Fix")))</f>
        <v>#N/A</v>
      </c>
      <c r="N704" s="5" t="e">
        <f ca="1">IF(OR(INDEX($AI$2:$AI$1001,MATCH(ROWS($AH$2:AH704),$AH$2:$AH$1001,0),1)&gt;=100000,INDEX($AO$1005:$BQ$1005,1,MATCH(COLUMNS($AO$1006:BA1006),$AO$1006:$BQ$1006,0))&gt;=100000), " ",IF(INDEX($AO$2:$BQ$1001,MATCH(ROWS($AH$2:AH704),$AH$2:$AH$1001,0),MATCH(COLUMNS($AO$1006:BA1006),$AO$1006:$BQ$1006,0)), HYPERLINK("#",""), HYPERLINK(CONCATENATE("#Metadata!", ADDRESS(INDEX($AJ$2:$AJ$1001,MATCH(ROWS($AH$2:AH704),$AH$2:$AH$1001,0),0), INDEX($AO$1004:$BQ$1004,1,MATCH(COLUMNS($AO$1006:BA1006),$AO$1006:$BQ$1006,0)))),"Fix")))</f>
        <v>#N/A</v>
      </c>
      <c r="O704" s="5" t="e">
        <f ca="1">IF(OR(INDEX($AI$2:$AI$1001,MATCH(ROWS($AH$2:AH704),$AH$2:$AH$1001,0),1)&gt;=100000,INDEX($AO$1005:$BQ$1005,1,MATCH(COLUMNS($AO$1006:BB1006),$AO$1006:$BQ$1006,0))&gt;=100000), " ",IF(INDEX($AO$2:$BQ$1001,MATCH(ROWS($AH$2:AH704),$AH$2:$AH$1001,0),MATCH(COLUMNS($AO$1006:BB1006),$AO$1006:$BQ$1006,0)), HYPERLINK("#",""), HYPERLINK(CONCATENATE("#Metadata!", ADDRESS(INDEX($AJ$2:$AJ$1001,MATCH(ROWS($AH$2:AH704),$AH$2:$AH$1001,0),0), INDEX($AO$1004:$BQ$1004,1,MATCH(COLUMNS($AO$1006:BB1006),$AO$1006:$BQ$1006,0)))),"Fix")))</f>
        <v>#N/A</v>
      </c>
      <c r="P704" s="5" t="e">
        <f ca="1">IF(OR(INDEX($AI$2:$AI$1001,MATCH(ROWS($AH$2:AH704),$AH$2:$AH$1001,0),1)&gt;=100000,INDEX($AO$1005:$BQ$1005,1,MATCH(COLUMNS($AO$1006:BC1006),$AO$1006:$BQ$1006,0))&gt;=100000), " ",IF(INDEX($AO$2:$BQ$1001,MATCH(ROWS($AH$2:AH704),$AH$2:$AH$1001,0),MATCH(COLUMNS($AO$1006:BC1006),$AO$1006:$BQ$1006,0)), HYPERLINK("#",""), HYPERLINK(CONCATENATE("#Metadata!", ADDRESS(INDEX($AJ$2:$AJ$1001,MATCH(ROWS($AH$2:AH704),$AH$2:$AH$1001,0),0), INDEX($AO$1004:$BQ$1004,1,MATCH(COLUMNS($AO$1006:BC1006),$AO$1006:$BQ$1006,0)))),"Fix")))</f>
        <v>#N/A</v>
      </c>
      <c r="Q704" s="5" t="e">
        <f ca="1">IF(OR(INDEX($AI$2:$AI$1001,MATCH(ROWS($AH$2:AH704),$AH$2:$AH$1001,0),1)&gt;=100000,INDEX($AO$1005:$BQ$1005,1,MATCH(COLUMNS($AO$1006:BD1006),$AO$1006:$BQ$1006,0))&gt;=100000), " ",IF(INDEX($AO$2:$BQ$1001,MATCH(ROWS($AH$2:AH704),$AH$2:$AH$1001,0),MATCH(COLUMNS($AO$1006:BD1006),$AO$1006:$BQ$1006,0)), HYPERLINK("#",""), HYPERLINK(CONCATENATE("#Metadata!", ADDRESS(INDEX($AJ$2:$AJ$1001,MATCH(ROWS($AH$2:AH704),$AH$2:$AH$1001,0),0), INDEX($AO$1004:$BQ$1004,1,MATCH(COLUMNS($AO$1006:BD1006),$AO$1006:$BQ$1006,0)))),"Fix")))</f>
        <v>#N/A</v>
      </c>
      <c r="R704" s="5" t="e">
        <f ca="1">IF(OR(INDEX($AI$2:$AI$1001,MATCH(ROWS($AH$2:AH704),$AH$2:$AH$1001,0),1)&gt;=100000,INDEX($AO$1005:$BQ$1005,1,MATCH(COLUMNS($AO$1006:BE1006),$AO$1006:$BQ$1006,0))&gt;=100000), " ",IF(INDEX($AO$2:$BQ$1001,MATCH(ROWS($AH$2:AH704),$AH$2:$AH$1001,0),MATCH(COLUMNS($AO$1006:BE1006),$AO$1006:$BQ$1006,0)), HYPERLINK("#",""), HYPERLINK(CONCATENATE("#Metadata!", ADDRESS(INDEX($AJ$2:$AJ$1001,MATCH(ROWS($AH$2:AH704),$AH$2:$AH$1001,0),0), INDEX($AO$1004:$BQ$1004,1,MATCH(COLUMNS($AO$1006:BE1006),$AO$1006:$BQ$1006,0)))),"Fix")))</f>
        <v>#N/A</v>
      </c>
      <c r="S704" s="5" t="e">
        <f ca="1">IF(OR(INDEX($AI$2:$AI$1001,MATCH(ROWS($AH$2:AH704),$AH$2:$AH$1001,0),1)&gt;=100000,INDEX($AO$1005:$BQ$1005,1,MATCH(COLUMNS($AO$1006:BF1006),$AO$1006:$BQ$1006,0))&gt;=100000), " ",IF(INDEX($AO$2:$BQ$1001,MATCH(ROWS($AH$2:AH704),$AH$2:$AH$1001,0),MATCH(COLUMNS($AO$1006:BF1006),$AO$1006:$BQ$1006,0)), HYPERLINK("#",""), HYPERLINK(CONCATENATE("#Metadata!", ADDRESS(INDEX($AJ$2:$AJ$1001,MATCH(ROWS($AH$2:AH704),$AH$2:$AH$1001,0),0), INDEX($AO$1004:$BQ$1004,1,MATCH(COLUMNS($AO$1006:BF1006),$AO$1006:$BQ$1006,0)))),"Fix")))</f>
        <v>#N/A</v>
      </c>
      <c r="T704" s="5" t="e">
        <f ca="1">IF(OR(INDEX($AI$2:$AI$1001,MATCH(ROWS($AH$2:AH704),$AH$2:$AH$1001,0),1)&gt;=100000,INDEX($AO$1005:$BQ$1005,1,MATCH(COLUMNS($AO$1006:BG1006),$AO$1006:$BQ$1006,0))&gt;=100000), " ",IF(INDEX($AO$2:$BQ$1001,MATCH(ROWS($AH$2:AH704),$AH$2:$AH$1001,0),MATCH(COLUMNS($AO$1006:BG1006),$AO$1006:$BQ$1006,0)), HYPERLINK("#",""), HYPERLINK(CONCATENATE("#Metadata!", ADDRESS(INDEX($AJ$2:$AJ$1001,MATCH(ROWS($AH$2:AH704),$AH$2:$AH$1001,0),0), INDEX($AO$1004:$BQ$1004,1,MATCH(COLUMNS($AO$1006:BG1006),$AO$1006:$BQ$1006,0)))),"Fix")))</f>
        <v>#N/A</v>
      </c>
      <c r="U704" s="5" t="e">
        <f ca="1">IF(OR(INDEX($AI$2:$AI$1001,MATCH(ROWS($AH$2:AH704),$AH$2:$AH$1001,0),1)&gt;=100000,INDEX($AO$1005:$BQ$1005,1,MATCH(COLUMNS($AO$1006:BH1006),$AO$1006:$BQ$1006,0))&gt;=100000), " ",IF(INDEX($AO$2:$BQ$1001,MATCH(ROWS($AH$2:AH704),$AH$2:$AH$1001,0),MATCH(COLUMNS($AO$1006:BH1006),$AO$1006:$BQ$1006,0)), HYPERLINK("#",""), HYPERLINK(CONCATENATE("#Metadata!", ADDRESS(INDEX($AJ$2:$AJ$1001,MATCH(ROWS($AH$2:AH704),$AH$2:$AH$1001,0),0), INDEX($AO$1004:$BQ$1004,1,MATCH(COLUMNS($AO$1006:BH1006),$AO$1006:$BQ$1006,0)))),"Fix")))</f>
        <v>#N/A</v>
      </c>
      <c r="V704" s="5" t="e">
        <f ca="1">IF(OR(INDEX($AI$2:$AI$1001,MATCH(ROWS($AH$2:AH704),$AH$2:$AH$1001,0),1)&gt;=100000,INDEX($AO$1005:$BQ$1005,1,MATCH(COLUMNS($AO$1006:BI1006),$AO$1006:$BQ$1006,0))&gt;=100000), " ",IF(INDEX($AO$2:$BQ$1001,MATCH(ROWS($AH$2:AH704),$AH$2:$AH$1001,0),MATCH(COLUMNS($AO$1006:BI1006),$AO$1006:$BQ$1006,0)), HYPERLINK("#",""), HYPERLINK(CONCATENATE("#Metadata!", ADDRESS(INDEX($AJ$2:$AJ$1001,MATCH(ROWS($AH$2:AH704),$AH$2:$AH$1001,0),0), INDEX($AO$1004:$BQ$1004,1,MATCH(COLUMNS($AO$1006:BI1006),$AO$1006:$BQ$1006,0)))),"Fix")))</f>
        <v>#N/A</v>
      </c>
      <c r="W704" s="5" t="e">
        <f ca="1">IF(OR(INDEX($AI$2:$AI$1001,MATCH(ROWS($AH$2:AH704),$AH$2:$AH$1001,0),1)&gt;=100000,INDEX($AO$1005:$BQ$1005,1,MATCH(COLUMNS($AO$1006:BJ1006),$AO$1006:$BQ$1006,0))&gt;=100000), " ",IF(INDEX($AO$2:$BQ$1001,MATCH(ROWS($AH$2:AH704),$AH$2:$AH$1001,0),MATCH(COLUMNS($AO$1006:BJ1006),$AO$1006:$BQ$1006,0)), HYPERLINK("#",""), HYPERLINK(CONCATENATE("#Metadata!", ADDRESS(INDEX($AJ$2:$AJ$1001,MATCH(ROWS($AH$2:AH704),$AH$2:$AH$1001,0),0), INDEX($AO$1004:$BQ$1004,1,MATCH(COLUMNS($AO$1006:BJ1006),$AO$1006:$BQ$1006,0)))),"Fix")))</f>
        <v>#N/A</v>
      </c>
      <c r="X704" s="5" t="e">
        <f ca="1">IF(OR(INDEX($AI$2:$AI$1001,MATCH(ROWS($AH$2:AH704),$AH$2:$AH$1001,0),1)&gt;=100000,INDEX($AO$1005:$BQ$1005,1,MATCH(COLUMNS($AO$1006:BK1006),$AO$1006:$BQ$1006,0))&gt;=100000), " ",IF(INDEX($AO$2:$BQ$1001,MATCH(ROWS($AH$2:AH704),$AH$2:$AH$1001,0),MATCH(COLUMNS($AO$1006:BK1006),$AO$1006:$BQ$1006,0)), HYPERLINK("#",""), HYPERLINK(CONCATENATE("#Metadata!", ADDRESS(INDEX($AJ$2:$AJ$1001,MATCH(ROWS($AH$2:AH704),$AH$2:$AH$1001,0),0), INDEX($AO$1004:$BQ$1004,1,MATCH(COLUMNS($AO$1006:BK1006),$AO$1006:$BQ$1006,0)))),"Fix")))</f>
        <v>#N/A</v>
      </c>
      <c r="Y704" s="5" t="e">
        <f ca="1">IF(OR(INDEX($AI$2:$AI$1001,MATCH(ROWS($AH$2:AH704),$AH$2:$AH$1001,0),1)&gt;=100000,INDEX($AO$1005:$BQ$1005,1,MATCH(COLUMNS($AO$1006:BL1006),$AO$1006:$BQ$1006,0))&gt;=100000), " ",IF(INDEX($AO$2:$BQ$1001,MATCH(ROWS($AH$2:AH704),$AH$2:$AH$1001,0),MATCH(COLUMNS($AO$1006:BL1006),$AO$1006:$BQ$1006,0)), HYPERLINK("#",""), HYPERLINK(CONCATENATE("#Metadata!", ADDRESS(INDEX($AJ$2:$AJ$1001,MATCH(ROWS($AH$2:AH704),$AH$2:$AH$1001,0),0), INDEX($AO$1004:$BQ$1004,1,MATCH(COLUMNS($AO$1006:BL1006),$AO$1006:$BQ$1006,0)))),"Fix")))</f>
        <v>#N/A</v>
      </c>
      <c r="Z704" s="5" t="e">
        <f ca="1">IF(OR(INDEX($AI$2:$AI$1001,MATCH(ROWS($AH$2:AH704),$AH$2:$AH$1001,0),1)&gt;=100000,INDEX($AO$1005:$BQ$1005,1,MATCH(COLUMNS($AO$1006:BM1006),$AO$1006:$BQ$1006,0))&gt;=100000), " ",IF(INDEX($AO$2:$BQ$1001,MATCH(ROWS($AH$2:AH704),$AH$2:$AH$1001,0),MATCH(COLUMNS($AO$1006:BM1006),$AO$1006:$BQ$1006,0)), HYPERLINK("#",""), HYPERLINK(CONCATENATE("#Metadata!", ADDRESS(INDEX($AJ$2:$AJ$1001,MATCH(ROWS($AH$2:AH704),$AH$2:$AH$1001,0),0), INDEX($AO$1004:$BQ$1004,1,MATCH(COLUMNS($AO$1006:BM1006),$AO$1006:$BQ$1006,0)))),"Fix")))</f>
        <v>#N/A</v>
      </c>
      <c r="AA704" s="5" t="e">
        <f ca="1">IF(OR(INDEX($AI$2:$AI$1001,MATCH(ROWS($AH$2:AH704),$AH$2:$AH$1001,0),1)&gt;=100000,INDEX($AO$1005:$BQ$1005,1,MATCH(COLUMNS($AO$1006:BN1006),$AO$1006:$BQ$1006,0))&gt;=100000), " ",IF(INDEX($AO$2:$BQ$1001,MATCH(ROWS($AH$2:AH704),$AH$2:$AH$1001,0),MATCH(COLUMNS($AO$1006:BN1006),$AO$1006:$BQ$1006,0)), HYPERLINK("#",""), HYPERLINK(CONCATENATE("#Metadata!", ADDRESS(INDEX($AJ$2:$AJ$1001,MATCH(ROWS($AH$2:AH704),$AH$2:$AH$1001,0),0), INDEX($AO$1004:$BQ$1004,1,MATCH(COLUMNS($AO$1006:BN1006),$AO$1006:$BQ$1006,0)))),"Fix")))</f>
        <v>#N/A</v>
      </c>
      <c r="AB704" s="5" t="e">
        <f ca="1">IF(OR(INDEX($AI$2:$AI$1001,MATCH(ROWS($AH$2:AH704),$AH$2:$AH$1001,0),1)&gt;=100000,INDEX($AO$1005:$BQ$1005,1,MATCH(COLUMNS($AO$1006:BO1006),$AO$1006:$BQ$1006,0))&gt;=100000), " ",IF(INDEX($AO$2:$BQ$1001,MATCH(ROWS($AH$2:AH704),$AH$2:$AH$1001,0),MATCH(COLUMNS($AO$1006:BO1006),$AO$1006:$BQ$1006,0)), HYPERLINK("#",""), HYPERLINK(CONCATENATE("#Metadata!", ADDRESS(INDEX($AJ$2:$AJ$1001,MATCH(ROWS($AH$2:AH704),$AH$2:$AH$1001,0),0), INDEX($AO$1004:$BQ$1004,1,MATCH(COLUMNS($AO$1006:BO1006),$AO$1006:$BQ$1006,0)))),"Fix")))</f>
        <v>#N/A</v>
      </c>
      <c r="AC704" s="5" t="e">
        <f ca="1">IF(OR(INDEX($AI$2:$AI$1001,MATCH(ROWS($AH$2:AH704),$AH$2:$AH$1001,0),1)&gt;=100000,INDEX($AO$1005:$BQ$1005,1,MATCH(COLUMNS($AO$1006:BP1006),$AO$1006:$BQ$1006,0))&gt;=100000), " ",IF(INDEX($AO$2:$BQ$1001,MATCH(ROWS($AH$2:AH704),$AH$2:$AH$1001,0),MATCH(COLUMNS($AO$1006:BP1006),$AO$1006:$BQ$1006,0)), HYPERLINK("#",""), HYPERLINK(CONCATENATE("#Metadata!", ADDRESS(INDEX($AJ$2:$AJ$1001,MATCH(ROWS($AH$2:AH704),$AH$2:$AH$1001,0),0), INDEX($AO$1004:$BQ$1004,1,MATCH(COLUMNS($AO$1006:BP1006),$AO$1006:$BQ$1006,0)))),"Fix")))</f>
        <v>#N/A</v>
      </c>
      <c r="AD704" s="5" t="e">
        <f ca="1">IF(OR(INDEX($AI$2:$AI$1001,MATCH(ROWS($AH$2:AH704),$AH$2:$AH$1001,0),1)&gt;=100000,INDEX($AO$1005:$BQ$1005,1,MATCH(COLUMNS($AO$1006:BQ1006),$AO$1006:$BQ$1006,0))&gt;=100000), " ",IF(INDEX($AO$2:$BQ$1001,MATCH(ROWS($AH$2:AH704),$AH$2:$AH$1001,0),MATCH(COLUMNS($AO$1006:BQ1006),$AO$1006:$BQ$1006,0)), HYPERLINK("#",""), HYPERLINK(CONCATENATE("#Metadata!", ADDRESS(INDEX($AJ$2:$AJ$1001,MATCH(ROWS($AH$2:AH704),$AH$2:$AH$1001,0),0), INDEX($AO$1004:$BQ$1004,1,MATCH(COLUMNS($AO$1006:BQ1006),$AO$1006:$BQ$1006,0)))),"Fix")))</f>
        <v>#REF!</v>
      </c>
      <c r="AH704">
        <f ca="1"/>
        <v>701</v>
      </c>
      <c r="AI704">
        <v>100704</v>
      </c>
      <c r="AJ704">
        <v>704</v>
      </c>
      <c r="AK704" t="b">
        <f t="shared" si="10"/>
        <v>1</v>
      </c>
      <c r="AL704" t="b">
        <f>COUNTBLANK(Metadata!B704:AD704)=COLUMNS(Metadata!B704:AD704)</f>
        <v>1</v>
      </c>
      <c r="AM704" t="str">
        <v/>
      </c>
      <c r="AO704" t="b">
        <f ca="1">AND(IF(Metadata!B704="",FALSE,TRUE),COUNTIF(Metadata!B:B, Metadata!B704) = 1,NOT(ISERROR(SUMPRODUCT(SEARCH(MID(Metadata!B704,ROW(INDIRECT("1:"&amp;LEN(Metadata!B704))), 1),"0123456789abcdefghijklmnopqrstuvwxyzABCDEFGHIJKLMNOPQRSTUVWXYZ.")))))</f>
        <v>0</v>
      </c>
      <c r="AP704" t="b">
        <f>IF(Metadata!C704="",FALSE,TRUE)</f>
        <v>0</v>
      </c>
      <c r="AQ704" t="b">
        <f>IF(Metadata!D704="",FALSE,TRUE)</f>
        <v>0</v>
      </c>
      <c r="AR704" t="b">
        <f ca="1">OR(AND(IF(Metadata!E704="",FALSE,TRUE),OR(EXACT(Metadata!E704,"not collected"),EXACT(Metadata!E704,"not provided"),EXACT(Metadata!E704,"restricted access"))),AND(IF(Metadata!E704="",FALSE,TRUE),AND(AND(IFERROR(INT(LEFT(Metadata!E704,4))&gt;1900,FALSE),IFERROR(INT(LEFT(Metadata!E704,4))&lt;=YEAR(NOW()),FALSE)), OR(MID(Metadata!E704,5,1)="", AND(AND(MID(Metadata!E704,5,1)="-",IFERROR(INT(MID(Metadata!E704,6,1))&gt;=0,FALSE),IFERROR(INT(MID(Metadata!E704,6,1))&lt;=1,FALSE),NOT(MID(Metadata!E704,7,1)=""),IFERROR(INT(MID(Metadata!E704,6,2))&gt;=1,FALSE),IFERROR(INT(MID(Metadata!E704,6,2))&lt;=12,FALSE)), OR(MID(Metadata!E704,8,1)="", AND(AND(MID(Metadata!E704,8,1)="-",IFERROR(INT(MID(Metadata!E704,9,1))&gt;=0,FALSE),IFERROR(INT(MID(Metadata!E704,9,1))&lt;=3,FALSE),NOT(MID(Metadata!E704,10,1)=""),IFERROR(INT(MID(Metadata!E704,9,2))&gt;=1,FALSE),IFERROR(INT(MID(Metadata!E704,9,2))&lt;=31,FALSE)), OR(MID(Metadata!E704,11,1)="", AND(AND(MID(Metadata!E704,11,1)=" ",IFERROR(INT(MID(Metadata!E704,12,1))&gt;=0,FALSE),IFERROR(INT(MID(Metadata!E704,12,1))&lt;=2,FALSE),NOT(MID(Metadata!E704,13,1)=""),IFERROR(INT(MID(Metadata!E704,12,2))&gt;=0,FALSE),IFERROR(INT(MID(Metadata!E704,12,2))&lt;=23,FALSE)), OR(MID(Metadata!E704,14,1)="", AND(AND(MID(Metadata!E704,14,1)=":",IFERROR(INT(MID(Metadata!E704,15,1))&gt;=0,FALSE),IFERROR(INT(MID(Metadata!E704,15,1))&lt;=5,FALSE),NOT(MID(Metadata!E704,16,1)=""),IFERROR(INT(MID(Metadata!E704,15,2))&gt;=0,FALSE),IFERROR(INT(MID(Metadata!E704,15,2))&lt;=59,FALSE)), OR(MID(Metadata!E704,17,1)="", AND(AND(MID(Metadata!E704,17,1)=":",IFERROR(INT(MID(Metadata!E704,18,1))&gt;=0,FALSE),IFERROR(INT(MID(Metadata!E704,18,1))&lt;=5,FALSE),NOT(MID(Metadata!E704,19,1)=""),IFERROR(INT(MID(Metadata!E704,18,2))&gt;=0,FALSE),IFERROR(INT(MID(Metadata!E704,18,2))&lt;=59,FALSE)), LEN(Metadata!E704)&lt;=19)))))))))))))</f>
        <v>0</v>
      </c>
      <c r="AS704" t="b">
        <f>IF(Metadata!F704="",FALSE,TRUE)</f>
        <v>0</v>
      </c>
      <c r="AT704" t="b">
        <f>OR(AND(IF(Metadata!G704="",FALSE,TRUE),OR(EXACT(Metadata!G704,"not collected"),EXACT(Metadata!G704,"not provided"))),AND(IF(Metadata!G704="",FALSE,TRUE),OR(EXACT(Metadata!G704,"TRUE"),EXACT(Metadata!G704,"FALSE"))))</f>
        <v>0</v>
      </c>
      <c r="AU704" t="b">
        <f>OR(AND(IF(Metadata!H704="",FALSE,TRUE),OR(EXACT(Metadata!H704,"not collected"),EXACT(Metadata!H704,"not provided"),EXACT(Metadata!H704,"restricted access"))),AND(IF(Metadata!H704="",FALSE,ISNUMBER(VALUE(Metadata!H704))),Metadata!H704&gt;=-413))</f>
        <v>0</v>
      </c>
      <c r="AV704" t="b">
        <f>AND(IF(Metadata!I704="",FALSE,TRUE),EXACT(Metadata!I704,"meters"))</f>
        <v>0</v>
      </c>
      <c r="AW704" t="b">
        <f>AND(IF(Metadata!J704="",FALSE,TRUE),EXACT(Metadata!J704,"free-living"))</f>
        <v>0</v>
      </c>
      <c r="AX704" t="b">
        <f>AND(IF(Metadata!K704="",FALSE,TRUE),OR(EXACT(Metadata!K704,"saline"),EXACT(Metadata!K704,"non-saline")))</f>
        <v>0</v>
      </c>
      <c r="AY704" t="b">
        <f>AND(IF(Metadata!L704="",FALSE,TRUE),OR(EXACT(Metadata!L704,"sub-surface (non-saline)"),EXACT(Metadata!L704,"surface (non-saline)"),EXACT(Metadata!L704,"water (non-saline)"),EXACT(Metadata!L704,"soil (non-saline)"),EXACT(Metadata!L704,"aerosol (non-saline)"),EXACT(Metadata!L704,"sediment (non-saline)"),EXACT(Metadata!L704,"surface (saline)"),EXACT(Metadata!L704,"water (saline)"),EXACT(Metadata!L704,"hypersaline (saline)"),EXACT(Metadata!L704,"aerosol (saline)"),EXACT(Metadata!L704,"sediment (saline)")))</f>
        <v>0</v>
      </c>
      <c r="AZ704" t="b">
        <f>IF(Metadata!M704="",FALSE,TRUE)</f>
        <v>0</v>
      </c>
      <c r="BA704" t="b">
        <f>IF(Metadata!N704="",FALSE,TRUE)</f>
        <v>0</v>
      </c>
      <c r="BB704" t="b">
        <f>IF(Metadata!O704="",FALSE,TRUE)</f>
        <v>0</v>
      </c>
      <c r="BC704" t="b">
        <f>AND(IF(Metadata!P704="",FALSE,TRUE),OR(EXACT(Metadata!P704,"air"),EXACT(Metadata!P704,"microbial mat/biofilm"),EXACT(Metadata!P704,"misc environment"),EXACT(Metadata!P704,"sediment"),EXACT(Metadata!P704,"soil"),EXACT(Metadata!P704,"wastewater/sludge"),EXACT(Metadata!P704,"water")))</f>
        <v>0</v>
      </c>
      <c r="BD704" t="b">
        <f>IF(Metadata!Q704="",FALSE,TRUE)</f>
        <v>0</v>
      </c>
      <c r="BE704" t="b">
        <f>IF(Metadata!R704="",FALSE,TRUE)</f>
        <v>0</v>
      </c>
      <c r="BF704" t="b">
        <f>OR(AND(IF(Metadata!S704="",FALSE,TRUE),OR(EXACT(Metadata!S704,"not collected"),EXACT(Metadata!S704,"not provided"),EXACT(Metadata!S704,"restricted access"))),AND(IF(Metadata!S704="",FALSE,ISNUMBER(VALUE(Metadata!S704))),Metadata!S704&gt;=-90,Metadata!S704&lt;=90))</f>
        <v>0</v>
      </c>
      <c r="BG704" t="b">
        <f>AND(IF(Metadata!T704="",FALSE,TRUE),EXACT(Metadata!T704,"Decimal degrees"))</f>
        <v>0</v>
      </c>
      <c r="BH704" t="b">
        <f>OR(AND(IF(Metadata!U704="",FALSE,TRUE),OR(EXACT(Metadata!U704,"not applicable"),EXACT(Metadata!U704,"not collected"))),IF(Metadata!U704="",FALSE,TRUE))</f>
        <v>0</v>
      </c>
      <c r="BI704" t="b">
        <f>OR(AND(IF(Metadata!V704="",FALSE,TRUE),OR(EXACT(Metadata!V704,"not collected"),EXACT(Metadata!V704,"not provided"),EXACT(Metadata!V704,"restricted access"))),AND(IF(Metadata!V704="",FALSE,ISNUMBER(VALUE(Metadata!V704))),Metadata!V704&gt;=-180,Metadata!V704&lt;=180))</f>
        <v>0</v>
      </c>
      <c r="BJ704" t="b">
        <f>AND(IF(Metadata!W704="",FALSE,TRUE),EXACT(Metadata!W704,"Decimal degrees"))</f>
        <v>0</v>
      </c>
      <c r="BK704" t="b">
        <f>IF(Metadata!X704="",FALSE,TRUE)</f>
        <v>0</v>
      </c>
      <c r="BL704" t="b">
        <f>OR(AND(IF(Metadata!Y704="",FALSE,TRUE),OR(EXACT(Metadata!Y704,"not collected"),EXACT(Metadata!Y704,"not provided"),EXACT(Metadata!Y704,"restricted access"))),AND(IF(Metadata!Y704="",FALSE,TRUE),OR(EXACT(Metadata!Y704,"TRUE"),EXACT(Metadata!Y704,"FALSE"))))</f>
        <v>0</v>
      </c>
      <c r="BM704" t="b">
        <f>OR(AND(IF(Metadata!Z704="",FALSE,TRUE),EXACT(Metadata!Z704,"not applicable")),AND(IF(Metadata!Z704="",FALSE,TRUE),OR(EXACT(Metadata!Z704,"beer"),EXACT(Metadata!Z704,"cheese"),EXACT(Metadata!Z704,"fresh water"),EXACT(Metadata!Z704,"marine sediment"),EXACT(Metadata!Z704,"sea water"),EXACT(Metadata!Z704,"sediment"),EXACT(Metadata!Z704,"soil"),EXACT(Metadata!Z704,"waste water"))))</f>
        <v>0</v>
      </c>
      <c r="BN704" t="b">
        <f>AND(IF(Metadata!AA704="",FALSE,TRUE),EXACT(Metadata!AA704,"metagenome"))</f>
        <v>0</v>
      </c>
      <c r="BO704" t="b">
        <f>AND(IF(Metadata!AB704="",FALSE,TRUE),EXACT(Metadata!AB704,"256318"))</f>
        <v>0</v>
      </c>
      <c r="BP704" t="b">
        <f>IF(Metadata!AC704="",FALSE,TRUE)</f>
        <v>0</v>
      </c>
      <c r="BQ704" t="b">
        <f>IF(Metadata!AD704="",FALSE,TRUE)</f>
        <v>0</v>
      </c>
    </row>
    <row r="705" spans="1:69" x14ac:dyDescent="0.2">
      <c r="A705" s="4" t="e">
        <f ca="1">IF(B705=" "," ",HYPERLINK(CONCATENATE("#metadata!",ADDRESS(INDEX($AJ$2:$AJ$1001,MATCH(ROWS($AH$2:AH705),$AH$2:$AH$1001,0),0),2)),INDEX($AM$2:$AM$1001,MATCH(ROWS($AH$2:AH705),$AH$2:$AH$1001,0),0)))</f>
        <v>#N/A</v>
      </c>
      <c r="B705" s="5" t="e">
        <f ca="1">IF(OR(INDEX($AI$2:$AI$1001,MATCH(ROWS($AH$2:AH705),$AH$2:$AH$1001,0),1)&gt;=100000,INDEX($AO$1005:$BQ$1005,1,MATCH(COLUMNS($AO$1006:AO1006),$AO$1006:$BQ$1006,0))&gt;=100000), " ",IF(INDEX($AO$2:$BQ$1001,MATCH(ROWS($AH$2:AH705),$AH$2:$AH$1001,0),MATCH(COLUMNS($AO$1006:AO1006),$AO$1006:$BQ$1006,0)), HYPERLINK("#",""), HYPERLINK(CONCATENATE("#Metadata!", ADDRESS(INDEX($AJ$2:$AJ$1001,MATCH(ROWS($AH$2:AH705),$AH$2:$AH$1001,0),0), INDEX($AO$1004:$BQ$1004,1,MATCH(COLUMNS($AO$1006:AO1006),$AO$1006:$BQ$1006,0)))),"Fix")))</f>
        <v>#N/A</v>
      </c>
      <c r="C705" s="5" t="e">
        <f ca="1">IF(OR(INDEX($AI$2:$AI$1001,MATCH(ROWS($AH$2:AH705),$AH$2:$AH$1001,0),1)&gt;=100000,INDEX($AO$1005:$BQ$1005,1,MATCH(COLUMNS($AO$1006:AP1006),$AO$1006:$BQ$1006,0))&gt;=100000), " ",IF(INDEX($AO$2:$BQ$1001,MATCH(ROWS($AH$2:AH705),$AH$2:$AH$1001,0),MATCH(COLUMNS($AO$1006:AP1006),$AO$1006:$BQ$1006,0)), HYPERLINK("#",""), HYPERLINK(CONCATENATE("#Metadata!", ADDRESS(INDEX($AJ$2:$AJ$1001,MATCH(ROWS($AH$2:AH705),$AH$2:$AH$1001,0),0), INDEX($AO$1004:$BQ$1004,1,MATCH(COLUMNS($AO$1006:AP1006),$AO$1006:$BQ$1006,0)))),"Fix")))</f>
        <v>#N/A</v>
      </c>
      <c r="D705" s="5" t="e">
        <f ca="1">IF(OR(INDEX($AI$2:$AI$1001,MATCH(ROWS($AH$2:AH705),$AH$2:$AH$1001,0),1)&gt;=100000,INDEX($AO$1005:$BQ$1005,1,MATCH(COLUMNS($AO$1006:AQ1006),$AO$1006:$BQ$1006,0))&gt;=100000), " ",IF(INDEX($AO$2:$BQ$1001,MATCH(ROWS($AH$2:AH705),$AH$2:$AH$1001,0),MATCH(COLUMNS($AO$1006:AQ1006),$AO$1006:$BQ$1006,0)), HYPERLINK("#",""), HYPERLINK(CONCATENATE("#Metadata!", ADDRESS(INDEX($AJ$2:$AJ$1001,MATCH(ROWS($AH$2:AH705),$AH$2:$AH$1001,0),0), INDEX($AO$1004:$BQ$1004,1,MATCH(COLUMNS($AO$1006:AQ1006),$AO$1006:$BQ$1006,0)))),"Fix")))</f>
        <v>#N/A</v>
      </c>
      <c r="E705" s="5" t="e">
        <f ca="1">IF(OR(INDEX($AI$2:$AI$1001,MATCH(ROWS($AH$2:AH705),$AH$2:$AH$1001,0),1)&gt;=100000,INDEX($AO$1005:$BQ$1005,1,MATCH(COLUMNS($AO$1006:AR1006),$AO$1006:$BQ$1006,0))&gt;=100000), " ",IF(INDEX($AO$2:$BQ$1001,MATCH(ROWS($AH$2:AH705),$AH$2:$AH$1001,0),MATCH(COLUMNS($AO$1006:AR1006),$AO$1006:$BQ$1006,0)), HYPERLINK("#",""), HYPERLINK(CONCATENATE("#Metadata!", ADDRESS(INDEX($AJ$2:$AJ$1001,MATCH(ROWS($AH$2:AH705),$AH$2:$AH$1001,0),0), INDEX($AO$1004:$BQ$1004,1,MATCH(COLUMNS($AO$1006:AR1006),$AO$1006:$BQ$1006,0)))),"Fix")))</f>
        <v>#N/A</v>
      </c>
      <c r="F705" s="5" t="e">
        <f ca="1">IF(OR(INDEX($AI$2:$AI$1001,MATCH(ROWS($AH$2:AH705),$AH$2:$AH$1001,0),1)&gt;=100000,INDEX($AO$1005:$BQ$1005,1,MATCH(COLUMNS($AO$1006:AS1006),$AO$1006:$BQ$1006,0))&gt;=100000), " ",IF(INDEX($AO$2:$BQ$1001,MATCH(ROWS($AH$2:AH705),$AH$2:$AH$1001,0),MATCH(COLUMNS($AO$1006:AS1006),$AO$1006:$BQ$1006,0)), HYPERLINK("#",""), HYPERLINK(CONCATENATE("#Metadata!", ADDRESS(INDEX($AJ$2:$AJ$1001,MATCH(ROWS($AH$2:AH705),$AH$2:$AH$1001,0),0), INDEX($AO$1004:$BQ$1004,1,MATCH(COLUMNS($AO$1006:AS1006),$AO$1006:$BQ$1006,0)))),"Fix")))</f>
        <v>#N/A</v>
      </c>
      <c r="G705" s="5" t="e">
        <f ca="1">IF(OR(INDEX($AI$2:$AI$1001,MATCH(ROWS($AH$2:AH705),$AH$2:$AH$1001,0),1)&gt;=100000,INDEX($AO$1005:$BQ$1005,1,MATCH(COLUMNS($AO$1006:AT1006),$AO$1006:$BQ$1006,0))&gt;=100000), " ",IF(INDEX($AO$2:$BQ$1001,MATCH(ROWS($AH$2:AH705),$AH$2:$AH$1001,0),MATCH(COLUMNS($AO$1006:AT1006),$AO$1006:$BQ$1006,0)), HYPERLINK("#",""), HYPERLINK(CONCATENATE("#Metadata!", ADDRESS(INDEX($AJ$2:$AJ$1001,MATCH(ROWS($AH$2:AH705),$AH$2:$AH$1001,0),0), INDEX($AO$1004:$BQ$1004,1,MATCH(COLUMNS($AO$1006:AT1006),$AO$1006:$BQ$1006,0)))),"Fix")))</f>
        <v>#N/A</v>
      </c>
      <c r="H705" s="5" t="e">
        <f ca="1">IF(OR(INDEX($AI$2:$AI$1001,MATCH(ROWS($AH$2:AH705),$AH$2:$AH$1001,0),1)&gt;=100000,INDEX($AO$1005:$BQ$1005,1,MATCH(COLUMNS($AO$1006:AU1006),$AO$1006:$BQ$1006,0))&gt;=100000), " ",IF(INDEX($AO$2:$BQ$1001,MATCH(ROWS($AH$2:AH705),$AH$2:$AH$1001,0),MATCH(COLUMNS($AO$1006:AU1006),$AO$1006:$BQ$1006,0)), HYPERLINK("#",""), HYPERLINK(CONCATENATE("#Metadata!", ADDRESS(INDEX($AJ$2:$AJ$1001,MATCH(ROWS($AH$2:AH705),$AH$2:$AH$1001,0),0), INDEX($AO$1004:$BQ$1004,1,MATCH(COLUMNS($AO$1006:AU1006),$AO$1006:$BQ$1006,0)))),"Fix")))</f>
        <v>#N/A</v>
      </c>
      <c r="I705" s="5" t="e">
        <f ca="1">IF(OR(INDEX($AI$2:$AI$1001,MATCH(ROWS($AH$2:AH705),$AH$2:$AH$1001,0),1)&gt;=100000,INDEX($AO$1005:$BQ$1005,1,MATCH(COLUMNS($AO$1006:AV1006),$AO$1006:$BQ$1006,0))&gt;=100000), " ",IF(INDEX($AO$2:$BQ$1001,MATCH(ROWS($AH$2:AH705),$AH$2:$AH$1001,0),MATCH(COLUMNS($AO$1006:AV1006),$AO$1006:$BQ$1006,0)), HYPERLINK("#",""), HYPERLINK(CONCATENATE("#Metadata!", ADDRESS(INDEX($AJ$2:$AJ$1001,MATCH(ROWS($AH$2:AH705),$AH$2:$AH$1001,0),0), INDEX($AO$1004:$BQ$1004,1,MATCH(COLUMNS($AO$1006:AV1006),$AO$1006:$BQ$1006,0)))),"Fix")))</f>
        <v>#N/A</v>
      </c>
      <c r="J705" s="5" t="e">
        <f ca="1">IF(OR(INDEX($AI$2:$AI$1001,MATCH(ROWS($AH$2:AH705),$AH$2:$AH$1001,0),1)&gt;=100000,INDEX($AO$1005:$BQ$1005,1,MATCH(COLUMNS($AO$1006:AW1006),$AO$1006:$BQ$1006,0))&gt;=100000), " ",IF(INDEX($AO$2:$BQ$1001,MATCH(ROWS($AH$2:AH705),$AH$2:$AH$1001,0),MATCH(COLUMNS($AO$1006:AW1006),$AO$1006:$BQ$1006,0)), HYPERLINK("#",""), HYPERLINK(CONCATENATE("#Metadata!", ADDRESS(INDEX($AJ$2:$AJ$1001,MATCH(ROWS($AH$2:AH705),$AH$2:$AH$1001,0),0), INDEX($AO$1004:$BQ$1004,1,MATCH(COLUMNS($AO$1006:AW1006),$AO$1006:$BQ$1006,0)))),"Fix")))</f>
        <v>#N/A</v>
      </c>
      <c r="K705" s="5" t="e">
        <f ca="1">IF(OR(INDEX($AI$2:$AI$1001,MATCH(ROWS($AH$2:AH705),$AH$2:$AH$1001,0),1)&gt;=100000,INDEX($AO$1005:$BQ$1005,1,MATCH(COLUMNS($AO$1006:AX1006),$AO$1006:$BQ$1006,0))&gt;=100000), " ",IF(INDEX($AO$2:$BQ$1001,MATCH(ROWS($AH$2:AH705),$AH$2:$AH$1001,0),MATCH(COLUMNS($AO$1006:AX1006),$AO$1006:$BQ$1006,0)), HYPERLINK("#",""), HYPERLINK(CONCATENATE("#Metadata!", ADDRESS(INDEX($AJ$2:$AJ$1001,MATCH(ROWS($AH$2:AH705),$AH$2:$AH$1001,0),0), INDEX($AO$1004:$BQ$1004,1,MATCH(COLUMNS($AO$1006:AX1006),$AO$1006:$BQ$1006,0)))),"Fix")))</f>
        <v>#N/A</v>
      </c>
      <c r="L705" s="5" t="e">
        <f ca="1">IF(OR(INDEX($AI$2:$AI$1001,MATCH(ROWS($AH$2:AH705),$AH$2:$AH$1001,0),1)&gt;=100000,INDEX($AO$1005:$BQ$1005,1,MATCH(COLUMNS($AO$1006:AY1006),$AO$1006:$BQ$1006,0))&gt;=100000), " ",IF(INDEX($AO$2:$BQ$1001,MATCH(ROWS($AH$2:AH705),$AH$2:$AH$1001,0),MATCH(COLUMNS($AO$1006:AY1006),$AO$1006:$BQ$1006,0)), HYPERLINK("#",""), HYPERLINK(CONCATENATE("#Metadata!", ADDRESS(INDEX($AJ$2:$AJ$1001,MATCH(ROWS($AH$2:AH705),$AH$2:$AH$1001,0),0), INDEX($AO$1004:$BQ$1004,1,MATCH(COLUMNS($AO$1006:AY1006),$AO$1006:$BQ$1006,0)))),"Fix")))</f>
        <v>#N/A</v>
      </c>
      <c r="M705" s="5" t="e">
        <f ca="1">IF(OR(INDEX($AI$2:$AI$1001,MATCH(ROWS($AH$2:AH705),$AH$2:$AH$1001,0),1)&gt;=100000,INDEX($AO$1005:$BQ$1005,1,MATCH(COLUMNS($AO$1006:AZ1006),$AO$1006:$BQ$1006,0))&gt;=100000), " ",IF(INDEX($AO$2:$BQ$1001,MATCH(ROWS($AH$2:AH705),$AH$2:$AH$1001,0),MATCH(COLUMNS($AO$1006:AZ1006),$AO$1006:$BQ$1006,0)), HYPERLINK("#",""), HYPERLINK(CONCATENATE("#Metadata!", ADDRESS(INDEX($AJ$2:$AJ$1001,MATCH(ROWS($AH$2:AH705),$AH$2:$AH$1001,0),0), INDEX($AO$1004:$BQ$1004,1,MATCH(COLUMNS($AO$1006:AZ1006),$AO$1006:$BQ$1006,0)))),"Fix")))</f>
        <v>#N/A</v>
      </c>
      <c r="N705" s="5" t="e">
        <f ca="1">IF(OR(INDEX($AI$2:$AI$1001,MATCH(ROWS($AH$2:AH705),$AH$2:$AH$1001,0),1)&gt;=100000,INDEX($AO$1005:$BQ$1005,1,MATCH(COLUMNS($AO$1006:BA1006),$AO$1006:$BQ$1006,0))&gt;=100000), " ",IF(INDEX($AO$2:$BQ$1001,MATCH(ROWS($AH$2:AH705),$AH$2:$AH$1001,0),MATCH(COLUMNS($AO$1006:BA1006),$AO$1006:$BQ$1006,0)), HYPERLINK("#",""), HYPERLINK(CONCATENATE("#Metadata!", ADDRESS(INDEX($AJ$2:$AJ$1001,MATCH(ROWS($AH$2:AH705),$AH$2:$AH$1001,0),0), INDEX($AO$1004:$BQ$1004,1,MATCH(COLUMNS($AO$1006:BA1006),$AO$1006:$BQ$1006,0)))),"Fix")))</f>
        <v>#N/A</v>
      </c>
      <c r="O705" s="5" t="e">
        <f ca="1">IF(OR(INDEX($AI$2:$AI$1001,MATCH(ROWS($AH$2:AH705),$AH$2:$AH$1001,0),1)&gt;=100000,INDEX($AO$1005:$BQ$1005,1,MATCH(COLUMNS($AO$1006:BB1006),$AO$1006:$BQ$1006,0))&gt;=100000), " ",IF(INDEX($AO$2:$BQ$1001,MATCH(ROWS($AH$2:AH705),$AH$2:$AH$1001,0),MATCH(COLUMNS($AO$1006:BB1006),$AO$1006:$BQ$1006,0)), HYPERLINK("#",""), HYPERLINK(CONCATENATE("#Metadata!", ADDRESS(INDEX($AJ$2:$AJ$1001,MATCH(ROWS($AH$2:AH705),$AH$2:$AH$1001,0),0), INDEX($AO$1004:$BQ$1004,1,MATCH(COLUMNS($AO$1006:BB1006),$AO$1006:$BQ$1006,0)))),"Fix")))</f>
        <v>#N/A</v>
      </c>
      <c r="P705" s="5" t="e">
        <f ca="1">IF(OR(INDEX($AI$2:$AI$1001,MATCH(ROWS($AH$2:AH705),$AH$2:$AH$1001,0),1)&gt;=100000,INDEX($AO$1005:$BQ$1005,1,MATCH(COLUMNS($AO$1006:BC1006),$AO$1006:$BQ$1006,0))&gt;=100000), " ",IF(INDEX($AO$2:$BQ$1001,MATCH(ROWS($AH$2:AH705),$AH$2:$AH$1001,0),MATCH(COLUMNS($AO$1006:BC1006),$AO$1006:$BQ$1006,0)), HYPERLINK("#",""), HYPERLINK(CONCATENATE("#Metadata!", ADDRESS(INDEX($AJ$2:$AJ$1001,MATCH(ROWS($AH$2:AH705),$AH$2:$AH$1001,0),0), INDEX($AO$1004:$BQ$1004,1,MATCH(COLUMNS($AO$1006:BC1006),$AO$1006:$BQ$1006,0)))),"Fix")))</f>
        <v>#N/A</v>
      </c>
      <c r="Q705" s="5" t="e">
        <f ca="1">IF(OR(INDEX($AI$2:$AI$1001,MATCH(ROWS($AH$2:AH705),$AH$2:$AH$1001,0),1)&gt;=100000,INDEX($AO$1005:$BQ$1005,1,MATCH(COLUMNS($AO$1006:BD1006),$AO$1006:$BQ$1006,0))&gt;=100000), " ",IF(INDEX($AO$2:$BQ$1001,MATCH(ROWS($AH$2:AH705),$AH$2:$AH$1001,0),MATCH(COLUMNS($AO$1006:BD1006),$AO$1006:$BQ$1006,0)), HYPERLINK("#",""), HYPERLINK(CONCATENATE("#Metadata!", ADDRESS(INDEX($AJ$2:$AJ$1001,MATCH(ROWS($AH$2:AH705),$AH$2:$AH$1001,0),0), INDEX($AO$1004:$BQ$1004,1,MATCH(COLUMNS($AO$1006:BD1006),$AO$1006:$BQ$1006,0)))),"Fix")))</f>
        <v>#N/A</v>
      </c>
      <c r="R705" s="5" t="e">
        <f ca="1">IF(OR(INDEX($AI$2:$AI$1001,MATCH(ROWS($AH$2:AH705),$AH$2:$AH$1001,0),1)&gt;=100000,INDEX($AO$1005:$BQ$1005,1,MATCH(COLUMNS($AO$1006:BE1006),$AO$1006:$BQ$1006,0))&gt;=100000), " ",IF(INDEX($AO$2:$BQ$1001,MATCH(ROWS($AH$2:AH705),$AH$2:$AH$1001,0),MATCH(COLUMNS($AO$1006:BE1006),$AO$1006:$BQ$1006,0)), HYPERLINK("#",""), HYPERLINK(CONCATENATE("#Metadata!", ADDRESS(INDEX($AJ$2:$AJ$1001,MATCH(ROWS($AH$2:AH705),$AH$2:$AH$1001,0),0), INDEX($AO$1004:$BQ$1004,1,MATCH(COLUMNS($AO$1006:BE1006),$AO$1006:$BQ$1006,0)))),"Fix")))</f>
        <v>#N/A</v>
      </c>
      <c r="S705" s="5" t="e">
        <f ca="1">IF(OR(INDEX($AI$2:$AI$1001,MATCH(ROWS($AH$2:AH705),$AH$2:$AH$1001,0),1)&gt;=100000,INDEX($AO$1005:$BQ$1005,1,MATCH(COLUMNS($AO$1006:BF1006),$AO$1006:$BQ$1006,0))&gt;=100000), " ",IF(INDEX($AO$2:$BQ$1001,MATCH(ROWS($AH$2:AH705),$AH$2:$AH$1001,0),MATCH(COLUMNS($AO$1006:BF1006),$AO$1006:$BQ$1006,0)), HYPERLINK("#",""), HYPERLINK(CONCATENATE("#Metadata!", ADDRESS(INDEX($AJ$2:$AJ$1001,MATCH(ROWS($AH$2:AH705),$AH$2:$AH$1001,0),0), INDEX($AO$1004:$BQ$1004,1,MATCH(COLUMNS($AO$1006:BF1006),$AO$1006:$BQ$1006,0)))),"Fix")))</f>
        <v>#N/A</v>
      </c>
      <c r="T705" s="5" t="e">
        <f ca="1">IF(OR(INDEX($AI$2:$AI$1001,MATCH(ROWS($AH$2:AH705),$AH$2:$AH$1001,0),1)&gt;=100000,INDEX($AO$1005:$BQ$1005,1,MATCH(COLUMNS($AO$1006:BG1006),$AO$1006:$BQ$1006,0))&gt;=100000), " ",IF(INDEX($AO$2:$BQ$1001,MATCH(ROWS($AH$2:AH705),$AH$2:$AH$1001,0),MATCH(COLUMNS($AO$1006:BG1006),$AO$1006:$BQ$1006,0)), HYPERLINK("#",""), HYPERLINK(CONCATENATE("#Metadata!", ADDRESS(INDEX($AJ$2:$AJ$1001,MATCH(ROWS($AH$2:AH705),$AH$2:$AH$1001,0),0), INDEX($AO$1004:$BQ$1004,1,MATCH(COLUMNS($AO$1006:BG1006),$AO$1006:$BQ$1006,0)))),"Fix")))</f>
        <v>#N/A</v>
      </c>
      <c r="U705" s="5" t="e">
        <f ca="1">IF(OR(INDEX($AI$2:$AI$1001,MATCH(ROWS($AH$2:AH705),$AH$2:$AH$1001,0),1)&gt;=100000,INDEX($AO$1005:$BQ$1005,1,MATCH(COLUMNS($AO$1006:BH1006),$AO$1006:$BQ$1006,0))&gt;=100000), " ",IF(INDEX($AO$2:$BQ$1001,MATCH(ROWS($AH$2:AH705),$AH$2:$AH$1001,0),MATCH(COLUMNS($AO$1006:BH1006),$AO$1006:$BQ$1006,0)), HYPERLINK("#",""), HYPERLINK(CONCATENATE("#Metadata!", ADDRESS(INDEX($AJ$2:$AJ$1001,MATCH(ROWS($AH$2:AH705),$AH$2:$AH$1001,0),0), INDEX($AO$1004:$BQ$1004,1,MATCH(COLUMNS($AO$1006:BH1006),$AO$1006:$BQ$1006,0)))),"Fix")))</f>
        <v>#N/A</v>
      </c>
      <c r="V705" s="5" t="e">
        <f ca="1">IF(OR(INDEX($AI$2:$AI$1001,MATCH(ROWS($AH$2:AH705),$AH$2:$AH$1001,0),1)&gt;=100000,INDEX($AO$1005:$BQ$1005,1,MATCH(COLUMNS($AO$1006:BI1006),$AO$1006:$BQ$1006,0))&gt;=100000), " ",IF(INDEX($AO$2:$BQ$1001,MATCH(ROWS($AH$2:AH705),$AH$2:$AH$1001,0),MATCH(COLUMNS($AO$1006:BI1006),$AO$1006:$BQ$1006,0)), HYPERLINK("#",""), HYPERLINK(CONCATENATE("#Metadata!", ADDRESS(INDEX($AJ$2:$AJ$1001,MATCH(ROWS($AH$2:AH705),$AH$2:$AH$1001,0),0), INDEX($AO$1004:$BQ$1004,1,MATCH(COLUMNS($AO$1006:BI1006),$AO$1006:$BQ$1006,0)))),"Fix")))</f>
        <v>#N/A</v>
      </c>
      <c r="W705" s="5" t="e">
        <f ca="1">IF(OR(INDEX($AI$2:$AI$1001,MATCH(ROWS($AH$2:AH705),$AH$2:$AH$1001,0),1)&gt;=100000,INDEX($AO$1005:$BQ$1005,1,MATCH(COLUMNS($AO$1006:BJ1006),$AO$1006:$BQ$1006,0))&gt;=100000), " ",IF(INDEX($AO$2:$BQ$1001,MATCH(ROWS($AH$2:AH705),$AH$2:$AH$1001,0),MATCH(COLUMNS($AO$1006:BJ1006),$AO$1006:$BQ$1006,0)), HYPERLINK("#",""), HYPERLINK(CONCATENATE("#Metadata!", ADDRESS(INDEX($AJ$2:$AJ$1001,MATCH(ROWS($AH$2:AH705),$AH$2:$AH$1001,0),0), INDEX($AO$1004:$BQ$1004,1,MATCH(COLUMNS($AO$1006:BJ1006),$AO$1006:$BQ$1006,0)))),"Fix")))</f>
        <v>#N/A</v>
      </c>
      <c r="X705" s="5" t="e">
        <f ca="1">IF(OR(INDEX($AI$2:$AI$1001,MATCH(ROWS($AH$2:AH705),$AH$2:$AH$1001,0),1)&gt;=100000,INDEX($AO$1005:$BQ$1005,1,MATCH(COLUMNS($AO$1006:BK1006),$AO$1006:$BQ$1006,0))&gt;=100000), " ",IF(INDEX($AO$2:$BQ$1001,MATCH(ROWS($AH$2:AH705),$AH$2:$AH$1001,0),MATCH(COLUMNS($AO$1006:BK1006),$AO$1006:$BQ$1006,0)), HYPERLINK("#",""), HYPERLINK(CONCATENATE("#Metadata!", ADDRESS(INDEX($AJ$2:$AJ$1001,MATCH(ROWS($AH$2:AH705),$AH$2:$AH$1001,0),0), INDEX($AO$1004:$BQ$1004,1,MATCH(COLUMNS($AO$1006:BK1006),$AO$1006:$BQ$1006,0)))),"Fix")))</f>
        <v>#N/A</v>
      </c>
      <c r="Y705" s="5" t="e">
        <f ca="1">IF(OR(INDEX($AI$2:$AI$1001,MATCH(ROWS($AH$2:AH705),$AH$2:$AH$1001,0),1)&gt;=100000,INDEX($AO$1005:$BQ$1005,1,MATCH(COLUMNS($AO$1006:BL1006),$AO$1006:$BQ$1006,0))&gt;=100000), " ",IF(INDEX($AO$2:$BQ$1001,MATCH(ROWS($AH$2:AH705),$AH$2:$AH$1001,0),MATCH(COLUMNS($AO$1006:BL1006),$AO$1006:$BQ$1006,0)), HYPERLINK("#",""), HYPERLINK(CONCATENATE("#Metadata!", ADDRESS(INDEX($AJ$2:$AJ$1001,MATCH(ROWS($AH$2:AH705),$AH$2:$AH$1001,0),0), INDEX($AO$1004:$BQ$1004,1,MATCH(COLUMNS($AO$1006:BL1006),$AO$1006:$BQ$1006,0)))),"Fix")))</f>
        <v>#N/A</v>
      </c>
      <c r="Z705" s="5" t="e">
        <f ca="1">IF(OR(INDEX($AI$2:$AI$1001,MATCH(ROWS($AH$2:AH705),$AH$2:$AH$1001,0),1)&gt;=100000,INDEX($AO$1005:$BQ$1005,1,MATCH(COLUMNS($AO$1006:BM1006),$AO$1006:$BQ$1006,0))&gt;=100000), " ",IF(INDEX($AO$2:$BQ$1001,MATCH(ROWS($AH$2:AH705),$AH$2:$AH$1001,0),MATCH(COLUMNS($AO$1006:BM1006),$AO$1006:$BQ$1006,0)), HYPERLINK("#",""), HYPERLINK(CONCATENATE("#Metadata!", ADDRESS(INDEX($AJ$2:$AJ$1001,MATCH(ROWS($AH$2:AH705),$AH$2:$AH$1001,0),0), INDEX($AO$1004:$BQ$1004,1,MATCH(COLUMNS($AO$1006:BM1006),$AO$1006:$BQ$1006,0)))),"Fix")))</f>
        <v>#N/A</v>
      </c>
      <c r="AA705" s="5" t="e">
        <f ca="1">IF(OR(INDEX($AI$2:$AI$1001,MATCH(ROWS($AH$2:AH705),$AH$2:$AH$1001,0),1)&gt;=100000,INDEX($AO$1005:$BQ$1005,1,MATCH(COLUMNS($AO$1006:BN1006),$AO$1006:$BQ$1006,0))&gt;=100000), " ",IF(INDEX($AO$2:$BQ$1001,MATCH(ROWS($AH$2:AH705),$AH$2:$AH$1001,0),MATCH(COLUMNS($AO$1006:BN1006),$AO$1006:$BQ$1006,0)), HYPERLINK("#",""), HYPERLINK(CONCATENATE("#Metadata!", ADDRESS(INDEX($AJ$2:$AJ$1001,MATCH(ROWS($AH$2:AH705),$AH$2:$AH$1001,0),0), INDEX($AO$1004:$BQ$1004,1,MATCH(COLUMNS($AO$1006:BN1006),$AO$1006:$BQ$1006,0)))),"Fix")))</f>
        <v>#N/A</v>
      </c>
      <c r="AB705" s="5" t="e">
        <f ca="1">IF(OR(INDEX($AI$2:$AI$1001,MATCH(ROWS($AH$2:AH705),$AH$2:$AH$1001,0),1)&gt;=100000,INDEX($AO$1005:$BQ$1005,1,MATCH(COLUMNS($AO$1006:BO1006),$AO$1006:$BQ$1006,0))&gt;=100000), " ",IF(INDEX($AO$2:$BQ$1001,MATCH(ROWS($AH$2:AH705),$AH$2:$AH$1001,0),MATCH(COLUMNS($AO$1006:BO1006),$AO$1006:$BQ$1006,0)), HYPERLINK("#",""), HYPERLINK(CONCATENATE("#Metadata!", ADDRESS(INDEX($AJ$2:$AJ$1001,MATCH(ROWS($AH$2:AH705),$AH$2:$AH$1001,0),0), INDEX($AO$1004:$BQ$1004,1,MATCH(COLUMNS($AO$1006:BO1006),$AO$1006:$BQ$1006,0)))),"Fix")))</f>
        <v>#N/A</v>
      </c>
      <c r="AC705" s="5" t="e">
        <f ca="1">IF(OR(INDEX($AI$2:$AI$1001,MATCH(ROWS($AH$2:AH705),$AH$2:$AH$1001,0),1)&gt;=100000,INDEX($AO$1005:$BQ$1005,1,MATCH(COLUMNS($AO$1006:BP1006),$AO$1006:$BQ$1006,0))&gt;=100000), " ",IF(INDEX($AO$2:$BQ$1001,MATCH(ROWS($AH$2:AH705),$AH$2:$AH$1001,0),MATCH(COLUMNS($AO$1006:BP1006),$AO$1006:$BQ$1006,0)), HYPERLINK("#",""), HYPERLINK(CONCATENATE("#Metadata!", ADDRESS(INDEX($AJ$2:$AJ$1001,MATCH(ROWS($AH$2:AH705),$AH$2:$AH$1001,0),0), INDEX($AO$1004:$BQ$1004,1,MATCH(COLUMNS($AO$1006:BP1006),$AO$1006:$BQ$1006,0)))),"Fix")))</f>
        <v>#N/A</v>
      </c>
      <c r="AD705" s="5" t="e">
        <f ca="1">IF(OR(INDEX($AI$2:$AI$1001,MATCH(ROWS($AH$2:AH705),$AH$2:$AH$1001,0),1)&gt;=100000,INDEX($AO$1005:$BQ$1005,1,MATCH(COLUMNS($AO$1006:BQ1006),$AO$1006:$BQ$1006,0))&gt;=100000), " ",IF(INDEX($AO$2:$BQ$1001,MATCH(ROWS($AH$2:AH705),$AH$2:$AH$1001,0),MATCH(COLUMNS($AO$1006:BQ1006),$AO$1006:$BQ$1006,0)), HYPERLINK("#",""), HYPERLINK(CONCATENATE("#Metadata!", ADDRESS(INDEX($AJ$2:$AJ$1001,MATCH(ROWS($AH$2:AH705),$AH$2:$AH$1001,0),0), INDEX($AO$1004:$BQ$1004,1,MATCH(COLUMNS($AO$1006:BQ1006),$AO$1006:$BQ$1006,0)))),"Fix")))</f>
        <v>#REF!</v>
      </c>
      <c r="AH705">
        <f ca="1"/>
        <v>702</v>
      </c>
      <c r="AI705">
        <v>100705</v>
      </c>
      <c r="AJ705">
        <v>705</v>
      </c>
      <c r="AK705" t="b">
        <f t="shared" si="10"/>
        <v>1</v>
      </c>
      <c r="AL705" t="b">
        <f>COUNTBLANK(Metadata!B705:AD705)=COLUMNS(Metadata!B705:AD705)</f>
        <v>1</v>
      </c>
      <c r="AM705" t="str">
        <v/>
      </c>
      <c r="AO705" t="b">
        <f ca="1">AND(IF(Metadata!B705="",FALSE,TRUE),COUNTIF(Metadata!B:B, Metadata!B705) = 1,NOT(ISERROR(SUMPRODUCT(SEARCH(MID(Metadata!B705,ROW(INDIRECT("1:"&amp;LEN(Metadata!B705))), 1),"0123456789abcdefghijklmnopqrstuvwxyzABCDEFGHIJKLMNOPQRSTUVWXYZ.")))))</f>
        <v>0</v>
      </c>
      <c r="AP705" t="b">
        <f>IF(Metadata!C705="",FALSE,TRUE)</f>
        <v>0</v>
      </c>
      <c r="AQ705" t="b">
        <f>IF(Metadata!D705="",FALSE,TRUE)</f>
        <v>0</v>
      </c>
      <c r="AR705" t="b">
        <f ca="1">OR(AND(IF(Metadata!E705="",FALSE,TRUE),OR(EXACT(Metadata!E705,"not collected"),EXACT(Metadata!E705,"not provided"),EXACT(Metadata!E705,"restricted access"))),AND(IF(Metadata!E705="",FALSE,TRUE),AND(AND(IFERROR(INT(LEFT(Metadata!E705,4))&gt;1900,FALSE),IFERROR(INT(LEFT(Metadata!E705,4))&lt;=YEAR(NOW()),FALSE)), OR(MID(Metadata!E705,5,1)="", AND(AND(MID(Metadata!E705,5,1)="-",IFERROR(INT(MID(Metadata!E705,6,1))&gt;=0,FALSE),IFERROR(INT(MID(Metadata!E705,6,1))&lt;=1,FALSE),NOT(MID(Metadata!E705,7,1)=""),IFERROR(INT(MID(Metadata!E705,6,2))&gt;=1,FALSE),IFERROR(INT(MID(Metadata!E705,6,2))&lt;=12,FALSE)), OR(MID(Metadata!E705,8,1)="", AND(AND(MID(Metadata!E705,8,1)="-",IFERROR(INT(MID(Metadata!E705,9,1))&gt;=0,FALSE),IFERROR(INT(MID(Metadata!E705,9,1))&lt;=3,FALSE),NOT(MID(Metadata!E705,10,1)=""),IFERROR(INT(MID(Metadata!E705,9,2))&gt;=1,FALSE),IFERROR(INT(MID(Metadata!E705,9,2))&lt;=31,FALSE)), OR(MID(Metadata!E705,11,1)="", AND(AND(MID(Metadata!E705,11,1)=" ",IFERROR(INT(MID(Metadata!E705,12,1))&gt;=0,FALSE),IFERROR(INT(MID(Metadata!E705,12,1))&lt;=2,FALSE),NOT(MID(Metadata!E705,13,1)=""),IFERROR(INT(MID(Metadata!E705,12,2))&gt;=0,FALSE),IFERROR(INT(MID(Metadata!E705,12,2))&lt;=23,FALSE)), OR(MID(Metadata!E705,14,1)="", AND(AND(MID(Metadata!E705,14,1)=":",IFERROR(INT(MID(Metadata!E705,15,1))&gt;=0,FALSE),IFERROR(INT(MID(Metadata!E705,15,1))&lt;=5,FALSE),NOT(MID(Metadata!E705,16,1)=""),IFERROR(INT(MID(Metadata!E705,15,2))&gt;=0,FALSE),IFERROR(INT(MID(Metadata!E705,15,2))&lt;=59,FALSE)), OR(MID(Metadata!E705,17,1)="", AND(AND(MID(Metadata!E705,17,1)=":",IFERROR(INT(MID(Metadata!E705,18,1))&gt;=0,FALSE),IFERROR(INT(MID(Metadata!E705,18,1))&lt;=5,FALSE),NOT(MID(Metadata!E705,19,1)=""),IFERROR(INT(MID(Metadata!E705,18,2))&gt;=0,FALSE),IFERROR(INT(MID(Metadata!E705,18,2))&lt;=59,FALSE)), LEN(Metadata!E705)&lt;=19)))))))))))))</f>
        <v>0</v>
      </c>
      <c r="AS705" t="b">
        <f>IF(Metadata!F705="",FALSE,TRUE)</f>
        <v>0</v>
      </c>
      <c r="AT705" t="b">
        <f>OR(AND(IF(Metadata!G705="",FALSE,TRUE),OR(EXACT(Metadata!G705,"not collected"),EXACT(Metadata!G705,"not provided"))),AND(IF(Metadata!G705="",FALSE,TRUE),OR(EXACT(Metadata!G705,"TRUE"),EXACT(Metadata!G705,"FALSE"))))</f>
        <v>0</v>
      </c>
      <c r="AU705" t="b">
        <f>OR(AND(IF(Metadata!H705="",FALSE,TRUE),OR(EXACT(Metadata!H705,"not collected"),EXACT(Metadata!H705,"not provided"),EXACT(Metadata!H705,"restricted access"))),AND(IF(Metadata!H705="",FALSE,ISNUMBER(VALUE(Metadata!H705))),Metadata!H705&gt;=-413))</f>
        <v>0</v>
      </c>
      <c r="AV705" t="b">
        <f>AND(IF(Metadata!I705="",FALSE,TRUE),EXACT(Metadata!I705,"meters"))</f>
        <v>0</v>
      </c>
      <c r="AW705" t="b">
        <f>AND(IF(Metadata!J705="",FALSE,TRUE),EXACT(Metadata!J705,"free-living"))</f>
        <v>0</v>
      </c>
      <c r="AX705" t="b">
        <f>AND(IF(Metadata!K705="",FALSE,TRUE),OR(EXACT(Metadata!K705,"saline"),EXACT(Metadata!K705,"non-saline")))</f>
        <v>0</v>
      </c>
      <c r="AY705" t="b">
        <f>AND(IF(Metadata!L705="",FALSE,TRUE),OR(EXACT(Metadata!L705,"sub-surface (non-saline)"),EXACT(Metadata!L705,"surface (non-saline)"),EXACT(Metadata!L705,"water (non-saline)"),EXACT(Metadata!L705,"soil (non-saline)"),EXACT(Metadata!L705,"aerosol (non-saline)"),EXACT(Metadata!L705,"sediment (non-saline)"),EXACT(Metadata!L705,"surface (saline)"),EXACT(Metadata!L705,"water (saline)"),EXACT(Metadata!L705,"hypersaline (saline)"),EXACT(Metadata!L705,"aerosol (saline)"),EXACT(Metadata!L705,"sediment (saline)")))</f>
        <v>0</v>
      </c>
      <c r="AZ705" t="b">
        <f>IF(Metadata!M705="",FALSE,TRUE)</f>
        <v>0</v>
      </c>
      <c r="BA705" t="b">
        <f>IF(Metadata!N705="",FALSE,TRUE)</f>
        <v>0</v>
      </c>
      <c r="BB705" t="b">
        <f>IF(Metadata!O705="",FALSE,TRUE)</f>
        <v>0</v>
      </c>
      <c r="BC705" t="b">
        <f>AND(IF(Metadata!P705="",FALSE,TRUE),OR(EXACT(Metadata!P705,"air"),EXACT(Metadata!P705,"microbial mat/biofilm"),EXACT(Metadata!P705,"misc environment"),EXACT(Metadata!P705,"sediment"),EXACT(Metadata!P705,"soil"),EXACT(Metadata!P705,"wastewater/sludge"),EXACT(Metadata!P705,"water")))</f>
        <v>0</v>
      </c>
      <c r="BD705" t="b">
        <f>IF(Metadata!Q705="",FALSE,TRUE)</f>
        <v>0</v>
      </c>
      <c r="BE705" t="b">
        <f>IF(Metadata!R705="",FALSE,TRUE)</f>
        <v>0</v>
      </c>
      <c r="BF705" t="b">
        <f>OR(AND(IF(Metadata!S705="",FALSE,TRUE),OR(EXACT(Metadata!S705,"not collected"),EXACT(Metadata!S705,"not provided"),EXACT(Metadata!S705,"restricted access"))),AND(IF(Metadata!S705="",FALSE,ISNUMBER(VALUE(Metadata!S705))),Metadata!S705&gt;=-90,Metadata!S705&lt;=90))</f>
        <v>0</v>
      </c>
      <c r="BG705" t="b">
        <f>AND(IF(Metadata!T705="",FALSE,TRUE),EXACT(Metadata!T705,"Decimal degrees"))</f>
        <v>0</v>
      </c>
      <c r="BH705" t="b">
        <f>OR(AND(IF(Metadata!U705="",FALSE,TRUE),OR(EXACT(Metadata!U705,"not applicable"),EXACT(Metadata!U705,"not collected"))),IF(Metadata!U705="",FALSE,TRUE))</f>
        <v>0</v>
      </c>
      <c r="BI705" t="b">
        <f>OR(AND(IF(Metadata!V705="",FALSE,TRUE),OR(EXACT(Metadata!V705,"not collected"),EXACT(Metadata!V705,"not provided"),EXACT(Metadata!V705,"restricted access"))),AND(IF(Metadata!V705="",FALSE,ISNUMBER(VALUE(Metadata!V705))),Metadata!V705&gt;=-180,Metadata!V705&lt;=180))</f>
        <v>0</v>
      </c>
      <c r="BJ705" t="b">
        <f>AND(IF(Metadata!W705="",FALSE,TRUE),EXACT(Metadata!W705,"Decimal degrees"))</f>
        <v>0</v>
      </c>
      <c r="BK705" t="b">
        <f>IF(Metadata!X705="",FALSE,TRUE)</f>
        <v>0</v>
      </c>
      <c r="BL705" t="b">
        <f>OR(AND(IF(Metadata!Y705="",FALSE,TRUE),OR(EXACT(Metadata!Y705,"not collected"),EXACT(Metadata!Y705,"not provided"),EXACT(Metadata!Y705,"restricted access"))),AND(IF(Metadata!Y705="",FALSE,TRUE),OR(EXACT(Metadata!Y705,"TRUE"),EXACT(Metadata!Y705,"FALSE"))))</f>
        <v>0</v>
      </c>
      <c r="BM705" t="b">
        <f>OR(AND(IF(Metadata!Z705="",FALSE,TRUE),EXACT(Metadata!Z705,"not applicable")),AND(IF(Metadata!Z705="",FALSE,TRUE),OR(EXACT(Metadata!Z705,"beer"),EXACT(Metadata!Z705,"cheese"),EXACT(Metadata!Z705,"fresh water"),EXACT(Metadata!Z705,"marine sediment"),EXACT(Metadata!Z705,"sea water"),EXACT(Metadata!Z705,"sediment"),EXACT(Metadata!Z705,"soil"),EXACT(Metadata!Z705,"waste water"))))</f>
        <v>0</v>
      </c>
      <c r="BN705" t="b">
        <f>AND(IF(Metadata!AA705="",FALSE,TRUE),EXACT(Metadata!AA705,"metagenome"))</f>
        <v>0</v>
      </c>
      <c r="BO705" t="b">
        <f>AND(IF(Metadata!AB705="",FALSE,TRUE),EXACT(Metadata!AB705,"256318"))</f>
        <v>0</v>
      </c>
      <c r="BP705" t="b">
        <f>IF(Metadata!AC705="",FALSE,TRUE)</f>
        <v>0</v>
      </c>
      <c r="BQ705" t="b">
        <f>IF(Metadata!AD705="",FALSE,TRUE)</f>
        <v>0</v>
      </c>
    </row>
    <row r="706" spans="1:69" x14ac:dyDescent="0.2">
      <c r="A706" s="4" t="e">
        <f ca="1">IF(B706=" "," ",HYPERLINK(CONCATENATE("#metadata!",ADDRESS(INDEX($AJ$2:$AJ$1001,MATCH(ROWS($AH$2:AH706),$AH$2:$AH$1001,0),0),2)),INDEX($AM$2:$AM$1001,MATCH(ROWS($AH$2:AH706),$AH$2:$AH$1001,0),0)))</f>
        <v>#N/A</v>
      </c>
      <c r="B706" s="5" t="e">
        <f ca="1">IF(OR(INDEX($AI$2:$AI$1001,MATCH(ROWS($AH$2:AH706),$AH$2:$AH$1001,0),1)&gt;=100000,INDEX($AO$1005:$BQ$1005,1,MATCH(COLUMNS($AO$1006:AO1006),$AO$1006:$BQ$1006,0))&gt;=100000), " ",IF(INDEX($AO$2:$BQ$1001,MATCH(ROWS($AH$2:AH706),$AH$2:$AH$1001,0),MATCH(COLUMNS($AO$1006:AO1006),$AO$1006:$BQ$1006,0)), HYPERLINK("#",""), HYPERLINK(CONCATENATE("#Metadata!", ADDRESS(INDEX($AJ$2:$AJ$1001,MATCH(ROWS($AH$2:AH706),$AH$2:$AH$1001,0),0), INDEX($AO$1004:$BQ$1004,1,MATCH(COLUMNS($AO$1006:AO1006),$AO$1006:$BQ$1006,0)))),"Fix")))</f>
        <v>#N/A</v>
      </c>
      <c r="C706" s="5" t="e">
        <f ca="1">IF(OR(INDEX($AI$2:$AI$1001,MATCH(ROWS($AH$2:AH706),$AH$2:$AH$1001,0),1)&gt;=100000,INDEX($AO$1005:$BQ$1005,1,MATCH(COLUMNS($AO$1006:AP1006),$AO$1006:$BQ$1006,0))&gt;=100000), " ",IF(INDEX($AO$2:$BQ$1001,MATCH(ROWS($AH$2:AH706),$AH$2:$AH$1001,0),MATCH(COLUMNS($AO$1006:AP1006),$AO$1006:$BQ$1006,0)), HYPERLINK("#",""), HYPERLINK(CONCATENATE("#Metadata!", ADDRESS(INDEX($AJ$2:$AJ$1001,MATCH(ROWS($AH$2:AH706),$AH$2:$AH$1001,0),0), INDEX($AO$1004:$BQ$1004,1,MATCH(COLUMNS($AO$1006:AP1006),$AO$1006:$BQ$1006,0)))),"Fix")))</f>
        <v>#N/A</v>
      </c>
      <c r="D706" s="5" t="e">
        <f ca="1">IF(OR(INDEX($AI$2:$AI$1001,MATCH(ROWS($AH$2:AH706),$AH$2:$AH$1001,0),1)&gt;=100000,INDEX($AO$1005:$BQ$1005,1,MATCH(COLUMNS($AO$1006:AQ1006),$AO$1006:$BQ$1006,0))&gt;=100000), " ",IF(INDEX($AO$2:$BQ$1001,MATCH(ROWS($AH$2:AH706),$AH$2:$AH$1001,0),MATCH(COLUMNS($AO$1006:AQ1006),$AO$1006:$BQ$1006,0)), HYPERLINK("#",""), HYPERLINK(CONCATENATE("#Metadata!", ADDRESS(INDEX($AJ$2:$AJ$1001,MATCH(ROWS($AH$2:AH706),$AH$2:$AH$1001,0),0), INDEX($AO$1004:$BQ$1004,1,MATCH(COLUMNS($AO$1006:AQ1006),$AO$1006:$BQ$1006,0)))),"Fix")))</f>
        <v>#N/A</v>
      </c>
      <c r="E706" s="5" t="e">
        <f ca="1">IF(OR(INDEX($AI$2:$AI$1001,MATCH(ROWS($AH$2:AH706),$AH$2:$AH$1001,0),1)&gt;=100000,INDEX($AO$1005:$BQ$1005,1,MATCH(COLUMNS($AO$1006:AR1006),$AO$1006:$BQ$1006,0))&gt;=100000), " ",IF(INDEX($AO$2:$BQ$1001,MATCH(ROWS($AH$2:AH706),$AH$2:$AH$1001,0),MATCH(COLUMNS($AO$1006:AR1006),$AO$1006:$BQ$1006,0)), HYPERLINK("#",""), HYPERLINK(CONCATENATE("#Metadata!", ADDRESS(INDEX($AJ$2:$AJ$1001,MATCH(ROWS($AH$2:AH706),$AH$2:$AH$1001,0),0), INDEX($AO$1004:$BQ$1004,1,MATCH(COLUMNS($AO$1006:AR1006),$AO$1006:$BQ$1006,0)))),"Fix")))</f>
        <v>#N/A</v>
      </c>
      <c r="F706" s="5" t="e">
        <f ca="1">IF(OR(INDEX($AI$2:$AI$1001,MATCH(ROWS($AH$2:AH706),$AH$2:$AH$1001,0),1)&gt;=100000,INDEX($AO$1005:$BQ$1005,1,MATCH(COLUMNS($AO$1006:AS1006),$AO$1006:$BQ$1006,0))&gt;=100000), " ",IF(INDEX($AO$2:$BQ$1001,MATCH(ROWS($AH$2:AH706),$AH$2:$AH$1001,0),MATCH(COLUMNS($AO$1006:AS1006),$AO$1006:$BQ$1006,0)), HYPERLINK("#",""), HYPERLINK(CONCATENATE("#Metadata!", ADDRESS(INDEX($AJ$2:$AJ$1001,MATCH(ROWS($AH$2:AH706),$AH$2:$AH$1001,0),0), INDEX($AO$1004:$BQ$1004,1,MATCH(COLUMNS($AO$1006:AS1006),$AO$1006:$BQ$1006,0)))),"Fix")))</f>
        <v>#N/A</v>
      </c>
      <c r="G706" s="5" t="e">
        <f ca="1">IF(OR(INDEX($AI$2:$AI$1001,MATCH(ROWS($AH$2:AH706),$AH$2:$AH$1001,0),1)&gt;=100000,INDEX($AO$1005:$BQ$1005,1,MATCH(COLUMNS($AO$1006:AT1006),$AO$1006:$BQ$1006,0))&gt;=100000), " ",IF(INDEX($AO$2:$BQ$1001,MATCH(ROWS($AH$2:AH706),$AH$2:$AH$1001,0),MATCH(COLUMNS($AO$1006:AT1006),$AO$1006:$BQ$1006,0)), HYPERLINK("#",""), HYPERLINK(CONCATENATE("#Metadata!", ADDRESS(INDEX($AJ$2:$AJ$1001,MATCH(ROWS($AH$2:AH706),$AH$2:$AH$1001,0),0), INDEX($AO$1004:$BQ$1004,1,MATCH(COLUMNS($AO$1006:AT1006),$AO$1006:$BQ$1006,0)))),"Fix")))</f>
        <v>#N/A</v>
      </c>
      <c r="H706" s="5" t="e">
        <f ca="1">IF(OR(INDEX($AI$2:$AI$1001,MATCH(ROWS($AH$2:AH706),$AH$2:$AH$1001,0),1)&gt;=100000,INDEX($AO$1005:$BQ$1005,1,MATCH(COLUMNS($AO$1006:AU1006),$AO$1006:$BQ$1006,0))&gt;=100000), " ",IF(INDEX($AO$2:$BQ$1001,MATCH(ROWS($AH$2:AH706),$AH$2:$AH$1001,0),MATCH(COLUMNS($AO$1006:AU1006),$AO$1006:$BQ$1006,0)), HYPERLINK("#",""), HYPERLINK(CONCATENATE("#Metadata!", ADDRESS(INDEX($AJ$2:$AJ$1001,MATCH(ROWS($AH$2:AH706),$AH$2:$AH$1001,0),0), INDEX($AO$1004:$BQ$1004,1,MATCH(COLUMNS($AO$1006:AU1006),$AO$1006:$BQ$1006,0)))),"Fix")))</f>
        <v>#N/A</v>
      </c>
      <c r="I706" s="5" t="e">
        <f ca="1">IF(OR(INDEX($AI$2:$AI$1001,MATCH(ROWS($AH$2:AH706),$AH$2:$AH$1001,0),1)&gt;=100000,INDEX($AO$1005:$BQ$1005,1,MATCH(COLUMNS($AO$1006:AV1006),$AO$1006:$BQ$1006,0))&gt;=100000), " ",IF(INDEX($AO$2:$BQ$1001,MATCH(ROWS($AH$2:AH706),$AH$2:$AH$1001,0),MATCH(COLUMNS($AO$1006:AV1006),$AO$1006:$BQ$1006,0)), HYPERLINK("#",""), HYPERLINK(CONCATENATE("#Metadata!", ADDRESS(INDEX($AJ$2:$AJ$1001,MATCH(ROWS($AH$2:AH706),$AH$2:$AH$1001,0),0), INDEX($AO$1004:$BQ$1004,1,MATCH(COLUMNS($AO$1006:AV1006),$AO$1006:$BQ$1006,0)))),"Fix")))</f>
        <v>#N/A</v>
      </c>
      <c r="J706" s="5" t="e">
        <f ca="1">IF(OR(INDEX($AI$2:$AI$1001,MATCH(ROWS($AH$2:AH706),$AH$2:$AH$1001,0),1)&gt;=100000,INDEX($AO$1005:$BQ$1005,1,MATCH(COLUMNS($AO$1006:AW1006),$AO$1006:$BQ$1006,0))&gt;=100000), " ",IF(INDEX($AO$2:$BQ$1001,MATCH(ROWS($AH$2:AH706),$AH$2:$AH$1001,0),MATCH(COLUMNS($AO$1006:AW1006),$AO$1006:$BQ$1006,0)), HYPERLINK("#",""), HYPERLINK(CONCATENATE("#Metadata!", ADDRESS(INDEX($AJ$2:$AJ$1001,MATCH(ROWS($AH$2:AH706),$AH$2:$AH$1001,0),0), INDEX($AO$1004:$BQ$1004,1,MATCH(COLUMNS($AO$1006:AW1006),$AO$1006:$BQ$1006,0)))),"Fix")))</f>
        <v>#N/A</v>
      </c>
      <c r="K706" s="5" t="e">
        <f ca="1">IF(OR(INDEX($AI$2:$AI$1001,MATCH(ROWS($AH$2:AH706),$AH$2:$AH$1001,0),1)&gt;=100000,INDEX($AO$1005:$BQ$1005,1,MATCH(COLUMNS($AO$1006:AX1006),$AO$1006:$BQ$1006,0))&gt;=100000), " ",IF(INDEX($AO$2:$BQ$1001,MATCH(ROWS($AH$2:AH706),$AH$2:$AH$1001,0),MATCH(COLUMNS($AO$1006:AX1006),$AO$1006:$BQ$1006,0)), HYPERLINK("#",""), HYPERLINK(CONCATENATE("#Metadata!", ADDRESS(INDEX($AJ$2:$AJ$1001,MATCH(ROWS($AH$2:AH706),$AH$2:$AH$1001,0),0), INDEX($AO$1004:$BQ$1004,1,MATCH(COLUMNS($AO$1006:AX1006),$AO$1006:$BQ$1006,0)))),"Fix")))</f>
        <v>#N/A</v>
      </c>
      <c r="L706" s="5" t="e">
        <f ca="1">IF(OR(INDEX($AI$2:$AI$1001,MATCH(ROWS($AH$2:AH706),$AH$2:$AH$1001,0),1)&gt;=100000,INDEX($AO$1005:$BQ$1005,1,MATCH(COLUMNS($AO$1006:AY1006),$AO$1006:$BQ$1006,0))&gt;=100000), " ",IF(INDEX($AO$2:$BQ$1001,MATCH(ROWS($AH$2:AH706),$AH$2:$AH$1001,0),MATCH(COLUMNS($AO$1006:AY1006),$AO$1006:$BQ$1006,0)), HYPERLINK("#",""), HYPERLINK(CONCATENATE("#Metadata!", ADDRESS(INDEX($AJ$2:$AJ$1001,MATCH(ROWS($AH$2:AH706),$AH$2:$AH$1001,0),0), INDEX($AO$1004:$BQ$1004,1,MATCH(COLUMNS($AO$1006:AY1006),$AO$1006:$BQ$1006,0)))),"Fix")))</f>
        <v>#N/A</v>
      </c>
      <c r="M706" s="5" t="e">
        <f ca="1">IF(OR(INDEX($AI$2:$AI$1001,MATCH(ROWS($AH$2:AH706),$AH$2:$AH$1001,0),1)&gt;=100000,INDEX($AO$1005:$BQ$1005,1,MATCH(COLUMNS($AO$1006:AZ1006),$AO$1006:$BQ$1006,0))&gt;=100000), " ",IF(INDEX($AO$2:$BQ$1001,MATCH(ROWS($AH$2:AH706),$AH$2:$AH$1001,0),MATCH(COLUMNS($AO$1006:AZ1006),$AO$1006:$BQ$1006,0)), HYPERLINK("#",""), HYPERLINK(CONCATENATE("#Metadata!", ADDRESS(INDEX($AJ$2:$AJ$1001,MATCH(ROWS($AH$2:AH706),$AH$2:$AH$1001,0),0), INDEX($AO$1004:$BQ$1004,1,MATCH(COLUMNS($AO$1006:AZ1006),$AO$1006:$BQ$1006,0)))),"Fix")))</f>
        <v>#N/A</v>
      </c>
      <c r="N706" s="5" t="e">
        <f ca="1">IF(OR(INDEX($AI$2:$AI$1001,MATCH(ROWS($AH$2:AH706),$AH$2:$AH$1001,0),1)&gt;=100000,INDEX($AO$1005:$BQ$1005,1,MATCH(COLUMNS($AO$1006:BA1006),$AO$1006:$BQ$1006,0))&gt;=100000), " ",IF(INDEX($AO$2:$BQ$1001,MATCH(ROWS($AH$2:AH706),$AH$2:$AH$1001,0),MATCH(COLUMNS($AO$1006:BA1006),$AO$1006:$BQ$1006,0)), HYPERLINK("#",""), HYPERLINK(CONCATENATE("#Metadata!", ADDRESS(INDEX($AJ$2:$AJ$1001,MATCH(ROWS($AH$2:AH706),$AH$2:$AH$1001,0),0), INDEX($AO$1004:$BQ$1004,1,MATCH(COLUMNS($AO$1006:BA1006),$AO$1006:$BQ$1006,0)))),"Fix")))</f>
        <v>#N/A</v>
      </c>
      <c r="O706" s="5" t="e">
        <f ca="1">IF(OR(INDEX($AI$2:$AI$1001,MATCH(ROWS($AH$2:AH706),$AH$2:$AH$1001,0),1)&gt;=100000,INDEX($AO$1005:$BQ$1005,1,MATCH(COLUMNS($AO$1006:BB1006),$AO$1006:$BQ$1006,0))&gt;=100000), " ",IF(INDEX($AO$2:$BQ$1001,MATCH(ROWS($AH$2:AH706),$AH$2:$AH$1001,0),MATCH(COLUMNS($AO$1006:BB1006),$AO$1006:$BQ$1006,0)), HYPERLINK("#",""), HYPERLINK(CONCATENATE("#Metadata!", ADDRESS(INDEX($AJ$2:$AJ$1001,MATCH(ROWS($AH$2:AH706),$AH$2:$AH$1001,0),0), INDEX($AO$1004:$BQ$1004,1,MATCH(COLUMNS($AO$1006:BB1006),$AO$1006:$BQ$1006,0)))),"Fix")))</f>
        <v>#N/A</v>
      </c>
      <c r="P706" s="5" t="e">
        <f ca="1">IF(OR(INDEX($AI$2:$AI$1001,MATCH(ROWS($AH$2:AH706),$AH$2:$AH$1001,0),1)&gt;=100000,INDEX($AO$1005:$BQ$1005,1,MATCH(COLUMNS($AO$1006:BC1006),$AO$1006:$BQ$1006,0))&gt;=100000), " ",IF(INDEX($AO$2:$BQ$1001,MATCH(ROWS($AH$2:AH706),$AH$2:$AH$1001,0),MATCH(COLUMNS($AO$1006:BC1006),$AO$1006:$BQ$1006,0)), HYPERLINK("#",""), HYPERLINK(CONCATENATE("#Metadata!", ADDRESS(INDEX($AJ$2:$AJ$1001,MATCH(ROWS($AH$2:AH706),$AH$2:$AH$1001,0),0), INDEX($AO$1004:$BQ$1004,1,MATCH(COLUMNS($AO$1006:BC1006),$AO$1006:$BQ$1006,0)))),"Fix")))</f>
        <v>#N/A</v>
      </c>
      <c r="Q706" s="5" t="e">
        <f ca="1">IF(OR(INDEX($AI$2:$AI$1001,MATCH(ROWS($AH$2:AH706),$AH$2:$AH$1001,0),1)&gt;=100000,INDEX($AO$1005:$BQ$1005,1,MATCH(COLUMNS($AO$1006:BD1006),$AO$1006:$BQ$1006,0))&gt;=100000), " ",IF(INDEX($AO$2:$BQ$1001,MATCH(ROWS($AH$2:AH706),$AH$2:$AH$1001,0),MATCH(COLUMNS($AO$1006:BD1006),$AO$1006:$BQ$1006,0)), HYPERLINK("#",""), HYPERLINK(CONCATENATE("#Metadata!", ADDRESS(INDEX($AJ$2:$AJ$1001,MATCH(ROWS($AH$2:AH706),$AH$2:$AH$1001,0),0), INDEX($AO$1004:$BQ$1004,1,MATCH(COLUMNS($AO$1006:BD1006),$AO$1006:$BQ$1006,0)))),"Fix")))</f>
        <v>#N/A</v>
      </c>
      <c r="R706" s="5" t="e">
        <f ca="1">IF(OR(INDEX($AI$2:$AI$1001,MATCH(ROWS($AH$2:AH706),$AH$2:$AH$1001,0),1)&gt;=100000,INDEX($AO$1005:$BQ$1005,1,MATCH(COLUMNS($AO$1006:BE1006),$AO$1006:$BQ$1006,0))&gt;=100000), " ",IF(INDEX($AO$2:$BQ$1001,MATCH(ROWS($AH$2:AH706),$AH$2:$AH$1001,0),MATCH(COLUMNS($AO$1006:BE1006),$AO$1006:$BQ$1006,0)), HYPERLINK("#",""), HYPERLINK(CONCATENATE("#Metadata!", ADDRESS(INDEX($AJ$2:$AJ$1001,MATCH(ROWS($AH$2:AH706),$AH$2:$AH$1001,0),0), INDEX($AO$1004:$BQ$1004,1,MATCH(COLUMNS($AO$1006:BE1006),$AO$1006:$BQ$1006,0)))),"Fix")))</f>
        <v>#N/A</v>
      </c>
      <c r="S706" s="5" t="e">
        <f ca="1">IF(OR(INDEX($AI$2:$AI$1001,MATCH(ROWS($AH$2:AH706),$AH$2:$AH$1001,0),1)&gt;=100000,INDEX($AO$1005:$BQ$1005,1,MATCH(COLUMNS($AO$1006:BF1006),$AO$1006:$BQ$1006,0))&gt;=100000), " ",IF(INDEX($AO$2:$BQ$1001,MATCH(ROWS($AH$2:AH706),$AH$2:$AH$1001,0),MATCH(COLUMNS($AO$1006:BF1006),$AO$1006:$BQ$1006,0)), HYPERLINK("#",""), HYPERLINK(CONCATENATE("#Metadata!", ADDRESS(INDEX($AJ$2:$AJ$1001,MATCH(ROWS($AH$2:AH706),$AH$2:$AH$1001,0),0), INDEX($AO$1004:$BQ$1004,1,MATCH(COLUMNS($AO$1006:BF1006),$AO$1006:$BQ$1006,0)))),"Fix")))</f>
        <v>#N/A</v>
      </c>
      <c r="T706" s="5" t="e">
        <f ca="1">IF(OR(INDEX($AI$2:$AI$1001,MATCH(ROWS($AH$2:AH706),$AH$2:$AH$1001,0),1)&gt;=100000,INDEX($AO$1005:$BQ$1005,1,MATCH(COLUMNS($AO$1006:BG1006),$AO$1006:$BQ$1006,0))&gt;=100000), " ",IF(INDEX($AO$2:$BQ$1001,MATCH(ROWS($AH$2:AH706),$AH$2:$AH$1001,0),MATCH(COLUMNS($AO$1006:BG1006),$AO$1006:$BQ$1006,0)), HYPERLINK("#",""), HYPERLINK(CONCATENATE("#Metadata!", ADDRESS(INDEX($AJ$2:$AJ$1001,MATCH(ROWS($AH$2:AH706),$AH$2:$AH$1001,0),0), INDEX($AO$1004:$BQ$1004,1,MATCH(COLUMNS($AO$1006:BG1006),$AO$1006:$BQ$1006,0)))),"Fix")))</f>
        <v>#N/A</v>
      </c>
      <c r="U706" s="5" t="e">
        <f ca="1">IF(OR(INDEX($AI$2:$AI$1001,MATCH(ROWS($AH$2:AH706),$AH$2:$AH$1001,0),1)&gt;=100000,INDEX($AO$1005:$BQ$1005,1,MATCH(COLUMNS($AO$1006:BH1006),$AO$1006:$BQ$1006,0))&gt;=100000), " ",IF(INDEX($AO$2:$BQ$1001,MATCH(ROWS($AH$2:AH706),$AH$2:$AH$1001,0),MATCH(COLUMNS($AO$1006:BH1006),$AO$1006:$BQ$1006,0)), HYPERLINK("#",""), HYPERLINK(CONCATENATE("#Metadata!", ADDRESS(INDEX($AJ$2:$AJ$1001,MATCH(ROWS($AH$2:AH706),$AH$2:$AH$1001,0),0), INDEX($AO$1004:$BQ$1004,1,MATCH(COLUMNS($AO$1006:BH1006),$AO$1006:$BQ$1006,0)))),"Fix")))</f>
        <v>#N/A</v>
      </c>
      <c r="V706" s="5" t="e">
        <f ca="1">IF(OR(INDEX($AI$2:$AI$1001,MATCH(ROWS($AH$2:AH706),$AH$2:$AH$1001,0),1)&gt;=100000,INDEX($AO$1005:$BQ$1005,1,MATCH(COLUMNS($AO$1006:BI1006),$AO$1006:$BQ$1006,0))&gt;=100000), " ",IF(INDEX($AO$2:$BQ$1001,MATCH(ROWS($AH$2:AH706),$AH$2:$AH$1001,0),MATCH(COLUMNS($AO$1006:BI1006),$AO$1006:$BQ$1006,0)), HYPERLINK("#",""), HYPERLINK(CONCATENATE("#Metadata!", ADDRESS(INDEX($AJ$2:$AJ$1001,MATCH(ROWS($AH$2:AH706),$AH$2:$AH$1001,0),0), INDEX($AO$1004:$BQ$1004,1,MATCH(COLUMNS($AO$1006:BI1006),$AO$1006:$BQ$1006,0)))),"Fix")))</f>
        <v>#N/A</v>
      </c>
      <c r="W706" s="5" t="e">
        <f ca="1">IF(OR(INDEX($AI$2:$AI$1001,MATCH(ROWS($AH$2:AH706),$AH$2:$AH$1001,0),1)&gt;=100000,INDEX($AO$1005:$BQ$1005,1,MATCH(COLUMNS($AO$1006:BJ1006),$AO$1006:$BQ$1006,0))&gt;=100000), " ",IF(INDEX($AO$2:$BQ$1001,MATCH(ROWS($AH$2:AH706),$AH$2:$AH$1001,0),MATCH(COLUMNS($AO$1006:BJ1006),$AO$1006:$BQ$1006,0)), HYPERLINK("#",""), HYPERLINK(CONCATENATE("#Metadata!", ADDRESS(INDEX($AJ$2:$AJ$1001,MATCH(ROWS($AH$2:AH706),$AH$2:$AH$1001,0),0), INDEX($AO$1004:$BQ$1004,1,MATCH(COLUMNS($AO$1006:BJ1006),$AO$1006:$BQ$1006,0)))),"Fix")))</f>
        <v>#N/A</v>
      </c>
      <c r="X706" s="5" t="e">
        <f ca="1">IF(OR(INDEX($AI$2:$AI$1001,MATCH(ROWS($AH$2:AH706),$AH$2:$AH$1001,0),1)&gt;=100000,INDEX($AO$1005:$BQ$1005,1,MATCH(COLUMNS($AO$1006:BK1006),$AO$1006:$BQ$1006,0))&gt;=100000), " ",IF(INDEX($AO$2:$BQ$1001,MATCH(ROWS($AH$2:AH706),$AH$2:$AH$1001,0),MATCH(COLUMNS($AO$1006:BK1006),$AO$1006:$BQ$1006,0)), HYPERLINK("#",""), HYPERLINK(CONCATENATE("#Metadata!", ADDRESS(INDEX($AJ$2:$AJ$1001,MATCH(ROWS($AH$2:AH706),$AH$2:$AH$1001,0),0), INDEX($AO$1004:$BQ$1004,1,MATCH(COLUMNS($AO$1006:BK1006),$AO$1006:$BQ$1006,0)))),"Fix")))</f>
        <v>#N/A</v>
      </c>
      <c r="Y706" s="5" t="e">
        <f ca="1">IF(OR(INDEX($AI$2:$AI$1001,MATCH(ROWS($AH$2:AH706),$AH$2:$AH$1001,0),1)&gt;=100000,INDEX($AO$1005:$BQ$1005,1,MATCH(COLUMNS($AO$1006:BL1006),$AO$1006:$BQ$1006,0))&gt;=100000), " ",IF(INDEX($AO$2:$BQ$1001,MATCH(ROWS($AH$2:AH706),$AH$2:$AH$1001,0),MATCH(COLUMNS($AO$1006:BL1006),$AO$1006:$BQ$1006,0)), HYPERLINK("#",""), HYPERLINK(CONCATENATE("#Metadata!", ADDRESS(INDEX($AJ$2:$AJ$1001,MATCH(ROWS($AH$2:AH706),$AH$2:$AH$1001,0),0), INDEX($AO$1004:$BQ$1004,1,MATCH(COLUMNS($AO$1006:BL1006),$AO$1006:$BQ$1006,0)))),"Fix")))</f>
        <v>#N/A</v>
      </c>
      <c r="Z706" s="5" t="e">
        <f ca="1">IF(OR(INDEX($AI$2:$AI$1001,MATCH(ROWS($AH$2:AH706),$AH$2:$AH$1001,0),1)&gt;=100000,INDEX($AO$1005:$BQ$1005,1,MATCH(COLUMNS($AO$1006:BM1006),$AO$1006:$BQ$1006,0))&gt;=100000), " ",IF(INDEX($AO$2:$BQ$1001,MATCH(ROWS($AH$2:AH706),$AH$2:$AH$1001,0),MATCH(COLUMNS($AO$1006:BM1006),$AO$1006:$BQ$1006,0)), HYPERLINK("#",""), HYPERLINK(CONCATENATE("#Metadata!", ADDRESS(INDEX($AJ$2:$AJ$1001,MATCH(ROWS($AH$2:AH706),$AH$2:$AH$1001,0),0), INDEX($AO$1004:$BQ$1004,1,MATCH(COLUMNS($AO$1006:BM1006),$AO$1006:$BQ$1006,0)))),"Fix")))</f>
        <v>#N/A</v>
      </c>
      <c r="AA706" s="5" t="e">
        <f ca="1">IF(OR(INDEX($AI$2:$AI$1001,MATCH(ROWS($AH$2:AH706),$AH$2:$AH$1001,0),1)&gt;=100000,INDEX($AO$1005:$BQ$1005,1,MATCH(COLUMNS($AO$1006:BN1006),$AO$1006:$BQ$1006,0))&gt;=100000), " ",IF(INDEX($AO$2:$BQ$1001,MATCH(ROWS($AH$2:AH706),$AH$2:$AH$1001,0),MATCH(COLUMNS($AO$1006:BN1006),$AO$1006:$BQ$1006,0)), HYPERLINK("#",""), HYPERLINK(CONCATENATE("#Metadata!", ADDRESS(INDEX($AJ$2:$AJ$1001,MATCH(ROWS($AH$2:AH706),$AH$2:$AH$1001,0),0), INDEX($AO$1004:$BQ$1004,1,MATCH(COLUMNS($AO$1006:BN1006),$AO$1006:$BQ$1006,0)))),"Fix")))</f>
        <v>#N/A</v>
      </c>
      <c r="AB706" s="5" t="e">
        <f ca="1">IF(OR(INDEX($AI$2:$AI$1001,MATCH(ROWS($AH$2:AH706),$AH$2:$AH$1001,0),1)&gt;=100000,INDEX($AO$1005:$BQ$1005,1,MATCH(COLUMNS($AO$1006:BO1006),$AO$1006:$BQ$1006,0))&gt;=100000), " ",IF(INDEX($AO$2:$BQ$1001,MATCH(ROWS($AH$2:AH706),$AH$2:$AH$1001,0),MATCH(COLUMNS($AO$1006:BO1006),$AO$1006:$BQ$1006,0)), HYPERLINK("#",""), HYPERLINK(CONCATENATE("#Metadata!", ADDRESS(INDEX($AJ$2:$AJ$1001,MATCH(ROWS($AH$2:AH706),$AH$2:$AH$1001,0),0), INDEX($AO$1004:$BQ$1004,1,MATCH(COLUMNS($AO$1006:BO1006),$AO$1006:$BQ$1006,0)))),"Fix")))</f>
        <v>#N/A</v>
      </c>
      <c r="AC706" s="5" t="e">
        <f ca="1">IF(OR(INDEX($AI$2:$AI$1001,MATCH(ROWS($AH$2:AH706),$AH$2:$AH$1001,0),1)&gt;=100000,INDEX($AO$1005:$BQ$1005,1,MATCH(COLUMNS($AO$1006:BP1006),$AO$1006:$BQ$1006,0))&gt;=100000), " ",IF(INDEX($AO$2:$BQ$1001,MATCH(ROWS($AH$2:AH706),$AH$2:$AH$1001,0),MATCH(COLUMNS($AO$1006:BP1006),$AO$1006:$BQ$1006,0)), HYPERLINK("#",""), HYPERLINK(CONCATENATE("#Metadata!", ADDRESS(INDEX($AJ$2:$AJ$1001,MATCH(ROWS($AH$2:AH706),$AH$2:$AH$1001,0),0), INDEX($AO$1004:$BQ$1004,1,MATCH(COLUMNS($AO$1006:BP1006),$AO$1006:$BQ$1006,0)))),"Fix")))</f>
        <v>#N/A</v>
      </c>
      <c r="AD706" s="5" t="e">
        <f ca="1">IF(OR(INDEX($AI$2:$AI$1001,MATCH(ROWS($AH$2:AH706),$AH$2:$AH$1001,0),1)&gt;=100000,INDEX($AO$1005:$BQ$1005,1,MATCH(COLUMNS($AO$1006:BQ1006),$AO$1006:$BQ$1006,0))&gt;=100000), " ",IF(INDEX($AO$2:$BQ$1001,MATCH(ROWS($AH$2:AH706),$AH$2:$AH$1001,0),MATCH(COLUMNS($AO$1006:BQ1006),$AO$1006:$BQ$1006,0)), HYPERLINK("#",""), HYPERLINK(CONCATENATE("#Metadata!", ADDRESS(INDEX($AJ$2:$AJ$1001,MATCH(ROWS($AH$2:AH706),$AH$2:$AH$1001,0),0), INDEX($AO$1004:$BQ$1004,1,MATCH(COLUMNS($AO$1006:BQ1006),$AO$1006:$BQ$1006,0)))),"Fix")))</f>
        <v>#REF!</v>
      </c>
      <c r="AH706">
        <f ca="1"/>
        <v>703</v>
      </c>
      <c r="AI706">
        <v>100706</v>
      </c>
      <c r="AJ706">
        <v>706</v>
      </c>
      <c r="AK706" t="b">
        <f t="shared" ref="AK706:AK769" si="11">IF(AL706,TRUE,AND(AO706:BQ706))</f>
        <v>1</v>
      </c>
      <c r="AL706" t="b">
        <f>COUNTBLANK(Metadata!B706:AD706)=COLUMNS(Metadata!B706:AD706)</f>
        <v>1</v>
      </c>
      <c r="AM706" t="str">
        <v/>
      </c>
      <c r="AO706" t="b">
        <f ca="1">AND(IF(Metadata!B706="",FALSE,TRUE),COUNTIF(Metadata!B:B, Metadata!B706) = 1,NOT(ISERROR(SUMPRODUCT(SEARCH(MID(Metadata!B706,ROW(INDIRECT("1:"&amp;LEN(Metadata!B706))), 1),"0123456789abcdefghijklmnopqrstuvwxyzABCDEFGHIJKLMNOPQRSTUVWXYZ.")))))</f>
        <v>0</v>
      </c>
      <c r="AP706" t="b">
        <f>IF(Metadata!C706="",FALSE,TRUE)</f>
        <v>0</v>
      </c>
      <c r="AQ706" t="b">
        <f>IF(Metadata!D706="",FALSE,TRUE)</f>
        <v>0</v>
      </c>
      <c r="AR706" t="b">
        <f ca="1">OR(AND(IF(Metadata!E706="",FALSE,TRUE),OR(EXACT(Metadata!E706,"not collected"),EXACT(Metadata!E706,"not provided"),EXACT(Metadata!E706,"restricted access"))),AND(IF(Metadata!E706="",FALSE,TRUE),AND(AND(IFERROR(INT(LEFT(Metadata!E706,4))&gt;1900,FALSE),IFERROR(INT(LEFT(Metadata!E706,4))&lt;=YEAR(NOW()),FALSE)), OR(MID(Metadata!E706,5,1)="", AND(AND(MID(Metadata!E706,5,1)="-",IFERROR(INT(MID(Metadata!E706,6,1))&gt;=0,FALSE),IFERROR(INT(MID(Metadata!E706,6,1))&lt;=1,FALSE),NOT(MID(Metadata!E706,7,1)=""),IFERROR(INT(MID(Metadata!E706,6,2))&gt;=1,FALSE),IFERROR(INT(MID(Metadata!E706,6,2))&lt;=12,FALSE)), OR(MID(Metadata!E706,8,1)="", AND(AND(MID(Metadata!E706,8,1)="-",IFERROR(INT(MID(Metadata!E706,9,1))&gt;=0,FALSE),IFERROR(INT(MID(Metadata!E706,9,1))&lt;=3,FALSE),NOT(MID(Metadata!E706,10,1)=""),IFERROR(INT(MID(Metadata!E706,9,2))&gt;=1,FALSE),IFERROR(INT(MID(Metadata!E706,9,2))&lt;=31,FALSE)), OR(MID(Metadata!E706,11,1)="", AND(AND(MID(Metadata!E706,11,1)=" ",IFERROR(INT(MID(Metadata!E706,12,1))&gt;=0,FALSE),IFERROR(INT(MID(Metadata!E706,12,1))&lt;=2,FALSE),NOT(MID(Metadata!E706,13,1)=""),IFERROR(INT(MID(Metadata!E706,12,2))&gt;=0,FALSE),IFERROR(INT(MID(Metadata!E706,12,2))&lt;=23,FALSE)), OR(MID(Metadata!E706,14,1)="", AND(AND(MID(Metadata!E706,14,1)=":",IFERROR(INT(MID(Metadata!E706,15,1))&gt;=0,FALSE),IFERROR(INT(MID(Metadata!E706,15,1))&lt;=5,FALSE),NOT(MID(Metadata!E706,16,1)=""),IFERROR(INT(MID(Metadata!E706,15,2))&gt;=0,FALSE),IFERROR(INT(MID(Metadata!E706,15,2))&lt;=59,FALSE)), OR(MID(Metadata!E706,17,1)="", AND(AND(MID(Metadata!E706,17,1)=":",IFERROR(INT(MID(Metadata!E706,18,1))&gt;=0,FALSE),IFERROR(INT(MID(Metadata!E706,18,1))&lt;=5,FALSE),NOT(MID(Metadata!E706,19,1)=""),IFERROR(INT(MID(Metadata!E706,18,2))&gt;=0,FALSE),IFERROR(INT(MID(Metadata!E706,18,2))&lt;=59,FALSE)), LEN(Metadata!E706)&lt;=19)))))))))))))</f>
        <v>0</v>
      </c>
      <c r="AS706" t="b">
        <f>IF(Metadata!F706="",FALSE,TRUE)</f>
        <v>0</v>
      </c>
      <c r="AT706" t="b">
        <f>OR(AND(IF(Metadata!G706="",FALSE,TRUE),OR(EXACT(Metadata!G706,"not collected"),EXACT(Metadata!G706,"not provided"))),AND(IF(Metadata!G706="",FALSE,TRUE),OR(EXACT(Metadata!G706,"TRUE"),EXACT(Metadata!G706,"FALSE"))))</f>
        <v>0</v>
      </c>
      <c r="AU706" t="b">
        <f>OR(AND(IF(Metadata!H706="",FALSE,TRUE),OR(EXACT(Metadata!H706,"not collected"),EXACT(Metadata!H706,"not provided"),EXACT(Metadata!H706,"restricted access"))),AND(IF(Metadata!H706="",FALSE,ISNUMBER(VALUE(Metadata!H706))),Metadata!H706&gt;=-413))</f>
        <v>0</v>
      </c>
      <c r="AV706" t="b">
        <f>AND(IF(Metadata!I706="",FALSE,TRUE),EXACT(Metadata!I706,"meters"))</f>
        <v>0</v>
      </c>
      <c r="AW706" t="b">
        <f>AND(IF(Metadata!J706="",FALSE,TRUE),EXACT(Metadata!J706,"free-living"))</f>
        <v>0</v>
      </c>
      <c r="AX706" t="b">
        <f>AND(IF(Metadata!K706="",FALSE,TRUE),OR(EXACT(Metadata!K706,"saline"),EXACT(Metadata!K706,"non-saline")))</f>
        <v>0</v>
      </c>
      <c r="AY706" t="b">
        <f>AND(IF(Metadata!L706="",FALSE,TRUE),OR(EXACT(Metadata!L706,"sub-surface (non-saline)"),EXACT(Metadata!L706,"surface (non-saline)"),EXACT(Metadata!L706,"water (non-saline)"),EXACT(Metadata!L706,"soil (non-saline)"),EXACT(Metadata!L706,"aerosol (non-saline)"),EXACT(Metadata!L706,"sediment (non-saline)"),EXACT(Metadata!L706,"surface (saline)"),EXACT(Metadata!L706,"water (saline)"),EXACT(Metadata!L706,"hypersaline (saline)"),EXACT(Metadata!L706,"aerosol (saline)"),EXACT(Metadata!L706,"sediment (saline)")))</f>
        <v>0</v>
      </c>
      <c r="AZ706" t="b">
        <f>IF(Metadata!M706="",FALSE,TRUE)</f>
        <v>0</v>
      </c>
      <c r="BA706" t="b">
        <f>IF(Metadata!N706="",FALSE,TRUE)</f>
        <v>0</v>
      </c>
      <c r="BB706" t="b">
        <f>IF(Metadata!O706="",FALSE,TRUE)</f>
        <v>0</v>
      </c>
      <c r="BC706" t="b">
        <f>AND(IF(Metadata!P706="",FALSE,TRUE),OR(EXACT(Metadata!P706,"air"),EXACT(Metadata!P706,"microbial mat/biofilm"),EXACT(Metadata!P706,"misc environment"),EXACT(Metadata!P706,"sediment"),EXACT(Metadata!P706,"soil"),EXACT(Metadata!P706,"wastewater/sludge"),EXACT(Metadata!P706,"water")))</f>
        <v>0</v>
      </c>
      <c r="BD706" t="b">
        <f>IF(Metadata!Q706="",FALSE,TRUE)</f>
        <v>0</v>
      </c>
      <c r="BE706" t="b">
        <f>IF(Metadata!R706="",FALSE,TRUE)</f>
        <v>0</v>
      </c>
      <c r="BF706" t="b">
        <f>OR(AND(IF(Metadata!S706="",FALSE,TRUE),OR(EXACT(Metadata!S706,"not collected"),EXACT(Metadata!S706,"not provided"),EXACT(Metadata!S706,"restricted access"))),AND(IF(Metadata!S706="",FALSE,ISNUMBER(VALUE(Metadata!S706))),Metadata!S706&gt;=-90,Metadata!S706&lt;=90))</f>
        <v>0</v>
      </c>
      <c r="BG706" t="b">
        <f>AND(IF(Metadata!T706="",FALSE,TRUE),EXACT(Metadata!T706,"Decimal degrees"))</f>
        <v>0</v>
      </c>
      <c r="BH706" t="b">
        <f>OR(AND(IF(Metadata!U706="",FALSE,TRUE),OR(EXACT(Metadata!U706,"not applicable"),EXACT(Metadata!U706,"not collected"))),IF(Metadata!U706="",FALSE,TRUE))</f>
        <v>0</v>
      </c>
      <c r="BI706" t="b">
        <f>OR(AND(IF(Metadata!V706="",FALSE,TRUE),OR(EXACT(Metadata!V706,"not collected"),EXACT(Metadata!V706,"not provided"),EXACT(Metadata!V706,"restricted access"))),AND(IF(Metadata!V706="",FALSE,ISNUMBER(VALUE(Metadata!V706))),Metadata!V706&gt;=-180,Metadata!V706&lt;=180))</f>
        <v>0</v>
      </c>
      <c r="BJ706" t="b">
        <f>AND(IF(Metadata!W706="",FALSE,TRUE),EXACT(Metadata!W706,"Decimal degrees"))</f>
        <v>0</v>
      </c>
      <c r="BK706" t="b">
        <f>IF(Metadata!X706="",FALSE,TRUE)</f>
        <v>0</v>
      </c>
      <c r="BL706" t="b">
        <f>OR(AND(IF(Metadata!Y706="",FALSE,TRUE),OR(EXACT(Metadata!Y706,"not collected"),EXACT(Metadata!Y706,"not provided"),EXACT(Metadata!Y706,"restricted access"))),AND(IF(Metadata!Y706="",FALSE,TRUE),OR(EXACT(Metadata!Y706,"TRUE"),EXACT(Metadata!Y706,"FALSE"))))</f>
        <v>0</v>
      </c>
      <c r="BM706" t="b">
        <f>OR(AND(IF(Metadata!Z706="",FALSE,TRUE),EXACT(Metadata!Z706,"not applicable")),AND(IF(Metadata!Z706="",FALSE,TRUE),OR(EXACT(Metadata!Z706,"beer"),EXACT(Metadata!Z706,"cheese"),EXACT(Metadata!Z706,"fresh water"),EXACT(Metadata!Z706,"marine sediment"),EXACT(Metadata!Z706,"sea water"),EXACT(Metadata!Z706,"sediment"),EXACT(Metadata!Z706,"soil"),EXACT(Metadata!Z706,"waste water"))))</f>
        <v>0</v>
      </c>
      <c r="BN706" t="b">
        <f>AND(IF(Metadata!AA706="",FALSE,TRUE),EXACT(Metadata!AA706,"metagenome"))</f>
        <v>0</v>
      </c>
      <c r="BO706" t="b">
        <f>AND(IF(Metadata!AB706="",FALSE,TRUE),EXACT(Metadata!AB706,"256318"))</f>
        <v>0</v>
      </c>
      <c r="BP706" t="b">
        <f>IF(Metadata!AC706="",FALSE,TRUE)</f>
        <v>0</v>
      </c>
      <c r="BQ706" t="b">
        <f>IF(Metadata!AD706="",FALSE,TRUE)</f>
        <v>0</v>
      </c>
    </row>
    <row r="707" spans="1:69" x14ac:dyDescent="0.2">
      <c r="A707" s="4" t="e">
        <f ca="1">IF(B707=" "," ",HYPERLINK(CONCATENATE("#metadata!",ADDRESS(INDEX($AJ$2:$AJ$1001,MATCH(ROWS($AH$2:AH707),$AH$2:$AH$1001,0),0),2)),INDEX($AM$2:$AM$1001,MATCH(ROWS($AH$2:AH707),$AH$2:$AH$1001,0),0)))</f>
        <v>#N/A</v>
      </c>
      <c r="B707" s="5" t="e">
        <f ca="1">IF(OR(INDEX($AI$2:$AI$1001,MATCH(ROWS($AH$2:AH707),$AH$2:$AH$1001,0),1)&gt;=100000,INDEX($AO$1005:$BQ$1005,1,MATCH(COLUMNS($AO$1006:AO1006),$AO$1006:$BQ$1006,0))&gt;=100000), " ",IF(INDEX($AO$2:$BQ$1001,MATCH(ROWS($AH$2:AH707),$AH$2:$AH$1001,0),MATCH(COLUMNS($AO$1006:AO1006),$AO$1006:$BQ$1006,0)), HYPERLINK("#",""), HYPERLINK(CONCATENATE("#Metadata!", ADDRESS(INDEX($AJ$2:$AJ$1001,MATCH(ROWS($AH$2:AH707),$AH$2:$AH$1001,0),0), INDEX($AO$1004:$BQ$1004,1,MATCH(COLUMNS($AO$1006:AO1006),$AO$1006:$BQ$1006,0)))),"Fix")))</f>
        <v>#N/A</v>
      </c>
      <c r="C707" s="5" t="e">
        <f ca="1">IF(OR(INDEX($AI$2:$AI$1001,MATCH(ROWS($AH$2:AH707),$AH$2:$AH$1001,0),1)&gt;=100000,INDEX($AO$1005:$BQ$1005,1,MATCH(COLUMNS($AO$1006:AP1006),$AO$1006:$BQ$1006,0))&gt;=100000), " ",IF(INDEX($AO$2:$BQ$1001,MATCH(ROWS($AH$2:AH707),$AH$2:$AH$1001,0),MATCH(COLUMNS($AO$1006:AP1006),$AO$1006:$BQ$1006,0)), HYPERLINK("#",""), HYPERLINK(CONCATENATE("#Metadata!", ADDRESS(INDEX($AJ$2:$AJ$1001,MATCH(ROWS($AH$2:AH707),$AH$2:$AH$1001,0),0), INDEX($AO$1004:$BQ$1004,1,MATCH(COLUMNS($AO$1006:AP1006),$AO$1006:$BQ$1006,0)))),"Fix")))</f>
        <v>#N/A</v>
      </c>
      <c r="D707" s="5" t="e">
        <f ca="1">IF(OR(INDEX($AI$2:$AI$1001,MATCH(ROWS($AH$2:AH707),$AH$2:$AH$1001,0),1)&gt;=100000,INDEX($AO$1005:$BQ$1005,1,MATCH(COLUMNS($AO$1006:AQ1006),$AO$1006:$BQ$1006,0))&gt;=100000), " ",IF(INDEX($AO$2:$BQ$1001,MATCH(ROWS($AH$2:AH707),$AH$2:$AH$1001,0),MATCH(COLUMNS($AO$1006:AQ1006),$AO$1006:$BQ$1006,0)), HYPERLINK("#",""), HYPERLINK(CONCATENATE("#Metadata!", ADDRESS(INDEX($AJ$2:$AJ$1001,MATCH(ROWS($AH$2:AH707),$AH$2:$AH$1001,0),0), INDEX($AO$1004:$BQ$1004,1,MATCH(COLUMNS($AO$1006:AQ1006),$AO$1006:$BQ$1006,0)))),"Fix")))</f>
        <v>#N/A</v>
      </c>
      <c r="E707" s="5" t="e">
        <f ca="1">IF(OR(INDEX($AI$2:$AI$1001,MATCH(ROWS($AH$2:AH707),$AH$2:$AH$1001,0),1)&gt;=100000,INDEX($AO$1005:$BQ$1005,1,MATCH(COLUMNS($AO$1006:AR1006),$AO$1006:$BQ$1006,0))&gt;=100000), " ",IF(INDEX($AO$2:$BQ$1001,MATCH(ROWS($AH$2:AH707),$AH$2:$AH$1001,0),MATCH(COLUMNS($AO$1006:AR1006),$AO$1006:$BQ$1006,0)), HYPERLINK("#",""), HYPERLINK(CONCATENATE("#Metadata!", ADDRESS(INDEX($AJ$2:$AJ$1001,MATCH(ROWS($AH$2:AH707),$AH$2:$AH$1001,0),0), INDEX($AO$1004:$BQ$1004,1,MATCH(COLUMNS($AO$1006:AR1006),$AO$1006:$BQ$1006,0)))),"Fix")))</f>
        <v>#N/A</v>
      </c>
      <c r="F707" s="5" t="e">
        <f ca="1">IF(OR(INDEX($AI$2:$AI$1001,MATCH(ROWS($AH$2:AH707),$AH$2:$AH$1001,0),1)&gt;=100000,INDEX($AO$1005:$BQ$1005,1,MATCH(COLUMNS($AO$1006:AS1006),$AO$1006:$BQ$1006,0))&gt;=100000), " ",IF(INDEX($AO$2:$BQ$1001,MATCH(ROWS($AH$2:AH707),$AH$2:$AH$1001,0),MATCH(COLUMNS($AO$1006:AS1006),$AO$1006:$BQ$1006,0)), HYPERLINK("#",""), HYPERLINK(CONCATENATE("#Metadata!", ADDRESS(INDEX($AJ$2:$AJ$1001,MATCH(ROWS($AH$2:AH707),$AH$2:$AH$1001,0),0), INDEX($AO$1004:$BQ$1004,1,MATCH(COLUMNS($AO$1006:AS1006),$AO$1006:$BQ$1006,0)))),"Fix")))</f>
        <v>#N/A</v>
      </c>
      <c r="G707" s="5" t="e">
        <f ca="1">IF(OR(INDEX($AI$2:$AI$1001,MATCH(ROWS($AH$2:AH707),$AH$2:$AH$1001,0),1)&gt;=100000,INDEX($AO$1005:$BQ$1005,1,MATCH(COLUMNS($AO$1006:AT1006),$AO$1006:$BQ$1006,0))&gt;=100000), " ",IF(INDEX($AO$2:$BQ$1001,MATCH(ROWS($AH$2:AH707),$AH$2:$AH$1001,0),MATCH(COLUMNS($AO$1006:AT1006),$AO$1006:$BQ$1006,0)), HYPERLINK("#",""), HYPERLINK(CONCATENATE("#Metadata!", ADDRESS(INDEX($AJ$2:$AJ$1001,MATCH(ROWS($AH$2:AH707),$AH$2:$AH$1001,0),0), INDEX($AO$1004:$BQ$1004,1,MATCH(COLUMNS($AO$1006:AT1006),$AO$1006:$BQ$1006,0)))),"Fix")))</f>
        <v>#N/A</v>
      </c>
      <c r="H707" s="5" t="e">
        <f ca="1">IF(OR(INDEX($AI$2:$AI$1001,MATCH(ROWS($AH$2:AH707),$AH$2:$AH$1001,0),1)&gt;=100000,INDEX($AO$1005:$BQ$1005,1,MATCH(COLUMNS($AO$1006:AU1006),$AO$1006:$BQ$1006,0))&gt;=100000), " ",IF(INDEX($AO$2:$BQ$1001,MATCH(ROWS($AH$2:AH707),$AH$2:$AH$1001,0),MATCH(COLUMNS($AO$1006:AU1006),$AO$1006:$BQ$1006,0)), HYPERLINK("#",""), HYPERLINK(CONCATENATE("#Metadata!", ADDRESS(INDEX($AJ$2:$AJ$1001,MATCH(ROWS($AH$2:AH707),$AH$2:$AH$1001,0),0), INDEX($AO$1004:$BQ$1004,1,MATCH(COLUMNS($AO$1006:AU1006),$AO$1006:$BQ$1006,0)))),"Fix")))</f>
        <v>#N/A</v>
      </c>
      <c r="I707" s="5" t="e">
        <f ca="1">IF(OR(INDEX($AI$2:$AI$1001,MATCH(ROWS($AH$2:AH707),$AH$2:$AH$1001,0),1)&gt;=100000,INDEX($AO$1005:$BQ$1005,1,MATCH(COLUMNS($AO$1006:AV1006),$AO$1006:$BQ$1006,0))&gt;=100000), " ",IF(INDEX($AO$2:$BQ$1001,MATCH(ROWS($AH$2:AH707),$AH$2:$AH$1001,0),MATCH(COLUMNS($AO$1006:AV1006),$AO$1006:$BQ$1006,0)), HYPERLINK("#",""), HYPERLINK(CONCATENATE("#Metadata!", ADDRESS(INDEX($AJ$2:$AJ$1001,MATCH(ROWS($AH$2:AH707),$AH$2:$AH$1001,0),0), INDEX($AO$1004:$BQ$1004,1,MATCH(COLUMNS($AO$1006:AV1006),$AO$1006:$BQ$1006,0)))),"Fix")))</f>
        <v>#N/A</v>
      </c>
      <c r="J707" s="5" t="e">
        <f ca="1">IF(OR(INDEX($AI$2:$AI$1001,MATCH(ROWS($AH$2:AH707),$AH$2:$AH$1001,0),1)&gt;=100000,INDEX($AO$1005:$BQ$1005,1,MATCH(COLUMNS($AO$1006:AW1006),$AO$1006:$BQ$1006,0))&gt;=100000), " ",IF(INDEX($AO$2:$BQ$1001,MATCH(ROWS($AH$2:AH707),$AH$2:$AH$1001,0),MATCH(COLUMNS($AO$1006:AW1006),$AO$1006:$BQ$1006,0)), HYPERLINK("#",""), HYPERLINK(CONCATENATE("#Metadata!", ADDRESS(INDEX($AJ$2:$AJ$1001,MATCH(ROWS($AH$2:AH707),$AH$2:$AH$1001,0),0), INDEX($AO$1004:$BQ$1004,1,MATCH(COLUMNS($AO$1006:AW1006),$AO$1006:$BQ$1006,0)))),"Fix")))</f>
        <v>#N/A</v>
      </c>
      <c r="K707" s="5" t="e">
        <f ca="1">IF(OR(INDEX($AI$2:$AI$1001,MATCH(ROWS($AH$2:AH707),$AH$2:$AH$1001,0),1)&gt;=100000,INDEX($AO$1005:$BQ$1005,1,MATCH(COLUMNS($AO$1006:AX1006),$AO$1006:$BQ$1006,0))&gt;=100000), " ",IF(INDEX($AO$2:$BQ$1001,MATCH(ROWS($AH$2:AH707),$AH$2:$AH$1001,0),MATCH(COLUMNS($AO$1006:AX1006),$AO$1006:$BQ$1006,0)), HYPERLINK("#",""), HYPERLINK(CONCATENATE("#Metadata!", ADDRESS(INDEX($AJ$2:$AJ$1001,MATCH(ROWS($AH$2:AH707),$AH$2:$AH$1001,0),0), INDEX($AO$1004:$BQ$1004,1,MATCH(COLUMNS($AO$1006:AX1006),$AO$1006:$BQ$1006,0)))),"Fix")))</f>
        <v>#N/A</v>
      </c>
      <c r="L707" s="5" t="e">
        <f ca="1">IF(OR(INDEX($AI$2:$AI$1001,MATCH(ROWS($AH$2:AH707),$AH$2:$AH$1001,0),1)&gt;=100000,INDEX($AO$1005:$BQ$1005,1,MATCH(COLUMNS($AO$1006:AY1006),$AO$1006:$BQ$1006,0))&gt;=100000), " ",IF(INDEX($AO$2:$BQ$1001,MATCH(ROWS($AH$2:AH707),$AH$2:$AH$1001,0),MATCH(COLUMNS($AO$1006:AY1006),$AO$1006:$BQ$1006,0)), HYPERLINK("#",""), HYPERLINK(CONCATENATE("#Metadata!", ADDRESS(INDEX($AJ$2:$AJ$1001,MATCH(ROWS($AH$2:AH707),$AH$2:$AH$1001,0),0), INDEX($AO$1004:$BQ$1004,1,MATCH(COLUMNS($AO$1006:AY1006),$AO$1006:$BQ$1006,0)))),"Fix")))</f>
        <v>#N/A</v>
      </c>
      <c r="M707" s="5" t="e">
        <f ca="1">IF(OR(INDEX($AI$2:$AI$1001,MATCH(ROWS($AH$2:AH707),$AH$2:$AH$1001,0),1)&gt;=100000,INDEX($AO$1005:$BQ$1005,1,MATCH(COLUMNS($AO$1006:AZ1006),$AO$1006:$BQ$1006,0))&gt;=100000), " ",IF(INDEX($AO$2:$BQ$1001,MATCH(ROWS($AH$2:AH707),$AH$2:$AH$1001,0),MATCH(COLUMNS($AO$1006:AZ1006),$AO$1006:$BQ$1006,0)), HYPERLINK("#",""), HYPERLINK(CONCATENATE("#Metadata!", ADDRESS(INDEX($AJ$2:$AJ$1001,MATCH(ROWS($AH$2:AH707),$AH$2:$AH$1001,0),0), INDEX($AO$1004:$BQ$1004,1,MATCH(COLUMNS($AO$1006:AZ1006),$AO$1006:$BQ$1006,0)))),"Fix")))</f>
        <v>#N/A</v>
      </c>
      <c r="N707" s="5" t="e">
        <f ca="1">IF(OR(INDEX($AI$2:$AI$1001,MATCH(ROWS($AH$2:AH707),$AH$2:$AH$1001,0),1)&gt;=100000,INDEX($AO$1005:$BQ$1005,1,MATCH(COLUMNS($AO$1006:BA1006),$AO$1006:$BQ$1006,0))&gt;=100000), " ",IF(INDEX($AO$2:$BQ$1001,MATCH(ROWS($AH$2:AH707),$AH$2:$AH$1001,0),MATCH(COLUMNS($AO$1006:BA1006),$AO$1006:$BQ$1006,0)), HYPERLINK("#",""), HYPERLINK(CONCATENATE("#Metadata!", ADDRESS(INDEX($AJ$2:$AJ$1001,MATCH(ROWS($AH$2:AH707),$AH$2:$AH$1001,0),0), INDEX($AO$1004:$BQ$1004,1,MATCH(COLUMNS($AO$1006:BA1006),$AO$1006:$BQ$1006,0)))),"Fix")))</f>
        <v>#N/A</v>
      </c>
      <c r="O707" s="5" t="e">
        <f ca="1">IF(OR(INDEX($AI$2:$AI$1001,MATCH(ROWS($AH$2:AH707),$AH$2:$AH$1001,0),1)&gt;=100000,INDEX($AO$1005:$BQ$1005,1,MATCH(COLUMNS($AO$1006:BB1006),$AO$1006:$BQ$1006,0))&gt;=100000), " ",IF(INDEX($AO$2:$BQ$1001,MATCH(ROWS($AH$2:AH707),$AH$2:$AH$1001,0),MATCH(COLUMNS($AO$1006:BB1006),$AO$1006:$BQ$1006,0)), HYPERLINK("#",""), HYPERLINK(CONCATENATE("#Metadata!", ADDRESS(INDEX($AJ$2:$AJ$1001,MATCH(ROWS($AH$2:AH707),$AH$2:$AH$1001,0),0), INDEX($AO$1004:$BQ$1004,1,MATCH(COLUMNS($AO$1006:BB1006),$AO$1006:$BQ$1006,0)))),"Fix")))</f>
        <v>#N/A</v>
      </c>
      <c r="P707" s="5" t="e">
        <f ca="1">IF(OR(INDEX($AI$2:$AI$1001,MATCH(ROWS($AH$2:AH707),$AH$2:$AH$1001,0),1)&gt;=100000,INDEX($AO$1005:$BQ$1005,1,MATCH(COLUMNS($AO$1006:BC1006),$AO$1006:$BQ$1006,0))&gt;=100000), " ",IF(INDEX($AO$2:$BQ$1001,MATCH(ROWS($AH$2:AH707),$AH$2:$AH$1001,0),MATCH(COLUMNS($AO$1006:BC1006),$AO$1006:$BQ$1006,0)), HYPERLINK("#",""), HYPERLINK(CONCATENATE("#Metadata!", ADDRESS(INDEX($AJ$2:$AJ$1001,MATCH(ROWS($AH$2:AH707),$AH$2:$AH$1001,0),0), INDEX($AO$1004:$BQ$1004,1,MATCH(COLUMNS($AO$1006:BC1006),$AO$1006:$BQ$1006,0)))),"Fix")))</f>
        <v>#N/A</v>
      </c>
      <c r="Q707" s="5" t="e">
        <f ca="1">IF(OR(INDEX($AI$2:$AI$1001,MATCH(ROWS($AH$2:AH707),$AH$2:$AH$1001,0),1)&gt;=100000,INDEX($AO$1005:$BQ$1005,1,MATCH(COLUMNS($AO$1006:BD1006),$AO$1006:$BQ$1006,0))&gt;=100000), " ",IF(INDEX($AO$2:$BQ$1001,MATCH(ROWS($AH$2:AH707),$AH$2:$AH$1001,0),MATCH(COLUMNS($AO$1006:BD1006),$AO$1006:$BQ$1006,0)), HYPERLINK("#",""), HYPERLINK(CONCATENATE("#Metadata!", ADDRESS(INDEX($AJ$2:$AJ$1001,MATCH(ROWS($AH$2:AH707),$AH$2:$AH$1001,0),0), INDEX($AO$1004:$BQ$1004,1,MATCH(COLUMNS($AO$1006:BD1006),$AO$1006:$BQ$1006,0)))),"Fix")))</f>
        <v>#N/A</v>
      </c>
      <c r="R707" s="5" t="e">
        <f ca="1">IF(OR(INDEX($AI$2:$AI$1001,MATCH(ROWS($AH$2:AH707),$AH$2:$AH$1001,0),1)&gt;=100000,INDEX($AO$1005:$BQ$1005,1,MATCH(COLUMNS($AO$1006:BE1006),$AO$1006:$BQ$1006,0))&gt;=100000), " ",IF(INDEX($AO$2:$BQ$1001,MATCH(ROWS($AH$2:AH707),$AH$2:$AH$1001,0),MATCH(COLUMNS($AO$1006:BE1006),$AO$1006:$BQ$1006,0)), HYPERLINK("#",""), HYPERLINK(CONCATENATE("#Metadata!", ADDRESS(INDEX($AJ$2:$AJ$1001,MATCH(ROWS($AH$2:AH707),$AH$2:$AH$1001,0),0), INDEX($AO$1004:$BQ$1004,1,MATCH(COLUMNS($AO$1006:BE1006),$AO$1006:$BQ$1006,0)))),"Fix")))</f>
        <v>#N/A</v>
      </c>
      <c r="S707" s="5" t="e">
        <f ca="1">IF(OR(INDEX($AI$2:$AI$1001,MATCH(ROWS($AH$2:AH707),$AH$2:$AH$1001,0),1)&gt;=100000,INDEX($AO$1005:$BQ$1005,1,MATCH(COLUMNS($AO$1006:BF1006),$AO$1006:$BQ$1006,0))&gt;=100000), " ",IF(INDEX($AO$2:$BQ$1001,MATCH(ROWS($AH$2:AH707),$AH$2:$AH$1001,0),MATCH(COLUMNS($AO$1006:BF1006),$AO$1006:$BQ$1006,0)), HYPERLINK("#",""), HYPERLINK(CONCATENATE("#Metadata!", ADDRESS(INDEX($AJ$2:$AJ$1001,MATCH(ROWS($AH$2:AH707),$AH$2:$AH$1001,0),0), INDEX($AO$1004:$BQ$1004,1,MATCH(COLUMNS($AO$1006:BF1006),$AO$1006:$BQ$1006,0)))),"Fix")))</f>
        <v>#N/A</v>
      </c>
      <c r="T707" s="5" t="e">
        <f ca="1">IF(OR(INDEX($AI$2:$AI$1001,MATCH(ROWS($AH$2:AH707),$AH$2:$AH$1001,0),1)&gt;=100000,INDEX($AO$1005:$BQ$1005,1,MATCH(COLUMNS($AO$1006:BG1006),$AO$1006:$BQ$1006,0))&gt;=100000), " ",IF(INDEX($AO$2:$BQ$1001,MATCH(ROWS($AH$2:AH707),$AH$2:$AH$1001,0),MATCH(COLUMNS($AO$1006:BG1006),$AO$1006:$BQ$1006,0)), HYPERLINK("#",""), HYPERLINK(CONCATENATE("#Metadata!", ADDRESS(INDEX($AJ$2:$AJ$1001,MATCH(ROWS($AH$2:AH707),$AH$2:$AH$1001,0),0), INDEX($AO$1004:$BQ$1004,1,MATCH(COLUMNS($AO$1006:BG1006),$AO$1006:$BQ$1006,0)))),"Fix")))</f>
        <v>#N/A</v>
      </c>
      <c r="U707" s="5" t="e">
        <f ca="1">IF(OR(INDEX($AI$2:$AI$1001,MATCH(ROWS($AH$2:AH707),$AH$2:$AH$1001,0),1)&gt;=100000,INDEX($AO$1005:$BQ$1005,1,MATCH(COLUMNS($AO$1006:BH1006),$AO$1006:$BQ$1006,0))&gt;=100000), " ",IF(INDEX($AO$2:$BQ$1001,MATCH(ROWS($AH$2:AH707),$AH$2:$AH$1001,0),MATCH(COLUMNS($AO$1006:BH1006),$AO$1006:$BQ$1006,0)), HYPERLINK("#",""), HYPERLINK(CONCATENATE("#Metadata!", ADDRESS(INDEX($AJ$2:$AJ$1001,MATCH(ROWS($AH$2:AH707),$AH$2:$AH$1001,0),0), INDEX($AO$1004:$BQ$1004,1,MATCH(COLUMNS($AO$1006:BH1006),$AO$1006:$BQ$1006,0)))),"Fix")))</f>
        <v>#N/A</v>
      </c>
      <c r="V707" s="5" t="e">
        <f ca="1">IF(OR(INDEX($AI$2:$AI$1001,MATCH(ROWS($AH$2:AH707),$AH$2:$AH$1001,0),1)&gt;=100000,INDEX($AO$1005:$BQ$1005,1,MATCH(COLUMNS($AO$1006:BI1006),$AO$1006:$BQ$1006,0))&gt;=100000), " ",IF(INDEX($AO$2:$BQ$1001,MATCH(ROWS($AH$2:AH707),$AH$2:$AH$1001,0),MATCH(COLUMNS($AO$1006:BI1006),$AO$1006:$BQ$1006,0)), HYPERLINK("#",""), HYPERLINK(CONCATENATE("#Metadata!", ADDRESS(INDEX($AJ$2:$AJ$1001,MATCH(ROWS($AH$2:AH707),$AH$2:$AH$1001,0),0), INDEX($AO$1004:$BQ$1004,1,MATCH(COLUMNS($AO$1006:BI1006),$AO$1006:$BQ$1006,0)))),"Fix")))</f>
        <v>#N/A</v>
      </c>
      <c r="W707" s="5" t="e">
        <f ca="1">IF(OR(INDEX($AI$2:$AI$1001,MATCH(ROWS($AH$2:AH707),$AH$2:$AH$1001,0),1)&gt;=100000,INDEX($AO$1005:$BQ$1005,1,MATCH(COLUMNS($AO$1006:BJ1006),$AO$1006:$BQ$1006,0))&gt;=100000), " ",IF(INDEX($AO$2:$BQ$1001,MATCH(ROWS($AH$2:AH707),$AH$2:$AH$1001,0),MATCH(COLUMNS($AO$1006:BJ1006),$AO$1006:$BQ$1006,0)), HYPERLINK("#",""), HYPERLINK(CONCATENATE("#Metadata!", ADDRESS(INDEX($AJ$2:$AJ$1001,MATCH(ROWS($AH$2:AH707),$AH$2:$AH$1001,0),0), INDEX($AO$1004:$BQ$1004,1,MATCH(COLUMNS($AO$1006:BJ1006),$AO$1006:$BQ$1006,0)))),"Fix")))</f>
        <v>#N/A</v>
      </c>
      <c r="X707" s="5" t="e">
        <f ca="1">IF(OR(INDEX($AI$2:$AI$1001,MATCH(ROWS($AH$2:AH707),$AH$2:$AH$1001,0),1)&gt;=100000,INDEX($AO$1005:$BQ$1005,1,MATCH(COLUMNS($AO$1006:BK1006),$AO$1006:$BQ$1006,0))&gt;=100000), " ",IF(INDEX($AO$2:$BQ$1001,MATCH(ROWS($AH$2:AH707),$AH$2:$AH$1001,0),MATCH(COLUMNS($AO$1006:BK1006),$AO$1006:$BQ$1006,0)), HYPERLINK("#",""), HYPERLINK(CONCATENATE("#Metadata!", ADDRESS(INDEX($AJ$2:$AJ$1001,MATCH(ROWS($AH$2:AH707),$AH$2:$AH$1001,0),0), INDEX($AO$1004:$BQ$1004,1,MATCH(COLUMNS($AO$1006:BK1006),$AO$1006:$BQ$1006,0)))),"Fix")))</f>
        <v>#N/A</v>
      </c>
      <c r="Y707" s="5" t="e">
        <f ca="1">IF(OR(INDEX($AI$2:$AI$1001,MATCH(ROWS($AH$2:AH707),$AH$2:$AH$1001,0),1)&gt;=100000,INDEX($AO$1005:$BQ$1005,1,MATCH(COLUMNS($AO$1006:BL1006),$AO$1006:$BQ$1006,0))&gt;=100000), " ",IF(INDEX($AO$2:$BQ$1001,MATCH(ROWS($AH$2:AH707),$AH$2:$AH$1001,0),MATCH(COLUMNS($AO$1006:BL1006),$AO$1006:$BQ$1006,0)), HYPERLINK("#",""), HYPERLINK(CONCATENATE("#Metadata!", ADDRESS(INDEX($AJ$2:$AJ$1001,MATCH(ROWS($AH$2:AH707),$AH$2:$AH$1001,0),0), INDEX($AO$1004:$BQ$1004,1,MATCH(COLUMNS($AO$1006:BL1006),$AO$1006:$BQ$1006,0)))),"Fix")))</f>
        <v>#N/A</v>
      </c>
      <c r="Z707" s="5" t="e">
        <f ca="1">IF(OR(INDEX($AI$2:$AI$1001,MATCH(ROWS($AH$2:AH707),$AH$2:$AH$1001,0),1)&gt;=100000,INDEX($AO$1005:$BQ$1005,1,MATCH(COLUMNS($AO$1006:BM1006),$AO$1006:$BQ$1006,0))&gt;=100000), " ",IF(INDEX($AO$2:$BQ$1001,MATCH(ROWS($AH$2:AH707),$AH$2:$AH$1001,0),MATCH(COLUMNS($AO$1006:BM1006),$AO$1006:$BQ$1006,0)), HYPERLINK("#",""), HYPERLINK(CONCATENATE("#Metadata!", ADDRESS(INDEX($AJ$2:$AJ$1001,MATCH(ROWS($AH$2:AH707),$AH$2:$AH$1001,0),0), INDEX($AO$1004:$BQ$1004,1,MATCH(COLUMNS($AO$1006:BM1006),$AO$1006:$BQ$1006,0)))),"Fix")))</f>
        <v>#N/A</v>
      </c>
      <c r="AA707" s="5" t="e">
        <f ca="1">IF(OR(INDEX($AI$2:$AI$1001,MATCH(ROWS($AH$2:AH707),$AH$2:$AH$1001,0),1)&gt;=100000,INDEX($AO$1005:$BQ$1005,1,MATCH(COLUMNS($AO$1006:BN1006),$AO$1006:$BQ$1006,0))&gt;=100000), " ",IF(INDEX($AO$2:$BQ$1001,MATCH(ROWS($AH$2:AH707),$AH$2:$AH$1001,0),MATCH(COLUMNS($AO$1006:BN1006),$AO$1006:$BQ$1006,0)), HYPERLINK("#",""), HYPERLINK(CONCATENATE("#Metadata!", ADDRESS(INDEX($AJ$2:$AJ$1001,MATCH(ROWS($AH$2:AH707),$AH$2:$AH$1001,0),0), INDEX($AO$1004:$BQ$1004,1,MATCH(COLUMNS($AO$1006:BN1006),$AO$1006:$BQ$1006,0)))),"Fix")))</f>
        <v>#N/A</v>
      </c>
      <c r="AB707" s="5" t="e">
        <f ca="1">IF(OR(INDEX($AI$2:$AI$1001,MATCH(ROWS($AH$2:AH707),$AH$2:$AH$1001,0),1)&gt;=100000,INDEX($AO$1005:$BQ$1005,1,MATCH(COLUMNS($AO$1006:BO1006),$AO$1006:$BQ$1006,0))&gt;=100000), " ",IF(INDEX($AO$2:$BQ$1001,MATCH(ROWS($AH$2:AH707),$AH$2:$AH$1001,0),MATCH(COLUMNS($AO$1006:BO1006),$AO$1006:$BQ$1006,0)), HYPERLINK("#",""), HYPERLINK(CONCATENATE("#Metadata!", ADDRESS(INDEX($AJ$2:$AJ$1001,MATCH(ROWS($AH$2:AH707),$AH$2:$AH$1001,0),0), INDEX($AO$1004:$BQ$1004,1,MATCH(COLUMNS($AO$1006:BO1006),$AO$1006:$BQ$1006,0)))),"Fix")))</f>
        <v>#N/A</v>
      </c>
      <c r="AC707" s="5" t="e">
        <f ca="1">IF(OR(INDEX($AI$2:$AI$1001,MATCH(ROWS($AH$2:AH707),$AH$2:$AH$1001,0),1)&gt;=100000,INDEX($AO$1005:$BQ$1005,1,MATCH(COLUMNS($AO$1006:BP1006),$AO$1006:$BQ$1006,0))&gt;=100000), " ",IF(INDEX($AO$2:$BQ$1001,MATCH(ROWS($AH$2:AH707),$AH$2:$AH$1001,0),MATCH(COLUMNS($AO$1006:BP1006),$AO$1006:$BQ$1006,0)), HYPERLINK("#",""), HYPERLINK(CONCATENATE("#Metadata!", ADDRESS(INDEX($AJ$2:$AJ$1001,MATCH(ROWS($AH$2:AH707),$AH$2:$AH$1001,0),0), INDEX($AO$1004:$BQ$1004,1,MATCH(COLUMNS($AO$1006:BP1006),$AO$1006:$BQ$1006,0)))),"Fix")))</f>
        <v>#N/A</v>
      </c>
      <c r="AD707" s="5" t="e">
        <f ca="1">IF(OR(INDEX($AI$2:$AI$1001,MATCH(ROWS($AH$2:AH707),$AH$2:$AH$1001,0),1)&gt;=100000,INDEX($AO$1005:$BQ$1005,1,MATCH(COLUMNS($AO$1006:BQ1006),$AO$1006:$BQ$1006,0))&gt;=100000), " ",IF(INDEX($AO$2:$BQ$1001,MATCH(ROWS($AH$2:AH707),$AH$2:$AH$1001,0),MATCH(COLUMNS($AO$1006:BQ1006),$AO$1006:$BQ$1006,0)), HYPERLINK("#",""), HYPERLINK(CONCATENATE("#Metadata!", ADDRESS(INDEX($AJ$2:$AJ$1001,MATCH(ROWS($AH$2:AH707),$AH$2:$AH$1001,0),0), INDEX($AO$1004:$BQ$1004,1,MATCH(COLUMNS($AO$1006:BQ1006),$AO$1006:$BQ$1006,0)))),"Fix")))</f>
        <v>#REF!</v>
      </c>
      <c r="AH707">
        <f ca="1"/>
        <v>704</v>
      </c>
      <c r="AI707">
        <v>100707</v>
      </c>
      <c r="AJ707">
        <v>707</v>
      </c>
      <c r="AK707" t="b">
        <f t="shared" si="11"/>
        <v>1</v>
      </c>
      <c r="AL707" t="b">
        <f>COUNTBLANK(Metadata!B707:AD707)=COLUMNS(Metadata!B707:AD707)</f>
        <v>1</v>
      </c>
      <c r="AM707" t="str">
        <v/>
      </c>
      <c r="AO707" t="b">
        <f ca="1">AND(IF(Metadata!B707="",FALSE,TRUE),COUNTIF(Metadata!B:B, Metadata!B707) = 1,NOT(ISERROR(SUMPRODUCT(SEARCH(MID(Metadata!B707,ROW(INDIRECT("1:"&amp;LEN(Metadata!B707))), 1),"0123456789abcdefghijklmnopqrstuvwxyzABCDEFGHIJKLMNOPQRSTUVWXYZ.")))))</f>
        <v>0</v>
      </c>
      <c r="AP707" t="b">
        <f>IF(Metadata!C707="",FALSE,TRUE)</f>
        <v>0</v>
      </c>
      <c r="AQ707" t="b">
        <f>IF(Metadata!D707="",FALSE,TRUE)</f>
        <v>0</v>
      </c>
      <c r="AR707" t="b">
        <f ca="1">OR(AND(IF(Metadata!E707="",FALSE,TRUE),OR(EXACT(Metadata!E707,"not collected"),EXACT(Metadata!E707,"not provided"),EXACT(Metadata!E707,"restricted access"))),AND(IF(Metadata!E707="",FALSE,TRUE),AND(AND(IFERROR(INT(LEFT(Metadata!E707,4))&gt;1900,FALSE),IFERROR(INT(LEFT(Metadata!E707,4))&lt;=YEAR(NOW()),FALSE)), OR(MID(Metadata!E707,5,1)="", AND(AND(MID(Metadata!E707,5,1)="-",IFERROR(INT(MID(Metadata!E707,6,1))&gt;=0,FALSE),IFERROR(INT(MID(Metadata!E707,6,1))&lt;=1,FALSE),NOT(MID(Metadata!E707,7,1)=""),IFERROR(INT(MID(Metadata!E707,6,2))&gt;=1,FALSE),IFERROR(INT(MID(Metadata!E707,6,2))&lt;=12,FALSE)), OR(MID(Metadata!E707,8,1)="", AND(AND(MID(Metadata!E707,8,1)="-",IFERROR(INT(MID(Metadata!E707,9,1))&gt;=0,FALSE),IFERROR(INT(MID(Metadata!E707,9,1))&lt;=3,FALSE),NOT(MID(Metadata!E707,10,1)=""),IFERROR(INT(MID(Metadata!E707,9,2))&gt;=1,FALSE),IFERROR(INT(MID(Metadata!E707,9,2))&lt;=31,FALSE)), OR(MID(Metadata!E707,11,1)="", AND(AND(MID(Metadata!E707,11,1)=" ",IFERROR(INT(MID(Metadata!E707,12,1))&gt;=0,FALSE),IFERROR(INT(MID(Metadata!E707,12,1))&lt;=2,FALSE),NOT(MID(Metadata!E707,13,1)=""),IFERROR(INT(MID(Metadata!E707,12,2))&gt;=0,FALSE),IFERROR(INT(MID(Metadata!E707,12,2))&lt;=23,FALSE)), OR(MID(Metadata!E707,14,1)="", AND(AND(MID(Metadata!E707,14,1)=":",IFERROR(INT(MID(Metadata!E707,15,1))&gt;=0,FALSE),IFERROR(INT(MID(Metadata!E707,15,1))&lt;=5,FALSE),NOT(MID(Metadata!E707,16,1)=""),IFERROR(INT(MID(Metadata!E707,15,2))&gt;=0,FALSE),IFERROR(INT(MID(Metadata!E707,15,2))&lt;=59,FALSE)), OR(MID(Metadata!E707,17,1)="", AND(AND(MID(Metadata!E707,17,1)=":",IFERROR(INT(MID(Metadata!E707,18,1))&gt;=0,FALSE),IFERROR(INT(MID(Metadata!E707,18,1))&lt;=5,FALSE),NOT(MID(Metadata!E707,19,1)=""),IFERROR(INT(MID(Metadata!E707,18,2))&gt;=0,FALSE),IFERROR(INT(MID(Metadata!E707,18,2))&lt;=59,FALSE)), LEN(Metadata!E707)&lt;=19)))))))))))))</f>
        <v>0</v>
      </c>
      <c r="AS707" t="b">
        <f>IF(Metadata!F707="",FALSE,TRUE)</f>
        <v>0</v>
      </c>
      <c r="AT707" t="b">
        <f>OR(AND(IF(Metadata!G707="",FALSE,TRUE),OR(EXACT(Metadata!G707,"not collected"),EXACT(Metadata!G707,"not provided"))),AND(IF(Metadata!G707="",FALSE,TRUE),OR(EXACT(Metadata!G707,"TRUE"),EXACT(Metadata!G707,"FALSE"))))</f>
        <v>0</v>
      </c>
      <c r="AU707" t="b">
        <f>OR(AND(IF(Metadata!H707="",FALSE,TRUE),OR(EXACT(Metadata!H707,"not collected"),EXACT(Metadata!H707,"not provided"),EXACT(Metadata!H707,"restricted access"))),AND(IF(Metadata!H707="",FALSE,ISNUMBER(VALUE(Metadata!H707))),Metadata!H707&gt;=-413))</f>
        <v>0</v>
      </c>
      <c r="AV707" t="b">
        <f>AND(IF(Metadata!I707="",FALSE,TRUE),EXACT(Metadata!I707,"meters"))</f>
        <v>0</v>
      </c>
      <c r="AW707" t="b">
        <f>AND(IF(Metadata!J707="",FALSE,TRUE),EXACT(Metadata!J707,"free-living"))</f>
        <v>0</v>
      </c>
      <c r="AX707" t="b">
        <f>AND(IF(Metadata!K707="",FALSE,TRUE),OR(EXACT(Metadata!K707,"saline"),EXACT(Metadata!K707,"non-saline")))</f>
        <v>0</v>
      </c>
      <c r="AY707" t="b">
        <f>AND(IF(Metadata!L707="",FALSE,TRUE),OR(EXACT(Metadata!L707,"sub-surface (non-saline)"),EXACT(Metadata!L707,"surface (non-saline)"),EXACT(Metadata!L707,"water (non-saline)"),EXACT(Metadata!L707,"soil (non-saline)"),EXACT(Metadata!L707,"aerosol (non-saline)"),EXACT(Metadata!L707,"sediment (non-saline)"),EXACT(Metadata!L707,"surface (saline)"),EXACT(Metadata!L707,"water (saline)"),EXACT(Metadata!L707,"hypersaline (saline)"),EXACT(Metadata!L707,"aerosol (saline)"),EXACT(Metadata!L707,"sediment (saline)")))</f>
        <v>0</v>
      </c>
      <c r="AZ707" t="b">
        <f>IF(Metadata!M707="",FALSE,TRUE)</f>
        <v>0</v>
      </c>
      <c r="BA707" t="b">
        <f>IF(Metadata!N707="",FALSE,TRUE)</f>
        <v>0</v>
      </c>
      <c r="BB707" t="b">
        <f>IF(Metadata!O707="",FALSE,TRUE)</f>
        <v>0</v>
      </c>
      <c r="BC707" t="b">
        <f>AND(IF(Metadata!P707="",FALSE,TRUE),OR(EXACT(Metadata!P707,"air"),EXACT(Metadata!P707,"microbial mat/biofilm"),EXACT(Metadata!P707,"misc environment"),EXACT(Metadata!P707,"sediment"),EXACT(Metadata!P707,"soil"),EXACT(Metadata!P707,"wastewater/sludge"),EXACT(Metadata!P707,"water")))</f>
        <v>0</v>
      </c>
      <c r="BD707" t="b">
        <f>IF(Metadata!Q707="",FALSE,TRUE)</f>
        <v>0</v>
      </c>
      <c r="BE707" t="b">
        <f>IF(Metadata!R707="",FALSE,TRUE)</f>
        <v>0</v>
      </c>
      <c r="BF707" t="b">
        <f>OR(AND(IF(Metadata!S707="",FALSE,TRUE),OR(EXACT(Metadata!S707,"not collected"),EXACT(Metadata!S707,"not provided"),EXACT(Metadata!S707,"restricted access"))),AND(IF(Metadata!S707="",FALSE,ISNUMBER(VALUE(Metadata!S707))),Metadata!S707&gt;=-90,Metadata!S707&lt;=90))</f>
        <v>0</v>
      </c>
      <c r="BG707" t="b">
        <f>AND(IF(Metadata!T707="",FALSE,TRUE),EXACT(Metadata!T707,"Decimal degrees"))</f>
        <v>0</v>
      </c>
      <c r="BH707" t="b">
        <f>OR(AND(IF(Metadata!U707="",FALSE,TRUE),OR(EXACT(Metadata!U707,"not applicable"),EXACT(Metadata!U707,"not collected"))),IF(Metadata!U707="",FALSE,TRUE))</f>
        <v>0</v>
      </c>
      <c r="BI707" t="b">
        <f>OR(AND(IF(Metadata!V707="",FALSE,TRUE),OR(EXACT(Metadata!V707,"not collected"),EXACT(Metadata!V707,"not provided"),EXACT(Metadata!V707,"restricted access"))),AND(IF(Metadata!V707="",FALSE,ISNUMBER(VALUE(Metadata!V707))),Metadata!V707&gt;=-180,Metadata!V707&lt;=180))</f>
        <v>0</v>
      </c>
      <c r="BJ707" t="b">
        <f>AND(IF(Metadata!W707="",FALSE,TRUE),EXACT(Metadata!W707,"Decimal degrees"))</f>
        <v>0</v>
      </c>
      <c r="BK707" t="b">
        <f>IF(Metadata!X707="",FALSE,TRUE)</f>
        <v>0</v>
      </c>
      <c r="BL707" t="b">
        <f>OR(AND(IF(Metadata!Y707="",FALSE,TRUE),OR(EXACT(Metadata!Y707,"not collected"),EXACT(Metadata!Y707,"not provided"),EXACT(Metadata!Y707,"restricted access"))),AND(IF(Metadata!Y707="",FALSE,TRUE),OR(EXACT(Metadata!Y707,"TRUE"),EXACT(Metadata!Y707,"FALSE"))))</f>
        <v>0</v>
      </c>
      <c r="BM707" t="b">
        <f>OR(AND(IF(Metadata!Z707="",FALSE,TRUE),EXACT(Metadata!Z707,"not applicable")),AND(IF(Metadata!Z707="",FALSE,TRUE),OR(EXACT(Metadata!Z707,"beer"),EXACT(Metadata!Z707,"cheese"),EXACT(Metadata!Z707,"fresh water"),EXACT(Metadata!Z707,"marine sediment"),EXACT(Metadata!Z707,"sea water"),EXACT(Metadata!Z707,"sediment"),EXACT(Metadata!Z707,"soil"),EXACT(Metadata!Z707,"waste water"))))</f>
        <v>0</v>
      </c>
      <c r="BN707" t="b">
        <f>AND(IF(Metadata!AA707="",FALSE,TRUE),EXACT(Metadata!AA707,"metagenome"))</f>
        <v>0</v>
      </c>
      <c r="BO707" t="b">
        <f>AND(IF(Metadata!AB707="",FALSE,TRUE),EXACT(Metadata!AB707,"256318"))</f>
        <v>0</v>
      </c>
      <c r="BP707" t="b">
        <f>IF(Metadata!AC707="",FALSE,TRUE)</f>
        <v>0</v>
      </c>
      <c r="BQ707" t="b">
        <f>IF(Metadata!AD707="",FALSE,TRUE)</f>
        <v>0</v>
      </c>
    </row>
    <row r="708" spans="1:69" x14ac:dyDescent="0.2">
      <c r="A708" s="4" t="e">
        <f ca="1">IF(B708=" "," ",HYPERLINK(CONCATENATE("#metadata!",ADDRESS(INDEX($AJ$2:$AJ$1001,MATCH(ROWS($AH$2:AH708),$AH$2:$AH$1001,0),0),2)),INDEX($AM$2:$AM$1001,MATCH(ROWS($AH$2:AH708),$AH$2:$AH$1001,0),0)))</f>
        <v>#N/A</v>
      </c>
      <c r="B708" s="5" t="e">
        <f ca="1">IF(OR(INDEX($AI$2:$AI$1001,MATCH(ROWS($AH$2:AH708),$AH$2:$AH$1001,0),1)&gt;=100000,INDEX($AO$1005:$BQ$1005,1,MATCH(COLUMNS($AO$1006:AO1006),$AO$1006:$BQ$1006,0))&gt;=100000), " ",IF(INDEX($AO$2:$BQ$1001,MATCH(ROWS($AH$2:AH708),$AH$2:$AH$1001,0),MATCH(COLUMNS($AO$1006:AO1006),$AO$1006:$BQ$1006,0)), HYPERLINK("#",""), HYPERLINK(CONCATENATE("#Metadata!", ADDRESS(INDEX($AJ$2:$AJ$1001,MATCH(ROWS($AH$2:AH708),$AH$2:$AH$1001,0),0), INDEX($AO$1004:$BQ$1004,1,MATCH(COLUMNS($AO$1006:AO1006),$AO$1006:$BQ$1006,0)))),"Fix")))</f>
        <v>#N/A</v>
      </c>
      <c r="C708" s="5" t="e">
        <f ca="1">IF(OR(INDEX($AI$2:$AI$1001,MATCH(ROWS($AH$2:AH708),$AH$2:$AH$1001,0),1)&gt;=100000,INDEX($AO$1005:$BQ$1005,1,MATCH(COLUMNS($AO$1006:AP1006),$AO$1006:$BQ$1006,0))&gt;=100000), " ",IF(INDEX($AO$2:$BQ$1001,MATCH(ROWS($AH$2:AH708),$AH$2:$AH$1001,0),MATCH(COLUMNS($AO$1006:AP1006),$AO$1006:$BQ$1006,0)), HYPERLINK("#",""), HYPERLINK(CONCATENATE("#Metadata!", ADDRESS(INDEX($AJ$2:$AJ$1001,MATCH(ROWS($AH$2:AH708),$AH$2:$AH$1001,0),0), INDEX($AO$1004:$BQ$1004,1,MATCH(COLUMNS($AO$1006:AP1006),$AO$1006:$BQ$1006,0)))),"Fix")))</f>
        <v>#N/A</v>
      </c>
      <c r="D708" s="5" t="e">
        <f ca="1">IF(OR(INDEX($AI$2:$AI$1001,MATCH(ROWS($AH$2:AH708),$AH$2:$AH$1001,0),1)&gt;=100000,INDEX($AO$1005:$BQ$1005,1,MATCH(COLUMNS($AO$1006:AQ1006),$AO$1006:$BQ$1006,0))&gt;=100000), " ",IF(INDEX($AO$2:$BQ$1001,MATCH(ROWS($AH$2:AH708),$AH$2:$AH$1001,0),MATCH(COLUMNS($AO$1006:AQ1006),$AO$1006:$BQ$1006,0)), HYPERLINK("#",""), HYPERLINK(CONCATENATE("#Metadata!", ADDRESS(INDEX($AJ$2:$AJ$1001,MATCH(ROWS($AH$2:AH708),$AH$2:$AH$1001,0),0), INDEX($AO$1004:$BQ$1004,1,MATCH(COLUMNS($AO$1006:AQ1006),$AO$1006:$BQ$1006,0)))),"Fix")))</f>
        <v>#N/A</v>
      </c>
      <c r="E708" s="5" t="e">
        <f ca="1">IF(OR(INDEX($AI$2:$AI$1001,MATCH(ROWS($AH$2:AH708),$AH$2:$AH$1001,0),1)&gt;=100000,INDEX($AO$1005:$BQ$1005,1,MATCH(COLUMNS($AO$1006:AR1006),$AO$1006:$BQ$1006,0))&gt;=100000), " ",IF(INDEX($AO$2:$BQ$1001,MATCH(ROWS($AH$2:AH708),$AH$2:$AH$1001,0),MATCH(COLUMNS($AO$1006:AR1006),$AO$1006:$BQ$1006,0)), HYPERLINK("#",""), HYPERLINK(CONCATENATE("#Metadata!", ADDRESS(INDEX($AJ$2:$AJ$1001,MATCH(ROWS($AH$2:AH708),$AH$2:$AH$1001,0),0), INDEX($AO$1004:$BQ$1004,1,MATCH(COLUMNS($AO$1006:AR1006),$AO$1006:$BQ$1006,0)))),"Fix")))</f>
        <v>#N/A</v>
      </c>
      <c r="F708" s="5" t="e">
        <f ca="1">IF(OR(INDEX($AI$2:$AI$1001,MATCH(ROWS($AH$2:AH708),$AH$2:$AH$1001,0),1)&gt;=100000,INDEX($AO$1005:$BQ$1005,1,MATCH(COLUMNS($AO$1006:AS1006),$AO$1006:$BQ$1006,0))&gt;=100000), " ",IF(INDEX($AO$2:$BQ$1001,MATCH(ROWS($AH$2:AH708),$AH$2:$AH$1001,0),MATCH(COLUMNS($AO$1006:AS1006),$AO$1006:$BQ$1006,0)), HYPERLINK("#",""), HYPERLINK(CONCATENATE("#Metadata!", ADDRESS(INDEX($AJ$2:$AJ$1001,MATCH(ROWS($AH$2:AH708),$AH$2:$AH$1001,0),0), INDEX($AO$1004:$BQ$1004,1,MATCH(COLUMNS($AO$1006:AS1006),$AO$1006:$BQ$1006,0)))),"Fix")))</f>
        <v>#N/A</v>
      </c>
      <c r="G708" s="5" t="e">
        <f ca="1">IF(OR(INDEX($AI$2:$AI$1001,MATCH(ROWS($AH$2:AH708),$AH$2:$AH$1001,0),1)&gt;=100000,INDEX($AO$1005:$BQ$1005,1,MATCH(COLUMNS($AO$1006:AT1006),$AO$1006:$BQ$1006,0))&gt;=100000), " ",IF(INDEX($AO$2:$BQ$1001,MATCH(ROWS($AH$2:AH708),$AH$2:$AH$1001,0),MATCH(COLUMNS($AO$1006:AT1006),$AO$1006:$BQ$1006,0)), HYPERLINK("#",""), HYPERLINK(CONCATENATE("#Metadata!", ADDRESS(INDEX($AJ$2:$AJ$1001,MATCH(ROWS($AH$2:AH708),$AH$2:$AH$1001,0),0), INDEX($AO$1004:$BQ$1004,1,MATCH(COLUMNS($AO$1006:AT1006),$AO$1006:$BQ$1006,0)))),"Fix")))</f>
        <v>#N/A</v>
      </c>
      <c r="H708" s="5" t="e">
        <f ca="1">IF(OR(INDEX($AI$2:$AI$1001,MATCH(ROWS($AH$2:AH708),$AH$2:$AH$1001,0),1)&gt;=100000,INDEX($AO$1005:$BQ$1005,1,MATCH(COLUMNS($AO$1006:AU1006),$AO$1006:$BQ$1006,0))&gt;=100000), " ",IF(INDEX($AO$2:$BQ$1001,MATCH(ROWS($AH$2:AH708),$AH$2:$AH$1001,0),MATCH(COLUMNS($AO$1006:AU1006),$AO$1006:$BQ$1006,0)), HYPERLINK("#",""), HYPERLINK(CONCATENATE("#Metadata!", ADDRESS(INDEX($AJ$2:$AJ$1001,MATCH(ROWS($AH$2:AH708),$AH$2:$AH$1001,0),0), INDEX($AO$1004:$BQ$1004,1,MATCH(COLUMNS($AO$1006:AU1006),$AO$1006:$BQ$1006,0)))),"Fix")))</f>
        <v>#N/A</v>
      </c>
      <c r="I708" s="5" t="e">
        <f ca="1">IF(OR(INDEX($AI$2:$AI$1001,MATCH(ROWS($AH$2:AH708),$AH$2:$AH$1001,0),1)&gt;=100000,INDEX($AO$1005:$BQ$1005,1,MATCH(COLUMNS($AO$1006:AV1006),$AO$1006:$BQ$1006,0))&gt;=100000), " ",IF(INDEX($AO$2:$BQ$1001,MATCH(ROWS($AH$2:AH708),$AH$2:$AH$1001,0),MATCH(COLUMNS($AO$1006:AV1006),$AO$1006:$BQ$1006,0)), HYPERLINK("#",""), HYPERLINK(CONCATENATE("#Metadata!", ADDRESS(INDEX($AJ$2:$AJ$1001,MATCH(ROWS($AH$2:AH708),$AH$2:$AH$1001,0),0), INDEX($AO$1004:$BQ$1004,1,MATCH(COLUMNS($AO$1006:AV1006),$AO$1006:$BQ$1006,0)))),"Fix")))</f>
        <v>#N/A</v>
      </c>
      <c r="J708" s="5" t="e">
        <f ca="1">IF(OR(INDEX($AI$2:$AI$1001,MATCH(ROWS($AH$2:AH708),$AH$2:$AH$1001,0),1)&gt;=100000,INDEX($AO$1005:$BQ$1005,1,MATCH(COLUMNS($AO$1006:AW1006),$AO$1006:$BQ$1006,0))&gt;=100000), " ",IF(INDEX($AO$2:$BQ$1001,MATCH(ROWS($AH$2:AH708),$AH$2:$AH$1001,0),MATCH(COLUMNS($AO$1006:AW1006),$AO$1006:$BQ$1006,0)), HYPERLINK("#",""), HYPERLINK(CONCATENATE("#Metadata!", ADDRESS(INDEX($AJ$2:$AJ$1001,MATCH(ROWS($AH$2:AH708),$AH$2:$AH$1001,0),0), INDEX($AO$1004:$BQ$1004,1,MATCH(COLUMNS($AO$1006:AW1006),$AO$1006:$BQ$1006,0)))),"Fix")))</f>
        <v>#N/A</v>
      </c>
      <c r="K708" s="5" t="e">
        <f ca="1">IF(OR(INDEX($AI$2:$AI$1001,MATCH(ROWS($AH$2:AH708),$AH$2:$AH$1001,0),1)&gt;=100000,INDEX($AO$1005:$BQ$1005,1,MATCH(COLUMNS($AO$1006:AX1006),$AO$1006:$BQ$1006,0))&gt;=100000), " ",IF(INDEX($AO$2:$BQ$1001,MATCH(ROWS($AH$2:AH708),$AH$2:$AH$1001,0),MATCH(COLUMNS($AO$1006:AX1006),$AO$1006:$BQ$1006,0)), HYPERLINK("#",""), HYPERLINK(CONCATENATE("#Metadata!", ADDRESS(INDEX($AJ$2:$AJ$1001,MATCH(ROWS($AH$2:AH708),$AH$2:$AH$1001,0),0), INDEX($AO$1004:$BQ$1004,1,MATCH(COLUMNS($AO$1006:AX1006),$AO$1006:$BQ$1006,0)))),"Fix")))</f>
        <v>#N/A</v>
      </c>
      <c r="L708" s="5" t="e">
        <f ca="1">IF(OR(INDEX($AI$2:$AI$1001,MATCH(ROWS($AH$2:AH708),$AH$2:$AH$1001,0),1)&gt;=100000,INDEX($AO$1005:$BQ$1005,1,MATCH(COLUMNS($AO$1006:AY1006),$AO$1006:$BQ$1006,0))&gt;=100000), " ",IF(INDEX($AO$2:$BQ$1001,MATCH(ROWS($AH$2:AH708),$AH$2:$AH$1001,0),MATCH(COLUMNS($AO$1006:AY1006),$AO$1006:$BQ$1006,0)), HYPERLINK("#",""), HYPERLINK(CONCATENATE("#Metadata!", ADDRESS(INDEX($AJ$2:$AJ$1001,MATCH(ROWS($AH$2:AH708),$AH$2:$AH$1001,0),0), INDEX($AO$1004:$BQ$1004,1,MATCH(COLUMNS($AO$1006:AY1006),$AO$1006:$BQ$1006,0)))),"Fix")))</f>
        <v>#N/A</v>
      </c>
      <c r="M708" s="5" t="e">
        <f ca="1">IF(OR(INDEX($AI$2:$AI$1001,MATCH(ROWS($AH$2:AH708),$AH$2:$AH$1001,0),1)&gt;=100000,INDEX($AO$1005:$BQ$1005,1,MATCH(COLUMNS($AO$1006:AZ1006),$AO$1006:$BQ$1006,0))&gt;=100000), " ",IF(INDEX($AO$2:$BQ$1001,MATCH(ROWS($AH$2:AH708),$AH$2:$AH$1001,0),MATCH(COLUMNS($AO$1006:AZ1006),$AO$1006:$BQ$1006,0)), HYPERLINK("#",""), HYPERLINK(CONCATENATE("#Metadata!", ADDRESS(INDEX($AJ$2:$AJ$1001,MATCH(ROWS($AH$2:AH708),$AH$2:$AH$1001,0),0), INDEX($AO$1004:$BQ$1004,1,MATCH(COLUMNS($AO$1006:AZ1006),$AO$1006:$BQ$1006,0)))),"Fix")))</f>
        <v>#N/A</v>
      </c>
      <c r="N708" s="5" t="e">
        <f ca="1">IF(OR(INDEX($AI$2:$AI$1001,MATCH(ROWS($AH$2:AH708),$AH$2:$AH$1001,0),1)&gt;=100000,INDEX($AO$1005:$BQ$1005,1,MATCH(COLUMNS($AO$1006:BA1006),$AO$1006:$BQ$1006,0))&gt;=100000), " ",IF(INDEX($AO$2:$BQ$1001,MATCH(ROWS($AH$2:AH708),$AH$2:$AH$1001,0),MATCH(COLUMNS($AO$1006:BA1006),$AO$1006:$BQ$1006,0)), HYPERLINK("#",""), HYPERLINK(CONCATENATE("#Metadata!", ADDRESS(INDEX($AJ$2:$AJ$1001,MATCH(ROWS($AH$2:AH708),$AH$2:$AH$1001,0),0), INDEX($AO$1004:$BQ$1004,1,MATCH(COLUMNS($AO$1006:BA1006),$AO$1006:$BQ$1006,0)))),"Fix")))</f>
        <v>#N/A</v>
      </c>
      <c r="O708" s="5" t="e">
        <f ca="1">IF(OR(INDEX($AI$2:$AI$1001,MATCH(ROWS($AH$2:AH708),$AH$2:$AH$1001,0),1)&gt;=100000,INDEX($AO$1005:$BQ$1005,1,MATCH(COLUMNS($AO$1006:BB1006),$AO$1006:$BQ$1006,0))&gt;=100000), " ",IF(INDEX($AO$2:$BQ$1001,MATCH(ROWS($AH$2:AH708),$AH$2:$AH$1001,0),MATCH(COLUMNS($AO$1006:BB1006),$AO$1006:$BQ$1006,0)), HYPERLINK("#",""), HYPERLINK(CONCATENATE("#Metadata!", ADDRESS(INDEX($AJ$2:$AJ$1001,MATCH(ROWS($AH$2:AH708),$AH$2:$AH$1001,0),0), INDEX($AO$1004:$BQ$1004,1,MATCH(COLUMNS($AO$1006:BB1006),$AO$1006:$BQ$1006,0)))),"Fix")))</f>
        <v>#N/A</v>
      </c>
      <c r="P708" s="5" t="e">
        <f ca="1">IF(OR(INDEX($AI$2:$AI$1001,MATCH(ROWS($AH$2:AH708),$AH$2:$AH$1001,0),1)&gt;=100000,INDEX($AO$1005:$BQ$1005,1,MATCH(COLUMNS($AO$1006:BC1006),$AO$1006:$BQ$1006,0))&gt;=100000), " ",IF(INDEX($AO$2:$BQ$1001,MATCH(ROWS($AH$2:AH708),$AH$2:$AH$1001,0),MATCH(COLUMNS($AO$1006:BC1006),$AO$1006:$BQ$1006,0)), HYPERLINK("#",""), HYPERLINK(CONCATENATE("#Metadata!", ADDRESS(INDEX($AJ$2:$AJ$1001,MATCH(ROWS($AH$2:AH708),$AH$2:$AH$1001,0),0), INDEX($AO$1004:$BQ$1004,1,MATCH(COLUMNS($AO$1006:BC1006),$AO$1006:$BQ$1006,0)))),"Fix")))</f>
        <v>#N/A</v>
      </c>
      <c r="Q708" s="5" t="e">
        <f ca="1">IF(OR(INDEX($AI$2:$AI$1001,MATCH(ROWS($AH$2:AH708),$AH$2:$AH$1001,0),1)&gt;=100000,INDEX($AO$1005:$BQ$1005,1,MATCH(COLUMNS($AO$1006:BD1006),$AO$1006:$BQ$1006,0))&gt;=100000), " ",IF(INDEX($AO$2:$BQ$1001,MATCH(ROWS($AH$2:AH708),$AH$2:$AH$1001,0),MATCH(COLUMNS($AO$1006:BD1006),$AO$1006:$BQ$1006,0)), HYPERLINK("#",""), HYPERLINK(CONCATENATE("#Metadata!", ADDRESS(INDEX($AJ$2:$AJ$1001,MATCH(ROWS($AH$2:AH708),$AH$2:$AH$1001,0),0), INDEX($AO$1004:$BQ$1004,1,MATCH(COLUMNS($AO$1006:BD1006),$AO$1006:$BQ$1006,0)))),"Fix")))</f>
        <v>#N/A</v>
      </c>
      <c r="R708" s="5" t="e">
        <f ca="1">IF(OR(INDEX($AI$2:$AI$1001,MATCH(ROWS($AH$2:AH708),$AH$2:$AH$1001,0),1)&gt;=100000,INDEX($AO$1005:$BQ$1005,1,MATCH(COLUMNS($AO$1006:BE1006),$AO$1006:$BQ$1006,0))&gt;=100000), " ",IF(INDEX($AO$2:$BQ$1001,MATCH(ROWS($AH$2:AH708),$AH$2:$AH$1001,0),MATCH(COLUMNS($AO$1006:BE1006),$AO$1006:$BQ$1006,0)), HYPERLINK("#",""), HYPERLINK(CONCATENATE("#Metadata!", ADDRESS(INDEX($AJ$2:$AJ$1001,MATCH(ROWS($AH$2:AH708),$AH$2:$AH$1001,0),0), INDEX($AO$1004:$BQ$1004,1,MATCH(COLUMNS($AO$1006:BE1006),$AO$1006:$BQ$1006,0)))),"Fix")))</f>
        <v>#N/A</v>
      </c>
      <c r="S708" s="5" t="e">
        <f ca="1">IF(OR(INDEX($AI$2:$AI$1001,MATCH(ROWS($AH$2:AH708),$AH$2:$AH$1001,0),1)&gt;=100000,INDEX($AO$1005:$BQ$1005,1,MATCH(COLUMNS($AO$1006:BF1006),$AO$1006:$BQ$1006,0))&gt;=100000), " ",IF(INDEX($AO$2:$BQ$1001,MATCH(ROWS($AH$2:AH708),$AH$2:$AH$1001,0),MATCH(COLUMNS($AO$1006:BF1006),$AO$1006:$BQ$1006,0)), HYPERLINK("#",""), HYPERLINK(CONCATENATE("#Metadata!", ADDRESS(INDEX($AJ$2:$AJ$1001,MATCH(ROWS($AH$2:AH708),$AH$2:$AH$1001,0),0), INDEX($AO$1004:$BQ$1004,1,MATCH(COLUMNS($AO$1006:BF1006),$AO$1006:$BQ$1006,0)))),"Fix")))</f>
        <v>#N/A</v>
      </c>
      <c r="T708" s="5" t="e">
        <f ca="1">IF(OR(INDEX($AI$2:$AI$1001,MATCH(ROWS($AH$2:AH708),$AH$2:$AH$1001,0),1)&gt;=100000,INDEX($AO$1005:$BQ$1005,1,MATCH(COLUMNS($AO$1006:BG1006),$AO$1006:$BQ$1006,0))&gt;=100000), " ",IF(INDEX($AO$2:$BQ$1001,MATCH(ROWS($AH$2:AH708),$AH$2:$AH$1001,0),MATCH(COLUMNS($AO$1006:BG1006),$AO$1006:$BQ$1006,0)), HYPERLINK("#",""), HYPERLINK(CONCATENATE("#Metadata!", ADDRESS(INDEX($AJ$2:$AJ$1001,MATCH(ROWS($AH$2:AH708),$AH$2:$AH$1001,0),0), INDEX($AO$1004:$BQ$1004,1,MATCH(COLUMNS($AO$1006:BG1006),$AO$1006:$BQ$1006,0)))),"Fix")))</f>
        <v>#N/A</v>
      </c>
      <c r="U708" s="5" t="e">
        <f ca="1">IF(OR(INDEX($AI$2:$AI$1001,MATCH(ROWS($AH$2:AH708),$AH$2:$AH$1001,0),1)&gt;=100000,INDEX($AO$1005:$BQ$1005,1,MATCH(COLUMNS($AO$1006:BH1006),$AO$1006:$BQ$1006,0))&gt;=100000), " ",IF(INDEX($AO$2:$BQ$1001,MATCH(ROWS($AH$2:AH708),$AH$2:$AH$1001,0),MATCH(COLUMNS($AO$1006:BH1006),$AO$1006:$BQ$1006,0)), HYPERLINK("#",""), HYPERLINK(CONCATENATE("#Metadata!", ADDRESS(INDEX($AJ$2:$AJ$1001,MATCH(ROWS($AH$2:AH708),$AH$2:$AH$1001,0),0), INDEX($AO$1004:$BQ$1004,1,MATCH(COLUMNS($AO$1006:BH1006),$AO$1006:$BQ$1006,0)))),"Fix")))</f>
        <v>#N/A</v>
      </c>
      <c r="V708" s="5" t="e">
        <f ca="1">IF(OR(INDEX($AI$2:$AI$1001,MATCH(ROWS($AH$2:AH708),$AH$2:$AH$1001,0),1)&gt;=100000,INDEX($AO$1005:$BQ$1005,1,MATCH(COLUMNS($AO$1006:BI1006),$AO$1006:$BQ$1006,0))&gt;=100000), " ",IF(INDEX($AO$2:$BQ$1001,MATCH(ROWS($AH$2:AH708),$AH$2:$AH$1001,0),MATCH(COLUMNS($AO$1006:BI1006),$AO$1006:$BQ$1006,0)), HYPERLINK("#",""), HYPERLINK(CONCATENATE("#Metadata!", ADDRESS(INDEX($AJ$2:$AJ$1001,MATCH(ROWS($AH$2:AH708),$AH$2:$AH$1001,0),0), INDEX($AO$1004:$BQ$1004,1,MATCH(COLUMNS($AO$1006:BI1006),$AO$1006:$BQ$1006,0)))),"Fix")))</f>
        <v>#N/A</v>
      </c>
      <c r="W708" s="5" t="e">
        <f ca="1">IF(OR(INDEX($AI$2:$AI$1001,MATCH(ROWS($AH$2:AH708),$AH$2:$AH$1001,0),1)&gt;=100000,INDEX($AO$1005:$BQ$1005,1,MATCH(COLUMNS($AO$1006:BJ1006),$AO$1006:$BQ$1006,0))&gt;=100000), " ",IF(INDEX($AO$2:$BQ$1001,MATCH(ROWS($AH$2:AH708),$AH$2:$AH$1001,0),MATCH(COLUMNS($AO$1006:BJ1006),$AO$1006:$BQ$1006,0)), HYPERLINK("#",""), HYPERLINK(CONCATENATE("#Metadata!", ADDRESS(INDEX($AJ$2:$AJ$1001,MATCH(ROWS($AH$2:AH708),$AH$2:$AH$1001,0),0), INDEX($AO$1004:$BQ$1004,1,MATCH(COLUMNS($AO$1006:BJ1006),$AO$1006:$BQ$1006,0)))),"Fix")))</f>
        <v>#N/A</v>
      </c>
      <c r="X708" s="5" t="e">
        <f ca="1">IF(OR(INDEX($AI$2:$AI$1001,MATCH(ROWS($AH$2:AH708),$AH$2:$AH$1001,0),1)&gt;=100000,INDEX($AO$1005:$BQ$1005,1,MATCH(COLUMNS($AO$1006:BK1006),$AO$1006:$BQ$1006,0))&gt;=100000), " ",IF(INDEX($AO$2:$BQ$1001,MATCH(ROWS($AH$2:AH708),$AH$2:$AH$1001,0),MATCH(COLUMNS($AO$1006:BK1006),$AO$1006:$BQ$1006,0)), HYPERLINK("#",""), HYPERLINK(CONCATENATE("#Metadata!", ADDRESS(INDEX($AJ$2:$AJ$1001,MATCH(ROWS($AH$2:AH708),$AH$2:$AH$1001,0),0), INDEX($AO$1004:$BQ$1004,1,MATCH(COLUMNS($AO$1006:BK1006),$AO$1006:$BQ$1006,0)))),"Fix")))</f>
        <v>#N/A</v>
      </c>
      <c r="Y708" s="5" t="e">
        <f ca="1">IF(OR(INDEX($AI$2:$AI$1001,MATCH(ROWS($AH$2:AH708),$AH$2:$AH$1001,0),1)&gt;=100000,INDEX($AO$1005:$BQ$1005,1,MATCH(COLUMNS($AO$1006:BL1006),$AO$1006:$BQ$1006,0))&gt;=100000), " ",IF(INDEX($AO$2:$BQ$1001,MATCH(ROWS($AH$2:AH708),$AH$2:$AH$1001,0),MATCH(COLUMNS($AO$1006:BL1006),$AO$1006:$BQ$1006,0)), HYPERLINK("#",""), HYPERLINK(CONCATENATE("#Metadata!", ADDRESS(INDEX($AJ$2:$AJ$1001,MATCH(ROWS($AH$2:AH708),$AH$2:$AH$1001,0),0), INDEX($AO$1004:$BQ$1004,1,MATCH(COLUMNS($AO$1006:BL1006),$AO$1006:$BQ$1006,0)))),"Fix")))</f>
        <v>#N/A</v>
      </c>
      <c r="Z708" s="5" t="e">
        <f ca="1">IF(OR(INDEX($AI$2:$AI$1001,MATCH(ROWS($AH$2:AH708),$AH$2:$AH$1001,0),1)&gt;=100000,INDEX($AO$1005:$BQ$1005,1,MATCH(COLUMNS($AO$1006:BM1006),$AO$1006:$BQ$1006,0))&gt;=100000), " ",IF(INDEX($AO$2:$BQ$1001,MATCH(ROWS($AH$2:AH708),$AH$2:$AH$1001,0),MATCH(COLUMNS($AO$1006:BM1006),$AO$1006:$BQ$1006,0)), HYPERLINK("#",""), HYPERLINK(CONCATENATE("#Metadata!", ADDRESS(INDEX($AJ$2:$AJ$1001,MATCH(ROWS($AH$2:AH708),$AH$2:$AH$1001,0),0), INDEX($AO$1004:$BQ$1004,1,MATCH(COLUMNS($AO$1006:BM1006),$AO$1006:$BQ$1006,0)))),"Fix")))</f>
        <v>#N/A</v>
      </c>
      <c r="AA708" s="5" t="e">
        <f ca="1">IF(OR(INDEX($AI$2:$AI$1001,MATCH(ROWS($AH$2:AH708),$AH$2:$AH$1001,0),1)&gt;=100000,INDEX($AO$1005:$BQ$1005,1,MATCH(COLUMNS($AO$1006:BN1006),$AO$1006:$BQ$1006,0))&gt;=100000), " ",IF(INDEX($AO$2:$BQ$1001,MATCH(ROWS($AH$2:AH708),$AH$2:$AH$1001,0),MATCH(COLUMNS($AO$1006:BN1006),$AO$1006:$BQ$1006,0)), HYPERLINK("#",""), HYPERLINK(CONCATENATE("#Metadata!", ADDRESS(INDEX($AJ$2:$AJ$1001,MATCH(ROWS($AH$2:AH708),$AH$2:$AH$1001,0),0), INDEX($AO$1004:$BQ$1004,1,MATCH(COLUMNS($AO$1006:BN1006),$AO$1006:$BQ$1006,0)))),"Fix")))</f>
        <v>#N/A</v>
      </c>
      <c r="AB708" s="5" t="e">
        <f ca="1">IF(OR(INDEX($AI$2:$AI$1001,MATCH(ROWS($AH$2:AH708),$AH$2:$AH$1001,0),1)&gt;=100000,INDEX($AO$1005:$BQ$1005,1,MATCH(COLUMNS($AO$1006:BO1006),$AO$1006:$BQ$1006,0))&gt;=100000), " ",IF(INDEX($AO$2:$BQ$1001,MATCH(ROWS($AH$2:AH708),$AH$2:$AH$1001,0),MATCH(COLUMNS($AO$1006:BO1006),$AO$1006:$BQ$1006,0)), HYPERLINK("#",""), HYPERLINK(CONCATENATE("#Metadata!", ADDRESS(INDEX($AJ$2:$AJ$1001,MATCH(ROWS($AH$2:AH708),$AH$2:$AH$1001,0),0), INDEX($AO$1004:$BQ$1004,1,MATCH(COLUMNS($AO$1006:BO1006),$AO$1006:$BQ$1006,0)))),"Fix")))</f>
        <v>#N/A</v>
      </c>
      <c r="AC708" s="5" t="e">
        <f ca="1">IF(OR(INDEX($AI$2:$AI$1001,MATCH(ROWS($AH$2:AH708),$AH$2:$AH$1001,0),1)&gt;=100000,INDEX($AO$1005:$BQ$1005,1,MATCH(COLUMNS($AO$1006:BP1006),$AO$1006:$BQ$1006,0))&gt;=100000), " ",IF(INDEX($AO$2:$BQ$1001,MATCH(ROWS($AH$2:AH708),$AH$2:$AH$1001,0),MATCH(COLUMNS($AO$1006:BP1006),$AO$1006:$BQ$1006,0)), HYPERLINK("#",""), HYPERLINK(CONCATENATE("#Metadata!", ADDRESS(INDEX($AJ$2:$AJ$1001,MATCH(ROWS($AH$2:AH708),$AH$2:$AH$1001,0),0), INDEX($AO$1004:$BQ$1004,1,MATCH(COLUMNS($AO$1006:BP1006),$AO$1006:$BQ$1006,0)))),"Fix")))</f>
        <v>#N/A</v>
      </c>
      <c r="AD708" s="5" t="e">
        <f ca="1">IF(OR(INDEX($AI$2:$AI$1001,MATCH(ROWS($AH$2:AH708),$AH$2:$AH$1001,0),1)&gt;=100000,INDEX($AO$1005:$BQ$1005,1,MATCH(COLUMNS($AO$1006:BQ1006),$AO$1006:$BQ$1006,0))&gt;=100000), " ",IF(INDEX($AO$2:$BQ$1001,MATCH(ROWS($AH$2:AH708),$AH$2:$AH$1001,0),MATCH(COLUMNS($AO$1006:BQ1006),$AO$1006:$BQ$1006,0)), HYPERLINK("#",""), HYPERLINK(CONCATENATE("#Metadata!", ADDRESS(INDEX($AJ$2:$AJ$1001,MATCH(ROWS($AH$2:AH708),$AH$2:$AH$1001,0),0), INDEX($AO$1004:$BQ$1004,1,MATCH(COLUMNS($AO$1006:BQ1006),$AO$1006:$BQ$1006,0)))),"Fix")))</f>
        <v>#REF!</v>
      </c>
      <c r="AH708">
        <f ca="1"/>
        <v>705</v>
      </c>
      <c r="AI708">
        <v>100708</v>
      </c>
      <c r="AJ708">
        <v>708</v>
      </c>
      <c r="AK708" t="b">
        <f t="shared" si="11"/>
        <v>1</v>
      </c>
      <c r="AL708" t="b">
        <f>COUNTBLANK(Metadata!B708:AD708)=COLUMNS(Metadata!B708:AD708)</f>
        <v>1</v>
      </c>
      <c r="AM708" t="str">
        <v/>
      </c>
      <c r="AO708" t="b">
        <f ca="1">AND(IF(Metadata!B708="",FALSE,TRUE),COUNTIF(Metadata!B:B, Metadata!B708) = 1,NOT(ISERROR(SUMPRODUCT(SEARCH(MID(Metadata!B708,ROW(INDIRECT("1:"&amp;LEN(Metadata!B708))), 1),"0123456789abcdefghijklmnopqrstuvwxyzABCDEFGHIJKLMNOPQRSTUVWXYZ.")))))</f>
        <v>0</v>
      </c>
      <c r="AP708" t="b">
        <f>IF(Metadata!C708="",FALSE,TRUE)</f>
        <v>0</v>
      </c>
      <c r="AQ708" t="b">
        <f>IF(Metadata!D708="",FALSE,TRUE)</f>
        <v>0</v>
      </c>
      <c r="AR708" t="b">
        <f ca="1">OR(AND(IF(Metadata!E708="",FALSE,TRUE),OR(EXACT(Metadata!E708,"not collected"),EXACT(Metadata!E708,"not provided"),EXACT(Metadata!E708,"restricted access"))),AND(IF(Metadata!E708="",FALSE,TRUE),AND(AND(IFERROR(INT(LEFT(Metadata!E708,4))&gt;1900,FALSE),IFERROR(INT(LEFT(Metadata!E708,4))&lt;=YEAR(NOW()),FALSE)), OR(MID(Metadata!E708,5,1)="", AND(AND(MID(Metadata!E708,5,1)="-",IFERROR(INT(MID(Metadata!E708,6,1))&gt;=0,FALSE),IFERROR(INT(MID(Metadata!E708,6,1))&lt;=1,FALSE),NOT(MID(Metadata!E708,7,1)=""),IFERROR(INT(MID(Metadata!E708,6,2))&gt;=1,FALSE),IFERROR(INT(MID(Metadata!E708,6,2))&lt;=12,FALSE)), OR(MID(Metadata!E708,8,1)="", AND(AND(MID(Metadata!E708,8,1)="-",IFERROR(INT(MID(Metadata!E708,9,1))&gt;=0,FALSE),IFERROR(INT(MID(Metadata!E708,9,1))&lt;=3,FALSE),NOT(MID(Metadata!E708,10,1)=""),IFERROR(INT(MID(Metadata!E708,9,2))&gt;=1,FALSE),IFERROR(INT(MID(Metadata!E708,9,2))&lt;=31,FALSE)), OR(MID(Metadata!E708,11,1)="", AND(AND(MID(Metadata!E708,11,1)=" ",IFERROR(INT(MID(Metadata!E708,12,1))&gt;=0,FALSE),IFERROR(INT(MID(Metadata!E708,12,1))&lt;=2,FALSE),NOT(MID(Metadata!E708,13,1)=""),IFERROR(INT(MID(Metadata!E708,12,2))&gt;=0,FALSE),IFERROR(INT(MID(Metadata!E708,12,2))&lt;=23,FALSE)), OR(MID(Metadata!E708,14,1)="", AND(AND(MID(Metadata!E708,14,1)=":",IFERROR(INT(MID(Metadata!E708,15,1))&gt;=0,FALSE),IFERROR(INT(MID(Metadata!E708,15,1))&lt;=5,FALSE),NOT(MID(Metadata!E708,16,1)=""),IFERROR(INT(MID(Metadata!E708,15,2))&gt;=0,FALSE),IFERROR(INT(MID(Metadata!E708,15,2))&lt;=59,FALSE)), OR(MID(Metadata!E708,17,1)="", AND(AND(MID(Metadata!E708,17,1)=":",IFERROR(INT(MID(Metadata!E708,18,1))&gt;=0,FALSE),IFERROR(INT(MID(Metadata!E708,18,1))&lt;=5,FALSE),NOT(MID(Metadata!E708,19,1)=""),IFERROR(INT(MID(Metadata!E708,18,2))&gt;=0,FALSE),IFERROR(INT(MID(Metadata!E708,18,2))&lt;=59,FALSE)), LEN(Metadata!E708)&lt;=19)))))))))))))</f>
        <v>0</v>
      </c>
      <c r="AS708" t="b">
        <f>IF(Metadata!F708="",FALSE,TRUE)</f>
        <v>0</v>
      </c>
      <c r="AT708" t="b">
        <f>OR(AND(IF(Metadata!G708="",FALSE,TRUE),OR(EXACT(Metadata!G708,"not collected"),EXACT(Metadata!G708,"not provided"))),AND(IF(Metadata!G708="",FALSE,TRUE),OR(EXACT(Metadata!G708,"TRUE"),EXACT(Metadata!G708,"FALSE"))))</f>
        <v>0</v>
      </c>
      <c r="AU708" t="b">
        <f>OR(AND(IF(Metadata!H708="",FALSE,TRUE),OR(EXACT(Metadata!H708,"not collected"),EXACT(Metadata!H708,"not provided"),EXACT(Metadata!H708,"restricted access"))),AND(IF(Metadata!H708="",FALSE,ISNUMBER(VALUE(Metadata!H708))),Metadata!H708&gt;=-413))</f>
        <v>0</v>
      </c>
      <c r="AV708" t="b">
        <f>AND(IF(Metadata!I708="",FALSE,TRUE),EXACT(Metadata!I708,"meters"))</f>
        <v>0</v>
      </c>
      <c r="AW708" t="b">
        <f>AND(IF(Metadata!J708="",FALSE,TRUE),EXACT(Metadata!J708,"free-living"))</f>
        <v>0</v>
      </c>
      <c r="AX708" t="b">
        <f>AND(IF(Metadata!K708="",FALSE,TRUE),OR(EXACT(Metadata!K708,"saline"),EXACT(Metadata!K708,"non-saline")))</f>
        <v>0</v>
      </c>
      <c r="AY708" t="b">
        <f>AND(IF(Metadata!L708="",FALSE,TRUE),OR(EXACT(Metadata!L708,"sub-surface (non-saline)"),EXACT(Metadata!L708,"surface (non-saline)"),EXACT(Metadata!L708,"water (non-saline)"),EXACT(Metadata!L708,"soil (non-saline)"),EXACT(Metadata!L708,"aerosol (non-saline)"),EXACT(Metadata!L708,"sediment (non-saline)"),EXACT(Metadata!L708,"surface (saline)"),EXACT(Metadata!L708,"water (saline)"),EXACT(Metadata!L708,"hypersaline (saline)"),EXACT(Metadata!L708,"aerosol (saline)"),EXACT(Metadata!L708,"sediment (saline)")))</f>
        <v>0</v>
      </c>
      <c r="AZ708" t="b">
        <f>IF(Metadata!M708="",FALSE,TRUE)</f>
        <v>0</v>
      </c>
      <c r="BA708" t="b">
        <f>IF(Metadata!N708="",FALSE,TRUE)</f>
        <v>0</v>
      </c>
      <c r="BB708" t="b">
        <f>IF(Metadata!O708="",FALSE,TRUE)</f>
        <v>0</v>
      </c>
      <c r="BC708" t="b">
        <f>AND(IF(Metadata!P708="",FALSE,TRUE),OR(EXACT(Metadata!P708,"air"),EXACT(Metadata!P708,"microbial mat/biofilm"),EXACT(Metadata!P708,"misc environment"),EXACT(Metadata!P708,"sediment"),EXACT(Metadata!P708,"soil"),EXACT(Metadata!P708,"wastewater/sludge"),EXACT(Metadata!P708,"water")))</f>
        <v>0</v>
      </c>
      <c r="BD708" t="b">
        <f>IF(Metadata!Q708="",FALSE,TRUE)</f>
        <v>0</v>
      </c>
      <c r="BE708" t="b">
        <f>IF(Metadata!R708="",FALSE,TRUE)</f>
        <v>0</v>
      </c>
      <c r="BF708" t="b">
        <f>OR(AND(IF(Metadata!S708="",FALSE,TRUE),OR(EXACT(Metadata!S708,"not collected"),EXACT(Metadata!S708,"not provided"),EXACT(Metadata!S708,"restricted access"))),AND(IF(Metadata!S708="",FALSE,ISNUMBER(VALUE(Metadata!S708))),Metadata!S708&gt;=-90,Metadata!S708&lt;=90))</f>
        <v>0</v>
      </c>
      <c r="BG708" t="b">
        <f>AND(IF(Metadata!T708="",FALSE,TRUE),EXACT(Metadata!T708,"Decimal degrees"))</f>
        <v>0</v>
      </c>
      <c r="BH708" t="b">
        <f>OR(AND(IF(Metadata!U708="",FALSE,TRUE),OR(EXACT(Metadata!U708,"not applicable"),EXACT(Metadata!U708,"not collected"))),IF(Metadata!U708="",FALSE,TRUE))</f>
        <v>0</v>
      </c>
      <c r="BI708" t="b">
        <f>OR(AND(IF(Metadata!V708="",FALSE,TRUE),OR(EXACT(Metadata!V708,"not collected"),EXACT(Metadata!V708,"not provided"),EXACT(Metadata!V708,"restricted access"))),AND(IF(Metadata!V708="",FALSE,ISNUMBER(VALUE(Metadata!V708))),Metadata!V708&gt;=-180,Metadata!V708&lt;=180))</f>
        <v>0</v>
      </c>
      <c r="BJ708" t="b">
        <f>AND(IF(Metadata!W708="",FALSE,TRUE),EXACT(Metadata!W708,"Decimal degrees"))</f>
        <v>0</v>
      </c>
      <c r="BK708" t="b">
        <f>IF(Metadata!X708="",FALSE,TRUE)</f>
        <v>0</v>
      </c>
      <c r="BL708" t="b">
        <f>OR(AND(IF(Metadata!Y708="",FALSE,TRUE),OR(EXACT(Metadata!Y708,"not collected"),EXACT(Metadata!Y708,"not provided"),EXACT(Metadata!Y708,"restricted access"))),AND(IF(Metadata!Y708="",FALSE,TRUE),OR(EXACT(Metadata!Y708,"TRUE"),EXACT(Metadata!Y708,"FALSE"))))</f>
        <v>0</v>
      </c>
      <c r="BM708" t="b">
        <f>OR(AND(IF(Metadata!Z708="",FALSE,TRUE),EXACT(Metadata!Z708,"not applicable")),AND(IF(Metadata!Z708="",FALSE,TRUE),OR(EXACT(Metadata!Z708,"beer"),EXACT(Metadata!Z708,"cheese"),EXACT(Metadata!Z708,"fresh water"),EXACT(Metadata!Z708,"marine sediment"),EXACT(Metadata!Z708,"sea water"),EXACT(Metadata!Z708,"sediment"),EXACT(Metadata!Z708,"soil"),EXACT(Metadata!Z708,"waste water"))))</f>
        <v>0</v>
      </c>
      <c r="BN708" t="b">
        <f>AND(IF(Metadata!AA708="",FALSE,TRUE),EXACT(Metadata!AA708,"metagenome"))</f>
        <v>0</v>
      </c>
      <c r="BO708" t="b">
        <f>AND(IF(Metadata!AB708="",FALSE,TRUE),EXACT(Metadata!AB708,"256318"))</f>
        <v>0</v>
      </c>
      <c r="BP708" t="b">
        <f>IF(Metadata!AC708="",FALSE,TRUE)</f>
        <v>0</v>
      </c>
      <c r="BQ708" t="b">
        <f>IF(Metadata!AD708="",FALSE,TRUE)</f>
        <v>0</v>
      </c>
    </row>
    <row r="709" spans="1:69" x14ac:dyDescent="0.2">
      <c r="A709" s="4" t="e">
        <f ca="1">IF(B709=" "," ",HYPERLINK(CONCATENATE("#metadata!",ADDRESS(INDEX($AJ$2:$AJ$1001,MATCH(ROWS($AH$2:AH709),$AH$2:$AH$1001,0),0),2)),INDEX($AM$2:$AM$1001,MATCH(ROWS($AH$2:AH709),$AH$2:$AH$1001,0),0)))</f>
        <v>#N/A</v>
      </c>
      <c r="B709" s="5" t="e">
        <f ca="1">IF(OR(INDEX($AI$2:$AI$1001,MATCH(ROWS($AH$2:AH709),$AH$2:$AH$1001,0),1)&gt;=100000,INDEX($AO$1005:$BQ$1005,1,MATCH(COLUMNS($AO$1006:AO1006),$AO$1006:$BQ$1006,0))&gt;=100000), " ",IF(INDEX($AO$2:$BQ$1001,MATCH(ROWS($AH$2:AH709),$AH$2:$AH$1001,0),MATCH(COLUMNS($AO$1006:AO1006),$AO$1006:$BQ$1006,0)), HYPERLINK("#",""), HYPERLINK(CONCATENATE("#Metadata!", ADDRESS(INDEX($AJ$2:$AJ$1001,MATCH(ROWS($AH$2:AH709),$AH$2:$AH$1001,0),0), INDEX($AO$1004:$BQ$1004,1,MATCH(COLUMNS($AO$1006:AO1006),$AO$1006:$BQ$1006,0)))),"Fix")))</f>
        <v>#N/A</v>
      </c>
      <c r="C709" s="5" t="e">
        <f ca="1">IF(OR(INDEX($AI$2:$AI$1001,MATCH(ROWS($AH$2:AH709),$AH$2:$AH$1001,0),1)&gt;=100000,INDEX($AO$1005:$BQ$1005,1,MATCH(COLUMNS($AO$1006:AP1006),$AO$1006:$BQ$1006,0))&gt;=100000), " ",IF(INDEX($AO$2:$BQ$1001,MATCH(ROWS($AH$2:AH709),$AH$2:$AH$1001,0),MATCH(COLUMNS($AO$1006:AP1006),$AO$1006:$BQ$1006,0)), HYPERLINK("#",""), HYPERLINK(CONCATENATE("#Metadata!", ADDRESS(INDEX($AJ$2:$AJ$1001,MATCH(ROWS($AH$2:AH709),$AH$2:$AH$1001,0),0), INDEX($AO$1004:$BQ$1004,1,MATCH(COLUMNS($AO$1006:AP1006),$AO$1006:$BQ$1006,0)))),"Fix")))</f>
        <v>#N/A</v>
      </c>
      <c r="D709" s="5" t="e">
        <f ca="1">IF(OR(INDEX($AI$2:$AI$1001,MATCH(ROWS($AH$2:AH709),$AH$2:$AH$1001,0),1)&gt;=100000,INDEX($AO$1005:$BQ$1005,1,MATCH(COLUMNS($AO$1006:AQ1006),$AO$1006:$BQ$1006,0))&gt;=100000), " ",IF(INDEX($AO$2:$BQ$1001,MATCH(ROWS($AH$2:AH709),$AH$2:$AH$1001,0),MATCH(COLUMNS($AO$1006:AQ1006),$AO$1006:$BQ$1006,0)), HYPERLINK("#",""), HYPERLINK(CONCATENATE("#Metadata!", ADDRESS(INDEX($AJ$2:$AJ$1001,MATCH(ROWS($AH$2:AH709),$AH$2:$AH$1001,0),0), INDEX($AO$1004:$BQ$1004,1,MATCH(COLUMNS($AO$1006:AQ1006),$AO$1006:$BQ$1006,0)))),"Fix")))</f>
        <v>#N/A</v>
      </c>
      <c r="E709" s="5" t="e">
        <f ca="1">IF(OR(INDEX($AI$2:$AI$1001,MATCH(ROWS($AH$2:AH709),$AH$2:$AH$1001,0),1)&gt;=100000,INDEX($AO$1005:$BQ$1005,1,MATCH(COLUMNS($AO$1006:AR1006),$AO$1006:$BQ$1006,0))&gt;=100000), " ",IF(INDEX($AO$2:$BQ$1001,MATCH(ROWS($AH$2:AH709),$AH$2:$AH$1001,0),MATCH(COLUMNS($AO$1006:AR1006),$AO$1006:$BQ$1006,0)), HYPERLINK("#",""), HYPERLINK(CONCATENATE("#Metadata!", ADDRESS(INDEX($AJ$2:$AJ$1001,MATCH(ROWS($AH$2:AH709),$AH$2:$AH$1001,0),0), INDEX($AO$1004:$BQ$1004,1,MATCH(COLUMNS($AO$1006:AR1006),$AO$1006:$BQ$1006,0)))),"Fix")))</f>
        <v>#N/A</v>
      </c>
      <c r="F709" s="5" t="e">
        <f ca="1">IF(OR(INDEX($AI$2:$AI$1001,MATCH(ROWS($AH$2:AH709),$AH$2:$AH$1001,0),1)&gt;=100000,INDEX($AO$1005:$BQ$1005,1,MATCH(COLUMNS($AO$1006:AS1006),$AO$1006:$BQ$1006,0))&gt;=100000), " ",IF(INDEX($AO$2:$BQ$1001,MATCH(ROWS($AH$2:AH709),$AH$2:$AH$1001,0),MATCH(COLUMNS($AO$1006:AS1006),$AO$1006:$BQ$1006,0)), HYPERLINK("#",""), HYPERLINK(CONCATENATE("#Metadata!", ADDRESS(INDEX($AJ$2:$AJ$1001,MATCH(ROWS($AH$2:AH709),$AH$2:$AH$1001,0),0), INDEX($AO$1004:$BQ$1004,1,MATCH(COLUMNS($AO$1006:AS1006),$AO$1006:$BQ$1006,0)))),"Fix")))</f>
        <v>#N/A</v>
      </c>
      <c r="G709" s="5" t="e">
        <f ca="1">IF(OR(INDEX($AI$2:$AI$1001,MATCH(ROWS($AH$2:AH709),$AH$2:$AH$1001,0),1)&gt;=100000,INDEX($AO$1005:$BQ$1005,1,MATCH(COLUMNS($AO$1006:AT1006),$AO$1006:$BQ$1006,0))&gt;=100000), " ",IF(INDEX($AO$2:$BQ$1001,MATCH(ROWS($AH$2:AH709),$AH$2:$AH$1001,0),MATCH(COLUMNS($AO$1006:AT1006),$AO$1006:$BQ$1006,0)), HYPERLINK("#",""), HYPERLINK(CONCATENATE("#Metadata!", ADDRESS(INDEX($AJ$2:$AJ$1001,MATCH(ROWS($AH$2:AH709),$AH$2:$AH$1001,0),0), INDEX($AO$1004:$BQ$1004,1,MATCH(COLUMNS($AO$1006:AT1006),$AO$1006:$BQ$1006,0)))),"Fix")))</f>
        <v>#N/A</v>
      </c>
      <c r="H709" s="5" t="e">
        <f ca="1">IF(OR(INDEX($AI$2:$AI$1001,MATCH(ROWS($AH$2:AH709),$AH$2:$AH$1001,0),1)&gt;=100000,INDEX($AO$1005:$BQ$1005,1,MATCH(COLUMNS($AO$1006:AU1006),$AO$1006:$BQ$1006,0))&gt;=100000), " ",IF(INDEX($AO$2:$BQ$1001,MATCH(ROWS($AH$2:AH709),$AH$2:$AH$1001,0),MATCH(COLUMNS($AO$1006:AU1006),$AO$1006:$BQ$1006,0)), HYPERLINK("#",""), HYPERLINK(CONCATENATE("#Metadata!", ADDRESS(INDEX($AJ$2:$AJ$1001,MATCH(ROWS($AH$2:AH709),$AH$2:$AH$1001,0),0), INDEX($AO$1004:$BQ$1004,1,MATCH(COLUMNS($AO$1006:AU1006),$AO$1006:$BQ$1006,0)))),"Fix")))</f>
        <v>#N/A</v>
      </c>
      <c r="I709" s="5" t="e">
        <f ca="1">IF(OR(INDEX($AI$2:$AI$1001,MATCH(ROWS($AH$2:AH709),$AH$2:$AH$1001,0),1)&gt;=100000,INDEX($AO$1005:$BQ$1005,1,MATCH(COLUMNS($AO$1006:AV1006),$AO$1006:$BQ$1006,0))&gt;=100000), " ",IF(INDEX($AO$2:$BQ$1001,MATCH(ROWS($AH$2:AH709),$AH$2:$AH$1001,0),MATCH(COLUMNS($AO$1006:AV1006),$AO$1006:$BQ$1006,0)), HYPERLINK("#",""), HYPERLINK(CONCATENATE("#Metadata!", ADDRESS(INDEX($AJ$2:$AJ$1001,MATCH(ROWS($AH$2:AH709),$AH$2:$AH$1001,0),0), INDEX($AO$1004:$BQ$1004,1,MATCH(COLUMNS($AO$1006:AV1006),$AO$1006:$BQ$1006,0)))),"Fix")))</f>
        <v>#N/A</v>
      </c>
      <c r="J709" s="5" t="e">
        <f ca="1">IF(OR(INDEX($AI$2:$AI$1001,MATCH(ROWS($AH$2:AH709),$AH$2:$AH$1001,0),1)&gt;=100000,INDEX($AO$1005:$BQ$1005,1,MATCH(COLUMNS($AO$1006:AW1006),$AO$1006:$BQ$1006,0))&gt;=100000), " ",IF(INDEX($AO$2:$BQ$1001,MATCH(ROWS($AH$2:AH709),$AH$2:$AH$1001,0),MATCH(COLUMNS($AO$1006:AW1006),$AO$1006:$BQ$1006,0)), HYPERLINK("#",""), HYPERLINK(CONCATENATE("#Metadata!", ADDRESS(INDEX($AJ$2:$AJ$1001,MATCH(ROWS($AH$2:AH709),$AH$2:$AH$1001,0),0), INDEX($AO$1004:$BQ$1004,1,MATCH(COLUMNS($AO$1006:AW1006),$AO$1006:$BQ$1006,0)))),"Fix")))</f>
        <v>#N/A</v>
      </c>
      <c r="K709" s="5" t="e">
        <f ca="1">IF(OR(INDEX($AI$2:$AI$1001,MATCH(ROWS($AH$2:AH709),$AH$2:$AH$1001,0),1)&gt;=100000,INDEX($AO$1005:$BQ$1005,1,MATCH(COLUMNS($AO$1006:AX1006),$AO$1006:$BQ$1006,0))&gt;=100000), " ",IF(INDEX($AO$2:$BQ$1001,MATCH(ROWS($AH$2:AH709),$AH$2:$AH$1001,0),MATCH(COLUMNS($AO$1006:AX1006),$AO$1006:$BQ$1006,0)), HYPERLINK("#",""), HYPERLINK(CONCATENATE("#Metadata!", ADDRESS(INDEX($AJ$2:$AJ$1001,MATCH(ROWS($AH$2:AH709),$AH$2:$AH$1001,0),0), INDEX($AO$1004:$BQ$1004,1,MATCH(COLUMNS($AO$1006:AX1006),$AO$1006:$BQ$1006,0)))),"Fix")))</f>
        <v>#N/A</v>
      </c>
      <c r="L709" s="5" t="e">
        <f ca="1">IF(OR(INDEX($AI$2:$AI$1001,MATCH(ROWS($AH$2:AH709),$AH$2:$AH$1001,0),1)&gt;=100000,INDEX($AO$1005:$BQ$1005,1,MATCH(COLUMNS($AO$1006:AY1006),$AO$1006:$BQ$1006,0))&gt;=100000), " ",IF(INDEX($AO$2:$BQ$1001,MATCH(ROWS($AH$2:AH709),$AH$2:$AH$1001,0),MATCH(COLUMNS($AO$1006:AY1006),$AO$1006:$BQ$1006,0)), HYPERLINK("#",""), HYPERLINK(CONCATENATE("#Metadata!", ADDRESS(INDEX($AJ$2:$AJ$1001,MATCH(ROWS($AH$2:AH709),$AH$2:$AH$1001,0),0), INDEX($AO$1004:$BQ$1004,1,MATCH(COLUMNS($AO$1006:AY1006),$AO$1006:$BQ$1006,0)))),"Fix")))</f>
        <v>#N/A</v>
      </c>
      <c r="M709" s="5" t="e">
        <f ca="1">IF(OR(INDEX($AI$2:$AI$1001,MATCH(ROWS($AH$2:AH709),$AH$2:$AH$1001,0),1)&gt;=100000,INDEX($AO$1005:$BQ$1005,1,MATCH(COLUMNS($AO$1006:AZ1006),$AO$1006:$BQ$1006,0))&gt;=100000), " ",IF(INDEX($AO$2:$BQ$1001,MATCH(ROWS($AH$2:AH709),$AH$2:$AH$1001,0),MATCH(COLUMNS($AO$1006:AZ1006),$AO$1006:$BQ$1006,0)), HYPERLINK("#",""), HYPERLINK(CONCATENATE("#Metadata!", ADDRESS(INDEX($AJ$2:$AJ$1001,MATCH(ROWS($AH$2:AH709),$AH$2:$AH$1001,0),0), INDEX($AO$1004:$BQ$1004,1,MATCH(COLUMNS($AO$1006:AZ1006),$AO$1006:$BQ$1006,0)))),"Fix")))</f>
        <v>#N/A</v>
      </c>
      <c r="N709" s="5" t="e">
        <f ca="1">IF(OR(INDEX($AI$2:$AI$1001,MATCH(ROWS($AH$2:AH709),$AH$2:$AH$1001,0),1)&gt;=100000,INDEX($AO$1005:$BQ$1005,1,MATCH(COLUMNS($AO$1006:BA1006),$AO$1006:$BQ$1006,0))&gt;=100000), " ",IF(INDEX($AO$2:$BQ$1001,MATCH(ROWS($AH$2:AH709),$AH$2:$AH$1001,0),MATCH(COLUMNS($AO$1006:BA1006),$AO$1006:$BQ$1006,0)), HYPERLINK("#",""), HYPERLINK(CONCATENATE("#Metadata!", ADDRESS(INDEX($AJ$2:$AJ$1001,MATCH(ROWS($AH$2:AH709),$AH$2:$AH$1001,0),0), INDEX($AO$1004:$BQ$1004,1,MATCH(COLUMNS($AO$1006:BA1006),$AO$1006:$BQ$1006,0)))),"Fix")))</f>
        <v>#N/A</v>
      </c>
      <c r="O709" s="5" t="e">
        <f ca="1">IF(OR(INDEX($AI$2:$AI$1001,MATCH(ROWS($AH$2:AH709),$AH$2:$AH$1001,0),1)&gt;=100000,INDEX($AO$1005:$BQ$1005,1,MATCH(COLUMNS($AO$1006:BB1006),$AO$1006:$BQ$1006,0))&gt;=100000), " ",IF(INDEX($AO$2:$BQ$1001,MATCH(ROWS($AH$2:AH709),$AH$2:$AH$1001,0),MATCH(COLUMNS($AO$1006:BB1006),$AO$1006:$BQ$1006,0)), HYPERLINK("#",""), HYPERLINK(CONCATENATE("#Metadata!", ADDRESS(INDEX($AJ$2:$AJ$1001,MATCH(ROWS($AH$2:AH709),$AH$2:$AH$1001,0),0), INDEX($AO$1004:$BQ$1004,1,MATCH(COLUMNS($AO$1006:BB1006),$AO$1006:$BQ$1006,0)))),"Fix")))</f>
        <v>#N/A</v>
      </c>
      <c r="P709" s="5" t="e">
        <f ca="1">IF(OR(INDEX($AI$2:$AI$1001,MATCH(ROWS($AH$2:AH709),$AH$2:$AH$1001,0),1)&gt;=100000,INDEX($AO$1005:$BQ$1005,1,MATCH(COLUMNS($AO$1006:BC1006),$AO$1006:$BQ$1006,0))&gt;=100000), " ",IF(INDEX($AO$2:$BQ$1001,MATCH(ROWS($AH$2:AH709),$AH$2:$AH$1001,0),MATCH(COLUMNS($AO$1006:BC1006),$AO$1006:$BQ$1006,0)), HYPERLINK("#",""), HYPERLINK(CONCATENATE("#Metadata!", ADDRESS(INDEX($AJ$2:$AJ$1001,MATCH(ROWS($AH$2:AH709),$AH$2:$AH$1001,0),0), INDEX($AO$1004:$BQ$1004,1,MATCH(COLUMNS($AO$1006:BC1006),$AO$1006:$BQ$1006,0)))),"Fix")))</f>
        <v>#N/A</v>
      </c>
      <c r="Q709" s="5" t="e">
        <f ca="1">IF(OR(INDEX($AI$2:$AI$1001,MATCH(ROWS($AH$2:AH709),$AH$2:$AH$1001,0),1)&gt;=100000,INDEX($AO$1005:$BQ$1005,1,MATCH(COLUMNS($AO$1006:BD1006),$AO$1006:$BQ$1006,0))&gt;=100000), " ",IF(INDEX($AO$2:$BQ$1001,MATCH(ROWS($AH$2:AH709),$AH$2:$AH$1001,0),MATCH(COLUMNS($AO$1006:BD1006),$AO$1006:$BQ$1006,0)), HYPERLINK("#",""), HYPERLINK(CONCATENATE("#Metadata!", ADDRESS(INDEX($AJ$2:$AJ$1001,MATCH(ROWS($AH$2:AH709),$AH$2:$AH$1001,0),0), INDEX($AO$1004:$BQ$1004,1,MATCH(COLUMNS($AO$1006:BD1006),$AO$1006:$BQ$1006,0)))),"Fix")))</f>
        <v>#N/A</v>
      </c>
      <c r="R709" s="5" t="e">
        <f ca="1">IF(OR(INDEX($AI$2:$AI$1001,MATCH(ROWS($AH$2:AH709),$AH$2:$AH$1001,0),1)&gt;=100000,INDEX($AO$1005:$BQ$1005,1,MATCH(COLUMNS($AO$1006:BE1006),$AO$1006:$BQ$1006,0))&gt;=100000), " ",IF(INDEX($AO$2:$BQ$1001,MATCH(ROWS($AH$2:AH709),$AH$2:$AH$1001,0),MATCH(COLUMNS($AO$1006:BE1006),$AO$1006:$BQ$1006,0)), HYPERLINK("#",""), HYPERLINK(CONCATENATE("#Metadata!", ADDRESS(INDEX($AJ$2:$AJ$1001,MATCH(ROWS($AH$2:AH709),$AH$2:$AH$1001,0),0), INDEX($AO$1004:$BQ$1004,1,MATCH(COLUMNS($AO$1006:BE1006),$AO$1006:$BQ$1006,0)))),"Fix")))</f>
        <v>#N/A</v>
      </c>
      <c r="S709" s="5" t="e">
        <f ca="1">IF(OR(INDEX($AI$2:$AI$1001,MATCH(ROWS($AH$2:AH709),$AH$2:$AH$1001,0),1)&gt;=100000,INDEX($AO$1005:$BQ$1005,1,MATCH(COLUMNS($AO$1006:BF1006),$AO$1006:$BQ$1006,0))&gt;=100000), " ",IF(INDEX($AO$2:$BQ$1001,MATCH(ROWS($AH$2:AH709),$AH$2:$AH$1001,0),MATCH(COLUMNS($AO$1006:BF1006),$AO$1006:$BQ$1006,0)), HYPERLINK("#",""), HYPERLINK(CONCATENATE("#Metadata!", ADDRESS(INDEX($AJ$2:$AJ$1001,MATCH(ROWS($AH$2:AH709),$AH$2:$AH$1001,0),0), INDEX($AO$1004:$BQ$1004,1,MATCH(COLUMNS($AO$1006:BF1006),$AO$1006:$BQ$1006,0)))),"Fix")))</f>
        <v>#N/A</v>
      </c>
      <c r="T709" s="5" t="e">
        <f ca="1">IF(OR(INDEX($AI$2:$AI$1001,MATCH(ROWS($AH$2:AH709),$AH$2:$AH$1001,0),1)&gt;=100000,INDEX($AO$1005:$BQ$1005,1,MATCH(COLUMNS($AO$1006:BG1006),$AO$1006:$BQ$1006,0))&gt;=100000), " ",IF(INDEX($AO$2:$BQ$1001,MATCH(ROWS($AH$2:AH709),$AH$2:$AH$1001,0),MATCH(COLUMNS($AO$1006:BG1006),$AO$1006:$BQ$1006,0)), HYPERLINK("#",""), HYPERLINK(CONCATENATE("#Metadata!", ADDRESS(INDEX($AJ$2:$AJ$1001,MATCH(ROWS($AH$2:AH709),$AH$2:$AH$1001,0),0), INDEX($AO$1004:$BQ$1004,1,MATCH(COLUMNS($AO$1006:BG1006),$AO$1006:$BQ$1006,0)))),"Fix")))</f>
        <v>#N/A</v>
      </c>
      <c r="U709" s="5" t="e">
        <f ca="1">IF(OR(INDEX($AI$2:$AI$1001,MATCH(ROWS($AH$2:AH709),$AH$2:$AH$1001,0),1)&gt;=100000,INDEX($AO$1005:$BQ$1005,1,MATCH(COLUMNS($AO$1006:BH1006),$AO$1006:$BQ$1006,0))&gt;=100000), " ",IF(INDEX($AO$2:$BQ$1001,MATCH(ROWS($AH$2:AH709),$AH$2:$AH$1001,0),MATCH(COLUMNS($AO$1006:BH1006),$AO$1006:$BQ$1006,0)), HYPERLINK("#",""), HYPERLINK(CONCATENATE("#Metadata!", ADDRESS(INDEX($AJ$2:$AJ$1001,MATCH(ROWS($AH$2:AH709),$AH$2:$AH$1001,0),0), INDEX($AO$1004:$BQ$1004,1,MATCH(COLUMNS($AO$1006:BH1006),$AO$1006:$BQ$1006,0)))),"Fix")))</f>
        <v>#N/A</v>
      </c>
      <c r="V709" s="5" t="e">
        <f ca="1">IF(OR(INDEX($AI$2:$AI$1001,MATCH(ROWS($AH$2:AH709),$AH$2:$AH$1001,0),1)&gt;=100000,INDEX($AO$1005:$BQ$1005,1,MATCH(COLUMNS($AO$1006:BI1006),$AO$1006:$BQ$1006,0))&gt;=100000), " ",IF(INDEX($AO$2:$BQ$1001,MATCH(ROWS($AH$2:AH709),$AH$2:$AH$1001,0),MATCH(COLUMNS($AO$1006:BI1006),$AO$1006:$BQ$1006,0)), HYPERLINK("#",""), HYPERLINK(CONCATENATE("#Metadata!", ADDRESS(INDEX($AJ$2:$AJ$1001,MATCH(ROWS($AH$2:AH709),$AH$2:$AH$1001,0),0), INDEX($AO$1004:$BQ$1004,1,MATCH(COLUMNS($AO$1006:BI1006),$AO$1006:$BQ$1006,0)))),"Fix")))</f>
        <v>#N/A</v>
      </c>
      <c r="W709" s="5" t="e">
        <f ca="1">IF(OR(INDEX($AI$2:$AI$1001,MATCH(ROWS($AH$2:AH709),$AH$2:$AH$1001,0),1)&gt;=100000,INDEX($AO$1005:$BQ$1005,1,MATCH(COLUMNS($AO$1006:BJ1006),$AO$1006:$BQ$1006,0))&gt;=100000), " ",IF(INDEX($AO$2:$BQ$1001,MATCH(ROWS($AH$2:AH709),$AH$2:$AH$1001,0),MATCH(COLUMNS($AO$1006:BJ1006),$AO$1006:$BQ$1006,0)), HYPERLINK("#",""), HYPERLINK(CONCATENATE("#Metadata!", ADDRESS(INDEX($AJ$2:$AJ$1001,MATCH(ROWS($AH$2:AH709),$AH$2:$AH$1001,0),0), INDEX($AO$1004:$BQ$1004,1,MATCH(COLUMNS($AO$1006:BJ1006),$AO$1006:$BQ$1006,0)))),"Fix")))</f>
        <v>#N/A</v>
      </c>
      <c r="X709" s="5" t="e">
        <f ca="1">IF(OR(INDEX($AI$2:$AI$1001,MATCH(ROWS($AH$2:AH709),$AH$2:$AH$1001,0),1)&gt;=100000,INDEX($AO$1005:$BQ$1005,1,MATCH(COLUMNS($AO$1006:BK1006),$AO$1006:$BQ$1006,0))&gt;=100000), " ",IF(INDEX($AO$2:$BQ$1001,MATCH(ROWS($AH$2:AH709),$AH$2:$AH$1001,0),MATCH(COLUMNS($AO$1006:BK1006),$AO$1006:$BQ$1006,0)), HYPERLINK("#",""), HYPERLINK(CONCATENATE("#Metadata!", ADDRESS(INDEX($AJ$2:$AJ$1001,MATCH(ROWS($AH$2:AH709),$AH$2:$AH$1001,0),0), INDEX($AO$1004:$BQ$1004,1,MATCH(COLUMNS($AO$1006:BK1006),$AO$1006:$BQ$1006,0)))),"Fix")))</f>
        <v>#N/A</v>
      </c>
      <c r="Y709" s="5" t="e">
        <f ca="1">IF(OR(INDEX($AI$2:$AI$1001,MATCH(ROWS($AH$2:AH709),$AH$2:$AH$1001,0),1)&gt;=100000,INDEX($AO$1005:$BQ$1005,1,MATCH(COLUMNS($AO$1006:BL1006),$AO$1006:$BQ$1006,0))&gt;=100000), " ",IF(INDEX($AO$2:$BQ$1001,MATCH(ROWS($AH$2:AH709),$AH$2:$AH$1001,0),MATCH(COLUMNS($AO$1006:BL1006),$AO$1006:$BQ$1006,0)), HYPERLINK("#",""), HYPERLINK(CONCATENATE("#Metadata!", ADDRESS(INDEX($AJ$2:$AJ$1001,MATCH(ROWS($AH$2:AH709),$AH$2:$AH$1001,0),0), INDEX($AO$1004:$BQ$1004,1,MATCH(COLUMNS($AO$1006:BL1006),$AO$1006:$BQ$1006,0)))),"Fix")))</f>
        <v>#N/A</v>
      </c>
      <c r="Z709" s="5" t="e">
        <f ca="1">IF(OR(INDEX($AI$2:$AI$1001,MATCH(ROWS($AH$2:AH709),$AH$2:$AH$1001,0),1)&gt;=100000,INDEX($AO$1005:$BQ$1005,1,MATCH(COLUMNS($AO$1006:BM1006),$AO$1006:$BQ$1006,0))&gt;=100000), " ",IF(INDEX($AO$2:$BQ$1001,MATCH(ROWS($AH$2:AH709),$AH$2:$AH$1001,0),MATCH(COLUMNS($AO$1006:BM1006),$AO$1006:$BQ$1006,0)), HYPERLINK("#",""), HYPERLINK(CONCATENATE("#Metadata!", ADDRESS(INDEX($AJ$2:$AJ$1001,MATCH(ROWS($AH$2:AH709),$AH$2:$AH$1001,0),0), INDEX($AO$1004:$BQ$1004,1,MATCH(COLUMNS($AO$1006:BM1006),$AO$1006:$BQ$1006,0)))),"Fix")))</f>
        <v>#N/A</v>
      </c>
      <c r="AA709" s="5" t="e">
        <f ca="1">IF(OR(INDEX($AI$2:$AI$1001,MATCH(ROWS($AH$2:AH709),$AH$2:$AH$1001,0),1)&gt;=100000,INDEX($AO$1005:$BQ$1005,1,MATCH(COLUMNS($AO$1006:BN1006),$AO$1006:$BQ$1006,0))&gt;=100000), " ",IF(INDEX($AO$2:$BQ$1001,MATCH(ROWS($AH$2:AH709),$AH$2:$AH$1001,0),MATCH(COLUMNS($AO$1006:BN1006),$AO$1006:$BQ$1006,0)), HYPERLINK("#",""), HYPERLINK(CONCATENATE("#Metadata!", ADDRESS(INDEX($AJ$2:$AJ$1001,MATCH(ROWS($AH$2:AH709),$AH$2:$AH$1001,0),0), INDEX($AO$1004:$BQ$1004,1,MATCH(COLUMNS($AO$1006:BN1006),$AO$1006:$BQ$1006,0)))),"Fix")))</f>
        <v>#N/A</v>
      </c>
      <c r="AB709" s="5" t="e">
        <f ca="1">IF(OR(INDEX($AI$2:$AI$1001,MATCH(ROWS($AH$2:AH709),$AH$2:$AH$1001,0),1)&gt;=100000,INDEX($AO$1005:$BQ$1005,1,MATCH(COLUMNS($AO$1006:BO1006),$AO$1006:$BQ$1006,0))&gt;=100000), " ",IF(INDEX($AO$2:$BQ$1001,MATCH(ROWS($AH$2:AH709),$AH$2:$AH$1001,0),MATCH(COLUMNS($AO$1006:BO1006),$AO$1006:$BQ$1006,0)), HYPERLINK("#",""), HYPERLINK(CONCATENATE("#Metadata!", ADDRESS(INDEX($AJ$2:$AJ$1001,MATCH(ROWS($AH$2:AH709),$AH$2:$AH$1001,0),0), INDEX($AO$1004:$BQ$1004,1,MATCH(COLUMNS($AO$1006:BO1006),$AO$1006:$BQ$1006,0)))),"Fix")))</f>
        <v>#N/A</v>
      </c>
      <c r="AC709" s="5" t="e">
        <f ca="1">IF(OR(INDEX($AI$2:$AI$1001,MATCH(ROWS($AH$2:AH709),$AH$2:$AH$1001,0),1)&gt;=100000,INDEX($AO$1005:$BQ$1005,1,MATCH(COLUMNS($AO$1006:BP1006),$AO$1006:$BQ$1006,0))&gt;=100000), " ",IF(INDEX($AO$2:$BQ$1001,MATCH(ROWS($AH$2:AH709),$AH$2:$AH$1001,0),MATCH(COLUMNS($AO$1006:BP1006),$AO$1006:$BQ$1006,0)), HYPERLINK("#",""), HYPERLINK(CONCATENATE("#Metadata!", ADDRESS(INDEX($AJ$2:$AJ$1001,MATCH(ROWS($AH$2:AH709),$AH$2:$AH$1001,0),0), INDEX($AO$1004:$BQ$1004,1,MATCH(COLUMNS($AO$1006:BP1006),$AO$1006:$BQ$1006,0)))),"Fix")))</f>
        <v>#N/A</v>
      </c>
      <c r="AD709" s="5" t="e">
        <f ca="1">IF(OR(INDEX($AI$2:$AI$1001,MATCH(ROWS($AH$2:AH709),$AH$2:$AH$1001,0),1)&gt;=100000,INDEX($AO$1005:$BQ$1005,1,MATCH(COLUMNS($AO$1006:BQ1006),$AO$1006:$BQ$1006,0))&gt;=100000), " ",IF(INDEX($AO$2:$BQ$1001,MATCH(ROWS($AH$2:AH709),$AH$2:$AH$1001,0),MATCH(COLUMNS($AO$1006:BQ1006),$AO$1006:$BQ$1006,0)), HYPERLINK("#",""), HYPERLINK(CONCATENATE("#Metadata!", ADDRESS(INDEX($AJ$2:$AJ$1001,MATCH(ROWS($AH$2:AH709),$AH$2:$AH$1001,0),0), INDEX($AO$1004:$BQ$1004,1,MATCH(COLUMNS($AO$1006:BQ1006),$AO$1006:$BQ$1006,0)))),"Fix")))</f>
        <v>#REF!</v>
      </c>
      <c r="AH709">
        <f ca="1"/>
        <v>706</v>
      </c>
      <c r="AI709">
        <v>100709</v>
      </c>
      <c r="AJ709">
        <v>709</v>
      </c>
      <c r="AK709" t="b">
        <f t="shared" si="11"/>
        <v>1</v>
      </c>
      <c r="AL709" t="b">
        <f>COUNTBLANK(Metadata!B709:AD709)=COLUMNS(Metadata!B709:AD709)</f>
        <v>1</v>
      </c>
      <c r="AM709" t="str">
        <v/>
      </c>
      <c r="AO709" t="b">
        <f ca="1">AND(IF(Metadata!B709="",FALSE,TRUE),COUNTIF(Metadata!B:B, Metadata!B709) = 1,NOT(ISERROR(SUMPRODUCT(SEARCH(MID(Metadata!B709,ROW(INDIRECT("1:"&amp;LEN(Metadata!B709))), 1),"0123456789abcdefghijklmnopqrstuvwxyzABCDEFGHIJKLMNOPQRSTUVWXYZ.")))))</f>
        <v>0</v>
      </c>
      <c r="AP709" t="b">
        <f>IF(Metadata!C709="",FALSE,TRUE)</f>
        <v>0</v>
      </c>
      <c r="AQ709" t="b">
        <f>IF(Metadata!D709="",FALSE,TRUE)</f>
        <v>0</v>
      </c>
      <c r="AR709" t="b">
        <f ca="1">OR(AND(IF(Metadata!E709="",FALSE,TRUE),OR(EXACT(Metadata!E709,"not collected"),EXACT(Metadata!E709,"not provided"),EXACT(Metadata!E709,"restricted access"))),AND(IF(Metadata!E709="",FALSE,TRUE),AND(AND(IFERROR(INT(LEFT(Metadata!E709,4))&gt;1900,FALSE),IFERROR(INT(LEFT(Metadata!E709,4))&lt;=YEAR(NOW()),FALSE)), OR(MID(Metadata!E709,5,1)="", AND(AND(MID(Metadata!E709,5,1)="-",IFERROR(INT(MID(Metadata!E709,6,1))&gt;=0,FALSE),IFERROR(INT(MID(Metadata!E709,6,1))&lt;=1,FALSE),NOT(MID(Metadata!E709,7,1)=""),IFERROR(INT(MID(Metadata!E709,6,2))&gt;=1,FALSE),IFERROR(INT(MID(Metadata!E709,6,2))&lt;=12,FALSE)), OR(MID(Metadata!E709,8,1)="", AND(AND(MID(Metadata!E709,8,1)="-",IFERROR(INT(MID(Metadata!E709,9,1))&gt;=0,FALSE),IFERROR(INT(MID(Metadata!E709,9,1))&lt;=3,FALSE),NOT(MID(Metadata!E709,10,1)=""),IFERROR(INT(MID(Metadata!E709,9,2))&gt;=1,FALSE),IFERROR(INT(MID(Metadata!E709,9,2))&lt;=31,FALSE)), OR(MID(Metadata!E709,11,1)="", AND(AND(MID(Metadata!E709,11,1)=" ",IFERROR(INT(MID(Metadata!E709,12,1))&gt;=0,FALSE),IFERROR(INT(MID(Metadata!E709,12,1))&lt;=2,FALSE),NOT(MID(Metadata!E709,13,1)=""),IFERROR(INT(MID(Metadata!E709,12,2))&gt;=0,FALSE),IFERROR(INT(MID(Metadata!E709,12,2))&lt;=23,FALSE)), OR(MID(Metadata!E709,14,1)="", AND(AND(MID(Metadata!E709,14,1)=":",IFERROR(INT(MID(Metadata!E709,15,1))&gt;=0,FALSE),IFERROR(INT(MID(Metadata!E709,15,1))&lt;=5,FALSE),NOT(MID(Metadata!E709,16,1)=""),IFERROR(INT(MID(Metadata!E709,15,2))&gt;=0,FALSE),IFERROR(INT(MID(Metadata!E709,15,2))&lt;=59,FALSE)), OR(MID(Metadata!E709,17,1)="", AND(AND(MID(Metadata!E709,17,1)=":",IFERROR(INT(MID(Metadata!E709,18,1))&gt;=0,FALSE),IFERROR(INT(MID(Metadata!E709,18,1))&lt;=5,FALSE),NOT(MID(Metadata!E709,19,1)=""),IFERROR(INT(MID(Metadata!E709,18,2))&gt;=0,FALSE),IFERROR(INT(MID(Metadata!E709,18,2))&lt;=59,FALSE)), LEN(Metadata!E709)&lt;=19)))))))))))))</f>
        <v>0</v>
      </c>
      <c r="AS709" t="b">
        <f>IF(Metadata!F709="",FALSE,TRUE)</f>
        <v>0</v>
      </c>
      <c r="AT709" t="b">
        <f>OR(AND(IF(Metadata!G709="",FALSE,TRUE),OR(EXACT(Metadata!G709,"not collected"),EXACT(Metadata!G709,"not provided"))),AND(IF(Metadata!G709="",FALSE,TRUE),OR(EXACT(Metadata!G709,"TRUE"),EXACT(Metadata!G709,"FALSE"))))</f>
        <v>0</v>
      </c>
      <c r="AU709" t="b">
        <f>OR(AND(IF(Metadata!H709="",FALSE,TRUE),OR(EXACT(Metadata!H709,"not collected"),EXACT(Metadata!H709,"not provided"),EXACT(Metadata!H709,"restricted access"))),AND(IF(Metadata!H709="",FALSE,ISNUMBER(VALUE(Metadata!H709))),Metadata!H709&gt;=-413))</f>
        <v>0</v>
      </c>
      <c r="AV709" t="b">
        <f>AND(IF(Metadata!I709="",FALSE,TRUE),EXACT(Metadata!I709,"meters"))</f>
        <v>0</v>
      </c>
      <c r="AW709" t="b">
        <f>AND(IF(Metadata!J709="",FALSE,TRUE),EXACT(Metadata!J709,"free-living"))</f>
        <v>0</v>
      </c>
      <c r="AX709" t="b">
        <f>AND(IF(Metadata!K709="",FALSE,TRUE),OR(EXACT(Metadata!K709,"saline"),EXACT(Metadata!K709,"non-saline")))</f>
        <v>0</v>
      </c>
      <c r="AY709" t="b">
        <f>AND(IF(Metadata!L709="",FALSE,TRUE),OR(EXACT(Metadata!L709,"sub-surface (non-saline)"),EXACT(Metadata!L709,"surface (non-saline)"),EXACT(Metadata!L709,"water (non-saline)"),EXACT(Metadata!L709,"soil (non-saline)"),EXACT(Metadata!L709,"aerosol (non-saline)"),EXACT(Metadata!L709,"sediment (non-saline)"),EXACT(Metadata!L709,"surface (saline)"),EXACT(Metadata!L709,"water (saline)"),EXACT(Metadata!L709,"hypersaline (saline)"),EXACT(Metadata!L709,"aerosol (saline)"),EXACT(Metadata!L709,"sediment (saline)")))</f>
        <v>0</v>
      </c>
      <c r="AZ709" t="b">
        <f>IF(Metadata!M709="",FALSE,TRUE)</f>
        <v>0</v>
      </c>
      <c r="BA709" t="b">
        <f>IF(Metadata!N709="",FALSE,TRUE)</f>
        <v>0</v>
      </c>
      <c r="BB709" t="b">
        <f>IF(Metadata!O709="",FALSE,TRUE)</f>
        <v>0</v>
      </c>
      <c r="BC709" t="b">
        <f>AND(IF(Metadata!P709="",FALSE,TRUE),OR(EXACT(Metadata!P709,"air"),EXACT(Metadata!P709,"microbial mat/biofilm"),EXACT(Metadata!P709,"misc environment"),EXACT(Metadata!P709,"sediment"),EXACT(Metadata!P709,"soil"),EXACT(Metadata!P709,"wastewater/sludge"),EXACT(Metadata!P709,"water")))</f>
        <v>0</v>
      </c>
      <c r="BD709" t="b">
        <f>IF(Metadata!Q709="",FALSE,TRUE)</f>
        <v>0</v>
      </c>
      <c r="BE709" t="b">
        <f>IF(Metadata!R709="",FALSE,TRUE)</f>
        <v>0</v>
      </c>
      <c r="BF709" t="b">
        <f>OR(AND(IF(Metadata!S709="",FALSE,TRUE),OR(EXACT(Metadata!S709,"not collected"),EXACT(Metadata!S709,"not provided"),EXACT(Metadata!S709,"restricted access"))),AND(IF(Metadata!S709="",FALSE,ISNUMBER(VALUE(Metadata!S709))),Metadata!S709&gt;=-90,Metadata!S709&lt;=90))</f>
        <v>0</v>
      </c>
      <c r="BG709" t="b">
        <f>AND(IF(Metadata!T709="",FALSE,TRUE),EXACT(Metadata!T709,"Decimal degrees"))</f>
        <v>0</v>
      </c>
      <c r="BH709" t="b">
        <f>OR(AND(IF(Metadata!U709="",FALSE,TRUE),OR(EXACT(Metadata!U709,"not applicable"),EXACT(Metadata!U709,"not collected"))),IF(Metadata!U709="",FALSE,TRUE))</f>
        <v>0</v>
      </c>
      <c r="BI709" t="b">
        <f>OR(AND(IF(Metadata!V709="",FALSE,TRUE),OR(EXACT(Metadata!V709,"not collected"),EXACT(Metadata!V709,"not provided"),EXACT(Metadata!V709,"restricted access"))),AND(IF(Metadata!V709="",FALSE,ISNUMBER(VALUE(Metadata!V709))),Metadata!V709&gt;=-180,Metadata!V709&lt;=180))</f>
        <v>0</v>
      </c>
      <c r="BJ709" t="b">
        <f>AND(IF(Metadata!W709="",FALSE,TRUE),EXACT(Metadata!W709,"Decimal degrees"))</f>
        <v>0</v>
      </c>
      <c r="BK709" t="b">
        <f>IF(Metadata!X709="",FALSE,TRUE)</f>
        <v>0</v>
      </c>
      <c r="BL709" t="b">
        <f>OR(AND(IF(Metadata!Y709="",FALSE,TRUE),OR(EXACT(Metadata!Y709,"not collected"),EXACT(Metadata!Y709,"not provided"),EXACT(Metadata!Y709,"restricted access"))),AND(IF(Metadata!Y709="",FALSE,TRUE),OR(EXACT(Metadata!Y709,"TRUE"),EXACT(Metadata!Y709,"FALSE"))))</f>
        <v>0</v>
      </c>
      <c r="BM709" t="b">
        <f>OR(AND(IF(Metadata!Z709="",FALSE,TRUE),EXACT(Metadata!Z709,"not applicable")),AND(IF(Metadata!Z709="",FALSE,TRUE),OR(EXACT(Metadata!Z709,"beer"),EXACT(Metadata!Z709,"cheese"),EXACT(Metadata!Z709,"fresh water"),EXACT(Metadata!Z709,"marine sediment"),EXACT(Metadata!Z709,"sea water"),EXACT(Metadata!Z709,"sediment"),EXACT(Metadata!Z709,"soil"),EXACT(Metadata!Z709,"waste water"))))</f>
        <v>0</v>
      </c>
      <c r="BN709" t="b">
        <f>AND(IF(Metadata!AA709="",FALSE,TRUE),EXACT(Metadata!AA709,"metagenome"))</f>
        <v>0</v>
      </c>
      <c r="BO709" t="b">
        <f>AND(IF(Metadata!AB709="",FALSE,TRUE),EXACT(Metadata!AB709,"256318"))</f>
        <v>0</v>
      </c>
      <c r="BP709" t="b">
        <f>IF(Metadata!AC709="",FALSE,TRUE)</f>
        <v>0</v>
      </c>
      <c r="BQ709" t="b">
        <f>IF(Metadata!AD709="",FALSE,TRUE)</f>
        <v>0</v>
      </c>
    </row>
    <row r="710" spans="1:69" x14ac:dyDescent="0.2">
      <c r="A710" s="4" t="e">
        <f ca="1">IF(B710=" "," ",HYPERLINK(CONCATENATE("#metadata!",ADDRESS(INDEX($AJ$2:$AJ$1001,MATCH(ROWS($AH$2:AH710),$AH$2:$AH$1001,0),0),2)),INDEX($AM$2:$AM$1001,MATCH(ROWS($AH$2:AH710),$AH$2:$AH$1001,0),0)))</f>
        <v>#N/A</v>
      </c>
      <c r="B710" s="5" t="e">
        <f ca="1">IF(OR(INDEX($AI$2:$AI$1001,MATCH(ROWS($AH$2:AH710),$AH$2:$AH$1001,0),1)&gt;=100000,INDEX($AO$1005:$BQ$1005,1,MATCH(COLUMNS($AO$1006:AO1006),$AO$1006:$BQ$1006,0))&gt;=100000), " ",IF(INDEX($AO$2:$BQ$1001,MATCH(ROWS($AH$2:AH710),$AH$2:$AH$1001,0),MATCH(COLUMNS($AO$1006:AO1006),$AO$1006:$BQ$1006,0)), HYPERLINK("#",""), HYPERLINK(CONCATENATE("#Metadata!", ADDRESS(INDEX($AJ$2:$AJ$1001,MATCH(ROWS($AH$2:AH710),$AH$2:$AH$1001,0),0), INDEX($AO$1004:$BQ$1004,1,MATCH(COLUMNS($AO$1006:AO1006),$AO$1006:$BQ$1006,0)))),"Fix")))</f>
        <v>#N/A</v>
      </c>
      <c r="C710" s="5" t="e">
        <f ca="1">IF(OR(INDEX($AI$2:$AI$1001,MATCH(ROWS($AH$2:AH710),$AH$2:$AH$1001,0),1)&gt;=100000,INDEX($AO$1005:$BQ$1005,1,MATCH(COLUMNS($AO$1006:AP1006),$AO$1006:$BQ$1006,0))&gt;=100000), " ",IF(INDEX($AO$2:$BQ$1001,MATCH(ROWS($AH$2:AH710),$AH$2:$AH$1001,0),MATCH(COLUMNS($AO$1006:AP1006),$AO$1006:$BQ$1006,0)), HYPERLINK("#",""), HYPERLINK(CONCATENATE("#Metadata!", ADDRESS(INDEX($AJ$2:$AJ$1001,MATCH(ROWS($AH$2:AH710),$AH$2:$AH$1001,0),0), INDEX($AO$1004:$BQ$1004,1,MATCH(COLUMNS($AO$1006:AP1006),$AO$1006:$BQ$1006,0)))),"Fix")))</f>
        <v>#N/A</v>
      </c>
      <c r="D710" s="5" t="e">
        <f ca="1">IF(OR(INDEX($AI$2:$AI$1001,MATCH(ROWS($AH$2:AH710),$AH$2:$AH$1001,0),1)&gt;=100000,INDEX($AO$1005:$BQ$1005,1,MATCH(COLUMNS($AO$1006:AQ1006),$AO$1006:$BQ$1006,0))&gt;=100000), " ",IF(INDEX($AO$2:$BQ$1001,MATCH(ROWS($AH$2:AH710),$AH$2:$AH$1001,0),MATCH(COLUMNS($AO$1006:AQ1006),$AO$1006:$BQ$1006,0)), HYPERLINK("#",""), HYPERLINK(CONCATENATE("#Metadata!", ADDRESS(INDEX($AJ$2:$AJ$1001,MATCH(ROWS($AH$2:AH710),$AH$2:$AH$1001,0),0), INDEX($AO$1004:$BQ$1004,1,MATCH(COLUMNS($AO$1006:AQ1006),$AO$1006:$BQ$1006,0)))),"Fix")))</f>
        <v>#N/A</v>
      </c>
      <c r="E710" s="5" t="e">
        <f ca="1">IF(OR(INDEX($AI$2:$AI$1001,MATCH(ROWS($AH$2:AH710),$AH$2:$AH$1001,0),1)&gt;=100000,INDEX($AO$1005:$BQ$1005,1,MATCH(COLUMNS($AO$1006:AR1006),$AO$1006:$BQ$1006,0))&gt;=100000), " ",IF(INDEX($AO$2:$BQ$1001,MATCH(ROWS($AH$2:AH710),$AH$2:$AH$1001,0),MATCH(COLUMNS($AO$1006:AR1006),$AO$1006:$BQ$1006,0)), HYPERLINK("#",""), HYPERLINK(CONCATENATE("#Metadata!", ADDRESS(INDEX($AJ$2:$AJ$1001,MATCH(ROWS($AH$2:AH710),$AH$2:$AH$1001,0),0), INDEX($AO$1004:$BQ$1004,1,MATCH(COLUMNS($AO$1006:AR1006),$AO$1006:$BQ$1006,0)))),"Fix")))</f>
        <v>#N/A</v>
      </c>
      <c r="F710" s="5" t="e">
        <f ca="1">IF(OR(INDEX($AI$2:$AI$1001,MATCH(ROWS($AH$2:AH710),$AH$2:$AH$1001,0),1)&gt;=100000,INDEX($AO$1005:$BQ$1005,1,MATCH(COLUMNS($AO$1006:AS1006),$AO$1006:$BQ$1006,0))&gt;=100000), " ",IF(INDEX($AO$2:$BQ$1001,MATCH(ROWS($AH$2:AH710),$AH$2:$AH$1001,0),MATCH(COLUMNS($AO$1006:AS1006),$AO$1006:$BQ$1006,0)), HYPERLINK("#",""), HYPERLINK(CONCATENATE("#Metadata!", ADDRESS(INDEX($AJ$2:$AJ$1001,MATCH(ROWS($AH$2:AH710),$AH$2:$AH$1001,0),0), INDEX($AO$1004:$BQ$1004,1,MATCH(COLUMNS($AO$1006:AS1006),$AO$1006:$BQ$1006,0)))),"Fix")))</f>
        <v>#N/A</v>
      </c>
      <c r="G710" s="5" t="e">
        <f ca="1">IF(OR(INDEX($AI$2:$AI$1001,MATCH(ROWS($AH$2:AH710),$AH$2:$AH$1001,0),1)&gt;=100000,INDEX($AO$1005:$BQ$1005,1,MATCH(COLUMNS($AO$1006:AT1006),$AO$1006:$BQ$1006,0))&gt;=100000), " ",IF(INDEX($AO$2:$BQ$1001,MATCH(ROWS($AH$2:AH710),$AH$2:$AH$1001,0),MATCH(COLUMNS($AO$1006:AT1006),$AO$1006:$BQ$1006,0)), HYPERLINK("#",""), HYPERLINK(CONCATENATE("#Metadata!", ADDRESS(INDEX($AJ$2:$AJ$1001,MATCH(ROWS($AH$2:AH710),$AH$2:$AH$1001,0),0), INDEX($AO$1004:$BQ$1004,1,MATCH(COLUMNS($AO$1006:AT1006),$AO$1006:$BQ$1006,0)))),"Fix")))</f>
        <v>#N/A</v>
      </c>
      <c r="H710" s="5" t="e">
        <f ca="1">IF(OR(INDEX($AI$2:$AI$1001,MATCH(ROWS($AH$2:AH710),$AH$2:$AH$1001,0),1)&gt;=100000,INDEX($AO$1005:$BQ$1005,1,MATCH(COLUMNS($AO$1006:AU1006),$AO$1006:$BQ$1006,0))&gt;=100000), " ",IF(INDEX($AO$2:$BQ$1001,MATCH(ROWS($AH$2:AH710),$AH$2:$AH$1001,0),MATCH(COLUMNS($AO$1006:AU1006),$AO$1006:$BQ$1006,0)), HYPERLINK("#",""), HYPERLINK(CONCATENATE("#Metadata!", ADDRESS(INDEX($AJ$2:$AJ$1001,MATCH(ROWS($AH$2:AH710),$AH$2:$AH$1001,0),0), INDEX($AO$1004:$BQ$1004,1,MATCH(COLUMNS($AO$1006:AU1006),$AO$1006:$BQ$1006,0)))),"Fix")))</f>
        <v>#N/A</v>
      </c>
      <c r="I710" s="5" t="e">
        <f ca="1">IF(OR(INDEX($AI$2:$AI$1001,MATCH(ROWS($AH$2:AH710),$AH$2:$AH$1001,0),1)&gt;=100000,INDEX($AO$1005:$BQ$1005,1,MATCH(COLUMNS($AO$1006:AV1006),$AO$1006:$BQ$1006,0))&gt;=100000), " ",IF(INDEX($AO$2:$BQ$1001,MATCH(ROWS($AH$2:AH710),$AH$2:$AH$1001,0),MATCH(COLUMNS($AO$1006:AV1006),$AO$1006:$BQ$1006,0)), HYPERLINK("#",""), HYPERLINK(CONCATENATE("#Metadata!", ADDRESS(INDEX($AJ$2:$AJ$1001,MATCH(ROWS($AH$2:AH710),$AH$2:$AH$1001,0),0), INDEX($AO$1004:$BQ$1004,1,MATCH(COLUMNS($AO$1006:AV1006),$AO$1006:$BQ$1006,0)))),"Fix")))</f>
        <v>#N/A</v>
      </c>
      <c r="J710" s="5" t="e">
        <f ca="1">IF(OR(INDEX($AI$2:$AI$1001,MATCH(ROWS($AH$2:AH710),$AH$2:$AH$1001,0),1)&gt;=100000,INDEX($AO$1005:$BQ$1005,1,MATCH(COLUMNS($AO$1006:AW1006),$AO$1006:$BQ$1006,0))&gt;=100000), " ",IF(INDEX($AO$2:$BQ$1001,MATCH(ROWS($AH$2:AH710),$AH$2:$AH$1001,0),MATCH(COLUMNS($AO$1006:AW1006),$AO$1006:$BQ$1006,0)), HYPERLINK("#",""), HYPERLINK(CONCATENATE("#Metadata!", ADDRESS(INDEX($AJ$2:$AJ$1001,MATCH(ROWS($AH$2:AH710),$AH$2:$AH$1001,0),0), INDEX($AO$1004:$BQ$1004,1,MATCH(COLUMNS($AO$1006:AW1006),$AO$1006:$BQ$1006,0)))),"Fix")))</f>
        <v>#N/A</v>
      </c>
      <c r="K710" s="5" t="e">
        <f ca="1">IF(OR(INDEX($AI$2:$AI$1001,MATCH(ROWS($AH$2:AH710),$AH$2:$AH$1001,0),1)&gt;=100000,INDEX($AO$1005:$BQ$1005,1,MATCH(COLUMNS($AO$1006:AX1006),$AO$1006:$BQ$1006,0))&gt;=100000), " ",IF(INDEX($AO$2:$BQ$1001,MATCH(ROWS($AH$2:AH710),$AH$2:$AH$1001,0),MATCH(COLUMNS($AO$1006:AX1006),$AO$1006:$BQ$1006,0)), HYPERLINK("#",""), HYPERLINK(CONCATENATE("#Metadata!", ADDRESS(INDEX($AJ$2:$AJ$1001,MATCH(ROWS($AH$2:AH710),$AH$2:$AH$1001,0),0), INDEX($AO$1004:$BQ$1004,1,MATCH(COLUMNS($AO$1006:AX1006),$AO$1006:$BQ$1006,0)))),"Fix")))</f>
        <v>#N/A</v>
      </c>
      <c r="L710" s="5" t="e">
        <f ca="1">IF(OR(INDEX($AI$2:$AI$1001,MATCH(ROWS($AH$2:AH710),$AH$2:$AH$1001,0),1)&gt;=100000,INDEX($AO$1005:$BQ$1005,1,MATCH(COLUMNS($AO$1006:AY1006),$AO$1006:$BQ$1006,0))&gt;=100000), " ",IF(INDEX($AO$2:$BQ$1001,MATCH(ROWS($AH$2:AH710),$AH$2:$AH$1001,0),MATCH(COLUMNS($AO$1006:AY1006),$AO$1006:$BQ$1006,0)), HYPERLINK("#",""), HYPERLINK(CONCATENATE("#Metadata!", ADDRESS(INDEX($AJ$2:$AJ$1001,MATCH(ROWS($AH$2:AH710),$AH$2:$AH$1001,0),0), INDEX($AO$1004:$BQ$1004,1,MATCH(COLUMNS($AO$1006:AY1006),$AO$1006:$BQ$1006,0)))),"Fix")))</f>
        <v>#N/A</v>
      </c>
      <c r="M710" s="5" t="e">
        <f ca="1">IF(OR(INDEX($AI$2:$AI$1001,MATCH(ROWS($AH$2:AH710),$AH$2:$AH$1001,0),1)&gt;=100000,INDEX($AO$1005:$BQ$1005,1,MATCH(COLUMNS($AO$1006:AZ1006),$AO$1006:$BQ$1006,0))&gt;=100000), " ",IF(INDEX($AO$2:$BQ$1001,MATCH(ROWS($AH$2:AH710),$AH$2:$AH$1001,0),MATCH(COLUMNS($AO$1006:AZ1006),$AO$1006:$BQ$1006,0)), HYPERLINK("#",""), HYPERLINK(CONCATENATE("#Metadata!", ADDRESS(INDEX($AJ$2:$AJ$1001,MATCH(ROWS($AH$2:AH710),$AH$2:$AH$1001,0),0), INDEX($AO$1004:$BQ$1004,1,MATCH(COLUMNS($AO$1006:AZ1006),$AO$1006:$BQ$1006,0)))),"Fix")))</f>
        <v>#N/A</v>
      </c>
      <c r="N710" s="5" t="e">
        <f ca="1">IF(OR(INDEX($AI$2:$AI$1001,MATCH(ROWS($AH$2:AH710),$AH$2:$AH$1001,0),1)&gt;=100000,INDEX($AO$1005:$BQ$1005,1,MATCH(COLUMNS($AO$1006:BA1006),$AO$1006:$BQ$1006,0))&gt;=100000), " ",IF(INDEX($AO$2:$BQ$1001,MATCH(ROWS($AH$2:AH710),$AH$2:$AH$1001,0),MATCH(COLUMNS($AO$1006:BA1006),$AO$1006:$BQ$1006,0)), HYPERLINK("#",""), HYPERLINK(CONCATENATE("#Metadata!", ADDRESS(INDEX($AJ$2:$AJ$1001,MATCH(ROWS($AH$2:AH710),$AH$2:$AH$1001,0),0), INDEX($AO$1004:$BQ$1004,1,MATCH(COLUMNS($AO$1006:BA1006),$AO$1006:$BQ$1006,0)))),"Fix")))</f>
        <v>#N/A</v>
      </c>
      <c r="O710" s="5" t="e">
        <f ca="1">IF(OR(INDEX($AI$2:$AI$1001,MATCH(ROWS($AH$2:AH710),$AH$2:$AH$1001,0),1)&gt;=100000,INDEX($AO$1005:$BQ$1005,1,MATCH(COLUMNS($AO$1006:BB1006),$AO$1006:$BQ$1006,0))&gt;=100000), " ",IF(INDEX($AO$2:$BQ$1001,MATCH(ROWS($AH$2:AH710),$AH$2:$AH$1001,0),MATCH(COLUMNS($AO$1006:BB1006),$AO$1006:$BQ$1006,0)), HYPERLINK("#",""), HYPERLINK(CONCATENATE("#Metadata!", ADDRESS(INDEX($AJ$2:$AJ$1001,MATCH(ROWS($AH$2:AH710),$AH$2:$AH$1001,0),0), INDEX($AO$1004:$BQ$1004,1,MATCH(COLUMNS($AO$1006:BB1006),$AO$1006:$BQ$1006,0)))),"Fix")))</f>
        <v>#N/A</v>
      </c>
      <c r="P710" s="5" t="e">
        <f ca="1">IF(OR(INDEX($AI$2:$AI$1001,MATCH(ROWS($AH$2:AH710),$AH$2:$AH$1001,0),1)&gt;=100000,INDEX($AO$1005:$BQ$1005,1,MATCH(COLUMNS($AO$1006:BC1006),$AO$1006:$BQ$1006,0))&gt;=100000), " ",IF(INDEX($AO$2:$BQ$1001,MATCH(ROWS($AH$2:AH710),$AH$2:$AH$1001,0),MATCH(COLUMNS($AO$1006:BC1006),$AO$1006:$BQ$1006,0)), HYPERLINK("#",""), HYPERLINK(CONCATENATE("#Metadata!", ADDRESS(INDEX($AJ$2:$AJ$1001,MATCH(ROWS($AH$2:AH710),$AH$2:$AH$1001,0),0), INDEX($AO$1004:$BQ$1004,1,MATCH(COLUMNS($AO$1006:BC1006),$AO$1006:$BQ$1006,0)))),"Fix")))</f>
        <v>#N/A</v>
      </c>
      <c r="Q710" s="5" t="e">
        <f ca="1">IF(OR(INDEX($AI$2:$AI$1001,MATCH(ROWS($AH$2:AH710),$AH$2:$AH$1001,0),1)&gt;=100000,INDEX($AO$1005:$BQ$1005,1,MATCH(COLUMNS($AO$1006:BD1006),$AO$1006:$BQ$1006,0))&gt;=100000), " ",IF(INDEX($AO$2:$BQ$1001,MATCH(ROWS($AH$2:AH710),$AH$2:$AH$1001,0),MATCH(COLUMNS($AO$1006:BD1006),$AO$1006:$BQ$1006,0)), HYPERLINK("#",""), HYPERLINK(CONCATENATE("#Metadata!", ADDRESS(INDEX($AJ$2:$AJ$1001,MATCH(ROWS($AH$2:AH710),$AH$2:$AH$1001,0),0), INDEX($AO$1004:$BQ$1004,1,MATCH(COLUMNS($AO$1006:BD1006),$AO$1006:$BQ$1006,0)))),"Fix")))</f>
        <v>#N/A</v>
      </c>
      <c r="R710" s="5" t="e">
        <f ca="1">IF(OR(INDEX($AI$2:$AI$1001,MATCH(ROWS($AH$2:AH710),$AH$2:$AH$1001,0),1)&gt;=100000,INDEX($AO$1005:$BQ$1005,1,MATCH(COLUMNS($AO$1006:BE1006),$AO$1006:$BQ$1006,0))&gt;=100000), " ",IF(INDEX($AO$2:$BQ$1001,MATCH(ROWS($AH$2:AH710),$AH$2:$AH$1001,0),MATCH(COLUMNS($AO$1006:BE1006),$AO$1006:$BQ$1006,0)), HYPERLINK("#",""), HYPERLINK(CONCATENATE("#Metadata!", ADDRESS(INDEX($AJ$2:$AJ$1001,MATCH(ROWS($AH$2:AH710),$AH$2:$AH$1001,0),0), INDEX($AO$1004:$BQ$1004,1,MATCH(COLUMNS($AO$1006:BE1006),$AO$1006:$BQ$1006,0)))),"Fix")))</f>
        <v>#N/A</v>
      </c>
      <c r="S710" s="5" t="e">
        <f ca="1">IF(OR(INDEX($AI$2:$AI$1001,MATCH(ROWS($AH$2:AH710),$AH$2:$AH$1001,0),1)&gt;=100000,INDEX($AO$1005:$BQ$1005,1,MATCH(COLUMNS($AO$1006:BF1006),$AO$1006:$BQ$1006,0))&gt;=100000), " ",IF(INDEX($AO$2:$BQ$1001,MATCH(ROWS($AH$2:AH710),$AH$2:$AH$1001,0),MATCH(COLUMNS($AO$1006:BF1006),$AO$1006:$BQ$1006,0)), HYPERLINK("#",""), HYPERLINK(CONCATENATE("#Metadata!", ADDRESS(INDEX($AJ$2:$AJ$1001,MATCH(ROWS($AH$2:AH710),$AH$2:$AH$1001,0),0), INDEX($AO$1004:$BQ$1004,1,MATCH(COLUMNS($AO$1006:BF1006),$AO$1006:$BQ$1006,0)))),"Fix")))</f>
        <v>#N/A</v>
      </c>
      <c r="T710" s="5" t="e">
        <f ca="1">IF(OR(INDEX($AI$2:$AI$1001,MATCH(ROWS($AH$2:AH710),$AH$2:$AH$1001,0),1)&gt;=100000,INDEX($AO$1005:$BQ$1005,1,MATCH(COLUMNS($AO$1006:BG1006),$AO$1006:$BQ$1006,0))&gt;=100000), " ",IF(INDEX($AO$2:$BQ$1001,MATCH(ROWS($AH$2:AH710),$AH$2:$AH$1001,0),MATCH(COLUMNS($AO$1006:BG1006),$AO$1006:$BQ$1006,0)), HYPERLINK("#",""), HYPERLINK(CONCATENATE("#Metadata!", ADDRESS(INDEX($AJ$2:$AJ$1001,MATCH(ROWS($AH$2:AH710),$AH$2:$AH$1001,0),0), INDEX($AO$1004:$BQ$1004,1,MATCH(COLUMNS($AO$1006:BG1006),$AO$1006:$BQ$1006,0)))),"Fix")))</f>
        <v>#N/A</v>
      </c>
      <c r="U710" s="5" t="e">
        <f ca="1">IF(OR(INDEX($AI$2:$AI$1001,MATCH(ROWS($AH$2:AH710),$AH$2:$AH$1001,0),1)&gt;=100000,INDEX($AO$1005:$BQ$1005,1,MATCH(COLUMNS($AO$1006:BH1006),$AO$1006:$BQ$1006,0))&gt;=100000), " ",IF(INDEX($AO$2:$BQ$1001,MATCH(ROWS($AH$2:AH710),$AH$2:$AH$1001,0),MATCH(COLUMNS($AO$1006:BH1006),$AO$1006:$BQ$1006,0)), HYPERLINK("#",""), HYPERLINK(CONCATENATE("#Metadata!", ADDRESS(INDEX($AJ$2:$AJ$1001,MATCH(ROWS($AH$2:AH710),$AH$2:$AH$1001,0),0), INDEX($AO$1004:$BQ$1004,1,MATCH(COLUMNS($AO$1006:BH1006),$AO$1006:$BQ$1006,0)))),"Fix")))</f>
        <v>#N/A</v>
      </c>
      <c r="V710" s="5" t="e">
        <f ca="1">IF(OR(INDEX($AI$2:$AI$1001,MATCH(ROWS($AH$2:AH710),$AH$2:$AH$1001,0),1)&gt;=100000,INDEX($AO$1005:$BQ$1005,1,MATCH(COLUMNS($AO$1006:BI1006),$AO$1006:$BQ$1006,0))&gt;=100000), " ",IF(INDEX($AO$2:$BQ$1001,MATCH(ROWS($AH$2:AH710),$AH$2:$AH$1001,0),MATCH(COLUMNS($AO$1006:BI1006),$AO$1006:$BQ$1006,0)), HYPERLINK("#",""), HYPERLINK(CONCATENATE("#Metadata!", ADDRESS(INDEX($AJ$2:$AJ$1001,MATCH(ROWS($AH$2:AH710),$AH$2:$AH$1001,0),0), INDEX($AO$1004:$BQ$1004,1,MATCH(COLUMNS($AO$1006:BI1006),$AO$1006:$BQ$1006,0)))),"Fix")))</f>
        <v>#N/A</v>
      </c>
      <c r="W710" s="5" t="e">
        <f ca="1">IF(OR(INDEX($AI$2:$AI$1001,MATCH(ROWS($AH$2:AH710),$AH$2:$AH$1001,0),1)&gt;=100000,INDEX($AO$1005:$BQ$1005,1,MATCH(COLUMNS($AO$1006:BJ1006),$AO$1006:$BQ$1006,0))&gt;=100000), " ",IF(INDEX($AO$2:$BQ$1001,MATCH(ROWS($AH$2:AH710),$AH$2:$AH$1001,0),MATCH(COLUMNS($AO$1006:BJ1006),$AO$1006:$BQ$1006,0)), HYPERLINK("#",""), HYPERLINK(CONCATENATE("#Metadata!", ADDRESS(INDEX($AJ$2:$AJ$1001,MATCH(ROWS($AH$2:AH710),$AH$2:$AH$1001,0),0), INDEX($AO$1004:$BQ$1004,1,MATCH(COLUMNS($AO$1006:BJ1006),$AO$1006:$BQ$1006,0)))),"Fix")))</f>
        <v>#N/A</v>
      </c>
      <c r="X710" s="5" t="e">
        <f ca="1">IF(OR(INDEX($AI$2:$AI$1001,MATCH(ROWS($AH$2:AH710),$AH$2:$AH$1001,0),1)&gt;=100000,INDEX($AO$1005:$BQ$1005,1,MATCH(COLUMNS($AO$1006:BK1006),$AO$1006:$BQ$1006,0))&gt;=100000), " ",IF(INDEX($AO$2:$BQ$1001,MATCH(ROWS($AH$2:AH710),$AH$2:$AH$1001,0),MATCH(COLUMNS($AO$1006:BK1006),$AO$1006:$BQ$1006,0)), HYPERLINK("#",""), HYPERLINK(CONCATENATE("#Metadata!", ADDRESS(INDEX($AJ$2:$AJ$1001,MATCH(ROWS($AH$2:AH710),$AH$2:$AH$1001,0),0), INDEX($AO$1004:$BQ$1004,1,MATCH(COLUMNS($AO$1006:BK1006),$AO$1006:$BQ$1006,0)))),"Fix")))</f>
        <v>#N/A</v>
      </c>
      <c r="Y710" s="5" t="e">
        <f ca="1">IF(OR(INDEX($AI$2:$AI$1001,MATCH(ROWS($AH$2:AH710),$AH$2:$AH$1001,0),1)&gt;=100000,INDEX($AO$1005:$BQ$1005,1,MATCH(COLUMNS($AO$1006:BL1006),$AO$1006:$BQ$1006,0))&gt;=100000), " ",IF(INDEX($AO$2:$BQ$1001,MATCH(ROWS($AH$2:AH710),$AH$2:$AH$1001,0),MATCH(COLUMNS($AO$1006:BL1006),$AO$1006:$BQ$1006,0)), HYPERLINK("#",""), HYPERLINK(CONCATENATE("#Metadata!", ADDRESS(INDEX($AJ$2:$AJ$1001,MATCH(ROWS($AH$2:AH710),$AH$2:$AH$1001,0),0), INDEX($AO$1004:$BQ$1004,1,MATCH(COLUMNS($AO$1006:BL1006),$AO$1006:$BQ$1006,0)))),"Fix")))</f>
        <v>#N/A</v>
      </c>
      <c r="Z710" s="5" t="e">
        <f ca="1">IF(OR(INDEX($AI$2:$AI$1001,MATCH(ROWS($AH$2:AH710),$AH$2:$AH$1001,0),1)&gt;=100000,INDEX($AO$1005:$BQ$1005,1,MATCH(COLUMNS($AO$1006:BM1006),$AO$1006:$BQ$1006,0))&gt;=100000), " ",IF(INDEX($AO$2:$BQ$1001,MATCH(ROWS($AH$2:AH710),$AH$2:$AH$1001,0),MATCH(COLUMNS($AO$1006:BM1006),$AO$1006:$BQ$1006,0)), HYPERLINK("#",""), HYPERLINK(CONCATENATE("#Metadata!", ADDRESS(INDEX($AJ$2:$AJ$1001,MATCH(ROWS($AH$2:AH710),$AH$2:$AH$1001,0),0), INDEX($AO$1004:$BQ$1004,1,MATCH(COLUMNS($AO$1006:BM1006),$AO$1006:$BQ$1006,0)))),"Fix")))</f>
        <v>#N/A</v>
      </c>
      <c r="AA710" s="5" t="e">
        <f ca="1">IF(OR(INDEX($AI$2:$AI$1001,MATCH(ROWS($AH$2:AH710),$AH$2:$AH$1001,0),1)&gt;=100000,INDEX($AO$1005:$BQ$1005,1,MATCH(COLUMNS($AO$1006:BN1006),$AO$1006:$BQ$1006,0))&gt;=100000), " ",IF(INDEX($AO$2:$BQ$1001,MATCH(ROWS($AH$2:AH710),$AH$2:$AH$1001,0),MATCH(COLUMNS($AO$1006:BN1006),$AO$1006:$BQ$1006,0)), HYPERLINK("#",""), HYPERLINK(CONCATENATE("#Metadata!", ADDRESS(INDEX($AJ$2:$AJ$1001,MATCH(ROWS($AH$2:AH710),$AH$2:$AH$1001,0),0), INDEX($AO$1004:$BQ$1004,1,MATCH(COLUMNS($AO$1006:BN1006),$AO$1006:$BQ$1006,0)))),"Fix")))</f>
        <v>#N/A</v>
      </c>
      <c r="AB710" s="5" t="e">
        <f ca="1">IF(OR(INDEX($AI$2:$AI$1001,MATCH(ROWS($AH$2:AH710),$AH$2:$AH$1001,0),1)&gt;=100000,INDEX($AO$1005:$BQ$1005,1,MATCH(COLUMNS($AO$1006:BO1006),$AO$1006:$BQ$1006,0))&gt;=100000), " ",IF(INDEX($AO$2:$BQ$1001,MATCH(ROWS($AH$2:AH710),$AH$2:$AH$1001,0),MATCH(COLUMNS($AO$1006:BO1006),$AO$1006:$BQ$1006,0)), HYPERLINK("#",""), HYPERLINK(CONCATENATE("#Metadata!", ADDRESS(INDEX($AJ$2:$AJ$1001,MATCH(ROWS($AH$2:AH710),$AH$2:$AH$1001,0),0), INDEX($AO$1004:$BQ$1004,1,MATCH(COLUMNS($AO$1006:BO1006),$AO$1006:$BQ$1006,0)))),"Fix")))</f>
        <v>#N/A</v>
      </c>
      <c r="AC710" s="5" t="e">
        <f ca="1">IF(OR(INDEX($AI$2:$AI$1001,MATCH(ROWS($AH$2:AH710),$AH$2:$AH$1001,0),1)&gt;=100000,INDEX($AO$1005:$BQ$1005,1,MATCH(COLUMNS($AO$1006:BP1006),$AO$1006:$BQ$1006,0))&gt;=100000), " ",IF(INDEX($AO$2:$BQ$1001,MATCH(ROWS($AH$2:AH710),$AH$2:$AH$1001,0),MATCH(COLUMNS($AO$1006:BP1006),$AO$1006:$BQ$1006,0)), HYPERLINK("#",""), HYPERLINK(CONCATENATE("#Metadata!", ADDRESS(INDEX($AJ$2:$AJ$1001,MATCH(ROWS($AH$2:AH710),$AH$2:$AH$1001,0),0), INDEX($AO$1004:$BQ$1004,1,MATCH(COLUMNS($AO$1006:BP1006),$AO$1006:$BQ$1006,0)))),"Fix")))</f>
        <v>#N/A</v>
      </c>
      <c r="AD710" s="5" t="e">
        <f ca="1">IF(OR(INDEX($AI$2:$AI$1001,MATCH(ROWS($AH$2:AH710),$AH$2:$AH$1001,0),1)&gt;=100000,INDEX($AO$1005:$BQ$1005,1,MATCH(COLUMNS($AO$1006:BQ1006),$AO$1006:$BQ$1006,0))&gt;=100000), " ",IF(INDEX($AO$2:$BQ$1001,MATCH(ROWS($AH$2:AH710),$AH$2:$AH$1001,0),MATCH(COLUMNS($AO$1006:BQ1006),$AO$1006:$BQ$1006,0)), HYPERLINK("#",""), HYPERLINK(CONCATENATE("#Metadata!", ADDRESS(INDEX($AJ$2:$AJ$1001,MATCH(ROWS($AH$2:AH710),$AH$2:$AH$1001,0),0), INDEX($AO$1004:$BQ$1004,1,MATCH(COLUMNS($AO$1006:BQ1006),$AO$1006:$BQ$1006,0)))),"Fix")))</f>
        <v>#REF!</v>
      </c>
      <c r="AH710">
        <f ca="1"/>
        <v>707</v>
      </c>
      <c r="AI710">
        <v>100710</v>
      </c>
      <c r="AJ710">
        <v>710</v>
      </c>
      <c r="AK710" t="b">
        <f t="shared" si="11"/>
        <v>1</v>
      </c>
      <c r="AL710" t="b">
        <f>COUNTBLANK(Metadata!B710:AD710)=COLUMNS(Metadata!B710:AD710)</f>
        <v>1</v>
      </c>
      <c r="AM710" t="str">
        <v/>
      </c>
      <c r="AO710" t="b">
        <f ca="1">AND(IF(Metadata!B710="",FALSE,TRUE),COUNTIF(Metadata!B:B, Metadata!B710) = 1,NOT(ISERROR(SUMPRODUCT(SEARCH(MID(Metadata!B710,ROW(INDIRECT("1:"&amp;LEN(Metadata!B710))), 1),"0123456789abcdefghijklmnopqrstuvwxyzABCDEFGHIJKLMNOPQRSTUVWXYZ.")))))</f>
        <v>0</v>
      </c>
      <c r="AP710" t="b">
        <f>IF(Metadata!C710="",FALSE,TRUE)</f>
        <v>0</v>
      </c>
      <c r="AQ710" t="b">
        <f>IF(Metadata!D710="",FALSE,TRUE)</f>
        <v>0</v>
      </c>
      <c r="AR710" t="b">
        <f ca="1">OR(AND(IF(Metadata!E710="",FALSE,TRUE),OR(EXACT(Metadata!E710,"not collected"),EXACT(Metadata!E710,"not provided"),EXACT(Metadata!E710,"restricted access"))),AND(IF(Metadata!E710="",FALSE,TRUE),AND(AND(IFERROR(INT(LEFT(Metadata!E710,4))&gt;1900,FALSE),IFERROR(INT(LEFT(Metadata!E710,4))&lt;=YEAR(NOW()),FALSE)), OR(MID(Metadata!E710,5,1)="", AND(AND(MID(Metadata!E710,5,1)="-",IFERROR(INT(MID(Metadata!E710,6,1))&gt;=0,FALSE),IFERROR(INT(MID(Metadata!E710,6,1))&lt;=1,FALSE),NOT(MID(Metadata!E710,7,1)=""),IFERROR(INT(MID(Metadata!E710,6,2))&gt;=1,FALSE),IFERROR(INT(MID(Metadata!E710,6,2))&lt;=12,FALSE)), OR(MID(Metadata!E710,8,1)="", AND(AND(MID(Metadata!E710,8,1)="-",IFERROR(INT(MID(Metadata!E710,9,1))&gt;=0,FALSE),IFERROR(INT(MID(Metadata!E710,9,1))&lt;=3,FALSE),NOT(MID(Metadata!E710,10,1)=""),IFERROR(INT(MID(Metadata!E710,9,2))&gt;=1,FALSE),IFERROR(INT(MID(Metadata!E710,9,2))&lt;=31,FALSE)), OR(MID(Metadata!E710,11,1)="", AND(AND(MID(Metadata!E710,11,1)=" ",IFERROR(INT(MID(Metadata!E710,12,1))&gt;=0,FALSE),IFERROR(INT(MID(Metadata!E710,12,1))&lt;=2,FALSE),NOT(MID(Metadata!E710,13,1)=""),IFERROR(INT(MID(Metadata!E710,12,2))&gt;=0,FALSE),IFERROR(INT(MID(Metadata!E710,12,2))&lt;=23,FALSE)), OR(MID(Metadata!E710,14,1)="", AND(AND(MID(Metadata!E710,14,1)=":",IFERROR(INT(MID(Metadata!E710,15,1))&gt;=0,FALSE),IFERROR(INT(MID(Metadata!E710,15,1))&lt;=5,FALSE),NOT(MID(Metadata!E710,16,1)=""),IFERROR(INT(MID(Metadata!E710,15,2))&gt;=0,FALSE),IFERROR(INT(MID(Metadata!E710,15,2))&lt;=59,FALSE)), OR(MID(Metadata!E710,17,1)="", AND(AND(MID(Metadata!E710,17,1)=":",IFERROR(INT(MID(Metadata!E710,18,1))&gt;=0,FALSE),IFERROR(INT(MID(Metadata!E710,18,1))&lt;=5,FALSE),NOT(MID(Metadata!E710,19,1)=""),IFERROR(INT(MID(Metadata!E710,18,2))&gt;=0,FALSE),IFERROR(INT(MID(Metadata!E710,18,2))&lt;=59,FALSE)), LEN(Metadata!E710)&lt;=19)))))))))))))</f>
        <v>0</v>
      </c>
      <c r="AS710" t="b">
        <f>IF(Metadata!F710="",FALSE,TRUE)</f>
        <v>0</v>
      </c>
      <c r="AT710" t="b">
        <f>OR(AND(IF(Metadata!G710="",FALSE,TRUE),OR(EXACT(Metadata!G710,"not collected"),EXACT(Metadata!G710,"not provided"))),AND(IF(Metadata!G710="",FALSE,TRUE),OR(EXACT(Metadata!G710,"TRUE"),EXACT(Metadata!G710,"FALSE"))))</f>
        <v>0</v>
      </c>
      <c r="AU710" t="b">
        <f>OR(AND(IF(Metadata!H710="",FALSE,TRUE),OR(EXACT(Metadata!H710,"not collected"),EXACT(Metadata!H710,"not provided"),EXACT(Metadata!H710,"restricted access"))),AND(IF(Metadata!H710="",FALSE,ISNUMBER(VALUE(Metadata!H710))),Metadata!H710&gt;=-413))</f>
        <v>0</v>
      </c>
      <c r="AV710" t="b">
        <f>AND(IF(Metadata!I710="",FALSE,TRUE),EXACT(Metadata!I710,"meters"))</f>
        <v>0</v>
      </c>
      <c r="AW710" t="b">
        <f>AND(IF(Metadata!J710="",FALSE,TRUE),EXACT(Metadata!J710,"free-living"))</f>
        <v>0</v>
      </c>
      <c r="AX710" t="b">
        <f>AND(IF(Metadata!K710="",FALSE,TRUE),OR(EXACT(Metadata!K710,"saline"),EXACT(Metadata!K710,"non-saline")))</f>
        <v>0</v>
      </c>
      <c r="AY710" t="b">
        <f>AND(IF(Metadata!L710="",FALSE,TRUE),OR(EXACT(Metadata!L710,"sub-surface (non-saline)"),EXACT(Metadata!L710,"surface (non-saline)"),EXACT(Metadata!L710,"water (non-saline)"),EXACT(Metadata!L710,"soil (non-saline)"),EXACT(Metadata!L710,"aerosol (non-saline)"),EXACT(Metadata!L710,"sediment (non-saline)"),EXACT(Metadata!L710,"surface (saline)"),EXACT(Metadata!L710,"water (saline)"),EXACT(Metadata!L710,"hypersaline (saline)"),EXACT(Metadata!L710,"aerosol (saline)"),EXACT(Metadata!L710,"sediment (saline)")))</f>
        <v>0</v>
      </c>
      <c r="AZ710" t="b">
        <f>IF(Metadata!M710="",FALSE,TRUE)</f>
        <v>0</v>
      </c>
      <c r="BA710" t="b">
        <f>IF(Metadata!N710="",FALSE,TRUE)</f>
        <v>0</v>
      </c>
      <c r="BB710" t="b">
        <f>IF(Metadata!O710="",FALSE,TRUE)</f>
        <v>0</v>
      </c>
      <c r="BC710" t="b">
        <f>AND(IF(Metadata!P710="",FALSE,TRUE),OR(EXACT(Metadata!P710,"air"),EXACT(Metadata!P710,"microbial mat/biofilm"),EXACT(Metadata!P710,"misc environment"),EXACT(Metadata!P710,"sediment"),EXACT(Metadata!P710,"soil"),EXACT(Metadata!P710,"wastewater/sludge"),EXACT(Metadata!P710,"water")))</f>
        <v>0</v>
      </c>
      <c r="BD710" t="b">
        <f>IF(Metadata!Q710="",FALSE,TRUE)</f>
        <v>0</v>
      </c>
      <c r="BE710" t="b">
        <f>IF(Metadata!R710="",FALSE,TRUE)</f>
        <v>0</v>
      </c>
      <c r="BF710" t="b">
        <f>OR(AND(IF(Metadata!S710="",FALSE,TRUE),OR(EXACT(Metadata!S710,"not collected"),EXACT(Metadata!S710,"not provided"),EXACT(Metadata!S710,"restricted access"))),AND(IF(Metadata!S710="",FALSE,ISNUMBER(VALUE(Metadata!S710))),Metadata!S710&gt;=-90,Metadata!S710&lt;=90))</f>
        <v>0</v>
      </c>
      <c r="BG710" t="b">
        <f>AND(IF(Metadata!T710="",FALSE,TRUE),EXACT(Metadata!T710,"Decimal degrees"))</f>
        <v>0</v>
      </c>
      <c r="BH710" t="b">
        <f>OR(AND(IF(Metadata!U710="",FALSE,TRUE),OR(EXACT(Metadata!U710,"not applicable"),EXACT(Metadata!U710,"not collected"))),IF(Metadata!U710="",FALSE,TRUE))</f>
        <v>0</v>
      </c>
      <c r="BI710" t="b">
        <f>OR(AND(IF(Metadata!V710="",FALSE,TRUE),OR(EXACT(Metadata!V710,"not collected"),EXACT(Metadata!V710,"not provided"),EXACT(Metadata!V710,"restricted access"))),AND(IF(Metadata!V710="",FALSE,ISNUMBER(VALUE(Metadata!V710))),Metadata!V710&gt;=-180,Metadata!V710&lt;=180))</f>
        <v>0</v>
      </c>
      <c r="BJ710" t="b">
        <f>AND(IF(Metadata!W710="",FALSE,TRUE),EXACT(Metadata!W710,"Decimal degrees"))</f>
        <v>0</v>
      </c>
      <c r="BK710" t="b">
        <f>IF(Metadata!X710="",FALSE,TRUE)</f>
        <v>0</v>
      </c>
      <c r="BL710" t="b">
        <f>OR(AND(IF(Metadata!Y710="",FALSE,TRUE),OR(EXACT(Metadata!Y710,"not collected"),EXACT(Metadata!Y710,"not provided"),EXACT(Metadata!Y710,"restricted access"))),AND(IF(Metadata!Y710="",FALSE,TRUE),OR(EXACT(Metadata!Y710,"TRUE"),EXACT(Metadata!Y710,"FALSE"))))</f>
        <v>0</v>
      </c>
      <c r="BM710" t="b">
        <f>OR(AND(IF(Metadata!Z710="",FALSE,TRUE),EXACT(Metadata!Z710,"not applicable")),AND(IF(Metadata!Z710="",FALSE,TRUE),OR(EXACT(Metadata!Z710,"beer"),EXACT(Metadata!Z710,"cheese"),EXACT(Metadata!Z710,"fresh water"),EXACT(Metadata!Z710,"marine sediment"),EXACT(Metadata!Z710,"sea water"),EXACT(Metadata!Z710,"sediment"),EXACT(Metadata!Z710,"soil"),EXACT(Metadata!Z710,"waste water"))))</f>
        <v>0</v>
      </c>
      <c r="BN710" t="b">
        <f>AND(IF(Metadata!AA710="",FALSE,TRUE),EXACT(Metadata!AA710,"metagenome"))</f>
        <v>0</v>
      </c>
      <c r="BO710" t="b">
        <f>AND(IF(Metadata!AB710="",FALSE,TRUE),EXACT(Metadata!AB710,"256318"))</f>
        <v>0</v>
      </c>
      <c r="BP710" t="b">
        <f>IF(Metadata!AC710="",FALSE,TRUE)</f>
        <v>0</v>
      </c>
      <c r="BQ710" t="b">
        <f>IF(Metadata!AD710="",FALSE,TRUE)</f>
        <v>0</v>
      </c>
    </row>
    <row r="711" spans="1:69" x14ac:dyDescent="0.2">
      <c r="A711" s="4" t="e">
        <f ca="1">IF(B711=" "," ",HYPERLINK(CONCATENATE("#metadata!",ADDRESS(INDEX($AJ$2:$AJ$1001,MATCH(ROWS($AH$2:AH711),$AH$2:$AH$1001,0),0),2)),INDEX($AM$2:$AM$1001,MATCH(ROWS($AH$2:AH711),$AH$2:$AH$1001,0),0)))</f>
        <v>#N/A</v>
      </c>
      <c r="B711" s="5" t="e">
        <f ca="1">IF(OR(INDEX($AI$2:$AI$1001,MATCH(ROWS($AH$2:AH711),$AH$2:$AH$1001,0),1)&gt;=100000,INDEX($AO$1005:$BQ$1005,1,MATCH(COLUMNS($AO$1006:AO1006),$AO$1006:$BQ$1006,0))&gt;=100000), " ",IF(INDEX($AO$2:$BQ$1001,MATCH(ROWS($AH$2:AH711),$AH$2:$AH$1001,0),MATCH(COLUMNS($AO$1006:AO1006),$AO$1006:$BQ$1006,0)), HYPERLINK("#",""), HYPERLINK(CONCATENATE("#Metadata!", ADDRESS(INDEX($AJ$2:$AJ$1001,MATCH(ROWS($AH$2:AH711),$AH$2:$AH$1001,0),0), INDEX($AO$1004:$BQ$1004,1,MATCH(COLUMNS($AO$1006:AO1006),$AO$1006:$BQ$1006,0)))),"Fix")))</f>
        <v>#N/A</v>
      </c>
      <c r="C711" s="5" t="e">
        <f ca="1">IF(OR(INDEX($AI$2:$AI$1001,MATCH(ROWS($AH$2:AH711),$AH$2:$AH$1001,0),1)&gt;=100000,INDEX($AO$1005:$BQ$1005,1,MATCH(COLUMNS($AO$1006:AP1006),$AO$1006:$BQ$1006,0))&gt;=100000), " ",IF(INDEX($AO$2:$BQ$1001,MATCH(ROWS($AH$2:AH711),$AH$2:$AH$1001,0),MATCH(COLUMNS($AO$1006:AP1006),$AO$1006:$BQ$1006,0)), HYPERLINK("#",""), HYPERLINK(CONCATENATE("#Metadata!", ADDRESS(INDEX($AJ$2:$AJ$1001,MATCH(ROWS($AH$2:AH711),$AH$2:$AH$1001,0),0), INDEX($AO$1004:$BQ$1004,1,MATCH(COLUMNS($AO$1006:AP1006),$AO$1006:$BQ$1006,0)))),"Fix")))</f>
        <v>#N/A</v>
      </c>
      <c r="D711" s="5" t="e">
        <f ca="1">IF(OR(INDEX($AI$2:$AI$1001,MATCH(ROWS($AH$2:AH711),$AH$2:$AH$1001,0),1)&gt;=100000,INDEX($AO$1005:$BQ$1005,1,MATCH(COLUMNS($AO$1006:AQ1006),$AO$1006:$BQ$1006,0))&gt;=100000), " ",IF(INDEX($AO$2:$BQ$1001,MATCH(ROWS($AH$2:AH711),$AH$2:$AH$1001,0),MATCH(COLUMNS($AO$1006:AQ1006),$AO$1006:$BQ$1006,0)), HYPERLINK("#",""), HYPERLINK(CONCATENATE("#Metadata!", ADDRESS(INDEX($AJ$2:$AJ$1001,MATCH(ROWS($AH$2:AH711),$AH$2:$AH$1001,0),0), INDEX($AO$1004:$BQ$1004,1,MATCH(COLUMNS($AO$1006:AQ1006),$AO$1006:$BQ$1006,0)))),"Fix")))</f>
        <v>#N/A</v>
      </c>
      <c r="E711" s="5" t="e">
        <f ca="1">IF(OR(INDEX($AI$2:$AI$1001,MATCH(ROWS($AH$2:AH711),$AH$2:$AH$1001,0),1)&gt;=100000,INDEX($AO$1005:$BQ$1005,1,MATCH(COLUMNS($AO$1006:AR1006),$AO$1006:$BQ$1006,0))&gt;=100000), " ",IF(INDEX($AO$2:$BQ$1001,MATCH(ROWS($AH$2:AH711),$AH$2:$AH$1001,0),MATCH(COLUMNS($AO$1006:AR1006),$AO$1006:$BQ$1006,0)), HYPERLINK("#",""), HYPERLINK(CONCATENATE("#Metadata!", ADDRESS(INDEX($AJ$2:$AJ$1001,MATCH(ROWS($AH$2:AH711),$AH$2:$AH$1001,0),0), INDEX($AO$1004:$BQ$1004,1,MATCH(COLUMNS($AO$1006:AR1006),$AO$1006:$BQ$1006,0)))),"Fix")))</f>
        <v>#N/A</v>
      </c>
      <c r="F711" s="5" t="e">
        <f ca="1">IF(OR(INDEX($AI$2:$AI$1001,MATCH(ROWS($AH$2:AH711),$AH$2:$AH$1001,0),1)&gt;=100000,INDEX($AO$1005:$BQ$1005,1,MATCH(COLUMNS($AO$1006:AS1006),$AO$1006:$BQ$1006,0))&gt;=100000), " ",IF(INDEX($AO$2:$BQ$1001,MATCH(ROWS($AH$2:AH711),$AH$2:$AH$1001,0),MATCH(COLUMNS($AO$1006:AS1006),$AO$1006:$BQ$1006,0)), HYPERLINK("#",""), HYPERLINK(CONCATENATE("#Metadata!", ADDRESS(INDEX($AJ$2:$AJ$1001,MATCH(ROWS($AH$2:AH711),$AH$2:$AH$1001,0),0), INDEX($AO$1004:$BQ$1004,1,MATCH(COLUMNS($AO$1006:AS1006),$AO$1006:$BQ$1006,0)))),"Fix")))</f>
        <v>#N/A</v>
      </c>
      <c r="G711" s="5" t="e">
        <f ca="1">IF(OR(INDEX($AI$2:$AI$1001,MATCH(ROWS($AH$2:AH711),$AH$2:$AH$1001,0),1)&gt;=100000,INDEX($AO$1005:$BQ$1005,1,MATCH(COLUMNS($AO$1006:AT1006),$AO$1006:$BQ$1006,0))&gt;=100000), " ",IF(INDEX($AO$2:$BQ$1001,MATCH(ROWS($AH$2:AH711),$AH$2:$AH$1001,0),MATCH(COLUMNS($AO$1006:AT1006),$AO$1006:$BQ$1006,0)), HYPERLINK("#",""), HYPERLINK(CONCATENATE("#Metadata!", ADDRESS(INDEX($AJ$2:$AJ$1001,MATCH(ROWS($AH$2:AH711),$AH$2:$AH$1001,0),0), INDEX($AO$1004:$BQ$1004,1,MATCH(COLUMNS($AO$1006:AT1006),$AO$1006:$BQ$1006,0)))),"Fix")))</f>
        <v>#N/A</v>
      </c>
      <c r="H711" s="5" t="e">
        <f ca="1">IF(OR(INDEX($AI$2:$AI$1001,MATCH(ROWS($AH$2:AH711),$AH$2:$AH$1001,0),1)&gt;=100000,INDEX($AO$1005:$BQ$1005,1,MATCH(COLUMNS($AO$1006:AU1006),$AO$1006:$BQ$1006,0))&gt;=100000), " ",IF(INDEX($AO$2:$BQ$1001,MATCH(ROWS($AH$2:AH711),$AH$2:$AH$1001,0),MATCH(COLUMNS($AO$1006:AU1006),$AO$1006:$BQ$1006,0)), HYPERLINK("#",""), HYPERLINK(CONCATENATE("#Metadata!", ADDRESS(INDEX($AJ$2:$AJ$1001,MATCH(ROWS($AH$2:AH711),$AH$2:$AH$1001,0),0), INDEX($AO$1004:$BQ$1004,1,MATCH(COLUMNS($AO$1006:AU1006),$AO$1006:$BQ$1006,0)))),"Fix")))</f>
        <v>#N/A</v>
      </c>
      <c r="I711" s="5" t="e">
        <f ca="1">IF(OR(INDEX($AI$2:$AI$1001,MATCH(ROWS($AH$2:AH711),$AH$2:$AH$1001,0),1)&gt;=100000,INDEX($AO$1005:$BQ$1005,1,MATCH(COLUMNS($AO$1006:AV1006),$AO$1006:$BQ$1006,0))&gt;=100000), " ",IF(INDEX($AO$2:$BQ$1001,MATCH(ROWS($AH$2:AH711),$AH$2:$AH$1001,0),MATCH(COLUMNS($AO$1006:AV1006),$AO$1006:$BQ$1006,0)), HYPERLINK("#",""), HYPERLINK(CONCATENATE("#Metadata!", ADDRESS(INDEX($AJ$2:$AJ$1001,MATCH(ROWS($AH$2:AH711),$AH$2:$AH$1001,0),0), INDEX($AO$1004:$BQ$1004,1,MATCH(COLUMNS($AO$1006:AV1006),$AO$1006:$BQ$1006,0)))),"Fix")))</f>
        <v>#N/A</v>
      </c>
      <c r="J711" s="5" t="e">
        <f ca="1">IF(OR(INDEX($AI$2:$AI$1001,MATCH(ROWS($AH$2:AH711),$AH$2:$AH$1001,0),1)&gt;=100000,INDEX($AO$1005:$BQ$1005,1,MATCH(COLUMNS($AO$1006:AW1006),$AO$1006:$BQ$1006,0))&gt;=100000), " ",IF(INDEX($AO$2:$BQ$1001,MATCH(ROWS($AH$2:AH711),$AH$2:$AH$1001,0),MATCH(COLUMNS($AO$1006:AW1006),$AO$1006:$BQ$1006,0)), HYPERLINK("#",""), HYPERLINK(CONCATENATE("#Metadata!", ADDRESS(INDEX($AJ$2:$AJ$1001,MATCH(ROWS($AH$2:AH711),$AH$2:$AH$1001,0),0), INDEX($AO$1004:$BQ$1004,1,MATCH(COLUMNS($AO$1006:AW1006),$AO$1006:$BQ$1006,0)))),"Fix")))</f>
        <v>#N/A</v>
      </c>
      <c r="K711" s="5" t="e">
        <f ca="1">IF(OR(INDEX($AI$2:$AI$1001,MATCH(ROWS($AH$2:AH711),$AH$2:$AH$1001,0),1)&gt;=100000,INDEX($AO$1005:$BQ$1005,1,MATCH(COLUMNS($AO$1006:AX1006),$AO$1006:$BQ$1006,0))&gt;=100000), " ",IF(INDEX($AO$2:$BQ$1001,MATCH(ROWS($AH$2:AH711),$AH$2:$AH$1001,0),MATCH(COLUMNS($AO$1006:AX1006),$AO$1006:$BQ$1006,0)), HYPERLINK("#",""), HYPERLINK(CONCATENATE("#Metadata!", ADDRESS(INDEX($AJ$2:$AJ$1001,MATCH(ROWS($AH$2:AH711),$AH$2:$AH$1001,0),0), INDEX($AO$1004:$BQ$1004,1,MATCH(COLUMNS($AO$1006:AX1006),$AO$1006:$BQ$1006,0)))),"Fix")))</f>
        <v>#N/A</v>
      </c>
      <c r="L711" s="5" t="e">
        <f ca="1">IF(OR(INDEX($AI$2:$AI$1001,MATCH(ROWS($AH$2:AH711),$AH$2:$AH$1001,0),1)&gt;=100000,INDEX($AO$1005:$BQ$1005,1,MATCH(COLUMNS($AO$1006:AY1006),$AO$1006:$BQ$1006,0))&gt;=100000), " ",IF(INDEX($AO$2:$BQ$1001,MATCH(ROWS($AH$2:AH711),$AH$2:$AH$1001,0),MATCH(COLUMNS($AO$1006:AY1006),$AO$1006:$BQ$1006,0)), HYPERLINK("#",""), HYPERLINK(CONCATENATE("#Metadata!", ADDRESS(INDEX($AJ$2:$AJ$1001,MATCH(ROWS($AH$2:AH711),$AH$2:$AH$1001,0),0), INDEX($AO$1004:$BQ$1004,1,MATCH(COLUMNS($AO$1006:AY1006),$AO$1006:$BQ$1006,0)))),"Fix")))</f>
        <v>#N/A</v>
      </c>
      <c r="M711" s="5" t="e">
        <f ca="1">IF(OR(INDEX($AI$2:$AI$1001,MATCH(ROWS($AH$2:AH711),$AH$2:$AH$1001,0),1)&gt;=100000,INDEX($AO$1005:$BQ$1005,1,MATCH(COLUMNS($AO$1006:AZ1006),$AO$1006:$BQ$1006,0))&gt;=100000), " ",IF(INDEX($AO$2:$BQ$1001,MATCH(ROWS($AH$2:AH711),$AH$2:$AH$1001,0),MATCH(COLUMNS($AO$1006:AZ1006),$AO$1006:$BQ$1006,0)), HYPERLINK("#",""), HYPERLINK(CONCATENATE("#Metadata!", ADDRESS(INDEX($AJ$2:$AJ$1001,MATCH(ROWS($AH$2:AH711),$AH$2:$AH$1001,0),0), INDEX($AO$1004:$BQ$1004,1,MATCH(COLUMNS($AO$1006:AZ1006),$AO$1006:$BQ$1006,0)))),"Fix")))</f>
        <v>#N/A</v>
      </c>
      <c r="N711" s="5" t="e">
        <f ca="1">IF(OR(INDEX($AI$2:$AI$1001,MATCH(ROWS($AH$2:AH711),$AH$2:$AH$1001,0),1)&gt;=100000,INDEX($AO$1005:$BQ$1005,1,MATCH(COLUMNS($AO$1006:BA1006),$AO$1006:$BQ$1006,0))&gt;=100000), " ",IF(INDEX($AO$2:$BQ$1001,MATCH(ROWS($AH$2:AH711),$AH$2:$AH$1001,0),MATCH(COLUMNS($AO$1006:BA1006),$AO$1006:$BQ$1006,0)), HYPERLINK("#",""), HYPERLINK(CONCATENATE("#Metadata!", ADDRESS(INDEX($AJ$2:$AJ$1001,MATCH(ROWS($AH$2:AH711),$AH$2:$AH$1001,0),0), INDEX($AO$1004:$BQ$1004,1,MATCH(COLUMNS($AO$1006:BA1006),$AO$1006:$BQ$1006,0)))),"Fix")))</f>
        <v>#N/A</v>
      </c>
      <c r="O711" s="5" t="e">
        <f ca="1">IF(OR(INDEX($AI$2:$AI$1001,MATCH(ROWS($AH$2:AH711),$AH$2:$AH$1001,0),1)&gt;=100000,INDEX($AO$1005:$BQ$1005,1,MATCH(COLUMNS($AO$1006:BB1006),$AO$1006:$BQ$1006,0))&gt;=100000), " ",IF(INDEX($AO$2:$BQ$1001,MATCH(ROWS($AH$2:AH711),$AH$2:$AH$1001,0),MATCH(COLUMNS($AO$1006:BB1006),$AO$1006:$BQ$1006,0)), HYPERLINK("#",""), HYPERLINK(CONCATENATE("#Metadata!", ADDRESS(INDEX($AJ$2:$AJ$1001,MATCH(ROWS($AH$2:AH711),$AH$2:$AH$1001,0),0), INDEX($AO$1004:$BQ$1004,1,MATCH(COLUMNS($AO$1006:BB1006),$AO$1006:$BQ$1006,0)))),"Fix")))</f>
        <v>#N/A</v>
      </c>
      <c r="P711" s="5" t="e">
        <f ca="1">IF(OR(INDEX($AI$2:$AI$1001,MATCH(ROWS($AH$2:AH711),$AH$2:$AH$1001,0),1)&gt;=100000,INDEX($AO$1005:$BQ$1005,1,MATCH(COLUMNS($AO$1006:BC1006),$AO$1006:$BQ$1006,0))&gt;=100000), " ",IF(INDEX($AO$2:$BQ$1001,MATCH(ROWS($AH$2:AH711),$AH$2:$AH$1001,0),MATCH(COLUMNS($AO$1006:BC1006),$AO$1006:$BQ$1006,0)), HYPERLINK("#",""), HYPERLINK(CONCATENATE("#Metadata!", ADDRESS(INDEX($AJ$2:$AJ$1001,MATCH(ROWS($AH$2:AH711),$AH$2:$AH$1001,0),0), INDEX($AO$1004:$BQ$1004,1,MATCH(COLUMNS($AO$1006:BC1006),$AO$1006:$BQ$1006,0)))),"Fix")))</f>
        <v>#N/A</v>
      </c>
      <c r="Q711" s="5" t="e">
        <f ca="1">IF(OR(INDEX($AI$2:$AI$1001,MATCH(ROWS($AH$2:AH711),$AH$2:$AH$1001,0),1)&gt;=100000,INDEX($AO$1005:$BQ$1005,1,MATCH(COLUMNS($AO$1006:BD1006),$AO$1006:$BQ$1006,0))&gt;=100000), " ",IF(INDEX($AO$2:$BQ$1001,MATCH(ROWS($AH$2:AH711),$AH$2:$AH$1001,0),MATCH(COLUMNS($AO$1006:BD1006),$AO$1006:$BQ$1006,0)), HYPERLINK("#",""), HYPERLINK(CONCATENATE("#Metadata!", ADDRESS(INDEX($AJ$2:$AJ$1001,MATCH(ROWS($AH$2:AH711),$AH$2:$AH$1001,0),0), INDEX($AO$1004:$BQ$1004,1,MATCH(COLUMNS($AO$1006:BD1006),$AO$1006:$BQ$1006,0)))),"Fix")))</f>
        <v>#N/A</v>
      </c>
      <c r="R711" s="5" t="e">
        <f ca="1">IF(OR(INDEX($AI$2:$AI$1001,MATCH(ROWS($AH$2:AH711),$AH$2:$AH$1001,0),1)&gt;=100000,INDEX($AO$1005:$BQ$1005,1,MATCH(COLUMNS($AO$1006:BE1006),$AO$1006:$BQ$1006,0))&gt;=100000), " ",IF(INDEX($AO$2:$BQ$1001,MATCH(ROWS($AH$2:AH711),$AH$2:$AH$1001,0),MATCH(COLUMNS($AO$1006:BE1006),$AO$1006:$BQ$1006,0)), HYPERLINK("#",""), HYPERLINK(CONCATENATE("#Metadata!", ADDRESS(INDEX($AJ$2:$AJ$1001,MATCH(ROWS($AH$2:AH711),$AH$2:$AH$1001,0),0), INDEX($AO$1004:$BQ$1004,1,MATCH(COLUMNS($AO$1006:BE1006),$AO$1006:$BQ$1006,0)))),"Fix")))</f>
        <v>#N/A</v>
      </c>
      <c r="S711" s="5" t="e">
        <f ca="1">IF(OR(INDEX($AI$2:$AI$1001,MATCH(ROWS($AH$2:AH711),$AH$2:$AH$1001,0),1)&gt;=100000,INDEX($AO$1005:$BQ$1005,1,MATCH(COLUMNS($AO$1006:BF1006),$AO$1006:$BQ$1006,0))&gt;=100000), " ",IF(INDEX($AO$2:$BQ$1001,MATCH(ROWS($AH$2:AH711),$AH$2:$AH$1001,0),MATCH(COLUMNS($AO$1006:BF1006),$AO$1006:$BQ$1006,0)), HYPERLINK("#",""), HYPERLINK(CONCATENATE("#Metadata!", ADDRESS(INDEX($AJ$2:$AJ$1001,MATCH(ROWS($AH$2:AH711),$AH$2:$AH$1001,0),0), INDEX($AO$1004:$BQ$1004,1,MATCH(COLUMNS($AO$1006:BF1006),$AO$1006:$BQ$1006,0)))),"Fix")))</f>
        <v>#N/A</v>
      </c>
      <c r="T711" s="5" t="e">
        <f ca="1">IF(OR(INDEX($AI$2:$AI$1001,MATCH(ROWS($AH$2:AH711),$AH$2:$AH$1001,0),1)&gt;=100000,INDEX($AO$1005:$BQ$1005,1,MATCH(COLUMNS($AO$1006:BG1006),$AO$1006:$BQ$1006,0))&gt;=100000), " ",IF(INDEX($AO$2:$BQ$1001,MATCH(ROWS($AH$2:AH711),$AH$2:$AH$1001,0),MATCH(COLUMNS($AO$1006:BG1006),$AO$1006:$BQ$1006,0)), HYPERLINK("#",""), HYPERLINK(CONCATENATE("#Metadata!", ADDRESS(INDEX($AJ$2:$AJ$1001,MATCH(ROWS($AH$2:AH711),$AH$2:$AH$1001,0),0), INDEX($AO$1004:$BQ$1004,1,MATCH(COLUMNS($AO$1006:BG1006),$AO$1006:$BQ$1006,0)))),"Fix")))</f>
        <v>#N/A</v>
      </c>
      <c r="U711" s="5" t="e">
        <f ca="1">IF(OR(INDEX($AI$2:$AI$1001,MATCH(ROWS($AH$2:AH711),$AH$2:$AH$1001,0),1)&gt;=100000,INDEX($AO$1005:$BQ$1005,1,MATCH(COLUMNS($AO$1006:BH1006),$AO$1006:$BQ$1006,0))&gt;=100000), " ",IF(INDEX($AO$2:$BQ$1001,MATCH(ROWS($AH$2:AH711),$AH$2:$AH$1001,0),MATCH(COLUMNS($AO$1006:BH1006),$AO$1006:$BQ$1006,0)), HYPERLINK("#",""), HYPERLINK(CONCATENATE("#Metadata!", ADDRESS(INDEX($AJ$2:$AJ$1001,MATCH(ROWS($AH$2:AH711),$AH$2:$AH$1001,0),0), INDEX($AO$1004:$BQ$1004,1,MATCH(COLUMNS($AO$1006:BH1006),$AO$1006:$BQ$1006,0)))),"Fix")))</f>
        <v>#N/A</v>
      </c>
      <c r="V711" s="5" t="e">
        <f ca="1">IF(OR(INDEX($AI$2:$AI$1001,MATCH(ROWS($AH$2:AH711),$AH$2:$AH$1001,0),1)&gt;=100000,INDEX($AO$1005:$BQ$1005,1,MATCH(COLUMNS($AO$1006:BI1006),$AO$1006:$BQ$1006,0))&gt;=100000), " ",IF(INDEX($AO$2:$BQ$1001,MATCH(ROWS($AH$2:AH711),$AH$2:$AH$1001,0),MATCH(COLUMNS($AO$1006:BI1006),$AO$1006:$BQ$1006,0)), HYPERLINK("#",""), HYPERLINK(CONCATENATE("#Metadata!", ADDRESS(INDEX($AJ$2:$AJ$1001,MATCH(ROWS($AH$2:AH711),$AH$2:$AH$1001,0),0), INDEX($AO$1004:$BQ$1004,1,MATCH(COLUMNS($AO$1006:BI1006),$AO$1006:$BQ$1006,0)))),"Fix")))</f>
        <v>#N/A</v>
      </c>
      <c r="W711" s="5" t="e">
        <f ca="1">IF(OR(INDEX($AI$2:$AI$1001,MATCH(ROWS($AH$2:AH711),$AH$2:$AH$1001,0),1)&gt;=100000,INDEX($AO$1005:$BQ$1005,1,MATCH(COLUMNS($AO$1006:BJ1006),$AO$1006:$BQ$1006,0))&gt;=100000), " ",IF(INDEX($AO$2:$BQ$1001,MATCH(ROWS($AH$2:AH711),$AH$2:$AH$1001,0),MATCH(COLUMNS($AO$1006:BJ1006),$AO$1006:$BQ$1006,0)), HYPERLINK("#",""), HYPERLINK(CONCATENATE("#Metadata!", ADDRESS(INDEX($AJ$2:$AJ$1001,MATCH(ROWS($AH$2:AH711),$AH$2:$AH$1001,0),0), INDEX($AO$1004:$BQ$1004,1,MATCH(COLUMNS($AO$1006:BJ1006),$AO$1006:$BQ$1006,0)))),"Fix")))</f>
        <v>#N/A</v>
      </c>
      <c r="X711" s="5" t="e">
        <f ca="1">IF(OR(INDEX($AI$2:$AI$1001,MATCH(ROWS($AH$2:AH711),$AH$2:$AH$1001,0),1)&gt;=100000,INDEX($AO$1005:$BQ$1005,1,MATCH(COLUMNS($AO$1006:BK1006),$AO$1006:$BQ$1006,0))&gt;=100000), " ",IF(INDEX($AO$2:$BQ$1001,MATCH(ROWS($AH$2:AH711),$AH$2:$AH$1001,0),MATCH(COLUMNS($AO$1006:BK1006),$AO$1006:$BQ$1006,0)), HYPERLINK("#",""), HYPERLINK(CONCATENATE("#Metadata!", ADDRESS(INDEX($AJ$2:$AJ$1001,MATCH(ROWS($AH$2:AH711),$AH$2:$AH$1001,0),0), INDEX($AO$1004:$BQ$1004,1,MATCH(COLUMNS($AO$1006:BK1006),$AO$1006:$BQ$1006,0)))),"Fix")))</f>
        <v>#N/A</v>
      </c>
      <c r="Y711" s="5" t="e">
        <f ca="1">IF(OR(INDEX($AI$2:$AI$1001,MATCH(ROWS($AH$2:AH711),$AH$2:$AH$1001,0),1)&gt;=100000,INDEX($AO$1005:$BQ$1005,1,MATCH(COLUMNS($AO$1006:BL1006),$AO$1006:$BQ$1006,0))&gt;=100000), " ",IF(INDEX($AO$2:$BQ$1001,MATCH(ROWS($AH$2:AH711),$AH$2:$AH$1001,0),MATCH(COLUMNS($AO$1006:BL1006),$AO$1006:$BQ$1006,0)), HYPERLINK("#",""), HYPERLINK(CONCATENATE("#Metadata!", ADDRESS(INDEX($AJ$2:$AJ$1001,MATCH(ROWS($AH$2:AH711),$AH$2:$AH$1001,0),0), INDEX($AO$1004:$BQ$1004,1,MATCH(COLUMNS($AO$1006:BL1006),$AO$1006:$BQ$1006,0)))),"Fix")))</f>
        <v>#N/A</v>
      </c>
      <c r="Z711" s="5" t="e">
        <f ca="1">IF(OR(INDEX($AI$2:$AI$1001,MATCH(ROWS($AH$2:AH711),$AH$2:$AH$1001,0),1)&gt;=100000,INDEX($AO$1005:$BQ$1005,1,MATCH(COLUMNS($AO$1006:BM1006),$AO$1006:$BQ$1006,0))&gt;=100000), " ",IF(INDEX($AO$2:$BQ$1001,MATCH(ROWS($AH$2:AH711),$AH$2:$AH$1001,0),MATCH(COLUMNS($AO$1006:BM1006),$AO$1006:$BQ$1006,0)), HYPERLINK("#",""), HYPERLINK(CONCATENATE("#Metadata!", ADDRESS(INDEX($AJ$2:$AJ$1001,MATCH(ROWS($AH$2:AH711),$AH$2:$AH$1001,0),0), INDEX($AO$1004:$BQ$1004,1,MATCH(COLUMNS($AO$1006:BM1006),$AO$1006:$BQ$1006,0)))),"Fix")))</f>
        <v>#N/A</v>
      </c>
      <c r="AA711" s="5" t="e">
        <f ca="1">IF(OR(INDEX($AI$2:$AI$1001,MATCH(ROWS($AH$2:AH711),$AH$2:$AH$1001,0),1)&gt;=100000,INDEX($AO$1005:$BQ$1005,1,MATCH(COLUMNS($AO$1006:BN1006),$AO$1006:$BQ$1006,0))&gt;=100000), " ",IF(INDEX($AO$2:$BQ$1001,MATCH(ROWS($AH$2:AH711),$AH$2:$AH$1001,0),MATCH(COLUMNS($AO$1006:BN1006),$AO$1006:$BQ$1006,0)), HYPERLINK("#",""), HYPERLINK(CONCATENATE("#Metadata!", ADDRESS(INDEX($AJ$2:$AJ$1001,MATCH(ROWS($AH$2:AH711),$AH$2:$AH$1001,0),0), INDEX($AO$1004:$BQ$1004,1,MATCH(COLUMNS($AO$1006:BN1006),$AO$1006:$BQ$1006,0)))),"Fix")))</f>
        <v>#N/A</v>
      </c>
      <c r="AB711" s="5" t="e">
        <f ca="1">IF(OR(INDEX($AI$2:$AI$1001,MATCH(ROWS($AH$2:AH711),$AH$2:$AH$1001,0),1)&gt;=100000,INDEX($AO$1005:$BQ$1005,1,MATCH(COLUMNS($AO$1006:BO1006),$AO$1006:$BQ$1006,0))&gt;=100000), " ",IF(INDEX($AO$2:$BQ$1001,MATCH(ROWS($AH$2:AH711),$AH$2:$AH$1001,0),MATCH(COLUMNS($AO$1006:BO1006),$AO$1006:$BQ$1006,0)), HYPERLINK("#",""), HYPERLINK(CONCATENATE("#Metadata!", ADDRESS(INDEX($AJ$2:$AJ$1001,MATCH(ROWS($AH$2:AH711),$AH$2:$AH$1001,0),0), INDEX($AO$1004:$BQ$1004,1,MATCH(COLUMNS($AO$1006:BO1006),$AO$1006:$BQ$1006,0)))),"Fix")))</f>
        <v>#N/A</v>
      </c>
      <c r="AC711" s="5" t="e">
        <f ca="1">IF(OR(INDEX($AI$2:$AI$1001,MATCH(ROWS($AH$2:AH711),$AH$2:$AH$1001,0),1)&gt;=100000,INDEX($AO$1005:$BQ$1005,1,MATCH(COLUMNS($AO$1006:BP1006),$AO$1006:$BQ$1006,0))&gt;=100000), " ",IF(INDEX($AO$2:$BQ$1001,MATCH(ROWS($AH$2:AH711),$AH$2:$AH$1001,0),MATCH(COLUMNS($AO$1006:BP1006),$AO$1006:$BQ$1006,0)), HYPERLINK("#",""), HYPERLINK(CONCATENATE("#Metadata!", ADDRESS(INDEX($AJ$2:$AJ$1001,MATCH(ROWS($AH$2:AH711),$AH$2:$AH$1001,0),0), INDEX($AO$1004:$BQ$1004,1,MATCH(COLUMNS($AO$1006:BP1006),$AO$1006:$BQ$1006,0)))),"Fix")))</f>
        <v>#N/A</v>
      </c>
      <c r="AD711" s="5" t="e">
        <f ca="1">IF(OR(INDEX($AI$2:$AI$1001,MATCH(ROWS($AH$2:AH711),$AH$2:$AH$1001,0),1)&gt;=100000,INDEX($AO$1005:$BQ$1005,1,MATCH(COLUMNS($AO$1006:BQ1006),$AO$1006:$BQ$1006,0))&gt;=100000), " ",IF(INDEX($AO$2:$BQ$1001,MATCH(ROWS($AH$2:AH711),$AH$2:$AH$1001,0),MATCH(COLUMNS($AO$1006:BQ1006),$AO$1006:$BQ$1006,0)), HYPERLINK("#",""), HYPERLINK(CONCATENATE("#Metadata!", ADDRESS(INDEX($AJ$2:$AJ$1001,MATCH(ROWS($AH$2:AH711),$AH$2:$AH$1001,0),0), INDEX($AO$1004:$BQ$1004,1,MATCH(COLUMNS($AO$1006:BQ1006),$AO$1006:$BQ$1006,0)))),"Fix")))</f>
        <v>#REF!</v>
      </c>
      <c r="AH711">
        <f ca="1"/>
        <v>708</v>
      </c>
      <c r="AI711">
        <v>100711</v>
      </c>
      <c r="AJ711">
        <v>711</v>
      </c>
      <c r="AK711" t="b">
        <f t="shared" si="11"/>
        <v>1</v>
      </c>
      <c r="AL711" t="b">
        <f>COUNTBLANK(Metadata!B711:AD711)=COLUMNS(Metadata!B711:AD711)</f>
        <v>1</v>
      </c>
      <c r="AM711" t="str">
        <v/>
      </c>
      <c r="AO711" t="b">
        <f ca="1">AND(IF(Metadata!B711="",FALSE,TRUE),COUNTIF(Metadata!B:B, Metadata!B711) = 1,NOT(ISERROR(SUMPRODUCT(SEARCH(MID(Metadata!B711,ROW(INDIRECT("1:"&amp;LEN(Metadata!B711))), 1),"0123456789abcdefghijklmnopqrstuvwxyzABCDEFGHIJKLMNOPQRSTUVWXYZ.")))))</f>
        <v>0</v>
      </c>
      <c r="AP711" t="b">
        <f>IF(Metadata!C711="",FALSE,TRUE)</f>
        <v>0</v>
      </c>
      <c r="AQ711" t="b">
        <f>IF(Metadata!D711="",FALSE,TRUE)</f>
        <v>0</v>
      </c>
      <c r="AR711" t="b">
        <f ca="1">OR(AND(IF(Metadata!E711="",FALSE,TRUE),OR(EXACT(Metadata!E711,"not collected"),EXACT(Metadata!E711,"not provided"),EXACT(Metadata!E711,"restricted access"))),AND(IF(Metadata!E711="",FALSE,TRUE),AND(AND(IFERROR(INT(LEFT(Metadata!E711,4))&gt;1900,FALSE),IFERROR(INT(LEFT(Metadata!E711,4))&lt;=YEAR(NOW()),FALSE)), OR(MID(Metadata!E711,5,1)="", AND(AND(MID(Metadata!E711,5,1)="-",IFERROR(INT(MID(Metadata!E711,6,1))&gt;=0,FALSE),IFERROR(INT(MID(Metadata!E711,6,1))&lt;=1,FALSE),NOT(MID(Metadata!E711,7,1)=""),IFERROR(INT(MID(Metadata!E711,6,2))&gt;=1,FALSE),IFERROR(INT(MID(Metadata!E711,6,2))&lt;=12,FALSE)), OR(MID(Metadata!E711,8,1)="", AND(AND(MID(Metadata!E711,8,1)="-",IFERROR(INT(MID(Metadata!E711,9,1))&gt;=0,FALSE),IFERROR(INT(MID(Metadata!E711,9,1))&lt;=3,FALSE),NOT(MID(Metadata!E711,10,1)=""),IFERROR(INT(MID(Metadata!E711,9,2))&gt;=1,FALSE),IFERROR(INT(MID(Metadata!E711,9,2))&lt;=31,FALSE)), OR(MID(Metadata!E711,11,1)="", AND(AND(MID(Metadata!E711,11,1)=" ",IFERROR(INT(MID(Metadata!E711,12,1))&gt;=0,FALSE),IFERROR(INT(MID(Metadata!E711,12,1))&lt;=2,FALSE),NOT(MID(Metadata!E711,13,1)=""),IFERROR(INT(MID(Metadata!E711,12,2))&gt;=0,FALSE),IFERROR(INT(MID(Metadata!E711,12,2))&lt;=23,FALSE)), OR(MID(Metadata!E711,14,1)="", AND(AND(MID(Metadata!E711,14,1)=":",IFERROR(INT(MID(Metadata!E711,15,1))&gt;=0,FALSE),IFERROR(INT(MID(Metadata!E711,15,1))&lt;=5,FALSE),NOT(MID(Metadata!E711,16,1)=""),IFERROR(INT(MID(Metadata!E711,15,2))&gt;=0,FALSE),IFERROR(INT(MID(Metadata!E711,15,2))&lt;=59,FALSE)), OR(MID(Metadata!E711,17,1)="", AND(AND(MID(Metadata!E711,17,1)=":",IFERROR(INT(MID(Metadata!E711,18,1))&gt;=0,FALSE),IFERROR(INT(MID(Metadata!E711,18,1))&lt;=5,FALSE),NOT(MID(Metadata!E711,19,1)=""),IFERROR(INT(MID(Metadata!E711,18,2))&gt;=0,FALSE),IFERROR(INT(MID(Metadata!E711,18,2))&lt;=59,FALSE)), LEN(Metadata!E711)&lt;=19)))))))))))))</f>
        <v>0</v>
      </c>
      <c r="AS711" t="b">
        <f>IF(Metadata!F711="",FALSE,TRUE)</f>
        <v>0</v>
      </c>
      <c r="AT711" t="b">
        <f>OR(AND(IF(Metadata!G711="",FALSE,TRUE),OR(EXACT(Metadata!G711,"not collected"),EXACT(Metadata!G711,"not provided"))),AND(IF(Metadata!G711="",FALSE,TRUE),OR(EXACT(Metadata!G711,"TRUE"),EXACT(Metadata!G711,"FALSE"))))</f>
        <v>0</v>
      </c>
      <c r="AU711" t="b">
        <f>OR(AND(IF(Metadata!H711="",FALSE,TRUE),OR(EXACT(Metadata!H711,"not collected"),EXACT(Metadata!H711,"not provided"),EXACT(Metadata!H711,"restricted access"))),AND(IF(Metadata!H711="",FALSE,ISNUMBER(VALUE(Metadata!H711))),Metadata!H711&gt;=-413))</f>
        <v>0</v>
      </c>
      <c r="AV711" t="b">
        <f>AND(IF(Metadata!I711="",FALSE,TRUE),EXACT(Metadata!I711,"meters"))</f>
        <v>0</v>
      </c>
      <c r="AW711" t="b">
        <f>AND(IF(Metadata!J711="",FALSE,TRUE),EXACT(Metadata!J711,"free-living"))</f>
        <v>0</v>
      </c>
      <c r="AX711" t="b">
        <f>AND(IF(Metadata!K711="",FALSE,TRUE),OR(EXACT(Metadata!K711,"saline"),EXACT(Metadata!K711,"non-saline")))</f>
        <v>0</v>
      </c>
      <c r="AY711" t="b">
        <f>AND(IF(Metadata!L711="",FALSE,TRUE),OR(EXACT(Metadata!L711,"sub-surface (non-saline)"),EXACT(Metadata!L711,"surface (non-saline)"),EXACT(Metadata!L711,"water (non-saline)"),EXACT(Metadata!L711,"soil (non-saline)"),EXACT(Metadata!L711,"aerosol (non-saline)"),EXACT(Metadata!L711,"sediment (non-saline)"),EXACT(Metadata!L711,"surface (saline)"),EXACT(Metadata!L711,"water (saline)"),EXACT(Metadata!L711,"hypersaline (saline)"),EXACT(Metadata!L711,"aerosol (saline)"),EXACT(Metadata!L711,"sediment (saline)")))</f>
        <v>0</v>
      </c>
      <c r="AZ711" t="b">
        <f>IF(Metadata!M711="",FALSE,TRUE)</f>
        <v>0</v>
      </c>
      <c r="BA711" t="b">
        <f>IF(Metadata!N711="",FALSE,TRUE)</f>
        <v>0</v>
      </c>
      <c r="BB711" t="b">
        <f>IF(Metadata!O711="",FALSE,TRUE)</f>
        <v>0</v>
      </c>
      <c r="BC711" t="b">
        <f>AND(IF(Metadata!P711="",FALSE,TRUE),OR(EXACT(Metadata!P711,"air"),EXACT(Metadata!P711,"microbial mat/biofilm"),EXACT(Metadata!P711,"misc environment"),EXACT(Metadata!P711,"sediment"),EXACT(Metadata!P711,"soil"),EXACT(Metadata!P711,"wastewater/sludge"),EXACT(Metadata!P711,"water")))</f>
        <v>0</v>
      </c>
      <c r="BD711" t="b">
        <f>IF(Metadata!Q711="",FALSE,TRUE)</f>
        <v>0</v>
      </c>
      <c r="BE711" t="b">
        <f>IF(Metadata!R711="",FALSE,TRUE)</f>
        <v>0</v>
      </c>
      <c r="BF711" t="b">
        <f>OR(AND(IF(Metadata!S711="",FALSE,TRUE),OR(EXACT(Metadata!S711,"not collected"),EXACT(Metadata!S711,"not provided"),EXACT(Metadata!S711,"restricted access"))),AND(IF(Metadata!S711="",FALSE,ISNUMBER(VALUE(Metadata!S711))),Metadata!S711&gt;=-90,Metadata!S711&lt;=90))</f>
        <v>0</v>
      </c>
      <c r="BG711" t="b">
        <f>AND(IF(Metadata!T711="",FALSE,TRUE),EXACT(Metadata!T711,"Decimal degrees"))</f>
        <v>0</v>
      </c>
      <c r="BH711" t="b">
        <f>OR(AND(IF(Metadata!U711="",FALSE,TRUE),OR(EXACT(Metadata!U711,"not applicable"),EXACT(Metadata!U711,"not collected"))),IF(Metadata!U711="",FALSE,TRUE))</f>
        <v>0</v>
      </c>
      <c r="BI711" t="b">
        <f>OR(AND(IF(Metadata!V711="",FALSE,TRUE),OR(EXACT(Metadata!V711,"not collected"),EXACT(Metadata!V711,"not provided"),EXACT(Metadata!V711,"restricted access"))),AND(IF(Metadata!V711="",FALSE,ISNUMBER(VALUE(Metadata!V711))),Metadata!V711&gt;=-180,Metadata!V711&lt;=180))</f>
        <v>0</v>
      </c>
      <c r="BJ711" t="b">
        <f>AND(IF(Metadata!W711="",FALSE,TRUE),EXACT(Metadata!W711,"Decimal degrees"))</f>
        <v>0</v>
      </c>
      <c r="BK711" t="b">
        <f>IF(Metadata!X711="",FALSE,TRUE)</f>
        <v>0</v>
      </c>
      <c r="BL711" t="b">
        <f>OR(AND(IF(Metadata!Y711="",FALSE,TRUE),OR(EXACT(Metadata!Y711,"not collected"),EXACT(Metadata!Y711,"not provided"),EXACT(Metadata!Y711,"restricted access"))),AND(IF(Metadata!Y711="",FALSE,TRUE),OR(EXACT(Metadata!Y711,"TRUE"),EXACT(Metadata!Y711,"FALSE"))))</f>
        <v>0</v>
      </c>
      <c r="BM711" t="b">
        <f>OR(AND(IF(Metadata!Z711="",FALSE,TRUE),EXACT(Metadata!Z711,"not applicable")),AND(IF(Metadata!Z711="",FALSE,TRUE),OR(EXACT(Metadata!Z711,"beer"),EXACT(Metadata!Z711,"cheese"),EXACT(Metadata!Z711,"fresh water"),EXACT(Metadata!Z711,"marine sediment"),EXACT(Metadata!Z711,"sea water"),EXACT(Metadata!Z711,"sediment"),EXACT(Metadata!Z711,"soil"),EXACT(Metadata!Z711,"waste water"))))</f>
        <v>0</v>
      </c>
      <c r="BN711" t="b">
        <f>AND(IF(Metadata!AA711="",FALSE,TRUE),EXACT(Metadata!AA711,"metagenome"))</f>
        <v>0</v>
      </c>
      <c r="BO711" t="b">
        <f>AND(IF(Metadata!AB711="",FALSE,TRUE),EXACT(Metadata!AB711,"256318"))</f>
        <v>0</v>
      </c>
      <c r="BP711" t="b">
        <f>IF(Metadata!AC711="",FALSE,TRUE)</f>
        <v>0</v>
      </c>
      <c r="BQ711" t="b">
        <f>IF(Metadata!AD711="",FALSE,TRUE)</f>
        <v>0</v>
      </c>
    </row>
    <row r="712" spans="1:69" x14ac:dyDescent="0.2">
      <c r="A712" s="4" t="e">
        <f ca="1">IF(B712=" "," ",HYPERLINK(CONCATENATE("#metadata!",ADDRESS(INDEX($AJ$2:$AJ$1001,MATCH(ROWS($AH$2:AH712),$AH$2:$AH$1001,0),0),2)),INDEX($AM$2:$AM$1001,MATCH(ROWS($AH$2:AH712),$AH$2:$AH$1001,0),0)))</f>
        <v>#N/A</v>
      </c>
      <c r="B712" s="5" t="e">
        <f ca="1">IF(OR(INDEX($AI$2:$AI$1001,MATCH(ROWS($AH$2:AH712),$AH$2:$AH$1001,0),1)&gt;=100000,INDEX($AO$1005:$BQ$1005,1,MATCH(COLUMNS($AO$1006:AO1006),$AO$1006:$BQ$1006,0))&gt;=100000), " ",IF(INDEX($AO$2:$BQ$1001,MATCH(ROWS($AH$2:AH712),$AH$2:$AH$1001,0),MATCH(COLUMNS($AO$1006:AO1006),$AO$1006:$BQ$1006,0)), HYPERLINK("#",""), HYPERLINK(CONCATENATE("#Metadata!", ADDRESS(INDEX($AJ$2:$AJ$1001,MATCH(ROWS($AH$2:AH712),$AH$2:$AH$1001,0),0), INDEX($AO$1004:$BQ$1004,1,MATCH(COLUMNS($AO$1006:AO1006),$AO$1006:$BQ$1006,0)))),"Fix")))</f>
        <v>#N/A</v>
      </c>
      <c r="C712" s="5" t="e">
        <f ca="1">IF(OR(INDEX($AI$2:$AI$1001,MATCH(ROWS($AH$2:AH712),$AH$2:$AH$1001,0),1)&gt;=100000,INDEX($AO$1005:$BQ$1005,1,MATCH(COLUMNS($AO$1006:AP1006),$AO$1006:$BQ$1006,0))&gt;=100000), " ",IF(INDEX($AO$2:$BQ$1001,MATCH(ROWS($AH$2:AH712),$AH$2:$AH$1001,0),MATCH(COLUMNS($AO$1006:AP1006),$AO$1006:$BQ$1006,0)), HYPERLINK("#",""), HYPERLINK(CONCATENATE("#Metadata!", ADDRESS(INDEX($AJ$2:$AJ$1001,MATCH(ROWS($AH$2:AH712),$AH$2:$AH$1001,0),0), INDEX($AO$1004:$BQ$1004,1,MATCH(COLUMNS($AO$1006:AP1006),$AO$1006:$BQ$1006,0)))),"Fix")))</f>
        <v>#N/A</v>
      </c>
      <c r="D712" s="5" t="e">
        <f ca="1">IF(OR(INDEX($AI$2:$AI$1001,MATCH(ROWS($AH$2:AH712),$AH$2:$AH$1001,0),1)&gt;=100000,INDEX($AO$1005:$BQ$1005,1,MATCH(COLUMNS($AO$1006:AQ1006),$AO$1006:$BQ$1006,0))&gt;=100000), " ",IF(INDEX($AO$2:$BQ$1001,MATCH(ROWS($AH$2:AH712),$AH$2:$AH$1001,0),MATCH(COLUMNS($AO$1006:AQ1006),$AO$1006:$BQ$1006,0)), HYPERLINK("#",""), HYPERLINK(CONCATENATE("#Metadata!", ADDRESS(INDEX($AJ$2:$AJ$1001,MATCH(ROWS($AH$2:AH712),$AH$2:$AH$1001,0),0), INDEX($AO$1004:$BQ$1004,1,MATCH(COLUMNS($AO$1006:AQ1006),$AO$1006:$BQ$1006,0)))),"Fix")))</f>
        <v>#N/A</v>
      </c>
      <c r="E712" s="5" t="e">
        <f ca="1">IF(OR(INDEX($AI$2:$AI$1001,MATCH(ROWS($AH$2:AH712),$AH$2:$AH$1001,0),1)&gt;=100000,INDEX($AO$1005:$BQ$1005,1,MATCH(COLUMNS($AO$1006:AR1006),$AO$1006:$BQ$1006,0))&gt;=100000), " ",IF(INDEX($AO$2:$BQ$1001,MATCH(ROWS($AH$2:AH712),$AH$2:$AH$1001,0),MATCH(COLUMNS($AO$1006:AR1006),$AO$1006:$BQ$1006,0)), HYPERLINK("#",""), HYPERLINK(CONCATENATE("#Metadata!", ADDRESS(INDEX($AJ$2:$AJ$1001,MATCH(ROWS($AH$2:AH712),$AH$2:$AH$1001,0),0), INDEX($AO$1004:$BQ$1004,1,MATCH(COLUMNS($AO$1006:AR1006),$AO$1006:$BQ$1006,0)))),"Fix")))</f>
        <v>#N/A</v>
      </c>
      <c r="F712" s="5" t="e">
        <f ca="1">IF(OR(INDEX($AI$2:$AI$1001,MATCH(ROWS($AH$2:AH712),$AH$2:$AH$1001,0),1)&gt;=100000,INDEX($AO$1005:$BQ$1005,1,MATCH(COLUMNS($AO$1006:AS1006),$AO$1006:$BQ$1006,0))&gt;=100000), " ",IF(INDEX($AO$2:$BQ$1001,MATCH(ROWS($AH$2:AH712),$AH$2:$AH$1001,0),MATCH(COLUMNS($AO$1006:AS1006),$AO$1006:$BQ$1006,0)), HYPERLINK("#",""), HYPERLINK(CONCATENATE("#Metadata!", ADDRESS(INDEX($AJ$2:$AJ$1001,MATCH(ROWS($AH$2:AH712),$AH$2:$AH$1001,0),0), INDEX($AO$1004:$BQ$1004,1,MATCH(COLUMNS($AO$1006:AS1006),$AO$1006:$BQ$1006,0)))),"Fix")))</f>
        <v>#N/A</v>
      </c>
      <c r="G712" s="5" t="e">
        <f ca="1">IF(OR(INDEX($AI$2:$AI$1001,MATCH(ROWS($AH$2:AH712),$AH$2:$AH$1001,0),1)&gt;=100000,INDEX($AO$1005:$BQ$1005,1,MATCH(COLUMNS($AO$1006:AT1006),$AO$1006:$BQ$1006,0))&gt;=100000), " ",IF(INDEX($AO$2:$BQ$1001,MATCH(ROWS($AH$2:AH712),$AH$2:$AH$1001,0),MATCH(COLUMNS($AO$1006:AT1006),$AO$1006:$BQ$1006,0)), HYPERLINK("#",""), HYPERLINK(CONCATENATE("#Metadata!", ADDRESS(INDEX($AJ$2:$AJ$1001,MATCH(ROWS($AH$2:AH712),$AH$2:$AH$1001,0),0), INDEX($AO$1004:$BQ$1004,1,MATCH(COLUMNS($AO$1006:AT1006),$AO$1006:$BQ$1006,0)))),"Fix")))</f>
        <v>#N/A</v>
      </c>
      <c r="H712" s="5" t="e">
        <f ca="1">IF(OR(INDEX($AI$2:$AI$1001,MATCH(ROWS($AH$2:AH712),$AH$2:$AH$1001,0),1)&gt;=100000,INDEX($AO$1005:$BQ$1005,1,MATCH(COLUMNS($AO$1006:AU1006),$AO$1006:$BQ$1006,0))&gt;=100000), " ",IF(INDEX($AO$2:$BQ$1001,MATCH(ROWS($AH$2:AH712),$AH$2:$AH$1001,0),MATCH(COLUMNS($AO$1006:AU1006),$AO$1006:$BQ$1006,0)), HYPERLINK("#",""), HYPERLINK(CONCATENATE("#Metadata!", ADDRESS(INDEX($AJ$2:$AJ$1001,MATCH(ROWS($AH$2:AH712),$AH$2:$AH$1001,0),0), INDEX($AO$1004:$BQ$1004,1,MATCH(COLUMNS($AO$1006:AU1006),$AO$1006:$BQ$1006,0)))),"Fix")))</f>
        <v>#N/A</v>
      </c>
      <c r="I712" s="5" t="e">
        <f ca="1">IF(OR(INDEX($AI$2:$AI$1001,MATCH(ROWS($AH$2:AH712),$AH$2:$AH$1001,0),1)&gt;=100000,INDEX($AO$1005:$BQ$1005,1,MATCH(COLUMNS($AO$1006:AV1006),$AO$1006:$BQ$1006,0))&gt;=100000), " ",IF(INDEX($AO$2:$BQ$1001,MATCH(ROWS($AH$2:AH712),$AH$2:$AH$1001,0),MATCH(COLUMNS($AO$1006:AV1006),$AO$1006:$BQ$1006,0)), HYPERLINK("#",""), HYPERLINK(CONCATENATE("#Metadata!", ADDRESS(INDEX($AJ$2:$AJ$1001,MATCH(ROWS($AH$2:AH712),$AH$2:$AH$1001,0),0), INDEX($AO$1004:$BQ$1004,1,MATCH(COLUMNS($AO$1006:AV1006),$AO$1006:$BQ$1006,0)))),"Fix")))</f>
        <v>#N/A</v>
      </c>
      <c r="J712" s="5" t="e">
        <f ca="1">IF(OR(INDEX($AI$2:$AI$1001,MATCH(ROWS($AH$2:AH712),$AH$2:$AH$1001,0),1)&gt;=100000,INDEX($AO$1005:$BQ$1005,1,MATCH(COLUMNS($AO$1006:AW1006),$AO$1006:$BQ$1006,0))&gt;=100000), " ",IF(INDEX($AO$2:$BQ$1001,MATCH(ROWS($AH$2:AH712),$AH$2:$AH$1001,0),MATCH(COLUMNS($AO$1006:AW1006),$AO$1006:$BQ$1006,0)), HYPERLINK("#",""), HYPERLINK(CONCATENATE("#Metadata!", ADDRESS(INDEX($AJ$2:$AJ$1001,MATCH(ROWS($AH$2:AH712),$AH$2:$AH$1001,0),0), INDEX($AO$1004:$BQ$1004,1,MATCH(COLUMNS($AO$1006:AW1006),$AO$1006:$BQ$1006,0)))),"Fix")))</f>
        <v>#N/A</v>
      </c>
      <c r="K712" s="5" t="e">
        <f ca="1">IF(OR(INDEX($AI$2:$AI$1001,MATCH(ROWS($AH$2:AH712),$AH$2:$AH$1001,0),1)&gt;=100000,INDEX($AO$1005:$BQ$1005,1,MATCH(COLUMNS($AO$1006:AX1006),$AO$1006:$BQ$1006,0))&gt;=100000), " ",IF(INDEX($AO$2:$BQ$1001,MATCH(ROWS($AH$2:AH712),$AH$2:$AH$1001,0),MATCH(COLUMNS($AO$1006:AX1006),$AO$1006:$BQ$1006,0)), HYPERLINK("#",""), HYPERLINK(CONCATENATE("#Metadata!", ADDRESS(INDEX($AJ$2:$AJ$1001,MATCH(ROWS($AH$2:AH712),$AH$2:$AH$1001,0),0), INDEX($AO$1004:$BQ$1004,1,MATCH(COLUMNS($AO$1006:AX1006),$AO$1006:$BQ$1006,0)))),"Fix")))</f>
        <v>#N/A</v>
      </c>
      <c r="L712" s="5" t="e">
        <f ca="1">IF(OR(INDEX($AI$2:$AI$1001,MATCH(ROWS($AH$2:AH712),$AH$2:$AH$1001,0),1)&gt;=100000,INDEX($AO$1005:$BQ$1005,1,MATCH(COLUMNS($AO$1006:AY1006),$AO$1006:$BQ$1006,0))&gt;=100000), " ",IF(INDEX($AO$2:$BQ$1001,MATCH(ROWS($AH$2:AH712),$AH$2:$AH$1001,0),MATCH(COLUMNS($AO$1006:AY1006),$AO$1006:$BQ$1006,0)), HYPERLINK("#",""), HYPERLINK(CONCATENATE("#Metadata!", ADDRESS(INDEX($AJ$2:$AJ$1001,MATCH(ROWS($AH$2:AH712),$AH$2:$AH$1001,0),0), INDEX($AO$1004:$BQ$1004,1,MATCH(COLUMNS($AO$1006:AY1006),$AO$1006:$BQ$1006,0)))),"Fix")))</f>
        <v>#N/A</v>
      </c>
      <c r="M712" s="5" t="e">
        <f ca="1">IF(OR(INDEX($AI$2:$AI$1001,MATCH(ROWS($AH$2:AH712),$AH$2:$AH$1001,0),1)&gt;=100000,INDEX($AO$1005:$BQ$1005,1,MATCH(COLUMNS($AO$1006:AZ1006),$AO$1006:$BQ$1006,0))&gt;=100000), " ",IF(INDEX($AO$2:$BQ$1001,MATCH(ROWS($AH$2:AH712),$AH$2:$AH$1001,0),MATCH(COLUMNS($AO$1006:AZ1006),$AO$1006:$BQ$1006,0)), HYPERLINK("#",""), HYPERLINK(CONCATENATE("#Metadata!", ADDRESS(INDEX($AJ$2:$AJ$1001,MATCH(ROWS($AH$2:AH712),$AH$2:$AH$1001,0),0), INDEX($AO$1004:$BQ$1004,1,MATCH(COLUMNS($AO$1006:AZ1006),$AO$1006:$BQ$1006,0)))),"Fix")))</f>
        <v>#N/A</v>
      </c>
      <c r="N712" s="5" t="e">
        <f ca="1">IF(OR(INDEX($AI$2:$AI$1001,MATCH(ROWS($AH$2:AH712),$AH$2:$AH$1001,0),1)&gt;=100000,INDEX($AO$1005:$BQ$1005,1,MATCH(COLUMNS($AO$1006:BA1006),$AO$1006:$BQ$1006,0))&gt;=100000), " ",IF(INDEX($AO$2:$BQ$1001,MATCH(ROWS($AH$2:AH712),$AH$2:$AH$1001,0),MATCH(COLUMNS($AO$1006:BA1006),$AO$1006:$BQ$1006,0)), HYPERLINK("#",""), HYPERLINK(CONCATENATE("#Metadata!", ADDRESS(INDEX($AJ$2:$AJ$1001,MATCH(ROWS($AH$2:AH712),$AH$2:$AH$1001,0),0), INDEX($AO$1004:$BQ$1004,1,MATCH(COLUMNS($AO$1006:BA1006),$AO$1006:$BQ$1006,0)))),"Fix")))</f>
        <v>#N/A</v>
      </c>
      <c r="O712" s="5" t="e">
        <f ca="1">IF(OR(INDEX($AI$2:$AI$1001,MATCH(ROWS($AH$2:AH712),$AH$2:$AH$1001,0),1)&gt;=100000,INDEX($AO$1005:$BQ$1005,1,MATCH(COLUMNS($AO$1006:BB1006),$AO$1006:$BQ$1006,0))&gt;=100000), " ",IF(INDEX($AO$2:$BQ$1001,MATCH(ROWS($AH$2:AH712),$AH$2:$AH$1001,0),MATCH(COLUMNS($AO$1006:BB1006),$AO$1006:$BQ$1006,0)), HYPERLINK("#",""), HYPERLINK(CONCATENATE("#Metadata!", ADDRESS(INDEX($AJ$2:$AJ$1001,MATCH(ROWS($AH$2:AH712),$AH$2:$AH$1001,0),0), INDEX($AO$1004:$BQ$1004,1,MATCH(COLUMNS($AO$1006:BB1006),$AO$1006:$BQ$1006,0)))),"Fix")))</f>
        <v>#N/A</v>
      </c>
      <c r="P712" s="5" t="e">
        <f ca="1">IF(OR(INDEX($AI$2:$AI$1001,MATCH(ROWS($AH$2:AH712),$AH$2:$AH$1001,0),1)&gt;=100000,INDEX($AO$1005:$BQ$1005,1,MATCH(COLUMNS($AO$1006:BC1006),$AO$1006:$BQ$1006,0))&gt;=100000), " ",IF(INDEX($AO$2:$BQ$1001,MATCH(ROWS($AH$2:AH712),$AH$2:$AH$1001,0),MATCH(COLUMNS($AO$1006:BC1006),$AO$1006:$BQ$1006,0)), HYPERLINK("#",""), HYPERLINK(CONCATENATE("#Metadata!", ADDRESS(INDEX($AJ$2:$AJ$1001,MATCH(ROWS($AH$2:AH712),$AH$2:$AH$1001,0),0), INDEX($AO$1004:$BQ$1004,1,MATCH(COLUMNS($AO$1006:BC1006),$AO$1006:$BQ$1006,0)))),"Fix")))</f>
        <v>#N/A</v>
      </c>
      <c r="Q712" s="5" t="e">
        <f ca="1">IF(OR(INDEX($AI$2:$AI$1001,MATCH(ROWS($AH$2:AH712),$AH$2:$AH$1001,0),1)&gt;=100000,INDEX($AO$1005:$BQ$1005,1,MATCH(COLUMNS($AO$1006:BD1006),$AO$1006:$BQ$1006,0))&gt;=100000), " ",IF(INDEX($AO$2:$BQ$1001,MATCH(ROWS($AH$2:AH712),$AH$2:$AH$1001,0),MATCH(COLUMNS($AO$1006:BD1006),$AO$1006:$BQ$1006,0)), HYPERLINK("#",""), HYPERLINK(CONCATENATE("#Metadata!", ADDRESS(INDEX($AJ$2:$AJ$1001,MATCH(ROWS($AH$2:AH712),$AH$2:$AH$1001,0),0), INDEX($AO$1004:$BQ$1004,1,MATCH(COLUMNS($AO$1006:BD1006),$AO$1006:$BQ$1006,0)))),"Fix")))</f>
        <v>#N/A</v>
      </c>
      <c r="R712" s="5" t="e">
        <f ca="1">IF(OR(INDEX($AI$2:$AI$1001,MATCH(ROWS($AH$2:AH712),$AH$2:$AH$1001,0),1)&gt;=100000,INDEX($AO$1005:$BQ$1005,1,MATCH(COLUMNS($AO$1006:BE1006),$AO$1006:$BQ$1006,0))&gt;=100000), " ",IF(INDEX($AO$2:$BQ$1001,MATCH(ROWS($AH$2:AH712),$AH$2:$AH$1001,0),MATCH(COLUMNS($AO$1006:BE1006),$AO$1006:$BQ$1006,0)), HYPERLINK("#",""), HYPERLINK(CONCATENATE("#Metadata!", ADDRESS(INDEX($AJ$2:$AJ$1001,MATCH(ROWS($AH$2:AH712),$AH$2:$AH$1001,0),0), INDEX($AO$1004:$BQ$1004,1,MATCH(COLUMNS($AO$1006:BE1006),$AO$1006:$BQ$1006,0)))),"Fix")))</f>
        <v>#N/A</v>
      </c>
      <c r="S712" s="5" t="e">
        <f ca="1">IF(OR(INDEX($AI$2:$AI$1001,MATCH(ROWS($AH$2:AH712),$AH$2:$AH$1001,0),1)&gt;=100000,INDEX($AO$1005:$BQ$1005,1,MATCH(COLUMNS($AO$1006:BF1006),$AO$1006:$BQ$1006,0))&gt;=100000), " ",IF(INDEX($AO$2:$BQ$1001,MATCH(ROWS($AH$2:AH712),$AH$2:$AH$1001,0),MATCH(COLUMNS($AO$1006:BF1006),$AO$1006:$BQ$1006,0)), HYPERLINK("#",""), HYPERLINK(CONCATENATE("#Metadata!", ADDRESS(INDEX($AJ$2:$AJ$1001,MATCH(ROWS($AH$2:AH712),$AH$2:$AH$1001,0),0), INDEX($AO$1004:$BQ$1004,1,MATCH(COLUMNS($AO$1006:BF1006),$AO$1006:$BQ$1006,0)))),"Fix")))</f>
        <v>#N/A</v>
      </c>
      <c r="T712" s="5" t="e">
        <f ca="1">IF(OR(INDEX($AI$2:$AI$1001,MATCH(ROWS($AH$2:AH712),$AH$2:$AH$1001,0),1)&gt;=100000,INDEX($AO$1005:$BQ$1005,1,MATCH(COLUMNS($AO$1006:BG1006),$AO$1006:$BQ$1006,0))&gt;=100000), " ",IF(INDEX($AO$2:$BQ$1001,MATCH(ROWS($AH$2:AH712),$AH$2:$AH$1001,0),MATCH(COLUMNS($AO$1006:BG1006),$AO$1006:$BQ$1006,0)), HYPERLINK("#",""), HYPERLINK(CONCATENATE("#Metadata!", ADDRESS(INDEX($AJ$2:$AJ$1001,MATCH(ROWS($AH$2:AH712),$AH$2:$AH$1001,0),0), INDEX($AO$1004:$BQ$1004,1,MATCH(COLUMNS($AO$1006:BG1006),$AO$1006:$BQ$1006,0)))),"Fix")))</f>
        <v>#N/A</v>
      </c>
      <c r="U712" s="5" t="e">
        <f ca="1">IF(OR(INDEX($AI$2:$AI$1001,MATCH(ROWS($AH$2:AH712),$AH$2:$AH$1001,0),1)&gt;=100000,INDEX($AO$1005:$BQ$1005,1,MATCH(COLUMNS($AO$1006:BH1006),$AO$1006:$BQ$1006,0))&gt;=100000), " ",IF(INDEX($AO$2:$BQ$1001,MATCH(ROWS($AH$2:AH712),$AH$2:$AH$1001,0),MATCH(COLUMNS($AO$1006:BH1006),$AO$1006:$BQ$1006,0)), HYPERLINK("#",""), HYPERLINK(CONCATENATE("#Metadata!", ADDRESS(INDEX($AJ$2:$AJ$1001,MATCH(ROWS($AH$2:AH712),$AH$2:$AH$1001,0),0), INDEX($AO$1004:$BQ$1004,1,MATCH(COLUMNS($AO$1006:BH1006),$AO$1006:$BQ$1006,0)))),"Fix")))</f>
        <v>#N/A</v>
      </c>
      <c r="V712" s="5" t="e">
        <f ca="1">IF(OR(INDEX($AI$2:$AI$1001,MATCH(ROWS($AH$2:AH712),$AH$2:$AH$1001,0),1)&gt;=100000,INDEX($AO$1005:$BQ$1005,1,MATCH(COLUMNS($AO$1006:BI1006),$AO$1006:$BQ$1006,0))&gt;=100000), " ",IF(INDEX($AO$2:$BQ$1001,MATCH(ROWS($AH$2:AH712),$AH$2:$AH$1001,0),MATCH(COLUMNS($AO$1006:BI1006),$AO$1006:$BQ$1006,0)), HYPERLINK("#",""), HYPERLINK(CONCATENATE("#Metadata!", ADDRESS(INDEX($AJ$2:$AJ$1001,MATCH(ROWS($AH$2:AH712),$AH$2:$AH$1001,0),0), INDEX($AO$1004:$BQ$1004,1,MATCH(COLUMNS($AO$1006:BI1006),$AO$1006:$BQ$1006,0)))),"Fix")))</f>
        <v>#N/A</v>
      </c>
      <c r="W712" s="5" t="e">
        <f ca="1">IF(OR(INDEX($AI$2:$AI$1001,MATCH(ROWS($AH$2:AH712),$AH$2:$AH$1001,0),1)&gt;=100000,INDEX($AO$1005:$BQ$1005,1,MATCH(COLUMNS($AO$1006:BJ1006),$AO$1006:$BQ$1006,0))&gt;=100000), " ",IF(INDEX($AO$2:$BQ$1001,MATCH(ROWS($AH$2:AH712),$AH$2:$AH$1001,0),MATCH(COLUMNS($AO$1006:BJ1006),$AO$1006:$BQ$1006,0)), HYPERLINK("#",""), HYPERLINK(CONCATENATE("#Metadata!", ADDRESS(INDEX($AJ$2:$AJ$1001,MATCH(ROWS($AH$2:AH712),$AH$2:$AH$1001,0),0), INDEX($AO$1004:$BQ$1004,1,MATCH(COLUMNS($AO$1006:BJ1006),$AO$1006:$BQ$1006,0)))),"Fix")))</f>
        <v>#N/A</v>
      </c>
      <c r="X712" s="5" t="e">
        <f ca="1">IF(OR(INDEX($AI$2:$AI$1001,MATCH(ROWS($AH$2:AH712),$AH$2:$AH$1001,0),1)&gt;=100000,INDEX($AO$1005:$BQ$1005,1,MATCH(COLUMNS($AO$1006:BK1006),$AO$1006:$BQ$1006,0))&gt;=100000), " ",IF(INDEX($AO$2:$BQ$1001,MATCH(ROWS($AH$2:AH712),$AH$2:$AH$1001,0),MATCH(COLUMNS($AO$1006:BK1006),$AO$1006:$BQ$1006,0)), HYPERLINK("#",""), HYPERLINK(CONCATENATE("#Metadata!", ADDRESS(INDEX($AJ$2:$AJ$1001,MATCH(ROWS($AH$2:AH712),$AH$2:$AH$1001,0),0), INDEX($AO$1004:$BQ$1004,1,MATCH(COLUMNS($AO$1006:BK1006),$AO$1006:$BQ$1006,0)))),"Fix")))</f>
        <v>#N/A</v>
      </c>
      <c r="Y712" s="5" t="e">
        <f ca="1">IF(OR(INDEX($AI$2:$AI$1001,MATCH(ROWS($AH$2:AH712),$AH$2:$AH$1001,0),1)&gt;=100000,INDEX($AO$1005:$BQ$1005,1,MATCH(COLUMNS($AO$1006:BL1006),$AO$1006:$BQ$1006,0))&gt;=100000), " ",IF(INDEX($AO$2:$BQ$1001,MATCH(ROWS($AH$2:AH712),$AH$2:$AH$1001,0),MATCH(COLUMNS($AO$1006:BL1006),$AO$1006:$BQ$1006,0)), HYPERLINK("#",""), HYPERLINK(CONCATENATE("#Metadata!", ADDRESS(INDEX($AJ$2:$AJ$1001,MATCH(ROWS($AH$2:AH712),$AH$2:$AH$1001,0),0), INDEX($AO$1004:$BQ$1004,1,MATCH(COLUMNS($AO$1006:BL1006),$AO$1006:$BQ$1006,0)))),"Fix")))</f>
        <v>#N/A</v>
      </c>
      <c r="Z712" s="5" t="e">
        <f ca="1">IF(OR(INDEX($AI$2:$AI$1001,MATCH(ROWS($AH$2:AH712),$AH$2:$AH$1001,0),1)&gt;=100000,INDEX($AO$1005:$BQ$1005,1,MATCH(COLUMNS($AO$1006:BM1006),$AO$1006:$BQ$1006,0))&gt;=100000), " ",IF(INDEX($AO$2:$BQ$1001,MATCH(ROWS($AH$2:AH712),$AH$2:$AH$1001,0),MATCH(COLUMNS($AO$1006:BM1006),$AO$1006:$BQ$1006,0)), HYPERLINK("#",""), HYPERLINK(CONCATENATE("#Metadata!", ADDRESS(INDEX($AJ$2:$AJ$1001,MATCH(ROWS($AH$2:AH712),$AH$2:$AH$1001,0),0), INDEX($AO$1004:$BQ$1004,1,MATCH(COLUMNS($AO$1006:BM1006),$AO$1006:$BQ$1006,0)))),"Fix")))</f>
        <v>#N/A</v>
      </c>
      <c r="AA712" s="5" t="e">
        <f ca="1">IF(OR(INDEX($AI$2:$AI$1001,MATCH(ROWS($AH$2:AH712),$AH$2:$AH$1001,0),1)&gt;=100000,INDEX($AO$1005:$BQ$1005,1,MATCH(COLUMNS($AO$1006:BN1006),$AO$1006:$BQ$1006,0))&gt;=100000), " ",IF(INDEX($AO$2:$BQ$1001,MATCH(ROWS($AH$2:AH712),$AH$2:$AH$1001,0),MATCH(COLUMNS($AO$1006:BN1006),$AO$1006:$BQ$1006,0)), HYPERLINK("#",""), HYPERLINK(CONCATENATE("#Metadata!", ADDRESS(INDEX($AJ$2:$AJ$1001,MATCH(ROWS($AH$2:AH712),$AH$2:$AH$1001,0),0), INDEX($AO$1004:$BQ$1004,1,MATCH(COLUMNS($AO$1006:BN1006),$AO$1006:$BQ$1006,0)))),"Fix")))</f>
        <v>#N/A</v>
      </c>
      <c r="AB712" s="5" t="e">
        <f ca="1">IF(OR(INDEX($AI$2:$AI$1001,MATCH(ROWS($AH$2:AH712),$AH$2:$AH$1001,0),1)&gt;=100000,INDEX($AO$1005:$BQ$1005,1,MATCH(COLUMNS($AO$1006:BO1006),$AO$1006:$BQ$1006,0))&gt;=100000), " ",IF(INDEX($AO$2:$BQ$1001,MATCH(ROWS($AH$2:AH712),$AH$2:$AH$1001,0),MATCH(COLUMNS($AO$1006:BO1006),$AO$1006:$BQ$1006,0)), HYPERLINK("#",""), HYPERLINK(CONCATENATE("#Metadata!", ADDRESS(INDEX($AJ$2:$AJ$1001,MATCH(ROWS($AH$2:AH712),$AH$2:$AH$1001,0),0), INDEX($AO$1004:$BQ$1004,1,MATCH(COLUMNS($AO$1006:BO1006),$AO$1006:$BQ$1006,0)))),"Fix")))</f>
        <v>#N/A</v>
      </c>
      <c r="AC712" s="5" t="e">
        <f ca="1">IF(OR(INDEX($AI$2:$AI$1001,MATCH(ROWS($AH$2:AH712),$AH$2:$AH$1001,0),1)&gt;=100000,INDEX($AO$1005:$BQ$1005,1,MATCH(COLUMNS($AO$1006:BP1006),$AO$1006:$BQ$1006,0))&gt;=100000), " ",IF(INDEX($AO$2:$BQ$1001,MATCH(ROWS($AH$2:AH712),$AH$2:$AH$1001,0),MATCH(COLUMNS($AO$1006:BP1006),$AO$1006:$BQ$1006,0)), HYPERLINK("#",""), HYPERLINK(CONCATENATE("#Metadata!", ADDRESS(INDEX($AJ$2:$AJ$1001,MATCH(ROWS($AH$2:AH712),$AH$2:$AH$1001,0),0), INDEX($AO$1004:$BQ$1004,1,MATCH(COLUMNS($AO$1006:BP1006),$AO$1006:$BQ$1006,0)))),"Fix")))</f>
        <v>#N/A</v>
      </c>
      <c r="AD712" s="5" t="e">
        <f ca="1">IF(OR(INDEX($AI$2:$AI$1001,MATCH(ROWS($AH$2:AH712),$AH$2:$AH$1001,0),1)&gt;=100000,INDEX($AO$1005:$BQ$1005,1,MATCH(COLUMNS($AO$1006:BQ1006),$AO$1006:$BQ$1006,0))&gt;=100000), " ",IF(INDEX($AO$2:$BQ$1001,MATCH(ROWS($AH$2:AH712),$AH$2:$AH$1001,0),MATCH(COLUMNS($AO$1006:BQ1006),$AO$1006:$BQ$1006,0)), HYPERLINK("#",""), HYPERLINK(CONCATENATE("#Metadata!", ADDRESS(INDEX($AJ$2:$AJ$1001,MATCH(ROWS($AH$2:AH712),$AH$2:$AH$1001,0),0), INDEX($AO$1004:$BQ$1004,1,MATCH(COLUMNS($AO$1006:BQ1006),$AO$1006:$BQ$1006,0)))),"Fix")))</f>
        <v>#REF!</v>
      </c>
      <c r="AH712">
        <f ca="1"/>
        <v>709</v>
      </c>
      <c r="AI712">
        <v>100712</v>
      </c>
      <c r="AJ712">
        <v>712</v>
      </c>
      <c r="AK712" t="b">
        <f t="shared" si="11"/>
        <v>1</v>
      </c>
      <c r="AL712" t="b">
        <f>COUNTBLANK(Metadata!B712:AD712)=COLUMNS(Metadata!B712:AD712)</f>
        <v>1</v>
      </c>
      <c r="AM712" t="str">
        <v/>
      </c>
      <c r="AO712" t="b">
        <f ca="1">AND(IF(Metadata!B712="",FALSE,TRUE),COUNTIF(Metadata!B:B, Metadata!B712) = 1,NOT(ISERROR(SUMPRODUCT(SEARCH(MID(Metadata!B712,ROW(INDIRECT("1:"&amp;LEN(Metadata!B712))), 1),"0123456789abcdefghijklmnopqrstuvwxyzABCDEFGHIJKLMNOPQRSTUVWXYZ.")))))</f>
        <v>0</v>
      </c>
      <c r="AP712" t="b">
        <f>IF(Metadata!C712="",FALSE,TRUE)</f>
        <v>0</v>
      </c>
      <c r="AQ712" t="b">
        <f>IF(Metadata!D712="",FALSE,TRUE)</f>
        <v>0</v>
      </c>
      <c r="AR712" t="b">
        <f ca="1">OR(AND(IF(Metadata!E712="",FALSE,TRUE),OR(EXACT(Metadata!E712,"not collected"),EXACT(Metadata!E712,"not provided"),EXACT(Metadata!E712,"restricted access"))),AND(IF(Metadata!E712="",FALSE,TRUE),AND(AND(IFERROR(INT(LEFT(Metadata!E712,4))&gt;1900,FALSE),IFERROR(INT(LEFT(Metadata!E712,4))&lt;=YEAR(NOW()),FALSE)), OR(MID(Metadata!E712,5,1)="", AND(AND(MID(Metadata!E712,5,1)="-",IFERROR(INT(MID(Metadata!E712,6,1))&gt;=0,FALSE),IFERROR(INT(MID(Metadata!E712,6,1))&lt;=1,FALSE),NOT(MID(Metadata!E712,7,1)=""),IFERROR(INT(MID(Metadata!E712,6,2))&gt;=1,FALSE),IFERROR(INT(MID(Metadata!E712,6,2))&lt;=12,FALSE)), OR(MID(Metadata!E712,8,1)="", AND(AND(MID(Metadata!E712,8,1)="-",IFERROR(INT(MID(Metadata!E712,9,1))&gt;=0,FALSE),IFERROR(INT(MID(Metadata!E712,9,1))&lt;=3,FALSE),NOT(MID(Metadata!E712,10,1)=""),IFERROR(INT(MID(Metadata!E712,9,2))&gt;=1,FALSE),IFERROR(INT(MID(Metadata!E712,9,2))&lt;=31,FALSE)), OR(MID(Metadata!E712,11,1)="", AND(AND(MID(Metadata!E712,11,1)=" ",IFERROR(INT(MID(Metadata!E712,12,1))&gt;=0,FALSE),IFERROR(INT(MID(Metadata!E712,12,1))&lt;=2,FALSE),NOT(MID(Metadata!E712,13,1)=""),IFERROR(INT(MID(Metadata!E712,12,2))&gt;=0,FALSE),IFERROR(INT(MID(Metadata!E712,12,2))&lt;=23,FALSE)), OR(MID(Metadata!E712,14,1)="", AND(AND(MID(Metadata!E712,14,1)=":",IFERROR(INT(MID(Metadata!E712,15,1))&gt;=0,FALSE),IFERROR(INT(MID(Metadata!E712,15,1))&lt;=5,FALSE),NOT(MID(Metadata!E712,16,1)=""),IFERROR(INT(MID(Metadata!E712,15,2))&gt;=0,FALSE),IFERROR(INT(MID(Metadata!E712,15,2))&lt;=59,FALSE)), OR(MID(Metadata!E712,17,1)="", AND(AND(MID(Metadata!E712,17,1)=":",IFERROR(INT(MID(Metadata!E712,18,1))&gt;=0,FALSE),IFERROR(INT(MID(Metadata!E712,18,1))&lt;=5,FALSE),NOT(MID(Metadata!E712,19,1)=""),IFERROR(INT(MID(Metadata!E712,18,2))&gt;=0,FALSE),IFERROR(INT(MID(Metadata!E712,18,2))&lt;=59,FALSE)), LEN(Metadata!E712)&lt;=19)))))))))))))</f>
        <v>0</v>
      </c>
      <c r="AS712" t="b">
        <f>IF(Metadata!F712="",FALSE,TRUE)</f>
        <v>0</v>
      </c>
      <c r="AT712" t="b">
        <f>OR(AND(IF(Metadata!G712="",FALSE,TRUE),OR(EXACT(Metadata!G712,"not collected"),EXACT(Metadata!G712,"not provided"))),AND(IF(Metadata!G712="",FALSE,TRUE),OR(EXACT(Metadata!G712,"TRUE"),EXACT(Metadata!G712,"FALSE"))))</f>
        <v>0</v>
      </c>
      <c r="AU712" t="b">
        <f>OR(AND(IF(Metadata!H712="",FALSE,TRUE),OR(EXACT(Metadata!H712,"not collected"),EXACT(Metadata!H712,"not provided"),EXACT(Metadata!H712,"restricted access"))),AND(IF(Metadata!H712="",FALSE,ISNUMBER(VALUE(Metadata!H712))),Metadata!H712&gt;=-413))</f>
        <v>0</v>
      </c>
      <c r="AV712" t="b">
        <f>AND(IF(Metadata!I712="",FALSE,TRUE),EXACT(Metadata!I712,"meters"))</f>
        <v>0</v>
      </c>
      <c r="AW712" t="b">
        <f>AND(IF(Metadata!J712="",FALSE,TRUE),EXACT(Metadata!J712,"free-living"))</f>
        <v>0</v>
      </c>
      <c r="AX712" t="b">
        <f>AND(IF(Metadata!K712="",FALSE,TRUE),OR(EXACT(Metadata!K712,"saline"),EXACT(Metadata!K712,"non-saline")))</f>
        <v>0</v>
      </c>
      <c r="AY712" t="b">
        <f>AND(IF(Metadata!L712="",FALSE,TRUE),OR(EXACT(Metadata!L712,"sub-surface (non-saline)"),EXACT(Metadata!L712,"surface (non-saline)"),EXACT(Metadata!L712,"water (non-saline)"),EXACT(Metadata!L712,"soil (non-saline)"),EXACT(Metadata!L712,"aerosol (non-saline)"),EXACT(Metadata!L712,"sediment (non-saline)"),EXACT(Metadata!L712,"surface (saline)"),EXACT(Metadata!L712,"water (saline)"),EXACT(Metadata!L712,"hypersaline (saline)"),EXACT(Metadata!L712,"aerosol (saline)"),EXACT(Metadata!L712,"sediment (saline)")))</f>
        <v>0</v>
      </c>
      <c r="AZ712" t="b">
        <f>IF(Metadata!M712="",FALSE,TRUE)</f>
        <v>0</v>
      </c>
      <c r="BA712" t="b">
        <f>IF(Metadata!N712="",FALSE,TRUE)</f>
        <v>0</v>
      </c>
      <c r="BB712" t="b">
        <f>IF(Metadata!O712="",FALSE,TRUE)</f>
        <v>0</v>
      </c>
      <c r="BC712" t="b">
        <f>AND(IF(Metadata!P712="",FALSE,TRUE),OR(EXACT(Metadata!P712,"air"),EXACT(Metadata!P712,"microbial mat/biofilm"),EXACT(Metadata!P712,"misc environment"),EXACT(Metadata!P712,"sediment"),EXACT(Metadata!P712,"soil"),EXACT(Metadata!P712,"wastewater/sludge"),EXACT(Metadata!P712,"water")))</f>
        <v>0</v>
      </c>
      <c r="BD712" t="b">
        <f>IF(Metadata!Q712="",FALSE,TRUE)</f>
        <v>0</v>
      </c>
      <c r="BE712" t="b">
        <f>IF(Metadata!R712="",FALSE,TRUE)</f>
        <v>0</v>
      </c>
      <c r="BF712" t="b">
        <f>OR(AND(IF(Metadata!S712="",FALSE,TRUE),OR(EXACT(Metadata!S712,"not collected"),EXACT(Metadata!S712,"not provided"),EXACT(Metadata!S712,"restricted access"))),AND(IF(Metadata!S712="",FALSE,ISNUMBER(VALUE(Metadata!S712))),Metadata!S712&gt;=-90,Metadata!S712&lt;=90))</f>
        <v>0</v>
      </c>
      <c r="BG712" t="b">
        <f>AND(IF(Metadata!T712="",FALSE,TRUE),EXACT(Metadata!T712,"Decimal degrees"))</f>
        <v>0</v>
      </c>
      <c r="BH712" t="b">
        <f>OR(AND(IF(Metadata!U712="",FALSE,TRUE),OR(EXACT(Metadata!U712,"not applicable"),EXACT(Metadata!U712,"not collected"))),IF(Metadata!U712="",FALSE,TRUE))</f>
        <v>0</v>
      </c>
      <c r="BI712" t="b">
        <f>OR(AND(IF(Metadata!V712="",FALSE,TRUE),OR(EXACT(Metadata!V712,"not collected"),EXACT(Metadata!V712,"not provided"),EXACT(Metadata!V712,"restricted access"))),AND(IF(Metadata!V712="",FALSE,ISNUMBER(VALUE(Metadata!V712))),Metadata!V712&gt;=-180,Metadata!V712&lt;=180))</f>
        <v>0</v>
      </c>
      <c r="BJ712" t="b">
        <f>AND(IF(Metadata!W712="",FALSE,TRUE),EXACT(Metadata!W712,"Decimal degrees"))</f>
        <v>0</v>
      </c>
      <c r="BK712" t="b">
        <f>IF(Metadata!X712="",FALSE,TRUE)</f>
        <v>0</v>
      </c>
      <c r="BL712" t="b">
        <f>OR(AND(IF(Metadata!Y712="",FALSE,TRUE),OR(EXACT(Metadata!Y712,"not collected"),EXACT(Metadata!Y712,"not provided"),EXACT(Metadata!Y712,"restricted access"))),AND(IF(Metadata!Y712="",FALSE,TRUE),OR(EXACT(Metadata!Y712,"TRUE"),EXACT(Metadata!Y712,"FALSE"))))</f>
        <v>0</v>
      </c>
      <c r="BM712" t="b">
        <f>OR(AND(IF(Metadata!Z712="",FALSE,TRUE),EXACT(Metadata!Z712,"not applicable")),AND(IF(Metadata!Z712="",FALSE,TRUE),OR(EXACT(Metadata!Z712,"beer"),EXACT(Metadata!Z712,"cheese"),EXACT(Metadata!Z712,"fresh water"),EXACT(Metadata!Z712,"marine sediment"),EXACT(Metadata!Z712,"sea water"),EXACT(Metadata!Z712,"sediment"),EXACT(Metadata!Z712,"soil"),EXACT(Metadata!Z712,"waste water"))))</f>
        <v>0</v>
      </c>
      <c r="BN712" t="b">
        <f>AND(IF(Metadata!AA712="",FALSE,TRUE),EXACT(Metadata!AA712,"metagenome"))</f>
        <v>0</v>
      </c>
      <c r="BO712" t="b">
        <f>AND(IF(Metadata!AB712="",FALSE,TRUE),EXACT(Metadata!AB712,"256318"))</f>
        <v>0</v>
      </c>
      <c r="BP712" t="b">
        <f>IF(Metadata!AC712="",FALSE,TRUE)</f>
        <v>0</v>
      </c>
      <c r="BQ712" t="b">
        <f>IF(Metadata!AD712="",FALSE,TRUE)</f>
        <v>0</v>
      </c>
    </row>
    <row r="713" spans="1:69" x14ac:dyDescent="0.2">
      <c r="A713" s="4" t="e">
        <f ca="1">IF(B713=" "," ",HYPERLINK(CONCATENATE("#metadata!",ADDRESS(INDEX($AJ$2:$AJ$1001,MATCH(ROWS($AH$2:AH713),$AH$2:$AH$1001,0),0),2)),INDEX($AM$2:$AM$1001,MATCH(ROWS($AH$2:AH713),$AH$2:$AH$1001,0),0)))</f>
        <v>#N/A</v>
      </c>
      <c r="B713" s="5" t="e">
        <f ca="1">IF(OR(INDEX($AI$2:$AI$1001,MATCH(ROWS($AH$2:AH713),$AH$2:$AH$1001,0),1)&gt;=100000,INDEX($AO$1005:$BQ$1005,1,MATCH(COLUMNS($AO$1006:AO1006),$AO$1006:$BQ$1006,0))&gt;=100000), " ",IF(INDEX($AO$2:$BQ$1001,MATCH(ROWS($AH$2:AH713),$AH$2:$AH$1001,0),MATCH(COLUMNS($AO$1006:AO1006),$AO$1006:$BQ$1006,0)), HYPERLINK("#",""), HYPERLINK(CONCATENATE("#Metadata!", ADDRESS(INDEX($AJ$2:$AJ$1001,MATCH(ROWS($AH$2:AH713),$AH$2:$AH$1001,0),0), INDEX($AO$1004:$BQ$1004,1,MATCH(COLUMNS($AO$1006:AO1006),$AO$1006:$BQ$1006,0)))),"Fix")))</f>
        <v>#N/A</v>
      </c>
      <c r="C713" s="5" t="e">
        <f ca="1">IF(OR(INDEX($AI$2:$AI$1001,MATCH(ROWS($AH$2:AH713),$AH$2:$AH$1001,0),1)&gt;=100000,INDEX($AO$1005:$BQ$1005,1,MATCH(COLUMNS($AO$1006:AP1006),$AO$1006:$BQ$1006,0))&gt;=100000), " ",IF(INDEX($AO$2:$BQ$1001,MATCH(ROWS($AH$2:AH713),$AH$2:$AH$1001,0),MATCH(COLUMNS($AO$1006:AP1006),$AO$1006:$BQ$1006,0)), HYPERLINK("#",""), HYPERLINK(CONCATENATE("#Metadata!", ADDRESS(INDEX($AJ$2:$AJ$1001,MATCH(ROWS($AH$2:AH713),$AH$2:$AH$1001,0),0), INDEX($AO$1004:$BQ$1004,1,MATCH(COLUMNS($AO$1006:AP1006),$AO$1006:$BQ$1006,0)))),"Fix")))</f>
        <v>#N/A</v>
      </c>
      <c r="D713" s="5" t="e">
        <f ca="1">IF(OR(INDEX($AI$2:$AI$1001,MATCH(ROWS($AH$2:AH713),$AH$2:$AH$1001,0),1)&gt;=100000,INDEX($AO$1005:$BQ$1005,1,MATCH(COLUMNS($AO$1006:AQ1006),$AO$1006:$BQ$1006,0))&gt;=100000), " ",IF(INDEX($AO$2:$BQ$1001,MATCH(ROWS($AH$2:AH713),$AH$2:$AH$1001,0),MATCH(COLUMNS($AO$1006:AQ1006),$AO$1006:$BQ$1006,0)), HYPERLINK("#",""), HYPERLINK(CONCATENATE("#Metadata!", ADDRESS(INDEX($AJ$2:$AJ$1001,MATCH(ROWS($AH$2:AH713),$AH$2:$AH$1001,0),0), INDEX($AO$1004:$BQ$1004,1,MATCH(COLUMNS($AO$1006:AQ1006),$AO$1006:$BQ$1006,0)))),"Fix")))</f>
        <v>#N/A</v>
      </c>
      <c r="E713" s="5" t="e">
        <f ca="1">IF(OR(INDEX($AI$2:$AI$1001,MATCH(ROWS($AH$2:AH713),$AH$2:$AH$1001,0),1)&gt;=100000,INDEX($AO$1005:$BQ$1005,1,MATCH(COLUMNS($AO$1006:AR1006),$AO$1006:$BQ$1006,0))&gt;=100000), " ",IF(INDEX($AO$2:$BQ$1001,MATCH(ROWS($AH$2:AH713),$AH$2:$AH$1001,0),MATCH(COLUMNS($AO$1006:AR1006),$AO$1006:$BQ$1006,0)), HYPERLINK("#",""), HYPERLINK(CONCATENATE("#Metadata!", ADDRESS(INDEX($AJ$2:$AJ$1001,MATCH(ROWS($AH$2:AH713),$AH$2:$AH$1001,0),0), INDEX($AO$1004:$BQ$1004,1,MATCH(COLUMNS($AO$1006:AR1006),$AO$1006:$BQ$1006,0)))),"Fix")))</f>
        <v>#N/A</v>
      </c>
      <c r="F713" s="5" t="e">
        <f ca="1">IF(OR(INDEX($AI$2:$AI$1001,MATCH(ROWS($AH$2:AH713),$AH$2:$AH$1001,0),1)&gt;=100000,INDEX($AO$1005:$BQ$1005,1,MATCH(COLUMNS($AO$1006:AS1006),$AO$1006:$BQ$1006,0))&gt;=100000), " ",IF(INDEX($AO$2:$BQ$1001,MATCH(ROWS($AH$2:AH713),$AH$2:$AH$1001,0),MATCH(COLUMNS($AO$1006:AS1006),$AO$1006:$BQ$1006,0)), HYPERLINK("#",""), HYPERLINK(CONCATENATE("#Metadata!", ADDRESS(INDEX($AJ$2:$AJ$1001,MATCH(ROWS($AH$2:AH713),$AH$2:$AH$1001,0),0), INDEX($AO$1004:$BQ$1004,1,MATCH(COLUMNS($AO$1006:AS1006),$AO$1006:$BQ$1006,0)))),"Fix")))</f>
        <v>#N/A</v>
      </c>
      <c r="G713" s="5" t="e">
        <f ca="1">IF(OR(INDEX($AI$2:$AI$1001,MATCH(ROWS($AH$2:AH713),$AH$2:$AH$1001,0),1)&gt;=100000,INDEX($AO$1005:$BQ$1005,1,MATCH(COLUMNS($AO$1006:AT1006),$AO$1006:$BQ$1006,0))&gt;=100000), " ",IF(INDEX($AO$2:$BQ$1001,MATCH(ROWS($AH$2:AH713),$AH$2:$AH$1001,0),MATCH(COLUMNS($AO$1006:AT1006),$AO$1006:$BQ$1006,0)), HYPERLINK("#",""), HYPERLINK(CONCATENATE("#Metadata!", ADDRESS(INDEX($AJ$2:$AJ$1001,MATCH(ROWS($AH$2:AH713),$AH$2:$AH$1001,0),0), INDEX($AO$1004:$BQ$1004,1,MATCH(COLUMNS($AO$1006:AT1006),$AO$1006:$BQ$1006,0)))),"Fix")))</f>
        <v>#N/A</v>
      </c>
      <c r="H713" s="5" t="e">
        <f ca="1">IF(OR(INDEX($AI$2:$AI$1001,MATCH(ROWS($AH$2:AH713),$AH$2:$AH$1001,0),1)&gt;=100000,INDEX($AO$1005:$BQ$1005,1,MATCH(COLUMNS($AO$1006:AU1006),$AO$1006:$BQ$1006,0))&gt;=100000), " ",IF(INDEX($AO$2:$BQ$1001,MATCH(ROWS($AH$2:AH713),$AH$2:$AH$1001,0),MATCH(COLUMNS($AO$1006:AU1006),$AO$1006:$BQ$1006,0)), HYPERLINK("#",""), HYPERLINK(CONCATENATE("#Metadata!", ADDRESS(INDEX($AJ$2:$AJ$1001,MATCH(ROWS($AH$2:AH713),$AH$2:$AH$1001,0),0), INDEX($AO$1004:$BQ$1004,1,MATCH(COLUMNS($AO$1006:AU1006),$AO$1006:$BQ$1006,0)))),"Fix")))</f>
        <v>#N/A</v>
      </c>
      <c r="I713" s="5" t="e">
        <f ca="1">IF(OR(INDEX($AI$2:$AI$1001,MATCH(ROWS($AH$2:AH713),$AH$2:$AH$1001,0),1)&gt;=100000,INDEX($AO$1005:$BQ$1005,1,MATCH(COLUMNS($AO$1006:AV1006),$AO$1006:$BQ$1006,0))&gt;=100000), " ",IF(INDEX($AO$2:$BQ$1001,MATCH(ROWS($AH$2:AH713),$AH$2:$AH$1001,0),MATCH(COLUMNS($AO$1006:AV1006),$AO$1006:$BQ$1006,0)), HYPERLINK("#",""), HYPERLINK(CONCATENATE("#Metadata!", ADDRESS(INDEX($AJ$2:$AJ$1001,MATCH(ROWS($AH$2:AH713),$AH$2:$AH$1001,0),0), INDEX($AO$1004:$BQ$1004,1,MATCH(COLUMNS($AO$1006:AV1006),$AO$1006:$BQ$1006,0)))),"Fix")))</f>
        <v>#N/A</v>
      </c>
      <c r="J713" s="5" t="e">
        <f ca="1">IF(OR(INDEX($AI$2:$AI$1001,MATCH(ROWS($AH$2:AH713),$AH$2:$AH$1001,0),1)&gt;=100000,INDEX($AO$1005:$BQ$1005,1,MATCH(COLUMNS($AO$1006:AW1006),$AO$1006:$BQ$1006,0))&gt;=100000), " ",IF(INDEX($AO$2:$BQ$1001,MATCH(ROWS($AH$2:AH713),$AH$2:$AH$1001,0),MATCH(COLUMNS($AO$1006:AW1006),$AO$1006:$BQ$1006,0)), HYPERLINK("#",""), HYPERLINK(CONCATENATE("#Metadata!", ADDRESS(INDEX($AJ$2:$AJ$1001,MATCH(ROWS($AH$2:AH713),$AH$2:$AH$1001,0),0), INDEX($AO$1004:$BQ$1004,1,MATCH(COLUMNS($AO$1006:AW1006),$AO$1006:$BQ$1006,0)))),"Fix")))</f>
        <v>#N/A</v>
      </c>
      <c r="K713" s="5" t="e">
        <f ca="1">IF(OR(INDEX($AI$2:$AI$1001,MATCH(ROWS($AH$2:AH713),$AH$2:$AH$1001,0),1)&gt;=100000,INDEX($AO$1005:$BQ$1005,1,MATCH(COLUMNS($AO$1006:AX1006),$AO$1006:$BQ$1006,0))&gt;=100000), " ",IF(INDEX($AO$2:$BQ$1001,MATCH(ROWS($AH$2:AH713),$AH$2:$AH$1001,0),MATCH(COLUMNS($AO$1006:AX1006),$AO$1006:$BQ$1006,0)), HYPERLINK("#",""), HYPERLINK(CONCATENATE("#Metadata!", ADDRESS(INDEX($AJ$2:$AJ$1001,MATCH(ROWS($AH$2:AH713),$AH$2:$AH$1001,0),0), INDEX($AO$1004:$BQ$1004,1,MATCH(COLUMNS($AO$1006:AX1006),$AO$1006:$BQ$1006,0)))),"Fix")))</f>
        <v>#N/A</v>
      </c>
      <c r="L713" s="5" t="e">
        <f ca="1">IF(OR(INDEX($AI$2:$AI$1001,MATCH(ROWS($AH$2:AH713),$AH$2:$AH$1001,0),1)&gt;=100000,INDEX($AO$1005:$BQ$1005,1,MATCH(COLUMNS($AO$1006:AY1006),$AO$1006:$BQ$1006,0))&gt;=100000), " ",IF(INDEX($AO$2:$BQ$1001,MATCH(ROWS($AH$2:AH713),$AH$2:$AH$1001,0),MATCH(COLUMNS($AO$1006:AY1006),$AO$1006:$BQ$1006,0)), HYPERLINK("#",""), HYPERLINK(CONCATENATE("#Metadata!", ADDRESS(INDEX($AJ$2:$AJ$1001,MATCH(ROWS($AH$2:AH713),$AH$2:$AH$1001,0),0), INDEX($AO$1004:$BQ$1004,1,MATCH(COLUMNS($AO$1006:AY1006),$AO$1006:$BQ$1006,0)))),"Fix")))</f>
        <v>#N/A</v>
      </c>
      <c r="M713" s="5" t="e">
        <f ca="1">IF(OR(INDEX($AI$2:$AI$1001,MATCH(ROWS($AH$2:AH713),$AH$2:$AH$1001,0),1)&gt;=100000,INDEX($AO$1005:$BQ$1005,1,MATCH(COLUMNS($AO$1006:AZ1006),$AO$1006:$BQ$1006,0))&gt;=100000), " ",IF(INDEX($AO$2:$BQ$1001,MATCH(ROWS($AH$2:AH713),$AH$2:$AH$1001,0),MATCH(COLUMNS($AO$1006:AZ1006),$AO$1006:$BQ$1006,0)), HYPERLINK("#",""), HYPERLINK(CONCATENATE("#Metadata!", ADDRESS(INDEX($AJ$2:$AJ$1001,MATCH(ROWS($AH$2:AH713),$AH$2:$AH$1001,0),0), INDEX($AO$1004:$BQ$1004,1,MATCH(COLUMNS($AO$1006:AZ1006),$AO$1006:$BQ$1006,0)))),"Fix")))</f>
        <v>#N/A</v>
      </c>
      <c r="N713" s="5" t="e">
        <f ca="1">IF(OR(INDEX($AI$2:$AI$1001,MATCH(ROWS($AH$2:AH713),$AH$2:$AH$1001,0),1)&gt;=100000,INDEX($AO$1005:$BQ$1005,1,MATCH(COLUMNS($AO$1006:BA1006),$AO$1006:$BQ$1006,0))&gt;=100000), " ",IF(INDEX($AO$2:$BQ$1001,MATCH(ROWS($AH$2:AH713),$AH$2:$AH$1001,0),MATCH(COLUMNS($AO$1006:BA1006),$AO$1006:$BQ$1006,0)), HYPERLINK("#",""), HYPERLINK(CONCATENATE("#Metadata!", ADDRESS(INDEX($AJ$2:$AJ$1001,MATCH(ROWS($AH$2:AH713),$AH$2:$AH$1001,0),0), INDEX($AO$1004:$BQ$1004,1,MATCH(COLUMNS($AO$1006:BA1006),$AO$1006:$BQ$1006,0)))),"Fix")))</f>
        <v>#N/A</v>
      </c>
      <c r="O713" s="5" t="e">
        <f ca="1">IF(OR(INDEX($AI$2:$AI$1001,MATCH(ROWS($AH$2:AH713),$AH$2:$AH$1001,0),1)&gt;=100000,INDEX($AO$1005:$BQ$1005,1,MATCH(COLUMNS($AO$1006:BB1006),$AO$1006:$BQ$1006,0))&gt;=100000), " ",IF(INDEX($AO$2:$BQ$1001,MATCH(ROWS($AH$2:AH713),$AH$2:$AH$1001,0),MATCH(COLUMNS($AO$1006:BB1006),$AO$1006:$BQ$1006,0)), HYPERLINK("#",""), HYPERLINK(CONCATENATE("#Metadata!", ADDRESS(INDEX($AJ$2:$AJ$1001,MATCH(ROWS($AH$2:AH713),$AH$2:$AH$1001,0),0), INDEX($AO$1004:$BQ$1004,1,MATCH(COLUMNS($AO$1006:BB1006),$AO$1006:$BQ$1006,0)))),"Fix")))</f>
        <v>#N/A</v>
      </c>
      <c r="P713" s="5" t="e">
        <f ca="1">IF(OR(INDEX($AI$2:$AI$1001,MATCH(ROWS($AH$2:AH713),$AH$2:$AH$1001,0),1)&gt;=100000,INDEX($AO$1005:$BQ$1005,1,MATCH(COLUMNS($AO$1006:BC1006),$AO$1006:$BQ$1006,0))&gt;=100000), " ",IF(INDEX($AO$2:$BQ$1001,MATCH(ROWS($AH$2:AH713),$AH$2:$AH$1001,0),MATCH(COLUMNS($AO$1006:BC1006),$AO$1006:$BQ$1006,0)), HYPERLINK("#",""), HYPERLINK(CONCATENATE("#Metadata!", ADDRESS(INDEX($AJ$2:$AJ$1001,MATCH(ROWS($AH$2:AH713),$AH$2:$AH$1001,0),0), INDEX($AO$1004:$BQ$1004,1,MATCH(COLUMNS($AO$1006:BC1006),$AO$1006:$BQ$1006,0)))),"Fix")))</f>
        <v>#N/A</v>
      </c>
      <c r="Q713" s="5" t="e">
        <f ca="1">IF(OR(INDEX($AI$2:$AI$1001,MATCH(ROWS($AH$2:AH713),$AH$2:$AH$1001,0),1)&gt;=100000,INDEX($AO$1005:$BQ$1005,1,MATCH(COLUMNS($AO$1006:BD1006),$AO$1006:$BQ$1006,0))&gt;=100000), " ",IF(INDEX($AO$2:$BQ$1001,MATCH(ROWS($AH$2:AH713),$AH$2:$AH$1001,0),MATCH(COLUMNS($AO$1006:BD1006),$AO$1006:$BQ$1006,0)), HYPERLINK("#",""), HYPERLINK(CONCATENATE("#Metadata!", ADDRESS(INDEX($AJ$2:$AJ$1001,MATCH(ROWS($AH$2:AH713),$AH$2:$AH$1001,0),0), INDEX($AO$1004:$BQ$1004,1,MATCH(COLUMNS($AO$1006:BD1006),$AO$1006:$BQ$1006,0)))),"Fix")))</f>
        <v>#N/A</v>
      </c>
      <c r="R713" s="5" t="e">
        <f ca="1">IF(OR(INDEX($AI$2:$AI$1001,MATCH(ROWS($AH$2:AH713),$AH$2:$AH$1001,0),1)&gt;=100000,INDEX($AO$1005:$BQ$1005,1,MATCH(COLUMNS($AO$1006:BE1006),$AO$1006:$BQ$1006,0))&gt;=100000), " ",IF(INDEX($AO$2:$BQ$1001,MATCH(ROWS($AH$2:AH713),$AH$2:$AH$1001,0),MATCH(COLUMNS($AO$1006:BE1006),$AO$1006:$BQ$1006,0)), HYPERLINK("#",""), HYPERLINK(CONCATENATE("#Metadata!", ADDRESS(INDEX($AJ$2:$AJ$1001,MATCH(ROWS($AH$2:AH713),$AH$2:$AH$1001,0),0), INDEX($AO$1004:$BQ$1004,1,MATCH(COLUMNS($AO$1006:BE1006),$AO$1006:$BQ$1006,0)))),"Fix")))</f>
        <v>#N/A</v>
      </c>
      <c r="S713" s="5" t="e">
        <f ca="1">IF(OR(INDEX($AI$2:$AI$1001,MATCH(ROWS($AH$2:AH713),$AH$2:$AH$1001,0),1)&gt;=100000,INDEX($AO$1005:$BQ$1005,1,MATCH(COLUMNS($AO$1006:BF1006),$AO$1006:$BQ$1006,0))&gt;=100000), " ",IF(INDEX($AO$2:$BQ$1001,MATCH(ROWS($AH$2:AH713),$AH$2:$AH$1001,0),MATCH(COLUMNS($AO$1006:BF1006),$AO$1006:$BQ$1006,0)), HYPERLINK("#",""), HYPERLINK(CONCATENATE("#Metadata!", ADDRESS(INDEX($AJ$2:$AJ$1001,MATCH(ROWS($AH$2:AH713),$AH$2:$AH$1001,0),0), INDEX($AO$1004:$BQ$1004,1,MATCH(COLUMNS($AO$1006:BF1006),$AO$1006:$BQ$1006,0)))),"Fix")))</f>
        <v>#N/A</v>
      </c>
      <c r="T713" s="5" t="e">
        <f ca="1">IF(OR(INDEX($AI$2:$AI$1001,MATCH(ROWS($AH$2:AH713),$AH$2:$AH$1001,0),1)&gt;=100000,INDEX($AO$1005:$BQ$1005,1,MATCH(COLUMNS($AO$1006:BG1006),$AO$1006:$BQ$1006,0))&gt;=100000), " ",IF(INDEX($AO$2:$BQ$1001,MATCH(ROWS($AH$2:AH713),$AH$2:$AH$1001,0),MATCH(COLUMNS($AO$1006:BG1006),$AO$1006:$BQ$1006,0)), HYPERLINK("#",""), HYPERLINK(CONCATENATE("#Metadata!", ADDRESS(INDEX($AJ$2:$AJ$1001,MATCH(ROWS($AH$2:AH713),$AH$2:$AH$1001,0),0), INDEX($AO$1004:$BQ$1004,1,MATCH(COLUMNS($AO$1006:BG1006),$AO$1006:$BQ$1006,0)))),"Fix")))</f>
        <v>#N/A</v>
      </c>
      <c r="U713" s="5" t="e">
        <f ca="1">IF(OR(INDEX($AI$2:$AI$1001,MATCH(ROWS($AH$2:AH713),$AH$2:$AH$1001,0),1)&gt;=100000,INDEX($AO$1005:$BQ$1005,1,MATCH(COLUMNS($AO$1006:BH1006),$AO$1006:$BQ$1006,0))&gt;=100000), " ",IF(INDEX($AO$2:$BQ$1001,MATCH(ROWS($AH$2:AH713),$AH$2:$AH$1001,0),MATCH(COLUMNS($AO$1006:BH1006),$AO$1006:$BQ$1006,0)), HYPERLINK("#",""), HYPERLINK(CONCATENATE("#Metadata!", ADDRESS(INDEX($AJ$2:$AJ$1001,MATCH(ROWS($AH$2:AH713),$AH$2:$AH$1001,0),0), INDEX($AO$1004:$BQ$1004,1,MATCH(COLUMNS($AO$1006:BH1006),$AO$1006:$BQ$1006,0)))),"Fix")))</f>
        <v>#N/A</v>
      </c>
      <c r="V713" s="5" t="e">
        <f ca="1">IF(OR(INDEX($AI$2:$AI$1001,MATCH(ROWS($AH$2:AH713),$AH$2:$AH$1001,0),1)&gt;=100000,INDEX($AO$1005:$BQ$1005,1,MATCH(COLUMNS($AO$1006:BI1006),$AO$1006:$BQ$1006,0))&gt;=100000), " ",IF(INDEX($AO$2:$BQ$1001,MATCH(ROWS($AH$2:AH713),$AH$2:$AH$1001,0),MATCH(COLUMNS($AO$1006:BI1006),$AO$1006:$BQ$1006,0)), HYPERLINK("#",""), HYPERLINK(CONCATENATE("#Metadata!", ADDRESS(INDEX($AJ$2:$AJ$1001,MATCH(ROWS($AH$2:AH713),$AH$2:$AH$1001,0),0), INDEX($AO$1004:$BQ$1004,1,MATCH(COLUMNS($AO$1006:BI1006),$AO$1006:$BQ$1006,0)))),"Fix")))</f>
        <v>#N/A</v>
      </c>
      <c r="W713" s="5" t="e">
        <f ca="1">IF(OR(INDEX($AI$2:$AI$1001,MATCH(ROWS($AH$2:AH713),$AH$2:$AH$1001,0),1)&gt;=100000,INDEX($AO$1005:$BQ$1005,1,MATCH(COLUMNS($AO$1006:BJ1006),$AO$1006:$BQ$1006,0))&gt;=100000), " ",IF(INDEX($AO$2:$BQ$1001,MATCH(ROWS($AH$2:AH713),$AH$2:$AH$1001,0),MATCH(COLUMNS($AO$1006:BJ1006),$AO$1006:$BQ$1006,0)), HYPERLINK("#",""), HYPERLINK(CONCATENATE("#Metadata!", ADDRESS(INDEX($AJ$2:$AJ$1001,MATCH(ROWS($AH$2:AH713),$AH$2:$AH$1001,0),0), INDEX($AO$1004:$BQ$1004,1,MATCH(COLUMNS($AO$1006:BJ1006),$AO$1006:$BQ$1006,0)))),"Fix")))</f>
        <v>#N/A</v>
      </c>
      <c r="X713" s="5" t="e">
        <f ca="1">IF(OR(INDEX($AI$2:$AI$1001,MATCH(ROWS($AH$2:AH713),$AH$2:$AH$1001,0),1)&gt;=100000,INDEX($AO$1005:$BQ$1005,1,MATCH(COLUMNS($AO$1006:BK1006),$AO$1006:$BQ$1006,0))&gt;=100000), " ",IF(INDEX($AO$2:$BQ$1001,MATCH(ROWS($AH$2:AH713),$AH$2:$AH$1001,0),MATCH(COLUMNS($AO$1006:BK1006),$AO$1006:$BQ$1006,0)), HYPERLINK("#",""), HYPERLINK(CONCATENATE("#Metadata!", ADDRESS(INDEX($AJ$2:$AJ$1001,MATCH(ROWS($AH$2:AH713),$AH$2:$AH$1001,0),0), INDEX($AO$1004:$BQ$1004,1,MATCH(COLUMNS($AO$1006:BK1006),$AO$1006:$BQ$1006,0)))),"Fix")))</f>
        <v>#N/A</v>
      </c>
      <c r="Y713" s="5" t="e">
        <f ca="1">IF(OR(INDEX($AI$2:$AI$1001,MATCH(ROWS($AH$2:AH713),$AH$2:$AH$1001,0),1)&gt;=100000,INDEX($AO$1005:$BQ$1005,1,MATCH(COLUMNS($AO$1006:BL1006),$AO$1006:$BQ$1006,0))&gt;=100000), " ",IF(INDEX($AO$2:$BQ$1001,MATCH(ROWS($AH$2:AH713),$AH$2:$AH$1001,0),MATCH(COLUMNS($AO$1006:BL1006),$AO$1006:$BQ$1006,0)), HYPERLINK("#",""), HYPERLINK(CONCATENATE("#Metadata!", ADDRESS(INDEX($AJ$2:$AJ$1001,MATCH(ROWS($AH$2:AH713),$AH$2:$AH$1001,0),0), INDEX($AO$1004:$BQ$1004,1,MATCH(COLUMNS($AO$1006:BL1006),$AO$1006:$BQ$1006,0)))),"Fix")))</f>
        <v>#N/A</v>
      </c>
      <c r="Z713" s="5" t="e">
        <f ca="1">IF(OR(INDEX($AI$2:$AI$1001,MATCH(ROWS($AH$2:AH713),$AH$2:$AH$1001,0),1)&gt;=100000,INDEX($AO$1005:$BQ$1005,1,MATCH(COLUMNS($AO$1006:BM1006),$AO$1006:$BQ$1006,0))&gt;=100000), " ",IF(INDEX($AO$2:$BQ$1001,MATCH(ROWS($AH$2:AH713),$AH$2:$AH$1001,0),MATCH(COLUMNS($AO$1006:BM1006),$AO$1006:$BQ$1006,0)), HYPERLINK("#",""), HYPERLINK(CONCATENATE("#Metadata!", ADDRESS(INDEX($AJ$2:$AJ$1001,MATCH(ROWS($AH$2:AH713),$AH$2:$AH$1001,0),0), INDEX($AO$1004:$BQ$1004,1,MATCH(COLUMNS($AO$1006:BM1006),$AO$1006:$BQ$1006,0)))),"Fix")))</f>
        <v>#N/A</v>
      </c>
      <c r="AA713" s="5" t="e">
        <f ca="1">IF(OR(INDEX($AI$2:$AI$1001,MATCH(ROWS($AH$2:AH713),$AH$2:$AH$1001,0),1)&gt;=100000,INDEX($AO$1005:$BQ$1005,1,MATCH(COLUMNS($AO$1006:BN1006),$AO$1006:$BQ$1006,0))&gt;=100000), " ",IF(INDEX($AO$2:$BQ$1001,MATCH(ROWS($AH$2:AH713),$AH$2:$AH$1001,0),MATCH(COLUMNS($AO$1006:BN1006),$AO$1006:$BQ$1006,0)), HYPERLINK("#",""), HYPERLINK(CONCATENATE("#Metadata!", ADDRESS(INDEX($AJ$2:$AJ$1001,MATCH(ROWS($AH$2:AH713),$AH$2:$AH$1001,0),0), INDEX($AO$1004:$BQ$1004,1,MATCH(COLUMNS($AO$1006:BN1006),$AO$1006:$BQ$1006,0)))),"Fix")))</f>
        <v>#N/A</v>
      </c>
      <c r="AB713" s="5" t="e">
        <f ca="1">IF(OR(INDEX($AI$2:$AI$1001,MATCH(ROWS($AH$2:AH713),$AH$2:$AH$1001,0),1)&gt;=100000,INDEX($AO$1005:$BQ$1005,1,MATCH(COLUMNS($AO$1006:BO1006),$AO$1006:$BQ$1006,0))&gt;=100000), " ",IF(INDEX($AO$2:$BQ$1001,MATCH(ROWS($AH$2:AH713),$AH$2:$AH$1001,0),MATCH(COLUMNS($AO$1006:BO1006),$AO$1006:$BQ$1006,0)), HYPERLINK("#",""), HYPERLINK(CONCATENATE("#Metadata!", ADDRESS(INDEX($AJ$2:$AJ$1001,MATCH(ROWS($AH$2:AH713),$AH$2:$AH$1001,0),0), INDEX($AO$1004:$BQ$1004,1,MATCH(COLUMNS($AO$1006:BO1006),$AO$1006:$BQ$1006,0)))),"Fix")))</f>
        <v>#N/A</v>
      </c>
      <c r="AC713" s="5" t="e">
        <f ca="1">IF(OR(INDEX($AI$2:$AI$1001,MATCH(ROWS($AH$2:AH713),$AH$2:$AH$1001,0),1)&gt;=100000,INDEX($AO$1005:$BQ$1005,1,MATCH(COLUMNS($AO$1006:BP1006),$AO$1006:$BQ$1006,0))&gt;=100000), " ",IF(INDEX($AO$2:$BQ$1001,MATCH(ROWS($AH$2:AH713),$AH$2:$AH$1001,0),MATCH(COLUMNS($AO$1006:BP1006),$AO$1006:$BQ$1006,0)), HYPERLINK("#",""), HYPERLINK(CONCATENATE("#Metadata!", ADDRESS(INDEX($AJ$2:$AJ$1001,MATCH(ROWS($AH$2:AH713),$AH$2:$AH$1001,0),0), INDEX($AO$1004:$BQ$1004,1,MATCH(COLUMNS($AO$1006:BP1006),$AO$1006:$BQ$1006,0)))),"Fix")))</f>
        <v>#N/A</v>
      </c>
      <c r="AD713" s="5" t="e">
        <f ca="1">IF(OR(INDEX($AI$2:$AI$1001,MATCH(ROWS($AH$2:AH713),$AH$2:$AH$1001,0),1)&gt;=100000,INDEX($AO$1005:$BQ$1005,1,MATCH(COLUMNS($AO$1006:BQ1006),$AO$1006:$BQ$1006,0))&gt;=100000), " ",IF(INDEX($AO$2:$BQ$1001,MATCH(ROWS($AH$2:AH713),$AH$2:$AH$1001,0),MATCH(COLUMNS($AO$1006:BQ1006),$AO$1006:$BQ$1006,0)), HYPERLINK("#",""), HYPERLINK(CONCATENATE("#Metadata!", ADDRESS(INDEX($AJ$2:$AJ$1001,MATCH(ROWS($AH$2:AH713),$AH$2:$AH$1001,0),0), INDEX($AO$1004:$BQ$1004,1,MATCH(COLUMNS($AO$1006:BQ1006),$AO$1006:$BQ$1006,0)))),"Fix")))</f>
        <v>#REF!</v>
      </c>
      <c r="AH713">
        <f ca="1"/>
        <v>710</v>
      </c>
      <c r="AI713">
        <v>100713</v>
      </c>
      <c r="AJ713">
        <v>713</v>
      </c>
      <c r="AK713" t="b">
        <f t="shared" si="11"/>
        <v>1</v>
      </c>
      <c r="AL713" t="b">
        <f>COUNTBLANK(Metadata!B713:AD713)=COLUMNS(Metadata!B713:AD713)</f>
        <v>1</v>
      </c>
      <c r="AM713" t="str">
        <v/>
      </c>
      <c r="AO713" t="b">
        <f ca="1">AND(IF(Metadata!B713="",FALSE,TRUE),COUNTIF(Metadata!B:B, Metadata!B713) = 1,NOT(ISERROR(SUMPRODUCT(SEARCH(MID(Metadata!B713,ROW(INDIRECT("1:"&amp;LEN(Metadata!B713))), 1),"0123456789abcdefghijklmnopqrstuvwxyzABCDEFGHIJKLMNOPQRSTUVWXYZ.")))))</f>
        <v>0</v>
      </c>
      <c r="AP713" t="b">
        <f>IF(Metadata!C713="",FALSE,TRUE)</f>
        <v>0</v>
      </c>
      <c r="AQ713" t="b">
        <f>IF(Metadata!D713="",FALSE,TRUE)</f>
        <v>0</v>
      </c>
      <c r="AR713" t="b">
        <f ca="1">OR(AND(IF(Metadata!E713="",FALSE,TRUE),OR(EXACT(Metadata!E713,"not collected"),EXACT(Metadata!E713,"not provided"),EXACT(Metadata!E713,"restricted access"))),AND(IF(Metadata!E713="",FALSE,TRUE),AND(AND(IFERROR(INT(LEFT(Metadata!E713,4))&gt;1900,FALSE),IFERROR(INT(LEFT(Metadata!E713,4))&lt;=YEAR(NOW()),FALSE)), OR(MID(Metadata!E713,5,1)="", AND(AND(MID(Metadata!E713,5,1)="-",IFERROR(INT(MID(Metadata!E713,6,1))&gt;=0,FALSE),IFERROR(INT(MID(Metadata!E713,6,1))&lt;=1,FALSE),NOT(MID(Metadata!E713,7,1)=""),IFERROR(INT(MID(Metadata!E713,6,2))&gt;=1,FALSE),IFERROR(INT(MID(Metadata!E713,6,2))&lt;=12,FALSE)), OR(MID(Metadata!E713,8,1)="", AND(AND(MID(Metadata!E713,8,1)="-",IFERROR(INT(MID(Metadata!E713,9,1))&gt;=0,FALSE),IFERROR(INT(MID(Metadata!E713,9,1))&lt;=3,FALSE),NOT(MID(Metadata!E713,10,1)=""),IFERROR(INT(MID(Metadata!E713,9,2))&gt;=1,FALSE),IFERROR(INT(MID(Metadata!E713,9,2))&lt;=31,FALSE)), OR(MID(Metadata!E713,11,1)="", AND(AND(MID(Metadata!E713,11,1)=" ",IFERROR(INT(MID(Metadata!E713,12,1))&gt;=0,FALSE),IFERROR(INT(MID(Metadata!E713,12,1))&lt;=2,FALSE),NOT(MID(Metadata!E713,13,1)=""),IFERROR(INT(MID(Metadata!E713,12,2))&gt;=0,FALSE),IFERROR(INT(MID(Metadata!E713,12,2))&lt;=23,FALSE)), OR(MID(Metadata!E713,14,1)="", AND(AND(MID(Metadata!E713,14,1)=":",IFERROR(INT(MID(Metadata!E713,15,1))&gt;=0,FALSE),IFERROR(INT(MID(Metadata!E713,15,1))&lt;=5,FALSE),NOT(MID(Metadata!E713,16,1)=""),IFERROR(INT(MID(Metadata!E713,15,2))&gt;=0,FALSE),IFERROR(INT(MID(Metadata!E713,15,2))&lt;=59,FALSE)), OR(MID(Metadata!E713,17,1)="", AND(AND(MID(Metadata!E713,17,1)=":",IFERROR(INT(MID(Metadata!E713,18,1))&gt;=0,FALSE),IFERROR(INT(MID(Metadata!E713,18,1))&lt;=5,FALSE),NOT(MID(Metadata!E713,19,1)=""),IFERROR(INT(MID(Metadata!E713,18,2))&gt;=0,FALSE),IFERROR(INT(MID(Metadata!E713,18,2))&lt;=59,FALSE)), LEN(Metadata!E713)&lt;=19)))))))))))))</f>
        <v>0</v>
      </c>
      <c r="AS713" t="b">
        <f>IF(Metadata!F713="",FALSE,TRUE)</f>
        <v>0</v>
      </c>
      <c r="AT713" t="b">
        <f>OR(AND(IF(Metadata!G713="",FALSE,TRUE),OR(EXACT(Metadata!G713,"not collected"),EXACT(Metadata!G713,"not provided"))),AND(IF(Metadata!G713="",FALSE,TRUE),OR(EXACT(Metadata!G713,"TRUE"),EXACT(Metadata!G713,"FALSE"))))</f>
        <v>0</v>
      </c>
      <c r="AU713" t="b">
        <f>OR(AND(IF(Metadata!H713="",FALSE,TRUE),OR(EXACT(Metadata!H713,"not collected"),EXACT(Metadata!H713,"not provided"),EXACT(Metadata!H713,"restricted access"))),AND(IF(Metadata!H713="",FALSE,ISNUMBER(VALUE(Metadata!H713))),Metadata!H713&gt;=-413))</f>
        <v>0</v>
      </c>
      <c r="AV713" t="b">
        <f>AND(IF(Metadata!I713="",FALSE,TRUE),EXACT(Metadata!I713,"meters"))</f>
        <v>0</v>
      </c>
      <c r="AW713" t="b">
        <f>AND(IF(Metadata!J713="",FALSE,TRUE),EXACT(Metadata!J713,"free-living"))</f>
        <v>0</v>
      </c>
      <c r="AX713" t="b">
        <f>AND(IF(Metadata!K713="",FALSE,TRUE),OR(EXACT(Metadata!K713,"saline"),EXACT(Metadata!K713,"non-saline")))</f>
        <v>0</v>
      </c>
      <c r="AY713" t="b">
        <f>AND(IF(Metadata!L713="",FALSE,TRUE),OR(EXACT(Metadata!L713,"sub-surface (non-saline)"),EXACT(Metadata!L713,"surface (non-saline)"),EXACT(Metadata!L713,"water (non-saline)"),EXACT(Metadata!L713,"soil (non-saline)"),EXACT(Metadata!L713,"aerosol (non-saline)"),EXACT(Metadata!L713,"sediment (non-saline)"),EXACT(Metadata!L713,"surface (saline)"),EXACT(Metadata!L713,"water (saline)"),EXACT(Metadata!L713,"hypersaline (saline)"),EXACT(Metadata!L713,"aerosol (saline)"),EXACT(Metadata!L713,"sediment (saline)")))</f>
        <v>0</v>
      </c>
      <c r="AZ713" t="b">
        <f>IF(Metadata!M713="",FALSE,TRUE)</f>
        <v>0</v>
      </c>
      <c r="BA713" t="b">
        <f>IF(Metadata!N713="",FALSE,TRUE)</f>
        <v>0</v>
      </c>
      <c r="BB713" t="b">
        <f>IF(Metadata!O713="",FALSE,TRUE)</f>
        <v>0</v>
      </c>
      <c r="BC713" t="b">
        <f>AND(IF(Metadata!P713="",FALSE,TRUE),OR(EXACT(Metadata!P713,"air"),EXACT(Metadata!P713,"microbial mat/biofilm"),EXACT(Metadata!P713,"misc environment"),EXACT(Metadata!P713,"sediment"),EXACT(Metadata!P713,"soil"),EXACT(Metadata!P713,"wastewater/sludge"),EXACT(Metadata!P713,"water")))</f>
        <v>0</v>
      </c>
      <c r="BD713" t="b">
        <f>IF(Metadata!Q713="",FALSE,TRUE)</f>
        <v>0</v>
      </c>
      <c r="BE713" t="b">
        <f>IF(Metadata!R713="",FALSE,TRUE)</f>
        <v>0</v>
      </c>
      <c r="BF713" t="b">
        <f>OR(AND(IF(Metadata!S713="",FALSE,TRUE),OR(EXACT(Metadata!S713,"not collected"),EXACT(Metadata!S713,"not provided"),EXACT(Metadata!S713,"restricted access"))),AND(IF(Metadata!S713="",FALSE,ISNUMBER(VALUE(Metadata!S713))),Metadata!S713&gt;=-90,Metadata!S713&lt;=90))</f>
        <v>0</v>
      </c>
      <c r="BG713" t="b">
        <f>AND(IF(Metadata!T713="",FALSE,TRUE),EXACT(Metadata!T713,"Decimal degrees"))</f>
        <v>0</v>
      </c>
      <c r="BH713" t="b">
        <f>OR(AND(IF(Metadata!U713="",FALSE,TRUE),OR(EXACT(Metadata!U713,"not applicable"),EXACT(Metadata!U713,"not collected"))),IF(Metadata!U713="",FALSE,TRUE))</f>
        <v>0</v>
      </c>
      <c r="BI713" t="b">
        <f>OR(AND(IF(Metadata!V713="",FALSE,TRUE),OR(EXACT(Metadata!V713,"not collected"),EXACT(Metadata!V713,"not provided"),EXACT(Metadata!V713,"restricted access"))),AND(IF(Metadata!V713="",FALSE,ISNUMBER(VALUE(Metadata!V713))),Metadata!V713&gt;=-180,Metadata!V713&lt;=180))</f>
        <v>0</v>
      </c>
      <c r="BJ713" t="b">
        <f>AND(IF(Metadata!W713="",FALSE,TRUE),EXACT(Metadata!W713,"Decimal degrees"))</f>
        <v>0</v>
      </c>
      <c r="BK713" t="b">
        <f>IF(Metadata!X713="",FALSE,TRUE)</f>
        <v>0</v>
      </c>
      <c r="BL713" t="b">
        <f>OR(AND(IF(Metadata!Y713="",FALSE,TRUE),OR(EXACT(Metadata!Y713,"not collected"),EXACT(Metadata!Y713,"not provided"),EXACT(Metadata!Y713,"restricted access"))),AND(IF(Metadata!Y713="",FALSE,TRUE),OR(EXACT(Metadata!Y713,"TRUE"),EXACT(Metadata!Y713,"FALSE"))))</f>
        <v>0</v>
      </c>
      <c r="BM713" t="b">
        <f>OR(AND(IF(Metadata!Z713="",FALSE,TRUE),EXACT(Metadata!Z713,"not applicable")),AND(IF(Metadata!Z713="",FALSE,TRUE),OR(EXACT(Metadata!Z713,"beer"),EXACT(Metadata!Z713,"cheese"),EXACT(Metadata!Z713,"fresh water"),EXACT(Metadata!Z713,"marine sediment"),EXACT(Metadata!Z713,"sea water"),EXACT(Metadata!Z713,"sediment"),EXACT(Metadata!Z713,"soil"),EXACT(Metadata!Z713,"waste water"))))</f>
        <v>0</v>
      </c>
      <c r="BN713" t="b">
        <f>AND(IF(Metadata!AA713="",FALSE,TRUE),EXACT(Metadata!AA713,"metagenome"))</f>
        <v>0</v>
      </c>
      <c r="BO713" t="b">
        <f>AND(IF(Metadata!AB713="",FALSE,TRUE),EXACT(Metadata!AB713,"256318"))</f>
        <v>0</v>
      </c>
      <c r="BP713" t="b">
        <f>IF(Metadata!AC713="",FALSE,TRUE)</f>
        <v>0</v>
      </c>
      <c r="BQ713" t="b">
        <f>IF(Metadata!AD713="",FALSE,TRUE)</f>
        <v>0</v>
      </c>
    </row>
    <row r="714" spans="1:69" x14ac:dyDescent="0.2">
      <c r="A714" s="4" t="e">
        <f ca="1">IF(B714=" "," ",HYPERLINK(CONCATENATE("#metadata!",ADDRESS(INDEX($AJ$2:$AJ$1001,MATCH(ROWS($AH$2:AH714),$AH$2:$AH$1001,0),0),2)),INDEX($AM$2:$AM$1001,MATCH(ROWS($AH$2:AH714),$AH$2:$AH$1001,0),0)))</f>
        <v>#N/A</v>
      </c>
      <c r="B714" s="5" t="e">
        <f ca="1">IF(OR(INDEX($AI$2:$AI$1001,MATCH(ROWS($AH$2:AH714),$AH$2:$AH$1001,0),1)&gt;=100000,INDEX($AO$1005:$BQ$1005,1,MATCH(COLUMNS($AO$1006:AO1006),$AO$1006:$BQ$1006,0))&gt;=100000), " ",IF(INDEX($AO$2:$BQ$1001,MATCH(ROWS($AH$2:AH714),$AH$2:$AH$1001,0),MATCH(COLUMNS($AO$1006:AO1006),$AO$1006:$BQ$1006,0)), HYPERLINK("#",""), HYPERLINK(CONCATENATE("#Metadata!", ADDRESS(INDEX($AJ$2:$AJ$1001,MATCH(ROWS($AH$2:AH714),$AH$2:$AH$1001,0),0), INDEX($AO$1004:$BQ$1004,1,MATCH(COLUMNS($AO$1006:AO1006),$AO$1006:$BQ$1006,0)))),"Fix")))</f>
        <v>#N/A</v>
      </c>
      <c r="C714" s="5" t="e">
        <f ca="1">IF(OR(INDEX($AI$2:$AI$1001,MATCH(ROWS($AH$2:AH714),$AH$2:$AH$1001,0),1)&gt;=100000,INDEX($AO$1005:$BQ$1005,1,MATCH(COLUMNS($AO$1006:AP1006),$AO$1006:$BQ$1006,0))&gt;=100000), " ",IF(INDEX($AO$2:$BQ$1001,MATCH(ROWS($AH$2:AH714),$AH$2:$AH$1001,0),MATCH(COLUMNS($AO$1006:AP1006),$AO$1006:$BQ$1006,0)), HYPERLINK("#",""), HYPERLINK(CONCATENATE("#Metadata!", ADDRESS(INDEX($AJ$2:$AJ$1001,MATCH(ROWS($AH$2:AH714),$AH$2:$AH$1001,0),0), INDEX($AO$1004:$BQ$1004,1,MATCH(COLUMNS($AO$1006:AP1006),$AO$1006:$BQ$1006,0)))),"Fix")))</f>
        <v>#N/A</v>
      </c>
      <c r="D714" s="5" t="e">
        <f ca="1">IF(OR(INDEX($AI$2:$AI$1001,MATCH(ROWS($AH$2:AH714),$AH$2:$AH$1001,0),1)&gt;=100000,INDEX($AO$1005:$BQ$1005,1,MATCH(COLUMNS($AO$1006:AQ1006),$AO$1006:$BQ$1006,0))&gt;=100000), " ",IF(INDEX($AO$2:$BQ$1001,MATCH(ROWS($AH$2:AH714),$AH$2:$AH$1001,0),MATCH(COLUMNS($AO$1006:AQ1006),$AO$1006:$BQ$1006,0)), HYPERLINK("#",""), HYPERLINK(CONCATENATE("#Metadata!", ADDRESS(INDEX($AJ$2:$AJ$1001,MATCH(ROWS($AH$2:AH714),$AH$2:$AH$1001,0),0), INDEX($AO$1004:$BQ$1004,1,MATCH(COLUMNS($AO$1006:AQ1006),$AO$1006:$BQ$1006,0)))),"Fix")))</f>
        <v>#N/A</v>
      </c>
      <c r="E714" s="5" t="e">
        <f ca="1">IF(OR(INDEX($AI$2:$AI$1001,MATCH(ROWS($AH$2:AH714),$AH$2:$AH$1001,0),1)&gt;=100000,INDEX($AO$1005:$BQ$1005,1,MATCH(COLUMNS($AO$1006:AR1006),$AO$1006:$BQ$1006,0))&gt;=100000), " ",IF(INDEX($AO$2:$BQ$1001,MATCH(ROWS($AH$2:AH714),$AH$2:$AH$1001,0),MATCH(COLUMNS($AO$1006:AR1006),$AO$1006:$BQ$1006,0)), HYPERLINK("#",""), HYPERLINK(CONCATENATE("#Metadata!", ADDRESS(INDEX($AJ$2:$AJ$1001,MATCH(ROWS($AH$2:AH714),$AH$2:$AH$1001,0),0), INDEX($AO$1004:$BQ$1004,1,MATCH(COLUMNS($AO$1006:AR1006),$AO$1006:$BQ$1006,0)))),"Fix")))</f>
        <v>#N/A</v>
      </c>
      <c r="F714" s="5" t="e">
        <f ca="1">IF(OR(INDEX($AI$2:$AI$1001,MATCH(ROWS($AH$2:AH714),$AH$2:$AH$1001,0),1)&gt;=100000,INDEX($AO$1005:$BQ$1005,1,MATCH(COLUMNS($AO$1006:AS1006),$AO$1006:$BQ$1006,0))&gt;=100000), " ",IF(INDEX($AO$2:$BQ$1001,MATCH(ROWS($AH$2:AH714),$AH$2:$AH$1001,0),MATCH(COLUMNS($AO$1006:AS1006),$AO$1006:$BQ$1006,0)), HYPERLINK("#",""), HYPERLINK(CONCATENATE("#Metadata!", ADDRESS(INDEX($AJ$2:$AJ$1001,MATCH(ROWS($AH$2:AH714),$AH$2:$AH$1001,0),0), INDEX($AO$1004:$BQ$1004,1,MATCH(COLUMNS($AO$1006:AS1006),$AO$1006:$BQ$1006,0)))),"Fix")))</f>
        <v>#N/A</v>
      </c>
      <c r="G714" s="5" t="e">
        <f ca="1">IF(OR(INDEX($AI$2:$AI$1001,MATCH(ROWS($AH$2:AH714),$AH$2:$AH$1001,0),1)&gt;=100000,INDEX($AO$1005:$BQ$1005,1,MATCH(COLUMNS($AO$1006:AT1006),$AO$1006:$BQ$1006,0))&gt;=100000), " ",IF(INDEX($AO$2:$BQ$1001,MATCH(ROWS($AH$2:AH714),$AH$2:$AH$1001,0),MATCH(COLUMNS($AO$1006:AT1006),$AO$1006:$BQ$1006,0)), HYPERLINK("#",""), HYPERLINK(CONCATENATE("#Metadata!", ADDRESS(INDEX($AJ$2:$AJ$1001,MATCH(ROWS($AH$2:AH714),$AH$2:$AH$1001,0),0), INDEX($AO$1004:$BQ$1004,1,MATCH(COLUMNS($AO$1006:AT1006),$AO$1006:$BQ$1006,0)))),"Fix")))</f>
        <v>#N/A</v>
      </c>
      <c r="H714" s="5" t="e">
        <f ca="1">IF(OR(INDEX($AI$2:$AI$1001,MATCH(ROWS($AH$2:AH714),$AH$2:$AH$1001,0),1)&gt;=100000,INDEX($AO$1005:$BQ$1005,1,MATCH(COLUMNS($AO$1006:AU1006),$AO$1006:$BQ$1006,0))&gt;=100000), " ",IF(INDEX($AO$2:$BQ$1001,MATCH(ROWS($AH$2:AH714),$AH$2:$AH$1001,0),MATCH(COLUMNS($AO$1006:AU1006),$AO$1006:$BQ$1006,0)), HYPERLINK("#",""), HYPERLINK(CONCATENATE("#Metadata!", ADDRESS(INDEX($AJ$2:$AJ$1001,MATCH(ROWS($AH$2:AH714),$AH$2:$AH$1001,0),0), INDEX($AO$1004:$BQ$1004,1,MATCH(COLUMNS($AO$1006:AU1006),$AO$1006:$BQ$1006,0)))),"Fix")))</f>
        <v>#N/A</v>
      </c>
      <c r="I714" s="5" t="e">
        <f ca="1">IF(OR(INDEX($AI$2:$AI$1001,MATCH(ROWS($AH$2:AH714),$AH$2:$AH$1001,0),1)&gt;=100000,INDEX($AO$1005:$BQ$1005,1,MATCH(COLUMNS($AO$1006:AV1006),$AO$1006:$BQ$1006,0))&gt;=100000), " ",IF(INDEX($AO$2:$BQ$1001,MATCH(ROWS($AH$2:AH714),$AH$2:$AH$1001,0),MATCH(COLUMNS($AO$1006:AV1006),$AO$1006:$BQ$1006,0)), HYPERLINK("#",""), HYPERLINK(CONCATENATE("#Metadata!", ADDRESS(INDEX($AJ$2:$AJ$1001,MATCH(ROWS($AH$2:AH714),$AH$2:$AH$1001,0),0), INDEX($AO$1004:$BQ$1004,1,MATCH(COLUMNS($AO$1006:AV1006),$AO$1006:$BQ$1006,0)))),"Fix")))</f>
        <v>#N/A</v>
      </c>
      <c r="J714" s="5" t="e">
        <f ca="1">IF(OR(INDEX($AI$2:$AI$1001,MATCH(ROWS($AH$2:AH714),$AH$2:$AH$1001,0),1)&gt;=100000,INDEX($AO$1005:$BQ$1005,1,MATCH(COLUMNS($AO$1006:AW1006),$AO$1006:$BQ$1006,0))&gt;=100000), " ",IF(INDEX($AO$2:$BQ$1001,MATCH(ROWS($AH$2:AH714),$AH$2:$AH$1001,0),MATCH(COLUMNS($AO$1006:AW1006),$AO$1006:$BQ$1006,0)), HYPERLINK("#",""), HYPERLINK(CONCATENATE("#Metadata!", ADDRESS(INDEX($AJ$2:$AJ$1001,MATCH(ROWS($AH$2:AH714),$AH$2:$AH$1001,0),0), INDEX($AO$1004:$BQ$1004,1,MATCH(COLUMNS($AO$1006:AW1006),$AO$1006:$BQ$1006,0)))),"Fix")))</f>
        <v>#N/A</v>
      </c>
      <c r="K714" s="5" t="e">
        <f ca="1">IF(OR(INDEX($AI$2:$AI$1001,MATCH(ROWS($AH$2:AH714),$AH$2:$AH$1001,0),1)&gt;=100000,INDEX($AO$1005:$BQ$1005,1,MATCH(COLUMNS($AO$1006:AX1006),$AO$1006:$BQ$1006,0))&gt;=100000), " ",IF(INDEX($AO$2:$BQ$1001,MATCH(ROWS($AH$2:AH714),$AH$2:$AH$1001,0),MATCH(COLUMNS($AO$1006:AX1006),$AO$1006:$BQ$1006,0)), HYPERLINK("#",""), HYPERLINK(CONCATENATE("#Metadata!", ADDRESS(INDEX($AJ$2:$AJ$1001,MATCH(ROWS($AH$2:AH714),$AH$2:$AH$1001,0),0), INDEX($AO$1004:$BQ$1004,1,MATCH(COLUMNS($AO$1006:AX1006),$AO$1006:$BQ$1006,0)))),"Fix")))</f>
        <v>#N/A</v>
      </c>
      <c r="L714" s="5" t="e">
        <f ca="1">IF(OR(INDEX($AI$2:$AI$1001,MATCH(ROWS($AH$2:AH714),$AH$2:$AH$1001,0),1)&gt;=100000,INDEX($AO$1005:$BQ$1005,1,MATCH(COLUMNS($AO$1006:AY1006),$AO$1006:$BQ$1006,0))&gt;=100000), " ",IF(INDEX($AO$2:$BQ$1001,MATCH(ROWS($AH$2:AH714),$AH$2:$AH$1001,0),MATCH(COLUMNS($AO$1006:AY1006),$AO$1006:$BQ$1006,0)), HYPERLINK("#",""), HYPERLINK(CONCATENATE("#Metadata!", ADDRESS(INDEX($AJ$2:$AJ$1001,MATCH(ROWS($AH$2:AH714),$AH$2:$AH$1001,0),0), INDEX($AO$1004:$BQ$1004,1,MATCH(COLUMNS($AO$1006:AY1006),$AO$1006:$BQ$1006,0)))),"Fix")))</f>
        <v>#N/A</v>
      </c>
      <c r="M714" s="5" t="e">
        <f ca="1">IF(OR(INDEX($AI$2:$AI$1001,MATCH(ROWS($AH$2:AH714),$AH$2:$AH$1001,0),1)&gt;=100000,INDEX($AO$1005:$BQ$1005,1,MATCH(COLUMNS($AO$1006:AZ1006),$AO$1006:$BQ$1006,0))&gt;=100000), " ",IF(INDEX($AO$2:$BQ$1001,MATCH(ROWS($AH$2:AH714),$AH$2:$AH$1001,0),MATCH(COLUMNS($AO$1006:AZ1006),$AO$1006:$BQ$1006,0)), HYPERLINK("#",""), HYPERLINK(CONCATENATE("#Metadata!", ADDRESS(INDEX($AJ$2:$AJ$1001,MATCH(ROWS($AH$2:AH714),$AH$2:$AH$1001,0),0), INDEX($AO$1004:$BQ$1004,1,MATCH(COLUMNS($AO$1006:AZ1006),$AO$1006:$BQ$1006,0)))),"Fix")))</f>
        <v>#N/A</v>
      </c>
      <c r="N714" s="5" t="e">
        <f ca="1">IF(OR(INDEX($AI$2:$AI$1001,MATCH(ROWS($AH$2:AH714),$AH$2:$AH$1001,0),1)&gt;=100000,INDEX($AO$1005:$BQ$1005,1,MATCH(COLUMNS($AO$1006:BA1006),$AO$1006:$BQ$1006,0))&gt;=100000), " ",IF(INDEX($AO$2:$BQ$1001,MATCH(ROWS($AH$2:AH714),$AH$2:$AH$1001,0),MATCH(COLUMNS($AO$1006:BA1006),$AO$1006:$BQ$1006,0)), HYPERLINK("#",""), HYPERLINK(CONCATENATE("#Metadata!", ADDRESS(INDEX($AJ$2:$AJ$1001,MATCH(ROWS($AH$2:AH714),$AH$2:$AH$1001,0),0), INDEX($AO$1004:$BQ$1004,1,MATCH(COLUMNS($AO$1006:BA1006),$AO$1006:$BQ$1006,0)))),"Fix")))</f>
        <v>#N/A</v>
      </c>
      <c r="O714" s="5" t="e">
        <f ca="1">IF(OR(INDEX($AI$2:$AI$1001,MATCH(ROWS($AH$2:AH714),$AH$2:$AH$1001,0),1)&gt;=100000,INDEX($AO$1005:$BQ$1005,1,MATCH(COLUMNS($AO$1006:BB1006),$AO$1006:$BQ$1006,0))&gt;=100000), " ",IF(INDEX($AO$2:$BQ$1001,MATCH(ROWS($AH$2:AH714),$AH$2:$AH$1001,0),MATCH(COLUMNS($AO$1006:BB1006),$AO$1006:$BQ$1006,0)), HYPERLINK("#",""), HYPERLINK(CONCATENATE("#Metadata!", ADDRESS(INDEX($AJ$2:$AJ$1001,MATCH(ROWS($AH$2:AH714),$AH$2:$AH$1001,0),0), INDEX($AO$1004:$BQ$1004,1,MATCH(COLUMNS($AO$1006:BB1006),$AO$1006:$BQ$1006,0)))),"Fix")))</f>
        <v>#N/A</v>
      </c>
      <c r="P714" s="5" t="e">
        <f ca="1">IF(OR(INDEX($AI$2:$AI$1001,MATCH(ROWS($AH$2:AH714),$AH$2:$AH$1001,0),1)&gt;=100000,INDEX($AO$1005:$BQ$1005,1,MATCH(COLUMNS($AO$1006:BC1006),$AO$1006:$BQ$1006,0))&gt;=100000), " ",IF(INDEX($AO$2:$BQ$1001,MATCH(ROWS($AH$2:AH714),$AH$2:$AH$1001,0),MATCH(COLUMNS($AO$1006:BC1006),$AO$1006:$BQ$1006,0)), HYPERLINK("#",""), HYPERLINK(CONCATENATE("#Metadata!", ADDRESS(INDEX($AJ$2:$AJ$1001,MATCH(ROWS($AH$2:AH714),$AH$2:$AH$1001,0),0), INDEX($AO$1004:$BQ$1004,1,MATCH(COLUMNS($AO$1006:BC1006),$AO$1006:$BQ$1006,0)))),"Fix")))</f>
        <v>#N/A</v>
      </c>
      <c r="Q714" s="5" t="e">
        <f ca="1">IF(OR(INDEX($AI$2:$AI$1001,MATCH(ROWS($AH$2:AH714),$AH$2:$AH$1001,0),1)&gt;=100000,INDEX($AO$1005:$BQ$1005,1,MATCH(COLUMNS($AO$1006:BD1006),$AO$1006:$BQ$1006,0))&gt;=100000), " ",IF(INDEX($AO$2:$BQ$1001,MATCH(ROWS($AH$2:AH714),$AH$2:$AH$1001,0),MATCH(COLUMNS($AO$1006:BD1006),$AO$1006:$BQ$1006,0)), HYPERLINK("#",""), HYPERLINK(CONCATENATE("#Metadata!", ADDRESS(INDEX($AJ$2:$AJ$1001,MATCH(ROWS($AH$2:AH714),$AH$2:$AH$1001,0),0), INDEX($AO$1004:$BQ$1004,1,MATCH(COLUMNS($AO$1006:BD1006),$AO$1006:$BQ$1006,0)))),"Fix")))</f>
        <v>#N/A</v>
      </c>
      <c r="R714" s="5" t="e">
        <f ca="1">IF(OR(INDEX($AI$2:$AI$1001,MATCH(ROWS($AH$2:AH714),$AH$2:$AH$1001,0),1)&gt;=100000,INDEX($AO$1005:$BQ$1005,1,MATCH(COLUMNS($AO$1006:BE1006),$AO$1006:$BQ$1006,0))&gt;=100000), " ",IF(INDEX($AO$2:$BQ$1001,MATCH(ROWS($AH$2:AH714),$AH$2:$AH$1001,0),MATCH(COLUMNS($AO$1006:BE1006),$AO$1006:$BQ$1006,0)), HYPERLINK("#",""), HYPERLINK(CONCATENATE("#Metadata!", ADDRESS(INDEX($AJ$2:$AJ$1001,MATCH(ROWS($AH$2:AH714),$AH$2:$AH$1001,0),0), INDEX($AO$1004:$BQ$1004,1,MATCH(COLUMNS($AO$1006:BE1006),$AO$1006:$BQ$1006,0)))),"Fix")))</f>
        <v>#N/A</v>
      </c>
      <c r="S714" s="5" t="e">
        <f ca="1">IF(OR(INDEX($AI$2:$AI$1001,MATCH(ROWS($AH$2:AH714),$AH$2:$AH$1001,0),1)&gt;=100000,INDEX($AO$1005:$BQ$1005,1,MATCH(COLUMNS($AO$1006:BF1006),$AO$1006:$BQ$1006,0))&gt;=100000), " ",IF(INDEX($AO$2:$BQ$1001,MATCH(ROWS($AH$2:AH714),$AH$2:$AH$1001,0),MATCH(COLUMNS($AO$1006:BF1006),$AO$1006:$BQ$1006,0)), HYPERLINK("#",""), HYPERLINK(CONCATENATE("#Metadata!", ADDRESS(INDEX($AJ$2:$AJ$1001,MATCH(ROWS($AH$2:AH714),$AH$2:$AH$1001,0),0), INDEX($AO$1004:$BQ$1004,1,MATCH(COLUMNS($AO$1006:BF1006),$AO$1006:$BQ$1006,0)))),"Fix")))</f>
        <v>#N/A</v>
      </c>
      <c r="T714" s="5" t="e">
        <f ca="1">IF(OR(INDEX($AI$2:$AI$1001,MATCH(ROWS($AH$2:AH714),$AH$2:$AH$1001,0),1)&gt;=100000,INDEX($AO$1005:$BQ$1005,1,MATCH(COLUMNS($AO$1006:BG1006),$AO$1006:$BQ$1006,0))&gt;=100000), " ",IF(INDEX($AO$2:$BQ$1001,MATCH(ROWS($AH$2:AH714),$AH$2:$AH$1001,0),MATCH(COLUMNS($AO$1006:BG1006),$AO$1006:$BQ$1006,0)), HYPERLINK("#",""), HYPERLINK(CONCATENATE("#Metadata!", ADDRESS(INDEX($AJ$2:$AJ$1001,MATCH(ROWS($AH$2:AH714),$AH$2:$AH$1001,0),0), INDEX($AO$1004:$BQ$1004,1,MATCH(COLUMNS($AO$1006:BG1006),$AO$1006:$BQ$1006,0)))),"Fix")))</f>
        <v>#N/A</v>
      </c>
      <c r="U714" s="5" t="e">
        <f ca="1">IF(OR(INDEX($AI$2:$AI$1001,MATCH(ROWS($AH$2:AH714),$AH$2:$AH$1001,0),1)&gt;=100000,INDEX($AO$1005:$BQ$1005,1,MATCH(COLUMNS($AO$1006:BH1006),$AO$1006:$BQ$1006,0))&gt;=100000), " ",IF(INDEX($AO$2:$BQ$1001,MATCH(ROWS($AH$2:AH714),$AH$2:$AH$1001,0),MATCH(COLUMNS($AO$1006:BH1006),$AO$1006:$BQ$1006,0)), HYPERLINK("#",""), HYPERLINK(CONCATENATE("#Metadata!", ADDRESS(INDEX($AJ$2:$AJ$1001,MATCH(ROWS($AH$2:AH714),$AH$2:$AH$1001,0),0), INDEX($AO$1004:$BQ$1004,1,MATCH(COLUMNS($AO$1006:BH1006),$AO$1006:$BQ$1006,0)))),"Fix")))</f>
        <v>#N/A</v>
      </c>
      <c r="V714" s="5" t="e">
        <f ca="1">IF(OR(INDEX($AI$2:$AI$1001,MATCH(ROWS($AH$2:AH714),$AH$2:$AH$1001,0),1)&gt;=100000,INDEX($AO$1005:$BQ$1005,1,MATCH(COLUMNS($AO$1006:BI1006),$AO$1006:$BQ$1006,0))&gt;=100000), " ",IF(INDEX($AO$2:$BQ$1001,MATCH(ROWS($AH$2:AH714),$AH$2:$AH$1001,0),MATCH(COLUMNS($AO$1006:BI1006),$AO$1006:$BQ$1006,0)), HYPERLINK("#",""), HYPERLINK(CONCATENATE("#Metadata!", ADDRESS(INDEX($AJ$2:$AJ$1001,MATCH(ROWS($AH$2:AH714),$AH$2:$AH$1001,0),0), INDEX($AO$1004:$BQ$1004,1,MATCH(COLUMNS($AO$1006:BI1006),$AO$1006:$BQ$1006,0)))),"Fix")))</f>
        <v>#N/A</v>
      </c>
      <c r="W714" s="5" t="e">
        <f ca="1">IF(OR(INDEX($AI$2:$AI$1001,MATCH(ROWS($AH$2:AH714),$AH$2:$AH$1001,0),1)&gt;=100000,INDEX($AO$1005:$BQ$1005,1,MATCH(COLUMNS($AO$1006:BJ1006),$AO$1006:$BQ$1006,0))&gt;=100000), " ",IF(INDEX($AO$2:$BQ$1001,MATCH(ROWS($AH$2:AH714),$AH$2:$AH$1001,0),MATCH(COLUMNS($AO$1006:BJ1006),$AO$1006:$BQ$1006,0)), HYPERLINK("#",""), HYPERLINK(CONCATENATE("#Metadata!", ADDRESS(INDEX($AJ$2:$AJ$1001,MATCH(ROWS($AH$2:AH714),$AH$2:$AH$1001,0),0), INDEX($AO$1004:$BQ$1004,1,MATCH(COLUMNS($AO$1006:BJ1006),$AO$1006:$BQ$1006,0)))),"Fix")))</f>
        <v>#N/A</v>
      </c>
      <c r="X714" s="5" t="e">
        <f ca="1">IF(OR(INDEX($AI$2:$AI$1001,MATCH(ROWS($AH$2:AH714),$AH$2:$AH$1001,0),1)&gt;=100000,INDEX($AO$1005:$BQ$1005,1,MATCH(COLUMNS($AO$1006:BK1006),$AO$1006:$BQ$1006,0))&gt;=100000), " ",IF(INDEX($AO$2:$BQ$1001,MATCH(ROWS($AH$2:AH714),$AH$2:$AH$1001,0),MATCH(COLUMNS($AO$1006:BK1006),$AO$1006:$BQ$1006,0)), HYPERLINK("#",""), HYPERLINK(CONCATENATE("#Metadata!", ADDRESS(INDEX($AJ$2:$AJ$1001,MATCH(ROWS($AH$2:AH714),$AH$2:$AH$1001,0),0), INDEX($AO$1004:$BQ$1004,1,MATCH(COLUMNS($AO$1006:BK1006),$AO$1006:$BQ$1006,0)))),"Fix")))</f>
        <v>#N/A</v>
      </c>
      <c r="Y714" s="5" t="e">
        <f ca="1">IF(OR(INDEX($AI$2:$AI$1001,MATCH(ROWS($AH$2:AH714),$AH$2:$AH$1001,0),1)&gt;=100000,INDEX($AO$1005:$BQ$1005,1,MATCH(COLUMNS($AO$1006:BL1006),$AO$1006:$BQ$1006,0))&gt;=100000), " ",IF(INDEX($AO$2:$BQ$1001,MATCH(ROWS($AH$2:AH714),$AH$2:$AH$1001,0),MATCH(COLUMNS($AO$1006:BL1006),$AO$1006:$BQ$1006,0)), HYPERLINK("#",""), HYPERLINK(CONCATENATE("#Metadata!", ADDRESS(INDEX($AJ$2:$AJ$1001,MATCH(ROWS($AH$2:AH714),$AH$2:$AH$1001,0),0), INDEX($AO$1004:$BQ$1004,1,MATCH(COLUMNS($AO$1006:BL1006),$AO$1006:$BQ$1006,0)))),"Fix")))</f>
        <v>#N/A</v>
      </c>
      <c r="Z714" s="5" t="e">
        <f ca="1">IF(OR(INDEX($AI$2:$AI$1001,MATCH(ROWS($AH$2:AH714),$AH$2:$AH$1001,0),1)&gt;=100000,INDEX($AO$1005:$BQ$1005,1,MATCH(COLUMNS($AO$1006:BM1006),$AO$1006:$BQ$1006,0))&gt;=100000), " ",IF(INDEX($AO$2:$BQ$1001,MATCH(ROWS($AH$2:AH714),$AH$2:$AH$1001,0),MATCH(COLUMNS($AO$1006:BM1006),$AO$1006:$BQ$1006,0)), HYPERLINK("#",""), HYPERLINK(CONCATENATE("#Metadata!", ADDRESS(INDEX($AJ$2:$AJ$1001,MATCH(ROWS($AH$2:AH714),$AH$2:$AH$1001,0),0), INDEX($AO$1004:$BQ$1004,1,MATCH(COLUMNS($AO$1006:BM1006),$AO$1006:$BQ$1006,0)))),"Fix")))</f>
        <v>#N/A</v>
      </c>
      <c r="AA714" s="5" t="e">
        <f ca="1">IF(OR(INDEX($AI$2:$AI$1001,MATCH(ROWS($AH$2:AH714),$AH$2:$AH$1001,0),1)&gt;=100000,INDEX($AO$1005:$BQ$1005,1,MATCH(COLUMNS($AO$1006:BN1006),$AO$1006:$BQ$1006,0))&gt;=100000), " ",IF(INDEX($AO$2:$BQ$1001,MATCH(ROWS($AH$2:AH714),$AH$2:$AH$1001,0),MATCH(COLUMNS($AO$1006:BN1006),$AO$1006:$BQ$1006,0)), HYPERLINK("#",""), HYPERLINK(CONCATENATE("#Metadata!", ADDRESS(INDEX($AJ$2:$AJ$1001,MATCH(ROWS($AH$2:AH714),$AH$2:$AH$1001,0),0), INDEX($AO$1004:$BQ$1004,1,MATCH(COLUMNS($AO$1006:BN1006),$AO$1006:$BQ$1006,0)))),"Fix")))</f>
        <v>#N/A</v>
      </c>
      <c r="AB714" s="5" t="e">
        <f ca="1">IF(OR(INDEX($AI$2:$AI$1001,MATCH(ROWS($AH$2:AH714),$AH$2:$AH$1001,0),1)&gt;=100000,INDEX($AO$1005:$BQ$1005,1,MATCH(COLUMNS($AO$1006:BO1006),$AO$1006:$BQ$1006,0))&gt;=100000), " ",IF(INDEX($AO$2:$BQ$1001,MATCH(ROWS($AH$2:AH714),$AH$2:$AH$1001,0),MATCH(COLUMNS($AO$1006:BO1006),$AO$1006:$BQ$1006,0)), HYPERLINK("#",""), HYPERLINK(CONCATENATE("#Metadata!", ADDRESS(INDEX($AJ$2:$AJ$1001,MATCH(ROWS($AH$2:AH714),$AH$2:$AH$1001,0),0), INDEX($AO$1004:$BQ$1004,1,MATCH(COLUMNS($AO$1006:BO1006),$AO$1006:$BQ$1006,0)))),"Fix")))</f>
        <v>#N/A</v>
      </c>
      <c r="AC714" s="5" t="e">
        <f ca="1">IF(OR(INDEX($AI$2:$AI$1001,MATCH(ROWS($AH$2:AH714),$AH$2:$AH$1001,0),1)&gt;=100000,INDEX($AO$1005:$BQ$1005,1,MATCH(COLUMNS($AO$1006:BP1006),$AO$1006:$BQ$1006,0))&gt;=100000), " ",IF(INDEX($AO$2:$BQ$1001,MATCH(ROWS($AH$2:AH714),$AH$2:$AH$1001,0),MATCH(COLUMNS($AO$1006:BP1006),$AO$1006:$BQ$1006,0)), HYPERLINK("#",""), HYPERLINK(CONCATENATE("#Metadata!", ADDRESS(INDEX($AJ$2:$AJ$1001,MATCH(ROWS($AH$2:AH714),$AH$2:$AH$1001,0),0), INDEX($AO$1004:$BQ$1004,1,MATCH(COLUMNS($AO$1006:BP1006),$AO$1006:$BQ$1006,0)))),"Fix")))</f>
        <v>#N/A</v>
      </c>
      <c r="AD714" s="5" t="e">
        <f ca="1">IF(OR(INDEX($AI$2:$AI$1001,MATCH(ROWS($AH$2:AH714),$AH$2:$AH$1001,0),1)&gt;=100000,INDEX($AO$1005:$BQ$1005,1,MATCH(COLUMNS($AO$1006:BQ1006),$AO$1006:$BQ$1006,0))&gt;=100000), " ",IF(INDEX($AO$2:$BQ$1001,MATCH(ROWS($AH$2:AH714),$AH$2:$AH$1001,0),MATCH(COLUMNS($AO$1006:BQ1006),$AO$1006:$BQ$1006,0)), HYPERLINK("#",""), HYPERLINK(CONCATENATE("#Metadata!", ADDRESS(INDEX($AJ$2:$AJ$1001,MATCH(ROWS($AH$2:AH714),$AH$2:$AH$1001,0),0), INDEX($AO$1004:$BQ$1004,1,MATCH(COLUMNS($AO$1006:BQ1006),$AO$1006:$BQ$1006,0)))),"Fix")))</f>
        <v>#REF!</v>
      </c>
      <c r="AH714">
        <f ca="1"/>
        <v>711</v>
      </c>
      <c r="AI714">
        <v>100714</v>
      </c>
      <c r="AJ714">
        <v>714</v>
      </c>
      <c r="AK714" t="b">
        <f t="shared" si="11"/>
        <v>1</v>
      </c>
      <c r="AL714" t="b">
        <f>COUNTBLANK(Metadata!B714:AD714)=COLUMNS(Metadata!B714:AD714)</f>
        <v>1</v>
      </c>
      <c r="AM714" t="str">
        <v/>
      </c>
      <c r="AO714" t="b">
        <f ca="1">AND(IF(Metadata!B714="",FALSE,TRUE),COUNTIF(Metadata!B:B, Metadata!B714) = 1,NOT(ISERROR(SUMPRODUCT(SEARCH(MID(Metadata!B714,ROW(INDIRECT("1:"&amp;LEN(Metadata!B714))), 1),"0123456789abcdefghijklmnopqrstuvwxyzABCDEFGHIJKLMNOPQRSTUVWXYZ.")))))</f>
        <v>0</v>
      </c>
      <c r="AP714" t="b">
        <f>IF(Metadata!C714="",FALSE,TRUE)</f>
        <v>0</v>
      </c>
      <c r="AQ714" t="b">
        <f>IF(Metadata!D714="",FALSE,TRUE)</f>
        <v>0</v>
      </c>
      <c r="AR714" t="b">
        <f ca="1">OR(AND(IF(Metadata!E714="",FALSE,TRUE),OR(EXACT(Metadata!E714,"not collected"),EXACT(Metadata!E714,"not provided"),EXACT(Metadata!E714,"restricted access"))),AND(IF(Metadata!E714="",FALSE,TRUE),AND(AND(IFERROR(INT(LEFT(Metadata!E714,4))&gt;1900,FALSE),IFERROR(INT(LEFT(Metadata!E714,4))&lt;=YEAR(NOW()),FALSE)), OR(MID(Metadata!E714,5,1)="", AND(AND(MID(Metadata!E714,5,1)="-",IFERROR(INT(MID(Metadata!E714,6,1))&gt;=0,FALSE),IFERROR(INT(MID(Metadata!E714,6,1))&lt;=1,FALSE),NOT(MID(Metadata!E714,7,1)=""),IFERROR(INT(MID(Metadata!E714,6,2))&gt;=1,FALSE),IFERROR(INT(MID(Metadata!E714,6,2))&lt;=12,FALSE)), OR(MID(Metadata!E714,8,1)="", AND(AND(MID(Metadata!E714,8,1)="-",IFERROR(INT(MID(Metadata!E714,9,1))&gt;=0,FALSE),IFERROR(INT(MID(Metadata!E714,9,1))&lt;=3,FALSE),NOT(MID(Metadata!E714,10,1)=""),IFERROR(INT(MID(Metadata!E714,9,2))&gt;=1,FALSE),IFERROR(INT(MID(Metadata!E714,9,2))&lt;=31,FALSE)), OR(MID(Metadata!E714,11,1)="", AND(AND(MID(Metadata!E714,11,1)=" ",IFERROR(INT(MID(Metadata!E714,12,1))&gt;=0,FALSE),IFERROR(INT(MID(Metadata!E714,12,1))&lt;=2,FALSE),NOT(MID(Metadata!E714,13,1)=""),IFERROR(INT(MID(Metadata!E714,12,2))&gt;=0,FALSE),IFERROR(INT(MID(Metadata!E714,12,2))&lt;=23,FALSE)), OR(MID(Metadata!E714,14,1)="", AND(AND(MID(Metadata!E714,14,1)=":",IFERROR(INT(MID(Metadata!E714,15,1))&gt;=0,FALSE),IFERROR(INT(MID(Metadata!E714,15,1))&lt;=5,FALSE),NOT(MID(Metadata!E714,16,1)=""),IFERROR(INT(MID(Metadata!E714,15,2))&gt;=0,FALSE),IFERROR(INT(MID(Metadata!E714,15,2))&lt;=59,FALSE)), OR(MID(Metadata!E714,17,1)="", AND(AND(MID(Metadata!E714,17,1)=":",IFERROR(INT(MID(Metadata!E714,18,1))&gt;=0,FALSE),IFERROR(INT(MID(Metadata!E714,18,1))&lt;=5,FALSE),NOT(MID(Metadata!E714,19,1)=""),IFERROR(INT(MID(Metadata!E714,18,2))&gt;=0,FALSE),IFERROR(INT(MID(Metadata!E714,18,2))&lt;=59,FALSE)), LEN(Metadata!E714)&lt;=19)))))))))))))</f>
        <v>0</v>
      </c>
      <c r="AS714" t="b">
        <f>IF(Metadata!F714="",FALSE,TRUE)</f>
        <v>0</v>
      </c>
      <c r="AT714" t="b">
        <f>OR(AND(IF(Metadata!G714="",FALSE,TRUE),OR(EXACT(Metadata!G714,"not collected"),EXACT(Metadata!G714,"not provided"))),AND(IF(Metadata!G714="",FALSE,TRUE),OR(EXACT(Metadata!G714,"TRUE"),EXACT(Metadata!G714,"FALSE"))))</f>
        <v>0</v>
      </c>
      <c r="AU714" t="b">
        <f>OR(AND(IF(Metadata!H714="",FALSE,TRUE),OR(EXACT(Metadata!H714,"not collected"),EXACT(Metadata!H714,"not provided"),EXACT(Metadata!H714,"restricted access"))),AND(IF(Metadata!H714="",FALSE,ISNUMBER(VALUE(Metadata!H714))),Metadata!H714&gt;=-413))</f>
        <v>0</v>
      </c>
      <c r="AV714" t="b">
        <f>AND(IF(Metadata!I714="",FALSE,TRUE),EXACT(Metadata!I714,"meters"))</f>
        <v>0</v>
      </c>
      <c r="AW714" t="b">
        <f>AND(IF(Metadata!J714="",FALSE,TRUE),EXACT(Metadata!J714,"free-living"))</f>
        <v>0</v>
      </c>
      <c r="AX714" t="b">
        <f>AND(IF(Metadata!K714="",FALSE,TRUE),OR(EXACT(Metadata!K714,"saline"),EXACT(Metadata!K714,"non-saline")))</f>
        <v>0</v>
      </c>
      <c r="AY714" t="b">
        <f>AND(IF(Metadata!L714="",FALSE,TRUE),OR(EXACT(Metadata!L714,"sub-surface (non-saline)"),EXACT(Metadata!L714,"surface (non-saline)"),EXACT(Metadata!L714,"water (non-saline)"),EXACT(Metadata!L714,"soil (non-saline)"),EXACT(Metadata!L714,"aerosol (non-saline)"),EXACT(Metadata!L714,"sediment (non-saline)"),EXACT(Metadata!L714,"surface (saline)"),EXACT(Metadata!L714,"water (saline)"),EXACT(Metadata!L714,"hypersaline (saline)"),EXACT(Metadata!L714,"aerosol (saline)"),EXACT(Metadata!L714,"sediment (saline)")))</f>
        <v>0</v>
      </c>
      <c r="AZ714" t="b">
        <f>IF(Metadata!M714="",FALSE,TRUE)</f>
        <v>0</v>
      </c>
      <c r="BA714" t="b">
        <f>IF(Metadata!N714="",FALSE,TRUE)</f>
        <v>0</v>
      </c>
      <c r="BB714" t="b">
        <f>IF(Metadata!O714="",FALSE,TRUE)</f>
        <v>0</v>
      </c>
      <c r="BC714" t="b">
        <f>AND(IF(Metadata!P714="",FALSE,TRUE),OR(EXACT(Metadata!P714,"air"),EXACT(Metadata!P714,"microbial mat/biofilm"),EXACT(Metadata!P714,"misc environment"),EXACT(Metadata!P714,"sediment"),EXACT(Metadata!P714,"soil"),EXACT(Metadata!P714,"wastewater/sludge"),EXACT(Metadata!P714,"water")))</f>
        <v>0</v>
      </c>
      <c r="BD714" t="b">
        <f>IF(Metadata!Q714="",FALSE,TRUE)</f>
        <v>0</v>
      </c>
      <c r="BE714" t="b">
        <f>IF(Metadata!R714="",FALSE,TRUE)</f>
        <v>0</v>
      </c>
      <c r="BF714" t="b">
        <f>OR(AND(IF(Metadata!S714="",FALSE,TRUE),OR(EXACT(Metadata!S714,"not collected"),EXACT(Metadata!S714,"not provided"),EXACT(Metadata!S714,"restricted access"))),AND(IF(Metadata!S714="",FALSE,ISNUMBER(VALUE(Metadata!S714))),Metadata!S714&gt;=-90,Metadata!S714&lt;=90))</f>
        <v>0</v>
      </c>
      <c r="BG714" t="b">
        <f>AND(IF(Metadata!T714="",FALSE,TRUE),EXACT(Metadata!T714,"Decimal degrees"))</f>
        <v>0</v>
      </c>
      <c r="BH714" t="b">
        <f>OR(AND(IF(Metadata!U714="",FALSE,TRUE),OR(EXACT(Metadata!U714,"not applicable"),EXACT(Metadata!U714,"not collected"))),IF(Metadata!U714="",FALSE,TRUE))</f>
        <v>0</v>
      </c>
      <c r="BI714" t="b">
        <f>OR(AND(IF(Metadata!V714="",FALSE,TRUE),OR(EXACT(Metadata!V714,"not collected"),EXACT(Metadata!V714,"not provided"),EXACT(Metadata!V714,"restricted access"))),AND(IF(Metadata!V714="",FALSE,ISNUMBER(VALUE(Metadata!V714))),Metadata!V714&gt;=-180,Metadata!V714&lt;=180))</f>
        <v>0</v>
      </c>
      <c r="BJ714" t="b">
        <f>AND(IF(Metadata!W714="",FALSE,TRUE),EXACT(Metadata!W714,"Decimal degrees"))</f>
        <v>0</v>
      </c>
      <c r="BK714" t="b">
        <f>IF(Metadata!X714="",FALSE,TRUE)</f>
        <v>0</v>
      </c>
      <c r="BL714" t="b">
        <f>OR(AND(IF(Metadata!Y714="",FALSE,TRUE),OR(EXACT(Metadata!Y714,"not collected"),EXACT(Metadata!Y714,"not provided"),EXACT(Metadata!Y714,"restricted access"))),AND(IF(Metadata!Y714="",FALSE,TRUE),OR(EXACT(Metadata!Y714,"TRUE"),EXACT(Metadata!Y714,"FALSE"))))</f>
        <v>0</v>
      </c>
      <c r="BM714" t="b">
        <f>OR(AND(IF(Metadata!Z714="",FALSE,TRUE),EXACT(Metadata!Z714,"not applicable")),AND(IF(Metadata!Z714="",FALSE,TRUE),OR(EXACT(Metadata!Z714,"beer"),EXACT(Metadata!Z714,"cheese"),EXACT(Metadata!Z714,"fresh water"),EXACT(Metadata!Z714,"marine sediment"),EXACT(Metadata!Z714,"sea water"),EXACT(Metadata!Z714,"sediment"),EXACT(Metadata!Z714,"soil"),EXACT(Metadata!Z714,"waste water"))))</f>
        <v>0</v>
      </c>
      <c r="BN714" t="b">
        <f>AND(IF(Metadata!AA714="",FALSE,TRUE),EXACT(Metadata!AA714,"metagenome"))</f>
        <v>0</v>
      </c>
      <c r="BO714" t="b">
        <f>AND(IF(Metadata!AB714="",FALSE,TRUE),EXACT(Metadata!AB714,"256318"))</f>
        <v>0</v>
      </c>
      <c r="BP714" t="b">
        <f>IF(Metadata!AC714="",FALSE,TRUE)</f>
        <v>0</v>
      </c>
      <c r="BQ714" t="b">
        <f>IF(Metadata!AD714="",FALSE,TRUE)</f>
        <v>0</v>
      </c>
    </row>
    <row r="715" spans="1:69" x14ac:dyDescent="0.2">
      <c r="A715" s="4" t="e">
        <f ca="1">IF(B715=" "," ",HYPERLINK(CONCATENATE("#metadata!",ADDRESS(INDEX($AJ$2:$AJ$1001,MATCH(ROWS($AH$2:AH715),$AH$2:$AH$1001,0),0),2)),INDEX($AM$2:$AM$1001,MATCH(ROWS($AH$2:AH715),$AH$2:$AH$1001,0),0)))</f>
        <v>#N/A</v>
      </c>
      <c r="B715" s="5" t="e">
        <f ca="1">IF(OR(INDEX($AI$2:$AI$1001,MATCH(ROWS($AH$2:AH715),$AH$2:$AH$1001,0),1)&gt;=100000,INDEX($AO$1005:$BQ$1005,1,MATCH(COLUMNS($AO$1006:AO1006),$AO$1006:$BQ$1006,0))&gt;=100000), " ",IF(INDEX($AO$2:$BQ$1001,MATCH(ROWS($AH$2:AH715),$AH$2:$AH$1001,0),MATCH(COLUMNS($AO$1006:AO1006),$AO$1006:$BQ$1006,0)), HYPERLINK("#",""), HYPERLINK(CONCATENATE("#Metadata!", ADDRESS(INDEX($AJ$2:$AJ$1001,MATCH(ROWS($AH$2:AH715),$AH$2:$AH$1001,0),0), INDEX($AO$1004:$BQ$1004,1,MATCH(COLUMNS($AO$1006:AO1006),$AO$1006:$BQ$1006,0)))),"Fix")))</f>
        <v>#N/A</v>
      </c>
      <c r="C715" s="5" t="e">
        <f ca="1">IF(OR(INDEX($AI$2:$AI$1001,MATCH(ROWS($AH$2:AH715),$AH$2:$AH$1001,0),1)&gt;=100000,INDEX($AO$1005:$BQ$1005,1,MATCH(COLUMNS($AO$1006:AP1006),$AO$1006:$BQ$1006,0))&gt;=100000), " ",IF(INDEX($AO$2:$BQ$1001,MATCH(ROWS($AH$2:AH715),$AH$2:$AH$1001,0),MATCH(COLUMNS($AO$1006:AP1006),$AO$1006:$BQ$1006,0)), HYPERLINK("#",""), HYPERLINK(CONCATENATE("#Metadata!", ADDRESS(INDEX($AJ$2:$AJ$1001,MATCH(ROWS($AH$2:AH715),$AH$2:$AH$1001,0),0), INDEX($AO$1004:$BQ$1004,1,MATCH(COLUMNS($AO$1006:AP1006),$AO$1006:$BQ$1006,0)))),"Fix")))</f>
        <v>#N/A</v>
      </c>
      <c r="D715" s="5" t="e">
        <f ca="1">IF(OR(INDEX($AI$2:$AI$1001,MATCH(ROWS($AH$2:AH715),$AH$2:$AH$1001,0),1)&gt;=100000,INDEX($AO$1005:$BQ$1005,1,MATCH(COLUMNS($AO$1006:AQ1006),$AO$1006:$BQ$1006,0))&gt;=100000), " ",IF(INDEX($AO$2:$BQ$1001,MATCH(ROWS($AH$2:AH715),$AH$2:$AH$1001,0),MATCH(COLUMNS($AO$1006:AQ1006),$AO$1006:$BQ$1006,0)), HYPERLINK("#",""), HYPERLINK(CONCATENATE("#Metadata!", ADDRESS(INDEX($AJ$2:$AJ$1001,MATCH(ROWS($AH$2:AH715),$AH$2:$AH$1001,0),0), INDEX($AO$1004:$BQ$1004,1,MATCH(COLUMNS($AO$1006:AQ1006),$AO$1006:$BQ$1006,0)))),"Fix")))</f>
        <v>#N/A</v>
      </c>
      <c r="E715" s="5" t="e">
        <f ca="1">IF(OR(INDEX($AI$2:$AI$1001,MATCH(ROWS($AH$2:AH715),$AH$2:$AH$1001,0),1)&gt;=100000,INDEX($AO$1005:$BQ$1005,1,MATCH(COLUMNS($AO$1006:AR1006),$AO$1006:$BQ$1006,0))&gt;=100000), " ",IF(INDEX($AO$2:$BQ$1001,MATCH(ROWS($AH$2:AH715),$AH$2:$AH$1001,0),MATCH(COLUMNS($AO$1006:AR1006),$AO$1006:$BQ$1006,0)), HYPERLINK("#",""), HYPERLINK(CONCATENATE("#Metadata!", ADDRESS(INDEX($AJ$2:$AJ$1001,MATCH(ROWS($AH$2:AH715),$AH$2:$AH$1001,0),0), INDEX($AO$1004:$BQ$1004,1,MATCH(COLUMNS($AO$1006:AR1006),$AO$1006:$BQ$1006,0)))),"Fix")))</f>
        <v>#N/A</v>
      </c>
      <c r="F715" s="5" t="e">
        <f ca="1">IF(OR(INDEX($AI$2:$AI$1001,MATCH(ROWS($AH$2:AH715),$AH$2:$AH$1001,0),1)&gt;=100000,INDEX($AO$1005:$BQ$1005,1,MATCH(COLUMNS($AO$1006:AS1006),$AO$1006:$BQ$1006,0))&gt;=100000), " ",IF(INDEX($AO$2:$BQ$1001,MATCH(ROWS($AH$2:AH715),$AH$2:$AH$1001,0),MATCH(COLUMNS($AO$1006:AS1006),$AO$1006:$BQ$1006,0)), HYPERLINK("#",""), HYPERLINK(CONCATENATE("#Metadata!", ADDRESS(INDEX($AJ$2:$AJ$1001,MATCH(ROWS($AH$2:AH715),$AH$2:$AH$1001,0),0), INDEX($AO$1004:$BQ$1004,1,MATCH(COLUMNS($AO$1006:AS1006),$AO$1006:$BQ$1006,0)))),"Fix")))</f>
        <v>#N/A</v>
      </c>
      <c r="G715" s="5" t="e">
        <f ca="1">IF(OR(INDEX($AI$2:$AI$1001,MATCH(ROWS($AH$2:AH715),$AH$2:$AH$1001,0),1)&gt;=100000,INDEX($AO$1005:$BQ$1005,1,MATCH(COLUMNS($AO$1006:AT1006),$AO$1006:$BQ$1006,0))&gt;=100000), " ",IF(INDEX($AO$2:$BQ$1001,MATCH(ROWS($AH$2:AH715),$AH$2:$AH$1001,0),MATCH(COLUMNS($AO$1006:AT1006),$AO$1006:$BQ$1006,0)), HYPERLINK("#",""), HYPERLINK(CONCATENATE("#Metadata!", ADDRESS(INDEX($AJ$2:$AJ$1001,MATCH(ROWS($AH$2:AH715),$AH$2:$AH$1001,0),0), INDEX($AO$1004:$BQ$1004,1,MATCH(COLUMNS($AO$1006:AT1006),$AO$1006:$BQ$1006,0)))),"Fix")))</f>
        <v>#N/A</v>
      </c>
      <c r="H715" s="5" t="e">
        <f ca="1">IF(OR(INDEX($AI$2:$AI$1001,MATCH(ROWS($AH$2:AH715),$AH$2:$AH$1001,0),1)&gt;=100000,INDEX($AO$1005:$BQ$1005,1,MATCH(COLUMNS($AO$1006:AU1006),$AO$1006:$BQ$1006,0))&gt;=100000), " ",IF(INDEX($AO$2:$BQ$1001,MATCH(ROWS($AH$2:AH715),$AH$2:$AH$1001,0),MATCH(COLUMNS($AO$1006:AU1006),$AO$1006:$BQ$1006,0)), HYPERLINK("#",""), HYPERLINK(CONCATENATE("#Metadata!", ADDRESS(INDEX($AJ$2:$AJ$1001,MATCH(ROWS($AH$2:AH715),$AH$2:$AH$1001,0),0), INDEX($AO$1004:$BQ$1004,1,MATCH(COLUMNS($AO$1006:AU1006),$AO$1006:$BQ$1006,0)))),"Fix")))</f>
        <v>#N/A</v>
      </c>
      <c r="I715" s="5" t="e">
        <f ca="1">IF(OR(INDEX($AI$2:$AI$1001,MATCH(ROWS($AH$2:AH715),$AH$2:$AH$1001,0),1)&gt;=100000,INDEX($AO$1005:$BQ$1005,1,MATCH(COLUMNS($AO$1006:AV1006),$AO$1006:$BQ$1006,0))&gt;=100000), " ",IF(INDEX($AO$2:$BQ$1001,MATCH(ROWS($AH$2:AH715),$AH$2:$AH$1001,0),MATCH(COLUMNS($AO$1006:AV1006),$AO$1006:$BQ$1006,0)), HYPERLINK("#",""), HYPERLINK(CONCATENATE("#Metadata!", ADDRESS(INDEX($AJ$2:$AJ$1001,MATCH(ROWS($AH$2:AH715),$AH$2:$AH$1001,0),0), INDEX($AO$1004:$BQ$1004,1,MATCH(COLUMNS($AO$1006:AV1006),$AO$1006:$BQ$1006,0)))),"Fix")))</f>
        <v>#N/A</v>
      </c>
      <c r="J715" s="5" t="e">
        <f ca="1">IF(OR(INDEX($AI$2:$AI$1001,MATCH(ROWS($AH$2:AH715),$AH$2:$AH$1001,0),1)&gt;=100000,INDEX($AO$1005:$BQ$1005,1,MATCH(COLUMNS($AO$1006:AW1006),$AO$1006:$BQ$1006,0))&gt;=100000), " ",IF(INDEX($AO$2:$BQ$1001,MATCH(ROWS($AH$2:AH715),$AH$2:$AH$1001,0),MATCH(COLUMNS($AO$1006:AW1006),$AO$1006:$BQ$1006,0)), HYPERLINK("#",""), HYPERLINK(CONCATENATE("#Metadata!", ADDRESS(INDEX($AJ$2:$AJ$1001,MATCH(ROWS($AH$2:AH715),$AH$2:$AH$1001,0),0), INDEX($AO$1004:$BQ$1004,1,MATCH(COLUMNS($AO$1006:AW1006),$AO$1006:$BQ$1006,0)))),"Fix")))</f>
        <v>#N/A</v>
      </c>
      <c r="K715" s="5" t="e">
        <f ca="1">IF(OR(INDEX($AI$2:$AI$1001,MATCH(ROWS($AH$2:AH715),$AH$2:$AH$1001,0),1)&gt;=100000,INDEX($AO$1005:$BQ$1005,1,MATCH(COLUMNS($AO$1006:AX1006),$AO$1006:$BQ$1006,0))&gt;=100000), " ",IF(INDEX($AO$2:$BQ$1001,MATCH(ROWS($AH$2:AH715),$AH$2:$AH$1001,0),MATCH(COLUMNS($AO$1006:AX1006),$AO$1006:$BQ$1006,0)), HYPERLINK("#",""), HYPERLINK(CONCATENATE("#Metadata!", ADDRESS(INDEX($AJ$2:$AJ$1001,MATCH(ROWS($AH$2:AH715),$AH$2:$AH$1001,0),0), INDEX($AO$1004:$BQ$1004,1,MATCH(COLUMNS($AO$1006:AX1006),$AO$1006:$BQ$1006,0)))),"Fix")))</f>
        <v>#N/A</v>
      </c>
      <c r="L715" s="5" t="e">
        <f ca="1">IF(OR(INDEX($AI$2:$AI$1001,MATCH(ROWS($AH$2:AH715),$AH$2:$AH$1001,0),1)&gt;=100000,INDEX($AO$1005:$BQ$1005,1,MATCH(COLUMNS($AO$1006:AY1006),$AO$1006:$BQ$1006,0))&gt;=100000), " ",IF(INDEX($AO$2:$BQ$1001,MATCH(ROWS($AH$2:AH715),$AH$2:$AH$1001,0),MATCH(COLUMNS($AO$1006:AY1006),$AO$1006:$BQ$1006,0)), HYPERLINK("#",""), HYPERLINK(CONCATENATE("#Metadata!", ADDRESS(INDEX($AJ$2:$AJ$1001,MATCH(ROWS($AH$2:AH715),$AH$2:$AH$1001,0),0), INDEX($AO$1004:$BQ$1004,1,MATCH(COLUMNS($AO$1006:AY1006),$AO$1006:$BQ$1006,0)))),"Fix")))</f>
        <v>#N/A</v>
      </c>
      <c r="M715" s="5" t="e">
        <f ca="1">IF(OR(INDEX($AI$2:$AI$1001,MATCH(ROWS($AH$2:AH715),$AH$2:$AH$1001,0),1)&gt;=100000,INDEX($AO$1005:$BQ$1005,1,MATCH(COLUMNS($AO$1006:AZ1006),$AO$1006:$BQ$1006,0))&gt;=100000), " ",IF(INDEX($AO$2:$BQ$1001,MATCH(ROWS($AH$2:AH715),$AH$2:$AH$1001,0),MATCH(COLUMNS($AO$1006:AZ1006),$AO$1006:$BQ$1006,0)), HYPERLINK("#",""), HYPERLINK(CONCATENATE("#Metadata!", ADDRESS(INDEX($AJ$2:$AJ$1001,MATCH(ROWS($AH$2:AH715),$AH$2:$AH$1001,0),0), INDEX($AO$1004:$BQ$1004,1,MATCH(COLUMNS($AO$1006:AZ1006),$AO$1006:$BQ$1006,0)))),"Fix")))</f>
        <v>#N/A</v>
      </c>
      <c r="N715" s="5" t="e">
        <f ca="1">IF(OR(INDEX($AI$2:$AI$1001,MATCH(ROWS($AH$2:AH715),$AH$2:$AH$1001,0),1)&gt;=100000,INDEX($AO$1005:$BQ$1005,1,MATCH(COLUMNS($AO$1006:BA1006),$AO$1006:$BQ$1006,0))&gt;=100000), " ",IF(INDEX($AO$2:$BQ$1001,MATCH(ROWS($AH$2:AH715),$AH$2:$AH$1001,0),MATCH(COLUMNS($AO$1006:BA1006),$AO$1006:$BQ$1006,0)), HYPERLINK("#",""), HYPERLINK(CONCATENATE("#Metadata!", ADDRESS(INDEX($AJ$2:$AJ$1001,MATCH(ROWS($AH$2:AH715),$AH$2:$AH$1001,0),0), INDEX($AO$1004:$BQ$1004,1,MATCH(COLUMNS($AO$1006:BA1006),$AO$1006:$BQ$1006,0)))),"Fix")))</f>
        <v>#N/A</v>
      </c>
      <c r="O715" s="5" t="e">
        <f ca="1">IF(OR(INDEX($AI$2:$AI$1001,MATCH(ROWS($AH$2:AH715),$AH$2:$AH$1001,0),1)&gt;=100000,INDEX($AO$1005:$BQ$1005,1,MATCH(COLUMNS($AO$1006:BB1006),$AO$1006:$BQ$1006,0))&gt;=100000), " ",IF(INDEX($AO$2:$BQ$1001,MATCH(ROWS($AH$2:AH715),$AH$2:$AH$1001,0),MATCH(COLUMNS($AO$1006:BB1006),$AO$1006:$BQ$1006,0)), HYPERLINK("#",""), HYPERLINK(CONCATENATE("#Metadata!", ADDRESS(INDEX($AJ$2:$AJ$1001,MATCH(ROWS($AH$2:AH715),$AH$2:$AH$1001,0),0), INDEX($AO$1004:$BQ$1004,1,MATCH(COLUMNS($AO$1006:BB1006),$AO$1006:$BQ$1006,0)))),"Fix")))</f>
        <v>#N/A</v>
      </c>
      <c r="P715" s="5" t="e">
        <f ca="1">IF(OR(INDEX($AI$2:$AI$1001,MATCH(ROWS($AH$2:AH715),$AH$2:$AH$1001,0),1)&gt;=100000,INDEX($AO$1005:$BQ$1005,1,MATCH(COLUMNS($AO$1006:BC1006),$AO$1006:$BQ$1006,0))&gt;=100000), " ",IF(INDEX($AO$2:$BQ$1001,MATCH(ROWS($AH$2:AH715),$AH$2:$AH$1001,0),MATCH(COLUMNS($AO$1006:BC1006),$AO$1006:$BQ$1006,0)), HYPERLINK("#",""), HYPERLINK(CONCATENATE("#Metadata!", ADDRESS(INDEX($AJ$2:$AJ$1001,MATCH(ROWS($AH$2:AH715),$AH$2:$AH$1001,0),0), INDEX($AO$1004:$BQ$1004,1,MATCH(COLUMNS($AO$1006:BC1006),$AO$1006:$BQ$1006,0)))),"Fix")))</f>
        <v>#N/A</v>
      </c>
      <c r="Q715" s="5" t="e">
        <f ca="1">IF(OR(INDEX($AI$2:$AI$1001,MATCH(ROWS($AH$2:AH715),$AH$2:$AH$1001,0),1)&gt;=100000,INDEX($AO$1005:$BQ$1005,1,MATCH(COLUMNS($AO$1006:BD1006),$AO$1006:$BQ$1006,0))&gt;=100000), " ",IF(INDEX($AO$2:$BQ$1001,MATCH(ROWS($AH$2:AH715),$AH$2:$AH$1001,0),MATCH(COLUMNS($AO$1006:BD1006),$AO$1006:$BQ$1006,0)), HYPERLINK("#",""), HYPERLINK(CONCATENATE("#Metadata!", ADDRESS(INDEX($AJ$2:$AJ$1001,MATCH(ROWS($AH$2:AH715),$AH$2:$AH$1001,0),0), INDEX($AO$1004:$BQ$1004,1,MATCH(COLUMNS($AO$1006:BD1006),$AO$1006:$BQ$1006,0)))),"Fix")))</f>
        <v>#N/A</v>
      </c>
      <c r="R715" s="5" t="e">
        <f ca="1">IF(OR(INDEX($AI$2:$AI$1001,MATCH(ROWS($AH$2:AH715),$AH$2:$AH$1001,0),1)&gt;=100000,INDEX($AO$1005:$BQ$1005,1,MATCH(COLUMNS($AO$1006:BE1006),$AO$1006:$BQ$1006,0))&gt;=100000), " ",IF(INDEX($AO$2:$BQ$1001,MATCH(ROWS($AH$2:AH715),$AH$2:$AH$1001,0),MATCH(COLUMNS($AO$1006:BE1006),$AO$1006:$BQ$1006,0)), HYPERLINK("#",""), HYPERLINK(CONCATENATE("#Metadata!", ADDRESS(INDEX($AJ$2:$AJ$1001,MATCH(ROWS($AH$2:AH715),$AH$2:$AH$1001,0),0), INDEX($AO$1004:$BQ$1004,1,MATCH(COLUMNS($AO$1006:BE1006),$AO$1006:$BQ$1006,0)))),"Fix")))</f>
        <v>#N/A</v>
      </c>
      <c r="S715" s="5" t="e">
        <f ca="1">IF(OR(INDEX($AI$2:$AI$1001,MATCH(ROWS($AH$2:AH715),$AH$2:$AH$1001,0),1)&gt;=100000,INDEX($AO$1005:$BQ$1005,1,MATCH(COLUMNS($AO$1006:BF1006),$AO$1006:$BQ$1006,0))&gt;=100000), " ",IF(INDEX($AO$2:$BQ$1001,MATCH(ROWS($AH$2:AH715),$AH$2:$AH$1001,0),MATCH(COLUMNS($AO$1006:BF1006),$AO$1006:$BQ$1006,0)), HYPERLINK("#",""), HYPERLINK(CONCATENATE("#Metadata!", ADDRESS(INDEX($AJ$2:$AJ$1001,MATCH(ROWS($AH$2:AH715),$AH$2:$AH$1001,0),0), INDEX($AO$1004:$BQ$1004,1,MATCH(COLUMNS($AO$1006:BF1006),$AO$1006:$BQ$1006,0)))),"Fix")))</f>
        <v>#N/A</v>
      </c>
      <c r="T715" s="5" t="e">
        <f ca="1">IF(OR(INDEX($AI$2:$AI$1001,MATCH(ROWS($AH$2:AH715),$AH$2:$AH$1001,0),1)&gt;=100000,INDEX($AO$1005:$BQ$1005,1,MATCH(COLUMNS($AO$1006:BG1006),$AO$1006:$BQ$1006,0))&gt;=100000), " ",IF(INDEX($AO$2:$BQ$1001,MATCH(ROWS($AH$2:AH715),$AH$2:$AH$1001,0),MATCH(COLUMNS($AO$1006:BG1006),$AO$1006:$BQ$1006,0)), HYPERLINK("#",""), HYPERLINK(CONCATENATE("#Metadata!", ADDRESS(INDEX($AJ$2:$AJ$1001,MATCH(ROWS($AH$2:AH715),$AH$2:$AH$1001,0),0), INDEX($AO$1004:$BQ$1004,1,MATCH(COLUMNS($AO$1006:BG1006),$AO$1006:$BQ$1006,0)))),"Fix")))</f>
        <v>#N/A</v>
      </c>
      <c r="U715" s="5" t="e">
        <f ca="1">IF(OR(INDEX($AI$2:$AI$1001,MATCH(ROWS($AH$2:AH715),$AH$2:$AH$1001,0),1)&gt;=100000,INDEX($AO$1005:$BQ$1005,1,MATCH(COLUMNS($AO$1006:BH1006),$AO$1006:$BQ$1006,0))&gt;=100000), " ",IF(INDEX($AO$2:$BQ$1001,MATCH(ROWS($AH$2:AH715),$AH$2:$AH$1001,0),MATCH(COLUMNS($AO$1006:BH1006),$AO$1006:$BQ$1006,0)), HYPERLINK("#",""), HYPERLINK(CONCATENATE("#Metadata!", ADDRESS(INDEX($AJ$2:$AJ$1001,MATCH(ROWS($AH$2:AH715),$AH$2:$AH$1001,0),0), INDEX($AO$1004:$BQ$1004,1,MATCH(COLUMNS($AO$1006:BH1006),$AO$1006:$BQ$1006,0)))),"Fix")))</f>
        <v>#N/A</v>
      </c>
      <c r="V715" s="5" t="e">
        <f ca="1">IF(OR(INDEX($AI$2:$AI$1001,MATCH(ROWS($AH$2:AH715),$AH$2:$AH$1001,0),1)&gt;=100000,INDEX($AO$1005:$BQ$1005,1,MATCH(COLUMNS($AO$1006:BI1006),$AO$1006:$BQ$1006,0))&gt;=100000), " ",IF(INDEX($AO$2:$BQ$1001,MATCH(ROWS($AH$2:AH715),$AH$2:$AH$1001,0),MATCH(COLUMNS($AO$1006:BI1006),$AO$1006:$BQ$1006,0)), HYPERLINK("#",""), HYPERLINK(CONCATENATE("#Metadata!", ADDRESS(INDEX($AJ$2:$AJ$1001,MATCH(ROWS($AH$2:AH715),$AH$2:$AH$1001,0),0), INDEX($AO$1004:$BQ$1004,1,MATCH(COLUMNS($AO$1006:BI1006),$AO$1006:$BQ$1006,0)))),"Fix")))</f>
        <v>#N/A</v>
      </c>
      <c r="W715" s="5" t="e">
        <f ca="1">IF(OR(INDEX($AI$2:$AI$1001,MATCH(ROWS($AH$2:AH715),$AH$2:$AH$1001,0),1)&gt;=100000,INDEX($AO$1005:$BQ$1005,1,MATCH(COLUMNS($AO$1006:BJ1006),$AO$1006:$BQ$1006,0))&gt;=100000), " ",IF(INDEX($AO$2:$BQ$1001,MATCH(ROWS($AH$2:AH715),$AH$2:$AH$1001,0),MATCH(COLUMNS($AO$1006:BJ1006),$AO$1006:$BQ$1006,0)), HYPERLINK("#",""), HYPERLINK(CONCATENATE("#Metadata!", ADDRESS(INDEX($AJ$2:$AJ$1001,MATCH(ROWS($AH$2:AH715),$AH$2:$AH$1001,0),0), INDEX($AO$1004:$BQ$1004,1,MATCH(COLUMNS($AO$1006:BJ1006),$AO$1006:$BQ$1006,0)))),"Fix")))</f>
        <v>#N/A</v>
      </c>
      <c r="X715" s="5" t="e">
        <f ca="1">IF(OR(INDEX($AI$2:$AI$1001,MATCH(ROWS($AH$2:AH715),$AH$2:$AH$1001,0),1)&gt;=100000,INDEX($AO$1005:$BQ$1005,1,MATCH(COLUMNS($AO$1006:BK1006),$AO$1006:$BQ$1006,0))&gt;=100000), " ",IF(INDEX($AO$2:$BQ$1001,MATCH(ROWS($AH$2:AH715),$AH$2:$AH$1001,0),MATCH(COLUMNS($AO$1006:BK1006),$AO$1006:$BQ$1006,0)), HYPERLINK("#",""), HYPERLINK(CONCATENATE("#Metadata!", ADDRESS(INDEX($AJ$2:$AJ$1001,MATCH(ROWS($AH$2:AH715),$AH$2:$AH$1001,0),0), INDEX($AO$1004:$BQ$1004,1,MATCH(COLUMNS($AO$1006:BK1006),$AO$1006:$BQ$1006,0)))),"Fix")))</f>
        <v>#N/A</v>
      </c>
      <c r="Y715" s="5" t="e">
        <f ca="1">IF(OR(INDEX($AI$2:$AI$1001,MATCH(ROWS($AH$2:AH715),$AH$2:$AH$1001,0),1)&gt;=100000,INDEX($AO$1005:$BQ$1005,1,MATCH(COLUMNS($AO$1006:BL1006),$AO$1006:$BQ$1006,0))&gt;=100000), " ",IF(INDEX($AO$2:$BQ$1001,MATCH(ROWS($AH$2:AH715),$AH$2:$AH$1001,0),MATCH(COLUMNS($AO$1006:BL1006),$AO$1006:$BQ$1006,0)), HYPERLINK("#",""), HYPERLINK(CONCATENATE("#Metadata!", ADDRESS(INDEX($AJ$2:$AJ$1001,MATCH(ROWS($AH$2:AH715),$AH$2:$AH$1001,0),0), INDEX($AO$1004:$BQ$1004,1,MATCH(COLUMNS($AO$1006:BL1006),$AO$1006:$BQ$1006,0)))),"Fix")))</f>
        <v>#N/A</v>
      </c>
      <c r="Z715" s="5" t="e">
        <f ca="1">IF(OR(INDEX($AI$2:$AI$1001,MATCH(ROWS($AH$2:AH715),$AH$2:$AH$1001,0),1)&gt;=100000,INDEX($AO$1005:$BQ$1005,1,MATCH(COLUMNS($AO$1006:BM1006),$AO$1006:$BQ$1006,0))&gt;=100000), " ",IF(INDEX($AO$2:$BQ$1001,MATCH(ROWS($AH$2:AH715),$AH$2:$AH$1001,0),MATCH(COLUMNS($AO$1006:BM1006),$AO$1006:$BQ$1006,0)), HYPERLINK("#",""), HYPERLINK(CONCATENATE("#Metadata!", ADDRESS(INDEX($AJ$2:$AJ$1001,MATCH(ROWS($AH$2:AH715),$AH$2:$AH$1001,0),0), INDEX($AO$1004:$BQ$1004,1,MATCH(COLUMNS($AO$1006:BM1006),$AO$1006:$BQ$1006,0)))),"Fix")))</f>
        <v>#N/A</v>
      </c>
      <c r="AA715" s="5" t="e">
        <f ca="1">IF(OR(INDEX($AI$2:$AI$1001,MATCH(ROWS($AH$2:AH715),$AH$2:$AH$1001,0),1)&gt;=100000,INDEX($AO$1005:$BQ$1005,1,MATCH(COLUMNS($AO$1006:BN1006),$AO$1006:$BQ$1006,0))&gt;=100000), " ",IF(INDEX($AO$2:$BQ$1001,MATCH(ROWS($AH$2:AH715),$AH$2:$AH$1001,0),MATCH(COLUMNS($AO$1006:BN1006),$AO$1006:$BQ$1006,0)), HYPERLINK("#",""), HYPERLINK(CONCATENATE("#Metadata!", ADDRESS(INDEX($AJ$2:$AJ$1001,MATCH(ROWS($AH$2:AH715),$AH$2:$AH$1001,0),0), INDEX($AO$1004:$BQ$1004,1,MATCH(COLUMNS($AO$1006:BN1006),$AO$1006:$BQ$1006,0)))),"Fix")))</f>
        <v>#N/A</v>
      </c>
      <c r="AB715" s="5" t="e">
        <f ca="1">IF(OR(INDEX($AI$2:$AI$1001,MATCH(ROWS($AH$2:AH715),$AH$2:$AH$1001,0),1)&gt;=100000,INDEX($AO$1005:$BQ$1005,1,MATCH(COLUMNS($AO$1006:BO1006),$AO$1006:$BQ$1006,0))&gt;=100000), " ",IF(INDEX($AO$2:$BQ$1001,MATCH(ROWS($AH$2:AH715),$AH$2:$AH$1001,0),MATCH(COLUMNS($AO$1006:BO1006),$AO$1006:$BQ$1006,0)), HYPERLINK("#",""), HYPERLINK(CONCATENATE("#Metadata!", ADDRESS(INDEX($AJ$2:$AJ$1001,MATCH(ROWS($AH$2:AH715),$AH$2:$AH$1001,0),0), INDEX($AO$1004:$BQ$1004,1,MATCH(COLUMNS($AO$1006:BO1006),$AO$1006:$BQ$1006,0)))),"Fix")))</f>
        <v>#N/A</v>
      </c>
      <c r="AC715" s="5" t="e">
        <f ca="1">IF(OR(INDEX($AI$2:$AI$1001,MATCH(ROWS($AH$2:AH715),$AH$2:$AH$1001,0),1)&gt;=100000,INDEX($AO$1005:$BQ$1005,1,MATCH(COLUMNS($AO$1006:BP1006),$AO$1006:$BQ$1006,0))&gt;=100000), " ",IF(INDEX($AO$2:$BQ$1001,MATCH(ROWS($AH$2:AH715),$AH$2:$AH$1001,0),MATCH(COLUMNS($AO$1006:BP1006),$AO$1006:$BQ$1006,0)), HYPERLINK("#",""), HYPERLINK(CONCATENATE("#Metadata!", ADDRESS(INDEX($AJ$2:$AJ$1001,MATCH(ROWS($AH$2:AH715),$AH$2:$AH$1001,0),0), INDEX($AO$1004:$BQ$1004,1,MATCH(COLUMNS($AO$1006:BP1006),$AO$1006:$BQ$1006,0)))),"Fix")))</f>
        <v>#N/A</v>
      </c>
      <c r="AD715" s="5" t="e">
        <f ca="1">IF(OR(INDEX($AI$2:$AI$1001,MATCH(ROWS($AH$2:AH715),$AH$2:$AH$1001,0),1)&gt;=100000,INDEX($AO$1005:$BQ$1005,1,MATCH(COLUMNS($AO$1006:BQ1006),$AO$1006:$BQ$1006,0))&gt;=100000), " ",IF(INDEX($AO$2:$BQ$1001,MATCH(ROWS($AH$2:AH715),$AH$2:$AH$1001,0),MATCH(COLUMNS($AO$1006:BQ1006),$AO$1006:$BQ$1006,0)), HYPERLINK("#",""), HYPERLINK(CONCATENATE("#Metadata!", ADDRESS(INDEX($AJ$2:$AJ$1001,MATCH(ROWS($AH$2:AH715),$AH$2:$AH$1001,0),0), INDEX($AO$1004:$BQ$1004,1,MATCH(COLUMNS($AO$1006:BQ1006),$AO$1006:$BQ$1006,0)))),"Fix")))</f>
        <v>#REF!</v>
      </c>
      <c r="AH715">
        <f ca="1"/>
        <v>712</v>
      </c>
      <c r="AI715">
        <v>100715</v>
      </c>
      <c r="AJ715">
        <v>715</v>
      </c>
      <c r="AK715" t="b">
        <f t="shared" si="11"/>
        <v>1</v>
      </c>
      <c r="AL715" t="b">
        <f>COUNTBLANK(Metadata!B715:AD715)=COLUMNS(Metadata!B715:AD715)</f>
        <v>1</v>
      </c>
      <c r="AM715" t="str">
        <v/>
      </c>
      <c r="AO715" t="b">
        <f ca="1">AND(IF(Metadata!B715="",FALSE,TRUE),COUNTIF(Metadata!B:B, Metadata!B715) = 1,NOT(ISERROR(SUMPRODUCT(SEARCH(MID(Metadata!B715,ROW(INDIRECT("1:"&amp;LEN(Metadata!B715))), 1),"0123456789abcdefghijklmnopqrstuvwxyzABCDEFGHIJKLMNOPQRSTUVWXYZ.")))))</f>
        <v>0</v>
      </c>
      <c r="AP715" t="b">
        <f>IF(Metadata!C715="",FALSE,TRUE)</f>
        <v>0</v>
      </c>
      <c r="AQ715" t="b">
        <f>IF(Metadata!D715="",FALSE,TRUE)</f>
        <v>0</v>
      </c>
      <c r="AR715" t="b">
        <f ca="1">OR(AND(IF(Metadata!E715="",FALSE,TRUE),OR(EXACT(Metadata!E715,"not collected"),EXACT(Metadata!E715,"not provided"),EXACT(Metadata!E715,"restricted access"))),AND(IF(Metadata!E715="",FALSE,TRUE),AND(AND(IFERROR(INT(LEFT(Metadata!E715,4))&gt;1900,FALSE),IFERROR(INT(LEFT(Metadata!E715,4))&lt;=YEAR(NOW()),FALSE)), OR(MID(Metadata!E715,5,1)="", AND(AND(MID(Metadata!E715,5,1)="-",IFERROR(INT(MID(Metadata!E715,6,1))&gt;=0,FALSE),IFERROR(INT(MID(Metadata!E715,6,1))&lt;=1,FALSE),NOT(MID(Metadata!E715,7,1)=""),IFERROR(INT(MID(Metadata!E715,6,2))&gt;=1,FALSE),IFERROR(INT(MID(Metadata!E715,6,2))&lt;=12,FALSE)), OR(MID(Metadata!E715,8,1)="", AND(AND(MID(Metadata!E715,8,1)="-",IFERROR(INT(MID(Metadata!E715,9,1))&gt;=0,FALSE),IFERROR(INT(MID(Metadata!E715,9,1))&lt;=3,FALSE),NOT(MID(Metadata!E715,10,1)=""),IFERROR(INT(MID(Metadata!E715,9,2))&gt;=1,FALSE),IFERROR(INT(MID(Metadata!E715,9,2))&lt;=31,FALSE)), OR(MID(Metadata!E715,11,1)="", AND(AND(MID(Metadata!E715,11,1)=" ",IFERROR(INT(MID(Metadata!E715,12,1))&gt;=0,FALSE),IFERROR(INT(MID(Metadata!E715,12,1))&lt;=2,FALSE),NOT(MID(Metadata!E715,13,1)=""),IFERROR(INT(MID(Metadata!E715,12,2))&gt;=0,FALSE),IFERROR(INT(MID(Metadata!E715,12,2))&lt;=23,FALSE)), OR(MID(Metadata!E715,14,1)="", AND(AND(MID(Metadata!E715,14,1)=":",IFERROR(INT(MID(Metadata!E715,15,1))&gt;=0,FALSE),IFERROR(INT(MID(Metadata!E715,15,1))&lt;=5,FALSE),NOT(MID(Metadata!E715,16,1)=""),IFERROR(INT(MID(Metadata!E715,15,2))&gt;=0,FALSE),IFERROR(INT(MID(Metadata!E715,15,2))&lt;=59,FALSE)), OR(MID(Metadata!E715,17,1)="", AND(AND(MID(Metadata!E715,17,1)=":",IFERROR(INT(MID(Metadata!E715,18,1))&gt;=0,FALSE),IFERROR(INT(MID(Metadata!E715,18,1))&lt;=5,FALSE),NOT(MID(Metadata!E715,19,1)=""),IFERROR(INT(MID(Metadata!E715,18,2))&gt;=0,FALSE),IFERROR(INT(MID(Metadata!E715,18,2))&lt;=59,FALSE)), LEN(Metadata!E715)&lt;=19)))))))))))))</f>
        <v>0</v>
      </c>
      <c r="AS715" t="b">
        <f>IF(Metadata!F715="",FALSE,TRUE)</f>
        <v>0</v>
      </c>
      <c r="AT715" t="b">
        <f>OR(AND(IF(Metadata!G715="",FALSE,TRUE),OR(EXACT(Metadata!G715,"not collected"),EXACT(Metadata!G715,"not provided"))),AND(IF(Metadata!G715="",FALSE,TRUE),OR(EXACT(Metadata!G715,"TRUE"),EXACT(Metadata!G715,"FALSE"))))</f>
        <v>0</v>
      </c>
      <c r="AU715" t="b">
        <f>OR(AND(IF(Metadata!H715="",FALSE,TRUE),OR(EXACT(Metadata!H715,"not collected"),EXACT(Metadata!H715,"not provided"),EXACT(Metadata!H715,"restricted access"))),AND(IF(Metadata!H715="",FALSE,ISNUMBER(VALUE(Metadata!H715))),Metadata!H715&gt;=-413))</f>
        <v>0</v>
      </c>
      <c r="AV715" t="b">
        <f>AND(IF(Metadata!I715="",FALSE,TRUE),EXACT(Metadata!I715,"meters"))</f>
        <v>0</v>
      </c>
      <c r="AW715" t="b">
        <f>AND(IF(Metadata!J715="",FALSE,TRUE),EXACT(Metadata!J715,"free-living"))</f>
        <v>0</v>
      </c>
      <c r="AX715" t="b">
        <f>AND(IF(Metadata!K715="",FALSE,TRUE),OR(EXACT(Metadata!K715,"saline"),EXACT(Metadata!K715,"non-saline")))</f>
        <v>0</v>
      </c>
      <c r="AY715" t="b">
        <f>AND(IF(Metadata!L715="",FALSE,TRUE),OR(EXACT(Metadata!L715,"sub-surface (non-saline)"),EXACT(Metadata!L715,"surface (non-saline)"),EXACT(Metadata!L715,"water (non-saline)"),EXACT(Metadata!L715,"soil (non-saline)"),EXACT(Metadata!L715,"aerosol (non-saline)"),EXACT(Metadata!L715,"sediment (non-saline)"),EXACT(Metadata!L715,"surface (saline)"),EXACT(Metadata!L715,"water (saline)"),EXACT(Metadata!L715,"hypersaline (saline)"),EXACT(Metadata!L715,"aerosol (saline)"),EXACT(Metadata!L715,"sediment (saline)")))</f>
        <v>0</v>
      </c>
      <c r="AZ715" t="b">
        <f>IF(Metadata!M715="",FALSE,TRUE)</f>
        <v>0</v>
      </c>
      <c r="BA715" t="b">
        <f>IF(Metadata!N715="",FALSE,TRUE)</f>
        <v>0</v>
      </c>
      <c r="BB715" t="b">
        <f>IF(Metadata!O715="",FALSE,TRUE)</f>
        <v>0</v>
      </c>
      <c r="BC715" t="b">
        <f>AND(IF(Metadata!P715="",FALSE,TRUE),OR(EXACT(Metadata!P715,"air"),EXACT(Metadata!P715,"microbial mat/biofilm"),EXACT(Metadata!P715,"misc environment"),EXACT(Metadata!P715,"sediment"),EXACT(Metadata!P715,"soil"),EXACT(Metadata!P715,"wastewater/sludge"),EXACT(Metadata!P715,"water")))</f>
        <v>0</v>
      </c>
      <c r="BD715" t="b">
        <f>IF(Metadata!Q715="",FALSE,TRUE)</f>
        <v>0</v>
      </c>
      <c r="BE715" t="b">
        <f>IF(Metadata!R715="",FALSE,TRUE)</f>
        <v>0</v>
      </c>
      <c r="BF715" t="b">
        <f>OR(AND(IF(Metadata!S715="",FALSE,TRUE),OR(EXACT(Metadata!S715,"not collected"),EXACT(Metadata!S715,"not provided"),EXACT(Metadata!S715,"restricted access"))),AND(IF(Metadata!S715="",FALSE,ISNUMBER(VALUE(Metadata!S715))),Metadata!S715&gt;=-90,Metadata!S715&lt;=90))</f>
        <v>0</v>
      </c>
      <c r="BG715" t="b">
        <f>AND(IF(Metadata!T715="",FALSE,TRUE),EXACT(Metadata!T715,"Decimal degrees"))</f>
        <v>0</v>
      </c>
      <c r="BH715" t="b">
        <f>OR(AND(IF(Metadata!U715="",FALSE,TRUE),OR(EXACT(Metadata!U715,"not applicable"),EXACT(Metadata!U715,"not collected"))),IF(Metadata!U715="",FALSE,TRUE))</f>
        <v>0</v>
      </c>
      <c r="BI715" t="b">
        <f>OR(AND(IF(Metadata!V715="",FALSE,TRUE),OR(EXACT(Metadata!V715,"not collected"),EXACT(Metadata!V715,"not provided"),EXACT(Metadata!V715,"restricted access"))),AND(IF(Metadata!V715="",FALSE,ISNUMBER(VALUE(Metadata!V715))),Metadata!V715&gt;=-180,Metadata!V715&lt;=180))</f>
        <v>0</v>
      </c>
      <c r="BJ715" t="b">
        <f>AND(IF(Metadata!W715="",FALSE,TRUE),EXACT(Metadata!W715,"Decimal degrees"))</f>
        <v>0</v>
      </c>
      <c r="BK715" t="b">
        <f>IF(Metadata!X715="",FALSE,TRUE)</f>
        <v>0</v>
      </c>
      <c r="BL715" t="b">
        <f>OR(AND(IF(Metadata!Y715="",FALSE,TRUE),OR(EXACT(Metadata!Y715,"not collected"),EXACT(Metadata!Y715,"not provided"),EXACT(Metadata!Y715,"restricted access"))),AND(IF(Metadata!Y715="",FALSE,TRUE),OR(EXACT(Metadata!Y715,"TRUE"),EXACT(Metadata!Y715,"FALSE"))))</f>
        <v>0</v>
      </c>
      <c r="BM715" t="b">
        <f>OR(AND(IF(Metadata!Z715="",FALSE,TRUE),EXACT(Metadata!Z715,"not applicable")),AND(IF(Metadata!Z715="",FALSE,TRUE),OR(EXACT(Metadata!Z715,"beer"),EXACT(Metadata!Z715,"cheese"),EXACT(Metadata!Z715,"fresh water"),EXACT(Metadata!Z715,"marine sediment"),EXACT(Metadata!Z715,"sea water"),EXACT(Metadata!Z715,"sediment"),EXACT(Metadata!Z715,"soil"),EXACT(Metadata!Z715,"waste water"))))</f>
        <v>0</v>
      </c>
      <c r="BN715" t="b">
        <f>AND(IF(Metadata!AA715="",FALSE,TRUE),EXACT(Metadata!AA715,"metagenome"))</f>
        <v>0</v>
      </c>
      <c r="BO715" t="b">
        <f>AND(IF(Metadata!AB715="",FALSE,TRUE),EXACT(Metadata!AB715,"256318"))</f>
        <v>0</v>
      </c>
      <c r="BP715" t="b">
        <f>IF(Metadata!AC715="",FALSE,TRUE)</f>
        <v>0</v>
      </c>
      <c r="BQ715" t="b">
        <f>IF(Metadata!AD715="",FALSE,TRUE)</f>
        <v>0</v>
      </c>
    </row>
    <row r="716" spans="1:69" x14ac:dyDescent="0.2">
      <c r="A716" s="4" t="e">
        <f ca="1">IF(B716=" "," ",HYPERLINK(CONCATENATE("#metadata!",ADDRESS(INDEX($AJ$2:$AJ$1001,MATCH(ROWS($AH$2:AH716),$AH$2:$AH$1001,0),0),2)),INDEX($AM$2:$AM$1001,MATCH(ROWS($AH$2:AH716),$AH$2:$AH$1001,0),0)))</f>
        <v>#N/A</v>
      </c>
      <c r="B716" s="5" t="e">
        <f ca="1">IF(OR(INDEX($AI$2:$AI$1001,MATCH(ROWS($AH$2:AH716),$AH$2:$AH$1001,0),1)&gt;=100000,INDEX($AO$1005:$BQ$1005,1,MATCH(COLUMNS($AO$1006:AO1006),$AO$1006:$BQ$1006,0))&gt;=100000), " ",IF(INDEX($AO$2:$BQ$1001,MATCH(ROWS($AH$2:AH716),$AH$2:$AH$1001,0),MATCH(COLUMNS($AO$1006:AO1006),$AO$1006:$BQ$1006,0)), HYPERLINK("#",""), HYPERLINK(CONCATENATE("#Metadata!", ADDRESS(INDEX($AJ$2:$AJ$1001,MATCH(ROWS($AH$2:AH716),$AH$2:$AH$1001,0),0), INDEX($AO$1004:$BQ$1004,1,MATCH(COLUMNS($AO$1006:AO1006),$AO$1006:$BQ$1006,0)))),"Fix")))</f>
        <v>#N/A</v>
      </c>
      <c r="C716" s="5" t="e">
        <f ca="1">IF(OR(INDEX($AI$2:$AI$1001,MATCH(ROWS($AH$2:AH716),$AH$2:$AH$1001,0),1)&gt;=100000,INDEX($AO$1005:$BQ$1005,1,MATCH(COLUMNS($AO$1006:AP1006),$AO$1006:$BQ$1006,0))&gt;=100000), " ",IF(INDEX($AO$2:$BQ$1001,MATCH(ROWS($AH$2:AH716),$AH$2:$AH$1001,0),MATCH(COLUMNS($AO$1006:AP1006),$AO$1006:$BQ$1006,0)), HYPERLINK("#",""), HYPERLINK(CONCATENATE("#Metadata!", ADDRESS(INDEX($AJ$2:$AJ$1001,MATCH(ROWS($AH$2:AH716),$AH$2:$AH$1001,0),0), INDEX($AO$1004:$BQ$1004,1,MATCH(COLUMNS($AO$1006:AP1006),$AO$1006:$BQ$1006,0)))),"Fix")))</f>
        <v>#N/A</v>
      </c>
      <c r="D716" s="5" t="e">
        <f ca="1">IF(OR(INDEX($AI$2:$AI$1001,MATCH(ROWS($AH$2:AH716),$AH$2:$AH$1001,0),1)&gt;=100000,INDEX($AO$1005:$BQ$1005,1,MATCH(COLUMNS($AO$1006:AQ1006),$AO$1006:$BQ$1006,0))&gt;=100000), " ",IF(INDEX($AO$2:$BQ$1001,MATCH(ROWS($AH$2:AH716),$AH$2:$AH$1001,0),MATCH(COLUMNS($AO$1006:AQ1006),$AO$1006:$BQ$1006,0)), HYPERLINK("#",""), HYPERLINK(CONCATENATE("#Metadata!", ADDRESS(INDEX($AJ$2:$AJ$1001,MATCH(ROWS($AH$2:AH716),$AH$2:$AH$1001,0),0), INDEX($AO$1004:$BQ$1004,1,MATCH(COLUMNS($AO$1006:AQ1006),$AO$1006:$BQ$1006,0)))),"Fix")))</f>
        <v>#N/A</v>
      </c>
      <c r="E716" s="5" t="e">
        <f ca="1">IF(OR(INDEX($AI$2:$AI$1001,MATCH(ROWS($AH$2:AH716),$AH$2:$AH$1001,0),1)&gt;=100000,INDEX($AO$1005:$BQ$1005,1,MATCH(COLUMNS($AO$1006:AR1006),$AO$1006:$BQ$1006,0))&gt;=100000), " ",IF(INDEX($AO$2:$BQ$1001,MATCH(ROWS($AH$2:AH716),$AH$2:$AH$1001,0),MATCH(COLUMNS($AO$1006:AR1006),$AO$1006:$BQ$1006,0)), HYPERLINK("#",""), HYPERLINK(CONCATENATE("#Metadata!", ADDRESS(INDEX($AJ$2:$AJ$1001,MATCH(ROWS($AH$2:AH716),$AH$2:$AH$1001,0),0), INDEX($AO$1004:$BQ$1004,1,MATCH(COLUMNS($AO$1006:AR1006),$AO$1006:$BQ$1006,0)))),"Fix")))</f>
        <v>#N/A</v>
      </c>
      <c r="F716" s="5" t="e">
        <f ca="1">IF(OR(INDEX($AI$2:$AI$1001,MATCH(ROWS($AH$2:AH716),$AH$2:$AH$1001,0),1)&gt;=100000,INDEX($AO$1005:$BQ$1005,1,MATCH(COLUMNS($AO$1006:AS1006),$AO$1006:$BQ$1006,0))&gt;=100000), " ",IF(INDEX($AO$2:$BQ$1001,MATCH(ROWS($AH$2:AH716),$AH$2:$AH$1001,0),MATCH(COLUMNS($AO$1006:AS1006),$AO$1006:$BQ$1006,0)), HYPERLINK("#",""), HYPERLINK(CONCATENATE("#Metadata!", ADDRESS(INDEX($AJ$2:$AJ$1001,MATCH(ROWS($AH$2:AH716),$AH$2:$AH$1001,0),0), INDEX($AO$1004:$BQ$1004,1,MATCH(COLUMNS($AO$1006:AS1006),$AO$1006:$BQ$1006,0)))),"Fix")))</f>
        <v>#N/A</v>
      </c>
      <c r="G716" s="5" t="e">
        <f ca="1">IF(OR(INDEX($AI$2:$AI$1001,MATCH(ROWS($AH$2:AH716),$AH$2:$AH$1001,0),1)&gt;=100000,INDEX($AO$1005:$BQ$1005,1,MATCH(COLUMNS($AO$1006:AT1006),$AO$1006:$BQ$1006,0))&gt;=100000), " ",IF(INDEX($AO$2:$BQ$1001,MATCH(ROWS($AH$2:AH716),$AH$2:$AH$1001,0),MATCH(COLUMNS($AO$1006:AT1006),$AO$1006:$BQ$1006,0)), HYPERLINK("#",""), HYPERLINK(CONCATENATE("#Metadata!", ADDRESS(INDEX($AJ$2:$AJ$1001,MATCH(ROWS($AH$2:AH716),$AH$2:$AH$1001,0),0), INDEX($AO$1004:$BQ$1004,1,MATCH(COLUMNS($AO$1006:AT1006),$AO$1006:$BQ$1006,0)))),"Fix")))</f>
        <v>#N/A</v>
      </c>
      <c r="H716" s="5" t="e">
        <f ca="1">IF(OR(INDEX($AI$2:$AI$1001,MATCH(ROWS($AH$2:AH716),$AH$2:$AH$1001,0),1)&gt;=100000,INDEX($AO$1005:$BQ$1005,1,MATCH(COLUMNS($AO$1006:AU1006),$AO$1006:$BQ$1006,0))&gt;=100000), " ",IF(INDEX($AO$2:$BQ$1001,MATCH(ROWS($AH$2:AH716),$AH$2:$AH$1001,0),MATCH(COLUMNS($AO$1006:AU1006),$AO$1006:$BQ$1006,0)), HYPERLINK("#",""), HYPERLINK(CONCATENATE("#Metadata!", ADDRESS(INDEX($AJ$2:$AJ$1001,MATCH(ROWS($AH$2:AH716),$AH$2:$AH$1001,0),0), INDEX($AO$1004:$BQ$1004,1,MATCH(COLUMNS($AO$1006:AU1006),$AO$1006:$BQ$1006,0)))),"Fix")))</f>
        <v>#N/A</v>
      </c>
      <c r="I716" s="5" t="e">
        <f ca="1">IF(OR(INDEX($AI$2:$AI$1001,MATCH(ROWS($AH$2:AH716),$AH$2:$AH$1001,0),1)&gt;=100000,INDEX($AO$1005:$BQ$1005,1,MATCH(COLUMNS($AO$1006:AV1006),$AO$1006:$BQ$1006,0))&gt;=100000), " ",IF(INDEX($AO$2:$BQ$1001,MATCH(ROWS($AH$2:AH716),$AH$2:$AH$1001,0),MATCH(COLUMNS($AO$1006:AV1006),$AO$1006:$BQ$1006,0)), HYPERLINK("#",""), HYPERLINK(CONCATENATE("#Metadata!", ADDRESS(INDEX($AJ$2:$AJ$1001,MATCH(ROWS($AH$2:AH716),$AH$2:$AH$1001,0),0), INDEX($AO$1004:$BQ$1004,1,MATCH(COLUMNS($AO$1006:AV1006),$AO$1006:$BQ$1006,0)))),"Fix")))</f>
        <v>#N/A</v>
      </c>
      <c r="J716" s="5" t="e">
        <f ca="1">IF(OR(INDEX($AI$2:$AI$1001,MATCH(ROWS($AH$2:AH716),$AH$2:$AH$1001,0),1)&gt;=100000,INDEX($AO$1005:$BQ$1005,1,MATCH(COLUMNS($AO$1006:AW1006),$AO$1006:$BQ$1006,0))&gt;=100000), " ",IF(INDEX($AO$2:$BQ$1001,MATCH(ROWS($AH$2:AH716),$AH$2:$AH$1001,0),MATCH(COLUMNS($AO$1006:AW1006),$AO$1006:$BQ$1006,0)), HYPERLINK("#",""), HYPERLINK(CONCATENATE("#Metadata!", ADDRESS(INDEX($AJ$2:$AJ$1001,MATCH(ROWS($AH$2:AH716),$AH$2:$AH$1001,0),0), INDEX($AO$1004:$BQ$1004,1,MATCH(COLUMNS($AO$1006:AW1006),$AO$1006:$BQ$1006,0)))),"Fix")))</f>
        <v>#N/A</v>
      </c>
      <c r="K716" s="5" t="e">
        <f ca="1">IF(OR(INDEX($AI$2:$AI$1001,MATCH(ROWS($AH$2:AH716),$AH$2:$AH$1001,0),1)&gt;=100000,INDEX($AO$1005:$BQ$1005,1,MATCH(COLUMNS($AO$1006:AX1006),$AO$1006:$BQ$1006,0))&gt;=100000), " ",IF(INDEX($AO$2:$BQ$1001,MATCH(ROWS($AH$2:AH716),$AH$2:$AH$1001,0),MATCH(COLUMNS($AO$1006:AX1006),$AO$1006:$BQ$1006,0)), HYPERLINK("#",""), HYPERLINK(CONCATENATE("#Metadata!", ADDRESS(INDEX($AJ$2:$AJ$1001,MATCH(ROWS($AH$2:AH716),$AH$2:$AH$1001,0),0), INDEX($AO$1004:$BQ$1004,1,MATCH(COLUMNS($AO$1006:AX1006),$AO$1006:$BQ$1006,0)))),"Fix")))</f>
        <v>#N/A</v>
      </c>
      <c r="L716" s="5" t="e">
        <f ca="1">IF(OR(INDEX($AI$2:$AI$1001,MATCH(ROWS($AH$2:AH716),$AH$2:$AH$1001,0),1)&gt;=100000,INDEX($AO$1005:$BQ$1005,1,MATCH(COLUMNS($AO$1006:AY1006),$AO$1006:$BQ$1006,0))&gt;=100000), " ",IF(INDEX($AO$2:$BQ$1001,MATCH(ROWS($AH$2:AH716),$AH$2:$AH$1001,0),MATCH(COLUMNS($AO$1006:AY1006),$AO$1006:$BQ$1006,0)), HYPERLINK("#",""), HYPERLINK(CONCATENATE("#Metadata!", ADDRESS(INDEX($AJ$2:$AJ$1001,MATCH(ROWS($AH$2:AH716),$AH$2:$AH$1001,0),0), INDEX($AO$1004:$BQ$1004,1,MATCH(COLUMNS($AO$1006:AY1006),$AO$1006:$BQ$1006,0)))),"Fix")))</f>
        <v>#N/A</v>
      </c>
      <c r="M716" s="5" t="e">
        <f ca="1">IF(OR(INDEX($AI$2:$AI$1001,MATCH(ROWS($AH$2:AH716),$AH$2:$AH$1001,0),1)&gt;=100000,INDEX($AO$1005:$BQ$1005,1,MATCH(COLUMNS($AO$1006:AZ1006),$AO$1006:$BQ$1006,0))&gt;=100000), " ",IF(INDEX($AO$2:$BQ$1001,MATCH(ROWS($AH$2:AH716),$AH$2:$AH$1001,0),MATCH(COLUMNS($AO$1006:AZ1006),$AO$1006:$BQ$1006,0)), HYPERLINK("#",""), HYPERLINK(CONCATENATE("#Metadata!", ADDRESS(INDEX($AJ$2:$AJ$1001,MATCH(ROWS($AH$2:AH716),$AH$2:$AH$1001,0),0), INDEX($AO$1004:$BQ$1004,1,MATCH(COLUMNS($AO$1006:AZ1006),$AO$1006:$BQ$1006,0)))),"Fix")))</f>
        <v>#N/A</v>
      </c>
      <c r="N716" s="5" t="e">
        <f ca="1">IF(OR(INDEX($AI$2:$AI$1001,MATCH(ROWS($AH$2:AH716),$AH$2:$AH$1001,0),1)&gt;=100000,INDEX($AO$1005:$BQ$1005,1,MATCH(COLUMNS($AO$1006:BA1006),$AO$1006:$BQ$1006,0))&gt;=100000), " ",IF(INDEX($AO$2:$BQ$1001,MATCH(ROWS($AH$2:AH716),$AH$2:$AH$1001,0),MATCH(COLUMNS($AO$1006:BA1006),$AO$1006:$BQ$1006,0)), HYPERLINK("#",""), HYPERLINK(CONCATENATE("#Metadata!", ADDRESS(INDEX($AJ$2:$AJ$1001,MATCH(ROWS($AH$2:AH716),$AH$2:$AH$1001,0),0), INDEX($AO$1004:$BQ$1004,1,MATCH(COLUMNS($AO$1006:BA1006),$AO$1006:$BQ$1006,0)))),"Fix")))</f>
        <v>#N/A</v>
      </c>
      <c r="O716" s="5" t="e">
        <f ca="1">IF(OR(INDEX($AI$2:$AI$1001,MATCH(ROWS($AH$2:AH716),$AH$2:$AH$1001,0),1)&gt;=100000,INDEX($AO$1005:$BQ$1005,1,MATCH(COLUMNS($AO$1006:BB1006),$AO$1006:$BQ$1006,0))&gt;=100000), " ",IF(INDEX($AO$2:$BQ$1001,MATCH(ROWS($AH$2:AH716),$AH$2:$AH$1001,0),MATCH(COLUMNS($AO$1006:BB1006),$AO$1006:$BQ$1006,0)), HYPERLINK("#",""), HYPERLINK(CONCATENATE("#Metadata!", ADDRESS(INDEX($AJ$2:$AJ$1001,MATCH(ROWS($AH$2:AH716),$AH$2:$AH$1001,0),0), INDEX($AO$1004:$BQ$1004,1,MATCH(COLUMNS($AO$1006:BB1006),$AO$1006:$BQ$1006,0)))),"Fix")))</f>
        <v>#N/A</v>
      </c>
      <c r="P716" s="5" t="e">
        <f ca="1">IF(OR(INDEX($AI$2:$AI$1001,MATCH(ROWS($AH$2:AH716),$AH$2:$AH$1001,0),1)&gt;=100000,INDEX($AO$1005:$BQ$1005,1,MATCH(COLUMNS($AO$1006:BC1006),$AO$1006:$BQ$1006,0))&gt;=100000), " ",IF(INDEX($AO$2:$BQ$1001,MATCH(ROWS($AH$2:AH716),$AH$2:$AH$1001,0),MATCH(COLUMNS($AO$1006:BC1006),$AO$1006:$BQ$1006,0)), HYPERLINK("#",""), HYPERLINK(CONCATENATE("#Metadata!", ADDRESS(INDEX($AJ$2:$AJ$1001,MATCH(ROWS($AH$2:AH716),$AH$2:$AH$1001,0),0), INDEX($AO$1004:$BQ$1004,1,MATCH(COLUMNS($AO$1006:BC1006),$AO$1006:$BQ$1006,0)))),"Fix")))</f>
        <v>#N/A</v>
      </c>
      <c r="Q716" s="5" t="e">
        <f ca="1">IF(OR(INDEX($AI$2:$AI$1001,MATCH(ROWS($AH$2:AH716),$AH$2:$AH$1001,0),1)&gt;=100000,INDEX($AO$1005:$BQ$1005,1,MATCH(COLUMNS($AO$1006:BD1006),$AO$1006:$BQ$1006,0))&gt;=100000), " ",IF(INDEX($AO$2:$BQ$1001,MATCH(ROWS($AH$2:AH716),$AH$2:$AH$1001,0),MATCH(COLUMNS($AO$1006:BD1006),$AO$1006:$BQ$1006,0)), HYPERLINK("#",""), HYPERLINK(CONCATENATE("#Metadata!", ADDRESS(INDEX($AJ$2:$AJ$1001,MATCH(ROWS($AH$2:AH716),$AH$2:$AH$1001,0),0), INDEX($AO$1004:$BQ$1004,1,MATCH(COLUMNS($AO$1006:BD1006),$AO$1006:$BQ$1006,0)))),"Fix")))</f>
        <v>#N/A</v>
      </c>
      <c r="R716" s="5" t="e">
        <f ca="1">IF(OR(INDEX($AI$2:$AI$1001,MATCH(ROWS($AH$2:AH716),$AH$2:$AH$1001,0),1)&gt;=100000,INDEX($AO$1005:$BQ$1005,1,MATCH(COLUMNS($AO$1006:BE1006),$AO$1006:$BQ$1006,0))&gt;=100000), " ",IF(INDEX($AO$2:$BQ$1001,MATCH(ROWS($AH$2:AH716),$AH$2:$AH$1001,0),MATCH(COLUMNS($AO$1006:BE1006),$AO$1006:$BQ$1006,0)), HYPERLINK("#",""), HYPERLINK(CONCATENATE("#Metadata!", ADDRESS(INDEX($AJ$2:$AJ$1001,MATCH(ROWS($AH$2:AH716),$AH$2:$AH$1001,0),0), INDEX($AO$1004:$BQ$1004,1,MATCH(COLUMNS($AO$1006:BE1006),$AO$1006:$BQ$1006,0)))),"Fix")))</f>
        <v>#N/A</v>
      </c>
      <c r="S716" s="5" t="e">
        <f ca="1">IF(OR(INDEX($AI$2:$AI$1001,MATCH(ROWS($AH$2:AH716),$AH$2:$AH$1001,0),1)&gt;=100000,INDEX($AO$1005:$BQ$1005,1,MATCH(COLUMNS($AO$1006:BF1006),$AO$1006:$BQ$1006,0))&gt;=100000), " ",IF(INDEX($AO$2:$BQ$1001,MATCH(ROWS($AH$2:AH716),$AH$2:$AH$1001,0),MATCH(COLUMNS($AO$1006:BF1006),$AO$1006:$BQ$1006,0)), HYPERLINK("#",""), HYPERLINK(CONCATENATE("#Metadata!", ADDRESS(INDEX($AJ$2:$AJ$1001,MATCH(ROWS($AH$2:AH716),$AH$2:$AH$1001,0),0), INDEX($AO$1004:$BQ$1004,1,MATCH(COLUMNS($AO$1006:BF1006),$AO$1006:$BQ$1006,0)))),"Fix")))</f>
        <v>#N/A</v>
      </c>
      <c r="T716" s="5" t="e">
        <f ca="1">IF(OR(INDEX($AI$2:$AI$1001,MATCH(ROWS($AH$2:AH716),$AH$2:$AH$1001,0),1)&gt;=100000,INDEX($AO$1005:$BQ$1005,1,MATCH(COLUMNS($AO$1006:BG1006),$AO$1006:$BQ$1006,0))&gt;=100000), " ",IF(INDEX($AO$2:$BQ$1001,MATCH(ROWS($AH$2:AH716),$AH$2:$AH$1001,0),MATCH(COLUMNS($AO$1006:BG1006),$AO$1006:$BQ$1006,0)), HYPERLINK("#",""), HYPERLINK(CONCATENATE("#Metadata!", ADDRESS(INDEX($AJ$2:$AJ$1001,MATCH(ROWS($AH$2:AH716),$AH$2:$AH$1001,0),0), INDEX($AO$1004:$BQ$1004,1,MATCH(COLUMNS($AO$1006:BG1006),$AO$1006:$BQ$1006,0)))),"Fix")))</f>
        <v>#N/A</v>
      </c>
      <c r="U716" s="5" t="e">
        <f ca="1">IF(OR(INDEX($AI$2:$AI$1001,MATCH(ROWS($AH$2:AH716),$AH$2:$AH$1001,0),1)&gt;=100000,INDEX($AO$1005:$BQ$1005,1,MATCH(COLUMNS($AO$1006:BH1006),$AO$1006:$BQ$1006,0))&gt;=100000), " ",IF(INDEX($AO$2:$BQ$1001,MATCH(ROWS($AH$2:AH716),$AH$2:$AH$1001,0),MATCH(COLUMNS($AO$1006:BH1006),$AO$1006:$BQ$1006,0)), HYPERLINK("#",""), HYPERLINK(CONCATENATE("#Metadata!", ADDRESS(INDEX($AJ$2:$AJ$1001,MATCH(ROWS($AH$2:AH716),$AH$2:$AH$1001,0),0), INDEX($AO$1004:$BQ$1004,1,MATCH(COLUMNS($AO$1006:BH1006),$AO$1006:$BQ$1006,0)))),"Fix")))</f>
        <v>#N/A</v>
      </c>
      <c r="V716" s="5" t="e">
        <f ca="1">IF(OR(INDEX($AI$2:$AI$1001,MATCH(ROWS($AH$2:AH716),$AH$2:$AH$1001,0),1)&gt;=100000,INDEX($AO$1005:$BQ$1005,1,MATCH(COLUMNS($AO$1006:BI1006),$AO$1006:$BQ$1006,0))&gt;=100000), " ",IF(INDEX($AO$2:$BQ$1001,MATCH(ROWS($AH$2:AH716),$AH$2:$AH$1001,0),MATCH(COLUMNS($AO$1006:BI1006),$AO$1006:$BQ$1006,0)), HYPERLINK("#",""), HYPERLINK(CONCATENATE("#Metadata!", ADDRESS(INDEX($AJ$2:$AJ$1001,MATCH(ROWS($AH$2:AH716),$AH$2:$AH$1001,0),0), INDEX($AO$1004:$BQ$1004,1,MATCH(COLUMNS($AO$1006:BI1006),$AO$1006:$BQ$1006,0)))),"Fix")))</f>
        <v>#N/A</v>
      </c>
      <c r="W716" s="5" t="e">
        <f ca="1">IF(OR(INDEX($AI$2:$AI$1001,MATCH(ROWS($AH$2:AH716),$AH$2:$AH$1001,0),1)&gt;=100000,INDEX($AO$1005:$BQ$1005,1,MATCH(COLUMNS($AO$1006:BJ1006),$AO$1006:$BQ$1006,0))&gt;=100000), " ",IF(INDEX($AO$2:$BQ$1001,MATCH(ROWS($AH$2:AH716),$AH$2:$AH$1001,0),MATCH(COLUMNS($AO$1006:BJ1006),$AO$1006:$BQ$1006,0)), HYPERLINK("#",""), HYPERLINK(CONCATENATE("#Metadata!", ADDRESS(INDEX($AJ$2:$AJ$1001,MATCH(ROWS($AH$2:AH716),$AH$2:$AH$1001,0),0), INDEX($AO$1004:$BQ$1004,1,MATCH(COLUMNS($AO$1006:BJ1006),$AO$1006:$BQ$1006,0)))),"Fix")))</f>
        <v>#N/A</v>
      </c>
      <c r="X716" s="5" t="e">
        <f ca="1">IF(OR(INDEX($AI$2:$AI$1001,MATCH(ROWS($AH$2:AH716),$AH$2:$AH$1001,0),1)&gt;=100000,INDEX($AO$1005:$BQ$1005,1,MATCH(COLUMNS($AO$1006:BK1006),$AO$1006:$BQ$1006,0))&gt;=100000), " ",IF(INDEX($AO$2:$BQ$1001,MATCH(ROWS($AH$2:AH716),$AH$2:$AH$1001,0),MATCH(COLUMNS($AO$1006:BK1006),$AO$1006:$BQ$1006,0)), HYPERLINK("#",""), HYPERLINK(CONCATENATE("#Metadata!", ADDRESS(INDEX($AJ$2:$AJ$1001,MATCH(ROWS($AH$2:AH716),$AH$2:$AH$1001,0),0), INDEX($AO$1004:$BQ$1004,1,MATCH(COLUMNS($AO$1006:BK1006),$AO$1006:$BQ$1006,0)))),"Fix")))</f>
        <v>#N/A</v>
      </c>
      <c r="Y716" s="5" t="e">
        <f ca="1">IF(OR(INDEX($AI$2:$AI$1001,MATCH(ROWS($AH$2:AH716),$AH$2:$AH$1001,0),1)&gt;=100000,INDEX($AO$1005:$BQ$1005,1,MATCH(COLUMNS($AO$1006:BL1006),$AO$1006:$BQ$1006,0))&gt;=100000), " ",IF(INDEX($AO$2:$BQ$1001,MATCH(ROWS($AH$2:AH716),$AH$2:$AH$1001,0),MATCH(COLUMNS($AO$1006:BL1006),$AO$1006:$BQ$1006,0)), HYPERLINK("#",""), HYPERLINK(CONCATENATE("#Metadata!", ADDRESS(INDEX($AJ$2:$AJ$1001,MATCH(ROWS($AH$2:AH716),$AH$2:$AH$1001,0),0), INDEX($AO$1004:$BQ$1004,1,MATCH(COLUMNS($AO$1006:BL1006),$AO$1006:$BQ$1006,0)))),"Fix")))</f>
        <v>#N/A</v>
      </c>
      <c r="Z716" s="5" t="e">
        <f ca="1">IF(OR(INDEX($AI$2:$AI$1001,MATCH(ROWS($AH$2:AH716),$AH$2:$AH$1001,0),1)&gt;=100000,INDEX($AO$1005:$BQ$1005,1,MATCH(COLUMNS($AO$1006:BM1006),$AO$1006:$BQ$1006,0))&gt;=100000), " ",IF(INDEX($AO$2:$BQ$1001,MATCH(ROWS($AH$2:AH716),$AH$2:$AH$1001,0),MATCH(COLUMNS($AO$1006:BM1006),$AO$1006:$BQ$1006,0)), HYPERLINK("#",""), HYPERLINK(CONCATENATE("#Metadata!", ADDRESS(INDEX($AJ$2:$AJ$1001,MATCH(ROWS($AH$2:AH716),$AH$2:$AH$1001,0),0), INDEX($AO$1004:$BQ$1004,1,MATCH(COLUMNS($AO$1006:BM1006),$AO$1006:$BQ$1006,0)))),"Fix")))</f>
        <v>#N/A</v>
      </c>
      <c r="AA716" s="5" t="e">
        <f ca="1">IF(OR(INDEX($AI$2:$AI$1001,MATCH(ROWS($AH$2:AH716),$AH$2:$AH$1001,0),1)&gt;=100000,INDEX($AO$1005:$BQ$1005,1,MATCH(COLUMNS($AO$1006:BN1006),$AO$1006:$BQ$1006,0))&gt;=100000), " ",IF(INDEX($AO$2:$BQ$1001,MATCH(ROWS($AH$2:AH716),$AH$2:$AH$1001,0),MATCH(COLUMNS($AO$1006:BN1006),$AO$1006:$BQ$1006,0)), HYPERLINK("#",""), HYPERLINK(CONCATENATE("#Metadata!", ADDRESS(INDEX($AJ$2:$AJ$1001,MATCH(ROWS($AH$2:AH716),$AH$2:$AH$1001,0),0), INDEX($AO$1004:$BQ$1004,1,MATCH(COLUMNS($AO$1006:BN1006),$AO$1006:$BQ$1006,0)))),"Fix")))</f>
        <v>#N/A</v>
      </c>
      <c r="AB716" s="5" t="e">
        <f ca="1">IF(OR(INDEX($AI$2:$AI$1001,MATCH(ROWS($AH$2:AH716),$AH$2:$AH$1001,0),1)&gt;=100000,INDEX($AO$1005:$BQ$1005,1,MATCH(COLUMNS($AO$1006:BO1006),$AO$1006:$BQ$1006,0))&gt;=100000), " ",IF(INDEX($AO$2:$BQ$1001,MATCH(ROWS($AH$2:AH716),$AH$2:$AH$1001,0),MATCH(COLUMNS($AO$1006:BO1006),$AO$1006:$BQ$1006,0)), HYPERLINK("#",""), HYPERLINK(CONCATENATE("#Metadata!", ADDRESS(INDEX($AJ$2:$AJ$1001,MATCH(ROWS($AH$2:AH716),$AH$2:$AH$1001,0),0), INDEX($AO$1004:$BQ$1004,1,MATCH(COLUMNS($AO$1006:BO1006),$AO$1006:$BQ$1006,0)))),"Fix")))</f>
        <v>#N/A</v>
      </c>
      <c r="AC716" s="5" t="e">
        <f ca="1">IF(OR(INDEX($AI$2:$AI$1001,MATCH(ROWS($AH$2:AH716),$AH$2:$AH$1001,0),1)&gt;=100000,INDEX($AO$1005:$BQ$1005,1,MATCH(COLUMNS($AO$1006:BP1006),$AO$1006:$BQ$1006,0))&gt;=100000), " ",IF(INDEX($AO$2:$BQ$1001,MATCH(ROWS($AH$2:AH716),$AH$2:$AH$1001,0),MATCH(COLUMNS($AO$1006:BP1006),$AO$1006:$BQ$1006,0)), HYPERLINK("#",""), HYPERLINK(CONCATENATE("#Metadata!", ADDRESS(INDEX($AJ$2:$AJ$1001,MATCH(ROWS($AH$2:AH716),$AH$2:$AH$1001,0),0), INDEX($AO$1004:$BQ$1004,1,MATCH(COLUMNS($AO$1006:BP1006),$AO$1006:$BQ$1006,0)))),"Fix")))</f>
        <v>#N/A</v>
      </c>
      <c r="AD716" s="5" t="e">
        <f ca="1">IF(OR(INDEX($AI$2:$AI$1001,MATCH(ROWS($AH$2:AH716),$AH$2:$AH$1001,0),1)&gt;=100000,INDEX($AO$1005:$BQ$1005,1,MATCH(COLUMNS($AO$1006:BQ1006),$AO$1006:$BQ$1006,0))&gt;=100000), " ",IF(INDEX($AO$2:$BQ$1001,MATCH(ROWS($AH$2:AH716),$AH$2:$AH$1001,0),MATCH(COLUMNS($AO$1006:BQ1006),$AO$1006:$BQ$1006,0)), HYPERLINK("#",""), HYPERLINK(CONCATENATE("#Metadata!", ADDRESS(INDEX($AJ$2:$AJ$1001,MATCH(ROWS($AH$2:AH716),$AH$2:$AH$1001,0),0), INDEX($AO$1004:$BQ$1004,1,MATCH(COLUMNS($AO$1006:BQ1006),$AO$1006:$BQ$1006,0)))),"Fix")))</f>
        <v>#REF!</v>
      </c>
      <c r="AH716">
        <f ca="1"/>
        <v>713</v>
      </c>
      <c r="AI716">
        <v>100716</v>
      </c>
      <c r="AJ716">
        <v>716</v>
      </c>
      <c r="AK716" t="b">
        <f t="shared" si="11"/>
        <v>1</v>
      </c>
      <c r="AL716" t="b">
        <f>COUNTBLANK(Metadata!B716:AD716)=COLUMNS(Metadata!B716:AD716)</f>
        <v>1</v>
      </c>
      <c r="AM716" t="str">
        <v/>
      </c>
      <c r="AO716" t="b">
        <f ca="1">AND(IF(Metadata!B716="",FALSE,TRUE),COUNTIF(Metadata!B:B, Metadata!B716) = 1,NOT(ISERROR(SUMPRODUCT(SEARCH(MID(Metadata!B716,ROW(INDIRECT("1:"&amp;LEN(Metadata!B716))), 1),"0123456789abcdefghijklmnopqrstuvwxyzABCDEFGHIJKLMNOPQRSTUVWXYZ.")))))</f>
        <v>0</v>
      </c>
      <c r="AP716" t="b">
        <f>IF(Metadata!C716="",FALSE,TRUE)</f>
        <v>0</v>
      </c>
      <c r="AQ716" t="b">
        <f>IF(Metadata!D716="",FALSE,TRUE)</f>
        <v>0</v>
      </c>
      <c r="AR716" t="b">
        <f ca="1">OR(AND(IF(Metadata!E716="",FALSE,TRUE),OR(EXACT(Metadata!E716,"not collected"),EXACT(Metadata!E716,"not provided"),EXACT(Metadata!E716,"restricted access"))),AND(IF(Metadata!E716="",FALSE,TRUE),AND(AND(IFERROR(INT(LEFT(Metadata!E716,4))&gt;1900,FALSE),IFERROR(INT(LEFT(Metadata!E716,4))&lt;=YEAR(NOW()),FALSE)), OR(MID(Metadata!E716,5,1)="", AND(AND(MID(Metadata!E716,5,1)="-",IFERROR(INT(MID(Metadata!E716,6,1))&gt;=0,FALSE),IFERROR(INT(MID(Metadata!E716,6,1))&lt;=1,FALSE),NOT(MID(Metadata!E716,7,1)=""),IFERROR(INT(MID(Metadata!E716,6,2))&gt;=1,FALSE),IFERROR(INT(MID(Metadata!E716,6,2))&lt;=12,FALSE)), OR(MID(Metadata!E716,8,1)="", AND(AND(MID(Metadata!E716,8,1)="-",IFERROR(INT(MID(Metadata!E716,9,1))&gt;=0,FALSE),IFERROR(INT(MID(Metadata!E716,9,1))&lt;=3,FALSE),NOT(MID(Metadata!E716,10,1)=""),IFERROR(INT(MID(Metadata!E716,9,2))&gt;=1,FALSE),IFERROR(INT(MID(Metadata!E716,9,2))&lt;=31,FALSE)), OR(MID(Metadata!E716,11,1)="", AND(AND(MID(Metadata!E716,11,1)=" ",IFERROR(INT(MID(Metadata!E716,12,1))&gt;=0,FALSE),IFERROR(INT(MID(Metadata!E716,12,1))&lt;=2,FALSE),NOT(MID(Metadata!E716,13,1)=""),IFERROR(INT(MID(Metadata!E716,12,2))&gt;=0,FALSE),IFERROR(INT(MID(Metadata!E716,12,2))&lt;=23,FALSE)), OR(MID(Metadata!E716,14,1)="", AND(AND(MID(Metadata!E716,14,1)=":",IFERROR(INT(MID(Metadata!E716,15,1))&gt;=0,FALSE),IFERROR(INT(MID(Metadata!E716,15,1))&lt;=5,FALSE),NOT(MID(Metadata!E716,16,1)=""),IFERROR(INT(MID(Metadata!E716,15,2))&gt;=0,FALSE),IFERROR(INT(MID(Metadata!E716,15,2))&lt;=59,FALSE)), OR(MID(Metadata!E716,17,1)="", AND(AND(MID(Metadata!E716,17,1)=":",IFERROR(INT(MID(Metadata!E716,18,1))&gt;=0,FALSE),IFERROR(INT(MID(Metadata!E716,18,1))&lt;=5,FALSE),NOT(MID(Metadata!E716,19,1)=""),IFERROR(INT(MID(Metadata!E716,18,2))&gt;=0,FALSE),IFERROR(INT(MID(Metadata!E716,18,2))&lt;=59,FALSE)), LEN(Metadata!E716)&lt;=19)))))))))))))</f>
        <v>0</v>
      </c>
      <c r="AS716" t="b">
        <f>IF(Metadata!F716="",FALSE,TRUE)</f>
        <v>0</v>
      </c>
      <c r="AT716" t="b">
        <f>OR(AND(IF(Metadata!G716="",FALSE,TRUE),OR(EXACT(Metadata!G716,"not collected"),EXACT(Metadata!G716,"not provided"))),AND(IF(Metadata!G716="",FALSE,TRUE),OR(EXACT(Metadata!G716,"TRUE"),EXACT(Metadata!G716,"FALSE"))))</f>
        <v>0</v>
      </c>
      <c r="AU716" t="b">
        <f>OR(AND(IF(Metadata!H716="",FALSE,TRUE),OR(EXACT(Metadata!H716,"not collected"),EXACT(Metadata!H716,"not provided"),EXACT(Metadata!H716,"restricted access"))),AND(IF(Metadata!H716="",FALSE,ISNUMBER(VALUE(Metadata!H716))),Metadata!H716&gt;=-413))</f>
        <v>0</v>
      </c>
      <c r="AV716" t="b">
        <f>AND(IF(Metadata!I716="",FALSE,TRUE),EXACT(Metadata!I716,"meters"))</f>
        <v>0</v>
      </c>
      <c r="AW716" t="b">
        <f>AND(IF(Metadata!J716="",FALSE,TRUE),EXACT(Metadata!J716,"free-living"))</f>
        <v>0</v>
      </c>
      <c r="AX716" t="b">
        <f>AND(IF(Metadata!K716="",FALSE,TRUE),OR(EXACT(Metadata!K716,"saline"),EXACT(Metadata!K716,"non-saline")))</f>
        <v>0</v>
      </c>
      <c r="AY716" t="b">
        <f>AND(IF(Metadata!L716="",FALSE,TRUE),OR(EXACT(Metadata!L716,"sub-surface (non-saline)"),EXACT(Metadata!L716,"surface (non-saline)"),EXACT(Metadata!L716,"water (non-saline)"),EXACT(Metadata!L716,"soil (non-saline)"),EXACT(Metadata!L716,"aerosol (non-saline)"),EXACT(Metadata!L716,"sediment (non-saline)"),EXACT(Metadata!L716,"surface (saline)"),EXACT(Metadata!L716,"water (saline)"),EXACT(Metadata!L716,"hypersaline (saline)"),EXACT(Metadata!L716,"aerosol (saline)"),EXACT(Metadata!L716,"sediment (saline)")))</f>
        <v>0</v>
      </c>
      <c r="AZ716" t="b">
        <f>IF(Metadata!M716="",FALSE,TRUE)</f>
        <v>0</v>
      </c>
      <c r="BA716" t="b">
        <f>IF(Metadata!N716="",FALSE,TRUE)</f>
        <v>0</v>
      </c>
      <c r="BB716" t="b">
        <f>IF(Metadata!O716="",FALSE,TRUE)</f>
        <v>0</v>
      </c>
      <c r="BC716" t="b">
        <f>AND(IF(Metadata!P716="",FALSE,TRUE),OR(EXACT(Metadata!P716,"air"),EXACT(Metadata!P716,"microbial mat/biofilm"),EXACT(Metadata!P716,"misc environment"),EXACT(Metadata!P716,"sediment"),EXACT(Metadata!P716,"soil"),EXACT(Metadata!P716,"wastewater/sludge"),EXACT(Metadata!P716,"water")))</f>
        <v>0</v>
      </c>
      <c r="BD716" t="b">
        <f>IF(Metadata!Q716="",FALSE,TRUE)</f>
        <v>0</v>
      </c>
      <c r="BE716" t="b">
        <f>IF(Metadata!R716="",FALSE,TRUE)</f>
        <v>0</v>
      </c>
      <c r="BF716" t="b">
        <f>OR(AND(IF(Metadata!S716="",FALSE,TRUE),OR(EXACT(Metadata!S716,"not collected"),EXACT(Metadata!S716,"not provided"),EXACT(Metadata!S716,"restricted access"))),AND(IF(Metadata!S716="",FALSE,ISNUMBER(VALUE(Metadata!S716))),Metadata!S716&gt;=-90,Metadata!S716&lt;=90))</f>
        <v>0</v>
      </c>
      <c r="BG716" t="b">
        <f>AND(IF(Metadata!T716="",FALSE,TRUE),EXACT(Metadata!T716,"Decimal degrees"))</f>
        <v>0</v>
      </c>
      <c r="BH716" t="b">
        <f>OR(AND(IF(Metadata!U716="",FALSE,TRUE),OR(EXACT(Metadata!U716,"not applicable"),EXACT(Metadata!U716,"not collected"))),IF(Metadata!U716="",FALSE,TRUE))</f>
        <v>0</v>
      </c>
      <c r="BI716" t="b">
        <f>OR(AND(IF(Metadata!V716="",FALSE,TRUE),OR(EXACT(Metadata!V716,"not collected"),EXACT(Metadata!V716,"not provided"),EXACT(Metadata!V716,"restricted access"))),AND(IF(Metadata!V716="",FALSE,ISNUMBER(VALUE(Metadata!V716))),Metadata!V716&gt;=-180,Metadata!V716&lt;=180))</f>
        <v>0</v>
      </c>
      <c r="BJ716" t="b">
        <f>AND(IF(Metadata!W716="",FALSE,TRUE),EXACT(Metadata!W716,"Decimal degrees"))</f>
        <v>0</v>
      </c>
      <c r="BK716" t="b">
        <f>IF(Metadata!X716="",FALSE,TRUE)</f>
        <v>0</v>
      </c>
      <c r="BL716" t="b">
        <f>OR(AND(IF(Metadata!Y716="",FALSE,TRUE),OR(EXACT(Metadata!Y716,"not collected"),EXACT(Metadata!Y716,"not provided"),EXACT(Metadata!Y716,"restricted access"))),AND(IF(Metadata!Y716="",FALSE,TRUE),OR(EXACT(Metadata!Y716,"TRUE"),EXACT(Metadata!Y716,"FALSE"))))</f>
        <v>0</v>
      </c>
      <c r="BM716" t="b">
        <f>OR(AND(IF(Metadata!Z716="",FALSE,TRUE),EXACT(Metadata!Z716,"not applicable")),AND(IF(Metadata!Z716="",FALSE,TRUE),OR(EXACT(Metadata!Z716,"beer"),EXACT(Metadata!Z716,"cheese"),EXACT(Metadata!Z716,"fresh water"),EXACT(Metadata!Z716,"marine sediment"),EXACT(Metadata!Z716,"sea water"),EXACT(Metadata!Z716,"sediment"),EXACT(Metadata!Z716,"soil"),EXACT(Metadata!Z716,"waste water"))))</f>
        <v>0</v>
      </c>
      <c r="BN716" t="b">
        <f>AND(IF(Metadata!AA716="",FALSE,TRUE),EXACT(Metadata!AA716,"metagenome"))</f>
        <v>0</v>
      </c>
      <c r="BO716" t="b">
        <f>AND(IF(Metadata!AB716="",FALSE,TRUE),EXACT(Metadata!AB716,"256318"))</f>
        <v>0</v>
      </c>
      <c r="BP716" t="b">
        <f>IF(Metadata!AC716="",FALSE,TRUE)</f>
        <v>0</v>
      </c>
      <c r="BQ716" t="b">
        <f>IF(Metadata!AD716="",FALSE,TRUE)</f>
        <v>0</v>
      </c>
    </row>
    <row r="717" spans="1:69" x14ac:dyDescent="0.2">
      <c r="A717" s="4" t="e">
        <f ca="1">IF(B717=" "," ",HYPERLINK(CONCATENATE("#metadata!",ADDRESS(INDEX($AJ$2:$AJ$1001,MATCH(ROWS($AH$2:AH717),$AH$2:$AH$1001,0),0),2)),INDEX($AM$2:$AM$1001,MATCH(ROWS($AH$2:AH717),$AH$2:$AH$1001,0),0)))</f>
        <v>#N/A</v>
      </c>
      <c r="B717" s="5" t="e">
        <f ca="1">IF(OR(INDEX($AI$2:$AI$1001,MATCH(ROWS($AH$2:AH717),$AH$2:$AH$1001,0),1)&gt;=100000,INDEX($AO$1005:$BQ$1005,1,MATCH(COLUMNS($AO$1006:AO1006),$AO$1006:$BQ$1006,0))&gt;=100000), " ",IF(INDEX($AO$2:$BQ$1001,MATCH(ROWS($AH$2:AH717),$AH$2:$AH$1001,0),MATCH(COLUMNS($AO$1006:AO1006),$AO$1006:$BQ$1006,0)), HYPERLINK("#",""), HYPERLINK(CONCATENATE("#Metadata!", ADDRESS(INDEX($AJ$2:$AJ$1001,MATCH(ROWS($AH$2:AH717),$AH$2:$AH$1001,0),0), INDEX($AO$1004:$BQ$1004,1,MATCH(COLUMNS($AO$1006:AO1006),$AO$1006:$BQ$1006,0)))),"Fix")))</f>
        <v>#N/A</v>
      </c>
      <c r="C717" s="5" t="e">
        <f ca="1">IF(OR(INDEX($AI$2:$AI$1001,MATCH(ROWS($AH$2:AH717),$AH$2:$AH$1001,0),1)&gt;=100000,INDEX($AO$1005:$BQ$1005,1,MATCH(COLUMNS($AO$1006:AP1006),$AO$1006:$BQ$1006,0))&gt;=100000), " ",IF(INDEX($AO$2:$BQ$1001,MATCH(ROWS($AH$2:AH717),$AH$2:$AH$1001,0),MATCH(COLUMNS($AO$1006:AP1006),$AO$1006:$BQ$1006,0)), HYPERLINK("#",""), HYPERLINK(CONCATENATE("#Metadata!", ADDRESS(INDEX($AJ$2:$AJ$1001,MATCH(ROWS($AH$2:AH717),$AH$2:$AH$1001,0),0), INDEX($AO$1004:$BQ$1004,1,MATCH(COLUMNS($AO$1006:AP1006),$AO$1006:$BQ$1006,0)))),"Fix")))</f>
        <v>#N/A</v>
      </c>
      <c r="D717" s="5" t="e">
        <f ca="1">IF(OR(INDEX($AI$2:$AI$1001,MATCH(ROWS($AH$2:AH717),$AH$2:$AH$1001,0),1)&gt;=100000,INDEX($AO$1005:$BQ$1005,1,MATCH(COLUMNS($AO$1006:AQ1006),$AO$1006:$BQ$1006,0))&gt;=100000), " ",IF(INDEX($AO$2:$BQ$1001,MATCH(ROWS($AH$2:AH717),$AH$2:$AH$1001,0),MATCH(COLUMNS($AO$1006:AQ1006),$AO$1006:$BQ$1006,0)), HYPERLINK("#",""), HYPERLINK(CONCATENATE("#Metadata!", ADDRESS(INDEX($AJ$2:$AJ$1001,MATCH(ROWS($AH$2:AH717),$AH$2:$AH$1001,0),0), INDEX($AO$1004:$BQ$1004,1,MATCH(COLUMNS($AO$1006:AQ1006),$AO$1006:$BQ$1006,0)))),"Fix")))</f>
        <v>#N/A</v>
      </c>
      <c r="E717" s="5" t="e">
        <f ca="1">IF(OR(INDEX($AI$2:$AI$1001,MATCH(ROWS($AH$2:AH717),$AH$2:$AH$1001,0),1)&gt;=100000,INDEX($AO$1005:$BQ$1005,1,MATCH(COLUMNS($AO$1006:AR1006),$AO$1006:$BQ$1006,0))&gt;=100000), " ",IF(INDEX($AO$2:$BQ$1001,MATCH(ROWS($AH$2:AH717),$AH$2:$AH$1001,0),MATCH(COLUMNS($AO$1006:AR1006),$AO$1006:$BQ$1006,0)), HYPERLINK("#",""), HYPERLINK(CONCATENATE("#Metadata!", ADDRESS(INDEX($AJ$2:$AJ$1001,MATCH(ROWS($AH$2:AH717),$AH$2:$AH$1001,0),0), INDEX($AO$1004:$BQ$1004,1,MATCH(COLUMNS($AO$1006:AR1006),$AO$1006:$BQ$1006,0)))),"Fix")))</f>
        <v>#N/A</v>
      </c>
      <c r="F717" s="5" t="e">
        <f ca="1">IF(OR(INDEX($AI$2:$AI$1001,MATCH(ROWS($AH$2:AH717),$AH$2:$AH$1001,0),1)&gt;=100000,INDEX($AO$1005:$BQ$1005,1,MATCH(COLUMNS($AO$1006:AS1006),$AO$1006:$BQ$1006,0))&gt;=100000), " ",IF(INDEX($AO$2:$BQ$1001,MATCH(ROWS($AH$2:AH717),$AH$2:$AH$1001,0),MATCH(COLUMNS($AO$1006:AS1006),$AO$1006:$BQ$1006,0)), HYPERLINK("#",""), HYPERLINK(CONCATENATE("#Metadata!", ADDRESS(INDEX($AJ$2:$AJ$1001,MATCH(ROWS($AH$2:AH717),$AH$2:$AH$1001,0),0), INDEX($AO$1004:$BQ$1004,1,MATCH(COLUMNS($AO$1006:AS1006),$AO$1006:$BQ$1006,0)))),"Fix")))</f>
        <v>#N/A</v>
      </c>
      <c r="G717" s="5" t="e">
        <f ca="1">IF(OR(INDEX($AI$2:$AI$1001,MATCH(ROWS($AH$2:AH717),$AH$2:$AH$1001,0),1)&gt;=100000,INDEX($AO$1005:$BQ$1005,1,MATCH(COLUMNS($AO$1006:AT1006),$AO$1006:$BQ$1006,0))&gt;=100000), " ",IF(INDEX($AO$2:$BQ$1001,MATCH(ROWS($AH$2:AH717),$AH$2:$AH$1001,0),MATCH(COLUMNS($AO$1006:AT1006),$AO$1006:$BQ$1006,0)), HYPERLINK("#",""), HYPERLINK(CONCATENATE("#Metadata!", ADDRESS(INDEX($AJ$2:$AJ$1001,MATCH(ROWS($AH$2:AH717),$AH$2:$AH$1001,0),0), INDEX($AO$1004:$BQ$1004,1,MATCH(COLUMNS($AO$1006:AT1006),$AO$1006:$BQ$1006,0)))),"Fix")))</f>
        <v>#N/A</v>
      </c>
      <c r="H717" s="5" t="e">
        <f ca="1">IF(OR(INDEX($AI$2:$AI$1001,MATCH(ROWS($AH$2:AH717),$AH$2:$AH$1001,0),1)&gt;=100000,INDEX($AO$1005:$BQ$1005,1,MATCH(COLUMNS($AO$1006:AU1006),$AO$1006:$BQ$1006,0))&gt;=100000), " ",IF(INDEX($AO$2:$BQ$1001,MATCH(ROWS($AH$2:AH717),$AH$2:$AH$1001,0),MATCH(COLUMNS($AO$1006:AU1006),$AO$1006:$BQ$1006,0)), HYPERLINK("#",""), HYPERLINK(CONCATENATE("#Metadata!", ADDRESS(INDEX($AJ$2:$AJ$1001,MATCH(ROWS($AH$2:AH717),$AH$2:$AH$1001,0),0), INDEX($AO$1004:$BQ$1004,1,MATCH(COLUMNS($AO$1006:AU1006),$AO$1006:$BQ$1006,0)))),"Fix")))</f>
        <v>#N/A</v>
      </c>
      <c r="I717" s="5" t="e">
        <f ca="1">IF(OR(INDEX($AI$2:$AI$1001,MATCH(ROWS($AH$2:AH717),$AH$2:$AH$1001,0),1)&gt;=100000,INDEX($AO$1005:$BQ$1005,1,MATCH(COLUMNS($AO$1006:AV1006),$AO$1006:$BQ$1006,0))&gt;=100000), " ",IF(INDEX($AO$2:$BQ$1001,MATCH(ROWS($AH$2:AH717),$AH$2:$AH$1001,0),MATCH(COLUMNS($AO$1006:AV1006),$AO$1006:$BQ$1006,0)), HYPERLINK("#",""), HYPERLINK(CONCATENATE("#Metadata!", ADDRESS(INDEX($AJ$2:$AJ$1001,MATCH(ROWS($AH$2:AH717),$AH$2:$AH$1001,0),0), INDEX($AO$1004:$BQ$1004,1,MATCH(COLUMNS($AO$1006:AV1006),$AO$1006:$BQ$1006,0)))),"Fix")))</f>
        <v>#N/A</v>
      </c>
      <c r="J717" s="5" t="e">
        <f ca="1">IF(OR(INDEX($AI$2:$AI$1001,MATCH(ROWS($AH$2:AH717),$AH$2:$AH$1001,0),1)&gt;=100000,INDEX($AO$1005:$BQ$1005,1,MATCH(COLUMNS($AO$1006:AW1006),$AO$1006:$BQ$1006,0))&gt;=100000), " ",IF(INDEX($AO$2:$BQ$1001,MATCH(ROWS($AH$2:AH717),$AH$2:$AH$1001,0),MATCH(COLUMNS($AO$1006:AW1006),$AO$1006:$BQ$1006,0)), HYPERLINK("#",""), HYPERLINK(CONCATENATE("#Metadata!", ADDRESS(INDEX($AJ$2:$AJ$1001,MATCH(ROWS($AH$2:AH717),$AH$2:$AH$1001,0),0), INDEX($AO$1004:$BQ$1004,1,MATCH(COLUMNS($AO$1006:AW1006),$AO$1006:$BQ$1006,0)))),"Fix")))</f>
        <v>#N/A</v>
      </c>
      <c r="K717" s="5" t="e">
        <f ca="1">IF(OR(INDEX($AI$2:$AI$1001,MATCH(ROWS($AH$2:AH717),$AH$2:$AH$1001,0),1)&gt;=100000,INDEX($AO$1005:$BQ$1005,1,MATCH(COLUMNS($AO$1006:AX1006),$AO$1006:$BQ$1006,0))&gt;=100000), " ",IF(INDEX($AO$2:$BQ$1001,MATCH(ROWS($AH$2:AH717),$AH$2:$AH$1001,0),MATCH(COLUMNS($AO$1006:AX1006),$AO$1006:$BQ$1006,0)), HYPERLINK("#",""), HYPERLINK(CONCATENATE("#Metadata!", ADDRESS(INDEX($AJ$2:$AJ$1001,MATCH(ROWS($AH$2:AH717),$AH$2:$AH$1001,0),0), INDEX($AO$1004:$BQ$1004,1,MATCH(COLUMNS($AO$1006:AX1006),$AO$1006:$BQ$1006,0)))),"Fix")))</f>
        <v>#N/A</v>
      </c>
      <c r="L717" s="5" t="e">
        <f ca="1">IF(OR(INDEX($AI$2:$AI$1001,MATCH(ROWS($AH$2:AH717),$AH$2:$AH$1001,0),1)&gt;=100000,INDEX($AO$1005:$BQ$1005,1,MATCH(COLUMNS($AO$1006:AY1006),$AO$1006:$BQ$1006,0))&gt;=100000), " ",IF(INDEX($AO$2:$BQ$1001,MATCH(ROWS($AH$2:AH717),$AH$2:$AH$1001,0),MATCH(COLUMNS($AO$1006:AY1006),$AO$1006:$BQ$1006,0)), HYPERLINK("#",""), HYPERLINK(CONCATENATE("#Metadata!", ADDRESS(INDEX($AJ$2:$AJ$1001,MATCH(ROWS($AH$2:AH717),$AH$2:$AH$1001,0),0), INDEX($AO$1004:$BQ$1004,1,MATCH(COLUMNS($AO$1006:AY1006),$AO$1006:$BQ$1006,0)))),"Fix")))</f>
        <v>#N/A</v>
      </c>
      <c r="M717" s="5" t="e">
        <f ca="1">IF(OR(INDEX($AI$2:$AI$1001,MATCH(ROWS($AH$2:AH717),$AH$2:$AH$1001,0),1)&gt;=100000,INDEX($AO$1005:$BQ$1005,1,MATCH(COLUMNS($AO$1006:AZ1006),$AO$1006:$BQ$1006,0))&gt;=100000), " ",IF(INDEX($AO$2:$BQ$1001,MATCH(ROWS($AH$2:AH717),$AH$2:$AH$1001,0),MATCH(COLUMNS($AO$1006:AZ1006),$AO$1006:$BQ$1006,0)), HYPERLINK("#",""), HYPERLINK(CONCATENATE("#Metadata!", ADDRESS(INDEX($AJ$2:$AJ$1001,MATCH(ROWS($AH$2:AH717),$AH$2:$AH$1001,0),0), INDEX($AO$1004:$BQ$1004,1,MATCH(COLUMNS($AO$1006:AZ1006),$AO$1006:$BQ$1006,0)))),"Fix")))</f>
        <v>#N/A</v>
      </c>
      <c r="N717" s="5" t="e">
        <f ca="1">IF(OR(INDEX($AI$2:$AI$1001,MATCH(ROWS($AH$2:AH717),$AH$2:$AH$1001,0),1)&gt;=100000,INDEX($AO$1005:$BQ$1005,1,MATCH(COLUMNS($AO$1006:BA1006),$AO$1006:$BQ$1006,0))&gt;=100000), " ",IF(INDEX($AO$2:$BQ$1001,MATCH(ROWS($AH$2:AH717),$AH$2:$AH$1001,0),MATCH(COLUMNS($AO$1006:BA1006),$AO$1006:$BQ$1006,0)), HYPERLINK("#",""), HYPERLINK(CONCATENATE("#Metadata!", ADDRESS(INDEX($AJ$2:$AJ$1001,MATCH(ROWS($AH$2:AH717),$AH$2:$AH$1001,0),0), INDEX($AO$1004:$BQ$1004,1,MATCH(COLUMNS($AO$1006:BA1006),$AO$1006:$BQ$1006,0)))),"Fix")))</f>
        <v>#N/A</v>
      </c>
      <c r="O717" s="5" t="e">
        <f ca="1">IF(OR(INDEX($AI$2:$AI$1001,MATCH(ROWS($AH$2:AH717),$AH$2:$AH$1001,0),1)&gt;=100000,INDEX($AO$1005:$BQ$1005,1,MATCH(COLUMNS($AO$1006:BB1006),$AO$1006:$BQ$1006,0))&gt;=100000), " ",IF(INDEX($AO$2:$BQ$1001,MATCH(ROWS($AH$2:AH717),$AH$2:$AH$1001,0),MATCH(COLUMNS($AO$1006:BB1006),$AO$1006:$BQ$1006,0)), HYPERLINK("#",""), HYPERLINK(CONCATENATE("#Metadata!", ADDRESS(INDEX($AJ$2:$AJ$1001,MATCH(ROWS($AH$2:AH717),$AH$2:$AH$1001,0),0), INDEX($AO$1004:$BQ$1004,1,MATCH(COLUMNS($AO$1006:BB1006),$AO$1006:$BQ$1006,0)))),"Fix")))</f>
        <v>#N/A</v>
      </c>
      <c r="P717" s="5" t="e">
        <f ca="1">IF(OR(INDEX($AI$2:$AI$1001,MATCH(ROWS($AH$2:AH717),$AH$2:$AH$1001,0),1)&gt;=100000,INDEX($AO$1005:$BQ$1005,1,MATCH(COLUMNS($AO$1006:BC1006),$AO$1006:$BQ$1006,0))&gt;=100000), " ",IF(INDEX($AO$2:$BQ$1001,MATCH(ROWS($AH$2:AH717),$AH$2:$AH$1001,0),MATCH(COLUMNS($AO$1006:BC1006),$AO$1006:$BQ$1006,0)), HYPERLINK("#",""), HYPERLINK(CONCATENATE("#Metadata!", ADDRESS(INDEX($AJ$2:$AJ$1001,MATCH(ROWS($AH$2:AH717),$AH$2:$AH$1001,0),0), INDEX($AO$1004:$BQ$1004,1,MATCH(COLUMNS($AO$1006:BC1006),$AO$1006:$BQ$1006,0)))),"Fix")))</f>
        <v>#N/A</v>
      </c>
      <c r="Q717" s="5" t="e">
        <f ca="1">IF(OR(INDEX($AI$2:$AI$1001,MATCH(ROWS($AH$2:AH717),$AH$2:$AH$1001,0),1)&gt;=100000,INDEX($AO$1005:$BQ$1005,1,MATCH(COLUMNS($AO$1006:BD1006),$AO$1006:$BQ$1006,0))&gt;=100000), " ",IF(INDEX($AO$2:$BQ$1001,MATCH(ROWS($AH$2:AH717),$AH$2:$AH$1001,0),MATCH(COLUMNS($AO$1006:BD1006),$AO$1006:$BQ$1006,0)), HYPERLINK("#",""), HYPERLINK(CONCATENATE("#Metadata!", ADDRESS(INDEX($AJ$2:$AJ$1001,MATCH(ROWS($AH$2:AH717),$AH$2:$AH$1001,0),0), INDEX($AO$1004:$BQ$1004,1,MATCH(COLUMNS($AO$1006:BD1006),$AO$1006:$BQ$1006,0)))),"Fix")))</f>
        <v>#N/A</v>
      </c>
      <c r="R717" s="5" t="e">
        <f ca="1">IF(OR(INDEX($AI$2:$AI$1001,MATCH(ROWS($AH$2:AH717),$AH$2:$AH$1001,0),1)&gt;=100000,INDEX($AO$1005:$BQ$1005,1,MATCH(COLUMNS($AO$1006:BE1006),$AO$1006:$BQ$1006,0))&gt;=100000), " ",IF(INDEX($AO$2:$BQ$1001,MATCH(ROWS($AH$2:AH717),$AH$2:$AH$1001,0),MATCH(COLUMNS($AO$1006:BE1006),$AO$1006:$BQ$1006,0)), HYPERLINK("#",""), HYPERLINK(CONCATENATE("#Metadata!", ADDRESS(INDEX($AJ$2:$AJ$1001,MATCH(ROWS($AH$2:AH717),$AH$2:$AH$1001,0),0), INDEX($AO$1004:$BQ$1004,1,MATCH(COLUMNS($AO$1006:BE1006),$AO$1006:$BQ$1006,0)))),"Fix")))</f>
        <v>#N/A</v>
      </c>
      <c r="S717" s="5" t="e">
        <f ca="1">IF(OR(INDEX($AI$2:$AI$1001,MATCH(ROWS($AH$2:AH717),$AH$2:$AH$1001,0),1)&gt;=100000,INDEX($AO$1005:$BQ$1005,1,MATCH(COLUMNS($AO$1006:BF1006),$AO$1006:$BQ$1006,0))&gt;=100000), " ",IF(INDEX($AO$2:$BQ$1001,MATCH(ROWS($AH$2:AH717),$AH$2:$AH$1001,0),MATCH(COLUMNS($AO$1006:BF1006),$AO$1006:$BQ$1006,0)), HYPERLINK("#",""), HYPERLINK(CONCATENATE("#Metadata!", ADDRESS(INDEX($AJ$2:$AJ$1001,MATCH(ROWS($AH$2:AH717),$AH$2:$AH$1001,0),0), INDEX($AO$1004:$BQ$1004,1,MATCH(COLUMNS($AO$1006:BF1006),$AO$1006:$BQ$1006,0)))),"Fix")))</f>
        <v>#N/A</v>
      </c>
      <c r="T717" s="5" t="e">
        <f ca="1">IF(OR(INDEX($AI$2:$AI$1001,MATCH(ROWS($AH$2:AH717),$AH$2:$AH$1001,0),1)&gt;=100000,INDEX($AO$1005:$BQ$1005,1,MATCH(COLUMNS($AO$1006:BG1006),$AO$1006:$BQ$1006,0))&gt;=100000), " ",IF(INDEX($AO$2:$BQ$1001,MATCH(ROWS($AH$2:AH717),$AH$2:$AH$1001,0),MATCH(COLUMNS($AO$1006:BG1006),$AO$1006:$BQ$1006,0)), HYPERLINK("#",""), HYPERLINK(CONCATENATE("#Metadata!", ADDRESS(INDEX($AJ$2:$AJ$1001,MATCH(ROWS($AH$2:AH717),$AH$2:$AH$1001,0),0), INDEX($AO$1004:$BQ$1004,1,MATCH(COLUMNS($AO$1006:BG1006),$AO$1006:$BQ$1006,0)))),"Fix")))</f>
        <v>#N/A</v>
      </c>
      <c r="U717" s="5" t="e">
        <f ca="1">IF(OR(INDEX($AI$2:$AI$1001,MATCH(ROWS($AH$2:AH717),$AH$2:$AH$1001,0),1)&gt;=100000,INDEX($AO$1005:$BQ$1005,1,MATCH(COLUMNS($AO$1006:BH1006),$AO$1006:$BQ$1006,0))&gt;=100000), " ",IF(INDEX($AO$2:$BQ$1001,MATCH(ROWS($AH$2:AH717),$AH$2:$AH$1001,0),MATCH(COLUMNS($AO$1006:BH1006),$AO$1006:$BQ$1006,0)), HYPERLINK("#",""), HYPERLINK(CONCATENATE("#Metadata!", ADDRESS(INDEX($AJ$2:$AJ$1001,MATCH(ROWS($AH$2:AH717),$AH$2:$AH$1001,0),0), INDEX($AO$1004:$BQ$1004,1,MATCH(COLUMNS($AO$1006:BH1006),$AO$1006:$BQ$1006,0)))),"Fix")))</f>
        <v>#N/A</v>
      </c>
      <c r="V717" s="5" t="e">
        <f ca="1">IF(OR(INDEX($AI$2:$AI$1001,MATCH(ROWS($AH$2:AH717),$AH$2:$AH$1001,0),1)&gt;=100000,INDEX($AO$1005:$BQ$1005,1,MATCH(COLUMNS($AO$1006:BI1006),$AO$1006:$BQ$1006,0))&gt;=100000), " ",IF(INDEX($AO$2:$BQ$1001,MATCH(ROWS($AH$2:AH717),$AH$2:$AH$1001,0),MATCH(COLUMNS($AO$1006:BI1006),$AO$1006:$BQ$1006,0)), HYPERLINK("#",""), HYPERLINK(CONCATENATE("#Metadata!", ADDRESS(INDEX($AJ$2:$AJ$1001,MATCH(ROWS($AH$2:AH717),$AH$2:$AH$1001,0),0), INDEX($AO$1004:$BQ$1004,1,MATCH(COLUMNS($AO$1006:BI1006),$AO$1006:$BQ$1006,0)))),"Fix")))</f>
        <v>#N/A</v>
      </c>
      <c r="W717" s="5" t="e">
        <f ca="1">IF(OR(INDEX($AI$2:$AI$1001,MATCH(ROWS($AH$2:AH717),$AH$2:$AH$1001,0),1)&gt;=100000,INDEX($AO$1005:$BQ$1005,1,MATCH(COLUMNS($AO$1006:BJ1006),$AO$1006:$BQ$1006,0))&gt;=100000), " ",IF(INDEX($AO$2:$BQ$1001,MATCH(ROWS($AH$2:AH717),$AH$2:$AH$1001,0),MATCH(COLUMNS($AO$1006:BJ1006),$AO$1006:$BQ$1006,0)), HYPERLINK("#",""), HYPERLINK(CONCATENATE("#Metadata!", ADDRESS(INDEX($AJ$2:$AJ$1001,MATCH(ROWS($AH$2:AH717),$AH$2:$AH$1001,0),0), INDEX($AO$1004:$BQ$1004,1,MATCH(COLUMNS($AO$1006:BJ1006),$AO$1006:$BQ$1006,0)))),"Fix")))</f>
        <v>#N/A</v>
      </c>
      <c r="X717" s="5" t="e">
        <f ca="1">IF(OR(INDEX($AI$2:$AI$1001,MATCH(ROWS($AH$2:AH717),$AH$2:$AH$1001,0),1)&gt;=100000,INDEX($AO$1005:$BQ$1005,1,MATCH(COLUMNS($AO$1006:BK1006),$AO$1006:$BQ$1006,0))&gt;=100000), " ",IF(INDEX($AO$2:$BQ$1001,MATCH(ROWS($AH$2:AH717),$AH$2:$AH$1001,0),MATCH(COLUMNS($AO$1006:BK1006),$AO$1006:$BQ$1006,0)), HYPERLINK("#",""), HYPERLINK(CONCATENATE("#Metadata!", ADDRESS(INDEX($AJ$2:$AJ$1001,MATCH(ROWS($AH$2:AH717),$AH$2:$AH$1001,0),0), INDEX($AO$1004:$BQ$1004,1,MATCH(COLUMNS($AO$1006:BK1006),$AO$1006:$BQ$1006,0)))),"Fix")))</f>
        <v>#N/A</v>
      </c>
      <c r="Y717" s="5" t="e">
        <f ca="1">IF(OR(INDEX($AI$2:$AI$1001,MATCH(ROWS($AH$2:AH717),$AH$2:$AH$1001,0),1)&gt;=100000,INDEX($AO$1005:$BQ$1005,1,MATCH(COLUMNS($AO$1006:BL1006),$AO$1006:$BQ$1006,0))&gt;=100000), " ",IF(INDEX($AO$2:$BQ$1001,MATCH(ROWS($AH$2:AH717),$AH$2:$AH$1001,0),MATCH(COLUMNS($AO$1006:BL1006),$AO$1006:$BQ$1006,0)), HYPERLINK("#",""), HYPERLINK(CONCATENATE("#Metadata!", ADDRESS(INDEX($AJ$2:$AJ$1001,MATCH(ROWS($AH$2:AH717),$AH$2:$AH$1001,0),0), INDEX($AO$1004:$BQ$1004,1,MATCH(COLUMNS($AO$1006:BL1006),$AO$1006:$BQ$1006,0)))),"Fix")))</f>
        <v>#N/A</v>
      </c>
      <c r="Z717" s="5" t="e">
        <f ca="1">IF(OR(INDEX($AI$2:$AI$1001,MATCH(ROWS($AH$2:AH717),$AH$2:$AH$1001,0),1)&gt;=100000,INDEX($AO$1005:$BQ$1005,1,MATCH(COLUMNS($AO$1006:BM1006),$AO$1006:$BQ$1006,0))&gt;=100000), " ",IF(INDEX($AO$2:$BQ$1001,MATCH(ROWS($AH$2:AH717),$AH$2:$AH$1001,0),MATCH(COLUMNS($AO$1006:BM1006),$AO$1006:$BQ$1006,0)), HYPERLINK("#",""), HYPERLINK(CONCATENATE("#Metadata!", ADDRESS(INDEX($AJ$2:$AJ$1001,MATCH(ROWS($AH$2:AH717),$AH$2:$AH$1001,0),0), INDEX($AO$1004:$BQ$1004,1,MATCH(COLUMNS($AO$1006:BM1006),$AO$1006:$BQ$1006,0)))),"Fix")))</f>
        <v>#N/A</v>
      </c>
      <c r="AA717" s="5" t="e">
        <f ca="1">IF(OR(INDEX($AI$2:$AI$1001,MATCH(ROWS($AH$2:AH717),$AH$2:$AH$1001,0),1)&gt;=100000,INDEX($AO$1005:$BQ$1005,1,MATCH(COLUMNS($AO$1006:BN1006),$AO$1006:$BQ$1006,0))&gt;=100000), " ",IF(INDEX($AO$2:$BQ$1001,MATCH(ROWS($AH$2:AH717),$AH$2:$AH$1001,0),MATCH(COLUMNS($AO$1006:BN1006),$AO$1006:$BQ$1006,0)), HYPERLINK("#",""), HYPERLINK(CONCATENATE("#Metadata!", ADDRESS(INDEX($AJ$2:$AJ$1001,MATCH(ROWS($AH$2:AH717),$AH$2:$AH$1001,0),0), INDEX($AO$1004:$BQ$1004,1,MATCH(COLUMNS($AO$1006:BN1006),$AO$1006:$BQ$1006,0)))),"Fix")))</f>
        <v>#N/A</v>
      </c>
      <c r="AB717" s="5" t="e">
        <f ca="1">IF(OR(INDEX($AI$2:$AI$1001,MATCH(ROWS($AH$2:AH717),$AH$2:$AH$1001,0),1)&gt;=100000,INDEX($AO$1005:$BQ$1005,1,MATCH(COLUMNS($AO$1006:BO1006),$AO$1006:$BQ$1006,0))&gt;=100000), " ",IF(INDEX($AO$2:$BQ$1001,MATCH(ROWS($AH$2:AH717),$AH$2:$AH$1001,0),MATCH(COLUMNS($AO$1006:BO1006),$AO$1006:$BQ$1006,0)), HYPERLINK("#",""), HYPERLINK(CONCATENATE("#Metadata!", ADDRESS(INDEX($AJ$2:$AJ$1001,MATCH(ROWS($AH$2:AH717),$AH$2:$AH$1001,0),0), INDEX($AO$1004:$BQ$1004,1,MATCH(COLUMNS($AO$1006:BO1006),$AO$1006:$BQ$1006,0)))),"Fix")))</f>
        <v>#N/A</v>
      </c>
      <c r="AC717" s="5" t="e">
        <f ca="1">IF(OR(INDEX($AI$2:$AI$1001,MATCH(ROWS($AH$2:AH717),$AH$2:$AH$1001,0),1)&gt;=100000,INDEX($AO$1005:$BQ$1005,1,MATCH(COLUMNS($AO$1006:BP1006),$AO$1006:$BQ$1006,0))&gt;=100000), " ",IF(INDEX($AO$2:$BQ$1001,MATCH(ROWS($AH$2:AH717),$AH$2:$AH$1001,0),MATCH(COLUMNS($AO$1006:BP1006),$AO$1006:$BQ$1006,0)), HYPERLINK("#",""), HYPERLINK(CONCATENATE("#Metadata!", ADDRESS(INDEX($AJ$2:$AJ$1001,MATCH(ROWS($AH$2:AH717),$AH$2:$AH$1001,0),0), INDEX($AO$1004:$BQ$1004,1,MATCH(COLUMNS($AO$1006:BP1006),$AO$1006:$BQ$1006,0)))),"Fix")))</f>
        <v>#N/A</v>
      </c>
      <c r="AD717" s="5" t="e">
        <f ca="1">IF(OR(INDEX($AI$2:$AI$1001,MATCH(ROWS($AH$2:AH717),$AH$2:$AH$1001,0),1)&gt;=100000,INDEX($AO$1005:$BQ$1005,1,MATCH(COLUMNS($AO$1006:BQ1006),$AO$1006:$BQ$1006,0))&gt;=100000), " ",IF(INDEX($AO$2:$BQ$1001,MATCH(ROWS($AH$2:AH717),$AH$2:$AH$1001,0),MATCH(COLUMNS($AO$1006:BQ1006),$AO$1006:$BQ$1006,0)), HYPERLINK("#",""), HYPERLINK(CONCATENATE("#Metadata!", ADDRESS(INDEX($AJ$2:$AJ$1001,MATCH(ROWS($AH$2:AH717),$AH$2:$AH$1001,0),0), INDEX($AO$1004:$BQ$1004,1,MATCH(COLUMNS($AO$1006:BQ1006),$AO$1006:$BQ$1006,0)))),"Fix")))</f>
        <v>#REF!</v>
      </c>
      <c r="AH717">
        <f ca="1"/>
        <v>714</v>
      </c>
      <c r="AI717">
        <v>100717</v>
      </c>
      <c r="AJ717">
        <v>717</v>
      </c>
      <c r="AK717" t="b">
        <f t="shared" si="11"/>
        <v>1</v>
      </c>
      <c r="AL717" t="b">
        <f>COUNTBLANK(Metadata!B717:AD717)=COLUMNS(Metadata!B717:AD717)</f>
        <v>1</v>
      </c>
      <c r="AM717" t="str">
        <v/>
      </c>
      <c r="AO717" t="b">
        <f ca="1">AND(IF(Metadata!B717="",FALSE,TRUE),COUNTIF(Metadata!B:B, Metadata!B717) = 1,NOT(ISERROR(SUMPRODUCT(SEARCH(MID(Metadata!B717,ROW(INDIRECT("1:"&amp;LEN(Metadata!B717))), 1),"0123456789abcdefghijklmnopqrstuvwxyzABCDEFGHIJKLMNOPQRSTUVWXYZ.")))))</f>
        <v>0</v>
      </c>
      <c r="AP717" t="b">
        <f>IF(Metadata!C717="",FALSE,TRUE)</f>
        <v>0</v>
      </c>
      <c r="AQ717" t="b">
        <f>IF(Metadata!D717="",FALSE,TRUE)</f>
        <v>0</v>
      </c>
      <c r="AR717" t="b">
        <f ca="1">OR(AND(IF(Metadata!E717="",FALSE,TRUE),OR(EXACT(Metadata!E717,"not collected"),EXACT(Metadata!E717,"not provided"),EXACT(Metadata!E717,"restricted access"))),AND(IF(Metadata!E717="",FALSE,TRUE),AND(AND(IFERROR(INT(LEFT(Metadata!E717,4))&gt;1900,FALSE),IFERROR(INT(LEFT(Metadata!E717,4))&lt;=YEAR(NOW()),FALSE)), OR(MID(Metadata!E717,5,1)="", AND(AND(MID(Metadata!E717,5,1)="-",IFERROR(INT(MID(Metadata!E717,6,1))&gt;=0,FALSE),IFERROR(INT(MID(Metadata!E717,6,1))&lt;=1,FALSE),NOT(MID(Metadata!E717,7,1)=""),IFERROR(INT(MID(Metadata!E717,6,2))&gt;=1,FALSE),IFERROR(INT(MID(Metadata!E717,6,2))&lt;=12,FALSE)), OR(MID(Metadata!E717,8,1)="", AND(AND(MID(Metadata!E717,8,1)="-",IFERROR(INT(MID(Metadata!E717,9,1))&gt;=0,FALSE),IFERROR(INT(MID(Metadata!E717,9,1))&lt;=3,FALSE),NOT(MID(Metadata!E717,10,1)=""),IFERROR(INT(MID(Metadata!E717,9,2))&gt;=1,FALSE),IFERROR(INT(MID(Metadata!E717,9,2))&lt;=31,FALSE)), OR(MID(Metadata!E717,11,1)="", AND(AND(MID(Metadata!E717,11,1)=" ",IFERROR(INT(MID(Metadata!E717,12,1))&gt;=0,FALSE),IFERROR(INT(MID(Metadata!E717,12,1))&lt;=2,FALSE),NOT(MID(Metadata!E717,13,1)=""),IFERROR(INT(MID(Metadata!E717,12,2))&gt;=0,FALSE),IFERROR(INT(MID(Metadata!E717,12,2))&lt;=23,FALSE)), OR(MID(Metadata!E717,14,1)="", AND(AND(MID(Metadata!E717,14,1)=":",IFERROR(INT(MID(Metadata!E717,15,1))&gt;=0,FALSE),IFERROR(INT(MID(Metadata!E717,15,1))&lt;=5,FALSE),NOT(MID(Metadata!E717,16,1)=""),IFERROR(INT(MID(Metadata!E717,15,2))&gt;=0,FALSE),IFERROR(INT(MID(Metadata!E717,15,2))&lt;=59,FALSE)), OR(MID(Metadata!E717,17,1)="", AND(AND(MID(Metadata!E717,17,1)=":",IFERROR(INT(MID(Metadata!E717,18,1))&gt;=0,FALSE),IFERROR(INT(MID(Metadata!E717,18,1))&lt;=5,FALSE),NOT(MID(Metadata!E717,19,1)=""),IFERROR(INT(MID(Metadata!E717,18,2))&gt;=0,FALSE),IFERROR(INT(MID(Metadata!E717,18,2))&lt;=59,FALSE)), LEN(Metadata!E717)&lt;=19)))))))))))))</f>
        <v>0</v>
      </c>
      <c r="AS717" t="b">
        <f>IF(Metadata!F717="",FALSE,TRUE)</f>
        <v>0</v>
      </c>
      <c r="AT717" t="b">
        <f>OR(AND(IF(Metadata!G717="",FALSE,TRUE),OR(EXACT(Metadata!G717,"not collected"),EXACT(Metadata!G717,"not provided"))),AND(IF(Metadata!G717="",FALSE,TRUE),OR(EXACT(Metadata!G717,"TRUE"),EXACT(Metadata!G717,"FALSE"))))</f>
        <v>0</v>
      </c>
      <c r="AU717" t="b">
        <f>OR(AND(IF(Metadata!H717="",FALSE,TRUE),OR(EXACT(Metadata!H717,"not collected"),EXACT(Metadata!H717,"not provided"),EXACT(Metadata!H717,"restricted access"))),AND(IF(Metadata!H717="",FALSE,ISNUMBER(VALUE(Metadata!H717))),Metadata!H717&gt;=-413))</f>
        <v>0</v>
      </c>
      <c r="AV717" t="b">
        <f>AND(IF(Metadata!I717="",FALSE,TRUE),EXACT(Metadata!I717,"meters"))</f>
        <v>0</v>
      </c>
      <c r="AW717" t="b">
        <f>AND(IF(Metadata!J717="",FALSE,TRUE),EXACT(Metadata!J717,"free-living"))</f>
        <v>0</v>
      </c>
      <c r="AX717" t="b">
        <f>AND(IF(Metadata!K717="",FALSE,TRUE),OR(EXACT(Metadata!K717,"saline"),EXACT(Metadata!K717,"non-saline")))</f>
        <v>0</v>
      </c>
      <c r="AY717" t="b">
        <f>AND(IF(Metadata!L717="",FALSE,TRUE),OR(EXACT(Metadata!L717,"sub-surface (non-saline)"),EXACT(Metadata!L717,"surface (non-saline)"),EXACT(Metadata!L717,"water (non-saline)"),EXACT(Metadata!L717,"soil (non-saline)"),EXACT(Metadata!L717,"aerosol (non-saline)"),EXACT(Metadata!L717,"sediment (non-saline)"),EXACT(Metadata!L717,"surface (saline)"),EXACT(Metadata!L717,"water (saline)"),EXACT(Metadata!L717,"hypersaline (saline)"),EXACT(Metadata!L717,"aerosol (saline)"),EXACT(Metadata!L717,"sediment (saline)")))</f>
        <v>0</v>
      </c>
      <c r="AZ717" t="b">
        <f>IF(Metadata!M717="",FALSE,TRUE)</f>
        <v>0</v>
      </c>
      <c r="BA717" t="b">
        <f>IF(Metadata!N717="",FALSE,TRUE)</f>
        <v>0</v>
      </c>
      <c r="BB717" t="b">
        <f>IF(Metadata!O717="",FALSE,TRUE)</f>
        <v>0</v>
      </c>
      <c r="BC717" t="b">
        <f>AND(IF(Metadata!P717="",FALSE,TRUE),OR(EXACT(Metadata!P717,"air"),EXACT(Metadata!P717,"microbial mat/biofilm"),EXACT(Metadata!P717,"misc environment"),EXACT(Metadata!P717,"sediment"),EXACT(Metadata!P717,"soil"),EXACT(Metadata!P717,"wastewater/sludge"),EXACT(Metadata!P717,"water")))</f>
        <v>0</v>
      </c>
      <c r="BD717" t="b">
        <f>IF(Metadata!Q717="",FALSE,TRUE)</f>
        <v>0</v>
      </c>
      <c r="BE717" t="b">
        <f>IF(Metadata!R717="",FALSE,TRUE)</f>
        <v>0</v>
      </c>
      <c r="BF717" t="b">
        <f>OR(AND(IF(Metadata!S717="",FALSE,TRUE),OR(EXACT(Metadata!S717,"not collected"),EXACT(Metadata!S717,"not provided"),EXACT(Metadata!S717,"restricted access"))),AND(IF(Metadata!S717="",FALSE,ISNUMBER(VALUE(Metadata!S717))),Metadata!S717&gt;=-90,Metadata!S717&lt;=90))</f>
        <v>0</v>
      </c>
      <c r="BG717" t="b">
        <f>AND(IF(Metadata!T717="",FALSE,TRUE),EXACT(Metadata!T717,"Decimal degrees"))</f>
        <v>0</v>
      </c>
      <c r="BH717" t="b">
        <f>OR(AND(IF(Metadata!U717="",FALSE,TRUE),OR(EXACT(Metadata!U717,"not applicable"),EXACT(Metadata!U717,"not collected"))),IF(Metadata!U717="",FALSE,TRUE))</f>
        <v>0</v>
      </c>
      <c r="BI717" t="b">
        <f>OR(AND(IF(Metadata!V717="",FALSE,TRUE),OR(EXACT(Metadata!V717,"not collected"),EXACT(Metadata!V717,"not provided"),EXACT(Metadata!V717,"restricted access"))),AND(IF(Metadata!V717="",FALSE,ISNUMBER(VALUE(Metadata!V717))),Metadata!V717&gt;=-180,Metadata!V717&lt;=180))</f>
        <v>0</v>
      </c>
      <c r="BJ717" t="b">
        <f>AND(IF(Metadata!W717="",FALSE,TRUE),EXACT(Metadata!W717,"Decimal degrees"))</f>
        <v>0</v>
      </c>
      <c r="BK717" t="b">
        <f>IF(Metadata!X717="",FALSE,TRUE)</f>
        <v>0</v>
      </c>
      <c r="BL717" t="b">
        <f>OR(AND(IF(Metadata!Y717="",FALSE,TRUE),OR(EXACT(Metadata!Y717,"not collected"),EXACT(Metadata!Y717,"not provided"),EXACT(Metadata!Y717,"restricted access"))),AND(IF(Metadata!Y717="",FALSE,TRUE),OR(EXACT(Metadata!Y717,"TRUE"),EXACT(Metadata!Y717,"FALSE"))))</f>
        <v>0</v>
      </c>
      <c r="BM717" t="b">
        <f>OR(AND(IF(Metadata!Z717="",FALSE,TRUE),EXACT(Metadata!Z717,"not applicable")),AND(IF(Metadata!Z717="",FALSE,TRUE),OR(EXACT(Metadata!Z717,"beer"),EXACT(Metadata!Z717,"cheese"),EXACT(Metadata!Z717,"fresh water"),EXACT(Metadata!Z717,"marine sediment"),EXACT(Metadata!Z717,"sea water"),EXACT(Metadata!Z717,"sediment"),EXACT(Metadata!Z717,"soil"),EXACT(Metadata!Z717,"waste water"))))</f>
        <v>0</v>
      </c>
      <c r="BN717" t="b">
        <f>AND(IF(Metadata!AA717="",FALSE,TRUE),EXACT(Metadata!AA717,"metagenome"))</f>
        <v>0</v>
      </c>
      <c r="BO717" t="b">
        <f>AND(IF(Metadata!AB717="",FALSE,TRUE),EXACT(Metadata!AB717,"256318"))</f>
        <v>0</v>
      </c>
      <c r="BP717" t="b">
        <f>IF(Metadata!AC717="",FALSE,TRUE)</f>
        <v>0</v>
      </c>
      <c r="BQ717" t="b">
        <f>IF(Metadata!AD717="",FALSE,TRUE)</f>
        <v>0</v>
      </c>
    </row>
    <row r="718" spans="1:69" x14ac:dyDescent="0.2">
      <c r="A718" s="4" t="e">
        <f ca="1">IF(B718=" "," ",HYPERLINK(CONCATENATE("#metadata!",ADDRESS(INDEX($AJ$2:$AJ$1001,MATCH(ROWS($AH$2:AH718),$AH$2:$AH$1001,0),0),2)),INDEX($AM$2:$AM$1001,MATCH(ROWS($AH$2:AH718),$AH$2:$AH$1001,0),0)))</f>
        <v>#N/A</v>
      </c>
      <c r="B718" s="5" t="e">
        <f ca="1">IF(OR(INDEX($AI$2:$AI$1001,MATCH(ROWS($AH$2:AH718),$AH$2:$AH$1001,0),1)&gt;=100000,INDEX($AO$1005:$BQ$1005,1,MATCH(COLUMNS($AO$1006:AO1006),$AO$1006:$BQ$1006,0))&gt;=100000), " ",IF(INDEX($AO$2:$BQ$1001,MATCH(ROWS($AH$2:AH718),$AH$2:$AH$1001,0),MATCH(COLUMNS($AO$1006:AO1006),$AO$1006:$BQ$1006,0)), HYPERLINK("#",""), HYPERLINK(CONCATENATE("#Metadata!", ADDRESS(INDEX($AJ$2:$AJ$1001,MATCH(ROWS($AH$2:AH718),$AH$2:$AH$1001,0),0), INDEX($AO$1004:$BQ$1004,1,MATCH(COLUMNS($AO$1006:AO1006),$AO$1006:$BQ$1006,0)))),"Fix")))</f>
        <v>#N/A</v>
      </c>
      <c r="C718" s="5" t="e">
        <f ca="1">IF(OR(INDEX($AI$2:$AI$1001,MATCH(ROWS($AH$2:AH718),$AH$2:$AH$1001,0),1)&gt;=100000,INDEX($AO$1005:$BQ$1005,1,MATCH(COLUMNS($AO$1006:AP1006),$AO$1006:$BQ$1006,0))&gt;=100000), " ",IF(INDEX($AO$2:$BQ$1001,MATCH(ROWS($AH$2:AH718),$AH$2:$AH$1001,0),MATCH(COLUMNS($AO$1006:AP1006),$AO$1006:$BQ$1006,0)), HYPERLINK("#",""), HYPERLINK(CONCATENATE("#Metadata!", ADDRESS(INDEX($AJ$2:$AJ$1001,MATCH(ROWS($AH$2:AH718),$AH$2:$AH$1001,0),0), INDEX($AO$1004:$BQ$1004,1,MATCH(COLUMNS($AO$1006:AP1006),$AO$1006:$BQ$1006,0)))),"Fix")))</f>
        <v>#N/A</v>
      </c>
      <c r="D718" s="5" t="e">
        <f ca="1">IF(OR(INDEX($AI$2:$AI$1001,MATCH(ROWS($AH$2:AH718),$AH$2:$AH$1001,0),1)&gt;=100000,INDEX($AO$1005:$BQ$1005,1,MATCH(COLUMNS($AO$1006:AQ1006),$AO$1006:$BQ$1006,0))&gt;=100000), " ",IF(INDEX($AO$2:$BQ$1001,MATCH(ROWS($AH$2:AH718),$AH$2:$AH$1001,0),MATCH(COLUMNS($AO$1006:AQ1006),$AO$1006:$BQ$1006,0)), HYPERLINK("#",""), HYPERLINK(CONCATENATE("#Metadata!", ADDRESS(INDEX($AJ$2:$AJ$1001,MATCH(ROWS($AH$2:AH718),$AH$2:$AH$1001,0),0), INDEX($AO$1004:$BQ$1004,1,MATCH(COLUMNS($AO$1006:AQ1006),$AO$1006:$BQ$1006,0)))),"Fix")))</f>
        <v>#N/A</v>
      </c>
      <c r="E718" s="5" t="e">
        <f ca="1">IF(OR(INDEX($AI$2:$AI$1001,MATCH(ROWS($AH$2:AH718),$AH$2:$AH$1001,0),1)&gt;=100000,INDEX($AO$1005:$BQ$1005,1,MATCH(COLUMNS($AO$1006:AR1006),$AO$1006:$BQ$1006,0))&gt;=100000), " ",IF(INDEX($AO$2:$BQ$1001,MATCH(ROWS($AH$2:AH718),$AH$2:$AH$1001,0),MATCH(COLUMNS($AO$1006:AR1006),$AO$1006:$BQ$1006,0)), HYPERLINK("#",""), HYPERLINK(CONCATENATE("#Metadata!", ADDRESS(INDEX($AJ$2:$AJ$1001,MATCH(ROWS($AH$2:AH718),$AH$2:$AH$1001,0),0), INDEX($AO$1004:$BQ$1004,1,MATCH(COLUMNS($AO$1006:AR1006),$AO$1006:$BQ$1006,0)))),"Fix")))</f>
        <v>#N/A</v>
      </c>
      <c r="F718" s="5" t="e">
        <f ca="1">IF(OR(INDEX($AI$2:$AI$1001,MATCH(ROWS($AH$2:AH718),$AH$2:$AH$1001,0),1)&gt;=100000,INDEX($AO$1005:$BQ$1005,1,MATCH(COLUMNS($AO$1006:AS1006),$AO$1006:$BQ$1006,0))&gt;=100000), " ",IF(INDEX($AO$2:$BQ$1001,MATCH(ROWS($AH$2:AH718),$AH$2:$AH$1001,0),MATCH(COLUMNS($AO$1006:AS1006),$AO$1006:$BQ$1006,0)), HYPERLINK("#",""), HYPERLINK(CONCATENATE("#Metadata!", ADDRESS(INDEX($AJ$2:$AJ$1001,MATCH(ROWS($AH$2:AH718),$AH$2:$AH$1001,0),0), INDEX($AO$1004:$BQ$1004,1,MATCH(COLUMNS($AO$1006:AS1006),$AO$1006:$BQ$1006,0)))),"Fix")))</f>
        <v>#N/A</v>
      </c>
      <c r="G718" s="5" t="e">
        <f ca="1">IF(OR(INDEX($AI$2:$AI$1001,MATCH(ROWS($AH$2:AH718),$AH$2:$AH$1001,0),1)&gt;=100000,INDEX($AO$1005:$BQ$1005,1,MATCH(COLUMNS($AO$1006:AT1006),$AO$1006:$BQ$1006,0))&gt;=100000), " ",IF(INDEX($AO$2:$BQ$1001,MATCH(ROWS($AH$2:AH718),$AH$2:$AH$1001,0),MATCH(COLUMNS($AO$1006:AT1006),$AO$1006:$BQ$1006,0)), HYPERLINK("#",""), HYPERLINK(CONCATENATE("#Metadata!", ADDRESS(INDEX($AJ$2:$AJ$1001,MATCH(ROWS($AH$2:AH718),$AH$2:$AH$1001,0),0), INDEX($AO$1004:$BQ$1004,1,MATCH(COLUMNS($AO$1006:AT1006),$AO$1006:$BQ$1006,0)))),"Fix")))</f>
        <v>#N/A</v>
      </c>
      <c r="H718" s="5" t="e">
        <f ca="1">IF(OR(INDEX($AI$2:$AI$1001,MATCH(ROWS($AH$2:AH718),$AH$2:$AH$1001,0),1)&gt;=100000,INDEX($AO$1005:$BQ$1005,1,MATCH(COLUMNS($AO$1006:AU1006),$AO$1006:$BQ$1006,0))&gt;=100000), " ",IF(INDEX($AO$2:$BQ$1001,MATCH(ROWS($AH$2:AH718),$AH$2:$AH$1001,0),MATCH(COLUMNS($AO$1006:AU1006),$AO$1006:$BQ$1006,0)), HYPERLINK("#",""), HYPERLINK(CONCATENATE("#Metadata!", ADDRESS(INDEX($AJ$2:$AJ$1001,MATCH(ROWS($AH$2:AH718),$AH$2:$AH$1001,0),0), INDEX($AO$1004:$BQ$1004,1,MATCH(COLUMNS($AO$1006:AU1006),$AO$1006:$BQ$1006,0)))),"Fix")))</f>
        <v>#N/A</v>
      </c>
      <c r="I718" s="5" t="e">
        <f ca="1">IF(OR(INDEX($AI$2:$AI$1001,MATCH(ROWS($AH$2:AH718),$AH$2:$AH$1001,0),1)&gt;=100000,INDEX($AO$1005:$BQ$1005,1,MATCH(COLUMNS($AO$1006:AV1006),$AO$1006:$BQ$1006,0))&gt;=100000), " ",IF(INDEX($AO$2:$BQ$1001,MATCH(ROWS($AH$2:AH718),$AH$2:$AH$1001,0),MATCH(COLUMNS($AO$1006:AV1006),$AO$1006:$BQ$1006,0)), HYPERLINK("#",""), HYPERLINK(CONCATENATE("#Metadata!", ADDRESS(INDEX($AJ$2:$AJ$1001,MATCH(ROWS($AH$2:AH718),$AH$2:$AH$1001,0),0), INDEX($AO$1004:$BQ$1004,1,MATCH(COLUMNS($AO$1006:AV1006),$AO$1006:$BQ$1006,0)))),"Fix")))</f>
        <v>#N/A</v>
      </c>
      <c r="J718" s="5" t="e">
        <f ca="1">IF(OR(INDEX($AI$2:$AI$1001,MATCH(ROWS($AH$2:AH718),$AH$2:$AH$1001,0),1)&gt;=100000,INDEX($AO$1005:$BQ$1005,1,MATCH(COLUMNS($AO$1006:AW1006),$AO$1006:$BQ$1006,0))&gt;=100000), " ",IF(INDEX($AO$2:$BQ$1001,MATCH(ROWS($AH$2:AH718),$AH$2:$AH$1001,0),MATCH(COLUMNS($AO$1006:AW1006),$AO$1006:$BQ$1006,0)), HYPERLINK("#",""), HYPERLINK(CONCATENATE("#Metadata!", ADDRESS(INDEX($AJ$2:$AJ$1001,MATCH(ROWS($AH$2:AH718),$AH$2:$AH$1001,0),0), INDEX($AO$1004:$BQ$1004,1,MATCH(COLUMNS($AO$1006:AW1006),$AO$1006:$BQ$1006,0)))),"Fix")))</f>
        <v>#N/A</v>
      </c>
      <c r="K718" s="5" t="e">
        <f ca="1">IF(OR(INDEX($AI$2:$AI$1001,MATCH(ROWS($AH$2:AH718),$AH$2:$AH$1001,0),1)&gt;=100000,INDEX($AO$1005:$BQ$1005,1,MATCH(COLUMNS($AO$1006:AX1006),$AO$1006:$BQ$1006,0))&gt;=100000), " ",IF(INDEX($AO$2:$BQ$1001,MATCH(ROWS($AH$2:AH718),$AH$2:$AH$1001,0),MATCH(COLUMNS($AO$1006:AX1006),$AO$1006:$BQ$1006,0)), HYPERLINK("#",""), HYPERLINK(CONCATENATE("#Metadata!", ADDRESS(INDEX($AJ$2:$AJ$1001,MATCH(ROWS($AH$2:AH718),$AH$2:$AH$1001,0),0), INDEX($AO$1004:$BQ$1004,1,MATCH(COLUMNS($AO$1006:AX1006),$AO$1006:$BQ$1006,0)))),"Fix")))</f>
        <v>#N/A</v>
      </c>
      <c r="L718" s="5" t="e">
        <f ca="1">IF(OR(INDEX($AI$2:$AI$1001,MATCH(ROWS($AH$2:AH718),$AH$2:$AH$1001,0),1)&gt;=100000,INDEX($AO$1005:$BQ$1005,1,MATCH(COLUMNS($AO$1006:AY1006),$AO$1006:$BQ$1006,0))&gt;=100000), " ",IF(INDEX($AO$2:$BQ$1001,MATCH(ROWS($AH$2:AH718),$AH$2:$AH$1001,0),MATCH(COLUMNS($AO$1006:AY1006),$AO$1006:$BQ$1006,0)), HYPERLINK("#",""), HYPERLINK(CONCATENATE("#Metadata!", ADDRESS(INDEX($AJ$2:$AJ$1001,MATCH(ROWS($AH$2:AH718),$AH$2:$AH$1001,0),0), INDEX($AO$1004:$BQ$1004,1,MATCH(COLUMNS($AO$1006:AY1006),$AO$1006:$BQ$1006,0)))),"Fix")))</f>
        <v>#N/A</v>
      </c>
      <c r="M718" s="5" t="e">
        <f ca="1">IF(OR(INDEX($AI$2:$AI$1001,MATCH(ROWS($AH$2:AH718),$AH$2:$AH$1001,0),1)&gt;=100000,INDEX($AO$1005:$BQ$1005,1,MATCH(COLUMNS($AO$1006:AZ1006),$AO$1006:$BQ$1006,0))&gt;=100000), " ",IF(INDEX($AO$2:$BQ$1001,MATCH(ROWS($AH$2:AH718),$AH$2:$AH$1001,0),MATCH(COLUMNS($AO$1006:AZ1006),$AO$1006:$BQ$1006,0)), HYPERLINK("#",""), HYPERLINK(CONCATENATE("#Metadata!", ADDRESS(INDEX($AJ$2:$AJ$1001,MATCH(ROWS($AH$2:AH718),$AH$2:$AH$1001,0),0), INDEX($AO$1004:$BQ$1004,1,MATCH(COLUMNS($AO$1006:AZ1006),$AO$1006:$BQ$1006,0)))),"Fix")))</f>
        <v>#N/A</v>
      </c>
      <c r="N718" s="5" t="e">
        <f ca="1">IF(OR(INDEX($AI$2:$AI$1001,MATCH(ROWS($AH$2:AH718),$AH$2:$AH$1001,0),1)&gt;=100000,INDEX($AO$1005:$BQ$1005,1,MATCH(COLUMNS($AO$1006:BA1006),$AO$1006:$BQ$1006,0))&gt;=100000), " ",IF(INDEX($AO$2:$BQ$1001,MATCH(ROWS($AH$2:AH718),$AH$2:$AH$1001,0),MATCH(COLUMNS($AO$1006:BA1006),$AO$1006:$BQ$1006,0)), HYPERLINK("#",""), HYPERLINK(CONCATENATE("#Metadata!", ADDRESS(INDEX($AJ$2:$AJ$1001,MATCH(ROWS($AH$2:AH718),$AH$2:$AH$1001,0),0), INDEX($AO$1004:$BQ$1004,1,MATCH(COLUMNS($AO$1006:BA1006),$AO$1006:$BQ$1006,0)))),"Fix")))</f>
        <v>#N/A</v>
      </c>
      <c r="O718" s="5" t="e">
        <f ca="1">IF(OR(INDEX($AI$2:$AI$1001,MATCH(ROWS($AH$2:AH718),$AH$2:$AH$1001,0),1)&gt;=100000,INDEX($AO$1005:$BQ$1005,1,MATCH(COLUMNS($AO$1006:BB1006),$AO$1006:$BQ$1006,0))&gt;=100000), " ",IF(INDEX($AO$2:$BQ$1001,MATCH(ROWS($AH$2:AH718),$AH$2:$AH$1001,0),MATCH(COLUMNS($AO$1006:BB1006),$AO$1006:$BQ$1006,0)), HYPERLINK("#",""), HYPERLINK(CONCATENATE("#Metadata!", ADDRESS(INDEX($AJ$2:$AJ$1001,MATCH(ROWS($AH$2:AH718),$AH$2:$AH$1001,0),0), INDEX($AO$1004:$BQ$1004,1,MATCH(COLUMNS($AO$1006:BB1006),$AO$1006:$BQ$1006,0)))),"Fix")))</f>
        <v>#N/A</v>
      </c>
      <c r="P718" s="5" t="e">
        <f ca="1">IF(OR(INDEX($AI$2:$AI$1001,MATCH(ROWS($AH$2:AH718),$AH$2:$AH$1001,0),1)&gt;=100000,INDEX($AO$1005:$BQ$1005,1,MATCH(COLUMNS($AO$1006:BC1006),$AO$1006:$BQ$1006,0))&gt;=100000), " ",IF(INDEX($AO$2:$BQ$1001,MATCH(ROWS($AH$2:AH718),$AH$2:$AH$1001,0),MATCH(COLUMNS($AO$1006:BC1006),$AO$1006:$BQ$1006,0)), HYPERLINK("#",""), HYPERLINK(CONCATENATE("#Metadata!", ADDRESS(INDEX($AJ$2:$AJ$1001,MATCH(ROWS($AH$2:AH718),$AH$2:$AH$1001,0),0), INDEX($AO$1004:$BQ$1004,1,MATCH(COLUMNS($AO$1006:BC1006),$AO$1006:$BQ$1006,0)))),"Fix")))</f>
        <v>#N/A</v>
      </c>
      <c r="Q718" s="5" t="e">
        <f ca="1">IF(OR(INDEX($AI$2:$AI$1001,MATCH(ROWS($AH$2:AH718),$AH$2:$AH$1001,0),1)&gt;=100000,INDEX($AO$1005:$BQ$1005,1,MATCH(COLUMNS($AO$1006:BD1006),$AO$1006:$BQ$1006,0))&gt;=100000), " ",IF(INDEX($AO$2:$BQ$1001,MATCH(ROWS($AH$2:AH718),$AH$2:$AH$1001,0),MATCH(COLUMNS($AO$1006:BD1006),$AO$1006:$BQ$1006,0)), HYPERLINK("#",""), HYPERLINK(CONCATENATE("#Metadata!", ADDRESS(INDEX($AJ$2:$AJ$1001,MATCH(ROWS($AH$2:AH718),$AH$2:$AH$1001,0),0), INDEX($AO$1004:$BQ$1004,1,MATCH(COLUMNS($AO$1006:BD1006),$AO$1006:$BQ$1006,0)))),"Fix")))</f>
        <v>#N/A</v>
      </c>
      <c r="R718" s="5" t="e">
        <f ca="1">IF(OR(INDEX($AI$2:$AI$1001,MATCH(ROWS($AH$2:AH718),$AH$2:$AH$1001,0),1)&gt;=100000,INDEX($AO$1005:$BQ$1005,1,MATCH(COLUMNS($AO$1006:BE1006),$AO$1006:$BQ$1006,0))&gt;=100000), " ",IF(INDEX($AO$2:$BQ$1001,MATCH(ROWS($AH$2:AH718),$AH$2:$AH$1001,0),MATCH(COLUMNS($AO$1006:BE1006),$AO$1006:$BQ$1006,0)), HYPERLINK("#",""), HYPERLINK(CONCATENATE("#Metadata!", ADDRESS(INDEX($AJ$2:$AJ$1001,MATCH(ROWS($AH$2:AH718),$AH$2:$AH$1001,0),0), INDEX($AO$1004:$BQ$1004,1,MATCH(COLUMNS($AO$1006:BE1006),$AO$1006:$BQ$1006,0)))),"Fix")))</f>
        <v>#N/A</v>
      </c>
      <c r="S718" s="5" t="e">
        <f ca="1">IF(OR(INDEX($AI$2:$AI$1001,MATCH(ROWS($AH$2:AH718),$AH$2:$AH$1001,0),1)&gt;=100000,INDEX($AO$1005:$BQ$1005,1,MATCH(COLUMNS($AO$1006:BF1006),$AO$1006:$BQ$1006,0))&gt;=100000), " ",IF(INDEX($AO$2:$BQ$1001,MATCH(ROWS($AH$2:AH718),$AH$2:$AH$1001,0),MATCH(COLUMNS($AO$1006:BF1006),$AO$1006:$BQ$1006,0)), HYPERLINK("#",""), HYPERLINK(CONCATENATE("#Metadata!", ADDRESS(INDEX($AJ$2:$AJ$1001,MATCH(ROWS($AH$2:AH718),$AH$2:$AH$1001,0),0), INDEX($AO$1004:$BQ$1004,1,MATCH(COLUMNS($AO$1006:BF1006),$AO$1006:$BQ$1006,0)))),"Fix")))</f>
        <v>#N/A</v>
      </c>
      <c r="T718" s="5" t="e">
        <f ca="1">IF(OR(INDEX($AI$2:$AI$1001,MATCH(ROWS($AH$2:AH718),$AH$2:$AH$1001,0),1)&gt;=100000,INDEX($AO$1005:$BQ$1005,1,MATCH(COLUMNS($AO$1006:BG1006),$AO$1006:$BQ$1006,0))&gt;=100000), " ",IF(INDEX($AO$2:$BQ$1001,MATCH(ROWS($AH$2:AH718),$AH$2:$AH$1001,0),MATCH(COLUMNS($AO$1006:BG1006),$AO$1006:$BQ$1006,0)), HYPERLINK("#",""), HYPERLINK(CONCATENATE("#Metadata!", ADDRESS(INDEX($AJ$2:$AJ$1001,MATCH(ROWS($AH$2:AH718),$AH$2:$AH$1001,0),0), INDEX($AO$1004:$BQ$1004,1,MATCH(COLUMNS($AO$1006:BG1006),$AO$1006:$BQ$1006,0)))),"Fix")))</f>
        <v>#N/A</v>
      </c>
      <c r="U718" s="5" t="e">
        <f ca="1">IF(OR(INDEX($AI$2:$AI$1001,MATCH(ROWS($AH$2:AH718),$AH$2:$AH$1001,0),1)&gt;=100000,INDEX($AO$1005:$BQ$1005,1,MATCH(COLUMNS($AO$1006:BH1006),$AO$1006:$BQ$1006,0))&gt;=100000), " ",IF(INDEX($AO$2:$BQ$1001,MATCH(ROWS($AH$2:AH718),$AH$2:$AH$1001,0),MATCH(COLUMNS($AO$1006:BH1006),$AO$1006:$BQ$1006,0)), HYPERLINK("#",""), HYPERLINK(CONCATENATE("#Metadata!", ADDRESS(INDEX($AJ$2:$AJ$1001,MATCH(ROWS($AH$2:AH718),$AH$2:$AH$1001,0),0), INDEX($AO$1004:$BQ$1004,1,MATCH(COLUMNS($AO$1006:BH1006),$AO$1006:$BQ$1006,0)))),"Fix")))</f>
        <v>#N/A</v>
      </c>
      <c r="V718" s="5" t="e">
        <f ca="1">IF(OR(INDEX($AI$2:$AI$1001,MATCH(ROWS($AH$2:AH718),$AH$2:$AH$1001,0),1)&gt;=100000,INDEX($AO$1005:$BQ$1005,1,MATCH(COLUMNS($AO$1006:BI1006),$AO$1006:$BQ$1006,0))&gt;=100000), " ",IF(INDEX($AO$2:$BQ$1001,MATCH(ROWS($AH$2:AH718),$AH$2:$AH$1001,0),MATCH(COLUMNS($AO$1006:BI1006),$AO$1006:$BQ$1006,0)), HYPERLINK("#",""), HYPERLINK(CONCATENATE("#Metadata!", ADDRESS(INDEX($AJ$2:$AJ$1001,MATCH(ROWS($AH$2:AH718),$AH$2:$AH$1001,0),0), INDEX($AO$1004:$BQ$1004,1,MATCH(COLUMNS($AO$1006:BI1006),$AO$1006:$BQ$1006,0)))),"Fix")))</f>
        <v>#N/A</v>
      </c>
      <c r="W718" s="5" t="e">
        <f ca="1">IF(OR(INDEX($AI$2:$AI$1001,MATCH(ROWS($AH$2:AH718),$AH$2:$AH$1001,0),1)&gt;=100000,INDEX($AO$1005:$BQ$1005,1,MATCH(COLUMNS($AO$1006:BJ1006),$AO$1006:$BQ$1006,0))&gt;=100000), " ",IF(INDEX($AO$2:$BQ$1001,MATCH(ROWS($AH$2:AH718),$AH$2:$AH$1001,0),MATCH(COLUMNS($AO$1006:BJ1006),$AO$1006:$BQ$1006,0)), HYPERLINK("#",""), HYPERLINK(CONCATENATE("#Metadata!", ADDRESS(INDEX($AJ$2:$AJ$1001,MATCH(ROWS($AH$2:AH718),$AH$2:$AH$1001,0),0), INDEX($AO$1004:$BQ$1004,1,MATCH(COLUMNS($AO$1006:BJ1006),$AO$1006:$BQ$1006,0)))),"Fix")))</f>
        <v>#N/A</v>
      </c>
      <c r="X718" s="5" t="e">
        <f ca="1">IF(OR(INDEX($AI$2:$AI$1001,MATCH(ROWS($AH$2:AH718),$AH$2:$AH$1001,0),1)&gt;=100000,INDEX($AO$1005:$BQ$1005,1,MATCH(COLUMNS($AO$1006:BK1006),$AO$1006:$BQ$1006,0))&gt;=100000), " ",IF(INDEX($AO$2:$BQ$1001,MATCH(ROWS($AH$2:AH718),$AH$2:$AH$1001,0),MATCH(COLUMNS($AO$1006:BK1006),$AO$1006:$BQ$1006,0)), HYPERLINK("#",""), HYPERLINK(CONCATENATE("#Metadata!", ADDRESS(INDEX($AJ$2:$AJ$1001,MATCH(ROWS($AH$2:AH718),$AH$2:$AH$1001,0),0), INDEX($AO$1004:$BQ$1004,1,MATCH(COLUMNS($AO$1006:BK1006),$AO$1006:$BQ$1006,0)))),"Fix")))</f>
        <v>#N/A</v>
      </c>
      <c r="Y718" s="5" t="e">
        <f ca="1">IF(OR(INDEX($AI$2:$AI$1001,MATCH(ROWS($AH$2:AH718),$AH$2:$AH$1001,0),1)&gt;=100000,INDEX($AO$1005:$BQ$1005,1,MATCH(COLUMNS($AO$1006:BL1006),$AO$1006:$BQ$1006,0))&gt;=100000), " ",IF(INDEX($AO$2:$BQ$1001,MATCH(ROWS($AH$2:AH718),$AH$2:$AH$1001,0),MATCH(COLUMNS($AO$1006:BL1006),$AO$1006:$BQ$1006,0)), HYPERLINK("#",""), HYPERLINK(CONCATENATE("#Metadata!", ADDRESS(INDEX($AJ$2:$AJ$1001,MATCH(ROWS($AH$2:AH718),$AH$2:$AH$1001,0),0), INDEX($AO$1004:$BQ$1004,1,MATCH(COLUMNS($AO$1006:BL1006),$AO$1006:$BQ$1006,0)))),"Fix")))</f>
        <v>#N/A</v>
      </c>
      <c r="Z718" s="5" t="e">
        <f ca="1">IF(OR(INDEX($AI$2:$AI$1001,MATCH(ROWS($AH$2:AH718),$AH$2:$AH$1001,0),1)&gt;=100000,INDEX($AO$1005:$BQ$1005,1,MATCH(COLUMNS($AO$1006:BM1006),$AO$1006:$BQ$1006,0))&gt;=100000), " ",IF(INDEX($AO$2:$BQ$1001,MATCH(ROWS($AH$2:AH718),$AH$2:$AH$1001,0),MATCH(COLUMNS($AO$1006:BM1006),$AO$1006:$BQ$1006,0)), HYPERLINK("#",""), HYPERLINK(CONCATENATE("#Metadata!", ADDRESS(INDEX($AJ$2:$AJ$1001,MATCH(ROWS($AH$2:AH718),$AH$2:$AH$1001,0),0), INDEX($AO$1004:$BQ$1004,1,MATCH(COLUMNS($AO$1006:BM1006),$AO$1006:$BQ$1006,0)))),"Fix")))</f>
        <v>#N/A</v>
      </c>
      <c r="AA718" s="5" t="e">
        <f ca="1">IF(OR(INDEX($AI$2:$AI$1001,MATCH(ROWS($AH$2:AH718),$AH$2:$AH$1001,0),1)&gt;=100000,INDEX($AO$1005:$BQ$1005,1,MATCH(COLUMNS($AO$1006:BN1006),$AO$1006:$BQ$1006,0))&gt;=100000), " ",IF(INDEX($AO$2:$BQ$1001,MATCH(ROWS($AH$2:AH718),$AH$2:$AH$1001,0),MATCH(COLUMNS($AO$1006:BN1006),$AO$1006:$BQ$1006,0)), HYPERLINK("#",""), HYPERLINK(CONCATENATE("#Metadata!", ADDRESS(INDEX($AJ$2:$AJ$1001,MATCH(ROWS($AH$2:AH718),$AH$2:$AH$1001,0),0), INDEX($AO$1004:$BQ$1004,1,MATCH(COLUMNS($AO$1006:BN1006),$AO$1006:$BQ$1006,0)))),"Fix")))</f>
        <v>#N/A</v>
      </c>
      <c r="AB718" s="5" t="e">
        <f ca="1">IF(OR(INDEX($AI$2:$AI$1001,MATCH(ROWS($AH$2:AH718),$AH$2:$AH$1001,0),1)&gt;=100000,INDEX($AO$1005:$BQ$1005,1,MATCH(COLUMNS($AO$1006:BO1006),$AO$1006:$BQ$1006,0))&gt;=100000), " ",IF(INDEX($AO$2:$BQ$1001,MATCH(ROWS($AH$2:AH718),$AH$2:$AH$1001,0),MATCH(COLUMNS($AO$1006:BO1006),$AO$1006:$BQ$1006,0)), HYPERLINK("#",""), HYPERLINK(CONCATENATE("#Metadata!", ADDRESS(INDEX($AJ$2:$AJ$1001,MATCH(ROWS($AH$2:AH718),$AH$2:$AH$1001,0),0), INDEX($AO$1004:$BQ$1004,1,MATCH(COLUMNS($AO$1006:BO1006),$AO$1006:$BQ$1006,0)))),"Fix")))</f>
        <v>#N/A</v>
      </c>
      <c r="AC718" s="5" t="e">
        <f ca="1">IF(OR(INDEX($AI$2:$AI$1001,MATCH(ROWS($AH$2:AH718),$AH$2:$AH$1001,0),1)&gt;=100000,INDEX($AO$1005:$BQ$1005,1,MATCH(COLUMNS($AO$1006:BP1006),$AO$1006:$BQ$1006,0))&gt;=100000), " ",IF(INDEX($AO$2:$BQ$1001,MATCH(ROWS($AH$2:AH718),$AH$2:$AH$1001,0),MATCH(COLUMNS($AO$1006:BP1006),$AO$1006:$BQ$1006,0)), HYPERLINK("#",""), HYPERLINK(CONCATENATE("#Metadata!", ADDRESS(INDEX($AJ$2:$AJ$1001,MATCH(ROWS($AH$2:AH718),$AH$2:$AH$1001,0),0), INDEX($AO$1004:$BQ$1004,1,MATCH(COLUMNS($AO$1006:BP1006),$AO$1006:$BQ$1006,0)))),"Fix")))</f>
        <v>#N/A</v>
      </c>
      <c r="AD718" s="5" t="e">
        <f ca="1">IF(OR(INDEX($AI$2:$AI$1001,MATCH(ROWS($AH$2:AH718),$AH$2:$AH$1001,0),1)&gt;=100000,INDEX($AO$1005:$BQ$1005,1,MATCH(COLUMNS($AO$1006:BQ1006),$AO$1006:$BQ$1006,0))&gt;=100000), " ",IF(INDEX($AO$2:$BQ$1001,MATCH(ROWS($AH$2:AH718),$AH$2:$AH$1001,0),MATCH(COLUMNS($AO$1006:BQ1006),$AO$1006:$BQ$1006,0)), HYPERLINK("#",""), HYPERLINK(CONCATENATE("#Metadata!", ADDRESS(INDEX($AJ$2:$AJ$1001,MATCH(ROWS($AH$2:AH718),$AH$2:$AH$1001,0),0), INDEX($AO$1004:$BQ$1004,1,MATCH(COLUMNS($AO$1006:BQ1006),$AO$1006:$BQ$1006,0)))),"Fix")))</f>
        <v>#REF!</v>
      </c>
      <c r="AH718">
        <f ca="1"/>
        <v>715</v>
      </c>
      <c r="AI718">
        <v>100718</v>
      </c>
      <c r="AJ718">
        <v>718</v>
      </c>
      <c r="AK718" t="b">
        <f t="shared" si="11"/>
        <v>1</v>
      </c>
      <c r="AL718" t="b">
        <f>COUNTBLANK(Metadata!B718:AD718)=COLUMNS(Metadata!B718:AD718)</f>
        <v>1</v>
      </c>
      <c r="AM718" t="str">
        <v/>
      </c>
      <c r="AO718" t="b">
        <f ca="1">AND(IF(Metadata!B718="",FALSE,TRUE),COUNTIF(Metadata!B:B, Metadata!B718) = 1,NOT(ISERROR(SUMPRODUCT(SEARCH(MID(Metadata!B718,ROW(INDIRECT("1:"&amp;LEN(Metadata!B718))), 1),"0123456789abcdefghijklmnopqrstuvwxyzABCDEFGHIJKLMNOPQRSTUVWXYZ.")))))</f>
        <v>0</v>
      </c>
      <c r="AP718" t="b">
        <f>IF(Metadata!C718="",FALSE,TRUE)</f>
        <v>0</v>
      </c>
      <c r="AQ718" t="b">
        <f>IF(Metadata!D718="",FALSE,TRUE)</f>
        <v>0</v>
      </c>
      <c r="AR718" t="b">
        <f ca="1">OR(AND(IF(Metadata!E718="",FALSE,TRUE),OR(EXACT(Metadata!E718,"not collected"),EXACT(Metadata!E718,"not provided"),EXACT(Metadata!E718,"restricted access"))),AND(IF(Metadata!E718="",FALSE,TRUE),AND(AND(IFERROR(INT(LEFT(Metadata!E718,4))&gt;1900,FALSE),IFERROR(INT(LEFT(Metadata!E718,4))&lt;=YEAR(NOW()),FALSE)), OR(MID(Metadata!E718,5,1)="", AND(AND(MID(Metadata!E718,5,1)="-",IFERROR(INT(MID(Metadata!E718,6,1))&gt;=0,FALSE),IFERROR(INT(MID(Metadata!E718,6,1))&lt;=1,FALSE),NOT(MID(Metadata!E718,7,1)=""),IFERROR(INT(MID(Metadata!E718,6,2))&gt;=1,FALSE),IFERROR(INT(MID(Metadata!E718,6,2))&lt;=12,FALSE)), OR(MID(Metadata!E718,8,1)="", AND(AND(MID(Metadata!E718,8,1)="-",IFERROR(INT(MID(Metadata!E718,9,1))&gt;=0,FALSE),IFERROR(INT(MID(Metadata!E718,9,1))&lt;=3,FALSE),NOT(MID(Metadata!E718,10,1)=""),IFERROR(INT(MID(Metadata!E718,9,2))&gt;=1,FALSE),IFERROR(INT(MID(Metadata!E718,9,2))&lt;=31,FALSE)), OR(MID(Metadata!E718,11,1)="", AND(AND(MID(Metadata!E718,11,1)=" ",IFERROR(INT(MID(Metadata!E718,12,1))&gt;=0,FALSE),IFERROR(INT(MID(Metadata!E718,12,1))&lt;=2,FALSE),NOT(MID(Metadata!E718,13,1)=""),IFERROR(INT(MID(Metadata!E718,12,2))&gt;=0,FALSE),IFERROR(INT(MID(Metadata!E718,12,2))&lt;=23,FALSE)), OR(MID(Metadata!E718,14,1)="", AND(AND(MID(Metadata!E718,14,1)=":",IFERROR(INT(MID(Metadata!E718,15,1))&gt;=0,FALSE),IFERROR(INT(MID(Metadata!E718,15,1))&lt;=5,FALSE),NOT(MID(Metadata!E718,16,1)=""),IFERROR(INT(MID(Metadata!E718,15,2))&gt;=0,FALSE),IFERROR(INT(MID(Metadata!E718,15,2))&lt;=59,FALSE)), OR(MID(Metadata!E718,17,1)="", AND(AND(MID(Metadata!E718,17,1)=":",IFERROR(INT(MID(Metadata!E718,18,1))&gt;=0,FALSE),IFERROR(INT(MID(Metadata!E718,18,1))&lt;=5,FALSE),NOT(MID(Metadata!E718,19,1)=""),IFERROR(INT(MID(Metadata!E718,18,2))&gt;=0,FALSE),IFERROR(INT(MID(Metadata!E718,18,2))&lt;=59,FALSE)), LEN(Metadata!E718)&lt;=19)))))))))))))</f>
        <v>0</v>
      </c>
      <c r="AS718" t="b">
        <f>IF(Metadata!F718="",FALSE,TRUE)</f>
        <v>0</v>
      </c>
      <c r="AT718" t="b">
        <f>OR(AND(IF(Metadata!G718="",FALSE,TRUE),OR(EXACT(Metadata!G718,"not collected"),EXACT(Metadata!G718,"not provided"))),AND(IF(Metadata!G718="",FALSE,TRUE),OR(EXACT(Metadata!G718,"TRUE"),EXACT(Metadata!G718,"FALSE"))))</f>
        <v>0</v>
      </c>
      <c r="AU718" t="b">
        <f>OR(AND(IF(Metadata!H718="",FALSE,TRUE),OR(EXACT(Metadata!H718,"not collected"),EXACT(Metadata!H718,"not provided"),EXACT(Metadata!H718,"restricted access"))),AND(IF(Metadata!H718="",FALSE,ISNUMBER(VALUE(Metadata!H718))),Metadata!H718&gt;=-413))</f>
        <v>0</v>
      </c>
      <c r="AV718" t="b">
        <f>AND(IF(Metadata!I718="",FALSE,TRUE),EXACT(Metadata!I718,"meters"))</f>
        <v>0</v>
      </c>
      <c r="AW718" t="b">
        <f>AND(IF(Metadata!J718="",FALSE,TRUE),EXACT(Metadata!J718,"free-living"))</f>
        <v>0</v>
      </c>
      <c r="AX718" t="b">
        <f>AND(IF(Metadata!K718="",FALSE,TRUE),OR(EXACT(Metadata!K718,"saline"),EXACT(Metadata!K718,"non-saline")))</f>
        <v>0</v>
      </c>
      <c r="AY718" t="b">
        <f>AND(IF(Metadata!L718="",FALSE,TRUE),OR(EXACT(Metadata!L718,"sub-surface (non-saline)"),EXACT(Metadata!L718,"surface (non-saline)"),EXACT(Metadata!L718,"water (non-saline)"),EXACT(Metadata!L718,"soil (non-saline)"),EXACT(Metadata!L718,"aerosol (non-saline)"),EXACT(Metadata!L718,"sediment (non-saline)"),EXACT(Metadata!L718,"surface (saline)"),EXACT(Metadata!L718,"water (saline)"),EXACT(Metadata!L718,"hypersaline (saline)"),EXACT(Metadata!L718,"aerosol (saline)"),EXACT(Metadata!L718,"sediment (saline)")))</f>
        <v>0</v>
      </c>
      <c r="AZ718" t="b">
        <f>IF(Metadata!M718="",FALSE,TRUE)</f>
        <v>0</v>
      </c>
      <c r="BA718" t="b">
        <f>IF(Metadata!N718="",FALSE,TRUE)</f>
        <v>0</v>
      </c>
      <c r="BB718" t="b">
        <f>IF(Metadata!O718="",FALSE,TRUE)</f>
        <v>0</v>
      </c>
      <c r="BC718" t="b">
        <f>AND(IF(Metadata!P718="",FALSE,TRUE),OR(EXACT(Metadata!P718,"air"),EXACT(Metadata!P718,"microbial mat/biofilm"),EXACT(Metadata!P718,"misc environment"),EXACT(Metadata!P718,"sediment"),EXACT(Metadata!P718,"soil"),EXACT(Metadata!P718,"wastewater/sludge"),EXACT(Metadata!P718,"water")))</f>
        <v>0</v>
      </c>
      <c r="BD718" t="b">
        <f>IF(Metadata!Q718="",FALSE,TRUE)</f>
        <v>0</v>
      </c>
      <c r="BE718" t="b">
        <f>IF(Metadata!R718="",FALSE,TRUE)</f>
        <v>0</v>
      </c>
      <c r="BF718" t="b">
        <f>OR(AND(IF(Metadata!S718="",FALSE,TRUE),OR(EXACT(Metadata!S718,"not collected"),EXACT(Metadata!S718,"not provided"),EXACT(Metadata!S718,"restricted access"))),AND(IF(Metadata!S718="",FALSE,ISNUMBER(VALUE(Metadata!S718))),Metadata!S718&gt;=-90,Metadata!S718&lt;=90))</f>
        <v>0</v>
      </c>
      <c r="BG718" t="b">
        <f>AND(IF(Metadata!T718="",FALSE,TRUE),EXACT(Metadata!T718,"Decimal degrees"))</f>
        <v>0</v>
      </c>
      <c r="BH718" t="b">
        <f>OR(AND(IF(Metadata!U718="",FALSE,TRUE),OR(EXACT(Metadata!U718,"not applicable"),EXACT(Metadata!U718,"not collected"))),IF(Metadata!U718="",FALSE,TRUE))</f>
        <v>0</v>
      </c>
      <c r="BI718" t="b">
        <f>OR(AND(IF(Metadata!V718="",FALSE,TRUE),OR(EXACT(Metadata!V718,"not collected"),EXACT(Metadata!V718,"not provided"),EXACT(Metadata!V718,"restricted access"))),AND(IF(Metadata!V718="",FALSE,ISNUMBER(VALUE(Metadata!V718))),Metadata!V718&gt;=-180,Metadata!V718&lt;=180))</f>
        <v>0</v>
      </c>
      <c r="BJ718" t="b">
        <f>AND(IF(Metadata!W718="",FALSE,TRUE),EXACT(Metadata!W718,"Decimal degrees"))</f>
        <v>0</v>
      </c>
      <c r="BK718" t="b">
        <f>IF(Metadata!X718="",FALSE,TRUE)</f>
        <v>0</v>
      </c>
      <c r="BL718" t="b">
        <f>OR(AND(IF(Metadata!Y718="",FALSE,TRUE),OR(EXACT(Metadata!Y718,"not collected"),EXACT(Metadata!Y718,"not provided"),EXACT(Metadata!Y718,"restricted access"))),AND(IF(Metadata!Y718="",FALSE,TRUE),OR(EXACT(Metadata!Y718,"TRUE"),EXACT(Metadata!Y718,"FALSE"))))</f>
        <v>0</v>
      </c>
      <c r="BM718" t="b">
        <f>OR(AND(IF(Metadata!Z718="",FALSE,TRUE),EXACT(Metadata!Z718,"not applicable")),AND(IF(Metadata!Z718="",FALSE,TRUE),OR(EXACT(Metadata!Z718,"beer"),EXACT(Metadata!Z718,"cheese"),EXACT(Metadata!Z718,"fresh water"),EXACT(Metadata!Z718,"marine sediment"),EXACT(Metadata!Z718,"sea water"),EXACT(Metadata!Z718,"sediment"),EXACT(Metadata!Z718,"soil"),EXACT(Metadata!Z718,"waste water"))))</f>
        <v>0</v>
      </c>
      <c r="BN718" t="b">
        <f>AND(IF(Metadata!AA718="",FALSE,TRUE),EXACT(Metadata!AA718,"metagenome"))</f>
        <v>0</v>
      </c>
      <c r="BO718" t="b">
        <f>AND(IF(Metadata!AB718="",FALSE,TRUE),EXACT(Metadata!AB718,"256318"))</f>
        <v>0</v>
      </c>
      <c r="BP718" t="b">
        <f>IF(Metadata!AC718="",FALSE,TRUE)</f>
        <v>0</v>
      </c>
      <c r="BQ718" t="b">
        <f>IF(Metadata!AD718="",FALSE,TRUE)</f>
        <v>0</v>
      </c>
    </row>
    <row r="719" spans="1:69" x14ac:dyDescent="0.2">
      <c r="A719" s="4" t="e">
        <f ca="1">IF(B719=" "," ",HYPERLINK(CONCATENATE("#metadata!",ADDRESS(INDEX($AJ$2:$AJ$1001,MATCH(ROWS($AH$2:AH719),$AH$2:$AH$1001,0),0),2)),INDEX($AM$2:$AM$1001,MATCH(ROWS($AH$2:AH719),$AH$2:$AH$1001,0),0)))</f>
        <v>#N/A</v>
      </c>
      <c r="B719" s="5" t="e">
        <f ca="1">IF(OR(INDEX($AI$2:$AI$1001,MATCH(ROWS($AH$2:AH719),$AH$2:$AH$1001,0),1)&gt;=100000,INDEX($AO$1005:$BQ$1005,1,MATCH(COLUMNS($AO$1006:AO1006),$AO$1006:$BQ$1006,0))&gt;=100000), " ",IF(INDEX($AO$2:$BQ$1001,MATCH(ROWS($AH$2:AH719),$AH$2:$AH$1001,0),MATCH(COLUMNS($AO$1006:AO1006),$AO$1006:$BQ$1006,0)), HYPERLINK("#",""), HYPERLINK(CONCATENATE("#Metadata!", ADDRESS(INDEX($AJ$2:$AJ$1001,MATCH(ROWS($AH$2:AH719),$AH$2:$AH$1001,0),0), INDEX($AO$1004:$BQ$1004,1,MATCH(COLUMNS($AO$1006:AO1006),$AO$1006:$BQ$1006,0)))),"Fix")))</f>
        <v>#N/A</v>
      </c>
      <c r="C719" s="5" t="e">
        <f ca="1">IF(OR(INDEX($AI$2:$AI$1001,MATCH(ROWS($AH$2:AH719),$AH$2:$AH$1001,0),1)&gt;=100000,INDEX($AO$1005:$BQ$1005,1,MATCH(COLUMNS($AO$1006:AP1006),$AO$1006:$BQ$1006,0))&gt;=100000), " ",IF(INDEX($AO$2:$BQ$1001,MATCH(ROWS($AH$2:AH719),$AH$2:$AH$1001,0),MATCH(COLUMNS($AO$1006:AP1006),$AO$1006:$BQ$1006,0)), HYPERLINK("#",""), HYPERLINK(CONCATENATE("#Metadata!", ADDRESS(INDEX($AJ$2:$AJ$1001,MATCH(ROWS($AH$2:AH719),$AH$2:$AH$1001,0),0), INDEX($AO$1004:$BQ$1004,1,MATCH(COLUMNS($AO$1006:AP1006),$AO$1006:$BQ$1006,0)))),"Fix")))</f>
        <v>#N/A</v>
      </c>
      <c r="D719" s="5" t="e">
        <f ca="1">IF(OR(INDEX($AI$2:$AI$1001,MATCH(ROWS($AH$2:AH719),$AH$2:$AH$1001,0),1)&gt;=100000,INDEX($AO$1005:$BQ$1005,1,MATCH(COLUMNS($AO$1006:AQ1006),$AO$1006:$BQ$1006,0))&gt;=100000), " ",IF(INDEX($AO$2:$BQ$1001,MATCH(ROWS($AH$2:AH719),$AH$2:$AH$1001,0),MATCH(COLUMNS($AO$1006:AQ1006),$AO$1006:$BQ$1006,0)), HYPERLINK("#",""), HYPERLINK(CONCATENATE("#Metadata!", ADDRESS(INDEX($AJ$2:$AJ$1001,MATCH(ROWS($AH$2:AH719),$AH$2:$AH$1001,0),0), INDEX($AO$1004:$BQ$1004,1,MATCH(COLUMNS($AO$1006:AQ1006),$AO$1006:$BQ$1006,0)))),"Fix")))</f>
        <v>#N/A</v>
      </c>
      <c r="E719" s="5" t="e">
        <f ca="1">IF(OR(INDEX($AI$2:$AI$1001,MATCH(ROWS($AH$2:AH719),$AH$2:$AH$1001,0),1)&gt;=100000,INDEX($AO$1005:$BQ$1005,1,MATCH(COLUMNS($AO$1006:AR1006),$AO$1006:$BQ$1006,0))&gt;=100000), " ",IF(INDEX($AO$2:$BQ$1001,MATCH(ROWS($AH$2:AH719),$AH$2:$AH$1001,0),MATCH(COLUMNS($AO$1006:AR1006),$AO$1006:$BQ$1006,0)), HYPERLINK("#",""), HYPERLINK(CONCATENATE("#Metadata!", ADDRESS(INDEX($AJ$2:$AJ$1001,MATCH(ROWS($AH$2:AH719),$AH$2:$AH$1001,0),0), INDEX($AO$1004:$BQ$1004,1,MATCH(COLUMNS($AO$1006:AR1006),$AO$1006:$BQ$1006,0)))),"Fix")))</f>
        <v>#N/A</v>
      </c>
      <c r="F719" s="5" t="e">
        <f ca="1">IF(OR(INDEX($AI$2:$AI$1001,MATCH(ROWS($AH$2:AH719),$AH$2:$AH$1001,0),1)&gt;=100000,INDEX($AO$1005:$BQ$1005,1,MATCH(COLUMNS($AO$1006:AS1006),$AO$1006:$BQ$1006,0))&gt;=100000), " ",IF(INDEX($AO$2:$BQ$1001,MATCH(ROWS($AH$2:AH719),$AH$2:$AH$1001,0),MATCH(COLUMNS($AO$1006:AS1006),$AO$1006:$BQ$1006,0)), HYPERLINK("#",""), HYPERLINK(CONCATENATE("#Metadata!", ADDRESS(INDEX($AJ$2:$AJ$1001,MATCH(ROWS($AH$2:AH719),$AH$2:$AH$1001,0),0), INDEX($AO$1004:$BQ$1004,1,MATCH(COLUMNS($AO$1006:AS1006),$AO$1006:$BQ$1006,0)))),"Fix")))</f>
        <v>#N/A</v>
      </c>
      <c r="G719" s="5" t="e">
        <f ca="1">IF(OR(INDEX($AI$2:$AI$1001,MATCH(ROWS($AH$2:AH719),$AH$2:$AH$1001,0),1)&gt;=100000,INDEX($AO$1005:$BQ$1005,1,MATCH(COLUMNS($AO$1006:AT1006),$AO$1006:$BQ$1006,0))&gt;=100000), " ",IF(INDEX($AO$2:$BQ$1001,MATCH(ROWS($AH$2:AH719),$AH$2:$AH$1001,0),MATCH(COLUMNS($AO$1006:AT1006),$AO$1006:$BQ$1006,0)), HYPERLINK("#",""), HYPERLINK(CONCATENATE("#Metadata!", ADDRESS(INDEX($AJ$2:$AJ$1001,MATCH(ROWS($AH$2:AH719),$AH$2:$AH$1001,0),0), INDEX($AO$1004:$BQ$1004,1,MATCH(COLUMNS($AO$1006:AT1006),$AO$1006:$BQ$1006,0)))),"Fix")))</f>
        <v>#N/A</v>
      </c>
      <c r="H719" s="5" t="e">
        <f ca="1">IF(OR(INDEX($AI$2:$AI$1001,MATCH(ROWS($AH$2:AH719),$AH$2:$AH$1001,0),1)&gt;=100000,INDEX($AO$1005:$BQ$1005,1,MATCH(COLUMNS($AO$1006:AU1006),$AO$1006:$BQ$1006,0))&gt;=100000), " ",IF(INDEX($AO$2:$BQ$1001,MATCH(ROWS($AH$2:AH719),$AH$2:$AH$1001,0),MATCH(COLUMNS($AO$1006:AU1006),$AO$1006:$BQ$1006,0)), HYPERLINK("#",""), HYPERLINK(CONCATENATE("#Metadata!", ADDRESS(INDEX($AJ$2:$AJ$1001,MATCH(ROWS($AH$2:AH719),$AH$2:$AH$1001,0),0), INDEX($AO$1004:$BQ$1004,1,MATCH(COLUMNS($AO$1006:AU1006),$AO$1006:$BQ$1006,0)))),"Fix")))</f>
        <v>#N/A</v>
      </c>
      <c r="I719" s="5" t="e">
        <f ca="1">IF(OR(INDEX($AI$2:$AI$1001,MATCH(ROWS($AH$2:AH719),$AH$2:$AH$1001,0),1)&gt;=100000,INDEX($AO$1005:$BQ$1005,1,MATCH(COLUMNS($AO$1006:AV1006),$AO$1006:$BQ$1006,0))&gt;=100000), " ",IF(INDEX($AO$2:$BQ$1001,MATCH(ROWS($AH$2:AH719),$AH$2:$AH$1001,0),MATCH(COLUMNS($AO$1006:AV1006),$AO$1006:$BQ$1006,0)), HYPERLINK("#",""), HYPERLINK(CONCATENATE("#Metadata!", ADDRESS(INDEX($AJ$2:$AJ$1001,MATCH(ROWS($AH$2:AH719),$AH$2:$AH$1001,0),0), INDEX($AO$1004:$BQ$1004,1,MATCH(COLUMNS($AO$1006:AV1006),$AO$1006:$BQ$1006,0)))),"Fix")))</f>
        <v>#N/A</v>
      </c>
      <c r="J719" s="5" t="e">
        <f ca="1">IF(OR(INDEX($AI$2:$AI$1001,MATCH(ROWS($AH$2:AH719),$AH$2:$AH$1001,0),1)&gt;=100000,INDEX($AO$1005:$BQ$1005,1,MATCH(COLUMNS($AO$1006:AW1006),$AO$1006:$BQ$1006,0))&gt;=100000), " ",IF(INDEX($AO$2:$BQ$1001,MATCH(ROWS($AH$2:AH719),$AH$2:$AH$1001,0),MATCH(COLUMNS($AO$1006:AW1006),$AO$1006:$BQ$1006,0)), HYPERLINK("#",""), HYPERLINK(CONCATENATE("#Metadata!", ADDRESS(INDEX($AJ$2:$AJ$1001,MATCH(ROWS($AH$2:AH719),$AH$2:$AH$1001,0),0), INDEX($AO$1004:$BQ$1004,1,MATCH(COLUMNS($AO$1006:AW1006),$AO$1006:$BQ$1006,0)))),"Fix")))</f>
        <v>#N/A</v>
      </c>
      <c r="K719" s="5" t="e">
        <f ca="1">IF(OR(INDEX($AI$2:$AI$1001,MATCH(ROWS($AH$2:AH719),$AH$2:$AH$1001,0),1)&gt;=100000,INDEX($AO$1005:$BQ$1005,1,MATCH(COLUMNS($AO$1006:AX1006),$AO$1006:$BQ$1006,0))&gt;=100000), " ",IF(INDEX($AO$2:$BQ$1001,MATCH(ROWS($AH$2:AH719),$AH$2:$AH$1001,0),MATCH(COLUMNS($AO$1006:AX1006),$AO$1006:$BQ$1006,0)), HYPERLINK("#",""), HYPERLINK(CONCATENATE("#Metadata!", ADDRESS(INDEX($AJ$2:$AJ$1001,MATCH(ROWS($AH$2:AH719),$AH$2:$AH$1001,0),0), INDEX($AO$1004:$BQ$1004,1,MATCH(COLUMNS($AO$1006:AX1006),$AO$1006:$BQ$1006,0)))),"Fix")))</f>
        <v>#N/A</v>
      </c>
      <c r="L719" s="5" t="e">
        <f ca="1">IF(OR(INDEX($AI$2:$AI$1001,MATCH(ROWS($AH$2:AH719),$AH$2:$AH$1001,0),1)&gt;=100000,INDEX($AO$1005:$BQ$1005,1,MATCH(COLUMNS($AO$1006:AY1006),$AO$1006:$BQ$1006,0))&gt;=100000), " ",IF(INDEX($AO$2:$BQ$1001,MATCH(ROWS($AH$2:AH719),$AH$2:$AH$1001,0),MATCH(COLUMNS($AO$1006:AY1006),$AO$1006:$BQ$1006,0)), HYPERLINK("#",""), HYPERLINK(CONCATENATE("#Metadata!", ADDRESS(INDEX($AJ$2:$AJ$1001,MATCH(ROWS($AH$2:AH719),$AH$2:$AH$1001,0),0), INDEX($AO$1004:$BQ$1004,1,MATCH(COLUMNS($AO$1006:AY1006),$AO$1006:$BQ$1006,0)))),"Fix")))</f>
        <v>#N/A</v>
      </c>
      <c r="M719" s="5" t="e">
        <f ca="1">IF(OR(INDEX($AI$2:$AI$1001,MATCH(ROWS($AH$2:AH719),$AH$2:$AH$1001,0),1)&gt;=100000,INDEX($AO$1005:$BQ$1005,1,MATCH(COLUMNS($AO$1006:AZ1006),$AO$1006:$BQ$1006,0))&gt;=100000), " ",IF(INDEX($AO$2:$BQ$1001,MATCH(ROWS($AH$2:AH719),$AH$2:$AH$1001,0),MATCH(COLUMNS($AO$1006:AZ1006),$AO$1006:$BQ$1006,0)), HYPERLINK("#",""), HYPERLINK(CONCATENATE("#Metadata!", ADDRESS(INDEX($AJ$2:$AJ$1001,MATCH(ROWS($AH$2:AH719),$AH$2:$AH$1001,0),0), INDEX($AO$1004:$BQ$1004,1,MATCH(COLUMNS($AO$1006:AZ1006),$AO$1006:$BQ$1006,0)))),"Fix")))</f>
        <v>#N/A</v>
      </c>
      <c r="N719" s="5" t="e">
        <f ca="1">IF(OR(INDEX($AI$2:$AI$1001,MATCH(ROWS($AH$2:AH719),$AH$2:$AH$1001,0),1)&gt;=100000,INDEX($AO$1005:$BQ$1005,1,MATCH(COLUMNS($AO$1006:BA1006),$AO$1006:$BQ$1006,0))&gt;=100000), " ",IF(INDEX($AO$2:$BQ$1001,MATCH(ROWS($AH$2:AH719),$AH$2:$AH$1001,0),MATCH(COLUMNS($AO$1006:BA1006),$AO$1006:$BQ$1006,0)), HYPERLINK("#",""), HYPERLINK(CONCATENATE("#Metadata!", ADDRESS(INDEX($AJ$2:$AJ$1001,MATCH(ROWS($AH$2:AH719),$AH$2:$AH$1001,0),0), INDEX($AO$1004:$BQ$1004,1,MATCH(COLUMNS($AO$1006:BA1006),$AO$1006:$BQ$1006,0)))),"Fix")))</f>
        <v>#N/A</v>
      </c>
      <c r="O719" s="5" t="e">
        <f ca="1">IF(OR(INDEX($AI$2:$AI$1001,MATCH(ROWS($AH$2:AH719),$AH$2:$AH$1001,0),1)&gt;=100000,INDEX($AO$1005:$BQ$1005,1,MATCH(COLUMNS($AO$1006:BB1006),$AO$1006:$BQ$1006,0))&gt;=100000), " ",IF(INDEX($AO$2:$BQ$1001,MATCH(ROWS($AH$2:AH719),$AH$2:$AH$1001,0),MATCH(COLUMNS($AO$1006:BB1006),$AO$1006:$BQ$1006,0)), HYPERLINK("#",""), HYPERLINK(CONCATENATE("#Metadata!", ADDRESS(INDEX($AJ$2:$AJ$1001,MATCH(ROWS($AH$2:AH719),$AH$2:$AH$1001,0),0), INDEX($AO$1004:$BQ$1004,1,MATCH(COLUMNS($AO$1006:BB1006),$AO$1006:$BQ$1006,0)))),"Fix")))</f>
        <v>#N/A</v>
      </c>
      <c r="P719" s="5" t="e">
        <f ca="1">IF(OR(INDEX($AI$2:$AI$1001,MATCH(ROWS($AH$2:AH719),$AH$2:$AH$1001,0),1)&gt;=100000,INDEX($AO$1005:$BQ$1005,1,MATCH(COLUMNS($AO$1006:BC1006),$AO$1006:$BQ$1006,0))&gt;=100000), " ",IF(INDEX($AO$2:$BQ$1001,MATCH(ROWS($AH$2:AH719),$AH$2:$AH$1001,0),MATCH(COLUMNS($AO$1006:BC1006),$AO$1006:$BQ$1006,0)), HYPERLINK("#",""), HYPERLINK(CONCATENATE("#Metadata!", ADDRESS(INDEX($AJ$2:$AJ$1001,MATCH(ROWS($AH$2:AH719),$AH$2:$AH$1001,0),0), INDEX($AO$1004:$BQ$1004,1,MATCH(COLUMNS($AO$1006:BC1006),$AO$1006:$BQ$1006,0)))),"Fix")))</f>
        <v>#N/A</v>
      </c>
      <c r="Q719" s="5" t="e">
        <f ca="1">IF(OR(INDEX($AI$2:$AI$1001,MATCH(ROWS($AH$2:AH719),$AH$2:$AH$1001,0),1)&gt;=100000,INDEX($AO$1005:$BQ$1005,1,MATCH(COLUMNS($AO$1006:BD1006),$AO$1006:$BQ$1006,0))&gt;=100000), " ",IF(INDEX($AO$2:$BQ$1001,MATCH(ROWS($AH$2:AH719),$AH$2:$AH$1001,0),MATCH(COLUMNS($AO$1006:BD1006),$AO$1006:$BQ$1006,0)), HYPERLINK("#",""), HYPERLINK(CONCATENATE("#Metadata!", ADDRESS(INDEX($AJ$2:$AJ$1001,MATCH(ROWS($AH$2:AH719),$AH$2:$AH$1001,0),0), INDEX($AO$1004:$BQ$1004,1,MATCH(COLUMNS($AO$1006:BD1006),$AO$1006:$BQ$1006,0)))),"Fix")))</f>
        <v>#N/A</v>
      </c>
      <c r="R719" s="5" t="e">
        <f ca="1">IF(OR(INDEX($AI$2:$AI$1001,MATCH(ROWS($AH$2:AH719),$AH$2:$AH$1001,0),1)&gt;=100000,INDEX($AO$1005:$BQ$1005,1,MATCH(COLUMNS($AO$1006:BE1006),$AO$1006:$BQ$1006,0))&gt;=100000), " ",IF(INDEX($AO$2:$BQ$1001,MATCH(ROWS($AH$2:AH719),$AH$2:$AH$1001,0),MATCH(COLUMNS($AO$1006:BE1006),$AO$1006:$BQ$1006,0)), HYPERLINK("#",""), HYPERLINK(CONCATENATE("#Metadata!", ADDRESS(INDEX($AJ$2:$AJ$1001,MATCH(ROWS($AH$2:AH719),$AH$2:$AH$1001,0),0), INDEX($AO$1004:$BQ$1004,1,MATCH(COLUMNS($AO$1006:BE1006),$AO$1006:$BQ$1006,0)))),"Fix")))</f>
        <v>#N/A</v>
      </c>
      <c r="S719" s="5" t="e">
        <f ca="1">IF(OR(INDEX($AI$2:$AI$1001,MATCH(ROWS($AH$2:AH719),$AH$2:$AH$1001,0),1)&gt;=100000,INDEX($AO$1005:$BQ$1005,1,MATCH(COLUMNS($AO$1006:BF1006),$AO$1006:$BQ$1006,0))&gt;=100000), " ",IF(INDEX($AO$2:$BQ$1001,MATCH(ROWS($AH$2:AH719),$AH$2:$AH$1001,0),MATCH(COLUMNS($AO$1006:BF1006),$AO$1006:$BQ$1006,0)), HYPERLINK("#",""), HYPERLINK(CONCATENATE("#Metadata!", ADDRESS(INDEX($AJ$2:$AJ$1001,MATCH(ROWS($AH$2:AH719),$AH$2:$AH$1001,0),0), INDEX($AO$1004:$BQ$1004,1,MATCH(COLUMNS($AO$1006:BF1006),$AO$1006:$BQ$1006,0)))),"Fix")))</f>
        <v>#N/A</v>
      </c>
      <c r="T719" s="5" t="e">
        <f ca="1">IF(OR(INDEX($AI$2:$AI$1001,MATCH(ROWS($AH$2:AH719),$AH$2:$AH$1001,0),1)&gt;=100000,INDEX($AO$1005:$BQ$1005,1,MATCH(COLUMNS($AO$1006:BG1006),$AO$1006:$BQ$1006,0))&gt;=100000), " ",IF(INDEX($AO$2:$BQ$1001,MATCH(ROWS($AH$2:AH719),$AH$2:$AH$1001,0),MATCH(COLUMNS($AO$1006:BG1006),$AO$1006:$BQ$1006,0)), HYPERLINK("#",""), HYPERLINK(CONCATENATE("#Metadata!", ADDRESS(INDEX($AJ$2:$AJ$1001,MATCH(ROWS($AH$2:AH719),$AH$2:$AH$1001,0),0), INDEX($AO$1004:$BQ$1004,1,MATCH(COLUMNS($AO$1006:BG1006),$AO$1006:$BQ$1006,0)))),"Fix")))</f>
        <v>#N/A</v>
      </c>
      <c r="U719" s="5" t="e">
        <f ca="1">IF(OR(INDEX($AI$2:$AI$1001,MATCH(ROWS($AH$2:AH719),$AH$2:$AH$1001,0),1)&gt;=100000,INDEX($AO$1005:$BQ$1005,1,MATCH(COLUMNS($AO$1006:BH1006),$AO$1006:$BQ$1006,0))&gt;=100000), " ",IF(INDEX($AO$2:$BQ$1001,MATCH(ROWS($AH$2:AH719),$AH$2:$AH$1001,0),MATCH(COLUMNS($AO$1006:BH1006),$AO$1006:$BQ$1006,0)), HYPERLINK("#",""), HYPERLINK(CONCATENATE("#Metadata!", ADDRESS(INDEX($AJ$2:$AJ$1001,MATCH(ROWS($AH$2:AH719),$AH$2:$AH$1001,0),0), INDEX($AO$1004:$BQ$1004,1,MATCH(COLUMNS($AO$1006:BH1006),$AO$1006:$BQ$1006,0)))),"Fix")))</f>
        <v>#N/A</v>
      </c>
      <c r="V719" s="5" t="e">
        <f ca="1">IF(OR(INDEX($AI$2:$AI$1001,MATCH(ROWS($AH$2:AH719),$AH$2:$AH$1001,0),1)&gt;=100000,INDEX($AO$1005:$BQ$1005,1,MATCH(COLUMNS($AO$1006:BI1006),$AO$1006:$BQ$1006,0))&gt;=100000), " ",IF(INDEX($AO$2:$BQ$1001,MATCH(ROWS($AH$2:AH719),$AH$2:$AH$1001,0),MATCH(COLUMNS($AO$1006:BI1006),$AO$1006:$BQ$1006,0)), HYPERLINK("#",""), HYPERLINK(CONCATENATE("#Metadata!", ADDRESS(INDEX($AJ$2:$AJ$1001,MATCH(ROWS($AH$2:AH719),$AH$2:$AH$1001,0),0), INDEX($AO$1004:$BQ$1004,1,MATCH(COLUMNS($AO$1006:BI1006),$AO$1006:$BQ$1006,0)))),"Fix")))</f>
        <v>#N/A</v>
      </c>
      <c r="W719" s="5" t="e">
        <f ca="1">IF(OR(INDEX($AI$2:$AI$1001,MATCH(ROWS($AH$2:AH719),$AH$2:$AH$1001,0),1)&gt;=100000,INDEX($AO$1005:$BQ$1005,1,MATCH(COLUMNS($AO$1006:BJ1006),$AO$1006:$BQ$1006,0))&gt;=100000), " ",IF(INDEX($AO$2:$BQ$1001,MATCH(ROWS($AH$2:AH719),$AH$2:$AH$1001,0),MATCH(COLUMNS($AO$1006:BJ1006),$AO$1006:$BQ$1006,0)), HYPERLINK("#",""), HYPERLINK(CONCATENATE("#Metadata!", ADDRESS(INDEX($AJ$2:$AJ$1001,MATCH(ROWS($AH$2:AH719),$AH$2:$AH$1001,0),0), INDEX($AO$1004:$BQ$1004,1,MATCH(COLUMNS($AO$1006:BJ1006),$AO$1006:$BQ$1006,0)))),"Fix")))</f>
        <v>#N/A</v>
      </c>
      <c r="X719" s="5" t="e">
        <f ca="1">IF(OR(INDEX($AI$2:$AI$1001,MATCH(ROWS($AH$2:AH719),$AH$2:$AH$1001,0),1)&gt;=100000,INDEX($AO$1005:$BQ$1005,1,MATCH(COLUMNS($AO$1006:BK1006),$AO$1006:$BQ$1006,0))&gt;=100000), " ",IF(INDEX($AO$2:$BQ$1001,MATCH(ROWS($AH$2:AH719),$AH$2:$AH$1001,0),MATCH(COLUMNS($AO$1006:BK1006),$AO$1006:$BQ$1006,0)), HYPERLINK("#",""), HYPERLINK(CONCATENATE("#Metadata!", ADDRESS(INDEX($AJ$2:$AJ$1001,MATCH(ROWS($AH$2:AH719),$AH$2:$AH$1001,0),0), INDEX($AO$1004:$BQ$1004,1,MATCH(COLUMNS($AO$1006:BK1006),$AO$1006:$BQ$1006,0)))),"Fix")))</f>
        <v>#N/A</v>
      </c>
      <c r="Y719" s="5" t="e">
        <f ca="1">IF(OR(INDEX($AI$2:$AI$1001,MATCH(ROWS($AH$2:AH719),$AH$2:$AH$1001,0),1)&gt;=100000,INDEX($AO$1005:$BQ$1005,1,MATCH(COLUMNS($AO$1006:BL1006),$AO$1006:$BQ$1006,0))&gt;=100000), " ",IF(INDEX($AO$2:$BQ$1001,MATCH(ROWS($AH$2:AH719),$AH$2:$AH$1001,0),MATCH(COLUMNS($AO$1006:BL1006),$AO$1006:$BQ$1006,0)), HYPERLINK("#",""), HYPERLINK(CONCATENATE("#Metadata!", ADDRESS(INDEX($AJ$2:$AJ$1001,MATCH(ROWS($AH$2:AH719),$AH$2:$AH$1001,0),0), INDEX($AO$1004:$BQ$1004,1,MATCH(COLUMNS($AO$1006:BL1006),$AO$1006:$BQ$1006,0)))),"Fix")))</f>
        <v>#N/A</v>
      </c>
      <c r="Z719" s="5" t="e">
        <f ca="1">IF(OR(INDEX($AI$2:$AI$1001,MATCH(ROWS($AH$2:AH719),$AH$2:$AH$1001,0),1)&gt;=100000,INDEX($AO$1005:$BQ$1005,1,MATCH(COLUMNS($AO$1006:BM1006),$AO$1006:$BQ$1006,0))&gt;=100000), " ",IF(INDEX($AO$2:$BQ$1001,MATCH(ROWS($AH$2:AH719),$AH$2:$AH$1001,0),MATCH(COLUMNS($AO$1006:BM1006),$AO$1006:$BQ$1006,0)), HYPERLINK("#",""), HYPERLINK(CONCATENATE("#Metadata!", ADDRESS(INDEX($AJ$2:$AJ$1001,MATCH(ROWS($AH$2:AH719),$AH$2:$AH$1001,0),0), INDEX($AO$1004:$BQ$1004,1,MATCH(COLUMNS($AO$1006:BM1006),$AO$1006:$BQ$1006,0)))),"Fix")))</f>
        <v>#N/A</v>
      </c>
      <c r="AA719" s="5" t="e">
        <f ca="1">IF(OR(INDEX($AI$2:$AI$1001,MATCH(ROWS($AH$2:AH719),$AH$2:$AH$1001,0),1)&gt;=100000,INDEX($AO$1005:$BQ$1005,1,MATCH(COLUMNS($AO$1006:BN1006),$AO$1006:$BQ$1006,0))&gt;=100000), " ",IF(INDEX($AO$2:$BQ$1001,MATCH(ROWS($AH$2:AH719),$AH$2:$AH$1001,0),MATCH(COLUMNS($AO$1006:BN1006),$AO$1006:$BQ$1006,0)), HYPERLINK("#",""), HYPERLINK(CONCATENATE("#Metadata!", ADDRESS(INDEX($AJ$2:$AJ$1001,MATCH(ROWS($AH$2:AH719),$AH$2:$AH$1001,0),0), INDEX($AO$1004:$BQ$1004,1,MATCH(COLUMNS($AO$1006:BN1006),$AO$1006:$BQ$1006,0)))),"Fix")))</f>
        <v>#N/A</v>
      </c>
      <c r="AB719" s="5" t="e">
        <f ca="1">IF(OR(INDEX($AI$2:$AI$1001,MATCH(ROWS($AH$2:AH719),$AH$2:$AH$1001,0),1)&gt;=100000,INDEX($AO$1005:$BQ$1005,1,MATCH(COLUMNS($AO$1006:BO1006),$AO$1006:$BQ$1006,0))&gt;=100000), " ",IF(INDEX($AO$2:$BQ$1001,MATCH(ROWS($AH$2:AH719),$AH$2:$AH$1001,0),MATCH(COLUMNS($AO$1006:BO1006),$AO$1006:$BQ$1006,0)), HYPERLINK("#",""), HYPERLINK(CONCATENATE("#Metadata!", ADDRESS(INDEX($AJ$2:$AJ$1001,MATCH(ROWS($AH$2:AH719),$AH$2:$AH$1001,0),0), INDEX($AO$1004:$BQ$1004,1,MATCH(COLUMNS($AO$1006:BO1006),$AO$1006:$BQ$1006,0)))),"Fix")))</f>
        <v>#N/A</v>
      </c>
      <c r="AC719" s="5" t="e">
        <f ca="1">IF(OR(INDEX($AI$2:$AI$1001,MATCH(ROWS($AH$2:AH719),$AH$2:$AH$1001,0),1)&gt;=100000,INDEX($AO$1005:$BQ$1005,1,MATCH(COLUMNS($AO$1006:BP1006),$AO$1006:$BQ$1006,0))&gt;=100000), " ",IF(INDEX($AO$2:$BQ$1001,MATCH(ROWS($AH$2:AH719),$AH$2:$AH$1001,0),MATCH(COLUMNS($AO$1006:BP1006),$AO$1006:$BQ$1006,0)), HYPERLINK("#",""), HYPERLINK(CONCATENATE("#Metadata!", ADDRESS(INDEX($AJ$2:$AJ$1001,MATCH(ROWS($AH$2:AH719),$AH$2:$AH$1001,0),0), INDEX($AO$1004:$BQ$1004,1,MATCH(COLUMNS($AO$1006:BP1006),$AO$1006:$BQ$1006,0)))),"Fix")))</f>
        <v>#N/A</v>
      </c>
      <c r="AD719" s="5" t="e">
        <f ca="1">IF(OR(INDEX($AI$2:$AI$1001,MATCH(ROWS($AH$2:AH719),$AH$2:$AH$1001,0),1)&gt;=100000,INDEX($AO$1005:$BQ$1005,1,MATCH(COLUMNS($AO$1006:BQ1006),$AO$1006:$BQ$1006,0))&gt;=100000), " ",IF(INDEX($AO$2:$BQ$1001,MATCH(ROWS($AH$2:AH719),$AH$2:$AH$1001,0),MATCH(COLUMNS($AO$1006:BQ1006),$AO$1006:$BQ$1006,0)), HYPERLINK("#",""), HYPERLINK(CONCATENATE("#Metadata!", ADDRESS(INDEX($AJ$2:$AJ$1001,MATCH(ROWS($AH$2:AH719),$AH$2:$AH$1001,0),0), INDEX($AO$1004:$BQ$1004,1,MATCH(COLUMNS($AO$1006:BQ1006),$AO$1006:$BQ$1006,0)))),"Fix")))</f>
        <v>#REF!</v>
      </c>
      <c r="AH719">
        <f ca="1"/>
        <v>716</v>
      </c>
      <c r="AI719">
        <v>100719</v>
      </c>
      <c r="AJ719">
        <v>719</v>
      </c>
      <c r="AK719" t="b">
        <f t="shared" si="11"/>
        <v>1</v>
      </c>
      <c r="AL719" t="b">
        <f>COUNTBLANK(Metadata!B719:AD719)=COLUMNS(Metadata!B719:AD719)</f>
        <v>1</v>
      </c>
      <c r="AM719" t="str">
        <v/>
      </c>
      <c r="AO719" t="b">
        <f ca="1">AND(IF(Metadata!B719="",FALSE,TRUE),COUNTIF(Metadata!B:B, Metadata!B719) = 1,NOT(ISERROR(SUMPRODUCT(SEARCH(MID(Metadata!B719,ROW(INDIRECT("1:"&amp;LEN(Metadata!B719))), 1),"0123456789abcdefghijklmnopqrstuvwxyzABCDEFGHIJKLMNOPQRSTUVWXYZ.")))))</f>
        <v>0</v>
      </c>
      <c r="AP719" t="b">
        <f>IF(Metadata!C719="",FALSE,TRUE)</f>
        <v>0</v>
      </c>
      <c r="AQ719" t="b">
        <f>IF(Metadata!D719="",FALSE,TRUE)</f>
        <v>0</v>
      </c>
      <c r="AR719" t="b">
        <f ca="1">OR(AND(IF(Metadata!E719="",FALSE,TRUE),OR(EXACT(Metadata!E719,"not collected"),EXACT(Metadata!E719,"not provided"),EXACT(Metadata!E719,"restricted access"))),AND(IF(Metadata!E719="",FALSE,TRUE),AND(AND(IFERROR(INT(LEFT(Metadata!E719,4))&gt;1900,FALSE),IFERROR(INT(LEFT(Metadata!E719,4))&lt;=YEAR(NOW()),FALSE)), OR(MID(Metadata!E719,5,1)="", AND(AND(MID(Metadata!E719,5,1)="-",IFERROR(INT(MID(Metadata!E719,6,1))&gt;=0,FALSE),IFERROR(INT(MID(Metadata!E719,6,1))&lt;=1,FALSE),NOT(MID(Metadata!E719,7,1)=""),IFERROR(INT(MID(Metadata!E719,6,2))&gt;=1,FALSE),IFERROR(INT(MID(Metadata!E719,6,2))&lt;=12,FALSE)), OR(MID(Metadata!E719,8,1)="", AND(AND(MID(Metadata!E719,8,1)="-",IFERROR(INT(MID(Metadata!E719,9,1))&gt;=0,FALSE),IFERROR(INT(MID(Metadata!E719,9,1))&lt;=3,FALSE),NOT(MID(Metadata!E719,10,1)=""),IFERROR(INT(MID(Metadata!E719,9,2))&gt;=1,FALSE),IFERROR(INT(MID(Metadata!E719,9,2))&lt;=31,FALSE)), OR(MID(Metadata!E719,11,1)="", AND(AND(MID(Metadata!E719,11,1)=" ",IFERROR(INT(MID(Metadata!E719,12,1))&gt;=0,FALSE),IFERROR(INT(MID(Metadata!E719,12,1))&lt;=2,FALSE),NOT(MID(Metadata!E719,13,1)=""),IFERROR(INT(MID(Metadata!E719,12,2))&gt;=0,FALSE),IFERROR(INT(MID(Metadata!E719,12,2))&lt;=23,FALSE)), OR(MID(Metadata!E719,14,1)="", AND(AND(MID(Metadata!E719,14,1)=":",IFERROR(INT(MID(Metadata!E719,15,1))&gt;=0,FALSE),IFERROR(INT(MID(Metadata!E719,15,1))&lt;=5,FALSE),NOT(MID(Metadata!E719,16,1)=""),IFERROR(INT(MID(Metadata!E719,15,2))&gt;=0,FALSE),IFERROR(INT(MID(Metadata!E719,15,2))&lt;=59,FALSE)), OR(MID(Metadata!E719,17,1)="", AND(AND(MID(Metadata!E719,17,1)=":",IFERROR(INT(MID(Metadata!E719,18,1))&gt;=0,FALSE),IFERROR(INT(MID(Metadata!E719,18,1))&lt;=5,FALSE),NOT(MID(Metadata!E719,19,1)=""),IFERROR(INT(MID(Metadata!E719,18,2))&gt;=0,FALSE),IFERROR(INT(MID(Metadata!E719,18,2))&lt;=59,FALSE)), LEN(Metadata!E719)&lt;=19)))))))))))))</f>
        <v>0</v>
      </c>
      <c r="AS719" t="b">
        <f>IF(Metadata!F719="",FALSE,TRUE)</f>
        <v>0</v>
      </c>
      <c r="AT719" t="b">
        <f>OR(AND(IF(Metadata!G719="",FALSE,TRUE),OR(EXACT(Metadata!G719,"not collected"),EXACT(Metadata!G719,"not provided"))),AND(IF(Metadata!G719="",FALSE,TRUE),OR(EXACT(Metadata!G719,"TRUE"),EXACT(Metadata!G719,"FALSE"))))</f>
        <v>0</v>
      </c>
      <c r="AU719" t="b">
        <f>OR(AND(IF(Metadata!H719="",FALSE,TRUE),OR(EXACT(Metadata!H719,"not collected"),EXACT(Metadata!H719,"not provided"),EXACT(Metadata!H719,"restricted access"))),AND(IF(Metadata!H719="",FALSE,ISNUMBER(VALUE(Metadata!H719))),Metadata!H719&gt;=-413))</f>
        <v>0</v>
      </c>
      <c r="AV719" t="b">
        <f>AND(IF(Metadata!I719="",FALSE,TRUE),EXACT(Metadata!I719,"meters"))</f>
        <v>0</v>
      </c>
      <c r="AW719" t="b">
        <f>AND(IF(Metadata!J719="",FALSE,TRUE),EXACT(Metadata!J719,"free-living"))</f>
        <v>0</v>
      </c>
      <c r="AX719" t="b">
        <f>AND(IF(Metadata!K719="",FALSE,TRUE),OR(EXACT(Metadata!K719,"saline"),EXACT(Metadata!K719,"non-saline")))</f>
        <v>0</v>
      </c>
      <c r="AY719" t="b">
        <f>AND(IF(Metadata!L719="",FALSE,TRUE),OR(EXACT(Metadata!L719,"sub-surface (non-saline)"),EXACT(Metadata!L719,"surface (non-saline)"),EXACT(Metadata!L719,"water (non-saline)"),EXACT(Metadata!L719,"soil (non-saline)"),EXACT(Metadata!L719,"aerosol (non-saline)"),EXACT(Metadata!L719,"sediment (non-saline)"),EXACT(Metadata!L719,"surface (saline)"),EXACT(Metadata!L719,"water (saline)"),EXACT(Metadata!L719,"hypersaline (saline)"),EXACT(Metadata!L719,"aerosol (saline)"),EXACT(Metadata!L719,"sediment (saline)")))</f>
        <v>0</v>
      </c>
      <c r="AZ719" t="b">
        <f>IF(Metadata!M719="",FALSE,TRUE)</f>
        <v>0</v>
      </c>
      <c r="BA719" t="b">
        <f>IF(Metadata!N719="",FALSE,TRUE)</f>
        <v>0</v>
      </c>
      <c r="BB719" t="b">
        <f>IF(Metadata!O719="",FALSE,TRUE)</f>
        <v>0</v>
      </c>
      <c r="BC719" t="b">
        <f>AND(IF(Metadata!P719="",FALSE,TRUE),OR(EXACT(Metadata!P719,"air"),EXACT(Metadata!P719,"microbial mat/biofilm"),EXACT(Metadata!P719,"misc environment"),EXACT(Metadata!P719,"sediment"),EXACT(Metadata!P719,"soil"),EXACT(Metadata!P719,"wastewater/sludge"),EXACT(Metadata!P719,"water")))</f>
        <v>0</v>
      </c>
      <c r="BD719" t="b">
        <f>IF(Metadata!Q719="",FALSE,TRUE)</f>
        <v>0</v>
      </c>
      <c r="BE719" t="b">
        <f>IF(Metadata!R719="",FALSE,TRUE)</f>
        <v>0</v>
      </c>
      <c r="BF719" t="b">
        <f>OR(AND(IF(Metadata!S719="",FALSE,TRUE),OR(EXACT(Metadata!S719,"not collected"),EXACT(Metadata!S719,"not provided"),EXACT(Metadata!S719,"restricted access"))),AND(IF(Metadata!S719="",FALSE,ISNUMBER(VALUE(Metadata!S719))),Metadata!S719&gt;=-90,Metadata!S719&lt;=90))</f>
        <v>0</v>
      </c>
      <c r="BG719" t="b">
        <f>AND(IF(Metadata!T719="",FALSE,TRUE),EXACT(Metadata!T719,"Decimal degrees"))</f>
        <v>0</v>
      </c>
      <c r="BH719" t="b">
        <f>OR(AND(IF(Metadata!U719="",FALSE,TRUE),OR(EXACT(Metadata!U719,"not applicable"),EXACT(Metadata!U719,"not collected"))),IF(Metadata!U719="",FALSE,TRUE))</f>
        <v>0</v>
      </c>
      <c r="BI719" t="b">
        <f>OR(AND(IF(Metadata!V719="",FALSE,TRUE),OR(EXACT(Metadata!V719,"not collected"),EXACT(Metadata!V719,"not provided"),EXACT(Metadata!V719,"restricted access"))),AND(IF(Metadata!V719="",FALSE,ISNUMBER(VALUE(Metadata!V719))),Metadata!V719&gt;=-180,Metadata!V719&lt;=180))</f>
        <v>0</v>
      </c>
      <c r="BJ719" t="b">
        <f>AND(IF(Metadata!W719="",FALSE,TRUE),EXACT(Metadata!W719,"Decimal degrees"))</f>
        <v>0</v>
      </c>
      <c r="BK719" t="b">
        <f>IF(Metadata!X719="",FALSE,TRUE)</f>
        <v>0</v>
      </c>
      <c r="BL719" t="b">
        <f>OR(AND(IF(Metadata!Y719="",FALSE,TRUE),OR(EXACT(Metadata!Y719,"not collected"),EXACT(Metadata!Y719,"not provided"),EXACT(Metadata!Y719,"restricted access"))),AND(IF(Metadata!Y719="",FALSE,TRUE),OR(EXACT(Metadata!Y719,"TRUE"),EXACT(Metadata!Y719,"FALSE"))))</f>
        <v>0</v>
      </c>
      <c r="BM719" t="b">
        <f>OR(AND(IF(Metadata!Z719="",FALSE,TRUE),EXACT(Metadata!Z719,"not applicable")),AND(IF(Metadata!Z719="",FALSE,TRUE),OR(EXACT(Metadata!Z719,"beer"),EXACT(Metadata!Z719,"cheese"),EXACT(Metadata!Z719,"fresh water"),EXACT(Metadata!Z719,"marine sediment"),EXACT(Metadata!Z719,"sea water"),EXACT(Metadata!Z719,"sediment"),EXACT(Metadata!Z719,"soil"),EXACT(Metadata!Z719,"waste water"))))</f>
        <v>0</v>
      </c>
      <c r="BN719" t="b">
        <f>AND(IF(Metadata!AA719="",FALSE,TRUE),EXACT(Metadata!AA719,"metagenome"))</f>
        <v>0</v>
      </c>
      <c r="BO719" t="b">
        <f>AND(IF(Metadata!AB719="",FALSE,TRUE),EXACT(Metadata!AB719,"256318"))</f>
        <v>0</v>
      </c>
      <c r="BP719" t="b">
        <f>IF(Metadata!AC719="",FALSE,TRUE)</f>
        <v>0</v>
      </c>
      <c r="BQ719" t="b">
        <f>IF(Metadata!AD719="",FALSE,TRUE)</f>
        <v>0</v>
      </c>
    </row>
    <row r="720" spans="1:69" x14ac:dyDescent="0.2">
      <c r="A720" s="4" t="e">
        <f ca="1">IF(B720=" "," ",HYPERLINK(CONCATENATE("#metadata!",ADDRESS(INDEX($AJ$2:$AJ$1001,MATCH(ROWS($AH$2:AH720),$AH$2:$AH$1001,0),0),2)),INDEX($AM$2:$AM$1001,MATCH(ROWS($AH$2:AH720),$AH$2:$AH$1001,0),0)))</f>
        <v>#N/A</v>
      </c>
      <c r="B720" s="5" t="e">
        <f ca="1">IF(OR(INDEX($AI$2:$AI$1001,MATCH(ROWS($AH$2:AH720),$AH$2:$AH$1001,0),1)&gt;=100000,INDEX($AO$1005:$BQ$1005,1,MATCH(COLUMNS($AO$1006:AO1006),$AO$1006:$BQ$1006,0))&gt;=100000), " ",IF(INDEX($AO$2:$BQ$1001,MATCH(ROWS($AH$2:AH720),$AH$2:$AH$1001,0),MATCH(COLUMNS($AO$1006:AO1006),$AO$1006:$BQ$1006,0)), HYPERLINK("#",""), HYPERLINK(CONCATENATE("#Metadata!", ADDRESS(INDEX($AJ$2:$AJ$1001,MATCH(ROWS($AH$2:AH720),$AH$2:$AH$1001,0),0), INDEX($AO$1004:$BQ$1004,1,MATCH(COLUMNS($AO$1006:AO1006),$AO$1006:$BQ$1006,0)))),"Fix")))</f>
        <v>#N/A</v>
      </c>
      <c r="C720" s="5" t="e">
        <f ca="1">IF(OR(INDEX($AI$2:$AI$1001,MATCH(ROWS($AH$2:AH720),$AH$2:$AH$1001,0),1)&gt;=100000,INDEX($AO$1005:$BQ$1005,1,MATCH(COLUMNS($AO$1006:AP1006),$AO$1006:$BQ$1006,0))&gt;=100000), " ",IF(INDEX($AO$2:$BQ$1001,MATCH(ROWS($AH$2:AH720),$AH$2:$AH$1001,0),MATCH(COLUMNS($AO$1006:AP1006),$AO$1006:$BQ$1006,0)), HYPERLINK("#",""), HYPERLINK(CONCATENATE("#Metadata!", ADDRESS(INDEX($AJ$2:$AJ$1001,MATCH(ROWS($AH$2:AH720),$AH$2:$AH$1001,0),0), INDEX($AO$1004:$BQ$1004,1,MATCH(COLUMNS($AO$1006:AP1006),$AO$1006:$BQ$1006,0)))),"Fix")))</f>
        <v>#N/A</v>
      </c>
      <c r="D720" s="5" t="e">
        <f ca="1">IF(OR(INDEX($AI$2:$AI$1001,MATCH(ROWS($AH$2:AH720),$AH$2:$AH$1001,0),1)&gt;=100000,INDEX($AO$1005:$BQ$1005,1,MATCH(COLUMNS($AO$1006:AQ1006),$AO$1006:$BQ$1006,0))&gt;=100000), " ",IF(INDEX($AO$2:$BQ$1001,MATCH(ROWS($AH$2:AH720),$AH$2:$AH$1001,0),MATCH(COLUMNS($AO$1006:AQ1006),$AO$1006:$BQ$1006,0)), HYPERLINK("#",""), HYPERLINK(CONCATENATE("#Metadata!", ADDRESS(INDEX($AJ$2:$AJ$1001,MATCH(ROWS($AH$2:AH720),$AH$2:$AH$1001,0),0), INDEX($AO$1004:$BQ$1004,1,MATCH(COLUMNS($AO$1006:AQ1006),$AO$1006:$BQ$1006,0)))),"Fix")))</f>
        <v>#N/A</v>
      </c>
      <c r="E720" s="5" t="e">
        <f ca="1">IF(OR(INDEX($AI$2:$AI$1001,MATCH(ROWS($AH$2:AH720),$AH$2:$AH$1001,0),1)&gt;=100000,INDEX($AO$1005:$BQ$1005,1,MATCH(COLUMNS($AO$1006:AR1006),$AO$1006:$BQ$1006,0))&gt;=100000), " ",IF(INDEX($AO$2:$BQ$1001,MATCH(ROWS($AH$2:AH720),$AH$2:$AH$1001,0),MATCH(COLUMNS($AO$1006:AR1006),$AO$1006:$BQ$1006,0)), HYPERLINK("#",""), HYPERLINK(CONCATENATE("#Metadata!", ADDRESS(INDEX($AJ$2:$AJ$1001,MATCH(ROWS($AH$2:AH720),$AH$2:$AH$1001,0),0), INDEX($AO$1004:$BQ$1004,1,MATCH(COLUMNS($AO$1006:AR1006),$AO$1006:$BQ$1006,0)))),"Fix")))</f>
        <v>#N/A</v>
      </c>
      <c r="F720" s="5" t="e">
        <f ca="1">IF(OR(INDEX($AI$2:$AI$1001,MATCH(ROWS($AH$2:AH720),$AH$2:$AH$1001,0),1)&gt;=100000,INDEX($AO$1005:$BQ$1005,1,MATCH(COLUMNS($AO$1006:AS1006),$AO$1006:$BQ$1006,0))&gt;=100000), " ",IF(INDEX($AO$2:$BQ$1001,MATCH(ROWS($AH$2:AH720),$AH$2:$AH$1001,0),MATCH(COLUMNS($AO$1006:AS1006),$AO$1006:$BQ$1006,0)), HYPERLINK("#",""), HYPERLINK(CONCATENATE("#Metadata!", ADDRESS(INDEX($AJ$2:$AJ$1001,MATCH(ROWS($AH$2:AH720),$AH$2:$AH$1001,0),0), INDEX($AO$1004:$BQ$1004,1,MATCH(COLUMNS($AO$1006:AS1006),$AO$1006:$BQ$1006,0)))),"Fix")))</f>
        <v>#N/A</v>
      </c>
      <c r="G720" s="5" t="e">
        <f ca="1">IF(OR(INDEX($AI$2:$AI$1001,MATCH(ROWS($AH$2:AH720),$AH$2:$AH$1001,0),1)&gt;=100000,INDEX($AO$1005:$BQ$1005,1,MATCH(COLUMNS($AO$1006:AT1006),$AO$1006:$BQ$1006,0))&gt;=100000), " ",IF(INDEX($AO$2:$BQ$1001,MATCH(ROWS($AH$2:AH720),$AH$2:$AH$1001,0),MATCH(COLUMNS($AO$1006:AT1006),$AO$1006:$BQ$1006,0)), HYPERLINK("#",""), HYPERLINK(CONCATENATE("#Metadata!", ADDRESS(INDEX($AJ$2:$AJ$1001,MATCH(ROWS($AH$2:AH720),$AH$2:$AH$1001,0),0), INDEX($AO$1004:$BQ$1004,1,MATCH(COLUMNS($AO$1006:AT1006),$AO$1006:$BQ$1006,0)))),"Fix")))</f>
        <v>#N/A</v>
      </c>
      <c r="H720" s="5" t="e">
        <f ca="1">IF(OR(INDEX($AI$2:$AI$1001,MATCH(ROWS($AH$2:AH720),$AH$2:$AH$1001,0),1)&gt;=100000,INDEX($AO$1005:$BQ$1005,1,MATCH(COLUMNS($AO$1006:AU1006),$AO$1006:$BQ$1006,0))&gt;=100000), " ",IF(INDEX($AO$2:$BQ$1001,MATCH(ROWS($AH$2:AH720),$AH$2:$AH$1001,0),MATCH(COLUMNS($AO$1006:AU1006),$AO$1006:$BQ$1006,0)), HYPERLINK("#",""), HYPERLINK(CONCATENATE("#Metadata!", ADDRESS(INDEX($AJ$2:$AJ$1001,MATCH(ROWS($AH$2:AH720),$AH$2:$AH$1001,0),0), INDEX($AO$1004:$BQ$1004,1,MATCH(COLUMNS($AO$1006:AU1006),$AO$1006:$BQ$1006,0)))),"Fix")))</f>
        <v>#N/A</v>
      </c>
      <c r="I720" s="5" t="e">
        <f ca="1">IF(OR(INDEX($AI$2:$AI$1001,MATCH(ROWS($AH$2:AH720),$AH$2:$AH$1001,0),1)&gt;=100000,INDEX($AO$1005:$BQ$1005,1,MATCH(COLUMNS($AO$1006:AV1006),$AO$1006:$BQ$1006,0))&gt;=100000), " ",IF(INDEX($AO$2:$BQ$1001,MATCH(ROWS($AH$2:AH720),$AH$2:$AH$1001,0),MATCH(COLUMNS($AO$1006:AV1006),$AO$1006:$BQ$1006,0)), HYPERLINK("#",""), HYPERLINK(CONCATENATE("#Metadata!", ADDRESS(INDEX($AJ$2:$AJ$1001,MATCH(ROWS($AH$2:AH720),$AH$2:$AH$1001,0),0), INDEX($AO$1004:$BQ$1004,1,MATCH(COLUMNS($AO$1006:AV1006),$AO$1006:$BQ$1006,0)))),"Fix")))</f>
        <v>#N/A</v>
      </c>
      <c r="J720" s="5" t="e">
        <f ca="1">IF(OR(INDEX($AI$2:$AI$1001,MATCH(ROWS($AH$2:AH720),$AH$2:$AH$1001,0),1)&gt;=100000,INDEX($AO$1005:$BQ$1005,1,MATCH(COLUMNS($AO$1006:AW1006),$AO$1006:$BQ$1006,0))&gt;=100000), " ",IF(INDEX($AO$2:$BQ$1001,MATCH(ROWS($AH$2:AH720),$AH$2:$AH$1001,0),MATCH(COLUMNS($AO$1006:AW1006),$AO$1006:$BQ$1006,0)), HYPERLINK("#",""), HYPERLINK(CONCATENATE("#Metadata!", ADDRESS(INDEX($AJ$2:$AJ$1001,MATCH(ROWS($AH$2:AH720),$AH$2:$AH$1001,0),0), INDEX($AO$1004:$BQ$1004,1,MATCH(COLUMNS($AO$1006:AW1006),$AO$1006:$BQ$1006,0)))),"Fix")))</f>
        <v>#N/A</v>
      </c>
      <c r="K720" s="5" t="e">
        <f ca="1">IF(OR(INDEX($AI$2:$AI$1001,MATCH(ROWS($AH$2:AH720),$AH$2:$AH$1001,0),1)&gt;=100000,INDEX($AO$1005:$BQ$1005,1,MATCH(COLUMNS($AO$1006:AX1006),$AO$1006:$BQ$1006,0))&gt;=100000), " ",IF(INDEX($AO$2:$BQ$1001,MATCH(ROWS($AH$2:AH720),$AH$2:$AH$1001,0),MATCH(COLUMNS($AO$1006:AX1006),$AO$1006:$BQ$1006,0)), HYPERLINK("#",""), HYPERLINK(CONCATENATE("#Metadata!", ADDRESS(INDEX($AJ$2:$AJ$1001,MATCH(ROWS($AH$2:AH720),$AH$2:$AH$1001,0),0), INDEX($AO$1004:$BQ$1004,1,MATCH(COLUMNS($AO$1006:AX1006),$AO$1006:$BQ$1006,0)))),"Fix")))</f>
        <v>#N/A</v>
      </c>
      <c r="L720" s="5" t="e">
        <f ca="1">IF(OR(INDEX($AI$2:$AI$1001,MATCH(ROWS($AH$2:AH720),$AH$2:$AH$1001,0),1)&gt;=100000,INDEX($AO$1005:$BQ$1005,1,MATCH(COLUMNS($AO$1006:AY1006),$AO$1006:$BQ$1006,0))&gt;=100000), " ",IF(INDEX($AO$2:$BQ$1001,MATCH(ROWS($AH$2:AH720),$AH$2:$AH$1001,0),MATCH(COLUMNS($AO$1006:AY1006),$AO$1006:$BQ$1006,0)), HYPERLINK("#",""), HYPERLINK(CONCATENATE("#Metadata!", ADDRESS(INDEX($AJ$2:$AJ$1001,MATCH(ROWS($AH$2:AH720),$AH$2:$AH$1001,0),0), INDEX($AO$1004:$BQ$1004,1,MATCH(COLUMNS($AO$1006:AY1006),$AO$1006:$BQ$1006,0)))),"Fix")))</f>
        <v>#N/A</v>
      </c>
      <c r="M720" s="5" t="e">
        <f ca="1">IF(OR(INDEX($AI$2:$AI$1001,MATCH(ROWS($AH$2:AH720),$AH$2:$AH$1001,0),1)&gt;=100000,INDEX($AO$1005:$BQ$1005,1,MATCH(COLUMNS($AO$1006:AZ1006),$AO$1006:$BQ$1006,0))&gt;=100000), " ",IF(INDEX($AO$2:$BQ$1001,MATCH(ROWS($AH$2:AH720),$AH$2:$AH$1001,0),MATCH(COLUMNS($AO$1006:AZ1006),$AO$1006:$BQ$1006,0)), HYPERLINK("#",""), HYPERLINK(CONCATENATE("#Metadata!", ADDRESS(INDEX($AJ$2:$AJ$1001,MATCH(ROWS($AH$2:AH720),$AH$2:$AH$1001,0),0), INDEX($AO$1004:$BQ$1004,1,MATCH(COLUMNS($AO$1006:AZ1006),$AO$1006:$BQ$1006,0)))),"Fix")))</f>
        <v>#N/A</v>
      </c>
      <c r="N720" s="5" t="e">
        <f ca="1">IF(OR(INDEX($AI$2:$AI$1001,MATCH(ROWS($AH$2:AH720),$AH$2:$AH$1001,0),1)&gt;=100000,INDEX($AO$1005:$BQ$1005,1,MATCH(COLUMNS($AO$1006:BA1006),$AO$1006:$BQ$1006,0))&gt;=100000), " ",IF(INDEX($AO$2:$BQ$1001,MATCH(ROWS($AH$2:AH720),$AH$2:$AH$1001,0),MATCH(COLUMNS($AO$1006:BA1006),$AO$1006:$BQ$1006,0)), HYPERLINK("#",""), HYPERLINK(CONCATENATE("#Metadata!", ADDRESS(INDEX($AJ$2:$AJ$1001,MATCH(ROWS($AH$2:AH720),$AH$2:$AH$1001,0),0), INDEX($AO$1004:$BQ$1004,1,MATCH(COLUMNS($AO$1006:BA1006),$AO$1006:$BQ$1006,0)))),"Fix")))</f>
        <v>#N/A</v>
      </c>
      <c r="O720" s="5" t="e">
        <f ca="1">IF(OR(INDEX($AI$2:$AI$1001,MATCH(ROWS($AH$2:AH720),$AH$2:$AH$1001,0),1)&gt;=100000,INDEX($AO$1005:$BQ$1005,1,MATCH(COLUMNS($AO$1006:BB1006),$AO$1006:$BQ$1006,0))&gt;=100000), " ",IF(INDEX($AO$2:$BQ$1001,MATCH(ROWS($AH$2:AH720),$AH$2:$AH$1001,0),MATCH(COLUMNS($AO$1006:BB1006),$AO$1006:$BQ$1006,0)), HYPERLINK("#",""), HYPERLINK(CONCATENATE("#Metadata!", ADDRESS(INDEX($AJ$2:$AJ$1001,MATCH(ROWS($AH$2:AH720),$AH$2:$AH$1001,0),0), INDEX($AO$1004:$BQ$1004,1,MATCH(COLUMNS($AO$1006:BB1006),$AO$1006:$BQ$1006,0)))),"Fix")))</f>
        <v>#N/A</v>
      </c>
      <c r="P720" s="5" t="e">
        <f ca="1">IF(OR(INDEX($AI$2:$AI$1001,MATCH(ROWS($AH$2:AH720),$AH$2:$AH$1001,0),1)&gt;=100000,INDEX($AO$1005:$BQ$1005,1,MATCH(COLUMNS($AO$1006:BC1006),$AO$1006:$BQ$1006,0))&gt;=100000), " ",IF(INDEX($AO$2:$BQ$1001,MATCH(ROWS($AH$2:AH720),$AH$2:$AH$1001,0),MATCH(COLUMNS($AO$1006:BC1006),$AO$1006:$BQ$1006,0)), HYPERLINK("#",""), HYPERLINK(CONCATENATE("#Metadata!", ADDRESS(INDEX($AJ$2:$AJ$1001,MATCH(ROWS($AH$2:AH720),$AH$2:$AH$1001,0),0), INDEX($AO$1004:$BQ$1004,1,MATCH(COLUMNS($AO$1006:BC1006),$AO$1006:$BQ$1006,0)))),"Fix")))</f>
        <v>#N/A</v>
      </c>
      <c r="Q720" s="5" t="e">
        <f ca="1">IF(OR(INDEX($AI$2:$AI$1001,MATCH(ROWS($AH$2:AH720),$AH$2:$AH$1001,0),1)&gt;=100000,INDEX($AO$1005:$BQ$1005,1,MATCH(COLUMNS($AO$1006:BD1006),$AO$1006:$BQ$1006,0))&gt;=100000), " ",IF(INDEX($AO$2:$BQ$1001,MATCH(ROWS($AH$2:AH720),$AH$2:$AH$1001,0),MATCH(COLUMNS($AO$1006:BD1006),$AO$1006:$BQ$1006,0)), HYPERLINK("#",""), HYPERLINK(CONCATENATE("#Metadata!", ADDRESS(INDEX($AJ$2:$AJ$1001,MATCH(ROWS($AH$2:AH720),$AH$2:$AH$1001,0),0), INDEX($AO$1004:$BQ$1004,1,MATCH(COLUMNS($AO$1006:BD1006),$AO$1006:$BQ$1006,0)))),"Fix")))</f>
        <v>#N/A</v>
      </c>
      <c r="R720" s="5" t="e">
        <f ca="1">IF(OR(INDEX($AI$2:$AI$1001,MATCH(ROWS($AH$2:AH720),$AH$2:$AH$1001,0),1)&gt;=100000,INDEX($AO$1005:$BQ$1005,1,MATCH(COLUMNS($AO$1006:BE1006),$AO$1006:$BQ$1006,0))&gt;=100000), " ",IF(INDEX($AO$2:$BQ$1001,MATCH(ROWS($AH$2:AH720),$AH$2:$AH$1001,0),MATCH(COLUMNS($AO$1006:BE1006),$AO$1006:$BQ$1006,0)), HYPERLINK("#",""), HYPERLINK(CONCATENATE("#Metadata!", ADDRESS(INDEX($AJ$2:$AJ$1001,MATCH(ROWS($AH$2:AH720),$AH$2:$AH$1001,0),0), INDEX($AO$1004:$BQ$1004,1,MATCH(COLUMNS($AO$1006:BE1006),$AO$1006:$BQ$1006,0)))),"Fix")))</f>
        <v>#N/A</v>
      </c>
      <c r="S720" s="5" t="e">
        <f ca="1">IF(OR(INDEX($AI$2:$AI$1001,MATCH(ROWS($AH$2:AH720),$AH$2:$AH$1001,0),1)&gt;=100000,INDEX($AO$1005:$BQ$1005,1,MATCH(COLUMNS($AO$1006:BF1006),$AO$1006:$BQ$1006,0))&gt;=100000), " ",IF(INDEX($AO$2:$BQ$1001,MATCH(ROWS($AH$2:AH720),$AH$2:$AH$1001,0),MATCH(COLUMNS($AO$1006:BF1006),$AO$1006:$BQ$1006,0)), HYPERLINK("#",""), HYPERLINK(CONCATENATE("#Metadata!", ADDRESS(INDEX($AJ$2:$AJ$1001,MATCH(ROWS($AH$2:AH720),$AH$2:$AH$1001,0),0), INDEX($AO$1004:$BQ$1004,1,MATCH(COLUMNS($AO$1006:BF1006),$AO$1006:$BQ$1006,0)))),"Fix")))</f>
        <v>#N/A</v>
      </c>
      <c r="T720" s="5" t="e">
        <f ca="1">IF(OR(INDEX($AI$2:$AI$1001,MATCH(ROWS($AH$2:AH720),$AH$2:$AH$1001,0),1)&gt;=100000,INDEX($AO$1005:$BQ$1005,1,MATCH(COLUMNS($AO$1006:BG1006),$AO$1006:$BQ$1006,0))&gt;=100000), " ",IF(INDEX($AO$2:$BQ$1001,MATCH(ROWS($AH$2:AH720),$AH$2:$AH$1001,0),MATCH(COLUMNS($AO$1006:BG1006),$AO$1006:$BQ$1006,0)), HYPERLINK("#",""), HYPERLINK(CONCATENATE("#Metadata!", ADDRESS(INDEX($AJ$2:$AJ$1001,MATCH(ROWS($AH$2:AH720),$AH$2:$AH$1001,0),0), INDEX($AO$1004:$BQ$1004,1,MATCH(COLUMNS($AO$1006:BG1006),$AO$1006:$BQ$1006,0)))),"Fix")))</f>
        <v>#N/A</v>
      </c>
      <c r="U720" s="5" t="e">
        <f ca="1">IF(OR(INDEX($AI$2:$AI$1001,MATCH(ROWS($AH$2:AH720),$AH$2:$AH$1001,0),1)&gt;=100000,INDEX($AO$1005:$BQ$1005,1,MATCH(COLUMNS($AO$1006:BH1006),$AO$1006:$BQ$1006,0))&gt;=100000), " ",IF(INDEX($AO$2:$BQ$1001,MATCH(ROWS($AH$2:AH720),$AH$2:$AH$1001,0),MATCH(COLUMNS($AO$1006:BH1006),$AO$1006:$BQ$1006,0)), HYPERLINK("#",""), HYPERLINK(CONCATENATE("#Metadata!", ADDRESS(INDEX($AJ$2:$AJ$1001,MATCH(ROWS($AH$2:AH720),$AH$2:$AH$1001,0),0), INDEX($AO$1004:$BQ$1004,1,MATCH(COLUMNS($AO$1006:BH1006),$AO$1006:$BQ$1006,0)))),"Fix")))</f>
        <v>#N/A</v>
      </c>
      <c r="V720" s="5" t="e">
        <f ca="1">IF(OR(INDEX($AI$2:$AI$1001,MATCH(ROWS($AH$2:AH720),$AH$2:$AH$1001,0),1)&gt;=100000,INDEX($AO$1005:$BQ$1005,1,MATCH(COLUMNS($AO$1006:BI1006),$AO$1006:$BQ$1006,0))&gt;=100000), " ",IF(INDEX($AO$2:$BQ$1001,MATCH(ROWS($AH$2:AH720),$AH$2:$AH$1001,0),MATCH(COLUMNS($AO$1006:BI1006),$AO$1006:$BQ$1006,0)), HYPERLINK("#",""), HYPERLINK(CONCATENATE("#Metadata!", ADDRESS(INDEX($AJ$2:$AJ$1001,MATCH(ROWS($AH$2:AH720),$AH$2:$AH$1001,0),0), INDEX($AO$1004:$BQ$1004,1,MATCH(COLUMNS($AO$1006:BI1006),$AO$1006:$BQ$1006,0)))),"Fix")))</f>
        <v>#N/A</v>
      </c>
      <c r="W720" s="5" t="e">
        <f ca="1">IF(OR(INDEX($AI$2:$AI$1001,MATCH(ROWS($AH$2:AH720),$AH$2:$AH$1001,0),1)&gt;=100000,INDEX($AO$1005:$BQ$1005,1,MATCH(COLUMNS($AO$1006:BJ1006),$AO$1006:$BQ$1006,0))&gt;=100000), " ",IF(INDEX($AO$2:$BQ$1001,MATCH(ROWS($AH$2:AH720),$AH$2:$AH$1001,0),MATCH(COLUMNS($AO$1006:BJ1006),$AO$1006:$BQ$1006,0)), HYPERLINK("#",""), HYPERLINK(CONCATENATE("#Metadata!", ADDRESS(INDEX($AJ$2:$AJ$1001,MATCH(ROWS($AH$2:AH720),$AH$2:$AH$1001,0),0), INDEX($AO$1004:$BQ$1004,1,MATCH(COLUMNS($AO$1006:BJ1006),$AO$1006:$BQ$1006,0)))),"Fix")))</f>
        <v>#N/A</v>
      </c>
      <c r="X720" s="5" t="e">
        <f ca="1">IF(OR(INDEX($AI$2:$AI$1001,MATCH(ROWS($AH$2:AH720),$AH$2:$AH$1001,0),1)&gt;=100000,INDEX($AO$1005:$BQ$1005,1,MATCH(COLUMNS($AO$1006:BK1006),$AO$1006:$BQ$1006,0))&gt;=100000), " ",IF(INDEX($AO$2:$BQ$1001,MATCH(ROWS($AH$2:AH720),$AH$2:$AH$1001,0),MATCH(COLUMNS($AO$1006:BK1006),$AO$1006:$BQ$1006,0)), HYPERLINK("#",""), HYPERLINK(CONCATENATE("#Metadata!", ADDRESS(INDEX($AJ$2:$AJ$1001,MATCH(ROWS($AH$2:AH720),$AH$2:$AH$1001,0),0), INDEX($AO$1004:$BQ$1004,1,MATCH(COLUMNS($AO$1006:BK1006),$AO$1006:$BQ$1006,0)))),"Fix")))</f>
        <v>#N/A</v>
      </c>
      <c r="Y720" s="5" t="e">
        <f ca="1">IF(OR(INDEX($AI$2:$AI$1001,MATCH(ROWS($AH$2:AH720),$AH$2:$AH$1001,0),1)&gt;=100000,INDEX($AO$1005:$BQ$1005,1,MATCH(COLUMNS($AO$1006:BL1006),$AO$1006:$BQ$1006,0))&gt;=100000), " ",IF(INDEX($AO$2:$BQ$1001,MATCH(ROWS($AH$2:AH720),$AH$2:$AH$1001,0),MATCH(COLUMNS($AO$1006:BL1006),$AO$1006:$BQ$1006,0)), HYPERLINK("#",""), HYPERLINK(CONCATENATE("#Metadata!", ADDRESS(INDEX($AJ$2:$AJ$1001,MATCH(ROWS($AH$2:AH720),$AH$2:$AH$1001,0),0), INDEX($AO$1004:$BQ$1004,1,MATCH(COLUMNS($AO$1006:BL1006),$AO$1006:$BQ$1006,0)))),"Fix")))</f>
        <v>#N/A</v>
      </c>
      <c r="Z720" s="5" t="e">
        <f ca="1">IF(OR(INDEX($AI$2:$AI$1001,MATCH(ROWS($AH$2:AH720),$AH$2:$AH$1001,0),1)&gt;=100000,INDEX($AO$1005:$BQ$1005,1,MATCH(COLUMNS($AO$1006:BM1006),$AO$1006:$BQ$1006,0))&gt;=100000), " ",IF(INDEX($AO$2:$BQ$1001,MATCH(ROWS($AH$2:AH720),$AH$2:$AH$1001,0),MATCH(COLUMNS($AO$1006:BM1006),$AO$1006:$BQ$1006,0)), HYPERLINK("#",""), HYPERLINK(CONCATENATE("#Metadata!", ADDRESS(INDEX($AJ$2:$AJ$1001,MATCH(ROWS($AH$2:AH720),$AH$2:$AH$1001,0),0), INDEX($AO$1004:$BQ$1004,1,MATCH(COLUMNS($AO$1006:BM1006),$AO$1006:$BQ$1006,0)))),"Fix")))</f>
        <v>#N/A</v>
      </c>
      <c r="AA720" s="5" t="e">
        <f ca="1">IF(OR(INDEX($AI$2:$AI$1001,MATCH(ROWS($AH$2:AH720),$AH$2:$AH$1001,0),1)&gt;=100000,INDEX($AO$1005:$BQ$1005,1,MATCH(COLUMNS($AO$1006:BN1006),$AO$1006:$BQ$1006,0))&gt;=100000), " ",IF(INDEX($AO$2:$BQ$1001,MATCH(ROWS($AH$2:AH720),$AH$2:$AH$1001,0),MATCH(COLUMNS($AO$1006:BN1006),$AO$1006:$BQ$1006,0)), HYPERLINK("#",""), HYPERLINK(CONCATENATE("#Metadata!", ADDRESS(INDEX($AJ$2:$AJ$1001,MATCH(ROWS($AH$2:AH720),$AH$2:$AH$1001,0),0), INDEX($AO$1004:$BQ$1004,1,MATCH(COLUMNS($AO$1006:BN1006),$AO$1006:$BQ$1006,0)))),"Fix")))</f>
        <v>#N/A</v>
      </c>
      <c r="AB720" s="5" t="e">
        <f ca="1">IF(OR(INDEX($AI$2:$AI$1001,MATCH(ROWS($AH$2:AH720),$AH$2:$AH$1001,0),1)&gt;=100000,INDEX($AO$1005:$BQ$1005,1,MATCH(COLUMNS($AO$1006:BO1006),$AO$1006:$BQ$1006,0))&gt;=100000), " ",IF(INDEX($AO$2:$BQ$1001,MATCH(ROWS($AH$2:AH720),$AH$2:$AH$1001,0),MATCH(COLUMNS($AO$1006:BO1006),$AO$1006:$BQ$1006,0)), HYPERLINK("#",""), HYPERLINK(CONCATENATE("#Metadata!", ADDRESS(INDEX($AJ$2:$AJ$1001,MATCH(ROWS($AH$2:AH720),$AH$2:$AH$1001,0),0), INDEX($AO$1004:$BQ$1004,1,MATCH(COLUMNS($AO$1006:BO1006),$AO$1006:$BQ$1006,0)))),"Fix")))</f>
        <v>#N/A</v>
      </c>
      <c r="AC720" s="5" t="e">
        <f ca="1">IF(OR(INDEX($AI$2:$AI$1001,MATCH(ROWS($AH$2:AH720),$AH$2:$AH$1001,0),1)&gt;=100000,INDEX($AO$1005:$BQ$1005,1,MATCH(COLUMNS($AO$1006:BP1006),$AO$1006:$BQ$1006,0))&gt;=100000), " ",IF(INDEX($AO$2:$BQ$1001,MATCH(ROWS($AH$2:AH720),$AH$2:$AH$1001,0),MATCH(COLUMNS($AO$1006:BP1006),$AO$1006:$BQ$1006,0)), HYPERLINK("#",""), HYPERLINK(CONCATENATE("#Metadata!", ADDRESS(INDEX($AJ$2:$AJ$1001,MATCH(ROWS($AH$2:AH720),$AH$2:$AH$1001,0),0), INDEX($AO$1004:$BQ$1004,1,MATCH(COLUMNS($AO$1006:BP1006),$AO$1006:$BQ$1006,0)))),"Fix")))</f>
        <v>#N/A</v>
      </c>
      <c r="AD720" s="5" t="e">
        <f ca="1">IF(OR(INDEX($AI$2:$AI$1001,MATCH(ROWS($AH$2:AH720),$AH$2:$AH$1001,0),1)&gt;=100000,INDEX($AO$1005:$BQ$1005,1,MATCH(COLUMNS($AO$1006:BQ1006),$AO$1006:$BQ$1006,0))&gt;=100000), " ",IF(INDEX($AO$2:$BQ$1001,MATCH(ROWS($AH$2:AH720),$AH$2:$AH$1001,0),MATCH(COLUMNS($AO$1006:BQ1006),$AO$1006:$BQ$1006,0)), HYPERLINK("#",""), HYPERLINK(CONCATENATE("#Metadata!", ADDRESS(INDEX($AJ$2:$AJ$1001,MATCH(ROWS($AH$2:AH720),$AH$2:$AH$1001,0),0), INDEX($AO$1004:$BQ$1004,1,MATCH(COLUMNS($AO$1006:BQ1006),$AO$1006:$BQ$1006,0)))),"Fix")))</f>
        <v>#REF!</v>
      </c>
      <c r="AH720">
        <f ca="1"/>
        <v>717</v>
      </c>
      <c r="AI720">
        <v>100720</v>
      </c>
      <c r="AJ720">
        <v>720</v>
      </c>
      <c r="AK720" t="b">
        <f t="shared" si="11"/>
        <v>1</v>
      </c>
      <c r="AL720" t="b">
        <f>COUNTBLANK(Metadata!B720:AD720)=COLUMNS(Metadata!B720:AD720)</f>
        <v>1</v>
      </c>
      <c r="AM720" t="str">
        <v/>
      </c>
      <c r="AO720" t="b">
        <f ca="1">AND(IF(Metadata!B720="",FALSE,TRUE),COUNTIF(Metadata!B:B, Metadata!B720) = 1,NOT(ISERROR(SUMPRODUCT(SEARCH(MID(Metadata!B720,ROW(INDIRECT("1:"&amp;LEN(Metadata!B720))), 1),"0123456789abcdefghijklmnopqrstuvwxyzABCDEFGHIJKLMNOPQRSTUVWXYZ.")))))</f>
        <v>0</v>
      </c>
      <c r="AP720" t="b">
        <f>IF(Metadata!C720="",FALSE,TRUE)</f>
        <v>0</v>
      </c>
      <c r="AQ720" t="b">
        <f>IF(Metadata!D720="",FALSE,TRUE)</f>
        <v>0</v>
      </c>
      <c r="AR720" t="b">
        <f ca="1">OR(AND(IF(Metadata!E720="",FALSE,TRUE),OR(EXACT(Metadata!E720,"not collected"),EXACT(Metadata!E720,"not provided"),EXACT(Metadata!E720,"restricted access"))),AND(IF(Metadata!E720="",FALSE,TRUE),AND(AND(IFERROR(INT(LEFT(Metadata!E720,4))&gt;1900,FALSE),IFERROR(INT(LEFT(Metadata!E720,4))&lt;=YEAR(NOW()),FALSE)), OR(MID(Metadata!E720,5,1)="", AND(AND(MID(Metadata!E720,5,1)="-",IFERROR(INT(MID(Metadata!E720,6,1))&gt;=0,FALSE),IFERROR(INT(MID(Metadata!E720,6,1))&lt;=1,FALSE),NOT(MID(Metadata!E720,7,1)=""),IFERROR(INT(MID(Metadata!E720,6,2))&gt;=1,FALSE),IFERROR(INT(MID(Metadata!E720,6,2))&lt;=12,FALSE)), OR(MID(Metadata!E720,8,1)="", AND(AND(MID(Metadata!E720,8,1)="-",IFERROR(INT(MID(Metadata!E720,9,1))&gt;=0,FALSE),IFERROR(INT(MID(Metadata!E720,9,1))&lt;=3,FALSE),NOT(MID(Metadata!E720,10,1)=""),IFERROR(INT(MID(Metadata!E720,9,2))&gt;=1,FALSE),IFERROR(INT(MID(Metadata!E720,9,2))&lt;=31,FALSE)), OR(MID(Metadata!E720,11,1)="", AND(AND(MID(Metadata!E720,11,1)=" ",IFERROR(INT(MID(Metadata!E720,12,1))&gt;=0,FALSE),IFERROR(INT(MID(Metadata!E720,12,1))&lt;=2,FALSE),NOT(MID(Metadata!E720,13,1)=""),IFERROR(INT(MID(Metadata!E720,12,2))&gt;=0,FALSE),IFERROR(INT(MID(Metadata!E720,12,2))&lt;=23,FALSE)), OR(MID(Metadata!E720,14,1)="", AND(AND(MID(Metadata!E720,14,1)=":",IFERROR(INT(MID(Metadata!E720,15,1))&gt;=0,FALSE),IFERROR(INT(MID(Metadata!E720,15,1))&lt;=5,FALSE),NOT(MID(Metadata!E720,16,1)=""),IFERROR(INT(MID(Metadata!E720,15,2))&gt;=0,FALSE),IFERROR(INT(MID(Metadata!E720,15,2))&lt;=59,FALSE)), OR(MID(Metadata!E720,17,1)="", AND(AND(MID(Metadata!E720,17,1)=":",IFERROR(INT(MID(Metadata!E720,18,1))&gt;=0,FALSE),IFERROR(INT(MID(Metadata!E720,18,1))&lt;=5,FALSE),NOT(MID(Metadata!E720,19,1)=""),IFERROR(INT(MID(Metadata!E720,18,2))&gt;=0,FALSE),IFERROR(INT(MID(Metadata!E720,18,2))&lt;=59,FALSE)), LEN(Metadata!E720)&lt;=19)))))))))))))</f>
        <v>0</v>
      </c>
      <c r="AS720" t="b">
        <f>IF(Metadata!F720="",FALSE,TRUE)</f>
        <v>0</v>
      </c>
      <c r="AT720" t="b">
        <f>OR(AND(IF(Metadata!G720="",FALSE,TRUE),OR(EXACT(Metadata!G720,"not collected"),EXACT(Metadata!G720,"not provided"))),AND(IF(Metadata!G720="",FALSE,TRUE),OR(EXACT(Metadata!G720,"TRUE"),EXACT(Metadata!G720,"FALSE"))))</f>
        <v>0</v>
      </c>
      <c r="AU720" t="b">
        <f>OR(AND(IF(Metadata!H720="",FALSE,TRUE),OR(EXACT(Metadata!H720,"not collected"),EXACT(Metadata!H720,"not provided"),EXACT(Metadata!H720,"restricted access"))),AND(IF(Metadata!H720="",FALSE,ISNUMBER(VALUE(Metadata!H720))),Metadata!H720&gt;=-413))</f>
        <v>0</v>
      </c>
      <c r="AV720" t="b">
        <f>AND(IF(Metadata!I720="",FALSE,TRUE),EXACT(Metadata!I720,"meters"))</f>
        <v>0</v>
      </c>
      <c r="AW720" t="b">
        <f>AND(IF(Metadata!J720="",FALSE,TRUE),EXACT(Metadata!J720,"free-living"))</f>
        <v>0</v>
      </c>
      <c r="AX720" t="b">
        <f>AND(IF(Metadata!K720="",FALSE,TRUE),OR(EXACT(Metadata!K720,"saline"),EXACT(Metadata!K720,"non-saline")))</f>
        <v>0</v>
      </c>
      <c r="AY720" t="b">
        <f>AND(IF(Metadata!L720="",FALSE,TRUE),OR(EXACT(Metadata!L720,"sub-surface (non-saline)"),EXACT(Metadata!L720,"surface (non-saline)"),EXACT(Metadata!L720,"water (non-saline)"),EXACT(Metadata!L720,"soil (non-saline)"),EXACT(Metadata!L720,"aerosol (non-saline)"),EXACT(Metadata!L720,"sediment (non-saline)"),EXACT(Metadata!L720,"surface (saline)"),EXACT(Metadata!L720,"water (saline)"),EXACT(Metadata!L720,"hypersaline (saline)"),EXACT(Metadata!L720,"aerosol (saline)"),EXACT(Metadata!L720,"sediment (saline)")))</f>
        <v>0</v>
      </c>
      <c r="AZ720" t="b">
        <f>IF(Metadata!M720="",FALSE,TRUE)</f>
        <v>0</v>
      </c>
      <c r="BA720" t="b">
        <f>IF(Metadata!N720="",FALSE,TRUE)</f>
        <v>0</v>
      </c>
      <c r="BB720" t="b">
        <f>IF(Metadata!O720="",FALSE,TRUE)</f>
        <v>0</v>
      </c>
      <c r="BC720" t="b">
        <f>AND(IF(Metadata!P720="",FALSE,TRUE),OR(EXACT(Metadata!P720,"air"),EXACT(Metadata!P720,"microbial mat/biofilm"),EXACT(Metadata!P720,"misc environment"),EXACT(Metadata!P720,"sediment"),EXACT(Metadata!P720,"soil"),EXACT(Metadata!P720,"wastewater/sludge"),EXACT(Metadata!P720,"water")))</f>
        <v>0</v>
      </c>
      <c r="BD720" t="b">
        <f>IF(Metadata!Q720="",FALSE,TRUE)</f>
        <v>0</v>
      </c>
      <c r="BE720" t="b">
        <f>IF(Metadata!R720="",FALSE,TRUE)</f>
        <v>0</v>
      </c>
      <c r="BF720" t="b">
        <f>OR(AND(IF(Metadata!S720="",FALSE,TRUE),OR(EXACT(Metadata!S720,"not collected"),EXACT(Metadata!S720,"not provided"),EXACT(Metadata!S720,"restricted access"))),AND(IF(Metadata!S720="",FALSE,ISNUMBER(VALUE(Metadata!S720))),Metadata!S720&gt;=-90,Metadata!S720&lt;=90))</f>
        <v>0</v>
      </c>
      <c r="BG720" t="b">
        <f>AND(IF(Metadata!T720="",FALSE,TRUE),EXACT(Metadata!T720,"Decimal degrees"))</f>
        <v>0</v>
      </c>
      <c r="BH720" t="b">
        <f>OR(AND(IF(Metadata!U720="",FALSE,TRUE),OR(EXACT(Metadata!U720,"not applicable"),EXACT(Metadata!U720,"not collected"))),IF(Metadata!U720="",FALSE,TRUE))</f>
        <v>0</v>
      </c>
      <c r="BI720" t="b">
        <f>OR(AND(IF(Metadata!V720="",FALSE,TRUE),OR(EXACT(Metadata!V720,"not collected"),EXACT(Metadata!V720,"not provided"),EXACT(Metadata!V720,"restricted access"))),AND(IF(Metadata!V720="",FALSE,ISNUMBER(VALUE(Metadata!V720))),Metadata!V720&gt;=-180,Metadata!V720&lt;=180))</f>
        <v>0</v>
      </c>
      <c r="BJ720" t="b">
        <f>AND(IF(Metadata!W720="",FALSE,TRUE),EXACT(Metadata!W720,"Decimal degrees"))</f>
        <v>0</v>
      </c>
      <c r="BK720" t="b">
        <f>IF(Metadata!X720="",FALSE,TRUE)</f>
        <v>0</v>
      </c>
      <c r="BL720" t="b">
        <f>OR(AND(IF(Metadata!Y720="",FALSE,TRUE),OR(EXACT(Metadata!Y720,"not collected"),EXACT(Metadata!Y720,"not provided"),EXACT(Metadata!Y720,"restricted access"))),AND(IF(Metadata!Y720="",FALSE,TRUE),OR(EXACT(Metadata!Y720,"TRUE"),EXACT(Metadata!Y720,"FALSE"))))</f>
        <v>0</v>
      </c>
      <c r="BM720" t="b">
        <f>OR(AND(IF(Metadata!Z720="",FALSE,TRUE),EXACT(Metadata!Z720,"not applicable")),AND(IF(Metadata!Z720="",FALSE,TRUE),OR(EXACT(Metadata!Z720,"beer"),EXACT(Metadata!Z720,"cheese"),EXACT(Metadata!Z720,"fresh water"),EXACT(Metadata!Z720,"marine sediment"),EXACT(Metadata!Z720,"sea water"),EXACT(Metadata!Z720,"sediment"),EXACT(Metadata!Z720,"soil"),EXACT(Metadata!Z720,"waste water"))))</f>
        <v>0</v>
      </c>
      <c r="BN720" t="b">
        <f>AND(IF(Metadata!AA720="",FALSE,TRUE),EXACT(Metadata!AA720,"metagenome"))</f>
        <v>0</v>
      </c>
      <c r="BO720" t="b">
        <f>AND(IF(Metadata!AB720="",FALSE,TRUE),EXACT(Metadata!AB720,"256318"))</f>
        <v>0</v>
      </c>
      <c r="BP720" t="b">
        <f>IF(Metadata!AC720="",FALSE,TRUE)</f>
        <v>0</v>
      </c>
      <c r="BQ720" t="b">
        <f>IF(Metadata!AD720="",FALSE,TRUE)</f>
        <v>0</v>
      </c>
    </row>
    <row r="721" spans="1:69" x14ac:dyDescent="0.2">
      <c r="A721" s="4" t="e">
        <f ca="1">IF(B721=" "," ",HYPERLINK(CONCATENATE("#metadata!",ADDRESS(INDEX($AJ$2:$AJ$1001,MATCH(ROWS($AH$2:AH721),$AH$2:$AH$1001,0),0),2)),INDEX($AM$2:$AM$1001,MATCH(ROWS($AH$2:AH721),$AH$2:$AH$1001,0),0)))</f>
        <v>#N/A</v>
      </c>
      <c r="B721" s="5" t="e">
        <f ca="1">IF(OR(INDEX($AI$2:$AI$1001,MATCH(ROWS($AH$2:AH721),$AH$2:$AH$1001,0),1)&gt;=100000,INDEX($AO$1005:$BQ$1005,1,MATCH(COLUMNS($AO$1006:AO1006),$AO$1006:$BQ$1006,0))&gt;=100000), " ",IF(INDEX($AO$2:$BQ$1001,MATCH(ROWS($AH$2:AH721),$AH$2:$AH$1001,0),MATCH(COLUMNS($AO$1006:AO1006),$AO$1006:$BQ$1006,0)), HYPERLINK("#",""), HYPERLINK(CONCATENATE("#Metadata!", ADDRESS(INDEX($AJ$2:$AJ$1001,MATCH(ROWS($AH$2:AH721),$AH$2:$AH$1001,0),0), INDEX($AO$1004:$BQ$1004,1,MATCH(COLUMNS($AO$1006:AO1006),$AO$1006:$BQ$1006,0)))),"Fix")))</f>
        <v>#N/A</v>
      </c>
      <c r="C721" s="5" t="e">
        <f ca="1">IF(OR(INDEX($AI$2:$AI$1001,MATCH(ROWS($AH$2:AH721),$AH$2:$AH$1001,0),1)&gt;=100000,INDEX($AO$1005:$BQ$1005,1,MATCH(COLUMNS($AO$1006:AP1006),$AO$1006:$BQ$1006,0))&gt;=100000), " ",IF(INDEX($AO$2:$BQ$1001,MATCH(ROWS($AH$2:AH721),$AH$2:$AH$1001,0),MATCH(COLUMNS($AO$1006:AP1006),$AO$1006:$BQ$1006,0)), HYPERLINK("#",""), HYPERLINK(CONCATENATE("#Metadata!", ADDRESS(INDEX($AJ$2:$AJ$1001,MATCH(ROWS($AH$2:AH721),$AH$2:$AH$1001,0),0), INDEX($AO$1004:$BQ$1004,1,MATCH(COLUMNS($AO$1006:AP1006),$AO$1006:$BQ$1006,0)))),"Fix")))</f>
        <v>#N/A</v>
      </c>
      <c r="D721" s="5" t="e">
        <f ca="1">IF(OR(INDEX($AI$2:$AI$1001,MATCH(ROWS($AH$2:AH721),$AH$2:$AH$1001,0),1)&gt;=100000,INDEX($AO$1005:$BQ$1005,1,MATCH(COLUMNS($AO$1006:AQ1006),$AO$1006:$BQ$1006,0))&gt;=100000), " ",IF(INDEX($AO$2:$BQ$1001,MATCH(ROWS($AH$2:AH721),$AH$2:$AH$1001,0),MATCH(COLUMNS($AO$1006:AQ1006),$AO$1006:$BQ$1006,0)), HYPERLINK("#",""), HYPERLINK(CONCATENATE("#Metadata!", ADDRESS(INDEX($AJ$2:$AJ$1001,MATCH(ROWS($AH$2:AH721),$AH$2:$AH$1001,0),0), INDEX($AO$1004:$BQ$1004,1,MATCH(COLUMNS($AO$1006:AQ1006),$AO$1006:$BQ$1006,0)))),"Fix")))</f>
        <v>#N/A</v>
      </c>
      <c r="E721" s="5" t="e">
        <f ca="1">IF(OR(INDEX($AI$2:$AI$1001,MATCH(ROWS($AH$2:AH721),$AH$2:$AH$1001,0),1)&gt;=100000,INDEX($AO$1005:$BQ$1005,1,MATCH(COLUMNS($AO$1006:AR1006),$AO$1006:$BQ$1006,0))&gt;=100000), " ",IF(INDEX($AO$2:$BQ$1001,MATCH(ROWS($AH$2:AH721),$AH$2:$AH$1001,0),MATCH(COLUMNS($AO$1006:AR1006),$AO$1006:$BQ$1006,0)), HYPERLINK("#",""), HYPERLINK(CONCATENATE("#Metadata!", ADDRESS(INDEX($AJ$2:$AJ$1001,MATCH(ROWS($AH$2:AH721),$AH$2:$AH$1001,0),0), INDEX($AO$1004:$BQ$1004,1,MATCH(COLUMNS($AO$1006:AR1006),$AO$1006:$BQ$1006,0)))),"Fix")))</f>
        <v>#N/A</v>
      </c>
      <c r="F721" s="5" t="e">
        <f ca="1">IF(OR(INDEX($AI$2:$AI$1001,MATCH(ROWS($AH$2:AH721),$AH$2:$AH$1001,0),1)&gt;=100000,INDEX($AO$1005:$BQ$1005,1,MATCH(COLUMNS($AO$1006:AS1006),$AO$1006:$BQ$1006,0))&gt;=100000), " ",IF(INDEX($AO$2:$BQ$1001,MATCH(ROWS($AH$2:AH721),$AH$2:$AH$1001,0),MATCH(COLUMNS($AO$1006:AS1006),$AO$1006:$BQ$1006,0)), HYPERLINK("#",""), HYPERLINK(CONCATENATE("#Metadata!", ADDRESS(INDEX($AJ$2:$AJ$1001,MATCH(ROWS($AH$2:AH721),$AH$2:$AH$1001,0),0), INDEX($AO$1004:$BQ$1004,1,MATCH(COLUMNS($AO$1006:AS1006),$AO$1006:$BQ$1006,0)))),"Fix")))</f>
        <v>#N/A</v>
      </c>
      <c r="G721" s="5" t="e">
        <f ca="1">IF(OR(INDEX($AI$2:$AI$1001,MATCH(ROWS($AH$2:AH721),$AH$2:$AH$1001,0),1)&gt;=100000,INDEX($AO$1005:$BQ$1005,1,MATCH(COLUMNS($AO$1006:AT1006),$AO$1006:$BQ$1006,0))&gt;=100000), " ",IF(INDEX($AO$2:$BQ$1001,MATCH(ROWS($AH$2:AH721),$AH$2:$AH$1001,0),MATCH(COLUMNS($AO$1006:AT1006),$AO$1006:$BQ$1006,0)), HYPERLINK("#",""), HYPERLINK(CONCATENATE("#Metadata!", ADDRESS(INDEX($AJ$2:$AJ$1001,MATCH(ROWS($AH$2:AH721),$AH$2:$AH$1001,0),0), INDEX($AO$1004:$BQ$1004,1,MATCH(COLUMNS($AO$1006:AT1006),$AO$1006:$BQ$1006,0)))),"Fix")))</f>
        <v>#N/A</v>
      </c>
      <c r="H721" s="5" t="e">
        <f ca="1">IF(OR(INDEX($AI$2:$AI$1001,MATCH(ROWS($AH$2:AH721),$AH$2:$AH$1001,0),1)&gt;=100000,INDEX($AO$1005:$BQ$1005,1,MATCH(COLUMNS($AO$1006:AU1006),$AO$1006:$BQ$1006,0))&gt;=100000), " ",IF(INDEX($AO$2:$BQ$1001,MATCH(ROWS($AH$2:AH721),$AH$2:$AH$1001,0),MATCH(COLUMNS($AO$1006:AU1006),$AO$1006:$BQ$1006,0)), HYPERLINK("#",""), HYPERLINK(CONCATENATE("#Metadata!", ADDRESS(INDEX($AJ$2:$AJ$1001,MATCH(ROWS($AH$2:AH721),$AH$2:$AH$1001,0),0), INDEX($AO$1004:$BQ$1004,1,MATCH(COLUMNS($AO$1006:AU1006),$AO$1006:$BQ$1006,0)))),"Fix")))</f>
        <v>#N/A</v>
      </c>
      <c r="I721" s="5" t="e">
        <f ca="1">IF(OR(INDEX($AI$2:$AI$1001,MATCH(ROWS($AH$2:AH721),$AH$2:$AH$1001,0),1)&gt;=100000,INDEX($AO$1005:$BQ$1005,1,MATCH(COLUMNS($AO$1006:AV1006),$AO$1006:$BQ$1006,0))&gt;=100000), " ",IF(INDEX($AO$2:$BQ$1001,MATCH(ROWS($AH$2:AH721),$AH$2:$AH$1001,0),MATCH(COLUMNS($AO$1006:AV1006),$AO$1006:$BQ$1006,0)), HYPERLINK("#",""), HYPERLINK(CONCATENATE("#Metadata!", ADDRESS(INDEX($AJ$2:$AJ$1001,MATCH(ROWS($AH$2:AH721),$AH$2:$AH$1001,0),0), INDEX($AO$1004:$BQ$1004,1,MATCH(COLUMNS($AO$1006:AV1006),$AO$1006:$BQ$1006,0)))),"Fix")))</f>
        <v>#N/A</v>
      </c>
      <c r="J721" s="5" t="e">
        <f ca="1">IF(OR(INDEX($AI$2:$AI$1001,MATCH(ROWS($AH$2:AH721),$AH$2:$AH$1001,0),1)&gt;=100000,INDEX($AO$1005:$BQ$1005,1,MATCH(COLUMNS($AO$1006:AW1006),$AO$1006:$BQ$1006,0))&gt;=100000), " ",IF(INDEX($AO$2:$BQ$1001,MATCH(ROWS($AH$2:AH721),$AH$2:$AH$1001,0),MATCH(COLUMNS($AO$1006:AW1006),$AO$1006:$BQ$1006,0)), HYPERLINK("#",""), HYPERLINK(CONCATENATE("#Metadata!", ADDRESS(INDEX($AJ$2:$AJ$1001,MATCH(ROWS($AH$2:AH721),$AH$2:$AH$1001,0),0), INDEX($AO$1004:$BQ$1004,1,MATCH(COLUMNS($AO$1006:AW1006),$AO$1006:$BQ$1006,0)))),"Fix")))</f>
        <v>#N/A</v>
      </c>
      <c r="K721" s="5" t="e">
        <f ca="1">IF(OR(INDEX($AI$2:$AI$1001,MATCH(ROWS($AH$2:AH721),$AH$2:$AH$1001,0),1)&gt;=100000,INDEX($AO$1005:$BQ$1005,1,MATCH(COLUMNS($AO$1006:AX1006),$AO$1006:$BQ$1006,0))&gt;=100000), " ",IF(INDEX($AO$2:$BQ$1001,MATCH(ROWS($AH$2:AH721),$AH$2:$AH$1001,0),MATCH(COLUMNS($AO$1006:AX1006),$AO$1006:$BQ$1006,0)), HYPERLINK("#",""), HYPERLINK(CONCATENATE("#Metadata!", ADDRESS(INDEX($AJ$2:$AJ$1001,MATCH(ROWS($AH$2:AH721),$AH$2:$AH$1001,0),0), INDEX($AO$1004:$BQ$1004,1,MATCH(COLUMNS($AO$1006:AX1006),$AO$1006:$BQ$1006,0)))),"Fix")))</f>
        <v>#N/A</v>
      </c>
      <c r="L721" s="5" t="e">
        <f ca="1">IF(OR(INDEX($AI$2:$AI$1001,MATCH(ROWS($AH$2:AH721),$AH$2:$AH$1001,0),1)&gt;=100000,INDEX($AO$1005:$BQ$1005,1,MATCH(COLUMNS($AO$1006:AY1006),$AO$1006:$BQ$1006,0))&gt;=100000), " ",IF(INDEX($AO$2:$BQ$1001,MATCH(ROWS($AH$2:AH721),$AH$2:$AH$1001,0),MATCH(COLUMNS($AO$1006:AY1006),$AO$1006:$BQ$1006,0)), HYPERLINK("#",""), HYPERLINK(CONCATENATE("#Metadata!", ADDRESS(INDEX($AJ$2:$AJ$1001,MATCH(ROWS($AH$2:AH721),$AH$2:$AH$1001,0),0), INDEX($AO$1004:$BQ$1004,1,MATCH(COLUMNS($AO$1006:AY1006),$AO$1006:$BQ$1006,0)))),"Fix")))</f>
        <v>#N/A</v>
      </c>
      <c r="M721" s="5" t="e">
        <f ca="1">IF(OR(INDEX($AI$2:$AI$1001,MATCH(ROWS($AH$2:AH721),$AH$2:$AH$1001,0),1)&gt;=100000,INDEX($AO$1005:$BQ$1005,1,MATCH(COLUMNS($AO$1006:AZ1006),$AO$1006:$BQ$1006,0))&gt;=100000), " ",IF(INDEX($AO$2:$BQ$1001,MATCH(ROWS($AH$2:AH721),$AH$2:$AH$1001,0),MATCH(COLUMNS($AO$1006:AZ1006),$AO$1006:$BQ$1006,0)), HYPERLINK("#",""), HYPERLINK(CONCATENATE("#Metadata!", ADDRESS(INDEX($AJ$2:$AJ$1001,MATCH(ROWS($AH$2:AH721),$AH$2:$AH$1001,0),0), INDEX($AO$1004:$BQ$1004,1,MATCH(COLUMNS($AO$1006:AZ1006),$AO$1006:$BQ$1006,0)))),"Fix")))</f>
        <v>#N/A</v>
      </c>
      <c r="N721" s="5" t="e">
        <f ca="1">IF(OR(INDEX($AI$2:$AI$1001,MATCH(ROWS($AH$2:AH721),$AH$2:$AH$1001,0),1)&gt;=100000,INDEX($AO$1005:$BQ$1005,1,MATCH(COLUMNS($AO$1006:BA1006),$AO$1006:$BQ$1006,0))&gt;=100000), " ",IF(INDEX($AO$2:$BQ$1001,MATCH(ROWS($AH$2:AH721),$AH$2:$AH$1001,0),MATCH(COLUMNS($AO$1006:BA1006),$AO$1006:$BQ$1006,0)), HYPERLINK("#",""), HYPERLINK(CONCATENATE("#Metadata!", ADDRESS(INDEX($AJ$2:$AJ$1001,MATCH(ROWS($AH$2:AH721),$AH$2:$AH$1001,0),0), INDEX($AO$1004:$BQ$1004,1,MATCH(COLUMNS($AO$1006:BA1006),$AO$1006:$BQ$1006,0)))),"Fix")))</f>
        <v>#N/A</v>
      </c>
      <c r="O721" s="5" t="e">
        <f ca="1">IF(OR(INDEX($AI$2:$AI$1001,MATCH(ROWS($AH$2:AH721),$AH$2:$AH$1001,0),1)&gt;=100000,INDEX($AO$1005:$BQ$1005,1,MATCH(COLUMNS($AO$1006:BB1006),$AO$1006:$BQ$1006,0))&gt;=100000), " ",IF(INDEX($AO$2:$BQ$1001,MATCH(ROWS($AH$2:AH721),$AH$2:$AH$1001,0),MATCH(COLUMNS($AO$1006:BB1006),$AO$1006:$BQ$1006,0)), HYPERLINK("#",""), HYPERLINK(CONCATENATE("#Metadata!", ADDRESS(INDEX($AJ$2:$AJ$1001,MATCH(ROWS($AH$2:AH721),$AH$2:$AH$1001,0),0), INDEX($AO$1004:$BQ$1004,1,MATCH(COLUMNS($AO$1006:BB1006),$AO$1006:$BQ$1006,0)))),"Fix")))</f>
        <v>#N/A</v>
      </c>
      <c r="P721" s="5" t="e">
        <f ca="1">IF(OR(INDEX($AI$2:$AI$1001,MATCH(ROWS($AH$2:AH721),$AH$2:$AH$1001,0),1)&gt;=100000,INDEX($AO$1005:$BQ$1005,1,MATCH(COLUMNS($AO$1006:BC1006),$AO$1006:$BQ$1006,0))&gt;=100000), " ",IF(INDEX($AO$2:$BQ$1001,MATCH(ROWS($AH$2:AH721),$AH$2:$AH$1001,0),MATCH(COLUMNS($AO$1006:BC1006),$AO$1006:$BQ$1006,0)), HYPERLINK("#",""), HYPERLINK(CONCATENATE("#Metadata!", ADDRESS(INDEX($AJ$2:$AJ$1001,MATCH(ROWS($AH$2:AH721),$AH$2:$AH$1001,0),0), INDEX($AO$1004:$BQ$1004,1,MATCH(COLUMNS($AO$1006:BC1006),$AO$1006:$BQ$1006,0)))),"Fix")))</f>
        <v>#N/A</v>
      </c>
      <c r="Q721" s="5" t="e">
        <f ca="1">IF(OR(INDEX($AI$2:$AI$1001,MATCH(ROWS($AH$2:AH721),$AH$2:$AH$1001,0),1)&gt;=100000,INDEX($AO$1005:$BQ$1005,1,MATCH(COLUMNS($AO$1006:BD1006),$AO$1006:$BQ$1006,0))&gt;=100000), " ",IF(INDEX($AO$2:$BQ$1001,MATCH(ROWS($AH$2:AH721),$AH$2:$AH$1001,0),MATCH(COLUMNS($AO$1006:BD1006),$AO$1006:$BQ$1006,0)), HYPERLINK("#",""), HYPERLINK(CONCATENATE("#Metadata!", ADDRESS(INDEX($AJ$2:$AJ$1001,MATCH(ROWS($AH$2:AH721),$AH$2:$AH$1001,0),0), INDEX($AO$1004:$BQ$1004,1,MATCH(COLUMNS($AO$1006:BD1006),$AO$1006:$BQ$1006,0)))),"Fix")))</f>
        <v>#N/A</v>
      </c>
      <c r="R721" s="5" t="e">
        <f ca="1">IF(OR(INDEX($AI$2:$AI$1001,MATCH(ROWS($AH$2:AH721),$AH$2:$AH$1001,0),1)&gt;=100000,INDEX($AO$1005:$BQ$1005,1,MATCH(COLUMNS($AO$1006:BE1006),$AO$1006:$BQ$1006,0))&gt;=100000), " ",IF(INDEX($AO$2:$BQ$1001,MATCH(ROWS($AH$2:AH721),$AH$2:$AH$1001,0),MATCH(COLUMNS($AO$1006:BE1006),$AO$1006:$BQ$1006,0)), HYPERLINK("#",""), HYPERLINK(CONCATENATE("#Metadata!", ADDRESS(INDEX($AJ$2:$AJ$1001,MATCH(ROWS($AH$2:AH721),$AH$2:$AH$1001,0),0), INDEX($AO$1004:$BQ$1004,1,MATCH(COLUMNS($AO$1006:BE1006),$AO$1006:$BQ$1006,0)))),"Fix")))</f>
        <v>#N/A</v>
      </c>
      <c r="S721" s="5" t="e">
        <f ca="1">IF(OR(INDEX($AI$2:$AI$1001,MATCH(ROWS($AH$2:AH721),$AH$2:$AH$1001,0),1)&gt;=100000,INDEX($AO$1005:$BQ$1005,1,MATCH(COLUMNS($AO$1006:BF1006),$AO$1006:$BQ$1006,0))&gt;=100000), " ",IF(INDEX($AO$2:$BQ$1001,MATCH(ROWS($AH$2:AH721),$AH$2:$AH$1001,0),MATCH(COLUMNS($AO$1006:BF1006),$AO$1006:$BQ$1006,0)), HYPERLINK("#",""), HYPERLINK(CONCATENATE("#Metadata!", ADDRESS(INDEX($AJ$2:$AJ$1001,MATCH(ROWS($AH$2:AH721),$AH$2:$AH$1001,0),0), INDEX($AO$1004:$BQ$1004,1,MATCH(COLUMNS($AO$1006:BF1006),$AO$1006:$BQ$1006,0)))),"Fix")))</f>
        <v>#N/A</v>
      </c>
      <c r="T721" s="5" t="e">
        <f ca="1">IF(OR(INDEX($AI$2:$AI$1001,MATCH(ROWS($AH$2:AH721),$AH$2:$AH$1001,0),1)&gt;=100000,INDEX($AO$1005:$BQ$1005,1,MATCH(COLUMNS($AO$1006:BG1006),$AO$1006:$BQ$1006,0))&gt;=100000), " ",IF(INDEX($AO$2:$BQ$1001,MATCH(ROWS($AH$2:AH721),$AH$2:$AH$1001,0),MATCH(COLUMNS($AO$1006:BG1006),$AO$1006:$BQ$1006,0)), HYPERLINK("#",""), HYPERLINK(CONCATENATE("#Metadata!", ADDRESS(INDEX($AJ$2:$AJ$1001,MATCH(ROWS($AH$2:AH721),$AH$2:$AH$1001,0),0), INDEX($AO$1004:$BQ$1004,1,MATCH(COLUMNS($AO$1006:BG1006),$AO$1006:$BQ$1006,0)))),"Fix")))</f>
        <v>#N/A</v>
      </c>
      <c r="U721" s="5" t="e">
        <f ca="1">IF(OR(INDEX($AI$2:$AI$1001,MATCH(ROWS($AH$2:AH721),$AH$2:$AH$1001,0),1)&gt;=100000,INDEX($AO$1005:$BQ$1005,1,MATCH(COLUMNS($AO$1006:BH1006),$AO$1006:$BQ$1006,0))&gt;=100000), " ",IF(INDEX($AO$2:$BQ$1001,MATCH(ROWS($AH$2:AH721),$AH$2:$AH$1001,0),MATCH(COLUMNS($AO$1006:BH1006),$AO$1006:$BQ$1006,0)), HYPERLINK("#",""), HYPERLINK(CONCATENATE("#Metadata!", ADDRESS(INDEX($AJ$2:$AJ$1001,MATCH(ROWS($AH$2:AH721),$AH$2:$AH$1001,0),0), INDEX($AO$1004:$BQ$1004,1,MATCH(COLUMNS($AO$1006:BH1006),$AO$1006:$BQ$1006,0)))),"Fix")))</f>
        <v>#N/A</v>
      </c>
      <c r="V721" s="5" t="e">
        <f ca="1">IF(OR(INDEX($AI$2:$AI$1001,MATCH(ROWS($AH$2:AH721),$AH$2:$AH$1001,0),1)&gt;=100000,INDEX($AO$1005:$BQ$1005,1,MATCH(COLUMNS($AO$1006:BI1006),$AO$1006:$BQ$1006,0))&gt;=100000), " ",IF(INDEX($AO$2:$BQ$1001,MATCH(ROWS($AH$2:AH721),$AH$2:$AH$1001,0),MATCH(COLUMNS($AO$1006:BI1006),$AO$1006:$BQ$1006,0)), HYPERLINK("#",""), HYPERLINK(CONCATENATE("#Metadata!", ADDRESS(INDEX($AJ$2:$AJ$1001,MATCH(ROWS($AH$2:AH721),$AH$2:$AH$1001,0),0), INDEX($AO$1004:$BQ$1004,1,MATCH(COLUMNS($AO$1006:BI1006),$AO$1006:$BQ$1006,0)))),"Fix")))</f>
        <v>#N/A</v>
      </c>
      <c r="W721" s="5" t="e">
        <f ca="1">IF(OR(INDEX($AI$2:$AI$1001,MATCH(ROWS($AH$2:AH721),$AH$2:$AH$1001,0),1)&gt;=100000,INDEX($AO$1005:$BQ$1005,1,MATCH(COLUMNS($AO$1006:BJ1006),$AO$1006:$BQ$1006,0))&gt;=100000), " ",IF(INDEX($AO$2:$BQ$1001,MATCH(ROWS($AH$2:AH721),$AH$2:$AH$1001,0),MATCH(COLUMNS($AO$1006:BJ1006),$AO$1006:$BQ$1006,0)), HYPERLINK("#",""), HYPERLINK(CONCATENATE("#Metadata!", ADDRESS(INDEX($AJ$2:$AJ$1001,MATCH(ROWS($AH$2:AH721),$AH$2:$AH$1001,0),0), INDEX($AO$1004:$BQ$1004,1,MATCH(COLUMNS($AO$1006:BJ1006),$AO$1006:$BQ$1006,0)))),"Fix")))</f>
        <v>#N/A</v>
      </c>
      <c r="X721" s="5" t="e">
        <f ca="1">IF(OR(INDEX($AI$2:$AI$1001,MATCH(ROWS($AH$2:AH721),$AH$2:$AH$1001,0),1)&gt;=100000,INDEX($AO$1005:$BQ$1005,1,MATCH(COLUMNS($AO$1006:BK1006),$AO$1006:$BQ$1006,0))&gt;=100000), " ",IF(INDEX($AO$2:$BQ$1001,MATCH(ROWS($AH$2:AH721),$AH$2:$AH$1001,0),MATCH(COLUMNS($AO$1006:BK1006),$AO$1006:$BQ$1006,0)), HYPERLINK("#",""), HYPERLINK(CONCATENATE("#Metadata!", ADDRESS(INDEX($AJ$2:$AJ$1001,MATCH(ROWS($AH$2:AH721),$AH$2:$AH$1001,0),0), INDEX($AO$1004:$BQ$1004,1,MATCH(COLUMNS($AO$1006:BK1006),$AO$1006:$BQ$1006,0)))),"Fix")))</f>
        <v>#N/A</v>
      </c>
      <c r="Y721" s="5" t="e">
        <f ca="1">IF(OR(INDEX($AI$2:$AI$1001,MATCH(ROWS($AH$2:AH721),$AH$2:$AH$1001,0),1)&gt;=100000,INDEX($AO$1005:$BQ$1005,1,MATCH(COLUMNS($AO$1006:BL1006),$AO$1006:$BQ$1006,0))&gt;=100000), " ",IF(INDEX($AO$2:$BQ$1001,MATCH(ROWS($AH$2:AH721),$AH$2:$AH$1001,0),MATCH(COLUMNS($AO$1006:BL1006),$AO$1006:$BQ$1006,0)), HYPERLINK("#",""), HYPERLINK(CONCATENATE("#Metadata!", ADDRESS(INDEX($AJ$2:$AJ$1001,MATCH(ROWS($AH$2:AH721),$AH$2:$AH$1001,0),0), INDEX($AO$1004:$BQ$1004,1,MATCH(COLUMNS($AO$1006:BL1006),$AO$1006:$BQ$1006,0)))),"Fix")))</f>
        <v>#N/A</v>
      </c>
      <c r="Z721" s="5" t="e">
        <f ca="1">IF(OR(INDEX($AI$2:$AI$1001,MATCH(ROWS($AH$2:AH721),$AH$2:$AH$1001,0),1)&gt;=100000,INDEX($AO$1005:$BQ$1005,1,MATCH(COLUMNS($AO$1006:BM1006),$AO$1006:$BQ$1006,0))&gt;=100000), " ",IF(INDEX($AO$2:$BQ$1001,MATCH(ROWS($AH$2:AH721),$AH$2:$AH$1001,0),MATCH(COLUMNS($AO$1006:BM1006),$AO$1006:$BQ$1006,0)), HYPERLINK("#",""), HYPERLINK(CONCATENATE("#Metadata!", ADDRESS(INDEX($AJ$2:$AJ$1001,MATCH(ROWS($AH$2:AH721),$AH$2:$AH$1001,0),0), INDEX($AO$1004:$BQ$1004,1,MATCH(COLUMNS($AO$1006:BM1006),$AO$1006:$BQ$1006,0)))),"Fix")))</f>
        <v>#N/A</v>
      </c>
      <c r="AA721" s="5" t="e">
        <f ca="1">IF(OR(INDEX($AI$2:$AI$1001,MATCH(ROWS($AH$2:AH721),$AH$2:$AH$1001,0),1)&gt;=100000,INDEX($AO$1005:$BQ$1005,1,MATCH(COLUMNS($AO$1006:BN1006),$AO$1006:$BQ$1006,0))&gt;=100000), " ",IF(INDEX($AO$2:$BQ$1001,MATCH(ROWS($AH$2:AH721),$AH$2:$AH$1001,0),MATCH(COLUMNS($AO$1006:BN1006),$AO$1006:$BQ$1006,0)), HYPERLINK("#",""), HYPERLINK(CONCATENATE("#Metadata!", ADDRESS(INDEX($AJ$2:$AJ$1001,MATCH(ROWS($AH$2:AH721),$AH$2:$AH$1001,0),0), INDEX($AO$1004:$BQ$1004,1,MATCH(COLUMNS($AO$1006:BN1006),$AO$1006:$BQ$1006,0)))),"Fix")))</f>
        <v>#N/A</v>
      </c>
      <c r="AB721" s="5" t="e">
        <f ca="1">IF(OR(INDEX($AI$2:$AI$1001,MATCH(ROWS($AH$2:AH721),$AH$2:$AH$1001,0),1)&gt;=100000,INDEX($AO$1005:$BQ$1005,1,MATCH(COLUMNS($AO$1006:BO1006),$AO$1006:$BQ$1006,0))&gt;=100000), " ",IF(INDEX($AO$2:$BQ$1001,MATCH(ROWS($AH$2:AH721),$AH$2:$AH$1001,0),MATCH(COLUMNS($AO$1006:BO1006),$AO$1006:$BQ$1006,0)), HYPERLINK("#",""), HYPERLINK(CONCATENATE("#Metadata!", ADDRESS(INDEX($AJ$2:$AJ$1001,MATCH(ROWS($AH$2:AH721),$AH$2:$AH$1001,0),0), INDEX($AO$1004:$BQ$1004,1,MATCH(COLUMNS($AO$1006:BO1006),$AO$1006:$BQ$1006,0)))),"Fix")))</f>
        <v>#N/A</v>
      </c>
      <c r="AC721" s="5" t="e">
        <f ca="1">IF(OR(INDEX($AI$2:$AI$1001,MATCH(ROWS($AH$2:AH721),$AH$2:$AH$1001,0),1)&gt;=100000,INDEX($AO$1005:$BQ$1005,1,MATCH(COLUMNS($AO$1006:BP1006),$AO$1006:$BQ$1006,0))&gt;=100000), " ",IF(INDEX($AO$2:$BQ$1001,MATCH(ROWS($AH$2:AH721),$AH$2:$AH$1001,0),MATCH(COLUMNS($AO$1006:BP1006),$AO$1006:$BQ$1006,0)), HYPERLINK("#",""), HYPERLINK(CONCATENATE("#Metadata!", ADDRESS(INDEX($AJ$2:$AJ$1001,MATCH(ROWS($AH$2:AH721),$AH$2:$AH$1001,0),0), INDEX($AO$1004:$BQ$1004,1,MATCH(COLUMNS($AO$1006:BP1006),$AO$1006:$BQ$1006,0)))),"Fix")))</f>
        <v>#N/A</v>
      </c>
      <c r="AD721" s="5" t="e">
        <f ca="1">IF(OR(INDEX($AI$2:$AI$1001,MATCH(ROWS($AH$2:AH721),$AH$2:$AH$1001,0),1)&gt;=100000,INDEX($AO$1005:$BQ$1005,1,MATCH(COLUMNS($AO$1006:BQ1006),$AO$1006:$BQ$1006,0))&gt;=100000), " ",IF(INDEX($AO$2:$BQ$1001,MATCH(ROWS($AH$2:AH721),$AH$2:$AH$1001,0),MATCH(COLUMNS($AO$1006:BQ1006),$AO$1006:$BQ$1006,0)), HYPERLINK("#",""), HYPERLINK(CONCATENATE("#Metadata!", ADDRESS(INDEX($AJ$2:$AJ$1001,MATCH(ROWS($AH$2:AH721),$AH$2:$AH$1001,0),0), INDEX($AO$1004:$BQ$1004,1,MATCH(COLUMNS($AO$1006:BQ1006),$AO$1006:$BQ$1006,0)))),"Fix")))</f>
        <v>#REF!</v>
      </c>
      <c r="AH721">
        <f ca="1"/>
        <v>718</v>
      </c>
      <c r="AI721">
        <v>100721</v>
      </c>
      <c r="AJ721">
        <v>721</v>
      </c>
      <c r="AK721" t="b">
        <f t="shared" si="11"/>
        <v>1</v>
      </c>
      <c r="AL721" t="b">
        <f>COUNTBLANK(Metadata!B721:AD721)=COLUMNS(Metadata!B721:AD721)</f>
        <v>1</v>
      </c>
      <c r="AM721" t="str">
        <v/>
      </c>
      <c r="AO721" t="b">
        <f ca="1">AND(IF(Metadata!B721="",FALSE,TRUE),COUNTIF(Metadata!B:B, Metadata!B721) = 1,NOT(ISERROR(SUMPRODUCT(SEARCH(MID(Metadata!B721,ROW(INDIRECT("1:"&amp;LEN(Metadata!B721))), 1),"0123456789abcdefghijklmnopqrstuvwxyzABCDEFGHIJKLMNOPQRSTUVWXYZ.")))))</f>
        <v>0</v>
      </c>
      <c r="AP721" t="b">
        <f>IF(Metadata!C721="",FALSE,TRUE)</f>
        <v>0</v>
      </c>
      <c r="AQ721" t="b">
        <f>IF(Metadata!D721="",FALSE,TRUE)</f>
        <v>0</v>
      </c>
      <c r="AR721" t="b">
        <f ca="1">OR(AND(IF(Metadata!E721="",FALSE,TRUE),OR(EXACT(Metadata!E721,"not collected"),EXACT(Metadata!E721,"not provided"),EXACT(Metadata!E721,"restricted access"))),AND(IF(Metadata!E721="",FALSE,TRUE),AND(AND(IFERROR(INT(LEFT(Metadata!E721,4))&gt;1900,FALSE),IFERROR(INT(LEFT(Metadata!E721,4))&lt;=YEAR(NOW()),FALSE)), OR(MID(Metadata!E721,5,1)="", AND(AND(MID(Metadata!E721,5,1)="-",IFERROR(INT(MID(Metadata!E721,6,1))&gt;=0,FALSE),IFERROR(INT(MID(Metadata!E721,6,1))&lt;=1,FALSE),NOT(MID(Metadata!E721,7,1)=""),IFERROR(INT(MID(Metadata!E721,6,2))&gt;=1,FALSE),IFERROR(INT(MID(Metadata!E721,6,2))&lt;=12,FALSE)), OR(MID(Metadata!E721,8,1)="", AND(AND(MID(Metadata!E721,8,1)="-",IFERROR(INT(MID(Metadata!E721,9,1))&gt;=0,FALSE),IFERROR(INT(MID(Metadata!E721,9,1))&lt;=3,FALSE),NOT(MID(Metadata!E721,10,1)=""),IFERROR(INT(MID(Metadata!E721,9,2))&gt;=1,FALSE),IFERROR(INT(MID(Metadata!E721,9,2))&lt;=31,FALSE)), OR(MID(Metadata!E721,11,1)="", AND(AND(MID(Metadata!E721,11,1)=" ",IFERROR(INT(MID(Metadata!E721,12,1))&gt;=0,FALSE),IFERROR(INT(MID(Metadata!E721,12,1))&lt;=2,FALSE),NOT(MID(Metadata!E721,13,1)=""),IFERROR(INT(MID(Metadata!E721,12,2))&gt;=0,FALSE),IFERROR(INT(MID(Metadata!E721,12,2))&lt;=23,FALSE)), OR(MID(Metadata!E721,14,1)="", AND(AND(MID(Metadata!E721,14,1)=":",IFERROR(INT(MID(Metadata!E721,15,1))&gt;=0,FALSE),IFERROR(INT(MID(Metadata!E721,15,1))&lt;=5,FALSE),NOT(MID(Metadata!E721,16,1)=""),IFERROR(INT(MID(Metadata!E721,15,2))&gt;=0,FALSE),IFERROR(INT(MID(Metadata!E721,15,2))&lt;=59,FALSE)), OR(MID(Metadata!E721,17,1)="", AND(AND(MID(Metadata!E721,17,1)=":",IFERROR(INT(MID(Metadata!E721,18,1))&gt;=0,FALSE),IFERROR(INT(MID(Metadata!E721,18,1))&lt;=5,FALSE),NOT(MID(Metadata!E721,19,1)=""),IFERROR(INT(MID(Metadata!E721,18,2))&gt;=0,FALSE),IFERROR(INT(MID(Metadata!E721,18,2))&lt;=59,FALSE)), LEN(Metadata!E721)&lt;=19)))))))))))))</f>
        <v>0</v>
      </c>
      <c r="AS721" t="b">
        <f>IF(Metadata!F721="",FALSE,TRUE)</f>
        <v>0</v>
      </c>
      <c r="AT721" t="b">
        <f>OR(AND(IF(Metadata!G721="",FALSE,TRUE),OR(EXACT(Metadata!G721,"not collected"),EXACT(Metadata!G721,"not provided"))),AND(IF(Metadata!G721="",FALSE,TRUE),OR(EXACT(Metadata!G721,"TRUE"),EXACT(Metadata!G721,"FALSE"))))</f>
        <v>0</v>
      </c>
      <c r="AU721" t="b">
        <f>OR(AND(IF(Metadata!H721="",FALSE,TRUE),OR(EXACT(Metadata!H721,"not collected"),EXACT(Metadata!H721,"not provided"),EXACT(Metadata!H721,"restricted access"))),AND(IF(Metadata!H721="",FALSE,ISNUMBER(VALUE(Metadata!H721))),Metadata!H721&gt;=-413))</f>
        <v>0</v>
      </c>
      <c r="AV721" t="b">
        <f>AND(IF(Metadata!I721="",FALSE,TRUE),EXACT(Metadata!I721,"meters"))</f>
        <v>0</v>
      </c>
      <c r="AW721" t="b">
        <f>AND(IF(Metadata!J721="",FALSE,TRUE),EXACT(Metadata!J721,"free-living"))</f>
        <v>0</v>
      </c>
      <c r="AX721" t="b">
        <f>AND(IF(Metadata!K721="",FALSE,TRUE),OR(EXACT(Metadata!K721,"saline"),EXACT(Metadata!K721,"non-saline")))</f>
        <v>0</v>
      </c>
      <c r="AY721" t="b">
        <f>AND(IF(Metadata!L721="",FALSE,TRUE),OR(EXACT(Metadata!L721,"sub-surface (non-saline)"),EXACT(Metadata!L721,"surface (non-saline)"),EXACT(Metadata!L721,"water (non-saline)"),EXACT(Metadata!L721,"soil (non-saline)"),EXACT(Metadata!L721,"aerosol (non-saline)"),EXACT(Metadata!L721,"sediment (non-saline)"),EXACT(Metadata!L721,"surface (saline)"),EXACT(Metadata!L721,"water (saline)"),EXACT(Metadata!L721,"hypersaline (saline)"),EXACT(Metadata!L721,"aerosol (saline)"),EXACT(Metadata!L721,"sediment (saline)")))</f>
        <v>0</v>
      </c>
      <c r="AZ721" t="b">
        <f>IF(Metadata!M721="",FALSE,TRUE)</f>
        <v>0</v>
      </c>
      <c r="BA721" t="b">
        <f>IF(Metadata!N721="",FALSE,TRUE)</f>
        <v>0</v>
      </c>
      <c r="BB721" t="b">
        <f>IF(Metadata!O721="",FALSE,TRUE)</f>
        <v>0</v>
      </c>
      <c r="BC721" t="b">
        <f>AND(IF(Metadata!P721="",FALSE,TRUE),OR(EXACT(Metadata!P721,"air"),EXACT(Metadata!P721,"microbial mat/biofilm"),EXACT(Metadata!P721,"misc environment"),EXACT(Metadata!P721,"sediment"),EXACT(Metadata!P721,"soil"),EXACT(Metadata!P721,"wastewater/sludge"),EXACT(Metadata!P721,"water")))</f>
        <v>0</v>
      </c>
      <c r="BD721" t="b">
        <f>IF(Metadata!Q721="",FALSE,TRUE)</f>
        <v>0</v>
      </c>
      <c r="BE721" t="b">
        <f>IF(Metadata!R721="",FALSE,TRUE)</f>
        <v>0</v>
      </c>
      <c r="BF721" t="b">
        <f>OR(AND(IF(Metadata!S721="",FALSE,TRUE),OR(EXACT(Metadata!S721,"not collected"),EXACT(Metadata!S721,"not provided"),EXACT(Metadata!S721,"restricted access"))),AND(IF(Metadata!S721="",FALSE,ISNUMBER(VALUE(Metadata!S721))),Metadata!S721&gt;=-90,Metadata!S721&lt;=90))</f>
        <v>0</v>
      </c>
      <c r="BG721" t="b">
        <f>AND(IF(Metadata!T721="",FALSE,TRUE),EXACT(Metadata!T721,"Decimal degrees"))</f>
        <v>0</v>
      </c>
      <c r="BH721" t="b">
        <f>OR(AND(IF(Metadata!U721="",FALSE,TRUE),OR(EXACT(Metadata!U721,"not applicable"),EXACT(Metadata!U721,"not collected"))),IF(Metadata!U721="",FALSE,TRUE))</f>
        <v>0</v>
      </c>
      <c r="BI721" t="b">
        <f>OR(AND(IF(Metadata!V721="",FALSE,TRUE),OR(EXACT(Metadata!V721,"not collected"),EXACT(Metadata!V721,"not provided"),EXACT(Metadata!V721,"restricted access"))),AND(IF(Metadata!V721="",FALSE,ISNUMBER(VALUE(Metadata!V721))),Metadata!V721&gt;=-180,Metadata!V721&lt;=180))</f>
        <v>0</v>
      </c>
      <c r="BJ721" t="b">
        <f>AND(IF(Metadata!W721="",FALSE,TRUE),EXACT(Metadata!W721,"Decimal degrees"))</f>
        <v>0</v>
      </c>
      <c r="BK721" t="b">
        <f>IF(Metadata!X721="",FALSE,TRUE)</f>
        <v>0</v>
      </c>
      <c r="BL721" t="b">
        <f>OR(AND(IF(Metadata!Y721="",FALSE,TRUE),OR(EXACT(Metadata!Y721,"not collected"),EXACT(Metadata!Y721,"not provided"),EXACT(Metadata!Y721,"restricted access"))),AND(IF(Metadata!Y721="",FALSE,TRUE),OR(EXACT(Metadata!Y721,"TRUE"),EXACT(Metadata!Y721,"FALSE"))))</f>
        <v>0</v>
      </c>
      <c r="BM721" t="b">
        <f>OR(AND(IF(Metadata!Z721="",FALSE,TRUE),EXACT(Metadata!Z721,"not applicable")),AND(IF(Metadata!Z721="",FALSE,TRUE),OR(EXACT(Metadata!Z721,"beer"),EXACT(Metadata!Z721,"cheese"),EXACT(Metadata!Z721,"fresh water"),EXACT(Metadata!Z721,"marine sediment"),EXACT(Metadata!Z721,"sea water"),EXACT(Metadata!Z721,"sediment"),EXACT(Metadata!Z721,"soil"),EXACT(Metadata!Z721,"waste water"))))</f>
        <v>0</v>
      </c>
      <c r="BN721" t="b">
        <f>AND(IF(Metadata!AA721="",FALSE,TRUE),EXACT(Metadata!AA721,"metagenome"))</f>
        <v>0</v>
      </c>
      <c r="BO721" t="b">
        <f>AND(IF(Metadata!AB721="",FALSE,TRUE),EXACT(Metadata!AB721,"256318"))</f>
        <v>0</v>
      </c>
      <c r="BP721" t="b">
        <f>IF(Metadata!AC721="",FALSE,TRUE)</f>
        <v>0</v>
      </c>
      <c r="BQ721" t="b">
        <f>IF(Metadata!AD721="",FALSE,TRUE)</f>
        <v>0</v>
      </c>
    </row>
    <row r="722" spans="1:69" x14ac:dyDescent="0.2">
      <c r="A722" s="4" t="e">
        <f ca="1">IF(B722=" "," ",HYPERLINK(CONCATENATE("#metadata!",ADDRESS(INDEX($AJ$2:$AJ$1001,MATCH(ROWS($AH$2:AH722),$AH$2:$AH$1001,0),0),2)),INDEX($AM$2:$AM$1001,MATCH(ROWS($AH$2:AH722),$AH$2:$AH$1001,0),0)))</f>
        <v>#N/A</v>
      </c>
      <c r="B722" s="5" t="e">
        <f ca="1">IF(OR(INDEX($AI$2:$AI$1001,MATCH(ROWS($AH$2:AH722),$AH$2:$AH$1001,0),1)&gt;=100000,INDEX($AO$1005:$BQ$1005,1,MATCH(COLUMNS($AO$1006:AO1006),$AO$1006:$BQ$1006,0))&gt;=100000), " ",IF(INDEX($AO$2:$BQ$1001,MATCH(ROWS($AH$2:AH722),$AH$2:$AH$1001,0),MATCH(COLUMNS($AO$1006:AO1006),$AO$1006:$BQ$1006,0)), HYPERLINK("#",""), HYPERLINK(CONCATENATE("#Metadata!", ADDRESS(INDEX($AJ$2:$AJ$1001,MATCH(ROWS($AH$2:AH722),$AH$2:$AH$1001,0),0), INDEX($AO$1004:$BQ$1004,1,MATCH(COLUMNS($AO$1006:AO1006),$AO$1006:$BQ$1006,0)))),"Fix")))</f>
        <v>#N/A</v>
      </c>
      <c r="C722" s="5" t="e">
        <f ca="1">IF(OR(INDEX($AI$2:$AI$1001,MATCH(ROWS($AH$2:AH722),$AH$2:$AH$1001,0),1)&gt;=100000,INDEX($AO$1005:$BQ$1005,1,MATCH(COLUMNS($AO$1006:AP1006),$AO$1006:$BQ$1006,0))&gt;=100000), " ",IF(INDEX($AO$2:$BQ$1001,MATCH(ROWS($AH$2:AH722),$AH$2:$AH$1001,0),MATCH(COLUMNS($AO$1006:AP1006),$AO$1006:$BQ$1006,0)), HYPERLINK("#",""), HYPERLINK(CONCATENATE("#Metadata!", ADDRESS(INDEX($AJ$2:$AJ$1001,MATCH(ROWS($AH$2:AH722),$AH$2:$AH$1001,0),0), INDEX($AO$1004:$BQ$1004,1,MATCH(COLUMNS($AO$1006:AP1006),$AO$1006:$BQ$1006,0)))),"Fix")))</f>
        <v>#N/A</v>
      </c>
      <c r="D722" s="5" t="e">
        <f ca="1">IF(OR(INDEX($AI$2:$AI$1001,MATCH(ROWS($AH$2:AH722),$AH$2:$AH$1001,0),1)&gt;=100000,INDEX($AO$1005:$BQ$1005,1,MATCH(COLUMNS($AO$1006:AQ1006),$AO$1006:$BQ$1006,0))&gt;=100000), " ",IF(INDEX($AO$2:$BQ$1001,MATCH(ROWS($AH$2:AH722),$AH$2:$AH$1001,0),MATCH(COLUMNS($AO$1006:AQ1006),$AO$1006:$BQ$1006,0)), HYPERLINK("#",""), HYPERLINK(CONCATENATE("#Metadata!", ADDRESS(INDEX($AJ$2:$AJ$1001,MATCH(ROWS($AH$2:AH722),$AH$2:$AH$1001,0),0), INDEX($AO$1004:$BQ$1004,1,MATCH(COLUMNS($AO$1006:AQ1006),$AO$1006:$BQ$1006,0)))),"Fix")))</f>
        <v>#N/A</v>
      </c>
      <c r="E722" s="5" t="e">
        <f ca="1">IF(OR(INDEX($AI$2:$AI$1001,MATCH(ROWS($AH$2:AH722),$AH$2:$AH$1001,0),1)&gt;=100000,INDEX($AO$1005:$BQ$1005,1,MATCH(COLUMNS($AO$1006:AR1006),$AO$1006:$BQ$1006,0))&gt;=100000), " ",IF(INDEX($AO$2:$BQ$1001,MATCH(ROWS($AH$2:AH722),$AH$2:$AH$1001,0),MATCH(COLUMNS($AO$1006:AR1006),$AO$1006:$BQ$1006,0)), HYPERLINK("#",""), HYPERLINK(CONCATENATE("#Metadata!", ADDRESS(INDEX($AJ$2:$AJ$1001,MATCH(ROWS($AH$2:AH722),$AH$2:$AH$1001,0),0), INDEX($AO$1004:$BQ$1004,1,MATCH(COLUMNS($AO$1006:AR1006),$AO$1006:$BQ$1006,0)))),"Fix")))</f>
        <v>#N/A</v>
      </c>
      <c r="F722" s="5" t="e">
        <f ca="1">IF(OR(INDEX($AI$2:$AI$1001,MATCH(ROWS($AH$2:AH722),$AH$2:$AH$1001,0),1)&gt;=100000,INDEX($AO$1005:$BQ$1005,1,MATCH(COLUMNS($AO$1006:AS1006),$AO$1006:$BQ$1006,0))&gt;=100000), " ",IF(INDEX($AO$2:$BQ$1001,MATCH(ROWS($AH$2:AH722),$AH$2:$AH$1001,0),MATCH(COLUMNS($AO$1006:AS1006),$AO$1006:$BQ$1006,0)), HYPERLINK("#",""), HYPERLINK(CONCATENATE("#Metadata!", ADDRESS(INDEX($AJ$2:$AJ$1001,MATCH(ROWS($AH$2:AH722),$AH$2:$AH$1001,0),0), INDEX($AO$1004:$BQ$1004,1,MATCH(COLUMNS($AO$1006:AS1006),$AO$1006:$BQ$1006,0)))),"Fix")))</f>
        <v>#N/A</v>
      </c>
      <c r="G722" s="5" t="e">
        <f ca="1">IF(OR(INDEX($AI$2:$AI$1001,MATCH(ROWS($AH$2:AH722),$AH$2:$AH$1001,0),1)&gt;=100000,INDEX($AO$1005:$BQ$1005,1,MATCH(COLUMNS($AO$1006:AT1006),$AO$1006:$BQ$1006,0))&gt;=100000), " ",IF(INDEX($AO$2:$BQ$1001,MATCH(ROWS($AH$2:AH722),$AH$2:$AH$1001,0),MATCH(COLUMNS($AO$1006:AT1006),$AO$1006:$BQ$1006,0)), HYPERLINK("#",""), HYPERLINK(CONCATENATE("#Metadata!", ADDRESS(INDEX($AJ$2:$AJ$1001,MATCH(ROWS($AH$2:AH722),$AH$2:$AH$1001,0),0), INDEX($AO$1004:$BQ$1004,1,MATCH(COLUMNS($AO$1006:AT1006),$AO$1006:$BQ$1006,0)))),"Fix")))</f>
        <v>#N/A</v>
      </c>
      <c r="H722" s="5" t="e">
        <f ca="1">IF(OR(INDEX($AI$2:$AI$1001,MATCH(ROWS($AH$2:AH722),$AH$2:$AH$1001,0),1)&gt;=100000,INDEX($AO$1005:$BQ$1005,1,MATCH(COLUMNS($AO$1006:AU1006),$AO$1006:$BQ$1006,0))&gt;=100000), " ",IF(INDEX($AO$2:$BQ$1001,MATCH(ROWS($AH$2:AH722),$AH$2:$AH$1001,0),MATCH(COLUMNS($AO$1006:AU1006),$AO$1006:$BQ$1006,0)), HYPERLINK("#",""), HYPERLINK(CONCATENATE("#Metadata!", ADDRESS(INDEX($AJ$2:$AJ$1001,MATCH(ROWS($AH$2:AH722),$AH$2:$AH$1001,0),0), INDEX($AO$1004:$BQ$1004,1,MATCH(COLUMNS($AO$1006:AU1006),$AO$1006:$BQ$1006,0)))),"Fix")))</f>
        <v>#N/A</v>
      </c>
      <c r="I722" s="5" t="e">
        <f ca="1">IF(OR(INDEX($AI$2:$AI$1001,MATCH(ROWS($AH$2:AH722),$AH$2:$AH$1001,0),1)&gt;=100000,INDEX($AO$1005:$BQ$1005,1,MATCH(COLUMNS($AO$1006:AV1006),$AO$1006:$BQ$1006,0))&gt;=100000), " ",IF(INDEX($AO$2:$BQ$1001,MATCH(ROWS($AH$2:AH722),$AH$2:$AH$1001,0),MATCH(COLUMNS($AO$1006:AV1006),$AO$1006:$BQ$1006,0)), HYPERLINK("#",""), HYPERLINK(CONCATENATE("#Metadata!", ADDRESS(INDEX($AJ$2:$AJ$1001,MATCH(ROWS($AH$2:AH722),$AH$2:$AH$1001,0),0), INDEX($AO$1004:$BQ$1004,1,MATCH(COLUMNS($AO$1006:AV1006),$AO$1006:$BQ$1006,0)))),"Fix")))</f>
        <v>#N/A</v>
      </c>
      <c r="J722" s="5" t="e">
        <f ca="1">IF(OR(INDEX($AI$2:$AI$1001,MATCH(ROWS($AH$2:AH722),$AH$2:$AH$1001,0),1)&gt;=100000,INDEX($AO$1005:$BQ$1005,1,MATCH(COLUMNS($AO$1006:AW1006),$AO$1006:$BQ$1006,0))&gt;=100000), " ",IF(INDEX($AO$2:$BQ$1001,MATCH(ROWS($AH$2:AH722),$AH$2:$AH$1001,0),MATCH(COLUMNS($AO$1006:AW1006),$AO$1006:$BQ$1006,0)), HYPERLINK("#",""), HYPERLINK(CONCATENATE("#Metadata!", ADDRESS(INDEX($AJ$2:$AJ$1001,MATCH(ROWS($AH$2:AH722),$AH$2:$AH$1001,0),0), INDEX($AO$1004:$BQ$1004,1,MATCH(COLUMNS($AO$1006:AW1006),$AO$1006:$BQ$1006,0)))),"Fix")))</f>
        <v>#N/A</v>
      </c>
      <c r="K722" s="5" t="e">
        <f ca="1">IF(OR(INDEX($AI$2:$AI$1001,MATCH(ROWS($AH$2:AH722),$AH$2:$AH$1001,0),1)&gt;=100000,INDEX($AO$1005:$BQ$1005,1,MATCH(COLUMNS($AO$1006:AX1006),$AO$1006:$BQ$1006,0))&gt;=100000), " ",IF(INDEX($AO$2:$BQ$1001,MATCH(ROWS($AH$2:AH722),$AH$2:$AH$1001,0),MATCH(COLUMNS($AO$1006:AX1006),$AO$1006:$BQ$1006,0)), HYPERLINK("#",""), HYPERLINK(CONCATENATE("#Metadata!", ADDRESS(INDEX($AJ$2:$AJ$1001,MATCH(ROWS($AH$2:AH722),$AH$2:$AH$1001,0),0), INDEX($AO$1004:$BQ$1004,1,MATCH(COLUMNS($AO$1006:AX1006),$AO$1006:$BQ$1006,0)))),"Fix")))</f>
        <v>#N/A</v>
      </c>
      <c r="L722" s="5" t="e">
        <f ca="1">IF(OR(INDEX($AI$2:$AI$1001,MATCH(ROWS($AH$2:AH722),$AH$2:$AH$1001,0),1)&gt;=100000,INDEX($AO$1005:$BQ$1005,1,MATCH(COLUMNS($AO$1006:AY1006),$AO$1006:$BQ$1006,0))&gt;=100000), " ",IF(INDEX($AO$2:$BQ$1001,MATCH(ROWS($AH$2:AH722),$AH$2:$AH$1001,0),MATCH(COLUMNS($AO$1006:AY1006),$AO$1006:$BQ$1006,0)), HYPERLINK("#",""), HYPERLINK(CONCATENATE("#Metadata!", ADDRESS(INDEX($AJ$2:$AJ$1001,MATCH(ROWS($AH$2:AH722),$AH$2:$AH$1001,0),0), INDEX($AO$1004:$BQ$1004,1,MATCH(COLUMNS($AO$1006:AY1006),$AO$1006:$BQ$1006,0)))),"Fix")))</f>
        <v>#N/A</v>
      </c>
      <c r="M722" s="5" t="e">
        <f ca="1">IF(OR(INDEX($AI$2:$AI$1001,MATCH(ROWS($AH$2:AH722),$AH$2:$AH$1001,0),1)&gt;=100000,INDEX($AO$1005:$BQ$1005,1,MATCH(COLUMNS($AO$1006:AZ1006),$AO$1006:$BQ$1006,0))&gt;=100000), " ",IF(INDEX($AO$2:$BQ$1001,MATCH(ROWS($AH$2:AH722),$AH$2:$AH$1001,0),MATCH(COLUMNS($AO$1006:AZ1006),$AO$1006:$BQ$1006,0)), HYPERLINK("#",""), HYPERLINK(CONCATENATE("#Metadata!", ADDRESS(INDEX($AJ$2:$AJ$1001,MATCH(ROWS($AH$2:AH722),$AH$2:$AH$1001,0),0), INDEX($AO$1004:$BQ$1004,1,MATCH(COLUMNS($AO$1006:AZ1006),$AO$1006:$BQ$1006,0)))),"Fix")))</f>
        <v>#N/A</v>
      </c>
      <c r="N722" s="5" t="e">
        <f ca="1">IF(OR(INDEX($AI$2:$AI$1001,MATCH(ROWS($AH$2:AH722),$AH$2:$AH$1001,0),1)&gt;=100000,INDEX($AO$1005:$BQ$1005,1,MATCH(COLUMNS($AO$1006:BA1006),$AO$1006:$BQ$1006,0))&gt;=100000), " ",IF(INDEX($AO$2:$BQ$1001,MATCH(ROWS($AH$2:AH722),$AH$2:$AH$1001,0),MATCH(COLUMNS($AO$1006:BA1006),$AO$1006:$BQ$1006,0)), HYPERLINK("#",""), HYPERLINK(CONCATENATE("#Metadata!", ADDRESS(INDEX($AJ$2:$AJ$1001,MATCH(ROWS($AH$2:AH722),$AH$2:$AH$1001,0),0), INDEX($AO$1004:$BQ$1004,1,MATCH(COLUMNS($AO$1006:BA1006),$AO$1006:$BQ$1006,0)))),"Fix")))</f>
        <v>#N/A</v>
      </c>
      <c r="O722" s="5" t="e">
        <f ca="1">IF(OR(INDEX($AI$2:$AI$1001,MATCH(ROWS($AH$2:AH722),$AH$2:$AH$1001,0),1)&gt;=100000,INDEX($AO$1005:$BQ$1005,1,MATCH(COLUMNS($AO$1006:BB1006),$AO$1006:$BQ$1006,0))&gt;=100000), " ",IF(INDEX($AO$2:$BQ$1001,MATCH(ROWS($AH$2:AH722),$AH$2:$AH$1001,0),MATCH(COLUMNS($AO$1006:BB1006),$AO$1006:$BQ$1006,0)), HYPERLINK("#",""), HYPERLINK(CONCATENATE("#Metadata!", ADDRESS(INDEX($AJ$2:$AJ$1001,MATCH(ROWS($AH$2:AH722),$AH$2:$AH$1001,0),0), INDEX($AO$1004:$BQ$1004,1,MATCH(COLUMNS($AO$1006:BB1006),$AO$1006:$BQ$1006,0)))),"Fix")))</f>
        <v>#N/A</v>
      </c>
      <c r="P722" s="5" t="e">
        <f ca="1">IF(OR(INDEX($AI$2:$AI$1001,MATCH(ROWS($AH$2:AH722),$AH$2:$AH$1001,0),1)&gt;=100000,INDEX($AO$1005:$BQ$1005,1,MATCH(COLUMNS($AO$1006:BC1006),$AO$1006:$BQ$1006,0))&gt;=100000), " ",IF(INDEX($AO$2:$BQ$1001,MATCH(ROWS($AH$2:AH722),$AH$2:$AH$1001,0),MATCH(COLUMNS($AO$1006:BC1006),$AO$1006:$BQ$1006,0)), HYPERLINK("#",""), HYPERLINK(CONCATENATE("#Metadata!", ADDRESS(INDEX($AJ$2:$AJ$1001,MATCH(ROWS($AH$2:AH722),$AH$2:$AH$1001,0),0), INDEX($AO$1004:$BQ$1004,1,MATCH(COLUMNS($AO$1006:BC1006),$AO$1006:$BQ$1006,0)))),"Fix")))</f>
        <v>#N/A</v>
      </c>
      <c r="Q722" s="5" t="e">
        <f ca="1">IF(OR(INDEX($AI$2:$AI$1001,MATCH(ROWS($AH$2:AH722),$AH$2:$AH$1001,0),1)&gt;=100000,INDEX($AO$1005:$BQ$1005,1,MATCH(COLUMNS($AO$1006:BD1006),$AO$1006:$BQ$1006,0))&gt;=100000), " ",IF(INDEX($AO$2:$BQ$1001,MATCH(ROWS($AH$2:AH722),$AH$2:$AH$1001,0),MATCH(COLUMNS($AO$1006:BD1006),$AO$1006:$BQ$1006,0)), HYPERLINK("#",""), HYPERLINK(CONCATENATE("#Metadata!", ADDRESS(INDEX($AJ$2:$AJ$1001,MATCH(ROWS($AH$2:AH722),$AH$2:$AH$1001,0),0), INDEX($AO$1004:$BQ$1004,1,MATCH(COLUMNS($AO$1006:BD1006),$AO$1006:$BQ$1006,0)))),"Fix")))</f>
        <v>#N/A</v>
      </c>
      <c r="R722" s="5" t="e">
        <f ca="1">IF(OR(INDEX($AI$2:$AI$1001,MATCH(ROWS($AH$2:AH722),$AH$2:$AH$1001,0),1)&gt;=100000,INDEX($AO$1005:$BQ$1005,1,MATCH(COLUMNS($AO$1006:BE1006),$AO$1006:$BQ$1006,0))&gt;=100000), " ",IF(INDEX($AO$2:$BQ$1001,MATCH(ROWS($AH$2:AH722),$AH$2:$AH$1001,0),MATCH(COLUMNS($AO$1006:BE1006),$AO$1006:$BQ$1006,0)), HYPERLINK("#",""), HYPERLINK(CONCATENATE("#Metadata!", ADDRESS(INDEX($AJ$2:$AJ$1001,MATCH(ROWS($AH$2:AH722),$AH$2:$AH$1001,0),0), INDEX($AO$1004:$BQ$1004,1,MATCH(COLUMNS($AO$1006:BE1006),$AO$1006:$BQ$1006,0)))),"Fix")))</f>
        <v>#N/A</v>
      </c>
      <c r="S722" s="5" t="e">
        <f ca="1">IF(OR(INDEX($AI$2:$AI$1001,MATCH(ROWS($AH$2:AH722),$AH$2:$AH$1001,0),1)&gt;=100000,INDEX($AO$1005:$BQ$1005,1,MATCH(COLUMNS($AO$1006:BF1006),$AO$1006:$BQ$1006,0))&gt;=100000), " ",IF(INDEX($AO$2:$BQ$1001,MATCH(ROWS($AH$2:AH722),$AH$2:$AH$1001,0),MATCH(COLUMNS($AO$1006:BF1006),$AO$1006:$BQ$1006,0)), HYPERLINK("#",""), HYPERLINK(CONCATENATE("#Metadata!", ADDRESS(INDEX($AJ$2:$AJ$1001,MATCH(ROWS($AH$2:AH722),$AH$2:$AH$1001,0),0), INDEX($AO$1004:$BQ$1004,1,MATCH(COLUMNS($AO$1006:BF1006),$AO$1006:$BQ$1006,0)))),"Fix")))</f>
        <v>#N/A</v>
      </c>
      <c r="T722" s="5" t="e">
        <f ca="1">IF(OR(INDEX($AI$2:$AI$1001,MATCH(ROWS($AH$2:AH722),$AH$2:$AH$1001,0),1)&gt;=100000,INDEX($AO$1005:$BQ$1005,1,MATCH(COLUMNS($AO$1006:BG1006),$AO$1006:$BQ$1006,0))&gt;=100000), " ",IF(INDEX($AO$2:$BQ$1001,MATCH(ROWS($AH$2:AH722),$AH$2:$AH$1001,0),MATCH(COLUMNS($AO$1006:BG1006),$AO$1006:$BQ$1006,0)), HYPERLINK("#",""), HYPERLINK(CONCATENATE("#Metadata!", ADDRESS(INDEX($AJ$2:$AJ$1001,MATCH(ROWS($AH$2:AH722),$AH$2:$AH$1001,0),0), INDEX($AO$1004:$BQ$1004,1,MATCH(COLUMNS($AO$1006:BG1006),$AO$1006:$BQ$1006,0)))),"Fix")))</f>
        <v>#N/A</v>
      </c>
      <c r="U722" s="5" t="e">
        <f ca="1">IF(OR(INDEX($AI$2:$AI$1001,MATCH(ROWS($AH$2:AH722),$AH$2:$AH$1001,0),1)&gt;=100000,INDEX($AO$1005:$BQ$1005,1,MATCH(COLUMNS($AO$1006:BH1006),$AO$1006:$BQ$1006,0))&gt;=100000), " ",IF(INDEX($AO$2:$BQ$1001,MATCH(ROWS($AH$2:AH722),$AH$2:$AH$1001,0),MATCH(COLUMNS($AO$1006:BH1006),$AO$1006:$BQ$1006,0)), HYPERLINK("#",""), HYPERLINK(CONCATENATE("#Metadata!", ADDRESS(INDEX($AJ$2:$AJ$1001,MATCH(ROWS($AH$2:AH722),$AH$2:$AH$1001,0),0), INDEX($AO$1004:$BQ$1004,1,MATCH(COLUMNS($AO$1006:BH1006),$AO$1006:$BQ$1006,0)))),"Fix")))</f>
        <v>#N/A</v>
      </c>
      <c r="V722" s="5" t="e">
        <f ca="1">IF(OR(INDEX($AI$2:$AI$1001,MATCH(ROWS($AH$2:AH722),$AH$2:$AH$1001,0),1)&gt;=100000,INDEX($AO$1005:$BQ$1005,1,MATCH(COLUMNS($AO$1006:BI1006),$AO$1006:$BQ$1006,0))&gt;=100000), " ",IF(INDEX($AO$2:$BQ$1001,MATCH(ROWS($AH$2:AH722),$AH$2:$AH$1001,0),MATCH(COLUMNS($AO$1006:BI1006),$AO$1006:$BQ$1006,0)), HYPERLINK("#",""), HYPERLINK(CONCATENATE("#Metadata!", ADDRESS(INDEX($AJ$2:$AJ$1001,MATCH(ROWS($AH$2:AH722),$AH$2:$AH$1001,0),0), INDEX($AO$1004:$BQ$1004,1,MATCH(COLUMNS($AO$1006:BI1006),$AO$1006:$BQ$1006,0)))),"Fix")))</f>
        <v>#N/A</v>
      </c>
      <c r="W722" s="5" t="e">
        <f ca="1">IF(OR(INDEX($AI$2:$AI$1001,MATCH(ROWS($AH$2:AH722),$AH$2:$AH$1001,0),1)&gt;=100000,INDEX($AO$1005:$BQ$1005,1,MATCH(COLUMNS($AO$1006:BJ1006),$AO$1006:$BQ$1006,0))&gt;=100000), " ",IF(INDEX($AO$2:$BQ$1001,MATCH(ROWS($AH$2:AH722),$AH$2:$AH$1001,0),MATCH(COLUMNS($AO$1006:BJ1006),$AO$1006:$BQ$1006,0)), HYPERLINK("#",""), HYPERLINK(CONCATENATE("#Metadata!", ADDRESS(INDEX($AJ$2:$AJ$1001,MATCH(ROWS($AH$2:AH722),$AH$2:$AH$1001,0),0), INDEX($AO$1004:$BQ$1004,1,MATCH(COLUMNS($AO$1006:BJ1006),$AO$1006:$BQ$1006,0)))),"Fix")))</f>
        <v>#N/A</v>
      </c>
      <c r="X722" s="5" t="e">
        <f ca="1">IF(OR(INDEX($AI$2:$AI$1001,MATCH(ROWS($AH$2:AH722),$AH$2:$AH$1001,0),1)&gt;=100000,INDEX($AO$1005:$BQ$1005,1,MATCH(COLUMNS($AO$1006:BK1006),$AO$1006:$BQ$1006,0))&gt;=100000), " ",IF(INDEX($AO$2:$BQ$1001,MATCH(ROWS($AH$2:AH722),$AH$2:$AH$1001,0),MATCH(COLUMNS($AO$1006:BK1006),$AO$1006:$BQ$1006,0)), HYPERLINK("#",""), HYPERLINK(CONCATENATE("#Metadata!", ADDRESS(INDEX($AJ$2:$AJ$1001,MATCH(ROWS($AH$2:AH722),$AH$2:$AH$1001,0),0), INDEX($AO$1004:$BQ$1004,1,MATCH(COLUMNS($AO$1006:BK1006),$AO$1006:$BQ$1006,0)))),"Fix")))</f>
        <v>#N/A</v>
      </c>
      <c r="Y722" s="5" t="e">
        <f ca="1">IF(OR(INDEX($AI$2:$AI$1001,MATCH(ROWS($AH$2:AH722),$AH$2:$AH$1001,0),1)&gt;=100000,INDEX($AO$1005:$BQ$1005,1,MATCH(COLUMNS($AO$1006:BL1006),$AO$1006:$BQ$1006,0))&gt;=100000), " ",IF(INDEX($AO$2:$BQ$1001,MATCH(ROWS($AH$2:AH722),$AH$2:$AH$1001,0),MATCH(COLUMNS($AO$1006:BL1006),$AO$1006:$BQ$1006,0)), HYPERLINK("#",""), HYPERLINK(CONCATENATE("#Metadata!", ADDRESS(INDEX($AJ$2:$AJ$1001,MATCH(ROWS($AH$2:AH722),$AH$2:$AH$1001,0),0), INDEX($AO$1004:$BQ$1004,1,MATCH(COLUMNS($AO$1006:BL1006),$AO$1006:$BQ$1006,0)))),"Fix")))</f>
        <v>#N/A</v>
      </c>
      <c r="Z722" s="5" t="e">
        <f ca="1">IF(OR(INDEX($AI$2:$AI$1001,MATCH(ROWS($AH$2:AH722),$AH$2:$AH$1001,0),1)&gt;=100000,INDEX($AO$1005:$BQ$1005,1,MATCH(COLUMNS($AO$1006:BM1006),$AO$1006:$BQ$1006,0))&gt;=100000), " ",IF(INDEX($AO$2:$BQ$1001,MATCH(ROWS($AH$2:AH722),$AH$2:$AH$1001,0),MATCH(COLUMNS($AO$1006:BM1006),$AO$1006:$BQ$1006,0)), HYPERLINK("#",""), HYPERLINK(CONCATENATE("#Metadata!", ADDRESS(INDEX($AJ$2:$AJ$1001,MATCH(ROWS($AH$2:AH722),$AH$2:$AH$1001,0),0), INDEX($AO$1004:$BQ$1004,1,MATCH(COLUMNS($AO$1006:BM1006),$AO$1006:$BQ$1006,0)))),"Fix")))</f>
        <v>#N/A</v>
      </c>
      <c r="AA722" s="5" t="e">
        <f ca="1">IF(OR(INDEX($AI$2:$AI$1001,MATCH(ROWS($AH$2:AH722),$AH$2:$AH$1001,0),1)&gt;=100000,INDEX($AO$1005:$BQ$1005,1,MATCH(COLUMNS($AO$1006:BN1006),$AO$1006:$BQ$1006,0))&gt;=100000), " ",IF(INDEX($AO$2:$BQ$1001,MATCH(ROWS($AH$2:AH722),$AH$2:$AH$1001,0),MATCH(COLUMNS($AO$1006:BN1006),$AO$1006:$BQ$1006,0)), HYPERLINK("#",""), HYPERLINK(CONCATENATE("#Metadata!", ADDRESS(INDEX($AJ$2:$AJ$1001,MATCH(ROWS($AH$2:AH722),$AH$2:$AH$1001,0),0), INDEX($AO$1004:$BQ$1004,1,MATCH(COLUMNS($AO$1006:BN1006),$AO$1006:$BQ$1006,0)))),"Fix")))</f>
        <v>#N/A</v>
      </c>
      <c r="AB722" s="5" t="e">
        <f ca="1">IF(OR(INDEX($AI$2:$AI$1001,MATCH(ROWS($AH$2:AH722),$AH$2:$AH$1001,0),1)&gt;=100000,INDEX($AO$1005:$BQ$1005,1,MATCH(COLUMNS($AO$1006:BO1006),$AO$1006:$BQ$1006,0))&gt;=100000), " ",IF(INDEX($AO$2:$BQ$1001,MATCH(ROWS($AH$2:AH722),$AH$2:$AH$1001,0),MATCH(COLUMNS($AO$1006:BO1006),$AO$1006:$BQ$1006,0)), HYPERLINK("#",""), HYPERLINK(CONCATENATE("#Metadata!", ADDRESS(INDEX($AJ$2:$AJ$1001,MATCH(ROWS($AH$2:AH722),$AH$2:$AH$1001,0),0), INDEX($AO$1004:$BQ$1004,1,MATCH(COLUMNS($AO$1006:BO1006),$AO$1006:$BQ$1006,0)))),"Fix")))</f>
        <v>#N/A</v>
      </c>
      <c r="AC722" s="5" t="e">
        <f ca="1">IF(OR(INDEX($AI$2:$AI$1001,MATCH(ROWS($AH$2:AH722),$AH$2:$AH$1001,0),1)&gt;=100000,INDEX($AO$1005:$BQ$1005,1,MATCH(COLUMNS($AO$1006:BP1006),$AO$1006:$BQ$1006,0))&gt;=100000), " ",IF(INDEX($AO$2:$BQ$1001,MATCH(ROWS($AH$2:AH722),$AH$2:$AH$1001,0),MATCH(COLUMNS($AO$1006:BP1006),$AO$1006:$BQ$1006,0)), HYPERLINK("#",""), HYPERLINK(CONCATENATE("#Metadata!", ADDRESS(INDEX($AJ$2:$AJ$1001,MATCH(ROWS($AH$2:AH722),$AH$2:$AH$1001,0),0), INDEX($AO$1004:$BQ$1004,1,MATCH(COLUMNS($AO$1006:BP1006),$AO$1006:$BQ$1006,0)))),"Fix")))</f>
        <v>#N/A</v>
      </c>
      <c r="AD722" s="5" t="e">
        <f ca="1">IF(OR(INDEX($AI$2:$AI$1001,MATCH(ROWS($AH$2:AH722),$AH$2:$AH$1001,0),1)&gt;=100000,INDEX($AO$1005:$BQ$1005,1,MATCH(COLUMNS($AO$1006:BQ1006),$AO$1006:$BQ$1006,0))&gt;=100000), " ",IF(INDEX($AO$2:$BQ$1001,MATCH(ROWS($AH$2:AH722),$AH$2:$AH$1001,0),MATCH(COLUMNS($AO$1006:BQ1006),$AO$1006:$BQ$1006,0)), HYPERLINK("#",""), HYPERLINK(CONCATENATE("#Metadata!", ADDRESS(INDEX($AJ$2:$AJ$1001,MATCH(ROWS($AH$2:AH722),$AH$2:$AH$1001,0),0), INDEX($AO$1004:$BQ$1004,1,MATCH(COLUMNS($AO$1006:BQ1006),$AO$1006:$BQ$1006,0)))),"Fix")))</f>
        <v>#REF!</v>
      </c>
      <c r="AH722">
        <f ca="1"/>
        <v>719</v>
      </c>
      <c r="AI722">
        <v>100722</v>
      </c>
      <c r="AJ722">
        <v>722</v>
      </c>
      <c r="AK722" t="b">
        <f t="shared" si="11"/>
        <v>1</v>
      </c>
      <c r="AL722" t="b">
        <f>COUNTBLANK(Metadata!B722:AD722)=COLUMNS(Metadata!B722:AD722)</f>
        <v>1</v>
      </c>
      <c r="AM722" t="str">
        <v/>
      </c>
      <c r="AO722" t="b">
        <f ca="1">AND(IF(Metadata!B722="",FALSE,TRUE),COUNTIF(Metadata!B:B, Metadata!B722) = 1,NOT(ISERROR(SUMPRODUCT(SEARCH(MID(Metadata!B722,ROW(INDIRECT("1:"&amp;LEN(Metadata!B722))), 1),"0123456789abcdefghijklmnopqrstuvwxyzABCDEFGHIJKLMNOPQRSTUVWXYZ.")))))</f>
        <v>0</v>
      </c>
      <c r="AP722" t="b">
        <f>IF(Metadata!C722="",FALSE,TRUE)</f>
        <v>0</v>
      </c>
      <c r="AQ722" t="b">
        <f>IF(Metadata!D722="",FALSE,TRUE)</f>
        <v>0</v>
      </c>
      <c r="AR722" t="b">
        <f ca="1">OR(AND(IF(Metadata!E722="",FALSE,TRUE),OR(EXACT(Metadata!E722,"not collected"),EXACT(Metadata!E722,"not provided"),EXACT(Metadata!E722,"restricted access"))),AND(IF(Metadata!E722="",FALSE,TRUE),AND(AND(IFERROR(INT(LEFT(Metadata!E722,4))&gt;1900,FALSE),IFERROR(INT(LEFT(Metadata!E722,4))&lt;=YEAR(NOW()),FALSE)), OR(MID(Metadata!E722,5,1)="", AND(AND(MID(Metadata!E722,5,1)="-",IFERROR(INT(MID(Metadata!E722,6,1))&gt;=0,FALSE),IFERROR(INT(MID(Metadata!E722,6,1))&lt;=1,FALSE),NOT(MID(Metadata!E722,7,1)=""),IFERROR(INT(MID(Metadata!E722,6,2))&gt;=1,FALSE),IFERROR(INT(MID(Metadata!E722,6,2))&lt;=12,FALSE)), OR(MID(Metadata!E722,8,1)="", AND(AND(MID(Metadata!E722,8,1)="-",IFERROR(INT(MID(Metadata!E722,9,1))&gt;=0,FALSE),IFERROR(INT(MID(Metadata!E722,9,1))&lt;=3,FALSE),NOT(MID(Metadata!E722,10,1)=""),IFERROR(INT(MID(Metadata!E722,9,2))&gt;=1,FALSE),IFERROR(INT(MID(Metadata!E722,9,2))&lt;=31,FALSE)), OR(MID(Metadata!E722,11,1)="", AND(AND(MID(Metadata!E722,11,1)=" ",IFERROR(INT(MID(Metadata!E722,12,1))&gt;=0,FALSE),IFERROR(INT(MID(Metadata!E722,12,1))&lt;=2,FALSE),NOT(MID(Metadata!E722,13,1)=""),IFERROR(INT(MID(Metadata!E722,12,2))&gt;=0,FALSE),IFERROR(INT(MID(Metadata!E722,12,2))&lt;=23,FALSE)), OR(MID(Metadata!E722,14,1)="", AND(AND(MID(Metadata!E722,14,1)=":",IFERROR(INT(MID(Metadata!E722,15,1))&gt;=0,FALSE),IFERROR(INT(MID(Metadata!E722,15,1))&lt;=5,FALSE),NOT(MID(Metadata!E722,16,1)=""),IFERROR(INT(MID(Metadata!E722,15,2))&gt;=0,FALSE),IFERROR(INT(MID(Metadata!E722,15,2))&lt;=59,FALSE)), OR(MID(Metadata!E722,17,1)="", AND(AND(MID(Metadata!E722,17,1)=":",IFERROR(INT(MID(Metadata!E722,18,1))&gt;=0,FALSE),IFERROR(INT(MID(Metadata!E722,18,1))&lt;=5,FALSE),NOT(MID(Metadata!E722,19,1)=""),IFERROR(INT(MID(Metadata!E722,18,2))&gt;=0,FALSE),IFERROR(INT(MID(Metadata!E722,18,2))&lt;=59,FALSE)), LEN(Metadata!E722)&lt;=19)))))))))))))</f>
        <v>0</v>
      </c>
      <c r="AS722" t="b">
        <f>IF(Metadata!F722="",FALSE,TRUE)</f>
        <v>0</v>
      </c>
      <c r="AT722" t="b">
        <f>OR(AND(IF(Metadata!G722="",FALSE,TRUE),OR(EXACT(Metadata!G722,"not collected"),EXACT(Metadata!G722,"not provided"))),AND(IF(Metadata!G722="",FALSE,TRUE),OR(EXACT(Metadata!G722,"TRUE"),EXACT(Metadata!G722,"FALSE"))))</f>
        <v>0</v>
      </c>
      <c r="AU722" t="b">
        <f>OR(AND(IF(Metadata!H722="",FALSE,TRUE),OR(EXACT(Metadata!H722,"not collected"),EXACT(Metadata!H722,"not provided"),EXACT(Metadata!H722,"restricted access"))),AND(IF(Metadata!H722="",FALSE,ISNUMBER(VALUE(Metadata!H722))),Metadata!H722&gt;=-413))</f>
        <v>0</v>
      </c>
      <c r="AV722" t="b">
        <f>AND(IF(Metadata!I722="",FALSE,TRUE),EXACT(Metadata!I722,"meters"))</f>
        <v>0</v>
      </c>
      <c r="AW722" t="b">
        <f>AND(IF(Metadata!J722="",FALSE,TRUE),EXACT(Metadata!J722,"free-living"))</f>
        <v>0</v>
      </c>
      <c r="AX722" t="b">
        <f>AND(IF(Metadata!K722="",FALSE,TRUE),OR(EXACT(Metadata!K722,"saline"),EXACT(Metadata!K722,"non-saline")))</f>
        <v>0</v>
      </c>
      <c r="AY722" t="b">
        <f>AND(IF(Metadata!L722="",FALSE,TRUE),OR(EXACT(Metadata!L722,"sub-surface (non-saline)"),EXACT(Metadata!L722,"surface (non-saline)"),EXACT(Metadata!L722,"water (non-saline)"),EXACT(Metadata!L722,"soil (non-saline)"),EXACT(Metadata!L722,"aerosol (non-saline)"),EXACT(Metadata!L722,"sediment (non-saline)"),EXACT(Metadata!L722,"surface (saline)"),EXACT(Metadata!L722,"water (saline)"),EXACT(Metadata!L722,"hypersaline (saline)"),EXACT(Metadata!L722,"aerosol (saline)"),EXACT(Metadata!L722,"sediment (saline)")))</f>
        <v>0</v>
      </c>
      <c r="AZ722" t="b">
        <f>IF(Metadata!M722="",FALSE,TRUE)</f>
        <v>0</v>
      </c>
      <c r="BA722" t="b">
        <f>IF(Metadata!N722="",FALSE,TRUE)</f>
        <v>0</v>
      </c>
      <c r="BB722" t="b">
        <f>IF(Metadata!O722="",FALSE,TRUE)</f>
        <v>0</v>
      </c>
      <c r="BC722" t="b">
        <f>AND(IF(Metadata!P722="",FALSE,TRUE),OR(EXACT(Metadata!P722,"air"),EXACT(Metadata!P722,"microbial mat/biofilm"),EXACT(Metadata!P722,"misc environment"),EXACT(Metadata!P722,"sediment"),EXACT(Metadata!P722,"soil"),EXACT(Metadata!P722,"wastewater/sludge"),EXACT(Metadata!P722,"water")))</f>
        <v>0</v>
      </c>
      <c r="BD722" t="b">
        <f>IF(Metadata!Q722="",FALSE,TRUE)</f>
        <v>0</v>
      </c>
      <c r="BE722" t="b">
        <f>IF(Metadata!R722="",FALSE,TRUE)</f>
        <v>0</v>
      </c>
      <c r="BF722" t="b">
        <f>OR(AND(IF(Metadata!S722="",FALSE,TRUE),OR(EXACT(Metadata!S722,"not collected"),EXACT(Metadata!S722,"not provided"),EXACT(Metadata!S722,"restricted access"))),AND(IF(Metadata!S722="",FALSE,ISNUMBER(VALUE(Metadata!S722))),Metadata!S722&gt;=-90,Metadata!S722&lt;=90))</f>
        <v>0</v>
      </c>
      <c r="BG722" t="b">
        <f>AND(IF(Metadata!T722="",FALSE,TRUE),EXACT(Metadata!T722,"Decimal degrees"))</f>
        <v>0</v>
      </c>
      <c r="BH722" t="b">
        <f>OR(AND(IF(Metadata!U722="",FALSE,TRUE),OR(EXACT(Metadata!U722,"not applicable"),EXACT(Metadata!U722,"not collected"))),IF(Metadata!U722="",FALSE,TRUE))</f>
        <v>0</v>
      </c>
      <c r="BI722" t="b">
        <f>OR(AND(IF(Metadata!V722="",FALSE,TRUE),OR(EXACT(Metadata!V722,"not collected"),EXACT(Metadata!V722,"not provided"),EXACT(Metadata!V722,"restricted access"))),AND(IF(Metadata!V722="",FALSE,ISNUMBER(VALUE(Metadata!V722))),Metadata!V722&gt;=-180,Metadata!V722&lt;=180))</f>
        <v>0</v>
      </c>
      <c r="BJ722" t="b">
        <f>AND(IF(Metadata!W722="",FALSE,TRUE),EXACT(Metadata!W722,"Decimal degrees"))</f>
        <v>0</v>
      </c>
      <c r="BK722" t="b">
        <f>IF(Metadata!X722="",FALSE,TRUE)</f>
        <v>0</v>
      </c>
      <c r="BL722" t="b">
        <f>OR(AND(IF(Metadata!Y722="",FALSE,TRUE),OR(EXACT(Metadata!Y722,"not collected"),EXACT(Metadata!Y722,"not provided"),EXACT(Metadata!Y722,"restricted access"))),AND(IF(Metadata!Y722="",FALSE,TRUE),OR(EXACT(Metadata!Y722,"TRUE"),EXACT(Metadata!Y722,"FALSE"))))</f>
        <v>0</v>
      </c>
      <c r="BM722" t="b">
        <f>OR(AND(IF(Metadata!Z722="",FALSE,TRUE),EXACT(Metadata!Z722,"not applicable")),AND(IF(Metadata!Z722="",FALSE,TRUE),OR(EXACT(Metadata!Z722,"beer"),EXACT(Metadata!Z722,"cheese"),EXACT(Metadata!Z722,"fresh water"),EXACT(Metadata!Z722,"marine sediment"),EXACT(Metadata!Z722,"sea water"),EXACT(Metadata!Z722,"sediment"),EXACT(Metadata!Z722,"soil"),EXACT(Metadata!Z722,"waste water"))))</f>
        <v>0</v>
      </c>
      <c r="BN722" t="b">
        <f>AND(IF(Metadata!AA722="",FALSE,TRUE),EXACT(Metadata!AA722,"metagenome"))</f>
        <v>0</v>
      </c>
      <c r="BO722" t="b">
        <f>AND(IF(Metadata!AB722="",FALSE,TRUE),EXACT(Metadata!AB722,"256318"))</f>
        <v>0</v>
      </c>
      <c r="BP722" t="b">
        <f>IF(Metadata!AC722="",FALSE,TRUE)</f>
        <v>0</v>
      </c>
      <c r="BQ722" t="b">
        <f>IF(Metadata!AD722="",FALSE,TRUE)</f>
        <v>0</v>
      </c>
    </row>
    <row r="723" spans="1:69" x14ac:dyDescent="0.2">
      <c r="A723" s="4" t="e">
        <f ca="1">IF(B723=" "," ",HYPERLINK(CONCATENATE("#metadata!",ADDRESS(INDEX($AJ$2:$AJ$1001,MATCH(ROWS($AH$2:AH723),$AH$2:$AH$1001,0),0),2)),INDEX($AM$2:$AM$1001,MATCH(ROWS($AH$2:AH723),$AH$2:$AH$1001,0),0)))</f>
        <v>#N/A</v>
      </c>
      <c r="B723" s="5" t="e">
        <f ca="1">IF(OR(INDEX($AI$2:$AI$1001,MATCH(ROWS($AH$2:AH723),$AH$2:$AH$1001,0),1)&gt;=100000,INDEX($AO$1005:$BQ$1005,1,MATCH(COLUMNS($AO$1006:AO1006),$AO$1006:$BQ$1006,0))&gt;=100000), " ",IF(INDEX($AO$2:$BQ$1001,MATCH(ROWS($AH$2:AH723),$AH$2:$AH$1001,0),MATCH(COLUMNS($AO$1006:AO1006),$AO$1006:$BQ$1006,0)), HYPERLINK("#",""), HYPERLINK(CONCATENATE("#Metadata!", ADDRESS(INDEX($AJ$2:$AJ$1001,MATCH(ROWS($AH$2:AH723),$AH$2:$AH$1001,0),0), INDEX($AO$1004:$BQ$1004,1,MATCH(COLUMNS($AO$1006:AO1006),$AO$1006:$BQ$1006,0)))),"Fix")))</f>
        <v>#N/A</v>
      </c>
      <c r="C723" s="5" t="e">
        <f ca="1">IF(OR(INDEX($AI$2:$AI$1001,MATCH(ROWS($AH$2:AH723),$AH$2:$AH$1001,0),1)&gt;=100000,INDEX($AO$1005:$BQ$1005,1,MATCH(COLUMNS($AO$1006:AP1006),$AO$1006:$BQ$1006,0))&gt;=100000), " ",IF(INDEX($AO$2:$BQ$1001,MATCH(ROWS($AH$2:AH723),$AH$2:$AH$1001,0),MATCH(COLUMNS($AO$1006:AP1006),$AO$1006:$BQ$1006,0)), HYPERLINK("#",""), HYPERLINK(CONCATENATE("#Metadata!", ADDRESS(INDEX($AJ$2:$AJ$1001,MATCH(ROWS($AH$2:AH723),$AH$2:$AH$1001,0),0), INDEX($AO$1004:$BQ$1004,1,MATCH(COLUMNS($AO$1006:AP1006),$AO$1006:$BQ$1006,0)))),"Fix")))</f>
        <v>#N/A</v>
      </c>
      <c r="D723" s="5" t="e">
        <f ca="1">IF(OR(INDEX($AI$2:$AI$1001,MATCH(ROWS($AH$2:AH723),$AH$2:$AH$1001,0),1)&gt;=100000,INDEX($AO$1005:$BQ$1005,1,MATCH(COLUMNS($AO$1006:AQ1006),$AO$1006:$BQ$1006,0))&gt;=100000), " ",IF(INDEX($AO$2:$BQ$1001,MATCH(ROWS($AH$2:AH723),$AH$2:$AH$1001,0),MATCH(COLUMNS($AO$1006:AQ1006),$AO$1006:$BQ$1006,0)), HYPERLINK("#",""), HYPERLINK(CONCATENATE("#Metadata!", ADDRESS(INDEX($AJ$2:$AJ$1001,MATCH(ROWS($AH$2:AH723),$AH$2:$AH$1001,0),0), INDEX($AO$1004:$BQ$1004,1,MATCH(COLUMNS($AO$1006:AQ1006),$AO$1006:$BQ$1006,0)))),"Fix")))</f>
        <v>#N/A</v>
      </c>
      <c r="E723" s="5" t="e">
        <f ca="1">IF(OR(INDEX($AI$2:$AI$1001,MATCH(ROWS($AH$2:AH723),$AH$2:$AH$1001,0),1)&gt;=100000,INDEX($AO$1005:$BQ$1005,1,MATCH(COLUMNS($AO$1006:AR1006),$AO$1006:$BQ$1006,0))&gt;=100000), " ",IF(INDEX($AO$2:$BQ$1001,MATCH(ROWS($AH$2:AH723),$AH$2:$AH$1001,0),MATCH(COLUMNS($AO$1006:AR1006),$AO$1006:$BQ$1006,0)), HYPERLINK("#",""), HYPERLINK(CONCATENATE("#Metadata!", ADDRESS(INDEX($AJ$2:$AJ$1001,MATCH(ROWS($AH$2:AH723),$AH$2:$AH$1001,0),0), INDEX($AO$1004:$BQ$1004,1,MATCH(COLUMNS($AO$1006:AR1006),$AO$1006:$BQ$1006,0)))),"Fix")))</f>
        <v>#N/A</v>
      </c>
      <c r="F723" s="5" t="e">
        <f ca="1">IF(OR(INDEX($AI$2:$AI$1001,MATCH(ROWS($AH$2:AH723),$AH$2:$AH$1001,0),1)&gt;=100000,INDEX($AO$1005:$BQ$1005,1,MATCH(COLUMNS($AO$1006:AS1006),$AO$1006:$BQ$1006,0))&gt;=100000), " ",IF(INDEX($AO$2:$BQ$1001,MATCH(ROWS($AH$2:AH723),$AH$2:$AH$1001,0),MATCH(COLUMNS($AO$1006:AS1006),$AO$1006:$BQ$1006,0)), HYPERLINK("#",""), HYPERLINK(CONCATENATE("#Metadata!", ADDRESS(INDEX($AJ$2:$AJ$1001,MATCH(ROWS($AH$2:AH723),$AH$2:$AH$1001,0),0), INDEX($AO$1004:$BQ$1004,1,MATCH(COLUMNS($AO$1006:AS1006),$AO$1006:$BQ$1006,0)))),"Fix")))</f>
        <v>#N/A</v>
      </c>
      <c r="G723" s="5" t="e">
        <f ca="1">IF(OR(INDEX($AI$2:$AI$1001,MATCH(ROWS($AH$2:AH723),$AH$2:$AH$1001,0),1)&gt;=100000,INDEX($AO$1005:$BQ$1005,1,MATCH(COLUMNS($AO$1006:AT1006),$AO$1006:$BQ$1006,0))&gt;=100000), " ",IF(INDEX($AO$2:$BQ$1001,MATCH(ROWS($AH$2:AH723),$AH$2:$AH$1001,0),MATCH(COLUMNS($AO$1006:AT1006),$AO$1006:$BQ$1006,0)), HYPERLINK("#",""), HYPERLINK(CONCATENATE("#Metadata!", ADDRESS(INDEX($AJ$2:$AJ$1001,MATCH(ROWS($AH$2:AH723),$AH$2:$AH$1001,0),0), INDEX($AO$1004:$BQ$1004,1,MATCH(COLUMNS($AO$1006:AT1006),$AO$1006:$BQ$1006,0)))),"Fix")))</f>
        <v>#N/A</v>
      </c>
      <c r="H723" s="5" t="e">
        <f ca="1">IF(OR(INDEX($AI$2:$AI$1001,MATCH(ROWS($AH$2:AH723),$AH$2:$AH$1001,0),1)&gt;=100000,INDEX($AO$1005:$BQ$1005,1,MATCH(COLUMNS($AO$1006:AU1006),$AO$1006:$BQ$1006,0))&gt;=100000), " ",IF(INDEX($AO$2:$BQ$1001,MATCH(ROWS($AH$2:AH723),$AH$2:$AH$1001,0),MATCH(COLUMNS($AO$1006:AU1006),$AO$1006:$BQ$1006,0)), HYPERLINK("#",""), HYPERLINK(CONCATENATE("#Metadata!", ADDRESS(INDEX($AJ$2:$AJ$1001,MATCH(ROWS($AH$2:AH723),$AH$2:$AH$1001,0),0), INDEX($AO$1004:$BQ$1004,1,MATCH(COLUMNS($AO$1006:AU1006),$AO$1006:$BQ$1006,0)))),"Fix")))</f>
        <v>#N/A</v>
      </c>
      <c r="I723" s="5" t="e">
        <f ca="1">IF(OR(INDEX($AI$2:$AI$1001,MATCH(ROWS($AH$2:AH723),$AH$2:$AH$1001,0),1)&gt;=100000,INDEX($AO$1005:$BQ$1005,1,MATCH(COLUMNS($AO$1006:AV1006),$AO$1006:$BQ$1006,0))&gt;=100000), " ",IF(INDEX($AO$2:$BQ$1001,MATCH(ROWS($AH$2:AH723),$AH$2:$AH$1001,0),MATCH(COLUMNS($AO$1006:AV1006),$AO$1006:$BQ$1006,0)), HYPERLINK("#",""), HYPERLINK(CONCATENATE("#Metadata!", ADDRESS(INDEX($AJ$2:$AJ$1001,MATCH(ROWS($AH$2:AH723),$AH$2:$AH$1001,0),0), INDEX($AO$1004:$BQ$1004,1,MATCH(COLUMNS($AO$1006:AV1006),$AO$1006:$BQ$1006,0)))),"Fix")))</f>
        <v>#N/A</v>
      </c>
      <c r="J723" s="5" t="e">
        <f ca="1">IF(OR(INDEX($AI$2:$AI$1001,MATCH(ROWS($AH$2:AH723),$AH$2:$AH$1001,0),1)&gt;=100000,INDEX($AO$1005:$BQ$1005,1,MATCH(COLUMNS($AO$1006:AW1006),$AO$1006:$BQ$1006,0))&gt;=100000), " ",IF(INDEX($AO$2:$BQ$1001,MATCH(ROWS($AH$2:AH723),$AH$2:$AH$1001,0),MATCH(COLUMNS($AO$1006:AW1006),$AO$1006:$BQ$1006,0)), HYPERLINK("#",""), HYPERLINK(CONCATENATE("#Metadata!", ADDRESS(INDEX($AJ$2:$AJ$1001,MATCH(ROWS($AH$2:AH723),$AH$2:$AH$1001,0),0), INDEX($AO$1004:$BQ$1004,1,MATCH(COLUMNS($AO$1006:AW1006),$AO$1006:$BQ$1006,0)))),"Fix")))</f>
        <v>#N/A</v>
      </c>
      <c r="K723" s="5" t="e">
        <f ca="1">IF(OR(INDEX($AI$2:$AI$1001,MATCH(ROWS($AH$2:AH723),$AH$2:$AH$1001,0),1)&gt;=100000,INDEX($AO$1005:$BQ$1005,1,MATCH(COLUMNS($AO$1006:AX1006),$AO$1006:$BQ$1006,0))&gt;=100000), " ",IF(INDEX($AO$2:$BQ$1001,MATCH(ROWS($AH$2:AH723),$AH$2:$AH$1001,0),MATCH(COLUMNS($AO$1006:AX1006),$AO$1006:$BQ$1006,0)), HYPERLINK("#",""), HYPERLINK(CONCATENATE("#Metadata!", ADDRESS(INDEX($AJ$2:$AJ$1001,MATCH(ROWS($AH$2:AH723),$AH$2:$AH$1001,0),0), INDEX($AO$1004:$BQ$1004,1,MATCH(COLUMNS($AO$1006:AX1006),$AO$1006:$BQ$1006,0)))),"Fix")))</f>
        <v>#N/A</v>
      </c>
      <c r="L723" s="5" t="e">
        <f ca="1">IF(OR(INDEX($AI$2:$AI$1001,MATCH(ROWS($AH$2:AH723),$AH$2:$AH$1001,0),1)&gt;=100000,INDEX($AO$1005:$BQ$1005,1,MATCH(COLUMNS($AO$1006:AY1006),$AO$1006:$BQ$1006,0))&gt;=100000), " ",IF(INDEX($AO$2:$BQ$1001,MATCH(ROWS($AH$2:AH723),$AH$2:$AH$1001,0),MATCH(COLUMNS($AO$1006:AY1006),$AO$1006:$BQ$1006,0)), HYPERLINK("#",""), HYPERLINK(CONCATENATE("#Metadata!", ADDRESS(INDEX($AJ$2:$AJ$1001,MATCH(ROWS($AH$2:AH723),$AH$2:$AH$1001,0),0), INDEX($AO$1004:$BQ$1004,1,MATCH(COLUMNS($AO$1006:AY1006),$AO$1006:$BQ$1006,0)))),"Fix")))</f>
        <v>#N/A</v>
      </c>
      <c r="M723" s="5" t="e">
        <f ca="1">IF(OR(INDEX($AI$2:$AI$1001,MATCH(ROWS($AH$2:AH723),$AH$2:$AH$1001,0),1)&gt;=100000,INDEX($AO$1005:$BQ$1005,1,MATCH(COLUMNS($AO$1006:AZ1006),$AO$1006:$BQ$1006,0))&gt;=100000), " ",IF(INDEX($AO$2:$BQ$1001,MATCH(ROWS($AH$2:AH723),$AH$2:$AH$1001,0),MATCH(COLUMNS($AO$1006:AZ1006),$AO$1006:$BQ$1006,0)), HYPERLINK("#",""), HYPERLINK(CONCATENATE("#Metadata!", ADDRESS(INDEX($AJ$2:$AJ$1001,MATCH(ROWS($AH$2:AH723),$AH$2:$AH$1001,0),0), INDEX($AO$1004:$BQ$1004,1,MATCH(COLUMNS($AO$1006:AZ1006),$AO$1006:$BQ$1006,0)))),"Fix")))</f>
        <v>#N/A</v>
      </c>
      <c r="N723" s="5" t="e">
        <f ca="1">IF(OR(INDEX($AI$2:$AI$1001,MATCH(ROWS($AH$2:AH723),$AH$2:$AH$1001,0),1)&gt;=100000,INDEX($AO$1005:$BQ$1005,1,MATCH(COLUMNS($AO$1006:BA1006),$AO$1006:$BQ$1006,0))&gt;=100000), " ",IF(INDEX($AO$2:$BQ$1001,MATCH(ROWS($AH$2:AH723),$AH$2:$AH$1001,0),MATCH(COLUMNS($AO$1006:BA1006),$AO$1006:$BQ$1006,0)), HYPERLINK("#",""), HYPERLINK(CONCATENATE("#Metadata!", ADDRESS(INDEX($AJ$2:$AJ$1001,MATCH(ROWS($AH$2:AH723),$AH$2:$AH$1001,0),0), INDEX($AO$1004:$BQ$1004,1,MATCH(COLUMNS($AO$1006:BA1006),$AO$1006:$BQ$1006,0)))),"Fix")))</f>
        <v>#N/A</v>
      </c>
      <c r="O723" s="5" t="e">
        <f ca="1">IF(OR(INDEX($AI$2:$AI$1001,MATCH(ROWS($AH$2:AH723),$AH$2:$AH$1001,0),1)&gt;=100000,INDEX($AO$1005:$BQ$1005,1,MATCH(COLUMNS($AO$1006:BB1006),$AO$1006:$BQ$1006,0))&gt;=100000), " ",IF(INDEX($AO$2:$BQ$1001,MATCH(ROWS($AH$2:AH723),$AH$2:$AH$1001,0),MATCH(COLUMNS($AO$1006:BB1006),$AO$1006:$BQ$1006,0)), HYPERLINK("#",""), HYPERLINK(CONCATENATE("#Metadata!", ADDRESS(INDEX($AJ$2:$AJ$1001,MATCH(ROWS($AH$2:AH723),$AH$2:$AH$1001,0),0), INDEX($AO$1004:$BQ$1004,1,MATCH(COLUMNS($AO$1006:BB1006),$AO$1006:$BQ$1006,0)))),"Fix")))</f>
        <v>#N/A</v>
      </c>
      <c r="P723" s="5" t="e">
        <f ca="1">IF(OR(INDEX($AI$2:$AI$1001,MATCH(ROWS($AH$2:AH723),$AH$2:$AH$1001,0),1)&gt;=100000,INDEX($AO$1005:$BQ$1005,1,MATCH(COLUMNS($AO$1006:BC1006),$AO$1006:$BQ$1006,0))&gt;=100000), " ",IF(INDEX($AO$2:$BQ$1001,MATCH(ROWS($AH$2:AH723),$AH$2:$AH$1001,0),MATCH(COLUMNS($AO$1006:BC1006),$AO$1006:$BQ$1006,0)), HYPERLINK("#",""), HYPERLINK(CONCATENATE("#Metadata!", ADDRESS(INDEX($AJ$2:$AJ$1001,MATCH(ROWS($AH$2:AH723),$AH$2:$AH$1001,0),0), INDEX($AO$1004:$BQ$1004,1,MATCH(COLUMNS($AO$1006:BC1006),$AO$1006:$BQ$1006,0)))),"Fix")))</f>
        <v>#N/A</v>
      </c>
      <c r="Q723" s="5" t="e">
        <f ca="1">IF(OR(INDEX($AI$2:$AI$1001,MATCH(ROWS($AH$2:AH723),$AH$2:$AH$1001,0),1)&gt;=100000,INDEX($AO$1005:$BQ$1005,1,MATCH(COLUMNS($AO$1006:BD1006),$AO$1006:$BQ$1006,0))&gt;=100000), " ",IF(INDEX($AO$2:$BQ$1001,MATCH(ROWS($AH$2:AH723),$AH$2:$AH$1001,0),MATCH(COLUMNS($AO$1006:BD1006),$AO$1006:$BQ$1006,0)), HYPERLINK("#",""), HYPERLINK(CONCATENATE("#Metadata!", ADDRESS(INDEX($AJ$2:$AJ$1001,MATCH(ROWS($AH$2:AH723),$AH$2:$AH$1001,0),0), INDEX($AO$1004:$BQ$1004,1,MATCH(COLUMNS($AO$1006:BD1006),$AO$1006:$BQ$1006,0)))),"Fix")))</f>
        <v>#N/A</v>
      </c>
      <c r="R723" s="5" t="e">
        <f ca="1">IF(OR(INDEX($AI$2:$AI$1001,MATCH(ROWS($AH$2:AH723),$AH$2:$AH$1001,0),1)&gt;=100000,INDEX($AO$1005:$BQ$1005,1,MATCH(COLUMNS($AO$1006:BE1006),$AO$1006:$BQ$1006,0))&gt;=100000), " ",IF(INDEX($AO$2:$BQ$1001,MATCH(ROWS($AH$2:AH723),$AH$2:$AH$1001,0),MATCH(COLUMNS($AO$1006:BE1006),$AO$1006:$BQ$1006,0)), HYPERLINK("#",""), HYPERLINK(CONCATENATE("#Metadata!", ADDRESS(INDEX($AJ$2:$AJ$1001,MATCH(ROWS($AH$2:AH723),$AH$2:$AH$1001,0),0), INDEX($AO$1004:$BQ$1004,1,MATCH(COLUMNS($AO$1006:BE1006),$AO$1006:$BQ$1006,0)))),"Fix")))</f>
        <v>#N/A</v>
      </c>
      <c r="S723" s="5" t="e">
        <f ca="1">IF(OR(INDEX($AI$2:$AI$1001,MATCH(ROWS($AH$2:AH723),$AH$2:$AH$1001,0),1)&gt;=100000,INDEX($AO$1005:$BQ$1005,1,MATCH(COLUMNS($AO$1006:BF1006),$AO$1006:$BQ$1006,0))&gt;=100000), " ",IF(INDEX($AO$2:$BQ$1001,MATCH(ROWS($AH$2:AH723),$AH$2:$AH$1001,0),MATCH(COLUMNS($AO$1006:BF1006),$AO$1006:$BQ$1006,0)), HYPERLINK("#",""), HYPERLINK(CONCATENATE("#Metadata!", ADDRESS(INDEX($AJ$2:$AJ$1001,MATCH(ROWS($AH$2:AH723),$AH$2:$AH$1001,0),0), INDEX($AO$1004:$BQ$1004,1,MATCH(COLUMNS($AO$1006:BF1006),$AO$1006:$BQ$1006,0)))),"Fix")))</f>
        <v>#N/A</v>
      </c>
      <c r="T723" s="5" t="e">
        <f ca="1">IF(OR(INDEX($AI$2:$AI$1001,MATCH(ROWS($AH$2:AH723),$AH$2:$AH$1001,0),1)&gt;=100000,INDEX($AO$1005:$BQ$1005,1,MATCH(COLUMNS($AO$1006:BG1006),$AO$1006:$BQ$1006,0))&gt;=100000), " ",IF(INDEX($AO$2:$BQ$1001,MATCH(ROWS($AH$2:AH723),$AH$2:$AH$1001,0),MATCH(COLUMNS($AO$1006:BG1006),$AO$1006:$BQ$1006,0)), HYPERLINK("#",""), HYPERLINK(CONCATENATE("#Metadata!", ADDRESS(INDEX($AJ$2:$AJ$1001,MATCH(ROWS($AH$2:AH723),$AH$2:$AH$1001,0),0), INDEX($AO$1004:$BQ$1004,1,MATCH(COLUMNS($AO$1006:BG1006),$AO$1006:$BQ$1006,0)))),"Fix")))</f>
        <v>#N/A</v>
      </c>
      <c r="U723" s="5" t="e">
        <f ca="1">IF(OR(INDEX($AI$2:$AI$1001,MATCH(ROWS($AH$2:AH723),$AH$2:$AH$1001,0),1)&gt;=100000,INDEX($AO$1005:$BQ$1005,1,MATCH(COLUMNS($AO$1006:BH1006),$AO$1006:$BQ$1006,0))&gt;=100000), " ",IF(INDEX($AO$2:$BQ$1001,MATCH(ROWS($AH$2:AH723),$AH$2:$AH$1001,0),MATCH(COLUMNS($AO$1006:BH1006),$AO$1006:$BQ$1006,0)), HYPERLINK("#",""), HYPERLINK(CONCATENATE("#Metadata!", ADDRESS(INDEX($AJ$2:$AJ$1001,MATCH(ROWS($AH$2:AH723),$AH$2:$AH$1001,0),0), INDEX($AO$1004:$BQ$1004,1,MATCH(COLUMNS($AO$1006:BH1006),$AO$1006:$BQ$1006,0)))),"Fix")))</f>
        <v>#N/A</v>
      </c>
      <c r="V723" s="5" t="e">
        <f ca="1">IF(OR(INDEX($AI$2:$AI$1001,MATCH(ROWS($AH$2:AH723),$AH$2:$AH$1001,0),1)&gt;=100000,INDEX($AO$1005:$BQ$1005,1,MATCH(COLUMNS($AO$1006:BI1006),$AO$1006:$BQ$1006,0))&gt;=100000), " ",IF(INDEX($AO$2:$BQ$1001,MATCH(ROWS($AH$2:AH723),$AH$2:$AH$1001,0),MATCH(COLUMNS($AO$1006:BI1006),$AO$1006:$BQ$1006,0)), HYPERLINK("#",""), HYPERLINK(CONCATENATE("#Metadata!", ADDRESS(INDEX($AJ$2:$AJ$1001,MATCH(ROWS($AH$2:AH723),$AH$2:$AH$1001,0),0), INDEX($AO$1004:$BQ$1004,1,MATCH(COLUMNS($AO$1006:BI1006),$AO$1006:$BQ$1006,0)))),"Fix")))</f>
        <v>#N/A</v>
      </c>
      <c r="W723" s="5" t="e">
        <f ca="1">IF(OR(INDEX($AI$2:$AI$1001,MATCH(ROWS($AH$2:AH723),$AH$2:$AH$1001,0),1)&gt;=100000,INDEX($AO$1005:$BQ$1005,1,MATCH(COLUMNS($AO$1006:BJ1006),$AO$1006:$BQ$1006,0))&gt;=100000), " ",IF(INDEX($AO$2:$BQ$1001,MATCH(ROWS($AH$2:AH723),$AH$2:$AH$1001,0),MATCH(COLUMNS($AO$1006:BJ1006),$AO$1006:$BQ$1006,0)), HYPERLINK("#",""), HYPERLINK(CONCATENATE("#Metadata!", ADDRESS(INDEX($AJ$2:$AJ$1001,MATCH(ROWS($AH$2:AH723),$AH$2:$AH$1001,0),0), INDEX($AO$1004:$BQ$1004,1,MATCH(COLUMNS($AO$1006:BJ1006),$AO$1006:$BQ$1006,0)))),"Fix")))</f>
        <v>#N/A</v>
      </c>
      <c r="X723" s="5" t="e">
        <f ca="1">IF(OR(INDEX($AI$2:$AI$1001,MATCH(ROWS($AH$2:AH723),$AH$2:$AH$1001,0),1)&gt;=100000,INDEX($AO$1005:$BQ$1005,1,MATCH(COLUMNS($AO$1006:BK1006),$AO$1006:$BQ$1006,0))&gt;=100000), " ",IF(INDEX($AO$2:$BQ$1001,MATCH(ROWS($AH$2:AH723),$AH$2:$AH$1001,0),MATCH(COLUMNS($AO$1006:BK1006),$AO$1006:$BQ$1006,0)), HYPERLINK("#",""), HYPERLINK(CONCATENATE("#Metadata!", ADDRESS(INDEX($AJ$2:$AJ$1001,MATCH(ROWS($AH$2:AH723),$AH$2:$AH$1001,0),0), INDEX($AO$1004:$BQ$1004,1,MATCH(COLUMNS($AO$1006:BK1006),$AO$1006:$BQ$1006,0)))),"Fix")))</f>
        <v>#N/A</v>
      </c>
      <c r="Y723" s="5" t="e">
        <f ca="1">IF(OR(INDEX($AI$2:$AI$1001,MATCH(ROWS($AH$2:AH723),$AH$2:$AH$1001,0),1)&gt;=100000,INDEX($AO$1005:$BQ$1005,1,MATCH(COLUMNS($AO$1006:BL1006),$AO$1006:$BQ$1006,0))&gt;=100000), " ",IF(INDEX($AO$2:$BQ$1001,MATCH(ROWS($AH$2:AH723),$AH$2:$AH$1001,0),MATCH(COLUMNS($AO$1006:BL1006),$AO$1006:$BQ$1006,0)), HYPERLINK("#",""), HYPERLINK(CONCATENATE("#Metadata!", ADDRESS(INDEX($AJ$2:$AJ$1001,MATCH(ROWS($AH$2:AH723),$AH$2:$AH$1001,0),0), INDEX($AO$1004:$BQ$1004,1,MATCH(COLUMNS($AO$1006:BL1006),$AO$1006:$BQ$1006,0)))),"Fix")))</f>
        <v>#N/A</v>
      </c>
      <c r="Z723" s="5" t="e">
        <f ca="1">IF(OR(INDEX($AI$2:$AI$1001,MATCH(ROWS($AH$2:AH723),$AH$2:$AH$1001,0),1)&gt;=100000,INDEX($AO$1005:$BQ$1005,1,MATCH(COLUMNS($AO$1006:BM1006),$AO$1006:$BQ$1006,0))&gt;=100000), " ",IF(INDEX($AO$2:$BQ$1001,MATCH(ROWS($AH$2:AH723),$AH$2:$AH$1001,0),MATCH(COLUMNS($AO$1006:BM1006),$AO$1006:$BQ$1006,0)), HYPERLINK("#",""), HYPERLINK(CONCATENATE("#Metadata!", ADDRESS(INDEX($AJ$2:$AJ$1001,MATCH(ROWS($AH$2:AH723),$AH$2:$AH$1001,0),0), INDEX($AO$1004:$BQ$1004,1,MATCH(COLUMNS($AO$1006:BM1006),$AO$1006:$BQ$1006,0)))),"Fix")))</f>
        <v>#N/A</v>
      </c>
      <c r="AA723" s="5" t="e">
        <f ca="1">IF(OR(INDEX($AI$2:$AI$1001,MATCH(ROWS($AH$2:AH723),$AH$2:$AH$1001,0),1)&gt;=100000,INDEX($AO$1005:$BQ$1005,1,MATCH(COLUMNS($AO$1006:BN1006),$AO$1006:$BQ$1006,0))&gt;=100000), " ",IF(INDEX($AO$2:$BQ$1001,MATCH(ROWS($AH$2:AH723),$AH$2:$AH$1001,0),MATCH(COLUMNS($AO$1006:BN1006),$AO$1006:$BQ$1006,0)), HYPERLINK("#",""), HYPERLINK(CONCATENATE("#Metadata!", ADDRESS(INDEX($AJ$2:$AJ$1001,MATCH(ROWS($AH$2:AH723),$AH$2:$AH$1001,0),0), INDEX($AO$1004:$BQ$1004,1,MATCH(COLUMNS($AO$1006:BN1006),$AO$1006:$BQ$1006,0)))),"Fix")))</f>
        <v>#N/A</v>
      </c>
      <c r="AB723" s="5" t="e">
        <f ca="1">IF(OR(INDEX($AI$2:$AI$1001,MATCH(ROWS($AH$2:AH723),$AH$2:$AH$1001,0),1)&gt;=100000,INDEX($AO$1005:$BQ$1005,1,MATCH(COLUMNS($AO$1006:BO1006),$AO$1006:$BQ$1006,0))&gt;=100000), " ",IF(INDEX($AO$2:$BQ$1001,MATCH(ROWS($AH$2:AH723),$AH$2:$AH$1001,0),MATCH(COLUMNS($AO$1006:BO1006),$AO$1006:$BQ$1006,0)), HYPERLINK("#",""), HYPERLINK(CONCATENATE("#Metadata!", ADDRESS(INDEX($AJ$2:$AJ$1001,MATCH(ROWS($AH$2:AH723),$AH$2:$AH$1001,0),0), INDEX($AO$1004:$BQ$1004,1,MATCH(COLUMNS($AO$1006:BO1006),$AO$1006:$BQ$1006,0)))),"Fix")))</f>
        <v>#N/A</v>
      </c>
      <c r="AC723" s="5" t="e">
        <f ca="1">IF(OR(INDEX($AI$2:$AI$1001,MATCH(ROWS($AH$2:AH723),$AH$2:$AH$1001,0),1)&gt;=100000,INDEX($AO$1005:$BQ$1005,1,MATCH(COLUMNS($AO$1006:BP1006),$AO$1006:$BQ$1006,0))&gt;=100000), " ",IF(INDEX($AO$2:$BQ$1001,MATCH(ROWS($AH$2:AH723),$AH$2:$AH$1001,0),MATCH(COLUMNS($AO$1006:BP1006),$AO$1006:$BQ$1006,0)), HYPERLINK("#",""), HYPERLINK(CONCATENATE("#Metadata!", ADDRESS(INDEX($AJ$2:$AJ$1001,MATCH(ROWS($AH$2:AH723),$AH$2:$AH$1001,0),0), INDEX($AO$1004:$BQ$1004,1,MATCH(COLUMNS($AO$1006:BP1006),$AO$1006:$BQ$1006,0)))),"Fix")))</f>
        <v>#N/A</v>
      </c>
      <c r="AD723" s="5" t="e">
        <f ca="1">IF(OR(INDEX($AI$2:$AI$1001,MATCH(ROWS($AH$2:AH723),$AH$2:$AH$1001,0),1)&gt;=100000,INDEX($AO$1005:$BQ$1005,1,MATCH(COLUMNS($AO$1006:BQ1006),$AO$1006:$BQ$1006,0))&gt;=100000), " ",IF(INDEX($AO$2:$BQ$1001,MATCH(ROWS($AH$2:AH723),$AH$2:$AH$1001,0),MATCH(COLUMNS($AO$1006:BQ1006),$AO$1006:$BQ$1006,0)), HYPERLINK("#",""), HYPERLINK(CONCATENATE("#Metadata!", ADDRESS(INDEX($AJ$2:$AJ$1001,MATCH(ROWS($AH$2:AH723),$AH$2:$AH$1001,0),0), INDEX($AO$1004:$BQ$1004,1,MATCH(COLUMNS($AO$1006:BQ1006),$AO$1006:$BQ$1006,0)))),"Fix")))</f>
        <v>#REF!</v>
      </c>
      <c r="AH723">
        <f ca="1"/>
        <v>720</v>
      </c>
      <c r="AI723">
        <v>100723</v>
      </c>
      <c r="AJ723">
        <v>723</v>
      </c>
      <c r="AK723" t="b">
        <f t="shared" si="11"/>
        <v>1</v>
      </c>
      <c r="AL723" t="b">
        <f>COUNTBLANK(Metadata!B723:AD723)=COLUMNS(Metadata!B723:AD723)</f>
        <v>1</v>
      </c>
      <c r="AM723" t="str">
        <v/>
      </c>
      <c r="AO723" t="b">
        <f ca="1">AND(IF(Metadata!B723="",FALSE,TRUE),COUNTIF(Metadata!B:B, Metadata!B723) = 1,NOT(ISERROR(SUMPRODUCT(SEARCH(MID(Metadata!B723,ROW(INDIRECT("1:"&amp;LEN(Metadata!B723))), 1),"0123456789abcdefghijklmnopqrstuvwxyzABCDEFGHIJKLMNOPQRSTUVWXYZ.")))))</f>
        <v>0</v>
      </c>
      <c r="AP723" t="b">
        <f>IF(Metadata!C723="",FALSE,TRUE)</f>
        <v>0</v>
      </c>
      <c r="AQ723" t="b">
        <f>IF(Metadata!D723="",FALSE,TRUE)</f>
        <v>0</v>
      </c>
      <c r="AR723" t="b">
        <f ca="1">OR(AND(IF(Metadata!E723="",FALSE,TRUE),OR(EXACT(Metadata!E723,"not collected"),EXACT(Metadata!E723,"not provided"),EXACT(Metadata!E723,"restricted access"))),AND(IF(Metadata!E723="",FALSE,TRUE),AND(AND(IFERROR(INT(LEFT(Metadata!E723,4))&gt;1900,FALSE),IFERROR(INT(LEFT(Metadata!E723,4))&lt;=YEAR(NOW()),FALSE)), OR(MID(Metadata!E723,5,1)="", AND(AND(MID(Metadata!E723,5,1)="-",IFERROR(INT(MID(Metadata!E723,6,1))&gt;=0,FALSE),IFERROR(INT(MID(Metadata!E723,6,1))&lt;=1,FALSE),NOT(MID(Metadata!E723,7,1)=""),IFERROR(INT(MID(Metadata!E723,6,2))&gt;=1,FALSE),IFERROR(INT(MID(Metadata!E723,6,2))&lt;=12,FALSE)), OR(MID(Metadata!E723,8,1)="", AND(AND(MID(Metadata!E723,8,1)="-",IFERROR(INT(MID(Metadata!E723,9,1))&gt;=0,FALSE),IFERROR(INT(MID(Metadata!E723,9,1))&lt;=3,FALSE),NOT(MID(Metadata!E723,10,1)=""),IFERROR(INT(MID(Metadata!E723,9,2))&gt;=1,FALSE),IFERROR(INT(MID(Metadata!E723,9,2))&lt;=31,FALSE)), OR(MID(Metadata!E723,11,1)="", AND(AND(MID(Metadata!E723,11,1)=" ",IFERROR(INT(MID(Metadata!E723,12,1))&gt;=0,FALSE),IFERROR(INT(MID(Metadata!E723,12,1))&lt;=2,FALSE),NOT(MID(Metadata!E723,13,1)=""),IFERROR(INT(MID(Metadata!E723,12,2))&gt;=0,FALSE),IFERROR(INT(MID(Metadata!E723,12,2))&lt;=23,FALSE)), OR(MID(Metadata!E723,14,1)="", AND(AND(MID(Metadata!E723,14,1)=":",IFERROR(INT(MID(Metadata!E723,15,1))&gt;=0,FALSE),IFERROR(INT(MID(Metadata!E723,15,1))&lt;=5,FALSE),NOT(MID(Metadata!E723,16,1)=""),IFERROR(INT(MID(Metadata!E723,15,2))&gt;=0,FALSE),IFERROR(INT(MID(Metadata!E723,15,2))&lt;=59,FALSE)), OR(MID(Metadata!E723,17,1)="", AND(AND(MID(Metadata!E723,17,1)=":",IFERROR(INT(MID(Metadata!E723,18,1))&gt;=0,FALSE),IFERROR(INT(MID(Metadata!E723,18,1))&lt;=5,FALSE),NOT(MID(Metadata!E723,19,1)=""),IFERROR(INT(MID(Metadata!E723,18,2))&gt;=0,FALSE),IFERROR(INT(MID(Metadata!E723,18,2))&lt;=59,FALSE)), LEN(Metadata!E723)&lt;=19)))))))))))))</f>
        <v>0</v>
      </c>
      <c r="AS723" t="b">
        <f>IF(Metadata!F723="",FALSE,TRUE)</f>
        <v>0</v>
      </c>
      <c r="AT723" t="b">
        <f>OR(AND(IF(Metadata!G723="",FALSE,TRUE),OR(EXACT(Metadata!G723,"not collected"),EXACT(Metadata!G723,"not provided"))),AND(IF(Metadata!G723="",FALSE,TRUE),OR(EXACT(Metadata!G723,"TRUE"),EXACT(Metadata!G723,"FALSE"))))</f>
        <v>0</v>
      </c>
      <c r="AU723" t="b">
        <f>OR(AND(IF(Metadata!H723="",FALSE,TRUE),OR(EXACT(Metadata!H723,"not collected"),EXACT(Metadata!H723,"not provided"),EXACT(Metadata!H723,"restricted access"))),AND(IF(Metadata!H723="",FALSE,ISNUMBER(VALUE(Metadata!H723))),Metadata!H723&gt;=-413))</f>
        <v>0</v>
      </c>
      <c r="AV723" t="b">
        <f>AND(IF(Metadata!I723="",FALSE,TRUE),EXACT(Metadata!I723,"meters"))</f>
        <v>0</v>
      </c>
      <c r="AW723" t="b">
        <f>AND(IF(Metadata!J723="",FALSE,TRUE),EXACT(Metadata!J723,"free-living"))</f>
        <v>0</v>
      </c>
      <c r="AX723" t="b">
        <f>AND(IF(Metadata!K723="",FALSE,TRUE),OR(EXACT(Metadata!K723,"saline"),EXACT(Metadata!K723,"non-saline")))</f>
        <v>0</v>
      </c>
      <c r="AY723" t="b">
        <f>AND(IF(Metadata!L723="",FALSE,TRUE),OR(EXACT(Metadata!L723,"sub-surface (non-saline)"),EXACT(Metadata!L723,"surface (non-saline)"),EXACT(Metadata!L723,"water (non-saline)"),EXACT(Metadata!L723,"soil (non-saline)"),EXACT(Metadata!L723,"aerosol (non-saline)"),EXACT(Metadata!L723,"sediment (non-saline)"),EXACT(Metadata!L723,"surface (saline)"),EXACT(Metadata!L723,"water (saline)"),EXACT(Metadata!L723,"hypersaline (saline)"),EXACT(Metadata!L723,"aerosol (saline)"),EXACT(Metadata!L723,"sediment (saline)")))</f>
        <v>0</v>
      </c>
      <c r="AZ723" t="b">
        <f>IF(Metadata!M723="",FALSE,TRUE)</f>
        <v>0</v>
      </c>
      <c r="BA723" t="b">
        <f>IF(Metadata!N723="",FALSE,TRUE)</f>
        <v>0</v>
      </c>
      <c r="BB723" t="b">
        <f>IF(Metadata!O723="",FALSE,TRUE)</f>
        <v>0</v>
      </c>
      <c r="BC723" t="b">
        <f>AND(IF(Metadata!P723="",FALSE,TRUE),OR(EXACT(Metadata!P723,"air"),EXACT(Metadata!P723,"microbial mat/biofilm"),EXACT(Metadata!P723,"misc environment"),EXACT(Metadata!P723,"sediment"),EXACT(Metadata!P723,"soil"),EXACT(Metadata!P723,"wastewater/sludge"),EXACT(Metadata!P723,"water")))</f>
        <v>0</v>
      </c>
      <c r="BD723" t="b">
        <f>IF(Metadata!Q723="",FALSE,TRUE)</f>
        <v>0</v>
      </c>
      <c r="BE723" t="b">
        <f>IF(Metadata!R723="",FALSE,TRUE)</f>
        <v>0</v>
      </c>
      <c r="BF723" t="b">
        <f>OR(AND(IF(Metadata!S723="",FALSE,TRUE),OR(EXACT(Metadata!S723,"not collected"),EXACT(Metadata!S723,"not provided"),EXACT(Metadata!S723,"restricted access"))),AND(IF(Metadata!S723="",FALSE,ISNUMBER(VALUE(Metadata!S723))),Metadata!S723&gt;=-90,Metadata!S723&lt;=90))</f>
        <v>0</v>
      </c>
      <c r="BG723" t="b">
        <f>AND(IF(Metadata!T723="",FALSE,TRUE),EXACT(Metadata!T723,"Decimal degrees"))</f>
        <v>0</v>
      </c>
      <c r="BH723" t="b">
        <f>OR(AND(IF(Metadata!U723="",FALSE,TRUE),OR(EXACT(Metadata!U723,"not applicable"),EXACT(Metadata!U723,"not collected"))),IF(Metadata!U723="",FALSE,TRUE))</f>
        <v>0</v>
      </c>
      <c r="BI723" t="b">
        <f>OR(AND(IF(Metadata!V723="",FALSE,TRUE),OR(EXACT(Metadata!V723,"not collected"),EXACT(Metadata!V723,"not provided"),EXACT(Metadata!V723,"restricted access"))),AND(IF(Metadata!V723="",FALSE,ISNUMBER(VALUE(Metadata!V723))),Metadata!V723&gt;=-180,Metadata!V723&lt;=180))</f>
        <v>0</v>
      </c>
      <c r="BJ723" t="b">
        <f>AND(IF(Metadata!W723="",FALSE,TRUE),EXACT(Metadata!W723,"Decimal degrees"))</f>
        <v>0</v>
      </c>
      <c r="BK723" t="b">
        <f>IF(Metadata!X723="",FALSE,TRUE)</f>
        <v>0</v>
      </c>
      <c r="BL723" t="b">
        <f>OR(AND(IF(Metadata!Y723="",FALSE,TRUE),OR(EXACT(Metadata!Y723,"not collected"),EXACT(Metadata!Y723,"not provided"),EXACT(Metadata!Y723,"restricted access"))),AND(IF(Metadata!Y723="",FALSE,TRUE),OR(EXACT(Metadata!Y723,"TRUE"),EXACT(Metadata!Y723,"FALSE"))))</f>
        <v>0</v>
      </c>
      <c r="BM723" t="b">
        <f>OR(AND(IF(Metadata!Z723="",FALSE,TRUE),EXACT(Metadata!Z723,"not applicable")),AND(IF(Metadata!Z723="",FALSE,TRUE),OR(EXACT(Metadata!Z723,"beer"),EXACT(Metadata!Z723,"cheese"),EXACT(Metadata!Z723,"fresh water"),EXACT(Metadata!Z723,"marine sediment"),EXACT(Metadata!Z723,"sea water"),EXACT(Metadata!Z723,"sediment"),EXACT(Metadata!Z723,"soil"),EXACT(Metadata!Z723,"waste water"))))</f>
        <v>0</v>
      </c>
      <c r="BN723" t="b">
        <f>AND(IF(Metadata!AA723="",FALSE,TRUE),EXACT(Metadata!AA723,"metagenome"))</f>
        <v>0</v>
      </c>
      <c r="BO723" t="b">
        <f>AND(IF(Metadata!AB723="",FALSE,TRUE),EXACT(Metadata!AB723,"256318"))</f>
        <v>0</v>
      </c>
      <c r="BP723" t="b">
        <f>IF(Metadata!AC723="",FALSE,TRUE)</f>
        <v>0</v>
      </c>
      <c r="BQ723" t="b">
        <f>IF(Metadata!AD723="",FALSE,TRUE)</f>
        <v>0</v>
      </c>
    </row>
    <row r="724" spans="1:69" x14ac:dyDescent="0.2">
      <c r="A724" s="4" t="e">
        <f ca="1">IF(B724=" "," ",HYPERLINK(CONCATENATE("#metadata!",ADDRESS(INDEX($AJ$2:$AJ$1001,MATCH(ROWS($AH$2:AH724),$AH$2:$AH$1001,0),0),2)),INDEX($AM$2:$AM$1001,MATCH(ROWS($AH$2:AH724),$AH$2:$AH$1001,0),0)))</f>
        <v>#N/A</v>
      </c>
      <c r="B724" s="5" t="e">
        <f ca="1">IF(OR(INDEX($AI$2:$AI$1001,MATCH(ROWS($AH$2:AH724),$AH$2:$AH$1001,0),1)&gt;=100000,INDEX($AO$1005:$BQ$1005,1,MATCH(COLUMNS($AO$1006:AO1006),$AO$1006:$BQ$1006,0))&gt;=100000), " ",IF(INDEX($AO$2:$BQ$1001,MATCH(ROWS($AH$2:AH724),$AH$2:$AH$1001,0),MATCH(COLUMNS($AO$1006:AO1006),$AO$1006:$BQ$1006,0)), HYPERLINK("#",""), HYPERLINK(CONCATENATE("#Metadata!", ADDRESS(INDEX($AJ$2:$AJ$1001,MATCH(ROWS($AH$2:AH724),$AH$2:$AH$1001,0),0), INDEX($AO$1004:$BQ$1004,1,MATCH(COLUMNS($AO$1006:AO1006),$AO$1006:$BQ$1006,0)))),"Fix")))</f>
        <v>#N/A</v>
      </c>
      <c r="C724" s="5" t="e">
        <f ca="1">IF(OR(INDEX($AI$2:$AI$1001,MATCH(ROWS($AH$2:AH724),$AH$2:$AH$1001,0),1)&gt;=100000,INDEX($AO$1005:$BQ$1005,1,MATCH(COLUMNS($AO$1006:AP1006),$AO$1006:$BQ$1006,0))&gt;=100000), " ",IF(INDEX($AO$2:$BQ$1001,MATCH(ROWS($AH$2:AH724),$AH$2:$AH$1001,0),MATCH(COLUMNS($AO$1006:AP1006),$AO$1006:$BQ$1006,0)), HYPERLINK("#",""), HYPERLINK(CONCATENATE("#Metadata!", ADDRESS(INDEX($AJ$2:$AJ$1001,MATCH(ROWS($AH$2:AH724),$AH$2:$AH$1001,0),0), INDEX($AO$1004:$BQ$1004,1,MATCH(COLUMNS($AO$1006:AP1006),$AO$1006:$BQ$1006,0)))),"Fix")))</f>
        <v>#N/A</v>
      </c>
      <c r="D724" s="5" t="e">
        <f ca="1">IF(OR(INDEX($AI$2:$AI$1001,MATCH(ROWS($AH$2:AH724),$AH$2:$AH$1001,0),1)&gt;=100000,INDEX($AO$1005:$BQ$1005,1,MATCH(COLUMNS($AO$1006:AQ1006),$AO$1006:$BQ$1006,0))&gt;=100000), " ",IF(INDEX($AO$2:$BQ$1001,MATCH(ROWS($AH$2:AH724),$AH$2:$AH$1001,0),MATCH(COLUMNS($AO$1006:AQ1006),$AO$1006:$BQ$1006,0)), HYPERLINK("#",""), HYPERLINK(CONCATENATE("#Metadata!", ADDRESS(INDEX($AJ$2:$AJ$1001,MATCH(ROWS($AH$2:AH724),$AH$2:$AH$1001,0),0), INDEX($AO$1004:$BQ$1004,1,MATCH(COLUMNS($AO$1006:AQ1006),$AO$1006:$BQ$1006,0)))),"Fix")))</f>
        <v>#N/A</v>
      </c>
      <c r="E724" s="5" t="e">
        <f ca="1">IF(OR(INDEX($AI$2:$AI$1001,MATCH(ROWS($AH$2:AH724),$AH$2:$AH$1001,0),1)&gt;=100000,INDEX($AO$1005:$BQ$1005,1,MATCH(COLUMNS($AO$1006:AR1006),$AO$1006:$BQ$1006,0))&gt;=100000), " ",IF(INDEX($AO$2:$BQ$1001,MATCH(ROWS($AH$2:AH724),$AH$2:$AH$1001,0),MATCH(COLUMNS($AO$1006:AR1006),$AO$1006:$BQ$1006,0)), HYPERLINK("#",""), HYPERLINK(CONCATENATE("#Metadata!", ADDRESS(INDEX($AJ$2:$AJ$1001,MATCH(ROWS($AH$2:AH724),$AH$2:$AH$1001,0),0), INDEX($AO$1004:$BQ$1004,1,MATCH(COLUMNS($AO$1006:AR1006),$AO$1006:$BQ$1006,0)))),"Fix")))</f>
        <v>#N/A</v>
      </c>
      <c r="F724" s="5" t="e">
        <f ca="1">IF(OR(INDEX($AI$2:$AI$1001,MATCH(ROWS($AH$2:AH724),$AH$2:$AH$1001,0),1)&gt;=100000,INDEX($AO$1005:$BQ$1005,1,MATCH(COLUMNS($AO$1006:AS1006),$AO$1006:$BQ$1006,0))&gt;=100000), " ",IF(INDEX($AO$2:$BQ$1001,MATCH(ROWS($AH$2:AH724),$AH$2:$AH$1001,0),MATCH(COLUMNS($AO$1006:AS1006),$AO$1006:$BQ$1006,0)), HYPERLINK("#",""), HYPERLINK(CONCATENATE("#Metadata!", ADDRESS(INDEX($AJ$2:$AJ$1001,MATCH(ROWS($AH$2:AH724),$AH$2:$AH$1001,0),0), INDEX($AO$1004:$BQ$1004,1,MATCH(COLUMNS($AO$1006:AS1006),$AO$1006:$BQ$1006,0)))),"Fix")))</f>
        <v>#N/A</v>
      </c>
      <c r="G724" s="5" t="e">
        <f ca="1">IF(OR(INDEX($AI$2:$AI$1001,MATCH(ROWS($AH$2:AH724),$AH$2:$AH$1001,0),1)&gt;=100000,INDEX($AO$1005:$BQ$1005,1,MATCH(COLUMNS($AO$1006:AT1006),$AO$1006:$BQ$1006,0))&gt;=100000), " ",IF(INDEX($AO$2:$BQ$1001,MATCH(ROWS($AH$2:AH724),$AH$2:$AH$1001,0),MATCH(COLUMNS($AO$1006:AT1006),$AO$1006:$BQ$1006,0)), HYPERLINK("#",""), HYPERLINK(CONCATENATE("#Metadata!", ADDRESS(INDEX($AJ$2:$AJ$1001,MATCH(ROWS($AH$2:AH724),$AH$2:$AH$1001,0),0), INDEX($AO$1004:$BQ$1004,1,MATCH(COLUMNS($AO$1006:AT1006),$AO$1006:$BQ$1006,0)))),"Fix")))</f>
        <v>#N/A</v>
      </c>
      <c r="H724" s="5" t="e">
        <f ca="1">IF(OR(INDEX($AI$2:$AI$1001,MATCH(ROWS($AH$2:AH724),$AH$2:$AH$1001,0),1)&gt;=100000,INDEX($AO$1005:$BQ$1005,1,MATCH(COLUMNS($AO$1006:AU1006),$AO$1006:$BQ$1006,0))&gt;=100000), " ",IF(INDEX($AO$2:$BQ$1001,MATCH(ROWS($AH$2:AH724),$AH$2:$AH$1001,0),MATCH(COLUMNS($AO$1006:AU1006),$AO$1006:$BQ$1006,0)), HYPERLINK("#",""), HYPERLINK(CONCATENATE("#Metadata!", ADDRESS(INDEX($AJ$2:$AJ$1001,MATCH(ROWS($AH$2:AH724),$AH$2:$AH$1001,0),0), INDEX($AO$1004:$BQ$1004,1,MATCH(COLUMNS($AO$1006:AU1006),$AO$1006:$BQ$1006,0)))),"Fix")))</f>
        <v>#N/A</v>
      </c>
      <c r="I724" s="5" t="e">
        <f ca="1">IF(OR(INDEX($AI$2:$AI$1001,MATCH(ROWS($AH$2:AH724),$AH$2:$AH$1001,0),1)&gt;=100000,INDEX($AO$1005:$BQ$1005,1,MATCH(COLUMNS($AO$1006:AV1006),$AO$1006:$BQ$1006,0))&gt;=100000), " ",IF(INDEX($AO$2:$BQ$1001,MATCH(ROWS($AH$2:AH724),$AH$2:$AH$1001,0),MATCH(COLUMNS($AO$1006:AV1006),$AO$1006:$BQ$1006,0)), HYPERLINK("#",""), HYPERLINK(CONCATENATE("#Metadata!", ADDRESS(INDEX($AJ$2:$AJ$1001,MATCH(ROWS($AH$2:AH724),$AH$2:$AH$1001,0),0), INDEX($AO$1004:$BQ$1004,1,MATCH(COLUMNS($AO$1006:AV1006),$AO$1006:$BQ$1006,0)))),"Fix")))</f>
        <v>#N/A</v>
      </c>
      <c r="J724" s="5" t="e">
        <f ca="1">IF(OR(INDEX($AI$2:$AI$1001,MATCH(ROWS($AH$2:AH724),$AH$2:$AH$1001,0),1)&gt;=100000,INDEX($AO$1005:$BQ$1005,1,MATCH(COLUMNS($AO$1006:AW1006),$AO$1006:$BQ$1006,0))&gt;=100000), " ",IF(INDEX($AO$2:$BQ$1001,MATCH(ROWS($AH$2:AH724),$AH$2:$AH$1001,0),MATCH(COLUMNS($AO$1006:AW1006),$AO$1006:$BQ$1006,0)), HYPERLINK("#",""), HYPERLINK(CONCATENATE("#Metadata!", ADDRESS(INDEX($AJ$2:$AJ$1001,MATCH(ROWS($AH$2:AH724),$AH$2:$AH$1001,0),0), INDEX($AO$1004:$BQ$1004,1,MATCH(COLUMNS($AO$1006:AW1006),$AO$1006:$BQ$1006,0)))),"Fix")))</f>
        <v>#N/A</v>
      </c>
      <c r="K724" s="5" t="e">
        <f ca="1">IF(OR(INDEX($AI$2:$AI$1001,MATCH(ROWS($AH$2:AH724),$AH$2:$AH$1001,0),1)&gt;=100000,INDEX($AO$1005:$BQ$1005,1,MATCH(COLUMNS($AO$1006:AX1006),$AO$1006:$BQ$1006,0))&gt;=100000), " ",IF(INDEX($AO$2:$BQ$1001,MATCH(ROWS($AH$2:AH724),$AH$2:$AH$1001,0),MATCH(COLUMNS($AO$1006:AX1006),$AO$1006:$BQ$1006,0)), HYPERLINK("#",""), HYPERLINK(CONCATENATE("#Metadata!", ADDRESS(INDEX($AJ$2:$AJ$1001,MATCH(ROWS($AH$2:AH724),$AH$2:$AH$1001,0),0), INDEX($AO$1004:$BQ$1004,1,MATCH(COLUMNS($AO$1006:AX1006),$AO$1006:$BQ$1006,0)))),"Fix")))</f>
        <v>#N/A</v>
      </c>
      <c r="L724" s="5" t="e">
        <f ca="1">IF(OR(INDEX($AI$2:$AI$1001,MATCH(ROWS($AH$2:AH724),$AH$2:$AH$1001,0),1)&gt;=100000,INDEX($AO$1005:$BQ$1005,1,MATCH(COLUMNS($AO$1006:AY1006),$AO$1006:$BQ$1006,0))&gt;=100000), " ",IF(INDEX($AO$2:$BQ$1001,MATCH(ROWS($AH$2:AH724),$AH$2:$AH$1001,0),MATCH(COLUMNS($AO$1006:AY1006),$AO$1006:$BQ$1006,0)), HYPERLINK("#",""), HYPERLINK(CONCATENATE("#Metadata!", ADDRESS(INDEX($AJ$2:$AJ$1001,MATCH(ROWS($AH$2:AH724),$AH$2:$AH$1001,0),0), INDEX($AO$1004:$BQ$1004,1,MATCH(COLUMNS($AO$1006:AY1006),$AO$1006:$BQ$1006,0)))),"Fix")))</f>
        <v>#N/A</v>
      </c>
      <c r="M724" s="5" t="e">
        <f ca="1">IF(OR(INDEX($AI$2:$AI$1001,MATCH(ROWS($AH$2:AH724),$AH$2:$AH$1001,0),1)&gt;=100000,INDEX($AO$1005:$BQ$1005,1,MATCH(COLUMNS($AO$1006:AZ1006),$AO$1006:$BQ$1006,0))&gt;=100000), " ",IF(INDEX($AO$2:$BQ$1001,MATCH(ROWS($AH$2:AH724),$AH$2:$AH$1001,0),MATCH(COLUMNS($AO$1006:AZ1006),$AO$1006:$BQ$1006,0)), HYPERLINK("#",""), HYPERLINK(CONCATENATE("#Metadata!", ADDRESS(INDEX($AJ$2:$AJ$1001,MATCH(ROWS($AH$2:AH724),$AH$2:$AH$1001,0),0), INDEX($AO$1004:$BQ$1004,1,MATCH(COLUMNS($AO$1006:AZ1006),$AO$1006:$BQ$1006,0)))),"Fix")))</f>
        <v>#N/A</v>
      </c>
      <c r="N724" s="5" t="e">
        <f ca="1">IF(OR(INDEX($AI$2:$AI$1001,MATCH(ROWS($AH$2:AH724),$AH$2:$AH$1001,0),1)&gt;=100000,INDEX($AO$1005:$BQ$1005,1,MATCH(COLUMNS($AO$1006:BA1006),$AO$1006:$BQ$1006,0))&gt;=100000), " ",IF(INDEX($AO$2:$BQ$1001,MATCH(ROWS($AH$2:AH724),$AH$2:$AH$1001,0),MATCH(COLUMNS($AO$1006:BA1006),$AO$1006:$BQ$1006,0)), HYPERLINK("#",""), HYPERLINK(CONCATENATE("#Metadata!", ADDRESS(INDEX($AJ$2:$AJ$1001,MATCH(ROWS($AH$2:AH724),$AH$2:$AH$1001,0),0), INDEX($AO$1004:$BQ$1004,1,MATCH(COLUMNS($AO$1006:BA1006),$AO$1006:$BQ$1006,0)))),"Fix")))</f>
        <v>#N/A</v>
      </c>
      <c r="O724" s="5" t="e">
        <f ca="1">IF(OR(INDEX($AI$2:$AI$1001,MATCH(ROWS($AH$2:AH724),$AH$2:$AH$1001,0),1)&gt;=100000,INDEX($AO$1005:$BQ$1005,1,MATCH(COLUMNS($AO$1006:BB1006),$AO$1006:$BQ$1006,0))&gt;=100000), " ",IF(INDEX($AO$2:$BQ$1001,MATCH(ROWS($AH$2:AH724),$AH$2:$AH$1001,0),MATCH(COLUMNS($AO$1006:BB1006),$AO$1006:$BQ$1006,0)), HYPERLINK("#",""), HYPERLINK(CONCATENATE("#Metadata!", ADDRESS(INDEX($AJ$2:$AJ$1001,MATCH(ROWS($AH$2:AH724),$AH$2:$AH$1001,0),0), INDEX($AO$1004:$BQ$1004,1,MATCH(COLUMNS($AO$1006:BB1006),$AO$1006:$BQ$1006,0)))),"Fix")))</f>
        <v>#N/A</v>
      </c>
      <c r="P724" s="5" t="e">
        <f ca="1">IF(OR(INDEX($AI$2:$AI$1001,MATCH(ROWS($AH$2:AH724),$AH$2:$AH$1001,0),1)&gt;=100000,INDEX($AO$1005:$BQ$1005,1,MATCH(COLUMNS($AO$1006:BC1006),$AO$1006:$BQ$1006,0))&gt;=100000), " ",IF(INDEX($AO$2:$BQ$1001,MATCH(ROWS($AH$2:AH724),$AH$2:$AH$1001,0),MATCH(COLUMNS($AO$1006:BC1006),$AO$1006:$BQ$1006,0)), HYPERLINK("#",""), HYPERLINK(CONCATENATE("#Metadata!", ADDRESS(INDEX($AJ$2:$AJ$1001,MATCH(ROWS($AH$2:AH724),$AH$2:$AH$1001,0),0), INDEX($AO$1004:$BQ$1004,1,MATCH(COLUMNS($AO$1006:BC1006),$AO$1006:$BQ$1006,0)))),"Fix")))</f>
        <v>#N/A</v>
      </c>
      <c r="Q724" s="5" t="e">
        <f ca="1">IF(OR(INDEX($AI$2:$AI$1001,MATCH(ROWS($AH$2:AH724),$AH$2:$AH$1001,0),1)&gt;=100000,INDEX($AO$1005:$BQ$1005,1,MATCH(COLUMNS($AO$1006:BD1006),$AO$1006:$BQ$1006,0))&gt;=100000), " ",IF(INDEX($AO$2:$BQ$1001,MATCH(ROWS($AH$2:AH724),$AH$2:$AH$1001,0),MATCH(COLUMNS($AO$1006:BD1006),$AO$1006:$BQ$1006,0)), HYPERLINK("#",""), HYPERLINK(CONCATENATE("#Metadata!", ADDRESS(INDEX($AJ$2:$AJ$1001,MATCH(ROWS($AH$2:AH724),$AH$2:$AH$1001,0),0), INDEX($AO$1004:$BQ$1004,1,MATCH(COLUMNS($AO$1006:BD1006),$AO$1006:$BQ$1006,0)))),"Fix")))</f>
        <v>#N/A</v>
      </c>
      <c r="R724" s="5" t="e">
        <f ca="1">IF(OR(INDEX($AI$2:$AI$1001,MATCH(ROWS($AH$2:AH724),$AH$2:$AH$1001,0),1)&gt;=100000,INDEX($AO$1005:$BQ$1005,1,MATCH(COLUMNS($AO$1006:BE1006),$AO$1006:$BQ$1006,0))&gt;=100000), " ",IF(INDEX($AO$2:$BQ$1001,MATCH(ROWS($AH$2:AH724),$AH$2:$AH$1001,0),MATCH(COLUMNS($AO$1006:BE1006),$AO$1006:$BQ$1006,0)), HYPERLINK("#",""), HYPERLINK(CONCATENATE("#Metadata!", ADDRESS(INDEX($AJ$2:$AJ$1001,MATCH(ROWS($AH$2:AH724),$AH$2:$AH$1001,0),0), INDEX($AO$1004:$BQ$1004,1,MATCH(COLUMNS($AO$1006:BE1006),$AO$1006:$BQ$1006,0)))),"Fix")))</f>
        <v>#N/A</v>
      </c>
      <c r="S724" s="5" t="e">
        <f ca="1">IF(OR(INDEX($AI$2:$AI$1001,MATCH(ROWS($AH$2:AH724),$AH$2:$AH$1001,0),1)&gt;=100000,INDEX($AO$1005:$BQ$1005,1,MATCH(COLUMNS($AO$1006:BF1006),$AO$1006:$BQ$1006,0))&gt;=100000), " ",IF(INDEX($AO$2:$BQ$1001,MATCH(ROWS($AH$2:AH724),$AH$2:$AH$1001,0),MATCH(COLUMNS($AO$1006:BF1006),$AO$1006:$BQ$1006,0)), HYPERLINK("#",""), HYPERLINK(CONCATENATE("#Metadata!", ADDRESS(INDEX($AJ$2:$AJ$1001,MATCH(ROWS($AH$2:AH724),$AH$2:$AH$1001,0),0), INDEX($AO$1004:$BQ$1004,1,MATCH(COLUMNS($AO$1006:BF1006),$AO$1006:$BQ$1006,0)))),"Fix")))</f>
        <v>#N/A</v>
      </c>
      <c r="T724" s="5" t="e">
        <f ca="1">IF(OR(INDEX($AI$2:$AI$1001,MATCH(ROWS($AH$2:AH724),$AH$2:$AH$1001,0),1)&gt;=100000,INDEX($AO$1005:$BQ$1005,1,MATCH(COLUMNS($AO$1006:BG1006),$AO$1006:$BQ$1006,0))&gt;=100000), " ",IF(INDEX($AO$2:$BQ$1001,MATCH(ROWS($AH$2:AH724),$AH$2:$AH$1001,0),MATCH(COLUMNS($AO$1006:BG1006),$AO$1006:$BQ$1006,0)), HYPERLINK("#",""), HYPERLINK(CONCATENATE("#Metadata!", ADDRESS(INDEX($AJ$2:$AJ$1001,MATCH(ROWS($AH$2:AH724),$AH$2:$AH$1001,0),0), INDEX($AO$1004:$BQ$1004,1,MATCH(COLUMNS($AO$1006:BG1006),$AO$1006:$BQ$1006,0)))),"Fix")))</f>
        <v>#N/A</v>
      </c>
      <c r="U724" s="5" t="e">
        <f ca="1">IF(OR(INDEX($AI$2:$AI$1001,MATCH(ROWS($AH$2:AH724),$AH$2:$AH$1001,0),1)&gt;=100000,INDEX($AO$1005:$BQ$1005,1,MATCH(COLUMNS($AO$1006:BH1006),$AO$1006:$BQ$1006,0))&gt;=100000), " ",IF(INDEX($AO$2:$BQ$1001,MATCH(ROWS($AH$2:AH724),$AH$2:$AH$1001,0),MATCH(COLUMNS($AO$1006:BH1006),$AO$1006:$BQ$1006,0)), HYPERLINK("#",""), HYPERLINK(CONCATENATE("#Metadata!", ADDRESS(INDEX($AJ$2:$AJ$1001,MATCH(ROWS($AH$2:AH724),$AH$2:$AH$1001,0),0), INDEX($AO$1004:$BQ$1004,1,MATCH(COLUMNS($AO$1006:BH1006),$AO$1006:$BQ$1006,0)))),"Fix")))</f>
        <v>#N/A</v>
      </c>
      <c r="V724" s="5" t="e">
        <f ca="1">IF(OR(INDEX($AI$2:$AI$1001,MATCH(ROWS($AH$2:AH724),$AH$2:$AH$1001,0),1)&gt;=100000,INDEX($AO$1005:$BQ$1005,1,MATCH(COLUMNS($AO$1006:BI1006),$AO$1006:$BQ$1006,0))&gt;=100000), " ",IF(INDEX($AO$2:$BQ$1001,MATCH(ROWS($AH$2:AH724),$AH$2:$AH$1001,0),MATCH(COLUMNS($AO$1006:BI1006),$AO$1006:$BQ$1006,0)), HYPERLINK("#",""), HYPERLINK(CONCATENATE("#Metadata!", ADDRESS(INDEX($AJ$2:$AJ$1001,MATCH(ROWS($AH$2:AH724),$AH$2:$AH$1001,0),0), INDEX($AO$1004:$BQ$1004,1,MATCH(COLUMNS($AO$1006:BI1006),$AO$1006:$BQ$1006,0)))),"Fix")))</f>
        <v>#N/A</v>
      </c>
      <c r="W724" s="5" t="e">
        <f ca="1">IF(OR(INDEX($AI$2:$AI$1001,MATCH(ROWS($AH$2:AH724),$AH$2:$AH$1001,0),1)&gt;=100000,INDEX($AO$1005:$BQ$1005,1,MATCH(COLUMNS($AO$1006:BJ1006),$AO$1006:$BQ$1006,0))&gt;=100000), " ",IF(INDEX($AO$2:$BQ$1001,MATCH(ROWS($AH$2:AH724),$AH$2:$AH$1001,0),MATCH(COLUMNS($AO$1006:BJ1006),$AO$1006:$BQ$1006,0)), HYPERLINK("#",""), HYPERLINK(CONCATENATE("#Metadata!", ADDRESS(INDEX($AJ$2:$AJ$1001,MATCH(ROWS($AH$2:AH724),$AH$2:$AH$1001,0),0), INDEX($AO$1004:$BQ$1004,1,MATCH(COLUMNS($AO$1006:BJ1006),$AO$1006:$BQ$1006,0)))),"Fix")))</f>
        <v>#N/A</v>
      </c>
      <c r="X724" s="5" t="e">
        <f ca="1">IF(OR(INDEX($AI$2:$AI$1001,MATCH(ROWS($AH$2:AH724),$AH$2:$AH$1001,0),1)&gt;=100000,INDEX($AO$1005:$BQ$1005,1,MATCH(COLUMNS($AO$1006:BK1006),$AO$1006:$BQ$1006,0))&gt;=100000), " ",IF(INDEX($AO$2:$BQ$1001,MATCH(ROWS($AH$2:AH724),$AH$2:$AH$1001,0),MATCH(COLUMNS($AO$1006:BK1006),$AO$1006:$BQ$1006,0)), HYPERLINK("#",""), HYPERLINK(CONCATENATE("#Metadata!", ADDRESS(INDEX($AJ$2:$AJ$1001,MATCH(ROWS($AH$2:AH724),$AH$2:$AH$1001,0),0), INDEX($AO$1004:$BQ$1004,1,MATCH(COLUMNS($AO$1006:BK1006),$AO$1006:$BQ$1006,0)))),"Fix")))</f>
        <v>#N/A</v>
      </c>
      <c r="Y724" s="5" t="e">
        <f ca="1">IF(OR(INDEX($AI$2:$AI$1001,MATCH(ROWS($AH$2:AH724),$AH$2:$AH$1001,0),1)&gt;=100000,INDEX($AO$1005:$BQ$1005,1,MATCH(COLUMNS($AO$1006:BL1006),$AO$1006:$BQ$1006,0))&gt;=100000), " ",IF(INDEX($AO$2:$BQ$1001,MATCH(ROWS($AH$2:AH724),$AH$2:$AH$1001,0),MATCH(COLUMNS($AO$1006:BL1006),$AO$1006:$BQ$1006,0)), HYPERLINK("#",""), HYPERLINK(CONCATENATE("#Metadata!", ADDRESS(INDEX($AJ$2:$AJ$1001,MATCH(ROWS($AH$2:AH724),$AH$2:$AH$1001,0),0), INDEX($AO$1004:$BQ$1004,1,MATCH(COLUMNS($AO$1006:BL1006),$AO$1006:$BQ$1006,0)))),"Fix")))</f>
        <v>#N/A</v>
      </c>
      <c r="Z724" s="5" t="e">
        <f ca="1">IF(OR(INDEX($AI$2:$AI$1001,MATCH(ROWS($AH$2:AH724),$AH$2:$AH$1001,0),1)&gt;=100000,INDEX($AO$1005:$BQ$1005,1,MATCH(COLUMNS($AO$1006:BM1006),$AO$1006:$BQ$1006,0))&gt;=100000), " ",IF(INDEX($AO$2:$BQ$1001,MATCH(ROWS($AH$2:AH724),$AH$2:$AH$1001,0),MATCH(COLUMNS($AO$1006:BM1006),$AO$1006:$BQ$1006,0)), HYPERLINK("#",""), HYPERLINK(CONCATENATE("#Metadata!", ADDRESS(INDEX($AJ$2:$AJ$1001,MATCH(ROWS($AH$2:AH724),$AH$2:$AH$1001,0),0), INDEX($AO$1004:$BQ$1004,1,MATCH(COLUMNS($AO$1006:BM1006),$AO$1006:$BQ$1006,0)))),"Fix")))</f>
        <v>#N/A</v>
      </c>
      <c r="AA724" s="5" t="e">
        <f ca="1">IF(OR(INDEX($AI$2:$AI$1001,MATCH(ROWS($AH$2:AH724),$AH$2:$AH$1001,0),1)&gt;=100000,INDEX($AO$1005:$BQ$1005,1,MATCH(COLUMNS($AO$1006:BN1006),$AO$1006:$BQ$1006,0))&gt;=100000), " ",IF(INDEX($AO$2:$BQ$1001,MATCH(ROWS($AH$2:AH724),$AH$2:$AH$1001,0),MATCH(COLUMNS($AO$1006:BN1006),$AO$1006:$BQ$1006,0)), HYPERLINK("#",""), HYPERLINK(CONCATENATE("#Metadata!", ADDRESS(INDEX($AJ$2:$AJ$1001,MATCH(ROWS($AH$2:AH724),$AH$2:$AH$1001,0),0), INDEX($AO$1004:$BQ$1004,1,MATCH(COLUMNS($AO$1006:BN1006),$AO$1006:$BQ$1006,0)))),"Fix")))</f>
        <v>#N/A</v>
      </c>
      <c r="AB724" s="5" t="e">
        <f ca="1">IF(OR(INDEX($AI$2:$AI$1001,MATCH(ROWS($AH$2:AH724),$AH$2:$AH$1001,0),1)&gt;=100000,INDEX($AO$1005:$BQ$1005,1,MATCH(COLUMNS($AO$1006:BO1006),$AO$1006:$BQ$1006,0))&gt;=100000), " ",IF(INDEX($AO$2:$BQ$1001,MATCH(ROWS($AH$2:AH724),$AH$2:$AH$1001,0),MATCH(COLUMNS($AO$1006:BO1006),$AO$1006:$BQ$1006,0)), HYPERLINK("#",""), HYPERLINK(CONCATENATE("#Metadata!", ADDRESS(INDEX($AJ$2:$AJ$1001,MATCH(ROWS($AH$2:AH724),$AH$2:$AH$1001,0),0), INDEX($AO$1004:$BQ$1004,1,MATCH(COLUMNS($AO$1006:BO1006),$AO$1006:$BQ$1006,0)))),"Fix")))</f>
        <v>#N/A</v>
      </c>
      <c r="AC724" s="5" t="e">
        <f ca="1">IF(OR(INDEX($AI$2:$AI$1001,MATCH(ROWS($AH$2:AH724),$AH$2:$AH$1001,0),1)&gt;=100000,INDEX($AO$1005:$BQ$1005,1,MATCH(COLUMNS($AO$1006:BP1006),$AO$1006:$BQ$1006,0))&gt;=100000), " ",IF(INDEX($AO$2:$BQ$1001,MATCH(ROWS($AH$2:AH724),$AH$2:$AH$1001,0),MATCH(COLUMNS($AO$1006:BP1006),$AO$1006:$BQ$1006,0)), HYPERLINK("#",""), HYPERLINK(CONCATENATE("#Metadata!", ADDRESS(INDEX($AJ$2:$AJ$1001,MATCH(ROWS($AH$2:AH724),$AH$2:$AH$1001,0),0), INDEX($AO$1004:$BQ$1004,1,MATCH(COLUMNS($AO$1006:BP1006),$AO$1006:$BQ$1006,0)))),"Fix")))</f>
        <v>#N/A</v>
      </c>
      <c r="AD724" s="5" t="e">
        <f ca="1">IF(OR(INDEX($AI$2:$AI$1001,MATCH(ROWS($AH$2:AH724),$AH$2:$AH$1001,0),1)&gt;=100000,INDEX($AO$1005:$BQ$1005,1,MATCH(COLUMNS($AO$1006:BQ1006),$AO$1006:$BQ$1006,0))&gt;=100000), " ",IF(INDEX($AO$2:$BQ$1001,MATCH(ROWS($AH$2:AH724),$AH$2:$AH$1001,0),MATCH(COLUMNS($AO$1006:BQ1006),$AO$1006:$BQ$1006,0)), HYPERLINK("#",""), HYPERLINK(CONCATENATE("#Metadata!", ADDRESS(INDEX($AJ$2:$AJ$1001,MATCH(ROWS($AH$2:AH724),$AH$2:$AH$1001,0),0), INDEX($AO$1004:$BQ$1004,1,MATCH(COLUMNS($AO$1006:BQ1006),$AO$1006:$BQ$1006,0)))),"Fix")))</f>
        <v>#REF!</v>
      </c>
      <c r="AH724">
        <f ca="1"/>
        <v>721</v>
      </c>
      <c r="AI724">
        <v>100724</v>
      </c>
      <c r="AJ724">
        <v>724</v>
      </c>
      <c r="AK724" t="b">
        <f t="shared" si="11"/>
        <v>1</v>
      </c>
      <c r="AL724" t="b">
        <f>COUNTBLANK(Metadata!B724:AD724)=COLUMNS(Metadata!B724:AD724)</f>
        <v>1</v>
      </c>
      <c r="AM724" t="str">
        <v/>
      </c>
      <c r="AO724" t="b">
        <f ca="1">AND(IF(Metadata!B724="",FALSE,TRUE),COUNTIF(Metadata!B:B, Metadata!B724) = 1,NOT(ISERROR(SUMPRODUCT(SEARCH(MID(Metadata!B724,ROW(INDIRECT("1:"&amp;LEN(Metadata!B724))), 1),"0123456789abcdefghijklmnopqrstuvwxyzABCDEFGHIJKLMNOPQRSTUVWXYZ.")))))</f>
        <v>0</v>
      </c>
      <c r="AP724" t="b">
        <f>IF(Metadata!C724="",FALSE,TRUE)</f>
        <v>0</v>
      </c>
      <c r="AQ724" t="b">
        <f>IF(Metadata!D724="",FALSE,TRUE)</f>
        <v>0</v>
      </c>
      <c r="AR724" t="b">
        <f ca="1">OR(AND(IF(Metadata!E724="",FALSE,TRUE),OR(EXACT(Metadata!E724,"not collected"),EXACT(Metadata!E724,"not provided"),EXACT(Metadata!E724,"restricted access"))),AND(IF(Metadata!E724="",FALSE,TRUE),AND(AND(IFERROR(INT(LEFT(Metadata!E724,4))&gt;1900,FALSE),IFERROR(INT(LEFT(Metadata!E724,4))&lt;=YEAR(NOW()),FALSE)), OR(MID(Metadata!E724,5,1)="", AND(AND(MID(Metadata!E724,5,1)="-",IFERROR(INT(MID(Metadata!E724,6,1))&gt;=0,FALSE),IFERROR(INT(MID(Metadata!E724,6,1))&lt;=1,FALSE),NOT(MID(Metadata!E724,7,1)=""),IFERROR(INT(MID(Metadata!E724,6,2))&gt;=1,FALSE),IFERROR(INT(MID(Metadata!E724,6,2))&lt;=12,FALSE)), OR(MID(Metadata!E724,8,1)="", AND(AND(MID(Metadata!E724,8,1)="-",IFERROR(INT(MID(Metadata!E724,9,1))&gt;=0,FALSE),IFERROR(INT(MID(Metadata!E724,9,1))&lt;=3,FALSE),NOT(MID(Metadata!E724,10,1)=""),IFERROR(INT(MID(Metadata!E724,9,2))&gt;=1,FALSE),IFERROR(INT(MID(Metadata!E724,9,2))&lt;=31,FALSE)), OR(MID(Metadata!E724,11,1)="", AND(AND(MID(Metadata!E724,11,1)=" ",IFERROR(INT(MID(Metadata!E724,12,1))&gt;=0,FALSE),IFERROR(INT(MID(Metadata!E724,12,1))&lt;=2,FALSE),NOT(MID(Metadata!E724,13,1)=""),IFERROR(INT(MID(Metadata!E724,12,2))&gt;=0,FALSE),IFERROR(INT(MID(Metadata!E724,12,2))&lt;=23,FALSE)), OR(MID(Metadata!E724,14,1)="", AND(AND(MID(Metadata!E724,14,1)=":",IFERROR(INT(MID(Metadata!E724,15,1))&gt;=0,FALSE),IFERROR(INT(MID(Metadata!E724,15,1))&lt;=5,FALSE),NOT(MID(Metadata!E724,16,1)=""),IFERROR(INT(MID(Metadata!E724,15,2))&gt;=0,FALSE),IFERROR(INT(MID(Metadata!E724,15,2))&lt;=59,FALSE)), OR(MID(Metadata!E724,17,1)="", AND(AND(MID(Metadata!E724,17,1)=":",IFERROR(INT(MID(Metadata!E724,18,1))&gt;=0,FALSE),IFERROR(INT(MID(Metadata!E724,18,1))&lt;=5,FALSE),NOT(MID(Metadata!E724,19,1)=""),IFERROR(INT(MID(Metadata!E724,18,2))&gt;=0,FALSE),IFERROR(INT(MID(Metadata!E724,18,2))&lt;=59,FALSE)), LEN(Metadata!E724)&lt;=19)))))))))))))</f>
        <v>0</v>
      </c>
      <c r="AS724" t="b">
        <f>IF(Metadata!F724="",FALSE,TRUE)</f>
        <v>0</v>
      </c>
      <c r="AT724" t="b">
        <f>OR(AND(IF(Metadata!G724="",FALSE,TRUE),OR(EXACT(Metadata!G724,"not collected"),EXACT(Metadata!G724,"not provided"))),AND(IF(Metadata!G724="",FALSE,TRUE),OR(EXACT(Metadata!G724,"TRUE"),EXACT(Metadata!G724,"FALSE"))))</f>
        <v>0</v>
      </c>
      <c r="AU724" t="b">
        <f>OR(AND(IF(Metadata!H724="",FALSE,TRUE),OR(EXACT(Metadata!H724,"not collected"),EXACT(Metadata!H724,"not provided"),EXACT(Metadata!H724,"restricted access"))),AND(IF(Metadata!H724="",FALSE,ISNUMBER(VALUE(Metadata!H724))),Metadata!H724&gt;=-413))</f>
        <v>0</v>
      </c>
      <c r="AV724" t="b">
        <f>AND(IF(Metadata!I724="",FALSE,TRUE),EXACT(Metadata!I724,"meters"))</f>
        <v>0</v>
      </c>
      <c r="AW724" t="b">
        <f>AND(IF(Metadata!J724="",FALSE,TRUE),EXACT(Metadata!J724,"free-living"))</f>
        <v>0</v>
      </c>
      <c r="AX724" t="b">
        <f>AND(IF(Metadata!K724="",FALSE,TRUE),OR(EXACT(Metadata!K724,"saline"),EXACT(Metadata!K724,"non-saline")))</f>
        <v>0</v>
      </c>
      <c r="AY724" t="b">
        <f>AND(IF(Metadata!L724="",FALSE,TRUE),OR(EXACT(Metadata!L724,"sub-surface (non-saline)"),EXACT(Metadata!L724,"surface (non-saline)"),EXACT(Metadata!L724,"water (non-saline)"),EXACT(Metadata!L724,"soil (non-saline)"),EXACT(Metadata!L724,"aerosol (non-saline)"),EXACT(Metadata!L724,"sediment (non-saline)"),EXACT(Metadata!L724,"surface (saline)"),EXACT(Metadata!L724,"water (saline)"),EXACT(Metadata!L724,"hypersaline (saline)"),EXACT(Metadata!L724,"aerosol (saline)"),EXACT(Metadata!L724,"sediment (saline)")))</f>
        <v>0</v>
      </c>
      <c r="AZ724" t="b">
        <f>IF(Metadata!M724="",FALSE,TRUE)</f>
        <v>0</v>
      </c>
      <c r="BA724" t="b">
        <f>IF(Metadata!N724="",FALSE,TRUE)</f>
        <v>0</v>
      </c>
      <c r="BB724" t="b">
        <f>IF(Metadata!O724="",FALSE,TRUE)</f>
        <v>0</v>
      </c>
      <c r="BC724" t="b">
        <f>AND(IF(Metadata!P724="",FALSE,TRUE),OR(EXACT(Metadata!P724,"air"),EXACT(Metadata!P724,"microbial mat/biofilm"),EXACT(Metadata!P724,"misc environment"),EXACT(Metadata!P724,"sediment"),EXACT(Metadata!P724,"soil"),EXACT(Metadata!P724,"wastewater/sludge"),EXACT(Metadata!P724,"water")))</f>
        <v>0</v>
      </c>
      <c r="BD724" t="b">
        <f>IF(Metadata!Q724="",FALSE,TRUE)</f>
        <v>0</v>
      </c>
      <c r="BE724" t="b">
        <f>IF(Metadata!R724="",FALSE,TRUE)</f>
        <v>0</v>
      </c>
      <c r="BF724" t="b">
        <f>OR(AND(IF(Metadata!S724="",FALSE,TRUE),OR(EXACT(Metadata!S724,"not collected"),EXACT(Metadata!S724,"not provided"),EXACT(Metadata!S724,"restricted access"))),AND(IF(Metadata!S724="",FALSE,ISNUMBER(VALUE(Metadata!S724))),Metadata!S724&gt;=-90,Metadata!S724&lt;=90))</f>
        <v>0</v>
      </c>
      <c r="BG724" t="b">
        <f>AND(IF(Metadata!T724="",FALSE,TRUE),EXACT(Metadata!T724,"Decimal degrees"))</f>
        <v>0</v>
      </c>
      <c r="BH724" t="b">
        <f>OR(AND(IF(Metadata!U724="",FALSE,TRUE),OR(EXACT(Metadata!U724,"not applicable"),EXACT(Metadata!U724,"not collected"))),IF(Metadata!U724="",FALSE,TRUE))</f>
        <v>0</v>
      </c>
      <c r="BI724" t="b">
        <f>OR(AND(IF(Metadata!V724="",FALSE,TRUE),OR(EXACT(Metadata!V724,"not collected"),EXACT(Metadata!V724,"not provided"),EXACT(Metadata!V724,"restricted access"))),AND(IF(Metadata!V724="",FALSE,ISNUMBER(VALUE(Metadata!V724))),Metadata!V724&gt;=-180,Metadata!V724&lt;=180))</f>
        <v>0</v>
      </c>
      <c r="BJ724" t="b">
        <f>AND(IF(Metadata!W724="",FALSE,TRUE),EXACT(Metadata!W724,"Decimal degrees"))</f>
        <v>0</v>
      </c>
      <c r="BK724" t="b">
        <f>IF(Metadata!X724="",FALSE,TRUE)</f>
        <v>0</v>
      </c>
      <c r="BL724" t="b">
        <f>OR(AND(IF(Metadata!Y724="",FALSE,TRUE),OR(EXACT(Metadata!Y724,"not collected"),EXACT(Metadata!Y724,"not provided"),EXACT(Metadata!Y724,"restricted access"))),AND(IF(Metadata!Y724="",FALSE,TRUE),OR(EXACT(Metadata!Y724,"TRUE"),EXACT(Metadata!Y724,"FALSE"))))</f>
        <v>0</v>
      </c>
      <c r="BM724" t="b">
        <f>OR(AND(IF(Metadata!Z724="",FALSE,TRUE),EXACT(Metadata!Z724,"not applicable")),AND(IF(Metadata!Z724="",FALSE,TRUE),OR(EXACT(Metadata!Z724,"beer"),EXACT(Metadata!Z724,"cheese"),EXACT(Metadata!Z724,"fresh water"),EXACT(Metadata!Z724,"marine sediment"),EXACT(Metadata!Z724,"sea water"),EXACT(Metadata!Z724,"sediment"),EXACT(Metadata!Z724,"soil"),EXACT(Metadata!Z724,"waste water"))))</f>
        <v>0</v>
      </c>
      <c r="BN724" t="b">
        <f>AND(IF(Metadata!AA724="",FALSE,TRUE),EXACT(Metadata!AA724,"metagenome"))</f>
        <v>0</v>
      </c>
      <c r="BO724" t="b">
        <f>AND(IF(Metadata!AB724="",FALSE,TRUE),EXACT(Metadata!AB724,"256318"))</f>
        <v>0</v>
      </c>
      <c r="BP724" t="b">
        <f>IF(Metadata!AC724="",FALSE,TRUE)</f>
        <v>0</v>
      </c>
      <c r="BQ724" t="b">
        <f>IF(Metadata!AD724="",FALSE,TRUE)</f>
        <v>0</v>
      </c>
    </row>
    <row r="725" spans="1:69" x14ac:dyDescent="0.2">
      <c r="A725" s="4" t="e">
        <f ca="1">IF(B725=" "," ",HYPERLINK(CONCATENATE("#metadata!",ADDRESS(INDEX($AJ$2:$AJ$1001,MATCH(ROWS($AH$2:AH725),$AH$2:$AH$1001,0),0),2)),INDEX($AM$2:$AM$1001,MATCH(ROWS($AH$2:AH725),$AH$2:$AH$1001,0),0)))</f>
        <v>#N/A</v>
      </c>
      <c r="B725" s="5" t="e">
        <f ca="1">IF(OR(INDEX($AI$2:$AI$1001,MATCH(ROWS($AH$2:AH725),$AH$2:$AH$1001,0),1)&gt;=100000,INDEX($AO$1005:$BQ$1005,1,MATCH(COLUMNS($AO$1006:AO1006),$AO$1006:$BQ$1006,0))&gt;=100000), " ",IF(INDEX($AO$2:$BQ$1001,MATCH(ROWS($AH$2:AH725),$AH$2:$AH$1001,0),MATCH(COLUMNS($AO$1006:AO1006),$AO$1006:$BQ$1006,0)), HYPERLINK("#",""), HYPERLINK(CONCATENATE("#Metadata!", ADDRESS(INDEX($AJ$2:$AJ$1001,MATCH(ROWS($AH$2:AH725),$AH$2:$AH$1001,0),0), INDEX($AO$1004:$BQ$1004,1,MATCH(COLUMNS($AO$1006:AO1006),$AO$1006:$BQ$1006,0)))),"Fix")))</f>
        <v>#N/A</v>
      </c>
      <c r="C725" s="5" t="e">
        <f ca="1">IF(OR(INDEX($AI$2:$AI$1001,MATCH(ROWS($AH$2:AH725),$AH$2:$AH$1001,0),1)&gt;=100000,INDEX($AO$1005:$BQ$1005,1,MATCH(COLUMNS($AO$1006:AP1006),$AO$1006:$BQ$1006,0))&gt;=100000), " ",IF(INDEX($AO$2:$BQ$1001,MATCH(ROWS($AH$2:AH725),$AH$2:$AH$1001,0),MATCH(COLUMNS($AO$1006:AP1006),$AO$1006:$BQ$1006,0)), HYPERLINK("#",""), HYPERLINK(CONCATENATE("#Metadata!", ADDRESS(INDEX($AJ$2:$AJ$1001,MATCH(ROWS($AH$2:AH725),$AH$2:$AH$1001,0),0), INDEX($AO$1004:$BQ$1004,1,MATCH(COLUMNS($AO$1006:AP1006),$AO$1006:$BQ$1006,0)))),"Fix")))</f>
        <v>#N/A</v>
      </c>
      <c r="D725" s="5" t="e">
        <f ca="1">IF(OR(INDEX($AI$2:$AI$1001,MATCH(ROWS($AH$2:AH725),$AH$2:$AH$1001,0),1)&gt;=100000,INDEX($AO$1005:$BQ$1005,1,MATCH(COLUMNS($AO$1006:AQ1006),$AO$1006:$BQ$1006,0))&gt;=100000), " ",IF(INDEX($AO$2:$BQ$1001,MATCH(ROWS($AH$2:AH725),$AH$2:$AH$1001,0),MATCH(COLUMNS($AO$1006:AQ1006),$AO$1006:$BQ$1006,0)), HYPERLINK("#",""), HYPERLINK(CONCATENATE("#Metadata!", ADDRESS(INDEX($AJ$2:$AJ$1001,MATCH(ROWS($AH$2:AH725),$AH$2:$AH$1001,0),0), INDEX($AO$1004:$BQ$1004,1,MATCH(COLUMNS($AO$1006:AQ1006),$AO$1006:$BQ$1006,0)))),"Fix")))</f>
        <v>#N/A</v>
      </c>
      <c r="E725" s="5" t="e">
        <f ca="1">IF(OR(INDEX($AI$2:$AI$1001,MATCH(ROWS($AH$2:AH725),$AH$2:$AH$1001,0),1)&gt;=100000,INDEX($AO$1005:$BQ$1005,1,MATCH(COLUMNS($AO$1006:AR1006),$AO$1006:$BQ$1006,0))&gt;=100000), " ",IF(INDEX($AO$2:$BQ$1001,MATCH(ROWS($AH$2:AH725),$AH$2:$AH$1001,0),MATCH(COLUMNS($AO$1006:AR1006),$AO$1006:$BQ$1006,0)), HYPERLINK("#",""), HYPERLINK(CONCATENATE("#Metadata!", ADDRESS(INDEX($AJ$2:$AJ$1001,MATCH(ROWS($AH$2:AH725),$AH$2:$AH$1001,0),0), INDEX($AO$1004:$BQ$1004,1,MATCH(COLUMNS($AO$1006:AR1006),$AO$1006:$BQ$1006,0)))),"Fix")))</f>
        <v>#N/A</v>
      </c>
      <c r="F725" s="5" t="e">
        <f ca="1">IF(OR(INDEX($AI$2:$AI$1001,MATCH(ROWS($AH$2:AH725),$AH$2:$AH$1001,0),1)&gt;=100000,INDEX($AO$1005:$BQ$1005,1,MATCH(COLUMNS($AO$1006:AS1006),$AO$1006:$BQ$1006,0))&gt;=100000), " ",IF(INDEX($AO$2:$BQ$1001,MATCH(ROWS($AH$2:AH725),$AH$2:$AH$1001,0),MATCH(COLUMNS($AO$1006:AS1006),$AO$1006:$BQ$1006,0)), HYPERLINK("#",""), HYPERLINK(CONCATENATE("#Metadata!", ADDRESS(INDEX($AJ$2:$AJ$1001,MATCH(ROWS($AH$2:AH725),$AH$2:$AH$1001,0),0), INDEX($AO$1004:$BQ$1004,1,MATCH(COLUMNS($AO$1006:AS1006),$AO$1006:$BQ$1006,0)))),"Fix")))</f>
        <v>#N/A</v>
      </c>
      <c r="G725" s="5" t="e">
        <f ca="1">IF(OR(INDEX($AI$2:$AI$1001,MATCH(ROWS($AH$2:AH725),$AH$2:$AH$1001,0),1)&gt;=100000,INDEX($AO$1005:$BQ$1005,1,MATCH(COLUMNS($AO$1006:AT1006),$AO$1006:$BQ$1006,0))&gt;=100000), " ",IF(INDEX($AO$2:$BQ$1001,MATCH(ROWS($AH$2:AH725),$AH$2:$AH$1001,0),MATCH(COLUMNS($AO$1006:AT1006),$AO$1006:$BQ$1006,0)), HYPERLINK("#",""), HYPERLINK(CONCATENATE("#Metadata!", ADDRESS(INDEX($AJ$2:$AJ$1001,MATCH(ROWS($AH$2:AH725),$AH$2:$AH$1001,0),0), INDEX($AO$1004:$BQ$1004,1,MATCH(COLUMNS($AO$1006:AT1006),$AO$1006:$BQ$1006,0)))),"Fix")))</f>
        <v>#N/A</v>
      </c>
      <c r="H725" s="5" t="e">
        <f ca="1">IF(OR(INDEX($AI$2:$AI$1001,MATCH(ROWS($AH$2:AH725),$AH$2:$AH$1001,0),1)&gt;=100000,INDEX($AO$1005:$BQ$1005,1,MATCH(COLUMNS($AO$1006:AU1006),$AO$1006:$BQ$1006,0))&gt;=100000), " ",IF(INDEX($AO$2:$BQ$1001,MATCH(ROWS($AH$2:AH725),$AH$2:$AH$1001,0),MATCH(COLUMNS($AO$1006:AU1006),$AO$1006:$BQ$1006,0)), HYPERLINK("#",""), HYPERLINK(CONCATENATE("#Metadata!", ADDRESS(INDEX($AJ$2:$AJ$1001,MATCH(ROWS($AH$2:AH725),$AH$2:$AH$1001,0),0), INDEX($AO$1004:$BQ$1004,1,MATCH(COLUMNS($AO$1006:AU1006),$AO$1006:$BQ$1006,0)))),"Fix")))</f>
        <v>#N/A</v>
      </c>
      <c r="I725" s="5" t="e">
        <f ca="1">IF(OR(INDEX($AI$2:$AI$1001,MATCH(ROWS($AH$2:AH725),$AH$2:$AH$1001,0),1)&gt;=100000,INDEX($AO$1005:$BQ$1005,1,MATCH(COLUMNS($AO$1006:AV1006),$AO$1006:$BQ$1006,0))&gt;=100000), " ",IF(INDEX($AO$2:$BQ$1001,MATCH(ROWS($AH$2:AH725),$AH$2:$AH$1001,0),MATCH(COLUMNS($AO$1006:AV1006),$AO$1006:$BQ$1006,0)), HYPERLINK("#",""), HYPERLINK(CONCATENATE("#Metadata!", ADDRESS(INDEX($AJ$2:$AJ$1001,MATCH(ROWS($AH$2:AH725),$AH$2:$AH$1001,0),0), INDEX($AO$1004:$BQ$1004,1,MATCH(COLUMNS($AO$1006:AV1006),$AO$1006:$BQ$1006,0)))),"Fix")))</f>
        <v>#N/A</v>
      </c>
      <c r="J725" s="5" t="e">
        <f ca="1">IF(OR(INDEX($AI$2:$AI$1001,MATCH(ROWS($AH$2:AH725),$AH$2:$AH$1001,0),1)&gt;=100000,INDEX($AO$1005:$BQ$1005,1,MATCH(COLUMNS($AO$1006:AW1006),$AO$1006:$BQ$1006,0))&gt;=100000), " ",IF(INDEX($AO$2:$BQ$1001,MATCH(ROWS($AH$2:AH725),$AH$2:$AH$1001,0),MATCH(COLUMNS($AO$1006:AW1006),$AO$1006:$BQ$1006,0)), HYPERLINK("#",""), HYPERLINK(CONCATENATE("#Metadata!", ADDRESS(INDEX($AJ$2:$AJ$1001,MATCH(ROWS($AH$2:AH725),$AH$2:$AH$1001,0),0), INDEX($AO$1004:$BQ$1004,1,MATCH(COLUMNS($AO$1006:AW1006),$AO$1006:$BQ$1006,0)))),"Fix")))</f>
        <v>#N/A</v>
      </c>
      <c r="K725" s="5" t="e">
        <f ca="1">IF(OR(INDEX($AI$2:$AI$1001,MATCH(ROWS($AH$2:AH725),$AH$2:$AH$1001,0),1)&gt;=100000,INDEX($AO$1005:$BQ$1005,1,MATCH(COLUMNS($AO$1006:AX1006),$AO$1006:$BQ$1006,0))&gt;=100000), " ",IF(INDEX($AO$2:$BQ$1001,MATCH(ROWS($AH$2:AH725),$AH$2:$AH$1001,0),MATCH(COLUMNS($AO$1006:AX1006),$AO$1006:$BQ$1006,0)), HYPERLINK("#",""), HYPERLINK(CONCATENATE("#Metadata!", ADDRESS(INDEX($AJ$2:$AJ$1001,MATCH(ROWS($AH$2:AH725),$AH$2:$AH$1001,0),0), INDEX($AO$1004:$BQ$1004,1,MATCH(COLUMNS($AO$1006:AX1006),$AO$1006:$BQ$1006,0)))),"Fix")))</f>
        <v>#N/A</v>
      </c>
      <c r="L725" s="5" t="e">
        <f ca="1">IF(OR(INDEX($AI$2:$AI$1001,MATCH(ROWS($AH$2:AH725),$AH$2:$AH$1001,0),1)&gt;=100000,INDEX($AO$1005:$BQ$1005,1,MATCH(COLUMNS($AO$1006:AY1006),$AO$1006:$BQ$1006,0))&gt;=100000), " ",IF(INDEX($AO$2:$BQ$1001,MATCH(ROWS($AH$2:AH725),$AH$2:$AH$1001,0),MATCH(COLUMNS($AO$1006:AY1006),$AO$1006:$BQ$1006,0)), HYPERLINK("#",""), HYPERLINK(CONCATENATE("#Metadata!", ADDRESS(INDEX($AJ$2:$AJ$1001,MATCH(ROWS($AH$2:AH725),$AH$2:$AH$1001,0),0), INDEX($AO$1004:$BQ$1004,1,MATCH(COLUMNS($AO$1006:AY1006),$AO$1006:$BQ$1006,0)))),"Fix")))</f>
        <v>#N/A</v>
      </c>
      <c r="M725" s="5" t="e">
        <f ca="1">IF(OR(INDEX($AI$2:$AI$1001,MATCH(ROWS($AH$2:AH725),$AH$2:$AH$1001,0),1)&gt;=100000,INDEX($AO$1005:$BQ$1005,1,MATCH(COLUMNS($AO$1006:AZ1006),$AO$1006:$BQ$1006,0))&gt;=100000), " ",IF(INDEX($AO$2:$BQ$1001,MATCH(ROWS($AH$2:AH725),$AH$2:$AH$1001,0),MATCH(COLUMNS($AO$1006:AZ1006),$AO$1006:$BQ$1006,0)), HYPERLINK("#",""), HYPERLINK(CONCATENATE("#Metadata!", ADDRESS(INDEX($AJ$2:$AJ$1001,MATCH(ROWS($AH$2:AH725),$AH$2:$AH$1001,0),0), INDEX($AO$1004:$BQ$1004,1,MATCH(COLUMNS($AO$1006:AZ1006),$AO$1006:$BQ$1006,0)))),"Fix")))</f>
        <v>#N/A</v>
      </c>
      <c r="N725" s="5" t="e">
        <f ca="1">IF(OR(INDEX($AI$2:$AI$1001,MATCH(ROWS($AH$2:AH725),$AH$2:$AH$1001,0),1)&gt;=100000,INDEX($AO$1005:$BQ$1005,1,MATCH(COLUMNS($AO$1006:BA1006),$AO$1006:$BQ$1006,0))&gt;=100000), " ",IF(INDEX($AO$2:$BQ$1001,MATCH(ROWS($AH$2:AH725),$AH$2:$AH$1001,0),MATCH(COLUMNS($AO$1006:BA1006),$AO$1006:$BQ$1006,0)), HYPERLINK("#",""), HYPERLINK(CONCATENATE("#Metadata!", ADDRESS(INDEX($AJ$2:$AJ$1001,MATCH(ROWS($AH$2:AH725),$AH$2:$AH$1001,0),0), INDEX($AO$1004:$BQ$1004,1,MATCH(COLUMNS($AO$1006:BA1006),$AO$1006:$BQ$1006,0)))),"Fix")))</f>
        <v>#N/A</v>
      </c>
      <c r="O725" s="5" t="e">
        <f ca="1">IF(OR(INDEX($AI$2:$AI$1001,MATCH(ROWS($AH$2:AH725),$AH$2:$AH$1001,0),1)&gt;=100000,INDEX($AO$1005:$BQ$1005,1,MATCH(COLUMNS($AO$1006:BB1006),$AO$1006:$BQ$1006,0))&gt;=100000), " ",IF(INDEX($AO$2:$BQ$1001,MATCH(ROWS($AH$2:AH725),$AH$2:$AH$1001,0),MATCH(COLUMNS($AO$1006:BB1006),$AO$1006:$BQ$1006,0)), HYPERLINK("#",""), HYPERLINK(CONCATENATE("#Metadata!", ADDRESS(INDEX($AJ$2:$AJ$1001,MATCH(ROWS($AH$2:AH725),$AH$2:$AH$1001,0),0), INDEX($AO$1004:$BQ$1004,1,MATCH(COLUMNS($AO$1006:BB1006),$AO$1006:$BQ$1006,0)))),"Fix")))</f>
        <v>#N/A</v>
      </c>
      <c r="P725" s="5" t="e">
        <f ca="1">IF(OR(INDEX($AI$2:$AI$1001,MATCH(ROWS($AH$2:AH725),$AH$2:$AH$1001,0),1)&gt;=100000,INDEX($AO$1005:$BQ$1005,1,MATCH(COLUMNS($AO$1006:BC1006),$AO$1006:$BQ$1006,0))&gt;=100000), " ",IF(INDEX($AO$2:$BQ$1001,MATCH(ROWS($AH$2:AH725),$AH$2:$AH$1001,0),MATCH(COLUMNS($AO$1006:BC1006),$AO$1006:$BQ$1006,0)), HYPERLINK("#",""), HYPERLINK(CONCATENATE("#Metadata!", ADDRESS(INDEX($AJ$2:$AJ$1001,MATCH(ROWS($AH$2:AH725),$AH$2:$AH$1001,0),0), INDEX($AO$1004:$BQ$1004,1,MATCH(COLUMNS($AO$1006:BC1006),$AO$1006:$BQ$1006,0)))),"Fix")))</f>
        <v>#N/A</v>
      </c>
      <c r="Q725" s="5" t="e">
        <f ca="1">IF(OR(INDEX($AI$2:$AI$1001,MATCH(ROWS($AH$2:AH725),$AH$2:$AH$1001,0),1)&gt;=100000,INDEX($AO$1005:$BQ$1005,1,MATCH(COLUMNS($AO$1006:BD1006),$AO$1006:$BQ$1006,0))&gt;=100000), " ",IF(INDEX($AO$2:$BQ$1001,MATCH(ROWS($AH$2:AH725),$AH$2:$AH$1001,0),MATCH(COLUMNS($AO$1006:BD1006),$AO$1006:$BQ$1006,0)), HYPERLINK("#",""), HYPERLINK(CONCATENATE("#Metadata!", ADDRESS(INDEX($AJ$2:$AJ$1001,MATCH(ROWS($AH$2:AH725),$AH$2:$AH$1001,0),0), INDEX($AO$1004:$BQ$1004,1,MATCH(COLUMNS($AO$1006:BD1006),$AO$1006:$BQ$1006,0)))),"Fix")))</f>
        <v>#N/A</v>
      </c>
      <c r="R725" s="5" t="e">
        <f ca="1">IF(OR(INDEX($AI$2:$AI$1001,MATCH(ROWS($AH$2:AH725),$AH$2:$AH$1001,0),1)&gt;=100000,INDEX($AO$1005:$BQ$1005,1,MATCH(COLUMNS($AO$1006:BE1006),$AO$1006:$BQ$1006,0))&gt;=100000), " ",IF(INDEX($AO$2:$BQ$1001,MATCH(ROWS($AH$2:AH725),$AH$2:$AH$1001,0),MATCH(COLUMNS($AO$1006:BE1006),$AO$1006:$BQ$1006,0)), HYPERLINK("#",""), HYPERLINK(CONCATENATE("#Metadata!", ADDRESS(INDEX($AJ$2:$AJ$1001,MATCH(ROWS($AH$2:AH725),$AH$2:$AH$1001,0),0), INDEX($AO$1004:$BQ$1004,1,MATCH(COLUMNS($AO$1006:BE1006),$AO$1006:$BQ$1006,0)))),"Fix")))</f>
        <v>#N/A</v>
      </c>
      <c r="S725" s="5" t="e">
        <f ca="1">IF(OR(INDEX($AI$2:$AI$1001,MATCH(ROWS($AH$2:AH725),$AH$2:$AH$1001,0),1)&gt;=100000,INDEX($AO$1005:$BQ$1005,1,MATCH(COLUMNS($AO$1006:BF1006),$AO$1006:$BQ$1006,0))&gt;=100000), " ",IF(INDEX($AO$2:$BQ$1001,MATCH(ROWS($AH$2:AH725),$AH$2:$AH$1001,0),MATCH(COLUMNS($AO$1006:BF1006),$AO$1006:$BQ$1006,0)), HYPERLINK("#",""), HYPERLINK(CONCATENATE("#Metadata!", ADDRESS(INDEX($AJ$2:$AJ$1001,MATCH(ROWS($AH$2:AH725),$AH$2:$AH$1001,0),0), INDEX($AO$1004:$BQ$1004,1,MATCH(COLUMNS($AO$1006:BF1006),$AO$1006:$BQ$1006,0)))),"Fix")))</f>
        <v>#N/A</v>
      </c>
      <c r="T725" s="5" t="e">
        <f ca="1">IF(OR(INDEX($AI$2:$AI$1001,MATCH(ROWS($AH$2:AH725),$AH$2:$AH$1001,0),1)&gt;=100000,INDEX($AO$1005:$BQ$1005,1,MATCH(COLUMNS($AO$1006:BG1006),$AO$1006:$BQ$1006,0))&gt;=100000), " ",IF(INDEX($AO$2:$BQ$1001,MATCH(ROWS($AH$2:AH725),$AH$2:$AH$1001,0),MATCH(COLUMNS($AO$1006:BG1006),$AO$1006:$BQ$1006,0)), HYPERLINK("#",""), HYPERLINK(CONCATENATE("#Metadata!", ADDRESS(INDEX($AJ$2:$AJ$1001,MATCH(ROWS($AH$2:AH725),$AH$2:$AH$1001,0),0), INDEX($AO$1004:$BQ$1004,1,MATCH(COLUMNS($AO$1006:BG1006),$AO$1006:$BQ$1006,0)))),"Fix")))</f>
        <v>#N/A</v>
      </c>
      <c r="U725" s="5" t="e">
        <f ca="1">IF(OR(INDEX($AI$2:$AI$1001,MATCH(ROWS($AH$2:AH725),$AH$2:$AH$1001,0),1)&gt;=100000,INDEX($AO$1005:$BQ$1005,1,MATCH(COLUMNS($AO$1006:BH1006),$AO$1006:$BQ$1006,0))&gt;=100000), " ",IF(INDEX($AO$2:$BQ$1001,MATCH(ROWS($AH$2:AH725),$AH$2:$AH$1001,0),MATCH(COLUMNS($AO$1006:BH1006),$AO$1006:$BQ$1006,0)), HYPERLINK("#",""), HYPERLINK(CONCATENATE("#Metadata!", ADDRESS(INDEX($AJ$2:$AJ$1001,MATCH(ROWS($AH$2:AH725),$AH$2:$AH$1001,0),0), INDEX($AO$1004:$BQ$1004,1,MATCH(COLUMNS($AO$1006:BH1006),$AO$1006:$BQ$1006,0)))),"Fix")))</f>
        <v>#N/A</v>
      </c>
      <c r="V725" s="5" t="e">
        <f ca="1">IF(OR(INDEX($AI$2:$AI$1001,MATCH(ROWS($AH$2:AH725),$AH$2:$AH$1001,0),1)&gt;=100000,INDEX($AO$1005:$BQ$1005,1,MATCH(COLUMNS($AO$1006:BI1006),$AO$1006:$BQ$1006,0))&gt;=100000), " ",IF(INDEX($AO$2:$BQ$1001,MATCH(ROWS($AH$2:AH725),$AH$2:$AH$1001,0),MATCH(COLUMNS($AO$1006:BI1006),$AO$1006:$BQ$1006,0)), HYPERLINK("#",""), HYPERLINK(CONCATENATE("#Metadata!", ADDRESS(INDEX($AJ$2:$AJ$1001,MATCH(ROWS($AH$2:AH725),$AH$2:$AH$1001,0),0), INDEX($AO$1004:$BQ$1004,1,MATCH(COLUMNS($AO$1006:BI1006),$AO$1006:$BQ$1006,0)))),"Fix")))</f>
        <v>#N/A</v>
      </c>
      <c r="W725" s="5" t="e">
        <f ca="1">IF(OR(INDEX($AI$2:$AI$1001,MATCH(ROWS($AH$2:AH725),$AH$2:$AH$1001,0),1)&gt;=100000,INDEX($AO$1005:$BQ$1005,1,MATCH(COLUMNS($AO$1006:BJ1006),$AO$1006:$BQ$1006,0))&gt;=100000), " ",IF(INDEX($AO$2:$BQ$1001,MATCH(ROWS($AH$2:AH725),$AH$2:$AH$1001,0),MATCH(COLUMNS($AO$1006:BJ1006),$AO$1006:$BQ$1006,0)), HYPERLINK("#",""), HYPERLINK(CONCATENATE("#Metadata!", ADDRESS(INDEX($AJ$2:$AJ$1001,MATCH(ROWS($AH$2:AH725),$AH$2:$AH$1001,0),0), INDEX($AO$1004:$BQ$1004,1,MATCH(COLUMNS($AO$1006:BJ1006),$AO$1006:$BQ$1006,0)))),"Fix")))</f>
        <v>#N/A</v>
      </c>
      <c r="X725" s="5" t="e">
        <f ca="1">IF(OR(INDEX($AI$2:$AI$1001,MATCH(ROWS($AH$2:AH725),$AH$2:$AH$1001,0),1)&gt;=100000,INDEX($AO$1005:$BQ$1005,1,MATCH(COLUMNS($AO$1006:BK1006),$AO$1006:$BQ$1006,0))&gt;=100000), " ",IF(INDEX($AO$2:$BQ$1001,MATCH(ROWS($AH$2:AH725),$AH$2:$AH$1001,0),MATCH(COLUMNS($AO$1006:BK1006),$AO$1006:$BQ$1006,0)), HYPERLINK("#",""), HYPERLINK(CONCATENATE("#Metadata!", ADDRESS(INDEX($AJ$2:$AJ$1001,MATCH(ROWS($AH$2:AH725),$AH$2:$AH$1001,0),0), INDEX($AO$1004:$BQ$1004,1,MATCH(COLUMNS($AO$1006:BK1006),$AO$1006:$BQ$1006,0)))),"Fix")))</f>
        <v>#N/A</v>
      </c>
      <c r="Y725" s="5" t="e">
        <f ca="1">IF(OR(INDEX($AI$2:$AI$1001,MATCH(ROWS($AH$2:AH725),$AH$2:$AH$1001,0),1)&gt;=100000,INDEX($AO$1005:$BQ$1005,1,MATCH(COLUMNS($AO$1006:BL1006),$AO$1006:$BQ$1006,0))&gt;=100000), " ",IF(INDEX($AO$2:$BQ$1001,MATCH(ROWS($AH$2:AH725),$AH$2:$AH$1001,0),MATCH(COLUMNS($AO$1006:BL1006),$AO$1006:$BQ$1006,0)), HYPERLINK("#",""), HYPERLINK(CONCATENATE("#Metadata!", ADDRESS(INDEX($AJ$2:$AJ$1001,MATCH(ROWS($AH$2:AH725),$AH$2:$AH$1001,0),0), INDEX($AO$1004:$BQ$1004,1,MATCH(COLUMNS($AO$1006:BL1006),$AO$1006:$BQ$1006,0)))),"Fix")))</f>
        <v>#N/A</v>
      </c>
      <c r="Z725" s="5" t="e">
        <f ca="1">IF(OR(INDEX($AI$2:$AI$1001,MATCH(ROWS($AH$2:AH725),$AH$2:$AH$1001,0),1)&gt;=100000,INDEX($AO$1005:$BQ$1005,1,MATCH(COLUMNS($AO$1006:BM1006),$AO$1006:$BQ$1006,0))&gt;=100000), " ",IF(INDEX($AO$2:$BQ$1001,MATCH(ROWS($AH$2:AH725),$AH$2:$AH$1001,0),MATCH(COLUMNS($AO$1006:BM1006),$AO$1006:$BQ$1006,0)), HYPERLINK("#",""), HYPERLINK(CONCATENATE("#Metadata!", ADDRESS(INDEX($AJ$2:$AJ$1001,MATCH(ROWS($AH$2:AH725),$AH$2:$AH$1001,0),0), INDEX($AO$1004:$BQ$1004,1,MATCH(COLUMNS($AO$1006:BM1006),$AO$1006:$BQ$1006,0)))),"Fix")))</f>
        <v>#N/A</v>
      </c>
      <c r="AA725" s="5" t="e">
        <f ca="1">IF(OR(INDEX($AI$2:$AI$1001,MATCH(ROWS($AH$2:AH725),$AH$2:$AH$1001,0),1)&gt;=100000,INDEX($AO$1005:$BQ$1005,1,MATCH(COLUMNS($AO$1006:BN1006),$AO$1006:$BQ$1006,0))&gt;=100000), " ",IF(INDEX($AO$2:$BQ$1001,MATCH(ROWS($AH$2:AH725),$AH$2:$AH$1001,0),MATCH(COLUMNS($AO$1006:BN1006),$AO$1006:$BQ$1006,0)), HYPERLINK("#",""), HYPERLINK(CONCATENATE("#Metadata!", ADDRESS(INDEX($AJ$2:$AJ$1001,MATCH(ROWS($AH$2:AH725),$AH$2:$AH$1001,0),0), INDEX($AO$1004:$BQ$1004,1,MATCH(COLUMNS($AO$1006:BN1006),$AO$1006:$BQ$1006,0)))),"Fix")))</f>
        <v>#N/A</v>
      </c>
      <c r="AB725" s="5" t="e">
        <f ca="1">IF(OR(INDEX($AI$2:$AI$1001,MATCH(ROWS($AH$2:AH725),$AH$2:$AH$1001,0),1)&gt;=100000,INDEX($AO$1005:$BQ$1005,1,MATCH(COLUMNS($AO$1006:BO1006),$AO$1006:$BQ$1006,0))&gt;=100000), " ",IF(INDEX($AO$2:$BQ$1001,MATCH(ROWS($AH$2:AH725),$AH$2:$AH$1001,0),MATCH(COLUMNS($AO$1006:BO1006),$AO$1006:$BQ$1006,0)), HYPERLINK("#",""), HYPERLINK(CONCATENATE("#Metadata!", ADDRESS(INDEX($AJ$2:$AJ$1001,MATCH(ROWS($AH$2:AH725),$AH$2:$AH$1001,0),0), INDEX($AO$1004:$BQ$1004,1,MATCH(COLUMNS($AO$1006:BO1006),$AO$1006:$BQ$1006,0)))),"Fix")))</f>
        <v>#N/A</v>
      </c>
      <c r="AC725" s="5" t="e">
        <f ca="1">IF(OR(INDEX($AI$2:$AI$1001,MATCH(ROWS($AH$2:AH725),$AH$2:$AH$1001,0),1)&gt;=100000,INDEX($AO$1005:$BQ$1005,1,MATCH(COLUMNS($AO$1006:BP1006),$AO$1006:$BQ$1006,0))&gt;=100000), " ",IF(INDEX($AO$2:$BQ$1001,MATCH(ROWS($AH$2:AH725),$AH$2:$AH$1001,0),MATCH(COLUMNS($AO$1006:BP1006),$AO$1006:$BQ$1006,0)), HYPERLINK("#",""), HYPERLINK(CONCATENATE("#Metadata!", ADDRESS(INDEX($AJ$2:$AJ$1001,MATCH(ROWS($AH$2:AH725),$AH$2:$AH$1001,0),0), INDEX($AO$1004:$BQ$1004,1,MATCH(COLUMNS($AO$1006:BP1006),$AO$1006:$BQ$1006,0)))),"Fix")))</f>
        <v>#N/A</v>
      </c>
      <c r="AD725" s="5" t="e">
        <f ca="1">IF(OR(INDEX($AI$2:$AI$1001,MATCH(ROWS($AH$2:AH725),$AH$2:$AH$1001,0),1)&gt;=100000,INDEX($AO$1005:$BQ$1005,1,MATCH(COLUMNS($AO$1006:BQ1006),$AO$1006:$BQ$1006,0))&gt;=100000), " ",IF(INDEX($AO$2:$BQ$1001,MATCH(ROWS($AH$2:AH725),$AH$2:$AH$1001,0),MATCH(COLUMNS($AO$1006:BQ1006),$AO$1006:$BQ$1006,0)), HYPERLINK("#",""), HYPERLINK(CONCATENATE("#Metadata!", ADDRESS(INDEX($AJ$2:$AJ$1001,MATCH(ROWS($AH$2:AH725),$AH$2:$AH$1001,0),0), INDEX($AO$1004:$BQ$1004,1,MATCH(COLUMNS($AO$1006:BQ1006),$AO$1006:$BQ$1006,0)))),"Fix")))</f>
        <v>#REF!</v>
      </c>
      <c r="AH725">
        <f ca="1"/>
        <v>722</v>
      </c>
      <c r="AI725">
        <v>100725</v>
      </c>
      <c r="AJ725">
        <v>725</v>
      </c>
      <c r="AK725" t="b">
        <f t="shared" si="11"/>
        <v>1</v>
      </c>
      <c r="AL725" t="b">
        <f>COUNTBLANK(Metadata!B725:AD725)=COLUMNS(Metadata!B725:AD725)</f>
        <v>1</v>
      </c>
      <c r="AM725" t="str">
        <v/>
      </c>
      <c r="AO725" t="b">
        <f ca="1">AND(IF(Metadata!B725="",FALSE,TRUE),COUNTIF(Metadata!B:B, Metadata!B725) = 1,NOT(ISERROR(SUMPRODUCT(SEARCH(MID(Metadata!B725,ROW(INDIRECT("1:"&amp;LEN(Metadata!B725))), 1),"0123456789abcdefghijklmnopqrstuvwxyzABCDEFGHIJKLMNOPQRSTUVWXYZ.")))))</f>
        <v>0</v>
      </c>
      <c r="AP725" t="b">
        <f>IF(Metadata!C725="",FALSE,TRUE)</f>
        <v>0</v>
      </c>
      <c r="AQ725" t="b">
        <f>IF(Metadata!D725="",FALSE,TRUE)</f>
        <v>0</v>
      </c>
      <c r="AR725" t="b">
        <f ca="1">OR(AND(IF(Metadata!E725="",FALSE,TRUE),OR(EXACT(Metadata!E725,"not collected"),EXACT(Metadata!E725,"not provided"),EXACT(Metadata!E725,"restricted access"))),AND(IF(Metadata!E725="",FALSE,TRUE),AND(AND(IFERROR(INT(LEFT(Metadata!E725,4))&gt;1900,FALSE),IFERROR(INT(LEFT(Metadata!E725,4))&lt;=YEAR(NOW()),FALSE)), OR(MID(Metadata!E725,5,1)="", AND(AND(MID(Metadata!E725,5,1)="-",IFERROR(INT(MID(Metadata!E725,6,1))&gt;=0,FALSE),IFERROR(INT(MID(Metadata!E725,6,1))&lt;=1,FALSE),NOT(MID(Metadata!E725,7,1)=""),IFERROR(INT(MID(Metadata!E725,6,2))&gt;=1,FALSE),IFERROR(INT(MID(Metadata!E725,6,2))&lt;=12,FALSE)), OR(MID(Metadata!E725,8,1)="", AND(AND(MID(Metadata!E725,8,1)="-",IFERROR(INT(MID(Metadata!E725,9,1))&gt;=0,FALSE),IFERROR(INT(MID(Metadata!E725,9,1))&lt;=3,FALSE),NOT(MID(Metadata!E725,10,1)=""),IFERROR(INT(MID(Metadata!E725,9,2))&gt;=1,FALSE),IFERROR(INT(MID(Metadata!E725,9,2))&lt;=31,FALSE)), OR(MID(Metadata!E725,11,1)="", AND(AND(MID(Metadata!E725,11,1)=" ",IFERROR(INT(MID(Metadata!E725,12,1))&gt;=0,FALSE),IFERROR(INT(MID(Metadata!E725,12,1))&lt;=2,FALSE),NOT(MID(Metadata!E725,13,1)=""),IFERROR(INT(MID(Metadata!E725,12,2))&gt;=0,FALSE),IFERROR(INT(MID(Metadata!E725,12,2))&lt;=23,FALSE)), OR(MID(Metadata!E725,14,1)="", AND(AND(MID(Metadata!E725,14,1)=":",IFERROR(INT(MID(Metadata!E725,15,1))&gt;=0,FALSE),IFERROR(INT(MID(Metadata!E725,15,1))&lt;=5,FALSE),NOT(MID(Metadata!E725,16,1)=""),IFERROR(INT(MID(Metadata!E725,15,2))&gt;=0,FALSE),IFERROR(INT(MID(Metadata!E725,15,2))&lt;=59,FALSE)), OR(MID(Metadata!E725,17,1)="", AND(AND(MID(Metadata!E725,17,1)=":",IFERROR(INT(MID(Metadata!E725,18,1))&gt;=0,FALSE),IFERROR(INT(MID(Metadata!E725,18,1))&lt;=5,FALSE),NOT(MID(Metadata!E725,19,1)=""),IFERROR(INT(MID(Metadata!E725,18,2))&gt;=0,FALSE),IFERROR(INT(MID(Metadata!E725,18,2))&lt;=59,FALSE)), LEN(Metadata!E725)&lt;=19)))))))))))))</f>
        <v>0</v>
      </c>
      <c r="AS725" t="b">
        <f>IF(Metadata!F725="",FALSE,TRUE)</f>
        <v>0</v>
      </c>
      <c r="AT725" t="b">
        <f>OR(AND(IF(Metadata!G725="",FALSE,TRUE),OR(EXACT(Metadata!G725,"not collected"),EXACT(Metadata!G725,"not provided"))),AND(IF(Metadata!G725="",FALSE,TRUE),OR(EXACT(Metadata!G725,"TRUE"),EXACT(Metadata!G725,"FALSE"))))</f>
        <v>0</v>
      </c>
      <c r="AU725" t="b">
        <f>OR(AND(IF(Metadata!H725="",FALSE,TRUE),OR(EXACT(Metadata!H725,"not collected"),EXACT(Metadata!H725,"not provided"),EXACT(Metadata!H725,"restricted access"))),AND(IF(Metadata!H725="",FALSE,ISNUMBER(VALUE(Metadata!H725))),Metadata!H725&gt;=-413))</f>
        <v>0</v>
      </c>
      <c r="AV725" t="b">
        <f>AND(IF(Metadata!I725="",FALSE,TRUE),EXACT(Metadata!I725,"meters"))</f>
        <v>0</v>
      </c>
      <c r="AW725" t="b">
        <f>AND(IF(Metadata!J725="",FALSE,TRUE),EXACT(Metadata!J725,"free-living"))</f>
        <v>0</v>
      </c>
      <c r="AX725" t="b">
        <f>AND(IF(Metadata!K725="",FALSE,TRUE),OR(EXACT(Metadata!K725,"saline"),EXACT(Metadata!K725,"non-saline")))</f>
        <v>0</v>
      </c>
      <c r="AY725" t="b">
        <f>AND(IF(Metadata!L725="",FALSE,TRUE),OR(EXACT(Metadata!L725,"sub-surface (non-saline)"),EXACT(Metadata!L725,"surface (non-saline)"),EXACT(Metadata!L725,"water (non-saline)"),EXACT(Metadata!L725,"soil (non-saline)"),EXACT(Metadata!L725,"aerosol (non-saline)"),EXACT(Metadata!L725,"sediment (non-saline)"),EXACT(Metadata!L725,"surface (saline)"),EXACT(Metadata!L725,"water (saline)"),EXACT(Metadata!L725,"hypersaline (saline)"),EXACT(Metadata!L725,"aerosol (saline)"),EXACT(Metadata!L725,"sediment (saline)")))</f>
        <v>0</v>
      </c>
      <c r="AZ725" t="b">
        <f>IF(Metadata!M725="",FALSE,TRUE)</f>
        <v>0</v>
      </c>
      <c r="BA725" t="b">
        <f>IF(Metadata!N725="",FALSE,TRUE)</f>
        <v>0</v>
      </c>
      <c r="BB725" t="b">
        <f>IF(Metadata!O725="",FALSE,TRUE)</f>
        <v>0</v>
      </c>
      <c r="BC725" t="b">
        <f>AND(IF(Metadata!P725="",FALSE,TRUE),OR(EXACT(Metadata!P725,"air"),EXACT(Metadata!P725,"microbial mat/biofilm"),EXACT(Metadata!P725,"misc environment"),EXACT(Metadata!P725,"sediment"),EXACT(Metadata!P725,"soil"),EXACT(Metadata!P725,"wastewater/sludge"),EXACT(Metadata!P725,"water")))</f>
        <v>0</v>
      </c>
      <c r="BD725" t="b">
        <f>IF(Metadata!Q725="",FALSE,TRUE)</f>
        <v>0</v>
      </c>
      <c r="BE725" t="b">
        <f>IF(Metadata!R725="",FALSE,TRUE)</f>
        <v>0</v>
      </c>
      <c r="BF725" t="b">
        <f>OR(AND(IF(Metadata!S725="",FALSE,TRUE),OR(EXACT(Metadata!S725,"not collected"),EXACT(Metadata!S725,"not provided"),EXACT(Metadata!S725,"restricted access"))),AND(IF(Metadata!S725="",FALSE,ISNUMBER(VALUE(Metadata!S725))),Metadata!S725&gt;=-90,Metadata!S725&lt;=90))</f>
        <v>0</v>
      </c>
      <c r="BG725" t="b">
        <f>AND(IF(Metadata!T725="",FALSE,TRUE),EXACT(Metadata!T725,"Decimal degrees"))</f>
        <v>0</v>
      </c>
      <c r="BH725" t="b">
        <f>OR(AND(IF(Metadata!U725="",FALSE,TRUE),OR(EXACT(Metadata!U725,"not applicable"),EXACT(Metadata!U725,"not collected"))),IF(Metadata!U725="",FALSE,TRUE))</f>
        <v>0</v>
      </c>
      <c r="BI725" t="b">
        <f>OR(AND(IF(Metadata!V725="",FALSE,TRUE),OR(EXACT(Metadata!V725,"not collected"),EXACT(Metadata!V725,"not provided"),EXACT(Metadata!V725,"restricted access"))),AND(IF(Metadata!V725="",FALSE,ISNUMBER(VALUE(Metadata!V725))),Metadata!V725&gt;=-180,Metadata!V725&lt;=180))</f>
        <v>0</v>
      </c>
      <c r="BJ725" t="b">
        <f>AND(IF(Metadata!W725="",FALSE,TRUE),EXACT(Metadata!W725,"Decimal degrees"))</f>
        <v>0</v>
      </c>
      <c r="BK725" t="b">
        <f>IF(Metadata!X725="",FALSE,TRUE)</f>
        <v>0</v>
      </c>
      <c r="BL725" t="b">
        <f>OR(AND(IF(Metadata!Y725="",FALSE,TRUE),OR(EXACT(Metadata!Y725,"not collected"),EXACT(Metadata!Y725,"not provided"),EXACT(Metadata!Y725,"restricted access"))),AND(IF(Metadata!Y725="",FALSE,TRUE),OR(EXACT(Metadata!Y725,"TRUE"),EXACT(Metadata!Y725,"FALSE"))))</f>
        <v>0</v>
      </c>
      <c r="BM725" t="b">
        <f>OR(AND(IF(Metadata!Z725="",FALSE,TRUE),EXACT(Metadata!Z725,"not applicable")),AND(IF(Metadata!Z725="",FALSE,TRUE),OR(EXACT(Metadata!Z725,"beer"),EXACT(Metadata!Z725,"cheese"),EXACT(Metadata!Z725,"fresh water"),EXACT(Metadata!Z725,"marine sediment"),EXACT(Metadata!Z725,"sea water"),EXACT(Metadata!Z725,"sediment"),EXACT(Metadata!Z725,"soil"),EXACT(Metadata!Z725,"waste water"))))</f>
        <v>0</v>
      </c>
      <c r="BN725" t="b">
        <f>AND(IF(Metadata!AA725="",FALSE,TRUE),EXACT(Metadata!AA725,"metagenome"))</f>
        <v>0</v>
      </c>
      <c r="BO725" t="b">
        <f>AND(IF(Metadata!AB725="",FALSE,TRUE),EXACT(Metadata!AB725,"256318"))</f>
        <v>0</v>
      </c>
      <c r="BP725" t="b">
        <f>IF(Metadata!AC725="",FALSE,TRUE)</f>
        <v>0</v>
      </c>
      <c r="BQ725" t="b">
        <f>IF(Metadata!AD725="",FALSE,TRUE)</f>
        <v>0</v>
      </c>
    </row>
    <row r="726" spans="1:69" x14ac:dyDescent="0.2">
      <c r="A726" s="4" t="e">
        <f ca="1">IF(B726=" "," ",HYPERLINK(CONCATENATE("#metadata!",ADDRESS(INDEX($AJ$2:$AJ$1001,MATCH(ROWS($AH$2:AH726),$AH$2:$AH$1001,0),0),2)),INDEX($AM$2:$AM$1001,MATCH(ROWS($AH$2:AH726),$AH$2:$AH$1001,0),0)))</f>
        <v>#N/A</v>
      </c>
      <c r="B726" s="5" t="e">
        <f ca="1">IF(OR(INDEX($AI$2:$AI$1001,MATCH(ROWS($AH$2:AH726),$AH$2:$AH$1001,0),1)&gt;=100000,INDEX($AO$1005:$BQ$1005,1,MATCH(COLUMNS($AO$1006:AO1006),$AO$1006:$BQ$1006,0))&gt;=100000), " ",IF(INDEX($AO$2:$BQ$1001,MATCH(ROWS($AH$2:AH726),$AH$2:$AH$1001,0),MATCH(COLUMNS($AO$1006:AO1006),$AO$1006:$BQ$1006,0)), HYPERLINK("#",""), HYPERLINK(CONCATENATE("#Metadata!", ADDRESS(INDEX($AJ$2:$AJ$1001,MATCH(ROWS($AH$2:AH726),$AH$2:$AH$1001,0),0), INDEX($AO$1004:$BQ$1004,1,MATCH(COLUMNS($AO$1006:AO1006),$AO$1006:$BQ$1006,0)))),"Fix")))</f>
        <v>#N/A</v>
      </c>
      <c r="C726" s="5" t="e">
        <f ca="1">IF(OR(INDEX($AI$2:$AI$1001,MATCH(ROWS($AH$2:AH726),$AH$2:$AH$1001,0),1)&gt;=100000,INDEX($AO$1005:$BQ$1005,1,MATCH(COLUMNS($AO$1006:AP1006),$AO$1006:$BQ$1006,0))&gt;=100000), " ",IF(INDEX($AO$2:$BQ$1001,MATCH(ROWS($AH$2:AH726),$AH$2:$AH$1001,0),MATCH(COLUMNS($AO$1006:AP1006),$AO$1006:$BQ$1006,0)), HYPERLINK("#",""), HYPERLINK(CONCATENATE("#Metadata!", ADDRESS(INDEX($AJ$2:$AJ$1001,MATCH(ROWS($AH$2:AH726),$AH$2:$AH$1001,0),0), INDEX($AO$1004:$BQ$1004,1,MATCH(COLUMNS($AO$1006:AP1006),$AO$1006:$BQ$1006,0)))),"Fix")))</f>
        <v>#N/A</v>
      </c>
      <c r="D726" s="5" t="e">
        <f ca="1">IF(OR(INDEX($AI$2:$AI$1001,MATCH(ROWS($AH$2:AH726),$AH$2:$AH$1001,0),1)&gt;=100000,INDEX($AO$1005:$BQ$1005,1,MATCH(COLUMNS($AO$1006:AQ1006),$AO$1006:$BQ$1006,0))&gt;=100000), " ",IF(INDEX($AO$2:$BQ$1001,MATCH(ROWS($AH$2:AH726),$AH$2:$AH$1001,0),MATCH(COLUMNS($AO$1006:AQ1006),$AO$1006:$BQ$1006,0)), HYPERLINK("#",""), HYPERLINK(CONCATENATE("#Metadata!", ADDRESS(INDEX($AJ$2:$AJ$1001,MATCH(ROWS($AH$2:AH726),$AH$2:$AH$1001,0),0), INDEX($AO$1004:$BQ$1004,1,MATCH(COLUMNS($AO$1006:AQ1006),$AO$1006:$BQ$1006,0)))),"Fix")))</f>
        <v>#N/A</v>
      </c>
      <c r="E726" s="5" t="e">
        <f ca="1">IF(OR(INDEX($AI$2:$AI$1001,MATCH(ROWS($AH$2:AH726),$AH$2:$AH$1001,0),1)&gt;=100000,INDEX($AO$1005:$BQ$1005,1,MATCH(COLUMNS($AO$1006:AR1006),$AO$1006:$BQ$1006,0))&gt;=100000), " ",IF(INDEX($AO$2:$BQ$1001,MATCH(ROWS($AH$2:AH726),$AH$2:$AH$1001,0),MATCH(COLUMNS($AO$1006:AR1006),$AO$1006:$BQ$1006,0)), HYPERLINK("#",""), HYPERLINK(CONCATENATE("#Metadata!", ADDRESS(INDEX($AJ$2:$AJ$1001,MATCH(ROWS($AH$2:AH726),$AH$2:$AH$1001,0),0), INDEX($AO$1004:$BQ$1004,1,MATCH(COLUMNS($AO$1006:AR1006),$AO$1006:$BQ$1006,0)))),"Fix")))</f>
        <v>#N/A</v>
      </c>
      <c r="F726" s="5" t="e">
        <f ca="1">IF(OR(INDEX($AI$2:$AI$1001,MATCH(ROWS($AH$2:AH726),$AH$2:$AH$1001,0),1)&gt;=100000,INDEX($AO$1005:$BQ$1005,1,MATCH(COLUMNS($AO$1006:AS1006),$AO$1006:$BQ$1006,0))&gt;=100000), " ",IF(INDEX($AO$2:$BQ$1001,MATCH(ROWS($AH$2:AH726),$AH$2:$AH$1001,0),MATCH(COLUMNS($AO$1006:AS1006),$AO$1006:$BQ$1006,0)), HYPERLINK("#",""), HYPERLINK(CONCATENATE("#Metadata!", ADDRESS(INDEX($AJ$2:$AJ$1001,MATCH(ROWS($AH$2:AH726),$AH$2:$AH$1001,0),0), INDEX($AO$1004:$BQ$1004,1,MATCH(COLUMNS($AO$1006:AS1006),$AO$1006:$BQ$1006,0)))),"Fix")))</f>
        <v>#N/A</v>
      </c>
      <c r="G726" s="5" t="e">
        <f ca="1">IF(OR(INDEX($AI$2:$AI$1001,MATCH(ROWS($AH$2:AH726),$AH$2:$AH$1001,0),1)&gt;=100000,INDEX($AO$1005:$BQ$1005,1,MATCH(COLUMNS($AO$1006:AT1006),$AO$1006:$BQ$1006,0))&gt;=100000), " ",IF(INDEX($AO$2:$BQ$1001,MATCH(ROWS($AH$2:AH726),$AH$2:$AH$1001,0),MATCH(COLUMNS($AO$1006:AT1006),$AO$1006:$BQ$1006,0)), HYPERLINK("#",""), HYPERLINK(CONCATENATE("#Metadata!", ADDRESS(INDEX($AJ$2:$AJ$1001,MATCH(ROWS($AH$2:AH726),$AH$2:$AH$1001,0),0), INDEX($AO$1004:$BQ$1004,1,MATCH(COLUMNS($AO$1006:AT1006),$AO$1006:$BQ$1006,0)))),"Fix")))</f>
        <v>#N/A</v>
      </c>
      <c r="H726" s="5" t="e">
        <f ca="1">IF(OR(INDEX($AI$2:$AI$1001,MATCH(ROWS($AH$2:AH726),$AH$2:$AH$1001,0),1)&gt;=100000,INDEX($AO$1005:$BQ$1005,1,MATCH(COLUMNS($AO$1006:AU1006),$AO$1006:$BQ$1006,0))&gt;=100000), " ",IF(INDEX($AO$2:$BQ$1001,MATCH(ROWS($AH$2:AH726),$AH$2:$AH$1001,0),MATCH(COLUMNS($AO$1006:AU1006),$AO$1006:$BQ$1006,0)), HYPERLINK("#",""), HYPERLINK(CONCATENATE("#Metadata!", ADDRESS(INDEX($AJ$2:$AJ$1001,MATCH(ROWS($AH$2:AH726),$AH$2:$AH$1001,0),0), INDEX($AO$1004:$BQ$1004,1,MATCH(COLUMNS($AO$1006:AU1006),$AO$1006:$BQ$1006,0)))),"Fix")))</f>
        <v>#N/A</v>
      </c>
      <c r="I726" s="5" t="e">
        <f ca="1">IF(OR(INDEX($AI$2:$AI$1001,MATCH(ROWS($AH$2:AH726),$AH$2:$AH$1001,0),1)&gt;=100000,INDEX($AO$1005:$BQ$1005,1,MATCH(COLUMNS($AO$1006:AV1006),$AO$1006:$BQ$1006,0))&gt;=100000), " ",IF(INDEX($AO$2:$BQ$1001,MATCH(ROWS($AH$2:AH726),$AH$2:$AH$1001,0),MATCH(COLUMNS($AO$1006:AV1006),$AO$1006:$BQ$1006,0)), HYPERLINK("#",""), HYPERLINK(CONCATENATE("#Metadata!", ADDRESS(INDEX($AJ$2:$AJ$1001,MATCH(ROWS($AH$2:AH726),$AH$2:$AH$1001,0),0), INDEX($AO$1004:$BQ$1004,1,MATCH(COLUMNS($AO$1006:AV1006),$AO$1006:$BQ$1006,0)))),"Fix")))</f>
        <v>#N/A</v>
      </c>
      <c r="J726" s="5" t="e">
        <f ca="1">IF(OR(INDEX($AI$2:$AI$1001,MATCH(ROWS($AH$2:AH726),$AH$2:$AH$1001,0),1)&gt;=100000,INDEX($AO$1005:$BQ$1005,1,MATCH(COLUMNS($AO$1006:AW1006),$AO$1006:$BQ$1006,0))&gt;=100000), " ",IF(INDEX($AO$2:$BQ$1001,MATCH(ROWS($AH$2:AH726),$AH$2:$AH$1001,0),MATCH(COLUMNS($AO$1006:AW1006),$AO$1006:$BQ$1006,0)), HYPERLINK("#",""), HYPERLINK(CONCATENATE("#Metadata!", ADDRESS(INDEX($AJ$2:$AJ$1001,MATCH(ROWS($AH$2:AH726),$AH$2:$AH$1001,0),0), INDEX($AO$1004:$BQ$1004,1,MATCH(COLUMNS($AO$1006:AW1006),$AO$1006:$BQ$1006,0)))),"Fix")))</f>
        <v>#N/A</v>
      </c>
      <c r="K726" s="5" t="e">
        <f ca="1">IF(OR(INDEX($AI$2:$AI$1001,MATCH(ROWS($AH$2:AH726),$AH$2:$AH$1001,0),1)&gt;=100000,INDEX($AO$1005:$BQ$1005,1,MATCH(COLUMNS($AO$1006:AX1006),$AO$1006:$BQ$1006,0))&gt;=100000), " ",IF(INDEX($AO$2:$BQ$1001,MATCH(ROWS($AH$2:AH726),$AH$2:$AH$1001,0),MATCH(COLUMNS($AO$1006:AX1006),$AO$1006:$BQ$1006,0)), HYPERLINK("#",""), HYPERLINK(CONCATENATE("#Metadata!", ADDRESS(INDEX($AJ$2:$AJ$1001,MATCH(ROWS($AH$2:AH726),$AH$2:$AH$1001,0),0), INDEX($AO$1004:$BQ$1004,1,MATCH(COLUMNS($AO$1006:AX1006),$AO$1006:$BQ$1006,0)))),"Fix")))</f>
        <v>#N/A</v>
      </c>
      <c r="L726" s="5" t="e">
        <f ca="1">IF(OR(INDEX($AI$2:$AI$1001,MATCH(ROWS($AH$2:AH726),$AH$2:$AH$1001,0),1)&gt;=100000,INDEX($AO$1005:$BQ$1005,1,MATCH(COLUMNS($AO$1006:AY1006),$AO$1006:$BQ$1006,0))&gt;=100000), " ",IF(INDEX($AO$2:$BQ$1001,MATCH(ROWS($AH$2:AH726),$AH$2:$AH$1001,0),MATCH(COLUMNS($AO$1006:AY1006),$AO$1006:$BQ$1006,0)), HYPERLINK("#",""), HYPERLINK(CONCATENATE("#Metadata!", ADDRESS(INDEX($AJ$2:$AJ$1001,MATCH(ROWS($AH$2:AH726),$AH$2:$AH$1001,0),0), INDEX($AO$1004:$BQ$1004,1,MATCH(COLUMNS($AO$1006:AY1006),$AO$1006:$BQ$1006,0)))),"Fix")))</f>
        <v>#N/A</v>
      </c>
      <c r="M726" s="5" t="e">
        <f ca="1">IF(OR(INDEX($AI$2:$AI$1001,MATCH(ROWS($AH$2:AH726),$AH$2:$AH$1001,0),1)&gt;=100000,INDEX($AO$1005:$BQ$1005,1,MATCH(COLUMNS($AO$1006:AZ1006),$AO$1006:$BQ$1006,0))&gt;=100000), " ",IF(INDEX($AO$2:$BQ$1001,MATCH(ROWS($AH$2:AH726),$AH$2:$AH$1001,0),MATCH(COLUMNS($AO$1006:AZ1006),$AO$1006:$BQ$1006,0)), HYPERLINK("#",""), HYPERLINK(CONCATENATE("#Metadata!", ADDRESS(INDEX($AJ$2:$AJ$1001,MATCH(ROWS($AH$2:AH726),$AH$2:$AH$1001,0),0), INDEX($AO$1004:$BQ$1004,1,MATCH(COLUMNS($AO$1006:AZ1006),$AO$1006:$BQ$1006,0)))),"Fix")))</f>
        <v>#N/A</v>
      </c>
      <c r="N726" s="5" t="e">
        <f ca="1">IF(OR(INDEX($AI$2:$AI$1001,MATCH(ROWS($AH$2:AH726),$AH$2:$AH$1001,0),1)&gt;=100000,INDEX($AO$1005:$BQ$1005,1,MATCH(COLUMNS($AO$1006:BA1006),$AO$1006:$BQ$1006,0))&gt;=100000), " ",IF(INDEX($AO$2:$BQ$1001,MATCH(ROWS($AH$2:AH726),$AH$2:$AH$1001,0),MATCH(COLUMNS($AO$1006:BA1006),$AO$1006:$BQ$1006,0)), HYPERLINK("#",""), HYPERLINK(CONCATENATE("#Metadata!", ADDRESS(INDEX($AJ$2:$AJ$1001,MATCH(ROWS($AH$2:AH726),$AH$2:$AH$1001,0),0), INDEX($AO$1004:$BQ$1004,1,MATCH(COLUMNS($AO$1006:BA1006),$AO$1006:$BQ$1006,0)))),"Fix")))</f>
        <v>#N/A</v>
      </c>
      <c r="O726" s="5" t="e">
        <f ca="1">IF(OR(INDEX($AI$2:$AI$1001,MATCH(ROWS($AH$2:AH726),$AH$2:$AH$1001,0),1)&gt;=100000,INDEX($AO$1005:$BQ$1005,1,MATCH(COLUMNS($AO$1006:BB1006),$AO$1006:$BQ$1006,0))&gt;=100000), " ",IF(INDEX($AO$2:$BQ$1001,MATCH(ROWS($AH$2:AH726),$AH$2:$AH$1001,0),MATCH(COLUMNS($AO$1006:BB1006),$AO$1006:$BQ$1006,0)), HYPERLINK("#",""), HYPERLINK(CONCATENATE("#Metadata!", ADDRESS(INDEX($AJ$2:$AJ$1001,MATCH(ROWS($AH$2:AH726),$AH$2:$AH$1001,0),0), INDEX($AO$1004:$BQ$1004,1,MATCH(COLUMNS($AO$1006:BB1006),$AO$1006:$BQ$1006,0)))),"Fix")))</f>
        <v>#N/A</v>
      </c>
      <c r="P726" s="5" t="e">
        <f ca="1">IF(OR(INDEX($AI$2:$AI$1001,MATCH(ROWS($AH$2:AH726),$AH$2:$AH$1001,0),1)&gt;=100000,INDEX($AO$1005:$BQ$1005,1,MATCH(COLUMNS($AO$1006:BC1006),$AO$1006:$BQ$1006,0))&gt;=100000), " ",IF(INDEX($AO$2:$BQ$1001,MATCH(ROWS($AH$2:AH726),$AH$2:$AH$1001,0),MATCH(COLUMNS($AO$1006:BC1006),$AO$1006:$BQ$1006,0)), HYPERLINK("#",""), HYPERLINK(CONCATENATE("#Metadata!", ADDRESS(INDEX($AJ$2:$AJ$1001,MATCH(ROWS($AH$2:AH726),$AH$2:$AH$1001,0),0), INDEX($AO$1004:$BQ$1004,1,MATCH(COLUMNS($AO$1006:BC1006),$AO$1006:$BQ$1006,0)))),"Fix")))</f>
        <v>#N/A</v>
      </c>
      <c r="Q726" s="5" t="e">
        <f ca="1">IF(OR(INDEX($AI$2:$AI$1001,MATCH(ROWS($AH$2:AH726),$AH$2:$AH$1001,0),1)&gt;=100000,INDEX($AO$1005:$BQ$1005,1,MATCH(COLUMNS($AO$1006:BD1006),$AO$1006:$BQ$1006,0))&gt;=100000), " ",IF(INDEX($AO$2:$BQ$1001,MATCH(ROWS($AH$2:AH726),$AH$2:$AH$1001,0),MATCH(COLUMNS($AO$1006:BD1006),$AO$1006:$BQ$1006,0)), HYPERLINK("#",""), HYPERLINK(CONCATENATE("#Metadata!", ADDRESS(INDEX($AJ$2:$AJ$1001,MATCH(ROWS($AH$2:AH726),$AH$2:$AH$1001,0),0), INDEX($AO$1004:$BQ$1004,1,MATCH(COLUMNS($AO$1006:BD1006),$AO$1006:$BQ$1006,0)))),"Fix")))</f>
        <v>#N/A</v>
      </c>
      <c r="R726" s="5" t="e">
        <f ca="1">IF(OR(INDEX($AI$2:$AI$1001,MATCH(ROWS($AH$2:AH726),$AH$2:$AH$1001,0),1)&gt;=100000,INDEX($AO$1005:$BQ$1005,1,MATCH(COLUMNS($AO$1006:BE1006),$AO$1006:$BQ$1006,0))&gt;=100000), " ",IF(INDEX($AO$2:$BQ$1001,MATCH(ROWS($AH$2:AH726),$AH$2:$AH$1001,0),MATCH(COLUMNS($AO$1006:BE1006),$AO$1006:$BQ$1006,0)), HYPERLINK("#",""), HYPERLINK(CONCATENATE("#Metadata!", ADDRESS(INDEX($AJ$2:$AJ$1001,MATCH(ROWS($AH$2:AH726),$AH$2:$AH$1001,0),0), INDEX($AO$1004:$BQ$1004,1,MATCH(COLUMNS($AO$1006:BE1006),$AO$1006:$BQ$1006,0)))),"Fix")))</f>
        <v>#N/A</v>
      </c>
      <c r="S726" s="5" t="e">
        <f ca="1">IF(OR(INDEX($AI$2:$AI$1001,MATCH(ROWS($AH$2:AH726),$AH$2:$AH$1001,0),1)&gt;=100000,INDEX($AO$1005:$BQ$1005,1,MATCH(COLUMNS($AO$1006:BF1006),$AO$1006:$BQ$1006,0))&gt;=100000), " ",IF(INDEX($AO$2:$BQ$1001,MATCH(ROWS($AH$2:AH726),$AH$2:$AH$1001,0),MATCH(COLUMNS($AO$1006:BF1006),$AO$1006:$BQ$1006,0)), HYPERLINK("#",""), HYPERLINK(CONCATENATE("#Metadata!", ADDRESS(INDEX($AJ$2:$AJ$1001,MATCH(ROWS($AH$2:AH726),$AH$2:$AH$1001,0),0), INDEX($AO$1004:$BQ$1004,1,MATCH(COLUMNS($AO$1006:BF1006),$AO$1006:$BQ$1006,0)))),"Fix")))</f>
        <v>#N/A</v>
      </c>
      <c r="T726" s="5" t="e">
        <f ca="1">IF(OR(INDEX($AI$2:$AI$1001,MATCH(ROWS($AH$2:AH726),$AH$2:$AH$1001,0),1)&gt;=100000,INDEX($AO$1005:$BQ$1005,1,MATCH(COLUMNS($AO$1006:BG1006),$AO$1006:$BQ$1006,0))&gt;=100000), " ",IF(INDEX($AO$2:$BQ$1001,MATCH(ROWS($AH$2:AH726),$AH$2:$AH$1001,0),MATCH(COLUMNS($AO$1006:BG1006),$AO$1006:$BQ$1006,0)), HYPERLINK("#",""), HYPERLINK(CONCATENATE("#Metadata!", ADDRESS(INDEX($AJ$2:$AJ$1001,MATCH(ROWS($AH$2:AH726),$AH$2:$AH$1001,0),0), INDEX($AO$1004:$BQ$1004,1,MATCH(COLUMNS($AO$1006:BG1006),$AO$1006:$BQ$1006,0)))),"Fix")))</f>
        <v>#N/A</v>
      </c>
      <c r="U726" s="5" t="e">
        <f ca="1">IF(OR(INDEX($AI$2:$AI$1001,MATCH(ROWS($AH$2:AH726),$AH$2:$AH$1001,0),1)&gt;=100000,INDEX($AO$1005:$BQ$1005,1,MATCH(COLUMNS($AO$1006:BH1006),$AO$1006:$BQ$1006,0))&gt;=100000), " ",IF(INDEX($AO$2:$BQ$1001,MATCH(ROWS($AH$2:AH726),$AH$2:$AH$1001,0),MATCH(COLUMNS($AO$1006:BH1006),$AO$1006:$BQ$1006,0)), HYPERLINK("#",""), HYPERLINK(CONCATENATE("#Metadata!", ADDRESS(INDEX($AJ$2:$AJ$1001,MATCH(ROWS($AH$2:AH726),$AH$2:$AH$1001,0),0), INDEX($AO$1004:$BQ$1004,1,MATCH(COLUMNS($AO$1006:BH1006),$AO$1006:$BQ$1006,0)))),"Fix")))</f>
        <v>#N/A</v>
      </c>
      <c r="V726" s="5" t="e">
        <f ca="1">IF(OR(INDEX($AI$2:$AI$1001,MATCH(ROWS($AH$2:AH726),$AH$2:$AH$1001,0),1)&gt;=100000,INDEX($AO$1005:$BQ$1005,1,MATCH(COLUMNS($AO$1006:BI1006),$AO$1006:$BQ$1006,0))&gt;=100000), " ",IF(INDEX($AO$2:$BQ$1001,MATCH(ROWS($AH$2:AH726),$AH$2:$AH$1001,0),MATCH(COLUMNS($AO$1006:BI1006),$AO$1006:$BQ$1006,0)), HYPERLINK("#",""), HYPERLINK(CONCATENATE("#Metadata!", ADDRESS(INDEX($AJ$2:$AJ$1001,MATCH(ROWS($AH$2:AH726),$AH$2:$AH$1001,0),0), INDEX($AO$1004:$BQ$1004,1,MATCH(COLUMNS($AO$1006:BI1006),$AO$1006:$BQ$1006,0)))),"Fix")))</f>
        <v>#N/A</v>
      </c>
      <c r="W726" s="5" t="e">
        <f ca="1">IF(OR(INDEX($AI$2:$AI$1001,MATCH(ROWS($AH$2:AH726),$AH$2:$AH$1001,0),1)&gt;=100000,INDEX($AO$1005:$BQ$1005,1,MATCH(COLUMNS($AO$1006:BJ1006),$AO$1006:$BQ$1006,0))&gt;=100000), " ",IF(INDEX($AO$2:$BQ$1001,MATCH(ROWS($AH$2:AH726),$AH$2:$AH$1001,0),MATCH(COLUMNS($AO$1006:BJ1006),$AO$1006:$BQ$1006,0)), HYPERLINK("#",""), HYPERLINK(CONCATENATE("#Metadata!", ADDRESS(INDEX($AJ$2:$AJ$1001,MATCH(ROWS($AH$2:AH726),$AH$2:$AH$1001,0),0), INDEX($AO$1004:$BQ$1004,1,MATCH(COLUMNS($AO$1006:BJ1006),$AO$1006:$BQ$1006,0)))),"Fix")))</f>
        <v>#N/A</v>
      </c>
      <c r="X726" s="5" t="e">
        <f ca="1">IF(OR(INDEX($AI$2:$AI$1001,MATCH(ROWS($AH$2:AH726),$AH$2:$AH$1001,0),1)&gt;=100000,INDEX($AO$1005:$BQ$1005,1,MATCH(COLUMNS($AO$1006:BK1006),$AO$1006:$BQ$1006,0))&gt;=100000), " ",IF(INDEX($AO$2:$BQ$1001,MATCH(ROWS($AH$2:AH726),$AH$2:$AH$1001,0),MATCH(COLUMNS($AO$1006:BK1006),$AO$1006:$BQ$1006,0)), HYPERLINK("#",""), HYPERLINK(CONCATENATE("#Metadata!", ADDRESS(INDEX($AJ$2:$AJ$1001,MATCH(ROWS($AH$2:AH726),$AH$2:$AH$1001,0),0), INDEX($AO$1004:$BQ$1004,1,MATCH(COLUMNS($AO$1006:BK1006),$AO$1006:$BQ$1006,0)))),"Fix")))</f>
        <v>#N/A</v>
      </c>
      <c r="Y726" s="5" t="e">
        <f ca="1">IF(OR(INDEX($AI$2:$AI$1001,MATCH(ROWS($AH$2:AH726),$AH$2:$AH$1001,0),1)&gt;=100000,INDEX($AO$1005:$BQ$1005,1,MATCH(COLUMNS($AO$1006:BL1006),$AO$1006:$BQ$1006,0))&gt;=100000), " ",IF(INDEX($AO$2:$BQ$1001,MATCH(ROWS($AH$2:AH726),$AH$2:$AH$1001,0),MATCH(COLUMNS($AO$1006:BL1006),$AO$1006:$BQ$1006,0)), HYPERLINK("#",""), HYPERLINK(CONCATENATE("#Metadata!", ADDRESS(INDEX($AJ$2:$AJ$1001,MATCH(ROWS($AH$2:AH726),$AH$2:$AH$1001,0),0), INDEX($AO$1004:$BQ$1004,1,MATCH(COLUMNS($AO$1006:BL1006),$AO$1006:$BQ$1006,0)))),"Fix")))</f>
        <v>#N/A</v>
      </c>
      <c r="Z726" s="5" t="e">
        <f ca="1">IF(OR(INDEX($AI$2:$AI$1001,MATCH(ROWS($AH$2:AH726),$AH$2:$AH$1001,0),1)&gt;=100000,INDEX($AO$1005:$BQ$1005,1,MATCH(COLUMNS($AO$1006:BM1006),$AO$1006:$BQ$1006,0))&gt;=100000), " ",IF(INDEX($AO$2:$BQ$1001,MATCH(ROWS($AH$2:AH726),$AH$2:$AH$1001,0),MATCH(COLUMNS($AO$1006:BM1006),$AO$1006:$BQ$1006,0)), HYPERLINK("#",""), HYPERLINK(CONCATENATE("#Metadata!", ADDRESS(INDEX($AJ$2:$AJ$1001,MATCH(ROWS($AH$2:AH726),$AH$2:$AH$1001,0),0), INDEX($AO$1004:$BQ$1004,1,MATCH(COLUMNS($AO$1006:BM1006),$AO$1006:$BQ$1006,0)))),"Fix")))</f>
        <v>#N/A</v>
      </c>
      <c r="AA726" s="5" t="e">
        <f ca="1">IF(OR(INDEX($AI$2:$AI$1001,MATCH(ROWS($AH$2:AH726),$AH$2:$AH$1001,0),1)&gt;=100000,INDEX($AO$1005:$BQ$1005,1,MATCH(COLUMNS($AO$1006:BN1006),$AO$1006:$BQ$1006,0))&gt;=100000), " ",IF(INDEX($AO$2:$BQ$1001,MATCH(ROWS($AH$2:AH726),$AH$2:$AH$1001,0),MATCH(COLUMNS($AO$1006:BN1006),$AO$1006:$BQ$1006,0)), HYPERLINK("#",""), HYPERLINK(CONCATENATE("#Metadata!", ADDRESS(INDEX($AJ$2:$AJ$1001,MATCH(ROWS($AH$2:AH726),$AH$2:$AH$1001,0),0), INDEX($AO$1004:$BQ$1004,1,MATCH(COLUMNS($AO$1006:BN1006),$AO$1006:$BQ$1006,0)))),"Fix")))</f>
        <v>#N/A</v>
      </c>
      <c r="AB726" s="5" t="e">
        <f ca="1">IF(OR(INDEX($AI$2:$AI$1001,MATCH(ROWS($AH$2:AH726),$AH$2:$AH$1001,0),1)&gt;=100000,INDEX($AO$1005:$BQ$1005,1,MATCH(COLUMNS($AO$1006:BO1006),$AO$1006:$BQ$1006,0))&gt;=100000), " ",IF(INDEX($AO$2:$BQ$1001,MATCH(ROWS($AH$2:AH726),$AH$2:$AH$1001,0),MATCH(COLUMNS($AO$1006:BO1006),$AO$1006:$BQ$1006,0)), HYPERLINK("#",""), HYPERLINK(CONCATENATE("#Metadata!", ADDRESS(INDEX($AJ$2:$AJ$1001,MATCH(ROWS($AH$2:AH726),$AH$2:$AH$1001,0),0), INDEX($AO$1004:$BQ$1004,1,MATCH(COLUMNS($AO$1006:BO1006),$AO$1006:$BQ$1006,0)))),"Fix")))</f>
        <v>#N/A</v>
      </c>
      <c r="AC726" s="5" t="e">
        <f ca="1">IF(OR(INDEX($AI$2:$AI$1001,MATCH(ROWS($AH$2:AH726),$AH$2:$AH$1001,0),1)&gt;=100000,INDEX($AO$1005:$BQ$1005,1,MATCH(COLUMNS($AO$1006:BP1006),$AO$1006:$BQ$1006,0))&gt;=100000), " ",IF(INDEX($AO$2:$BQ$1001,MATCH(ROWS($AH$2:AH726),$AH$2:$AH$1001,0),MATCH(COLUMNS($AO$1006:BP1006),$AO$1006:$BQ$1006,0)), HYPERLINK("#",""), HYPERLINK(CONCATENATE("#Metadata!", ADDRESS(INDEX($AJ$2:$AJ$1001,MATCH(ROWS($AH$2:AH726),$AH$2:$AH$1001,0),0), INDEX($AO$1004:$BQ$1004,1,MATCH(COLUMNS($AO$1006:BP1006),$AO$1006:$BQ$1006,0)))),"Fix")))</f>
        <v>#N/A</v>
      </c>
      <c r="AD726" s="5" t="e">
        <f ca="1">IF(OR(INDEX($AI$2:$AI$1001,MATCH(ROWS($AH$2:AH726),$AH$2:$AH$1001,0),1)&gt;=100000,INDEX($AO$1005:$BQ$1005,1,MATCH(COLUMNS($AO$1006:BQ1006),$AO$1006:$BQ$1006,0))&gt;=100000), " ",IF(INDEX($AO$2:$BQ$1001,MATCH(ROWS($AH$2:AH726),$AH$2:$AH$1001,0),MATCH(COLUMNS($AO$1006:BQ1006),$AO$1006:$BQ$1006,0)), HYPERLINK("#",""), HYPERLINK(CONCATENATE("#Metadata!", ADDRESS(INDEX($AJ$2:$AJ$1001,MATCH(ROWS($AH$2:AH726),$AH$2:$AH$1001,0),0), INDEX($AO$1004:$BQ$1004,1,MATCH(COLUMNS($AO$1006:BQ1006),$AO$1006:$BQ$1006,0)))),"Fix")))</f>
        <v>#REF!</v>
      </c>
      <c r="AH726">
        <f ca="1"/>
        <v>723</v>
      </c>
      <c r="AI726">
        <v>100726</v>
      </c>
      <c r="AJ726">
        <v>726</v>
      </c>
      <c r="AK726" t="b">
        <f t="shared" si="11"/>
        <v>1</v>
      </c>
      <c r="AL726" t="b">
        <f>COUNTBLANK(Metadata!B726:AD726)=COLUMNS(Metadata!B726:AD726)</f>
        <v>1</v>
      </c>
      <c r="AM726" t="str">
        <v/>
      </c>
      <c r="AO726" t="b">
        <f ca="1">AND(IF(Metadata!B726="",FALSE,TRUE),COUNTIF(Metadata!B:B, Metadata!B726) = 1,NOT(ISERROR(SUMPRODUCT(SEARCH(MID(Metadata!B726,ROW(INDIRECT("1:"&amp;LEN(Metadata!B726))), 1),"0123456789abcdefghijklmnopqrstuvwxyzABCDEFGHIJKLMNOPQRSTUVWXYZ.")))))</f>
        <v>0</v>
      </c>
      <c r="AP726" t="b">
        <f>IF(Metadata!C726="",FALSE,TRUE)</f>
        <v>0</v>
      </c>
      <c r="AQ726" t="b">
        <f>IF(Metadata!D726="",FALSE,TRUE)</f>
        <v>0</v>
      </c>
      <c r="AR726" t="b">
        <f ca="1">OR(AND(IF(Metadata!E726="",FALSE,TRUE),OR(EXACT(Metadata!E726,"not collected"),EXACT(Metadata!E726,"not provided"),EXACT(Metadata!E726,"restricted access"))),AND(IF(Metadata!E726="",FALSE,TRUE),AND(AND(IFERROR(INT(LEFT(Metadata!E726,4))&gt;1900,FALSE),IFERROR(INT(LEFT(Metadata!E726,4))&lt;=YEAR(NOW()),FALSE)), OR(MID(Metadata!E726,5,1)="", AND(AND(MID(Metadata!E726,5,1)="-",IFERROR(INT(MID(Metadata!E726,6,1))&gt;=0,FALSE),IFERROR(INT(MID(Metadata!E726,6,1))&lt;=1,FALSE),NOT(MID(Metadata!E726,7,1)=""),IFERROR(INT(MID(Metadata!E726,6,2))&gt;=1,FALSE),IFERROR(INT(MID(Metadata!E726,6,2))&lt;=12,FALSE)), OR(MID(Metadata!E726,8,1)="", AND(AND(MID(Metadata!E726,8,1)="-",IFERROR(INT(MID(Metadata!E726,9,1))&gt;=0,FALSE),IFERROR(INT(MID(Metadata!E726,9,1))&lt;=3,FALSE),NOT(MID(Metadata!E726,10,1)=""),IFERROR(INT(MID(Metadata!E726,9,2))&gt;=1,FALSE),IFERROR(INT(MID(Metadata!E726,9,2))&lt;=31,FALSE)), OR(MID(Metadata!E726,11,1)="", AND(AND(MID(Metadata!E726,11,1)=" ",IFERROR(INT(MID(Metadata!E726,12,1))&gt;=0,FALSE),IFERROR(INT(MID(Metadata!E726,12,1))&lt;=2,FALSE),NOT(MID(Metadata!E726,13,1)=""),IFERROR(INT(MID(Metadata!E726,12,2))&gt;=0,FALSE),IFERROR(INT(MID(Metadata!E726,12,2))&lt;=23,FALSE)), OR(MID(Metadata!E726,14,1)="", AND(AND(MID(Metadata!E726,14,1)=":",IFERROR(INT(MID(Metadata!E726,15,1))&gt;=0,FALSE),IFERROR(INT(MID(Metadata!E726,15,1))&lt;=5,FALSE),NOT(MID(Metadata!E726,16,1)=""),IFERROR(INT(MID(Metadata!E726,15,2))&gt;=0,FALSE),IFERROR(INT(MID(Metadata!E726,15,2))&lt;=59,FALSE)), OR(MID(Metadata!E726,17,1)="", AND(AND(MID(Metadata!E726,17,1)=":",IFERROR(INT(MID(Metadata!E726,18,1))&gt;=0,FALSE),IFERROR(INT(MID(Metadata!E726,18,1))&lt;=5,FALSE),NOT(MID(Metadata!E726,19,1)=""),IFERROR(INT(MID(Metadata!E726,18,2))&gt;=0,FALSE),IFERROR(INT(MID(Metadata!E726,18,2))&lt;=59,FALSE)), LEN(Metadata!E726)&lt;=19)))))))))))))</f>
        <v>0</v>
      </c>
      <c r="AS726" t="b">
        <f>IF(Metadata!F726="",FALSE,TRUE)</f>
        <v>0</v>
      </c>
      <c r="AT726" t="b">
        <f>OR(AND(IF(Metadata!G726="",FALSE,TRUE),OR(EXACT(Metadata!G726,"not collected"),EXACT(Metadata!G726,"not provided"))),AND(IF(Metadata!G726="",FALSE,TRUE),OR(EXACT(Metadata!G726,"TRUE"),EXACT(Metadata!G726,"FALSE"))))</f>
        <v>0</v>
      </c>
      <c r="AU726" t="b">
        <f>OR(AND(IF(Metadata!H726="",FALSE,TRUE),OR(EXACT(Metadata!H726,"not collected"),EXACT(Metadata!H726,"not provided"),EXACT(Metadata!H726,"restricted access"))),AND(IF(Metadata!H726="",FALSE,ISNUMBER(VALUE(Metadata!H726))),Metadata!H726&gt;=-413))</f>
        <v>0</v>
      </c>
      <c r="AV726" t="b">
        <f>AND(IF(Metadata!I726="",FALSE,TRUE),EXACT(Metadata!I726,"meters"))</f>
        <v>0</v>
      </c>
      <c r="AW726" t="b">
        <f>AND(IF(Metadata!J726="",FALSE,TRUE),EXACT(Metadata!J726,"free-living"))</f>
        <v>0</v>
      </c>
      <c r="AX726" t="b">
        <f>AND(IF(Metadata!K726="",FALSE,TRUE),OR(EXACT(Metadata!K726,"saline"),EXACT(Metadata!K726,"non-saline")))</f>
        <v>0</v>
      </c>
      <c r="AY726" t="b">
        <f>AND(IF(Metadata!L726="",FALSE,TRUE),OR(EXACT(Metadata!L726,"sub-surface (non-saline)"),EXACT(Metadata!L726,"surface (non-saline)"),EXACT(Metadata!L726,"water (non-saline)"),EXACT(Metadata!L726,"soil (non-saline)"),EXACT(Metadata!L726,"aerosol (non-saline)"),EXACT(Metadata!L726,"sediment (non-saline)"),EXACT(Metadata!L726,"surface (saline)"),EXACT(Metadata!L726,"water (saline)"),EXACT(Metadata!L726,"hypersaline (saline)"),EXACT(Metadata!L726,"aerosol (saline)"),EXACT(Metadata!L726,"sediment (saline)")))</f>
        <v>0</v>
      </c>
      <c r="AZ726" t="b">
        <f>IF(Metadata!M726="",FALSE,TRUE)</f>
        <v>0</v>
      </c>
      <c r="BA726" t="b">
        <f>IF(Metadata!N726="",FALSE,TRUE)</f>
        <v>0</v>
      </c>
      <c r="BB726" t="b">
        <f>IF(Metadata!O726="",FALSE,TRUE)</f>
        <v>0</v>
      </c>
      <c r="BC726" t="b">
        <f>AND(IF(Metadata!P726="",FALSE,TRUE),OR(EXACT(Metadata!P726,"air"),EXACT(Metadata!P726,"microbial mat/biofilm"),EXACT(Metadata!P726,"misc environment"),EXACT(Metadata!P726,"sediment"),EXACT(Metadata!P726,"soil"),EXACT(Metadata!P726,"wastewater/sludge"),EXACT(Metadata!P726,"water")))</f>
        <v>0</v>
      </c>
      <c r="BD726" t="b">
        <f>IF(Metadata!Q726="",FALSE,TRUE)</f>
        <v>0</v>
      </c>
      <c r="BE726" t="b">
        <f>IF(Metadata!R726="",FALSE,TRUE)</f>
        <v>0</v>
      </c>
      <c r="BF726" t="b">
        <f>OR(AND(IF(Metadata!S726="",FALSE,TRUE),OR(EXACT(Metadata!S726,"not collected"),EXACT(Metadata!S726,"not provided"),EXACT(Metadata!S726,"restricted access"))),AND(IF(Metadata!S726="",FALSE,ISNUMBER(VALUE(Metadata!S726))),Metadata!S726&gt;=-90,Metadata!S726&lt;=90))</f>
        <v>0</v>
      </c>
      <c r="BG726" t="b">
        <f>AND(IF(Metadata!T726="",FALSE,TRUE),EXACT(Metadata!T726,"Decimal degrees"))</f>
        <v>0</v>
      </c>
      <c r="BH726" t="b">
        <f>OR(AND(IF(Metadata!U726="",FALSE,TRUE),OR(EXACT(Metadata!U726,"not applicable"),EXACT(Metadata!U726,"not collected"))),IF(Metadata!U726="",FALSE,TRUE))</f>
        <v>0</v>
      </c>
      <c r="BI726" t="b">
        <f>OR(AND(IF(Metadata!V726="",FALSE,TRUE),OR(EXACT(Metadata!V726,"not collected"),EXACT(Metadata!V726,"not provided"),EXACT(Metadata!V726,"restricted access"))),AND(IF(Metadata!V726="",FALSE,ISNUMBER(VALUE(Metadata!V726))),Metadata!V726&gt;=-180,Metadata!V726&lt;=180))</f>
        <v>0</v>
      </c>
      <c r="BJ726" t="b">
        <f>AND(IF(Metadata!W726="",FALSE,TRUE),EXACT(Metadata!W726,"Decimal degrees"))</f>
        <v>0</v>
      </c>
      <c r="BK726" t="b">
        <f>IF(Metadata!X726="",FALSE,TRUE)</f>
        <v>0</v>
      </c>
      <c r="BL726" t="b">
        <f>OR(AND(IF(Metadata!Y726="",FALSE,TRUE),OR(EXACT(Metadata!Y726,"not collected"),EXACT(Metadata!Y726,"not provided"),EXACT(Metadata!Y726,"restricted access"))),AND(IF(Metadata!Y726="",FALSE,TRUE),OR(EXACT(Metadata!Y726,"TRUE"),EXACT(Metadata!Y726,"FALSE"))))</f>
        <v>0</v>
      </c>
      <c r="BM726" t="b">
        <f>OR(AND(IF(Metadata!Z726="",FALSE,TRUE),EXACT(Metadata!Z726,"not applicable")),AND(IF(Metadata!Z726="",FALSE,TRUE),OR(EXACT(Metadata!Z726,"beer"),EXACT(Metadata!Z726,"cheese"),EXACT(Metadata!Z726,"fresh water"),EXACT(Metadata!Z726,"marine sediment"),EXACT(Metadata!Z726,"sea water"),EXACT(Metadata!Z726,"sediment"),EXACT(Metadata!Z726,"soil"),EXACT(Metadata!Z726,"waste water"))))</f>
        <v>0</v>
      </c>
      <c r="BN726" t="b">
        <f>AND(IF(Metadata!AA726="",FALSE,TRUE),EXACT(Metadata!AA726,"metagenome"))</f>
        <v>0</v>
      </c>
      <c r="BO726" t="b">
        <f>AND(IF(Metadata!AB726="",FALSE,TRUE),EXACT(Metadata!AB726,"256318"))</f>
        <v>0</v>
      </c>
      <c r="BP726" t="b">
        <f>IF(Metadata!AC726="",FALSE,TRUE)</f>
        <v>0</v>
      </c>
      <c r="BQ726" t="b">
        <f>IF(Metadata!AD726="",FALSE,TRUE)</f>
        <v>0</v>
      </c>
    </row>
    <row r="727" spans="1:69" x14ac:dyDescent="0.2">
      <c r="A727" s="4" t="e">
        <f ca="1">IF(B727=" "," ",HYPERLINK(CONCATENATE("#metadata!",ADDRESS(INDEX($AJ$2:$AJ$1001,MATCH(ROWS($AH$2:AH727),$AH$2:$AH$1001,0),0),2)),INDEX($AM$2:$AM$1001,MATCH(ROWS($AH$2:AH727),$AH$2:$AH$1001,0),0)))</f>
        <v>#N/A</v>
      </c>
      <c r="B727" s="5" t="e">
        <f ca="1">IF(OR(INDEX($AI$2:$AI$1001,MATCH(ROWS($AH$2:AH727),$AH$2:$AH$1001,0),1)&gt;=100000,INDEX($AO$1005:$BQ$1005,1,MATCH(COLUMNS($AO$1006:AO1006),$AO$1006:$BQ$1006,0))&gt;=100000), " ",IF(INDEX($AO$2:$BQ$1001,MATCH(ROWS($AH$2:AH727),$AH$2:$AH$1001,0),MATCH(COLUMNS($AO$1006:AO1006),$AO$1006:$BQ$1006,0)), HYPERLINK("#",""), HYPERLINK(CONCATENATE("#Metadata!", ADDRESS(INDEX($AJ$2:$AJ$1001,MATCH(ROWS($AH$2:AH727),$AH$2:$AH$1001,0),0), INDEX($AO$1004:$BQ$1004,1,MATCH(COLUMNS($AO$1006:AO1006),$AO$1006:$BQ$1006,0)))),"Fix")))</f>
        <v>#N/A</v>
      </c>
      <c r="C727" s="5" t="e">
        <f ca="1">IF(OR(INDEX($AI$2:$AI$1001,MATCH(ROWS($AH$2:AH727),$AH$2:$AH$1001,0),1)&gt;=100000,INDEX($AO$1005:$BQ$1005,1,MATCH(COLUMNS($AO$1006:AP1006),$AO$1006:$BQ$1006,0))&gt;=100000), " ",IF(INDEX($AO$2:$BQ$1001,MATCH(ROWS($AH$2:AH727),$AH$2:$AH$1001,0),MATCH(COLUMNS($AO$1006:AP1006),$AO$1006:$BQ$1006,0)), HYPERLINK("#",""), HYPERLINK(CONCATENATE("#Metadata!", ADDRESS(INDEX($AJ$2:$AJ$1001,MATCH(ROWS($AH$2:AH727),$AH$2:$AH$1001,0),0), INDEX($AO$1004:$BQ$1004,1,MATCH(COLUMNS($AO$1006:AP1006),$AO$1006:$BQ$1006,0)))),"Fix")))</f>
        <v>#N/A</v>
      </c>
      <c r="D727" s="5" t="e">
        <f ca="1">IF(OR(INDEX($AI$2:$AI$1001,MATCH(ROWS($AH$2:AH727),$AH$2:$AH$1001,0),1)&gt;=100000,INDEX($AO$1005:$BQ$1005,1,MATCH(COLUMNS($AO$1006:AQ1006),$AO$1006:$BQ$1006,0))&gt;=100000), " ",IF(INDEX($AO$2:$BQ$1001,MATCH(ROWS($AH$2:AH727),$AH$2:$AH$1001,0),MATCH(COLUMNS($AO$1006:AQ1006),$AO$1006:$BQ$1006,0)), HYPERLINK("#",""), HYPERLINK(CONCATENATE("#Metadata!", ADDRESS(INDEX($AJ$2:$AJ$1001,MATCH(ROWS($AH$2:AH727),$AH$2:$AH$1001,0),0), INDEX($AO$1004:$BQ$1004,1,MATCH(COLUMNS($AO$1006:AQ1006),$AO$1006:$BQ$1006,0)))),"Fix")))</f>
        <v>#N/A</v>
      </c>
      <c r="E727" s="5" t="e">
        <f ca="1">IF(OR(INDEX($AI$2:$AI$1001,MATCH(ROWS($AH$2:AH727),$AH$2:$AH$1001,0),1)&gt;=100000,INDEX($AO$1005:$BQ$1005,1,MATCH(COLUMNS($AO$1006:AR1006),$AO$1006:$BQ$1006,0))&gt;=100000), " ",IF(INDEX($AO$2:$BQ$1001,MATCH(ROWS($AH$2:AH727),$AH$2:$AH$1001,0),MATCH(COLUMNS($AO$1006:AR1006),$AO$1006:$BQ$1006,0)), HYPERLINK("#",""), HYPERLINK(CONCATENATE("#Metadata!", ADDRESS(INDEX($AJ$2:$AJ$1001,MATCH(ROWS($AH$2:AH727),$AH$2:$AH$1001,0),0), INDEX($AO$1004:$BQ$1004,1,MATCH(COLUMNS($AO$1006:AR1006),$AO$1006:$BQ$1006,0)))),"Fix")))</f>
        <v>#N/A</v>
      </c>
      <c r="F727" s="5" t="e">
        <f ca="1">IF(OR(INDEX($AI$2:$AI$1001,MATCH(ROWS($AH$2:AH727),$AH$2:$AH$1001,0),1)&gt;=100000,INDEX($AO$1005:$BQ$1005,1,MATCH(COLUMNS($AO$1006:AS1006),$AO$1006:$BQ$1006,0))&gt;=100000), " ",IF(INDEX($AO$2:$BQ$1001,MATCH(ROWS($AH$2:AH727),$AH$2:$AH$1001,0),MATCH(COLUMNS($AO$1006:AS1006),$AO$1006:$BQ$1006,0)), HYPERLINK("#",""), HYPERLINK(CONCATENATE("#Metadata!", ADDRESS(INDEX($AJ$2:$AJ$1001,MATCH(ROWS($AH$2:AH727),$AH$2:$AH$1001,0),0), INDEX($AO$1004:$BQ$1004,1,MATCH(COLUMNS($AO$1006:AS1006),$AO$1006:$BQ$1006,0)))),"Fix")))</f>
        <v>#N/A</v>
      </c>
      <c r="G727" s="5" t="e">
        <f ca="1">IF(OR(INDEX($AI$2:$AI$1001,MATCH(ROWS($AH$2:AH727),$AH$2:$AH$1001,0),1)&gt;=100000,INDEX($AO$1005:$BQ$1005,1,MATCH(COLUMNS($AO$1006:AT1006),$AO$1006:$BQ$1006,0))&gt;=100000), " ",IF(INDEX($AO$2:$BQ$1001,MATCH(ROWS($AH$2:AH727),$AH$2:$AH$1001,0),MATCH(COLUMNS($AO$1006:AT1006),$AO$1006:$BQ$1006,0)), HYPERLINK("#",""), HYPERLINK(CONCATENATE("#Metadata!", ADDRESS(INDEX($AJ$2:$AJ$1001,MATCH(ROWS($AH$2:AH727),$AH$2:$AH$1001,0),0), INDEX($AO$1004:$BQ$1004,1,MATCH(COLUMNS($AO$1006:AT1006),$AO$1006:$BQ$1006,0)))),"Fix")))</f>
        <v>#N/A</v>
      </c>
      <c r="H727" s="5" t="e">
        <f ca="1">IF(OR(INDEX($AI$2:$AI$1001,MATCH(ROWS($AH$2:AH727),$AH$2:$AH$1001,0),1)&gt;=100000,INDEX($AO$1005:$BQ$1005,1,MATCH(COLUMNS($AO$1006:AU1006),$AO$1006:$BQ$1006,0))&gt;=100000), " ",IF(INDEX($AO$2:$BQ$1001,MATCH(ROWS($AH$2:AH727),$AH$2:$AH$1001,0),MATCH(COLUMNS($AO$1006:AU1006),$AO$1006:$BQ$1006,0)), HYPERLINK("#",""), HYPERLINK(CONCATENATE("#Metadata!", ADDRESS(INDEX($AJ$2:$AJ$1001,MATCH(ROWS($AH$2:AH727),$AH$2:$AH$1001,0),0), INDEX($AO$1004:$BQ$1004,1,MATCH(COLUMNS($AO$1006:AU1006),$AO$1006:$BQ$1006,0)))),"Fix")))</f>
        <v>#N/A</v>
      </c>
      <c r="I727" s="5" t="e">
        <f ca="1">IF(OR(INDEX($AI$2:$AI$1001,MATCH(ROWS($AH$2:AH727),$AH$2:$AH$1001,0),1)&gt;=100000,INDEX($AO$1005:$BQ$1005,1,MATCH(COLUMNS($AO$1006:AV1006),$AO$1006:$BQ$1006,0))&gt;=100000), " ",IF(INDEX($AO$2:$BQ$1001,MATCH(ROWS($AH$2:AH727),$AH$2:$AH$1001,0),MATCH(COLUMNS($AO$1006:AV1006),$AO$1006:$BQ$1006,0)), HYPERLINK("#",""), HYPERLINK(CONCATENATE("#Metadata!", ADDRESS(INDEX($AJ$2:$AJ$1001,MATCH(ROWS($AH$2:AH727),$AH$2:$AH$1001,0),0), INDEX($AO$1004:$BQ$1004,1,MATCH(COLUMNS($AO$1006:AV1006),$AO$1006:$BQ$1006,0)))),"Fix")))</f>
        <v>#N/A</v>
      </c>
      <c r="J727" s="5" t="e">
        <f ca="1">IF(OR(INDEX($AI$2:$AI$1001,MATCH(ROWS($AH$2:AH727),$AH$2:$AH$1001,0),1)&gt;=100000,INDEX($AO$1005:$BQ$1005,1,MATCH(COLUMNS($AO$1006:AW1006),$AO$1006:$BQ$1006,0))&gt;=100000), " ",IF(INDEX($AO$2:$BQ$1001,MATCH(ROWS($AH$2:AH727),$AH$2:$AH$1001,0),MATCH(COLUMNS($AO$1006:AW1006),$AO$1006:$BQ$1006,0)), HYPERLINK("#",""), HYPERLINK(CONCATENATE("#Metadata!", ADDRESS(INDEX($AJ$2:$AJ$1001,MATCH(ROWS($AH$2:AH727),$AH$2:$AH$1001,0),0), INDEX($AO$1004:$BQ$1004,1,MATCH(COLUMNS($AO$1006:AW1006),$AO$1006:$BQ$1006,0)))),"Fix")))</f>
        <v>#N/A</v>
      </c>
      <c r="K727" s="5" t="e">
        <f ca="1">IF(OR(INDEX($AI$2:$AI$1001,MATCH(ROWS($AH$2:AH727),$AH$2:$AH$1001,0),1)&gt;=100000,INDEX($AO$1005:$BQ$1005,1,MATCH(COLUMNS($AO$1006:AX1006),$AO$1006:$BQ$1006,0))&gt;=100000), " ",IF(INDEX($AO$2:$BQ$1001,MATCH(ROWS($AH$2:AH727),$AH$2:$AH$1001,0),MATCH(COLUMNS($AO$1006:AX1006),$AO$1006:$BQ$1006,0)), HYPERLINK("#",""), HYPERLINK(CONCATENATE("#Metadata!", ADDRESS(INDEX($AJ$2:$AJ$1001,MATCH(ROWS($AH$2:AH727),$AH$2:$AH$1001,0),0), INDEX($AO$1004:$BQ$1004,1,MATCH(COLUMNS($AO$1006:AX1006),$AO$1006:$BQ$1006,0)))),"Fix")))</f>
        <v>#N/A</v>
      </c>
      <c r="L727" s="5" t="e">
        <f ca="1">IF(OR(INDEX($AI$2:$AI$1001,MATCH(ROWS($AH$2:AH727),$AH$2:$AH$1001,0),1)&gt;=100000,INDEX($AO$1005:$BQ$1005,1,MATCH(COLUMNS($AO$1006:AY1006),$AO$1006:$BQ$1006,0))&gt;=100000), " ",IF(INDEX($AO$2:$BQ$1001,MATCH(ROWS($AH$2:AH727),$AH$2:$AH$1001,0),MATCH(COLUMNS($AO$1006:AY1006),$AO$1006:$BQ$1006,0)), HYPERLINK("#",""), HYPERLINK(CONCATENATE("#Metadata!", ADDRESS(INDEX($AJ$2:$AJ$1001,MATCH(ROWS($AH$2:AH727),$AH$2:$AH$1001,0),0), INDEX($AO$1004:$BQ$1004,1,MATCH(COLUMNS($AO$1006:AY1006),$AO$1006:$BQ$1006,0)))),"Fix")))</f>
        <v>#N/A</v>
      </c>
      <c r="M727" s="5" t="e">
        <f ca="1">IF(OR(INDEX($AI$2:$AI$1001,MATCH(ROWS($AH$2:AH727),$AH$2:$AH$1001,0),1)&gt;=100000,INDEX($AO$1005:$BQ$1005,1,MATCH(COLUMNS($AO$1006:AZ1006),$AO$1006:$BQ$1006,0))&gt;=100000), " ",IF(INDEX($AO$2:$BQ$1001,MATCH(ROWS($AH$2:AH727),$AH$2:$AH$1001,0),MATCH(COLUMNS($AO$1006:AZ1006),$AO$1006:$BQ$1006,0)), HYPERLINK("#",""), HYPERLINK(CONCATENATE("#Metadata!", ADDRESS(INDEX($AJ$2:$AJ$1001,MATCH(ROWS($AH$2:AH727),$AH$2:$AH$1001,0),0), INDEX($AO$1004:$BQ$1004,1,MATCH(COLUMNS($AO$1006:AZ1006),$AO$1006:$BQ$1006,0)))),"Fix")))</f>
        <v>#N/A</v>
      </c>
      <c r="N727" s="5" t="e">
        <f ca="1">IF(OR(INDEX($AI$2:$AI$1001,MATCH(ROWS($AH$2:AH727),$AH$2:$AH$1001,0),1)&gt;=100000,INDEX($AO$1005:$BQ$1005,1,MATCH(COLUMNS($AO$1006:BA1006),$AO$1006:$BQ$1006,0))&gt;=100000), " ",IF(INDEX($AO$2:$BQ$1001,MATCH(ROWS($AH$2:AH727),$AH$2:$AH$1001,0),MATCH(COLUMNS($AO$1006:BA1006),$AO$1006:$BQ$1006,0)), HYPERLINK("#",""), HYPERLINK(CONCATENATE("#Metadata!", ADDRESS(INDEX($AJ$2:$AJ$1001,MATCH(ROWS($AH$2:AH727),$AH$2:$AH$1001,0),0), INDEX($AO$1004:$BQ$1004,1,MATCH(COLUMNS($AO$1006:BA1006),$AO$1006:$BQ$1006,0)))),"Fix")))</f>
        <v>#N/A</v>
      </c>
      <c r="O727" s="5" t="e">
        <f ca="1">IF(OR(INDEX($AI$2:$AI$1001,MATCH(ROWS($AH$2:AH727),$AH$2:$AH$1001,0),1)&gt;=100000,INDEX($AO$1005:$BQ$1005,1,MATCH(COLUMNS($AO$1006:BB1006),$AO$1006:$BQ$1006,0))&gt;=100000), " ",IF(INDEX($AO$2:$BQ$1001,MATCH(ROWS($AH$2:AH727),$AH$2:$AH$1001,0),MATCH(COLUMNS($AO$1006:BB1006),$AO$1006:$BQ$1006,0)), HYPERLINK("#",""), HYPERLINK(CONCATENATE("#Metadata!", ADDRESS(INDEX($AJ$2:$AJ$1001,MATCH(ROWS($AH$2:AH727),$AH$2:$AH$1001,0),0), INDEX($AO$1004:$BQ$1004,1,MATCH(COLUMNS($AO$1006:BB1006),$AO$1006:$BQ$1006,0)))),"Fix")))</f>
        <v>#N/A</v>
      </c>
      <c r="P727" s="5" t="e">
        <f ca="1">IF(OR(INDEX($AI$2:$AI$1001,MATCH(ROWS($AH$2:AH727),$AH$2:$AH$1001,0),1)&gt;=100000,INDEX($AO$1005:$BQ$1005,1,MATCH(COLUMNS($AO$1006:BC1006),$AO$1006:$BQ$1006,0))&gt;=100000), " ",IF(INDEX($AO$2:$BQ$1001,MATCH(ROWS($AH$2:AH727),$AH$2:$AH$1001,0),MATCH(COLUMNS($AO$1006:BC1006),$AO$1006:$BQ$1006,0)), HYPERLINK("#",""), HYPERLINK(CONCATENATE("#Metadata!", ADDRESS(INDEX($AJ$2:$AJ$1001,MATCH(ROWS($AH$2:AH727),$AH$2:$AH$1001,0),0), INDEX($AO$1004:$BQ$1004,1,MATCH(COLUMNS($AO$1006:BC1006),$AO$1006:$BQ$1006,0)))),"Fix")))</f>
        <v>#N/A</v>
      </c>
      <c r="Q727" s="5" t="e">
        <f ca="1">IF(OR(INDEX($AI$2:$AI$1001,MATCH(ROWS($AH$2:AH727),$AH$2:$AH$1001,0),1)&gt;=100000,INDEX($AO$1005:$BQ$1005,1,MATCH(COLUMNS($AO$1006:BD1006),$AO$1006:$BQ$1006,0))&gt;=100000), " ",IF(INDEX($AO$2:$BQ$1001,MATCH(ROWS($AH$2:AH727),$AH$2:$AH$1001,0),MATCH(COLUMNS($AO$1006:BD1006),$AO$1006:$BQ$1006,0)), HYPERLINK("#",""), HYPERLINK(CONCATENATE("#Metadata!", ADDRESS(INDEX($AJ$2:$AJ$1001,MATCH(ROWS($AH$2:AH727),$AH$2:$AH$1001,0),0), INDEX($AO$1004:$BQ$1004,1,MATCH(COLUMNS($AO$1006:BD1006),$AO$1006:$BQ$1006,0)))),"Fix")))</f>
        <v>#N/A</v>
      </c>
      <c r="R727" s="5" t="e">
        <f ca="1">IF(OR(INDEX($AI$2:$AI$1001,MATCH(ROWS($AH$2:AH727),$AH$2:$AH$1001,0),1)&gt;=100000,INDEX($AO$1005:$BQ$1005,1,MATCH(COLUMNS($AO$1006:BE1006),$AO$1006:$BQ$1006,0))&gt;=100000), " ",IF(INDEX($AO$2:$BQ$1001,MATCH(ROWS($AH$2:AH727),$AH$2:$AH$1001,0),MATCH(COLUMNS($AO$1006:BE1006),$AO$1006:$BQ$1006,0)), HYPERLINK("#",""), HYPERLINK(CONCATENATE("#Metadata!", ADDRESS(INDEX($AJ$2:$AJ$1001,MATCH(ROWS($AH$2:AH727),$AH$2:$AH$1001,0),0), INDEX($AO$1004:$BQ$1004,1,MATCH(COLUMNS($AO$1006:BE1006),$AO$1006:$BQ$1006,0)))),"Fix")))</f>
        <v>#N/A</v>
      </c>
      <c r="S727" s="5" t="e">
        <f ca="1">IF(OR(INDEX($AI$2:$AI$1001,MATCH(ROWS($AH$2:AH727),$AH$2:$AH$1001,0),1)&gt;=100000,INDEX($AO$1005:$BQ$1005,1,MATCH(COLUMNS($AO$1006:BF1006),$AO$1006:$BQ$1006,0))&gt;=100000), " ",IF(INDEX($AO$2:$BQ$1001,MATCH(ROWS($AH$2:AH727),$AH$2:$AH$1001,0),MATCH(COLUMNS($AO$1006:BF1006),$AO$1006:$BQ$1006,0)), HYPERLINK("#",""), HYPERLINK(CONCATENATE("#Metadata!", ADDRESS(INDEX($AJ$2:$AJ$1001,MATCH(ROWS($AH$2:AH727),$AH$2:$AH$1001,0),0), INDEX($AO$1004:$BQ$1004,1,MATCH(COLUMNS($AO$1006:BF1006),$AO$1006:$BQ$1006,0)))),"Fix")))</f>
        <v>#N/A</v>
      </c>
      <c r="T727" s="5" t="e">
        <f ca="1">IF(OR(INDEX($AI$2:$AI$1001,MATCH(ROWS($AH$2:AH727),$AH$2:$AH$1001,0),1)&gt;=100000,INDEX($AO$1005:$BQ$1005,1,MATCH(COLUMNS($AO$1006:BG1006),$AO$1006:$BQ$1006,0))&gt;=100000), " ",IF(INDEX($AO$2:$BQ$1001,MATCH(ROWS($AH$2:AH727),$AH$2:$AH$1001,0),MATCH(COLUMNS($AO$1006:BG1006),$AO$1006:$BQ$1006,0)), HYPERLINK("#",""), HYPERLINK(CONCATENATE("#Metadata!", ADDRESS(INDEX($AJ$2:$AJ$1001,MATCH(ROWS($AH$2:AH727),$AH$2:$AH$1001,0),0), INDEX($AO$1004:$BQ$1004,1,MATCH(COLUMNS($AO$1006:BG1006),$AO$1006:$BQ$1006,0)))),"Fix")))</f>
        <v>#N/A</v>
      </c>
      <c r="U727" s="5" t="e">
        <f ca="1">IF(OR(INDEX($AI$2:$AI$1001,MATCH(ROWS($AH$2:AH727),$AH$2:$AH$1001,0),1)&gt;=100000,INDEX($AO$1005:$BQ$1005,1,MATCH(COLUMNS($AO$1006:BH1006),$AO$1006:$BQ$1006,0))&gt;=100000), " ",IF(INDEX($AO$2:$BQ$1001,MATCH(ROWS($AH$2:AH727),$AH$2:$AH$1001,0),MATCH(COLUMNS($AO$1006:BH1006),$AO$1006:$BQ$1006,0)), HYPERLINK("#",""), HYPERLINK(CONCATENATE("#Metadata!", ADDRESS(INDEX($AJ$2:$AJ$1001,MATCH(ROWS($AH$2:AH727),$AH$2:$AH$1001,0),0), INDEX($AO$1004:$BQ$1004,1,MATCH(COLUMNS($AO$1006:BH1006),$AO$1006:$BQ$1006,0)))),"Fix")))</f>
        <v>#N/A</v>
      </c>
      <c r="V727" s="5" t="e">
        <f ca="1">IF(OR(INDEX($AI$2:$AI$1001,MATCH(ROWS($AH$2:AH727),$AH$2:$AH$1001,0),1)&gt;=100000,INDEX($AO$1005:$BQ$1005,1,MATCH(COLUMNS($AO$1006:BI1006),$AO$1006:$BQ$1006,0))&gt;=100000), " ",IF(INDEX($AO$2:$BQ$1001,MATCH(ROWS($AH$2:AH727),$AH$2:$AH$1001,0),MATCH(COLUMNS($AO$1006:BI1006),$AO$1006:$BQ$1006,0)), HYPERLINK("#",""), HYPERLINK(CONCATENATE("#Metadata!", ADDRESS(INDEX($AJ$2:$AJ$1001,MATCH(ROWS($AH$2:AH727),$AH$2:$AH$1001,0),0), INDEX($AO$1004:$BQ$1004,1,MATCH(COLUMNS($AO$1006:BI1006),$AO$1006:$BQ$1006,0)))),"Fix")))</f>
        <v>#N/A</v>
      </c>
      <c r="W727" s="5" t="e">
        <f ca="1">IF(OR(INDEX($AI$2:$AI$1001,MATCH(ROWS($AH$2:AH727),$AH$2:$AH$1001,0),1)&gt;=100000,INDEX($AO$1005:$BQ$1005,1,MATCH(COLUMNS($AO$1006:BJ1006),$AO$1006:$BQ$1006,0))&gt;=100000), " ",IF(INDEX($AO$2:$BQ$1001,MATCH(ROWS($AH$2:AH727),$AH$2:$AH$1001,0),MATCH(COLUMNS($AO$1006:BJ1006),$AO$1006:$BQ$1006,0)), HYPERLINK("#",""), HYPERLINK(CONCATENATE("#Metadata!", ADDRESS(INDEX($AJ$2:$AJ$1001,MATCH(ROWS($AH$2:AH727),$AH$2:$AH$1001,0),0), INDEX($AO$1004:$BQ$1004,1,MATCH(COLUMNS($AO$1006:BJ1006),$AO$1006:$BQ$1006,0)))),"Fix")))</f>
        <v>#N/A</v>
      </c>
      <c r="X727" s="5" t="e">
        <f ca="1">IF(OR(INDEX($AI$2:$AI$1001,MATCH(ROWS($AH$2:AH727),$AH$2:$AH$1001,0),1)&gt;=100000,INDEX($AO$1005:$BQ$1005,1,MATCH(COLUMNS($AO$1006:BK1006),$AO$1006:$BQ$1006,0))&gt;=100000), " ",IF(INDEX($AO$2:$BQ$1001,MATCH(ROWS($AH$2:AH727),$AH$2:$AH$1001,0),MATCH(COLUMNS($AO$1006:BK1006),$AO$1006:$BQ$1006,0)), HYPERLINK("#",""), HYPERLINK(CONCATENATE("#Metadata!", ADDRESS(INDEX($AJ$2:$AJ$1001,MATCH(ROWS($AH$2:AH727),$AH$2:$AH$1001,0),0), INDEX($AO$1004:$BQ$1004,1,MATCH(COLUMNS($AO$1006:BK1006),$AO$1006:$BQ$1006,0)))),"Fix")))</f>
        <v>#N/A</v>
      </c>
      <c r="Y727" s="5" t="e">
        <f ca="1">IF(OR(INDEX($AI$2:$AI$1001,MATCH(ROWS($AH$2:AH727),$AH$2:$AH$1001,0),1)&gt;=100000,INDEX($AO$1005:$BQ$1005,1,MATCH(COLUMNS($AO$1006:BL1006),$AO$1006:$BQ$1006,0))&gt;=100000), " ",IF(INDEX($AO$2:$BQ$1001,MATCH(ROWS($AH$2:AH727),$AH$2:$AH$1001,0),MATCH(COLUMNS($AO$1006:BL1006),$AO$1006:$BQ$1006,0)), HYPERLINK("#",""), HYPERLINK(CONCATENATE("#Metadata!", ADDRESS(INDEX($AJ$2:$AJ$1001,MATCH(ROWS($AH$2:AH727),$AH$2:$AH$1001,0),0), INDEX($AO$1004:$BQ$1004,1,MATCH(COLUMNS($AO$1006:BL1006),$AO$1006:$BQ$1006,0)))),"Fix")))</f>
        <v>#N/A</v>
      </c>
      <c r="Z727" s="5" t="e">
        <f ca="1">IF(OR(INDEX($AI$2:$AI$1001,MATCH(ROWS($AH$2:AH727),$AH$2:$AH$1001,0),1)&gt;=100000,INDEX($AO$1005:$BQ$1005,1,MATCH(COLUMNS($AO$1006:BM1006),$AO$1006:$BQ$1006,0))&gt;=100000), " ",IF(INDEX($AO$2:$BQ$1001,MATCH(ROWS($AH$2:AH727),$AH$2:$AH$1001,0),MATCH(COLUMNS($AO$1006:BM1006),$AO$1006:$BQ$1006,0)), HYPERLINK("#",""), HYPERLINK(CONCATENATE("#Metadata!", ADDRESS(INDEX($AJ$2:$AJ$1001,MATCH(ROWS($AH$2:AH727),$AH$2:$AH$1001,0),0), INDEX($AO$1004:$BQ$1004,1,MATCH(COLUMNS($AO$1006:BM1006),$AO$1006:$BQ$1006,0)))),"Fix")))</f>
        <v>#N/A</v>
      </c>
      <c r="AA727" s="5" t="e">
        <f ca="1">IF(OR(INDEX($AI$2:$AI$1001,MATCH(ROWS($AH$2:AH727),$AH$2:$AH$1001,0),1)&gt;=100000,INDEX($AO$1005:$BQ$1005,1,MATCH(COLUMNS($AO$1006:BN1006),$AO$1006:$BQ$1006,0))&gt;=100000), " ",IF(INDEX($AO$2:$BQ$1001,MATCH(ROWS($AH$2:AH727),$AH$2:$AH$1001,0),MATCH(COLUMNS($AO$1006:BN1006),$AO$1006:$BQ$1006,0)), HYPERLINK("#",""), HYPERLINK(CONCATENATE("#Metadata!", ADDRESS(INDEX($AJ$2:$AJ$1001,MATCH(ROWS($AH$2:AH727),$AH$2:$AH$1001,0),0), INDEX($AO$1004:$BQ$1004,1,MATCH(COLUMNS($AO$1006:BN1006),$AO$1006:$BQ$1006,0)))),"Fix")))</f>
        <v>#N/A</v>
      </c>
      <c r="AB727" s="5" t="e">
        <f ca="1">IF(OR(INDEX($AI$2:$AI$1001,MATCH(ROWS($AH$2:AH727),$AH$2:$AH$1001,0),1)&gt;=100000,INDEX($AO$1005:$BQ$1005,1,MATCH(COLUMNS($AO$1006:BO1006),$AO$1006:$BQ$1006,0))&gt;=100000), " ",IF(INDEX($AO$2:$BQ$1001,MATCH(ROWS($AH$2:AH727),$AH$2:$AH$1001,0),MATCH(COLUMNS($AO$1006:BO1006),$AO$1006:$BQ$1006,0)), HYPERLINK("#",""), HYPERLINK(CONCATENATE("#Metadata!", ADDRESS(INDEX($AJ$2:$AJ$1001,MATCH(ROWS($AH$2:AH727),$AH$2:$AH$1001,0),0), INDEX($AO$1004:$BQ$1004,1,MATCH(COLUMNS($AO$1006:BO1006),$AO$1006:$BQ$1006,0)))),"Fix")))</f>
        <v>#N/A</v>
      </c>
      <c r="AC727" s="5" t="e">
        <f ca="1">IF(OR(INDEX($AI$2:$AI$1001,MATCH(ROWS($AH$2:AH727),$AH$2:$AH$1001,0),1)&gt;=100000,INDEX($AO$1005:$BQ$1005,1,MATCH(COLUMNS($AO$1006:BP1006),$AO$1006:$BQ$1006,0))&gt;=100000), " ",IF(INDEX($AO$2:$BQ$1001,MATCH(ROWS($AH$2:AH727),$AH$2:$AH$1001,0),MATCH(COLUMNS($AO$1006:BP1006),$AO$1006:$BQ$1006,0)), HYPERLINK("#",""), HYPERLINK(CONCATENATE("#Metadata!", ADDRESS(INDEX($AJ$2:$AJ$1001,MATCH(ROWS($AH$2:AH727),$AH$2:$AH$1001,0),0), INDEX($AO$1004:$BQ$1004,1,MATCH(COLUMNS($AO$1006:BP1006),$AO$1006:$BQ$1006,0)))),"Fix")))</f>
        <v>#N/A</v>
      </c>
      <c r="AD727" s="5" t="e">
        <f ca="1">IF(OR(INDEX($AI$2:$AI$1001,MATCH(ROWS($AH$2:AH727),$AH$2:$AH$1001,0),1)&gt;=100000,INDEX($AO$1005:$BQ$1005,1,MATCH(COLUMNS($AO$1006:BQ1006),$AO$1006:$BQ$1006,0))&gt;=100000), " ",IF(INDEX($AO$2:$BQ$1001,MATCH(ROWS($AH$2:AH727),$AH$2:$AH$1001,0),MATCH(COLUMNS($AO$1006:BQ1006),$AO$1006:$BQ$1006,0)), HYPERLINK("#",""), HYPERLINK(CONCATENATE("#Metadata!", ADDRESS(INDEX($AJ$2:$AJ$1001,MATCH(ROWS($AH$2:AH727),$AH$2:$AH$1001,0),0), INDEX($AO$1004:$BQ$1004,1,MATCH(COLUMNS($AO$1006:BQ1006),$AO$1006:$BQ$1006,0)))),"Fix")))</f>
        <v>#REF!</v>
      </c>
      <c r="AH727">
        <f ca="1"/>
        <v>724</v>
      </c>
      <c r="AI727">
        <v>100727</v>
      </c>
      <c r="AJ727">
        <v>727</v>
      </c>
      <c r="AK727" t="b">
        <f t="shared" si="11"/>
        <v>1</v>
      </c>
      <c r="AL727" t="b">
        <f>COUNTBLANK(Metadata!B727:AD727)=COLUMNS(Metadata!B727:AD727)</f>
        <v>1</v>
      </c>
      <c r="AM727" t="str">
        <v/>
      </c>
      <c r="AO727" t="b">
        <f ca="1">AND(IF(Metadata!B727="",FALSE,TRUE),COUNTIF(Metadata!B:B, Metadata!B727) = 1,NOT(ISERROR(SUMPRODUCT(SEARCH(MID(Metadata!B727,ROW(INDIRECT("1:"&amp;LEN(Metadata!B727))), 1),"0123456789abcdefghijklmnopqrstuvwxyzABCDEFGHIJKLMNOPQRSTUVWXYZ.")))))</f>
        <v>0</v>
      </c>
      <c r="AP727" t="b">
        <f>IF(Metadata!C727="",FALSE,TRUE)</f>
        <v>0</v>
      </c>
      <c r="AQ727" t="b">
        <f>IF(Metadata!D727="",FALSE,TRUE)</f>
        <v>0</v>
      </c>
      <c r="AR727" t="b">
        <f ca="1">OR(AND(IF(Metadata!E727="",FALSE,TRUE),OR(EXACT(Metadata!E727,"not collected"),EXACT(Metadata!E727,"not provided"),EXACT(Metadata!E727,"restricted access"))),AND(IF(Metadata!E727="",FALSE,TRUE),AND(AND(IFERROR(INT(LEFT(Metadata!E727,4))&gt;1900,FALSE),IFERROR(INT(LEFT(Metadata!E727,4))&lt;=YEAR(NOW()),FALSE)), OR(MID(Metadata!E727,5,1)="", AND(AND(MID(Metadata!E727,5,1)="-",IFERROR(INT(MID(Metadata!E727,6,1))&gt;=0,FALSE),IFERROR(INT(MID(Metadata!E727,6,1))&lt;=1,FALSE),NOT(MID(Metadata!E727,7,1)=""),IFERROR(INT(MID(Metadata!E727,6,2))&gt;=1,FALSE),IFERROR(INT(MID(Metadata!E727,6,2))&lt;=12,FALSE)), OR(MID(Metadata!E727,8,1)="", AND(AND(MID(Metadata!E727,8,1)="-",IFERROR(INT(MID(Metadata!E727,9,1))&gt;=0,FALSE),IFERROR(INT(MID(Metadata!E727,9,1))&lt;=3,FALSE),NOT(MID(Metadata!E727,10,1)=""),IFERROR(INT(MID(Metadata!E727,9,2))&gt;=1,FALSE),IFERROR(INT(MID(Metadata!E727,9,2))&lt;=31,FALSE)), OR(MID(Metadata!E727,11,1)="", AND(AND(MID(Metadata!E727,11,1)=" ",IFERROR(INT(MID(Metadata!E727,12,1))&gt;=0,FALSE),IFERROR(INT(MID(Metadata!E727,12,1))&lt;=2,FALSE),NOT(MID(Metadata!E727,13,1)=""),IFERROR(INT(MID(Metadata!E727,12,2))&gt;=0,FALSE),IFERROR(INT(MID(Metadata!E727,12,2))&lt;=23,FALSE)), OR(MID(Metadata!E727,14,1)="", AND(AND(MID(Metadata!E727,14,1)=":",IFERROR(INT(MID(Metadata!E727,15,1))&gt;=0,FALSE),IFERROR(INT(MID(Metadata!E727,15,1))&lt;=5,FALSE),NOT(MID(Metadata!E727,16,1)=""),IFERROR(INT(MID(Metadata!E727,15,2))&gt;=0,FALSE),IFERROR(INT(MID(Metadata!E727,15,2))&lt;=59,FALSE)), OR(MID(Metadata!E727,17,1)="", AND(AND(MID(Metadata!E727,17,1)=":",IFERROR(INT(MID(Metadata!E727,18,1))&gt;=0,FALSE),IFERROR(INT(MID(Metadata!E727,18,1))&lt;=5,FALSE),NOT(MID(Metadata!E727,19,1)=""),IFERROR(INT(MID(Metadata!E727,18,2))&gt;=0,FALSE),IFERROR(INT(MID(Metadata!E727,18,2))&lt;=59,FALSE)), LEN(Metadata!E727)&lt;=19)))))))))))))</f>
        <v>0</v>
      </c>
      <c r="AS727" t="b">
        <f>IF(Metadata!F727="",FALSE,TRUE)</f>
        <v>0</v>
      </c>
      <c r="AT727" t="b">
        <f>OR(AND(IF(Metadata!G727="",FALSE,TRUE),OR(EXACT(Metadata!G727,"not collected"),EXACT(Metadata!G727,"not provided"))),AND(IF(Metadata!G727="",FALSE,TRUE),OR(EXACT(Metadata!G727,"TRUE"),EXACT(Metadata!G727,"FALSE"))))</f>
        <v>0</v>
      </c>
      <c r="AU727" t="b">
        <f>OR(AND(IF(Metadata!H727="",FALSE,TRUE),OR(EXACT(Metadata!H727,"not collected"),EXACT(Metadata!H727,"not provided"),EXACT(Metadata!H727,"restricted access"))),AND(IF(Metadata!H727="",FALSE,ISNUMBER(VALUE(Metadata!H727))),Metadata!H727&gt;=-413))</f>
        <v>0</v>
      </c>
      <c r="AV727" t="b">
        <f>AND(IF(Metadata!I727="",FALSE,TRUE),EXACT(Metadata!I727,"meters"))</f>
        <v>0</v>
      </c>
      <c r="AW727" t="b">
        <f>AND(IF(Metadata!J727="",FALSE,TRUE),EXACT(Metadata!J727,"free-living"))</f>
        <v>0</v>
      </c>
      <c r="AX727" t="b">
        <f>AND(IF(Metadata!K727="",FALSE,TRUE),OR(EXACT(Metadata!K727,"saline"),EXACT(Metadata!K727,"non-saline")))</f>
        <v>0</v>
      </c>
      <c r="AY727" t="b">
        <f>AND(IF(Metadata!L727="",FALSE,TRUE),OR(EXACT(Metadata!L727,"sub-surface (non-saline)"),EXACT(Metadata!L727,"surface (non-saline)"),EXACT(Metadata!L727,"water (non-saline)"),EXACT(Metadata!L727,"soil (non-saline)"),EXACT(Metadata!L727,"aerosol (non-saline)"),EXACT(Metadata!L727,"sediment (non-saline)"),EXACT(Metadata!L727,"surface (saline)"),EXACT(Metadata!L727,"water (saline)"),EXACT(Metadata!L727,"hypersaline (saline)"),EXACT(Metadata!L727,"aerosol (saline)"),EXACT(Metadata!L727,"sediment (saline)")))</f>
        <v>0</v>
      </c>
      <c r="AZ727" t="b">
        <f>IF(Metadata!M727="",FALSE,TRUE)</f>
        <v>0</v>
      </c>
      <c r="BA727" t="b">
        <f>IF(Metadata!N727="",FALSE,TRUE)</f>
        <v>0</v>
      </c>
      <c r="BB727" t="b">
        <f>IF(Metadata!O727="",FALSE,TRUE)</f>
        <v>0</v>
      </c>
      <c r="BC727" t="b">
        <f>AND(IF(Metadata!P727="",FALSE,TRUE),OR(EXACT(Metadata!P727,"air"),EXACT(Metadata!P727,"microbial mat/biofilm"),EXACT(Metadata!P727,"misc environment"),EXACT(Metadata!P727,"sediment"),EXACT(Metadata!P727,"soil"),EXACT(Metadata!P727,"wastewater/sludge"),EXACT(Metadata!P727,"water")))</f>
        <v>0</v>
      </c>
      <c r="BD727" t="b">
        <f>IF(Metadata!Q727="",FALSE,TRUE)</f>
        <v>0</v>
      </c>
      <c r="BE727" t="b">
        <f>IF(Metadata!R727="",FALSE,TRUE)</f>
        <v>0</v>
      </c>
      <c r="BF727" t="b">
        <f>OR(AND(IF(Metadata!S727="",FALSE,TRUE),OR(EXACT(Metadata!S727,"not collected"),EXACT(Metadata!S727,"not provided"),EXACT(Metadata!S727,"restricted access"))),AND(IF(Metadata!S727="",FALSE,ISNUMBER(VALUE(Metadata!S727))),Metadata!S727&gt;=-90,Metadata!S727&lt;=90))</f>
        <v>0</v>
      </c>
      <c r="BG727" t="b">
        <f>AND(IF(Metadata!T727="",FALSE,TRUE),EXACT(Metadata!T727,"Decimal degrees"))</f>
        <v>0</v>
      </c>
      <c r="BH727" t="b">
        <f>OR(AND(IF(Metadata!U727="",FALSE,TRUE),OR(EXACT(Metadata!U727,"not applicable"),EXACT(Metadata!U727,"not collected"))),IF(Metadata!U727="",FALSE,TRUE))</f>
        <v>0</v>
      </c>
      <c r="BI727" t="b">
        <f>OR(AND(IF(Metadata!V727="",FALSE,TRUE),OR(EXACT(Metadata!V727,"not collected"),EXACT(Metadata!V727,"not provided"),EXACT(Metadata!V727,"restricted access"))),AND(IF(Metadata!V727="",FALSE,ISNUMBER(VALUE(Metadata!V727))),Metadata!V727&gt;=-180,Metadata!V727&lt;=180))</f>
        <v>0</v>
      </c>
      <c r="BJ727" t="b">
        <f>AND(IF(Metadata!W727="",FALSE,TRUE),EXACT(Metadata!W727,"Decimal degrees"))</f>
        <v>0</v>
      </c>
      <c r="BK727" t="b">
        <f>IF(Metadata!X727="",FALSE,TRUE)</f>
        <v>0</v>
      </c>
      <c r="BL727" t="b">
        <f>OR(AND(IF(Metadata!Y727="",FALSE,TRUE),OR(EXACT(Metadata!Y727,"not collected"),EXACT(Metadata!Y727,"not provided"),EXACT(Metadata!Y727,"restricted access"))),AND(IF(Metadata!Y727="",FALSE,TRUE),OR(EXACT(Metadata!Y727,"TRUE"),EXACT(Metadata!Y727,"FALSE"))))</f>
        <v>0</v>
      </c>
      <c r="BM727" t="b">
        <f>OR(AND(IF(Metadata!Z727="",FALSE,TRUE),EXACT(Metadata!Z727,"not applicable")),AND(IF(Metadata!Z727="",FALSE,TRUE),OR(EXACT(Metadata!Z727,"beer"),EXACT(Metadata!Z727,"cheese"),EXACT(Metadata!Z727,"fresh water"),EXACT(Metadata!Z727,"marine sediment"),EXACT(Metadata!Z727,"sea water"),EXACT(Metadata!Z727,"sediment"),EXACT(Metadata!Z727,"soil"),EXACT(Metadata!Z727,"waste water"))))</f>
        <v>0</v>
      </c>
      <c r="BN727" t="b">
        <f>AND(IF(Metadata!AA727="",FALSE,TRUE),EXACT(Metadata!AA727,"metagenome"))</f>
        <v>0</v>
      </c>
      <c r="BO727" t="b">
        <f>AND(IF(Metadata!AB727="",FALSE,TRUE),EXACT(Metadata!AB727,"256318"))</f>
        <v>0</v>
      </c>
      <c r="BP727" t="b">
        <f>IF(Metadata!AC727="",FALSE,TRUE)</f>
        <v>0</v>
      </c>
      <c r="BQ727" t="b">
        <f>IF(Metadata!AD727="",FALSE,TRUE)</f>
        <v>0</v>
      </c>
    </row>
    <row r="728" spans="1:69" x14ac:dyDescent="0.2">
      <c r="A728" s="4" t="e">
        <f ca="1">IF(B728=" "," ",HYPERLINK(CONCATENATE("#metadata!",ADDRESS(INDEX($AJ$2:$AJ$1001,MATCH(ROWS($AH$2:AH728),$AH$2:$AH$1001,0),0),2)),INDEX($AM$2:$AM$1001,MATCH(ROWS($AH$2:AH728),$AH$2:$AH$1001,0),0)))</f>
        <v>#N/A</v>
      </c>
      <c r="B728" s="5" t="e">
        <f ca="1">IF(OR(INDEX($AI$2:$AI$1001,MATCH(ROWS($AH$2:AH728),$AH$2:$AH$1001,0),1)&gt;=100000,INDEX($AO$1005:$BQ$1005,1,MATCH(COLUMNS($AO$1006:AO1006),$AO$1006:$BQ$1006,0))&gt;=100000), " ",IF(INDEX($AO$2:$BQ$1001,MATCH(ROWS($AH$2:AH728),$AH$2:$AH$1001,0),MATCH(COLUMNS($AO$1006:AO1006),$AO$1006:$BQ$1006,0)), HYPERLINK("#",""), HYPERLINK(CONCATENATE("#Metadata!", ADDRESS(INDEX($AJ$2:$AJ$1001,MATCH(ROWS($AH$2:AH728),$AH$2:$AH$1001,0),0), INDEX($AO$1004:$BQ$1004,1,MATCH(COLUMNS($AO$1006:AO1006),$AO$1006:$BQ$1006,0)))),"Fix")))</f>
        <v>#N/A</v>
      </c>
      <c r="C728" s="5" t="e">
        <f ca="1">IF(OR(INDEX($AI$2:$AI$1001,MATCH(ROWS($AH$2:AH728),$AH$2:$AH$1001,0),1)&gt;=100000,INDEX($AO$1005:$BQ$1005,1,MATCH(COLUMNS($AO$1006:AP1006),$AO$1006:$BQ$1006,0))&gt;=100000), " ",IF(INDEX($AO$2:$BQ$1001,MATCH(ROWS($AH$2:AH728),$AH$2:$AH$1001,0),MATCH(COLUMNS($AO$1006:AP1006),$AO$1006:$BQ$1006,0)), HYPERLINK("#",""), HYPERLINK(CONCATENATE("#Metadata!", ADDRESS(INDEX($AJ$2:$AJ$1001,MATCH(ROWS($AH$2:AH728),$AH$2:$AH$1001,0),0), INDEX($AO$1004:$BQ$1004,1,MATCH(COLUMNS($AO$1006:AP1006),$AO$1006:$BQ$1006,0)))),"Fix")))</f>
        <v>#N/A</v>
      </c>
      <c r="D728" s="5" t="e">
        <f ca="1">IF(OR(INDEX($AI$2:$AI$1001,MATCH(ROWS($AH$2:AH728),$AH$2:$AH$1001,0),1)&gt;=100000,INDEX($AO$1005:$BQ$1005,1,MATCH(COLUMNS($AO$1006:AQ1006),$AO$1006:$BQ$1006,0))&gt;=100000), " ",IF(INDEX($AO$2:$BQ$1001,MATCH(ROWS($AH$2:AH728),$AH$2:$AH$1001,0),MATCH(COLUMNS($AO$1006:AQ1006),$AO$1006:$BQ$1006,0)), HYPERLINK("#",""), HYPERLINK(CONCATENATE("#Metadata!", ADDRESS(INDEX($AJ$2:$AJ$1001,MATCH(ROWS($AH$2:AH728),$AH$2:$AH$1001,0),0), INDEX($AO$1004:$BQ$1004,1,MATCH(COLUMNS($AO$1006:AQ1006),$AO$1006:$BQ$1006,0)))),"Fix")))</f>
        <v>#N/A</v>
      </c>
      <c r="E728" s="5" t="e">
        <f ca="1">IF(OR(INDEX($AI$2:$AI$1001,MATCH(ROWS($AH$2:AH728),$AH$2:$AH$1001,0),1)&gt;=100000,INDEX($AO$1005:$BQ$1005,1,MATCH(COLUMNS($AO$1006:AR1006),$AO$1006:$BQ$1006,0))&gt;=100000), " ",IF(INDEX($AO$2:$BQ$1001,MATCH(ROWS($AH$2:AH728),$AH$2:$AH$1001,0),MATCH(COLUMNS($AO$1006:AR1006),$AO$1006:$BQ$1006,0)), HYPERLINK("#",""), HYPERLINK(CONCATENATE("#Metadata!", ADDRESS(INDEX($AJ$2:$AJ$1001,MATCH(ROWS($AH$2:AH728),$AH$2:$AH$1001,0),0), INDEX($AO$1004:$BQ$1004,1,MATCH(COLUMNS($AO$1006:AR1006),$AO$1006:$BQ$1006,0)))),"Fix")))</f>
        <v>#N/A</v>
      </c>
      <c r="F728" s="5" t="e">
        <f ca="1">IF(OR(INDEX($AI$2:$AI$1001,MATCH(ROWS($AH$2:AH728),$AH$2:$AH$1001,0),1)&gt;=100000,INDEX($AO$1005:$BQ$1005,1,MATCH(COLUMNS($AO$1006:AS1006),$AO$1006:$BQ$1006,0))&gt;=100000), " ",IF(INDEX($AO$2:$BQ$1001,MATCH(ROWS($AH$2:AH728),$AH$2:$AH$1001,0),MATCH(COLUMNS($AO$1006:AS1006),$AO$1006:$BQ$1006,0)), HYPERLINK("#",""), HYPERLINK(CONCATENATE("#Metadata!", ADDRESS(INDEX($AJ$2:$AJ$1001,MATCH(ROWS($AH$2:AH728),$AH$2:$AH$1001,0),0), INDEX($AO$1004:$BQ$1004,1,MATCH(COLUMNS($AO$1006:AS1006),$AO$1006:$BQ$1006,0)))),"Fix")))</f>
        <v>#N/A</v>
      </c>
      <c r="G728" s="5" t="e">
        <f ca="1">IF(OR(INDEX($AI$2:$AI$1001,MATCH(ROWS($AH$2:AH728),$AH$2:$AH$1001,0),1)&gt;=100000,INDEX($AO$1005:$BQ$1005,1,MATCH(COLUMNS($AO$1006:AT1006),$AO$1006:$BQ$1006,0))&gt;=100000), " ",IF(INDEX($AO$2:$BQ$1001,MATCH(ROWS($AH$2:AH728),$AH$2:$AH$1001,0),MATCH(COLUMNS($AO$1006:AT1006),$AO$1006:$BQ$1006,0)), HYPERLINK("#",""), HYPERLINK(CONCATENATE("#Metadata!", ADDRESS(INDEX($AJ$2:$AJ$1001,MATCH(ROWS($AH$2:AH728),$AH$2:$AH$1001,0),0), INDEX($AO$1004:$BQ$1004,1,MATCH(COLUMNS($AO$1006:AT1006),$AO$1006:$BQ$1006,0)))),"Fix")))</f>
        <v>#N/A</v>
      </c>
      <c r="H728" s="5" t="e">
        <f ca="1">IF(OR(INDEX($AI$2:$AI$1001,MATCH(ROWS($AH$2:AH728),$AH$2:$AH$1001,0),1)&gt;=100000,INDEX($AO$1005:$BQ$1005,1,MATCH(COLUMNS($AO$1006:AU1006),$AO$1006:$BQ$1006,0))&gt;=100000), " ",IF(INDEX($AO$2:$BQ$1001,MATCH(ROWS($AH$2:AH728),$AH$2:$AH$1001,0),MATCH(COLUMNS($AO$1006:AU1006),$AO$1006:$BQ$1006,0)), HYPERLINK("#",""), HYPERLINK(CONCATENATE("#Metadata!", ADDRESS(INDEX($AJ$2:$AJ$1001,MATCH(ROWS($AH$2:AH728),$AH$2:$AH$1001,0),0), INDEX($AO$1004:$BQ$1004,1,MATCH(COLUMNS($AO$1006:AU1006),$AO$1006:$BQ$1006,0)))),"Fix")))</f>
        <v>#N/A</v>
      </c>
      <c r="I728" s="5" t="e">
        <f ca="1">IF(OR(INDEX($AI$2:$AI$1001,MATCH(ROWS($AH$2:AH728),$AH$2:$AH$1001,0),1)&gt;=100000,INDEX($AO$1005:$BQ$1005,1,MATCH(COLUMNS($AO$1006:AV1006),$AO$1006:$BQ$1006,0))&gt;=100000), " ",IF(INDEX($AO$2:$BQ$1001,MATCH(ROWS($AH$2:AH728),$AH$2:$AH$1001,0),MATCH(COLUMNS($AO$1006:AV1006),$AO$1006:$BQ$1006,0)), HYPERLINK("#",""), HYPERLINK(CONCATENATE("#Metadata!", ADDRESS(INDEX($AJ$2:$AJ$1001,MATCH(ROWS($AH$2:AH728),$AH$2:$AH$1001,0),0), INDEX($AO$1004:$BQ$1004,1,MATCH(COLUMNS($AO$1006:AV1006),$AO$1006:$BQ$1006,0)))),"Fix")))</f>
        <v>#N/A</v>
      </c>
      <c r="J728" s="5" t="e">
        <f ca="1">IF(OR(INDEX($AI$2:$AI$1001,MATCH(ROWS($AH$2:AH728),$AH$2:$AH$1001,0),1)&gt;=100000,INDEX($AO$1005:$BQ$1005,1,MATCH(COLUMNS($AO$1006:AW1006),$AO$1006:$BQ$1006,0))&gt;=100000), " ",IF(INDEX($AO$2:$BQ$1001,MATCH(ROWS($AH$2:AH728),$AH$2:$AH$1001,0),MATCH(COLUMNS($AO$1006:AW1006),$AO$1006:$BQ$1006,0)), HYPERLINK("#",""), HYPERLINK(CONCATENATE("#Metadata!", ADDRESS(INDEX($AJ$2:$AJ$1001,MATCH(ROWS($AH$2:AH728),$AH$2:$AH$1001,0),0), INDEX($AO$1004:$BQ$1004,1,MATCH(COLUMNS($AO$1006:AW1006),$AO$1006:$BQ$1006,0)))),"Fix")))</f>
        <v>#N/A</v>
      </c>
      <c r="K728" s="5" t="e">
        <f ca="1">IF(OR(INDEX($AI$2:$AI$1001,MATCH(ROWS($AH$2:AH728),$AH$2:$AH$1001,0),1)&gt;=100000,INDEX($AO$1005:$BQ$1005,1,MATCH(COLUMNS($AO$1006:AX1006),$AO$1006:$BQ$1006,0))&gt;=100000), " ",IF(INDEX($AO$2:$BQ$1001,MATCH(ROWS($AH$2:AH728),$AH$2:$AH$1001,0),MATCH(COLUMNS($AO$1006:AX1006),$AO$1006:$BQ$1006,0)), HYPERLINK("#",""), HYPERLINK(CONCATENATE("#Metadata!", ADDRESS(INDEX($AJ$2:$AJ$1001,MATCH(ROWS($AH$2:AH728),$AH$2:$AH$1001,0),0), INDEX($AO$1004:$BQ$1004,1,MATCH(COLUMNS($AO$1006:AX1006),$AO$1006:$BQ$1006,0)))),"Fix")))</f>
        <v>#N/A</v>
      </c>
      <c r="L728" s="5" t="e">
        <f ca="1">IF(OR(INDEX($AI$2:$AI$1001,MATCH(ROWS($AH$2:AH728),$AH$2:$AH$1001,0),1)&gt;=100000,INDEX($AO$1005:$BQ$1005,1,MATCH(COLUMNS($AO$1006:AY1006),$AO$1006:$BQ$1006,0))&gt;=100000), " ",IF(INDEX($AO$2:$BQ$1001,MATCH(ROWS($AH$2:AH728),$AH$2:$AH$1001,0),MATCH(COLUMNS($AO$1006:AY1006),$AO$1006:$BQ$1006,0)), HYPERLINK("#",""), HYPERLINK(CONCATENATE("#Metadata!", ADDRESS(INDEX($AJ$2:$AJ$1001,MATCH(ROWS($AH$2:AH728),$AH$2:$AH$1001,0),0), INDEX($AO$1004:$BQ$1004,1,MATCH(COLUMNS($AO$1006:AY1006),$AO$1006:$BQ$1006,0)))),"Fix")))</f>
        <v>#N/A</v>
      </c>
      <c r="M728" s="5" t="e">
        <f ca="1">IF(OR(INDEX($AI$2:$AI$1001,MATCH(ROWS($AH$2:AH728),$AH$2:$AH$1001,0),1)&gt;=100000,INDEX($AO$1005:$BQ$1005,1,MATCH(COLUMNS($AO$1006:AZ1006),$AO$1006:$BQ$1006,0))&gt;=100000), " ",IF(INDEX($AO$2:$BQ$1001,MATCH(ROWS($AH$2:AH728),$AH$2:$AH$1001,0),MATCH(COLUMNS($AO$1006:AZ1006),$AO$1006:$BQ$1006,0)), HYPERLINK("#",""), HYPERLINK(CONCATENATE("#Metadata!", ADDRESS(INDEX($AJ$2:$AJ$1001,MATCH(ROWS($AH$2:AH728),$AH$2:$AH$1001,0),0), INDEX($AO$1004:$BQ$1004,1,MATCH(COLUMNS($AO$1006:AZ1006),$AO$1006:$BQ$1006,0)))),"Fix")))</f>
        <v>#N/A</v>
      </c>
      <c r="N728" s="5" t="e">
        <f ca="1">IF(OR(INDEX($AI$2:$AI$1001,MATCH(ROWS($AH$2:AH728),$AH$2:$AH$1001,0),1)&gt;=100000,INDEX($AO$1005:$BQ$1005,1,MATCH(COLUMNS($AO$1006:BA1006),$AO$1006:$BQ$1006,0))&gt;=100000), " ",IF(INDEX($AO$2:$BQ$1001,MATCH(ROWS($AH$2:AH728),$AH$2:$AH$1001,0),MATCH(COLUMNS($AO$1006:BA1006),$AO$1006:$BQ$1006,0)), HYPERLINK("#",""), HYPERLINK(CONCATENATE("#Metadata!", ADDRESS(INDEX($AJ$2:$AJ$1001,MATCH(ROWS($AH$2:AH728),$AH$2:$AH$1001,0),0), INDEX($AO$1004:$BQ$1004,1,MATCH(COLUMNS($AO$1006:BA1006),$AO$1006:$BQ$1006,0)))),"Fix")))</f>
        <v>#N/A</v>
      </c>
      <c r="O728" s="5" t="e">
        <f ca="1">IF(OR(INDEX($AI$2:$AI$1001,MATCH(ROWS($AH$2:AH728),$AH$2:$AH$1001,0),1)&gt;=100000,INDEX($AO$1005:$BQ$1005,1,MATCH(COLUMNS($AO$1006:BB1006),$AO$1006:$BQ$1006,0))&gt;=100000), " ",IF(INDEX($AO$2:$BQ$1001,MATCH(ROWS($AH$2:AH728),$AH$2:$AH$1001,0),MATCH(COLUMNS($AO$1006:BB1006),$AO$1006:$BQ$1006,0)), HYPERLINK("#",""), HYPERLINK(CONCATENATE("#Metadata!", ADDRESS(INDEX($AJ$2:$AJ$1001,MATCH(ROWS($AH$2:AH728),$AH$2:$AH$1001,0),0), INDEX($AO$1004:$BQ$1004,1,MATCH(COLUMNS($AO$1006:BB1006),$AO$1006:$BQ$1006,0)))),"Fix")))</f>
        <v>#N/A</v>
      </c>
      <c r="P728" s="5" t="e">
        <f ca="1">IF(OR(INDEX($AI$2:$AI$1001,MATCH(ROWS($AH$2:AH728),$AH$2:$AH$1001,0),1)&gt;=100000,INDEX($AO$1005:$BQ$1005,1,MATCH(COLUMNS($AO$1006:BC1006),$AO$1006:$BQ$1006,0))&gt;=100000), " ",IF(INDEX($AO$2:$BQ$1001,MATCH(ROWS($AH$2:AH728),$AH$2:$AH$1001,0),MATCH(COLUMNS($AO$1006:BC1006),$AO$1006:$BQ$1006,0)), HYPERLINK("#",""), HYPERLINK(CONCATENATE("#Metadata!", ADDRESS(INDEX($AJ$2:$AJ$1001,MATCH(ROWS($AH$2:AH728),$AH$2:$AH$1001,0),0), INDEX($AO$1004:$BQ$1004,1,MATCH(COLUMNS($AO$1006:BC1006),$AO$1006:$BQ$1006,0)))),"Fix")))</f>
        <v>#N/A</v>
      </c>
      <c r="Q728" s="5" t="e">
        <f ca="1">IF(OR(INDEX($AI$2:$AI$1001,MATCH(ROWS($AH$2:AH728),$AH$2:$AH$1001,0),1)&gt;=100000,INDEX($AO$1005:$BQ$1005,1,MATCH(COLUMNS($AO$1006:BD1006),$AO$1006:$BQ$1006,0))&gt;=100000), " ",IF(INDEX($AO$2:$BQ$1001,MATCH(ROWS($AH$2:AH728),$AH$2:$AH$1001,0),MATCH(COLUMNS($AO$1006:BD1006),$AO$1006:$BQ$1006,0)), HYPERLINK("#",""), HYPERLINK(CONCATENATE("#Metadata!", ADDRESS(INDEX($AJ$2:$AJ$1001,MATCH(ROWS($AH$2:AH728),$AH$2:$AH$1001,0),0), INDEX($AO$1004:$BQ$1004,1,MATCH(COLUMNS($AO$1006:BD1006),$AO$1006:$BQ$1006,0)))),"Fix")))</f>
        <v>#N/A</v>
      </c>
      <c r="R728" s="5" t="e">
        <f ca="1">IF(OR(INDEX($AI$2:$AI$1001,MATCH(ROWS($AH$2:AH728),$AH$2:$AH$1001,0),1)&gt;=100000,INDEX($AO$1005:$BQ$1005,1,MATCH(COLUMNS($AO$1006:BE1006),$AO$1006:$BQ$1006,0))&gt;=100000), " ",IF(INDEX($AO$2:$BQ$1001,MATCH(ROWS($AH$2:AH728),$AH$2:$AH$1001,0),MATCH(COLUMNS($AO$1006:BE1006),$AO$1006:$BQ$1006,0)), HYPERLINK("#",""), HYPERLINK(CONCATENATE("#Metadata!", ADDRESS(INDEX($AJ$2:$AJ$1001,MATCH(ROWS($AH$2:AH728),$AH$2:$AH$1001,0),0), INDEX($AO$1004:$BQ$1004,1,MATCH(COLUMNS($AO$1006:BE1006),$AO$1006:$BQ$1006,0)))),"Fix")))</f>
        <v>#N/A</v>
      </c>
      <c r="S728" s="5" t="e">
        <f ca="1">IF(OR(INDEX($AI$2:$AI$1001,MATCH(ROWS($AH$2:AH728),$AH$2:$AH$1001,0),1)&gt;=100000,INDEX($AO$1005:$BQ$1005,1,MATCH(COLUMNS($AO$1006:BF1006),$AO$1006:$BQ$1006,0))&gt;=100000), " ",IF(INDEX($AO$2:$BQ$1001,MATCH(ROWS($AH$2:AH728),$AH$2:$AH$1001,0),MATCH(COLUMNS($AO$1006:BF1006),$AO$1006:$BQ$1006,0)), HYPERLINK("#",""), HYPERLINK(CONCATENATE("#Metadata!", ADDRESS(INDEX($AJ$2:$AJ$1001,MATCH(ROWS($AH$2:AH728),$AH$2:$AH$1001,0),0), INDEX($AO$1004:$BQ$1004,1,MATCH(COLUMNS($AO$1006:BF1006),$AO$1006:$BQ$1006,0)))),"Fix")))</f>
        <v>#N/A</v>
      </c>
      <c r="T728" s="5" t="e">
        <f ca="1">IF(OR(INDEX($AI$2:$AI$1001,MATCH(ROWS($AH$2:AH728),$AH$2:$AH$1001,0),1)&gt;=100000,INDEX($AO$1005:$BQ$1005,1,MATCH(COLUMNS($AO$1006:BG1006),$AO$1006:$BQ$1006,0))&gt;=100000), " ",IF(INDEX($AO$2:$BQ$1001,MATCH(ROWS($AH$2:AH728),$AH$2:$AH$1001,0),MATCH(COLUMNS($AO$1006:BG1006),$AO$1006:$BQ$1006,0)), HYPERLINK("#",""), HYPERLINK(CONCATENATE("#Metadata!", ADDRESS(INDEX($AJ$2:$AJ$1001,MATCH(ROWS($AH$2:AH728),$AH$2:$AH$1001,0),0), INDEX($AO$1004:$BQ$1004,1,MATCH(COLUMNS($AO$1006:BG1006),$AO$1006:$BQ$1006,0)))),"Fix")))</f>
        <v>#N/A</v>
      </c>
      <c r="U728" s="5" t="e">
        <f ca="1">IF(OR(INDEX($AI$2:$AI$1001,MATCH(ROWS($AH$2:AH728),$AH$2:$AH$1001,0),1)&gt;=100000,INDEX($AO$1005:$BQ$1005,1,MATCH(COLUMNS($AO$1006:BH1006),$AO$1006:$BQ$1006,0))&gt;=100000), " ",IF(INDEX($AO$2:$BQ$1001,MATCH(ROWS($AH$2:AH728),$AH$2:$AH$1001,0),MATCH(COLUMNS($AO$1006:BH1006),$AO$1006:$BQ$1006,0)), HYPERLINK("#",""), HYPERLINK(CONCATENATE("#Metadata!", ADDRESS(INDEX($AJ$2:$AJ$1001,MATCH(ROWS($AH$2:AH728),$AH$2:$AH$1001,0),0), INDEX($AO$1004:$BQ$1004,1,MATCH(COLUMNS($AO$1006:BH1006),$AO$1006:$BQ$1006,0)))),"Fix")))</f>
        <v>#N/A</v>
      </c>
      <c r="V728" s="5" t="e">
        <f ca="1">IF(OR(INDEX($AI$2:$AI$1001,MATCH(ROWS($AH$2:AH728),$AH$2:$AH$1001,0),1)&gt;=100000,INDEX($AO$1005:$BQ$1005,1,MATCH(COLUMNS($AO$1006:BI1006),$AO$1006:$BQ$1006,0))&gt;=100000), " ",IF(INDEX($AO$2:$BQ$1001,MATCH(ROWS($AH$2:AH728),$AH$2:$AH$1001,0),MATCH(COLUMNS($AO$1006:BI1006),$AO$1006:$BQ$1006,0)), HYPERLINK("#",""), HYPERLINK(CONCATENATE("#Metadata!", ADDRESS(INDEX($AJ$2:$AJ$1001,MATCH(ROWS($AH$2:AH728),$AH$2:$AH$1001,0),0), INDEX($AO$1004:$BQ$1004,1,MATCH(COLUMNS($AO$1006:BI1006),$AO$1006:$BQ$1006,0)))),"Fix")))</f>
        <v>#N/A</v>
      </c>
      <c r="W728" s="5" t="e">
        <f ca="1">IF(OR(INDEX($AI$2:$AI$1001,MATCH(ROWS($AH$2:AH728),$AH$2:$AH$1001,0),1)&gt;=100000,INDEX($AO$1005:$BQ$1005,1,MATCH(COLUMNS($AO$1006:BJ1006),$AO$1006:$BQ$1006,0))&gt;=100000), " ",IF(INDEX($AO$2:$BQ$1001,MATCH(ROWS($AH$2:AH728),$AH$2:$AH$1001,0),MATCH(COLUMNS($AO$1006:BJ1006),$AO$1006:$BQ$1006,0)), HYPERLINK("#",""), HYPERLINK(CONCATENATE("#Metadata!", ADDRESS(INDEX($AJ$2:$AJ$1001,MATCH(ROWS($AH$2:AH728),$AH$2:$AH$1001,0),0), INDEX($AO$1004:$BQ$1004,1,MATCH(COLUMNS($AO$1006:BJ1006),$AO$1006:$BQ$1006,0)))),"Fix")))</f>
        <v>#N/A</v>
      </c>
      <c r="X728" s="5" t="e">
        <f ca="1">IF(OR(INDEX($AI$2:$AI$1001,MATCH(ROWS($AH$2:AH728),$AH$2:$AH$1001,0),1)&gt;=100000,INDEX($AO$1005:$BQ$1005,1,MATCH(COLUMNS($AO$1006:BK1006),$AO$1006:$BQ$1006,0))&gt;=100000), " ",IF(INDEX($AO$2:$BQ$1001,MATCH(ROWS($AH$2:AH728),$AH$2:$AH$1001,0),MATCH(COLUMNS($AO$1006:BK1006),$AO$1006:$BQ$1006,0)), HYPERLINK("#",""), HYPERLINK(CONCATENATE("#Metadata!", ADDRESS(INDEX($AJ$2:$AJ$1001,MATCH(ROWS($AH$2:AH728),$AH$2:$AH$1001,0),0), INDEX($AO$1004:$BQ$1004,1,MATCH(COLUMNS($AO$1006:BK1006),$AO$1006:$BQ$1006,0)))),"Fix")))</f>
        <v>#N/A</v>
      </c>
      <c r="Y728" s="5" t="e">
        <f ca="1">IF(OR(INDEX($AI$2:$AI$1001,MATCH(ROWS($AH$2:AH728),$AH$2:$AH$1001,0),1)&gt;=100000,INDEX($AO$1005:$BQ$1005,1,MATCH(COLUMNS($AO$1006:BL1006),$AO$1006:$BQ$1006,0))&gt;=100000), " ",IF(INDEX($AO$2:$BQ$1001,MATCH(ROWS($AH$2:AH728),$AH$2:$AH$1001,0),MATCH(COLUMNS($AO$1006:BL1006),$AO$1006:$BQ$1006,0)), HYPERLINK("#",""), HYPERLINK(CONCATENATE("#Metadata!", ADDRESS(INDEX($AJ$2:$AJ$1001,MATCH(ROWS($AH$2:AH728),$AH$2:$AH$1001,0),0), INDEX($AO$1004:$BQ$1004,1,MATCH(COLUMNS($AO$1006:BL1006),$AO$1006:$BQ$1006,0)))),"Fix")))</f>
        <v>#N/A</v>
      </c>
      <c r="Z728" s="5" t="e">
        <f ca="1">IF(OR(INDEX($AI$2:$AI$1001,MATCH(ROWS($AH$2:AH728),$AH$2:$AH$1001,0),1)&gt;=100000,INDEX($AO$1005:$BQ$1005,1,MATCH(COLUMNS($AO$1006:BM1006),$AO$1006:$BQ$1006,0))&gt;=100000), " ",IF(INDEX($AO$2:$BQ$1001,MATCH(ROWS($AH$2:AH728),$AH$2:$AH$1001,0),MATCH(COLUMNS($AO$1006:BM1006),$AO$1006:$BQ$1006,0)), HYPERLINK("#",""), HYPERLINK(CONCATENATE("#Metadata!", ADDRESS(INDEX($AJ$2:$AJ$1001,MATCH(ROWS($AH$2:AH728),$AH$2:$AH$1001,0),0), INDEX($AO$1004:$BQ$1004,1,MATCH(COLUMNS($AO$1006:BM1006),$AO$1006:$BQ$1006,0)))),"Fix")))</f>
        <v>#N/A</v>
      </c>
      <c r="AA728" s="5" t="e">
        <f ca="1">IF(OR(INDEX($AI$2:$AI$1001,MATCH(ROWS($AH$2:AH728),$AH$2:$AH$1001,0),1)&gt;=100000,INDEX($AO$1005:$BQ$1005,1,MATCH(COLUMNS($AO$1006:BN1006),$AO$1006:$BQ$1006,0))&gt;=100000), " ",IF(INDEX($AO$2:$BQ$1001,MATCH(ROWS($AH$2:AH728),$AH$2:$AH$1001,0),MATCH(COLUMNS($AO$1006:BN1006),$AO$1006:$BQ$1006,0)), HYPERLINK("#",""), HYPERLINK(CONCATENATE("#Metadata!", ADDRESS(INDEX($AJ$2:$AJ$1001,MATCH(ROWS($AH$2:AH728),$AH$2:$AH$1001,0),0), INDEX($AO$1004:$BQ$1004,1,MATCH(COLUMNS($AO$1006:BN1006),$AO$1006:$BQ$1006,0)))),"Fix")))</f>
        <v>#N/A</v>
      </c>
      <c r="AB728" s="5" t="e">
        <f ca="1">IF(OR(INDEX($AI$2:$AI$1001,MATCH(ROWS($AH$2:AH728),$AH$2:$AH$1001,0),1)&gt;=100000,INDEX($AO$1005:$BQ$1005,1,MATCH(COLUMNS($AO$1006:BO1006),$AO$1006:$BQ$1006,0))&gt;=100000), " ",IF(INDEX($AO$2:$BQ$1001,MATCH(ROWS($AH$2:AH728),$AH$2:$AH$1001,0),MATCH(COLUMNS($AO$1006:BO1006),$AO$1006:$BQ$1006,0)), HYPERLINK("#",""), HYPERLINK(CONCATENATE("#Metadata!", ADDRESS(INDEX($AJ$2:$AJ$1001,MATCH(ROWS($AH$2:AH728),$AH$2:$AH$1001,0),0), INDEX($AO$1004:$BQ$1004,1,MATCH(COLUMNS($AO$1006:BO1006),$AO$1006:$BQ$1006,0)))),"Fix")))</f>
        <v>#N/A</v>
      </c>
      <c r="AC728" s="5" t="e">
        <f ca="1">IF(OR(INDEX($AI$2:$AI$1001,MATCH(ROWS($AH$2:AH728),$AH$2:$AH$1001,0),1)&gt;=100000,INDEX($AO$1005:$BQ$1005,1,MATCH(COLUMNS($AO$1006:BP1006),$AO$1006:$BQ$1006,0))&gt;=100000), " ",IF(INDEX($AO$2:$BQ$1001,MATCH(ROWS($AH$2:AH728),$AH$2:$AH$1001,0),MATCH(COLUMNS($AO$1006:BP1006),$AO$1006:$BQ$1006,0)), HYPERLINK("#",""), HYPERLINK(CONCATENATE("#Metadata!", ADDRESS(INDEX($AJ$2:$AJ$1001,MATCH(ROWS($AH$2:AH728),$AH$2:$AH$1001,0),0), INDEX($AO$1004:$BQ$1004,1,MATCH(COLUMNS($AO$1006:BP1006),$AO$1006:$BQ$1006,0)))),"Fix")))</f>
        <v>#N/A</v>
      </c>
      <c r="AD728" s="5" t="e">
        <f ca="1">IF(OR(INDEX($AI$2:$AI$1001,MATCH(ROWS($AH$2:AH728),$AH$2:$AH$1001,0),1)&gt;=100000,INDEX($AO$1005:$BQ$1005,1,MATCH(COLUMNS($AO$1006:BQ1006),$AO$1006:$BQ$1006,0))&gt;=100000), " ",IF(INDEX($AO$2:$BQ$1001,MATCH(ROWS($AH$2:AH728),$AH$2:$AH$1001,0),MATCH(COLUMNS($AO$1006:BQ1006),$AO$1006:$BQ$1006,0)), HYPERLINK("#",""), HYPERLINK(CONCATENATE("#Metadata!", ADDRESS(INDEX($AJ$2:$AJ$1001,MATCH(ROWS($AH$2:AH728),$AH$2:$AH$1001,0),0), INDEX($AO$1004:$BQ$1004,1,MATCH(COLUMNS($AO$1006:BQ1006),$AO$1006:$BQ$1006,0)))),"Fix")))</f>
        <v>#REF!</v>
      </c>
      <c r="AH728">
        <f ca="1"/>
        <v>725</v>
      </c>
      <c r="AI728">
        <v>100728</v>
      </c>
      <c r="AJ728">
        <v>728</v>
      </c>
      <c r="AK728" t="b">
        <f t="shared" si="11"/>
        <v>1</v>
      </c>
      <c r="AL728" t="b">
        <f>COUNTBLANK(Metadata!B728:AD728)=COLUMNS(Metadata!B728:AD728)</f>
        <v>1</v>
      </c>
      <c r="AM728" t="str">
        <v/>
      </c>
      <c r="AO728" t="b">
        <f ca="1">AND(IF(Metadata!B728="",FALSE,TRUE),COUNTIF(Metadata!B:B, Metadata!B728) = 1,NOT(ISERROR(SUMPRODUCT(SEARCH(MID(Metadata!B728,ROW(INDIRECT("1:"&amp;LEN(Metadata!B728))), 1),"0123456789abcdefghijklmnopqrstuvwxyzABCDEFGHIJKLMNOPQRSTUVWXYZ.")))))</f>
        <v>0</v>
      </c>
      <c r="AP728" t="b">
        <f>IF(Metadata!C728="",FALSE,TRUE)</f>
        <v>0</v>
      </c>
      <c r="AQ728" t="b">
        <f>IF(Metadata!D728="",FALSE,TRUE)</f>
        <v>0</v>
      </c>
      <c r="AR728" t="b">
        <f ca="1">OR(AND(IF(Metadata!E728="",FALSE,TRUE),OR(EXACT(Metadata!E728,"not collected"),EXACT(Metadata!E728,"not provided"),EXACT(Metadata!E728,"restricted access"))),AND(IF(Metadata!E728="",FALSE,TRUE),AND(AND(IFERROR(INT(LEFT(Metadata!E728,4))&gt;1900,FALSE),IFERROR(INT(LEFT(Metadata!E728,4))&lt;=YEAR(NOW()),FALSE)), OR(MID(Metadata!E728,5,1)="", AND(AND(MID(Metadata!E728,5,1)="-",IFERROR(INT(MID(Metadata!E728,6,1))&gt;=0,FALSE),IFERROR(INT(MID(Metadata!E728,6,1))&lt;=1,FALSE),NOT(MID(Metadata!E728,7,1)=""),IFERROR(INT(MID(Metadata!E728,6,2))&gt;=1,FALSE),IFERROR(INT(MID(Metadata!E728,6,2))&lt;=12,FALSE)), OR(MID(Metadata!E728,8,1)="", AND(AND(MID(Metadata!E728,8,1)="-",IFERROR(INT(MID(Metadata!E728,9,1))&gt;=0,FALSE),IFERROR(INT(MID(Metadata!E728,9,1))&lt;=3,FALSE),NOT(MID(Metadata!E728,10,1)=""),IFERROR(INT(MID(Metadata!E728,9,2))&gt;=1,FALSE),IFERROR(INT(MID(Metadata!E728,9,2))&lt;=31,FALSE)), OR(MID(Metadata!E728,11,1)="", AND(AND(MID(Metadata!E728,11,1)=" ",IFERROR(INT(MID(Metadata!E728,12,1))&gt;=0,FALSE),IFERROR(INT(MID(Metadata!E728,12,1))&lt;=2,FALSE),NOT(MID(Metadata!E728,13,1)=""),IFERROR(INT(MID(Metadata!E728,12,2))&gt;=0,FALSE),IFERROR(INT(MID(Metadata!E728,12,2))&lt;=23,FALSE)), OR(MID(Metadata!E728,14,1)="", AND(AND(MID(Metadata!E728,14,1)=":",IFERROR(INT(MID(Metadata!E728,15,1))&gt;=0,FALSE),IFERROR(INT(MID(Metadata!E728,15,1))&lt;=5,FALSE),NOT(MID(Metadata!E728,16,1)=""),IFERROR(INT(MID(Metadata!E728,15,2))&gt;=0,FALSE),IFERROR(INT(MID(Metadata!E728,15,2))&lt;=59,FALSE)), OR(MID(Metadata!E728,17,1)="", AND(AND(MID(Metadata!E728,17,1)=":",IFERROR(INT(MID(Metadata!E728,18,1))&gt;=0,FALSE),IFERROR(INT(MID(Metadata!E728,18,1))&lt;=5,FALSE),NOT(MID(Metadata!E728,19,1)=""),IFERROR(INT(MID(Metadata!E728,18,2))&gt;=0,FALSE),IFERROR(INT(MID(Metadata!E728,18,2))&lt;=59,FALSE)), LEN(Metadata!E728)&lt;=19)))))))))))))</f>
        <v>0</v>
      </c>
      <c r="AS728" t="b">
        <f>IF(Metadata!F728="",FALSE,TRUE)</f>
        <v>0</v>
      </c>
      <c r="AT728" t="b">
        <f>OR(AND(IF(Metadata!G728="",FALSE,TRUE),OR(EXACT(Metadata!G728,"not collected"),EXACT(Metadata!G728,"not provided"))),AND(IF(Metadata!G728="",FALSE,TRUE),OR(EXACT(Metadata!G728,"TRUE"),EXACT(Metadata!G728,"FALSE"))))</f>
        <v>0</v>
      </c>
      <c r="AU728" t="b">
        <f>OR(AND(IF(Metadata!H728="",FALSE,TRUE),OR(EXACT(Metadata!H728,"not collected"),EXACT(Metadata!H728,"not provided"),EXACT(Metadata!H728,"restricted access"))),AND(IF(Metadata!H728="",FALSE,ISNUMBER(VALUE(Metadata!H728))),Metadata!H728&gt;=-413))</f>
        <v>0</v>
      </c>
      <c r="AV728" t="b">
        <f>AND(IF(Metadata!I728="",FALSE,TRUE),EXACT(Metadata!I728,"meters"))</f>
        <v>0</v>
      </c>
      <c r="AW728" t="b">
        <f>AND(IF(Metadata!J728="",FALSE,TRUE),EXACT(Metadata!J728,"free-living"))</f>
        <v>0</v>
      </c>
      <c r="AX728" t="b">
        <f>AND(IF(Metadata!K728="",FALSE,TRUE),OR(EXACT(Metadata!K728,"saline"),EXACT(Metadata!K728,"non-saline")))</f>
        <v>0</v>
      </c>
      <c r="AY728" t="b">
        <f>AND(IF(Metadata!L728="",FALSE,TRUE),OR(EXACT(Metadata!L728,"sub-surface (non-saline)"),EXACT(Metadata!L728,"surface (non-saline)"),EXACT(Metadata!L728,"water (non-saline)"),EXACT(Metadata!L728,"soil (non-saline)"),EXACT(Metadata!L728,"aerosol (non-saline)"),EXACT(Metadata!L728,"sediment (non-saline)"),EXACT(Metadata!L728,"surface (saline)"),EXACT(Metadata!L728,"water (saline)"),EXACT(Metadata!L728,"hypersaline (saline)"),EXACT(Metadata!L728,"aerosol (saline)"),EXACT(Metadata!L728,"sediment (saline)")))</f>
        <v>0</v>
      </c>
      <c r="AZ728" t="b">
        <f>IF(Metadata!M728="",FALSE,TRUE)</f>
        <v>0</v>
      </c>
      <c r="BA728" t="b">
        <f>IF(Metadata!N728="",FALSE,TRUE)</f>
        <v>0</v>
      </c>
      <c r="BB728" t="b">
        <f>IF(Metadata!O728="",FALSE,TRUE)</f>
        <v>0</v>
      </c>
      <c r="BC728" t="b">
        <f>AND(IF(Metadata!P728="",FALSE,TRUE),OR(EXACT(Metadata!P728,"air"),EXACT(Metadata!P728,"microbial mat/biofilm"),EXACT(Metadata!P728,"misc environment"),EXACT(Metadata!P728,"sediment"),EXACT(Metadata!P728,"soil"),EXACT(Metadata!P728,"wastewater/sludge"),EXACT(Metadata!P728,"water")))</f>
        <v>0</v>
      </c>
      <c r="BD728" t="b">
        <f>IF(Metadata!Q728="",FALSE,TRUE)</f>
        <v>0</v>
      </c>
      <c r="BE728" t="b">
        <f>IF(Metadata!R728="",FALSE,TRUE)</f>
        <v>0</v>
      </c>
      <c r="BF728" t="b">
        <f>OR(AND(IF(Metadata!S728="",FALSE,TRUE),OR(EXACT(Metadata!S728,"not collected"),EXACT(Metadata!S728,"not provided"),EXACT(Metadata!S728,"restricted access"))),AND(IF(Metadata!S728="",FALSE,ISNUMBER(VALUE(Metadata!S728))),Metadata!S728&gt;=-90,Metadata!S728&lt;=90))</f>
        <v>0</v>
      </c>
      <c r="BG728" t="b">
        <f>AND(IF(Metadata!T728="",FALSE,TRUE),EXACT(Metadata!T728,"Decimal degrees"))</f>
        <v>0</v>
      </c>
      <c r="BH728" t="b">
        <f>OR(AND(IF(Metadata!U728="",FALSE,TRUE),OR(EXACT(Metadata!U728,"not applicable"),EXACT(Metadata!U728,"not collected"))),IF(Metadata!U728="",FALSE,TRUE))</f>
        <v>0</v>
      </c>
      <c r="BI728" t="b">
        <f>OR(AND(IF(Metadata!V728="",FALSE,TRUE),OR(EXACT(Metadata!V728,"not collected"),EXACT(Metadata!V728,"not provided"),EXACT(Metadata!V728,"restricted access"))),AND(IF(Metadata!V728="",FALSE,ISNUMBER(VALUE(Metadata!V728))),Metadata!V728&gt;=-180,Metadata!V728&lt;=180))</f>
        <v>0</v>
      </c>
      <c r="BJ728" t="b">
        <f>AND(IF(Metadata!W728="",FALSE,TRUE),EXACT(Metadata!W728,"Decimal degrees"))</f>
        <v>0</v>
      </c>
      <c r="BK728" t="b">
        <f>IF(Metadata!X728="",FALSE,TRUE)</f>
        <v>0</v>
      </c>
      <c r="BL728" t="b">
        <f>OR(AND(IF(Metadata!Y728="",FALSE,TRUE),OR(EXACT(Metadata!Y728,"not collected"),EXACT(Metadata!Y728,"not provided"),EXACT(Metadata!Y728,"restricted access"))),AND(IF(Metadata!Y728="",FALSE,TRUE),OR(EXACT(Metadata!Y728,"TRUE"),EXACT(Metadata!Y728,"FALSE"))))</f>
        <v>0</v>
      </c>
      <c r="BM728" t="b">
        <f>OR(AND(IF(Metadata!Z728="",FALSE,TRUE),EXACT(Metadata!Z728,"not applicable")),AND(IF(Metadata!Z728="",FALSE,TRUE),OR(EXACT(Metadata!Z728,"beer"),EXACT(Metadata!Z728,"cheese"),EXACT(Metadata!Z728,"fresh water"),EXACT(Metadata!Z728,"marine sediment"),EXACT(Metadata!Z728,"sea water"),EXACT(Metadata!Z728,"sediment"),EXACT(Metadata!Z728,"soil"),EXACT(Metadata!Z728,"waste water"))))</f>
        <v>0</v>
      </c>
      <c r="BN728" t="b">
        <f>AND(IF(Metadata!AA728="",FALSE,TRUE),EXACT(Metadata!AA728,"metagenome"))</f>
        <v>0</v>
      </c>
      <c r="BO728" t="b">
        <f>AND(IF(Metadata!AB728="",FALSE,TRUE),EXACT(Metadata!AB728,"256318"))</f>
        <v>0</v>
      </c>
      <c r="BP728" t="b">
        <f>IF(Metadata!AC728="",FALSE,TRUE)</f>
        <v>0</v>
      </c>
      <c r="BQ728" t="b">
        <f>IF(Metadata!AD728="",FALSE,TRUE)</f>
        <v>0</v>
      </c>
    </row>
    <row r="729" spans="1:69" x14ac:dyDescent="0.2">
      <c r="A729" s="4" t="e">
        <f ca="1">IF(B729=" "," ",HYPERLINK(CONCATENATE("#metadata!",ADDRESS(INDEX($AJ$2:$AJ$1001,MATCH(ROWS($AH$2:AH729),$AH$2:$AH$1001,0),0),2)),INDEX($AM$2:$AM$1001,MATCH(ROWS($AH$2:AH729),$AH$2:$AH$1001,0),0)))</f>
        <v>#N/A</v>
      </c>
      <c r="B729" s="5" t="e">
        <f ca="1">IF(OR(INDEX($AI$2:$AI$1001,MATCH(ROWS($AH$2:AH729),$AH$2:$AH$1001,0),1)&gt;=100000,INDEX($AO$1005:$BQ$1005,1,MATCH(COLUMNS($AO$1006:AO1006),$AO$1006:$BQ$1006,0))&gt;=100000), " ",IF(INDEX($AO$2:$BQ$1001,MATCH(ROWS($AH$2:AH729),$AH$2:$AH$1001,0),MATCH(COLUMNS($AO$1006:AO1006),$AO$1006:$BQ$1006,0)), HYPERLINK("#",""), HYPERLINK(CONCATENATE("#Metadata!", ADDRESS(INDEX($AJ$2:$AJ$1001,MATCH(ROWS($AH$2:AH729),$AH$2:$AH$1001,0),0), INDEX($AO$1004:$BQ$1004,1,MATCH(COLUMNS($AO$1006:AO1006),$AO$1006:$BQ$1006,0)))),"Fix")))</f>
        <v>#N/A</v>
      </c>
      <c r="C729" s="5" t="e">
        <f ca="1">IF(OR(INDEX($AI$2:$AI$1001,MATCH(ROWS($AH$2:AH729),$AH$2:$AH$1001,0),1)&gt;=100000,INDEX($AO$1005:$BQ$1005,1,MATCH(COLUMNS($AO$1006:AP1006),$AO$1006:$BQ$1006,0))&gt;=100000), " ",IF(INDEX($AO$2:$BQ$1001,MATCH(ROWS($AH$2:AH729),$AH$2:$AH$1001,0),MATCH(COLUMNS($AO$1006:AP1006),$AO$1006:$BQ$1006,0)), HYPERLINK("#",""), HYPERLINK(CONCATENATE("#Metadata!", ADDRESS(INDEX($AJ$2:$AJ$1001,MATCH(ROWS($AH$2:AH729),$AH$2:$AH$1001,0),0), INDEX($AO$1004:$BQ$1004,1,MATCH(COLUMNS($AO$1006:AP1006),$AO$1006:$BQ$1006,0)))),"Fix")))</f>
        <v>#N/A</v>
      </c>
      <c r="D729" s="5" t="e">
        <f ca="1">IF(OR(INDEX($AI$2:$AI$1001,MATCH(ROWS($AH$2:AH729),$AH$2:$AH$1001,0),1)&gt;=100000,INDEX($AO$1005:$BQ$1005,1,MATCH(COLUMNS($AO$1006:AQ1006),$AO$1006:$BQ$1006,0))&gt;=100000), " ",IF(INDEX($AO$2:$BQ$1001,MATCH(ROWS($AH$2:AH729),$AH$2:$AH$1001,0),MATCH(COLUMNS($AO$1006:AQ1006),$AO$1006:$BQ$1006,0)), HYPERLINK("#",""), HYPERLINK(CONCATENATE("#Metadata!", ADDRESS(INDEX($AJ$2:$AJ$1001,MATCH(ROWS($AH$2:AH729),$AH$2:$AH$1001,0),0), INDEX($AO$1004:$BQ$1004,1,MATCH(COLUMNS($AO$1006:AQ1006),$AO$1006:$BQ$1006,0)))),"Fix")))</f>
        <v>#N/A</v>
      </c>
      <c r="E729" s="5" t="e">
        <f ca="1">IF(OR(INDEX($AI$2:$AI$1001,MATCH(ROWS($AH$2:AH729),$AH$2:$AH$1001,0),1)&gt;=100000,INDEX($AO$1005:$BQ$1005,1,MATCH(COLUMNS($AO$1006:AR1006),$AO$1006:$BQ$1006,0))&gt;=100000), " ",IF(INDEX($AO$2:$BQ$1001,MATCH(ROWS($AH$2:AH729),$AH$2:$AH$1001,0),MATCH(COLUMNS($AO$1006:AR1006),$AO$1006:$BQ$1006,0)), HYPERLINK("#",""), HYPERLINK(CONCATENATE("#Metadata!", ADDRESS(INDEX($AJ$2:$AJ$1001,MATCH(ROWS($AH$2:AH729),$AH$2:$AH$1001,0),0), INDEX($AO$1004:$BQ$1004,1,MATCH(COLUMNS($AO$1006:AR1006),$AO$1006:$BQ$1006,0)))),"Fix")))</f>
        <v>#N/A</v>
      </c>
      <c r="F729" s="5" t="e">
        <f ca="1">IF(OR(INDEX($AI$2:$AI$1001,MATCH(ROWS($AH$2:AH729),$AH$2:$AH$1001,0),1)&gt;=100000,INDEX($AO$1005:$BQ$1005,1,MATCH(COLUMNS($AO$1006:AS1006),$AO$1006:$BQ$1006,0))&gt;=100000), " ",IF(INDEX($AO$2:$BQ$1001,MATCH(ROWS($AH$2:AH729),$AH$2:$AH$1001,0),MATCH(COLUMNS($AO$1006:AS1006),$AO$1006:$BQ$1006,0)), HYPERLINK("#",""), HYPERLINK(CONCATENATE("#Metadata!", ADDRESS(INDEX($AJ$2:$AJ$1001,MATCH(ROWS($AH$2:AH729),$AH$2:$AH$1001,0),0), INDEX($AO$1004:$BQ$1004,1,MATCH(COLUMNS($AO$1006:AS1006),$AO$1006:$BQ$1006,0)))),"Fix")))</f>
        <v>#N/A</v>
      </c>
      <c r="G729" s="5" t="e">
        <f ca="1">IF(OR(INDEX($AI$2:$AI$1001,MATCH(ROWS($AH$2:AH729),$AH$2:$AH$1001,0),1)&gt;=100000,INDEX($AO$1005:$BQ$1005,1,MATCH(COLUMNS($AO$1006:AT1006),$AO$1006:$BQ$1006,0))&gt;=100000), " ",IF(INDEX($AO$2:$BQ$1001,MATCH(ROWS($AH$2:AH729),$AH$2:$AH$1001,0),MATCH(COLUMNS($AO$1006:AT1006),$AO$1006:$BQ$1006,0)), HYPERLINK("#",""), HYPERLINK(CONCATENATE("#Metadata!", ADDRESS(INDEX($AJ$2:$AJ$1001,MATCH(ROWS($AH$2:AH729),$AH$2:$AH$1001,0),0), INDEX($AO$1004:$BQ$1004,1,MATCH(COLUMNS($AO$1006:AT1006),$AO$1006:$BQ$1006,0)))),"Fix")))</f>
        <v>#N/A</v>
      </c>
      <c r="H729" s="5" t="e">
        <f ca="1">IF(OR(INDEX($AI$2:$AI$1001,MATCH(ROWS($AH$2:AH729),$AH$2:$AH$1001,0),1)&gt;=100000,INDEX($AO$1005:$BQ$1005,1,MATCH(COLUMNS($AO$1006:AU1006),$AO$1006:$BQ$1006,0))&gt;=100000), " ",IF(INDEX($AO$2:$BQ$1001,MATCH(ROWS($AH$2:AH729),$AH$2:$AH$1001,0),MATCH(COLUMNS($AO$1006:AU1006),$AO$1006:$BQ$1006,0)), HYPERLINK("#",""), HYPERLINK(CONCATENATE("#Metadata!", ADDRESS(INDEX($AJ$2:$AJ$1001,MATCH(ROWS($AH$2:AH729),$AH$2:$AH$1001,0),0), INDEX($AO$1004:$BQ$1004,1,MATCH(COLUMNS($AO$1006:AU1006),$AO$1006:$BQ$1006,0)))),"Fix")))</f>
        <v>#N/A</v>
      </c>
      <c r="I729" s="5" t="e">
        <f ca="1">IF(OR(INDEX($AI$2:$AI$1001,MATCH(ROWS($AH$2:AH729),$AH$2:$AH$1001,0),1)&gt;=100000,INDEX($AO$1005:$BQ$1005,1,MATCH(COLUMNS($AO$1006:AV1006),$AO$1006:$BQ$1006,0))&gt;=100000), " ",IF(INDEX($AO$2:$BQ$1001,MATCH(ROWS($AH$2:AH729),$AH$2:$AH$1001,0),MATCH(COLUMNS($AO$1006:AV1006),$AO$1006:$BQ$1006,0)), HYPERLINK("#",""), HYPERLINK(CONCATENATE("#Metadata!", ADDRESS(INDEX($AJ$2:$AJ$1001,MATCH(ROWS($AH$2:AH729),$AH$2:$AH$1001,0),0), INDEX($AO$1004:$BQ$1004,1,MATCH(COLUMNS($AO$1006:AV1006),$AO$1006:$BQ$1006,0)))),"Fix")))</f>
        <v>#N/A</v>
      </c>
      <c r="J729" s="5" t="e">
        <f ca="1">IF(OR(INDEX($AI$2:$AI$1001,MATCH(ROWS($AH$2:AH729),$AH$2:$AH$1001,0),1)&gt;=100000,INDEX($AO$1005:$BQ$1005,1,MATCH(COLUMNS($AO$1006:AW1006),$AO$1006:$BQ$1006,0))&gt;=100000), " ",IF(INDEX($AO$2:$BQ$1001,MATCH(ROWS($AH$2:AH729),$AH$2:$AH$1001,0),MATCH(COLUMNS($AO$1006:AW1006),$AO$1006:$BQ$1006,0)), HYPERLINK("#",""), HYPERLINK(CONCATENATE("#Metadata!", ADDRESS(INDEX($AJ$2:$AJ$1001,MATCH(ROWS($AH$2:AH729),$AH$2:$AH$1001,0),0), INDEX($AO$1004:$BQ$1004,1,MATCH(COLUMNS($AO$1006:AW1006),$AO$1006:$BQ$1006,0)))),"Fix")))</f>
        <v>#N/A</v>
      </c>
      <c r="K729" s="5" t="e">
        <f ca="1">IF(OR(INDEX($AI$2:$AI$1001,MATCH(ROWS($AH$2:AH729),$AH$2:$AH$1001,0),1)&gt;=100000,INDEX($AO$1005:$BQ$1005,1,MATCH(COLUMNS($AO$1006:AX1006),$AO$1006:$BQ$1006,0))&gt;=100000), " ",IF(INDEX($AO$2:$BQ$1001,MATCH(ROWS($AH$2:AH729),$AH$2:$AH$1001,0),MATCH(COLUMNS($AO$1006:AX1006),$AO$1006:$BQ$1006,0)), HYPERLINK("#",""), HYPERLINK(CONCATENATE("#Metadata!", ADDRESS(INDEX($AJ$2:$AJ$1001,MATCH(ROWS($AH$2:AH729),$AH$2:$AH$1001,0),0), INDEX($AO$1004:$BQ$1004,1,MATCH(COLUMNS($AO$1006:AX1006),$AO$1006:$BQ$1006,0)))),"Fix")))</f>
        <v>#N/A</v>
      </c>
      <c r="L729" s="5" t="e">
        <f ca="1">IF(OR(INDEX($AI$2:$AI$1001,MATCH(ROWS($AH$2:AH729),$AH$2:$AH$1001,0),1)&gt;=100000,INDEX($AO$1005:$BQ$1005,1,MATCH(COLUMNS($AO$1006:AY1006),$AO$1006:$BQ$1006,0))&gt;=100000), " ",IF(INDEX($AO$2:$BQ$1001,MATCH(ROWS($AH$2:AH729),$AH$2:$AH$1001,0),MATCH(COLUMNS($AO$1006:AY1006),$AO$1006:$BQ$1006,0)), HYPERLINK("#",""), HYPERLINK(CONCATENATE("#Metadata!", ADDRESS(INDEX($AJ$2:$AJ$1001,MATCH(ROWS($AH$2:AH729),$AH$2:$AH$1001,0),0), INDEX($AO$1004:$BQ$1004,1,MATCH(COLUMNS($AO$1006:AY1006),$AO$1006:$BQ$1006,0)))),"Fix")))</f>
        <v>#N/A</v>
      </c>
      <c r="M729" s="5" t="e">
        <f ca="1">IF(OR(INDEX($AI$2:$AI$1001,MATCH(ROWS($AH$2:AH729),$AH$2:$AH$1001,0),1)&gt;=100000,INDEX($AO$1005:$BQ$1005,1,MATCH(COLUMNS($AO$1006:AZ1006),$AO$1006:$BQ$1006,0))&gt;=100000), " ",IF(INDEX($AO$2:$BQ$1001,MATCH(ROWS($AH$2:AH729),$AH$2:$AH$1001,0),MATCH(COLUMNS($AO$1006:AZ1006),$AO$1006:$BQ$1006,0)), HYPERLINK("#",""), HYPERLINK(CONCATENATE("#Metadata!", ADDRESS(INDEX($AJ$2:$AJ$1001,MATCH(ROWS($AH$2:AH729),$AH$2:$AH$1001,0),0), INDEX($AO$1004:$BQ$1004,1,MATCH(COLUMNS($AO$1006:AZ1006),$AO$1006:$BQ$1006,0)))),"Fix")))</f>
        <v>#N/A</v>
      </c>
      <c r="N729" s="5" t="e">
        <f ca="1">IF(OR(INDEX($AI$2:$AI$1001,MATCH(ROWS($AH$2:AH729),$AH$2:$AH$1001,0),1)&gt;=100000,INDEX($AO$1005:$BQ$1005,1,MATCH(COLUMNS($AO$1006:BA1006),$AO$1006:$BQ$1006,0))&gt;=100000), " ",IF(INDEX($AO$2:$BQ$1001,MATCH(ROWS($AH$2:AH729),$AH$2:$AH$1001,0),MATCH(COLUMNS($AO$1006:BA1006),$AO$1006:$BQ$1006,0)), HYPERLINK("#",""), HYPERLINK(CONCATENATE("#Metadata!", ADDRESS(INDEX($AJ$2:$AJ$1001,MATCH(ROWS($AH$2:AH729),$AH$2:$AH$1001,0),0), INDEX($AO$1004:$BQ$1004,1,MATCH(COLUMNS($AO$1006:BA1006),$AO$1006:$BQ$1006,0)))),"Fix")))</f>
        <v>#N/A</v>
      </c>
      <c r="O729" s="5" t="e">
        <f ca="1">IF(OR(INDEX($AI$2:$AI$1001,MATCH(ROWS($AH$2:AH729),$AH$2:$AH$1001,0),1)&gt;=100000,INDEX($AO$1005:$BQ$1005,1,MATCH(COLUMNS($AO$1006:BB1006),$AO$1006:$BQ$1006,0))&gt;=100000), " ",IF(INDEX($AO$2:$BQ$1001,MATCH(ROWS($AH$2:AH729),$AH$2:$AH$1001,0),MATCH(COLUMNS($AO$1006:BB1006),$AO$1006:$BQ$1006,0)), HYPERLINK("#",""), HYPERLINK(CONCATENATE("#Metadata!", ADDRESS(INDEX($AJ$2:$AJ$1001,MATCH(ROWS($AH$2:AH729),$AH$2:$AH$1001,0),0), INDEX($AO$1004:$BQ$1004,1,MATCH(COLUMNS($AO$1006:BB1006),$AO$1006:$BQ$1006,0)))),"Fix")))</f>
        <v>#N/A</v>
      </c>
      <c r="P729" s="5" t="e">
        <f ca="1">IF(OR(INDEX($AI$2:$AI$1001,MATCH(ROWS($AH$2:AH729),$AH$2:$AH$1001,0),1)&gt;=100000,INDEX($AO$1005:$BQ$1005,1,MATCH(COLUMNS($AO$1006:BC1006),$AO$1006:$BQ$1006,0))&gt;=100000), " ",IF(INDEX($AO$2:$BQ$1001,MATCH(ROWS($AH$2:AH729),$AH$2:$AH$1001,0),MATCH(COLUMNS($AO$1006:BC1006),$AO$1006:$BQ$1006,0)), HYPERLINK("#",""), HYPERLINK(CONCATENATE("#Metadata!", ADDRESS(INDEX($AJ$2:$AJ$1001,MATCH(ROWS($AH$2:AH729),$AH$2:$AH$1001,0),0), INDEX($AO$1004:$BQ$1004,1,MATCH(COLUMNS($AO$1006:BC1006),$AO$1006:$BQ$1006,0)))),"Fix")))</f>
        <v>#N/A</v>
      </c>
      <c r="Q729" s="5" t="e">
        <f ca="1">IF(OR(INDEX($AI$2:$AI$1001,MATCH(ROWS($AH$2:AH729),$AH$2:$AH$1001,0),1)&gt;=100000,INDEX($AO$1005:$BQ$1005,1,MATCH(COLUMNS($AO$1006:BD1006),$AO$1006:$BQ$1006,0))&gt;=100000), " ",IF(INDEX($AO$2:$BQ$1001,MATCH(ROWS($AH$2:AH729),$AH$2:$AH$1001,0),MATCH(COLUMNS($AO$1006:BD1006),$AO$1006:$BQ$1006,0)), HYPERLINK("#",""), HYPERLINK(CONCATENATE("#Metadata!", ADDRESS(INDEX($AJ$2:$AJ$1001,MATCH(ROWS($AH$2:AH729),$AH$2:$AH$1001,0),0), INDEX($AO$1004:$BQ$1004,1,MATCH(COLUMNS($AO$1006:BD1006),$AO$1006:$BQ$1006,0)))),"Fix")))</f>
        <v>#N/A</v>
      </c>
      <c r="R729" s="5" t="e">
        <f ca="1">IF(OR(INDEX($AI$2:$AI$1001,MATCH(ROWS($AH$2:AH729),$AH$2:$AH$1001,0),1)&gt;=100000,INDEX($AO$1005:$BQ$1005,1,MATCH(COLUMNS($AO$1006:BE1006),$AO$1006:$BQ$1006,0))&gt;=100000), " ",IF(INDEX($AO$2:$BQ$1001,MATCH(ROWS($AH$2:AH729),$AH$2:$AH$1001,0),MATCH(COLUMNS($AO$1006:BE1006),$AO$1006:$BQ$1006,0)), HYPERLINK("#",""), HYPERLINK(CONCATENATE("#Metadata!", ADDRESS(INDEX($AJ$2:$AJ$1001,MATCH(ROWS($AH$2:AH729),$AH$2:$AH$1001,0),0), INDEX($AO$1004:$BQ$1004,1,MATCH(COLUMNS($AO$1006:BE1006),$AO$1006:$BQ$1006,0)))),"Fix")))</f>
        <v>#N/A</v>
      </c>
      <c r="S729" s="5" t="e">
        <f ca="1">IF(OR(INDEX($AI$2:$AI$1001,MATCH(ROWS($AH$2:AH729),$AH$2:$AH$1001,0),1)&gt;=100000,INDEX($AO$1005:$BQ$1005,1,MATCH(COLUMNS($AO$1006:BF1006),$AO$1006:$BQ$1006,0))&gt;=100000), " ",IF(INDEX($AO$2:$BQ$1001,MATCH(ROWS($AH$2:AH729),$AH$2:$AH$1001,0),MATCH(COLUMNS($AO$1006:BF1006),$AO$1006:$BQ$1006,0)), HYPERLINK("#",""), HYPERLINK(CONCATENATE("#Metadata!", ADDRESS(INDEX($AJ$2:$AJ$1001,MATCH(ROWS($AH$2:AH729),$AH$2:$AH$1001,0),0), INDEX($AO$1004:$BQ$1004,1,MATCH(COLUMNS($AO$1006:BF1006),$AO$1006:$BQ$1006,0)))),"Fix")))</f>
        <v>#N/A</v>
      </c>
      <c r="T729" s="5" t="e">
        <f ca="1">IF(OR(INDEX($AI$2:$AI$1001,MATCH(ROWS($AH$2:AH729),$AH$2:$AH$1001,0),1)&gt;=100000,INDEX($AO$1005:$BQ$1005,1,MATCH(COLUMNS($AO$1006:BG1006),$AO$1006:$BQ$1006,0))&gt;=100000), " ",IF(INDEX($AO$2:$BQ$1001,MATCH(ROWS($AH$2:AH729),$AH$2:$AH$1001,0),MATCH(COLUMNS($AO$1006:BG1006),$AO$1006:$BQ$1006,0)), HYPERLINK("#",""), HYPERLINK(CONCATENATE("#Metadata!", ADDRESS(INDEX($AJ$2:$AJ$1001,MATCH(ROWS($AH$2:AH729),$AH$2:$AH$1001,0),0), INDEX($AO$1004:$BQ$1004,1,MATCH(COLUMNS($AO$1006:BG1006),$AO$1006:$BQ$1006,0)))),"Fix")))</f>
        <v>#N/A</v>
      </c>
      <c r="U729" s="5" t="e">
        <f ca="1">IF(OR(INDEX($AI$2:$AI$1001,MATCH(ROWS($AH$2:AH729),$AH$2:$AH$1001,0),1)&gt;=100000,INDEX($AO$1005:$BQ$1005,1,MATCH(COLUMNS($AO$1006:BH1006),$AO$1006:$BQ$1006,0))&gt;=100000), " ",IF(INDEX($AO$2:$BQ$1001,MATCH(ROWS($AH$2:AH729),$AH$2:$AH$1001,0),MATCH(COLUMNS($AO$1006:BH1006),$AO$1006:$BQ$1006,0)), HYPERLINK("#",""), HYPERLINK(CONCATENATE("#Metadata!", ADDRESS(INDEX($AJ$2:$AJ$1001,MATCH(ROWS($AH$2:AH729),$AH$2:$AH$1001,0),0), INDEX($AO$1004:$BQ$1004,1,MATCH(COLUMNS($AO$1006:BH1006),$AO$1006:$BQ$1006,0)))),"Fix")))</f>
        <v>#N/A</v>
      </c>
      <c r="V729" s="5" t="e">
        <f ca="1">IF(OR(INDEX($AI$2:$AI$1001,MATCH(ROWS($AH$2:AH729),$AH$2:$AH$1001,0),1)&gt;=100000,INDEX($AO$1005:$BQ$1005,1,MATCH(COLUMNS($AO$1006:BI1006),$AO$1006:$BQ$1006,0))&gt;=100000), " ",IF(INDEX($AO$2:$BQ$1001,MATCH(ROWS($AH$2:AH729),$AH$2:$AH$1001,0),MATCH(COLUMNS($AO$1006:BI1006),$AO$1006:$BQ$1006,0)), HYPERLINK("#",""), HYPERLINK(CONCATENATE("#Metadata!", ADDRESS(INDEX($AJ$2:$AJ$1001,MATCH(ROWS($AH$2:AH729),$AH$2:$AH$1001,0),0), INDEX($AO$1004:$BQ$1004,1,MATCH(COLUMNS($AO$1006:BI1006),$AO$1006:$BQ$1006,0)))),"Fix")))</f>
        <v>#N/A</v>
      </c>
      <c r="W729" s="5" t="e">
        <f ca="1">IF(OR(INDEX($AI$2:$AI$1001,MATCH(ROWS($AH$2:AH729),$AH$2:$AH$1001,0),1)&gt;=100000,INDEX($AO$1005:$BQ$1005,1,MATCH(COLUMNS($AO$1006:BJ1006),$AO$1006:$BQ$1006,0))&gt;=100000), " ",IF(INDEX($AO$2:$BQ$1001,MATCH(ROWS($AH$2:AH729),$AH$2:$AH$1001,0),MATCH(COLUMNS($AO$1006:BJ1006),$AO$1006:$BQ$1006,0)), HYPERLINK("#",""), HYPERLINK(CONCATENATE("#Metadata!", ADDRESS(INDEX($AJ$2:$AJ$1001,MATCH(ROWS($AH$2:AH729),$AH$2:$AH$1001,0),0), INDEX($AO$1004:$BQ$1004,1,MATCH(COLUMNS($AO$1006:BJ1006),$AO$1006:$BQ$1006,0)))),"Fix")))</f>
        <v>#N/A</v>
      </c>
      <c r="X729" s="5" t="e">
        <f ca="1">IF(OR(INDEX($AI$2:$AI$1001,MATCH(ROWS($AH$2:AH729),$AH$2:$AH$1001,0),1)&gt;=100000,INDEX($AO$1005:$BQ$1005,1,MATCH(COLUMNS($AO$1006:BK1006),$AO$1006:$BQ$1006,0))&gt;=100000), " ",IF(INDEX($AO$2:$BQ$1001,MATCH(ROWS($AH$2:AH729),$AH$2:$AH$1001,0),MATCH(COLUMNS($AO$1006:BK1006),$AO$1006:$BQ$1006,0)), HYPERLINK("#",""), HYPERLINK(CONCATENATE("#Metadata!", ADDRESS(INDEX($AJ$2:$AJ$1001,MATCH(ROWS($AH$2:AH729),$AH$2:$AH$1001,0),0), INDEX($AO$1004:$BQ$1004,1,MATCH(COLUMNS($AO$1006:BK1006),$AO$1006:$BQ$1006,0)))),"Fix")))</f>
        <v>#N/A</v>
      </c>
      <c r="Y729" s="5" t="e">
        <f ca="1">IF(OR(INDEX($AI$2:$AI$1001,MATCH(ROWS($AH$2:AH729),$AH$2:$AH$1001,0),1)&gt;=100000,INDEX($AO$1005:$BQ$1005,1,MATCH(COLUMNS($AO$1006:BL1006),$AO$1006:$BQ$1006,0))&gt;=100000), " ",IF(INDEX($AO$2:$BQ$1001,MATCH(ROWS($AH$2:AH729),$AH$2:$AH$1001,0),MATCH(COLUMNS($AO$1006:BL1006),$AO$1006:$BQ$1006,0)), HYPERLINK("#",""), HYPERLINK(CONCATENATE("#Metadata!", ADDRESS(INDEX($AJ$2:$AJ$1001,MATCH(ROWS($AH$2:AH729),$AH$2:$AH$1001,0),0), INDEX($AO$1004:$BQ$1004,1,MATCH(COLUMNS($AO$1006:BL1006),$AO$1006:$BQ$1006,0)))),"Fix")))</f>
        <v>#N/A</v>
      </c>
      <c r="Z729" s="5" t="e">
        <f ca="1">IF(OR(INDEX($AI$2:$AI$1001,MATCH(ROWS($AH$2:AH729),$AH$2:$AH$1001,0),1)&gt;=100000,INDEX($AO$1005:$BQ$1005,1,MATCH(COLUMNS($AO$1006:BM1006),$AO$1006:$BQ$1006,0))&gt;=100000), " ",IF(INDEX($AO$2:$BQ$1001,MATCH(ROWS($AH$2:AH729),$AH$2:$AH$1001,0),MATCH(COLUMNS($AO$1006:BM1006),$AO$1006:$BQ$1006,0)), HYPERLINK("#",""), HYPERLINK(CONCATENATE("#Metadata!", ADDRESS(INDEX($AJ$2:$AJ$1001,MATCH(ROWS($AH$2:AH729),$AH$2:$AH$1001,0),0), INDEX($AO$1004:$BQ$1004,1,MATCH(COLUMNS($AO$1006:BM1006),$AO$1006:$BQ$1006,0)))),"Fix")))</f>
        <v>#N/A</v>
      </c>
      <c r="AA729" s="5" t="e">
        <f ca="1">IF(OR(INDEX($AI$2:$AI$1001,MATCH(ROWS($AH$2:AH729),$AH$2:$AH$1001,0),1)&gt;=100000,INDEX($AO$1005:$BQ$1005,1,MATCH(COLUMNS($AO$1006:BN1006),$AO$1006:$BQ$1006,0))&gt;=100000), " ",IF(INDEX($AO$2:$BQ$1001,MATCH(ROWS($AH$2:AH729),$AH$2:$AH$1001,0),MATCH(COLUMNS($AO$1006:BN1006),$AO$1006:$BQ$1006,0)), HYPERLINK("#",""), HYPERLINK(CONCATENATE("#Metadata!", ADDRESS(INDEX($AJ$2:$AJ$1001,MATCH(ROWS($AH$2:AH729),$AH$2:$AH$1001,0),0), INDEX($AO$1004:$BQ$1004,1,MATCH(COLUMNS($AO$1006:BN1006),$AO$1006:$BQ$1006,0)))),"Fix")))</f>
        <v>#N/A</v>
      </c>
      <c r="AB729" s="5" t="e">
        <f ca="1">IF(OR(INDEX($AI$2:$AI$1001,MATCH(ROWS($AH$2:AH729),$AH$2:$AH$1001,0),1)&gt;=100000,INDEX($AO$1005:$BQ$1005,1,MATCH(COLUMNS($AO$1006:BO1006),$AO$1006:$BQ$1006,0))&gt;=100000), " ",IF(INDEX($AO$2:$BQ$1001,MATCH(ROWS($AH$2:AH729),$AH$2:$AH$1001,0),MATCH(COLUMNS($AO$1006:BO1006),$AO$1006:$BQ$1006,0)), HYPERLINK("#",""), HYPERLINK(CONCATENATE("#Metadata!", ADDRESS(INDEX($AJ$2:$AJ$1001,MATCH(ROWS($AH$2:AH729),$AH$2:$AH$1001,0),0), INDEX($AO$1004:$BQ$1004,1,MATCH(COLUMNS($AO$1006:BO1006),$AO$1006:$BQ$1006,0)))),"Fix")))</f>
        <v>#N/A</v>
      </c>
      <c r="AC729" s="5" t="e">
        <f ca="1">IF(OR(INDEX($AI$2:$AI$1001,MATCH(ROWS($AH$2:AH729),$AH$2:$AH$1001,0),1)&gt;=100000,INDEX($AO$1005:$BQ$1005,1,MATCH(COLUMNS($AO$1006:BP1006),$AO$1006:$BQ$1006,0))&gt;=100000), " ",IF(INDEX($AO$2:$BQ$1001,MATCH(ROWS($AH$2:AH729),$AH$2:$AH$1001,0),MATCH(COLUMNS($AO$1006:BP1006),$AO$1006:$BQ$1006,0)), HYPERLINK("#",""), HYPERLINK(CONCATENATE("#Metadata!", ADDRESS(INDEX($AJ$2:$AJ$1001,MATCH(ROWS($AH$2:AH729),$AH$2:$AH$1001,0),0), INDEX($AO$1004:$BQ$1004,1,MATCH(COLUMNS($AO$1006:BP1006),$AO$1006:$BQ$1006,0)))),"Fix")))</f>
        <v>#N/A</v>
      </c>
      <c r="AD729" s="5" t="e">
        <f ca="1">IF(OR(INDEX($AI$2:$AI$1001,MATCH(ROWS($AH$2:AH729),$AH$2:$AH$1001,0),1)&gt;=100000,INDEX($AO$1005:$BQ$1005,1,MATCH(COLUMNS($AO$1006:BQ1006),$AO$1006:$BQ$1006,0))&gt;=100000), " ",IF(INDEX($AO$2:$BQ$1001,MATCH(ROWS($AH$2:AH729),$AH$2:$AH$1001,0),MATCH(COLUMNS($AO$1006:BQ1006),$AO$1006:$BQ$1006,0)), HYPERLINK("#",""), HYPERLINK(CONCATENATE("#Metadata!", ADDRESS(INDEX($AJ$2:$AJ$1001,MATCH(ROWS($AH$2:AH729),$AH$2:$AH$1001,0),0), INDEX($AO$1004:$BQ$1004,1,MATCH(COLUMNS($AO$1006:BQ1006),$AO$1006:$BQ$1006,0)))),"Fix")))</f>
        <v>#REF!</v>
      </c>
      <c r="AH729">
        <f ca="1"/>
        <v>726</v>
      </c>
      <c r="AI729">
        <v>100729</v>
      </c>
      <c r="AJ729">
        <v>729</v>
      </c>
      <c r="AK729" t="b">
        <f t="shared" si="11"/>
        <v>1</v>
      </c>
      <c r="AL729" t="b">
        <f>COUNTBLANK(Metadata!B729:AD729)=COLUMNS(Metadata!B729:AD729)</f>
        <v>1</v>
      </c>
      <c r="AM729" t="str">
        <v/>
      </c>
      <c r="AO729" t="b">
        <f ca="1">AND(IF(Metadata!B729="",FALSE,TRUE),COUNTIF(Metadata!B:B, Metadata!B729) = 1,NOT(ISERROR(SUMPRODUCT(SEARCH(MID(Metadata!B729,ROW(INDIRECT("1:"&amp;LEN(Metadata!B729))), 1),"0123456789abcdefghijklmnopqrstuvwxyzABCDEFGHIJKLMNOPQRSTUVWXYZ.")))))</f>
        <v>0</v>
      </c>
      <c r="AP729" t="b">
        <f>IF(Metadata!C729="",FALSE,TRUE)</f>
        <v>0</v>
      </c>
      <c r="AQ729" t="b">
        <f>IF(Metadata!D729="",FALSE,TRUE)</f>
        <v>0</v>
      </c>
      <c r="AR729" t="b">
        <f ca="1">OR(AND(IF(Metadata!E729="",FALSE,TRUE),OR(EXACT(Metadata!E729,"not collected"),EXACT(Metadata!E729,"not provided"),EXACT(Metadata!E729,"restricted access"))),AND(IF(Metadata!E729="",FALSE,TRUE),AND(AND(IFERROR(INT(LEFT(Metadata!E729,4))&gt;1900,FALSE),IFERROR(INT(LEFT(Metadata!E729,4))&lt;=YEAR(NOW()),FALSE)), OR(MID(Metadata!E729,5,1)="", AND(AND(MID(Metadata!E729,5,1)="-",IFERROR(INT(MID(Metadata!E729,6,1))&gt;=0,FALSE),IFERROR(INT(MID(Metadata!E729,6,1))&lt;=1,FALSE),NOT(MID(Metadata!E729,7,1)=""),IFERROR(INT(MID(Metadata!E729,6,2))&gt;=1,FALSE),IFERROR(INT(MID(Metadata!E729,6,2))&lt;=12,FALSE)), OR(MID(Metadata!E729,8,1)="", AND(AND(MID(Metadata!E729,8,1)="-",IFERROR(INT(MID(Metadata!E729,9,1))&gt;=0,FALSE),IFERROR(INT(MID(Metadata!E729,9,1))&lt;=3,FALSE),NOT(MID(Metadata!E729,10,1)=""),IFERROR(INT(MID(Metadata!E729,9,2))&gt;=1,FALSE),IFERROR(INT(MID(Metadata!E729,9,2))&lt;=31,FALSE)), OR(MID(Metadata!E729,11,1)="", AND(AND(MID(Metadata!E729,11,1)=" ",IFERROR(INT(MID(Metadata!E729,12,1))&gt;=0,FALSE),IFERROR(INT(MID(Metadata!E729,12,1))&lt;=2,FALSE),NOT(MID(Metadata!E729,13,1)=""),IFERROR(INT(MID(Metadata!E729,12,2))&gt;=0,FALSE),IFERROR(INT(MID(Metadata!E729,12,2))&lt;=23,FALSE)), OR(MID(Metadata!E729,14,1)="", AND(AND(MID(Metadata!E729,14,1)=":",IFERROR(INT(MID(Metadata!E729,15,1))&gt;=0,FALSE),IFERROR(INT(MID(Metadata!E729,15,1))&lt;=5,FALSE),NOT(MID(Metadata!E729,16,1)=""),IFERROR(INT(MID(Metadata!E729,15,2))&gt;=0,FALSE),IFERROR(INT(MID(Metadata!E729,15,2))&lt;=59,FALSE)), OR(MID(Metadata!E729,17,1)="", AND(AND(MID(Metadata!E729,17,1)=":",IFERROR(INT(MID(Metadata!E729,18,1))&gt;=0,FALSE),IFERROR(INT(MID(Metadata!E729,18,1))&lt;=5,FALSE),NOT(MID(Metadata!E729,19,1)=""),IFERROR(INT(MID(Metadata!E729,18,2))&gt;=0,FALSE),IFERROR(INT(MID(Metadata!E729,18,2))&lt;=59,FALSE)), LEN(Metadata!E729)&lt;=19)))))))))))))</f>
        <v>0</v>
      </c>
      <c r="AS729" t="b">
        <f>IF(Metadata!F729="",FALSE,TRUE)</f>
        <v>0</v>
      </c>
      <c r="AT729" t="b">
        <f>OR(AND(IF(Metadata!G729="",FALSE,TRUE),OR(EXACT(Metadata!G729,"not collected"),EXACT(Metadata!G729,"not provided"))),AND(IF(Metadata!G729="",FALSE,TRUE),OR(EXACT(Metadata!G729,"TRUE"),EXACT(Metadata!G729,"FALSE"))))</f>
        <v>0</v>
      </c>
      <c r="AU729" t="b">
        <f>OR(AND(IF(Metadata!H729="",FALSE,TRUE),OR(EXACT(Metadata!H729,"not collected"),EXACT(Metadata!H729,"not provided"),EXACT(Metadata!H729,"restricted access"))),AND(IF(Metadata!H729="",FALSE,ISNUMBER(VALUE(Metadata!H729))),Metadata!H729&gt;=-413))</f>
        <v>0</v>
      </c>
      <c r="AV729" t="b">
        <f>AND(IF(Metadata!I729="",FALSE,TRUE),EXACT(Metadata!I729,"meters"))</f>
        <v>0</v>
      </c>
      <c r="AW729" t="b">
        <f>AND(IF(Metadata!J729="",FALSE,TRUE),EXACT(Metadata!J729,"free-living"))</f>
        <v>0</v>
      </c>
      <c r="AX729" t="b">
        <f>AND(IF(Metadata!K729="",FALSE,TRUE),OR(EXACT(Metadata!K729,"saline"),EXACT(Metadata!K729,"non-saline")))</f>
        <v>0</v>
      </c>
      <c r="AY729" t="b">
        <f>AND(IF(Metadata!L729="",FALSE,TRUE),OR(EXACT(Metadata!L729,"sub-surface (non-saline)"),EXACT(Metadata!L729,"surface (non-saline)"),EXACT(Metadata!L729,"water (non-saline)"),EXACT(Metadata!L729,"soil (non-saline)"),EXACT(Metadata!L729,"aerosol (non-saline)"),EXACT(Metadata!L729,"sediment (non-saline)"),EXACT(Metadata!L729,"surface (saline)"),EXACT(Metadata!L729,"water (saline)"),EXACT(Metadata!L729,"hypersaline (saline)"),EXACT(Metadata!L729,"aerosol (saline)"),EXACT(Metadata!L729,"sediment (saline)")))</f>
        <v>0</v>
      </c>
      <c r="AZ729" t="b">
        <f>IF(Metadata!M729="",FALSE,TRUE)</f>
        <v>0</v>
      </c>
      <c r="BA729" t="b">
        <f>IF(Metadata!N729="",FALSE,TRUE)</f>
        <v>0</v>
      </c>
      <c r="BB729" t="b">
        <f>IF(Metadata!O729="",FALSE,TRUE)</f>
        <v>0</v>
      </c>
      <c r="BC729" t="b">
        <f>AND(IF(Metadata!P729="",FALSE,TRUE),OR(EXACT(Metadata!P729,"air"),EXACT(Metadata!P729,"microbial mat/biofilm"),EXACT(Metadata!P729,"misc environment"),EXACT(Metadata!P729,"sediment"),EXACT(Metadata!P729,"soil"),EXACT(Metadata!P729,"wastewater/sludge"),EXACT(Metadata!P729,"water")))</f>
        <v>0</v>
      </c>
      <c r="BD729" t="b">
        <f>IF(Metadata!Q729="",FALSE,TRUE)</f>
        <v>0</v>
      </c>
      <c r="BE729" t="b">
        <f>IF(Metadata!R729="",FALSE,TRUE)</f>
        <v>0</v>
      </c>
      <c r="BF729" t="b">
        <f>OR(AND(IF(Metadata!S729="",FALSE,TRUE),OR(EXACT(Metadata!S729,"not collected"),EXACT(Metadata!S729,"not provided"),EXACT(Metadata!S729,"restricted access"))),AND(IF(Metadata!S729="",FALSE,ISNUMBER(VALUE(Metadata!S729))),Metadata!S729&gt;=-90,Metadata!S729&lt;=90))</f>
        <v>0</v>
      </c>
      <c r="BG729" t="b">
        <f>AND(IF(Metadata!T729="",FALSE,TRUE),EXACT(Metadata!T729,"Decimal degrees"))</f>
        <v>0</v>
      </c>
      <c r="BH729" t="b">
        <f>OR(AND(IF(Metadata!U729="",FALSE,TRUE),OR(EXACT(Metadata!U729,"not applicable"),EXACT(Metadata!U729,"not collected"))),IF(Metadata!U729="",FALSE,TRUE))</f>
        <v>0</v>
      </c>
      <c r="BI729" t="b">
        <f>OR(AND(IF(Metadata!V729="",FALSE,TRUE),OR(EXACT(Metadata!V729,"not collected"),EXACT(Metadata!V729,"not provided"),EXACT(Metadata!V729,"restricted access"))),AND(IF(Metadata!V729="",FALSE,ISNUMBER(VALUE(Metadata!V729))),Metadata!V729&gt;=-180,Metadata!V729&lt;=180))</f>
        <v>0</v>
      </c>
      <c r="BJ729" t="b">
        <f>AND(IF(Metadata!W729="",FALSE,TRUE),EXACT(Metadata!W729,"Decimal degrees"))</f>
        <v>0</v>
      </c>
      <c r="BK729" t="b">
        <f>IF(Metadata!X729="",FALSE,TRUE)</f>
        <v>0</v>
      </c>
      <c r="BL729" t="b">
        <f>OR(AND(IF(Metadata!Y729="",FALSE,TRUE),OR(EXACT(Metadata!Y729,"not collected"),EXACT(Metadata!Y729,"not provided"),EXACT(Metadata!Y729,"restricted access"))),AND(IF(Metadata!Y729="",FALSE,TRUE),OR(EXACT(Metadata!Y729,"TRUE"),EXACT(Metadata!Y729,"FALSE"))))</f>
        <v>0</v>
      </c>
      <c r="BM729" t="b">
        <f>OR(AND(IF(Metadata!Z729="",FALSE,TRUE),EXACT(Metadata!Z729,"not applicable")),AND(IF(Metadata!Z729="",FALSE,TRUE),OR(EXACT(Metadata!Z729,"beer"),EXACT(Metadata!Z729,"cheese"),EXACT(Metadata!Z729,"fresh water"),EXACT(Metadata!Z729,"marine sediment"),EXACT(Metadata!Z729,"sea water"),EXACT(Metadata!Z729,"sediment"),EXACT(Metadata!Z729,"soil"),EXACT(Metadata!Z729,"waste water"))))</f>
        <v>0</v>
      </c>
      <c r="BN729" t="b">
        <f>AND(IF(Metadata!AA729="",FALSE,TRUE),EXACT(Metadata!AA729,"metagenome"))</f>
        <v>0</v>
      </c>
      <c r="BO729" t="b">
        <f>AND(IF(Metadata!AB729="",FALSE,TRUE),EXACT(Metadata!AB729,"256318"))</f>
        <v>0</v>
      </c>
      <c r="BP729" t="b">
        <f>IF(Metadata!AC729="",FALSE,TRUE)</f>
        <v>0</v>
      </c>
      <c r="BQ729" t="b">
        <f>IF(Metadata!AD729="",FALSE,TRUE)</f>
        <v>0</v>
      </c>
    </row>
    <row r="730" spans="1:69" x14ac:dyDescent="0.2">
      <c r="A730" s="4" t="e">
        <f ca="1">IF(B730=" "," ",HYPERLINK(CONCATENATE("#metadata!",ADDRESS(INDEX($AJ$2:$AJ$1001,MATCH(ROWS($AH$2:AH730),$AH$2:$AH$1001,0),0),2)),INDEX($AM$2:$AM$1001,MATCH(ROWS($AH$2:AH730),$AH$2:$AH$1001,0),0)))</f>
        <v>#N/A</v>
      </c>
      <c r="B730" s="5" t="e">
        <f ca="1">IF(OR(INDEX($AI$2:$AI$1001,MATCH(ROWS($AH$2:AH730),$AH$2:$AH$1001,0),1)&gt;=100000,INDEX($AO$1005:$BQ$1005,1,MATCH(COLUMNS($AO$1006:AO1006),$AO$1006:$BQ$1006,0))&gt;=100000), " ",IF(INDEX($AO$2:$BQ$1001,MATCH(ROWS($AH$2:AH730),$AH$2:$AH$1001,0),MATCH(COLUMNS($AO$1006:AO1006),$AO$1006:$BQ$1006,0)), HYPERLINK("#",""), HYPERLINK(CONCATENATE("#Metadata!", ADDRESS(INDEX($AJ$2:$AJ$1001,MATCH(ROWS($AH$2:AH730),$AH$2:$AH$1001,0),0), INDEX($AO$1004:$BQ$1004,1,MATCH(COLUMNS($AO$1006:AO1006),$AO$1006:$BQ$1006,0)))),"Fix")))</f>
        <v>#N/A</v>
      </c>
      <c r="C730" s="5" t="e">
        <f ca="1">IF(OR(INDEX($AI$2:$AI$1001,MATCH(ROWS($AH$2:AH730),$AH$2:$AH$1001,0),1)&gt;=100000,INDEX($AO$1005:$BQ$1005,1,MATCH(COLUMNS($AO$1006:AP1006),$AO$1006:$BQ$1006,0))&gt;=100000), " ",IF(INDEX($AO$2:$BQ$1001,MATCH(ROWS($AH$2:AH730),$AH$2:$AH$1001,0),MATCH(COLUMNS($AO$1006:AP1006),$AO$1006:$BQ$1006,0)), HYPERLINK("#",""), HYPERLINK(CONCATENATE("#Metadata!", ADDRESS(INDEX($AJ$2:$AJ$1001,MATCH(ROWS($AH$2:AH730),$AH$2:$AH$1001,0),0), INDEX($AO$1004:$BQ$1004,1,MATCH(COLUMNS($AO$1006:AP1006),$AO$1006:$BQ$1006,0)))),"Fix")))</f>
        <v>#N/A</v>
      </c>
      <c r="D730" s="5" t="e">
        <f ca="1">IF(OR(INDEX($AI$2:$AI$1001,MATCH(ROWS($AH$2:AH730),$AH$2:$AH$1001,0),1)&gt;=100000,INDEX($AO$1005:$BQ$1005,1,MATCH(COLUMNS($AO$1006:AQ1006),$AO$1006:$BQ$1006,0))&gt;=100000), " ",IF(INDEX($AO$2:$BQ$1001,MATCH(ROWS($AH$2:AH730),$AH$2:$AH$1001,0),MATCH(COLUMNS($AO$1006:AQ1006),$AO$1006:$BQ$1006,0)), HYPERLINK("#",""), HYPERLINK(CONCATENATE("#Metadata!", ADDRESS(INDEX($AJ$2:$AJ$1001,MATCH(ROWS($AH$2:AH730),$AH$2:$AH$1001,0),0), INDEX($AO$1004:$BQ$1004,1,MATCH(COLUMNS($AO$1006:AQ1006),$AO$1006:$BQ$1006,0)))),"Fix")))</f>
        <v>#N/A</v>
      </c>
      <c r="E730" s="5" t="e">
        <f ca="1">IF(OR(INDEX($AI$2:$AI$1001,MATCH(ROWS($AH$2:AH730),$AH$2:$AH$1001,0),1)&gt;=100000,INDEX($AO$1005:$BQ$1005,1,MATCH(COLUMNS($AO$1006:AR1006),$AO$1006:$BQ$1006,0))&gt;=100000), " ",IF(INDEX($AO$2:$BQ$1001,MATCH(ROWS($AH$2:AH730),$AH$2:$AH$1001,0),MATCH(COLUMNS($AO$1006:AR1006),$AO$1006:$BQ$1006,0)), HYPERLINK("#",""), HYPERLINK(CONCATENATE("#Metadata!", ADDRESS(INDEX($AJ$2:$AJ$1001,MATCH(ROWS($AH$2:AH730),$AH$2:$AH$1001,0),0), INDEX($AO$1004:$BQ$1004,1,MATCH(COLUMNS($AO$1006:AR1006),$AO$1006:$BQ$1006,0)))),"Fix")))</f>
        <v>#N/A</v>
      </c>
      <c r="F730" s="5" t="e">
        <f ca="1">IF(OR(INDEX($AI$2:$AI$1001,MATCH(ROWS($AH$2:AH730),$AH$2:$AH$1001,0),1)&gt;=100000,INDEX($AO$1005:$BQ$1005,1,MATCH(COLUMNS($AO$1006:AS1006),$AO$1006:$BQ$1006,0))&gt;=100000), " ",IF(INDEX($AO$2:$BQ$1001,MATCH(ROWS($AH$2:AH730),$AH$2:$AH$1001,0),MATCH(COLUMNS($AO$1006:AS1006),$AO$1006:$BQ$1006,0)), HYPERLINK("#",""), HYPERLINK(CONCATENATE("#Metadata!", ADDRESS(INDEX($AJ$2:$AJ$1001,MATCH(ROWS($AH$2:AH730),$AH$2:$AH$1001,0),0), INDEX($AO$1004:$BQ$1004,1,MATCH(COLUMNS($AO$1006:AS1006),$AO$1006:$BQ$1006,0)))),"Fix")))</f>
        <v>#N/A</v>
      </c>
      <c r="G730" s="5" t="e">
        <f ca="1">IF(OR(INDEX($AI$2:$AI$1001,MATCH(ROWS($AH$2:AH730),$AH$2:$AH$1001,0),1)&gt;=100000,INDEX($AO$1005:$BQ$1005,1,MATCH(COLUMNS($AO$1006:AT1006),$AO$1006:$BQ$1006,0))&gt;=100000), " ",IF(INDEX($AO$2:$BQ$1001,MATCH(ROWS($AH$2:AH730),$AH$2:$AH$1001,0),MATCH(COLUMNS($AO$1006:AT1006),$AO$1006:$BQ$1006,0)), HYPERLINK("#",""), HYPERLINK(CONCATENATE("#Metadata!", ADDRESS(INDEX($AJ$2:$AJ$1001,MATCH(ROWS($AH$2:AH730),$AH$2:$AH$1001,0),0), INDEX($AO$1004:$BQ$1004,1,MATCH(COLUMNS($AO$1006:AT1006),$AO$1006:$BQ$1006,0)))),"Fix")))</f>
        <v>#N/A</v>
      </c>
      <c r="H730" s="5" t="e">
        <f ca="1">IF(OR(INDEX($AI$2:$AI$1001,MATCH(ROWS($AH$2:AH730),$AH$2:$AH$1001,0),1)&gt;=100000,INDEX($AO$1005:$BQ$1005,1,MATCH(COLUMNS($AO$1006:AU1006),$AO$1006:$BQ$1006,0))&gt;=100000), " ",IF(INDEX($AO$2:$BQ$1001,MATCH(ROWS($AH$2:AH730),$AH$2:$AH$1001,0),MATCH(COLUMNS($AO$1006:AU1006),$AO$1006:$BQ$1006,0)), HYPERLINK("#",""), HYPERLINK(CONCATENATE("#Metadata!", ADDRESS(INDEX($AJ$2:$AJ$1001,MATCH(ROWS($AH$2:AH730),$AH$2:$AH$1001,0),0), INDEX($AO$1004:$BQ$1004,1,MATCH(COLUMNS($AO$1006:AU1006),$AO$1006:$BQ$1006,0)))),"Fix")))</f>
        <v>#N/A</v>
      </c>
      <c r="I730" s="5" t="e">
        <f ca="1">IF(OR(INDEX($AI$2:$AI$1001,MATCH(ROWS($AH$2:AH730),$AH$2:$AH$1001,0),1)&gt;=100000,INDEX($AO$1005:$BQ$1005,1,MATCH(COLUMNS($AO$1006:AV1006),$AO$1006:$BQ$1006,0))&gt;=100000), " ",IF(INDEX($AO$2:$BQ$1001,MATCH(ROWS($AH$2:AH730),$AH$2:$AH$1001,0),MATCH(COLUMNS($AO$1006:AV1006),$AO$1006:$BQ$1006,0)), HYPERLINK("#",""), HYPERLINK(CONCATENATE("#Metadata!", ADDRESS(INDEX($AJ$2:$AJ$1001,MATCH(ROWS($AH$2:AH730),$AH$2:$AH$1001,0),0), INDEX($AO$1004:$BQ$1004,1,MATCH(COLUMNS($AO$1006:AV1006),$AO$1006:$BQ$1006,0)))),"Fix")))</f>
        <v>#N/A</v>
      </c>
      <c r="J730" s="5" t="e">
        <f ca="1">IF(OR(INDEX($AI$2:$AI$1001,MATCH(ROWS($AH$2:AH730),$AH$2:$AH$1001,0),1)&gt;=100000,INDEX($AO$1005:$BQ$1005,1,MATCH(COLUMNS($AO$1006:AW1006),$AO$1006:$BQ$1006,0))&gt;=100000), " ",IF(INDEX($AO$2:$BQ$1001,MATCH(ROWS($AH$2:AH730),$AH$2:$AH$1001,0),MATCH(COLUMNS($AO$1006:AW1006),$AO$1006:$BQ$1006,0)), HYPERLINK("#",""), HYPERLINK(CONCATENATE("#Metadata!", ADDRESS(INDEX($AJ$2:$AJ$1001,MATCH(ROWS($AH$2:AH730),$AH$2:$AH$1001,0),0), INDEX($AO$1004:$BQ$1004,1,MATCH(COLUMNS($AO$1006:AW1006),$AO$1006:$BQ$1006,0)))),"Fix")))</f>
        <v>#N/A</v>
      </c>
      <c r="K730" s="5" t="e">
        <f ca="1">IF(OR(INDEX($AI$2:$AI$1001,MATCH(ROWS($AH$2:AH730),$AH$2:$AH$1001,0),1)&gt;=100000,INDEX($AO$1005:$BQ$1005,1,MATCH(COLUMNS($AO$1006:AX1006),$AO$1006:$BQ$1006,0))&gt;=100000), " ",IF(INDEX($AO$2:$BQ$1001,MATCH(ROWS($AH$2:AH730),$AH$2:$AH$1001,0),MATCH(COLUMNS($AO$1006:AX1006),$AO$1006:$BQ$1006,0)), HYPERLINK("#",""), HYPERLINK(CONCATENATE("#Metadata!", ADDRESS(INDEX($AJ$2:$AJ$1001,MATCH(ROWS($AH$2:AH730),$AH$2:$AH$1001,0),0), INDEX($AO$1004:$BQ$1004,1,MATCH(COLUMNS($AO$1006:AX1006),$AO$1006:$BQ$1006,0)))),"Fix")))</f>
        <v>#N/A</v>
      </c>
      <c r="L730" s="5" t="e">
        <f ca="1">IF(OR(INDEX($AI$2:$AI$1001,MATCH(ROWS($AH$2:AH730),$AH$2:$AH$1001,0),1)&gt;=100000,INDEX($AO$1005:$BQ$1005,1,MATCH(COLUMNS($AO$1006:AY1006),$AO$1006:$BQ$1006,0))&gt;=100000), " ",IF(INDEX($AO$2:$BQ$1001,MATCH(ROWS($AH$2:AH730),$AH$2:$AH$1001,0),MATCH(COLUMNS($AO$1006:AY1006),$AO$1006:$BQ$1006,0)), HYPERLINK("#",""), HYPERLINK(CONCATENATE("#Metadata!", ADDRESS(INDEX($AJ$2:$AJ$1001,MATCH(ROWS($AH$2:AH730),$AH$2:$AH$1001,0),0), INDEX($AO$1004:$BQ$1004,1,MATCH(COLUMNS($AO$1006:AY1006),$AO$1006:$BQ$1006,0)))),"Fix")))</f>
        <v>#N/A</v>
      </c>
      <c r="M730" s="5" t="e">
        <f ca="1">IF(OR(INDEX($AI$2:$AI$1001,MATCH(ROWS($AH$2:AH730),$AH$2:$AH$1001,0),1)&gt;=100000,INDEX($AO$1005:$BQ$1005,1,MATCH(COLUMNS($AO$1006:AZ1006),$AO$1006:$BQ$1006,0))&gt;=100000), " ",IF(INDEX($AO$2:$BQ$1001,MATCH(ROWS($AH$2:AH730),$AH$2:$AH$1001,0),MATCH(COLUMNS($AO$1006:AZ1006),$AO$1006:$BQ$1006,0)), HYPERLINK("#",""), HYPERLINK(CONCATENATE("#Metadata!", ADDRESS(INDEX($AJ$2:$AJ$1001,MATCH(ROWS($AH$2:AH730),$AH$2:$AH$1001,0),0), INDEX($AO$1004:$BQ$1004,1,MATCH(COLUMNS($AO$1006:AZ1006),$AO$1006:$BQ$1006,0)))),"Fix")))</f>
        <v>#N/A</v>
      </c>
      <c r="N730" s="5" t="e">
        <f ca="1">IF(OR(INDEX($AI$2:$AI$1001,MATCH(ROWS($AH$2:AH730),$AH$2:$AH$1001,0),1)&gt;=100000,INDEX($AO$1005:$BQ$1005,1,MATCH(COLUMNS($AO$1006:BA1006),$AO$1006:$BQ$1006,0))&gt;=100000), " ",IF(INDEX($AO$2:$BQ$1001,MATCH(ROWS($AH$2:AH730),$AH$2:$AH$1001,0),MATCH(COLUMNS($AO$1006:BA1006),$AO$1006:$BQ$1006,0)), HYPERLINK("#",""), HYPERLINK(CONCATENATE("#Metadata!", ADDRESS(INDEX($AJ$2:$AJ$1001,MATCH(ROWS($AH$2:AH730),$AH$2:$AH$1001,0),0), INDEX($AO$1004:$BQ$1004,1,MATCH(COLUMNS($AO$1006:BA1006),$AO$1006:$BQ$1006,0)))),"Fix")))</f>
        <v>#N/A</v>
      </c>
      <c r="O730" s="5" t="e">
        <f ca="1">IF(OR(INDEX($AI$2:$AI$1001,MATCH(ROWS($AH$2:AH730),$AH$2:$AH$1001,0),1)&gt;=100000,INDEX($AO$1005:$BQ$1005,1,MATCH(COLUMNS($AO$1006:BB1006),$AO$1006:$BQ$1006,0))&gt;=100000), " ",IF(INDEX($AO$2:$BQ$1001,MATCH(ROWS($AH$2:AH730),$AH$2:$AH$1001,0),MATCH(COLUMNS($AO$1006:BB1006),$AO$1006:$BQ$1006,0)), HYPERLINK("#",""), HYPERLINK(CONCATENATE("#Metadata!", ADDRESS(INDEX($AJ$2:$AJ$1001,MATCH(ROWS($AH$2:AH730),$AH$2:$AH$1001,0),0), INDEX($AO$1004:$BQ$1004,1,MATCH(COLUMNS($AO$1006:BB1006),$AO$1006:$BQ$1006,0)))),"Fix")))</f>
        <v>#N/A</v>
      </c>
      <c r="P730" s="5" t="e">
        <f ca="1">IF(OR(INDEX($AI$2:$AI$1001,MATCH(ROWS($AH$2:AH730),$AH$2:$AH$1001,0),1)&gt;=100000,INDEX($AO$1005:$BQ$1005,1,MATCH(COLUMNS($AO$1006:BC1006),$AO$1006:$BQ$1006,0))&gt;=100000), " ",IF(INDEX($AO$2:$BQ$1001,MATCH(ROWS($AH$2:AH730),$AH$2:$AH$1001,0),MATCH(COLUMNS($AO$1006:BC1006),$AO$1006:$BQ$1006,0)), HYPERLINK("#",""), HYPERLINK(CONCATENATE("#Metadata!", ADDRESS(INDEX($AJ$2:$AJ$1001,MATCH(ROWS($AH$2:AH730),$AH$2:$AH$1001,0),0), INDEX($AO$1004:$BQ$1004,1,MATCH(COLUMNS($AO$1006:BC1006),$AO$1006:$BQ$1006,0)))),"Fix")))</f>
        <v>#N/A</v>
      </c>
      <c r="Q730" s="5" t="e">
        <f ca="1">IF(OR(INDEX($AI$2:$AI$1001,MATCH(ROWS($AH$2:AH730),$AH$2:$AH$1001,0),1)&gt;=100000,INDEX($AO$1005:$BQ$1005,1,MATCH(COLUMNS($AO$1006:BD1006),$AO$1006:$BQ$1006,0))&gt;=100000), " ",IF(INDEX($AO$2:$BQ$1001,MATCH(ROWS($AH$2:AH730),$AH$2:$AH$1001,0),MATCH(COLUMNS($AO$1006:BD1006),$AO$1006:$BQ$1006,0)), HYPERLINK("#",""), HYPERLINK(CONCATENATE("#Metadata!", ADDRESS(INDEX($AJ$2:$AJ$1001,MATCH(ROWS($AH$2:AH730),$AH$2:$AH$1001,0),0), INDEX($AO$1004:$BQ$1004,1,MATCH(COLUMNS($AO$1006:BD1006),$AO$1006:$BQ$1006,0)))),"Fix")))</f>
        <v>#N/A</v>
      </c>
      <c r="R730" s="5" t="e">
        <f ca="1">IF(OR(INDEX($AI$2:$AI$1001,MATCH(ROWS($AH$2:AH730),$AH$2:$AH$1001,0),1)&gt;=100000,INDEX($AO$1005:$BQ$1005,1,MATCH(COLUMNS($AO$1006:BE1006),$AO$1006:$BQ$1006,0))&gt;=100000), " ",IF(INDEX($AO$2:$BQ$1001,MATCH(ROWS($AH$2:AH730),$AH$2:$AH$1001,0),MATCH(COLUMNS($AO$1006:BE1006),$AO$1006:$BQ$1006,0)), HYPERLINK("#",""), HYPERLINK(CONCATENATE("#Metadata!", ADDRESS(INDEX($AJ$2:$AJ$1001,MATCH(ROWS($AH$2:AH730),$AH$2:$AH$1001,0),0), INDEX($AO$1004:$BQ$1004,1,MATCH(COLUMNS($AO$1006:BE1006),$AO$1006:$BQ$1006,0)))),"Fix")))</f>
        <v>#N/A</v>
      </c>
      <c r="S730" s="5" t="e">
        <f ca="1">IF(OR(INDEX($AI$2:$AI$1001,MATCH(ROWS($AH$2:AH730),$AH$2:$AH$1001,0),1)&gt;=100000,INDEX($AO$1005:$BQ$1005,1,MATCH(COLUMNS($AO$1006:BF1006),$AO$1006:$BQ$1006,0))&gt;=100000), " ",IF(INDEX($AO$2:$BQ$1001,MATCH(ROWS($AH$2:AH730),$AH$2:$AH$1001,0),MATCH(COLUMNS($AO$1006:BF1006),$AO$1006:$BQ$1006,0)), HYPERLINK("#",""), HYPERLINK(CONCATENATE("#Metadata!", ADDRESS(INDEX($AJ$2:$AJ$1001,MATCH(ROWS($AH$2:AH730),$AH$2:$AH$1001,0),0), INDEX($AO$1004:$BQ$1004,1,MATCH(COLUMNS($AO$1006:BF1006),$AO$1006:$BQ$1006,0)))),"Fix")))</f>
        <v>#N/A</v>
      </c>
      <c r="T730" s="5" t="e">
        <f ca="1">IF(OR(INDEX($AI$2:$AI$1001,MATCH(ROWS($AH$2:AH730),$AH$2:$AH$1001,0),1)&gt;=100000,INDEX($AO$1005:$BQ$1005,1,MATCH(COLUMNS($AO$1006:BG1006),$AO$1006:$BQ$1006,0))&gt;=100000), " ",IF(INDEX($AO$2:$BQ$1001,MATCH(ROWS($AH$2:AH730),$AH$2:$AH$1001,0),MATCH(COLUMNS($AO$1006:BG1006),$AO$1006:$BQ$1006,0)), HYPERLINK("#",""), HYPERLINK(CONCATENATE("#Metadata!", ADDRESS(INDEX($AJ$2:$AJ$1001,MATCH(ROWS($AH$2:AH730),$AH$2:$AH$1001,0),0), INDEX($AO$1004:$BQ$1004,1,MATCH(COLUMNS($AO$1006:BG1006),$AO$1006:$BQ$1006,0)))),"Fix")))</f>
        <v>#N/A</v>
      </c>
      <c r="U730" s="5" t="e">
        <f ca="1">IF(OR(INDEX($AI$2:$AI$1001,MATCH(ROWS($AH$2:AH730),$AH$2:$AH$1001,0),1)&gt;=100000,INDEX($AO$1005:$BQ$1005,1,MATCH(COLUMNS($AO$1006:BH1006),$AO$1006:$BQ$1006,0))&gt;=100000), " ",IF(INDEX($AO$2:$BQ$1001,MATCH(ROWS($AH$2:AH730),$AH$2:$AH$1001,0),MATCH(COLUMNS($AO$1006:BH1006),$AO$1006:$BQ$1006,0)), HYPERLINK("#",""), HYPERLINK(CONCATENATE("#Metadata!", ADDRESS(INDEX($AJ$2:$AJ$1001,MATCH(ROWS($AH$2:AH730),$AH$2:$AH$1001,0),0), INDEX($AO$1004:$BQ$1004,1,MATCH(COLUMNS($AO$1006:BH1006),$AO$1006:$BQ$1006,0)))),"Fix")))</f>
        <v>#N/A</v>
      </c>
      <c r="V730" s="5" t="e">
        <f ca="1">IF(OR(INDEX($AI$2:$AI$1001,MATCH(ROWS($AH$2:AH730),$AH$2:$AH$1001,0),1)&gt;=100000,INDEX($AO$1005:$BQ$1005,1,MATCH(COLUMNS($AO$1006:BI1006),$AO$1006:$BQ$1006,0))&gt;=100000), " ",IF(INDEX($AO$2:$BQ$1001,MATCH(ROWS($AH$2:AH730),$AH$2:$AH$1001,0),MATCH(COLUMNS($AO$1006:BI1006),$AO$1006:$BQ$1006,0)), HYPERLINK("#",""), HYPERLINK(CONCATENATE("#Metadata!", ADDRESS(INDEX($AJ$2:$AJ$1001,MATCH(ROWS($AH$2:AH730),$AH$2:$AH$1001,0),0), INDEX($AO$1004:$BQ$1004,1,MATCH(COLUMNS($AO$1006:BI1006),$AO$1006:$BQ$1006,0)))),"Fix")))</f>
        <v>#N/A</v>
      </c>
      <c r="W730" s="5" t="e">
        <f ca="1">IF(OR(INDEX($AI$2:$AI$1001,MATCH(ROWS($AH$2:AH730),$AH$2:$AH$1001,0),1)&gt;=100000,INDEX($AO$1005:$BQ$1005,1,MATCH(COLUMNS($AO$1006:BJ1006),$AO$1006:$BQ$1006,0))&gt;=100000), " ",IF(INDEX($AO$2:$BQ$1001,MATCH(ROWS($AH$2:AH730),$AH$2:$AH$1001,0),MATCH(COLUMNS($AO$1006:BJ1006),$AO$1006:$BQ$1006,0)), HYPERLINK("#",""), HYPERLINK(CONCATENATE("#Metadata!", ADDRESS(INDEX($AJ$2:$AJ$1001,MATCH(ROWS($AH$2:AH730),$AH$2:$AH$1001,0),0), INDEX($AO$1004:$BQ$1004,1,MATCH(COLUMNS($AO$1006:BJ1006),$AO$1006:$BQ$1006,0)))),"Fix")))</f>
        <v>#N/A</v>
      </c>
      <c r="X730" s="5" t="e">
        <f ca="1">IF(OR(INDEX($AI$2:$AI$1001,MATCH(ROWS($AH$2:AH730),$AH$2:$AH$1001,0),1)&gt;=100000,INDEX($AO$1005:$BQ$1005,1,MATCH(COLUMNS($AO$1006:BK1006),$AO$1006:$BQ$1006,0))&gt;=100000), " ",IF(INDEX($AO$2:$BQ$1001,MATCH(ROWS($AH$2:AH730),$AH$2:$AH$1001,0),MATCH(COLUMNS($AO$1006:BK1006),$AO$1006:$BQ$1006,0)), HYPERLINK("#",""), HYPERLINK(CONCATENATE("#Metadata!", ADDRESS(INDEX($AJ$2:$AJ$1001,MATCH(ROWS($AH$2:AH730),$AH$2:$AH$1001,0),0), INDEX($AO$1004:$BQ$1004,1,MATCH(COLUMNS($AO$1006:BK1006),$AO$1006:$BQ$1006,0)))),"Fix")))</f>
        <v>#N/A</v>
      </c>
      <c r="Y730" s="5" t="e">
        <f ca="1">IF(OR(INDEX($AI$2:$AI$1001,MATCH(ROWS($AH$2:AH730),$AH$2:$AH$1001,0),1)&gt;=100000,INDEX($AO$1005:$BQ$1005,1,MATCH(COLUMNS($AO$1006:BL1006),$AO$1006:$BQ$1006,0))&gt;=100000), " ",IF(INDEX($AO$2:$BQ$1001,MATCH(ROWS($AH$2:AH730),$AH$2:$AH$1001,0),MATCH(COLUMNS($AO$1006:BL1006),$AO$1006:$BQ$1006,0)), HYPERLINK("#",""), HYPERLINK(CONCATENATE("#Metadata!", ADDRESS(INDEX($AJ$2:$AJ$1001,MATCH(ROWS($AH$2:AH730),$AH$2:$AH$1001,0),0), INDEX($AO$1004:$BQ$1004,1,MATCH(COLUMNS($AO$1006:BL1006),$AO$1006:$BQ$1006,0)))),"Fix")))</f>
        <v>#N/A</v>
      </c>
      <c r="Z730" s="5" t="e">
        <f ca="1">IF(OR(INDEX($AI$2:$AI$1001,MATCH(ROWS($AH$2:AH730),$AH$2:$AH$1001,0),1)&gt;=100000,INDEX($AO$1005:$BQ$1005,1,MATCH(COLUMNS($AO$1006:BM1006),$AO$1006:$BQ$1006,0))&gt;=100000), " ",IF(INDEX($AO$2:$BQ$1001,MATCH(ROWS($AH$2:AH730),$AH$2:$AH$1001,0),MATCH(COLUMNS($AO$1006:BM1006),$AO$1006:$BQ$1006,0)), HYPERLINK("#",""), HYPERLINK(CONCATENATE("#Metadata!", ADDRESS(INDEX($AJ$2:$AJ$1001,MATCH(ROWS($AH$2:AH730),$AH$2:$AH$1001,0),0), INDEX($AO$1004:$BQ$1004,1,MATCH(COLUMNS($AO$1006:BM1006),$AO$1006:$BQ$1006,0)))),"Fix")))</f>
        <v>#N/A</v>
      </c>
      <c r="AA730" s="5" t="e">
        <f ca="1">IF(OR(INDEX($AI$2:$AI$1001,MATCH(ROWS($AH$2:AH730),$AH$2:$AH$1001,0),1)&gt;=100000,INDEX($AO$1005:$BQ$1005,1,MATCH(COLUMNS($AO$1006:BN1006),$AO$1006:$BQ$1006,0))&gt;=100000), " ",IF(INDEX($AO$2:$BQ$1001,MATCH(ROWS($AH$2:AH730),$AH$2:$AH$1001,0),MATCH(COLUMNS($AO$1006:BN1006),$AO$1006:$BQ$1006,0)), HYPERLINK("#",""), HYPERLINK(CONCATENATE("#Metadata!", ADDRESS(INDEX($AJ$2:$AJ$1001,MATCH(ROWS($AH$2:AH730),$AH$2:$AH$1001,0),0), INDEX($AO$1004:$BQ$1004,1,MATCH(COLUMNS($AO$1006:BN1006),$AO$1006:$BQ$1006,0)))),"Fix")))</f>
        <v>#N/A</v>
      </c>
      <c r="AB730" s="5" t="e">
        <f ca="1">IF(OR(INDEX($AI$2:$AI$1001,MATCH(ROWS($AH$2:AH730),$AH$2:$AH$1001,0),1)&gt;=100000,INDEX($AO$1005:$BQ$1005,1,MATCH(COLUMNS($AO$1006:BO1006),$AO$1006:$BQ$1006,0))&gt;=100000), " ",IF(INDEX($AO$2:$BQ$1001,MATCH(ROWS($AH$2:AH730),$AH$2:$AH$1001,0),MATCH(COLUMNS($AO$1006:BO1006),$AO$1006:$BQ$1006,0)), HYPERLINK("#",""), HYPERLINK(CONCATENATE("#Metadata!", ADDRESS(INDEX($AJ$2:$AJ$1001,MATCH(ROWS($AH$2:AH730),$AH$2:$AH$1001,0),0), INDEX($AO$1004:$BQ$1004,1,MATCH(COLUMNS($AO$1006:BO1006),$AO$1006:$BQ$1006,0)))),"Fix")))</f>
        <v>#N/A</v>
      </c>
      <c r="AC730" s="5" t="e">
        <f ca="1">IF(OR(INDEX($AI$2:$AI$1001,MATCH(ROWS($AH$2:AH730),$AH$2:$AH$1001,0),1)&gt;=100000,INDEX($AO$1005:$BQ$1005,1,MATCH(COLUMNS($AO$1006:BP1006),$AO$1006:$BQ$1006,0))&gt;=100000), " ",IF(INDEX($AO$2:$BQ$1001,MATCH(ROWS($AH$2:AH730),$AH$2:$AH$1001,0),MATCH(COLUMNS($AO$1006:BP1006),$AO$1006:$BQ$1006,0)), HYPERLINK("#",""), HYPERLINK(CONCATENATE("#Metadata!", ADDRESS(INDEX($AJ$2:$AJ$1001,MATCH(ROWS($AH$2:AH730),$AH$2:$AH$1001,0),0), INDEX($AO$1004:$BQ$1004,1,MATCH(COLUMNS($AO$1006:BP1006),$AO$1006:$BQ$1006,0)))),"Fix")))</f>
        <v>#N/A</v>
      </c>
      <c r="AD730" s="5" t="e">
        <f ca="1">IF(OR(INDEX($AI$2:$AI$1001,MATCH(ROWS($AH$2:AH730),$AH$2:$AH$1001,0),1)&gt;=100000,INDEX($AO$1005:$BQ$1005,1,MATCH(COLUMNS($AO$1006:BQ1006),$AO$1006:$BQ$1006,0))&gt;=100000), " ",IF(INDEX($AO$2:$BQ$1001,MATCH(ROWS($AH$2:AH730),$AH$2:$AH$1001,0),MATCH(COLUMNS($AO$1006:BQ1006),$AO$1006:$BQ$1006,0)), HYPERLINK("#",""), HYPERLINK(CONCATENATE("#Metadata!", ADDRESS(INDEX($AJ$2:$AJ$1001,MATCH(ROWS($AH$2:AH730),$AH$2:$AH$1001,0),0), INDEX($AO$1004:$BQ$1004,1,MATCH(COLUMNS($AO$1006:BQ1006),$AO$1006:$BQ$1006,0)))),"Fix")))</f>
        <v>#REF!</v>
      </c>
      <c r="AH730">
        <f ca="1"/>
        <v>727</v>
      </c>
      <c r="AI730">
        <v>100730</v>
      </c>
      <c r="AJ730">
        <v>730</v>
      </c>
      <c r="AK730" t="b">
        <f t="shared" si="11"/>
        <v>1</v>
      </c>
      <c r="AL730" t="b">
        <f>COUNTBLANK(Metadata!B730:AD730)=COLUMNS(Metadata!B730:AD730)</f>
        <v>1</v>
      </c>
      <c r="AM730" t="str">
        <v/>
      </c>
      <c r="AO730" t="b">
        <f ca="1">AND(IF(Metadata!B730="",FALSE,TRUE),COUNTIF(Metadata!B:B, Metadata!B730) = 1,NOT(ISERROR(SUMPRODUCT(SEARCH(MID(Metadata!B730,ROW(INDIRECT("1:"&amp;LEN(Metadata!B730))), 1),"0123456789abcdefghijklmnopqrstuvwxyzABCDEFGHIJKLMNOPQRSTUVWXYZ.")))))</f>
        <v>0</v>
      </c>
      <c r="AP730" t="b">
        <f>IF(Metadata!C730="",FALSE,TRUE)</f>
        <v>0</v>
      </c>
      <c r="AQ730" t="b">
        <f>IF(Metadata!D730="",FALSE,TRUE)</f>
        <v>0</v>
      </c>
      <c r="AR730" t="b">
        <f ca="1">OR(AND(IF(Metadata!E730="",FALSE,TRUE),OR(EXACT(Metadata!E730,"not collected"),EXACT(Metadata!E730,"not provided"),EXACT(Metadata!E730,"restricted access"))),AND(IF(Metadata!E730="",FALSE,TRUE),AND(AND(IFERROR(INT(LEFT(Metadata!E730,4))&gt;1900,FALSE),IFERROR(INT(LEFT(Metadata!E730,4))&lt;=YEAR(NOW()),FALSE)), OR(MID(Metadata!E730,5,1)="", AND(AND(MID(Metadata!E730,5,1)="-",IFERROR(INT(MID(Metadata!E730,6,1))&gt;=0,FALSE),IFERROR(INT(MID(Metadata!E730,6,1))&lt;=1,FALSE),NOT(MID(Metadata!E730,7,1)=""),IFERROR(INT(MID(Metadata!E730,6,2))&gt;=1,FALSE),IFERROR(INT(MID(Metadata!E730,6,2))&lt;=12,FALSE)), OR(MID(Metadata!E730,8,1)="", AND(AND(MID(Metadata!E730,8,1)="-",IFERROR(INT(MID(Metadata!E730,9,1))&gt;=0,FALSE),IFERROR(INT(MID(Metadata!E730,9,1))&lt;=3,FALSE),NOT(MID(Metadata!E730,10,1)=""),IFERROR(INT(MID(Metadata!E730,9,2))&gt;=1,FALSE),IFERROR(INT(MID(Metadata!E730,9,2))&lt;=31,FALSE)), OR(MID(Metadata!E730,11,1)="", AND(AND(MID(Metadata!E730,11,1)=" ",IFERROR(INT(MID(Metadata!E730,12,1))&gt;=0,FALSE),IFERROR(INT(MID(Metadata!E730,12,1))&lt;=2,FALSE),NOT(MID(Metadata!E730,13,1)=""),IFERROR(INT(MID(Metadata!E730,12,2))&gt;=0,FALSE),IFERROR(INT(MID(Metadata!E730,12,2))&lt;=23,FALSE)), OR(MID(Metadata!E730,14,1)="", AND(AND(MID(Metadata!E730,14,1)=":",IFERROR(INT(MID(Metadata!E730,15,1))&gt;=0,FALSE),IFERROR(INT(MID(Metadata!E730,15,1))&lt;=5,FALSE),NOT(MID(Metadata!E730,16,1)=""),IFERROR(INT(MID(Metadata!E730,15,2))&gt;=0,FALSE),IFERROR(INT(MID(Metadata!E730,15,2))&lt;=59,FALSE)), OR(MID(Metadata!E730,17,1)="", AND(AND(MID(Metadata!E730,17,1)=":",IFERROR(INT(MID(Metadata!E730,18,1))&gt;=0,FALSE),IFERROR(INT(MID(Metadata!E730,18,1))&lt;=5,FALSE),NOT(MID(Metadata!E730,19,1)=""),IFERROR(INT(MID(Metadata!E730,18,2))&gt;=0,FALSE),IFERROR(INT(MID(Metadata!E730,18,2))&lt;=59,FALSE)), LEN(Metadata!E730)&lt;=19)))))))))))))</f>
        <v>0</v>
      </c>
      <c r="AS730" t="b">
        <f>IF(Metadata!F730="",FALSE,TRUE)</f>
        <v>0</v>
      </c>
      <c r="AT730" t="b">
        <f>OR(AND(IF(Metadata!G730="",FALSE,TRUE),OR(EXACT(Metadata!G730,"not collected"),EXACT(Metadata!G730,"not provided"))),AND(IF(Metadata!G730="",FALSE,TRUE),OR(EXACT(Metadata!G730,"TRUE"),EXACT(Metadata!G730,"FALSE"))))</f>
        <v>0</v>
      </c>
      <c r="AU730" t="b">
        <f>OR(AND(IF(Metadata!H730="",FALSE,TRUE),OR(EXACT(Metadata!H730,"not collected"),EXACT(Metadata!H730,"not provided"),EXACT(Metadata!H730,"restricted access"))),AND(IF(Metadata!H730="",FALSE,ISNUMBER(VALUE(Metadata!H730))),Metadata!H730&gt;=-413))</f>
        <v>0</v>
      </c>
      <c r="AV730" t="b">
        <f>AND(IF(Metadata!I730="",FALSE,TRUE),EXACT(Metadata!I730,"meters"))</f>
        <v>0</v>
      </c>
      <c r="AW730" t="b">
        <f>AND(IF(Metadata!J730="",FALSE,TRUE),EXACT(Metadata!J730,"free-living"))</f>
        <v>0</v>
      </c>
      <c r="AX730" t="b">
        <f>AND(IF(Metadata!K730="",FALSE,TRUE),OR(EXACT(Metadata!K730,"saline"),EXACT(Metadata!K730,"non-saline")))</f>
        <v>0</v>
      </c>
      <c r="AY730" t="b">
        <f>AND(IF(Metadata!L730="",FALSE,TRUE),OR(EXACT(Metadata!L730,"sub-surface (non-saline)"),EXACT(Metadata!L730,"surface (non-saline)"),EXACT(Metadata!L730,"water (non-saline)"),EXACT(Metadata!L730,"soil (non-saline)"),EXACT(Metadata!L730,"aerosol (non-saline)"),EXACT(Metadata!L730,"sediment (non-saline)"),EXACT(Metadata!L730,"surface (saline)"),EXACT(Metadata!L730,"water (saline)"),EXACT(Metadata!L730,"hypersaline (saline)"),EXACT(Metadata!L730,"aerosol (saline)"),EXACT(Metadata!L730,"sediment (saline)")))</f>
        <v>0</v>
      </c>
      <c r="AZ730" t="b">
        <f>IF(Metadata!M730="",FALSE,TRUE)</f>
        <v>0</v>
      </c>
      <c r="BA730" t="b">
        <f>IF(Metadata!N730="",FALSE,TRUE)</f>
        <v>0</v>
      </c>
      <c r="BB730" t="b">
        <f>IF(Metadata!O730="",FALSE,TRUE)</f>
        <v>0</v>
      </c>
      <c r="BC730" t="b">
        <f>AND(IF(Metadata!P730="",FALSE,TRUE),OR(EXACT(Metadata!P730,"air"),EXACT(Metadata!P730,"microbial mat/biofilm"),EXACT(Metadata!P730,"misc environment"),EXACT(Metadata!P730,"sediment"),EXACT(Metadata!P730,"soil"),EXACT(Metadata!P730,"wastewater/sludge"),EXACT(Metadata!P730,"water")))</f>
        <v>0</v>
      </c>
      <c r="BD730" t="b">
        <f>IF(Metadata!Q730="",FALSE,TRUE)</f>
        <v>0</v>
      </c>
      <c r="BE730" t="b">
        <f>IF(Metadata!R730="",FALSE,TRUE)</f>
        <v>0</v>
      </c>
      <c r="BF730" t="b">
        <f>OR(AND(IF(Metadata!S730="",FALSE,TRUE),OR(EXACT(Metadata!S730,"not collected"),EXACT(Metadata!S730,"not provided"),EXACT(Metadata!S730,"restricted access"))),AND(IF(Metadata!S730="",FALSE,ISNUMBER(VALUE(Metadata!S730))),Metadata!S730&gt;=-90,Metadata!S730&lt;=90))</f>
        <v>0</v>
      </c>
      <c r="BG730" t="b">
        <f>AND(IF(Metadata!T730="",FALSE,TRUE),EXACT(Metadata!T730,"Decimal degrees"))</f>
        <v>0</v>
      </c>
      <c r="BH730" t="b">
        <f>OR(AND(IF(Metadata!U730="",FALSE,TRUE),OR(EXACT(Metadata!U730,"not applicable"),EXACT(Metadata!U730,"not collected"))),IF(Metadata!U730="",FALSE,TRUE))</f>
        <v>0</v>
      </c>
      <c r="BI730" t="b">
        <f>OR(AND(IF(Metadata!V730="",FALSE,TRUE),OR(EXACT(Metadata!V730,"not collected"),EXACT(Metadata!V730,"not provided"),EXACT(Metadata!V730,"restricted access"))),AND(IF(Metadata!V730="",FALSE,ISNUMBER(VALUE(Metadata!V730))),Metadata!V730&gt;=-180,Metadata!V730&lt;=180))</f>
        <v>0</v>
      </c>
      <c r="BJ730" t="b">
        <f>AND(IF(Metadata!W730="",FALSE,TRUE),EXACT(Metadata!W730,"Decimal degrees"))</f>
        <v>0</v>
      </c>
      <c r="BK730" t="b">
        <f>IF(Metadata!X730="",FALSE,TRUE)</f>
        <v>0</v>
      </c>
      <c r="BL730" t="b">
        <f>OR(AND(IF(Metadata!Y730="",FALSE,TRUE),OR(EXACT(Metadata!Y730,"not collected"),EXACT(Metadata!Y730,"not provided"),EXACT(Metadata!Y730,"restricted access"))),AND(IF(Metadata!Y730="",FALSE,TRUE),OR(EXACT(Metadata!Y730,"TRUE"),EXACT(Metadata!Y730,"FALSE"))))</f>
        <v>0</v>
      </c>
      <c r="BM730" t="b">
        <f>OR(AND(IF(Metadata!Z730="",FALSE,TRUE),EXACT(Metadata!Z730,"not applicable")),AND(IF(Metadata!Z730="",FALSE,TRUE),OR(EXACT(Metadata!Z730,"beer"),EXACT(Metadata!Z730,"cheese"),EXACT(Metadata!Z730,"fresh water"),EXACT(Metadata!Z730,"marine sediment"),EXACT(Metadata!Z730,"sea water"),EXACT(Metadata!Z730,"sediment"),EXACT(Metadata!Z730,"soil"),EXACT(Metadata!Z730,"waste water"))))</f>
        <v>0</v>
      </c>
      <c r="BN730" t="b">
        <f>AND(IF(Metadata!AA730="",FALSE,TRUE),EXACT(Metadata!AA730,"metagenome"))</f>
        <v>0</v>
      </c>
      <c r="BO730" t="b">
        <f>AND(IF(Metadata!AB730="",FALSE,TRUE),EXACT(Metadata!AB730,"256318"))</f>
        <v>0</v>
      </c>
      <c r="BP730" t="b">
        <f>IF(Metadata!AC730="",FALSE,TRUE)</f>
        <v>0</v>
      </c>
      <c r="BQ730" t="b">
        <f>IF(Metadata!AD730="",FALSE,TRUE)</f>
        <v>0</v>
      </c>
    </row>
    <row r="731" spans="1:69" x14ac:dyDescent="0.2">
      <c r="A731" s="4" t="e">
        <f ca="1">IF(B731=" "," ",HYPERLINK(CONCATENATE("#metadata!",ADDRESS(INDEX($AJ$2:$AJ$1001,MATCH(ROWS($AH$2:AH731),$AH$2:$AH$1001,0),0),2)),INDEX($AM$2:$AM$1001,MATCH(ROWS($AH$2:AH731),$AH$2:$AH$1001,0),0)))</f>
        <v>#N/A</v>
      </c>
      <c r="B731" s="5" t="e">
        <f ca="1">IF(OR(INDEX($AI$2:$AI$1001,MATCH(ROWS($AH$2:AH731),$AH$2:$AH$1001,0),1)&gt;=100000,INDEX($AO$1005:$BQ$1005,1,MATCH(COLUMNS($AO$1006:AO1006),$AO$1006:$BQ$1006,0))&gt;=100000), " ",IF(INDEX($AO$2:$BQ$1001,MATCH(ROWS($AH$2:AH731),$AH$2:$AH$1001,0),MATCH(COLUMNS($AO$1006:AO1006),$AO$1006:$BQ$1006,0)), HYPERLINK("#",""), HYPERLINK(CONCATENATE("#Metadata!", ADDRESS(INDEX($AJ$2:$AJ$1001,MATCH(ROWS($AH$2:AH731),$AH$2:$AH$1001,0),0), INDEX($AO$1004:$BQ$1004,1,MATCH(COLUMNS($AO$1006:AO1006),$AO$1006:$BQ$1006,0)))),"Fix")))</f>
        <v>#N/A</v>
      </c>
      <c r="C731" s="5" t="e">
        <f ca="1">IF(OR(INDEX($AI$2:$AI$1001,MATCH(ROWS($AH$2:AH731),$AH$2:$AH$1001,0),1)&gt;=100000,INDEX($AO$1005:$BQ$1005,1,MATCH(COLUMNS($AO$1006:AP1006),$AO$1006:$BQ$1006,0))&gt;=100000), " ",IF(INDEX($AO$2:$BQ$1001,MATCH(ROWS($AH$2:AH731),$AH$2:$AH$1001,0),MATCH(COLUMNS($AO$1006:AP1006),$AO$1006:$BQ$1006,0)), HYPERLINK("#",""), HYPERLINK(CONCATENATE("#Metadata!", ADDRESS(INDEX($AJ$2:$AJ$1001,MATCH(ROWS($AH$2:AH731),$AH$2:$AH$1001,0),0), INDEX($AO$1004:$BQ$1004,1,MATCH(COLUMNS($AO$1006:AP1006),$AO$1006:$BQ$1006,0)))),"Fix")))</f>
        <v>#N/A</v>
      </c>
      <c r="D731" s="5" t="e">
        <f ca="1">IF(OR(INDEX($AI$2:$AI$1001,MATCH(ROWS($AH$2:AH731),$AH$2:$AH$1001,0),1)&gt;=100000,INDEX($AO$1005:$BQ$1005,1,MATCH(COLUMNS($AO$1006:AQ1006),$AO$1006:$BQ$1006,0))&gt;=100000), " ",IF(INDEX($AO$2:$BQ$1001,MATCH(ROWS($AH$2:AH731),$AH$2:$AH$1001,0),MATCH(COLUMNS($AO$1006:AQ1006),$AO$1006:$BQ$1006,0)), HYPERLINK("#",""), HYPERLINK(CONCATENATE("#Metadata!", ADDRESS(INDEX($AJ$2:$AJ$1001,MATCH(ROWS($AH$2:AH731),$AH$2:$AH$1001,0),0), INDEX($AO$1004:$BQ$1004,1,MATCH(COLUMNS($AO$1006:AQ1006),$AO$1006:$BQ$1006,0)))),"Fix")))</f>
        <v>#N/A</v>
      </c>
      <c r="E731" s="5" t="e">
        <f ca="1">IF(OR(INDEX($AI$2:$AI$1001,MATCH(ROWS($AH$2:AH731),$AH$2:$AH$1001,0),1)&gt;=100000,INDEX($AO$1005:$BQ$1005,1,MATCH(COLUMNS($AO$1006:AR1006),$AO$1006:$BQ$1006,0))&gt;=100000), " ",IF(INDEX($AO$2:$BQ$1001,MATCH(ROWS($AH$2:AH731),$AH$2:$AH$1001,0),MATCH(COLUMNS($AO$1006:AR1006),$AO$1006:$BQ$1006,0)), HYPERLINK("#",""), HYPERLINK(CONCATENATE("#Metadata!", ADDRESS(INDEX($AJ$2:$AJ$1001,MATCH(ROWS($AH$2:AH731),$AH$2:$AH$1001,0),0), INDEX($AO$1004:$BQ$1004,1,MATCH(COLUMNS($AO$1006:AR1006),$AO$1006:$BQ$1006,0)))),"Fix")))</f>
        <v>#N/A</v>
      </c>
      <c r="F731" s="5" t="e">
        <f ca="1">IF(OR(INDEX($AI$2:$AI$1001,MATCH(ROWS($AH$2:AH731),$AH$2:$AH$1001,0),1)&gt;=100000,INDEX($AO$1005:$BQ$1005,1,MATCH(COLUMNS($AO$1006:AS1006),$AO$1006:$BQ$1006,0))&gt;=100000), " ",IF(INDEX($AO$2:$BQ$1001,MATCH(ROWS($AH$2:AH731),$AH$2:$AH$1001,0),MATCH(COLUMNS($AO$1006:AS1006),$AO$1006:$BQ$1006,0)), HYPERLINK("#",""), HYPERLINK(CONCATENATE("#Metadata!", ADDRESS(INDEX($AJ$2:$AJ$1001,MATCH(ROWS($AH$2:AH731),$AH$2:$AH$1001,0),0), INDEX($AO$1004:$BQ$1004,1,MATCH(COLUMNS($AO$1006:AS1006),$AO$1006:$BQ$1006,0)))),"Fix")))</f>
        <v>#N/A</v>
      </c>
      <c r="G731" s="5" t="e">
        <f ca="1">IF(OR(INDEX($AI$2:$AI$1001,MATCH(ROWS($AH$2:AH731),$AH$2:$AH$1001,0),1)&gt;=100000,INDEX($AO$1005:$BQ$1005,1,MATCH(COLUMNS($AO$1006:AT1006),$AO$1006:$BQ$1006,0))&gt;=100000), " ",IF(INDEX($AO$2:$BQ$1001,MATCH(ROWS($AH$2:AH731),$AH$2:$AH$1001,0),MATCH(COLUMNS($AO$1006:AT1006),$AO$1006:$BQ$1006,0)), HYPERLINK("#",""), HYPERLINK(CONCATENATE("#Metadata!", ADDRESS(INDEX($AJ$2:$AJ$1001,MATCH(ROWS($AH$2:AH731),$AH$2:$AH$1001,0),0), INDEX($AO$1004:$BQ$1004,1,MATCH(COLUMNS($AO$1006:AT1006),$AO$1006:$BQ$1006,0)))),"Fix")))</f>
        <v>#N/A</v>
      </c>
      <c r="H731" s="5" t="e">
        <f ca="1">IF(OR(INDEX($AI$2:$AI$1001,MATCH(ROWS($AH$2:AH731),$AH$2:$AH$1001,0),1)&gt;=100000,INDEX($AO$1005:$BQ$1005,1,MATCH(COLUMNS($AO$1006:AU1006),$AO$1006:$BQ$1006,0))&gt;=100000), " ",IF(INDEX($AO$2:$BQ$1001,MATCH(ROWS($AH$2:AH731),$AH$2:$AH$1001,0),MATCH(COLUMNS($AO$1006:AU1006),$AO$1006:$BQ$1006,0)), HYPERLINK("#",""), HYPERLINK(CONCATENATE("#Metadata!", ADDRESS(INDEX($AJ$2:$AJ$1001,MATCH(ROWS($AH$2:AH731),$AH$2:$AH$1001,0),0), INDEX($AO$1004:$BQ$1004,1,MATCH(COLUMNS($AO$1006:AU1006),$AO$1006:$BQ$1006,0)))),"Fix")))</f>
        <v>#N/A</v>
      </c>
      <c r="I731" s="5" t="e">
        <f ca="1">IF(OR(INDEX($AI$2:$AI$1001,MATCH(ROWS($AH$2:AH731),$AH$2:$AH$1001,0),1)&gt;=100000,INDEX($AO$1005:$BQ$1005,1,MATCH(COLUMNS($AO$1006:AV1006),$AO$1006:$BQ$1006,0))&gt;=100000), " ",IF(INDEX($AO$2:$BQ$1001,MATCH(ROWS($AH$2:AH731),$AH$2:$AH$1001,0),MATCH(COLUMNS($AO$1006:AV1006),$AO$1006:$BQ$1006,0)), HYPERLINK("#",""), HYPERLINK(CONCATENATE("#Metadata!", ADDRESS(INDEX($AJ$2:$AJ$1001,MATCH(ROWS($AH$2:AH731),$AH$2:$AH$1001,0),0), INDEX($AO$1004:$BQ$1004,1,MATCH(COLUMNS($AO$1006:AV1006),$AO$1006:$BQ$1006,0)))),"Fix")))</f>
        <v>#N/A</v>
      </c>
      <c r="J731" s="5" t="e">
        <f ca="1">IF(OR(INDEX($AI$2:$AI$1001,MATCH(ROWS($AH$2:AH731),$AH$2:$AH$1001,0),1)&gt;=100000,INDEX($AO$1005:$BQ$1005,1,MATCH(COLUMNS($AO$1006:AW1006),$AO$1006:$BQ$1006,0))&gt;=100000), " ",IF(INDEX($AO$2:$BQ$1001,MATCH(ROWS($AH$2:AH731),$AH$2:$AH$1001,0),MATCH(COLUMNS($AO$1006:AW1006),$AO$1006:$BQ$1006,0)), HYPERLINK("#",""), HYPERLINK(CONCATENATE("#Metadata!", ADDRESS(INDEX($AJ$2:$AJ$1001,MATCH(ROWS($AH$2:AH731),$AH$2:$AH$1001,0),0), INDEX($AO$1004:$BQ$1004,1,MATCH(COLUMNS($AO$1006:AW1006),$AO$1006:$BQ$1006,0)))),"Fix")))</f>
        <v>#N/A</v>
      </c>
      <c r="K731" s="5" t="e">
        <f ca="1">IF(OR(INDEX($AI$2:$AI$1001,MATCH(ROWS($AH$2:AH731),$AH$2:$AH$1001,0),1)&gt;=100000,INDEX($AO$1005:$BQ$1005,1,MATCH(COLUMNS($AO$1006:AX1006),$AO$1006:$BQ$1006,0))&gt;=100000), " ",IF(INDEX($AO$2:$BQ$1001,MATCH(ROWS($AH$2:AH731),$AH$2:$AH$1001,0),MATCH(COLUMNS($AO$1006:AX1006),$AO$1006:$BQ$1006,0)), HYPERLINK("#",""), HYPERLINK(CONCATENATE("#Metadata!", ADDRESS(INDEX($AJ$2:$AJ$1001,MATCH(ROWS($AH$2:AH731),$AH$2:$AH$1001,0),0), INDEX($AO$1004:$BQ$1004,1,MATCH(COLUMNS($AO$1006:AX1006),$AO$1006:$BQ$1006,0)))),"Fix")))</f>
        <v>#N/A</v>
      </c>
      <c r="L731" s="5" t="e">
        <f ca="1">IF(OR(INDEX($AI$2:$AI$1001,MATCH(ROWS($AH$2:AH731),$AH$2:$AH$1001,0),1)&gt;=100000,INDEX($AO$1005:$BQ$1005,1,MATCH(COLUMNS($AO$1006:AY1006),$AO$1006:$BQ$1006,0))&gt;=100000), " ",IF(INDEX($AO$2:$BQ$1001,MATCH(ROWS($AH$2:AH731),$AH$2:$AH$1001,0),MATCH(COLUMNS($AO$1006:AY1006),$AO$1006:$BQ$1006,0)), HYPERLINK("#",""), HYPERLINK(CONCATENATE("#Metadata!", ADDRESS(INDEX($AJ$2:$AJ$1001,MATCH(ROWS($AH$2:AH731),$AH$2:$AH$1001,0),0), INDEX($AO$1004:$BQ$1004,1,MATCH(COLUMNS($AO$1006:AY1006),$AO$1006:$BQ$1006,0)))),"Fix")))</f>
        <v>#N/A</v>
      </c>
      <c r="M731" s="5" t="e">
        <f ca="1">IF(OR(INDEX($AI$2:$AI$1001,MATCH(ROWS($AH$2:AH731),$AH$2:$AH$1001,0),1)&gt;=100000,INDEX($AO$1005:$BQ$1005,1,MATCH(COLUMNS($AO$1006:AZ1006),$AO$1006:$BQ$1006,0))&gt;=100000), " ",IF(INDEX($AO$2:$BQ$1001,MATCH(ROWS($AH$2:AH731),$AH$2:$AH$1001,0),MATCH(COLUMNS($AO$1006:AZ1006),$AO$1006:$BQ$1006,0)), HYPERLINK("#",""), HYPERLINK(CONCATENATE("#Metadata!", ADDRESS(INDEX($AJ$2:$AJ$1001,MATCH(ROWS($AH$2:AH731),$AH$2:$AH$1001,0),0), INDEX($AO$1004:$BQ$1004,1,MATCH(COLUMNS($AO$1006:AZ1006),$AO$1006:$BQ$1006,0)))),"Fix")))</f>
        <v>#N/A</v>
      </c>
      <c r="N731" s="5" t="e">
        <f ca="1">IF(OR(INDEX($AI$2:$AI$1001,MATCH(ROWS($AH$2:AH731),$AH$2:$AH$1001,0),1)&gt;=100000,INDEX($AO$1005:$BQ$1005,1,MATCH(COLUMNS($AO$1006:BA1006),$AO$1006:$BQ$1006,0))&gt;=100000), " ",IF(INDEX($AO$2:$BQ$1001,MATCH(ROWS($AH$2:AH731),$AH$2:$AH$1001,0),MATCH(COLUMNS($AO$1006:BA1006),$AO$1006:$BQ$1006,0)), HYPERLINK("#",""), HYPERLINK(CONCATENATE("#Metadata!", ADDRESS(INDEX($AJ$2:$AJ$1001,MATCH(ROWS($AH$2:AH731),$AH$2:$AH$1001,0),0), INDEX($AO$1004:$BQ$1004,1,MATCH(COLUMNS($AO$1006:BA1006),$AO$1006:$BQ$1006,0)))),"Fix")))</f>
        <v>#N/A</v>
      </c>
      <c r="O731" s="5" t="e">
        <f ca="1">IF(OR(INDEX($AI$2:$AI$1001,MATCH(ROWS($AH$2:AH731),$AH$2:$AH$1001,0),1)&gt;=100000,INDEX($AO$1005:$BQ$1005,1,MATCH(COLUMNS($AO$1006:BB1006),$AO$1006:$BQ$1006,0))&gt;=100000), " ",IF(INDEX($AO$2:$BQ$1001,MATCH(ROWS($AH$2:AH731),$AH$2:$AH$1001,0),MATCH(COLUMNS($AO$1006:BB1006),$AO$1006:$BQ$1006,0)), HYPERLINK("#",""), HYPERLINK(CONCATENATE("#Metadata!", ADDRESS(INDEX($AJ$2:$AJ$1001,MATCH(ROWS($AH$2:AH731),$AH$2:$AH$1001,0),0), INDEX($AO$1004:$BQ$1004,1,MATCH(COLUMNS($AO$1006:BB1006),$AO$1006:$BQ$1006,0)))),"Fix")))</f>
        <v>#N/A</v>
      </c>
      <c r="P731" s="5" t="e">
        <f ca="1">IF(OR(INDEX($AI$2:$AI$1001,MATCH(ROWS($AH$2:AH731),$AH$2:$AH$1001,0),1)&gt;=100000,INDEX($AO$1005:$BQ$1005,1,MATCH(COLUMNS($AO$1006:BC1006),$AO$1006:$BQ$1006,0))&gt;=100000), " ",IF(INDEX($AO$2:$BQ$1001,MATCH(ROWS($AH$2:AH731),$AH$2:$AH$1001,0),MATCH(COLUMNS($AO$1006:BC1006),$AO$1006:$BQ$1006,0)), HYPERLINK("#",""), HYPERLINK(CONCATENATE("#Metadata!", ADDRESS(INDEX($AJ$2:$AJ$1001,MATCH(ROWS($AH$2:AH731),$AH$2:$AH$1001,0),0), INDEX($AO$1004:$BQ$1004,1,MATCH(COLUMNS($AO$1006:BC1006),$AO$1006:$BQ$1006,0)))),"Fix")))</f>
        <v>#N/A</v>
      </c>
      <c r="Q731" s="5" t="e">
        <f ca="1">IF(OR(INDEX($AI$2:$AI$1001,MATCH(ROWS($AH$2:AH731),$AH$2:$AH$1001,0),1)&gt;=100000,INDEX($AO$1005:$BQ$1005,1,MATCH(COLUMNS($AO$1006:BD1006),$AO$1006:$BQ$1006,0))&gt;=100000), " ",IF(INDEX($AO$2:$BQ$1001,MATCH(ROWS($AH$2:AH731),$AH$2:$AH$1001,0),MATCH(COLUMNS($AO$1006:BD1006),$AO$1006:$BQ$1006,0)), HYPERLINK("#",""), HYPERLINK(CONCATENATE("#Metadata!", ADDRESS(INDEX($AJ$2:$AJ$1001,MATCH(ROWS($AH$2:AH731),$AH$2:$AH$1001,0),0), INDEX($AO$1004:$BQ$1004,1,MATCH(COLUMNS($AO$1006:BD1006),$AO$1006:$BQ$1006,0)))),"Fix")))</f>
        <v>#N/A</v>
      </c>
      <c r="R731" s="5" t="e">
        <f ca="1">IF(OR(INDEX($AI$2:$AI$1001,MATCH(ROWS($AH$2:AH731),$AH$2:$AH$1001,0),1)&gt;=100000,INDEX($AO$1005:$BQ$1005,1,MATCH(COLUMNS($AO$1006:BE1006),$AO$1006:$BQ$1006,0))&gt;=100000), " ",IF(INDEX($AO$2:$BQ$1001,MATCH(ROWS($AH$2:AH731),$AH$2:$AH$1001,0),MATCH(COLUMNS($AO$1006:BE1006),$AO$1006:$BQ$1006,0)), HYPERLINK("#",""), HYPERLINK(CONCATENATE("#Metadata!", ADDRESS(INDEX($AJ$2:$AJ$1001,MATCH(ROWS($AH$2:AH731),$AH$2:$AH$1001,0),0), INDEX($AO$1004:$BQ$1004,1,MATCH(COLUMNS($AO$1006:BE1006),$AO$1006:$BQ$1006,0)))),"Fix")))</f>
        <v>#N/A</v>
      </c>
      <c r="S731" s="5" t="e">
        <f ca="1">IF(OR(INDEX($AI$2:$AI$1001,MATCH(ROWS($AH$2:AH731),$AH$2:$AH$1001,0),1)&gt;=100000,INDEX($AO$1005:$BQ$1005,1,MATCH(COLUMNS($AO$1006:BF1006),$AO$1006:$BQ$1006,0))&gt;=100000), " ",IF(INDEX($AO$2:$BQ$1001,MATCH(ROWS($AH$2:AH731),$AH$2:$AH$1001,0),MATCH(COLUMNS($AO$1006:BF1006),$AO$1006:$BQ$1006,0)), HYPERLINK("#",""), HYPERLINK(CONCATENATE("#Metadata!", ADDRESS(INDEX($AJ$2:$AJ$1001,MATCH(ROWS($AH$2:AH731),$AH$2:$AH$1001,0),0), INDEX($AO$1004:$BQ$1004,1,MATCH(COLUMNS($AO$1006:BF1006),$AO$1006:$BQ$1006,0)))),"Fix")))</f>
        <v>#N/A</v>
      </c>
      <c r="T731" s="5" t="e">
        <f ca="1">IF(OR(INDEX($AI$2:$AI$1001,MATCH(ROWS($AH$2:AH731),$AH$2:$AH$1001,0),1)&gt;=100000,INDEX($AO$1005:$BQ$1005,1,MATCH(COLUMNS($AO$1006:BG1006),$AO$1006:$BQ$1006,0))&gt;=100000), " ",IF(INDEX($AO$2:$BQ$1001,MATCH(ROWS($AH$2:AH731),$AH$2:$AH$1001,0),MATCH(COLUMNS($AO$1006:BG1006),$AO$1006:$BQ$1006,0)), HYPERLINK("#",""), HYPERLINK(CONCATENATE("#Metadata!", ADDRESS(INDEX($AJ$2:$AJ$1001,MATCH(ROWS($AH$2:AH731),$AH$2:$AH$1001,0),0), INDEX($AO$1004:$BQ$1004,1,MATCH(COLUMNS($AO$1006:BG1006),$AO$1006:$BQ$1006,0)))),"Fix")))</f>
        <v>#N/A</v>
      </c>
      <c r="U731" s="5" t="e">
        <f ca="1">IF(OR(INDEX($AI$2:$AI$1001,MATCH(ROWS($AH$2:AH731),$AH$2:$AH$1001,0),1)&gt;=100000,INDEX($AO$1005:$BQ$1005,1,MATCH(COLUMNS($AO$1006:BH1006),$AO$1006:$BQ$1006,0))&gt;=100000), " ",IF(INDEX($AO$2:$BQ$1001,MATCH(ROWS($AH$2:AH731),$AH$2:$AH$1001,0),MATCH(COLUMNS($AO$1006:BH1006),$AO$1006:$BQ$1006,0)), HYPERLINK("#",""), HYPERLINK(CONCATENATE("#Metadata!", ADDRESS(INDEX($AJ$2:$AJ$1001,MATCH(ROWS($AH$2:AH731),$AH$2:$AH$1001,0),0), INDEX($AO$1004:$BQ$1004,1,MATCH(COLUMNS($AO$1006:BH1006),$AO$1006:$BQ$1006,0)))),"Fix")))</f>
        <v>#N/A</v>
      </c>
      <c r="V731" s="5" t="e">
        <f ca="1">IF(OR(INDEX($AI$2:$AI$1001,MATCH(ROWS($AH$2:AH731),$AH$2:$AH$1001,0),1)&gt;=100000,INDEX($AO$1005:$BQ$1005,1,MATCH(COLUMNS($AO$1006:BI1006),$AO$1006:$BQ$1006,0))&gt;=100000), " ",IF(INDEX($AO$2:$BQ$1001,MATCH(ROWS($AH$2:AH731),$AH$2:$AH$1001,0),MATCH(COLUMNS($AO$1006:BI1006),$AO$1006:$BQ$1006,0)), HYPERLINK("#",""), HYPERLINK(CONCATENATE("#Metadata!", ADDRESS(INDEX($AJ$2:$AJ$1001,MATCH(ROWS($AH$2:AH731),$AH$2:$AH$1001,0),0), INDEX($AO$1004:$BQ$1004,1,MATCH(COLUMNS($AO$1006:BI1006),$AO$1006:$BQ$1006,0)))),"Fix")))</f>
        <v>#N/A</v>
      </c>
      <c r="W731" s="5" t="e">
        <f ca="1">IF(OR(INDEX($AI$2:$AI$1001,MATCH(ROWS($AH$2:AH731),$AH$2:$AH$1001,0),1)&gt;=100000,INDEX($AO$1005:$BQ$1005,1,MATCH(COLUMNS($AO$1006:BJ1006),$AO$1006:$BQ$1006,0))&gt;=100000), " ",IF(INDEX($AO$2:$BQ$1001,MATCH(ROWS($AH$2:AH731),$AH$2:$AH$1001,0),MATCH(COLUMNS($AO$1006:BJ1006),$AO$1006:$BQ$1006,0)), HYPERLINK("#",""), HYPERLINK(CONCATENATE("#Metadata!", ADDRESS(INDEX($AJ$2:$AJ$1001,MATCH(ROWS($AH$2:AH731),$AH$2:$AH$1001,0),0), INDEX($AO$1004:$BQ$1004,1,MATCH(COLUMNS($AO$1006:BJ1006),$AO$1006:$BQ$1006,0)))),"Fix")))</f>
        <v>#N/A</v>
      </c>
      <c r="X731" s="5" t="e">
        <f ca="1">IF(OR(INDEX($AI$2:$AI$1001,MATCH(ROWS($AH$2:AH731),$AH$2:$AH$1001,0),1)&gt;=100000,INDEX($AO$1005:$BQ$1005,1,MATCH(COLUMNS($AO$1006:BK1006),$AO$1006:$BQ$1006,0))&gt;=100000), " ",IF(INDEX($AO$2:$BQ$1001,MATCH(ROWS($AH$2:AH731),$AH$2:$AH$1001,0),MATCH(COLUMNS($AO$1006:BK1006),$AO$1006:$BQ$1006,0)), HYPERLINK("#",""), HYPERLINK(CONCATENATE("#Metadata!", ADDRESS(INDEX($AJ$2:$AJ$1001,MATCH(ROWS($AH$2:AH731),$AH$2:$AH$1001,0),0), INDEX($AO$1004:$BQ$1004,1,MATCH(COLUMNS($AO$1006:BK1006),$AO$1006:$BQ$1006,0)))),"Fix")))</f>
        <v>#N/A</v>
      </c>
      <c r="Y731" s="5" t="e">
        <f ca="1">IF(OR(INDEX($AI$2:$AI$1001,MATCH(ROWS($AH$2:AH731),$AH$2:$AH$1001,0),1)&gt;=100000,INDEX($AO$1005:$BQ$1005,1,MATCH(COLUMNS($AO$1006:BL1006),$AO$1006:$BQ$1006,0))&gt;=100000), " ",IF(INDEX($AO$2:$BQ$1001,MATCH(ROWS($AH$2:AH731),$AH$2:$AH$1001,0),MATCH(COLUMNS($AO$1006:BL1006),$AO$1006:$BQ$1006,0)), HYPERLINK("#",""), HYPERLINK(CONCATENATE("#Metadata!", ADDRESS(INDEX($AJ$2:$AJ$1001,MATCH(ROWS($AH$2:AH731),$AH$2:$AH$1001,0),0), INDEX($AO$1004:$BQ$1004,1,MATCH(COLUMNS($AO$1006:BL1006),$AO$1006:$BQ$1006,0)))),"Fix")))</f>
        <v>#N/A</v>
      </c>
      <c r="Z731" s="5" t="e">
        <f ca="1">IF(OR(INDEX($AI$2:$AI$1001,MATCH(ROWS($AH$2:AH731),$AH$2:$AH$1001,0),1)&gt;=100000,INDEX($AO$1005:$BQ$1005,1,MATCH(COLUMNS($AO$1006:BM1006),$AO$1006:$BQ$1006,0))&gt;=100000), " ",IF(INDEX($AO$2:$BQ$1001,MATCH(ROWS($AH$2:AH731),$AH$2:$AH$1001,0),MATCH(COLUMNS($AO$1006:BM1006),$AO$1006:$BQ$1006,0)), HYPERLINK("#",""), HYPERLINK(CONCATENATE("#Metadata!", ADDRESS(INDEX($AJ$2:$AJ$1001,MATCH(ROWS($AH$2:AH731),$AH$2:$AH$1001,0),0), INDEX($AO$1004:$BQ$1004,1,MATCH(COLUMNS($AO$1006:BM1006),$AO$1006:$BQ$1006,0)))),"Fix")))</f>
        <v>#N/A</v>
      </c>
      <c r="AA731" s="5" t="e">
        <f ca="1">IF(OR(INDEX($AI$2:$AI$1001,MATCH(ROWS($AH$2:AH731),$AH$2:$AH$1001,0),1)&gt;=100000,INDEX($AO$1005:$BQ$1005,1,MATCH(COLUMNS($AO$1006:BN1006),$AO$1006:$BQ$1006,0))&gt;=100000), " ",IF(INDEX($AO$2:$BQ$1001,MATCH(ROWS($AH$2:AH731),$AH$2:$AH$1001,0),MATCH(COLUMNS($AO$1006:BN1006),$AO$1006:$BQ$1006,0)), HYPERLINK("#",""), HYPERLINK(CONCATENATE("#Metadata!", ADDRESS(INDEX($AJ$2:$AJ$1001,MATCH(ROWS($AH$2:AH731),$AH$2:$AH$1001,0),0), INDEX($AO$1004:$BQ$1004,1,MATCH(COLUMNS($AO$1006:BN1006),$AO$1006:$BQ$1006,0)))),"Fix")))</f>
        <v>#N/A</v>
      </c>
      <c r="AB731" s="5" t="e">
        <f ca="1">IF(OR(INDEX($AI$2:$AI$1001,MATCH(ROWS($AH$2:AH731),$AH$2:$AH$1001,0),1)&gt;=100000,INDEX($AO$1005:$BQ$1005,1,MATCH(COLUMNS($AO$1006:BO1006),$AO$1006:$BQ$1006,0))&gt;=100000), " ",IF(INDEX($AO$2:$BQ$1001,MATCH(ROWS($AH$2:AH731),$AH$2:$AH$1001,0),MATCH(COLUMNS($AO$1006:BO1006),$AO$1006:$BQ$1006,0)), HYPERLINK("#",""), HYPERLINK(CONCATENATE("#Metadata!", ADDRESS(INDEX($AJ$2:$AJ$1001,MATCH(ROWS($AH$2:AH731),$AH$2:$AH$1001,0),0), INDEX($AO$1004:$BQ$1004,1,MATCH(COLUMNS($AO$1006:BO1006),$AO$1006:$BQ$1006,0)))),"Fix")))</f>
        <v>#N/A</v>
      </c>
      <c r="AC731" s="5" t="e">
        <f ca="1">IF(OR(INDEX($AI$2:$AI$1001,MATCH(ROWS($AH$2:AH731),$AH$2:$AH$1001,0),1)&gt;=100000,INDEX($AO$1005:$BQ$1005,1,MATCH(COLUMNS($AO$1006:BP1006),$AO$1006:$BQ$1006,0))&gt;=100000), " ",IF(INDEX($AO$2:$BQ$1001,MATCH(ROWS($AH$2:AH731),$AH$2:$AH$1001,0),MATCH(COLUMNS($AO$1006:BP1006),$AO$1006:$BQ$1006,0)), HYPERLINK("#",""), HYPERLINK(CONCATENATE("#Metadata!", ADDRESS(INDEX($AJ$2:$AJ$1001,MATCH(ROWS($AH$2:AH731),$AH$2:$AH$1001,0),0), INDEX($AO$1004:$BQ$1004,1,MATCH(COLUMNS($AO$1006:BP1006),$AO$1006:$BQ$1006,0)))),"Fix")))</f>
        <v>#N/A</v>
      </c>
      <c r="AD731" s="5" t="e">
        <f ca="1">IF(OR(INDEX($AI$2:$AI$1001,MATCH(ROWS($AH$2:AH731),$AH$2:$AH$1001,0),1)&gt;=100000,INDEX($AO$1005:$BQ$1005,1,MATCH(COLUMNS($AO$1006:BQ1006),$AO$1006:$BQ$1006,0))&gt;=100000), " ",IF(INDEX($AO$2:$BQ$1001,MATCH(ROWS($AH$2:AH731),$AH$2:$AH$1001,0),MATCH(COLUMNS($AO$1006:BQ1006),$AO$1006:$BQ$1006,0)), HYPERLINK("#",""), HYPERLINK(CONCATENATE("#Metadata!", ADDRESS(INDEX($AJ$2:$AJ$1001,MATCH(ROWS($AH$2:AH731),$AH$2:$AH$1001,0),0), INDEX($AO$1004:$BQ$1004,1,MATCH(COLUMNS($AO$1006:BQ1006),$AO$1006:$BQ$1006,0)))),"Fix")))</f>
        <v>#REF!</v>
      </c>
      <c r="AH731">
        <f ca="1"/>
        <v>728</v>
      </c>
      <c r="AI731">
        <v>100731</v>
      </c>
      <c r="AJ731">
        <v>731</v>
      </c>
      <c r="AK731" t="b">
        <f t="shared" si="11"/>
        <v>1</v>
      </c>
      <c r="AL731" t="b">
        <f>COUNTBLANK(Metadata!B731:AD731)=COLUMNS(Metadata!B731:AD731)</f>
        <v>1</v>
      </c>
      <c r="AM731" t="str">
        <v/>
      </c>
      <c r="AO731" t="b">
        <f ca="1">AND(IF(Metadata!B731="",FALSE,TRUE),COUNTIF(Metadata!B:B, Metadata!B731) = 1,NOT(ISERROR(SUMPRODUCT(SEARCH(MID(Metadata!B731,ROW(INDIRECT("1:"&amp;LEN(Metadata!B731))), 1),"0123456789abcdefghijklmnopqrstuvwxyzABCDEFGHIJKLMNOPQRSTUVWXYZ.")))))</f>
        <v>0</v>
      </c>
      <c r="AP731" t="b">
        <f>IF(Metadata!C731="",FALSE,TRUE)</f>
        <v>0</v>
      </c>
      <c r="AQ731" t="b">
        <f>IF(Metadata!D731="",FALSE,TRUE)</f>
        <v>0</v>
      </c>
      <c r="AR731" t="b">
        <f ca="1">OR(AND(IF(Metadata!E731="",FALSE,TRUE),OR(EXACT(Metadata!E731,"not collected"),EXACT(Metadata!E731,"not provided"),EXACT(Metadata!E731,"restricted access"))),AND(IF(Metadata!E731="",FALSE,TRUE),AND(AND(IFERROR(INT(LEFT(Metadata!E731,4))&gt;1900,FALSE),IFERROR(INT(LEFT(Metadata!E731,4))&lt;=YEAR(NOW()),FALSE)), OR(MID(Metadata!E731,5,1)="", AND(AND(MID(Metadata!E731,5,1)="-",IFERROR(INT(MID(Metadata!E731,6,1))&gt;=0,FALSE),IFERROR(INT(MID(Metadata!E731,6,1))&lt;=1,FALSE),NOT(MID(Metadata!E731,7,1)=""),IFERROR(INT(MID(Metadata!E731,6,2))&gt;=1,FALSE),IFERROR(INT(MID(Metadata!E731,6,2))&lt;=12,FALSE)), OR(MID(Metadata!E731,8,1)="", AND(AND(MID(Metadata!E731,8,1)="-",IFERROR(INT(MID(Metadata!E731,9,1))&gt;=0,FALSE),IFERROR(INT(MID(Metadata!E731,9,1))&lt;=3,FALSE),NOT(MID(Metadata!E731,10,1)=""),IFERROR(INT(MID(Metadata!E731,9,2))&gt;=1,FALSE),IFERROR(INT(MID(Metadata!E731,9,2))&lt;=31,FALSE)), OR(MID(Metadata!E731,11,1)="", AND(AND(MID(Metadata!E731,11,1)=" ",IFERROR(INT(MID(Metadata!E731,12,1))&gt;=0,FALSE),IFERROR(INT(MID(Metadata!E731,12,1))&lt;=2,FALSE),NOT(MID(Metadata!E731,13,1)=""),IFERROR(INT(MID(Metadata!E731,12,2))&gt;=0,FALSE),IFERROR(INT(MID(Metadata!E731,12,2))&lt;=23,FALSE)), OR(MID(Metadata!E731,14,1)="", AND(AND(MID(Metadata!E731,14,1)=":",IFERROR(INT(MID(Metadata!E731,15,1))&gt;=0,FALSE),IFERROR(INT(MID(Metadata!E731,15,1))&lt;=5,FALSE),NOT(MID(Metadata!E731,16,1)=""),IFERROR(INT(MID(Metadata!E731,15,2))&gt;=0,FALSE),IFERROR(INT(MID(Metadata!E731,15,2))&lt;=59,FALSE)), OR(MID(Metadata!E731,17,1)="", AND(AND(MID(Metadata!E731,17,1)=":",IFERROR(INT(MID(Metadata!E731,18,1))&gt;=0,FALSE),IFERROR(INT(MID(Metadata!E731,18,1))&lt;=5,FALSE),NOT(MID(Metadata!E731,19,1)=""),IFERROR(INT(MID(Metadata!E731,18,2))&gt;=0,FALSE),IFERROR(INT(MID(Metadata!E731,18,2))&lt;=59,FALSE)), LEN(Metadata!E731)&lt;=19)))))))))))))</f>
        <v>0</v>
      </c>
      <c r="AS731" t="b">
        <f>IF(Metadata!F731="",FALSE,TRUE)</f>
        <v>0</v>
      </c>
      <c r="AT731" t="b">
        <f>OR(AND(IF(Metadata!G731="",FALSE,TRUE),OR(EXACT(Metadata!G731,"not collected"),EXACT(Metadata!G731,"not provided"))),AND(IF(Metadata!G731="",FALSE,TRUE),OR(EXACT(Metadata!G731,"TRUE"),EXACT(Metadata!G731,"FALSE"))))</f>
        <v>0</v>
      </c>
      <c r="AU731" t="b">
        <f>OR(AND(IF(Metadata!H731="",FALSE,TRUE),OR(EXACT(Metadata!H731,"not collected"),EXACT(Metadata!H731,"not provided"),EXACT(Metadata!H731,"restricted access"))),AND(IF(Metadata!H731="",FALSE,ISNUMBER(VALUE(Metadata!H731))),Metadata!H731&gt;=-413))</f>
        <v>0</v>
      </c>
      <c r="AV731" t="b">
        <f>AND(IF(Metadata!I731="",FALSE,TRUE),EXACT(Metadata!I731,"meters"))</f>
        <v>0</v>
      </c>
      <c r="AW731" t="b">
        <f>AND(IF(Metadata!J731="",FALSE,TRUE),EXACT(Metadata!J731,"free-living"))</f>
        <v>0</v>
      </c>
      <c r="AX731" t="b">
        <f>AND(IF(Metadata!K731="",FALSE,TRUE),OR(EXACT(Metadata!K731,"saline"),EXACT(Metadata!K731,"non-saline")))</f>
        <v>0</v>
      </c>
      <c r="AY731" t="b">
        <f>AND(IF(Metadata!L731="",FALSE,TRUE),OR(EXACT(Metadata!L731,"sub-surface (non-saline)"),EXACT(Metadata!L731,"surface (non-saline)"),EXACT(Metadata!L731,"water (non-saline)"),EXACT(Metadata!L731,"soil (non-saline)"),EXACT(Metadata!L731,"aerosol (non-saline)"),EXACT(Metadata!L731,"sediment (non-saline)"),EXACT(Metadata!L731,"surface (saline)"),EXACT(Metadata!L731,"water (saline)"),EXACT(Metadata!L731,"hypersaline (saline)"),EXACT(Metadata!L731,"aerosol (saline)"),EXACT(Metadata!L731,"sediment (saline)")))</f>
        <v>0</v>
      </c>
      <c r="AZ731" t="b">
        <f>IF(Metadata!M731="",FALSE,TRUE)</f>
        <v>0</v>
      </c>
      <c r="BA731" t="b">
        <f>IF(Metadata!N731="",FALSE,TRUE)</f>
        <v>0</v>
      </c>
      <c r="BB731" t="b">
        <f>IF(Metadata!O731="",FALSE,TRUE)</f>
        <v>0</v>
      </c>
      <c r="BC731" t="b">
        <f>AND(IF(Metadata!P731="",FALSE,TRUE),OR(EXACT(Metadata!P731,"air"),EXACT(Metadata!P731,"microbial mat/biofilm"),EXACT(Metadata!P731,"misc environment"),EXACT(Metadata!P731,"sediment"),EXACT(Metadata!P731,"soil"),EXACT(Metadata!P731,"wastewater/sludge"),EXACT(Metadata!P731,"water")))</f>
        <v>0</v>
      </c>
      <c r="BD731" t="b">
        <f>IF(Metadata!Q731="",FALSE,TRUE)</f>
        <v>0</v>
      </c>
      <c r="BE731" t="b">
        <f>IF(Metadata!R731="",FALSE,TRUE)</f>
        <v>0</v>
      </c>
      <c r="BF731" t="b">
        <f>OR(AND(IF(Metadata!S731="",FALSE,TRUE),OR(EXACT(Metadata!S731,"not collected"),EXACT(Metadata!S731,"not provided"),EXACT(Metadata!S731,"restricted access"))),AND(IF(Metadata!S731="",FALSE,ISNUMBER(VALUE(Metadata!S731))),Metadata!S731&gt;=-90,Metadata!S731&lt;=90))</f>
        <v>0</v>
      </c>
      <c r="BG731" t="b">
        <f>AND(IF(Metadata!T731="",FALSE,TRUE),EXACT(Metadata!T731,"Decimal degrees"))</f>
        <v>0</v>
      </c>
      <c r="BH731" t="b">
        <f>OR(AND(IF(Metadata!U731="",FALSE,TRUE),OR(EXACT(Metadata!U731,"not applicable"),EXACT(Metadata!U731,"not collected"))),IF(Metadata!U731="",FALSE,TRUE))</f>
        <v>0</v>
      </c>
      <c r="BI731" t="b">
        <f>OR(AND(IF(Metadata!V731="",FALSE,TRUE),OR(EXACT(Metadata!V731,"not collected"),EXACT(Metadata!V731,"not provided"),EXACT(Metadata!V731,"restricted access"))),AND(IF(Metadata!V731="",FALSE,ISNUMBER(VALUE(Metadata!V731))),Metadata!V731&gt;=-180,Metadata!V731&lt;=180))</f>
        <v>0</v>
      </c>
      <c r="BJ731" t="b">
        <f>AND(IF(Metadata!W731="",FALSE,TRUE),EXACT(Metadata!W731,"Decimal degrees"))</f>
        <v>0</v>
      </c>
      <c r="BK731" t="b">
        <f>IF(Metadata!X731="",FALSE,TRUE)</f>
        <v>0</v>
      </c>
      <c r="BL731" t="b">
        <f>OR(AND(IF(Metadata!Y731="",FALSE,TRUE),OR(EXACT(Metadata!Y731,"not collected"),EXACT(Metadata!Y731,"not provided"),EXACT(Metadata!Y731,"restricted access"))),AND(IF(Metadata!Y731="",FALSE,TRUE),OR(EXACT(Metadata!Y731,"TRUE"),EXACT(Metadata!Y731,"FALSE"))))</f>
        <v>0</v>
      </c>
      <c r="BM731" t="b">
        <f>OR(AND(IF(Metadata!Z731="",FALSE,TRUE),EXACT(Metadata!Z731,"not applicable")),AND(IF(Metadata!Z731="",FALSE,TRUE),OR(EXACT(Metadata!Z731,"beer"),EXACT(Metadata!Z731,"cheese"),EXACT(Metadata!Z731,"fresh water"),EXACT(Metadata!Z731,"marine sediment"),EXACT(Metadata!Z731,"sea water"),EXACT(Metadata!Z731,"sediment"),EXACT(Metadata!Z731,"soil"),EXACT(Metadata!Z731,"waste water"))))</f>
        <v>0</v>
      </c>
      <c r="BN731" t="b">
        <f>AND(IF(Metadata!AA731="",FALSE,TRUE),EXACT(Metadata!AA731,"metagenome"))</f>
        <v>0</v>
      </c>
      <c r="BO731" t="b">
        <f>AND(IF(Metadata!AB731="",FALSE,TRUE),EXACT(Metadata!AB731,"256318"))</f>
        <v>0</v>
      </c>
      <c r="BP731" t="b">
        <f>IF(Metadata!AC731="",FALSE,TRUE)</f>
        <v>0</v>
      </c>
      <c r="BQ731" t="b">
        <f>IF(Metadata!AD731="",FALSE,TRUE)</f>
        <v>0</v>
      </c>
    </row>
    <row r="732" spans="1:69" x14ac:dyDescent="0.2">
      <c r="A732" s="4" t="e">
        <f ca="1">IF(B732=" "," ",HYPERLINK(CONCATENATE("#metadata!",ADDRESS(INDEX($AJ$2:$AJ$1001,MATCH(ROWS($AH$2:AH732),$AH$2:$AH$1001,0),0),2)),INDEX($AM$2:$AM$1001,MATCH(ROWS($AH$2:AH732),$AH$2:$AH$1001,0),0)))</f>
        <v>#N/A</v>
      </c>
      <c r="B732" s="5" t="e">
        <f ca="1">IF(OR(INDEX($AI$2:$AI$1001,MATCH(ROWS($AH$2:AH732),$AH$2:$AH$1001,0),1)&gt;=100000,INDEX($AO$1005:$BQ$1005,1,MATCH(COLUMNS($AO$1006:AO1006),$AO$1006:$BQ$1006,0))&gt;=100000), " ",IF(INDEX($AO$2:$BQ$1001,MATCH(ROWS($AH$2:AH732),$AH$2:$AH$1001,0),MATCH(COLUMNS($AO$1006:AO1006),$AO$1006:$BQ$1006,0)), HYPERLINK("#",""), HYPERLINK(CONCATENATE("#Metadata!", ADDRESS(INDEX($AJ$2:$AJ$1001,MATCH(ROWS($AH$2:AH732),$AH$2:$AH$1001,0),0), INDEX($AO$1004:$BQ$1004,1,MATCH(COLUMNS($AO$1006:AO1006),$AO$1006:$BQ$1006,0)))),"Fix")))</f>
        <v>#N/A</v>
      </c>
      <c r="C732" s="5" t="e">
        <f ca="1">IF(OR(INDEX($AI$2:$AI$1001,MATCH(ROWS($AH$2:AH732),$AH$2:$AH$1001,0),1)&gt;=100000,INDEX($AO$1005:$BQ$1005,1,MATCH(COLUMNS($AO$1006:AP1006),$AO$1006:$BQ$1006,0))&gt;=100000), " ",IF(INDEX($AO$2:$BQ$1001,MATCH(ROWS($AH$2:AH732),$AH$2:$AH$1001,0),MATCH(COLUMNS($AO$1006:AP1006),$AO$1006:$BQ$1006,0)), HYPERLINK("#",""), HYPERLINK(CONCATENATE("#Metadata!", ADDRESS(INDEX($AJ$2:$AJ$1001,MATCH(ROWS($AH$2:AH732),$AH$2:$AH$1001,0),0), INDEX($AO$1004:$BQ$1004,1,MATCH(COLUMNS($AO$1006:AP1006),$AO$1006:$BQ$1006,0)))),"Fix")))</f>
        <v>#N/A</v>
      </c>
      <c r="D732" s="5" t="e">
        <f ca="1">IF(OR(INDEX($AI$2:$AI$1001,MATCH(ROWS($AH$2:AH732),$AH$2:$AH$1001,0),1)&gt;=100000,INDEX($AO$1005:$BQ$1005,1,MATCH(COLUMNS($AO$1006:AQ1006),$AO$1006:$BQ$1006,0))&gt;=100000), " ",IF(INDEX($AO$2:$BQ$1001,MATCH(ROWS($AH$2:AH732),$AH$2:$AH$1001,0),MATCH(COLUMNS($AO$1006:AQ1006),$AO$1006:$BQ$1006,0)), HYPERLINK("#",""), HYPERLINK(CONCATENATE("#Metadata!", ADDRESS(INDEX($AJ$2:$AJ$1001,MATCH(ROWS($AH$2:AH732),$AH$2:$AH$1001,0),0), INDEX($AO$1004:$BQ$1004,1,MATCH(COLUMNS($AO$1006:AQ1006),$AO$1006:$BQ$1006,0)))),"Fix")))</f>
        <v>#N/A</v>
      </c>
      <c r="E732" s="5" t="e">
        <f ca="1">IF(OR(INDEX($AI$2:$AI$1001,MATCH(ROWS($AH$2:AH732),$AH$2:$AH$1001,0),1)&gt;=100000,INDEX($AO$1005:$BQ$1005,1,MATCH(COLUMNS($AO$1006:AR1006),$AO$1006:$BQ$1006,0))&gt;=100000), " ",IF(INDEX($AO$2:$BQ$1001,MATCH(ROWS($AH$2:AH732),$AH$2:$AH$1001,0),MATCH(COLUMNS($AO$1006:AR1006),$AO$1006:$BQ$1006,0)), HYPERLINK("#",""), HYPERLINK(CONCATENATE("#Metadata!", ADDRESS(INDEX($AJ$2:$AJ$1001,MATCH(ROWS($AH$2:AH732),$AH$2:$AH$1001,0),0), INDEX($AO$1004:$BQ$1004,1,MATCH(COLUMNS($AO$1006:AR1006),$AO$1006:$BQ$1006,0)))),"Fix")))</f>
        <v>#N/A</v>
      </c>
      <c r="F732" s="5" t="e">
        <f ca="1">IF(OR(INDEX($AI$2:$AI$1001,MATCH(ROWS($AH$2:AH732),$AH$2:$AH$1001,0),1)&gt;=100000,INDEX($AO$1005:$BQ$1005,1,MATCH(COLUMNS($AO$1006:AS1006),$AO$1006:$BQ$1006,0))&gt;=100000), " ",IF(INDEX($AO$2:$BQ$1001,MATCH(ROWS($AH$2:AH732),$AH$2:$AH$1001,0),MATCH(COLUMNS($AO$1006:AS1006),$AO$1006:$BQ$1006,0)), HYPERLINK("#",""), HYPERLINK(CONCATENATE("#Metadata!", ADDRESS(INDEX($AJ$2:$AJ$1001,MATCH(ROWS($AH$2:AH732),$AH$2:$AH$1001,0),0), INDEX($AO$1004:$BQ$1004,1,MATCH(COLUMNS($AO$1006:AS1006),$AO$1006:$BQ$1006,0)))),"Fix")))</f>
        <v>#N/A</v>
      </c>
      <c r="G732" s="5" t="e">
        <f ca="1">IF(OR(INDEX($AI$2:$AI$1001,MATCH(ROWS($AH$2:AH732),$AH$2:$AH$1001,0),1)&gt;=100000,INDEX($AO$1005:$BQ$1005,1,MATCH(COLUMNS($AO$1006:AT1006),$AO$1006:$BQ$1006,0))&gt;=100000), " ",IF(INDEX($AO$2:$BQ$1001,MATCH(ROWS($AH$2:AH732),$AH$2:$AH$1001,0),MATCH(COLUMNS($AO$1006:AT1006),$AO$1006:$BQ$1006,0)), HYPERLINK("#",""), HYPERLINK(CONCATENATE("#Metadata!", ADDRESS(INDEX($AJ$2:$AJ$1001,MATCH(ROWS($AH$2:AH732),$AH$2:$AH$1001,0),0), INDEX($AO$1004:$BQ$1004,1,MATCH(COLUMNS($AO$1006:AT1006),$AO$1006:$BQ$1006,0)))),"Fix")))</f>
        <v>#N/A</v>
      </c>
      <c r="H732" s="5" t="e">
        <f ca="1">IF(OR(INDEX($AI$2:$AI$1001,MATCH(ROWS($AH$2:AH732),$AH$2:$AH$1001,0),1)&gt;=100000,INDEX($AO$1005:$BQ$1005,1,MATCH(COLUMNS($AO$1006:AU1006),$AO$1006:$BQ$1006,0))&gt;=100000), " ",IF(INDEX($AO$2:$BQ$1001,MATCH(ROWS($AH$2:AH732),$AH$2:$AH$1001,0),MATCH(COLUMNS($AO$1006:AU1006),$AO$1006:$BQ$1006,0)), HYPERLINK("#",""), HYPERLINK(CONCATENATE("#Metadata!", ADDRESS(INDEX($AJ$2:$AJ$1001,MATCH(ROWS($AH$2:AH732),$AH$2:$AH$1001,0),0), INDEX($AO$1004:$BQ$1004,1,MATCH(COLUMNS($AO$1006:AU1006),$AO$1006:$BQ$1006,0)))),"Fix")))</f>
        <v>#N/A</v>
      </c>
      <c r="I732" s="5" t="e">
        <f ca="1">IF(OR(INDEX($AI$2:$AI$1001,MATCH(ROWS($AH$2:AH732),$AH$2:$AH$1001,0),1)&gt;=100000,INDEX($AO$1005:$BQ$1005,1,MATCH(COLUMNS($AO$1006:AV1006),$AO$1006:$BQ$1006,0))&gt;=100000), " ",IF(INDEX($AO$2:$BQ$1001,MATCH(ROWS($AH$2:AH732),$AH$2:$AH$1001,0),MATCH(COLUMNS($AO$1006:AV1006),$AO$1006:$BQ$1006,0)), HYPERLINK("#",""), HYPERLINK(CONCATENATE("#Metadata!", ADDRESS(INDEX($AJ$2:$AJ$1001,MATCH(ROWS($AH$2:AH732),$AH$2:$AH$1001,0),0), INDEX($AO$1004:$BQ$1004,1,MATCH(COLUMNS($AO$1006:AV1006),$AO$1006:$BQ$1006,0)))),"Fix")))</f>
        <v>#N/A</v>
      </c>
      <c r="J732" s="5" t="e">
        <f ca="1">IF(OR(INDEX($AI$2:$AI$1001,MATCH(ROWS($AH$2:AH732),$AH$2:$AH$1001,0),1)&gt;=100000,INDEX($AO$1005:$BQ$1005,1,MATCH(COLUMNS($AO$1006:AW1006),$AO$1006:$BQ$1006,0))&gt;=100000), " ",IF(INDEX($AO$2:$BQ$1001,MATCH(ROWS($AH$2:AH732),$AH$2:$AH$1001,0),MATCH(COLUMNS($AO$1006:AW1006),$AO$1006:$BQ$1006,0)), HYPERLINK("#",""), HYPERLINK(CONCATENATE("#Metadata!", ADDRESS(INDEX($AJ$2:$AJ$1001,MATCH(ROWS($AH$2:AH732),$AH$2:$AH$1001,0),0), INDEX($AO$1004:$BQ$1004,1,MATCH(COLUMNS($AO$1006:AW1006),$AO$1006:$BQ$1006,0)))),"Fix")))</f>
        <v>#N/A</v>
      </c>
      <c r="K732" s="5" t="e">
        <f ca="1">IF(OR(INDEX($AI$2:$AI$1001,MATCH(ROWS($AH$2:AH732),$AH$2:$AH$1001,0),1)&gt;=100000,INDEX($AO$1005:$BQ$1005,1,MATCH(COLUMNS($AO$1006:AX1006),$AO$1006:$BQ$1006,0))&gt;=100000), " ",IF(INDEX($AO$2:$BQ$1001,MATCH(ROWS($AH$2:AH732),$AH$2:$AH$1001,0),MATCH(COLUMNS($AO$1006:AX1006),$AO$1006:$BQ$1006,0)), HYPERLINK("#",""), HYPERLINK(CONCATENATE("#Metadata!", ADDRESS(INDEX($AJ$2:$AJ$1001,MATCH(ROWS($AH$2:AH732),$AH$2:$AH$1001,0),0), INDEX($AO$1004:$BQ$1004,1,MATCH(COLUMNS($AO$1006:AX1006),$AO$1006:$BQ$1006,0)))),"Fix")))</f>
        <v>#N/A</v>
      </c>
      <c r="L732" s="5" t="e">
        <f ca="1">IF(OR(INDEX($AI$2:$AI$1001,MATCH(ROWS($AH$2:AH732),$AH$2:$AH$1001,0),1)&gt;=100000,INDEX($AO$1005:$BQ$1005,1,MATCH(COLUMNS($AO$1006:AY1006),$AO$1006:$BQ$1006,0))&gt;=100000), " ",IF(INDEX($AO$2:$BQ$1001,MATCH(ROWS($AH$2:AH732),$AH$2:$AH$1001,0),MATCH(COLUMNS($AO$1006:AY1006),$AO$1006:$BQ$1006,0)), HYPERLINK("#",""), HYPERLINK(CONCATENATE("#Metadata!", ADDRESS(INDEX($AJ$2:$AJ$1001,MATCH(ROWS($AH$2:AH732),$AH$2:$AH$1001,0),0), INDEX($AO$1004:$BQ$1004,1,MATCH(COLUMNS($AO$1006:AY1006),$AO$1006:$BQ$1006,0)))),"Fix")))</f>
        <v>#N/A</v>
      </c>
      <c r="M732" s="5" t="e">
        <f ca="1">IF(OR(INDEX($AI$2:$AI$1001,MATCH(ROWS($AH$2:AH732),$AH$2:$AH$1001,0),1)&gt;=100000,INDEX($AO$1005:$BQ$1005,1,MATCH(COLUMNS($AO$1006:AZ1006),$AO$1006:$BQ$1006,0))&gt;=100000), " ",IF(INDEX($AO$2:$BQ$1001,MATCH(ROWS($AH$2:AH732),$AH$2:$AH$1001,0),MATCH(COLUMNS($AO$1006:AZ1006),$AO$1006:$BQ$1006,0)), HYPERLINK("#",""), HYPERLINK(CONCATENATE("#Metadata!", ADDRESS(INDEX($AJ$2:$AJ$1001,MATCH(ROWS($AH$2:AH732),$AH$2:$AH$1001,0),0), INDEX($AO$1004:$BQ$1004,1,MATCH(COLUMNS($AO$1006:AZ1006),$AO$1006:$BQ$1006,0)))),"Fix")))</f>
        <v>#N/A</v>
      </c>
      <c r="N732" s="5" t="e">
        <f ca="1">IF(OR(INDEX($AI$2:$AI$1001,MATCH(ROWS($AH$2:AH732),$AH$2:$AH$1001,0),1)&gt;=100000,INDEX($AO$1005:$BQ$1005,1,MATCH(COLUMNS($AO$1006:BA1006),$AO$1006:$BQ$1006,0))&gt;=100000), " ",IF(INDEX($AO$2:$BQ$1001,MATCH(ROWS($AH$2:AH732),$AH$2:$AH$1001,0),MATCH(COLUMNS($AO$1006:BA1006),$AO$1006:$BQ$1006,0)), HYPERLINK("#",""), HYPERLINK(CONCATENATE("#Metadata!", ADDRESS(INDEX($AJ$2:$AJ$1001,MATCH(ROWS($AH$2:AH732),$AH$2:$AH$1001,0),0), INDEX($AO$1004:$BQ$1004,1,MATCH(COLUMNS($AO$1006:BA1006),$AO$1006:$BQ$1006,0)))),"Fix")))</f>
        <v>#N/A</v>
      </c>
      <c r="O732" s="5" t="e">
        <f ca="1">IF(OR(INDEX($AI$2:$AI$1001,MATCH(ROWS($AH$2:AH732),$AH$2:$AH$1001,0),1)&gt;=100000,INDEX($AO$1005:$BQ$1005,1,MATCH(COLUMNS($AO$1006:BB1006),$AO$1006:$BQ$1006,0))&gt;=100000), " ",IF(INDEX($AO$2:$BQ$1001,MATCH(ROWS($AH$2:AH732),$AH$2:$AH$1001,0),MATCH(COLUMNS($AO$1006:BB1006),$AO$1006:$BQ$1006,0)), HYPERLINK("#",""), HYPERLINK(CONCATENATE("#Metadata!", ADDRESS(INDEX($AJ$2:$AJ$1001,MATCH(ROWS($AH$2:AH732),$AH$2:$AH$1001,0),0), INDEX($AO$1004:$BQ$1004,1,MATCH(COLUMNS($AO$1006:BB1006),$AO$1006:$BQ$1006,0)))),"Fix")))</f>
        <v>#N/A</v>
      </c>
      <c r="P732" s="5" t="e">
        <f ca="1">IF(OR(INDEX($AI$2:$AI$1001,MATCH(ROWS($AH$2:AH732),$AH$2:$AH$1001,0),1)&gt;=100000,INDEX($AO$1005:$BQ$1005,1,MATCH(COLUMNS($AO$1006:BC1006),$AO$1006:$BQ$1006,0))&gt;=100000), " ",IF(INDEX($AO$2:$BQ$1001,MATCH(ROWS($AH$2:AH732),$AH$2:$AH$1001,0),MATCH(COLUMNS($AO$1006:BC1006),$AO$1006:$BQ$1006,0)), HYPERLINK("#",""), HYPERLINK(CONCATENATE("#Metadata!", ADDRESS(INDEX($AJ$2:$AJ$1001,MATCH(ROWS($AH$2:AH732),$AH$2:$AH$1001,0),0), INDEX($AO$1004:$BQ$1004,1,MATCH(COLUMNS($AO$1006:BC1006),$AO$1006:$BQ$1006,0)))),"Fix")))</f>
        <v>#N/A</v>
      </c>
      <c r="Q732" s="5" t="e">
        <f ca="1">IF(OR(INDEX($AI$2:$AI$1001,MATCH(ROWS($AH$2:AH732),$AH$2:$AH$1001,0),1)&gt;=100000,INDEX($AO$1005:$BQ$1005,1,MATCH(COLUMNS($AO$1006:BD1006),$AO$1006:$BQ$1006,0))&gt;=100000), " ",IF(INDEX($AO$2:$BQ$1001,MATCH(ROWS($AH$2:AH732),$AH$2:$AH$1001,0),MATCH(COLUMNS($AO$1006:BD1006),$AO$1006:$BQ$1006,0)), HYPERLINK("#",""), HYPERLINK(CONCATENATE("#Metadata!", ADDRESS(INDEX($AJ$2:$AJ$1001,MATCH(ROWS($AH$2:AH732),$AH$2:$AH$1001,0),0), INDEX($AO$1004:$BQ$1004,1,MATCH(COLUMNS($AO$1006:BD1006),$AO$1006:$BQ$1006,0)))),"Fix")))</f>
        <v>#N/A</v>
      </c>
      <c r="R732" s="5" t="e">
        <f ca="1">IF(OR(INDEX($AI$2:$AI$1001,MATCH(ROWS($AH$2:AH732),$AH$2:$AH$1001,0),1)&gt;=100000,INDEX($AO$1005:$BQ$1005,1,MATCH(COLUMNS($AO$1006:BE1006),$AO$1006:$BQ$1006,0))&gt;=100000), " ",IF(INDEX($AO$2:$BQ$1001,MATCH(ROWS($AH$2:AH732),$AH$2:$AH$1001,0),MATCH(COLUMNS($AO$1006:BE1006),$AO$1006:$BQ$1006,0)), HYPERLINK("#",""), HYPERLINK(CONCATENATE("#Metadata!", ADDRESS(INDEX($AJ$2:$AJ$1001,MATCH(ROWS($AH$2:AH732),$AH$2:$AH$1001,0),0), INDEX($AO$1004:$BQ$1004,1,MATCH(COLUMNS($AO$1006:BE1006),$AO$1006:$BQ$1006,0)))),"Fix")))</f>
        <v>#N/A</v>
      </c>
      <c r="S732" s="5" t="e">
        <f ca="1">IF(OR(INDEX($AI$2:$AI$1001,MATCH(ROWS($AH$2:AH732),$AH$2:$AH$1001,0),1)&gt;=100000,INDEX($AO$1005:$BQ$1005,1,MATCH(COLUMNS($AO$1006:BF1006),$AO$1006:$BQ$1006,0))&gt;=100000), " ",IF(INDEX($AO$2:$BQ$1001,MATCH(ROWS($AH$2:AH732),$AH$2:$AH$1001,0),MATCH(COLUMNS($AO$1006:BF1006),$AO$1006:$BQ$1006,0)), HYPERLINK("#",""), HYPERLINK(CONCATENATE("#Metadata!", ADDRESS(INDEX($AJ$2:$AJ$1001,MATCH(ROWS($AH$2:AH732),$AH$2:$AH$1001,0),0), INDEX($AO$1004:$BQ$1004,1,MATCH(COLUMNS($AO$1006:BF1006),$AO$1006:$BQ$1006,0)))),"Fix")))</f>
        <v>#N/A</v>
      </c>
      <c r="T732" s="5" t="e">
        <f ca="1">IF(OR(INDEX($AI$2:$AI$1001,MATCH(ROWS($AH$2:AH732),$AH$2:$AH$1001,0),1)&gt;=100000,INDEX($AO$1005:$BQ$1005,1,MATCH(COLUMNS($AO$1006:BG1006),$AO$1006:$BQ$1006,0))&gt;=100000), " ",IF(INDEX($AO$2:$BQ$1001,MATCH(ROWS($AH$2:AH732),$AH$2:$AH$1001,0),MATCH(COLUMNS($AO$1006:BG1006),$AO$1006:$BQ$1006,0)), HYPERLINK("#",""), HYPERLINK(CONCATENATE("#Metadata!", ADDRESS(INDEX($AJ$2:$AJ$1001,MATCH(ROWS($AH$2:AH732),$AH$2:$AH$1001,0),0), INDEX($AO$1004:$BQ$1004,1,MATCH(COLUMNS($AO$1006:BG1006),$AO$1006:$BQ$1006,0)))),"Fix")))</f>
        <v>#N/A</v>
      </c>
      <c r="U732" s="5" t="e">
        <f ca="1">IF(OR(INDEX($AI$2:$AI$1001,MATCH(ROWS($AH$2:AH732),$AH$2:$AH$1001,0),1)&gt;=100000,INDEX($AO$1005:$BQ$1005,1,MATCH(COLUMNS($AO$1006:BH1006),$AO$1006:$BQ$1006,0))&gt;=100000), " ",IF(INDEX($AO$2:$BQ$1001,MATCH(ROWS($AH$2:AH732),$AH$2:$AH$1001,0),MATCH(COLUMNS($AO$1006:BH1006),$AO$1006:$BQ$1006,0)), HYPERLINK("#",""), HYPERLINK(CONCATENATE("#Metadata!", ADDRESS(INDEX($AJ$2:$AJ$1001,MATCH(ROWS($AH$2:AH732),$AH$2:$AH$1001,0),0), INDEX($AO$1004:$BQ$1004,1,MATCH(COLUMNS($AO$1006:BH1006),$AO$1006:$BQ$1006,0)))),"Fix")))</f>
        <v>#N/A</v>
      </c>
      <c r="V732" s="5" t="e">
        <f ca="1">IF(OR(INDEX($AI$2:$AI$1001,MATCH(ROWS($AH$2:AH732),$AH$2:$AH$1001,0),1)&gt;=100000,INDEX($AO$1005:$BQ$1005,1,MATCH(COLUMNS($AO$1006:BI1006),$AO$1006:$BQ$1006,0))&gt;=100000), " ",IF(INDEX($AO$2:$BQ$1001,MATCH(ROWS($AH$2:AH732),$AH$2:$AH$1001,0),MATCH(COLUMNS($AO$1006:BI1006),$AO$1006:$BQ$1006,0)), HYPERLINK("#",""), HYPERLINK(CONCATENATE("#Metadata!", ADDRESS(INDEX($AJ$2:$AJ$1001,MATCH(ROWS($AH$2:AH732),$AH$2:$AH$1001,0),0), INDEX($AO$1004:$BQ$1004,1,MATCH(COLUMNS($AO$1006:BI1006),$AO$1006:$BQ$1006,0)))),"Fix")))</f>
        <v>#N/A</v>
      </c>
      <c r="W732" s="5" t="e">
        <f ca="1">IF(OR(INDEX($AI$2:$AI$1001,MATCH(ROWS($AH$2:AH732),$AH$2:$AH$1001,0),1)&gt;=100000,INDEX($AO$1005:$BQ$1005,1,MATCH(COLUMNS($AO$1006:BJ1006),$AO$1006:$BQ$1006,0))&gt;=100000), " ",IF(INDEX($AO$2:$BQ$1001,MATCH(ROWS($AH$2:AH732),$AH$2:$AH$1001,0),MATCH(COLUMNS($AO$1006:BJ1006),$AO$1006:$BQ$1006,0)), HYPERLINK("#",""), HYPERLINK(CONCATENATE("#Metadata!", ADDRESS(INDEX($AJ$2:$AJ$1001,MATCH(ROWS($AH$2:AH732),$AH$2:$AH$1001,0),0), INDEX($AO$1004:$BQ$1004,1,MATCH(COLUMNS($AO$1006:BJ1006),$AO$1006:$BQ$1006,0)))),"Fix")))</f>
        <v>#N/A</v>
      </c>
      <c r="X732" s="5" t="e">
        <f ca="1">IF(OR(INDEX($AI$2:$AI$1001,MATCH(ROWS($AH$2:AH732),$AH$2:$AH$1001,0),1)&gt;=100000,INDEX($AO$1005:$BQ$1005,1,MATCH(COLUMNS($AO$1006:BK1006),$AO$1006:$BQ$1006,0))&gt;=100000), " ",IF(INDEX($AO$2:$BQ$1001,MATCH(ROWS($AH$2:AH732),$AH$2:$AH$1001,0),MATCH(COLUMNS($AO$1006:BK1006),$AO$1006:$BQ$1006,0)), HYPERLINK("#",""), HYPERLINK(CONCATENATE("#Metadata!", ADDRESS(INDEX($AJ$2:$AJ$1001,MATCH(ROWS($AH$2:AH732),$AH$2:$AH$1001,0),0), INDEX($AO$1004:$BQ$1004,1,MATCH(COLUMNS($AO$1006:BK1006),$AO$1006:$BQ$1006,0)))),"Fix")))</f>
        <v>#N/A</v>
      </c>
      <c r="Y732" s="5" t="e">
        <f ca="1">IF(OR(INDEX($AI$2:$AI$1001,MATCH(ROWS($AH$2:AH732),$AH$2:$AH$1001,0),1)&gt;=100000,INDEX($AO$1005:$BQ$1005,1,MATCH(COLUMNS($AO$1006:BL1006),$AO$1006:$BQ$1006,0))&gt;=100000), " ",IF(INDEX($AO$2:$BQ$1001,MATCH(ROWS($AH$2:AH732),$AH$2:$AH$1001,0),MATCH(COLUMNS($AO$1006:BL1006),$AO$1006:$BQ$1006,0)), HYPERLINK("#",""), HYPERLINK(CONCATENATE("#Metadata!", ADDRESS(INDEX($AJ$2:$AJ$1001,MATCH(ROWS($AH$2:AH732),$AH$2:$AH$1001,0),0), INDEX($AO$1004:$BQ$1004,1,MATCH(COLUMNS($AO$1006:BL1006),$AO$1006:$BQ$1006,0)))),"Fix")))</f>
        <v>#N/A</v>
      </c>
      <c r="Z732" s="5" t="e">
        <f ca="1">IF(OR(INDEX($AI$2:$AI$1001,MATCH(ROWS($AH$2:AH732),$AH$2:$AH$1001,0),1)&gt;=100000,INDEX($AO$1005:$BQ$1005,1,MATCH(COLUMNS($AO$1006:BM1006),$AO$1006:$BQ$1006,0))&gt;=100000), " ",IF(INDEX($AO$2:$BQ$1001,MATCH(ROWS($AH$2:AH732),$AH$2:$AH$1001,0),MATCH(COLUMNS($AO$1006:BM1006),$AO$1006:$BQ$1006,0)), HYPERLINK("#",""), HYPERLINK(CONCATENATE("#Metadata!", ADDRESS(INDEX($AJ$2:$AJ$1001,MATCH(ROWS($AH$2:AH732),$AH$2:$AH$1001,0),0), INDEX($AO$1004:$BQ$1004,1,MATCH(COLUMNS($AO$1006:BM1006),$AO$1006:$BQ$1006,0)))),"Fix")))</f>
        <v>#N/A</v>
      </c>
      <c r="AA732" s="5" t="e">
        <f ca="1">IF(OR(INDEX($AI$2:$AI$1001,MATCH(ROWS($AH$2:AH732),$AH$2:$AH$1001,0),1)&gt;=100000,INDEX($AO$1005:$BQ$1005,1,MATCH(COLUMNS($AO$1006:BN1006),$AO$1006:$BQ$1006,0))&gt;=100000), " ",IF(INDEX($AO$2:$BQ$1001,MATCH(ROWS($AH$2:AH732),$AH$2:$AH$1001,0),MATCH(COLUMNS($AO$1006:BN1006),$AO$1006:$BQ$1006,0)), HYPERLINK("#",""), HYPERLINK(CONCATENATE("#Metadata!", ADDRESS(INDEX($AJ$2:$AJ$1001,MATCH(ROWS($AH$2:AH732),$AH$2:$AH$1001,0),0), INDEX($AO$1004:$BQ$1004,1,MATCH(COLUMNS($AO$1006:BN1006),$AO$1006:$BQ$1006,0)))),"Fix")))</f>
        <v>#N/A</v>
      </c>
      <c r="AB732" s="5" t="e">
        <f ca="1">IF(OR(INDEX($AI$2:$AI$1001,MATCH(ROWS($AH$2:AH732),$AH$2:$AH$1001,0),1)&gt;=100000,INDEX($AO$1005:$BQ$1005,1,MATCH(COLUMNS($AO$1006:BO1006),$AO$1006:$BQ$1006,0))&gt;=100000), " ",IF(INDEX($AO$2:$BQ$1001,MATCH(ROWS($AH$2:AH732),$AH$2:$AH$1001,0),MATCH(COLUMNS($AO$1006:BO1006),$AO$1006:$BQ$1006,0)), HYPERLINK("#",""), HYPERLINK(CONCATENATE("#Metadata!", ADDRESS(INDEX($AJ$2:$AJ$1001,MATCH(ROWS($AH$2:AH732),$AH$2:$AH$1001,0),0), INDEX($AO$1004:$BQ$1004,1,MATCH(COLUMNS($AO$1006:BO1006),$AO$1006:$BQ$1006,0)))),"Fix")))</f>
        <v>#N/A</v>
      </c>
      <c r="AC732" s="5" t="e">
        <f ca="1">IF(OR(INDEX($AI$2:$AI$1001,MATCH(ROWS($AH$2:AH732),$AH$2:$AH$1001,0),1)&gt;=100000,INDEX($AO$1005:$BQ$1005,1,MATCH(COLUMNS($AO$1006:BP1006),$AO$1006:$BQ$1006,0))&gt;=100000), " ",IF(INDEX($AO$2:$BQ$1001,MATCH(ROWS($AH$2:AH732),$AH$2:$AH$1001,0),MATCH(COLUMNS($AO$1006:BP1006),$AO$1006:$BQ$1006,0)), HYPERLINK("#",""), HYPERLINK(CONCATENATE("#Metadata!", ADDRESS(INDEX($AJ$2:$AJ$1001,MATCH(ROWS($AH$2:AH732),$AH$2:$AH$1001,0),0), INDEX($AO$1004:$BQ$1004,1,MATCH(COLUMNS($AO$1006:BP1006),$AO$1006:$BQ$1006,0)))),"Fix")))</f>
        <v>#N/A</v>
      </c>
      <c r="AD732" s="5" t="e">
        <f ca="1">IF(OR(INDEX($AI$2:$AI$1001,MATCH(ROWS($AH$2:AH732),$AH$2:$AH$1001,0),1)&gt;=100000,INDEX($AO$1005:$BQ$1005,1,MATCH(COLUMNS($AO$1006:BQ1006),$AO$1006:$BQ$1006,0))&gt;=100000), " ",IF(INDEX($AO$2:$BQ$1001,MATCH(ROWS($AH$2:AH732),$AH$2:$AH$1001,0),MATCH(COLUMNS($AO$1006:BQ1006),$AO$1006:$BQ$1006,0)), HYPERLINK("#",""), HYPERLINK(CONCATENATE("#Metadata!", ADDRESS(INDEX($AJ$2:$AJ$1001,MATCH(ROWS($AH$2:AH732),$AH$2:$AH$1001,0),0), INDEX($AO$1004:$BQ$1004,1,MATCH(COLUMNS($AO$1006:BQ1006),$AO$1006:$BQ$1006,0)))),"Fix")))</f>
        <v>#REF!</v>
      </c>
      <c r="AH732">
        <f ca="1"/>
        <v>729</v>
      </c>
      <c r="AI732">
        <v>100732</v>
      </c>
      <c r="AJ732">
        <v>732</v>
      </c>
      <c r="AK732" t="b">
        <f t="shared" si="11"/>
        <v>1</v>
      </c>
      <c r="AL732" t="b">
        <f>COUNTBLANK(Metadata!B732:AD732)=COLUMNS(Metadata!B732:AD732)</f>
        <v>1</v>
      </c>
      <c r="AM732" t="str">
        <v/>
      </c>
      <c r="AO732" t="b">
        <f ca="1">AND(IF(Metadata!B732="",FALSE,TRUE),COUNTIF(Metadata!B:B, Metadata!B732) = 1,NOT(ISERROR(SUMPRODUCT(SEARCH(MID(Metadata!B732,ROW(INDIRECT("1:"&amp;LEN(Metadata!B732))), 1),"0123456789abcdefghijklmnopqrstuvwxyzABCDEFGHIJKLMNOPQRSTUVWXYZ.")))))</f>
        <v>0</v>
      </c>
      <c r="AP732" t="b">
        <f>IF(Metadata!C732="",FALSE,TRUE)</f>
        <v>0</v>
      </c>
      <c r="AQ732" t="b">
        <f>IF(Metadata!D732="",FALSE,TRUE)</f>
        <v>0</v>
      </c>
      <c r="AR732" t="b">
        <f ca="1">OR(AND(IF(Metadata!E732="",FALSE,TRUE),OR(EXACT(Metadata!E732,"not collected"),EXACT(Metadata!E732,"not provided"),EXACT(Metadata!E732,"restricted access"))),AND(IF(Metadata!E732="",FALSE,TRUE),AND(AND(IFERROR(INT(LEFT(Metadata!E732,4))&gt;1900,FALSE),IFERROR(INT(LEFT(Metadata!E732,4))&lt;=YEAR(NOW()),FALSE)), OR(MID(Metadata!E732,5,1)="", AND(AND(MID(Metadata!E732,5,1)="-",IFERROR(INT(MID(Metadata!E732,6,1))&gt;=0,FALSE),IFERROR(INT(MID(Metadata!E732,6,1))&lt;=1,FALSE),NOT(MID(Metadata!E732,7,1)=""),IFERROR(INT(MID(Metadata!E732,6,2))&gt;=1,FALSE),IFERROR(INT(MID(Metadata!E732,6,2))&lt;=12,FALSE)), OR(MID(Metadata!E732,8,1)="", AND(AND(MID(Metadata!E732,8,1)="-",IFERROR(INT(MID(Metadata!E732,9,1))&gt;=0,FALSE),IFERROR(INT(MID(Metadata!E732,9,1))&lt;=3,FALSE),NOT(MID(Metadata!E732,10,1)=""),IFERROR(INT(MID(Metadata!E732,9,2))&gt;=1,FALSE),IFERROR(INT(MID(Metadata!E732,9,2))&lt;=31,FALSE)), OR(MID(Metadata!E732,11,1)="", AND(AND(MID(Metadata!E732,11,1)=" ",IFERROR(INT(MID(Metadata!E732,12,1))&gt;=0,FALSE),IFERROR(INT(MID(Metadata!E732,12,1))&lt;=2,FALSE),NOT(MID(Metadata!E732,13,1)=""),IFERROR(INT(MID(Metadata!E732,12,2))&gt;=0,FALSE),IFERROR(INT(MID(Metadata!E732,12,2))&lt;=23,FALSE)), OR(MID(Metadata!E732,14,1)="", AND(AND(MID(Metadata!E732,14,1)=":",IFERROR(INT(MID(Metadata!E732,15,1))&gt;=0,FALSE),IFERROR(INT(MID(Metadata!E732,15,1))&lt;=5,FALSE),NOT(MID(Metadata!E732,16,1)=""),IFERROR(INT(MID(Metadata!E732,15,2))&gt;=0,FALSE),IFERROR(INT(MID(Metadata!E732,15,2))&lt;=59,FALSE)), OR(MID(Metadata!E732,17,1)="", AND(AND(MID(Metadata!E732,17,1)=":",IFERROR(INT(MID(Metadata!E732,18,1))&gt;=0,FALSE),IFERROR(INT(MID(Metadata!E732,18,1))&lt;=5,FALSE),NOT(MID(Metadata!E732,19,1)=""),IFERROR(INT(MID(Metadata!E732,18,2))&gt;=0,FALSE),IFERROR(INT(MID(Metadata!E732,18,2))&lt;=59,FALSE)), LEN(Metadata!E732)&lt;=19)))))))))))))</f>
        <v>0</v>
      </c>
      <c r="AS732" t="b">
        <f>IF(Metadata!F732="",FALSE,TRUE)</f>
        <v>0</v>
      </c>
      <c r="AT732" t="b">
        <f>OR(AND(IF(Metadata!G732="",FALSE,TRUE),OR(EXACT(Metadata!G732,"not collected"),EXACT(Metadata!G732,"not provided"))),AND(IF(Metadata!G732="",FALSE,TRUE),OR(EXACT(Metadata!G732,"TRUE"),EXACT(Metadata!G732,"FALSE"))))</f>
        <v>0</v>
      </c>
      <c r="AU732" t="b">
        <f>OR(AND(IF(Metadata!H732="",FALSE,TRUE),OR(EXACT(Metadata!H732,"not collected"),EXACT(Metadata!H732,"not provided"),EXACT(Metadata!H732,"restricted access"))),AND(IF(Metadata!H732="",FALSE,ISNUMBER(VALUE(Metadata!H732))),Metadata!H732&gt;=-413))</f>
        <v>0</v>
      </c>
      <c r="AV732" t="b">
        <f>AND(IF(Metadata!I732="",FALSE,TRUE),EXACT(Metadata!I732,"meters"))</f>
        <v>0</v>
      </c>
      <c r="AW732" t="b">
        <f>AND(IF(Metadata!J732="",FALSE,TRUE),EXACT(Metadata!J732,"free-living"))</f>
        <v>0</v>
      </c>
      <c r="AX732" t="b">
        <f>AND(IF(Metadata!K732="",FALSE,TRUE),OR(EXACT(Metadata!K732,"saline"),EXACT(Metadata!K732,"non-saline")))</f>
        <v>0</v>
      </c>
      <c r="AY732" t="b">
        <f>AND(IF(Metadata!L732="",FALSE,TRUE),OR(EXACT(Metadata!L732,"sub-surface (non-saline)"),EXACT(Metadata!L732,"surface (non-saline)"),EXACT(Metadata!L732,"water (non-saline)"),EXACT(Metadata!L732,"soil (non-saline)"),EXACT(Metadata!L732,"aerosol (non-saline)"),EXACT(Metadata!L732,"sediment (non-saline)"),EXACT(Metadata!L732,"surface (saline)"),EXACT(Metadata!L732,"water (saline)"),EXACT(Metadata!L732,"hypersaline (saline)"),EXACT(Metadata!L732,"aerosol (saline)"),EXACT(Metadata!L732,"sediment (saline)")))</f>
        <v>0</v>
      </c>
      <c r="AZ732" t="b">
        <f>IF(Metadata!M732="",FALSE,TRUE)</f>
        <v>0</v>
      </c>
      <c r="BA732" t="b">
        <f>IF(Metadata!N732="",FALSE,TRUE)</f>
        <v>0</v>
      </c>
      <c r="BB732" t="b">
        <f>IF(Metadata!O732="",FALSE,TRUE)</f>
        <v>0</v>
      </c>
      <c r="BC732" t="b">
        <f>AND(IF(Metadata!P732="",FALSE,TRUE),OR(EXACT(Metadata!P732,"air"),EXACT(Metadata!P732,"microbial mat/biofilm"),EXACT(Metadata!P732,"misc environment"),EXACT(Metadata!P732,"sediment"),EXACT(Metadata!P732,"soil"),EXACT(Metadata!P732,"wastewater/sludge"),EXACT(Metadata!P732,"water")))</f>
        <v>0</v>
      </c>
      <c r="BD732" t="b">
        <f>IF(Metadata!Q732="",FALSE,TRUE)</f>
        <v>0</v>
      </c>
      <c r="BE732" t="b">
        <f>IF(Metadata!R732="",FALSE,TRUE)</f>
        <v>0</v>
      </c>
      <c r="BF732" t="b">
        <f>OR(AND(IF(Metadata!S732="",FALSE,TRUE),OR(EXACT(Metadata!S732,"not collected"),EXACT(Metadata!S732,"not provided"),EXACT(Metadata!S732,"restricted access"))),AND(IF(Metadata!S732="",FALSE,ISNUMBER(VALUE(Metadata!S732))),Metadata!S732&gt;=-90,Metadata!S732&lt;=90))</f>
        <v>0</v>
      </c>
      <c r="BG732" t="b">
        <f>AND(IF(Metadata!T732="",FALSE,TRUE),EXACT(Metadata!T732,"Decimal degrees"))</f>
        <v>0</v>
      </c>
      <c r="BH732" t="b">
        <f>OR(AND(IF(Metadata!U732="",FALSE,TRUE),OR(EXACT(Metadata!U732,"not applicable"),EXACT(Metadata!U732,"not collected"))),IF(Metadata!U732="",FALSE,TRUE))</f>
        <v>0</v>
      </c>
      <c r="BI732" t="b">
        <f>OR(AND(IF(Metadata!V732="",FALSE,TRUE),OR(EXACT(Metadata!V732,"not collected"),EXACT(Metadata!V732,"not provided"),EXACT(Metadata!V732,"restricted access"))),AND(IF(Metadata!V732="",FALSE,ISNUMBER(VALUE(Metadata!V732))),Metadata!V732&gt;=-180,Metadata!V732&lt;=180))</f>
        <v>0</v>
      </c>
      <c r="BJ732" t="b">
        <f>AND(IF(Metadata!W732="",FALSE,TRUE),EXACT(Metadata!W732,"Decimal degrees"))</f>
        <v>0</v>
      </c>
      <c r="BK732" t="b">
        <f>IF(Metadata!X732="",FALSE,TRUE)</f>
        <v>0</v>
      </c>
      <c r="BL732" t="b">
        <f>OR(AND(IF(Metadata!Y732="",FALSE,TRUE),OR(EXACT(Metadata!Y732,"not collected"),EXACT(Metadata!Y732,"not provided"),EXACT(Metadata!Y732,"restricted access"))),AND(IF(Metadata!Y732="",FALSE,TRUE),OR(EXACT(Metadata!Y732,"TRUE"),EXACT(Metadata!Y732,"FALSE"))))</f>
        <v>0</v>
      </c>
      <c r="BM732" t="b">
        <f>OR(AND(IF(Metadata!Z732="",FALSE,TRUE),EXACT(Metadata!Z732,"not applicable")),AND(IF(Metadata!Z732="",FALSE,TRUE),OR(EXACT(Metadata!Z732,"beer"),EXACT(Metadata!Z732,"cheese"),EXACT(Metadata!Z732,"fresh water"),EXACT(Metadata!Z732,"marine sediment"),EXACT(Metadata!Z732,"sea water"),EXACT(Metadata!Z732,"sediment"),EXACT(Metadata!Z732,"soil"),EXACT(Metadata!Z732,"waste water"))))</f>
        <v>0</v>
      </c>
      <c r="BN732" t="b">
        <f>AND(IF(Metadata!AA732="",FALSE,TRUE),EXACT(Metadata!AA732,"metagenome"))</f>
        <v>0</v>
      </c>
      <c r="BO732" t="b">
        <f>AND(IF(Metadata!AB732="",FALSE,TRUE),EXACT(Metadata!AB732,"256318"))</f>
        <v>0</v>
      </c>
      <c r="BP732" t="b">
        <f>IF(Metadata!AC732="",FALSE,TRUE)</f>
        <v>0</v>
      </c>
      <c r="BQ732" t="b">
        <f>IF(Metadata!AD732="",FALSE,TRUE)</f>
        <v>0</v>
      </c>
    </row>
    <row r="733" spans="1:69" x14ac:dyDescent="0.2">
      <c r="A733" s="4" t="e">
        <f ca="1">IF(B733=" "," ",HYPERLINK(CONCATENATE("#metadata!",ADDRESS(INDEX($AJ$2:$AJ$1001,MATCH(ROWS($AH$2:AH733),$AH$2:$AH$1001,0),0),2)),INDEX($AM$2:$AM$1001,MATCH(ROWS($AH$2:AH733),$AH$2:$AH$1001,0),0)))</f>
        <v>#N/A</v>
      </c>
      <c r="B733" s="5" t="e">
        <f ca="1">IF(OR(INDEX($AI$2:$AI$1001,MATCH(ROWS($AH$2:AH733),$AH$2:$AH$1001,0),1)&gt;=100000,INDEX($AO$1005:$BQ$1005,1,MATCH(COLUMNS($AO$1006:AO1006),$AO$1006:$BQ$1006,0))&gt;=100000), " ",IF(INDEX($AO$2:$BQ$1001,MATCH(ROWS($AH$2:AH733),$AH$2:$AH$1001,0),MATCH(COLUMNS($AO$1006:AO1006),$AO$1006:$BQ$1006,0)), HYPERLINK("#",""), HYPERLINK(CONCATENATE("#Metadata!", ADDRESS(INDEX($AJ$2:$AJ$1001,MATCH(ROWS($AH$2:AH733),$AH$2:$AH$1001,0),0), INDEX($AO$1004:$BQ$1004,1,MATCH(COLUMNS($AO$1006:AO1006),$AO$1006:$BQ$1006,0)))),"Fix")))</f>
        <v>#N/A</v>
      </c>
      <c r="C733" s="5" t="e">
        <f ca="1">IF(OR(INDEX($AI$2:$AI$1001,MATCH(ROWS($AH$2:AH733),$AH$2:$AH$1001,0),1)&gt;=100000,INDEX($AO$1005:$BQ$1005,1,MATCH(COLUMNS($AO$1006:AP1006),$AO$1006:$BQ$1006,0))&gt;=100000), " ",IF(INDEX($AO$2:$BQ$1001,MATCH(ROWS($AH$2:AH733),$AH$2:$AH$1001,0),MATCH(COLUMNS($AO$1006:AP1006),$AO$1006:$BQ$1006,0)), HYPERLINK("#",""), HYPERLINK(CONCATENATE("#Metadata!", ADDRESS(INDEX($AJ$2:$AJ$1001,MATCH(ROWS($AH$2:AH733),$AH$2:$AH$1001,0),0), INDEX($AO$1004:$BQ$1004,1,MATCH(COLUMNS($AO$1006:AP1006),$AO$1006:$BQ$1006,0)))),"Fix")))</f>
        <v>#N/A</v>
      </c>
      <c r="D733" s="5" t="e">
        <f ca="1">IF(OR(INDEX($AI$2:$AI$1001,MATCH(ROWS($AH$2:AH733),$AH$2:$AH$1001,0),1)&gt;=100000,INDEX($AO$1005:$BQ$1005,1,MATCH(COLUMNS($AO$1006:AQ1006),$AO$1006:$BQ$1006,0))&gt;=100000), " ",IF(INDEX($AO$2:$BQ$1001,MATCH(ROWS($AH$2:AH733),$AH$2:$AH$1001,0),MATCH(COLUMNS($AO$1006:AQ1006),$AO$1006:$BQ$1006,0)), HYPERLINK("#",""), HYPERLINK(CONCATENATE("#Metadata!", ADDRESS(INDEX($AJ$2:$AJ$1001,MATCH(ROWS($AH$2:AH733),$AH$2:$AH$1001,0),0), INDEX($AO$1004:$BQ$1004,1,MATCH(COLUMNS($AO$1006:AQ1006),$AO$1006:$BQ$1006,0)))),"Fix")))</f>
        <v>#N/A</v>
      </c>
      <c r="E733" s="5" t="e">
        <f ca="1">IF(OR(INDEX($AI$2:$AI$1001,MATCH(ROWS($AH$2:AH733),$AH$2:$AH$1001,0),1)&gt;=100000,INDEX($AO$1005:$BQ$1005,1,MATCH(COLUMNS($AO$1006:AR1006),$AO$1006:$BQ$1006,0))&gt;=100000), " ",IF(INDEX($AO$2:$BQ$1001,MATCH(ROWS($AH$2:AH733),$AH$2:$AH$1001,0),MATCH(COLUMNS($AO$1006:AR1006),$AO$1006:$BQ$1006,0)), HYPERLINK("#",""), HYPERLINK(CONCATENATE("#Metadata!", ADDRESS(INDEX($AJ$2:$AJ$1001,MATCH(ROWS($AH$2:AH733),$AH$2:$AH$1001,0),0), INDEX($AO$1004:$BQ$1004,1,MATCH(COLUMNS($AO$1006:AR1006),$AO$1006:$BQ$1006,0)))),"Fix")))</f>
        <v>#N/A</v>
      </c>
      <c r="F733" s="5" t="e">
        <f ca="1">IF(OR(INDEX($AI$2:$AI$1001,MATCH(ROWS($AH$2:AH733),$AH$2:$AH$1001,0),1)&gt;=100000,INDEX($AO$1005:$BQ$1005,1,MATCH(COLUMNS($AO$1006:AS1006),$AO$1006:$BQ$1006,0))&gt;=100000), " ",IF(INDEX($AO$2:$BQ$1001,MATCH(ROWS($AH$2:AH733),$AH$2:$AH$1001,0),MATCH(COLUMNS($AO$1006:AS1006),$AO$1006:$BQ$1006,0)), HYPERLINK("#",""), HYPERLINK(CONCATENATE("#Metadata!", ADDRESS(INDEX($AJ$2:$AJ$1001,MATCH(ROWS($AH$2:AH733),$AH$2:$AH$1001,0),0), INDEX($AO$1004:$BQ$1004,1,MATCH(COLUMNS($AO$1006:AS1006),$AO$1006:$BQ$1006,0)))),"Fix")))</f>
        <v>#N/A</v>
      </c>
      <c r="G733" s="5" t="e">
        <f ca="1">IF(OR(INDEX($AI$2:$AI$1001,MATCH(ROWS($AH$2:AH733),$AH$2:$AH$1001,0),1)&gt;=100000,INDEX($AO$1005:$BQ$1005,1,MATCH(COLUMNS($AO$1006:AT1006),$AO$1006:$BQ$1006,0))&gt;=100000), " ",IF(INDEX($AO$2:$BQ$1001,MATCH(ROWS($AH$2:AH733),$AH$2:$AH$1001,0),MATCH(COLUMNS($AO$1006:AT1006),$AO$1006:$BQ$1006,0)), HYPERLINK("#",""), HYPERLINK(CONCATENATE("#Metadata!", ADDRESS(INDEX($AJ$2:$AJ$1001,MATCH(ROWS($AH$2:AH733),$AH$2:$AH$1001,0),0), INDEX($AO$1004:$BQ$1004,1,MATCH(COLUMNS($AO$1006:AT1006),$AO$1006:$BQ$1006,0)))),"Fix")))</f>
        <v>#N/A</v>
      </c>
      <c r="H733" s="5" t="e">
        <f ca="1">IF(OR(INDEX($AI$2:$AI$1001,MATCH(ROWS($AH$2:AH733),$AH$2:$AH$1001,0),1)&gt;=100000,INDEX($AO$1005:$BQ$1005,1,MATCH(COLUMNS($AO$1006:AU1006),$AO$1006:$BQ$1006,0))&gt;=100000), " ",IF(INDEX($AO$2:$BQ$1001,MATCH(ROWS($AH$2:AH733),$AH$2:$AH$1001,0),MATCH(COLUMNS($AO$1006:AU1006),$AO$1006:$BQ$1006,0)), HYPERLINK("#",""), HYPERLINK(CONCATENATE("#Metadata!", ADDRESS(INDEX($AJ$2:$AJ$1001,MATCH(ROWS($AH$2:AH733),$AH$2:$AH$1001,0),0), INDEX($AO$1004:$BQ$1004,1,MATCH(COLUMNS($AO$1006:AU1006),$AO$1006:$BQ$1006,0)))),"Fix")))</f>
        <v>#N/A</v>
      </c>
      <c r="I733" s="5" t="e">
        <f ca="1">IF(OR(INDEX($AI$2:$AI$1001,MATCH(ROWS($AH$2:AH733),$AH$2:$AH$1001,0),1)&gt;=100000,INDEX($AO$1005:$BQ$1005,1,MATCH(COLUMNS($AO$1006:AV1006),$AO$1006:$BQ$1006,0))&gt;=100000), " ",IF(INDEX($AO$2:$BQ$1001,MATCH(ROWS($AH$2:AH733),$AH$2:$AH$1001,0),MATCH(COLUMNS($AO$1006:AV1006),$AO$1006:$BQ$1006,0)), HYPERLINK("#",""), HYPERLINK(CONCATENATE("#Metadata!", ADDRESS(INDEX($AJ$2:$AJ$1001,MATCH(ROWS($AH$2:AH733),$AH$2:$AH$1001,0),0), INDEX($AO$1004:$BQ$1004,1,MATCH(COLUMNS($AO$1006:AV1006),$AO$1006:$BQ$1006,0)))),"Fix")))</f>
        <v>#N/A</v>
      </c>
      <c r="J733" s="5" t="e">
        <f ca="1">IF(OR(INDEX($AI$2:$AI$1001,MATCH(ROWS($AH$2:AH733),$AH$2:$AH$1001,0),1)&gt;=100000,INDEX($AO$1005:$BQ$1005,1,MATCH(COLUMNS($AO$1006:AW1006),$AO$1006:$BQ$1006,0))&gt;=100000), " ",IF(INDEX($AO$2:$BQ$1001,MATCH(ROWS($AH$2:AH733),$AH$2:$AH$1001,0),MATCH(COLUMNS($AO$1006:AW1006),$AO$1006:$BQ$1006,0)), HYPERLINK("#",""), HYPERLINK(CONCATENATE("#Metadata!", ADDRESS(INDEX($AJ$2:$AJ$1001,MATCH(ROWS($AH$2:AH733),$AH$2:$AH$1001,0),0), INDEX($AO$1004:$BQ$1004,1,MATCH(COLUMNS($AO$1006:AW1006),$AO$1006:$BQ$1006,0)))),"Fix")))</f>
        <v>#N/A</v>
      </c>
      <c r="K733" s="5" t="e">
        <f ca="1">IF(OR(INDEX($AI$2:$AI$1001,MATCH(ROWS($AH$2:AH733),$AH$2:$AH$1001,0),1)&gt;=100000,INDEX($AO$1005:$BQ$1005,1,MATCH(COLUMNS($AO$1006:AX1006),$AO$1006:$BQ$1006,0))&gt;=100000), " ",IF(INDEX($AO$2:$BQ$1001,MATCH(ROWS($AH$2:AH733),$AH$2:$AH$1001,0),MATCH(COLUMNS($AO$1006:AX1006),$AO$1006:$BQ$1006,0)), HYPERLINK("#",""), HYPERLINK(CONCATENATE("#Metadata!", ADDRESS(INDEX($AJ$2:$AJ$1001,MATCH(ROWS($AH$2:AH733),$AH$2:$AH$1001,0),0), INDEX($AO$1004:$BQ$1004,1,MATCH(COLUMNS($AO$1006:AX1006),$AO$1006:$BQ$1006,0)))),"Fix")))</f>
        <v>#N/A</v>
      </c>
      <c r="L733" s="5" t="e">
        <f ca="1">IF(OR(INDEX($AI$2:$AI$1001,MATCH(ROWS($AH$2:AH733),$AH$2:$AH$1001,0),1)&gt;=100000,INDEX($AO$1005:$BQ$1005,1,MATCH(COLUMNS($AO$1006:AY1006),$AO$1006:$BQ$1006,0))&gt;=100000), " ",IF(INDEX($AO$2:$BQ$1001,MATCH(ROWS($AH$2:AH733),$AH$2:$AH$1001,0),MATCH(COLUMNS($AO$1006:AY1006),$AO$1006:$BQ$1006,0)), HYPERLINK("#",""), HYPERLINK(CONCATENATE("#Metadata!", ADDRESS(INDEX($AJ$2:$AJ$1001,MATCH(ROWS($AH$2:AH733),$AH$2:$AH$1001,0),0), INDEX($AO$1004:$BQ$1004,1,MATCH(COLUMNS($AO$1006:AY1006),$AO$1006:$BQ$1006,0)))),"Fix")))</f>
        <v>#N/A</v>
      </c>
      <c r="M733" s="5" t="e">
        <f ca="1">IF(OR(INDEX($AI$2:$AI$1001,MATCH(ROWS($AH$2:AH733),$AH$2:$AH$1001,0),1)&gt;=100000,INDEX($AO$1005:$BQ$1005,1,MATCH(COLUMNS($AO$1006:AZ1006),$AO$1006:$BQ$1006,0))&gt;=100000), " ",IF(INDEX($AO$2:$BQ$1001,MATCH(ROWS($AH$2:AH733),$AH$2:$AH$1001,0),MATCH(COLUMNS($AO$1006:AZ1006),$AO$1006:$BQ$1006,0)), HYPERLINK("#",""), HYPERLINK(CONCATENATE("#Metadata!", ADDRESS(INDEX($AJ$2:$AJ$1001,MATCH(ROWS($AH$2:AH733),$AH$2:$AH$1001,0),0), INDEX($AO$1004:$BQ$1004,1,MATCH(COLUMNS($AO$1006:AZ1006),$AO$1006:$BQ$1006,0)))),"Fix")))</f>
        <v>#N/A</v>
      </c>
      <c r="N733" s="5" t="e">
        <f ca="1">IF(OR(INDEX($AI$2:$AI$1001,MATCH(ROWS($AH$2:AH733),$AH$2:$AH$1001,0),1)&gt;=100000,INDEX($AO$1005:$BQ$1005,1,MATCH(COLUMNS($AO$1006:BA1006),$AO$1006:$BQ$1006,0))&gt;=100000), " ",IF(INDEX($AO$2:$BQ$1001,MATCH(ROWS($AH$2:AH733),$AH$2:$AH$1001,0),MATCH(COLUMNS($AO$1006:BA1006),$AO$1006:$BQ$1006,0)), HYPERLINK("#",""), HYPERLINK(CONCATENATE("#Metadata!", ADDRESS(INDEX($AJ$2:$AJ$1001,MATCH(ROWS($AH$2:AH733),$AH$2:$AH$1001,0),0), INDEX($AO$1004:$BQ$1004,1,MATCH(COLUMNS($AO$1006:BA1006),$AO$1006:$BQ$1006,0)))),"Fix")))</f>
        <v>#N/A</v>
      </c>
      <c r="O733" s="5" t="e">
        <f ca="1">IF(OR(INDEX($AI$2:$AI$1001,MATCH(ROWS($AH$2:AH733),$AH$2:$AH$1001,0),1)&gt;=100000,INDEX($AO$1005:$BQ$1005,1,MATCH(COLUMNS($AO$1006:BB1006),$AO$1006:$BQ$1006,0))&gt;=100000), " ",IF(INDEX($AO$2:$BQ$1001,MATCH(ROWS($AH$2:AH733),$AH$2:$AH$1001,0),MATCH(COLUMNS($AO$1006:BB1006),$AO$1006:$BQ$1006,0)), HYPERLINK("#",""), HYPERLINK(CONCATENATE("#Metadata!", ADDRESS(INDEX($AJ$2:$AJ$1001,MATCH(ROWS($AH$2:AH733),$AH$2:$AH$1001,0),0), INDEX($AO$1004:$BQ$1004,1,MATCH(COLUMNS($AO$1006:BB1006),$AO$1006:$BQ$1006,0)))),"Fix")))</f>
        <v>#N/A</v>
      </c>
      <c r="P733" s="5" t="e">
        <f ca="1">IF(OR(INDEX($AI$2:$AI$1001,MATCH(ROWS($AH$2:AH733),$AH$2:$AH$1001,0),1)&gt;=100000,INDEX($AO$1005:$BQ$1005,1,MATCH(COLUMNS($AO$1006:BC1006),$AO$1006:$BQ$1006,0))&gt;=100000), " ",IF(INDEX($AO$2:$BQ$1001,MATCH(ROWS($AH$2:AH733),$AH$2:$AH$1001,0),MATCH(COLUMNS($AO$1006:BC1006),$AO$1006:$BQ$1006,0)), HYPERLINK("#",""), HYPERLINK(CONCATENATE("#Metadata!", ADDRESS(INDEX($AJ$2:$AJ$1001,MATCH(ROWS($AH$2:AH733),$AH$2:$AH$1001,0),0), INDEX($AO$1004:$BQ$1004,1,MATCH(COLUMNS($AO$1006:BC1006),$AO$1006:$BQ$1006,0)))),"Fix")))</f>
        <v>#N/A</v>
      </c>
      <c r="Q733" s="5" t="e">
        <f ca="1">IF(OR(INDEX($AI$2:$AI$1001,MATCH(ROWS($AH$2:AH733),$AH$2:$AH$1001,0),1)&gt;=100000,INDEX($AO$1005:$BQ$1005,1,MATCH(COLUMNS($AO$1006:BD1006),$AO$1006:$BQ$1006,0))&gt;=100000), " ",IF(INDEX($AO$2:$BQ$1001,MATCH(ROWS($AH$2:AH733),$AH$2:$AH$1001,0),MATCH(COLUMNS($AO$1006:BD1006),$AO$1006:$BQ$1006,0)), HYPERLINK("#",""), HYPERLINK(CONCATENATE("#Metadata!", ADDRESS(INDEX($AJ$2:$AJ$1001,MATCH(ROWS($AH$2:AH733),$AH$2:$AH$1001,0),0), INDEX($AO$1004:$BQ$1004,1,MATCH(COLUMNS($AO$1006:BD1006),$AO$1006:$BQ$1006,0)))),"Fix")))</f>
        <v>#N/A</v>
      </c>
      <c r="R733" s="5" t="e">
        <f ca="1">IF(OR(INDEX($AI$2:$AI$1001,MATCH(ROWS($AH$2:AH733),$AH$2:$AH$1001,0),1)&gt;=100000,INDEX($AO$1005:$BQ$1005,1,MATCH(COLUMNS($AO$1006:BE1006),$AO$1006:$BQ$1006,0))&gt;=100000), " ",IF(INDEX($AO$2:$BQ$1001,MATCH(ROWS($AH$2:AH733),$AH$2:$AH$1001,0),MATCH(COLUMNS($AO$1006:BE1006),$AO$1006:$BQ$1006,0)), HYPERLINK("#",""), HYPERLINK(CONCATENATE("#Metadata!", ADDRESS(INDEX($AJ$2:$AJ$1001,MATCH(ROWS($AH$2:AH733),$AH$2:$AH$1001,0),0), INDEX($AO$1004:$BQ$1004,1,MATCH(COLUMNS($AO$1006:BE1006),$AO$1006:$BQ$1006,0)))),"Fix")))</f>
        <v>#N/A</v>
      </c>
      <c r="S733" s="5" t="e">
        <f ca="1">IF(OR(INDEX($AI$2:$AI$1001,MATCH(ROWS($AH$2:AH733),$AH$2:$AH$1001,0),1)&gt;=100000,INDEX($AO$1005:$BQ$1005,1,MATCH(COLUMNS($AO$1006:BF1006),$AO$1006:$BQ$1006,0))&gt;=100000), " ",IF(INDEX($AO$2:$BQ$1001,MATCH(ROWS($AH$2:AH733),$AH$2:$AH$1001,0),MATCH(COLUMNS($AO$1006:BF1006),$AO$1006:$BQ$1006,0)), HYPERLINK("#",""), HYPERLINK(CONCATENATE("#Metadata!", ADDRESS(INDEX($AJ$2:$AJ$1001,MATCH(ROWS($AH$2:AH733),$AH$2:$AH$1001,0),0), INDEX($AO$1004:$BQ$1004,1,MATCH(COLUMNS($AO$1006:BF1006),$AO$1006:$BQ$1006,0)))),"Fix")))</f>
        <v>#N/A</v>
      </c>
      <c r="T733" s="5" t="e">
        <f ca="1">IF(OR(INDEX($AI$2:$AI$1001,MATCH(ROWS($AH$2:AH733),$AH$2:$AH$1001,0),1)&gt;=100000,INDEX($AO$1005:$BQ$1005,1,MATCH(COLUMNS($AO$1006:BG1006),$AO$1006:$BQ$1006,0))&gt;=100000), " ",IF(INDEX($AO$2:$BQ$1001,MATCH(ROWS($AH$2:AH733),$AH$2:$AH$1001,0),MATCH(COLUMNS($AO$1006:BG1006),$AO$1006:$BQ$1006,0)), HYPERLINK("#",""), HYPERLINK(CONCATENATE("#Metadata!", ADDRESS(INDEX($AJ$2:$AJ$1001,MATCH(ROWS($AH$2:AH733),$AH$2:$AH$1001,0),0), INDEX($AO$1004:$BQ$1004,1,MATCH(COLUMNS($AO$1006:BG1006),$AO$1006:$BQ$1006,0)))),"Fix")))</f>
        <v>#N/A</v>
      </c>
      <c r="U733" s="5" t="e">
        <f ca="1">IF(OR(INDEX($AI$2:$AI$1001,MATCH(ROWS($AH$2:AH733),$AH$2:$AH$1001,0),1)&gt;=100000,INDEX($AO$1005:$BQ$1005,1,MATCH(COLUMNS($AO$1006:BH1006),$AO$1006:$BQ$1006,0))&gt;=100000), " ",IF(INDEX($AO$2:$BQ$1001,MATCH(ROWS($AH$2:AH733),$AH$2:$AH$1001,0),MATCH(COLUMNS($AO$1006:BH1006),$AO$1006:$BQ$1006,0)), HYPERLINK("#",""), HYPERLINK(CONCATENATE("#Metadata!", ADDRESS(INDEX($AJ$2:$AJ$1001,MATCH(ROWS($AH$2:AH733),$AH$2:$AH$1001,0),0), INDEX($AO$1004:$BQ$1004,1,MATCH(COLUMNS($AO$1006:BH1006),$AO$1006:$BQ$1006,0)))),"Fix")))</f>
        <v>#N/A</v>
      </c>
      <c r="V733" s="5" t="e">
        <f ca="1">IF(OR(INDEX($AI$2:$AI$1001,MATCH(ROWS($AH$2:AH733),$AH$2:$AH$1001,0),1)&gt;=100000,INDEX($AO$1005:$BQ$1005,1,MATCH(COLUMNS($AO$1006:BI1006),$AO$1006:$BQ$1006,0))&gt;=100000), " ",IF(INDEX($AO$2:$BQ$1001,MATCH(ROWS($AH$2:AH733),$AH$2:$AH$1001,0),MATCH(COLUMNS($AO$1006:BI1006),$AO$1006:$BQ$1006,0)), HYPERLINK("#",""), HYPERLINK(CONCATENATE("#Metadata!", ADDRESS(INDEX($AJ$2:$AJ$1001,MATCH(ROWS($AH$2:AH733),$AH$2:$AH$1001,0),0), INDEX($AO$1004:$BQ$1004,1,MATCH(COLUMNS($AO$1006:BI1006),$AO$1006:$BQ$1006,0)))),"Fix")))</f>
        <v>#N/A</v>
      </c>
      <c r="W733" s="5" t="e">
        <f ca="1">IF(OR(INDEX($AI$2:$AI$1001,MATCH(ROWS($AH$2:AH733),$AH$2:$AH$1001,0),1)&gt;=100000,INDEX($AO$1005:$BQ$1005,1,MATCH(COLUMNS($AO$1006:BJ1006),$AO$1006:$BQ$1006,0))&gt;=100000), " ",IF(INDEX($AO$2:$BQ$1001,MATCH(ROWS($AH$2:AH733),$AH$2:$AH$1001,0),MATCH(COLUMNS($AO$1006:BJ1006),$AO$1006:$BQ$1006,0)), HYPERLINK("#",""), HYPERLINK(CONCATENATE("#Metadata!", ADDRESS(INDEX($AJ$2:$AJ$1001,MATCH(ROWS($AH$2:AH733),$AH$2:$AH$1001,0),0), INDEX($AO$1004:$BQ$1004,1,MATCH(COLUMNS($AO$1006:BJ1006),$AO$1006:$BQ$1006,0)))),"Fix")))</f>
        <v>#N/A</v>
      </c>
      <c r="X733" s="5" t="e">
        <f ca="1">IF(OR(INDEX($AI$2:$AI$1001,MATCH(ROWS($AH$2:AH733),$AH$2:$AH$1001,0),1)&gt;=100000,INDEX($AO$1005:$BQ$1005,1,MATCH(COLUMNS($AO$1006:BK1006),$AO$1006:$BQ$1006,0))&gt;=100000), " ",IF(INDEX($AO$2:$BQ$1001,MATCH(ROWS($AH$2:AH733),$AH$2:$AH$1001,0),MATCH(COLUMNS($AO$1006:BK1006),$AO$1006:$BQ$1006,0)), HYPERLINK("#",""), HYPERLINK(CONCATENATE("#Metadata!", ADDRESS(INDEX($AJ$2:$AJ$1001,MATCH(ROWS($AH$2:AH733),$AH$2:$AH$1001,0),0), INDEX($AO$1004:$BQ$1004,1,MATCH(COLUMNS($AO$1006:BK1006),$AO$1006:$BQ$1006,0)))),"Fix")))</f>
        <v>#N/A</v>
      </c>
      <c r="Y733" s="5" t="e">
        <f ca="1">IF(OR(INDEX($AI$2:$AI$1001,MATCH(ROWS($AH$2:AH733),$AH$2:$AH$1001,0),1)&gt;=100000,INDEX($AO$1005:$BQ$1005,1,MATCH(COLUMNS($AO$1006:BL1006),$AO$1006:$BQ$1006,0))&gt;=100000), " ",IF(INDEX($AO$2:$BQ$1001,MATCH(ROWS($AH$2:AH733),$AH$2:$AH$1001,0),MATCH(COLUMNS($AO$1006:BL1006),$AO$1006:$BQ$1006,0)), HYPERLINK("#",""), HYPERLINK(CONCATENATE("#Metadata!", ADDRESS(INDEX($AJ$2:$AJ$1001,MATCH(ROWS($AH$2:AH733),$AH$2:$AH$1001,0),0), INDEX($AO$1004:$BQ$1004,1,MATCH(COLUMNS($AO$1006:BL1006),$AO$1006:$BQ$1006,0)))),"Fix")))</f>
        <v>#N/A</v>
      </c>
      <c r="Z733" s="5" t="e">
        <f ca="1">IF(OR(INDEX($AI$2:$AI$1001,MATCH(ROWS($AH$2:AH733),$AH$2:$AH$1001,0),1)&gt;=100000,INDEX($AO$1005:$BQ$1005,1,MATCH(COLUMNS($AO$1006:BM1006),$AO$1006:$BQ$1006,0))&gt;=100000), " ",IF(INDEX($AO$2:$BQ$1001,MATCH(ROWS($AH$2:AH733),$AH$2:$AH$1001,0),MATCH(COLUMNS($AO$1006:BM1006),$AO$1006:$BQ$1006,0)), HYPERLINK("#",""), HYPERLINK(CONCATENATE("#Metadata!", ADDRESS(INDEX($AJ$2:$AJ$1001,MATCH(ROWS($AH$2:AH733),$AH$2:$AH$1001,0),0), INDEX($AO$1004:$BQ$1004,1,MATCH(COLUMNS($AO$1006:BM1006),$AO$1006:$BQ$1006,0)))),"Fix")))</f>
        <v>#N/A</v>
      </c>
      <c r="AA733" s="5" t="e">
        <f ca="1">IF(OR(INDEX($AI$2:$AI$1001,MATCH(ROWS($AH$2:AH733),$AH$2:$AH$1001,0),1)&gt;=100000,INDEX($AO$1005:$BQ$1005,1,MATCH(COLUMNS($AO$1006:BN1006),$AO$1006:$BQ$1006,0))&gt;=100000), " ",IF(INDEX($AO$2:$BQ$1001,MATCH(ROWS($AH$2:AH733),$AH$2:$AH$1001,0),MATCH(COLUMNS($AO$1006:BN1006),$AO$1006:$BQ$1006,0)), HYPERLINK("#",""), HYPERLINK(CONCATENATE("#Metadata!", ADDRESS(INDEX($AJ$2:$AJ$1001,MATCH(ROWS($AH$2:AH733),$AH$2:$AH$1001,0),0), INDEX($AO$1004:$BQ$1004,1,MATCH(COLUMNS($AO$1006:BN1006),$AO$1006:$BQ$1006,0)))),"Fix")))</f>
        <v>#N/A</v>
      </c>
      <c r="AB733" s="5" t="e">
        <f ca="1">IF(OR(INDEX($AI$2:$AI$1001,MATCH(ROWS($AH$2:AH733),$AH$2:$AH$1001,0),1)&gt;=100000,INDEX($AO$1005:$BQ$1005,1,MATCH(COLUMNS($AO$1006:BO1006),$AO$1006:$BQ$1006,0))&gt;=100000), " ",IF(INDEX($AO$2:$BQ$1001,MATCH(ROWS($AH$2:AH733),$AH$2:$AH$1001,0),MATCH(COLUMNS($AO$1006:BO1006),$AO$1006:$BQ$1006,0)), HYPERLINK("#",""), HYPERLINK(CONCATENATE("#Metadata!", ADDRESS(INDEX($AJ$2:$AJ$1001,MATCH(ROWS($AH$2:AH733),$AH$2:$AH$1001,0),0), INDEX($AO$1004:$BQ$1004,1,MATCH(COLUMNS($AO$1006:BO1006),$AO$1006:$BQ$1006,0)))),"Fix")))</f>
        <v>#N/A</v>
      </c>
      <c r="AC733" s="5" t="e">
        <f ca="1">IF(OR(INDEX($AI$2:$AI$1001,MATCH(ROWS($AH$2:AH733),$AH$2:$AH$1001,0),1)&gt;=100000,INDEX($AO$1005:$BQ$1005,1,MATCH(COLUMNS($AO$1006:BP1006),$AO$1006:$BQ$1006,0))&gt;=100000), " ",IF(INDEX($AO$2:$BQ$1001,MATCH(ROWS($AH$2:AH733),$AH$2:$AH$1001,0),MATCH(COLUMNS($AO$1006:BP1006),$AO$1006:$BQ$1006,0)), HYPERLINK("#",""), HYPERLINK(CONCATENATE("#Metadata!", ADDRESS(INDEX($AJ$2:$AJ$1001,MATCH(ROWS($AH$2:AH733),$AH$2:$AH$1001,0),0), INDEX($AO$1004:$BQ$1004,1,MATCH(COLUMNS($AO$1006:BP1006),$AO$1006:$BQ$1006,0)))),"Fix")))</f>
        <v>#N/A</v>
      </c>
      <c r="AD733" s="5" t="e">
        <f ca="1">IF(OR(INDEX($AI$2:$AI$1001,MATCH(ROWS($AH$2:AH733),$AH$2:$AH$1001,0),1)&gt;=100000,INDEX($AO$1005:$BQ$1005,1,MATCH(COLUMNS($AO$1006:BQ1006),$AO$1006:$BQ$1006,0))&gt;=100000), " ",IF(INDEX($AO$2:$BQ$1001,MATCH(ROWS($AH$2:AH733),$AH$2:$AH$1001,0),MATCH(COLUMNS($AO$1006:BQ1006),$AO$1006:$BQ$1006,0)), HYPERLINK("#",""), HYPERLINK(CONCATENATE("#Metadata!", ADDRESS(INDEX($AJ$2:$AJ$1001,MATCH(ROWS($AH$2:AH733),$AH$2:$AH$1001,0),0), INDEX($AO$1004:$BQ$1004,1,MATCH(COLUMNS($AO$1006:BQ1006),$AO$1006:$BQ$1006,0)))),"Fix")))</f>
        <v>#REF!</v>
      </c>
      <c r="AH733">
        <f ca="1"/>
        <v>730</v>
      </c>
      <c r="AI733">
        <v>100733</v>
      </c>
      <c r="AJ733">
        <v>733</v>
      </c>
      <c r="AK733" t="b">
        <f t="shared" si="11"/>
        <v>1</v>
      </c>
      <c r="AL733" t="b">
        <f>COUNTBLANK(Metadata!B733:AD733)=COLUMNS(Metadata!B733:AD733)</f>
        <v>1</v>
      </c>
      <c r="AM733" t="str">
        <v/>
      </c>
      <c r="AO733" t="b">
        <f ca="1">AND(IF(Metadata!B733="",FALSE,TRUE),COUNTIF(Metadata!B:B, Metadata!B733) = 1,NOT(ISERROR(SUMPRODUCT(SEARCH(MID(Metadata!B733,ROW(INDIRECT("1:"&amp;LEN(Metadata!B733))), 1),"0123456789abcdefghijklmnopqrstuvwxyzABCDEFGHIJKLMNOPQRSTUVWXYZ.")))))</f>
        <v>0</v>
      </c>
      <c r="AP733" t="b">
        <f>IF(Metadata!C733="",FALSE,TRUE)</f>
        <v>0</v>
      </c>
      <c r="AQ733" t="b">
        <f>IF(Metadata!D733="",FALSE,TRUE)</f>
        <v>0</v>
      </c>
      <c r="AR733" t="b">
        <f ca="1">OR(AND(IF(Metadata!E733="",FALSE,TRUE),OR(EXACT(Metadata!E733,"not collected"),EXACT(Metadata!E733,"not provided"),EXACT(Metadata!E733,"restricted access"))),AND(IF(Metadata!E733="",FALSE,TRUE),AND(AND(IFERROR(INT(LEFT(Metadata!E733,4))&gt;1900,FALSE),IFERROR(INT(LEFT(Metadata!E733,4))&lt;=YEAR(NOW()),FALSE)), OR(MID(Metadata!E733,5,1)="", AND(AND(MID(Metadata!E733,5,1)="-",IFERROR(INT(MID(Metadata!E733,6,1))&gt;=0,FALSE),IFERROR(INT(MID(Metadata!E733,6,1))&lt;=1,FALSE),NOT(MID(Metadata!E733,7,1)=""),IFERROR(INT(MID(Metadata!E733,6,2))&gt;=1,FALSE),IFERROR(INT(MID(Metadata!E733,6,2))&lt;=12,FALSE)), OR(MID(Metadata!E733,8,1)="", AND(AND(MID(Metadata!E733,8,1)="-",IFERROR(INT(MID(Metadata!E733,9,1))&gt;=0,FALSE),IFERROR(INT(MID(Metadata!E733,9,1))&lt;=3,FALSE),NOT(MID(Metadata!E733,10,1)=""),IFERROR(INT(MID(Metadata!E733,9,2))&gt;=1,FALSE),IFERROR(INT(MID(Metadata!E733,9,2))&lt;=31,FALSE)), OR(MID(Metadata!E733,11,1)="", AND(AND(MID(Metadata!E733,11,1)=" ",IFERROR(INT(MID(Metadata!E733,12,1))&gt;=0,FALSE),IFERROR(INT(MID(Metadata!E733,12,1))&lt;=2,FALSE),NOT(MID(Metadata!E733,13,1)=""),IFERROR(INT(MID(Metadata!E733,12,2))&gt;=0,FALSE),IFERROR(INT(MID(Metadata!E733,12,2))&lt;=23,FALSE)), OR(MID(Metadata!E733,14,1)="", AND(AND(MID(Metadata!E733,14,1)=":",IFERROR(INT(MID(Metadata!E733,15,1))&gt;=0,FALSE),IFERROR(INT(MID(Metadata!E733,15,1))&lt;=5,FALSE),NOT(MID(Metadata!E733,16,1)=""),IFERROR(INT(MID(Metadata!E733,15,2))&gt;=0,FALSE),IFERROR(INT(MID(Metadata!E733,15,2))&lt;=59,FALSE)), OR(MID(Metadata!E733,17,1)="", AND(AND(MID(Metadata!E733,17,1)=":",IFERROR(INT(MID(Metadata!E733,18,1))&gt;=0,FALSE),IFERROR(INT(MID(Metadata!E733,18,1))&lt;=5,FALSE),NOT(MID(Metadata!E733,19,1)=""),IFERROR(INT(MID(Metadata!E733,18,2))&gt;=0,FALSE),IFERROR(INT(MID(Metadata!E733,18,2))&lt;=59,FALSE)), LEN(Metadata!E733)&lt;=19)))))))))))))</f>
        <v>0</v>
      </c>
      <c r="AS733" t="b">
        <f>IF(Metadata!F733="",FALSE,TRUE)</f>
        <v>0</v>
      </c>
      <c r="AT733" t="b">
        <f>OR(AND(IF(Metadata!G733="",FALSE,TRUE),OR(EXACT(Metadata!G733,"not collected"),EXACT(Metadata!G733,"not provided"))),AND(IF(Metadata!G733="",FALSE,TRUE),OR(EXACT(Metadata!G733,"TRUE"),EXACT(Metadata!G733,"FALSE"))))</f>
        <v>0</v>
      </c>
      <c r="AU733" t="b">
        <f>OR(AND(IF(Metadata!H733="",FALSE,TRUE),OR(EXACT(Metadata!H733,"not collected"),EXACT(Metadata!H733,"not provided"),EXACT(Metadata!H733,"restricted access"))),AND(IF(Metadata!H733="",FALSE,ISNUMBER(VALUE(Metadata!H733))),Metadata!H733&gt;=-413))</f>
        <v>0</v>
      </c>
      <c r="AV733" t="b">
        <f>AND(IF(Metadata!I733="",FALSE,TRUE),EXACT(Metadata!I733,"meters"))</f>
        <v>0</v>
      </c>
      <c r="AW733" t="b">
        <f>AND(IF(Metadata!J733="",FALSE,TRUE),EXACT(Metadata!J733,"free-living"))</f>
        <v>0</v>
      </c>
      <c r="AX733" t="b">
        <f>AND(IF(Metadata!K733="",FALSE,TRUE),OR(EXACT(Metadata!K733,"saline"),EXACT(Metadata!K733,"non-saline")))</f>
        <v>0</v>
      </c>
      <c r="AY733" t="b">
        <f>AND(IF(Metadata!L733="",FALSE,TRUE),OR(EXACT(Metadata!L733,"sub-surface (non-saline)"),EXACT(Metadata!L733,"surface (non-saline)"),EXACT(Metadata!L733,"water (non-saline)"),EXACT(Metadata!L733,"soil (non-saline)"),EXACT(Metadata!L733,"aerosol (non-saline)"),EXACT(Metadata!L733,"sediment (non-saline)"),EXACT(Metadata!L733,"surface (saline)"),EXACT(Metadata!L733,"water (saline)"),EXACT(Metadata!L733,"hypersaline (saline)"),EXACT(Metadata!L733,"aerosol (saline)"),EXACT(Metadata!L733,"sediment (saline)")))</f>
        <v>0</v>
      </c>
      <c r="AZ733" t="b">
        <f>IF(Metadata!M733="",FALSE,TRUE)</f>
        <v>0</v>
      </c>
      <c r="BA733" t="b">
        <f>IF(Metadata!N733="",FALSE,TRUE)</f>
        <v>0</v>
      </c>
      <c r="BB733" t="b">
        <f>IF(Metadata!O733="",FALSE,TRUE)</f>
        <v>0</v>
      </c>
      <c r="BC733" t="b">
        <f>AND(IF(Metadata!P733="",FALSE,TRUE),OR(EXACT(Metadata!P733,"air"),EXACT(Metadata!P733,"microbial mat/biofilm"),EXACT(Metadata!P733,"misc environment"),EXACT(Metadata!P733,"sediment"),EXACT(Metadata!P733,"soil"),EXACT(Metadata!P733,"wastewater/sludge"),EXACT(Metadata!P733,"water")))</f>
        <v>0</v>
      </c>
      <c r="BD733" t="b">
        <f>IF(Metadata!Q733="",FALSE,TRUE)</f>
        <v>0</v>
      </c>
      <c r="BE733" t="b">
        <f>IF(Metadata!R733="",FALSE,TRUE)</f>
        <v>0</v>
      </c>
      <c r="BF733" t="b">
        <f>OR(AND(IF(Metadata!S733="",FALSE,TRUE),OR(EXACT(Metadata!S733,"not collected"),EXACT(Metadata!S733,"not provided"),EXACT(Metadata!S733,"restricted access"))),AND(IF(Metadata!S733="",FALSE,ISNUMBER(VALUE(Metadata!S733))),Metadata!S733&gt;=-90,Metadata!S733&lt;=90))</f>
        <v>0</v>
      </c>
      <c r="BG733" t="b">
        <f>AND(IF(Metadata!T733="",FALSE,TRUE),EXACT(Metadata!T733,"Decimal degrees"))</f>
        <v>0</v>
      </c>
      <c r="BH733" t="b">
        <f>OR(AND(IF(Metadata!U733="",FALSE,TRUE),OR(EXACT(Metadata!U733,"not applicable"),EXACT(Metadata!U733,"not collected"))),IF(Metadata!U733="",FALSE,TRUE))</f>
        <v>0</v>
      </c>
      <c r="BI733" t="b">
        <f>OR(AND(IF(Metadata!V733="",FALSE,TRUE),OR(EXACT(Metadata!V733,"not collected"),EXACT(Metadata!V733,"not provided"),EXACT(Metadata!V733,"restricted access"))),AND(IF(Metadata!V733="",FALSE,ISNUMBER(VALUE(Metadata!V733))),Metadata!V733&gt;=-180,Metadata!V733&lt;=180))</f>
        <v>0</v>
      </c>
      <c r="BJ733" t="b">
        <f>AND(IF(Metadata!W733="",FALSE,TRUE),EXACT(Metadata!W733,"Decimal degrees"))</f>
        <v>0</v>
      </c>
      <c r="BK733" t="b">
        <f>IF(Metadata!X733="",FALSE,TRUE)</f>
        <v>0</v>
      </c>
      <c r="BL733" t="b">
        <f>OR(AND(IF(Metadata!Y733="",FALSE,TRUE),OR(EXACT(Metadata!Y733,"not collected"),EXACT(Metadata!Y733,"not provided"),EXACT(Metadata!Y733,"restricted access"))),AND(IF(Metadata!Y733="",FALSE,TRUE),OR(EXACT(Metadata!Y733,"TRUE"),EXACT(Metadata!Y733,"FALSE"))))</f>
        <v>0</v>
      </c>
      <c r="BM733" t="b">
        <f>OR(AND(IF(Metadata!Z733="",FALSE,TRUE),EXACT(Metadata!Z733,"not applicable")),AND(IF(Metadata!Z733="",FALSE,TRUE),OR(EXACT(Metadata!Z733,"beer"),EXACT(Metadata!Z733,"cheese"),EXACT(Metadata!Z733,"fresh water"),EXACT(Metadata!Z733,"marine sediment"),EXACT(Metadata!Z733,"sea water"),EXACT(Metadata!Z733,"sediment"),EXACT(Metadata!Z733,"soil"),EXACT(Metadata!Z733,"waste water"))))</f>
        <v>0</v>
      </c>
      <c r="BN733" t="b">
        <f>AND(IF(Metadata!AA733="",FALSE,TRUE),EXACT(Metadata!AA733,"metagenome"))</f>
        <v>0</v>
      </c>
      <c r="BO733" t="b">
        <f>AND(IF(Metadata!AB733="",FALSE,TRUE),EXACT(Metadata!AB733,"256318"))</f>
        <v>0</v>
      </c>
      <c r="BP733" t="b">
        <f>IF(Metadata!AC733="",FALSE,TRUE)</f>
        <v>0</v>
      </c>
      <c r="BQ733" t="b">
        <f>IF(Metadata!AD733="",FALSE,TRUE)</f>
        <v>0</v>
      </c>
    </row>
    <row r="734" spans="1:69" x14ac:dyDescent="0.2">
      <c r="A734" s="4" t="e">
        <f ca="1">IF(B734=" "," ",HYPERLINK(CONCATENATE("#metadata!",ADDRESS(INDEX($AJ$2:$AJ$1001,MATCH(ROWS($AH$2:AH734),$AH$2:$AH$1001,0),0),2)),INDEX($AM$2:$AM$1001,MATCH(ROWS($AH$2:AH734),$AH$2:$AH$1001,0),0)))</f>
        <v>#N/A</v>
      </c>
      <c r="B734" s="5" t="e">
        <f ca="1">IF(OR(INDEX($AI$2:$AI$1001,MATCH(ROWS($AH$2:AH734),$AH$2:$AH$1001,0),1)&gt;=100000,INDEX($AO$1005:$BQ$1005,1,MATCH(COLUMNS($AO$1006:AO1006),$AO$1006:$BQ$1006,0))&gt;=100000), " ",IF(INDEX($AO$2:$BQ$1001,MATCH(ROWS($AH$2:AH734),$AH$2:$AH$1001,0),MATCH(COLUMNS($AO$1006:AO1006),$AO$1006:$BQ$1006,0)), HYPERLINK("#",""), HYPERLINK(CONCATENATE("#Metadata!", ADDRESS(INDEX($AJ$2:$AJ$1001,MATCH(ROWS($AH$2:AH734),$AH$2:$AH$1001,0),0), INDEX($AO$1004:$BQ$1004,1,MATCH(COLUMNS($AO$1006:AO1006),$AO$1006:$BQ$1006,0)))),"Fix")))</f>
        <v>#N/A</v>
      </c>
      <c r="C734" s="5" t="e">
        <f ca="1">IF(OR(INDEX($AI$2:$AI$1001,MATCH(ROWS($AH$2:AH734),$AH$2:$AH$1001,0),1)&gt;=100000,INDEX($AO$1005:$BQ$1005,1,MATCH(COLUMNS($AO$1006:AP1006),$AO$1006:$BQ$1006,0))&gt;=100000), " ",IF(INDEX($AO$2:$BQ$1001,MATCH(ROWS($AH$2:AH734),$AH$2:$AH$1001,0),MATCH(COLUMNS($AO$1006:AP1006),$AO$1006:$BQ$1006,0)), HYPERLINK("#",""), HYPERLINK(CONCATENATE("#Metadata!", ADDRESS(INDEX($AJ$2:$AJ$1001,MATCH(ROWS($AH$2:AH734),$AH$2:$AH$1001,0),0), INDEX($AO$1004:$BQ$1004,1,MATCH(COLUMNS($AO$1006:AP1006),$AO$1006:$BQ$1006,0)))),"Fix")))</f>
        <v>#N/A</v>
      </c>
      <c r="D734" s="5" t="e">
        <f ca="1">IF(OR(INDEX($AI$2:$AI$1001,MATCH(ROWS($AH$2:AH734),$AH$2:$AH$1001,0),1)&gt;=100000,INDEX($AO$1005:$BQ$1005,1,MATCH(COLUMNS($AO$1006:AQ1006),$AO$1006:$BQ$1006,0))&gt;=100000), " ",IF(INDEX($AO$2:$BQ$1001,MATCH(ROWS($AH$2:AH734),$AH$2:$AH$1001,0),MATCH(COLUMNS($AO$1006:AQ1006),$AO$1006:$BQ$1006,0)), HYPERLINK("#",""), HYPERLINK(CONCATENATE("#Metadata!", ADDRESS(INDEX($AJ$2:$AJ$1001,MATCH(ROWS($AH$2:AH734),$AH$2:$AH$1001,0),0), INDEX($AO$1004:$BQ$1004,1,MATCH(COLUMNS($AO$1006:AQ1006),$AO$1006:$BQ$1006,0)))),"Fix")))</f>
        <v>#N/A</v>
      </c>
      <c r="E734" s="5" t="e">
        <f ca="1">IF(OR(INDEX($AI$2:$AI$1001,MATCH(ROWS($AH$2:AH734),$AH$2:$AH$1001,0),1)&gt;=100000,INDEX($AO$1005:$BQ$1005,1,MATCH(COLUMNS($AO$1006:AR1006),$AO$1006:$BQ$1006,0))&gt;=100000), " ",IF(INDEX($AO$2:$BQ$1001,MATCH(ROWS($AH$2:AH734),$AH$2:$AH$1001,0),MATCH(COLUMNS($AO$1006:AR1006),$AO$1006:$BQ$1006,0)), HYPERLINK("#",""), HYPERLINK(CONCATENATE("#Metadata!", ADDRESS(INDEX($AJ$2:$AJ$1001,MATCH(ROWS($AH$2:AH734),$AH$2:$AH$1001,0),0), INDEX($AO$1004:$BQ$1004,1,MATCH(COLUMNS($AO$1006:AR1006),$AO$1006:$BQ$1006,0)))),"Fix")))</f>
        <v>#N/A</v>
      </c>
      <c r="F734" s="5" t="e">
        <f ca="1">IF(OR(INDEX($AI$2:$AI$1001,MATCH(ROWS($AH$2:AH734),$AH$2:$AH$1001,0),1)&gt;=100000,INDEX($AO$1005:$BQ$1005,1,MATCH(COLUMNS($AO$1006:AS1006),$AO$1006:$BQ$1006,0))&gt;=100000), " ",IF(INDEX($AO$2:$BQ$1001,MATCH(ROWS($AH$2:AH734),$AH$2:$AH$1001,0),MATCH(COLUMNS($AO$1006:AS1006),$AO$1006:$BQ$1006,0)), HYPERLINK("#",""), HYPERLINK(CONCATENATE("#Metadata!", ADDRESS(INDEX($AJ$2:$AJ$1001,MATCH(ROWS($AH$2:AH734),$AH$2:$AH$1001,0),0), INDEX($AO$1004:$BQ$1004,1,MATCH(COLUMNS($AO$1006:AS1006),$AO$1006:$BQ$1006,0)))),"Fix")))</f>
        <v>#N/A</v>
      </c>
      <c r="G734" s="5" t="e">
        <f ca="1">IF(OR(INDEX($AI$2:$AI$1001,MATCH(ROWS($AH$2:AH734),$AH$2:$AH$1001,0),1)&gt;=100000,INDEX($AO$1005:$BQ$1005,1,MATCH(COLUMNS($AO$1006:AT1006),$AO$1006:$BQ$1006,0))&gt;=100000), " ",IF(INDEX($AO$2:$BQ$1001,MATCH(ROWS($AH$2:AH734),$AH$2:$AH$1001,0),MATCH(COLUMNS($AO$1006:AT1006),$AO$1006:$BQ$1006,0)), HYPERLINK("#",""), HYPERLINK(CONCATENATE("#Metadata!", ADDRESS(INDEX($AJ$2:$AJ$1001,MATCH(ROWS($AH$2:AH734),$AH$2:$AH$1001,0),0), INDEX($AO$1004:$BQ$1004,1,MATCH(COLUMNS($AO$1006:AT1006),$AO$1006:$BQ$1006,0)))),"Fix")))</f>
        <v>#N/A</v>
      </c>
      <c r="H734" s="5" t="e">
        <f ca="1">IF(OR(INDEX($AI$2:$AI$1001,MATCH(ROWS($AH$2:AH734),$AH$2:$AH$1001,0),1)&gt;=100000,INDEX($AO$1005:$BQ$1005,1,MATCH(COLUMNS($AO$1006:AU1006),$AO$1006:$BQ$1006,0))&gt;=100000), " ",IF(INDEX($AO$2:$BQ$1001,MATCH(ROWS($AH$2:AH734),$AH$2:$AH$1001,0),MATCH(COLUMNS($AO$1006:AU1006),$AO$1006:$BQ$1006,0)), HYPERLINK("#",""), HYPERLINK(CONCATENATE("#Metadata!", ADDRESS(INDEX($AJ$2:$AJ$1001,MATCH(ROWS($AH$2:AH734),$AH$2:$AH$1001,0),0), INDEX($AO$1004:$BQ$1004,1,MATCH(COLUMNS($AO$1006:AU1006),$AO$1006:$BQ$1006,0)))),"Fix")))</f>
        <v>#N/A</v>
      </c>
      <c r="I734" s="5" t="e">
        <f ca="1">IF(OR(INDEX($AI$2:$AI$1001,MATCH(ROWS($AH$2:AH734),$AH$2:$AH$1001,0),1)&gt;=100000,INDEX($AO$1005:$BQ$1005,1,MATCH(COLUMNS($AO$1006:AV1006),$AO$1006:$BQ$1006,0))&gt;=100000), " ",IF(INDEX($AO$2:$BQ$1001,MATCH(ROWS($AH$2:AH734),$AH$2:$AH$1001,0),MATCH(COLUMNS($AO$1006:AV1006),$AO$1006:$BQ$1006,0)), HYPERLINK("#",""), HYPERLINK(CONCATENATE("#Metadata!", ADDRESS(INDEX($AJ$2:$AJ$1001,MATCH(ROWS($AH$2:AH734),$AH$2:$AH$1001,0),0), INDEX($AO$1004:$BQ$1004,1,MATCH(COLUMNS($AO$1006:AV1006),$AO$1006:$BQ$1006,0)))),"Fix")))</f>
        <v>#N/A</v>
      </c>
      <c r="J734" s="5" t="e">
        <f ca="1">IF(OR(INDEX($AI$2:$AI$1001,MATCH(ROWS($AH$2:AH734),$AH$2:$AH$1001,0),1)&gt;=100000,INDEX($AO$1005:$BQ$1005,1,MATCH(COLUMNS($AO$1006:AW1006),$AO$1006:$BQ$1006,0))&gt;=100000), " ",IF(INDEX($AO$2:$BQ$1001,MATCH(ROWS($AH$2:AH734),$AH$2:$AH$1001,0),MATCH(COLUMNS($AO$1006:AW1006),$AO$1006:$BQ$1006,0)), HYPERLINK("#",""), HYPERLINK(CONCATENATE("#Metadata!", ADDRESS(INDEX($AJ$2:$AJ$1001,MATCH(ROWS($AH$2:AH734),$AH$2:$AH$1001,0),0), INDEX($AO$1004:$BQ$1004,1,MATCH(COLUMNS($AO$1006:AW1006),$AO$1006:$BQ$1006,0)))),"Fix")))</f>
        <v>#N/A</v>
      </c>
      <c r="K734" s="5" t="e">
        <f ca="1">IF(OR(INDEX($AI$2:$AI$1001,MATCH(ROWS($AH$2:AH734),$AH$2:$AH$1001,0),1)&gt;=100000,INDEX($AO$1005:$BQ$1005,1,MATCH(COLUMNS($AO$1006:AX1006),$AO$1006:$BQ$1006,0))&gt;=100000), " ",IF(INDEX($AO$2:$BQ$1001,MATCH(ROWS($AH$2:AH734),$AH$2:$AH$1001,0),MATCH(COLUMNS($AO$1006:AX1006),$AO$1006:$BQ$1006,0)), HYPERLINK("#",""), HYPERLINK(CONCATENATE("#Metadata!", ADDRESS(INDEX($AJ$2:$AJ$1001,MATCH(ROWS($AH$2:AH734),$AH$2:$AH$1001,0),0), INDEX($AO$1004:$BQ$1004,1,MATCH(COLUMNS($AO$1006:AX1006),$AO$1006:$BQ$1006,0)))),"Fix")))</f>
        <v>#N/A</v>
      </c>
      <c r="L734" s="5" t="e">
        <f ca="1">IF(OR(INDEX($AI$2:$AI$1001,MATCH(ROWS($AH$2:AH734),$AH$2:$AH$1001,0),1)&gt;=100000,INDEX($AO$1005:$BQ$1005,1,MATCH(COLUMNS($AO$1006:AY1006),$AO$1006:$BQ$1006,0))&gt;=100000), " ",IF(INDEX($AO$2:$BQ$1001,MATCH(ROWS($AH$2:AH734),$AH$2:$AH$1001,0),MATCH(COLUMNS($AO$1006:AY1006),$AO$1006:$BQ$1006,0)), HYPERLINK("#",""), HYPERLINK(CONCATENATE("#Metadata!", ADDRESS(INDEX($AJ$2:$AJ$1001,MATCH(ROWS($AH$2:AH734),$AH$2:$AH$1001,0),0), INDEX($AO$1004:$BQ$1004,1,MATCH(COLUMNS($AO$1006:AY1006),$AO$1006:$BQ$1006,0)))),"Fix")))</f>
        <v>#N/A</v>
      </c>
      <c r="M734" s="5" t="e">
        <f ca="1">IF(OR(INDEX($AI$2:$AI$1001,MATCH(ROWS($AH$2:AH734),$AH$2:$AH$1001,0),1)&gt;=100000,INDEX($AO$1005:$BQ$1005,1,MATCH(COLUMNS($AO$1006:AZ1006),$AO$1006:$BQ$1006,0))&gt;=100000), " ",IF(INDEX($AO$2:$BQ$1001,MATCH(ROWS($AH$2:AH734),$AH$2:$AH$1001,0),MATCH(COLUMNS($AO$1006:AZ1006),$AO$1006:$BQ$1006,0)), HYPERLINK("#",""), HYPERLINK(CONCATENATE("#Metadata!", ADDRESS(INDEX($AJ$2:$AJ$1001,MATCH(ROWS($AH$2:AH734),$AH$2:$AH$1001,0),0), INDEX($AO$1004:$BQ$1004,1,MATCH(COLUMNS($AO$1006:AZ1006),$AO$1006:$BQ$1006,0)))),"Fix")))</f>
        <v>#N/A</v>
      </c>
      <c r="N734" s="5" t="e">
        <f ca="1">IF(OR(INDEX($AI$2:$AI$1001,MATCH(ROWS($AH$2:AH734),$AH$2:$AH$1001,0),1)&gt;=100000,INDEX($AO$1005:$BQ$1005,1,MATCH(COLUMNS($AO$1006:BA1006),$AO$1006:$BQ$1006,0))&gt;=100000), " ",IF(INDEX($AO$2:$BQ$1001,MATCH(ROWS($AH$2:AH734),$AH$2:$AH$1001,0),MATCH(COLUMNS($AO$1006:BA1006),$AO$1006:$BQ$1006,0)), HYPERLINK("#",""), HYPERLINK(CONCATENATE("#Metadata!", ADDRESS(INDEX($AJ$2:$AJ$1001,MATCH(ROWS($AH$2:AH734),$AH$2:$AH$1001,0),0), INDEX($AO$1004:$BQ$1004,1,MATCH(COLUMNS($AO$1006:BA1006),$AO$1006:$BQ$1006,0)))),"Fix")))</f>
        <v>#N/A</v>
      </c>
      <c r="O734" s="5" t="e">
        <f ca="1">IF(OR(INDEX($AI$2:$AI$1001,MATCH(ROWS($AH$2:AH734),$AH$2:$AH$1001,0),1)&gt;=100000,INDEX($AO$1005:$BQ$1005,1,MATCH(COLUMNS($AO$1006:BB1006),$AO$1006:$BQ$1006,0))&gt;=100000), " ",IF(INDEX($AO$2:$BQ$1001,MATCH(ROWS($AH$2:AH734),$AH$2:$AH$1001,0),MATCH(COLUMNS($AO$1006:BB1006),$AO$1006:$BQ$1006,0)), HYPERLINK("#",""), HYPERLINK(CONCATENATE("#Metadata!", ADDRESS(INDEX($AJ$2:$AJ$1001,MATCH(ROWS($AH$2:AH734),$AH$2:$AH$1001,0),0), INDEX($AO$1004:$BQ$1004,1,MATCH(COLUMNS($AO$1006:BB1006),$AO$1006:$BQ$1006,0)))),"Fix")))</f>
        <v>#N/A</v>
      </c>
      <c r="P734" s="5" t="e">
        <f ca="1">IF(OR(INDEX($AI$2:$AI$1001,MATCH(ROWS($AH$2:AH734),$AH$2:$AH$1001,0),1)&gt;=100000,INDEX($AO$1005:$BQ$1005,1,MATCH(COLUMNS($AO$1006:BC1006),$AO$1006:$BQ$1006,0))&gt;=100000), " ",IF(INDEX($AO$2:$BQ$1001,MATCH(ROWS($AH$2:AH734),$AH$2:$AH$1001,0),MATCH(COLUMNS($AO$1006:BC1006),$AO$1006:$BQ$1006,0)), HYPERLINK("#",""), HYPERLINK(CONCATENATE("#Metadata!", ADDRESS(INDEX($AJ$2:$AJ$1001,MATCH(ROWS($AH$2:AH734),$AH$2:$AH$1001,0),0), INDEX($AO$1004:$BQ$1004,1,MATCH(COLUMNS($AO$1006:BC1006),$AO$1006:$BQ$1006,0)))),"Fix")))</f>
        <v>#N/A</v>
      </c>
      <c r="Q734" s="5" t="e">
        <f ca="1">IF(OR(INDEX($AI$2:$AI$1001,MATCH(ROWS($AH$2:AH734),$AH$2:$AH$1001,0),1)&gt;=100000,INDEX($AO$1005:$BQ$1005,1,MATCH(COLUMNS($AO$1006:BD1006),$AO$1006:$BQ$1006,0))&gt;=100000), " ",IF(INDEX($AO$2:$BQ$1001,MATCH(ROWS($AH$2:AH734),$AH$2:$AH$1001,0),MATCH(COLUMNS($AO$1006:BD1006),$AO$1006:$BQ$1006,0)), HYPERLINK("#",""), HYPERLINK(CONCATENATE("#Metadata!", ADDRESS(INDEX($AJ$2:$AJ$1001,MATCH(ROWS($AH$2:AH734),$AH$2:$AH$1001,0),0), INDEX($AO$1004:$BQ$1004,1,MATCH(COLUMNS($AO$1006:BD1006),$AO$1006:$BQ$1006,0)))),"Fix")))</f>
        <v>#N/A</v>
      </c>
      <c r="R734" s="5" t="e">
        <f ca="1">IF(OR(INDEX($AI$2:$AI$1001,MATCH(ROWS($AH$2:AH734),$AH$2:$AH$1001,0),1)&gt;=100000,INDEX($AO$1005:$BQ$1005,1,MATCH(COLUMNS($AO$1006:BE1006),$AO$1006:$BQ$1006,0))&gt;=100000), " ",IF(INDEX($AO$2:$BQ$1001,MATCH(ROWS($AH$2:AH734),$AH$2:$AH$1001,0),MATCH(COLUMNS($AO$1006:BE1006),$AO$1006:$BQ$1006,0)), HYPERLINK("#",""), HYPERLINK(CONCATENATE("#Metadata!", ADDRESS(INDEX($AJ$2:$AJ$1001,MATCH(ROWS($AH$2:AH734),$AH$2:$AH$1001,0),0), INDEX($AO$1004:$BQ$1004,1,MATCH(COLUMNS($AO$1006:BE1006),$AO$1006:$BQ$1006,0)))),"Fix")))</f>
        <v>#N/A</v>
      </c>
      <c r="S734" s="5" t="e">
        <f ca="1">IF(OR(INDEX($AI$2:$AI$1001,MATCH(ROWS($AH$2:AH734),$AH$2:$AH$1001,0),1)&gt;=100000,INDEX($AO$1005:$BQ$1005,1,MATCH(COLUMNS($AO$1006:BF1006),$AO$1006:$BQ$1006,0))&gt;=100000), " ",IF(INDEX($AO$2:$BQ$1001,MATCH(ROWS($AH$2:AH734),$AH$2:$AH$1001,0),MATCH(COLUMNS($AO$1006:BF1006),$AO$1006:$BQ$1006,0)), HYPERLINK("#",""), HYPERLINK(CONCATENATE("#Metadata!", ADDRESS(INDEX($AJ$2:$AJ$1001,MATCH(ROWS($AH$2:AH734),$AH$2:$AH$1001,0),0), INDEX($AO$1004:$BQ$1004,1,MATCH(COLUMNS($AO$1006:BF1006),$AO$1006:$BQ$1006,0)))),"Fix")))</f>
        <v>#N/A</v>
      </c>
      <c r="T734" s="5" t="e">
        <f ca="1">IF(OR(INDEX($AI$2:$AI$1001,MATCH(ROWS($AH$2:AH734),$AH$2:$AH$1001,0),1)&gt;=100000,INDEX($AO$1005:$BQ$1005,1,MATCH(COLUMNS($AO$1006:BG1006),$AO$1006:$BQ$1006,0))&gt;=100000), " ",IF(INDEX($AO$2:$BQ$1001,MATCH(ROWS($AH$2:AH734),$AH$2:$AH$1001,0),MATCH(COLUMNS($AO$1006:BG1006),$AO$1006:$BQ$1006,0)), HYPERLINK("#",""), HYPERLINK(CONCATENATE("#Metadata!", ADDRESS(INDEX($AJ$2:$AJ$1001,MATCH(ROWS($AH$2:AH734),$AH$2:$AH$1001,0),0), INDEX($AO$1004:$BQ$1004,1,MATCH(COLUMNS($AO$1006:BG1006),$AO$1006:$BQ$1006,0)))),"Fix")))</f>
        <v>#N/A</v>
      </c>
      <c r="U734" s="5" t="e">
        <f ca="1">IF(OR(INDEX($AI$2:$AI$1001,MATCH(ROWS($AH$2:AH734),$AH$2:$AH$1001,0),1)&gt;=100000,INDEX($AO$1005:$BQ$1005,1,MATCH(COLUMNS($AO$1006:BH1006),$AO$1006:$BQ$1006,0))&gt;=100000), " ",IF(INDEX($AO$2:$BQ$1001,MATCH(ROWS($AH$2:AH734),$AH$2:$AH$1001,0),MATCH(COLUMNS($AO$1006:BH1006),$AO$1006:$BQ$1006,0)), HYPERLINK("#",""), HYPERLINK(CONCATENATE("#Metadata!", ADDRESS(INDEX($AJ$2:$AJ$1001,MATCH(ROWS($AH$2:AH734),$AH$2:$AH$1001,0),0), INDEX($AO$1004:$BQ$1004,1,MATCH(COLUMNS($AO$1006:BH1006),$AO$1006:$BQ$1006,0)))),"Fix")))</f>
        <v>#N/A</v>
      </c>
      <c r="V734" s="5" t="e">
        <f ca="1">IF(OR(INDEX($AI$2:$AI$1001,MATCH(ROWS($AH$2:AH734),$AH$2:$AH$1001,0),1)&gt;=100000,INDEX($AO$1005:$BQ$1005,1,MATCH(COLUMNS($AO$1006:BI1006),$AO$1006:$BQ$1006,0))&gt;=100000), " ",IF(INDEX($AO$2:$BQ$1001,MATCH(ROWS($AH$2:AH734),$AH$2:$AH$1001,0),MATCH(COLUMNS($AO$1006:BI1006),$AO$1006:$BQ$1006,0)), HYPERLINK("#",""), HYPERLINK(CONCATENATE("#Metadata!", ADDRESS(INDEX($AJ$2:$AJ$1001,MATCH(ROWS($AH$2:AH734),$AH$2:$AH$1001,0),0), INDEX($AO$1004:$BQ$1004,1,MATCH(COLUMNS($AO$1006:BI1006),$AO$1006:$BQ$1006,0)))),"Fix")))</f>
        <v>#N/A</v>
      </c>
      <c r="W734" s="5" t="e">
        <f ca="1">IF(OR(INDEX($AI$2:$AI$1001,MATCH(ROWS($AH$2:AH734),$AH$2:$AH$1001,0),1)&gt;=100000,INDEX($AO$1005:$BQ$1005,1,MATCH(COLUMNS($AO$1006:BJ1006),$AO$1006:$BQ$1006,0))&gt;=100000), " ",IF(INDEX($AO$2:$BQ$1001,MATCH(ROWS($AH$2:AH734),$AH$2:$AH$1001,0),MATCH(COLUMNS($AO$1006:BJ1006),$AO$1006:$BQ$1006,0)), HYPERLINK("#",""), HYPERLINK(CONCATENATE("#Metadata!", ADDRESS(INDEX($AJ$2:$AJ$1001,MATCH(ROWS($AH$2:AH734),$AH$2:$AH$1001,0),0), INDEX($AO$1004:$BQ$1004,1,MATCH(COLUMNS($AO$1006:BJ1006),$AO$1006:$BQ$1006,0)))),"Fix")))</f>
        <v>#N/A</v>
      </c>
      <c r="X734" s="5" t="e">
        <f ca="1">IF(OR(INDEX($AI$2:$AI$1001,MATCH(ROWS($AH$2:AH734),$AH$2:$AH$1001,0),1)&gt;=100000,INDEX($AO$1005:$BQ$1005,1,MATCH(COLUMNS($AO$1006:BK1006),$AO$1006:$BQ$1006,0))&gt;=100000), " ",IF(INDEX($AO$2:$BQ$1001,MATCH(ROWS($AH$2:AH734),$AH$2:$AH$1001,0),MATCH(COLUMNS($AO$1006:BK1006),$AO$1006:$BQ$1006,0)), HYPERLINK("#",""), HYPERLINK(CONCATENATE("#Metadata!", ADDRESS(INDEX($AJ$2:$AJ$1001,MATCH(ROWS($AH$2:AH734),$AH$2:$AH$1001,0),0), INDEX($AO$1004:$BQ$1004,1,MATCH(COLUMNS($AO$1006:BK1006),$AO$1006:$BQ$1006,0)))),"Fix")))</f>
        <v>#N/A</v>
      </c>
      <c r="Y734" s="5" t="e">
        <f ca="1">IF(OR(INDEX($AI$2:$AI$1001,MATCH(ROWS($AH$2:AH734),$AH$2:$AH$1001,0),1)&gt;=100000,INDEX($AO$1005:$BQ$1005,1,MATCH(COLUMNS($AO$1006:BL1006),$AO$1006:$BQ$1006,0))&gt;=100000), " ",IF(INDEX($AO$2:$BQ$1001,MATCH(ROWS($AH$2:AH734),$AH$2:$AH$1001,0),MATCH(COLUMNS($AO$1006:BL1006),$AO$1006:$BQ$1006,0)), HYPERLINK("#",""), HYPERLINK(CONCATENATE("#Metadata!", ADDRESS(INDEX($AJ$2:$AJ$1001,MATCH(ROWS($AH$2:AH734),$AH$2:$AH$1001,0),0), INDEX($AO$1004:$BQ$1004,1,MATCH(COLUMNS($AO$1006:BL1006),$AO$1006:$BQ$1006,0)))),"Fix")))</f>
        <v>#N/A</v>
      </c>
      <c r="Z734" s="5" t="e">
        <f ca="1">IF(OR(INDEX($AI$2:$AI$1001,MATCH(ROWS($AH$2:AH734),$AH$2:$AH$1001,0),1)&gt;=100000,INDEX($AO$1005:$BQ$1005,1,MATCH(COLUMNS($AO$1006:BM1006),$AO$1006:$BQ$1006,0))&gt;=100000), " ",IF(INDEX($AO$2:$BQ$1001,MATCH(ROWS($AH$2:AH734),$AH$2:$AH$1001,0),MATCH(COLUMNS($AO$1006:BM1006),$AO$1006:$BQ$1006,0)), HYPERLINK("#",""), HYPERLINK(CONCATENATE("#Metadata!", ADDRESS(INDEX($AJ$2:$AJ$1001,MATCH(ROWS($AH$2:AH734),$AH$2:$AH$1001,0),0), INDEX($AO$1004:$BQ$1004,1,MATCH(COLUMNS($AO$1006:BM1006),$AO$1006:$BQ$1006,0)))),"Fix")))</f>
        <v>#N/A</v>
      </c>
      <c r="AA734" s="5" t="e">
        <f ca="1">IF(OR(INDEX($AI$2:$AI$1001,MATCH(ROWS($AH$2:AH734),$AH$2:$AH$1001,0),1)&gt;=100000,INDEX($AO$1005:$BQ$1005,1,MATCH(COLUMNS($AO$1006:BN1006),$AO$1006:$BQ$1006,0))&gt;=100000), " ",IF(INDEX($AO$2:$BQ$1001,MATCH(ROWS($AH$2:AH734),$AH$2:$AH$1001,0),MATCH(COLUMNS($AO$1006:BN1006),$AO$1006:$BQ$1006,0)), HYPERLINK("#",""), HYPERLINK(CONCATENATE("#Metadata!", ADDRESS(INDEX($AJ$2:$AJ$1001,MATCH(ROWS($AH$2:AH734),$AH$2:$AH$1001,0),0), INDEX($AO$1004:$BQ$1004,1,MATCH(COLUMNS($AO$1006:BN1006),$AO$1006:$BQ$1006,0)))),"Fix")))</f>
        <v>#N/A</v>
      </c>
      <c r="AB734" s="5" t="e">
        <f ca="1">IF(OR(INDEX($AI$2:$AI$1001,MATCH(ROWS($AH$2:AH734),$AH$2:$AH$1001,0),1)&gt;=100000,INDEX($AO$1005:$BQ$1005,1,MATCH(COLUMNS($AO$1006:BO1006),$AO$1006:$BQ$1006,0))&gt;=100000), " ",IF(INDEX($AO$2:$BQ$1001,MATCH(ROWS($AH$2:AH734),$AH$2:$AH$1001,0),MATCH(COLUMNS($AO$1006:BO1006),$AO$1006:$BQ$1006,0)), HYPERLINK("#",""), HYPERLINK(CONCATENATE("#Metadata!", ADDRESS(INDEX($AJ$2:$AJ$1001,MATCH(ROWS($AH$2:AH734),$AH$2:$AH$1001,0),0), INDEX($AO$1004:$BQ$1004,1,MATCH(COLUMNS($AO$1006:BO1006),$AO$1006:$BQ$1006,0)))),"Fix")))</f>
        <v>#N/A</v>
      </c>
      <c r="AC734" s="5" t="e">
        <f ca="1">IF(OR(INDEX($AI$2:$AI$1001,MATCH(ROWS($AH$2:AH734),$AH$2:$AH$1001,0),1)&gt;=100000,INDEX($AO$1005:$BQ$1005,1,MATCH(COLUMNS($AO$1006:BP1006),$AO$1006:$BQ$1006,0))&gt;=100000), " ",IF(INDEX($AO$2:$BQ$1001,MATCH(ROWS($AH$2:AH734),$AH$2:$AH$1001,0),MATCH(COLUMNS($AO$1006:BP1006),$AO$1006:$BQ$1006,0)), HYPERLINK("#",""), HYPERLINK(CONCATENATE("#Metadata!", ADDRESS(INDEX($AJ$2:$AJ$1001,MATCH(ROWS($AH$2:AH734),$AH$2:$AH$1001,0),0), INDEX($AO$1004:$BQ$1004,1,MATCH(COLUMNS($AO$1006:BP1006),$AO$1006:$BQ$1006,0)))),"Fix")))</f>
        <v>#N/A</v>
      </c>
      <c r="AD734" s="5" t="e">
        <f ca="1">IF(OR(INDEX($AI$2:$AI$1001,MATCH(ROWS($AH$2:AH734),$AH$2:$AH$1001,0),1)&gt;=100000,INDEX($AO$1005:$BQ$1005,1,MATCH(COLUMNS($AO$1006:BQ1006),$AO$1006:$BQ$1006,0))&gt;=100000), " ",IF(INDEX($AO$2:$BQ$1001,MATCH(ROWS($AH$2:AH734),$AH$2:$AH$1001,0),MATCH(COLUMNS($AO$1006:BQ1006),$AO$1006:$BQ$1006,0)), HYPERLINK("#",""), HYPERLINK(CONCATENATE("#Metadata!", ADDRESS(INDEX($AJ$2:$AJ$1001,MATCH(ROWS($AH$2:AH734),$AH$2:$AH$1001,0),0), INDEX($AO$1004:$BQ$1004,1,MATCH(COLUMNS($AO$1006:BQ1006),$AO$1006:$BQ$1006,0)))),"Fix")))</f>
        <v>#REF!</v>
      </c>
      <c r="AH734">
        <f ca="1"/>
        <v>731</v>
      </c>
      <c r="AI734">
        <v>100734</v>
      </c>
      <c r="AJ734">
        <v>734</v>
      </c>
      <c r="AK734" t="b">
        <f t="shared" si="11"/>
        <v>1</v>
      </c>
      <c r="AL734" t="b">
        <f>COUNTBLANK(Metadata!B734:AD734)=COLUMNS(Metadata!B734:AD734)</f>
        <v>1</v>
      </c>
      <c r="AM734" t="str">
        <v/>
      </c>
      <c r="AO734" t="b">
        <f ca="1">AND(IF(Metadata!B734="",FALSE,TRUE),COUNTIF(Metadata!B:B, Metadata!B734) = 1,NOT(ISERROR(SUMPRODUCT(SEARCH(MID(Metadata!B734,ROW(INDIRECT("1:"&amp;LEN(Metadata!B734))), 1),"0123456789abcdefghijklmnopqrstuvwxyzABCDEFGHIJKLMNOPQRSTUVWXYZ.")))))</f>
        <v>0</v>
      </c>
      <c r="AP734" t="b">
        <f>IF(Metadata!C734="",FALSE,TRUE)</f>
        <v>0</v>
      </c>
      <c r="AQ734" t="b">
        <f>IF(Metadata!D734="",FALSE,TRUE)</f>
        <v>0</v>
      </c>
      <c r="AR734" t="b">
        <f ca="1">OR(AND(IF(Metadata!E734="",FALSE,TRUE),OR(EXACT(Metadata!E734,"not collected"),EXACT(Metadata!E734,"not provided"),EXACT(Metadata!E734,"restricted access"))),AND(IF(Metadata!E734="",FALSE,TRUE),AND(AND(IFERROR(INT(LEFT(Metadata!E734,4))&gt;1900,FALSE),IFERROR(INT(LEFT(Metadata!E734,4))&lt;=YEAR(NOW()),FALSE)), OR(MID(Metadata!E734,5,1)="", AND(AND(MID(Metadata!E734,5,1)="-",IFERROR(INT(MID(Metadata!E734,6,1))&gt;=0,FALSE),IFERROR(INT(MID(Metadata!E734,6,1))&lt;=1,FALSE),NOT(MID(Metadata!E734,7,1)=""),IFERROR(INT(MID(Metadata!E734,6,2))&gt;=1,FALSE),IFERROR(INT(MID(Metadata!E734,6,2))&lt;=12,FALSE)), OR(MID(Metadata!E734,8,1)="", AND(AND(MID(Metadata!E734,8,1)="-",IFERROR(INT(MID(Metadata!E734,9,1))&gt;=0,FALSE),IFERROR(INT(MID(Metadata!E734,9,1))&lt;=3,FALSE),NOT(MID(Metadata!E734,10,1)=""),IFERROR(INT(MID(Metadata!E734,9,2))&gt;=1,FALSE),IFERROR(INT(MID(Metadata!E734,9,2))&lt;=31,FALSE)), OR(MID(Metadata!E734,11,1)="", AND(AND(MID(Metadata!E734,11,1)=" ",IFERROR(INT(MID(Metadata!E734,12,1))&gt;=0,FALSE),IFERROR(INT(MID(Metadata!E734,12,1))&lt;=2,FALSE),NOT(MID(Metadata!E734,13,1)=""),IFERROR(INT(MID(Metadata!E734,12,2))&gt;=0,FALSE),IFERROR(INT(MID(Metadata!E734,12,2))&lt;=23,FALSE)), OR(MID(Metadata!E734,14,1)="", AND(AND(MID(Metadata!E734,14,1)=":",IFERROR(INT(MID(Metadata!E734,15,1))&gt;=0,FALSE),IFERROR(INT(MID(Metadata!E734,15,1))&lt;=5,FALSE),NOT(MID(Metadata!E734,16,1)=""),IFERROR(INT(MID(Metadata!E734,15,2))&gt;=0,FALSE),IFERROR(INT(MID(Metadata!E734,15,2))&lt;=59,FALSE)), OR(MID(Metadata!E734,17,1)="", AND(AND(MID(Metadata!E734,17,1)=":",IFERROR(INT(MID(Metadata!E734,18,1))&gt;=0,FALSE),IFERROR(INT(MID(Metadata!E734,18,1))&lt;=5,FALSE),NOT(MID(Metadata!E734,19,1)=""),IFERROR(INT(MID(Metadata!E734,18,2))&gt;=0,FALSE),IFERROR(INT(MID(Metadata!E734,18,2))&lt;=59,FALSE)), LEN(Metadata!E734)&lt;=19)))))))))))))</f>
        <v>0</v>
      </c>
      <c r="AS734" t="b">
        <f>IF(Metadata!F734="",FALSE,TRUE)</f>
        <v>0</v>
      </c>
      <c r="AT734" t="b">
        <f>OR(AND(IF(Metadata!G734="",FALSE,TRUE),OR(EXACT(Metadata!G734,"not collected"),EXACT(Metadata!G734,"not provided"))),AND(IF(Metadata!G734="",FALSE,TRUE),OR(EXACT(Metadata!G734,"TRUE"),EXACT(Metadata!G734,"FALSE"))))</f>
        <v>0</v>
      </c>
      <c r="AU734" t="b">
        <f>OR(AND(IF(Metadata!H734="",FALSE,TRUE),OR(EXACT(Metadata!H734,"not collected"),EXACT(Metadata!H734,"not provided"),EXACT(Metadata!H734,"restricted access"))),AND(IF(Metadata!H734="",FALSE,ISNUMBER(VALUE(Metadata!H734))),Metadata!H734&gt;=-413))</f>
        <v>0</v>
      </c>
      <c r="AV734" t="b">
        <f>AND(IF(Metadata!I734="",FALSE,TRUE),EXACT(Metadata!I734,"meters"))</f>
        <v>0</v>
      </c>
      <c r="AW734" t="b">
        <f>AND(IF(Metadata!J734="",FALSE,TRUE),EXACT(Metadata!J734,"free-living"))</f>
        <v>0</v>
      </c>
      <c r="AX734" t="b">
        <f>AND(IF(Metadata!K734="",FALSE,TRUE),OR(EXACT(Metadata!K734,"saline"),EXACT(Metadata!K734,"non-saline")))</f>
        <v>0</v>
      </c>
      <c r="AY734" t="b">
        <f>AND(IF(Metadata!L734="",FALSE,TRUE),OR(EXACT(Metadata!L734,"sub-surface (non-saline)"),EXACT(Metadata!L734,"surface (non-saline)"),EXACT(Metadata!L734,"water (non-saline)"),EXACT(Metadata!L734,"soil (non-saline)"),EXACT(Metadata!L734,"aerosol (non-saline)"),EXACT(Metadata!L734,"sediment (non-saline)"),EXACT(Metadata!L734,"surface (saline)"),EXACT(Metadata!L734,"water (saline)"),EXACT(Metadata!L734,"hypersaline (saline)"),EXACT(Metadata!L734,"aerosol (saline)"),EXACT(Metadata!L734,"sediment (saline)")))</f>
        <v>0</v>
      </c>
      <c r="AZ734" t="b">
        <f>IF(Metadata!M734="",FALSE,TRUE)</f>
        <v>0</v>
      </c>
      <c r="BA734" t="b">
        <f>IF(Metadata!N734="",FALSE,TRUE)</f>
        <v>0</v>
      </c>
      <c r="BB734" t="b">
        <f>IF(Metadata!O734="",FALSE,TRUE)</f>
        <v>0</v>
      </c>
      <c r="BC734" t="b">
        <f>AND(IF(Metadata!P734="",FALSE,TRUE),OR(EXACT(Metadata!P734,"air"),EXACT(Metadata!P734,"microbial mat/biofilm"),EXACT(Metadata!P734,"misc environment"),EXACT(Metadata!P734,"sediment"),EXACT(Metadata!P734,"soil"),EXACT(Metadata!P734,"wastewater/sludge"),EXACT(Metadata!P734,"water")))</f>
        <v>0</v>
      </c>
      <c r="BD734" t="b">
        <f>IF(Metadata!Q734="",FALSE,TRUE)</f>
        <v>0</v>
      </c>
      <c r="BE734" t="b">
        <f>IF(Metadata!R734="",FALSE,TRUE)</f>
        <v>0</v>
      </c>
      <c r="BF734" t="b">
        <f>OR(AND(IF(Metadata!S734="",FALSE,TRUE),OR(EXACT(Metadata!S734,"not collected"),EXACT(Metadata!S734,"not provided"),EXACT(Metadata!S734,"restricted access"))),AND(IF(Metadata!S734="",FALSE,ISNUMBER(VALUE(Metadata!S734))),Metadata!S734&gt;=-90,Metadata!S734&lt;=90))</f>
        <v>0</v>
      </c>
      <c r="BG734" t="b">
        <f>AND(IF(Metadata!T734="",FALSE,TRUE),EXACT(Metadata!T734,"Decimal degrees"))</f>
        <v>0</v>
      </c>
      <c r="BH734" t="b">
        <f>OR(AND(IF(Metadata!U734="",FALSE,TRUE),OR(EXACT(Metadata!U734,"not applicable"),EXACT(Metadata!U734,"not collected"))),IF(Metadata!U734="",FALSE,TRUE))</f>
        <v>0</v>
      </c>
      <c r="BI734" t="b">
        <f>OR(AND(IF(Metadata!V734="",FALSE,TRUE),OR(EXACT(Metadata!V734,"not collected"),EXACT(Metadata!V734,"not provided"),EXACT(Metadata!V734,"restricted access"))),AND(IF(Metadata!V734="",FALSE,ISNUMBER(VALUE(Metadata!V734))),Metadata!V734&gt;=-180,Metadata!V734&lt;=180))</f>
        <v>0</v>
      </c>
      <c r="BJ734" t="b">
        <f>AND(IF(Metadata!W734="",FALSE,TRUE),EXACT(Metadata!W734,"Decimal degrees"))</f>
        <v>0</v>
      </c>
      <c r="BK734" t="b">
        <f>IF(Metadata!X734="",FALSE,TRUE)</f>
        <v>0</v>
      </c>
      <c r="BL734" t="b">
        <f>OR(AND(IF(Metadata!Y734="",FALSE,TRUE),OR(EXACT(Metadata!Y734,"not collected"),EXACT(Metadata!Y734,"not provided"),EXACT(Metadata!Y734,"restricted access"))),AND(IF(Metadata!Y734="",FALSE,TRUE),OR(EXACT(Metadata!Y734,"TRUE"),EXACT(Metadata!Y734,"FALSE"))))</f>
        <v>0</v>
      </c>
      <c r="BM734" t="b">
        <f>OR(AND(IF(Metadata!Z734="",FALSE,TRUE),EXACT(Metadata!Z734,"not applicable")),AND(IF(Metadata!Z734="",FALSE,TRUE),OR(EXACT(Metadata!Z734,"beer"),EXACT(Metadata!Z734,"cheese"),EXACT(Metadata!Z734,"fresh water"),EXACT(Metadata!Z734,"marine sediment"),EXACT(Metadata!Z734,"sea water"),EXACT(Metadata!Z734,"sediment"),EXACT(Metadata!Z734,"soil"),EXACT(Metadata!Z734,"waste water"))))</f>
        <v>0</v>
      </c>
      <c r="BN734" t="b">
        <f>AND(IF(Metadata!AA734="",FALSE,TRUE),EXACT(Metadata!AA734,"metagenome"))</f>
        <v>0</v>
      </c>
      <c r="BO734" t="b">
        <f>AND(IF(Metadata!AB734="",FALSE,TRUE),EXACT(Metadata!AB734,"256318"))</f>
        <v>0</v>
      </c>
      <c r="BP734" t="b">
        <f>IF(Metadata!AC734="",FALSE,TRUE)</f>
        <v>0</v>
      </c>
      <c r="BQ734" t="b">
        <f>IF(Metadata!AD734="",FALSE,TRUE)</f>
        <v>0</v>
      </c>
    </row>
    <row r="735" spans="1:69" x14ac:dyDescent="0.2">
      <c r="A735" s="4" t="e">
        <f ca="1">IF(B735=" "," ",HYPERLINK(CONCATENATE("#metadata!",ADDRESS(INDEX($AJ$2:$AJ$1001,MATCH(ROWS($AH$2:AH735),$AH$2:$AH$1001,0),0),2)),INDEX($AM$2:$AM$1001,MATCH(ROWS($AH$2:AH735),$AH$2:$AH$1001,0),0)))</f>
        <v>#N/A</v>
      </c>
      <c r="B735" s="5" t="e">
        <f ca="1">IF(OR(INDEX($AI$2:$AI$1001,MATCH(ROWS($AH$2:AH735),$AH$2:$AH$1001,0),1)&gt;=100000,INDEX($AO$1005:$BQ$1005,1,MATCH(COLUMNS($AO$1006:AO1006),$AO$1006:$BQ$1006,0))&gt;=100000), " ",IF(INDEX($AO$2:$BQ$1001,MATCH(ROWS($AH$2:AH735),$AH$2:$AH$1001,0),MATCH(COLUMNS($AO$1006:AO1006),$AO$1006:$BQ$1006,0)), HYPERLINK("#",""), HYPERLINK(CONCATENATE("#Metadata!", ADDRESS(INDEX($AJ$2:$AJ$1001,MATCH(ROWS($AH$2:AH735),$AH$2:$AH$1001,0),0), INDEX($AO$1004:$BQ$1004,1,MATCH(COLUMNS($AO$1006:AO1006),$AO$1006:$BQ$1006,0)))),"Fix")))</f>
        <v>#N/A</v>
      </c>
      <c r="C735" s="5" t="e">
        <f ca="1">IF(OR(INDEX($AI$2:$AI$1001,MATCH(ROWS($AH$2:AH735),$AH$2:$AH$1001,0),1)&gt;=100000,INDEX($AO$1005:$BQ$1005,1,MATCH(COLUMNS($AO$1006:AP1006),$AO$1006:$BQ$1006,0))&gt;=100000), " ",IF(INDEX($AO$2:$BQ$1001,MATCH(ROWS($AH$2:AH735),$AH$2:$AH$1001,0),MATCH(COLUMNS($AO$1006:AP1006),$AO$1006:$BQ$1006,0)), HYPERLINK("#",""), HYPERLINK(CONCATENATE("#Metadata!", ADDRESS(INDEX($AJ$2:$AJ$1001,MATCH(ROWS($AH$2:AH735),$AH$2:$AH$1001,0),0), INDEX($AO$1004:$BQ$1004,1,MATCH(COLUMNS($AO$1006:AP1006),$AO$1006:$BQ$1006,0)))),"Fix")))</f>
        <v>#N/A</v>
      </c>
      <c r="D735" s="5" t="e">
        <f ca="1">IF(OR(INDEX($AI$2:$AI$1001,MATCH(ROWS($AH$2:AH735),$AH$2:$AH$1001,0),1)&gt;=100000,INDEX($AO$1005:$BQ$1005,1,MATCH(COLUMNS($AO$1006:AQ1006),$AO$1006:$BQ$1006,0))&gt;=100000), " ",IF(INDEX($AO$2:$BQ$1001,MATCH(ROWS($AH$2:AH735),$AH$2:$AH$1001,0),MATCH(COLUMNS($AO$1006:AQ1006),$AO$1006:$BQ$1006,0)), HYPERLINK("#",""), HYPERLINK(CONCATENATE("#Metadata!", ADDRESS(INDEX($AJ$2:$AJ$1001,MATCH(ROWS($AH$2:AH735),$AH$2:$AH$1001,0),0), INDEX($AO$1004:$BQ$1004,1,MATCH(COLUMNS($AO$1006:AQ1006),$AO$1006:$BQ$1006,0)))),"Fix")))</f>
        <v>#N/A</v>
      </c>
      <c r="E735" s="5" t="e">
        <f ca="1">IF(OR(INDEX($AI$2:$AI$1001,MATCH(ROWS($AH$2:AH735),$AH$2:$AH$1001,0),1)&gt;=100000,INDEX($AO$1005:$BQ$1005,1,MATCH(COLUMNS($AO$1006:AR1006),$AO$1006:$BQ$1006,0))&gt;=100000), " ",IF(INDEX($AO$2:$BQ$1001,MATCH(ROWS($AH$2:AH735),$AH$2:$AH$1001,0),MATCH(COLUMNS($AO$1006:AR1006),$AO$1006:$BQ$1006,0)), HYPERLINK("#",""), HYPERLINK(CONCATENATE("#Metadata!", ADDRESS(INDEX($AJ$2:$AJ$1001,MATCH(ROWS($AH$2:AH735),$AH$2:$AH$1001,0),0), INDEX($AO$1004:$BQ$1004,1,MATCH(COLUMNS($AO$1006:AR1006),$AO$1006:$BQ$1006,0)))),"Fix")))</f>
        <v>#N/A</v>
      </c>
      <c r="F735" s="5" t="e">
        <f ca="1">IF(OR(INDEX($AI$2:$AI$1001,MATCH(ROWS($AH$2:AH735),$AH$2:$AH$1001,0),1)&gt;=100000,INDEX($AO$1005:$BQ$1005,1,MATCH(COLUMNS($AO$1006:AS1006),$AO$1006:$BQ$1006,0))&gt;=100000), " ",IF(INDEX($AO$2:$BQ$1001,MATCH(ROWS($AH$2:AH735),$AH$2:$AH$1001,0),MATCH(COLUMNS($AO$1006:AS1006),$AO$1006:$BQ$1006,0)), HYPERLINK("#",""), HYPERLINK(CONCATENATE("#Metadata!", ADDRESS(INDEX($AJ$2:$AJ$1001,MATCH(ROWS($AH$2:AH735),$AH$2:$AH$1001,0),0), INDEX($AO$1004:$BQ$1004,1,MATCH(COLUMNS($AO$1006:AS1006),$AO$1006:$BQ$1006,0)))),"Fix")))</f>
        <v>#N/A</v>
      </c>
      <c r="G735" s="5" t="e">
        <f ca="1">IF(OR(INDEX($AI$2:$AI$1001,MATCH(ROWS($AH$2:AH735),$AH$2:$AH$1001,0),1)&gt;=100000,INDEX($AO$1005:$BQ$1005,1,MATCH(COLUMNS($AO$1006:AT1006),$AO$1006:$BQ$1006,0))&gt;=100000), " ",IF(INDEX($AO$2:$BQ$1001,MATCH(ROWS($AH$2:AH735),$AH$2:$AH$1001,0),MATCH(COLUMNS($AO$1006:AT1006),$AO$1006:$BQ$1006,0)), HYPERLINK("#",""), HYPERLINK(CONCATENATE("#Metadata!", ADDRESS(INDEX($AJ$2:$AJ$1001,MATCH(ROWS($AH$2:AH735),$AH$2:$AH$1001,0),0), INDEX($AO$1004:$BQ$1004,1,MATCH(COLUMNS($AO$1006:AT1006),$AO$1006:$BQ$1006,0)))),"Fix")))</f>
        <v>#N/A</v>
      </c>
      <c r="H735" s="5" t="e">
        <f ca="1">IF(OR(INDEX($AI$2:$AI$1001,MATCH(ROWS($AH$2:AH735),$AH$2:$AH$1001,0),1)&gt;=100000,INDEX($AO$1005:$BQ$1005,1,MATCH(COLUMNS($AO$1006:AU1006),$AO$1006:$BQ$1006,0))&gt;=100000), " ",IF(INDEX($AO$2:$BQ$1001,MATCH(ROWS($AH$2:AH735),$AH$2:$AH$1001,0),MATCH(COLUMNS($AO$1006:AU1006),$AO$1006:$BQ$1006,0)), HYPERLINK("#",""), HYPERLINK(CONCATENATE("#Metadata!", ADDRESS(INDEX($AJ$2:$AJ$1001,MATCH(ROWS($AH$2:AH735),$AH$2:$AH$1001,0),0), INDEX($AO$1004:$BQ$1004,1,MATCH(COLUMNS($AO$1006:AU1006),$AO$1006:$BQ$1006,0)))),"Fix")))</f>
        <v>#N/A</v>
      </c>
      <c r="I735" s="5" t="e">
        <f ca="1">IF(OR(INDEX($AI$2:$AI$1001,MATCH(ROWS($AH$2:AH735),$AH$2:$AH$1001,0),1)&gt;=100000,INDEX($AO$1005:$BQ$1005,1,MATCH(COLUMNS($AO$1006:AV1006),$AO$1006:$BQ$1006,0))&gt;=100000), " ",IF(INDEX($AO$2:$BQ$1001,MATCH(ROWS($AH$2:AH735),$AH$2:$AH$1001,0),MATCH(COLUMNS($AO$1006:AV1006),$AO$1006:$BQ$1006,0)), HYPERLINK("#",""), HYPERLINK(CONCATENATE("#Metadata!", ADDRESS(INDEX($AJ$2:$AJ$1001,MATCH(ROWS($AH$2:AH735),$AH$2:$AH$1001,0),0), INDEX($AO$1004:$BQ$1004,1,MATCH(COLUMNS($AO$1006:AV1006),$AO$1006:$BQ$1006,0)))),"Fix")))</f>
        <v>#N/A</v>
      </c>
      <c r="J735" s="5" t="e">
        <f ca="1">IF(OR(INDEX($AI$2:$AI$1001,MATCH(ROWS($AH$2:AH735),$AH$2:$AH$1001,0),1)&gt;=100000,INDEX($AO$1005:$BQ$1005,1,MATCH(COLUMNS($AO$1006:AW1006),$AO$1006:$BQ$1006,0))&gt;=100000), " ",IF(INDEX($AO$2:$BQ$1001,MATCH(ROWS($AH$2:AH735),$AH$2:$AH$1001,0),MATCH(COLUMNS($AO$1006:AW1006),$AO$1006:$BQ$1006,0)), HYPERLINK("#",""), HYPERLINK(CONCATENATE("#Metadata!", ADDRESS(INDEX($AJ$2:$AJ$1001,MATCH(ROWS($AH$2:AH735),$AH$2:$AH$1001,0),0), INDEX($AO$1004:$BQ$1004,1,MATCH(COLUMNS($AO$1006:AW1006),$AO$1006:$BQ$1006,0)))),"Fix")))</f>
        <v>#N/A</v>
      </c>
      <c r="K735" s="5" t="e">
        <f ca="1">IF(OR(INDEX($AI$2:$AI$1001,MATCH(ROWS($AH$2:AH735),$AH$2:$AH$1001,0),1)&gt;=100000,INDEX($AO$1005:$BQ$1005,1,MATCH(COLUMNS($AO$1006:AX1006),$AO$1006:$BQ$1006,0))&gt;=100000), " ",IF(INDEX($AO$2:$BQ$1001,MATCH(ROWS($AH$2:AH735),$AH$2:$AH$1001,0),MATCH(COLUMNS($AO$1006:AX1006),$AO$1006:$BQ$1006,0)), HYPERLINK("#",""), HYPERLINK(CONCATENATE("#Metadata!", ADDRESS(INDEX($AJ$2:$AJ$1001,MATCH(ROWS($AH$2:AH735),$AH$2:$AH$1001,0),0), INDEX($AO$1004:$BQ$1004,1,MATCH(COLUMNS($AO$1006:AX1006),$AO$1006:$BQ$1006,0)))),"Fix")))</f>
        <v>#N/A</v>
      </c>
      <c r="L735" s="5" t="e">
        <f ca="1">IF(OR(INDEX($AI$2:$AI$1001,MATCH(ROWS($AH$2:AH735),$AH$2:$AH$1001,0),1)&gt;=100000,INDEX($AO$1005:$BQ$1005,1,MATCH(COLUMNS($AO$1006:AY1006),$AO$1006:$BQ$1006,0))&gt;=100000), " ",IF(INDEX($AO$2:$BQ$1001,MATCH(ROWS($AH$2:AH735),$AH$2:$AH$1001,0),MATCH(COLUMNS($AO$1006:AY1006),$AO$1006:$BQ$1006,0)), HYPERLINK("#",""), HYPERLINK(CONCATENATE("#Metadata!", ADDRESS(INDEX($AJ$2:$AJ$1001,MATCH(ROWS($AH$2:AH735),$AH$2:$AH$1001,0),0), INDEX($AO$1004:$BQ$1004,1,MATCH(COLUMNS($AO$1006:AY1006),$AO$1006:$BQ$1006,0)))),"Fix")))</f>
        <v>#N/A</v>
      </c>
      <c r="M735" s="5" t="e">
        <f ca="1">IF(OR(INDEX($AI$2:$AI$1001,MATCH(ROWS($AH$2:AH735),$AH$2:$AH$1001,0),1)&gt;=100000,INDEX($AO$1005:$BQ$1005,1,MATCH(COLUMNS($AO$1006:AZ1006),$AO$1006:$BQ$1006,0))&gt;=100000), " ",IF(INDEX($AO$2:$BQ$1001,MATCH(ROWS($AH$2:AH735),$AH$2:$AH$1001,0),MATCH(COLUMNS($AO$1006:AZ1006),$AO$1006:$BQ$1006,0)), HYPERLINK("#",""), HYPERLINK(CONCATENATE("#Metadata!", ADDRESS(INDEX($AJ$2:$AJ$1001,MATCH(ROWS($AH$2:AH735),$AH$2:$AH$1001,0),0), INDEX($AO$1004:$BQ$1004,1,MATCH(COLUMNS($AO$1006:AZ1006),$AO$1006:$BQ$1006,0)))),"Fix")))</f>
        <v>#N/A</v>
      </c>
      <c r="N735" s="5" t="e">
        <f ca="1">IF(OR(INDEX($AI$2:$AI$1001,MATCH(ROWS($AH$2:AH735),$AH$2:$AH$1001,0),1)&gt;=100000,INDEX($AO$1005:$BQ$1005,1,MATCH(COLUMNS($AO$1006:BA1006),$AO$1006:$BQ$1006,0))&gt;=100000), " ",IF(INDEX($AO$2:$BQ$1001,MATCH(ROWS($AH$2:AH735),$AH$2:$AH$1001,0),MATCH(COLUMNS($AO$1006:BA1006),$AO$1006:$BQ$1006,0)), HYPERLINK("#",""), HYPERLINK(CONCATENATE("#Metadata!", ADDRESS(INDEX($AJ$2:$AJ$1001,MATCH(ROWS($AH$2:AH735),$AH$2:$AH$1001,0),0), INDEX($AO$1004:$BQ$1004,1,MATCH(COLUMNS($AO$1006:BA1006),$AO$1006:$BQ$1006,0)))),"Fix")))</f>
        <v>#N/A</v>
      </c>
      <c r="O735" s="5" t="e">
        <f ca="1">IF(OR(INDEX($AI$2:$AI$1001,MATCH(ROWS($AH$2:AH735),$AH$2:$AH$1001,0),1)&gt;=100000,INDEX($AO$1005:$BQ$1005,1,MATCH(COLUMNS($AO$1006:BB1006),$AO$1006:$BQ$1006,0))&gt;=100000), " ",IF(INDEX($AO$2:$BQ$1001,MATCH(ROWS($AH$2:AH735),$AH$2:$AH$1001,0),MATCH(COLUMNS($AO$1006:BB1006),$AO$1006:$BQ$1006,0)), HYPERLINK("#",""), HYPERLINK(CONCATENATE("#Metadata!", ADDRESS(INDEX($AJ$2:$AJ$1001,MATCH(ROWS($AH$2:AH735),$AH$2:$AH$1001,0),0), INDEX($AO$1004:$BQ$1004,1,MATCH(COLUMNS($AO$1006:BB1006),$AO$1006:$BQ$1006,0)))),"Fix")))</f>
        <v>#N/A</v>
      </c>
      <c r="P735" s="5" t="e">
        <f ca="1">IF(OR(INDEX($AI$2:$AI$1001,MATCH(ROWS($AH$2:AH735),$AH$2:$AH$1001,0),1)&gt;=100000,INDEX($AO$1005:$BQ$1005,1,MATCH(COLUMNS($AO$1006:BC1006),$AO$1006:$BQ$1006,0))&gt;=100000), " ",IF(INDEX($AO$2:$BQ$1001,MATCH(ROWS($AH$2:AH735),$AH$2:$AH$1001,0),MATCH(COLUMNS($AO$1006:BC1006),$AO$1006:$BQ$1006,0)), HYPERLINK("#",""), HYPERLINK(CONCATENATE("#Metadata!", ADDRESS(INDEX($AJ$2:$AJ$1001,MATCH(ROWS($AH$2:AH735),$AH$2:$AH$1001,0),0), INDEX($AO$1004:$BQ$1004,1,MATCH(COLUMNS($AO$1006:BC1006),$AO$1006:$BQ$1006,0)))),"Fix")))</f>
        <v>#N/A</v>
      </c>
      <c r="Q735" s="5" t="e">
        <f ca="1">IF(OR(INDEX($AI$2:$AI$1001,MATCH(ROWS($AH$2:AH735),$AH$2:$AH$1001,0),1)&gt;=100000,INDEX($AO$1005:$BQ$1005,1,MATCH(COLUMNS($AO$1006:BD1006),$AO$1006:$BQ$1006,0))&gt;=100000), " ",IF(INDEX($AO$2:$BQ$1001,MATCH(ROWS($AH$2:AH735),$AH$2:$AH$1001,0),MATCH(COLUMNS($AO$1006:BD1006),$AO$1006:$BQ$1006,0)), HYPERLINK("#",""), HYPERLINK(CONCATENATE("#Metadata!", ADDRESS(INDEX($AJ$2:$AJ$1001,MATCH(ROWS($AH$2:AH735),$AH$2:$AH$1001,0),0), INDEX($AO$1004:$BQ$1004,1,MATCH(COLUMNS($AO$1006:BD1006),$AO$1006:$BQ$1006,0)))),"Fix")))</f>
        <v>#N/A</v>
      </c>
      <c r="R735" s="5" t="e">
        <f ca="1">IF(OR(INDEX($AI$2:$AI$1001,MATCH(ROWS($AH$2:AH735),$AH$2:$AH$1001,0),1)&gt;=100000,INDEX($AO$1005:$BQ$1005,1,MATCH(COLUMNS($AO$1006:BE1006),$AO$1006:$BQ$1006,0))&gt;=100000), " ",IF(INDEX($AO$2:$BQ$1001,MATCH(ROWS($AH$2:AH735),$AH$2:$AH$1001,0),MATCH(COLUMNS($AO$1006:BE1006),$AO$1006:$BQ$1006,0)), HYPERLINK("#",""), HYPERLINK(CONCATENATE("#Metadata!", ADDRESS(INDEX($AJ$2:$AJ$1001,MATCH(ROWS($AH$2:AH735),$AH$2:$AH$1001,0),0), INDEX($AO$1004:$BQ$1004,1,MATCH(COLUMNS($AO$1006:BE1006),$AO$1006:$BQ$1006,0)))),"Fix")))</f>
        <v>#N/A</v>
      </c>
      <c r="S735" s="5" t="e">
        <f ca="1">IF(OR(INDEX($AI$2:$AI$1001,MATCH(ROWS($AH$2:AH735),$AH$2:$AH$1001,0),1)&gt;=100000,INDEX($AO$1005:$BQ$1005,1,MATCH(COLUMNS($AO$1006:BF1006),$AO$1006:$BQ$1006,0))&gt;=100000), " ",IF(INDEX($AO$2:$BQ$1001,MATCH(ROWS($AH$2:AH735),$AH$2:$AH$1001,0),MATCH(COLUMNS($AO$1006:BF1006),$AO$1006:$BQ$1006,0)), HYPERLINK("#",""), HYPERLINK(CONCATENATE("#Metadata!", ADDRESS(INDEX($AJ$2:$AJ$1001,MATCH(ROWS($AH$2:AH735),$AH$2:$AH$1001,0),0), INDEX($AO$1004:$BQ$1004,1,MATCH(COLUMNS($AO$1006:BF1006),$AO$1006:$BQ$1006,0)))),"Fix")))</f>
        <v>#N/A</v>
      </c>
      <c r="T735" s="5" t="e">
        <f ca="1">IF(OR(INDEX($AI$2:$AI$1001,MATCH(ROWS($AH$2:AH735),$AH$2:$AH$1001,0),1)&gt;=100000,INDEX($AO$1005:$BQ$1005,1,MATCH(COLUMNS($AO$1006:BG1006),$AO$1006:$BQ$1006,0))&gt;=100000), " ",IF(INDEX($AO$2:$BQ$1001,MATCH(ROWS($AH$2:AH735),$AH$2:$AH$1001,0),MATCH(COLUMNS($AO$1006:BG1006),$AO$1006:$BQ$1006,0)), HYPERLINK("#",""), HYPERLINK(CONCATENATE("#Metadata!", ADDRESS(INDEX($AJ$2:$AJ$1001,MATCH(ROWS($AH$2:AH735),$AH$2:$AH$1001,0),0), INDEX($AO$1004:$BQ$1004,1,MATCH(COLUMNS($AO$1006:BG1006),$AO$1006:$BQ$1006,0)))),"Fix")))</f>
        <v>#N/A</v>
      </c>
      <c r="U735" s="5" t="e">
        <f ca="1">IF(OR(INDEX($AI$2:$AI$1001,MATCH(ROWS($AH$2:AH735),$AH$2:$AH$1001,0),1)&gt;=100000,INDEX($AO$1005:$BQ$1005,1,MATCH(COLUMNS($AO$1006:BH1006),$AO$1006:$BQ$1006,0))&gt;=100000), " ",IF(INDEX($AO$2:$BQ$1001,MATCH(ROWS($AH$2:AH735),$AH$2:$AH$1001,0),MATCH(COLUMNS($AO$1006:BH1006),$AO$1006:$BQ$1006,0)), HYPERLINK("#",""), HYPERLINK(CONCATENATE("#Metadata!", ADDRESS(INDEX($AJ$2:$AJ$1001,MATCH(ROWS($AH$2:AH735),$AH$2:$AH$1001,0),0), INDEX($AO$1004:$BQ$1004,1,MATCH(COLUMNS($AO$1006:BH1006),$AO$1006:$BQ$1006,0)))),"Fix")))</f>
        <v>#N/A</v>
      </c>
      <c r="V735" s="5" t="e">
        <f ca="1">IF(OR(INDEX($AI$2:$AI$1001,MATCH(ROWS($AH$2:AH735),$AH$2:$AH$1001,0),1)&gt;=100000,INDEX($AO$1005:$BQ$1005,1,MATCH(COLUMNS($AO$1006:BI1006),$AO$1006:$BQ$1006,0))&gt;=100000), " ",IF(INDEX($AO$2:$BQ$1001,MATCH(ROWS($AH$2:AH735),$AH$2:$AH$1001,0),MATCH(COLUMNS($AO$1006:BI1006),$AO$1006:$BQ$1006,0)), HYPERLINK("#",""), HYPERLINK(CONCATENATE("#Metadata!", ADDRESS(INDEX($AJ$2:$AJ$1001,MATCH(ROWS($AH$2:AH735),$AH$2:$AH$1001,0),0), INDEX($AO$1004:$BQ$1004,1,MATCH(COLUMNS($AO$1006:BI1006),$AO$1006:$BQ$1006,0)))),"Fix")))</f>
        <v>#N/A</v>
      </c>
      <c r="W735" s="5" t="e">
        <f ca="1">IF(OR(INDEX($AI$2:$AI$1001,MATCH(ROWS($AH$2:AH735),$AH$2:$AH$1001,0),1)&gt;=100000,INDEX($AO$1005:$BQ$1005,1,MATCH(COLUMNS($AO$1006:BJ1006),$AO$1006:$BQ$1006,0))&gt;=100000), " ",IF(INDEX($AO$2:$BQ$1001,MATCH(ROWS($AH$2:AH735),$AH$2:$AH$1001,0),MATCH(COLUMNS($AO$1006:BJ1006),$AO$1006:$BQ$1006,0)), HYPERLINK("#",""), HYPERLINK(CONCATENATE("#Metadata!", ADDRESS(INDEX($AJ$2:$AJ$1001,MATCH(ROWS($AH$2:AH735),$AH$2:$AH$1001,0),0), INDEX($AO$1004:$BQ$1004,1,MATCH(COLUMNS($AO$1006:BJ1006),$AO$1006:$BQ$1006,0)))),"Fix")))</f>
        <v>#N/A</v>
      </c>
      <c r="X735" s="5" t="e">
        <f ca="1">IF(OR(INDEX($AI$2:$AI$1001,MATCH(ROWS($AH$2:AH735),$AH$2:$AH$1001,0),1)&gt;=100000,INDEX($AO$1005:$BQ$1005,1,MATCH(COLUMNS($AO$1006:BK1006),$AO$1006:$BQ$1006,0))&gt;=100000), " ",IF(INDEX($AO$2:$BQ$1001,MATCH(ROWS($AH$2:AH735),$AH$2:$AH$1001,0),MATCH(COLUMNS($AO$1006:BK1006),$AO$1006:$BQ$1006,0)), HYPERLINK("#",""), HYPERLINK(CONCATENATE("#Metadata!", ADDRESS(INDEX($AJ$2:$AJ$1001,MATCH(ROWS($AH$2:AH735),$AH$2:$AH$1001,0),0), INDEX($AO$1004:$BQ$1004,1,MATCH(COLUMNS($AO$1006:BK1006),$AO$1006:$BQ$1006,0)))),"Fix")))</f>
        <v>#N/A</v>
      </c>
      <c r="Y735" s="5" t="e">
        <f ca="1">IF(OR(INDEX($AI$2:$AI$1001,MATCH(ROWS($AH$2:AH735),$AH$2:$AH$1001,0),1)&gt;=100000,INDEX($AO$1005:$BQ$1005,1,MATCH(COLUMNS($AO$1006:BL1006),$AO$1006:$BQ$1006,0))&gt;=100000), " ",IF(INDEX($AO$2:$BQ$1001,MATCH(ROWS($AH$2:AH735),$AH$2:$AH$1001,0),MATCH(COLUMNS($AO$1006:BL1006),$AO$1006:$BQ$1006,0)), HYPERLINK("#",""), HYPERLINK(CONCATENATE("#Metadata!", ADDRESS(INDEX($AJ$2:$AJ$1001,MATCH(ROWS($AH$2:AH735),$AH$2:$AH$1001,0),0), INDEX($AO$1004:$BQ$1004,1,MATCH(COLUMNS($AO$1006:BL1006),$AO$1006:$BQ$1006,0)))),"Fix")))</f>
        <v>#N/A</v>
      </c>
      <c r="Z735" s="5" t="e">
        <f ca="1">IF(OR(INDEX($AI$2:$AI$1001,MATCH(ROWS($AH$2:AH735),$AH$2:$AH$1001,0),1)&gt;=100000,INDEX($AO$1005:$BQ$1005,1,MATCH(COLUMNS($AO$1006:BM1006),$AO$1006:$BQ$1006,0))&gt;=100000), " ",IF(INDEX($AO$2:$BQ$1001,MATCH(ROWS($AH$2:AH735),$AH$2:$AH$1001,0),MATCH(COLUMNS($AO$1006:BM1006),$AO$1006:$BQ$1006,0)), HYPERLINK("#",""), HYPERLINK(CONCATENATE("#Metadata!", ADDRESS(INDEX($AJ$2:$AJ$1001,MATCH(ROWS($AH$2:AH735),$AH$2:$AH$1001,0),0), INDEX($AO$1004:$BQ$1004,1,MATCH(COLUMNS($AO$1006:BM1006),$AO$1006:$BQ$1006,0)))),"Fix")))</f>
        <v>#N/A</v>
      </c>
      <c r="AA735" s="5" t="e">
        <f ca="1">IF(OR(INDEX($AI$2:$AI$1001,MATCH(ROWS($AH$2:AH735),$AH$2:$AH$1001,0),1)&gt;=100000,INDEX($AO$1005:$BQ$1005,1,MATCH(COLUMNS($AO$1006:BN1006),$AO$1006:$BQ$1006,0))&gt;=100000), " ",IF(INDEX($AO$2:$BQ$1001,MATCH(ROWS($AH$2:AH735),$AH$2:$AH$1001,0),MATCH(COLUMNS($AO$1006:BN1006),$AO$1006:$BQ$1006,0)), HYPERLINK("#",""), HYPERLINK(CONCATENATE("#Metadata!", ADDRESS(INDEX($AJ$2:$AJ$1001,MATCH(ROWS($AH$2:AH735),$AH$2:$AH$1001,0),0), INDEX($AO$1004:$BQ$1004,1,MATCH(COLUMNS($AO$1006:BN1006),$AO$1006:$BQ$1006,0)))),"Fix")))</f>
        <v>#N/A</v>
      </c>
      <c r="AB735" s="5" t="e">
        <f ca="1">IF(OR(INDEX($AI$2:$AI$1001,MATCH(ROWS($AH$2:AH735),$AH$2:$AH$1001,0),1)&gt;=100000,INDEX($AO$1005:$BQ$1005,1,MATCH(COLUMNS($AO$1006:BO1006),$AO$1006:$BQ$1006,0))&gt;=100000), " ",IF(INDEX($AO$2:$BQ$1001,MATCH(ROWS($AH$2:AH735),$AH$2:$AH$1001,0),MATCH(COLUMNS($AO$1006:BO1006),$AO$1006:$BQ$1006,0)), HYPERLINK("#",""), HYPERLINK(CONCATENATE("#Metadata!", ADDRESS(INDEX($AJ$2:$AJ$1001,MATCH(ROWS($AH$2:AH735),$AH$2:$AH$1001,0),0), INDEX($AO$1004:$BQ$1004,1,MATCH(COLUMNS($AO$1006:BO1006),$AO$1006:$BQ$1006,0)))),"Fix")))</f>
        <v>#N/A</v>
      </c>
      <c r="AC735" s="5" t="e">
        <f ca="1">IF(OR(INDEX($AI$2:$AI$1001,MATCH(ROWS($AH$2:AH735),$AH$2:$AH$1001,0),1)&gt;=100000,INDEX($AO$1005:$BQ$1005,1,MATCH(COLUMNS($AO$1006:BP1006),$AO$1006:$BQ$1006,0))&gt;=100000), " ",IF(INDEX($AO$2:$BQ$1001,MATCH(ROWS($AH$2:AH735),$AH$2:$AH$1001,0),MATCH(COLUMNS($AO$1006:BP1006),$AO$1006:$BQ$1006,0)), HYPERLINK("#",""), HYPERLINK(CONCATENATE("#Metadata!", ADDRESS(INDEX($AJ$2:$AJ$1001,MATCH(ROWS($AH$2:AH735),$AH$2:$AH$1001,0),0), INDEX($AO$1004:$BQ$1004,1,MATCH(COLUMNS($AO$1006:BP1006),$AO$1006:$BQ$1006,0)))),"Fix")))</f>
        <v>#N/A</v>
      </c>
      <c r="AD735" s="5" t="e">
        <f ca="1">IF(OR(INDEX($AI$2:$AI$1001,MATCH(ROWS($AH$2:AH735),$AH$2:$AH$1001,0),1)&gt;=100000,INDEX($AO$1005:$BQ$1005,1,MATCH(COLUMNS($AO$1006:BQ1006),$AO$1006:$BQ$1006,0))&gt;=100000), " ",IF(INDEX($AO$2:$BQ$1001,MATCH(ROWS($AH$2:AH735),$AH$2:$AH$1001,0),MATCH(COLUMNS($AO$1006:BQ1006),$AO$1006:$BQ$1006,0)), HYPERLINK("#",""), HYPERLINK(CONCATENATE("#Metadata!", ADDRESS(INDEX($AJ$2:$AJ$1001,MATCH(ROWS($AH$2:AH735),$AH$2:$AH$1001,0),0), INDEX($AO$1004:$BQ$1004,1,MATCH(COLUMNS($AO$1006:BQ1006),$AO$1006:$BQ$1006,0)))),"Fix")))</f>
        <v>#REF!</v>
      </c>
      <c r="AH735">
        <f ca="1"/>
        <v>732</v>
      </c>
      <c r="AI735">
        <v>100735</v>
      </c>
      <c r="AJ735">
        <v>735</v>
      </c>
      <c r="AK735" t="b">
        <f t="shared" si="11"/>
        <v>1</v>
      </c>
      <c r="AL735" t="b">
        <f>COUNTBLANK(Metadata!B735:AD735)=COLUMNS(Metadata!B735:AD735)</f>
        <v>1</v>
      </c>
      <c r="AM735" t="str">
        <v/>
      </c>
      <c r="AO735" t="b">
        <f ca="1">AND(IF(Metadata!B735="",FALSE,TRUE),COUNTIF(Metadata!B:B, Metadata!B735) = 1,NOT(ISERROR(SUMPRODUCT(SEARCH(MID(Metadata!B735,ROW(INDIRECT("1:"&amp;LEN(Metadata!B735))), 1),"0123456789abcdefghijklmnopqrstuvwxyzABCDEFGHIJKLMNOPQRSTUVWXYZ.")))))</f>
        <v>0</v>
      </c>
      <c r="AP735" t="b">
        <f>IF(Metadata!C735="",FALSE,TRUE)</f>
        <v>0</v>
      </c>
      <c r="AQ735" t="b">
        <f>IF(Metadata!D735="",FALSE,TRUE)</f>
        <v>0</v>
      </c>
      <c r="AR735" t="b">
        <f ca="1">OR(AND(IF(Metadata!E735="",FALSE,TRUE),OR(EXACT(Metadata!E735,"not collected"),EXACT(Metadata!E735,"not provided"),EXACT(Metadata!E735,"restricted access"))),AND(IF(Metadata!E735="",FALSE,TRUE),AND(AND(IFERROR(INT(LEFT(Metadata!E735,4))&gt;1900,FALSE),IFERROR(INT(LEFT(Metadata!E735,4))&lt;=YEAR(NOW()),FALSE)), OR(MID(Metadata!E735,5,1)="", AND(AND(MID(Metadata!E735,5,1)="-",IFERROR(INT(MID(Metadata!E735,6,1))&gt;=0,FALSE),IFERROR(INT(MID(Metadata!E735,6,1))&lt;=1,FALSE),NOT(MID(Metadata!E735,7,1)=""),IFERROR(INT(MID(Metadata!E735,6,2))&gt;=1,FALSE),IFERROR(INT(MID(Metadata!E735,6,2))&lt;=12,FALSE)), OR(MID(Metadata!E735,8,1)="", AND(AND(MID(Metadata!E735,8,1)="-",IFERROR(INT(MID(Metadata!E735,9,1))&gt;=0,FALSE),IFERROR(INT(MID(Metadata!E735,9,1))&lt;=3,FALSE),NOT(MID(Metadata!E735,10,1)=""),IFERROR(INT(MID(Metadata!E735,9,2))&gt;=1,FALSE),IFERROR(INT(MID(Metadata!E735,9,2))&lt;=31,FALSE)), OR(MID(Metadata!E735,11,1)="", AND(AND(MID(Metadata!E735,11,1)=" ",IFERROR(INT(MID(Metadata!E735,12,1))&gt;=0,FALSE),IFERROR(INT(MID(Metadata!E735,12,1))&lt;=2,FALSE),NOT(MID(Metadata!E735,13,1)=""),IFERROR(INT(MID(Metadata!E735,12,2))&gt;=0,FALSE),IFERROR(INT(MID(Metadata!E735,12,2))&lt;=23,FALSE)), OR(MID(Metadata!E735,14,1)="", AND(AND(MID(Metadata!E735,14,1)=":",IFERROR(INT(MID(Metadata!E735,15,1))&gt;=0,FALSE),IFERROR(INT(MID(Metadata!E735,15,1))&lt;=5,FALSE),NOT(MID(Metadata!E735,16,1)=""),IFERROR(INT(MID(Metadata!E735,15,2))&gt;=0,FALSE),IFERROR(INT(MID(Metadata!E735,15,2))&lt;=59,FALSE)), OR(MID(Metadata!E735,17,1)="", AND(AND(MID(Metadata!E735,17,1)=":",IFERROR(INT(MID(Metadata!E735,18,1))&gt;=0,FALSE),IFERROR(INT(MID(Metadata!E735,18,1))&lt;=5,FALSE),NOT(MID(Metadata!E735,19,1)=""),IFERROR(INT(MID(Metadata!E735,18,2))&gt;=0,FALSE),IFERROR(INT(MID(Metadata!E735,18,2))&lt;=59,FALSE)), LEN(Metadata!E735)&lt;=19)))))))))))))</f>
        <v>0</v>
      </c>
      <c r="AS735" t="b">
        <f>IF(Metadata!F735="",FALSE,TRUE)</f>
        <v>0</v>
      </c>
      <c r="AT735" t="b">
        <f>OR(AND(IF(Metadata!G735="",FALSE,TRUE),OR(EXACT(Metadata!G735,"not collected"),EXACT(Metadata!G735,"not provided"))),AND(IF(Metadata!G735="",FALSE,TRUE),OR(EXACT(Metadata!G735,"TRUE"),EXACT(Metadata!G735,"FALSE"))))</f>
        <v>0</v>
      </c>
      <c r="AU735" t="b">
        <f>OR(AND(IF(Metadata!H735="",FALSE,TRUE),OR(EXACT(Metadata!H735,"not collected"),EXACT(Metadata!H735,"not provided"),EXACT(Metadata!H735,"restricted access"))),AND(IF(Metadata!H735="",FALSE,ISNUMBER(VALUE(Metadata!H735))),Metadata!H735&gt;=-413))</f>
        <v>0</v>
      </c>
      <c r="AV735" t="b">
        <f>AND(IF(Metadata!I735="",FALSE,TRUE),EXACT(Metadata!I735,"meters"))</f>
        <v>0</v>
      </c>
      <c r="AW735" t="b">
        <f>AND(IF(Metadata!J735="",FALSE,TRUE),EXACT(Metadata!J735,"free-living"))</f>
        <v>0</v>
      </c>
      <c r="AX735" t="b">
        <f>AND(IF(Metadata!K735="",FALSE,TRUE),OR(EXACT(Metadata!K735,"saline"),EXACT(Metadata!K735,"non-saline")))</f>
        <v>0</v>
      </c>
      <c r="AY735" t="b">
        <f>AND(IF(Metadata!L735="",FALSE,TRUE),OR(EXACT(Metadata!L735,"sub-surface (non-saline)"),EXACT(Metadata!L735,"surface (non-saline)"),EXACT(Metadata!L735,"water (non-saline)"),EXACT(Metadata!L735,"soil (non-saline)"),EXACT(Metadata!L735,"aerosol (non-saline)"),EXACT(Metadata!L735,"sediment (non-saline)"),EXACT(Metadata!L735,"surface (saline)"),EXACT(Metadata!L735,"water (saline)"),EXACT(Metadata!L735,"hypersaline (saline)"),EXACT(Metadata!L735,"aerosol (saline)"),EXACT(Metadata!L735,"sediment (saline)")))</f>
        <v>0</v>
      </c>
      <c r="AZ735" t="b">
        <f>IF(Metadata!M735="",FALSE,TRUE)</f>
        <v>0</v>
      </c>
      <c r="BA735" t="b">
        <f>IF(Metadata!N735="",FALSE,TRUE)</f>
        <v>0</v>
      </c>
      <c r="BB735" t="b">
        <f>IF(Metadata!O735="",FALSE,TRUE)</f>
        <v>0</v>
      </c>
      <c r="BC735" t="b">
        <f>AND(IF(Metadata!P735="",FALSE,TRUE),OR(EXACT(Metadata!P735,"air"),EXACT(Metadata!P735,"microbial mat/biofilm"),EXACT(Metadata!P735,"misc environment"),EXACT(Metadata!P735,"sediment"),EXACT(Metadata!P735,"soil"),EXACT(Metadata!P735,"wastewater/sludge"),EXACT(Metadata!P735,"water")))</f>
        <v>0</v>
      </c>
      <c r="BD735" t="b">
        <f>IF(Metadata!Q735="",FALSE,TRUE)</f>
        <v>0</v>
      </c>
      <c r="BE735" t="b">
        <f>IF(Metadata!R735="",FALSE,TRUE)</f>
        <v>0</v>
      </c>
      <c r="BF735" t="b">
        <f>OR(AND(IF(Metadata!S735="",FALSE,TRUE),OR(EXACT(Metadata!S735,"not collected"),EXACT(Metadata!S735,"not provided"),EXACT(Metadata!S735,"restricted access"))),AND(IF(Metadata!S735="",FALSE,ISNUMBER(VALUE(Metadata!S735))),Metadata!S735&gt;=-90,Metadata!S735&lt;=90))</f>
        <v>0</v>
      </c>
      <c r="BG735" t="b">
        <f>AND(IF(Metadata!T735="",FALSE,TRUE),EXACT(Metadata!T735,"Decimal degrees"))</f>
        <v>0</v>
      </c>
      <c r="BH735" t="b">
        <f>OR(AND(IF(Metadata!U735="",FALSE,TRUE),OR(EXACT(Metadata!U735,"not applicable"),EXACT(Metadata!U735,"not collected"))),IF(Metadata!U735="",FALSE,TRUE))</f>
        <v>0</v>
      </c>
      <c r="BI735" t="b">
        <f>OR(AND(IF(Metadata!V735="",FALSE,TRUE),OR(EXACT(Metadata!V735,"not collected"),EXACT(Metadata!V735,"not provided"),EXACT(Metadata!V735,"restricted access"))),AND(IF(Metadata!V735="",FALSE,ISNUMBER(VALUE(Metadata!V735))),Metadata!V735&gt;=-180,Metadata!V735&lt;=180))</f>
        <v>0</v>
      </c>
      <c r="BJ735" t="b">
        <f>AND(IF(Metadata!W735="",FALSE,TRUE),EXACT(Metadata!W735,"Decimal degrees"))</f>
        <v>0</v>
      </c>
      <c r="BK735" t="b">
        <f>IF(Metadata!X735="",FALSE,TRUE)</f>
        <v>0</v>
      </c>
      <c r="BL735" t="b">
        <f>OR(AND(IF(Metadata!Y735="",FALSE,TRUE),OR(EXACT(Metadata!Y735,"not collected"),EXACT(Metadata!Y735,"not provided"),EXACT(Metadata!Y735,"restricted access"))),AND(IF(Metadata!Y735="",FALSE,TRUE),OR(EXACT(Metadata!Y735,"TRUE"),EXACT(Metadata!Y735,"FALSE"))))</f>
        <v>0</v>
      </c>
      <c r="BM735" t="b">
        <f>OR(AND(IF(Metadata!Z735="",FALSE,TRUE),EXACT(Metadata!Z735,"not applicable")),AND(IF(Metadata!Z735="",FALSE,TRUE),OR(EXACT(Metadata!Z735,"beer"),EXACT(Metadata!Z735,"cheese"),EXACT(Metadata!Z735,"fresh water"),EXACT(Metadata!Z735,"marine sediment"),EXACT(Metadata!Z735,"sea water"),EXACT(Metadata!Z735,"sediment"),EXACT(Metadata!Z735,"soil"),EXACT(Metadata!Z735,"waste water"))))</f>
        <v>0</v>
      </c>
      <c r="BN735" t="b">
        <f>AND(IF(Metadata!AA735="",FALSE,TRUE),EXACT(Metadata!AA735,"metagenome"))</f>
        <v>0</v>
      </c>
      <c r="BO735" t="b">
        <f>AND(IF(Metadata!AB735="",FALSE,TRUE),EXACT(Metadata!AB735,"256318"))</f>
        <v>0</v>
      </c>
      <c r="BP735" t="b">
        <f>IF(Metadata!AC735="",FALSE,TRUE)</f>
        <v>0</v>
      </c>
      <c r="BQ735" t="b">
        <f>IF(Metadata!AD735="",FALSE,TRUE)</f>
        <v>0</v>
      </c>
    </row>
    <row r="736" spans="1:69" x14ac:dyDescent="0.2">
      <c r="A736" s="4" t="e">
        <f ca="1">IF(B736=" "," ",HYPERLINK(CONCATENATE("#metadata!",ADDRESS(INDEX($AJ$2:$AJ$1001,MATCH(ROWS($AH$2:AH736),$AH$2:$AH$1001,0),0),2)),INDEX($AM$2:$AM$1001,MATCH(ROWS($AH$2:AH736),$AH$2:$AH$1001,0),0)))</f>
        <v>#N/A</v>
      </c>
      <c r="B736" s="5" t="e">
        <f ca="1">IF(OR(INDEX($AI$2:$AI$1001,MATCH(ROWS($AH$2:AH736),$AH$2:$AH$1001,0),1)&gt;=100000,INDEX($AO$1005:$BQ$1005,1,MATCH(COLUMNS($AO$1006:AO1006),$AO$1006:$BQ$1006,0))&gt;=100000), " ",IF(INDEX($AO$2:$BQ$1001,MATCH(ROWS($AH$2:AH736),$AH$2:$AH$1001,0),MATCH(COLUMNS($AO$1006:AO1006),$AO$1006:$BQ$1006,0)), HYPERLINK("#",""), HYPERLINK(CONCATENATE("#Metadata!", ADDRESS(INDEX($AJ$2:$AJ$1001,MATCH(ROWS($AH$2:AH736),$AH$2:$AH$1001,0),0), INDEX($AO$1004:$BQ$1004,1,MATCH(COLUMNS($AO$1006:AO1006),$AO$1006:$BQ$1006,0)))),"Fix")))</f>
        <v>#N/A</v>
      </c>
      <c r="C736" s="5" t="e">
        <f ca="1">IF(OR(INDEX($AI$2:$AI$1001,MATCH(ROWS($AH$2:AH736),$AH$2:$AH$1001,0),1)&gt;=100000,INDEX($AO$1005:$BQ$1005,1,MATCH(COLUMNS($AO$1006:AP1006),$AO$1006:$BQ$1006,0))&gt;=100000), " ",IF(INDEX($AO$2:$BQ$1001,MATCH(ROWS($AH$2:AH736),$AH$2:$AH$1001,0),MATCH(COLUMNS($AO$1006:AP1006),$AO$1006:$BQ$1006,0)), HYPERLINK("#",""), HYPERLINK(CONCATENATE("#Metadata!", ADDRESS(INDEX($AJ$2:$AJ$1001,MATCH(ROWS($AH$2:AH736),$AH$2:$AH$1001,0),0), INDEX($AO$1004:$BQ$1004,1,MATCH(COLUMNS($AO$1006:AP1006),$AO$1006:$BQ$1006,0)))),"Fix")))</f>
        <v>#N/A</v>
      </c>
      <c r="D736" s="5" t="e">
        <f ca="1">IF(OR(INDEX($AI$2:$AI$1001,MATCH(ROWS($AH$2:AH736),$AH$2:$AH$1001,0),1)&gt;=100000,INDEX($AO$1005:$BQ$1005,1,MATCH(COLUMNS($AO$1006:AQ1006),$AO$1006:$BQ$1006,0))&gt;=100000), " ",IF(INDEX($AO$2:$BQ$1001,MATCH(ROWS($AH$2:AH736),$AH$2:$AH$1001,0),MATCH(COLUMNS($AO$1006:AQ1006),$AO$1006:$BQ$1006,0)), HYPERLINK("#",""), HYPERLINK(CONCATENATE("#Metadata!", ADDRESS(INDEX($AJ$2:$AJ$1001,MATCH(ROWS($AH$2:AH736),$AH$2:$AH$1001,0),0), INDEX($AO$1004:$BQ$1004,1,MATCH(COLUMNS($AO$1006:AQ1006),$AO$1006:$BQ$1006,0)))),"Fix")))</f>
        <v>#N/A</v>
      </c>
      <c r="E736" s="5" t="e">
        <f ca="1">IF(OR(INDEX($AI$2:$AI$1001,MATCH(ROWS($AH$2:AH736),$AH$2:$AH$1001,0),1)&gt;=100000,INDEX($AO$1005:$BQ$1005,1,MATCH(COLUMNS($AO$1006:AR1006),$AO$1006:$BQ$1006,0))&gt;=100000), " ",IF(INDEX($AO$2:$BQ$1001,MATCH(ROWS($AH$2:AH736),$AH$2:$AH$1001,0),MATCH(COLUMNS($AO$1006:AR1006),$AO$1006:$BQ$1006,0)), HYPERLINK("#",""), HYPERLINK(CONCATENATE("#Metadata!", ADDRESS(INDEX($AJ$2:$AJ$1001,MATCH(ROWS($AH$2:AH736),$AH$2:$AH$1001,0),0), INDEX($AO$1004:$BQ$1004,1,MATCH(COLUMNS($AO$1006:AR1006),$AO$1006:$BQ$1006,0)))),"Fix")))</f>
        <v>#N/A</v>
      </c>
      <c r="F736" s="5" t="e">
        <f ca="1">IF(OR(INDEX($AI$2:$AI$1001,MATCH(ROWS($AH$2:AH736),$AH$2:$AH$1001,0),1)&gt;=100000,INDEX($AO$1005:$BQ$1005,1,MATCH(COLUMNS($AO$1006:AS1006),$AO$1006:$BQ$1006,0))&gt;=100000), " ",IF(INDEX($AO$2:$BQ$1001,MATCH(ROWS($AH$2:AH736),$AH$2:$AH$1001,0),MATCH(COLUMNS($AO$1006:AS1006),$AO$1006:$BQ$1006,0)), HYPERLINK("#",""), HYPERLINK(CONCATENATE("#Metadata!", ADDRESS(INDEX($AJ$2:$AJ$1001,MATCH(ROWS($AH$2:AH736),$AH$2:$AH$1001,0),0), INDEX($AO$1004:$BQ$1004,1,MATCH(COLUMNS($AO$1006:AS1006),$AO$1006:$BQ$1006,0)))),"Fix")))</f>
        <v>#N/A</v>
      </c>
      <c r="G736" s="5" t="e">
        <f ca="1">IF(OR(INDEX($AI$2:$AI$1001,MATCH(ROWS($AH$2:AH736),$AH$2:$AH$1001,0),1)&gt;=100000,INDEX($AO$1005:$BQ$1005,1,MATCH(COLUMNS($AO$1006:AT1006),$AO$1006:$BQ$1006,0))&gt;=100000), " ",IF(INDEX($AO$2:$BQ$1001,MATCH(ROWS($AH$2:AH736),$AH$2:$AH$1001,0),MATCH(COLUMNS($AO$1006:AT1006),$AO$1006:$BQ$1006,0)), HYPERLINK("#",""), HYPERLINK(CONCATENATE("#Metadata!", ADDRESS(INDEX($AJ$2:$AJ$1001,MATCH(ROWS($AH$2:AH736),$AH$2:$AH$1001,0),0), INDEX($AO$1004:$BQ$1004,1,MATCH(COLUMNS($AO$1006:AT1006),$AO$1006:$BQ$1006,0)))),"Fix")))</f>
        <v>#N/A</v>
      </c>
      <c r="H736" s="5" t="e">
        <f ca="1">IF(OR(INDEX($AI$2:$AI$1001,MATCH(ROWS($AH$2:AH736),$AH$2:$AH$1001,0),1)&gt;=100000,INDEX($AO$1005:$BQ$1005,1,MATCH(COLUMNS($AO$1006:AU1006),$AO$1006:$BQ$1006,0))&gt;=100000), " ",IF(INDEX($AO$2:$BQ$1001,MATCH(ROWS($AH$2:AH736),$AH$2:$AH$1001,0),MATCH(COLUMNS($AO$1006:AU1006),$AO$1006:$BQ$1006,0)), HYPERLINK("#",""), HYPERLINK(CONCATENATE("#Metadata!", ADDRESS(INDEX($AJ$2:$AJ$1001,MATCH(ROWS($AH$2:AH736),$AH$2:$AH$1001,0),0), INDEX($AO$1004:$BQ$1004,1,MATCH(COLUMNS($AO$1006:AU1006),$AO$1006:$BQ$1006,0)))),"Fix")))</f>
        <v>#N/A</v>
      </c>
      <c r="I736" s="5" t="e">
        <f ca="1">IF(OR(INDEX($AI$2:$AI$1001,MATCH(ROWS($AH$2:AH736),$AH$2:$AH$1001,0),1)&gt;=100000,INDEX($AO$1005:$BQ$1005,1,MATCH(COLUMNS($AO$1006:AV1006),$AO$1006:$BQ$1006,0))&gt;=100000), " ",IF(INDEX($AO$2:$BQ$1001,MATCH(ROWS($AH$2:AH736),$AH$2:$AH$1001,0),MATCH(COLUMNS($AO$1006:AV1006),$AO$1006:$BQ$1006,0)), HYPERLINK("#",""), HYPERLINK(CONCATENATE("#Metadata!", ADDRESS(INDEX($AJ$2:$AJ$1001,MATCH(ROWS($AH$2:AH736),$AH$2:$AH$1001,0),0), INDEX($AO$1004:$BQ$1004,1,MATCH(COLUMNS($AO$1006:AV1006),$AO$1006:$BQ$1006,0)))),"Fix")))</f>
        <v>#N/A</v>
      </c>
      <c r="J736" s="5" t="e">
        <f ca="1">IF(OR(INDEX($AI$2:$AI$1001,MATCH(ROWS($AH$2:AH736),$AH$2:$AH$1001,0),1)&gt;=100000,INDEX($AO$1005:$BQ$1005,1,MATCH(COLUMNS($AO$1006:AW1006),$AO$1006:$BQ$1006,0))&gt;=100000), " ",IF(INDEX($AO$2:$BQ$1001,MATCH(ROWS($AH$2:AH736),$AH$2:$AH$1001,0),MATCH(COLUMNS($AO$1006:AW1006),$AO$1006:$BQ$1006,0)), HYPERLINK("#",""), HYPERLINK(CONCATENATE("#Metadata!", ADDRESS(INDEX($AJ$2:$AJ$1001,MATCH(ROWS($AH$2:AH736),$AH$2:$AH$1001,0),0), INDEX($AO$1004:$BQ$1004,1,MATCH(COLUMNS($AO$1006:AW1006),$AO$1006:$BQ$1006,0)))),"Fix")))</f>
        <v>#N/A</v>
      </c>
      <c r="K736" s="5" t="e">
        <f ca="1">IF(OR(INDEX($AI$2:$AI$1001,MATCH(ROWS($AH$2:AH736),$AH$2:$AH$1001,0),1)&gt;=100000,INDEX($AO$1005:$BQ$1005,1,MATCH(COLUMNS($AO$1006:AX1006),$AO$1006:$BQ$1006,0))&gt;=100000), " ",IF(INDEX($AO$2:$BQ$1001,MATCH(ROWS($AH$2:AH736),$AH$2:$AH$1001,0),MATCH(COLUMNS($AO$1006:AX1006),$AO$1006:$BQ$1006,0)), HYPERLINK("#",""), HYPERLINK(CONCATENATE("#Metadata!", ADDRESS(INDEX($AJ$2:$AJ$1001,MATCH(ROWS($AH$2:AH736),$AH$2:$AH$1001,0),0), INDEX($AO$1004:$BQ$1004,1,MATCH(COLUMNS($AO$1006:AX1006),$AO$1006:$BQ$1006,0)))),"Fix")))</f>
        <v>#N/A</v>
      </c>
      <c r="L736" s="5" t="e">
        <f ca="1">IF(OR(INDEX($AI$2:$AI$1001,MATCH(ROWS($AH$2:AH736),$AH$2:$AH$1001,0),1)&gt;=100000,INDEX($AO$1005:$BQ$1005,1,MATCH(COLUMNS($AO$1006:AY1006),$AO$1006:$BQ$1006,0))&gt;=100000), " ",IF(INDEX($AO$2:$BQ$1001,MATCH(ROWS($AH$2:AH736),$AH$2:$AH$1001,0),MATCH(COLUMNS($AO$1006:AY1006),$AO$1006:$BQ$1006,0)), HYPERLINK("#",""), HYPERLINK(CONCATENATE("#Metadata!", ADDRESS(INDEX($AJ$2:$AJ$1001,MATCH(ROWS($AH$2:AH736),$AH$2:$AH$1001,0),0), INDEX($AO$1004:$BQ$1004,1,MATCH(COLUMNS($AO$1006:AY1006),$AO$1006:$BQ$1006,0)))),"Fix")))</f>
        <v>#N/A</v>
      </c>
      <c r="M736" s="5" t="e">
        <f ca="1">IF(OR(INDEX($AI$2:$AI$1001,MATCH(ROWS($AH$2:AH736),$AH$2:$AH$1001,0),1)&gt;=100000,INDEX($AO$1005:$BQ$1005,1,MATCH(COLUMNS($AO$1006:AZ1006),$AO$1006:$BQ$1006,0))&gt;=100000), " ",IF(INDEX($AO$2:$BQ$1001,MATCH(ROWS($AH$2:AH736),$AH$2:$AH$1001,0),MATCH(COLUMNS($AO$1006:AZ1006),$AO$1006:$BQ$1006,0)), HYPERLINK("#",""), HYPERLINK(CONCATENATE("#Metadata!", ADDRESS(INDEX($AJ$2:$AJ$1001,MATCH(ROWS($AH$2:AH736),$AH$2:$AH$1001,0),0), INDEX($AO$1004:$BQ$1004,1,MATCH(COLUMNS($AO$1006:AZ1006),$AO$1006:$BQ$1006,0)))),"Fix")))</f>
        <v>#N/A</v>
      </c>
      <c r="N736" s="5" t="e">
        <f ca="1">IF(OR(INDEX($AI$2:$AI$1001,MATCH(ROWS($AH$2:AH736),$AH$2:$AH$1001,0),1)&gt;=100000,INDEX($AO$1005:$BQ$1005,1,MATCH(COLUMNS($AO$1006:BA1006),$AO$1006:$BQ$1006,0))&gt;=100000), " ",IF(INDEX($AO$2:$BQ$1001,MATCH(ROWS($AH$2:AH736),$AH$2:$AH$1001,0),MATCH(COLUMNS($AO$1006:BA1006),$AO$1006:$BQ$1006,0)), HYPERLINK("#",""), HYPERLINK(CONCATENATE("#Metadata!", ADDRESS(INDEX($AJ$2:$AJ$1001,MATCH(ROWS($AH$2:AH736),$AH$2:$AH$1001,0),0), INDEX($AO$1004:$BQ$1004,1,MATCH(COLUMNS($AO$1006:BA1006),$AO$1006:$BQ$1006,0)))),"Fix")))</f>
        <v>#N/A</v>
      </c>
      <c r="O736" s="5" t="e">
        <f ca="1">IF(OR(INDEX($AI$2:$AI$1001,MATCH(ROWS($AH$2:AH736),$AH$2:$AH$1001,0),1)&gt;=100000,INDEX($AO$1005:$BQ$1005,1,MATCH(COLUMNS($AO$1006:BB1006),$AO$1006:$BQ$1006,0))&gt;=100000), " ",IF(INDEX($AO$2:$BQ$1001,MATCH(ROWS($AH$2:AH736),$AH$2:$AH$1001,0),MATCH(COLUMNS($AO$1006:BB1006),$AO$1006:$BQ$1006,0)), HYPERLINK("#",""), HYPERLINK(CONCATENATE("#Metadata!", ADDRESS(INDEX($AJ$2:$AJ$1001,MATCH(ROWS($AH$2:AH736),$AH$2:$AH$1001,0),0), INDEX($AO$1004:$BQ$1004,1,MATCH(COLUMNS($AO$1006:BB1006),$AO$1006:$BQ$1006,0)))),"Fix")))</f>
        <v>#N/A</v>
      </c>
      <c r="P736" s="5" t="e">
        <f ca="1">IF(OR(INDEX($AI$2:$AI$1001,MATCH(ROWS($AH$2:AH736),$AH$2:$AH$1001,0),1)&gt;=100000,INDEX($AO$1005:$BQ$1005,1,MATCH(COLUMNS($AO$1006:BC1006),$AO$1006:$BQ$1006,0))&gt;=100000), " ",IF(INDEX($AO$2:$BQ$1001,MATCH(ROWS($AH$2:AH736),$AH$2:$AH$1001,0),MATCH(COLUMNS($AO$1006:BC1006),$AO$1006:$BQ$1006,0)), HYPERLINK("#",""), HYPERLINK(CONCATENATE("#Metadata!", ADDRESS(INDEX($AJ$2:$AJ$1001,MATCH(ROWS($AH$2:AH736),$AH$2:$AH$1001,0),0), INDEX($AO$1004:$BQ$1004,1,MATCH(COLUMNS($AO$1006:BC1006),$AO$1006:$BQ$1006,0)))),"Fix")))</f>
        <v>#N/A</v>
      </c>
      <c r="Q736" s="5" t="e">
        <f ca="1">IF(OR(INDEX($AI$2:$AI$1001,MATCH(ROWS($AH$2:AH736),$AH$2:$AH$1001,0),1)&gt;=100000,INDEX($AO$1005:$BQ$1005,1,MATCH(COLUMNS($AO$1006:BD1006),$AO$1006:$BQ$1006,0))&gt;=100000), " ",IF(INDEX($AO$2:$BQ$1001,MATCH(ROWS($AH$2:AH736),$AH$2:$AH$1001,0),MATCH(COLUMNS($AO$1006:BD1006),$AO$1006:$BQ$1006,0)), HYPERLINK("#",""), HYPERLINK(CONCATENATE("#Metadata!", ADDRESS(INDEX($AJ$2:$AJ$1001,MATCH(ROWS($AH$2:AH736),$AH$2:$AH$1001,0),0), INDEX($AO$1004:$BQ$1004,1,MATCH(COLUMNS($AO$1006:BD1006),$AO$1006:$BQ$1006,0)))),"Fix")))</f>
        <v>#N/A</v>
      </c>
      <c r="R736" s="5" t="e">
        <f ca="1">IF(OR(INDEX($AI$2:$AI$1001,MATCH(ROWS($AH$2:AH736),$AH$2:$AH$1001,0),1)&gt;=100000,INDEX($AO$1005:$BQ$1005,1,MATCH(COLUMNS($AO$1006:BE1006),$AO$1006:$BQ$1006,0))&gt;=100000), " ",IF(INDEX($AO$2:$BQ$1001,MATCH(ROWS($AH$2:AH736),$AH$2:$AH$1001,0),MATCH(COLUMNS($AO$1006:BE1006),$AO$1006:$BQ$1006,0)), HYPERLINK("#",""), HYPERLINK(CONCATENATE("#Metadata!", ADDRESS(INDEX($AJ$2:$AJ$1001,MATCH(ROWS($AH$2:AH736),$AH$2:$AH$1001,0),0), INDEX($AO$1004:$BQ$1004,1,MATCH(COLUMNS($AO$1006:BE1006),$AO$1006:$BQ$1006,0)))),"Fix")))</f>
        <v>#N/A</v>
      </c>
      <c r="S736" s="5" t="e">
        <f ca="1">IF(OR(INDEX($AI$2:$AI$1001,MATCH(ROWS($AH$2:AH736),$AH$2:$AH$1001,0),1)&gt;=100000,INDEX($AO$1005:$BQ$1005,1,MATCH(COLUMNS($AO$1006:BF1006),$AO$1006:$BQ$1006,0))&gt;=100000), " ",IF(INDEX($AO$2:$BQ$1001,MATCH(ROWS($AH$2:AH736),$AH$2:$AH$1001,0),MATCH(COLUMNS($AO$1006:BF1006),$AO$1006:$BQ$1006,0)), HYPERLINK("#",""), HYPERLINK(CONCATENATE("#Metadata!", ADDRESS(INDEX($AJ$2:$AJ$1001,MATCH(ROWS($AH$2:AH736),$AH$2:$AH$1001,0),0), INDEX($AO$1004:$BQ$1004,1,MATCH(COLUMNS($AO$1006:BF1006),$AO$1006:$BQ$1006,0)))),"Fix")))</f>
        <v>#N/A</v>
      </c>
      <c r="T736" s="5" t="e">
        <f ca="1">IF(OR(INDEX($AI$2:$AI$1001,MATCH(ROWS($AH$2:AH736),$AH$2:$AH$1001,0),1)&gt;=100000,INDEX($AO$1005:$BQ$1005,1,MATCH(COLUMNS($AO$1006:BG1006),$AO$1006:$BQ$1006,0))&gt;=100000), " ",IF(INDEX($AO$2:$BQ$1001,MATCH(ROWS($AH$2:AH736),$AH$2:$AH$1001,0),MATCH(COLUMNS($AO$1006:BG1006),$AO$1006:$BQ$1006,0)), HYPERLINK("#",""), HYPERLINK(CONCATENATE("#Metadata!", ADDRESS(INDEX($AJ$2:$AJ$1001,MATCH(ROWS($AH$2:AH736),$AH$2:$AH$1001,0),0), INDEX($AO$1004:$BQ$1004,1,MATCH(COLUMNS($AO$1006:BG1006),$AO$1006:$BQ$1006,0)))),"Fix")))</f>
        <v>#N/A</v>
      </c>
      <c r="U736" s="5" t="e">
        <f ca="1">IF(OR(INDEX($AI$2:$AI$1001,MATCH(ROWS($AH$2:AH736),$AH$2:$AH$1001,0),1)&gt;=100000,INDEX($AO$1005:$BQ$1005,1,MATCH(COLUMNS($AO$1006:BH1006),$AO$1006:$BQ$1006,0))&gt;=100000), " ",IF(INDEX($AO$2:$BQ$1001,MATCH(ROWS($AH$2:AH736),$AH$2:$AH$1001,0),MATCH(COLUMNS($AO$1006:BH1006),$AO$1006:$BQ$1006,0)), HYPERLINK("#",""), HYPERLINK(CONCATENATE("#Metadata!", ADDRESS(INDEX($AJ$2:$AJ$1001,MATCH(ROWS($AH$2:AH736),$AH$2:$AH$1001,0),0), INDEX($AO$1004:$BQ$1004,1,MATCH(COLUMNS($AO$1006:BH1006),$AO$1006:$BQ$1006,0)))),"Fix")))</f>
        <v>#N/A</v>
      </c>
      <c r="V736" s="5" t="e">
        <f ca="1">IF(OR(INDEX($AI$2:$AI$1001,MATCH(ROWS($AH$2:AH736),$AH$2:$AH$1001,0),1)&gt;=100000,INDEX($AO$1005:$BQ$1005,1,MATCH(COLUMNS($AO$1006:BI1006),$AO$1006:$BQ$1006,0))&gt;=100000), " ",IF(INDEX($AO$2:$BQ$1001,MATCH(ROWS($AH$2:AH736),$AH$2:$AH$1001,0),MATCH(COLUMNS($AO$1006:BI1006),$AO$1006:$BQ$1006,0)), HYPERLINK("#",""), HYPERLINK(CONCATENATE("#Metadata!", ADDRESS(INDEX($AJ$2:$AJ$1001,MATCH(ROWS($AH$2:AH736),$AH$2:$AH$1001,0),0), INDEX($AO$1004:$BQ$1004,1,MATCH(COLUMNS($AO$1006:BI1006),$AO$1006:$BQ$1006,0)))),"Fix")))</f>
        <v>#N/A</v>
      </c>
      <c r="W736" s="5" t="e">
        <f ca="1">IF(OR(INDEX($AI$2:$AI$1001,MATCH(ROWS($AH$2:AH736),$AH$2:$AH$1001,0),1)&gt;=100000,INDEX($AO$1005:$BQ$1005,1,MATCH(COLUMNS($AO$1006:BJ1006),$AO$1006:$BQ$1006,0))&gt;=100000), " ",IF(INDEX($AO$2:$BQ$1001,MATCH(ROWS($AH$2:AH736),$AH$2:$AH$1001,0),MATCH(COLUMNS($AO$1006:BJ1006),$AO$1006:$BQ$1006,0)), HYPERLINK("#",""), HYPERLINK(CONCATENATE("#Metadata!", ADDRESS(INDEX($AJ$2:$AJ$1001,MATCH(ROWS($AH$2:AH736),$AH$2:$AH$1001,0),0), INDEX($AO$1004:$BQ$1004,1,MATCH(COLUMNS($AO$1006:BJ1006),$AO$1006:$BQ$1006,0)))),"Fix")))</f>
        <v>#N/A</v>
      </c>
      <c r="X736" s="5" t="e">
        <f ca="1">IF(OR(INDEX($AI$2:$AI$1001,MATCH(ROWS($AH$2:AH736),$AH$2:$AH$1001,0),1)&gt;=100000,INDEX($AO$1005:$BQ$1005,1,MATCH(COLUMNS($AO$1006:BK1006),$AO$1006:$BQ$1006,0))&gt;=100000), " ",IF(INDEX($AO$2:$BQ$1001,MATCH(ROWS($AH$2:AH736),$AH$2:$AH$1001,0),MATCH(COLUMNS($AO$1006:BK1006),$AO$1006:$BQ$1006,0)), HYPERLINK("#",""), HYPERLINK(CONCATENATE("#Metadata!", ADDRESS(INDEX($AJ$2:$AJ$1001,MATCH(ROWS($AH$2:AH736),$AH$2:$AH$1001,0),0), INDEX($AO$1004:$BQ$1004,1,MATCH(COLUMNS($AO$1006:BK1006),$AO$1006:$BQ$1006,0)))),"Fix")))</f>
        <v>#N/A</v>
      </c>
      <c r="Y736" s="5" t="e">
        <f ca="1">IF(OR(INDEX($AI$2:$AI$1001,MATCH(ROWS($AH$2:AH736),$AH$2:$AH$1001,0),1)&gt;=100000,INDEX($AO$1005:$BQ$1005,1,MATCH(COLUMNS($AO$1006:BL1006),$AO$1006:$BQ$1006,0))&gt;=100000), " ",IF(INDEX($AO$2:$BQ$1001,MATCH(ROWS($AH$2:AH736),$AH$2:$AH$1001,0),MATCH(COLUMNS($AO$1006:BL1006),$AO$1006:$BQ$1006,0)), HYPERLINK("#",""), HYPERLINK(CONCATENATE("#Metadata!", ADDRESS(INDEX($AJ$2:$AJ$1001,MATCH(ROWS($AH$2:AH736),$AH$2:$AH$1001,0),0), INDEX($AO$1004:$BQ$1004,1,MATCH(COLUMNS($AO$1006:BL1006),$AO$1006:$BQ$1006,0)))),"Fix")))</f>
        <v>#N/A</v>
      </c>
      <c r="Z736" s="5" t="e">
        <f ca="1">IF(OR(INDEX($AI$2:$AI$1001,MATCH(ROWS($AH$2:AH736),$AH$2:$AH$1001,0),1)&gt;=100000,INDEX($AO$1005:$BQ$1005,1,MATCH(COLUMNS($AO$1006:BM1006),$AO$1006:$BQ$1006,0))&gt;=100000), " ",IF(INDEX($AO$2:$BQ$1001,MATCH(ROWS($AH$2:AH736),$AH$2:$AH$1001,0),MATCH(COLUMNS($AO$1006:BM1006),$AO$1006:$BQ$1006,0)), HYPERLINK("#",""), HYPERLINK(CONCATENATE("#Metadata!", ADDRESS(INDEX($AJ$2:$AJ$1001,MATCH(ROWS($AH$2:AH736),$AH$2:$AH$1001,0),0), INDEX($AO$1004:$BQ$1004,1,MATCH(COLUMNS($AO$1006:BM1006),$AO$1006:$BQ$1006,0)))),"Fix")))</f>
        <v>#N/A</v>
      </c>
      <c r="AA736" s="5" t="e">
        <f ca="1">IF(OR(INDEX($AI$2:$AI$1001,MATCH(ROWS($AH$2:AH736),$AH$2:$AH$1001,0),1)&gt;=100000,INDEX($AO$1005:$BQ$1005,1,MATCH(COLUMNS($AO$1006:BN1006),$AO$1006:$BQ$1006,0))&gt;=100000), " ",IF(INDEX($AO$2:$BQ$1001,MATCH(ROWS($AH$2:AH736),$AH$2:$AH$1001,0),MATCH(COLUMNS($AO$1006:BN1006),$AO$1006:$BQ$1006,0)), HYPERLINK("#",""), HYPERLINK(CONCATENATE("#Metadata!", ADDRESS(INDEX($AJ$2:$AJ$1001,MATCH(ROWS($AH$2:AH736),$AH$2:$AH$1001,0),0), INDEX($AO$1004:$BQ$1004,1,MATCH(COLUMNS($AO$1006:BN1006),$AO$1006:$BQ$1006,0)))),"Fix")))</f>
        <v>#N/A</v>
      </c>
      <c r="AB736" s="5" t="e">
        <f ca="1">IF(OR(INDEX($AI$2:$AI$1001,MATCH(ROWS($AH$2:AH736),$AH$2:$AH$1001,0),1)&gt;=100000,INDEX($AO$1005:$BQ$1005,1,MATCH(COLUMNS($AO$1006:BO1006),$AO$1006:$BQ$1006,0))&gt;=100000), " ",IF(INDEX($AO$2:$BQ$1001,MATCH(ROWS($AH$2:AH736),$AH$2:$AH$1001,0),MATCH(COLUMNS($AO$1006:BO1006),$AO$1006:$BQ$1006,0)), HYPERLINK("#",""), HYPERLINK(CONCATENATE("#Metadata!", ADDRESS(INDEX($AJ$2:$AJ$1001,MATCH(ROWS($AH$2:AH736),$AH$2:$AH$1001,0),0), INDEX($AO$1004:$BQ$1004,1,MATCH(COLUMNS($AO$1006:BO1006),$AO$1006:$BQ$1006,0)))),"Fix")))</f>
        <v>#N/A</v>
      </c>
      <c r="AC736" s="5" t="e">
        <f ca="1">IF(OR(INDEX($AI$2:$AI$1001,MATCH(ROWS($AH$2:AH736),$AH$2:$AH$1001,0),1)&gt;=100000,INDEX($AO$1005:$BQ$1005,1,MATCH(COLUMNS($AO$1006:BP1006),$AO$1006:$BQ$1006,0))&gt;=100000), " ",IF(INDEX($AO$2:$BQ$1001,MATCH(ROWS($AH$2:AH736),$AH$2:$AH$1001,0),MATCH(COLUMNS($AO$1006:BP1006),$AO$1006:$BQ$1006,0)), HYPERLINK("#",""), HYPERLINK(CONCATENATE("#Metadata!", ADDRESS(INDEX($AJ$2:$AJ$1001,MATCH(ROWS($AH$2:AH736),$AH$2:$AH$1001,0),0), INDEX($AO$1004:$BQ$1004,1,MATCH(COLUMNS($AO$1006:BP1006),$AO$1006:$BQ$1006,0)))),"Fix")))</f>
        <v>#N/A</v>
      </c>
      <c r="AD736" s="5" t="e">
        <f ca="1">IF(OR(INDEX($AI$2:$AI$1001,MATCH(ROWS($AH$2:AH736),$AH$2:$AH$1001,0),1)&gt;=100000,INDEX($AO$1005:$BQ$1005,1,MATCH(COLUMNS($AO$1006:BQ1006),$AO$1006:$BQ$1006,0))&gt;=100000), " ",IF(INDEX($AO$2:$BQ$1001,MATCH(ROWS($AH$2:AH736),$AH$2:$AH$1001,0),MATCH(COLUMNS($AO$1006:BQ1006),$AO$1006:$BQ$1006,0)), HYPERLINK("#",""), HYPERLINK(CONCATENATE("#Metadata!", ADDRESS(INDEX($AJ$2:$AJ$1001,MATCH(ROWS($AH$2:AH736),$AH$2:$AH$1001,0),0), INDEX($AO$1004:$BQ$1004,1,MATCH(COLUMNS($AO$1006:BQ1006),$AO$1006:$BQ$1006,0)))),"Fix")))</f>
        <v>#REF!</v>
      </c>
      <c r="AH736">
        <f ca="1"/>
        <v>733</v>
      </c>
      <c r="AI736">
        <v>100736</v>
      </c>
      <c r="AJ736">
        <v>736</v>
      </c>
      <c r="AK736" t="b">
        <f t="shared" si="11"/>
        <v>1</v>
      </c>
      <c r="AL736" t="b">
        <f>COUNTBLANK(Metadata!B736:AD736)=COLUMNS(Metadata!B736:AD736)</f>
        <v>1</v>
      </c>
      <c r="AM736" t="str">
        <v/>
      </c>
      <c r="AO736" t="b">
        <f ca="1">AND(IF(Metadata!B736="",FALSE,TRUE),COUNTIF(Metadata!B:B, Metadata!B736) = 1,NOT(ISERROR(SUMPRODUCT(SEARCH(MID(Metadata!B736,ROW(INDIRECT("1:"&amp;LEN(Metadata!B736))), 1),"0123456789abcdefghijklmnopqrstuvwxyzABCDEFGHIJKLMNOPQRSTUVWXYZ.")))))</f>
        <v>0</v>
      </c>
      <c r="AP736" t="b">
        <f>IF(Metadata!C736="",FALSE,TRUE)</f>
        <v>0</v>
      </c>
      <c r="AQ736" t="b">
        <f>IF(Metadata!D736="",FALSE,TRUE)</f>
        <v>0</v>
      </c>
      <c r="AR736" t="b">
        <f ca="1">OR(AND(IF(Metadata!E736="",FALSE,TRUE),OR(EXACT(Metadata!E736,"not collected"),EXACT(Metadata!E736,"not provided"),EXACT(Metadata!E736,"restricted access"))),AND(IF(Metadata!E736="",FALSE,TRUE),AND(AND(IFERROR(INT(LEFT(Metadata!E736,4))&gt;1900,FALSE),IFERROR(INT(LEFT(Metadata!E736,4))&lt;=YEAR(NOW()),FALSE)), OR(MID(Metadata!E736,5,1)="", AND(AND(MID(Metadata!E736,5,1)="-",IFERROR(INT(MID(Metadata!E736,6,1))&gt;=0,FALSE),IFERROR(INT(MID(Metadata!E736,6,1))&lt;=1,FALSE),NOT(MID(Metadata!E736,7,1)=""),IFERROR(INT(MID(Metadata!E736,6,2))&gt;=1,FALSE),IFERROR(INT(MID(Metadata!E736,6,2))&lt;=12,FALSE)), OR(MID(Metadata!E736,8,1)="", AND(AND(MID(Metadata!E736,8,1)="-",IFERROR(INT(MID(Metadata!E736,9,1))&gt;=0,FALSE),IFERROR(INT(MID(Metadata!E736,9,1))&lt;=3,FALSE),NOT(MID(Metadata!E736,10,1)=""),IFERROR(INT(MID(Metadata!E736,9,2))&gt;=1,FALSE),IFERROR(INT(MID(Metadata!E736,9,2))&lt;=31,FALSE)), OR(MID(Metadata!E736,11,1)="", AND(AND(MID(Metadata!E736,11,1)=" ",IFERROR(INT(MID(Metadata!E736,12,1))&gt;=0,FALSE),IFERROR(INT(MID(Metadata!E736,12,1))&lt;=2,FALSE),NOT(MID(Metadata!E736,13,1)=""),IFERROR(INT(MID(Metadata!E736,12,2))&gt;=0,FALSE),IFERROR(INT(MID(Metadata!E736,12,2))&lt;=23,FALSE)), OR(MID(Metadata!E736,14,1)="", AND(AND(MID(Metadata!E736,14,1)=":",IFERROR(INT(MID(Metadata!E736,15,1))&gt;=0,FALSE),IFERROR(INT(MID(Metadata!E736,15,1))&lt;=5,FALSE),NOT(MID(Metadata!E736,16,1)=""),IFERROR(INT(MID(Metadata!E736,15,2))&gt;=0,FALSE),IFERROR(INT(MID(Metadata!E736,15,2))&lt;=59,FALSE)), OR(MID(Metadata!E736,17,1)="", AND(AND(MID(Metadata!E736,17,1)=":",IFERROR(INT(MID(Metadata!E736,18,1))&gt;=0,FALSE),IFERROR(INT(MID(Metadata!E736,18,1))&lt;=5,FALSE),NOT(MID(Metadata!E736,19,1)=""),IFERROR(INT(MID(Metadata!E736,18,2))&gt;=0,FALSE),IFERROR(INT(MID(Metadata!E736,18,2))&lt;=59,FALSE)), LEN(Metadata!E736)&lt;=19)))))))))))))</f>
        <v>0</v>
      </c>
      <c r="AS736" t="b">
        <f>IF(Metadata!F736="",FALSE,TRUE)</f>
        <v>0</v>
      </c>
      <c r="AT736" t="b">
        <f>OR(AND(IF(Metadata!G736="",FALSE,TRUE),OR(EXACT(Metadata!G736,"not collected"),EXACT(Metadata!G736,"not provided"))),AND(IF(Metadata!G736="",FALSE,TRUE),OR(EXACT(Metadata!G736,"TRUE"),EXACT(Metadata!G736,"FALSE"))))</f>
        <v>0</v>
      </c>
      <c r="AU736" t="b">
        <f>OR(AND(IF(Metadata!H736="",FALSE,TRUE),OR(EXACT(Metadata!H736,"not collected"),EXACT(Metadata!H736,"not provided"),EXACT(Metadata!H736,"restricted access"))),AND(IF(Metadata!H736="",FALSE,ISNUMBER(VALUE(Metadata!H736))),Metadata!H736&gt;=-413))</f>
        <v>0</v>
      </c>
      <c r="AV736" t="b">
        <f>AND(IF(Metadata!I736="",FALSE,TRUE),EXACT(Metadata!I736,"meters"))</f>
        <v>0</v>
      </c>
      <c r="AW736" t="b">
        <f>AND(IF(Metadata!J736="",FALSE,TRUE),EXACT(Metadata!J736,"free-living"))</f>
        <v>0</v>
      </c>
      <c r="AX736" t="b">
        <f>AND(IF(Metadata!K736="",FALSE,TRUE),OR(EXACT(Metadata!K736,"saline"),EXACT(Metadata!K736,"non-saline")))</f>
        <v>0</v>
      </c>
      <c r="AY736" t="b">
        <f>AND(IF(Metadata!L736="",FALSE,TRUE),OR(EXACT(Metadata!L736,"sub-surface (non-saline)"),EXACT(Metadata!L736,"surface (non-saline)"),EXACT(Metadata!L736,"water (non-saline)"),EXACT(Metadata!L736,"soil (non-saline)"),EXACT(Metadata!L736,"aerosol (non-saline)"),EXACT(Metadata!L736,"sediment (non-saline)"),EXACT(Metadata!L736,"surface (saline)"),EXACT(Metadata!L736,"water (saline)"),EXACT(Metadata!L736,"hypersaline (saline)"),EXACT(Metadata!L736,"aerosol (saline)"),EXACT(Metadata!L736,"sediment (saline)")))</f>
        <v>0</v>
      </c>
      <c r="AZ736" t="b">
        <f>IF(Metadata!M736="",FALSE,TRUE)</f>
        <v>0</v>
      </c>
      <c r="BA736" t="b">
        <f>IF(Metadata!N736="",FALSE,TRUE)</f>
        <v>0</v>
      </c>
      <c r="BB736" t="b">
        <f>IF(Metadata!O736="",FALSE,TRUE)</f>
        <v>0</v>
      </c>
      <c r="BC736" t="b">
        <f>AND(IF(Metadata!P736="",FALSE,TRUE),OR(EXACT(Metadata!P736,"air"),EXACT(Metadata!P736,"microbial mat/biofilm"),EXACT(Metadata!P736,"misc environment"),EXACT(Metadata!P736,"sediment"),EXACT(Metadata!P736,"soil"),EXACT(Metadata!P736,"wastewater/sludge"),EXACT(Metadata!P736,"water")))</f>
        <v>0</v>
      </c>
      <c r="BD736" t="b">
        <f>IF(Metadata!Q736="",FALSE,TRUE)</f>
        <v>0</v>
      </c>
      <c r="BE736" t="b">
        <f>IF(Metadata!R736="",FALSE,TRUE)</f>
        <v>0</v>
      </c>
      <c r="BF736" t="b">
        <f>OR(AND(IF(Metadata!S736="",FALSE,TRUE),OR(EXACT(Metadata!S736,"not collected"),EXACT(Metadata!S736,"not provided"),EXACT(Metadata!S736,"restricted access"))),AND(IF(Metadata!S736="",FALSE,ISNUMBER(VALUE(Metadata!S736))),Metadata!S736&gt;=-90,Metadata!S736&lt;=90))</f>
        <v>0</v>
      </c>
      <c r="BG736" t="b">
        <f>AND(IF(Metadata!T736="",FALSE,TRUE),EXACT(Metadata!T736,"Decimal degrees"))</f>
        <v>0</v>
      </c>
      <c r="BH736" t="b">
        <f>OR(AND(IF(Metadata!U736="",FALSE,TRUE),OR(EXACT(Metadata!U736,"not applicable"),EXACT(Metadata!U736,"not collected"))),IF(Metadata!U736="",FALSE,TRUE))</f>
        <v>0</v>
      </c>
      <c r="BI736" t="b">
        <f>OR(AND(IF(Metadata!V736="",FALSE,TRUE),OR(EXACT(Metadata!V736,"not collected"),EXACT(Metadata!V736,"not provided"),EXACT(Metadata!V736,"restricted access"))),AND(IF(Metadata!V736="",FALSE,ISNUMBER(VALUE(Metadata!V736))),Metadata!V736&gt;=-180,Metadata!V736&lt;=180))</f>
        <v>0</v>
      </c>
      <c r="BJ736" t="b">
        <f>AND(IF(Metadata!W736="",FALSE,TRUE),EXACT(Metadata!W736,"Decimal degrees"))</f>
        <v>0</v>
      </c>
      <c r="BK736" t="b">
        <f>IF(Metadata!X736="",FALSE,TRUE)</f>
        <v>0</v>
      </c>
      <c r="BL736" t="b">
        <f>OR(AND(IF(Metadata!Y736="",FALSE,TRUE),OR(EXACT(Metadata!Y736,"not collected"),EXACT(Metadata!Y736,"not provided"),EXACT(Metadata!Y736,"restricted access"))),AND(IF(Metadata!Y736="",FALSE,TRUE),OR(EXACT(Metadata!Y736,"TRUE"),EXACT(Metadata!Y736,"FALSE"))))</f>
        <v>0</v>
      </c>
      <c r="BM736" t="b">
        <f>OR(AND(IF(Metadata!Z736="",FALSE,TRUE),EXACT(Metadata!Z736,"not applicable")),AND(IF(Metadata!Z736="",FALSE,TRUE),OR(EXACT(Metadata!Z736,"beer"),EXACT(Metadata!Z736,"cheese"),EXACT(Metadata!Z736,"fresh water"),EXACT(Metadata!Z736,"marine sediment"),EXACT(Metadata!Z736,"sea water"),EXACT(Metadata!Z736,"sediment"),EXACT(Metadata!Z736,"soil"),EXACT(Metadata!Z736,"waste water"))))</f>
        <v>0</v>
      </c>
      <c r="BN736" t="b">
        <f>AND(IF(Metadata!AA736="",FALSE,TRUE),EXACT(Metadata!AA736,"metagenome"))</f>
        <v>0</v>
      </c>
      <c r="BO736" t="b">
        <f>AND(IF(Metadata!AB736="",FALSE,TRUE),EXACT(Metadata!AB736,"256318"))</f>
        <v>0</v>
      </c>
      <c r="BP736" t="b">
        <f>IF(Metadata!AC736="",FALSE,TRUE)</f>
        <v>0</v>
      </c>
      <c r="BQ736" t="b">
        <f>IF(Metadata!AD736="",FALSE,TRUE)</f>
        <v>0</v>
      </c>
    </row>
    <row r="737" spans="1:69" x14ac:dyDescent="0.2">
      <c r="A737" s="4" t="e">
        <f ca="1">IF(B737=" "," ",HYPERLINK(CONCATENATE("#metadata!",ADDRESS(INDEX($AJ$2:$AJ$1001,MATCH(ROWS($AH$2:AH737),$AH$2:$AH$1001,0),0),2)),INDEX($AM$2:$AM$1001,MATCH(ROWS($AH$2:AH737),$AH$2:$AH$1001,0),0)))</f>
        <v>#N/A</v>
      </c>
      <c r="B737" s="5" t="e">
        <f ca="1">IF(OR(INDEX($AI$2:$AI$1001,MATCH(ROWS($AH$2:AH737),$AH$2:$AH$1001,0),1)&gt;=100000,INDEX($AO$1005:$BQ$1005,1,MATCH(COLUMNS($AO$1006:AO1006),$AO$1006:$BQ$1006,0))&gt;=100000), " ",IF(INDEX($AO$2:$BQ$1001,MATCH(ROWS($AH$2:AH737),$AH$2:$AH$1001,0),MATCH(COLUMNS($AO$1006:AO1006),$AO$1006:$BQ$1006,0)), HYPERLINK("#",""), HYPERLINK(CONCATENATE("#Metadata!", ADDRESS(INDEX($AJ$2:$AJ$1001,MATCH(ROWS($AH$2:AH737),$AH$2:$AH$1001,0),0), INDEX($AO$1004:$BQ$1004,1,MATCH(COLUMNS($AO$1006:AO1006),$AO$1006:$BQ$1006,0)))),"Fix")))</f>
        <v>#N/A</v>
      </c>
      <c r="C737" s="5" t="e">
        <f ca="1">IF(OR(INDEX($AI$2:$AI$1001,MATCH(ROWS($AH$2:AH737),$AH$2:$AH$1001,0),1)&gt;=100000,INDEX($AO$1005:$BQ$1005,1,MATCH(COLUMNS($AO$1006:AP1006),$AO$1006:$BQ$1006,0))&gt;=100000), " ",IF(INDEX($AO$2:$BQ$1001,MATCH(ROWS($AH$2:AH737),$AH$2:$AH$1001,0),MATCH(COLUMNS($AO$1006:AP1006),$AO$1006:$BQ$1006,0)), HYPERLINK("#",""), HYPERLINK(CONCATENATE("#Metadata!", ADDRESS(INDEX($AJ$2:$AJ$1001,MATCH(ROWS($AH$2:AH737),$AH$2:$AH$1001,0),0), INDEX($AO$1004:$BQ$1004,1,MATCH(COLUMNS($AO$1006:AP1006),$AO$1006:$BQ$1006,0)))),"Fix")))</f>
        <v>#N/A</v>
      </c>
      <c r="D737" s="5" t="e">
        <f ca="1">IF(OR(INDEX($AI$2:$AI$1001,MATCH(ROWS($AH$2:AH737),$AH$2:$AH$1001,0),1)&gt;=100000,INDEX($AO$1005:$BQ$1005,1,MATCH(COLUMNS($AO$1006:AQ1006),$AO$1006:$BQ$1006,0))&gt;=100000), " ",IF(INDEX($AO$2:$BQ$1001,MATCH(ROWS($AH$2:AH737),$AH$2:$AH$1001,0),MATCH(COLUMNS($AO$1006:AQ1006),$AO$1006:$BQ$1006,0)), HYPERLINK("#",""), HYPERLINK(CONCATENATE("#Metadata!", ADDRESS(INDEX($AJ$2:$AJ$1001,MATCH(ROWS($AH$2:AH737),$AH$2:$AH$1001,0),0), INDEX($AO$1004:$BQ$1004,1,MATCH(COLUMNS($AO$1006:AQ1006),$AO$1006:$BQ$1006,0)))),"Fix")))</f>
        <v>#N/A</v>
      </c>
      <c r="E737" s="5" t="e">
        <f ca="1">IF(OR(INDEX($AI$2:$AI$1001,MATCH(ROWS($AH$2:AH737),$AH$2:$AH$1001,0),1)&gt;=100000,INDEX($AO$1005:$BQ$1005,1,MATCH(COLUMNS($AO$1006:AR1006),$AO$1006:$BQ$1006,0))&gt;=100000), " ",IF(INDEX($AO$2:$BQ$1001,MATCH(ROWS($AH$2:AH737),$AH$2:$AH$1001,0),MATCH(COLUMNS($AO$1006:AR1006),$AO$1006:$BQ$1006,0)), HYPERLINK("#",""), HYPERLINK(CONCATENATE("#Metadata!", ADDRESS(INDEX($AJ$2:$AJ$1001,MATCH(ROWS($AH$2:AH737),$AH$2:$AH$1001,0),0), INDEX($AO$1004:$BQ$1004,1,MATCH(COLUMNS($AO$1006:AR1006),$AO$1006:$BQ$1006,0)))),"Fix")))</f>
        <v>#N/A</v>
      </c>
      <c r="F737" s="5" t="e">
        <f ca="1">IF(OR(INDEX($AI$2:$AI$1001,MATCH(ROWS($AH$2:AH737),$AH$2:$AH$1001,0),1)&gt;=100000,INDEX($AO$1005:$BQ$1005,1,MATCH(COLUMNS($AO$1006:AS1006),$AO$1006:$BQ$1006,0))&gt;=100000), " ",IF(INDEX($AO$2:$BQ$1001,MATCH(ROWS($AH$2:AH737),$AH$2:$AH$1001,0),MATCH(COLUMNS($AO$1006:AS1006),$AO$1006:$BQ$1006,0)), HYPERLINK("#",""), HYPERLINK(CONCATENATE("#Metadata!", ADDRESS(INDEX($AJ$2:$AJ$1001,MATCH(ROWS($AH$2:AH737),$AH$2:$AH$1001,0),0), INDEX($AO$1004:$BQ$1004,1,MATCH(COLUMNS($AO$1006:AS1006),$AO$1006:$BQ$1006,0)))),"Fix")))</f>
        <v>#N/A</v>
      </c>
      <c r="G737" s="5" t="e">
        <f ca="1">IF(OR(INDEX($AI$2:$AI$1001,MATCH(ROWS($AH$2:AH737),$AH$2:$AH$1001,0),1)&gt;=100000,INDEX($AO$1005:$BQ$1005,1,MATCH(COLUMNS($AO$1006:AT1006),$AO$1006:$BQ$1006,0))&gt;=100000), " ",IF(INDEX($AO$2:$BQ$1001,MATCH(ROWS($AH$2:AH737),$AH$2:$AH$1001,0),MATCH(COLUMNS($AO$1006:AT1006),$AO$1006:$BQ$1006,0)), HYPERLINK("#",""), HYPERLINK(CONCATENATE("#Metadata!", ADDRESS(INDEX($AJ$2:$AJ$1001,MATCH(ROWS($AH$2:AH737),$AH$2:$AH$1001,0),0), INDEX($AO$1004:$BQ$1004,1,MATCH(COLUMNS($AO$1006:AT1006),$AO$1006:$BQ$1006,0)))),"Fix")))</f>
        <v>#N/A</v>
      </c>
      <c r="H737" s="5" t="e">
        <f ca="1">IF(OR(INDEX($AI$2:$AI$1001,MATCH(ROWS($AH$2:AH737),$AH$2:$AH$1001,0),1)&gt;=100000,INDEX($AO$1005:$BQ$1005,1,MATCH(COLUMNS($AO$1006:AU1006),$AO$1006:$BQ$1006,0))&gt;=100000), " ",IF(INDEX($AO$2:$BQ$1001,MATCH(ROWS($AH$2:AH737),$AH$2:$AH$1001,0),MATCH(COLUMNS($AO$1006:AU1006),$AO$1006:$BQ$1006,0)), HYPERLINK("#",""), HYPERLINK(CONCATENATE("#Metadata!", ADDRESS(INDEX($AJ$2:$AJ$1001,MATCH(ROWS($AH$2:AH737),$AH$2:$AH$1001,0),0), INDEX($AO$1004:$BQ$1004,1,MATCH(COLUMNS($AO$1006:AU1006),$AO$1006:$BQ$1006,0)))),"Fix")))</f>
        <v>#N/A</v>
      </c>
      <c r="I737" s="5" t="e">
        <f ca="1">IF(OR(INDEX($AI$2:$AI$1001,MATCH(ROWS($AH$2:AH737),$AH$2:$AH$1001,0),1)&gt;=100000,INDEX($AO$1005:$BQ$1005,1,MATCH(COLUMNS($AO$1006:AV1006),$AO$1006:$BQ$1006,0))&gt;=100000), " ",IF(INDEX($AO$2:$BQ$1001,MATCH(ROWS($AH$2:AH737),$AH$2:$AH$1001,0),MATCH(COLUMNS($AO$1006:AV1006),$AO$1006:$BQ$1006,0)), HYPERLINK("#",""), HYPERLINK(CONCATENATE("#Metadata!", ADDRESS(INDEX($AJ$2:$AJ$1001,MATCH(ROWS($AH$2:AH737),$AH$2:$AH$1001,0),0), INDEX($AO$1004:$BQ$1004,1,MATCH(COLUMNS($AO$1006:AV1006),$AO$1006:$BQ$1006,0)))),"Fix")))</f>
        <v>#N/A</v>
      </c>
      <c r="J737" s="5" t="e">
        <f ca="1">IF(OR(INDEX($AI$2:$AI$1001,MATCH(ROWS($AH$2:AH737),$AH$2:$AH$1001,0),1)&gt;=100000,INDEX($AO$1005:$BQ$1005,1,MATCH(COLUMNS($AO$1006:AW1006),$AO$1006:$BQ$1006,0))&gt;=100000), " ",IF(INDEX($AO$2:$BQ$1001,MATCH(ROWS($AH$2:AH737),$AH$2:$AH$1001,0),MATCH(COLUMNS($AO$1006:AW1006),$AO$1006:$BQ$1006,0)), HYPERLINK("#",""), HYPERLINK(CONCATENATE("#Metadata!", ADDRESS(INDEX($AJ$2:$AJ$1001,MATCH(ROWS($AH$2:AH737),$AH$2:$AH$1001,0),0), INDEX($AO$1004:$BQ$1004,1,MATCH(COLUMNS($AO$1006:AW1006),$AO$1006:$BQ$1006,0)))),"Fix")))</f>
        <v>#N/A</v>
      </c>
      <c r="K737" s="5" t="e">
        <f ca="1">IF(OR(INDEX($AI$2:$AI$1001,MATCH(ROWS($AH$2:AH737),$AH$2:$AH$1001,0),1)&gt;=100000,INDEX($AO$1005:$BQ$1005,1,MATCH(COLUMNS($AO$1006:AX1006),$AO$1006:$BQ$1006,0))&gt;=100000), " ",IF(INDEX($AO$2:$BQ$1001,MATCH(ROWS($AH$2:AH737),$AH$2:$AH$1001,0),MATCH(COLUMNS($AO$1006:AX1006),$AO$1006:$BQ$1006,0)), HYPERLINK("#",""), HYPERLINK(CONCATENATE("#Metadata!", ADDRESS(INDEX($AJ$2:$AJ$1001,MATCH(ROWS($AH$2:AH737),$AH$2:$AH$1001,0),0), INDEX($AO$1004:$BQ$1004,1,MATCH(COLUMNS($AO$1006:AX1006),$AO$1006:$BQ$1006,0)))),"Fix")))</f>
        <v>#N/A</v>
      </c>
      <c r="L737" s="5" t="e">
        <f ca="1">IF(OR(INDEX($AI$2:$AI$1001,MATCH(ROWS($AH$2:AH737),$AH$2:$AH$1001,0),1)&gt;=100000,INDEX($AO$1005:$BQ$1005,1,MATCH(COLUMNS($AO$1006:AY1006),$AO$1006:$BQ$1006,0))&gt;=100000), " ",IF(INDEX($AO$2:$BQ$1001,MATCH(ROWS($AH$2:AH737),$AH$2:$AH$1001,0),MATCH(COLUMNS($AO$1006:AY1006),$AO$1006:$BQ$1006,0)), HYPERLINK("#",""), HYPERLINK(CONCATENATE("#Metadata!", ADDRESS(INDEX($AJ$2:$AJ$1001,MATCH(ROWS($AH$2:AH737),$AH$2:$AH$1001,0),0), INDEX($AO$1004:$BQ$1004,1,MATCH(COLUMNS($AO$1006:AY1006),$AO$1006:$BQ$1006,0)))),"Fix")))</f>
        <v>#N/A</v>
      </c>
      <c r="M737" s="5" t="e">
        <f ca="1">IF(OR(INDEX($AI$2:$AI$1001,MATCH(ROWS($AH$2:AH737),$AH$2:$AH$1001,0),1)&gt;=100000,INDEX($AO$1005:$BQ$1005,1,MATCH(COLUMNS($AO$1006:AZ1006),$AO$1006:$BQ$1006,0))&gt;=100000), " ",IF(INDEX($AO$2:$BQ$1001,MATCH(ROWS($AH$2:AH737),$AH$2:$AH$1001,0),MATCH(COLUMNS($AO$1006:AZ1006),$AO$1006:$BQ$1006,0)), HYPERLINK("#",""), HYPERLINK(CONCATENATE("#Metadata!", ADDRESS(INDEX($AJ$2:$AJ$1001,MATCH(ROWS($AH$2:AH737),$AH$2:$AH$1001,0),0), INDEX($AO$1004:$BQ$1004,1,MATCH(COLUMNS($AO$1006:AZ1006),$AO$1006:$BQ$1006,0)))),"Fix")))</f>
        <v>#N/A</v>
      </c>
      <c r="N737" s="5" t="e">
        <f ca="1">IF(OR(INDEX($AI$2:$AI$1001,MATCH(ROWS($AH$2:AH737),$AH$2:$AH$1001,0),1)&gt;=100000,INDEX($AO$1005:$BQ$1005,1,MATCH(COLUMNS($AO$1006:BA1006),$AO$1006:$BQ$1006,0))&gt;=100000), " ",IF(INDEX($AO$2:$BQ$1001,MATCH(ROWS($AH$2:AH737),$AH$2:$AH$1001,0),MATCH(COLUMNS($AO$1006:BA1006),$AO$1006:$BQ$1006,0)), HYPERLINK("#",""), HYPERLINK(CONCATENATE("#Metadata!", ADDRESS(INDEX($AJ$2:$AJ$1001,MATCH(ROWS($AH$2:AH737),$AH$2:$AH$1001,0),0), INDEX($AO$1004:$BQ$1004,1,MATCH(COLUMNS($AO$1006:BA1006),$AO$1006:$BQ$1006,0)))),"Fix")))</f>
        <v>#N/A</v>
      </c>
      <c r="O737" s="5" t="e">
        <f ca="1">IF(OR(INDEX($AI$2:$AI$1001,MATCH(ROWS($AH$2:AH737),$AH$2:$AH$1001,0),1)&gt;=100000,INDEX($AO$1005:$BQ$1005,1,MATCH(COLUMNS($AO$1006:BB1006),$AO$1006:$BQ$1006,0))&gt;=100000), " ",IF(INDEX($AO$2:$BQ$1001,MATCH(ROWS($AH$2:AH737),$AH$2:$AH$1001,0),MATCH(COLUMNS($AO$1006:BB1006),$AO$1006:$BQ$1006,0)), HYPERLINK("#",""), HYPERLINK(CONCATENATE("#Metadata!", ADDRESS(INDEX($AJ$2:$AJ$1001,MATCH(ROWS($AH$2:AH737),$AH$2:$AH$1001,0),0), INDEX($AO$1004:$BQ$1004,1,MATCH(COLUMNS($AO$1006:BB1006),$AO$1006:$BQ$1006,0)))),"Fix")))</f>
        <v>#N/A</v>
      </c>
      <c r="P737" s="5" t="e">
        <f ca="1">IF(OR(INDEX($AI$2:$AI$1001,MATCH(ROWS($AH$2:AH737),$AH$2:$AH$1001,0),1)&gt;=100000,INDEX($AO$1005:$BQ$1005,1,MATCH(COLUMNS($AO$1006:BC1006),$AO$1006:$BQ$1006,0))&gt;=100000), " ",IF(INDEX($AO$2:$BQ$1001,MATCH(ROWS($AH$2:AH737),$AH$2:$AH$1001,0),MATCH(COLUMNS($AO$1006:BC1006),$AO$1006:$BQ$1006,0)), HYPERLINK("#",""), HYPERLINK(CONCATENATE("#Metadata!", ADDRESS(INDEX($AJ$2:$AJ$1001,MATCH(ROWS($AH$2:AH737),$AH$2:$AH$1001,0),0), INDEX($AO$1004:$BQ$1004,1,MATCH(COLUMNS($AO$1006:BC1006),$AO$1006:$BQ$1006,0)))),"Fix")))</f>
        <v>#N/A</v>
      </c>
      <c r="Q737" s="5" t="e">
        <f ca="1">IF(OR(INDEX($AI$2:$AI$1001,MATCH(ROWS($AH$2:AH737),$AH$2:$AH$1001,0),1)&gt;=100000,INDEX($AO$1005:$BQ$1005,1,MATCH(COLUMNS($AO$1006:BD1006),$AO$1006:$BQ$1006,0))&gt;=100000), " ",IF(INDEX($AO$2:$BQ$1001,MATCH(ROWS($AH$2:AH737),$AH$2:$AH$1001,0),MATCH(COLUMNS($AO$1006:BD1006),$AO$1006:$BQ$1006,0)), HYPERLINK("#",""), HYPERLINK(CONCATENATE("#Metadata!", ADDRESS(INDEX($AJ$2:$AJ$1001,MATCH(ROWS($AH$2:AH737),$AH$2:$AH$1001,0),0), INDEX($AO$1004:$BQ$1004,1,MATCH(COLUMNS($AO$1006:BD1006),$AO$1006:$BQ$1006,0)))),"Fix")))</f>
        <v>#N/A</v>
      </c>
      <c r="R737" s="5" t="e">
        <f ca="1">IF(OR(INDEX($AI$2:$AI$1001,MATCH(ROWS($AH$2:AH737),$AH$2:$AH$1001,0),1)&gt;=100000,INDEX($AO$1005:$BQ$1005,1,MATCH(COLUMNS($AO$1006:BE1006),$AO$1006:$BQ$1006,0))&gt;=100000), " ",IF(INDEX($AO$2:$BQ$1001,MATCH(ROWS($AH$2:AH737),$AH$2:$AH$1001,0),MATCH(COLUMNS($AO$1006:BE1006),$AO$1006:$BQ$1006,0)), HYPERLINK("#",""), HYPERLINK(CONCATENATE("#Metadata!", ADDRESS(INDEX($AJ$2:$AJ$1001,MATCH(ROWS($AH$2:AH737),$AH$2:$AH$1001,0),0), INDEX($AO$1004:$BQ$1004,1,MATCH(COLUMNS($AO$1006:BE1006),$AO$1006:$BQ$1006,0)))),"Fix")))</f>
        <v>#N/A</v>
      </c>
      <c r="S737" s="5" t="e">
        <f ca="1">IF(OR(INDEX($AI$2:$AI$1001,MATCH(ROWS($AH$2:AH737),$AH$2:$AH$1001,0),1)&gt;=100000,INDEX($AO$1005:$BQ$1005,1,MATCH(COLUMNS($AO$1006:BF1006),$AO$1006:$BQ$1006,0))&gt;=100000), " ",IF(INDEX($AO$2:$BQ$1001,MATCH(ROWS($AH$2:AH737),$AH$2:$AH$1001,0),MATCH(COLUMNS($AO$1006:BF1006),$AO$1006:$BQ$1006,0)), HYPERLINK("#",""), HYPERLINK(CONCATENATE("#Metadata!", ADDRESS(INDEX($AJ$2:$AJ$1001,MATCH(ROWS($AH$2:AH737),$AH$2:$AH$1001,0),0), INDEX($AO$1004:$BQ$1004,1,MATCH(COLUMNS($AO$1006:BF1006),$AO$1006:$BQ$1006,0)))),"Fix")))</f>
        <v>#N/A</v>
      </c>
      <c r="T737" s="5" t="e">
        <f ca="1">IF(OR(INDEX($AI$2:$AI$1001,MATCH(ROWS($AH$2:AH737),$AH$2:$AH$1001,0),1)&gt;=100000,INDEX($AO$1005:$BQ$1005,1,MATCH(COLUMNS($AO$1006:BG1006),$AO$1006:$BQ$1006,0))&gt;=100000), " ",IF(INDEX($AO$2:$BQ$1001,MATCH(ROWS($AH$2:AH737),$AH$2:$AH$1001,0),MATCH(COLUMNS($AO$1006:BG1006),$AO$1006:$BQ$1006,0)), HYPERLINK("#",""), HYPERLINK(CONCATENATE("#Metadata!", ADDRESS(INDEX($AJ$2:$AJ$1001,MATCH(ROWS($AH$2:AH737),$AH$2:$AH$1001,0),0), INDEX($AO$1004:$BQ$1004,1,MATCH(COLUMNS($AO$1006:BG1006),$AO$1006:$BQ$1006,0)))),"Fix")))</f>
        <v>#N/A</v>
      </c>
      <c r="U737" s="5" t="e">
        <f ca="1">IF(OR(INDEX($AI$2:$AI$1001,MATCH(ROWS($AH$2:AH737),$AH$2:$AH$1001,0),1)&gt;=100000,INDEX($AO$1005:$BQ$1005,1,MATCH(COLUMNS($AO$1006:BH1006),$AO$1006:$BQ$1006,0))&gt;=100000), " ",IF(INDEX($AO$2:$BQ$1001,MATCH(ROWS($AH$2:AH737),$AH$2:$AH$1001,0),MATCH(COLUMNS($AO$1006:BH1006),$AO$1006:$BQ$1006,0)), HYPERLINK("#",""), HYPERLINK(CONCATENATE("#Metadata!", ADDRESS(INDEX($AJ$2:$AJ$1001,MATCH(ROWS($AH$2:AH737),$AH$2:$AH$1001,0),0), INDEX($AO$1004:$BQ$1004,1,MATCH(COLUMNS($AO$1006:BH1006),$AO$1006:$BQ$1006,0)))),"Fix")))</f>
        <v>#N/A</v>
      </c>
      <c r="V737" s="5" t="e">
        <f ca="1">IF(OR(INDEX($AI$2:$AI$1001,MATCH(ROWS($AH$2:AH737),$AH$2:$AH$1001,0),1)&gt;=100000,INDEX($AO$1005:$BQ$1005,1,MATCH(COLUMNS($AO$1006:BI1006),$AO$1006:$BQ$1006,0))&gt;=100000), " ",IF(INDEX($AO$2:$BQ$1001,MATCH(ROWS($AH$2:AH737),$AH$2:$AH$1001,0),MATCH(COLUMNS($AO$1006:BI1006),$AO$1006:$BQ$1006,0)), HYPERLINK("#",""), HYPERLINK(CONCATENATE("#Metadata!", ADDRESS(INDEX($AJ$2:$AJ$1001,MATCH(ROWS($AH$2:AH737),$AH$2:$AH$1001,0),0), INDEX($AO$1004:$BQ$1004,1,MATCH(COLUMNS($AO$1006:BI1006),$AO$1006:$BQ$1006,0)))),"Fix")))</f>
        <v>#N/A</v>
      </c>
      <c r="W737" s="5" t="e">
        <f ca="1">IF(OR(INDEX($AI$2:$AI$1001,MATCH(ROWS($AH$2:AH737),$AH$2:$AH$1001,0),1)&gt;=100000,INDEX($AO$1005:$BQ$1005,1,MATCH(COLUMNS($AO$1006:BJ1006),$AO$1006:$BQ$1006,0))&gt;=100000), " ",IF(INDEX($AO$2:$BQ$1001,MATCH(ROWS($AH$2:AH737),$AH$2:$AH$1001,0),MATCH(COLUMNS($AO$1006:BJ1006),$AO$1006:$BQ$1006,0)), HYPERLINK("#",""), HYPERLINK(CONCATENATE("#Metadata!", ADDRESS(INDEX($AJ$2:$AJ$1001,MATCH(ROWS($AH$2:AH737),$AH$2:$AH$1001,0),0), INDEX($AO$1004:$BQ$1004,1,MATCH(COLUMNS($AO$1006:BJ1006),$AO$1006:$BQ$1006,0)))),"Fix")))</f>
        <v>#N/A</v>
      </c>
      <c r="X737" s="5" t="e">
        <f ca="1">IF(OR(INDEX($AI$2:$AI$1001,MATCH(ROWS($AH$2:AH737),$AH$2:$AH$1001,0),1)&gt;=100000,INDEX($AO$1005:$BQ$1005,1,MATCH(COLUMNS($AO$1006:BK1006),$AO$1006:$BQ$1006,0))&gt;=100000), " ",IF(INDEX($AO$2:$BQ$1001,MATCH(ROWS($AH$2:AH737),$AH$2:$AH$1001,0),MATCH(COLUMNS($AO$1006:BK1006),$AO$1006:$BQ$1006,0)), HYPERLINK("#",""), HYPERLINK(CONCATENATE("#Metadata!", ADDRESS(INDEX($AJ$2:$AJ$1001,MATCH(ROWS($AH$2:AH737),$AH$2:$AH$1001,0),0), INDEX($AO$1004:$BQ$1004,1,MATCH(COLUMNS($AO$1006:BK1006),$AO$1006:$BQ$1006,0)))),"Fix")))</f>
        <v>#N/A</v>
      </c>
      <c r="Y737" s="5" t="e">
        <f ca="1">IF(OR(INDEX($AI$2:$AI$1001,MATCH(ROWS($AH$2:AH737),$AH$2:$AH$1001,0),1)&gt;=100000,INDEX($AO$1005:$BQ$1005,1,MATCH(COLUMNS($AO$1006:BL1006),$AO$1006:$BQ$1006,0))&gt;=100000), " ",IF(INDEX($AO$2:$BQ$1001,MATCH(ROWS($AH$2:AH737),$AH$2:$AH$1001,0),MATCH(COLUMNS($AO$1006:BL1006),$AO$1006:$BQ$1006,0)), HYPERLINK("#",""), HYPERLINK(CONCATENATE("#Metadata!", ADDRESS(INDEX($AJ$2:$AJ$1001,MATCH(ROWS($AH$2:AH737),$AH$2:$AH$1001,0),0), INDEX($AO$1004:$BQ$1004,1,MATCH(COLUMNS($AO$1006:BL1006),$AO$1006:$BQ$1006,0)))),"Fix")))</f>
        <v>#N/A</v>
      </c>
      <c r="Z737" s="5" t="e">
        <f ca="1">IF(OR(INDEX($AI$2:$AI$1001,MATCH(ROWS($AH$2:AH737),$AH$2:$AH$1001,0),1)&gt;=100000,INDEX($AO$1005:$BQ$1005,1,MATCH(COLUMNS($AO$1006:BM1006),$AO$1006:$BQ$1006,0))&gt;=100000), " ",IF(INDEX($AO$2:$BQ$1001,MATCH(ROWS($AH$2:AH737),$AH$2:$AH$1001,0),MATCH(COLUMNS($AO$1006:BM1006),$AO$1006:$BQ$1006,0)), HYPERLINK("#",""), HYPERLINK(CONCATENATE("#Metadata!", ADDRESS(INDEX($AJ$2:$AJ$1001,MATCH(ROWS($AH$2:AH737),$AH$2:$AH$1001,0),0), INDEX($AO$1004:$BQ$1004,1,MATCH(COLUMNS($AO$1006:BM1006),$AO$1006:$BQ$1006,0)))),"Fix")))</f>
        <v>#N/A</v>
      </c>
      <c r="AA737" s="5" t="e">
        <f ca="1">IF(OR(INDEX($AI$2:$AI$1001,MATCH(ROWS($AH$2:AH737),$AH$2:$AH$1001,0),1)&gt;=100000,INDEX($AO$1005:$BQ$1005,1,MATCH(COLUMNS($AO$1006:BN1006),$AO$1006:$BQ$1006,0))&gt;=100000), " ",IF(INDEX($AO$2:$BQ$1001,MATCH(ROWS($AH$2:AH737),$AH$2:$AH$1001,0),MATCH(COLUMNS($AO$1006:BN1006),$AO$1006:$BQ$1006,0)), HYPERLINK("#",""), HYPERLINK(CONCATENATE("#Metadata!", ADDRESS(INDEX($AJ$2:$AJ$1001,MATCH(ROWS($AH$2:AH737),$AH$2:$AH$1001,0),0), INDEX($AO$1004:$BQ$1004,1,MATCH(COLUMNS($AO$1006:BN1006),$AO$1006:$BQ$1006,0)))),"Fix")))</f>
        <v>#N/A</v>
      </c>
      <c r="AB737" s="5" t="e">
        <f ca="1">IF(OR(INDEX($AI$2:$AI$1001,MATCH(ROWS($AH$2:AH737),$AH$2:$AH$1001,0),1)&gt;=100000,INDEX($AO$1005:$BQ$1005,1,MATCH(COLUMNS($AO$1006:BO1006),$AO$1006:$BQ$1006,0))&gt;=100000), " ",IF(INDEX($AO$2:$BQ$1001,MATCH(ROWS($AH$2:AH737),$AH$2:$AH$1001,0),MATCH(COLUMNS($AO$1006:BO1006),$AO$1006:$BQ$1006,0)), HYPERLINK("#",""), HYPERLINK(CONCATENATE("#Metadata!", ADDRESS(INDEX($AJ$2:$AJ$1001,MATCH(ROWS($AH$2:AH737),$AH$2:$AH$1001,0),0), INDEX($AO$1004:$BQ$1004,1,MATCH(COLUMNS($AO$1006:BO1006),$AO$1006:$BQ$1006,0)))),"Fix")))</f>
        <v>#N/A</v>
      </c>
      <c r="AC737" s="5" t="e">
        <f ca="1">IF(OR(INDEX($AI$2:$AI$1001,MATCH(ROWS($AH$2:AH737),$AH$2:$AH$1001,0),1)&gt;=100000,INDEX($AO$1005:$BQ$1005,1,MATCH(COLUMNS($AO$1006:BP1006),$AO$1006:$BQ$1006,0))&gt;=100000), " ",IF(INDEX($AO$2:$BQ$1001,MATCH(ROWS($AH$2:AH737),$AH$2:$AH$1001,0),MATCH(COLUMNS($AO$1006:BP1006),$AO$1006:$BQ$1006,0)), HYPERLINK("#",""), HYPERLINK(CONCATENATE("#Metadata!", ADDRESS(INDEX($AJ$2:$AJ$1001,MATCH(ROWS($AH$2:AH737),$AH$2:$AH$1001,0),0), INDEX($AO$1004:$BQ$1004,1,MATCH(COLUMNS($AO$1006:BP1006),$AO$1006:$BQ$1006,0)))),"Fix")))</f>
        <v>#N/A</v>
      </c>
      <c r="AD737" s="5" t="e">
        <f ca="1">IF(OR(INDEX($AI$2:$AI$1001,MATCH(ROWS($AH$2:AH737),$AH$2:$AH$1001,0),1)&gt;=100000,INDEX($AO$1005:$BQ$1005,1,MATCH(COLUMNS($AO$1006:BQ1006),$AO$1006:$BQ$1006,0))&gt;=100000), " ",IF(INDEX($AO$2:$BQ$1001,MATCH(ROWS($AH$2:AH737),$AH$2:$AH$1001,0),MATCH(COLUMNS($AO$1006:BQ1006),$AO$1006:$BQ$1006,0)), HYPERLINK("#",""), HYPERLINK(CONCATENATE("#Metadata!", ADDRESS(INDEX($AJ$2:$AJ$1001,MATCH(ROWS($AH$2:AH737),$AH$2:$AH$1001,0),0), INDEX($AO$1004:$BQ$1004,1,MATCH(COLUMNS($AO$1006:BQ1006),$AO$1006:$BQ$1006,0)))),"Fix")))</f>
        <v>#REF!</v>
      </c>
      <c r="AH737">
        <f ca="1"/>
        <v>734</v>
      </c>
      <c r="AI737">
        <v>100737</v>
      </c>
      <c r="AJ737">
        <v>737</v>
      </c>
      <c r="AK737" t="b">
        <f t="shared" si="11"/>
        <v>1</v>
      </c>
      <c r="AL737" t="b">
        <f>COUNTBLANK(Metadata!B737:AD737)=COLUMNS(Metadata!B737:AD737)</f>
        <v>1</v>
      </c>
      <c r="AM737" t="str">
        <v/>
      </c>
      <c r="AO737" t="b">
        <f ca="1">AND(IF(Metadata!B737="",FALSE,TRUE),COUNTIF(Metadata!B:B, Metadata!B737) = 1,NOT(ISERROR(SUMPRODUCT(SEARCH(MID(Metadata!B737,ROW(INDIRECT("1:"&amp;LEN(Metadata!B737))), 1),"0123456789abcdefghijklmnopqrstuvwxyzABCDEFGHIJKLMNOPQRSTUVWXYZ.")))))</f>
        <v>0</v>
      </c>
      <c r="AP737" t="b">
        <f>IF(Metadata!C737="",FALSE,TRUE)</f>
        <v>0</v>
      </c>
      <c r="AQ737" t="b">
        <f>IF(Metadata!D737="",FALSE,TRUE)</f>
        <v>0</v>
      </c>
      <c r="AR737" t="b">
        <f ca="1">OR(AND(IF(Metadata!E737="",FALSE,TRUE),OR(EXACT(Metadata!E737,"not collected"),EXACT(Metadata!E737,"not provided"),EXACT(Metadata!E737,"restricted access"))),AND(IF(Metadata!E737="",FALSE,TRUE),AND(AND(IFERROR(INT(LEFT(Metadata!E737,4))&gt;1900,FALSE),IFERROR(INT(LEFT(Metadata!E737,4))&lt;=YEAR(NOW()),FALSE)), OR(MID(Metadata!E737,5,1)="", AND(AND(MID(Metadata!E737,5,1)="-",IFERROR(INT(MID(Metadata!E737,6,1))&gt;=0,FALSE),IFERROR(INT(MID(Metadata!E737,6,1))&lt;=1,FALSE),NOT(MID(Metadata!E737,7,1)=""),IFERROR(INT(MID(Metadata!E737,6,2))&gt;=1,FALSE),IFERROR(INT(MID(Metadata!E737,6,2))&lt;=12,FALSE)), OR(MID(Metadata!E737,8,1)="", AND(AND(MID(Metadata!E737,8,1)="-",IFERROR(INT(MID(Metadata!E737,9,1))&gt;=0,FALSE),IFERROR(INT(MID(Metadata!E737,9,1))&lt;=3,FALSE),NOT(MID(Metadata!E737,10,1)=""),IFERROR(INT(MID(Metadata!E737,9,2))&gt;=1,FALSE),IFERROR(INT(MID(Metadata!E737,9,2))&lt;=31,FALSE)), OR(MID(Metadata!E737,11,1)="", AND(AND(MID(Metadata!E737,11,1)=" ",IFERROR(INT(MID(Metadata!E737,12,1))&gt;=0,FALSE),IFERROR(INT(MID(Metadata!E737,12,1))&lt;=2,FALSE),NOT(MID(Metadata!E737,13,1)=""),IFERROR(INT(MID(Metadata!E737,12,2))&gt;=0,FALSE),IFERROR(INT(MID(Metadata!E737,12,2))&lt;=23,FALSE)), OR(MID(Metadata!E737,14,1)="", AND(AND(MID(Metadata!E737,14,1)=":",IFERROR(INT(MID(Metadata!E737,15,1))&gt;=0,FALSE),IFERROR(INT(MID(Metadata!E737,15,1))&lt;=5,FALSE),NOT(MID(Metadata!E737,16,1)=""),IFERROR(INT(MID(Metadata!E737,15,2))&gt;=0,FALSE),IFERROR(INT(MID(Metadata!E737,15,2))&lt;=59,FALSE)), OR(MID(Metadata!E737,17,1)="", AND(AND(MID(Metadata!E737,17,1)=":",IFERROR(INT(MID(Metadata!E737,18,1))&gt;=0,FALSE),IFERROR(INT(MID(Metadata!E737,18,1))&lt;=5,FALSE),NOT(MID(Metadata!E737,19,1)=""),IFERROR(INT(MID(Metadata!E737,18,2))&gt;=0,FALSE),IFERROR(INT(MID(Metadata!E737,18,2))&lt;=59,FALSE)), LEN(Metadata!E737)&lt;=19)))))))))))))</f>
        <v>0</v>
      </c>
      <c r="AS737" t="b">
        <f>IF(Metadata!F737="",FALSE,TRUE)</f>
        <v>0</v>
      </c>
      <c r="AT737" t="b">
        <f>OR(AND(IF(Metadata!G737="",FALSE,TRUE),OR(EXACT(Metadata!G737,"not collected"),EXACT(Metadata!G737,"not provided"))),AND(IF(Metadata!G737="",FALSE,TRUE),OR(EXACT(Metadata!G737,"TRUE"),EXACT(Metadata!G737,"FALSE"))))</f>
        <v>0</v>
      </c>
      <c r="AU737" t="b">
        <f>OR(AND(IF(Metadata!H737="",FALSE,TRUE),OR(EXACT(Metadata!H737,"not collected"),EXACT(Metadata!H737,"not provided"),EXACT(Metadata!H737,"restricted access"))),AND(IF(Metadata!H737="",FALSE,ISNUMBER(VALUE(Metadata!H737))),Metadata!H737&gt;=-413))</f>
        <v>0</v>
      </c>
      <c r="AV737" t="b">
        <f>AND(IF(Metadata!I737="",FALSE,TRUE),EXACT(Metadata!I737,"meters"))</f>
        <v>0</v>
      </c>
      <c r="AW737" t="b">
        <f>AND(IF(Metadata!J737="",FALSE,TRUE),EXACT(Metadata!J737,"free-living"))</f>
        <v>0</v>
      </c>
      <c r="AX737" t="b">
        <f>AND(IF(Metadata!K737="",FALSE,TRUE),OR(EXACT(Metadata!K737,"saline"),EXACT(Metadata!K737,"non-saline")))</f>
        <v>0</v>
      </c>
      <c r="AY737" t="b">
        <f>AND(IF(Metadata!L737="",FALSE,TRUE),OR(EXACT(Metadata!L737,"sub-surface (non-saline)"),EXACT(Metadata!L737,"surface (non-saline)"),EXACT(Metadata!L737,"water (non-saline)"),EXACT(Metadata!L737,"soil (non-saline)"),EXACT(Metadata!L737,"aerosol (non-saline)"),EXACT(Metadata!L737,"sediment (non-saline)"),EXACT(Metadata!L737,"surface (saline)"),EXACT(Metadata!L737,"water (saline)"),EXACT(Metadata!L737,"hypersaline (saline)"),EXACT(Metadata!L737,"aerosol (saline)"),EXACT(Metadata!L737,"sediment (saline)")))</f>
        <v>0</v>
      </c>
      <c r="AZ737" t="b">
        <f>IF(Metadata!M737="",FALSE,TRUE)</f>
        <v>0</v>
      </c>
      <c r="BA737" t="b">
        <f>IF(Metadata!N737="",FALSE,TRUE)</f>
        <v>0</v>
      </c>
      <c r="BB737" t="b">
        <f>IF(Metadata!O737="",FALSE,TRUE)</f>
        <v>0</v>
      </c>
      <c r="BC737" t="b">
        <f>AND(IF(Metadata!P737="",FALSE,TRUE),OR(EXACT(Metadata!P737,"air"),EXACT(Metadata!P737,"microbial mat/biofilm"),EXACT(Metadata!P737,"misc environment"),EXACT(Metadata!P737,"sediment"),EXACT(Metadata!P737,"soil"),EXACT(Metadata!P737,"wastewater/sludge"),EXACT(Metadata!P737,"water")))</f>
        <v>0</v>
      </c>
      <c r="BD737" t="b">
        <f>IF(Metadata!Q737="",FALSE,TRUE)</f>
        <v>0</v>
      </c>
      <c r="BE737" t="b">
        <f>IF(Metadata!R737="",FALSE,TRUE)</f>
        <v>0</v>
      </c>
      <c r="BF737" t="b">
        <f>OR(AND(IF(Metadata!S737="",FALSE,TRUE),OR(EXACT(Metadata!S737,"not collected"),EXACT(Metadata!S737,"not provided"),EXACT(Metadata!S737,"restricted access"))),AND(IF(Metadata!S737="",FALSE,ISNUMBER(VALUE(Metadata!S737))),Metadata!S737&gt;=-90,Metadata!S737&lt;=90))</f>
        <v>0</v>
      </c>
      <c r="BG737" t="b">
        <f>AND(IF(Metadata!T737="",FALSE,TRUE),EXACT(Metadata!T737,"Decimal degrees"))</f>
        <v>0</v>
      </c>
      <c r="BH737" t="b">
        <f>OR(AND(IF(Metadata!U737="",FALSE,TRUE),OR(EXACT(Metadata!U737,"not applicable"),EXACT(Metadata!U737,"not collected"))),IF(Metadata!U737="",FALSE,TRUE))</f>
        <v>0</v>
      </c>
      <c r="BI737" t="b">
        <f>OR(AND(IF(Metadata!V737="",FALSE,TRUE),OR(EXACT(Metadata!V737,"not collected"),EXACT(Metadata!V737,"not provided"),EXACT(Metadata!V737,"restricted access"))),AND(IF(Metadata!V737="",FALSE,ISNUMBER(VALUE(Metadata!V737))),Metadata!V737&gt;=-180,Metadata!V737&lt;=180))</f>
        <v>0</v>
      </c>
      <c r="BJ737" t="b">
        <f>AND(IF(Metadata!W737="",FALSE,TRUE),EXACT(Metadata!W737,"Decimal degrees"))</f>
        <v>0</v>
      </c>
      <c r="BK737" t="b">
        <f>IF(Metadata!X737="",FALSE,TRUE)</f>
        <v>0</v>
      </c>
      <c r="BL737" t="b">
        <f>OR(AND(IF(Metadata!Y737="",FALSE,TRUE),OR(EXACT(Metadata!Y737,"not collected"),EXACT(Metadata!Y737,"not provided"),EXACT(Metadata!Y737,"restricted access"))),AND(IF(Metadata!Y737="",FALSE,TRUE),OR(EXACT(Metadata!Y737,"TRUE"),EXACT(Metadata!Y737,"FALSE"))))</f>
        <v>0</v>
      </c>
      <c r="BM737" t="b">
        <f>OR(AND(IF(Metadata!Z737="",FALSE,TRUE),EXACT(Metadata!Z737,"not applicable")),AND(IF(Metadata!Z737="",FALSE,TRUE),OR(EXACT(Metadata!Z737,"beer"),EXACT(Metadata!Z737,"cheese"),EXACT(Metadata!Z737,"fresh water"),EXACT(Metadata!Z737,"marine sediment"),EXACT(Metadata!Z737,"sea water"),EXACT(Metadata!Z737,"sediment"),EXACT(Metadata!Z737,"soil"),EXACT(Metadata!Z737,"waste water"))))</f>
        <v>0</v>
      </c>
      <c r="BN737" t="b">
        <f>AND(IF(Metadata!AA737="",FALSE,TRUE),EXACT(Metadata!AA737,"metagenome"))</f>
        <v>0</v>
      </c>
      <c r="BO737" t="b">
        <f>AND(IF(Metadata!AB737="",FALSE,TRUE),EXACT(Metadata!AB737,"256318"))</f>
        <v>0</v>
      </c>
      <c r="BP737" t="b">
        <f>IF(Metadata!AC737="",FALSE,TRUE)</f>
        <v>0</v>
      </c>
      <c r="BQ737" t="b">
        <f>IF(Metadata!AD737="",FALSE,TRUE)</f>
        <v>0</v>
      </c>
    </row>
    <row r="738" spans="1:69" x14ac:dyDescent="0.2">
      <c r="A738" s="4" t="e">
        <f ca="1">IF(B738=" "," ",HYPERLINK(CONCATENATE("#metadata!",ADDRESS(INDEX($AJ$2:$AJ$1001,MATCH(ROWS($AH$2:AH738),$AH$2:$AH$1001,0),0),2)),INDEX($AM$2:$AM$1001,MATCH(ROWS($AH$2:AH738),$AH$2:$AH$1001,0),0)))</f>
        <v>#N/A</v>
      </c>
      <c r="B738" s="5" t="e">
        <f ca="1">IF(OR(INDEX($AI$2:$AI$1001,MATCH(ROWS($AH$2:AH738),$AH$2:$AH$1001,0),1)&gt;=100000,INDEX($AO$1005:$BQ$1005,1,MATCH(COLUMNS($AO$1006:AO1006),$AO$1006:$BQ$1006,0))&gt;=100000), " ",IF(INDEX($AO$2:$BQ$1001,MATCH(ROWS($AH$2:AH738),$AH$2:$AH$1001,0),MATCH(COLUMNS($AO$1006:AO1006),$AO$1006:$BQ$1006,0)), HYPERLINK("#",""), HYPERLINK(CONCATENATE("#Metadata!", ADDRESS(INDEX($AJ$2:$AJ$1001,MATCH(ROWS($AH$2:AH738),$AH$2:$AH$1001,0),0), INDEX($AO$1004:$BQ$1004,1,MATCH(COLUMNS($AO$1006:AO1006),$AO$1006:$BQ$1006,0)))),"Fix")))</f>
        <v>#N/A</v>
      </c>
      <c r="C738" s="5" t="e">
        <f ca="1">IF(OR(INDEX($AI$2:$AI$1001,MATCH(ROWS($AH$2:AH738),$AH$2:$AH$1001,0),1)&gt;=100000,INDEX($AO$1005:$BQ$1005,1,MATCH(COLUMNS($AO$1006:AP1006),$AO$1006:$BQ$1006,0))&gt;=100000), " ",IF(INDEX($AO$2:$BQ$1001,MATCH(ROWS($AH$2:AH738),$AH$2:$AH$1001,0),MATCH(COLUMNS($AO$1006:AP1006),$AO$1006:$BQ$1006,0)), HYPERLINK("#",""), HYPERLINK(CONCATENATE("#Metadata!", ADDRESS(INDEX($AJ$2:$AJ$1001,MATCH(ROWS($AH$2:AH738),$AH$2:$AH$1001,0),0), INDEX($AO$1004:$BQ$1004,1,MATCH(COLUMNS($AO$1006:AP1006),$AO$1006:$BQ$1006,0)))),"Fix")))</f>
        <v>#N/A</v>
      </c>
      <c r="D738" s="5" t="e">
        <f ca="1">IF(OR(INDEX($AI$2:$AI$1001,MATCH(ROWS($AH$2:AH738),$AH$2:$AH$1001,0),1)&gt;=100000,INDEX($AO$1005:$BQ$1005,1,MATCH(COLUMNS($AO$1006:AQ1006),$AO$1006:$BQ$1006,0))&gt;=100000), " ",IF(INDEX($AO$2:$BQ$1001,MATCH(ROWS($AH$2:AH738),$AH$2:$AH$1001,0),MATCH(COLUMNS($AO$1006:AQ1006),$AO$1006:$BQ$1006,0)), HYPERLINK("#",""), HYPERLINK(CONCATENATE("#Metadata!", ADDRESS(INDEX($AJ$2:$AJ$1001,MATCH(ROWS($AH$2:AH738),$AH$2:$AH$1001,0),0), INDEX($AO$1004:$BQ$1004,1,MATCH(COLUMNS($AO$1006:AQ1006),$AO$1006:$BQ$1006,0)))),"Fix")))</f>
        <v>#N/A</v>
      </c>
      <c r="E738" s="5" t="e">
        <f ca="1">IF(OR(INDEX($AI$2:$AI$1001,MATCH(ROWS($AH$2:AH738),$AH$2:$AH$1001,0),1)&gt;=100000,INDEX($AO$1005:$BQ$1005,1,MATCH(COLUMNS($AO$1006:AR1006),$AO$1006:$BQ$1006,0))&gt;=100000), " ",IF(INDEX($AO$2:$BQ$1001,MATCH(ROWS($AH$2:AH738),$AH$2:$AH$1001,0),MATCH(COLUMNS($AO$1006:AR1006),$AO$1006:$BQ$1006,0)), HYPERLINK("#",""), HYPERLINK(CONCATENATE("#Metadata!", ADDRESS(INDEX($AJ$2:$AJ$1001,MATCH(ROWS($AH$2:AH738),$AH$2:$AH$1001,0),0), INDEX($AO$1004:$BQ$1004,1,MATCH(COLUMNS($AO$1006:AR1006),$AO$1006:$BQ$1006,0)))),"Fix")))</f>
        <v>#N/A</v>
      </c>
      <c r="F738" s="5" t="e">
        <f ca="1">IF(OR(INDEX($AI$2:$AI$1001,MATCH(ROWS($AH$2:AH738),$AH$2:$AH$1001,0),1)&gt;=100000,INDEX($AO$1005:$BQ$1005,1,MATCH(COLUMNS($AO$1006:AS1006),$AO$1006:$BQ$1006,0))&gt;=100000), " ",IF(INDEX($AO$2:$BQ$1001,MATCH(ROWS($AH$2:AH738),$AH$2:$AH$1001,0),MATCH(COLUMNS($AO$1006:AS1006),$AO$1006:$BQ$1006,0)), HYPERLINK("#",""), HYPERLINK(CONCATENATE("#Metadata!", ADDRESS(INDEX($AJ$2:$AJ$1001,MATCH(ROWS($AH$2:AH738),$AH$2:$AH$1001,0),0), INDEX($AO$1004:$BQ$1004,1,MATCH(COLUMNS($AO$1006:AS1006),$AO$1006:$BQ$1006,0)))),"Fix")))</f>
        <v>#N/A</v>
      </c>
      <c r="G738" s="5" t="e">
        <f ca="1">IF(OR(INDEX($AI$2:$AI$1001,MATCH(ROWS($AH$2:AH738),$AH$2:$AH$1001,0),1)&gt;=100000,INDEX($AO$1005:$BQ$1005,1,MATCH(COLUMNS($AO$1006:AT1006),$AO$1006:$BQ$1006,0))&gt;=100000), " ",IF(INDEX($AO$2:$BQ$1001,MATCH(ROWS($AH$2:AH738),$AH$2:$AH$1001,0),MATCH(COLUMNS($AO$1006:AT1006),$AO$1006:$BQ$1006,0)), HYPERLINK("#",""), HYPERLINK(CONCATENATE("#Metadata!", ADDRESS(INDEX($AJ$2:$AJ$1001,MATCH(ROWS($AH$2:AH738),$AH$2:$AH$1001,0),0), INDEX($AO$1004:$BQ$1004,1,MATCH(COLUMNS($AO$1006:AT1006),$AO$1006:$BQ$1006,0)))),"Fix")))</f>
        <v>#N/A</v>
      </c>
      <c r="H738" s="5" t="e">
        <f ca="1">IF(OR(INDEX($AI$2:$AI$1001,MATCH(ROWS($AH$2:AH738),$AH$2:$AH$1001,0),1)&gt;=100000,INDEX($AO$1005:$BQ$1005,1,MATCH(COLUMNS($AO$1006:AU1006),$AO$1006:$BQ$1006,0))&gt;=100000), " ",IF(INDEX($AO$2:$BQ$1001,MATCH(ROWS($AH$2:AH738),$AH$2:$AH$1001,0),MATCH(COLUMNS($AO$1006:AU1006),$AO$1006:$BQ$1006,0)), HYPERLINK("#",""), HYPERLINK(CONCATENATE("#Metadata!", ADDRESS(INDEX($AJ$2:$AJ$1001,MATCH(ROWS($AH$2:AH738),$AH$2:$AH$1001,0),0), INDEX($AO$1004:$BQ$1004,1,MATCH(COLUMNS($AO$1006:AU1006),$AO$1006:$BQ$1006,0)))),"Fix")))</f>
        <v>#N/A</v>
      </c>
      <c r="I738" s="5" t="e">
        <f ca="1">IF(OR(INDEX($AI$2:$AI$1001,MATCH(ROWS($AH$2:AH738),$AH$2:$AH$1001,0),1)&gt;=100000,INDEX($AO$1005:$BQ$1005,1,MATCH(COLUMNS($AO$1006:AV1006),$AO$1006:$BQ$1006,0))&gt;=100000), " ",IF(INDEX($AO$2:$BQ$1001,MATCH(ROWS($AH$2:AH738),$AH$2:$AH$1001,0),MATCH(COLUMNS($AO$1006:AV1006),$AO$1006:$BQ$1006,0)), HYPERLINK("#",""), HYPERLINK(CONCATENATE("#Metadata!", ADDRESS(INDEX($AJ$2:$AJ$1001,MATCH(ROWS($AH$2:AH738),$AH$2:$AH$1001,0),0), INDEX($AO$1004:$BQ$1004,1,MATCH(COLUMNS($AO$1006:AV1006),$AO$1006:$BQ$1006,0)))),"Fix")))</f>
        <v>#N/A</v>
      </c>
      <c r="J738" s="5" t="e">
        <f ca="1">IF(OR(INDEX($AI$2:$AI$1001,MATCH(ROWS($AH$2:AH738),$AH$2:$AH$1001,0),1)&gt;=100000,INDEX($AO$1005:$BQ$1005,1,MATCH(COLUMNS($AO$1006:AW1006),$AO$1006:$BQ$1006,0))&gt;=100000), " ",IF(INDEX($AO$2:$BQ$1001,MATCH(ROWS($AH$2:AH738),$AH$2:$AH$1001,0),MATCH(COLUMNS($AO$1006:AW1006),$AO$1006:$BQ$1006,0)), HYPERLINK("#",""), HYPERLINK(CONCATENATE("#Metadata!", ADDRESS(INDEX($AJ$2:$AJ$1001,MATCH(ROWS($AH$2:AH738),$AH$2:$AH$1001,0),0), INDEX($AO$1004:$BQ$1004,1,MATCH(COLUMNS($AO$1006:AW1006),$AO$1006:$BQ$1006,0)))),"Fix")))</f>
        <v>#N/A</v>
      </c>
      <c r="K738" s="5" t="e">
        <f ca="1">IF(OR(INDEX($AI$2:$AI$1001,MATCH(ROWS($AH$2:AH738),$AH$2:$AH$1001,0),1)&gt;=100000,INDEX($AO$1005:$BQ$1005,1,MATCH(COLUMNS($AO$1006:AX1006),$AO$1006:$BQ$1006,0))&gt;=100000), " ",IF(INDEX($AO$2:$BQ$1001,MATCH(ROWS($AH$2:AH738),$AH$2:$AH$1001,0),MATCH(COLUMNS($AO$1006:AX1006),$AO$1006:$BQ$1006,0)), HYPERLINK("#",""), HYPERLINK(CONCATENATE("#Metadata!", ADDRESS(INDEX($AJ$2:$AJ$1001,MATCH(ROWS($AH$2:AH738),$AH$2:$AH$1001,0),0), INDEX($AO$1004:$BQ$1004,1,MATCH(COLUMNS($AO$1006:AX1006),$AO$1006:$BQ$1006,0)))),"Fix")))</f>
        <v>#N/A</v>
      </c>
      <c r="L738" s="5" t="e">
        <f ca="1">IF(OR(INDEX($AI$2:$AI$1001,MATCH(ROWS($AH$2:AH738),$AH$2:$AH$1001,0),1)&gt;=100000,INDEX($AO$1005:$BQ$1005,1,MATCH(COLUMNS($AO$1006:AY1006),$AO$1006:$BQ$1006,0))&gt;=100000), " ",IF(INDEX($AO$2:$BQ$1001,MATCH(ROWS($AH$2:AH738),$AH$2:$AH$1001,0),MATCH(COLUMNS($AO$1006:AY1006),$AO$1006:$BQ$1006,0)), HYPERLINK("#",""), HYPERLINK(CONCATENATE("#Metadata!", ADDRESS(INDEX($AJ$2:$AJ$1001,MATCH(ROWS($AH$2:AH738),$AH$2:$AH$1001,0),0), INDEX($AO$1004:$BQ$1004,1,MATCH(COLUMNS($AO$1006:AY1006),$AO$1006:$BQ$1006,0)))),"Fix")))</f>
        <v>#N/A</v>
      </c>
      <c r="M738" s="5" t="e">
        <f ca="1">IF(OR(INDEX($AI$2:$AI$1001,MATCH(ROWS($AH$2:AH738),$AH$2:$AH$1001,0),1)&gt;=100000,INDEX($AO$1005:$BQ$1005,1,MATCH(COLUMNS($AO$1006:AZ1006),$AO$1006:$BQ$1006,0))&gt;=100000), " ",IF(INDEX($AO$2:$BQ$1001,MATCH(ROWS($AH$2:AH738),$AH$2:$AH$1001,0),MATCH(COLUMNS($AO$1006:AZ1006),$AO$1006:$BQ$1006,0)), HYPERLINK("#",""), HYPERLINK(CONCATENATE("#Metadata!", ADDRESS(INDEX($AJ$2:$AJ$1001,MATCH(ROWS($AH$2:AH738),$AH$2:$AH$1001,0),0), INDEX($AO$1004:$BQ$1004,1,MATCH(COLUMNS($AO$1006:AZ1006),$AO$1006:$BQ$1006,0)))),"Fix")))</f>
        <v>#N/A</v>
      </c>
      <c r="N738" s="5" t="e">
        <f ca="1">IF(OR(INDEX($AI$2:$AI$1001,MATCH(ROWS($AH$2:AH738),$AH$2:$AH$1001,0),1)&gt;=100000,INDEX($AO$1005:$BQ$1005,1,MATCH(COLUMNS($AO$1006:BA1006),$AO$1006:$BQ$1006,0))&gt;=100000), " ",IF(INDEX($AO$2:$BQ$1001,MATCH(ROWS($AH$2:AH738),$AH$2:$AH$1001,0),MATCH(COLUMNS($AO$1006:BA1006),$AO$1006:$BQ$1006,0)), HYPERLINK("#",""), HYPERLINK(CONCATENATE("#Metadata!", ADDRESS(INDEX($AJ$2:$AJ$1001,MATCH(ROWS($AH$2:AH738),$AH$2:$AH$1001,0),0), INDEX($AO$1004:$BQ$1004,1,MATCH(COLUMNS($AO$1006:BA1006),$AO$1006:$BQ$1006,0)))),"Fix")))</f>
        <v>#N/A</v>
      </c>
      <c r="O738" s="5" t="e">
        <f ca="1">IF(OR(INDEX($AI$2:$AI$1001,MATCH(ROWS($AH$2:AH738),$AH$2:$AH$1001,0),1)&gt;=100000,INDEX($AO$1005:$BQ$1005,1,MATCH(COLUMNS($AO$1006:BB1006),$AO$1006:$BQ$1006,0))&gt;=100000), " ",IF(INDEX($AO$2:$BQ$1001,MATCH(ROWS($AH$2:AH738),$AH$2:$AH$1001,0),MATCH(COLUMNS($AO$1006:BB1006),$AO$1006:$BQ$1006,0)), HYPERLINK("#",""), HYPERLINK(CONCATENATE("#Metadata!", ADDRESS(INDEX($AJ$2:$AJ$1001,MATCH(ROWS($AH$2:AH738),$AH$2:$AH$1001,0),0), INDEX($AO$1004:$BQ$1004,1,MATCH(COLUMNS($AO$1006:BB1006),$AO$1006:$BQ$1006,0)))),"Fix")))</f>
        <v>#N/A</v>
      </c>
      <c r="P738" s="5" t="e">
        <f ca="1">IF(OR(INDEX($AI$2:$AI$1001,MATCH(ROWS($AH$2:AH738),$AH$2:$AH$1001,0),1)&gt;=100000,INDEX($AO$1005:$BQ$1005,1,MATCH(COLUMNS($AO$1006:BC1006),$AO$1006:$BQ$1006,0))&gt;=100000), " ",IF(INDEX($AO$2:$BQ$1001,MATCH(ROWS($AH$2:AH738),$AH$2:$AH$1001,0),MATCH(COLUMNS($AO$1006:BC1006),$AO$1006:$BQ$1006,0)), HYPERLINK("#",""), HYPERLINK(CONCATENATE("#Metadata!", ADDRESS(INDEX($AJ$2:$AJ$1001,MATCH(ROWS($AH$2:AH738),$AH$2:$AH$1001,0),0), INDEX($AO$1004:$BQ$1004,1,MATCH(COLUMNS($AO$1006:BC1006),$AO$1006:$BQ$1006,0)))),"Fix")))</f>
        <v>#N/A</v>
      </c>
      <c r="Q738" s="5" t="e">
        <f ca="1">IF(OR(INDEX($AI$2:$AI$1001,MATCH(ROWS($AH$2:AH738),$AH$2:$AH$1001,0),1)&gt;=100000,INDEX($AO$1005:$BQ$1005,1,MATCH(COLUMNS($AO$1006:BD1006),$AO$1006:$BQ$1006,0))&gt;=100000), " ",IF(INDEX($AO$2:$BQ$1001,MATCH(ROWS($AH$2:AH738),$AH$2:$AH$1001,0),MATCH(COLUMNS($AO$1006:BD1006),$AO$1006:$BQ$1006,0)), HYPERLINK("#",""), HYPERLINK(CONCATENATE("#Metadata!", ADDRESS(INDEX($AJ$2:$AJ$1001,MATCH(ROWS($AH$2:AH738),$AH$2:$AH$1001,0),0), INDEX($AO$1004:$BQ$1004,1,MATCH(COLUMNS($AO$1006:BD1006),$AO$1006:$BQ$1006,0)))),"Fix")))</f>
        <v>#N/A</v>
      </c>
      <c r="R738" s="5" t="e">
        <f ca="1">IF(OR(INDEX($AI$2:$AI$1001,MATCH(ROWS($AH$2:AH738),$AH$2:$AH$1001,0),1)&gt;=100000,INDEX($AO$1005:$BQ$1005,1,MATCH(COLUMNS($AO$1006:BE1006),$AO$1006:$BQ$1006,0))&gt;=100000), " ",IF(INDEX($AO$2:$BQ$1001,MATCH(ROWS($AH$2:AH738),$AH$2:$AH$1001,0),MATCH(COLUMNS($AO$1006:BE1006),$AO$1006:$BQ$1006,0)), HYPERLINK("#",""), HYPERLINK(CONCATENATE("#Metadata!", ADDRESS(INDEX($AJ$2:$AJ$1001,MATCH(ROWS($AH$2:AH738),$AH$2:$AH$1001,0),0), INDEX($AO$1004:$BQ$1004,1,MATCH(COLUMNS($AO$1006:BE1006),$AO$1006:$BQ$1006,0)))),"Fix")))</f>
        <v>#N/A</v>
      </c>
      <c r="S738" s="5" t="e">
        <f ca="1">IF(OR(INDEX($AI$2:$AI$1001,MATCH(ROWS($AH$2:AH738),$AH$2:$AH$1001,0),1)&gt;=100000,INDEX($AO$1005:$BQ$1005,1,MATCH(COLUMNS($AO$1006:BF1006),$AO$1006:$BQ$1006,0))&gt;=100000), " ",IF(INDEX($AO$2:$BQ$1001,MATCH(ROWS($AH$2:AH738),$AH$2:$AH$1001,0),MATCH(COLUMNS($AO$1006:BF1006),$AO$1006:$BQ$1006,0)), HYPERLINK("#",""), HYPERLINK(CONCATENATE("#Metadata!", ADDRESS(INDEX($AJ$2:$AJ$1001,MATCH(ROWS($AH$2:AH738),$AH$2:$AH$1001,0),0), INDEX($AO$1004:$BQ$1004,1,MATCH(COLUMNS($AO$1006:BF1006),$AO$1006:$BQ$1006,0)))),"Fix")))</f>
        <v>#N/A</v>
      </c>
      <c r="T738" s="5" t="e">
        <f ca="1">IF(OR(INDEX($AI$2:$AI$1001,MATCH(ROWS($AH$2:AH738),$AH$2:$AH$1001,0),1)&gt;=100000,INDEX($AO$1005:$BQ$1005,1,MATCH(COLUMNS($AO$1006:BG1006),$AO$1006:$BQ$1006,0))&gt;=100000), " ",IF(INDEX($AO$2:$BQ$1001,MATCH(ROWS($AH$2:AH738),$AH$2:$AH$1001,0),MATCH(COLUMNS($AO$1006:BG1006),$AO$1006:$BQ$1006,0)), HYPERLINK("#",""), HYPERLINK(CONCATENATE("#Metadata!", ADDRESS(INDEX($AJ$2:$AJ$1001,MATCH(ROWS($AH$2:AH738),$AH$2:$AH$1001,0),0), INDEX($AO$1004:$BQ$1004,1,MATCH(COLUMNS($AO$1006:BG1006),$AO$1006:$BQ$1006,0)))),"Fix")))</f>
        <v>#N/A</v>
      </c>
      <c r="U738" s="5" t="e">
        <f ca="1">IF(OR(INDEX($AI$2:$AI$1001,MATCH(ROWS($AH$2:AH738),$AH$2:$AH$1001,0),1)&gt;=100000,INDEX($AO$1005:$BQ$1005,1,MATCH(COLUMNS($AO$1006:BH1006),$AO$1006:$BQ$1006,0))&gt;=100000), " ",IF(INDEX($AO$2:$BQ$1001,MATCH(ROWS($AH$2:AH738),$AH$2:$AH$1001,0),MATCH(COLUMNS($AO$1006:BH1006),$AO$1006:$BQ$1006,0)), HYPERLINK("#",""), HYPERLINK(CONCATENATE("#Metadata!", ADDRESS(INDEX($AJ$2:$AJ$1001,MATCH(ROWS($AH$2:AH738),$AH$2:$AH$1001,0),0), INDEX($AO$1004:$BQ$1004,1,MATCH(COLUMNS($AO$1006:BH1006),$AO$1006:$BQ$1006,0)))),"Fix")))</f>
        <v>#N/A</v>
      </c>
      <c r="V738" s="5" t="e">
        <f ca="1">IF(OR(INDEX($AI$2:$AI$1001,MATCH(ROWS($AH$2:AH738),$AH$2:$AH$1001,0),1)&gt;=100000,INDEX($AO$1005:$BQ$1005,1,MATCH(COLUMNS($AO$1006:BI1006),$AO$1006:$BQ$1006,0))&gt;=100000), " ",IF(INDEX($AO$2:$BQ$1001,MATCH(ROWS($AH$2:AH738),$AH$2:$AH$1001,0),MATCH(COLUMNS($AO$1006:BI1006),$AO$1006:$BQ$1006,0)), HYPERLINK("#",""), HYPERLINK(CONCATENATE("#Metadata!", ADDRESS(INDEX($AJ$2:$AJ$1001,MATCH(ROWS($AH$2:AH738),$AH$2:$AH$1001,0),0), INDEX($AO$1004:$BQ$1004,1,MATCH(COLUMNS($AO$1006:BI1006),$AO$1006:$BQ$1006,0)))),"Fix")))</f>
        <v>#N/A</v>
      </c>
      <c r="W738" s="5" t="e">
        <f ca="1">IF(OR(INDEX($AI$2:$AI$1001,MATCH(ROWS($AH$2:AH738),$AH$2:$AH$1001,0),1)&gt;=100000,INDEX($AO$1005:$BQ$1005,1,MATCH(COLUMNS($AO$1006:BJ1006),$AO$1006:$BQ$1006,0))&gt;=100000), " ",IF(INDEX($AO$2:$BQ$1001,MATCH(ROWS($AH$2:AH738),$AH$2:$AH$1001,0),MATCH(COLUMNS($AO$1006:BJ1006),$AO$1006:$BQ$1006,0)), HYPERLINK("#",""), HYPERLINK(CONCATENATE("#Metadata!", ADDRESS(INDEX($AJ$2:$AJ$1001,MATCH(ROWS($AH$2:AH738),$AH$2:$AH$1001,0),0), INDEX($AO$1004:$BQ$1004,1,MATCH(COLUMNS($AO$1006:BJ1006),$AO$1006:$BQ$1006,0)))),"Fix")))</f>
        <v>#N/A</v>
      </c>
      <c r="X738" s="5" t="e">
        <f ca="1">IF(OR(INDEX($AI$2:$AI$1001,MATCH(ROWS($AH$2:AH738),$AH$2:$AH$1001,0),1)&gt;=100000,INDEX($AO$1005:$BQ$1005,1,MATCH(COLUMNS($AO$1006:BK1006),$AO$1006:$BQ$1006,0))&gt;=100000), " ",IF(INDEX($AO$2:$BQ$1001,MATCH(ROWS($AH$2:AH738),$AH$2:$AH$1001,0),MATCH(COLUMNS($AO$1006:BK1006),$AO$1006:$BQ$1006,0)), HYPERLINK("#",""), HYPERLINK(CONCATENATE("#Metadata!", ADDRESS(INDEX($AJ$2:$AJ$1001,MATCH(ROWS($AH$2:AH738),$AH$2:$AH$1001,0),0), INDEX($AO$1004:$BQ$1004,1,MATCH(COLUMNS($AO$1006:BK1006),$AO$1006:$BQ$1006,0)))),"Fix")))</f>
        <v>#N/A</v>
      </c>
      <c r="Y738" s="5" t="e">
        <f ca="1">IF(OR(INDEX($AI$2:$AI$1001,MATCH(ROWS($AH$2:AH738),$AH$2:$AH$1001,0),1)&gt;=100000,INDEX($AO$1005:$BQ$1005,1,MATCH(COLUMNS($AO$1006:BL1006),$AO$1006:$BQ$1006,0))&gt;=100000), " ",IF(INDEX($AO$2:$BQ$1001,MATCH(ROWS($AH$2:AH738),$AH$2:$AH$1001,0),MATCH(COLUMNS($AO$1006:BL1006),$AO$1006:$BQ$1006,0)), HYPERLINK("#",""), HYPERLINK(CONCATENATE("#Metadata!", ADDRESS(INDEX($AJ$2:$AJ$1001,MATCH(ROWS($AH$2:AH738),$AH$2:$AH$1001,0),0), INDEX($AO$1004:$BQ$1004,1,MATCH(COLUMNS($AO$1006:BL1006),$AO$1006:$BQ$1006,0)))),"Fix")))</f>
        <v>#N/A</v>
      </c>
      <c r="Z738" s="5" t="e">
        <f ca="1">IF(OR(INDEX($AI$2:$AI$1001,MATCH(ROWS($AH$2:AH738),$AH$2:$AH$1001,0),1)&gt;=100000,INDEX($AO$1005:$BQ$1005,1,MATCH(COLUMNS($AO$1006:BM1006),$AO$1006:$BQ$1006,0))&gt;=100000), " ",IF(INDEX($AO$2:$BQ$1001,MATCH(ROWS($AH$2:AH738),$AH$2:$AH$1001,0),MATCH(COLUMNS($AO$1006:BM1006),$AO$1006:$BQ$1006,0)), HYPERLINK("#",""), HYPERLINK(CONCATENATE("#Metadata!", ADDRESS(INDEX($AJ$2:$AJ$1001,MATCH(ROWS($AH$2:AH738),$AH$2:$AH$1001,0),0), INDEX($AO$1004:$BQ$1004,1,MATCH(COLUMNS($AO$1006:BM1006),$AO$1006:$BQ$1006,0)))),"Fix")))</f>
        <v>#N/A</v>
      </c>
      <c r="AA738" s="5" t="e">
        <f ca="1">IF(OR(INDEX($AI$2:$AI$1001,MATCH(ROWS($AH$2:AH738),$AH$2:$AH$1001,0),1)&gt;=100000,INDEX($AO$1005:$BQ$1005,1,MATCH(COLUMNS($AO$1006:BN1006),$AO$1006:$BQ$1006,0))&gt;=100000), " ",IF(INDEX($AO$2:$BQ$1001,MATCH(ROWS($AH$2:AH738),$AH$2:$AH$1001,0),MATCH(COLUMNS($AO$1006:BN1006),$AO$1006:$BQ$1006,0)), HYPERLINK("#",""), HYPERLINK(CONCATENATE("#Metadata!", ADDRESS(INDEX($AJ$2:$AJ$1001,MATCH(ROWS($AH$2:AH738),$AH$2:$AH$1001,0),0), INDEX($AO$1004:$BQ$1004,1,MATCH(COLUMNS($AO$1006:BN1006),$AO$1006:$BQ$1006,0)))),"Fix")))</f>
        <v>#N/A</v>
      </c>
      <c r="AB738" s="5" t="e">
        <f ca="1">IF(OR(INDEX($AI$2:$AI$1001,MATCH(ROWS($AH$2:AH738),$AH$2:$AH$1001,0),1)&gt;=100000,INDEX($AO$1005:$BQ$1005,1,MATCH(COLUMNS($AO$1006:BO1006),$AO$1006:$BQ$1006,0))&gt;=100000), " ",IF(INDEX($AO$2:$BQ$1001,MATCH(ROWS($AH$2:AH738),$AH$2:$AH$1001,0),MATCH(COLUMNS($AO$1006:BO1006),$AO$1006:$BQ$1006,0)), HYPERLINK("#",""), HYPERLINK(CONCATENATE("#Metadata!", ADDRESS(INDEX($AJ$2:$AJ$1001,MATCH(ROWS($AH$2:AH738),$AH$2:$AH$1001,0),0), INDEX($AO$1004:$BQ$1004,1,MATCH(COLUMNS($AO$1006:BO1006),$AO$1006:$BQ$1006,0)))),"Fix")))</f>
        <v>#N/A</v>
      </c>
      <c r="AC738" s="5" t="e">
        <f ca="1">IF(OR(INDEX($AI$2:$AI$1001,MATCH(ROWS($AH$2:AH738),$AH$2:$AH$1001,0),1)&gt;=100000,INDEX($AO$1005:$BQ$1005,1,MATCH(COLUMNS($AO$1006:BP1006),$AO$1006:$BQ$1006,0))&gt;=100000), " ",IF(INDEX($AO$2:$BQ$1001,MATCH(ROWS($AH$2:AH738),$AH$2:$AH$1001,0),MATCH(COLUMNS($AO$1006:BP1006),$AO$1006:$BQ$1006,0)), HYPERLINK("#",""), HYPERLINK(CONCATENATE("#Metadata!", ADDRESS(INDEX($AJ$2:$AJ$1001,MATCH(ROWS($AH$2:AH738),$AH$2:$AH$1001,0),0), INDEX($AO$1004:$BQ$1004,1,MATCH(COLUMNS($AO$1006:BP1006),$AO$1006:$BQ$1006,0)))),"Fix")))</f>
        <v>#N/A</v>
      </c>
      <c r="AD738" s="5" t="e">
        <f ca="1">IF(OR(INDEX($AI$2:$AI$1001,MATCH(ROWS($AH$2:AH738),$AH$2:$AH$1001,0),1)&gt;=100000,INDEX($AO$1005:$BQ$1005,1,MATCH(COLUMNS($AO$1006:BQ1006),$AO$1006:$BQ$1006,0))&gt;=100000), " ",IF(INDEX($AO$2:$BQ$1001,MATCH(ROWS($AH$2:AH738),$AH$2:$AH$1001,0),MATCH(COLUMNS($AO$1006:BQ1006),$AO$1006:$BQ$1006,0)), HYPERLINK("#",""), HYPERLINK(CONCATENATE("#Metadata!", ADDRESS(INDEX($AJ$2:$AJ$1001,MATCH(ROWS($AH$2:AH738),$AH$2:$AH$1001,0),0), INDEX($AO$1004:$BQ$1004,1,MATCH(COLUMNS($AO$1006:BQ1006),$AO$1006:$BQ$1006,0)))),"Fix")))</f>
        <v>#REF!</v>
      </c>
      <c r="AH738">
        <f ca="1"/>
        <v>735</v>
      </c>
      <c r="AI738">
        <v>100738</v>
      </c>
      <c r="AJ738">
        <v>738</v>
      </c>
      <c r="AK738" t="b">
        <f t="shared" si="11"/>
        <v>1</v>
      </c>
      <c r="AL738" t="b">
        <f>COUNTBLANK(Metadata!B738:AD738)=COLUMNS(Metadata!B738:AD738)</f>
        <v>1</v>
      </c>
      <c r="AM738" t="str">
        <v/>
      </c>
      <c r="AO738" t="b">
        <f ca="1">AND(IF(Metadata!B738="",FALSE,TRUE),COUNTIF(Metadata!B:B, Metadata!B738) = 1,NOT(ISERROR(SUMPRODUCT(SEARCH(MID(Metadata!B738,ROW(INDIRECT("1:"&amp;LEN(Metadata!B738))), 1),"0123456789abcdefghijklmnopqrstuvwxyzABCDEFGHIJKLMNOPQRSTUVWXYZ.")))))</f>
        <v>0</v>
      </c>
      <c r="AP738" t="b">
        <f>IF(Metadata!C738="",FALSE,TRUE)</f>
        <v>0</v>
      </c>
      <c r="AQ738" t="b">
        <f>IF(Metadata!D738="",FALSE,TRUE)</f>
        <v>0</v>
      </c>
      <c r="AR738" t="b">
        <f ca="1">OR(AND(IF(Metadata!E738="",FALSE,TRUE),OR(EXACT(Metadata!E738,"not collected"),EXACT(Metadata!E738,"not provided"),EXACT(Metadata!E738,"restricted access"))),AND(IF(Metadata!E738="",FALSE,TRUE),AND(AND(IFERROR(INT(LEFT(Metadata!E738,4))&gt;1900,FALSE),IFERROR(INT(LEFT(Metadata!E738,4))&lt;=YEAR(NOW()),FALSE)), OR(MID(Metadata!E738,5,1)="", AND(AND(MID(Metadata!E738,5,1)="-",IFERROR(INT(MID(Metadata!E738,6,1))&gt;=0,FALSE),IFERROR(INT(MID(Metadata!E738,6,1))&lt;=1,FALSE),NOT(MID(Metadata!E738,7,1)=""),IFERROR(INT(MID(Metadata!E738,6,2))&gt;=1,FALSE),IFERROR(INT(MID(Metadata!E738,6,2))&lt;=12,FALSE)), OR(MID(Metadata!E738,8,1)="", AND(AND(MID(Metadata!E738,8,1)="-",IFERROR(INT(MID(Metadata!E738,9,1))&gt;=0,FALSE),IFERROR(INT(MID(Metadata!E738,9,1))&lt;=3,FALSE),NOT(MID(Metadata!E738,10,1)=""),IFERROR(INT(MID(Metadata!E738,9,2))&gt;=1,FALSE),IFERROR(INT(MID(Metadata!E738,9,2))&lt;=31,FALSE)), OR(MID(Metadata!E738,11,1)="", AND(AND(MID(Metadata!E738,11,1)=" ",IFERROR(INT(MID(Metadata!E738,12,1))&gt;=0,FALSE),IFERROR(INT(MID(Metadata!E738,12,1))&lt;=2,FALSE),NOT(MID(Metadata!E738,13,1)=""),IFERROR(INT(MID(Metadata!E738,12,2))&gt;=0,FALSE),IFERROR(INT(MID(Metadata!E738,12,2))&lt;=23,FALSE)), OR(MID(Metadata!E738,14,1)="", AND(AND(MID(Metadata!E738,14,1)=":",IFERROR(INT(MID(Metadata!E738,15,1))&gt;=0,FALSE),IFERROR(INT(MID(Metadata!E738,15,1))&lt;=5,FALSE),NOT(MID(Metadata!E738,16,1)=""),IFERROR(INT(MID(Metadata!E738,15,2))&gt;=0,FALSE),IFERROR(INT(MID(Metadata!E738,15,2))&lt;=59,FALSE)), OR(MID(Metadata!E738,17,1)="", AND(AND(MID(Metadata!E738,17,1)=":",IFERROR(INT(MID(Metadata!E738,18,1))&gt;=0,FALSE),IFERROR(INT(MID(Metadata!E738,18,1))&lt;=5,FALSE),NOT(MID(Metadata!E738,19,1)=""),IFERROR(INT(MID(Metadata!E738,18,2))&gt;=0,FALSE),IFERROR(INT(MID(Metadata!E738,18,2))&lt;=59,FALSE)), LEN(Metadata!E738)&lt;=19)))))))))))))</f>
        <v>0</v>
      </c>
      <c r="AS738" t="b">
        <f>IF(Metadata!F738="",FALSE,TRUE)</f>
        <v>0</v>
      </c>
      <c r="AT738" t="b">
        <f>OR(AND(IF(Metadata!G738="",FALSE,TRUE),OR(EXACT(Metadata!G738,"not collected"),EXACT(Metadata!G738,"not provided"))),AND(IF(Metadata!G738="",FALSE,TRUE),OR(EXACT(Metadata!G738,"TRUE"),EXACT(Metadata!G738,"FALSE"))))</f>
        <v>0</v>
      </c>
      <c r="AU738" t="b">
        <f>OR(AND(IF(Metadata!H738="",FALSE,TRUE),OR(EXACT(Metadata!H738,"not collected"),EXACT(Metadata!H738,"not provided"),EXACT(Metadata!H738,"restricted access"))),AND(IF(Metadata!H738="",FALSE,ISNUMBER(VALUE(Metadata!H738))),Metadata!H738&gt;=-413))</f>
        <v>0</v>
      </c>
      <c r="AV738" t="b">
        <f>AND(IF(Metadata!I738="",FALSE,TRUE),EXACT(Metadata!I738,"meters"))</f>
        <v>0</v>
      </c>
      <c r="AW738" t="b">
        <f>AND(IF(Metadata!J738="",FALSE,TRUE),EXACT(Metadata!J738,"free-living"))</f>
        <v>0</v>
      </c>
      <c r="AX738" t="b">
        <f>AND(IF(Metadata!K738="",FALSE,TRUE),OR(EXACT(Metadata!K738,"saline"),EXACT(Metadata!K738,"non-saline")))</f>
        <v>0</v>
      </c>
      <c r="AY738" t="b">
        <f>AND(IF(Metadata!L738="",FALSE,TRUE),OR(EXACT(Metadata!L738,"sub-surface (non-saline)"),EXACT(Metadata!L738,"surface (non-saline)"),EXACT(Metadata!L738,"water (non-saline)"),EXACT(Metadata!L738,"soil (non-saline)"),EXACT(Metadata!L738,"aerosol (non-saline)"),EXACT(Metadata!L738,"sediment (non-saline)"),EXACT(Metadata!L738,"surface (saline)"),EXACT(Metadata!L738,"water (saline)"),EXACT(Metadata!L738,"hypersaline (saline)"),EXACT(Metadata!L738,"aerosol (saline)"),EXACT(Metadata!L738,"sediment (saline)")))</f>
        <v>0</v>
      </c>
      <c r="AZ738" t="b">
        <f>IF(Metadata!M738="",FALSE,TRUE)</f>
        <v>0</v>
      </c>
      <c r="BA738" t="b">
        <f>IF(Metadata!N738="",FALSE,TRUE)</f>
        <v>0</v>
      </c>
      <c r="BB738" t="b">
        <f>IF(Metadata!O738="",FALSE,TRUE)</f>
        <v>0</v>
      </c>
      <c r="BC738" t="b">
        <f>AND(IF(Metadata!P738="",FALSE,TRUE),OR(EXACT(Metadata!P738,"air"),EXACT(Metadata!P738,"microbial mat/biofilm"),EXACT(Metadata!P738,"misc environment"),EXACT(Metadata!P738,"sediment"),EXACT(Metadata!P738,"soil"),EXACT(Metadata!P738,"wastewater/sludge"),EXACT(Metadata!P738,"water")))</f>
        <v>0</v>
      </c>
      <c r="BD738" t="b">
        <f>IF(Metadata!Q738="",FALSE,TRUE)</f>
        <v>0</v>
      </c>
      <c r="BE738" t="b">
        <f>IF(Metadata!R738="",FALSE,TRUE)</f>
        <v>0</v>
      </c>
      <c r="BF738" t="b">
        <f>OR(AND(IF(Metadata!S738="",FALSE,TRUE),OR(EXACT(Metadata!S738,"not collected"),EXACT(Metadata!S738,"not provided"),EXACT(Metadata!S738,"restricted access"))),AND(IF(Metadata!S738="",FALSE,ISNUMBER(VALUE(Metadata!S738))),Metadata!S738&gt;=-90,Metadata!S738&lt;=90))</f>
        <v>0</v>
      </c>
      <c r="BG738" t="b">
        <f>AND(IF(Metadata!T738="",FALSE,TRUE),EXACT(Metadata!T738,"Decimal degrees"))</f>
        <v>0</v>
      </c>
      <c r="BH738" t="b">
        <f>OR(AND(IF(Metadata!U738="",FALSE,TRUE),OR(EXACT(Metadata!U738,"not applicable"),EXACT(Metadata!U738,"not collected"))),IF(Metadata!U738="",FALSE,TRUE))</f>
        <v>0</v>
      </c>
      <c r="BI738" t="b">
        <f>OR(AND(IF(Metadata!V738="",FALSE,TRUE),OR(EXACT(Metadata!V738,"not collected"),EXACT(Metadata!V738,"not provided"),EXACT(Metadata!V738,"restricted access"))),AND(IF(Metadata!V738="",FALSE,ISNUMBER(VALUE(Metadata!V738))),Metadata!V738&gt;=-180,Metadata!V738&lt;=180))</f>
        <v>0</v>
      </c>
      <c r="BJ738" t="b">
        <f>AND(IF(Metadata!W738="",FALSE,TRUE),EXACT(Metadata!W738,"Decimal degrees"))</f>
        <v>0</v>
      </c>
      <c r="BK738" t="b">
        <f>IF(Metadata!X738="",FALSE,TRUE)</f>
        <v>0</v>
      </c>
      <c r="BL738" t="b">
        <f>OR(AND(IF(Metadata!Y738="",FALSE,TRUE),OR(EXACT(Metadata!Y738,"not collected"),EXACT(Metadata!Y738,"not provided"),EXACT(Metadata!Y738,"restricted access"))),AND(IF(Metadata!Y738="",FALSE,TRUE),OR(EXACT(Metadata!Y738,"TRUE"),EXACT(Metadata!Y738,"FALSE"))))</f>
        <v>0</v>
      </c>
      <c r="BM738" t="b">
        <f>OR(AND(IF(Metadata!Z738="",FALSE,TRUE),EXACT(Metadata!Z738,"not applicable")),AND(IF(Metadata!Z738="",FALSE,TRUE),OR(EXACT(Metadata!Z738,"beer"),EXACT(Metadata!Z738,"cheese"),EXACT(Metadata!Z738,"fresh water"),EXACT(Metadata!Z738,"marine sediment"),EXACT(Metadata!Z738,"sea water"),EXACT(Metadata!Z738,"sediment"),EXACT(Metadata!Z738,"soil"),EXACT(Metadata!Z738,"waste water"))))</f>
        <v>0</v>
      </c>
      <c r="BN738" t="b">
        <f>AND(IF(Metadata!AA738="",FALSE,TRUE),EXACT(Metadata!AA738,"metagenome"))</f>
        <v>0</v>
      </c>
      <c r="BO738" t="b">
        <f>AND(IF(Metadata!AB738="",FALSE,TRUE),EXACT(Metadata!AB738,"256318"))</f>
        <v>0</v>
      </c>
      <c r="BP738" t="b">
        <f>IF(Metadata!AC738="",FALSE,TRUE)</f>
        <v>0</v>
      </c>
      <c r="BQ738" t="b">
        <f>IF(Metadata!AD738="",FALSE,TRUE)</f>
        <v>0</v>
      </c>
    </row>
    <row r="739" spans="1:69" x14ac:dyDescent="0.2">
      <c r="A739" s="4" t="e">
        <f ca="1">IF(B739=" "," ",HYPERLINK(CONCATENATE("#metadata!",ADDRESS(INDEX($AJ$2:$AJ$1001,MATCH(ROWS($AH$2:AH739),$AH$2:$AH$1001,0),0),2)),INDEX($AM$2:$AM$1001,MATCH(ROWS($AH$2:AH739),$AH$2:$AH$1001,0),0)))</f>
        <v>#N/A</v>
      </c>
      <c r="B739" s="5" t="e">
        <f ca="1">IF(OR(INDEX($AI$2:$AI$1001,MATCH(ROWS($AH$2:AH739),$AH$2:$AH$1001,0),1)&gt;=100000,INDEX($AO$1005:$BQ$1005,1,MATCH(COLUMNS($AO$1006:AO1006),$AO$1006:$BQ$1006,0))&gt;=100000), " ",IF(INDEX($AO$2:$BQ$1001,MATCH(ROWS($AH$2:AH739),$AH$2:$AH$1001,0),MATCH(COLUMNS($AO$1006:AO1006),$AO$1006:$BQ$1006,0)), HYPERLINK("#",""), HYPERLINK(CONCATENATE("#Metadata!", ADDRESS(INDEX($AJ$2:$AJ$1001,MATCH(ROWS($AH$2:AH739),$AH$2:$AH$1001,0),0), INDEX($AO$1004:$BQ$1004,1,MATCH(COLUMNS($AO$1006:AO1006),$AO$1006:$BQ$1006,0)))),"Fix")))</f>
        <v>#N/A</v>
      </c>
      <c r="C739" s="5" t="e">
        <f ca="1">IF(OR(INDEX($AI$2:$AI$1001,MATCH(ROWS($AH$2:AH739),$AH$2:$AH$1001,0),1)&gt;=100000,INDEX($AO$1005:$BQ$1005,1,MATCH(COLUMNS($AO$1006:AP1006),$AO$1006:$BQ$1006,0))&gt;=100000), " ",IF(INDEX($AO$2:$BQ$1001,MATCH(ROWS($AH$2:AH739),$AH$2:$AH$1001,0),MATCH(COLUMNS($AO$1006:AP1006),$AO$1006:$BQ$1006,0)), HYPERLINK("#",""), HYPERLINK(CONCATENATE("#Metadata!", ADDRESS(INDEX($AJ$2:$AJ$1001,MATCH(ROWS($AH$2:AH739),$AH$2:$AH$1001,0),0), INDEX($AO$1004:$BQ$1004,1,MATCH(COLUMNS($AO$1006:AP1006),$AO$1006:$BQ$1006,0)))),"Fix")))</f>
        <v>#N/A</v>
      </c>
      <c r="D739" s="5" t="e">
        <f ca="1">IF(OR(INDEX($AI$2:$AI$1001,MATCH(ROWS($AH$2:AH739),$AH$2:$AH$1001,0),1)&gt;=100000,INDEX($AO$1005:$BQ$1005,1,MATCH(COLUMNS($AO$1006:AQ1006),$AO$1006:$BQ$1006,0))&gt;=100000), " ",IF(INDEX($AO$2:$BQ$1001,MATCH(ROWS($AH$2:AH739),$AH$2:$AH$1001,0),MATCH(COLUMNS($AO$1006:AQ1006),$AO$1006:$BQ$1006,0)), HYPERLINK("#",""), HYPERLINK(CONCATENATE("#Metadata!", ADDRESS(INDEX($AJ$2:$AJ$1001,MATCH(ROWS($AH$2:AH739),$AH$2:$AH$1001,0),0), INDEX($AO$1004:$BQ$1004,1,MATCH(COLUMNS($AO$1006:AQ1006),$AO$1006:$BQ$1006,0)))),"Fix")))</f>
        <v>#N/A</v>
      </c>
      <c r="E739" s="5" t="e">
        <f ca="1">IF(OR(INDEX($AI$2:$AI$1001,MATCH(ROWS($AH$2:AH739),$AH$2:$AH$1001,0),1)&gt;=100000,INDEX($AO$1005:$BQ$1005,1,MATCH(COLUMNS($AO$1006:AR1006),$AO$1006:$BQ$1006,0))&gt;=100000), " ",IF(INDEX($AO$2:$BQ$1001,MATCH(ROWS($AH$2:AH739),$AH$2:$AH$1001,0),MATCH(COLUMNS($AO$1006:AR1006),$AO$1006:$BQ$1006,0)), HYPERLINK("#",""), HYPERLINK(CONCATENATE("#Metadata!", ADDRESS(INDEX($AJ$2:$AJ$1001,MATCH(ROWS($AH$2:AH739),$AH$2:$AH$1001,0),0), INDEX($AO$1004:$BQ$1004,1,MATCH(COLUMNS($AO$1006:AR1006),$AO$1006:$BQ$1006,0)))),"Fix")))</f>
        <v>#N/A</v>
      </c>
      <c r="F739" s="5" t="e">
        <f ca="1">IF(OR(INDEX($AI$2:$AI$1001,MATCH(ROWS($AH$2:AH739),$AH$2:$AH$1001,0),1)&gt;=100000,INDEX($AO$1005:$BQ$1005,1,MATCH(COLUMNS($AO$1006:AS1006),$AO$1006:$BQ$1006,0))&gt;=100000), " ",IF(INDEX($AO$2:$BQ$1001,MATCH(ROWS($AH$2:AH739),$AH$2:$AH$1001,0),MATCH(COLUMNS($AO$1006:AS1006),$AO$1006:$BQ$1006,0)), HYPERLINK("#",""), HYPERLINK(CONCATENATE("#Metadata!", ADDRESS(INDEX($AJ$2:$AJ$1001,MATCH(ROWS($AH$2:AH739),$AH$2:$AH$1001,0),0), INDEX($AO$1004:$BQ$1004,1,MATCH(COLUMNS($AO$1006:AS1006),$AO$1006:$BQ$1006,0)))),"Fix")))</f>
        <v>#N/A</v>
      </c>
      <c r="G739" s="5" t="e">
        <f ca="1">IF(OR(INDEX($AI$2:$AI$1001,MATCH(ROWS($AH$2:AH739),$AH$2:$AH$1001,0),1)&gt;=100000,INDEX($AO$1005:$BQ$1005,1,MATCH(COLUMNS($AO$1006:AT1006),$AO$1006:$BQ$1006,0))&gt;=100000), " ",IF(INDEX($AO$2:$BQ$1001,MATCH(ROWS($AH$2:AH739),$AH$2:$AH$1001,0),MATCH(COLUMNS($AO$1006:AT1006),$AO$1006:$BQ$1006,0)), HYPERLINK("#",""), HYPERLINK(CONCATENATE("#Metadata!", ADDRESS(INDEX($AJ$2:$AJ$1001,MATCH(ROWS($AH$2:AH739),$AH$2:$AH$1001,0),0), INDEX($AO$1004:$BQ$1004,1,MATCH(COLUMNS($AO$1006:AT1006),$AO$1006:$BQ$1006,0)))),"Fix")))</f>
        <v>#N/A</v>
      </c>
      <c r="H739" s="5" t="e">
        <f ca="1">IF(OR(INDEX($AI$2:$AI$1001,MATCH(ROWS($AH$2:AH739),$AH$2:$AH$1001,0),1)&gt;=100000,INDEX($AO$1005:$BQ$1005,1,MATCH(COLUMNS($AO$1006:AU1006),$AO$1006:$BQ$1006,0))&gt;=100000), " ",IF(INDEX($AO$2:$BQ$1001,MATCH(ROWS($AH$2:AH739),$AH$2:$AH$1001,0),MATCH(COLUMNS($AO$1006:AU1006),$AO$1006:$BQ$1006,0)), HYPERLINK("#",""), HYPERLINK(CONCATENATE("#Metadata!", ADDRESS(INDEX($AJ$2:$AJ$1001,MATCH(ROWS($AH$2:AH739),$AH$2:$AH$1001,0),0), INDEX($AO$1004:$BQ$1004,1,MATCH(COLUMNS($AO$1006:AU1006),$AO$1006:$BQ$1006,0)))),"Fix")))</f>
        <v>#N/A</v>
      </c>
      <c r="I739" s="5" t="e">
        <f ca="1">IF(OR(INDEX($AI$2:$AI$1001,MATCH(ROWS($AH$2:AH739),$AH$2:$AH$1001,0),1)&gt;=100000,INDEX($AO$1005:$BQ$1005,1,MATCH(COLUMNS($AO$1006:AV1006),$AO$1006:$BQ$1006,0))&gt;=100000), " ",IF(INDEX($AO$2:$BQ$1001,MATCH(ROWS($AH$2:AH739),$AH$2:$AH$1001,0),MATCH(COLUMNS($AO$1006:AV1006),$AO$1006:$BQ$1006,0)), HYPERLINK("#",""), HYPERLINK(CONCATENATE("#Metadata!", ADDRESS(INDEX($AJ$2:$AJ$1001,MATCH(ROWS($AH$2:AH739),$AH$2:$AH$1001,0),0), INDEX($AO$1004:$BQ$1004,1,MATCH(COLUMNS($AO$1006:AV1006),$AO$1006:$BQ$1006,0)))),"Fix")))</f>
        <v>#N/A</v>
      </c>
      <c r="J739" s="5" t="e">
        <f ca="1">IF(OR(INDEX($AI$2:$AI$1001,MATCH(ROWS($AH$2:AH739),$AH$2:$AH$1001,0),1)&gt;=100000,INDEX($AO$1005:$BQ$1005,1,MATCH(COLUMNS($AO$1006:AW1006),$AO$1006:$BQ$1006,0))&gt;=100000), " ",IF(INDEX($AO$2:$BQ$1001,MATCH(ROWS($AH$2:AH739),$AH$2:$AH$1001,0),MATCH(COLUMNS($AO$1006:AW1006),$AO$1006:$BQ$1006,0)), HYPERLINK("#",""), HYPERLINK(CONCATENATE("#Metadata!", ADDRESS(INDEX($AJ$2:$AJ$1001,MATCH(ROWS($AH$2:AH739),$AH$2:$AH$1001,0),0), INDEX($AO$1004:$BQ$1004,1,MATCH(COLUMNS($AO$1006:AW1006),$AO$1006:$BQ$1006,0)))),"Fix")))</f>
        <v>#N/A</v>
      </c>
      <c r="K739" s="5" t="e">
        <f ca="1">IF(OR(INDEX($AI$2:$AI$1001,MATCH(ROWS($AH$2:AH739),$AH$2:$AH$1001,0),1)&gt;=100000,INDEX($AO$1005:$BQ$1005,1,MATCH(COLUMNS($AO$1006:AX1006),$AO$1006:$BQ$1006,0))&gt;=100000), " ",IF(INDEX($AO$2:$BQ$1001,MATCH(ROWS($AH$2:AH739),$AH$2:$AH$1001,0),MATCH(COLUMNS($AO$1006:AX1006),$AO$1006:$BQ$1006,0)), HYPERLINK("#",""), HYPERLINK(CONCATENATE("#Metadata!", ADDRESS(INDEX($AJ$2:$AJ$1001,MATCH(ROWS($AH$2:AH739),$AH$2:$AH$1001,0),0), INDEX($AO$1004:$BQ$1004,1,MATCH(COLUMNS($AO$1006:AX1006),$AO$1006:$BQ$1006,0)))),"Fix")))</f>
        <v>#N/A</v>
      </c>
      <c r="L739" s="5" t="e">
        <f ca="1">IF(OR(INDEX($AI$2:$AI$1001,MATCH(ROWS($AH$2:AH739),$AH$2:$AH$1001,0),1)&gt;=100000,INDEX($AO$1005:$BQ$1005,1,MATCH(COLUMNS($AO$1006:AY1006),$AO$1006:$BQ$1006,0))&gt;=100000), " ",IF(INDEX($AO$2:$BQ$1001,MATCH(ROWS($AH$2:AH739),$AH$2:$AH$1001,0),MATCH(COLUMNS($AO$1006:AY1006),$AO$1006:$BQ$1006,0)), HYPERLINK("#",""), HYPERLINK(CONCATENATE("#Metadata!", ADDRESS(INDEX($AJ$2:$AJ$1001,MATCH(ROWS($AH$2:AH739),$AH$2:$AH$1001,0),0), INDEX($AO$1004:$BQ$1004,1,MATCH(COLUMNS($AO$1006:AY1006),$AO$1006:$BQ$1006,0)))),"Fix")))</f>
        <v>#N/A</v>
      </c>
      <c r="M739" s="5" t="e">
        <f ca="1">IF(OR(INDEX($AI$2:$AI$1001,MATCH(ROWS($AH$2:AH739),$AH$2:$AH$1001,0),1)&gt;=100000,INDEX($AO$1005:$BQ$1005,1,MATCH(COLUMNS($AO$1006:AZ1006),$AO$1006:$BQ$1006,0))&gt;=100000), " ",IF(INDEX($AO$2:$BQ$1001,MATCH(ROWS($AH$2:AH739),$AH$2:$AH$1001,0),MATCH(COLUMNS($AO$1006:AZ1006),$AO$1006:$BQ$1006,0)), HYPERLINK("#",""), HYPERLINK(CONCATENATE("#Metadata!", ADDRESS(INDEX($AJ$2:$AJ$1001,MATCH(ROWS($AH$2:AH739),$AH$2:$AH$1001,0),0), INDEX($AO$1004:$BQ$1004,1,MATCH(COLUMNS($AO$1006:AZ1006),$AO$1006:$BQ$1006,0)))),"Fix")))</f>
        <v>#N/A</v>
      </c>
      <c r="N739" s="5" t="e">
        <f ca="1">IF(OR(INDEX($AI$2:$AI$1001,MATCH(ROWS($AH$2:AH739),$AH$2:$AH$1001,0),1)&gt;=100000,INDEX($AO$1005:$BQ$1005,1,MATCH(COLUMNS($AO$1006:BA1006),$AO$1006:$BQ$1006,0))&gt;=100000), " ",IF(INDEX($AO$2:$BQ$1001,MATCH(ROWS($AH$2:AH739),$AH$2:$AH$1001,0),MATCH(COLUMNS($AO$1006:BA1006),$AO$1006:$BQ$1006,0)), HYPERLINK("#",""), HYPERLINK(CONCATENATE("#Metadata!", ADDRESS(INDEX($AJ$2:$AJ$1001,MATCH(ROWS($AH$2:AH739),$AH$2:$AH$1001,0),0), INDEX($AO$1004:$BQ$1004,1,MATCH(COLUMNS($AO$1006:BA1006),$AO$1006:$BQ$1006,0)))),"Fix")))</f>
        <v>#N/A</v>
      </c>
      <c r="O739" s="5" t="e">
        <f ca="1">IF(OR(INDEX($AI$2:$AI$1001,MATCH(ROWS($AH$2:AH739),$AH$2:$AH$1001,0),1)&gt;=100000,INDEX($AO$1005:$BQ$1005,1,MATCH(COLUMNS($AO$1006:BB1006),$AO$1006:$BQ$1006,0))&gt;=100000), " ",IF(INDEX($AO$2:$BQ$1001,MATCH(ROWS($AH$2:AH739),$AH$2:$AH$1001,0),MATCH(COLUMNS($AO$1006:BB1006),$AO$1006:$BQ$1006,0)), HYPERLINK("#",""), HYPERLINK(CONCATENATE("#Metadata!", ADDRESS(INDEX($AJ$2:$AJ$1001,MATCH(ROWS($AH$2:AH739),$AH$2:$AH$1001,0),0), INDEX($AO$1004:$BQ$1004,1,MATCH(COLUMNS($AO$1006:BB1006),$AO$1006:$BQ$1006,0)))),"Fix")))</f>
        <v>#N/A</v>
      </c>
      <c r="P739" s="5" t="e">
        <f ca="1">IF(OR(INDEX($AI$2:$AI$1001,MATCH(ROWS($AH$2:AH739),$AH$2:$AH$1001,0),1)&gt;=100000,INDEX($AO$1005:$BQ$1005,1,MATCH(COLUMNS($AO$1006:BC1006),$AO$1006:$BQ$1006,0))&gt;=100000), " ",IF(INDEX($AO$2:$BQ$1001,MATCH(ROWS($AH$2:AH739),$AH$2:$AH$1001,0),MATCH(COLUMNS($AO$1006:BC1006),$AO$1006:$BQ$1006,0)), HYPERLINK("#",""), HYPERLINK(CONCATENATE("#Metadata!", ADDRESS(INDEX($AJ$2:$AJ$1001,MATCH(ROWS($AH$2:AH739),$AH$2:$AH$1001,0),0), INDEX($AO$1004:$BQ$1004,1,MATCH(COLUMNS($AO$1006:BC1006),$AO$1006:$BQ$1006,0)))),"Fix")))</f>
        <v>#N/A</v>
      </c>
      <c r="Q739" s="5" t="e">
        <f ca="1">IF(OR(INDEX($AI$2:$AI$1001,MATCH(ROWS($AH$2:AH739),$AH$2:$AH$1001,0),1)&gt;=100000,INDEX($AO$1005:$BQ$1005,1,MATCH(COLUMNS($AO$1006:BD1006),$AO$1006:$BQ$1006,0))&gt;=100000), " ",IF(INDEX($AO$2:$BQ$1001,MATCH(ROWS($AH$2:AH739),$AH$2:$AH$1001,0),MATCH(COLUMNS($AO$1006:BD1006),$AO$1006:$BQ$1006,0)), HYPERLINK("#",""), HYPERLINK(CONCATENATE("#Metadata!", ADDRESS(INDEX($AJ$2:$AJ$1001,MATCH(ROWS($AH$2:AH739),$AH$2:$AH$1001,0),0), INDEX($AO$1004:$BQ$1004,1,MATCH(COLUMNS($AO$1006:BD1006),$AO$1006:$BQ$1006,0)))),"Fix")))</f>
        <v>#N/A</v>
      </c>
      <c r="R739" s="5" t="e">
        <f ca="1">IF(OR(INDEX($AI$2:$AI$1001,MATCH(ROWS($AH$2:AH739),$AH$2:$AH$1001,0),1)&gt;=100000,INDEX($AO$1005:$BQ$1005,1,MATCH(COLUMNS($AO$1006:BE1006),$AO$1006:$BQ$1006,0))&gt;=100000), " ",IF(INDEX($AO$2:$BQ$1001,MATCH(ROWS($AH$2:AH739),$AH$2:$AH$1001,0),MATCH(COLUMNS($AO$1006:BE1006),$AO$1006:$BQ$1006,0)), HYPERLINK("#",""), HYPERLINK(CONCATENATE("#Metadata!", ADDRESS(INDEX($AJ$2:$AJ$1001,MATCH(ROWS($AH$2:AH739),$AH$2:$AH$1001,0),0), INDEX($AO$1004:$BQ$1004,1,MATCH(COLUMNS($AO$1006:BE1006),$AO$1006:$BQ$1006,0)))),"Fix")))</f>
        <v>#N/A</v>
      </c>
      <c r="S739" s="5" t="e">
        <f ca="1">IF(OR(INDEX($AI$2:$AI$1001,MATCH(ROWS($AH$2:AH739),$AH$2:$AH$1001,0),1)&gt;=100000,INDEX($AO$1005:$BQ$1005,1,MATCH(COLUMNS($AO$1006:BF1006),$AO$1006:$BQ$1006,0))&gt;=100000), " ",IF(INDEX($AO$2:$BQ$1001,MATCH(ROWS($AH$2:AH739),$AH$2:$AH$1001,0),MATCH(COLUMNS($AO$1006:BF1006),$AO$1006:$BQ$1006,0)), HYPERLINK("#",""), HYPERLINK(CONCATENATE("#Metadata!", ADDRESS(INDEX($AJ$2:$AJ$1001,MATCH(ROWS($AH$2:AH739),$AH$2:$AH$1001,0),0), INDEX($AO$1004:$BQ$1004,1,MATCH(COLUMNS($AO$1006:BF1006),$AO$1006:$BQ$1006,0)))),"Fix")))</f>
        <v>#N/A</v>
      </c>
      <c r="T739" s="5" t="e">
        <f ca="1">IF(OR(INDEX($AI$2:$AI$1001,MATCH(ROWS($AH$2:AH739),$AH$2:$AH$1001,0),1)&gt;=100000,INDEX($AO$1005:$BQ$1005,1,MATCH(COLUMNS($AO$1006:BG1006),$AO$1006:$BQ$1006,0))&gt;=100000), " ",IF(INDEX($AO$2:$BQ$1001,MATCH(ROWS($AH$2:AH739),$AH$2:$AH$1001,0),MATCH(COLUMNS($AO$1006:BG1006),$AO$1006:$BQ$1006,0)), HYPERLINK("#",""), HYPERLINK(CONCATENATE("#Metadata!", ADDRESS(INDEX($AJ$2:$AJ$1001,MATCH(ROWS($AH$2:AH739),$AH$2:$AH$1001,0),0), INDEX($AO$1004:$BQ$1004,1,MATCH(COLUMNS($AO$1006:BG1006),$AO$1006:$BQ$1006,0)))),"Fix")))</f>
        <v>#N/A</v>
      </c>
      <c r="U739" s="5" t="e">
        <f ca="1">IF(OR(INDEX($AI$2:$AI$1001,MATCH(ROWS($AH$2:AH739),$AH$2:$AH$1001,0),1)&gt;=100000,INDEX($AO$1005:$BQ$1005,1,MATCH(COLUMNS($AO$1006:BH1006),$AO$1006:$BQ$1006,0))&gt;=100000), " ",IF(INDEX($AO$2:$BQ$1001,MATCH(ROWS($AH$2:AH739),$AH$2:$AH$1001,0),MATCH(COLUMNS($AO$1006:BH1006),$AO$1006:$BQ$1006,0)), HYPERLINK("#",""), HYPERLINK(CONCATENATE("#Metadata!", ADDRESS(INDEX($AJ$2:$AJ$1001,MATCH(ROWS($AH$2:AH739),$AH$2:$AH$1001,0),0), INDEX($AO$1004:$BQ$1004,1,MATCH(COLUMNS($AO$1006:BH1006),$AO$1006:$BQ$1006,0)))),"Fix")))</f>
        <v>#N/A</v>
      </c>
      <c r="V739" s="5" t="e">
        <f ca="1">IF(OR(INDEX($AI$2:$AI$1001,MATCH(ROWS($AH$2:AH739),$AH$2:$AH$1001,0),1)&gt;=100000,INDEX($AO$1005:$BQ$1005,1,MATCH(COLUMNS($AO$1006:BI1006),$AO$1006:$BQ$1006,0))&gt;=100000), " ",IF(INDEX($AO$2:$BQ$1001,MATCH(ROWS($AH$2:AH739),$AH$2:$AH$1001,0),MATCH(COLUMNS($AO$1006:BI1006),$AO$1006:$BQ$1006,0)), HYPERLINK("#",""), HYPERLINK(CONCATENATE("#Metadata!", ADDRESS(INDEX($AJ$2:$AJ$1001,MATCH(ROWS($AH$2:AH739),$AH$2:$AH$1001,0),0), INDEX($AO$1004:$BQ$1004,1,MATCH(COLUMNS($AO$1006:BI1006),$AO$1006:$BQ$1006,0)))),"Fix")))</f>
        <v>#N/A</v>
      </c>
      <c r="W739" s="5" t="e">
        <f ca="1">IF(OR(INDEX($AI$2:$AI$1001,MATCH(ROWS($AH$2:AH739),$AH$2:$AH$1001,0),1)&gt;=100000,INDEX($AO$1005:$BQ$1005,1,MATCH(COLUMNS($AO$1006:BJ1006),$AO$1006:$BQ$1006,0))&gt;=100000), " ",IF(INDEX($AO$2:$BQ$1001,MATCH(ROWS($AH$2:AH739),$AH$2:$AH$1001,0),MATCH(COLUMNS($AO$1006:BJ1006),$AO$1006:$BQ$1006,0)), HYPERLINK("#",""), HYPERLINK(CONCATENATE("#Metadata!", ADDRESS(INDEX($AJ$2:$AJ$1001,MATCH(ROWS($AH$2:AH739),$AH$2:$AH$1001,0),0), INDEX($AO$1004:$BQ$1004,1,MATCH(COLUMNS($AO$1006:BJ1006),$AO$1006:$BQ$1006,0)))),"Fix")))</f>
        <v>#N/A</v>
      </c>
      <c r="X739" s="5" t="e">
        <f ca="1">IF(OR(INDEX($AI$2:$AI$1001,MATCH(ROWS($AH$2:AH739),$AH$2:$AH$1001,0),1)&gt;=100000,INDEX($AO$1005:$BQ$1005,1,MATCH(COLUMNS($AO$1006:BK1006),$AO$1006:$BQ$1006,0))&gt;=100000), " ",IF(INDEX($AO$2:$BQ$1001,MATCH(ROWS($AH$2:AH739),$AH$2:$AH$1001,0),MATCH(COLUMNS($AO$1006:BK1006),$AO$1006:$BQ$1006,0)), HYPERLINK("#",""), HYPERLINK(CONCATENATE("#Metadata!", ADDRESS(INDEX($AJ$2:$AJ$1001,MATCH(ROWS($AH$2:AH739),$AH$2:$AH$1001,0),0), INDEX($AO$1004:$BQ$1004,1,MATCH(COLUMNS($AO$1006:BK1006),$AO$1006:$BQ$1006,0)))),"Fix")))</f>
        <v>#N/A</v>
      </c>
      <c r="Y739" s="5" t="e">
        <f ca="1">IF(OR(INDEX($AI$2:$AI$1001,MATCH(ROWS($AH$2:AH739),$AH$2:$AH$1001,0),1)&gt;=100000,INDEX($AO$1005:$BQ$1005,1,MATCH(COLUMNS($AO$1006:BL1006),$AO$1006:$BQ$1006,0))&gt;=100000), " ",IF(INDEX($AO$2:$BQ$1001,MATCH(ROWS($AH$2:AH739),$AH$2:$AH$1001,0),MATCH(COLUMNS($AO$1006:BL1006),$AO$1006:$BQ$1006,0)), HYPERLINK("#",""), HYPERLINK(CONCATENATE("#Metadata!", ADDRESS(INDEX($AJ$2:$AJ$1001,MATCH(ROWS($AH$2:AH739),$AH$2:$AH$1001,0),0), INDEX($AO$1004:$BQ$1004,1,MATCH(COLUMNS($AO$1006:BL1006),$AO$1006:$BQ$1006,0)))),"Fix")))</f>
        <v>#N/A</v>
      </c>
      <c r="Z739" s="5" t="e">
        <f ca="1">IF(OR(INDEX($AI$2:$AI$1001,MATCH(ROWS($AH$2:AH739),$AH$2:$AH$1001,0),1)&gt;=100000,INDEX($AO$1005:$BQ$1005,1,MATCH(COLUMNS($AO$1006:BM1006),$AO$1006:$BQ$1006,0))&gt;=100000), " ",IF(INDEX($AO$2:$BQ$1001,MATCH(ROWS($AH$2:AH739),$AH$2:$AH$1001,0),MATCH(COLUMNS($AO$1006:BM1006),$AO$1006:$BQ$1006,0)), HYPERLINK("#",""), HYPERLINK(CONCATENATE("#Metadata!", ADDRESS(INDEX($AJ$2:$AJ$1001,MATCH(ROWS($AH$2:AH739),$AH$2:$AH$1001,0),0), INDEX($AO$1004:$BQ$1004,1,MATCH(COLUMNS($AO$1006:BM1006),$AO$1006:$BQ$1006,0)))),"Fix")))</f>
        <v>#N/A</v>
      </c>
      <c r="AA739" s="5" t="e">
        <f ca="1">IF(OR(INDEX($AI$2:$AI$1001,MATCH(ROWS($AH$2:AH739),$AH$2:$AH$1001,0),1)&gt;=100000,INDEX($AO$1005:$BQ$1005,1,MATCH(COLUMNS($AO$1006:BN1006),$AO$1006:$BQ$1006,0))&gt;=100000), " ",IF(INDEX($AO$2:$BQ$1001,MATCH(ROWS($AH$2:AH739),$AH$2:$AH$1001,0),MATCH(COLUMNS($AO$1006:BN1006),$AO$1006:$BQ$1006,0)), HYPERLINK("#",""), HYPERLINK(CONCATENATE("#Metadata!", ADDRESS(INDEX($AJ$2:$AJ$1001,MATCH(ROWS($AH$2:AH739),$AH$2:$AH$1001,0),0), INDEX($AO$1004:$BQ$1004,1,MATCH(COLUMNS($AO$1006:BN1006),$AO$1006:$BQ$1006,0)))),"Fix")))</f>
        <v>#N/A</v>
      </c>
      <c r="AB739" s="5" t="e">
        <f ca="1">IF(OR(INDEX($AI$2:$AI$1001,MATCH(ROWS($AH$2:AH739),$AH$2:$AH$1001,0),1)&gt;=100000,INDEX($AO$1005:$BQ$1005,1,MATCH(COLUMNS($AO$1006:BO1006),$AO$1006:$BQ$1006,0))&gt;=100000), " ",IF(INDEX($AO$2:$BQ$1001,MATCH(ROWS($AH$2:AH739),$AH$2:$AH$1001,0),MATCH(COLUMNS($AO$1006:BO1006),$AO$1006:$BQ$1006,0)), HYPERLINK("#",""), HYPERLINK(CONCATENATE("#Metadata!", ADDRESS(INDEX($AJ$2:$AJ$1001,MATCH(ROWS($AH$2:AH739),$AH$2:$AH$1001,0),0), INDEX($AO$1004:$BQ$1004,1,MATCH(COLUMNS($AO$1006:BO1006),$AO$1006:$BQ$1006,0)))),"Fix")))</f>
        <v>#N/A</v>
      </c>
      <c r="AC739" s="5" t="e">
        <f ca="1">IF(OR(INDEX($AI$2:$AI$1001,MATCH(ROWS($AH$2:AH739),$AH$2:$AH$1001,0),1)&gt;=100000,INDEX($AO$1005:$BQ$1005,1,MATCH(COLUMNS($AO$1006:BP1006),$AO$1006:$BQ$1006,0))&gt;=100000), " ",IF(INDEX($AO$2:$BQ$1001,MATCH(ROWS($AH$2:AH739),$AH$2:$AH$1001,0),MATCH(COLUMNS($AO$1006:BP1006),$AO$1006:$BQ$1006,0)), HYPERLINK("#",""), HYPERLINK(CONCATENATE("#Metadata!", ADDRESS(INDEX($AJ$2:$AJ$1001,MATCH(ROWS($AH$2:AH739),$AH$2:$AH$1001,0),0), INDEX($AO$1004:$BQ$1004,1,MATCH(COLUMNS($AO$1006:BP1006),$AO$1006:$BQ$1006,0)))),"Fix")))</f>
        <v>#N/A</v>
      </c>
      <c r="AD739" s="5" t="e">
        <f ca="1">IF(OR(INDEX($AI$2:$AI$1001,MATCH(ROWS($AH$2:AH739),$AH$2:$AH$1001,0),1)&gt;=100000,INDEX($AO$1005:$BQ$1005,1,MATCH(COLUMNS($AO$1006:BQ1006),$AO$1006:$BQ$1006,0))&gt;=100000), " ",IF(INDEX($AO$2:$BQ$1001,MATCH(ROWS($AH$2:AH739),$AH$2:$AH$1001,0),MATCH(COLUMNS($AO$1006:BQ1006),$AO$1006:$BQ$1006,0)), HYPERLINK("#",""), HYPERLINK(CONCATENATE("#Metadata!", ADDRESS(INDEX($AJ$2:$AJ$1001,MATCH(ROWS($AH$2:AH739),$AH$2:$AH$1001,0),0), INDEX($AO$1004:$BQ$1004,1,MATCH(COLUMNS($AO$1006:BQ1006),$AO$1006:$BQ$1006,0)))),"Fix")))</f>
        <v>#REF!</v>
      </c>
      <c r="AH739">
        <f ca="1"/>
        <v>736</v>
      </c>
      <c r="AI739">
        <v>100739</v>
      </c>
      <c r="AJ739">
        <v>739</v>
      </c>
      <c r="AK739" t="b">
        <f t="shared" si="11"/>
        <v>1</v>
      </c>
      <c r="AL739" t="b">
        <f>COUNTBLANK(Metadata!B739:AD739)=COLUMNS(Metadata!B739:AD739)</f>
        <v>1</v>
      </c>
      <c r="AM739" t="str">
        <v/>
      </c>
      <c r="AO739" t="b">
        <f ca="1">AND(IF(Metadata!B739="",FALSE,TRUE),COUNTIF(Metadata!B:B, Metadata!B739) = 1,NOT(ISERROR(SUMPRODUCT(SEARCH(MID(Metadata!B739,ROW(INDIRECT("1:"&amp;LEN(Metadata!B739))), 1),"0123456789abcdefghijklmnopqrstuvwxyzABCDEFGHIJKLMNOPQRSTUVWXYZ.")))))</f>
        <v>0</v>
      </c>
      <c r="AP739" t="b">
        <f>IF(Metadata!C739="",FALSE,TRUE)</f>
        <v>0</v>
      </c>
      <c r="AQ739" t="b">
        <f>IF(Metadata!D739="",FALSE,TRUE)</f>
        <v>0</v>
      </c>
      <c r="AR739" t="b">
        <f ca="1">OR(AND(IF(Metadata!E739="",FALSE,TRUE),OR(EXACT(Metadata!E739,"not collected"),EXACT(Metadata!E739,"not provided"),EXACT(Metadata!E739,"restricted access"))),AND(IF(Metadata!E739="",FALSE,TRUE),AND(AND(IFERROR(INT(LEFT(Metadata!E739,4))&gt;1900,FALSE),IFERROR(INT(LEFT(Metadata!E739,4))&lt;=YEAR(NOW()),FALSE)), OR(MID(Metadata!E739,5,1)="", AND(AND(MID(Metadata!E739,5,1)="-",IFERROR(INT(MID(Metadata!E739,6,1))&gt;=0,FALSE),IFERROR(INT(MID(Metadata!E739,6,1))&lt;=1,FALSE),NOT(MID(Metadata!E739,7,1)=""),IFERROR(INT(MID(Metadata!E739,6,2))&gt;=1,FALSE),IFERROR(INT(MID(Metadata!E739,6,2))&lt;=12,FALSE)), OR(MID(Metadata!E739,8,1)="", AND(AND(MID(Metadata!E739,8,1)="-",IFERROR(INT(MID(Metadata!E739,9,1))&gt;=0,FALSE),IFERROR(INT(MID(Metadata!E739,9,1))&lt;=3,FALSE),NOT(MID(Metadata!E739,10,1)=""),IFERROR(INT(MID(Metadata!E739,9,2))&gt;=1,FALSE),IFERROR(INT(MID(Metadata!E739,9,2))&lt;=31,FALSE)), OR(MID(Metadata!E739,11,1)="", AND(AND(MID(Metadata!E739,11,1)=" ",IFERROR(INT(MID(Metadata!E739,12,1))&gt;=0,FALSE),IFERROR(INT(MID(Metadata!E739,12,1))&lt;=2,FALSE),NOT(MID(Metadata!E739,13,1)=""),IFERROR(INT(MID(Metadata!E739,12,2))&gt;=0,FALSE),IFERROR(INT(MID(Metadata!E739,12,2))&lt;=23,FALSE)), OR(MID(Metadata!E739,14,1)="", AND(AND(MID(Metadata!E739,14,1)=":",IFERROR(INT(MID(Metadata!E739,15,1))&gt;=0,FALSE),IFERROR(INT(MID(Metadata!E739,15,1))&lt;=5,FALSE),NOT(MID(Metadata!E739,16,1)=""),IFERROR(INT(MID(Metadata!E739,15,2))&gt;=0,FALSE),IFERROR(INT(MID(Metadata!E739,15,2))&lt;=59,FALSE)), OR(MID(Metadata!E739,17,1)="", AND(AND(MID(Metadata!E739,17,1)=":",IFERROR(INT(MID(Metadata!E739,18,1))&gt;=0,FALSE),IFERROR(INT(MID(Metadata!E739,18,1))&lt;=5,FALSE),NOT(MID(Metadata!E739,19,1)=""),IFERROR(INT(MID(Metadata!E739,18,2))&gt;=0,FALSE),IFERROR(INT(MID(Metadata!E739,18,2))&lt;=59,FALSE)), LEN(Metadata!E739)&lt;=19)))))))))))))</f>
        <v>0</v>
      </c>
      <c r="AS739" t="b">
        <f>IF(Metadata!F739="",FALSE,TRUE)</f>
        <v>0</v>
      </c>
      <c r="AT739" t="b">
        <f>OR(AND(IF(Metadata!G739="",FALSE,TRUE),OR(EXACT(Metadata!G739,"not collected"),EXACT(Metadata!G739,"not provided"))),AND(IF(Metadata!G739="",FALSE,TRUE),OR(EXACT(Metadata!G739,"TRUE"),EXACT(Metadata!G739,"FALSE"))))</f>
        <v>0</v>
      </c>
      <c r="AU739" t="b">
        <f>OR(AND(IF(Metadata!H739="",FALSE,TRUE),OR(EXACT(Metadata!H739,"not collected"),EXACT(Metadata!H739,"not provided"),EXACT(Metadata!H739,"restricted access"))),AND(IF(Metadata!H739="",FALSE,ISNUMBER(VALUE(Metadata!H739))),Metadata!H739&gt;=-413))</f>
        <v>0</v>
      </c>
      <c r="AV739" t="b">
        <f>AND(IF(Metadata!I739="",FALSE,TRUE),EXACT(Metadata!I739,"meters"))</f>
        <v>0</v>
      </c>
      <c r="AW739" t="b">
        <f>AND(IF(Metadata!J739="",FALSE,TRUE),EXACT(Metadata!J739,"free-living"))</f>
        <v>0</v>
      </c>
      <c r="AX739" t="b">
        <f>AND(IF(Metadata!K739="",FALSE,TRUE),OR(EXACT(Metadata!K739,"saline"),EXACT(Metadata!K739,"non-saline")))</f>
        <v>0</v>
      </c>
      <c r="AY739" t="b">
        <f>AND(IF(Metadata!L739="",FALSE,TRUE),OR(EXACT(Metadata!L739,"sub-surface (non-saline)"),EXACT(Metadata!L739,"surface (non-saline)"),EXACT(Metadata!L739,"water (non-saline)"),EXACT(Metadata!L739,"soil (non-saline)"),EXACT(Metadata!L739,"aerosol (non-saline)"),EXACT(Metadata!L739,"sediment (non-saline)"),EXACT(Metadata!L739,"surface (saline)"),EXACT(Metadata!L739,"water (saline)"),EXACT(Metadata!L739,"hypersaline (saline)"),EXACT(Metadata!L739,"aerosol (saline)"),EXACT(Metadata!L739,"sediment (saline)")))</f>
        <v>0</v>
      </c>
      <c r="AZ739" t="b">
        <f>IF(Metadata!M739="",FALSE,TRUE)</f>
        <v>0</v>
      </c>
      <c r="BA739" t="b">
        <f>IF(Metadata!N739="",FALSE,TRUE)</f>
        <v>0</v>
      </c>
      <c r="BB739" t="b">
        <f>IF(Metadata!O739="",FALSE,TRUE)</f>
        <v>0</v>
      </c>
      <c r="BC739" t="b">
        <f>AND(IF(Metadata!P739="",FALSE,TRUE),OR(EXACT(Metadata!P739,"air"),EXACT(Metadata!P739,"microbial mat/biofilm"),EXACT(Metadata!P739,"misc environment"),EXACT(Metadata!P739,"sediment"),EXACT(Metadata!P739,"soil"),EXACT(Metadata!P739,"wastewater/sludge"),EXACT(Metadata!P739,"water")))</f>
        <v>0</v>
      </c>
      <c r="BD739" t="b">
        <f>IF(Metadata!Q739="",FALSE,TRUE)</f>
        <v>0</v>
      </c>
      <c r="BE739" t="b">
        <f>IF(Metadata!R739="",FALSE,TRUE)</f>
        <v>0</v>
      </c>
      <c r="BF739" t="b">
        <f>OR(AND(IF(Metadata!S739="",FALSE,TRUE),OR(EXACT(Metadata!S739,"not collected"),EXACT(Metadata!S739,"not provided"),EXACT(Metadata!S739,"restricted access"))),AND(IF(Metadata!S739="",FALSE,ISNUMBER(VALUE(Metadata!S739))),Metadata!S739&gt;=-90,Metadata!S739&lt;=90))</f>
        <v>0</v>
      </c>
      <c r="BG739" t="b">
        <f>AND(IF(Metadata!T739="",FALSE,TRUE),EXACT(Metadata!T739,"Decimal degrees"))</f>
        <v>0</v>
      </c>
      <c r="BH739" t="b">
        <f>OR(AND(IF(Metadata!U739="",FALSE,TRUE),OR(EXACT(Metadata!U739,"not applicable"),EXACT(Metadata!U739,"not collected"))),IF(Metadata!U739="",FALSE,TRUE))</f>
        <v>0</v>
      </c>
      <c r="BI739" t="b">
        <f>OR(AND(IF(Metadata!V739="",FALSE,TRUE),OR(EXACT(Metadata!V739,"not collected"),EXACT(Metadata!V739,"not provided"),EXACT(Metadata!V739,"restricted access"))),AND(IF(Metadata!V739="",FALSE,ISNUMBER(VALUE(Metadata!V739))),Metadata!V739&gt;=-180,Metadata!V739&lt;=180))</f>
        <v>0</v>
      </c>
      <c r="BJ739" t="b">
        <f>AND(IF(Metadata!W739="",FALSE,TRUE),EXACT(Metadata!W739,"Decimal degrees"))</f>
        <v>0</v>
      </c>
      <c r="BK739" t="b">
        <f>IF(Metadata!X739="",FALSE,TRUE)</f>
        <v>0</v>
      </c>
      <c r="BL739" t="b">
        <f>OR(AND(IF(Metadata!Y739="",FALSE,TRUE),OR(EXACT(Metadata!Y739,"not collected"),EXACT(Metadata!Y739,"not provided"),EXACT(Metadata!Y739,"restricted access"))),AND(IF(Metadata!Y739="",FALSE,TRUE),OR(EXACT(Metadata!Y739,"TRUE"),EXACT(Metadata!Y739,"FALSE"))))</f>
        <v>0</v>
      </c>
      <c r="BM739" t="b">
        <f>OR(AND(IF(Metadata!Z739="",FALSE,TRUE),EXACT(Metadata!Z739,"not applicable")),AND(IF(Metadata!Z739="",FALSE,TRUE),OR(EXACT(Metadata!Z739,"beer"),EXACT(Metadata!Z739,"cheese"),EXACT(Metadata!Z739,"fresh water"),EXACT(Metadata!Z739,"marine sediment"),EXACT(Metadata!Z739,"sea water"),EXACT(Metadata!Z739,"sediment"),EXACT(Metadata!Z739,"soil"),EXACT(Metadata!Z739,"waste water"))))</f>
        <v>0</v>
      </c>
      <c r="BN739" t="b">
        <f>AND(IF(Metadata!AA739="",FALSE,TRUE),EXACT(Metadata!AA739,"metagenome"))</f>
        <v>0</v>
      </c>
      <c r="BO739" t="b">
        <f>AND(IF(Metadata!AB739="",FALSE,TRUE),EXACT(Metadata!AB739,"256318"))</f>
        <v>0</v>
      </c>
      <c r="BP739" t="b">
        <f>IF(Metadata!AC739="",FALSE,TRUE)</f>
        <v>0</v>
      </c>
      <c r="BQ739" t="b">
        <f>IF(Metadata!AD739="",FALSE,TRUE)</f>
        <v>0</v>
      </c>
    </row>
    <row r="740" spans="1:69" x14ac:dyDescent="0.2">
      <c r="A740" s="4" t="e">
        <f ca="1">IF(B740=" "," ",HYPERLINK(CONCATENATE("#metadata!",ADDRESS(INDEX($AJ$2:$AJ$1001,MATCH(ROWS($AH$2:AH740),$AH$2:$AH$1001,0),0),2)),INDEX($AM$2:$AM$1001,MATCH(ROWS($AH$2:AH740),$AH$2:$AH$1001,0),0)))</f>
        <v>#N/A</v>
      </c>
      <c r="B740" s="5" t="e">
        <f ca="1">IF(OR(INDEX($AI$2:$AI$1001,MATCH(ROWS($AH$2:AH740),$AH$2:$AH$1001,0),1)&gt;=100000,INDEX($AO$1005:$BQ$1005,1,MATCH(COLUMNS($AO$1006:AO1006),$AO$1006:$BQ$1006,0))&gt;=100000), " ",IF(INDEX($AO$2:$BQ$1001,MATCH(ROWS($AH$2:AH740),$AH$2:$AH$1001,0),MATCH(COLUMNS($AO$1006:AO1006),$AO$1006:$BQ$1006,0)), HYPERLINK("#",""), HYPERLINK(CONCATENATE("#Metadata!", ADDRESS(INDEX($AJ$2:$AJ$1001,MATCH(ROWS($AH$2:AH740),$AH$2:$AH$1001,0),0), INDEX($AO$1004:$BQ$1004,1,MATCH(COLUMNS($AO$1006:AO1006),$AO$1006:$BQ$1006,0)))),"Fix")))</f>
        <v>#N/A</v>
      </c>
      <c r="C740" s="5" t="e">
        <f ca="1">IF(OR(INDEX($AI$2:$AI$1001,MATCH(ROWS($AH$2:AH740),$AH$2:$AH$1001,0),1)&gt;=100000,INDEX($AO$1005:$BQ$1005,1,MATCH(COLUMNS($AO$1006:AP1006),$AO$1006:$BQ$1006,0))&gt;=100000), " ",IF(INDEX($AO$2:$BQ$1001,MATCH(ROWS($AH$2:AH740),$AH$2:$AH$1001,0),MATCH(COLUMNS($AO$1006:AP1006),$AO$1006:$BQ$1006,0)), HYPERLINK("#",""), HYPERLINK(CONCATENATE("#Metadata!", ADDRESS(INDEX($AJ$2:$AJ$1001,MATCH(ROWS($AH$2:AH740),$AH$2:$AH$1001,0),0), INDEX($AO$1004:$BQ$1004,1,MATCH(COLUMNS($AO$1006:AP1006),$AO$1006:$BQ$1006,0)))),"Fix")))</f>
        <v>#N/A</v>
      </c>
      <c r="D740" s="5" t="e">
        <f ca="1">IF(OR(INDEX($AI$2:$AI$1001,MATCH(ROWS($AH$2:AH740),$AH$2:$AH$1001,0),1)&gt;=100000,INDEX($AO$1005:$BQ$1005,1,MATCH(COLUMNS($AO$1006:AQ1006),$AO$1006:$BQ$1006,0))&gt;=100000), " ",IF(INDEX($AO$2:$BQ$1001,MATCH(ROWS($AH$2:AH740),$AH$2:$AH$1001,0),MATCH(COLUMNS($AO$1006:AQ1006),$AO$1006:$BQ$1006,0)), HYPERLINK("#",""), HYPERLINK(CONCATENATE("#Metadata!", ADDRESS(INDEX($AJ$2:$AJ$1001,MATCH(ROWS($AH$2:AH740),$AH$2:$AH$1001,0),0), INDEX($AO$1004:$BQ$1004,1,MATCH(COLUMNS($AO$1006:AQ1006),$AO$1006:$BQ$1006,0)))),"Fix")))</f>
        <v>#N/A</v>
      </c>
      <c r="E740" s="5" t="e">
        <f ca="1">IF(OR(INDEX($AI$2:$AI$1001,MATCH(ROWS($AH$2:AH740),$AH$2:$AH$1001,0),1)&gt;=100000,INDEX($AO$1005:$BQ$1005,1,MATCH(COLUMNS($AO$1006:AR1006),$AO$1006:$BQ$1006,0))&gt;=100000), " ",IF(INDEX($AO$2:$BQ$1001,MATCH(ROWS($AH$2:AH740),$AH$2:$AH$1001,0),MATCH(COLUMNS($AO$1006:AR1006),$AO$1006:$BQ$1006,0)), HYPERLINK("#",""), HYPERLINK(CONCATENATE("#Metadata!", ADDRESS(INDEX($AJ$2:$AJ$1001,MATCH(ROWS($AH$2:AH740),$AH$2:$AH$1001,0),0), INDEX($AO$1004:$BQ$1004,1,MATCH(COLUMNS($AO$1006:AR1006),$AO$1006:$BQ$1006,0)))),"Fix")))</f>
        <v>#N/A</v>
      </c>
      <c r="F740" s="5" t="e">
        <f ca="1">IF(OR(INDEX($AI$2:$AI$1001,MATCH(ROWS($AH$2:AH740),$AH$2:$AH$1001,0),1)&gt;=100000,INDEX($AO$1005:$BQ$1005,1,MATCH(COLUMNS($AO$1006:AS1006),$AO$1006:$BQ$1006,0))&gt;=100000), " ",IF(INDEX($AO$2:$BQ$1001,MATCH(ROWS($AH$2:AH740),$AH$2:$AH$1001,0),MATCH(COLUMNS($AO$1006:AS1006),$AO$1006:$BQ$1006,0)), HYPERLINK("#",""), HYPERLINK(CONCATENATE("#Metadata!", ADDRESS(INDEX($AJ$2:$AJ$1001,MATCH(ROWS($AH$2:AH740),$AH$2:$AH$1001,0),0), INDEX($AO$1004:$BQ$1004,1,MATCH(COLUMNS($AO$1006:AS1006),$AO$1006:$BQ$1006,0)))),"Fix")))</f>
        <v>#N/A</v>
      </c>
      <c r="G740" s="5" t="e">
        <f ca="1">IF(OR(INDEX($AI$2:$AI$1001,MATCH(ROWS($AH$2:AH740),$AH$2:$AH$1001,0),1)&gt;=100000,INDEX($AO$1005:$BQ$1005,1,MATCH(COLUMNS($AO$1006:AT1006),$AO$1006:$BQ$1006,0))&gt;=100000), " ",IF(INDEX($AO$2:$BQ$1001,MATCH(ROWS($AH$2:AH740),$AH$2:$AH$1001,0),MATCH(COLUMNS($AO$1006:AT1006),$AO$1006:$BQ$1006,0)), HYPERLINK("#",""), HYPERLINK(CONCATENATE("#Metadata!", ADDRESS(INDEX($AJ$2:$AJ$1001,MATCH(ROWS($AH$2:AH740),$AH$2:$AH$1001,0),0), INDEX($AO$1004:$BQ$1004,1,MATCH(COLUMNS($AO$1006:AT1006),$AO$1006:$BQ$1006,0)))),"Fix")))</f>
        <v>#N/A</v>
      </c>
      <c r="H740" s="5" t="e">
        <f ca="1">IF(OR(INDEX($AI$2:$AI$1001,MATCH(ROWS($AH$2:AH740),$AH$2:$AH$1001,0),1)&gt;=100000,INDEX($AO$1005:$BQ$1005,1,MATCH(COLUMNS($AO$1006:AU1006),$AO$1006:$BQ$1006,0))&gt;=100000), " ",IF(INDEX($AO$2:$BQ$1001,MATCH(ROWS($AH$2:AH740),$AH$2:$AH$1001,0),MATCH(COLUMNS($AO$1006:AU1006),$AO$1006:$BQ$1006,0)), HYPERLINK("#",""), HYPERLINK(CONCATENATE("#Metadata!", ADDRESS(INDEX($AJ$2:$AJ$1001,MATCH(ROWS($AH$2:AH740),$AH$2:$AH$1001,0),0), INDEX($AO$1004:$BQ$1004,1,MATCH(COLUMNS($AO$1006:AU1006),$AO$1006:$BQ$1006,0)))),"Fix")))</f>
        <v>#N/A</v>
      </c>
      <c r="I740" s="5" t="e">
        <f ca="1">IF(OR(INDEX($AI$2:$AI$1001,MATCH(ROWS($AH$2:AH740),$AH$2:$AH$1001,0),1)&gt;=100000,INDEX($AO$1005:$BQ$1005,1,MATCH(COLUMNS($AO$1006:AV1006),$AO$1006:$BQ$1006,0))&gt;=100000), " ",IF(INDEX($AO$2:$BQ$1001,MATCH(ROWS($AH$2:AH740),$AH$2:$AH$1001,0),MATCH(COLUMNS($AO$1006:AV1006),$AO$1006:$BQ$1006,0)), HYPERLINK("#",""), HYPERLINK(CONCATENATE("#Metadata!", ADDRESS(INDEX($AJ$2:$AJ$1001,MATCH(ROWS($AH$2:AH740),$AH$2:$AH$1001,0),0), INDEX($AO$1004:$BQ$1004,1,MATCH(COLUMNS($AO$1006:AV1006),$AO$1006:$BQ$1006,0)))),"Fix")))</f>
        <v>#N/A</v>
      </c>
      <c r="J740" s="5" t="e">
        <f ca="1">IF(OR(INDEX($AI$2:$AI$1001,MATCH(ROWS($AH$2:AH740),$AH$2:$AH$1001,0),1)&gt;=100000,INDEX($AO$1005:$BQ$1005,1,MATCH(COLUMNS($AO$1006:AW1006),$AO$1006:$BQ$1006,0))&gt;=100000), " ",IF(INDEX($AO$2:$BQ$1001,MATCH(ROWS($AH$2:AH740),$AH$2:$AH$1001,0),MATCH(COLUMNS($AO$1006:AW1006),$AO$1006:$BQ$1006,0)), HYPERLINK("#",""), HYPERLINK(CONCATENATE("#Metadata!", ADDRESS(INDEX($AJ$2:$AJ$1001,MATCH(ROWS($AH$2:AH740),$AH$2:$AH$1001,0),0), INDEX($AO$1004:$BQ$1004,1,MATCH(COLUMNS($AO$1006:AW1006),$AO$1006:$BQ$1006,0)))),"Fix")))</f>
        <v>#N/A</v>
      </c>
      <c r="K740" s="5" t="e">
        <f ca="1">IF(OR(INDEX($AI$2:$AI$1001,MATCH(ROWS($AH$2:AH740),$AH$2:$AH$1001,0),1)&gt;=100000,INDEX($AO$1005:$BQ$1005,1,MATCH(COLUMNS($AO$1006:AX1006),$AO$1006:$BQ$1006,0))&gt;=100000), " ",IF(INDEX($AO$2:$BQ$1001,MATCH(ROWS($AH$2:AH740),$AH$2:$AH$1001,0),MATCH(COLUMNS($AO$1006:AX1006),$AO$1006:$BQ$1006,0)), HYPERLINK("#",""), HYPERLINK(CONCATENATE("#Metadata!", ADDRESS(INDEX($AJ$2:$AJ$1001,MATCH(ROWS($AH$2:AH740),$AH$2:$AH$1001,0),0), INDEX($AO$1004:$BQ$1004,1,MATCH(COLUMNS($AO$1006:AX1006),$AO$1006:$BQ$1006,0)))),"Fix")))</f>
        <v>#N/A</v>
      </c>
      <c r="L740" s="5" t="e">
        <f ca="1">IF(OR(INDEX($AI$2:$AI$1001,MATCH(ROWS($AH$2:AH740),$AH$2:$AH$1001,0),1)&gt;=100000,INDEX($AO$1005:$BQ$1005,1,MATCH(COLUMNS($AO$1006:AY1006),$AO$1006:$BQ$1006,0))&gt;=100000), " ",IF(INDEX($AO$2:$BQ$1001,MATCH(ROWS($AH$2:AH740),$AH$2:$AH$1001,0),MATCH(COLUMNS($AO$1006:AY1006),$AO$1006:$BQ$1006,0)), HYPERLINK("#",""), HYPERLINK(CONCATENATE("#Metadata!", ADDRESS(INDEX($AJ$2:$AJ$1001,MATCH(ROWS($AH$2:AH740),$AH$2:$AH$1001,0),0), INDEX($AO$1004:$BQ$1004,1,MATCH(COLUMNS($AO$1006:AY1006),$AO$1006:$BQ$1006,0)))),"Fix")))</f>
        <v>#N/A</v>
      </c>
      <c r="M740" s="5" t="e">
        <f ca="1">IF(OR(INDEX($AI$2:$AI$1001,MATCH(ROWS($AH$2:AH740),$AH$2:$AH$1001,0),1)&gt;=100000,INDEX($AO$1005:$BQ$1005,1,MATCH(COLUMNS($AO$1006:AZ1006),$AO$1006:$BQ$1006,0))&gt;=100000), " ",IF(INDEX($AO$2:$BQ$1001,MATCH(ROWS($AH$2:AH740),$AH$2:$AH$1001,0),MATCH(COLUMNS($AO$1006:AZ1006),$AO$1006:$BQ$1006,0)), HYPERLINK("#",""), HYPERLINK(CONCATENATE("#Metadata!", ADDRESS(INDEX($AJ$2:$AJ$1001,MATCH(ROWS($AH$2:AH740),$AH$2:$AH$1001,0),0), INDEX($AO$1004:$BQ$1004,1,MATCH(COLUMNS($AO$1006:AZ1006),$AO$1006:$BQ$1006,0)))),"Fix")))</f>
        <v>#N/A</v>
      </c>
      <c r="N740" s="5" t="e">
        <f ca="1">IF(OR(INDEX($AI$2:$AI$1001,MATCH(ROWS($AH$2:AH740),$AH$2:$AH$1001,0),1)&gt;=100000,INDEX($AO$1005:$BQ$1005,1,MATCH(COLUMNS($AO$1006:BA1006),$AO$1006:$BQ$1006,0))&gt;=100000), " ",IF(INDEX($AO$2:$BQ$1001,MATCH(ROWS($AH$2:AH740),$AH$2:$AH$1001,0),MATCH(COLUMNS($AO$1006:BA1006),$AO$1006:$BQ$1006,0)), HYPERLINK("#",""), HYPERLINK(CONCATENATE("#Metadata!", ADDRESS(INDEX($AJ$2:$AJ$1001,MATCH(ROWS($AH$2:AH740),$AH$2:$AH$1001,0),0), INDEX($AO$1004:$BQ$1004,1,MATCH(COLUMNS($AO$1006:BA1006),$AO$1006:$BQ$1006,0)))),"Fix")))</f>
        <v>#N/A</v>
      </c>
      <c r="O740" s="5" t="e">
        <f ca="1">IF(OR(INDEX($AI$2:$AI$1001,MATCH(ROWS($AH$2:AH740),$AH$2:$AH$1001,0),1)&gt;=100000,INDEX($AO$1005:$BQ$1005,1,MATCH(COLUMNS($AO$1006:BB1006),$AO$1006:$BQ$1006,0))&gt;=100000), " ",IF(INDEX($AO$2:$BQ$1001,MATCH(ROWS($AH$2:AH740),$AH$2:$AH$1001,0),MATCH(COLUMNS($AO$1006:BB1006),$AO$1006:$BQ$1006,0)), HYPERLINK("#",""), HYPERLINK(CONCATENATE("#Metadata!", ADDRESS(INDEX($AJ$2:$AJ$1001,MATCH(ROWS($AH$2:AH740),$AH$2:$AH$1001,0),0), INDEX($AO$1004:$BQ$1004,1,MATCH(COLUMNS($AO$1006:BB1006),$AO$1006:$BQ$1006,0)))),"Fix")))</f>
        <v>#N/A</v>
      </c>
      <c r="P740" s="5" t="e">
        <f ca="1">IF(OR(INDEX($AI$2:$AI$1001,MATCH(ROWS($AH$2:AH740),$AH$2:$AH$1001,0),1)&gt;=100000,INDEX($AO$1005:$BQ$1005,1,MATCH(COLUMNS($AO$1006:BC1006),$AO$1006:$BQ$1006,0))&gt;=100000), " ",IF(INDEX($AO$2:$BQ$1001,MATCH(ROWS($AH$2:AH740),$AH$2:$AH$1001,0),MATCH(COLUMNS($AO$1006:BC1006),$AO$1006:$BQ$1006,0)), HYPERLINK("#",""), HYPERLINK(CONCATENATE("#Metadata!", ADDRESS(INDEX($AJ$2:$AJ$1001,MATCH(ROWS($AH$2:AH740),$AH$2:$AH$1001,0),0), INDEX($AO$1004:$BQ$1004,1,MATCH(COLUMNS($AO$1006:BC1006),$AO$1006:$BQ$1006,0)))),"Fix")))</f>
        <v>#N/A</v>
      </c>
      <c r="Q740" s="5" t="e">
        <f ca="1">IF(OR(INDEX($AI$2:$AI$1001,MATCH(ROWS($AH$2:AH740),$AH$2:$AH$1001,0),1)&gt;=100000,INDEX($AO$1005:$BQ$1005,1,MATCH(COLUMNS($AO$1006:BD1006),$AO$1006:$BQ$1006,0))&gt;=100000), " ",IF(INDEX($AO$2:$BQ$1001,MATCH(ROWS($AH$2:AH740),$AH$2:$AH$1001,0),MATCH(COLUMNS($AO$1006:BD1006),$AO$1006:$BQ$1006,0)), HYPERLINK("#",""), HYPERLINK(CONCATENATE("#Metadata!", ADDRESS(INDEX($AJ$2:$AJ$1001,MATCH(ROWS($AH$2:AH740),$AH$2:$AH$1001,0),0), INDEX($AO$1004:$BQ$1004,1,MATCH(COLUMNS($AO$1006:BD1006),$AO$1006:$BQ$1006,0)))),"Fix")))</f>
        <v>#N/A</v>
      </c>
      <c r="R740" s="5" t="e">
        <f ca="1">IF(OR(INDEX($AI$2:$AI$1001,MATCH(ROWS($AH$2:AH740),$AH$2:$AH$1001,0),1)&gt;=100000,INDEX($AO$1005:$BQ$1005,1,MATCH(COLUMNS($AO$1006:BE1006),$AO$1006:$BQ$1006,0))&gt;=100000), " ",IF(INDEX($AO$2:$BQ$1001,MATCH(ROWS($AH$2:AH740),$AH$2:$AH$1001,0),MATCH(COLUMNS($AO$1006:BE1006),$AO$1006:$BQ$1006,0)), HYPERLINK("#",""), HYPERLINK(CONCATENATE("#Metadata!", ADDRESS(INDEX($AJ$2:$AJ$1001,MATCH(ROWS($AH$2:AH740),$AH$2:$AH$1001,0),0), INDEX($AO$1004:$BQ$1004,1,MATCH(COLUMNS($AO$1006:BE1006),$AO$1006:$BQ$1006,0)))),"Fix")))</f>
        <v>#N/A</v>
      </c>
      <c r="S740" s="5" t="e">
        <f ca="1">IF(OR(INDEX($AI$2:$AI$1001,MATCH(ROWS($AH$2:AH740),$AH$2:$AH$1001,0),1)&gt;=100000,INDEX($AO$1005:$BQ$1005,1,MATCH(COLUMNS($AO$1006:BF1006),$AO$1006:$BQ$1006,0))&gt;=100000), " ",IF(INDEX($AO$2:$BQ$1001,MATCH(ROWS($AH$2:AH740),$AH$2:$AH$1001,0),MATCH(COLUMNS($AO$1006:BF1006),$AO$1006:$BQ$1006,0)), HYPERLINK("#",""), HYPERLINK(CONCATENATE("#Metadata!", ADDRESS(INDEX($AJ$2:$AJ$1001,MATCH(ROWS($AH$2:AH740),$AH$2:$AH$1001,0),0), INDEX($AO$1004:$BQ$1004,1,MATCH(COLUMNS($AO$1006:BF1006),$AO$1006:$BQ$1006,0)))),"Fix")))</f>
        <v>#N/A</v>
      </c>
      <c r="T740" s="5" t="e">
        <f ca="1">IF(OR(INDEX($AI$2:$AI$1001,MATCH(ROWS($AH$2:AH740),$AH$2:$AH$1001,0),1)&gt;=100000,INDEX($AO$1005:$BQ$1005,1,MATCH(COLUMNS($AO$1006:BG1006),$AO$1006:$BQ$1006,0))&gt;=100000), " ",IF(INDEX($AO$2:$BQ$1001,MATCH(ROWS($AH$2:AH740),$AH$2:$AH$1001,0),MATCH(COLUMNS($AO$1006:BG1006),$AO$1006:$BQ$1006,0)), HYPERLINK("#",""), HYPERLINK(CONCATENATE("#Metadata!", ADDRESS(INDEX($AJ$2:$AJ$1001,MATCH(ROWS($AH$2:AH740),$AH$2:$AH$1001,0),0), INDEX($AO$1004:$BQ$1004,1,MATCH(COLUMNS($AO$1006:BG1006),$AO$1006:$BQ$1006,0)))),"Fix")))</f>
        <v>#N/A</v>
      </c>
      <c r="U740" s="5" t="e">
        <f ca="1">IF(OR(INDEX($AI$2:$AI$1001,MATCH(ROWS($AH$2:AH740),$AH$2:$AH$1001,0),1)&gt;=100000,INDEX($AO$1005:$BQ$1005,1,MATCH(COLUMNS($AO$1006:BH1006),$AO$1006:$BQ$1006,0))&gt;=100000), " ",IF(INDEX($AO$2:$BQ$1001,MATCH(ROWS($AH$2:AH740),$AH$2:$AH$1001,0),MATCH(COLUMNS($AO$1006:BH1006),$AO$1006:$BQ$1006,0)), HYPERLINK("#",""), HYPERLINK(CONCATENATE("#Metadata!", ADDRESS(INDEX($AJ$2:$AJ$1001,MATCH(ROWS($AH$2:AH740),$AH$2:$AH$1001,0),0), INDEX($AO$1004:$BQ$1004,1,MATCH(COLUMNS($AO$1006:BH1006),$AO$1006:$BQ$1006,0)))),"Fix")))</f>
        <v>#N/A</v>
      </c>
      <c r="V740" s="5" t="e">
        <f ca="1">IF(OR(INDEX($AI$2:$AI$1001,MATCH(ROWS($AH$2:AH740),$AH$2:$AH$1001,0),1)&gt;=100000,INDEX($AO$1005:$BQ$1005,1,MATCH(COLUMNS($AO$1006:BI1006),$AO$1006:$BQ$1006,0))&gt;=100000), " ",IF(INDEX($AO$2:$BQ$1001,MATCH(ROWS($AH$2:AH740),$AH$2:$AH$1001,0),MATCH(COLUMNS($AO$1006:BI1006),$AO$1006:$BQ$1006,0)), HYPERLINK("#",""), HYPERLINK(CONCATENATE("#Metadata!", ADDRESS(INDEX($AJ$2:$AJ$1001,MATCH(ROWS($AH$2:AH740),$AH$2:$AH$1001,0),0), INDEX($AO$1004:$BQ$1004,1,MATCH(COLUMNS($AO$1006:BI1006),$AO$1006:$BQ$1006,0)))),"Fix")))</f>
        <v>#N/A</v>
      </c>
      <c r="W740" s="5" t="e">
        <f ca="1">IF(OR(INDEX($AI$2:$AI$1001,MATCH(ROWS($AH$2:AH740),$AH$2:$AH$1001,0),1)&gt;=100000,INDEX($AO$1005:$BQ$1005,1,MATCH(COLUMNS($AO$1006:BJ1006),$AO$1006:$BQ$1006,0))&gt;=100000), " ",IF(INDEX($AO$2:$BQ$1001,MATCH(ROWS($AH$2:AH740),$AH$2:$AH$1001,0),MATCH(COLUMNS($AO$1006:BJ1006),$AO$1006:$BQ$1006,0)), HYPERLINK("#",""), HYPERLINK(CONCATENATE("#Metadata!", ADDRESS(INDEX($AJ$2:$AJ$1001,MATCH(ROWS($AH$2:AH740),$AH$2:$AH$1001,0),0), INDEX($AO$1004:$BQ$1004,1,MATCH(COLUMNS($AO$1006:BJ1006),$AO$1006:$BQ$1006,0)))),"Fix")))</f>
        <v>#N/A</v>
      </c>
      <c r="X740" s="5" t="e">
        <f ca="1">IF(OR(INDEX($AI$2:$AI$1001,MATCH(ROWS($AH$2:AH740),$AH$2:$AH$1001,0),1)&gt;=100000,INDEX($AO$1005:$BQ$1005,1,MATCH(COLUMNS($AO$1006:BK1006),$AO$1006:$BQ$1006,0))&gt;=100000), " ",IF(INDEX($AO$2:$BQ$1001,MATCH(ROWS($AH$2:AH740),$AH$2:$AH$1001,0),MATCH(COLUMNS($AO$1006:BK1006),$AO$1006:$BQ$1006,0)), HYPERLINK("#",""), HYPERLINK(CONCATENATE("#Metadata!", ADDRESS(INDEX($AJ$2:$AJ$1001,MATCH(ROWS($AH$2:AH740),$AH$2:$AH$1001,0),0), INDEX($AO$1004:$BQ$1004,1,MATCH(COLUMNS($AO$1006:BK1006),$AO$1006:$BQ$1006,0)))),"Fix")))</f>
        <v>#N/A</v>
      </c>
      <c r="Y740" s="5" t="e">
        <f ca="1">IF(OR(INDEX($AI$2:$AI$1001,MATCH(ROWS($AH$2:AH740),$AH$2:$AH$1001,0),1)&gt;=100000,INDEX($AO$1005:$BQ$1005,1,MATCH(COLUMNS($AO$1006:BL1006),$AO$1006:$BQ$1006,0))&gt;=100000), " ",IF(INDEX($AO$2:$BQ$1001,MATCH(ROWS($AH$2:AH740),$AH$2:$AH$1001,0),MATCH(COLUMNS($AO$1006:BL1006),$AO$1006:$BQ$1006,0)), HYPERLINK("#",""), HYPERLINK(CONCATENATE("#Metadata!", ADDRESS(INDEX($AJ$2:$AJ$1001,MATCH(ROWS($AH$2:AH740),$AH$2:$AH$1001,0),0), INDEX($AO$1004:$BQ$1004,1,MATCH(COLUMNS($AO$1006:BL1006),$AO$1006:$BQ$1006,0)))),"Fix")))</f>
        <v>#N/A</v>
      </c>
      <c r="Z740" s="5" t="e">
        <f ca="1">IF(OR(INDEX($AI$2:$AI$1001,MATCH(ROWS($AH$2:AH740),$AH$2:$AH$1001,0),1)&gt;=100000,INDEX($AO$1005:$BQ$1005,1,MATCH(COLUMNS($AO$1006:BM1006),$AO$1006:$BQ$1006,0))&gt;=100000), " ",IF(INDEX($AO$2:$BQ$1001,MATCH(ROWS($AH$2:AH740),$AH$2:$AH$1001,0),MATCH(COLUMNS($AO$1006:BM1006),$AO$1006:$BQ$1006,0)), HYPERLINK("#",""), HYPERLINK(CONCATENATE("#Metadata!", ADDRESS(INDEX($AJ$2:$AJ$1001,MATCH(ROWS($AH$2:AH740),$AH$2:$AH$1001,0),0), INDEX($AO$1004:$BQ$1004,1,MATCH(COLUMNS($AO$1006:BM1006),$AO$1006:$BQ$1006,0)))),"Fix")))</f>
        <v>#N/A</v>
      </c>
      <c r="AA740" s="5" t="e">
        <f ca="1">IF(OR(INDEX($AI$2:$AI$1001,MATCH(ROWS($AH$2:AH740),$AH$2:$AH$1001,0),1)&gt;=100000,INDEX($AO$1005:$BQ$1005,1,MATCH(COLUMNS($AO$1006:BN1006),$AO$1006:$BQ$1006,0))&gt;=100000), " ",IF(INDEX($AO$2:$BQ$1001,MATCH(ROWS($AH$2:AH740),$AH$2:$AH$1001,0),MATCH(COLUMNS($AO$1006:BN1006),$AO$1006:$BQ$1006,0)), HYPERLINK("#",""), HYPERLINK(CONCATENATE("#Metadata!", ADDRESS(INDEX($AJ$2:$AJ$1001,MATCH(ROWS($AH$2:AH740),$AH$2:$AH$1001,0),0), INDEX($AO$1004:$BQ$1004,1,MATCH(COLUMNS($AO$1006:BN1006),$AO$1006:$BQ$1006,0)))),"Fix")))</f>
        <v>#N/A</v>
      </c>
      <c r="AB740" s="5" t="e">
        <f ca="1">IF(OR(INDEX($AI$2:$AI$1001,MATCH(ROWS($AH$2:AH740),$AH$2:$AH$1001,0),1)&gt;=100000,INDEX($AO$1005:$BQ$1005,1,MATCH(COLUMNS($AO$1006:BO1006),$AO$1006:$BQ$1006,0))&gt;=100000), " ",IF(INDEX($AO$2:$BQ$1001,MATCH(ROWS($AH$2:AH740),$AH$2:$AH$1001,0),MATCH(COLUMNS($AO$1006:BO1006),$AO$1006:$BQ$1006,0)), HYPERLINK("#",""), HYPERLINK(CONCATENATE("#Metadata!", ADDRESS(INDEX($AJ$2:$AJ$1001,MATCH(ROWS($AH$2:AH740),$AH$2:$AH$1001,0),0), INDEX($AO$1004:$BQ$1004,1,MATCH(COLUMNS($AO$1006:BO1006),$AO$1006:$BQ$1006,0)))),"Fix")))</f>
        <v>#N/A</v>
      </c>
      <c r="AC740" s="5" t="e">
        <f ca="1">IF(OR(INDEX($AI$2:$AI$1001,MATCH(ROWS($AH$2:AH740),$AH$2:$AH$1001,0),1)&gt;=100000,INDEX($AO$1005:$BQ$1005,1,MATCH(COLUMNS($AO$1006:BP1006),$AO$1006:$BQ$1006,0))&gt;=100000), " ",IF(INDEX($AO$2:$BQ$1001,MATCH(ROWS($AH$2:AH740),$AH$2:$AH$1001,0),MATCH(COLUMNS($AO$1006:BP1006),$AO$1006:$BQ$1006,0)), HYPERLINK("#",""), HYPERLINK(CONCATENATE("#Metadata!", ADDRESS(INDEX($AJ$2:$AJ$1001,MATCH(ROWS($AH$2:AH740),$AH$2:$AH$1001,0),0), INDEX($AO$1004:$BQ$1004,1,MATCH(COLUMNS($AO$1006:BP1006),$AO$1006:$BQ$1006,0)))),"Fix")))</f>
        <v>#N/A</v>
      </c>
      <c r="AD740" s="5" t="e">
        <f ca="1">IF(OR(INDEX($AI$2:$AI$1001,MATCH(ROWS($AH$2:AH740),$AH$2:$AH$1001,0),1)&gt;=100000,INDEX($AO$1005:$BQ$1005,1,MATCH(COLUMNS($AO$1006:BQ1006),$AO$1006:$BQ$1006,0))&gt;=100000), " ",IF(INDEX($AO$2:$BQ$1001,MATCH(ROWS($AH$2:AH740),$AH$2:$AH$1001,0),MATCH(COLUMNS($AO$1006:BQ1006),$AO$1006:$BQ$1006,0)), HYPERLINK("#",""), HYPERLINK(CONCATENATE("#Metadata!", ADDRESS(INDEX($AJ$2:$AJ$1001,MATCH(ROWS($AH$2:AH740),$AH$2:$AH$1001,0),0), INDEX($AO$1004:$BQ$1004,1,MATCH(COLUMNS($AO$1006:BQ1006),$AO$1006:$BQ$1006,0)))),"Fix")))</f>
        <v>#REF!</v>
      </c>
      <c r="AH740">
        <f ca="1"/>
        <v>737</v>
      </c>
      <c r="AI740">
        <v>100740</v>
      </c>
      <c r="AJ740">
        <v>740</v>
      </c>
      <c r="AK740" t="b">
        <f t="shared" si="11"/>
        <v>1</v>
      </c>
      <c r="AL740" t="b">
        <f>COUNTBLANK(Metadata!B740:AD740)=COLUMNS(Metadata!B740:AD740)</f>
        <v>1</v>
      </c>
      <c r="AM740" t="str">
        <v/>
      </c>
      <c r="AO740" t="b">
        <f ca="1">AND(IF(Metadata!B740="",FALSE,TRUE),COUNTIF(Metadata!B:B, Metadata!B740) = 1,NOT(ISERROR(SUMPRODUCT(SEARCH(MID(Metadata!B740,ROW(INDIRECT("1:"&amp;LEN(Metadata!B740))), 1),"0123456789abcdefghijklmnopqrstuvwxyzABCDEFGHIJKLMNOPQRSTUVWXYZ.")))))</f>
        <v>0</v>
      </c>
      <c r="AP740" t="b">
        <f>IF(Metadata!C740="",FALSE,TRUE)</f>
        <v>0</v>
      </c>
      <c r="AQ740" t="b">
        <f>IF(Metadata!D740="",FALSE,TRUE)</f>
        <v>0</v>
      </c>
      <c r="AR740" t="b">
        <f ca="1">OR(AND(IF(Metadata!E740="",FALSE,TRUE),OR(EXACT(Metadata!E740,"not collected"),EXACT(Metadata!E740,"not provided"),EXACT(Metadata!E740,"restricted access"))),AND(IF(Metadata!E740="",FALSE,TRUE),AND(AND(IFERROR(INT(LEFT(Metadata!E740,4))&gt;1900,FALSE),IFERROR(INT(LEFT(Metadata!E740,4))&lt;=YEAR(NOW()),FALSE)), OR(MID(Metadata!E740,5,1)="", AND(AND(MID(Metadata!E740,5,1)="-",IFERROR(INT(MID(Metadata!E740,6,1))&gt;=0,FALSE),IFERROR(INT(MID(Metadata!E740,6,1))&lt;=1,FALSE),NOT(MID(Metadata!E740,7,1)=""),IFERROR(INT(MID(Metadata!E740,6,2))&gt;=1,FALSE),IFERROR(INT(MID(Metadata!E740,6,2))&lt;=12,FALSE)), OR(MID(Metadata!E740,8,1)="", AND(AND(MID(Metadata!E740,8,1)="-",IFERROR(INT(MID(Metadata!E740,9,1))&gt;=0,FALSE),IFERROR(INT(MID(Metadata!E740,9,1))&lt;=3,FALSE),NOT(MID(Metadata!E740,10,1)=""),IFERROR(INT(MID(Metadata!E740,9,2))&gt;=1,FALSE),IFERROR(INT(MID(Metadata!E740,9,2))&lt;=31,FALSE)), OR(MID(Metadata!E740,11,1)="", AND(AND(MID(Metadata!E740,11,1)=" ",IFERROR(INT(MID(Metadata!E740,12,1))&gt;=0,FALSE),IFERROR(INT(MID(Metadata!E740,12,1))&lt;=2,FALSE),NOT(MID(Metadata!E740,13,1)=""),IFERROR(INT(MID(Metadata!E740,12,2))&gt;=0,FALSE),IFERROR(INT(MID(Metadata!E740,12,2))&lt;=23,FALSE)), OR(MID(Metadata!E740,14,1)="", AND(AND(MID(Metadata!E740,14,1)=":",IFERROR(INT(MID(Metadata!E740,15,1))&gt;=0,FALSE),IFERROR(INT(MID(Metadata!E740,15,1))&lt;=5,FALSE),NOT(MID(Metadata!E740,16,1)=""),IFERROR(INT(MID(Metadata!E740,15,2))&gt;=0,FALSE),IFERROR(INT(MID(Metadata!E740,15,2))&lt;=59,FALSE)), OR(MID(Metadata!E740,17,1)="", AND(AND(MID(Metadata!E740,17,1)=":",IFERROR(INT(MID(Metadata!E740,18,1))&gt;=0,FALSE),IFERROR(INT(MID(Metadata!E740,18,1))&lt;=5,FALSE),NOT(MID(Metadata!E740,19,1)=""),IFERROR(INT(MID(Metadata!E740,18,2))&gt;=0,FALSE),IFERROR(INT(MID(Metadata!E740,18,2))&lt;=59,FALSE)), LEN(Metadata!E740)&lt;=19)))))))))))))</f>
        <v>0</v>
      </c>
      <c r="AS740" t="b">
        <f>IF(Metadata!F740="",FALSE,TRUE)</f>
        <v>0</v>
      </c>
      <c r="AT740" t="b">
        <f>OR(AND(IF(Metadata!G740="",FALSE,TRUE),OR(EXACT(Metadata!G740,"not collected"),EXACT(Metadata!G740,"not provided"))),AND(IF(Metadata!G740="",FALSE,TRUE),OR(EXACT(Metadata!G740,"TRUE"),EXACT(Metadata!G740,"FALSE"))))</f>
        <v>0</v>
      </c>
      <c r="AU740" t="b">
        <f>OR(AND(IF(Metadata!H740="",FALSE,TRUE),OR(EXACT(Metadata!H740,"not collected"),EXACT(Metadata!H740,"not provided"),EXACT(Metadata!H740,"restricted access"))),AND(IF(Metadata!H740="",FALSE,ISNUMBER(VALUE(Metadata!H740))),Metadata!H740&gt;=-413))</f>
        <v>0</v>
      </c>
      <c r="AV740" t="b">
        <f>AND(IF(Metadata!I740="",FALSE,TRUE),EXACT(Metadata!I740,"meters"))</f>
        <v>0</v>
      </c>
      <c r="AW740" t="b">
        <f>AND(IF(Metadata!J740="",FALSE,TRUE),EXACT(Metadata!J740,"free-living"))</f>
        <v>0</v>
      </c>
      <c r="AX740" t="b">
        <f>AND(IF(Metadata!K740="",FALSE,TRUE),OR(EXACT(Metadata!K740,"saline"),EXACT(Metadata!K740,"non-saline")))</f>
        <v>0</v>
      </c>
      <c r="AY740" t="b">
        <f>AND(IF(Metadata!L740="",FALSE,TRUE),OR(EXACT(Metadata!L740,"sub-surface (non-saline)"),EXACT(Metadata!L740,"surface (non-saline)"),EXACT(Metadata!L740,"water (non-saline)"),EXACT(Metadata!L740,"soil (non-saline)"),EXACT(Metadata!L740,"aerosol (non-saline)"),EXACT(Metadata!L740,"sediment (non-saline)"),EXACT(Metadata!L740,"surface (saline)"),EXACT(Metadata!L740,"water (saline)"),EXACT(Metadata!L740,"hypersaline (saline)"),EXACT(Metadata!L740,"aerosol (saline)"),EXACT(Metadata!L740,"sediment (saline)")))</f>
        <v>0</v>
      </c>
      <c r="AZ740" t="b">
        <f>IF(Metadata!M740="",FALSE,TRUE)</f>
        <v>0</v>
      </c>
      <c r="BA740" t="b">
        <f>IF(Metadata!N740="",FALSE,TRUE)</f>
        <v>0</v>
      </c>
      <c r="BB740" t="b">
        <f>IF(Metadata!O740="",FALSE,TRUE)</f>
        <v>0</v>
      </c>
      <c r="BC740" t="b">
        <f>AND(IF(Metadata!P740="",FALSE,TRUE),OR(EXACT(Metadata!P740,"air"),EXACT(Metadata!P740,"microbial mat/biofilm"),EXACT(Metadata!P740,"misc environment"),EXACT(Metadata!P740,"sediment"),EXACT(Metadata!P740,"soil"),EXACT(Metadata!P740,"wastewater/sludge"),EXACT(Metadata!P740,"water")))</f>
        <v>0</v>
      </c>
      <c r="BD740" t="b">
        <f>IF(Metadata!Q740="",FALSE,TRUE)</f>
        <v>0</v>
      </c>
      <c r="BE740" t="b">
        <f>IF(Metadata!R740="",FALSE,TRUE)</f>
        <v>0</v>
      </c>
      <c r="BF740" t="b">
        <f>OR(AND(IF(Metadata!S740="",FALSE,TRUE),OR(EXACT(Metadata!S740,"not collected"),EXACT(Metadata!S740,"not provided"),EXACT(Metadata!S740,"restricted access"))),AND(IF(Metadata!S740="",FALSE,ISNUMBER(VALUE(Metadata!S740))),Metadata!S740&gt;=-90,Metadata!S740&lt;=90))</f>
        <v>0</v>
      </c>
      <c r="BG740" t="b">
        <f>AND(IF(Metadata!T740="",FALSE,TRUE),EXACT(Metadata!T740,"Decimal degrees"))</f>
        <v>0</v>
      </c>
      <c r="BH740" t="b">
        <f>OR(AND(IF(Metadata!U740="",FALSE,TRUE),OR(EXACT(Metadata!U740,"not applicable"),EXACT(Metadata!U740,"not collected"))),IF(Metadata!U740="",FALSE,TRUE))</f>
        <v>0</v>
      </c>
      <c r="BI740" t="b">
        <f>OR(AND(IF(Metadata!V740="",FALSE,TRUE),OR(EXACT(Metadata!V740,"not collected"),EXACT(Metadata!V740,"not provided"),EXACT(Metadata!V740,"restricted access"))),AND(IF(Metadata!V740="",FALSE,ISNUMBER(VALUE(Metadata!V740))),Metadata!V740&gt;=-180,Metadata!V740&lt;=180))</f>
        <v>0</v>
      </c>
      <c r="BJ740" t="b">
        <f>AND(IF(Metadata!W740="",FALSE,TRUE),EXACT(Metadata!W740,"Decimal degrees"))</f>
        <v>0</v>
      </c>
      <c r="BK740" t="b">
        <f>IF(Metadata!X740="",FALSE,TRUE)</f>
        <v>0</v>
      </c>
      <c r="BL740" t="b">
        <f>OR(AND(IF(Metadata!Y740="",FALSE,TRUE),OR(EXACT(Metadata!Y740,"not collected"),EXACT(Metadata!Y740,"not provided"),EXACT(Metadata!Y740,"restricted access"))),AND(IF(Metadata!Y740="",FALSE,TRUE),OR(EXACT(Metadata!Y740,"TRUE"),EXACT(Metadata!Y740,"FALSE"))))</f>
        <v>0</v>
      </c>
      <c r="BM740" t="b">
        <f>OR(AND(IF(Metadata!Z740="",FALSE,TRUE),EXACT(Metadata!Z740,"not applicable")),AND(IF(Metadata!Z740="",FALSE,TRUE),OR(EXACT(Metadata!Z740,"beer"),EXACT(Metadata!Z740,"cheese"),EXACT(Metadata!Z740,"fresh water"),EXACT(Metadata!Z740,"marine sediment"),EXACT(Metadata!Z740,"sea water"),EXACT(Metadata!Z740,"sediment"),EXACT(Metadata!Z740,"soil"),EXACT(Metadata!Z740,"waste water"))))</f>
        <v>0</v>
      </c>
      <c r="BN740" t="b">
        <f>AND(IF(Metadata!AA740="",FALSE,TRUE),EXACT(Metadata!AA740,"metagenome"))</f>
        <v>0</v>
      </c>
      <c r="BO740" t="b">
        <f>AND(IF(Metadata!AB740="",FALSE,TRUE),EXACT(Metadata!AB740,"256318"))</f>
        <v>0</v>
      </c>
      <c r="BP740" t="b">
        <f>IF(Metadata!AC740="",FALSE,TRUE)</f>
        <v>0</v>
      </c>
      <c r="BQ740" t="b">
        <f>IF(Metadata!AD740="",FALSE,TRUE)</f>
        <v>0</v>
      </c>
    </row>
    <row r="741" spans="1:69" x14ac:dyDescent="0.2">
      <c r="A741" s="4" t="e">
        <f ca="1">IF(B741=" "," ",HYPERLINK(CONCATENATE("#metadata!",ADDRESS(INDEX($AJ$2:$AJ$1001,MATCH(ROWS($AH$2:AH741),$AH$2:$AH$1001,0),0),2)),INDEX($AM$2:$AM$1001,MATCH(ROWS($AH$2:AH741),$AH$2:$AH$1001,0),0)))</f>
        <v>#N/A</v>
      </c>
      <c r="B741" s="5" t="e">
        <f ca="1">IF(OR(INDEX($AI$2:$AI$1001,MATCH(ROWS($AH$2:AH741),$AH$2:$AH$1001,0),1)&gt;=100000,INDEX($AO$1005:$BQ$1005,1,MATCH(COLUMNS($AO$1006:AO1006),$AO$1006:$BQ$1006,0))&gt;=100000), " ",IF(INDEX($AO$2:$BQ$1001,MATCH(ROWS($AH$2:AH741),$AH$2:$AH$1001,0),MATCH(COLUMNS($AO$1006:AO1006),$AO$1006:$BQ$1006,0)), HYPERLINK("#",""), HYPERLINK(CONCATENATE("#Metadata!", ADDRESS(INDEX($AJ$2:$AJ$1001,MATCH(ROWS($AH$2:AH741),$AH$2:$AH$1001,0),0), INDEX($AO$1004:$BQ$1004,1,MATCH(COLUMNS($AO$1006:AO1006),$AO$1006:$BQ$1006,0)))),"Fix")))</f>
        <v>#N/A</v>
      </c>
      <c r="C741" s="5" t="e">
        <f ca="1">IF(OR(INDEX($AI$2:$AI$1001,MATCH(ROWS($AH$2:AH741),$AH$2:$AH$1001,0),1)&gt;=100000,INDEX($AO$1005:$BQ$1005,1,MATCH(COLUMNS($AO$1006:AP1006),$AO$1006:$BQ$1006,0))&gt;=100000), " ",IF(INDEX($AO$2:$BQ$1001,MATCH(ROWS($AH$2:AH741),$AH$2:$AH$1001,0),MATCH(COLUMNS($AO$1006:AP1006),$AO$1006:$BQ$1006,0)), HYPERLINK("#",""), HYPERLINK(CONCATENATE("#Metadata!", ADDRESS(INDEX($AJ$2:$AJ$1001,MATCH(ROWS($AH$2:AH741),$AH$2:$AH$1001,0),0), INDEX($AO$1004:$BQ$1004,1,MATCH(COLUMNS($AO$1006:AP1006),$AO$1006:$BQ$1006,0)))),"Fix")))</f>
        <v>#N/A</v>
      </c>
      <c r="D741" s="5" t="e">
        <f ca="1">IF(OR(INDEX($AI$2:$AI$1001,MATCH(ROWS($AH$2:AH741),$AH$2:$AH$1001,0),1)&gt;=100000,INDEX($AO$1005:$BQ$1005,1,MATCH(COLUMNS($AO$1006:AQ1006),$AO$1006:$BQ$1006,0))&gt;=100000), " ",IF(INDEX($AO$2:$BQ$1001,MATCH(ROWS($AH$2:AH741),$AH$2:$AH$1001,0),MATCH(COLUMNS($AO$1006:AQ1006),$AO$1006:$BQ$1006,0)), HYPERLINK("#",""), HYPERLINK(CONCATENATE("#Metadata!", ADDRESS(INDEX($AJ$2:$AJ$1001,MATCH(ROWS($AH$2:AH741),$AH$2:$AH$1001,0),0), INDEX($AO$1004:$BQ$1004,1,MATCH(COLUMNS($AO$1006:AQ1006),$AO$1006:$BQ$1006,0)))),"Fix")))</f>
        <v>#N/A</v>
      </c>
      <c r="E741" s="5" t="e">
        <f ca="1">IF(OR(INDEX($AI$2:$AI$1001,MATCH(ROWS($AH$2:AH741),$AH$2:$AH$1001,0),1)&gt;=100000,INDEX($AO$1005:$BQ$1005,1,MATCH(COLUMNS($AO$1006:AR1006),$AO$1006:$BQ$1006,0))&gt;=100000), " ",IF(INDEX($AO$2:$BQ$1001,MATCH(ROWS($AH$2:AH741),$AH$2:$AH$1001,0),MATCH(COLUMNS($AO$1006:AR1006),$AO$1006:$BQ$1006,0)), HYPERLINK("#",""), HYPERLINK(CONCATENATE("#Metadata!", ADDRESS(INDEX($AJ$2:$AJ$1001,MATCH(ROWS($AH$2:AH741),$AH$2:$AH$1001,0),0), INDEX($AO$1004:$BQ$1004,1,MATCH(COLUMNS($AO$1006:AR1006),$AO$1006:$BQ$1006,0)))),"Fix")))</f>
        <v>#N/A</v>
      </c>
      <c r="F741" s="5" t="e">
        <f ca="1">IF(OR(INDEX($AI$2:$AI$1001,MATCH(ROWS($AH$2:AH741),$AH$2:$AH$1001,0),1)&gt;=100000,INDEX($AO$1005:$BQ$1005,1,MATCH(COLUMNS($AO$1006:AS1006),$AO$1006:$BQ$1006,0))&gt;=100000), " ",IF(INDEX($AO$2:$BQ$1001,MATCH(ROWS($AH$2:AH741),$AH$2:$AH$1001,0),MATCH(COLUMNS($AO$1006:AS1006),$AO$1006:$BQ$1006,0)), HYPERLINK("#",""), HYPERLINK(CONCATENATE("#Metadata!", ADDRESS(INDEX($AJ$2:$AJ$1001,MATCH(ROWS($AH$2:AH741),$AH$2:$AH$1001,0),0), INDEX($AO$1004:$BQ$1004,1,MATCH(COLUMNS($AO$1006:AS1006),$AO$1006:$BQ$1006,0)))),"Fix")))</f>
        <v>#N/A</v>
      </c>
      <c r="G741" s="5" t="e">
        <f ca="1">IF(OR(INDEX($AI$2:$AI$1001,MATCH(ROWS($AH$2:AH741),$AH$2:$AH$1001,0),1)&gt;=100000,INDEX($AO$1005:$BQ$1005,1,MATCH(COLUMNS($AO$1006:AT1006),$AO$1006:$BQ$1006,0))&gt;=100000), " ",IF(INDEX($AO$2:$BQ$1001,MATCH(ROWS($AH$2:AH741),$AH$2:$AH$1001,0),MATCH(COLUMNS($AO$1006:AT1006),$AO$1006:$BQ$1006,0)), HYPERLINK("#",""), HYPERLINK(CONCATENATE("#Metadata!", ADDRESS(INDEX($AJ$2:$AJ$1001,MATCH(ROWS($AH$2:AH741),$AH$2:$AH$1001,0),0), INDEX($AO$1004:$BQ$1004,1,MATCH(COLUMNS($AO$1006:AT1006),$AO$1006:$BQ$1006,0)))),"Fix")))</f>
        <v>#N/A</v>
      </c>
      <c r="H741" s="5" t="e">
        <f ca="1">IF(OR(INDEX($AI$2:$AI$1001,MATCH(ROWS($AH$2:AH741),$AH$2:$AH$1001,0),1)&gt;=100000,INDEX($AO$1005:$BQ$1005,1,MATCH(COLUMNS($AO$1006:AU1006),$AO$1006:$BQ$1006,0))&gt;=100000), " ",IF(INDEX($AO$2:$BQ$1001,MATCH(ROWS($AH$2:AH741),$AH$2:$AH$1001,0),MATCH(COLUMNS($AO$1006:AU1006),$AO$1006:$BQ$1006,0)), HYPERLINK("#",""), HYPERLINK(CONCATENATE("#Metadata!", ADDRESS(INDEX($AJ$2:$AJ$1001,MATCH(ROWS($AH$2:AH741),$AH$2:$AH$1001,0),0), INDEX($AO$1004:$BQ$1004,1,MATCH(COLUMNS($AO$1006:AU1006),$AO$1006:$BQ$1006,0)))),"Fix")))</f>
        <v>#N/A</v>
      </c>
      <c r="I741" s="5" t="e">
        <f ca="1">IF(OR(INDEX($AI$2:$AI$1001,MATCH(ROWS($AH$2:AH741),$AH$2:$AH$1001,0),1)&gt;=100000,INDEX($AO$1005:$BQ$1005,1,MATCH(COLUMNS($AO$1006:AV1006),$AO$1006:$BQ$1006,0))&gt;=100000), " ",IF(INDEX($AO$2:$BQ$1001,MATCH(ROWS($AH$2:AH741),$AH$2:$AH$1001,0),MATCH(COLUMNS($AO$1006:AV1006),$AO$1006:$BQ$1006,0)), HYPERLINK("#",""), HYPERLINK(CONCATENATE("#Metadata!", ADDRESS(INDEX($AJ$2:$AJ$1001,MATCH(ROWS($AH$2:AH741),$AH$2:$AH$1001,0),0), INDEX($AO$1004:$BQ$1004,1,MATCH(COLUMNS($AO$1006:AV1006),$AO$1006:$BQ$1006,0)))),"Fix")))</f>
        <v>#N/A</v>
      </c>
      <c r="J741" s="5" t="e">
        <f ca="1">IF(OR(INDEX($AI$2:$AI$1001,MATCH(ROWS($AH$2:AH741),$AH$2:$AH$1001,0),1)&gt;=100000,INDEX($AO$1005:$BQ$1005,1,MATCH(COLUMNS($AO$1006:AW1006),$AO$1006:$BQ$1006,0))&gt;=100000), " ",IF(INDEX($AO$2:$BQ$1001,MATCH(ROWS($AH$2:AH741),$AH$2:$AH$1001,0),MATCH(COLUMNS($AO$1006:AW1006),$AO$1006:$BQ$1006,0)), HYPERLINK("#",""), HYPERLINK(CONCATENATE("#Metadata!", ADDRESS(INDEX($AJ$2:$AJ$1001,MATCH(ROWS($AH$2:AH741),$AH$2:$AH$1001,0),0), INDEX($AO$1004:$BQ$1004,1,MATCH(COLUMNS($AO$1006:AW1006),$AO$1006:$BQ$1006,0)))),"Fix")))</f>
        <v>#N/A</v>
      </c>
      <c r="K741" s="5" t="e">
        <f ca="1">IF(OR(INDEX($AI$2:$AI$1001,MATCH(ROWS($AH$2:AH741),$AH$2:$AH$1001,0),1)&gt;=100000,INDEX($AO$1005:$BQ$1005,1,MATCH(COLUMNS($AO$1006:AX1006),$AO$1006:$BQ$1006,0))&gt;=100000), " ",IF(INDEX($AO$2:$BQ$1001,MATCH(ROWS($AH$2:AH741),$AH$2:$AH$1001,0),MATCH(COLUMNS($AO$1006:AX1006),$AO$1006:$BQ$1006,0)), HYPERLINK("#",""), HYPERLINK(CONCATENATE("#Metadata!", ADDRESS(INDEX($AJ$2:$AJ$1001,MATCH(ROWS($AH$2:AH741),$AH$2:$AH$1001,0),0), INDEX($AO$1004:$BQ$1004,1,MATCH(COLUMNS($AO$1006:AX1006),$AO$1006:$BQ$1006,0)))),"Fix")))</f>
        <v>#N/A</v>
      </c>
      <c r="L741" s="5" t="e">
        <f ca="1">IF(OR(INDEX($AI$2:$AI$1001,MATCH(ROWS($AH$2:AH741),$AH$2:$AH$1001,0),1)&gt;=100000,INDEX($AO$1005:$BQ$1005,1,MATCH(COLUMNS($AO$1006:AY1006),$AO$1006:$BQ$1006,0))&gt;=100000), " ",IF(INDEX($AO$2:$BQ$1001,MATCH(ROWS($AH$2:AH741),$AH$2:$AH$1001,0),MATCH(COLUMNS($AO$1006:AY1006),$AO$1006:$BQ$1006,0)), HYPERLINK("#",""), HYPERLINK(CONCATENATE("#Metadata!", ADDRESS(INDEX($AJ$2:$AJ$1001,MATCH(ROWS($AH$2:AH741),$AH$2:$AH$1001,0),0), INDEX($AO$1004:$BQ$1004,1,MATCH(COLUMNS($AO$1006:AY1006),$AO$1006:$BQ$1006,0)))),"Fix")))</f>
        <v>#N/A</v>
      </c>
      <c r="M741" s="5" t="e">
        <f ca="1">IF(OR(INDEX($AI$2:$AI$1001,MATCH(ROWS($AH$2:AH741),$AH$2:$AH$1001,0),1)&gt;=100000,INDEX($AO$1005:$BQ$1005,1,MATCH(COLUMNS($AO$1006:AZ1006),$AO$1006:$BQ$1006,0))&gt;=100000), " ",IF(INDEX($AO$2:$BQ$1001,MATCH(ROWS($AH$2:AH741),$AH$2:$AH$1001,0),MATCH(COLUMNS($AO$1006:AZ1006),$AO$1006:$BQ$1006,0)), HYPERLINK("#",""), HYPERLINK(CONCATENATE("#Metadata!", ADDRESS(INDEX($AJ$2:$AJ$1001,MATCH(ROWS($AH$2:AH741),$AH$2:$AH$1001,0),0), INDEX($AO$1004:$BQ$1004,1,MATCH(COLUMNS($AO$1006:AZ1006),$AO$1006:$BQ$1006,0)))),"Fix")))</f>
        <v>#N/A</v>
      </c>
      <c r="N741" s="5" t="e">
        <f ca="1">IF(OR(INDEX($AI$2:$AI$1001,MATCH(ROWS($AH$2:AH741),$AH$2:$AH$1001,0),1)&gt;=100000,INDEX($AO$1005:$BQ$1005,1,MATCH(COLUMNS($AO$1006:BA1006),$AO$1006:$BQ$1006,0))&gt;=100000), " ",IF(INDEX($AO$2:$BQ$1001,MATCH(ROWS($AH$2:AH741),$AH$2:$AH$1001,0),MATCH(COLUMNS($AO$1006:BA1006),$AO$1006:$BQ$1006,0)), HYPERLINK("#",""), HYPERLINK(CONCATENATE("#Metadata!", ADDRESS(INDEX($AJ$2:$AJ$1001,MATCH(ROWS($AH$2:AH741),$AH$2:$AH$1001,0),0), INDEX($AO$1004:$BQ$1004,1,MATCH(COLUMNS($AO$1006:BA1006),$AO$1006:$BQ$1006,0)))),"Fix")))</f>
        <v>#N/A</v>
      </c>
      <c r="O741" s="5" t="e">
        <f ca="1">IF(OR(INDEX($AI$2:$AI$1001,MATCH(ROWS($AH$2:AH741),$AH$2:$AH$1001,0),1)&gt;=100000,INDEX($AO$1005:$BQ$1005,1,MATCH(COLUMNS($AO$1006:BB1006),$AO$1006:$BQ$1006,0))&gt;=100000), " ",IF(INDEX($AO$2:$BQ$1001,MATCH(ROWS($AH$2:AH741),$AH$2:$AH$1001,0),MATCH(COLUMNS($AO$1006:BB1006),$AO$1006:$BQ$1006,0)), HYPERLINK("#",""), HYPERLINK(CONCATENATE("#Metadata!", ADDRESS(INDEX($AJ$2:$AJ$1001,MATCH(ROWS($AH$2:AH741),$AH$2:$AH$1001,0),0), INDEX($AO$1004:$BQ$1004,1,MATCH(COLUMNS($AO$1006:BB1006),$AO$1006:$BQ$1006,0)))),"Fix")))</f>
        <v>#N/A</v>
      </c>
      <c r="P741" s="5" t="e">
        <f ca="1">IF(OR(INDEX($AI$2:$AI$1001,MATCH(ROWS($AH$2:AH741),$AH$2:$AH$1001,0),1)&gt;=100000,INDEX($AO$1005:$BQ$1005,1,MATCH(COLUMNS($AO$1006:BC1006),$AO$1006:$BQ$1006,0))&gt;=100000), " ",IF(INDEX($AO$2:$BQ$1001,MATCH(ROWS($AH$2:AH741),$AH$2:$AH$1001,0),MATCH(COLUMNS($AO$1006:BC1006),$AO$1006:$BQ$1006,0)), HYPERLINK("#",""), HYPERLINK(CONCATENATE("#Metadata!", ADDRESS(INDEX($AJ$2:$AJ$1001,MATCH(ROWS($AH$2:AH741),$AH$2:$AH$1001,0),0), INDEX($AO$1004:$BQ$1004,1,MATCH(COLUMNS($AO$1006:BC1006),$AO$1006:$BQ$1006,0)))),"Fix")))</f>
        <v>#N/A</v>
      </c>
      <c r="Q741" s="5" t="e">
        <f ca="1">IF(OR(INDEX($AI$2:$AI$1001,MATCH(ROWS($AH$2:AH741),$AH$2:$AH$1001,0),1)&gt;=100000,INDEX($AO$1005:$BQ$1005,1,MATCH(COLUMNS($AO$1006:BD1006),$AO$1006:$BQ$1006,0))&gt;=100000), " ",IF(INDEX($AO$2:$BQ$1001,MATCH(ROWS($AH$2:AH741),$AH$2:$AH$1001,0),MATCH(COLUMNS($AO$1006:BD1006),$AO$1006:$BQ$1006,0)), HYPERLINK("#",""), HYPERLINK(CONCATENATE("#Metadata!", ADDRESS(INDEX($AJ$2:$AJ$1001,MATCH(ROWS($AH$2:AH741),$AH$2:$AH$1001,0),0), INDEX($AO$1004:$BQ$1004,1,MATCH(COLUMNS($AO$1006:BD1006),$AO$1006:$BQ$1006,0)))),"Fix")))</f>
        <v>#N/A</v>
      </c>
      <c r="R741" s="5" t="e">
        <f ca="1">IF(OR(INDEX($AI$2:$AI$1001,MATCH(ROWS($AH$2:AH741),$AH$2:$AH$1001,0),1)&gt;=100000,INDEX($AO$1005:$BQ$1005,1,MATCH(COLUMNS($AO$1006:BE1006),$AO$1006:$BQ$1006,0))&gt;=100000), " ",IF(INDEX($AO$2:$BQ$1001,MATCH(ROWS($AH$2:AH741),$AH$2:$AH$1001,0),MATCH(COLUMNS($AO$1006:BE1006),$AO$1006:$BQ$1006,0)), HYPERLINK("#",""), HYPERLINK(CONCATENATE("#Metadata!", ADDRESS(INDEX($AJ$2:$AJ$1001,MATCH(ROWS($AH$2:AH741),$AH$2:$AH$1001,0),0), INDEX($AO$1004:$BQ$1004,1,MATCH(COLUMNS($AO$1006:BE1006),$AO$1006:$BQ$1006,0)))),"Fix")))</f>
        <v>#N/A</v>
      </c>
      <c r="S741" s="5" t="e">
        <f ca="1">IF(OR(INDEX($AI$2:$AI$1001,MATCH(ROWS($AH$2:AH741),$AH$2:$AH$1001,0),1)&gt;=100000,INDEX($AO$1005:$BQ$1005,1,MATCH(COLUMNS($AO$1006:BF1006),$AO$1006:$BQ$1006,0))&gt;=100000), " ",IF(INDEX($AO$2:$BQ$1001,MATCH(ROWS($AH$2:AH741),$AH$2:$AH$1001,0),MATCH(COLUMNS($AO$1006:BF1006),$AO$1006:$BQ$1006,0)), HYPERLINK("#",""), HYPERLINK(CONCATENATE("#Metadata!", ADDRESS(INDEX($AJ$2:$AJ$1001,MATCH(ROWS($AH$2:AH741),$AH$2:$AH$1001,0),0), INDEX($AO$1004:$BQ$1004,1,MATCH(COLUMNS($AO$1006:BF1006),$AO$1006:$BQ$1006,0)))),"Fix")))</f>
        <v>#N/A</v>
      </c>
      <c r="T741" s="5" t="e">
        <f ca="1">IF(OR(INDEX($AI$2:$AI$1001,MATCH(ROWS($AH$2:AH741),$AH$2:$AH$1001,0),1)&gt;=100000,INDEX($AO$1005:$BQ$1005,1,MATCH(COLUMNS($AO$1006:BG1006),$AO$1006:$BQ$1006,0))&gt;=100000), " ",IF(INDEX($AO$2:$BQ$1001,MATCH(ROWS($AH$2:AH741),$AH$2:$AH$1001,0),MATCH(COLUMNS($AO$1006:BG1006),$AO$1006:$BQ$1006,0)), HYPERLINK("#",""), HYPERLINK(CONCATENATE("#Metadata!", ADDRESS(INDEX($AJ$2:$AJ$1001,MATCH(ROWS($AH$2:AH741),$AH$2:$AH$1001,0),0), INDEX($AO$1004:$BQ$1004,1,MATCH(COLUMNS($AO$1006:BG1006),$AO$1006:$BQ$1006,0)))),"Fix")))</f>
        <v>#N/A</v>
      </c>
      <c r="U741" s="5" t="e">
        <f ca="1">IF(OR(INDEX($AI$2:$AI$1001,MATCH(ROWS($AH$2:AH741),$AH$2:$AH$1001,0),1)&gt;=100000,INDEX($AO$1005:$BQ$1005,1,MATCH(COLUMNS($AO$1006:BH1006),$AO$1006:$BQ$1006,0))&gt;=100000), " ",IF(INDEX($AO$2:$BQ$1001,MATCH(ROWS($AH$2:AH741),$AH$2:$AH$1001,0),MATCH(COLUMNS($AO$1006:BH1006),$AO$1006:$BQ$1006,0)), HYPERLINK("#",""), HYPERLINK(CONCATENATE("#Metadata!", ADDRESS(INDEX($AJ$2:$AJ$1001,MATCH(ROWS($AH$2:AH741),$AH$2:$AH$1001,0),0), INDEX($AO$1004:$BQ$1004,1,MATCH(COLUMNS($AO$1006:BH1006),$AO$1006:$BQ$1006,0)))),"Fix")))</f>
        <v>#N/A</v>
      </c>
      <c r="V741" s="5" t="e">
        <f ca="1">IF(OR(INDEX($AI$2:$AI$1001,MATCH(ROWS($AH$2:AH741),$AH$2:$AH$1001,0),1)&gt;=100000,INDEX($AO$1005:$BQ$1005,1,MATCH(COLUMNS($AO$1006:BI1006),$AO$1006:$BQ$1006,0))&gt;=100000), " ",IF(INDEX($AO$2:$BQ$1001,MATCH(ROWS($AH$2:AH741),$AH$2:$AH$1001,0),MATCH(COLUMNS($AO$1006:BI1006),$AO$1006:$BQ$1006,0)), HYPERLINK("#",""), HYPERLINK(CONCATENATE("#Metadata!", ADDRESS(INDEX($AJ$2:$AJ$1001,MATCH(ROWS($AH$2:AH741),$AH$2:$AH$1001,0),0), INDEX($AO$1004:$BQ$1004,1,MATCH(COLUMNS($AO$1006:BI1006),$AO$1006:$BQ$1006,0)))),"Fix")))</f>
        <v>#N/A</v>
      </c>
      <c r="W741" s="5" t="e">
        <f ca="1">IF(OR(INDEX($AI$2:$AI$1001,MATCH(ROWS($AH$2:AH741),$AH$2:$AH$1001,0),1)&gt;=100000,INDEX($AO$1005:$BQ$1005,1,MATCH(COLUMNS($AO$1006:BJ1006),$AO$1006:$BQ$1006,0))&gt;=100000), " ",IF(INDEX($AO$2:$BQ$1001,MATCH(ROWS($AH$2:AH741),$AH$2:$AH$1001,0),MATCH(COLUMNS($AO$1006:BJ1006),$AO$1006:$BQ$1006,0)), HYPERLINK("#",""), HYPERLINK(CONCATENATE("#Metadata!", ADDRESS(INDEX($AJ$2:$AJ$1001,MATCH(ROWS($AH$2:AH741),$AH$2:$AH$1001,0),0), INDEX($AO$1004:$BQ$1004,1,MATCH(COLUMNS($AO$1006:BJ1006),$AO$1006:$BQ$1006,0)))),"Fix")))</f>
        <v>#N/A</v>
      </c>
      <c r="X741" s="5" t="e">
        <f ca="1">IF(OR(INDEX($AI$2:$AI$1001,MATCH(ROWS($AH$2:AH741),$AH$2:$AH$1001,0),1)&gt;=100000,INDEX($AO$1005:$BQ$1005,1,MATCH(COLUMNS($AO$1006:BK1006),$AO$1006:$BQ$1006,0))&gt;=100000), " ",IF(INDEX($AO$2:$BQ$1001,MATCH(ROWS($AH$2:AH741),$AH$2:$AH$1001,0),MATCH(COLUMNS($AO$1006:BK1006),$AO$1006:$BQ$1006,0)), HYPERLINK("#",""), HYPERLINK(CONCATENATE("#Metadata!", ADDRESS(INDEX($AJ$2:$AJ$1001,MATCH(ROWS($AH$2:AH741),$AH$2:$AH$1001,0),0), INDEX($AO$1004:$BQ$1004,1,MATCH(COLUMNS($AO$1006:BK1006),$AO$1006:$BQ$1006,0)))),"Fix")))</f>
        <v>#N/A</v>
      </c>
      <c r="Y741" s="5" t="e">
        <f ca="1">IF(OR(INDEX($AI$2:$AI$1001,MATCH(ROWS($AH$2:AH741),$AH$2:$AH$1001,0),1)&gt;=100000,INDEX($AO$1005:$BQ$1005,1,MATCH(COLUMNS($AO$1006:BL1006),$AO$1006:$BQ$1006,0))&gt;=100000), " ",IF(INDEX($AO$2:$BQ$1001,MATCH(ROWS($AH$2:AH741),$AH$2:$AH$1001,0),MATCH(COLUMNS($AO$1006:BL1006),$AO$1006:$BQ$1006,0)), HYPERLINK("#",""), HYPERLINK(CONCATENATE("#Metadata!", ADDRESS(INDEX($AJ$2:$AJ$1001,MATCH(ROWS($AH$2:AH741),$AH$2:$AH$1001,0),0), INDEX($AO$1004:$BQ$1004,1,MATCH(COLUMNS($AO$1006:BL1006),$AO$1006:$BQ$1006,0)))),"Fix")))</f>
        <v>#N/A</v>
      </c>
      <c r="Z741" s="5" t="e">
        <f ca="1">IF(OR(INDEX($AI$2:$AI$1001,MATCH(ROWS($AH$2:AH741),$AH$2:$AH$1001,0),1)&gt;=100000,INDEX($AO$1005:$BQ$1005,1,MATCH(COLUMNS($AO$1006:BM1006),$AO$1006:$BQ$1006,0))&gt;=100000), " ",IF(INDEX($AO$2:$BQ$1001,MATCH(ROWS($AH$2:AH741),$AH$2:$AH$1001,0),MATCH(COLUMNS($AO$1006:BM1006),$AO$1006:$BQ$1006,0)), HYPERLINK("#",""), HYPERLINK(CONCATENATE("#Metadata!", ADDRESS(INDEX($AJ$2:$AJ$1001,MATCH(ROWS($AH$2:AH741),$AH$2:$AH$1001,0),0), INDEX($AO$1004:$BQ$1004,1,MATCH(COLUMNS($AO$1006:BM1006),$AO$1006:$BQ$1006,0)))),"Fix")))</f>
        <v>#N/A</v>
      </c>
      <c r="AA741" s="5" t="e">
        <f ca="1">IF(OR(INDEX($AI$2:$AI$1001,MATCH(ROWS($AH$2:AH741),$AH$2:$AH$1001,0),1)&gt;=100000,INDEX($AO$1005:$BQ$1005,1,MATCH(COLUMNS($AO$1006:BN1006),$AO$1006:$BQ$1006,0))&gt;=100000), " ",IF(INDEX($AO$2:$BQ$1001,MATCH(ROWS($AH$2:AH741),$AH$2:$AH$1001,0),MATCH(COLUMNS($AO$1006:BN1006),$AO$1006:$BQ$1006,0)), HYPERLINK("#",""), HYPERLINK(CONCATENATE("#Metadata!", ADDRESS(INDEX($AJ$2:$AJ$1001,MATCH(ROWS($AH$2:AH741),$AH$2:$AH$1001,0),0), INDEX($AO$1004:$BQ$1004,1,MATCH(COLUMNS($AO$1006:BN1006),$AO$1006:$BQ$1006,0)))),"Fix")))</f>
        <v>#N/A</v>
      </c>
      <c r="AB741" s="5" t="e">
        <f ca="1">IF(OR(INDEX($AI$2:$AI$1001,MATCH(ROWS($AH$2:AH741),$AH$2:$AH$1001,0),1)&gt;=100000,INDEX($AO$1005:$BQ$1005,1,MATCH(COLUMNS($AO$1006:BO1006),$AO$1006:$BQ$1006,0))&gt;=100000), " ",IF(INDEX($AO$2:$BQ$1001,MATCH(ROWS($AH$2:AH741),$AH$2:$AH$1001,0),MATCH(COLUMNS($AO$1006:BO1006),$AO$1006:$BQ$1006,0)), HYPERLINK("#",""), HYPERLINK(CONCATENATE("#Metadata!", ADDRESS(INDEX($AJ$2:$AJ$1001,MATCH(ROWS($AH$2:AH741),$AH$2:$AH$1001,0),0), INDEX($AO$1004:$BQ$1004,1,MATCH(COLUMNS($AO$1006:BO1006),$AO$1006:$BQ$1006,0)))),"Fix")))</f>
        <v>#N/A</v>
      </c>
      <c r="AC741" s="5" t="e">
        <f ca="1">IF(OR(INDEX($AI$2:$AI$1001,MATCH(ROWS($AH$2:AH741),$AH$2:$AH$1001,0),1)&gt;=100000,INDEX($AO$1005:$BQ$1005,1,MATCH(COLUMNS($AO$1006:BP1006),$AO$1006:$BQ$1006,0))&gt;=100000), " ",IF(INDEX($AO$2:$BQ$1001,MATCH(ROWS($AH$2:AH741),$AH$2:$AH$1001,0),MATCH(COLUMNS($AO$1006:BP1006),$AO$1006:$BQ$1006,0)), HYPERLINK("#",""), HYPERLINK(CONCATENATE("#Metadata!", ADDRESS(INDEX($AJ$2:$AJ$1001,MATCH(ROWS($AH$2:AH741),$AH$2:$AH$1001,0),0), INDEX($AO$1004:$BQ$1004,1,MATCH(COLUMNS($AO$1006:BP1006),$AO$1006:$BQ$1006,0)))),"Fix")))</f>
        <v>#N/A</v>
      </c>
      <c r="AD741" s="5" t="e">
        <f ca="1">IF(OR(INDEX($AI$2:$AI$1001,MATCH(ROWS($AH$2:AH741),$AH$2:$AH$1001,0),1)&gt;=100000,INDEX($AO$1005:$BQ$1005,1,MATCH(COLUMNS($AO$1006:BQ1006),$AO$1006:$BQ$1006,0))&gt;=100000), " ",IF(INDEX($AO$2:$BQ$1001,MATCH(ROWS($AH$2:AH741),$AH$2:$AH$1001,0),MATCH(COLUMNS($AO$1006:BQ1006),$AO$1006:$BQ$1006,0)), HYPERLINK("#",""), HYPERLINK(CONCATENATE("#Metadata!", ADDRESS(INDEX($AJ$2:$AJ$1001,MATCH(ROWS($AH$2:AH741),$AH$2:$AH$1001,0),0), INDEX($AO$1004:$BQ$1004,1,MATCH(COLUMNS($AO$1006:BQ1006),$AO$1006:$BQ$1006,0)))),"Fix")))</f>
        <v>#REF!</v>
      </c>
      <c r="AH741">
        <f ca="1"/>
        <v>738</v>
      </c>
      <c r="AI741">
        <v>100741</v>
      </c>
      <c r="AJ741">
        <v>741</v>
      </c>
      <c r="AK741" t="b">
        <f t="shared" si="11"/>
        <v>1</v>
      </c>
      <c r="AL741" t="b">
        <f>COUNTBLANK(Metadata!B741:AD741)=COLUMNS(Metadata!B741:AD741)</f>
        <v>1</v>
      </c>
      <c r="AM741" t="str">
        <v/>
      </c>
      <c r="AO741" t="b">
        <f ca="1">AND(IF(Metadata!B741="",FALSE,TRUE),COUNTIF(Metadata!B:B, Metadata!B741) = 1,NOT(ISERROR(SUMPRODUCT(SEARCH(MID(Metadata!B741,ROW(INDIRECT("1:"&amp;LEN(Metadata!B741))), 1),"0123456789abcdefghijklmnopqrstuvwxyzABCDEFGHIJKLMNOPQRSTUVWXYZ.")))))</f>
        <v>0</v>
      </c>
      <c r="AP741" t="b">
        <f>IF(Metadata!C741="",FALSE,TRUE)</f>
        <v>0</v>
      </c>
      <c r="AQ741" t="b">
        <f>IF(Metadata!D741="",FALSE,TRUE)</f>
        <v>0</v>
      </c>
      <c r="AR741" t="b">
        <f ca="1">OR(AND(IF(Metadata!E741="",FALSE,TRUE),OR(EXACT(Metadata!E741,"not collected"),EXACT(Metadata!E741,"not provided"),EXACT(Metadata!E741,"restricted access"))),AND(IF(Metadata!E741="",FALSE,TRUE),AND(AND(IFERROR(INT(LEFT(Metadata!E741,4))&gt;1900,FALSE),IFERROR(INT(LEFT(Metadata!E741,4))&lt;=YEAR(NOW()),FALSE)), OR(MID(Metadata!E741,5,1)="", AND(AND(MID(Metadata!E741,5,1)="-",IFERROR(INT(MID(Metadata!E741,6,1))&gt;=0,FALSE),IFERROR(INT(MID(Metadata!E741,6,1))&lt;=1,FALSE),NOT(MID(Metadata!E741,7,1)=""),IFERROR(INT(MID(Metadata!E741,6,2))&gt;=1,FALSE),IFERROR(INT(MID(Metadata!E741,6,2))&lt;=12,FALSE)), OR(MID(Metadata!E741,8,1)="", AND(AND(MID(Metadata!E741,8,1)="-",IFERROR(INT(MID(Metadata!E741,9,1))&gt;=0,FALSE),IFERROR(INT(MID(Metadata!E741,9,1))&lt;=3,FALSE),NOT(MID(Metadata!E741,10,1)=""),IFERROR(INT(MID(Metadata!E741,9,2))&gt;=1,FALSE),IFERROR(INT(MID(Metadata!E741,9,2))&lt;=31,FALSE)), OR(MID(Metadata!E741,11,1)="", AND(AND(MID(Metadata!E741,11,1)=" ",IFERROR(INT(MID(Metadata!E741,12,1))&gt;=0,FALSE),IFERROR(INT(MID(Metadata!E741,12,1))&lt;=2,FALSE),NOT(MID(Metadata!E741,13,1)=""),IFERROR(INT(MID(Metadata!E741,12,2))&gt;=0,FALSE),IFERROR(INT(MID(Metadata!E741,12,2))&lt;=23,FALSE)), OR(MID(Metadata!E741,14,1)="", AND(AND(MID(Metadata!E741,14,1)=":",IFERROR(INT(MID(Metadata!E741,15,1))&gt;=0,FALSE),IFERROR(INT(MID(Metadata!E741,15,1))&lt;=5,FALSE),NOT(MID(Metadata!E741,16,1)=""),IFERROR(INT(MID(Metadata!E741,15,2))&gt;=0,FALSE),IFERROR(INT(MID(Metadata!E741,15,2))&lt;=59,FALSE)), OR(MID(Metadata!E741,17,1)="", AND(AND(MID(Metadata!E741,17,1)=":",IFERROR(INT(MID(Metadata!E741,18,1))&gt;=0,FALSE),IFERROR(INT(MID(Metadata!E741,18,1))&lt;=5,FALSE),NOT(MID(Metadata!E741,19,1)=""),IFERROR(INT(MID(Metadata!E741,18,2))&gt;=0,FALSE),IFERROR(INT(MID(Metadata!E741,18,2))&lt;=59,FALSE)), LEN(Metadata!E741)&lt;=19)))))))))))))</f>
        <v>0</v>
      </c>
      <c r="AS741" t="b">
        <f>IF(Metadata!F741="",FALSE,TRUE)</f>
        <v>0</v>
      </c>
      <c r="AT741" t="b">
        <f>OR(AND(IF(Metadata!G741="",FALSE,TRUE),OR(EXACT(Metadata!G741,"not collected"),EXACT(Metadata!G741,"not provided"))),AND(IF(Metadata!G741="",FALSE,TRUE),OR(EXACT(Metadata!G741,"TRUE"),EXACT(Metadata!G741,"FALSE"))))</f>
        <v>0</v>
      </c>
      <c r="AU741" t="b">
        <f>OR(AND(IF(Metadata!H741="",FALSE,TRUE),OR(EXACT(Metadata!H741,"not collected"),EXACT(Metadata!H741,"not provided"),EXACT(Metadata!H741,"restricted access"))),AND(IF(Metadata!H741="",FALSE,ISNUMBER(VALUE(Metadata!H741))),Metadata!H741&gt;=-413))</f>
        <v>0</v>
      </c>
      <c r="AV741" t="b">
        <f>AND(IF(Metadata!I741="",FALSE,TRUE),EXACT(Metadata!I741,"meters"))</f>
        <v>0</v>
      </c>
      <c r="AW741" t="b">
        <f>AND(IF(Metadata!J741="",FALSE,TRUE),EXACT(Metadata!J741,"free-living"))</f>
        <v>0</v>
      </c>
      <c r="AX741" t="b">
        <f>AND(IF(Metadata!K741="",FALSE,TRUE),OR(EXACT(Metadata!K741,"saline"),EXACT(Metadata!K741,"non-saline")))</f>
        <v>0</v>
      </c>
      <c r="AY741" t="b">
        <f>AND(IF(Metadata!L741="",FALSE,TRUE),OR(EXACT(Metadata!L741,"sub-surface (non-saline)"),EXACT(Metadata!L741,"surface (non-saline)"),EXACT(Metadata!L741,"water (non-saline)"),EXACT(Metadata!L741,"soil (non-saline)"),EXACT(Metadata!L741,"aerosol (non-saline)"),EXACT(Metadata!L741,"sediment (non-saline)"),EXACT(Metadata!L741,"surface (saline)"),EXACT(Metadata!L741,"water (saline)"),EXACT(Metadata!L741,"hypersaline (saline)"),EXACT(Metadata!L741,"aerosol (saline)"),EXACT(Metadata!L741,"sediment (saline)")))</f>
        <v>0</v>
      </c>
      <c r="AZ741" t="b">
        <f>IF(Metadata!M741="",FALSE,TRUE)</f>
        <v>0</v>
      </c>
      <c r="BA741" t="b">
        <f>IF(Metadata!N741="",FALSE,TRUE)</f>
        <v>0</v>
      </c>
      <c r="BB741" t="b">
        <f>IF(Metadata!O741="",FALSE,TRUE)</f>
        <v>0</v>
      </c>
      <c r="BC741" t="b">
        <f>AND(IF(Metadata!P741="",FALSE,TRUE),OR(EXACT(Metadata!P741,"air"),EXACT(Metadata!P741,"microbial mat/biofilm"),EXACT(Metadata!P741,"misc environment"),EXACT(Metadata!P741,"sediment"),EXACT(Metadata!P741,"soil"),EXACT(Metadata!P741,"wastewater/sludge"),EXACT(Metadata!P741,"water")))</f>
        <v>0</v>
      </c>
      <c r="BD741" t="b">
        <f>IF(Metadata!Q741="",FALSE,TRUE)</f>
        <v>0</v>
      </c>
      <c r="BE741" t="b">
        <f>IF(Metadata!R741="",FALSE,TRUE)</f>
        <v>0</v>
      </c>
      <c r="BF741" t="b">
        <f>OR(AND(IF(Metadata!S741="",FALSE,TRUE),OR(EXACT(Metadata!S741,"not collected"),EXACT(Metadata!S741,"not provided"),EXACT(Metadata!S741,"restricted access"))),AND(IF(Metadata!S741="",FALSE,ISNUMBER(VALUE(Metadata!S741))),Metadata!S741&gt;=-90,Metadata!S741&lt;=90))</f>
        <v>0</v>
      </c>
      <c r="BG741" t="b">
        <f>AND(IF(Metadata!T741="",FALSE,TRUE),EXACT(Metadata!T741,"Decimal degrees"))</f>
        <v>0</v>
      </c>
      <c r="BH741" t="b">
        <f>OR(AND(IF(Metadata!U741="",FALSE,TRUE),OR(EXACT(Metadata!U741,"not applicable"),EXACT(Metadata!U741,"not collected"))),IF(Metadata!U741="",FALSE,TRUE))</f>
        <v>0</v>
      </c>
      <c r="BI741" t="b">
        <f>OR(AND(IF(Metadata!V741="",FALSE,TRUE),OR(EXACT(Metadata!V741,"not collected"),EXACT(Metadata!V741,"not provided"),EXACT(Metadata!V741,"restricted access"))),AND(IF(Metadata!V741="",FALSE,ISNUMBER(VALUE(Metadata!V741))),Metadata!V741&gt;=-180,Metadata!V741&lt;=180))</f>
        <v>0</v>
      </c>
      <c r="BJ741" t="b">
        <f>AND(IF(Metadata!W741="",FALSE,TRUE),EXACT(Metadata!W741,"Decimal degrees"))</f>
        <v>0</v>
      </c>
      <c r="BK741" t="b">
        <f>IF(Metadata!X741="",FALSE,TRUE)</f>
        <v>0</v>
      </c>
      <c r="BL741" t="b">
        <f>OR(AND(IF(Metadata!Y741="",FALSE,TRUE),OR(EXACT(Metadata!Y741,"not collected"),EXACT(Metadata!Y741,"not provided"),EXACT(Metadata!Y741,"restricted access"))),AND(IF(Metadata!Y741="",FALSE,TRUE),OR(EXACT(Metadata!Y741,"TRUE"),EXACT(Metadata!Y741,"FALSE"))))</f>
        <v>0</v>
      </c>
      <c r="BM741" t="b">
        <f>OR(AND(IF(Metadata!Z741="",FALSE,TRUE),EXACT(Metadata!Z741,"not applicable")),AND(IF(Metadata!Z741="",FALSE,TRUE),OR(EXACT(Metadata!Z741,"beer"),EXACT(Metadata!Z741,"cheese"),EXACT(Metadata!Z741,"fresh water"),EXACT(Metadata!Z741,"marine sediment"),EXACT(Metadata!Z741,"sea water"),EXACT(Metadata!Z741,"sediment"),EXACT(Metadata!Z741,"soil"),EXACT(Metadata!Z741,"waste water"))))</f>
        <v>0</v>
      </c>
      <c r="BN741" t="b">
        <f>AND(IF(Metadata!AA741="",FALSE,TRUE),EXACT(Metadata!AA741,"metagenome"))</f>
        <v>0</v>
      </c>
      <c r="BO741" t="b">
        <f>AND(IF(Metadata!AB741="",FALSE,TRUE),EXACT(Metadata!AB741,"256318"))</f>
        <v>0</v>
      </c>
      <c r="BP741" t="b">
        <f>IF(Metadata!AC741="",FALSE,TRUE)</f>
        <v>0</v>
      </c>
      <c r="BQ741" t="b">
        <f>IF(Metadata!AD741="",FALSE,TRUE)</f>
        <v>0</v>
      </c>
    </row>
    <row r="742" spans="1:69" x14ac:dyDescent="0.2">
      <c r="A742" s="4" t="e">
        <f ca="1">IF(B742=" "," ",HYPERLINK(CONCATENATE("#metadata!",ADDRESS(INDEX($AJ$2:$AJ$1001,MATCH(ROWS($AH$2:AH742),$AH$2:$AH$1001,0),0),2)),INDEX($AM$2:$AM$1001,MATCH(ROWS($AH$2:AH742),$AH$2:$AH$1001,0),0)))</f>
        <v>#N/A</v>
      </c>
      <c r="B742" s="5" t="e">
        <f ca="1">IF(OR(INDEX($AI$2:$AI$1001,MATCH(ROWS($AH$2:AH742),$AH$2:$AH$1001,0),1)&gt;=100000,INDEX($AO$1005:$BQ$1005,1,MATCH(COLUMNS($AO$1006:AO1006),$AO$1006:$BQ$1006,0))&gt;=100000), " ",IF(INDEX($AO$2:$BQ$1001,MATCH(ROWS($AH$2:AH742),$AH$2:$AH$1001,0),MATCH(COLUMNS($AO$1006:AO1006),$AO$1006:$BQ$1006,0)), HYPERLINK("#",""), HYPERLINK(CONCATENATE("#Metadata!", ADDRESS(INDEX($AJ$2:$AJ$1001,MATCH(ROWS($AH$2:AH742),$AH$2:$AH$1001,0),0), INDEX($AO$1004:$BQ$1004,1,MATCH(COLUMNS($AO$1006:AO1006),$AO$1006:$BQ$1006,0)))),"Fix")))</f>
        <v>#N/A</v>
      </c>
      <c r="C742" s="5" t="e">
        <f ca="1">IF(OR(INDEX($AI$2:$AI$1001,MATCH(ROWS($AH$2:AH742),$AH$2:$AH$1001,0),1)&gt;=100000,INDEX($AO$1005:$BQ$1005,1,MATCH(COLUMNS($AO$1006:AP1006),$AO$1006:$BQ$1006,0))&gt;=100000), " ",IF(INDEX($AO$2:$BQ$1001,MATCH(ROWS($AH$2:AH742),$AH$2:$AH$1001,0),MATCH(COLUMNS($AO$1006:AP1006),$AO$1006:$BQ$1006,0)), HYPERLINK("#",""), HYPERLINK(CONCATENATE("#Metadata!", ADDRESS(INDEX($AJ$2:$AJ$1001,MATCH(ROWS($AH$2:AH742),$AH$2:$AH$1001,0),0), INDEX($AO$1004:$BQ$1004,1,MATCH(COLUMNS($AO$1006:AP1006),$AO$1006:$BQ$1006,0)))),"Fix")))</f>
        <v>#N/A</v>
      </c>
      <c r="D742" s="5" t="e">
        <f ca="1">IF(OR(INDEX($AI$2:$AI$1001,MATCH(ROWS($AH$2:AH742),$AH$2:$AH$1001,0),1)&gt;=100000,INDEX($AO$1005:$BQ$1005,1,MATCH(COLUMNS($AO$1006:AQ1006),$AO$1006:$BQ$1006,0))&gt;=100000), " ",IF(INDEX($AO$2:$BQ$1001,MATCH(ROWS($AH$2:AH742),$AH$2:$AH$1001,0),MATCH(COLUMNS($AO$1006:AQ1006),$AO$1006:$BQ$1006,0)), HYPERLINK("#",""), HYPERLINK(CONCATENATE("#Metadata!", ADDRESS(INDEX($AJ$2:$AJ$1001,MATCH(ROWS($AH$2:AH742),$AH$2:$AH$1001,0),0), INDEX($AO$1004:$BQ$1004,1,MATCH(COLUMNS($AO$1006:AQ1006),$AO$1006:$BQ$1006,0)))),"Fix")))</f>
        <v>#N/A</v>
      </c>
      <c r="E742" s="5" t="e">
        <f ca="1">IF(OR(INDEX($AI$2:$AI$1001,MATCH(ROWS($AH$2:AH742),$AH$2:$AH$1001,0),1)&gt;=100000,INDEX($AO$1005:$BQ$1005,1,MATCH(COLUMNS($AO$1006:AR1006),$AO$1006:$BQ$1006,0))&gt;=100000), " ",IF(INDEX($AO$2:$BQ$1001,MATCH(ROWS($AH$2:AH742),$AH$2:$AH$1001,0),MATCH(COLUMNS($AO$1006:AR1006),$AO$1006:$BQ$1006,0)), HYPERLINK("#",""), HYPERLINK(CONCATENATE("#Metadata!", ADDRESS(INDEX($AJ$2:$AJ$1001,MATCH(ROWS($AH$2:AH742),$AH$2:$AH$1001,0),0), INDEX($AO$1004:$BQ$1004,1,MATCH(COLUMNS($AO$1006:AR1006),$AO$1006:$BQ$1006,0)))),"Fix")))</f>
        <v>#N/A</v>
      </c>
      <c r="F742" s="5" t="e">
        <f ca="1">IF(OR(INDEX($AI$2:$AI$1001,MATCH(ROWS($AH$2:AH742),$AH$2:$AH$1001,0),1)&gt;=100000,INDEX($AO$1005:$BQ$1005,1,MATCH(COLUMNS($AO$1006:AS1006),$AO$1006:$BQ$1006,0))&gt;=100000), " ",IF(INDEX($AO$2:$BQ$1001,MATCH(ROWS($AH$2:AH742),$AH$2:$AH$1001,0),MATCH(COLUMNS($AO$1006:AS1006),$AO$1006:$BQ$1006,0)), HYPERLINK("#",""), HYPERLINK(CONCATENATE("#Metadata!", ADDRESS(INDEX($AJ$2:$AJ$1001,MATCH(ROWS($AH$2:AH742),$AH$2:$AH$1001,0),0), INDEX($AO$1004:$BQ$1004,1,MATCH(COLUMNS($AO$1006:AS1006),$AO$1006:$BQ$1006,0)))),"Fix")))</f>
        <v>#N/A</v>
      </c>
      <c r="G742" s="5" t="e">
        <f ca="1">IF(OR(INDEX($AI$2:$AI$1001,MATCH(ROWS($AH$2:AH742),$AH$2:$AH$1001,0),1)&gt;=100000,INDEX($AO$1005:$BQ$1005,1,MATCH(COLUMNS($AO$1006:AT1006),$AO$1006:$BQ$1006,0))&gt;=100000), " ",IF(INDEX($AO$2:$BQ$1001,MATCH(ROWS($AH$2:AH742),$AH$2:$AH$1001,0),MATCH(COLUMNS($AO$1006:AT1006),$AO$1006:$BQ$1006,0)), HYPERLINK("#",""), HYPERLINK(CONCATENATE("#Metadata!", ADDRESS(INDEX($AJ$2:$AJ$1001,MATCH(ROWS($AH$2:AH742),$AH$2:$AH$1001,0),0), INDEX($AO$1004:$BQ$1004,1,MATCH(COLUMNS($AO$1006:AT1006),$AO$1006:$BQ$1006,0)))),"Fix")))</f>
        <v>#N/A</v>
      </c>
      <c r="H742" s="5" t="e">
        <f ca="1">IF(OR(INDEX($AI$2:$AI$1001,MATCH(ROWS($AH$2:AH742),$AH$2:$AH$1001,0),1)&gt;=100000,INDEX($AO$1005:$BQ$1005,1,MATCH(COLUMNS($AO$1006:AU1006),$AO$1006:$BQ$1006,0))&gt;=100000), " ",IF(INDEX($AO$2:$BQ$1001,MATCH(ROWS($AH$2:AH742),$AH$2:$AH$1001,0),MATCH(COLUMNS($AO$1006:AU1006),$AO$1006:$BQ$1006,0)), HYPERLINK("#",""), HYPERLINK(CONCATENATE("#Metadata!", ADDRESS(INDEX($AJ$2:$AJ$1001,MATCH(ROWS($AH$2:AH742),$AH$2:$AH$1001,0),0), INDEX($AO$1004:$BQ$1004,1,MATCH(COLUMNS($AO$1006:AU1006),$AO$1006:$BQ$1006,0)))),"Fix")))</f>
        <v>#N/A</v>
      </c>
      <c r="I742" s="5" t="e">
        <f ca="1">IF(OR(INDEX($AI$2:$AI$1001,MATCH(ROWS($AH$2:AH742),$AH$2:$AH$1001,0),1)&gt;=100000,INDEX($AO$1005:$BQ$1005,1,MATCH(COLUMNS($AO$1006:AV1006),$AO$1006:$BQ$1006,0))&gt;=100000), " ",IF(INDEX($AO$2:$BQ$1001,MATCH(ROWS($AH$2:AH742),$AH$2:$AH$1001,0),MATCH(COLUMNS($AO$1006:AV1006),$AO$1006:$BQ$1006,0)), HYPERLINK("#",""), HYPERLINK(CONCATENATE("#Metadata!", ADDRESS(INDEX($AJ$2:$AJ$1001,MATCH(ROWS($AH$2:AH742),$AH$2:$AH$1001,0),0), INDEX($AO$1004:$BQ$1004,1,MATCH(COLUMNS($AO$1006:AV1006),$AO$1006:$BQ$1006,0)))),"Fix")))</f>
        <v>#N/A</v>
      </c>
      <c r="J742" s="5" t="e">
        <f ca="1">IF(OR(INDEX($AI$2:$AI$1001,MATCH(ROWS($AH$2:AH742),$AH$2:$AH$1001,0),1)&gt;=100000,INDEX($AO$1005:$BQ$1005,1,MATCH(COLUMNS($AO$1006:AW1006),$AO$1006:$BQ$1006,0))&gt;=100000), " ",IF(INDEX($AO$2:$BQ$1001,MATCH(ROWS($AH$2:AH742),$AH$2:$AH$1001,0),MATCH(COLUMNS($AO$1006:AW1006),$AO$1006:$BQ$1006,0)), HYPERLINK("#",""), HYPERLINK(CONCATENATE("#Metadata!", ADDRESS(INDEX($AJ$2:$AJ$1001,MATCH(ROWS($AH$2:AH742),$AH$2:$AH$1001,0),0), INDEX($AO$1004:$BQ$1004,1,MATCH(COLUMNS($AO$1006:AW1006),$AO$1006:$BQ$1006,0)))),"Fix")))</f>
        <v>#N/A</v>
      </c>
      <c r="K742" s="5" t="e">
        <f ca="1">IF(OR(INDEX($AI$2:$AI$1001,MATCH(ROWS($AH$2:AH742),$AH$2:$AH$1001,0),1)&gt;=100000,INDEX($AO$1005:$BQ$1005,1,MATCH(COLUMNS($AO$1006:AX1006),$AO$1006:$BQ$1006,0))&gt;=100000), " ",IF(INDEX($AO$2:$BQ$1001,MATCH(ROWS($AH$2:AH742),$AH$2:$AH$1001,0),MATCH(COLUMNS($AO$1006:AX1006),$AO$1006:$BQ$1006,0)), HYPERLINK("#",""), HYPERLINK(CONCATENATE("#Metadata!", ADDRESS(INDEX($AJ$2:$AJ$1001,MATCH(ROWS($AH$2:AH742),$AH$2:$AH$1001,0),0), INDEX($AO$1004:$BQ$1004,1,MATCH(COLUMNS($AO$1006:AX1006),$AO$1006:$BQ$1006,0)))),"Fix")))</f>
        <v>#N/A</v>
      </c>
      <c r="L742" s="5" t="e">
        <f ca="1">IF(OR(INDEX($AI$2:$AI$1001,MATCH(ROWS($AH$2:AH742),$AH$2:$AH$1001,0),1)&gt;=100000,INDEX($AO$1005:$BQ$1005,1,MATCH(COLUMNS($AO$1006:AY1006),$AO$1006:$BQ$1006,0))&gt;=100000), " ",IF(INDEX($AO$2:$BQ$1001,MATCH(ROWS($AH$2:AH742),$AH$2:$AH$1001,0),MATCH(COLUMNS($AO$1006:AY1006),$AO$1006:$BQ$1006,0)), HYPERLINK("#",""), HYPERLINK(CONCATENATE("#Metadata!", ADDRESS(INDEX($AJ$2:$AJ$1001,MATCH(ROWS($AH$2:AH742),$AH$2:$AH$1001,0),0), INDEX($AO$1004:$BQ$1004,1,MATCH(COLUMNS($AO$1006:AY1006),$AO$1006:$BQ$1006,0)))),"Fix")))</f>
        <v>#N/A</v>
      </c>
      <c r="M742" s="5" t="e">
        <f ca="1">IF(OR(INDEX($AI$2:$AI$1001,MATCH(ROWS($AH$2:AH742),$AH$2:$AH$1001,0),1)&gt;=100000,INDEX($AO$1005:$BQ$1005,1,MATCH(COLUMNS($AO$1006:AZ1006),$AO$1006:$BQ$1006,0))&gt;=100000), " ",IF(INDEX($AO$2:$BQ$1001,MATCH(ROWS($AH$2:AH742),$AH$2:$AH$1001,0),MATCH(COLUMNS($AO$1006:AZ1006),$AO$1006:$BQ$1006,0)), HYPERLINK("#",""), HYPERLINK(CONCATENATE("#Metadata!", ADDRESS(INDEX($AJ$2:$AJ$1001,MATCH(ROWS($AH$2:AH742),$AH$2:$AH$1001,0),0), INDEX($AO$1004:$BQ$1004,1,MATCH(COLUMNS($AO$1006:AZ1006),$AO$1006:$BQ$1006,0)))),"Fix")))</f>
        <v>#N/A</v>
      </c>
      <c r="N742" s="5" t="e">
        <f ca="1">IF(OR(INDEX($AI$2:$AI$1001,MATCH(ROWS($AH$2:AH742),$AH$2:$AH$1001,0),1)&gt;=100000,INDEX($AO$1005:$BQ$1005,1,MATCH(COLUMNS($AO$1006:BA1006),$AO$1006:$BQ$1006,0))&gt;=100000), " ",IF(INDEX($AO$2:$BQ$1001,MATCH(ROWS($AH$2:AH742),$AH$2:$AH$1001,0),MATCH(COLUMNS($AO$1006:BA1006),$AO$1006:$BQ$1006,0)), HYPERLINK("#",""), HYPERLINK(CONCATENATE("#Metadata!", ADDRESS(INDEX($AJ$2:$AJ$1001,MATCH(ROWS($AH$2:AH742),$AH$2:$AH$1001,0),0), INDEX($AO$1004:$BQ$1004,1,MATCH(COLUMNS($AO$1006:BA1006),$AO$1006:$BQ$1006,0)))),"Fix")))</f>
        <v>#N/A</v>
      </c>
      <c r="O742" s="5" t="e">
        <f ca="1">IF(OR(INDEX($AI$2:$AI$1001,MATCH(ROWS($AH$2:AH742),$AH$2:$AH$1001,0),1)&gt;=100000,INDEX($AO$1005:$BQ$1005,1,MATCH(COLUMNS($AO$1006:BB1006),$AO$1006:$BQ$1006,0))&gt;=100000), " ",IF(INDEX($AO$2:$BQ$1001,MATCH(ROWS($AH$2:AH742),$AH$2:$AH$1001,0),MATCH(COLUMNS($AO$1006:BB1006),$AO$1006:$BQ$1006,0)), HYPERLINK("#",""), HYPERLINK(CONCATENATE("#Metadata!", ADDRESS(INDEX($AJ$2:$AJ$1001,MATCH(ROWS($AH$2:AH742),$AH$2:$AH$1001,0),0), INDEX($AO$1004:$BQ$1004,1,MATCH(COLUMNS($AO$1006:BB1006),$AO$1006:$BQ$1006,0)))),"Fix")))</f>
        <v>#N/A</v>
      </c>
      <c r="P742" s="5" t="e">
        <f ca="1">IF(OR(INDEX($AI$2:$AI$1001,MATCH(ROWS($AH$2:AH742),$AH$2:$AH$1001,0),1)&gt;=100000,INDEX($AO$1005:$BQ$1005,1,MATCH(COLUMNS($AO$1006:BC1006),$AO$1006:$BQ$1006,0))&gt;=100000), " ",IF(INDEX($AO$2:$BQ$1001,MATCH(ROWS($AH$2:AH742),$AH$2:$AH$1001,0),MATCH(COLUMNS($AO$1006:BC1006),$AO$1006:$BQ$1006,0)), HYPERLINK("#",""), HYPERLINK(CONCATENATE("#Metadata!", ADDRESS(INDEX($AJ$2:$AJ$1001,MATCH(ROWS($AH$2:AH742),$AH$2:$AH$1001,0),0), INDEX($AO$1004:$BQ$1004,1,MATCH(COLUMNS($AO$1006:BC1006),$AO$1006:$BQ$1006,0)))),"Fix")))</f>
        <v>#N/A</v>
      </c>
      <c r="Q742" s="5" t="e">
        <f ca="1">IF(OR(INDEX($AI$2:$AI$1001,MATCH(ROWS($AH$2:AH742),$AH$2:$AH$1001,0),1)&gt;=100000,INDEX($AO$1005:$BQ$1005,1,MATCH(COLUMNS($AO$1006:BD1006),$AO$1006:$BQ$1006,0))&gt;=100000), " ",IF(INDEX($AO$2:$BQ$1001,MATCH(ROWS($AH$2:AH742),$AH$2:$AH$1001,0),MATCH(COLUMNS($AO$1006:BD1006),$AO$1006:$BQ$1006,0)), HYPERLINK("#",""), HYPERLINK(CONCATENATE("#Metadata!", ADDRESS(INDEX($AJ$2:$AJ$1001,MATCH(ROWS($AH$2:AH742),$AH$2:$AH$1001,0),0), INDEX($AO$1004:$BQ$1004,1,MATCH(COLUMNS($AO$1006:BD1006),$AO$1006:$BQ$1006,0)))),"Fix")))</f>
        <v>#N/A</v>
      </c>
      <c r="R742" s="5" t="e">
        <f ca="1">IF(OR(INDEX($AI$2:$AI$1001,MATCH(ROWS($AH$2:AH742),$AH$2:$AH$1001,0),1)&gt;=100000,INDEX($AO$1005:$BQ$1005,1,MATCH(COLUMNS($AO$1006:BE1006),$AO$1006:$BQ$1006,0))&gt;=100000), " ",IF(INDEX($AO$2:$BQ$1001,MATCH(ROWS($AH$2:AH742),$AH$2:$AH$1001,0),MATCH(COLUMNS($AO$1006:BE1006),$AO$1006:$BQ$1006,0)), HYPERLINK("#",""), HYPERLINK(CONCATENATE("#Metadata!", ADDRESS(INDEX($AJ$2:$AJ$1001,MATCH(ROWS($AH$2:AH742),$AH$2:$AH$1001,0),0), INDEX($AO$1004:$BQ$1004,1,MATCH(COLUMNS($AO$1006:BE1006),$AO$1006:$BQ$1006,0)))),"Fix")))</f>
        <v>#N/A</v>
      </c>
      <c r="S742" s="5" t="e">
        <f ca="1">IF(OR(INDEX($AI$2:$AI$1001,MATCH(ROWS($AH$2:AH742),$AH$2:$AH$1001,0),1)&gt;=100000,INDEX($AO$1005:$BQ$1005,1,MATCH(COLUMNS($AO$1006:BF1006),$AO$1006:$BQ$1006,0))&gt;=100000), " ",IF(INDEX($AO$2:$BQ$1001,MATCH(ROWS($AH$2:AH742),$AH$2:$AH$1001,0),MATCH(COLUMNS($AO$1006:BF1006),$AO$1006:$BQ$1006,0)), HYPERLINK("#",""), HYPERLINK(CONCATENATE("#Metadata!", ADDRESS(INDEX($AJ$2:$AJ$1001,MATCH(ROWS($AH$2:AH742),$AH$2:$AH$1001,0),0), INDEX($AO$1004:$BQ$1004,1,MATCH(COLUMNS($AO$1006:BF1006),$AO$1006:$BQ$1006,0)))),"Fix")))</f>
        <v>#N/A</v>
      </c>
      <c r="T742" s="5" t="e">
        <f ca="1">IF(OR(INDEX($AI$2:$AI$1001,MATCH(ROWS($AH$2:AH742),$AH$2:$AH$1001,0),1)&gt;=100000,INDEX($AO$1005:$BQ$1005,1,MATCH(COLUMNS($AO$1006:BG1006),$AO$1006:$BQ$1006,0))&gt;=100000), " ",IF(INDEX($AO$2:$BQ$1001,MATCH(ROWS($AH$2:AH742),$AH$2:$AH$1001,0),MATCH(COLUMNS($AO$1006:BG1006),$AO$1006:$BQ$1006,0)), HYPERLINK("#",""), HYPERLINK(CONCATENATE("#Metadata!", ADDRESS(INDEX($AJ$2:$AJ$1001,MATCH(ROWS($AH$2:AH742),$AH$2:$AH$1001,0),0), INDEX($AO$1004:$BQ$1004,1,MATCH(COLUMNS($AO$1006:BG1006),$AO$1006:$BQ$1006,0)))),"Fix")))</f>
        <v>#N/A</v>
      </c>
      <c r="U742" s="5" t="e">
        <f ca="1">IF(OR(INDEX($AI$2:$AI$1001,MATCH(ROWS($AH$2:AH742),$AH$2:$AH$1001,0),1)&gt;=100000,INDEX($AO$1005:$BQ$1005,1,MATCH(COLUMNS($AO$1006:BH1006),$AO$1006:$BQ$1006,0))&gt;=100000), " ",IF(INDEX($AO$2:$BQ$1001,MATCH(ROWS($AH$2:AH742),$AH$2:$AH$1001,0),MATCH(COLUMNS($AO$1006:BH1006),$AO$1006:$BQ$1006,0)), HYPERLINK("#",""), HYPERLINK(CONCATENATE("#Metadata!", ADDRESS(INDEX($AJ$2:$AJ$1001,MATCH(ROWS($AH$2:AH742),$AH$2:$AH$1001,0),0), INDEX($AO$1004:$BQ$1004,1,MATCH(COLUMNS($AO$1006:BH1006),$AO$1006:$BQ$1006,0)))),"Fix")))</f>
        <v>#N/A</v>
      </c>
      <c r="V742" s="5" t="e">
        <f ca="1">IF(OR(INDEX($AI$2:$AI$1001,MATCH(ROWS($AH$2:AH742),$AH$2:$AH$1001,0),1)&gt;=100000,INDEX($AO$1005:$BQ$1005,1,MATCH(COLUMNS($AO$1006:BI1006),$AO$1006:$BQ$1006,0))&gt;=100000), " ",IF(INDEX($AO$2:$BQ$1001,MATCH(ROWS($AH$2:AH742),$AH$2:$AH$1001,0),MATCH(COLUMNS($AO$1006:BI1006),$AO$1006:$BQ$1006,0)), HYPERLINK("#",""), HYPERLINK(CONCATENATE("#Metadata!", ADDRESS(INDEX($AJ$2:$AJ$1001,MATCH(ROWS($AH$2:AH742),$AH$2:$AH$1001,0),0), INDEX($AO$1004:$BQ$1004,1,MATCH(COLUMNS($AO$1006:BI1006),$AO$1006:$BQ$1006,0)))),"Fix")))</f>
        <v>#N/A</v>
      </c>
      <c r="W742" s="5" t="e">
        <f ca="1">IF(OR(INDEX($AI$2:$AI$1001,MATCH(ROWS($AH$2:AH742),$AH$2:$AH$1001,0),1)&gt;=100000,INDEX($AO$1005:$BQ$1005,1,MATCH(COLUMNS($AO$1006:BJ1006),$AO$1006:$BQ$1006,0))&gt;=100000), " ",IF(INDEX($AO$2:$BQ$1001,MATCH(ROWS($AH$2:AH742),$AH$2:$AH$1001,0),MATCH(COLUMNS($AO$1006:BJ1006),$AO$1006:$BQ$1006,0)), HYPERLINK("#",""), HYPERLINK(CONCATENATE("#Metadata!", ADDRESS(INDEX($AJ$2:$AJ$1001,MATCH(ROWS($AH$2:AH742),$AH$2:$AH$1001,0),0), INDEX($AO$1004:$BQ$1004,1,MATCH(COLUMNS($AO$1006:BJ1006),$AO$1006:$BQ$1006,0)))),"Fix")))</f>
        <v>#N/A</v>
      </c>
      <c r="X742" s="5" t="e">
        <f ca="1">IF(OR(INDEX($AI$2:$AI$1001,MATCH(ROWS($AH$2:AH742),$AH$2:$AH$1001,0),1)&gt;=100000,INDEX($AO$1005:$BQ$1005,1,MATCH(COLUMNS($AO$1006:BK1006),$AO$1006:$BQ$1006,0))&gt;=100000), " ",IF(INDEX($AO$2:$BQ$1001,MATCH(ROWS($AH$2:AH742),$AH$2:$AH$1001,0),MATCH(COLUMNS($AO$1006:BK1006),$AO$1006:$BQ$1006,0)), HYPERLINK("#",""), HYPERLINK(CONCATENATE("#Metadata!", ADDRESS(INDEX($AJ$2:$AJ$1001,MATCH(ROWS($AH$2:AH742),$AH$2:$AH$1001,0),0), INDEX($AO$1004:$BQ$1004,1,MATCH(COLUMNS($AO$1006:BK1006),$AO$1006:$BQ$1006,0)))),"Fix")))</f>
        <v>#N/A</v>
      </c>
      <c r="Y742" s="5" t="e">
        <f ca="1">IF(OR(INDEX($AI$2:$AI$1001,MATCH(ROWS($AH$2:AH742),$AH$2:$AH$1001,0),1)&gt;=100000,INDEX($AO$1005:$BQ$1005,1,MATCH(COLUMNS($AO$1006:BL1006),$AO$1006:$BQ$1006,0))&gt;=100000), " ",IF(INDEX($AO$2:$BQ$1001,MATCH(ROWS($AH$2:AH742),$AH$2:$AH$1001,0),MATCH(COLUMNS($AO$1006:BL1006),$AO$1006:$BQ$1006,0)), HYPERLINK("#",""), HYPERLINK(CONCATENATE("#Metadata!", ADDRESS(INDEX($AJ$2:$AJ$1001,MATCH(ROWS($AH$2:AH742),$AH$2:$AH$1001,0),0), INDEX($AO$1004:$BQ$1004,1,MATCH(COLUMNS($AO$1006:BL1006),$AO$1006:$BQ$1006,0)))),"Fix")))</f>
        <v>#N/A</v>
      </c>
      <c r="Z742" s="5" t="e">
        <f ca="1">IF(OR(INDEX($AI$2:$AI$1001,MATCH(ROWS($AH$2:AH742),$AH$2:$AH$1001,0),1)&gt;=100000,INDEX($AO$1005:$BQ$1005,1,MATCH(COLUMNS($AO$1006:BM1006),$AO$1006:$BQ$1006,0))&gt;=100000), " ",IF(INDEX($AO$2:$BQ$1001,MATCH(ROWS($AH$2:AH742),$AH$2:$AH$1001,0),MATCH(COLUMNS($AO$1006:BM1006),$AO$1006:$BQ$1006,0)), HYPERLINK("#",""), HYPERLINK(CONCATENATE("#Metadata!", ADDRESS(INDEX($AJ$2:$AJ$1001,MATCH(ROWS($AH$2:AH742),$AH$2:$AH$1001,0),0), INDEX($AO$1004:$BQ$1004,1,MATCH(COLUMNS($AO$1006:BM1006),$AO$1006:$BQ$1006,0)))),"Fix")))</f>
        <v>#N/A</v>
      </c>
      <c r="AA742" s="5" t="e">
        <f ca="1">IF(OR(INDEX($AI$2:$AI$1001,MATCH(ROWS($AH$2:AH742),$AH$2:$AH$1001,0),1)&gt;=100000,INDEX($AO$1005:$BQ$1005,1,MATCH(COLUMNS($AO$1006:BN1006),$AO$1006:$BQ$1006,0))&gt;=100000), " ",IF(INDEX($AO$2:$BQ$1001,MATCH(ROWS($AH$2:AH742),$AH$2:$AH$1001,0),MATCH(COLUMNS($AO$1006:BN1006),$AO$1006:$BQ$1006,0)), HYPERLINK("#",""), HYPERLINK(CONCATENATE("#Metadata!", ADDRESS(INDEX($AJ$2:$AJ$1001,MATCH(ROWS($AH$2:AH742),$AH$2:$AH$1001,0),0), INDEX($AO$1004:$BQ$1004,1,MATCH(COLUMNS($AO$1006:BN1006),$AO$1006:$BQ$1006,0)))),"Fix")))</f>
        <v>#N/A</v>
      </c>
      <c r="AB742" s="5" t="e">
        <f ca="1">IF(OR(INDEX($AI$2:$AI$1001,MATCH(ROWS($AH$2:AH742),$AH$2:$AH$1001,0),1)&gt;=100000,INDEX($AO$1005:$BQ$1005,1,MATCH(COLUMNS($AO$1006:BO1006),$AO$1006:$BQ$1006,0))&gt;=100000), " ",IF(INDEX($AO$2:$BQ$1001,MATCH(ROWS($AH$2:AH742),$AH$2:$AH$1001,0),MATCH(COLUMNS($AO$1006:BO1006),$AO$1006:$BQ$1006,0)), HYPERLINK("#",""), HYPERLINK(CONCATENATE("#Metadata!", ADDRESS(INDEX($AJ$2:$AJ$1001,MATCH(ROWS($AH$2:AH742),$AH$2:$AH$1001,0),0), INDEX($AO$1004:$BQ$1004,1,MATCH(COLUMNS($AO$1006:BO1006),$AO$1006:$BQ$1006,0)))),"Fix")))</f>
        <v>#N/A</v>
      </c>
      <c r="AC742" s="5" t="e">
        <f ca="1">IF(OR(INDEX($AI$2:$AI$1001,MATCH(ROWS($AH$2:AH742),$AH$2:$AH$1001,0),1)&gt;=100000,INDEX($AO$1005:$BQ$1005,1,MATCH(COLUMNS($AO$1006:BP1006),$AO$1006:$BQ$1006,0))&gt;=100000), " ",IF(INDEX($AO$2:$BQ$1001,MATCH(ROWS($AH$2:AH742),$AH$2:$AH$1001,0),MATCH(COLUMNS($AO$1006:BP1006),$AO$1006:$BQ$1006,0)), HYPERLINK("#",""), HYPERLINK(CONCATENATE("#Metadata!", ADDRESS(INDEX($AJ$2:$AJ$1001,MATCH(ROWS($AH$2:AH742),$AH$2:$AH$1001,0),0), INDEX($AO$1004:$BQ$1004,1,MATCH(COLUMNS($AO$1006:BP1006),$AO$1006:$BQ$1006,0)))),"Fix")))</f>
        <v>#N/A</v>
      </c>
      <c r="AD742" s="5" t="e">
        <f ca="1">IF(OR(INDEX($AI$2:$AI$1001,MATCH(ROWS($AH$2:AH742),$AH$2:$AH$1001,0),1)&gt;=100000,INDEX($AO$1005:$BQ$1005,1,MATCH(COLUMNS($AO$1006:BQ1006),$AO$1006:$BQ$1006,0))&gt;=100000), " ",IF(INDEX($AO$2:$BQ$1001,MATCH(ROWS($AH$2:AH742),$AH$2:$AH$1001,0),MATCH(COLUMNS($AO$1006:BQ1006),$AO$1006:$BQ$1006,0)), HYPERLINK("#",""), HYPERLINK(CONCATENATE("#Metadata!", ADDRESS(INDEX($AJ$2:$AJ$1001,MATCH(ROWS($AH$2:AH742),$AH$2:$AH$1001,0),0), INDEX($AO$1004:$BQ$1004,1,MATCH(COLUMNS($AO$1006:BQ1006),$AO$1006:$BQ$1006,0)))),"Fix")))</f>
        <v>#REF!</v>
      </c>
      <c r="AH742">
        <f ca="1"/>
        <v>739</v>
      </c>
      <c r="AI742">
        <v>100742</v>
      </c>
      <c r="AJ742">
        <v>742</v>
      </c>
      <c r="AK742" t="b">
        <f t="shared" si="11"/>
        <v>1</v>
      </c>
      <c r="AL742" t="b">
        <f>COUNTBLANK(Metadata!B742:AD742)=COLUMNS(Metadata!B742:AD742)</f>
        <v>1</v>
      </c>
      <c r="AM742" t="str">
        <v/>
      </c>
      <c r="AO742" t="b">
        <f ca="1">AND(IF(Metadata!B742="",FALSE,TRUE),COUNTIF(Metadata!B:B, Metadata!B742) = 1,NOT(ISERROR(SUMPRODUCT(SEARCH(MID(Metadata!B742,ROW(INDIRECT("1:"&amp;LEN(Metadata!B742))), 1),"0123456789abcdefghijklmnopqrstuvwxyzABCDEFGHIJKLMNOPQRSTUVWXYZ.")))))</f>
        <v>0</v>
      </c>
      <c r="AP742" t="b">
        <f>IF(Metadata!C742="",FALSE,TRUE)</f>
        <v>0</v>
      </c>
      <c r="AQ742" t="b">
        <f>IF(Metadata!D742="",FALSE,TRUE)</f>
        <v>0</v>
      </c>
      <c r="AR742" t="b">
        <f ca="1">OR(AND(IF(Metadata!E742="",FALSE,TRUE),OR(EXACT(Metadata!E742,"not collected"),EXACT(Metadata!E742,"not provided"),EXACT(Metadata!E742,"restricted access"))),AND(IF(Metadata!E742="",FALSE,TRUE),AND(AND(IFERROR(INT(LEFT(Metadata!E742,4))&gt;1900,FALSE),IFERROR(INT(LEFT(Metadata!E742,4))&lt;=YEAR(NOW()),FALSE)), OR(MID(Metadata!E742,5,1)="", AND(AND(MID(Metadata!E742,5,1)="-",IFERROR(INT(MID(Metadata!E742,6,1))&gt;=0,FALSE),IFERROR(INT(MID(Metadata!E742,6,1))&lt;=1,FALSE),NOT(MID(Metadata!E742,7,1)=""),IFERROR(INT(MID(Metadata!E742,6,2))&gt;=1,FALSE),IFERROR(INT(MID(Metadata!E742,6,2))&lt;=12,FALSE)), OR(MID(Metadata!E742,8,1)="", AND(AND(MID(Metadata!E742,8,1)="-",IFERROR(INT(MID(Metadata!E742,9,1))&gt;=0,FALSE),IFERROR(INT(MID(Metadata!E742,9,1))&lt;=3,FALSE),NOT(MID(Metadata!E742,10,1)=""),IFERROR(INT(MID(Metadata!E742,9,2))&gt;=1,FALSE),IFERROR(INT(MID(Metadata!E742,9,2))&lt;=31,FALSE)), OR(MID(Metadata!E742,11,1)="", AND(AND(MID(Metadata!E742,11,1)=" ",IFERROR(INT(MID(Metadata!E742,12,1))&gt;=0,FALSE),IFERROR(INT(MID(Metadata!E742,12,1))&lt;=2,FALSE),NOT(MID(Metadata!E742,13,1)=""),IFERROR(INT(MID(Metadata!E742,12,2))&gt;=0,FALSE),IFERROR(INT(MID(Metadata!E742,12,2))&lt;=23,FALSE)), OR(MID(Metadata!E742,14,1)="", AND(AND(MID(Metadata!E742,14,1)=":",IFERROR(INT(MID(Metadata!E742,15,1))&gt;=0,FALSE),IFERROR(INT(MID(Metadata!E742,15,1))&lt;=5,FALSE),NOT(MID(Metadata!E742,16,1)=""),IFERROR(INT(MID(Metadata!E742,15,2))&gt;=0,FALSE),IFERROR(INT(MID(Metadata!E742,15,2))&lt;=59,FALSE)), OR(MID(Metadata!E742,17,1)="", AND(AND(MID(Metadata!E742,17,1)=":",IFERROR(INT(MID(Metadata!E742,18,1))&gt;=0,FALSE),IFERROR(INT(MID(Metadata!E742,18,1))&lt;=5,FALSE),NOT(MID(Metadata!E742,19,1)=""),IFERROR(INT(MID(Metadata!E742,18,2))&gt;=0,FALSE),IFERROR(INT(MID(Metadata!E742,18,2))&lt;=59,FALSE)), LEN(Metadata!E742)&lt;=19)))))))))))))</f>
        <v>0</v>
      </c>
      <c r="AS742" t="b">
        <f>IF(Metadata!F742="",FALSE,TRUE)</f>
        <v>0</v>
      </c>
      <c r="AT742" t="b">
        <f>OR(AND(IF(Metadata!G742="",FALSE,TRUE),OR(EXACT(Metadata!G742,"not collected"),EXACT(Metadata!G742,"not provided"))),AND(IF(Metadata!G742="",FALSE,TRUE),OR(EXACT(Metadata!G742,"TRUE"),EXACT(Metadata!G742,"FALSE"))))</f>
        <v>0</v>
      </c>
      <c r="AU742" t="b">
        <f>OR(AND(IF(Metadata!H742="",FALSE,TRUE),OR(EXACT(Metadata!H742,"not collected"),EXACT(Metadata!H742,"not provided"),EXACT(Metadata!H742,"restricted access"))),AND(IF(Metadata!H742="",FALSE,ISNUMBER(VALUE(Metadata!H742))),Metadata!H742&gt;=-413))</f>
        <v>0</v>
      </c>
      <c r="AV742" t="b">
        <f>AND(IF(Metadata!I742="",FALSE,TRUE),EXACT(Metadata!I742,"meters"))</f>
        <v>0</v>
      </c>
      <c r="AW742" t="b">
        <f>AND(IF(Metadata!J742="",FALSE,TRUE),EXACT(Metadata!J742,"free-living"))</f>
        <v>0</v>
      </c>
      <c r="AX742" t="b">
        <f>AND(IF(Metadata!K742="",FALSE,TRUE),OR(EXACT(Metadata!K742,"saline"),EXACT(Metadata!K742,"non-saline")))</f>
        <v>0</v>
      </c>
      <c r="AY742" t="b">
        <f>AND(IF(Metadata!L742="",FALSE,TRUE),OR(EXACT(Metadata!L742,"sub-surface (non-saline)"),EXACT(Metadata!L742,"surface (non-saline)"),EXACT(Metadata!L742,"water (non-saline)"),EXACT(Metadata!L742,"soil (non-saline)"),EXACT(Metadata!L742,"aerosol (non-saline)"),EXACT(Metadata!L742,"sediment (non-saline)"),EXACT(Metadata!L742,"surface (saline)"),EXACT(Metadata!L742,"water (saline)"),EXACT(Metadata!L742,"hypersaline (saline)"),EXACT(Metadata!L742,"aerosol (saline)"),EXACT(Metadata!L742,"sediment (saline)")))</f>
        <v>0</v>
      </c>
      <c r="AZ742" t="b">
        <f>IF(Metadata!M742="",FALSE,TRUE)</f>
        <v>0</v>
      </c>
      <c r="BA742" t="b">
        <f>IF(Metadata!N742="",FALSE,TRUE)</f>
        <v>0</v>
      </c>
      <c r="BB742" t="b">
        <f>IF(Metadata!O742="",FALSE,TRUE)</f>
        <v>0</v>
      </c>
      <c r="BC742" t="b">
        <f>AND(IF(Metadata!P742="",FALSE,TRUE),OR(EXACT(Metadata!P742,"air"),EXACT(Metadata!P742,"microbial mat/biofilm"),EXACT(Metadata!P742,"misc environment"),EXACT(Metadata!P742,"sediment"),EXACT(Metadata!P742,"soil"),EXACT(Metadata!P742,"wastewater/sludge"),EXACT(Metadata!P742,"water")))</f>
        <v>0</v>
      </c>
      <c r="BD742" t="b">
        <f>IF(Metadata!Q742="",FALSE,TRUE)</f>
        <v>0</v>
      </c>
      <c r="BE742" t="b">
        <f>IF(Metadata!R742="",FALSE,TRUE)</f>
        <v>0</v>
      </c>
      <c r="BF742" t="b">
        <f>OR(AND(IF(Metadata!S742="",FALSE,TRUE),OR(EXACT(Metadata!S742,"not collected"),EXACT(Metadata!S742,"not provided"),EXACT(Metadata!S742,"restricted access"))),AND(IF(Metadata!S742="",FALSE,ISNUMBER(VALUE(Metadata!S742))),Metadata!S742&gt;=-90,Metadata!S742&lt;=90))</f>
        <v>0</v>
      </c>
      <c r="BG742" t="b">
        <f>AND(IF(Metadata!T742="",FALSE,TRUE),EXACT(Metadata!T742,"Decimal degrees"))</f>
        <v>0</v>
      </c>
      <c r="BH742" t="b">
        <f>OR(AND(IF(Metadata!U742="",FALSE,TRUE),OR(EXACT(Metadata!U742,"not applicable"),EXACT(Metadata!U742,"not collected"))),IF(Metadata!U742="",FALSE,TRUE))</f>
        <v>0</v>
      </c>
      <c r="BI742" t="b">
        <f>OR(AND(IF(Metadata!V742="",FALSE,TRUE),OR(EXACT(Metadata!V742,"not collected"),EXACT(Metadata!V742,"not provided"),EXACT(Metadata!V742,"restricted access"))),AND(IF(Metadata!V742="",FALSE,ISNUMBER(VALUE(Metadata!V742))),Metadata!V742&gt;=-180,Metadata!V742&lt;=180))</f>
        <v>0</v>
      </c>
      <c r="BJ742" t="b">
        <f>AND(IF(Metadata!W742="",FALSE,TRUE),EXACT(Metadata!W742,"Decimal degrees"))</f>
        <v>0</v>
      </c>
      <c r="BK742" t="b">
        <f>IF(Metadata!X742="",FALSE,TRUE)</f>
        <v>0</v>
      </c>
      <c r="BL742" t="b">
        <f>OR(AND(IF(Metadata!Y742="",FALSE,TRUE),OR(EXACT(Metadata!Y742,"not collected"),EXACT(Metadata!Y742,"not provided"),EXACT(Metadata!Y742,"restricted access"))),AND(IF(Metadata!Y742="",FALSE,TRUE),OR(EXACT(Metadata!Y742,"TRUE"),EXACT(Metadata!Y742,"FALSE"))))</f>
        <v>0</v>
      </c>
      <c r="BM742" t="b">
        <f>OR(AND(IF(Metadata!Z742="",FALSE,TRUE),EXACT(Metadata!Z742,"not applicable")),AND(IF(Metadata!Z742="",FALSE,TRUE),OR(EXACT(Metadata!Z742,"beer"),EXACT(Metadata!Z742,"cheese"),EXACT(Metadata!Z742,"fresh water"),EXACT(Metadata!Z742,"marine sediment"),EXACT(Metadata!Z742,"sea water"),EXACT(Metadata!Z742,"sediment"),EXACT(Metadata!Z742,"soil"),EXACT(Metadata!Z742,"waste water"))))</f>
        <v>0</v>
      </c>
      <c r="BN742" t="b">
        <f>AND(IF(Metadata!AA742="",FALSE,TRUE),EXACT(Metadata!AA742,"metagenome"))</f>
        <v>0</v>
      </c>
      <c r="BO742" t="b">
        <f>AND(IF(Metadata!AB742="",FALSE,TRUE),EXACT(Metadata!AB742,"256318"))</f>
        <v>0</v>
      </c>
      <c r="BP742" t="b">
        <f>IF(Metadata!AC742="",FALSE,TRUE)</f>
        <v>0</v>
      </c>
      <c r="BQ742" t="b">
        <f>IF(Metadata!AD742="",FALSE,TRUE)</f>
        <v>0</v>
      </c>
    </row>
    <row r="743" spans="1:69" x14ac:dyDescent="0.2">
      <c r="A743" s="4" t="e">
        <f ca="1">IF(B743=" "," ",HYPERLINK(CONCATENATE("#metadata!",ADDRESS(INDEX($AJ$2:$AJ$1001,MATCH(ROWS($AH$2:AH743),$AH$2:$AH$1001,0),0),2)),INDEX($AM$2:$AM$1001,MATCH(ROWS($AH$2:AH743),$AH$2:$AH$1001,0),0)))</f>
        <v>#N/A</v>
      </c>
      <c r="B743" s="5" t="e">
        <f ca="1">IF(OR(INDEX($AI$2:$AI$1001,MATCH(ROWS($AH$2:AH743),$AH$2:$AH$1001,0),1)&gt;=100000,INDEX($AO$1005:$BQ$1005,1,MATCH(COLUMNS($AO$1006:AO1006),$AO$1006:$BQ$1006,0))&gt;=100000), " ",IF(INDEX($AO$2:$BQ$1001,MATCH(ROWS($AH$2:AH743),$AH$2:$AH$1001,0),MATCH(COLUMNS($AO$1006:AO1006),$AO$1006:$BQ$1006,0)), HYPERLINK("#",""), HYPERLINK(CONCATENATE("#Metadata!", ADDRESS(INDEX($AJ$2:$AJ$1001,MATCH(ROWS($AH$2:AH743),$AH$2:$AH$1001,0),0), INDEX($AO$1004:$BQ$1004,1,MATCH(COLUMNS($AO$1006:AO1006),$AO$1006:$BQ$1006,0)))),"Fix")))</f>
        <v>#N/A</v>
      </c>
      <c r="C743" s="5" t="e">
        <f ca="1">IF(OR(INDEX($AI$2:$AI$1001,MATCH(ROWS($AH$2:AH743),$AH$2:$AH$1001,0),1)&gt;=100000,INDEX($AO$1005:$BQ$1005,1,MATCH(COLUMNS($AO$1006:AP1006),$AO$1006:$BQ$1006,0))&gt;=100000), " ",IF(INDEX($AO$2:$BQ$1001,MATCH(ROWS($AH$2:AH743),$AH$2:$AH$1001,0),MATCH(COLUMNS($AO$1006:AP1006),$AO$1006:$BQ$1006,0)), HYPERLINK("#",""), HYPERLINK(CONCATENATE("#Metadata!", ADDRESS(INDEX($AJ$2:$AJ$1001,MATCH(ROWS($AH$2:AH743),$AH$2:$AH$1001,0),0), INDEX($AO$1004:$BQ$1004,1,MATCH(COLUMNS($AO$1006:AP1006),$AO$1006:$BQ$1006,0)))),"Fix")))</f>
        <v>#N/A</v>
      </c>
      <c r="D743" s="5" t="e">
        <f ca="1">IF(OR(INDEX($AI$2:$AI$1001,MATCH(ROWS($AH$2:AH743),$AH$2:$AH$1001,0),1)&gt;=100000,INDEX($AO$1005:$BQ$1005,1,MATCH(COLUMNS($AO$1006:AQ1006),$AO$1006:$BQ$1006,0))&gt;=100000), " ",IF(INDEX($AO$2:$BQ$1001,MATCH(ROWS($AH$2:AH743),$AH$2:$AH$1001,0),MATCH(COLUMNS($AO$1006:AQ1006),$AO$1006:$BQ$1006,0)), HYPERLINK("#",""), HYPERLINK(CONCATENATE("#Metadata!", ADDRESS(INDEX($AJ$2:$AJ$1001,MATCH(ROWS($AH$2:AH743),$AH$2:$AH$1001,0),0), INDEX($AO$1004:$BQ$1004,1,MATCH(COLUMNS($AO$1006:AQ1006),$AO$1006:$BQ$1006,0)))),"Fix")))</f>
        <v>#N/A</v>
      </c>
      <c r="E743" s="5" t="e">
        <f ca="1">IF(OR(INDEX($AI$2:$AI$1001,MATCH(ROWS($AH$2:AH743),$AH$2:$AH$1001,0),1)&gt;=100000,INDEX($AO$1005:$BQ$1005,1,MATCH(COLUMNS($AO$1006:AR1006),$AO$1006:$BQ$1006,0))&gt;=100000), " ",IF(INDEX($AO$2:$BQ$1001,MATCH(ROWS($AH$2:AH743),$AH$2:$AH$1001,0),MATCH(COLUMNS($AO$1006:AR1006),$AO$1006:$BQ$1006,0)), HYPERLINK("#",""), HYPERLINK(CONCATENATE("#Metadata!", ADDRESS(INDEX($AJ$2:$AJ$1001,MATCH(ROWS($AH$2:AH743),$AH$2:$AH$1001,0),0), INDEX($AO$1004:$BQ$1004,1,MATCH(COLUMNS($AO$1006:AR1006),$AO$1006:$BQ$1006,0)))),"Fix")))</f>
        <v>#N/A</v>
      </c>
      <c r="F743" s="5" t="e">
        <f ca="1">IF(OR(INDEX($AI$2:$AI$1001,MATCH(ROWS($AH$2:AH743),$AH$2:$AH$1001,0),1)&gt;=100000,INDEX($AO$1005:$BQ$1005,1,MATCH(COLUMNS($AO$1006:AS1006),$AO$1006:$BQ$1006,0))&gt;=100000), " ",IF(INDEX($AO$2:$BQ$1001,MATCH(ROWS($AH$2:AH743),$AH$2:$AH$1001,0),MATCH(COLUMNS($AO$1006:AS1006),$AO$1006:$BQ$1006,0)), HYPERLINK("#",""), HYPERLINK(CONCATENATE("#Metadata!", ADDRESS(INDEX($AJ$2:$AJ$1001,MATCH(ROWS($AH$2:AH743),$AH$2:$AH$1001,0),0), INDEX($AO$1004:$BQ$1004,1,MATCH(COLUMNS($AO$1006:AS1006),$AO$1006:$BQ$1006,0)))),"Fix")))</f>
        <v>#N/A</v>
      </c>
      <c r="G743" s="5" t="e">
        <f ca="1">IF(OR(INDEX($AI$2:$AI$1001,MATCH(ROWS($AH$2:AH743),$AH$2:$AH$1001,0),1)&gt;=100000,INDEX($AO$1005:$BQ$1005,1,MATCH(COLUMNS($AO$1006:AT1006),$AO$1006:$BQ$1006,0))&gt;=100000), " ",IF(INDEX($AO$2:$BQ$1001,MATCH(ROWS($AH$2:AH743),$AH$2:$AH$1001,0),MATCH(COLUMNS($AO$1006:AT1006),$AO$1006:$BQ$1006,0)), HYPERLINK("#",""), HYPERLINK(CONCATENATE("#Metadata!", ADDRESS(INDEX($AJ$2:$AJ$1001,MATCH(ROWS($AH$2:AH743),$AH$2:$AH$1001,0),0), INDEX($AO$1004:$BQ$1004,1,MATCH(COLUMNS($AO$1006:AT1006),$AO$1006:$BQ$1006,0)))),"Fix")))</f>
        <v>#N/A</v>
      </c>
      <c r="H743" s="5" t="e">
        <f ca="1">IF(OR(INDEX($AI$2:$AI$1001,MATCH(ROWS($AH$2:AH743),$AH$2:$AH$1001,0),1)&gt;=100000,INDEX($AO$1005:$BQ$1005,1,MATCH(COLUMNS($AO$1006:AU1006),$AO$1006:$BQ$1006,0))&gt;=100000), " ",IF(INDEX($AO$2:$BQ$1001,MATCH(ROWS($AH$2:AH743),$AH$2:$AH$1001,0),MATCH(COLUMNS($AO$1006:AU1006),$AO$1006:$BQ$1006,0)), HYPERLINK("#",""), HYPERLINK(CONCATENATE("#Metadata!", ADDRESS(INDEX($AJ$2:$AJ$1001,MATCH(ROWS($AH$2:AH743),$AH$2:$AH$1001,0),0), INDEX($AO$1004:$BQ$1004,1,MATCH(COLUMNS($AO$1006:AU1006),$AO$1006:$BQ$1006,0)))),"Fix")))</f>
        <v>#N/A</v>
      </c>
      <c r="I743" s="5" t="e">
        <f ca="1">IF(OR(INDEX($AI$2:$AI$1001,MATCH(ROWS($AH$2:AH743),$AH$2:$AH$1001,0),1)&gt;=100000,INDEX($AO$1005:$BQ$1005,1,MATCH(COLUMNS($AO$1006:AV1006),$AO$1006:$BQ$1006,0))&gt;=100000), " ",IF(INDEX($AO$2:$BQ$1001,MATCH(ROWS($AH$2:AH743),$AH$2:$AH$1001,0),MATCH(COLUMNS($AO$1006:AV1006),$AO$1006:$BQ$1006,0)), HYPERLINK("#",""), HYPERLINK(CONCATENATE("#Metadata!", ADDRESS(INDEX($AJ$2:$AJ$1001,MATCH(ROWS($AH$2:AH743),$AH$2:$AH$1001,0),0), INDEX($AO$1004:$BQ$1004,1,MATCH(COLUMNS($AO$1006:AV1006),$AO$1006:$BQ$1006,0)))),"Fix")))</f>
        <v>#N/A</v>
      </c>
      <c r="J743" s="5" t="e">
        <f ca="1">IF(OR(INDEX($AI$2:$AI$1001,MATCH(ROWS($AH$2:AH743),$AH$2:$AH$1001,0),1)&gt;=100000,INDEX($AO$1005:$BQ$1005,1,MATCH(COLUMNS($AO$1006:AW1006),$AO$1006:$BQ$1006,0))&gt;=100000), " ",IF(INDEX($AO$2:$BQ$1001,MATCH(ROWS($AH$2:AH743),$AH$2:$AH$1001,0),MATCH(COLUMNS($AO$1006:AW1006),$AO$1006:$BQ$1006,0)), HYPERLINK("#",""), HYPERLINK(CONCATENATE("#Metadata!", ADDRESS(INDEX($AJ$2:$AJ$1001,MATCH(ROWS($AH$2:AH743),$AH$2:$AH$1001,0),0), INDEX($AO$1004:$BQ$1004,1,MATCH(COLUMNS($AO$1006:AW1006),$AO$1006:$BQ$1006,0)))),"Fix")))</f>
        <v>#N/A</v>
      </c>
      <c r="K743" s="5" t="e">
        <f ca="1">IF(OR(INDEX($AI$2:$AI$1001,MATCH(ROWS($AH$2:AH743),$AH$2:$AH$1001,0),1)&gt;=100000,INDEX($AO$1005:$BQ$1005,1,MATCH(COLUMNS($AO$1006:AX1006),$AO$1006:$BQ$1006,0))&gt;=100000), " ",IF(INDEX($AO$2:$BQ$1001,MATCH(ROWS($AH$2:AH743),$AH$2:$AH$1001,0),MATCH(COLUMNS($AO$1006:AX1006),$AO$1006:$BQ$1006,0)), HYPERLINK("#",""), HYPERLINK(CONCATENATE("#Metadata!", ADDRESS(INDEX($AJ$2:$AJ$1001,MATCH(ROWS($AH$2:AH743),$AH$2:$AH$1001,0),0), INDEX($AO$1004:$BQ$1004,1,MATCH(COLUMNS($AO$1006:AX1006),$AO$1006:$BQ$1006,0)))),"Fix")))</f>
        <v>#N/A</v>
      </c>
      <c r="L743" s="5" t="e">
        <f ca="1">IF(OR(INDEX($AI$2:$AI$1001,MATCH(ROWS($AH$2:AH743),$AH$2:$AH$1001,0),1)&gt;=100000,INDEX($AO$1005:$BQ$1005,1,MATCH(COLUMNS($AO$1006:AY1006),$AO$1006:$BQ$1006,0))&gt;=100000), " ",IF(INDEX($AO$2:$BQ$1001,MATCH(ROWS($AH$2:AH743),$AH$2:$AH$1001,0),MATCH(COLUMNS($AO$1006:AY1006),$AO$1006:$BQ$1006,0)), HYPERLINK("#",""), HYPERLINK(CONCATENATE("#Metadata!", ADDRESS(INDEX($AJ$2:$AJ$1001,MATCH(ROWS($AH$2:AH743),$AH$2:$AH$1001,0),0), INDEX($AO$1004:$BQ$1004,1,MATCH(COLUMNS($AO$1006:AY1006),$AO$1006:$BQ$1006,0)))),"Fix")))</f>
        <v>#N/A</v>
      </c>
      <c r="M743" s="5" t="e">
        <f ca="1">IF(OR(INDEX($AI$2:$AI$1001,MATCH(ROWS($AH$2:AH743),$AH$2:$AH$1001,0),1)&gt;=100000,INDEX($AO$1005:$BQ$1005,1,MATCH(COLUMNS($AO$1006:AZ1006),$AO$1006:$BQ$1006,0))&gt;=100000), " ",IF(INDEX($AO$2:$BQ$1001,MATCH(ROWS($AH$2:AH743),$AH$2:$AH$1001,0),MATCH(COLUMNS($AO$1006:AZ1006),$AO$1006:$BQ$1006,0)), HYPERLINK("#",""), HYPERLINK(CONCATENATE("#Metadata!", ADDRESS(INDEX($AJ$2:$AJ$1001,MATCH(ROWS($AH$2:AH743),$AH$2:$AH$1001,0),0), INDEX($AO$1004:$BQ$1004,1,MATCH(COLUMNS($AO$1006:AZ1006),$AO$1006:$BQ$1006,0)))),"Fix")))</f>
        <v>#N/A</v>
      </c>
      <c r="N743" s="5" t="e">
        <f ca="1">IF(OR(INDEX($AI$2:$AI$1001,MATCH(ROWS($AH$2:AH743),$AH$2:$AH$1001,0),1)&gt;=100000,INDEX($AO$1005:$BQ$1005,1,MATCH(COLUMNS($AO$1006:BA1006),$AO$1006:$BQ$1006,0))&gt;=100000), " ",IF(INDEX($AO$2:$BQ$1001,MATCH(ROWS($AH$2:AH743),$AH$2:$AH$1001,0),MATCH(COLUMNS($AO$1006:BA1006),$AO$1006:$BQ$1006,0)), HYPERLINK("#",""), HYPERLINK(CONCATENATE("#Metadata!", ADDRESS(INDEX($AJ$2:$AJ$1001,MATCH(ROWS($AH$2:AH743),$AH$2:$AH$1001,0),0), INDEX($AO$1004:$BQ$1004,1,MATCH(COLUMNS($AO$1006:BA1006),$AO$1006:$BQ$1006,0)))),"Fix")))</f>
        <v>#N/A</v>
      </c>
      <c r="O743" s="5" t="e">
        <f ca="1">IF(OR(INDEX($AI$2:$AI$1001,MATCH(ROWS($AH$2:AH743),$AH$2:$AH$1001,0),1)&gt;=100000,INDEX($AO$1005:$BQ$1005,1,MATCH(COLUMNS($AO$1006:BB1006),$AO$1006:$BQ$1006,0))&gt;=100000), " ",IF(INDEX($AO$2:$BQ$1001,MATCH(ROWS($AH$2:AH743),$AH$2:$AH$1001,0),MATCH(COLUMNS($AO$1006:BB1006),$AO$1006:$BQ$1006,0)), HYPERLINK("#",""), HYPERLINK(CONCATENATE("#Metadata!", ADDRESS(INDEX($AJ$2:$AJ$1001,MATCH(ROWS($AH$2:AH743),$AH$2:$AH$1001,0),0), INDEX($AO$1004:$BQ$1004,1,MATCH(COLUMNS($AO$1006:BB1006),$AO$1006:$BQ$1006,0)))),"Fix")))</f>
        <v>#N/A</v>
      </c>
      <c r="P743" s="5" t="e">
        <f ca="1">IF(OR(INDEX($AI$2:$AI$1001,MATCH(ROWS($AH$2:AH743),$AH$2:$AH$1001,0),1)&gt;=100000,INDEX($AO$1005:$BQ$1005,1,MATCH(COLUMNS($AO$1006:BC1006),$AO$1006:$BQ$1006,0))&gt;=100000), " ",IF(INDEX($AO$2:$BQ$1001,MATCH(ROWS($AH$2:AH743),$AH$2:$AH$1001,0),MATCH(COLUMNS($AO$1006:BC1006),$AO$1006:$BQ$1006,0)), HYPERLINK("#",""), HYPERLINK(CONCATENATE("#Metadata!", ADDRESS(INDEX($AJ$2:$AJ$1001,MATCH(ROWS($AH$2:AH743),$AH$2:$AH$1001,0),0), INDEX($AO$1004:$BQ$1004,1,MATCH(COLUMNS($AO$1006:BC1006),$AO$1006:$BQ$1006,0)))),"Fix")))</f>
        <v>#N/A</v>
      </c>
      <c r="Q743" s="5" t="e">
        <f ca="1">IF(OR(INDEX($AI$2:$AI$1001,MATCH(ROWS($AH$2:AH743),$AH$2:$AH$1001,0),1)&gt;=100000,INDEX($AO$1005:$BQ$1005,1,MATCH(COLUMNS($AO$1006:BD1006),$AO$1006:$BQ$1006,0))&gt;=100000), " ",IF(INDEX($AO$2:$BQ$1001,MATCH(ROWS($AH$2:AH743),$AH$2:$AH$1001,0),MATCH(COLUMNS($AO$1006:BD1006),$AO$1006:$BQ$1006,0)), HYPERLINK("#",""), HYPERLINK(CONCATENATE("#Metadata!", ADDRESS(INDEX($AJ$2:$AJ$1001,MATCH(ROWS($AH$2:AH743),$AH$2:$AH$1001,0),0), INDEX($AO$1004:$BQ$1004,1,MATCH(COLUMNS($AO$1006:BD1006),$AO$1006:$BQ$1006,0)))),"Fix")))</f>
        <v>#N/A</v>
      </c>
      <c r="R743" s="5" t="e">
        <f ca="1">IF(OR(INDEX($AI$2:$AI$1001,MATCH(ROWS($AH$2:AH743),$AH$2:$AH$1001,0),1)&gt;=100000,INDEX($AO$1005:$BQ$1005,1,MATCH(COLUMNS($AO$1006:BE1006),$AO$1006:$BQ$1006,0))&gt;=100000), " ",IF(INDEX($AO$2:$BQ$1001,MATCH(ROWS($AH$2:AH743),$AH$2:$AH$1001,0),MATCH(COLUMNS($AO$1006:BE1006),$AO$1006:$BQ$1006,0)), HYPERLINK("#",""), HYPERLINK(CONCATENATE("#Metadata!", ADDRESS(INDEX($AJ$2:$AJ$1001,MATCH(ROWS($AH$2:AH743),$AH$2:$AH$1001,0),0), INDEX($AO$1004:$BQ$1004,1,MATCH(COLUMNS($AO$1006:BE1006),$AO$1006:$BQ$1006,0)))),"Fix")))</f>
        <v>#N/A</v>
      </c>
      <c r="S743" s="5" t="e">
        <f ca="1">IF(OR(INDEX($AI$2:$AI$1001,MATCH(ROWS($AH$2:AH743),$AH$2:$AH$1001,0),1)&gt;=100000,INDEX($AO$1005:$BQ$1005,1,MATCH(COLUMNS($AO$1006:BF1006),$AO$1006:$BQ$1006,0))&gt;=100000), " ",IF(INDEX($AO$2:$BQ$1001,MATCH(ROWS($AH$2:AH743),$AH$2:$AH$1001,0),MATCH(COLUMNS($AO$1006:BF1006),$AO$1006:$BQ$1006,0)), HYPERLINK("#",""), HYPERLINK(CONCATENATE("#Metadata!", ADDRESS(INDEX($AJ$2:$AJ$1001,MATCH(ROWS($AH$2:AH743),$AH$2:$AH$1001,0),0), INDEX($AO$1004:$BQ$1004,1,MATCH(COLUMNS($AO$1006:BF1006),$AO$1006:$BQ$1006,0)))),"Fix")))</f>
        <v>#N/A</v>
      </c>
      <c r="T743" s="5" t="e">
        <f ca="1">IF(OR(INDEX($AI$2:$AI$1001,MATCH(ROWS($AH$2:AH743),$AH$2:$AH$1001,0),1)&gt;=100000,INDEX($AO$1005:$BQ$1005,1,MATCH(COLUMNS($AO$1006:BG1006),$AO$1006:$BQ$1006,0))&gt;=100000), " ",IF(INDEX($AO$2:$BQ$1001,MATCH(ROWS($AH$2:AH743),$AH$2:$AH$1001,0),MATCH(COLUMNS($AO$1006:BG1006),$AO$1006:$BQ$1006,0)), HYPERLINK("#",""), HYPERLINK(CONCATENATE("#Metadata!", ADDRESS(INDEX($AJ$2:$AJ$1001,MATCH(ROWS($AH$2:AH743),$AH$2:$AH$1001,0),0), INDEX($AO$1004:$BQ$1004,1,MATCH(COLUMNS($AO$1006:BG1006),$AO$1006:$BQ$1006,0)))),"Fix")))</f>
        <v>#N/A</v>
      </c>
      <c r="U743" s="5" t="e">
        <f ca="1">IF(OR(INDEX($AI$2:$AI$1001,MATCH(ROWS($AH$2:AH743),$AH$2:$AH$1001,0),1)&gt;=100000,INDEX($AO$1005:$BQ$1005,1,MATCH(COLUMNS($AO$1006:BH1006),$AO$1006:$BQ$1006,0))&gt;=100000), " ",IF(INDEX($AO$2:$BQ$1001,MATCH(ROWS($AH$2:AH743),$AH$2:$AH$1001,0),MATCH(COLUMNS($AO$1006:BH1006),$AO$1006:$BQ$1006,0)), HYPERLINK("#",""), HYPERLINK(CONCATENATE("#Metadata!", ADDRESS(INDEX($AJ$2:$AJ$1001,MATCH(ROWS($AH$2:AH743),$AH$2:$AH$1001,0),0), INDEX($AO$1004:$BQ$1004,1,MATCH(COLUMNS($AO$1006:BH1006),$AO$1006:$BQ$1006,0)))),"Fix")))</f>
        <v>#N/A</v>
      </c>
      <c r="V743" s="5" t="e">
        <f ca="1">IF(OR(INDEX($AI$2:$AI$1001,MATCH(ROWS($AH$2:AH743),$AH$2:$AH$1001,0),1)&gt;=100000,INDEX($AO$1005:$BQ$1005,1,MATCH(COLUMNS($AO$1006:BI1006),$AO$1006:$BQ$1006,0))&gt;=100000), " ",IF(INDEX($AO$2:$BQ$1001,MATCH(ROWS($AH$2:AH743),$AH$2:$AH$1001,0),MATCH(COLUMNS($AO$1006:BI1006),$AO$1006:$BQ$1006,0)), HYPERLINK("#",""), HYPERLINK(CONCATENATE("#Metadata!", ADDRESS(INDEX($AJ$2:$AJ$1001,MATCH(ROWS($AH$2:AH743),$AH$2:$AH$1001,0),0), INDEX($AO$1004:$BQ$1004,1,MATCH(COLUMNS($AO$1006:BI1006),$AO$1006:$BQ$1006,0)))),"Fix")))</f>
        <v>#N/A</v>
      </c>
      <c r="W743" s="5" t="e">
        <f ca="1">IF(OR(INDEX($AI$2:$AI$1001,MATCH(ROWS($AH$2:AH743),$AH$2:$AH$1001,0),1)&gt;=100000,INDEX($AO$1005:$BQ$1005,1,MATCH(COLUMNS($AO$1006:BJ1006),$AO$1006:$BQ$1006,0))&gt;=100000), " ",IF(INDEX($AO$2:$BQ$1001,MATCH(ROWS($AH$2:AH743),$AH$2:$AH$1001,0),MATCH(COLUMNS($AO$1006:BJ1006),$AO$1006:$BQ$1006,0)), HYPERLINK("#",""), HYPERLINK(CONCATENATE("#Metadata!", ADDRESS(INDEX($AJ$2:$AJ$1001,MATCH(ROWS($AH$2:AH743),$AH$2:$AH$1001,0),0), INDEX($AO$1004:$BQ$1004,1,MATCH(COLUMNS($AO$1006:BJ1006),$AO$1006:$BQ$1006,0)))),"Fix")))</f>
        <v>#N/A</v>
      </c>
      <c r="X743" s="5" t="e">
        <f ca="1">IF(OR(INDEX($AI$2:$AI$1001,MATCH(ROWS($AH$2:AH743),$AH$2:$AH$1001,0),1)&gt;=100000,INDEX($AO$1005:$BQ$1005,1,MATCH(COLUMNS($AO$1006:BK1006),$AO$1006:$BQ$1006,0))&gt;=100000), " ",IF(INDEX($AO$2:$BQ$1001,MATCH(ROWS($AH$2:AH743),$AH$2:$AH$1001,0),MATCH(COLUMNS($AO$1006:BK1006),$AO$1006:$BQ$1006,0)), HYPERLINK("#",""), HYPERLINK(CONCATENATE("#Metadata!", ADDRESS(INDEX($AJ$2:$AJ$1001,MATCH(ROWS($AH$2:AH743),$AH$2:$AH$1001,0),0), INDEX($AO$1004:$BQ$1004,1,MATCH(COLUMNS($AO$1006:BK1006),$AO$1006:$BQ$1006,0)))),"Fix")))</f>
        <v>#N/A</v>
      </c>
      <c r="Y743" s="5" t="e">
        <f ca="1">IF(OR(INDEX($AI$2:$AI$1001,MATCH(ROWS($AH$2:AH743),$AH$2:$AH$1001,0),1)&gt;=100000,INDEX($AO$1005:$BQ$1005,1,MATCH(COLUMNS($AO$1006:BL1006),$AO$1006:$BQ$1006,0))&gt;=100000), " ",IF(INDEX($AO$2:$BQ$1001,MATCH(ROWS($AH$2:AH743),$AH$2:$AH$1001,0),MATCH(COLUMNS($AO$1006:BL1006),$AO$1006:$BQ$1006,0)), HYPERLINK("#",""), HYPERLINK(CONCATENATE("#Metadata!", ADDRESS(INDEX($AJ$2:$AJ$1001,MATCH(ROWS($AH$2:AH743),$AH$2:$AH$1001,0),0), INDEX($AO$1004:$BQ$1004,1,MATCH(COLUMNS($AO$1006:BL1006),$AO$1006:$BQ$1006,0)))),"Fix")))</f>
        <v>#N/A</v>
      </c>
      <c r="Z743" s="5" t="e">
        <f ca="1">IF(OR(INDEX($AI$2:$AI$1001,MATCH(ROWS($AH$2:AH743),$AH$2:$AH$1001,0),1)&gt;=100000,INDEX($AO$1005:$BQ$1005,1,MATCH(COLUMNS($AO$1006:BM1006),$AO$1006:$BQ$1006,0))&gt;=100000), " ",IF(INDEX($AO$2:$BQ$1001,MATCH(ROWS($AH$2:AH743),$AH$2:$AH$1001,0),MATCH(COLUMNS($AO$1006:BM1006),$AO$1006:$BQ$1006,0)), HYPERLINK("#",""), HYPERLINK(CONCATENATE("#Metadata!", ADDRESS(INDEX($AJ$2:$AJ$1001,MATCH(ROWS($AH$2:AH743),$AH$2:$AH$1001,0),0), INDEX($AO$1004:$BQ$1004,1,MATCH(COLUMNS($AO$1006:BM1006),$AO$1006:$BQ$1006,0)))),"Fix")))</f>
        <v>#N/A</v>
      </c>
      <c r="AA743" s="5" t="e">
        <f ca="1">IF(OR(INDEX($AI$2:$AI$1001,MATCH(ROWS($AH$2:AH743),$AH$2:$AH$1001,0),1)&gt;=100000,INDEX($AO$1005:$BQ$1005,1,MATCH(COLUMNS($AO$1006:BN1006),$AO$1006:$BQ$1006,0))&gt;=100000), " ",IF(INDEX($AO$2:$BQ$1001,MATCH(ROWS($AH$2:AH743),$AH$2:$AH$1001,0),MATCH(COLUMNS($AO$1006:BN1006),$AO$1006:$BQ$1006,0)), HYPERLINK("#",""), HYPERLINK(CONCATENATE("#Metadata!", ADDRESS(INDEX($AJ$2:$AJ$1001,MATCH(ROWS($AH$2:AH743),$AH$2:$AH$1001,0),0), INDEX($AO$1004:$BQ$1004,1,MATCH(COLUMNS($AO$1006:BN1006),$AO$1006:$BQ$1006,0)))),"Fix")))</f>
        <v>#N/A</v>
      </c>
      <c r="AB743" s="5" t="e">
        <f ca="1">IF(OR(INDEX($AI$2:$AI$1001,MATCH(ROWS($AH$2:AH743),$AH$2:$AH$1001,0),1)&gt;=100000,INDEX($AO$1005:$BQ$1005,1,MATCH(COLUMNS($AO$1006:BO1006),$AO$1006:$BQ$1006,0))&gt;=100000), " ",IF(INDEX($AO$2:$BQ$1001,MATCH(ROWS($AH$2:AH743),$AH$2:$AH$1001,0),MATCH(COLUMNS($AO$1006:BO1006),$AO$1006:$BQ$1006,0)), HYPERLINK("#",""), HYPERLINK(CONCATENATE("#Metadata!", ADDRESS(INDEX($AJ$2:$AJ$1001,MATCH(ROWS($AH$2:AH743),$AH$2:$AH$1001,0),0), INDEX($AO$1004:$BQ$1004,1,MATCH(COLUMNS($AO$1006:BO1006),$AO$1006:$BQ$1006,0)))),"Fix")))</f>
        <v>#N/A</v>
      </c>
      <c r="AC743" s="5" t="e">
        <f ca="1">IF(OR(INDEX($AI$2:$AI$1001,MATCH(ROWS($AH$2:AH743),$AH$2:$AH$1001,0),1)&gt;=100000,INDEX($AO$1005:$BQ$1005,1,MATCH(COLUMNS($AO$1006:BP1006),$AO$1006:$BQ$1006,0))&gt;=100000), " ",IF(INDEX($AO$2:$BQ$1001,MATCH(ROWS($AH$2:AH743),$AH$2:$AH$1001,0),MATCH(COLUMNS($AO$1006:BP1006),$AO$1006:$BQ$1006,0)), HYPERLINK("#",""), HYPERLINK(CONCATENATE("#Metadata!", ADDRESS(INDEX($AJ$2:$AJ$1001,MATCH(ROWS($AH$2:AH743),$AH$2:$AH$1001,0),0), INDEX($AO$1004:$BQ$1004,1,MATCH(COLUMNS($AO$1006:BP1006),$AO$1006:$BQ$1006,0)))),"Fix")))</f>
        <v>#N/A</v>
      </c>
      <c r="AD743" s="5" t="e">
        <f ca="1">IF(OR(INDEX($AI$2:$AI$1001,MATCH(ROWS($AH$2:AH743),$AH$2:$AH$1001,0),1)&gt;=100000,INDEX($AO$1005:$BQ$1005,1,MATCH(COLUMNS($AO$1006:BQ1006),$AO$1006:$BQ$1006,0))&gt;=100000), " ",IF(INDEX($AO$2:$BQ$1001,MATCH(ROWS($AH$2:AH743),$AH$2:$AH$1001,0),MATCH(COLUMNS($AO$1006:BQ1006),$AO$1006:$BQ$1006,0)), HYPERLINK("#",""), HYPERLINK(CONCATENATE("#Metadata!", ADDRESS(INDEX($AJ$2:$AJ$1001,MATCH(ROWS($AH$2:AH743),$AH$2:$AH$1001,0),0), INDEX($AO$1004:$BQ$1004,1,MATCH(COLUMNS($AO$1006:BQ1006),$AO$1006:$BQ$1006,0)))),"Fix")))</f>
        <v>#REF!</v>
      </c>
      <c r="AH743">
        <f ca="1"/>
        <v>740</v>
      </c>
      <c r="AI743">
        <v>100743</v>
      </c>
      <c r="AJ743">
        <v>743</v>
      </c>
      <c r="AK743" t="b">
        <f t="shared" si="11"/>
        <v>1</v>
      </c>
      <c r="AL743" t="b">
        <f>COUNTBLANK(Metadata!B743:AD743)=COLUMNS(Metadata!B743:AD743)</f>
        <v>1</v>
      </c>
      <c r="AM743" t="str">
        <v/>
      </c>
      <c r="AO743" t="b">
        <f ca="1">AND(IF(Metadata!B743="",FALSE,TRUE),COUNTIF(Metadata!B:B, Metadata!B743) = 1,NOT(ISERROR(SUMPRODUCT(SEARCH(MID(Metadata!B743,ROW(INDIRECT("1:"&amp;LEN(Metadata!B743))), 1),"0123456789abcdefghijklmnopqrstuvwxyzABCDEFGHIJKLMNOPQRSTUVWXYZ.")))))</f>
        <v>0</v>
      </c>
      <c r="AP743" t="b">
        <f>IF(Metadata!C743="",FALSE,TRUE)</f>
        <v>0</v>
      </c>
      <c r="AQ743" t="b">
        <f>IF(Metadata!D743="",FALSE,TRUE)</f>
        <v>0</v>
      </c>
      <c r="AR743" t="b">
        <f ca="1">OR(AND(IF(Metadata!E743="",FALSE,TRUE),OR(EXACT(Metadata!E743,"not collected"),EXACT(Metadata!E743,"not provided"),EXACT(Metadata!E743,"restricted access"))),AND(IF(Metadata!E743="",FALSE,TRUE),AND(AND(IFERROR(INT(LEFT(Metadata!E743,4))&gt;1900,FALSE),IFERROR(INT(LEFT(Metadata!E743,4))&lt;=YEAR(NOW()),FALSE)), OR(MID(Metadata!E743,5,1)="", AND(AND(MID(Metadata!E743,5,1)="-",IFERROR(INT(MID(Metadata!E743,6,1))&gt;=0,FALSE),IFERROR(INT(MID(Metadata!E743,6,1))&lt;=1,FALSE),NOT(MID(Metadata!E743,7,1)=""),IFERROR(INT(MID(Metadata!E743,6,2))&gt;=1,FALSE),IFERROR(INT(MID(Metadata!E743,6,2))&lt;=12,FALSE)), OR(MID(Metadata!E743,8,1)="", AND(AND(MID(Metadata!E743,8,1)="-",IFERROR(INT(MID(Metadata!E743,9,1))&gt;=0,FALSE),IFERROR(INT(MID(Metadata!E743,9,1))&lt;=3,FALSE),NOT(MID(Metadata!E743,10,1)=""),IFERROR(INT(MID(Metadata!E743,9,2))&gt;=1,FALSE),IFERROR(INT(MID(Metadata!E743,9,2))&lt;=31,FALSE)), OR(MID(Metadata!E743,11,1)="", AND(AND(MID(Metadata!E743,11,1)=" ",IFERROR(INT(MID(Metadata!E743,12,1))&gt;=0,FALSE),IFERROR(INT(MID(Metadata!E743,12,1))&lt;=2,FALSE),NOT(MID(Metadata!E743,13,1)=""),IFERROR(INT(MID(Metadata!E743,12,2))&gt;=0,FALSE),IFERROR(INT(MID(Metadata!E743,12,2))&lt;=23,FALSE)), OR(MID(Metadata!E743,14,1)="", AND(AND(MID(Metadata!E743,14,1)=":",IFERROR(INT(MID(Metadata!E743,15,1))&gt;=0,FALSE),IFERROR(INT(MID(Metadata!E743,15,1))&lt;=5,FALSE),NOT(MID(Metadata!E743,16,1)=""),IFERROR(INT(MID(Metadata!E743,15,2))&gt;=0,FALSE),IFERROR(INT(MID(Metadata!E743,15,2))&lt;=59,FALSE)), OR(MID(Metadata!E743,17,1)="", AND(AND(MID(Metadata!E743,17,1)=":",IFERROR(INT(MID(Metadata!E743,18,1))&gt;=0,FALSE),IFERROR(INT(MID(Metadata!E743,18,1))&lt;=5,FALSE),NOT(MID(Metadata!E743,19,1)=""),IFERROR(INT(MID(Metadata!E743,18,2))&gt;=0,FALSE),IFERROR(INT(MID(Metadata!E743,18,2))&lt;=59,FALSE)), LEN(Metadata!E743)&lt;=19)))))))))))))</f>
        <v>0</v>
      </c>
      <c r="AS743" t="b">
        <f>IF(Metadata!F743="",FALSE,TRUE)</f>
        <v>0</v>
      </c>
      <c r="AT743" t="b">
        <f>OR(AND(IF(Metadata!G743="",FALSE,TRUE),OR(EXACT(Metadata!G743,"not collected"),EXACT(Metadata!G743,"not provided"))),AND(IF(Metadata!G743="",FALSE,TRUE),OR(EXACT(Metadata!G743,"TRUE"),EXACT(Metadata!G743,"FALSE"))))</f>
        <v>0</v>
      </c>
      <c r="AU743" t="b">
        <f>OR(AND(IF(Metadata!H743="",FALSE,TRUE),OR(EXACT(Metadata!H743,"not collected"),EXACT(Metadata!H743,"not provided"),EXACT(Metadata!H743,"restricted access"))),AND(IF(Metadata!H743="",FALSE,ISNUMBER(VALUE(Metadata!H743))),Metadata!H743&gt;=-413))</f>
        <v>0</v>
      </c>
      <c r="AV743" t="b">
        <f>AND(IF(Metadata!I743="",FALSE,TRUE),EXACT(Metadata!I743,"meters"))</f>
        <v>0</v>
      </c>
      <c r="AW743" t="b">
        <f>AND(IF(Metadata!J743="",FALSE,TRUE),EXACT(Metadata!J743,"free-living"))</f>
        <v>0</v>
      </c>
      <c r="AX743" t="b">
        <f>AND(IF(Metadata!K743="",FALSE,TRUE),OR(EXACT(Metadata!K743,"saline"),EXACT(Metadata!K743,"non-saline")))</f>
        <v>0</v>
      </c>
      <c r="AY743" t="b">
        <f>AND(IF(Metadata!L743="",FALSE,TRUE),OR(EXACT(Metadata!L743,"sub-surface (non-saline)"),EXACT(Metadata!L743,"surface (non-saline)"),EXACT(Metadata!L743,"water (non-saline)"),EXACT(Metadata!L743,"soil (non-saline)"),EXACT(Metadata!L743,"aerosol (non-saline)"),EXACT(Metadata!L743,"sediment (non-saline)"),EXACT(Metadata!L743,"surface (saline)"),EXACT(Metadata!L743,"water (saline)"),EXACT(Metadata!L743,"hypersaline (saline)"),EXACT(Metadata!L743,"aerosol (saline)"),EXACT(Metadata!L743,"sediment (saline)")))</f>
        <v>0</v>
      </c>
      <c r="AZ743" t="b">
        <f>IF(Metadata!M743="",FALSE,TRUE)</f>
        <v>0</v>
      </c>
      <c r="BA743" t="b">
        <f>IF(Metadata!N743="",FALSE,TRUE)</f>
        <v>0</v>
      </c>
      <c r="BB743" t="b">
        <f>IF(Metadata!O743="",FALSE,TRUE)</f>
        <v>0</v>
      </c>
      <c r="BC743" t="b">
        <f>AND(IF(Metadata!P743="",FALSE,TRUE),OR(EXACT(Metadata!P743,"air"),EXACT(Metadata!P743,"microbial mat/biofilm"),EXACT(Metadata!P743,"misc environment"),EXACT(Metadata!P743,"sediment"),EXACT(Metadata!P743,"soil"),EXACT(Metadata!P743,"wastewater/sludge"),EXACT(Metadata!P743,"water")))</f>
        <v>0</v>
      </c>
      <c r="BD743" t="b">
        <f>IF(Metadata!Q743="",FALSE,TRUE)</f>
        <v>0</v>
      </c>
      <c r="BE743" t="b">
        <f>IF(Metadata!R743="",FALSE,TRUE)</f>
        <v>0</v>
      </c>
      <c r="BF743" t="b">
        <f>OR(AND(IF(Metadata!S743="",FALSE,TRUE),OR(EXACT(Metadata!S743,"not collected"),EXACT(Metadata!S743,"not provided"),EXACT(Metadata!S743,"restricted access"))),AND(IF(Metadata!S743="",FALSE,ISNUMBER(VALUE(Metadata!S743))),Metadata!S743&gt;=-90,Metadata!S743&lt;=90))</f>
        <v>0</v>
      </c>
      <c r="BG743" t="b">
        <f>AND(IF(Metadata!T743="",FALSE,TRUE),EXACT(Metadata!T743,"Decimal degrees"))</f>
        <v>0</v>
      </c>
      <c r="BH743" t="b">
        <f>OR(AND(IF(Metadata!U743="",FALSE,TRUE),OR(EXACT(Metadata!U743,"not applicable"),EXACT(Metadata!U743,"not collected"))),IF(Metadata!U743="",FALSE,TRUE))</f>
        <v>0</v>
      </c>
      <c r="BI743" t="b">
        <f>OR(AND(IF(Metadata!V743="",FALSE,TRUE),OR(EXACT(Metadata!V743,"not collected"),EXACT(Metadata!V743,"not provided"),EXACT(Metadata!V743,"restricted access"))),AND(IF(Metadata!V743="",FALSE,ISNUMBER(VALUE(Metadata!V743))),Metadata!V743&gt;=-180,Metadata!V743&lt;=180))</f>
        <v>0</v>
      </c>
      <c r="BJ743" t="b">
        <f>AND(IF(Metadata!W743="",FALSE,TRUE),EXACT(Metadata!W743,"Decimal degrees"))</f>
        <v>0</v>
      </c>
      <c r="BK743" t="b">
        <f>IF(Metadata!X743="",FALSE,TRUE)</f>
        <v>0</v>
      </c>
      <c r="BL743" t="b">
        <f>OR(AND(IF(Metadata!Y743="",FALSE,TRUE),OR(EXACT(Metadata!Y743,"not collected"),EXACT(Metadata!Y743,"not provided"),EXACT(Metadata!Y743,"restricted access"))),AND(IF(Metadata!Y743="",FALSE,TRUE),OR(EXACT(Metadata!Y743,"TRUE"),EXACT(Metadata!Y743,"FALSE"))))</f>
        <v>0</v>
      </c>
      <c r="BM743" t="b">
        <f>OR(AND(IF(Metadata!Z743="",FALSE,TRUE),EXACT(Metadata!Z743,"not applicable")),AND(IF(Metadata!Z743="",FALSE,TRUE),OR(EXACT(Metadata!Z743,"beer"),EXACT(Metadata!Z743,"cheese"),EXACT(Metadata!Z743,"fresh water"),EXACT(Metadata!Z743,"marine sediment"),EXACT(Metadata!Z743,"sea water"),EXACT(Metadata!Z743,"sediment"),EXACT(Metadata!Z743,"soil"),EXACT(Metadata!Z743,"waste water"))))</f>
        <v>0</v>
      </c>
      <c r="BN743" t="b">
        <f>AND(IF(Metadata!AA743="",FALSE,TRUE),EXACT(Metadata!AA743,"metagenome"))</f>
        <v>0</v>
      </c>
      <c r="BO743" t="b">
        <f>AND(IF(Metadata!AB743="",FALSE,TRUE),EXACT(Metadata!AB743,"256318"))</f>
        <v>0</v>
      </c>
      <c r="BP743" t="b">
        <f>IF(Metadata!AC743="",FALSE,TRUE)</f>
        <v>0</v>
      </c>
      <c r="BQ743" t="b">
        <f>IF(Metadata!AD743="",FALSE,TRUE)</f>
        <v>0</v>
      </c>
    </row>
    <row r="744" spans="1:69" x14ac:dyDescent="0.2">
      <c r="A744" s="4" t="e">
        <f ca="1">IF(B744=" "," ",HYPERLINK(CONCATENATE("#metadata!",ADDRESS(INDEX($AJ$2:$AJ$1001,MATCH(ROWS($AH$2:AH744),$AH$2:$AH$1001,0),0),2)),INDEX($AM$2:$AM$1001,MATCH(ROWS($AH$2:AH744),$AH$2:$AH$1001,0),0)))</f>
        <v>#N/A</v>
      </c>
      <c r="B744" s="5" t="e">
        <f ca="1">IF(OR(INDEX($AI$2:$AI$1001,MATCH(ROWS($AH$2:AH744),$AH$2:$AH$1001,0),1)&gt;=100000,INDEX($AO$1005:$BQ$1005,1,MATCH(COLUMNS($AO$1006:AO1006),$AO$1006:$BQ$1006,0))&gt;=100000), " ",IF(INDEX($AO$2:$BQ$1001,MATCH(ROWS($AH$2:AH744),$AH$2:$AH$1001,0),MATCH(COLUMNS($AO$1006:AO1006),$AO$1006:$BQ$1006,0)), HYPERLINK("#",""), HYPERLINK(CONCATENATE("#Metadata!", ADDRESS(INDEX($AJ$2:$AJ$1001,MATCH(ROWS($AH$2:AH744),$AH$2:$AH$1001,0),0), INDEX($AO$1004:$BQ$1004,1,MATCH(COLUMNS($AO$1006:AO1006),$AO$1006:$BQ$1006,0)))),"Fix")))</f>
        <v>#N/A</v>
      </c>
      <c r="C744" s="5" t="e">
        <f ca="1">IF(OR(INDEX($AI$2:$AI$1001,MATCH(ROWS($AH$2:AH744),$AH$2:$AH$1001,0),1)&gt;=100000,INDEX($AO$1005:$BQ$1005,1,MATCH(COLUMNS($AO$1006:AP1006),$AO$1006:$BQ$1006,0))&gt;=100000), " ",IF(INDEX($AO$2:$BQ$1001,MATCH(ROWS($AH$2:AH744),$AH$2:$AH$1001,0),MATCH(COLUMNS($AO$1006:AP1006),$AO$1006:$BQ$1006,0)), HYPERLINK("#",""), HYPERLINK(CONCATENATE("#Metadata!", ADDRESS(INDEX($AJ$2:$AJ$1001,MATCH(ROWS($AH$2:AH744),$AH$2:$AH$1001,0),0), INDEX($AO$1004:$BQ$1004,1,MATCH(COLUMNS($AO$1006:AP1006),$AO$1006:$BQ$1006,0)))),"Fix")))</f>
        <v>#N/A</v>
      </c>
      <c r="D744" s="5" t="e">
        <f ca="1">IF(OR(INDEX($AI$2:$AI$1001,MATCH(ROWS($AH$2:AH744),$AH$2:$AH$1001,0),1)&gt;=100000,INDEX($AO$1005:$BQ$1005,1,MATCH(COLUMNS($AO$1006:AQ1006),$AO$1006:$BQ$1006,0))&gt;=100000), " ",IF(INDEX($AO$2:$BQ$1001,MATCH(ROWS($AH$2:AH744),$AH$2:$AH$1001,0),MATCH(COLUMNS($AO$1006:AQ1006),$AO$1006:$BQ$1006,0)), HYPERLINK("#",""), HYPERLINK(CONCATENATE("#Metadata!", ADDRESS(INDEX($AJ$2:$AJ$1001,MATCH(ROWS($AH$2:AH744),$AH$2:$AH$1001,0),0), INDEX($AO$1004:$BQ$1004,1,MATCH(COLUMNS($AO$1006:AQ1006),$AO$1006:$BQ$1006,0)))),"Fix")))</f>
        <v>#N/A</v>
      </c>
      <c r="E744" s="5" t="e">
        <f ca="1">IF(OR(INDEX($AI$2:$AI$1001,MATCH(ROWS($AH$2:AH744),$AH$2:$AH$1001,0),1)&gt;=100000,INDEX($AO$1005:$BQ$1005,1,MATCH(COLUMNS($AO$1006:AR1006),$AO$1006:$BQ$1006,0))&gt;=100000), " ",IF(INDEX($AO$2:$BQ$1001,MATCH(ROWS($AH$2:AH744),$AH$2:$AH$1001,0),MATCH(COLUMNS($AO$1006:AR1006),$AO$1006:$BQ$1006,0)), HYPERLINK("#",""), HYPERLINK(CONCATENATE("#Metadata!", ADDRESS(INDEX($AJ$2:$AJ$1001,MATCH(ROWS($AH$2:AH744),$AH$2:$AH$1001,0),0), INDEX($AO$1004:$BQ$1004,1,MATCH(COLUMNS($AO$1006:AR1006),$AO$1006:$BQ$1006,0)))),"Fix")))</f>
        <v>#N/A</v>
      </c>
      <c r="F744" s="5" t="e">
        <f ca="1">IF(OR(INDEX($AI$2:$AI$1001,MATCH(ROWS($AH$2:AH744),$AH$2:$AH$1001,0),1)&gt;=100000,INDEX($AO$1005:$BQ$1005,1,MATCH(COLUMNS($AO$1006:AS1006),$AO$1006:$BQ$1006,0))&gt;=100000), " ",IF(INDEX($AO$2:$BQ$1001,MATCH(ROWS($AH$2:AH744),$AH$2:$AH$1001,0),MATCH(COLUMNS($AO$1006:AS1006),$AO$1006:$BQ$1006,0)), HYPERLINK("#",""), HYPERLINK(CONCATENATE("#Metadata!", ADDRESS(INDEX($AJ$2:$AJ$1001,MATCH(ROWS($AH$2:AH744),$AH$2:$AH$1001,0),0), INDEX($AO$1004:$BQ$1004,1,MATCH(COLUMNS($AO$1006:AS1006),$AO$1006:$BQ$1006,0)))),"Fix")))</f>
        <v>#N/A</v>
      </c>
      <c r="G744" s="5" t="e">
        <f ca="1">IF(OR(INDEX($AI$2:$AI$1001,MATCH(ROWS($AH$2:AH744),$AH$2:$AH$1001,0),1)&gt;=100000,INDEX($AO$1005:$BQ$1005,1,MATCH(COLUMNS($AO$1006:AT1006),$AO$1006:$BQ$1006,0))&gt;=100000), " ",IF(INDEX($AO$2:$BQ$1001,MATCH(ROWS($AH$2:AH744),$AH$2:$AH$1001,0),MATCH(COLUMNS($AO$1006:AT1006),$AO$1006:$BQ$1006,0)), HYPERLINK("#",""), HYPERLINK(CONCATENATE("#Metadata!", ADDRESS(INDEX($AJ$2:$AJ$1001,MATCH(ROWS($AH$2:AH744),$AH$2:$AH$1001,0),0), INDEX($AO$1004:$BQ$1004,1,MATCH(COLUMNS($AO$1006:AT1006),$AO$1006:$BQ$1006,0)))),"Fix")))</f>
        <v>#N/A</v>
      </c>
      <c r="H744" s="5" t="e">
        <f ca="1">IF(OR(INDEX($AI$2:$AI$1001,MATCH(ROWS($AH$2:AH744),$AH$2:$AH$1001,0),1)&gt;=100000,INDEX($AO$1005:$BQ$1005,1,MATCH(COLUMNS($AO$1006:AU1006),$AO$1006:$BQ$1006,0))&gt;=100000), " ",IF(INDEX($AO$2:$BQ$1001,MATCH(ROWS($AH$2:AH744),$AH$2:$AH$1001,0),MATCH(COLUMNS($AO$1006:AU1006),$AO$1006:$BQ$1006,0)), HYPERLINK("#",""), HYPERLINK(CONCATENATE("#Metadata!", ADDRESS(INDEX($AJ$2:$AJ$1001,MATCH(ROWS($AH$2:AH744),$AH$2:$AH$1001,0),0), INDEX($AO$1004:$BQ$1004,1,MATCH(COLUMNS($AO$1006:AU1006),$AO$1006:$BQ$1006,0)))),"Fix")))</f>
        <v>#N/A</v>
      </c>
      <c r="I744" s="5" t="e">
        <f ca="1">IF(OR(INDEX($AI$2:$AI$1001,MATCH(ROWS($AH$2:AH744),$AH$2:$AH$1001,0),1)&gt;=100000,INDEX($AO$1005:$BQ$1005,1,MATCH(COLUMNS($AO$1006:AV1006),$AO$1006:$BQ$1006,0))&gt;=100000), " ",IF(INDEX($AO$2:$BQ$1001,MATCH(ROWS($AH$2:AH744),$AH$2:$AH$1001,0),MATCH(COLUMNS($AO$1006:AV1006),$AO$1006:$BQ$1006,0)), HYPERLINK("#",""), HYPERLINK(CONCATENATE("#Metadata!", ADDRESS(INDEX($AJ$2:$AJ$1001,MATCH(ROWS($AH$2:AH744),$AH$2:$AH$1001,0),0), INDEX($AO$1004:$BQ$1004,1,MATCH(COLUMNS($AO$1006:AV1006),$AO$1006:$BQ$1006,0)))),"Fix")))</f>
        <v>#N/A</v>
      </c>
      <c r="J744" s="5" t="e">
        <f ca="1">IF(OR(INDEX($AI$2:$AI$1001,MATCH(ROWS($AH$2:AH744),$AH$2:$AH$1001,0),1)&gt;=100000,INDEX($AO$1005:$BQ$1005,1,MATCH(COLUMNS($AO$1006:AW1006),$AO$1006:$BQ$1006,0))&gt;=100000), " ",IF(INDEX($AO$2:$BQ$1001,MATCH(ROWS($AH$2:AH744),$AH$2:$AH$1001,0),MATCH(COLUMNS($AO$1006:AW1006),$AO$1006:$BQ$1006,0)), HYPERLINK("#",""), HYPERLINK(CONCATENATE("#Metadata!", ADDRESS(INDEX($AJ$2:$AJ$1001,MATCH(ROWS($AH$2:AH744),$AH$2:$AH$1001,0),0), INDEX($AO$1004:$BQ$1004,1,MATCH(COLUMNS($AO$1006:AW1006),$AO$1006:$BQ$1006,0)))),"Fix")))</f>
        <v>#N/A</v>
      </c>
      <c r="K744" s="5" t="e">
        <f ca="1">IF(OR(INDEX($AI$2:$AI$1001,MATCH(ROWS($AH$2:AH744),$AH$2:$AH$1001,0),1)&gt;=100000,INDEX($AO$1005:$BQ$1005,1,MATCH(COLUMNS($AO$1006:AX1006),$AO$1006:$BQ$1006,0))&gt;=100000), " ",IF(INDEX($AO$2:$BQ$1001,MATCH(ROWS($AH$2:AH744),$AH$2:$AH$1001,0),MATCH(COLUMNS($AO$1006:AX1006),$AO$1006:$BQ$1006,0)), HYPERLINK("#",""), HYPERLINK(CONCATENATE("#Metadata!", ADDRESS(INDEX($AJ$2:$AJ$1001,MATCH(ROWS($AH$2:AH744),$AH$2:$AH$1001,0),0), INDEX($AO$1004:$BQ$1004,1,MATCH(COLUMNS($AO$1006:AX1006),$AO$1006:$BQ$1006,0)))),"Fix")))</f>
        <v>#N/A</v>
      </c>
      <c r="L744" s="5" t="e">
        <f ca="1">IF(OR(INDEX($AI$2:$AI$1001,MATCH(ROWS($AH$2:AH744),$AH$2:$AH$1001,0),1)&gt;=100000,INDEX($AO$1005:$BQ$1005,1,MATCH(COLUMNS($AO$1006:AY1006),$AO$1006:$BQ$1006,0))&gt;=100000), " ",IF(INDEX($AO$2:$BQ$1001,MATCH(ROWS($AH$2:AH744),$AH$2:$AH$1001,0),MATCH(COLUMNS($AO$1006:AY1006),$AO$1006:$BQ$1006,0)), HYPERLINK("#",""), HYPERLINK(CONCATENATE("#Metadata!", ADDRESS(INDEX($AJ$2:$AJ$1001,MATCH(ROWS($AH$2:AH744),$AH$2:$AH$1001,0),0), INDEX($AO$1004:$BQ$1004,1,MATCH(COLUMNS($AO$1006:AY1006),$AO$1006:$BQ$1006,0)))),"Fix")))</f>
        <v>#N/A</v>
      </c>
      <c r="M744" s="5" t="e">
        <f ca="1">IF(OR(INDEX($AI$2:$AI$1001,MATCH(ROWS($AH$2:AH744),$AH$2:$AH$1001,0),1)&gt;=100000,INDEX($AO$1005:$BQ$1005,1,MATCH(COLUMNS($AO$1006:AZ1006),$AO$1006:$BQ$1006,0))&gt;=100000), " ",IF(INDEX($AO$2:$BQ$1001,MATCH(ROWS($AH$2:AH744),$AH$2:$AH$1001,0),MATCH(COLUMNS($AO$1006:AZ1006),$AO$1006:$BQ$1006,0)), HYPERLINK("#",""), HYPERLINK(CONCATENATE("#Metadata!", ADDRESS(INDEX($AJ$2:$AJ$1001,MATCH(ROWS($AH$2:AH744),$AH$2:$AH$1001,0),0), INDEX($AO$1004:$BQ$1004,1,MATCH(COLUMNS($AO$1006:AZ1006),$AO$1006:$BQ$1006,0)))),"Fix")))</f>
        <v>#N/A</v>
      </c>
      <c r="N744" s="5" t="e">
        <f ca="1">IF(OR(INDEX($AI$2:$AI$1001,MATCH(ROWS($AH$2:AH744),$AH$2:$AH$1001,0),1)&gt;=100000,INDEX($AO$1005:$BQ$1005,1,MATCH(COLUMNS($AO$1006:BA1006),$AO$1006:$BQ$1006,0))&gt;=100000), " ",IF(INDEX($AO$2:$BQ$1001,MATCH(ROWS($AH$2:AH744),$AH$2:$AH$1001,0),MATCH(COLUMNS($AO$1006:BA1006),$AO$1006:$BQ$1006,0)), HYPERLINK("#",""), HYPERLINK(CONCATENATE("#Metadata!", ADDRESS(INDEX($AJ$2:$AJ$1001,MATCH(ROWS($AH$2:AH744),$AH$2:$AH$1001,0),0), INDEX($AO$1004:$BQ$1004,1,MATCH(COLUMNS($AO$1006:BA1006),$AO$1006:$BQ$1006,0)))),"Fix")))</f>
        <v>#N/A</v>
      </c>
      <c r="O744" s="5" t="e">
        <f ca="1">IF(OR(INDEX($AI$2:$AI$1001,MATCH(ROWS($AH$2:AH744),$AH$2:$AH$1001,0),1)&gt;=100000,INDEX($AO$1005:$BQ$1005,1,MATCH(COLUMNS($AO$1006:BB1006),$AO$1006:$BQ$1006,0))&gt;=100000), " ",IF(INDEX($AO$2:$BQ$1001,MATCH(ROWS($AH$2:AH744),$AH$2:$AH$1001,0),MATCH(COLUMNS($AO$1006:BB1006),$AO$1006:$BQ$1006,0)), HYPERLINK("#",""), HYPERLINK(CONCATENATE("#Metadata!", ADDRESS(INDEX($AJ$2:$AJ$1001,MATCH(ROWS($AH$2:AH744),$AH$2:$AH$1001,0),0), INDEX($AO$1004:$BQ$1004,1,MATCH(COLUMNS($AO$1006:BB1006),$AO$1006:$BQ$1006,0)))),"Fix")))</f>
        <v>#N/A</v>
      </c>
      <c r="P744" s="5" t="e">
        <f ca="1">IF(OR(INDEX($AI$2:$AI$1001,MATCH(ROWS($AH$2:AH744),$AH$2:$AH$1001,0),1)&gt;=100000,INDEX($AO$1005:$BQ$1005,1,MATCH(COLUMNS($AO$1006:BC1006),$AO$1006:$BQ$1006,0))&gt;=100000), " ",IF(INDEX($AO$2:$BQ$1001,MATCH(ROWS($AH$2:AH744),$AH$2:$AH$1001,0),MATCH(COLUMNS($AO$1006:BC1006),$AO$1006:$BQ$1006,0)), HYPERLINK("#",""), HYPERLINK(CONCATENATE("#Metadata!", ADDRESS(INDEX($AJ$2:$AJ$1001,MATCH(ROWS($AH$2:AH744),$AH$2:$AH$1001,0),0), INDEX($AO$1004:$BQ$1004,1,MATCH(COLUMNS($AO$1006:BC1006),$AO$1006:$BQ$1006,0)))),"Fix")))</f>
        <v>#N/A</v>
      </c>
      <c r="Q744" s="5" t="e">
        <f ca="1">IF(OR(INDEX($AI$2:$AI$1001,MATCH(ROWS($AH$2:AH744),$AH$2:$AH$1001,0),1)&gt;=100000,INDEX($AO$1005:$BQ$1005,1,MATCH(COLUMNS($AO$1006:BD1006),$AO$1006:$BQ$1006,0))&gt;=100000), " ",IF(INDEX($AO$2:$BQ$1001,MATCH(ROWS($AH$2:AH744),$AH$2:$AH$1001,0),MATCH(COLUMNS($AO$1006:BD1006),$AO$1006:$BQ$1006,0)), HYPERLINK("#",""), HYPERLINK(CONCATENATE("#Metadata!", ADDRESS(INDEX($AJ$2:$AJ$1001,MATCH(ROWS($AH$2:AH744),$AH$2:$AH$1001,0),0), INDEX($AO$1004:$BQ$1004,1,MATCH(COLUMNS($AO$1006:BD1006),$AO$1006:$BQ$1006,0)))),"Fix")))</f>
        <v>#N/A</v>
      </c>
      <c r="R744" s="5" t="e">
        <f ca="1">IF(OR(INDEX($AI$2:$AI$1001,MATCH(ROWS($AH$2:AH744),$AH$2:$AH$1001,0),1)&gt;=100000,INDEX($AO$1005:$BQ$1005,1,MATCH(COLUMNS($AO$1006:BE1006),$AO$1006:$BQ$1006,0))&gt;=100000), " ",IF(INDEX($AO$2:$BQ$1001,MATCH(ROWS($AH$2:AH744),$AH$2:$AH$1001,0),MATCH(COLUMNS($AO$1006:BE1006),$AO$1006:$BQ$1006,0)), HYPERLINK("#",""), HYPERLINK(CONCATENATE("#Metadata!", ADDRESS(INDEX($AJ$2:$AJ$1001,MATCH(ROWS($AH$2:AH744),$AH$2:$AH$1001,0),0), INDEX($AO$1004:$BQ$1004,1,MATCH(COLUMNS($AO$1006:BE1006),$AO$1006:$BQ$1006,0)))),"Fix")))</f>
        <v>#N/A</v>
      </c>
      <c r="S744" s="5" t="e">
        <f ca="1">IF(OR(INDEX($AI$2:$AI$1001,MATCH(ROWS($AH$2:AH744),$AH$2:$AH$1001,0),1)&gt;=100000,INDEX($AO$1005:$BQ$1005,1,MATCH(COLUMNS($AO$1006:BF1006),$AO$1006:$BQ$1006,0))&gt;=100000), " ",IF(INDEX($AO$2:$BQ$1001,MATCH(ROWS($AH$2:AH744),$AH$2:$AH$1001,0),MATCH(COLUMNS($AO$1006:BF1006),$AO$1006:$BQ$1006,0)), HYPERLINK("#",""), HYPERLINK(CONCATENATE("#Metadata!", ADDRESS(INDEX($AJ$2:$AJ$1001,MATCH(ROWS($AH$2:AH744),$AH$2:$AH$1001,0),0), INDEX($AO$1004:$BQ$1004,1,MATCH(COLUMNS($AO$1006:BF1006),$AO$1006:$BQ$1006,0)))),"Fix")))</f>
        <v>#N/A</v>
      </c>
      <c r="T744" s="5" t="e">
        <f ca="1">IF(OR(INDEX($AI$2:$AI$1001,MATCH(ROWS($AH$2:AH744),$AH$2:$AH$1001,0),1)&gt;=100000,INDEX($AO$1005:$BQ$1005,1,MATCH(COLUMNS($AO$1006:BG1006),$AO$1006:$BQ$1006,0))&gt;=100000), " ",IF(INDEX($AO$2:$BQ$1001,MATCH(ROWS($AH$2:AH744),$AH$2:$AH$1001,0),MATCH(COLUMNS($AO$1006:BG1006),$AO$1006:$BQ$1006,0)), HYPERLINK("#",""), HYPERLINK(CONCATENATE("#Metadata!", ADDRESS(INDEX($AJ$2:$AJ$1001,MATCH(ROWS($AH$2:AH744),$AH$2:$AH$1001,0),0), INDEX($AO$1004:$BQ$1004,1,MATCH(COLUMNS($AO$1006:BG1006),$AO$1006:$BQ$1006,0)))),"Fix")))</f>
        <v>#N/A</v>
      </c>
      <c r="U744" s="5" t="e">
        <f ca="1">IF(OR(INDEX($AI$2:$AI$1001,MATCH(ROWS($AH$2:AH744),$AH$2:$AH$1001,0),1)&gt;=100000,INDEX($AO$1005:$BQ$1005,1,MATCH(COLUMNS($AO$1006:BH1006),$AO$1006:$BQ$1006,0))&gt;=100000), " ",IF(INDEX($AO$2:$BQ$1001,MATCH(ROWS($AH$2:AH744),$AH$2:$AH$1001,0),MATCH(COLUMNS($AO$1006:BH1006),$AO$1006:$BQ$1006,0)), HYPERLINK("#",""), HYPERLINK(CONCATENATE("#Metadata!", ADDRESS(INDEX($AJ$2:$AJ$1001,MATCH(ROWS($AH$2:AH744),$AH$2:$AH$1001,0),0), INDEX($AO$1004:$BQ$1004,1,MATCH(COLUMNS($AO$1006:BH1006),$AO$1006:$BQ$1006,0)))),"Fix")))</f>
        <v>#N/A</v>
      </c>
      <c r="V744" s="5" t="e">
        <f ca="1">IF(OR(INDEX($AI$2:$AI$1001,MATCH(ROWS($AH$2:AH744),$AH$2:$AH$1001,0),1)&gt;=100000,INDEX($AO$1005:$BQ$1005,1,MATCH(COLUMNS($AO$1006:BI1006),$AO$1006:$BQ$1006,0))&gt;=100000), " ",IF(INDEX($AO$2:$BQ$1001,MATCH(ROWS($AH$2:AH744),$AH$2:$AH$1001,0),MATCH(COLUMNS($AO$1006:BI1006),$AO$1006:$BQ$1006,0)), HYPERLINK("#",""), HYPERLINK(CONCATENATE("#Metadata!", ADDRESS(INDEX($AJ$2:$AJ$1001,MATCH(ROWS($AH$2:AH744),$AH$2:$AH$1001,0),0), INDEX($AO$1004:$BQ$1004,1,MATCH(COLUMNS($AO$1006:BI1006),$AO$1006:$BQ$1006,0)))),"Fix")))</f>
        <v>#N/A</v>
      </c>
      <c r="W744" s="5" t="e">
        <f ca="1">IF(OR(INDEX($AI$2:$AI$1001,MATCH(ROWS($AH$2:AH744),$AH$2:$AH$1001,0),1)&gt;=100000,INDEX($AO$1005:$BQ$1005,1,MATCH(COLUMNS($AO$1006:BJ1006),$AO$1006:$BQ$1006,0))&gt;=100000), " ",IF(INDEX($AO$2:$BQ$1001,MATCH(ROWS($AH$2:AH744),$AH$2:$AH$1001,0),MATCH(COLUMNS($AO$1006:BJ1006),$AO$1006:$BQ$1006,0)), HYPERLINK("#",""), HYPERLINK(CONCATENATE("#Metadata!", ADDRESS(INDEX($AJ$2:$AJ$1001,MATCH(ROWS($AH$2:AH744),$AH$2:$AH$1001,0),0), INDEX($AO$1004:$BQ$1004,1,MATCH(COLUMNS($AO$1006:BJ1006),$AO$1006:$BQ$1006,0)))),"Fix")))</f>
        <v>#N/A</v>
      </c>
      <c r="X744" s="5" t="e">
        <f ca="1">IF(OR(INDEX($AI$2:$AI$1001,MATCH(ROWS($AH$2:AH744),$AH$2:$AH$1001,0),1)&gt;=100000,INDEX($AO$1005:$BQ$1005,1,MATCH(COLUMNS($AO$1006:BK1006),$AO$1006:$BQ$1006,0))&gt;=100000), " ",IF(INDEX($AO$2:$BQ$1001,MATCH(ROWS($AH$2:AH744),$AH$2:$AH$1001,0),MATCH(COLUMNS($AO$1006:BK1006),$AO$1006:$BQ$1006,0)), HYPERLINK("#",""), HYPERLINK(CONCATENATE("#Metadata!", ADDRESS(INDEX($AJ$2:$AJ$1001,MATCH(ROWS($AH$2:AH744),$AH$2:$AH$1001,0),0), INDEX($AO$1004:$BQ$1004,1,MATCH(COLUMNS($AO$1006:BK1006),$AO$1006:$BQ$1006,0)))),"Fix")))</f>
        <v>#N/A</v>
      </c>
      <c r="Y744" s="5" t="e">
        <f ca="1">IF(OR(INDEX($AI$2:$AI$1001,MATCH(ROWS($AH$2:AH744),$AH$2:$AH$1001,0),1)&gt;=100000,INDEX($AO$1005:$BQ$1005,1,MATCH(COLUMNS($AO$1006:BL1006),$AO$1006:$BQ$1006,0))&gt;=100000), " ",IF(INDEX($AO$2:$BQ$1001,MATCH(ROWS($AH$2:AH744),$AH$2:$AH$1001,0),MATCH(COLUMNS($AO$1006:BL1006),$AO$1006:$BQ$1006,0)), HYPERLINK("#",""), HYPERLINK(CONCATENATE("#Metadata!", ADDRESS(INDEX($AJ$2:$AJ$1001,MATCH(ROWS($AH$2:AH744),$AH$2:$AH$1001,0),0), INDEX($AO$1004:$BQ$1004,1,MATCH(COLUMNS($AO$1006:BL1006),$AO$1006:$BQ$1006,0)))),"Fix")))</f>
        <v>#N/A</v>
      </c>
      <c r="Z744" s="5" t="e">
        <f ca="1">IF(OR(INDEX($AI$2:$AI$1001,MATCH(ROWS($AH$2:AH744),$AH$2:$AH$1001,0),1)&gt;=100000,INDEX($AO$1005:$BQ$1005,1,MATCH(COLUMNS($AO$1006:BM1006),$AO$1006:$BQ$1006,0))&gt;=100000), " ",IF(INDEX($AO$2:$BQ$1001,MATCH(ROWS($AH$2:AH744),$AH$2:$AH$1001,0),MATCH(COLUMNS($AO$1006:BM1006),$AO$1006:$BQ$1006,0)), HYPERLINK("#",""), HYPERLINK(CONCATENATE("#Metadata!", ADDRESS(INDEX($AJ$2:$AJ$1001,MATCH(ROWS($AH$2:AH744),$AH$2:$AH$1001,0),0), INDEX($AO$1004:$BQ$1004,1,MATCH(COLUMNS($AO$1006:BM1006),$AO$1006:$BQ$1006,0)))),"Fix")))</f>
        <v>#N/A</v>
      </c>
      <c r="AA744" s="5" t="e">
        <f ca="1">IF(OR(INDEX($AI$2:$AI$1001,MATCH(ROWS($AH$2:AH744),$AH$2:$AH$1001,0),1)&gt;=100000,INDEX($AO$1005:$BQ$1005,1,MATCH(COLUMNS($AO$1006:BN1006),$AO$1006:$BQ$1006,0))&gt;=100000), " ",IF(INDEX($AO$2:$BQ$1001,MATCH(ROWS($AH$2:AH744),$AH$2:$AH$1001,0),MATCH(COLUMNS($AO$1006:BN1006),$AO$1006:$BQ$1006,0)), HYPERLINK("#",""), HYPERLINK(CONCATENATE("#Metadata!", ADDRESS(INDEX($AJ$2:$AJ$1001,MATCH(ROWS($AH$2:AH744),$AH$2:$AH$1001,0),0), INDEX($AO$1004:$BQ$1004,1,MATCH(COLUMNS($AO$1006:BN1006),$AO$1006:$BQ$1006,0)))),"Fix")))</f>
        <v>#N/A</v>
      </c>
      <c r="AB744" s="5" t="e">
        <f ca="1">IF(OR(INDEX($AI$2:$AI$1001,MATCH(ROWS($AH$2:AH744),$AH$2:$AH$1001,0),1)&gt;=100000,INDEX($AO$1005:$BQ$1005,1,MATCH(COLUMNS($AO$1006:BO1006),$AO$1006:$BQ$1006,0))&gt;=100000), " ",IF(INDEX($AO$2:$BQ$1001,MATCH(ROWS($AH$2:AH744),$AH$2:$AH$1001,0),MATCH(COLUMNS($AO$1006:BO1006),$AO$1006:$BQ$1006,0)), HYPERLINK("#",""), HYPERLINK(CONCATENATE("#Metadata!", ADDRESS(INDEX($AJ$2:$AJ$1001,MATCH(ROWS($AH$2:AH744),$AH$2:$AH$1001,0),0), INDEX($AO$1004:$BQ$1004,1,MATCH(COLUMNS($AO$1006:BO1006),$AO$1006:$BQ$1006,0)))),"Fix")))</f>
        <v>#N/A</v>
      </c>
      <c r="AC744" s="5" t="e">
        <f ca="1">IF(OR(INDEX($AI$2:$AI$1001,MATCH(ROWS($AH$2:AH744),$AH$2:$AH$1001,0),1)&gt;=100000,INDEX($AO$1005:$BQ$1005,1,MATCH(COLUMNS($AO$1006:BP1006),$AO$1006:$BQ$1006,0))&gt;=100000), " ",IF(INDEX($AO$2:$BQ$1001,MATCH(ROWS($AH$2:AH744),$AH$2:$AH$1001,0),MATCH(COLUMNS($AO$1006:BP1006),$AO$1006:$BQ$1006,0)), HYPERLINK("#",""), HYPERLINK(CONCATENATE("#Metadata!", ADDRESS(INDEX($AJ$2:$AJ$1001,MATCH(ROWS($AH$2:AH744),$AH$2:$AH$1001,0),0), INDEX($AO$1004:$BQ$1004,1,MATCH(COLUMNS($AO$1006:BP1006),$AO$1006:$BQ$1006,0)))),"Fix")))</f>
        <v>#N/A</v>
      </c>
      <c r="AD744" s="5" t="e">
        <f ca="1">IF(OR(INDEX($AI$2:$AI$1001,MATCH(ROWS($AH$2:AH744),$AH$2:$AH$1001,0),1)&gt;=100000,INDEX($AO$1005:$BQ$1005,1,MATCH(COLUMNS($AO$1006:BQ1006),$AO$1006:$BQ$1006,0))&gt;=100000), " ",IF(INDEX($AO$2:$BQ$1001,MATCH(ROWS($AH$2:AH744),$AH$2:$AH$1001,0),MATCH(COLUMNS($AO$1006:BQ1006),$AO$1006:$BQ$1006,0)), HYPERLINK("#",""), HYPERLINK(CONCATENATE("#Metadata!", ADDRESS(INDEX($AJ$2:$AJ$1001,MATCH(ROWS($AH$2:AH744),$AH$2:$AH$1001,0),0), INDEX($AO$1004:$BQ$1004,1,MATCH(COLUMNS($AO$1006:BQ1006),$AO$1006:$BQ$1006,0)))),"Fix")))</f>
        <v>#REF!</v>
      </c>
      <c r="AH744">
        <f ca="1"/>
        <v>741</v>
      </c>
      <c r="AI744">
        <v>100744</v>
      </c>
      <c r="AJ744">
        <v>744</v>
      </c>
      <c r="AK744" t="b">
        <f t="shared" si="11"/>
        <v>1</v>
      </c>
      <c r="AL744" t="b">
        <f>COUNTBLANK(Metadata!B744:AD744)=COLUMNS(Metadata!B744:AD744)</f>
        <v>1</v>
      </c>
      <c r="AM744" t="str">
        <v/>
      </c>
      <c r="AO744" t="b">
        <f ca="1">AND(IF(Metadata!B744="",FALSE,TRUE),COUNTIF(Metadata!B:B, Metadata!B744) = 1,NOT(ISERROR(SUMPRODUCT(SEARCH(MID(Metadata!B744,ROW(INDIRECT("1:"&amp;LEN(Metadata!B744))), 1),"0123456789abcdefghijklmnopqrstuvwxyzABCDEFGHIJKLMNOPQRSTUVWXYZ.")))))</f>
        <v>0</v>
      </c>
      <c r="AP744" t="b">
        <f>IF(Metadata!C744="",FALSE,TRUE)</f>
        <v>0</v>
      </c>
      <c r="AQ744" t="b">
        <f>IF(Metadata!D744="",FALSE,TRUE)</f>
        <v>0</v>
      </c>
      <c r="AR744" t="b">
        <f ca="1">OR(AND(IF(Metadata!E744="",FALSE,TRUE),OR(EXACT(Metadata!E744,"not collected"),EXACT(Metadata!E744,"not provided"),EXACT(Metadata!E744,"restricted access"))),AND(IF(Metadata!E744="",FALSE,TRUE),AND(AND(IFERROR(INT(LEFT(Metadata!E744,4))&gt;1900,FALSE),IFERROR(INT(LEFT(Metadata!E744,4))&lt;=YEAR(NOW()),FALSE)), OR(MID(Metadata!E744,5,1)="", AND(AND(MID(Metadata!E744,5,1)="-",IFERROR(INT(MID(Metadata!E744,6,1))&gt;=0,FALSE),IFERROR(INT(MID(Metadata!E744,6,1))&lt;=1,FALSE),NOT(MID(Metadata!E744,7,1)=""),IFERROR(INT(MID(Metadata!E744,6,2))&gt;=1,FALSE),IFERROR(INT(MID(Metadata!E744,6,2))&lt;=12,FALSE)), OR(MID(Metadata!E744,8,1)="", AND(AND(MID(Metadata!E744,8,1)="-",IFERROR(INT(MID(Metadata!E744,9,1))&gt;=0,FALSE),IFERROR(INT(MID(Metadata!E744,9,1))&lt;=3,FALSE),NOT(MID(Metadata!E744,10,1)=""),IFERROR(INT(MID(Metadata!E744,9,2))&gt;=1,FALSE),IFERROR(INT(MID(Metadata!E744,9,2))&lt;=31,FALSE)), OR(MID(Metadata!E744,11,1)="", AND(AND(MID(Metadata!E744,11,1)=" ",IFERROR(INT(MID(Metadata!E744,12,1))&gt;=0,FALSE),IFERROR(INT(MID(Metadata!E744,12,1))&lt;=2,FALSE),NOT(MID(Metadata!E744,13,1)=""),IFERROR(INT(MID(Metadata!E744,12,2))&gt;=0,FALSE),IFERROR(INT(MID(Metadata!E744,12,2))&lt;=23,FALSE)), OR(MID(Metadata!E744,14,1)="", AND(AND(MID(Metadata!E744,14,1)=":",IFERROR(INT(MID(Metadata!E744,15,1))&gt;=0,FALSE),IFERROR(INT(MID(Metadata!E744,15,1))&lt;=5,FALSE),NOT(MID(Metadata!E744,16,1)=""),IFERROR(INT(MID(Metadata!E744,15,2))&gt;=0,FALSE),IFERROR(INT(MID(Metadata!E744,15,2))&lt;=59,FALSE)), OR(MID(Metadata!E744,17,1)="", AND(AND(MID(Metadata!E744,17,1)=":",IFERROR(INT(MID(Metadata!E744,18,1))&gt;=0,FALSE),IFERROR(INT(MID(Metadata!E744,18,1))&lt;=5,FALSE),NOT(MID(Metadata!E744,19,1)=""),IFERROR(INT(MID(Metadata!E744,18,2))&gt;=0,FALSE),IFERROR(INT(MID(Metadata!E744,18,2))&lt;=59,FALSE)), LEN(Metadata!E744)&lt;=19)))))))))))))</f>
        <v>0</v>
      </c>
      <c r="AS744" t="b">
        <f>IF(Metadata!F744="",FALSE,TRUE)</f>
        <v>0</v>
      </c>
      <c r="AT744" t="b">
        <f>OR(AND(IF(Metadata!G744="",FALSE,TRUE),OR(EXACT(Metadata!G744,"not collected"),EXACT(Metadata!G744,"not provided"))),AND(IF(Metadata!G744="",FALSE,TRUE),OR(EXACT(Metadata!G744,"TRUE"),EXACT(Metadata!G744,"FALSE"))))</f>
        <v>0</v>
      </c>
      <c r="AU744" t="b">
        <f>OR(AND(IF(Metadata!H744="",FALSE,TRUE),OR(EXACT(Metadata!H744,"not collected"),EXACT(Metadata!H744,"not provided"),EXACT(Metadata!H744,"restricted access"))),AND(IF(Metadata!H744="",FALSE,ISNUMBER(VALUE(Metadata!H744))),Metadata!H744&gt;=-413))</f>
        <v>0</v>
      </c>
      <c r="AV744" t="b">
        <f>AND(IF(Metadata!I744="",FALSE,TRUE),EXACT(Metadata!I744,"meters"))</f>
        <v>0</v>
      </c>
      <c r="AW744" t="b">
        <f>AND(IF(Metadata!J744="",FALSE,TRUE),EXACT(Metadata!J744,"free-living"))</f>
        <v>0</v>
      </c>
      <c r="AX744" t="b">
        <f>AND(IF(Metadata!K744="",FALSE,TRUE),OR(EXACT(Metadata!K744,"saline"),EXACT(Metadata!K744,"non-saline")))</f>
        <v>0</v>
      </c>
      <c r="AY744" t="b">
        <f>AND(IF(Metadata!L744="",FALSE,TRUE),OR(EXACT(Metadata!L744,"sub-surface (non-saline)"),EXACT(Metadata!L744,"surface (non-saline)"),EXACT(Metadata!L744,"water (non-saline)"),EXACT(Metadata!L744,"soil (non-saline)"),EXACT(Metadata!L744,"aerosol (non-saline)"),EXACT(Metadata!L744,"sediment (non-saline)"),EXACT(Metadata!L744,"surface (saline)"),EXACT(Metadata!L744,"water (saline)"),EXACT(Metadata!L744,"hypersaline (saline)"),EXACT(Metadata!L744,"aerosol (saline)"),EXACT(Metadata!L744,"sediment (saline)")))</f>
        <v>0</v>
      </c>
      <c r="AZ744" t="b">
        <f>IF(Metadata!M744="",FALSE,TRUE)</f>
        <v>0</v>
      </c>
      <c r="BA744" t="b">
        <f>IF(Metadata!N744="",FALSE,TRUE)</f>
        <v>0</v>
      </c>
      <c r="BB744" t="b">
        <f>IF(Metadata!O744="",FALSE,TRUE)</f>
        <v>0</v>
      </c>
      <c r="BC744" t="b">
        <f>AND(IF(Metadata!P744="",FALSE,TRUE),OR(EXACT(Metadata!P744,"air"),EXACT(Metadata!P744,"microbial mat/biofilm"),EXACT(Metadata!P744,"misc environment"),EXACT(Metadata!P744,"sediment"),EXACT(Metadata!P744,"soil"),EXACT(Metadata!P744,"wastewater/sludge"),EXACT(Metadata!P744,"water")))</f>
        <v>0</v>
      </c>
      <c r="BD744" t="b">
        <f>IF(Metadata!Q744="",FALSE,TRUE)</f>
        <v>0</v>
      </c>
      <c r="BE744" t="b">
        <f>IF(Metadata!R744="",FALSE,TRUE)</f>
        <v>0</v>
      </c>
      <c r="BF744" t="b">
        <f>OR(AND(IF(Metadata!S744="",FALSE,TRUE),OR(EXACT(Metadata!S744,"not collected"),EXACT(Metadata!S744,"not provided"),EXACT(Metadata!S744,"restricted access"))),AND(IF(Metadata!S744="",FALSE,ISNUMBER(VALUE(Metadata!S744))),Metadata!S744&gt;=-90,Metadata!S744&lt;=90))</f>
        <v>0</v>
      </c>
      <c r="BG744" t="b">
        <f>AND(IF(Metadata!T744="",FALSE,TRUE),EXACT(Metadata!T744,"Decimal degrees"))</f>
        <v>0</v>
      </c>
      <c r="BH744" t="b">
        <f>OR(AND(IF(Metadata!U744="",FALSE,TRUE),OR(EXACT(Metadata!U744,"not applicable"),EXACT(Metadata!U744,"not collected"))),IF(Metadata!U744="",FALSE,TRUE))</f>
        <v>0</v>
      </c>
      <c r="BI744" t="b">
        <f>OR(AND(IF(Metadata!V744="",FALSE,TRUE),OR(EXACT(Metadata!V744,"not collected"),EXACT(Metadata!V744,"not provided"),EXACT(Metadata!V744,"restricted access"))),AND(IF(Metadata!V744="",FALSE,ISNUMBER(VALUE(Metadata!V744))),Metadata!V744&gt;=-180,Metadata!V744&lt;=180))</f>
        <v>0</v>
      </c>
      <c r="BJ744" t="b">
        <f>AND(IF(Metadata!W744="",FALSE,TRUE),EXACT(Metadata!W744,"Decimal degrees"))</f>
        <v>0</v>
      </c>
      <c r="BK744" t="b">
        <f>IF(Metadata!X744="",FALSE,TRUE)</f>
        <v>0</v>
      </c>
      <c r="BL744" t="b">
        <f>OR(AND(IF(Metadata!Y744="",FALSE,TRUE),OR(EXACT(Metadata!Y744,"not collected"),EXACT(Metadata!Y744,"not provided"),EXACT(Metadata!Y744,"restricted access"))),AND(IF(Metadata!Y744="",FALSE,TRUE),OR(EXACT(Metadata!Y744,"TRUE"),EXACT(Metadata!Y744,"FALSE"))))</f>
        <v>0</v>
      </c>
      <c r="BM744" t="b">
        <f>OR(AND(IF(Metadata!Z744="",FALSE,TRUE),EXACT(Metadata!Z744,"not applicable")),AND(IF(Metadata!Z744="",FALSE,TRUE),OR(EXACT(Metadata!Z744,"beer"),EXACT(Metadata!Z744,"cheese"),EXACT(Metadata!Z744,"fresh water"),EXACT(Metadata!Z744,"marine sediment"),EXACT(Metadata!Z744,"sea water"),EXACT(Metadata!Z744,"sediment"),EXACT(Metadata!Z744,"soil"),EXACT(Metadata!Z744,"waste water"))))</f>
        <v>0</v>
      </c>
      <c r="BN744" t="b">
        <f>AND(IF(Metadata!AA744="",FALSE,TRUE),EXACT(Metadata!AA744,"metagenome"))</f>
        <v>0</v>
      </c>
      <c r="BO744" t="b">
        <f>AND(IF(Metadata!AB744="",FALSE,TRUE),EXACT(Metadata!AB744,"256318"))</f>
        <v>0</v>
      </c>
      <c r="BP744" t="b">
        <f>IF(Metadata!AC744="",FALSE,TRUE)</f>
        <v>0</v>
      </c>
      <c r="BQ744" t="b">
        <f>IF(Metadata!AD744="",FALSE,TRUE)</f>
        <v>0</v>
      </c>
    </row>
    <row r="745" spans="1:69" x14ac:dyDescent="0.2">
      <c r="A745" s="4" t="e">
        <f ca="1">IF(B745=" "," ",HYPERLINK(CONCATENATE("#metadata!",ADDRESS(INDEX($AJ$2:$AJ$1001,MATCH(ROWS($AH$2:AH745),$AH$2:$AH$1001,0),0),2)),INDEX($AM$2:$AM$1001,MATCH(ROWS($AH$2:AH745),$AH$2:$AH$1001,0),0)))</f>
        <v>#N/A</v>
      </c>
      <c r="B745" s="5" t="e">
        <f ca="1">IF(OR(INDEX($AI$2:$AI$1001,MATCH(ROWS($AH$2:AH745),$AH$2:$AH$1001,0),1)&gt;=100000,INDEX($AO$1005:$BQ$1005,1,MATCH(COLUMNS($AO$1006:AO1006),$AO$1006:$BQ$1006,0))&gt;=100000), " ",IF(INDEX($AO$2:$BQ$1001,MATCH(ROWS($AH$2:AH745),$AH$2:$AH$1001,0),MATCH(COLUMNS($AO$1006:AO1006),$AO$1006:$BQ$1006,0)), HYPERLINK("#",""), HYPERLINK(CONCATENATE("#Metadata!", ADDRESS(INDEX($AJ$2:$AJ$1001,MATCH(ROWS($AH$2:AH745),$AH$2:$AH$1001,0),0), INDEX($AO$1004:$BQ$1004,1,MATCH(COLUMNS($AO$1006:AO1006),$AO$1006:$BQ$1006,0)))),"Fix")))</f>
        <v>#N/A</v>
      </c>
      <c r="C745" s="5" t="e">
        <f ca="1">IF(OR(INDEX($AI$2:$AI$1001,MATCH(ROWS($AH$2:AH745),$AH$2:$AH$1001,0),1)&gt;=100000,INDEX($AO$1005:$BQ$1005,1,MATCH(COLUMNS($AO$1006:AP1006),$AO$1006:$BQ$1006,0))&gt;=100000), " ",IF(INDEX($AO$2:$BQ$1001,MATCH(ROWS($AH$2:AH745),$AH$2:$AH$1001,0),MATCH(COLUMNS($AO$1006:AP1006),$AO$1006:$BQ$1006,0)), HYPERLINK("#",""), HYPERLINK(CONCATENATE("#Metadata!", ADDRESS(INDEX($AJ$2:$AJ$1001,MATCH(ROWS($AH$2:AH745),$AH$2:$AH$1001,0),0), INDEX($AO$1004:$BQ$1004,1,MATCH(COLUMNS($AO$1006:AP1006),$AO$1006:$BQ$1006,0)))),"Fix")))</f>
        <v>#N/A</v>
      </c>
      <c r="D745" s="5" t="e">
        <f ca="1">IF(OR(INDEX($AI$2:$AI$1001,MATCH(ROWS($AH$2:AH745),$AH$2:$AH$1001,0),1)&gt;=100000,INDEX($AO$1005:$BQ$1005,1,MATCH(COLUMNS($AO$1006:AQ1006),$AO$1006:$BQ$1006,0))&gt;=100000), " ",IF(INDEX($AO$2:$BQ$1001,MATCH(ROWS($AH$2:AH745),$AH$2:$AH$1001,0),MATCH(COLUMNS($AO$1006:AQ1006),$AO$1006:$BQ$1006,0)), HYPERLINK("#",""), HYPERLINK(CONCATENATE("#Metadata!", ADDRESS(INDEX($AJ$2:$AJ$1001,MATCH(ROWS($AH$2:AH745),$AH$2:$AH$1001,0),0), INDEX($AO$1004:$BQ$1004,1,MATCH(COLUMNS($AO$1006:AQ1006),$AO$1006:$BQ$1006,0)))),"Fix")))</f>
        <v>#N/A</v>
      </c>
      <c r="E745" s="5" t="e">
        <f ca="1">IF(OR(INDEX($AI$2:$AI$1001,MATCH(ROWS($AH$2:AH745),$AH$2:$AH$1001,0),1)&gt;=100000,INDEX($AO$1005:$BQ$1005,1,MATCH(COLUMNS($AO$1006:AR1006),$AO$1006:$BQ$1006,0))&gt;=100000), " ",IF(INDEX($AO$2:$BQ$1001,MATCH(ROWS($AH$2:AH745),$AH$2:$AH$1001,0),MATCH(COLUMNS($AO$1006:AR1006),$AO$1006:$BQ$1006,0)), HYPERLINK("#",""), HYPERLINK(CONCATENATE("#Metadata!", ADDRESS(INDEX($AJ$2:$AJ$1001,MATCH(ROWS($AH$2:AH745),$AH$2:$AH$1001,0),0), INDEX($AO$1004:$BQ$1004,1,MATCH(COLUMNS($AO$1006:AR1006),$AO$1006:$BQ$1006,0)))),"Fix")))</f>
        <v>#N/A</v>
      </c>
      <c r="F745" s="5" t="e">
        <f ca="1">IF(OR(INDEX($AI$2:$AI$1001,MATCH(ROWS($AH$2:AH745),$AH$2:$AH$1001,0),1)&gt;=100000,INDEX($AO$1005:$BQ$1005,1,MATCH(COLUMNS($AO$1006:AS1006),$AO$1006:$BQ$1006,0))&gt;=100000), " ",IF(INDEX($AO$2:$BQ$1001,MATCH(ROWS($AH$2:AH745),$AH$2:$AH$1001,0),MATCH(COLUMNS($AO$1006:AS1006),$AO$1006:$BQ$1006,0)), HYPERLINK("#",""), HYPERLINK(CONCATENATE("#Metadata!", ADDRESS(INDEX($AJ$2:$AJ$1001,MATCH(ROWS($AH$2:AH745),$AH$2:$AH$1001,0),0), INDEX($AO$1004:$BQ$1004,1,MATCH(COLUMNS($AO$1006:AS1006),$AO$1006:$BQ$1006,0)))),"Fix")))</f>
        <v>#N/A</v>
      </c>
      <c r="G745" s="5" t="e">
        <f ca="1">IF(OR(INDEX($AI$2:$AI$1001,MATCH(ROWS($AH$2:AH745),$AH$2:$AH$1001,0),1)&gt;=100000,INDEX($AO$1005:$BQ$1005,1,MATCH(COLUMNS($AO$1006:AT1006),$AO$1006:$BQ$1006,0))&gt;=100000), " ",IF(INDEX($AO$2:$BQ$1001,MATCH(ROWS($AH$2:AH745),$AH$2:$AH$1001,0),MATCH(COLUMNS($AO$1006:AT1006),$AO$1006:$BQ$1006,0)), HYPERLINK("#",""), HYPERLINK(CONCATENATE("#Metadata!", ADDRESS(INDEX($AJ$2:$AJ$1001,MATCH(ROWS($AH$2:AH745),$AH$2:$AH$1001,0),0), INDEX($AO$1004:$BQ$1004,1,MATCH(COLUMNS($AO$1006:AT1006),$AO$1006:$BQ$1006,0)))),"Fix")))</f>
        <v>#N/A</v>
      </c>
      <c r="H745" s="5" t="e">
        <f ca="1">IF(OR(INDEX($AI$2:$AI$1001,MATCH(ROWS($AH$2:AH745),$AH$2:$AH$1001,0),1)&gt;=100000,INDEX($AO$1005:$BQ$1005,1,MATCH(COLUMNS($AO$1006:AU1006),$AO$1006:$BQ$1006,0))&gt;=100000), " ",IF(INDEX($AO$2:$BQ$1001,MATCH(ROWS($AH$2:AH745),$AH$2:$AH$1001,0),MATCH(COLUMNS($AO$1006:AU1006),$AO$1006:$BQ$1006,0)), HYPERLINK("#",""), HYPERLINK(CONCATENATE("#Metadata!", ADDRESS(INDEX($AJ$2:$AJ$1001,MATCH(ROWS($AH$2:AH745),$AH$2:$AH$1001,0),0), INDEX($AO$1004:$BQ$1004,1,MATCH(COLUMNS($AO$1006:AU1006),$AO$1006:$BQ$1006,0)))),"Fix")))</f>
        <v>#N/A</v>
      </c>
      <c r="I745" s="5" t="e">
        <f ca="1">IF(OR(INDEX($AI$2:$AI$1001,MATCH(ROWS($AH$2:AH745),$AH$2:$AH$1001,0),1)&gt;=100000,INDEX($AO$1005:$BQ$1005,1,MATCH(COLUMNS($AO$1006:AV1006),$AO$1006:$BQ$1006,0))&gt;=100000), " ",IF(INDEX($AO$2:$BQ$1001,MATCH(ROWS($AH$2:AH745),$AH$2:$AH$1001,0),MATCH(COLUMNS($AO$1006:AV1006),$AO$1006:$BQ$1006,0)), HYPERLINK("#",""), HYPERLINK(CONCATENATE("#Metadata!", ADDRESS(INDEX($AJ$2:$AJ$1001,MATCH(ROWS($AH$2:AH745),$AH$2:$AH$1001,0),0), INDEX($AO$1004:$BQ$1004,1,MATCH(COLUMNS($AO$1006:AV1006),$AO$1006:$BQ$1006,0)))),"Fix")))</f>
        <v>#N/A</v>
      </c>
      <c r="J745" s="5" t="e">
        <f ca="1">IF(OR(INDEX($AI$2:$AI$1001,MATCH(ROWS($AH$2:AH745),$AH$2:$AH$1001,0),1)&gt;=100000,INDEX($AO$1005:$BQ$1005,1,MATCH(COLUMNS($AO$1006:AW1006),$AO$1006:$BQ$1006,0))&gt;=100000), " ",IF(INDEX($AO$2:$BQ$1001,MATCH(ROWS($AH$2:AH745),$AH$2:$AH$1001,0),MATCH(COLUMNS($AO$1006:AW1006),$AO$1006:$BQ$1006,0)), HYPERLINK("#",""), HYPERLINK(CONCATENATE("#Metadata!", ADDRESS(INDEX($AJ$2:$AJ$1001,MATCH(ROWS($AH$2:AH745),$AH$2:$AH$1001,0),0), INDEX($AO$1004:$BQ$1004,1,MATCH(COLUMNS($AO$1006:AW1006),$AO$1006:$BQ$1006,0)))),"Fix")))</f>
        <v>#N/A</v>
      </c>
      <c r="K745" s="5" t="e">
        <f ca="1">IF(OR(INDEX($AI$2:$AI$1001,MATCH(ROWS($AH$2:AH745),$AH$2:$AH$1001,0),1)&gt;=100000,INDEX($AO$1005:$BQ$1005,1,MATCH(COLUMNS($AO$1006:AX1006),$AO$1006:$BQ$1006,0))&gt;=100000), " ",IF(INDEX($AO$2:$BQ$1001,MATCH(ROWS($AH$2:AH745),$AH$2:$AH$1001,0),MATCH(COLUMNS($AO$1006:AX1006),$AO$1006:$BQ$1006,0)), HYPERLINK("#",""), HYPERLINK(CONCATENATE("#Metadata!", ADDRESS(INDEX($AJ$2:$AJ$1001,MATCH(ROWS($AH$2:AH745),$AH$2:$AH$1001,0),0), INDEX($AO$1004:$BQ$1004,1,MATCH(COLUMNS($AO$1006:AX1006),$AO$1006:$BQ$1006,0)))),"Fix")))</f>
        <v>#N/A</v>
      </c>
      <c r="L745" s="5" t="e">
        <f ca="1">IF(OR(INDEX($AI$2:$AI$1001,MATCH(ROWS($AH$2:AH745),$AH$2:$AH$1001,0),1)&gt;=100000,INDEX($AO$1005:$BQ$1005,1,MATCH(COLUMNS($AO$1006:AY1006),$AO$1006:$BQ$1006,0))&gt;=100000), " ",IF(INDEX($AO$2:$BQ$1001,MATCH(ROWS($AH$2:AH745),$AH$2:$AH$1001,0),MATCH(COLUMNS($AO$1006:AY1006),$AO$1006:$BQ$1006,0)), HYPERLINK("#",""), HYPERLINK(CONCATENATE("#Metadata!", ADDRESS(INDEX($AJ$2:$AJ$1001,MATCH(ROWS($AH$2:AH745),$AH$2:$AH$1001,0),0), INDEX($AO$1004:$BQ$1004,1,MATCH(COLUMNS($AO$1006:AY1006),$AO$1006:$BQ$1006,0)))),"Fix")))</f>
        <v>#N/A</v>
      </c>
      <c r="M745" s="5" t="e">
        <f ca="1">IF(OR(INDEX($AI$2:$AI$1001,MATCH(ROWS($AH$2:AH745),$AH$2:$AH$1001,0),1)&gt;=100000,INDEX($AO$1005:$BQ$1005,1,MATCH(COLUMNS($AO$1006:AZ1006),$AO$1006:$BQ$1006,0))&gt;=100000), " ",IF(INDEX($AO$2:$BQ$1001,MATCH(ROWS($AH$2:AH745),$AH$2:$AH$1001,0),MATCH(COLUMNS($AO$1006:AZ1006),$AO$1006:$BQ$1006,0)), HYPERLINK("#",""), HYPERLINK(CONCATENATE("#Metadata!", ADDRESS(INDEX($AJ$2:$AJ$1001,MATCH(ROWS($AH$2:AH745),$AH$2:$AH$1001,0),0), INDEX($AO$1004:$BQ$1004,1,MATCH(COLUMNS($AO$1006:AZ1006),$AO$1006:$BQ$1006,0)))),"Fix")))</f>
        <v>#N/A</v>
      </c>
      <c r="N745" s="5" t="e">
        <f ca="1">IF(OR(INDEX($AI$2:$AI$1001,MATCH(ROWS($AH$2:AH745),$AH$2:$AH$1001,0),1)&gt;=100000,INDEX($AO$1005:$BQ$1005,1,MATCH(COLUMNS($AO$1006:BA1006),$AO$1006:$BQ$1006,0))&gt;=100000), " ",IF(INDEX($AO$2:$BQ$1001,MATCH(ROWS($AH$2:AH745),$AH$2:$AH$1001,0),MATCH(COLUMNS($AO$1006:BA1006),$AO$1006:$BQ$1006,0)), HYPERLINK("#",""), HYPERLINK(CONCATENATE("#Metadata!", ADDRESS(INDEX($AJ$2:$AJ$1001,MATCH(ROWS($AH$2:AH745),$AH$2:$AH$1001,0),0), INDEX($AO$1004:$BQ$1004,1,MATCH(COLUMNS($AO$1006:BA1006),$AO$1006:$BQ$1006,0)))),"Fix")))</f>
        <v>#N/A</v>
      </c>
      <c r="O745" s="5" t="e">
        <f ca="1">IF(OR(INDEX($AI$2:$AI$1001,MATCH(ROWS($AH$2:AH745),$AH$2:$AH$1001,0),1)&gt;=100000,INDEX($AO$1005:$BQ$1005,1,MATCH(COLUMNS($AO$1006:BB1006),$AO$1006:$BQ$1006,0))&gt;=100000), " ",IF(INDEX($AO$2:$BQ$1001,MATCH(ROWS($AH$2:AH745),$AH$2:$AH$1001,0),MATCH(COLUMNS($AO$1006:BB1006),$AO$1006:$BQ$1006,0)), HYPERLINK("#",""), HYPERLINK(CONCATENATE("#Metadata!", ADDRESS(INDEX($AJ$2:$AJ$1001,MATCH(ROWS($AH$2:AH745),$AH$2:$AH$1001,0),0), INDEX($AO$1004:$BQ$1004,1,MATCH(COLUMNS($AO$1006:BB1006),$AO$1006:$BQ$1006,0)))),"Fix")))</f>
        <v>#N/A</v>
      </c>
      <c r="P745" s="5" t="e">
        <f ca="1">IF(OR(INDEX($AI$2:$AI$1001,MATCH(ROWS($AH$2:AH745),$AH$2:$AH$1001,0),1)&gt;=100000,INDEX($AO$1005:$BQ$1005,1,MATCH(COLUMNS($AO$1006:BC1006),$AO$1006:$BQ$1006,0))&gt;=100000), " ",IF(INDEX($AO$2:$BQ$1001,MATCH(ROWS($AH$2:AH745),$AH$2:$AH$1001,0),MATCH(COLUMNS($AO$1006:BC1006),$AO$1006:$BQ$1006,0)), HYPERLINK("#",""), HYPERLINK(CONCATENATE("#Metadata!", ADDRESS(INDEX($AJ$2:$AJ$1001,MATCH(ROWS($AH$2:AH745),$AH$2:$AH$1001,0),0), INDEX($AO$1004:$BQ$1004,1,MATCH(COLUMNS($AO$1006:BC1006),$AO$1006:$BQ$1006,0)))),"Fix")))</f>
        <v>#N/A</v>
      </c>
      <c r="Q745" s="5" t="e">
        <f ca="1">IF(OR(INDEX($AI$2:$AI$1001,MATCH(ROWS($AH$2:AH745),$AH$2:$AH$1001,0),1)&gt;=100000,INDEX($AO$1005:$BQ$1005,1,MATCH(COLUMNS($AO$1006:BD1006),$AO$1006:$BQ$1006,0))&gt;=100000), " ",IF(INDEX($AO$2:$BQ$1001,MATCH(ROWS($AH$2:AH745),$AH$2:$AH$1001,0),MATCH(COLUMNS($AO$1006:BD1006),$AO$1006:$BQ$1006,0)), HYPERLINK("#",""), HYPERLINK(CONCATENATE("#Metadata!", ADDRESS(INDEX($AJ$2:$AJ$1001,MATCH(ROWS($AH$2:AH745),$AH$2:$AH$1001,0),0), INDEX($AO$1004:$BQ$1004,1,MATCH(COLUMNS($AO$1006:BD1006),$AO$1006:$BQ$1006,0)))),"Fix")))</f>
        <v>#N/A</v>
      </c>
      <c r="R745" s="5" t="e">
        <f ca="1">IF(OR(INDEX($AI$2:$AI$1001,MATCH(ROWS($AH$2:AH745),$AH$2:$AH$1001,0),1)&gt;=100000,INDEX($AO$1005:$BQ$1005,1,MATCH(COLUMNS($AO$1006:BE1006),$AO$1006:$BQ$1006,0))&gt;=100000), " ",IF(INDEX($AO$2:$BQ$1001,MATCH(ROWS($AH$2:AH745),$AH$2:$AH$1001,0),MATCH(COLUMNS($AO$1006:BE1006),$AO$1006:$BQ$1006,0)), HYPERLINK("#",""), HYPERLINK(CONCATENATE("#Metadata!", ADDRESS(INDEX($AJ$2:$AJ$1001,MATCH(ROWS($AH$2:AH745),$AH$2:$AH$1001,0),0), INDEX($AO$1004:$BQ$1004,1,MATCH(COLUMNS($AO$1006:BE1006),$AO$1006:$BQ$1006,0)))),"Fix")))</f>
        <v>#N/A</v>
      </c>
      <c r="S745" s="5" t="e">
        <f ca="1">IF(OR(INDEX($AI$2:$AI$1001,MATCH(ROWS($AH$2:AH745),$AH$2:$AH$1001,0),1)&gt;=100000,INDEX($AO$1005:$BQ$1005,1,MATCH(COLUMNS($AO$1006:BF1006),$AO$1006:$BQ$1006,0))&gt;=100000), " ",IF(INDEX($AO$2:$BQ$1001,MATCH(ROWS($AH$2:AH745),$AH$2:$AH$1001,0),MATCH(COLUMNS($AO$1006:BF1006),$AO$1006:$BQ$1006,0)), HYPERLINK("#",""), HYPERLINK(CONCATENATE("#Metadata!", ADDRESS(INDEX($AJ$2:$AJ$1001,MATCH(ROWS($AH$2:AH745),$AH$2:$AH$1001,0),0), INDEX($AO$1004:$BQ$1004,1,MATCH(COLUMNS($AO$1006:BF1006),$AO$1006:$BQ$1006,0)))),"Fix")))</f>
        <v>#N/A</v>
      </c>
      <c r="T745" s="5" t="e">
        <f ca="1">IF(OR(INDEX($AI$2:$AI$1001,MATCH(ROWS($AH$2:AH745),$AH$2:$AH$1001,0),1)&gt;=100000,INDEX($AO$1005:$BQ$1005,1,MATCH(COLUMNS($AO$1006:BG1006),$AO$1006:$BQ$1006,0))&gt;=100000), " ",IF(INDEX($AO$2:$BQ$1001,MATCH(ROWS($AH$2:AH745),$AH$2:$AH$1001,0),MATCH(COLUMNS($AO$1006:BG1006),$AO$1006:$BQ$1006,0)), HYPERLINK("#",""), HYPERLINK(CONCATENATE("#Metadata!", ADDRESS(INDEX($AJ$2:$AJ$1001,MATCH(ROWS($AH$2:AH745),$AH$2:$AH$1001,0),0), INDEX($AO$1004:$BQ$1004,1,MATCH(COLUMNS($AO$1006:BG1006),$AO$1006:$BQ$1006,0)))),"Fix")))</f>
        <v>#N/A</v>
      </c>
      <c r="U745" s="5" t="e">
        <f ca="1">IF(OR(INDEX($AI$2:$AI$1001,MATCH(ROWS($AH$2:AH745),$AH$2:$AH$1001,0),1)&gt;=100000,INDEX($AO$1005:$BQ$1005,1,MATCH(COLUMNS($AO$1006:BH1006),$AO$1006:$BQ$1006,0))&gt;=100000), " ",IF(INDEX($AO$2:$BQ$1001,MATCH(ROWS($AH$2:AH745),$AH$2:$AH$1001,0),MATCH(COLUMNS($AO$1006:BH1006),$AO$1006:$BQ$1006,0)), HYPERLINK("#",""), HYPERLINK(CONCATENATE("#Metadata!", ADDRESS(INDEX($AJ$2:$AJ$1001,MATCH(ROWS($AH$2:AH745),$AH$2:$AH$1001,0),0), INDEX($AO$1004:$BQ$1004,1,MATCH(COLUMNS($AO$1006:BH1006),$AO$1006:$BQ$1006,0)))),"Fix")))</f>
        <v>#N/A</v>
      </c>
      <c r="V745" s="5" t="e">
        <f ca="1">IF(OR(INDEX($AI$2:$AI$1001,MATCH(ROWS($AH$2:AH745),$AH$2:$AH$1001,0),1)&gt;=100000,INDEX($AO$1005:$BQ$1005,1,MATCH(COLUMNS($AO$1006:BI1006),$AO$1006:$BQ$1006,0))&gt;=100000), " ",IF(INDEX($AO$2:$BQ$1001,MATCH(ROWS($AH$2:AH745),$AH$2:$AH$1001,0),MATCH(COLUMNS($AO$1006:BI1006),$AO$1006:$BQ$1006,0)), HYPERLINK("#",""), HYPERLINK(CONCATENATE("#Metadata!", ADDRESS(INDEX($AJ$2:$AJ$1001,MATCH(ROWS($AH$2:AH745),$AH$2:$AH$1001,0),0), INDEX($AO$1004:$BQ$1004,1,MATCH(COLUMNS($AO$1006:BI1006),$AO$1006:$BQ$1006,0)))),"Fix")))</f>
        <v>#N/A</v>
      </c>
      <c r="W745" s="5" t="e">
        <f ca="1">IF(OR(INDEX($AI$2:$AI$1001,MATCH(ROWS($AH$2:AH745),$AH$2:$AH$1001,0),1)&gt;=100000,INDEX($AO$1005:$BQ$1005,1,MATCH(COLUMNS($AO$1006:BJ1006),$AO$1006:$BQ$1006,0))&gt;=100000), " ",IF(INDEX($AO$2:$BQ$1001,MATCH(ROWS($AH$2:AH745),$AH$2:$AH$1001,0),MATCH(COLUMNS($AO$1006:BJ1006),$AO$1006:$BQ$1006,0)), HYPERLINK("#",""), HYPERLINK(CONCATENATE("#Metadata!", ADDRESS(INDEX($AJ$2:$AJ$1001,MATCH(ROWS($AH$2:AH745),$AH$2:$AH$1001,0),0), INDEX($AO$1004:$BQ$1004,1,MATCH(COLUMNS($AO$1006:BJ1006),$AO$1006:$BQ$1006,0)))),"Fix")))</f>
        <v>#N/A</v>
      </c>
      <c r="X745" s="5" t="e">
        <f ca="1">IF(OR(INDEX($AI$2:$AI$1001,MATCH(ROWS($AH$2:AH745),$AH$2:$AH$1001,0),1)&gt;=100000,INDEX($AO$1005:$BQ$1005,1,MATCH(COLUMNS($AO$1006:BK1006),$AO$1006:$BQ$1006,0))&gt;=100000), " ",IF(INDEX($AO$2:$BQ$1001,MATCH(ROWS($AH$2:AH745),$AH$2:$AH$1001,0),MATCH(COLUMNS($AO$1006:BK1006),$AO$1006:$BQ$1006,0)), HYPERLINK("#",""), HYPERLINK(CONCATENATE("#Metadata!", ADDRESS(INDEX($AJ$2:$AJ$1001,MATCH(ROWS($AH$2:AH745),$AH$2:$AH$1001,0),0), INDEX($AO$1004:$BQ$1004,1,MATCH(COLUMNS($AO$1006:BK1006),$AO$1006:$BQ$1006,0)))),"Fix")))</f>
        <v>#N/A</v>
      </c>
      <c r="Y745" s="5" t="e">
        <f ca="1">IF(OR(INDEX($AI$2:$AI$1001,MATCH(ROWS($AH$2:AH745),$AH$2:$AH$1001,0),1)&gt;=100000,INDEX($AO$1005:$BQ$1005,1,MATCH(COLUMNS($AO$1006:BL1006),$AO$1006:$BQ$1006,0))&gt;=100000), " ",IF(INDEX($AO$2:$BQ$1001,MATCH(ROWS($AH$2:AH745),$AH$2:$AH$1001,0),MATCH(COLUMNS($AO$1006:BL1006),$AO$1006:$BQ$1006,0)), HYPERLINK("#",""), HYPERLINK(CONCATENATE("#Metadata!", ADDRESS(INDEX($AJ$2:$AJ$1001,MATCH(ROWS($AH$2:AH745),$AH$2:$AH$1001,0),0), INDEX($AO$1004:$BQ$1004,1,MATCH(COLUMNS($AO$1006:BL1006),$AO$1006:$BQ$1006,0)))),"Fix")))</f>
        <v>#N/A</v>
      </c>
      <c r="Z745" s="5" t="e">
        <f ca="1">IF(OR(INDEX($AI$2:$AI$1001,MATCH(ROWS($AH$2:AH745),$AH$2:$AH$1001,0),1)&gt;=100000,INDEX($AO$1005:$BQ$1005,1,MATCH(COLUMNS($AO$1006:BM1006),$AO$1006:$BQ$1006,0))&gt;=100000), " ",IF(INDEX($AO$2:$BQ$1001,MATCH(ROWS($AH$2:AH745),$AH$2:$AH$1001,0),MATCH(COLUMNS($AO$1006:BM1006),$AO$1006:$BQ$1006,0)), HYPERLINK("#",""), HYPERLINK(CONCATENATE("#Metadata!", ADDRESS(INDEX($AJ$2:$AJ$1001,MATCH(ROWS($AH$2:AH745),$AH$2:$AH$1001,0),0), INDEX($AO$1004:$BQ$1004,1,MATCH(COLUMNS($AO$1006:BM1006),$AO$1006:$BQ$1006,0)))),"Fix")))</f>
        <v>#N/A</v>
      </c>
      <c r="AA745" s="5" t="e">
        <f ca="1">IF(OR(INDEX($AI$2:$AI$1001,MATCH(ROWS($AH$2:AH745),$AH$2:$AH$1001,0),1)&gt;=100000,INDEX($AO$1005:$BQ$1005,1,MATCH(COLUMNS($AO$1006:BN1006),$AO$1006:$BQ$1006,0))&gt;=100000), " ",IF(INDEX($AO$2:$BQ$1001,MATCH(ROWS($AH$2:AH745),$AH$2:$AH$1001,0),MATCH(COLUMNS($AO$1006:BN1006),$AO$1006:$BQ$1006,0)), HYPERLINK("#",""), HYPERLINK(CONCATENATE("#Metadata!", ADDRESS(INDEX($AJ$2:$AJ$1001,MATCH(ROWS($AH$2:AH745),$AH$2:$AH$1001,0),0), INDEX($AO$1004:$BQ$1004,1,MATCH(COLUMNS($AO$1006:BN1006),$AO$1006:$BQ$1006,0)))),"Fix")))</f>
        <v>#N/A</v>
      </c>
      <c r="AB745" s="5" t="e">
        <f ca="1">IF(OR(INDEX($AI$2:$AI$1001,MATCH(ROWS($AH$2:AH745),$AH$2:$AH$1001,0),1)&gt;=100000,INDEX($AO$1005:$BQ$1005,1,MATCH(COLUMNS($AO$1006:BO1006),$AO$1006:$BQ$1006,0))&gt;=100000), " ",IF(INDEX($AO$2:$BQ$1001,MATCH(ROWS($AH$2:AH745),$AH$2:$AH$1001,0),MATCH(COLUMNS($AO$1006:BO1006),$AO$1006:$BQ$1006,0)), HYPERLINK("#",""), HYPERLINK(CONCATENATE("#Metadata!", ADDRESS(INDEX($AJ$2:$AJ$1001,MATCH(ROWS($AH$2:AH745),$AH$2:$AH$1001,0),0), INDEX($AO$1004:$BQ$1004,1,MATCH(COLUMNS($AO$1006:BO1006),$AO$1006:$BQ$1006,0)))),"Fix")))</f>
        <v>#N/A</v>
      </c>
      <c r="AC745" s="5" t="e">
        <f ca="1">IF(OR(INDEX($AI$2:$AI$1001,MATCH(ROWS($AH$2:AH745),$AH$2:$AH$1001,0),1)&gt;=100000,INDEX($AO$1005:$BQ$1005,1,MATCH(COLUMNS($AO$1006:BP1006),$AO$1006:$BQ$1006,0))&gt;=100000), " ",IF(INDEX($AO$2:$BQ$1001,MATCH(ROWS($AH$2:AH745),$AH$2:$AH$1001,0),MATCH(COLUMNS($AO$1006:BP1006),$AO$1006:$BQ$1006,0)), HYPERLINK("#",""), HYPERLINK(CONCATENATE("#Metadata!", ADDRESS(INDEX($AJ$2:$AJ$1001,MATCH(ROWS($AH$2:AH745),$AH$2:$AH$1001,0),0), INDEX($AO$1004:$BQ$1004,1,MATCH(COLUMNS($AO$1006:BP1006),$AO$1006:$BQ$1006,0)))),"Fix")))</f>
        <v>#N/A</v>
      </c>
      <c r="AD745" s="5" t="e">
        <f ca="1">IF(OR(INDEX($AI$2:$AI$1001,MATCH(ROWS($AH$2:AH745),$AH$2:$AH$1001,0),1)&gt;=100000,INDEX($AO$1005:$BQ$1005,1,MATCH(COLUMNS($AO$1006:BQ1006),$AO$1006:$BQ$1006,0))&gt;=100000), " ",IF(INDEX($AO$2:$BQ$1001,MATCH(ROWS($AH$2:AH745),$AH$2:$AH$1001,0),MATCH(COLUMNS($AO$1006:BQ1006),$AO$1006:$BQ$1006,0)), HYPERLINK("#",""), HYPERLINK(CONCATENATE("#Metadata!", ADDRESS(INDEX($AJ$2:$AJ$1001,MATCH(ROWS($AH$2:AH745),$AH$2:$AH$1001,0),0), INDEX($AO$1004:$BQ$1004,1,MATCH(COLUMNS($AO$1006:BQ1006),$AO$1006:$BQ$1006,0)))),"Fix")))</f>
        <v>#REF!</v>
      </c>
      <c r="AH745">
        <f ca="1"/>
        <v>742</v>
      </c>
      <c r="AI745">
        <v>100745</v>
      </c>
      <c r="AJ745">
        <v>745</v>
      </c>
      <c r="AK745" t="b">
        <f t="shared" si="11"/>
        <v>1</v>
      </c>
      <c r="AL745" t="b">
        <f>COUNTBLANK(Metadata!B745:AD745)=COLUMNS(Metadata!B745:AD745)</f>
        <v>1</v>
      </c>
      <c r="AM745" t="str">
        <v/>
      </c>
      <c r="AO745" t="b">
        <f ca="1">AND(IF(Metadata!B745="",FALSE,TRUE),COUNTIF(Metadata!B:B, Metadata!B745) = 1,NOT(ISERROR(SUMPRODUCT(SEARCH(MID(Metadata!B745,ROW(INDIRECT("1:"&amp;LEN(Metadata!B745))), 1),"0123456789abcdefghijklmnopqrstuvwxyzABCDEFGHIJKLMNOPQRSTUVWXYZ.")))))</f>
        <v>0</v>
      </c>
      <c r="AP745" t="b">
        <f>IF(Metadata!C745="",FALSE,TRUE)</f>
        <v>0</v>
      </c>
      <c r="AQ745" t="b">
        <f>IF(Metadata!D745="",FALSE,TRUE)</f>
        <v>0</v>
      </c>
      <c r="AR745" t="b">
        <f ca="1">OR(AND(IF(Metadata!E745="",FALSE,TRUE),OR(EXACT(Metadata!E745,"not collected"),EXACT(Metadata!E745,"not provided"),EXACT(Metadata!E745,"restricted access"))),AND(IF(Metadata!E745="",FALSE,TRUE),AND(AND(IFERROR(INT(LEFT(Metadata!E745,4))&gt;1900,FALSE),IFERROR(INT(LEFT(Metadata!E745,4))&lt;=YEAR(NOW()),FALSE)), OR(MID(Metadata!E745,5,1)="", AND(AND(MID(Metadata!E745,5,1)="-",IFERROR(INT(MID(Metadata!E745,6,1))&gt;=0,FALSE),IFERROR(INT(MID(Metadata!E745,6,1))&lt;=1,FALSE),NOT(MID(Metadata!E745,7,1)=""),IFERROR(INT(MID(Metadata!E745,6,2))&gt;=1,FALSE),IFERROR(INT(MID(Metadata!E745,6,2))&lt;=12,FALSE)), OR(MID(Metadata!E745,8,1)="", AND(AND(MID(Metadata!E745,8,1)="-",IFERROR(INT(MID(Metadata!E745,9,1))&gt;=0,FALSE),IFERROR(INT(MID(Metadata!E745,9,1))&lt;=3,FALSE),NOT(MID(Metadata!E745,10,1)=""),IFERROR(INT(MID(Metadata!E745,9,2))&gt;=1,FALSE),IFERROR(INT(MID(Metadata!E745,9,2))&lt;=31,FALSE)), OR(MID(Metadata!E745,11,1)="", AND(AND(MID(Metadata!E745,11,1)=" ",IFERROR(INT(MID(Metadata!E745,12,1))&gt;=0,FALSE),IFERROR(INT(MID(Metadata!E745,12,1))&lt;=2,FALSE),NOT(MID(Metadata!E745,13,1)=""),IFERROR(INT(MID(Metadata!E745,12,2))&gt;=0,FALSE),IFERROR(INT(MID(Metadata!E745,12,2))&lt;=23,FALSE)), OR(MID(Metadata!E745,14,1)="", AND(AND(MID(Metadata!E745,14,1)=":",IFERROR(INT(MID(Metadata!E745,15,1))&gt;=0,FALSE),IFERROR(INT(MID(Metadata!E745,15,1))&lt;=5,FALSE),NOT(MID(Metadata!E745,16,1)=""),IFERROR(INT(MID(Metadata!E745,15,2))&gt;=0,FALSE),IFERROR(INT(MID(Metadata!E745,15,2))&lt;=59,FALSE)), OR(MID(Metadata!E745,17,1)="", AND(AND(MID(Metadata!E745,17,1)=":",IFERROR(INT(MID(Metadata!E745,18,1))&gt;=0,FALSE),IFERROR(INT(MID(Metadata!E745,18,1))&lt;=5,FALSE),NOT(MID(Metadata!E745,19,1)=""),IFERROR(INT(MID(Metadata!E745,18,2))&gt;=0,FALSE),IFERROR(INT(MID(Metadata!E745,18,2))&lt;=59,FALSE)), LEN(Metadata!E745)&lt;=19)))))))))))))</f>
        <v>0</v>
      </c>
      <c r="AS745" t="b">
        <f>IF(Metadata!F745="",FALSE,TRUE)</f>
        <v>0</v>
      </c>
      <c r="AT745" t="b">
        <f>OR(AND(IF(Metadata!G745="",FALSE,TRUE),OR(EXACT(Metadata!G745,"not collected"),EXACT(Metadata!G745,"not provided"))),AND(IF(Metadata!G745="",FALSE,TRUE),OR(EXACT(Metadata!G745,"TRUE"),EXACT(Metadata!G745,"FALSE"))))</f>
        <v>0</v>
      </c>
      <c r="AU745" t="b">
        <f>OR(AND(IF(Metadata!H745="",FALSE,TRUE),OR(EXACT(Metadata!H745,"not collected"),EXACT(Metadata!H745,"not provided"),EXACT(Metadata!H745,"restricted access"))),AND(IF(Metadata!H745="",FALSE,ISNUMBER(VALUE(Metadata!H745))),Metadata!H745&gt;=-413))</f>
        <v>0</v>
      </c>
      <c r="AV745" t="b">
        <f>AND(IF(Metadata!I745="",FALSE,TRUE),EXACT(Metadata!I745,"meters"))</f>
        <v>0</v>
      </c>
      <c r="AW745" t="b">
        <f>AND(IF(Metadata!J745="",FALSE,TRUE),EXACT(Metadata!J745,"free-living"))</f>
        <v>0</v>
      </c>
      <c r="AX745" t="b">
        <f>AND(IF(Metadata!K745="",FALSE,TRUE),OR(EXACT(Metadata!K745,"saline"),EXACT(Metadata!K745,"non-saline")))</f>
        <v>0</v>
      </c>
      <c r="AY745" t="b">
        <f>AND(IF(Metadata!L745="",FALSE,TRUE),OR(EXACT(Metadata!L745,"sub-surface (non-saline)"),EXACT(Metadata!L745,"surface (non-saline)"),EXACT(Metadata!L745,"water (non-saline)"),EXACT(Metadata!L745,"soil (non-saline)"),EXACT(Metadata!L745,"aerosol (non-saline)"),EXACT(Metadata!L745,"sediment (non-saline)"),EXACT(Metadata!L745,"surface (saline)"),EXACT(Metadata!L745,"water (saline)"),EXACT(Metadata!L745,"hypersaline (saline)"),EXACT(Metadata!L745,"aerosol (saline)"),EXACT(Metadata!L745,"sediment (saline)")))</f>
        <v>0</v>
      </c>
      <c r="AZ745" t="b">
        <f>IF(Metadata!M745="",FALSE,TRUE)</f>
        <v>0</v>
      </c>
      <c r="BA745" t="b">
        <f>IF(Metadata!N745="",FALSE,TRUE)</f>
        <v>0</v>
      </c>
      <c r="BB745" t="b">
        <f>IF(Metadata!O745="",FALSE,TRUE)</f>
        <v>0</v>
      </c>
      <c r="BC745" t="b">
        <f>AND(IF(Metadata!P745="",FALSE,TRUE),OR(EXACT(Metadata!P745,"air"),EXACT(Metadata!P745,"microbial mat/biofilm"),EXACT(Metadata!P745,"misc environment"),EXACT(Metadata!P745,"sediment"),EXACT(Metadata!P745,"soil"),EXACT(Metadata!P745,"wastewater/sludge"),EXACT(Metadata!P745,"water")))</f>
        <v>0</v>
      </c>
      <c r="BD745" t="b">
        <f>IF(Metadata!Q745="",FALSE,TRUE)</f>
        <v>0</v>
      </c>
      <c r="BE745" t="b">
        <f>IF(Metadata!R745="",FALSE,TRUE)</f>
        <v>0</v>
      </c>
      <c r="BF745" t="b">
        <f>OR(AND(IF(Metadata!S745="",FALSE,TRUE),OR(EXACT(Metadata!S745,"not collected"),EXACT(Metadata!S745,"not provided"),EXACT(Metadata!S745,"restricted access"))),AND(IF(Metadata!S745="",FALSE,ISNUMBER(VALUE(Metadata!S745))),Metadata!S745&gt;=-90,Metadata!S745&lt;=90))</f>
        <v>0</v>
      </c>
      <c r="BG745" t="b">
        <f>AND(IF(Metadata!T745="",FALSE,TRUE),EXACT(Metadata!T745,"Decimal degrees"))</f>
        <v>0</v>
      </c>
      <c r="BH745" t="b">
        <f>OR(AND(IF(Metadata!U745="",FALSE,TRUE),OR(EXACT(Metadata!U745,"not applicable"),EXACT(Metadata!U745,"not collected"))),IF(Metadata!U745="",FALSE,TRUE))</f>
        <v>0</v>
      </c>
      <c r="BI745" t="b">
        <f>OR(AND(IF(Metadata!V745="",FALSE,TRUE),OR(EXACT(Metadata!V745,"not collected"),EXACT(Metadata!V745,"not provided"),EXACT(Metadata!V745,"restricted access"))),AND(IF(Metadata!V745="",FALSE,ISNUMBER(VALUE(Metadata!V745))),Metadata!V745&gt;=-180,Metadata!V745&lt;=180))</f>
        <v>0</v>
      </c>
      <c r="BJ745" t="b">
        <f>AND(IF(Metadata!W745="",FALSE,TRUE),EXACT(Metadata!W745,"Decimal degrees"))</f>
        <v>0</v>
      </c>
      <c r="BK745" t="b">
        <f>IF(Metadata!X745="",FALSE,TRUE)</f>
        <v>0</v>
      </c>
      <c r="BL745" t="b">
        <f>OR(AND(IF(Metadata!Y745="",FALSE,TRUE),OR(EXACT(Metadata!Y745,"not collected"),EXACT(Metadata!Y745,"not provided"),EXACT(Metadata!Y745,"restricted access"))),AND(IF(Metadata!Y745="",FALSE,TRUE),OR(EXACT(Metadata!Y745,"TRUE"),EXACT(Metadata!Y745,"FALSE"))))</f>
        <v>0</v>
      </c>
      <c r="BM745" t="b">
        <f>OR(AND(IF(Metadata!Z745="",FALSE,TRUE),EXACT(Metadata!Z745,"not applicable")),AND(IF(Metadata!Z745="",FALSE,TRUE),OR(EXACT(Metadata!Z745,"beer"),EXACT(Metadata!Z745,"cheese"),EXACT(Metadata!Z745,"fresh water"),EXACT(Metadata!Z745,"marine sediment"),EXACT(Metadata!Z745,"sea water"),EXACT(Metadata!Z745,"sediment"),EXACT(Metadata!Z745,"soil"),EXACT(Metadata!Z745,"waste water"))))</f>
        <v>0</v>
      </c>
      <c r="BN745" t="b">
        <f>AND(IF(Metadata!AA745="",FALSE,TRUE),EXACT(Metadata!AA745,"metagenome"))</f>
        <v>0</v>
      </c>
      <c r="BO745" t="b">
        <f>AND(IF(Metadata!AB745="",FALSE,TRUE),EXACT(Metadata!AB745,"256318"))</f>
        <v>0</v>
      </c>
      <c r="BP745" t="b">
        <f>IF(Metadata!AC745="",FALSE,TRUE)</f>
        <v>0</v>
      </c>
      <c r="BQ745" t="b">
        <f>IF(Metadata!AD745="",FALSE,TRUE)</f>
        <v>0</v>
      </c>
    </row>
    <row r="746" spans="1:69" x14ac:dyDescent="0.2">
      <c r="A746" s="4" t="e">
        <f ca="1">IF(B746=" "," ",HYPERLINK(CONCATENATE("#metadata!",ADDRESS(INDEX($AJ$2:$AJ$1001,MATCH(ROWS($AH$2:AH746),$AH$2:$AH$1001,0),0),2)),INDEX($AM$2:$AM$1001,MATCH(ROWS($AH$2:AH746),$AH$2:$AH$1001,0),0)))</f>
        <v>#N/A</v>
      </c>
      <c r="B746" s="5" t="e">
        <f ca="1">IF(OR(INDEX($AI$2:$AI$1001,MATCH(ROWS($AH$2:AH746),$AH$2:$AH$1001,0),1)&gt;=100000,INDEX($AO$1005:$BQ$1005,1,MATCH(COLUMNS($AO$1006:AO1006),$AO$1006:$BQ$1006,0))&gt;=100000), " ",IF(INDEX($AO$2:$BQ$1001,MATCH(ROWS($AH$2:AH746),$AH$2:$AH$1001,0),MATCH(COLUMNS($AO$1006:AO1006),$AO$1006:$BQ$1006,0)), HYPERLINK("#",""), HYPERLINK(CONCATENATE("#Metadata!", ADDRESS(INDEX($AJ$2:$AJ$1001,MATCH(ROWS($AH$2:AH746),$AH$2:$AH$1001,0),0), INDEX($AO$1004:$BQ$1004,1,MATCH(COLUMNS($AO$1006:AO1006),$AO$1006:$BQ$1006,0)))),"Fix")))</f>
        <v>#N/A</v>
      </c>
      <c r="C746" s="5" t="e">
        <f ca="1">IF(OR(INDEX($AI$2:$AI$1001,MATCH(ROWS($AH$2:AH746),$AH$2:$AH$1001,0),1)&gt;=100000,INDEX($AO$1005:$BQ$1005,1,MATCH(COLUMNS($AO$1006:AP1006),$AO$1006:$BQ$1006,0))&gt;=100000), " ",IF(INDEX($AO$2:$BQ$1001,MATCH(ROWS($AH$2:AH746),$AH$2:$AH$1001,0),MATCH(COLUMNS($AO$1006:AP1006),$AO$1006:$BQ$1006,0)), HYPERLINK("#",""), HYPERLINK(CONCATENATE("#Metadata!", ADDRESS(INDEX($AJ$2:$AJ$1001,MATCH(ROWS($AH$2:AH746),$AH$2:$AH$1001,0),0), INDEX($AO$1004:$BQ$1004,1,MATCH(COLUMNS($AO$1006:AP1006),$AO$1006:$BQ$1006,0)))),"Fix")))</f>
        <v>#N/A</v>
      </c>
      <c r="D746" s="5" t="e">
        <f ca="1">IF(OR(INDEX($AI$2:$AI$1001,MATCH(ROWS($AH$2:AH746),$AH$2:$AH$1001,0),1)&gt;=100000,INDEX($AO$1005:$BQ$1005,1,MATCH(COLUMNS($AO$1006:AQ1006),$AO$1006:$BQ$1006,0))&gt;=100000), " ",IF(INDEX($AO$2:$BQ$1001,MATCH(ROWS($AH$2:AH746),$AH$2:$AH$1001,0),MATCH(COLUMNS($AO$1006:AQ1006),$AO$1006:$BQ$1006,0)), HYPERLINK("#",""), HYPERLINK(CONCATENATE("#Metadata!", ADDRESS(INDEX($AJ$2:$AJ$1001,MATCH(ROWS($AH$2:AH746),$AH$2:$AH$1001,0),0), INDEX($AO$1004:$BQ$1004,1,MATCH(COLUMNS($AO$1006:AQ1006),$AO$1006:$BQ$1006,0)))),"Fix")))</f>
        <v>#N/A</v>
      </c>
      <c r="E746" s="5" t="e">
        <f ca="1">IF(OR(INDEX($AI$2:$AI$1001,MATCH(ROWS($AH$2:AH746),$AH$2:$AH$1001,0),1)&gt;=100000,INDEX($AO$1005:$BQ$1005,1,MATCH(COLUMNS($AO$1006:AR1006),$AO$1006:$BQ$1006,0))&gt;=100000), " ",IF(INDEX($AO$2:$BQ$1001,MATCH(ROWS($AH$2:AH746),$AH$2:$AH$1001,0),MATCH(COLUMNS($AO$1006:AR1006),$AO$1006:$BQ$1006,0)), HYPERLINK("#",""), HYPERLINK(CONCATENATE("#Metadata!", ADDRESS(INDEX($AJ$2:$AJ$1001,MATCH(ROWS($AH$2:AH746),$AH$2:$AH$1001,0),0), INDEX($AO$1004:$BQ$1004,1,MATCH(COLUMNS($AO$1006:AR1006),$AO$1006:$BQ$1006,0)))),"Fix")))</f>
        <v>#N/A</v>
      </c>
      <c r="F746" s="5" t="e">
        <f ca="1">IF(OR(INDEX($AI$2:$AI$1001,MATCH(ROWS($AH$2:AH746),$AH$2:$AH$1001,0),1)&gt;=100000,INDEX($AO$1005:$BQ$1005,1,MATCH(COLUMNS($AO$1006:AS1006),$AO$1006:$BQ$1006,0))&gt;=100000), " ",IF(INDEX($AO$2:$BQ$1001,MATCH(ROWS($AH$2:AH746),$AH$2:$AH$1001,0),MATCH(COLUMNS($AO$1006:AS1006),$AO$1006:$BQ$1006,0)), HYPERLINK("#",""), HYPERLINK(CONCATENATE("#Metadata!", ADDRESS(INDEX($AJ$2:$AJ$1001,MATCH(ROWS($AH$2:AH746),$AH$2:$AH$1001,0),0), INDEX($AO$1004:$BQ$1004,1,MATCH(COLUMNS($AO$1006:AS1006),$AO$1006:$BQ$1006,0)))),"Fix")))</f>
        <v>#N/A</v>
      </c>
      <c r="G746" s="5" t="e">
        <f ca="1">IF(OR(INDEX($AI$2:$AI$1001,MATCH(ROWS($AH$2:AH746),$AH$2:$AH$1001,0),1)&gt;=100000,INDEX($AO$1005:$BQ$1005,1,MATCH(COLUMNS($AO$1006:AT1006),$AO$1006:$BQ$1006,0))&gt;=100000), " ",IF(INDEX($AO$2:$BQ$1001,MATCH(ROWS($AH$2:AH746),$AH$2:$AH$1001,0),MATCH(COLUMNS($AO$1006:AT1006),$AO$1006:$BQ$1006,0)), HYPERLINK("#",""), HYPERLINK(CONCATENATE("#Metadata!", ADDRESS(INDEX($AJ$2:$AJ$1001,MATCH(ROWS($AH$2:AH746),$AH$2:$AH$1001,0),0), INDEX($AO$1004:$BQ$1004,1,MATCH(COLUMNS($AO$1006:AT1006),$AO$1006:$BQ$1006,0)))),"Fix")))</f>
        <v>#N/A</v>
      </c>
      <c r="H746" s="5" t="e">
        <f ca="1">IF(OR(INDEX($AI$2:$AI$1001,MATCH(ROWS($AH$2:AH746),$AH$2:$AH$1001,0),1)&gt;=100000,INDEX($AO$1005:$BQ$1005,1,MATCH(COLUMNS($AO$1006:AU1006),$AO$1006:$BQ$1006,0))&gt;=100000), " ",IF(INDEX($AO$2:$BQ$1001,MATCH(ROWS($AH$2:AH746),$AH$2:$AH$1001,0),MATCH(COLUMNS($AO$1006:AU1006),$AO$1006:$BQ$1006,0)), HYPERLINK("#",""), HYPERLINK(CONCATENATE("#Metadata!", ADDRESS(INDEX($AJ$2:$AJ$1001,MATCH(ROWS($AH$2:AH746),$AH$2:$AH$1001,0),0), INDEX($AO$1004:$BQ$1004,1,MATCH(COLUMNS($AO$1006:AU1006),$AO$1006:$BQ$1006,0)))),"Fix")))</f>
        <v>#N/A</v>
      </c>
      <c r="I746" s="5" t="e">
        <f ca="1">IF(OR(INDEX($AI$2:$AI$1001,MATCH(ROWS($AH$2:AH746),$AH$2:$AH$1001,0),1)&gt;=100000,INDEX($AO$1005:$BQ$1005,1,MATCH(COLUMNS($AO$1006:AV1006),$AO$1006:$BQ$1006,0))&gt;=100000), " ",IF(INDEX($AO$2:$BQ$1001,MATCH(ROWS($AH$2:AH746),$AH$2:$AH$1001,0),MATCH(COLUMNS($AO$1006:AV1006),$AO$1006:$BQ$1006,0)), HYPERLINK("#",""), HYPERLINK(CONCATENATE("#Metadata!", ADDRESS(INDEX($AJ$2:$AJ$1001,MATCH(ROWS($AH$2:AH746),$AH$2:$AH$1001,0),0), INDEX($AO$1004:$BQ$1004,1,MATCH(COLUMNS($AO$1006:AV1006),$AO$1006:$BQ$1006,0)))),"Fix")))</f>
        <v>#N/A</v>
      </c>
      <c r="J746" s="5" t="e">
        <f ca="1">IF(OR(INDEX($AI$2:$AI$1001,MATCH(ROWS($AH$2:AH746),$AH$2:$AH$1001,0),1)&gt;=100000,INDEX($AO$1005:$BQ$1005,1,MATCH(COLUMNS($AO$1006:AW1006),$AO$1006:$BQ$1006,0))&gt;=100000), " ",IF(INDEX($AO$2:$BQ$1001,MATCH(ROWS($AH$2:AH746),$AH$2:$AH$1001,0),MATCH(COLUMNS($AO$1006:AW1006),$AO$1006:$BQ$1006,0)), HYPERLINK("#",""), HYPERLINK(CONCATENATE("#Metadata!", ADDRESS(INDEX($AJ$2:$AJ$1001,MATCH(ROWS($AH$2:AH746),$AH$2:$AH$1001,0),0), INDEX($AO$1004:$BQ$1004,1,MATCH(COLUMNS($AO$1006:AW1006),$AO$1006:$BQ$1006,0)))),"Fix")))</f>
        <v>#N/A</v>
      </c>
      <c r="K746" s="5" t="e">
        <f ca="1">IF(OR(INDEX($AI$2:$AI$1001,MATCH(ROWS($AH$2:AH746),$AH$2:$AH$1001,0),1)&gt;=100000,INDEX($AO$1005:$BQ$1005,1,MATCH(COLUMNS($AO$1006:AX1006),$AO$1006:$BQ$1006,0))&gt;=100000), " ",IF(INDEX($AO$2:$BQ$1001,MATCH(ROWS($AH$2:AH746),$AH$2:$AH$1001,0),MATCH(COLUMNS($AO$1006:AX1006),$AO$1006:$BQ$1006,0)), HYPERLINK("#",""), HYPERLINK(CONCATENATE("#Metadata!", ADDRESS(INDEX($AJ$2:$AJ$1001,MATCH(ROWS($AH$2:AH746),$AH$2:$AH$1001,0),0), INDEX($AO$1004:$BQ$1004,1,MATCH(COLUMNS($AO$1006:AX1006),$AO$1006:$BQ$1006,0)))),"Fix")))</f>
        <v>#N/A</v>
      </c>
      <c r="L746" s="5" t="e">
        <f ca="1">IF(OR(INDEX($AI$2:$AI$1001,MATCH(ROWS($AH$2:AH746),$AH$2:$AH$1001,0),1)&gt;=100000,INDEX($AO$1005:$BQ$1005,1,MATCH(COLUMNS($AO$1006:AY1006),$AO$1006:$BQ$1006,0))&gt;=100000), " ",IF(INDEX($AO$2:$BQ$1001,MATCH(ROWS($AH$2:AH746),$AH$2:$AH$1001,0),MATCH(COLUMNS($AO$1006:AY1006),$AO$1006:$BQ$1006,0)), HYPERLINK("#",""), HYPERLINK(CONCATENATE("#Metadata!", ADDRESS(INDEX($AJ$2:$AJ$1001,MATCH(ROWS($AH$2:AH746),$AH$2:$AH$1001,0),0), INDEX($AO$1004:$BQ$1004,1,MATCH(COLUMNS($AO$1006:AY1006),$AO$1006:$BQ$1006,0)))),"Fix")))</f>
        <v>#N/A</v>
      </c>
      <c r="M746" s="5" t="e">
        <f ca="1">IF(OR(INDEX($AI$2:$AI$1001,MATCH(ROWS($AH$2:AH746),$AH$2:$AH$1001,0),1)&gt;=100000,INDEX($AO$1005:$BQ$1005,1,MATCH(COLUMNS($AO$1006:AZ1006),$AO$1006:$BQ$1006,0))&gt;=100000), " ",IF(INDEX($AO$2:$BQ$1001,MATCH(ROWS($AH$2:AH746),$AH$2:$AH$1001,0),MATCH(COLUMNS($AO$1006:AZ1006),$AO$1006:$BQ$1006,0)), HYPERLINK("#",""), HYPERLINK(CONCATENATE("#Metadata!", ADDRESS(INDEX($AJ$2:$AJ$1001,MATCH(ROWS($AH$2:AH746),$AH$2:$AH$1001,0),0), INDEX($AO$1004:$BQ$1004,1,MATCH(COLUMNS($AO$1006:AZ1006),$AO$1006:$BQ$1006,0)))),"Fix")))</f>
        <v>#N/A</v>
      </c>
      <c r="N746" s="5" t="e">
        <f ca="1">IF(OR(INDEX($AI$2:$AI$1001,MATCH(ROWS($AH$2:AH746),$AH$2:$AH$1001,0),1)&gt;=100000,INDEX($AO$1005:$BQ$1005,1,MATCH(COLUMNS($AO$1006:BA1006),$AO$1006:$BQ$1006,0))&gt;=100000), " ",IF(INDEX($AO$2:$BQ$1001,MATCH(ROWS($AH$2:AH746),$AH$2:$AH$1001,0),MATCH(COLUMNS($AO$1006:BA1006),$AO$1006:$BQ$1006,0)), HYPERLINK("#",""), HYPERLINK(CONCATENATE("#Metadata!", ADDRESS(INDEX($AJ$2:$AJ$1001,MATCH(ROWS($AH$2:AH746),$AH$2:$AH$1001,0),0), INDEX($AO$1004:$BQ$1004,1,MATCH(COLUMNS($AO$1006:BA1006),$AO$1006:$BQ$1006,0)))),"Fix")))</f>
        <v>#N/A</v>
      </c>
      <c r="O746" s="5" t="e">
        <f ca="1">IF(OR(INDEX($AI$2:$AI$1001,MATCH(ROWS($AH$2:AH746),$AH$2:$AH$1001,0),1)&gt;=100000,INDEX($AO$1005:$BQ$1005,1,MATCH(COLUMNS($AO$1006:BB1006),$AO$1006:$BQ$1006,0))&gt;=100000), " ",IF(INDEX($AO$2:$BQ$1001,MATCH(ROWS($AH$2:AH746),$AH$2:$AH$1001,0),MATCH(COLUMNS($AO$1006:BB1006),$AO$1006:$BQ$1006,0)), HYPERLINK("#",""), HYPERLINK(CONCATENATE("#Metadata!", ADDRESS(INDEX($AJ$2:$AJ$1001,MATCH(ROWS($AH$2:AH746),$AH$2:$AH$1001,0),0), INDEX($AO$1004:$BQ$1004,1,MATCH(COLUMNS($AO$1006:BB1006),$AO$1006:$BQ$1006,0)))),"Fix")))</f>
        <v>#N/A</v>
      </c>
      <c r="P746" s="5" t="e">
        <f ca="1">IF(OR(INDEX($AI$2:$AI$1001,MATCH(ROWS($AH$2:AH746),$AH$2:$AH$1001,0),1)&gt;=100000,INDEX($AO$1005:$BQ$1005,1,MATCH(COLUMNS($AO$1006:BC1006),$AO$1006:$BQ$1006,0))&gt;=100000), " ",IF(INDEX($AO$2:$BQ$1001,MATCH(ROWS($AH$2:AH746),$AH$2:$AH$1001,0),MATCH(COLUMNS($AO$1006:BC1006),$AO$1006:$BQ$1006,0)), HYPERLINK("#",""), HYPERLINK(CONCATENATE("#Metadata!", ADDRESS(INDEX($AJ$2:$AJ$1001,MATCH(ROWS($AH$2:AH746),$AH$2:$AH$1001,0),0), INDEX($AO$1004:$BQ$1004,1,MATCH(COLUMNS($AO$1006:BC1006),$AO$1006:$BQ$1006,0)))),"Fix")))</f>
        <v>#N/A</v>
      </c>
      <c r="Q746" s="5" t="e">
        <f ca="1">IF(OR(INDEX($AI$2:$AI$1001,MATCH(ROWS($AH$2:AH746),$AH$2:$AH$1001,0),1)&gt;=100000,INDEX($AO$1005:$BQ$1005,1,MATCH(COLUMNS($AO$1006:BD1006),$AO$1006:$BQ$1006,0))&gt;=100000), " ",IF(INDEX($AO$2:$BQ$1001,MATCH(ROWS($AH$2:AH746),$AH$2:$AH$1001,0),MATCH(COLUMNS($AO$1006:BD1006),$AO$1006:$BQ$1006,0)), HYPERLINK("#",""), HYPERLINK(CONCATENATE("#Metadata!", ADDRESS(INDEX($AJ$2:$AJ$1001,MATCH(ROWS($AH$2:AH746),$AH$2:$AH$1001,0),0), INDEX($AO$1004:$BQ$1004,1,MATCH(COLUMNS($AO$1006:BD1006),$AO$1006:$BQ$1006,0)))),"Fix")))</f>
        <v>#N/A</v>
      </c>
      <c r="R746" s="5" t="e">
        <f ca="1">IF(OR(INDEX($AI$2:$AI$1001,MATCH(ROWS($AH$2:AH746),$AH$2:$AH$1001,0),1)&gt;=100000,INDEX($AO$1005:$BQ$1005,1,MATCH(COLUMNS($AO$1006:BE1006),$AO$1006:$BQ$1006,0))&gt;=100000), " ",IF(INDEX($AO$2:$BQ$1001,MATCH(ROWS($AH$2:AH746),$AH$2:$AH$1001,0),MATCH(COLUMNS($AO$1006:BE1006),$AO$1006:$BQ$1006,0)), HYPERLINK("#",""), HYPERLINK(CONCATENATE("#Metadata!", ADDRESS(INDEX($AJ$2:$AJ$1001,MATCH(ROWS($AH$2:AH746),$AH$2:$AH$1001,0),0), INDEX($AO$1004:$BQ$1004,1,MATCH(COLUMNS($AO$1006:BE1006),$AO$1006:$BQ$1006,0)))),"Fix")))</f>
        <v>#N/A</v>
      </c>
      <c r="S746" s="5" t="e">
        <f ca="1">IF(OR(INDEX($AI$2:$AI$1001,MATCH(ROWS($AH$2:AH746),$AH$2:$AH$1001,0),1)&gt;=100000,INDEX($AO$1005:$BQ$1005,1,MATCH(COLUMNS($AO$1006:BF1006),$AO$1006:$BQ$1006,0))&gt;=100000), " ",IF(INDEX($AO$2:$BQ$1001,MATCH(ROWS($AH$2:AH746),$AH$2:$AH$1001,0),MATCH(COLUMNS($AO$1006:BF1006),$AO$1006:$BQ$1006,0)), HYPERLINK("#",""), HYPERLINK(CONCATENATE("#Metadata!", ADDRESS(INDEX($AJ$2:$AJ$1001,MATCH(ROWS($AH$2:AH746),$AH$2:$AH$1001,0),0), INDEX($AO$1004:$BQ$1004,1,MATCH(COLUMNS($AO$1006:BF1006),$AO$1006:$BQ$1006,0)))),"Fix")))</f>
        <v>#N/A</v>
      </c>
      <c r="T746" s="5" t="e">
        <f ca="1">IF(OR(INDEX($AI$2:$AI$1001,MATCH(ROWS($AH$2:AH746),$AH$2:$AH$1001,0),1)&gt;=100000,INDEX($AO$1005:$BQ$1005,1,MATCH(COLUMNS($AO$1006:BG1006),$AO$1006:$BQ$1006,0))&gt;=100000), " ",IF(INDEX($AO$2:$BQ$1001,MATCH(ROWS($AH$2:AH746),$AH$2:$AH$1001,0),MATCH(COLUMNS($AO$1006:BG1006),$AO$1006:$BQ$1006,0)), HYPERLINK("#",""), HYPERLINK(CONCATENATE("#Metadata!", ADDRESS(INDEX($AJ$2:$AJ$1001,MATCH(ROWS($AH$2:AH746),$AH$2:$AH$1001,0),0), INDEX($AO$1004:$BQ$1004,1,MATCH(COLUMNS($AO$1006:BG1006),$AO$1006:$BQ$1006,0)))),"Fix")))</f>
        <v>#N/A</v>
      </c>
      <c r="U746" s="5" t="e">
        <f ca="1">IF(OR(INDEX($AI$2:$AI$1001,MATCH(ROWS($AH$2:AH746),$AH$2:$AH$1001,0),1)&gt;=100000,INDEX($AO$1005:$BQ$1005,1,MATCH(COLUMNS($AO$1006:BH1006),$AO$1006:$BQ$1006,0))&gt;=100000), " ",IF(INDEX($AO$2:$BQ$1001,MATCH(ROWS($AH$2:AH746),$AH$2:$AH$1001,0),MATCH(COLUMNS($AO$1006:BH1006),$AO$1006:$BQ$1006,0)), HYPERLINK("#",""), HYPERLINK(CONCATENATE("#Metadata!", ADDRESS(INDEX($AJ$2:$AJ$1001,MATCH(ROWS($AH$2:AH746),$AH$2:$AH$1001,0),0), INDEX($AO$1004:$BQ$1004,1,MATCH(COLUMNS($AO$1006:BH1006),$AO$1006:$BQ$1006,0)))),"Fix")))</f>
        <v>#N/A</v>
      </c>
      <c r="V746" s="5" t="e">
        <f ca="1">IF(OR(INDEX($AI$2:$AI$1001,MATCH(ROWS($AH$2:AH746),$AH$2:$AH$1001,0),1)&gt;=100000,INDEX($AO$1005:$BQ$1005,1,MATCH(COLUMNS($AO$1006:BI1006),$AO$1006:$BQ$1006,0))&gt;=100000), " ",IF(INDEX($AO$2:$BQ$1001,MATCH(ROWS($AH$2:AH746),$AH$2:$AH$1001,0),MATCH(COLUMNS($AO$1006:BI1006),$AO$1006:$BQ$1006,0)), HYPERLINK("#",""), HYPERLINK(CONCATENATE("#Metadata!", ADDRESS(INDEX($AJ$2:$AJ$1001,MATCH(ROWS($AH$2:AH746),$AH$2:$AH$1001,0),0), INDEX($AO$1004:$BQ$1004,1,MATCH(COLUMNS($AO$1006:BI1006),$AO$1006:$BQ$1006,0)))),"Fix")))</f>
        <v>#N/A</v>
      </c>
      <c r="W746" s="5" t="e">
        <f ca="1">IF(OR(INDEX($AI$2:$AI$1001,MATCH(ROWS($AH$2:AH746),$AH$2:$AH$1001,0),1)&gt;=100000,INDEX($AO$1005:$BQ$1005,1,MATCH(COLUMNS($AO$1006:BJ1006),$AO$1006:$BQ$1006,0))&gt;=100000), " ",IF(INDEX($AO$2:$BQ$1001,MATCH(ROWS($AH$2:AH746),$AH$2:$AH$1001,0),MATCH(COLUMNS($AO$1006:BJ1006),$AO$1006:$BQ$1006,0)), HYPERLINK("#",""), HYPERLINK(CONCATENATE("#Metadata!", ADDRESS(INDEX($AJ$2:$AJ$1001,MATCH(ROWS($AH$2:AH746),$AH$2:$AH$1001,0),0), INDEX($AO$1004:$BQ$1004,1,MATCH(COLUMNS($AO$1006:BJ1006),$AO$1006:$BQ$1006,0)))),"Fix")))</f>
        <v>#N/A</v>
      </c>
      <c r="X746" s="5" t="e">
        <f ca="1">IF(OR(INDEX($AI$2:$AI$1001,MATCH(ROWS($AH$2:AH746),$AH$2:$AH$1001,0),1)&gt;=100000,INDEX($AO$1005:$BQ$1005,1,MATCH(COLUMNS($AO$1006:BK1006),$AO$1006:$BQ$1006,0))&gt;=100000), " ",IF(INDEX($AO$2:$BQ$1001,MATCH(ROWS($AH$2:AH746),$AH$2:$AH$1001,0),MATCH(COLUMNS($AO$1006:BK1006),$AO$1006:$BQ$1006,0)), HYPERLINK("#",""), HYPERLINK(CONCATENATE("#Metadata!", ADDRESS(INDEX($AJ$2:$AJ$1001,MATCH(ROWS($AH$2:AH746),$AH$2:$AH$1001,0),0), INDEX($AO$1004:$BQ$1004,1,MATCH(COLUMNS($AO$1006:BK1006),$AO$1006:$BQ$1006,0)))),"Fix")))</f>
        <v>#N/A</v>
      </c>
      <c r="Y746" s="5" t="e">
        <f ca="1">IF(OR(INDEX($AI$2:$AI$1001,MATCH(ROWS($AH$2:AH746),$AH$2:$AH$1001,0),1)&gt;=100000,INDEX($AO$1005:$BQ$1005,1,MATCH(COLUMNS($AO$1006:BL1006),$AO$1006:$BQ$1006,0))&gt;=100000), " ",IF(INDEX($AO$2:$BQ$1001,MATCH(ROWS($AH$2:AH746),$AH$2:$AH$1001,0),MATCH(COLUMNS($AO$1006:BL1006),$AO$1006:$BQ$1006,0)), HYPERLINK("#",""), HYPERLINK(CONCATENATE("#Metadata!", ADDRESS(INDEX($AJ$2:$AJ$1001,MATCH(ROWS($AH$2:AH746),$AH$2:$AH$1001,0),0), INDEX($AO$1004:$BQ$1004,1,MATCH(COLUMNS($AO$1006:BL1006),$AO$1006:$BQ$1006,0)))),"Fix")))</f>
        <v>#N/A</v>
      </c>
      <c r="Z746" s="5" t="e">
        <f ca="1">IF(OR(INDEX($AI$2:$AI$1001,MATCH(ROWS($AH$2:AH746),$AH$2:$AH$1001,0),1)&gt;=100000,INDEX($AO$1005:$BQ$1005,1,MATCH(COLUMNS($AO$1006:BM1006),$AO$1006:$BQ$1006,0))&gt;=100000), " ",IF(INDEX($AO$2:$BQ$1001,MATCH(ROWS($AH$2:AH746),$AH$2:$AH$1001,0),MATCH(COLUMNS($AO$1006:BM1006),$AO$1006:$BQ$1006,0)), HYPERLINK("#",""), HYPERLINK(CONCATENATE("#Metadata!", ADDRESS(INDEX($AJ$2:$AJ$1001,MATCH(ROWS($AH$2:AH746),$AH$2:$AH$1001,0),0), INDEX($AO$1004:$BQ$1004,1,MATCH(COLUMNS($AO$1006:BM1006),$AO$1006:$BQ$1006,0)))),"Fix")))</f>
        <v>#N/A</v>
      </c>
      <c r="AA746" s="5" t="e">
        <f ca="1">IF(OR(INDEX($AI$2:$AI$1001,MATCH(ROWS($AH$2:AH746),$AH$2:$AH$1001,0),1)&gt;=100000,INDEX($AO$1005:$BQ$1005,1,MATCH(COLUMNS($AO$1006:BN1006),$AO$1006:$BQ$1006,0))&gt;=100000), " ",IF(INDEX($AO$2:$BQ$1001,MATCH(ROWS($AH$2:AH746),$AH$2:$AH$1001,0),MATCH(COLUMNS($AO$1006:BN1006),$AO$1006:$BQ$1006,0)), HYPERLINK("#",""), HYPERLINK(CONCATENATE("#Metadata!", ADDRESS(INDEX($AJ$2:$AJ$1001,MATCH(ROWS($AH$2:AH746),$AH$2:$AH$1001,0),0), INDEX($AO$1004:$BQ$1004,1,MATCH(COLUMNS($AO$1006:BN1006),$AO$1006:$BQ$1006,0)))),"Fix")))</f>
        <v>#N/A</v>
      </c>
      <c r="AB746" s="5" t="e">
        <f ca="1">IF(OR(INDEX($AI$2:$AI$1001,MATCH(ROWS($AH$2:AH746),$AH$2:$AH$1001,0),1)&gt;=100000,INDEX($AO$1005:$BQ$1005,1,MATCH(COLUMNS($AO$1006:BO1006),$AO$1006:$BQ$1006,0))&gt;=100000), " ",IF(INDEX($AO$2:$BQ$1001,MATCH(ROWS($AH$2:AH746),$AH$2:$AH$1001,0),MATCH(COLUMNS($AO$1006:BO1006),$AO$1006:$BQ$1006,0)), HYPERLINK("#",""), HYPERLINK(CONCATENATE("#Metadata!", ADDRESS(INDEX($AJ$2:$AJ$1001,MATCH(ROWS($AH$2:AH746),$AH$2:$AH$1001,0),0), INDEX($AO$1004:$BQ$1004,1,MATCH(COLUMNS($AO$1006:BO1006),$AO$1006:$BQ$1006,0)))),"Fix")))</f>
        <v>#N/A</v>
      </c>
      <c r="AC746" s="5" t="e">
        <f ca="1">IF(OR(INDEX($AI$2:$AI$1001,MATCH(ROWS($AH$2:AH746),$AH$2:$AH$1001,0),1)&gt;=100000,INDEX($AO$1005:$BQ$1005,1,MATCH(COLUMNS($AO$1006:BP1006),$AO$1006:$BQ$1006,0))&gt;=100000), " ",IF(INDEX($AO$2:$BQ$1001,MATCH(ROWS($AH$2:AH746),$AH$2:$AH$1001,0),MATCH(COLUMNS($AO$1006:BP1006),$AO$1006:$BQ$1006,0)), HYPERLINK("#",""), HYPERLINK(CONCATENATE("#Metadata!", ADDRESS(INDEX($AJ$2:$AJ$1001,MATCH(ROWS($AH$2:AH746),$AH$2:$AH$1001,0),0), INDEX($AO$1004:$BQ$1004,1,MATCH(COLUMNS($AO$1006:BP1006),$AO$1006:$BQ$1006,0)))),"Fix")))</f>
        <v>#N/A</v>
      </c>
      <c r="AD746" s="5" t="e">
        <f ca="1">IF(OR(INDEX($AI$2:$AI$1001,MATCH(ROWS($AH$2:AH746),$AH$2:$AH$1001,0),1)&gt;=100000,INDEX($AO$1005:$BQ$1005,1,MATCH(COLUMNS($AO$1006:BQ1006),$AO$1006:$BQ$1006,0))&gt;=100000), " ",IF(INDEX($AO$2:$BQ$1001,MATCH(ROWS($AH$2:AH746),$AH$2:$AH$1001,0),MATCH(COLUMNS($AO$1006:BQ1006),$AO$1006:$BQ$1006,0)), HYPERLINK("#",""), HYPERLINK(CONCATENATE("#Metadata!", ADDRESS(INDEX($AJ$2:$AJ$1001,MATCH(ROWS($AH$2:AH746),$AH$2:$AH$1001,0),0), INDEX($AO$1004:$BQ$1004,1,MATCH(COLUMNS($AO$1006:BQ1006),$AO$1006:$BQ$1006,0)))),"Fix")))</f>
        <v>#REF!</v>
      </c>
      <c r="AH746">
        <f ca="1"/>
        <v>743</v>
      </c>
      <c r="AI746">
        <v>100746</v>
      </c>
      <c r="AJ746">
        <v>746</v>
      </c>
      <c r="AK746" t="b">
        <f t="shared" si="11"/>
        <v>1</v>
      </c>
      <c r="AL746" t="b">
        <f>COUNTBLANK(Metadata!B746:AD746)=COLUMNS(Metadata!B746:AD746)</f>
        <v>1</v>
      </c>
      <c r="AM746" t="str">
        <v/>
      </c>
      <c r="AO746" t="b">
        <f ca="1">AND(IF(Metadata!B746="",FALSE,TRUE),COUNTIF(Metadata!B:B, Metadata!B746) = 1,NOT(ISERROR(SUMPRODUCT(SEARCH(MID(Metadata!B746,ROW(INDIRECT("1:"&amp;LEN(Metadata!B746))), 1),"0123456789abcdefghijklmnopqrstuvwxyzABCDEFGHIJKLMNOPQRSTUVWXYZ.")))))</f>
        <v>0</v>
      </c>
      <c r="AP746" t="b">
        <f>IF(Metadata!C746="",FALSE,TRUE)</f>
        <v>0</v>
      </c>
      <c r="AQ746" t="b">
        <f>IF(Metadata!D746="",FALSE,TRUE)</f>
        <v>0</v>
      </c>
      <c r="AR746" t="b">
        <f ca="1">OR(AND(IF(Metadata!E746="",FALSE,TRUE),OR(EXACT(Metadata!E746,"not collected"),EXACT(Metadata!E746,"not provided"),EXACT(Metadata!E746,"restricted access"))),AND(IF(Metadata!E746="",FALSE,TRUE),AND(AND(IFERROR(INT(LEFT(Metadata!E746,4))&gt;1900,FALSE),IFERROR(INT(LEFT(Metadata!E746,4))&lt;=YEAR(NOW()),FALSE)), OR(MID(Metadata!E746,5,1)="", AND(AND(MID(Metadata!E746,5,1)="-",IFERROR(INT(MID(Metadata!E746,6,1))&gt;=0,FALSE),IFERROR(INT(MID(Metadata!E746,6,1))&lt;=1,FALSE),NOT(MID(Metadata!E746,7,1)=""),IFERROR(INT(MID(Metadata!E746,6,2))&gt;=1,FALSE),IFERROR(INT(MID(Metadata!E746,6,2))&lt;=12,FALSE)), OR(MID(Metadata!E746,8,1)="", AND(AND(MID(Metadata!E746,8,1)="-",IFERROR(INT(MID(Metadata!E746,9,1))&gt;=0,FALSE),IFERROR(INT(MID(Metadata!E746,9,1))&lt;=3,FALSE),NOT(MID(Metadata!E746,10,1)=""),IFERROR(INT(MID(Metadata!E746,9,2))&gt;=1,FALSE),IFERROR(INT(MID(Metadata!E746,9,2))&lt;=31,FALSE)), OR(MID(Metadata!E746,11,1)="", AND(AND(MID(Metadata!E746,11,1)=" ",IFERROR(INT(MID(Metadata!E746,12,1))&gt;=0,FALSE),IFERROR(INT(MID(Metadata!E746,12,1))&lt;=2,FALSE),NOT(MID(Metadata!E746,13,1)=""),IFERROR(INT(MID(Metadata!E746,12,2))&gt;=0,FALSE),IFERROR(INT(MID(Metadata!E746,12,2))&lt;=23,FALSE)), OR(MID(Metadata!E746,14,1)="", AND(AND(MID(Metadata!E746,14,1)=":",IFERROR(INT(MID(Metadata!E746,15,1))&gt;=0,FALSE),IFERROR(INT(MID(Metadata!E746,15,1))&lt;=5,FALSE),NOT(MID(Metadata!E746,16,1)=""),IFERROR(INT(MID(Metadata!E746,15,2))&gt;=0,FALSE),IFERROR(INT(MID(Metadata!E746,15,2))&lt;=59,FALSE)), OR(MID(Metadata!E746,17,1)="", AND(AND(MID(Metadata!E746,17,1)=":",IFERROR(INT(MID(Metadata!E746,18,1))&gt;=0,FALSE),IFERROR(INT(MID(Metadata!E746,18,1))&lt;=5,FALSE),NOT(MID(Metadata!E746,19,1)=""),IFERROR(INT(MID(Metadata!E746,18,2))&gt;=0,FALSE),IFERROR(INT(MID(Metadata!E746,18,2))&lt;=59,FALSE)), LEN(Metadata!E746)&lt;=19)))))))))))))</f>
        <v>0</v>
      </c>
      <c r="AS746" t="b">
        <f>IF(Metadata!F746="",FALSE,TRUE)</f>
        <v>0</v>
      </c>
      <c r="AT746" t="b">
        <f>OR(AND(IF(Metadata!G746="",FALSE,TRUE),OR(EXACT(Metadata!G746,"not collected"),EXACT(Metadata!G746,"not provided"))),AND(IF(Metadata!G746="",FALSE,TRUE),OR(EXACT(Metadata!G746,"TRUE"),EXACT(Metadata!G746,"FALSE"))))</f>
        <v>0</v>
      </c>
      <c r="AU746" t="b">
        <f>OR(AND(IF(Metadata!H746="",FALSE,TRUE),OR(EXACT(Metadata!H746,"not collected"),EXACT(Metadata!H746,"not provided"),EXACT(Metadata!H746,"restricted access"))),AND(IF(Metadata!H746="",FALSE,ISNUMBER(VALUE(Metadata!H746))),Metadata!H746&gt;=-413))</f>
        <v>0</v>
      </c>
      <c r="AV746" t="b">
        <f>AND(IF(Metadata!I746="",FALSE,TRUE),EXACT(Metadata!I746,"meters"))</f>
        <v>0</v>
      </c>
      <c r="AW746" t="b">
        <f>AND(IF(Metadata!J746="",FALSE,TRUE),EXACT(Metadata!J746,"free-living"))</f>
        <v>0</v>
      </c>
      <c r="AX746" t="b">
        <f>AND(IF(Metadata!K746="",FALSE,TRUE),OR(EXACT(Metadata!K746,"saline"),EXACT(Metadata!K746,"non-saline")))</f>
        <v>0</v>
      </c>
      <c r="AY746" t="b">
        <f>AND(IF(Metadata!L746="",FALSE,TRUE),OR(EXACT(Metadata!L746,"sub-surface (non-saline)"),EXACT(Metadata!L746,"surface (non-saline)"),EXACT(Metadata!L746,"water (non-saline)"),EXACT(Metadata!L746,"soil (non-saline)"),EXACT(Metadata!L746,"aerosol (non-saline)"),EXACT(Metadata!L746,"sediment (non-saline)"),EXACT(Metadata!L746,"surface (saline)"),EXACT(Metadata!L746,"water (saline)"),EXACT(Metadata!L746,"hypersaline (saline)"),EXACT(Metadata!L746,"aerosol (saline)"),EXACT(Metadata!L746,"sediment (saline)")))</f>
        <v>0</v>
      </c>
      <c r="AZ746" t="b">
        <f>IF(Metadata!M746="",FALSE,TRUE)</f>
        <v>0</v>
      </c>
      <c r="BA746" t="b">
        <f>IF(Metadata!N746="",FALSE,TRUE)</f>
        <v>0</v>
      </c>
      <c r="BB746" t="b">
        <f>IF(Metadata!O746="",FALSE,TRUE)</f>
        <v>0</v>
      </c>
      <c r="BC746" t="b">
        <f>AND(IF(Metadata!P746="",FALSE,TRUE),OR(EXACT(Metadata!P746,"air"),EXACT(Metadata!P746,"microbial mat/biofilm"),EXACT(Metadata!P746,"misc environment"),EXACT(Metadata!P746,"sediment"),EXACT(Metadata!P746,"soil"),EXACT(Metadata!P746,"wastewater/sludge"),EXACT(Metadata!P746,"water")))</f>
        <v>0</v>
      </c>
      <c r="BD746" t="b">
        <f>IF(Metadata!Q746="",FALSE,TRUE)</f>
        <v>0</v>
      </c>
      <c r="BE746" t="b">
        <f>IF(Metadata!R746="",FALSE,TRUE)</f>
        <v>0</v>
      </c>
      <c r="BF746" t="b">
        <f>OR(AND(IF(Metadata!S746="",FALSE,TRUE),OR(EXACT(Metadata!S746,"not collected"),EXACT(Metadata!S746,"not provided"),EXACT(Metadata!S746,"restricted access"))),AND(IF(Metadata!S746="",FALSE,ISNUMBER(VALUE(Metadata!S746))),Metadata!S746&gt;=-90,Metadata!S746&lt;=90))</f>
        <v>0</v>
      </c>
      <c r="BG746" t="b">
        <f>AND(IF(Metadata!T746="",FALSE,TRUE),EXACT(Metadata!T746,"Decimal degrees"))</f>
        <v>0</v>
      </c>
      <c r="BH746" t="b">
        <f>OR(AND(IF(Metadata!U746="",FALSE,TRUE),OR(EXACT(Metadata!U746,"not applicable"),EXACT(Metadata!U746,"not collected"))),IF(Metadata!U746="",FALSE,TRUE))</f>
        <v>0</v>
      </c>
      <c r="BI746" t="b">
        <f>OR(AND(IF(Metadata!V746="",FALSE,TRUE),OR(EXACT(Metadata!V746,"not collected"),EXACT(Metadata!V746,"not provided"),EXACT(Metadata!V746,"restricted access"))),AND(IF(Metadata!V746="",FALSE,ISNUMBER(VALUE(Metadata!V746))),Metadata!V746&gt;=-180,Metadata!V746&lt;=180))</f>
        <v>0</v>
      </c>
      <c r="BJ746" t="b">
        <f>AND(IF(Metadata!W746="",FALSE,TRUE),EXACT(Metadata!W746,"Decimal degrees"))</f>
        <v>0</v>
      </c>
      <c r="BK746" t="b">
        <f>IF(Metadata!X746="",FALSE,TRUE)</f>
        <v>0</v>
      </c>
      <c r="BL746" t="b">
        <f>OR(AND(IF(Metadata!Y746="",FALSE,TRUE),OR(EXACT(Metadata!Y746,"not collected"),EXACT(Metadata!Y746,"not provided"),EXACT(Metadata!Y746,"restricted access"))),AND(IF(Metadata!Y746="",FALSE,TRUE),OR(EXACT(Metadata!Y746,"TRUE"),EXACT(Metadata!Y746,"FALSE"))))</f>
        <v>0</v>
      </c>
      <c r="BM746" t="b">
        <f>OR(AND(IF(Metadata!Z746="",FALSE,TRUE),EXACT(Metadata!Z746,"not applicable")),AND(IF(Metadata!Z746="",FALSE,TRUE),OR(EXACT(Metadata!Z746,"beer"),EXACT(Metadata!Z746,"cheese"),EXACT(Metadata!Z746,"fresh water"),EXACT(Metadata!Z746,"marine sediment"),EXACT(Metadata!Z746,"sea water"),EXACT(Metadata!Z746,"sediment"),EXACT(Metadata!Z746,"soil"),EXACT(Metadata!Z746,"waste water"))))</f>
        <v>0</v>
      </c>
      <c r="BN746" t="b">
        <f>AND(IF(Metadata!AA746="",FALSE,TRUE),EXACT(Metadata!AA746,"metagenome"))</f>
        <v>0</v>
      </c>
      <c r="BO746" t="b">
        <f>AND(IF(Metadata!AB746="",FALSE,TRUE),EXACT(Metadata!AB746,"256318"))</f>
        <v>0</v>
      </c>
      <c r="BP746" t="b">
        <f>IF(Metadata!AC746="",FALSE,TRUE)</f>
        <v>0</v>
      </c>
      <c r="BQ746" t="b">
        <f>IF(Metadata!AD746="",FALSE,TRUE)</f>
        <v>0</v>
      </c>
    </row>
    <row r="747" spans="1:69" x14ac:dyDescent="0.2">
      <c r="A747" s="4" t="e">
        <f ca="1">IF(B747=" "," ",HYPERLINK(CONCATENATE("#metadata!",ADDRESS(INDEX($AJ$2:$AJ$1001,MATCH(ROWS($AH$2:AH747),$AH$2:$AH$1001,0),0),2)),INDEX($AM$2:$AM$1001,MATCH(ROWS($AH$2:AH747),$AH$2:$AH$1001,0),0)))</f>
        <v>#N/A</v>
      </c>
      <c r="B747" s="5" t="e">
        <f ca="1">IF(OR(INDEX($AI$2:$AI$1001,MATCH(ROWS($AH$2:AH747),$AH$2:$AH$1001,0),1)&gt;=100000,INDEX($AO$1005:$BQ$1005,1,MATCH(COLUMNS($AO$1006:AO1006),$AO$1006:$BQ$1006,0))&gt;=100000), " ",IF(INDEX($AO$2:$BQ$1001,MATCH(ROWS($AH$2:AH747),$AH$2:$AH$1001,0),MATCH(COLUMNS($AO$1006:AO1006),$AO$1006:$BQ$1006,0)), HYPERLINK("#",""), HYPERLINK(CONCATENATE("#Metadata!", ADDRESS(INDEX($AJ$2:$AJ$1001,MATCH(ROWS($AH$2:AH747),$AH$2:$AH$1001,0),0), INDEX($AO$1004:$BQ$1004,1,MATCH(COLUMNS($AO$1006:AO1006),$AO$1006:$BQ$1006,0)))),"Fix")))</f>
        <v>#N/A</v>
      </c>
      <c r="C747" s="5" t="e">
        <f ca="1">IF(OR(INDEX($AI$2:$AI$1001,MATCH(ROWS($AH$2:AH747),$AH$2:$AH$1001,0),1)&gt;=100000,INDEX($AO$1005:$BQ$1005,1,MATCH(COLUMNS($AO$1006:AP1006),$AO$1006:$BQ$1006,0))&gt;=100000), " ",IF(INDEX($AO$2:$BQ$1001,MATCH(ROWS($AH$2:AH747),$AH$2:$AH$1001,0),MATCH(COLUMNS($AO$1006:AP1006),$AO$1006:$BQ$1006,0)), HYPERLINK("#",""), HYPERLINK(CONCATENATE("#Metadata!", ADDRESS(INDEX($AJ$2:$AJ$1001,MATCH(ROWS($AH$2:AH747),$AH$2:$AH$1001,0),0), INDEX($AO$1004:$BQ$1004,1,MATCH(COLUMNS($AO$1006:AP1006),$AO$1006:$BQ$1006,0)))),"Fix")))</f>
        <v>#N/A</v>
      </c>
      <c r="D747" s="5" t="e">
        <f ca="1">IF(OR(INDEX($AI$2:$AI$1001,MATCH(ROWS($AH$2:AH747),$AH$2:$AH$1001,0),1)&gt;=100000,INDEX($AO$1005:$BQ$1005,1,MATCH(COLUMNS($AO$1006:AQ1006),$AO$1006:$BQ$1006,0))&gt;=100000), " ",IF(INDEX($AO$2:$BQ$1001,MATCH(ROWS($AH$2:AH747),$AH$2:$AH$1001,0),MATCH(COLUMNS($AO$1006:AQ1006),$AO$1006:$BQ$1006,0)), HYPERLINK("#",""), HYPERLINK(CONCATENATE("#Metadata!", ADDRESS(INDEX($AJ$2:$AJ$1001,MATCH(ROWS($AH$2:AH747),$AH$2:$AH$1001,0),0), INDEX($AO$1004:$BQ$1004,1,MATCH(COLUMNS($AO$1006:AQ1006),$AO$1006:$BQ$1006,0)))),"Fix")))</f>
        <v>#N/A</v>
      </c>
      <c r="E747" s="5" t="e">
        <f ca="1">IF(OR(INDEX($AI$2:$AI$1001,MATCH(ROWS($AH$2:AH747),$AH$2:$AH$1001,0),1)&gt;=100000,INDEX($AO$1005:$BQ$1005,1,MATCH(COLUMNS($AO$1006:AR1006),$AO$1006:$BQ$1006,0))&gt;=100000), " ",IF(INDEX($AO$2:$BQ$1001,MATCH(ROWS($AH$2:AH747),$AH$2:$AH$1001,0),MATCH(COLUMNS($AO$1006:AR1006),$AO$1006:$BQ$1006,0)), HYPERLINK("#",""), HYPERLINK(CONCATENATE("#Metadata!", ADDRESS(INDEX($AJ$2:$AJ$1001,MATCH(ROWS($AH$2:AH747),$AH$2:$AH$1001,0),0), INDEX($AO$1004:$BQ$1004,1,MATCH(COLUMNS($AO$1006:AR1006),$AO$1006:$BQ$1006,0)))),"Fix")))</f>
        <v>#N/A</v>
      </c>
      <c r="F747" s="5" t="e">
        <f ca="1">IF(OR(INDEX($AI$2:$AI$1001,MATCH(ROWS($AH$2:AH747),$AH$2:$AH$1001,0),1)&gt;=100000,INDEX($AO$1005:$BQ$1005,1,MATCH(COLUMNS($AO$1006:AS1006),$AO$1006:$BQ$1006,0))&gt;=100000), " ",IF(INDEX($AO$2:$BQ$1001,MATCH(ROWS($AH$2:AH747),$AH$2:$AH$1001,0),MATCH(COLUMNS($AO$1006:AS1006),$AO$1006:$BQ$1006,0)), HYPERLINK("#",""), HYPERLINK(CONCATENATE("#Metadata!", ADDRESS(INDEX($AJ$2:$AJ$1001,MATCH(ROWS($AH$2:AH747),$AH$2:$AH$1001,0),0), INDEX($AO$1004:$BQ$1004,1,MATCH(COLUMNS($AO$1006:AS1006),$AO$1006:$BQ$1006,0)))),"Fix")))</f>
        <v>#N/A</v>
      </c>
      <c r="G747" s="5" t="e">
        <f ca="1">IF(OR(INDEX($AI$2:$AI$1001,MATCH(ROWS($AH$2:AH747),$AH$2:$AH$1001,0),1)&gt;=100000,INDEX($AO$1005:$BQ$1005,1,MATCH(COLUMNS($AO$1006:AT1006),$AO$1006:$BQ$1006,0))&gt;=100000), " ",IF(INDEX($AO$2:$BQ$1001,MATCH(ROWS($AH$2:AH747),$AH$2:$AH$1001,0),MATCH(COLUMNS($AO$1006:AT1006),$AO$1006:$BQ$1006,0)), HYPERLINK("#",""), HYPERLINK(CONCATENATE("#Metadata!", ADDRESS(INDEX($AJ$2:$AJ$1001,MATCH(ROWS($AH$2:AH747),$AH$2:$AH$1001,0),0), INDEX($AO$1004:$BQ$1004,1,MATCH(COLUMNS($AO$1006:AT1006),$AO$1006:$BQ$1006,0)))),"Fix")))</f>
        <v>#N/A</v>
      </c>
      <c r="H747" s="5" t="e">
        <f ca="1">IF(OR(INDEX($AI$2:$AI$1001,MATCH(ROWS($AH$2:AH747),$AH$2:$AH$1001,0),1)&gt;=100000,INDEX($AO$1005:$BQ$1005,1,MATCH(COLUMNS($AO$1006:AU1006),$AO$1006:$BQ$1006,0))&gt;=100000), " ",IF(INDEX($AO$2:$BQ$1001,MATCH(ROWS($AH$2:AH747),$AH$2:$AH$1001,0),MATCH(COLUMNS($AO$1006:AU1006),$AO$1006:$BQ$1006,0)), HYPERLINK("#",""), HYPERLINK(CONCATENATE("#Metadata!", ADDRESS(INDEX($AJ$2:$AJ$1001,MATCH(ROWS($AH$2:AH747),$AH$2:$AH$1001,0),0), INDEX($AO$1004:$BQ$1004,1,MATCH(COLUMNS($AO$1006:AU1006),$AO$1006:$BQ$1006,0)))),"Fix")))</f>
        <v>#N/A</v>
      </c>
      <c r="I747" s="5" t="e">
        <f ca="1">IF(OR(INDEX($AI$2:$AI$1001,MATCH(ROWS($AH$2:AH747),$AH$2:$AH$1001,0),1)&gt;=100000,INDEX($AO$1005:$BQ$1005,1,MATCH(COLUMNS($AO$1006:AV1006),$AO$1006:$BQ$1006,0))&gt;=100000), " ",IF(INDEX($AO$2:$BQ$1001,MATCH(ROWS($AH$2:AH747),$AH$2:$AH$1001,0),MATCH(COLUMNS($AO$1006:AV1006),$AO$1006:$BQ$1006,0)), HYPERLINK("#",""), HYPERLINK(CONCATENATE("#Metadata!", ADDRESS(INDEX($AJ$2:$AJ$1001,MATCH(ROWS($AH$2:AH747),$AH$2:$AH$1001,0),0), INDEX($AO$1004:$BQ$1004,1,MATCH(COLUMNS($AO$1006:AV1006),$AO$1006:$BQ$1006,0)))),"Fix")))</f>
        <v>#N/A</v>
      </c>
      <c r="J747" s="5" t="e">
        <f ca="1">IF(OR(INDEX($AI$2:$AI$1001,MATCH(ROWS($AH$2:AH747),$AH$2:$AH$1001,0),1)&gt;=100000,INDEX($AO$1005:$BQ$1005,1,MATCH(COLUMNS($AO$1006:AW1006),$AO$1006:$BQ$1006,0))&gt;=100000), " ",IF(INDEX($AO$2:$BQ$1001,MATCH(ROWS($AH$2:AH747),$AH$2:$AH$1001,0),MATCH(COLUMNS($AO$1006:AW1006),$AO$1006:$BQ$1006,0)), HYPERLINK("#",""), HYPERLINK(CONCATENATE("#Metadata!", ADDRESS(INDEX($AJ$2:$AJ$1001,MATCH(ROWS($AH$2:AH747),$AH$2:$AH$1001,0),0), INDEX($AO$1004:$BQ$1004,1,MATCH(COLUMNS($AO$1006:AW1006),$AO$1006:$BQ$1006,0)))),"Fix")))</f>
        <v>#N/A</v>
      </c>
      <c r="K747" s="5" t="e">
        <f ca="1">IF(OR(INDEX($AI$2:$AI$1001,MATCH(ROWS($AH$2:AH747),$AH$2:$AH$1001,0),1)&gt;=100000,INDEX($AO$1005:$BQ$1005,1,MATCH(COLUMNS($AO$1006:AX1006),$AO$1006:$BQ$1006,0))&gt;=100000), " ",IF(INDEX($AO$2:$BQ$1001,MATCH(ROWS($AH$2:AH747),$AH$2:$AH$1001,0),MATCH(COLUMNS($AO$1006:AX1006),$AO$1006:$BQ$1006,0)), HYPERLINK("#",""), HYPERLINK(CONCATENATE("#Metadata!", ADDRESS(INDEX($AJ$2:$AJ$1001,MATCH(ROWS($AH$2:AH747),$AH$2:$AH$1001,0),0), INDEX($AO$1004:$BQ$1004,1,MATCH(COLUMNS($AO$1006:AX1006),$AO$1006:$BQ$1006,0)))),"Fix")))</f>
        <v>#N/A</v>
      </c>
      <c r="L747" s="5" t="e">
        <f ca="1">IF(OR(INDEX($AI$2:$AI$1001,MATCH(ROWS($AH$2:AH747),$AH$2:$AH$1001,0),1)&gt;=100000,INDEX($AO$1005:$BQ$1005,1,MATCH(COLUMNS($AO$1006:AY1006),$AO$1006:$BQ$1006,0))&gt;=100000), " ",IF(INDEX($AO$2:$BQ$1001,MATCH(ROWS($AH$2:AH747),$AH$2:$AH$1001,0),MATCH(COLUMNS($AO$1006:AY1006),$AO$1006:$BQ$1006,0)), HYPERLINK("#",""), HYPERLINK(CONCATENATE("#Metadata!", ADDRESS(INDEX($AJ$2:$AJ$1001,MATCH(ROWS($AH$2:AH747),$AH$2:$AH$1001,0),0), INDEX($AO$1004:$BQ$1004,1,MATCH(COLUMNS($AO$1006:AY1006),$AO$1006:$BQ$1006,0)))),"Fix")))</f>
        <v>#N/A</v>
      </c>
      <c r="M747" s="5" t="e">
        <f ca="1">IF(OR(INDEX($AI$2:$AI$1001,MATCH(ROWS($AH$2:AH747),$AH$2:$AH$1001,0),1)&gt;=100000,INDEX($AO$1005:$BQ$1005,1,MATCH(COLUMNS($AO$1006:AZ1006),$AO$1006:$BQ$1006,0))&gt;=100000), " ",IF(INDEX($AO$2:$BQ$1001,MATCH(ROWS($AH$2:AH747),$AH$2:$AH$1001,0),MATCH(COLUMNS($AO$1006:AZ1006),$AO$1006:$BQ$1006,0)), HYPERLINK("#",""), HYPERLINK(CONCATENATE("#Metadata!", ADDRESS(INDEX($AJ$2:$AJ$1001,MATCH(ROWS($AH$2:AH747),$AH$2:$AH$1001,0),0), INDEX($AO$1004:$BQ$1004,1,MATCH(COLUMNS($AO$1006:AZ1006),$AO$1006:$BQ$1006,0)))),"Fix")))</f>
        <v>#N/A</v>
      </c>
      <c r="N747" s="5" t="e">
        <f ca="1">IF(OR(INDEX($AI$2:$AI$1001,MATCH(ROWS($AH$2:AH747),$AH$2:$AH$1001,0),1)&gt;=100000,INDEX($AO$1005:$BQ$1005,1,MATCH(COLUMNS($AO$1006:BA1006),$AO$1006:$BQ$1006,0))&gt;=100000), " ",IF(INDEX($AO$2:$BQ$1001,MATCH(ROWS($AH$2:AH747),$AH$2:$AH$1001,0),MATCH(COLUMNS($AO$1006:BA1006),$AO$1006:$BQ$1006,0)), HYPERLINK("#",""), HYPERLINK(CONCATENATE("#Metadata!", ADDRESS(INDEX($AJ$2:$AJ$1001,MATCH(ROWS($AH$2:AH747),$AH$2:$AH$1001,0),0), INDEX($AO$1004:$BQ$1004,1,MATCH(COLUMNS($AO$1006:BA1006),$AO$1006:$BQ$1006,0)))),"Fix")))</f>
        <v>#N/A</v>
      </c>
      <c r="O747" s="5" t="e">
        <f ca="1">IF(OR(INDEX($AI$2:$AI$1001,MATCH(ROWS($AH$2:AH747),$AH$2:$AH$1001,0),1)&gt;=100000,INDEX($AO$1005:$BQ$1005,1,MATCH(COLUMNS($AO$1006:BB1006),$AO$1006:$BQ$1006,0))&gt;=100000), " ",IF(INDEX($AO$2:$BQ$1001,MATCH(ROWS($AH$2:AH747),$AH$2:$AH$1001,0),MATCH(COLUMNS($AO$1006:BB1006),$AO$1006:$BQ$1006,0)), HYPERLINK("#",""), HYPERLINK(CONCATENATE("#Metadata!", ADDRESS(INDEX($AJ$2:$AJ$1001,MATCH(ROWS($AH$2:AH747),$AH$2:$AH$1001,0),0), INDEX($AO$1004:$BQ$1004,1,MATCH(COLUMNS($AO$1006:BB1006),$AO$1006:$BQ$1006,0)))),"Fix")))</f>
        <v>#N/A</v>
      </c>
      <c r="P747" s="5" t="e">
        <f ca="1">IF(OR(INDEX($AI$2:$AI$1001,MATCH(ROWS($AH$2:AH747),$AH$2:$AH$1001,0),1)&gt;=100000,INDEX($AO$1005:$BQ$1005,1,MATCH(COLUMNS($AO$1006:BC1006),$AO$1006:$BQ$1006,0))&gt;=100000), " ",IF(INDEX($AO$2:$BQ$1001,MATCH(ROWS($AH$2:AH747),$AH$2:$AH$1001,0),MATCH(COLUMNS($AO$1006:BC1006),$AO$1006:$BQ$1006,0)), HYPERLINK("#",""), HYPERLINK(CONCATENATE("#Metadata!", ADDRESS(INDEX($AJ$2:$AJ$1001,MATCH(ROWS($AH$2:AH747),$AH$2:$AH$1001,0),0), INDEX($AO$1004:$BQ$1004,1,MATCH(COLUMNS($AO$1006:BC1006),$AO$1006:$BQ$1006,0)))),"Fix")))</f>
        <v>#N/A</v>
      </c>
      <c r="Q747" s="5" t="e">
        <f ca="1">IF(OR(INDEX($AI$2:$AI$1001,MATCH(ROWS($AH$2:AH747),$AH$2:$AH$1001,0),1)&gt;=100000,INDEX($AO$1005:$BQ$1005,1,MATCH(COLUMNS($AO$1006:BD1006),$AO$1006:$BQ$1006,0))&gt;=100000), " ",IF(INDEX($AO$2:$BQ$1001,MATCH(ROWS($AH$2:AH747),$AH$2:$AH$1001,0),MATCH(COLUMNS($AO$1006:BD1006),$AO$1006:$BQ$1006,0)), HYPERLINK("#",""), HYPERLINK(CONCATENATE("#Metadata!", ADDRESS(INDEX($AJ$2:$AJ$1001,MATCH(ROWS($AH$2:AH747),$AH$2:$AH$1001,0),0), INDEX($AO$1004:$BQ$1004,1,MATCH(COLUMNS($AO$1006:BD1006),$AO$1006:$BQ$1006,0)))),"Fix")))</f>
        <v>#N/A</v>
      </c>
      <c r="R747" s="5" t="e">
        <f ca="1">IF(OR(INDEX($AI$2:$AI$1001,MATCH(ROWS($AH$2:AH747),$AH$2:$AH$1001,0),1)&gt;=100000,INDEX($AO$1005:$BQ$1005,1,MATCH(COLUMNS($AO$1006:BE1006),$AO$1006:$BQ$1006,0))&gt;=100000), " ",IF(INDEX($AO$2:$BQ$1001,MATCH(ROWS($AH$2:AH747),$AH$2:$AH$1001,0),MATCH(COLUMNS($AO$1006:BE1006),$AO$1006:$BQ$1006,0)), HYPERLINK("#",""), HYPERLINK(CONCATENATE("#Metadata!", ADDRESS(INDEX($AJ$2:$AJ$1001,MATCH(ROWS($AH$2:AH747),$AH$2:$AH$1001,0),0), INDEX($AO$1004:$BQ$1004,1,MATCH(COLUMNS($AO$1006:BE1006),$AO$1006:$BQ$1006,0)))),"Fix")))</f>
        <v>#N/A</v>
      </c>
      <c r="S747" s="5" t="e">
        <f ca="1">IF(OR(INDEX($AI$2:$AI$1001,MATCH(ROWS($AH$2:AH747),$AH$2:$AH$1001,0),1)&gt;=100000,INDEX($AO$1005:$BQ$1005,1,MATCH(COLUMNS($AO$1006:BF1006),$AO$1006:$BQ$1006,0))&gt;=100000), " ",IF(INDEX($AO$2:$BQ$1001,MATCH(ROWS($AH$2:AH747),$AH$2:$AH$1001,0),MATCH(COLUMNS($AO$1006:BF1006),$AO$1006:$BQ$1006,0)), HYPERLINK("#",""), HYPERLINK(CONCATENATE("#Metadata!", ADDRESS(INDEX($AJ$2:$AJ$1001,MATCH(ROWS($AH$2:AH747),$AH$2:$AH$1001,0),0), INDEX($AO$1004:$BQ$1004,1,MATCH(COLUMNS($AO$1006:BF1006),$AO$1006:$BQ$1006,0)))),"Fix")))</f>
        <v>#N/A</v>
      </c>
      <c r="T747" s="5" t="e">
        <f ca="1">IF(OR(INDEX($AI$2:$AI$1001,MATCH(ROWS($AH$2:AH747),$AH$2:$AH$1001,0),1)&gt;=100000,INDEX($AO$1005:$BQ$1005,1,MATCH(COLUMNS($AO$1006:BG1006),$AO$1006:$BQ$1006,0))&gt;=100000), " ",IF(INDEX($AO$2:$BQ$1001,MATCH(ROWS($AH$2:AH747),$AH$2:$AH$1001,0),MATCH(COLUMNS($AO$1006:BG1006),$AO$1006:$BQ$1006,0)), HYPERLINK("#",""), HYPERLINK(CONCATENATE("#Metadata!", ADDRESS(INDEX($AJ$2:$AJ$1001,MATCH(ROWS($AH$2:AH747),$AH$2:$AH$1001,0),0), INDEX($AO$1004:$BQ$1004,1,MATCH(COLUMNS($AO$1006:BG1006),$AO$1006:$BQ$1006,0)))),"Fix")))</f>
        <v>#N/A</v>
      </c>
      <c r="U747" s="5" t="e">
        <f ca="1">IF(OR(INDEX($AI$2:$AI$1001,MATCH(ROWS($AH$2:AH747),$AH$2:$AH$1001,0),1)&gt;=100000,INDEX($AO$1005:$BQ$1005,1,MATCH(COLUMNS($AO$1006:BH1006),$AO$1006:$BQ$1006,0))&gt;=100000), " ",IF(INDEX($AO$2:$BQ$1001,MATCH(ROWS($AH$2:AH747),$AH$2:$AH$1001,0),MATCH(COLUMNS($AO$1006:BH1006),$AO$1006:$BQ$1006,0)), HYPERLINK("#",""), HYPERLINK(CONCATENATE("#Metadata!", ADDRESS(INDEX($AJ$2:$AJ$1001,MATCH(ROWS($AH$2:AH747),$AH$2:$AH$1001,0),0), INDEX($AO$1004:$BQ$1004,1,MATCH(COLUMNS($AO$1006:BH1006),$AO$1006:$BQ$1006,0)))),"Fix")))</f>
        <v>#N/A</v>
      </c>
      <c r="V747" s="5" t="e">
        <f ca="1">IF(OR(INDEX($AI$2:$AI$1001,MATCH(ROWS($AH$2:AH747),$AH$2:$AH$1001,0),1)&gt;=100000,INDEX($AO$1005:$BQ$1005,1,MATCH(COLUMNS($AO$1006:BI1006),$AO$1006:$BQ$1006,0))&gt;=100000), " ",IF(INDEX($AO$2:$BQ$1001,MATCH(ROWS($AH$2:AH747),$AH$2:$AH$1001,0),MATCH(COLUMNS($AO$1006:BI1006),$AO$1006:$BQ$1006,0)), HYPERLINK("#",""), HYPERLINK(CONCATENATE("#Metadata!", ADDRESS(INDEX($AJ$2:$AJ$1001,MATCH(ROWS($AH$2:AH747),$AH$2:$AH$1001,0),0), INDEX($AO$1004:$BQ$1004,1,MATCH(COLUMNS($AO$1006:BI1006),$AO$1006:$BQ$1006,0)))),"Fix")))</f>
        <v>#N/A</v>
      </c>
      <c r="W747" s="5" t="e">
        <f ca="1">IF(OR(INDEX($AI$2:$AI$1001,MATCH(ROWS($AH$2:AH747),$AH$2:$AH$1001,0),1)&gt;=100000,INDEX($AO$1005:$BQ$1005,1,MATCH(COLUMNS($AO$1006:BJ1006),$AO$1006:$BQ$1006,0))&gt;=100000), " ",IF(INDEX($AO$2:$BQ$1001,MATCH(ROWS($AH$2:AH747),$AH$2:$AH$1001,0),MATCH(COLUMNS($AO$1006:BJ1006),$AO$1006:$BQ$1006,0)), HYPERLINK("#",""), HYPERLINK(CONCATENATE("#Metadata!", ADDRESS(INDEX($AJ$2:$AJ$1001,MATCH(ROWS($AH$2:AH747),$AH$2:$AH$1001,0),0), INDEX($AO$1004:$BQ$1004,1,MATCH(COLUMNS($AO$1006:BJ1006),$AO$1006:$BQ$1006,0)))),"Fix")))</f>
        <v>#N/A</v>
      </c>
      <c r="X747" s="5" t="e">
        <f ca="1">IF(OR(INDEX($AI$2:$AI$1001,MATCH(ROWS($AH$2:AH747),$AH$2:$AH$1001,0),1)&gt;=100000,INDEX($AO$1005:$BQ$1005,1,MATCH(COLUMNS($AO$1006:BK1006),$AO$1006:$BQ$1006,0))&gt;=100000), " ",IF(INDEX($AO$2:$BQ$1001,MATCH(ROWS($AH$2:AH747),$AH$2:$AH$1001,0),MATCH(COLUMNS($AO$1006:BK1006),$AO$1006:$BQ$1006,0)), HYPERLINK("#",""), HYPERLINK(CONCATENATE("#Metadata!", ADDRESS(INDEX($AJ$2:$AJ$1001,MATCH(ROWS($AH$2:AH747),$AH$2:$AH$1001,0),0), INDEX($AO$1004:$BQ$1004,1,MATCH(COLUMNS($AO$1006:BK1006),$AO$1006:$BQ$1006,0)))),"Fix")))</f>
        <v>#N/A</v>
      </c>
      <c r="Y747" s="5" t="e">
        <f ca="1">IF(OR(INDEX($AI$2:$AI$1001,MATCH(ROWS($AH$2:AH747),$AH$2:$AH$1001,0),1)&gt;=100000,INDEX($AO$1005:$BQ$1005,1,MATCH(COLUMNS($AO$1006:BL1006),$AO$1006:$BQ$1006,0))&gt;=100000), " ",IF(INDEX($AO$2:$BQ$1001,MATCH(ROWS($AH$2:AH747),$AH$2:$AH$1001,0),MATCH(COLUMNS($AO$1006:BL1006),$AO$1006:$BQ$1006,0)), HYPERLINK("#",""), HYPERLINK(CONCATENATE("#Metadata!", ADDRESS(INDEX($AJ$2:$AJ$1001,MATCH(ROWS($AH$2:AH747),$AH$2:$AH$1001,0),0), INDEX($AO$1004:$BQ$1004,1,MATCH(COLUMNS($AO$1006:BL1006),$AO$1006:$BQ$1006,0)))),"Fix")))</f>
        <v>#N/A</v>
      </c>
      <c r="Z747" s="5" t="e">
        <f ca="1">IF(OR(INDEX($AI$2:$AI$1001,MATCH(ROWS($AH$2:AH747),$AH$2:$AH$1001,0),1)&gt;=100000,INDEX($AO$1005:$BQ$1005,1,MATCH(COLUMNS($AO$1006:BM1006),$AO$1006:$BQ$1006,0))&gt;=100000), " ",IF(INDEX($AO$2:$BQ$1001,MATCH(ROWS($AH$2:AH747),$AH$2:$AH$1001,0),MATCH(COLUMNS($AO$1006:BM1006),$AO$1006:$BQ$1006,0)), HYPERLINK("#",""), HYPERLINK(CONCATENATE("#Metadata!", ADDRESS(INDEX($AJ$2:$AJ$1001,MATCH(ROWS($AH$2:AH747),$AH$2:$AH$1001,0),0), INDEX($AO$1004:$BQ$1004,1,MATCH(COLUMNS($AO$1006:BM1006),$AO$1006:$BQ$1006,0)))),"Fix")))</f>
        <v>#N/A</v>
      </c>
      <c r="AA747" s="5" t="e">
        <f ca="1">IF(OR(INDEX($AI$2:$AI$1001,MATCH(ROWS($AH$2:AH747),$AH$2:$AH$1001,0),1)&gt;=100000,INDEX($AO$1005:$BQ$1005,1,MATCH(COLUMNS($AO$1006:BN1006),$AO$1006:$BQ$1006,0))&gt;=100000), " ",IF(INDEX($AO$2:$BQ$1001,MATCH(ROWS($AH$2:AH747),$AH$2:$AH$1001,0),MATCH(COLUMNS($AO$1006:BN1006),$AO$1006:$BQ$1006,0)), HYPERLINK("#",""), HYPERLINK(CONCATENATE("#Metadata!", ADDRESS(INDEX($AJ$2:$AJ$1001,MATCH(ROWS($AH$2:AH747),$AH$2:$AH$1001,0),0), INDEX($AO$1004:$BQ$1004,1,MATCH(COLUMNS($AO$1006:BN1006),$AO$1006:$BQ$1006,0)))),"Fix")))</f>
        <v>#N/A</v>
      </c>
      <c r="AB747" s="5" t="e">
        <f ca="1">IF(OR(INDEX($AI$2:$AI$1001,MATCH(ROWS($AH$2:AH747),$AH$2:$AH$1001,0),1)&gt;=100000,INDEX($AO$1005:$BQ$1005,1,MATCH(COLUMNS($AO$1006:BO1006),$AO$1006:$BQ$1006,0))&gt;=100000), " ",IF(INDEX($AO$2:$BQ$1001,MATCH(ROWS($AH$2:AH747),$AH$2:$AH$1001,0),MATCH(COLUMNS($AO$1006:BO1006),$AO$1006:$BQ$1006,0)), HYPERLINK("#",""), HYPERLINK(CONCATENATE("#Metadata!", ADDRESS(INDEX($AJ$2:$AJ$1001,MATCH(ROWS($AH$2:AH747),$AH$2:$AH$1001,0),0), INDEX($AO$1004:$BQ$1004,1,MATCH(COLUMNS($AO$1006:BO1006),$AO$1006:$BQ$1006,0)))),"Fix")))</f>
        <v>#N/A</v>
      </c>
      <c r="AC747" s="5" t="e">
        <f ca="1">IF(OR(INDEX($AI$2:$AI$1001,MATCH(ROWS($AH$2:AH747),$AH$2:$AH$1001,0),1)&gt;=100000,INDEX($AO$1005:$BQ$1005,1,MATCH(COLUMNS($AO$1006:BP1006),$AO$1006:$BQ$1006,0))&gt;=100000), " ",IF(INDEX($AO$2:$BQ$1001,MATCH(ROWS($AH$2:AH747),$AH$2:$AH$1001,0),MATCH(COLUMNS($AO$1006:BP1006),$AO$1006:$BQ$1006,0)), HYPERLINK("#",""), HYPERLINK(CONCATENATE("#Metadata!", ADDRESS(INDEX($AJ$2:$AJ$1001,MATCH(ROWS($AH$2:AH747),$AH$2:$AH$1001,0),0), INDEX($AO$1004:$BQ$1004,1,MATCH(COLUMNS($AO$1006:BP1006),$AO$1006:$BQ$1006,0)))),"Fix")))</f>
        <v>#N/A</v>
      </c>
      <c r="AD747" s="5" t="e">
        <f ca="1">IF(OR(INDEX($AI$2:$AI$1001,MATCH(ROWS($AH$2:AH747),$AH$2:$AH$1001,0),1)&gt;=100000,INDEX($AO$1005:$BQ$1005,1,MATCH(COLUMNS($AO$1006:BQ1006),$AO$1006:$BQ$1006,0))&gt;=100000), " ",IF(INDEX($AO$2:$BQ$1001,MATCH(ROWS($AH$2:AH747),$AH$2:$AH$1001,0),MATCH(COLUMNS($AO$1006:BQ1006),$AO$1006:$BQ$1006,0)), HYPERLINK("#",""), HYPERLINK(CONCATENATE("#Metadata!", ADDRESS(INDEX($AJ$2:$AJ$1001,MATCH(ROWS($AH$2:AH747),$AH$2:$AH$1001,0),0), INDEX($AO$1004:$BQ$1004,1,MATCH(COLUMNS($AO$1006:BQ1006),$AO$1006:$BQ$1006,0)))),"Fix")))</f>
        <v>#REF!</v>
      </c>
      <c r="AH747">
        <f ca="1"/>
        <v>744</v>
      </c>
      <c r="AI747">
        <v>100747</v>
      </c>
      <c r="AJ747">
        <v>747</v>
      </c>
      <c r="AK747" t="b">
        <f t="shared" si="11"/>
        <v>1</v>
      </c>
      <c r="AL747" t="b">
        <f>COUNTBLANK(Metadata!B747:AD747)=COLUMNS(Metadata!B747:AD747)</f>
        <v>1</v>
      </c>
      <c r="AM747" t="str">
        <v/>
      </c>
      <c r="AO747" t="b">
        <f ca="1">AND(IF(Metadata!B747="",FALSE,TRUE),COUNTIF(Metadata!B:B, Metadata!B747) = 1,NOT(ISERROR(SUMPRODUCT(SEARCH(MID(Metadata!B747,ROW(INDIRECT("1:"&amp;LEN(Metadata!B747))), 1),"0123456789abcdefghijklmnopqrstuvwxyzABCDEFGHIJKLMNOPQRSTUVWXYZ.")))))</f>
        <v>0</v>
      </c>
      <c r="AP747" t="b">
        <f>IF(Metadata!C747="",FALSE,TRUE)</f>
        <v>0</v>
      </c>
      <c r="AQ747" t="b">
        <f>IF(Metadata!D747="",FALSE,TRUE)</f>
        <v>0</v>
      </c>
      <c r="AR747" t="b">
        <f ca="1">OR(AND(IF(Metadata!E747="",FALSE,TRUE),OR(EXACT(Metadata!E747,"not collected"),EXACT(Metadata!E747,"not provided"),EXACT(Metadata!E747,"restricted access"))),AND(IF(Metadata!E747="",FALSE,TRUE),AND(AND(IFERROR(INT(LEFT(Metadata!E747,4))&gt;1900,FALSE),IFERROR(INT(LEFT(Metadata!E747,4))&lt;=YEAR(NOW()),FALSE)), OR(MID(Metadata!E747,5,1)="", AND(AND(MID(Metadata!E747,5,1)="-",IFERROR(INT(MID(Metadata!E747,6,1))&gt;=0,FALSE),IFERROR(INT(MID(Metadata!E747,6,1))&lt;=1,FALSE),NOT(MID(Metadata!E747,7,1)=""),IFERROR(INT(MID(Metadata!E747,6,2))&gt;=1,FALSE),IFERROR(INT(MID(Metadata!E747,6,2))&lt;=12,FALSE)), OR(MID(Metadata!E747,8,1)="", AND(AND(MID(Metadata!E747,8,1)="-",IFERROR(INT(MID(Metadata!E747,9,1))&gt;=0,FALSE),IFERROR(INT(MID(Metadata!E747,9,1))&lt;=3,FALSE),NOT(MID(Metadata!E747,10,1)=""),IFERROR(INT(MID(Metadata!E747,9,2))&gt;=1,FALSE),IFERROR(INT(MID(Metadata!E747,9,2))&lt;=31,FALSE)), OR(MID(Metadata!E747,11,1)="", AND(AND(MID(Metadata!E747,11,1)=" ",IFERROR(INT(MID(Metadata!E747,12,1))&gt;=0,FALSE),IFERROR(INT(MID(Metadata!E747,12,1))&lt;=2,FALSE),NOT(MID(Metadata!E747,13,1)=""),IFERROR(INT(MID(Metadata!E747,12,2))&gt;=0,FALSE),IFERROR(INT(MID(Metadata!E747,12,2))&lt;=23,FALSE)), OR(MID(Metadata!E747,14,1)="", AND(AND(MID(Metadata!E747,14,1)=":",IFERROR(INT(MID(Metadata!E747,15,1))&gt;=0,FALSE),IFERROR(INT(MID(Metadata!E747,15,1))&lt;=5,FALSE),NOT(MID(Metadata!E747,16,1)=""),IFERROR(INT(MID(Metadata!E747,15,2))&gt;=0,FALSE),IFERROR(INT(MID(Metadata!E747,15,2))&lt;=59,FALSE)), OR(MID(Metadata!E747,17,1)="", AND(AND(MID(Metadata!E747,17,1)=":",IFERROR(INT(MID(Metadata!E747,18,1))&gt;=0,FALSE),IFERROR(INT(MID(Metadata!E747,18,1))&lt;=5,FALSE),NOT(MID(Metadata!E747,19,1)=""),IFERROR(INT(MID(Metadata!E747,18,2))&gt;=0,FALSE),IFERROR(INT(MID(Metadata!E747,18,2))&lt;=59,FALSE)), LEN(Metadata!E747)&lt;=19)))))))))))))</f>
        <v>0</v>
      </c>
      <c r="AS747" t="b">
        <f>IF(Metadata!F747="",FALSE,TRUE)</f>
        <v>0</v>
      </c>
      <c r="AT747" t="b">
        <f>OR(AND(IF(Metadata!G747="",FALSE,TRUE),OR(EXACT(Metadata!G747,"not collected"),EXACT(Metadata!G747,"not provided"))),AND(IF(Metadata!G747="",FALSE,TRUE),OR(EXACT(Metadata!G747,"TRUE"),EXACT(Metadata!G747,"FALSE"))))</f>
        <v>0</v>
      </c>
      <c r="AU747" t="b">
        <f>OR(AND(IF(Metadata!H747="",FALSE,TRUE),OR(EXACT(Metadata!H747,"not collected"),EXACT(Metadata!H747,"not provided"),EXACT(Metadata!H747,"restricted access"))),AND(IF(Metadata!H747="",FALSE,ISNUMBER(VALUE(Metadata!H747))),Metadata!H747&gt;=-413))</f>
        <v>0</v>
      </c>
      <c r="AV747" t="b">
        <f>AND(IF(Metadata!I747="",FALSE,TRUE),EXACT(Metadata!I747,"meters"))</f>
        <v>0</v>
      </c>
      <c r="AW747" t="b">
        <f>AND(IF(Metadata!J747="",FALSE,TRUE),EXACT(Metadata!J747,"free-living"))</f>
        <v>0</v>
      </c>
      <c r="AX747" t="b">
        <f>AND(IF(Metadata!K747="",FALSE,TRUE),OR(EXACT(Metadata!K747,"saline"),EXACT(Metadata!K747,"non-saline")))</f>
        <v>0</v>
      </c>
      <c r="AY747" t="b">
        <f>AND(IF(Metadata!L747="",FALSE,TRUE),OR(EXACT(Metadata!L747,"sub-surface (non-saline)"),EXACT(Metadata!L747,"surface (non-saline)"),EXACT(Metadata!L747,"water (non-saline)"),EXACT(Metadata!L747,"soil (non-saline)"),EXACT(Metadata!L747,"aerosol (non-saline)"),EXACT(Metadata!L747,"sediment (non-saline)"),EXACT(Metadata!L747,"surface (saline)"),EXACT(Metadata!L747,"water (saline)"),EXACT(Metadata!L747,"hypersaline (saline)"),EXACT(Metadata!L747,"aerosol (saline)"),EXACT(Metadata!L747,"sediment (saline)")))</f>
        <v>0</v>
      </c>
      <c r="AZ747" t="b">
        <f>IF(Metadata!M747="",FALSE,TRUE)</f>
        <v>0</v>
      </c>
      <c r="BA747" t="b">
        <f>IF(Metadata!N747="",FALSE,TRUE)</f>
        <v>0</v>
      </c>
      <c r="BB747" t="b">
        <f>IF(Metadata!O747="",FALSE,TRUE)</f>
        <v>0</v>
      </c>
      <c r="BC747" t="b">
        <f>AND(IF(Metadata!P747="",FALSE,TRUE),OR(EXACT(Metadata!P747,"air"),EXACT(Metadata!P747,"microbial mat/biofilm"),EXACT(Metadata!P747,"misc environment"),EXACT(Metadata!P747,"sediment"),EXACT(Metadata!P747,"soil"),EXACT(Metadata!P747,"wastewater/sludge"),EXACT(Metadata!P747,"water")))</f>
        <v>0</v>
      </c>
      <c r="BD747" t="b">
        <f>IF(Metadata!Q747="",FALSE,TRUE)</f>
        <v>0</v>
      </c>
      <c r="BE747" t="b">
        <f>IF(Metadata!R747="",FALSE,TRUE)</f>
        <v>0</v>
      </c>
      <c r="BF747" t="b">
        <f>OR(AND(IF(Metadata!S747="",FALSE,TRUE),OR(EXACT(Metadata!S747,"not collected"),EXACT(Metadata!S747,"not provided"),EXACT(Metadata!S747,"restricted access"))),AND(IF(Metadata!S747="",FALSE,ISNUMBER(VALUE(Metadata!S747))),Metadata!S747&gt;=-90,Metadata!S747&lt;=90))</f>
        <v>0</v>
      </c>
      <c r="BG747" t="b">
        <f>AND(IF(Metadata!T747="",FALSE,TRUE),EXACT(Metadata!T747,"Decimal degrees"))</f>
        <v>0</v>
      </c>
      <c r="BH747" t="b">
        <f>OR(AND(IF(Metadata!U747="",FALSE,TRUE),OR(EXACT(Metadata!U747,"not applicable"),EXACT(Metadata!U747,"not collected"))),IF(Metadata!U747="",FALSE,TRUE))</f>
        <v>0</v>
      </c>
      <c r="BI747" t="b">
        <f>OR(AND(IF(Metadata!V747="",FALSE,TRUE),OR(EXACT(Metadata!V747,"not collected"),EXACT(Metadata!V747,"not provided"),EXACT(Metadata!V747,"restricted access"))),AND(IF(Metadata!V747="",FALSE,ISNUMBER(VALUE(Metadata!V747))),Metadata!V747&gt;=-180,Metadata!V747&lt;=180))</f>
        <v>0</v>
      </c>
      <c r="BJ747" t="b">
        <f>AND(IF(Metadata!W747="",FALSE,TRUE),EXACT(Metadata!W747,"Decimal degrees"))</f>
        <v>0</v>
      </c>
      <c r="BK747" t="b">
        <f>IF(Metadata!X747="",FALSE,TRUE)</f>
        <v>0</v>
      </c>
      <c r="BL747" t="b">
        <f>OR(AND(IF(Metadata!Y747="",FALSE,TRUE),OR(EXACT(Metadata!Y747,"not collected"),EXACT(Metadata!Y747,"not provided"),EXACT(Metadata!Y747,"restricted access"))),AND(IF(Metadata!Y747="",FALSE,TRUE),OR(EXACT(Metadata!Y747,"TRUE"),EXACT(Metadata!Y747,"FALSE"))))</f>
        <v>0</v>
      </c>
      <c r="BM747" t="b">
        <f>OR(AND(IF(Metadata!Z747="",FALSE,TRUE),EXACT(Metadata!Z747,"not applicable")),AND(IF(Metadata!Z747="",FALSE,TRUE),OR(EXACT(Metadata!Z747,"beer"),EXACT(Metadata!Z747,"cheese"),EXACT(Metadata!Z747,"fresh water"),EXACT(Metadata!Z747,"marine sediment"),EXACT(Metadata!Z747,"sea water"),EXACT(Metadata!Z747,"sediment"),EXACT(Metadata!Z747,"soil"),EXACT(Metadata!Z747,"waste water"))))</f>
        <v>0</v>
      </c>
      <c r="BN747" t="b">
        <f>AND(IF(Metadata!AA747="",FALSE,TRUE),EXACT(Metadata!AA747,"metagenome"))</f>
        <v>0</v>
      </c>
      <c r="BO747" t="b">
        <f>AND(IF(Metadata!AB747="",FALSE,TRUE),EXACT(Metadata!AB747,"256318"))</f>
        <v>0</v>
      </c>
      <c r="BP747" t="b">
        <f>IF(Metadata!AC747="",FALSE,TRUE)</f>
        <v>0</v>
      </c>
      <c r="BQ747" t="b">
        <f>IF(Metadata!AD747="",FALSE,TRUE)</f>
        <v>0</v>
      </c>
    </row>
    <row r="748" spans="1:69" x14ac:dyDescent="0.2">
      <c r="A748" s="4" t="e">
        <f ca="1">IF(B748=" "," ",HYPERLINK(CONCATENATE("#metadata!",ADDRESS(INDEX($AJ$2:$AJ$1001,MATCH(ROWS($AH$2:AH748),$AH$2:$AH$1001,0),0),2)),INDEX($AM$2:$AM$1001,MATCH(ROWS($AH$2:AH748),$AH$2:$AH$1001,0),0)))</f>
        <v>#N/A</v>
      </c>
      <c r="B748" s="5" t="e">
        <f ca="1">IF(OR(INDEX($AI$2:$AI$1001,MATCH(ROWS($AH$2:AH748),$AH$2:$AH$1001,0),1)&gt;=100000,INDEX($AO$1005:$BQ$1005,1,MATCH(COLUMNS($AO$1006:AO1006),$AO$1006:$BQ$1006,0))&gt;=100000), " ",IF(INDEX($AO$2:$BQ$1001,MATCH(ROWS($AH$2:AH748),$AH$2:$AH$1001,0),MATCH(COLUMNS($AO$1006:AO1006),$AO$1006:$BQ$1006,0)), HYPERLINK("#",""), HYPERLINK(CONCATENATE("#Metadata!", ADDRESS(INDEX($AJ$2:$AJ$1001,MATCH(ROWS($AH$2:AH748),$AH$2:$AH$1001,0),0), INDEX($AO$1004:$BQ$1004,1,MATCH(COLUMNS($AO$1006:AO1006),$AO$1006:$BQ$1006,0)))),"Fix")))</f>
        <v>#N/A</v>
      </c>
      <c r="C748" s="5" t="e">
        <f ca="1">IF(OR(INDEX($AI$2:$AI$1001,MATCH(ROWS($AH$2:AH748),$AH$2:$AH$1001,0),1)&gt;=100000,INDEX($AO$1005:$BQ$1005,1,MATCH(COLUMNS($AO$1006:AP1006),$AO$1006:$BQ$1006,0))&gt;=100000), " ",IF(INDEX($AO$2:$BQ$1001,MATCH(ROWS($AH$2:AH748),$AH$2:$AH$1001,0),MATCH(COLUMNS($AO$1006:AP1006),$AO$1006:$BQ$1006,0)), HYPERLINK("#",""), HYPERLINK(CONCATENATE("#Metadata!", ADDRESS(INDEX($AJ$2:$AJ$1001,MATCH(ROWS($AH$2:AH748),$AH$2:$AH$1001,0),0), INDEX($AO$1004:$BQ$1004,1,MATCH(COLUMNS($AO$1006:AP1006),$AO$1006:$BQ$1006,0)))),"Fix")))</f>
        <v>#N/A</v>
      </c>
      <c r="D748" s="5" t="e">
        <f ca="1">IF(OR(INDEX($AI$2:$AI$1001,MATCH(ROWS($AH$2:AH748),$AH$2:$AH$1001,0),1)&gt;=100000,INDEX($AO$1005:$BQ$1005,1,MATCH(COLUMNS($AO$1006:AQ1006),$AO$1006:$BQ$1006,0))&gt;=100000), " ",IF(INDEX($AO$2:$BQ$1001,MATCH(ROWS($AH$2:AH748),$AH$2:$AH$1001,0),MATCH(COLUMNS($AO$1006:AQ1006),$AO$1006:$BQ$1006,0)), HYPERLINK("#",""), HYPERLINK(CONCATENATE("#Metadata!", ADDRESS(INDEX($AJ$2:$AJ$1001,MATCH(ROWS($AH$2:AH748),$AH$2:$AH$1001,0),0), INDEX($AO$1004:$BQ$1004,1,MATCH(COLUMNS($AO$1006:AQ1006),$AO$1006:$BQ$1006,0)))),"Fix")))</f>
        <v>#N/A</v>
      </c>
      <c r="E748" s="5" t="e">
        <f ca="1">IF(OR(INDEX($AI$2:$AI$1001,MATCH(ROWS($AH$2:AH748),$AH$2:$AH$1001,0),1)&gt;=100000,INDEX($AO$1005:$BQ$1005,1,MATCH(COLUMNS($AO$1006:AR1006),$AO$1006:$BQ$1006,0))&gt;=100000), " ",IF(INDEX($AO$2:$BQ$1001,MATCH(ROWS($AH$2:AH748),$AH$2:$AH$1001,0),MATCH(COLUMNS($AO$1006:AR1006),$AO$1006:$BQ$1006,0)), HYPERLINK("#",""), HYPERLINK(CONCATENATE("#Metadata!", ADDRESS(INDEX($AJ$2:$AJ$1001,MATCH(ROWS($AH$2:AH748),$AH$2:$AH$1001,0),0), INDEX($AO$1004:$BQ$1004,1,MATCH(COLUMNS($AO$1006:AR1006),$AO$1006:$BQ$1006,0)))),"Fix")))</f>
        <v>#N/A</v>
      </c>
      <c r="F748" s="5" t="e">
        <f ca="1">IF(OR(INDEX($AI$2:$AI$1001,MATCH(ROWS($AH$2:AH748),$AH$2:$AH$1001,0),1)&gt;=100000,INDEX($AO$1005:$BQ$1005,1,MATCH(COLUMNS($AO$1006:AS1006),$AO$1006:$BQ$1006,0))&gt;=100000), " ",IF(INDEX($AO$2:$BQ$1001,MATCH(ROWS($AH$2:AH748),$AH$2:$AH$1001,0),MATCH(COLUMNS($AO$1006:AS1006),$AO$1006:$BQ$1006,0)), HYPERLINK("#",""), HYPERLINK(CONCATENATE("#Metadata!", ADDRESS(INDEX($AJ$2:$AJ$1001,MATCH(ROWS($AH$2:AH748),$AH$2:$AH$1001,0),0), INDEX($AO$1004:$BQ$1004,1,MATCH(COLUMNS($AO$1006:AS1006),$AO$1006:$BQ$1006,0)))),"Fix")))</f>
        <v>#N/A</v>
      </c>
      <c r="G748" s="5" t="e">
        <f ca="1">IF(OR(INDEX($AI$2:$AI$1001,MATCH(ROWS($AH$2:AH748),$AH$2:$AH$1001,0),1)&gt;=100000,INDEX($AO$1005:$BQ$1005,1,MATCH(COLUMNS($AO$1006:AT1006),$AO$1006:$BQ$1006,0))&gt;=100000), " ",IF(INDEX($AO$2:$BQ$1001,MATCH(ROWS($AH$2:AH748),$AH$2:$AH$1001,0),MATCH(COLUMNS($AO$1006:AT1006),$AO$1006:$BQ$1006,0)), HYPERLINK("#",""), HYPERLINK(CONCATENATE("#Metadata!", ADDRESS(INDEX($AJ$2:$AJ$1001,MATCH(ROWS($AH$2:AH748),$AH$2:$AH$1001,0),0), INDEX($AO$1004:$BQ$1004,1,MATCH(COLUMNS($AO$1006:AT1006),$AO$1006:$BQ$1006,0)))),"Fix")))</f>
        <v>#N/A</v>
      </c>
      <c r="H748" s="5" t="e">
        <f ca="1">IF(OR(INDEX($AI$2:$AI$1001,MATCH(ROWS($AH$2:AH748),$AH$2:$AH$1001,0),1)&gt;=100000,INDEX($AO$1005:$BQ$1005,1,MATCH(COLUMNS($AO$1006:AU1006),$AO$1006:$BQ$1006,0))&gt;=100000), " ",IF(INDEX($AO$2:$BQ$1001,MATCH(ROWS($AH$2:AH748),$AH$2:$AH$1001,0),MATCH(COLUMNS($AO$1006:AU1006),$AO$1006:$BQ$1006,0)), HYPERLINK("#",""), HYPERLINK(CONCATENATE("#Metadata!", ADDRESS(INDEX($AJ$2:$AJ$1001,MATCH(ROWS($AH$2:AH748),$AH$2:$AH$1001,0),0), INDEX($AO$1004:$BQ$1004,1,MATCH(COLUMNS($AO$1006:AU1006),$AO$1006:$BQ$1006,0)))),"Fix")))</f>
        <v>#N/A</v>
      </c>
      <c r="I748" s="5" t="e">
        <f ca="1">IF(OR(INDEX($AI$2:$AI$1001,MATCH(ROWS($AH$2:AH748),$AH$2:$AH$1001,0),1)&gt;=100000,INDEX($AO$1005:$BQ$1005,1,MATCH(COLUMNS($AO$1006:AV1006),$AO$1006:$BQ$1006,0))&gt;=100000), " ",IF(INDEX($AO$2:$BQ$1001,MATCH(ROWS($AH$2:AH748),$AH$2:$AH$1001,0),MATCH(COLUMNS($AO$1006:AV1006),$AO$1006:$BQ$1006,0)), HYPERLINK("#",""), HYPERLINK(CONCATENATE("#Metadata!", ADDRESS(INDEX($AJ$2:$AJ$1001,MATCH(ROWS($AH$2:AH748),$AH$2:$AH$1001,0),0), INDEX($AO$1004:$BQ$1004,1,MATCH(COLUMNS($AO$1006:AV1006),$AO$1006:$BQ$1006,0)))),"Fix")))</f>
        <v>#N/A</v>
      </c>
      <c r="J748" s="5" t="e">
        <f ca="1">IF(OR(INDEX($AI$2:$AI$1001,MATCH(ROWS($AH$2:AH748),$AH$2:$AH$1001,0),1)&gt;=100000,INDEX($AO$1005:$BQ$1005,1,MATCH(COLUMNS($AO$1006:AW1006),$AO$1006:$BQ$1006,0))&gt;=100000), " ",IF(INDEX($AO$2:$BQ$1001,MATCH(ROWS($AH$2:AH748),$AH$2:$AH$1001,0),MATCH(COLUMNS($AO$1006:AW1006),$AO$1006:$BQ$1006,0)), HYPERLINK("#",""), HYPERLINK(CONCATENATE("#Metadata!", ADDRESS(INDEX($AJ$2:$AJ$1001,MATCH(ROWS($AH$2:AH748),$AH$2:$AH$1001,0),0), INDEX($AO$1004:$BQ$1004,1,MATCH(COLUMNS($AO$1006:AW1006),$AO$1006:$BQ$1006,0)))),"Fix")))</f>
        <v>#N/A</v>
      </c>
      <c r="K748" s="5" t="e">
        <f ca="1">IF(OR(INDEX($AI$2:$AI$1001,MATCH(ROWS($AH$2:AH748),$AH$2:$AH$1001,0),1)&gt;=100000,INDEX($AO$1005:$BQ$1005,1,MATCH(COLUMNS($AO$1006:AX1006),$AO$1006:$BQ$1006,0))&gt;=100000), " ",IF(INDEX($AO$2:$BQ$1001,MATCH(ROWS($AH$2:AH748),$AH$2:$AH$1001,0),MATCH(COLUMNS($AO$1006:AX1006),$AO$1006:$BQ$1006,0)), HYPERLINK("#",""), HYPERLINK(CONCATENATE("#Metadata!", ADDRESS(INDEX($AJ$2:$AJ$1001,MATCH(ROWS($AH$2:AH748),$AH$2:$AH$1001,0),0), INDEX($AO$1004:$BQ$1004,1,MATCH(COLUMNS($AO$1006:AX1006),$AO$1006:$BQ$1006,0)))),"Fix")))</f>
        <v>#N/A</v>
      </c>
      <c r="L748" s="5" t="e">
        <f ca="1">IF(OR(INDEX($AI$2:$AI$1001,MATCH(ROWS($AH$2:AH748),$AH$2:$AH$1001,0),1)&gt;=100000,INDEX($AO$1005:$BQ$1005,1,MATCH(COLUMNS($AO$1006:AY1006),$AO$1006:$BQ$1006,0))&gt;=100000), " ",IF(INDEX($AO$2:$BQ$1001,MATCH(ROWS($AH$2:AH748),$AH$2:$AH$1001,0),MATCH(COLUMNS($AO$1006:AY1006),$AO$1006:$BQ$1006,0)), HYPERLINK("#",""), HYPERLINK(CONCATENATE("#Metadata!", ADDRESS(INDEX($AJ$2:$AJ$1001,MATCH(ROWS($AH$2:AH748),$AH$2:$AH$1001,0),0), INDEX($AO$1004:$BQ$1004,1,MATCH(COLUMNS($AO$1006:AY1006),$AO$1006:$BQ$1006,0)))),"Fix")))</f>
        <v>#N/A</v>
      </c>
      <c r="M748" s="5" t="e">
        <f ca="1">IF(OR(INDEX($AI$2:$AI$1001,MATCH(ROWS($AH$2:AH748),$AH$2:$AH$1001,0),1)&gt;=100000,INDEX($AO$1005:$BQ$1005,1,MATCH(COLUMNS($AO$1006:AZ1006),$AO$1006:$BQ$1006,0))&gt;=100000), " ",IF(INDEX($AO$2:$BQ$1001,MATCH(ROWS($AH$2:AH748),$AH$2:$AH$1001,0),MATCH(COLUMNS($AO$1006:AZ1006),$AO$1006:$BQ$1006,0)), HYPERLINK("#",""), HYPERLINK(CONCATENATE("#Metadata!", ADDRESS(INDEX($AJ$2:$AJ$1001,MATCH(ROWS($AH$2:AH748),$AH$2:$AH$1001,0),0), INDEX($AO$1004:$BQ$1004,1,MATCH(COLUMNS($AO$1006:AZ1006),$AO$1006:$BQ$1006,0)))),"Fix")))</f>
        <v>#N/A</v>
      </c>
      <c r="N748" s="5" t="e">
        <f ca="1">IF(OR(INDEX($AI$2:$AI$1001,MATCH(ROWS($AH$2:AH748),$AH$2:$AH$1001,0),1)&gt;=100000,INDEX($AO$1005:$BQ$1005,1,MATCH(COLUMNS($AO$1006:BA1006),$AO$1006:$BQ$1006,0))&gt;=100000), " ",IF(INDEX($AO$2:$BQ$1001,MATCH(ROWS($AH$2:AH748),$AH$2:$AH$1001,0),MATCH(COLUMNS($AO$1006:BA1006),$AO$1006:$BQ$1006,0)), HYPERLINK("#",""), HYPERLINK(CONCATENATE("#Metadata!", ADDRESS(INDEX($AJ$2:$AJ$1001,MATCH(ROWS($AH$2:AH748),$AH$2:$AH$1001,0),0), INDEX($AO$1004:$BQ$1004,1,MATCH(COLUMNS($AO$1006:BA1006),$AO$1006:$BQ$1006,0)))),"Fix")))</f>
        <v>#N/A</v>
      </c>
      <c r="O748" s="5" t="e">
        <f ca="1">IF(OR(INDEX($AI$2:$AI$1001,MATCH(ROWS($AH$2:AH748),$AH$2:$AH$1001,0),1)&gt;=100000,INDEX($AO$1005:$BQ$1005,1,MATCH(COLUMNS($AO$1006:BB1006),$AO$1006:$BQ$1006,0))&gt;=100000), " ",IF(INDEX($AO$2:$BQ$1001,MATCH(ROWS($AH$2:AH748),$AH$2:$AH$1001,0),MATCH(COLUMNS($AO$1006:BB1006),$AO$1006:$BQ$1006,0)), HYPERLINK("#",""), HYPERLINK(CONCATENATE("#Metadata!", ADDRESS(INDEX($AJ$2:$AJ$1001,MATCH(ROWS($AH$2:AH748),$AH$2:$AH$1001,0),0), INDEX($AO$1004:$BQ$1004,1,MATCH(COLUMNS($AO$1006:BB1006),$AO$1006:$BQ$1006,0)))),"Fix")))</f>
        <v>#N/A</v>
      </c>
      <c r="P748" s="5" t="e">
        <f ca="1">IF(OR(INDEX($AI$2:$AI$1001,MATCH(ROWS($AH$2:AH748),$AH$2:$AH$1001,0),1)&gt;=100000,INDEX($AO$1005:$BQ$1005,1,MATCH(COLUMNS($AO$1006:BC1006),$AO$1006:$BQ$1006,0))&gt;=100000), " ",IF(INDEX($AO$2:$BQ$1001,MATCH(ROWS($AH$2:AH748),$AH$2:$AH$1001,0),MATCH(COLUMNS($AO$1006:BC1006),$AO$1006:$BQ$1006,0)), HYPERLINK("#",""), HYPERLINK(CONCATENATE("#Metadata!", ADDRESS(INDEX($AJ$2:$AJ$1001,MATCH(ROWS($AH$2:AH748),$AH$2:$AH$1001,0),0), INDEX($AO$1004:$BQ$1004,1,MATCH(COLUMNS($AO$1006:BC1006),$AO$1006:$BQ$1006,0)))),"Fix")))</f>
        <v>#N/A</v>
      </c>
      <c r="Q748" s="5" t="e">
        <f ca="1">IF(OR(INDEX($AI$2:$AI$1001,MATCH(ROWS($AH$2:AH748),$AH$2:$AH$1001,0),1)&gt;=100000,INDEX($AO$1005:$BQ$1005,1,MATCH(COLUMNS($AO$1006:BD1006),$AO$1006:$BQ$1006,0))&gt;=100000), " ",IF(INDEX($AO$2:$BQ$1001,MATCH(ROWS($AH$2:AH748),$AH$2:$AH$1001,0),MATCH(COLUMNS($AO$1006:BD1006),$AO$1006:$BQ$1006,0)), HYPERLINK("#",""), HYPERLINK(CONCATENATE("#Metadata!", ADDRESS(INDEX($AJ$2:$AJ$1001,MATCH(ROWS($AH$2:AH748),$AH$2:$AH$1001,0),0), INDEX($AO$1004:$BQ$1004,1,MATCH(COLUMNS($AO$1006:BD1006),$AO$1006:$BQ$1006,0)))),"Fix")))</f>
        <v>#N/A</v>
      </c>
      <c r="R748" s="5" t="e">
        <f ca="1">IF(OR(INDEX($AI$2:$AI$1001,MATCH(ROWS($AH$2:AH748),$AH$2:$AH$1001,0),1)&gt;=100000,INDEX($AO$1005:$BQ$1005,1,MATCH(COLUMNS($AO$1006:BE1006),$AO$1006:$BQ$1006,0))&gt;=100000), " ",IF(INDEX($AO$2:$BQ$1001,MATCH(ROWS($AH$2:AH748),$AH$2:$AH$1001,0),MATCH(COLUMNS($AO$1006:BE1006),$AO$1006:$BQ$1006,0)), HYPERLINK("#",""), HYPERLINK(CONCATENATE("#Metadata!", ADDRESS(INDEX($AJ$2:$AJ$1001,MATCH(ROWS($AH$2:AH748),$AH$2:$AH$1001,0),0), INDEX($AO$1004:$BQ$1004,1,MATCH(COLUMNS($AO$1006:BE1006),$AO$1006:$BQ$1006,0)))),"Fix")))</f>
        <v>#N/A</v>
      </c>
      <c r="S748" s="5" t="e">
        <f ca="1">IF(OR(INDEX($AI$2:$AI$1001,MATCH(ROWS($AH$2:AH748),$AH$2:$AH$1001,0),1)&gt;=100000,INDEX($AO$1005:$BQ$1005,1,MATCH(COLUMNS($AO$1006:BF1006),$AO$1006:$BQ$1006,0))&gt;=100000), " ",IF(INDEX($AO$2:$BQ$1001,MATCH(ROWS($AH$2:AH748),$AH$2:$AH$1001,0),MATCH(COLUMNS($AO$1006:BF1006),$AO$1006:$BQ$1006,0)), HYPERLINK("#",""), HYPERLINK(CONCATENATE("#Metadata!", ADDRESS(INDEX($AJ$2:$AJ$1001,MATCH(ROWS($AH$2:AH748),$AH$2:$AH$1001,0),0), INDEX($AO$1004:$BQ$1004,1,MATCH(COLUMNS($AO$1006:BF1006),$AO$1006:$BQ$1006,0)))),"Fix")))</f>
        <v>#N/A</v>
      </c>
      <c r="T748" s="5" t="e">
        <f ca="1">IF(OR(INDEX($AI$2:$AI$1001,MATCH(ROWS($AH$2:AH748),$AH$2:$AH$1001,0),1)&gt;=100000,INDEX($AO$1005:$BQ$1005,1,MATCH(COLUMNS($AO$1006:BG1006),$AO$1006:$BQ$1006,0))&gt;=100000), " ",IF(INDEX($AO$2:$BQ$1001,MATCH(ROWS($AH$2:AH748),$AH$2:$AH$1001,0),MATCH(COLUMNS($AO$1006:BG1006),$AO$1006:$BQ$1006,0)), HYPERLINK("#",""), HYPERLINK(CONCATENATE("#Metadata!", ADDRESS(INDEX($AJ$2:$AJ$1001,MATCH(ROWS($AH$2:AH748),$AH$2:$AH$1001,0),0), INDEX($AO$1004:$BQ$1004,1,MATCH(COLUMNS($AO$1006:BG1006),$AO$1006:$BQ$1006,0)))),"Fix")))</f>
        <v>#N/A</v>
      </c>
      <c r="U748" s="5" t="e">
        <f ca="1">IF(OR(INDEX($AI$2:$AI$1001,MATCH(ROWS($AH$2:AH748),$AH$2:$AH$1001,0),1)&gt;=100000,INDEX($AO$1005:$BQ$1005,1,MATCH(COLUMNS($AO$1006:BH1006),$AO$1006:$BQ$1006,0))&gt;=100000), " ",IF(INDEX($AO$2:$BQ$1001,MATCH(ROWS($AH$2:AH748),$AH$2:$AH$1001,0),MATCH(COLUMNS($AO$1006:BH1006),$AO$1006:$BQ$1006,0)), HYPERLINK("#",""), HYPERLINK(CONCATENATE("#Metadata!", ADDRESS(INDEX($AJ$2:$AJ$1001,MATCH(ROWS($AH$2:AH748),$AH$2:$AH$1001,0),0), INDEX($AO$1004:$BQ$1004,1,MATCH(COLUMNS($AO$1006:BH1006),$AO$1006:$BQ$1006,0)))),"Fix")))</f>
        <v>#N/A</v>
      </c>
      <c r="V748" s="5" t="e">
        <f ca="1">IF(OR(INDEX($AI$2:$AI$1001,MATCH(ROWS($AH$2:AH748),$AH$2:$AH$1001,0),1)&gt;=100000,INDEX($AO$1005:$BQ$1005,1,MATCH(COLUMNS($AO$1006:BI1006),$AO$1006:$BQ$1006,0))&gt;=100000), " ",IF(INDEX($AO$2:$BQ$1001,MATCH(ROWS($AH$2:AH748),$AH$2:$AH$1001,0),MATCH(COLUMNS($AO$1006:BI1006),$AO$1006:$BQ$1006,0)), HYPERLINK("#",""), HYPERLINK(CONCATENATE("#Metadata!", ADDRESS(INDEX($AJ$2:$AJ$1001,MATCH(ROWS($AH$2:AH748),$AH$2:$AH$1001,0),0), INDEX($AO$1004:$BQ$1004,1,MATCH(COLUMNS($AO$1006:BI1006),$AO$1006:$BQ$1006,0)))),"Fix")))</f>
        <v>#N/A</v>
      </c>
      <c r="W748" s="5" t="e">
        <f ca="1">IF(OR(INDEX($AI$2:$AI$1001,MATCH(ROWS($AH$2:AH748),$AH$2:$AH$1001,0),1)&gt;=100000,INDEX($AO$1005:$BQ$1005,1,MATCH(COLUMNS($AO$1006:BJ1006),$AO$1006:$BQ$1006,0))&gt;=100000), " ",IF(INDEX($AO$2:$BQ$1001,MATCH(ROWS($AH$2:AH748),$AH$2:$AH$1001,0),MATCH(COLUMNS($AO$1006:BJ1006),$AO$1006:$BQ$1006,0)), HYPERLINK("#",""), HYPERLINK(CONCATENATE("#Metadata!", ADDRESS(INDEX($AJ$2:$AJ$1001,MATCH(ROWS($AH$2:AH748),$AH$2:$AH$1001,0),0), INDEX($AO$1004:$BQ$1004,1,MATCH(COLUMNS($AO$1006:BJ1006),$AO$1006:$BQ$1006,0)))),"Fix")))</f>
        <v>#N/A</v>
      </c>
      <c r="X748" s="5" t="e">
        <f ca="1">IF(OR(INDEX($AI$2:$AI$1001,MATCH(ROWS($AH$2:AH748),$AH$2:$AH$1001,0),1)&gt;=100000,INDEX($AO$1005:$BQ$1005,1,MATCH(COLUMNS($AO$1006:BK1006),$AO$1006:$BQ$1006,0))&gt;=100000), " ",IF(INDEX($AO$2:$BQ$1001,MATCH(ROWS($AH$2:AH748),$AH$2:$AH$1001,0),MATCH(COLUMNS($AO$1006:BK1006),$AO$1006:$BQ$1006,0)), HYPERLINK("#",""), HYPERLINK(CONCATENATE("#Metadata!", ADDRESS(INDEX($AJ$2:$AJ$1001,MATCH(ROWS($AH$2:AH748),$AH$2:$AH$1001,0),0), INDEX($AO$1004:$BQ$1004,1,MATCH(COLUMNS($AO$1006:BK1006),$AO$1006:$BQ$1006,0)))),"Fix")))</f>
        <v>#N/A</v>
      </c>
      <c r="Y748" s="5" t="e">
        <f ca="1">IF(OR(INDEX($AI$2:$AI$1001,MATCH(ROWS($AH$2:AH748),$AH$2:$AH$1001,0),1)&gt;=100000,INDEX($AO$1005:$BQ$1005,1,MATCH(COLUMNS($AO$1006:BL1006),$AO$1006:$BQ$1006,0))&gt;=100000), " ",IF(INDEX($AO$2:$BQ$1001,MATCH(ROWS($AH$2:AH748),$AH$2:$AH$1001,0),MATCH(COLUMNS($AO$1006:BL1006),$AO$1006:$BQ$1006,0)), HYPERLINK("#",""), HYPERLINK(CONCATENATE("#Metadata!", ADDRESS(INDEX($AJ$2:$AJ$1001,MATCH(ROWS($AH$2:AH748),$AH$2:$AH$1001,0),0), INDEX($AO$1004:$BQ$1004,1,MATCH(COLUMNS($AO$1006:BL1006),$AO$1006:$BQ$1006,0)))),"Fix")))</f>
        <v>#N/A</v>
      </c>
      <c r="Z748" s="5" t="e">
        <f ca="1">IF(OR(INDEX($AI$2:$AI$1001,MATCH(ROWS($AH$2:AH748),$AH$2:$AH$1001,0),1)&gt;=100000,INDEX($AO$1005:$BQ$1005,1,MATCH(COLUMNS($AO$1006:BM1006),$AO$1006:$BQ$1006,0))&gt;=100000), " ",IF(INDEX($AO$2:$BQ$1001,MATCH(ROWS($AH$2:AH748),$AH$2:$AH$1001,0),MATCH(COLUMNS($AO$1006:BM1006),$AO$1006:$BQ$1006,0)), HYPERLINK("#",""), HYPERLINK(CONCATENATE("#Metadata!", ADDRESS(INDEX($AJ$2:$AJ$1001,MATCH(ROWS($AH$2:AH748),$AH$2:$AH$1001,0),0), INDEX($AO$1004:$BQ$1004,1,MATCH(COLUMNS($AO$1006:BM1006),$AO$1006:$BQ$1006,0)))),"Fix")))</f>
        <v>#N/A</v>
      </c>
      <c r="AA748" s="5" t="e">
        <f ca="1">IF(OR(INDEX($AI$2:$AI$1001,MATCH(ROWS($AH$2:AH748),$AH$2:$AH$1001,0),1)&gt;=100000,INDEX($AO$1005:$BQ$1005,1,MATCH(COLUMNS($AO$1006:BN1006),$AO$1006:$BQ$1006,0))&gt;=100000), " ",IF(INDEX($AO$2:$BQ$1001,MATCH(ROWS($AH$2:AH748),$AH$2:$AH$1001,0),MATCH(COLUMNS($AO$1006:BN1006),$AO$1006:$BQ$1006,0)), HYPERLINK("#",""), HYPERLINK(CONCATENATE("#Metadata!", ADDRESS(INDEX($AJ$2:$AJ$1001,MATCH(ROWS($AH$2:AH748),$AH$2:$AH$1001,0),0), INDEX($AO$1004:$BQ$1004,1,MATCH(COLUMNS($AO$1006:BN1006),$AO$1006:$BQ$1006,0)))),"Fix")))</f>
        <v>#N/A</v>
      </c>
      <c r="AB748" s="5" t="e">
        <f ca="1">IF(OR(INDEX($AI$2:$AI$1001,MATCH(ROWS($AH$2:AH748),$AH$2:$AH$1001,0),1)&gt;=100000,INDEX($AO$1005:$BQ$1005,1,MATCH(COLUMNS($AO$1006:BO1006),$AO$1006:$BQ$1006,0))&gt;=100000), " ",IF(INDEX($AO$2:$BQ$1001,MATCH(ROWS($AH$2:AH748),$AH$2:$AH$1001,0),MATCH(COLUMNS($AO$1006:BO1006),$AO$1006:$BQ$1006,0)), HYPERLINK("#",""), HYPERLINK(CONCATENATE("#Metadata!", ADDRESS(INDEX($AJ$2:$AJ$1001,MATCH(ROWS($AH$2:AH748),$AH$2:$AH$1001,0),0), INDEX($AO$1004:$BQ$1004,1,MATCH(COLUMNS($AO$1006:BO1006),$AO$1006:$BQ$1006,0)))),"Fix")))</f>
        <v>#N/A</v>
      </c>
      <c r="AC748" s="5" t="e">
        <f ca="1">IF(OR(INDEX($AI$2:$AI$1001,MATCH(ROWS($AH$2:AH748),$AH$2:$AH$1001,0),1)&gt;=100000,INDEX($AO$1005:$BQ$1005,1,MATCH(COLUMNS($AO$1006:BP1006),$AO$1006:$BQ$1006,0))&gt;=100000), " ",IF(INDEX($AO$2:$BQ$1001,MATCH(ROWS($AH$2:AH748),$AH$2:$AH$1001,0),MATCH(COLUMNS($AO$1006:BP1006),$AO$1006:$BQ$1006,0)), HYPERLINK("#",""), HYPERLINK(CONCATENATE("#Metadata!", ADDRESS(INDEX($AJ$2:$AJ$1001,MATCH(ROWS($AH$2:AH748),$AH$2:$AH$1001,0),0), INDEX($AO$1004:$BQ$1004,1,MATCH(COLUMNS($AO$1006:BP1006),$AO$1006:$BQ$1006,0)))),"Fix")))</f>
        <v>#N/A</v>
      </c>
      <c r="AD748" s="5" t="e">
        <f ca="1">IF(OR(INDEX($AI$2:$AI$1001,MATCH(ROWS($AH$2:AH748),$AH$2:$AH$1001,0),1)&gt;=100000,INDEX($AO$1005:$BQ$1005,1,MATCH(COLUMNS($AO$1006:BQ1006),$AO$1006:$BQ$1006,0))&gt;=100000), " ",IF(INDEX($AO$2:$BQ$1001,MATCH(ROWS($AH$2:AH748),$AH$2:$AH$1001,0),MATCH(COLUMNS($AO$1006:BQ1006),$AO$1006:$BQ$1006,0)), HYPERLINK("#",""), HYPERLINK(CONCATENATE("#Metadata!", ADDRESS(INDEX($AJ$2:$AJ$1001,MATCH(ROWS($AH$2:AH748),$AH$2:$AH$1001,0),0), INDEX($AO$1004:$BQ$1004,1,MATCH(COLUMNS($AO$1006:BQ1006),$AO$1006:$BQ$1006,0)))),"Fix")))</f>
        <v>#REF!</v>
      </c>
      <c r="AH748">
        <f ca="1"/>
        <v>745</v>
      </c>
      <c r="AI748">
        <v>100748</v>
      </c>
      <c r="AJ748">
        <v>748</v>
      </c>
      <c r="AK748" t="b">
        <f t="shared" si="11"/>
        <v>1</v>
      </c>
      <c r="AL748" t="b">
        <f>COUNTBLANK(Metadata!B748:AD748)=COLUMNS(Metadata!B748:AD748)</f>
        <v>1</v>
      </c>
      <c r="AM748" t="str">
        <v/>
      </c>
      <c r="AO748" t="b">
        <f ca="1">AND(IF(Metadata!B748="",FALSE,TRUE),COUNTIF(Metadata!B:B, Metadata!B748) = 1,NOT(ISERROR(SUMPRODUCT(SEARCH(MID(Metadata!B748,ROW(INDIRECT("1:"&amp;LEN(Metadata!B748))), 1),"0123456789abcdefghijklmnopqrstuvwxyzABCDEFGHIJKLMNOPQRSTUVWXYZ.")))))</f>
        <v>0</v>
      </c>
      <c r="AP748" t="b">
        <f>IF(Metadata!C748="",FALSE,TRUE)</f>
        <v>0</v>
      </c>
      <c r="AQ748" t="b">
        <f>IF(Metadata!D748="",FALSE,TRUE)</f>
        <v>0</v>
      </c>
      <c r="AR748" t="b">
        <f ca="1">OR(AND(IF(Metadata!E748="",FALSE,TRUE),OR(EXACT(Metadata!E748,"not collected"),EXACT(Metadata!E748,"not provided"),EXACT(Metadata!E748,"restricted access"))),AND(IF(Metadata!E748="",FALSE,TRUE),AND(AND(IFERROR(INT(LEFT(Metadata!E748,4))&gt;1900,FALSE),IFERROR(INT(LEFT(Metadata!E748,4))&lt;=YEAR(NOW()),FALSE)), OR(MID(Metadata!E748,5,1)="", AND(AND(MID(Metadata!E748,5,1)="-",IFERROR(INT(MID(Metadata!E748,6,1))&gt;=0,FALSE),IFERROR(INT(MID(Metadata!E748,6,1))&lt;=1,FALSE),NOT(MID(Metadata!E748,7,1)=""),IFERROR(INT(MID(Metadata!E748,6,2))&gt;=1,FALSE),IFERROR(INT(MID(Metadata!E748,6,2))&lt;=12,FALSE)), OR(MID(Metadata!E748,8,1)="", AND(AND(MID(Metadata!E748,8,1)="-",IFERROR(INT(MID(Metadata!E748,9,1))&gt;=0,FALSE),IFERROR(INT(MID(Metadata!E748,9,1))&lt;=3,FALSE),NOT(MID(Metadata!E748,10,1)=""),IFERROR(INT(MID(Metadata!E748,9,2))&gt;=1,FALSE),IFERROR(INT(MID(Metadata!E748,9,2))&lt;=31,FALSE)), OR(MID(Metadata!E748,11,1)="", AND(AND(MID(Metadata!E748,11,1)=" ",IFERROR(INT(MID(Metadata!E748,12,1))&gt;=0,FALSE),IFERROR(INT(MID(Metadata!E748,12,1))&lt;=2,FALSE),NOT(MID(Metadata!E748,13,1)=""),IFERROR(INT(MID(Metadata!E748,12,2))&gt;=0,FALSE),IFERROR(INT(MID(Metadata!E748,12,2))&lt;=23,FALSE)), OR(MID(Metadata!E748,14,1)="", AND(AND(MID(Metadata!E748,14,1)=":",IFERROR(INT(MID(Metadata!E748,15,1))&gt;=0,FALSE),IFERROR(INT(MID(Metadata!E748,15,1))&lt;=5,FALSE),NOT(MID(Metadata!E748,16,1)=""),IFERROR(INT(MID(Metadata!E748,15,2))&gt;=0,FALSE),IFERROR(INT(MID(Metadata!E748,15,2))&lt;=59,FALSE)), OR(MID(Metadata!E748,17,1)="", AND(AND(MID(Metadata!E748,17,1)=":",IFERROR(INT(MID(Metadata!E748,18,1))&gt;=0,FALSE),IFERROR(INT(MID(Metadata!E748,18,1))&lt;=5,FALSE),NOT(MID(Metadata!E748,19,1)=""),IFERROR(INT(MID(Metadata!E748,18,2))&gt;=0,FALSE),IFERROR(INT(MID(Metadata!E748,18,2))&lt;=59,FALSE)), LEN(Metadata!E748)&lt;=19)))))))))))))</f>
        <v>0</v>
      </c>
      <c r="AS748" t="b">
        <f>IF(Metadata!F748="",FALSE,TRUE)</f>
        <v>0</v>
      </c>
      <c r="AT748" t="b">
        <f>OR(AND(IF(Metadata!G748="",FALSE,TRUE),OR(EXACT(Metadata!G748,"not collected"),EXACT(Metadata!G748,"not provided"))),AND(IF(Metadata!G748="",FALSE,TRUE),OR(EXACT(Metadata!G748,"TRUE"),EXACT(Metadata!G748,"FALSE"))))</f>
        <v>0</v>
      </c>
      <c r="AU748" t="b">
        <f>OR(AND(IF(Metadata!H748="",FALSE,TRUE),OR(EXACT(Metadata!H748,"not collected"),EXACT(Metadata!H748,"not provided"),EXACT(Metadata!H748,"restricted access"))),AND(IF(Metadata!H748="",FALSE,ISNUMBER(VALUE(Metadata!H748))),Metadata!H748&gt;=-413))</f>
        <v>0</v>
      </c>
      <c r="AV748" t="b">
        <f>AND(IF(Metadata!I748="",FALSE,TRUE),EXACT(Metadata!I748,"meters"))</f>
        <v>0</v>
      </c>
      <c r="AW748" t="b">
        <f>AND(IF(Metadata!J748="",FALSE,TRUE),EXACT(Metadata!J748,"free-living"))</f>
        <v>0</v>
      </c>
      <c r="AX748" t="b">
        <f>AND(IF(Metadata!K748="",FALSE,TRUE),OR(EXACT(Metadata!K748,"saline"),EXACT(Metadata!K748,"non-saline")))</f>
        <v>0</v>
      </c>
      <c r="AY748" t="b">
        <f>AND(IF(Metadata!L748="",FALSE,TRUE),OR(EXACT(Metadata!L748,"sub-surface (non-saline)"),EXACT(Metadata!L748,"surface (non-saline)"),EXACT(Metadata!L748,"water (non-saline)"),EXACT(Metadata!L748,"soil (non-saline)"),EXACT(Metadata!L748,"aerosol (non-saline)"),EXACT(Metadata!L748,"sediment (non-saline)"),EXACT(Metadata!L748,"surface (saline)"),EXACT(Metadata!L748,"water (saline)"),EXACT(Metadata!L748,"hypersaline (saline)"),EXACT(Metadata!L748,"aerosol (saline)"),EXACT(Metadata!L748,"sediment (saline)")))</f>
        <v>0</v>
      </c>
      <c r="AZ748" t="b">
        <f>IF(Metadata!M748="",FALSE,TRUE)</f>
        <v>0</v>
      </c>
      <c r="BA748" t="b">
        <f>IF(Metadata!N748="",FALSE,TRUE)</f>
        <v>0</v>
      </c>
      <c r="BB748" t="b">
        <f>IF(Metadata!O748="",FALSE,TRUE)</f>
        <v>0</v>
      </c>
      <c r="BC748" t="b">
        <f>AND(IF(Metadata!P748="",FALSE,TRUE),OR(EXACT(Metadata!P748,"air"),EXACT(Metadata!P748,"microbial mat/biofilm"),EXACT(Metadata!P748,"misc environment"),EXACT(Metadata!P748,"sediment"),EXACT(Metadata!P748,"soil"),EXACT(Metadata!P748,"wastewater/sludge"),EXACT(Metadata!P748,"water")))</f>
        <v>0</v>
      </c>
      <c r="BD748" t="b">
        <f>IF(Metadata!Q748="",FALSE,TRUE)</f>
        <v>0</v>
      </c>
      <c r="BE748" t="b">
        <f>IF(Metadata!R748="",FALSE,TRUE)</f>
        <v>0</v>
      </c>
      <c r="BF748" t="b">
        <f>OR(AND(IF(Metadata!S748="",FALSE,TRUE),OR(EXACT(Metadata!S748,"not collected"),EXACT(Metadata!S748,"not provided"),EXACT(Metadata!S748,"restricted access"))),AND(IF(Metadata!S748="",FALSE,ISNUMBER(VALUE(Metadata!S748))),Metadata!S748&gt;=-90,Metadata!S748&lt;=90))</f>
        <v>0</v>
      </c>
      <c r="BG748" t="b">
        <f>AND(IF(Metadata!T748="",FALSE,TRUE),EXACT(Metadata!T748,"Decimal degrees"))</f>
        <v>0</v>
      </c>
      <c r="BH748" t="b">
        <f>OR(AND(IF(Metadata!U748="",FALSE,TRUE),OR(EXACT(Metadata!U748,"not applicable"),EXACT(Metadata!U748,"not collected"))),IF(Metadata!U748="",FALSE,TRUE))</f>
        <v>0</v>
      </c>
      <c r="BI748" t="b">
        <f>OR(AND(IF(Metadata!V748="",FALSE,TRUE),OR(EXACT(Metadata!V748,"not collected"),EXACT(Metadata!V748,"not provided"),EXACT(Metadata!V748,"restricted access"))),AND(IF(Metadata!V748="",FALSE,ISNUMBER(VALUE(Metadata!V748))),Metadata!V748&gt;=-180,Metadata!V748&lt;=180))</f>
        <v>0</v>
      </c>
      <c r="BJ748" t="b">
        <f>AND(IF(Metadata!W748="",FALSE,TRUE),EXACT(Metadata!W748,"Decimal degrees"))</f>
        <v>0</v>
      </c>
      <c r="BK748" t="b">
        <f>IF(Metadata!X748="",FALSE,TRUE)</f>
        <v>0</v>
      </c>
      <c r="BL748" t="b">
        <f>OR(AND(IF(Metadata!Y748="",FALSE,TRUE),OR(EXACT(Metadata!Y748,"not collected"),EXACT(Metadata!Y748,"not provided"),EXACT(Metadata!Y748,"restricted access"))),AND(IF(Metadata!Y748="",FALSE,TRUE),OR(EXACT(Metadata!Y748,"TRUE"),EXACT(Metadata!Y748,"FALSE"))))</f>
        <v>0</v>
      </c>
      <c r="BM748" t="b">
        <f>OR(AND(IF(Metadata!Z748="",FALSE,TRUE),EXACT(Metadata!Z748,"not applicable")),AND(IF(Metadata!Z748="",FALSE,TRUE),OR(EXACT(Metadata!Z748,"beer"),EXACT(Metadata!Z748,"cheese"),EXACT(Metadata!Z748,"fresh water"),EXACT(Metadata!Z748,"marine sediment"),EXACT(Metadata!Z748,"sea water"),EXACT(Metadata!Z748,"sediment"),EXACT(Metadata!Z748,"soil"),EXACT(Metadata!Z748,"waste water"))))</f>
        <v>0</v>
      </c>
      <c r="BN748" t="b">
        <f>AND(IF(Metadata!AA748="",FALSE,TRUE),EXACT(Metadata!AA748,"metagenome"))</f>
        <v>0</v>
      </c>
      <c r="BO748" t="b">
        <f>AND(IF(Metadata!AB748="",FALSE,TRUE),EXACT(Metadata!AB748,"256318"))</f>
        <v>0</v>
      </c>
      <c r="BP748" t="b">
        <f>IF(Metadata!AC748="",FALSE,TRUE)</f>
        <v>0</v>
      </c>
      <c r="BQ748" t="b">
        <f>IF(Metadata!AD748="",FALSE,TRUE)</f>
        <v>0</v>
      </c>
    </row>
    <row r="749" spans="1:69" x14ac:dyDescent="0.2">
      <c r="A749" s="4" t="e">
        <f ca="1">IF(B749=" "," ",HYPERLINK(CONCATENATE("#metadata!",ADDRESS(INDEX($AJ$2:$AJ$1001,MATCH(ROWS($AH$2:AH749),$AH$2:$AH$1001,0),0),2)),INDEX($AM$2:$AM$1001,MATCH(ROWS($AH$2:AH749),$AH$2:$AH$1001,0),0)))</f>
        <v>#N/A</v>
      </c>
      <c r="B749" s="5" t="e">
        <f ca="1">IF(OR(INDEX($AI$2:$AI$1001,MATCH(ROWS($AH$2:AH749),$AH$2:$AH$1001,0),1)&gt;=100000,INDEX($AO$1005:$BQ$1005,1,MATCH(COLUMNS($AO$1006:AO1006),$AO$1006:$BQ$1006,0))&gt;=100000), " ",IF(INDEX($AO$2:$BQ$1001,MATCH(ROWS($AH$2:AH749),$AH$2:$AH$1001,0),MATCH(COLUMNS($AO$1006:AO1006),$AO$1006:$BQ$1006,0)), HYPERLINK("#",""), HYPERLINK(CONCATENATE("#Metadata!", ADDRESS(INDEX($AJ$2:$AJ$1001,MATCH(ROWS($AH$2:AH749),$AH$2:$AH$1001,0),0), INDEX($AO$1004:$BQ$1004,1,MATCH(COLUMNS($AO$1006:AO1006),$AO$1006:$BQ$1006,0)))),"Fix")))</f>
        <v>#N/A</v>
      </c>
      <c r="C749" s="5" t="e">
        <f ca="1">IF(OR(INDEX($AI$2:$AI$1001,MATCH(ROWS($AH$2:AH749),$AH$2:$AH$1001,0),1)&gt;=100000,INDEX($AO$1005:$BQ$1005,1,MATCH(COLUMNS($AO$1006:AP1006),$AO$1006:$BQ$1006,0))&gt;=100000), " ",IF(INDEX($AO$2:$BQ$1001,MATCH(ROWS($AH$2:AH749),$AH$2:$AH$1001,0),MATCH(COLUMNS($AO$1006:AP1006),$AO$1006:$BQ$1006,0)), HYPERLINK("#",""), HYPERLINK(CONCATENATE("#Metadata!", ADDRESS(INDEX($AJ$2:$AJ$1001,MATCH(ROWS($AH$2:AH749),$AH$2:$AH$1001,0),0), INDEX($AO$1004:$BQ$1004,1,MATCH(COLUMNS($AO$1006:AP1006),$AO$1006:$BQ$1006,0)))),"Fix")))</f>
        <v>#N/A</v>
      </c>
      <c r="D749" s="5" t="e">
        <f ca="1">IF(OR(INDEX($AI$2:$AI$1001,MATCH(ROWS($AH$2:AH749),$AH$2:$AH$1001,0),1)&gt;=100000,INDEX($AO$1005:$BQ$1005,1,MATCH(COLUMNS($AO$1006:AQ1006),$AO$1006:$BQ$1006,0))&gt;=100000), " ",IF(INDEX($AO$2:$BQ$1001,MATCH(ROWS($AH$2:AH749),$AH$2:$AH$1001,0),MATCH(COLUMNS($AO$1006:AQ1006),$AO$1006:$BQ$1006,0)), HYPERLINK("#",""), HYPERLINK(CONCATENATE("#Metadata!", ADDRESS(INDEX($AJ$2:$AJ$1001,MATCH(ROWS($AH$2:AH749),$AH$2:$AH$1001,0),0), INDEX($AO$1004:$BQ$1004,1,MATCH(COLUMNS($AO$1006:AQ1006),$AO$1006:$BQ$1006,0)))),"Fix")))</f>
        <v>#N/A</v>
      </c>
      <c r="E749" s="5" t="e">
        <f ca="1">IF(OR(INDEX($AI$2:$AI$1001,MATCH(ROWS($AH$2:AH749),$AH$2:$AH$1001,0),1)&gt;=100000,INDEX($AO$1005:$BQ$1005,1,MATCH(COLUMNS($AO$1006:AR1006),$AO$1006:$BQ$1006,0))&gt;=100000), " ",IF(INDEX($AO$2:$BQ$1001,MATCH(ROWS($AH$2:AH749),$AH$2:$AH$1001,0),MATCH(COLUMNS($AO$1006:AR1006),$AO$1006:$BQ$1006,0)), HYPERLINK("#",""), HYPERLINK(CONCATENATE("#Metadata!", ADDRESS(INDEX($AJ$2:$AJ$1001,MATCH(ROWS($AH$2:AH749),$AH$2:$AH$1001,0),0), INDEX($AO$1004:$BQ$1004,1,MATCH(COLUMNS($AO$1006:AR1006),$AO$1006:$BQ$1006,0)))),"Fix")))</f>
        <v>#N/A</v>
      </c>
      <c r="F749" s="5" t="e">
        <f ca="1">IF(OR(INDEX($AI$2:$AI$1001,MATCH(ROWS($AH$2:AH749),$AH$2:$AH$1001,0),1)&gt;=100000,INDEX($AO$1005:$BQ$1005,1,MATCH(COLUMNS($AO$1006:AS1006),$AO$1006:$BQ$1006,0))&gt;=100000), " ",IF(INDEX($AO$2:$BQ$1001,MATCH(ROWS($AH$2:AH749),$AH$2:$AH$1001,0),MATCH(COLUMNS($AO$1006:AS1006),$AO$1006:$BQ$1006,0)), HYPERLINK("#",""), HYPERLINK(CONCATENATE("#Metadata!", ADDRESS(INDEX($AJ$2:$AJ$1001,MATCH(ROWS($AH$2:AH749),$AH$2:$AH$1001,0),0), INDEX($AO$1004:$BQ$1004,1,MATCH(COLUMNS($AO$1006:AS1006),$AO$1006:$BQ$1006,0)))),"Fix")))</f>
        <v>#N/A</v>
      </c>
      <c r="G749" s="5" t="e">
        <f ca="1">IF(OR(INDEX($AI$2:$AI$1001,MATCH(ROWS($AH$2:AH749),$AH$2:$AH$1001,0),1)&gt;=100000,INDEX($AO$1005:$BQ$1005,1,MATCH(COLUMNS($AO$1006:AT1006),$AO$1006:$BQ$1006,0))&gt;=100000), " ",IF(INDEX($AO$2:$BQ$1001,MATCH(ROWS($AH$2:AH749),$AH$2:$AH$1001,0),MATCH(COLUMNS($AO$1006:AT1006),$AO$1006:$BQ$1006,0)), HYPERLINK("#",""), HYPERLINK(CONCATENATE("#Metadata!", ADDRESS(INDEX($AJ$2:$AJ$1001,MATCH(ROWS($AH$2:AH749),$AH$2:$AH$1001,0),0), INDEX($AO$1004:$BQ$1004,1,MATCH(COLUMNS($AO$1006:AT1006),$AO$1006:$BQ$1006,0)))),"Fix")))</f>
        <v>#N/A</v>
      </c>
      <c r="H749" s="5" t="e">
        <f ca="1">IF(OR(INDEX($AI$2:$AI$1001,MATCH(ROWS($AH$2:AH749),$AH$2:$AH$1001,0),1)&gt;=100000,INDEX($AO$1005:$BQ$1005,1,MATCH(COLUMNS($AO$1006:AU1006),$AO$1006:$BQ$1006,0))&gt;=100000), " ",IF(INDEX($AO$2:$BQ$1001,MATCH(ROWS($AH$2:AH749),$AH$2:$AH$1001,0),MATCH(COLUMNS($AO$1006:AU1006),$AO$1006:$BQ$1006,0)), HYPERLINK("#",""), HYPERLINK(CONCATENATE("#Metadata!", ADDRESS(INDEX($AJ$2:$AJ$1001,MATCH(ROWS($AH$2:AH749),$AH$2:$AH$1001,0),0), INDEX($AO$1004:$BQ$1004,1,MATCH(COLUMNS($AO$1006:AU1006),$AO$1006:$BQ$1006,0)))),"Fix")))</f>
        <v>#N/A</v>
      </c>
      <c r="I749" s="5" t="e">
        <f ca="1">IF(OR(INDEX($AI$2:$AI$1001,MATCH(ROWS($AH$2:AH749),$AH$2:$AH$1001,0),1)&gt;=100000,INDEX($AO$1005:$BQ$1005,1,MATCH(COLUMNS($AO$1006:AV1006),$AO$1006:$BQ$1006,0))&gt;=100000), " ",IF(INDEX($AO$2:$BQ$1001,MATCH(ROWS($AH$2:AH749),$AH$2:$AH$1001,0),MATCH(COLUMNS($AO$1006:AV1006),$AO$1006:$BQ$1006,0)), HYPERLINK("#",""), HYPERLINK(CONCATENATE("#Metadata!", ADDRESS(INDEX($AJ$2:$AJ$1001,MATCH(ROWS($AH$2:AH749),$AH$2:$AH$1001,0),0), INDEX($AO$1004:$BQ$1004,1,MATCH(COLUMNS($AO$1006:AV1006),$AO$1006:$BQ$1006,0)))),"Fix")))</f>
        <v>#N/A</v>
      </c>
      <c r="J749" s="5" t="e">
        <f ca="1">IF(OR(INDEX($AI$2:$AI$1001,MATCH(ROWS($AH$2:AH749),$AH$2:$AH$1001,0),1)&gt;=100000,INDEX($AO$1005:$BQ$1005,1,MATCH(COLUMNS($AO$1006:AW1006),$AO$1006:$BQ$1006,0))&gt;=100000), " ",IF(INDEX($AO$2:$BQ$1001,MATCH(ROWS($AH$2:AH749),$AH$2:$AH$1001,0),MATCH(COLUMNS($AO$1006:AW1006),$AO$1006:$BQ$1006,0)), HYPERLINK("#",""), HYPERLINK(CONCATENATE("#Metadata!", ADDRESS(INDEX($AJ$2:$AJ$1001,MATCH(ROWS($AH$2:AH749),$AH$2:$AH$1001,0),0), INDEX($AO$1004:$BQ$1004,1,MATCH(COLUMNS($AO$1006:AW1006),$AO$1006:$BQ$1006,0)))),"Fix")))</f>
        <v>#N/A</v>
      </c>
      <c r="K749" s="5" t="e">
        <f ca="1">IF(OR(INDEX($AI$2:$AI$1001,MATCH(ROWS($AH$2:AH749),$AH$2:$AH$1001,0),1)&gt;=100000,INDEX($AO$1005:$BQ$1005,1,MATCH(COLUMNS($AO$1006:AX1006),$AO$1006:$BQ$1006,0))&gt;=100000), " ",IF(INDEX($AO$2:$BQ$1001,MATCH(ROWS($AH$2:AH749),$AH$2:$AH$1001,0),MATCH(COLUMNS($AO$1006:AX1006),$AO$1006:$BQ$1006,0)), HYPERLINK("#",""), HYPERLINK(CONCATENATE("#Metadata!", ADDRESS(INDEX($AJ$2:$AJ$1001,MATCH(ROWS($AH$2:AH749),$AH$2:$AH$1001,0),0), INDEX($AO$1004:$BQ$1004,1,MATCH(COLUMNS($AO$1006:AX1006),$AO$1006:$BQ$1006,0)))),"Fix")))</f>
        <v>#N/A</v>
      </c>
      <c r="L749" s="5" t="e">
        <f ca="1">IF(OR(INDEX($AI$2:$AI$1001,MATCH(ROWS($AH$2:AH749),$AH$2:$AH$1001,0),1)&gt;=100000,INDEX($AO$1005:$BQ$1005,1,MATCH(COLUMNS($AO$1006:AY1006),$AO$1006:$BQ$1006,0))&gt;=100000), " ",IF(INDEX($AO$2:$BQ$1001,MATCH(ROWS($AH$2:AH749),$AH$2:$AH$1001,0),MATCH(COLUMNS($AO$1006:AY1006),$AO$1006:$BQ$1006,0)), HYPERLINK("#",""), HYPERLINK(CONCATENATE("#Metadata!", ADDRESS(INDEX($AJ$2:$AJ$1001,MATCH(ROWS($AH$2:AH749),$AH$2:$AH$1001,0),0), INDEX($AO$1004:$BQ$1004,1,MATCH(COLUMNS($AO$1006:AY1006),$AO$1006:$BQ$1006,0)))),"Fix")))</f>
        <v>#N/A</v>
      </c>
      <c r="M749" s="5" t="e">
        <f ca="1">IF(OR(INDEX($AI$2:$AI$1001,MATCH(ROWS($AH$2:AH749),$AH$2:$AH$1001,0),1)&gt;=100000,INDEX($AO$1005:$BQ$1005,1,MATCH(COLUMNS($AO$1006:AZ1006),$AO$1006:$BQ$1006,0))&gt;=100000), " ",IF(INDEX($AO$2:$BQ$1001,MATCH(ROWS($AH$2:AH749),$AH$2:$AH$1001,0),MATCH(COLUMNS($AO$1006:AZ1006),$AO$1006:$BQ$1006,0)), HYPERLINK("#",""), HYPERLINK(CONCATENATE("#Metadata!", ADDRESS(INDEX($AJ$2:$AJ$1001,MATCH(ROWS($AH$2:AH749),$AH$2:$AH$1001,0),0), INDEX($AO$1004:$BQ$1004,1,MATCH(COLUMNS($AO$1006:AZ1006),$AO$1006:$BQ$1006,0)))),"Fix")))</f>
        <v>#N/A</v>
      </c>
      <c r="N749" s="5" t="e">
        <f ca="1">IF(OR(INDEX($AI$2:$AI$1001,MATCH(ROWS($AH$2:AH749),$AH$2:$AH$1001,0),1)&gt;=100000,INDEX($AO$1005:$BQ$1005,1,MATCH(COLUMNS($AO$1006:BA1006),$AO$1006:$BQ$1006,0))&gt;=100000), " ",IF(INDEX($AO$2:$BQ$1001,MATCH(ROWS($AH$2:AH749),$AH$2:$AH$1001,0),MATCH(COLUMNS($AO$1006:BA1006),$AO$1006:$BQ$1006,0)), HYPERLINK("#",""), HYPERLINK(CONCATENATE("#Metadata!", ADDRESS(INDEX($AJ$2:$AJ$1001,MATCH(ROWS($AH$2:AH749),$AH$2:$AH$1001,0),0), INDEX($AO$1004:$BQ$1004,1,MATCH(COLUMNS($AO$1006:BA1006),$AO$1006:$BQ$1006,0)))),"Fix")))</f>
        <v>#N/A</v>
      </c>
      <c r="O749" s="5" t="e">
        <f ca="1">IF(OR(INDEX($AI$2:$AI$1001,MATCH(ROWS($AH$2:AH749),$AH$2:$AH$1001,0),1)&gt;=100000,INDEX($AO$1005:$BQ$1005,1,MATCH(COLUMNS($AO$1006:BB1006),$AO$1006:$BQ$1006,0))&gt;=100000), " ",IF(INDEX($AO$2:$BQ$1001,MATCH(ROWS($AH$2:AH749),$AH$2:$AH$1001,0),MATCH(COLUMNS($AO$1006:BB1006),$AO$1006:$BQ$1006,0)), HYPERLINK("#",""), HYPERLINK(CONCATENATE("#Metadata!", ADDRESS(INDEX($AJ$2:$AJ$1001,MATCH(ROWS($AH$2:AH749),$AH$2:$AH$1001,0),0), INDEX($AO$1004:$BQ$1004,1,MATCH(COLUMNS($AO$1006:BB1006),$AO$1006:$BQ$1006,0)))),"Fix")))</f>
        <v>#N/A</v>
      </c>
      <c r="P749" s="5" t="e">
        <f ca="1">IF(OR(INDEX($AI$2:$AI$1001,MATCH(ROWS($AH$2:AH749),$AH$2:$AH$1001,0),1)&gt;=100000,INDEX($AO$1005:$BQ$1005,1,MATCH(COLUMNS($AO$1006:BC1006),$AO$1006:$BQ$1006,0))&gt;=100000), " ",IF(INDEX($AO$2:$BQ$1001,MATCH(ROWS($AH$2:AH749),$AH$2:$AH$1001,0),MATCH(COLUMNS($AO$1006:BC1006),$AO$1006:$BQ$1006,0)), HYPERLINK("#",""), HYPERLINK(CONCATENATE("#Metadata!", ADDRESS(INDEX($AJ$2:$AJ$1001,MATCH(ROWS($AH$2:AH749),$AH$2:$AH$1001,0),0), INDEX($AO$1004:$BQ$1004,1,MATCH(COLUMNS($AO$1006:BC1006),$AO$1006:$BQ$1006,0)))),"Fix")))</f>
        <v>#N/A</v>
      </c>
      <c r="Q749" s="5" t="e">
        <f ca="1">IF(OR(INDEX($AI$2:$AI$1001,MATCH(ROWS($AH$2:AH749),$AH$2:$AH$1001,0),1)&gt;=100000,INDEX($AO$1005:$BQ$1005,1,MATCH(COLUMNS($AO$1006:BD1006),$AO$1006:$BQ$1006,0))&gt;=100000), " ",IF(INDEX($AO$2:$BQ$1001,MATCH(ROWS($AH$2:AH749),$AH$2:$AH$1001,0),MATCH(COLUMNS($AO$1006:BD1006),$AO$1006:$BQ$1006,0)), HYPERLINK("#",""), HYPERLINK(CONCATENATE("#Metadata!", ADDRESS(INDEX($AJ$2:$AJ$1001,MATCH(ROWS($AH$2:AH749),$AH$2:$AH$1001,0),0), INDEX($AO$1004:$BQ$1004,1,MATCH(COLUMNS($AO$1006:BD1006),$AO$1006:$BQ$1006,0)))),"Fix")))</f>
        <v>#N/A</v>
      </c>
      <c r="R749" s="5" t="e">
        <f ca="1">IF(OR(INDEX($AI$2:$AI$1001,MATCH(ROWS($AH$2:AH749),$AH$2:$AH$1001,0),1)&gt;=100000,INDEX($AO$1005:$BQ$1005,1,MATCH(COLUMNS($AO$1006:BE1006),$AO$1006:$BQ$1006,0))&gt;=100000), " ",IF(INDEX($AO$2:$BQ$1001,MATCH(ROWS($AH$2:AH749),$AH$2:$AH$1001,0),MATCH(COLUMNS($AO$1006:BE1006),$AO$1006:$BQ$1006,0)), HYPERLINK("#",""), HYPERLINK(CONCATENATE("#Metadata!", ADDRESS(INDEX($AJ$2:$AJ$1001,MATCH(ROWS($AH$2:AH749),$AH$2:$AH$1001,0),0), INDEX($AO$1004:$BQ$1004,1,MATCH(COLUMNS($AO$1006:BE1006),$AO$1006:$BQ$1006,0)))),"Fix")))</f>
        <v>#N/A</v>
      </c>
      <c r="S749" s="5" t="e">
        <f ca="1">IF(OR(INDEX($AI$2:$AI$1001,MATCH(ROWS($AH$2:AH749),$AH$2:$AH$1001,0),1)&gt;=100000,INDEX($AO$1005:$BQ$1005,1,MATCH(COLUMNS($AO$1006:BF1006),$AO$1006:$BQ$1006,0))&gt;=100000), " ",IF(INDEX($AO$2:$BQ$1001,MATCH(ROWS($AH$2:AH749),$AH$2:$AH$1001,0),MATCH(COLUMNS($AO$1006:BF1006),$AO$1006:$BQ$1006,0)), HYPERLINK("#",""), HYPERLINK(CONCATENATE("#Metadata!", ADDRESS(INDEX($AJ$2:$AJ$1001,MATCH(ROWS($AH$2:AH749),$AH$2:$AH$1001,0),0), INDEX($AO$1004:$BQ$1004,1,MATCH(COLUMNS($AO$1006:BF1006),$AO$1006:$BQ$1006,0)))),"Fix")))</f>
        <v>#N/A</v>
      </c>
      <c r="T749" s="5" t="e">
        <f ca="1">IF(OR(INDEX($AI$2:$AI$1001,MATCH(ROWS($AH$2:AH749),$AH$2:$AH$1001,0),1)&gt;=100000,INDEX($AO$1005:$BQ$1005,1,MATCH(COLUMNS($AO$1006:BG1006),$AO$1006:$BQ$1006,0))&gt;=100000), " ",IF(INDEX($AO$2:$BQ$1001,MATCH(ROWS($AH$2:AH749),$AH$2:$AH$1001,0),MATCH(COLUMNS($AO$1006:BG1006),$AO$1006:$BQ$1006,0)), HYPERLINK("#",""), HYPERLINK(CONCATENATE("#Metadata!", ADDRESS(INDEX($AJ$2:$AJ$1001,MATCH(ROWS($AH$2:AH749),$AH$2:$AH$1001,0),0), INDEX($AO$1004:$BQ$1004,1,MATCH(COLUMNS($AO$1006:BG1006),$AO$1006:$BQ$1006,0)))),"Fix")))</f>
        <v>#N/A</v>
      </c>
      <c r="U749" s="5" t="e">
        <f ca="1">IF(OR(INDEX($AI$2:$AI$1001,MATCH(ROWS($AH$2:AH749),$AH$2:$AH$1001,0),1)&gt;=100000,INDEX($AO$1005:$BQ$1005,1,MATCH(COLUMNS($AO$1006:BH1006),$AO$1006:$BQ$1006,0))&gt;=100000), " ",IF(INDEX($AO$2:$BQ$1001,MATCH(ROWS($AH$2:AH749),$AH$2:$AH$1001,0),MATCH(COLUMNS($AO$1006:BH1006),$AO$1006:$BQ$1006,0)), HYPERLINK("#",""), HYPERLINK(CONCATENATE("#Metadata!", ADDRESS(INDEX($AJ$2:$AJ$1001,MATCH(ROWS($AH$2:AH749),$AH$2:$AH$1001,0),0), INDEX($AO$1004:$BQ$1004,1,MATCH(COLUMNS($AO$1006:BH1006),$AO$1006:$BQ$1006,0)))),"Fix")))</f>
        <v>#N/A</v>
      </c>
      <c r="V749" s="5" t="e">
        <f ca="1">IF(OR(INDEX($AI$2:$AI$1001,MATCH(ROWS($AH$2:AH749),$AH$2:$AH$1001,0),1)&gt;=100000,INDEX($AO$1005:$BQ$1005,1,MATCH(COLUMNS($AO$1006:BI1006),$AO$1006:$BQ$1006,0))&gt;=100000), " ",IF(INDEX($AO$2:$BQ$1001,MATCH(ROWS($AH$2:AH749),$AH$2:$AH$1001,0),MATCH(COLUMNS($AO$1006:BI1006),$AO$1006:$BQ$1006,0)), HYPERLINK("#",""), HYPERLINK(CONCATENATE("#Metadata!", ADDRESS(INDEX($AJ$2:$AJ$1001,MATCH(ROWS($AH$2:AH749),$AH$2:$AH$1001,0),0), INDEX($AO$1004:$BQ$1004,1,MATCH(COLUMNS($AO$1006:BI1006),$AO$1006:$BQ$1006,0)))),"Fix")))</f>
        <v>#N/A</v>
      </c>
      <c r="W749" s="5" t="e">
        <f ca="1">IF(OR(INDEX($AI$2:$AI$1001,MATCH(ROWS($AH$2:AH749),$AH$2:$AH$1001,0),1)&gt;=100000,INDEX($AO$1005:$BQ$1005,1,MATCH(COLUMNS($AO$1006:BJ1006),$AO$1006:$BQ$1006,0))&gt;=100000), " ",IF(INDEX($AO$2:$BQ$1001,MATCH(ROWS($AH$2:AH749),$AH$2:$AH$1001,0),MATCH(COLUMNS($AO$1006:BJ1006),$AO$1006:$BQ$1006,0)), HYPERLINK("#",""), HYPERLINK(CONCATENATE("#Metadata!", ADDRESS(INDEX($AJ$2:$AJ$1001,MATCH(ROWS($AH$2:AH749),$AH$2:$AH$1001,0),0), INDEX($AO$1004:$BQ$1004,1,MATCH(COLUMNS($AO$1006:BJ1006),$AO$1006:$BQ$1006,0)))),"Fix")))</f>
        <v>#N/A</v>
      </c>
      <c r="X749" s="5" t="e">
        <f ca="1">IF(OR(INDEX($AI$2:$AI$1001,MATCH(ROWS($AH$2:AH749),$AH$2:$AH$1001,0),1)&gt;=100000,INDEX($AO$1005:$BQ$1005,1,MATCH(COLUMNS($AO$1006:BK1006),$AO$1006:$BQ$1006,0))&gt;=100000), " ",IF(INDEX($AO$2:$BQ$1001,MATCH(ROWS($AH$2:AH749),$AH$2:$AH$1001,0),MATCH(COLUMNS($AO$1006:BK1006),$AO$1006:$BQ$1006,0)), HYPERLINK("#",""), HYPERLINK(CONCATENATE("#Metadata!", ADDRESS(INDEX($AJ$2:$AJ$1001,MATCH(ROWS($AH$2:AH749),$AH$2:$AH$1001,0),0), INDEX($AO$1004:$BQ$1004,1,MATCH(COLUMNS($AO$1006:BK1006),$AO$1006:$BQ$1006,0)))),"Fix")))</f>
        <v>#N/A</v>
      </c>
      <c r="Y749" s="5" t="e">
        <f ca="1">IF(OR(INDEX($AI$2:$AI$1001,MATCH(ROWS($AH$2:AH749),$AH$2:$AH$1001,0),1)&gt;=100000,INDEX($AO$1005:$BQ$1005,1,MATCH(COLUMNS($AO$1006:BL1006),$AO$1006:$BQ$1006,0))&gt;=100000), " ",IF(INDEX($AO$2:$BQ$1001,MATCH(ROWS($AH$2:AH749),$AH$2:$AH$1001,0),MATCH(COLUMNS($AO$1006:BL1006),$AO$1006:$BQ$1006,0)), HYPERLINK("#",""), HYPERLINK(CONCATENATE("#Metadata!", ADDRESS(INDEX($AJ$2:$AJ$1001,MATCH(ROWS($AH$2:AH749),$AH$2:$AH$1001,0),0), INDEX($AO$1004:$BQ$1004,1,MATCH(COLUMNS($AO$1006:BL1006),$AO$1006:$BQ$1006,0)))),"Fix")))</f>
        <v>#N/A</v>
      </c>
      <c r="Z749" s="5" t="e">
        <f ca="1">IF(OR(INDEX($AI$2:$AI$1001,MATCH(ROWS($AH$2:AH749),$AH$2:$AH$1001,0),1)&gt;=100000,INDEX($AO$1005:$BQ$1005,1,MATCH(COLUMNS($AO$1006:BM1006),$AO$1006:$BQ$1006,0))&gt;=100000), " ",IF(INDEX($AO$2:$BQ$1001,MATCH(ROWS($AH$2:AH749),$AH$2:$AH$1001,0),MATCH(COLUMNS($AO$1006:BM1006),$AO$1006:$BQ$1006,0)), HYPERLINK("#",""), HYPERLINK(CONCATENATE("#Metadata!", ADDRESS(INDEX($AJ$2:$AJ$1001,MATCH(ROWS($AH$2:AH749),$AH$2:$AH$1001,0),0), INDEX($AO$1004:$BQ$1004,1,MATCH(COLUMNS($AO$1006:BM1006),$AO$1006:$BQ$1006,0)))),"Fix")))</f>
        <v>#N/A</v>
      </c>
      <c r="AA749" s="5" t="e">
        <f ca="1">IF(OR(INDEX($AI$2:$AI$1001,MATCH(ROWS($AH$2:AH749),$AH$2:$AH$1001,0),1)&gt;=100000,INDEX($AO$1005:$BQ$1005,1,MATCH(COLUMNS($AO$1006:BN1006),$AO$1006:$BQ$1006,0))&gt;=100000), " ",IF(INDEX($AO$2:$BQ$1001,MATCH(ROWS($AH$2:AH749),$AH$2:$AH$1001,0),MATCH(COLUMNS($AO$1006:BN1006),$AO$1006:$BQ$1006,0)), HYPERLINK("#",""), HYPERLINK(CONCATENATE("#Metadata!", ADDRESS(INDEX($AJ$2:$AJ$1001,MATCH(ROWS($AH$2:AH749),$AH$2:$AH$1001,0),0), INDEX($AO$1004:$BQ$1004,1,MATCH(COLUMNS($AO$1006:BN1006),$AO$1006:$BQ$1006,0)))),"Fix")))</f>
        <v>#N/A</v>
      </c>
      <c r="AB749" s="5" t="e">
        <f ca="1">IF(OR(INDEX($AI$2:$AI$1001,MATCH(ROWS($AH$2:AH749),$AH$2:$AH$1001,0),1)&gt;=100000,INDEX($AO$1005:$BQ$1005,1,MATCH(COLUMNS($AO$1006:BO1006),$AO$1006:$BQ$1006,0))&gt;=100000), " ",IF(INDEX($AO$2:$BQ$1001,MATCH(ROWS($AH$2:AH749),$AH$2:$AH$1001,0),MATCH(COLUMNS($AO$1006:BO1006),$AO$1006:$BQ$1006,0)), HYPERLINK("#",""), HYPERLINK(CONCATENATE("#Metadata!", ADDRESS(INDEX($AJ$2:$AJ$1001,MATCH(ROWS($AH$2:AH749),$AH$2:$AH$1001,0),0), INDEX($AO$1004:$BQ$1004,1,MATCH(COLUMNS($AO$1006:BO1006),$AO$1006:$BQ$1006,0)))),"Fix")))</f>
        <v>#N/A</v>
      </c>
      <c r="AC749" s="5" t="e">
        <f ca="1">IF(OR(INDEX($AI$2:$AI$1001,MATCH(ROWS($AH$2:AH749),$AH$2:$AH$1001,0),1)&gt;=100000,INDEX($AO$1005:$BQ$1005,1,MATCH(COLUMNS($AO$1006:BP1006),$AO$1006:$BQ$1006,0))&gt;=100000), " ",IF(INDEX($AO$2:$BQ$1001,MATCH(ROWS($AH$2:AH749),$AH$2:$AH$1001,0),MATCH(COLUMNS($AO$1006:BP1006),$AO$1006:$BQ$1006,0)), HYPERLINK("#",""), HYPERLINK(CONCATENATE("#Metadata!", ADDRESS(INDEX($AJ$2:$AJ$1001,MATCH(ROWS($AH$2:AH749),$AH$2:$AH$1001,0),0), INDEX($AO$1004:$BQ$1004,1,MATCH(COLUMNS($AO$1006:BP1006),$AO$1006:$BQ$1006,0)))),"Fix")))</f>
        <v>#N/A</v>
      </c>
      <c r="AD749" s="5" t="e">
        <f ca="1">IF(OR(INDEX($AI$2:$AI$1001,MATCH(ROWS($AH$2:AH749),$AH$2:$AH$1001,0),1)&gt;=100000,INDEX($AO$1005:$BQ$1005,1,MATCH(COLUMNS($AO$1006:BQ1006),$AO$1006:$BQ$1006,0))&gt;=100000), " ",IF(INDEX($AO$2:$BQ$1001,MATCH(ROWS($AH$2:AH749),$AH$2:$AH$1001,0),MATCH(COLUMNS($AO$1006:BQ1006),$AO$1006:$BQ$1006,0)), HYPERLINK("#",""), HYPERLINK(CONCATENATE("#Metadata!", ADDRESS(INDEX($AJ$2:$AJ$1001,MATCH(ROWS($AH$2:AH749),$AH$2:$AH$1001,0),0), INDEX($AO$1004:$BQ$1004,1,MATCH(COLUMNS($AO$1006:BQ1006),$AO$1006:$BQ$1006,0)))),"Fix")))</f>
        <v>#REF!</v>
      </c>
      <c r="AH749">
        <f ca="1"/>
        <v>746</v>
      </c>
      <c r="AI749">
        <v>100749</v>
      </c>
      <c r="AJ749">
        <v>749</v>
      </c>
      <c r="AK749" t="b">
        <f t="shared" si="11"/>
        <v>1</v>
      </c>
      <c r="AL749" t="b">
        <f>COUNTBLANK(Metadata!B749:AD749)=COLUMNS(Metadata!B749:AD749)</f>
        <v>1</v>
      </c>
      <c r="AM749" t="str">
        <v/>
      </c>
      <c r="AO749" t="b">
        <f ca="1">AND(IF(Metadata!B749="",FALSE,TRUE),COUNTIF(Metadata!B:B, Metadata!B749) = 1,NOT(ISERROR(SUMPRODUCT(SEARCH(MID(Metadata!B749,ROW(INDIRECT("1:"&amp;LEN(Metadata!B749))), 1),"0123456789abcdefghijklmnopqrstuvwxyzABCDEFGHIJKLMNOPQRSTUVWXYZ.")))))</f>
        <v>0</v>
      </c>
      <c r="AP749" t="b">
        <f>IF(Metadata!C749="",FALSE,TRUE)</f>
        <v>0</v>
      </c>
      <c r="AQ749" t="b">
        <f>IF(Metadata!D749="",FALSE,TRUE)</f>
        <v>0</v>
      </c>
      <c r="AR749" t="b">
        <f ca="1">OR(AND(IF(Metadata!E749="",FALSE,TRUE),OR(EXACT(Metadata!E749,"not collected"),EXACT(Metadata!E749,"not provided"),EXACT(Metadata!E749,"restricted access"))),AND(IF(Metadata!E749="",FALSE,TRUE),AND(AND(IFERROR(INT(LEFT(Metadata!E749,4))&gt;1900,FALSE),IFERROR(INT(LEFT(Metadata!E749,4))&lt;=YEAR(NOW()),FALSE)), OR(MID(Metadata!E749,5,1)="", AND(AND(MID(Metadata!E749,5,1)="-",IFERROR(INT(MID(Metadata!E749,6,1))&gt;=0,FALSE),IFERROR(INT(MID(Metadata!E749,6,1))&lt;=1,FALSE),NOT(MID(Metadata!E749,7,1)=""),IFERROR(INT(MID(Metadata!E749,6,2))&gt;=1,FALSE),IFERROR(INT(MID(Metadata!E749,6,2))&lt;=12,FALSE)), OR(MID(Metadata!E749,8,1)="", AND(AND(MID(Metadata!E749,8,1)="-",IFERROR(INT(MID(Metadata!E749,9,1))&gt;=0,FALSE),IFERROR(INT(MID(Metadata!E749,9,1))&lt;=3,FALSE),NOT(MID(Metadata!E749,10,1)=""),IFERROR(INT(MID(Metadata!E749,9,2))&gt;=1,FALSE),IFERROR(INT(MID(Metadata!E749,9,2))&lt;=31,FALSE)), OR(MID(Metadata!E749,11,1)="", AND(AND(MID(Metadata!E749,11,1)=" ",IFERROR(INT(MID(Metadata!E749,12,1))&gt;=0,FALSE),IFERROR(INT(MID(Metadata!E749,12,1))&lt;=2,FALSE),NOT(MID(Metadata!E749,13,1)=""),IFERROR(INT(MID(Metadata!E749,12,2))&gt;=0,FALSE),IFERROR(INT(MID(Metadata!E749,12,2))&lt;=23,FALSE)), OR(MID(Metadata!E749,14,1)="", AND(AND(MID(Metadata!E749,14,1)=":",IFERROR(INT(MID(Metadata!E749,15,1))&gt;=0,FALSE),IFERROR(INT(MID(Metadata!E749,15,1))&lt;=5,FALSE),NOT(MID(Metadata!E749,16,1)=""),IFERROR(INT(MID(Metadata!E749,15,2))&gt;=0,FALSE),IFERROR(INT(MID(Metadata!E749,15,2))&lt;=59,FALSE)), OR(MID(Metadata!E749,17,1)="", AND(AND(MID(Metadata!E749,17,1)=":",IFERROR(INT(MID(Metadata!E749,18,1))&gt;=0,FALSE),IFERROR(INT(MID(Metadata!E749,18,1))&lt;=5,FALSE),NOT(MID(Metadata!E749,19,1)=""),IFERROR(INT(MID(Metadata!E749,18,2))&gt;=0,FALSE),IFERROR(INT(MID(Metadata!E749,18,2))&lt;=59,FALSE)), LEN(Metadata!E749)&lt;=19)))))))))))))</f>
        <v>0</v>
      </c>
      <c r="AS749" t="b">
        <f>IF(Metadata!F749="",FALSE,TRUE)</f>
        <v>0</v>
      </c>
      <c r="AT749" t="b">
        <f>OR(AND(IF(Metadata!G749="",FALSE,TRUE),OR(EXACT(Metadata!G749,"not collected"),EXACT(Metadata!G749,"not provided"))),AND(IF(Metadata!G749="",FALSE,TRUE),OR(EXACT(Metadata!G749,"TRUE"),EXACT(Metadata!G749,"FALSE"))))</f>
        <v>0</v>
      </c>
      <c r="AU749" t="b">
        <f>OR(AND(IF(Metadata!H749="",FALSE,TRUE),OR(EXACT(Metadata!H749,"not collected"),EXACT(Metadata!H749,"not provided"),EXACT(Metadata!H749,"restricted access"))),AND(IF(Metadata!H749="",FALSE,ISNUMBER(VALUE(Metadata!H749))),Metadata!H749&gt;=-413))</f>
        <v>0</v>
      </c>
      <c r="AV749" t="b">
        <f>AND(IF(Metadata!I749="",FALSE,TRUE),EXACT(Metadata!I749,"meters"))</f>
        <v>0</v>
      </c>
      <c r="AW749" t="b">
        <f>AND(IF(Metadata!J749="",FALSE,TRUE),EXACT(Metadata!J749,"free-living"))</f>
        <v>0</v>
      </c>
      <c r="AX749" t="b">
        <f>AND(IF(Metadata!K749="",FALSE,TRUE),OR(EXACT(Metadata!K749,"saline"),EXACT(Metadata!K749,"non-saline")))</f>
        <v>0</v>
      </c>
      <c r="AY749" t="b">
        <f>AND(IF(Metadata!L749="",FALSE,TRUE),OR(EXACT(Metadata!L749,"sub-surface (non-saline)"),EXACT(Metadata!L749,"surface (non-saline)"),EXACT(Metadata!L749,"water (non-saline)"),EXACT(Metadata!L749,"soil (non-saline)"),EXACT(Metadata!L749,"aerosol (non-saline)"),EXACT(Metadata!L749,"sediment (non-saline)"),EXACT(Metadata!L749,"surface (saline)"),EXACT(Metadata!L749,"water (saline)"),EXACT(Metadata!L749,"hypersaline (saline)"),EXACT(Metadata!L749,"aerosol (saline)"),EXACT(Metadata!L749,"sediment (saline)")))</f>
        <v>0</v>
      </c>
      <c r="AZ749" t="b">
        <f>IF(Metadata!M749="",FALSE,TRUE)</f>
        <v>0</v>
      </c>
      <c r="BA749" t="b">
        <f>IF(Metadata!N749="",FALSE,TRUE)</f>
        <v>0</v>
      </c>
      <c r="BB749" t="b">
        <f>IF(Metadata!O749="",FALSE,TRUE)</f>
        <v>0</v>
      </c>
      <c r="BC749" t="b">
        <f>AND(IF(Metadata!P749="",FALSE,TRUE),OR(EXACT(Metadata!P749,"air"),EXACT(Metadata!P749,"microbial mat/biofilm"),EXACT(Metadata!P749,"misc environment"),EXACT(Metadata!P749,"sediment"),EXACT(Metadata!P749,"soil"),EXACT(Metadata!P749,"wastewater/sludge"),EXACT(Metadata!P749,"water")))</f>
        <v>0</v>
      </c>
      <c r="BD749" t="b">
        <f>IF(Metadata!Q749="",FALSE,TRUE)</f>
        <v>0</v>
      </c>
      <c r="BE749" t="b">
        <f>IF(Metadata!R749="",FALSE,TRUE)</f>
        <v>0</v>
      </c>
      <c r="BF749" t="b">
        <f>OR(AND(IF(Metadata!S749="",FALSE,TRUE),OR(EXACT(Metadata!S749,"not collected"),EXACT(Metadata!S749,"not provided"),EXACT(Metadata!S749,"restricted access"))),AND(IF(Metadata!S749="",FALSE,ISNUMBER(VALUE(Metadata!S749))),Metadata!S749&gt;=-90,Metadata!S749&lt;=90))</f>
        <v>0</v>
      </c>
      <c r="BG749" t="b">
        <f>AND(IF(Metadata!T749="",FALSE,TRUE),EXACT(Metadata!T749,"Decimal degrees"))</f>
        <v>0</v>
      </c>
      <c r="BH749" t="b">
        <f>OR(AND(IF(Metadata!U749="",FALSE,TRUE),OR(EXACT(Metadata!U749,"not applicable"),EXACT(Metadata!U749,"not collected"))),IF(Metadata!U749="",FALSE,TRUE))</f>
        <v>0</v>
      </c>
      <c r="BI749" t="b">
        <f>OR(AND(IF(Metadata!V749="",FALSE,TRUE),OR(EXACT(Metadata!V749,"not collected"),EXACT(Metadata!V749,"not provided"),EXACT(Metadata!V749,"restricted access"))),AND(IF(Metadata!V749="",FALSE,ISNUMBER(VALUE(Metadata!V749))),Metadata!V749&gt;=-180,Metadata!V749&lt;=180))</f>
        <v>0</v>
      </c>
      <c r="BJ749" t="b">
        <f>AND(IF(Metadata!W749="",FALSE,TRUE),EXACT(Metadata!W749,"Decimal degrees"))</f>
        <v>0</v>
      </c>
      <c r="BK749" t="b">
        <f>IF(Metadata!X749="",FALSE,TRUE)</f>
        <v>0</v>
      </c>
      <c r="BL749" t="b">
        <f>OR(AND(IF(Metadata!Y749="",FALSE,TRUE),OR(EXACT(Metadata!Y749,"not collected"),EXACT(Metadata!Y749,"not provided"),EXACT(Metadata!Y749,"restricted access"))),AND(IF(Metadata!Y749="",FALSE,TRUE),OR(EXACT(Metadata!Y749,"TRUE"),EXACT(Metadata!Y749,"FALSE"))))</f>
        <v>0</v>
      </c>
      <c r="BM749" t="b">
        <f>OR(AND(IF(Metadata!Z749="",FALSE,TRUE),EXACT(Metadata!Z749,"not applicable")),AND(IF(Metadata!Z749="",FALSE,TRUE),OR(EXACT(Metadata!Z749,"beer"),EXACT(Metadata!Z749,"cheese"),EXACT(Metadata!Z749,"fresh water"),EXACT(Metadata!Z749,"marine sediment"),EXACT(Metadata!Z749,"sea water"),EXACT(Metadata!Z749,"sediment"),EXACT(Metadata!Z749,"soil"),EXACT(Metadata!Z749,"waste water"))))</f>
        <v>0</v>
      </c>
      <c r="BN749" t="b">
        <f>AND(IF(Metadata!AA749="",FALSE,TRUE),EXACT(Metadata!AA749,"metagenome"))</f>
        <v>0</v>
      </c>
      <c r="BO749" t="b">
        <f>AND(IF(Metadata!AB749="",FALSE,TRUE),EXACT(Metadata!AB749,"256318"))</f>
        <v>0</v>
      </c>
      <c r="BP749" t="b">
        <f>IF(Metadata!AC749="",FALSE,TRUE)</f>
        <v>0</v>
      </c>
      <c r="BQ749" t="b">
        <f>IF(Metadata!AD749="",FALSE,TRUE)</f>
        <v>0</v>
      </c>
    </row>
    <row r="750" spans="1:69" x14ac:dyDescent="0.2">
      <c r="A750" s="4" t="e">
        <f ca="1">IF(B750=" "," ",HYPERLINK(CONCATENATE("#metadata!",ADDRESS(INDEX($AJ$2:$AJ$1001,MATCH(ROWS($AH$2:AH750),$AH$2:$AH$1001,0),0),2)),INDEX($AM$2:$AM$1001,MATCH(ROWS($AH$2:AH750),$AH$2:$AH$1001,0),0)))</f>
        <v>#N/A</v>
      </c>
      <c r="B750" s="5" t="e">
        <f ca="1">IF(OR(INDEX($AI$2:$AI$1001,MATCH(ROWS($AH$2:AH750),$AH$2:$AH$1001,0),1)&gt;=100000,INDEX($AO$1005:$BQ$1005,1,MATCH(COLUMNS($AO$1006:AO1006),$AO$1006:$BQ$1006,0))&gt;=100000), " ",IF(INDEX($AO$2:$BQ$1001,MATCH(ROWS($AH$2:AH750),$AH$2:$AH$1001,0),MATCH(COLUMNS($AO$1006:AO1006),$AO$1006:$BQ$1006,0)), HYPERLINK("#",""), HYPERLINK(CONCATENATE("#Metadata!", ADDRESS(INDEX($AJ$2:$AJ$1001,MATCH(ROWS($AH$2:AH750),$AH$2:$AH$1001,0),0), INDEX($AO$1004:$BQ$1004,1,MATCH(COLUMNS($AO$1006:AO1006),$AO$1006:$BQ$1006,0)))),"Fix")))</f>
        <v>#N/A</v>
      </c>
      <c r="C750" s="5" t="e">
        <f ca="1">IF(OR(INDEX($AI$2:$AI$1001,MATCH(ROWS($AH$2:AH750),$AH$2:$AH$1001,0),1)&gt;=100000,INDEX($AO$1005:$BQ$1005,1,MATCH(COLUMNS($AO$1006:AP1006),$AO$1006:$BQ$1006,0))&gt;=100000), " ",IF(INDEX($AO$2:$BQ$1001,MATCH(ROWS($AH$2:AH750),$AH$2:$AH$1001,0),MATCH(COLUMNS($AO$1006:AP1006),$AO$1006:$BQ$1006,0)), HYPERLINK("#",""), HYPERLINK(CONCATENATE("#Metadata!", ADDRESS(INDEX($AJ$2:$AJ$1001,MATCH(ROWS($AH$2:AH750),$AH$2:$AH$1001,0),0), INDEX($AO$1004:$BQ$1004,1,MATCH(COLUMNS($AO$1006:AP1006),$AO$1006:$BQ$1006,0)))),"Fix")))</f>
        <v>#N/A</v>
      </c>
      <c r="D750" s="5" t="e">
        <f ca="1">IF(OR(INDEX($AI$2:$AI$1001,MATCH(ROWS($AH$2:AH750),$AH$2:$AH$1001,0),1)&gt;=100000,INDEX($AO$1005:$BQ$1005,1,MATCH(COLUMNS($AO$1006:AQ1006),$AO$1006:$BQ$1006,0))&gt;=100000), " ",IF(INDEX($AO$2:$BQ$1001,MATCH(ROWS($AH$2:AH750),$AH$2:$AH$1001,0),MATCH(COLUMNS($AO$1006:AQ1006),$AO$1006:$BQ$1006,0)), HYPERLINK("#",""), HYPERLINK(CONCATENATE("#Metadata!", ADDRESS(INDEX($AJ$2:$AJ$1001,MATCH(ROWS($AH$2:AH750),$AH$2:$AH$1001,0),0), INDEX($AO$1004:$BQ$1004,1,MATCH(COLUMNS($AO$1006:AQ1006),$AO$1006:$BQ$1006,0)))),"Fix")))</f>
        <v>#N/A</v>
      </c>
      <c r="E750" s="5" t="e">
        <f ca="1">IF(OR(INDEX($AI$2:$AI$1001,MATCH(ROWS($AH$2:AH750),$AH$2:$AH$1001,0),1)&gt;=100000,INDEX($AO$1005:$BQ$1005,1,MATCH(COLUMNS($AO$1006:AR1006),$AO$1006:$BQ$1006,0))&gt;=100000), " ",IF(INDEX($AO$2:$BQ$1001,MATCH(ROWS($AH$2:AH750),$AH$2:$AH$1001,0),MATCH(COLUMNS($AO$1006:AR1006),$AO$1006:$BQ$1006,0)), HYPERLINK("#",""), HYPERLINK(CONCATENATE("#Metadata!", ADDRESS(INDEX($AJ$2:$AJ$1001,MATCH(ROWS($AH$2:AH750),$AH$2:$AH$1001,0),0), INDEX($AO$1004:$BQ$1004,1,MATCH(COLUMNS($AO$1006:AR1006),$AO$1006:$BQ$1006,0)))),"Fix")))</f>
        <v>#N/A</v>
      </c>
      <c r="F750" s="5" t="e">
        <f ca="1">IF(OR(INDEX($AI$2:$AI$1001,MATCH(ROWS($AH$2:AH750),$AH$2:$AH$1001,0),1)&gt;=100000,INDEX($AO$1005:$BQ$1005,1,MATCH(COLUMNS($AO$1006:AS1006),$AO$1006:$BQ$1006,0))&gt;=100000), " ",IF(INDEX($AO$2:$BQ$1001,MATCH(ROWS($AH$2:AH750),$AH$2:$AH$1001,0),MATCH(COLUMNS($AO$1006:AS1006),$AO$1006:$BQ$1006,0)), HYPERLINK("#",""), HYPERLINK(CONCATENATE("#Metadata!", ADDRESS(INDEX($AJ$2:$AJ$1001,MATCH(ROWS($AH$2:AH750),$AH$2:$AH$1001,0),0), INDEX($AO$1004:$BQ$1004,1,MATCH(COLUMNS($AO$1006:AS1006),$AO$1006:$BQ$1006,0)))),"Fix")))</f>
        <v>#N/A</v>
      </c>
      <c r="G750" s="5" t="e">
        <f ca="1">IF(OR(INDEX($AI$2:$AI$1001,MATCH(ROWS($AH$2:AH750),$AH$2:$AH$1001,0),1)&gt;=100000,INDEX($AO$1005:$BQ$1005,1,MATCH(COLUMNS($AO$1006:AT1006),$AO$1006:$BQ$1006,0))&gt;=100000), " ",IF(INDEX($AO$2:$BQ$1001,MATCH(ROWS($AH$2:AH750),$AH$2:$AH$1001,0),MATCH(COLUMNS($AO$1006:AT1006),$AO$1006:$BQ$1006,0)), HYPERLINK("#",""), HYPERLINK(CONCATENATE("#Metadata!", ADDRESS(INDEX($AJ$2:$AJ$1001,MATCH(ROWS($AH$2:AH750),$AH$2:$AH$1001,0),0), INDEX($AO$1004:$BQ$1004,1,MATCH(COLUMNS($AO$1006:AT1006),$AO$1006:$BQ$1006,0)))),"Fix")))</f>
        <v>#N/A</v>
      </c>
      <c r="H750" s="5" t="e">
        <f ca="1">IF(OR(INDEX($AI$2:$AI$1001,MATCH(ROWS($AH$2:AH750),$AH$2:$AH$1001,0),1)&gt;=100000,INDEX($AO$1005:$BQ$1005,1,MATCH(COLUMNS($AO$1006:AU1006),$AO$1006:$BQ$1006,0))&gt;=100000), " ",IF(INDEX($AO$2:$BQ$1001,MATCH(ROWS($AH$2:AH750),$AH$2:$AH$1001,0),MATCH(COLUMNS($AO$1006:AU1006),$AO$1006:$BQ$1006,0)), HYPERLINK("#",""), HYPERLINK(CONCATENATE("#Metadata!", ADDRESS(INDEX($AJ$2:$AJ$1001,MATCH(ROWS($AH$2:AH750),$AH$2:$AH$1001,0),0), INDEX($AO$1004:$BQ$1004,1,MATCH(COLUMNS($AO$1006:AU1006),$AO$1006:$BQ$1006,0)))),"Fix")))</f>
        <v>#N/A</v>
      </c>
      <c r="I750" s="5" t="e">
        <f ca="1">IF(OR(INDEX($AI$2:$AI$1001,MATCH(ROWS($AH$2:AH750),$AH$2:$AH$1001,0),1)&gt;=100000,INDEX($AO$1005:$BQ$1005,1,MATCH(COLUMNS($AO$1006:AV1006),$AO$1006:$BQ$1006,0))&gt;=100000), " ",IF(INDEX($AO$2:$BQ$1001,MATCH(ROWS($AH$2:AH750),$AH$2:$AH$1001,0),MATCH(COLUMNS($AO$1006:AV1006),$AO$1006:$BQ$1006,0)), HYPERLINK("#",""), HYPERLINK(CONCATENATE("#Metadata!", ADDRESS(INDEX($AJ$2:$AJ$1001,MATCH(ROWS($AH$2:AH750),$AH$2:$AH$1001,0),0), INDEX($AO$1004:$BQ$1004,1,MATCH(COLUMNS($AO$1006:AV1006),$AO$1006:$BQ$1006,0)))),"Fix")))</f>
        <v>#N/A</v>
      </c>
      <c r="J750" s="5" t="e">
        <f ca="1">IF(OR(INDEX($AI$2:$AI$1001,MATCH(ROWS($AH$2:AH750),$AH$2:$AH$1001,0),1)&gt;=100000,INDEX($AO$1005:$BQ$1005,1,MATCH(COLUMNS($AO$1006:AW1006),$AO$1006:$BQ$1006,0))&gt;=100000), " ",IF(INDEX($AO$2:$BQ$1001,MATCH(ROWS($AH$2:AH750),$AH$2:$AH$1001,0),MATCH(COLUMNS($AO$1006:AW1006),$AO$1006:$BQ$1006,0)), HYPERLINK("#",""), HYPERLINK(CONCATENATE("#Metadata!", ADDRESS(INDEX($AJ$2:$AJ$1001,MATCH(ROWS($AH$2:AH750),$AH$2:$AH$1001,0),0), INDEX($AO$1004:$BQ$1004,1,MATCH(COLUMNS($AO$1006:AW1006),$AO$1006:$BQ$1006,0)))),"Fix")))</f>
        <v>#N/A</v>
      </c>
      <c r="K750" s="5" t="e">
        <f ca="1">IF(OR(INDEX($AI$2:$AI$1001,MATCH(ROWS($AH$2:AH750),$AH$2:$AH$1001,0),1)&gt;=100000,INDEX($AO$1005:$BQ$1005,1,MATCH(COLUMNS($AO$1006:AX1006),$AO$1006:$BQ$1006,0))&gt;=100000), " ",IF(INDEX($AO$2:$BQ$1001,MATCH(ROWS($AH$2:AH750),$AH$2:$AH$1001,0),MATCH(COLUMNS($AO$1006:AX1006),$AO$1006:$BQ$1006,0)), HYPERLINK("#",""), HYPERLINK(CONCATENATE("#Metadata!", ADDRESS(INDEX($AJ$2:$AJ$1001,MATCH(ROWS($AH$2:AH750),$AH$2:$AH$1001,0),0), INDEX($AO$1004:$BQ$1004,1,MATCH(COLUMNS($AO$1006:AX1006),$AO$1006:$BQ$1006,0)))),"Fix")))</f>
        <v>#N/A</v>
      </c>
      <c r="L750" s="5" t="e">
        <f ca="1">IF(OR(INDEX($AI$2:$AI$1001,MATCH(ROWS($AH$2:AH750),$AH$2:$AH$1001,0),1)&gt;=100000,INDEX($AO$1005:$BQ$1005,1,MATCH(COLUMNS($AO$1006:AY1006),$AO$1006:$BQ$1006,0))&gt;=100000), " ",IF(INDEX($AO$2:$BQ$1001,MATCH(ROWS($AH$2:AH750),$AH$2:$AH$1001,0),MATCH(COLUMNS($AO$1006:AY1006),$AO$1006:$BQ$1006,0)), HYPERLINK("#",""), HYPERLINK(CONCATENATE("#Metadata!", ADDRESS(INDEX($AJ$2:$AJ$1001,MATCH(ROWS($AH$2:AH750),$AH$2:$AH$1001,0),0), INDEX($AO$1004:$BQ$1004,1,MATCH(COLUMNS($AO$1006:AY1006),$AO$1006:$BQ$1006,0)))),"Fix")))</f>
        <v>#N/A</v>
      </c>
      <c r="M750" s="5" t="e">
        <f ca="1">IF(OR(INDEX($AI$2:$AI$1001,MATCH(ROWS($AH$2:AH750),$AH$2:$AH$1001,0),1)&gt;=100000,INDEX($AO$1005:$BQ$1005,1,MATCH(COLUMNS($AO$1006:AZ1006),$AO$1006:$BQ$1006,0))&gt;=100000), " ",IF(INDEX($AO$2:$BQ$1001,MATCH(ROWS($AH$2:AH750),$AH$2:$AH$1001,0),MATCH(COLUMNS($AO$1006:AZ1006),$AO$1006:$BQ$1006,0)), HYPERLINK("#",""), HYPERLINK(CONCATENATE("#Metadata!", ADDRESS(INDEX($AJ$2:$AJ$1001,MATCH(ROWS($AH$2:AH750),$AH$2:$AH$1001,0),0), INDEX($AO$1004:$BQ$1004,1,MATCH(COLUMNS($AO$1006:AZ1006),$AO$1006:$BQ$1006,0)))),"Fix")))</f>
        <v>#N/A</v>
      </c>
      <c r="N750" s="5" t="e">
        <f ca="1">IF(OR(INDEX($AI$2:$AI$1001,MATCH(ROWS($AH$2:AH750),$AH$2:$AH$1001,0),1)&gt;=100000,INDEX($AO$1005:$BQ$1005,1,MATCH(COLUMNS($AO$1006:BA1006),$AO$1006:$BQ$1006,0))&gt;=100000), " ",IF(INDEX($AO$2:$BQ$1001,MATCH(ROWS($AH$2:AH750),$AH$2:$AH$1001,0),MATCH(COLUMNS($AO$1006:BA1006),$AO$1006:$BQ$1006,0)), HYPERLINK("#",""), HYPERLINK(CONCATENATE("#Metadata!", ADDRESS(INDEX($AJ$2:$AJ$1001,MATCH(ROWS($AH$2:AH750),$AH$2:$AH$1001,0),0), INDEX($AO$1004:$BQ$1004,1,MATCH(COLUMNS($AO$1006:BA1006),$AO$1006:$BQ$1006,0)))),"Fix")))</f>
        <v>#N/A</v>
      </c>
      <c r="O750" s="5" t="e">
        <f ca="1">IF(OR(INDEX($AI$2:$AI$1001,MATCH(ROWS($AH$2:AH750),$AH$2:$AH$1001,0),1)&gt;=100000,INDEX($AO$1005:$BQ$1005,1,MATCH(COLUMNS($AO$1006:BB1006),$AO$1006:$BQ$1006,0))&gt;=100000), " ",IF(INDEX($AO$2:$BQ$1001,MATCH(ROWS($AH$2:AH750),$AH$2:$AH$1001,0),MATCH(COLUMNS($AO$1006:BB1006),$AO$1006:$BQ$1006,0)), HYPERLINK("#",""), HYPERLINK(CONCATENATE("#Metadata!", ADDRESS(INDEX($AJ$2:$AJ$1001,MATCH(ROWS($AH$2:AH750),$AH$2:$AH$1001,0),0), INDEX($AO$1004:$BQ$1004,1,MATCH(COLUMNS($AO$1006:BB1006),$AO$1006:$BQ$1006,0)))),"Fix")))</f>
        <v>#N/A</v>
      </c>
      <c r="P750" s="5" t="e">
        <f ca="1">IF(OR(INDEX($AI$2:$AI$1001,MATCH(ROWS($AH$2:AH750),$AH$2:$AH$1001,0),1)&gt;=100000,INDEX($AO$1005:$BQ$1005,1,MATCH(COLUMNS($AO$1006:BC1006),$AO$1006:$BQ$1006,0))&gt;=100000), " ",IF(INDEX($AO$2:$BQ$1001,MATCH(ROWS($AH$2:AH750),$AH$2:$AH$1001,0),MATCH(COLUMNS($AO$1006:BC1006),$AO$1006:$BQ$1006,0)), HYPERLINK("#",""), HYPERLINK(CONCATENATE("#Metadata!", ADDRESS(INDEX($AJ$2:$AJ$1001,MATCH(ROWS($AH$2:AH750),$AH$2:$AH$1001,0),0), INDEX($AO$1004:$BQ$1004,1,MATCH(COLUMNS($AO$1006:BC1006),$AO$1006:$BQ$1006,0)))),"Fix")))</f>
        <v>#N/A</v>
      </c>
      <c r="Q750" s="5" t="e">
        <f ca="1">IF(OR(INDEX($AI$2:$AI$1001,MATCH(ROWS($AH$2:AH750),$AH$2:$AH$1001,0),1)&gt;=100000,INDEX($AO$1005:$BQ$1005,1,MATCH(COLUMNS($AO$1006:BD1006),$AO$1006:$BQ$1006,0))&gt;=100000), " ",IF(INDEX($AO$2:$BQ$1001,MATCH(ROWS($AH$2:AH750),$AH$2:$AH$1001,0),MATCH(COLUMNS($AO$1006:BD1006),$AO$1006:$BQ$1006,0)), HYPERLINK("#",""), HYPERLINK(CONCATENATE("#Metadata!", ADDRESS(INDEX($AJ$2:$AJ$1001,MATCH(ROWS($AH$2:AH750),$AH$2:$AH$1001,0),0), INDEX($AO$1004:$BQ$1004,1,MATCH(COLUMNS($AO$1006:BD1006),$AO$1006:$BQ$1006,0)))),"Fix")))</f>
        <v>#N/A</v>
      </c>
      <c r="R750" s="5" t="e">
        <f ca="1">IF(OR(INDEX($AI$2:$AI$1001,MATCH(ROWS($AH$2:AH750),$AH$2:$AH$1001,0),1)&gt;=100000,INDEX($AO$1005:$BQ$1005,1,MATCH(COLUMNS($AO$1006:BE1006),$AO$1006:$BQ$1006,0))&gt;=100000), " ",IF(INDEX($AO$2:$BQ$1001,MATCH(ROWS($AH$2:AH750),$AH$2:$AH$1001,0),MATCH(COLUMNS($AO$1006:BE1006),$AO$1006:$BQ$1006,0)), HYPERLINK("#",""), HYPERLINK(CONCATENATE("#Metadata!", ADDRESS(INDEX($AJ$2:$AJ$1001,MATCH(ROWS($AH$2:AH750),$AH$2:$AH$1001,0),0), INDEX($AO$1004:$BQ$1004,1,MATCH(COLUMNS($AO$1006:BE1006),$AO$1006:$BQ$1006,0)))),"Fix")))</f>
        <v>#N/A</v>
      </c>
      <c r="S750" s="5" t="e">
        <f ca="1">IF(OR(INDEX($AI$2:$AI$1001,MATCH(ROWS($AH$2:AH750),$AH$2:$AH$1001,0),1)&gt;=100000,INDEX($AO$1005:$BQ$1005,1,MATCH(COLUMNS($AO$1006:BF1006),$AO$1006:$BQ$1006,0))&gt;=100000), " ",IF(INDEX($AO$2:$BQ$1001,MATCH(ROWS($AH$2:AH750),$AH$2:$AH$1001,0),MATCH(COLUMNS($AO$1006:BF1006),$AO$1006:$BQ$1006,0)), HYPERLINK("#",""), HYPERLINK(CONCATENATE("#Metadata!", ADDRESS(INDEX($AJ$2:$AJ$1001,MATCH(ROWS($AH$2:AH750),$AH$2:$AH$1001,0),0), INDEX($AO$1004:$BQ$1004,1,MATCH(COLUMNS($AO$1006:BF1006),$AO$1006:$BQ$1006,0)))),"Fix")))</f>
        <v>#N/A</v>
      </c>
      <c r="T750" s="5" t="e">
        <f ca="1">IF(OR(INDEX($AI$2:$AI$1001,MATCH(ROWS($AH$2:AH750),$AH$2:$AH$1001,0),1)&gt;=100000,INDEX($AO$1005:$BQ$1005,1,MATCH(COLUMNS($AO$1006:BG1006),$AO$1006:$BQ$1006,0))&gt;=100000), " ",IF(INDEX($AO$2:$BQ$1001,MATCH(ROWS($AH$2:AH750),$AH$2:$AH$1001,0),MATCH(COLUMNS($AO$1006:BG1006),$AO$1006:$BQ$1006,0)), HYPERLINK("#",""), HYPERLINK(CONCATENATE("#Metadata!", ADDRESS(INDEX($AJ$2:$AJ$1001,MATCH(ROWS($AH$2:AH750),$AH$2:$AH$1001,0),0), INDEX($AO$1004:$BQ$1004,1,MATCH(COLUMNS($AO$1006:BG1006),$AO$1006:$BQ$1006,0)))),"Fix")))</f>
        <v>#N/A</v>
      </c>
      <c r="U750" s="5" t="e">
        <f ca="1">IF(OR(INDEX($AI$2:$AI$1001,MATCH(ROWS($AH$2:AH750),$AH$2:$AH$1001,0),1)&gt;=100000,INDEX($AO$1005:$BQ$1005,1,MATCH(COLUMNS($AO$1006:BH1006),$AO$1006:$BQ$1006,0))&gt;=100000), " ",IF(INDEX($AO$2:$BQ$1001,MATCH(ROWS($AH$2:AH750),$AH$2:$AH$1001,0),MATCH(COLUMNS($AO$1006:BH1006),$AO$1006:$BQ$1006,0)), HYPERLINK("#",""), HYPERLINK(CONCATENATE("#Metadata!", ADDRESS(INDEX($AJ$2:$AJ$1001,MATCH(ROWS($AH$2:AH750),$AH$2:$AH$1001,0),0), INDEX($AO$1004:$BQ$1004,1,MATCH(COLUMNS($AO$1006:BH1006),$AO$1006:$BQ$1006,0)))),"Fix")))</f>
        <v>#N/A</v>
      </c>
      <c r="V750" s="5" t="e">
        <f ca="1">IF(OR(INDEX($AI$2:$AI$1001,MATCH(ROWS($AH$2:AH750),$AH$2:$AH$1001,0),1)&gt;=100000,INDEX($AO$1005:$BQ$1005,1,MATCH(COLUMNS($AO$1006:BI1006),$AO$1006:$BQ$1006,0))&gt;=100000), " ",IF(INDEX($AO$2:$BQ$1001,MATCH(ROWS($AH$2:AH750),$AH$2:$AH$1001,0),MATCH(COLUMNS($AO$1006:BI1006),$AO$1006:$BQ$1006,0)), HYPERLINK("#",""), HYPERLINK(CONCATENATE("#Metadata!", ADDRESS(INDEX($AJ$2:$AJ$1001,MATCH(ROWS($AH$2:AH750),$AH$2:$AH$1001,0),0), INDEX($AO$1004:$BQ$1004,1,MATCH(COLUMNS($AO$1006:BI1006),$AO$1006:$BQ$1006,0)))),"Fix")))</f>
        <v>#N/A</v>
      </c>
      <c r="W750" s="5" t="e">
        <f ca="1">IF(OR(INDEX($AI$2:$AI$1001,MATCH(ROWS($AH$2:AH750),$AH$2:$AH$1001,0),1)&gt;=100000,INDEX($AO$1005:$BQ$1005,1,MATCH(COLUMNS($AO$1006:BJ1006),$AO$1006:$BQ$1006,0))&gt;=100000), " ",IF(INDEX($AO$2:$BQ$1001,MATCH(ROWS($AH$2:AH750),$AH$2:$AH$1001,0),MATCH(COLUMNS($AO$1006:BJ1006),$AO$1006:$BQ$1006,0)), HYPERLINK("#",""), HYPERLINK(CONCATENATE("#Metadata!", ADDRESS(INDEX($AJ$2:$AJ$1001,MATCH(ROWS($AH$2:AH750),$AH$2:$AH$1001,0),0), INDEX($AO$1004:$BQ$1004,1,MATCH(COLUMNS($AO$1006:BJ1006),$AO$1006:$BQ$1006,0)))),"Fix")))</f>
        <v>#N/A</v>
      </c>
      <c r="X750" s="5" t="e">
        <f ca="1">IF(OR(INDEX($AI$2:$AI$1001,MATCH(ROWS($AH$2:AH750),$AH$2:$AH$1001,0),1)&gt;=100000,INDEX($AO$1005:$BQ$1005,1,MATCH(COLUMNS($AO$1006:BK1006),$AO$1006:$BQ$1006,0))&gt;=100000), " ",IF(INDEX($AO$2:$BQ$1001,MATCH(ROWS($AH$2:AH750),$AH$2:$AH$1001,0),MATCH(COLUMNS($AO$1006:BK1006),$AO$1006:$BQ$1006,0)), HYPERLINK("#",""), HYPERLINK(CONCATENATE("#Metadata!", ADDRESS(INDEX($AJ$2:$AJ$1001,MATCH(ROWS($AH$2:AH750),$AH$2:$AH$1001,0),0), INDEX($AO$1004:$BQ$1004,1,MATCH(COLUMNS($AO$1006:BK1006),$AO$1006:$BQ$1006,0)))),"Fix")))</f>
        <v>#N/A</v>
      </c>
      <c r="Y750" s="5" t="e">
        <f ca="1">IF(OR(INDEX($AI$2:$AI$1001,MATCH(ROWS($AH$2:AH750),$AH$2:$AH$1001,0),1)&gt;=100000,INDEX($AO$1005:$BQ$1005,1,MATCH(COLUMNS($AO$1006:BL1006),$AO$1006:$BQ$1006,0))&gt;=100000), " ",IF(INDEX($AO$2:$BQ$1001,MATCH(ROWS($AH$2:AH750),$AH$2:$AH$1001,0),MATCH(COLUMNS($AO$1006:BL1006),$AO$1006:$BQ$1006,0)), HYPERLINK("#",""), HYPERLINK(CONCATENATE("#Metadata!", ADDRESS(INDEX($AJ$2:$AJ$1001,MATCH(ROWS($AH$2:AH750),$AH$2:$AH$1001,0),0), INDEX($AO$1004:$BQ$1004,1,MATCH(COLUMNS($AO$1006:BL1006),$AO$1006:$BQ$1006,0)))),"Fix")))</f>
        <v>#N/A</v>
      </c>
      <c r="Z750" s="5" t="e">
        <f ca="1">IF(OR(INDEX($AI$2:$AI$1001,MATCH(ROWS($AH$2:AH750),$AH$2:$AH$1001,0),1)&gt;=100000,INDEX($AO$1005:$BQ$1005,1,MATCH(COLUMNS($AO$1006:BM1006),$AO$1006:$BQ$1006,0))&gt;=100000), " ",IF(INDEX($AO$2:$BQ$1001,MATCH(ROWS($AH$2:AH750),$AH$2:$AH$1001,0),MATCH(COLUMNS($AO$1006:BM1006),$AO$1006:$BQ$1006,0)), HYPERLINK("#",""), HYPERLINK(CONCATENATE("#Metadata!", ADDRESS(INDEX($AJ$2:$AJ$1001,MATCH(ROWS($AH$2:AH750),$AH$2:$AH$1001,0),0), INDEX($AO$1004:$BQ$1004,1,MATCH(COLUMNS($AO$1006:BM1006),$AO$1006:$BQ$1006,0)))),"Fix")))</f>
        <v>#N/A</v>
      </c>
      <c r="AA750" s="5" t="e">
        <f ca="1">IF(OR(INDEX($AI$2:$AI$1001,MATCH(ROWS($AH$2:AH750),$AH$2:$AH$1001,0),1)&gt;=100000,INDEX($AO$1005:$BQ$1005,1,MATCH(COLUMNS($AO$1006:BN1006),$AO$1006:$BQ$1006,0))&gt;=100000), " ",IF(INDEX($AO$2:$BQ$1001,MATCH(ROWS($AH$2:AH750),$AH$2:$AH$1001,0),MATCH(COLUMNS($AO$1006:BN1006),$AO$1006:$BQ$1006,0)), HYPERLINK("#",""), HYPERLINK(CONCATENATE("#Metadata!", ADDRESS(INDEX($AJ$2:$AJ$1001,MATCH(ROWS($AH$2:AH750),$AH$2:$AH$1001,0),0), INDEX($AO$1004:$BQ$1004,1,MATCH(COLUMNS($AO$1006:BN1006),$AO$1006:$BQ$1006,0)))),"Fix")))</f>
        <v>#N/A</v>
      </c>
      <c r="AB750" s="5" t="e">
        <f ca="1">IF(OR(INDEX($AI$2:$AI$1001,MATCH(ROWS($AH$2:AH750),$AH$2:$AH$1001,0),1)&gt;=100000,INDEX($AO$1005:$BQ$1005,1,MATCH(COLUMNS($AO$1006:BO1006),$AO$1006:$BQ$1006,0))&gt;=100000), " ",IF(INDEX($AO$2:$BQ$1001,MATCH(ROWS($AH$2:AH750),$AH$2:$AH$1001,0),MATCH(COLUMNS($AO$1006:BO1006),$AO$1006:$BQ$1006,0)), HYPERLINK("#",""), HYPERLINK(CONCATENATE("#Metadata!", ADDRESS(INDEX($AJ$2:$AJ$1001,MATCH(ROWS($AH$2:AH750),$AH$2:$AH$1001,0),0), INDEX($AO$1004:$BQ$1004,1,MATCH(COLUMNS($AO$1006:BO1006),$AO$1006:$BQ$1006,0)))),"Fix")))</f>
        <v>#N/A</v>
      </c>
      <c r="AC750" s="5" t="e">
        <f ca="1">IF(OR(INDEX($AI$2:$AI$1001,MATCH(ROWS($AH$2:AH750),$AH$2:$AH$1001,0),1)&gt;=100000,INDEX($AO$1005:$BQ$1005,1,MATCH(COLUMNS($AO$1006:BP1006),$AO$1006:$BQ$1006,0))&gt;=100000), " ",IF(INDEX($AO$2:$BQ$1001,MATCH(ROWS($AH$2:AH750),$AH$2:$AH$1001,0),MATCH(COLUMNS($AO$1006:BP1006),$AO$1006:$BQ$1006,0)), HYPERLINK("#",""), HYPERLINK(CONCATENATE("#Metadata!", ADDRESS(INDEX($AJ$2:$AJ$1001,MATCH(ROWS($AH$2:AH750),$AH$2:$AH$1001,0),0), INDEX($AO$1004:$BQ$1004,1,MATCH(COLUMNS($AO$1006:BP1006),$AO$1006:$BQ$1006,0)))),"Fix")))</f>
        <v>#N/A</v>
      </c>
      <c r="AD750" s="5" t="e">
        <f ca="1">IF(OR(INDEX($AI$2:$AI$1001,MATCH(ROWS($AH$2:AH750),$AH$2:$AH$1001,0),1)&gt;=100000,INDEX($AO$1005:$BQ$1005,1,MATCH(COLUMNS($AO$1006:BQ1006),$AO$1006:$BQ$1006,0))&gt;=100000), " ",IF(INDEX($AO$2:$BQ$1001,MATCH(ROWS($AH$2:AH750),$AH$2:$AH$1001,0),MATCH(COLUMNS($AO$1006:BQ1006),$AO$1006:$BQ$1006,0)), HYPERLINK("#",""), HYPERLINK(CONCATENATE("#Metadata!", ADDRESS(INDEX($AJ$2:$AJ$1001,MATCH(ROWS($AH$2:AH750),$AH$2:$AH$1001,0),0), INDEX($AO$1004:$BQ$1004,1,MATCH(COLUMNS($AO$1006:BQ1006),$AO$1006:$BQ$1006,0)))),"Fix")))</f>
        <v>#REF!</v>
      </c>
      <c r="AH750">
        <f ca="1"/>
        <v>747</v>
      </c>
      <c r="AI750">
        <v>100750</v>
      </c>
      <c r="AJ750">
        <v>750</v>
      </c>
      <c r="AK750" t="b">
        <f t="shared" si="11"/>
        <v>1</v>
      </c>
      <c r="AL750" t="b">
        <f>COUNTBLANK(Metadata!B750:AD750)=COLUMNS(Metadata!B750:AD750)</f>
        <v>1</v>
      </c>
      <c r="AM750" t="str">
        <v/>
      </c>
      <c r="AO750" t="b">
        <f ca="1">AND(IF(Metadata!B750="",FALSE,TRUE),COUNTIF(Metadata!B:B, Metadata!B750) = 1,NOT(ISERROR(SUMPRODUCT(SEARCH(MID(Metadata!B750,ROW(INDIRECT("1:"&amp;LEN(Metadata!B750))), 1),"0123456789abcdefghijklmnopqrstuvwxyzABCDEFGHIJKLMNOPQRSTUVWXYZ.")))))</f>
        <v>0</v>
      </c>
      <c r="AP750" t="b">
        <f>IF(Metadata!C750="",FALSE,TRUE)</f>
        <v>0</v>
      </c>
      <c r="AQ750" t="b">
        <f>IF(Metadata!D750="",FALSE,TRUE)</f>
        <v>0</v>
      </c>
      <c r="AR750" t="b">
        <f ca="1">OR(AND(IF(Metadata!E750="",FALSE,TRUE),OR(EXACT(Metadata!E750,"not collected"),EXACT(Metadata!E750,"not provided"),EXACT(Metadata!E750,"restricted access"))),AND(IF(Metadata!E750="",FALSE,TRUE),AND(AND(IFERROR(INT(LEFT(Metadata!E750,4))&gt;1900,FALSE),IFERROR(INT(LEFT(Metadata!E750,4))&lt;=YEAR(NOW()),FALSE)), OR(MID(Metadata!E750,5,1)="", AND(AND(MID(Metadata!E750,5,1)="-",IFERROR(INT(MID(Metadata!E750,6,1))&gt;=0,FALSE),IFERROR(INT(MID(Metadata!E750,6,1))&lt;=1,FALSE),NOT(MID(Metadata!E750,7,1)=""),IFERROR(INT(MID(Metadata!E750,6,2))&gt;=1,FALSE),IFERROR(INT(MID(Metadata!E750,6,2))&lt;=12,FALSE)), OR(MID(Metadata!E750,8,1)="", AND(AND(MID(Metadata!E750,8,1)="-",IFERROR(INT(MID(Metadata!E750,9,1))&gt;=0,FALSE),IFERROR(INT(MID(Metadata!E750,9,1))&lt;=3,FALSE),NOT(MID(Metadata!E750,10,1)=""),IFERROR(INT(MID(Metadata!E750,9,2))&gt;=1,FALSE),IFERROR(INT(MID(Metadata!E750,9,2))&lt;=31,FALSE)), OR(MID(Metadata!E750,11,1)="", AND(AND(MID(Metadata!E750,11,1)=" ",IFERROR(INT(MID(Metadata!E750,12,1))&gt;=0,FALSE),IFERROR(INT(MID(Metadata!E750,12,1))&lt;=2,FALSE),NOT(MID(Metadata!E750,13,1)=""),IFERROR(INT(MID(Metadata!E750,12,2))&gt;=0,FALSE),IFERROR(INT(MID(Metadata!E750,12,2))&lt;=23,FALSE)), OR(MID(Metadata!E750,14,1)="", AND(AND(MID(Metadata!E750,14,1)=":",IFERROR(INT(MID(Metadata!E750,15,1))&gt;=0,FALSE),IFERROR(INT(MID(Metadata!E750,15,1))&lt;=5,FALSE),NOT(MID(Metadata!E750,16,1)=""),IFERROR(INT(MID(Metadata!E750,15,2))&gt;=0,FALSE),IFERROR(INT(MID(Metadata!E750,15,2))&lt;=59,FALSE)), OR(MID(Metadata!E750,17,1)="", AND(AND(MID(Metadata!E750,17,1)=":",IFERROR(INT(MID(Metadata!E750,18,1))&gt;=0,FALSE),IFERROR(INT(MID(Metadata!E750,18,1))&lt;=5,FALSE),NOT(MID(Metadata!E750,19,1)=""),IFERROR(INT(MID(Metadata!E750,18,2))&gt;=0,FALSE),IFERROR(INT(MID(Metadata!E750,18,2))&lt;=59,FALSE)), LEN(Metadata!E750)&lt;=19)))))))))))))</f>
        <v>0</v>
      </c>
      <c r="AS750" t="b">
        <f>IF(Metadata!F750="",FALSE,TRUE)</f>
        <v>0</v>
      </c>
      <c r="AT750" t="b">
        <f>OR(AND(IF(Metadata!G750="",FALSE,TRUE),OR(EXACT(Metadata!G750,"not collected"),EXACT(Metadata!G750,"not provided"))),AND(IF(Metadata!G750="",FALSE,TRUE),OR(EXACT(Metadata!G750,"TRUE"),EXACT(Metadata!G750,"FALSE"))))</f>
        <v>0</v>
      </c>
      <c r="AU750" t="b">
        <f>OR(AND(IF(Metadata!H750="",FALSE,TRUE),OR(EXACT(Metadata!H750,"not collected"),EXACT(Metadata!H750,"not provided"),EXACT(Metadata!H750,"restricted access"))),AND(IF(Metadata!H750="",FALSE,ISNUMBER(VALUE(Metadata!H750))),Metadata!H750&gt;=-413))</f>
        <v>0</v>
      </c>
      <c r="AV750" t="b">
        <f>AND(IF(Metadata!I750="",FALSE,TRUE),EXACT(Metadata!I750,"meters"))</f>
        <v>0</v>
      </c>
      <c r="AW750" t="b">
        <f>AND(IF(Metadata!J750="",FALSE,TRUE),EXACT(Metadata!J750,"free-living"))</f>
        <v>0</v>
      </c>
      <c r="AX750" t="b">
        <f>AND(IF(Metadata!K750="",FALSE,TRUE),OR(EXACT(Metadata!K750,"saline"),EXACT(Metadata!K750,"non-saline")))</f>
        <v>0</v>
      </c>
      <c r="AY750" t="b">
        <f>AND(IF(Metadata!L750="",FALSE,TRUE),OR(EXACT(Metadata!L750,"sub-surface (non-saline)"),EXACT(Metadata!L750,"surface (non-saline)"),EXACT(Metadata!L750,"water (non-saline)"),EXACT(Metadata!L750,"soil (non-saline)"),EXACT(Metadata!L750,"aerosol (non-saline)"),EXACT(Metadata!L750,"sediment (non-saline)"),EXACT(Metadata!L750,"surface (saline)"),EXACT(Metadata!L750,"water (saline)"),EXACT(Metadata!L750,"hypersaline (saline)"),EXACT(Metadata!L750,"aerosol (saline)"),EXACT(Metadata!L750,"sediment (saline)")))</f>
        <v>0</v>
      </c>
      <c r="AZ750" t="b">
        <f>IF(Metadata!M750="",FALSE,TRUE)</f>
        <v>0</v>
      </c>
      <c r="BA750" t="b">
        <f>IF(Metadata!N750="",FALSE,TRUE)</f>
        <v>0</v>
      </c>
      <c r="BB750" t="b">
        <f>IF(Metadata!O750="",FALSE,TRUE)</f>
        <v>0</v>
      </c>
      <c r="BC750" t="b">
        <f>AND(IF(Metadata!P750="",FALSE,TRUE),OR(EXACT(Metadata!P750,"air"),EXACT(Metadata!P750,"microbial mat/biofilm"),EXACT(Metadata!P750,"misc environment"),EXACT(Metadata!P750,"sediment"),EXACT(Metadata!P750,"soil"),EXACT(Metadata!P750,"wastewater/sludge"),EXACT(Metadata!P750,"water")))</f>
        <v>0</v>
      </c>
      <c r="BD750" t="b">
        <f>IF(Metadata!Q750="",FALSE,TRUE)</f>
        <v>0</v>
      </c>
      <c r="BE750" t="b">
        <f>IF(Metadata!R750="",FALSE,TRUE)</f>
        <v>0</v>
      </c>
      <c r="BF750" t="b">
        <f>OR(AND(IF(Metadata!S750="",FALSE,TRUE),OR(EXACT(Metadata!S750,"not collected"),EXACT(Metadata!S750,"not provided"),EXACT(Metadata!S750,"restricted access"))),AND(IF(Metadata!S750="",FALSE,ISNUMBER(VALUE(Metadata!S750))),Metadata!S750&gt;=-90,Metadata!S750&lt;=90))</f>
        <v>0</v>
      </c>
      <c r="BG750" t="b">
        <f>AND(IF(Metadata!T750="",FALSE,TRUE),EXACT(Metadata!T750,"Decimal degrees"))</f>
        <v>0</v>
      </c>
      <c r="BH750" t="b">
        <f>OR(AND(IF(Metadata!U750="",FALSE,TRUE),OR(EXACT(Metadata!U750,"not applicable"),EXACT(Metadata!U750,"not collected"))),IF(Metadata!U750="",FALSE,TRUE))</f>
        <v>0</v>
      </c>
      <c r="BI750" t="b">
        <f>OR(AND(IF(Metadata!V750="",FALSE,TRUE),OR(EXACT(Metadata!V750,"not collected"),EXACT(Metadata!V750,"not provided"),EXACT(Metadata!V750,"restricted access"))),AND(IF(Metadata!V750="",FALSE,ISNUMBER(VALUE(Metadata!V750))),Metadata!V750&gt;=-180,Metadata!V750&lt;=180))</f>
        <v>0</v>
      </c>
      <c r="BJ750" t="b">
        <f>AND(IF(Metadata!W750="",FALSE,TRUE),EXACT(Metadata!W750,"Decimal degrees"))</f>
        <v>0</v>
      </c>
      <c r="BK750" t="b">
        <f>IF(Metadata!X750="",FALSE,TRUE)</f>
        <v>0</v>
      </c>
      <c r="BL750" t="b">
        <f>OR(AND(IF(Metadata!Y750="",FALSE,TRUE),OR(EXACT(Metadata!Y750,"not collected"),EXACT(Metadata!Y750,"not provided"),EXACT(Metadata!Y750,"restricted access"))),AND(IF(Metadata!Y750="",FALSE,TRUE),OR(EXACT(Metadata!Y750,"TRUE"),EXACT(Metadata!Y750,"FALSE"))))</f>
        <v>0</v>
      </c>
      <c r="BM750" t="b">
        <f>OR(AND(IF(Metadata!Z750="",FALSE,TRUE),EXACT(Metadata!Z750,"not applicable")),AND(IF(Metadata!Z750="",FALSE,TRUE),OR(EXACT(Metadata!Z750,"beer"),EXACT(Metadata!Z750,"cheese"),EXACT(Metadata!Z750,"fresh water"),EXACT(Metadata!Z750,"marine sediment"),EXACT(Metadata!Z750,"sea water"),EXACT(Metadata!Z750,"sediment"),EXACT(Metadata!Z750,"soil"),EXACT(Metadata!Z750,"waste water"))))</f>
        <v>0</v>
      </c>
      <c r="BN750" t="b">
        <f>AND(IF(Metadata!AA750="",FALSE,TRUE),EXACT(Metadata!AA750,"metagenome"))</f>
        <v>0</v>
      </c>
      <c r="BO750" t="b">
        <f>AND(IF(Metadata!AB750="",FALSE,TRUE),EXACT(Metadata!AB750,"256318"))</f>
        <v>0</v>
      </c>
      <c r="BP750" t="b">
        <f>IF(Metadata!AC750="",FALSE,TRUE)</f>
        <v>0</v>
      </c>
      <c r="BQ750" t="b">
        <f>IF(Metadata!AD750="",FALSE,TRUE)</f>
        <v>0</v>
      </c>
    </row>
    <row r="751" spans="1:69" x14ac:dyDescent="0.2">
      <c r="A751" s="4" t="e">
        <f ca="1">IF(B751=" "," ",HYPERLINK(CONCATENATE("#metadata!",ADDRESS(INDEX($AJ$2:$AJ$1001,MATCH(ROWS($AH$2:AH751),$AH$2:$AH$1001,0),0),2)),INDEX($AM$2:$AM$1001,MATCH(ROWS($AH$2:AH751),$AH$2:$AH$1001,0),0)))</f>
        <v>#N/A</v>
      </c>
      <c r="B751" s="5" t="e">
        <f ca="1">IF(OR(INDEX($AI$2:$AI$1001,MATCH(ROWS($AH$2:AH751),$AH$2:$AH$1001,0),1)&gt;=100000,INDEX($AO$1005:$BQ$1005,1,MATCH(COLUMNS($AO$1006:AO1006),$AO$1006:$BQ$1006,0))&gt;=100000), " ",IF(INDEX($AO$2:$BQ$1001,MATCH(ROWS($AH$2:AH751),$AH$2:$AH$1001,0),MATCH(COLUMNS($AO$1006:AO1006),$AO$1006:$BQ$1006,0)), HYPERLINK("#",""), HYPERLINK(CONCATENATE("#Metadata!", ADDRESS(INDEX($AJ$2:$AJ$1001,MATCH(ROWS($AH$2:AH751),$AH$2:$AH$1001,0),0), INDEX($AO$1004:$BQ$1004,1,MATCH(COLUMNS($AO$1006:AO1006),$AO$1006:$BQ$1006,0)))),"Fix")))</f>
        <v>#N/A</v>
      </c>
      <c r="C751" s="5" t="e">
        <f ca="1">IF(OR(INDEX($AI$2:$AI$1001,MATCH(ROWS($AH$2:AH751),$AH$2:$AH$1001,0),1)&gt;=100000,INDEX($AO$1005:$BQ$1005,1,MATCH(COLUMNS($AO$1006:AP1006),$AO$1006:$BQ$1006,0))&gt;=100000), " ",IF(INDEX($AO$2:$BQ$1001,MATCH(ROWS($AH$2:AH751),$AH$2:$AH$1001,0),MATCH(COLUMNS($AO$1006:AP1006),$AO$1006:$BQ$1006,0)), HYPERLINK("#",""), HYPERLINK(CONCATENATE("#Metadata!", ADDRESS(INDEX($AJ$2:$AJ$1001,MATCH(ROWS($AH$2:AH751),$AH$2:$AH$1001,0),0), INDEX($AO$1004:$BQ$1004,1,MATCH(COLUMNS($AO$1006:AP1006),$AO$1006:$BQ$1006,0)))),"Fix")))</f>
        <v>#N/A</v>
      </c>
      <c r="D751" s="5" t="e">
        <f ca="1">IF(OR(INDEX($AI$2:$AI$1001,MATCH(ROWS($AH$2:AH751),$AH$2:$AH$1001,0),1)&gt;=100000,INDEX($AO$1005:$BQ$1005,1,MATCH(COLUMNS($AO$1006:AQ1006),$AO$1006:$BQ$1006,0))&gt;=100000), " ",IF(INDEX($AO$2:$BQ$1001,MATCH(ROWS($AH$2:AH751),$AH$2:$AH$1001,0),MATCH(COLUMNS($AO$1006:AQ1006),$AO$1006:$BQ$1006,0)), HYPERLINK("#",""), HYPERLINK(CONCATENATE("#Metadata!", ADDRESS(INDEX($AJ$2:$AJ$1001,MATCH(ROWS($AH$2:AH751),$AH$2:$AH$1001,0),0), INDEX($AO$1004:$BQ$1004,1,MATCH(COLUMNS($AO$1006:AQ1006),$AO$1006:$BQ$1006,0)))),"Fix")))</f>
        <v>#N/A</v>
      </c>
      <c r="E751" s="5" t="e">
        <f ca="1">IF(OR(INDEX($AI$2:$AI$1001,MATCH(ROWS($AH$2:AH751),$AH$2:$AH$1001,0),1)&gt;=100000,INDEX($AO$1005:$BQ$1005,1,MATCH(COLUMNS($AO$1006:AR1006),$AO$1006:$BQ$1006,0))&gt;=100000), " ",IF(INDEX($AO$2:$BQ$1001,MATCH(ROWS($AH$2:AH751),$AH$2:$AH$1001,0),MATCH(COLUMNS($AO$1006:AR1006),$AO$1006:$BQ$1006,0)), HYPERLINK("#",""), HYPERLINK(CONCATENATE("#Metadata!", ADDRESS(INDEX($AJ$2:$AJ$1001,MATCH(ROWS($AH$2:AH751),$AH$2:$AH$1001,0),0), INDEX($AO$1004:$BQ$1004,1,MATCH(COLUMNS($AO$1006:AR1006),$AO$1006:$BQ$1006,0)))),"Fix")))</f>
        <v>#N/A</v>
      </c>
      <c r="F751" s="5" t="e">
        <f ca="1">IF(OR(INDEX($AI$2:$AI$1001,MATCH(ROWS($AH$2:AH751),$AH$2:$AH$1001,0),1)&gt;=100000,INDEX($AO$1005:$BQ$1005,1,MATCH(COLUMNS($AO$1006:AS1006),$AO$1006:$BQ$1006,0))&gt;=100000), " ",IF(INDEX($AO$2:$BQ$1001,MATCH(ROWS($AH$2:AH751),$AH$2:$AH$1001,0),MATCH(COLUMNS($AO$1006:AS1006),$AO$1006:$BQ$1006,0)), HYPERLINK("#",""), HYPERLINK(CONCATENATE("#Metadata!", ADDRESS(INDEX($AJ$2:$AJ$1001,MATCH(ROWS($AH$2:AH751),$AH$2:$AH$1001,0),0), INDEX($AO$1004:$BQ$1004,1,MATCH(COLUMNS($AO$1006:AS1006),$AO$1006:$BQ$1006,0)))),"Fix")))</f>
        <v>#N/A</v>
      </c>
      <c r="G751" s="5" t="e">
        <f ca="1">IF(OR(INDEX($AI$2:$AI$1001,MATCH(ROWS($AH$2:AH751),$AH$2:$AH$1001,0),1)&gt;=100000,INDEX($AO$1005:$BQ$1005,1,MATCH(COLUMNS($AO$1006:AT1006),$AO$1006:$BQ$1006,0))&gt;=100000), " ",IF(INDEX($AO$2:$BQ$1001,MATCH(ROWS($AH$2:AH751),$AH$2:$AH$1001,0),MATCH(COLUMNS($AO$1006:AT1006),$AO$1006:$BQ$1006,0)), HYPERLINK("#",""), HYPERLINK(CONCATENATE("#Metadata!", ADDRESS(INDEX($AJ$2:$AJ$1001,MATCH(ROWS($AH$2:AH751),$AH$2:$AH$1001,0),0), INDEX($AO$1004:$BQ$1004,1,MATCH(COLUMNS($AO$1006:AT1006),$AO$1006:$BQ$1006,0)))),"Fix")))</f>
        <v>#N/A</v>
      </c>
      <c r="H751" s="5" t="e">
        <f ca="1">IF(OR(INDEX($AI$2:$AI$1001,MATCH(ROWS($AH$2:AH751),$AH$2:$AH$1001,0),1)&gt;=100000,INDEX($AO$1005:$BQ$1005,1,MATCH(COLUMNS($AO$1006:AU1006),$AO$1006:$BQ$1006,0))&gt;=100000), " ",IF(INDEX($AO$2:$BQ$1001,MATCH(ROWS($AH$2:AH751),$AH$2:$AH$1001,0),MATCH(COLUMNS($AO$1006:AU1006),$AO$1006:$BQ$1006,0)), HYPERLINK("#",""), HYPERLINK(CONCATENATE("#Metadata!", ADDRESS(INDEX($AJ$2:$AJ$1001,MATCH(ROWS($AH$2:AH751),$AH$2:$AH$1001,0),0), INDEX($AO$1004:$BQ$1004,1,MATCH(COLUMNS($AO$1006:AU1006),$AO$1006:$BQ$1006,0)))),"Fix")))</f>
        <v>#N/A</v>
      </c>
      <c r="I751" s="5" t="e">
        <f ca="1">IF(OR(INDEX($AI$2:$AI$1001,MATCH(ROWS($AH$2:AH751),$AH$2:$AH$1001,0),1)&gt;=100000,INDEX($AO$1005:$BQ$1005,1,MATCH(COLUMNS($AO$1006:AV1006),$AO$1006:$BQ$1006,0))&gt;=100000), " ",IF(INDEX($AO$2:$BQ$1001,MATCH(ROWS($AH$2:AH751),$AH$2:$AH$1001,0),MATCH(COLUMNS($AO$1006:AV1006),$AO$1006:$BQ$1006,0)), HYPERLINK("#",""), HYPERLINK(CONCATENATE("#Metadata!", ADDRESS(INDEX($AJ$2:$AJ$1001,MATCH(ROWS($AH$2:AH751),$AH$2:$AH$1001,0),0), INDEX($AO$1004:$BQ$1004,1,MATCH(COLUMNS($AO$1006:AV1006),$AO$1006:$BQ$1006,0)))),"Fix")))</f>
        <v>#N/A</v>
      </c>
      <c r="J751" s="5" t="e">
        <f ca="1">IF(OR(INDEX($AI$2:$AI$1001,MATCH(ROWS($AH$2:AH751),$AH$2:$AH$1001,0),1)&gt;=100000,INDEX($AO$1005:$BQ$1005,1,MATCH(COLUMNS($AO$1006:AW1006),$AO$1006:$BQ$1006,0))&gt;=100000), " ",IF(INDEX($AO$2:$BQ$1001,MATCH(ROWS($AH$2:AH751),$AH$2:$AH$1001,0),MATCH(COLUMNS($AO$1006:AW1006),$AO$1006:$BQ$1006,0)), HYPERLINK("#",""), HYPERLINK(CONCATENATE("#Metadata!", ADDRESS(INDEX($AJ$2:$AJ$1001,MATCH(ROWS($AH$2:AH751),$AH$2:$AH$1001,0),0), INDEX($AO$1004:$BQ$1004,1,MATCH(COLUMNS($AO$1006:AW1006),$AO$1006:$BQ$1006,0)))),"Fix")))</f>
        <v>#N/A</v>
      </c>
      <c r="K751" s="5" t="e">
        <f ca="1">IF(OR(INDEX($AI$2:$AI$1001,MATCH(ROWS($AH$2:AH751),$AH$2:$AH$1001,0),1)&gt;=100000,INDEX($AO$1005:$BQ$1005,1,MATCH(COLUMNS($AO$1006:AX1006),$AO$1006:$BQ$1006,0))&gt;=100000), " ",IF(INDEX($AO$2:$BQ$1001,MATCH(ROWS($AH$2:AH751),$AH$2:$AH$1001,0),MATCH(COLUMNS($AO$1006:AX1006),$AO$1006:$BQ$1006,0)), HYPERLINK("#",""), HYPERLINK(CONCATENATE("#Metadata!", ADDRESS(INDEX($AJ$2:$AJ$1001,MATCH(ROWS($AH$2:AH751),$AH$2:$AH$1001,0),0), INDEX($AO$1004:$BQ$1004,1,MATCH(COLUMNS($AO$1006:AX1006),$AO$1006:$BQ$1006,0)))),"Fix")))</f>
        <v>#N/A</v>
      </c>
      <c r="L751" s="5" t="e">
        <f ca="1">IF(OR(INDEX($AI$2:$AI$1001,MATCH(ROWS($AH$2:AH751),$AH$2:$AH$1001,0),1)&gt;=100000,INDEX($AO$1005:$BQ$1005,1,MATCH(COLUMNS($AO$1006:AY1006),$AO$1006:$BQ$1006,0))&gt;=100000), " ",IF(INDEX($AO$2:$BQ$1001,MATCH(ROWS($AH$2:AH751),$AH$2:$AH$1001,0),MATCH(COLUMNS($AO$1006:AY1006),$AO$1006:$BQ$1006,0)), HYPERLINK("#",""), HYPERLINK(CONCATENATE("#Metadata!", ADDRESS(INDEX($AJ$2:$AJ$1001,MATCH(ROWS($AH$2:AH751),$AH$2:$AH$1001,0),0), INDEX($AO$1004:$BQ$1004,1,MATCH(COLUMNS($AO$1006:AY1006),$AO$1006:$BQ$1006,0)))),"Fix")))</f>
        <v>#N/A</v>
      </c>
      <c r="M751" s="5" t="e">
        <f ca="1">IF(OR(INDEX($AI$2:$AI$1001,MATCH(ROWS($AH$2:AH751),$AH$2:$AH$1001,0),1)&gt;=100000,INDEX($AO$1005:$BQ$1005,1,MATCH(COLUMNS($AO$1006:AZ1006),$AO$1006:$BQ$1006,0))&gt;=100000), " ",IF(INDEX($AO$2:$BQ$1001,MATCH(ROWS($AH$2:AH751),$AH$2:$AH$1001,0),MATCH(COLUMNS($AO$1006:AZ1006),$AO$1006:$BQ$1006,0)), HYPERLINK("#",""), HYPERLINK(CONCATENATE("#Metadata!", ADDRESS(INDEX($AJ$2:$AJ$1001,MATCH(ROWS($AH$2:AH751),$AH$2:$AH$1001,0),0), INDEX($AO$1004:$BQ$1004,1,MATCH(COLUMNS($AO$1006:AZ1006),$AO$1006:$BQ$1006,0)))),"Fix")))</f>
        <v>#N/A</v>
      </c>
      <c r="N751" s="5" t="e">
        <f ca="1">IF(OR(INDEX($AI$2:$AI$1001,MATCH(ROWS($AH$2:AH751),$AH$2:$AH$1001,0),1)&gt;=100000,INDEX($AO$1005:$BQ$1005,1,MATCH(COLUMNS($AO$1006:BA1006),$AO$1006:$BQ$1006,0))&gt;=100000), " ",IF(INDEX($AO$2:$BQ$1001,MATCH(ROWS($AH$2:AH751),$AH$2:$AH$1001,0),MATCH(COLUMNS($AO$1006:BA1006),$AO$1006:$BQ$1006,0)), HYPERLINK("#",""), HYPERLINK(CONCATENATE("#Metadata!", ADDRESS(INDEX($AJ$2:$AJ$1001,MATCH(ROWS($AH$2:AH751),$AH$2:$AH$1001,0),0), INDEX($AO$1004:$BQ$1004,1,MATCH(COLUMNS($AO$1006:BA1006),$AO$1006:$BQ$1006,0)))),"Fix")))</f>
        <v>#N/A</v>
      </c>
      <c r="O751" s="5" t="e">
        <f ca="1">IF(OR(INDEX($AI$2:$AI$1001,MATCH(ROWS($AH$2:AH751),$AH$2:$AH$1001,0),1)&gt;=100000,INDEX($AO$1005:$BQ$1005,1,MATCH(COLUMNS($AO$1006:BB1006),$AO$1006:$BQ$1006,0))&gt;=100000), " ",IF(INDEX($AO$2:$BQ$1001,MATCH(ROWS($AH$2:AH751),$AH$2:$AH$1001,0),MATCH(COLUMNS($AO$1006:BB1006),$AO$1006:$BQ$1006,0)), HYPERLINK("#",""), HYPERLINK(CONCATENATE("#Metadata!", ADDRESS(INDEX($AJ$2:$AJ$1001,MATCH(ROWS($AH$2:AH751),$AH$2:$AH$1001,0),0), INDEX($AO$1004:$BQ$1004,1,MATCH(COLUMNS($AO$1006:BB1006),$AO$1006:$BQ$1006,0)))),"Fix")))</f>
        <v>#N/A</v>
      </c>
      <c r="P751" s="5" t="e">
        <f ca="1">IF(OR(INDEX($AI$2:$AI$1001,MATCH(ROWS($AH$2:AH751),$AH$2:$AH$1001,0),1)&gt;=100000,INDEX($AO$1005:$BQ$1005,1,MATCH(COLUMNS($AO$1006:BC1006),$AO$1006:$BQ$1006,0))&gt;=100000), " ",IF(INDEX($AO$2:$BQ$1001,MATCH(ROWS($AH$2:AH751),$AH$2:$AH$1001,0),MATCH(COLUMNS($AO$1006:BC1006),$AO$1006:$BQ$1006,0)), HYPERLINK("#",""), HYPERLINK(CONCATENATE("#Metadata!", ADDRESS(INDEX($AJ$2:$AJ$1001,MATCH(ROWS($AH$2:AH751),$AH$2:$AH$1001,0),0), INDEX($AO$1004:$BQ$1004,1,MATCH(COLUMNS($AO$1006:BC1006),$AO$1006:$BQ$1006,0)))),"Fix")))</f>
        <v>#N/A</v>
      </c>
      <c r="Q751" s="5" t="e">
        <f ca="1">IF(OR(INDEX($AI$2:$AI$1001,MATCH(ROWS($AH$2:AH751),$AH$2:$AH$1001,0),1)&gt;=100000,INDEX($AO$1005:$BQ$1005,1,MATCH(COLUMNS($AO$1006:BD1006),$AO$1006:$BQ$1006,0))&gt;=100000), " ",IF(INDEX($AO$2:$BQ$1001,MATCH(ROWS($AH$2:AH751),$AH$2:$AH$1001,0),MATCH(COLUMNS($AO$1006:BD1006),$AO$1006:$BQ$1006,0)), HYPERLINK("#",""), HYPERLINK(CONCATENATE("#Metadata!", ADDRESS(INDEX($AJ$2:$AJ$1001,MATCH(ROWS($AH$2:AH751),$AH$2:$AH$1001,0),0), INDEX($AO$1004:$BQ$1004,1,MATCH(COLUMNS($AO$1006:BD1006),$AO$1006:$BQ$1006,0)))),"Fix")))</f>
        <v>#N/A</v>
      </c>
      <c r="R751" s="5" t="e">
        <f ca="1">IF(OR(INDEX($AI$2:$AI$1001,MATCH(ROWS($AH$2:AH751),$AH$2:$AH$1001,0),1)&gt;=100000,INDEX($AO$1005:$BQ$1005,1,MATCH(COLUMNS($AO$1006:BE1006),$AO$1006:$BQ$1006,0))&gt;=100000), " ",IF(INDEX($AO$2:$BQ$1001,MATCH(ROWS($AH$2:AH751),$AH$2:$AH$1001,0),MATCH(COLUMNS($AO$1006:BE1006),$AO$1006:$BQ$1006,0)), HYPERLINK("#",""), HYPERLINK(CONCATENATE("#Metadata!", ADDRESS(INDEX($AJ$2:$AJ$1001,MATCH(ROWS($AH$2:AH751),$AH$2:$AH$1001,0),0), INDEX($AO$1004:$BQ$1004,1,MATCH(COLUMNS($AO$1006:BE1006),$AO$1006:$BQ$1006,0)))),"Fix")))</f>
        <v>#N/A</v>
      </c>
      <c r="S751" s="5" t="e">
        <f ca="1">IF(OR(INDEX($AI$2:$AI$1001,MATCH(ROWS($AH$2:AH751),$AH$2:$AH$1001,0),1)&gt;=100000,INDEX($AO$1005:$BQ$1005,1,MATCH(COLUMNS($AO$1006:BF1006),$AO$1006:$BQ$1006,0))&gt;=100000), " ",IF(INDEX($AO$2:$BQ$1001,MATCH(ROWS($AH$2:AH751),$AH$2:$AH$1001,0),MATCH(COLUMNS($AO$1006:BF1006),$AO$1006:$BQ$1006,0)), HYPERLINK("#",""), HYPERLINK(CONCATENATE("#Metadata!", ADDRESS(INDEX($AJ$2:$AJ$1001,MATCH(ROWS($AH$2:AH751),$AH$2:$AH$1001,0),0), INDEX($AO$1004:$BQ$1004,1,MATCH(COLUMNS($AO$1006:BF1006),$AO$1006:$BQ$1006,0)))),"Fix")))</f>
        <v>#N/A</v>
      </c>
      <c r="T751" s="5" t="e">
        <f ca="1">IF(OR(INDEX($AI$2:$AI$1001,MATCH(ROWS($AH$2:AH751),$AH$2:$AH$1001,0),1)&gt;=100000,INDEX($AO$1005:$BQ$1005,1,MATCH(COLUMNS($AO$1006:BG1006),$AO$1006:$BQ$1006,0))&gt;=100000), " ",IF(INDEX($AO$2:$BQ$1001,MATCH(ROWS($AH$2:AH751),$AH$2:$AH$1001,0),MATCH(COLUMNS($AO$1006:BG1006),$AO$1006:$BQ$1006,0)), HYPERLINK("#",""), HYPERLINK(CONCATENATE("#Metadata!", ADDRESS(INDEX($AJ$2:$AJ$1001,MATCH(ROWS($AH$2:AH751),$AH$2:$AH$1001,0),0), INDEX($AO$1004:$BQ$1004,1,MATCH(COLUMNS($AO$1006:BG1006),$AO$1006:$BQ$1006,0)))),"Fix")))</f>
        <v>#N/A</v>
      </c>
      <c r="U751" s="5" t="e">
        <f ca="1">IF(OR(INDEX($AI$2:$AI$1001,MATCH(ROWS($AH$2:AH751),$AH$2:$AH$1001,0),1)&gt;=100000,INDEX($AO$1005:$BQ$1005,1,MATCH(COLUMNS($AO$1006:BH1006),$AO$1006:$BQ$1006,0))&gt;=100000), " ",IF(INDEX($AO$2:$BQ$1001,MATCH(ROWS($AH$2:AH751),$AH$2:$AH$1001,0),MATCH(COLUMNS($AO$1006:BH1006),$AO$1006:$BQ$1006,0)), HYPERLINK("#",""), HYPERLINK(CONCATENATE("#Metadata!", ADDRESS(INDEX($AJ$2:$AJ$1001,MATCH(ROWS($AH$2:AH751),$AH$2:$AH$1001,0),0), INDEX($AO$1004:$BQ$1004,1,MATCH(COLUMNS($AO$1006:BH1006),$AO$1006:$BQ$1006,0)))),"Fix")))</f>
        <v>#N/A</v>
      </c>
      <c r="V751" s="5" t="e">
        <f ca="1">IF(OR(INDEX($AI$2:$AI$1001,MATCH(ROWS($AH$2:AH751),$AH$2:$AH$1001,0),1)&gt;=100000,INDEX($AO$1005:$BQ$1005,1,MATCH(COLUMNS($AO$1006:BI1006),$AO$1006:$BQ$1006,0))&gt;=100000), " ",IF(INDEX($AO$2:$BQ$1001,MATCH(ROWS($AH$2:AH751),$AH$2:$AH$1001,0),MATCH(COLUMNS($AO$1006:BI1006),$AO$1006:$BQ$1006,0)), HYPERLINK("#",""), HYPERLINK(CONCATENATE("#Metadata!", ADDRESS(INDEX($AJ$2:$AJ$1001,MATCH(ROWS($AH$2:AH751),$AH$2:$AH$1001,0),0), INDEX($AO$1004:$BQ$1004,1,MATCH(COLUMNS($AO$1006:BI1006),$AO$1006:$BQ$1006,0)))),"Fix")))</f>
        <v>#N/A</v>
      </c>
      <c r="W751" s="5" t="e">
        <f ca="1">IF(OR(INDEX($AI$2:$AI$1001,MATCH(ROWS($AH$2:AH751),$AH$2:$AH$1001,0),1)&gt;=100000,INDEX($AO$1005:$BQ$1005,1,MATCH(COLUMNS($AO$1006:BJ1006),$AO$1006:$BQ$1006,0))&gt;=100000), " ",IF(INDEX($AO$2:$BQ$1001,MATCH(ROWS($AH$2:AH751),$AH$2:$AH$1001,0),MATCH(COLUMNS($AO$1006:BJ1006),$AO$1006:$BQ$1006,0)), HYPERLINK("#",""), HYPERLINK(CONCATENATE("#Metadata!", ADDRESS(INDEX($AJ$2:$AJ$1001,MATCH(ROWS($AH$2:AH751),$AH$2:$AH$1001,0),0), INDEX($AO$1004:$BQ$1004,1,MATCH(COLUMNS($AO$1006:BJ1006),$AO$1006:$BQ$1006,0)))),"Fix")))</f>
        <v>#N/A</v>
      </c>
      <c r="X751" s="5" t="e">
        <f ca="1">IF(OR(INDEX($AI$2:$AI$1001,MATCH(ROWS($AH$2:AH751),$AH$2:$AH$1001,0),1)&gt;=100000,INDEX($AO$1005:$BQ$1005,1,MATCH(COLUMNS($AO$1006:BK1006),$AO$1006:$BQ$1006,0))&gt;=100000), " ",IF(INDEX($AO$2:$BQ$1001,MATCH(ROWS($AH$2:AH751),$AH$2:$AH$1001,0),MATCH(COLUMNS($AO$1006:BK1006),$AO$1006:$BQ$1006,0)), HYPERLINK("#",""), HYPERLINK(CONCATENATE("#Metadata!", ADDRESS(INDEX($AJ$2:$AJ$1001,MATCH(ROWS($AH$2:AH751),$AH$2:$AH$1001,0),0), INDEX($AO$1004:$BQ$1004,1,MATCH(COLUMNS($AO$1006:BK1006),$AO$1006:$BQ$1006,0)))),"Fix")))</f>
        <v>#N/A</v>
      </c>
      <c r="Y751" s="5" t="e">
        <f ca="1">IF(OR(INDEX($AI$2:$AI$1001,MATCH(ROWS($AH$2:AH751),$AH$2:$AH$1001,0),1)&gt;=100000,INDEX($AO$1005:$BQ$1005,1,MATCH(COLUMNS($AO$1006:BL1006),$AO$1006:$BQ$1006,0))&gt;=100000), " ",IF(INDEX($AO$2:$BQ$1001,MATCH(ROWS($AH$2:AH751),$AH$2:$AH$1001,0),MATCH(COLUMNS($AO$1006:BL1006),$AO$1006:$BQ$1006,0)), HYPERLINK("#",""), HYPERLINK(CONCATENATE("#Metadata!", ADDRESS(INDEX($AJ$2:$AJ$1001,MATCH(ROWS($AH$2:AH751),$AH$2:$AH$1001,0),0), INDEX($AO$1004:$BQ$1004,1,MATCH(COLUMNS($AO$1006:BL1006),$AO$1006:$BQ$1006,0)))),"Fix")))</f>
        <v>#N/A</v>
      </c>
      <c r="Z751" s="5" t="e">
        <f ca="1">IF(OR(INDEX($AI$2:$AI$1001,MATCH(ROWS($AH$2:AH751),$AH$2:$AH$1001,0),1)&gt;=100000,INDEX($AO$1005:$BQ$1005,1,MATCH(COLUMNS($AO$1006:BM1006),$AO$1006:$BQ$1006,0))&gt;=100000), " ",IF(INDEX($AO$2:$BQ$1001,MATCH(ROWS($AH$2:AH751),$AH$2:$AH$1001,0),MATCH(COLUMNS($AO$1006:BM1006),$AO$1006:$BQ$1006,0)), HYPERLINK("#",""), HYPERLINK(CONCATENATE("#Metadata!", ADDRESS(INDEX($AJ$2:$AJ$1001,MATCH(ROWS($AH$2:AH751),$AH$2:$AH$1001,0),0), INDEX($AO$1004:$BQ$1004,1,MATCH(COLUMNS($AO$1006:BM1006),$AO$1006:$BQ$1006,0)))),"Fix")))</f>
        <v>#N/A</v>
      </c>
      <c r="AA751" s="5" t="e">
        <f ca="1">IF(OR(INDEX($AI$2:$AI$1001,MATCH(ROWS($AH$2:AH751),$AH$2:$AH$1001,0),1)&gt;=100000,INDEX($AO$1005:$BQ$1005,1,MATCH(COLUMNS($AO$1006:BN1006),$AO$1006:$BQ$1006,0))&gt;=100000), " ",IF(INDEX($AO$2:$BQ$1001,MATCH(ROWS($AH$2:AH751),$AH$2:$AH$1001,0),MATCH(COLUMNS($AO$1006:BN1006),$AO$1006:$BQ$1006,0)), HYPERLINK("#",""), HYPERLINK(CONCATENATE("#Metadata!", ADDRESS(INDEX($AJ$2:$AJ$1001,MATCH(ROWS($AH$2:AH751),$AH$2:$AH$1001,0),0), INDEX($AO$1004:$BQ$1004,1,MATCH(COLUMNS($AO$1006:BN1006),$AO$1006:$BQ$1006,0)))),"Fix")))</f>
        <v>#N/A</v>
      </c>
      <c r="AB751" s="5" t="e">
        <f ca="1">IF(OR(INDEX($AI$2:$AI$1001,MATCH(ROWS($AH$2:AH751),$AH$2:$AH$1001,0),1)&gt;=100000,INDEX($AO$1005:$BQ$1005,1,MATCH(COLUMNS($AO$1006:BO1006),$AO$1006:$BQ$1006,0))&gt;=100000), " ",IF(INDEX($AO$2:$BQ$1001,MATCH(ROWS($AH$2:AH751),$AH$2:$AH$1001,0),MATCH(COLUMNS($AO$1006:BO1006),$AO$1006:$BQ$1006,0)), HYPERLINK("#",""), HYPERLINK(CONCATENATE("#Metadata!", ADDRESS(INDEX($AJ$2:$AJ$1001,MATCH(ROWS($AH$2:AH751),$AH$2:$AH$1001,0),0), INDEX($AO$1004:$BQ$1004,1,MATCH(COLUMNS($AO$1006:BO1006),$AO$1006:$BQ$1006,0)))),"Fix")))</f>
        <v>#N/A</v>
      </c>
      <c r="AC751" s="5" t="e">
        <f ca="1">IF(OR(INDEX($AI$2:$AI$1001,MATCH(ROWS($AH$2:AH751),$AH$2:$AH$1001,0),1)&gt;=100000,INDEX($AO$1005:$BQ$1005,1,MATCH(COLUMNS($AO$1006:BP1006),$AO$1006:$BQ$1006,0))&gt;=100000), " ",IF(INDEX($AO$2:$BQ$1001,MATCH(ROWS($AH$2:AH751),$AH$2:$AH$1001,0),MATCH(COLUMNS($AO$1006:BP1006),$AO$1006:$BQ$1006,0)), HYPERLINK("#",""), HYPERLINK(CONCATENATE("#Metadata!", ADDRESS(INDEX($AJ$2:$AJ$1001,MATCH(ROWS($AH$2:AH751),$AH$2:$AH$1001,0),0), INDEX($AO$1004:$BQ$1004,1,MATCH(COLUMNS($AO$1006:BP1006),$AO$1006:$BQ$1006,0)))),"Fix")))</f>
        <v>#N/A</v>
      </c>
      <c r="AD751" s="5" t="e">
        <f ca="1">IF(OR(INDEX($AI$2:$AI$1001,MATCH(ROWS($AH$2:AH751),$AH$2:$AH$1001,0),1)&gt;=100000,INDEX($AO$1005:$BQ$1005,1,MATCH(COLUMNS($AO$1006:BQ1006),$AO$1006:$BQ$1006,0))&gt;=100000), " ",IF(INDEX($AO$2:$BQ$1001,MATCH(ROWS($AH$2:AH751),$AH$2:$AH$1001,0),MATCH(COLUMNS($AO$1006:BQ1006),$AO$1006:$BQ$1006,0)), HYPERLINK("#",""), HYPERLINK(CONCATENATE("#Metadata!", ADDRESS(INDEX($AJ$2:$AJ$1001,MATCH(ROWS($AH$2:AH751),$AH$2:$AH$1001,0),0), INDEX($AO$1004:$BQ$1004,1,MATCH(COLUMNS($AO$1006:BQ1006),$AO$1006:$BQ$1006,0)))),"Fix")))</f>
        <v>#REF!</v>
      </c>
      <c r="AH751">
        <f ca="1"/>
        <v>748</v>
      </c>
      <c r="AI751">
        <v>100751</v>
      </c>
      <c r="AJ751">
        <v>751</v>
      </c>
      <c r="AK751" t="b">
        <f t="shared" si="11"/>
        <v>1</v>
      </c>
      <c r="AL751" t="b">
        <f>COUNTBLANK(Metadata!B751:AD751)=COLUMNS(Metadata!B751:AD751)</f>
        <v>1</v>
      </c>
      <c r="AM751" t="str">
        <v/>
      </c>
      <c r="AO751" t="b">
        <f ca="1">AND(IF(Metadata!B751="",FALSE,TRUE),COUNTIF(Metadata!B:B, Metadata!B751) = 1,NOT(ISERROR(SUMPRODUCT(SEARCH(MID(Metadata!B751,ROW(INDIRECT("1:"&amp;LEN(Metadata!B751))), 1),"0123456789abcdefghijklmnopqrstuvwxyzABCDEFGHIJKLMNOPQRSTUVWXYZ.")))))</f>
        <v>0</v>
      </c>
      <c r="AP751" t="b">
        <f>IF(Metadata!C751="",FALSE,TRUE)</f>
        <v>0</v>
      </c>
      <c r="AQ751" t="b">
        <f>IF(Metadata!D751="",FALSE,TRUE)</f>
        <v>0</v>
      </c>
      <c r="AR751" t="b">
        <f ca="1">OR(AND(IF(Metadata!E751="",FALSE,TRUE),OR(EXACT(Metadata!E751,"not collected"),EXACT(Metadata!E751,"not provided"),EXACT(Metadata!E751,"restricted access"))),AND(IF(Metadata!E751="",FALSE,TRUE),AND(AND(IFERROR(INT(LEFT(Metadata!E751,4))&gt;1900,FALSE),IFERROR(INT(LEFT(Metadata!E751,4))&lt;=YEAR(NOW()),FALSE)), OR(MID(Metadata!E751,5,1)="", AND(AND(MID(Metadata!E751,5,1)="-",IFERROR(INT(MID(Metadata!E751,6,1))&gt;=0,FALSE),IFERROR(INT(MID(Metadata!E751,6,1))&lt;=1,FALSE),NOT(MID(Metadata!E751,7,1)=""),IFERROR(INT(MID(Metadata!E751,6,2))&gt;=1,FALSE),IFERROR(INT(MID(Metadata!E751,6,2))&lt;=12,FALSE)), OR(MID(Metadata!E751,8,1)="", AND(AND(MID(Metadata!E751,8,1)="-",IFERROR(INT(MID(Metadata!E751,9,1))&gt;=0,FALSE),IFERROR(INT(MID(Metadata!E751,9,1))&lt;=3,FALSE),NOT(MID(Metadata!E751,10,1)=""),IFERROR(INT(MID(Metadata!E751,9,2))&gt;=1,FALSE),IFERROR(INT(MID(Metadata!E751,9,2))&lt;=31,FALSE)), OR(MID(Metadata!E751,11,1)="", AND(AND(MID(Metadata!E751,11,1)=" ",IFERROR(INT(MID(Metadata!E751,12,1))&gt;=0,FALSE),IFERROR(INT(MID(Metadata!E751,12,1))&lt;=2,FALSE),NOT(MID(Metadata!E751,13,1)=""),IFERROR(INT(MID(Metadata!E751,12,2))&gt;=0,FALSE),IFERROR(INT(MID(Metadata!E751,12,2))&lt;=23,FALSE)), OR(MID(Metadata!E751,14,1)="", AND(AND(MID(Metadata!E751,14,1)=":",IFERROR(INT(MID(Metadata!E751,15,1))&gt;=0,FALSE),IFERROR(INT(MID(Metadata!E751,15,1))&lt;=5,FALSE),NOT(MID(Metadata!E751,16,1)=""),IFERROR(INT(MID(Metadata!E751,15,2))&gt;=0,FALSE),IFERROR(INT(MID(Metadata!E751,15,2))&lt;=59,FALSE)), OR(MID(Metadata!E751,17,1)="", AND(AND(MID(Metadata!E751,17,1)=":",IFERROR(INT(MID(Metadata!E751,18,1))&gt;=0,FALSE),IFERROR(INT(MID(Metadata!E751,18,1))&lt;=5,FALSE),NOT(MID(Metadata!E751,19,1)=""),IFERROR(INT(MID(Metadata!E751,18,2))&gt;=0,FALSE),IFERROR(INT(MID(Metadata!E751,18,2))&lt;=59,FALSE)), LEN(Metadata!E751)&lt;=19)))))))))))))</f>
        <v>0</v>
      </c>
      <c r="AS751" t="b">
        <f>IF(Metadata!F751="",FALSE,TRUE)</f>
        <v>0</v>
      </c>
      <c r="AT751" t="b">
        <f>OR(AND(IF(Metadata!G751="",FALSE,TRUE),OR(EXACT(Metadata!G751,"not collected"),EXACT(Metadata!G751,"not provided"))),AND(IF(Metadata!G751="",FALSE,TRUE),OR(EXACT(Metadata!G751,"TRUE"),EXACT(Metadata!G751,"FALSE"))))</f>
        <v>0</v>
      </c>
      <c r="AU751" t="b">
        <f>OR(AND(IF(Metadata!H751="",FALSE,TRUE),OR(EXACT(Metadata!H751,"not collected"),EXACT(Metadata!H751,"not provided"),EXACT(Metadata!H751,"restricted access"))),AND(IF(Metadata!H751="",FALSE,ISNUMBER(VALUE(Metadata!H751))),Metadata!H751&gt;=-413))</f>
        <v>0</v>
      </c>
      <c r="AV751" t="b">
        <f>AND(IF(Metadata!I751="",FALSE,TRUE),EXACT(Metadata!I751,"meters"))</f>
        <v>0</v>
      </c>
      <c r="AW751" t="b">
        <f>AND(IF(Metadata!J751="",FALSE,TRUE),EXACT(Metadata!J751,"free-living"))</f>
        <v>0</v>
      </c>
      <c r="AX751" t="b">
        <f>AND(IF(Metadata!K751="",FALSE,TRUE),OR(EXACT(Metadata!K751,"saline"),EXACT(Metadata!K751,"non-saline")))</f>
        <v>0</v>
      </c>
      <c r="AY751" t="b">
        <f>AND(IF(Metadata!L751="",FALSE,TRUE),OR(EXACT(Metadata!L751,"sub-surface (non-saline)"),EXACT(Metadata!L751,"surface (non-saline)"),EXACT(Metadata!L751,"water (non-saline)"),EXACT(Metadata!L751,"soil (non-saline)"),EXACT(Metadata!L751,"aerosol (non-saline)"),EXACT(Metadata!L751,"sediment (non-saline)"),EXACT(Metadata!L751,"surface (saline)"),EXACT(Metadata!L751,"water (saline)"),EXACT(Metadata!L751,"hypersaline (saline)"),EXACT(Metadata!L751,"aerosol (saline)"),EXACT(Metadata!L751,"sediment (saline)")))</f>
        <v>0</v>
      </c>
      <c r="AZ751" t="b">
        <f>IF(Metadata!M751="",FALSE,TRUE)</f>
        <v>0</v>
      </c>
      <c r="BA751" t="b">
        <f>IF(Metadata!N751="",FALSE,TRUE)</f>
        <v>0</v>
      </c>
      <c r="BB751" t="b">
        <f>IF(Metadata!O751="",FALSE,TRUE)</f>
        <v>0</v>
      </c>
      <c r="BC751" t="b">
        <f>AND(IF(Metadata!P751="",FALSE,TRUE),OR(EXACT(Metadata!P751,"air"),EXACT(Metadata!P751,"microbial mat/biofilm"),EXACT(Metadata!P751,"misc environment"),EXACT(Metadata!P751,"sediment"),EXACT(Metadata!P751,"soil"),EXACT(Metadata!P751,"wastewater/sludge"),EXACT(Metadata!P751,"water")))</f>
        <v>0</v>
      </c>
      <c r="BD751" t="b">
        <f>IF(Metadata!Q751="",FALSE,TRUE)</f>
        <v>0</v>
      </c>
      <c r="BE751" t="b">
        <f>IF(Metadata!R751="",FALSE,TRUE)</f>
        <v>0</v>
      </c>
      <c r="BF751" t="b">
        <f>OR(AND(IF(Metadata!S751="",FALSE,TRUE),OR(EXACT(Metadata!S751,"not collected"),EXACT(Metadata!S751,"not provided"),EXACT(Metadata!S751,"restricted access"))),AND(IF(Metadata!S751="",FALSE,ISNUMBER(VALUE(Metadata!S751))),Metadata!S751&gt;=-90,Metadata!S751&lt;=90))</f>
        <v>0</v>
      </c>
      <c r="BG751" t="b">
        <f>AND(IF(Metadata!T751="",FALSE,TRUE),EXACT(Metadata!T751,"Decimal degrees"))</f>
        <v>0</v>
      </c>
      <c r="BH751" t="b">
        <f>OR(AND(IF(Metadata!U751="",FALSE,TRUE),OR(EXACT(Metadata!U751,"not applicable"),EXACT(Metadata!U751,"not collected"))),IF(Metadata!U751="",FALSE,TRUE))</f>
        <v>0</v>
      </c>
      <c r="BI751" t="b">
        <f>OR(AND(IF(Metadata!V751="",FALSE,TRUE),OR(EXACT(Metadata!V751,"not collected"),EXACT(Metadata!V751,"not provided"),EXACT(Metadata!V751,"restricted access"))),AND(IF(Metadata!V751="",FALSE,ISNUMBER(VALUE(Metadata!V751))),Metadata!V751&gt;=-180,Metadata!V751&lt;=180))</f>
        <v>0</v>
      </c>
      <c r="BJ751" t="b">
        <f>AND(IF(Metadata!W751="",FALSE,TRUE),EXACT(Metadata!W751,"Decimal degrees"))</f>
        <v>0</v>
      </c>
      <c r="BK751" t="b">
        <f>IF(Metadata!X751="",FALSE,TRUE)</f>
        <v>0</v>
      </c>
      <c r="BL751" t="b">
        <f>OR(AND(IF(Metadata!Y751="",FALSE,TRUE),OR(EXACT(Metadata!Y751,"not collected"),EXACT(Metadata!Y751,"not provided"),EXACT(Metadata!Y751,"restricted access"))),AND(IF(Metadata!Y751="",FALSE,TRUE),OR(EXACT(Metadata!Y751,"TRUE"),EXACT(Metadata!Y751,"FALSE"))))</f>
        <v>0</v>
      </c>
      <c r="BM751" t="b">
        <f>OR(AND(IF(Metadata!Z751="",FALSE,TRUE),EXACT(Metadata!Z751,"not applicable")),AND(IF(Metadata!Z751="",FALSE,TRUE),OR(EXACT(Metadata!Z751,"beer"),EXACT(Metadata!Z751,"cheese"),EXACT(Metadata!Z751,"fresh water"),EXACT(Metadata!Z751,"marine sediment"),EXACT(Metadata!Z751,"sea water"),EXACT(Metadata!Z751,"sediment"),EXACT(Metadata!Z751,"soil"),EXACT(Metadata!Z751,"waste water"))))</f>
        <v>0</v>
      </c>
      <c r="BN751" t="b">
        <f>AND(IF(Metadata!AA751="",FALSE,TRUE),EXACT(Metadata!AA751,"metagenome"))</f>
        <v>0</v>
      </c>
      <c r="BO751" t="b">
        <f>AND(IF(Metadata!AB751="",FALSE,TRUE),EXACT(Metadata!AB751,"256318"))</f>
        <v>0</v>
      </c>
      <c r="BP751" t="b">
        <f>IF(Metadata!AC751="",FALSE,TRUE)</f>
        <v>0</v>
      </c>
      <c r="BQ751" t="b">
        <f>IF(Metadata!AD751="",FALSE,TRUE)</f>
        <v>0</v>
      </c>
    </row>
    <row r="752" spans="1:69" x14ac:dyDescent="0.2">
      <c r="A752" s="4" t="e">
        <f ca="1">IF(B752=" "," ",HYPERLINK(CONCATENATE("#metadata!",ADDRESS(INDEX($AJ$2:$AJ$1001,MATCH(ROWS($AH$2:AH752),$AH$2:$AH$1001,0),0),2)),INDEX($AM$2:$AM$1001,MATCH(ROWS($AH$2:AH752),$AH$2:$AH$1001,0),0)))</f>
        <v>#N/A</v>
      </c>
      <c r="B752" s="5" t="e">
        <f ca="1">IF(OR(INDEX($AI$2:$AI$1001,MATCH(ROWS($AH$2:AH752),$AH$2:$AH$1001,0),1)&gt;=100000,INDEX($AO$1005:$BQ$1005,1,MATCH(COLUMNS($AO$1006:AO1006),$AO$1006:$BQ$1006,0))&gt;=100000), " ",IF(INDEX($AO$2:$BQ$1001,MATCH(ROWS($AH$2:AH752),$AH$2:$AH$1001,0),MATCH(COLUMNS($AO$1006:AO1006),$AO$1006:$BQ$1006,0)), HYPERLINK("#",""), HYPERLINK(CONCATENATE("#Metadata!", ADDRESS(INDEX($AJ$2:$AJ$1001,MATCH(ROWS($AH$2:AH752),$AH$2:$AH$1001,0),0), INDEX($AO$1004:$BQ$1004,1,MATCH(COLUMNS($AO$1006:AO1006),$AO$1006:$BQ$1006,0)))),"Fix")))</f>
        <v>#N/A</v>
      </c>
      <c r="C752" s="5" t="e">
        <f ca="1">IF(OR(INDEX($AI$2:$AI$1001,MATCH(ROWS($AH$2:AH752),$AH$2:$AH$1001,0),1)&gt;=100000,INDEX($AO$1005:$BQ$1005,1,MATCH(COLUMNS($AO$1006:AP1006),$AO$1006:$BQ$1006,0))&gt;=100000), " ",IF(INDEX($AO$2:$BQ$1001,MATCH(ROWS($AH$2:AH752),$AH$2:$AH$1001,0),MATCH(COLUMNS($AO$1006:AP1006),$AO$1006:$BQ$1006,0)), HYPERLINK("#",""), HYPERLINK(CONCATENATE("#Metadata!", ADDRESS(INDEX($AJ$2:$AJ$1001,MATCH(ROWS($AH$2:AH752),$AH$2:$AH$1001,0),0), INDEX($AO$1004:$BQ$1004,1,MATCH(COLUMNS($AO$1006:AP1006),$AO$1006:$BQ$1006,0)))),"Fix")))</f>
        <v>#N/A</v>
      </c>
      <c r="D752" s="5" t="e">
        <f ca="1">IF(OR(INDEX($AI$2:$AI$1001,MATCH(ROWS($AH$2:AH752),$AH$2:$AH$1001,0),1)&gt;=100000,INDEX($AO$1005:$BQ$1005,1,MATCH(COLUMNS($AO$1006:AQ1006),$AO$1006:$BQ$1006,0))&gt;=100000), " ",IF(INDEX($AO$2:$BQ$1001,MATCH(ROWS($AH$2:AH752),$AH$2:$AH$1001,0),MATCH(COLUMNS($AO$1006:AQ1006),$AO$1006:$BQ$1006,0)), HYPERLINK("#",""), HYPERLINK(CONCATENATE("#Metadata!", ADDRESS(INDEX($AJ$2:$AJ$1001,MATCH(ROWS($AH$2:AH752),$AH$2:$AH$1001,0),0), INDEX($AO$1004:$BQ$1004,1,MATCH(COLUMNS($AO$1006:AQ1006),$AO$1006:$BQ$1006,0)))),"Fix")))</f>
        <v>#N/A</v>
      </c>
      <c r="E752" s="5" t="e">
        <f ca="1">IF(OR(INDEX($AI$2:$AI$1001,MATCH(ROWS($AH$2:AH752),$AH$2:$AH$1001,0),1)&gt;=100000,INDEX($AO$1005:$BQ$1005,1,MATCH(COLUMNS($AO$1006:AR1006),$AO$1006:$BQ$1006,0))&gt;=100000), " ",IF(INDEX($AO$2:$BQ$1001,MATCH(ROWS($AH$2:AH752),$AH$2:$AH$1001,0),MATCH(COLUMNS($AO$1006:AR1006),$AO$1006:$BQ$1006,0)), HYPERLINK("#",""), HYPERLINK(CONCATENATE("#Metadata!", ADDRESS(INDEX($AJ$2:$AJ$1001,MATCH(ROWS($AH$2:AH752),$AH$2:$AH$1001,0),0), INDEX($AO$1004:$BQ$1004,1,MATCH(COLUMNS($AO$1006:AR1006),$AO$1006:$BQ$1006,0)))),"Fix")))</f>
        <v>#N/A</v>
      </c>
      <c r="F752" s="5" t="e">
        <f ca="1">IF(OR(INDEX($AI$2:$AI$1001,MATCH(ROWS($AH$2:AH752),$AH$2:$AH$1001,0),1)&gt;=100000,INDEX($AO$1005:$BQ$1005,1,MATCH(COLUMNS($AO$1006:AS1006),$AO$1006:$BQ$1006,0))&gt;=100000), " ",IF(INDEX($AO$2:$BQ$1001,MATCH(ROWS($AH$2:AH752),$AH$2:$AH$1001,0),MATCH(COLUMNS($AO$1006:AS1006),$AO$1006:$BQ$1006,0)), HYPERLINK("#",""), HYPERLINK(CONCATENATE("#Metadata!", ADDRESS(INDEX($AJ$2:$AJ$1001,MATCH(ROWS($AH$2:AH752),$AH$2:$AH$1001,0),0), INDEX($AO$1004:$BQ$1004,1,MATCH(COLUMNS($AO$1006:AS1006),$AO$1006:$BQ$1006,0)))),"Fix")))</f>
        <v>#N/A</v>
      </c>
      <c r="G752" s="5" t="e">
        <f ca="1">IF(OR(INDEX($AI$2:$AI$1001,MATCH(ROWS($AH$2:AH752),$AH$2:$AH$1001,0),1)&gt;=100000,INDEX($AO$1005:$BQ$1005,1,MATCH(COLUMNS($AO$1006:AT1006),$AO$1006:$BQ$1006,0))&gt;=100000), " ",IF(INDEX($AO$2:$BQ$1001,MATCH(ROWS($AH$2:AH752),$AH$2:$AH$1001,0),MATCH(COLUMNS($AO$1006:AT1006),$AO$1006:$BQ$1006,0)), HYPERLINK("#",""), HYPERLINK(CONCATENATE("#Metadata!", ADDRESS(INDEX($AJ$2:$AJ$1001,MATCH(ROWS($AH$2:AH752),$AH$2:$AH$1001,0),0), INDEX($AO$1004:$BQ$1004,1,MATCH(COLUMNS($AO$1006:AT1006),$AO$1006:$BQ$1006,0)))),"Fix")))</f>
        <v>#N/A</v>
      </c>
      <c r="H752" s="5" t="e">
        <f ca="1">IF(OR(INDEX($AI$2:$AI$1001,MATCH(ROWS($AH$2:AH752),$AH$2:$AH$1001,0),1)&gt;=100000,INDEX($AO$1005:$BQ$1005,1,MATCH(COLUMNS($AO$1006:AU1006),$AO$1006:$BQ$1006,0))&gt;=100000), " ",IF(INDEX($AO$2:$BQ$1001,MATCH(ROWS($AH$2:AH752),$AH$2:$AH$1001,0),MATCH(COLUMNS($AO$1006:AU1006),$AO$1006:$BQ$1006,0)), HYPERLINK("#",""), HYPERLINK(CONCATENATE("#Metadata!", ADDRESS(INDEX($AJ$2:$AJ$1001,MATCH(ROWS($AH$2:AH752),$AH$2:$AH$1001,0),0), INDEX($AO$1004:$BQ$1004,1,MATCH(COLUMNS($AO$1006:AU1006),$AO$1006:$BQ$1006,0)))),"Fix")))</f>
        <v>#N/A</v>
      </c>
      <c r="I752" s="5" t="e">
        <f ca="1">IF(OR(INDEX($AI$2:$AI$1001,MATCH(ROWS($AH$2:AH752),$AH$2:$AH$1001,0),1)&gt;=100000,INDEX($AO$1005:$BQ$1005,1,MATCH(COLUMNS($AO$1006:AV1006),$AO$1006:$BQ$1006,0))&gt;=100000), " ",IF(INDEX($AO$2:$BQ$1001,MATCH(ROWS($AH$2:AH752),$AH$2:$AH$1001,0),MATCH(COLUMNS($AO$1006:AV1006),$AO$1006:$BQ$1006,0)), HYPERLINK("#",""), HYPERLINK(CONCATENATE("#Metadata!", ADDRESS(INDEX($AJ$2:$AJ$1001,MATCH(ROWS($AH$2:AH752),$AH$2:$AH$1001,0),0), INDEX($AO$1004:$BQ$1004,1,MATCH(COLUMNS($AO$1006:AV1006),$AO$1006:$BQ$1006,0)))),"Fix")))</f>
        <v>#N/A</v>
      </c>
      <c r="J752" s="5" t="e">
        <f ca="1">IF(OR(INDEX($AI$2:$AI$1001,MATCH(ROWS($AH$2:AH752),$AH$2:$AH$1001,0),1)&gt;=100000,INDEX($AO$1005:$BQ$1005,1,MATCH(COLUMNS($AO$1006:AW1006),$AO$1006:$BQ$1006,0))&gt;=100000), " ",IF(INDEX($AO$2:$BQ$1001,MATCH(ROWS($AH$2:AH752),$AH$2:$AH$1001,0),MATCH(COLUMNS($AO$1006:AW1006),$AO$1006:$BQ$1006,0)), HYPERLINK("#",""), HYPERLINK(CONCATENATE("#Metadata!", ADDRESS(INDEX($AJ$2:$AJ$1001,MATCH(ROWS($AH$2:AH752),$AH$2:$AH$1001,0),0), INDEX($AO$1004:$BQ$1004,1,MATCH(COLUMNS($AO$1006:AW1006),$AO$1006:$BQ$1006,0)))),"Fix")))</f>
        <v>#N/A</v>
      </c>
      <c r="K752" s="5" t="e">
        <f ca="1">IF(OR(INDEX($AI$2:$AI$1001,MATCH(ROWS($AH$2:AH752),$AH$2:$AH$1001,0),1)&gt;=100000,INDEX($AO$1005:$BQ$1005,1,MATCH(COLUMNS($AO$1006:AX1006),$AO$1006:$BQ$1006,0))&gt;=100000), " ",IF(INDEX($AO$2:$BQ$1001,MATCH(ROWS($AH$2:AH752),$AH$2:$AH$1001,0),MATCH(COLUMNS($AO$1006:AX1006),$AO$1006:$BQ$1006,0)), HYPERLINK("#",""), HYPERLINK(CONCATENATE("#Metadata!", ADDRESS(INDEX($AJ$2:$AJ$1001,MATCH(ROWS($AH$2:AH752),$AH$2:$AH$1001,0),0), INDEX($AO$1004:$BQ$1004,1,MATCH(COLUMNS($AO$1006:AX1006),$AO$1006:$BQ$1006,0)))),"Fix")))</f>
        <v>#N/A</v>
      </c>
      <c r="L752" s="5" t="e">
        <f ca="1">IF(OR(INDEX($AI$2:$AI$1001,MATCH(ROWS($AH$2:AH752),$AH$2:$AH$1001,0),1)&gt;=100000,INDEX($AO$1005:$BQ$1005,1,MATCH(COLUMNS($AO$1006:AY1006),$AO$1006:$BQ$1006,0))&gt;=100000), " ",IF(INDEX($AO$2:$BQ$1001,MATCH(ROWS($AH$2:AH752),$AH$2:$AH$1001,0),MATCH(COLUMNS($AO$1006:AY1006),$AO$1006:$BQ$1006,0)), HYPERLINK("#",""), HYPERLINK(CONCATENATE("#Metadata!", ADDRESS(INDEX($AJ$2:$AJ$1001,MATCH(ROWS($AH$2:AH752),$AH$2:$AH$1001,0),0), INDEX($AO$1004:$BQ$1004,1,MATCH(COLUMNS($AO$1006:AY1006),$AO$1006:$BQ$1006,0)))),"Fix")))</f>
        <v>#N/A</v>
      </c>
      <c r="M752" s="5" t="e">
        <f ca="1">IF(OR(INDEX($AI$2:$AI$1001,MATCH(ROWS($AH$2:AH752),$AH$2:$AH$1001,0),1)&gt;=100000,INDEX($AO$1005:$BQ$1005,1,MATCH(COLUMNS($AO$1006:AZ1006),$AO$1006:$BQ$1006,0))&gt;=100000), " ",IF(INDEX($AO$2:$BQ$1001,MATCH(ROWS($AH$2:AH752),$AH$2:$AH$1001,0),MATCH(COLUMNS($AO$1006:AZ1006),$AO$1006:$BQ$1006,0)), HYPERLINK("#",""), HYPERLINK(CONCATENATE("#Metadata!", ADDRESS(INDEX($AJ$2:$AJ$1001,MATCH(ROWS($AH$2:AH752),$AH$2:$AH$1001,0),0), INDEX($AO$1004:$BQ$1004,1,MATCH(COLUMNS($AO$1006:AZ1006),$AO$1006:$BQ$1006,0)))),"Fix")))</f>
        <v>#N/A</v>
      </c>
      <c r="N752" s="5" t="e">
        <f ca="1">IF(OR(INDEX($AI$2:$AI$1001,MATCH(ROWS($AH$2:AH752),$AH$2:$AH$1001,0),1)&gt;=100000,INDEX($AO$1005:$BQ$1005,1,MATCH(COLUMNS($AO$1006:BA1006),$AO$1006:$BQ$1006,0))&gt;=100000), " ",IF(INDEX($AO$2:$BQ$1001,MATCH(ROWS($AH$2:AH752),$AH$2:$AH$1001,0),MATCH(COLUMNS($AO$1006:BA1006),$AO$1006:$BQ$1006,0)), HYPERLINK("#",""), HYPERLINK(CONCATENATE("#Metadata!", ADDRESS(INDEX($AJ$2:$AJ$1001,MATCH(ROWS($AH$2:AH752),$AH$2:$AH$1001,0),0), INDEX($AO$1004:$BQ$1004,1,MATCH(COLUMNS($AO$1006:BA1006),$AO$1006:$BQ$1006,0)))),"Fix")))</f>
        <v>#N/A</v>
      </c>
      <c r="O752" s="5" t="e">
        <f ca="1">IF(OR(INDEX($AI$2:$AI$1001,MATCH(ROWS($AH$2:AH752),$AH$2:$AH$1001,0),1)&gt;=100000,INDEX($AO$1005:$BQ$1005,1,MATCH(COLUMNS($AO$1006:BB1006),$AO$1006:$BQ$1006,0))&gt;=100000), " ",IF(INDEX($AO$2:$BQ$1001,MATCH(ROWS($AH$2:AH752),$AH$2:$AH$1001,0),MATCH(COLUMNS($AO$1006:BB1006),$AO$1006:$BQ$1006,0)), HYPERLINK("#",""), HYPERLINK(CONCATENATE("#Metadata!", ADDRESS(INDEX($AJ$2:$AJ$1001,MATCH(ROWS($AH$2:AH752),$AH$2:$AH$1001,0),0), INDEX($AO$1004:$BQ$1004,1,MATCH(COLUMNS($AO$1006:BB1006),$AO$1006:$BQ$1006,0)))),"Fix")))</f>
        <v>#N/A</v>
      </c>
      <c r="P752" s="5" t="e">
        <f ca="1">IF(OR(INDEX($AI$2:$AI$1001,MATCH(ROWS($AH$2:AH752),$AH$2:$AH$1001,0),1)&gt;=100000,INDEX($AO$1005:$BQ$1005,1,MATCH(COLUMNS($AO$1006:BC1006),$AO$1006:$BQ$1006,0))&gt;=100000), " ",IF(INDEX($AO$2:$BQ$1001,MATCH(ROWS($AH$2:AH752),$AH$2:$AH$1001,0),MATCH(COLUMNS($AO$1006:BC1006),$AO$1006:$BQ$1006,0)), HYPERLINK("#",""), HYPERLINK(CONCATENATE("#Metadata!", ADDRESS(INDEX($AJ$2:$AJ$1001,MATCH(ROWS($AH$2:AH752),$AH$2:$AH$1001,0),0), INDEX($AO$1004:$BQ$1004,1,MATCH(COLUMNS($AO$1006:BC1006),$AO$1006:$BQ$1006,0)))),"Fix")))</f>
        <v>#N/A</v>
      </c>
      <c r="Q752" s="5" t="e">
        <f ca="1">IF(OR(INDEX($AI$2:$AI$1001,MATCH(ROWS($AH$2:AH752),$AH$2:$AH$1001,0),1)&gt;=100000,INDEX($AO$1005:$BQ$1005,1,MATCH(COLUMNS($AO$1006:BD1006),$AO$1006:$BQ$1006,0))&gt;=100000), " ",IF(INDEX($AO$2:$BQ$1001,MATCH(ROWS($AH$2:AH752),$AH$2:$AH$1001,0),MATCH(COLUMNS($AO$1006:BD1006),$AO$1006:$BQ$1006,0)), HYPERLINK("#",""), HYPERLINK(CONCATENATE("#Metadata!", ADDRESS(INDEX($AJ$2:$AJ$1001,MATCH(ROWS($AH$2:AH752),$AH$2:$AH$1001,0),0), INDEX($AO$1004:$BQ$1004,1,MATCH(COLUMNS($AO$1006:BD1006),$AO$1006:$BQ$1006,0)))),"Fix")))</f>
        <v>#N/A</v>
      </c>
      <c r="R752" s="5" t="e">
        <f ca="1">IF(OR(INDEX($AI$2:$AI$1001,MATCH(ROWS($AH$2:AH752),$AH$2:$AH$1001,0),1)&gt;=100000,INDEX($AO$1005:$BQ$1005,1,MATCH(COLUMNS($AO$1006:BE1006),$AO$1006:$BQ$1006,0))&gt;=100000), " ",IF(INDEX($AO$2:$BQ$1001,MATCH(ROWS($AH$2:AH752),$AH$2:$AH$1001,0),MATCH(COLUMNS($AO$1006:BE1006),$AO$1006:$BQ$1006,0)), HYPERLINK("#",""), HYPERLINK(CONCATENATE("#Metadata!", ADDRESS(INDEX($AJ$2:$AJ$1001,MATCH(ROWS($AH$2:AH752),$AH$2:$AH$1001,0),0), INDEX($AO$1004:$BQ$1004,1,MATCH(COLUMNS($AO$1006:BE1006),$AO$1006:$BQ$1006,0)))),"Fix")))</f>
        <v>#N/A</v>
      </c>
      <c r="S752" s="5" t="e">
        <f ca="1">IF(OR(INDEX($AI$2:$AI$1001,MATCH(ROWS($AH$2:AH752),$AH$2:$AH$1001,0),1)&gt;=100000,INDEX($AO$1005:$BQ$1005,1,MATCH(COLUMNS($AO$1006:BF1006),$AO$1006:$BQ$1006,0))&gt;=100000), " ",IF(INDEX($AO$2:$BQ$1001,MATCH(ROWS($AH$2:AH752),$AH$2:$AH$1001,0),MATCH(COLUMNS($AO$1006:BF1006),$AO$1006:$BQ$1006,0)), HYPERLINK("#",""), HYPERLINK(CONCATENATE("#Metadata!", ADDRESS(INDEX($AJ$2:$AJ$1001,MATCH(ROWS($AH$2:AH752),$AH$2:$AH$1001,0),0), INDEX($AO$1004:$BQ$1004,1,MATCH(COLUMNS($AO$1006:BF1006),$AO$1006:$BQ$1006,0)))),"Fix")))</f>
        <v>#N/A</v>
      </c>
      <c r="T752" s="5" t="e">
        <f ca="1">IF(OR(INDEX($AI$2:$AI$1001,MATCH(ROWS($AH$2:AH752),$AH$2:$AH$1001,0),1)&gt;=100000,INDEX($AO$1005:$BQ$1005,1,MATCH(COLUMNS($AO$1006:BG1006),$AO$1006:$BQ$1006,0))&gt;=100000), " ",IF(INDEX($AO$2:$BQ$1001,MATCH(ROWS($AH$2:AH752),$AH$2:$AH$1001,0),MATCH(COLUMNS($AO$1006:BG1006),$AO$1006:$BQ$1006,0)), HYPERLINK("#",""), HYPERLINK(CONCATENATE("#Metadata!", ADDRESS(INDEX($AJ$2:$AJ$1001,MATCH(ROWS($AH$2:AH752),$AH$2:$AH$1001,0),0), INDEX($AO$1004:$BQ$1004,1,MATCH(COLUMNS($AO$1006:BG1006),$AO$1006:$BQ$1006,0)))),"Fix")))</f>
        <v>#N/A</v>
      </c>
      <c r="U752" s="5" t="e">
        <f ca="1">IF(OR(INDEX($AI$2:$AI$1001,MATCH(ROWS($AH$2:AH752),$AH$2:$AH$1001,0),1)&gt;=100000,INDEX($AO$1005:$BQ$1005,1,MATCH(COLUMNS($AO$1006:BH1006),$AO$1006:$BQ$1006,0))&gt;=100000), " ",IF(INDEX($AO$2:$BQ$1001,MATCH(ROWS($AH$2:AH752),$AH$2:$AH$1001,0),MATCH(COLUMNS($AO$1006:BH1006),$AO$1006:$BQ$1006,0)), HYPERLINK("#",""), HYPERLINK(CONCATENATE("#Metadata!", ADDRESS(INDEX($AJ$2:$AJ$1001,MATCH(ROWS($AH$2:AH752),$AH$2:$AH$1001,0),0), INDEX($AO$1004:$BQ$1004,1,MATCH(COLUMNS($AO$1006:BH1006),$AO$1006:$BQ$1006,0)))),"Fix")))</f>
        <v>#N/A</v>
      </c>
      <c r="V752" s="5" t="e">
        <f ca="1">IF(OR(INDEX($AI$2:$AI$1001,MATCH(ROWS($AH$2:AH752),$AH$2:$AH$1001,0),1)&gt;=100000,INDEX($AO$1005:$BQ$1005,1,MATCH(COLUMNS($AO$1006:BI1006),$AO$1006:$BQ$1006,0))&gt;=100000), " ",IF(INDEX($AO$2:$BQ$1001,MATCH(ROWS($AH$2:AH752),$AH$2:$AH$1001,0),MATCH(COLUMNS($AO$1006:BI1006),$AO$1006:$BQ$1006,0)), HYPERLINK("#",""), HYPERLINK(CONCATENATE("#Metadata!", ADDRESS(INDEX($AJ$2:$AJ$1001,MATCH(ROWS($AH$2:AH752),$AH$2:$AH$1001,0),0), INDEX($AO$1004:$BQ$1004,1,MATCH(COLUMNS($AO$1006:BI1006),$AO$1006:$BQ$1006,0)))),"Fix")))</f>
        <v>#N/A</v>
      </c>
      <c r="W752" s="5" t="e">
        <f ca="1">IF(OR(INDEX($AI$2:$AI$1001,MATCH(ROWS($AH$2:AH752),$AH$2:$AH$1001,0),1)&gt;=100000,INDEX($AO$1005:$BQ$1005,1,MATCH(COLUMNS($AO$1006:BJ1006),$AO$1006:$BQ$1006,0))&gt;=100000), " ",IF(INDEX($AO$2:$BQ$1001,MATCH(ROWS($AH$2:AH752),$AH$2:$AH$1001,0),MATCH(COLUMNS($AO$1006:BJ1006),$AO$1006:$BQ$1006,0)), HYPERLINK("#",""), HYPERLINK(CONCATENATE("#Metadata!", ADDRESS(INDEX($AJ$2:$AJ$1001,MATCH(ROWS($AH$2:AH752),$AH$2:$AH$1001,0),0), INDEX($AO$1004:$BQ$1004,1,MATCH(COLUMNS($AO$1006:BJ1006),$AO$1006:$BQ$1006,0)))),"Fix")))</f>
        <v>#N/A</v>
      </c>
      <c r="X752" s="5" t="e">
        <f ca="1">IF(OR(INDEX($AI$2:$AI$1001,MATCH(ROWS($AH$2:AH752),$AH$2:$AH$1001,0),1)&gt;=100000,INDEX($AO$1005:$BQ$1005,1,MATCH(COLUMNS($AO$1006:BK1006),$AO$1006:$BQ$1006,0))&gt;=100000), " ",IF(INDEX($AO$2:$BQ$1001,MATCH(ROWS($AH$2:AH752),$AH$2:$AH$1001,0),MATCH(COLUMNS($AO$1006:BK1006),$AO$1006:$BQ$1006,0)), HYPERLINK("#",""), HYPERLINK(CONCATENATE("#Metadata!", ADDRESS(INDEX($AJ$2:$AJ$1001,MATCH(ROWS($AH$2:AH752),$AH$2:$AH$1001,0),0), INDEX($AO$1004:$BQ$1004,1,MATCH(COLUMNS($AO$1006:BK1006),$AO$1006:$BQ$1006,0)))),"Fix")))</f>
        <v>#N/A</v>
      </c>
      <c r="Y752" s="5" t="e">
        <f ca="1">IF(OR(INDEX($AI$2:$AI$1001,MATCH(ROWS($AH$2:AH752),$AH$2:$AH$1001,0),1)&gt;=100000,INDEX($AO$1005:$BQ$1005,1,MATCH(COLUMNS($AO$1006:BL1006),$AO$1006:$BQ$1006,0))&gt;=100000), " ",IF(INDEX($AO$2:$BQ$1001,MATCH(ROWS($AH$2:AH752),$AH$2:$AH$1001,0),MATCH(COLUMNS($AO$1006:BL1006),$AO$1006:$BQ$1006,0)), HYPERLINK("#",""), HYPERLINK(CONCATENATE("#Metadata!", ADDRESS(INDEX($AJ$2:$AJ$1001,MATCH(ROWS($AH$2:AH752),$AH$2:$AH$1001,0),0), INDEX($AO$1004:$BQ$1004,1,MATCH(COLUMNS($AO$1006:BL1006),$AO$1006:$BQ$1006,0)))),"Fix")))</f>
        <v>#N/A</v>
      </c>
      <c r="Z752" s="5" t="e">
        <f ca="1">IF(OR(INDEX($AI$2:$AI$1001,MATCH(ROWS($AH$2:AH752),$AH$2:$AH$1001,0),1)&gt;=100000,INDEX($AO$1005:$BQ$1005,1,MATCH(COLUMNS($AO$1006:BM1006),$AO$1006:$BQ$1006,0))&gt;=100000), " ",IF(INDEX($AO$2:$BQ$1001,MATCH(ROWS($AH$2:AH752),$AH$2:$AH$1001,0),MATCH(COLUMNS($AO$1006:BM1006),$AO$1006:$BQ$1006,0)), HYPERLINK("#",""), HYPERLINK(CONCATENATE("#Metadata!", ADDRESS(INDEX($AJ$2:$AJ$1001,MATCH(ROWS($AH$2:AH752),$AH$2:$AH$1001,0),0), INDEX($AO$1004:$BQ$1004,1,MATCH(COLUMNS($AO$1006:BM1006),$AO$1006:$BQ$1006,0)))),"Fix")))</f>
        <v>#N/A</v>
      </c>
      <c r="AA752" s="5" t="e">
        <f ca="1">IF(OR(INDEX($AI$2:$AI$1001,MATCH(ROWS($AH$2:AH752),$AH$2:$AH$1001,0),1)&gt;=100000,INDEX($AO$1005:$BQ$1005,1,MATCH(COLUMNS($AO$1006:BN1006),$AO$1006:$BQ$1006,0))&gt;=100000), " ",IF(INDEX($AO$2:$BQ$1001,MATCH(ROWS($AH$2:AH752),$AH$2:$AH$1001,0),MATCH(COLUMNS($AO$1006:BN1006),$AO$1006:$BQ$1006,0)), HYPERLINK("#",""), HYPERLINK(CONCATENATE("#Metadata!", ADDRESS(INDEX($AJ$2:$AJ$1001,MATCH(ROWS($AH$2:AH752),$AH$2:$AH$1001,0),0), INDEX($AO$1004:$BQ$1004,1,MATCH(COLUMNS($AO$1006:BN1006),$AO$1006:$BQ$1006,0)))),"Fix")))</f>
        <v>#N/A</v>
      </c>
      <c r="AB752" s="5" t="e">
        <f ca="1">IF(OR(INDEX($AI$2:$AI$1001,MATCH(ROWS($AH$2:AH752),$AH$2:$AH$1001,0),1)&gt;=100000,INDEX($AO$1005:$BQ$1005,1,MATCH(COLUMNS($AO$1006:BO1006),$AO$1006:$BQ$1006,0))&gt;=100000), " ",IF(INDEX($AO$2:$BQ$1001,MATCH(ROWS($AH$2:AH752),$AH$2:$AH$1001,0),MATCH(COLUMNS($AO$1006:BO1006),$AO$1006:$BQ$1006,0)), HYPERLINK("#",""), HYPERLINK(CONCATENATE("#Metadata!", ADDRESS(INDEX($AJ$2:$AJ$1001,MATCH(ROWS($AH$2:AH752),$AH$2:$AH$1001,0),0), INDEX($AO$1004:$BQ$1004,1,MATCH(COLUMNS($AO$1006:BO1006),$AO$1006:$BQ$1006,0)))),"Fix")))</f>
        <v>#N/A</v>
      </c>
      <c r="AC752" s="5" t="e">
        <f ca="1">IF(OR(INDEX($AI$2:$AI$1001,MATCH(ROWS($AH$2:AH752),$AH$2:$AH$1001,0),1)&gt;=100000,INDEX($AO$1005:$BQ$1005,1,MATCH(COLUMNS($AO$1006:BP1006),$AO$1006:$BQ$1006,0))&gt;=100000), " ",IF(INDEX($AO$2:$BQ$1001,MATCH(ROWS($AH$2:AH752),$AH$2:$AH$1001,0),MATCH(COLUMNS($AO$1006:BP1006),$AO$1006:$BQ$1006,0)), HYPERLINK("#",""), HYPERLINK(CONCATENATE("#Metadata!", ADDRESS(INDEX($AJ$2:$AJ$1001,MATCH(ROWS($AH$2:AH752),$AH$2:$AH$1001,0),0), INDEX($AO$1004:$BQ$1004,1,MATCH(COLUMNS($AO$1006:BP1006),$AO$1006:$BQ$1006,0)))),"Fix")))</f>
        <v>#N/A</v>
      </c>
      <c r="AD752" s="5" t="e">
        <f ca="1">IF(OR(INDEX($AI$2:$AI$1001,MATCH(ROWS($AH$2:AH752),$AH$2:$AH$1001,0),1)&gt;=100000,INDEX($AO$1005:$BQ$1005,1,MATCH(COLUMNS($AO$1006:BQ1006),$AO$1006:$BQ$1006,0))&gt;=100000), " ",IF(INDEX($AO$2:$BQ$1001,MATCH(ROWS($AH$2:AH752),$AH$2:$AH$1001,0),MATCH(COLUMNS($AO$1006:BQ1006),$AO$1006:$BQ$1006,0)), HYPERLINK("#",""), HYPERLINK(CONCATENATE("#Metadata!", ADDRESS(INDEX($AJ$2:$AJ$1001,MATCH(ROWS($AH$2:AH752),$AH$2:$AH$1001,0),0), INDEX($AO$1004:$BQ$1004,1,MATCH(COLUMNS($AO$1006:BQ1006),$AO$1006:$BQ$1006,0)))),"Fix")))</f>
        <v>#REF!</v>
      </c>
      <c r="AH752">
        <f ca="1"/>
        <v>749</v>
      </c>
      <c r="AI752">
        <v>100752</v>
      </c>
      <c r="AJ752">
        <v>752</v>
      </c>
      <c r="AK752" t="b">
        <f t="shared" si="11"/>
        <v>1</v>
      </c>
      <c r="AL752" t="b">
        <f>COUNTBLANK(Metadata!B752:AD752)=COLUMNS(Metadata!B752:AD752)</f>
        <v>1</v>
      </c>
      <c r="AM752" t="str">
        <v/>
      </c>
      <c r="AO752" t="b">
        <f ca="1">AND(IF(Metadata!B752="",FALSE,TRUE),COUNTIF(Metadata!B:B, Metadata!B752) = 1,NOT(ISERROR(SUMPRODUCT(SEARCH(MID(Metadata!B752,ROW(INDIRECT("1:"&amp;LEN(Metadata!B752))), 1),"0123456789abcdefghijklmnopqrstuvwxyzABCDEFGHIJKLMNOPQRSTUVWXYZ.")))))</f>
        <v>0</v>
      </c>
      <c r="AP752" t="b">
        <f>IF(Metadata!C752="",FALSE,TRUE)</f>
        <v>0</v>
      </c>
      <c r="AQ752" t="b">
        <f>IF(Metadata!D752="",FALSE,TRUE)</f>
        <v>0</v>
      </c>
      <c r="AR752" t="b">
        <f ca="1">OR(AND(IF(Metadata!E752="",FALSE,TRUE),OR(EXACT(Metadata!E752,"not collected"),EXACT(Metadata!E752,"not provided"),EXACT(Metadata!E752,"restricted access"))),AND(IF(Metadata!E752="",FALSE,TRUE),AND(AND(IFERROR(INT(LEFT(Metadata!E752,4))&gt;1900,FALSE),IFERROR(INT(LEFT(Metadata!E752,4))&lt;=YEAR(NOW()),FALSE)), OR(MID(Metadata!E752,5,1)="", AND(AND(MID(Metadata!E752,5,1)="-",IFERROR(INT(MID(Metadata!E752,6,1))&gt;=0,FALSE),IFERROR(INT(MID(Metadata!E752,6,1))&lt;=1,FALSE),NOT(MID(Metadata!E752,7,1)=""),IFERROR(INT(MID(Metadata!E752,6,2))&gt;=1,FALSE),IFERROR(INT(MID(Metadata!E752,6,2))&lt;=12,FALSE)), OR(MID(Metadata!E752,8,1)="", AND(AND(MID(Metadata!E752,8,1)="-",IFERROR(INT(MID(Metadata!E752,9,1))&gt;=0,FALSE),IFERROR(INT(MID(Metadata!E752,9,1))&lt;=3,FALSE),NOT(MID(Metadata!E752,10,1)=""),IFERROR(INT(MID(Metadata!E752,9,2))&gt;=1,FALSE),IFERROR(INT(MID(Metadata!E752,9,2))&lt;=31,FALSE)), OR(MID(Metadata!E752,11,1)="", AND(AND(MID(Metadata!E752,11,1)=" ",IFERROR(INT(MID(Metadata!E752,12,1))&gt;=0,FALSE),IFERROR(INT(MID(Metadata!E752,12,1))&lt;=2,FALSE),NOT(MID(Metadata!E752,13,1)=""),IFERROR(INT(MID(Metadata!E752,12,2))&gt;=0,FALSE),IFERROR(INT(MID(Metadata!E752,12,2))&lt;=23,FALSE)), OR(MID(Metadata!E752,14,1)="", AND(AND(MID(Metadata!E752,14,1)=":",IFERROR(INT(MID(Metadata!E752,15,1))&gt;=0,FALSE),IFERROR(INT(MID(Metadata!E752,15,1))&lt;=5,FALSE),NOT(MID(Metadata!E752,16,1)=""),IFERROR(INT(MID(Metadata!E752,15,2))&gt;=0,FALSE),IFERROR(INT(MID(Metadata!E752,15,2))&lt;=59,FALSE)), OR(MID(Metadata!E752,17,1)="", AND(AND(MID(Metadata!E752,17,1)=":",IFERROR(INT(MID(Metadata!E752,18,1))&gt;=0,FALSE),IFERROR(INT(MID(Metadata!E752,18,1))&lt;=5,FALSE),NOT(MID(Metadata!E752,19,1)=""),IFERROR(INT(MID(Metadata!E752,18,2))&gt;=0,FALSE),IFERROR(INT(MID(Metadata!E752,18,2))&lt;=59,FALSE)), LEN(Metadata!E752)&lt;=19)))))))))))))</f>
        <v>0</v>
      </c>
      <c r="AS752" t="b">
        <f>IF(Metadata!F752="",FALSE,TRUE)</f>
        <v>0</v>
      </c>
      <c r="AT752" t="b">
        <f>OR(AND(IF(Metadata!G752="",FALSE,TRUE),OR(EXACT(Metadata!G752,"not collected"),EXACT(Metadata!G752,"not provided"))),AND(IF(Metadata!G752="",FALSE,TRUE),OR(EXACT(Metadata!G752,"TRUE"),EXACT(Metadata!G752,"FALSE"))))</f>
        <v>0</v>
      </c>
      <c r="AU752" t="b">
        <f>OR(AND(IF(Metadata!H752="",FALSE,TRUE),OR(EXACT(Metadata!H752,"not collected"),EXACT(Metadata!H752,"not provided"),EXACT(Metadata!H752,"restricted access"))),AND(IF(Metadata!H752="",FALSE,ISNUMBER(VALUE(Metadata!H752))),Metadata!H752&gt;=-413))</f>
        <v>0</v>
      </c>
      <c r="AV752" t="b">
        <f>AND(IF(Metadata!I752="",FALSE,TRUE),EXACT(Metadata!I752,"meters"))</f>
        <v>0</v>
      </c>
      <c r="AW752" t="b">
        <f>AND(IF(Metadata!J752="",FALSE,TRUE),EXACT(Metadata!J752,"free-living"))</f>
        <v>0</v>
      </c>
      <c r="AX752" t="b">
        <f>AND(IF(Metadata!K752="",FALSE,TRUE),OR(EXACT(Metadata!K752,"saline"),EXACT(Metadata!K752,"non-saline")))</f>
        <v>0</v>
      </c>
      <c r="AY752" t="b">
        <f>AND(IF(Metadata!L752="",FALSE,TRUE),OR(EXACT(Metadata!L752,"sub-surface (non-saline)"),EXACT(Metadata!L752,"surface (non-saline)"),EXACT(Metadata!L752,"water (non-saline)"),EXACT(Metadata!L752,"soil (non-saline)"),EXACT(Metadata!L752,"aerosol (non-saline)"),EXACT(Metadata!L752,"sediment (non-saline)"),EXACT(Metadata!L752,"surface (saline)"),EXACT(Metadata!L752,"water (saline)"),EXACT(Metadata!L752,"hypersaline (saline)"),EXACT(Metadata!L752,"aerosol (saline)"),EXACT(Metadata!L752,"sediment (saline)")))</f>
        <v>0</v>
      </c>
      <c r="AZ752" t="b">
        <f>IF(Metadata!M752="",FALSE,TRUE)</f>
        <v>0</v>
      </c>
      <c r="BA752" t="b">
        <f>IF(Metadata!N752="",FALSE,TRUE)</f>
        <v>0</v>
      </c>
      <c r="BB752" t="b">
        <f>IF(Metadata!O752="",FALSE,TRUE)</f>
        <v>0</v>
      </c>
      <c r="BC752" t="b">
        <f>AND(IF(Metadata!P752="",FALSE,TRUE),OR(EXACT(Metadata!P752,"air"),EXACT(Metadata!P752,"microbial mat/biofilm"),EXACT(Metadata!P752,"misc environment"),EXACT(Metadata!P752,"sediment"),EXACT(Metadata!P752,"soil"),EXACT(Metadata!P752,"wastewater/sludge"),EXACT(Metadata!P752,"water")))</f>
        <v>0</v>
      </c>
      <c r="BD752" t="b">
        <f>IF(Metadata!Q752="",FALSE,TRUE)</f>
        <v>0</v>
      </c>
      <c r="BE752" t="b">
        <f>IF(Metadata!R752="",FALSE,TRUE)</f>
        <v>0</v>
      </c>
      <c r="BF752" t="b">
        <f>OR(AND(IF(Metadata!S752="",FALSE,TRUE),OR(EXACT(Metadata!S752,"not collected"),EXACT(Metadata!S752,"not provided"),EXACT(Metadata!S752,"restricted access"))),AND(IF(Metadata!S752="",FALSE,ISNUMBER(VALUE(Metadata!S752))),Metadata!S752&gt;=-90,Metadata!S752&lt;=90))</f>
        <v>0</v>
      </c>
      <c r="BG752" t="b">
        <f>AND(IF(Metadata!T752="",FALSE,TRUE),EXACT(Metadata!T752,"Decimal degrees"))</f>
        <v>0</v>
      </c>
      <c r="BH752" t="b">
        <f>OR(AND(IF(Metadata!U752="",FALSE,TRUE),OR(EXACT(Metadata!U752,"not applicable"),EXACT(Metadata!U752,"not collected"))),IF(Metadata!U752="",FALSE,TRUE))</f>
        <v>0</v>
      </c>
      <c r="BI752" t="b">
        <f>OR(AND(IF(Metadata!V752="",FALSE,TRUE),OR(EXACT(Metadata!V752,"not collected"),EXACT(Metadata!V752,"not provided"),EXACT(Metadata!V752,"restricted access"))),AND(IF(Metadata!V752="",FALSE,ISNUMBER(VALUE(Metadata!V752))),Metadata!V752&gt;=-180,Metadata!V752&lt;=180))</f>
        <v>0</v>
      </c>
      <c r="BJ752" t="b">
        <f>AND(IF(Metadata!W752="",FALSE,TRUE),EXACT(Metadata!W752,"Decimal degrees"))</f>
        <v>0</v>
      </c>
      <c r="BK752" t="b">
        <f>IF(Metadata!X752="",FALSE,TRUE)</f>
        <v>0</v>
      </c>
      <c r="BL752" t="b">
        <f>OR(AND(IF(Metadata!Y752="",FALSE,TRUE),OR(EXACT(Metadata!Y752,"not collected"),EXACT(Metadata!Y752,"not provided"),EXACT(Metadata!Y752,"restricted access"))),AND(IF(Metadata!Y752="",FALSE,TRUE),OR(EXACT(Metadata!Y752,"TRUE"),EXACT(Metadata!Y752,"FALSE"))))</f>
        <v>0</v>
      </c>
      <c r="BM752" t="b">
        <f>OR(AND(IF(Metadata!Z752="",FALSE,TRUE),EXACT(Metadata!Z752,"not applicable")),AND(IF(Metadata!Z752="",FALSE,TRUE),OR(EXACT(Metadata!Z752,"beer"),EXACT(Metadata!Z752,"cheese"),EXACT(Metadata!Z752,"fresh water"),EXACT(Metadata!Z752,"marine sediment"),EXACT(Metadata!Z752,"sea water"),EXACT(Metadata!Z752,"sediment"),EXACT(Metadata!Z752,"soil"),EXACT(Metadata!Z752,"waste water"))))</f>
        <v>0</v>
      </c>
      <c r="BN752" t="b">
        <f>AND(IF(Metadata!AA752="",FALSE,TRUE),EXACT(Metadata!AA752,"metagenome"))</f>
        <v>0</v>
      </c>
      <c r="BO752" t="b">
        <f>AND(IF(Metadata!AB752="",FALSE,TRUE),EXACT(Metadata!AB752,"256318"))</f>
        <v>0</v>
      </c>
      <c r="BP752" t="b">
        <f>IF(Metadata!AC752="",FALSE,TRUE)</f>
        <v>0</v>
      </c>
      <c r="BQ752" t="b">
        <f>IF(Metadata!AD752="",FALSE,TRUE)</f>
        <v>0</v>
      </c>
    </row>
    <row r="753" spans="1:69" x14ac:dyDescent="0.2">
      <c r="A753" s="4" t="e">
        <f ca="1">IF(B753=" "," ",HYPERLINK(CONCATENATE("#metadata!",ADDRESS(INDEX($AJ$2:$AJ$1001,MATCH(ROWS($AH$2:AH753),$AH$2:$AH$1001,0),0),2)),INDEX($AM$2:$AM$1001,MATCH(ROWS($AH$2:AH753),$AH$2:$AH$1001,0),0)))</f>
        <v>#N/A</v>
      </c>
      <c r="B753" s="5" t="e">
        <f ca="1">IF(OR(INDEX($AI$2:$AI$1001,MATCH(ROWS($AH$2:AH753),$AH$2:$AH$1001,0),1)&gt;=100000,INDEX($AO$1005:$BQ$1005,1,MATCH(COLUMNS($AO$1006:AO1006),$AO$1006:$BQ$1006,0))&gt;=100000), " ",IF(INDEX($AO$2:$BQ$1001,MATCH(ROWS($AH$2:AH753),$AH$2:$AH$1001,0),MATCH(COLUMNS($AO$1006:AO1006),$AO$1006:$BQ$1006,0)), HYPERLINK("#",""), HYPERLINK(CONCATENATE("#Metadata!", ADDRESS(INDEX($AJ$2:$AJ$1001,MATCH(ROWS($AH$2:AH753),$AH$2:$AH$1001,0),0), INDEX($AO$1004:$BQ$1004,1,MATCH(COLUMNS($AO$1006:AO1006),$AO$1006:$BQ$1006,0)))),"Fix")))</f>
        <v>#N/A</v>
      </c>
      <c r="C753" s="5" t="e">
        <f ca="1">IF(OR(INDEX($AI$2:$AI$1001,MATCH(ROWS($AH$2:AH753),$AH$2:$AH$1001,0),1)&gt;=100000,INDEX($AO$1005:$BQ$1005,1,MATCH(COLUMNS($AO$1006:AP1006),$AO$1006:$BQ$1006,0))&gt;=100000), " ",IF(INDEX($AO$2:$BQ$1001,MATCH(ROWS($AH$2:AH753),$AH$2:$AH$1001,0),MATCH(COLUMNS($AO$1006:AP1006),$AO$1006:$BQ$1006,0)), HYPERLINK("#",""), HYPERLINK(CONCATENATE("#Metadata!", ADDRESS(INDEX($AJ$2:$AJ$1001,MATCH(ROWS($AH$2:AH753),$AH$2:$AH$1001,0),0), INDEX($AO$1004:$BQ$1004,1,MATCH(COLUMNS($AO$1006:AP1006),$AO$1006:$BQ$1006,0)))),"Fix")))</f>
        <v>#N/A</v>
      </c>
      <c r="D753" s="5" t="e">
        <f ca="1">IF(OR(INDEX($AI$2:$AI$1001,MATCH(ROWS($AH$2:AH753),$AH$2:$AH$1001,0),1)&gt;=100000,INDEX($AO$1005:$BQ$1005,1,MATCH(COLUMNS($AO$1006:AQ1006),$AO$1006:$BQ$1006,0))&gt;=100000), " ",IF(INDEX($AO$2:$BQ$1001,MATCH(ROWS($AH$2:AH753),$AH$2:$AH$1001,0),MATCH(COLUMNS($AO$1006:AQ1006),$AO$1006:$BQ$1006,0)), HYPERLINK("#",""), HYPERLINK(CONCATENATE("#Metadata!", ADDRESS(INDEX($AJ$2:$AJ$1001,MATCH(ROWS($AH$2:AH753),$AH$2:$AH$1001,0),0), INDEX($AO$1004:$BQ$1004,1,MATCH(COLUMNS($AO$1006:AQ1006),$AO$1006:$BQ$1006,0)))),"Fix")))</f>
        <v>#N/A</v>
      </c>
      <c r="E753" s="5" t="e">
        <f ca="1">IF(OR(INDEX($AI$2:$AI$1001,MATCH(ROWS($AH$2:AH753),$AH$2:$AH$1001,0),1)&gt;=100000,INDEX($AO$1005:$BQ$1005,1,MATCH(COLUMNS($AO$1006:AR1006),$AO$1006:$BQ$1006,0))&gt;=100000), " ",IF(INDEX($AO$2:$BQ$1001,MATCH(ROWS($AH$2:AH753),$AH$2:$AH$1001,0),MATCH(COLUMNS($AO$1006:AR1006),$AO$1006:$BQ$1006,0)), HYPERLINK("#",""), HYPERLINK(CONCATENATE("#Metadata!", ADDRESS(INDEX($AJ$2:$AJ$1001,MATCH(ROWS($AH$2:AH753),$AH$2:$AH$1001,0),0), INDEX($AO$1004:$BQ$1004,1,MATCH(COLUMNS($AO$1006:AR1006),$AO$1006:$BQ$1006,0)))),"Fix")))</f>
        <v>#N/A</v>
      </c>
      <c r="F753" s="5" t="e">
        <f ca="1">IF(OR(INDEX($AI$2:$AI$1001,MATCH(ROWS($AH$2:AH753),$AH$2:$AH$1001,0),1)&gt;=100000,INDEX($AO$1005:$BQ$1005,1,MATCH(COLUMNS($AO$1006:AS1006),$AO$1006:$BQ$1006,0))&gt;=100000), " ",IF(INDEX($AO$2:$BQ$1001,MATCH(ROWS($AH$2:AH753),$AH$2:$AH$1001,0),MATCH(COLUMNS($AO$1006:AS1006),$AO$1006:$BQ$1006,0)), HYPERLINK("#",""), HYPERLINK(CONCATENATE("#Metadata!", ADDRESS(INDEX($AJ$2:$AJ$1001,MATCH(ROWS($AH$2:AH753),$AH$2:$AH$1001,0),0), INDEX($AO$1004:$BQ$1004,1,MATCH(COLUMNS($AO$1006:AS1006),$AO$1006:$BQ$1006,0)))),"Fix")))</f>
        <v>#N/A</v>
      </c>
      <c r="G753" s="5" t="e">
        <f ca="1">IF(OR(INDEX($AI$2:$AI$1001,MATCH(ROWS($AH$2:AH753),$AH$2:$AH$1001,0),1)&gt;=100000,INDEX($AO$1005:$BQ$1005,1,MATCH(COLUMNS($AO$1006:AT1006),$AO$1006:$BQ$1006,0))&gt;=100000), " ",IF(INDEX($AO$2:$BQ$1001,MATCH(ROWS($AH$2:AH753),$AH$2:$AH$1001,0),MATCH(COLUMNS($AO$1006:AT1006),$AO$1006:$BQ$1006,0)), HYPERLINK("#",""), HYPERLINK(CONCATENATE("#Metadata!", ADDRESS(INDEX($AJ$2:$AJ$1001,MATCH(ROWS($AH$2:AH753),$AH$2:$AH$1001,0),0), INDEX($AO$1004:$BQ$1004,1,MATCH(COLUMNS($AO$1006:AT1006),$AO$1006:$BQ$1006,0)))),"Fix")))</f>
        <v>#N/A</v>
      </c>
      <c r="H753" s="5" t="e">
        <f ca="1">IF(OR(INDEX($AI$2:$AI$1001,MATCH(ROWS($AH$2:AH753),$AH$2:$AH$1001,0),1)&gt;=100000,INDEX($AO$1005:$BQ$1005,1,MATCH(COLUMNS($AO$1006:AU1006),$AO$1006:$BQ$1006,0))&gt;=100000), " ",IF(INDEX($AO$2:$BQ$1001,MATCH(ROWS($AH$2:AH753),$AH$2:$AH$1001,0),MATCH(COLUMNS($AO$1006:AU1006),$AO$1006:$BQ$1006,0)), HYPERLINK("#",""), HYPERLINK(CONCATENATE("#Metadata!", ADDRESS(INDEX($AJ$2:$AJ$1001,MATCH(ROWS($AH$2:AH753),$AH$2:$AH$1001,0),0), INDEX($AO$1004:$BQ$1004,1,MATCH(COLUMNS($AO$1006:AU1006),$AO$1006:$BQ$1006,0)))),"Fix")))</f>
        <v>#N/A</v>
      </c>
      <c r="I753" s="5" t="e">
        <f ca="1">IF(OR(INDEX($AI$2:$AI$1001,MATCH(ROWS($AH$2:AH753),$AH$2:$AH$1001,0),1)&gt;=100000,INDEX($AO$1005:$BQ$1005,1,MATCH(COLUMNS($AO$1006:AV1006),$AO$1006:$BQ$1006,0))&gt;=100000), " ",IF(INDEX($AO$2:$BQ$1001,MATCH(ROWS($AH$2:AH753),$AH$2:$AH$1001,0),MATCH(COLUMNS($AO$1006:AV1006),$AO$1006:$BQ$1006,0)), HYPERLINK("#",""), HYPERLINK(CONCATENATE("#Metadata!", ADDRESS(INDEX($AJ$2:$AJ$1001,MATCH(ROWS($AH$2:AH753),$AH$2:$AH$1001,0),0), INDEX($AO$1004:$BQ$1004,1,MATCH(COLUMNS($AO$1006:AV1006),$AO$1006:$BQ$1006,0)))),"Fix")))</f>
        <v>#N/A</v>
      </c>
      <c r="J753" s="5" t="e">
        <f ca="1">IF(OR(INDEX($AI$2:$AI$1001,MATCH(ROWS($AH$2:AH753),$AH$2:$AH$1001,0),1)&gt;=100000,INDEX($AO$1005:$BQ$1005,1,MATCH(COLUMNS($AO$1006:AW1006),$AO$1006:$BQ$1006,0))&gt;=100000), " ",IF(INDEX($AO$2:$BQ$1001,MATCH(ROWS($AH$2:AH753),$AH$2:$AH$1001,0),MATCH(COLUMNS($AO$1006:AW1006),$AO$1006:$BQ$1006,0)), HYPERLINK("#",""), HYPERLINK(CONCATENATE("#Metadata!", ADDRESS(INDEX($AJ$2:$AJ$1001,MATCH(ROWS($AH$2:AH753),$AH$2:$AH$1001,0),0), INDEX($AO$1004:$BQ$1004,1,MATCH(COLUMNS($AO$1006:AW1006),$AO$1006:$BQ$1006,0)))),"Fix")))</f>
        <v>#N/A</v>
      </c>
      <c r="K753" s="5" t="e">
        <f ca="1">IF(OR(INDEX($AI$2:$AI$1001,MATCH(ROWS($AH$2:AH753),$AH$2:$AH$1001,0),1)&gt;=100000,INDEX($AO$1005:$BQ$1005,1,MATCH(COLUMNS($AO$1006:AX1006),$AO$1006:$BQ$1006,0))&gt;=100000), " ",IF(INDEX($AO$2:$BQ$1001,MATCH(ROWS($AH$2:AH753),$AH$2:$AH$1001,0),MATCH(COLUMNS($AO$1006:AX1006),$AO$1006:$BQ$1006,0)), HYPERLINK("#",""), HYPERLINK(CONCATENATE("#Metadata!", ADDRESS(INDEX($AJ$2:$AJ$1001,MATCH(ROWS($AH$2:AH753),$AH$2:$AH$1001,0),0), INDEX($AO$1004:$BQ$1004,1,MATCH(COLUMNS($AO$1006:AX1006),$AO$1006:$BQ$1006,0)))),"Fix")))</f>
        <v>#N/A</v>
      </c>
      <c r="L753" s="5" t="e">
        <f ca="1">IF(OR(INDEX($AI$2:$AI$1001,MATCH(ROWS($AH$2:AH753),$AH$2:$AH$1001,0),1)&gt;=100000,INDEX($AO$1005:$BQ$1005,1,MATCH(COLUMNS($AO$1006:AY1006),$AO$1006:$BQ$1006,0))&gt;=100000), " ",IF(INDEX($AO$2:$BQ$1001,MATCH(ROWS($AH$2:AH753),$AH$2:$AH$1001,0),MATCH(COLUMNS($AO$1006:AY1006),$AO$1006:$BQ$1006,0)), HYPERLINK("#",""), HYPERLINK(CONCATENATE("#Metadata!", ADDRESS(INDEX($AJ$2:$AJ$1001,MATCH(ROWS($AH$2:AH753),$AH$2:$AH$1001,0),0), INDEX($AO$1004:$BQ$1004,1,MATCH(COLUMNS($AO$1006:AY1006),$AO$1006:$BQ$1006,0)))),"Fix")))</f>
        <v>#N/A</v>
      </c>
      <c r="M753" s="5" t="e">
        <f ca="1">IF(OR(INDEX($AI$2:$AI$1001,MATCH(ROWS($AH$2:AH753),$AH$2:$AH$1001,0),1)&gt;=100000,INDEX($AO$1005:$BQ$1005,1,MATCH(COLUMNS($AO$1006:AZ1006),$AO$1006:$BQ$1006,0))&gt;=100000), " ",IF(INDEX($AO$2:$BQ$1001,MATCH(ROWS($AH$2:AH753),$AH$2:$AH$1001,0),MATCH(COLUMNS($AO$1006:AZ1006),$AO$1006:$BQ$1006,0)), HYPERLINK("#",""), HYPERLINK(CONCATENATE("#Metadata!", ADDRESS(INDEX($AJ$2:$AJ$1001,MATCH(ROWS($AH$2:AH753),$AH$2:$AH$1001,0),0), INDEX($AO$1004:$BQ$1004,1,MATCH(COLUMNS($AO$1006:AZ1006),$AO$1006:$BQ$1006,0)))),"Fix")))</f>
        <v>#N/A</v>
      </c>
      <c r="N753" s="5" t="e">
        <f ca="1">IF(OR(INDEX($AI$2:$AI$1001,MATCH(ROWS($AH$2:AH753),$AH$2:$AH$1001,0),1)&gt;=100000,INDEX($AO$1005:$BQ$1005,1,MATCH(COLUMNS($AO$1006:BA1006),$AO$1006:$BQ$1006,0))&gt;=100000), " ",IF(INDEX($AO$2:$BQ$1001,MATCH(ROWS($AH$2:AH753),$AH$2:$AH$1001,0),MATCH(COLUMNS($AO$1006:BA1006),$AO$1006:$BQ$1006,0)), HYPERLINK("#",""), HYPERLINK(CONCATENATE("#Metadata!", ADDRESS(INDEX($AJ$2:$AJ$1001,MATCH(ROWS($AH$2:AH753),$AH$2:$AH$1001,0),0), INDEX($AO$1004:$BQ$1004,1,MATCH(COLUMNS($AO$1006:BA1006),$AO$1006:$BQ$1006,0)))),"Fix")))</f>
        <v>#N/A</v>
      </c>
      <c r="O753" s="5" t="e">
        <f ca="1">IF(OR(INDEX($AI$2:$AI$1001,MATCH(ROWS($AH$2:AH753),$AH$2:$AH$1001,0),1)&gt;=100000,INDEX($AO$1005:$BQ$1005,1,MATCH(COLUMNS($AO$1006:BB1006),$AO$1006:$BQ$1006,0))&gt;=100000), " ",IF(INDEX($AO$2:$BQ$1001,MATCH(ROWS($AH$2:AH753),$AH$2:$AH$1001,0),MATCH(COLUMNS($AO$1006:BB1006),$AO$1006:$BQ$1006,0)), HYPERLINK("#",""), HYPERLINK(CONCATENATE("#Metadata!", ADDRESS(INDEX($AJ$2:$AJ$1001,MATCH(ROWS($AH$2:AH753),$AH$2:$AH$1001,0),0), INDEX($AO$1004:$BQ$1004,1,MATCH(COLUMNS($AO$1006:BB1006),$AO$1006:$BQ$1006,0)))),"Fix")))</f>
        <v>#N/A</v>
      </c>
      <c r="P753" s="5" t="e">
        <f ca="1">IF(OR(INDEX($AI$2:$AI$1001,MATCH(ROWS($AH$2:AH753),$AH$2:$AH$1001,0),1)&gt;=100000,INDEX($AO$1005:$BQ$1005,1,MATCH(COLUMNS($AO$1006:BC1006),$AO$1006:$BQ$1006,0))&gt;=100000), " ",IF(INDEX($AO$2:$BQ$1001,MATCH(ROWS($AH$2:AH753),$AH$2:$AH$1001,0),MATCH(COLUMNS($AO$1006:BC1006),$AO$1006:$BQ$1006,0)), HYPERLINK("#",""), HYPERLINK(CONCATENATE("#Metadata!", ADDRESS(INDEX($AJ$2:$AJ$1001,MATCH(ROWS($AH$2:AH753),$AH$2:$AH$1001,0),0), INDEX($AO$1004:$BQ$1004,1,MATCH(COLUMNS($AO$1006:BC1006),$AO$1006:$BQ$1006,0)))),"Fix")))</f>
        <v>#N/A</v>
      </c>
      <c r="Q753" s="5" t="e">
        <f ca="1">IF(OR(INDEX($AI$2:$AI$1001,MATCH(ROWS($AH$2:AH753),$AH$2:$AH$1001,0),1)&gt;=100000,INDEX($AO$1005:$BQ$1005,1,MATCH(COLUMNS($AO$1006:BD1006),$AO$1006:$BQ$1006,0))&gt;=100000), " ",IF(INDEX($AO$2:$BQ$1001,MATCH(ROWS($AH$2:AH753),$AH$2:$AH$1001,0),MATCH(COLUMNS($AO$1006:BD1006),$AO$1006:$BQ$1006,0)), HYPERLINK("#",""), HYPERLINK(CONCATENATE("#Metadata!", ADDRESS(INDEX($AJ$2:$AJ$1001,MATCH(ROWS($AH$2:AH753),$AH$2:$AH$1001,0),0), INDEX($AO$1004:$BQ$1004,1,MATCH(COLUMNS($AO$1006:BD1006),$AO$1006:$BQ$1006,0)))),"Fix")))</f>
        <v>#N/A</v>
      </c>
      <c r="R753" s="5" t="e">
        <f ca="1">IF(OR(INDEX($AI$2:$AI$1001,MATCH(ROWS($AH$2:AH753),$AH$2:$AH$1001,0),1)&gt;=100000,INDEX($AO$1005:$BQ$1005,1,MATCH(COLUMNS($AO$1006:BE1006),$AO$1006:$BQ$1006,0))&gt;=100000), " ",IF(INDEX($AO$2:$BQ$1001,MATCH(ROWS($AH$2:AH753),$AH$2:$AH$1001,0),MATCH(COLUMNS($AO$1006:BE1006),$AO$1006:$BQ$1006,0)), HYPERLINK("#",""), HYPERLINK(CONCATENATE("#Metadata!", ADDRESS(INDEX($AJ$2:$AJ$1001,MATCH(ROWS($AH$2:AH753),$AH$2:$AH$1001,0),0), INDEX($AO$1004:$BQ$1004,1,MATCH(COLUMNS($AO$1006:BE1006),$AO$1006:$BQ$1006,0)))),"Fix")))</f>
        <v>#N/A</v>
      </c>
      <c r="S753" s="5" t="e">
        <f ca="1">IF(OR(INDEX($AI$2:$AI$1001,MATCH(ROWS($AH$2:AH753),$AH$2:$AH$1001,0),1)&gt;=100000,INDEX($AO$1005:$BQ$1005,1,MATCH(COLUMNS($AO$1006:BF1006),$AO$1006:$BQ$1006,0))&gt;=100000), " ",IF(INDEX($AO$2:$BQ$1001,MATCH(ROWS($AH$2:AH753),$AH$2:$AH$1001,0),MATCH(COLUMNS($AO$1006:BF1006),$AO$1006:$BQ$1006,0)), HYPERLINK("#",""), HYPERLINK(CONCATENATE("#Metadata!", ADDRESS(INDEX($AJ$2:$AJ$1001,MATCH(ROWS($AH$2:AH753),$AH$2:$AH$1001,0),0), INDEX($AO$1004:$BQ$1004,1,MATCH(COLUMNS($AO$1006:BF1006),$AO$1006:$BQ$1006,0)))),"Fix")))</f>
        <v>#N/A</v>
      </c>
      <c r="T753" s="5" t="e">
        <f ca="1">IF(OR(INDEX($AI$2:$AI$1001,MATCH(ROWS($AH$2:AH753),$AH$2:$AH$1001,0),1)&gt;=100000,INDEX($AO$1005:$BQ$1005,1,MATCH(COLUMNS($AO$1006:BG1006),$AO$1006:$BQ$1006,0))&gt;=100000), " ",IF(INDEX($AO$2:$BQ$1001,MATCH(ROWS($AH$2:AH753),$AH$2:$AH$1001,0),MATCH(COLUMNS($AO$1006:BG1006),$AO$1006:$BQ$1006,0)), HYPERLINK("#",""), HYPERLINK(CONCATENATE("#Metadata!", ADDRESS(INDEX($AJ$2:$AJ$1001,MATCH(ROWS($AH$2:AH753),$AH$2:$AH$1001,0),0), INDEX($AO$1004:$BQ$1004,1,MATCH(COLUMNS($AO$1006:BG1006),$AO$1006:$BQ$1006,0)))),"Fix")))</f>
        <v>#N/A</v>
      </c>
      <c r="U753" s="5" t="e">
        <f ca="1">IF(OR(INDEX($AI$2:$AI$1001,MATCH(ROWS($AH$2:AH753),$AH$2:$AH$1001,0),1)&gt;=100000,INDEX($AO$1005:$BQ$1005,1,MATCH(COLUMNS($AO$1006:BH1006),$AO$1006:$BQ$1006,0))&gt;=100000), " ",IF(INDEX($AO$2:$BQ$1001,MATCH(ROWS($AH$2:AH753),$AH$2:$AH$1001,0),MATCH(COLUMNS($AO$1006:BH1006),$AO$1006:$BQ$1006,0)), HYPERLINK("#",""), HYPERLINK(CONCATENATE("#Metadata!", ADDRESS(INDEX($AJ$2:$AJ$1001,MATCH(ROWS($AH$2:AH753),$AH$2:$AH$1001,0),0), INDEX($AO$1004:$BQ$1004,1,MATCH(COLUMNS($AO$1006:BH1006),$AO$1006:$BQ$1006,0)))),"Fix")))</f>
        <v>#N/A</v>
      </c>
      <c r="V753" s="5" t="e">
        <f ca="1">IF(OR(INDEX($AI$2:$AI$1001,MATCH(ROWS($AH$2:AH753),$AH$2:$AH$1001,0),1)&gt;=100000,INDEX($AO$1005:$BQ$1005,1,MATCH(COLUMNS($AO$1006:BI1006),$AO$1006:$BQ$1006,0))&gt;=100000), " ",IF(INDEX($AO$2:$BQ$1001,MATCH(ROWS($AH$2:AH753),$AH$2:$AH$1001,0),MATCH(COLUMNS($AO$1006:BI1006),$AO$1006:$BQ$1006,0)), HYPERLINK("#",""), HYPERLINK(CONCATENATE("#Metadata!", ADDRESS(INDEX($AJ$2:$AJ$1001,MATCH(ROWS($AH$2:AH753),$AH$2:$AH$1001,0),0), INDEX($AO$1004:$BQ$1004,1,MATCH(COLUMNS($AO$1006:BI1006),$AO$1006:$BQ$1006,0)))),"Fix")))</f>
        <v>#N/A</v>
      </c>
      <c r="W753" s="5" t="e">
        <f ca="1">IF(OR(INDEX($AI$2:$AI$1001,MATCH(ROWS($AH$2:AH753),$AH$2:$AH$1001,0),1)&gt;=100000,INDEX($AO$1005:$BQ$1005,1,MATCH(COLUMNS($AO$1006:BJ1006),$AO$1006:$BQ$1006,0))&gt;=100000), " ",IF(INDEX($AO$2:$BQ$1001,MATCH(ROWS($AH$2:AH753),$AH$2:$AH$1001,0),MATCH(COLUMNS($AO$1006:BJ1006),$AO$1006:$BQ$1006,0)), HYPERLINK("#",""), HYPERLINK(CONCATENATE("#Metadata!", ADDRESS(INDEX($AJ$2:$AJ$1001,MATCH(ROWS($AH$2:AH753),$AH$2:$AH$1001,0),0), INDEX($AO$1004:$BQ$1004,1,MATCH(COLUMNS($AO$1006:BJ1006),$AO$1006:$BQ$1006,0)))),"Fix")))</f>
        <v>#N/A</v>
      </c>
      <c r="X753" s="5" t="e">
        <f ca="1">IF(OR(INDEX($AI$2:$AI$1001,MATCH(ROWS($AH$2:AH753),$AH$2:$AH$1001,0),1)&gt;=100000,INDEX($AO$1005:$BQ$1005,1,MATCH(COLUMNS($AO$1006:BK1006),$AO$1006:$BQ$1006,0))&gt;=100000), " ",IF(INDEX($AO$2:$BQ$1001,MATCH(ROWS($AH$2:AH753),$AH$2:$AH$1001,0),MATCH(COLUMNS($AO$1006:BK1006),$AO$1006:$BQ$1006,0)), HYPERLINK("#",""), HYPERLINK(CONCATENATE("#Metadata!", ADDRESS(INDEX($AJ$2:$AJ$1001,MATCH(ROWS($AH$2:AH753),$AH$2:$AH$1001,0),0), INDEX($AO$1004:$BQ$1004,1,MATCH(COLUMNS($AO$1006:BK1006),$AO$1006:$BQ$1006,0)))),"Fix")))</f>
        <v>#N/A</v>
      </c>
      <c r="Y753" s="5" t="e">
        <f ca="1">IF(OR(INDEX($AI$2:$AI$1001,MATCH(ROWS($AH$2:AH753),$AH$2:$AH$1001,0),1)&gt;=100000,INDEX($AO$1005:$BQ$1005,1,MATCH(COLUMNS($AO$1006:BL1006),$AO$1006:$BQ$1006,0))&gt;=100000), " ",IF(INDEX($AO$2:$BQ$1001,MATCH(ROWS($AH$2:AH753),$AH$2:$AH$1001,0),MATCH(COLUMNS($AO$1006:BL1006),$AO$1006:$BQ$1006,0)), HYPERLINK("#",""), HYPERLINK(CONCATENATE("#Metadata!", ADDRESS(INDEX($AJ$2:$AJ$1001,MATCH(ROWS($AH$2:AH753),$AH$2:$AH$1001,0),0), INDEX($AO$1004:$BQ$1004,1,MATCH(COLUMNS($AO$1006:BL1006),$AO$1006:$BQ$1006,0)))),"Fix")))</f>
        <v>#N/A</v>
      </c>
      <c r="Z753" s="5" t="e">
        <f ca="1">IF(OR(INDEX($AI$2:$AI$1001,MATCH(ROWS($AH$2:AH753),$AH$2:$AH$1001,0),1)&gt;=100000,INDEX($AO$1005:$BQ$1005,1,MATCH(COLUMNS($AO$1006:BM1006),$AO$1006:$BQ$1006,0))&gt;=100000), " ",IF(INDEX($AO$2:$BQ$1001,MATCH(ROWS($AH$2:AH753),$AH$2:$AH$1001,0),MATCH(COLUMNS($AO$1006:BM1006),$AO$1006:$BQ$1006,0)), HYPERLINK("#",""), HYPERLINK(CONCATENATE("#Metadata!", ADDRESS(INDEX($AJ$2:$AJ$1001,MATCH(ROWS($AH$2:AH753),$AH$2:$AH$1001,0),0), INDEX($AO$1004:$BQ$1004,1,MATCH(COLUMNS($AO$1006:BM1006),$AO$1006:$BQ$1006,0)))),"Fix")))</f>
        <v>#N/A</v>
      </c>
      <c r="AA753" s="5" t="e">
        <f ca="1">IF(OR(INDEX($AI$2:$AI$1001,MATCH(ROWS($AH$2:AH753),$AH$2:$AH$1001,0),1)&gt;=100000,INDEX($AO$1005:$BQ$1005,1,MATCH(COLUMNS($AO$1006:BN1006),$AO$1006:$BQ$1006,0))&gt;=100000), " ",IF(INDEX($AO$2:$BQ$1001,MATCH(ROWS($AH$2:AH753),$AH$2:$AH$1001,0),MATCH(COLUMNS($AO$1006:BN1006),$AO$1006:$BQ$1006,0)), HYPERLINK("#",""), HYPERLINK(CONCATENATE("#Metadata!", ADDRESS(INDEX($AJ$2:$AJ$1001,MATCH(ROWS($AH$2:AH753),$AH$2:$AH$1001,0),0), INDEX($AO$1004:$BQ$1004,1,MATCH(COLUMNS($AO$1006:BN1006),$AO$1006:$BQ$1006,0)))),"Fix")))</f>
        <v>#N/A</v>
      </c>
      <c r="AB753" s="5" t="e">
        <f ca="1">IF(OR(INDEX($AI$2:$AI$1001,MATCH(ROWS($AH$2:AH753),$AH$2:$AH$1001,0),1)&gt;=100000,INDEX($AO$1005:$BQ$1005,1,MATCH(COLUMNS($AO$1006:BO1006),$AO$1006:$BQ$1006,0))&gt;=100000), " ",IF(INDEX($AO$2:$BQ$1001,MATCH(ROWS($AH$2:AH753),$AH$2:$AH$1001,0),MATCH(COLUMNS($AO$1006:BO1006),$AO$1006:$BQ$1006,0)), HYPERLINK("#",""), HYPERLINK(CONCATENATE("#Metadata!", ADDRESS(INDEX($AJ$2:$AJ$1001,MATCH(ROWS($AH$2:AH753),$AH$2:$AH$1001,0),0), INDEX($AO$1004:$BQ$1004,1,MATCH(COLUMNS($AO$1006:BO1006),$AO$1006:$BQ$1006,0)))),"Fix")))</f>
        <v>#N/A</v>
      </c>
      <c r="AC753" s="5" t="e">
        <f ca="1">IF(OR(INDEX($AI$2:$AI$1001,MATCH(ROWS($AH$2:AH753),$AH$2:$AH$1001,0),1)&gt;=100000,INDEX($AO$1005:$BQ$1005,1,MATCH(COLUMNS($AO$1006:BP1006),$AO$1006:$BQ$1006,0))&gt;=100000), " ",IF(INDEX($AO$2:$BQ$1001,MATCH(ROWS($AH$2:AH753),$AH$2:$AH$1001,0),MATCH(COLUMNS($AO$1006:BP1006),$AO$1006:$BQ$1006,0)), HYPERLINK("#",""), HYPERLINK(CONCATENATE("#Metadata!", ADDRESS(INDEX($AJ$2:$AJ$1001,MATCH(ROWS($AH$2:AH753),$AH$2:$AH$1001,0),0), INDEX($AO$1004:$BQ$1004,1,MATCH(COLUMNS($AO$1006:BP1006),$AO$1006:$BQ$1006,0)))),"Fix")))</f>
        <v>#N/A</v>
      </c>
      <c r="AD753" s="5" t="e">
        <f ca="1">IF(OR(INDEX($AI$2:$AI$1001,MATCH(ROWS($AH$2:AH753),$AH$2:$AH$1001,0),1)&gt;=100000,INDEX($AO$1005:$BQ$1005,1,MATCH(COLUMNS($AO$1006:BQ1006),$AO$1006:$BQ$1006,0))&gt;=100000), " ",IF(INDEX($AO$2:$BQ$1001,MATCH(ROWS($AH$2:AH753),$AH$2:$AH$1001,0),MATCH(COLUMNS($AO$1006:BQ1006),$AO$1006:$BQ$1006,0)), HYPERLINK("#",""), HYPERLINK(CONCATENATE("#Metadata!", ADDRESS(INDEX($AJ$2:$AJ$1001,MATCH(ROWS($AH$2:AH753),$AH$2:$AH$1001,0),0), INDEX($AO$1004:$BQ$1004,1,MATCH(COLUMNS($AO$1006:BQ1006),$AO$1006:$BQ$1006,0)))),"Fix")))</f>
        <v>#REF!</v>
      </c>
      <c r="AH753">
        <f ca="1"/>
        <v>750</v>
      </c>
      <c r="AI753">
        <v>100753</v>
      </c>
      <c r="AJ753">
        <v>753</v>
      </c>
      <c r="AK753" t="b">
        <f t="shared" si="11"/>
        <v>1</v>
      </c>
      <c r="AL753" t="b">
        <f>COUNTBLANK(Metadata!B753:AD753)=COLUMNS(Metadata!B753:AD753)</f>
        <v>1</v>
      </c>
      <c r="AM753" t="str">
        <v/>
      </c>
      <c r="AO753" t="b">
        <f ca="1">AND(IF(Metadata!B753="",FALSE,TRUE),COUNTIF(Metadata!B:B, Metadata!B753) = 1,NOT(ISERROR(SUMPRODUCT(SEARCH(MID(Metadata!B753,ROW(INDIRECT("1:"&amp;LEN(Metadata!B753))), 1),"0123456789abcdefghijklmnopqrstuvwxyzABCDEFGHIJKLMNOPQRSTUVWXYZ.")))))</f>
        <v>0</v>
      </c>
      <c r="AP753" t="b">
        <f>IF(Metadata!C753="",FALSE,TRUE)</f>
        <v>0</v>
      </c>
      <c r="AQ753" t="b">
        <f>IF(Metadata!D753="",FALSE,TRUE)</f>
        <v>0</v>
      </c>
      <c r="AR753" t="b">
        <f ca="1">OR(AND(IF(Metadata!E753="",FALSE,TRUE),OR(EXACT(Metadata!E753,"not collected"),EXACT(Metadata!E753,"not provided"),EXACT(Metadata!E753,"restricted access"))),AND(IF(Metadata!E753="",FALSE,TRUE),AND(AND(IFERROR(INT(LEFT(Metadata!E753,4))&gt;1900,FALSE),IFERROR(INT(LEFT(Metadata!E753,4))&lt;=YEAR(NOW()),FALSE)), OR(MID(Metadata!E753,5,1)="", AND(AND(MID(Metadata!E753,5,1)="-",IFERROR(INT(MID(Metadata!E753,6,1))&gt;=0,FALSE),IFERROR(INT(MID(Metadata!E753,6,1))&lt;=1,FALSE),NOT(MID(Metadata!E753,7,1)=""),IFERROR(INT(MID(Metadata!E753,6,2))&gt;=1,FALSE),IFERROR(INT(MID(Metadata!E753,6,2))&lt;=12,FALSE)), OR(MID(Metadata!E753,8,1)="", AND(AND(MID(Metadata!E753,8,1)="-",IFERROR(INT(MID(Metadata!E753,9,1))&gt;=0,FALSE),IFERROR(INT(MID(Metadata!E753,9,1))&lt;=3,FALSE),NOT(MID(Metadata!E753,10,1)=""),IFERROR(INT(MID(Metadata!E753,9,2))&gt;=1,FALSE),IFERROR(INT(MID(Metadata!E753,9,2))&lt;=31,FALSE)), OR(MID(Metadata!E753,11,1)="", AND(AND(MID(Metadata!E753,11,1)=" ",IFERROR(INT(MID(Metadata!E753,12,1))&gt;=0,FALSE),IFERROR(INT(MID(Metadata!E753,12,1))&lt;=2,FALSE),NOT(MID(Metadata!E753,13,1)=""),IFERROR(INT(MID(Metadata!E753,12,2))&gt;=0,FALSE),IFERROR(INT(MID(Metadata!E753,12,2))&lt;=23,FALSE)), OR(MID(Metadata!E753,14,1)="", AND(AND(MID(Metadata!E753,14,1)=":",IFERROR(INT(MID(Metadata!E753,15,1))&gt;=0,FALSE),IFERROR(INT(MID(Metadata!E753,15,1))&lt;=5,FALSE),NOT(MID(Metadata!E753,16,1)=""),IFERROR(INT(MID(Metadata!E753,15,2))&gt;=0,FALSE),IFERROR(INT(MID(Metadata!E753,15,2))&lt;=59,FALSE)), OR(MID(Metadata!E753,17,1)="", AND(AND(MID(Metadata!E753,17,1)=":",IFERROR(INT(MID(Metadata!E753,18,1))&gt;=0,FALSE),IFERROR(INT(MID(Metadata!E753,18,1))&lt;=5,FALSE),NOT(MID(Metadata!E753,19,1)=""),IFERROR(INT(MID(Metadata!E753,18,2))&gt;=0,FALSE),IFERROR(INT(MID(Metadata!E753,18,2))&lt;=59,FALSE)), LEN(Metadata!E753)&lt;=19)))))))))))))</f>
        <v>0</v>
      </c>
      <c r="AS753" t="b">
        <f>IF(Metadata!F753="",FALSE,TRUE)</f>
        <v>0</v>
      </c>
      <c r="AT753" t="b">
        <f>OR(AND(IF(Metadata!G753="",FALSE,TRUE),OR(EXACT(Metadata!G753,"not collected"),EXACT(Metadata!G753,"not provided"))),AND(IF(Metadata!G753="",FALSE,TRUE),OR(EXACT(Metadata!G753,"TRUE"),EXACT(Metadata!G753,"FALSE"))))</f>
        <v>0</v>
      </c>
      <c r="AU753" t="b">
        <f>OR(AND(IF(Metadata!H753="",FALSE,TRUE),OR(EXACT(Metadata!H753,"not collected"),EXACT(Metadata!H753,"not provided"),EXACT(Metadata!H753,"restricted access"))),AND(IF(Metadata!H753="",FALSE,ISNUMBER(VALUE(Metadata!H753))),Metadata!H753&gt;=-413))</f>
        <v>0</v>
      </c>
      <c r="AV753" t="b">
        <f>AND(IF(Metadata!I753="",FALSE,TRUE),EXACT(Metadata!I753,"meters"))</f>
        <v>0</v>
      </c>
      <c r="AW753" t="b">
        <f>AND(IF(Metadata!J753="",FALSE,TRUE),EXACT(Metadata!J753,"free-living"))</f>
        <v>0</v>
      </c>
      <c r="AX753" t="b">
        <f>AND(IF(Metadata!K753="",FALSE,TRUE),OR(EXACT(Metadata!K753,"saline"),EXACT(Metadata!K753,"non-saline")))</f>
        <v>0</v>
      </c>
      <c r="AY753" t="b">
        <f>AND(IF(Metadata!L753="",FALSE,TRUE),OR(EXACT(Metadata!L753,"sub-surface (non-saline)"),EXACT(Metadata!L753,"surface (non-saline)"),EXACT(Metadata!L753,"water (non-saline)"),EXACT(Metadata!L753,"soil (non-saline)"),EXACT(Metadata!L753,"aerosol (non-saline)"),EXACT(Metadata!L753,"sediment (non-saline)"),EXACT(Metadata!L753,"surface (saline)"),EXACT(Metadata!L753,"water (saline)"),EXACT(Metadata!L753,"hypersaline (saline)"),EXACT(Metadata!L753,"aerosol (saline)"),EXACT(Metadata!L753,"sediment (saline)")))</f>
        <v>0</v>
      </c>
      <c r="AZ753" t="b">
        <f>IF(Metadata!M753="",FALSE,TRUE)</f>
        <v>0</v>
      </c>
      <c r="BA753" t="b">
        <f>IF(Metadata!N753="",FALSE,TRUE)</f>
        <v>0</v>
      </c>
      <c r="BB753" t="b">
        <f>IF(Metadata!O753="",FALSE,TRUE)</f>
        <v>0</v>
      </c>
      <c r="BC753" t="b">
        <f>AND(IF(Metadata!P753="",FALSE,TRUE),OR(EXACT(Metadata!P753,"air"),EXACT(Metadata!P753,"microbial mat/biofilm"),EXACT(Metadata!P753,"misc environment"),EXACT(Metadata!P753,"sediment"),EXACT(Metadata!P753,"soil"),EXACT(Metadata!P753,"wastewater/sludge"),EXACT(Metadata!P753,"water")))</f>
        <v>0</v>
      </c>
      <c r="BD753" t="b">
        <f>IF(Metadata!Q753="",FALSE,TRUE)</f>
        <v>0</v>
      </c>
      <c r="BE753" t="b">
        <f>IF(Metadata!R753="",FALSE,TRUE)</f>
        <v>0</v>
      </c>
      <c r="BF753" t="b">
        <f>OR(AND(IF(Metadata!S753="",FALSE,TRUE),OR(EXACT(Metadata!S753,"not collected"),EXACT(Metadata!S753,"not provided"),EXACT(Metadata!S753,"restricted access"))),AND(IF(Metadata!S753="",FALSE,ISNUMBER(VALUE(Metadata!S753))),Metadata!S753&gt;=-90,Metadata!S753&lt;=90))</f>
        <v>0</v>
      </c>
      <c r="BG753" t="b">
        <f>AND(IF(Metadata!T753="",FALSE,TRUE),EXACT(Metadata!T753,"Decimal degrees"))</f>
        <v>0</v>
      </c>
      <c r="BH753" t="b">
        <f>OR(AND(IF(Metadata!U753="",FALSE,TRUE),OR(EXACT(Metadata!U753,"not applicable"),EXACT(Metadata!U753,"not collected"))),IF(Metadata!U753="",FALSE,TRUE))</f>
        <v>0</v>
      </c>
      <c r="BI753" t="b">
        <f>OR(AND(IF(Metadata!V753="",FALSE,TRUE),OR(EXACT(Metadata!V753,"not collected"),EXACT(Metadata!V753,"not provided"),EXACT(Metadata!V753,"restricted access"))),AND(IF(Metadata!V753="",FALSE,ISNUMBER(VALUE(Metadata!V753))),Metadata!V753&gt;=-180,Metadata!V753&lt;=180))</f>
        <v>0</v>
      </c>
      <c r="BJ753" t="b">
        <f>AND(IF(Metadata!W753="",FALSE,TRUE),EXACT(Metadata!W753,"Decimal degrees"))</f>
        <v>0</v>
      </c>
      <c r="BK753" t="b">
        <f>IF(Metadata!X753="",FALSE,TRUE)</f>
        <v>0</v>
      </c>
      <c r="BL753" t="b">
        <f>OR(AND(IF(Metadata!Y753="",FALSE,TRUE),OR(EXACT(Metadata!Y753,"not collected"),EXACT(Metadata!Y753,"not provided"),EXACT(Metadata!Y753,"restricted access"))),AND(IF(Metadata!Y753="",FALSE,TRUE),OR(EXACT(Metadata!Y753,"TRUE"),EXACT(Metadata!Y753,"FALSE"))))</f>
        <v>0</v>
      </c>
      <c r="BM753" t="b">
        <f>OR(AND(IF(Metadata!Z753="",FALSE,TRUE),EXACT(Metadata!Z753,"not applicable")),AND(IF(Metadata!Z753="",FALSE,TRUE),OR(EXACT(Metadata!Z753,"beer"),EXACT(Metadata!Z753,"cheese"),EXACT(Metadata!Z753,"fresh water"),EXACT(Metadata!Z753,"marine sediment"),EXACT(Metadata!Z753,"sea water"),EXACT(Metadata!Z753,"sediment"),EXACT(Metadata!Z753,"soil"),EXACT(Metadata!Z753,"waste water"))))</f>
        <v>0</v>
      </c>
      <c r="BN753" t="b">
        <f>AND(IF(Metadata!AA753="",FALSE,TRUE),EXACT(Metadata!AA753,"metagenome"))</f>
        <v>0</v>
      </c>
      <c r="BO753" t="b">
        <f>AND(IF(Metadata!AB753="",FALSE,TRUE),EXACT(Metadata!AB753,"256318"))</f>
        <v>0</v>
      </c>
      <c r="BP753" t="b">
        <f>IF(Metadata!AC753="",FALSE,TRUE)</f>
        <v>0</v>
      </c>
      <c r="BQ753" t="b">
        <f>IF(Metadata!AD753="",FALSE,TRUE)</f>
        <v>0</v>
      </c>
    </row>
    <row r="754" spans="1:69" x14ac:dyDescent="0.2">
      <c r="A754" s="4" t="e">
        <f ca="1">IF(B754=" "," ",HYPERLINK(CONCATENATE("#metadata!",ADDRESS(INDEX($AJ$2:$AJ$1001,MATCH(ROWS($AH$2:AH754),$AH$2:$AH$1001,0),0),2)),INDEX($AM$2:$AM$1001,MATCH(ROWS($AH$2:AH754),$AH$2:$AH$1001,0),0)))</f>
        <v>#N/A</v>
      </c>
      <c r="B754" s="5" t="e">
        <f ca="1">IF(OR(INDEX($AI$2:$AI$1001,MATCH(ROWS($AH$2:AH754),$AH$2:$AH$1001,0),1)&gt;=100000,INDEX($AO$1005:$BQ$1005,1,MATCH(COLUMNS($AO$1006:AO1006),$AO$1006:$BQ$1006,0))&gt;=100000), " ",IF(INDEX($AO$2:$BQ$1001,MATCH(ROWS($AH$2:AH754),$AH$2:$AH$1001,0),MATCH(COLUMNS($AO$1006:AO1006),$AO$1006:$BQ$1006,0)), HYPERLINK("#",""), HYPERLINK(CONCATENATE("#Metadata!", ADDRESS(INDEX($AJ$2:$AJ$1001,MATCH(ROWS($AH$2:AH754),$AH$2:$AH$1001,0),0), INDEX($AO$1004:$BQ$1004,1,MATCH(COLUMNS($AO$1006:AO1006),$AO$1006:$BQ$1006,0)))),"Fix")))</f>
        <v>#N/A</v>
      </c>
      <c r="C754" s="5" t="e">
        <f ca="1">IF(OR(INDEX($AI$2:$AI$1001,MATCH(ROWS($AH$2:AH754),$AH$2:$AH$1001,0),1)&gt;=100000,INDEX($AO$1005:$BQ$1005,1,MATCH(COLUMNS($AO$1006:AP1006),$AO$1006:$BQ$1006,0))&gt;=100000), " ",IF(INDEX($AO$2:$BQ$1001,MATCH(ROWS($AH$2:AH754),$AH$2:$AH$1001,0),MATCH(COLUMNS($AO$1006:AP1006),$AO$1006:$BQ$1006,0)), HYPERLINK("#",""), HYPERLINK(CONCATENATE("#Metadata!", ADDRESS(INDEX($AJ$2:$AJ$1001,MATCH(ROWS($AH$2:AH754),$AH$2:$AH$1001,0),0), INDEX($AO$1004:$BQ$1004,1,MATCH(COLUMNS($AO$1006:AP1006),$AO$1006:$BQ$1006,0)))),"Fix")))</f>
        <v>#N/A</v>
      </c>
      <c r="D754" s="5" t="e">
        <f ca="1">IF(OR(INDEX($AI$2:$AI$1001,MATCH(ROWS($AH$2:AH754),$AH$2:$AH$1001,0),1)&gt;=100000,INDEX($AO$1005:$BQ$1005,1,MATCH(COLUMNS($AO$1006:AQ1006),$AO$1006:$BQ$1006,0))&gt;=100000), " ",IF(INDEX($AO$2:$BQ$1001,MATCH(ROWS($AH$2:AH754),$AH$2:$AH$1001,0),MATCH(COLUMNS($AO$1006:AQ1006),$AO$1006:$BQ$1006,0)), HYPERLINK("#",""), HYPERLINK(CONCATENATE("#Metadata!", ADDRESS(INDEX($AJ$2:$AJ$1001,MATCH(ROWS($AH$2:AH754),$AH$2:$AH$1001,0),0), INDEX($AO$1004:$BQ$1004,1,MATCH(COLUMNS($AO$1006:AQ1006),$AO$1006:$BQ$1006,0)))),"Fix")))</f>
        <v>#N/A</v>
      </c>
      <c r="E754" s="5" t="e">
        <f ca="1">IF(OR(INDEX($AI$2:$AI$1001,MATCH(ROWS($AH$2:AH754),$AH$2:$AH$1001,0),1)&gt;=100000,INDEX($AO$1005:$BQ$1005,1,MATCH(COLUMNS($AO$1006:AR1006),$AO$1006:$BQ$1006,0))&gt;=100000), " ",IF(INDEX($AO$2:$BQ$1001,MATCH(ROWS($AH$2:AH754),$AH$2:$AH$1001,0),MATCH(COLUMNS($AO$1006:AR1006),$AO$1006:$BQ$1006,0)), HYPERLINK("#",""), HYPERLINK(CONCATENATE("#Metadata!", ADDRESS(INDEX($AJ$2:$AJ$1001,MATCH(ROWS($AH$2:AH754),$AH$2:$AH$1001,0),0), INDEX($AO$1004:$BQ$1004,1,MATCH(COLUMNS($AO$1006:AR1006),$AO$1006:$BQ$1006,0)))),"Fix")))</f>
        <v>#N/A</v>
      </c>
      <c r="F754" s="5" t="e">
        <f ca="1">IF(OR(INDEX($AI$2:$AI$1001,MATCH(ROWS($AH$2:AH754),$AH$2:$AH$1001,0),1)&gt;=100000,INDEX($AO$1005:$BQ$1005,1,MATCH(COLUMNS($AO$1006:AS1006),$AO$1006:$BQ$1006,0))&gt;=100000), " ",IF(INDEX($AO$2:$BQ$1001,MATCH(ROWS($AH$2:AH754),$AH$2:$AH$1001,0),MATCH(COLUMNS($AO$1006:AS1006),$AO$1006:$BQ$1006,0)), HYPERLINK("#",""), HYPERLINK(CONCATENATE("#Metadata!", ADDRESS(INDEX($AJ$2:$AJ$1001,MATCH(ROWS($AH$2:AH754),$AH$2:$AH$1001,0),0), INDEX($AO$1004:$BQ$1004,1,MATCH(COLUMNS($AO$1006:AS1006),$AO$1006:$BQ$1006,0)))),"Fix")))</f>
        <v>#N/A</v>
      </c>
      <c r="G754" s="5" t="e">
        <f ca="1">IF(OR(INDEX($AI$2:$AI$1001,MATCH(ROWS($AH$2:AH754),$AH$2:$AH$1001,0),1)&gt;=100000,INDEX($AO$1005:$BQ$1005,1,MATCH(COLUMNS($AO$1006:AT1006),$AO$1006:$BQ$1006,0))&gt;=100000), " ",IF(INDEX($AO$2:$BQ$1001,MATCH(ROWS($AH$2:AH754),$AH$2:$AH$1001,0),MATCH(COLUMNS($AO$1006:AT1006),$AO$1006:$BQ$1006,0)), HYPERLINK("#",""), HYPERLINK(CONCATENATE("#Metadata!", ADDRESS(INDEX($AJ$2:$AJ$1001,MATCH(ROWS($AH$2:AH754),$AH$2:$AH$1001,0),0), INDEX($AO$1004:$BQ$1004,1,MATCH(COLUMNS($AO$1006:AT1006),$AO$1006:$BQ$1006,0)))),"Fix")))</f>
        <v>#N/A</v>
      </c>
      <c r="H754" s="5" t="e">
        <f ca="1">IF(OR(INDEX($AI$2:$AI$1001,MATCH(ROWS($AH$2:AH754),$AH$2:$AH$1001,0),1)&gt;=100000,INDEX($AO$1005:$BQ$1005,1,MATCH(COLUMNS($AO$1006:AU1006),$AO$1006:$BQ$1006,0))&gt;=100000), " ",IF(INDEX($AO$2:$BQ$1001,MATCH(ROWS($AH$2:AH754),$AH$2:$AH$1001,0),MATCH(COLUMNS($AO$1006:AU1006),$AO$1006:$BQ$1006,0)), HYPERLINK("#",""), HYPERLINK(CONCATENATE("#Metadata!", ADDRESS(INDEX($AJ$2:$AJ$1001,MATCH(ROWS($AH$2:AH754),$AH$2:$AH$1001,0),0), INDEX($AO$1004:$BQ$1004,1,MATCH(COLUMNS($AO$1006:AU1006),$AO$1006:$BQ$1006,0)))),"Fix")))</f>
        <v>#N/A</v>
      </c>
      <c r="I754" s="5" t="e">
        <f ca="1">IF(OR(INDEX($AI$2:$AI$1001,MATCH(ROWS($AH$2:AH754),$AH$2:$AH$1001,0),1)&gt;=100000,INDEX($AO$1005:$BQ$1005,1,MATCH(COLUMNS($AO$1006:AV1006),$AO$1006:$BQ$1006,0))&gt;=100000), " ",IF(INDEX($AO$2:$BQ$1001,MATCH(ROWS($AH$2:AH754),$AH$2:$AH$1001,0),MATCH(COLUMNS($AO$1006:AV1006),$AO$1006:$BQ$1006,0)), HYPERLINK("#",""), HYPERLINK(CONCATENATE("#Metadata!", ADDRESS(INDEX($AJ$2:$AJ$1001,MATCH(ROWS($AH$2:AH754),$AH$2:$AH$1001,0),0), INDEX($AO$1004:$BQ$1004,1,MATCH(COLUMNS($AO$1006:AV1006),$AO$1006:$BQ$1006,0)))),"Fix")))</f>
        <v>#N/A</v>
      </c>
      <c r="J754" s="5" t="e">
        <f ca="1">IF(OR(INDEX($AI$2:$AI$1001,MATCH(ROWS($AH$2:AH754),$AH$2:$AH$1001,0),1)&gt;=100000,INDEX($AO$1005:$BQ$1005,1,MATCH(COLUMNS($AO$1006:AW1006),$AO$1006:$BQ$1006,0))&gt;=100000), " ",IF(INDEX($AO$2:$BQ$1001,MATCH(ROWS($AH$2:AH754),$AH$2:$AH$1001,0),MATCH(COLUMNS($AO$1006:AW1006),$AO$1006:$BQ$1006,0)), HYPERLINK("#",""), HYPERLINK(CONCATENATE("#Metadata!", ADDRESS(INDEX($AJ$2:$AJ$1001,MATCH(ROWS($AH$2:AH754),$AH$2:$AH$1001,0),0), INDEX($AO$1004:$BQ$1004,1,MATCH(COLUMNS($AO$1006:AW1006),$AO$1006:$BQ$1006,0)))),"Fix")))</f>
        <v>#N/A</v>
      </c>
      <c r="K754" s="5" t="e">
        <f ca="1">IF(OR(INDEX($AI$2:$AI$1001,MATCH(ROWS($AH$2:AH754),$AH$2:$AH$1001,0),1)&gt;=100000,INDEX($AO$1005:$BQ$1005,1,MATCH(COLUMNS($AO$1006:AX1006),$AO$1006:$BQ$1006,0))&gt;=100000), " ",IF(INDEX($AO$2:$BQ$1001,MATCH(ROWS($AH$2:AH754),$AH$2:$AH$1001,0),MATCH(COLUMNS($AO$1006:AX1006),$AO$1006:$BQ$1006,0)), HYPERLINK("#",""), HYPERLINK(CONCATENATE("#Metadata!", ADDRESS(INDEX($AJ$2:$AJ$1001,MATCH(ROWS($AH$2:AH754),$AH$2:$AH$1001,0),0), INDEX($AO$1004:$BQ$1004,1,MATCH(COLUMNS($AO$1006:AX1006),$AO$1006:$BQ$1006,0)))),"Fix")))</f>
        <v>#N/A</v>
      </c>
      <c r="L754" s="5" t="e">
        <f ca="1">IF(OR(INDEX($AI$2:$AI$1001,MATCH(ROWS($AH$2:AH754),$AH$2:$AH$1001,0),1)&gt;=100000,INDEX($AO$1005:$BQ$1005,1,MATCH(COLUMNS($AO$1006:AY1006),$AO$1006:$BQ$1006,0))&gt;=100000), " ",IF(INDEX($AO$2:$BQ$1001,MATCH(ROWS($AH$2:AH754),$AH$2:$AH$1001,0),MATCH(COLUMNS($AO$1006:AY1006),$AO$1006:$BQ$1006,0)), HYPERLINK("#",""), HYPERLINK(CONCATENATE("#Metadata!", ADDRESS(INDEX($AJ$2:$AJ$1001,MATCH(ROWS($AH$2:AH754),$AH$2:$AH$1001,0),0), INDEX($AO$1004:$BQ$1004,1,MATCH(COLUMNS($AO$1006:AY1006),$AO$1006:$BQ$1006,0)))),"Fix")))</f>
        <v>#N/A</v>
      </c>
      <c r="M754" s="5" t="e">
        <f ca="1">IF(OR(INDEX($AI$2:$AI$1001,MATCH(ROWS($AH$2:AH754),$AH$2:$AH$1001,0),1)&gt;=100000,INDEX($AO$1005:$BQ$1005,1,MATCH(COLUMNS($AO$1006:AZ1006),$AO$1006:$BQ$1006,0))&gt;=100000), " ",IF(INDEX($AO$2:$BQ$1001,MATCH(ROWS($AH$2:AH754),$AH$2:$AH$1001,0),MATCH(COLUMNS($AO$1006:AZ1006),$AO$1006:$BQ$1006,0)), HYPERLINK("#",""), HYPERLINK(CONCATENATE("#Metadata!", ADDRESS(INDEX($AJ$2:$AJ$1001,MATCH(ROWS($AH$2:AH754),$AH$2:$AH$1001,0),0), INDEX($AO$1004:$BQ$1004,1,MATCH(COLUMNS($AO$1006:AZ1006),$AO$1006:$BQ$1006,0)))),"Fix")))</f>
        <v>#N/A</v>
      </c>
      <c r="N754" s="5" t="e">
        <f ca="1">IF(OR(INDEX($AI$2:$AI$1001,MATCH(ROWS($AH$2:AH754),$AH$2:$AH$1001,0),1)&gt;=100000,INDEX($AO$1005:$BQ$1005,1,MATCH(COLUMNS($AO$1006:BA1006),$AO$1006:$BQ$1006,0))&gt;=100000), " ",IF(INDEX($AO$2:$BQ$1001,MATCH(ROWS($AH$2:AH754),$AH$2:$AH$1001,0),MATCH(COLUMNS($AO$1006:BA1006),$AO$1006:$BQ$1006,0)), HYPERLINK("#",""), HYPERLINK(CONCATENATE("#Metadata!", ADDRESS(INDEX($AJ$2:$AJ$1001,MATCH(ROWS($AH$2:AH754),$AH$2:$AH$1001,0),0), INDEX($AO$1004:$BQ$1004,1,MATCH(COLUMNS($AO$1006:BA1006),$AO$1006:$BQ$1006,0)))),"Fix")))</f>
        <v>#N/A</v>
      </c>
      <c r="O754" s="5" t="e">
        <f ca="1">IF(OR(INDEX($AI$2:$AI$1001,MATCH(ROWS($AH$2:AH754),$AH$2:$AH$1001,0),1)&gt;=100000,INDEX($AO$1005:$BQ$1005,1,MATCH(COLUMNS($AO$1006:BB1006),$AO$1006:$BQ$1006,0))&gt;=100000), " ",IF(INDEX($AO$2:$BQ$1001,MATCH(ROWS($AH$2:AH754),$AH$2:$AH$1001,0),MATCH(COLUMNS($AO$1006:BB1006),$AO$1006:$BQ$1006,0)), HYPERLINK("#",""), HYPERLINK(CONCATENATE("#Metadata!", ADDRESS(INDEX($AJ$2:$AJ$1001,MATCH(ROWS($AH$2:AH754),$AH$2:$AH$1001,0),0), INDEX($AO$1004:$BQ$1004,1,MATCH(COLUMNS($AO$1006:BB1006),$AO$1006:$BQ$1006,0)))),"Fix")))</f>
        <v>#N/A</v>
      </c>
      <c r="P754" s="5" t="e">
        <f ca="1">IF(OR(INDEX($AI$2:$AI$1001,MATCH(ROWS($AH$2:AH754),$AH$2:$AH$1001,0),1)&gt;=100000,INDEX($AO$1005:$BQ$1005,1,MATCH(COLUMNS($AO$1006:BC1006),$AO$1006:$BQ$1006,0))&gt;=100000), " ",IF(INDEX($AO$2:$BQ$1001,MATCH(ROWS($AH$2:AH754),$AH$2:$AH$1001,0),MATCH(COLUMNS($AO$1006:BC1006),$AO$1006:$BQ$1006,0)), HYPERLINK("#",""), HYPERLINK(CONCATENATE("#Metadata!", ADDRESS(INDEX($AJ$2:$AJ$1001,MATCH(ROWS($AH$2:AH754),$AH$2:$AH$1001,0),0), INDEX($AO$1004:$BQ$1004,1,MATCH(COLUMNS($AO$1006:BC1006),$AO$1006:$BQ$1006,0)))),"Fix")))</f>
        <v>#N/A</v>
      </c>
      <c r="Q754" s="5" t="e">
        <f ca="1">IF(OR(INDEX($AI$2:$AI$1001,MATCH(ROWS($AH$2:AH754),$AH$2:$AH$1001,0),1)&gt;=100000,INDEX($AO$1005:$BQ$1005,1,MATCH(COLUMNS($AO$1006:BD1006),$AO$1006:$BQ$1006,0))&gt;=100000), " ",IF(INDEX($AO$2:$BQ$1001,MATCH(ROWS($AH$2:AH754),$AH$2:$AH$1001,0),MATCH(COLUMNS($AO$1006:BD1006),$AO$1006:$BQ$1006,0)), HYPERLINK("#",""), HYPERLINK(CONCATENATE("#Metadata!", ADDRESS(INDEX($AJ$2:$AJ$1001,MATCH(ROWS($AH$2:AH754),$AH$2:$AH$1001,0),0), INDEX($AO$1004:$BQ$1004,1,MATCH(COLUMNS($AO$1006:BD1006),$AO$1006:$BQ$1006,0)))),"Fix")))</f>
        <v>#N/A</v>
      </c>
      <c r="R754" s="5" t="e">
        <f ca="1">IF(OR(INDEX($AI$2:$AI$1001,MATCH(ROWS($AH$2:AH754),$AH$2:$AH$1001,0),1)&gt;=100000,INDEX($AO$1005:$BQ$1005,1,MATCH(COLUMNS($AO$1006:BE1006),$AO$1006:$BQ$1006,0))&gt;=100000), " ",IF(INDEX($AO$2:$BQ$1001,MATCH(ROWS($AH$2:AH754),$AH$2:$AH$1001,0),MATCH(COLUMNS($AO$1006:BE1006),$AO$1006:$BQ$1006,0)), HYPERLINK("#",""), HYPERLINK(CONCATENATE("#Metadata!", ADDRESS(INDEX($AJ$2:$AJ$1001,MATCH(ROWS($AH$2:AH754),$AH$2:$AH$1001,0),0), INDEX($AO$1004:$BQ$1004,1,MATCH(COLUMNS($AO$1006:BE1006),$AO$1006:$BQ$1006,0)))),"Fix")))</f>
        <v>#N/A</v>
      </c>
      <c r="S754" s="5" t="e">
        <f ca="1">IF(OR(INDEX($AI$2:$AI$1001,MATCH(ROWS($AH$2:AH754),$AH$2:$AH$1001,0),1)&gt;=100000,INDEX($AO$1005:$BQ$1005,1,MATCH(COLUMNS($AO$1006:BF1006),$AO$1006:$BQ$1006,0))&gt;=100000), " ",IF(INDEX($AO$2:$BQ$1001,MATCH(ROWS($AH$2:AH754),$AH$2:$AH$1001,0),MATCH(COLUMNS($AO$1006:BF1006),$AO$1006:$BQ$1006,0)), HYPERLINK("#",""), HYPERLINK(CONCATENATE("#Metadata!", ADDRESS(INDEX($AJ$2:$AJ$1001,MATCH(ROWS($AH$2:AH754),$AH$2:$AH$1001,0),0), INDEX($AO$1004:$BQ$1004,1,MATCH(COLUMNS($AO$1006:BF1006),$AO$1006:$BQ$1006,0)))),"Fix")))</f>
        <v>#N/A</v>
      </c>
      <c r="T754" s="5" t="e">
        <f ca="1">IF(OR(INDEX($AI$2:$AI$1001,MATCH(ROWS($AH$2:AH754),$AH$2:$AH$1001,0),1)&gt;=100000,INDEX($AO$1005:$BQ$1005,1,MATCH(COLUMNS($AO$1006:BG1006),$AO$1006:$BQ$1006,0))&gt;=100000), " ",IF(INDEX($AO$2:$BQ$1001,MATCH(ROWS($AH$2:AH754),$AH$2:$AH$1001,0),MATCH(COLUMNS($AO$1006:BG1006),$AO$1006:$BQ$1006,0)), HYPERLINK("#",""), HYPERLINK(CONCATENATE("#Metadata!", ADDRESS(INDEX($AJ$2:$AJ$1001,MATCH(ROWS($AH$2:AH754),$AH$2:$AH$1001,0),0), INDEX($AO$1004:$BQ$1004,1,MATCH(COLUMNS($AO$1006:BG1006),$AO$1006:$BQ$1006,0)))),"Fix")))</f>
        <v>#N/A</v>
      </c>
      <c r="U754" s="5" t="e">
        <f ca="1">IF(OR(INDEX($AI$2:$AI$1001,MATCH(ROWS($AH$2:AH754),$AH$2:$AH$1001,0),1)&gt;=100000,INDEX($AO$1005:$BQ$1005,1,MATCH(COLUMNS($AO$1006:BH1006),$AO$1006:$BQ$1006,0))&gt;=100000), " ",IF(INDEX($AO$2:$BQ$1001,MATCH(ROWS($AH$2:AH754),$AH$2:$AH$1001,0),MATCH(COLUMNS($AO$1006:BH1006),$AO$1006:$BQ$1006,0)), HYPERLINK("#",""), HYPERLINK(CONCATENATE("#Metadata!", ADDRESS(INDEX($AJ$2:$AJ$1001,MATCH(ROWS($AH$2:AH754),$AH$2:$AH$1001,0),0), INDEX($AO$1004:$BQ$1004,1,MATCH(COLUMNS($AO$1006:BH1006),$AO$1006:$BQ$1006,0)))),"Fix")))</f>
        <v>#N/A</v>
      </c>
      <c r="V754" s="5" t="e">
        <f ca="1">IF(OR(INDEX($AI$2:$AI$1001,MATCH(ROWS($AH$2:AH754),$AH$2:$AH$1001,0),1)&gt;=100000,INDEX($AO$1005:$BQ$1005,1,MATCH(COLUMNS($AO$1006:BI1006),$AO$1006:$BQ$1006,0))&gt;=100000), " ",IF(INDEX($AO$2:$BQ$1001,MATCH(ROWS($AH$2:AH754),$AH$2:$AH$1001,0),MATCH(COLUMNS($AO$1006:BI1006),$AO$1006:$BQ$1006,0)), HYPERLINK("#",""), HYPERLINK(CONCATENATE("#Metadata!", ADDRESS(INDEX($AJ$2:$AJ$1001,MATCH(ROWS($AH$2:AH754),$AH$2:$AH$1001,0),0), INDEX($AO$1004:$BQ$1004,1,MATCH(COLUMNS($AO$1006:BI1006),$AO$1006:$BQ$1006,0)))),"Fix")))</f>
        <v>#N/A</v>
      </c>
      <c r="W754" s="5" t="e">
        <f ca="1">IF(OR(INDEX($AI$2:$AI$1001,MATCH(ROWS($AH$2:AH754),$AH$2:$AH$1001,0),1)&gt;=100000,INDEX($AO$1005:$BQ$1005,1,MATCH(COLUMNS($AO$1006:BJ1006),$AO$1006:$BQ$1006,0))&gt;=100000), " ",IF(INDEX($AO$2:$BQ$1001,MATCH(ROWS($AH$2:AH754),$AH$2:$AH$1001,0),MATCH(COLUMNS($AO$1006:BJ1006),$AO$1006:$BQ$1006,0)), HYPERLINK("#",""), HYPERLINK(CONCATENATE("#Metadata!", ADDRESS(INDEX($AJ$2:$AJ$1001,MATCH(ROWS($AH$2:AH754),$AH$2:$AH$1001,0),0), INDEX($AO$1004:$BQ$1004,1,MATCH(COLUMNS($AO$1006:BJ1006),$AO$1006:$BQ$1006,0)))),"Fix")))</f>
        <v>#N/A</v>
      </c>
      <c r="X754" s="5" t="e">
        <f ca="1">IF(OR(INDEX($AI$2:$AI$1001,MATCH(ROWS($AH$2:AH754),$AH$2:$AH$1001,0),1)&gt;=100000,INDEX($AO$1005:$BQ$1005,1,MATCH(COLUMNS($AO$1006:BK1006),$AO$1006:$BQ$1006,0))&gt;=100000), " ",IF(INDEX($AO$2:$BQ$1001,MATCH(ROWS($AH$2:AH754),$AH$2:$AH$1001,0),MATCH(COLUMNS($AO$1006:BK1006),$AO$1006:$BQ$1006,0)), HYPERLINK("#",""), HYPERLINK(CONCATENATE("#Metadata!", ADDRESS(INDEX($AJ$2:$AJ$1001,MATCH(ROWS($AH$2:AH754),$AH$2:$AH$1001,0),0), INDEX($AO$1004:$BQ$1004,1,MATCH(COLUMNS($AO$1006:BK1006),$AO$1006:$BQ$1006,0)))),"Fix")))</f>
        <v>#N/A</v>
      </c>
      <c r="Y754" s="5" t="e">
        <f ca="1">IF(OR(INDEX($AI$2:$AI$1001,MATCH(ROWS($AH$2:AH754),$AH$2:$AH$1001,0),1)&gt;=100000,INDEX($AO$1005:$BQ$1005,1,MATCH(COLUMNS($AO$1006:BL1006),$AO$1006:$BQ$1006,0))&gt;=100000), " ",IF(INDEX($AO$2:$BQ$1001,MATCH(ROWS($AH$2:AH754),$AH$2:$AH$1001,0),MATCH(COLUMNS($AO$1006:BL1006),$AO$1006:$BQ$1006,0)), HYPERLINK("#",""), HYPERLINK(CONCATENATE("#Metadata!", ADDRESS(INDEX($AJ$2:$AJ$1001,MATCH(ROWS($AH$2:AH754),$AH$2:$AH$1001,0),0), INDEX($AO$1004:$BQ$1004,1,MATCH(COLUMNS($AO$1006:BL1006),$AO$1006:$BQ$1006,0)))),"Fix")))</f>
        <v>#N/A</v>
      </c>
      <c r="Z754" s="5" t="e">
        <f ca="1">IF(OR(INDEX($AI$2:$AI$1001,MATCH(ROWS($AH$2:AH754),$AH$2:$AH$1001,0),1)&gt;=100000,INDEX($AO$1005:$BQ$1005,1,MATCH(COLUMNS($AO$1006:BM1006),$AO$1006:$BQ$1006,0))&gt;=100000), " ",IF(INDEX($AO$2:$BQ$1001,MATCH(ROWS($AH$2:AH754),$AH$2:$AH$1001,0),MATCH(COLUMNS($AO$1006:BM1006),$AO$1006:$BQ$1006,0)), HYPERLINK("#",""), HYPERLINK(CONCATENATE("#Metadata!", ADDRESS(INDEX($AJ$2:$AJ$1001,MATCH(ROWS($AH$2:AH754),$AH$2:$AH$1001,0),0), INDEX($AO$1004:$BQ$1004,1,MATCH(COLUMNS($AO$1006:BM1006),$AO$1006:$BQ$1006,0)))),"Fix")))</f>
        <v>#N/A</v>
      </c>
      <c r="AA754" s="5" t="e">
        <f ca="1">IF(OR(INDEX($AI$2:$AI$1001,MATCH(ROWS($AH$2:AH754),$AH$2:$AH$1001,0),1)&gt;=100000,INDEX($AO$1005:$BQ$1005,1,MATCH(COLUMNS($AO$1006:BN1006),$AO$1006:$BQ$1006,0))&gt;=100000), " ",IF(INDEX($AO$2:$BQ$1001,MATCH(ROWS($AH$2:AH754),$AH$2:$AH$1001,0),MATCH(COLUMNS($AO$1006:BN1006),$AO$1006:$BQ$1006,0)), HYPERLINK("#",""), HYPERLINK(CONCATENATE("#Metadata!", ADDRESS(INDEX($AJ$2:$AJ$1001,MATCH(ROWS($AH$2:AH754),$AH$2:$AH$1001,0),0), INDEX($AO$1004:$BQ$1004,1,MATCH(COLUMNS($AO$1006:BN1006),$AO$1006:$BQ$1006,0)))),"Fix")))</f>
        <v>#N/A</v>
      </c>
      <c r="AB754" s="5" t="e">
        <f ca="1">IF(OR(INDEX($AI$2:$AI$1001,MATCH(ROWS($AH$2:AH754),$AH$2:$AH$1001,0),1)&gt;=100000,INDEX($AO$1005:$BQ$1005,1,MATCH(COLUMNS($AO$1006:BO1006),$AO$1006:$BQ$1006,0))&gt;=100000), " ",IF(INDEX($AO$2:$BQ$1001,MATCH(ROWS($AH$2:AH754),$AH$2:$AH$1001,0),MATCH(COLUMNS($AO$1006:BO1006),$AO$1006:$BQ$1006,0)), HYPERLINK("#",""), HYPERLINK(CONCATENATE("#Metadata!", ADDRESS(INDEX($AJ$2:$AJ$1001,MATCH(ROWS($AH$2:AH754),$AH$2:$AH$1001,0),0), INDEX($AO$1004:$BQ$1004,1,MATCH(COLUMNS($AO$1006:BO1006),$AO$1006:$BQ$1006,0)))),"Fix")))</f>
        <v>#N/A</v>
      </c>
      <c r="AC754" s="5" t="e">
        <f ca="1">IF(OR(INDEX($AI$2:$AI$1001,MATCH(ROWS($AH$2:AH754),$AH$2:$AH$1001,0),1)&gt;=100000,INDEX($AO$1005:$BQ$1005,1,MATCH(COLUMNS($AO$1006:BP1006),$AO$1006:$BQ$1006,0))&gt;=100000), " ",IF(INDEX($AO$2:$BQ$1001,MATCH(ROWS($AH$2:AH754),$AH$2:$AH$1001,0),MATCH(COLUMNS($AO$1006:BP1006),$AO$1006:$BQ$1006,0)), HYPERLINK("#",""), HYPERLINK(CONCATENATE("#Metadata!", ADDRESS(INDEX($AJ$2:$AJ$1001,MATCH(ROWS($AH$2:AH754),$AH$2:$AH$1001,0),0), INDEX($AO$1004:$BQ$1004,1,MATCH(COLUMNS($AO$1006:BP1006),$AO$1006:$BQ$1006,0)))),"Fix")))</f>
        <v>#N/A</v>
      </c>
      <c r="AD754" s="5" t="e">
        <f ca="1">IF(OR(INDEX($AI$2:$AI$1001,MATCH(ROWS($AH$2:AH754),$AH$2:$AH$1001,0),1)&gt;=100000,INDEX($AO$1005:$BQ$1005,1,MATCH(COLUMNS($AO$1006:BQ1006),$AO$1006:$BQ$1006,0))&gt;=100000), " ",IF(INDEX($AO$2:$BQ$1001,MATCH(ROWS($AH$2:AH754),$AH$2:$AH$1001,0),MATCH(COLUMNS($AO$1006:BQ1006),$AO$1006:$BQ$1006,0)), HYPERLINK("#",""), HYPERLINK(CONCATENATE("#Metadata!", ADDRESS(INDEX($AJ$2:$AJ$1001,MATCH(ROWS($AH$2:AH754),$AH$2:$AH$1001,0),0), INDEX($AO$1004:$BQ$1004,1,MATCH(COLUMNS($AO$1006:BQ1006),$AO$1006:$BQ$1006,0)))),"Fix")))</f>
        <v>#REF!</v>
      </c>
      <c r="AH754">
        <f ca="1"/>
        <v>751</v>
      </c>
      <c r="AI754">
        <v>100754</v>
      </c>
      <c r="AJ754">
        <v>754</v>
      </c>
      <c r="AK754" t="b">
        <f t="shared" si="11"/>
        <v>1</v>
      </c>
      <c r="AL754" t="b">
        <f>COUNTBLANK(Metadata!B754:AD754)=COLUMNS(Metadata!B754:AD754)</f>
        <v>1</v>
      </c>
      <c r="AM754" t="str">
        <v/>
      </c>
      <c r="AO754" t="b">
        <f ca="1">AND(IF(Metadata!B754="",FALSE,TRUE),COUNTIF(Metadata!B:B, Metadata!B754) = 1,NOT(ISERROR(SUMPRODUCT(SEARCH(MID(Metadata!B754,ROW(INDIRECT("1:"&amp;LEN(Metadata!B754))), 1),"0123456789abcdefghijklmnopqrstuvwxyzABCDEFGHIJKLMNOPQRSTUVWXYZ.")))))</f>
        <v>0</v>
      </c>
      <c r="AP754" t="b">
        <f>IF(Metadata!C754="",FALSE,TRUE)</f>
        <v>0</v>
      </c>
      <c r="AQ754" t="b">
        <f>IF(Metadata!D754="",FALSE,TRUE)</f>
        <v>0</v>
      </c>
      <c r="AR754" t="b">
        <f ca="1">OR(AND(IF(Metadata!E754="",FALSE,TRUE),OR(EXACT(Metadata!E754,"not collected"),EXACT(Metadata!E754,"not provided"),EXACT(Metadata!E754,"restricted access"))),AND(IF(Metadata!E754="",FALSE,TRUE),AND(AND(IFERROR(INT(LEFT(Metadata!E754,4))&gt;1900,FALSE),IFERROR(INT(LEFT(Metadata!E754,4))&lt;=YEAR(NOW()),FALSE)), OR(MID(Metadata!E754,5,1)="", AND(AND(MID(Metadata!E754,5,1)="-",IFERROR(INT(MID(Metadata!E754,6,1))&gt;=0,FALSE),IFERROR(INT(MID(Metadata!E754,6,1))&lt;=1,FALSE),NOT(MID(Metadata!E754,7,1)=""),IFERROR(INT(MID(Metadata!E754,6,2))&gt;=1,FALSE),IFERROR(INT(MID(Metadata!E754,6,2))&lt;=12,FALSE)), OR(MID(Metadata!E754,8,1)="", AND(AND(MID(Metadata!E754,8,1)="-",IFERROR(INT(MID(Metadata!E754,9,1))&gt;=0,FALSE),IFERROR(INT(MID(Metadata!E754,9,1))&lt;=3,FALSE),NOT(MID(Metadata!E754,10,1)=""),IFERROR(INT(MID(Metadata!E754,9,2))&gt;=1,FALSE),IFERROR(INT(MID(Metadata!E754,9,2))&lt;=31,FALSE)), OR(MID(Metadata!E754,11,1)="", AND(AND(MID(Metadata!E754,11,1)=" ",IFERROR(INT(MID(Metadata!E754,12,1))&gt;=0,FALSE),IFERROR(INT(MID(Metadata!E754,12,1))&lt;=2,FALSE),NOT(MID(Metadata!E754,13,1)=""),IFERROR(INT(MID(Metadata!E754,12,2))&gt;=0,FALSE),IFERROR(INT(MID(Metadata!E754,12,2))&lt;=23,FALSE)), OR(MID(Metadata!E754,14,1)="", AND(AND(MID(Metadata!E754,14,1)=":",IFERROR(INT(MID(Metadata!E754,15,1))&gt;=0,FALSE),IFERROR(INT(MID(Metadata!E754,15,1))&lt;=5,FALSE),NOT(MID(Metadata!E754,16,1)=""),IFERROR(INT(MID(Metadata!E754,15,2))&gt;=0,FALSE),IFERROR(INT(MID(Metadata!E754,15,2))&lt;=59,FALSE)), OR(MID(Metadata!E754,17,1)="", AND(AND(MID(Metadata!E754,17,1)=":",IFERROR(INT(MID(Metadata!E754,18,1))&gt;=0,FALSE),IFERROR(INT(MID(Metadata!E754,18,1))&lt;=5,FALSE),NOT(MID(Metadata!E754,19,1)=""),IFERROR(INT(MID(Metadata!E754,18,2))&gt;=0,FALSE),IFERROR(INT(MID(Metadata!E754,18,2))&lt;=59,FALSE)), LEN(Metadata!E754)&lt;=19)))))))))))))</f>
        <v>0</v>
      </c>
      <c r="AS754" t="b">
        <f>IF(Metadata!F754="",FALSE,TRUE)</f>
        <v>0</v>
      </c>
      <c r="AT754" t="b">
        <f>OR(AND(IF(Metadata!G754="",FALSE,TRUE),OR(EXACT(Metadata!G754,"not collected"),EXACT(Metadata!G754,"not provided"))),AND(IF(Metadata!G754="",FALSE,TRUE),OR(EXACT(Metadata!G754,"TRUE"),EXACT(Metadata!G754,"FALSE"))))</f>
        <v>0</v>
      </c>
      <c r="AU754" t="b">
        <f>OR(AND(IF(Metadata!H754="",FALSE,TRUE),OR(EXACT(Metadata!H754,"not collected"),EXACT(Metadata!H754,"not provided"),EXACT(Metadata!H754,"restricted access"))),AND(IF(Metadata!H754="",FALSE,ISNUMBER(VALUE(Metadata!H754))),Metadata!H754&gt;=-413))</f>
        <v>0</v>
      </c>
      <c r="AV754" t="b">
        <f>AND(IF(Metadata!I754="",FALSE,TRUE),EXACT(Metadata!I754,"meters"))</f>
        <v>0</v>
      </c>
      <c r="AW754" t="b">
        <f>AND(IF(Metadata!J754="",FALSE,TRUE),EXACT(Metadata!J754,"free-living"))</f>
        <v>0</v>
      </c>
      <c r="AX754" t="b">
        <f>AND(IF(Metadata!K754="",FALSE,TRUE),OR(EXACT(Metadata!K754,"saline"),EXACT(Metadata!K754,"non-saline")))</f>
        <v>0</v>
      </c>
      <c r="AY754" t="b">
        <f>AND(IF(Metadata!L754="",FALSE,TRUE),OR(EXACT(Metadata!L754,"sub-surface (non-saline)"),EXACT(Metadata!L754,"surface (non-saline)"),EXACT(Metadata!L754,"water (non-saline)"),EXACT(Metadata!L754,"soil (non-saline)"),EXACT(Metadata!L754,"aerosol (non-saline)"),EXACT(Metadata!L754,"sediment (non-saline)"),EXACT(Metadata!L754,"surface (saline)"),EXACT(Metadata!L754,"water (saline)"),EXACT(Metadata!L754,"hypersaline (saline)"),EXACT(Metadata!L754,"aerosol (saline)"),EXACT(Metadata!L754,"sediment (saline)")))</f>
        <v>0</v>
      </c>
      <c r="AZ754" t="b">
        <f>IF(Metadata!M754="",FALSE,TRUE)</f>
        <v>0</v>
      </c>
      <c r="BA754" t="b">
        <f>IF(Metadata!N754="",FALSE,TRUE)</f>
        <v>0</v>
      </c>
      <c r="BB754" t="b">
        <f>IF(Metadata!O754="",FALSE,TRUE)</f>
        <v>0</v>
      </c>
      <c r="BC754" t="b">
        <f>AND(IF(Metadata!P754="",FALSE,TRUE),OR(EXACT(Metadata!P754,"air"),EXACT(Metadata!P754,"microbial mat/biofilm"),EXACT(Metadata!P754,"misc environment"),EXACT(Metadata!P754,"sediment"),EXACT(Metadata!P754,"soil"),EXACT(Metadata!P754,"wastewater/sludge"),EXACT(Metadata!P754,"water")))</f>
        <v>0</v>
      </c>
      <c r="BD754" t="b">
        <f>IF(Metadata!Q754="",FALSE,TRUE)</f>
        <v>0</v>
      </c>
      <c r="BE754" t="b">
        <f>IF(Metadata!R754="",FALSE,TRUE)</f>
        <v>0</v>
      </c>
      <c r="BF754" t="b">
        <f>OR(AND(IF(Metadata!S754="",FALSE,TRUE),OR(EXACT(Metadata!S754,"not collected"),EXACT(Metadata!S754,"not provided"),EXACT(Metadata!S754,"restricted access"))),AND(IF(Metadata!S754="",FALSE,ISNUMBER(VALUE(Metadata!S754))),Metadata!S754&gt;=-90,Metadata!S754&lt;=90))</f>
        <v>0</v>
      </c>
      <c r="BG754" t="b">
        <f>AND(IF(Metadata!T754="",FALSE,TRUE),EXACT(Metadata!T754,"Decimal degrees"))</f>
        <v>0</v>
      </c>
      <c r="BH754" t="b">
        <f>OR(AND(IF(Metadata!U754="",FALSE,TRUE),OR(EXACT(Metadata!U754,"not applicable"),EXACT(Metadata!U754,"not collected"))),IF(Metadata!U754="",FALSE,TRUE))</f>
        <v>0</v>
      </c>
      <c r="BI754" t="b">
        <f>OR(AND(IF(Metadata!V754="",FALSE,TRUE),OR(EXACT(Metadata!V754,"not collected"),EXACT(Metadata!V754,"not provided"),EXACT(Metadata!V754,"restricted access"))),AND(IF(Metadata!V754="",FALSE,ISNUMBER(VALUE(Metadata!V754))),Metadata!V754&gt;=-180,Metadata!V754&lt;=180))</f>
        <v>0</v>
      </c>
      <c r="BJ754" t="b">
        <f>AND(IF(Metadata!W754="",FALSE,TRUE),EXACT(Metadata!W754,"Decimal degrees"))</f>
        <v>0</v>
      </c>
      <c r="BK754" t="b">
        <f>IF(Metadata!X754="",FALSE,TRUE)</f>
        <v>0</v>
      </c>
      <c r="BL754" t="b">
        <f>OR(AND(IF(Metadata!Y754="",FALSE,TRUE),OR(EXACT(Metadata!Y754,"not collected"),EXACT(Metadata!Y754,"not provided"),EXACT(Metadata!Y754,"restricted access"))),AND(IF(Metadata!Y754="",FALSE,TRUE),OR(EXACT(Metadata!Y754,"TRUE"),EXACT(Metadata!Y754,"FALSE"))))</f>
        <v>0</v>
      </c>
      <c r="BM754" t="b">
        <f>OR(AND(IF(Metadata!Z754="",FALSE,TRUE),EXACT(Metadata!Z754,"not applicable")),AND(IF(Metadata!Z754="",FALSE,TRUE),OR(EXACT(Metadata!Z754,"beer"),EXACT(Metadata!Z754,"cheese"),EXACT(Metadata!Z754,"fresh water"),EXACT(Metadata!Z754,"marine sediment"),EXACT(Metadata!Z754,"sea water"),EXACT(Metadata!Z754,"sediment"),EXACT(Metadata!Z754,"soil"),EXACT(Metadata!Z754,"waste water"))))</f>
        <v>0</v>
      </c>
      <c r="BN754" t="b">
        <f>AND(IF(Metadata!AA754="",FALSE,TRUE),EXACT(Metadata!AA754,"metagenome"))</f>
        <v>0</v>
      </c>
      <c r="BO754" t="b">
        <f>AND(IF(Metadata!AB754="",FALSE,TRUE),EXACT(Metadata!AB754,"256318"))</f>
        <v>0</v>
      </c>
      <c r="BP754" t="b">
        <f>IF(Metadata!AC754="",FALSE,TRUE)</f>
        <v>0</v>
      </c>
      <c r="BQ754" t="b">
        <f>IF(Metadata!AD754="",FALSE,TRUE)</f>
        <v>0</v>
      </c>
    </row>
    <row r="755" spans="1:69" x14ac:dyDescent="0.2">
      <c r="A755" s="4" t="e">
        <f ca="1">IF(B755=" "," ",HYPERLINK(CONCATENATE("#metadata!",ADDRESS(INDEX($AJ$2:$AJ$1001,MATCH(ROWS($AH$2:AH755),$AH$2:$AH$1001,0),0),2)),INDEX($AM$2:$AM$1001,MATCH(ROWS($AH$2:AH755),$AH$2:$AH$1001,0),0)))</f>
        <v>#N/A</v>
      </c>
      <c r="B755" s="5" t="e">
        <f ca="1">IF(OR(INDEX($AI$2:$AI$1001,MATCH(ROWS($AH$2:AH755),$AH$2:$AH$1001,0),1)&gt;=100000,INDEX($AO$1005:$BQ$1005,1,MATCH(COLUMNS($AO$1006:AO1006),$AO$1006:$BQ$1006,0))&gt;=100000), " ",IF(INDEX($AO$2:$BQ$1001,MATCH(ROWS($AH$2:AH755),$AH$2:$AH$1001,0),MATCH(COLUMNS($AO$1006:AO1006),$AO$1006:$BQ$1006,0)), HYPERLINK("#",""), HYPERLINK(CONCATENATE("#Metadata!", ADDRESS(INDEX($AJ$2:$AJ$1001,MATCH(ROWS($AH$2:AH755),$AH$2:$AH$1001,0),0), INDEX($AO$1004:$BQ$1004,1,MATCH(COLUMNS($AO$1006:AO1006),$AO$1006:$BQ$1006,0)))),"Fix")))</f>
        <v>#N/A</v>
      </c>
      <c r="C755" s="5" t="e">
        <f ca="1">IF(OR(INDEX($AI$2:$AI$1001,MATCH(ROWS($AH$2:AH755),$AH$2:$AH$1001,0),1)&gt;=100000,INDEX($AO$1005:$BQ$1005,1,MATCH(COLUMNS($AO$1006:AP1006),$AO$1006:$BQ$1006,0))&gt;=100000), " ",IF(INDEX($AO$2:$BQ$1001,MATCH(ROWS($AH$2:AH755),$AH$2:$AH$1001,0),MATCH(COLUMNS($AO$1006:AP1006),$AO$1006:$BQ$1006,0)), HYPERLINK("#",""), HYPERLINK(CONCATENATE("#Metadata!", ADDRESS(INDEX($AJ$2:$AJ$1001,MATCH(ROWS($AH$2:AH755),$AH$2:$AH$1001,0),0), INDEX($AO$1004:$BQ$1004,1,MATCH(COLUMNS($AO$1006:AP1006),$AO$1006:$BQ$1006,0)))),"Fix")))</f>
        <v>#N/A</v>
      </c>
      <c r="D755" s="5" t="e">
        <f ca="1">IF(OR(INDEX($AI$2:$AI$1001,MATCH(ROWS($AH$2:AH755),$AH$2:$AH$1001,0),1)&gt;=100000,INDEX($AO$1005:$BQ$1005,1,MATCH(COLUMNS($AO$1006:AQ1006),$AO$1006:$BQ$1006,0))&gt;=100000), " ",IF(INDEX($AO$2:$BQ$1001,MATCH(ROWS($AH$2:AH755),$AH$2:$AH$1001,0),MATCH(COLUMNS($AO$1006:AQ1006),$AO$1006:$BQ$1006,0)), HYPERLINK("#",""), HYPERLINK(CONCATENATE("#Metadata!", ADDRESS(INDEX($AJ$2:$AJ$1001,MATCH(ROWS($AH$2:AH755),$AH$2:$AH$1001,0),0), INDEX($AO$1004:$BQ$1004,1,MATCH(COLUMNS($AO$1006:AQ1006),$AO$1006:$BQ$1006,0)))),"Fix")))</f>
        <v>#N/A</v>
      </c>
      <c r="E755" s="5" t="e">
        <f ca="1">IF(OR(INDEX($AI$2:$AI$1001,MATCH(ROWS($AH$2:AH755),$AH$2:$AH$1001,0),1)&gt;=100000,INDEX($AO$1005:$BQ$1005,1,MATCH(COLUMNS($AO$1006:AR1006),$AO$1006:$BQ$1006,0))&gt;=100000), " ",IF(INDEX($AO$2:$BQ$1001,MATCH(ROWS($AH$2:AH755),$AH$2:$AH$1001,0),MATCH(COLUMNS($AO$1006:AR1006),$AO$1006:$BQ$1006,0)), HYPERLINK("#",""), HYPERLINK(CONCATENATE("#Metadata!", ADDRESS(INDEX($AJ$2:$AJ$1001,MATCH(ROWS($AH$2:AH755),$AH$2:$AH$1001,0),0), INDEX($AO$1004:$BQ$1004,1,MATCH(COLUMNS($AO$1006:AR1006),$AO$1006:$BQ$1006,0)))),"Fix")))</f>
        <v>#N/A</v>
      </c>
      <c r="F755" s="5" t="e">
        <f ca="1">IF(OR(INDEX($AI$2:$AI$1001,MATCH(ROWS($AH$2:AH755),$AH$2:$AH$1001,0),1)&gt;=100000,INDEX($AO$1005:$BQ$1005,1,MATCH(COLUMNS($AO$1006:AS1006),$AO$1006:$BQ$1006,0))&gt;=100000), " ",IF(INDEX($AO$2:$BQ$1001,MATCH(ROWS($AH$2:AH755),$AH$2:$AH$1001,0),MATCH(COLUMNS($AO$1006:AS1006),$AO$1006:$BQ$1006,0)), HYPERLINK("#",""), HYPERLINK(CONCATENATE("#Metadata!", ADDRESS(INDEX($AJ$2:$AJ$1001,MATCH(ROWS($AH$2:AH755),$AH$2:$AH$1001,0),0), INDEX($AO$1004:$BQ$1004,1,MATCH(COLUMNS($AO$1006:AS1006),$AO$1006:$BQ$1006,0)))),"Fix")))</f>
        <v>#N/A</v>
      </c>
      <c r="G755" s="5" t="e">
        <f ca="1">IF(OR(INDEX($AI$2:$AI$1001,MATCH(ROWS($AH$2:AH755),$AH$2:$AH$1001,0),1)&gt;=100000,INDEX($AO$1005:$BQ$1005,1,MATCH(COLUMNS($AO$1006:AT1006),$AO$1006:$BQ$1006,0))&gt;=100000), " ",IF(INDEX($AO$2:$BQ$1001,MATCH(ROWS($AH$2:AH755),$AH$2:$AH$1001,0),MATCH(COLUMNS($AO$1006:AT1006),$AO$1006:$BQ$1006,0)), HYPERLINK("#",""), HYPERLINK(CONCATENATE("#Metadata!", ADDRESS(INDEX($AJ$2:$AJ$1001,MATCH(ROWS($AH$2:AH755),$AH$2:$AH$1001,0),0), INDEX($AO$1004:$BQ$1004,1,MATCH(COLUMNS($AO$1006:AT1006),$AO$1006:$BQ$1006,0)))),"Fix")))</f>
        <v>#N/A</v>
      </c>
      <c r="H755" s="5" t="e">
        <f ca="1">IF(OR(INDEX($AI$2:$AI$1001,MATCH(ROWS($AH$2:AH755),$AH$2:$AH$1001,0),1)&gt;=100000,INDEX($AO$1005:$BQ$1005,1,MATCH(COLUMNS($AO$1006:AU1006),$AO$1006:$BQ$1006,0))&gt;=100000), " ",IF(INDEX($AO$2:$BQ$1001,MATCH(ROWS($AH$2:AH755),$AH$2:$AH$1001,0),MATCH(COLUMNS($AO$1006:AU1006),$AO$1006:$BQ$1006,0)), HYPERLINK("#",""), HYPERLINK(CONCATENATE("#Metadata!", ADDRESS(INDEX($AJ$2:$AJ$1001,MATCH(ROWS($AH$2:AH755),$AH$2:$AH$1001,0),0), INDEX($AO$1004:$BQ$1004,1,MATCH(COLUMNS($AO$1006:AU1006),$AO$1006:$BQ$1006,0)))),"Fix")))</f>
        <v>#N/A</v>
      </c>
      <c r="I755" s="5" t="e">
        <f ca="1">IF(OR(INDEX($AI$2:$AI$1001,MATCH(ROWS($AH$2:AH755),$AH$2:$AH$1001,0),1)&gt;=100000,INDEX($AO$1005:$BQ$1005,1,MATCH(COLUMNS($AO$1006:AV1006),$AO$1006:$BQ$1006,0))&gt;=100000), " ",IF(INDEX($AO$2:$BQ$1001,MATCH(ROWS($AH$2:AH755),$AH$2:$AH$1001,0),MATCH(COLUMNS($AO$1006:AV1006),$AO$1006:$BQ$1006,0)), HYPERLINK("#",""), HYPERLINK(CONCATENATE("#Metadata!", ADDRESS(INDEX($AJ$2:$AJ$1001,MATCH(ROWS($AH$2:AH755),$AH$2:$AH$1001,0),0), INDEX($AO$1004:$BQ$1004,1,MATCH(COLUMNS($AO$1006:AV1006),$AO$1006:$BQ$1006,0)))),"Fix")))</f>
        <v>#N/A</v>
      </c>
      <c r="J755" s="5" t="e">
        <f ca="1">IF(OR(INDEX($AI$2:$AI$1001,MATCH(ROWS($AH$2:AH755),$AH$2:$AH$1001,0),1)&gt;=100000,INDEX($AO$1005:$BQ$1005,1,MATCH(COLUMNS($AO$1006:AW1006),$AO$1006:$BQ$1006,0))&gt;=100000), " ",IF(INDEX($AO$2:$BQ$1001,MATCH(ROWS($AH$2:AH755),$AH$2:$AH$1001,0),MATCH(COLUMNS($AO$1006:AW1006),$AO$1006:$BQ$1006,0)), HYPERLINK("#",""), HYPERLINK(CONCATENATE("#Metadata!", ADDRESS(INDEX($AJ$2:$AJ$1001,MATCH(ROWS($AH$2:AH755),$AH$2:$AH$1001,0),0), INDEX($AO$1004:$BQ$1004,1,MATCH(COLUMNS($AO$1006:AW1006),$AO$1006:$BQ$1006,0)))),"Fix")))</f>
        <v>#N/A</v>
      </c>
      <c r="K755" s="5" t="e">
        <f ca="1">IF(OR(INDEX($AI$2:$AI$1001,MATCH(ROWS($AH$2:AH755),$AH$2:$AH$1001,0),1)&gt;=100000,INDEX($AO$1005:$BQ$1005,1,MATCH(COLUMNS($AO$1006:AX1006),$AO$1006:$BQ$1006,0))&gt;=100000), " ",IF(INDEX($AO$2:$BQ$1001,MATCH(ROWS($AH$2:AH755),$AH$2:$AH$1001,0),MATCH(COLUMNS($AO$1006:AX1006),$AO$1006:$BQ$1006,0)), HYPERLINK("#",""), HYPERLINK(CONCATENATE("#Metadata!", ADDRESS(INDEX($AJ$2:$AJ$1001,MATCH(ROWS($AH$2:AH755),$AH$2:$AH$1001,0),0), INDEX($AO$1004:$BQ$1004,1,MATCH(COLUMNS($AO$1006:AX1006),$AO$1006:$BQ$1006,0)))),"Fix")))</f>
        <v>#N/A</v>
      </c>
      <c r="L755" s="5" t="e">
        <f ca="1">IF(OR(INDEX($AI$2:$AI$1001,MATCH(ROWS($AH$2:AH755),$AH$2:$AH$1001,0),1)&gt;=100000,INDEX($AO$1005:$BQ$1005,1,MATCH(COLUMNS($AO$1006:AY1006),$AO$1006:$BQ$1006,0))&gt;=100000), " ",IF(INDEX($AO$2:$BQ$1001,MATCH(ROWS($AH$2:AH755),$AH$2:$AH$1001,0),MATCH(COLUMNS($AO$1006:AY1006),$AO$1006:$BQ$1006,0)), HYPERLINK("#",""), HYPERLINK(CONCATENATE("#Metadata!", ADDRESS(INDEX($AJ$2:$AJ$1001,MATCH(ROWS($AH$2:AH755),$AH$2:$AH$1001,0),0), INDEX($AO$1004:$BQ$1004,1,MATCH(COLUMNS($AO$1006:AY1006),$AO$1006:$BQ$1006,0)))),"Fix")))</f>
        <v>#N/A</v>
      </c>
      <c r="M755" s="5" t="e">
        <f ca="1">IF(OR(INDEX($AI$2:$AI$1001,MATCH(ROWS($AH$2:AH755),$AH$2:$AH$1001,0),1)&gt;=100000,INDEX($AO$1005:$BQ$1005,1,MATCH(COLUMNS($AO$1006:AZ1006),$AO$1006:$BQ$1006,0))&gt;=100000), " ",IF(INDEX($AO$2:$BQ$1001,MATCH(ROWS($AH$2:AH755),$AH$2:$AH$1001,0),MATCH(COLUMNS($AO$1006:AZ1006),$AO$1006:$BQ$1006,0)), HYPERLINK("#",""), HYPERLINK(CONCATENATE("#Metadata!", ADDRESS(INDEX($AJ$2:$AJ$1001,MATCH(ROWS($AH$2:AH755),$AH$2:$AH$1001,0),0), INDEX($AO$1004:$BQ$1004,1,MATCH(COLUMNS($AO$1006:AZ1006),$AO$1006:$BQ$1006,0)))),"Fix")))</f>
        <v>#N/A</v>
      </c>
      <c r="N755" s="5" t="e">
        <f ca="1">IF(OR(INDEX($AI$2:$AI$1001,MATCH(ROWS($AH$2:AH755),$AH$2:$AH$1001,0),1)&gt;=100000,INDEX($AO$1005:$BQ$1005,1,MATCH(COLUMNS($AO$1006:BA1006),$AO$1006:$BQ$1006,0))&gt;=100000), " ",IF(INDEX($AO$2:$BQ$1001,MATCH(ROWS($AH$2:AH755),$AH$2:$AH$1001,0),MATCH(COLUMNS($AO$1006:BA1006),$AO$1006:$BQ$1006,0)), HYPERLINK("#",""), HYPERLINK(CONCATENATE("#Metadata!", ADDRESS(INDEX($AJ$2:$AJ$1001,MATCH(ROWS($AH$2:AH755),$AH$2:$AH$1001,0),0), INDEX($AO$1004:$BQ$1004,1,MATCH(COLUMNS($AO$1006:BA1006),$AO$1006:$BQ$1006,0)))),"Fix")))</f>
        <v>#N/A</v>
      </c>
      <c r="O755" s="5" t="e">
        <f ca="1">IF(OR(INDEX($AI$2:$AI$1001,MATCH(ROWS($AH$2:AH755),$AH$2:$AH$1001,0),1)&gt;=100000,INDEX($AO$1005:$BQ$1005,1,MATCH(COLUMNS($AO$1006:BB1006),$AO$1006:$BQ$1006,0))&gt;=100000), " ",IF(INDEX($AO$2:$BQ$1001,MATCH(ROWS($AH$2:AH755),$AH$2:$AH$1001,0),MATCH(COLUMNS($AO$1006:BB1006),$AO$1006:$BQ$1006,0)), HYPERLINK("#",""), HYPERLINK(CONCATENATE("#Metadata!", ADDRESS(INDEX($AJ$2:$AJ$1001,MATCH(ROWS($AH$2:AH755),$AH$2:$AH$1001,0),0), INDEX($AO$1004:$BQ$1004,1,MATCH(COLUMNS($AO$1006:BB1006),$AO$1006:$BQ$1006,0)))),"Fix")))</f>
        <v>#N/A</v>
      </c>
      <c r="P755" s="5" t="e">
        <f ca="1">IF(OR(INDEX($AI$2:$AI$1001,MATCH(ROWS($AH$2:AH755),$AH$2:$AH$1001,0),1)&gt;=100000,INDEX($AO$1005:$BQ$1005,1,MATCH(COLUMNS($AO$1006:BC1006),$AO$1006:$BQ$1006,0))&gt;=100000), " ",IF(INDEX($AO$2:$BQ$1001,MATCH(ROWS($AH$2:AH755),$AH$2:$AH$1001,0),MATCH(COLUMNS($AO$1006:BC1006),$AO$1006:$BQ$1006,0)), HYPERLINK("#",""), HYPERLINK(CONCATENATE("#Metadata!", ADDRESS(INDEX($AJ$2:$AJ$1001,MATCH(ROWS($AH$2:AH755),$AH$2:$AH$1001,0),0), INDEX($AO$1004:$BQ$1004,1,MATCH(COLUMNS($AO$1006:BC1006),$AO$1006:$BQ$1006,0)))),"Fix")))</f>
        <v>#N/A</v>
      </c>
      <c r="Q755" s="5" t="e">
        <f ca="1">IF(OR(INDEX($AI$2:$AI$1001,MATCH(ROWS($AH$2:AH755),$AH$2:$AH$1001,0),1)&gt;=100000,INDEX($AO$1005:$BQ$1005,1,MATCH(COLUMNS($AO$1006:BD1006),$AO$1006:$BQ$1006,0))&gt;=100000), " ",IF(INDEX($AO$2:$BQ$1001,MATCH(ROWS($AH$2:AH755),$AH$2:$AH$1001,0),MATCH(COLUMNS($AO$1006:BD1006),$AO$1006:$BQ$1006,0)), HYPERLINK("#",""), HYPERLINK(CONCATENATE("#Metadata!", ADDRESS(INDEX($AJ$2:$AJ$1001,MATCH(ROWS($AH$2:AH755),$AH$2:$AH$1001,0),0), INDEX($AO$1004:$BQ$1004,1,MATCH(COLUMNS($AO$1006:BD1006),$AO$1006:$BQ$1006,0)))),"Fix")))</f>
        <v>#N/A</v>
      </c>
      <c r="R755" s="5" t="e">
        <f ca="1">IF(OR(INDEX($AI$2:$AI$1001,MATCH(ROWS($AH$2:AH755),$AH$2:$AH$1001,0),1)&gt;=100000,INDEX($AO$1005:$BQ$1005,1,MATCH(COLUMNS($AO$1006:BE1006),$AO$1006:$BQ$1006,0))&gt;=100000), " ",IF(INDEX($AO$2:$BQ$1001,MATCH(ROWS($AH$2:AH755),$AH$2:$AH$1001,0),MATCH(COLUMNS($AO$1006:BE1006),$AO$1006:$BQ$1006,0)), HYPERLINK("#",""), HYPERLINK(CONCATENATE("#Metadata!", ADDRESS(INDEX($AJ$2:$AJ$1001,MATCH(ROWS($AH$2:AH755),$AH$2:$AH$1001,0),0), INDEX($AO$1004:$BQ$1004,1,MATCH(COLUMNS($AO$1006:BE1006),$AO$1006:$BQ$1006,0)))),"Fix")))</f>
        <v>#N/A</v>
      </c>
      <c r="S755" s="5" t="e">
        <f ca="1">IF(OR(INDEX($AI$2:$AI$1001,MATCH(ROWS($AH$2:AH755),$AH$2:$AH$1001,0),1)&gt;=100000,INDEX($AO$1005:$BQ$1005,1,MATCH(COLUMNS($AO$1006:BF1006),$AO$1006:$BQ$1006,0))&gt;=100000), " ",IF(INDEX($AO$2:$BQ$1001,MATCH(ROWS($AH$2:AH755),$AH$2:$AH$1001,0),MATCH(COLUMNS($AO$1006:BF1006),$AO$1006:$BQ$1006,0)), HYPERLINK("#",""), HYPERLINK(CONCATENATE("#Metadata!", ADDRESS(INDEX($AJ$2:$AJ$1001,MATCH(ROWS($AH$2:AH755),$AH$2:$AH$1001,0),0), INDEX($AO$1004:$BQ$1004,1,MATCH(COLUMNS($AO$1006:BF1006),$AO$1006:$BQ$1006,0)))),"Fix")))</f>
        <v>#N/A</v>
      </c>
      <c r="T755" s="5" t="e">
        <f ca="1">IF(OR(INDEX($AI$2:$AI$1001,MATCH(ROWS($AH$2:AH755),$AH$2:$AH$1001,0),1)&gt;=100000,INDEX($AO$1005:$BQ$1005,1,MATCH(COLUMNS($AO$1006:BG1006),$AO$1006:$BQ$1006,0))&gt;=100000), " ",IF(INDEX($AO$2:$BQ$1001,MATCH(ROWS($AH$2:AH755),$AH$2:$AH$1001,0),MATCH(COLUMNS($AO$1006:BG1006),$AO$1006:$BQ$1006,0)), HYPERLINK("#",""), HYPERLINK(CONCATENATE("#Metadata!", ADDRESS(INDEX($AJ$2:$AJ$1001,MATCH(ROWS($AH$2:AH755),$AH$2:$AH$1001,0),0), INDEX($AO$1004:$BQ$1004,1,MATCH(COLUMNS($AO$1006:BG1006),$AO$1006:$BQ$1006,0)))),"Fix")))</f>
        <v>#N/A</v>
      </c>
      <c r="U755" s="5" t="e">
        <f ca="1">IF(OR(INDEX($AI$2:$AI$1001,MATCH(ROWS($AH$2:AH755),$AH$2:$AH$1001,0),1)&gt;=100000,INDEX($AO$1005:$BQ$1005,1,MATCH(COLUMNS($AO$1006:BH1006),$AO$1006:$BQ$1006,0))&gt;=100000), " ",IF(INDEX($AO$2:$BQ$1001,MATCH(ROWS($AH$2:AH755),$AH$2:$AH$1001,0),MATCH(COLUMNS($AO$1006:BH1006),$AO$1006:$BQ$1006,0)), HYPERLINK("#",""), HYPERLINK(CONCATENATE("#Metadata!", ADDRESS(INDEX($AJ$2:$AJ$1001,MATCH(ROWS($AH$2:AH755),$AH$2:$AH$1001,0),0), INDEX($AO$1004:$BQ$1004,1,MATCH(COLUMNS($AO$1006:BH1006),$AO$1006:$BQ$1006,0)))),"Fix")))</f>
        <v>#N/A</v>
      </c>
      <c r="V755" s="5" t="e">
        <f ca="1">IF(OR(INDEX($AI$2:$AI$1001,MATCH(ROWS($AH$2:AH755),$AH$2:$AH$1001,0),1)&gt;=100000,INDEX($AO$1005:$BQ$1005,1,MATCH(COLUMNS($AO$1006:BI1006),$AO$1006:$BQ$1006,0))&gt;=100000), " ",IF(INDEX($AO$2:$BQ$1001,MATCH(ROWS($AH$2:AH755),$AH$2:$AH$1001,0),MATCH(COLUMNS($AO$1006:BI1006),$AO$1006:$BQ$1006,0)), HYPERLINK("#",""), HYPERLINK(CONCATENATE("#Metadata!", ADDRESS(INDEX($AJ$2:$AJ$1001,MATCH(ROWS($AH$2:AH755),$AH$2:$AH$1001,0),0), INDEX($AO$1004:$BQ$1004,1,MATCH(COLUMNS($AO$1006:BI1006),$AO$1006:$BQ$1006,0)))),"Fix")))</f>
        <v>#N/A</v>
      </c>
      <c r="W755" s="5" t="e">
        <f ca="1">IF(OR(INDEX($AI$2:$AI$1001,MATCH(ROWS($AH$2:AH755),$AH$2:$AH$1001,0),1)&gt;=100000,INDEX($AO$1005:$BQ$1005,1,MATCH(COLUMNS($AO$1006:BJ1006),$AO$1006:$BQ$1006,0))&gt;=100000), " ",IF(INDEX($AO$2:$BQ$1001,MATCH(ROWS($AH$2:AH755),$AH$2:$AH$1001,0),MATCH(COLUMNS($AO$1006:BJ1006),$AO$1006:$BQ$1006,0)), HYPERLINK("#",""), HYPERLINK(CONCATENATE("#Metadata!", ADDRESS(INDEX($AJ$2:$AJ$1001,MATCH(ROWS($AH$2:AH755),$AH$2:$AH$1001,0),0), INDEX($AO$1004:$BQ$1004,1,MATCH(COLUMNS($AO$1006:BJ1006),$AO$1006:$BQ$1006,0)))),"Fix")))</f>
        <v>#N/A</v>
      </c>
      <c r="X755" s="5" t="e">
        <f ca="1">IF(OR(INDEX($AI$2:$AI$1001,MATCH(ROWS($AH$2:AH755),$AH$2:$AH$1001,0),1)&gt;=100000,INDEX($AO$1005:$BQ$1005,1,MATCH(COLUMNS($AO$1006:BK1006),$AO$1006:$BQ$1006,0))&gt;=100000), " ",IF(INDEX($AO$2:$BQ$1001,MATCH(ROWS($AH$2:AH755),$AH$2:$AH$1001,0),MATCH(COLUMNS($AO$1006:BK1006),$AO$1006:$BQ$1006,0)), HYPERLINK("#",""), HYPERLINK(CONCATENATE("#Metadata!", ADDRESS(INDEX($AJ$2:$AJ$1001,MATCH(ROWS($AH$2:AH755),$AH$2:$AH$1001,0),0), INDEX($AO$1004:$BQ$1004,1,MATCH(COLUMNS($AO$1006:BK1006),$AO$1006:$BQ$1006,0)))),"Fix")))</f>
        <v>#N/A</v>
      </c>
      <c r="Y755" s="5" t="e">
        <f ca="1">IF(OR(INDEX($AI$2:$AI$1001,MATCH(ROWS($AH$2:AH755),$AH$2:$AH$1001,0),1)&gt;=100000,INDEX($AO$1005:$BQ$1005,1,MATCH(COLUMNS($AO$1006:BL1006),$AO$1006:$BQ$1006,0))&gt;=100000), " ",IF(INDEX($AO$2:$BQ$1001,MATCH(ROWS($AH$2:AH755),$AH$2:$AH$1001,0),MATCH(COLUMNS($AO$1006:BL1006),$AO$1006:$BQ$1006,0)), HYPERLINK("#",""), HYPERLINK(CONCATENATE("#Metadata!", ADDRESS(INDEX($AJ$2:$AJ$1001,MATCH(ROWS($AH$2:AH755),$AH$2:$AH$1001,0),0), INDEX($AO$1004:$BQ$1004,1,MATCH(COLUMNS($AO$1006:BL1006),$AO$1006:$BQ$1006,0)))),"Fix")))</f>
        <v>#N/A</v>
      </c>
      <c r="Z755" s="5" t="e">
        <f ca="1">IF(OR(INDEX($AI$2:$AI$1001,MATCH(ROWS($AH$2:AH755),$AH$2:$AH$1001,0),1)&gt;=100000,INDEX($AO$1005:$BQ$1005,1,MATCH(COLUMNS($AO$1006:BM1006),$AO$1006:$BQ$1006,0))&gt;=100000), " ",IF(INDEX($AO$2:$BQ$1001,MATCH(ROWS($AH$2:AH755),$AH$2:$AH$1001,0),MATCH(COLUMNS($AO$1006:BM1006),$AO$1006:$BQ$1006,0)), HYPERLINK("#",""), HYPERLINK(CONCATENATE("#Metadata!", ADDRESS(INDEX($AJ$2:$AJ$1001,MATCH(ROWS($AH$2:AH755),$AH$2:$AH$1001,0),0), INDEX($AO$1004:$BQ$1004,1,MATCH(COLUMNS($AO$1006:BM1006),$AO$1006:$BQ$1006,0)))),"Fix")))</f>
        <v>#N/A</v>
      </c>
      <c r="AA755" s="5" t="e">
        <f ca="1">IF(OR(INDEX($AI$2:$AI$1001,MATCH(ROWS($AH$2:AH755),$AH$2:$AH$1001,0),1)&gt;=100000,INDEX($AO$1005:$BQ$1005,1,MATCH(COLUMNS($AO$1006:BN1006),$AO$1006:$BQ$1006,0))&gt;=100000), " ",IF(INDEX($AO$2:$BQ$1001,MATCH(ROWS($AH$2:AH755),$AH$2:$AH$1001,0),MATCH(COLUMNS($AO$1006:BN1006),$AO$1006:$BQ$1006,0)), HYPERLINK("#",""), HYPERLINK(CONCATENATE("#Metadata!", ADDRESS(INDEX($AJ$2:$AJ$1001,MATCH(ROWS($AH$2:AH755),$AH$2:$AH$1001,0),0), INDEX($AO$1004:$BQ$1004,1,MATCH(COLUMNS($AO$1006:BN1006),$AO$1006:$BQ$1006,0)))),"Fix")))</f>
        <v>#N/A</v>
      </c>
      <c r="AB755" s="5" t="e">
        <f ca="1">IF(OR(INDEX($AI$2:$AI$1001,MATCH(ROWS($AH$2:AH755),$AH$2:$AH$1001,0),1)&gt;=100000,INDEX($AO$1005:$BQ$1005,1,MATCH(COLUMNS($AO$1006:BO1006),$AO$1006:$BQ$1006,0))&gt;=100000), " ",IF(INDEX($AO$2:$BQ$1001,MATCH(ROWS($AH$2:AH755),$AH$2:$AH$1001,0),MATCH(COLUMNS($AO$1006:BO1006),$AO$1006:$BQ$1006,0)), HYPERLINK("#",""), HYPERLINK(CONCATENATE("#Metadata!", ADDRESS(INDEX($AJ$2:$AJ$1001,MATCH(ROWS($AH$2:AH755),$AH$2:$AH$1001,0),0), INDEX($AO$1004:$BQ$1004,1,MATCH(COLUMNS($AO$1006:BO1006),$AO$1006:$BQ$1006,0)))),"Fix")))</f>
        <v>#N/A</v>
      </c>
      <c r="AC755" s="5" t="e">
        <f ca="1">IF(OR(INDEX($AI$2:$AI$1001,MATCH(ROWS($AH$2:AH755),$AH$2:$AH$1001,0),1)&gt;=100000,INDEX($AO$1005:$BQ$1005,1,MATCH(COLUMNS($AO$1006:BP1006),$AO$1006:$BQ$1006,0))&gt;=100000), " ",IF(INDEX($AO$2:$BQ$1001,MATCH(ROWS($AH$2:AH755),$AH$2:$AH$1001,0),MATCH(COLUMNS($AO$1006:BP1006),$AO$1006:$BQ$1006,0)), HYPERLINK("#",""), HYPERLINK(CONCATENATE("#Metadata!", ADDRESS(INDEX($AJ$2:$AJ$1001,MATCH(ROWS($AH$2:AH755),$AH$2:$AH$1001,0),0), INDEX($AO$1004:$BQ$1004,1,MATCH(COLUMNS($AO$1006:BP1006),$AO$1006:$BQ$1006,0)))),"Fix")))</f>
        <v>#N/A</v>
      </c>
      <c r="AD755" s="5" t="e">
        <f ca="1">IF(OR(INDEX($AI$2:$AI$1001,MATCH(ROWS($AH$2:AH755),$AH$2:$AH$1001,0),1)&gt;=100000,INDEX($AO$1005:$BQ$1005,1,MATCH(COLUMNS($AO$1006:BQ1006),$AO$1006:$BQ$1006,0))&gt;=100000), " ",IF(INDEX($AO$2:$BQ$1001,MATCH(ROWS($AH$2:AH755),$AH$2:$AH$1001,0),MATCH(COLUMNS($AO$1006:BQ1006),$AO$1006:$BQ$1006,0)), HYPERLINK("#",""), HYPERLINK(CONCATENATE("#Metadata!", ADDRESS(INDEX($AJ$2:$AJ$1001,MATCH(ROWS($AH$2:AH755),$AH$2:$AH$1001,0),0), INDEX($AO$1004:$BQ$1004,1,MATCH(COLUMNS($AO$1006:BQ1006),$AO$1006:$BQ$1006,0)))),"Fix")))</f>
        <v>#REF!</v>
      </c>
      <c r="AH755">
        <f ca="1"/>
        <v>752</v>
      </c>
      <c r="AI755">
        <v>100755</v>
      </c>
      <c r="AJ755">
        <v>755</v>
      </c>
      <c r="AK755" t="b">
        <f t="shared" si="11"/>
        <v>1</v>
      </c>
      <c r="AL755" t="b">
        <f>COUNTBLANK(Metadata!B755:AD755)=COLUMNS(Metadata!B755:AD755)</f>
        <v>1</v>
      </c>
      <c r="AM755" t="str">
        <v/>
      </c>
      <c r="AO755" t="b">
        <f ca="1">AND(IF(Metadata!B755="",FALSE,TRUE),COUNTIF(Metadata!B:B, Metadata!B755) = 1,NOT(ISERROR(SUMPRODUCT(SEARCH(MID(Metadata!B755,ROW(INDIRECT("1:"&amp;LEN(Metadata!B755))), 1),"0123456789abcdefghijklmnopqrstuvwxyzABCDEFGHIJKLMNOPQRSTUVWXYZ.")))))</f>
        <v>0</v>
      </c>
      <c r="AP755" t="b">
        <f>IF(Metadata!C755="",FALSE,TRUE)</f>
        <v>0</v>
      </c>
      <c r="AQ755" t="b">
        <f>IF(Metadata!D755="",FALSE,TRUE)</f>
        <v>0</v>
      </c>
      <c r="AR755" t="b">
        <f ca="1">OR(AND(IF(Metadata!E755="",FALSE,TRUE),OR(EXACT(Metadata!E755,"not collected"),EXACT(Metadata!E755,"not provided"),EXACT(Metadata!E755,"restricted access"))),AND(IF(Metadata!E755="",FALSE,TRUE),AND(AND(IFERROR(INT(LEFT(Metadata!E755,4))&gt;1900,FALSE),IFERROR(INT(LEFT(Metadata!E755,4))&lt;=YEAR(NOW()),FALSE)), OR(MID(Metadata!E755,5,1)="", AND(AND(MID(Metadata!E755,5,1)="-",IFERROR(INT(MID(Metadata!E755,6,1))&gt;=0,FALSE),IFERROR(INT(MID(Metadata!E755,6,1))&lt;=1,FALSE),NOT(MID(Metadata!E755,7,1)=""),IFERROR(INT(MID(Metadata!E755,6,2))&gt;=1,FALSE),IFERROR(INT(MID(Metadata!E755,6,2))&lt;=12,FALSE)), OR(MID(Metadata!E755,8,1)="", AND(AND(MID(Metadata!E755,8,1)="-",IFERROR(INT(MID(Metadata!E755,9,1))&gt;=0,FALSE),IFERROR(INT(MID(Metadata!E755,9,1))&lt;=3,FALSE),NOT(MID(Metadata!E755,10,1)=""),IFERROR(INT(MID(Metadata!E755,9,2))&gt;=1,FALSE),IFERROR(INT(MID(Metadata!E755,9,2))&lt;=31,FALSE)), OR(MID(Metadata!E755,11,1)="", AND(AND(MID(Metadata!E755,11,1)=" ",IFERROR(INT(MID(Metadata!E755,12,1))&gt;=0,FALSE),IFERROR(INT(MID(Metadata!E755,12,1))&lt;=2,FALSE),NOT(MID(Metadata!E755,13,1)=""),IFERROR(INT(MID(Metadata!E755,12,2))&gt;=0,FALSE),IFERROR(INT(MID(Metadata!E755,12,2))&lt;=23,FALSE)), OR(MID(Metadata!E755,14,1)="", AND(AND(MID(Metadata!E755,14,1)=":",IFERROR(INT(MID(Metadata!E755,15,1))&gt;=0,FALSE),IFERROR(INT(MID(Metadata!E755,15,1))&lt;=5,FALSE),NOT(MID(Metadata!E755,16,1)=""),IFERROR(INT(MID(Metadata!E755,15,2))&gt;=0,FALSE),IFERROR(INT(MID(Metadata!E755,15,2))&lt;=59,FALSE)), OR(MID(Metadata!E755,17,1)="", AND(AND(MID(Metadata!E755,17,1)=":",IFERROR(INT(MID(Metadata!E755,18,1))&gt;=0,FALSE),IFERROR(INT(MID(Metadata!E755,18,1))&lt;=5,FALSE),NOT(MID(Metadata!E755,19,1)=""),IFERROR(INT(MID(Metadata!E755,18,2))&gt;=0,FALSE),IFERROR(INT(MID(Metadata!E755,18,2))&lt;=59,FALSE)), LEN(Metadata!E755)&lt;=19)))))))))))))</f>
        <v>0</v>
      </c>
      <c r="AS755" t="b">
        <f>IF(Metadata!F755="",FALSE,TRUE)</f>
        <v>0</v>
      </c>
      <c r="AT755" t="b">
        <f>OR(AND(IF(Metadata!G755="",FALSE,TRUE),OR(EXACT(Metadata!G755,"not collected"),EXACT(Metadata!G755,"not provided"))),AND(IF(Metadata!G755="",FALSE,TRUE),OR(EXACT(Metadata!G755,"TRUE"),EXACT(Metadata!G755,"FALSE"))))</f>
        <v>0</v>
      </c>
      <c r="AU755" t="b">
        <f>OR(AND(IF(Metadata!H755="",FALSE,TRUE),OR(EXACT(Metadata!H755,"not collected"),EXACT(Metadata!H755,"not provided"),EXACT(Metadata!H755,"restricted access"))),AND(IF(Metadata!H755="",FALSE,ISNUMBER(VALUE(Metadata!H755))),Metadata!H755&gt;=-413))</f>
        <v>0</v>
      </c>
      <c r="AV755" t="b">
        <f>AND(IF(Metadata!I755="",FALSE,TRUE),EXACT(Metadata!I755,"meters"))</f>
        <v>0</v>
      </c>
      <c r="AW755" t="b">
        <f>AND(IF(Metadata!J755="",FALSE,TRUE),EXACT(Metadata!J755,"free-living"))</f>
        <v>0</v>
      </c>
      <c r="AX755" t="b">
        <f>AND(IF(Metadata!K755="",FALSE,TRUE),OR(EXACT(Metadata!K755,"saline"),EXACT(Metadata!K755,"non-saline")))</f>
        <v>0</v>
      </c>
      <c r="AY755" t="b">
        <f>AND(IF(Metadata!L755="",FALSE,TRUE),OR(EXACT(Metadata!L755,"sub-surface (non-saline)"),EXACT(Metadata!L755,"surface (non-saline)"),EXACT(Metadata!L755,"water (non-saline)"),EXACT(Metadata!L755,"soil (non-saline)"),EXACT(Metadata!L755,"aerosol (non-saline)"),EXACT(Metadata!L755,"sediment (non-saline)"),EXACT(Metadata!L755,"surface (saline)"),EXACT(Metadata!L755,"water (saline)"),EXACT(Metadata!L755,"hypersaline (saline)"),EXACT(Metadata!L755,"aerosol (saline)"),EXACT(Metadata!L755,"sediment (saline)")))</f>
        <v>0</v>
      </c>
      <c r="AZ755" t="b">
        <f>IF(Metadata!M755="",FALSE,TRUE)</f>
        <v>0</v>
      </c>
      <c r="BA755" t="b">
        <f>IF(Metadata!N755="",FALSE,TRUE)</f>
        <v>0</v>
      </c>
      <c r="BB755" t="b">
        <f>IF(Metadata!O755="",FALSE,TRUE)</f>
        <v>0</v>
      </c>
      <c r="BC755" t="b">
        <f>AND(IF(Metadata!P755="",FALSE,TRUE),OR(EXACT(Metadata!P755,"air"),EXACT(Metadata!P755,"microbial mat/biofilm"),EXACT(Metadata!P755,"misc environment"),EXACT(Metadata!P755,"sediment"),EXACT(Metadata!P755,"soil"),EXACT(Metadata!P755,"wastewater/sludge"),EXACT(Metadata!P755,"water")))</f>
        <v>0</v>
      </c>
      <c r="BD755" t="b">
        <f>IF(Metadata!Q755="",FALSE,TRUE)</f>
        <v>0</v>
      </c>
      <c r="BE755" t="b">
        <f>IF(Metadata!R755="",FALSE,TRUE)</f>
        <v>0</v>
      </c>
      <c r="BF755" t="b">
        <f>OR(AND(IF(Metadata!S755="",FALSE,TRUE),OR(EXACT(Metadata!S755,"not collected"),EXACT(Metadata!S755,"not provided"),EXACT(Metadata!S755,"restricted access"))),AND(IF(Metadata!S755="",FALSE,ISNUMBER(VALUE(Metadata!S755))),Metadata!S755&gt;=-90,Metadata!S755&lt;=90))</f>
        <v>0</v>
      </c>
      <c r="BG755" t="b">
        <f>AND(IF(Metadata!T755="",FALSE,TRUE),EXACT(Metadata!T755,"Decimal degrees"))</f>
        <v>0</v>
      </c>
      <c r="BH755" t="b">
        <f>OR(AND(IF(Metadata!U755="",FALSE,TRUE),OR(EXACT(Metadata!U755,"not applicable"),EXACT(Metadata!U755,"not collected"))),IF(Metadata!U755="",FALSE,TRUE))</f>
        <v>0</v>
      </c>
      <c r="BI755" t="b">
        <f>OR(AND(IF(Metadata!V755="",FALSE,TRUE),OR(EXACT(Metadata!V755,"not collected"),EXACT(Metadata!V755,"not provided"),EXACT(Metadata!V755,"restricted access"))),AND(IF(Metadata!V755="",FALSE,ISNUMBER(VALUE(Metadata!V755))),Metadata!V755&gt;=-180,Metadata!V755&lt;=180))</f>
        <v>0</v>
      </c>
      <c r="BJ755" t="b">
        <f>AND(IF(Metadata!W755="",FALSE,TRUE),EXACT(Metadata!W755,"Decimal degrees"))</f>
        <v>0</v>
      </c>
      <c r="BK755" t="b">
        <f>IF(Metadata!X755="",FALSE,TRUE)</f>
        <v>0</v>
      </c>
      <c r="BL755" t="b">
        <f>OR(AND(IF(Metadata!Y755="",FALSE,TRUE),OR(EXACT(Metadata!Y755,"not collected"),EXACT(Metadata!Y755,"not provided"),EXACT(Metadata!Y755,"restricted access"))),AND(IF(Metadata!Y755="",FALSE,TRUE),OR(EXACT(Metadata!Y755,"TRUE"),EXACT(Metadata!Y755,"FALSE"))))</f>
        <v>0</v>
      </c>
      <c r="BM755" t="b">
        <f>OR(AND(IF(Metadata!Z755="",FALSE,TRUE),EXACT(Metadata!Z755,"not applicable")),AND(IF(Metadata!Z755="",FALSE,TRUE),OR(EXACT(Metadata!Z755,"beer"),EXACT(Metadata!Z755,"cheese"),EXACT(Metadata!Z755,"fresh water"),EXACT(Metadata!Z755,"marine sediment"),EXACT(Metadata!Z755,"sea water"),EXACT(Metadata!Z755,"sediment"),EXACT(Metadata!Z755,"soil"),EXACT(Metadata!Z755,"waste water"))))</f>
        <v>0</v>
      </c>
      <c r="BN755" t="b">
        <f>AND(IF(Metadata!AA755="",FALSE,TRUE),EXACT(Metadata!AA755,"metagenome"))</f>
        <v>0</v>
      </c>
      <c r="BO755" t="b">
        <f>AND(IF(Metadata!AB755="",FALSE,TRUE),EXACT(Metadata!AB755,"256318"))</f>
        <v>0</v>
      </c>
      <c r="BP755" t="b">
        <f>IF(Metadata!AC755="",FALSE,TRUE)</f>
        <v>0</v>
      </c>
      <c r="BQ755" t="b">
        <f>IF(Metadata!AD755="",FALSE,TRUE)</f>
        <v>0</v>
      </c>
    </row>
    <row r="756" spans="1:69" x14ac:dyDescent="0.2">
      <c r="A756" s="4" t="e">
        <f ca="1">IF(B756=" "," ",HYPERLINK(CONCATENATE("#metadata!",ADDRESS(INDEX($AJ$2:$AJ$1001,MATCH(ROWS($AH$2:AH756),$AH$2:$AH$1001,0),0),2)),INDEX($AM$2:$AM$1001,MATCH(ROWS($AH$2:AH756),$AH$2:$AH$1001,0),0)))</f>
        <v>#N/A</v>
      </c>
      <c r="B756" s="5" t="e">
        <f ca="1">IF(OR(INDEX($AI$2:$AI$1001,MATCH(ROWS($AH$2:AH756),$AH$2:$AH$1001,0),1)&gt;=100000,INDEX($AO$1005:$BQ$1005,1,MATCH(COLUMNS($AO$1006:AO1006),$AO$1006:$BQ$1006,0))&gt;=100000), " ",IF(INDEX($AO$2:$BQ$1001,MATCH(ROWS($AH$2:AH756),$AH$2:$AH$1001,0),MATCH(COLUMNS($AO$1006:AO1006),$AO$1006:$BQ$1006,0)), HYPERLINK("#",""), HYPERLINK(CONCATENATE("#Metadata!", ADDRESS(INDEX($AJ$2:$AJ$1001,MATCH(ROWS($AH$2:AH756),$AH$2:$AH$1001,0),0), INDEX($AO$1004:$BQ$1004,1,MATCH(COLUMNS($AO$1006:AO1006),$AO$1006:$BQ$1006,0)))),"Fix")))</f>
        <v>#N/A</v>
      </c>
      <c r="C756" s="5" t="e">
        <f ca="1">IF(OR(INDEX($AI$2:$AI$1001,MATCH(ROWS($AH$2:AH756),$AH$2:$AH$1001,0),1)&gt;=100000,INDEX($AO$1005:$BQ$1005,1,MATCH(COLUMNS($AO$1006:AP1006),$AO$1006:$BQ$1006,0))&gt;=100000), " ",IF(INDEX($AO$2:$BQ$1001,MATCH(ROWS($AH$2:AH756),$AH$2:$AH$1001,0),MATCH(COLUMNS($AO$1006:AP1006),$AO$1006:$BQ$1006,0)), HYPERLINK("#",""), HYPERLINK(CONCATENATE("#Metadata!", ADDRESS(INDEX($AJ$2:$AJ$1001,MATCH(ROWS($AH$2:AH756),$AH$2:$AH$1001,0),0), INDEX($AO$1004:$BQ$1004,1,MATCH(COLUMNS($AO$1006:AP1006),$AO$1006:$BQ$1006,0)))),"Fix")))</f>
        <v>#N/A</v>
      </c>
      <c r="D756" s="5" t="e">
        <f ca="1">IF(OR(INDEX($AI$2:$AI$1001,MATCH(ROWS($AH$2:AH756),$AH$2:$AH$1001,0),1)&gt;=100000,INDEX($AO$1005:$BQ$1005,1,MATCH(COLUMNS($AO$1006:AQ1006),$AO$1006:$BQ$1006,0))&gt;=100000), " ",IF(INDEX($AO$2:$BQ$1001,MATCH(ROWS($AH$2:AH756),$AH$2:$AH$1001,0),MATCH(COLUMNS($AO$1006:AQ1006),$AO$1006:$BQ$1006,0)), HYPERLINK("#",""), HYPERLINK(CONCATENATE("#Metadata!", ADDRESS(INDEX($AJ$2:$AJ$1001,MATCH(ROWS($AH$2:AH756),$AH$2:$AH$1001,0),0), INDEX($AO$1004:$BQ$1004,1,MATCH(COLUMNS($AO$1006:AQ1006),$AO$1006:$BQ$1006,0)))),"Fix")))</f>
        <v>#N/A</v>
      </c>
      <c r="E756" s="5" t="e">
        <f ca="1">IF(OR(INDEX($AI$2:$AI$1001,MATCH(ROWS($AH$2:AH756),$AH$2:$AH$1001,0),1)&gt;=100000,INDEX($AO$1005:$BQ$1005,1,MATCH(COLUMNS($AO$1006:AR1006),$AO$1006:$BQ$1006,0))&gt;=100000), " ",IF(INDEX($AO$2:$BQ$1001,MATCH(ROWS($AH$2:AH756),$AH$2:$AH$1001,0),MATCH(COLUMNS($AO$1006:AR1006),$AO$1006:$BQ$1006,0)), HYPERLINK("#",""), HYPERLINK(CONCATENATE("#Metadata!", ADDRESS(INDEX($AJ$2:$AJ$1001,MATCH(ROWS($AH$2:AH756),$AH$2:$AH$1001,0),0), INDEX($AO$1004:$BQ$1004,1,MATCH(COLUMNS($AO$1006:AR1006),$AO$1006:$BQ$1006,0)))),"Fix")))</f>
        <v>#N/A</v>
      </c>
      <c r="F756" s="5" t="e">
        <f ca="1">IF(OR(INDEX($AI$2:$AI$1001,MATCH(ROWS($AH$2:AH756),$AH$2:$AH$1001,0),1)&gt;=100000,INDEX($AO$1005:$BQ$1005,1,MATCH(COLUMNS($AO$1006:AS1006),$AO$1006:$BQ$1006,0))&gt;=100000), " ",IF(INDEX($AO$2:$BQ$1001,MATCH(ROWS($AH$2:AH756),$AH$2:$AH$1001,0),MATCH(COLUMNS($AO$1006:AS1006),$AO$1006:$BQ$1006,0)), HYPERLINK("#",""), HYPERLINK(CONCATENATE("#Metadata!", ADDRESS(INDEX($AJ$2:$AJ$1001,MATCH(ROWS($AH$2:AH756),$AH$2:$AH$1001,0),0), INDEX($AO$1004:$BQ$1004,1,MATCH(COLUMNS($AO$1006:AS1006),$AO$1006:$BQ$1006,0)))),"Fix")))</f>
        <v>#N/A</v>
      </c>
      <c r="G756" s="5" t="e">
        <f ca="1">IF(OR(INDEX($AI$2:$AI$1001,MATCH(ROWS($AH$2:AH756),$AH$2:$AH$1001,0),1)&gt;=100000,INDEX($AO$1005:$BQ$1005,1,MATCH(COLUMNS($AO$1006:AT1006),$AO$1006:$BQ$1006,0))&gt;=100000), " ",IF(INDEX($AO$2:$BQ$1001,MATCH(ROWS($AH$2:AH756),$AH$2:$AH$1001,0),MATCH(COLUMNS($AO$1006:AT1006),$AO$1006:$BQ$1006,0)), HYPERLINK("#",""), HYPERLINK(CONCATENATE("#Metadata!", ADDRESS(INDEX($AJ$2:$AJ$1001,MATCH(ROWS($AH$2:AH756),$AH$2:$AH$1001,0),0), INDEX($AO$1004:$BQ$1004,1,MATCH(COLUMNS($AO$1006:AT1006),$AO$1006:$BQ$1006,0)))),"Fix")))</f>
        <v>#N/A</v>
      </c>
      <c r="H756" s="5" t="e">
        <f ca="1">IF(OR(INDEX($AI$2:$AI$1001,MATCH(ROWS($AH$2:AH756),$AH$2:$AH$1001,0),1)&gt;=100000,INDEX($AO$1005:$BQ$1005,1,MATCH(COLUMNS($AO$1006:AU1006),$AO$1006:$BQ$1006,0))&gt;=100000), " ",IF(INDEX($AO$2:$BQ$1001,MATCH(ROWS($AH$2:AH756),$AH$2:$AH$1001,0),MATCH(COLUMNS($AO$1006:AU1006),$AO$1006:$BQ$1006,0)), HYPERLINK("#",""), HYPERLINK(CONCATENATE("#Metadata!", ADDRESS(INDEX($AJ$2:$AJ$1001,MATCH(ROWS($AH$2:AH756),$AH$2:$AH$1001,0),0), INDEX($AO$1004:$BQ$1004,1,MATCH(COLUMNS($AO$1006:AU1006),$AO$1006:$BQ$1006,0)))),"Fix")))</f>
        <v>#N/A</v>
      </c>
      <c r="I756" s="5" t="e">
        <f ca="1">IF(OR(INDEX($AI$2:$AI$1001,MATCH(ROWS($AH$2:AH756),$AH$2:$AH$1001,0),1)&gt;=100000,INDEX($AO$1005:$BQ$1005,1,MATCH(COLUMNS($AO$1006:AV1006),$AO$1006:$BQ$1006,0))&gt;=100000), " ",IF(INDEX($AO$2:$BQ$1001,MATCH(ROWS($AH$2:AH756),$AH$2:$AH$1001,0),MATCH(COLUMNS($AO$1006:AV1006),$AO$1006:$BQ$1006,0)), HYPERLINK("#",""), HYPERLINK(CONCATENATE("#Metadata!", ADDRESS(INDEX($AJ$2:$AJ$1001,MATCH(ROWS($AH$2:AH756),$AH$2:$AH$1001,0),0), INDEX($AO$1004:$BQ$1004,1,MATCH(COLUMNS($AO$1006:AV1006),$AO$1006:$BQ$1006,0)))),"Fix")))</f>
        <v>#N/A</v>
      </c>
      <c r="J756" s="5" t="e">
        <f ca="1">IF(OR(INDEX($AI$2:$AI$1001,MATCH(ROWS($AH$2:AH756),$AH$2:$AH$1001,0),1)&gt;=100000,INDEX($AO$1005:$BQ$1005,1,MATCH(COLUMNS($AO$1006:AW1006),$AO$1006:$BQ$1006,0))&gt;=100000), " ",IF(INDEX($AO$2:$BQ$1001,MATCH(ROWS($AH$2:AH756),$AH$2:$AH$1001,0),MATCH(COLUMNS($AO$1006:AW1006),$AO$1006:$BQ$1006,0)), HYPERLINK("#",""), HYPERLINK(CONCATENATE("#Metadata!", ADDRESS(INDEX($AJ$2:$AJ$1001,MATCH(ROWS($AH$2:AH756),$AH$2:$AH$1001,0),0), INDEX($AO$1004:$BQ$1004,1,MATCH(COLUMNS($AO$1006:AW1006),$AO$1006:$BQ$1006,0)))),"Fix")))</f>
        <v>#N/A</v>
      </c>
      <c r="K756" s="5" t="e">
        <f ca="1">IF(OR(INDEX($AI$2:$AI$1001,MATCH(ROWS($AH$2:AH756),$AH$2:$AH$1001,0),1)&gt;=100000,INDEX($AO$1005:$BQ$1005,1,MATCH(COLUMNS($AO$1006:AX1006),$AO$1006:$BQ$1006,0))&gt;=100000), " ",IF(INDEX($AO$2:$BQ$1001,MATCH(ROWS($AH$2:AH756),$AH$2:$AH$1001,0),MATCH(COLUMNS($AO$1006:AX1006),$AO$1006:$BQ$1006,0)), HYPERLINK("#",""), HYPERLINK(CONCATENATE("#Metadata!", ADDRESS(INDEX($AJ$2:$AJ$1001,MATCH(ROWS($AH$2:AH756),$AH$2:$AH$1001,0),0), INDEX($AO$1004:$BQ$1004,1,MATCH(COLUMNS($AO$1006:AX1006),$AO$1006:$BQ$1006,0)))),"Fix")))</f>
        <v>#N/A</v>
      </c>
      <c r="L756" s="5" t="e">
        <f ca="1">IF(OR(INDEX($AI$2:$AI$1001,MATCH(ROWS($AH$2:AH756),$AH$2:$AH$1001,0),1)&gt;=100000,INDEX($AO$1005:$BQ$1005,1,MATCH(COLUMNS($AO$1006:AY1006),$AO$1006:$BQ$1006,0))&gt;=100000), " ",IF(INDEX($AO$2:$BQ$1001,MATCH(ROWS($AH$2:AH756),$AH$2:$AH$1001,0),MATCH(COLUMNS($AO$1006:AY1006),$AO$1006:$BQ$1006,0)), HYPERLINK("#",""), HYPERLINK(CONCATENATE("#Metadata!", ADDRESS(INDEX($AJ$2:$AJ$1001,MATCH(ROWS($AH$2:AH756),$AH$2:$AH$1001,0),0), INDEX($AO$1004:$BQ$1004,1,MATCH(COLUMNS($AO$1006:AY1006),$AO$1006:$BQ$1006,0)))),"Fix")))</f>
        <v>#N/A</v>
      </c>
      <c r="M756" s="5" t="e">
        <f ca="1">IF(OR(INDEX($AI$2:$AI$1001,MATCH(ROWS($AH$2:AH756),$AH$2:$AH$1001,0),1)&gt;=100000,INDEX($AO$1005:$BQ$1005,1,MATCH(COLUMNS($AO$1006:AZ1006),$AO$1006:$BQ$1006,0))&gt;=100000), " ",IF(INDEX($AO$2:$BQ$1001,MATCH(ROWS($AH$2:AH756),$AH$2:$AH$1001,0),MATCH(COLUMNS($AO$1006:AZ1006),$AO$1006:$BQ$1006,0)), HYPERLINK("#",""), HYPERLINK(CONCATENATE("#Metadata!", ADDRESS(INDEX($AJ$2:$AJ$1001,MATCH(ROWS($AH$2:AH756),$AH$2:$AH$1001,0),0), INDEX($AO$1004:$BQ$1004,1,MATCH(COLUMNS($AO$1006:AZ1006),$AO$1006:$BQ$1006,0)))),"Fix")))</f>
        <v>#N/A</v>
      </c>
      <c r="N756" s="5" t="e">
        <f ca="1">IF(OR(INDEX($AI$2:$AI$1001,MATCH(ROWS($AH$2:AH756),$AH$2:$AH$1001,0),1)&gt;=100000,INDEX($AO$1005:$BQ$1005,1,MATCH(COLUMNS($AO$1006:BA1006),$AO$1006:$BQ$1006,0))&gt;=100000), " ",IF(INDEX($AO$2:$BQ$1001,MATCH(ROWS($AH$2:AH756),$AH$2:$AH$1001,0),MATCH(COLUMNS($AO$1006:BA1006),$AO$1006:$BQ$1006,0)), HYPERLINK("#",""), HYPERLINK(CONCATENATE("#Metadata!", ADDRESS(INDEX($AJ$2:$AJ$1001,MATCH(ROWS($AH$2:AH756),$AH$2:$AH$1001,0),0), INDEX($AO$1004:$BQ$1004,1,MATCH(COLUMNS($AO$1006:BA1006),$AO$1006:$BQ$1006,0)))),"Fix")))</f>
        <v>#N/A</v>
      </c>
      <c r="O756" s="5" t="e">
        <f ca="1">IF(OR(INDEX($AI$2:$AI$1001,MATCH(ROWS($AH$2:AH756),$AH$2:$AH$1001,0),1)&gt;=100000,INDEX($AO$1005:$BQ$1005,1,MATCH(COLUMNS($AO$1006:BB1006),$AO$1006:$BQ$1006,0))&gt;=100000), " ",IF(INDEX($AO$2:$BQ$1001,MATCH(ROWS($AH$2:AH756),$AH$2:$AH$1001,0),MATCH(COLUMNS($AO$1006:BB1006),$AO$1006:$BQ$1006,0)), HYPERLINK("#",""), HYPERLINK(CONCATENATE("#Metadata!", ADDRESS(INDEX($AJ$2:$AJ$1001,MATCH(ROWS($AH$2:AH756),$AH$2:$AH$1001,0),0), INDEX($AO$1004:$BQ$1004,1,MATCH(COLUMNS($AO$1006:BB1006),$AO$1006:$BQ$1006,0)))),"Fix")))</f>
        <v>#N/A</v>
      </c>
      <c r="P756" s="5" t="e">
        <f ca="1">IF(OR(INDEX($AI$2:$AI$1001,MATCH(ROWS($AH$2:AH756),$AH$2:$AH$1001,0),1)&gt;=100000,INDEX($AO$1005:$BQ$1005,1,MATCH(COLUMNS($AO$1006:BC1006),$AO$1006:$BQ$1006,0))&gt;=100000), " ",IF(INDEX($AO$2:$BQ$1001,MATCH(ROWS($AH$2:AH756),$AH$2:$AH$1001,0),MATCH(COLUMNS($AO$1006:BC1006),$AO$1006:$BQ$1006,0)), HYPERLINK("#",""), HYPERLINK(CONCATENATE("#Metadata!", ADDRESS(INDEX($AJ$2:$AJ$1001,MATCH(ROWS($AH$2:AH756),$AH$2:$AH$1001,0),0), INDEX($AO$1004:$BQ$1004,1,MATCH(COLUMNS($AO$1006:BC1006),$AO$1006:$BQ$1006,0)))),"Fix")))</f>
        <v>#N/A</v>
      </c>
      <c r="Q756" s="5" t="e">
        <f ca="1">IF(OR(INDEX($AI$2:$AI$1001,MATCH(ROWS($AH$2:AH756),$AH$2:$AH$1001,0),1)&gt;=100000,INDEX($AO$1005:$BQ$1005,1,MATCH(COLUMNS($AO$1006:BD1006),$AO$1006:$BQ$1006,0))&gt;=100000), " ",IF(INDEX($AO$2:$BQ$1001,MATCH(ROWS($AH$2:AH756),$AH$2:$AH$1001,0),MATCH(COLUMNS($AO$1006:BD1006),$AO$1006:$BQ$1006,0)), HYPERLINK("#",""), HYPERLINK(CONCATENATE("#Metadata!", ADDRESS(INDEX($AJ$2:$AJ$1001,MATCH(ROWS($AH$2:AH756),$AH$2:$AH$1001,0),0), INDEX($AO$1004:$BQ$1004,1,MATCH(COLUMNS($AO$1006:BD1006),$AO$1006:$BQ$1006,0)))),"Fix")))</f>
        <v>#N/A</v>
      </c>
      <c r="R756" s="5" t="e">
        <f ca="1">IF(OR(INDEX($AI$2:$AI$1001,MATCH(ROWS($AH$2:AH756),$AH$2:$AH$1001,0),1)&gt;=100000,INDEX($AO$1005:$BQ$1005,1,MATCH(COLUMNS($AO$1006:BE1006),$AO$1006:$BQ$1006,0))&gt;=100000), " ",IF(INDEX($AO$2:$BQ$1001,MATCH(ROWS($AH$2:AH756),$AH$2:$AH$1001,0),MATCH(COLUMNS($AO$1006:BE1006),$AO$1006:$BQ$1006,0)), HYPERLINK("#",""), HYPERLINK(CONCATENATE("#Metadata!", ADDRESS(INDEX($AJ$2:$AJ$1001,MATCH(ROWS($AH$2:AH756),$AH$2:$AH$1001,0),0), INDEX($AO$1004:$BQ$1004,1,MATCH(COLUMNS($AO$1006:BE1006),$AO$1006:$BQ$1006,0)))),"Fix")))</f>
        <v>#N/A</v>
      </c>
      <c r="S756" s="5" t="e">
        <f ca="1">IF(OR(INDEX($AI$2:$AI$1001,MATCH(ROWS($AH$2:AH756),$AH$2:$AH$1001,0),1)&gt;=100000,INDEX($AO$1005:$BQ$1005,1,MATCH(COLUMNS($AO$1006:BF1006),$AO$1006:$BQ$1006,0))&gt;=100000), " ",IF(INDEX($AO$2:$BQ$1001,MATCH(ROWS($AH$2:AH756),$AH$2:$AH$1001,0),MATCH(COLUMNS($AO$1006:BF1006),$AO$1006:$BQ$1006,0)), HYPERLINK("#",""), HYPERLINK(CONCATENATE("#Metadata!", ADDRESS(INDEX($AJ$2:$AJ$1001,MATCH(ROWS($AH$2:AH756),$AH$2:$AH$1001,0),0), INDEX($AO$1004:$BQ$1004,1,MATCH(COLUMNS($AO$1006:BF1006),$AO$1006:$BQ$1006,0)))),"Fix")))</f>
        <v>#N/A</v>
      </c>
      <c r="T756" s="5" t="e">
        <f ca="1">IF(OR(INDEX($AI$2:$AI$1001,MATCH(ROWS($AH$2:AH756),$AH$2:$AH$1001,0),1)&gt;=100000,INDEX($AO$1005:$BQ$1005,1,MATCH(COLUMNS($AO$1006:BG1006),$AO$1006:$BQ$1006,0))&gt;=100000), " ",IF(INDEX($AO$2:$BQ$1001,MATCH(ROWS($AH$2:AH756),$AH$2:$AH$1001,0),MATCH(COLUMNS($AO$1006:BG1006),$AO$1006:$BQ$1006,0)), HYPERLINK("#",""), HYPERLINK(CONCATENATE("#Metadata!", ADDRESS(INDEX($AJ$2:$AJ$1001,MATCH(ROWS($AH$2:AH756),$AH$2:$AH$1001,0),0), INDEX($AO$1004:$BQ$1004,1,MATCH(COLUMNS($AO$1006:BG1006),$AO$1006:$BQ$1006,0)))),"Fix")))</f>
        <v>#N/A</v>
      </c>
      <c r="U756" s="5" t="e">
        <f ca="1">IF(OR(INDEX($AI$2:$AI$1001,MATCH(ROWS($AH$2:AH756),$AH$2:$AH$1001,0),1)&gt;=100000,INDEX($AO$1005:$BQ$1005,1,MATCH(COLUMNS($AO$1006:BH1006),$AO$1006:$BQ$1006,0))&gt;=100000), " ",IF(INDEX($AO$2:$BQ$1001,MATCH(ROWS($AH$2:AH756),$AH$2:$AH$1001,0),MATCH(COLUMNS($AO$1006:BH1006),$AO$1006:$BQ$1006,0)), HYPERLINK("#",""), HYPERLINK(CONCATENATE("#Metadata!", ADDRESS(INDEX($AJ$2:$AJ$1001,MATCH(ROWS($AH$2:AH756),$AH$2:$AH$1001,0),0), INDEX($AO$1004:$BQ$1004,1,MATCH(COLUMNS($AO$1006:BH1006),$AO$1006:$BQ$1006,0)))),"Fix")))</f>
        <v>#N/A</v>
      </c>
      <c r="V756" s="5" t="e">
        <f ca="1">IF(OR(INDEX($AI$2:$AI$1001,MATCH(ROWS($AH$2:AH756),$AH$2:$AH$1001,0),1)&gt;=100000,INDEX($AO$1005:$BQ$1005,1,MATCH(COLUMNS($AO$1006:BI1006),$AO$1006:$BQ$1006,0))&gt;=100000), " ",IF(INDEX($AO$2:$BQ$1001,MATCH(ROWS($AH$2:AH756),$AH$2:$AH$1001,0),MATCH(COLUMNS($AO$1006:BI1006),$AO$1006:$BQ$1006,0)), HYPERLINK("#",""), HYPERLINK(CONCATENATE("#Metadata!", ADDRESS(INDEX($AJ$2:$AJ$1001,MATCH(ROWS($AH$2:AH756),$AH$2:$AH$1001,0),0), INDEX($AO$1004:$BQ$1004,1,MATCH(COLUMNS($AO$1006:BI1006),$AO$1006:$BQ$1006,0)))),"Fix")))</f>
        <v>#N/A</v>
      </c>
      <c r="W756" s="5" t="e">
        <f ca="1">IF(OR(INDEX($AI$2:$AI$1001,MATCH(ROWS($AH$2:AH756),$AH$2:$AH$1001,0),1)&gt;=100000,INDEX($AO$1005:$BQ$1005,1,MATCH(COLUMNS($AO$1006:BJ1006),$AO$1006:$BQ$1006,0))&gt;=100000), " ",IF(INDEX($AO$2:$BQ$1001,MATCH(ROWS($AH$2:AH756),$AH$2:$AH$1001,0),MATCH(COLUMNS($AO$1006:BJ1006),$AO$1006:$BQ$1006,0)), HYPERLINK("#",""), HYPERLINK(CONCATENATE("#Metadata!", ADDRESS(INDEX($AJ$2:$AJ$1001,MATCH(ROWS($AH$2:AH756),$AH$2:$AH$1001,0),0), INDEX($AO$1004:$BQ$1004,1,MATCH(COLUMNS($AO$1006:BJ1006),$AO$1006:$BQ$1006,0)))),"Fix")))</f>
        <v>#N/A</v>
      </c>
      <c r="X756" s="5" t="e">
        <f ca="1">IF(OR(INDEX($AI$2:$AI$1001,MATCH(ROWS($AH$2:AH756),$AH$2:$AH$1001,0),1)&gt;=100000,INDEX($AO$1005:$BQ$1005,1,MATCH(COLUMNS($AO$1006:BK1006),$AO$1006:$BQ$1006,0))&gt;=100000), " ",IF(INDEX($AO$2:$BQ$1001,MATCH(ROWS($AH$2:AH756),$AH$2:$AH$1001,0),MATCH(COLUMNS($AO$1006:BK1006),$AO$1006:$BQ$1006,0)), HYPERLINK("#",""), HYPERLINK(CONCATENATE("#Metadata!", ADDRESS(INDEX($AJ$2:$AJ$1001,MATCH(ROWS($AH$2:AH756),$AH$2:$AH$1001,0),0), INDEX($AO$1004:$BQ$1004,1,MATCH(COLUMNS($AO$1006:BK1006),$AO$1006:$BQ$1006,0)))),"Fix")))</f>
        <v>#N/A</v>
      </c>
      <c r="Y756" s="5" t="e">
        <f ca="1">IF(OR(INDEX($AI$2:$AI$1001,MATCH(ROWS($AH$2:AH756),$AH$2:$AH$1001,0),1)&gt;=100000,INDEX($AO$1005:$BQ$1005,1,MATCH(COLUMNS($AO$1006:BL1006),$AO$1006:$BQ$1006,0))&gt;=100000), " ",IF(INDEX($AO$2:$BQ$1001,MATCH(ROWS($AH$2:AH756),$AH$2:$AH$1001,0),MATCH(COLUMNS($AO$1006:BL1006),$AO$1006:$BQ$1006,0)), HYPERLINK("#",""), HYPERLINK(CONCATENATE("#Metadata!", ADDRESS(INDEX($AJ$2:$AJ$1001,MATCH(ROWS($AH$2:AH756),$AH$2:$AH$1001,0),0), INDEX($AO$1004:$BQ$1004,1,MATCH(COLUMNS($AO$1006:BL1006),$AO$1006:$BQ$1006,0)))),"Fix")))</f>
        <v>#N/A</v>
      </c>
      <c r="Z756" s="5" t="e">
        <f ca="1">IF(OR(INDEX($AI$2:$AI$1001,MATCH(ROWS($AH$2:AH756),$AH$2:$AH$1001,0),1)&gt;=100000,INDEX($AO$1005:$BQ$1005,1,MATCH(COLUMNS($AO$1006:BM1006),$AO$1006:$BQ$1006,0))&gt;=100000), " ",IF(INDEX($AO$2:$BQ$1001,MATCH(ROWS($AH$2:AH756),$AH$2:$AH$1001,0),MATCH(COLUMNS($AO$1006:BM1006),$AO$1006:$BQ$1006,0)), HYPERLINK("#",""), HYPERLINK(CONCATENATE("#Metadata!", ADDRESS(INDEX($AJ$2:$AJ$1001,MATCH(ROWS($AH$2:AH756),$AH$2:$AH$1001,0),0), INDEX($AO$1004:$BQ$1004,1,MATCH(COLUMNS($AO$1006:BM1006),$AO$1006:$BQ$1006,0)))),"Fix")))</f>
        <v>#N/A</v>
      </c>
      <c r="AA756" s="5" t="e">
        <f ca="1">IF(OR(INDEX($AI$2:$AI$1001,MATCH(ROWS($AH$2:AH756),$AH$2:$AH$1001,0),1)&gt;=100000,INDEX($AO$1005:$BQ$1005,1,MATCH(COLUMNS($AO$1006:BN1006),$AO$1006:$BQ$1006,0))&gt;=100000), " ",IF(INDEX($AO$2:$BQ$1001,MATCH(ROWS($AH$2:AH756),$AH$2:$AH$1001,0),MATCH(COLUMNS($AO$1006:BN1006),$AO$1006:$BQ$1006,0)), HYPERLINK("#",""), HYPERLINK(CONCATENATE("#Metadata!", ADDRESS(INDEX($AJ$2:$AJ$1001,MATCH(ROWS($AH$2:AH756),$AH$2:$AH$1001,0),0), INDEX($AO$1004:$BQ$1004,1,MATCH(COLUMNS($AO$1006:BN1006),$AO$1006:$BQ$1006,0)))),"Fix")))</f>
        <v>#N/A</v>
      </c>
      <c r="AB756" s="5" t="e">
        <f ca="1">IF(OR(INDEX($AI$2:$AI$1001,MATCH(ROWS($AH$2:AH756),$AH$2:$AH$1001,0),1)&gt;=100000,INDEX($AO$1005:$BQ$1005,1,MATCH(COLUMNS($AO$1006:BO1006),$AO$1006:$BQ$1006,0))&gt;=100000), " ",IF(INDEX($AO$2:$BQ$1001,MATCH(ROWS($AH$2:AH756),$AH$2:$AH$1001,0),MATCH(COLUMNS($AO$1006:BO1006),$AO$1006:$BQ$1006,0)), HYPERLINK("#",""), HYPERLINK(CONCATENATE("#Metadata!", ADDRESS(INDEX($AJ$2:$AJ$1001,MATCH(ROWS($AH$2:AH756),$AH$2:$AH$1001,0),0), INDEX($AO$1004:$BQ$1004,1,MATCH(COLUMNS($AO$1006:BO1006),$AO$1006:$BQ$1006,0)))),"Fix")))</f>
        <v>#N/A</v>
      </c>
      <c r="AC756" s="5" t="e">
        <f ca="1">IF(OR(INDEX($AI$2:$AI$1001,MATCH(ROWS($AH$2:AH756),$AH$2:$AH$1001,0),1)&gt;=100000,INDEX($AO$1005:$BQ$1005,1,MATCH(COLUMNS($AO$1006:BP1006),$AO$1006:$BQ$1006,0))&gt;=100000), " ",IF(INDEX($AO$2:$BQ$1001,MATCH(ROWS($AH$2:AH756),$AH$2:$AH$1001,0),MATCH(COLUMNS($AO$1006:BP1006),$AO$1006:$BQ$1006,0)), HYPERLINK("#",""), HYPERLINK(CONCATENATE("#Metadata!", ADDRESS(INDEX($AJ$2:$AJ$1001,MATCH(ROWS($AH$2:AH756),$AH$2:$AH$1001,0),0), INDEX($AO$1004:$BQ$1004,1,MATCH(COLUMNS($AO$1006:BP1006),$AO$1006:$BQ$1006,0)))),"Fix")))</f>
        <v>#N/A</v>
      </c>
      <c r="AD756" s="5" t="e">
        <f ca="1">IF(OR(INDEX($AI$2:$AI$1001,MATCH(ROWS($AH$2:AH756),$AH$2:$AH$1001,0),1)&gt;=100000,INDEX($AO$1005:$BQ$1005,1,MATCH(COLUMNS($AO$1006:BQ1006),$AO$1006:$BQ$1006,0))&gt;=100000), " ",IF(INDEX($AO$2:$BQ$1001,MATCH(ROWS($AH$2:AH756),$AH$2:$AH$1001,0),MATCH(COLUMNS($AO$1006:BQ1006),$AO$1006:$BQ$1006,0)), HYPERLINK("#",""), HYPERLINK(CONCATENATE("#Metadata!", ADDRESS(INDEX($AJ$2:$AJ$1001,MATCH(ROWS($AH$2:AH756),$AH$2:$AH$1001,0),0), INDEX($AO$1004:$BQ$1004,1,MATCH(COLUMNS($AO$1006:BQ1006),$AO$1006:$BQ$1006,0)))),"Fix")))</f>
        <v>#REF!</v>
      </c>
      <c r="AH756">
        <f ca="1"/>
        <v>753</v>
      </c>
      <c r="AI756">
        <v>100756</v>
      </c>
      <c r="AJ756">
        <v>756</v>
      </c>
      <c r="AK756" t="b">
        <f t="shared" si="11"/>
        <v>1</v>
      </c>
      <c r="AL756" t="b">
        <f>COUNTBLANK(Metadata!B756:AD756)=COLUMNS(Metadata!B756:AD756)</f>
        <v>1</v>
      </c>
      <c r="AM756" t="str">
        <v/>
      </c>
      <c r="AO756" t="b">
        <f ca="1">AND(IF(Metadata!B756="",FALSE,TRUE),COUNTIF(Metadata!B:B, Metadata!B756) = 1,NOT(ISERROR(SUMPRODUCT(SEARCH(MID(Metadata!B756,ROW(INDIRECT("1:"&amp;LEN(Metadata!B756))), 1),"0123456789abcdefghijklmnopqrstuvwxyzABCDEFGHIJKLMNOPQRSTUVWXYZ.")))))</f>
        <v>0</v>
      </c>
      <c r="AP756" t="b">
        <f>IF(Metadata!C756="",FALSE,TRUE)</f>
        <v>0</v>
      </c>
      <c r="AQ756" t="b">
        <f>IF(Metadata!D756="",FALSE,TRUE)</f>
        <v>0</v>
      </c>
      <c r="AR756" t="b">
        <f ca="1">OR(AND(IF(Metadata!E756="",FALSE,TRUE),OR(EXACT(Metadata!E756,"not collected"),EXACT(Metadata!E756,"not provided"),EXACT(Metadata!E756,"restricted access"))),AND(IF(Metadata!E756="",FALSE,TRUE),AND(AND(IFERROR(INT(LEFT(Metadata!E756,4))&gt;1900,FALSE),IFERROR(INT(LEFT(Metadata!E756,4))&lt;=YEAR(NOW()),FALSE)), OR(MID(Metadata!E756,5,1)="", AND(AND(MID(Metadata!E756,5,1)="-",IFERROR(INT(MID(Metadata!E756,6,1))&gt;=0,FALSE),IFERROR(INT(MID(Metadata!E756,6,1))&lt;=1,FALSE),NOT(MID(Metadata!E756,7,1)=""),IFERROR(INT(MID(Metadata!E756,6,2))&gt;=1,FALSE),IFERROR(INT(MID(Metadata!E756,6,2))&lt;=12,FALSE)), OR(MID(Metadata!E756,8,1)="", AND(AND(MID(Metadata!E756,8,1)="-",IFERROR(INT(MID(Metadata!E756,9,1))&gt;=0,FALSE),IFERROR(INT(MID(Metadata!E756,9,1))&lt;=3,FALSE),NOT(MID(Metadata!E756,10,1)=""),IFERROR(INT(MID(Metadata!E756,9,2))&gt;=1,FALSE),IFERROR(INT(MID(Metadata!E756,9,2))&lt;=31,FALSE)), OR(MID(Metadata!E756,11,1)="", AND(AND(MID(Metadata!E756,11,1)=" ",IFERROR(INT(MID(Metadata!E756,12,1))&gt;=0,FALSE),IFERROR(INT(MID(Metadata!E756,12,1))&lt;=2,FALSE),NOT(MID(Metadata!E756,13,1)=""),IFERROR(INT(MID(Metadata!E756,12,2))&gt;=0,FALSE),IFERROR(INT(MID(Metadata!E756,12,2))&lt;=23,FALSE)), OR(MID(Metadata!E756,14,1)="", AND(AND(MID(Metadata!E756,14,1)=":",IFERROR(INT(MID(Metadata!E756,15,1))&gt;=0,FALSE),IFERROR(INT(MID(Metadata!E756,15,1))&lt;=5,FALSE),NOT(MID(Metadata!E756,16,1)=""),IFERROR(INT(MID(Metadata!E756,15,2))&gt;=0,FALSE),IFERROR(INT(MID(Metadata!E756,15,2))&lt;=59,FALSE)), OR(MID(Metadata!E756,17,1)="", AND(AND(MID(Metadata!E756,17,1)=":",IFERROR(INT(MID(Metadata!E756,18,1))&gt;=0,FALSE),IFERROR(INT(MID(Metadata!E756,18,1))&lt;=5,FALSE),NOT(MID(Metadata!E756,19,1)=""),IFERROR(INT(MID(Metadata!E756,18,2))&gt;=0,FALSE),IFERROR(INT(MID(Metadata!E756,18,2))&lt;=59,FALSE)), LEN(Metadata!E756)&lt;=19)))))))))))))</f>
        <v>0</v>
      </c>
      <c r="AS756" t="b">
        <f>IF(Metadata!F756="",FALSE,TRUE)</f>
        <v>0</v>
      </c>
      <c r="AT756" t="b">
        <f>OR(AND(IF(Metadata!G756="",FALSE,TRUE),OR(EXACT(Metadata!G756,"not collected"),EXACT(Metadata!G756,"not provided"))),AND(IF(Metadata!G756="",FALSE,TRUE),OR(EXACT(Metadata!G756,"TRUE"),EXACT(Metadata!G756,"FALSE"))))</f>
        <v>0</v>
      </c>
      <c r="AU756" t="b">
        <f>OR(AND(IF(Metadata!H756="",FALSE,TRUE),OR(EXACT(Metadata!H756,"not collected"),EXACT(Metadata!H756,"not provided"),EXACT(Metadata!H756,"restricted access"))),AND(IF(Metadata!H756="",FALSE,ISNUMBER(VALUE(Metadata!H756))),Metadata!H756&gt;=-413))</f>
        <v>0</v>
      </c>
      <c r="AV756" t="b">
        <f>AND(IF(Metadata!I756="",FALSE,TRUE),EXACT(Metadata!I756,"meters"))</f>
        <v>0</v>
      </c>
      <c r="AW756" t="b">
        <f>AND(IF(Metadata!J756="",FALSE,TRUE),EXACT(Metadata!J756,"free-living"))</f>
        <v>0</v>
      </c>
      <c r="AX756" t="b">
        <f>AND(IF(Metadata!K756="",FALSE,TRUE),OR(EXACT(Metadata!K756,"saline"),EXACT(Metadata!K756,"non-saline")))</f>
        <v>0</v>
      </c>
      <c r="AY756" t="b">
        <f>AND(IF(Metadata!L756="",FALSE,TRUE),OR(EXACT(Metadata!L756,"sub-surface (non-saline)"),EXACT(Metadata!L756,"surface (non-saline)"),EXACT(Metadata!L756,"water (non-saline)"),EXACT(Metadata!L756,"soil (non-saline)"),EXACT(Metadata!L756,"aerosol (non-saline)"),EXACT(Metadata!L756,"sediment (non-saline)"),EXACT(Metadata!L756,"surface (saline)"),EXACT(Metadata!L756,"water (saline)"),EXACT(Metadata!L756,"hypersaline (saline)"),EXACT(Metadata!L756,"aerosol (saline)"),EXACT(Metadata!L756,"sediment (saline)")))</f>
        <v>0</v>
      </c>
      <c r="AZ756" t="b">
        <f>IF(Metadata!M756="",FALSE,TRUE)</f>
        <v>0</v>
      </c>
      <c r="BA756" t="b">
        <f>IF(Metadata!N756="",FALSE,TRUE)</f>
        <v>0</v>
      </c>
      <c r="BB756" t="b">
        <f>IF(Metadata!O756="",FALSE,TRUE)</f>
        <v>0</v>
      </c>
      <c r="BC756" t="b">
        <f>AND(IF(Metadata!P756="",FALSE,TRUE),OR(EXACT(Metadata!P756,"air"),EXACT(Metadata!P756,"microbial mat/biofilm"),EXACT(Metadata!P756,"misc environment"),EXACT(Metadata!P756,"sediment"),EXACT(Metadata!P756,"soil"),EXACT(Metadata!P756,"wastewater/sludge"),EXACT(Metadata!P756,"water")))</f>
        <v>0</v>
      </c>
      <c r="BD756" t="b">
        <f>IF(Metadata!Q756="",FALSE,TRUE)</f>
        <v>0</v>
      </c>
      <c r="BE756" t="b">
        <f>IF(Metadata!R756="",FALSE,TRUE)</f>
        <v>0</v>
      </c>
      <c r="BF756" t="b">
        <f>OR(AND(IF(Metadata!S756="",FALSE,TRUE),OR(EXACT(Metadata!S756,"not collected"),EXACT(Metadata!S756,"not provided"),EXACT(Metadata!S756,"restricted access"))),AND(IF(Metadata!S756="",FALSE,ISNUMBER(VALUE(Metadata!S756))),Metadata!S756&gt;=-90,Metadata!S756&lt;=90))</f>
        <v>0</v>
      </c>
      <c r="BG756" t="b">
        <f>AND(IF(Metadata!T756="",FALSE,TRUE),EXACT(Metadata!T756,"Decimal degrees"))</f>
        <v>0</v>
      </c>
      <c r="BH756" t="b">
        <f>OR(AND(IF(Metadata!U756="",FALSE,TRUE),OR(EXACT(Metadata!U756,"not applicable"),EXACT(Metadata!U756,"not collected"))),IF(Metadata!U756="",FALSE,TRUE))</f>
        <v>0</v>
      </c>
      <c r="BI756" t="b">
        <f>OR(AND(IF(Metadata!V756="",FALSE,TRUE),OR(EXACT(Metadata!V756,"not collected"),EXACT(Metadata!V756,"not provided"),EXACT(Metadata!V756,"restricted access"))),AND(IF(Metadata!V756="",FALSE,ISNUMBER(VALUE(Metadata!V756))),Metadata!V756&gt;=-180,Metadata!V756&lt;=180))</f>
        <v>0</v>
      </c>
      <c r="BJ756" t="b">
        <f>AND(IF(Metadata!W756="",FALSE,TRUE),EXACT(Metadata!W756,"Decimal degrees"))</f>
        <v>0</v>
      </c>
      <c r="BK756" t="b">
        <f>IF(Metadata!X756="",FALSE,TRUE)</f>
        <v>0</v>
      </c>
      <c r="BL756" t="b">
        <f>OR(AND(IF(Metadata!Y756="",FALSE,TRUE),OR(EXACT(Metadata!Y756,"not collected"),EXACT(Metadata!Y756,"not provided"),EXACT(Metadata!Y756,"restricted access"))),AND(IF(Metadata!Y756="",FALSE,TRUE),OR(EXACT(Metadata!Y756,"TRUE"),EXACT(Metadata!Y756,"FALSE"))))</f>
        <v>0</v>
      </c>
      <c r="BM756" t="b">
        <f>OR(AND(IF(Metadata!Z756="",FALSE,TRUE),EXACT(Metadata!Z756,"not applicable")),AND(IF(Metadata!Z756="",FALSE,TRUE),OR(EXACT(Metadata!Z756,"beer"),EXACT(Metadata!Z756,"cheese"),EXACT(Metadata!Z756,"fresh water"),EXACT(Metadata!Z756,"marine sediment"),EXACT(Metadata!Z756,"sea water"),EXACT(Metadata!Z756,"sediment"),EXACT(Metadata!Z756,"soil"),EXACT(Metadata!Z756,"waste water"))))</f>
        <v>0</v>
      </c>
      <c r="BN756" t="b">
        <f>AND(IF(Metadata!AA756="",FALSE,TRUE),EXACT(Metadata!AA756,"metagenome"))</f>
        <v>0</v>
      </c>
      <c r="BO756" t="b">
        <f>AND(IF(Metadata!AB756="",FALSE,TRUE),EXACT(Metadata!AB756,"256318"))</f>
        <v>0</v>
      </c>
      <c r="BP756" t="b">
        <f>IF(Metadata!AC756="",FALSE,TRUE)</f>
        <v>0</v>
      </c>
      <c r="BQ756" t="b">
        <f>IF(Metadata!AD756="",FALSE,TRUE)</f>
        <v>0</v>
      </c>
    </row>
    <row r="757" spans="1:69" x14ac:dyDescent="0.2">
      <c r="A757" s="4" t="e">
        <f ca="1">IF(B757=" "," ",HYPERLINK(CONCATENATE("#metadata!",ADDRESS(INDEX($AJ$2:$AJ$1001,MATCH(ROWS($AH$2:AH757),$AH$2:$AH$1001,0),0),2)),INDEX($AM$2:$AM$1001,MATCH(ROWS($AH$2:AH757),$AH$2:$AH$1001,0),0)))</f>
        <v>#N/A</v>
      </c>
      <c r="B757" s="5" t="e">
        <f ca="1">IF(OR(INDEX($AI$2:$AI$1001,MATCH(ROWS($AH$2:AH757),$AH$2:$AH$1001,0),1)&gt;=100000,INDEX($AO$1005:$BQ$1005,1,MATCH(COLUMNS($AO$1006:AO1006),$AO$1006:$BQ$1006,0))&gt;=100000), " ",IF(INDEX($AO$2:$BQ$1001,MATCH(ROWS($AH$2:AH757),$AH$2:$AH$1001,0),MATCH(COLUMNS($AO$1006:AO1006),$AO$1006:$BQ$1006,0)), HYPERLINK("#",""), HYPERLINK(CONCATENATE("#Metadata!", ADDRESS(INDEX($AJ$2:$AJ$1001,MATCH(ROWS($AH$2:AH757),$AH$2:$AH$1001,0),0), INDEX($AO$1004:$BQ$1004,1,MATCH(COLUMNS($AO$1006:AO1006),$AO$1006:$BQ$1006,0)))),"Fix")))</f>
        <v>#N/A</v>
      </c>
      <c r="C757" s="5" t="e">
        <f ca="1">IF(OR(INDEX($AI$2:$AI$1001,MATCH(ROWS($AH$2:AH757),$AH$2:$AH$1001,0),1)&gt;=100000,INDEX($AO$1005:$BQ$1005,1,MATCH(COLUMNS($AO$1006:AP1006),$AO$1006:$BQ$1006,0))&gt;=100000), " ",IF(INDEX($AO$2:$BQ$1001,MATCH(ROWS($AH$2:AH757),$AH$2:$AH$1001,0),MATCH(COLUMNS($AO$1006:AP1006),$AO$1006:$BQ$1006,0)), HYPERLINK("#",""), HYPERLINK(CONCATENATE("#Metadata!", ADDRESS(INDEX($AJ$2:$AJ$1001,MATCH(ROWS($AH$2:AH757),$AH$2:$AH$1001,0),0), INDEX($AO$1004:$BQ$1004,1,MATCH(COLUMNS($AO$1006:AP1006),$AO$1006:$BQ$1006,0)))),"Fix")))</f>
        <v>#N/A</v>
      </c>
      <c r="D757" s="5" t="e">
        <f ca="1">IF(OR(INDEX($AI$2:$AI$1001,MATCH(ROWS($AH$2:AH757),$AH$2:$AH$1001,0),1)&gt;=100000,INDEX($AO$1005:$BQ$1005,1,MATCH(COLUMNS($AO$1006:AQ1006),$AO$1006:$BQ$1006,0))&gt;=100000), " ",IF(INDEX($AO$2:$BQ$1001,MATCH(ROWS($AH$2:AH757),$AH$2:$AH$1001,0),MATCH(COLUMNS($AO$1006:AQ1006),$AO$1006:$BQ$1006,0)), HYPERLINK("#",""), HYPERLINK(CONCATENATE("#Metadata!", ADDRESS(INDEX($AJ$2:$AJ$1001,MATCH(ROWS($AH$2:AH757),$AH$2:$AH$1001,0),0), INDEX($AO$1004:$BQ$1004,1,MATCH(COLUMNS($AO$1006:AQ1006),$AO$1006:$BQ$1006,0)))),"Fix")))</f>
        <v>#N/A</v>
      </c>
      <c r="E757" s="5" t="e">
        <f ca="1">IF(OR(INDEX($AI$2:$AI$1001,MATCH(ROWS($AH$2:AH757),$AH$2:$AH$1001,0),1)&gt;=100000,INDEX($AO$1005:$BQ$1005,1,MATCH(COLUMNS($AO$1006:AR1006),$AO$1006:$BQ$1006,0))&gt;=100000), " ",IF(INDEX($AO$2:$BQ$1001,MATCH(ROWS($AH$2:AH757),$AH$2:$AH$1001,0),MATCH(COLUMNS($AO$1006:AR1006),$AO$1006:$BQ$1006,0)), HYPERLINK("#",""), HYPERLINK(CONCATENATE("#Metadata!", ADDRESS(INDEX($AJ$2:$AJ$1001,MATCH(ROWS($AH$2:AH757),$AH$2:$AH$1001,0),0), INDEX($AO$1004:$BQ$1004,1,MATCH(COLUMNS($AO$1006:AR1006),$AO$1006:$BQ$1006,0)))),"Fix")))</f>
        <v>#N/A</v>
      </c>
      <c r="F757" s="5" t="e">
        <f ca="1">IF(OR(INDEX($AI$2:$AI$1001,MATCH(ROWS($AH$2:AH757),$AH$2:$AH$1001,0),1)&gt;=100000,INDEX($AO$1005:$BQ$1005,1,MATCH(COLUMNS($AO$1006:AS1006),$AO$1006:$BQ$1006,0))&gt;=100000), " ",IF(INDEX($AO$2:$BQ$1001,MATCH(ROWS($AH$2:AH757),$AH$2:$AH$1001,0),MATCH(COLUMNS($AO$1006:AS1006),$AO$1006:$BQ$1006,0)), HYPERLINK("#",""), HYPERLINK(CONCATENATE("#Metadata!", ADDRESS(INDEX($AJ$2:$AJ$1001,MATCH(ROWS($AH$2:AH757),$AH$2:$AH$1001,0),0), INDEX($AO$1004:$BQ$1004,1,MATCH(COLUMNS($AO$1006:AS1006),$AO$1006:$BQ$1006,0)))),"Fix")))</f>
        <v>#N/A</v>
      </c>
      <c r="G757" s="5" t="e">
        <f ca="1">IF(OR(INDEX($AI$2:$AI$1001,MATCH(ROWS($AH$2:AH757),$AH$2:$AH$1001,0),1)&gt;=100000,INDEX($AO$1005:$BQ$1005,1,MATCH(COLUMNS($AO$1006:AT1006),$AO$1006:$BQ$1006,0))&gt;=100000), " ",IF(INDEX($AO$2:$BQ$1001,MATCH(ROWS($AH$2:AH757),$AH$2:$AH$1001,0),MATCH(COLUMNS($AO$1006:AT1006),$AO$1006:$BQ$1006,0)), HYPERLINK("#",""), HYPERLINK(CONCATENATE("#Metadata!", ADDRESS(INDEX($AJ$2:$AJ$1001,MATCH(ROWS($AH$2:AH757),$AH$2:$AH$1001,0),0), INDEX($AO$1004:$BQ$1004,1,MATCH(COLUMNS($AO$1006:AT1006),$AO$1006:$BQ$1006,0)))),"Fix")))</f>
        <v>#N/A</v>
      </c>
      <c r="H757" s="5" t="e">
        <f ca="1">IF(OR(INDEX($AI$2:$AI$1001,MATCH(ROWS($AH$2:AH757),$AH$2:$AH$1001,0),1)&gt;=100000,INDEX($AO$1005:$BQ$1005,1,MATCH(COLUMNS($AO$1006:AU1006),$AO$1006:$BQ$1006,0))&gt;=100000), " ",IF(INDEX($AO$2:$BQ$1001,MATCH(ROWS($AH$2:AH757),$AH$2:$AH$1001,0),MATCH(COLUMNS($AO$1006:AU1006),$AO$1006:$BQ$1006,0)), HYPERLINK("#",""), HYPERLINK(CONCATENATE("#Metadata!", ADDRESS(INDEX($AJ$2:$AJ$1001,MATCH(ROWS($AH$2:AH757),$AH$2:$AH$1001,0),0), INDEX($AO$1004:$BQ$1004,1,MATCH(COLUMNS($AO$1006:AU1006),$AO$1006:$BQ$1006,0)))),"Fix")))</f>
        <v>#N/A</v>
      </c>
      <c r="I757" s="5" t="e">
        <f ca="1">IF(OR(INDEX($AI$2:$AI$1001,MATCH(ROWS($AH$2:AH757),$AH$2:$AH$1001,0),1)&gt;=100000,INDEX($AO$1005:$BQ$1005,1,MATCH(COLUMNS($AO$1006:AV1006),$AO$1006:$BQ$1006,0))&gt;=100000), " ",IF(INDEX($AO$2:$BQ$1001,MATCH(ROWS($AH$2:AH757),$AH$2:$AH$1001,0),MATCH(COLUMNS($AO$1006:AV1006),$AO$1006:$BQ$1006,0)), HYPERLINK("#",""), HYPERLINK(CONCATENATE("#Metadata!", ADDRESS(INDEX($AJ$2:$AJ$1001,MATCH(ROWS($AH$2:AH757),$AH$2:$AH$1001,0),0), INDEX($AO$1004:$BQ$1004,1,MATCH(COLUMNS($AO$1006:AV1006),$AO$1006:$BQ$1006,0)))),"Fix")))</f>
        <v>#N/A</v>
      </c>
      <c r="J757" s="5" t="e">
        <f ca="1">IF(OR(INDEX($AI$2:$AI$1001,MATCH(ROWS($AH$2:AH757),$AH$2:$AH$1001,0),1)&gt;=100000,INDEX($AO$1005:$BQ$1005,1,MATCH(COLUMNS($AO$1006:AW1006),$AO$1006:$BQ$1006,0))&gt;=100000), " ",IF(INDEX($AO$2:$BQ$1001,MATCH(ROWS($AH$2:AH757),$AH$2:$AH$1001,0),MATCH(COLUMNS($AO$1006:AW1006),$AO$1006:$BQ$1006,0)), HYPERLINK("#",""), HYPERLINK(CONCATENATE("#Metadata!", ADDRESS(INDEX($AJ$2:$AJ$1001,MATCH(ROWS($AH$2:AH757),$AH$2:$AH$1001,0),0), INDEX($AO$1004:$BQ$1004,1,MATCH(COLUMNS($AO$1006:AW1006),$AO$1006:$BQ$1006,0)))),"Fix")))</f>
        <v>#N/A</v>
      </c>
      <c r="K757" s="5" t="e">
        <f ca="1">IF(OR(INDEX($AI$2:$AI$1001,MATCH(ROWS($AH$2:AH757),$AH$2:$AH$1001,0),1)&gt;=100000,INDEX($AO$1005:$BQ$1005,1,MATCH(COLUMNS($AO$1006:AX1006),$AO$1006:$BQ$1006,0))&gt;=100000), " ",IF(INDEX($AO$2:$BQ$1001,MATCH(ROWS($AH$2:AH757),$AH$2:$AH$1001,0),MATCH(COLUMNS($AO$1006:AX1006),$AO$1006:$BQ$1006,0)), HYPERLINK("#",""), HYPERLINK(CONCATENATE("#Metadata!", ADDRESS(INDEX($AJ$2:$AJ$1001,MATCH(ROWS($AH$2:AH757),$AH$2:$AH$1001,0),0), INDEX($AO$1004:$BQ$1004,1,MATCH(COLUMNS($AO$1006:AX1006),$AO$1006:$BQ$1006,0)))),"Fix")))</f>
        <v>#N/A</v>
      </c>
      <c r="L757" s="5" t="e">
        <f ca="1">IF(OR(INDEX($AI$2:$AI$1001,MATCH(ROWS($AH$2:AH757),$AH$2:$AH$1001,0),1)&gt;=100000,INDEX($AO$1005:$BQ$1005,1,MATCH(COLUMNS($AO$1006:AY1006),$AO$1006:$BQ$1006,0))&gt;=100000), " ",IF(INDEX($AO$2:$BQ$1001,MATCH(ROWS($AH$2:AH757),$AH$2:$AH$1001,0),MATCH(COLUMNS($AO$1006:AY1006),$AO$1006:$BQ$1006,0)), HYPERLINK("#",""), HYPERLINK(CONCATENATE("#Metadata!", ADDRESS(INDEX($AJ$2:$AJ$1001,MATCH(ROWS($AH$2:AH757),$AH$2:$AH$1001,0),0), INDEX($AO$1004:$BQ$1004,1,MATCH(COLUMNS($AO$1006:AY1006),$AO$1006:$BQ$1006,0)))),"Fix")))</f>
        <v>#N/A</v>
      </c>
      <c r="M757" s="5" t="e">
        <f ca="1">IF(OR(INDEX($AI$2:$AI$1001,MATCH(ROWS($AH$2:AH757),$AH$2:$AH$1001,0),1)&gt;=100000,INDEX($AO$1005:$BQ$1005,1,MATCH(COLUMNS($AO$1006:AZ1006),$AO$1006:$BQ$1006,0))&gt;=100000), " ",IF(INDEX($AO$2:$BQ$1001,MATCH(ROWS($AH$2:AH757),$AH$2:$AH$1001,0),MATCH(COLUMNS($AO$1006:AZ1006),$AO$1006:$BQ$1006,0)), HYPERLINK("#",""), HYPERLINK(CONCATENATE("#Metadata!", ADDRESS(INDEX($AJ$2:$AJ$1001,MATCH(ROWS($AH$2:AH757),$AH$2:$AH$1001,0),0), INDEX($AO$1004:$BQ$1004,1,MATCH(COLUMNS($AO$1006:AZ1006),$AO$1006:$BQ$1006,0)))),"Fix")))</f>
        <v>#N/A</v>
      </c>
      <c r="N757" s="5" t="e">
        <f ca="1">IF(OR(INDEX($AI$2:$AI$1001,MATCH(ROWS($AH$2:AH757),$AH$2:$AH$1001,0),1)&gt;=100000,INDEX($AO$1005:$BQ$1005,1,MATCH(COLUMNS($AO$1006:BA1006),$AO$1006:$BQ$1006,0))&gt;=100000), " ",IF(INDEX($AO$2:$BQ$1001,MATCH(ROWS($AH$2:AH757),$AH$2:$AH$1001,0),MATCH(COLUMNS($AO$1006:BA1006),$AO$1006:$BQ$1006,0)), HYPERLINK("#",""), HYPERLINK(CONCATENATE("#Metadata!", ADDRESS(INDEX($AJ$2:$AJ$1001,MATCH(ROWS($AH$2:AH757),$AH$2:$AH$1001,0),0), INDEX($AO$1004:$BQ$1004,1,MATCH(COLUMNS($AO$1006:BA1006),$AO$1006:$BQ$1006,0)))),"Fix")))</f>
        <v>#N/A</v>
      </c>
      <c r="O757" s="5" t="e">
        <f ca="1">IF(OR(INDEX($AI$2:$AI$1001,MATCH(ROWS($AH$2:AH757),$AH$2:$AH$1001,0),1)&gt;=100000,INDEX($AO$1005:$BQ$1005,1,MATCH(COLUMNS($AO$1006:BB1006),$AO$1006:$BQ$1006,0))&gt;=100000), " ",IF(INDEX($AO$2:$BQ$1001,MATCH(ROWS($AH$2:AH757),$AH$2:$AH$1001,0),MATCH(COLUMNS($AO$1006:BB1006),$AO$1006:$BQ$1006,0)), HYPERLINK("#",""), HYPERLINK(CONCATENATE("#Metadata!", ADDRESS(INDEX($AJ$2:$AJ$1001,MATCH(ROWS($AH$2:AH757),$AH$2:$AH$1001,0),0), INDEX($AO$1004:$BQ$1004,1,MATCH(COLUMNS($AO$1006:BB1006),$AO$1006:$BQ$1006,0)))),"Fix")))</f>
        <v>#N/A</v>
      </c>
      <c r="P757" s="5" t="e">
        <f ca="1">IF(OR(INDEX($AI$2:$AI$1001,MATCH(ROWS($AH$2:AH757),$AH$2:$AH$1001,0),1)&gt;=100000,INDEX($AO$1005:$BQ$1005,1,MATCH(COLUMNS($AO$1006:BC1006),$AO$1006:$BQ$1006,0))&gt;=100000), " ",IF(INDEX($AO$2:$BQ$1001,MATCH(ROWS($AH$2:AH757),$AH$2:$AH$1001,0),MATCH(COLUMNS($AO$1006:BC1006),$AO$1006:$BQ$1006,0)), HYPERLINK("#",""), HYPERLINK(CONCATENATE("#Metadata!", ADDRESS(INDEX($AJ$2:$AJ$1001,MATCH(ROWS($AH$2:AH757),$AH$2:$AH$1001,0),0), INDEX($AO$1004:$BQ$1004,1,MATCH(COLUMNS($AO$1006:BC1006),$AO$1006:$BQ$1006,0)))),"Fix")))</f>
        <v>#N/A</v>
      </c>
      <c r="Q757" s="5" t="e">
        <f ca="1">IF(OR(INDEX($AI$2:$AI$1001,MATCH(ROWS($AH$2:AH757),$AH$2:$AH$1001,0),1)&gt;=100000,INDEX($AO$1005:$BQ$1005,1,MATCH(COLUMNS($AO$1006:BD1006),$AO$1006:$BQ$1006,0))&gt;=100000), " ",IF(INDEX($AO$2:$BQ$1001,MATCH(ROWS($AH$2:AH757),$AH$2:$AH$1001,0),MATCH(COLUMNS($AO$1006:BD1006),$AO$1006:$BQ$1006,0)), HYPERLINK("#",""), HYPERLINK(CONCATENATE("#Metadata!", ADDRESS(INDEX($AJ$2:$AJ$1001,MATCH(ROWS($AH$2:AH757),$AH$2:$AH$1001,0),0), INDEX($AO$1004:$BQ$1004,1,MATCH(COLUMNS($AO$1006:BD1006),$AO$1006:$BQ$1006,0)))),"Fix")))</f>
        <v>#N/A</v>
      </c>
      <c r="R757" s="5" t="e">
        <f ca="1">IF(OR(INDEX($AI$2:$AI$1001,MATCH(ROWS($AH$2:AH757),$AH$2:$AH$1001,0),1)&gt;=100000,INDEX($AO$1005:$BQ$1005,1,MATCH(COLUMNS($AO$1006:BE1006),$AO$1006:$BQ$1006,0))&gt;=100000), " ",IF(INDEX($AO$2:$BQ$1001,MATCH(ROWS($AH$2:AH757),$AH$2:$AH$1001,0),MATCH(COLUMNS($AO$1006:BE1006),$AO$1006:$BQ$1006,0)), HYPERLINK("#",""), HYPERLINK(CONCATENATE("#Metadata!", ADDRESS(INDEX($AJ$2:$AJ$1001,MATCH(ROWS($AH$2:AH757),$AH$2:$AH$1001,0),0), INDEX($AO$1004:$BQ$1004,1,MATCH(COLUMNS($AO$1006:BE1006),$AO$1006:$BQ$1006,0)))),"Fix")))</f>
        <v>#N/A</v>
      </c>
      <c r="S757" s="5" t="e">
        <f ca="1">IF(OR(INDEX($AI$2:$AI$1001,MATCH(ROWS($AH$2:AH757),$AH$2:$AH$1001,0),1)&gt;=100000,INDEX($AO$1005:$BQ$1005,1,MATCH(COLUMNS($AO$1006:BF1006),$AO$1006:$BQ$1006,0))&gt;=100000), " ",IF(INDEX($AO$2:$BQ$1001,MATCH(ROWS($AH$2:AH757),$AH$2:$AH$1001,0),MATCH(COLUMNS($AO$1006:BF1006),$AO$1006:$BQ$1006,0)), HYPERLINK("#",""), HYPERLINK(CONCATENATE("#Metadata!", ADDRESS(INDEX($AJ$2:$AJ$1001,MATCH(ROWS($AH$2:AH757),$AH$2:$AH$1001,0),0), INDEX($AO$1004:$BQ$1004,1,MATCH(COLUMNS($AO$1006:BF1006),$AO$1006:$BQ$1006,0)))),"Fix")))</f>
        <v>#N/A</v>
      </c>
      <c r="T757" s="5" t="e">
        <f ca="1">IF(OR(INDEX($AI$2:$AI$1001,MATCH(ROWS($AH$2:AH757),$AH$2:$AH$1001,0),1)&gt;=100000,INDEX($AO$1005:$BQ$1005,1,MATCH(COLUMNS($AO$1006:BG1006),$AO$1006:$BQ$1006,0))&gt;=100000), " ",IF(INDEX($AO$2:$BQ$1001,MATCH(ROWS($AH$2:AH757),$AH$2:$AH$1001,0),MATCH(COLUMNS($AO$1006:BG1006),$AO$1006:$BQ$1006,0)), HYPERLINK("#",""), HYPERLINK(CONCATENATE("#Metadata!", ADDRESS(INDEX($AJ$2:$AJ$1001,MATCH(ROWS($AH$2:AH757),$AH$2:$AH$1001,0),0), INDEX($AO$1004:$BQ$1004,1,MATCH(COLUMNS($AO$1006:BG1006),$AO$1006:$BQ$1006,0)))),"Fix")))</f>
        <v>#N/A</v>
      </c>
      <c r="U757" s="5" t="e">
        <f ca="1">IF(OR(INDEX($AI$2:$AI$1001,MATCH(ROWS($AH$2:AH757),$AH$2:$AH$1001,0),1)&gt;=100000,INDEX($AO$1005:$BQ$1005,1,MATCH(COLUMNS($AO$1006:BH1006),$AO$1006:$BQ$1006,0))&gt;=100000), " ",IF(INDEX($AO$2:$BQ$1001,MATCH(ROWS($AH$2:AH757),$AH$2:$AH$1001,0),MATCH(COLUMNS($AO$1006:BH1006),$AO$1006:$BQ$1006,0)), HYPERLINK("#",""), HYPERLINK(CONCATENATE("#Metadata!", ADDRESS(INDEX($AJ$2:$AJ$1001,MATCH(ROWS($AH$2:AH757),$AH$2:$AH$1001,0),0), INDEX($AO$1004:$BQ$1004,1,MATCH(COLUMNS($AO$1006:BH1006),$AO$1006:$BQ$1006,0)))),"Fix")))</f>
        <v>#N/A</v>
      </c>
      <c r="V757" s="5" t="e">
        <f ca="1">IF(OR(INDEX($AI$2:$AI$1001,MATCH(ROWS($AH$2:AH757),$AH$2:$AH$1001,0),1)&gt;=100000,INDEX($AO$1005:$BQ$1005,1,MATCH(COLUMNS($AO$1006:BI1006),$AO$1006:$BQ$1006,0))&gt;=100000), " ",IF(INDEX($AO$2:$BQ$1001,MATCH(ROWS($AH$2:AH757),$AH$2:$AH$1001,0),MATCH(COLUMNS($AO$1006:BI1006),$AO$1006:$BQ$1006,0)), HYPERLINK("#",""), HYPERLINK(CONCATENATE("#Metadata!", ADDRESS(INDEX($AJ$2:$AJ$1001,MATCH(ROWS($AH$2:AH757),$AH$2:$AH$1001,0),0), INDEX($AO$1004:$BQ$1004,1,MATCH(COLUMNS($AO$1006:BI1006),$AO$1006:$BQ$1006,0)))),"Fix")))</f>
        <v>#N/A</v>
      </c>
      <c r="W757" s="5" t="e">
        <f ca="1">IF(OR(INDEX($AI$2:$AI$1001,MATCH(ROWS($AH$2:AH757),$AH$2:$AH$1001,0),1)&gt;=100000,INDEX($AO$1005:$BQ$1005,1,MATCH(COLUMNS($AO$1006:BJ1006),$AO$1006:$BQ$1006,0))&gt;=100000), " ",IF(INDEX($AO$2:$BQ$1001,MATCH(ROWS($AH$2:AH757),$AH$2:$AH$1001,0),MATCH(COLUMNS($AO$1006:BJ1006),$AO$1006:$BQ$1006,0)), HYPERLINK("#",""), HYPERLINK(CONCATENATE("#Metadata!", ADDRESS(INDEX($AJ$2:$AJ$1001,MATCH(ROWS($AH$2:AH757),$AH$2:$AH$1001,0),0), INDEX($AO$1004:$BQ$1004,1,MATCH(COLUMNS($AO$1006:BJ1006),$AO$1006:$BQ$1006,0)))),"Fix")))</f>
        <v>#N/A</v>
      </c>
      <c r="X757" s="5" t="e">
        <f ca="1">IF(OR(INDEX($AI$2:$AI$1001,MATCH(ROWS($AH$2:AH757),$AH$2:$AH$1001,0),1)&gt;=100000,INDEX($AO$1005:$BQ$1005,1,MATCH(COLUMNS($AO$1006:BK1006),$AO$1006:$BQ$1006,0))&gt;=100000), " ",IF(INDEX($AO$2:$BQ$1001,MATCH(ROWS($AH$2:AH757),$AH$2:$AH$1001,0),MATCH(COLUMNS($AO$1006:BK1006),$AO$1006:$BQ$1006,0)), HYPERLINK("#",""), HYPERLINK(CONCATENATE("#Metadata!", ADDRESS(INDEX($AJ$2:$AJ$1001,MATCH(ROWS($AH$2:AH757),$AH$2:$AH$1001,0),0), INDEX($AO$1004:$BQ$1004,1,MATCH(COLUMNS($AO$1006:BK1006),$AO$1006:$BQ$1006,0)))),"Fix")))</f>
        <v>#N/A</v>
      </c>
      <c r="Y757" s="5" t="e">
        <f ca="1">IF(OR(INDEX($AI$2:$AI$1001,MATCH(ROWS($AH$2:AH757),$AH$2:$AH$1001,0),1)&gt;=100000,INDEX($AO$1005:$BQ$1005,1,MATCH(COLUMNS($AO$1006:BL1006),$AO$1006:$BQ$1006,0))&gt;=100000), " ",IF(INDEX($AO$2:$BQ$1001,MATCH(ROWS($AH$2:AH757),$AH$2:$AH$1001,0),MATCH(COLUMNS($AO$1006:BL1006),$AO$1006:$BQ$1006,0)), HYPERLINK("#",""), HYPERLINK(CONCATENATE("#Metadata!", ADDRESS(INDEX($AJ$2:$AJ$1001,MATCH(ROWS($AH$2:AH757),$AH$2:$AH$1001,0),0), INDEX($AO$1004:$BQ$1004,1,MATCH(COLUMNS($AO$1006:BL1006),$AO$1006:$BQ$1006,0)))),"Fix")))</f>
        <v>#N/A</v>
      </c>
      <c r="Z757" s="5" t="e">
        <f ca="1">IF(OR(INDEX($AI$2:$AI$1001,MATCH(ROWS($AH$2:AH757),$AH$2:$AH$1001,0),1)&gt;=100000,INDEX($AO$1005:$BQ$1005,1,MATCH(COLUMNS($AO$1006:BM1006),$AO$1006:$BQ$1006,0))&gt;=100000), " ",IF(INDEX($AO$2:$BQ$1001,MATCH(ROWS($AH$2:AH757),$AH$2:$AH$1001,0),MATCH(COLUMNS($AO$1006:BM1006),$AO$1006:$BQ$1006,0)), HYPERLINK("#",""), HYPERLINK(CONCATENATE("#Metadata!", ADDRESS(INDEX($AJ$2:$AJ$1001,MATCH(ROWS($AH$2:AH757),$AH$2:$AH$1001,0),0), INDEX($AO$1004:$BQ$1004,1,MATCH(COLUMNS($AO$1006:BM1006),$AO$1006:$BQ$1006,0)))),"Fix")))</f>
        <v>#N/A</v>
      </c>
      <c r="AA757" s="5" t="e">
        <f ca="1">IF(OR(INDEX($AI$2:$AI$1001,MATCH(ROWS($AH$2:AH757),$AH$2:$AH$1001,0),1)&gt;=100000,INDEX($AO$1005:$BQ$1005,1,MATCH(COLUMNS($AO$1006:BN1006),$AO$1006:$BQ$1006,0))&gt;=100000), " ",IF(INDEX($AO$2:$BQ$1001,MATCH(ROWS($AH$2:AH757),$AH$2:$AH$1001,0),MATCH(COLUMNS($AO$1006:BN1006),$AO$1006:$BQ$1006,0)), HYPERLINK("#",""), HYPERLINK(CONCATENATE("#Metadata!", ADDRESS(INDEX($AJ$2:$AJ$1001,MATCH(ROWS($AH$2:AH757),$AH$2:$AH$1001,0),0), INDEX($AO$1004:$BQ$1004,1,MATCH(COLUMNS($AO$1006:BN1006),$AO$1006:$BQ$1006,0)))),"Fix")))</f>
        <v>#N/A</v>
      </c>
      <c r="AB757" s="5" t="e">
        <f ca="1">IF(OR(INDEX($AI$2:$AI$1001,MATCH(ROWS($AH$2:AH757),$AH$2:$AH$1001,0),1)&gt;=100000,INDEX($AO$1005:$BQ$1005,1,MATCH(COLUMNS($AO$1006:BO1006),$AO$1006:$BQ$1006,0))&gt;=100000), " ",IF(INDEX($AO$2:$BQ$1001,MATCH(ROWS($AH$2:AH757),$AH$2:$AH$1001,0),MATCH(COLUMNS($AO$1006:BO1006),$AO$1006:$BQ$1006,0)), HYPERLINK("#",""), HYPERLINK(CONCATENATE("#Metadata!", ADDRESS(INDEX($AJ$2:$AJ$1001,MATCH(ROWS($AH$2:AH757),$AH$2:$AH$1001,0),0), INDEX($AO$1004:$BQ$1004,1,MATCH(COLUMNS($AO$1006:BO1006),$AO$1006:$BQ$1006,0)))),"Fix")))</f>
        <v>#N/A</v>
      </c>
      <c r="AC757" s="5" t="e">
        <f ca="1">IF(OR(INDEX($AI$2:$AI$1001,MATCH(ROWS($AH$2:AH757),$AH$2:$AH$1001,0),1)&gt;=100000,INDEX($AO$1005:$BQ$1005,1,MATCH(COLUMNS($AO$1006:BP1006),$AO$1006:$BQ$1006,0))&gt;=100000), " ",IF(INDEX($AO$2:$BQ$1001,MATCH(ROWS($AH$2:AH757),$AH$2:$AH$1001,0),MATCH(COLUMNS($AO$1006:BP1006),$AO$1006:$BQ$1006,0)), HYPERLINK("#",""), HYPERLINK(CONCATENATE("#Metadata!", ADDRESS(INDEX($AJ$2:$AJ$1001,MATCH(ROWS($AH$2:AH757),$AH$2:$AH$1001,0),0), INDEX($AO$1004:$BQ$1004,1,MATCH(COLUMNS($AO$1006:BP1006),$AO$1006:$BQ$1006,0)))),"Fix")))</f>
        <v>#N/A</v>
      </c>
      <c r="AD757" s="5" t="e">
        <f ca="1">IF(OR(INDEX($AI$2:$AI$1001,MATCH(ROWS($AH$2:AH757),$AH$2:$AH$1001,0),1)&gt;=100000,INDEX($AO$1005:$BQ$1005,1,MATCH(COLUMNS($AO$1006:BQ1006),$AO$1006:$BQ$1006,0))&gt;=100000), " ",IF(INDEX($AO$2:$BQ$1001,MATCH(ROWS($AH$2:AH757),$AH$2:$AH$1001,0),MATCH(COLUMNS($AO$1006:BQ1006),$AO$1006:$BQ$1006,0)), HYPERLINK("#",""), HYPERLINK(CONCATENATE("#Metadata!", ADDRESS(INDEX($AJ$2:$AJ$1001,MATCH(ROWS($AH$2:AH757),$AH$2:$AH$1001,0),0), INDEX($AO$1004:$BQ$1004,1,MATCH(COLUMNS($AO$1006:BQ1006),$AO$1006:$BQ$1006,0)))),"Fix")))</f>
        <v>#REF!</v>
      </c>
      <c r="AH757">
        <f ca="1"/>
        <v>754</v>
      </c>
      <c r="AI757">
        <v>100757</v>
      </c>
      <c r="AJ757">
        <v>757</v>
      </c>
      <c r="AK757" t="b">
        <f t="shared" si="11"/>
        <v>1</v>
      </c>
      <c r="AL757" t="b">
        <f>COUNTBLANK(Metadata!B757:AD757)=COLUMNS(Metadata!B757:AD757)</f>
        <v>1</v>
      </c>
      <c r="AM757" t="str">
        <v/>
      </c>
      <c r="AO757" t="b">
        <f ca="1">AND(IF(Metadata!B757="",FALSE,TRUE),COUNTIF(Metadata!B:B, Metadata!B757) = 1,NOT(ISERROR(SUMPRODUCT(SEARCH(MID(Metadata!B757,ROW(INDIRECT("1:"&amp;LEN(Metadata!B757))), 1),"0123456789abcdefghijklmnopqrstuvwxyzABCDEFGHIJKLMNOPQRSTUVWXYZ.")))))</f>
        <v>0</v>
      </c>
      <c r="AP757" t="b">
        <f>IF(Metadata!C757="",FALSE,TRUE)</f>
        <v>0</v>
      </c>
      <c r="AQ757" t="b">
        <f>IF(Metadata!D757="",FALSE,TRUE)</f>
        <v>0</v>
      </c>
      <c r="AR757" t="b">
        <f ca="1">OR(AND(IF(Metadata!E757="",FALSE,TRUE),OR(EXACT(Metadata!E757,"not collected"),EXACT(Metadata!E757,"not provided"),EXACT(Metadata!E757,"restricted access"))),AND(IF(Metadata!E757="",FALSE,TRUE),AND(AND(IFERROR(INT(LEFT(Metadata!E757,4))&gt;1900,FALSE),IFERROR(INT(LEFT(Metadata!E757,4))&lt;=YEAR(NOW()),FALSE)), OR(MID(Metadata!E757,5,1)="", AND(AND(MID(Metadata!E757,5,1)="-",IFERROR(INT(MID(Metadata!E757,6,1))&gt;=0,FALSE),IFERROR(INT(MID(Metadata!E757,6,1))&lt;=1,FALSE),NOT(MID(Metadata!E757,7,1)=""),IFERROR(INT(MID(Metadata!E757,6,2))&gt;=1,FALSE),IFERROR(INT(MID(Metadata!E757,6,2))&lt;=12,FALSE)), OR(MID(Metadata!E757,8,1)="", AND(AND(MID(Metadata!E757,8,1)="-",IFERROR(INT(MID(Metadata!E757,9,1))&gt;=0,FALSE),IFERROR(INT(MID(Metadata!E757,9,1))&lt;=3,FALSE),NOT(MID(Metadata!E757,10,1)=""),IFERROR(INT(MID(Metadata!E757,9,2))&gt;=1,FALSE),IFERROR(INT(MID(Metadata!E757,9,2))&lt;=31,FALSE)), OR(MID(Metadata!E757,11,1)="", AND(AND(MID(Metadata!E757,11,1)=" ",IFERROR(INT(MID(Metadata!E757,12,1))&gt;=0,FALSE),IFERROR(INT(MID(Metadata!E757,12,1))&lt;=2,FALSE),NOT(MID(Metadata!E757,13,1)=""),IFERROR(INT(MID(Metadata!E757,12,2))&gt;=0,FALSE),IFERROR(INT(MID(Metadata!E757,12,2))&lt;=23,FALSE)), OR(MID(Metadata!E757,14,1)="", AND(AND(MID(Metadata!E757,14,1)=":",IFERROR(INT(MID(Metadata!E757,15,1))&gt;=0,FALSE),IFERROR(INT(MID(Metadata!E757,15,1))&lt;=5,FALSE),NOT(MID(Metadata!E757,16,1)=""),IFERROR(INT(MID(Metadata!E757,15,2))&gt;=0,FALSE),IFERROR(INT(MID(Metadata!E757,15,2))&lt;=59,FALSE)), OR(MID(Metadata!E757,17,1)="", AND(AND(MID(Metadata!E757,17,1)=":",IFERROR(INT(MID(Metadata!E757,18,1))&gt;=0,FALSE),IFERROR(INT(MID(Metadata!E757,18,1))&lt;=5,FALSE),NOT(MID(Metadata!E757,19,1)=""),IFERROR(INT(MID(Metadata!E757,18,2))&gt;=0,FALSE),IFERROR(INT(MID(Metadata!E757,18,2))&lt;=59,FALSE)), LEN(Metadata!E757)&lt;=19)))))))))))))</f>
        <v>0</v>
      </c>
      <c r="AS757" t="b">
        <f>IF(Metadata!F757="",FALSE,TRUE)</f>
        <v>0</v>
      </c>
      <c r="AT757" t="b">
        <f>OR(AND(IF(Metadata!G757="",FALSE,TRUE),OR(EXACT(Metadata!G757,"not collected"),EXACT(Metadata!G757,"not provided"))),AND(IF(Metadata!G757="",FALSE,TRUE),OR(EXACT(Metadata!G757,"TRUE"),EXACT(Metadata!G757,"FALSE"))))</f>
        <v>0</v>
      </c>
      <c r="AU757" t="b">
        <f>OR(AND(IF(Metadata!H757="",FALSE,TRUE),OR(EXACT(Metadata!H757,"not collected"),EXACT(Metadata!H757,"not provided"),EXACT(Metadata!H757,"restricted access"))),AND(IF(Metadata!H757="",FALSE,ISNUMBER(VALUE(Metadata!H757))),Metadata!H757&gt;=-413))</f>
        <v>0</v>
      </c>
      <c r="AV757" t="b">
        <f>AND(IF(Metadata!I757="",FALSE,TRUE),EXACT(Metadata!I757,"meters"))</f>
        <v>0</v>
      </c>
      <c r="AW757" t="b">
        <f>AND(IF(Metadata!J757="",FALSE,TRUE),EXACT(Metadata!J757,"free-living"))</f>
        <v>0</v>
      </c>
      <c r="AX757" t="b">
        <f>AND(IF(Metadata!K757="",FALSE,TRUE),OR(EXACT(Metadata!K757,"saline"),EXACT(Metadata!K757,"non-saline")))</f>
        <v>0</v>
      </c>
      <c r="AY757" t="b">
        <f>AND(IF(Metadata!L757="",FALSE,TRUE),OR(EXACT(Metadata!L757,"sub-surface (non-saline)"),EXACT(Metadata!L757,"surface (non-saline)"),EXACT(Metadata!L757,"water (non-saline)"),EXACT(Metadata!L757,"soil (non-saline)"),EXACT(Metadata!L757,"aerosol (non-saline)"),EXACT(Metadata!L757,"sediment (non-saline)"),EXACT(Metadata!L757,"surface (saline)"),EXACT(Metadata!L757,"water (saline)"),EXACT(Metadata!L757,"hypersaline (saline)"),EXACT(Metadata!L757,"aerosol (saline)"),EXACT(Metadata!L757,"sediment (saline)")))</f>
        <v>0</v>
      </c>
      <c r="AZ757" t="b">
        <f>IF(Metadata!M757="",FALSE,TRUE)</f>
        <v>0</v>
      </c>
      <c r="BA757" t="b">
        <f>IF(Metadata!N757="",FALSE,TRUE)</f>
        <v>0</v>
      </c>
      <c r="BB757" t="b">
        <f>IF(Metadata!O757="",FALSE,TRUE)</f>
        <v>0</v>
      </c>
      <c r="BC757" t="b">
        <f>AND(IF(Metadata!P757="",FALSE,TRUE),OR(EXACT(Metadata!P757,"air"),EXACT(Metadata!P757,"microbial mat/biofilm"),EXACT(Metadata!P757,"misc environment"),EXACT(Metadata!P757,"sediment"),EXACT(Metadata!P757,"soil"),EXACT(Metadata!P757,"wastewater/sludge"),EXACT(Metadata!P757,"water")))</f>
        <v>0</v>
      </c>
      <c r="BD757" t="b">
        <f>IF(Metadata!Q757="",FALSE,TRUE)</f>
        <v>0</v>
      </c>
      <c r="BE757" t="b">
        <f>IF(Metadata!R757="",FALSE,TRUE)</f>
        <v>0</v>
      </c>
      <c r="BF757" t="b">
        <f>OR(AND(IF(Metadata!S757="",FALSE,TRUE),OR(EXACT(Metadata!S757,"not collected"),EXACT(Metadata!S757,"not provided"),EXACT(Metadata!S757,"restricted access"))),AND(IF(Metadata!S757="",FALSE,ISNUMBER(VALUE(Metadata!S757))),Metadata!S757&gt;=-90,Metadata!S757&lt;=90))</f>
        <v>0</v>
      </c>
      <c r="BG757" t="b">
        <f>AND(IF(Metadata!T757="",FALSE,TRUE),EXACT(Metadata!T757,"Decimal degrees"))</f>
        <v>0</v>
      </c>
      <c r="BH757" t="b">
        <f>OR(AND(IF(Metadata!U757="",FALSE,TRUE),OR(EXACT(Metadata!U757,"not applicable"),EXACT(Metadata!U757,"not collected"))),IF(Metadata!U757="",FALSE,TRUE))</f>
        <v>0</v>
      </c>
      <c r="BI757" t="b">
        <f>OR(AND(IF(Metadata!V757="",FALSE,TRUE),OR(EXACT(Metadata!V757,"not collected"),EXACT(Metadata!V757,"not provided"),EXACT(Metadata!V757,"restricted access"))),AND(IF(Metadata!V757="",FALSE,ISNUMBER(VALUE(Metadata!V757))),Metadata!V757&gt;=-180,Metadata!V757&lt;=180))</f>
        <v>0</v>
      </c>
      <c r="BJ757" t="b">
        <f>AND(IF(Metadata!W757="",FALSE,TRUE),EXACT(Metadata!W757,"Decimal degrees"))</f>
        <v>0</v>
      </c>
      <c r="BK757" t="b">
        <f>IF(Metadata!X757="",FALSE,TRUE)</f>
        <v>0</v>
      </c>
      <c r="BL757" t="b">
        <f>OR(AND(IF(Metadata!Y757="",FALSE,TRUE),OR(EXACT(Metadata!Y757,"not collected"),EXACT(Metadata!Y757,"not provided"),EXACT(Metadata!Y757,"restricted access"))),AND(IF(Metadata!Y757="",FALSE,TRUE),OR(EXACT(Metadata!Y757,"TRUE"),EXACT(Metadata!Y757,"FALSE"))))</f>
        <v>0</v>
      </c>
      <c r="BM757" t="b">
        <f>OR(AND(IF(Metadata!Z757="",FALSE,TRUE),EXACT(Metadata!Z757,"not applicable")),AND(IF(Metadata!Z757="",FALSE,TRUE),OR(EXACT(Metadata!Z757,"beer"),EXACT(Metadata!Z757,"cheese"),EXACT(Metadata!Z757,"fresh water"),EXACT(Metadata!Z757,"marine sediment"),EXACT(Metadata!Z757,"sea water"),EXACT(Metadata!Z757,"sediment"),EXACT(Metadata!Z757,"soil"),EXACT(Metadata!Z757,"waste water"))))</f>
        <v>0</v>
      </c>
      <c r="BN757" t="b">
        <f>AND(IF(Metadata!AA757="",FALSE,TRUE),EXACT(Metadata!AA757,"metagenome"))</f>
        <v>0</v>
      </c>
      <c r="BO757" t="b">
        <f>AND(IF(Metadata!AB757="",FALSE,TRUE),EXACT(Metadata!AB757,"256318"))</f>
        <v>0</v>
      </c>
      <c r="BP757" t="b">
        <f>IF(Metadata!AC757="",FALSE,TRUE)</f>
        <v>0</v>
      </c>
      <c r="BQ757" t="b">
        <f>IF(Metadata!AD757="",FALSE,TRUE)</f>
        <v>0</v>
      </c>
    </row>
    <row r="758" spans="1:69" x14ac:dyDescent="0.2">
      <c r="A758" s="4" t="e">
        <f ca="1">IF(B758=" "," ",HYPERLINK(CONCATENATE("#metadata!",ADDRESS(INDEX($AJ$2:$AJ$1001,MATCH(ROWS($AH$2:AH758),$AH$2:$AH$1001,0),0),2)),INDEX($AM$2:$AM$1001,MATCH(ROWS($AH$2:AH758),$AH$2:$AH$1001,0),0)))</f>
        <v>#N/A</v>
      </c>
      <c r="B758" s="5" t="e">
        <f ca="1">IF(OR(INDEX($AI$2:$AI$1001,MATCH(ROWS($AH$2:AH758),$AH$2:$AH$1001,0),1)&gt;=100000,INDEX($AO$1005:$BQ$1005,1,MATCH(COLUMNS($AO$1006:AO1006),$AO$1006:$BQ$1006,0))&gt;=100000), " ",IF(INDEX($AO$2:$BQ$1001,MATCH(ROWS($AH$2:AH758),$AH$2:$AH$1001,0),MATCH(COLUMNS($AO$1006:AO1006),$AO$1006:$BQ$1006,0)), HYPERLINK("#",""), HYPERLINK(CONCATENATE("#Metadata!", ADDRESS(INDEX($AJ$2:$AJ$1001,MATCH(ROWS($AH$2:AH758),$AH$2:$AH$1001,0),0), INDEX($AO$1004:$BQ$1004,1,MATCH(COLUMNS($AO$1006:AO1006),$AO$1006:$BQ$1006,0)))),"Fix")))</f>
        <v>#N/A</v>
      </c>
      <c r="C758" s="5" t="e">
        <f ca="1">IF(OR(INDEX($AI$2:$AI$1001,MATCH(ROWS($AH$2:AH758),$AH$2:$AH$1001,0),1)&gt;=100000,INDEX($AO$1005:$BQ$1005,1,MATCH(COLUMNS($AO$1006:AP1006),$AO$1006:$BQ$1006,0))&gt;=100000), " ",IF(INDEX($AO$2:$BQ$1001,MATCH(ROWS($AH$2:AH758),$AH$2:$AH$1001,0),MATCH(COLUMNS($AO$1006:AP1006),$AO$1006:$BQ$1006,0)), HYPERLINK("#",""), HYPERLINK(CONCATENATE("#Metadata!", ADDRESS(INDEX($AJ$2:$AJ$1001,MATCH(ROWS($AH$2:AH758),$AH$2:$AH$1001,0),0), INDEX($AO$1004:$BQ$1004,1,MATCH(COLUMNS($AO$1006:AP1006),$AO$1006:$BQ$1006,0)))),"Fix")))</f>
        <v>#N/A</v>
      </c>
      <c r="D758" s="5" t="e">
        <f ca="1">IF(OR(INDEX($AI$2:$AI$1001,MATCH(ROWS($AH$2:AH758),$AH$2:$AH$1001,0),1)&gt;=100000,INDEX($AO$1005:$BQ$1005,1,MATCH(COLUMNS($AO$1006:AQ1006),$AO$1006:$BQ$1006,0))&gt;=100000), " ",IF(INDEX($AO$2:$BQ$1001,MATCH(ROWS($AH$2:AH758),$AH$2:$AH$1001,0),MATCH(COLUMNS($AO$1006:AQ1006),$AO$1006:$BQ$1006,0)), HYPERLINK("#",""), HYPERLINK(CONCATENATE("#Metadata!", ADDRESS(INDEX($AJ$2:$AJ$1001,MATCH(ROWS($AH$2:AH758),$AH$2:$AH$1001,0),0), INDEX($AO$1004:$BQ$1004,1,MATCH(COLUMNS($AO$1006:AQ1006),$AO$1006:$BQ$1006,0)))),"Fix")))</f>
        <v>#N/A</v>
      </c>
      <c r="E758" s="5" t="e">
        <f ca="1">IF(OR(INDEX($AI$2:$AI$1001,MATCH(ROWS($AH$2:AH758),$AH$2:$AH$1001,0),1)&gt;=100000,INDEX($AO$1005:$BQ$1005,1,MATCH(COLUMNS($AO$1006:AR1006),$AO$1006:$BQ$1006,0))&gt;=100000), " ",IF(INDEX($AO$2:$BQ$1001,MATCH(ROWS($AH$2:AH758),$AH$2:$AH$1001,0),MATCH(COLUMNS($AO$1006:AR1006),$AO$1006:$BQ$1006,0)), HYPERLINK("#",""), HYPERLINK(CONCATENATE("#Metadata!", ADDRESS(INDEX($AJ$2:$AJ$1001,MATCH(ROWS($AH$2:AH758),$AH$2:$AH$1001,0),0), INDEX($AO$1004:$BQ$1004,1,MATCH(COLUMNS($AO$1006:AR1006),$AO$1006:$BQ$1006,0)))),"Fix")))</f>
        <v>#N/A</v>
      </c>
      <c r="F758" s="5" t="e">
        <f ca="1">IF(OR(INDEX($AI$2:$AI$1001,MATCH(ROWS($AH$2:AH758),$AH$2:$AH$1001,0),1)&gt;=100000,INDEX($AO$1005:$BQ$1005,1,MATCH(COLUMNS($AO$1006:AS1006),$AO$1006:$BQ$1006,0))&gt;=100000), " ",IF(INDEX($AO$2:$BQ$1001,MATCH(ROWS($AH$2:AH758),$AH$2:$AH$1001,0),MATCH(COLUMNS($AO$1006:AS1006),$AO$1006:$BQ$1006,0)), HYPERLINK("#",""), HYPERLINK(CONCATENATE("#Metadata!", ADDRESS(INDEX($AJ$2:$AJ$1001,MATCH(ROWS($AH$2:AH758),$AH$2:$AH$1001,0),0), INDEX($AO$1004:$BQ$1004,1,MATCH(COLUMNS($AO$1006:AS1006),$AO$1006:$BQ$1006,0)))),"Fix")))</f>
        <v>#N/A</v>
      </c>
      <c r="G758" s="5" t="e">
        <f ca="1">IF(OR(INDEX($AI$2:$AI$1001,MATCH(ROWS($AH$2:AH758),$AH$2:$AH$1001,0),1)&gt;=100000,INDEX($AO$1005:$BQ$1005,1,MATCH(COLUMNS($AO$1006:AT1006),$AO$1006:$BQ$1006,0))&gt;=100000), " ",IF(INDEX($AO$2:$BQ$1001,MATCH(ROWS($AH$2:AH758),$AH$2:$AH$1001,0),MATCH(COLUMNS($AO$1006:AT1006),$AO$1006:$BQ$1006,0)), HYPERLINK("#",""), HYPERLINK(CONCATENATE("#Metadata!", ADDRESS(INDEX($AJ$2:$AJ$1001,MATCH(ROWS($AH$2:AH758),$AH$2:$AH$1001,0),0), INDEX($AO$1004:$BQ$1004,1,MATCH(COLUMNS($AO$1006:AT1006),$AO$1006:$BQ$1006,0)))),"Fix")))</f>
        <v>#N/A</v>
      </c>
      <c r="H758" s="5" t="e">
        <f ca="1">IF(OR(INDEX($AI$2:$AI$1001,MATCH(ROWS($AH$2:AH758),$AH$2:$AH$1001,0),1)&gt;=100000,INDEX($AO$1005:$BQ$1005,1,MATCH(COLUMNS($AO$1006:AU1006),$AO$1006:$BQ$1006,0))&gt;=100000), " ",IF(INDEX($AO$2:$BQ$1001,MATCH(ROWS($AH$2:AH758),$AH$2:$AH$1001,0),MATCH(COLUMNS($AO$1006:AU1006),$AO$1006:$BQ$1006,0)), HYPERLINK("#",""), HYPERLINK(CONCATENATE("#Metadata!", ADDRESS(INDEX($AJ$2:$AJ$1001,MATCH(ROWS($AH$2:AH758),$AH$2:$AH$1001,0),0), INDEX($AO$1004:$BQ$1004,1,MATCH(COLUMNS($AO$1006:AU1006),$AO$1006:$BQ$1006,0)))),"Fix")))</f>
        <v>#N/A</v>
      </c>
      <c r="I758" s="5" t="e">
        <f ca="1">IF(OR(INDEX($AI$2:$AI$1001,MATCH(ROWS($AH$2:AH758),$AH$2:$AH$1001,0),1)&gt;=100000,INDEX($AO$1005:$BQ$1005,1,MATCH(COLUMNS($AO$1006:AV1006),$AO$1006:$BQ$1006,0))&gt;=100000), " ",IF(INDEX($AO$2:$BQ$1001,MATCH(ROWS($AH$2:AH758),$AH$2:$AH$1001,0),MATCH(COLUMNS($AO$1006:AV1006),$AO$1006:$BQ$1006,0)), HYPERLINK("#",""), HYPERLINK(CONCATENATE("#Metadata!", ADDRESS(INDEX($AJ$2:$AJ$1001,MATCH(ROWS($AH$2:AH758),$AH$2:$AH$1001,0),0), INDEX($AO$1004:$BQ$1004,1,MATCH(COLUMNS($AO$1006:AV1006),$AO$1006:$BQ$1006,0)))),"Fix")))</f>
        <v>#N/A</v>
      </c>
      <c r="J758" s="5" t="e">
        <f ca="1">IF(OR(INDEX($AI$2:$AI$1001,MATCH(ROWS($AH$2:AH758),$AH$2:$AH$1001,0),1)&gt;=100000,INDEX($AO$1005:$BQ$1005,1,MATCH(COLUMNS($AO$1006:AW1006),$AO$1006:$BQ$1006,0))&gt;=100000), " ",IF(INDEX($AO$2:$BQ$1001,MATCH(ROWS($AH$2:AH758),$AH$2:$AH$1001,0),MATCH(COLUMNS($AO$1006:AW1006),$AO$1006:$BQ$1006,0)), HYPERLINK("#",""), HYPERLINK(CONCATENATE("#Metadata!", ADDRESS(INDEX($AJ$2:$AJ$1001,MATCH(ROWS($AH$2:AH758),$AH$2:$AH$1001,0),0), INDEX($AO$1004:$BQ$1004,1,MATCH(COLUMNS($AO$1006:AW1006),$AO$1006:$BQ$1006,0)))),"Fix")))</f>
        <v>#N/A</v>
      </c>
      <c r="K758" s="5" t="e">
        <f ca="1">IF(OR(INDEX($AI$2:$AI$1001,MATCH(ROWS($AH$2:AH758),$AH$2:$AH$1001,0),1)&gt;=100000,INDEX($AO$1005:$BQ$1005,1,MATCH(COLUMNS($AO$1006:AX1006),$AO$1006:$BQ$1006,0))&gt;=100000), " ",IF(INDEX($AO$2:$BQ$1001,MATCH(ROWS($AH$2:AH758),$AH$2:$AH$1001,0),MATCH(COLUMNS($AO$1006:AX1006),$AO$1006:$BQ$1006,0)), HYPERLINK("#",""), HYPERLINK(CONCATENATE("#Metadata!", ADDRESS(INDEX($AJ$2:$AJ$1001,MATCH(ROWS($AH$2:AH758),$AH$2:$AH$1001,0),0), INDEX($AO$1004:$BQ$1004,1,MATCH(COLUMNS($AO$1006:AX1006),$AO$1006:$BQ$1006,0)))),"Fix")))</f>
        <v>#N/A</v>
      </c>
      <c r="L758" s="5" t="e">
        <f ca="1">IF(OR(INDEX($AI$2:$AI$1001,MATCH(ROWS($AH$2:AH758),$AH$2:$AH$1001,0),1)&gt;=100000,INDEX($AO$1005:$BQ$1005,1,MATCH(COLUMNS($AO$1006:AY1006),$AO$1006:$BQ$1006,0))&gt;=100000), " ",IF(INDEX($AO$2:$BQ$1001,MATCH(ROWS($AH$2:AH758),$AH$2:$AH$1001,0),MATCH(COLUMNS($AO$1006:AY1006),$AO$1006:$BQ$1006,0)), HYPERLINK("#",""), HYPERLINK(CONCATENATE("#Metadata!", ADDRESS(INDEX($AJ$2:$AJ$1001,MATCH(ROWS($AH$2:AH758),$AH$2:$AH$1001,0),0), INDEX($AO$1004:$BQ$1004,1,MATCH(COLUMNS($AO$1006:AY1006),$AO$1006:$BQ$1006,0)))),"Fix")))</f>
        <v>#N/A</v>
      </c>
      <c r="M758" s="5" t="e">
        <f ca="1">IF(OR(INDEX($AI$2:$AI$1001,MATCH(ROWS($AH$2:AH758),$AH$2:$AH$1001,0),1)&gt;=100000,INDEX($AO$1005:$BQ$1005,1,MATCH(COLUMNS($AO$1006:AZ1006),$AO$1006:$BQ$1006,0))&gt;=100000), " ",IF(INDEX($AO$2:$BQ$1001,MATCH(ROWS($AH$2:AH758),$AH$2:$AH$1001,0),MATCH(COLUMNS($AO$1006:AZ1006),$AO$1006:$BQ$1006,0)), HYPERLINK("#",""), HYPERLINK(CONCATENATE("#Metadata!", ADDRESS(INDEX($AJ$2:$AJ$1001,MATCH(ROWS($AH$2:AH758),$AH$2:$AH$1001,0),0), INDEX($AO$1004:$BQ$1004,1,MATCH(COLUMNS($AO$1006:AZ1006),$AO$1006:$BQ$1006,0)))),"Fix")))</f>
        <v>#N/A</v>
      </c>
      <c r="N758" s="5" t="e">
        <f ca="1">IF(OR(INDEX($AI$2:$AI$1001,MATCH(ROWS($AH$2:AH758),$AH$2:$AH$1001,0),1)&gt;=100000,INDEX($AO$1005:$BQ$1005,1,MATCH(COLUMNS($AO$1006:BA1006),$AO$1006:$BQ$1006,0))&gt;=100000), " ",IF(INDEX($AO$2:$BQ$1001,MATCH(ROWS($AH$2:AH758),$AH$2:$AH$1001,0),MATCH(COLUMNS($AO$1006:BA1006),$AO$1006:$BQ$1006,0)), HYPERLINK("#",""), HYPERLINK(CONCATENATE("#Metadata!", ADDRESS(INDEX($AJ$2:$AJ$1001,MATCH(ROWS($AH$2:AH758),$AH$2:$AH$1001,0),0), INDEX($AO$1004:$BQ$1004,1,MATCH(COLUMNS($AO$1006:BA1006),$AO$1006:$BQ$1006,0)))),"Fix")))</f>
        <v>#N/A</v>
      </c>
      <c r="O758" s="5" t="e">
        <f ca="1">IF(OR(INDEX($AI$2:$AI$1001,MATCH(ROWS($AH$2:AH758),$AH$2:$AH$1001,0),1)&gt;=100000,INDEX($AO$1005:$BQ$1005,1,MATCH(COLUMNS($AO$1006:BB1006),$AO$1006:$BQ$1006,0))&gt;=100000), " ",IF(INDEX($AO$2:$BQ$1001,MATCH(ROWS($AH$2:AH758),$AH$2:$AH$1001,0),MATCH(COLUMNS($AO$1006:BB1006),$AO$1006:$BQ$1006,0)), HYPERLINK("#",""), HYPERLINK(CONCATENATE("#Metadata!", ADDRESS(INDEX($AJ$2:$AJ$1001,MATCH(ROWS($AH$2:AH758),$AH$2:$AH$1001,0),0), INDEX($AO$1004:$BQ$1004,1,MATCH(COLUMNS($AO$1006:BB1006),$AO$1006:$BQ$1006,0)))),"Fix")))</f>
        <v>#N/A</v>
      </c>
      <c r="P758" s="5" t="e">
        <f ca="1">IF(OR(INDEX($AI$2:$AI$1001,MATCH(ROWS($AH$2:AH758),$AH$2:$AH$1001,0),1)&gt;=100000,INDEX($AO$1005:$BQ$1005,1,MATCH(COLUMNS($AO$1006:BC1006),$AO$1006:$BQ$1006,0))&gt;=100000), " ",IF(INDEX($AO$2:$BQ$1001,MATCH(ROWS($AH$2:AH758),$AH$2:$AH$1001,0),MATCH(COLUMNS($AO$1006:BC1006),$AO$1006:$BQ$1006,0)), HYPERLINK("#",""), HYPERLINK(CONCATENATE("#Metadata!", ADDRESS(INDEX($AJ$2:$AJ$1001,MATCH(ROWS($AH$2:AH758),$AH$2:$AH$1001,0),0), INDEX($AO$1004:$BQ$1004,1,MATCH(COLUMNS($AO$1006:BC1006),$AO$1006:$BQ$1006,0)))),"Fix")))</f>
        <v>#N/A</v>
      </c>
      <c r="Q758" s="5" t="e">
        <f ca="1">IF(OR(INDEX($AI$2:$AI$1001,MATCH(ROWS($AH$2:AH758),$AH$2:$AH$1001,0),1)&gt;=100000,INDEX($AO$1005:$BQ$1005,1,MATCH(COLUMNS($AO$1006:BD1006),$AO$1006:$BQ$1006,0))&gt;=100000), " ",IF(INDEX($AO$2:$BQ$1001,MATCH(ROWS($AH$2:AH758),$AH$2:$AH$1001,0),MATCH(COLUMNS($AO$1006:BD1006),$AO$1006:$BQ$1006,0)), HYPERLINK("#",""), HYPERLINK(CONCATENATE("#Metadata!", ADDRESS(INDEX($AJ$2:$AJ$1001,MATCH(ROWS($AH$2:AH758),$AH$2:$AH$1001,0),0), INDEX($AO$1004:$BQ$1004,1,MATCH(COLUMNS($AO$1006:BD1006),$AO$1006:$BQ$1006,0)))),"Fix")))</f>
        <v>#N/A</v>
      </c>
      <c r="R758" s="5" t="e">
        <f ca="1">IF(OR(INDEX($AI$2:$AI$1001,MATCH(ROWS($AH$2:AH758),$AH$2:$AH$1001,0),1)&gt;=100000,INDEX($AO$1005:$BQ$1005,1,MATCH(COLUMNS($AO$1006:BE1006),$AO$1006:$BQ$1006,0))&gt;=100000), " ",IF(INDEX($AO$2:$BQ$1001,MATCH(ROWS($AH$2:AH758),$AH$2:$AH$1001,0),MATCH(COLUMNS($AO$1006:BE1006),$AO$1006:$BQ$1006,0)), HYPERLINK("#",""), HYPERLINK(CONCATENATE("#Metadata!", ADDRESS(INDEX($AJ$2:$AJ$1001,MATCH(ROWS($AH$2:AH758),$AH$2:$AH$1001,0),0), INDEX($AO$1004:$BQ$1004,1,MATCH(COLUMNS($AO$1006:BE1006),$AO$1006:$BQ$1006,0)))),"Fix")))</f>
        <v>#N/A</v>
      </c>
      <c r="S758" s="5" t="e">
        <f ca="1">IF(OR(INDEX($AI$2:$AI$1001,MATCH(ROWS($AH$2:AH758),$AH$2:$AH$1001,0),1)&gt;=100000,INDEX($AO$1005:$BQ$1005,1,MATCH(COLUMNS($AO$1006:BF1006),$AO$1006:$BQ$1006,0))&gt;=100000), " ",IF(INDEX($AO$2:$BQ$1001,MATCH(ROWS($AH$2:AH758),$AH$2:$AH$1001,0),MATCH(COLUMNS($AO$1006:BF1006),$AO$1006:$BQ$1006,0)), HYPERLINK("#",""), HYPERLINK(CONCATENATE("#Metadata!", ADDRESS(INDEX($AJ$2:$AJ$1001,MATCH(ROWS($AH$2:AH758),$AH$2:$AH$1001,0),0), INDEX($AO$1004:$BQ$1004,1,MATCH(COLUMNS($AO$1006:BF1006),$AO$1006:$BQ$1006,0)))),"Fix")))</f>
        <v>#N/A</v>
      </c>
      <c r="T758" s="5" t="e">
        <f ca="1">IF(OR(INDEX($AI$2:$AI$1001,MATCH(ROWS($AH$2:AH758),$AH$2:$AH$1001,0),1)&gt;=100000,INDEX($AO$1005:$BQ$1005,1,MATCH(COLUMNS($AO$1006:BG1006),$AO$1006:$BQ$1006,0))&gt;=100000), " ",IF(INDEX($AO$2:$BQ$1001,MATCH(ROWS($AH$2:AH758),$AH$2:$AH$1001,0),MATCH(COLUMNS($AO$1006:BG1006),$AO$1006:$BQ$1006,0)), HYPERLINK("#",""), HYPERLINK(CONCATENATE("#Metadata!", ADDRESS(INDEX($AJ$2:$AJ$1001,MATCH(ROWS($AH$2:AH758),$AH$2:$AH$1001,0),0), INDEX($AO$1004:$BQ$1004,1,MATCH(COLUMNS($AO$1006:BG1006),$AO$1006:$BQ$1006,0)))),"Fix")))</f>
        <v>#N/A</v>
      </c>
      <c r="U758" s="5" t="e">
        <f ca="1">IF(OR(INDEX($AI$2:$AI$1001,MATCH(ROWS($AH$2:AH758),$AH$2:$AH$1001,0),1)&gt;=100000,INDEX($AO$1005:$BQ$1005,1,MATCH(COLUMNS($AO$1006:BH1006),$AO$1006:$BQ$1006,0))&gt;=100000), " ",IF(INDEX($AO$2:$BQ$1001,MATCH(ROWS($AH$2:AH758),$AH$2:$AH$1001,0),MATCH(COLUMNS($AO$1006:BH1006),$AO$1006:$BQ$1006,0)), HYPERLINK("#",""), HYPERLINK(CONCATENATE("#Metadata!", ADDRESS(INDEX($AJ$2:$AJ$1001,MATCH(ROWS($AH$2:AH758),$AH$2:$AH$1001,0),0), INDEX($AO$1004:$BQ$1004,1,MATCH(COLUMNS($AO$1006:BH1006),$AO$1006:$BQ$1006,0)))),"Fix")))</f>
        <v>#N/A</v>
      </c>
      <c r="V758" s="5" t="e">
        <f ca="1">IF(OR(INDEX($AI$2:$AI$1001,MATCH(ROWS($AH$2:AH758),$AH$2:$AH$1001,0),1)&gt;=100000,INDEX($AO$1005:$BQ$1005,1,MATCH(COLUMNS($AO$1006:BI1006),$AO$1006:$BQ$1006,0))&gt;=100000), " ",IF(INDEX($AO$2:$BQ$1001,MATCH(ROWS($AH$2:AH758),$AH$2:$AH$1001,0),MATCH(COLUMNS($AO$1006:BI1006),$AO$1006:$BQ$1006,0)), HYPERLINK("#",""), HYPERLINK(CONCATENATE("#Metadata!", ADDRESS(INDEX($AJ$2:$AJ$1001,MATCH(ROWS($AH$2:AH758),$AH$2:$AH$1001,0),0), INDEX($AO$1004:$BQ$1004,1,MATCH(COLUMNS($AO$1006:BI1006),$AO$1006:$BQ$1006,0)))),"Fix")))</f>
        <v>#N/A</v>
      </c>
      <c r="W758" s="5" t="e">
        <f ca="1">IF(OR(INDEX($AI$2:$AI$1001,MATCH(ROWS($AH$2:AH758),$AH$2:$AH$1001,0),1)&gt;=100000,INDEX($AO$1005:$BQ$1005,1,MATCH(COLUMNS($AO$1006:BJ1006),$AO$1006:$BQ$1006,0))&gt;=100000), " ",IF(INDEX($AO$2:$BQ$1001,MATCH(ROWS($AH$2:AH758),$AH$2:$AH$1001,0),MATCH(COLUMNS($AO$1006:BJ1006),$AO$1006:$BQ$1006,0)), HYPERLINK("#",""), HYPERLINK(CONCATENATE("#Metadata!", ADDRESS(INDEX($AJ$2:$AJ$1001,MATCH(ROWS($AH$2:AH758),$AH$2:$AH$1001,0),0), INDEX($AO$1004:$BQ$1004,1,MATCH(COLUMNS($AO$1006:BJ1006),$AO$1006:$BQ$1006,0)))),"Fix")))</f>
        <v>#N/A</v>
      </c>
      <c r="X758" s="5" t="e">
        <f ca="1">IF(OR(INDEX($AI$2:$AI$1001,MATCH(ROWS($AH$2:AH758),$AH$2:$AH$1001,0),1)&gt;=100000,INDEX($AO$1005:$BQ$1005,1,MATCH(COLUMNS($AO$1006:BK1006),$AO$1006:$BQ$1006,0))&gt;=100000), " ",IF(INDEX($AO$2:$BQ$1001,MATCH(ROWS($AH$2:AH758),$AH$2:$AH$1001,0),MATCH(COLUMNS($AO$1006:BK1006),$AO$1006:$BQ$1006,0)), HYPERLINK("#",""), HYPERLINK(CONCATENATE("#Metadata!", ADDRESS(INDEX($AJ$2:$AJ$1001,MATCH(ROWS($AH$2:AH758),$AH$2:$AH$1001,0),0), INDEX($AO$1004:$BQ$1004,1,MATCH(COLUMNS($AO$1006:BK1006),$AO$1006:$BQ$1006,0)))),"Fix")))</f>
        <v>#N/A</v>
      </c>
      <c r="Y758" s="5" t="e">
        <f ca="1">IF(OR(INDEX($AI$2:$AI$1001,MATCH(ROWS($AH$2:AH758),$AH$2:$AH$1001,0),1)&gt;=100000,INDEX($AO$1005:$BQ$1005,1,MATCH(COLUMNS($AO$1006:BL1006),$AO$1006:$BQ$1006,0))&gt;=100000), " ",IF(INDEX($AO$2:$BQ$1001,MATCH(ROWS($AH$2:AH758),$AH$2:$AH$1001,0),MATCH(COLUMNS($AO$1006:BL1006),$AO$1006:$BQ$1006,0)), HYPERLINK("#",""), HYPERLINK(CONCATENATE("#Metadata!", ADDRESS(INDEX($AJ$2:$AJ$1001,MATCH(ROWS($AH$2:AH758),$AH$2:$AH$1001,0),0), INDEX($AO$1004:$BQ$1004,1,MATCH(COLUMNS($AO$1006:BL1006),$AO$1006:$BQ$1006,0)))),"Fix")))</f>
        <v>#N/A</v>
      </c>
      <c r="Z758" s="5" t="e">
        <f ca="1">IF(OR(INDEX($AI$2:$AI$1001,MATCH(ROWS($AH$2:AH758),$AH$2:$AH$1001,0),1)&gt;=100000,INDEX($AO$1005:$BQ$1005,1,MATCH(COLUMNS($AO$1006:BM1006),$AO$1006:$BQ$1006,0))&gt;=100000), " ",IF(INDEX($AO$2:$BQ$1001,MATCH(ROWS($AH$2:AH758),$AH$2:$AH$1001,0),MATCH(COLUMNS($AO$1006:BM1006),$AO$1006:$BQ$1006,0)), HYPERLINK("#",""), HYPERLINK(CONCATENATE("#Metadata!", ADDRESS(INDEX($AJ$2:$AJ$1001,MATCH(ROWS($AH$2:AH758),$AH$2:$AH$1001,0),0), INDEX($AO$1004:$BQ$1004,1,MATCH(COLUMNS($AO$1006:BM1006),$AO$1006:$BQ$1006,0)))),"Fix")))</f>
        <v>#N/A</v>
      </c>
      <c r="AA758" s="5" t="e">
        <f ca="1">IF(OR(INDEX($AI$2:$AI$1001,MATCH(ROWS($AH$2:AH758),$AH$2:$AH$1001,0),1)&gt;=100000,INDEX($AO$1005:$BQ$1005,1,MATCH(COLUMNS($AO$1006:BN1006),$AO$1006:$BQ$1006,0))&gt;=100000), " ",IF(INDEX($AO$2:$BQ$1001,MATCH(ROWS($AH$2:AH758),$AH$2:$AH$1001,0),MATCH(COLUMNS($AO$1006:BN1006),$AO$1006:$BQ$1006,0)), HYPERLINK("#",""), HYPERLINK(CONCATENATE("#Metadata!", ADDRESS(INDEX($AJ$2:$AJ$1001,MATCH(ROWS($AH$2:AH758),$AH$2:$AH$1001,0),0), INDEX($AO$1004:$BQ$1004,1,MATCH(COLUMNS($AO$1006:BN1006),$AO$1006:$BQ$1006,0)))),"Fix")))</f>
        <v>#N/A</v>
      </c>
      <c r="AB758" s="5" t="e">
        <f ca="1">IF(OR(INDEX($AI$2:$AI$1001,MATCH(ROWS($AH$2:AH758),$AH$2:$AH$1001,0),1)&gt;=100000,INDEX($AO$1005:$BQ$1005,1,MATCH(COLUMNS($AO$1006:BO1006),$AO$1006:$BQ$1006,0))&gt;=100000), " ",IF(INDEX($AO$2:$BQ$1001,MATCH(ROWS($AH$2:AH758),$AH$2:$AH$1001,0),MATCH(COLUMNS($AO$1006:BO1006),$AO$1006:$BQ$1006,0)), HYPERLINK("#",""), HYPERLINK(CONCATENATE("#Metadata!", ADDRESS(INDEX($AJ$2:$AJ$1001,MATCH(ROWS($AH$2:AH758),$AH$2:$AH$1001,0),0), INDEX($AO$1004:$BQ$1004,1,MATCH(COLUMNS($AO$1006:BO1006),$AO$1006:$BQ$1006,0)))),"Fix")))</f>
        <v>#N/A</v>
      </c>
      <c r="AC758" s="5" t="e">
        <f ca="1">IF(OR(INDEX($AI$2:$AI$1001,MATCH(ROWS($AH$2:AH758),$AH$2:$AH$1001,0),1)&gt;=100000,INDEX($AO$1005:$BQ$1005,1,MATCH(COLUMNS($AO$1006:BP1006),$AO$1006:$BQ$1006,0))&gt;=100000), " ",IF(INDEX($AO$2:$BQ$1001,MATCH(ROWS($AH$2:AH758),$AH$2:$AH$1001,0),MATCH(COLUMNS($AO$1006:BP1006),$AO$1006:$BQ$1006,0)), HYPERLINK("#",""), HYPERLINK(CONCATENATE("#Metadata!", ADDRESS(INDEX($AJ$2:$AJ$1001,MATCH(ROWS($AH$2:AH758),$AH$2:$AH$1001,0),0), INDEX($AO$1004:$BQ$1004,1,MATCH(COLUMNS($AO$1006:BP1006),$AO$1006:$BQ$1006,0)))),"Fix")))</f>
        <v>#N/A</v>
      </c>
      <c r="AD758" s="5" t="e">
        <f ca="1">IF(OR(INDEX($AI$2:$AI$1001,MATCH(ROWS($AH$2:AH758),$AH$2:$AH$1001,0),1)&gt;=100000,INDEX($AO$1005:$BQ$1005,1,MATCH(COLUMNS($AO$1006:BQ1006),$AO$1006:$BQ$1006,0))&gt;=100000), " ",IF(INDEX($AO$2:$BQ$1001,MATCH(ROWS($AH$2:AH758),$AH$2:$AH$1001,0),MATCH(COLUMNS($AO$1006:BQ1006),$AO$1006:$BQ$1006,0)), HYPERLINK("#",""), HYPERLINK(CONCATENATE("#Metadata!", ADDRESS(INDEX($AJ$2:$AJ$1001,MATCH(ROWS($AH$2:AH758),$AH$2:$AH$1001,0),0), INDEX($AO$1004:$BQ$1004,1,MATCH(COLUMNS($AO$1006:BQ1006),$AO$1006:$BQ$1006,0)))),"Fix")))</f>
        <v>#REF!</v>
      </c>
      <c r="AH758">
        <f ca="1"/>
        <v>755</v>
      </c>
      <c r="AI758">
        <v>100758</v>
      </c>
      <c r="AJ758">
        <v>758</v>
      </c>
      <c r="AK758" t="b">
        <f t="shared" si="11"/>
        <v>1</v>
      </c>
      <c r="AL758" t="b">
        <f>COUNTBLANK(Metadata!B758:AD758)=COLUMNS(Metadata!B758:AD758)</f>
        <v>1</v>
      </c>
      <c r="AM758" t="str">
        <v/>
      </c>
      <c r="AO758" t="b">
        <f ca="1">AND(IF(Metadata!B758="",FALSE,TRUE),COUNTIF(Metadata!B:B, Metadata!B758) = 1,NOT(ISERROR(SUMPRODUCT(SEARCH(MID(Metadata!B758,ROW(INDIRECT("1:"&amp;LEN(Metadata!B758))), 1),"0123456789abcdefghijklmnopqrstuvwxyzABCDEFGHIJKLMNOPQRSTUVWXYZ.")))))</f>
        <v>0</v>
      </c>
      <c r="AP758" t="b">
        <f>IF(Metadata!C758="",FALSE,TRUE)</f>
        <v>0</v>
      </c>
      <c r="AQ758" t="b">
        <f>IF(Metadata!D758="",FALSE,TRUE)</f>
        <v>0</v>
      </c>
      <c r="AR758" t="b">
        <f ca="1">OR(AND(IF(Metadata!E758="",FALSE,TRUE),OR(EXACT(Metadata!E758,"not collected"),EXACT(Metadata!E758,"not provided"),EXACT(Metadata!E758,"restricted access"))),AND(IF(Metadata!E758="",FALSE,TRUE),AND(AND(IFERROR(INT(LEFT(Metadata!E758,4))&gt;1900,FALSE),IFERROR(INT(LEFT(Metadata!E758,4))&lt;=YEAR(NOW()),FALSE)), OR(MID(Metadata!E758,5,1)="", AND(AND(MID(Metadata!E758,5,1)="-",IFERROR(INT(MID(Metadata!E758,6,1))&gt;=0,FALSE),IFERROR(INT(MID(Metadata!E758,6,1))&lt;=1,FALSE),NOT(MID(Metadata!E758,7,1)=""),IFERROR(INT(MID(Metadata!E758,6,2))&gt;=1,FALSE),IFERROR(INT(MID(Metadata!E758,6,2))&lt;=12,FALSE)), OR(MID(Metadata!E758,8,1)="", AND(AND(MID(Metadata!E758,8,1)="-",IFERROR(INT(MID(Metadata!E758,9,1))&gt;=0,FALSE),IFERROR(INT(MID(Metadata!E758,9,1))&lt;=3,FALSE),NOT(MID(Metadata!E758,10,1)=""),IFERROR(INT(MID(Metadata!E758,9,2))&gt;=1,FALSE),IFERROR(INT(MID(Metadata!E758,9,2))&lt;=31,FALSE)), OR(MID(Metadata!E758,11,1)="", AND(AND(MID(Metadata!E758,11,1)=" ",IFERROR(INT(MID(Metadata!E758,12,1))&gt;=0,FALSE),IFERROR(INT(MID(Metadata!E758,12,1))&lt;=2,FALSE),NOT(MID(Metadata!E758,13,1)=""),IFERROR(INT(MID(Metadata!E758,12,2))&gt;=0,FALSE),IFERROR(INT(MID(Metadata!E758,12,2))&lt;=23,FALSE)), OR(MID(Metadata!E758,14,1)="", AND(AND(MID(Metadata!E758,14,1)=":",IFERROR(INT(MID(Metadata!E758,15,1))&gt;=0,FALSE),IFERROR(INT(MID(Metadata!E758,15,1))&lt;=5,FALSE),NOT(MID(Metadata!E758,16,1)=""),IFERROR(INT(MID(Metadata!E758,15,2))&gt;=0,FALSE),IFERROR(INT(MID(Metadata!E758,15,2))&lt;=59,FALSE)), OR(MID(Metadata!E758,17,1)="", AND(AND(MID(Metadata!E758,17,1)=":",IFERROR(INT(MID(Metadata!E758,18,1))&gt;=0,FALSE),IFERROR(INT(MID(Metadata!E758,18,1))&lt;=5,FALSE),NOT(MID(Metadata!E758,19,1)=""),IFERROR(INT(MID(Metadata!E758,18,2))&gt;=0,FALSE),IFERROR(INT(MID(Metadata!E758,18,2))&lt;=59,FALSE)), LEN(Metadata!E758)&lt;=19)))))))))))))</f>
        <v>0</v>
      </c>
      <c r="AS758" t="b">
        <f>IF(Metadata!F758="",FALSE,TRUE)</f>
        <v>0</v>
      </c>
      <c r="AT758" t="b">
        <f>OR(AND(IF(Metadata!G758="",FALSE,TRUE),OR(EXACT(Metadata!G758,"not collected"),EXACT(Metadata!G758,"not provided"))),AND(IF(Metadata!G758="",FALSE,TRUE),OR(EXACT(Metadata!G758,"TRUE"),EXACT(Metadata!G758,"FALSE"))))</f>
        <v>0</v>
      </c>
      <c r="AU758" t="b">
        <f>OR(AND(IF(Metadata!H758="",FALSE,TRUE),OR(EXACT(Metadata!H758,"not collected"),EXACT(Metadata!H758,"not provided"),EXACT(Metadata!H758,"restricted access"))),AND(IF(Metadata!H758="",FALSE,ISNUMBER(VALUE(Metadata!H758))),Metadata!H758&gt;=-413))</f>
        <v>0</v>
      </c>
      <c r="AV758" t="b">
        <f>AND(IF(Metadata!I758="",FALSE,TRUE),EXACT(Metadata!I758,"meters"))</f>
        <v>0</v>
      </c>
      <c r="AW758" t="b">
        <f>AND(IF(Metadata!J758="",FALSE,TRUE),EXACT(Metadata!J758,"free-living"))</f>
        <v>0</v>
      </c>
      <c r="AX758" t="b">
        <f>AND(IF(Metadata!K758="",FALSE,TRUE),OR(EXACT(Metadata!K758,"saline"),EXACT(Metadata!K758,"non-saline")))</f>
        <v>0</v>
      </c>
      <c r="AY758" t="b">
        <f>AND(IF(Metadata!L758="",FALSE,TRUE),OR(EXACT(Metadata!L758,"sub-surface (non-saline)"),EXACT(Metadata!L758,"surface (non-saline)"),EXACT(Metadata!L758,"water (non-saline)"),EXACT(Metadata!L758,"soil (non-saline)"),EXACT(Metadata!L758,"aerosol (non-saline)"),EXACT(Metadata!L758,"sediment (non-saline)"),EXACT(Metadata!L758,"surface (saline)"),EXACT(Metadata!L758,"water (saline)"),EXACT(Metadata!L758,"hypersaline (saline)"),EXACT(Metadata!L758,"aerosol (saline)"),EXACT(Metadata!L758,"sediment (saline)")))</f>
        <v>0</v>
      </c>
      <c r="AZ758" t="b">
        <f>IF(Metadata!M758="",FALSE,TRUE)</f>
        <v>0</v>
      </c>
      <c r="BA758" t="b">
        <f>IF(Metadata!N758="",FALSE,TRUE)</f>
        <v>0</v>
      </c>
      <c r="BB758" t="b">
        <f>IF(Metadata!O758="",FALSE,TRUE)</f>
        <v>0</v>
      </c>
      <c r="BC758" t="b">
        <f>AND(IF(Metadata!P758="",FALSE,TRUE),OR(EXACT(Metadata!P758,"air"),EXACT(Metadata!P758,"microbial mat/biofilm"),EXACT(Metadata!P758,"misc environment"),EXACT(Metadata!P758,"sediment"),EXACT(Metadata!P758,"soil"),EXACT(Metadata!P758,"wastewater/sludge"),EXACT(Metadata!P758,"water")))</f>
        <v>0</v>
      </c>
      <c r="BD758" t="b">
        <f>IF(Metadata!Q758="",FALSE,TRUE)</f>
        <v>0</v>
      </c>
      <c r="BE758" t="b">
        <f>IF(Metadata!R758="",FALSE,TRUE)</f>
        <v>0</v>
      </c>
      <c r="BF758" t="b">
        <f>OR(AND(IF(Metadata!S758="",FALSE,TRUE),OR(EXACT(Metadata!S758,"not collected"),EXACT(Metadata!S758,"not provided"),EXACT(Metadata!S758,"restricted access"))),AND(IF(Metadata!S758="",FALSE,ISNUMBER(VALUE(Metadata!S758))),Metadata!S758&gt;=-90,Metadata!S758&lt;=90))</f>
        <v>0</v>
      </c>
      <c r="BG758" t="b">
        <f>AND(IF(Metadata!T758="",FALSE,TRUE),EXACT(Metadata!T758,"Decimal degrees"))</f>
        <v>0</v>
      </c>
      <c r="BH758" t="b">
        <f>OR(AND(IF(Metadata!U758="",FALSE,TRUE),OR(EXACT(Metadata!U758,"not applicable"),EXACT(Metadata!U758,"not collected"))),IF(Metadata!U758="",FALSE,TRUE))</f>
        <v>0</v>
      </c>
      <c r="BI758" t="b">
        <f>OR(AND(IF(Metadata!V758="",FALSE,TRUE),OR(EXACT(Metadata!V758,"not collected"),EXACT(Metadata!V758,"not provided"),EXACT(Metadata!V758,"restricted access"))),AND(IF(Metadata!V758="",FALSE,ISNUMBER(VALUE(Metadata!V758))),Metadata!V758&gt;=-180,Metadata!V758&lt;=180))</f>
        <v>0</v>
      </c>
      <c r="BJ758" t="b">
        <f>AND(IF(Metadata!W758="",FALSE,TRUE),EXACT(Metadata!W758,"Decimal degrees"))</f>
        <v>0</v>
      </c>
      <c r="BK758" t="b">
        <f>IF(Metadata!X758="",FALSE,TRUE)</f>
        <v>0</v>
      </c>
      <c r="BL758" t="b">
        <f>OR(AND(IF(Metadata!Y758="",FALSE,TRUE),OR(EXACT(Metadata!Y758,"not collected"),EXACT(Metadata!Y758,"not provided"),EXACT(Metadata!Y758,"restricted access"))),AND(IF(Metadata!Y758="",FALSE,TRUE),OR(EXACT(Metadata!Y758,"TRUE"),EXACT(Metadata!Y758,"FALSE"))))</f>
        <v>0</v>
      </c>
      <c r="BM758" t="b">
        <f>OR(AND(IF(Metadata!Z758="",FALSE,TRUE),EXACT(Metadata!Z758,"not applicable")),AND(IF(Metadata!Z758="",FALSE,TRUE),OR(EXACT(Metadata!Z758,"beer"),EXACT(Metadata!Z758,"cheese"),EXACT(Metadata!Z758,"fresh water"),EXACT(Metadata!Z758,"marine sediment"),EXACT(Metadata!Z758,"sea water"),EXACT(Metadata!Z758,"sediment"),EXACT(Metadata!Z758,"soil"),EXACT(Metadata!Z758,"waste water"))))</f>
        <v>0</v>
      </c>
      <c r="BN758" t="b">
        <f>AND(IF(Metadata!AA758="",FALSE,TRUE),EXACT(Metadata!AA758,"metagenome"))</f>
        <v>0</v>
      </c>
      <c r="BO758" t="b">
        <f>AND(IF(Metadata!AB758="",FALSE,TRUE),EXACT(Metadata!AB758,"256318"))</f>
        <v>0</v>
      </c>
      <c r="BP758" t="b">
        <f>IF(Metadata!AC758="",FALSE,TRUE)</f>
        <v>0</v>
      </c>
      <c r="BQ758" t="b">
        <f>IF(Metadata!AD758="",FALSE,TRUE)</f>
        <v>0</v>
      </c>
    </row>
    <row r="759" spans="1:69" x14ac:dyDescent="0.2">
      <c r="A759" s="4" t="e">
        <f ca="1">IF(B759=" "," ",HYPERLINK(CONCATENATE("#metadata!",ADDRESS(INDEX($AJ$2:$AJ$1001,MATCH(ROWS($AH$2:AH759),$AH$2:$AH$1001,0),0),2)),INDEX($AM$2:$AM$1001,MATCH(ROWS($AH$2:AH759),$AH$2:$AH$1001,0),0)))</f>
        <v>#N/A</v>
      </c>
      <c r="B759" s="5" t="e">
        <f ca="1">IF(OR(INDEX($AI$2:$AI$1001,MATCH(ROWS($AH$2:AH759),$AH$2:$AH$1001,0),1)&gt;=100000,INDEX($AO$1005:$BQ$1005,1,MATCH(COLUMNS($AO$1006:AO1006),$AO$1006:$BQ$1006,0))&gt;=100000), " ",IF(INDEX($AO$2:$BQ$1001,MATCH(ROWS($AH$2:AH759),$AH$2:$AH$1001,0),MATCH(COLUMNS($AO$1006:AO1006),$AO$1006:$BQ$1006,0)), HYPERLINK("#",""), HYPERLINK(CONCATENATE("#Metadata!", ADDRESS(INDEX($AJ$2:$AJ$1001,MATCH(ROWS($AH$2:AH759),$AH$2:$AH$1001,0),0), INDEX($AO$1004:$BQ$1004,1,MATCH(COLUMNS($AO$1006:AO1006),$AO$1006:$BQ$1006,0)))),"Fix")))</f>
        <v>#N/A</v>
      </c>
      <c r="C759" s="5" t="e">
        <f ca="1">IF(OR(INDEX($AI$2:$AI$1001,MATCH(ROWS($AH$2:AH759),$AH$2:$AH$1001,0),1)&gt;=100000,INDEX($AO$1005:$BQ$1005,1,MATCH(COLUMNS($AO$1006:AP1006),$AO$1006:$BQ$1006,0))&gt;=100000), " ",IF(INDEX($AO$2:$BQ$1001,MATCH(ROWS($AH$2:AH759),$AH$2:$AH$1001,0),MATCH(COLUMNS($AO$1006:AP1006),$AO$1006:$BQ$1006,0)), HYPERLINK("#",""), HYPERLINK(CONCATENATE("#Metadata!", ADDRESS(INDEX($AJ$2:$AJ$1001,MATCH(ROWS($AH$2:AH759),$AH$2:$AH$1001,0),0), INDEX($AO$1004:$BQ$1004,1,MATCH(COLUMNS($AO$1006:AP1006),$AO$1006:$BQ$1006,0)))),"Fix")))</f>
        <v>#N/A</v>
      </c>
      <c r="D759" s="5" t="e">
        <f ca="1">IF(OR(INDEX($AI$2:$AI$1001,MATCH(ROWS($AH$2:AH759),$AH$2:$AH$1001,0),1)&gt;=100000,INDEX($AO$1005:$BQ$1005,1,MATCH(COLUMNS($AO$1006:AQ1006),$AO$1006:$BQ$1006,0))&gt;=100000), " ",IF(INDEX($AO$2:$BQ$1001,MATCH(ROWS($AH$2:AH759),$AH$2:$AH$1001,0),MATCH(COLUMNS($AO$1006:AQ1006),$AO$1006:$BQ$1006,0)), HYPERLINK("#",""), HYPERLINK(CONCATENATE("#Metadata!", ADDRESS(INDEX($AJ$2:$AJ$1001,MATCH(ROWS($AH$2:AH759),$AH$2:$AH$1001,0),0), INDEX($AO$1004:$BQ$1004,1,MATCH(COLUMNS($AO$1006:AQ1006),$AO$1006:$BQ$1006,0)))),"Fix")))</f>
        <v>#N/A</v>
      </c>
      <c r="E759" s="5" t="e">
        <f ca="1">IF(OR(INDEX($AI$2:$AI$1001,MATCH(ROWS($AH$2:AH759),$AH$2:$AH$1001,0),1)&gt;=100000,INDEX($AO$1005:$BQ$1005,1,MATCH(COLUMNS($AO$1006:AR1006),$AO$1006:$BQ$1006,0))&gt;=100000), " ",IF(INDEX($AO$2:$BQ$1001,MATCH(ROWS($AH$2:AH759),$AH$2:$AH$1001,0),MATCH(COLUMNS($AO$1006:AR1006),$AO$1006:$BQ$1006,0)), HYPERLINK("#",""), HYPERLINK(CONCATENATE("#Metadata!", ADDRESS(INDEX($AJ$2:$AJ$1001,MATCH(ROWS($AH$2:AH759),$AH$2:$AH$1001,0),0), INDEX($AO$1004:$BQ$1004,1,MATCH(COLUMNS($AO$1006:AR1006),$AO$1006:$BQ$1006,0)))),"Fix")))</f>
        <v>#N/A</v>
      </c>
      <c r="F759" s="5" t="e">
        <f ca="1">IF(OR(INDEX($AI$2:$AI$1001,MATCH(ROWS($AH$2:AH759),$AH$2:$AH$1001,0),1)&gt;=100000,INDEX($AO$1005:$BQ$1005,1,MATCH(COLUMNS($AO$1006:AS1006),$AO$1006:$BQ$1006,0))&gt;=100000), " ",IF(INDEX($AO$2:$BQ$1001,MATCH(ROWS($AH$2:AH759),$AH$2:$AH$1001,0),MATCH(COLUMNS($AO$1006:AS1006),$AO$1006:$BQ$1006,0)), HYPERLINK("#",""), HYPERLINK(CONCATENATE("#Metadata!", ADDRESS(INDEX($AJ$2:$AJ$1001,MATCH(ROWS($AH$2:AH759),$AH$2:$AH$1001,0),0), INDEX($AO$1004:$BQ$1004,1,MATCH(COLUMNS($AO$1006:AS1006),$AO$1006:$BQ$1006,0)))),"Fix")))</f>
        <v>#N/A</v>
      </c>
      <c r="G759" s="5" t="e">
        <f ca="1">IF(OR(INDEX($AI$2:$AI$1001,MATCH(ROWS($AH$2:AH759),$AH$2:$AH$1001,0),1)&gt;=100000,INDEX($AO$1005:$BQ$1005,1,MATCH(COLUMNS($AO$1006:AT1006),$AO$1006:$BQ$1006,0))&gt;=100000), " ",IF(INDEX($AO$2:$BQ$1001,MATCH(ROWS($AH$2:AH759),$AH$2:$AH$1001,0),MATCH(COLUMNS($AO$1006:AT1006),$AO$1006:$BQ$1006,0)), HYPERLINK("#",""), HYPERLINK(CONCATENATE("#Metadata!", ADDRESS(INDEX($AJ$2:$AJ$1001,MATCH(ROWS($AH$2:AH759),$AH$2:$AH$1001,0),0), INDEX($AO$1004:$BQ$1004,1,MATCH(COLUMNS($AO$1006:AT1006),$AO$1006:$BQ$1006,0)))),"Fix")))</f>
        <v>#N/A</v>
      </c>
      <c r="H759" s="5" t="e">
        <f ca="1">IF(OR(INDEX($AI$2:$AI$1001,MATCH(ROWS($AH$2:AH759),$AH$2:$AH$1001,0),1)&gt;=100000,INDEX($AO$1005:$BQ$1005,1,MATCH(COLUMNS($AO$1006:AU1006),$AO$1006:$BQ$1006,0))&gt;=100000), " ",IF(INDEX($AO$2:$BQ$1001,MATCH(ROWS($AH$2:AH759),$AH$2:$AH$1001,0),MATCH(COLUMNS($AO$1006:AU1006),$AO$1006:$BQ$1006,0)), HYPERLINK("#",""), HYPERLINK(CONCATENATE("#Metadata!", ADDRESS(INDEX($AJ$2:$AJ$1001,MATCH(ROWS($AH$2:AH759),$AH$2:$AH$1001,0),0), INDEX($AO$1004:$BQ$1004,1,MATCH(COLUMNS($AO$1006:AU1006),$AO$1006:$BQ$1006,0)))),"Fix")))</f>
        <v>#N/A</v>
      </c>
      <c r="I759" s="5" t="e">
        <f ca="1">IF(OR(INDEX($AI$2:$AI$1001,MATCH(ROWS($AH$2:AH759),$AH$2:$AH$1001,0),1)&gt;=100000,INDEX($AO$1005:$BQ$1005,1,MATCH(COLUMNS($AO$1006:AV1006),$AO$1006:$BQ$1006,0))&gt;=100000), " ",IF(INDEX($AO$2:$BQ$1001,MATCH(ROWS($AH$2:AH759),$AH$2:$AH$1001,0),MATCH(COLUMNS($AO$1006:AV1006),$AO$1006:$BQ$1006,0)), HYPERLINK("#",""), HYPERLINK(CONCATENATE("#Metadata!", ADDRESS(INDEX($AJ$2:$AJ$1001,MATCH(ROWS($AH$2:AH759),$AH$2:$AH$1001,0),0), INDEX($AO$1004:$BQ$1004,1,MATCH(COLUMNS($AO$1006:AV1006),$AO$1006:$BQ$1006,0)))),"Fix")))</f>
        <v>#N/A</v>
      </c>
      <c r="J759" s="5" t="e">
        <f ca="1">IF(OR(INDEX($AI$2:$AI$1001,MATCH(ROWS($AH$2:AH759),$AH$2:$AH$1001,0),1)&gt;=100000,INDEX($AO$1005:$BQ$1005,1,MATCH(COLUMNS($AO$1006:AW1006),$AO$1006:$BQ$1006,0))&gt;=100000), " ",IF(INDEX($AO$2:$BQ$1001,MATCH(ROWS($AH$2:AH759),$AH$2:$AH$1001,0),MATCH(COLUMNS($AO$1006:AW1006),$AO$1006:$BQ$1006,0)), HYPERLINK("#",""), HYPERLINK(CONCATENATE("#Metadata!", ADDRESS(INDEX($AJ$2:$AJ$1001,MATCH(ROWS($AH$2:AH759),$AH$2:$AH$1001,0),0), INDEX($AO$1004:$BQ$1004,1,MATCH(COLUMNS($AO$1006:AW1006),$AO$1006:$BQ$1006,0)))),"Fix")))</f>
        <v>#N/A</v>
      </c>
      <c r="K759" s="5" t="e">
        <f ca="1">IF(OR(INDEX($AI$2:$AI$1001,MATCH(ROWS($AH$2:AH759),$AH$2:$AH$1001,0),1)&gt;=100000,INDEX($AO$1005:$BQ$1005,1,MATCH(COLUMNS($AO$1006:AX1006),$AO$1006:$BQ$1006,0))&gt;=100000), " ",IF(INDEX($AO$2:$BQ$1001,MATCH(ROWS($AH$2:AH759),$AH$2:$AH$1001,0),MATCH(COLUMNS($AO$1006:AX1006),$AO$1006:$BQ$1006,0)), HYPERLINK("#",""), HYPERLINK(CONCATENATE("#Metadata!", ADDRESS(INDEX($AJ$2:$AJ$1001,MATCH(ROWS($AH$2:AH759),$AH$2:$AH$1001,0),0), INDEX($AO$1004:$BQ$1004,1,MATCH(COLUMNS($AO$1006:AX1006),$AO$1006:$BQ$1006,0)))),"Fix")))</f>
        <v>#N/A</v>
      </c>
      <c r="L759" s="5" t="e">
        <f ca="1">IF(OR(INDEX($AI$2:$AI$1001,MATCH(ROWS($AH$2:AH759),$AH$2:$AH$1001,0),1)&gt;=100000,INDEX($AO$1005:$BQ$1005,1,MATCH(COLUMNS($AO$1006:AY1006),$AO$1006:$BQ$1006,0))&gt;=100000), " ",IF(INDEX($AO$2:$BQ$1001,MATCH(ROWS($AH$2:AH759),$AH$2:$AH$1001,0),MATCH(COLUMNS($AO$1006:AY1006),$AO$1006:$BQ$1006,0)), HYPERLINK("#",""), HYPERLINK(CONCATENATE("#Metadata!", ADDRESS(INDEX($AJ$2:$AJ$1001,MATCH(ROWS($AH$2:AH759),$AH$2:$AH$1001,0),0), INDEX($AO$1004:$BQ$1004,1,MATCH(COLUMNS($AO$1006:AY1006),$AO$1006:$BQ$1006,0)))),"Fix")))</f>
        <v>#N/A</v>
      </c>
      <c r="M759" s="5" t="e">
        <f ca="1">IF(OR(INDEX($AI$2:$AI$1001,MATCH(ROWS($AH$2:AH759),$AH$2:$AH$1001,0),1)&gt;=100000,INDEX($AO$1005:$BQ$1005,1,MATCH(COLUMNS($AO$1006:AZ1006),$AO$1006:$BQ$1006,0))&gt;=100000), " ",IF(INDEX($AO$2:$BQ$1001,MATCH(ROWS($AH$2:AH759),$AH$2:$AH$1001,0),MATCH(COLUMNS($AO$1006:AZ1006),$AO$1006:$BQ$1006,0)), HYPERLINK("#",""), HYPERLINK(CONCATENATE("#Metadata!", ADDRESS(INDEX($AJ$2:$AJ$1001,MATCH(ROWS($AH$2:AH759),$AH$2:$AH$1001,0),0), INDEX($AO$1004:$BQ$1004,1,MATCH(COLUMNS($AO$1006:AZ1006),$AO$1006:$BQ$1006,0)))),"Fix")))</f>
        <v>#N/A</v>
      </c>
      <c r="N759" s="5" t="e">
        <f ca="1">IF(OR(INDEX($AI$2:$AI$1001,MATCH(ROWS($AH$2:AH759),$AH$2:$AH$1001,0),1)&gt;=100000,INDEX($AO$1005:$BQ$1005,1,MATCH(COLUMNS($AO$1006:BA1006),$AO$1006:$BQ$1006,0))&gt;=100000), " ",IF(INDEX($AO$2:$BQ$1001,MATCH(ROWS($AH$2:AH759),$AH$2:$AH$1001,0),MATCH(COLUMNS($AO$1006:BA1006),$AO$1006:$BQ$1006,0)), HYPERLINK("#",""), HYPERLINK(CONCATENATE("#Metadata!", ADDRESS(INDEX($AJ$2:$AJ$1001,MATCH(ROWS($AH$2:AH759),$AH$2:$AH$1001,0),0), INDEX($AO$1004:$BQ$1004,1,MATCH(COLUMNS($AO$1006:BA1006),$AO$1006:$BQ$1006,0)))),"Fix")))</f>
        <v>#N/A</v>
      </c>
      <c r="O759" s="5" t="e">
        <f ca="1">IF(OR(INDEX($AI$2:$AI$1001,MATCH(ROWS($AH$2:AH759),$AH$2:$AH$1001,0),1)&gt;=100000,INDEX($AO$1005:$BQ$1005,1,MATCH(COLUMNS($AO$1006:BB1006),$AO$1006:$BQ$1006,0))&gt;=100000), " ",IF(INDEX($AO$2:$BQ$1001,MATCH(ROWS($AH$2:AH759),$AH$2:$AH$1001,0),MATCH(COLUMNS($AO$1006:BB1006),$AO$1006:$BQ$1006,0)), HYPERLINK("#",""), HYPERLINK(CONCATENATE("#Metadata!", ADDRESS(INDEX($AJ$2:$AJ$1001,MATCH(ROWS($AH$2:AH759),$AH$2:$AH$1001,0),0), INDEX($AO$1004:$BQ$1004,1,MATCH(COLUMNS($AO$1006:BB1006),$AO$1006:$BQ$1006,0)))),"Fix")))</f>
        <v>#N/A</v>
      </c>
      <c r="P759" s="5" t="e">
        <f ca="1">IF(OR(INDEX($AI$2:$AI$1001,MATCH(ROWS($AH$2:AH759),$AH$2:$AH$1001,0),1)&gt;=100000,INDEX($AO$1005:$BQ$1005,1,MATCH(COLUMNS($AO$1006:BC1006),$AO$1006:$BQ$1006,0))&gt;=100000), " ",IF(INDEX($AO$2:$BQ$1001,MATCH(ROWS($AH$2:AH759),$AH$2:$AH$1001,0),MATCH(COLUMNS($AO$1006:BC1006),$AO$1006:$BQ$1006,0)), HYPERLINK("#",""), HYPERLINK(CONCATENATE("#Metadata!", ADDRESS(INDEX($AJ$2:$AJ$1001,MATCH(ROWS($AH$2:AH759),$AH$2:$AH$1001,0),0), INDEX($AO$1004:$BQ$1004,1,MATCH(COLUMNS($AO$1006:BC1006),$AO$1006:$BQ$1006,0)))),"Fix")))</f>
        <v>#N/A</v>
      </c>
      <c r="Q759" s="5" t="e">
        <f ca="1">IF(OR(INDEX($AI$2:$AI$1001,MATCH(ROWS($AH$2:AH759),$AH$2:$AH$1001,0),1)&gt;=100000,INDEX($AO$1005:$BQ$1005,1,MATCH(COLUMNS($AO$1006:BD1006),$AO$1006:$BQ$1006,0))&gt;=100000), " ",IF(INDEX($AO$2:$BQ$1001,MATCH(ROWS($AH$2:AH759),$AH$2:$AH$1001,0),MATCH(COLUMNS($AO$1006:BD1006),$AO$1006:$BQ$1006,0)), HYPERLINK("#",""), HYPERLINK(CONCATENATE("#Metadata!", ADDRESS(INDEX($AJ$2:$AJ$1001,MATCH(ROWS($AH$2:AH759),$AH$2:$AH$1001,0),0), INDEX($AO$1004:$BQ$1004,1,MATCH(COLUMNS($AO$1006:BD1006),$AO$1006:$BQ$1006,0)))),"Fix")))</f>
        <v>#N/A</v>
      </c>
      <c r="R759" s="5" t="e">
        <f ca="1">IF(OR(INDEX($AI$2:$AI$1001,MATCH(ROWS($AH$2:AH759),$AH$2:$AH$1001,0),1)&gt;=100000,INDEX($AO$1005:$BQ$1005,1,MATCH(COLUMNS($AO$1006:BE1006),$AO$1006:$BQ$1006,0))&gt;=100000), " ",IF(INDEX($AO$2:$BQ$1001,MATCH(ROWS($AH$2:AH759),$AH$2:$AH$1001,0),MATCH(COLUMNS($AO$1006:BE1006),$AO$1006:$BQ$1006,0)), HYPERLINK("#",""), HYPERLINK(CONCATENATE("#Metadata!", ADDRESS(INDEX($AJ$2:$AJ$1001,MATCH(ROWS($AH$2:AH759),$AH$2:$AH$1001,0),0), INDEX($AO$1004:$BQ$1004,1,MATCH(COLUMNS($AO$1006:BE1006),$AO$1006:$BQ$1006,0)))),"Fix")))</f>
        <v>#N/A</v>
      </c>
      <c r="S759" s="5" t="e">
        <f ca="1">IF(OR(INDEX($AI$2:$AI$1001,MATCH(ROWS($AH$2:AH759),$AH$2:$AH$1001,0),1)&gt;=100000,INDEX($AO$1005:$BQ$1005,1,MATCH(COLUMNS($AO$1006:BF1006),$AO$1006:$BQ$1006,0))&gt;=100000), " ",IF(INDEX($AO$2:$BQ$1001,MATCH(ROWS($AH$2:AH759),$AH$2:$AH$1001,0),MATCH(COLUMNS($AO$1006:BF1006),$AO$1006:$BQ$1006,0)), HYPERLINK("#",""), HYPERLINK(CONCATENATE("#Metadata!", ADDRESS(INDEX($AJ$2:$AJ$1001,MATCH(ROWS($AH$2:AH759),$AH$2:$AH$1001,0),0), INDEX($AO$1004:$BQ$1004,1,MATCH(COLUMNS($AO$1006:BF1006),$AO$1006:$BQ$1006,0)))),"Fix")))</f>
        <v>#N/A</v>
      </c>
      <c r="T759" s="5" t="e">
        <f ca="1">IF(OR(INDEX($AI$2:$AI$1001,MATCH(ROWS($AH$2:AH759),$AH$2:$AH$1001,0),1)&gt;=100000,INDEX($AO$1005:$BQ$1005,1,MATCH(COLUMNS($AO$1006:BG1006),$AO$1006:$BQ$1006,0))&gt;=100000), " ",IF(INDEX($AO$2:$BQ$1001,MATCH(ROWS($AH$2:AH759),$AH$2:$AH$1001,0),MATCH(COLUMNS($AO$1006:BG1006),$AO$1006:$BQ$1006,0)), HYPERLINK("#",""), HYPERLINK(CONCATENATE("#Metadata!", ADDRESS(INDEX($AJ$2:$AJ$1001,MATCH(ROWS($AH$2:AH759),$AH$2:$AH$1001,0),0), INDEX($AO$1004:$BQ$1004,1,MATCH(COLUMNS($AO$1006:BG1006),$AO$1006:$BQ$1006,0)))),"Fix")))</f>
        <v>#N/A</v>
      </c>
      <c r="U759" s="5" t="e">
        <f ca="1">IF(OR(INDEX($AI$2:$AI$1001,MATCH(ROWS($AH$2:AH759),$AH$2:$AH$1001,0),1)&gt;=100000,INDEX($AO$1005:$BQ$1005,1,MATCH(COLUMNS($AO$1006:BH1006),$AO$1006:$BQ$1006,0))&gt;=100000), " ",IF(INDEX($AO$2:$BQ$1001,MATCH(ROWS($AH$2:AH759),$AH$2:$AH$1001,0),MATCH(COLUMNS($AO$1006:BH1006),$AO$1006:$BQ$1006,0)), HYPERLINK("#",""), HYPERLINK(CONCATENATE("#Metadata!", ADDRESS(INDEX($AJ$2:$AJ$1001,MATCH(ROWS($AH$2:AH759),$AH$2:$AH$1001,0),0), INDEX($AO$1004:$BQ$1004,1,MATCH(COLUMNS($AO$1006:BH1006),$AO$1006:$BQ$1006,0)))),"Fix")))</f>
        <v>#N/A</v>
      </c>
      <c r="V759" s="5" t="e">
        <f ca="1">IF(OR(INDEX($AI$2:$AI$1001,MATCH(ROWS($AH$2:AH759),$AH$2:$AH$1001,0),1)&gt;=100000,INDEX($AO$1005:$BQ$1005,1,MATCH(COLUMNS($AO$1006:BI1006),$AO$1006:$BQ$1006,0))&gt;=100000), " ",IF(INDEX($AO$2:$BQ$1001,MATCH(ROWS($AH$2:AH759),$AH$2:$AH$1001,0),MATCH(COLUMNS($AO$1006:BI1006),$AO$1006:$BQ$1006,0)), HYPERLINK("#",""), HYPERLINK(CONCATENATE("#Metadata!", ADDRESS(INDEX($AJ$2:$AJ$1001,MATCH(ROWS($AH$2:AH759),$AH$2:$AH$1001,0),0), INDEX($AO$1004:$BQ$1004,1,MATCH(COLUMNS($AO$1006:BI1006),$AO$1006:$BQ$1006,0)))),"Fix")))</f>
        <v>#N/A</v>
      </c>
      <c r="W759" s="5" t="e">
        <f ca="1">IF(OR(INDEX($AI$2:$AI$1001,MATCH(ROWS($AH$2:AH759),$AH$2:$AH$1001,0),1)&gt;=100000,INDEX($AO$1005:$BQ$1005,1,MATCH(COLUMNS($AO$1006:BJ1006),$AO$1006:$BQ$1006,0))&gt;=100000), " ",IF(INDEX($AO$2:$BQ$1001,MATCH(ROWS($AH$2:AH759),$AH$2:$AH$1001,0),MATCH(COLUMNS($AO$1006:BJ1006),$AO$1006:$BQ$1006,0)), HYPERLINK("#",""), HYPERLINK(CONCATENATE("#Metadata!", ADDRESS(INDEX($AJ$2:$AJ$1001,MATCH(ROWS($AH$2:AH759),$AH$2:$AH$1001,0),0), INDEX($AO$1004:$BQ$1004,1,MATCH(COLUMNS($AO$1006:BJ1006),$AO$1006:$BQ$1006,0)))),"Fix")))</f>
        <v>#N/A</v>
      </c>
      <c r="X759" s="5" t="e">
        <f ca="1">IF(OR(INDEX($AI$2:$AI$1001,MATCH(ROWS($AH$2:AH759),$AH$2:$AH$1001,0),1)&gt;=100000,INDEX($AO$1005:$BQ$1005,1,MATCH(COLUMNS($AO$1006:BK1006),$AO$1006:$BQ$1006,0))&gt;=100000), " ",IF(INDEX($AO$2:$BQ$1001,MATCH(ROWS($AH$2:AH759),$AH$2:$AH$1001,0),MATCH(COLUMNS($AO$1006:BK1006),$AO$1006:$BQ$1006,0)), HYPERLINK("#",""), HYPERLINK(CONCATENATE("#Metadata!", ADDRESS(INDEX($AJ$2:$AJ$1001,MATCH(ROWS($AH$2:AH759),$AH$2:$AH$1001,0),0), INDEX($AO$1004:$BQ$1004,1,MATCH(COLUMNS($AO$1006:BK1006),$AO$1006:$BQ$1006,0)))),"Fix")))</f>
        <v>#N/A</v>
      </c>
      <c r="Y759" s="5" t="e">
        <f ca="1">IF(OR(INDEX($AI$2:$AI$1001,MATCH(ROWS($AH$2:AH759),$AH$2:$AH$1001,0),1)&gt;=100000,INDEX($AO$1005:$BQ$1005,1,MATCH(COLUMNS($AO$1006:BL1006),$AO$1006:$BQ$1006,0))&gt;=100000), " ",IF(INDEX($AO$2:$BQ$1001,MATCH(ROWS($AH$2:AH759),$AH$2:$AH$1001,0),MATCH(COLUMNS($AO$1006:BL1006),$AO$1006:$BQ$1006,0)), HYPERLINK("#",""), HYPERLINK(CONCATENATE("#Metadata!", ADDRESS(INDEX($AJ$2:$AJ$1001,MATCH(ROWS($AH$2:AH759),$AH$2:$AH$1001,0),0), INDEX($AO$1004:$BQ$1004,1,MATCH(COLUMNS($AO$1006:BL1006),$AO$1006:$BQ$1006,0)))),"Fix")))</f>
        <v>#N/A</v>
      </c>
      <c r="Z759" s="5" t="e">
        <f ca="1">IF(OR(INDEX($AI$2:$AI$1001,MATCH(ROWS($AH$2:AH759),$AH$2:$AH$1001,0),1)&gt;=100000,INDEX($AO$1005:$BQ$1005,1,MATCH(COLUMNS($AO$1006:BM1006),$AO$1006:$BQ$1006,0))&gt;=100000), " ",IF(INDEX($AO$2:$BQ$1001,MATCH(ROWS($AH$2:AH759),$AH$2:$AH$1001,0),MATCH(COLUMNS($AO$1006:BM1006),$AO$1006:$BQ$1006,0)), HYPERLINK("#",""), HYPERLINK(CONCATENATE("#Metadata!", ADDRESS(INDEX($AJ$2:$AJ$1001,MATCH(ROWS($AH$2:AH759),$AH$2:$AH$1001,0),0), INDEX($AO$1004:$BQ$1004,1,MATCH(COLUMNS($AO$1006:BM1006),$AO$1006:$BQ$1006,0)))),"Fix")))</f>
        <v>#N/A</v>
      </c>
      <c r="AA759" s="5" t="e">
        <f ca="1">IF(OR(INDEX($AI$2:$AI$1001,MATCH(ROWS($AH$2:AH759),$AH$2:$AH$1001,0),1)&gt;=100000,INDEX($AO$1005:$BQ$1005,1,MATCH(COLUMNS($AO$1006:BN1006),$AO$1006:$BQ$1006,0))&gt;=100000), " ",IF(INDEX($AO$2:$BQ$1001,MATCH(ROWS($AH$2:AH759),$AH$2:$AH$1001,0),MATCH(COLUMNS($AO$1006:BN1006),$AO$1006:$BQ$1006,0)), HYPERLINK("#",""), HYPERLINK(CONCATENATE("#Metadata!", ADDRESS(INDEX($AJ$2:$AJ$1001,MATCH(ROWS($AH$2:AH759),$AH$2:$AH$1001,0),0), INDEX($AO$1004:$BQ$1004,1,MATCH(COLUMNS($AO$1006:BN1006),$AO$1006:$BQ$1006,0)))),"Fix")))</f>
        <v>#N/A</v>
      </c>
      <c r="AB759" s="5" t="e">
        <f ca="1">IF(OR(INDEX($AI$2:$AI$1001,MATCH(ROWS($AH$2:AH759),$AH$2:$AH$1001,0),1)&gt;=100000,INDEX($AO$1005:$BQ$1005,1,MATCH(COLUMNS($AO$1006:BO1006),$AO$1006:$BQ$1006,0))&gt;=100000), " ",IF(INDEX($AO$2:$BQ$1001,MATCH(ROWS($AH$2:AH759),$AH$2:$AH$1001,0),MATCH(COLUMNS($AO$1006:BO1006),$AO$1006:$BQ$1006,0)), HYPERLINK("#",""), HYPERLINK(CONCATENATE("#Metadata!", ADDRESS(INDEX($AJ$2:$AJ$1001,MATCH(ROWS($AH$2:AH759),$AH$2:$AH$1001,0),0), INDEX($AO$1004:$BQ$1004,1,MATCH(COLUMNS($AO$1006:BO1006),$AO$1006:$BQ$1006,0)))),"Fix")))</f>
        <v>#N/A</v>
      </c>
      <c r="AC759" s="5" t="e">
        <f ca="1">IF(OR(INDEX($AI$2:$AI$1001,MATCH(ROWS($AH$2:AH759),$AH$2:$AH$1001,0),1)&gt;=100000,INDEX($AO$1005:$BQ$1005,1,MATCH(COLUMNS($AO$1006:BP1006),$AO$1006:$BQ$1006,0))&gt;=100000), " ",IF(INDEX($AO$2:$BQ$1001,MATCH(ROWS($AH$2:AH759),$AH$2:$AH$1001,0),MATCH(COLUMNS($AO$1006:BP1006),$AO$1006:$BQ$1006,0)), HYPERLINK("#",""), HYPERLINK(CONCATENATE("#Metadata!", ADDRESS(INDEX($AJ$2:$AJ$1001,MATCH(ROWS($AH$2:AH759),$AH$2:$AH$1001,0),0), INDEX($AO$1004:$BQ$1004,1,MATCH(COLUMNS($AO$1006:BP1006),$AO$1006:$BQ$1006,0)))),"Fix")))</f>
        <v>#N/A</v>
      </c>
      <c r="AD759" s="5" t="e">
        <f ca="1">IF(OR(INDEX($AI$2:$AI$1001,MATCH(ROWS($AH$2:AH759),$AH$2:$AH$1001,0),1)&gt;=100000,INDEX($AO$1005:$BQ$1005,1,MATCH(COLUMNS($AO$1006:BQ1006),$AO$1006:$BQ$1006,0))&gt;=100000), " ",IF(INDEX($AO$2:$BQ$1001,MATCH(ROWS($AH$2:AH759),$AH$2:$AH$1001,0),MATCH(COLUMNS($AO$1006:BQ1006),$AO$1006:$BQ$1006,0)), HYPERLINK("#",""), HYPERLINK(CONCATENATE("#Metadata!", ADDRESS(INDEX($AJ$2:$AJ$1001,MATCH(ROWS($AH$2:AH759),$AH$2:$AH$1001,0),0), INDEX($AO$1004:$BQ$1004,1,MATCH(COLUMNS($AO$1006:BQ1006),$AO$1006:$BQ$1006,0)))),"Fix")))</f>
        <v>#REF!</v>
      </c>
      <c r="AH759">
        <f ca="1"/>
        <v>756</v>
      </c>
      <c r="AI759">
        <v>100759</v>
      </c>
      <c r="AJ759">
        <v>759</v>
      </c>
      <c r="AK759" t="b">
        <f t="shared" si="11"/>
        <v>1</v>
      </c>
      <c r="AL759" t="b">
        <f>COUNTBLANK(Metadata!B759:AD759)=COLUMNS(Metadata!B759:AD759)</f>
        <v>1</v>
      </c>
      <c r="AM759" t="str">
        <v/>
      </c>
      <c r="AO759" t="b">
        <f ca="1">AND(IF(Metadata!B759="",FALSE,TRUE),COUNTIF(Metadata!B:B, Metadata!B759) = 1,NOT(ISERROR(SUMPRODUCT(SEARCH(MID(Metadata!B759,ROW(INDIRECT("1:"&amp;LEN(Metadata!B759))), 1),"0123456789abcdefghijklmnopqrstuvwxyzABCDEFGHIJKLMNOPQRSTUVWXYZ.")))))</f>
        <v>0</v>
      </c>
      <c r="AP759" t="b">
        <f>IF(Metadata!C759="",FALSE,TRUE)</f>
        <v>0</v>
      </c>
      <c r="AQ759" t="b">
        <f>IF(Metadata!D759="",FALSE,TRUE)</f>
        <v>0</v>
      </c>
      <c r="AR759" t="b">
        <f ca="1">OR(AND(IF(Metadata!E759="",FALSE,TRUE),OR(EXACT(Metadata!E759,"not collected"),EXACT(Metadata!E759,"not provided"),EXACT(Metadata!E759,"restricted access"))),AND(IF(Metadata!E759="",FALSE,TRUE),AND(AND(IFERROR(INT(LEFT(Metadata!E759,4))&gt;1900,FALSE),IFERROR(INT(LEFT(Metadata!E759,4))&lt;=YEAR(NOW()),FALSE)), OR(MID(Metadata!E759,5,1)="", AND(AND(MID(Metadata!E759,5,1)="-",IFERROR(INT(MID(Metadata!E759,6,1))&gt;=0,FALSE),IFERROR(INT(MID(Metadata!E759,6,1))&lt;=1,FALSE),NOT(MID(Metadata!E759,7,1)=""),IFERROR(INT(MID(Metadata!E759,6,2))&gt;=1,FALSE),IFERROR(INT(MID(Metadata!E759,6,2))&lt;=12,FALSE)), OR(MID(Metadata!E759,8,1)="", AND(AND(MID(Metadata!E759,8,1)="-",IFERROR(INT(MID(Metadata!E759,9,1))&gt;=0,FALSE),IFERROR(INT(MID(Metadata!E759,9,1))&lt;=3,FALSE),NOT(MID(Metadata!E759,10,1)=""),IFERROR(INT(MID(Metadata!E759,9,2))&gt;=1,FALSE),IFERROR(INT(MID(Metadata!E759,9,2))&lt;=31,FALSE)), OR(MID(Metadata!E759,11,1)="", AND(AND(MID(Metadata!E759,11,1)=" ",IFERROR(INT(MID(Metadata!E759,12,1))&gt;=0,FALSE),IFERROR(INT(MID(Metadata!E759,12,1))&lt;=2,FALSE),NOT(MID(Metadata!E759,13,1)=""),IFERROR(INT(MID(Metadata!E759,12,2))&gt;=0,FALSE),IFERROR(INT(MID(Metadata!E759,12,2))&lt;=23,FALSE)), OR(MID(Metadata!E759,14,1)="", AND(AND(MID(Metadata!E759,14,1)=":",IFERROR(INT(MID(Metadata!E759,15,1))&gt;=0,FALSE),IFERROR(INT(MID(Metadata!E759,15,1))&lt;=5,FALSE),NOT(MID(Metadata!E759,16,1)=""),IFERROR(INT(MID(Metadata!E759,15,2))&gt;=0,FALSE),IFERROR(INT(MID(Metadata!E759,15,2))&lt;=59,FALSE)), OR(MID(Metadata!E759,17,1)="", AND(AND(MID(Metadata!E759,17,1)=":",IFERROR(INT(MID(Metadata!E759,18,1))&gt;=0,FALSE),IFERROR(INT(MID(Metadata!E759,18,1))&lt;=5,FALSE),NOT(MID(Metadata!E759,19,1)=""),IFERROR(INT(MID(Metadata!E759,18,2))&gt;=0,FALSE),IFERROR(INT(MID(Metadata!E759,18,2))&lt;=59,FALSE)), LEN(Metadata!E759)&lt;=19)))))))))))))</f>
        <v>0</v>
      </c>
      <c r="AS759" t="b">
        <f>IF(Metadata!F759="",FALSE,TRUE)</f>
        <v>0</v>
      </c>
      <c r="AT759" t="b">
        <f>OR(AND(IF(Metadata!G759="",FALSE,TRUE),OR(EXACT(Metadata!G759,"not collected"),EXACT(Metadata!G759,"not provided"))),AND(IF(Metadata!G759="",FALSE,TRUE),OR(EXACT(Metadata!G759,"TRUE"),EXACT(Metadata!G759,"FALSE"))))</f>
        <v>0</v>
      </c>
      <c r="AU759" t="b">
        <f>OR(AND(IF(Metadata!H759="",FALSE,TRUE),OR(EXACT(Metadata!H759,"not collected"),EXACT(Metadata!H759,"not provided"),EXACT(Metadata!H759,"restricted access"))),AND(IF(Metadata!H759="",FALSE,ISNUMBER(VALUE(Metadata!H759))),Metadata!H759&gt;=-413))</f>
        <v>0</v>
      </c>
      <c r="AV759" t="b">
        <f>AND(IF(Metadata!I759="",FALSE,TRUE),EXACT(Metadata!I759,"meters"))</f>
        <v>0</v>
      </c>
      <c r="AW759" t="b">
        <f>AND(IF(Metadata!J759="",FALSE,TRUE),EXACT(Metadata!J759,"free-living"))</f>
        <v>0</v>
      </c>
      <c r="AX759" t="b">
        <f>AND(IF(Metadata!K759="",FALSE,TRUE),OR(EXACT(Metadata!K759,"saline"),EXACT(Metadata!K759,"non-saline")))</f>
        <v>0</v>
      </c>
      <c r="AY759" t="b">
        <f>AND(IF(Metadata!L759="",FALSE,TRUE),OR(EXACT(Metadata!L759,"sub-surface (non-saline)"),EXACT(Metadata!L759,"surface (non-saline)"),EXACT(Metadata!L759,"water (non-saline)"),EXACT(Metadata!L759,"soil (non-saline)"),EXACT(Metadata!L759,"aerosol (non-saline)"),EXACT(Metadata!L759,"sediment (non-saline)"),EXACT(Metadata!L759,"surface (saline)"),EXACT(Metadata!L759,"water (saline)"),EXACT(Metadata!L759,"hypersaline (saline)"),EXACT(Metadata!L759,"aerosol (saline)"),EXACT(Metadata!L759,"sediment (saline)")))</f>
        <v>0</v>
      </c>
      <c r="AZ759" t="b">
        <f>IF(Metadata!M759="",FALSE,TRUE)</f>
        <v>0</v>
      </c>
      <c r="BA759" t="b">
        <f>IF(Metadata!N759="",FALSE,TRUE)</f>
        <v>0</v>
      </c>
      <c r="BB759" t="b">
        <f>IF(Metadata!O759="",FALSE,TRUE)</f>
        <v>0</v>
      </c>
      <c r="BC759" t="b">
        <f>AND(IF(Metadata!P759="",FALSE,TRUE),OR(EXACT(Metadata!P759,"air"),EXACT(Metadata!P759,"microbial mat/biofilm"),EXACT(Metadata!P759,"misc environment"),EXACT(Metadata!P759,"sediment"),EXACT(Metadata!P759,"soil"),EXACT(Metadata!P759,"wastewater/sludge"),EXACT(Metadata!P759,"water")))</f>
        <v>0</v>
      </c>
      <c r="BD759" t="b">
        <f>IF(Metadata!Q759="",FALSE,TRUE)</f>
        <v>0</v>
      </c>
      <c r="BE759" t="b">
        <f>IF(Metadata!R759="",FALSE,TRUE)</f>
        <v>0</v>
      </c>
      <c r="BF759" t="b">
        <f>OR(AND(IF(Metadata!S759="",FALSE,TRUE),OR(EXACT(Metadata!S759,"not collected"),EXACT(Metadata!S759,"not provided"),EXACT(Metadata!S759,"restricted access"))),AND(IF(Metadata!S759="",FALSE,ISNUMBER(VALUE(Metadata!S759))),Metadata!S759&gt;=-90,Metadata!S759&lt;=90))</f>
        <v>0</v>
      </c>
      <c r="BG759" t="b">
        <f>AND(IF(Metadata!T759="",FALSE,TRUE),EXACT(Metadata!T759,"Decimal degrees"))</f>
        <v>0</v>
      </c>
      <c r="BH759" t="b">
        <f>OR(AND(IF(Metadata!U759="",FALSE,TRUE),OR(EXACT(Metadata!U759,"not applicable"),EXACT(Metadata!U759,"not collected"))),IF(Metadata!U759="",FALSE,TRUE))</f>
        <v>0</v>
      </c>
      <c r="BI759" t="b">
        <f>OR(AND(IF(Metadata!V759="",FALSE,TRUE),OR(EXACT(Metadata!V759,"not collected"),EXACT(Metadata!V759,"not provided"),EXACT(Metadata!V759,"restricted access"))),AND(IF(Metadata!V759="",FALSE,ISNUMBER(VALUE(Metadata!V759))),Metadata!V759&gt;=-180,Metadata!V759&lt;=180))</f>
        <v>0</v>
      </c>
      <c r="BJ759" t="b">
        <f>AND(IF(Metadata!W759="",FALSE,TRUE),EXACT(Metadata!W759,"Decimal degrees"))</f>
        <v>0</v>
      </c>
      <c r="BK759" t="b">
        <f>IF(Metadata!X759="",FALSE,TRUE)</f>
        <v>0</v>
      </c>
      <c r="BL759" t="b">
        <f>OR(AND(IF(Metadata!Y759="",FALSE,TRUE),OR(EXACT(Metadata!Y759,"not collected"),EXACT(Metadata!Y759,"not provided"),EXACT(Metadata!Y759,"restricted access"))),AND(IF(Metadata!Y759="",FALSE,TRUE),OR(EXACT(Metadata!Y759,"TRUE"),EXACT(Metadata!Y759,"FALSE"))))</f>
        <v>0</v>
      </c>
      <c r="BM759" t="b">
        <f>OR(AND(IF(Metadata!Z759="",FALSE,TRUE),EXACT(Metadata!Z759,"not applicable")),AND(IF(Metadata!Z759="",FALSE,TRUE),OR(EXACT(Metadata!Z759,"beer"),EXACT(Metadata!Z759,"cheese"),EXACT(Metadata!Z759,"fresh water"),EXACT(Metadata!Z759,"marine sediment"),EXACT(Metadata!Z759,"sea water"),EXACT(Metadata!Z759,"sediment"),EXACT(Metadata!Z759,"soil"),EXACT(Metadata!Z759,"waste water"))))</f>
        <v>0</v>
      </c>
      <c r="BN759" t="b">
        <f>AND(IF(Metadata!AA759="",FALSE,TRUE),EXACT(Metadata!AA759,"metagenome"))</f>
        <v>0</v>
      </c>
      <c r="BO759" t="b">
        <f>AND(IF(Metadata!AB759="",FALSE,TRUE),EXACT(Metadata!AB759,"256318"))</f>
        <v>0</v>
      </c>
      <c r="BP759" t="b">
        <f>IF(Metadata!AC759="",FALSE,TRUE)</f>
        <v>0</v>
      </c>
      <c r="BQ759" t="b">
        <f>IF(Metadata!AD759="",FALSE,TRUE)</f>
        <v>0</v>
      </c>
    </row>
    <row r="760" spans="1:69" x14ac:dyDescent="0.2">
      <c r="A760" s="4" t="e">
        <f ca="1">IF(B760=" "," ",HYPERLINK(CONCATENATE("#metadata!",ADDRESS(INDEX($AJ$2:$AJ$1001,MATCH(ROWS($AH$2:AH760),$AH$2:$AH$1001,0),0),2)),INDEX($AM$2:$AM$1001,MATCH(ROWS($AH$2:AH760),$AH$2:$AH$1001,0),0)))</f>
        <v>#N/A</v>
      </c>
      <c r="B760" s="5" t="e">
        <f ca="1">IF(OR(INDEX($AI$2:$AI$1001,MATCH(ROWS($AH$2:AH760),$AH$2:$AH$1001,0),1)&gt;=100000,INDEX($AO$1005:$BQ$1005,1,MATCH(COLUMNS($AO$1006:AO1006),$AO$1006:$BQ$1006,0))&gt;=100000), " ",IF(INDEX($AO$2:$BQ$1001,MATCH(ROWS($AH$2:AH760),$AH$2:$AH$1001,0),MATCH(COLUMNS($AO$1006:AO1006),$AO$1006:$BQ$1006,0)), HYPERLINK("#",""), HYPERLINK(CONCATENATE("#Metadata!", ADDRESS(INDEX($AJ$2:$AJ$1001,MATCH(ROWS($AH$2:AH760),$AH$2:$AH$1001,0),0), INDEX($AO$1004:$BQ$1004,1,MATCH(COLUMNS($AO$1006:AO1006),$AO$1006:$BQ$1006,0)))),"Fix")))</f>
        <v>#N/A</v>
      </c>
      <c r="C760" s="5" t="e">
        <f ca="1">IF(OR(INDEX($AI$2:$AI$1001,MATCH(ROWS($AH$2:AH760),$AH$2:$AH$1001,0),1)&gt;=100000,INDEX($AO$1005:$BQ$1005,1,MATCH(COLUMNS($AO$1006:AP1006),$AO$1006:$BQ$1006,0))&gt;=100000), " ",IF(INDEX($AO$2:$BQ$1001,MATCH(ROWS($AH$2:AH760),$AH$2:$AH$1001,0),MATCH(COLUMNS($AO$1006:AP1006),$AO$1006:$BQ$1006,0)), HYPERLINK("#",""), HYPERLINK(CONCATENATE("#Metadata!", ADDRESS(INDEX($AJ$2:$AJ$1001,MATCH(ROWS($AH$2:AH760),$AH$2:$AH$1001,0),0), INDEX($AO$1004:$BQ$1004,1,MATCH(COLUMNS($AO$1006:AP1006),$AO$1006:$BQ$1006,0)))),"Fix")))</f>
        <v>#N/A</v>
      </c>
      <c r="D760" s="5" t="e">
        <f ca="1">IF(OR(INDEX($AI$2:$AI$1001,MATCH(ROWS($AH$2:AH760),$AH$2:$AH$1001,0),1)&gt;=100000,INDEX($AO$1005:$BQ$1005,1,MATCH(COLUMNS($AO$1006:AQ1006),$AO$1006:$BQ$1006,0))&gt;=100000), " ",IF(INDEX($AO$2:$BQ$1001,MATCH(ROWS($AH$2:AH760),$AH$2:$AH$1001,0),MATCH(COLUMNS($AO$1006:AQ1006),$AO$1006:$BQ$1006,0)), HYPERLINK("#",""), HYPERLINK(CONCATENATE("#Metadata!", ADDRESS(INDEX($AJ$2:$AJ$1001,MATCH(ROWS($AH$2:AH760),$AH$2:$AH$1001,0),0), INDEX($AO$1004:$BQ$1004,1,MATCH(COLUMNS($AO$1006:AQ1006),$AO$1006:$BQ$1006,0)))),"Fix")))</f>
        <v>#N/A</v>
      </c>
      <c r="E760" s="5" t="e">
        <f ca="1">IF(OR(INDEX($AI$2:$AI$1001,MATCH(ROWS($AH$2:AH760),$AH$2:$AH$1001,0),1)&gt;=100000,INDEX($AO$1005:$BQ$1005,1,MATCH(COLUMNS($AO$1006:AR1006),$AO$1006:$BQ$1006,0))&gt;=100000), " ",IF(INDEX($AO$2:$BQ$1001,MATCH(ROWS($AH$2:AH760),$AH$2:$AH$1001,0),MATCH(COLUMNS($AO$1006:AR1006),$AO$1006:$BQ$1006,0)), HYPERLINK("#",""), HYPERLINK(CONCATENATE("#Metadata!", ADDRESS(INDEX($AJ$2:$AJ$1001,MATCH(ROWS($AH$2:AH760),$AH$2:$AH$1001,0),0), INDEX($AO$1004:$BQ$1004,1,MATCH(COLUMNS($AO$1006:AR1006),$AO$1006:$BQ$1006,0)))),"Fix")))</f>
        <v>#N/A</v>
      </c>
      <c r="F760" s="5" t="e">
        <f ca="1">IF(OR(INDEX($AI$2:$AI$1001,MATCH(ROWS($AH$2:AH760),$AH$2:$AH$1001,0),1)&gt;=100000,INDEX($AO$1005:$BQ$1005,1,MATCH(COLUMNS($AO$1006:AS1006),$AO$1006:$BQ$1006,0))&gt;=100000), " ",IF(INDEX($AO$2:$BQ$1001,MATCH(ROWS($AH$2:AH760),$AH$2:$AH$1001,0),MATCH(COLUMNS($AO$1006:AS1006),$AO$1006:$BQ$1006,0)), HYPERLINK("#",""), HYPERLINK(CONCATENATE("#Metadata!", ADDRESS(INDEX($AJ$2:$AJ$1001,MATCH(ROWS($AH$2:AH760),$AH$2:$AH$1001,0),0), INDEX($AO$1004:$BQ$1004,1,MATCH(COLUMNS($AO$1006:AS1006),$AO$1006:$BQ$1006,0)))),"Fix")))</f>
        <v>#N/A</v>
      </c>
      <c r="G760" s="5" t="e">
        <f ca="1">IF(OR(INDEX($AI$2:$AI$1001,MATCH(ROWS($AH$2:AH760),$AH$2:$AH$1001,0),1)&gt;=100000,INDEX($AO$1005:$BQ$1005,1,MATCH(COLUMNS($AO$1006:AT1006),$AO$1006:$BQ$1006,0))&gt;=100000), " ",IF(INDEX($AO$2:$BQ$1001,MATCH(ROWS($AH$2:AH760),$AH$2:$AH$1001,0),MATCH(COLUMNS($AO$1006:AT1006),$AO$1006:$BQ$1006,0)), HYPERLINK("#",""), HYPERLINK(CONCATENATE("#Metadata!", ADDRESS(INDEX($AJ$2:$AJ$1001,MATCH(ROWS($AH$2:AH760),$AH$2:$AH$1001,0),0), INDEX($AO$1004:$BQ$1004,1,MATCH(COLUMNS($AO$1006:AT1006),$AO$1006:$BQ$1006,0)))),"Fix")))</f>
        <v>#N/A</v>
      </c>
      <c r="H760" s="5" t="e">
        <f ca="1">IF(OR(INDEX($AI$2:$AI$1001,MATCH(ROWS($AH$2:AH760),$AH$2:$AH$1001,0),1)&gt;=100000,INDEX($AO$1005:$BQ$1005,1,MATCH(COLUMNS($AO$1006:AU1006),$AO$1006:$BQ$1006,0))&gt;=100000), " ",IF(INDEX($AO$2:$BQ$1001,MATCH(ROWS($AH$2:AH760),$AH$2:$AH$1001,0),MATCH(COLUMNS($AO$1006:AU1006),$AO$1006:$BQ$1006,0)), HYPERLINK("#",""), HYPERLINK(CONCATENATE("#Metadata!", ADDRESS(INDEX($AJ$2:$AJ$1001,MATCH(ROWS($AH$2:AH760),$AH$2:$AH$1001,0),0), INDEX($AO$1004:$BQ$1004,1,MATCH(COLUMNS($AO$1006:AU1006),$AO$1006:$BQ$1006,0)))),"Fix")))</f>
        <v>#N/A</v>
      </c>
      <c r="I760" s="5" t="e">
        <f ca="1">IF(OR(INDEX($AI$2:$AI$1001,MATCH(ROWS($AH$2:AH760),$AH$2:$AH$1001,0),1)&gt;=100000,INDEX($AO$1005:$BQ$1005,1,MATCH(COLUMNS($AO$1006:AV1006),$AO$1006:$BQ$1006,0))&gt;=100000), " ",IF(INDEX($AO$2:$BQ$1001,MATCH(ROWS($AH$2:AH760),$AH$2:$AH$1001,0),MATCH(COLUMNS($AO$1006:AV1006),$AO$1006:$BQ$1006,0)), HYPERLINK("#",""), HYPERLINK(CONCATENATE("#Metadata!", ADDRESS(INDEX($AJ$2:$AJ$1001,MATCH(ROWS($AH$2:AH760),$AH$2:$AH$1001,0),0), INDEX($AO$1004:$BQ$1004,1,MATCH(COLUMNS($AO$1006:AV1006),$AO$1006:$BQ$1006,0)))),"Fix")))</f>
        <v>#N/A</v>
      </c>
      <c r="J760" s="5" t="e">
        <f ca="1">IF(OR(INDEX($AI$2:$AI$1001,MATCH(ROWS($AH$2:AH760),$AH$2:$AH$1001,0),1)&gt;=100000,INDEX($AO$1005:$BQ$1005,1,MATCH(COLUMNS($AO$1006:AW1006),$AO$1006:$BQ$1006,0))&gt;=100000), " ",IF(INDEX($AO$2:$BQ$1001,MATCH(ROWS($AH$2:AH760),$AH$2:$AH$1001,0),MATCH(COLUMNS($AO$1006:AW1006),$AO$1006:$BQ$1006,0)), HYPERLINK("#",""), HYPERLINK(CONCATENATE("#Metadata!", ADDRESS(INDEX($AJ$2:$AJ$1001,MATCH(ROWS($AH$2:AH760),$AH$2:$AH$1001,0),0), INDEX($AO$1004:$BQ$1004,1,MATCH(COLUMNS($AO$1006:AW1006),$AO$1006:$BQ$1006,0)))),"Fix")))</f>
        <v>#N/A</v>
      </c>
      <c r="K760" s="5" t="e">
        <f ca="1">IF(OR(INDEX($AI$2:$AI$1001,MATCH(ROWS($AH$2:AH760),$AH$2:$AH$1001,0),1)&gt;=100000,INDEX($AO$1005:$BQ$1005,1,MATCH(COLUMNS($AO$1006:AX1006),$AO$1006:$BQ$1006,0))&gt;=100000), " ",IF(INDEX($AO$2:$BQ$1001,MATCH(ROWS($AH$2:AH760),$AH$2:$AH$1001,0),MATCH(COLUMNS($AO$1006:AX1006),$AO$1006:$BQ$1006,0)), HYPERLINK("#",""), HYPERLINK(CONCATENATE("#Metadata!", ADDRESS(INDEX($AJ$2:$AJ$1001,MATCH(ROWS($AH$2:AH760),$AH$2:$AH$1001,0),0), INDEX($AO$1004:$BQ$1004,1,MATCH(COLUMNS($AO$1006:AX1006),$AO$1006:$BQ$1006,0)))),"Fix")))</f>
        <v>#N/A</v>
      </c>
      <c r="L760" s="5" t="e">
        <f ca="1">IF(OR(INDEX($AI$2:$AI$1001,MATCH(ROWS($AH$2:AH760),$AH$2:$AH$1001,0),1)&gt;=100000,INDEX($AO$1005:$BQ$1005,1,MATCH(COLUMNS($AO$1006:AY1006),$AO$1006:$BQ$1006,0))&gt;=100000), " ",IF(INDEX($AO$2:$BQ$1001,MATCH(ROWS($AH$2:AH760),$AH$2:$AH$1001,0),MATCH(COLUMNS($AO$1006:AY1006),$AO$1006:$BQ$1006,0)), HYPERLINK("#",""), HYPERLINK(CONCATENATE("#Metadata!", ADDRESS(INDEX($AJ$2:$AJ$1001,MATCH(ROWS($AH$2:AH760),$AH$2:$AH$1001,0),0), INDEX($AO$1004:$BQ$1004,1,MATCH(COLUMNS($AO$1006:AY1006),$AO$1006:$BQ$1006,0)))),"Fix")))</f>
        <v>#N/A</v>
      </c>
      <c r="M760" s="5" t="e">
        <f ca="1">IF(OR(INDEX($AI$2:$AI$1001,MATCH(ROWS($AH$2:AH760),$AH$2:$AH$1001,0),1)&gt;=100000,INDEX($AO$1005:$BQ$1005,1,MATCH(COLUMNS($AO$1006:AZ1006),$AO$1006:$BQ$1006,0))&gt;=100000), " ",IF(INDEX($AO$2:$BQ$1001,MATCH(ROWS($AH$2:AH760),$AH$2:$AH$1001,0),MATCH(COLUMNS($AO$1006:AZ1006),$AO$1006:$BQ$1006,0)), HYPERLINK("#",""), HYPERLINK(CONCATENATE("#Metadata!", ADDRESS(INDEX($AJ$2:$AJ$1001,MATCH(ROWS($AH$2:AH760),$AH$2:$AH$1001,0),0), INDEX($AO$1004:$BQ$1004,1,MATCH(COLUMNS($AO$1006:AZ1006),$AO$1006:$BQ$1006,0)))),"Fix")))</f>
        <v>#N/A</v>
      </c>
      <c r="N760" s="5" t="e">
        <f ca="1">IF(OR(INDEX($AI$2:$AI$1001,MATCH(ROWS($AH$2:AH760),$AH$2:$AH$1001,0),1)&gt;=100000,INDEX($AO$1005:$BQ$1005,1,MATCH(COLUMNS($AO$1006:BA1006),$AO$1006:$BQ$1006,0))&gt;=100000), " ",IF(INDEX($AO$2:$BQ$1001,MATCH(ROWS($AH$2:AH760),$AH$2:$AH$1001,0),MATCH(COLUMNS($AO$1006:BA1006),$AO$1006:$BQ$1006,0)), HYPERLINK("#",""), HYPERLINK(CONCATENATE("#Metadata!", ADDRESS(INDEX($AJ$2:$AJ$1001,MATCH(ROWS($AH$2:AH760),$AH$2:$AH$1001,0),0), INDEX($AO$1004:$BQ$1004,1,MATCH(COLUMNS($AO$1006:BA1006),$AO$1006:$BQ$1006,0)))),"Fix")))</f>
        <v>#N/A</v>
      </c>
      <c r="O760" s="5" t="e">
        <f ca="1">IF(OR(INDEX($AI$2:$AI$1001,MATCH(ROWS($AH$2:AH760),$AH$2:$AH$1001,0),1)&gt;=100000,INDEX($AO$1005:$BQ$1005,1,MATCH(COLUMNS($AO$1006:BB1006),$AO$1006:$BQ$1006,0))&gt;=100000), " ",IF(INDEX($AO$2:$BQ$1001,MATCH(ROWS($AH$2:AH760),$AH$2:$AH$1001,0),MATCH(COLUMNS($AO$1006:BB1006),$AO$1006:$BQ$1006,0)), HYPERLINK("#",""), HYPERLINK(CONCATENATE("#Metadata!", ADDRESS(INDEX($AJ$2:$AJ$1001,MATCH(ROWS($AH$2:AH760),$AH$2:$AH$1001,0),0), INDEX($AO$1004:$BQ$1004,1,MATCH(COLUMNS($AO$1006:BB1006),$AO$1006:$BQ$1006,0)))),"Fix")))</f>
        <v>#N/A</v>
      </c>
      <c r="P760" s="5" t="e">
        <f ca="1">IF(OR(INDEX($AI$2:$AI$1001,MATCH(ROWS($AH$2:AH760),$AH$2:$AH$1001,0),1)&gt;=100000,INDEX($AO$1005:$BQ$1005,1,MATCH(COLUMNS($AO$1006:BC1006),$AO$1006:$BQ$1006,0))&gt;=100000), " ",IF(INDEX($AO$2:$BQ$1001,MATCH(ROWS($AH$2:AH760),$AH$2:$AH$1001,0),MATCH(COLUMNS($AO$1006:BC1006),$AO$1006:$BQ$1006,0)), HYPERLINK("#",""), HYPERLINK(CONCATENATE("#Metadata!", ADDRESS(INDEX($AJ$2:$AJ$1001,MATCH(ROWS($AH$2:AH760),$AH$2:$AH$1001,0),0), INDEX($AO$1004:$BQ$1004,1,MATCH(COLUMNS($AO$1006:BC1006),$AO$1006:$BQ$1006,0)))),"Fix")))</f>
        <v>#N/A</v>
      </c>
      <c r="Q760" s="5" t="e">
        <f ca="1">IF(OR(INDEX($AI$2:$AI$1001,MATCH(ROWS($AH$2:AH760),$AH$2:$AH$1001,0),1)&gt;=100000,INDEX($AO$1005:$BQ$1005,1,MATCH(COLUMNS($AO$1006:BD1006),$AO$1006:$BQ$1006,0))&gt;=100000), " ",IF(INDEX($AO$2:$BQ$1001,MATCH(ROWS($AH$2:AH760),$AH$2:$AH$1001,0),MATCH(COLUMNS($AO$1006:BD1006),$AO$1006:$BQ$1006,0)), HYPERLINK("#",""), HYPERLINK(CONCATENATE("#Metadata!", ADDRESS(INDEX($AJ$2:$AJ$1001,MATCH(ROWS($AH$2:AH760),$AH$2:$AH$1001,0),0), INDEX($AO$1004:$BQ$1004,1,MATCH(COLUMNS($AO$1006:BD1006),$AO$1006:$BQ$1006,0)))),"Fix")))</f>
        <v>#N/A</v>
      </c>
      <c r="R760" s="5" t="e">
        <f ca="1">IF(OR(INDEX($AI$2:$AI$1001,MATCH(ROWS($AH$2:AH760),$AH$2:$AH$1001,0),1)&gt;=100000,INDEX($AO$1005:$BQ$1005,1,MATCH(COLUMNS($AO$1006:BE1006),$AO$1006:$BQ$1006,0))&gt;=100000), " ",IF(INDEX($AO$2:$BQ$1001,MATCH(ROWS($AH$2:AH760),$AH$2:$AH$1001,0),MATCH(COLUMNS($AO$1006:BE1006),$AO$1006:$BQ$1006,0)), HYPERLINK("#",""), HYPERLINK(CONCATENATE("#Metadata!", ADDRESS(INDEX($AJ$2:$AJ$1001,MATCH(ROWS($AH$2:AH760),$AH$2:$AH$1001,0),0), INDEX($AO$1004:$BQ$1004,1,MATCH(COLUMNS($AO$1006:BE1006),$AO$1006:$BQ$1006,0)))),"Fix")))</f>
        <v>#N/A</v>
      </c>
      <c r="S760" s="5" t="e">
        <f ca="1">IF(OR(INDEX($AI$2:$AI$1001,MATCH(ROWS($AH$2:AH760),$AH$2:$AH$1001,0),1)&gt;=100000,INDEX($AO$1005:$BQ$1005,1,MATCH(COLUMNS($AO$1006:BF1006),$AO$1006:$BQ$1006,0))&gt;=100000), " ",IF(INDEX($AO$2:$BQ$1001,MATCH(ROWS($AH$2:AH760),$AH$2:$AH$1001,0),MATCH(COLUMNS($AO$1006:BF1006),$AO$1006:$BQ$1006,0)), HYPERLINK("#",""), HYPERLINK(CONCATENATE("#Metadata!", ADDRESS(INDEX($AJ$2:$AJ$1001,MATCH(ROWS($AH$2:AH760),$AH$2:$AH$1001,0),0), INDEX($AO$1004:$BQ$1004,1,MATCH(COLUMNS($AO$1006:BF1006),$AO$1006:$BQ$1006,0)))),"Fix")))</f>
        <v>#N/A</v>
      </c>
      <c r="T760" s="5" t="e">
        <f ca="1">IF(OR(INDEX($AI$2:$AI$1001,MATCH(ROWS($AH$2:AH760),$AH$2:$AH$1001,0),1)&gt;=100000,INDEX($AO$1005:$BQ$1005,1,MATCH(COLUMNS($AO$1006:BG1006),$AO$1006:$BQ$1006,0))&gt;=100000), " ",IF(INDEX($AO$2:$BQ$1001,MATCH(ROWS($AH$2:AH760),$AH$2:$AH$1001,0),MATCH(COLUMNS($AO$1006:BG1006),$AO$1006:$BQ$1006,0)), HYPERLINK("#",""), HYPERLINK(CONCATENATE("#Metadata!", ADDRESS(INDEX($AJ$2:$AJ$1001,MATCH(ROWS($AH$2:AH760),$AH$2:$AH$1001,0),0), INDEX($AO$1004:$BQ$1004,1,MATCH(COLUMNS($AO$1006:BG1006),$AO$1006:$BQ$1006,0)))),"Fix")))</f>
        <v>#N/A</v>
      </c>
      <c r="U760" s="5" t="e">
        <f ca="1">IF(OR(INDEX($AI$2:$AI$1001,MATCH(ROWS($AH$2:AH760),$AH$2:$AH$1001,0),1)&gt;=100000,INDEX($AO$1005:$BQ$1005,1,MATCH(COLUMNS($AO$1006:BH1006),$AO$1006:$BQ$1006,0))&gt;=100000), " ",IF(INDEX($AO$2:$BQ$1001,MATCH(ROWS($AH$2:AH760),$AH$2:$AH$1001,0),MATCH(COLUMNS($AO$1006:BH1006),$AO$1006:$BQ$1006,0)), HYPERLINK("#",""), HYPERLINK(CONCATENATE("#Metadata!", ADDRESS(INDEX($AJ$2:$AJ$1001,MATCH(ROWS($AH$2:AH760),$AH$2:$AH$1001,0),0), INDEX($AO$1004:$BQ$1004,1,MATCH(COLUMNS($AO$1006:BH1006),$AO$1006:$BQ$1006,0)))),"Fix")))</f>
        <v>#N/A</v>
      </c>
      <c r="V760" s="5" t="e">
        <f ca="1">IF(OR(INDEX($AI$2:$AI$1001,MATCH(ROWS($AH$2:AH760),$AH$2:$AH$1001,0),1)&gt;=100000,INDEX($AO$1005:$BQ$1005,1,MATCH(COLUMNS($AO$1006:BI1006),$AO$1006:$BQ$1006,0))&gt;=100000), " ",IF(INDEX($AO$2:$BQ$1001,MATCH(ROWS($AH$2:AH760),$AH$2:$AH$1001,0),MATCH(COLUMNS($AO$1006:BI1006),$AO$1006:$BQ$1006,0)), HYPERLINK("#",""), HYPERLINK(CONCATENATE("#Metadata!", ADDRESS(INDEX($AJ$2:$AJ$1001,MATCH(ROWS($AH$2:AH760),$AH$2:$AH$1001,0),0), INDEX($AO$1004:$BQ$1004,1,MATCH(COLUMNS($AO$1006:BI1006),$AO$1006:$BQ$1006,0)))),"Fix")))</f>
        <v>#N/A</v>
      </c>
      <c r="W760" s="5" t="e">
        <f ca="1">IF(OR(INDEX($AI$2:$AI$1001,MATCH(ROWS($AH$2:AH760),$AH$2:$AH$1001,0),1)&gt;=100000,INDEX($AO$1005:$BQ$1005,1,MATCH(COLUMNS($AO$1006:BJ1006),$AO$1006:$BQ$1006,0))&gt;=100000), " ",IF(INDEX($AO$2:$BQ$1001,MATCH(ROWS($AH$2:AH760),$AH$2:$AH$1001,0),MATCH(COLUMNS($AO$1006:BJ1006),$AO$1006:$BQ$1006,0)), HYPERLINK("#",""), HYPERLINK(CONCATENATE("#Metadata!", ADDRESS(INDEX($AJ$2:$AJ$1001,MATCH(ROWS($AH$2:AH760),$AH$2:$AH$1001,0),0), INDEX($AO$1004:$BQ$1004,1,MATCH(COLUMNS($AO$1006:BJ1006),$AO$1006:$BQ$1006,0)))),"Fix")))</f>
        <v>#N/A</v>
      </c>
      <c r="X760" s="5" t="e">
        <f ca="1">IF(OR(INDEX($AI$2:$AI$1001,MATCH(ROWS($AH$2:AH760),$AH$2:$AH$1001,0),1)&gt;=100000,INDEX($AO$1005:$BQ$1005,1,MATCH(COLUMNS($AO$1006:BK1006),$AO$1006:$BQ$1006,0))&gt;=100000), " ",IF(INDEX($AO$2:$BQ$1001,MATCH(ROWS($AH$2:AH760),$AH$2:$AH$1001,0),MATCH(COLUMNS($AO$1006:BK1006),$AO$1006:$BQ$1006,0)), HYPERLINK("#",""), HYPERLINK(CONCATENATE("#Metadata!", ADDRESS(INDEX($AJ$2:$AJ$1001,MATCH(ROWS($AH$2:AH760),$AH$2:$AH$1001,0),0), INDEX($AO$1004:$BQ$1004,1,MATCH(COLUMNS($AO$1006:BK1006),$AO$1006:$BQ$1006,0)))),"Fix")))</f>
        <v>#N/A</v>
      </c>
      <c r="Y760" s="5" t="e">
        <f ca="1">IF(OR(INDEX($AI$2:$AI$1001,MATCH(ROWS($AH$2:AH760),$AH$2:$AH$1001,0),1)&gt;=100000,INDEX($AO$1005:$BQ$1005,1,MATCH(COLUMNS($AO$1006:BL1006),$AO$1006:$BQ$1006,0))&gt;=100000), " ",IF(INDEX($AO$2:$BQ$1001,MATCH(ROWS($AH$2:AH760),$AH$2:$AH$1001,0),MATCH(COLUMNS($AO$1006:BL1006),$AO$1006:$BQ$1006,0)), HYPERLINK("#",""), HYPERLINK(CONCATENATE("#Metadata!", ADDRESS(INDEX($AJ$2:$AJ$1001,MATCH(ROWS($AH$2:AH760),$AH$2:$AH$1001,0),0), INDEX($AO$1004:$BQ$1004,1,MATCH(COLUMNS($AO$1006:BL1006),$AO$1006:$BQ$1006,0)))),"Fix")))</f>
        <v>#N/A</v>
      </c>
      <c r="Z760" s="5" t="e">
        <f ca="1">IF(OR(INDEX($AI$2:$AI$1001,MATCH(ROWS($AH$2:AH760),$AH$2:$AH$1001,0),1)&gt;=100000,INDEX($AO$1005:$BQ$1005,1,MATCH(COLUMNS($AO$1006:BM1006),$AO$1006:$BQ$1006,0))&gt;=100000), " ",IF(INDEX($AO$2:$BQ$1001,MATCH(ROWS($AH$2:AH760),$AH$2:$AH$1001,0),MATCH(COLUMNS($AO$1006:BM1006),$AO$1006:$BQ$1006,0)), HYPERLINK("#",""), HYPERLINK(CONCATENATE("#Metadata!", ADDRESS(INDEX($AJ$2:$AJ$1001,MATCH(ROWS($AH$2:AH760),$AH$2:$AH$1001,0),0), INDEX($AO$1004:$BQ$1004,1,MATCH(COLUMNS($AO$1006:BM1006),$AO$1006:$BQ$1006,0)))),"Fix")))</f>
        <v>#N/A</v>
      </c>
      <c r="AA760" s="5" t="e">
        <f ca="1">IF(OR(INDEX($AI$2:$AI$1001,MATCH(ROWS($AH$2:AH760),$AH$2:$AH$1001,0),1)&gt;=100000,INDEX($AO$1005:$BQ$1005,1,MATCH(COLUMNS($AO$1006:BN1006),$AO$1006:$BQ$1006,0))&gt;=100000), " ",IF(INDEX($AO$2:$BQ$1001,MATCH(ROWS($AH$2:AH760),$AH$2:$AH$1001,0),MATCH(COLUMNS($AO$1006:BN1006),$AO$1006:$BQ$1006,0)), HYPERLINK("#",""), HYPERLINK(CONCATENATE("#Metadata!", ADDRESS(INDEX($AJ$2:$AJ$1001,MATCH(ROWS($AH$2:AH760),$AH$2:$AH$1001,0),0), INDEX($AO$1004:$BQ$1004,1,MATCH(COLUMNS($AO$1006:BN1006),$AO$1006:$BQ$1006,0)))),"Fix")))</f>
        <v>#N/A</v>
      </c>
      <c r="AB760" s="5" t="e">
        <f ca="1">IF(OR(INDEX($AI$2:$AI$1001,MATCH(ROWS($AH$2:AH760),$AH$2:$AH$1001,0),1)&gt;=100000,INDEX($AO$1005:$BQ$1005,1,MATCH(COLUMNS($AO$1006:BO1006),$AO$1006:$BQ$1006,0))&gt;=100000), " ",IF(INDEX($AO$2:$BQ$1001,MATCH(ROWS($AH$2:AH760),$AH$2:$AH$1001,0),MATCH(COLUMNS($AO$1006:BO1006),$AO$1006:$BQ$1006,0)), HYPERLINK("#",""), HYPERLINK(CONCATENATE("#Metadata!", ADDRESS(INDEX($AJ$2:$AJ$1001,MATCH(ROWS($AH$2:AH760),$AH$2:$AH$1001,0),0), INDEX($AO$1004:$BQ$1004,1,MATCH(COLUMNS($AO$1006:BO1006),$AO$1006:$BQ$1006,0)))),"Fix")))</f>
        <v>#N/A</v>
      </c>
      <c r="AC760" s="5" t="e">
        <f ca="1">IF(OR(INDEX($AI$2:$AI$1001,MATCH(ROWS($AH$2:AH760),$AH$2:$AH$1001,0),1)&gt;=100000,INDEX($AO$1005:$BQ$1005,1,MATCH(COLUMNS($AO$1006:BP1006),$AO$1006:$BQ$1006,0))&gt;=100000), " ",IF(INDEX($AO$2:$BQ$1001,MATCH(ROWS($AH$2:AH760),$AH$2:$AH$1001,0),MATCH(COLUMNS($AO$1006:BP1006),$AO$1006:$BQ$1006,0)), HYPERLINK("#",""), HYPERLINK(CONCATENATE("#Metadata!", ADDRESS(INDEX($AJ$2:$AJ$1001,MATCH(ROWS($AH$2:AH760),$AH$2:$AH$1001,0),0), INDEX($AO$1004:$BQ$1004,1,MATCH(COLUMNS($AO$1006:BP1006),$AO$1006:$BQ$1006,0)))),"Fix")))</f>
        <v>#N/A</v>
      </c>
      <c r="AD760" s="5" t="e">
        <f ca="1">IF(OR(INDEX($AI$2:$AI$1001,MATCH(ROWS($AH$2:AH760),$AH$2:$AH$1001,0),1)&gt;=100000,INDEX($AO$1005:$BQ$1005,1,MATCH(COLUMNS($AO$1006:BQ1006),$AO$1006:$BQ$1006,0))&gt;=100000), " ",IF(INDEX($AO$2:$BQ$1001,MATCH(ROWS($AH$2:AH760),$AH$2:$AH$1001,0),MATCH(COLUMNS($AO$1006:BQ1006),$AO$1006:$BQ$1006,0)), HYPERLINK("#",""), HYPERLINK(CONCATENATE("#Metadata!", ADDRESS(INDEX($AJ$2:$AJ$1001,MATCH(ROWS($AH$2:AH760),$AH$2:$AH$1001,0),0), INDEX($AO$1004:$BQ$1004,1,MATCH(COLUMNS($AO$1006:BQ1006),$AO$1006:$BQ$1006,0)))),"Fix")))</f>
        <v>#REF!</v>
      </c>
      <c r="AH760">
        <f ca="1"/>
        <v>757</v>
      </c>
      <c r="AI760">
        <v>100760</v>
      </c>
      <c r="AJ760">
        <v>760</v>
      </c>
      <c r="AK760" t="b">
        <f t="shared" si="11"/>
        <v>1</v>
      </c>
      <c r="AL760" t="b">
        <f>COUNTBLANK(Metadata!B760:AD760)=COLUMNS(Metadata!B760:AD760)</f>
        <v>1</v>
      </c>
      <c r="AM760" t="str">
        <v/>
      </c>
      <c r="AO760" t="b">
        <f ca="1">AND(IF(Metadata!B760="",FALSE,TRUE),COUNTIF(Metadata!B:B, Metadata!B760) = 1,NOT(ISERROR(SUMPRODUCT(SEARCH(MID(Metadata!B760,ROW(INDIRECT("1:"&amp;LEN(Metadata!B760))), 1),"0123456789abcdefghijklmnopqrstuvwxyzABCDEFGHIJKLMNOPQRSTUVWXYZ.")))))</f>
        <v>0</v>
      </c>
      <c r="AP760" t="b">
        <f>IF(Metadata!C760="",FALSE,TRUE)</f>
        <v>0</v>
      </c>
      <c r="AQ760" t="b">
        <f>IF(Metadata!D760="",FALSE,TRUE)</f>
        <v>0</v>
      </c>
      <c r="AR760" t="b">
        <f ca="1">OR(AND(IF(Metadata!E760="",FALSE,TRUE),OR(EXACT(Metadata!E760,"not collected"),EXACT(Metadata!E760,"not provided"),EXACT(Metadata!E760,"restricted access"))),AND(IF(Metadata!E760="",FALSE,TRUE),AND(AND(IFERROR(INT(LEFT(Metadata!E760,4))&gt;1900,FALSE),IFERROR(INT(LEFT(Metadata!E760,4))&lt;=YEAR(NOW()),FALSE)), OR(MID(Metadata!E760,5,1)="", AND(AND(MID(Metadata!E760,5,1)="-",IFERROR(INT(MID(Metadata!E760,6,1))&gt;=0,FALSE),IFERROR(INT(MID(Metadata!E760,6,1))&lt;=1,FALSE),NOT(MID(Metadata!E760,7,1)=""),IFERROR(INT(MID(Metadata!E760,6,2))&gt;=1,FALSE),IFERROR(INT(MID(Metadata!E760,6,2))&lt;=12,FALSE)), OR(MID(Metadata!E760,8,1)="", AND(AND(MID(Metadata!E760,8,1)="-",IFERROR(INT(MID(Metadata!E760,9,1))&gt;=0,FALSE),IFERROR(INT(MID(Metadata!E760,9,1))&lt;=3,FALSE),NOT(MID(Metadata!E760,10,1)=""),IFERROR(INT(MID(Metadata!E760,9,2))&gt;=1,FALSE),IFERROR(INT(MID(Metadata!E760,9,2))&lt;=31,FALSE)), OR(MID(Metadata!E760,11,1)="", AND(AND(MID(Metadata!E760,11,1)=" ",IFERROR(INT(MID(Metadata!E760,12,1))&gt;=0,FALSE),IFERROR(INT(MID(Metadata!E760,12,1))&lt;=2,FALSE),NOT(MID(Metadata!E760,13,1)=""),IFERROR(INT(MID(Metadata!E760,12,2))&gt;=0,FALSE),IFERROR(INT(MID(Metadata!E760,12,2))&lt;=23,FALSE)), OR(MID(Metadata!E760,14,1)="", AND(AND(MID(Metadata!E760,14,1)=":",IFERROR(INT(MID(Metadata!E760,15,1))&gt;=0,FALSE),IFERROR(INT(MID(Metadata!E760,15,1))&lt;=5,FALSE),NOT(MID(Metadata!E760,16,1)=""),IFERROR(INT(MID(Metadata!E760,15,2))&gt;=0,FALSE),IFERROR(INT(MID(Metadata!E760,15,2))&lt;=59,FALSE)), OR(MID(Metadata!E760,17,1)="", AND(AND(MID(Metadata!E760,17,1)=":",IFERROR(INT(MID(Metadata!E760,18,1))&gt;=0,FALSE),IFERROR(INT(MID(Metadata!E760,18,1))&lt;=5,FALSE),NOT(MID(Metadata!E760,19,1)=""),IFERROR(INT(MID(Metadata!E760,18,2))&gt;=0,FALSE),IFERROR(INT(MID(Metadata!E760,18,2))&lt;=59,FALSE)), LEN(Metadata!E760)&lt;=19)))))))))))))</f>
        <v>0</v>
      </c>
      <c r="AS760" t="b">
        <f>IF(Metadata!F760="",FALSE,TRUE)</f>
        <v>0</v>
      </c>
      <c r="AT760" t="b">
        <f>OR(AND(IF(Metadata!G760="",FALSE,TRUE),OR(EXACT(Metadata!G760,"not collected"),EXACT(Metadata!G760,"not provided"))),AND(IF(Metadata!G760="",FALSE,TRUE),OR(EXACT(Metadata!G760,"TRUE"),EXACT(Metadata!G760,"FALSE"))))</f>
        <v>0</v>
      </c>
      <c r="AU760" t="b">
        <f>OR(AND(IF(Metadata!H760="",FALSE,TRUE),OR(EXACT(Metadata!H760,"not collected"),EXACT(Metadata!H760,"not provided"),EXACT(Metadata!H760,"restricted access"))),AND(IF(Metadata!H760="",FALSE,ISNUMBER(VALUE(Metadata!H760))),Metadata!H760&gt;=-413))</f>
        <v>0</v>
      </c>
      <c r="AV760" t="b">
        <f>AND(IF(Metadata!I760="",FALSE,TRUE),EXACT(Metadata!I760,"meters"))</f>
        <v>0</v>
      </c>
      <c r="AW760" t="b">
        <f>AND(IF(Metadata!J760="",FALSE,TRUE),EXACT(Metadata!J760,"free-living"))</f>
        <v>0</v>
      </c>
      <c r="AX760" t="b">
        <f>AND(IF(Metadata!K760="",FALSE,TRUE),OR(EXACT(Metadata!K760,"saline"),EXACT(Metadata!K760,"non-saline")))</f>
        <v>0</v>
      </c>
      <c r="AY760" t="b">
        <f>AND(IF(Metadata!L760="",FALSE,TRUE),OR(EXACT(Metadata!L760,"sub-surface (non-saline)"),EXACT(Metadata!L760,"surface (non-saline)"),EXACT(Metadata!L760,"water (non-saline)"),EXACT(Metadata!L760,"soil (non-saline)"),EXACT(Metadata!L760,"aerosol (non-saline)"),EXACT(Metadata!L760,"sediment (non-saline)"),EXACT(Metadata!L760,"surface (saline)"),EXACT(Metadata!L760,"water (saline)"),EXACT(Metadata!L760,"hypersaline (saline)"),EXACT(Metadata!L760,"aerosol (saline)"),EXACT(Metadata!L760,"sediment (saline)")))</f>
        <v>0</v>
      </c>
      <c r="AZ760" t="b">
        <f>IF(Metadata!M760="",FALSE,TRUE)</f>
        <v>0</v>
      </c>
      <c r="BA760" t="b">
        <f>IF(Metadata!N760="",FALSE,TRUE)</f>
        <v>0</v>
      </c>
      <c r="BB760" t="b">
        <f>IF(Metadata!O760="",FALSE,TRUE)</f>
        <v>0</v>
      </c>
      <c r="BC760" t="b">
        <f>AND(IF(Metadata!P760="",FALSE,TRUE),OR(EXACT(Metadata!P760,"air"),EXACT(Metadata!P760,"microbial mat/biofilm"),EXACT(Metadata!P760,"misc environment"),EXACT(Metadata!P760,"sediment"),EXACT(Metadata!P760,"soil"),EXACT(Metadata!P760,"wastewater/sludge"),EXACT(Metadata!P760,"water")))</f>
        <v>0</v>
      </c>
      <c r="BD760" t="b">
        <f>IF(Metadata!Q760="",FALSE,TRUE)</f>
        <v>0</v>
      </c>
      <c r="BE760" t="b">
        <f>IF(Metadata!R760="",FALSE,TRUE)</f>
        <v>0</v>
      </c>
      <c r="BF760" t="b">
        <f>OR(AND(IF(Metadata!S760="",FALSE,TRUE),OR(EXACT(Metadata!S760,"not collected"),EXACT(Metadata!S760,"not provided"),EXACT(Metadata!S760,"restricted access"))),AND(IF(Metadata!S760="",FALSE,ISNUMBER(VALUE(Metadata!S760))),Metadata!S760&gt;=-90,Metadata!S760&lt;=90))</f>
        <v>0</v>
      </c>
      <c r="BG760" t="b">
        <f>AND(IF(Metadata!T760="",FALSE,TRUE),EXACT(Metadata!T760,"Decimal degrees"))</f>
        <v>0</v>
      </c>
      <c r="BH760" t="b">
        <f>OR(AND(IF(Metadata!U760="",FALSE,TRUE),OR(EXACT(Metadata!U760,"not applicable"),EXACT(Metadata!U760,"not collected"))),IF(Metadata!U760="",FALSE,TRUE))</f>
        <v>0</v>
      </c>
      <c r="BI760" t="b">
        <f>OR(AND(IF(Metadata!V760="",FALSE,TRUE),OR(EXACT(Metadata!V760,"not collected"),EXACT(Metadata!V760,"not provided"),EXACT(Metadata!V760,"restricted access"))),AND(IF(Metadata!V760="",FALSE,ISNUMBER(VALUE(Metadata!V760))),Metadata!V760&gt;=-180,Metadata!V760&lt;=180))</f>
        <v>0</v>
      </c>
      <c r="BJ760" t="b">
        <f>AND(IF(Metadata!W760="",FALSE,TRUE),EXACT(Metadata!W760,"Decimal degrees"))</f>
        <v>0</v>
      </c>
      <c r="BK760" t="b">
        <f>IF(Metadata!X760="",FALSE,TRUE)</f>
        <v>0</v>
      </c>
      <c r="BL760" t="b">
        <f>OR(AND(IF(Metadata!Y760="",FALSE,TRUE),OR(EXACT(Metadata!Y760,"not collected"),EXACT(Metadata!Y760,"not provided"),EXACT(Metadata!Y760,"restricted access"))),AND(IF(Metadata!Y760="",FALSE,TRUE),OR(EXACT(Metadata!Y760,"TRUE"),EXACT(Metadata!Y760,"FALSE"))))</f>
        <v>0</v>
      </c>
      <c r="BM760" t="b">
        <f>OR(AND(IF(Metadata!Z760="",FALSE,TRUE),EXACT(Metadata!Z760,"not applicable")),AND(IF(Metadata!Z760="",FALSE,TRUE),OR(EXACT(Metadata!Z760,"beer"),EXACT(Metadata!Z760,"cheese"),EXACT(Metadata!Z760,"fresh water"),EXACT(Metadata!Z760,"marine sediment"),EXACT(Metadata!Z760,"sea water"),EXACT(Metadata!Z760,"sediment"),EXACT(Metadata!Z760,"soil"),EXACT(Metadata!Z760,"waste water"))))</f>
        <v>0</v>
      </c>
      <c r="BN760" t="b">
        <f>AND(IF(Metadata!AA760="",FALSE,TRUE),EXACT(Metadata!AA760,"metagenome"))</f>
        <v>0</v>
      </c>
      <c r="BO760" t="b">
        <f>AND(IF(Metadata!AB760="",FALSE,TRUE),EXACT(Metadata!AB760,"256318"))</f>
        <v>0</v>
      </c>
      <c r="BP760" t="b">
        <f>IF(Metadata!AC760="",FALSE,TRUE)</f>
        <v>0</v>
      </c>
      <c r="BQ760" t="b">
        <f>IF(Metadata!AD760="",FALSE,TRUE)</f>
        <v>0</v>
      </c>
    </row>
    <row r="761" spans="1:69" x14ac:dyDescent="0.2">
      <c r="A761" s="4" t="e">
        <f ca="1">IF(B761=" "," ",HYPERLINK(CONCATENATE("#metadata!",ADDRESS(INDEX($AJ$2:$AJ$1001,MATCH(ROWS($AH$2:AH761),$AH$2:$AH$1001,0),0),2)),INDEX($AM$2:$AM$1001,MATCH(ROWS($AH$2:AH761),$AH$2:$AH$1001,0),0)))</f>
        <v>#N/A</v>
      </c>
      <c r="B761" s="5" t="e">
        <f ca="1">IF(OR(INDEX($AI$2:$AI$1001,MATCH(ROWS($AH$2:AH761),$AH$2:$AH$1001,0),1)&gt;=100000,INDEX($AO$1005:$BQ$1005,1,MATCH(COLUMNS($AO$1006:AO1006),$AO$1006:$BQ$1006,0))&gt;=100000), " ",IF(INDEX($AO$2:$BQ$1001,MATCH(ROWS($AH$2:AH761),$AH$2:$AH$1001,0),MATCH(COLUMNS($AO$1006:AO1006),$AO$1006:$BQ$1006,0)), HYPERLINK("#",""), HYPERLINK(CONCATENATE("#Metadata!", ADDRESS(INDEX($AJ$2:$AJ$1001,MATCH(ROWS($AH$2:AH761),$AH$2:$AH$1001,0),0), INDEX($AO$1004:$BQ$1004,1,MATCH(COLUMNS($AO$1006:AO1006),$AO$1006:$BQ$1006,0)))),"Fix")))</f>
        <v>#N/A</v>
      </c>
      <c r="C761" s="5" t="e">
        <f ca="1">IF(OR(INDEX($AI$2:$AI$1001,MATCH(ROWS($AH$2:AH761),$AH$2:$AH$1001,0),1)&gt;=100000,INDEX($AO$1005:$BQ$1005,1,MATCH(COLUMNS($AO$1006:AP1006),$AO$1006:$BQ$1006,0))&gt;=100000), " ",IF(INDEX($AO$2:$BQ$1001,MATCH(ROWS($AH$2:AH761),$AH$2:$AH$1001,0),MATCH(COLUMNS($AO$1006:AP1006),$AO$1006:$BQ$1006,0)), HYPERLINK("#",""), HYPERLINK(CONCATENATE("#Metadata!", ADDRESS(INDEX($AJ$2:$AJ$1001,MATCH(ROWS($AH$2:AH761),$AH$2:$AH$1001,0),0), INDEX($AO$1004:$BQ$1004,1,MATCH(COLUMNS($AO$1006:AP1006),$AO$1006:$BQ$1006,0)))),"Fix")))</f>
        <v>#N/A</v>
      </c>
      <c r="D761" s="5" t="e">
        <f ca="1">IF(OR(INDEX($AI$2:$AI$1001,MATCH(ROWS($AH$2:AH761),$AH$2:$AH$1001,0),1)&gt;=100000,INDEX($AO$1005:$BQ$1005,1,MATCH(COLUMNS($AO$1006:AQ1006),$AO$1006:$BQ$1006,0))&gt;=100000), " ",IF(INDEX($AO$2:$BQ$1001,MATCH(ROWS($AH$2:AH761),$AH$2:$AH$1001,0),MATCH(COLUMNS($AO$1006:AQ1006),$AO$1006:$BQ$1006,0)), HYPERLINK("#",""), HYPERLINK(CONCATENATE("#Metadata!", ADDRESS(INDEX($AJ$2:$AJ$1001,MATCH(ROWS($AH$2:AH761),$AH$2:$AH$1001,0),0), INDEX($AO$1004:$BQ$1004,1,MATCH(COLUMNS($AO$1006:AQ1006),$AO$1006:$BQ$1006,0)))),"Fix")))</f>
        <v>#N/A</v>
      </c>
      <c r="E761" s="5" t="e">
        <f ca="1">IF(OR(INDEX($AI$2:$AI$1001,MATCH(ROWS($AH$2:AH761),$AH$2:$AH$1001,0),1)&gt;=100000,INDEX($AO$1005:$BQ$1005,1,MATCH(COLUMNS($AO$1006:AR1006),$AO$1006:$BQ$1006,0))&gt;=100000), " ",IF(INDEX($AO$2:$BQ$1001,MATCH(ROWS($AH$2:AH761),$AH$2:$AH$1001,0),MATCH(COLUMNS($AO$1006:AR1006),$AO$1006:$BQ$1006,0)), HYPERLINK("#",""), HYPERLINK(CONCATENATE("#Metadata!", ADDRESS(INDEX($AJ$2:$AJ$1001,MATCH(ROWS($AH$2:AH761),$AH$2:$AH$1001,0),0), INDEX($AO$1004:$BQ$1004,1,MATCH(COLUMNS($AO$1006:AR1006),$AO$1006:$BQ$1006,0)))),"Fix")))</f>
        <v>#N/A</v>
      </c>
      <c r="F761" s="5" t="e">
        <f ca="1">IF(OR(INDEX($AI$2:$AI$1001,MATCH(ROWS($AH$2:AH761),$AH$2:$AH$1001,0),1)&gt;=100000,INDEX($AO$1005:$BQ$1005,1,MATCH(COLUMNS($AO$1006:AS1006),$AO$1006:$BQ$1006,0))&gt;=100000), " ",IF(INDEX($AO$2:$BQ$1001,MATCH(ROWS($AH$2:AH761),$AH$2:$AH$1001,0),MATCH(COLUMNS($AO$1006:AS1006),$AO$1006:$BQ$1006,0)), HYPERLINK("#",""), HYPERLINK(CONCATENATE("#Metadata!", ADDRESS(INDEX($AJ$2:$AJ$1001,MATCH(ROWS($AH$2:AH761),$AH$2:$AH$1001,0),0), INDEX($AO$1004:$BQ$1004,1,MATCH(COLUMNS($AO$1006:AS1006),$AO$1006:$BQ$1006,0)))),"Fix")))</f>
        <v>#N/A</v>
      </c>
      <c r="G761" s="5" t="e">
        <f ca="1">IF(OR(INDEX($AI$2:$AI$1001,MATCH(ROWS($AH$2:AH761),$AH$2:$AH$1001,0),1)&gt;=100000,INDEX($AO$1005:$BQ$1005,1,MATCH(COLUMNS($AO$1006:AT1006),$AO$1006:$BQ$1006,0))&gt;=100000), " ",IF(INDEX($AO$2:$BQ$1001,MATCH(ROWS($AH$2:AH761),$AH$2:$AH$1001,0),MATCH(COLUMNS($AO$1006:AT1006),$AO$1006:$BQ$1006,0)), HYPERLINK("#",""), HYPERLINK(CONCATENATE("#Metadata!", ADDRESS(INDEX($AJ$2:$AJ$1001,MATCH(ROWS($AH$2:AH761),$AH$2:$AH$1001,0),0), INDEX($AO$1004:$BQ$1004,1,MATCH(COLUMNS($AO$1006:AT1006),$AO$1006:$BQ$1006,0)))),"Fix")))</f>
        <v>#N/A</v>
      </c>
      <c r="H761" s="5" t="e">
        <f ca="1">IF(OR(INDEX($AI$2:$AI$1001,MATCH(ROWS($AH$2:AH761),$AH$2:$AH$1001,0),1)&gt;=100000,INDEX($AO$1005:$BQ$1005,1,MATCH(COLUMNS($AO$1006:AU1006),$AO$1006:$BQ$1006,0))&gt;=100000), " ",IF(INDEX($AO$2:$BQ$1001,MATCH(ROWS($AH$2:AH761),$AH$2:$AH$1001,0),MATCH(COLUMNS($AO$1006:AU1006),$AO$1006:$BQ$1006,0)), HYPERLINK("#",""), HYPERLINK(CONCATENATE("#Metadata!", ADDRESS(INDEX($AJ$2:$AJ$1001,MATCH(ROWS($AH$2:AH761),$AH$2:$AH$1001,0),0), INDEX($AO$1004:$BQ$1004,1,MATCH(COLUMNS($AO$1006:AU1006),$AO$1006:$BQ$1006,0)))),"Fix")))</f>
        <v>#N/A</v>
      </c>
      <c r="I761" s="5" t="e">
        <f ca="1">IF(OR(INDEX($AI$2:$AI$1001,MATCH(ROWS($AH$2:AH761),$AH$2:$AH$1001,0),1)&gt;=100000,INDEX($AO$1005:$BQ$1005,1,MATCH(COLUMNS($AO$1006:AV1006),$AO$1006:$BQ$1006,0))&gt;=100000), " ",IF(INDEX($AO$2:$BQ$1001,MATCH(ROWS($AH$2:AH761),$AH$2:$AH$1001,0),MATCH(COLUMNS($AO$1006:AV1006),$AO$1006:$BQ$1006,0)), HYPERLINK("#",""), HYPERLINK(CONCATENATE("#Metadata!", ADDRESS(INDEX($AJ$2:$AJ$1001,MATCH(ROWS($AH$2:AH761),$AH$2:$AH$1001,0),0), INDEX($AO$1004:$BQ$1004,1,MATCH(COLUMNS($AO$1006:AV1006),$AO$1006:$BQ$1006,0)))),"Fix")))</f>
        <v>#N/A</v>
      </c>
      <c r="J761" s="5" t="e">
        <f ca="1">IF(OR(INDEX($AI$2:$AI$1001,MATCH(ROWS($AH$2:AH761),$AH$2:$AH$1001,0),1)&gt;=100000,INDEX($AO$1005:$BQ$1005,1,MATCH(COLUMNS($AO$1006:AW1006),$AO$1006:$BQ$1006,0))&gt;=100000), " ",IF(INDEX($AO$2:$BQ$1001,MATCH(ROWS($AH$2:AH761),$AH$2:$AH$1001,0),MATCH(COLUMNS($AO$1006:AW1006),$AO$1006:$BQ$1006,0)), HYPERLINK("#",""), HYPERLINK(CONCATENATE("#Metadata!", ADDRESS(INDEX($AJ$2:$AJ$1001,MATCH(ROWS($AH$2:AH761),$AH$2:$AH$1001,0),0), INDEX($AO$1004:$BQ$1004,1,MATCH(COLUMNS($AO$1006:AW1006),$AO$1006:$BQ$1006,0)))),"Fix")))</f>
        <v>#N/A</v>
      </c>
      <c r="K761" s="5" t="e">
        <f ca="1">IF(OR(INDEX($AI$2:$AI$1001,MATCH(ROWS($AH$2:AH761),$AH$2:$AH$1001,0),1)&gt;=100000,INDEX($AO$1005:$BQ$1005,1,MATCH(COLUMNS($AO$1006:AX1006),$AO$1006:$BQ$1006,0))&gt;=100000), " ",IF(INDEX($AO$2:$BQ$1001,MATCH(ROWS($AH$2:AH761),$AH$2:$AH$1001,0),MATCH(COLUMNS($AO$1006:AX1006),$AO$1006:$BQ$1006,0)), HYPERLINK("#",""), HYPERLINK(CONCATENATE("#Metadata!", ADDRESS(INDEX($AJ$2:$AJ$1001,MATCH(ROWS($AH$2:AH761),$AH$2:$AH$1001,0),0), INDEX($AO$1004:$BQ$1004,1,MATCH(COLUMNS($AO$1006:AX1006),$AO$1006:$BQ$1006,0)))),"Fix")))</f>
        <v>#N/A</v>
      </c>
      <c r="L761" s="5" t="e">
        <f ca="1">IF(OR(INDEX($AI$2:$AI$1001,MATCH(ROWS($AH$2:AH761),$AH$2:$AH$1001,0),1)&gt;=100000,INDEX($AO$1005:$BQ$1005,1,MATCH(COLUMNS($AO$1006:AY1006),$AO$1006:$BQ$1006,0))&gt;=100000), " ",IF(INDEX($AO$2:$BQ$1001,MATCH(ROWS($AH$2:AH761),$AH$2:$AH$1001,0),MATCH(COLUMNS($AO$1006:AY1006),$AO$1006:$BQ$1006,0)), HYPERLINK("#",""), HYPERLINK(CONCATENATE("#Metadata!", ADDRESS(INDEX($AJ$2:$AJ$1001,MATCH(ROWS($AH$2:AH761),$AH$2:$AH$1001,0),0), INDEX($AO$1004:$BQ$1004,1,MATCH(COLUMNS($AO$1006:AY1006),$AO$1006:$BQ$1006,0)))),"Fix")))</f>
        <v>#N/A</v>
      </c>
      <c r="M761" s="5" t="e">
        <f ca="1">IF(OR(INDEX($AI$2:$AI$1001,MATCH(ROWS($AH$2:AH761),$AH$2:$AH$1001,0),1)&gt;=100000,INDEX($AO$1005:$BQ$1005,1,MATCH(COLUMNS($AO$1006:AZ1006),$AO$1006:$BQ$1006,0))&gt;=100000), " ",IF(INDEX($AO$2:$BQ$1001,MATCH(ROWS($AH$2:AH761),$AH$2:$AH$1001,0),MATCH(COLUMNS($AO$1006:AZ1006),$AO$1006:$BQ$1006,0)), HYPERLINK("#",""), HYPERLINK(CONCATENATE("#Metadata!", ADDRESS(INDEX($AJ$2:$AJ$1001,MATCH(ROWS($AH$2:AH761),$AH$2:$AH$1001,0),0), INDEX($AO$1004:$BQ$1004,1,MATCH(COLUMNS($AO$1006:AZ1006),$AO$1006:$BQ$1006,0)))),"Fix")))</f>
        <v>#N/A</v>
      </c>
      <c r="N761" s="5" t="e">
        <f ca="1">IF(OR(INDEX($AI$2:$AI$1001,MATCH(ROWS($AH$2:AH761),$AH$2:$AH$1001,0),1)&gt;=100000,INDEX($AO$1005:$BQ$1005,1,MATCH(COLUMNS($AO$1006:BA1006),$AO$1006:$BQ$1006,0))&gt;=100000), " ",IF(INDEX($AO$2:$BQ$1001,MATCH(ROWS($AH$2:AH761),$AH$2:$AH$1001,0),MATCH(COLUMNS($AO$1006:BA1006),$AO$1006:$BQ$1006,0)), HYPERLINK("#",""), HYPERLINK(CONCATENATE("#Metadata!", ADDRESS(INDEX($AJ$2:$AJ$1001,MATCH(ROWS($AH$2:AH761),$AH$2:$AH$1001,0),0), INDEX($AO$1004:$BQ$1004,1,MATCH(COLUMNS($AO$1006:BA1006),$AO$1006:$BQ$1006,0)))),"Fix")))</f>
        <v>#N/A</v>
      </c>
      <c r="O761" s="5" t="e">
        <f ca="1">IF(OR(INDEX($AI$2:$AI$1001,MATCH(ROWS($AH$2:AH761),$AH$2:$AH$1001,0),1)&gt;=100000,INDEX($AO$1005:$BQ$1005,1,MATCH(COLUMNS($AO$1006:BB1006),$AO$1006:$BQ$1006,0))&gt;=100000), " ",IF(INDEX($AO$2:$BQ$1001,MATCH(ROWS($AH$2:AH761),$AH$2:$AH$1001,0),MATCH(COLUMNS($AO$1006:BB1006),$AO$1006:$BQ$1006,0)), HYPERLINK("#",""), HYPERLINK(CONCATENATE("#Metadata!", ADDRESS(INDEX($AJ$2:$AJ$1001,MATCH(ROWS($AH$2:AH761),$AH$2:$AH$1001,0),0), INDEX($AO$1004:$BQ$1004,1,MATCH(COLUMNS($AO$1006:BB1006),$AO$1006:$BQ$1006,0)))),"Fix")))</f>
        <v>#N/A</v>
      </c>
      <c r="P761" s="5" t="e">
        <f ca="1">IF(OR(INDEX($AI$2:$AI$1001,MATCH(ROWS($AH$2:AH761),$AH$2:$AH$1001,0),1)&gt;=100000,INDEX($AO$1005:$BQ$1005,1,MATCH(COLUMNS($AO$1006:BC1006),$AO$1006:$BQ$1006,0))&gt;=100000), " ",IF(INDEX($AO$2:$BQ$1001,MATCH(ROWS($AH$2:AH761),$AH$2:$AH$1001,0),MATCH(COLUMNS($AO$1006:BC1006),$AO$1006:$BQ$1006,0)), HYPERLINK("#",""), HYPERLINK(CONCATENATE("#Metadata!", ADDRESS(INDEX($AJ$2:$AJ$1001,MATCH(ROWS($AH$2:AH761),$AH$2:$AH$1001,0),0), INDEX($AO$1004:$BQ$1004,1,MATCH(COLUMNS($AO$1006:BC1006),$AO$1006:$BQ$1006,0)))),"Fix")))</f>
        <v>#N/A</v>
      </c>
      <c r="Q761" s="5" t="e">
        <f ca="1">IF(OR(INDEX($AI$2:$AI$1001,MATCH(ROWS($AH$2:AH761),$AH$2:$AH$1001,0),1)&gt;=100000,INDEX($AO$1005:$BQ$1005,1,MATCH(COLUMNS($AO$1006:BD1006),$AO$1006:$BQ$1006,0))&gt;=100000), " ",IF(INDEX($AO$2:$BQ$1001,MATCH(ROWS($AH$2:AH761),$AH$2:$AH$1001,0),MATCH(COLUMNS($AO$1006:BD1006),$AO$1006:$BQ$1006,0)), HYPERLINK("#",""), HYPERLINK(CONCATENATE("#Metadata!", ADDRESS(INDEX($AJ$2:$AJ$1001,MATCH(ROWS($AH$2:AH761),$AH$2:$AH$1001,0),0), INDEX($AO$1004:$BQ$1004,1,MATCH(COLUMNS($AO$1006:BD1006),$AO$1006:$BQ$1006,0)))),"Fix")))</f>
        <v>#N/A</v>
      </c>
      <c r="R761" s="5" t="e">
        <f ca="1">IF(OR(INDEX($AI$2:$AI$1001,MATCH(ROWS($AH$2:AH761),$AH$2:$AH$1001,0),1)&gt;=100000,INDEX($AO$1005:$BQ$1005,1,MATCH(COLUMNS($AO$1006:BE1006),$AO$1006:$BQ$1006,0))&gt;=100000), " ",IF(INDEX($AO$2:$BQ$1001,MATCH(ROWS($AH$2:AH761),$AH$2:$AH$1001,0),MATCH(COLUMNS($AO$1006:BE1006),$AO$1006:$BQ$1006,0)), HYPERLINK("#",""), HYPERLINK(CONCATENATE("#Metadata!", ADDRESS(INDEX($AJ$2:$AJ$1001,MATCH(ROWS($AH$2:AH761),$AH$2:$AH$1001,0),0), INDEX($AO$1004:$BQ$1004,1,MATCH(COLUMNS($AO$1006:BE1006),$AO$1006:$BQ$1006,0)))),"Fix")))</f>
        <v>#N/A</v>
      </c>
      <c r="S761" s="5" t="e">
        <f ca="1">IF(OR(INDEX($AI$2:$AI$1001,MATCH(ROWS($AH$2:AH761),$AH$2:$AH$1001,0),1)&gt;=100000,INDEX($AO$1005:$BQ$1005,1,MATCH(COLUMNS($AO$1006:BF1006),$AO$1006:$BQ$1006,0))&gt;=100000), " ",IF(INDEX($AO$2:$BQ$1001,MATCH(ROWS($AH$2:AH761),$AH$2:$AH$1001,0),MATCH(COLUMNS($AO$1006:BF1006),$AO$1006:$BQ$1006,0)), HYPERLINK("#",""), HYPERLINK(CONCATENATE("#Metadata!", ADDRESS(INDEX($AJ$2:$AJ$1001,MATCH(ROWS($AH$2:AH761),$AH$2:$AH$1001,0),0), INDEX($AO$1004:$BQ$1004,1,MATCH(COLUMNS($AO$1006:BF1006),$AO$1006:$BQ$1006,0)))),"Fix")))</f>
        <v>#N/A</v>
      </c>
      <c r="T761" s="5" t="e">
        <f ca="1">IF(OR(INDEX($AI$2:$AI$1001,MATCH(ROWS($AH$2:AH761),$AH$2:$AH$1001,0),1)&gt;=100000,INDEX($AO$1005:$BQ$1005,1,MATCH(COLUMNS($AO$1006:BG1006),$AO$1006:$BQ$1006,0))&gt;=100000), " ",IF(INDEX($AO$2:$BQ$1001,MATCH(ROWS($AH$2:AH761),$AH$2:$AH$1001,0),MATCH(COLUMNS($AO$1006:BG1006),$AO$1006:$BQ$1006,0)), HYPERLINK("#",""), HYPERLINK(CONCATENATE("#Metadata!", ADDRESS(INDEX($AJ$2:$AJ$1001,MATCH(ROWS($AH$2:AH761),$AH$2:$AH$1001,0),0), INDEX($AO$1004:$BQ$1004,1,MATCH(COLUMNS($AO$1006:BG1006),$AO$1006:$BQ$1006,0)))),"Fix")))</f>
        <v>#N/A</v>
      </c>
      <c r="U761" s="5" t="e">
        <f ca="1">IF(OR(INDEX($AI$2:$AI$1001,MATCH(ROWS($AH$2:AH761),$AH$2:$AH$1001,0),1)&gt;=100000,INDEX($AO$1005:$BQ$1005,1,MATCH(COLUMNS($AO$1006:BH1006),$AO$1006:$BQ$1006,0))&gt;=100000), " ",IF(INDEX($AO$2:$BQ$1001,MATCH(ROWS($AH$2:AH761),$AH$2:$AH$1001,0),MATCH(COLUMNS($AO$1006:BH1006),$AO$1006:$BQ$1006,0)), HYPERLINK("#",""), HYPERLINK(CONCATENATE("#Metadata!", ADDRESS(INDEX($AJ$2:$AJ$1001,MATCH(ROWS($AH$2:AH761),$AH$2:$AH$1001,0),0), INDEX($AO$1004:$BQ$1004,1,MATCH(COLUMNS($AO$1006:BH1006),$AO$1006:$BQ$1006,0)))),"Fix")))</f>
        <v>#N/A</v>
      </c>
      <c r="V761" s="5" t="e">
        <f ca="1">IF(OR(INDEX($AI$2:$AI$1001,MATCH(ROWS($AH$2:AH761),$AH$2:$AH$1001,0),1)&gt;=100000,INDEX($AO$1005:$BQ$1005,1,MATCH(COLUMNS($AO$1006:BI1006),$AO$1006:$BQ$1006,0))&gt;=100000), " ",IF(INDEX($AO$2:$BQ$1001,MATCH(ROWS($AH$2:AH761),$AH$2:$AH$1001,0),MATCH(COLUMNS($AO$1006:BI1006),$AO$1006:$BQ$1006,0)), HYPERLINK("#",""), HYPERLINK(CONCATENATE("#Metadata!", ADDRESS(INDEX($AJ$2:$AJ$1001,MATCH(ROWS($AH$2:AH761),$AH$2:$AH$1001,0),0), INDEX($AO$1004:$BQ$1004,1,MATCH(COLUMNS($AO$1006:BI1006),$AO$1006:$BQ$1006,0)))),"Fix")))</f>
        <v>#N/A</v>
      </c>
      <c r="W761" s="5" t="e">
        <f ca="1">IF(OR(INDEX($AI$2:$AI$1001,MATCH(ROWS($AH$2:AH761),$AH$2:$AH$1001,0),1)&gt;=100000,INDEX($AO$1005:$BQ$1005,1,MATCH(COLUMNS($AO$1006:BJ1006),$AO$1006:$BQ$1006,0))&gt;=100000), " ",IF(INDEX($AO$2:$BQ$1001,MATCH(ROWS($AH$2:AH761),$AH$2:$AH$1001,0),MATCH(COLUMNS($AO$1006:BJ1006),$AO$1006:$BQ$1006,0)), HYPERLINK("#",""), HYPERLINK(CONCATENATE("#Metadata!", ADDRESS(INDEX($AJ$2:$AJ$1001,MATCH(ROWS($AH$2:AH761),$AH$2:$AH$1001,0),0), INDEX($AO$1004:$BQ$1004,1,MATCH(COLUMNS($AO$1006:BJ1006),$AO$1006:$BQ$1006,0)))),"Fix")))</f>
        <v>#N/A</v>
      </c>
      <c r="X761" s="5" t="e">
        <f ca="1">IF(OR(INDEX($AI$2:$AI$1001,MATCH(ROWS($AH$2:AH761),$AH$2:$AH$1001,0),1)&gt;=100000,INDEX($AO$1005:$BQ$1005,1,MATCH(COLUMNS($AO$1006:BK1006),$AO$1006:$BQ$1006,0))&gt;=100000), " ",IF(INDEX($AO$2:$BQ$1001,MATCH(ROWS($AH$2:AH761),$AH$2:$AH$1001,0),MATCH(COLUMNS($AO$1006:BK1006),$AO$1006:$BQ$1006,0)), HYPERLINK("#",""), HYPERLINK(CONCATENATE("#Metadata!", ADDRESS(INDEX($AJ$2:$AJ$1001,MATCH(ROWS($AH$2:AH761),$AH$2:$AH$1001,0),0), INDEX($AO$1004:$BQ$1004,1,MATCH(COLUMNS($AO$1006:BK1006),$AO$1006:$BQ$1006,0)))),"Fix")))</f>
        <v>#N/A</v>
      </c>
      <c r="Y761" s="5" t="e">
        <f ca="1">IF(OR(INDEX($AI$2:$AI$1001,MATCH(ROWS($AH$2:AH761),$AH$2:$AH$1001,0),1)&gt;=100000,INDEX($AO$1005:$BQ$1005,1,MATCH(COLUMNS($AO$1006:BL1006),$AO$1006:$BQ$1006,0))&gt;=100000), " ",IF(INDEX($AO$2:$BQ$1001,MATCH(ROWS($AH$2:AH761),$AH$2:$AH$1001,0),MATCH(COLUMNS($AO$1006:BL1006),$AO$1006:$BQ$1006,0)), HYPERLINK("#",""), HYPERLINK(CONCATENATE("#Metadata!", ADDRESS(INDEX($AJ$2:$AJ$1001,MATCH(ROWS($AH$2:AH761),$AH$2:$AH$1001,0),0), INDEX($AO$1004:$BQ$1004,1,MATCH(COLUMNS($AO$1006:BL1006),$AO$1006:$BQ$1006,0)))),"Fix")))</f>
        <v>#N/A</v>
      </c>
      <c r="Z761" s="5" t="e">
        <f ca="1">IF(OR(INDEX($AI$2:$AI$1001,MATCH(ROWS($AH$2:AH761),$AH$2:$AH$1001,0),1)&gt;=100000,INDEX($AO$1005:$BQ$1005,1,MATCH(COLUMNS($AO$1006:BM1006),$AO$1006:$BQ$1006,0))&gt;=100000), " ",IF(INDEX($AO$2:$BQ$1001,MATCH(ROWS($AH$2:AH761),$AH$2:$AH$1001,0),MATCH(COLUMNS($AO$1006:BM1006),$AO$1006:$BQ$1006,0)), HYPERLINK("#",""), HYPERLINK(CONCATENATE("#Metadata!", ADDRESS(INDEX($AJ$2:$AJ$1001,MATCH(ROWS($AH$2:AH761),$AH$2:$AH$1001,0),0), INDEX($AO$1004:$BQ$1004,1,MATCH(COLUMNS($AO$1006:BM1006),$AO$1006:$BQ$1006,0)))),"Fix")))</f>
        <v>#N/A</v>
      </c>
      <c r="AA761" s="5" t="e">
        <f ca="1">IF(OR(INDEX($AI$2:$AI$1001,MATCH(ROWS($AH$2:AH761),$AH$2:$AH$1001,0),1)&gt;=100000,INDEX($AO$1005:$BQ$1005,1,MATCH(COLUMNS($AO$1006:BN1006),$AO$1006:$BQ$1006,0))&gt;=100000), " ",IF(INDEX($AO$2:$BQ$1001,MATCH(ROWS($AH$2:AH761),$AH$2:$AH$1001,0),MATCH(COLUMNS($AO$1006:BN1006),$AO$1006:$BQ$1006,0)), HYPERLINK("#",""), HYPERLINK(CONCATENATE("#Metadata!", ADDRESS(INDEX($AJ$2:$AJ$1001,MATCH(ROWS($AH$2:AH761),$AH$2:$AH$1001,0),0), INDEX($AO$1004:$BQ$1004,1,MATCH(COLUMNS($AO$1006:BN1006),$AO$1006:$BQ$1006,0)))),"Fix")))</f>
        <v>#N/A</v>
      </c>
      <c r="AB761" s="5" t="e">
        <f ca="1">IF(OR(INDEX($AI$2:$AI$1001,MATCH(ROWS($AH$2:AH761),$AH$2:$AH$1001,0),1)&gt;=100000,INDEX($AO$1005:$BQ$1005,1,MATCH(COLUMNS($AO$1006:BO1006),$AO$1006:$BQ$1006,0))&gt;=100000), " ",IF(INDEX($AO$2:$BQ$1001,MATCH(ROWS($AH$2:AH761),$AH$2:$AH$1001,0),MATCH(COLUMNS($AO$1006:BO1006),$AO$1006:$BQ$1006,0)), HYPERLINK("#",""), HYPERLINK(CONCATENATE("#Metadata!", ADDRESS(INDEX($AJ$2:$AJ$1001,MATCH(ROWS($AH$2:AH761),$AH$2:$AH$1001,0),0), INDEX($AO$1004:$BQ$1004,1,MATCH(COLUMNS($AO$1006:BO1006),$AO$1006:$BQ$1006,0)))),"Fix")))</f>
        <v>#N/A</v>
      </c>
      <c r="AC761" s="5" t="e">
        <f ca="1">IF(OR(INDEX($AI$2:$AI$1001,MATCH(ROWS($AH$2:AH761),$AH$2:$AH$1001,0),1)&gt;=100000,INDEX($AO$1005:$BQ$1005,1,MATCH(COLUMNS($AO$1006:BP1006),$AO$1006:$BQ$1006,0))&gt;=100000), " ",IF(INDEX($AO$2:$BQ$1001,MATCH(ROWS($AH$2:AH761),$AH$2:$AH$1001,0),MATCH(COLUMNS($AO$1006:BP1006),$AO$1006:$BQ$1006,0)), HYPERLINK("#",""), HYPERLINK(CONCATENATE("#Metadata!", ADDRESS(INDEX($AJ$2:$AJ$1001,MATCH(ROWS($AH$2:AH761),$AH$2:$AH$1001,0),0), INDEX($AO$1004:$BQ$1004,1,MATCH(COLUMNS($AO$1006:BP1006),$AO$1006:$BQ$1006,0)))),"Fix")))</f>
        <v>#N/A</v>
      </c>
      <c r="AD761" s="5" t="e">
        <f ca="1">IF(OR(INDEX($AI$2:$AI$1001,MATCH(ROWS($AH$2:AH761),$AH$2:$AH$1001,0),1)&gt;=100000,INDEX($AO$1005:$BQ$1005,1,MATCH(COLUMNS($AO$1006:BQ1006),$AO$1006:$BQ$1006,0))&gt;=100000), " ",IF(INDEX($AO$2:$BQ$1001,MATCH(ROWS($AH$2:AH761),$AH$2:$AH$1001,0),MATCH(COLUMNS($AO$1006:BQ1006),$AO$1006:$BQ$1006,0)), HYPERLINK("#",""), HYPERLINK(CONCATENATE("#Metadata!", ADDRESS(INDEX($AJ$2:$AJ$1001,MATCH(ROWS($AH$2:AH761),$AH$2:$AH$1001,0),0), INDEX($AO$1004:$BQ$1004,1,MATCH(COLUMNS($AO$1006:BQ1006),$AO$1006:$BQ$1006,0)))),"Fix")))</f>
        <v>#REF!</v>
      </c>
      <c r="AH761">
        <f ca="1"/>
        <v>758</v>
      </c>
      <c r="AI761">
        <v>100761</v>
      </c>
      <c r="AJ761">
        <v>761</v>
      </c>
      <c r="AK761" t="b">
        <f t="shared" si="11"/>
        <v>1</v>
      </c>
      <c r="AL761" t="b">
        <f>COUNTBLANK(Metadata!B761:AD761)=COLUMNS(Metadata!B761:AD761)</f>
        <v>1</v>
      </c>
      <c r="AM761" t="str">
        <v/>
      </c>
      <c r="AO761" t="b">
        <f ca="1">AND(IF(Metadata!B761="",FALSE,TRUE),COUNTIF(Metadata!B:B, Metadata!B761) = 1,NOT(ISERROR(SUMPRODUCT(SEARCH(MID(Metadata!B761,ROW(INDIRECT("1:"&amp;LEN(Metadata!B761))), 1),"0123456789abcdefghijklmnopqrstuvwxyzABCDEFGHIJKLMNOPQRSTUVWXYZ.")))))</f>
        <v>0</v>
      </c>
      <c r="AP761" t="b">
        <f>IF(Metadata!C761="",FALSE,TRUE)</f>
        <v>0</v>
      </c>
      <c r="AQ761" t="b">
        <f>IF(Metadata!D761="",FALSE,TRUE)</f>
        <v>0</v>
      </c>
      <c r="AR761" t="b">
        <f ca="1">OR(AND(IF(Metadata!E761="",FALSE,TRUE),OR(EXACT(Metadata!E761,"not collected"),EXACT(Metadata!E761,"not provided"),EXACT(Metadata!E761,"restricted access"))),AND(IF(Metadata!E761="",FALSE,TRUE),AND(AND(IFERROR(INT(LEFT(Metadata!E761,4))&gt;1900,FALSE),IFERROR(INT(LEFT(Metadata!E761,4))&lt;=YEAR(NOW()),FALSE)), OR(MID(Metadata!E761,5,1)="", AND(AND(MID(Metadata!E761,5,1)="-",IFERROR(INT(MID(Metadata!E761,6,1))&gt;=0,FALSE),IFERROR(INT(MID(Metadata!E761,6,1))&lt;=1,FALSE),NOT(MID(Metadata!E761,7,1)=""),IFERROR(INT(MID(Metadata!E761,6,2))&gt;=1,FALSE),IFERROR(INT(MID(Metadata!E761,6,2))&lt;=12,FALSE)), OR(MID(Metadata!E761,8,1)="", AND(AND(MID(Metadata!E761,8,1)="-",IFERROR(INT(MID(Metadata!E761,9,1))&gt;=0,FALSE),IFERROR(INT(MID(Metadata!E761,9,1))&lt;=3,FALSE),NOT(MID(Metadata!E761,10,1)=""),IFERROR(INT(MID(Metadata!E761,9,2))&gt;=1,FALSE),IFERROR(INT(MID(Metadata!E761,9,2))&lt;=31,FALSE)), OR(MID(Metadata!E761,11,1)="", AND(AND(MID(Metadata!E761,11,1)=" ",IFERROR(INT(MID(Metadata!E761,12,1))&gt;=0,FALSE),IFERROR(INT(MID(Metadata!E761,12,1))&lt;=2,FALSE),NOT(MID(Metadata!E761,13,1)=""),IFERROR(INT(MID(Metadata!E761,12,2))&gt;=0,FALSE),IFERROR(INT(MID(Metadata!E761,12,2))&lt;=23,FALSE)), OR(MID(Metadata!E761,14,1)="", AND(AND(MID(Metadata!E761,14,1)=":",IFERROR(INT(MID(Metadata!E761,15,1))&gt;=0,FALSE),IFERROR(INT(MID(Metadata!E761,15,1))&lt;=5,FALSE),NOT(MID(Metadata!E761,16,1)=""),IFERROR(INT(MID(Metadata!E761,15,2))&gt;=0,FALSE),IFERROR(INT(MID(Metadata!E761,15,2))&lt;=59,FALSE)), OR(MID(Metadata!E761,17,1)="", AND(AND(MID(Metadata!E761,17,1)=":",IFERROR(INT(MID(Metadata!E761,18,1))&gt;=0,FALSE),IFERROR(INT(MID(Metadata!E761,18,1))&lt;=5,FALSE),NOT(MID(Metadata!E761,19,1)=""),IFERROR(INT(MID(Metadata!E761,18,2))&gt;=0,FALSE),IFERROR(INT(MID(Metadata!E761,18,2))&lt;=59,FALSE)), LEN(Metadata!E761)&lt;=19)))))))))))))</f>
        <v>0</v>
      </c>
      <c r="AS761" t="b">
        <f>IF(Metadata!F761="",FALSE,TRUE)</f>
        <v>0</v>
      </c>
      <c r="AT761" t="b">
        <f>OR(AND(IF(Metadata!G761="",FALSE,TRUE),OR(EXACT(Metadata!G761,"not collected"),EXACT(Metadata!G761,"not provided"))),AND(IF(Metadata!G761="",FALSE,TRUE),OR(EXACT(Metadata!G761,"TRUE"),EXACT(Metadata!G761,"FALSE"))))</f>
        <v>0</v>
      </c>
      <c r="AU761" t="b">
        <f>OR(AND(IF(Metadata!H761="",FALSE,TRUE),OR(EXACT(Metadata!H761,"not collected"),EXACT(Metadata!H761,"not provided"),EXACT(Metadata!H761,"restricted access"))),AND(IF(Metadata!H761="",FALSE,ISNUMBER(VALUE(Metadata!H761))),Metadata!H761&gt;=-413))</f>
        <v>0</v>
      </c>
      <c r="AV761" t="b">
        <f>AND(IF(Metadata!I761="",FALSE,TRUE),EXACT(Metadata!I761,"meters"))</f>
        <v>0</v>
      </c>
      <c r="AW761" t="b">
        <f>AND(IF(Metadata!J761="",FALSE,TRUE),EXACT(Metadata!J761,"free-living"))</f>
        <v>0</v>
      </c>
      <c r="AX761" t="b">
        <f>AND(IF(Metadata!K761="",FALSE,TRUE),OR(EXACT(Metadata!K761,"saline"),EXACT(Metadata!K761,"non-saline")))</f>
        <v>0</v>
      </c>
      <c r="AY761" t="b">
        <f>AND(IF(Metadata!L761="",FALSE,TRUE),OR(EXACT(Metadata!L761,"sub-surface (non-saline)"),EXACT(Metadata!L761,"surface (non-saline)"),EXACT(Metadata!L761,"water (non-saline)"),EXACT(Metadata!L761,"soil (non-saline)"),EXACT(Metadata!L761,"aerosol (non-saline)"),EXACT(Metadata!L761,"sediment (non-saline)"),EXACT(Metadata!L761,"surface (saline)"),EXACT(Metadata!L761,"water (saline)"),EXACT(Metadata!L761,"hypersaline (saline)"),EXACT(Metadata!L761,"aerosol (saline)"),EXACT(Metadata!L761,"sediment (saline)")))</f>
        <v>0</v>
      </c>
      <c r="AZ761" t="b">
        <f>IF(Metadata!M761="",FALSE,TRUE)</f>
        <v>0</v>
      </c>
      <c r="BA761" t="b">
        <f>IF(Metadata!N761="",FALSE,TRUE)</f>
        <v>0</v>
      </c>
      <c r="BB761" t="b">
        <f>IF(Metadata!O761="",FALSE,TRUE)</f>
        <v>0</v>
      </c>
      <c r="BC761" t="b">
        <f>AND(IF(Metadata!P761="",FALSE,TRUE),OR(EXACT(Metadata!P761,"air"),EXACT(Metadata!P761,"microbial mat/biofilm"),EXACT(Metadata!P761,"misc environment"),EXACT(Metadata!P761,"sediment"),EXACT(Metadata!P761,"soil"),EXACT(Metadata!P761,"wastewater/sludge"),EXACT(Metadata!P761,"water")))</f>
        <v>0</v>
      </c>
      <c r="BD761" t="b">
        <f>IF(Metadata!Q761="",FALSE,TRUE)</f>
        <v>0</v>
      </c>
      <c r="BE761" t="b">
        <f>IF(Metadata!R761="",FALSE,TRUE)</f>
        <v>0</v>
      </c>
      <c r="BF761" t="b">
        <f>OR(AND(IF(Metadata!S761="",FALSE,TRUE),OR(EXACT(Metadata!S761,"not collected"),EXACT(Metadata!S761,"not provided"),EXACT(Metadata!S761,"restricted access"))),AND(IF(Metadata!S761="",FALSE,ISNUMBER(VALUE(Metadata!S761))),Metadata!S761&gt;=-90,Metadata!S761&lt;=90))</f>
        <v>0</v>
      </c>
      <c r="BG761" t="b">
        <f>AND(IF(Metadata!T761="",FALSE,TRUE),EXACT(Metadata!T761,"Decimal degrees"))</f>
        <v>0</v>
      </c>
      <c r="BH761" t="b">
        <f>OR(AND(IF(Metadata!U761="",FALSE,TRUE),OR(EXACT(Metadata!U761,"not applicable"),EXACT(Metadata!U761,"not collected"))),IF(Metadata!U761="",FALSE,TRUE))</f>
        <v>0</v>
      </c>
      <c r="BI761" t="b">
        <f>OR(AND(IF(Metadata!V761="",FALSE,TRUE),OR(EXACT(Metadata!V761,"not collected"),EXACT(Metadata!V761,"not provided"),EXACT(Metadata!V761,"restricted access"))),AND(IF(Metadata!V761="",FALSE,ISNUMBER(VALUE(Metadata!V761))),Metadata!V761&gt;=-180,Metadata!V761&lt;=180))</f>
        <v>0</v>
      </c>
      <c r="BJ761" t="b">
        <f>AND(IF(Metadata!W761="",FALSE,TRUE),EXACT(Metadata!W761,"Decimal degrees"))</f>
        <v>0</v>
      </c>
      <c r="BK761" t="b">
        <f>IF(Metadata!X761="",FALSE,TRUE)</f>
        <v>0</v>
      </c>
      <c r="BL761" t="b">
        <f>OR(AND(IF(Metadata!Y761="",FALSE,TRUE),OR(EXACT(Metadata!Y761,"not collected"),EXACT(Metadata!Y761,"not provided"),EXACT(Metadata!Y761,"restricted access"))),AND(IF(Metadata!Y761="",FALSE,TRUE),OR(EXACT(Metadata!Y761,"TRUE"),EXACT(Metadata!Y761,"FALSE"))))</f>
        <v>0</v>
      </c>
      <c r="BM761" t="b">
        <f>OR(AND(IF(Metadata!Z761="",FALSE,TRUE),EXACT(Metadata!Z761,"not applicable")),AND(IF(Metadata!Z761="",FALSE,TRUE),OR(EXACT(Metadata!Z761,"beer"),EXACT(Metadata!Z761,"cheese"),EXACT(Metadata!Z761,"fresh water"),EXACT(Metadata!Z761,"marine sediment"),EXACT(Metadata!Z761,"sea water"),EXACT(Metadata!Z761,"sediment"),EXACT(Metadata!Z761,"soil"),EXACT(Metadata!Z761,"waste water"))))</f>
        <v>0</v>
      </c>
      <c r="BN761" t="b">
        <f>AND(IF(Metadata!AA761="",FALSE,TRUE),EXACT(Metadata!AA761,"metagenome"))</f>
        <v>0</v>
      </c>
      <c r="BO761" t="b">
        <f>AND(IF(Metadata!AB761="",FALSE,TRUE),EXACT(Metadata!AB761,"256318"))</f>
        <v>0</v>
      </c>
      <c r="BP761" t="b">
        <f>IF(Metadata!AC761="",FALSE,TRUE)</f>
        <v>0</v>
      </c>
      <c r="BQ761" t="b">
        <f>IF(Metadata!AD761="",FALSE,TRUE)</f>
        <v>0</v>
      </c>
    </row>
    <row r="762" spans="1:69" x14ac:dyDescent="0.2">
      <c r="A762" s="4" t="e">
        <f ca="1">IF(B762=" "," ",HYPERLINK(CONCATENATE("#metadata!",ADDRESS(INDEX($AJ$2:$AJ$1001,MATCH(ROWS($AH$2:AH762),$AH$2:$AH$1001,0),0),2)),INDEX($AM$2:$AM$1001,MATCH(ROWS($AH$2:AH762),$AH$2:$AH$1001,0),0)))</f>
        <v>#N/A</v>
      </c>
      <c r="B762" s="5" t="e">
        <f ca="1">IF(OR(INDEX($AI$2:$AI$1001,MATCH(ROWS($AH$2:AH762),$AH$2:$AH$1001,0),1)&gt;=100000,INDEX($AO$1005:$BQ$1005,1,MATCH(COLUMNS($AO$1006:AO1006),$AO$1006:$BQ$1006,0))&gt;=100000), " ",IF(INDEX($AO$2:$BQ$1001,MATCH(ROWS($AH$2:AH762),$AH$2:$AH$1001,0),MATCH(COLUMNS($AO$1006:AO1006),$AO$1006:$BQ$1006,0)), HYPERLINK("#",""), HYPERLINK(CONCATENATE("#Metadata!", ADDRESS(INDEX($AJ$2:$AJ$1001,MATCH(ROWS($AH$2:AH762),$AH$2:$AH$1001,0),0), INDEX($AO$1004:$BQ$1004,1,MATCH(COLUMNS($AO$1006:AO1006),$AO$1006:$BQ$1006,0)))),"Fix")))</f>
        <v>#N/A</v>
      </c>
      <c r="C762" s="5" t="e">
        <f ca="1">IF(OR(INDEX($AI$2:$AI$1001,MATCH(ROWS($AH$2:AH762),$AH$2:$AH$1001,0),1)&gt;=100000,INDEX($AO$1005:$BQ$1005,1,MATCH(COLUMNS($AO$1006:AP1006),$AO$1006:$BQ$1006,0))&gt;=100000), " ",IF(INDEX($AO$2:$BQ$1001,MATCH(ROWS($AH$2:AH762),$AH$2:$AH$1001,0),MATCH(COLUMNS($AO$1006:AP1006),$AO$1006:$BQ$1006,0)), HYPERLINK("#",""), HYPERLINK(CONCATENATE("#Metadata!", ADDRESS(INDEX($AJ$2:$AJ$1001,MATCH(ROWS($AH$2:AH762),$AH$2:$AH$1001,0),0), INDEX($AO$1004:$BQ$1004,1,MATCH(COLUMNS($AO$1006:AP1006),$AO$1006:$BQ$1006,0)))),"Fix")))</f>
        <v>#N/A</v>
      </c>
      <c r="D762" s="5" t="e">
        <f ca="1">IF(OR(INDEX($AI$2:$AI$1001,MATCH(ROWS($AH$2:AH762),$AH$2:$AH$1001,0),1)&gt;=100000,INDEX($AO$1005:$BQ$1005,1,MATCH(COLUMNS($AO$1006:AQ1006),$AO$1006:$BQ$1006,0))&gt;=100000), " ",IF(INDEX($AO$2:$BQ$1001,MATCH(ROWS($AH$2:AH762),$AH$2:$AH$1001,0),MATCH(COLUMNS($AO$1006:AQ1006),$AO$1006:$BQ$1006,0)), HYPERLINK("#",""), HYPERLINK(CONCATENATE("#Metadata!", ADDRESS(INDEX($AJ$2:$AJ$1001,MATCH(ROWS($AH$2:AH762),$AH$2:$AH$1001,0),0), INDEX($AO$1004:$BQ$1004,1,MATCH(COLUMNS($AO$1006:AQ1006),$AO$1006:$BQ$1006,0)))),"Fix")))</f>
        <v>#N/A</v>
      </c>
      <c r="E762" s="5" t="e">
        <f ca="1">IF(OR(INDEX($AI$2:$AI$1001,MATCH(ROWS($AH$2:AH762),$AH$2:$AH$1001,0),1)&gt;=100000,INDEX($AO$1005:$BQ$1005,1,MATCH(COLUMNS($AO$1006:AR1006),$AO$1006:$BQ$1006,0))&gt;=100000), " ",IF(INDEX($AO$2:$BQ$1001,MATCH(ROWS($AH$2:AH762),$AH$2:$AH$1001,0),MATCH(COLUMNS($AO$1006:AR1006),$AO$1006:$BQ$1006,0)), HYPERLINK("#",""), HYPERLINK(CONCATENATE("#Metadata!", ADDRESS(INDEX($AJ$2:$AJ$1001,MATCH(ROWS($AH$2:AH762),$AH$2:$AH$1001,0),0), INDEX($AO$1004:$BQ$1004,1,MATCH(COLUMNS($AO$1006:AR1006),$AO$1006:$BQ$1006,0)))),"Fix")))</f>
        <v>#N/A</v>
      </c>
      <c r="F762" s="5" t="e">
        <f ca="1">IF(OR(INDEX($AI$2:$AI$1001,MATCH(ROWS($AH$2:AH762),$AH$2:$AH$1001,0),1)&gt;=100000,INDEX($AO$1005:$BQ$1005,1,MATCH(COLUMNS($AO$1006:AS1006),$AO$1006:$BQ$1006,0))&gt;=100000), " ",IF(INDEX($AO$2:$BQ$1001,MATCH(ROWS($AH$2:AH762),$AH$2:$AH$1001,0),MATCH(COLUMNS($AO$1006:AS1006),$AO$1006:$BQ$1006,0)), HYPERLINK("#",""), HYPERLINK(CONCATENATE("#Metadata!", ADDRESS(INDEX($AJ$2:$AJ$1001,MATCH(ROWS($AH$2:AH762),$AH$2:$AH$1001,0),0), INDEX($AO$1004:$BQ$1004,1,MATCH(COLUMNS($AO$1006:AS1006),$AO$1006:$BQ$1006,0)))),"Fix")))</f>
        <v>#N/A</v>
      </c>
      <c r="G762" s="5" t="e">
        <f ca="1">IF(OR(INDEX($AI$2:$AI$1001,MATCH(ROWS($AH$2:AH762),$AH$2:$AH$1001,0),1)&gt;=100000,INDEX($AO$1005:$BQ$1005,1,MATCH(COLUMNS($AO$1006:AT1006),$AO$1006:$BQ$1006,0))&gt;=100000), " ",IF(INDEX($AO$2:$BQ$1001,MATCH(ROWS($AH$2:AH762),$AH$2:$AH$1001,0),MATCH(COLUMNS($AO$1006:AT1006),$AO$1006:$BQ$1006,0)), HYPERLINK("#",""), HYPERLINK(CONCATENATE("#Metadata!", ADDRESS(INDEX($AJ$2:$AJ$1001,MATCH(ROWS($AH$2:AH762),$AH$2:$AH$1001,0),0), INDEX($AO$1004:$BQ$1004,1,MATCH(COLUMNS($AO$1006:AT1006),$AO$1006:$BQ$1006,0)))),"Fix")))</f>
        <v>#N/A</v>
      </c>
      <c r="H762" s="5" t="e">
        <f ca="1">IF(OR(INDEX($AI$2:$AI$1001,MATCH(ROWS($AH$2:AH762),$AH$2:$AH$1001,0),1)&gt;=100000,INDEX($AO$1005:$BQ$1005,1,MATCH(COLUMNS($AO$1006:AU1006),$AO$1006:$BQ$1006,0))&gt;=100000), " ",IF(INDEX($AO$2:$BQ$1001,MATCH(ROWS($AH$2:AH762),$AH$2:$AH$1001,0),MATCH(COLUMNS($AO$1006:AU1006),$AO$1006:$BQ$1006,0)), HYPERLINK("#",""), HYPERLINK(CONCATENATE("#Metadata!", ADDRESS(INDEX($AJ$2:$AJ$1001,MATCH(ROWS($AH$2:AH762),$AH$2:$AH$1001,0),0), INDEX($AO$1004:$BQ$1004,1,MATCH(COLUMNS($AO$1006:AU1006),$AO$1006:$BQ$1006,0)))),"Fix")))</f>
        <v>#N/A</v>
      </c>
      <c r="I762" s="5" t="e">
        <f ca="1">IF(OR(INDEX($AI$2:$AI$1001,MATCH(ROWS($AH$2:AH762),$AH$2:$AH$1001,0),1)&gt;=100000,INDEX($AO$1005:$BQ$1005,1,MATCH(COLUMNS($AO$1006:AV1006),$AO$1006:$BQ$1006,0))&gt;=100000), " ",IF(INDEX($AO$2:$BQ$1001,MATCH(ROWS($AH$2:AH762),$AH$2:$AH$1001,0),MATCH(COLUMNS($AO$1006:AV1006),$AO$1006:$BQ$1006,0)), HYPERLINK("#",""), HYPERLINK(CONCATENATE("#Metadata!", ADDRESS(INDEX($AJ$2:$AJ$1001,MATCH(ROWS($AH$2:AH762),$AH$2:$AH$1001,0),0), INDEX($AO$1004:$BQ$1004,1,MATCH(COLUMNS($AO$1006:AV1006),$AO$1006:$BQ$1006,0)))),"Fix")))</f>
        <v>#N/A</v>
      </c>
      <c r="J762" s="5" t="e">
        <f ca="1">IF(OR(INDEX($AI$2:$AI$1001,MATCH(ROWS($AH$2:AH762),$AH$2:$AH$1001,0),1)&gt;=100000,INDEX($AO$1005:$BQ$1005,1,MATCH(COLUMNS($AO$1006:AW1006),$AO$1006:$BQ$1006,0))&gt;=100000), " ",IF(INDEX($AO$2:$BQ$1001,MATCH(ROWS($AH$2:AH762),$AH$2:$AH$1001,0),MATCH(COLUMNS($AO$1006:AW1006),$AO$1006:$BQ$1006,0)), HYPERLINK("#",""), HYPERLINK(CONCATENATE("#Metadata!", ADDRESS(INDEX($AJ$2:$AJ$1001,MATCH(ROWS($AH$2:AH762),$AH$2:$AH$1001,0),0), INDEX($AO$1004:$BQ$1004,1,MATCH(COLUMNS($AO$1006:AW1006),$AO$1006:$BQ$1006,0)))),"Fix")))</f>
        <v>#N/A</v>
      </c>
      <c r="K762" s="5" t="e">
        <f ca="1">IF(OR(INDEX($AI$2:$AI$1001,MATCH(ROWS($AH$2:AH762),$AH$2:$AH$1001,0),1)&gt;=100000,INDEX($AO$1005:$BQ$1005,1,MATCH(COLUMNS($AO$1006:AX1006),$AO$1006:$BQ$1006,0))&gt;=100000), " ",IF(INDEX($AO$2:$BQ$1001,MATCH(ROWS($AH$2:AH762),$AH$2:$AH$1001,0),MATCH(COLUMNS($AO$1006:AX1006),$AO$1006:$BQ$1006,0)), HYPERLINK("#",""), HYPERLINK(CONCATENATE("#Metadata!", ADDRESS(INDEX($AJ$2:$AJ$1001,MATCH(ROWS($AH$2:AH762),$AH$2:$AH$1001,0),0), INDEX($AO$1004:$BQ$1004,1,MATCH(COLUMNS($AO$1006:AX1006),$AO$1006:$BQ$1006,0)))),"Fix")))</f>
        <v>#N/A</v>
      </c>
      <c r="L762" s="5" t="e">
        <f ca="1">IF(OR(INDEX($AI$2:$AI$1001,MATCH(ROWS($AH$2:AH762),$AH$2:$AH$1001,0),1)&gt;=100000,INDEX($AO$1005:$BQ$1005,1,MATCH(COLUMNS($AO$1006:AY1006),$AO$1006:$BQ$1006,0))&gt;=100000), " ",IF(INDEX($AO$2:$BQ$1001,MATCH(ROWS($AH$2:AH762),$AH$2:$AH$1001,0),MATCH(COLUMNS($AO$1006:AY1006),$AO$1006:$BQ$1006,0)), HYPERLINK("#",""), HYPERLINK(CONCATENATE("#Metadata!", ADDRESS(INDEX($AJ$2:$AJ$1001,MATCH(ROWS($AH$2:AH762),$AH$2:$AH$1001,0),0), INDEX($AO$1004:$BQ$1004,1,MATCH(COLUMNS($AO$1006:AY1006),$AO$1006:$BQ$1006,0)))),"Fix")))</f>
        <v>#N/A</v>
      </c>
      <c r="M762" s="5" t="e">
        <f ca="1">IF(OR(INDEX($AI$2:$AI$1001,MATCH(ROWS($AH$2:AH762),$AH$2:$AH$1001,0),1)&gt;=100000,INDEX($AO$1005:$BQ$1005,1,MATCH(COLUMNS($AO$1006:AZ1006),$AO$1006:$BQ$1006,0))&gt;=100000), " ",IF(INDEX($AO$2:$BQ$1001,MATCH(ROWS($AH$2:AH762),$AH$2:$AH$1001,0),MATCH(COLUMNS($AO$1006:AZ1006),$AO$1006:$BQ$1006,0)), HYPERLINK("#",""), HYPERLINK(CONCATENATE("#Metadata!", ADDRESS(INDEX($AJ$2:$AJ$1001,MATCH(ROWS($AH$2:AH762),$AH$2:$AH$1001,0),0), INDEX($AO$1004:$BQ$1004,1,MATCH(COLUMNS($AO$1006:AZ1006),$AO$1006:$BQ$1006,0)))),"Fix")))</f>
        <v>#N/A</v>
      </c>
      <c r="N762" s="5" t="e">
        <f ca="1">IF(OR(INDEX($AI$2:$AI$1001,MATCH(ROWS($AH$2:AH762),$AH$2:$AH$1001,0),1)&gt;=100000,INDEX($AO$1005:$BQ$1005,1,MATCH(COLUMNS($AO$1006:BA1006),$AO$1006:$BQ$1006,0))&gt;=100000), " ",IF(INDEX($AO$2:$BQ$1001,MATCH(ROWS($AH$2:AH762),$AH$2:$AH$1001,0),MATCH(COLUMNS($AO$1006:BA1006),$AO$1006:$BQ$1006,0)), HYPERLINK("#",""), HYPERLINK(CONCATENATE("#Metadata!", ADDRESS(INDEX($AJ$2:$AJ$1001,MATCH(ROWS($AH$2:AH762),$AH$2:$AH$1001,0),0), INDEX($AO$1004:$BQ$1004,1,MATCH(COLUMNS($AO$1006:BA1006),$AO$1006:$BQ$1006,0)))),"Fix")))</f>
        <v>#N/A</v>
      </c>
      <c r="O762" s="5" t="e">
        <f ca="1">IF(OR(INDEX($AI$2:$AI$1001,MATCH(ROWS($AH$2:AH762),$AH$2:$AH$1001,0),1)&gt;=100000,INDEX($AO$1005:$BQ$1005,1,MATCH(COLUMNS($AO$1006:BB1006),$AO$1006:$BQ$1006,0))&gt;=100000), " ",IF(INDEX($AO$2:$BQ$1001,MATCH(ROWS($AH$2:AH762),$AH$2:$AH$1001,0),MATCH(COLUMNS($AO$1006:BB1006),$AO$1006:$BQ$1006,0)), HYPERLINK("#",""), HYPERLINK(CONCATENATE("#Metadata!", ADDRESS(INDEX($AJ$2:$AJ$1001,MATCH(ROWS($AH$2:AH762),$AH$2:$AH$1001,0),0), INDEX($AO$1004:$BQ$1004,1,MATCH(COLUMNS($AO$1006:BB1006),$AO$1006:$BQ$1006,0)))),"Fix")))</f>
        <v>#N/A</v>
      </c>
      <c r="P762" s="5" t="e">
        <f ca="1">IF(OR(INDEX($AI$2:$AI$1001,MATCH(ROWS($AH$2:AH762),$AH$2:$AH$1001,0),1)&gt;=100000,INDEX($AO$1005:$BQ$1005,1,MATCH(COLUMNS($AO$1006:BC1006),$AO$1006:$BQ$1006,0))&gt;=100000), " ",IF(INDEX($AO$2:$BQ$1001,MATCH(ROWS($AH$2:AH762),$AH$2:$AH$1001,0),MATCH(COLUMNS($AO$1006:BC1006),$AO$1006:$BQ$1006,0)), HYPERLINK("#",""), HYPERLINK(CONCATENATE("#Metadata!", ADDRESS(INDEX($AJ$2:$AJ$1001,MATCH(ROWS($AH$2:AH762),$AH$2:$AH$1001,0),0), INDEX($AO$1004:$BQ$1004,1,MATCH(COLUMNS($AO$1006:BC1006),$AO$1006:$BQ$1006,0)))),"Fix")))</f>
        <v>#N/A</v>
      </c>
      <c r="Q762" s="5" t="e">
        <f ca="1">IF(OR(INDEX($AI$2:$AI$1001,MATCH(ROWS($AH$2:AH762),$AH$2:$AH$1001,0),1)&gt;=100000,INDEX($AO$1005:$BQ$1005,1,MATCH(COLUMNS($AO$1006:BD1006),$AO$1006:$BQ$1006,0))&gt;=100000), " ",IF(INDEX($AO$2:$BQ$1001,MATCH(ROWS($AH$2:AH762),$AH$2:$AH$1001,0),MATCH(COLUMNS($AO$1006:BD1006),$AO$1006:$BQ$1006,0)), HYPERLINK("#",""), HYPERLINK(CONCATENATE("#Metadata!", ADDRESS(INDEX($AJ$2:$AJ$1001,MATCH(ROWS($AH$2:AH762),$AH$2:$AH$1001,0),0), INDEX($AO$1004:$BQ$1004,1,MATCH(COLUMNS($AO$1006:BD1006),$AO$1006:$BQ$1006,0)))),"Fix")))</f>
        <v>#N/A</v>
      </c>
      <c r="R762" s="5" t="e">
        <f ca="1">IF(OR(INDEX($AI$2:$AI$1001,MATCH(ROWS($AH$2:AH762),$AH$2:$AH$1001,0),1)&gt;=100000,INDEX($AO$1005:$BQ$1005,1,MATCH(COLUMNS($AO$1006:BE1006),$AO$1006:$BQ$1006,0))&gt;=100000), " ",IF(INDEX($AO$2:$BQ$1001,MATCH(ROWS($AH$2:AH762),$AH$2:$AH$1001,0),MATCH(COLUMNS($AO$1006:BE1006),$AO$1006:$BQ$1006,0)), HYPERLINK("#",""), HYPERLINK(CONCATENATE("#Metadata!", ADDRESS(INDEX($AJ$2:$AJ$1001,MATCH(ROWS($AH$2:AH762),$AH$2:$AH$1001,0),0), INDEX($AO$1004:$BQ$1004,1,MATCH(COLUMNS($AO$1006:BE1006),$AO$1006:$BQ$1006,0)))),"Fix")))</f>
        <v>#N/A</v>
      </c>
      <c r="S762" s="5" t="e">
        <f ca="1">IF(OR(INDEX($AI$2:$AI$1001,MATCH(ROWS($AH$2:AH762),$AH$2:$AH$1001,0),1)&gt;=100000,INDEX($AO$1005:$BQ$1005,1,MATCH(COLUMNS($AO$1006:BF1006),$AO$1006:$BQ$1006,0))&gt;=100000), " ",IF(INDEX($AO$2:$BQ$1001,MATCH(ROWS($AH$2:AH762),$AH$2:$AH$1001,0),MATCH(COLUMNS($AO$1006:BF1006),$AO$1006:$BQ$1006,0)), HYPERLINK("#",""), HYPERLINK(CONCATENATE("#Metadata!", ADDRESS(INDEX($AJ$2:$AJ$1001,MATCH(ROWS($AH$2:AH762),$AH$2:$AH$1001,0),0), INDEX($AO$1004:$BQ$1004,1,MATCH(COLUMNS($AO$1006:BF1006),$AO$1006:$BQ$1006,0)))),"Fix")))</f>
        <v>#N/A</v>
      </c>
      <c r="T762" s="5" t="e">
        <f ca="1">IF(OR(INDEX($AI$2:$AI$1001,MATCH(ROWS($AH$2:AH762),$AH$2:$AH$1001,0),1)&gt;=100000,INDEX($AO$1005:$BQ$1005,1,MATCH(COLUMNS($AO$1006:BG1006),$AO$1006:$BQ$1006,0))&gt;=100000), " ",IF(INDEX($AO$2:$BQ$1001,MATCH(ROWS($AH$2:AH762),$AH$2:$AH$1001,0),MATCH(COLUMNS($AO$1006:BG1006),$AO$1006:$BQ$1006,0)), HYPERLINK("#",""), HYPERLINK(CONCATENATE("#Metadata!", ADDRESS(INDEX($AJ$2:$AJ$1001,MATCH(ROWS($AH$2:AH762),$AH$2:$AH$1001,0),0), INDEX($AO$1004:$BQ$1004,1,MATCH(COLUMNS($AO$1006:BG1006),$AO$1006:$BQ$1006,0)))),"Fix")))</f>
        <v>#N/A</v>
      </c>
      <c r="U762" s="5" t="e">
        <f ca="1">IF(OR(INDEX($AI$2:$AI$1001,MATCH(ROWS($AH$2:AH762),$AH$2:$AH$1001,0),1)&gt;=100000,INDEX($AO$1005:$BQ$1005,1,MATCH(COLUMNS($AO$1006:BH1006),$AO$1006:$BQ$1006,0))&gt;=100000), " ",IF(INDEX($AO$2:$BQ$1001,MATCH(ROWS($AH$2:AH762),$AH$2:$AH$1001,0),MATCH(COLUMNS($AO$1006:BH1006),$AO$1006:$BQ$1006,0)), HYPERLINK("#",""), HYPERLINK(CONCATENATE("#Metadata!", ADDRESS(INDEX($AJ$2:$AJ$1001,MATCH(ROWS($AH$2:AH762),$AH$2:$AH$1001,0),0), INDEX($AO$1004:$BQ$1004,1,MATCH(COLUMNS($AO$1006:BH1006),$AO$1006:$BQ$1006,0)))),"Fix")))</f>
        <v>#N/A</v>
      </c>
      <c r="V762" s="5" t="e">
        <f ca="1">IF(OR(INDEX($AI$2:$AI$1001,MATCH(ROWS($AH$2:AH762),$AH$2:$AH$1001,0),1)&gt;=100000,INDEX($AO$1005:$BQ$1005,1,MATCH(COLUMNS($AO$1006:BI1006),$AO$1006:$BQ$1006,0))&gt;=100000), " ",IF(INDEX($AO$2:$BQ$1001,MATCH(ROWS($AH$2:AH762),$AH$2:$AH$1001,0),MATCH(COLUMNS($AO$1006:BI1006),$AO$1006:$BQ$1006,0)), HYPERLINK("#",""), HYPERLINK(CONCATENATE("#Metadata!", ADDRESS(INDEX($AJ$2:$AJ$1001,MATCH(ROWS($AH$2:AH762),$AH$2:$AH$1001,0),0), INDEX($AO$1004:$BQ$1004,1,MATCH(COLUMNS($AO$1006:BI1006),$AO$1006:$BQ$1006,0)))),"Fix")))</f>
        <v>#N/A</v>
      </c>
      <c r="W762" s="5" t="e">
        <f ca="1">IF(OR(INDEX($AI$2:$AI$1001,MATCH(ROWS($AH$2:AH762),$AH$2:$AH$1001,0),1)&gt;=100000,INDEX($AO$1005:$BQ$1005,1,MATCH(COLUMNS($AO$1006:BJ1006),$AO$1006:$BQ$1006,0))&gt;=100000), " ",IF(INDEX($AO$2:$BQ$1001,MATCH(ROWS($AH$2:AH762),$AH$2:$AH$1001,0),MATCH(COLUMNS($AO$1006:BJ1006),$AO$1006:$BQ$1006,0)), HYPERLINK("#",""), HYPERLINK(CONCATENATE("#Metadata!", ADDRESS(INDEX($AJ$2:$AJ$1001,MATCH(ROWS($AH$2:AH762),$AH$2:$AH$1001,0),0), INDEX($AO$1004:$BQ$1004,1,MATCH(COLUMNS($AO$1006:BJ1006),$AO$1006:$BQ$1006,0)))),"Fix")))</f>
        <v>#N/A</v>
      </c>
      <c r="X762" s="5" t="e">
        <f ca="1">IF(OR(INDEX($AI$2:$AI$1001,MATCH(ROWS($AH$2:AH762),$AH$2:$AH$1001,0),1)&gt;=100000,INDEX($AO$1005:$BQ$1005,1,MATCH(COLUMNS($AO$1006:BK1006),$AO$1006:$BQ$1006,0))&gt;=100000), " ",IF(INDEX($AO$2:$BQ$1001,MATCH(ROWS($AH$2:AH762),$AH$2:$AH$1001,0),MATCH(COLUMNS($AO$1006:BK1006),$AO$1006:$BQ$1006,0)), HYPERLINK("#",""), HYPERLINK(CONCATENATE("#Metadata!", ADDRESS(INDEX($AJ$2:$AJ$1001,MATCH(ROWS($AH$2:AH762),$AH$2:$AH$1001,0),0), INDEX($AO$1004:$BQ$1004,1,MATCH(COLUMNS($AO$1006:BK1006),$AO$1006:$BQ$1006,0)))),"Fix")))</f>
        <v>#N/A</v>
      </c>
      <c r="Y762" s="5" t="e">
        <f ca="1">IF(OR(INDEX($AI$2:$AI$1001,MATCH(ROWS($AH$2:AH762),$AH$2:$AH$1001,0),1)&gt;=100000,INDEX($AO$1005:$BQ$1005,1,MATCH(COLUMNS($AO$1006:BL1006),$AO$1006:$BQ$1006,0))&gt;=100000), " ",IF(INDEX($AO$2:$BQ$1001,MATCH(ROWS($AH$2:AH762),$AH$2:$AH$1001,0),MATCH(COLUMNS($AO$1006:BL1006),$AO$1006:$BQ$1006,0)), HYPERLINK("#",""), HYPERLINK(CONCATENATE("#Metadata!", ADDRESS(INDEX($AJ$2:$AJ$1001,MATCH(ROWS($AH$2:AH762),$AH$2:$AH$1001,0),0), INDEX($AO$1004:$BQ$1004,1,MATCH(COLUMNS($AO$1006:BL1006),$AO$1006:$BQ$1006,0)))),"Fix")))</f>
        <v>#N/A</v>
      </c>
      <c r="Z762" s="5" t="e">
        <f ca="1">IF(OR(INDEX($AI$2:$AI$1001,MATCH(ROWS($AH$2:AH762),$AH$2:$AH$1001,0),1)&gt;=100000,INDEX($AO$1005:$BQ$1005,1,MATCH(COLUMNS($AO$1006:BM1006),$AO$1006:$BQ$1006,0))&gt;=100000), " ",IF(INDEX($AO$2:$BQ$1001,MATCH(ROWS($AH$2:AH762),$AH$2:$AH$1001,0),MATCH(COLUMNS($AO$1006:BM1006),$AO$1006:$BQ$1006,0)), HYPERLINK("#",""), HYPERLINK(CONCATENATE("#Metadata!", ADDRESS(INDEX($AJ$2:$AJ$1001,MATCH(ROWS($AH$2:AH762),$AH$2:$AH$1001,0),0), INDEX($AO$1004:$BQ$1004,1,MATCH(COLUMNS($AO$1006:BM1006),$AO$1006:$BQ$1006,0)))),"Fix")))</f>
        <v>#N/A</v>
      </c>
      <c r="AA762" s="5" t="e">
        <f ca="1">IF(OR(INDEX($AI$2:$AI$1001,MATCH(ROWS($AH$2:AH762),$AH$2:$AH$1001,0),1)&gt;=100000,INDEX($AO$1005:$BQ$1005,1,MATCH(COLUMNS($AO$1006:BN1006),$AO$1006:$BQ$1006,0))&gt;=100000), " ",IF(INDEX($AO$2:$BQ$1001,MATCH(ROWS($AH$2:AH762),$AH$2:$AH$1001,0),MATCH(COLUMNS($AO$1006:BN1006),$AO$1006:$BQ$1006,0)), HYPERLINK("#",""), HYPERLINK(CONCATENATE("#Metadata!", ADDRESS(INDEX($AJ$2:$AJ$1001,MATCH(ROWS($AH$2:AH762),$AH$2:$AH$1001,0),0), INDEX($AO$1004:$BQ$1004,1,MATCH(COLUMNS($AO$1006:BN1006),$AO$1006:$BQ$1006,0)))),"Fix")))</f>
        <v>#N/A</v>
      </c>
      <c r="AB762" s="5" t="e">
        <f ca="1">IF(OR(INDEX($AI$2:$AI$1001,MATCH(ROWS($AH$2:AH762),$AH$2:$AH$1001,0),1)&gt;=100000,INDEX($AO$1005:$BQ$1005,1,MATCH(COLUMNS($AO$1006:BO1006),$AO$1006:$BQ$1006,0))&gt;=100000), " ",IF(INDEX($AO$2:$BQ$1001,MATCH(ROWS($AH$2:AH762),$AH$2:$AH$1001,0),MATCH(COLUMNS($AO$1006:BO1006),$AO$1006:$BQ$1006,0)), HYPERLINK("#",""), HYPERLINK(CONCATENATE("#Metadata!", ADDRESS(INDEX($AJ$2:$AJ$1001,MATCH(ROWS($AH$2:AH762),$AH$2:$AH$1001,0),0), INDEX($AO$1004:$BQ$1004,1,MATCH(COLUMNS($AO$1006:BO1006),$AO$1006:$BQ$1006,0)))),"Fix")))</f>
        <v>#N/A</v>
      </c>
      <c r="AC762" s="5" t="e">
        <f ca="1">IF(OR(INDEX($AI$2:$AI$1001,MATCH(ROWS($AH$2:AH762),$AH$2:$AH$1001,0),1)&gt;=100000,INDEX($AO$1005:$BQ$1005,1,MATCH(COLUMNS($AO$1006:BP1006),$AO$1006:$BQ$1006,0))&gt;=100000), " ",IF(INDEX($AO$2:$BQ$1001,MATCH(ROWS($AH$2:AH762),$AH$2:$AH$1001,0),MATCH(COLUMNS($AO$1006:BP1006),$AO$1006:$BQ$1006,0)), HYPERLINK("#",""), HYPERLINK(CONCATENATE("#Metadata!", ADDRESS(INDEX($AJ$2:$AJ$1001,MATCH(ROWS($AH$2:AH762),$AH$2:$AH$1001,0),0), INDEX($AO$1004:$BQ$1004,1,MATCH(COLUMNS($AO$1006:BP1006),$AO$1006:$BQ$1006,0)))),"Fix")))</f>
        <v>#N/A</v>
      </c>
      <c r="AD762" s="5" t="e">
        <f ca="1">IF(OR(INDEX($AI$2:$AI$1001,MATCH(ROWS($AH$2:AH762),$AH$2:$AH$1001,0),1)&gt;=100000,INDEX($AO$1005:$BQ$1005,1,MATCH(COLUMNS($AO$1006:BQ1006),$AO$1006:$BQ$1006,0))&gt;=100000), " ",IF(INDEX($AO$2:$BQ$1001,MATCH(ROWS($AH$2:AH762),$AH$2:$AH$1001,0),MATCH(COLUMNS($AO$1006:BQ1006),$AO$1006:$BQ$1006,0)), HYPERLINK("#",""), HYPERLINK(CONCATENATE("#Metadata!", ADDRESS(INDEX($AJ$2:$AJ$1001,MATCH(ROWS($AH$2:AH762),$AH$2:$AH$1001,0),0), INDEX($AO$1004:$BQ$1004,1,MATCH(COLUMNS($AO$1006:BQ1006),$AO$1006:$BQ$1006,0)))),"Fix")))</f>
        <v>#REF!</v>
      </c>
      <c r="AH762">
        <f ca="1"/>
        <v>759</v>
      </c>
      <c r="AI762">
        <v>100762</v>
      </c>
      <c r="AJ762">
        <v>762</v>
      </c>
      <c r="AK762" t="b">
        <f t="shared" si="11"/>
        <v>1</v>
      </c>
      <c r="AL762" t="b">
        <f>COUNTBLANK(Metadata!B762:AD762)=COLUMNS(Metadata!B762:AD762)</f>
        <v>1</v>
      </c>
      <c r="AM762" t="str">
        <v/>
      </c>
      <c r="AO762" t="b">
        <f ca="1">AND(IF(Metadata!B762="",FALSE,TRUE),COUNTIF(Metadata!B:B, Metadata!B762) = 1,NOT(ISERROR(SUMPRODUCT(SEARCH(MID(Metadata!B762,ROW(INDIRECT("1:"&amp;LEN(Metadata!B762))), 1),"0123456789abcdefghijklmnopqrstuvwxyzABCDEFGHIJKLMNOPQRSTUVWXYZ.")))))</f>
        <v>0</v>
      </c>
      <c r="AP762" t="b">
        <f>IF(Metadata!C762="",FALSE,TRUE)</f>
        <v>0</v>
      </c>
      <c r="AQ762" t="b">
        <f>IF(Metadata!D762="",FALSE,TRUE)</f>
        <v>0</v>
      </c>
      <c r="AR762" t="b">
        <f ca="1">OR(AND(IF(Metadata!E762="",FALSE,TRUE),OR(EXACT(Metadata!E762,"not collected"),EXACT(Metadata!E762,"not provided"),EXACT(Metadata!E762,"restricted access"))),AND(IF(Metadata!E762="",FALSE,TRUE),AND(AND(IFERROR(INT(LEFT(Metadata!E762,4))&gt;1900,FALSE),IFERROR(INT(LEFT(Metadata!E762,4))&lt;=YEAR(NOW()),FALSE)), OR(MID(Metadata!E762,5,1)="", AND(AND(MID(Metadata!E762,5,1)="-",IFERROR(INT(MID(Metadata!E762,6,1))&gt;=0,FALSE),IFERROR(INT(MID(Metadata!E762,6,1))&lt;=1,FALSE),NOT(MID(Metadata!E762,7,1)=""),IFERROR(INT(MID(Metadata!E762,6,2))&gt;=1,FALSE),IFERROR(INT(MID(Metadata!E762,6,2))&lt;=12,FALSE)), OR(MID(Metadata!E762,8,1)="", AND(AND(MID(Metadata!E762,8,1)="-",IFERROR(INT(MID(Metadata!E762,9,1))&gt;=0,FALSE),IFERROR(INT(MID(Metadata!E762,9,1))&lt;=3,FALSE),NOT(MID(Metadata!E762,10,1)=""),IFERROR(INT(MID(Metadata!E762,9,2))&gt;=1,FALSE),IFERROR(INT(MID(Metadata!E762,9,2))&lt;=31,FALSE)), OR(MID(Metadata!E762,11,1)="", AND(AND(MID(Metadata!E762,11,1)=" ",IFERROR(INT(MID(Metadata!E762,12,1))&gt;=0,FALSE),IFERROR(INT(MID(Metadata!E762,12,1))&lt;=2,FALSE),NOT(MID(Metadata!E762,13,1)=""),IFERROR(INT(MID(Metadata!E762,12,2))&gt;=0,FALSE),IFERROR(INT(MID(Metadata!E762,12,2))&lt;=23,FALSE)), OR(MID(Metadata!E762,14,1)="", AND(AND(MID(Metadata!E762,14,1)=":",IFERROR(INT(MID(Metadata!E762,15,1))&gt;=0,FALSE),IFERROR(INT(MID(Metadata!E762,15,1))&lt;=5,FALSE),NOT(MID(Metadata!E762,16,1)=""),IFERROR(INT(MID(Metadata!E762,15,2))&gt;=0,FALSE),IFERROR(INT(MID(Metadata!E762,15,2))&lt;=59,FALSE)), OR(MID(Metadata!E762,17,1)="", AND(AND(MID(Metadata!E762,17,1)=":",IFERROR(INT(MID(Metadata!E762,18,1))&gt;=0,FALSE),IFERROR(INT(MID(Metadata!E762,18,1))&lt;=5,FALSE),NOT(MID(Metadata!E762,19,1)=""),IFERROR(INT(MID(Metadata!E762,18,2))&gt;=0,FALSE),IFERROR(INT(MID(Metadata!E762,18,2))&lt;=59,FALSE)), LEN(Metadata!E762)&lt;=19)))))))))))))</f>
        <v>0</v>
      </c>
      <c r="AS762" t="b">
        <f>IF(Metadata!F762="",FALSE,TRUE)</f>
        <v>0</v>
      </c>
      <c r="AT762" t="b">
        <f>OR(AND(IF(Metadata!G762="",FALSE,TRUE),OR(EXACT(Metadata!G762,"not collected"),EXACT(Metadata!G762,"not provided"))),AND(IF(Metadata!G762="",FALSE,TRUE),OR(EXACT(Metadata!G762,"TRUE"),EXACT(Metadata!G762,"FALSE"))))</f>
        <v>0</v>
      </c>
      <c r="AU762" t="b">
        <f>OR(AND(IF(Metadata!H762="",FALSE,TRUE),OR(EXACT(Metadata!H762,"not collected"),EXACT(Metadata!H762,"not provided"),EXACT(Metadata!H762,"restricted access"))),AND(IF(Metadata!H762="",FALSE,ISNUMBER(VALUE(Metadata!H762))),Metadata!H762&gt;=-413))</f>
        <v>0</v>
      </c>
      <c r="AV762" t="b">
        <f>AND(IF(Metadata!I762="",FALSE,TRUE),EXACT(Metadata!I762,"meters"))</f>
        <v>0</v>
      </c>
      <c r="AW762" t="b">
        <f>AND(IF(Metadata!J762="",FALSE,TRUE),EXACT(Metadata!J762,"free-living"))</f>
        <v>0</v>
      </c>
      <c r="AX762" t="b">
        <f>AND(IF(Metadata!K762="",FALSE,TRUE),OR(EXACT(Metadata!K762,"saline"),EXACT(Metadata!K762,"non-saline")))</f>
        <v>0</v>
      </c>
      <c r="AY762" t="b">
        <f>AND(IF(Metadata!L762="",FALSE,TRUE),OR(EXACT(Metadata!L762,"sub-surface (non-saline)"),EXACT(Metadata!L762,"surface (non-saline)"),EXACT(Metadata!L762,"water (non-saline)"),EXACT(Metadata!L762,"soil (non-saline)"),EXACT(Metadata!L762,"aerosol (non-saline)"),EXACT(Metadata!L762,"sediment (non-saline)"),EXACT(Metadata!L762,"surface (saline)"),EXACT(Metadata!L762,"water (saline)"),EXACT(Metadata!L762,"hypersaline (saline)"),EXACT(Metadata!L762,"aerosol (saline)"),EXACT(Metadata!L762,"sediment (saline)")))</f>
        <v>0</v>
      </c>
      <c r="AZ762" t="b">
        <f>IF(Metadata!M762="",FALSE,TRUE)</f>
        <v>0</v>
      </c>
      <c r="BA762" t="b">
        <f>IF(Metadata!N762="",FALSE,TRUE)</f>
        <v>0</v>
      </c>
      <c r="BB762" t="b">
        <f>IF(Metadata!O762="",FALSE,TRUE)</f>
        <v>0</v>
      </c>
      <c r="BC762" t="b">
        <f>AND(IF(Metadata!P762="",FALSE,TRUE),OR(EXACT(Metadata!P762,"air"),EXACT(Metadata!P762,"microbial mat/biofilm"),EXACT(Metadata!P762,"misc environment"),EXACT(Metadata!P762,"sediment"),EXACT(Metadata!P762,"soil"),EXACT(Metadata!P762,"wastewater/sludge"),EXACT(Metadata!P762,"water")))</f>
        <v>0</v>
      </c>
      <c r="BD762" t="b">
        <f>IF(Metadata!Q762="",FALSE,TRUE)</f>
        <v>0</v>
      </c>
      <c r="BE762" t="b">
        <f>IF(Metadata!R762="",FALSE,TRUE)</f>
        <v>0</v>
      </c>
      <c r="BF762" t="b">
        <f>OR(AND(IF(Metadata!S762="",FALSE,TRUE),OR(EXACT(Metadata!S762,"not collected"),EXACT(Metadata!S762,"not provided"),EXACT(Metadata!S762,"restricted access"))),AND(IF(Metadata!S762="",FALSE,ISNUMBER(VALUE(Metadata!S762))),Metadata!S762&gt;=-90,Metadata!S762&lt;=90))</f>
        <v>0</v>
      </c>
      <c r="BG762" t="b">
        <f>AND(IF(Metadata!T762="",FALSE,TRUE),EXACT(Metadata!T762,"Decimal degrees"))</f>
        <v>0</v>
      </c>
      <c r="BH762" t="b">
        <f>OR(AND(IF(Metadata!U762="",FALSE,TRUE),OR(EXACT(Metadata!U762,"not applicable"),EXACT(Metadata!U762,"not collected"))),IF(Metadata!U762="",FALSE,TRUE))</f>
        <v>0</v>
      </c>
      <c r="BI762" t="b">
        <f>OR(AND(IF(Metadata!V762="",FALSE,TRUE),OR(EXACT(Metadata!V762,"not collected"),EXACT(Metadata!V762,"not provided"),EXACT(Metadata!V762,"restricted access"))),AND(IF(Metadata!V762="",FALSE,ISNUMBER(VALUE(Metadata!V762))),Metadata!V762&gt;=-180,Metadata!V762&lt;=180))</f>
        <v>0</v>
      </c>
      <c r="BJ762" t="b">
        <f>AND(IF(Metadata!W762="",FALSE,TRUE),EXACT(Metadata!W762,"Decimal degrees"))</f>
        <v>0</v>
      </c>
      <c r="BK762" t="b">
        <f>IF(Metadata!X762="",FALSE,TRUE)</f>
        <v>0</v>
      </c>
      <c r="BL762" t="b">
        <f>OR(AND(IF(Metadata!Y762="",FALSE,TRUE),OR(EXACT(Metadata!Y762,"not collected"),EXACT(Metadata!Y762,"not provided"),EXACT(Metadata!Y762,"restricted access"))),AND(IF(Metadata!Y762="",FALSE,TRUE),OR(EXACT(Metadata!Y762,"TRUE"),EXACT(Metadata!Y762,"FALSE"))))</f>
        <v>0</v>
      </c>
      <c r="BM762" t="b">
        <f>OR(AND(IF(Metadata!Z762="",FALSE,TRUE),EXACT(Metadata!Z762,"not applicable")),AND(IF(Metadata!Z762="",FALSE,TRUE),OR(EXACT(Metadata!Z762,"beer"),EXACT(Metadata!Z762,"cheese"),EXACT(Metadata!Z762,"fresh water"),EXACT(Metadata!Z762,"marine sediment"),EXACT(Metadata!Z762,"sea water"),EXACT(Metadata!Z762,"sediment"),EXACT(Metadata!Z762,"soil"),EXACT(Metadata!Z762,"waste water"))))</f>
        <v>0</v>
      </c>
      <c r="BN762" t="b">
        <f>AND(IF(Metadata!AA762="",FALSE,TRUE),EXACT(Metadata!AA762,"metagenome"))</f>
        <v>0</v>
      </c>
      <c r="BO762" t="b">
        <f>AND(IF(Metadata!AB762="",FALSE,TRUE),EXACT(Metadata!AB762,"256318"))</f>
        <v>0</v>
      </c>
      <c r="BP762" t="b">
        <f>IF(Metadata!AC762="",FALSE,TRUE)</f>
        <v>0</v>
      </c>
      <c r="BQ762" t="b">
        <f>IF(Metadata!AD762="",FALSE,TRUE)</f>
        <v>0</v>
      </c>
    </row>
    <row r="763" spans="1:69" x14ac:dyDescent="0.2">
      <c r="A763" s="4" t="e">
        <f ca="1">IF(B763=" "," ",HYPERLINK(CONCATENATE("#metadata!",ADDRESS(INDEX($AJ$2:$AJ$1001,MATCH(ROWS($AH$2:AH763),$AH$2:$AH$1001,0),0),2)),INDEX($AM$2:$AM$1001,MATCH(ROWS($AH$2:AH763),$AH$2:$AH$1001,0),0)))</f>
        <v>#N/A</v>
      </c>
      <c r="B763" s="5" t="e">
        <f ca="1">IF(OR(INDEX($AI$2:$AI$1001,MATCH(ROWS($AH$2:AH763),$AH$2:$AH$1001,0),1)&gt;=100000,INDEX($AO$1005:$BQ$1005,1,MATCH(COLUMNS($AO$1006:AO1006),$AO$1006:$BQ$1006,0))&gt;=100000), " ",IF(INDEX($AO$2:$BQ$1001,MATCH(ROWS($AH$2:AH763),$AH$2:$AH$1001,0),MATCH(COLUMNS($AO$1006:AO1006),$AO$1006:$BQ$1006,0)), HYPERLINK("#",""), HYPERLINK(CONCATENATE("#Metadata!", ADDRESS(INDEX($AJ$2:$AJ$1001,MATCH(ROWS($AH$2:AH763),$AH$2:$AH$1001,0),0), INDEX($AO$1004:$BQ$1004,1,MATCH(COLUMNS($AO$1006:AO1006),$AO$1006:$BQ$1006,0)))),"Fix")))</f>
        <v>#N/A</v>
      </c>
      <c r="C763" s="5" t="e">
        <f ca="1">IF(OR(INDEX($AI$2:$AI$1001,MATCH(ROWS($AH$2:AH763),$AH$2:$AH$1001,0),1)&gt;=100000,INDEX($AO$1005:$BQ$1005,1,MATCH(COLUMNS($AO$1006:AP1006),$AO$1006:$BQ$1006,0))&gt;=100000), " ",IF(INDEX($AO$2:$BQ$1001,MATCH(ROWS($AH$2:AH763),$AH$2:$AH$1001,0),MATCH(COLUMNS($AO$1006:AP1006),$AO$1006:$BQ$1006,0)), HYPERLINK("#",""), HYPERLINK(CONCATENATE("#Metadata!", ADDRESS(INDEX($AJ$2:$AJ$1001,MATCH(ROWS($AH$2:AH763),$AH$2:$AH$1001,0),0), INDEX($AO$1004:$BQ$1004,1,MATCH(COLUMNS($AO$1006:AP1006),$AO$1006:$BQ$1006,0)))),"Fix")))</f>
        <v>#N/A</v>
      </c>
      <c r="D763" s="5" t="e">
        <f ca="1">IF(OR(INDEX($AI$2:$AI$1001,MATCH(ROWS($AH$2:AH763),$AH$2:$AH$1001,0),1)&gt;=100000,INDEX($AO$1005:$BQ$1005,1,MATCH(COLUMNS($AO$1006:AQ1006),$AO$1006:$BQ$1006,0))&gt;=100000), " ",IF(INDEX($AO$2:$BQ$1001,MATCH(ROWS($AH$2:AH763),$AH$2:$AH$1001,0),MATCH(COLUMNS($AO$1006:AQ1006),$AO$1006:$BQ$1006,0)), HYPERLINK("#",""), HYPERLINK(CONCATENATE("#Metadata!", ADDRESS(INDEX($AJ$2:$AJ$1001,MATCH(ROWS($AH$2:AH763),$AH$2:$AH$1001,0),0), INDEX($AO$1004:$BQ$1004,1,MATCH(COLUMNS($AO$1006:AQ1006),$AO$1006:$BQ$1006,0)))),"Fix")))</f>
        <v>#N/A</v>
      </c>
      <c r="E763" s="5" t="e">
        <f ca="1">IF(OR(INDEX($AI$2:$AI$1001,MATCH(ROWS($AH$2:AH763),$AH$2:$AH$1001,0),1)&gt;=100000,INDEX($AO$1005:$BQ$1005,1,MATCH(COLUMNS($AO$1006:AR1006),$AO$1006:$BQ$1006,0))&gt;=100000), " ",IF(INDEX($AO$2:$BQ$1001,MATCH(ROWS($AH$2:AH763),$AH$2:$AH$1001,0),MATCH(COLUMNS($AO$1006:AR1006),$AO$1006:$BQ$1006,0)), HYPERLINK("#",""), HYPERLINK(CONCATENATE("#Metadata!", ADDRESS(INDEX($AJ$2:$AJ$1001,MATCH(ROWS($AH$2:AH763),$AH$2:$AH$1001,0),0), INDEX($AO$1004:$BQ$1004,1,MATCH(COLUMNS($AO$1006:AR1006),$AO$1006:$BQ$1006,0)))),"Fix")))</f>
        <v>#N/A</v>
      </c>
      <c r="F763" s="5" t="e">
        <f ca="1">IF(OR(INDEX($AI$2:$AI$1001,MATCH(ROWS($AH$2:AH763),$AH$2:$AH$1001,0),1)&gt;=100000,INDEX($AO$1005:$BQ$1005,1,MATCH(COLUMNS($AO$1006:AS1006),$AO$1006:$BQ$1006,0))&gt;=100000), " ",IF(INDEX($AO$2:$BQ$1001,MATCH(ROWS($AH$2:AH763),$AH$2:$AH$1001,0),MATCH(COLUMNS($AO$1006:AS1006),$AO$1006:$BQ$1006,0)), HYPERLINK("#",""), HYPERLINK(CONCATENATE("#Metadata!", ADDRESS(INDEX($AJ$2:$AJ$1001,MATCH(ROWS($AH$2:AH763),$AH$2:$AH$1001,0),0), INDEX($AO$1004:$BQ$1004,1,MATCH(COLUMNS($AO$1006:AS1006),$AO$1006:$BQ$1006,0)))),"Fix")))</f>
        <v>#N/A</v>
      </c>
      <c r="G763" s="5" t="e">
        <f ca="1">IF(OR(INDEX($AI$2:$AI$1001,MATCH(ROWS($AH$2:AH763),$AH$2:$AH$1001,0),1)&gt;=100000,INDEX($AO$1005:$BQ$1005,1,MATCH(COLUMNS($AO$1006:AT1006),$AO$1006:$BQ$1006,0))&gt;=100000), " ",IF(INDEX($AO$2:$BQ$1001,MATCH(ROWS($AH$2:AH763),$AH$2:$AH$1001,0),MATCH(COLUMNS($AO$1006:AT1006),$AO$1006:$BQ$1006,0)), HYPERLINK("#",""), HYPERLINK(CONCATENATE("#Metadata!", ADDRESS(INDEX($AJ$2:$AJ$1001,MATCH(ROWS($AH$2:AH763),$AH$2:$AH$1001,0),0), INDEX($AO$1004:$BQ$1004,1,MATCH(COLUMNS($AO$1006:AT1006),$AO$1006:$BQ$1006,0)))),"Fix")))</f>
        <v>#N/A</v>
      </c>
      <c r="H763" s="5" t="e">
        <f ca="1">IF(OR(INDEX($AI$2:$AI$1001,MATCH(ROWS($AH$2:AH763),$AH$2:$AH$1001,0),1)&gt;=100000,INDEX($AO$1005:$BQ$1005,1,MATCH(COLUMNS($AO$1006:AU1006),$AO$1006:$BQ$1006,0))&gt;=100000), " ",IF(INDEX($AO$2:$BQ$1001,MATCH(ROWS($AH$2:AH763),$AH$2:$AH$1001,0),MATCH(COLUMNS($AO$1006:AU1006),$AO$1006:$BQ$1006,0)), HYPERLINK("#",""), HYPERLINK(CONCATENATE("#Metadata!", ADDRESS(INDEX($AJ$2:$AJ$1001,MATCH(ROWS($AH$2:AH763),$AH$2:$AH$1001,0),0), INDEX($AO$1004:$BQ$1004,1,MATCH(COLUMNS($AO$1006:AU1006),$AO$1006:$BQ$1006,0)))),"Fix")))</f>
        <v>#N/A</v>
      </c>
      <c r="I763" s="5" t="e">
        <f ca="1">IF(OR(INDEX($AI$2:$AI$1001,MATCH(ROWS($AH$2:AH763),$AH$2:$AH$1001,0),1)&gt;=100000,INDEX($AO$1005:$BQ$1005,1,MATCH(COLUMNS($AO$1006:AV1006),$AO$1006:$BQ$1006,0))&gt;=100000), " ",IF(INDEX($AO$2:$BQ$1001,MATCH(ROWS($AH$2:AH763),$AH$2:$AH$1001,0),MATCH(COLUMNS($AO$1006:AV1006),$AO$1006:$BQ$1006,0)), HYPERLINK("#",""), HYPERLINK(CONCATENATE("#Metadata!", ADDRESS(INDEX($AJ$2:$AJ$1001,MATCH(ROWS($AH$2:AH763),$AH$2:$AH$1001,0),0), INDEX($AO$1004:$BQ$1004,1,MATCH(COLUMNS($AO$1006:AV1006),$AO$1006:$BQ$1006,0)))),"Fix")))</f>
        <v>#N/A</v>
      </c>
      <c r="J763" s="5" t="e">
        <f ca="1">IF(OR(INDEX($AI$2:$AI$1001,MATCH(ROWS($AH$2:AH763),$AH$2:$AH$1001,0),1)&gt;=100000,INDEX($AO$1005:$BQ$1005,1,MATCH(COLUMNS($AO$1006:AW1006),$AO$1006:$BQ$1006,0))&gt;=100000), " ",IF(INDEX($AO$2:$BQ$1001,MATCH(ROWS($AH$2:AH763),$AH$2:$AH$1001,0),MATCH(COLUMNS($AO$1006:AW1006),$AO$1006:$BQ$1006,0)), HYPERLINK("#",""), HYPERLINK(CONCATENATE("#Metadata!", ADDRESS(INDEX($AJ$2:$AJ$1001,MATCH(ROWS($AH$2:AH763),$AH$2:$AH$1001,0),0), INDEX($AO$1004:$BQ$1004,1,MATCH(COLUMNS($AO$1006:AW1006),$AO$1006:$BQ$1006,0)))),"Fix")))</f>
        <v>#N/A</v>
      </c>
      <c r="K763" s="5" t="e">
        <f ca="1">IF(OR(INDEX($AI$2:$AI$1001,MATCH(ROWS($AH$2:AH763),$AH$2:$AH$1001,0),1)&gt;=100000,INDEX($AO$1005:$BQ$1005,1,MATCH(COLUMNS($AO$1006:AX1006),$AO$1006:$BQ$1006,0))&gt;=100000), " ",IF(INDEX($AO$2:$BQ$1001,MATCH(ROWS($AH$2:AH763),$AH$2:$AH$1001,0),MATCH(COLUMNS($AO$1006:AX1006),$AO$1006:$BQ$1006,0)), HYPERLINK("#",""), HYPERLINK(CONCATENATE("#Metadata!", ADDRESS(INDEX($AJ$2:$AJ$1001,MATCH(ROWS($AH$2:AH763),$AH$2:$AH$1001,0),0), INDEX($AO$1004:$BQ$1004,1,MATCH(COLUMNS($AO$1006:AX1006),$AO$1006:$BQ$1006,0)))),"Fix")))</f>
        <v>#N/A</v>
      </c>
      <c r="L763" s="5" t="e">
        <f ca="1">IF(OR(INDEX($AI$2:$AI$1001,MATCH(ROWS($AH$2:AH763),$AH$2:$AH$1001,0),1)&gt;=100000,INDEX($AO$1005:$BQ$1005,1,MATCH(COLUMNS($AO$1006:AY1006),$AO$1006:$BQ$1006,0))&gt;=100000), " ",IF(INDEX($AO$2:$BQ$1001,MATCH(ROWS($AH$2:AH763),$AH$2:$AH$1001,0),MATCH(COLUMNS($AO$1006:AY1006),$AO$1006:$BQ$1006,0)), HYPERLINK("#",""), HYPERLINK(CONCATENATE("#Metadata!", ADDRESS(INDEX($AJ$2:$AJ$1001,MATCH(ROWS($AH$2:AH763),$AH$2:$AH$1001,0),0), INDEX($AO$1004:$BQ$1004,1,MATCH(COLUMNS($AO$1006:AY1006),$AO$1006:$BQ$1006,0)))),"Fix")))</f>
        <v>#N/A</v>
      </c>
      <c r="M763" s="5" t="e">
        <f ca="1">IF(OR(INDEX($AI$2:$AI$1001,MATCH(ROWS($AH$2:AH763),$AH$2:$AH$1001,0),1)&gt;=100000,INDEX($AO$1005:$BQ$1005,1,MATCH(COLUMNS($AO$1006:AZ1006),$AO$1006:$BQ$1006,0))&gt;=100000), " ",IF(INDEX($AO$2:$BQ$1001,MATCH(ROWS($AH$2:AH763),$AH$2:$AH$1001,0),MATCH(COLUMNS($AO$1006:AZ1006),$AO$1006:$BQ$1006,0)), HYPERLINK("#",""), HYPERLINK(CONCATENATE("#Metadata!", ADDRESS(INDEX($AJ$2:$AJ$1001,MATCH(ROWS($AH$2:AH763),$AH$2:$AH$1001,0),0), INDEX($AO$1004:$BQ$1004,1,MATCH(COLUMNS($AO$1006:AZ1006),$AO$1006:$BQ$1006,0)))),"Fix")))</f>
        <v>#N/A</v>
      </c>
      <c r="N763" s="5" t="e">
        <f ca="1">IF(OR(INDEX($AI$2:$AI$1001,MATCH(ROWS($AH$2:AH763),$AH$2:$AH$1001,0),1)&gt;=100000,INDEX($AO$1005:$BQ$1005,1,MATCH(COLUMNS($AO$1006:BA1006),$AO$1006:$BQ$1006,0))&gt;=100000), " ",IF(INDEX($AO$2:$BQ$1001,MATCH(ROWS($AH$2:AH763),$AH$2:$AH$1001,0),MATCH(COLUMNS($AO$1006:BA1006),$AO$1006:$BQ$1006,0)), HYPERLINK("#",""), HYPERLINK(CONCATENATE("#Metadata!", ADDRESS(INDEX($AJ$2:$AJ$1001,MATCH(ROWS($AH$2:AH763),$AH$2:$AH$1001,0),0), INDEX($AO$1004:$BQ$1004,1,MATCH(COLUMNS($AO$1006:BA1006),$AO$1006:$BQ$1006,0)))),"Fix")))</f>
        <v>#N/A</v>
      </c>
      <c r="O763" s="5" t="e">
        <f ca="1">IF(OR(INDEX($AI$2:$AI$1001,MATCH(ROWS($AH$2:AH763),$AH$2:$AH$1001,0),1)&gt;=100000,INDEX($AO$1005:$BQ$1005,1,MATCH(COLUMNS($AO$1006:BB1006),$AO$1006:$BQ$1006,0))&gt;=100000), " ",IF(INDEX($AO$2:$BQ$1001,MATCH(ROWS($AH$2:AH763),$AH$2:$AH$1001,0),MATCH(COLUMNS($AO$1006:BB1006),$AO$1006:$BQ$1006,0)), HYPERLINK("#",""), HYPERLINK(CONCATENATE("#Metadata!", ADDRESS(INDEX($AJ$2:$AJ$1001,MATCH(ROWS($AH$2:AH763),$AH$2:$AH$1001,0),0), INDEX($AO$1004:$BQ$1004,1,MATCH(COLUMNS($AO$1006:BB1006),$AO$1006:$BQ$1006,0)))),"Fix")))</f>
        <v>#N/A</v>
      </c>
      <c r="P763" s="5" t="e">
        <f ca="1">IF(OR(INDEX($AI$2:$AI$1001,MATCH(ROWS($AH$2:AH763),$AH$2:$AH$1001,0),1)&gt;=100000,INDEX($AO$1005:$BQ$1005,1,MATCH(COLUMNS($AO$1006:BC1006),$AO$1006:$BQ$1006,0))&gt;=100000), " ",IF(INDEX($AO$2:$BQ$1001,MATCH(ROWS($AH$2:AH763),$AH$2:$AH$1001,0),MATCH(COLUMNS($AO$1006:BC1006),$AO$1006:$BQ$1006,0)), HYPERLINK("#",""), HYPERLINK(CONCATENATE("#Metadata!", ADDRESS(INDEX($AJ$2:$AJ$1001,MATCH(ROWS($AH$2:AH763),$AH$2:$AH$1001,0),0), INDEX($AO$1004:$BQ$1004,1,MATCH(COLUMNS($AO$1006:BC1006),$AO$1006:$BQ$1006,0)))),"Fix")))</f>
        <v>#N/A</v>
      </c>
      <c r="Q763" s="5" t="e">
        <f ca="1">IF(OR(INDEX($AI$2:$AI$1001,MATCH(ROWS($AH$2:AH763),$AH$2:$AH$1001,0),1)&gt;=100000,INDEX($AO$1005:$BQ$1005,1,MATCH(COLUMNS($AO$1006:BD1006),$AO$1006:$BQ$1006,0))&gt;=100000), " ",IF(INDEX($AO$2:$BQ$1001,MATCH(ROWS($AH$2:AH763),$AH$2:$AH$1001,0),MATCH(COLUMNS($AO$1006:BD1006),$AO$1006:$BQ$1006,0)), HYPERLINK("#",""), HYPERLINK(CONCATENATE("#Metadata!", ADDRESS(INDEX($AJ$2:$AJ$1001,MATCH(ROWS($AH$2:AH763),$AH$2:$AH$1001,0),0), INDEX($AO$1004:$BQ$1004,1,MATCH(COLUMNS($AO$1006:BD1006),$AO$1006:$BQ$1006,0)))),"Fix")))</f>
        <v>#N/A</v>
      </c>
      <c r="R763" s="5" t="e">
        <f ca="1">IF(OR(INDEX($AI$2:$AI$1001,MATCH(ROWS($AH$2:AH763),$AH$2:$AH$1001,0),1)&gt;=100000,INDEX($AO$1005:$BQ$1005,1,MATCH(COLUMNS($AO$1006:BE1006),$AO$1006:$BQ$1006,0))&gt;=100000), " ",IF(INDEX($AO$2:$BQ$1001,MATCH(ROWS($AH$2:AH763),$AH$2:$AH$1001,0),MATCH(COLUMNS($AO$1006:BE1006),$AO$1006:$BQ$1006,0)), HYPERLINK("#",""), HYPERLINK(CONCATENATE("#Metadata!", ADDRESS(INDEX($AJ$2:$AJ$1001,MATCH(ROWS($AH$2:AH763),$AH$2:$AH$1001,0),0), INDEX($AO$1004:$BQ$1004,1,MATCH(COLUMNS($AO$1006:BE1006),$AO$1006:$BQ$1006,0)))),"Fix")))</f>
        <v>#N/A</v>
      </c>
      <c r="S763" s="5" t="e">
        <f ca="1">IF(OR(INDEX($AI$2:$AI$1001,MATCH(ROWS($AH$2:AH763),$AH$2:$AH$1001,0),1)&gt;=100000,INDEX($AO$1005:$BQ$1005,1,MATCH(COLUMNS($AO$1006:BF1006),$AO$1006:$BQ$1006,0))&gt;=100000), " ",IF(INDEX($AO$2:$BQ$1001,MATCH(ROWS($AH$2:AH763),$AH$2:$AH$1001,0),MATCH(COLUMNS($AO$1006:BF1006),$AO$1006:$BQ$1006,0)), HYPERLINK("#",""), HYPERLINK(CONCATENATE("#Metadata!", ADDRESS(INDEX($AJ$2:$AJ$1001,MATCH(ROWS($AH$2:AH763),$AH$2:$AH$1001,0),0), INDEX($AO$1004:$BQ$1004,1,MATCH(COLUMNS($AO$1006:BF1006),$AO$1006:$BQ$1006,0)))),"Fix")))</f>
        <v>#N/A</v>
      </c>
      <c r="T763" s="5" t="e">
        <f ca="1">IF(OR(INDEX($AI$2:$AI$1001,MATCH(ROWS($AH$2:AH763),$AH$2:$AH$1001,0),1)&gt;=100000,INDEX($AO$1005:$BQ$1005,1,MATCH(COLUMNS($AO$1006:BG1006),$AO$1006:$BQ$1006,0))&gt;=100000), " ",IF(INDEX($AO$2:$BQ$1001,MATCH(ROWS($AH$2:AH763),$AH$2:$AH$1001,0),MATCH(COLUMNS($AO$1006:BG1006),$AO$1006:$BQ$1006,0)), HYPERLINK("#",""), HYPERLINK(CONCATENATE("#Metadata!", ADDRESS(INDEX($AJ$2:$AJ$1001,MATCH(ROWS($AH$2:AH763),$AH$2:$AH$1001,0),0), INDEX($AO$1004:$BQ$1004,1,MATCH(COLUMNS($AO$1006:BG1006),$AO$1006:$BQ$1006,0)))),"Fix")))</f>
        <v>#N/A</v>
      </c>
      <c r="U763" s="5" t="e">
        <f ca="1">IF(OR(INDEX($AI$2:$AI$1001,MATCH(ROWS($AH$2:AH763),$AH$2:$AH$1001,0),1)&gt;=100000,INDEX($AO$1005:$BQ$1005,1,MATCH(COLUMNS($AO$1006:BH1006),$AO$1006:$BQ$1006,0))&gt;=100000), " ",IF(INDEX($AO$2:$BQ$1001,MATCH(ROWS($AH$2:AH763),$AH$2:$AH$1001,0),MATCH(COLUMNS($AO$1006:BH1006),$AO$1006:$BQ$1006,0)), HYPERLINK("#",""), HYPERLINK(CONCATENATE("#Metadata!", ADDRESS(INDEX($AJ$2:$AJ$1001,MATCH(ROWS($AH$2:AH763),$AH$2:$AH$1001,0),0), INDEX($AO$1004:$BQ$1004,1,MATCH(COLUMNS($AO$1006:BH1006),$AO$1006:$BQ$1006,0)))),"Fix")))</f>
        <v>#N/A</v>
      </c>
      <c r="V763" s="5" t="e">
        <f ca="1">IF(OR(INDEX($AI$2:$AI$1001,MATCH(ROWS($AH$2:AH763),$AH$2:$AH$1001,0),1)&gt;=100000,INDEX($AO$1005:$BQ$1005,1,MATCH(COLUMNS($AO$1006:BI1006),$AO$1006:$BQ$1006,0))&gt;=100000), " ",IF(INDEX($AO$2:$BQ$1001,MATCH(ROWS($AH$2:AH763),$AH$2:$AH$1001,0),MATCH(COLUMNS($AO$1006:BI1006),$AO$1006:$BQ$1006,0)), HYPERLINK("#",""), HYPERLINK(CONCATENATE("#Metadata!", ADDRESS(INDEX($AJ$2:$AJ$1001,MATCH(ROWS($AH$2:AH763),$AH$2:$AH$1001,0),0), INDEX($AO$1004:$BQ$1004,1,MATCH(COLUMNS($AO$1006:BI1006),$AO$1006:$BQ$1006,0)))),"Fix")))</f>
        <v>#N/A</v>
      </c>
      <c r="W763" s="5" t="e">
        <f ca="1">IF(OR(INDEX($AI$2:$AI$1001,MATCH(ROWS($AH$2:AH763),$AH$2:$AH$1001,0),1)&gt;=100000,INDEX($AO$1005:$BQ$1005,1,MATCH(COLUMNS($AO$1006:BJ1006),$AO$1006:$BQ$1006,0))&gt;=100000), " ",IF(INDEX($AO$2:$BQ$1001,MATCH(ROWS($AH$2:AH763),$AH$2:$AH$1001,0),MATCH(COLUMNS($AO$1006:BJ1006),$AO$1006:$BQ$1006,0)), HYPERLINK("#",""), HYPERLINK(CONCATENATE("#Metadata!", ADDRESS(INDEX($AJ$2:$AJ$1001,MATCH(ROWS($AH$2:AH763),$AH$2:$AH$1001,0),0), INDEX($AO$1004:$BQ$1004,1,MATCH(COLUMNS($AO$1006:BJ1006),$AO$1006:$BQ$1006,0)))),"Fix")))</f>
        <v>#N/A</v>
      </c>
      <c r="X763" s="5" t="e">
        <f ca="1">IF(OR(INDEX($AI$2:$AI$1001,MATCH(ROWS($AH$2:AH763),$AH$2:$AH$1001,0),1)&gt;=100000,INDEX($AO$1005:$BQ$1005,1,MATCH(COLUMNS($AO$1006:BK1006),$AO$1006:$BQ$1006,0))&gt;=100000), " ",IF(INDEX($AO$2:$BQ$1001,MATCH(ROWS($AH$2:AH763),$AH$2:$AH$1001,0),MATCH(COLUMNS($AO$1006:BK1006),$AO$1006:$BQ$1006,0)), HYPERLINK("#",""), HYPERLINK(CONCATENATE("#Metadata!", ADDRESS(INDEX($AJ$2:$AJ$1001,MATCH(ROWS($AH$2:AH763),$AH$2:$AH$1001,0),0), INDEX($AO$1004:$BQ$1004,1,MATCH(COLUMNS($AO$1006:BK1006),$AO$1006:$BQ$1006,0)))),"Fix")))</f>
        <v>#N/A</v>
      </c>
      <c r="Y763" s="5" t="e">
        <f ca="1">IF(OR(INDEX($AI$2:$AI$1001,MATCH(ROWS($AH$2:AH763),$AH$2:$AH$1001,0),1)&gt;=100000,INDEX($AO$1005:$BQ$1005,1,MATCH(COLUMNS($AO$1006:BL1006),$AO$1006:$BQ$1006,0))&gt;=100000), " ",IF(INDEX($AO$2:$BQ$1001,MATCH(ROWS($AH$2:AH763),$AH$2:$AH$1001,0),MATCH(COLUMNS($AO$1006:BL1006),$AO$1006:$BQ$1006,0)), HYPERLINK("#",""), HYPERLINK(CONCATENATE("#Metadata!", ADDRESS(INDEX($AJ$2:$AJ$1001,MATCH(ROWS($AH$2:AH763),$AH$2:$AH$1001,0),0), INDEX($AO$1004:$BQ$1004,1,MATCH(COLUMNS($AO$1006:BL1006),$AO$1006:$BQ$1006,0)))),"Fix")))</f>
        <v>#N/A</v>
      </c>
      <c r="Z763" s="5" t="e">
        <f ca="1">IF(OR(INDEX($AI$2:$AI$1001,MATCH(ROWS($AH$2:AH763),$AH$2:$AH$1001,0),1)&gt;=100000,INDEX($AO$1005:$BQ$1005,1,MATCH(COLUMNS($AO$1006:BM1006),$AO$1006:$BQ$1006,0))&gt;=100000), " ",IF(INDEX($AO$2:$BQ$1001,MATCH(ROWS($AH$2:AH763),$AH$2:$AH$1001,0),MATCH(COLUMNS($AO$1006:BM1006),$AO$1006:$BQ$1006,0)), HYPERLINK("#",""), HYPERLINK(CONCATENATE("#Metadata!", ADDRESS(INDEX($AJ$2:$AJ$1001,MATCH(ROWS($AH$2:AH763),$AH$2:$AH$1001,0),0), INDEX($AO$1004:$BQ$1004,1,MATCH(COLUMNS($AO$1006:BM1006),$AO$1006:$BQ$1006,0)))),"Fix")))</f>
        <v>#N/A</v>
      </c>
      <c r="AA763" s="5" t="e">
        <f ca="1">IF(OR(INDEX($AI$2:$AI$1001,MATCH(ROWS($AH$2:AH763),$AH$2:$AH$1001,0),1)&gt;=100000,INDEX($AO$1005:$BQ$1005,1,MATCH(COLUMNS($AO$1006:BN1006),$AO$1006:$BQ$1006,0))&gt;=100000), " ",IF(INDEX($AO$2:$BQ$1001,MATCH(ROWS($AH$2:AH763),$AH$2:$AH$1001,0),MATCH(COLUMNS($AO$1006:BN1006),$AO$1006:$BQ$1006,0)), HYPERLINK("#",""), HYPERLINK(CONCATENATE("#Metadata!", ADDRESS(INDEX($AJ$2:$AJ$1001,MATCH(ROWS($AH$2:AH763),$AH$2:$AH$1001,0),0), INDEX($AO$1004:$BQ$1004,1,MATCH(COLUMNS($AO$1006:BN1006),$AO$1006:$BQ$1006,0)))),"Fix")))</f>
        <v>#N/A</v>
      </c>
      <c r="AB763" s="5" t="e">
        <f ca="1">IF(OR(INDEX($AI$2:$AI$1001,MATCH(ROWS($AH$2:AH763),$AH$2:$AH$1001,0),1)&gt;=100000,INDEX($AO$1005:$BQ$1005,1,MATCH(COLUMNS($AO$1006:BO1006),$AO$1006:$BQ$1006,0))&gt;=100000), " ",IF(INDEX($AO$2:$BQ$1001,MATCH(ROWS($AH$2:AH763),$AH$2:$AH$1001,0),MATCH(COLUMNS($AO$1006:BO1006),$AO$1006:$BQ$1006,0)), HYPERLINK("#",""), HYPERLINK(CONCATENATE("#Metadata!", ADDRESS(INDEX($AJ$2:$AJ$1001,MATCH(ROWS($AH$2:AH763),$AH$2:$AH$1001,0),0), INDEX($AO$1004:$BQ$1004,1,MATCH(COLUMNS($AO$1006:BO1006),$AO$1006:$BQ$1006,0)))),"Fix")))</f>
        <v>#N/A</v>
      </c>
      <c r="AC763" s="5" t="e">
        <f ca="1">IF(OR(INDEX($AI$2:$AI$1001,MATCH(ROWS($AH$2:AH763),$AH$2:$AH$1001,0),1)&gt;=100000,INDEX($AO$1005:$BQ$1005,1,MATCH(COLUMNS($AO$1006:BP1006),$AO$1006:$BQ$1006,0))&gt;=100000), " ",IF(INDEX($AO$2:$BQ$1001,MATCH(ROWS($AH$2:AH763),$AH$2:$AH$1001,0),MATCH(COLUMNS($AO$1006:BP1006),$AO$1006:$BQ$1006,0)), HYPERLINK("#",""), HYPERLINK(CONCATENATE("#Metadata!", ADDRESS(INDEX($AJ$2:$AJ$1001,MATCH(ROWS($AH$2:AH763),$AH$2:$AH$1001,0),0), INDEX($AO$1004:$BQ$1004,1,MATCH(COLUMNS($AO$1006:BP1006),$AO$1006:$BQ$1006,0)))),"Fix")))</f>
        <v>#N/A</v>
      </c>
      <c r="AD763" s="5" t="e">
        <f ca="1">IF(OR(INDEX($AI$2:$AI$1001,MATCH(ROWS($AH$2:AH763),$AH$2:$AH$1001,0),1)&gt;=100000,INDEX($AO$1005:$BQ$1005,1,MATCH(COLUMNS($AO$1006:BQ1006),$AO$1006:$BQ$1006,0))&gt;=100000), " ",IF(INDEX($AO$2:$BQ$1001,MATCH(ROWS($AH$2:AH763),$AH$2:$AH$1001,0),MATCH(COLUMNS($AO$1006:BQ1006),$AO$1006:$BQ$1006,0)), HYPERLINK("#",""), HYPERLINK(CONCATENATE("#Metadata!", ADDRESS(INDEX($AJ$2:$AJ$1001,MATCH(ROWS($AH$2:AH763),$AH$2:$AH$1001,0),0), INDEX($AO$1004:$BQ$1004,1,MATCH(COLUMNS($AO$1006:BQ1006),$AO$1006:$BQ$1006,0)))),"Fix")))</f>
        <v>#REF!</v>
      </c>
      <c r="AH763">
        <f ca="1"/>
        <v>760</v>
      </c>
      <c r="AI763">
        <v>100763</v>
      </c>
      <c r="AJ763">
        <v>763</v>
      </c>
      <c r="AK763" t="b">
        <f t="shared" si="11"/>
        <v>1</v>
      </c>
      <c r="AL763" t="b">
        <f>COUNTBLANK(Metadata!B763:AD763)=COLUMNS(Metadata!B763:AD763)</f>
        <v>1</v>
      </c>
      <c r="AM763" t="str">
        <v/>
      </c>
      <c r="AO763" t="b">
        <f ca="1">AND(IF(Metadata!B763="",FALSE,TRUE),COUNTIF(Metadata!B:B, Metadata!B763) = 1,NOT(ISERROR(SUMPRODUCT(SEARCH(MID(Metadata!B763,ROW(INDIRECT("1:"&amp;LEN(Metadata!B763))), 1),"0123456789abcdefghijklmnopqrstuvwxyzABCDEFGHIJKLMNOPQRSTUVWXYZ.")))))</f>
        <v>0</v>
      </c>
      <c r="AP763" t="b">
        <f>IF(Metadata!C763="",FALSE,TRUE)</f>
        <v>0</v>
      </c>
      <c r="AQ763" t="b">
        <f>IF(Metadata!D763="",FALSE,TRUE)</f>
        <v>0</v>
      </c>
      <c r="AR763" t="b">
        <f ca="1">OR(AND(IF(Metadata!E763="",FALSE,TRUE),OR(EXACT(Metadata!E763,"not collected"),EXACT(Metadata!E763,"not provided"),EXACT(Metadata!E763,"restricted access"))),AND(IF(Metadata!E763="",FALSE,TRUE),AND(AND(IFERROR(INT(LEFT(Metadata!E763,4))&gt;1900,FALSE),IFERROR(INT(LEFT(Metadata!E763,4))&lt;=YEAR(NOW()),FALSE)), OR(MID(Metadata!E763,5,1)="", AND(AND(MID(Metadata!E763,5,1)="-",IFERROR(INT(MID(Metadata!E763,6,1))&gt;=0,FALSE),IFERROR(INT(MID(Metadata!E763,6,1))&lt;=1,FALSE),NOT(MID(Metadata!E763,7,1)=""),IFERROR(INT(MID(Metadata!E763,6,2))&gt;=1,FALSE),IFERROR(INT(MID(Metadata!E763,6,2))&lt;=12,FALSE)), OR(MID(Metadata!E763,8,1)="", AND(AND(MID(Metadata!E763,8,1)="-",IFERROR(INT(MID(Metadata!E763,9,1))&gt;=0,FALSE),IFERROR(INT(MID(Metadata!E763,9,1))&lt;=3,FALSE),NOT(MID(Metadata!E763,10,1)=""),IFERROR(INT(MID(Metadata!E763,9,2))&gt;=1,FALSE),IFERROR(INT(MID(Metadata!E763,9,2))&lt;=31,FALSE)), OR(MID(Metadata!E763,11,1)="", AND(AND(MID(Metadata!E763,11,1)=" ",IFERROR(INT(MID(Metadata!E763,12,1))&gt;=0,FALSE),IFERROR(INT(MID(Metadata!E763,12,1))&lt;=2,FALSE),NOT(MID(Metadata!E763,13,1)=""),IFERROR(INT(MID(Metadata!E763,12,2))&gt;=0,FALSE),IFERROR(INT(MID(Metadata!E763,12,2))&lt;=23,FALSE)), OR(MID(Metadata!E763,14,1)="", AND(AND(MID(Metadata!E763,14,1)=":",IFERROR(INT(MID(Metadata!E763,15,1))&gt;=0,FALSE),IFERROR(INT(MID(Metadata!E763,15,1))&lt;=5,FALSE),NOT(MID(Metadata!E763,16,1)=""),IFERROR(INT(MID(Metadata!E763,15,2))&gt;=0,FALSE),IFERROR(INT(MID(Metadata!E763,15,2))&lt;=59,FALSE)), OR(MID(Metadata!E763,17,1)="", AND(AND(MID(Metadata!E763,17,1)=":",IFERROR(INT(MID(Metadata!E763,18,1))&gt;=0,FALSE),IFERROR(INT(MID(Metadata!E763,18,1))&lt;=5,FALSE),NOT(MID(Metadata!E763,19,1)=""),IFERROR(INT(MID(Metadata!E763,18,2))&gt;=0,FALSE),IFERROR(INT(MID(Metadata!E763,18,2))&lt;=59,FALSE)), LEN(Metadata!E763)&lt;=19)))))))))))))</f>
        <v>0</v>
      </c>
      <c r="AS763" t="b">
        <f>IF(Metadata!F763="",FALSE,TRUE)</f>
        <v>0</v>
      </c>
      <c r="AT763" t="b">
        <f>OR(AND(IF(Metadata!G763="",FALSE,TRUE),OR(EXACT(Metadata!G763,"not collected"),EXACT(Metadata!G763,"not provided"))),AND(IF(Metadata!G763="",FALSE,TRUE),OR(EXACT(Metadata!G763,"TRUE"),EXACT(Metadata!G763,"FALSE"))))</f>
        <v>0</v>
      </c>
      <c r="AU763" t="b">
        <f>OR(AND(IF(Metadata!H763="",FALSE,TRUE),OR(EXACT(Metadata!H763,"not collected"),EXACT(Metadata!H763,"not provided"),EXACT(Metadata!H763,"restricted access"))),AND(IF(Metadata!H763="",FALSE,ISNUMBER(VALUE(Metadata!H763))),Metadata!H763&gt;=-413))</f>
        <v>0</v>
      </c>
      <c r="AV763" t="b">
        <f>AND(IF(Metadata!I763="",FALSE,TRUE),EXACT(Metadata!I763,"meters"))</f>
        <v>0</v>
      </c>
      <c r="AW763" t="b">
        <f>AND(IF(Metadata!J763="",FALSE,TRUE),EXACT(Metadata!J763,"free-living"))</f>
        <v>0</v>
      </c>
      <c r="AX763" t="b">
        <f>AND(IF(Metadata!K763="",FALSE,TRUE),OR(EXACT(Metadata!K763,"saline"),EXACT(Metadata!K763,"non-saline")))</f>
        <v>0</v>
      </c>
      <c r="AY763" t="b">
        <f>AND(IF(Metadata!L763="",FALSE,TRUE),OR(EXACT(Metadata!L763,"sub-surface (non-saline)"),EXACT(Metadata!L763,"surface (non-saline)"),EXACT(Metadata!L763,"water (non-saline)"),EXACT(Metadata!L763,"soil (non-saline)"),EXACT(Metadata!L763,"aerosol (non-saline)"),EXACT(Metadata!L763,"sediment (non-saline)"),EXACT(Metadata!L763,"surface (saline)"),EXACT(Metadata!L763,"water (saline)"),EXACT(Metadata!L763,"hypersaline (saline)"),EXACT(Metadata!L763,"aerosol (saline)"),EXACT(Metadata!L763,"sediment (saline)")))</f>
        <v>0</v>
      </c>
      <c r="AZ763" t="b">
        <f>IF(Metadata!M763="",FALSE,TRUE)</f>
        <v>0</v>
      </c>
      <c r="BA763" t="b">
        <f>IF(Metadata!N763="",FALSE,TRUE)</f>
        <v>0</v>
      </c>
      <c r="BB763" t="b">
        <f>IF(Metadata!O763="",FALSE,TRUE)</f>
        <v>0</v>
      </c>
      <c r="BC763" t="b">
        <f>AND(IF(Metadata!P763="",FALSE,TRUE),OR(EXACT(Metadata!P763,"air"),EXACT(Metadata!P763,"microbial mat/biofilm"),EXACT(Metadata!P763,"misc environment"),EXACT(Metadata!P763,"sediment"),EXACT(Metadata!P763,"soil"),EXACT(Metadata!P763,"wastewater/sludge"),EXACT(Metadata!P763,"water")))</f>
        <v>0</v>
      </c>
      <c r="BD763" t="b">
        <f>IF(Metadata!Q763="",FALSE,TRUE)</f>
        <v>0</v>
      </c>
      <c r="BE763" t="b">
        <f>IF(Metadata!R763="",FALSE,TRUE)</f>
        <v>0</v>
      </c>
      <c r="BF763" t="b">
        <f>OR(AND(IF(Metadata!S763="",FALSE,TRUE),OR(EXACT(Metadata!S763,"not collected"),EXACT(Metadata!S763,"not provided"),EXACT(Metadata!S763,"restricted access"))),AND(IF(Metadata!S763="",FALSE,ISNUMBER(VALUE(Metadata!S763))),Metadata!S763&gt;=-90,Metadata!S763&lt;=90))</f>
        <v>0</v>
      </c>
      <c r="BG763" t="b">
        <f>AND(IF(Metadata!T763="",FALSE,TRUE),EXACT(Metadata!T763,"Decimal degrees"))</f>
        <v>0</v>
      </c>
      <c r="BH763" t="b">
        <f>OR(AND(IF(Metadata!U763="",FALSE,TRUE),OR(EXACT(Metadata!U763,"not applicable"),EXACT(Metadata!U763,"not collected"))),IF(Metadata!U763="",FALSE,TRUE))</f>
        <v>0</v>
      </c>
      <c r="BI763" t="b">
        <f>OR(AND(IF(Metadata!V763="",FALSE,TRUE),OR(EXACT(Metadata!V763,"not collected"),EXACT(Metadata!V763,"not provided"),EXACT(Metadata!V763,"restricted access"))),AND(IF(Metadata!V763="",FALSE,ISNUMBER(VALUE(Metadata!V763))),Metadata!V763&gt;=-180,Metadata!V763&lt;=180))</f>
        <v>0</v>
      </c>
      <c r="BJ763" t="b">
        <f>AND(IF(Metadata!W763="",FALSE,TRUE),EXACT(Metadata!W763,"Decimal degrees"))</f>
        <v>0</v>
      </c>
      <c r="BK763" t="b">
        <f>IF(Metadata!X763="",FALSE,TRUE)</f>
        <v>0</v>
      </c>
      <c r="BL763" t="b">
        <f>OR(AND(IF(Metadata!Y763="",FALSE,TRUE),OR(EXACT(Metadata!Y763,"not collected"),EXACT(Metadata!Y763,"not provided"),EXACT(Metadata!Y763,"restricted access"))),AND(IF(Metadata!Y763="",FALSE,TRUE),OR(EXACT(Metadata!Y763,"TRUE"),EXACT(Metadata!Y763,"FALSE"))))</f>
        <v>0</v>
      </c>
      <c r="BM763" t="b">
        <f>OR(AND(IF(Metadata!Z763="",FALSE,TRUE),EXACT(Metadata!Z763,"not applicable")),AND(IF(Metadata!Z763="",FALSE,TRUE),OR(EXACT(Metadata!Z763,"beer"),EXACT(Metadata!Z763,"cheese"),EXACT(Metadata!Z763,"fresh water"),EXACT(Metadata!Z763,"marine sediment"),EXACT(Metadata!Z763,"sea water"),EXACT(Metadata!Z763,"sediment"),EXACT(Metadata!Z763,"soil"),EXACT(Metadata!Z763,"waste water"))))</f>
        <v>0</v>
      </c>
      <c r="BN763" t="b">
        <f>AND(IF(Metadata!AA763="",FALSE,TRUE),EXACT(Metadata!AA763,"metagenome"))</f>
        <v>0</v>
      </c>
      <c r="BO763" t="b">
        <f>AND(IF(Metadata!AB763="",FALSE,TRUE),EXACT(Metadata!AB763,"256318"))</f>
        <v>0</v>
      </c>
      <c r="BP763" t="b">
        <f>IF(Metadata!AC763="",FALSE,TRUE)</f>
        <v>0</v>
      </c>
      <c r="BQ763" t="b">
        <f>IF(Metadata!AD763="",FALSE,TRUE)</f>
        <v>0</v>
      </c>
    </row>
    <row r="764" spans="1:69" x14ac:dyDescent="0.2">
      <c r="A764" s="4" t="e">
        <f ca="1">IF(B764=" "," ",HYPERLINK(CONCATENATE("#metadata!",ADDRESS(INDEX($AJ$2:$AJ$1001,MATCH(ROWS($AH$2:AH764),$AH$2:$AH$1001,0),0),2)),INDEX($AM$2:$AM$1001,MATCH(ROWS($AH$2:AH764),$AH$2:$AH$1001,0),0)))</f>
        <v>#N/A</v>
      </c>
      <c r="B764" s="5" t="e">
        <f ca="1">IF(OR(INDEX($AI$2:$AI$1001,MATCH(ROWS($AH$2:AH764),$AH$2:$AH$1001,0),1)&gt;=100000,INDEX($AO$1005:$BQ$1005,1,MATCH(COLUMNS($AO$1006:AO1006),$AO$1006:$BQ$1006,0))&gt;=100000), " ",IF(INDEX($AO$2:$BQ$1001,MATCH(ROWS($AH$2:AH764),$AH$2:$AH$1001,0),MATCH(COLUMNS($AO$1006:AO1006),$AO$1006:$BQ$1006,0)), HYPERLINK("#",""), HYPERLINK(CONCATENATE("#Metadata!", ADDRESS(INDEX($AJ$2:$AJ$1001,MATCH(ROWS($AH$2:AH764),$AH$2:$AH$1001,0),0), INDEX($AO$1004:$BQ$1004,1,MATCH(COLUMNS($AO$1006:AO1006),$AO$1006:$BQ$1006,0)))),"Fix")))</f>
        <v>#N/A</v>
      </c>
      <c r="C764" s="5" t="e">
        <f ca="1">IF(OR(INDEX($AI$2:$AI$1001,MATCH(ROWS($AH$2:AH764),$AH$2:$AH$1001,0),1)&gt;=100000,INDEX($AO$1005:$BQ$1005,1,MATCH(COLUMNS($AO$1006:AP1006),$AO$1006:$BQ$1006,0))&gt;=100000), " ",IF(INDEX($AO$2:$BQ$1001,MATCH(ROWS($AH$2:AH764),$AH$2:$AH$1001,0),MATCH(COLUMNS($AO$1006:AP1006),$AO$1006:$BQ$1006,0)), HYPERLINK("#",""), HYPERLINK(CONCATENATE("#Metadata!", ADDRESS(INDEX($AJ$2:$AJ$1001,MATCH(ROWS($AH$2:AH764),$AH$2:$AH$1001,0),0), INDEX($AO$1004:$BQ$1004,1,MATCH(COLUMNS($AO$1006:AP1006),$AO$1006:$BQ$1006,0)))),"Fix")))</f>
        <v>#N/A</v>
      </c>
      <c r="D764" s="5" t="e">
        <f ca="1">IF(OR(INDEX($AI$2:$AI$1001,MATCH(ROWS($AH$2:AH764),$AH$2:$AH$1001,0),1)&gt;=100000,INDEX($AO$1005:$BQ$1005,1,MATCH(COLUMNS($AO$1006:AQ1006),$AO$1006:$BQ$1006,0))&gt;=100000), " ",IF(INDEX($AO$2:$BQ$1001,MATCH(ROWS($AH$2:AH764),$AH$2:$AH$1001,0),MATCH(COLUMNS($AO$1006:AQ1006),$AO$1006:$BQ$1006,0)), HYPERLINK("#",""), HYPERLINK(CONCATENATE("#Metadata!", ADDRESS(INDEX($AJ$2:$AJ$1001,MATCH(ROWS($AH$2:AH764),$AH$2:$AH$1001,0),0), INDEX($AO$1004:$BQ$1004,1,MATCH(COLUMNS($AO$1006:AQ1006),$AO$1006:$BQ$1006,0)))),"Fix")))</f>
        <v>#N/A</v>
      </c>
      <c r="E764" s="5" t="e">
        <f ca="1">IF(OR(INDEX($AI$2:$AI$1001,MATCH(ROWS($AH$2:AH764),$AH$2:$AH$1001,0),1)&gt;=100000,INDEX($AO$1005:$BQ$1005,1,MATCH(COLUMNS($AO$1006:AR1006),$AO$1006:$BQ$1006,0))&gt;=100000), " ",IF(INDEX($AO$2:$BQ$1001,MATCH(ROWS($AH$2:AH764),$AH$2:$AH$1001,0),MATCH(COLUMNS($AO$1006:AR1006),$AO$1006:$BQ$1006,0)), HYPERLINK("#",""), HYPERLINK(CONCATENATE("#Metadata!", ADDRESS(INDEX($AJ$2:$AJ$1001,MATCH(ROWS($AH$2:AH764),$AH$2:$AH$1001,0),0), INDEX($AO$1004:$BQ$1004,1,MATCH(COLUMNS($AO$1006:AR1006),$AO$1006:$BQ$1006,0)))),"Fix")))</f>
        <v>#N/A</v>
      </c>
      <c r="F764" s="5" t="e">
        <f ca="1">IF(OR(INDEX($AI$2:$AI$1001,MATCH(ROWS($AH$2:AH764),$AH$2:$AH$1001,0),1)&gt;=100000,INDEX($AO$1005:$BQ$1005,1,MATCH(COLUMNS($AO$1006:AS1006),$AO$1006:$BQ$1006,0))&gt;=100000), " ",IF(INDEX($AO$2:$BQ$1001,MATCH(ROWS($AH$2:AH764),$AH$2:$AH$1001,0),MATCH(COLUMNS($AO$1006:AS1006),$AO$1006:$BQ$1006,0)), HYPERLINK("#",""), HYPERLINK(CONCATENATE("#Metadata!", ADDRESS(INDEX($AJ$2:$AJ$1001,MATCH(ROWS($AH$2:AH764),$AH$2:$AH$1001,0),0), INDEX($AO$1004:$BQ$1004,1,MATCH(COLUMNS($AO$1006:AS1006),$AO$1006:$BQ$1006,0)))),"Fix")))</f>
        <v>#N/A</v>
      </c>
      <c r="G764" s="5" t="e">
        <f ca="1">IF(OR(INDEX($AI$2:$AI$1001,MATCH(ROWS($AH$2:AH764),$AH$2:$AH$1001,0),1)&gt;=100000,INDEX($AO$1005:$BQ$1005,1,MATCH(COLUMNS($AO$1006:AT1006),$AO$1006:$BQ$1006,0))&gt;=100000), " ",IF(INDEX($AO$2:$BQ$1001,MATCH(ROWS($AH$2:AH764),$AH$2:$AH$1001,0),MATCH(COLUMNS($AO$1006:AT1006),$AO$1006:$BQ$1006,0)), HYPERLINK("#",""), HYPERLINK(CONCATENATE("#Metadata!", ADDRESS(INDEX($AJ$2:$AJ$1001,MATCH(ROWS($AH$2:AH764),$AH$2:$AH$1001,0),0), INDEX($AO$1004:$BQ$1004,1,MATCH(COLUMNS($AO$1006:AT1006),$AO$1006:$BQ$1006,0)))),"Fix")))</f>
        <v>#N/A</v>
      </c>
      <c r="H764" s="5" t="e">
        <f ca="1">IF(OR(INDEX($AI$2:$AI$1001,MATCH(ROWS($AH$2:AH764),$AH$2:$AH$1001,0),1)&gt;=100000,INDEX($AO$1005:$BQ$1005,1,MATCH(COLUMNS($AO$1006:AU1006),$AO$1006:$BQ$1006,0))&gt;=100000), " ",IF(INDEX($AO$2:$BQ$1001,MATCH(ROWS($AH$2:AH764),$AH$2:$AH$1001,0),MATCH(COLUMNS($AO$1006:AU1006),$AO$1006:$BQ$1006,0)), HYPERLINK("#",""), HYPERLINK(CONCATENATE("#Metadata!", ADDRESS(INDEX($AJ$2:$AJ$1001,MATCH(ROWS($AH$2:AH764),$AH$2:$AH$1001,0),0), INDEX($AO$1004:$BQ$1004,1,MATCH(COLUMNS($AO$1006:AU1006),$AO$1006:$BQ$1006,0)))),"Fix")))</f>
        <v>#N/A</v>
      </c>
      <c r="I764" s="5" t="e">
        <f ca="1">IF(OR(INDEX($AI$2:$AI$1001,MATCH(ROWS($AH$2:AH764),$AH$2:$AH$1001,0),1)&gt;=100000,INDEX($AO$1005:$BQ$1005,1,MATCH(COLUMNS($AO$1006:AV1006),$AO$1006:$BQ$1006,0))&gt;=100000), " ",IF(INDEX($AO$2:$BQ$1001,MATCH(ROWS($AH$2:AH764),$AH$2:$AH$1001,0),MATCH(COLUMNS($AO$1006:AV1006),$AO$1006:$BQ$1006,0)), HYPERLINK("#",""), HYPERLINK(CONCATENATE("#Metadata!", ADDRESS(INDEX($AJ$2:$AJ$1001,MATCH(ROWS($AH$2:AH764),$AH$2:$AH$1001,0),0), INDEX($AO$1004:$BQ$1004,1,MATCH(COLUMNS($AO$1006:AV1006),$AO$1006:$BQ$1006,0)))),"Fix")))</f>
        <v>#N/A</v>
      </c>
      <c r="J764" s="5" t="e">
        <f ca="1">IF(OR(INDEX($AI$2:$AI$1001,MATCH(ROWS($AH$2:AH764),$AH$2:$AH$1001,0),1)&gt;=100000,INDEX($AO$1005:$BQ$1005,1,MATCH(COLUMNS($AO$1006:AW1006),$AO$1006:$BQ$1006,0))&gt;=100000), " ",IF(INDEX($AO$2:$BQ$1001,MATCH(ROWS($AH$2:AH764),$AH$2:$AH$1001,0),MATCH(COLUMNS($AO$1006:AW1006),$AO$1006:$BQ$1006,0)), HYPERLINK("#",""), HYPERLINK(CONCATENATE("#Metadata!", ADDRESS(INDEX($AJ$2:$AJ$1001,MATCH(ROWS($AH$2:AH764),$AH$2:$AH$1001,0),0), INDEX($AO$1004:$BQ$1004,1,MATCH(COLUMNS($AO$1006:AW1006),$AO$1006:$BQ$1006,0)))),"Fix")))</f>
        <v>#N/A</v>
      </c>
      <c r="K764" s="5" t="e">
        <f ca="1">IF(OR(INDEX($AI$2:$AI$1001,MATCH(ROWS($AH$2:AH764),$AH$2:$AH$1001,0),1)&gt;=100000,INDEX($AO$1005:$BQ$1005,1,MATCH(COLUMNS($AO$1006:AX1006),$AO$1006:$BQ$1006,0))&gt;=100000), " ",IF(INDEX($AO$2:$BQ$1001,MATCH(ROWS($AH$2:AH764),$AH$2:$AH$1001,0),MATCH(COLUMNS($AO$1006:AX1006),$AO$1006:$BQ$1006,0)), HYPERLINK("#",""), HYPERLINK(CONCATENATE("#Metadata!", ADDRESS(INDEX($AJ$2:$AJ$1001,MATCH(ROWS($AH$2:AH764),$AH$2:$AH$1001,0),0), INDEX($AO$1004:$BQ$1004,1,MATCH(COLUMNS($AO$1006:AX1006),$AO$1006:$BQ$1006,0)))),"Fix")))</f>
        <v>#N/A</v>
      </c>
      <c r="L764" s="5" t="e">
        <f ca="1">IF(OR(INDEX($AI$2:$AI$1001,MATCH(ROWS($AH$2:AH764),$AH$2:$AH$1001,0),1)&gt;=100000,INDEX($AO$1005:$BQ$1005,1,MATCH(COLUMNS($AO$1006:AY1006),$AO$1006:$BQ$1006,0))&gt;=100000), " ",IF(INDEX($AO$2:$BQ$1001,MATCH(ROWS($AH$2:AH764),$AH$2:$AH$1001,0),MATCH(COLUMNS($AO$1006:AY1006),$AO$1006:$BQ$1006,0)), HYPERLINK("#",""), HYPERLINK(CONCATENATE("#Metadata!", ADDRESS(INDEX($AJ$2:$AJ$1001,MATCH(ROWS($AH$2:AH764),$AH$2:$AH$1001,0),0), INDEX($AO$1004:$BQ$1004,1,MATCH(COLUMNS($AO$1006:AY1006),$AO$1006:$BQ$1006,0)))),"Fix")))</f>
        <v>#N/A</v>
      </c>
      <c r="M764" s="5" t="e">
        <f ca="1">IF(OR(INDEX($AI$2:$AI$1001,MATCH(ROWS($AH$2:AH764),$AH$2:$AH$1001,0),1)&gt;=100000,INDEX($AO$1005:$BQ$1005,1,MATCH(COLUMNS($AO$1006:AZ1006),$AO$1006:$BQ$1006,0))&gt;=100000), " ",IF(INDEX($AO$2:$BQ$1001,MATCH(ROWS($AH$2:AH764),$AH$2:$AH$1001,0),MATCH(COLUMNS($AO$1006:AZ1006),$AO$1006:$BQ$1006,0)), HYPERLINK("#",""), HYPERLINK(CONCATENATE("#Metadata!", ADDRESS(INDEX($AJ$2:$AJ$1001,MATCH(ROWS($AH$2:AH764),$AH$2:$AH$1001,0),0), INDEX($AO$1004:$BQ$1004,1,MATCH(COLUMNS($AO$1006:AZ1006),$AO$1006:$BQ$1006,0)))),"Fix")))</f>
        <v>#N/A</v>
      </c>
      <c r="N764" s="5" t="e">
        <f ca="1">IF(OR(INDEX($AI$2:$AI$1001,MATCH(ROWS($AH$2:AH764),$AH$2:$AH$1001,0),1)&gt;=100000,INDEX($AO$1005:$BQ$1005,1,MATCH(COLUMNS($AO$1006:BA1006),$AO$1006:$BQ$1006,0))&gt;=100000), " ",IF(INDEX($AO$2:$BQ$1001,MATCH(ROWS($AH$2:AH764),$AH$2:$AH$1001,0),MATCH(COLUMNS($AO$1006:BA1006),$AO$1006:$BQ$1006,0)), HYPERLINK("#",""), HYPERLINK(CONCATENATE("#Metadata!", ADDRESS(INDEX($AJ$2:$AJ$1001,MATCH(ROWS($AH$2:AH764),$AH$2:$AH$1001,0),0), INDEX($AO$1004:$BQ$1004,1,MATCH(COLUMNS($AO$1006:BA1006),$AO$1006:$BQ$1006,0)))),"Fix")))</f>
        <v>#N/A</v>
      </c>
      <c r="O764" s="5" t="e">
        <f ca="1">IF(OR(INDEX($AI$2:$AI$1001,MATCH(ROWS($AH$2:AH764),$AH$2:$AH$1001,0),1)&gt;=100000,INDEX($AO$1005:$BQ$1005,1,MATCH(COLUMNS($AO$1006:BB1006),$AO$1006:$BQ$1006,0))&gt;=100000), " ",IF(INDEX($AO$2:$BQ$1001,MATCH(ROWS($AH$2:AH764),$AH$2:$AH$1001,0),MATCH(COLUMNS($AO$1006:BB1006),$AO$1006:$BQ$1006,0)), HYPERLINK("#",""), HYPERLINK(CONCATENATE("#Metadata!", ADDRESS(INDEX($AJ$2:$AJ$1001,MATCH(ROWS($AH$2:AH764),$AH$2:$AH$1001,0),0), INDEX($AO$1004:$BQ$1004,1,MATCH(COLUMNS($AO$1006:BB1006),$AO$1006:$BQ$1006,0)))),"Fix")))</f>
        <v>#N/A</v>
      </c>
      <c r="P764" s="5" t="e">
        <f ca="1">IF(OR(INDEX($AI$2:$AI$1001,MATCH(ROWS($AH$2:AH764),$AH$2:$AH$1001,0),1)&gt;=100000,INDEX($AO$1005:$BQ$1005,1,MATCH(COLUMNS($AO$1006:BC1006),$AO$1006:$BQ$1006,0))&gt;=100000), " ",IF(INDEX($AO$2:$BQ$1001,MATCH(ROWS($AH$2:AH764),$AH$2:$AH$1001,0),MATCH(COLUMNS($AO$1006:BC1006),$AO$1006:$BQ$1006,0)), HYPERLINK("#",""), HYPERLINK(CONCATENATE("#Metadata!", ADDRESS(INDEX($AJ$2:$AJ$1001,MATCH(ROWS($AH$2:AH764),$AH$2:$AH$1001,0),0), INDEX($AO$1004:$BQ$1004,1,MATCH(COLUMNS($AO$1006:BC1006),$AO$1006:$BQ$1006,0)))),"Fix")))</f>
        <v>#N/A</v>
      </c>
      <c r="Q764" s="5" t="e">
        <f ca="1">IF(OR(INDEX($AI$2:$AI$1001,MATCH(ROWS($AH$2:AH764),$AH$2:$AH$1001,0),1)&gt;=100000,INDEX($AO$1005:$BQ$1005,1,MATCH(COLUMNS($AO$1006:BD1006),$AO$1006:$BQ$1006,0))&gt;=100000), " ",IF(INDEX($AO$2:$BQ$1001,MATCH(ROWS($AH$2:AH764),$AH$2:$AH$1001,0),MATCH(COLUMNS($AO$1006:BD1006),$AO$1006:$BQ$1006,0)), HYPERLINK("#",""), HYPERLINK(CONCATENATE("#Metadata!", ADDRESS(INDEX($AJ$2:$AJ$1001,MATCH(ROWS($AH$2:AH764),$AH$2:$AH$1001,0),0), INDEX($AO$1004:$BQ$1004,1,MATCH(COLUMNS($AO$1006:BD1006),$AO$1006:$BQ$1006,0)))),"Fix")))</f>
        <v>#N/A</v>
      </c>
      <c r="R764" s="5" t="e">
        <f ca="1">IF(OR(INDEX($AI$2:$AI$1001,MATCH(ROWS($AH$2:AH764),$AH$2:$AH$1001,0),1)&gt;=100000,INDEX($AO$1005:$BQ$1005,1,MATCH(COLUMNS($AO$1006:BE1006),$AO$1006:$BQ$1006,0))&gt;=100000), " ",IF(INDEX($AO$2:$BQ$1001,MATCH(ROWS($AH$2:AH764),$AH$2:$AH$1001,0),MATCH(COLUMNS($AO$1006:BE1006),$AO$1006:$BQ$1006,0)), HYPERLINK("#",""), HYPERLINK(CONCATENATE("#Metadata!", ADDRESS(INDEX($AJ$2:$AJ$1001,MATCH(ROWS($AH$2:AH764),$AH$2:$AH$1001,0),0), INDEX($AO$1004:$BQ$1004,1,MATCH(COLUMNS($AO$1006:BE1006),$AO$1006:$BQ$1006,0)))),"Fix")))</f>
        <v>#N/A</v>
      </c>
      <c r="S764" s="5" t="e">
        <f ca="1">IF(OR(INDEX($AI$2:$AI$1001,MATCH(ROWS($AH$2:AH764),$AH$2:$AH$1001,0),1)&gt;=100000,INDEX($AO$1005:$BQ$1005,1,MATCH(COLUMNS($AO$1006:BF1006),$AO$1006:$BQ$1006,0))&gt;=100000), " ",IF(INDEX($AO$2:$BQ$1001,MATCH(ROWS($AH$2:AH764),$AH$2:$AH$1001,0),MATCH(COLUMNS($AO$1006:BF1006),$AO$1006:$BQ$1006,0)), HYPERLINK("#",""), HYPERLINK(CONCATENATE("#Metadata!", ADDRESS(INDEX($AJ$2:$AJ$1001,MATCH(ROWS($AH$2:AH764),$AH$2:$AH$1001,0),0), INDEX($AO$1004:$BQ$1004,1,MATCH(COLUMNS($AO$1006:BF1006),$AO$1006:$BQ$1006,0)))),"Fix")))</f>
        <v>#N/A</v>
      </c>
      <c r="T764" s="5" t="e">
        <f ca="1">IF(OR(INDEX($AI$2:$AI$1001,MATCH(ROWS($AH$2:AH764),$AH$2:$AH$1001,0),1)&gt;=100000,INDEX($AO$1005:$BQ$1005,1,MATCH(COLUMNS($AO$1006:BG1006),$AO$1006:$BQ$1006,0))&gt;=100000), " ",IF(INDEX($AO$2:$BQ$1001,MATCH(ROWS($AH$2:AH764),$AH$2:$AH$1001,0),MATCH(COLUMNS($AO$1006:BG1006),$AO$1006:$BQ$1006,0)), HYPERLINK("#",""), HYPERLINK(CONCATENATE("#Metadata!", ADDRESS(INDEX($AJ$2:$AJ$1001,MATCH(ROWS($AH$2:AH764),$AH$2:$AH$1001,0),0), INDEX($AO$1004:$BQ$1004,1,MATCH(COLUMNS($AO$1006:BG1006),$AO$1006:$BQ$1006,0)))),"Fix")))</f>
        <v>#N/A</v>
      </c>
      <c r="U764" s="5" t="e">
        <f ca="1">IF(OR(INDEX($AI$2:$AI$1001,MATCH(ROWS($AH$2:AH764),$AH$2:$AH$1001,0),1)&gt;=100000,INDEX($AO$1005:$BQ$1005,1,MATCH(COLUMNS($AO$1006:BH1006),$AO$1006:$BQ$1006,0))&gt;=100000), " ",IF(INDEX($AO$2:$BQ$1001,MATCH(ROWS($AH$2:AH764),$AH$2:$AH$1001,0),MATCH(COLUMNS($AO$1006:BH1006),$AO$1006:$BQ$1006,0)), HYPERLINK("#",""), HYPERLINK(CONCATENATE("#Metadata!", ADDRESS(INDEX($AJ$2:$AJ$1001,MATCH(ROWS($AH$2:AH764),$AH$2:$AH$1001,0),0), INDEX($AO$1004:$BQ$1004,1,MATCH(COLUMNS($AO$1006:BH1006),$AO$1006:$BQ$1006,0)))),"Fix")))</f>
        <v>#N/A</v>
      </c>
      <c r="V764" s="5" t="e">
        <f ca="1">IF(OR(INDEX($AI$2:$AI$1001,MATCH(ROWS($AH$2:AH764),$AH$2:$AH$1001,0),1)&gt;=100000,INDEX($AO$1005:$BQ$1005,1,MATCH(COLUMNS($AO$1006:BI1006),$AO$1006:$BQ$1006,0))&gt;=100000), " ",IF(INDEX($AO$2:$BQ$1001,MATCH(ROWS($AH$2:AH764),$AH$2:$AH$1001,0),MATCH(COLUMNS($AO$1006:BI1006),$AO$1006:$BQ$1006,0)), HYPERLINK("#",""), HYPERLINK(CONCATENATE("#Metadata!", ADDRESS(INDEX($AJ$2:$AJ$1001,MATCH(ROWS($AH$2:AH764),$AH$2:$AH$1001,0),0), INDEX($AO$1004:$BQ$1004,1,MATCH(COLUMNS($AO$1006:BI1006),$AO$1006:$BQ$1006,0)))),"Fix")))</f>
        <v>#N/A</v>
      </c>
      <c r="W764" s="5" t="e">
        <f ca="1">IF(OR(INDEX($AI$2:$AI$1001,MATCH(ROWS($AH$2:AH764),$AH$2:$AH$1001,0),1)&gt;=100000,INDEX($AO$1005:$BQ$1005,1,MATCH(COLUMNS($AO$1006:BJ1006),$AO$1006:$BQ$1006,0))&gt;=100000), " ",IF(INDEX($AO$2:$BQ$1001,MATCH(ROWS($AH$2:AH764),$AH$2:$AH$1001,0),MATCH(COLUMNS($AO$1006:BJ1006),$AO$1006:$BQ$1006,0)), HYPERLINK("#",""), HYPERLINK(CONCATENATE("#Metadata!", ADDRESS(INDEX($AJ$2:$AJ$1001,MATCH(ROWS($AH$2:AH764),$AH$2:$AH$1001,0),0), INDEX($AO$1004:$BQ$1004,1,MATCH(COLUMNS($AO$1006:BJ1006),$AO$1006:$BQ$1006,0)))),"Fix")))</f>
        <v>#N/A</v>
      </c>
      <c r="X764" s="5" t="e">
        <f ca="1">IF(OR(INDEX($AI$2:$AI$1001,MATCH(ROWS($AH$2:AH764),$AH$2:$AH$1001,0),1)&gt;=100000,INDEX($AO$1005:$BQ$1005,1,MATCH(COLUMNS($AO$1006:BK1006),$AO$1006:$BQ$1006,0))&gt;=100000), " ",IF(INDEX($AO$2:$BQ$1001,MATCH(ROWS($AH$2:AH764),$AH$2:$AH$1001,0),MATCH(COLUMNS($AO$1006:BK1006),$AO$1006:$BQ$1006,0)), HYPERLINK("#",""), HYPERLINK(CONCATENATE("#Metadata!", ADDRESS(INDEX($AJ$2:$AJ$1001,MATCH(ROWS($AH$2:AH764),$AH$2:$AH$1001,0),0), INDEX($AO$1004:$BQ$1004,1,MATCH(COLUMNS($AO$1006:BK1006),$AO$1006:$BQ$1006,0)))),"Fix")))</f>
        <v>#N/A</v>
      </c>
      <c r="Y764" s="5" t="e">
        <f ca="1">IF(OR(INDEX($AI$2:$AI$1001,MATCH(ROWS($AH$2:AH764),$AH$2:$AH$1001,0),1)&gt;=100000,INDEX($AO$1005:$BQ$1005,1,MATCH(COLUMNS($AO$1006:BL1006),$AO$1006:$BQ$1006,0))&gt;=100000), " ",IF(INDEX($AO$2:$BQ$1001,MATCH(ROWS($AH$2:AH764),$AH$2:$AH$1001,0),MATCH(COLUMNS($AO$1006:BL1006),$AO$1006:$BQ$1006,0)), HYPERLINK("#",""), HYPERLINK(CONCATENATE("#Metadata!", ADDRESS(INDEX($AJ$2:$AJ$1001,MATCH(ROWS($AH$2:AH764),$AH$2:$AH$1001,0),0), INDEX($AO$1004:$BQ$1004,1,MATCH(COLUMNS($AO$1006:BL1006),$AO$1006:$BQ$1006,0)))),"Fix")))</f>
        <v>#N/A</v>
      </c>
      <c r="Z764" s="5" t="e">
        <f ca="1">IF(OR(INDEX($AI$2:$AI$1001,MATCH(ROWS($AH$2:AH764),$AH$2:$AH$1001,0),1)&gt;=100000,INDEX($AO$1005:$BQ$1005,1,MATCH(COLUMNS($AO$1006:BM1006),$AO$1006:$BQ$1006,0))&gt;=100000), " ",IF(INDEX($AO$2:$BQ$1001,MATCH(ROWS($AH$2:AH764),$AH$2:$AH$1001,0),MATCH(COLUMNS($AO$1006:BM1006),$AO$1006:$BQ$1006,0)), HYPERLINK("#",""), HYPERLINK(CONCATENATE("#Metadata!", ADDRESS(INDEX($AJ$2:$AJ$1001,MATCH(ROWS($AH$2:AH764),$AH$2:$AH$1001,0),0), INDEX($AO$1004:$BQ$1004,1,MATCH(COLUMNS($AO$1006:BM1006),$AO$1006:$BQ$1006,0)))),"Fix")))</f>
        <v>#N/A</v>
      </c>
      <c r="AA764" s="5" t="e">
        <f ca="1">IF(OR(INDEX($AI$2:$AI$1001,MATCH(ROWS($AH$2:AH764),$AH$2:$AH$1001,0),1)&gt;=100000,INDEX($AO$1005:$BQ$1005,1,MATCH(COLUMNS($AO$1006:BN1006),$AO$1006:$BQ$1006,0))&gt;=100000), " ",IF(INDEX($AO$2:$BQ$1001,MATCH(ROWS($AH$2:AH764),$AH$2:$AH$1001,0),MATCH(COLUMNS($AO$1006:BN1006),$AO$1006:$BQ$1006,0)), HYPERLINK("#",""), HYPERLINK(CONCATENATE("#Metadata!", ADDRESS(INDEX($AJ$2:$AJ$1001,MATCH(ROWS($AH$2:AH764),$AH$2:$AH$1001,0),0), INDEX($AO$1004:$BQ$1004,1,MATCH(COLUMNS($AO$1006:BN1006),$AO$1006:$BQ$1006,0)))),"Fix")))</f>
        <v>#N/A</v>
      </c>
      <c r="AB764" s="5" t="e">
        <f ca="1">IF(OR(INDEX($AI$2:$AI$1001,MATCH(ROWS($AH$2:AH764),$AH$2:$AH$1001,0),1)&gt;=100000,INDEX($AO$1005:$BQ$1005,1,MATCH(COLUMNS($AO$1006:BO1006),$AO$1006:$BQ$1006,0))&gt;=100000), " ",IF(INDEX($AO$2:$BQ$1001,MATCH(ROWS($AH$2:AH764),$AH$2:$AH$1001,0),MATCH(COLUMNS($AO$1006:BO1006),$AO$1006:$BQ$1006,0)), HYPERLINK("#",""), HYPERLINK(CONCATENATE("#Metadata!", ADDRESS(INDEX($AJ$2:$AJ$1001,MATCH(ROWS($AH$2:AH764),$AH$2:$AH$1001,0),0), INDEX($AO$1004:$BQ$1004,1,MATCH(COLUMNS($AO$1006:BO1006),$AO$1006:$BQ$1006,0)))),"Fix")))</f>
        <v>#N/A</v>
      </c>
      <c r="AC764" s="5" t="e">
        <f ca="1">IF(OR(INDEX($AI$2:$AI$1001,MATCH(ROWS($AH$2:AH764),$AH$2:$AH$1001,0),1)&gt;=100000,INDEX($AO$1005:$BQ$1005,1,MATCH(COLUMNS($AO$1006:BP1006),$AO$1006:$BQ$1006,0))&gt;=100000), " ",IF(INDEX($AO$2:$BQ$1001,MATCH(ROWS($AH$2:AH764),$AH$2:$AH$1001,0),MATCH(COLUMNS($AO$1006:BP1006),$AO$1006:$BQ$1006,0)), HYPERLINK("#",""), HYPERLINK(CONCATENATE("#Metadata!", ADDRESS(INDEX($AJ$2:$AJ$1001,MATCH(ROWS($AH$2:AH764),$AH$2:$AH$1001,0),0), INDEX($AO$1004:$BQ$1004,1,MATCH(COLUMNS($AO$1006:BP1006),$AO$1006:$BQ$1006,0)))),"Fix")))</f>
        <v>#N/A</v>
      </c>
      <c r="AD764" s="5" t="e">
        <f ca="1">IF(OR(INDEX($AI$2:$AI$1001,MATCH(ROWS($AH$2:AH764),$AH$2:$AH$1001,0),1)&gt;=100000,INDEX($AO$1005:$BQ$1005,1,MATCH(COLUMNS($AO$1006:BQ1006),$AO$1006:$BQ$1006,0))&gt;=100000), " ",IF(INDEX($AO$2:$BQ$1001,MATCH(ROWS($AH$2:AH764),$AH$2:$AH$1001,0),MATCH(COLUMNS($AO$1006:BQ1006),$AO$1006:$BQ$1006,0)), HYPERLINK("#",""), HYPERLINK(CONCATENATE("#Metadata!", ADDRESS(INDEX($AJ$2:$AJ$1001,MATCH(ROWS($AH$2:AH764),$AH$2:$AH$1001,0),0), INDEX($AO$1004:$BQ$1004,1,MATCH(COLUMNS($AO$1006:BQ1006),$AO$1006:$BQ$1006,0)))),"Fix")))</f>
        <v>#REF!</v>
      </c>
      <c r="AH764">
        <f ca="1"/>
        <v>761</v>
      </c>
      <c r="AI764">
        <v>100764</v>
      </c>
      <c r="AJ764">
        <v>764</v>
      </c>
      <c r="AK764" t="b">
        <f t="shared" si="11"/>
        <v>1</v>
      </c>
      <c r="AL764" t="b">
        <f>COUNTBLANK(Metadata!B764:AD764)=COLUMNS(Metadata!B764:AD764)</f>
        <v>1</v>
      </c>
      <c r="AM764" t="str">
        <v/>
      </c>
      <c r="AO764" t="b">
        <f ca="1">AND(IF(Metadata!B764="",FALSE,TRUE),COUNTIF(Metadata!B:B, Metadata!B764) = 1,NOT(ISERROR(SUMPRODUCT(SEARCH(MID(Metadata!B764,ROW(INDIRECT("1:"&amp;LEN(Metadata!B764))), 1),"0123456789abcdefghijklmnopqrstuvwxyzABCDEFGHIJKLMNOPQRSTUVWXYZ.")))))</f>
        <v>0</v>
      </c>
      <c r="AP764" t="b">
        <f>IF(Metadata!C764="",FALSE,TRUE)</f>
        <v>0</v>
      </c>
      <c r="AQ764" t="b">
        <f>IF(Metadata!D764="",FALSE,TRUE)</f>
        <v>0</v>
      </c>
      <c r="AR764" t="b">
        <f ca="1">OR(AND(IF(Metadata!E764="",FALSE,TRUE),OR(EXACT(Metadata!E764,"not collected"),EXACT(Metadata!E764,"not provided"),EXACT(Metadata!E764,"restricted access"))),AND(IF(Metadata!E764="",FALSE,TRUE),AND(AND(IFERROR(INT(LEFT(Metadata!E764,4))&gt;1900,FALSE),IFERROR(INT(LEFT(Metadata!E764,4))&lt;=YEAR(NOW()),FALSE)), OR(MID(Metadata!E764,5,1)="", AND(AND(MID(Metadata!E764,5,1)="-",IFERROR(INT(MID(Metadata!E764,6,1))&gt;=0,FALSE),IFERROR(INT(MID(Metadata!E764,6,1))&lt;=1,FALSE),NOT(MID(Metadata!E764,7,1)=""),IFERROR(INT(MID(Metadata!E764,6,2))&gt;=1,FALSE),IFERROR(INT(MID(Metadata!E764,6,2))&lt;=12,FALSE)), OR(MID(Metadata!E764,8,1)="", AND(AND(MID(Metadata!E764,8,1)="-",IFERROR(INT(MID(Metadata!E764,9,1))&gt;=0,FALSE),IFERROR(INT(MID(Metadata!E764,9,1))&lt;=3,FALSE),NOT(MID(Metadata!E764,10,1)=""),IFERROR(INT(MID(Metadata!E764,9,2))&gt;=1,FALSE),IFERROR(INT(MID(Metadata!E764,9,2))&lt;=31,FALSE)), OR(MID(Metadata!E764,11,1)="", AND(AND(MID(Metadata!E764,11,1)=" ",IFERROR(INT(MID(Metadata!E764,12,1))&gt;=0,FALSE),IFERROR(INT(MID(Metadata!E764,12,1))&lt;=2,FALSE),NOT(MID(Metadata!E764,13,1)=""),IFERROR(INT(MID(Metadata!E764,12,2))&gt;=0,FALSE),IFERROR(INT(MID(Metadata!E764,12,2))&lt;=23,FALSE)), OR(MID(Metadata!E764,14,1)="", AND(AND(MID(Metadata!E764,14,1)=":",IFERROR(INT(MID(Metadata!E764,15,1))&gt;=0,FALSE),IFERROR(INT(MID(Metadata!E764,15,1))&lt;=5,FALSE),NOT(MID(Metadata!E764,16,1)=""),IFERROR(INT(MID(Metadata!E764,15,2))&gt;=0,FALSE),IFERROR(INT(MID(Metadata!E764,15,2))&lt;=59,FALSE)), OR(MID(Metadata!E764,17,1)="", AND(AND(MID(Metadata!E764,17,1)=":",IFERROR(INT(MID(Metadata!E764,18,1))&gt;=0,FALSE),IFERROR(INT(MID(Metadata!E764,18,1))&lt;=5,FALSE),NOT(MID(Metadata!E764,19,1)=""),IFERROR(INT(MID(Metadata!E764,18,2))&gt;=0,FALSE),IFERROR(INT(MID(Metadata!E764,18,2))&lt;=59,FALSE)), LEN(Metadata!E764)&lt;=19)))))))))))))</f>
        <v>0</v>
      </c>
      <c r="AS764" t="b">
        <f>IF(Metadata!F764="",FALSE,TRUE)</f>
        <v>0</v>
      </c>
      <c r="AT764" t="b">
        <f>OR(AND(IF(Metadata!G764="",FALSE,TRUE),OR(EXACT(Metadata!G764,"not collected"),EXACT(Metadata!G764,"not provided"))),AND(IF(Metadata!G764="",FALSE,TRUE),OR(EXACT(Metadata!G764,"TRUE"),EXACT(Metadata!G764,"FALSE"))))</f>
        <v>0</v>
      </c>
      <c r="AU764" t="b">
        <f>OR(AND(IF(Metadata!H764="",FALSE,TRUE),OR(EXACT(Metadata!H764,"not collected"),EXACT(Metadata!H764,"not provided"),EXACT(Metadata!H764,"restricted access"))),AND(IF(Metadata!H764="",FALSE,ISNUMBER(VALUE(Metadata!H764))),Metadata!H764&gt;=-413))</f>
        <v>0</v>
      </c>
      <c r="AV764" t="b">
        <f>AND(IF(Metadata!I764="",FALSE,TRUE),EXACT(Metadata!I764,"meters"))</f>
        <v>0</v>
      </c>
      <c r="AW764" t="b">
        <f>AND(IF(Metadata!J764="",FALSE,TRUE),EXACT(Metadata!J764,"free-living"))</f>
        <v>0</v>
      </c>
      <c r="AX764" t="b">
        <f>AND(IF(Metadata!K764="",FALSE,TRUE),OR(EXACT(Metadata!K764,"saline"),EXACT(Metadata!K764,"non-saline")))</f>
        <v>0</v>
      </c>
      <c r="AY764" t="b">
        <f>AND(IF(Metadata!L764="",FALSE,TRUE),OR(EXACT(Metadata!L764,"sub-surface (non-saline)"),EXACT(Metadata!L764,"surface (non-saline)"),EXACT(Metadata!L764,"water (non-saline)"),EXACT(Metadata!L764,"soil (non-saline)"),EXACT(Metadata!L764,"aerosol (non-saline)"),EXACT(Metadata!L764,"sediment (non-saline)"),EXACT(Metadata!L764,"surface (saline)"),EXACT(Metadata!L764,"water (saline)"),EXACT(Metadata!L764,"hypersaline (saline)"),EXACT(Metadata!L764,"aerosol (saline)"),EXACT(Metadata!L764,"sediment (saline)")))</f>
        <v>0</v>
      </c>
      <c r="AZ764" t="b">
        <f>IF(Metadata!M764="",FALSE,TRUE)</f>
        <v>0</v>
      </c>
      <c r="BA764" t="b">
        <f>IF(Metadata!N764="",FALSE,TRUE)</f>
        <v>0</v>
      </c>
      <c r="BB764" t="b">
        <f>IF(Metadata!O764="",FALSE,TRUE)</f>
        <v>0</v>
      </c>
      <c r="BC764" t="b">
        <f>AND(IF(Metadata!P764="",FALSE,TRUE),OR(EXACT(Metadata!P764,"air"),EXACT(Metadata!P764,"microbial mat/biofilm"),EXACT(Metadata!P764,"misc environment"),EXACT(Metadata!P764,"sediment"),EXACT(Metadata!P764,"soil"),EXACT(Metadata!P764,"wastewater/sludge"),EXACT(Metadata!P764,"water")))</f>
        <v>0</v>
      </c>
      <c r="BD764" t="b">
        <f>IF(Metadata!Q764="",FALSE,TRUE)</f>
        <v>0</v>
      </c>
      <c r="BE764" t="b">
        <f>IF(Metadata!R764="",FALSE,TRUE)</f>
        <v>0</v>
      </c>
      <c r="BF764" t="b">
        <f>OR(AND(IF(Metadata!S764="",FALSE,TRUE),OR(EXACT(Metadata!S764,"not collected"),EXACT(Metadata!S764,"not provided"),EXACT(Metadata!S764,"restricted access"))),AND(IF(Metadata!S764="",FALSE,ISNUMBER(VALUE(Metadata!S764))),Metadata!S764&gt;=-90,Metadata!S764&lt;=90))</f>
        <v>0</v>
      </c>
      <c r="BG764" t="b">
        <f>AND(IF(Metadata!T764="",FALSE,TRUE),EXACT(Metadata!T764,"Decimal degrees"))</f>
        <v>0</v>
      </c>
      <c r="BH764" t="b">
        <f>OR(AND(IF(Metadata!U764="",FALSE,TRUE),OR(EXACT(Metadata!U764,"not applicable"),EXACT(Metadata!U764,"not collected"))),IF(Metadata!U764="",FALSE,TRUE))</f>
        <v>0</v>
      </c>
      <c r="BI764" t="b">
        <f>OR(AND(IF(Metadata!V764="",FALSE,TRUE),OR(EXACT(Metadata!V764,"not collected"),EXACT(Metadata!V764,"not provided"),EXACT(Metadata!V764,"restricted access"))),AND(IF(Metadata!V764="",FALSE,ISNUMBER(VALUE(Metadata!V764))),Metadata!V764&gt;=-180,Metadata!V764&lt;=180))</f>
        <v>0</v>
      </c>
      <c r="BJ764" t="b">
        <f>AND(IF(Metadata!W764="",FALSE,TRUE),EXACT(Metadata!W764,"Decimal degrees"))</f>
        <v>0</v>
      </c>
      <c r="BK764" t="b">
        <f>IF(Metadata!X764="",FALSE,TRUE)</f>
        <v>0</v>
      </c>
      <c r="BL764" t="b">
        <f>OR(AND(IF(Metadata!Y764="",FALSE,TRUE),OR(EXACT(Metadata!Y764,"not collected"),EXACT(Metadata!Y764,"not provided"),EXACT(Metadata!Y764,"restricted access"))),AND(IF(Metadata!Y764="",FALSE,TRUE),OR(EXACT(Metadata!Y764,"TRUE"),EXACT(Metadata!Y764,"FALSE"))))</f>
        <v>0</v>
      </c>
      <c r="BM764" t="b">
        <f>OR(AND(IF(Metadata!Z764="",FALSE,TRUE),EXACT(Metadata!Z764,"not applicable")),AND(IF(Metadata!Z764="",FALSE,TRUE),OR(EXACT(Metadata!Z764,"beer"),EXACT(Metadata!Z764,"cheese"),EXACT(Metadata!Z764,"fresh water"),EXACT(Metadata!Z764,"marine sediment"),EXACT(Metadata!Z764,"sea water"),EXACT(Metadata!Z764,"sediment"),EXACT(Metadata!Z764,"soil"),EXACT(Metadata!Z764,"waste water"))))</f>
        <v>0</v>
      </c>
      <c r="BN764" t="b">
        <f>AND(IF(Metadata!AA764="",FALSE,TRUE),EXACT(Metadata!AA764,"metagenome"))</f>
        <v>0</v>
      </c>
      <c r="BO764" t="b">
        <f>AND(IF(Metadata!AB764="",FALSE,TRUE),EXACT(Metadata!AB764,"256318"))</f>
        <v>0</v>
      </c>
      <c r="BP764" t="b">
        <f>IF(Metadata!AC764="",FALSE,TRUE)</f>
        <v>0</v>
      </c>
      <c r="BQ764" t="b">
        <f>IF(Metadata!AD764="",FALSE,TRUE)</f>
        <v>0</v>
      </c>
    </row>
    <row r="765" spans="1:69" x14ac:dyDescent="0.2">
      <c r="A765" s="4" t="e">
        <f ca="1">IF(B765=" "," ",HYPERLINK(CONCATENATE("#metadata!",ADDRESS(INDEX($AJ$2:$AJ$1001,MATCH(ROWS($AH$2:AH765),$AH$2:$AH$1001,0),0),2)),INDEX($AM$2:$AM$1001,MATCH(ROWS($AH$2:AH765),$AH$2:$AH$1001,0),0)))</f>
        <v>#N/A</v>
      </c>
      <c r="B765" s="5" t="e">
        <f ca="1">IF(OR(INDEX($AI$2:$AI$1001,MATCH(ROWS($AH$2:AH765),$AH$2:$AH$1001,0),1)&gt;=100000,INDEX($AO$1005:$BQ$1005,1,MATCH(COLUMNS($AO$1006:AO1006),$AO$1006:$BQ$1006,0))&gt;=100000), " ",IF(INDEX($AO$2:$BQ$1001,MATCH(ROWS($AH$2:AH765),$AH$2:$AH$1001,0),MATCH(COLUMNS($AO$1006:AO1006),$AO$1006:$BQ$1006,0)), HYPERLINK("#",""), HYPERLINK(CONCATENATE("#Metadata!", ADDRESS(INDEX($AJ$2:$AJ$1001,MATCH(ROWS($AH$2:AH765),$AH$2:$AH$1001,0),0), INDEX($AO$1004:$BQ$1004,1,MATCH(COLUMNS($AO$1006:AO1006),$AO$1006:$BQ$1006,0)))),"Fix")))</f>
        <v>#N/A</v>
      </c>
      <c r="C765" s="5" t="e">
        <f ca="1">IF(OR(INDEX($AI$2:$AI$1001,MATCH(ROWS($AH$2:AH765),$AH$2:$AH$1001,0),1)&gt;=100000,INDEX($AO$1005:$BQ$1005,1,MATCH(COLUMNS($AO$1006:AP1006),$AO$1006:$BQ$1006,0))&gt;=100000), " ",IF(INDEX($AO$2:$BQ$1001,MATCH(ROWS($AH$2:AH765),$AH$2:$AH$1001,0),MATCH(COLUMNS($AO$1006:AP1006),$AO$1006:$BQ$1006,0)), HYPERLINK("#",""), HYPERLINK(CONCATENATE("#Metadata!", ADDRESS(INDEX($AJ$2:$AJ$1001,MATCH(ROWS($AH$2:AH765),$AH$2:$AH$1001,0),0), INDEX($AO$1004:$BQ$1004,1,MATCH(COLUMNS($AO$1006:AP1006),$AO$1006:$BQ$1006,0)))),"Fix")))</f>
        <v>#N/A</v>
      </c>
      <c r="D765" s="5" t="e">
        <f ca="1">IF(OR(INDEX($AI$2:$AI$1001,MATCH(ROWS($AH$2:AH765),$AH$2:$AH$1001,0),1)&gt;=100000,INDEX($AO$1005:$BQ$1005,1,MATCH(COLUMNS($AO$1006:AQ1006),$AO$1006:$BQ$1006,0))&gt;=100000), " ",IF(INDEX($AO$2:$BQ$1001,MATCH(ROWS($AH$2:AH765),$AH$2:$AH$1001,0),MATCH(COLUMNS($AO$1006:AQ1006),$AO$1006:$BQ$1006,0)), HYPERLINK("#",""), HYPERLINK(CONCATENATE("#Metadata!", ADDRESS(INDEX($AJ$2:$AJ$1001,MATCH(ROWS($AH$2:AH765),$AH$2:$AH$1001,0),0), INDEX($AO$1004:$BQ$1004,1,MATCH(COLUMNS($AO$1006:AQ1006),$AO$1006:$BQ$1006,0)))),"Fix")))</f>
        <v>#N/A</v>
      </c>
      <c r="E765" s="5" t="e">
        <f ca="1">IF(OR(INDEX($AI$2:$AI$1001,MATCH(ROWS($AH$2:AH765),$AH$2:$AH$1001,0),1)&gt;=100000,INDEX($AO$1005:$BQ$1005,1,MATCH(COLUMNS($AO$1006:AR1006),$AO$1006:$BQ$1006,0))&gt;=100000), " ",IF(INDEX($AO$2:$BQ$1001,MATCH(ROWS($AH$2:AH765),$AH$2:$AH$1001,0),MATCH(COLUMNS($AO$1006:AR1006),$AO$1006:$BQ$1006,0)), HYPERLINK("#",""), HYPERLINK(CONCATENATE("#Metadata!", ADDRESS(INDEX($AJ$2:$AJ$1001,MATCH(ROWS($AH$2:AH765),$AH$2:$AH$1001,0),0), INDEX($AO$1004:$BQ$1004,1,MATCH(COLUMNS($AO$1006:AR1006),$AO$1006:$BQ$1006,0)))),"Fix")))</f>
        <v>#N/A</v>
      </c>
      <c r="F765" s="5" t="e">
        <f ca="1">IF(OR(INDEX($AI$2:$AI$1001,MATCH(ROWS($AH$2:AH765),$AH$2:$AH$1001,0),1)&gt;=100000,INDEX($AO$1005:$BQ$1005,1,MATCH(COLUMNS($AO$1006:AS1006),$AO$1006:$BQ$1006,0))&gt;=100000), " ",IF(INDEX($AO$2:$BQ$1001,MATCH(ROWS($AH$2:AH765),$AH$2:$AH$1001,0),MATCH(COLUMNS($AO$1006:AS1006),$AO$1006:$BQ$1006,0)), HYPERLINK("#",""), HYPERLINK(CONCATENATE("#Metadata!", ADDRESS(INDEX($AJ$2:$AJ$1001,MATCH(ROWS($AH$2:AH765),$AH$2:$AH$1001,0),0), INDEX($AO$1004:$BQ$1004,1,MATCH(COLUMNS($AO$1006:AS1006),$AO$1006:$BQ$1006,0)))),"Fix")))</f>
        <v>#N/A</v>
      </c>
      <c r="G765" s="5" t="e">
        <f ca="1">IF(OR(INDEX($AI$2:$AI$1001,MATCH(ROWS($AH$2:AH765),$AH$2:$AH$1001,0),1)&gt;=100000,INDEX($AO$1005:$BQ$1005,1,MATCH(COLUMNS($AO$1006:AT1006),$AO$1006:$BQ$1006,0))&gt;=100000), " ",IF(INDEX($AO$2:$BQ$1001,MATCH(ROWS($AH$2:AH765),$AH$2:$AH$1001,0),MATCH(COLUMNS($AO$1006:AT1006),$AO$1006:$BQ$1006,0)), HYPERLINK("#",""), HYPERLINK(CONCATENATE("#Metadata!", ADDRESS(INDEX($AJ$2:$AJ$1001,MATCH(ROWS($AH$2:AH765),$AH$2:$AH$1001,0),0), INDEX($AO$1004:$BQ$1004,1,MATCH(COLUMNS($AO$1006:AT1006),$AO$1006:$BQ$1006,0)))),"Fix")))</f>
        <v>#N/A</v>
      </c>
      <c r="H765" s="5" t="e">
        <f ca="1">IF(OR(INDEX($AI$2:$AI$1001,MATCH(ROWS($AH$2:AH765),$AH$2:$AH$1001,0),1)&gt;=100000,INDEX($AO$1005:$BQ$1005,1,MATCH(COLUMNS($AO$1006:AU1006),$AO$1006:$BQ$1006,0))&gt;=100000), " ",IF(INDEX($AO$2:$BQ$1001,MATCH(ROWS($AH$2:AH765),$AH$2:$AH$1001,0),MATCH(COLUMNS($AO$1006:AU1006),$AO$1006:$BQ$1006,0)), HYPERLINK("#",""), HYPERLINK(CONCATENATE("#Metadata!", ADDRESS(INDEX($AJ$2:$AJ$1001,MATCH(ROWS($AH$2:AH765),$AH$2:$AH$1001,0),0), INDEX($AO$1004:$BQ$1004,1,MATCH(COLUMNS($AO$1006:AU1006),$AO$1006:$BQ$1006,0)))),"Fix")))</f>
        <v>#N/A</v>
      </c>
      <c r="I765" s="5" t="e">
        <f ca="1">IF(OR(INDEX($AI$2:$AI$1001,MATCH(ROWS($AH$2:AH765),$AH$2:$AH$1001,0),1)&gt;=100000,INDEX($AO$1005:$BQ$1005,1,MATCH(COLUMNS($AO$1006:AV1006),$AO$1006:$BQ$1006,0))&gt;=100000), " ",IF(INDEX($AO$2:$BQ$1001,MATCH(ROWS($AH$2:AH765),$AH$2:$AH$1001,0),MATCH(COLUMNS($AO$1006:AV1006),$AO$1006:$BQ$1006,0)), HYPERLINK("#",""), HYPERLINK(CONCATENATE("#Metadata!", ADDRESS(INDEX($AJ$2:$AJ$1001,MATCH(ROWS($AH$2:AH765),$AH$2:$AH$1001,0),0), INDEX($AO$1004:$BQ$1004,1,MATCH(COLUMNS($AO$1006:AV1006),$AO$1006:$BQ$1006,0)))),"Fix")))</f>
        <v>#N/A</v>
      </c>
      <c r="J765" s="5" t="e">
        <f ca="1">IF(OR(INDEX($AI$2:$AI$1001,MATCH(ROWS($AH$2:AH765),$AH$2:$AH$1001,0),1)&gt;=100000,INDEX($AO$1005:$BQ$1005,1,MATCH(COLUMNS($AO$1006:AW1006),$AO$1006:$BQ$1006,0))&gt;=100000), " ",IF(INDEX($AO$2:$BQ$1001,MATCH(ROWS($AH$2:AH765),$AH$2:$AH$1001,0),MATCH(COLUMNS($AO$1006:AW1006),$AO$1006:$BQ$1006,0)), HYPERLINK("#",""), HYPERLINK(CONCATENATE("#Metadata!", ADDRESS(INDEX($AJ$2:$AJ$1001,MATCH(ROWS($AH$2:AH765),$AH$2:$AH$1001,0),0), INDEX($AO$1004:$BQ$1004,1,MATCH(COLUMNS($AO$1006:AW1006),$AO$1006:$BQ$1006,0)))),"Fix")))</f>
        <v>#N/A</v>
      </c>
      <c r="K765" s="5" t="e">
        <f ca="1">IF(OR(INDEX($AI$2:$AI$1001,MATCH(ROWS($AH$2:AH765),$AH$2:$AH$1001,0),1)&gt;=100000,INDEX($AO$1005:$BQ$1005,1,MATCH(COLUMNS($AO$1006:AX1006),$AO$1006:$BQ$1006,0))&gt;=100000), " ",IF(INDEX($AO$2:$BQ$1001,MATCH(ROWS($AH$2:AH765),$AH$2:$AH$1001,0),MATCH(COLUMNS($AO$1006:AX1006),$AO$1006:$BQ$1006,0)), HYPERLINK("#",""), HYPERLINK(CONCATENATE("#Metadata!", ADDRESS(INDEX($AJ$2:$AJ$1001,MATCH(ROWS($AH$2:AH765),$AH$2:$AH$1001,0),0), INDEX($AO$1004:$BQ$1004,1,MATCH(COLUMNS($AO$1006:AX1006),$AO$1006:$BQ$1006,0)))),"Fix")))</f>
        <v>#N/A</v>
      </c>
      <c r="L765" s="5" t="e">
        <f ca="1">IF(OR(INDEX($AI$2:$AI$1001,MATCH(ROWS($AH$2:AH765),$AH$2:$AH$1001,0),1)&gt;=100000,INDEX($AO$1005:$BQ$1005,1,MATCH(COLUMNS($AO$1006:AY1006),$AO$1006:$BQ$1006,0))&gt;=100000), " ",IF(INDEX($AO$2:$BQ$1001,MATCH(ROWS($AH$2:AH765),$AH$2:$AH$1001,0),MATCH(COLUMNS($AO$1006:AY1006),$AO$1006:$BQ$1006,0)), HYPERLINK("#",""), HYPERLINK(CONCATENATE("#Metadata!", ADDRESS(INDEX($AJ$2:$AJ$1001,MATCH(ROWS($AH$2:AH765),$AH$2:$AH$1001,0),0), INDEX($AO$1004:$BQ$1004,1,MATCH(COLUMNS($AO$1006:AY1006),$AO$1006:$BQ$1006,0)))),"Fix")))</f>
        <v>#N/A</v>
      </c>
      <c r="M765" s="5" t="e">
        <f ca="1">IF(OR(INDEX($AI$2:$AI$1001,MATCH(ROWS($AH$2:AH765),$AH$2:$AH$1001,0),1)&gt;=100000,INDEX($AO$1005:$BQ$1005,1,MATCH(COLUMNS($AO$1006:AZ1006),$AO$1006:$BQ$1006,0))&gt;=100000), " ",IF(INDEX($AO$2:$BQ$1001,MATCH(ROWS($AH$2:AH765),$AH$2:$AH$1001,0),MATCH(COLUMNS($AO$1006:AZ1006),$AO$1006:$BQ$1006,0)), HYPERLINK("#",""), HYPERLINK(CONCATENATE("#Metadata!", ADDRESS(INDEX($AJ$2:$AJ$1001,MATCH(ROWS($AH$2:AH765),$AH$2:$AH$1001,0),0), INDEX($AO$1004:$BQ$1004,1,MATCH(COLUMNS($AO$1006:AZ1006),$AO$1006:$BQ$1006,0)))),"Fix")))</f>
        <v>#N/A</v>
      </c>
      <c r="N765" s="5" t="e">
        <f ca="1">IF(OR(INDEX($AI$2:$AI$1001,MATCH(ROWS($AH$2:AH765),$AH$2:$AH$1001,0),1)&gt;=100000,INDEX($AO$1005:$BQ$1005,1,MATCH(COLUMNS($AO$1006:BA1006),$AO$1006:$BQ$1006,0))&gt;=100000), " ",IF(INDEX($AO$2:$BQ$1001,MATCH(ROWS($AH$2:AH765),$AH$2:$AH$1001,0),MATCH(COLUMNS($AO$1006:BA1006),$AO$1006:$BQ$1006,0)), HYPERLINK("#",""), HYPERLINK(CONCATENATE("#Metadata!", ADDRESS(INDEX($AJ$2:$AJ$1001,MATCH(ROWS($AH$2:AH765),$AH$2:$AH$1001,0),0), INDEX($AO$1004:$BQ$1004,1,MATCH(COLUMNS($AO$1006:BA1006),$AO$1006:$BQ$1006,0)))),"Fix")))</f>
        <v>#N/A</v>
      </c>
      <c r="O765" s="5" t="e">
        <f ca="1">IF(OR(INDEX($AI$2:$AI$1001,MATCH(ROWS($AH$2:AH765),$AH$2:$AH$1001,0),1)&gt;=100000,INDEX($AO$1005:$BQ$1005,1,MATCH(COLUMNS($AO$1006:BB1006),$AO$1006:$BQ$1006,0))&gt;=100000), " ",IF(INDEX($AO$2:$BQ$1001,MATCH(ROWS($AH$2:AH765),$AH$2:$AH$1001,0),MATCH(COLUMNS($AO$1006:BB1006),$AO$1006:$BQ$1006,0)), HYPERLINK("#",""), HYPERLINK(CONCATENATE("#Metadata!", ADDRESS(INDEX($AJ$2:$AJ$1001,MATCH(ROWS($AH$2:AH765),$AH$2:$AH$1001,0),0), INDEX($AO$1004:$BQ$1004,1,MATCH(COLUMNS($AO$1006:BB1006),$AO$1006:$BQ$1006,0)))),"Fix")))</f>
        <v>#N/A</v>
      </c>
      <c r="P765" s="5" t="e">
        <f ca="1">IF(OR(INDEX($AI$2:$AI$1001,MATCH(ROWS($AH$2:AH765),$AH$2:$AH$1001,0),1)&gt;=100000,INDEX($AO$1005:$BQ$1005,1,MATCH(COLUMNS($AO$1006:BC1006),$AO$1006:$BQ$1006,0))&gt;=100000), " ",IF(INDEX($AO$2:$BQ$1001,MATCH(ROWS($AH$2:AH765),$AH$2:$AH$1001,0),MATCH(COLUMNS($AO$1006:BC1006),$AO$1006:$BQ$1006,0)), HYPERLINK("#",""), HYPERLINK(CONCATENATE("#Metadata!", ADDRESS(INDEX($AJ$2:$AJ$1001,MATCH(ROWS($AH$2:AH765),$AH$2:$AH$1001,0),0), INDEX($AO$1004:$BQ$1004,1,MATCH(COLUMNS($AO$1006:BC1006),$AO$1006:$BQ$1006,0)))),"Fix")))</f>
        <v>#N/A</v>
      </c>
      <c r="Q765" s="5" t="e">
        <f ca="1">IF(OR(INDEX($AI$2:$AI$1001,MATCH(ROWS($AH$2:AH765),$AH$2:$AH$1001,0),1)&gt;=100000,INDEX($AO$1005:$BQ$1005,1,MATCH(COLUMNS($AO$1006:BD1006),$AO$1006:$BQ$1006,0))&gt;=100000), " ",IF(INDEX($AO$2:$BQ$1001,MATCH(ROWS($AH$2:AH765),$AH$2:$AH$1001,0),MATCH(COLUMNS($AO$1006:BD1006),$AO$1006:$BQ$1006,0)), HYPERLINK("#",""), HYPERLINK(CONCATENATE("#Metadata!", ADDRESS(INDEX($AJ$2:$AJ$1001,MATCH(ROWS($AH$2:AH765),$AH$2:$AH$1001,0),0), INDEX($AO$1004:$BQ$1004,1,MATCH(COLUMNS($AO$1006:BD1006),$AO$1006:$BQ$1006,0)))),"Fix")))</f>
        <v>#N/A</v>
      </c>
      <c r="R765" s="5" t="e">
        <f ca="1">IF(OR(INDEX($AI$2:$AI$1001,MATCH(ROWS($AH$2:AH765),$AH$2:$AH$1001,0),1)&gt;=100000,INDEX($AO$1005:$BQ$1005,1,MATCH(COLUMNS($AO$1006:BE1006),$AO$1006:$BQ$1006,0))&gt;=100000), " ",IF(INDEX($AO$2:$BQ$1001,MATCH(ROWS($AH$2:AH765),$AH$2:$AH$1001,0),MATCH(COLUMNS($AO$1006:BE1006),$AO$1006:$BQ$1006,0)), HYPERLINK("#",""), HYPERLINK(CONCATENATE("#Metadata!", ADDRESS(INDEX($AJ$2:$AJ$1001,MATCH(ROWS($AH$2:AH765),$AH$2:$AH$1001,0),0), INDEX($AO$1004:$BQ$1004,1,MATCH(COLUMNS($AO$1006:BE1006),$AO$1006:$BQ$1006,0)))),"Fix")))</f>
        <v>#N/A</v>
      </c>
      <c r="S765" s="5" t="e">
        <f ca="1">IF(OR(INDEX($AI$2:$AI$1001,MATCH(ROWS($AH$2:AH765),$AH$2:$AH$1001,0),1)&gt;=100000,INDEX($AO$1005:$BQ$1005,1,MATCH(COLUMNS($AO$1006:BF1006),$AO$1006:$BQ$1006,0))&gt;=100000), " ",IF(INDEX($AO$2:$BQ$1001,MATCH(ROWS($AH$2:AH765),$AH$2:$AH$1001,0),MATCH(COLUMNS($AO$1006:BF1006),$AO$1006:$BQ$1006,0)), HYPERLINK("#",""), HYPERLINK(CONCATENATE("#Metadata!", ADDRESS(INDEX($AJ$2:$AJ$1001,MATCH(ROWS($AH$2:AH765),$AH$2:$AH$1001,0),0), INDEX($AO$1004:$BQ$1004,1,MATCH(COLUMNS($AO$1006:BF1006),$AO$1006:$BQ$1006,0)))),"Fix")))</f>
        <v>#N/A</v>
      </c>
      <c r="T765" s="5" t="e">
        <f ca="1">IF(OR(INDEX($AI$2:$AI$1001,MATCH(ROWS($AH$2:AH765),$AH$2:$AH$1001,0),1)&gt;=100000,INDEX($AO$1005:$BQ$1005,1,MATCH(COLUMNS($AO$1006:BG1006),$AO$1006:$BQ$1006,0))&gt;=100000), " ",IF(INDEX($AO$2:$BQ$1001,MATCH(ROWS($AH$2:AH765),$AH$2:$AH$1001,0),MATCH(COLUMNS($AO$1006:BG1006),$AO$1006:$BQ$1006,0)), HYPERLINK("#",""), HYPERLINK(CONCATENATE("#Metadata!", ADDRESS(INDEX($AJ$2:$AJ$1001,MATCH(ROWS($AH$2:AH765),$AH$2:$AH$1001,0),0), INDEX($AO$1004:$BQ$1004,1,MATCH(COLUMNS($AO$1006:BG1006),$AO$1006:$BQ$1006,0)))),"Fix")))</f>
        <v>#N/A</v>
      </c>
      <c r="U765" s="5" t="e">
        <f ca="1">IF(OR(INDEX($AI$2:$AI$1001,MATCH(ROWS($AH$2:AH765),$AH$2:$AH$1001,0),1)&gt;=100000,INDEX($AO$1005:$BQ$1005,1,MATCH(COLUMNS($AO$1006:BH1006),$AO$1006:$BQ$1006,0))&gt;=100000), " ",IF(INDEX($AO$2:$BQ$1001,MATCH(ROWS($AH$2:AH765),$AH$2:$AH$1001,0),MATCH(COLUMNS($AO$1006:BH1006),$AO$1006:$BQ$1006,0)), HYPERLINK("#",""), HYPERLINK(CONCATENATE("#Metadata!", ADDRESS(INDEX($AJ$2:$AJ$1001,MATCH(ROWS($AH$2:AH765),$AH$2:$AH$1001,0),0), INDEX($AO$1004:$BQ$1004,1,MATCH(COLUMNS($AO$1006:BH1006),$AO$1006:$BQ$1006,0)))),"Fix")))</f>
        <v>#N/A</v>
      </c>
      <c r="V765" s="5" t="e">
        <f ca="1">IF(OR(INDEX($AI$2:$AI$1001,MATCH(ROWS($AH$2:AH765),$AH$2:$AH$1001,0),1)&gt;=100000,INDEX($AO$1005:$BQ$1005,1,MATCH(COLUMNS($AO$1006:BI1006),$AO$1006:$BQ$1006,0))&gt;=100000), " ",IF(INDEX($AO$2:$BQ$1001,MATCH(ROWS($AH$2:AH765),$AH$2:$AH$1001,0),MATCH(COLUMNS($AO$1006:BI1006),$AO$1006:$BQ$1006,0)), HYPERLINK("#",""), HYPERLINK(CONCATENATE("#Metadata!", ADDRESS(INDEX($AJ$2:$AJ$1001,MATCH(ROWS($AH$2:AH765),$AH$2:$AH$1001,0),0), INDEX($AO$1004:$BQ$1004,1,MATCH(COLUMNS($AO$1006:BI1006),$AO$1006:$BQ$1006,0)))),"Fix")))</f>
        <v>#N/A</v>
      </c>
      <c r="W765" s="5" t="e">
        <f ca="1">IF(OR(INDEX($AI$2:$AI$1001,MATCH(ROWS($AH$2:AH765),$AH$2:$AH$1001,0),1)&gt;=100000,INDEX($AO$1005:$BQ$1005,1,MATCH(COLUMNS($AO$1006:BJ1006),$AO$1006:$BQ$1006,0))&gt;=100000), " ",IF(INDEX($AO$2:$BQ$1001,MATCH(ROWS($AH$2:AH765),$AH$2:$AH$1001,0),MATCH(COLUMNS($AO$1006:BJ1006),$AO$1006:$BQ$1006,0)), HYPERLINK("#",""), HYPERLINK(CONCATENATE("#Metadata!", ADDRESS(INDEX($AJ$2:$AJ$1001,MATCH(ROWS($AH$2:AH765),$AH$2:$AH$1001,0),0), INDEX($AO$1004:$BQ$1004,1,MATCH(COLUMNS($AO$1006:BJ1006),$AO$1006:$BQ$1006,0)))),"Fix")))</f>
        <v>#N/A</v>
      </c>
      <c r="X765" s="5" t="e">
        <f ca="1">IF(OR(INDEX($AI$2:$AI$1001,MATCH(ROWS($AH$2:AH765),$AH$2:$AH$1001,0),1)&gt;=100000,INDEX($AO$1005:$BQ$1005,1,MATCH(COLUMNS($AO$1006:BK1006),$AO$1006:$BQ$1006,0))&gt;=100000), " ",IF(INDEX($AO$2:$BQ$1001,MATCH(ROWS($AH$2:AH765),$AH$2:$AH$1001,0),MATCH(COLUMNS($AO$1006:BK1006),$AO$1006:$BQ$1006,0)), HYPERLINK("#",""), HYPERLINK(CONCATENATE("#Metadata!", ADDRESS(INDEX($AJ$2:$AJ$1001,MATCH(ROWS($AH$2:AH765),$AH$2:$AH$1001,0),0), INDEX($AO$1004:$BQ$1004,1,MATCH(COLUMNS($AO$1006:BK1006),$AO$1006:$BQ$1006,0)))),"Fix")))</f>
        <v>#N/A</v>
      </c>
      <c r="Y765" s="5" t="e">
        <f ca="1">IF(OR(INDEX($AI$2:$AI$1001,MATCH(ROWS($AH$2:AH765),$AH$2:$AH$1001,0),1)&gt;=100000,INDEX($AO$1005:$BQ$1005,1,MATCH(COLUMNS($AO$1006:BL1006),$AO$1006:$BQ$1006,0))&gt;=100000), " ",IF(INDEX($AO$2:$BQ$1001,MATCH(ROWS($AH$2:AH765),$AH$2:$AH$1001,0),MATCH(COLUMNS($AO$1006:BL1006),$AO$1006:$BQ$1006,0)), HYPERLINK("#",""), HYPERLINK(CONCATENATE("#Metadata!", ADDRESS(INDEX($AJ$2:$AJ$1001,MATCH(ROWS($AH$2:AH765),$AH$2:$AH$1001,0),0), INDEX($AO$1004:$BQ$1004,1,MATCH(COLUMNS($AO$1006:BL1006),$AO$1006:$BQ$1006,0)))),"Fix")))</f>
        <v>#N/A</v>
      </c>
      <c r="Z765" s="5" t="e">
        <f ca="1">IF(OR(INDEX($AI$2:$AI$1001,MATCH(ROWS($AH$2:AH765),$AH$2:$AH$1001,0),1)&gt;=100000,INDEX($AO$1005:$BQ$1005,1,MATCH(COLUMNS($AO$1006:BM1006),$AO$1006:$BQ$1006,0))&gt;=100000), " ",IF(INDEX($AO$2:$BQ$1001,MATCH(ROWS($AH$2:AH765),$AH$2:$AH$1001,0),MATCH(COLUMNS($AO$1006:BM1006),$AO$1006:$BQ$1006,0)), HYPERLINK("#",""), HYPERLINK(CONCATENATE("#Metadata!", ADDRESS(INDEX($AJ$2:$AJ$1001,MATCH(ROWS($AH$2:AH765),$AH$2:$AH$1001,0),0), INDEX($AO$1004:$BQ$1004,1,MATCH(COLUMNS($AO$1006:BM1006),$AO$1006:$BQ$1006,0)))),"Fix")))</f>
        <v>#N/A</v>
      </c>
      <c r="AA765" s="5" t="e">
        <f ca="1">IF(OR(INDEX($AI$2:$AI$1001,MATCH(ROWS($AH$2:AH765),$AH$2:$AH$1001,0),1)&gt;=100000,INDEX($AO$1005:$BQ$1005,1,MATCH(COLUMNS($AO$1006:BN1006),$AO$1006:$BQ$1006,0))&gt;=100000), " ",IF(INDEX($AO$2:$BQ$1001,MATCH(ROWS($AH$2:AH765),$AH$2:$AH$1001,0),MATCH(COLUMNS($AO$1006:BN1006),$AO$1006:$BQ$1006,0)), HYPERLINK("#",""), HYPERLINK(CONCATENATE("#Metadata!", ADDRESS(INDEX($AJ$2:$AJ$1001,MATCH(ROWS($AH$2:AH765),$AH$2:$AH$1001,0),0), INDEX($AO$1004:$BQ$1004,1,MATCH(COLUMNS($AO$1006:BN1006),$AO$1006:$BQ$1006,0)))),"Fix")))</f>
        <v>#N/A</v>
      </c>
      <c r="AB765" s="5" t="e">
        <f ca="1">IF(OR(INDEX($AI$2:$AI$1001,MATCH(ROWS($AH$2:AH765),$AH$2:$AH$1001,0),1)&gt;=100000,INDEX($AO$1005:$BQ$1005,1,MATCH(COLUMNS($AO$1006:BO1006),$AO$1006:$BQ$1006,0))&gt;=100000), " ",IF(INDEX($AO$2:$BQ$1001,MATCH(ROWS($AH$2:AH765),$AH$2:$AH$1001,0),MATCH(COLUMNS($AO$1006:BO1006),$AO$1006:$BQ$1006,0)), HYPERLINK("#",""), HYPERLINK(CONCATENATE("#Metadata!", ADDRESS(INDEX($AJ$2:$AJ$1001,MATCH(ROWS($AH$2:AH765),$AH$2:$AH$1001,0),0), INDEX($AO$1004:$BQ$1004,1,MATCH(COLUMNS($AO$1006:BO1006),$AO$1006:$BQ$1006,0)))),"Fix")))</f>
        <v>#N/A</v>
      </c>
      <c r="AC765" s="5" t="e">
        <f ca="1">IF(OR(INDEX($AI$2:$AI$1001,MATCH(ROWS($AH$2:AH765),$AH$2:$AH$1001,0),1)&gt;=100000,INDEX($AO$1005:$BQ$1005,1,MATCH(COLUMNS($AO$1006:BP1006),$AO$1006:$BQ$1006,0))&gt;=100000), " ",IF(INDEX($AO$2:$BQ$1001,MATCH(ROWS($AH$2:AH765),$AH$2:$AH$1001,0),MATCH(COLUMNS($AO$1006:BP1006),$AO$1006:$BQ$1006,0)), HYPERLINK("#",""), HYPERLINK(CONCATENATE("#Metadata!", ADDRESS(INDEX($AJ$2:$AJ$1001,MATCH(ROWS($AH$2:AH765),$AH$2:$AH$1001,0),0), INDEX($AO$1004:$BQ$1004,1,MATCH(COLUMNS($AO$1006:BP1006),$AO$1006:$BQ$1006,0)))),"Fix")))</f>
        <v>#N/A</v>
      </c>
      <c r="AD765" s="5" t="e">
        <f ca="1">IF(OR(INDEX($AI$2:$AI$1001,MATCH(ROWS($AH$2:AH765),$AH$2:$AH$1001,0),1)&gt;=100000,INDEX($AO$1005:$BQ$1005,1,MATCH(COLUMNS($AO$1006:BQ1006),$AO$1006:$BQ$1006,0))&gt;=100000), " ",IF(INDEX($AO$2:$BQ$1001,MATCH(ROWS($AH$2:AH765),$AH$2:$AH$1001,0),MATCH(COLUMNS($AO$1006:BQ1006),$AO$1006:$BQ$1006,0)), HYPERLINK("#",""), HYPERLINK(CONCATENATE("#Metadata!", ADDRESS(INDEX($AJ$2:$AJ$1001,MATCH(ROWS($AH$2:AH765),$AH$2:$AH$1001,0),0), INDEX($AO$1004:$BQ$1004,1,MATCH(COLUMNS($AO$1006:BQ1006),$AO$1006:$BQ$1006,0)))),"Fix")))</f>
        <v>#REF!</v>
      </c>
      <c r="AH765">
        <f ca="1"/>
        <v>762</v>
      </c>
      <c r="AI765">
        <v>100765</v>
      </c>
      <c r="AJ765">
        <v>765</v>
      </c>
      <c r="AK765" t="b">
        <f t="shared" si="11"/>
        <v>1</v>
      </c>
      <c r="AL765" t="b">
        <f>COUNTBLANK(Metadata!B765:AD765)=COLUMNS(Metadata!B765:AD765)</f>
        <v>1</v>
      </c>
      <c r="AM765" t="str">
        <v/>
      </c>
      <c r="AO765" t="b">
        <f ca="1">AND(IF(Metadata!B765="",FALSE,TRUE),COUNTIF(Metadata!B:B, Metadata!B765) = 1,NOT(ISERROR(SUMPRODUCT(SEARCH(MID(Metadata!B765,ROW(INDIRECT("1:"&amp;LEN(Metadata!B765))), 1),"0123456789abcdefghijklmnopqrstuvwxyzABCDEFGHIJKLMNOPQRSTUVWXYZ.")))))</f>
        <v>0</v>
      </c>
      <c r="AP765" t="b">
        <f>IF(Metadata!C765="",FALSE,TRUE)</f>
        <v>0</v>
      </c>
      <c r="AQ765" t="b">
        <f>IF(Metadata!D765="",FALSE,TRUE)</f>
        <v>0</v>
      </c>
      <c r="AR765" t="b">
        <f ca="1">OR(AND(IF(Metadata!E765="",FALSE,TRUE),OR(EXACT(Metadata!E765,"not collected"),EXACT(Metadata!E765,"not provided"),EXACT(Metadata!E765,"restricted access"))),AND(IF(Metadata!E765="",FALSE,TRUE),AND(AND(IFERROR(INT(LEFT(Metadata!E765,4))&gt;1900,FALSE),IFERROR(INT(LEFT(Metadata!E765,4))&lt;=YEAR(NOW()),FALSE)), OR(MID(Metadata!E765,5,1)="", AND(AND(MID(Metadata!E765,5,1)="-",IFERROR(INT(MID(Metadata!E765,6,1))&gt;=0,FALSE),IFERROR(INT(MID(Metadata!E765,6,1))&lt;=1,FALSE),NOT(MID(Metadata!E765,7,1)=""),IFERROR(INT(MID(Metadata!E765,6,2))&gt;=1,FALSE),IFERROR(INT(MID(Metadata!E765,6,2))&lt;=12,FALSE)), OR(MID(Metadata!E765,8,1)="", AND(AND(MID(Metadata!E765,8,1)="-",IFERROR(INT(MID(Metadata!E765,9,1))&gt;=0,FALSE),IFERROR(INT(MID(Metadata!E765,9,1))&lt;=3,FALSE),NOT(MID(Metadata!E765,10,1)=""),IFERROR(INT(MID(Metadata!E765,9,2))&gt;=1,FALSE),IFERROR(INT(MID(Metadata!E765,9,2))&lt;=31,FALSE)), OR(MID(Metadata!E765,11,1)="", AND(AND(MID(Metadata!E765,11,1)=" ",IFERROR(INT(MID(Metadata!E765,12,1))&gt;=0,FALSE),IFERROR(INT(MID(Metadata!E765,12,1))&lt;=2,FALSE),NOT(MID(Metadata!E765,13,1)=""),IFERROR(INT(MID(Metadata!E765,12,2))&gt;=0,FALSE),IFERROR(INT(MID(Metadata!E765,12,2))&lt;=23,FALSE)), OR(MID(Metadata!E765,14,1)="", AND(AND(MID(Metadata!E765,14,1)=":",IFERROR(INT(MID(Metadata!E765,15,1))&gt;=0,FALSE),IFERROR(INT(MID(Metadata!E765,15,1))&lt;=5,FALSE),NOT(MID(Metadata!E765,16,1)=""),IFERROR(INT(MID(Metadata!E765,15,2))&gt;=0,FALSE),IFERROR(INT(MID(Metadata!E765,15,2))&lt;=59,FALSE)), OR(MID(Metadata!E765,17,1)="", AND(AND(MID(Metadata!E765,17,1)=":",IFERROR(INT(MID(Metadata!E765,18,1))&gt;=0,FALSE),IFERROR(INT(MID(Metadata!E765,18,1))&lt;=5,FALSE),NOT(MID(Metadata!E765,19,1)=""),IFERROR(INT(MID(Metadata!E765,18,2))&gt;=0,FALSE),IFERROR(INT(MID(Metadata!E765,18,2))&lt;=59,FALSE)), LEN(Metadata!E765)&lt;=19)))))))))))))</f>
        <v>0</v>
      </c>
      <c r="AS765" t="b">
        <f>IF(Metadata!F765="",FALSE,TRUE)</f>
        <v>0</v>
      </c>
      <c r="AT765" t="b">
        <f>OR(AND(IF(Metadata!G765="",FALSE,TRUE),OR(EXACT(Metadata!G765,"not collected"),EXACT(Metadata!G765,"not provided"))),AND(IF(Metadata!G765="",FALSE,TRUE),OR(EXACT(Metadata!G765,"TRUE"),EXACT(Metadata!G765,"FALSE"))))</f>
        <v>0</v>
      </c>
      <c r="AU765" t="b">
        <f>OR(AND(IF(Metadata!H765="",FALSE,TRUE),OR(EXACT(Metadata!H765,"not collected"),EXACT(Metadata!H765,"not provided"),EXACT(Metadata!H765,"restricted access"))),AND(IF(Metadata!H765="",FALSE,ISNUMBER(VALUE(Metadata!H765))),Metadata!H765&gt;=-413))</f>
        <v>0</v>
      </c>
      <c r="AV765" t="b">
        <f>AND(IF(Metadata!I765="",FALSE,TRUE),EXACT(Metadata!I765,"meters"))</f>
        <v>0</v>
      </c>
      <c r="AW765" t="b">
        <f>AND(IF(Metadata!J765="",FALSE,TRUE),EXACT(Metadata!J765,"free-living"))</f>
        <v>0</v>
      </c>
      <c r="AX765" t="b">
        <f>AND(IF(Metadata!K765="",FALSE,TRUE),OR(EXACT(Metadata!K765,"saline"),EXACT(Metadata!K765,"non-saline")))</f>
        <v>0</v>
      </c>
      <c r="AY765" t="b">
        <f>AND(IF(Metadata!L765="",FALSE,TRUE),OR(EXACT(Metadata!L765,"sub-surface (non-saline)"),EXACT(Metadata!L765,"surface (non-saline)"),EXACT(Metadata!L765,"water (non-saline)"),EXACT(Metadata!L765,"soil (non-saline)"),EXACT(Metadata!L765,"aerosol (non-saline)"),EXACT(Metadata!L765,"sediment (non-saline)"),EXACT(Metadata!L765,"surface (saline)"),EXACT(Metadata!L765,"water (saline)"),EXACT(Metadata!L765,"hypersaline (saline)"),EXACT(Metadata!L765,"aerosol (saline)"),EXACT(Metadata!L765,"sediment (saline)")))</f>
        <v>0</v>
      </c>
      <c r="AZ765" t="b">
        <f>IF(Metadata!M765="",FALSE,TRUE)</f>
        <v>0</v>
      </c>
      <c r="BA765" t="b">
        <f>IF(Metadata!N765="",FALSE,TRUE)</f>
        <v>0</v>
      </c>
      <c r="BB765" t="b">
        <f>IF(Metadata!O765="",FALSE,TRUE)</f>
        <v>0</v>
      </c>
      <c r="BC765" t="b">
        <f>AND(IF(Metadata!P765="",FALSE,TRUE),OR(EXACT(Metadata!P765,"air"),EXACT(Metadata!P765,"microbial mat/biofilm"),EXACT(Metadata!P765,"misc environment"),EXACT(Metadata!P765,"sediment"),EXACT(Metadata!P765,"soil"),EXACT(Metadata!P765,"wastewater/sludge"),EXACT(Metadata!P765,"water")))</f>
        <v>0</v>
      </c>
      <c r="BD765" t="b">
        <f>IF(Metadata!Q765="",FALSE,TRUE)</f>
        <v>0</v>
      </c>
      <c r="BE765" t="b">
        <f>IF(Metadata!R765="",FALSE,TRUE)</f>
        <v>0</v>
      </c>
      <c r="BF765" t="b">
        <f>OR(AND(IF(Metadata!S765="",FALSE,TRUE),OR(EXACT(Metadata!S765,"not collected"),EXACT(Metadata!S765,"not provided"),EXACT(Metadata!S765,"restricted access"))),AND(IF(Metadata!S765="",FALSE,ISNUMBER(VALUE(Metadata!S765))),Metadata!S765&gt;=-90,Metadata!S765&lt;=90))</f>
        <v>0</v>
      </c>
      <c r="BG765" t="b">
        <f>AND(IF(Metadata!T765="",FALSE,TRUE),EXACT(Metadata!T765,"Decimal degrees"))</f>
        <v>0</v>
      </c>
      <c r="BH765" t="b">
        <f>OR(AND(IF(Metadata!U765="",FALSE,TRUE),OR(EXACT(Metadata!U765,"not applicable"),EXACT(Metadata!U765,"not collected"))),IF(Metadata!U765="",FALSE,TRUE))</f>
        <v>0</v>
      </c>
      <c r="BI765" t="b">
        <f>OR(AND(IF(Metadata!V765="",FALSE,TRUE),OR(EXACT(Metadata!V765,"not collected"),EXACT(Metadata!V765,"not provided"),EXACT(Metadata!V765,"restricted access"))),AND(IF(Metadata!V765="",FALSE,ISNUMBER(VALUE(Metadata!V765))),Metadata!V765&gt;=-180,Metadata!V765&lt;=180))</f>
        <v>0</v>
      </c>
      <c r="BJ765" t="b">
        <f>AND(IF(Metadata!W765="",FALSE,TRUE),EXACT(Metadata!W765,"Decimal degrees"))</f>
        <v>0</v>
      </c>
      <c r="BK765" t="b">
        <f>IF(Metadata!X765="",FALSE,TRUE)</f>
        <v>0</v>
      </c>
      <c r="BL765" t="b">
        <f>OR(AND(IF(Metadata!Y765="",FALSE,TRUE),OR(EXACT(Metadata!Y765,"not collected"),EXACT(Metadata!Y765,"not provided"),EXACT(Metadata!Y765,"restricted access"))),AND(IF(Metadata!Y765="",FALSE,TRUE),OR(EXACT(Metadata!Y765,"TRUE"),EXACT(Metadata!Y765,"FALSE"))))</f>
        <v>0</v>
      </c>
      <c r="BM765" t="b">
        <f>OR(AND(IF(Metadata!Z765="",FALSE,TRUE),EXACT(Metadata!Z765,"not applicable")),AND(IF(Metadata!Z765="",FALSE,TRUE),OR(EXACT(Metadata!Z765,"beer"),EXACT(Metadata!Z765,"cheese"),EXACT(Metadata!Z765,"fresh water"),EXACT(Metadata!Z765,"marine sediment"),EXACT(Metadata!Z765,"sea water"),EXACT(Metadata!Z765,"sediment"),EXACT(Metadata!Z765,"soil"),EXACT(Metadata!Z765,"waste water"))))</f>
        <v>0</v>
      </c>
      <c r="BN765" t="b">
        <f>AND(IF(Metadata!AA765="",FALSE,TRUE),EXACT(Metadata!AA765,"metagenome"))</f>
        <v>0</v>
      </c>
      <c r="BO765" t="b">
        <f>AND(IF(Metadata!AB765="",FALSE,TRUE),EXACT(Metadata!AB765,"256318"))</f>
        <v>0</v>
      </c>
      <c r="BP765" t="b">
        <f>IF(Metadata!AC765="",FALSE,TRUE)</f>
        <v>0</v>
      </c>
      <c r="BQ765" t="b">
        <f>IF(Metadata!AD765="",FALSE,TRUE)</f>
        <v>0</v>
      </c>
    </row>
    <row r="766" spans="1:69" x14ac:dyDescent="0.2">
      <c r="A766" s="4" t="e">
        <f ca="1">IF(B766=" "," ",HYPERLINK(CONCATENATE("#metadata!",ADDRESS(INDEX($AJ$2:$AJ$1001,MATCH(ROWS($AH$2:AH766),$AH$2:$AH$1001,0),0),2)),INDEX($AM$2:$AM$1001,MATCH(ROWS($AH$2:AH766),$AH$2:$AH$1001,0),0)))</f>
        <v>#N/A</v>
      </c>
      <c r="B766" s="5" t="e">
        <f ca="1">IF(OR(INDEX($AI$2:$AI$1001,MATCH(ROWS($AH$2:AH766),$AH$2:$AH$1001,0),1)&gt;=100000,INDEX($AO$1005:$BQ$1005,1,MATCH(COLUMNS($AO$1006:AO1006),$AO$1006:$BQ$1006,0))&gt;=100000), " ",IF(INDEX($AO$2:$BQ$1001,MATCH(ROWS($AH$2:AH766),$AH$2:$AH$1001,0),MATCH(COLUMNS($AO$1006:AO1006),$AO$1006:$BQ$1006,0)), HYPERLINK("#",""), HYPERLINK(CONCATENATE("#Metadata!", ADDRESS(INDEX($AJ$2:$AJ$1001,MATCH(ROWS($AH$2:AH766),$AH$2:$AH$1001,0),0), INDEX($AO$1004:$BQ$1004,1,MATCH(COLUMNS($AO$1006:AO1006),$AO$1006:$BQ$1006,0)))),"Fix")))</f>
        <v>#N/A</v>
      </c>
      <c r="C766" s="5" t="e">
        <f ca="1">IF(OR(INDEX($AI$2:$AI$1001,MATCH(ROWS($AH$2:AH766),$AH$2:$AH$1001,0),1)&gt;=100000,INDEX($AO$1005:$BQ$1005,1,MATCH(COLUMNS($AO$1006:AP1006),$AO$1006:$BQ$1006,0))&gt;=100000), " ",IF(INDEX($AO$2:$BQ$1001,MATCH(ROWS($AH$2:AH766),$AH$2:$AH$1001,0),MATCH(COLUMNS($AO$1006:AP1006),$AO$1006:$BQ$1006,0)), HYPERLINK("#",""), HYPERLINK(CONCATENATE("#Metadata!", ADDRESS(INDEX($AJ$2:$AJ$1001,MATCH(ROWS($AH$2:AH766),$AH$2:$AH$1001,0),0), INDEX($AO$1004:$BQ$1004,1,MATCH(COLUMNS($AO$1006:AP1006),$AO$1006:$BQ$1006,0)))),"Fix")))</f>
        <v>#N/A</v>
      </c>
      <c r="D766" s="5" t="e">
        <f ca="1">IF(OR(INDEX($AI$2:$AI$1001,MATCH(ROWS($AH$2:AH766),$AH$2:$AH$1001,0),1)&gt;=100000,INDEX($AO$1005:$BQ$1005,1,MATCH(COLUMNS($AO$1006:AQ1006),$AO$1006:$BQ$1006,0))&gt;=100000), " ",IF(INDEX($AO$2:$BQ$1001,MATCH(ROWS($AH$2:AH766),$AH$2:$AH$1001,0),MATCH(COLUMNS($AO$1006:AQ1006),$AO$1006:$BQ$1006,0)), HYPERLINK("#",""), HYPERLINK(CONCATENATE("#Metadata!", ADDRESS(INDEX($AJ$2:$AJ$1001,MATCH(ROWS($AH$2:AH766),$AH$2:$AH$1001,0),0), INDEX($AO$1004:$BQ$1004,1,MATCH(COLUMNS($AO$1006:AQ1006),$AO$1006:$BQ$1006,0)))),"Fix")))</f>
        <v>#N/A</v>
      </c>
      <c r="E766" s="5" t="e">
        <f ca="1">IF(OR(INDEX($AI$2:$AI$1001,MATCH(ROWS($AH$2:AH766),$AH$2:$AH$1001,0),1)&gt;=100000,INDEX($AO$1005:$BQ$1005,1,MATCH(COLUMNS($AO$1006:AR1006),$AO$1006:$BQ$1006,0))&gt;=100000), " ",IF(INDEX($AO$2:$BQ$1001,MATCH(ROWS($AH$2:AH766),$AH$2:$AH$1001,0),MATCH(COLUMNS($AO$1006:AR1006),$AO$1006:$BQ$1006,0)), HYPERLINK("#",""), HYPERLINK(CONCATENATE("#Metadata!", ADDRESS(INDEX($AJ$2:$AJ$1001,MATCH(ROWS($AH$2:AH766),$AH$2:$AH$1001,0),0), INDEX($AO$1004:$BQ$1004,1,MATCH(COLUMNS($AO$1006:AR1006),$AO$1006:$BQ$1006,0)))),"Fix")))</f>
        <v>#N/A</v>
      </c>
      <c r="F766" s="5" t="e">
        <f ca="1">IF(OR(INDEX($AI$2:$AI$1001,MATCH(ROWS($AH$2:AH766),$AH$2:$AH$1001,0),1)&gt;=100000,INDEX($AO$1005:$BQ$1005,1,MATCH(COLUMNS($AO$1006:AS1006),$AO$1006:$BQ$1006,0))&gt;=100000), " ",IF(INDEX($AO$2:$BQ$1001,MATCH(ROWS($AH$2:AH766),$AH$2:$AH$1001,0),MATCH(COLUMNS($AO$1006:AS1006),$AO$1006:$BQ$1006,0)), HYPERLINK("#",""), HYPERLINK(CONCATENATE("#Metadata!", ADDRESS(INDEX($AJ$2:$AJ$1001,MATCH(ROWS($AH$2:AH766),$AH$2:$AH$1001,0),0), INDEX($AO$1004:$BQ$1004,1,MATCH(COLUMNS($AO$1006:AS1006),$AO$1006:$BQ$1006,0)))),"Fix")))</f>
        <v>#N/A</v>
      </c>
      <c r="G766" s="5" t="e">
        <f ca="1">IF(OR(INDEX($AI$2:$AI$1001,MATCH(ROWS($AH$2:AH766),$AH$2:$AH$1001,0),1)&gt;=100000,INDEX($AO$1005:$BQ$1005,1,MATCH(COLUMNS($AO$1006:AT1006),$AO$1006:$BQ$1006,0))&gt;=100000), " ",IF(INDEX($AO$2:$BQ$1001,MATCH(ROWS($AH$2:AH766),$AH$2:$AH$1001,0),MATCH(COLUMNS($AO$1006:AT1006),$AO$1006:$BQ$1006,0)), HYPERLINK("#",""), HYPERLINK(CONCATENATE("#Metadata!", ADDRESS(INDEX($AJ$2:$AJ$1001,MATCH(ROWS($AH$2:AH766),$AH$2:$AH$1001,0),0), INDEX($AO$1004:$BQ$1004,1,MATCH(COLUMNS($AO$1006:AT1006),$AO$1006:$BQ$1006,0)))),"Fix")))</f>
        <v>#N/A</v>
      </c>
      <c r="H766" s="5" t="e">
        <f ca="1">IF(OR(INDEX($AI$2:$AI$1001,MATCH(ROWS($AH$2:AH766),$AH$2:$AH$1001,0),1)&gt;=100000,INDEX($AO$1005:$BQ$1005,1,MATCH(COLUMNS($AO$1006:AU1006),$AO$1006:$BQ$1006,0))&gt;=100000), " ",IF(INDEX($AO$2:$BQ$1001,MATCH(ROWS($AH$2:AH766),$AH$2:$AH$1001,0),MATCH(COLUMNS($AO$1006:AU1006),$AO$1006:$BQ$1006,0)), HYPERLINK("#",""), HYPERLINK(CONCATENATE("#Metadata!", ADDRESS(INDEX($AJ$2:$AJ$1001,MATCH(ROWS($AH$2:AH766),$AH$2:$AH$1001,0),0), INDEX($AO$1004:$BQ$1004,1,MATCH(COLUMNS($AO$1006:AU1006),$AO$1006:$BQ$1006,0)))),"Fix")))</f>
        <v>#N/A</v>
      </c>
      <c r="I766" s="5" t="e">
        <f ca="1">IF(OR(INDEX($AI$2:$AI$1001,MATCH(ROWS($AH$2:AH766),$AH$2:$AH$1001,0),1)&gt;=100000,INDEX($AO$1005:$BQ$1005,1,MATCH(COLUMNS($AO$1006:AV1006),$AO$1006:$BQ$1006,0))&gt;=100000), " ",IF(INDEX($AO$2:$BQ$1001,MATCH(ROWS($AH$2:AH766),$AH$2:$AH$1001,0),MATCH(COLUMNS($AO$1006:AV1006),$AO$1006:$BQ$1006,0)), HYPERLINK("#",""), HYPERLINK(CONCATENATE("#Metadata!", ADDRESS(INDEX($AJ$2:$AJ$1001,MATCH(ROWS($AH$2:AH766),$AH$2:$AH$1001,0),0), INDEX($AO$1004:$BQ$1004,1,MATCH(COLUMNS($AO$1006:AV1006),$AO$1006:$BQ$1006,0)))),"Fix")))</f>
        <v>#N/A</v>
      </c>
      <c r="J766" s="5" t="e">
        <f ca="1">IF(OR(INDEX($AI$2:$AI$1001,MATCH(ROWS($AH$2:AH766),$AH$2:$AH$1001,0),1)&gt;=100000,INDEX($AO$1005:$BQ$1005,1,MATCH(COLUMNS($AO$1006:AW1006),$AO$1006:$BQ$1006,0))&gt;=100000), " ",IF(INDEX($AO$2:$BQ$1001,MATCH(ROWS($AH$2:AH766),$AH$2:$AH$1001,0),MATCH(COLUMNS($AO$1006:AW1006),$AO$1006:$BQ$1006,0)), HYPERLINK("#",""), HYPERLINK(CONCATENATE("#Metadata!", ADDRESS(INDEX($AJ$2:$AJ$1001,MATCH(ROWS($AH$2:AH766),$AH$2:$AH$1001,0),0), INDEX($AO$1004:$BQ$1004,1,MATCH(COLUMNS($AO$1006:AW1006),$AO$1006:$BQ$1006,0)))),"Fix")))</f>
        <v>#N/A</v>
      </c>
      <c r="K766" s="5" t="e">
        <f ca="1">IF(OR(INDEX($AI$2:$AI$1001,MATCH(ROWS($AH$2:AH766),$AH$2:$AH$1001,0),1)&gt;=100000,INDEX($AO$1005:$BQ$1005,1,MATCH(COLUMNS($AO$1006:AX1006),$AO$1006:$BQ$1006,0))&gt;=100000), " ",IF(INDEX($AO$2:$BQ$1001,MATCH(ROWS($AH$2:AH766),$AH$2:$AH$1001,0),MATCH(COLUMNS($AO$1006:AX1006),$AO$1006:$BQ$1006,0)), HYPERLINK("#",""), HYPERLINK(CONCATENATE("#Metadata!", ADDRESS(INDEX($AJ$2:$AJ$1001,MATCH(ROWS($AH$2:AH766),$AH$2:$AH$1001,0),0), INDEX($AO$1004:$BQ$1004,1,MATCH(COLUMNS($AO$1006:AX1006),$AO$1006:$BQ$1006,0)))),"Fix")))</f>
        <v>#N/A</v>
      </c>
      <c r="L766" s="5" t="e">
        <f ca="1">IF(OR(INDEX($AI$2:$AI$1001,MATCH(ROWS($AH$2:AH766),$AH$2:$AH$1001,0),1)&gt;=100000,INDEX($AO$1005:$BQ$1005,1,MATCH(COLUMNS($AO$1006:AY1006),$AO$1006:$BQ$1006,0))&gt;=100000), " ",IF(INDEX($AO$2:$BQ$1001,MATCH(ROWS($AH$2:AH766),$AH$2:$AH$1001,0),MATCH(COLUMNS($AO$1006:AY1006),$AO$1006:$BQ$1006,0)), HYPERLINK("#",""), HYPERLINK(CONCATENATE("#Metadata!", ADDRESS(INDEX($AJ$2:$AJ$1001,MATCH(ROWS($AH$2:AH766),$AH$2:$AH$1001,0),0), INDEX($AO$1004:$BQ$1004,1,MATCH(COLUMNS($AO$1006:AY1006),$AO$1006:$BQ$1006,0)))),"Fix")))</f>
        <v>#N/A</v>
      </c>
      <c r="M766" s="5" t="e">
        <f ca="1">IF(OR(INDEX($AI$2:$AI$1001,MATCH(ROWS($AH$2:AH766),$AH$2:$AH$1001,0),1)&gt;=100000,INDEX($AO$1005:$BQ$1005,1,MATCH(COLUMNS($AO$1006:AZ1006),$AO$1006:$BQ$1006,0))&gt;=100000), " ",IF(INDEX($AO$2:$BQ$1001,MATCH(ROWS($AH$2:AH766),$AH$2:$AH$1001,0),MATCH(COLUMNS($AO$1006:AZ1006),$AO$1006:$BQ$1006,0)), HYPERLINK("#",""), HYPERLINK(CONCATENATE("#Metadata!", ADDRESS(INDEX($AJ$2:$AJ$1001,MATCH(ROWS($AH$2:AH766),$AH$2:$AH$1001,0),0), INDEX($AO$1004:$BQ$1004,1,MATCH(COLUMNS($AO$1006:AZ1006),$AO$1006:$BQ$1006,0)))),"Fix")))</f>
        <v>#N/A</v>
      </c>
      <c r="N766" s="5" t="e">
        <f ca="1">IF(OR(INDEX($AI$2:$AI$1001,MATCH(ROWS($AH$2:AH766),$AH$2:$AH$1001,0),1)&gt;=100000,INDEX($AO$1005:$BQ$1005,1,MATCH(COLUMNS($AO$1006:BA1006),$AO$1006:$BQ$1006,0))&gt;=100000), " ",IF(INDEX($AO$2:$BQ$1001,MATCH(ROWS($AH$2:AH766),$AH$2:$AH$1001,0),MATCH(COLUMNS($AO$1006:BA1006),$AO$1006:$BQ$1006,0)), HYPERLINK("#",""), HYPERLINK(CONCATENATE("#Metadata!", ADDRESS(INDEX($AJ$2:$AJ$1001,MATCH(ROWS($AH$2:AH766),$AH$2:$AH$1001,0),0), INDEX($AO$1004:$BQ$1004,1,MATCH(COLUMNS($AO$1006:BA1006),$AO$1006:$BQ$1006,0)))),"Fix")))</f>
        <v>#N/A</v>
      </c>
      <c r="O766" s="5" t="e">
        <f ca="1">IF(OR(INDEX($AI$2:$AI$1001,MATCH(ROWS($AH$2:AH766),$AH$2:$AH$1001,0),1)&gt;=100000,INDEX($AO$1005:$BQ$1005,1,MATCH(COLUMNS($AO$1006:BB1006),$AO$1006:$BQ$1006,0))&gt;=100000), " ",IF(INDEX($AO$2:$BQ$1001,MATCH(ROWS($AH$2:AH766),$AH$2:$AH$1001,0),MATCH(COLUMNS($AO$1006:BB1006),$AO$1006:$BQ$1006,0)), HYPERLINK("#",""), HYPERLINK(CONCATENATE("#Metadata!", ADDRESS(INDEX($AJ$2:$AJ$1001,MATCH(ROWS($AH$2:AH766),$AH$2:$AH$1001,0),0), INDEX($AO$1004:$BQ$1004,1,MATCH(COLUMNS($AO$1006:BB1006),$AO$1006:$BQ$1006,0)))),"Fix")))</f>
        <v>#N/A</v>
      </c>
      <c r="P766" s="5" t="e">
        <f ca="1">IF(OR(INDEX($AI$2:$AI$1001,MATCH(ROWS($AH$2:AH766),$AH$2:$AH$1001,0),1)&gt;=100000,INDEX($AO$1005:$BQ$1005,1,MATCH(COLUMNS($AO$1006:BC1006),$AO$1006:$BQ$1006,0))&gt;=100000), " ",IF(INDEX($AO$2:$BQ$1001,MATCH(ROWS($AH$2:AH766),$AH$2:$AH$1001,0),MATCH(COLUMNS($AO$1006:BC1006),$AO$1006:$BQ$1006,0)), HYPERLINK("#",""), HYPERLINK(CONCATENATE("#Metadata!", ADDRESS(INDEX($AJ$2:$AJ$1001,MATCH(ROWS($AH$2:AH766),$AH$2:$AH$1001,0),0), INDEX($AO$1004:$BQ$1004,1,MATCH(COLUMNS($AO$1006:BC1006),$AO$1006:$BQ$1006,0)))),"Fix")))</f>
        <v>#N/A</v>
      </c>
      <c r="Q766" s="5" t="e">
        <f ca="1">IF(OR(INDEX($AI$2:$AI$1001,MATCH(ROWS($AH$2:AH766),$AH$2:$AH$1001,0),1)&gt;=100000,INDEX($AO$1005:$BQ$1005,1,MATCH(COLUMNS($AO$1006:BD1006),$AO$1006:$BQ$1006,0))&gt;=100000), " ",IF(INDEX($AO$2:$BQ$1001,MATCH(ROWS($AH$2:AH766),$AH$2:$AH$1001,0),MATCH(COLUMNS($AO$1006:BD1006),$AO$1006:$BQ$1006,0)), HYPERLINK("#",""), HYPERLINK(CONCATENATE("#Metadata!", ADDRESS(INDEX($AJ$2:$AJ$1001,MATCH(ROWS($AH$2:AH766),$AH$2:$AH$1001,0),0), INDEX($AO$1004:$BQ$1004,1,MATCH(COLUMNS($AO$1006:BD1006),$AO$1006:$BQ$1006,0)))),"Fix")))</f>
        <v>#N/A</v>
      </c>
      <c r="R766" s="5" t="e">
        <f ca="1">IF(OR(INDEX($AI$2:$AI$1001,MATCH(ROWS($AH$2:AH766),$AH$2:$AH$1001,0),1)&gt;=100000,INDEX($AO$1005:$BQ$1005,1,MATCH(COLUMNS($AO$1006:BE1006),$AO$1006:$BQ$1006,0))&gt;=100000), " ",IF(INDEX($AO$2:$BQ$1001,MATCH(ROWS($AH$2:AH766),$AH$2:$AH$1001,0),MATCH(COLUMNS($AO$1006:BE1006),$AO$1006:$BQ$1006,0)), HYPERLINK("#",""), HYPERLINK(CONCATENATE("#Metadata!", ADDRESS(INDEX($AJ$2:$AJ$1001,MATCH(ROWS($AH$2:AH766),$AH$2:$AH$1001,0),0), INDEX($AO$1004:$BQ$1004,1,MATCH(COLUMNS($AO$1006:BE1006),$AO$1006:$BQ$1006,0)))),"Fix")))</f>
        <v>#N/A</v>
      </c>
      <c r="S766" s="5" t="e">
        <f ca="1">IF(OR(INDEX($AI$2:$AI$1001,MATCH(ROWS($AH$2:AH766),$AH$2:$AH$1001,0),1)&gt;=100000,INDEX($AO$1005:$BQ$1005,1,MATCH(COLUMNS($AO$1006:BF1006),$AO$1006:$BQ$1006,0))&gt;=100000), " ",IF(INDEX($AO$2:$BQ$1001,MATCH(ROWS($AH$2:AH766),$AH$2:$AH$1001,0),MATCH(COLUMNS($AO$1006:BF1006),$AO$1006:$BQ$1006,0)), HYPERLINK("#",""), HYPERLINK(CONCATENATE("#Metadata!", ADDRESS(INDEX($AJ$2:$AJ$1001,MATCH(ROWS($AH$2:AH766),$AH$2:$AH$1001,0),0), INDEX($AO$1004:$BQ$1004,1,MATCH(COLUMNS($AO$1006:BF1006),$AO$1006:$BQ$1006,0)))),"Fix")))</f>
        <v>#N/A</v>
      </c>
      <c r="T766" s="5" t="e">
        <f ca="1">IF(OR(INDEX($AI$2:$AI$1001,MATCH(ROWS($AH$2:AH766),$AH$2:$AH$1001,0),1)&gt;=100000,INDEX($AO$1005:$BQ$1005,1,MATCH(COLUMNS($AO$1006:BG1006),$AO$1006:$BQ$1006,0))&gt;=100000), " ",IF(INDEX($AO$2:$BQ$1001,MATCH(ROWS($AH$2:AH766),$AH$2:$AH$1001,0),MATCH(COLUMNS($AO$1006:BG1006),$AO$1006:$BQ$1006,0)), HYPERLINK("#",""), HYPERLINK(CONCATENATE("#Metadata!", ADDRESS(INDEX($AJ$2:$AJ$1001,MATCH(ROWS($AH$2:AH766),$AH$2:$AH$1001,0),0), INDEX($AO$1004:$BQ$1004,1,MATCH(COLUMNS($AO$1006:BG1006),$AO$1006:$BQ$1006,0)))),"Fix")))</f>
        <v>#N/A</v>
      </c>
      <c r="U766" s="5" t="e">
        <f ca="1">IF(OR(INDEX($AI$2:$AI$1001,MATCH(ROWS($AH$2:AH766),$AH$2:$AH$1001,0),1)&gt;=100000,INDEX($AO$1005:$BQ$1005,1,MATCH(COLUMNS($AO$1006:BH1006),$AO$1006:$BQ$1006,0))&gt;=100000), " ",IF(INDEX($AO$2:$BQ$1001,MATCH(ROWS($AH$2:AH766),$AH$2:$AH$1001,0),MATCH(COLUMNS($AO$1006:BH1006),$AO$1006:$BQ$1006,0)), HYPERLINK("#",""), HYPERLINK(CONCATENATE("#Metadata!", ADDRESS(INDEX($AJ$2:$AJ$1001,MATCH(ROWS($AH$2:AH766),$AH$2:$AH$1001,0),0), INDEX($AO$1004:$BQ$1004,1,MATCH(COLUMNS($AO$1006:BH1006),$AO$1006:$BQ$1006,0)))),"Fix")))</f>
        <v>#N/A</v>
      </c>
      <c r="V766" s="5" t="e">
        <f ca="1">IF(OR(INDEX($AI$2:$AI$1001,MATCH(ROWS($AH$2:AH766),$AH$2:$AH$1001,0),1)&gt;=100000,INDEX($AO$1005:$BQ$1005,1,MATCH(COLUMNS($AO$1006:BI1006),$AO$1006:$BQ$1006,0))&gt;=100000), " ",IF(INDEX($AO$2:$BQ$1001,MATCH(ROWS($AH$2:AH766),$AH$2:$AH$1001,0),MATCH(COLUMNS($AO$1006:BI1006),$AO$1006:$BQ$1006,0)), HYPERLINK("#",""), HYPERLINK(CONCATENATE("#Metadata!", ADDRESS(INDEX($AJ$2:$AJ$1001,MATCH(ROWS($AH$2:AH766),$AH$2:$AH$1001,0),0), INDEX($AO$1004:$BQ$1004,1,MATCH(COLUMNS($AO$1006:BI1006),$AO$1006:$BQ$1006,0)))),"Fix")))</f>
        <v>#N/A</v>
      </c>
      <c r="W766" s="5" t="e">
        <f ca="1">IF(OR(INDEX($AI$2:$AI$1001,MATCH(ROWS($AH$2:AH766),$AH$2:$AH$1001,0),1)&gt;=100000,INDEX($AO$1005:$BQ$1005,1,MATCH(COLUMNS($AO$1006:BJ1006),$AO$1006:$BQ$1006,0))&gt;=100000), " ",IF(INDEX($AO$2:$BQ$1001,MATCH(ROWS($AH$2:AH766),$AH$2:$AH$1001,0),MATCH(COLUMNS($AO$1006:BJ1006),$AO$1006:$BQ$1006,0)), HYPERLINK("#",""), HYPERLINK(CONCATENATE("#Metadata!", ADDRESS(INDEX($AJ$2:$AJ$1001,MATCH(ROWS($AH$2:AH766),$AH$2:$AH$1001,0),0), INDEX($AO$1004:$BQ$1004,1,MATCH(COLUMNS($AO$1006:BJ1006),$AO$1006:$BQ$1006,0)))),"Fix")))</f>
        <v>#N/A</v>
      </c>
      <c r="X766" s="5" t="e">
        <f ca="1">IF(OR(INDEX($AI$2:$AI$1001,MATCH(ROWS($AH$2:AH766),$AH$2:$AH$1001,0),1)&gt;=100000,INDEX($AO$1005:$BQ$1005,1,MATCH(COLUMNS($AO$1006:BK1006),$AO$1006:$BQ$1006,0))&gt;=100000), " ",IF(INDEX($AO$2:$BQ$1001,MATCH(ROWS($AH$2:AH766),$AH$2:$AH$1001,0),MATCH(COLUMNS($AO$1006:BK1006),$AO$1006:$BQ$1006,0)), HYPERLINK("#",""), HYPERLINK(CONCATENATE("#Metadata!", ADDRESS(INDEX($AJ$2:$AJ$1001,MATCH(ROWS($AH$2:AH766),$AH$2:$AH$1001,0),0), INDEX($AO$1004:$BQ$1004,1,MATCH(COLUMNS($AO$1006:BK1006),$AO$1006:$BQ$1006,0)))),"Fix")))</f>
        <v>#N/A</v>
      </c>
      <c r="Y766" s="5" t="e">
        <f ca="1">IF(OR(INDEX($AI$2:$AI$1001,MATCH(ROWS($AH$2:AH766),$AH$2:$AH$1001,0),1)&gt;=100000,INDEX($AO$1005:$BQ$1005,1,MATCH(COLUMNS($AO$1006:BL1006),$AO$1006:$BQ$1006,0))&gt;=100000), " ",IF(INDEX($AO$2:$BQ$1001,MATCH(ROWS($AH$2:AH766),$AH$2:$AH$1001,0),MATCH(COLUMNS($AO$1006:BL1006),$AO$1006:$BQ$1006,0)), HYPERLINK("#",""), HYPERLINK(CONCATENATE("#Metadata!", ADDRESS(INDEX($AJ$2:$AJ$1001,MATCH(ROWS($AH$2:AH766),$AH$2:$AH$1001,0),0), INDEX($AO$1004:$BQ$1004,1,MATCH(COLUMNS($AO$1006:BL1006),$AO$1006:$BQ$1006,0)))),"Fix")))</f>
        <v>#N/A</v>
      </c>
      <c r="Z766" s="5" t="e">
        <f ca="1">IF(OR(INDEX($AI$2:$AI$1001,MATCH(ROWS($AH$2:AH766),$AH$2:$AH$1001,0),1)&gt;=100000,INDEX($AO$1005:$BQ$1005,1,MATCH(COLUMNS($AO$1006:BM1006),$AO$1006:$BQ$1006,0))&gt;=100000), " ",IF(INDEX($AO$2:$BQ$1001,MATCH(ROWS($AH$2:AH766),$AH$2:$AH$1001,0),MATCH(COLUMNS($AO$1006:BM1006),$AO$1006:$BQ$1006,0)), HYPERLINK("#",""), HYPERLINK(CONCATENATE("#Metadata!", ADDRESS(INDEX($AJ$2:$AJ$1001,MATCH(ROWS($AH$2:AH766),$AH$2:$AH$1001,0),0), INDEX($AO$1004:$BQ$1004,1,MATCH(COLUMNS($AO$1006:BM1006),$AO$1006:$BQ$1006,0)))),"Fix")))</f>
        <v>#N/A</v>
      </c>
      <c r="AA766" s="5" t="e">
        <f ca="1">IF(OR(INDEX($AI$2:$AI$1001,MATCH(ROWS($AH$2:AH766),$AH$2:$AH$1001,0),1)&gt;=100000,INDEX($AO$1005:$BQ$1005,1,MATCH(COLUMNS($AO$1006:BN1006),$AO$1006:$BQ$1006,0))&gt;=100000), " ",IF(INDEX($AO$2:$BQ$1001,MATCH(ROWS($AH$2:AH766),$AH$2:$AH$1001,0),MATCH(COLUMNS($AO$1006:BN1006),$AO$1006:$BQ$1006,0)), HYPERLINK("#",""), HYPERLINK(CONCATENATE("#Metadata!", ADDRESS(INDEX($AJ$2:$AJ$1001,MATCH(ROWS($AH$2:AH766),$AH$2:$AH$1001,0),0), INDEX($AO$1004:$BQ$1004,1,MATCH(COLUMNS($AO$1006:BN1006),$AO$1006:$BQ$1006,0)))),"Fix")))</f>
        <v>#N/A</v>
      </c>
      <c r="AB766" s="5" t="e">
        <f ca="1">IF(OR(INDEX($AI$2:$AI$1001,MATCH(ROWS($AH$2:AH766),$AH$2:$AH$1001,0),1)&gt;=100000,INDEX($AO$1005:$BQ$1005,1,MATCH(COLUMNS($AO$1006:BO1006),$AO$1006:$BQ$1006,0))&gt;=100000), " ",IF(INDEX($AO$2:$BQ$1001,MATCH(ROWS($AH$2:AH766),$AH$2:$AH$1001,0),MATCH(COLUMNS($AO$1006:BO1006),$AO$1006:$BQ$1006,0)), HYPERLINK("#",""), HYPERLINK(CONCATENATE("#Metadata!", ADDRESS(INDEX($AJ$2:$AJ$1001,MATCH(ROWS($AH$2:AH766),$AH$2:$AH$1001,0),0), INDEX($AO$1004:$BQ$1004,1,MATCH(COLUMNS($AO$1006:BO1006),$AO$1006:$BQ$1006,0)))),"Fix")))</f>
        <v>#N/A</v>
      </c>
      <c r="AC766" s="5" t="e">
        <f ca="1">IF(OR(INDEX($AI$2:$AI$1001,MATCH(ROWS($AH$2:AH766),$AH$2:$AH$1001,0),1)&gt;=100000,INDEX($AO$1005:$BQ$1005,1,MATCH(COLUMNS($AO$1006:BP1006),$AO$1006:$BQ$1006,0))&gt;=100000), " ",IF(INDEX($AO$2:$BQ$1001,MATCH(ROWS($AH$2:AH766),$AH$2:$AH$1001,0),MATCH(COLUMNS($AO$1006:BP1006),$AO$1006:$BQ$1006,0)), HYPERLINK("#",""), HYPERLINK(CONCATENATE("#Metadata!", ADDRESS(INDEX($AJ$2:$AJ$1001,MATCH(ROWS($AH$2:AH766),$AH$2:$AH$1001,0),0), INDEX($AO$1004:$BQ$1004,1,MATCH(COLUMNS($AO$1006:BP1006),$AO$1006:$BQ$1006,0)))),"Fix")))</f>
        <v>#N/A</v>
      </c>
      <c r="AD766" s="5" t="e">
        <f ca="1">IF(OR(INDEX($AI$2:$AI$1001,MATCH(ROWS($AH$2:AH766),$AH$2:$AH$1001,0),1)&gt;=100000,INDEX($AO$1005:$BQ$1005,1,MATCH(COLUMNS($AO$1006:BQ1006),$AO$1006:$BQ$1006,0))&gt;=100000), " ",IF(INDEX($AO$2:$BQ$1001,MATCH(ROWS($AH$2:AH766),$AH$2:$AH$1001,0),MATCH(COLUMNS($AO$1006:BQ1006),$AO$1006:$BQ$1006,0)), HYPERLINK("#",""), HYPERLINK(CONCATENATE("#Metadata!", ADDRESS(INDEX($AJ$2:$AJ$1001,MATCH(ROWS($AH$2:AH766),$AH$2:$AH$1001,0),0), INDEX($AO$1004:$BQ$1004,1,MATCH(COLUMNS($AO$1006:BQ1006),$AO$1006:$BQ$1006,0)))),"Fix")))</f>
        <v>#REF!</v>
      </c>
      <c r="AH766">
        <f ca="1"/>
        <v>763</v>
      </c>
      <c r="AI766">
        <v>100766</v>
      </c>
      <c r="AJ766">
        <v>766</v>
      </c>
      <c r="AK766" t="b">
        <f t="shared" si="11"/>
        <v>1</v>
      </c>
      <c r="AL766" t="b">
        <f>COUNTBLANK(Metadata!B766:AD766)=COLUMNS(Metadata!B766:AD766)</f>
        <v>1</v>
      </c>
      <c r="AM766" t="str">
        <v/>
      </c>
      <c r="AO766" t="b">
        <f ca="1">AND(IF(Metadata!B766="",FALSE,TRUE),COUNTIF(Metadata!B:B, Metadata!B766) = 1,NOT(ISERROR(SUMPRODUCT(SEARCH(MID(Metadata!B766,ROW(INDIRECT("1:"&amp;LEN(Metadata!B766))), 1),"0123456789abcdefghijklmnopqrstuvwxyzABCDEFGHIJKLMNOPQRSTUVWXYZ.")))))</f>
        <v>0</v>
      </c>
      <c r="AP766" t="b">
        <f>IF(Metadata!C766="",FALSE,TRUE)</f>
        <v>0</v>
      </c>
      <c r="AQ766" t="b">
        <f>IF(Metadata!D766="",FALSE,TRUE)</f>
        <v>0</v>
      </c>
      <c r="AR766" t="b">
        <f ca="1">OR(AND(IF(Metadata!E766="",FALSE,TRUE),OR(EXACT(Metadata!E766,"not collected"),EXACT(Metadata!E766,"not provided"),EXACT(Metadata!E766,"restricted access"))),AND(IF(Metadata!E766="",FALSE,TRUE),AND(AND(IFERROR(INT(LEFT(Metadata!E766,4))&gt;1900,FALSE),IFERROR(INT(LEFT(Metadata!E766,4))&lt;=YEAR(NOW()),FALSE)), OR(MID(Metadata!E766,5,1)="", AND(AND(MID(Metadata!E766,5,1)="-",IFERROR(INT(MID(Metadata!E766,6,1))&gt;=0,FALSE),IFERROR(INT(MID(Metadata!E766,6,1))&lt;=1,FALSE),NOT(MID(Metadata!E766,7,1)=""),IFERROR(INT(MID(Metadata!E766,6,2))&gt;=1,FALSE),IFERROR(INT(MID(Metadata!E766,6,2))&lt;=12,FALSE)), OR(MID(Metadata!E766,8,1)="", AND(AND(MID(Metadata!E766,8,1)="-",IFERROR(INT(MID(Metadata!E766,9,1))&gt;=0,FALSE),IFERROR(INT(MID(Metadata!E766,9,1))&lt;=3,FALSE),NOT(MID(Metadata!E766,10,1)=""),IFERROR(INT(MID(Metadata!E766,9,2))&gt;=1,FALSE),IFERROR(INT(MID(Metadata!E766,9,2))&lt;=31,FALSE)), OR(MID(Metadata!E766,11,1)="", AND(AND(MID(Metadata!E766,11,1)=" ",IFERROR(INT(MID(Metadata!E766,12,1))&gt;=0,FALSE),IFERROR(INT(MID(Metadata!E766,12,1))&lt;=2,FALSE),NOT(MID(Metadata!E766,13,1)=""),IFERROR(INT(MID(Metadata!E766,12,2))&gt;=0,FALSE),IFERROR(INT(MID(Metadata!E766,12,2))&lt;=23,FALSE)), OR(MID(Metadata!E766,14,1)="", AND(AND(MID(Metadata!E766,14,1)=":",IFERROR(INT(MID(Metadata!E766,15,1))&gt;=0,FALSE),IFERROR(INT(MID(Metadata!E766,15,1))&lt;=5,FALSE),NOT(MID(Metadata!E766,16,1)=""),IFERROR(INT(MID(Metadata!E766,15,2))&gt;=0,FALSE),IFERROR(INT(MID(Metadata!E766,15,2))&lt;=59,FALSE)), OR(MID(Metadata!E766,17,1)="", AND(AND(MID(Metadata!E766,17,1)=":",IFERROR(INT(MID(Metadata!E766,18,1))&gt;=0,FALSE),IFERROR(INT(MID(Metadata!E766,18,1))&lt;=5,FALSE),NOT(MID(Metadata!E766,19,1)=""),IFERROR(INT(MID(Metadata!E766,18,2))&gt;=0,FALSE),IFERROR(INT(MID(Metadata!E766,18,2))&lt;=59,FALSE)), LEN(Metadata!E766)&lt;=19)))))))))))))</f>
        <v>0</v>
      </c>
      <c r="AS766" t="b">
        <f>IF(Metadata!F766="",FALSE,TRUE)</f>
        <v>0</v>
      </c>
      <c r="AT766" t="b">
        <f>OR(AND(IF(Metadata!G766="",FALSE,TRUE),OR(EXACT(Metadata!G766,"not collected"),EXACT(Metadata!G766,"not provided"))),AND(IF(Metadata!G766="",FALSE,TRUE),OR(EXACT(Metadata!G766,"TRUE"),EXACT(Metadata!G766,"FALSE"))))</f>
        <v>0</v>
      </c>
      <c r="AU766" t="b">
        <f>OR(AND(IF(Metadata!H766="",FALSE,TRUE),OR(EXACT(Metadata!H766,"not collected"),EXACT(Metadata!H766,"not provided"),EXACT(Metadata!H766,"restricted access"))),AND(IF(Metadata!H766="",FALSE,ISNUMBER(VALUE(Metadata!H766))),Metadata!H766&gt;=-413))</f>
        <v>0</v>
      </c>
      <c r="AV766" t="b">
        <f>AND(IF(Metadata!I766="",FALSE,TRUE),EXACT(Metadata!I766,"meters"))</f>
        <v>0</v>
      </c>
      <c r="AW766" t="b">
        <f>AND(IF(Metadata!J766="",FALSE,TRUE),EXACT(Metadata!J766,"free-living"))</f>
        <v>0</v>
      </c>
      <c r="AX766" t="b">
        <f>AND(IF(Metadata!K766="",FALSE,TRUE),OR(EXACT(Metadata!K766,"saline"),EXACT(Metadata!K766,"non-saline")))</f>
        <v>0</v>
      </c>
      <c r="AY766" t="b">
        <f>AND(IF(Metadata!L766="",FALSE,TRUE),OR(EXACT(Metadata!L766,"sub-surface (non-saline)"),EXACT(Metadata!L766,"surface (non-saline)"),EXACT(Metadata!L766,"water (non-saline)"),EXACT(Metadata!L766,"soil (non-saline)"),EXACT(Metadata!L766,"aerosol (non-saline)"),EXACT(Metadata!L766,"sediment (non-saline)"),EXACT(Metadata!L766,"surface (saline)"),EXACT(Metadata!L766,"water (saline)"),EXACT(Metadata!L766,"hypersaline (saline)"),EXACT(Metadata!L766,"aerosol (saline)"),EXACT(Metadata!L766,"sediment (saline)")))</f>
        <v>0</v>
      </c>
      <c r="AZ766" t="b">
        <f>IF(Metadata!M766="",FALSE,TRUE)</f>
        <v>0</v>
      </c>
      <c r="BA766" t="b">
        <f>IF(Metadata!N766="",FALSE,TRUE)</f>
        <v>0</v>
      </c>
      <c r="BB766" t="b">
        <f>IF(Metadata!O766="",FALSE,TRUE)</f>
        <v>0</v>
      </c>
      <c r="BC766" t="b">
        <f>AND(IF(Metadata!P766="",FALSE,TRUE),OR(EXACT(Metadata!P766,"air"),EXACT(Metadata!P766,"microbial mat/biofilm"),EXACT(Metadata!P766,"misc environment"),EXACT(Metadata!P766,"sediment"),EXACT(Metadata!P766,"soil"),EXACT(Metadata!P766,"wastewater/sludge"),EXACT(Metadata!P766,"water")))</f>
        <v>0</v>
      </c>
      <c r="BD766" t="b">
        <f>IF(Metadata!Q766="",FALSE,TRUE)</f>
        <v>0</v>
      </c>
      <c r="BE766" t="b">
        <f>IF(Metadata!R766="",FALSE,TRUE)</f>
        <v>0</v>
      </c>
      <c r="BF766" t="b">
        <f>OR(AND(IF(Metadata!S766="",FALSE,TRUE),OR(EXACT(Metadata!S766,"not collected"),EXACT(Metadata!S766,"not provided"),EXACT(Metadata!S766,"restricted access"))),AND(IF(Metadata!S766="",FALSE,ISNUMBER(VALUE(Metadata!S766))),Metadata!S766&gt;=-90,Metadata!S766&lt;=90))</f>
        <v>0</v>
      </c>
      <c r="BG766" t="b">
        <f>AND(IF(Metadata!T766="",FALSE,TRUE),EXACT(Metadata!T766,"Decimal degrees"))</f>
        <v>0</v>
      </c>
      <c r="BH766" t="b">
        <f>OR(AND(IF(Metadata!U766="",FALSE,TRUE),OR(EXACT(Metadata!U766,"not applicable"),EXACT(Metadata!U766,"not collected"))),IF(Metadata!U766="",FALSE,TRUE))</f>
        <v>0</v>
      </c>
      <c r="BI766" t="b">
        <f>OR(AND(IF(Metadata!V766="",FALSE,TRUE),OR(EXACT(Metadata!V766,"not collected"),EXACT(Metadata!V766,"not provided"),EXACT(Metadata!V766,"restricted access"))),AND(IF(Metadata!V766="",FALSE,ISNUMBER(VALUE(Metadata!V766))),Metadata!V766&gt;=-180,Metadata!V766&lt;=180))</f>
        <v>0</v>
      </c>
      <c r="BJ766" t="b">
        <f>AND(IF(Metadata!W766="",FALSE,TRUE),EXACT(Metadata!W766,"Decimal degrees"))</f>
        <v>0</v>
      </c>
      <c r="BK766" t="b">
        <f>IF(Metadata!X766="",FALSE,TRUE)</f>
        <v>0</v>
      </c>
      <c r="BL766" t="b">
        <f>OR(AND(IF(Metadata!Y766="",FALSE,TRUE),OR(EXACT(Metadata!Y766,"not collected"),EXACT(Metadata!Y766,"not provided"),EXACT(Metadata!Y766,"restricted access"))),AND(IF(Metadata!Y766="",FALSE,TRUE),OR(EXACT(Metadata!Y766,"TRUE"),EXACT(Metadata!Y766,"FALSE"))))</f>
        <v>0</v>
      </c>
      <c r="BM766" t="b">
        <f>OR(AND(IF(Metadata!Z766="",FALSE,TRUE),EXACT(Metadata!Z766,"not applicable")),AND(IF(Metadata!Z766="",FALSE,TRUE),OR(EXACT(Metadata!Z766,"beer"),EXACT(Metadata!Z766,"cheese"),EXACT(Metadata!Z766,"fresh water"),EXACT(Metadata!Z766,"marine sediment"),EXACT(Metadata!Z766,"sea water"),EXACT(Metadata!Z766,"sediment"),EXACT(Metadata!Z766,"soil"),EXACT(Metadata!Z766,"waste water"))))</f>
        <v>0</v>
      </c>
      <c r="BN766" t="b">
        <f>AND(IF(Metadata!AA766="",FALSE,TRUE),EXACT(Metadata!AA766,"metagenome"))</f>
        <v>0</v>
      </c>
      <c r="BO766" t="b">
        <f>AND(IF(Metadata!AB766="",FALSE,TRUE),EXACT(Metadata!AB766,"256318"))</f>
        <v>0</v>
      </c>
      <c r="BP766" t="b">
        <f>IF(Metadata!AC766="",FALSE,TRUE)</f>
        <v>0</v>
      </c>
      <c r="BQ766" t="b">
        <f>IF(Metadata!AD766="",FALSE,TRUE)</f>
        <v>0</v>
      </c>
    </row>
    <row r="767" spans="1:69" x14ac:dyDescent="0.2">
      <c r="A767" s="4" t="e">
        <f ca="1">IF(B767=" "," ",HYPERLINK(CONCATENATE("#metadata!",ADDRESS(INDEX($AJ$2:$AJ$1001,MATCH(ROWS($AH$2:AH767),$AH$2:$AH$1001,0),0),2)),INDEX($AM$2:$AM$1001,MATCH(ROWS($AH$2:AH767),$AH$2:$AH$1001,0),0)))</f>
        <v>#N/A</v>
      </c>
      <c r="B767" s="5" t="e">
        <f ca="1">IF(OR(INDEX($AI$2:$AI$1001,MATCH(ROWS($AH$2:AH767),$AH$2:$AH$1001,0),1)&gt;=100000,INDEX($AO$1005:$BQ$1005,1,MATCH(COLUMNS($AO$1006:AO1006),$AO$1006:$BQ$1006,0))&gt;=100000), " ",IF(INDEX($AO$2:$BQ$1001,MATCH(ROWS($AH$2:AH767),$AH$2:$AH$1001,0),MATCH(COLUMNS($AO$1006:AO1006),$AO$1006:$BQ$1006,0)), HYPERLINK("#",""), HYPERLINK(CONCATENATE("#Metadata!", ADDRESS(INDEX($AJ$2:$AJ$1001,MATCH(ROWS($AH$2:AH767),$AH$2:$AH$1001,0),0), INDEX($AO$1004:$BQ$1004,1,MATCH(COLUMNS($AO$1006:AO1006),$AO$1006:$BQ$1006,0)))),"Fix")))</f>
        <v>#N/A</v>
      </c>
      <c r="C767" s="5" t="e">
        <f ca="1">IF(OR(INDEX($AI$2:$AI$1001,MATCH(ROWS($AH$2:AH767),$AH$2:$AH$1001,0),1)&gt;=100000,INDEX($AO$1005:$BQ$1005,1,MATCH(COLUMNS($AO$1006:AP1006),$AO$1006:$BQ$1006,0))&gt;=100000), " ",IF(INDEX($AO$2:$BQ$1001,MATCH(ROWS($AH$2:AH767),$AH$2:$AH$1001,0),MATCH(COLUMNS($AO$1006:AP1006),$AO$1006:$BQ$1006,0)), HYPERLINK("#",""), HYPERLINK(CONCATENATE("#Metadata!", ADDRESS(INDEX($AJ$2:$AJ$1001,MATCH(ROWS($AH$2:AH767),$AH$2:$AH$1001,0),0), INDEX($AO$1004:$BQ$1004,1,MATCH(COLUMNS($AO$1006:AP1006),$AO$1006:$BQ$1006,0)))),"Fix")))</f>
        <v>#N/A</v>
      </c>
      <c r="D767" s="5" t="e">
        <f ca="1">IF(OR(INDEX($AI$2:$AI$1001,MATCH(ROWS($AH$2:AH767),$AH$2:$AH$1001,0),1)&gt;=100000,INDEX($AO$1005:$BQ$1005,1,MATCH(COLUMNS($AO$1006:AQ1006),$AO$1006:$BQ$1006,0))&gt;=100000), " ",IF(INDEX($AO$2:$BQ$1001,MATCH(ROWS($AH$2:AH767),$AH$2:$AH$1001,0),MATCH(COLUMNS($AO$1006:AQ1006),$AO$1006:$BQ$1006,0)), HYPERLINK("#",""), HYPERLINK(CONCATENATE("#Metadata!", ADDRESS(INDEX($AJ$2:$AJ$1001,MATCH(ROWS($AH$2:AH767),$AH$2:$AH$1001,0),0), INDEX($AO$1004:$BQ$1004,1,MATCH(COLUMNS($AO$1006:AQ1006),$AO$1006:$BQ$1006,0)))),"Fix")))</f>
        <v>#N/A</v>
      </c>
      <c r="E767" s="5" t="e">
        <f ca="1">IF(OR(INDEX($AI$2:$AI$1001,MATCH(ROWS($AH$2:AH767),$AH$2:$AH$1001,0),1)&gt;=100000,INDEX($AO$1005:$BQ$1005,1,MATCH(COLUMNS($AO$1006:AR1006),$AO$1006:$BQ$1006,0))&gt;=100000), " ",IF(INDEX($AO$2:$BQ$1001,MATCH(ROWS($AH$2:AH767),$AH$2:$AH$1001,0),MATCH(COLUMNS($AO$1006:AR1006),$AO$1006:$BQ$1006,0)), HYPERLINK("#",""), HYPERLINK(CONCATENATE("#Metadata!", ADDRESS(INDEX($AJ$2:$AJ$1001,MATCH(ROWS($AH$2:AH767),$AH$2:$AH$1001,0),0), INDEX($AO$1004:$BQ$1004,1,MATCH(COLUMNS($AO$1006:AR1006),$AO$1006:$BQ$1006,0)))),"Fix")))</f>
        <v>#N/A</v>
      </c>
      <c r="F767" s="5" t="e">
        <f ca="1">IF(OR(INDEX($AI$2:$AI$1001,MATCH(ROWS($AH$2:AH767),$AH$2:$AH$1001,0),1)&gt;=100000,INDEX($AO$1005:$BQ$1005,1,MATCH(COLUMNS($AO$1006:AS1006),$AO$1006:$BQ$1006,0))&gt;=100000), " ",IF(INDEX($AO$2:$BQ$1001,MATCH(ROWS($AH$2:AH767),$AH$2:$AH$1001,0),MATCH(COLUMNS($AO$1006:AS1006),$AO$1006:$BQ$1006,0)), HYPERLINK("#",""), HYPERLINK(CONCATENATE("#Metadata!", ADDRESS(INDEX($AJ$2:$AJ$1001,MATCH(ROWS($AH$2:AH767),$AH$2:$AH$1001,0),0), INDEX($AO$1004:$BQ$1004,1,MATCH(COLUMNS($AO$1006:AS1006),$AO$1006:$BQ$1006,0)))),"Fix")))</f>
        <v>#N/A</v>
      </c>
      <c r="G767" s="5" t="e">
        <f ca="1">IF(OR(INDEX($AI$2:$AI$1001,MATCH(ROWS($AH$2:AH767),$AH$2:$AH$1001,0),1)&gt;=100000,INDEX($AO$1005:$BQ$1005,1,MATCH(COLUMNS($AO$1006:AT1006),$AO$1006:$BQ$1006,0))&gt;=100000), " ",IF(INDEX($AO$2:$BQ$1001,MATCH(ROWS($AH$2:AH767),$AH$2:$AH$1001,0),MATCH(COLUMNS($AO$1006:AT1006),$AO$1006:$BQ$1006,0)), HYPERLINK("#",""), HYPERLINK(CONCATENATE("#Metadata!", ADDRESS(INDEX($AJ$2:$AJ$1001,MATCH(ROWS($AH$2:AH767),$AH$2:$AH$1001,0),0), INDEX($AO$1004:$BQ$1004,1,MATCH(COLUMNS($AO$1006:AT1006),$AO$1006:$BQ$1006,0)))),"Fix")))</f>
        <v>#N/A</v>
      </c>
      <c r="H767" s="5" t="e">
        <f ca="1">IF(OR(INDEX($AI$2:$AI$1001,MATCH(ROWS($AH$2:AH767),$AH$2:$AH$1001,0),1)&gt;=100000,INDEX($AO$1005:$BQ$1005,1,MATCH(COLUMNS($AO$1006:AU1006),$AO$1006:$BQ$1006,0))&gt;=100000), " ",IF(INDEX($AO$2:$BQ$1001,MATCH(ROWS($AH$2:AH767),$AH$2:$AH$1001,0),MATCH(COLUMNS($AO$1006:AU1006),$AO$1006:$BQ$1006,0)), HYPERLINK("#",""), HYPERLINK(CONCATENATE("#Metadata!", ADDRESS(INDEX($AJ$2:$AJ$1001,MATCH(ROWS($AH$2:AH767),$AH$2:$AH$1001,0),0), INDEX($AO$1004:$BQ$1004,1,MATCH(COLUMNS($AO$1006:AU1006),$AO$1006:$BQ$1006,0)))),"Fix")))</f>
        <v>#N/A</v>
      </c>
      <c r="I767" s="5" t="e">
        <f ca="1">IF(OR(INDEX($AI$2:$AI$1001,MATCH(ROWS($AH$2:AH767),$AH$2:$AH$1001,0),1)&gt;=100000,INDEX($AO$1005:$BQ$1005,1,MATCH(COLUMNS($AO$1006:AV1006),$AO$1006:$BQ$1006,0))&gt;=100000), " ",IF(INDEX($AO$2:$BQ$1001,MATCH(ROWS($AH$2:AH767),$AH$2:$AH$1001,0),MATCH(COLUMNS($AO$1006:AV1006),$AO$1006:$BQ$1006,0)), HYPERLINK("#",""), HYPERLINK(CONCATENATE("#Metadata!", ADDRESS(INDEX($AJ$2:$AJ$1001,MATCH(ROWS($AH$2:AH767),$AH$2:$AH$1001,0),0), INDEX($AO$1004:$BQ$1004,1,MATCH(COLUMNS($AO$1006:AV1006),$AO$1006:$BQ$1006,0)))),"Fix")))</f>
        <v>#N/A</v>
      </c>
      <c r="J767" s="5" t="e">
        <f ca="1">IF(OR(INDEX($AI$2:$AI$1001,MATCH(ROWS($AH$2:AH767),$AH$2:$AH$1001,0),1)&gt;=100000,INDEX($AO$1005:$BQ$1005,1,MATCH(COLUMNS($AO$1006:AW1006),$AO$1006:$BQ$1006,0))&gt;=100000), " ",IF(INDEX($AO$2:$BQ$1001,MATCH(ROWS($AH$2:AH767),$AH$2:$AH$1001,0),MATCH(COLUMNS($AO$1006:AW1006),$AO$1006:$BQ$1006,0)), HYPERLINK("#",""), HYPERLINK(CONCATENATE("#Metadata!", ADDRESS(INDEX($AJ$2:$AJ$1001,MATCH(ROWS($AH$2:AH767),$AH$2:$AH$1001,0),0), INDEX($AO$1004:$BQ$1004,1,MATCH(COLUMNS($AO$1006:AW1006),$AO$1006:$BQ$1006,0)))),"Fix")))</f>
        <v>#N/A</v>
      </c>
      <c r="K767" s="5" t="e">
        <f ca="1">IF(OR(INDEX($AI$2:$AI$1001,MATCH(ROWS($AH$2:AH767),$AH$2:$AH$1001,0),1)&gt;=100000,INDEX($AO$1005:$BQ$1005,1,MATCH(COLUMNS($AO$1006:AX1006),$AO$1006:$BQ$1006,0))&gt;=100000), " ",IF(INDEX($AO$2:$BQ$1001,MATCH(ROWS($AH$2:AH767),$AH$2:$AH$1001,0),MATCH(COLUMNS($AO$1006:AX1006),$AO$1006:$BQ$1006,0)), HYPERLINK("#",""), HYPERLINK(CONCATENATE("#Metadata!", ADDRESS(INDEX($AJ$2:$AJ$1001,MATCH(ROWS($AH$2:AH767),$AH$2:$AH$1001,0),0), INDEX($AO$1004:$BQ$1004,1,MATCH(COLUMNS($AO$1006:AX1006),$AO$1006:$BQ$1006,0)))),"Fix")))</f>
        <v>#N/A</v>
      </c>
      <c r="L767" s="5" t="e">
        <f ca="1">IF(OR(INDEX($AI$2:$AI$1001,MATCH(ROWS($AH$2:AH767),$AH$2:$AH$1001,0),1)&gt;=100000,INDEX($AO$1005:$BQ$1005,1,MATCH(COLUMNS($AO$1006:AY1006),$AO$1006:$BQ$1006,0))&gt;=100000), " ",IF(INDEX($AO$2:$BQ$1001,MATCH(ROWS($AH$2:AH767),$AH$2:$AH$1001,0),MATCH(COLUMNS($AO$1006:AY1006),$AO$1006:$BQ$1006,0)), HYPERLINK("#",""), HYPERLINK(CONCATENATE("#Metadata!", ADDRESS(INDEX($AJ$2:$AJ$1001,MATCH(ROWS($AH$2:AH767),$AH$2:$AH$1001,0),0), INDEX($AO$1004:$BQ$1004,1,MATCH(COLUMNS($AO$1006:AY1006),$AO$1006:$BQ$1006,0)))),"Fix")))</f>
        <v>#N/A</v>
      </c>
      <c r="M767" s="5" t="e">
        <f ca="1">IF(OR(INDEX($AI$2:$AI$1001,MATCH(ROWS($AH$2:AH767),$AH$2:$AH$1001,0),1)&gt;=100000,INDEX($AO$1005:$BQ$1005,1,MATCH(COLUMNS($AO$1006:AZ1006),$AO$1006:$BQ$1006,0))&gt;=100000), " ",IF(INDEX($AO$2:$BQ$1001,MATCH(ROWS($AH$2:AH767),$AH$2:$AH$1001,0),MATCH(COLUMNS($AO$1006:AZ1006),$AO$1006:$BQ$1006,0)), HYPERLINK("#",""), HYPERLINK(CONCATENATE("#Metadata!", ADDRESS(INDEX($AJ$2:$AJ$1001,MATCH(ROWS($AH$2:AH767),$AH$2:$AH$1001,0),0), INDEX($AO$1004:$BQ$1004,1,MATCH(COLUMNS($AO$1006:AZ1006),$AO$1006:$BQ$1006,0)))),"Fix")))</f>
        <v>#N/A</v>
      </c>
      <c r="N767" s="5" t="e">
        <f ca="1">IF(OR(INDEX($AI$2:$AI$1001,MATCH(ROWS($AH$2:AH767),$AH$2:$AH$1001,0),1)&gt;=100000,INDEX($AO$1005:$BQ$1005,1,MATCH(COLUMNS($AO$1006:BA1006),$AO$1006:$BQ$1006,0))&gt;=100000), " ",IF(INDEX($AO$2:$BQ$1001,MATCH(ROWS($AH$2:AH767),$AH$2:$AH$1001,0),MATCH(COLUMNS($AO$1006:BA1006),$AO$1006:$BQ$1006,0)), HYPERLINK("#",""), HYPERLINK(CONCATENATE("#Metadata!", ADDRESS(INDEX($AJ$2:$AJ$1001,MATCH(ROWS($AH$2:AH767),$AH$2:$AH$1001,0),0), INDEX($AO$1004:$BQ$1004,1,MATCH(COLUMNS($AO$1006:BA1006),$AO$1006:$BQ$1006,0)))),"Fix")))</f>
        <v>#N/A</v>
      </c>
      <c r="O767" s="5" t="e">
        <f ca="1">IF(OR(INDEX($AI$2:$AI$1001,MATCH(ROWS($AH$2:AH767),$AH$2:$AH$1001,0),1)&gt;=100000,INDEX($AO$1005:$BQ$1005,1,MATCH(COLUMNS($AO$1006:BB1006),$AO$1006:$BQ$1006,0))&gt;=100000), " ",IF(INDEX($AO$2:$BQ$1001,MATCH(ROWS($AH$2:AH767),$AH$2:$AH$1001,0),MATCH(COLUMNS($AO$1006:BB1006),$AO$1006:$BQ$1006,0)), HYPERLINK("#",""), HYPERLINK(CONCATENATE("#Metadata!", ADDRESS(INDEX($AJ$2:$AJ$1001,MATCH(ROWS($AH$2:AH767),$AH$2:$AH$1001,0),0), INDEX($AO$1004:$BQ$1004,1,MATCH(COLUMNS($AO$1006:BB1006),$AO$1006:$BQ$1006,0)))),"Fix")))</f>
        <v>#N/A</v>
      </c>
      <c r="P767" s="5" t="e">
        <f ca="1">IF(OR(INDEX($AI$2:$AI$1001,MATCH(ROWS($AH$2:AH767),$AH$2:$AH$1001,0),1)&gt;=100000,INDEX($AO$1005:$BQ$1005,1,MATCH(COLUMNS($AO$1006:BC1006),$AO$1006:$BQ$1006,0))&gt;=100000), " ",IF(INDEX($AO$2:$BQ$1001,MATCH(ROWS($AH$2:AH767),$AH$2:$AH$1001,0),MATCH(COLUMNS($AO$1006:BC1006),$AO$1006:$BQ$1006,0)), HYPERLINK("#",""), HYPERLINK(CONCATENATE("#Metadata!", ADDRESS(INDEX($AJ$2:$AJ$1001,MATCH(ROWS($AH$2:AH767),$AH$2:$AH$1001,0),0), INDEX($AO$1004:$BQ$1004,1,MATCH(COLUMNS($AO$1006:BC1006),$AO$1006:$BQ$1006,0)))),"Fix")))</f>
        <v>#N/A</v>
      </c>
      <c r="Q767" s="5" t="e">
        <f ca="1">IF(OR(INDEX($AI$2:$AI$1001,MATCH(ROWS($AH$2:AH767),$AH$2:$AH$1001,0),1)&gt;=100000,INDEX($AO$1005:$BQ$1005,1,MATCH(COLUMNS($AO$1006:BD1006),$AO$1006:$BQ$1006,0))&gt;=100000), " ",IF(INDEX($AO$2:$BQ$1001,MATCH(ROWS($AH$2:AH767),$AH$2:$AH$1001,0),MATCH(COLUMNS($AO$1006:BD1006),$AO$1006:$BQ$1006,0)), HYPERLINK("#",""), HYPERLINK(CONCATENATE("#Metadata!", ADDRESS(INDEX($AJ$2:$AJ$1001,MATCH(ROWS($AH$2:AH767),$AH$2:$AH$1001,0),0), INDEX($AO$1004:$BQ$1004,1,MATCH(COLUMNS($AO$1006:BD1006),$AO$1006:$BQ$1006,0)))),"Fix")))</f>
        <v>#N/A</v>
      </c>
      <c r="R767" s="5" t="e">
        <f ca="1">IF(OR(INDEX($AI$2:$AI$1001,MATCH(ROWS($AH$2:AH767),$AH$2:$AH$1001,0),1)&gt;=100000,INDEX($AO$1005:$BQ$1005,1,MATCH(COLUMNS($AO$1006:BE1006),$AO$1006:$BQ$1006,0))&gt;=100000), " ",IF(INDEX($AO$2:$BQ$1001,MATCH(ROWS($AH$2:AH767),$AH$2:$AH$1001,0),MATCH(COLUMNS($AO$1006:BE1006),$AO$1006:$BQ$1006,0)), HYPERLINK("#",""), HYPERLINK(CONCATENATE("#Metadata!", ADDRESS(INDEX($AJ$2:$AJ$1001,MATCH(ROWS($AH$2:AH767),$AH$2:$AH$1001,0),0), INDEX($AO$1004:$BQ$1004,1,MATCH(COLUMNS($AO$1006:BE1006),$AO$1006:$BQ$1006,0)))),"Fix")))</f>
        <v>#N/A</v>
      </c>
      <c r="S767" s="5" t="e">
        <f ca="1">IF(OR(INDEX($AI$2:$AI$1001,MATCH(ROWS($AH$2:AH767),$AH$2:$AH$1001,0),1)&gt;=100000,INDEX($AO$1005:$BQ$1005,1,MATCH(COLUMNS($AO$1006:BF1006),$AO$1006:$BQ$1006,0))&gt;=100000), " ",IF(INDEX($AO$2:$BQ$1001,MATCH(ROWS($AH$2:AH767),$AH$2:$AH$1001,0),MATCH(COLUMNS($AO$1006:BF1006),$AO$1006:$BQ$1006,0)), HYPERLINK("#",""), HYPERLINK(CONCATENATE("#Metadata!", ADDRESS(INDEX($AJ$2:$AJ$1001,MATCH(ROWS($AH$2:AH767),$AH$2:$AH$1001,0),0), INDEX($AO$1004:$BQ$1004,1,MATCH(COLUMNS($AO$1006:BF1006),$AO$1006:$BQ$1006,0)))),"Fix")))</f>
        <v>#N/A</v>
      </c>
      <c r="T767" s="5" t="e">
        <f ca="1">IF(OR(INDEX($AI$2:$AI$1001,MATCH(ROWS($AH$2:AH767),$AH$2:$AH$1001,0),1)&gt;=100000,INDEX($AO$1005:$BQ$1005,1,MATCH(COLUMNS($AO$1006:BG1006),$AO$1006:$BQ$1006,0))&gt;=100000), " ",IF(INDEX($AO$2:$BQ$1001,MATCH(ROWS($AH$2:AH767),$AH$2:$AH$1001,0),MATCH(COLUMNS($AO$1006:BG1006),$AO$1006:$BQ$1006,0)), HYPERLINK("#",""), HYPERLINK(CONCATENATE("#Metadata!", ADDRESS(INDEX($AJ$2:$AJ$1001,MATCH(ROWS($AH$2:AH767),$AH$2:$AH$1001,0),0), INDEX($AO$1004:$BQ$1004,1,MATCH(COLUMNS($AO$1006:BG1006),$AO$1006:$BQ$1006,0)))),"Fix")))</f>
        <v>#N/A</v>
      </c>
      <c r="U767" s="5" t="e">
        <f ca="1">IF(OR(INDEX($AI$2:$AI$1001,MATCH(ROWS($AH$2:AH767),$AH$2:$AH$1001,0),1)&gt;=100000,INDEX($AO$1005:$BQ$1005,1,MATCH(COLUMNS($AO$1006:BH1006),$AO$1006:$BQ$1006,0))&gt;=100000), " ",IF(INDEX($AO$2:$BQ$1001,MATCH(ROWS($AH$2:AH767),$AH$2:$AH$1001,0),MATCH(COLUMNS($AO$1006:BH1006),$AO$1006:$BQ$1006,0)), HYPERLINK("#",""), HYPERLINK(CONCATENATE("#Metadata!", ADDRESS(INDEX($AJ$2:$AJ$1001,MATCH(ROWS($AH$2:AH767),$AH$2:$AH$1001,0),0), INDEX($AO$1004:$BQ$1004,1,MATCH(COLUMNS($AO$1006:BH1006),$AO$1006:$BQ$1006,0)))),"Fix")))</f>
        <v>#N/A</v>
      </c>
      <c r="V767" s="5" t="e">
        <f ca="1">IF(OR(INDEX($AI$2:$AI$1001,MATCH(ROWS($AH$2:AH767),$AH$2:$AH$1001,0),1)&gt;=100000,INDEX($AO$1005:$BQ$1005,1,MATCH(COLUMNS($AO$1006:BI1006),$AO$1006:$BQ$1006,0))&gt;=100000), " ",IF(INDEX($AO$2:$BQ$1001,MATCH(ROWS($AH$2:AH767),$AH$2:$AH$1001,0),MATCH(COLUMNS($AO$1006:BI1006),$AO$1006:$BQ$1006,0)), HYPERLINK("#",""), HYPERLINK(CONCATENATE("#Metadata!", ADDRESS(INDEX($AJ$2:$AJ$1001,MATCH(ROWS($AH$2:AH767),$AH$2:$AH$1001,0),0), INDEX($AO$1004:$BQ$1004,1,MATCH(COLUMNS($AO$1006:BI1006),$AO$1006:$BQ$1006,0)))),"Fix")))</f>
        <v>#N/A</v>
      </c>
      <c r="W767" s="5" t="e">
        <f ca="1">IF(OR(INDEX($AI$2:$AI$1001,MATCH(ROWS($AH$2:AH767),$AH$2:$AH$1001,0),1)&gt;=100000,INDEX($AO$1005:$BQ$1005,1,MATCH(COLUMNS($AO$1006:BJ1006),$AO$1006:$BQ$1006,0))&gt;=100000), " ",IF(INDEX($AO$2:$BQ$1001,MATCH(ROWS($AH$2:AH767),$AH$2:$AH$1001,0),MATCH(COLUMNS($AO$1006:BJ1006),$AO$1006:$BQ$1006,0)), HYPERLINK("#",""), HYPERLINK(CONCATENATE("#Metadata!", ADDRESS(INDEX($AJ$2:$AJ$1001,MATCH(ROWS($AH$2:AH767),$AH$2:$AH$1001,0),0), INDEX($AO$1004:$BQ$1004,1,MATCH(COLUMNS($AO$1006:BJ1006),$AO$1006:$BQ$1006,0)))),"Fix")))</f>
        <v>#N/A</v>
      </c>
      <c r="X767" s="5" t="e">
        <f ca="1">IF(OR(INDEX($AI$2:$AI$1001,MATCH(ROWS($AH$2:AH767),$AH$2:$AH$1001,0),1)&gt;=100000,INDEX($AO$1005:$BQ$1005,1,MATCH(COLUMNS($AO$1006:BK1006),$AO$1006:$BQ$1006,0))&gt;=100000), " ",IF(INDEX($AO$2:$BQ$1001,MATCH(ROWS($AH$2:AH767),$AH$2:$AH$1001,0),MATCH(COLUMNS($AO$1006:BK1006),$AO$1006:$BQ$1006,0)), HYPERLINK("#",""), HYPERLINK(CONCATENATE("#Metadata!", ADDRESS(INDEX($AJ$2:$AJ$1001,MATCH(ROWS($AH$2:AH767),$AH$2:$AH$1001,0),0), INDEX($AO$1004:$BQ$1004,1,MATCH(COLUMNS($AO$1006:BK1006),$AO$1006:$BQ$1006,0)))),"Fix")))</f>
        <v>#N/A</v>
      </c>
      <c r="Y767" s="5" t="e">
        <f ca="1">IF(OR(INDEX($AI$2:$AI$1001,MATCH(ROWS($AH$2:AH767),$AH$2:$AH$1001,0),1)&gt;=100000,INDEX($AO$1005:$BQ$1005,1,MATCH(COLUMNS($AO$1006:BL1006),$AO$1006:$BQ$1006,0))&gt;=100000), " ",IF(INDEX($AO$2:$BQ$1001,MATCH(ROWS($AH$2:AH767),$AH$2:$AH$1001,0),MATCH(COLUMNS($AO$1006:BL1006),$AO$1006:$BQ$1006,0)), HYPERLINK("#",""), HYPERLINK(CONCATENATE("#Metadata!", ADDRESS(INDEX($AJ$2:$AJ$1001,MATCH(ROWS($AH$2:AH767),$AH$2:$AH$1001,0),0), INDEX($AO$1004:$BQ$1004,1,MATCH(COLUMNS($AO$1006:BL1006),$AO$1006:$BQ$1006,0)))),"Fix")))</f>
        <v>#N/A</v>
      </c>
      <c r="Z767" s="5" t="e">
        <f ca="1">IF(OR(INDEX($AI$2:$AI$1001,MATCH(ROWS($AH$2:AH767),$AH$2:$AH$1001,0),1)&gt;=100000,INDEX($AO$1005:$BQ$1005,1,MATCH(COLUMNS($AO$1006:BM1006),$AO$1006:$BQ$1006,0))&gt;=100000), " ",IF(INDEX($AO$2:$BQ$1001,MATCH(ROWS($AH$2:AH767),$AH$2:$AH$1001,0),MATCH(COLUMNS($AO$1006:BM1006),$AO$1006:$BQ$1006,0)), HYPERLINK("#",""), HYPERLINK(CONCATENATE("#Metadata!", ADDRESS(INDEX($AJ$2:$AJ$1001,MATCH(ROWS($AH$2:AH767),$AH$2:$AH$1001,0),0), INDEX($AO$1004:$BQ$1004,1,MATCH(COLUMNS($AO$1006:BM1006),$AO$1006:$BQ$1006,0)))),"Fix")))</f>
        <v>#N/A</v>
      </c>
      <c r="AA767" s="5" t="e">
        <f ca="1">IF(OR(INDEX($AI$2:$AI$1001,MATCH(ROWS($AH$2:AH767),$AH$2:$AH$1001,0),1)&gt;=100000,INDEX($AO$1005:$BQ$1005,1,MATCH(COLUMNS($AO$1006:BN1006),$AO$1006:$BQ$1006,0))&gt;=100000), " ",IF(INDEX($AO$2:$BQ$1001,MATCH(ROWS($AH$2:AH767),$AH$2:$AH$1001,0),MATCH(COLUMNS($AO$1006:BN1006),$AO$1006:$BQ$1006,0)), HYPERLINK("#",""), HYPERLINK(CONCATENATE("#Metadata!", ADDRESS(INDEX($AJ$2:$AJ$1001,MATCH(ROWS($AH$2:AH767),$AH$2:$AH$1001,0),0), INDEX($AO$1004:$BQ$1004,1,MATCH(COLUMNS($AO$1006:BN1006),$AO$1006:$BQ$1006,0)))),"Fix")))</f>
        <v>#N/A</v>
      </c>
      <c r="AB767" s="5" t="e">
        <f ca="1">IF(OR(INDEX($AI$2:$AI$1001,MATCH(ROWS($AH$2:AH767),$AH$2:$AH$1001,0),1)&gt;=100000,INDEX($AO$1005:$BQ$1005,1,MATCH(COLUMNS($AO$1006:BO1006),$AO$1006:$BQ$1006,0))&gt;=100000), " ",IF(INDEX($AO$2:$BQ$1001,MATCH(ROWS($AH$2:AH767),$AH$2:$AH$1001,0),MATCH(COLUMNS($AO$1006:BO1006),$AO$1006:$BQ$1006,0)), HYPERLINK("#",""), HYPERLINK(CONCATENATE("#Metadata!", ADDRESS(INDEX($AJ$2:$AJ$1001,MATCH(ROWS($AH$2:AH767),$AH$2:$AH$1001,0),0), INDEX($AO$1004:$BQ$1004,1,MATCH(COLUMNS($AO$1006:BO1006),$AO$1006:$BQ$1006,0)))),"Fix")))</f>
        <v>#N/A</v>
      </c>
      <c r="AC767" s="5" t="e">
        <f ca="1">IF(OR(INDEX($AI$2:$AI$1001,MATCH(ROWS($AH$2:AH767),$AH$2:$AH$1001,0),1)&gt;=100000,INDEX($AO$1005:$BQ$1005,1,MATCH(COLUMNS($AO$1006:BP1006),$AO$1006:$BQ$1006,0))&gt;=100000), " ",IF(INDEX($AO$2:$BQ$1001,MATCH(ROWS($AH$2:AH767),$AH$2:$AH$1001,0),MATCH(COLUMNS($AO$1006:BP1006),$AO$1006:$BQ$1006,0)), HYPERLINK("#",""), HYPERLINK(CONCATENATE("#Metadata!", ADDRESS(INDEX($AJ$2:$AJ$1001,MATCH(ROWS($AH$2:AH767),$AH$2:$AH$1001,0),0), INDEX($AO$1004:$BQ$1004,1,MATCH(COLUMNS($AO$1006:BP1006),$AO$1006:$BQ$1006,0)))),"Fix")))</f>
        <v>#N/A</v>
      </c>
      <c r="AD767" s="5" t="e">
        <f ca="1">IF(OR(INDEX($AI$2:$AI$1001,MATCH(ROWS($AH$2:AH767),$AH$2:$AH$1001,0),1)&gt;=100000,INDEX($AO$1005:$BQ$1005,1,MATCH(COLUMNS($AO$1006:BQ1006),$AO$1006:$BQ$1006,0))&gt;=100000), " ",IF(INDEX($AO$2:$BQ$1001,MATCH(ROWS($AH$2:AH767),$AH$2:$AH$1001,0),MATCH(COLUMNS($AO$1006:BQ1006),$AO$1006:$BQ$1006,0)), HYPERLINK("#",""), HYPERLINK(CONCATENATE("#Metadata!", ADDRESS(INDEX($AJ$2:$AJ$1001,MATCH(ROWS($AH$2:AH767),$AH$2:$AH$1001,0),0), INDEX($AO$1004:$BQ$1004,1,MATCH(COLUMNS($AO$1006:BQ1006),$AO$1006:$BQ$1006,0)))),"Fix")))</f>
        <v>#REF!</v>
      </c>
      <c r="AH767">
        <f ca="1"/>
        <v>764</v>
      </c>
      <c r="AI767">
        <v>100767</v>
      </c>
      <c r="AJ767">
        <v>767</v>
      </c>
      <c r="AK767" t="b">
        <f t="shared" si="11"/>
        <v>1</v>
      </c>
      <c r="AL767" t="b">
        <f>COUNTBLANK(Metadata!B767:AD767)=COLUMNS(Metadata!B767:AD767)</f>
        <v>1</v>
      </c>
      <c r="AM767" t="str">
        <v/>
      </c>
      <c r="AO767" t="b">
        <f ca="1">AND(IF(Metadata!B767="",FALSE,TRUE),COUNTIF(Metadata!B:B, Metadata!B767) = 1,NOT(ISERROR(SUMPRODUCT(SEARCH(MID(Metadata!B767,ROW(INDIRECT("1:"&amp;LEN(Metadata!B767))), 1),"0123456789abcdefghijklmnopqrstuvwxyzABCDEFGHIJKLMNOPQRSTUVWXYZ.")))))</f>
        <v>0</v>
      </c>
      <c r="AP767" t="b">
        <f>IF(Metadata!C767="",FALSE,TRUE)</f>
        <v>0</v>
      </c>
      <c r="AQ767" t="b">
        <f>IF(Metadata!D767="",FALSE,TRUE)</f>
        <v>0</v>
      </c>
      <c r="AR767" t="b">
        <f ca="1">OR(AND(IF(Metadata!E767="",FALSE,TRUE),OR(EXACT(Metadata!E767,"not collected"),EXACT(Metadata!E767,"not provided"),EXACT(Metadata!E767,"restricted access"))),AND(IF(Metadata!E767="",FALSE,TRUE),AND(AND(IFERROR(INT(LEFT(Metadata!E767,4))&gt;1900,FALSE),IFERROR(INT(LEFT(Metadata!E767,4))&lt;=YEAR(NOW()),FALSE)), OR(MID(Metadata!E767,5,1)="", AND(AND(MID(Metadata!E767,5,1)="-",IFERROR(INT(MID(Metadata!E767,6,1))&gt;=0,FALSE),IFERROR(INT(MID(Metadata!E767,6,1))&lt;=1,FALSE),NOT(MID(Metadata!E767,7,1)=""),IFERROR(INT(MID(Metadata!E767,6,2))&gt;=1,FALSE),IFERROR(INT(MID(Metadata!E767,6,2))&lt;=12,FALSE)), OR(MID(Metadata!E767,8,1)="", AND(AND(MID(Metadata!E767,8,1)="-",IFERROR(INT(MID(Metadata!E767,9,1))&gt;=0,FALSE),IFERROR(INT(MID(Metadata!E767,9,1))&lt;=3,FALSE),NOT(MID(Metadata!E767,10,1)=""),IFERROR(INT(MID(Metadata!E767,9,2))&gt;=1,FALSE),IFERROR(INT(MID(Metadata!E767,9,2))&lt;=31,FALSE)), OR(MID(Metadata!E767,11,1)="", AND(AND(MID(Metadata!E767,11,1)=" ",IFERROR(INT(MID(Metadata!E767,12,1))&gt;=0,FALSE),IFERROR(INT(MID(Metadata!E767,12,1))&lt;=2,FALSE),NOT(MID(Metadata!E767,13,1)=""),IFERROR(INT(MID(Metadata!E767,12,2))&gt;=0,FALSE),IFERROR(INT(MID(Metadata!E767,12,2))&lt;=23,FALSE)), OR(MID(Metadata!E767,14,1)="", AND(AND(MID(Metadata!E767,14,1)=":",IFERROR(INT(MID(Metadata!E767,15,1))&gt;=0,FALSE),IFERROR(INT(MID(Metadata!E767,15,1))&lt;=5,FALSE),NOT(MID(Metadata!E767,16,1)=""),IFERROR(INT(MID(Metadata!E767,15,2))&gt;=0,FALSE),IFERROR(INT(MID(Metadata!E767,15,2))&lt;=59,FALSE)), OR(MID(Metadata!E767,17,1)="", AND(AND(MID(Metadata!E767,17,1)=":",IFERROR(INT(MID(Metadata!E767,18,1))&gt;=0,FALSE),IFERROR(INT(MID(Metadata!E767,18,1))&lt;=5,FALSE),NOT(MID(Metadata!E767,19,1)=""),IFERROR(INT(MID(Metadata!E767,18,2))&gt;=0,FALSE),IFERROR(INT(MID(Metadata!E767,18,2))&lt;=59,FALSE)), LEN(Metadata!E767)&lt;=19)))))))))))))</f>
        <v>0</v>
      </c>
      <c r="AS767" t="b">
        <f>IF(Metadata!F767="",FALSE,TRUE)</f>
        <v>0</v>
      </c>
      <c r="AT767" t="b">
        <f>OR(AND(IF(Metadata!G767="",FALSE,TRUE),OR(EXACT(Metadata!G767,"not collected"),EXACT(Metadata!G767,"not provided"))),AND(IF(Metadata!G767="",FALSE,TRUE),OR(EXACT(Metadata!G767,"TRUE"),EXACT(Metadata!G767,"FALSE"))))</f>
        <v>0</v>
      </c>
      <c r="AU767" t="b">
        <f>OR(AND(IF(Metadata!H767="",FALSE,TRUE),OR(EXACT(Metadata!H767,"not collected"),EXACT(Metadata!H767,"not provided"),EXACT(Metadata!H767,"restricted access"))),AND(IF(Metadata!H767="",FALSE,ISNUMBER(VALUE(Metadata!H767))),Metadata!H767&gt;=-413))</f>
        <v>0</v>
      </c>
      <c r="AV767" t="b">
        <f>AND(IF(Metadata!I767="",FALSE,TRUE),EXACT(Metadata!I767,"meters"))</f>
        <v>0</v>
      </c>
      <c r="AW767" t="b">
        <f>AND(IF(Metadata!J767="",FALSE,TRUE),EXACT(Metadata!J767,"free-living"))</f>
        <v>0</v>
      </c>
      <c r="AX767" t="b">
        <f>AND(IF(Metadata!K767="",FALSE,TRUE),OR(EXACT(Metadata!K767,"saline"),EXACT(Metadata!K767,"non-saline")))</f>
        <v>0</v>
      </c>
      <c r="AY767" t="b">
        <f>AND(IF(Metadata!L767="",FALSE,TRUE),OR(EXACT(Metadata!L767,"sub-surface (non-saline)"),EXACT(Metadata!L767,"surface (non-saline)"),EXACT(Metadata!L767,"water (non-saline)"),EXACT(Metadata!L767,"soil (non-saline)"),EXACT(Metadata!L767,"aerosol (non-saline)"),EXACT(Metadata!L767,"sediment (non-saline)"),EXACT(Metadata!L767,"surface (saline)"),EXACT(Metadata!L767,"water (saline)"),EXACT(Metadata!L767,"hypersaline (saline)"),EXACT(Metadata!L767,"aerosol (saline)"),EXACT(Metadata!L767,"sediment (saline)")))</f>
        <v>0</v>
      </c>
      <c r="AZ767" t="b">
        <f>IF(Metadata!M767="",FALSE,TRUE)</f>
        <v>0</v>
      </c>
      <c r="BA767" t="b">
        <f>IF(Metadata!N767="",FALSE,TRUE)</f>
        <v>0</v>
      </c>
      <c r="BB767" t="b">
        <f>IF(Metadata!O767="",FALSE,TRUE)</f>
        <v>0</v>
      </c>
      <c r="BC767" t="b">
        <f>AND(IF(Metadata!P767="",FALSE,TRUE),OR(EXACT(Metadata!P767,"air"),EXACT(Metadata!P767,"microbial mat/biofilm"),EXACT(Metadata!P767,"misc environment"),EXACT(Metadata!P767,"sediment"),EXACT(Metadata!P767,"soil"),EXACT(Metadata!P767,"wastewater/sludge"),EXACT(Metadata!P767,"water")))</f>
        <v>0</v>
      </c>
      <c r="BD767" t="b">
        <f>IF(Metadata!Q767="",FALSE,TRUE)</f>
        <v>0</v>
      </c>
      <c r="BE767" t="b">
        <f>IF(Metadata!R767="",FALSE,TRUE)</f>
        <v>0</v>
      </c>
      <c r="BF767" t="b">
        <f>OR(AND(IF(Metadata!S767="",FALSE,TRUE),OR(EXACT(Metadata!S767,"not collected"),EXACT(Metadata!S767,"not provided"),EXACT(Metadata!S767,"restricted access"))),AND(IF(Metadata!S767="",FALSE,ISNUMBER(VALUE(Metadata!S767))),Metadata!S767&gt;=-90,Metadata!S767&lt;=90))</f>
        <v>0</v>
      </c>
      <c r="BG767" t="b">
        <f>AND(IF(Metadata!T767="",FALSE,TRUE),EXACT(Metadata!T767,"Decimal degrees"))</f>
        <v>0</v>
      </c>
      <c r="BH767" t="b">
        <f>OR(AND(IF(Metadata!U767="",FALSE,TRUE),OR(EXACT(Metadata!U767,"not applicable"),EXACT(Metadata!U767,"not collected"))),IF(Metadata!U767="",FALSE,TRUE))</f>
        <v>0</v>
      </c>
      <c r="BI767" t="b">
        <f>OR(AND(IF(Metadata!V767="",FALSE,TRUE),OR(EXACT(Metadata!V767,"not collected"),EXACT(Metadata!V767,"not provided"),EXACT(Metadata!V767,"restricted access"))),AND(IF(Metadata!V767="",FALSE,ISNUMBER(VALUE(Metadata!V767))),Metadata!V767&gt;=-180,Metadata!V767&lt;=180))</f>
        <v>0</v>
      </c>
      <c r="BJ767" t="b">
        <f>AND(IF(Metadata!W767="",FALSE,TRUE),EXACT(Metadata!W767,"Decimal degrees"))</f>
        <v>0</v>
      </c>
      <c r="BK767" t="b">
        <f>IF(Metadata!X767="",FALSE,TRUE)</f>
        <v>0</v>
      </c>
      <c r="BL767" t="b">
        <f>OR(AND(IF(Metadata!Y767="",FALSE,TRUE),OR(EXACT(Metadata!Y767,"not collected"),EXACT(Metadata!Y767,"not provided"),EXACT(Metadata!Y767,"restricted access"))),AND(IF(Metadata!Y767="",FALSE,TRUE),OR(EXACT(Metadata!Y767,"TRUE"),EXACT(Metadata!Y767,"FALSE"))))</f>
        <v>0</v>
      </c>
      <c r="BM767" t="b">
        <f>OR(AND(IF(Metadata!Z767="",FALSE,TRUE),EXACT(Metadata!Z767,"not applicable")),AND(IF(Metadata!Z767="",FALSE,TRUE),OR(EXACT(Metadata!Z767,"beer"),EXACT(Metadata!Z767,"cheese"),EXACT(Metadata!Z767,"fresh water"),EXACT(Metadata!Z767,"marine sediment"),EXACT(Metadata!Z767,"sea water"),EXACT(Metadata!Z767,"sediment"),EXACT(Metadata!Z767,"soil"),EXACT(Metadata!Z767,"waste water"))))</f>
        <v>0</v>
      </c>
      <c r="BN767" t="b">
        <f>AND(IF(Metadata!AA767="",FALSE,TRUE),EXACT(Metadata!AA767,"metagenome"))</f>
        <v>0</v>
      </c>
      <c r="BO767" t="b">
        <f>AND(IF(Metadata!AB767="",FALSE,TRUE),EXACT(Metadata!AB767,"256318"))</f>
        <v>0</v>
      </c>
      <c r="BP767" t="b">
        <f>IF(Metadata!AC767="",FALSE,TRUE)</f>
        <v>0</v>
      </c>
      <c r="BQ767" t="b">
        <f>IF(Metadata!AD767="",FALSE,TRUE)</f>
        <v>0</v>
      </c>
    </row>
    <row r="768" spans="1:69" x14ac:dyDescent="0.2">
      <c r="A768" s="4" t="e">
        <f ca="1">IF(B768=" "," ",HYPERLINK(CONCATENATE("#metadata!",ADDRESS(INDEX($AJ$2:$AJ$1001,MATCH(ROWS($AH$2:AH768),$AH$2:$AH$1001,0),0),2)),INDEX($AM$2:$AM$1001,MATCH(ROWS($AH$2:AH768),$AH$2:$AH$1001,0),0)))</f>
        <v>#N/A</v>
      </c>
      <c r="B768" s="5" t="e">
        <f ca="1">IF(OR(INDEX($AI$2:$AI$1001,MATCH(ROWS($AH$2:AH768),$AH$2:$AH$1001,0),1)&gt;=100000,INDEX($AO$1005:$BQ$1005,1,MATCH(COLUMNS($AO$1006:AO1006),$AO$1006:$BQ$1006,0))&gt;=100000), " ",IF(INDEX($AO$2:$BQ$1001,MATCH(ROWS($AH$2:AH768),$AH$2:$AH$1001,0),MATCH(COLUMNS($AO$1006:AO1006),$AO$1006:$BQ$1006,0)), HYPERLINK("#",""), HYPERLINK(CONCATENATE("#Metadata!", ADDRESS(INDEX($AJ$2:$AJ$1001,MATCH(ROWS($AH$2:AH768),$AH$2:$AH$1001,0),0), INDEX($AO$1004:$BQ$1004,1,MATCH(COLUMNS($AO$1006:AO1006),$AO$1006:$BQ$1006,0)))),"Fix")))</f>
        <v>#N/A</v>
      </c>
      <c r="C768" s="5" t="e">
        <f ca="1">IF(OR(INDEX($AI$2:$AI$1001,MATCH(ROWS($AH$2:AH768),$AH$2:$AH$1001,0),1)&gt;=100000,INDEX($AO$1005:$BQ$1005,1,MATCH(COLUMNS($AO$1006:AP1006),$AO$1006:$BQ$1006,0))&gt;=100000), " ",IF(INDEX($AO$2:$BQ$1001,MATCH(ROWS($AH$2:AH768),$AH$2:$AH$1001,0),MATCH(COLUMNS($AO$1006:AP1006),$AO$1006:$BQ$1006,0)), HYPERLINK("#",""), HYPERLINK(CONCATENATE("#Metadata!", ADDRESS(INDEX($AJ$2:$AJ$1001,MATCH(ROWS($AH$2:AH768),$AH$2:$AH$1001,0),0), INDEX($AO$1004:$BQ$1004,1,MATCH(COLUMNS($AO$1006:AP1006),$AO$1006:$BQ$1006,0)))),"Fix")))</f>
        <v>#N/A</v>
      </c>
      <c r="D768" s="5" t="e">
        <f ca="1">IF(OR(INDEX($AI$2:$AI$1001,MATCH(ROWS($AH$2:AH768),$AH$2:$AH$1001,0),1)&gt;=100000,INDEX($AO$1005:$BQ$1005,1,MATCH(COLUMNS($AO$1006:AQ1006),$AO$1006:$BQ$1006,0))&gt;=100000), " ",IF(INDEX($AO$2:$BQ$1001,MATCH(ROWS($AH$2:AH768),$AH$2:$AH$1001,0),MATCH(COLUMNS($AO$1006:AQ1006),$AO$1006:$BQ$1006,0)), HYPERLINK("#",""), HYPERLINK(CONCATENATE("#Metadata!", ADDRESS(INDEX($AJ$2:$AJ$1001,MATCH(ROWS($AH$2:AH768),$AH$2:$AH$1001,0),0), INDEX($AO$1004:$BQ$1004,1,MATCH(COLUMNS($AO$1006:AQ1006),$AO$1006:$BQ$1006,0)))),"Fix")))</f>
        <v>#N/A</v>
      </c>
      <c r="E768" s="5" t="e">
        <f ca="1">IF(OR(INDEX($AI$2:$AI$1001,MATCH(ROWS($AH$2:AH768),$AH$2:$AH$1001,0),1)&gt;=100000,INDEX($AO$1005:$BQ$1005,1,MATCH(COLUMNS($AO$1006:AR1006),$AO$1006:$BQ$1006,0))&gt;=100000), " ",IF(INDEX($AO$2:$BQ$1001,MATCH(ROWS($AH$2:AH768),$AH$2:$AH$1001,0),MATCH(COLUMNS($AO$1006:AR1006),$AO$1006:$BQ$1006,0)), HYPERLINK("#",""), HYPERLINK(CONCATENATE("#Metadata!", ADDRESS(INDEX($AJ$2:$AJ$1001,MATCH(ROWS($AH$2:AH768),$AH$2:$AH$1001,0),0), INDEX($AO$1004:$BQ$1004,1,MATCH(COLUMNS($AO$1006:AR1006),$AO$1006:$BQ$1006,0)))),"Fix")))</f>
        <v>#N/A</v>
      </c>
      <c r="F768" s="5" t="e">
        <f ca="1">IF(OR(INDEX($AI$2:$AI$1001,MATCH(ROWS($AH$2:AH768),$AH$2:$AH$1001,0),1)&gt;=100000,INDEX($AO$1005:$BQ$1005,1,MATCH(COLUMNS($AO$1006:AS1006),$AO$1006:$BQ$1006,0))&gt;=100000), " ",IF(INDEX($AO$2:$BQ$1001,MATCH(ROWS($AH$2:AH768),$AH$2:$AH$1001,0),MATCH(COLUMNS($AO$1006:AS1006),$AO$1006:$BQ$1006,0)), HYPERLINK("#",""), HYPERLINK(CONCATENATE("#Metadata!", ADDRESS(INDEX($AJ$2:$AJ$1001,MATCH(ROWS($AH$2:AH768),$AH$2:$AH$1001,0),0), INDEX($AO$1004:$BQ$1004,1,MATCH(COLUMNS($AO$1006:AS1006),$AO$1006:$BQ$1006,0)))),"Fix")))</f>
        <v>#N/A</v>
      </c>
      <c r="G768" s="5" t="e">
        <f ca="1">IF(OR(INDEX($AI$2:$AI$1001,MATCH(ROWS($AH$2:AH768),$AH$2:$AH$1001,0),1)&gt;=100000,INDEX($AO$1005:$BQ$1005,1,MATCH(COLUMNS($AO$1006:AT1006),$AO$1006:$BQ$1006,0))&gt;=100000), " ",IF(INDEX($AO$2:$BQ$1001,MATCH(ROWS($AH$2:AH768),$AH$2:$AH$1001,0),MATCH(COLUMNS($AO$1006:AT1006),$AO$1006:$BQ$1006,0)), HYPERLINK("#",""), HYPERLINK(CONCATENATE("#Metadata!", ADDRESS(INDEX($AJ$2:$AJ$1001,MATCH(ROWS($AH$2:AH768),$AH$2:$AH$1001,0),0), INDEX($AO$1004:$BQ$1004,1,MATCH(COLUMNS($AO$1006:AT1006),$AO$1006:$BQ$1006,0)))),"Fix")))</f>
        <v>#N/A</v>
      </c>
      <c r="H768" s="5" t="e">
        <f ca="1">IF(OR(INDEX($AI$2:$AI$1001,MATCH(ROWS($AH$2:AH768),$AH$2:$AH$1001,0),1)&gt;=100000,INDEX($AO$1005:$BQ$1005,1,MATCH(COLUMNS($AO$1006:AU1006),$AO$1006:$BQ$1006,0))&gt;=100000), " ",IF(INDEX($AO$2:$BQ$1001,MATCH(ROWS($AH$2:AH768),$AH$2:$AH$1001,0),MATCH(COLUMNS($AO$1006:AU1006),$AO$1006:$BQ$1006,0)), HYPERLINK("#",""), HYPERLINK(CONCATENATE("#Metadata!", ADDRESS(INDEX($AJ$2:$AJ$1001,MATCH(ROWS($AH$2:AH768),$AH$2:$AH$1001,0),0), INDEX($AO$1004:$BQ$1004,1,MATCH(COLUMNS($AO$1006:AU1006),$AO$1006:$BQ$1006,0)))),"Fix")))</f>
        <v>#N/A</v>
      </c>
      <c r="I768" s="5" t="e">
        <f ca="1">IF(OR(INDEX($AI$2:$AI$1001,MATCH(ROWS($AH$2:AH768),$AH$2:$AH$1001,0),1)&gt;=100000,INDEX($AO$1005:$BQ$1005,1,MATCH(COLUMNS($AO$1006:AV1006),$AO$1006:$BQ$1006,0))&gt;=100000), " ",IF(INDEX($AO$2:$BQ$1001,MATCH(ROWS($AH$2:AH768),$AH$2:$AH$1001,0),MATCH(COLUMNS($AO$1006:AV1006),$AO$1006:$BQ$1006,0)), HYPERLINK("#",""), HYPERLINK(CONCATENATE("#Metadata!", ADDRESS(INDEX($AJ$2:$AJ$1001,MATCH(ROWS($AH$2:AH768),$AH$2:$AH$1001,0),0), INDEX($AO$1004:$BQ$1004,1,MATCH(COLUMNS($AO$1006:AV1006),$AO$1006:$BQ$1006,0)))),"Fix")))</f>
        <v>#N/A</v>
      </c>
      <c r="J768" s="5" t="e">
        <f ca="1">IF(OR(INDEX($AI$2:$AI$1001,MATCH(ROWS($AH$2:AH768),$AH$2:$AH$1001,0),1)&gt;=100000,INDEX($AO$1005:$BQ$1005,1,MATCH(COLUMNS($AO$1006:AW1006),$AO$1006:$BQ$1006,0))&gt;=100000), " ",IF(INDEX($AO$2:$BQ$1001,MATCH(ROWS($AH$2:AH768),$AH$2:$AH$1001,0),MATCH(COLUMNS($AO$1006:AW1006),$AO$1006:$BQ$1006,0)), HYPERLINK("#",""), HYPERLINK(CONCATENATE("#Metadata!", ADDRESS(INDEX($AJ$2:$AJ$1001,MATCH(ROWS($AH$2:AH768),$AH$2:$AH$1001,0),0), INDEX($AO$1004:$BQ$1004,1,MATCH(COLUMNS($AO$1006:AW1006),$AO$1006:$BQ$1006,0)))),"Fix")))</f>
        <v>#N/A</v>
      </c>
      <c r="K768" s="5" t="e">
        <f ca="1">IF(OR(INDEX($AI$2:$AI$1001,MATCH(ROWS($AH$2:AH768),$AH$2:$AH$1001,0),1)&gt;=100000,INDEX($AO$1005:$BQ$1005,1,MATCH(COLUMNS($AO$1006:AX1006),$AO$1006:$BQ$1006,0))&gt;=100000), " ",IF(INDEX($AO$2:$BQ$1001,MATCH(ROWS($AH$2:AH768),$AH$2:$AH$1001,0),MATCH(COLUMNS($AO$1006:AX1006),$AO$1006:$BQ$1006,0)), HYPERLINK("#",""), HYPERLINK(CONCATENATE("#Metadata!", ADDRESS(INDEX($AJ$2:$AJ$1001,MATCH(ROWS($AH$2:AH768),$AH$2:$AH$1001,0),0), INDEX($AO$1004:$BQ$1004,1,MATCH(COLUMNS($AO$1006:AX1006),$AO$1006:$BQ$1006,0)))),"Fix")))</f>
        <v>#N/A</v>
      </c>
      <c r="L768" s="5" t="e">
        <f ca="1">IF(OR(INDEX($AI$2:$AI$1001,MATCH(ROWS($AH$2:AH768),$AH$2:$AH$1001,0),1)&gt;=100000,INDEX($AO$1005:$BQ$1005,1,MATCH(COLUMNS($AO$1006:AY1006),$AO$1006:$BQ$1006,0))&gt;=100000), " ",IF(INDEX($AO$2:$BQ$1001,MATCH(ROWS($AH$2:AH768),$AH$2:$AH$1001,0),MATCH(COLUMNS($AO$1006:AY1006),$AO$1006:$BQ$1006,0)), HYPERLINK("#",""), HYPERLINK(CONCATENATE("#Metadata!", ADDRESS(INDEX($AJ$2:$AJ$1001,MATCH(ROWS($AH$2:AH768),$AH$2:$AH$1001,0),0), INDEX($AO$1004:$BQ$1004,1,MATCH(COLUMNS($AO$1006:AY1006),$AO$1006:$BQ$1006,0)))),"Fix")))</f>
        <v>#N/A</v>
      </c>
      <c r="M768" s="5" t="e">
        <f ca="1">IF(OR(INDEX($AI$2:$AI$1001,MATCH(ROWS($AH$2:AH768),$AH$2:$AH$1001,0),1)&gt;=100000,INDEX($AO$1005:$BQ$1005,1,MATCH(COLUMNS($AO$1006:AZ1006),$AO$1006:$BQ$1006,0))&gt;=100000), " ",IF(INDEX($AO$2:$BQ$1001,MATCH(ROWS($AH$2:AH768),$AH$2:$AH$1001,0),MATCH(COLUMNS($AO$1006:AZ1006),$AO$1006:$BQ$1006,0)), HYPERLINK("#",""), HYPERLINK(CONCATENATE("#Metadata!", ADDRESS(INDEX($AJ$2:$AJ$1001,MATCH(ROWS($AH$2:AH768),$AH$2:$AH$1001,0),0), INDEX($AO$1004:$BQ$1004,1,MATCH(COLUMNS($AO$1006:AZ1006),$AO$1006:$BQ$1006,0)))),"Fix")))</f>
        <v>#N/A</v>
      </c>
      <c r="N768" s="5" t="e">
        <f ca="1">IF(OR(INDEX($AI$2:$AI$1001,MATCH(ROWS($AH$2:AH768),$AH$2:$AH$1001,0),1)&gt;=100000,INDEX($AO$1005:$BQ$1005,1,MATCH(COLUMNS($AO$1006:BA1006),$AO$1006:$BQ$1006,0))&gt;=100000), " ",IF(INDEX($AO$2:$BQ$1001,MATCH(ROWS($AH$2:AH768),$AH$2:$AH$1001,0),MATCH(COLUMNS($AO$1006:BA1006),$AO$1006:$BQ$1006,0)), HYPERLINK("#",""), HYPERLINK(CONCATENATE("#Metadata!", ADDRESS(INDEX($AJ$2:$AJ$1001,MATCH(ROWS($AH$2:AH768),$AH$2:$AH$1001,0),0), INDEX($AO$1004:$BQ$1004,1,MATCH(COLUMNS($AO$1006:BA1006),$AO$1006:$BQ$1006,0)))),"Fix")))</f>
        <v>#N/A</v>
      </c>
      <c r="O768" s="5" t="e">
        <f ca="1">IF(OR(INDEX($AI$2:$AI$1001,MATCH(ROWS($AH$2:AH768),$AH$2:$AH$1001,0),1)&gt;=100000,INDEX($AO$1005:$BQ$1005,1,MATCH(COLUMNS($AO$1006:BB1006),$AO$1006:$BQ$1006,0))&gt;=100000), " ",IF(INDEX($AO$2:$BQ$1001,MATCH(ROWS($AH$2:AH768),$AH$2:$AH$1001,0),MATCH(COLUMNS($AO$1006:BB1006),$AO$1006:$BQ$1006,0)), HYPERLINK("#",""), HYPERLINK(CONCATENATE("#Metadata!", ADDRESS(INDEX($AJ$2:$AJ$1001,MATCH(ROWS($AH$2:AH768),$AH$2:$AH$1001,0),0), INDEX($AO$1004:$BQ$1004,1,MATCH(COLUMNS($AO$1006:BB1006),$AO$1006:$BQ$1006,0)))),"Fix")))</f>
        <v>#N/A</v>
      </c>
      <c r="P768" s="5" t="e">
        <f ca="1">IF(OR(INDEX($AI$2:$AI$1001,MATCH(ROWS($AH$2:AH768),$AH$2:$AH$1001,0),1)&gt;=100000,INDEX($AO$1005:$BQ$1005,1,MATCH(COLUMNS($AO$1006:BC1006),$AO$1006:$BQ$1006,0))&gt;=100000), " ",IF(INDEX($AO$2:$BQ$1001,MATCH(ROWS($AH$2:AH768),$AH$2:$AH$1001,0),MATCH(COLUMNS($AO$1006:BC1006),$AO$1006:$BQ$1006,0)), HYPERLINK("#",""), HYPERLINK(CONCATENATE("#Metadata!", ADDRESS(INDEX($AJ$2:$AJ$1001,MATCH(ROWS($AH$2:AH768),$AH$2:$AH$1001,0),0), INDEX($AO$1004:$BQ$1004,1,MATCH(COLUMNS($AO$1006:BC1006),$AO$1006:$BQ$1006,0)))),"Fix")))</f>
        <v>#N/A</v>
      </c>
      <c r="Q768" s="5" t="e">
        <f ca="1">IF(OR(INDEX($AI$2:$AI$1001,MATCH(ROWS($AH$2:AH768),$AH$2:$AH$1001,0),1)&gt;=100000,INDEX($AO$1005:$BQ$1005,1,MATCH(COLUMNS($AO$1006:BD1006),$AO$1006:$BQ$1006,0))&gt;=100000), " ",IF(INDEX($AO$2:$BQ$1001,MATCH(ROWS($AH$2:AH768),$AH$2:$AH$1001,0),MATCH(COLUMNS($AO$1006:BD1006),$AO$1006:$BQ$1006,0)), HYPERLINK("#",""), HYPERLINK(CONCATENATE("#Metadata!", ADDRESS(INDEX($AJ$2:$AJ$1001,MATCH(ROWS($AH$2:AH768),$AH$2:$AH$1001,0),0), INDEX($AO$1004:$BQ$1004,1,MATCH(COLUMNS($AO$1006:BD1006),$AO$1006:$BQ$1006,0)))),"Fix")))</f>
        <v>#N/A</v>
      </c>
      <c r="R768" s="5" t="e">
        <f ca="1">IF(OR(INDEX($AI$2:$AI$1001,MATCH(ROWS($AH$2:AH768),$AH$2:$AH$1001,0),1)&gt;=100000,INDEX($AO$1005:$BQ$1005,1,MATCH(COLUMNS($AO$1006:BE1006),$AO$1006:$BQ$1006,0))&gt;=100000), " ",IF(INDEX($AO$2:$BQ$1001,MATCH(ROWS($AH$2:AH768),$AH$2:$AH$1001,0),MATCH(COLUMNS($AO$1006:BE1006),$AO$1006:$BQ$1006,0)), HYPERLINK("#",""), HYPERLINK(CONCATENATE("#Metadata!", ADDRESS(INDEX($AJ$2:$AJ$1001,MATCH(ROWS($AH$2:AH768),$AH$2:$AH$1001,0),0), INDEX($AO$1004:$BQ$1004,1,MATCH(COLUMNS($AO$1006:BE1006),$AO$1006:$BQ$1006,0)))),"Fix")))</f>
        <v>#N/A</v>
      </c>
      <c r="S768" s="5" t="e">
        <f ca="1">IF(OR(INDEX($AI$2:$AI$1001,MATCH(ROWS($AH$2:AH768),$AH$2:$AH$1001,0),1)&gt;=100000,INDEX($AO$1005:$BQ$1005,1,MATCH(COLUMNS($AO$1006:BF1006),$AO$1006:$BQ$1006,0))&gt;=100000), " ",IF(INDEX($AO$2:$BQ$1001,MATCH(ROWS($AH$2:AH768),$AH$2:$AH$1001,0),MATCH(COLUMNS($AO$1006:BF1006),$AO$1006:$BQ$1006,0)), HYPERLINK("#",""), HYPERLINK(CONCATENATE("#Metadata!", ADDRESS(INDEX($AJ$2:$AJ$1001,MATCH(ROWS($AH$2:AH768),$AH$2:$AH$1001,0),0), INDEX($AO$1004:$BQ$1004,1,MATCH(COLUMNS($AO$1006:BF1006),$AO$1006:$BQ$1006,0)))),"Fix")))</f>
        <v>#N/A</v>
      </c>
      <c r="T768" s="5" t="e">
        <f ca="1">IF(OR(INDEX($AI$2:$AI$1001,MATCH(ROWS($AH$2:AH768),$AH$2:$AH$1001,0),1)&gt;=100000,INDEX($AO$1005:$BQ$1005,1,MATCH(COLUMNS($AO$1006:BG1006),$AO$1006:$BQ$1006,0))&gt;=100000), " ",IF(INDEX($AO$2:$BQ$1001,MATCH(ROWS($AH$2:AH768),$AH$2:$AH$1001,0),MATCH(COLUMNS($AO$1006:BG1006),$AO$1006:$BQ$1006,0)), HYPERLINK("#",""), HYPERLINK(CONCATENATE("#Metadata!", ADDRESS(INDEX($AJ$2:$AJ$1001,MATCH(ROWS($AH$2:AH768),$AH$2:$AH$1001,0),0), INDEX($AO$1004:$BQ$1004,1,MATCH(COLUMNS($AO$1006:BG1006),$AO$1006:$BQ$1006,0)))),"Fix")))</f>
        <v>#N/A</v>
      </c>
      <c r="U768" s="5" t="e">
        <f ca="1">IF(OR(INDEX($AI$2:$AI$1001,MATCH(ROWS($AH$2:AH768),$AH$2:$AH$1001,0),1)&gt;=100000,INDEX($AO$1005:$BQ$1005,1,MATCH(COLUMNS($AO$1006:BH1006),$AO$1006:$BQ$1006,0))&gt;=100000), " ",IF(INDEX($AO$2:$BQ$1001,MATCH(ROWS($AH$2:AH768),$AH$2:$AH$1001,0),MATCH(COLUMNS($AO$1006:BH1006),$AO$1006:$BQ$1006,0)), HYPERLINK("#",""), HYPERLINK(CONCATENATE("#Metadata!", ADDRESS(INDEX($AJ$2:$AJ$1001,MATCH(ROWS($AH$2:AH768),$AH$2:$AH$1001,0),0), INDEX($AO$1004:$BQ$1004,1,MATCH(COLUMNS($AO$1006:BH1006),$AO$1006:$BQ$1006,0)))),"Fix")))</f>
        <v>#N/A</v>
      </c>
      <c r="V768" s="5" t="e">
        <f ca="1">IF(OR(INDEX($AI$2:$AI$1001,MATCH(ROWS($AH$2:AH768),$AH$2:$AH$1001,0),1)&gt;=100000,INDEX($AO$1005:$BQ$1005,1,MATCH(COLUMNS($AO$1006:BI1006),$AO$1006:$BQ$1006,0))&gt;=100000), " ",IF(INDEX($AO$2:$BQ$1001,MATCH(ROWS($AH$2:AH768),$AH$2:$AH$1001,0),MATCH(COLUMNS($AO$1006:BI1006),$AO$1006:$BQ$1006,0)), HYPERLINK("#",""), HYPERLINK(CONCATENATE("#Metadata!", ADDRESS(INDEX($AJ$2:$AJ$1001,MATCH(ROWS($AH$2:AH768),$AH$2:$AH$1001,0),0), INDEX($AO$1004:$BQ$1004,1,MATCH(COLUMNS($AO$1006:BI1006),$AO$1006:$BQ$1006,0)))),"Fix")))</f>
        <v>#N/A</v>
      </c>
      <c r="W768" s="5" t="e">
        <f ca="1">IF(OR(INDEX($AI$2:$AI$1001,MATCH(ROWS($AH$2:AH768),$AH$2:$AH$1001,0),1)&gt;=100000,INDEX($AO$1005:$BQ$1005,1,MATCH(COLUMNS($AO$1006:BJ1006),$AO$1006:$BQ$1006,0))&gt;=100000), " ",IF(INDEX($AO$2:$BQ$1001,MATCH(ROWS($AH$2:AH768),$AH$2:$AH$1001,0),MATCH(COLUMNS($AO$1006:BJ1006),$AO$1006:$BQ$1006,0)), HYPERLINK("#",""), HYPERLINK(CONCATENATE("#Metadata!", ADDRESS(INDEX($AJ$2:$AJ$1001,MATCH(ROWS($AH$2:AH768),$AH$2:$AH$1001,0),0), INDEX($AO$1004:$BQ$1004,1,MATCH(COLUMNS($AO$1006:BJ1006),$AO$1006:$BQ$1006,0)))),"Fix")))</f>
        <v>#N/A</v>
      </c>
      <c r="X768" s="5" t="e">
        <f ca="1">IF(OR(INDEX($AI$2:$AI$1001,MATCH(ROWS($AH$2:AH768),$AH$2:$AH$1001,0),1)&gt;=100000,INDEX($AO$1005:$BQ$1005,1,MATCH(COLUMNS($AO$1006:BK1006),$AO$1006:$BQ$1006,0))&gt;=100000), " ",IF(INDEX($AO$2:$BQ$1001,MATCH(ROWS($AH$2:AH768),$AH$2:$AH$1001,0),MATCH(COLUMNS($AO$1006:BK1006),$AO$1006:$BQ$1006,0)), HYPERLINK("#",""), HYPERLINK(CONCATENATE("#Metadata!", ADDRESS(INDEX($AJ$2:$AJ$1001,MATCH(ROWS($AH$2:AH768),$AH$2:$AH$1001,0),0), INDEX($AO$1004:$BQ$1004,1,MATCH(COLUMNS($AO$1006:BK1006),$AO$1006:$BQ$1006,0)))),"Fix")))</f>
        <v>#N/A</v>
      </c>
      <c r="Y768" s="5" t="e">
        <f ca="1">IF(OR(INDEX($AI$2:$AI$1001,MATCH(ROWS($AH$2:AH768),$AH$2:$AH$1001,0),1)&gt;=100000,INDEX($AO$1005:$BQ$1005,1,MATCH(COLUMNS($AO$1006:BL1006),$AO$1006:$BQ$1006,0))&gt;=100000), " ",IF(INDEX($AO$2:$BQ$1001,MATCH(ROWS($AH$2:AH768),$AH$2:$AH$1001,0),MATCH(COLUMNS($AO$1006:BL1006),$AO$1006:$BQ$1006,0)), HYPERLINK("#",""), HYPERLINK(CONCATENATE("#Metadata!", ADDRESS(INDEX($AJ$2:$AJ$1001,MATCH(ROWS($AH$2:AH768),$AH$2:$AH$1001,0),0), INDEX($AO$1004:$BQ$1004,1,MATCH(COLUMNS($AO$1006:BL1006),$AO$1006:$BQ$1006,0)))),"Fix")))</f>
        <v>#N/A</v>
      </c>
      <c r="Z768" s="5" t="e">
        <f ca="1">IF(OR(INDEX($AI$2:$AI$1001,MATCH(ROWS($AH$2:AH768),$AH$2:$AH$1001,0),1)&gt;=100000,INDEX($AO$1005:$BQ$1005,1,MATCH(COLUMNS($AO$1006:BM1006),$AO$1006:$BQ$1006,0))&gt;=100000), " ",IF(INDEX($AO$2:$BQ$1001,MATCH(ROWS($AH$2:AH768),$AH$2:$AH$1001,0),MATCH(COLUMNS($AO$1006:BM1006),$AO$1006:$BQ$1006,0)), HYPERLINK("#",""), HYPERLINK(CONCATENATE("#Metadata!", ADDRESS(INDEX($AJ$2:$AJ$1001,MATCH(ROWS($AH$2:AH768),$AH$2:$AH$1001,0),0), INDEX($AO$1004:$BQ$1004,1,MATCH(COLUMNS($AO$1006:BM1006),$AO$1006:$BQ$1006,0)))),"Fix")))</f>
        <v>#N/A</v>
      </c>
      <c r="AA768" s="5" t="e">
        <f ca="1">IF(OR(INDEX($AI$2:$AI$1001,MATCH(ROWS($AH$2:AH768),$AH$2:$AH$1001,0),1)&gt;=100000,INDEX($AO$1005:$BQ$1005,1,MATCH(COLUMNS($AO$1006:BN1006),$AO$1006:$BQ$1006,0))&gt;=100000), " ",IF(INDEX($AO$2:$BQ$1001,MATCH(ROWS($AH$2:AH768),$AH$2:$AH$1001,0),MATCH(COLUMNS($AO$1006:BN1006),$AO$1006:$BQ$1006,0)), HYPERLINK("#",""), HYPERLINK(CONCATENATE("#Metadata!", ADDRESS(INDEX($AJ$2:$AJ$1001,MATCH(ROWS($AH$2:AH768),$AH$2:$AH$1001,0),0), INDEX($AO$1004:$BQ$1004,1,MATCH(COLUMNS($AO$1006:BN1006),$AO$1006:$BQ$1006,0)))),"Fix")))</f>
        <v>#N/A</v>
      </c>
      <c r="AB768" s="5" t="e">
        <f ca="1">IF(OR(INDEX($AI$2:$AI$1001,MATCH(ROWS($AH$2:AH768),$AH$2:$AH$1001,0),1)&gt;=100000,INDEX($AO$1005:$BQ$1005,1,MATCH(COLUMNS($AO$1006:BO1006),$AO$1006:$BQ$1006,0))&gt;=100000), " ",IF(INDEX($AO$2:$BQ$1001,MATCH(ROWS($AH$2:AH768),$AH$2:$AH$1001,0),MATCH(COLUMNS($AO$1006:BO1006),$AO$1006:$BQ$1006,0)), HYPERLINK("#",""), HYPERLINK(CONCATENATE("#Metadata!", ADDRESS(INDEX($AJ$2:$AJ$1001,MATCH(ROWS($AH$2:AH768),$AH$2:$AH$1001,0),0), INDEX($AO$1004:$BQ$1004,1,MATCH(COLUMNS($AO$1006:BO1006),$AO$1006:$BQ$1006,0)))),"Fix")))</f>
        <v>#N/A</v>
      </c>
      <c r="AC768" s="5" t="e">
        <f ca="1">IF(OR(INDEX($AI$2:$AI$1001,MATCH(ROWS($AH$2:AH768),$AH$2:$AH$1001,0),1)&gt;=100000,INDEX($AO$1005:$BQ$1005,1,MATCH(COLUMNS($AO$1006:BP1006),$AO$1006:$BQ$1006,0))&gt;=100000), " ",IF(INDEX($AO$2:$BQ$1001,MATCH(ROWS($AH$2:AH768),$AH$2:$AH$1001,0),MATCH(COLUMNS($AO$1006:BP1006),$AO$1006:$BQ$1006,0)), HYPERLINK("#",""), HYPERLINK(CONCATENATE("#Metadata!", ADDRESS(INDEX($AJ$2:$AJ$1001,MATCH(ROWS($AH$2:AH768),$AH$2:$AH$1001,0),0), INDEX($AO$1004:$BQ$1004,1,MATCH(COLUMNS($AO$1006:BP1006),$AO$1006:$BQ$1006,0)))),"Fix")))</f>
        <v>#N/A</v>
      </c>
      <c r="AD768" s="5" t="e">
        <f ca="1">IF(OR(INDEX($AI$2:$AI$1001,MATCH(ROWS($AH$2:AH768),$AH$2:$AH$1001,0),1)&gt;=100000,INDEX($AO$1005:$BQ$1005,1,MATCH(COLUMNS($AO$1006:BQ1006),$AO$1006:$BQ$1006,0))&gt;=100000), " ",IF(INDEX($AO$2:$BQ$1001,MATCH(ROWS($AH$2:AH768),$AH$2:$AH$1001,0),MATCH(COLUMNS($AO$1006:BQ1006),$AO$1006:$BQ$1006,0)), HYPERLINK("#",""), HYPERLINK(CONCATENATE("#Metadata!", ADDRESS(INDEX($AJ$2:$AJ$1001,MATCH(ROWS($AH$2:AH768),$AH$2:$AH$1001,0),0), INDEX($AO$1004:$BQ$1004,1,MATCH(COLUMNS($AO$1006:BQ1006),$AO$1006:$BQ$1006,0)))),"Fix")))</f>
        <v>#REF!</v>
      </c>
      <c r="AH768">
        <f ca="1"/>
        <v>765</v>
      </c>
      <c r="AI768">
        <v>100768</v>
      </c>
      <c r="AJ768">
        <v>768</v>
      </c>
      <c r="AK768" t="b">
        <f t="shared" si="11"/>
        <v>1</v>
      </c>
      <c r="AL768" t="b">
        <f>COUNTBLANK(Metadata!B768:AD768)=COLUMNS(Metadata!B768:AD768)</f>
        <v>1</v>
      </c>
      <c r="AM768" t="str">
        <v/>
      </c>
      <c r="AO768" t="b">
        <f ca="1">AND(IF(Metadata!B768="",FALSE,TRUE),COUNTIF(Metadata!B:B, Metadata!B768) = 1,NOT(ISERROR(SUMPRODUCT(SEARCH(MID(Metadata!B768,ROW(INDIRECT("1:"&amp;LEN(Metadata!B768))), 1),"0123456789abcdefghijklmnopqrstuvwxyzABCDEFGHIJKLMNOPQRSTUVWXYZ.")))))</f>
        <v>0</v>
      </c>
      <c r="AP768" t="b">
        <f>IF(Metadata!C768="",FALSE,TRUE)</f>
        <v>0</v>
      </c>
      <c r="AQ768" t="b">
        <f>IF(Metadata!D768="",FALSE,TRUE)</f>
        <v>0</v>
      </c>
      <c r="AR768" t="b">
        <f ca="1">OR(AND(IF(Metadata!E768="",FALSE,TRUE),OR(EXACT(Metadata!E768,"not collected"),EXACT(Metadata!E768,"not provided"),EXACT(Metadata!E768,"restricted access"))),AND(IF(Metadata!E768="",FALSE,TRUE),AND(AND(IFERROR(INT(LEFT(Metadata!E768,4))&gt;1900,FALSE),IFERROR(INT(LEFT(Metadata!E768,4))&lt;=YEAR(NOW()),FALSE)), OR(MID(Metadata!E768,5,1)="", AND(AND(MID(Metadata!E768,5,1)="-",IFERROR(INT(MID(Metadata!E768,6,1))&gt;=0,FALSE),IFERROR(INT(MID(Metadata!E768,6,1))&lt;=1,FALSE),NOT(MID(Metadata!E768,7,1)=""),IFERROR(INT(MID(Metadata!E768,6,2))&gt;=1,FALSE),IFERROR(INT(MID(Metadata!E768,6,2))&lt;=12,FALSE)), OR(MID(Metadata!E768,8,1)="", AND(AND(MID(Metadata!E768,8,1)="-",IFERROR(INT(MID(Metadata!E768,9,1))&gt;=0,FALSE),IFERROR(INT(MID(Metadata!E768,9,1))&lt;=3,FALSE),NOT(MID(Metadata!E768,10,1)=""),IFERROR(INT(MID(Metadata!E768,9,2))&gt;=1,FALSE),IFERROR(INT(MID(Metadata!E768,9,2))&lt;=31,FALSE)), OR(MID(Metadata!E768,11,1)="", AND(AND(MID(Metadata!E768,11,1)=" ",IFERROR(INT(MID(Metadata!E768,12,1))&gt;=0,FALSE),IFERROR(INT(MID(Metadata!E768,12,1))&lt;=2,FALSE),NOT(MID(Metadata!E768,13,1)=""),IFERROR(INT(MID(Metadata!E768,12,2))&gt;=0,FALSE),IFERROR(INT(MID(Metadata!E768,12,2))&lt;=23,FALSE)), OR(MID(Metadata!E768,14,1)="", AND(AND(MID(Metadata!E768,14,1)=":",IFERROR(INT(MID(Metadata!E768,15,1))&gt;=0,FALSE),IFERROR(INT(MID(Metadata!E768,15,1))&lt;=5,FALSE),NOT(MID(Metadata!E768,16,1)=""),IFERROR(INT(MID(Metadata!E768,15,2))&gt;=0,FALSE),IFERROR(INT(MID(Metadata!E768,15,2))&lt;=59,FALSE)), OR(MID(Metadata!E768,17,1)="", AND(AND(MID(Metadata!E768,17,1)=":",IFERROR(INT(MID(Metadata!E768,18,1))&gt;=0,FALSE),IFERROR(INT(MID(Metadata!E768,18,1))&lt;=5,FALSE),NOT(MID(Metadata!E768,19,1)=""),IFERROR(INT(MID(Metadata!E768,18,2))&gt;=0,FALSE),IFERROR(INT(MID(Metadata!E768,18,2))&lt;=59,FALSE)), LEN(Metadata!E768)&lt;=19)))))))))))))</f>
        <v>0</v>
      </c>
      <c r="AS768" t="b">
        <f>IF(Metadata!F768="",FALSE,TRUE)</f>
        <v>0</v>
      </c>
      <c r="AT768" t="b">
        <f>OR(AND(IF(Metadata!G768="",FALSE,TRUE),OR(EXACT(Metadata!G768,"not collected"),EXACT(Metadata!G768,"not provided"))),AND(IF(Metadata!G768="",FALSE,TRUE),OR(EXACT(Metadata!G768,"TRUE"),EXACT(Metadata!G768,"FALSE"))))</f>
        <v>0</v>
      </c>
      <c r="AU768" t="b">
        <f>OR(AND(IF(Metadata!H768="",FALSE,TRUE),OR(EXACT(Metadata!H768,"not collected"),EXACT(Metadata!H768,"not provided"),EXACT(Metadata!H768,"restricted access"))),AND(IF(Metadata!H768="",FALSE,ISNUMBER(VALUE(Metadata!H768))),Metadata!H768&gt;=-413))</f>
        <v>0</v>
      </c>
      <c r="AV768" t="b">
        <f>AND(IF(Metadata!I768="",FALSE,TRUE),EXACT(Metadata!I768,"meters"))</f>
        <v>0</v>
      </c>
      <c r="AW768" t="b">
        <f>AND(IF(Metadata!J768="",FALSE,TRUE),EXACT(Metadata!J768,"free-living"))</f>
        <v>0</v>
      </c>
      <c r="AX768" t="b">
        <f>AND(IF(Metadata!K768="",FALSE,TRUE),OR(EXACT(Metadata!K768,"saline"),EXACT(Metadata!K768,"non-saline")))</f>
        <v>0</v>
      </c>
      <c r="AY768" t="b">
        <f>AND(IF(Metadata!L768="",FALSE,TRUE),OR(EXACT(Metadata!L768,"sub-surface (non-saline)"),EXACT(Metadata!L768,"surface (non-saline)"),EXACT(Metadata!L768,"water (non-saline)"),EXACT(Metadata!L768,"soil (non-saline)"),EXACT(Metadata!L768,"aerosol (non-saline)"),EXACT(Metadata!L768,"sediment (non-saline)"),EXACT(Metadata!L768,"surface (saline)"),EXACT(Metadata!L768,"water (saline)"),EXACT(Metadata!L768,"hypersaline (saline)"),EXACT(Metadata!L768,"aerosol (saline)"),EXACT(Metadata!L768,"sediment (saline)")))</f>
        <v>0</v>
      </c>
      <c r="AZ768" t="b">
        <f>IF(Metadata!M768="",FALSE,TRUE)</f>
        <v>0</v>
      </c>
      <c r="BA768" t="b">
        <f>IF(Metadata!N768="",FALSE,TRUE)</f>
        <v>0</v>
      </c>
      <c r="BB768" t="b">
        <f>IF(Metadata!O768="",FALSE,TRUE)</f>
        <v>0</v>
      </c>
      <c r="BC768" t="b">
        <f>AND(IF(Metadata!P768="",FALSE,TRUE),OR(EXACT(Metadata!P768,"air"),EXACT(Metadata!P768,"microbial mat/biofilm"),EXACT(Metadata!P768,"misc environment"),EXACT(Metadata!P768,"sediment"),EXACT(Metadata!P768,"soil"),EXACT(Metadata!P768,"wastewater/sludge"),EXACT(Metadata!P768,"water")))</f>
        <v>0</v>
      </c>
      <c r="BD768" t="b">
        <f>IF(Metadata!Q768="",FALSE,TRUE)</f>
        <v>0</v>
      </c>
      <c r="BE768" t="b">
        <f>IF(Metadata!R768="",FALSE,TRUE)</f>
        <v>0</v>
      </c>
      <c r="BF768" t="b">
        <f>OR(AND(IF(Metadata!S768="",FALSE,TRUE),OR(EXACT(Metadata!S768,"not collected"),EXACT(Metadata!S768,"not provided"),EXACT(Metadata!S768,"restricted access"))),AND(IF(Metadata!S768="",FALSE,ISNUMBER(VALUE(Metadata!S768))),Metadata!S768&gt;=-90,Metadata!S768&lt;=90))</f>
        <v>0</v>
      </c>
      <c r="BG768" t="b">
        <f>AND(IF(Metadata!T768="",FALSE,TRUE),EXACT(Metadata!T768,"Decimal degrees"))</f>
        <v>0</v>
      </c>
      <c r="BH768" t="b">
        <f>OR(AND(IF(Metadata!U768="",FALSE,TRUE),OR(EXACT(Metadata!U768,"not applicable"),EXACT(Metadata!U768,"not collected"))),IF(Metadata!U768="",FALSE,TRUE))</f>
        <v>0</v>
      </c>
      <c r="BI768" t="b">
        <f>OR(AND(IF(Metadata!V768="",FALSE,TRUE),OR(EXACT(Metadata!V768,"not collected"),EXACT(Metadata!V768,"not provided"),EXACT(Metadata!V768,"restricted access"))),AND(IF(Metadata!V768="",FALSE,ISNUMBER(VALUE(Metadata!V768))),Metadata!V768&gt;=-180,Metadata!V768&lt;=180))</f>
        <v>0</v>
      </c>
      <c r="BJ768" t="b">
        <f>AND(IF(Metadata!W768="",FALSE,TRUE),EXACT(Metadata!W768,"Decimal degrees"))</f>
        <v>0</v>
      </c>
      <c r="BK768" t="b">
        <f>IF(Metadata!X768="",FALSE,TRUE)</f>
        <v>0</v>
      </c>
      <c r="BL768" t="b">
        <f>OR(AND(IF(Metadata!Y768="",FALSE,TRUE),OR(EXACT(Metadata!Y768,"not collected"),EXACT(Metadata!Y768,"not provided"),EXACT(Metadata!Y768,"restricted access"))),AND(IF(Metadata!Y768="",FALSE,TRUE),OR(EXACT(Metadata!Y768,"TRUE"),EXACT(Metadata!Y768,"FALSE"))))</f>
        <v>0</v>
      </c>
      <c r="BM768" t="b">
        <f>OR(AND(IF(Metadata!Z768="",FALSE,TRUE),EXACT(Metadata!Z768,"not applicable")),AND(IF(Metadata!Z768="",FALSE,TRUE),OR(EXACT(Metadata!Z768,"beer"),EXACT(Metadata!Z768,"cheese"),EXACT(Metadata!Z768,"fresh water"),EXACT(Metadata!Z768,"marine sediment"),EXACT(Metadata!Z768,"sea water"),EXACT(Metadata!Z768,"sediment"),EXACT(Metadata!Z768,"soil"),EXACT(Metadata!Z768,"waste water"))))</f>
        <v>0</v>
      </c>
      <c r="BN768" t="b">
        <f>AND(IF(Metadata!AA768="",FALSE,TRUE),EXACT(Metadata!AA768,"metagenome"))</f>
        <v>0</v>
      </c>
      <c r="BO768" t="b">
        <f>AND(IF(Metadata!AB768="",FALSE,TRUE),EXACT(Metadata!AB768,"256318"))</f>
        <v>0</v>
      </c>
      <c r="BP768" t="b">
        <f>IF(Metadata!AC768="",FALSE,TRUE)</f>
        <v>0</v>
      </c>
      <c r="BQ768" t="b">
        <f>IF(Metadata!AD768="",FALSE,TRUE)</f>
        <v>0</v>
      </c>
    </row>
    <row r="769" spans="1:69" x14ac:dyDescent="0.2">
      <c r="A769" s="4" t="e">
        <f ca="1">IF(B769=" "," ",HYPERLINK(CONCATENATE("#metadata!",ADDRESS(INDEX($AJ$2:$AJ$1001,MATCH(ROWS($AH$2:AH769),$AH$2:$AH$1001,0),0),2)),INDEX($AM$2:$AM$1001,MATCH(ROWS($AH$2:AH769),$AH$2:$AH$1001,0),0)))</f>
        <v>#N/A</v>
      </c>
      <c r="B769" s="5" t="e">
        <f ca="1">IF(OR(INDEX($AI$2:$AI$1001,MATCH(ROWS($AH$2:AH769),$AH$2:$AH$1001,0),1)&gt;=100000,INDEX($AO$1005:$BQ$1005,1,MATCH(COLUMNS($AO$1006:AO1006),$AO$1006:$BQ$1006,0))&gt;=100000), " ",IF(INDEX($AO$2:$BQ$1001,MATCH(ROWS($AH$2:AH769),$AH$2:$AH$1001,0),MATCH(COLUMNS($AO$1006:AO1006),$AO$1006:$BQ$1006,0)), HYPERLINK("#",""), HYPERLINK(CONCATENATE("#Metadata!", ADDRESS(INDEX($AJ$2:$AJ$1001,MATCH(ROWS($AH$2:AH769),$AH$2:$AH$1001,0),0), INDEX($AO$1004:$BQ$1004,1,MATCH(COLUMNS($AO$1006:AO1006),$AO$1006:$BQ$1006,0)))),"Fix")))</f>
        <v>#N/A</v>
      </c>
      <c r="C769" s="5" t="e">
        <f ca="1">IF(OR(INDEX($AI$2:$AI$1001,MATCH(ROWS($AH$2:AH769),$AH$2:$AH$1001,0),1)&gt;=100000,INDEX($AO$1005:$BQ$1005,1,MATCH(COLUMNS($AO$1006:AP1006),$AO$1006:$BQ$1006,0))&gt;=100000), " ",IF(INDEX($AO$2:$BQ$1001,MATCH(ROWS($AH$2:AH769),$AH$2:$AH$1001,0),MATCH(COLUMNS($AO$1006:AP1006),$AO$1006:$BQ$1006,0)), HYPERLINK("#",""), HYPERLINK(CONCATENATE("#Metadata!", ADDRESS(INDEX($AJ$2:$AJ$1001,MATCH(ROWS($AH$2:AH769),$AH$2:$AH$1001,0),0), INDEX($AO$1004:$BQ$1004,1,MATCH(COLUMNS($AO$1006:AP1006),$AO$1006:$BQ$1006,0)))),"Fix")))</f>
        <v>#N/A</v>
      </c>
      <c r="D769" s="5" t="e">
        <f ca="1">IF(OR(INDEX($AI$2:$AI$1001,MATCH(ROWS($AH$2:AH769),$AH$2:$AH$1001,0),1)&gt;=100000,INDEX($AO$1005:$BQ$1005,1,MATCH(COLUMNS($AO$1006:AQ1006),$AO$1006:$BQ$1006,0))&gt;=100000), " ",IF(INDEX($AO$2:$BQ$1001,MATCH(ROWS($AH$2:AH769),$AH$2:$AH$1001,0),MATCH(COLUMNS($AO$1006:AQ1006),$AO$1006:$BQ$1006,0)), HYPERLINK("#",""), HYPERLINK(CONCATENATE("#Metadata!", ADDRESS(INDEX($AJ$2:$AJ$1001,MATCH(ROWS($AH$2:AH769),$AH$2:$AH$1001,0),0), INDEX($AO$1004:$BQ$1004,1,MATCH(COLUMNS($AO$1006:AQ1006),$AO$1006:$BQ$1006,0)))),"Fix")))</f>
        <v>#N/A</v>
      </c>
      <c r="E769" s="5" t="e">
        <f ca="1">IF(OR(INDEX($AI$2:$AI$1001,MATCH(ROWS($AH$2:AH769),$AH$2:$AH$1001,0),1)&gt;=100000,INDEX($AO$1005:$BQ$1005,1,MATCH(COLUMNS($AO$1006:AR1006),$AO$1006:$BQ$1006,0))&gt;=100000), " ",IF(INDEX($AO$2:$BQ$1001,MATCH(ROWS($AH$2:AH769),$AH$2:$AH$1001,0),MATCH(COLUMNS($AO$1006:AR1006),$AO$1006:$BQ$1006,0)), HYPERLINK("#",""), HYPERLINK(CONCATENATE("#Metadata!", ADDRESS(INDEX($AJ$2:$AJ$1001,MATCH(ROWS($AH$2:AH769),$AH$2:$AH$1001,0),0), INDEX($AO$1004:$BQ$1004,1,MATCH(COLUMNS($AO$1006:AR1006),$AO$1006:$BQ$1006,0)))),"Fix")))</f>
        <v>#N/A</v>
      </c>
      <c r="F769" s="5" t="e">
        <f ca="1">IF(OR(INDEX($AI$2:$AI$1001,MATCH(ROWS($AH$2:AH769),$AH$2:$AH$1001,0),1)&gt;=100000,INDEX($AO$1005:$BQ$1005,1,MATCH(COLUMNS($AO$1006:AS1006),$AO$1006:$BQ$1006,0))&gt;=100000), " ",IF(INDEX($AO$2:$BQ$1001,MATCH(ROWS($AH$2:AH769),$AH$2:$AH$1001,0),MATCH(COLUMNS($AO$1006:AS1006),$AO$1006:$BQ$1006,0)), HYPERLINK("#",""), HYPERLINK(CONCATENATE("#Metadata!", ADDRESS(INDEX($AJ$2:$AJ$1001,MATCH(ROWS($AH$2:AH769),$AH$2:$AH$1001,0),0), INDEX($AO$1004:$BQ$1004,1,MATCH(COLUMNS($AO$1006:AS1006),$AO$1006:$BQ$1006,0)))),"Fix")))</f>
        <v>#N/A</v>
      </c>
      <c r="G769" s="5" t="e">
        <f ca="1">IF(OR(INDEX($AI$2:$AI$1001,MATCH(ROWS($AH$2:AH769),$AH$2:$AH$1001,0),1)&gt;=100000,INDEX($AO$1005:$BQ$1005,1,MATCH(COLUMNS($AO$1006:AT1006),$AO$1006:$BQ$1006,0))&gt;=100000), " ",IF(INDEX($AO$2:$BQ$1001,MATCH(ROWS($AH$2:AH769),$AH$2:$AH$1001,0),MATCH(COLUMNS($AO$1006:AT1006),$AO$1006:$BQ$1006,0)), HYPERLINK("#",""), HYPERLINK(CONCATENATE("#Metadata!", ADDRESS(INDEX($AJ$2:$AJ$1001,MATCH(ROWS($AH$2:AH769),$AH$2:$AH$1001,0),0), INDEX($AO$1004:$BQ$1004,1,MATCH(COLUMNS($AO$1006:AT1006),$AO$1006:$BQ$1006,0)))),"Fix")))</f>
        <v>#N/A</v>
      </c>
      <c r="H769" s="5" t="e">
        <f ca="1">IF(OR(INDEX($AI$2:$AI$1001,MATCH(ROWS($AH$2:AH769),$AH$2:$AH$1001,0),1)&gt;=100000,INDEX($AO$1005:$BQ$1005,1,MATCH(COLUMNS($AO$1006:AU1006),$AO$1006:$BQ$1006,0))&gt;=100000), " ",IF(INDEX($AO$2:$BQ$1001,MATCH(ROWS($AH$2:AH769),$AH$2:$AH$1001,0),MATCH(COLUMNS($AO$1006:AU1006),$AO$1006:$BQ$1006,0)), HYPERLINK("#",""), HYPERLINK(CONCATENATE("#Metadata!", ADDRESS(INDEX($AJ$2:$AJ$1001,MATCH(ROWS($AH$2:AH769),$AH$2:$AH$1001,0),0), INDEX($AO$1004:$BQ$1004,1,MATCH(COLUMNS($AO$1006:AU1006),$AO$1006:$BQ$1006,0)))),"Fix")))</f>
        <v>#N/A</v>
      </c>
      <c r="I769" s="5" t="e">
        <f ca="1">IF(OR(INDEX($AI$2:$AI$1001,MATCH(ROWS($AH$2:AH769),$AH$2:$AH$1001,0),1)&gt;=100000,INDEX($AO$1005:$BQ$1005,1,MATCH(COLUMNS($AO$1006:AV1006),$AO$1006:$BQ$1006,0))&gt;=100000), " ",IF(INDEX($AO$2:$BQ$1001,MATCH(ROWS($AH$2:AH769),$AH$2:$AH$1001,0),MATCH(COLUMNS($AO$1006:AV1006),$AO$1006:$BQ$1006,0)), HYPERLINK("#",""), HYPERLINK(CONCATENATE("#Metadata!", ADDRESS(INDEX($AJ$2:$AJ$1001,MATCH(ROWS($AH$2:AH769),$AH$2:$AH$1001,0),0), INDEX($AO$1004:$BQ$1004,1,MATCH(COLUMNS($AO$1006:AV1006),$AO$1006:$BQ$1006,0)))),"Fix")))</f>
        <v>#N/A</v>
      </c>
      <c r="J769" s="5" t="e">
        <f ca="1">IF(OR(INDEX($AI$2:$AI$1001,MATCH(ROWS($AH$2:AH769),$AH$2:$AH$1001,0),1)&gt;=100000,INDEX($AO$1005:$BQ$1005,1,MATCH(COLUMNS($AO$1006:AW1006),$AO$1006:$BQ$1006,0))&gt;=100000), " ",IF(INDEX($AO$2:$BQ$1001,MATCH(ROWS($AH$2:AH769),$AH$2:$AH$1001,0),MATCH(COLUMNS($AO$1006:AW1006),$AO$1006:$BQ$1006,0)), HYPERLINK("#",""), HYPERLINK(CONCATENATE("#Metadata!", ADDRESS(INDEX($AJ$2:$AJ$1001,MATCH(ROWS($AH$2:AH769),$AH$2:$AH$1001,0),0), INDEX($AO$1004:$BQ$1004,1,MATCH(COLUMNS($AO$1006:AW1006),$AO$1006:$BQ$1006,0)))),"Fix")))</f>
        <v>#N/A</v>
      </c>
      <c r="K769" s="5" t="e">
        <f ca="1">IF(OR(INDEX($AI$2:$AI$1001,MATCH(ROWS($AH$2:AH769),$AH$2:$AH$1001,0),1)&gt;=100000,INDEX($AO$1005:$BQ$1005,1,MATCH(COLUMNS($AO$1006:AX1006),$AO$1006:$BQ$1006,0))&gt;=100000), " ",IF(INDEX($AO$2:$BQ$1001,MATCH(ROWS($AH$2:AH769),$AH$2:$AH$1001,0),MATCH(COLUMNS($AO$1006:AX1006),$AO$1006:$BQ$1006,0)), HYPERLINK("#",""), HYPERLINK(CONCATENATE("#Metadata!", ADDRESS(INDEX($AJ$2:$AJ$1001,MATCH(ROWS($AH$2:AH769),$AH$2:$AH$1001,0),0), INDEX($AO$1004:$BQ$1004,1,MATCH(COLUMNS($AO$1006:AX1006),$AO$1006:$BQ$1006,0)))),"Fix")))</f>
        <v>#N/A</v>
      </c>
      <c r="L769" s="5" t="e">
        <f ca="1">IF(OR(INDEX($AI$2:$AI$1001,MATCH(ROWS($AH$2:AH769),$AH$2:$AH$1001,0),1)&gt;=100000,INDEX($AO$1005:$BQ$1005,1,MATCH(COLUMNS($AO$1006:AY1006),$AO$1006:$BQ$1006,0))&gt;=100000), " ",IF(INDEX($AO$2:$BQ$1001,MATCH(ROWS($AH$2:AH769),$AH$2:$AH$1001,0),MATCH(COLUMNS($AO$1006:AY1006),$AO$1006:$BQ$1006,0)), HYPERLINK("#",""), HYPERLINK(CONCATENATE("#Metadata!", ADDRESS(INDEX($AJ$2:$AJ$1001,MATCH(ROWS($AH$2:AH769),$AH$2:$AH$1001,0),0), INDEX($AO$1004:$BQ$1004,1,MATCH(COLUMNS($AO$1006:AY1006),$AO$1006:$BQ$1006,0)))),"Fix")))</f>
        <v>#N/A</v>
      </c>
      <c r="M769" s="5" t="e">
        <f ca="1">IF(OR(INDEX($AI$2:$AI$1001,MATCH(ROWS($AH$2:AH769),$AH$2:$AH$1001,0),1)&gt;=100000,INDEX($AO$1005:$BQ$1005,1,MATCH(COLUMNS($AO$1006:AZ1006),$AO$1006:$BQ$1006,0))&gt;=100000), " ",IF(INDEX($AO$2:$BQ$1001,MATCH(ROWS($AH$2:AH769),$AH$2:$AH$1001,0),MATCH(COLUMNS($AO$1006:AZ1006),$AO$1006:$BQ$1006,0)), HYPERLINK("#",""), HYPERLINK(CONCATENATE("#Metadata!", ADDRESS(INDEX($AJ$2:$AJ$1001,MATCH(ROWS($AH$2:AH769),$AH$2:$AH$1001,0),0), INDEX($AO$1004:$BQ$1004,1,MATCH(COLUMNS($AO$1006:AZ1006),$AO$1006:$BQ$1006,0)))),"Fix")))</f>
        <v>#N/A</v>
      </c>
      <c r="N769" s="5" t="e">
        <f ca="1">IF(OR(INDEX($AI$2:$AI$1001,MATCH(ROWS($AH$2:AH769),$AH$2:$AH$1001,0),1)&gt;=100000,INDEX($AO$1005:$BQ$1005,1,MATCH(COLUMNS($AO$1006:BA1006),$AO$1006:$BQ$1006,0))&gt;=100000), " ",IF(INDEX($AO$2:$BQ$1001,MATCH(ROWS($AH$2:AH769),$AH$2:$AH$1001,0),MATCH(COLUMNS($AO$1006:BA1006),$AO$1006:$BQ$1006,0)), HYPERLINK("#",""), HYPERLINK(CONCATENATE("#Metadata!", ADDRESS(INDEX($AJ$2:$AJ$1001,MATCH(ROWS($AH$2:AH769),$AH$2:$AH$1001,0),0), INDEX($AO$1004:$BQ$1004,1,MATCH(COLUMNS($AO$1006:BA1006),$AO$1006:$BQ$1006,0)))),"Fix")))</f>
        <v>#N/A</v>
      </c>
      <c r="O769" s="5" t="e">
        <f ca="1">IF(OR(INDEX($AI$2:$AI$1001,MATCH(ROWS($AH$2:AH769),$AH$2:$AH$1001,0),1)&gt;=100000,INDEX($AO$1005:$BQ$1005,1,MATCH(COLUMNS($AO$1006:BB1006),$AO$1006:$BQ$1006,0))&gt;=100000), " ",IF(INDEX($AO$2:$BQ$1001,MATCH(ROWS($AH$2:AH769),$AH$2:$AH$1001,0),MATCH(COLUMNS($AO$1006:BB1006),$AO$1006:$BQ$1006,0)), HYPERLINK("#",""), HYPERLINK(CONCATENATE("#Metadata!", ADDRESS(INDEX($AJ$2:$AJ$1001,MATCH(ROWS($AH$2:AH769),$AH$2:$AH$1001,0),0), INDEX($AO$1004:$BQ$1004,1,MATCH(COLUMNS($AO$1006:BB1006),$AO$1006:$BQ$1006,0)))),"Fix")))</f>
        <v>#N/A</v>
      </c>
      <c r="P769" s="5" t="e">
        <f ca="1">IF(OR(INDEX($AI$2:$AI$1001,MATCH(ROWS($AH$2:AH769),$AH$2:$AH$1001,0),1)&gt;=100000,INDEX($AO$1005:$BQ$1005,1,MATCH(COLUMNS($AO$1006:BC1006),$AO$1006:$BQ$1006,0))&gt;=100000), " ",IF(INDEX($AO$2:$BQ$1001,MATCH(ROWS($AH$2:AH769),$AH$2:$AH$1001,0),MATCH(COLUMNS($AO$1006:BC1006),$AO$1006:$BQ$1006,0)), HYPERLINK("#",""), HYPERLINK(CONCATENATE("#Metadata!", ADDRESS(INDEX($AJ$2:$AJ$1001,MATCH(ROWS($AH$2:AH769),$AH$2:$AH$1001,0),0), INDEX($AO$1004:$BQ$1004,1,MATCH(COLUMNS($AO$1006:BC1006),$AO$1006:$BQ$1006,0)))),"Fix")))</f>
        <v>#N/A</v>
      </c>
      <c r="Q769" s="5" t="e">
        <f ca="1">IF(OR(INDEX($AI$2:$AI$1001,MATCH(ROWS($AH$2:AH769),$AH$2:$AH$1001,0),1)&gt;=100000,INDEX($AO$1005:$BQ$1005,1,MATCH(COLUMNS($AO$1006:BD1006),$AO$1006:$BQ$1006,0))&gt;=100000), " ",IF(INDEX($AO$2:$BQ$1001,MATCH(ROWS($AH$2:AH769),$AH$2:$AH$1001,0),MATCH(COLUMNS($AO$1006:BD1006),$AO$1006:$BQ$1006,0)), HYPERLINK("#",""), HYPERLINK(CONCATENATE("#Metadata!", ADDRESS(INDEX($AJ$2:$AJ$1001,MATCH(ROWS($AH$2:AH769),$AH$2:$AH$1001,0),0), INDEX($AO$1004:$BQ$1004,1,MATCH(COLUMNS($AO$1006:BD1006),$AO$1006:$BQ$1006,0)))),"Fix")))</f>
        <v>#N/A</v>
      </c>
      <c r="R769" s="5" t="e">
        <f ca="1">IF(OR(INDEX($AI$2:$AI$1001,MATCH(ROWS($AH$2:AH769),$AH$2:$AH$1001,0),1)&gt;=100000,INDEX($AO$1005:$BQ$1005,1,MATCH(COLUMNS($AO$1006:BE1006),$AO$1006:$BQ$1006,0))&gt;=100000), " ",IF(INDEX($AO$2:$BQ$1001,MATCH(ROWS($AH$2:AH769),$AH$2:$AH$1001,0),MATCH(COLUMNS($AO$1006:BE1006),$AO$1006:$BQ$1006,0)), HYPERLINK("#",""), HYPERLINK(CONCATENATE("#Metadata!", ADDRESS(INDEX($AJ$2:$AJ$1001,MATCH(ROWS($AH$2:AH769),$AH$2:$AH$1001,0),0), INDEX($AO$1004:$BQ$1004,1,MATCH(COLUMNS($AO$1006:BE1006),$AO$1006:$BQ$1006,0)))),"Fix")))</f>
        <v>#N/A</v>
      </c>
      <c r="S769" s="5" t="e">
        <f ca="1">IF(OR(INDEX($AI$2:$AI$1001,MATCH(ROWS($AH$2:AH769),$AH$2:$AH$1001,0),1)&gt;=100000,INDEX($AO$1005:$BQ$1005,1,MATCH(COLUMNS($AO$1006:BF1006),$AO$1006:$BQ$1006,0))&gt;=100000), " ",IF(INDEX($AO$2:$BQ$1001,MATCH(ROWS($AH$2:AH769),$AH$2:$AH$1001,0),MATCH(COLUMNS($AO$1006:BF1006),$AO$1006:$BQ$1006,0)), HYPERLINK("#",""), HYPERLINK(CONCATENATE("#Metadata!", ADDRESS(INDEX($AJ$2:$AJ$1001,MATCH(ROWS($AH$2:AH769),$AH$2:$AH$1001,0),0), INDEX($AO$1004:$BQ$1004,1,MATCH(COLUMNS($AO$1006:BF1006),$AO$1006:$BQ$1006,0)))),"Fix")))</f>
        <v>#N/A</v>
      </c>
      <c r="T769" s="5" t="e">
        <f ca="1">IF(OR(INDEX($AI$2:$AI$1001,MATCH(ROWS($AH$2:AH769),$AH$2:$AH$1001,0),1)&gt;=100000,INDEX($AO$1005:$BQ$1005,1,MATCH(COLUMNS($AO$1006:BG1006),$AO$1006:$BQ$1006,0))&gt;=100000), " ",IF(INDEX($AO$2:$BQ$1001,MATCH(ROWS($AH$2:AH769),$AH$2:$AH$1001,0),MATCH(COLUMNS($AO$1006:BG1006),$AO$1006:$BQ$1006,0)), HYPERLINK("#",""), HYPERLINK(CONCATENATE("#Metadata!", ADDRESS(INDEX($AJ$2:$AJ$1001,MATCH(ROWS($AH$2:AH769),$AH$2:$AH$1001,0),0), INDEX($AO$1004:$BQ$1004,1,MATCH(COLUMNS($AO$1006:BG1006),$AO$1006:$BQ$1006,0)))),"Fix")))</f>
        <v>#N/A</v>
      </c>
      <c r="U769" s="5" t="e">
        <f ca="1">IF(OR(INDEX($AI$2:$AI$1001,MATCH(ROWS($AH$2:AH769),$AH$2:$AH$1001,0),1)&gt;=100000,INDEX($AO$1005:$BQ$1005,1,MATCH(COLUMNS($AO$1006:BH1006),$AO$1006:$BQ$1006,0))&gt;=100000), " ",IF(INDEX($AO$2:$BQ$1001,MATCH(ROWS($AH$2:AH769),$AH$2:$AH$1001,0),MATCH(COLUMNS($AO$1006:BH1006),$AO$1006:$BQ$1006,0)), HYPERLINK("#",""), HYPERLINK(CONCATENATE("#Metadata!", ADDRESS(INDEX($AJ$2:$AJ$1001,MATCH(ROWS($AH$2:AH769),$AH$2:$AH$1001,0),0), INDEX($AO$1004:$BQ$1004,1,MATCH(COLUMNS($AO$1006:BH1006),$AO$1006:$BQ$1006,0)))),"Fix")))</f>
        <v>#N/A</v>
      </c>
      <c r="V769" s="5" t="e">
        <f ca="1">IF(OR(INDEX($AI$2:$AI$1001,MATCH(ROWS($AH$2:AH769),$AH$2:$AH$1001,0),1)&gt;=100000,INDEX($AO$1005:$BQ$1005,1,MATCH(COLUMNS($AO$1006:BI1006),$AO$1006:$BQ$1006,0))&gt;=100000), " ",IF(INDEX($AO$2:$BQ$1001,MATCH(ROWS($AH$2:AH769),$AH$2:$AH$1001,0),MATCH(COLUMNS($AO$1006:BI1006),$AO$1006:$BQ$1006,0)), HYPERLINK("#",""), HYPERLINK(CONCATENATE("#Metadata!", ADDRESS(INDEX($AJ$2:$AJ$1001,MATCH(ROWS($AH$2:AH769),$AH$2:$AH$1001,0),0), INDEX($AO$1004:$BQ$1004,1,MATCH(COLUMNS($AO$1006:BI1006),$AO$1006:$BQ$1006,0)))),"Fix")))</f>
        <v>#N/A</v>
      </c>
      <c r="W769" s="5" t="e">
        <f ca="1">IF(OR(INDEX($AI$2:$AI$1001,MATCH(ROWS($AH$2:AH769),$AH$2:$AH$1001,0),1)&gt;=100000,INDEX($AO$1005:$BQ$1005,1,MATCH(COLUMNS($AO$1006:BJ1006),$AO$1006:$BQ$1006,0))&gt;=100000), " ",IF(INDEX($AO$2:$BQ$1001,MATCH(ROWS($AH$2:AH769),$AH$2:$AH$1001,0),MATCH(COLUMNS($AO$1006:BJ1006),$AO$1006:$BQ$1006,0)), HYPERLINK("#",""), HYPERLINK(CONCATENATE("#Metadata!", ADDRESS(INDEX($AJ$2:$AJ$1001,MATCH(ROWS($AH$2:AH769),$AH$2:$AH$1001,0),0), INDEX($AO$1004:$BQ$1004,1,MATCH(COLUMNS($AO$1006:BJ1006),$AO$1006:$BQ$1006,0)))),"Fix")))</f>
        <v>#N/A</v>
      </c>
      <c r="X769" s="5" t="e">
        <f ca="1">IF(OR(INDEX($AI$2:$AI$1001,MATCH(ROWS($AH$2:AH769),$AH$2:$AH$1001,0),1)&gt;=100000,INDEX($AO$1005:$BQ$1005,1,MATCH(COLUMNS($AO$1006:BK1006),$AO$1006:$BQ$1006,0))&gt;=100000), " ",IF(INDEX($AO$2:$BQ$1001,MATCH(ROWS($AH$2:AH769),$AH$2:$AH$1001,0),MATCH(COLUMNS($AO$1006:BK1006),$AO$1006:$BQ$1006,0)), HYPERLINK("#",""), HYPERLINK(CONCATENATE("#Metadata!", ADDRESS(INDEX($AJ$2:$AJ$1001,MATCH(ROWS($AH$2:AH769),$AH$2:$AH$1001,0),0), INDEX($AO$1004:$BQ$1004,1,MATCH(COLUMNS($AO$1006:BK1006),$AO$1006:$BQ$1006,0)))),"Fix")))</f>
        <v>#N/A</v>
      </c>
      <c r="Y769" s="5" t="e">
        <f ca="1">IF(OR(INDEX($AI$2:$AI$1001,MATCH(ROWS($AH$2:AH769),$AH$2:$AH$1001,0),1)&gt;=100000,INDEX($AO$1005:$BQ$1005,1,MATCH(COLUMNS($AO$1006:BL1006),$AO$1006:$BQ$1006,0))&gt;=100000), " ",IF(INDEX($AO$2:$BQ$1001,MATCH(ROWS($AH$2:AH769),$AH$2:$AH$1001,0),MATCH(COLUMNS($AO$1006:BL1006),$AO$1006:$BQ$1006,0)), HYPERLINK("#",""), HYPERLINK(CONCATENATE("#Metadata!", ADDRESS(INDEX($AJ$2:$AJ$1001,MATCH(ROWS($AH$2:AH769),$AH$2:$AH$1001,0),0), INDEX($AO$1004:$BQ$1004,1,MATCH(COLUMNS($AO$1006:BL1006),$AO$1006:$BQ$1006,0)))),"Fix")))</f>
        <v>#N/A</v>
      </c>
      <c r="Z769" s="5" t="e">
        <f ca="1">IF(OR(INDEX($AI$2:$AI$1001,MATCH(ROWS($AH$2:AH769),$AH$2:$AH$1001,0),1)&gt;=100000,INDEX($AO$1005:$BQ$1005,1,MATCH(COLUMNS($AO$1006:BM1006),$AO$1006:$BQ$1006,0))&gt;=100000), " ",IF(INDEX($AO$2:$BQ$1001,MATCH(ROWS($AH$2:AH769),$AH$2:$AH$1001,0),MATCH(COLUMNS($AO$1006:BM1006),$AO$1006:$BQ$1006,0)), HYPERLINK("#",""), HYPERLINK(CONCATENATE("#Metadata!", ADDRESS(INDEX($AJ$2:$AJ$1001,MATCH(ROWS($AH$2:AH769),$AH$2:$AH$1001,0),0), INDEX($AO$1004:$BQ$1004,1,MATCH(COLUMNS($AO$1006:BM1006),$AO$1006:$BQ$1006,0)))),"Fix")))</f>
        <v>#N/A</v>
      </c>
      <c r="AA769" s="5" t="e">
        <f ca="1">IF(OR(INDEX($AI$2:$AI$1001,MATCH(ROWS($AH$2:AH769),$AH$2:$AH$1001,0),1)&gt;=100000,INDEX($AO$1005:$BQ$1005,1,MATCH(COLUMNS($AO$1006:BN1006),$AO$1006:$BQ$1006,0))&gt;=100000), " ",IF(INDEX($AO$2:$BQ$1001,MATCH(ROWS($AH$2:AH769),$AH$2:$AH$1001,0),MATCH(COLUMNS($AO$1006:BN1006),$AO$1006:$BQ$1006,0)), HYPERLINK("#",""), HYPERLINK(CONCATENATE("#Metadata!", ADDRESS(INDEX($AJ$2:$AJ$1001,MATCH(ROWS($AH$2:AH769),$AH$2:$AH$1001,0),0), INDEX($AO$1004:$BQ$1004,1,MATCH(COLUMNS($AO$1006:BN1006),$AO$1006:$BQ$1006,0)))),"Fix")))</f>
        <v>#N/A</v>
      </c>
      <c r="AB769" s="5" t="e">
        <f ca="1">IF(OR(INDEX($AI$2:$AI$1001,MATCH(ROWS($AH$2:AH769),$AH$2:$AH$1001,0),1)&gt;=100000,INDEX($AO$1005:$BQ$1005,1,MATCH(COLUMNS($AO$1006:BO1006),$AO$1006:$BQ$1006,0))&gt;=100000), " ",IF(INDEX($AO$2:$BQ$1001,MATCH(ROWS($AH$2:AH769),$AH$2:$AH$1001,0),MATCH(COLUMNS($AO$1006:BO1006),$AO$1006:$BQ$1006,0)), HYPERLINK("#",""), HYPERLINK(CONCATENATE("#Metadata!", ADDRESS(INDEX($AJ$2:$AJ$1001,MATCH(ROWS($AH$2:AH769),$AH$2:$AH$1001,0),0), INDEX($AO$1004:$BQ$1004,1,MATCH(COLUMNS($AO$1006:BO1006),$AO$1006:$BQ$1006,0)))),"Fix")))</f>
        <v>#N/A</v>
      </c>
      <c r="AC769" s="5" t="e">
        <f ca="1">IF(OR(INDEX($AI$2:$AI$1001,MATCH(ROWS($AH$2:AH769),$AH$2:$AH$1001,0),1)&gt;=100000,INDEX($AO$1005:$BQ$1005,1,MATCH(COLUMNS($AO$1006:BP1006),$AO$1006:$BQ$1006,0))&gt;=100000), " ",IF(INDEX($AO$2:$BQ$1001,MATCH(ROWS($AH$2:AH769),$AH$2:$AH$1001,0),MATCH(COLUMNS($AO$1006:BP1006),$AO$1006:$BQ$1006,0)), HYPERLINK("#",""), HYPERLINK(CONCATENATE("#Metadata!", ADDRESS(INDEX($AJ$2:$AJ$1001,MATCH(ROWS($AH$2:AH769),$AH$2:$AH$1001,0),0), INDEX($AO$1004:$BQ$1004,1,MATCH(COLUMNS($AO$1006:BP1006),$AO$1006:$BQ$1006,0)))),"Fix")))</f>
        <v>#N/A</v>
      </c>
      <c r="AD769" s="5" t="e">
        <f ca="1">IF(OR(INDEX($AI$2:$AI$1001,MATCH(ROWS($AH$2:AH769),$AH$2:$AH$1001,0),1)&gt;=100000,INDEX($AO$1005:$BQ$1005,1,MATCH(COLUMNS($AO$1006:BQ1006),$AO$1006:$BQ$1006,0))&gt;=100000), " ",IF(INDEX($AO$2:$BQ$1001,MATCH(ROWS($AH$2:AH769),$AH$2:$AH$1001,0),MATCH(COLUMNS($AO$1006:BQ1006),$AO$1006:$BQ$1006,0)), HYPERLINK("#",""), HYPERLINK(CONCATENATE("#Metadata!", ADDRESS(INDEX($AJ$2:$AJ$1001,MATCH(ROWS($AH$2:AH769),$AH$2:$AH$1001,0),0), INDEX($AO$1004:$BQ$1004,1,MATCH(COLUMNS($AO$1006:BQ1006),$AO$1006:$BQ$1006,0)))),"Fix")))</f>
        <v>#REF!</v>
      </c>
      <c r="AH769">
        <f ca="1"/>
        <v>766</v>
      </c>
      <c r="AI769">
        <v>100769</v>
      </c>
      <c r="AJ769">
        <v>769</v>
      </c>
      <c r="AK769" t="b">
        <f t="shared" si="11"/>
        <v>1</v>
      </c>
      <c r="AL769" t="b">
        <f>COUNTBLANK(Metadata!B769:AD769)=COLUMNS(Metadata!B769:AD769)</f>
        <v>1</v>
      </c>
      <c r="AM769" t="str">
        <v/>
      </c>
      <c r="AO769" t="b">
        <f ca="1">AND(IF(Metadata!B769="",FALSE,TRUE),COUNTIF(Metadata!B:B, Metadata!B769) = 1,NOT(ISERROR(SUMPRODUCT(SEARCH(MID(Metadata!B769,ROW(INDIRECT("1:"&amp;LEN(Metadata!B769))), 1),"0123456789abcdefghijklmnopqrstuvwxyzABCDEFGHIJKLMNOPQRSTUVWXYZ.")))))</f>
        <v>0</v>
      </c>
      <c r="AP769" t="b">
        <f>IF(Metadata!C769="",FALSE,TRUE)</f>
        <v>0</v>
      </c>
      <c r="AQ769" t="b">
        <f>IF(Metadata!D769="",FALSE,TRUE)</f>
        <v>0</v>
      </c>
      <c r="AR769" t="b">
        <f ca="1">OR(AND(IF(Metadata!E769="",FALSE,TRUE),OR(EXACT(Metadata!E769,"not collected"),EXACT(Metadata!E769,"not provided"),EXACT(Metadata!E769,"restricted access"))),AND(IF(Metadata!E769="",FALSE,TRUE),AND(AND(IFERROR(INT(LEFT(Metadata!E769,4))&gt;1900,FALSE),IFERROR(INT(LEFT(Metadata!E769,4))&lt;=YEAR(NOW()),FALSE)), OR(MID(Metadata!E769,5,1)="", AND(AND(MID(Metadata!E769,5,1)="-",IFERROR(INT(MID(Metadata!E769,6,1))&gt;=0,FALSE),IFERROR(INT(MID(Metadata!E769,6,1))&lt;=1,FALSE),NOT(MID(Metadata!E769,7,1)=""),IFERROR(INT(MID(Metadata!E769,6,2))&gt;=1,FALSE),IFERROR(INT(MID(Metadata!E769,6,2))&lt;=12,FALSE)), OR(MID(Metadata!E769,8,1)="", AND(AND(MID(Metadata!E769,8,1)="-",IFERROR(INT(MID(Metadata!E769,9,1))&gt;=0,FALSE),IFERROR(INT(MID(Metadata!E769,9,1))&lt;=3,FALSE),NOT(MID(Metadata!E769,10,1)=""),IFERROR(INT(MID(Metadata!E769,9,2))&gt;=1,FALSE),IFERROR(INT(MID(Metadata!E769,9,2))&lt;=31,FALSE)), OR(MID(Metadata!E769,11,1)="", AND(AND(MID(Metadata!E769,11,1)=" ",IFERROR(INT(MID(Metadata!E769,12,1))&gt;=0,FALSE),IFERROR(INT(MID(Metadata!E769,12,1))&lt;=2,FALSE),NOT(MID(Metadata!E769,13,1)=""),IFERROR(INT(MID(Metadata!E769,12,2))&gt;=0,FALSE),IFERROR(INT(MID(Metadata!E769,12,2))&lt;=23,FALSE)), OR(MID(Metadata!E769,14,1)="", AND(AND(MID(Metadata!E769,14,1)=":",IFERROR(INT(MID(Metadata!E769,15,1))&gt;=0,FALSE),IFERROR(INT(MID(Metadata!E769,15,1))&lt;=5,FALSE),NOT(MID(Metadata!E769,16,1)=""),IFERROR(INT(MID(Metadata!E769,15,2))&gt;=0,FALSE),IFERROR(INT(MID(Metadata!E769,15,2))&lt;=59,FALSE)), OR(MID(Metadata!E769,17,1)="", AND(AND(MID(Metadata!E769,17,1)=":",IFERROR(INT(MID(Metadata!E769,18,1))&gt;=0,FALSE),IFERROR(INT(MID(Metadata!E769,18,1))&lt;=5,FALSE),NOT(MID(Metadata!E769,19,1)=""),IFERROR(INT(MID(Metadata!E769,18,2))&gt;=0,FALSE),IFERROR(INT(MID(Metadata!E769,18,2))&lt;=59,FALSE)), LEN(Metadata!E769)&lt;=19)))))))))))))</f>
        <v>0</v>
      </c>
      <c r="AS769" t="b">
        <f>IF(Metadata!F769="",FALSE,TRUE)</f>
        <v>0</v>
      </c>
      <c r="AT769" t="b">
        <f>OR(AND(IF(Metadata!G769="",FALSE,TRUE),OR(EXACT(Metadata!G769,"not collected"),EXACT(Metadata!G769,"not provided"))),AND(IF(Metadata!G769="",FALSE,TRUE),OR(EXACT(Metadata!G769,"TRUE"),EXACT(Metadata!G769,"FALSE"))))</f>
        <v>0</v>
      </c>
      <c r="AU769" t="b">
        <f>OR(AND(IF(Metadata!H769="",FALSE,TRUE),OR(EXACT(Metadata!H769,"not collected"),EXACT(Metadata!H769,"not provided"),EXACT(Metadata!H769,"restricted access"))),AND(IF(Metadata!H769="",FALSE,ISNUMBER(VALUE(Metadata!H769))),Metadata!H769&gt;=-413))</f>
        <v>0</v>
      </c>
      <c r="AV769" t="b">
        <f>AND(IF(Metadata!I769="",FALSE,TRUE),EXACT(Metadata!I769,"meters"))</f>
        <v>0</v>
      </c>
      <c r="AW769" t="b">
        <f>AND(IF(Metadata!J769="",FALSE,TRUE),EXACT(Metadata!J769,"free-living"))</f>
        <v>0</v>
      </c>
      <c r="AX769" t="b">
        <f>AND(IF(Metadata!K769="",FALSE,TRUE),OR(EXACT(Metadata!K769,"saline"),EXACT(Metadata!K769,"non-saline")))</f>
        <v>0</v>
      </c>
      <c r="AY769" t="b">
        <f>AND(IF(Metadata!L769="",FALSE,TRUE),OR(EXACT(Metadata!L769,"sub-surface (non-saline)"),EXACT(Metadata!L769,"surface (non-saline)"),EXACT(Metadata!L769,"water (non-saline)"),EXACT(Metadata!L769,"soil (non-saline)"),EXACT(Metadata!L769,"aerosol (non-saline)"),EXACT(Metadata!L769,"sediment (non-saline)"),EXACT(Metadata!L769,"surface (saline)"),EXACT(Metadata!L769,"water (saline)"),EXACT(Metadata!L769,"hypersaline (saline)"),EXACT(Metadata!L769,"aerosol (saline)"),EXACT(Metadata!L769,"sediment (saline)")))</f>
        <v>0</v>
      </c>
      <c r="AZ769" t="b">
        <f>IF(Metadata!M769="",FALSE,TRUE)</f>
        <v>0</v>
      </c>
      <c r="BA769" t="b">
        <f>IF(Metadata!N769="",FALSE,TRUE)</f>
        <v>0</v>
      </c>
      <c r="BB769" t="b">
        <f>IF(Metadata!O769="",FALSE,TRUE)</f>
        <v>0</v>
      </c>
      <c r="BC769" t="b">
        <f>AND(IF(Metadata!P769="",FALSE,TRUE),OR(EXACT(Metadata!P769,"air"),EXACT(Metadata!P769,"microbial mat/biofilm"),EXACT(Metadata!P769,"misc environment"),EXACT(Metadata!P769,"sediment"),EXACT(Metadata!P769,"soil"),EXACT(Metadata!P769,"wastewater/sludge"),EXACT(Metadata!P769,"water")))</f>
        <v>0</v>
      </c>
      <c r="BD769" t="b">
        <f>IF(Metadata!Q769="",FALSE,TRUE)</f>
        <v>0</v>
      </c>
      <c r="BE769" t="b">
        <f>IF(Metadata!R769="",FALSE,TRUE)</f>
        <v>0</v>
      </c>
      <c r="BF769" t="b">
        <f>OR(AND(IF(Metadata!S769="",FALSE,TRUE),OR(EXACT(Metadata!S769,"not collected"),EXACT(Metadata!S769,"not provided"),EXACT(Metadata!S769,"restricted access"))),AND(IF(Metadata!S769="",FALSE,ISNUMBER(VALUE(Metadata!S769))),Metadata!S769&gt;=-90,Metadata!S769&lt;=90))</f>
        <v>0</v>
      </c>
      <c r="BG769" t="b">
        <f>AND(IF(Metadata!T769="",FALSE,TRUE),EXACT(Metadata!T769,"Decimal degrees"))</f>
        <v>0</v>
      </c>
      <c r="BH769" t="b">
        <f>OR(AND(IF(Metadata!U769="",FALSE,TRUE),OR(EXACT(Metadata!U769,"not applicable"),EXACT(Metadata!U769,"not collected"))),IF(Metadata!U769="",FALSE,TRUE))</f>
        <v>0</v>
      </c>
      <c r="BI769" t="b">
        <f>OR(AND(IF(Metadata!V769="",FALSE,TRUE),OR(EXACT(Metadata!V769,"not collected"),EXACT(Metadata!V769,"not provided"),EXACT(Metadata!V769,"restricted access"))),AND(IF(Metadata!V769="",FALSE,ISNUMBER(VALUE(Metadata!V769))),Metadata!V769&gt;=-180,Metadata!V769&lt;=180))</f>
        <v>0</v>
      </c>
      <c r="BJ769" t="b">
        <f>AND(IF(Metadata!W769="",FALSE,TRUE),EXACT(Metadata!W769,"Decimal degrees"))</f>
        <v>0</v>
      </c>
      <c r="BK769" t="b">
        <f>IF(Metadata!X769="",FALSE,TRUE)</f>
        <v>0</v>
      </c>
      <c r="BL769" t="b">
        <f>OR(AND(IF(Metadata!Y769="",FALSE,TRUE),OR(EXACT(Metadata!Y769,"not collected"),EXACT(Metadata!Y769,"not provided"),EXACT(Metadata!Y769,"restricted access"))),AND(IF(Metadata!Y769="",FALSE,TRUE),OR(EXACT(Metadata!Y769,"TRUE"),EXACT(Metadata!Y769,"FALSE"))))</f>
        <v>0</v>
      </c>
      <c r="BM769" t="b">
        <f>OR(AND(IF(Metadata!Z769="",FALSE,TRUE),EXACT(Metadata!Z769,"not applicable")),AND(IF(Metadata!Z769="",FALSE,TRUE),OR(EXACT(Metadata!Z769,"beer"),EXACT(Metadata!Z769,"cheese"),EXACT(Metadata!Z769,"fresh water"),EXACT(Metadata!Z769,"marine sediment"),EXACT(Metadata!Z769,"sea water"),EXACT(Metadata!Z769,"sediment"),EXACT(Metadata!Z769,"soil"),EXACT(Metadata!Z769,"waste water"))))</f>
        <v>0</v>
      </c>
      <c r="BN769" t="b">
        <f>AND(IF(Metadata!AA769="",FALSE,TRUE),EXACT(Metadata!AA769,"metagenome"))</f>
        <v>0</v>
      </c>
      <c r="BO769" t="b">
        <f>AND(IF(Metadata!AB769="",FALSE,TRUE),EXACT(Metadata!AB769,"256318"))</f>
        <v>0</v>
      </c>
      <c r="BP769" t="b">
        <f>IF(Metadata!AC769="",FALSE,TRUE)</f>
        <v>0</v>
      </c>
      <c r="BQ769" t="b">
        <f>IF(Metadata!AD769="",FALSE,TRUE)</f>
        <v>0</v>
      </c>
    </row>
    <row r="770" spans="1:69" x14ac:dyDescent="0.2">
      <c r="A770" s="4" t="e">
        <f ca="1">IF(B770=" "," ",HYPERLINK(CONCATENATE("#metadata!",ADDRESS(INDEX($AJ$2:$AJ$1001,MATCH(ROWS($AH$2:AH770),$AH$2:$AH$1001,0),0),2)),INDEX($AM$2:$AM$1001,MATCH(ROWS($AH$2:AH770),$AH$2:$AH$1001,0),0)))</f>
        <v>#N/A</v>
      </c>
      <c r="B770" s="5" t="e">
        <f ca="1">IF(OR(INDEX($AI$2:$AI$1001,MATCH(ROWS($AH$2:AH770),$AH$2:$AH$1001,0),1)&gt;=100000,INDEX($AO$1005:$BQ$1005,1,MATCH(COLUMNS($AO$1006:AO1006),$AO$1006:$BQ$1006,0))&gt;=100000), " ",IF(INDEX($AO$2:$BQ$1001,MATCH(ROWS($AH$2:AH770),$AH$2:$AH$1001,0),MATCH(COLUMNS($AO$1006:AO1006),$AO$1006:$BQ$1006,0)), HYPERLINK("#",""), HYPERLINK(CONCATENATE("#Metadata!", ADDRESS(INDEX($AJ$2:$AJ$1001,MATCH(ROWS($AH$2:AH770),$AH$2:$AH$1001,0),0), INDEX($AO$1004:$BQ$1004,1,MATCH(COLUMNS($AO$1006:AO1006),$AO$1006:$BQ$1006,0)))),"Fix")))</f>
        <v>#N/A</v>
      </c>
      <c r="C770" s="5" t="e">
        <f ca="1">IF(OR(INDEX($AI$2:$AI$1001,MATCH(ROWS($AH$2:AH770),$AH$2:$AH$1001,0),1)&gt;=100000,INDEX($AO$1005:$BQ$1005,1,MATCH(COLUMNS($AO$1006:AP1006),$AO$1006:$BQ$1006,0))&gt;=100000), " ",IF(INDEX($AO$2:$BQ$1001,MATCH(ROWS($AH$2:AH770),$AH$2:$AH$1001,0),MATCH(COLUMNS($AO$1006:AP1006),$AO$1006:$BQ$1006,0)), HYPERLINK("#",""), HYPERLINK(CONCATENATE("#Metadata!", ADDRESS(INDEX($AJ$2:$AJ$1001,MATCH(ROWS($AH$2:AH770),$AH$2:$AH$1001,0),0), INDEX($AO$1004:$BQ$1004,1,MATCH(COLUMNS($AO$1006:AP1006),$AO$1006:$BQ$1006,0)))),"Fix")))</f>
        <v>#N/A</v>
      </c>
      <c r="D770" s="5" t="e">
        <f ca="1">IF(OR(INDEX($AI$2:$AI$1001,MATCH(ROWS($AH$2:AH770),$AH$2:$AH$1001,0),1)&gt;=100000,INDEX($AO$1005:$BQ$1005,1,MATCH(COLUMNS($AO$1006:AQ1006),$AO$1006:$BQ$1006,0))&gt;=100000), " ",IF(INDEX($AO$2:$BQ$1001,MATCH(ROWS($AH$2:AH770),$AH$2:$AH$1001,0),MATCH(COLUMNS($AO$1006:AQ1006),$AO$1006:$BQ$1006,0)), HYPERLINK("#",""), HYPERLINK(CONCATENATE("#Metadata!", ADDRESS(INDEX($AJ$2:$AJ$1001,MATCH(ROWS($AH$2:AH770),$AH$2:$AH$1001,0),0), INDEX($AO$1004:$BQ$1004,1,MATCH(COLUMNS($AO$1006:AQ1006),$AO$1006:$BQ$1006,0)))),"Fix")))</f>
        <v>#N/A</v>
      </c>
      <c r="E770" s="5" t="e">
        <f ca="1">IF(OR(INDEX($AI$2:$AI$1001,MATCH(ROWS($AH$2:AH770),$AH$2:$AH$1001,0),1)&gt;=100000,INDEX($AO$1005:$BQ$1005,1,MATCH(COLUMNS($AO$1006:AR1006),$AO$1006:$BQ$1006,0))&gt;=100000), " ",IF(INDEX($AO$2:$BQ$1001,MATCH(ROWS($AH$2:AH770),$AH$2:$AH$1001,0),MATCH(COLUMNS($AO$1006:AR1006),$AO$1006:$BQ$1006,0)), HYPERLINK("#",""), HYPERLINK(CONCATENATE("#Metadata!", ADDRESS(INDEX($AJ$2:$AJ$1001,MATCH(ROWS($AH$2:AH770),$AH$2:$AH$1001,0),0), INDEX($AO$1004:$BQ$1004,1,MATCH(COLUMNS($AO$1006:AR1006),$AO$1006:$BQ$1006,0)))),"Fix")))</f>
        <v>#N/A</v>
      </c>
      <c r="F770" s="5" t="e">
        <f ca="1">IF(OR(INDEX($AI$2:$AI$1001,MATCH(ROWS($AH$2:AH770),$AH$2:$AH$1001,0),1)&gt;=100000,INDEX($AO$1005:$BQ$1005,1,MATCH(COLUMNS($AO$1006:AS1006),$AO$1006:$BQ$1006,0))&gt;=100000), " ",IF(INDEX($AO$2:$BQ$1001,MATCH(ROWS($AH$2:AH770),$AH$2:$AH$1001,0),MATCH(COLUMNS($AO$1006:AS1006),$AO$1006:$BQ$1006,0)), HYPERLINK("#",""), HYPERLINK(CONCATENATE("#Metadata!", ADDRESS(INDEX($AJ$2:$AJ$1001,MATCH(ROWS($AH$2:AH770),$AH$2:$AH$1001,0),0), INDEX($AO$1004:$BQ$1004,1,MATCH(COLUMNS($AO$1006:AS1006),$AO$1006:$BQ$1006,0)))),"Fix")))</f>
        <v>#N/A</v>
      </c>
      <c r="G770" s="5" t="e">
        <f ca="1">IF(OR(INDEX($AI$2:$AI$1001,MATCH(ROWS($AH$2:AH770),$AH$2:$AH$1001,0),1)&gt;=100000,INDEX($AO$1005:$BQ$1005,1,MATCH(COLUMNS($AO$1006:AT1006),$AO$1006:$BQ$1006,0))&gt;=100000), " ",IF(INDEX($AO$2:$BQ$1001,MATCH(ROWS($AH$2:AH770),$AH$2:$AH$1001,0),MATCH(COLUMNS($AO$1006:AT1006),$AO$1006:$BQ$1006,0)), HYPERLINK("#",""), HYPERLINK(CONCATENATE("#Metadata!", ADDRESS(INDEX($AJ$2:$AJ$1001,MATCH(ROWS($AH$2:AH770),$AH$2:$AH$1001,0),0), INDEX($AO$1004:$BQ$1004,1,MATCH(COLUMNS($AO$1006:AT1006),$AO$1006:$BQ$1006,0)))),"Fix")))</f>
        <v>#N/A</v>
      </c>
      <c r="H770" s="5" t="e">
        <f ca="1">IF(OR(INDEX($AI$2:$AI$1001,MATCH(ROWS($AH$2:AH770),$AH$2:$AH$1001,0),1)&gt;=100000,INDEX($AO$1005:$BQ$1005,1,MATCH(COLUMNS($AO$1006:AU1006),$AO$1006:$BQ$1006,0))&gt;=100000), " ",IF(INDEX($AO$2:$BQ$1001,MATCH(ROWS($AH$2:AH770),$AH$2:$AH$1001,0),MATCH(COLUMNS($AO$1006:AU1006),$AO$1006:$BQ$1006,0)), HYPERLINK("#",""), HYPERLINK(CONCATENATE("#Metadata!", ADDRESS(INDEX($AJ$2:$AJ$1001,MATCH(ROWS($AH$2:AH770),$AH$2:$AH$1001,0),0), INDEX($AO$1004:$BQ$1004,1,MATCH(COLUMNS($AO$1006:AU1006),$AO$1006:$BQ$1006,0)))),"Fix")))</f>
        <v>#N/A</v>
      </c>
      <c r="I770" s="5" t="e">
        <f ca="1">IF(OR(INDEX($AI$2:$AI$1001,MATCH(ROWS($AH$2:AH770),$AH$2:$AH$1001,0),1)&gt;=100000,INDEX($AO$1005:$BQ$1005,1,MATCH(COLUMNS($AO$1006:AV1006),$AO$1006:$BQ$1006,0))&gt;=100000), " ",IF(INDEX($AO$2:$BQ$1001,MATCH(ROWS($AH$2:AH770),$AH$2:$AH$1001,0),MATCH(COLUMNS($AO$1006:AV1006),$AO$1006:$BQ$1006,0)), HYPERLINK("#",""), HYPERLINK(CONCATENATE("#Metadata!", ADDRESS(INDEX($AJ$2:$AJ$1001,MATCH(ROWS($AH$2:AH770),$AH$2:$AH$1001,0),0), INDEX($AO$1004:$BQ$1004,1,MATCH(COLUMNS($AO$1006:AV1006),$AO$1006:$BQ$1006,0)))),"Fix")))</f>
        <v>#N/A</v>
      </c>
      <c r="J770" s="5" t="e">
        <f ca="1">IF(OR(INDEX($AI$2:$AI$1001,MATCH(ROWS($AH$2:AH770),$AH$2:$AH$1001,0),1)&gt;=100000,INDEX($AO$1005:$BQ$1005,1,MATCH(COLUMNS($AO$1006:AW1006),$AO$1006:$BQ$1006,0))&gt;=100000), " ",IF(INDEX($AO$2:$BQ$1001,MATCH(ROWS($AH$2:AH770),$AH$2:$AH$1001,0),MATCH(COLUMNS($AO$1006:AW1006),$AO$1006:$BQ$1006,0)), HYPERLINK("#",""), HYPERLINK(CONCATENATE("#Metadata!", ADDRESS(INDEX($AJ$2:$AJ$1001,MATCH(ROWS($AH$2:AH770),$AH$2:$AH$1001,0),0), INDEX($AO$1004:$BQ$1004,1,MATCH(COLUMNS($AO$1006:AW1006),$AO$1006:$BQ$1006,0)))),"Fix")))</f>
        <v>#N/A</v>
      </c>
      <c r="K770" s="5" t="e">
        <f ca="1">IF(OR(INDEX($AI$2:$AI$1001,MATCH(ROWS($AH$2:AH770),$AH$2:$AH$1001,0),1)&gt;=100000,INDEX($AO$1005:$BQ$1005,1,MATCH(COLUMNS($AO$1006:AX1006),$AO$1006:$BQ$1006,0))&gt;=100000), " ",IF(INDEX($AO$2:$BQ$1001,MATCH(ROWS($AH$2:AH770),$AH$2:$AH$1001,0),MATCH(COLUMNS($AO$1006:AX1006),$AO$1006:$BQ$1006,0)), HYPERLINK("#",""), HYPERLINK(CONCATENATE("#Metadata!", ADDRESS(INDEX($AJ$2:$AJ$1001,MATCH(ROWS($AH$2:AH770),$AH$2:$AH$1001,0),0), INDEX($AO$1004:$BQ$1004,1,MATCH(COLUMNS($AO$1006:AX1006),$AO$1006:$BQ$1006,0)))),"Fix")))</f>
        <v>#N/A</v>
      </c>
      <c r="L770" s="5" t="e">
        <f ca="1">IF(OR(INDEX($AI$2:$AI$1001,MATCH(ROWS($AH$2:AH770),$AH$2:$AH$1001,0),1)&gt;=100000,INDEX($AO$1005:$BQ$1005,1,MATCH(COLUMNS($AO$1006:AY1006),$AO$1006:$BQ$1006,0))&gt;=100000), " ",IF(INDEX($AO$2:$BQ$1001,MATCH(ROWS($AH$2:AH770),$AH$2:$AH$1001,0),MATCH(COLUMNS($AO$1006:AY1006),$AO$1006:$BQ$1006,0)), HYPERLINK("#",""), HYPERLINK(CONCATENATE("#Metadata!", ADDRESS(INDEX($AJ$2:$AJ$1001,MATCH(ROWS($AH$2:AH770),$AH$2:$AH$1001,0),0), INDEX($AO$1004:$BQ$1004,1,MATCH(COLUMNS($AO$1006:AY1006),$AO$1006:$BQ$1006,0)))),"Fix")))</f>
        <v>#N/A</v>
      </c>
      <c r="M770" s="5" t="e">
        <f ca="1">IF(OR(INDEX($AI$2:$AI$1001,MATCH(ROWS($AH$2:AH770),$AH$2:$AH$1001,0),1)&gt;=100000,INDEX($AO$1005:$BQ$1005,1,MATCH(COLUMNS($AO$1006:AZ1006),$AO$1006:$BQ$1006,0))&gt;=100000), " ",IF(INDEX($AO$2:$BQ$1001,MATCH(ROWS($AH$2:AH770),$AH$2:$AH$1001,0),MATCH(COLUMNS($AO$1006:AZ1006),$AO$1006:$BQ$1006,0)), HYPERLINK("#",""), HYPERLINK(CONCATENATE("#Metadata!", ADDRESS(INDEX($AJ$2:$AJ$1001,MATCH(ROWS($AH$2:AH770),$AH$2:$AH$1001,0),0), INDEX($AO$1004:$BQ$1004,1,MATCH(COLUMNS($AO$1006:AZ1006),$AO$1006:$BQ$1006,0)))),"Fix")))</f>
        <v>#N/A</v>
      </c>
      <c r="N770" s="5" t="e">
        <f ca="1">IF(OR(INDEX($AI$2:$AI$1001,MATCH(ROWS($AH$2:AH770),$AH$2:$AH$1001,0),1)&gt;=100000,INDEX($AO$1005:$BQ$1005,1,MATCH(COLUMNS($AO$1006:BA1006),$AO$1006:$BQ$1006,0))&gt;=100000), " ",IF(INDEX($AO$2:$BQ$1001,MATCH(ROWS($AH$2:AH770),$AH$2:$AH$1001,0),MATCH(COLUMNS($AO$1006:BA1006),$AO$1006:$BQ$1006,0)), HYPERLINK("#",""), HYPERLINK(CONCATENATE("#Metadata!", ADDRESS(INDEX($AJ$2:$AJ$1001,MATCH(ROWS($AH$2:AH770),$AH$2:$AH$1001,0),0), INDEX($AO$1004:$BQ$1004,1,MATCH(COLUMNS($AO$1006:BA1006),$AO$1006:$BQ$1006,0)))),"Fix")))</f>
        <v>#N/A</v>
      </c>
      <c r="O770" s="5" t="e">
        <f ca="1">IF(OR(INDEX($AI$2:$AI$1001,MATCH(ROWS($AH$2:AH770),$AH$2:$AH$1001,0),1)&gt;=100000,INDEX($AO$1005:$BQ$1005,1,MATCH(COLUMNS($AO$1006:BB1006),$AO$1006:$BQ$1006,0))&gt;=100000), " ",IF(INDEX($AO$2:$BQ$1001,MATCH(ROWS($AH$2:AH770),$AH$2:$AH$1001,0),MATCH(COLUMNS($AO$1006:BB1006),$AO$1006:$BQ$1006,0)), HYPERLINK("#",""), HYPERLINK(CONCATENATE("#Metadata!", ADDRESS(INDEX($AJ$2:$AJ$1001,MATCH(ROWS($AH$2:AH770),$AH$2:$AH$1001,0),0), INDEX($AO$1004:$BQ$1004,1,MATCH(COLUMNS($AO$1006:BB1006),$AO$1006:$BQ$1006,0)))),"Fix")))</f>
        <v>#N/A</v>
      </c>
      <c r="P770" s="5" t="e">
        <f ca="1">IF(OR(INDEX($AI$2:$AI$1001,MATCH(ROWS($AH$2:AH770),$AH$2:$AH$1001,0),1)&gt;=100000,INDEX($AO$1005:$BQ$1005,1,MATCH(COLUMNS($AO$1006:BC1006),$AO$1006:$BQ$1006,0))&gt;=100000), " ",IF(INDEX($AO$2:$BQ$1001,MATCH(ROWS($AH$2:AH770),$AH$2:$AH$1001,0),MATCH(COLUMNS($AO$1006:BC1006),$AO$1006:$BQ$1006,0)), HYPERLINK("#",""), HYPERLINK(CONCATENATE("#Metadata!", ADDRESS(INDEX($AJ$2:$AJ$1001,MATCH(ROWS($AH$2:AH770),$AH$2:$AH$1001,0),0), INDEX($AO$1004:$BQ$1004,1,MATCH(COLUMNS($AO$1006:BC1006),$AO$1006:$BQ$1006,0)))),"Fix")))</f>
        <v>#N/A</v>
      </c>
      <c r="Q770" s="5" t="e">
        <f ca="1">IF(OR(INDEX($AI$2:$AI$1001,MATCH(ROWS($AH$2:AH770),$AH$2:$AH$1001,0),1)&gt;=100000,INDEX($AO$1005:$BQ$1005,1,MATCH(COLUMNS($AO$1006:BD1006),$AO$1006:$BQ$1006,0))&gt;=100000), " ",IF(INDEX($AO$2:$BQ$1001,MATCH(ROWS($AH$2:AH770),$AH$2:$AH$1001,0),MATCH(COLUMNS($AO$1006:BD1006),$AO$1006:$BQ$1006,0)), HYPERLINK("#",""), HYPERLINK(CONCATENATE("#Metadata!", ADDRESS(INDEX($AJ$2:$AJ$1001,MATCH(ROWS($AH$2:AH770),$AH$2:$AH$1001,0),0), INDEX($AO$1004:$BQ$1004,1,MATCH(COLUMNS($AO$1006:BD1006),$AO$1006:$BQ$1006,0)))),"Fix")))</f>
        <v>#N/A</v>
      </c>
      <c r="R770" s="5" t="e">
        <f ca="1">IF(OR(INDEX($AI$2:$AI$1001,MATCH(ROWS($AH$2:AH770),$AH$2:$AH$1001,0),1)&gt;=100000,INDEX($AO$1005:$BQ$1005,1,MATCH(COLUMNS($AO$1006:BE1006),$AO$1006:$BQ$1006,0))&gt;=100000), " ",IF(INDEX($AO$2:$BQ$1001,MATCH(ROWS($AH$2:AH770),$AH$2:$AH$1001,0),MATCH(COLUMNS($AO$1006:BE1006),$AO$1006:$BQ$1006,0)), HYPERLINK("#",""), HYPERLINK(CONCATENATE("#Metadata!", ADDRESS(INDEX($AJ$2:$AJ$1001,MATCH(ROWS($AH$2:AH770),$AH$2:$AH$1001,0),0), INDEX($AO$1004:$BQ$1004,1,MATCH(COLUMNS($AO$1006:BE1006),$AO$1006:$BQ$1006,0)))),"Fix")))</f>
        <v>#N/A</v>
      </c>
      <c r="S770" s="5" t="e">
        <f ca="1">IF(OR(INDEX($AI$2:$AI$1001,MATCH(ROWS($AH$2:AH770),$AH$2:$AH$1001,0),1)&gt;=100000,INDEX($AO$1005:$BQ$1005,1,MATCH(COLUMNS($AO$1006:BF1006),$AO$1006:$BQ$1006,0))&gt;=100000), " ",IF(INDEX($AO$2:$BQ$1001,MATCH(ROWS($AH$2:AH770),$AH$2:$AH$1001,0),MATCH(COLUMNS($AO$1006:BF1006),$AO$1006:$BQ$1006,0)), HYPERLINK("#",""), HYPERLINK(CONCATENATE("#Metadata!", ADDRESS(INDEX($AJ$2:$AJ$1001,MATCH(ROWS($AH$2:AH770),$AH$2:$AH$1001,0),0), INDEX($AO$1004:$BQ$1004,1,MATCH(COLUMNS($AO$1006:BF1006),$AO$1006:$BQ$1006,0)))),"Fix")))</f>
        <v>#N/A</v>
      </c>
      <c r="T770" s="5" t="e">
        <f ca="1">IF(OR(INDEX($AI$2:$AI$1001,MATCH(ROWS($AH$2:AH770),$AH$2:$AH$1001,0),1)&gt;=100000,INDEX($AO$1005:$BQ$1005,1,MATCH(COLUMNS($AO$1006:BG1006),$AO$1006:$BQ$1006,0))&gt;=100000), " ",IF(INDEX($AO$2:$BQ$1001,MATCH(ROWS($AH$2:AH770),$AH$2:$AH$1001,0),MATCH(COLUMNS($AO$1006:BG1006),$AO$1006:$BQ$1006,0)), HYPERLINK("#",""), HYPERLINK(CONCATENATE("#Metadata!", ADDRESS(INDEX($AJ$2:$AJ$1001,MATCH(ROWS($AH$2:AH770),$AH$2:$AH$1001,0),0), INDEX($AO$1004:$BQ$1004,1,MATCH(COLUMNS($AO$1006:BG1006),$AO$1006:$BQ$1006,0)))),"Fix")))</f>
        <v>#N/A</v>
      </c>
      <c r="U770" s="5" t="e">
        <f ca="1">IF(OR(INDEX($AI$2:$AI$1001,MATCH(ROWS($AH$2:AH770),$AH$2:$AH$1001,0),1)&gt;=100000,INDEX($AO$1005:$BQ$1005,1,MATCH(COLUMNS($AO$1006:BH1006),$AO$1006:$BQ$1006,0))&gt;=100000), " ",IF(INDEX($AO$2:$BQ$1001,MATCH(ROWS($AH$2:AH770),$AH$2:$AH$1001,0),MATCH(COLUMNS($AO$1006:BH1006),$AO$1006:$BQ$1006,0)), HYPERLINK("#",""), HYPERLINK(CONCATENATE("#Metadata!", ADDRESS(INDEX($AJ$2:$AJ$1001,MATCH(ROWS($AH$2:AH770),$AH$2:$AH$1001,0),0), INDEX($AO$1004:$BQ$1004,1,MATCH(COLUMNS($AO$1006:BH1006),$AO$1006:$BQ$1006,0)))),"Fix")))</f>
        <v>#N/A</v>
      </c>
      <c r="V770" s="5" t="e">
        <f ca="1">IF(OR(INDEX($AI$2:$AI$1001,MATCH(ROWS($AH$2:AH770),$AH$2:$AH$1001,0),1)&gt;=100000,INDEX($AO$1005:$BQ$1005,1,MATCH(COLUMNS($AO$1006:BI1006),$AO$1006:$BQ$1006,0))&gt;=100000), " ",IF(INDEX($AO$2:$BQ$1001,MATCH(ROWS($AH$2:AH770),$AH$2:$AH$1001,0),MATCH(COLUMNS($AO$1006:BI1006),$AO$1006:$BQ$1006,0)), HYPERLINK("#",""), HYPERLINK(CONCATENATE("#Metadata!", ADDRESS(INDEX($AJ$2:$AJ$1001,MATCH(ROWS($AH$2:AH770),$AH$2:$AH$1001,0),0), INDEX($AO$1004:$BQ$1004,1,MATCH(COLUMNS($AO$1006:BI1006),$AO$1006:$BQ$1006,0)))),"Fix")))</f>
        <v>#N/A</v>
      </c>
      <c r="W770" s="5" t="e">
        <f ca="1">IF(OR(INDEX($AI$2:$AI$1001,MATCH(ROWS($AH$2:AH770),$AH$2:$AH$1001,0),1)&gt;=100000,INDEX($AO$1005:$BQ$1005,1,MATCH(COLUMNS($AO$1006:BJ1006),$AO$1006:$BQ$1006,0))&gt;=100000), " ",IF(INDEX($AO$2:$BQ$1001,MATCH(ROWS($AH$2:AH770),$AH$2:$AH$1001,0),MATCH(COLUMNS($AO$1006:BJ1006),$AO$1006:$BQ$1006,0)), HYPERLINK("#",""), HYPERLINK(CONCATENATE("#Metadata!", ADDRESS(INDEX($AJ$2:$AJ$1001,MATCH(ROWS($AH$2:AH770),$AH$2:$AH$1001,0),0), INDEX($AO$1004:$BQ$1004,1,MATCH(COLUMNS($AO$1006:BJ1006),$AO$1006:$BQ$1006,0)))),"Fix")))</f>
        <v>#N/A</v>
      </c>
      <c r="X770" s="5" t="e">
        <f ca="1">IF(OR(INDEX($AI$2:$AI$1001,MATCH(ROWS($AH$2:AH770),$AH$2:$AH$1001,0),1)&gt;=100000,INDEX($AO$1005:$BQ$1005,1,MATCH(COLUMNS($AO$1006:BK1006),$AO$1006:$BQ$1006,0))&gt;=100000), " ",IF(INDEX($AO$2:$BQ$1001,MATCH(ROWS($AH$2:AH770),$AH$2:$AH$1001,0),MATCH(COLUMNS($AO$1006:BK1006),$AO$1006:$BQ$1006,0)), HYPERLINK("#",""), HYPERLINK(CONCATENATE("#Metadata!", ADDRESS(INDEX($AJ$2:$AJ$1001,MATCH(ROWS($AH$2:AH770),$AH$2:$AH$1001,0),0), INDEX($AO$1004:$BQ$1004,1,MATCH(COLUMNS($AO$1006:BK1006),$AO$1006:$BQ$1006,0)))),"Fix")))</f>
        <v>#N/A</v>
      </c>
      <c r="Y770" s="5" t="e">
        <f ca="1">IF(OR(INDEX($AI$2:$AI$1001,MATCH(ROWS($AH$2:AH770),$AH$2:$AH$1001,0),1)&gt;=100000,INDEX($AO$1005:$BQ$1005,1,MATCH(COLUMNS($AO$1006:BL1006),$AO$1006:$BQ$1006,0))&gt;=100000), " ",IF(INDEX($AO$2:$BQ$1001,MATCH(ROWS($AH$2:AH770),$AH$2:$AH$1001,0),MATCH(COLUMNS($AO$1006:BL1006),$AO$1006:$BQ$1006,0)), HYPERLINK("#",""), HYPERLINK(CONCATENATE("#Metadata!", ADDRESS(INDEX($AJ$2:$AJ$1001,MATCH(ROWS($AH$2:AH770),$AH$2:$AH$1001,0),0), INDEX($AO$1004:$BQ$1004,1,MATCH(COLUMNS($AO$1006:BL1006),$AO$1006:$BQ$1006,0)))),"Fix")))</f>
        <v>#N/A</v>
      </c>
      <c r="Z770" s="5" t="e">
        <f ca="1">IF(OR(INDEX($AI$2:$AI$1001,MATCH(ROWS($AH$2:AH770),$AH$2:$AH$1001,0),1)&gt;=100000,INDEX($AO$1005:$BQ$1005,1,MATCH(COLUMNS($AO$1006:BM1006),$AO$1006:$BQ$1006,0))&gt;=100000), " ",IF(INDEX($AO$2:$BQ$1001,MATCH(ROWS($AH$2:AH770),$AH$2:$AH$1001,0),MATCH(COLUMNS($AO$1006:BM1006),$AO$1006:$BQ$1006,0)), HYPERLINK("#",""), HYPERLINK(CONCATENATE("#Metadata!", ADDRESS(INDEX($AJ$2:$AJ$1001,MATCH(ROWS($AH$2:AH770),$AH$2:$AH$1001,0),0), INDEX($AO$1004:$BQ$1004,1,MATCH(COLUMNS($AO$1006:BM1006),$AO$1006:$BQ$1006,0)))),"Fix")))</f>
        <v>#N/A</v>
      </c>
      <c r="AA770" s="5" t="e">
        <f ca="1">IF(OR(INDEX($AI$2:$AI$1001,MATCH(ROWS($AH$2:AH770),$AH$2:$AH$1001,0),1)&gt;=100000,INDEX($AO$1005:$BQ$1005,1,MATCH(COLUMNS($AO$1006:BN1006),$AO$1006:$BQ$1006,0))&gt;=100000), " ",IF(INDEX($AO$2:$BQ$1001,MATCH(ROWS($AH$2:AH770),$AH$2:$AH$1001,0),MATCH(COLUMNS($AO$1006:BN1006),$AO$1006:$BQ$1006,0)), HYPERLINK("#",""), HYPERLINK(CONCATENATE("#Metadata!", ADDRESS(INDEX($AJ$2:$AJ$1001,MATCH(ROWS($AH$2:AH770),$AH$2:$AH$1001,0),0), INDEX($AO$1004:$BQ$1004,1,MATCH(COLUMNS($AO$1006:BN1006),$AO$1006:$BQ$1006,0)))),"Fix")))</f>
        <v>#N/A</v>
      </c>
      <c r="AB770" s="5" t="e">
        <f ca="1">IF(OR(INDEX($AI$2:$AI$1001,MATCH(ROWS($AH$2:AH770),$AH$2:$AH$1001,0),1)&gt;=100000,INDEX($AO$1005:$BQ$1005,1,MATCH(COLUMNS($AO$1006:BO1006),$AO$1006:$BQ$1006,0))&gt;=100000), " ",IF(INDEX($AO$2:$BQ$1001,MATCH(ROWS($AH$2:AH770),$AH$2:$AH$1001,0),MATCH(COLUMNS($AO$1006:BO1006),$AO$1006:$BQ$1006,0)), HYPERLINK("#",""), HYPERLINK(CONCATENATE("#Metadata!", ADDRESS(INDEX($AJ$2:$AJ$1001,MATCH(ROWS($AH$2:AH770),$AH$2:$AH$1001,0),0), INDEX($AO$1004:$BQ$1004,1,MATCH(COLUMNS($AO$1006:BO1006),$AO$1006:$BQ$1006,0)))),"Fix")))</f>
        <v>#N/A</v>
      </c>
      <c r="AC770" s="5" t="e">
        <f ca="1">IF(OR(INDEX($AI$2:$AI$1001,MATCH(ROWS($AH$2:AH770),$AH$2:$AH$1001,0),1)&gt;=100000,INDEX($AO$1005:$BQ$1005,1,MATCH(COLUMNS($AO$1006:BP1006),$AO$1006:$BQ$1006,0))&gt;=100000), " ",IF(INDEX($AO$2:$BQ$1001,MATCH(ROWS($AH$2:AH770),$AH$2:$AH$1001,0),MATCH(COLUMNS($AO$1006:BP1006),$AO$1006:$BQ$1006,0)), HYPERLINK("#",""), HYPERLINK(CONCATENATE("#Metadata!", ADDRESS(INDEX($AJ$2:$AJ$1001,MATCH(ROWS($AH$2:AH770),$AH$2:$AH$1001,0),0), INDEX($AO$1004:$BQ$1004,1,MATCH(COLUMNS($AO$1006:BP1006),$AO$1006:$BQ$1006,0)))),"Fix")))</f>
        <v>#N/A</v>
      </c>
      <c r="AD770" s="5" t="e">
        <f ca="1">IF(OR(INDEX($AI$2:$AI$1001,MATCH(ROWS($AH$2:AH770),$AH$2:$AH$1001,0),1)&gt;=100000,INDEX($AO$1005:$BQ$1005,1,MATCH(COLUMNS($AO$1006:BQ1006),$AO$1006:$BQ$1006,0))&gt;=100000), " ",IF(INDEX($AO$2:$BQ$1001,MATCH(ROWS($AH$2:AH770),$AH$2:$AH$1001,0),MATCH(COLUMNS($AO$1006:BQ1006),$AO$1006:$BQ$1006,0)), HYPERLINK("#",""), HYPERLINK(CONCATENATE("#Metadata!", ADDRESS(INDEX($AJ$2:$AJ$1001,MATCH(ROWS($AH$2:AH770),$AH$2:$AH$1001,0),0), INDEX($AO$1004:$BQ$1004,1,MATCH(COLUMNS($AO$1006:BQ1006),$AO$1006:$BQ$1006,0)))),"Fix")))</f>
        <v>#REF!</v>
      </c>
      <c r="AH770">
        <f ca="1"/>
        <v>767</v>
      </c>
      <c r="AI770">
        <v>100770</v>
      </c>
      <c r="AJ770">
        <v>770</v>
      </c>
      <c r="AK770" t="b">
        <f t="shared" ref="AK770:AK833" si="12">IF(AL770,TRUE,AND(AO770:BQ770))</f>
        <v>1</v>
      </c>
      <c r="AL770" t="b">
        <f>COUNTBLANK(Metadata!B770:AD770)=COLUMNS(Metadata!B770:AD770)</f>
        <v>1</v>
      </c>
      <c r="AM770" t="str">
        <v/>
      </c>
      <c r="AO770" t="b">
        <f ca="1">AND(IF(Metadata!B770="",FALSE,TRUE),COUNTIF(Metadata!B:B, Metadata!B770) = 1,NOT(ISERROR(SUMPRODUCT(SEARCH(MID(Metadata!B770,ROW(INDIRECT("1:"&amp;LEN(Metadata!B770))), 1),"0123456789abcdefghijklmnopqrstuvwxyzABCDEFGHIJKLMNOPQRSTUVWXYZ.")))))</f>
        <v>0</v>
      </c>
      <c r="AP770" t="b">
        <f>IF(Metadata!C770="",FALSE,TRUE)</f>
        <v>0</v>
      </c>
      <c r="AQ770" t="b">
        <f>IF(Metadata!D770="",FALSE,TRUE)</f>
        <v>0</v>
      </c>
      <c r="AR770" t="b">
        <f ca="1">OR(AND(IF(Metadata!E770="",FALSE,TRUE),OR(EXACT(Metadata!E770,"not collected"),EXACT(Metadata!E770,"not provided"),EXACT(Metadata!E770,"restricted access"))),AND(IF(Metadata!E770="",FALSE,TRUE),AND(AND(IFERROR(INT(LEFT(Metadata!E770,4))&gt;1900,FALSE),IFERROR(INT(LEFT(Metadata!E770,4))&lt;=YEAR(NOW()),FALSE)), OR(MID(Metadata!E770,5,1)="", AND(AND(MID(Metadata!E770,5,1)="-",IFERROR(INT(MID(Metadata!E770,6,1))&gt;=0,FALSE),IFERROR(INT(MID(Metadata!E770,6,1))&lt;=1,FALSE),NOT(MID(Metadata!E770,7,1)=""),IFERROR(INT(MID(Metadata!E770,6,2))&gt;=1,FALSE),IFERROR(INT(MID(Metadata!E770,6,2))&lt;=12,FALSE)), OR(MID(Metadata!E770,8,1)="", AND(AND(MID(Metadata!E770,8,1)="-",IFERROR(INT(MID(Metadata!E770,9,1))&gt;=0,FALSE),IFERROR(INT(MID(Metadata!E770,9,1))&lt;=3,FALSE),NOT(MID(Metadata!E770,10,1)=""),IFERROR(INT(MID(Metadata!E770,9,2))&gt;=1,FALSE),IFERROR(INT(MID(Metadata!E770,9,2))&lt;=31,FALSE)), OR(MID(Metadata!E770,11,1)="", AND(AND(MID(Metadata!E770,11,1)=" ",IFERROR(INT(MID(Metadata!E770,12,1))&gt;=0,FALSE),IFERROR(INT(MID(Metadata!E770,12,1))&lt;=2,FALSE),NOT(MID(Metadata!E770,13,1)=""),IFERROR(INT(MID(Metadata!E770,12,2))&gt;=0,FALSE),IFERROR(INT(MID(Metadata!E770,12,2))&lt;=23,FALSE)), OR(MID(Metadata!E770,14,1)="", AND(AND(MID(Metadata!E770,14,1)=":",IFERROR(INT(MID(Metadata!E770,15,1))&gt;=0,FALSE),IFERROR(INT(MID(Metadata!E770,15,1))&lt;=5,FALSE),NOT(MID(Metadata!E770,16,1)=""),IFERROR(INT(MID(Metadata!E770,15,2))&gt;=0,FALSE),IFERROR(INT(MID(Metadata!E770,15,2))&lt;=59,FALSE)), OR(MID(Metadata!E770,17,1)="", AND(AND(MID(Metadata!E770,17,1)=":",IFERROR(INT(MID(Metadata!E770,18,1))&gt;=0,FALSE),IFERROR(INT(MID(Metadata!E770,18,1))&lt;=5,FALSE),NOT(MID(Metadata!E770,19,1)=""),IFERROR(INT(MID(Metadata!E770,18,2))&gt;=0,FALSE),IFERROR(INT(MID(Metadata!E770,18,2))&lt;=59,FALSE)), LEN(Metadata!E770)&lt;=19)))))))))))))</f>
        <v>0</v>
      </c>
      <c r="AS770" t="b">
        <f>IF(Metadata!F770="",FALSE,TRUE)</f>
        <v>0</v>
      </c>
      <c r="AT770" t="b">
        <f>OR(AND(IF(Metadata!G770="",FALSE,TRUE),OR(EXACT(Metadata!G770,"not collected"),EXACT(Metadata!G770,"not provided"))),AND(IF(Metadata!G770="",FALSE,TRUE),OR(EXACT(Metadata!G770,"TRUE"),EXACT(Metadata!G770,"FALSE"))))</f>
        <v>0</v>
      </c>
      <c r="AU770" t="b">
        <f>OR(AND(IF(Metadata!H770="",FALSE,TRUE),OR(EXACT(Metadata!H770,"not collected"),EXACT(Metadata!H770,"not provided"),EXACT(Metadata!H770,"restricted access"))),AND(IF(Metadata!H770="",FALSE,ISNUMBER(VALUE(Metadata!H770))),Metadata!H770&gt;=-413))</f>
        <v>0</v>
      </c>
      <c r="AV770" t="b">
        <f>AND(IF(Metadata!I770="",FALSE,TRUE),EXACT(Metadata!I770,"meters"))</f>
        <v>0</v>
      </c>
      <c r="AW770" t="b">
        <f>AND(IF(Metadata!J770="",FALSE,TRUE),EXACT(Metadata!J770,"free-living"))</f>
        <v>0</v>
      </c>
      <c r="AX770" t="b">
        <f>AND(IF(Metadata!K770="",FALSE,TRUE),OR(EXACT(Metadata!K770,"saline"),EXACT(Metadata!K770,"non-saline")))</f>
        <v>0</v>
      </c>
      <c r="AY770" t="b">
        <f>AND(IF(Metadata!L770="",FALSE,TRUE),OR(EXACT(Metadata!L770,"sub-surface (non-saline)"),EXACT(Metadata!L770,"surface (non-saline)"),EXACT(Metadata!L770,"water (non-saline)"),EXACT(Metadata!L770,"soil (non-saline)"),EXACT(Metadata!L770,"aerosol (non-saline)"),EXACT(Metadata!L770,"sediment (non-saline)"),EXACT(Metadata!L770,"surface (saline)"),EXACT(Metadata!L770,"water (saline)"),EXACT(Metadata!L770,"hypersaline (saline)"),EXACT(Metadata!L770,"aerosol (saline)"),EXACT(Metadata!L770,"sediment (saline)")))</f>
        <v>0</v>
      </c>
      <c r="AZ770" t="b">
        <f>IF(Metadata!M770="",FALSE,TRUE)</f>
        <v>0</v>
      </c>
      <c r="BA770" t="b">
        <f>IF(Metadata!N770="",FALSE,TRUE)</f>
        <v>0</v>
      </c>
      <c r="BB770" t="b">
        <f>IF(Metadata!O770="",FALSE,TRUE)</f>
        <v>0</v>
      </c>
      <c r="BC770" t="b">
        <f>AND(IF(Metadata!P770="",FALSE,TRUE),OR(EXACT(Metadata!P770,"air"),EXACT(Metadata!P770,"microbial mat/biofilm"),EXACT(Metadata!P770,"misc environment"),EXACT(Metadata!P770,"sediment"),EXACT(Metadata!P770,"soil"),EXACT(Metadata!P770,"wastewater/sludge"),EXACT(Metadata!P770,"water")))</f>
        <v>0</v>
      </c>
      <c r="BD770" t="b">
        <f>IF(Metadata!Q770="",FALSE,TRUE)</f>
        <v>0</v>
      </c>
      <c r="BE770" t="b">
        <f>IF(Metadata!R770="",FALSE,TRUE)</f>
        <v>0</v>
      </c>
      <c r="BF770" t="b">
        <f>OR(AND(IF(Metadata!S770="",FALSE,TRUE),OR(EXACT(Metadata!S770,"not collected"),EXACT(Metadata!S770,"not provided"),EXACT(Metadata!S770,"restricted access"))),AND(IF(Metadata!S770="",FALSE,ISNUMBER(VALUE(Metadata!S770))),Metadata!S770&gt;=-90,Metadata!S770&lt;=90))</f>
        <v>0</v>
      </c>
      <c r="BG770" t="b">
        <f>AND(IF(Metadata!T770="",FALSE,TRUE),EXACT(Metadata!T770,"Decimal degrees"))</f>
        <v>0</v>
      </c>
      <c r="BH770" t="b">
        <f>OR(AND(IF(Metadata!U770="",FALSE,TRUE),OR(EXACT(Metadata!U770,"not applicable"),EXACT(Metadata!U770,"not collected"))),IF(Metadata!U770="",FALSE,TRUE))</f>
        <v>0</v>
      </c>
      <c r="BI770" t="b">
        <f>OR(AND(IF(Metadata!V770="",FALSE,TRUE),OR(EXACT(Metadata!V770,"not collected"),EXACT(Metadata!V770,"not provided"),EXACT(Metadata!V770,"restricted access"))),AND(IF(Metadata!V770="",FALSE,ISNUMBER(VALUE(Metadata!V770))),Metadata!V770&gt;=-180,Metadata!V770&lt;=180))</f>
        <v>0</v>
      </c>
      <c r="BJ770" t="b">
        <f>AND(IF(Metadata!W770="",FALSE,TRUE),EXACT(Metadata!W770,"Decimal degrees"))</f>
        <v>0</v>
      </c>
      <c r="BK770" t="b">
        <f>IF(Metadata!X770="",FALSE,TRUE)</f>
        <v>0</v>
      </c>
      <c r="BL770" t="b">
        <f>OR(AND(IF(Metadata!Y770="",FALSE,TRUE),OR(EXACT(Metadata!Y770,"not collected"),EXACT(Metadata!Y770,"not provided"),EXACT(Metadata!Y770,"restricted access"))),AND(IF(Metadata!Y770="",FALSE,TRUE),OR(EXACT(Metadata!Y770,"TRUE"),EXACT(Metadata!Y770,"FALSE"))))</f>
        <v>0</v>
      </c>
      <c r="BM770" t="b">
        <f>OR(AND(IF(Metadata!Z770="",FALSE,TRUE),EXACT(Metadata!Z770,"not applicable")),AND(IF(Metadata!Z770="",FALSE,TRUE),OR(EXACT(Metadata!Z770,"beer"),EXACT(Metadata!Z770,"cheese"),EXACT(Metadata!Z770,"fresh water"),EXACT(Metadata!Z770,"marine sediment"),EXACT(Metadata!Z770,"sea water"),EXACT(Metadata!Z770,"sediment"),EXACT(Metadata!Z770,"soil"),EXACT(Metadata!Z770,"waste water"))))</f>
        <v>0</v>
      </c>
      <c r="BN770" t="b">
        <f>AND(IF(Metadata!AA770="",FALSE,TRUE),EXACT(Metadata!AA770,"metagenome"))</f>
        <v>0</v>
      </c>
      <c r="BO770" t="b">
        <f>AND(IF(Metadata!AB770="",FALSE,TRUE),EXACT(Metadata!AB770,"256318"))</f>
        <v>0</v>
      </c>
      <c r="BP770" t="b">
        <f>IF(Metadata!AC770="",FALSE,TRUE)</f>
        <v>0</v>
      </c>
      <c r="BQ770" t="b">
        <f>IF(Metadata!AD770="",FALSE,TRUE)</f>
        <v>0</v>
      </c>
    </row>
    <row r="771" spans="1:69" x14ac:dyDescent="0.2">
      <c r="A771" s="4" t="e">
        <f ca="1">IF(B771=" "," ",HYPERLINK(CONCATENATE("#metadata!",ADDRESS(INDEX($AJ$2:$AJ$1001,MATCH(ROWS($AH$2:AH771),$AH$2:$AH$1001,0),0),2)),INDEX($AM$2:$AM$1001,MATCH(ROWS($AH$2:AH771),$AH$2:$AH$1001,0),0)))</f>
        <v>#N/A</v>
      </c>
      <c r="B771" s="5" t="e">
        <f ca="1">IF(OR(INDEX($AI$2:$AI$1001,MATCH(ROWS($AH$2:AH771),$AH$2:$AH$1001,0),1)&gt;=100000,INDEX($AO$1005:$BQ$1005,1,MATCH(COLUMNS($AO$1006:AO1006),$AO$1006:$BQ$1006,0))&gt;=100000), " ",IF(INDEX($AO$2:$BQ$1001,MATCH(ROWS($AH$2:AH771),$AH$2:$AH$1001,0),MATCH(COLUMNS($AO$1006:AO1006),$AO$1006:$BQ$1006,0)), HYPERLINK("#",""), HYPERLINK(CONCATENATE("#Metadata!", ADDRESS(INDEX($AJ$2:$AJ$1001,MATCH(ROWS($AH$2:AH771),$AH$2:$AH$1001,0),0), INDEX($AO$1004:$BQ$1004,1,MATCH(COLUMNS($AO$1006:AO1006),$AO$1006:$BQ$1006,0)))),"Fix")))</f>
        <v>#N/A</v>
      </c>
      <c r="C771" s="5" t="e">
        <f ca="1">IF(OR(INDEX($AI$2:$AI$1001,MATCH(ROWS($AH$2:AH771),$AH$2:$AH$1001,0),1)&gt;=100000,INDEX($AO$1005:$BQ$1005,1,MATCH(COLUMNS($AO$1006:AP1006),$AO$1006:$BQ$1006,0))&gt;=100000), " ",IF(INDEX($AO$2:$BQ$1001,MATCH(ROWS($AH$2:AH771),$AH$2:$AH$1001,0),MATCH(COLUMNS($AO$1006:AP1006),$AO$1006:$BQ$1006,0)), HYPERLINK("#",""), HYPERLINK(CONCATENATE("#Metadata!", ADDRESS(INDEX($AJ$2:$AJ$1001,MATCH(ROWS($AH$2:AH771),$AH$2:$AH$1001,0),0), INDEX($AO$1004:$BQ$1004,1,MATCH(COLUMNS($AO$1006:AP1006),$AO$1006:$BQ$1006,0)))),"Fix")))</f>
        <v>#N/A</v>
      </c>
      <c r="D771" s="5" t="e">
        <f ca="1">IF(OR(INDEX($AI$2:$AI$1001,MATCH(ROWS($AH$2:AH771),$AH$2:$AH$1001,0),1)&gt;=100000,INDEX($AO$1005:$BQ$1005,1,MATCH(COLUMNS($AO$1006:AQ1006),$AO$1006:$BQ$1006,0))&gt;=100000), " ",IF(INDEX($AO$2:$BQ$1001,MATCH(ROWS($AH$2:AH771),$AH$2:$AH$1001,0),MATCH(COLUMNS($AO$1006:AQ1006),$AO$1006:$BQ$1006,0)), HYPERLINK("#",""), HYPERLINK(CONCATENATE("#Metadata!", ADDRESS(INDEX($AJ$2:$AJ$1001,MATCH(ROWS($AH$2:AH771),$AH$2:$AH$1001,0),0), INDEX($AO$1004:$BQ$1004,1,MATCH(COLUMNS($AO$1006:AQ1006),$AO$1006:$BQ$1006,0)))),"Fix")))</f>
        <v>#N/A</v>
      </c>
      <c r="E771" s="5" t="e">
        <f ca="1">IF(OR(INDEX($AI$2:$AI$1001,MATCH(ROWS($AH$2:AH771),$AH$2:$AH$1001,0),1)&gt;=100000,INDEX($AO$1005:$BQ$1005,1,MATCH(COLUMNS($AO$1006:AR1006),$AO$1006:$BQ$1006,0))&gt;=100000), " ",IF(INDEX($AO$2:$BQ$1001,MATCH(ROWS($AH$2:AH771),$AH$2:$AH$1001,0),MATCH(COLUMNS($AO$1006:AR1006),$AO$1006:$BQ$1006,0)), HYPERLINK("#",""), HYPERLINK(CONCATENATE("#Metadata!", ADDRESS(INDEX($AJ$2:$AJ$1001,MATCH(ROWS($AH$2:AH771),$AH$2:$AH$1001,0),0), INDEX($AO$1004:$BQ$1004,1,MATCH(COLUMNS($AO$1006:AR1006),$AO$1006:$BQ$1006,0)))),"Fix")))</f>
        <v>#N/A</v>
      </c>
      <c r="F771" s="5" t="e">
        <f ca="1">IF(OR(INDEX($AI$2:$AI$1001,MATCH(ROWS($AH$2:AH771),$AH$2:$AH$1001,0),1)&gt;=100000,INDEX($AO$1005:$BQ$1005,1,MATCH(COLUMNS($AO$1006:AS1006),$AO$1006:$BQ$1006,0))&gt;=100000), " ",IF(INDEX($AO$2:$BQ$1001,MATCH(ROWS($AH$2:AH771),$AH$2:$AH$1001,0),MATCH(COLUMNS($AO$1006:AS1006),$AO$1006:$BQ$1006,0)), HYPERLINK("#",""), HYPERLINK(CONCATENATE("#Metadata!", ADDRESS(INDEX($AJ$2:$AJ$1001,MATCH(ROWS($AH$2:AH771),$AH$2:$AH$1001,0),0), INDEX($AO$1004:$BQ$1004,1,MATCH(COLUMNS($AO$1006:AS1006),$AO$1006:$BQ$1006,0)))),"Fix")))</f>
        <v>#N/A</v>
      </c>
      <c r="G771" s="5" t="e">
        <f ca="1">IF(OR(INDEX($AI$2:$AI$1001,MATCH(ROWS($AH$2:AH771),$AH$2:$AH$1001,0),1)&gt;=100000,INDEX($AO$1005:$BQ$1005,1,MATCH(COLUMNS($AO$1006:AT1006),$AO$1006:$BQ$1006,0))&gt;=100000), " ",IF(INDEX($AO$2:$BQ$1001,MATCH(ROWS($AH$2:AH771),$AH$2:$AH$1001,0),MATCH(COLUMNS($AO$1006:AT1006),$AO$1006:$BQ$1006,0)), HYPERLINK("#",""), HYPERLINK(CONCATENATE("#Metadata!", ADDRESS(INDEX($AJ$2:$AJ$1001,MATCH(ROWS($AH$2:AH771),$AH$2:$AH$1001,0),0), INDEX($AO$1004:$BQ$1004,1,MATCH(COLUMNS($AO$1006:AT1006),$AO$1006:$BQ$1006,0)))),"Fix")))</f>
        <v>#N/A</v>
      </c>
      <c r="H771" s="5" t="e">
        <f ca="1">IF(OR(INDEX($AI$2:$AI$1001,MATCH(ROWS($AH$2:AH771),$AH$2:$AH$1001,0),1)&gt;=100000,INDEX($AO$1005:$BQ$1005,1,MATCH(COLUMNS($AO$1006:AU1006),$AO$1006:$BQ$1006,0))&gt;=100000), " ",IF(INDEX($AO$2:$BQ$1001,MATCH(ROWS($AH$2:AH771),$AH$2:$AH$1001,0),MATCH(COLUMNS($AO$1006:AU1006),$AO$1006:$BQ$1006,0)), HYPERLINK("#",""), HYPERLINK(CONCATENATE("#Metadata!", ADDRESS(INDEX($AJ$2:$AJ$1001,MATCH(ROWS($AH$2:AH771),$AH$2:$AH$1001,0),0), INDEX($AO$1004:$BQ$1004,1,MATCH(COLUMNS($AO$1006:AU1006),$AO$1006:$BQ$1006,0)))),"Fix")))</f>
        <v>#N/A</v>
      </c>
      <c r="I771" s="5" t="e">
        <f ca="1">IF(OR(INDEX($AI$2:$AI$1001,MATCH(ROWS($AH$2:AH771),$AH$2:$AH$1001,0),1)&gt;=100000,INDEX($AO$1005:$BQ$1005,1,MATCH(COLUMNS($AO$1006:AV1006),$AO$1006:$BQ$1006,0))&gt;=100000), " ",IF(INDEX($AO$2:$BQ$1001,MATCH(ROWS($AH$2:AH771),$AH$2:$AH$1001,0),MATCH(COLUMNS($AO$1006:AV1006),$AO$1006:$BQ$1006,0)), HYPERLINK("#",""), HYPERLINK(CONCATENATE("#Metadata!", ADDRESS(INDEX($AJ$2:$AJ$1001,MATCH(ROWS($AH$2:AH771),$AH$2:$AH$1001,0),0), INDEX($AO$1004:$BQ$1004,1,MATCH(COLUMNS($AO$1006:AV1006),$AO$1006:$BQ$1006,0)))),"Fix")))</f>
        <v>#N/A</v>
      </c>
      <c r="J771" s="5" t="e">
        <f ca="1">IF(OR(INDEX($AI$2:$AI$1001,MATCH(ROWS($AH$2:AH771),$AH$2:$AH$1001,0),1)&gt;=100000,INDEX($AO$1005:$BQ$1005,1,MATCH(COLUMNS($AO$1006:AW1006),$AO$1006:$BQ$1006,0))&gt;=100000), " ",IF(INDEX($AO$2:$BQ$1001,MATCH(ROWS($AH$2:AH771),$AH$2:$AH$1001,0),MATCH(COLUMNS($AO$1006:AW1006),$AO$1006:$BQ$1006,0)), HYPERLINK("#",""), HYPERLINK(CONCATENATE("#Metadata!", ADDRESS(INDEX($AJ$2:$AJ$1001,MATCH(ROWS($AH$2:AH771),$AH$2:$AH$1001,0),0), INDEX($AO$1004:$BQ$1004,1,MATCH(COLUMNS($AO$1006:AW1006),$AO$1006:$BQ$1006,0)))),"Fix")))</f>
        <v>#N/A</v>
      </c>
      <c r="K771" s="5" t="e">
        <f ca="1">IF(OR(INDEX($AI$2:$AI$1001,MATCH(ROWS($AH$2:AH771),$AH$2:$AH$1001,0),1)&gt;=100000,INDEX($AO$1005:$BQ$1005,1,MATCH(COLUMNS($AO$1006:AX1006),$AO$1006:$BQ$1006,0))&gt;=100000), " ",IF(INDEX($AO$2:$BQ$1001,MATCH(ROWS($AH$2:AH771),$AH$2:$AH$1001,0),MATCH(COLUMNS($AO$1006:AX1006),$AO$1006:$BQ$1006,0)), HYPERLINK("#",""), HYPERLINK(CONCATENATE("#Metadata!", ADDRESS(INDEX($AJ$2:$AJ$1001,MATCH(ROWS($AH$2:AH771),$AH$2:$AH$1001,0),0), INDEX($AO$1004:$BQ$1004,1,MATCH(COLUMNS($AO$1006:AX1006),$AO$1006:$BQ$1006,0)))),"Fix")))</f>
        <v>#N/A</v>
      </c>
      <c r="L771" s="5" t="e">
        <f ca="1">IF(OR(INDEX($AI$2:$AI$1001,MATCH(ROWS($AH$2:AH771),$AH$2:$AH$1001,0),1)&gt;=100000,INDEX($AO$1005:$BQ$1005,1,MATCH(COLUMNS($AO$1006:AY1006),$AO$1006:$BQ$1006,0))&gt;=100000), " ",IF(INDEX($AO$2:$BQ$1001,MATCH(ROWS($AH$2:AH771),$AH$2:$AH$1001,0),MATCH(COLUMNS($AO$1006:AY1006),$AO$1006:$BQ$1006,0)), HYPERLINK("#",""), HYPERLINK(CONCATENATE("#Metadata!", ADDRESS(INDEX($AJ$2:$AJ$1001,MATCH(ROWS($AH$2:AH771),$AH$2:$AH$1001,0),0), INDEX($AO$1004:$BQ$1004,1,MATCH(COLUMNS($AO$1006:AY1006),$AO$1006:$BQ$1006,0)))),"Fix")))</f>
        <v>#N/A</v>
      </c>
      <c r="M771" s="5" t="e">
        <f ca="1">IF(OR(INDEX($AI$2:$AI$1001,MATCH(ROWS($AH$2:AH771),$AH$2:$AH$1001,0),1)&gt;=100000,INDEX($AO$1005:$BQ$1005,1,MATCH(COLUMNS($AO$1006:AZ1006),$AO$1006:$BQ$1006,0))&gt;=100000), " ",IF(INDEX($AO$2:$BQ$1001,MATCH(ROWS($AH$2:AH771),$AH$2:$AH$1001,0),MATCH(COLUMNS($AO$1006:AZ1006),$AO$1006:$BQ$1006,0)), HYPERLINK("#",""), HYPERLINK(CONCATENATE("#Metadata!", ADDRESS(INDEX($AJ$2:$AJ$1001,MATCH(ROWS($AH$2:AH771),$AH$2:$AH$1001,0),0), INDEX($AO$1004:$BQ$1004,1,MATCH(COLUMNS($AO$1006:AZ1006),$AO$1006:$BQ$1006,0)))),"Fix")))</f>
        <v>#N/A</v>
      </c>
      <c r="N771" s="5" t="e">
        <f ca="1">IF(OR(INDEX($AI$2:$AI$1001,MATCH(ROWS($AH$2:AH771),$AH$2:$AH$1001,0),1)&gt;=100000,INDEX($AO$1005:$BQ$1005,1,MATCH(COLUMNS($AO$1006:BA1006),$AO$1006:$BQ$1006,0))&gt;=100000), " ",IF(INDEX($AO$2:$BQ$1001,MATCH(ROWS($AH$2:AH771),$AH$2:$AH$1001,0),MATCH(COLUMNS($AO$1006:BA1006),$AO$1006:$BQ$1006,0)), HYPERLINK("#",""), HYPERLINK(CONCATENATE("#Metadata!", ADDRESS(INDEX($AJ$2:$AJ$1001,MATCH(ROWS($AH$2:AH771),$AH$2:$AH$1001,0),0), INDEX($AO$1004:$BQ$1004,1,MATCH(COLUMNS($AO$1006:BA1006),$AO$1006:$BQ$1006,0)))),"Fix")))</f>
        <v>#N/A</v>
      </c>
      <c r="O771" s="5" t="e">
        <f ca="1">IF(OR(INDEX($AI$2:$AI$1001,MATCH(ROWS($AH$2:AH771),$AH$2:$AH$1001,0),1)&gt;=100000,INDEX($AO$1005:$BQ$1005,1,MATCH(COLUMNS($AO$1006:BB1006),$AO$1006:$BQ$1006,0))&gt;=100000), " ",IF(INDEX($AO$2:$BQ$1001,MATCH(ROWS($AH$2:AH771),$AH$2:$AH$1001,0),MATCH(COLUMNS($AO$1006:BB1006),$AO$1006:$BQ$1006,0)), HYPERLINK("#",""), HYPERLINK(CONCATENATE("#Metadata!", ADDRESS(INDEX($AJ$2:$AJ$1001,MATCH(ROWS($AH$2:AH771),$AH$2:$AH$1001,0),0), INDEX($AO$1004:$BQ$1004,1,MATCH(COLUMNS($AO$1006:BB1006),$AO$1006:$BQ$1006,0)))),"Fix")))</f>
        <v>#N/A</v>
      </c>
      <c r="P771" s="5" t="e">
        <f ca="1">IF(OR(INDEX($AI$2:$AI$1001,MATCH(ROWS($AH$2:AH771),$AH$2:$AH$1001,0),1)&gt;=100000,INDEX($AO$1005:$BQ$1005,1,MATCH(COLUMNS($AO$1006:BC1006),$AO$1006:$BQ$1006,0))&gt;=100000), " ",IF(INDEX($AO$2:$BQ$1001,MATCH(ROWS($AH$2:AH771),$AH$2:$AH$1001,0),MATCH(COLUMNS($AO$1006:BC1006),$AO$1006:$BQ$1006,0)), HYPERLINK("#",""), HYPERLINK(CONCATENATE("#Metadata!", ADDRESS(INDEX($AJ$2:$AJ$1001,MATCH(ROWS($AH$2:AH771),$AH$2:$AH$1001,0),0), INDEX($AO$1004:$BQ$1004,1,MATCH(COLUMNS($AO$1006:BC1006),$AO$1006:$BQ$1006,0)))),"Fix")))</f>
        <v>#N/A</v>
      </c>
      <c r="Q771" s="5" t="e">
        <f ca="1">IF(OR(INDEX($AI$2:$AI$1001,MATCH(ROWS($AH$2:AH771),$AH$2:$AH$1001,0),1)&gt;=100000,INDEX($AO$1005:$BQ$1005,1,MATCH(COLUMNS($AO$1006:BD1006),$AO$1006:$BQ$1006,0))&gt;=100000), " ",IF(INDEX($AO$2:$BQ$1001,MATCH(ROWS($AH$2:AH771),$AH$2:$AH$1001,0),MATCH(COLUMNS($AO$1006:BD1006),$AO$1006:$BQ$1006,0)), HYPERLINK("#",""), HYPERLINK(CONCATENATE("#Metadata!", ADDRESS(INDEX($AJ$2:$AJ$1001,MATCH(ROWS($AH$2:AH771),$AH$2:$AH$1001,0),0), INDEX($AO$1004:$BQ$1004,1,MATCH(COLUMNS($AO$1006:BD1006),$AO$1006:$BQ$1006,0)))),"Fix")))</f>
        <v>#N/A</v>
      </c>
      <c r="R771" s="5" t="e">
        <f ca="1">IF(OR(INDEX($AI$2:$AI$1001,MATCH(ROWS($AH$2:AH771),$AH$2:$AH$1001,0),1)&gt;=100000,INDEX($AO$1005:$BQ$1005,1,MATCH(COLUMNS($AO$1006:BE1006),$AO$1006:$BQ$1006,0))&gt;=100000), " ",IF(INDEX($AO$2:$BQ$1001,MATCH(ROWS($AH$2:AH771),$AH$2:$AH$1001,0),MATCH(COLUMNS($AO$1006:BE1006),$AO$1006:$BQ$1006,0)), HYPERLINK("#",""), HYPERLINK(CONCATENATE("#Metadata!", ADDRESS(INDEX($AJ$2:$AJ$1001,MATCH(ROWS($AH$2:AH771),$AH$2:$AH$1001,0),0), INDEX($AO$1004:$BQ$1004,1,MATCH(COLUMNS($AO$1006:BE1006),$AO$1006:$BQ$1006,0)))),"Fix")))</f>
        <v>#N/A</v>
      </c>
      <c r="S771" s="5" t="e">
        <f ca="1">IF(OR(INDEX($AI$2:$AI$1001,MATCH(ROWS($AH$2:AH771),$AH$2:$AH$1001,0),1)&gt;=100000,INDEX($AO$1005:$BQ$1005,1,MATCH(COLUMNS($AO$1006:BF1006),$AO$1006:$BQ$1006,0))&gt;=100000), " ",IF(INDEX($AO$2:$BQ$1001,MATCH(ROWS($AH$2:AH771),$AH$2:$AH$1001,0),MATCH(COLUMNS($AO$1006:BF1006),$AO$1006:$BQ$1006,0)), HYPERLINK("#",""), HYPERLINK(CONCATENATE("#Metadata!", ADDRESS(INDEX($AJ$2:$AJ$1001,MATCH(ROWS($AH$2:AH771),$AH$2:$AH$1001,0),0), INDEX($AO$1004:$BQ$1004,1,MATCH(COLUMNS($AO$1006:BF1006),$AO$1006:$BQ$1006,0)))),"Fix")))</f>
        <v>#N/A</v>
      </c>
      <c r="T771" s="5" t="e">
        <f ca="1">IF(OR(INDEX($AI$2:$AI$1001,MATCH(ROWS($AH$2:AH771),$AH$2:$AH$1001,0),1)&gt;=100000,INDEX($AO$1005:$BQ$1005,1,MATCH(COLUMNS($AO$1006:BG1006),$AO$1006:$BQ$1006,0))&gt;=100000), " ",IF(INDEX($AO$2:$BQ$1001,MATCH(ROWS($AH$2:AH771),$AH$2:$AH$1001,0),MATCH(COLUMNS($AO$1006:BG1006),$AO$1006:$BQ$1006,0)), HYPERLINK("#",""), HYPERLINK(CONCATENATE("#Metadata!", ADDRESS(INDEX($AJ$2:$AJ$1001,MATCH(ROWS($AH$2:AH771),$AH$2:$AH$1001,0),0), INDEX($AO$1004:$BQ$1004,1,MATCH(COLUMNS($AO$1006:BG1006),$AO$1006:$BQ$1006,0)))),"Fix")))</f>
        <v>#N/A</v>
      </c>
      <c r="U771" s="5" t="e">
        <f ca="1">IF(OR(INDEX($AI$2:$AI$1001,MATCH(ROWS($AH$2:AH771),$AH$2:$AH$1001,0),1)&gt;=100000,INDEX($AO$1005:$BQ$1005,1,MATCH(COLUMNS($AO$1006:BH1006),$AO$1006:$BQ$1006,0))&gt;=100000), " ",IF(INDEX($AO$2:$BQ$1001,MATCH(ROWS($AH$2:AH771),$AH$2:$AH$1001,0),MATCH(COLUMNS($AO$1006:BH1006),$AO$1006:$BQ$1006,0)), HYPERLINK("#",""), HYPERLINK(CONCATENATE("#Metadata!", ADDRESS(INDEX($AJ$2:$AJ$1001,MATCH(ROWS($AH$2:AH771),$AH$2:$AH$1001,0),0), INDEX($AO$1004:$BQ$1004,1,MATCH(COLUMNS($AO$1006:BH1006),$AO$1006:$BQ$1006,0)))),"Fix")))</f>
        <v>#N/A</v>
      </c>
      <c r="V771" s="5" t="e">
        <f ca="1">IF(OR(INDEX($AI$2:$AI$1001,MATCH(ROWS($AH$2:AH771),$AH$2:$AH$1001,0),1)&gt;=100000,INDEX($AO$1005:$BQ$1005,1,MATCH(COLUMNS($AO$1006:BI1006),$AO$1006:$BQ$1006,0))&gt;=100000), " ",IF(INDEX($AO$2:$BQ$1001,MATCH(ROWS($AH$2:AH771),$AH$2:$AH$1001,0),MATCH(COLUMNS($AO$1006:BI1006),$AO$1006:$BQ$1006,0)), HYPERLINK("#",""), HYPERLINK(CONCATENATE("#Metadata!", ADDRESS(INDEX($AJ$2:$AJ$1001,MATCH(ROWS($AH$2:AH771),$AH$2:$AH$1001,0),0), INDEX($AO$1004:$BQ$1004,1,MATCH(COLUMNS($AO$1006:BI1006),$AO$1006:$BQ$1006,0)))),"Fix")))</f>
        <v>#N/A</v>
      </c>
      <c r="W771" s="5" t="e">
        <f ca="1">IF(OR(INDEX($AI$2:$AI$1001,MATCH(ROWS($AH$2:AH771),$AH$2:$AH$1001,0),1)&gt;=100000,INDEX($AO$1005:$BQ$1005,1,MATCH(COLUMNS($AO$1006:BJ1006),$AO$1006:$BQ$1006,0))&gt;=100000), " ",IF(INDEX($AO$2:$BQ$1001,MATCH(ROWS($AH$2:AH771),$AH$2:$AH$1001,0),MATCH(COLUMNS($AO$1006:BJ1006),$AO$1006:$BQ$1006,0)), HYPERLINK("#",""), HYPERLINK(CONCATENATE("#Metadata!", ADDRESS(INDEX($AJ$2:$AJ$1001,MATCH(ROWS($AH$2:AH771),$AH$2:$AH$1001,0),0), INDEX($AO$1004:$BQ$1004,1,MATCH(COLUMNS($AO$1006:BJ1006),$AO$1006:$BQ$1006,0)))),"Fix")))</f>
        <v>#N/A</v>
      </c>
      <c r="X771" s="5" t="e">
        <f ca="1">IF(OR(INDEX($AI$2:$AI$1001,MATCH(ROWS($AH$2:AH771),$AH$2:$AH$1001,0),1)&gt;=100000,INDEX($AO$1005:$BQ$1005,1,MATCH(COLUMNS($AO$1006:BK1006),$AO$1006:$BQ$1006,0))&gt;=100000), " ",IF(INDEX($AO$2:$BQ$1001,MATCH(ROWS($AH$2:AH771),$AH$2:$AH$1001,0),MATCH(COLUMNS($AO$1006:BK1006),$AO$1006:$BQ$1006,0)), HYPERLINK("#",""), HYPERLINK(CONCATENATE("#Metadata!", ADDRESS(INDEX($AJ$2:$AJ$1001,MATCH(ROWS($AH$2:AH771),$AH$2:$AH$1001,0),0), INDEX($AO$1004:$BQ$1004,1,MATCH(COLUMNS($AO$1006:BK1006),$AO$1006:$BQ$1006,0)))),"Fix")))</f>
        <v>#N/A</v>
      </c>
      <c r="Y771" s="5" t="e">
        <f ca="1">IF(OR(INDEX($AI$2:$AI$1001,MATCH(ROWS($AH$2:AH771),$AH$2:$AH$1001,0),1)&gt;=100000,INDEX($AO$1005:$BQ$1005,1,MATCH(COLUMNS($AO$1006:BL1006),$AO$1006:$BQ$1006,0))&gt;=100000), " ",IF(INDEX($AO$2:$BQ$1001,MATCH(ROWS($AH$2:AH771),$AH$2:$AH$1001,0),MATCH(COLUMNS($AO$1006:BL1006),$AO$1006:$BQ$1006,0)), HYPERLINK("#",""), HYPERLINK(CONCATENATE("#Metadata!", ADDRESS(INDEX($AJ$2:$AJ$1001,MATCH(ROWS($AH$2:AH771),$AH$2:$AH$1001,0),0), INDEX($AO$1004:$BQ$1004,1,MATCH(COLUMNS($AO$1006:BL1006),$AO$1006:$BQ$1006,0)))),"Fix")))</f>
        <v>#N/A</v>
      </c>
      <c r="Z771" s="5" t="e">
        <f ca="1">IF(OR(INDEX($AI$2:$AI$1001,MATCH(ROWS($AH$2:AH771),$AH$2:$AH$1001,0),1)&gt;=100000,INDEX($AO$1005:$BQ$1005,1,MATCH(COLUMNS($AO$1006:BM1006),$AO$1006:$BQ$1006,0))&gt;=100000), " ",IF(INDEX($AO$2:$BQ$1001,MATCH(ROWS($AH$2:AH771),$AH$2:$AH$1001,0),MATCH(COLUMNS($AO$1006:BM1006),$AO$1006:$BQ$1006,0)), HYPERLINK("#",""), HYPERLINK(CONCATENATE("#Metadata!", ADDRESS(INDEX($AJ$2:$AJ$1001,MATCH(ROWS($AH$2:AH771),$AH$2:$AH$1001,0),0), INDEX($AO$1004:$BQ$1004,1,MATCH(COLUMNS($AO$1006:BM1006),$AO$1006:$BQ$1006,0)))),"Fix")))</f>
        <v>#N/A</v>
      </c>
      <c r="AA771" s="5" t="e">
        <f ca="1">IF(OR(INDEX($AI$2:$AI$1001,MATCH(ROWS($AH$2:AH771),$AH$2:$AH$1001,0),1)&gt;=100000,INDEX($AO$1005:$BQ$1005,1,MATCH(COLUMNS($AO$1006:BN1006),$AO$1006:$BQ$1006,0))&gt;=100000), " ",IF(INDEX($AO$2:$BQ$1001,MATCH(ROWS($AH$2:AH771),$AH$2:$AH$1001,0),MATCH(COLUMNS($AO$1006:BN1006),$AO$1006:$BQ$1006,0)), HYPERLINK("#",""), HYPERLINK(CONCATENATE("#Metadata!", ADDRESS(INDEX($AJ$2:$AJ$1001,MATCH(ROWS($AH$2:AH771),$AH$2:$AH$1001,0),0), INDEX($AO$1004:$BQ$1004,1,MATCH(COLUMNS($AO$1006:BN1006),$AO$1006:$BQ$1006,0)))),"Fix")))</f>
        <v>#N/A</v>
      </c>
      <c r="AB771" s="5" t="e">
        <f ca="1">IF(OR(INDEX($AI$2:$AI$1001,MATCH(ROWS($AH$2:AH771),$AH$2:$AH$1001,0),1)&gt;=100000,INDEX($AO$1005:$BQ$1005,1,MATCH(COLUMNS($AO$1006:BO1006),$AO$1006:$BQ$1006,0))&gt;=100000), " ",IF(INDEX($AO$2:$BQ$1001,MATCH(ROWS($AH$2:AH771),$AH$2:$AH$1001,0),MATCH(COLUMNS($AO$1006:BO1006),$AO$1006:$BQ$1006,0)), HYPERLINK("#",""), HYPERLINK(CONCATENATE("#Metadata!", ADDRESS(INDEX($AJ$2:$AJ$1001,MATCH(ROWS($AH$2:AH771),$AH$2:$AH$1001,0),0), INDEX($AO$1004:$BQ$1004,1,MATCH(COLUMNS($AO$1006:BO1006),$AO$1006:$BQ$1006,0)))),"Fix")))</f>
        <v>#N/A</v>
      </c>
      <c r="AC771" s="5" t="e">
        <f ca="1">IF(OR(INDEX($AI$2:$AI$1001,MATCH(ROWS($AH$2:AH771),$AH$2:$AH$1001,0),1)&gt;=100000,INDEX($AO$1005:$BQ$1005,1,MATCH(COLUMNS($AO$1006:BP1006),$AO$1006:$BQ$1006,0))&gt;=100000), " ",IF(INDEX($AO$2:$BQ$1001,MATCH(ROWS($AH$2:AH771),$AH$2:$AH$1001,0),MATCH(COLUMNS($AO$1006:BP1006),$AO$1006:$BQ$1006,0)), HYPERLINK("#",""), HYPERLINK(CONCATENATE("#Metadata!", ADDRESS(INDEX($AJ$2:$AJ$1001,MATCH(ROWS($AH$2:AH771),$AH$2:$AH$1001,0),0), INDEX($AO$1004:$BQ$1004,1,MATCH(COLUMNS($AO$1006:BP1006),$AO$1006:$BQ$1006,0)))),"Fix")))</f>
        <v>#N/A</v>
      </c>
      <c r="AD771" s="5" t="e">
        <f ca="1">IF(OR(INDEX($AI$2:$AI$1001,MATCH(ROWS($AH$2:AH771),$AH$2:$AH$1001,0),1)&gt;=100000,INDEX($AO$1005:$BQ$1005,1,MATCH(COLUMNS($AO$1006:BQ1006),$AO$1006:$BQ$1006,0))&gt;=100000), " ",IF(INDEX($AO$2:$BQ$1001,MATCH(ROWS($AH$2:AH771),$AH$2:$AH$1001,0),MATCH(COLUMNS($AO$1006:BQ1006),$AO$1006:$BQ$1006,0)), HYPERLINK("#",""), HYPERLINK(CONCATENATE("#Metadata!", ADDRESS(INDEX($AJ$2:$AJ$1001,MATCH(ROWS($AH$2:AH771),$AH$2:$AH$1001,0),0), INDEX($AO$1004:$BQ$1004,1,MATCH(COLUMNS($AO$1006:BQ1006),$AO$1006:$BQ$1006,0)))),"Fix")))</f>
        <v>#REF!</v>
      </c>
      <c r="AH771">
        <f ca="1"/>
        <v>768</v>
      </c>
      <c r="AI771">
        <v>100771</v>
      </c>
      <c r="AJ771">
        <v>771</v>
      </c>
      <c r="AK771" t="b">
        <f t="shared" si="12"/>
        <v>1</v>
      </c>
      <c r="AL771" t="b">
        <f>COUNTBLANK(Metadata!B771:AD771)=COLUMNS(Metadata!B771:AD771)</f>
        <v>1</v>
      </c>
      <c r="AM771" t="str">
        <v/>
      </c>
      <c r="AO771" t="b">
        <f ca="1">AND(IF(Metadata!B771="",FALSE,TRUE),COUNTIF(Metadata!B:B, Metadata!B771) = 1,NOT(ISERROR(SUMPRODUCT(SEARCH(MID(Metadata!B771,ROW(INDIRECT("1:"&amp;LEN(Metadata!B771))), 1),"0123456789abcdefghijklmnopqrstuvwxyzABCDEFGHIJKLMNOPQRSTUVWXYZ.")))))</f>
        <v>0</v>
      </c>
      <c r="AP771" t="b">
        <f>IF(Metadata!C771="",FALSE,TRUE)</f>
        <v>0</v>
      </c>
      <c r="AQ771" t="b">
        <f>IF(Metadata!D771="",FALSE,TRUE)</f>
        <v>0</v>
      </c>
      <c r="AR771" t="b">
        <f ca="1">OR(AND(IF(Metadata!E771="",FALSE,TRUE),OR(EXACT(Metadata!E771,"not collected"),EXACT(Metadata!E771,"not provided"),EXACT(Metadata!E771,"restricted access"))),AND(IF(Metadata!E771="",FALSE,TRUE),AND(AND(IFERROR(INT(LEFT(Metadata!E771,4))&gt;1900,FALSE),IFERROR(INT(LEFT(Metadata!E771,4))&lt;=YEAR(NOW()),FALSE)), OR(MID(Metadata!E771,5,1)="", AND(AND(MID(Metadata!E771,5,1)="-",IFERROR(INT(MID(Metadata!E771,6,1))&gt;=0,FALSE),IFERROR(INT(MID(Metadata!E771,6,1))&lt;=1,FALSE),NOT(MID(Metadata!E771,7,1)=""),IFERROR(INT(MID(Metadata!E771,6,2))&gt;=1,FALSE),IFERROR(INT(MID(Metadata!E771,6,2))&lt;=12,FALSE)), OR(MID(Metadata!E771,8,1)="", AND(AND(MID(Metadata!E771,8,1)="-",IFERROR(INT(MID(Metadata!E771,9,1))&gt;=0,FALSE),IFERROR(INT(MID(Metadata!E771,9,1))&lt;=3,FALSE),NOT(MID(Metadata!E771,10,1)=""),IFERROR(INT(MID(Metadata!E771,9,2))&gt;=1,FALSE),IFERROR(INT(MID(Metadata!E771,9,2))&lt;=31,FALSE)), OR(MID(Metadata!E771,11,1)="", AND(AND(MID(Metadata!E771,11,1)=" ",IFERROR(INT(MID(Metadata!E771,12,1))&gt;=0,FALSE),IFERROR(INT(MID(Metadata!E771,12,1))&lt;=2,FALSE),NOT(MID(Metadata!E771,13,1)=""),IFERROR(INT(MID(Metadata!E771,12,2))&gt;=0,FALSE),IFERROR(INT(MID(Metadata!E771,12,2))&lt;=23,FALSE)), OR(MID(Metadata!E771,14,1)="", AND(AND(MID(Metadata!E771,14,1)=":",IFERROR(INT(MID(Metadata!E771,15,1))&gt;=0,FALSE),IFERROR(INT(MID(Metadata!E771,15,1))&lt;=5,FALSE),NOT(MID(Metadata!E771,16,1)=""),IFERROR(INT(MID(Metadata!E771,15,2))&gt;=0,FALSE),IFERROR(INT(MID(Metadata!E771,15,2))&lt;=59,FALSE)), OR(MID(Metadata!E771,17,1)="", AND(AND(MID(Metadata!E771,17,1)=":",IFERROR(INT(MID(Metadata!E771,18,1))&gt;=0,FALSE),IFERROR(INT(MID(Metadata!E771,18,1))&lt;=5,FALSE),NOT(MID(Metadata!E771,19,1)=""),IFERROR(INT(MID(Metadata!E771,18,2))&gt;=0,FALSE),IFERROR(INT(MID(Metadata!E771,18,2))&lt;=59,FALSE)), LEN(Metadata!E771)&lt;=19)))))))))))))</f>
        <v>0</v>
      </c>
      <c r="AS771" t="b">
        <f>IF(Metadata!F771="",FALSE,TRUE)</f>
        <v>0</v>
      </c>
      <c r="AT771" t="b">
        <f>OR(AND(IF(Metadata!G771="",FALSE,TRUE),OR(EXACT(Metadata!G771,"not collected"),EXACT(Metadata!G771,"not provided"))),AND(IF(Metadata!G771="",FALSE,TRUE),OR(EXACT(Metadata!G771,"TRUE"),EXACT(Metadata!G771,"FALSE"))))</f>
        <v>0</v>
      </c>
      <c r="AU771" t="b">
        <f>OR(AND(IF(Metadata!H771="",FALSE,TRUE),OR(EXACT(Metadata!H771,"not collected"),EXACT(Metadata!H771,"not provided"),EXACT(Metadata!H771,"restricted access"))),AND(IF(Metadata!H771="",FALSE,ISNUMBER(VALUE(Metadata!H771))),Metadata!H771&gt;=-413))</f>
        <v>0</v>
      </c>
      <c r="AV771" t="b">
        <f>AND(IF(Metadata!I771="",FALSE,TRUE),EXACT(Metadata!I771,"meters"))</f>
        <v>0</v>
      </c>
      <c r="AW771" t="b">
        <f>AND(IF(Metadata!J771="",FALSE,TRUE),EXACT(Metadata!J771,"free-living"))</f>
        <v>0</v>
      </c>
      <c r="AX771" t="b">
        <f>AND(IF(Metadata!K771="",FALSE,TRUE),OR(EXACT(Metadata!K771,"saline"),EXACT(Metadata!K771,"non-saline")))</f>
        <v>0</v>
      </c>
      <c r="AY771" t="b">
        <f>AND(IF(Metadata!L771="",FALSE,TRUE),OR(EXACT(Metadata!L771,"sub-surface (non-saline)"),EXACT(Metadata!L771,"surface (non-saline)"),EXACT(Metadata!L771,"water (non-saline)"),EXACT(Metadata!L771,"soil (non-saline)"),EXACT(Metadata!L771,"aerosol (non-saline)"),EXACT(Metadata!L771,"sediment (non-saline)"),EXACT(Metadata!L771,"surface (saline)"),EXACT(Metadata!L771,"water (saline)"),EXACT(Metadata!L771,"hypersaline (saline)"),EXACT(Metadata!L771,"aerosol (saline)"),EXACT(Metadata!L771,"sediment (saline)")))</f>
        <v>0</v>
      </c>
      <c r="AZ771" t="b">
        <f>IF(Metadata!M771="",FALSE,TRUE)</f>
        <v>0</v>
      </c>
      <c r="BA771" t="b">
        <f>IF(Metadata!N771="",FALSE,TRUE)</f>
        <v>0</v>
      </c>
      <c r="BB771" t="b">
        <f>IF(Metadata!O771="",FALSE,TRUE)</f>
        <v>0</v>
      </c>
      <c r="BC771" t="b">
        <f>AND(IF(Metadata!P771="",FALSE,TRUE),OR(EXACT(Metadata!P771,"air"),EXACT(Metadata!P771,"microbial mat/biofilm"),EXACT(Metadata!P771,"misc environment"),EXACT(Metadata!P771,"sediment"),EXACT(Metadata!P771,"soil"),EXACT(Metadata!P771,"wastewater/sludge"),EXACT(Metadata!P771,"water")))</f>
        <v>0</v>
      </c>
      <c r="BD771" t="b">
        <f>IF(Metadata!Q771="",FALSE,TRUE)</f>
        <v>0</v>
      </c>
      <c r="BE771" t="b">
        <f>IF(Metadata!R771="",FALSE,TRUE)</f>
        <v>0</v>
      </c>
      <c r="BF771" t="b">
        <f>OR(AND(IF(Metadata!S771="",FALSE,TRUE),OR(EXACT(Metadata!S771,"not collected"),EXACT(Metadata!S771,"not provided"),EXACT(Metadata!S771,"restricted access"))),AND(IF(Metadata!S771="",FALSE,ISNUMBER(VALUE(Metadata!S771))),Metadata!S771&gt;=-90,Metadata!S771&lt;=90))</f>
        <v>0</v>
      </c>
      <c r="BG771" t="b">
        <f>AND(IF(Metadata!T771="",FALSE,TRUE),EXACT(Metadata!T771,"Decimal degrees"))</f>
        <v>0</v>
      </c>
      <c r="BH771" t="b">
        <f>OR(AND(IF(Metadata!U771="",FALSE,TRUE),OR(EXACT(Metadata!U771,"not applicable"),EXACT(Metadata!U771,"not collected"))),IF(Metadata!U771="",FALSE,TRUE))</f>
        <v>0</v>
      </c>
      <c r="BI771" t="b">
        <f>OR(AND(IF(Metadata!V771="",FALSE,TRUE),OR(EXACT(Metadata!V771,"not collected"),EXACT(Metadata!V771,"not provided"),EXACT(Metadata!V771,"restricted access"))),AND(IF(Metadata!V771="",FALSE,ISNUMBER(VALUE(Metadata!V771))),Metadata!V771&gt;=-180,Metadata!V771&lt;=180))</f>
        <v>0</v>
      </c>
      <c r="BJ771" t="b">
        <f>AND(IF(Metadata!W771="",FALSE,TRUE),EXACT(Metadata!W771,"Decimal degrees"))</f>
        <v>0</v>
      </c>
      <c r="BK771" t="b">
        <f>IF(Metadata!X771="",FALSE,TRUE)</f>
        <v>0</v>
      </c>
      <c r="BL771" t="b">
        <f>OR(AND(IF(Metadata!Y771="",FALSE,TRUE),OR(EXACT(Metadata!Y771,"not collected"),EXACT(Metadata!Y771,"not provided"),EXACT(Metadata!Y771,"restricted access"))),AND(IF(Metadata!Y771="",FALSE,TRUE),OR(EXACT(Metadata!Y771,"TRUE"),EXACT(Metadata!Y771,"FALSE"))))</f>
        <v>0</v>
      </c>
      <c r="BM771" t="b">
        <f>OR(AND(IF(Metadata!Z771="",FALSE,TRUE),EXACT(Metadata!Z771,"not applicable")),AND(IF(Metadata!Z771="",FALSE,TRUE),OR(EXACT(Metadata!Z771,"beer"),EXACT(Metadata!Z771,"cheese"),EXACT(Metadata!Z771,"fresh water"),EXACT(Metadata!Z771,"marine sediment"),EXACT(Metadata!Z771,"sea water"),EXACT(Metadata!Z771,"sediment"),EXACT(Metadata!Z771,"soil"),EXACT(Metadata!Z771,"waste water"))))</f>
        <v>0</v>
      </c>
      <c r="BN771" t="b">
        <f>AND(IF(Metadata!AA771="",FALSE,TRUE),EXACT(Metadata!AA771,"metagenome"))</f>
        <v>0</v>
      </c>
      <c r="BO771" t="b">
        <f>AND(IF(Metadata!AB771="",FALSE,TRUE),EXACT(Metadata!AB771,"256318"))</f>
        <v>0</v>
      </c>
      <c r="BP771" t="b">
        <f>IF(Metadata!AC771="",FALSE,TRUE)</f>
        <v>0</v>
      </c>
      <c r="BQ771" t="b">
        <f>IF(Metadata!AD771="",FALSE,TRUE)</f>
        <v>0</v>
      </c>
    </row>
    <row r="772" spans="1:69" x14ac:dyDescent="0.2">
      <c r="A772" s="4" t="e">
        <f ca="1">IF(B772=" "," ",HYPERLINK(CONCATENATE("#metadata!",ADDRESS(INDEX($AJ$2:$AJ$1001,MATCH(ROWS($AH$2:AH772),$AH$2:$AH$1001,0),0),2)),INDEX($AM$2:$AM$1001,MATCH(ROWS($AH$2:AH772),$AH$2:$AH$1001,0),0)))</f>
        <v>#N/A</v>
      </c>
      <c r="B772" s="5" t="e">
        <f ca="1">IF(OR(INDEX($AI$2:$AI$1001,MATCH(ROWS($AH$2:AH772),$AH$2:$AH$1001,0),1)&gt;=100000,INDEX($AO$1005:$BQ$1005,1,MATCH(COLUMNS($AO$1006:AO1006),$AO$1006:$BQ$1006,0))&gt;=100000), " ",IF(INDEX($AO$2:$BQ$1001,MATCH(ROWS($AH$2:AH772),$AH$2:$AH$1001,0),MATCH(COLUMNS($AO$1006:AO1006),$AO$1006:$BQ$1006,0)), HYPERLINK("#",""), HYPERLINK(CONCATENATE("#Metadata!", ADDRESS(INDEX($AJ$2:$AJ$1001,MATCH(ROWS($AH$2:AH772),$AH$2:$AH$1001,0),0), INDEX($AO$1004:$BQ$1004,1,MATCH(COLUMNS($AO$1006:AO1006),$AO$1006:$BQ$1006,0)))),"Fix")))</f>
        <v>#N/A</v>
      </c>
      <c r="C772" s="5" t="e">
        <f ca="1">IF(OR(INDEX($AI$2:$AI$1001,MATCH(ROWS($AH$2:AH772),$AH$2:$AH$1001,0),1)&gt;=100000,INDEX($AO$1005:$BQ$1005,1,MATCH(COLUMNS($AO$1006:AP1006),$AO$1006:$BQ$1006,0))&gt;=100000), " ",IF(INDEX($AO$2:$BQ$1001,MATCH(ROWS($AH$2:AH772),$AH$2:$AH$1001,0),MATCH(COLUMNS($AO$1006:AP1006),$AO$1006:$BQ$1006,0)), HYPERLINK("#",""), HYPERLINK(CONCATENATE("#Metadata!", ADDRESS(INDEX($AJ$2:$AJ$1001,MATCH(ROWS($AH$2:AH772),$AH$2:$AH$1001,0),0), INDEX($AO$1004:$BQ$1004,1,MATCH(COLUMNS($AO$1006:AP1006),$AO$1006:$BQ$1006,0)))),"Fix")))</f>
        <v>#N/A</v>
      </c>
      <c r="D772" s="5" t="e">
        <f ca="1">IF(OR(INDEX($AI$2:$AI$1001,MATCH(ROWS($AH$2:AH772),$AH$2:$AH$1001,0),1)&gt;=100000,INDEX($AO$1005:$BQ$1005,1,MATCH(COLUMNS($AO$1006:AQ1006),$AO$1006:$BQ$1006,0))&gt;=100000), " ",IF(INDEX($AO$2:$BQ$1001,MATCH(ROWS($AH$2:AH772),$AH$2:$AH$1001,0),MATCH(COLUMNS($AO$1006:AQ1006),$AO$1006:$BQ$1006,0)), HYPERLINK("#",""), HYPERLINK(CONCATENATE("#Metadata!", ADDRESS(INDEX($AJ$2:$AJ$1001,MATCH(ROWS($AH$2:AH772),$AH$2:$AH$1001,0),0), INDEX($AO$1004:$BQ$1004,1,MATCH(COLUMNS($AO$1006:AQ1006),$AO$1006:$BQ$1006,0)))),"Fix")))</f>
        <v>#N/A</v>
      </c>
      <c r="E772" s="5" t="e">
        <f ca="1">IF(OR(INDEX($AI$2:$AI$1001,MATCH(ROWS($AH$2:AH772),$AH$2:$AH$1001,0),1)&gt;=100000,INDEX($AO$1005:$BQ$1005,1,MATCH(COLUMNS($AO$1006:AR1006),$AO$1006:$BQ$1006,0))&gt;=100000), " ",IF(INDEX($AO$2:$BQ$1001,MATCH(ROWS($AH$2:AH772),$AH$2:$AH$1001,0),MATCH(COLUMNS($AO$1006:AR1006),$AO$1006:$BQ$1006,0)), HYPERLINK("#",""), HYPERLINK(CONCATENATE("#Metadata!", ADDRESS(INDEX($AJ$2:$AJ$1001,MATCH(ROWS($AH$2:AH772),$AH$2:$AH$1001,0),0), INDEX($AO$1004:$BQ$1004,1,MATCH(COLUMNS($AO$1006:AR1006),$AO$1006:$BQ$1006,0)))),"Fix")))</f>
        <v>#N/A</v>
      </c>
      <c r="F772" s="5" t="e">
        <f ca="1">IF(OR(INDEX($AI$2:$AI$1001,MATCH(ROWS($AH$2:AH772),$AH$2:$AH$1001,0),1)&gt;=100000,INDEX($AO$1005:$BQ$1005,1,MATCH(COLUMNS($AO$1006:AS1006),$AO$1006:$BQ$1006,0))&gt;=100000), " ",IF(INDEX($AO$2:$BQ$1001,MATCH(ROWS($AH$2:AH772),$AH$2:$AH$1001,0),MATCH(COLUMNS($AO$1006:AS1006),$AO$1006:$BQ$1006,0)), HYPERLINK("#",""), HYPERLINK(CONCATENATE("#Metadata!", ADDRESS(INDEX($AJ$2:$AJ$1001,MATCH(ROWS($AH$2:AH772),$AH$2:$AH$1001,0),0), INDEX($AO$1004:$BQ$1004,1,MATCH(COLUMNS($AO$1006:AS1006),$AO$1006:$BQ$1006,0)))),"Fix")))</f>
        <v>#N/A</v>
      </c>
      <c r="G772" s="5" t="e">
        <f ca="1">IF(OR(INDEX($AI$2:$AI$1001,MATCH(ROWS($AH$2:AH772),$AH$2:$AH$1001,0),1)&gt;=100000,INDEX($AO$1005:$BQ$1005,1,MATCH(COLUMNS($AO$1006:AT1006),$AO$1006:$BQ$1006,0))&gt;=100000), " ",IF(INDEX($AO$2:$BQ$1001,MATCH(ROWS($AH$2:AH772),$AH$2:$AH$1001,0),MATCH(COLUMNS($AO$1006:AT1006),$AO$1006:$BQ$1006,0)), HYPERLINK("#",""), HYPERLINK(CONCATENATE("#Metadata!", ADDRESS(INDEX($AJ$2:$AJ$1001,MATCH(ROWS($AH$2:AH772),$AH$2:$AH$1001,0),0), INDEX($AO$1004:$BQ$1004,1,MATCH(COLUMNS($AO$1006:AT1006),$AO$1006:$BQ$1006,0)))),"Fix")))</f>
        <v>#N/A</v>
      </c>
      <c r="H772" s="5" t="e">
        <f ca="1">IF(OR(INDEX($AI$2:$AI$1001,MATCH(ROWS($AH$2:AH772),$AH$2:$AH$1001,0),1)&gt;=100000,INDEX($AO$1005:$BQ$1005,1,MATCH(COLUMNS($AO$1006:AU1006),$AO$1006:$BQ$1006,0))&gt;=100000), " ",IF(INDEX($AO$2:$BQ$1001,MATCH(ROWS($AH$2:AH772),$AH$2:$AH$1001,0),MATCH(COLUMNS($AO$1006:AU1006),$AO$1006:$BQ$1006,0)), HYPERLINK("#",""), HYPERLINK(CONCATENATE("#Metadata!", ADDRESS(INDEX($AJ$2:$AJ$1001,MATCH(ROWS($AH$2:AH772),$AH$2:$AH$1001,0),0), INDEX($AO$1004:$BQ$1004,1,MATCH(COLUMNS($AO$1006:AU1006),$AO$1006:$BQ$1006,0)))),"Fix")))</f>
        <v>#N/A</v>
      </c>
      <c r="I772" s="5" t="e">
        <f ca="1">IF(OR(INDEX($AI$2:$AI$1001,MATCH(ROWS($AH$2:AH772),$AH$2:$AH$1001,0),1)&gt;=100000,INDEX($AO$1005:$BQ$1005,1,MATCH(COLUMNS($AO$1006:AV1006),$AO$1006:$BQ$1006,0))&gt;=100000), " ",IF(INDEX($AO$2:$BQ$1001,MATCH(ROWS($AH$2:AH772),$AH$2:$AH$1001,0),MATCH(COLUMNS($AO$1006:AV1006),$AO$1006:$BQ$1006,0)), HYPERLINK("#",""), HYPERLINK(CONCATENATE("#Metadata!", ADDRESS(INDEX($AJ$2:$AJ$1001,MATCH(ROWS($AH$2:AH772),$AH$2:$AH$1001,0),0), INDEX($AO$1004:$BQ$1004,1,MATCH(COLUMNS($AO$1006:AV1006),$AO$1006:$BQ$1006,0)))),"Fix")))</f>
        <v>#N/A</v>
      </c>
      <c r="J772" s="5" t="e">
        <f ca="1">IF(OR(INDEX($AI$2:$AI$1001,MATCH(ROWS($AH$2:AH772),$AH$2:$AH$1001,0),1)&gt;=100000,INDEX($AO$1005:$BQ$1005,1,MATCH(COLUMNS($AO$1006:AW1006),$AO$1006:$BQ$1006,0))&gt;=100000), " ",IF(INDEX($AO$2:$BQ$1001,MATCH(ROWS($AH$2:AH772),$AH$2:$AH$1001,0),MATCH(COLUMNS($AO$1006:AW1006),$AO$1006:$BQ$1006,0)), HYPERLINK("#",""), HYPERLINK(CONCATENATE("#Metadata!", ADDRESS(INDEX($AJ$2:$AJ$1001,MATCH(ROWS($AH$2:AH772),$AH$2:$AH$1001,0),0), INDEX($AO$1004:$BQ$1004,1,MATCH(COLUMNS($AO$1006:AW1006),$AO$1006:$BQ$1006,0)))),"Fix")))</f>
        <v>#N/A</v>
      </c>
      <c r="K772" s="5" t="e">
        <f ca="1">IF(OR(INDEX($AI$2:$AI$1001,MATCH(ROWS($AH$2:AH772),$AH$2:$AH$1001,0),1)&gt;=100000,INDEX($AO$1005:$BQ$1005,1,MATCH(COLUMNS($AO$1006:AX1006),$AO$1006:$BQ$1006,0))&gt;=100000), " ",IF(INDEX($AO$2:$BQ$1001,MATCH(ROWS($AH$2:AH772),$AH$2:$AH$1001,0),MATCH(COLUMNS($AO$1006:AX1006),$AO$1006:$BQ$1006,0)), HYPERLINK("#",""), HYPERLINK(CONCATENATE("#Metadata!", ADDRESS(INDEX($AJ$2:$AJ$1001,MATCH(ROWS($AH$2:AH772),$AH$2:$AH$1001,0),0), INDEX($AO$1004:$BQ$1004,1,MATCH(COLUMNS($AO$1006:AX1006),$AO$1006:$BQ$1006,0)))),"Fix")))</f>
        <v>#N/A</v>
      </c>
      <c r="L772" s="5" t="e">
        <f ca="1">IF(OR(INDEX($AI$2:$AI$1001,MATCH(ROWS($AH$2:AH772),$AH$2:$AH$1001,0),1)&gt;=100000,INDEX($AO$1005:$BQ$1005,1,MATCH(COLUMNS($AO$1006:AY1006),$AO$1006:$BQ$1006,0))&gt;=100000), " ",IF(INDEX($AO$2:$BQ$1001,MATCH(ROWS($AH$2:AH772),$AH$2:$AH$1001,0),MATCH(COLUMNS($AO$1006:AY1006),$AO$1006:$BQ$1006,0)), HYPERLINK("#",""), HYPERLINK(CONCATENATE("#Metadata!", ADDRESS(INDEX($AJ$2:$AJ$1001,MATCH(ROWS($AH$2:AH772),$AH$2:$AH$1001,0),0), INDEX($AO$1004:$BQ$1004,1,MATCH(COLUMNS($AO$1006:AY1006),$AO$1006:$BQ$1006,0)))),"Fix")))</f>
        <v>#N/A</v>
      </c>
      <c r="M772" s="5" t="e">
        <f ca="1">IF(OR(INDEX($AI$2:$AI$1001,MATCH(ROWS($AH$2:AH772),$AH$2:$AH$1001,0),1)&gt;=100000,INDEX($AO$1005:$BQ$1005,1,MATCH(COLUMNS($AO$1006:AZ1006),$AO$1006:$BQ$1006,0))&gt;=100000), " ",IF(INDEX($AO$2:$BQ$1001,MATCH(ROWS($AH$2:AH772),$AH$2:$AH$1001,0),MATCH(COLUMNS($AO$1006:AZ1006),$AO$1006:$BQ$1006,0)), HYPERLINK("#",""), HYPERLINK(CONCATENATE("#Metadata!", ADDRESS(INDEX($AJ$2:$AJ$1001,MATCH(ROWS($AH$2:AH772),$AH$2:$AH$1001,0),0), INDEX($AO$1004:$BQ$1004,1,MATCH(COLUMNS($AO$1006:AZ1006),$AO$1006:$BQ$1006,0)))),"Fix")))</f>
        <v>#N/A</v>
      </c>
      <c r="N772" s="5" t="e">
        <f ca="1">IF(OR(INDEX($AI$2:$AI$1001,MATCH(ROWS($AH$2:AH772),$AH$2:$AH$1001,0),1)&gt;=100000,INDEX($AO$1005:$BQ$1005,1,MATCH(COLUMNS($AO$1006:BA1006),$AO$1006:$BQ$1006,0))&gt;=100000), " ",IF(INDEX($AO$2:$BQ$1001,MATCH(ROWS($AH$2:AH772),$AH$2:$AH$1001,0),MATCH(COLUMNS($AO$1006:BA1006),$AO$1006:$BQ$1006,0)), HYPERLINK("#",""), HYPERLINK(CONCATENATE("#Metadata!", ADDRESS(INDEX($AJ$2:$AJ$1001,MATCH(ROWS($AH$2:AH772),$AH$2:$AH$1001,0),0), INDEX($AO$1004:$BQ$1004,1,MATCH(COLUMNS($AO$1006:BA1006),$AO$1006:$BQ$1006,0)))),"Fix")))</f>
        <v>#N/A</v>
      </c>
      <c r="O772" s="5" t="e">
        <f ca="1">IF(OR(INDEX($AI$2:$AI$1001,MATCH(ROWS($AH$2:AH772),$AH$2:$AH$1001,0),1)&gt;=100000,INDEX($AO$1005:$BQ$1005,1,MATCH(COLUMNS($AO$1006:BB1006),$AO$1006:$BQ$1006,0))&gt;=100000), " ",IF(INDEX($AO$2:$BQ$1001,MATCH(ROWS($AH$2:AH772),$AH$2:$AH$1001,0),MATCH(COLUMNS($AO$1006:BB1006),$AO$1006:$BQ$1006,0)), HYPERLINK("#",""), HYPERLINK(CONCATENATE("#Metadata!", ADDRESS(INDEX($AJ$2:$AJ$1001,MATCH(ROWS($AH$2:AH772),$AH$2:$AH$1001,0),0), INDEX($AO$1004:$BQ$1004,1,MATCH(COLUMNS($AO$1006:BB1006),$AO$1006:$BQ$1006,0)))),"Fix")))</f>
        <v>#N/A</v>
      </c>
      <c r="P772" s="5" t="e">
        <f ca="1">IF(OR(INDEX($AI$2:$AI$1001,MATCH(ROWS($AH$2:AH772),$AH$2:$AH$1001,0),1)&gt;=100000,INDEX($AO$1005:$BQ$1005,1,MATCH(COLUMNS($AO$1006:BC1006),$AO$1006:$BQ$1006,0))&gt;=100000), " ",IF(INDEX($AO$2:$BQ$1001,MATCH(ROWS($AH$2:AH772),$AH$2:$AH$1001,0),MATCH(COLUMNS($AO$1006:BC1006),$AO$1006:$BQ$1006,0)), HYPERLINK("#",""), HYPERLINK(CONCATENATE("#Metadata!", ADDRESS(INDEX($AJ$2:$AJ$1001,MATCH(ROWS($AH$2:AH772),$AH$2:$AH$1001,0),0), INDEX($AO$1004:$BQ$1004,1,MATCH(COLUMNS($AO$1006:BC1006),$AO$1006:$BQ$1006,0)))),"Fix")))</f>
        <v>#N/A</v>
      </c>
      <c r="Q772" s="5" t="e">
        <f ca="1">IF(OR(INDEX($AI$2:$AI$1001,MATCH(ROWS($AH$2:AH772),$AH$2:$AH$1001,0),1)&gt;=100000,INDEX($AO$1005:$BQ$1005,1,MATCH(COLUMNS($AO$1006:BD1006),$AO$1006:$BQ$1006,0))&gt;=100000), " ",IF(INDEX($AO$2:$BQ$1001,MATCH(ROWS($AH$2:AH772),$AH$2:$AH$1001,0),MATCH(COLUMNS($AO$1006:BD1006),$AO$1006:$BQ$1006,0)), HYPERLINK("#",""), HYPERLINK(CONCATENATE("#Metadata!", ADDRESS(INDEX($AJ$2:$AJ$1001,MATCH(ROWS($AH$2:AH772),$AH$2:$AH$1001,0),0), INDEX($AO$1004:$BQ$1004,1,MATCH(COLUMNS($AO$1006:BD1006),$AO$1006:$BQ$1006,0)))),"Fix")))</f>
        <v>#N/A</v>
      </c>
      <c r="R772" s="5" t="e">
        <f ca="1">IF(OR(INDEX($AI$2:$AI$1001,MATCH(ROWS($AH$2:AH772),$AH$2:$AH$1001,0),1)&gt;=100000,INDEX($AO$1005:$BQ$1005,1,MATCH(COLUMNS($AO$1006:BE1006),$AO$1006:$BQ$1006,0))&gt;=100000), " ",IF(INDEX($AO$2:$BQ$1001,MATCH(ROWS($AH$2:AH772),$AH$2:$AH$1001,0),MATCH(COLUMNS($AO$1006:BE1006),$AO$1006:$BQ$1006,0)), HYPERLINK("#",""), HYPERLINK(CONCATENATE("#Metadata!", ADDRESS(INDEX($AJ$2:$AJ$1001,MATCH(ROWS($AH$2:AH772),$AH$2:$AH$1001,0),0), INDEX($AO$1004:$BQ$1004,1,MATCH(COLUMNS($AO$1006:BE1006),$AO$1006:$BQ$1006,0)))),"Fix")))</f>
        <v>#N/A</v>
      </c>
      <c r="S772" s="5" t="e">
        <f ca="1">IF(OR(INDEX($AI$2:$AI$1001,MATCH(ROWS($AH$2:AH772),$AH$2:$AH$1001,0),1)&gt;=100000,INDEX($AO$1005:$BQ$1005,1,MATCH(COLUMNS($AO$1006:BF1006),$AO$1006:$BQ$1006,0))&gt;=100000), " ",IF(INDEX($AO$2:$BQ$1001,MATCH(ROWS($AH$2:AH772),$AH$2:$AH$1001,0),MATCH(COLUMNS($AO$1006:BF1006),$AO$1006:$BQ$1006,0)), HYPERLINK("#",""), HYPERLINK(CONCATENATE("#Metadata!", ADDRESS(INDEX($AJ$2:$AJ$1001,MATCH(ROWS($AH$2:AH772),$AH$2:$AH$1001,0),0), INDEX($AO$1004:$BQ$1004,1,MATCH(COLUMNS($AO$1006:BF1006),$AO$1006:$BQ$1006,0)))),"Fix")))</f>
        <v>#N/A</v>
      </c>
      <c r="T772" s="5" t="e">
        <f ca="1">IF(OR(INDEX($AI$2:$AI$1001,MATCH(ROWS($AH$2:AH772),$AH$2:$AH$1001,0),1)&gt;=100000,INDEX($AO$1005:$BQ$1005,1,MATCH(COLUMNS($AO$1006:BG1006),$AO$1006:$BQ$1006,0))&gt;=100000), " ",IF(INDEX($AO$2:$BQ$1001,MATCH(ROWS($AH$2:AH772),$AH$2:$AH$1001,0),MATCH(COLUMNS($AO$1006:BG1006),$AO$1006:$BQ$1006,0)), HYPERLINK("#",""), HYPERLINK(CONCATENATE("#Metadata!", ADDRESS(INDEX($AJ$2:$AJ$1001,MATCH(ROWS($AH$2:AH772),$AH$2:$AH$1001,0),0), INDEX($AO$1004:$BQ$1004,1,MATCH(COLUMNS($AO$1006:BG1006),$AO$1006:$BQ$1006,0)))),"Fix")))</f>
        <v>#N/A</v>
      </c>
      <c r="U772" s="5" t="e">
        <f ca="1">IF(OR(INDEX($AI$2:$AI$1001,MATCH(ROWS($AH$2:AH772),$AH$2:$AH$1001,0),1)&gt;=100000,INDEX($AO$1005:$BQ$1005,1,MATCH(COLUMNS($AO$1006:BH1006),$AO$1006:$BQ$1006,0))&gt;=100000), " ",IF(INDEX($AO$2:$BQ$1001,MATCH(ROWS($AH$2:AH772),$AH$2:$AH$1001,0),MATCH(COLUMNS($AO$1006:BH1006),$AO$1006:$BQ$1006,0)), HYPERLINK("#",""), HYPERLINK(CONCATENATE("#Metadata!", ADDRESS(INDEX($AJ$2:$AJ$1001,MATCH(ROWS($AH$2:AH772),$AH$2:$AH$1001,0),0), INDEX($AO$1004:$BQ$1004,1,MATCH(COLUMNS($AO$1006:BH1006),$AO$1006:$BQ$1006,0)))),"Fix")))</f>
        <v>#N/A</v>
      </c>
      <c r="V772" s="5" t="e">
        <f ca="1">IF(OR(INDEX($AI$2:$AI$1001,MATCH(ROWS($AH$2:AH772),$AH$2:$AH$1001,0),1)&gt;=100000,INDEX($AO$1005:$BQ$1005,1,MATCH(COLUMNS($AO$1006:BI1006),$AO$1006:$BQ$1006,0))&gt;=100000), " ",IF(INDEX($AO$2:$BQ$1001,MATCH(ROWS($AH$2:AH772),$AH$2:$AH$1001,0),MATCH(COLUMNS($AO$1006:BI1006),$AO$1006:$BQ$1006,0)), HYPERLINK("#",""), HYPERLINK(CONCATENATE("#Metadata!", ADDRESS(INDEX($AJ$2:$AJ$1001,MATCH(ROWS($AH$2:AH772),$AH$2:$AH$1001,0),0), INDEX($AO$1004:$BQ$1004,1,MATCH(COLUMNS($AO$1006:BI1006),$AO$1006:$BQ$1006,0)))),"Fix")))</f>
        <v>#N/A</v>
      </c>
      <c r="W772" s="5" t="e">
        <f ca="1">IF(OR(INDEX($AI$2:$AI$1001,MATCH(ROWS($AH$2:AH772),$AH$2:$AH$1001,0),1)&gt;=100000,INDEX($AO$1005:$BQ$1005,1,MATCH(COLUMNS($AO$1006:BJ1006),$AO$1006:$BQ$1006,0))&gt;=100000), " ",IF(INDEX($AO$2:$BQ$1001,MATCH(ROWS($AH$2:AH772),$AH$2:$AH$1001,0),MATCH(COLUMNS($AO$1006:BJ1006),$AO$1006:$BQ$1006,0)), HYPERLINK("#",""), HYPERLINK(CONCATENATE("#Metadata!", ADDRESS(INDEX($AJ$2:$AJ$1001,MATCH(ROWS($AH$2:AH772),$AH$2:$AH$1001,0),0), INDEX($AO$1004:$BQ$1004,1,MATCH(COLUMNS($AO$1006:BJ1006),$AO$1006:$BQ$1006,0)))),"Fix")))</f>
        <v>#N/A</v>
      </c>
      <c r="X772" s="5" t="e">
        <f ca="1">IF(OR(INDEX($AI$2:$AI$1001,MATCH(ROWS($AH$2:AH772),$AH$2:$AH$1001,0),1)&gt;=100000,INDEX($AO$1005:$BQ$1005,1,MATCH(COLUMNS($AO$1006:BK1006),$AO$1006:$BQ$1006,0))&gt;=100000), " ",IF(INDEX($AO$2:$BQ$1001,MATCH(ROWS($AH$2:AH772),$AH$2:$AH$1001,0),MATCH(COLUMNS($AO$1006:BK1006),$AO$1006:$BQ$1006,0)), HYPERLINK("#",""), HYPERLINK(CONCATENATE("#Metadata!", ADDRESS(INDEX($AJ$2:$AJ$1001,MATCH(ROWS($AH$2:AH772),$AH$2:$AH$1001,0),0), INDEX($AO$1004:$BQ$1004,1,MATCH(COLUMNS($AO$1006:BK1006),$AO$1006:$BQ$1006,0)))),"Fix")))</f>
        <v>#N/A</v>
      </c>
      <c r="Y772" s="5" t="e">
        <f ca="1">IF(OR(INDEX($AI$2:$AI$1001,MATCH(ROWS($AH$2:AH772),$AH$2:$AH$1001,0),1)&gt;=100000,INDEX($AO$1005:$BQ$1005,1,MATCH(COLUMNS($AO$1006:BL1006),$AO$1006:$BQ$1006,0))&gt;=100000), " ",IF(INDEX($AO$2:$BQ$1001,MATCH(ROWS($AH$2:AH772),$AH$2:$AH$1001,0),MATCH(COLUMNS($AO$1006:BL1006),$AO$1006:$BQ$1006,0)), HYPERLINK("#",""), HYPERLINK(CONCATENATE("#Metadata!", ADDRESS(INDEX($AJ$2:$AJ$1001,MATCH(ROWS($AH$2:AH772),$AH$2:$AH$1001,0),0), INDEX($AO$1004:$BQ$1004,1,MATCH(COLUMNS($AO$1006:BL1006),$AO$1006:$BQ$1006,0)))),"Fix")))</f>
        <v>#N/A</v>
      </c>
      <c r="Z772" s="5" t="e">
        <f ca="1">IF(OR(INDEX($AI$2:$AI$1001,MATCH(ROWS($AH$2:AH772),$AH$2:$AH$1001,0),1)&gt;=100000,INDEX($AO$1005:$BQ$1005,1,MATCH(COLUMNS($AO$1006:BM1006),$AO$1006:$BQ$1006,0))&gt;=100000), " ",IF(INDEX($AO$2:$BQ$1001,MATCH(ROWS($AH$2:AH772),$AH$2:$AH$1001,0),MATCH(COLUMNS($AO$1006:BM1006),$AO$1006:$BQ$1006,0)), HYPERLINK("#",""), HYPERLINK(CONCATENATE("#Metadata!", ADDRESS(INDEX($AJ$2:$AJ$1001,MATCH(ROWS($AH$2:AH772),$AH$2:$AH$1001,0),0), INDEX($AO$1004:$BQ$1004,1,MATCH(COLUMNS($AO$1006:BM1006),$AO$1006:$BQ$1006,0)))),"Fix")))</f>
        <v>#N/A</v>
      </c>
      <c r="AA772" s="5" t="e">
        <f ca="1">IF(OR(INDEX($AI$2:$AI$1001,MATCH(ROWS($AH$2:AH772),$AH$2:$AH$1001,0),1)&gt;=100000,INDEX($AO$1005:$BQ$1005,1,MATCH(COLUMNS($AO$1006:BN1006),$AO$1006:$BQ$1006,0))&gt;=100000), " ",IF(INDEX($AO$2:$BQ$1001,MATCH(ROWS($AH$2:AH772),$AH$2:$AH$1001,0),MATCH(COLUMNS($AO$1006:BN1006),$AO$1006:$BQ$1006,0)), HYPERLINK("#",""), HYPERLINK(CONCATENATE("#Metadata!", ADDRESS(INDEX($AJ$2:$AJ$1001,MATCH(ROWS($AH$2:AH772),$AH$2:$AH$1001,0),0), INDEX($AO$1004:$BQ$1004,1,MATCH(COLUMNS($AO$1006:BN1006),$AO$1006:$BQ$1006,0)))),"Fix")))</f>
        <v>#N/A</v>
      </c>
      <c r="AB772" s="5" t="e">
        <f ca="1">IF(OR(INDEX($AI$2:$AI$1001,MATCH(ROWS($AH$2:AH772),$AH$2:$AH$1001,0),1)&gt;=100000,INDEX($AO$1005:$BQ$1005,1,MATCH(COLUMNS($AO$1006:BO1006),$AO$1006:$BQ$1006,0))&gt;=100000), " ",IF(INDEX($AO$2:$BQ$1001,MATCH(ROWS($AH$2:AH772),$AH$2:$AH$1001,0),MATCH(COLUMNS($AO$1006:BO1006),$AO$1006:$BQ$1006,0)), HYPERLINK("#",""), HYPERLINK(CONCATENATE("#Metadata!", ADDRESS(INDEX($AJ$2:$AJ$1001,MATCH(ROWS($AH$2:AH772),$AH$2:$AH$1001,0),0), INDEX($AO$1004:$BQ$1004,1,MATCH(COLUMNS($AO$1006:BO1006),$AO$1006:$BQ$1006,0)))),"Fix")))</f>
        <v>#N/A</v>
      </c>
      <c r="AC772" s="5" t="e">
        <f ca="1">IF(OR(INDEX($AI$2:$AI$1001,MATCH(ROWS($AH$2:AH772),$AH$2:$AH$1001,0),1)&gt;=100000,INDEX($AO$1005:$BQ$1005,1,MATCH(COLUMNS($AO$1006:BP1006),$AO$1006:$BQ$1006,0))&gt;=100000), " ",IF(INDEX($AO$2:$BQ$1001,MATCH(ROWS($AH$2:AH772),$AH$2:$AH$1001,0),MATCH(COLUMNS($AO$1006:BP1006),$AO$1006:$BQ$1006,0)), HYPERLINK("#",""), HYPERLINK(CONCATENATE("#Metadata!", ADDRESS(INDEX($AJ$2:$AJ$1001,MATCH(ROWS($AH$2:AH772),$AH$2:$AH$1001,0),0), INDEX($AO$1004:$BQ$1004,1,MATCH(COLUMNS($AO$1006:BP1006),$AO$1006:$BQ$1006,0)))),"Fix")))</f>
        <v>#N/A</v>
      </c>
      <c r="AD772" s="5" t="e">
        <f ca="1">IF(OR(INDEX($AI$2:$AI$1001,MATCH(ROWS($AH$2:AH772),$AH$2:$AH$1001,0),1)&gt;=100000,INDEX($AO$1005:$BQ$1005,1,MATCH(COLUMNS($AO$1006:BQ1006),$AO$1006:$BQ$1006,0))&gt;=100000), " ",IF(INDEX($AO$2:$BQ$1001,MATCH(ROWS($AH$2:AH772),$AH$2:$AH$1001,0),MATCH(COLUMNS($AO$1006:BQ1006),$AO$1006:$BQ$1006,0)), HYPERLINK("#",""), HYPERLINK(CONCATENATE("#Metadata!", ADDRESS(INDEX($AJ$2:$AJ$1001,MATCH(ROWS($AH$2:AH772),$AH$2:$AH$1001,0),0), INDEX($AO$1004:$BQ$1004,1,MATCH(COLUMNS($AO$1006:BQ1006),$AO$1006:$BQ$1006,0)))),"Fix")))</f>
        <v>#REF!</v>
      </c>
      <c r="AH772">
        <f ca="1"/>
        <v>769</v>
      </c>
      <c r="AI772">
        <v>100772</v>
      </c>
      <c r="AJ772">
        <v>772</v>
      </c>
      <c r="AK772" t="b">
        <f t="shared" si="12"/>
        <v>1</v>
      </c>
      <c r="AL772" t="b">
        <f>COUNTBLANK(Metadata!B772:AD772)=COLUMNS(Metadata!B772:AD772)</f>
        <v>1</v>
      </c>
      <c r="AM772" t="str">
        <v/>
      </c>
      <c r="AO772" t="b">
        <f ca="1">AND(IF(Metadata!B772="",FALSE,TRUE),COUNTIF(Metadata!B:B, Metadata!B772) = 1,NOT(ISERROR(SUMPRODUCT(SEARCH(MID(Metadata!B772,ROW(INDIRECT("1:"&amp;LEN(Metadata!B772))), 1),"0123456789abcdefghijklmnopqrstuvwxyzABCDEFGHIJKLMNOPQRSTUVWXYZ.")))))</f>
        <v>0</v>
      </c>
      <c r="AP772" t="b">
        <f>IF(Metadata!C772="",FALSE,TRUE)</f>
        <v>0</v>
      </c>
      <c r="AQ772" t="b">
        <f>IF(Metadata!D772="",FALSE,TRUE)</f>
        <v>0</v>
      </c>
      <c r="AR772" t="b">
        <f ca="1">OR(AND(IF(Metadata!E772="",FALSE,TRUE),OR(EXACT(Metadata!E772,"not collected"),EXACT(Metadata!E772,"not provided"),EXACT(Metadata!E772,"restricted access"))),AND(IF(Metadata!E772="",FALSE,TRUE),AND(AND(IFERROR(INT(LEFT(Metadata!E772,4))&gt;1900,FALSE),IFERROR(INT(LEFT(Metadata!E772,4))&lt;=YEAR(NOW()),FALSE)), OR(MID(Metadata!E772,5,1)="", AND(AND(MID(Metadata!E772,5,1)="-",IFERROR(INT(MID(Metadata!E772,6,1))&gt;=0,FALSE),IFERROR(INT(MID(Metadata!E772,6,1))&lt;=1,FALSE),NOT(MID(Metadata!E772,7,1)=""),IFERROR(INT(MID(Metadata!E772,6,2))&gt;=1,FALSE),IFERROR(INT(MID(Metadata!E772,6,2))&lt;=12,FALSE)), OR(MID(Metadata!E772,8,1)="", AND(AND(MID(Metadata!E772,8,1)="-",IFERROR(INT(MID(Metadata!E772,9,1))&gt;=0,FALSE),IFERROR(INT(MID(Metadata!E772,9,1))&lt;=3,FALSE),NOT(MID(Metadata!E772,10,1)=""),IFERROR(INT(MID(Metadata!E772,9,2))&gt;=1,FALSE),IFERROR(INT(MID(Metadata!E772,9,2))&lt;=31,FALSE)), OR(MID(Metadata!E772,11,1)="", AND(AND(MID(Metadata!E772,11,1)=" ",IFERROR(INT(MID(Metadata!E772,12,1))&gt;=0,FALSE),IFERROR(INT(MID(Metadata!E772,12,1))&lt;=2,FALSE),NOT(MID(Metadata!E772,13,1)=""),IFERROR(INT(MID(Metadata!E772,12,2))&gt;=0,FALSE),IFERROR(INT(MID(Metadata!E772,12,2))&lt;=23,FALSE)), OR(MID(Metadata!E772,14,1)="", AND(AND(MID(Metadata!E772,14,1)=":",IFERROR(INT(MID(Metadata!E772,15,1))&gt;=0,FALSE),IFERROR(INT(MID(Metadata!E772,15,1))&lt;=5,FALSE),NOT(MID(Metadata!E772,16,1)=""),IFERROR(INT(MID(Metadata!E772,15,2))&gt;=0,FALSE),IFERROR(INT(MID(Metadata!E772,15,2))&lt;=59,FALSE)), OR(MID(Metadata!E772,17,1)="", AND(AND(MID(Metadata!E772,17,1)=":",IFERROR(INT(MID(Metadata!E772,18,1))&gt;=0,FALSE),IFERROR(INT(MID(Metadata!E772,18,1))&lt;=5,FALSE),NOT(MID(Metadata!E772,19,1)=""),IFERROR(INT(MID(Metadata!E772,18,2))&gt;=0,FALSE),IFERROR(INT(MID(Metadata!E772,18,2))&lt;=59,FALSE)), LEN(Metadata!E772)&lt;=19)))))))))))))</f>
        <v>0</v>
      </c>
      <c r="AS772" t="b">
        <f>IF(Metadata!F772="",FALSE,TRUE)</f>
        <v>0</v>
      </c>
      <c r="AT772" t="b">
        <f>OR(AND(IF(Metadata!G772="",FALSE,TRUE),OR(EXACT(Metadata!G772,"not collected"),EXACT(Metadata!G772,"not provided"))),AND(IF(Metadata!G772="",FALSE,TRUE),OR(EXACT(Metadata!G772,"TRUE"),EXACT(Metadata!G772,"FALSE"))))</f>
        <v>0</v>
      </c>
      <c r="AU772" t="b">
        <f>OR(AND(IF(Metadata!H772="",FALSE,TRUE),OR(EXACT(Metadata!H772,"not collected"),EXACT(Metadata!H772,"not provided"),EXACT(Metadata!H772,"restricted access"))),AND(IF(Metadata!H772="",FALSE,ISNUMBER(VALUE(Metadata!H772))),Metadata!H772&gt;=-413))</f>
        <v>0</v>
      </c>
      <c r="AV772" t="b">
        <f>AND(IF(Metadata!I772="",FALSE,TRUE),EXACT(Metadata!I772,"meters"))</f>
        <v>0</v>
      </c>
      <c r="AW772" t="b">
        <f>AND(IF(Metadata!J772="",FALSE,TRUE),EXACT(Metadata!J772,"free-living"))</f>
        <v>0</v>
      </c>
      <c r="AX772" t="b">
        <f>AND(IF(Metadata!K772="",FALSE,TRUE),OR(EXACT(Metadata!K772,"saline"),EXACT(Metadata!K772,"non-saline")))</f>
        <v>0</v>
      </c>
      <c r="AY772" t="b">
        <f>AND(IF(Metadata!L772="",FALSE,TRUE),OR(EXACT(Metadata!L772,"sub-surface (non-saline)"),EXACT(Metadata!L772,"surface (non-saline)"),EXACT(Metadata!L772,"water (non-saline)"),EXACT(Metadata!L772,"soil (non-saline)"),EXACT(Metadata!L772,"aerosol (non-saline)"),EXACT(Metadata!L772,"sediment (non-saline)"),EXACT(Metadata!L772,"surface (saline)"),EXACT(Metadata!L772,"water (saline)"),EXACT(Metadata!L772,"hypersaline (saline)"),EXACT(Metadata!L772,"aerosol (saline)"),EXACT(Metadata!L772,"sediment (saline)")))</f>
        <v>0</v>
      </c>
      <c r="AZ772" t="b">
        <f>IF(Metadata!M772="",FALSE,TRUE)</f>
        <v>0</v>
      </c>
      <c r="BA772" t="b">
        <f>IF(Metadata!N772="",FALSE,TRUE)</f>
        <v>0</v>
      </c>
      <c r="BB772" t="b">
        <f>IF(Metadata!O772="",FALSE,TRUE)</f>
        <v>0</v>
      </c>
      <c r="BC772" t="b">
        <f>AND(IF(Metadata!P772="",FALSE,TRUE),OR(EXACT(Metadata!P772,"air"),EXACT(Metadata!P772,"microbial mat/biofilm"),EXACT(Metadata!P772,"misc environment"),EXACT(Metadata!P772,"sediment"),EXACT(Metadata!P772,"soil"),EXACT(Metadata!P772,"wastewater/sludge"),EXACT(Metadata!P772,"water")))</f>
        <v>0</v>
      </c>
      <c r="BD772" t="b">
        <f>IF(Metadata!Q772="",FALSE,TRUE)</f>
        <v>0</v>
      </c>
      <c r="BE772" t="b">
        <f>IF(Metadata!R772="",FALSE,TRUE)</f>
        <v>0</v>
      </c>
      <c r="BF772" t="b">
        <f>OR(AND(IF(Metadata!S772="",FALSE,TRUE),OR(EXACT(Metadata!S772,"not collected"),EXACT(Metadata!S772,"not provided"),EXACT(Metadata!S772,"restricted access"))),AND(IF(Metadata!S772="",FALSE,ISNUMBER(VALUE(Metadata!S772))),Metadata!S772&gt;=-90,Metadata!S772&lt;=90))</f>
        <v>0</v>
      </c>
      <c r="BG772" t="b">
        <f>AND(IF(Metadata!T772="",FALSE,TRUE),EXACT(Metadata!T772,"Decimal degrees"))</f>
        <v>0</v>
      </c>
      <c r="BH772" t="b">
        <f>OR(AND(IF(Metadata!U772="",FALSE,TRUE),OR(EXACT(Metadata!U772,"not applicable"),EXACT(Metadata!U772,"not collected"))),IF(Metadata!U772="",FALSE,TRUE))</f>
        <v>0</v>
      </c>
      <c r="BI772" t="b">
        <f>OR(AND(IF(Metadata!V772="",FALSE,TRUE),OR(EXACT(Metadata!V772,"not collected"),EXACT(Metadata!V772,"not provided"),EXACT(Metadata!V772,"restricted access"))),AND(IF(Metadata!V772="",FALSE,ISNUMBER(VALUE(Metadata!V772))),Metadata!V772&gt;=-180,Metadata!V772&lt;=180))</f>
        <v>0</v>
      </c>
      <c r="BJ772" t="b">
        <f>AND(IF(Metadata!W772="",FALSE,TRUE),EXACT(Metadata!W772,"Decimal degrees"))</f>
        <v>0</v>
      </c>
      <c r="BK772" t="b">
        <f>IF(Metadata!X772="",FALSE,TRUE)</f>
        <v>0</v>
      </c>
      <c r="BL772" t="b">
        <f>OR(AND(IF(Metadata!Y772="",FALSE,TRUE),OR(EXACT(Metadata!Y772,"not collected"),EXACT(Metadata!Y772,"not provided"),EXACT(Metadata!Y772,"restricted access"))),AND(IF(Metadata!Y772="",FALSE,TRUE),OR(EXACT(Metadata!Y772,"TRUE"),EXACT(Metadata!Y772,"FALSE"))))</f>
        <v>0</v>
      </c>
      <c r="BM772" t="b">
        <f>OR(AND(IF(Metadata!Z772="",FALSE,TRUE),EXACT(Metadata!Z772,"not applicable")),AND(IF(Metadata!Z772="",FALSE,TRUE),OR(EXACT(Metadata!Z772,"beer"),EXACT(Metadata!Z772,"cheese"),EXACT(Metadata!Z772,"fresh water"),EXACT(Metadata!Z772,"marine sediment"),EXACT(Metadata!Z772,"sea water"),EXACT(Metadata!Z772,"sediment"),EXACT(Metadata!Z772,"soil"),EXACT(Metadata!Z772,"waste water"))))</f>
        <v>0</v>
      </c>
      <c r="BN772" t="b">
        <f>AND(IF(Metadata!AA772="",FALSE,TRUE),EXACT(Metadata!AA772,"metagenome"))</f>
        <v>0</v>
      </c>
      <c r="BO772" t="b">
        <f>AND(IF(Metadata!AB772="",FALSE,TRUE),EXACT(Metadata!AB772,"256318"))</f>
        <v>0</v>
      </c>
      <c r="BP772" t="b">
        <f>IF(Metadata!AC772="",FALSE,TRUE)</f>
        <v>0</v>
      </c>
      <c r="BQ772" t="b">
        <f>IF(Metadata!AD772="",FALSE,TRUE)</f>
        <v>0</v>
      </c>
    </row>
    <row r="773" spans="1:69" x14ac:dyDescent="0.2">
      <c r="A773" s="4" t="e">
        <f ca="1">IF(B773=" "," ",HYPERLINK(CONCATENATE("#metadata!",ADDRESS(INDEX($AJ$2:$AJ$1001,MATCH(ROWS($AH$2:AH773),$AH$2:$AH$1001,0),0),2)),INDEX($AM$2:$AM$1001,MATCH(ROWS($AH$2:AH773),$AH$2:$AH$1001,0),0)))</f>
        <v>#N/A</v>
      </c>
      <c r="B773" s="5" t="e">
        <f ca="1">IF(OR(INDEX($AI$2:$AI$1001,MATCH(ROWS($AH$2:AH773),$AH$2:$AH$1001,0),1)&gt;=100000,INDEX($AO$1005:$BQ$1005,1,MATCH(COLUMNS($AO$1006:AO1006),$AO$1006:$BQ$1006,0))&gt;=100000), " ",IF(INDEX($AO$2:$BQ$1001,MATCH(ROWS($AH$2:AH773),$AH$2:$AH$1001,0),MATCH(COLUMNS($AO$1006:AO1006),$AO$1006:$BQ$1006,0)), HYPERLINK("#",""), HYPERLINK(CONCATENATE("#Metadata!", ADDRESS(INDEX($AJ$2:$AJ$1001,MATCH(ROWS($AH$2:AH773),$AH$2:$AH$1001,0),0), INDEX($AO$1004:$BQ$1004,1,MATCH(COLUMNS($AO$1006:AO1006),$AO$1006:$BQ$1006,0)))),"Fix")))</f>
        <v>#N/A</v>
      </c>
      <c r="C773" s="5" t="e">
        <f ca="1">IF(OR(INDEX($AI$2:$AI$1001,MATCH(ROWS($AH$2:AH773),$AH$2:$AH$1001,0),1)&gt;=100000,INDEX($AO$1005:$BQ$1005,1,MATCH(COLUMNS($AO$1006:AP1006),$AO$1006:$BQ$1006,0))&gt;=100000), " ",IF(INDEX($AO$2:$BQ$1001,MATCH(ROWS($AH$2:AH773),$AH$2:$AH$1001,0),MATCH(COLUMNS($AO$1006:AP1006),$AO$1006:$BQ$1006,0)), HYPERLINK("#",""), HYPERLINK(CONCATENATE("#Metadata!", ADDRESS(INDEX($AJ$2:$AJ$1001,MATCH(ROWS($AH$2:AH773),$AH$2:$AH$1001,0),0), INDEX($AO$1004:$BQ$1004,1,MATCH(COLUMNS($AO$1006:AP1006),$AO$1006:$BQ$1006,0)))),"Fix")))</f>
        <v>#N/A</v>
      </c>
      <c r="D773" s="5" t="e">
        <f ca="1">IF(OR(INDEX($AI$2:$AI$1001,MATCH(ROWS($AH$2:AH773),$AH$2:$AH$1001,0),1)&gt;=100000,INDEX($AO$1005:$BQ$1005,1,MATCH(COLUMNS($AO$1006:AQ1006),$AO$1006:$BQ$1006,0))&gt;=100000), " ",IF(INDEX($AO$2:$BQ$1001,MATCH(ROWS($AH$2:AH773),$AH$2:$AH$1001,0),MATCH(COLUMNS($AO$1006:AQ1006),$AO$1006:$BQ$1006,0)), HYPERLINK("#",""), HYPERLINK(CONCATENATE("#Metadata!", ADDRESS(INDEX($AJ$2:$AJ$1001,MATCH(ROWS($AH$2:AH773),$AH$2:$AH$1001,0),0), INDEX($AO$1004:$BQ$1004,1,MATCH(COLUMNS($AO$1006:AQ1006),$AO$1006:$BQ$1006,0)))),"Fix")))</f>
        <v>#N/A</v>
      </c>
      <c r="E773" s="5" t="e">
        <f ca="1">IF(OR(INDEX($AI$2:$AI$1001,MATCH(ROWS($AH$2:AH773),$AH$2:$AH$1001,0),1)&gt;=100000,INDEX($AO$1005:$BQ$1005,1,MATCH(COLUMNS($AO$1006:AR1006),$AO$1006:$BQ$1006,0))&gt;=100000), " ",IF(INDEX($AO$2:$BQ$1001,MATCH(ROWS($AH$2:AH773),$AH$2:$AH$1001,0),MATCH(COLUMNS($AO$1006:AR1006),$AO$1006:$BQ$1006,0)), HYPERLINK("#",""), HYPERLINK(CONCATENATE("#Metadata!", ADDRESS(INDEX($AJ$2:$AJ$1001,MATCH(ROWS($AH$2:AH773),$AH$2:$AH$1001,0),0), INDEX($AO$1004:$BQ$1004,1,MATCH(COLUMNS($AO$1006:AR1006),$AO$1006:$BQ$1006,0)))),"Fix")))</f>
        <v>#N/A</v>
      </c>
      <c r="F773" s="5" t="e">
        <f ca="1">IF(OR(INDEX($AI$2:$AI$1001,MATCH(ROWS($AH$2:AH773),$AH$2:$AH$1001,0),1)&gt;=100000,INDEX($AO$1005:$BQ$1005,1,MATCH(COLUMNS($AO$1006:AS1006),$AO$1006:$BQ$1006,0))&gt;=100000), " ",IF(INDEX($AO$2:$BQ$1001,MATCH(ROWS($AH$2:AH773),$AH$2:$AH$1001,0),MATCH(COLUMNS($AO$1006:AS1006),$AO$1006:$BQ$1006,0)), HYPERLINK("#",""), HYPERLINK(CONCATENATE("#Metadata!", ADDRESS(INDEX($AJ$2:$AJ$1001,MATCH(ROWS($AH$2:AH773),$AH$2:$AH$1001,0),0), INDEX($AO$1004:$BQ$1004,1,MATCH(COLUMNS($AO$1006:AS1006),$AO$1006:$BQ$1006,0)))),"Fix")))</f>
        <v>#N/A</v>
      </c>
      <c r="G773" s="5" t="e">
        <f ca="1">IF(OR(INDEX($AI$2:$AI$1001,MATCH(ROWS($AH$2:AH773),$AH$2:$AH$1001,0),1)&gt;=100000,INDEX($AO$1005:$BQ$1005,1,MATCH(COLUMNS($AO$1006:AT1006),$AO$1006:$BQ$1006,0))&gt;=100000), " ",IF(INDEX($AO$2:$BQ$1001,MATCH(ROWS($AH$2:AH773),$AH$2:$AH$1001,0),MATCH(COLUMNS($AO$1006:AT1006),$AO$1006:$BQ$1006,0)), HYPERLINK("#",""), HYPERLINK(CONCATENATE("#Metadata!", ADDRESS(INDEX($AJ$2:$AJ$1001,MATCH(ROWS($AH$2:AH773),$AH$2:$AH$1001,0),0), INDEX($AO$1004:$BQ$1004,1,MATCH(COLUMNS($AO$1006:AT1006),$AO$1006:$BQ$1006,0)))),"Fix")))</f>
        <v>#N/A</v>
      </c>
      <c r="H773" s="5" t="e">
        <f ca="1">IF(OR(INDEX($AI$2:$AI$1001,MATCH(ROWS($AH$2:AH773),$AH$2:$AH$1001,0),1)&gt;=100000,INDEX($AO$1005:$BQ$1005,1,MATCH(COLUMNS($AO$1006:AU1006),$AO$1006:$BQ$1006,0))&gt;=100000), " ",IF(INDEX($AO$2:$BQ$1001,MATCH(ROWS($AH$2:AH773),$AH$2:$AH$1001,0),MATCH(COLUMNS($AO$1006:AU1006),$AO$1006:$BQ$1006,0)), HYPERLINK("#",""), HYPERLINK(CONCATENATE("#Metadata!", ADDRESS(INDEX($AJ$2:$AJ$1001,MATCH(ROWS($AH$2:AH773),$AH$2:$AH$1001,0),0), INDEX($AO$1004:$BQ$1004,1,MATCH(COLUMNS($AO$1006:AU1006),$AO$1006:$BQ$1006,0)))),"Fix")))</f>
        <v>#N/A</v>
      </c>
      <c r="I773" s="5" t="e">
        <f ca="1">IF(OR(INDEX($AI$2:$AI$1001,MATCH(ROWS($AH$2:AH773),$AH$2:$AH$1001,0),1)&gt;=100000,INDEX($AO$1005:$BQ$1005,1,MATCH(COLUMNS($AO$1006:AV1006),$AO$1006:$BQ$1006,0))&gt;=100000), " ",IF(INDEX($AO$2:$BQ$1001,MATCH(ROWS($AH$2:AH773),$AH$2:$AH$1001,0),MATCH(COLUMNS($AO$1006:AV1006),$AO$1006:$BQ$1006,0)), HYPERLINK("#",""), HYPERLINK(CONCATENATE("#Metadata!", ADDRESS(INDEX($AJ$2:$AJ$1001,MATCH(ROWS($AH$2:AH773),$AH$2:$AH$1001,0),0), INDEX($AO$1004:$BQ$1004,1,MATCH(COLUMNS($AO$1006:AV1006),$AO$1006:$BQ$1006,0)))),"Fix")))</f>
        <v>#N/A</v>
      </c>
      <c r="J773" s="5" t="e">
        <f ca="1">IF(OR(INDEX($AI$2:$AI$1001,MATCH(ROWS($AH$2:AH773),$AH$2:$AH$1001,0),1)&gt;=100000,INDEX($AO$1005:$BQ$1005,1,MATCH(COLUMNS($AO$1006:AW1006),$AO$1006:$BQ$1006,0))&gt;=100000), " ",IF(INDEX($AO$2:$BQ$1001,MATCH(ROWS($AH$2:AH773),$AH$2:$AH$1001,0),MATCH(COLUMNS($AO$1006:AW1006),$AO$1006:$BQ$1006,0)), HYPERLINK("#",""), HYPERLINK(CONCATENATE("#Metadata!", ADDRESS(INDEX($AJ$2:$AJ$1001,MATCH(ROWS($AH$2:AH773),$AH$2:$AH$1001,0),0), INDEX($AO$1004:$BQ$1004,1,MATCH(COLUMNS($AO$1006:AW1006),$AO$1006:$BQ$1006,0)))),"Fix")))</f>
        <v>#N/A</v>
      </c>
      <c r="K773" s="5" t="e">
        <f ca="1">IF(OR(INDEX($AI$2:$AI$1001,MATCH(ROWS($AH$2:AH773),$AH$2:$AH$1001,0),1)&gt;=100000,INDEX($AO$1005:$BQ$1005,1,MATCH(COLUMNS($AO$1006:AX1006),$AO$1006:$BQ$1006,0))&gt;=100000), " ",IF(INDEX($AO$2:$BQ$1001,MATCH(ROWS($AH$2:AH773),$AH$2:$AH$1001,0),MATCH(COLUMNS($AO$1006:AX1006),$AO$1006:$BQ$1006,0)), HYPERLINK("#",""), HYPERLINK(CONCATENATE("#Metadata!", ADDRESS(INDEX($AJ$2:$AJ$1001,MATCH(ROWS($AH$2:AH773),$AH$2:$AH$1001,0),0), INDEX($AO$1004:$BQ$1004,1,MATCH(COLUMNS($AO$1006:AX1006),$AO$1006:$BQ$1006,0)))),"Fix")))</f>
        <v>#N/A</v>
      </c>
      <c r="L773" s="5" t="e">
        <f ca="1">IF(OR(INDEX($AI$2:$AI$1001,MATCH(ROWS($AH$2:AH773),$AH$2:$AH$1001,0),1)&gt;=100000,INDEX($AO$1005:$BQ$1005,1,MATCH(COLUMNS($AO$1006:AY1006),$AO$1006:$BQ$1006,0))&gt;=100000), " ",IF(INDEX($AO$2:$BQ$1001,MATCH(ROWS($AH$2:AH773),$AH$2:$AH$1001,0),MATCH(COLUMNS($AO$1006:AY1006),$AO$1006:$BQ$1006,0)), HYPERLINK("#",""), HYPERLINK(CONCATENATE("#Metadata!", ADDRESS(INDEX($AJ$2:$AJ$1001,MATCH(ROWS($AH$2:AH773),$AH$2:$AH$1001,0),0), INDEX($AO$1004:$BQ$1004,1,MATCH(COLUMNS($AO$1006:AY1006),$AO$1006:$BQ$1006,0)))),"Fix")))</f>
        <v>#N/A</v>
      </c>
      <c r="M773" s="5" t="e">
        <f ca="1">IF(OR(INDEX($AI$2:$AI$1001,MATCH(ROWS($AH$2:AH773),$AH$2:$AH$1001,0),1)&gt;=100000,INDEX($AO$1005:$BQ$1005,1,MATCH(COLUMNS($AO$1006:AZ1006),$AO$1006:$BQ$1006,0))&gt;=100000), " ",IF(INDEX($AO$2:$BQ$1001,MATCH(ROWS($AH$2:AH773),$AH$2:$AH$1001,0),MATCH(COLUMNS($AO$1006:AZ1006),$AO$1006:$BQ$1006,0)), HYPERLINK("#",""), HYPERLINK(CONCATENATE("#Metadata!", ADDRESS(INDEX($AJ$2:$AJ$1001,MATCH(ROWS($AH$2:AH773),$AH$2:$AH$1001,0),0), INDEX($AO$1004:$BQ$1004,1,MATCH(COLUMNS($AO$1006:AZ1006),$AO$1006:$BQ$1006,0)))),"Fix")))</f>
        <v>#N/A</v>
      </c>
      <c r="N773" s="5" t="e">
        <f ca="1">IF(OR(INDEX($AI$2:$AI$1001,MATCH(ROWS($AH$2:AH773),$AH$2:$AH$1001,0),1)&gt;=100000,INDEX($AO$1005:$BQ$1005,1,MATCH(COLUMNS($AO$1006:BA1006),$AO$1006:$BQ$1006,0))&gt;=100000), " ",IF(INDEX($AO$2:$BQ$1001,MATCH(ROWS($AH$2:AH773),$AH$2:$AH$1001,0),MATCH(COLUMNS($AO$1006:BA1006),$AO$1006:$BQ$1006,0)), HYPERLINK("#",""), HYPERLINK(CONCATENATE("#Metadata!", ADDRESS(INDEX($AJ$2:$AJ$1001,MATCH(ROWS($AH$2:AH773),$AH$2:$AH$1001,0),0), INDEX($AO$1004:$BQ$1004,1,MATCH(COLUMNS($AO$1006:BA1006),$AO$1006:$BQ$1006,0)))),"Fix")))</f>
        <v>#N/A</v>
      </c>
      <c r="O773" s="5" t="e">
        <f ca="1">IF(OR(INDEX($AI$2:$AI$1001,MATCH(ROWS($AH$2:AH773),$AH$2:$AH$1001,0),1)&gt;=100000,INDEX($AO$1005:$BQ$1005,1,MATCH(COLUMNS($AO$1006:BB1006),$AO$1006:$BQ$1006,0))&gt;=100000), " ",IF(INDEX($AO$2:$BQ$1001,MATCH(ROWS($AH$2:AH773),$AH$2:$AH$1001,0),MATCH(COLUMNS($AO$1006:BB1006),$AO$1006:$BQ$1006,0)), HYPERLINK("#",""), HYPERLINK(CONCATENATE("#Metadata!", ADDRESS(INDEX($AJ$2:$AJ$1001,MATCH(ROWS($AH$2:AH773),$AH$2:$AH$1001,0),0), INDEX($AO$1004:$BQ$1004,1,MATCH(COLUMNS($AO$1006:BB1006),$AO$1006:$BQ$1006,0)))),"Fix")))</f>
        <v>#N/A</v>
      </c>
      <c r="P773" s="5" t="e">
        <f ca="1">IF(OR(INDEX($AI$2:$AI$1001,MATCH(ROWS($AH$2:AH773),$AH$2:$AH$1001,0),1)&gt;=100000,INDEX($AO$1005:$BQ$1005,1,MATCH(COLUMNS($AO$1006:BC1006),$AO$1006:$BQ$1006,0))&gt;=100000), " ",IF(INDEX($AO$2:$BQ$1001,MATCH(ROWS($AH$2:AH773),$AH$2:$AH$1001,0),MATCH(COLUMNS($AO$1006:BC1006),$AO$1006:$BQ$1006,0)), HYPERLINK("#",""), HYPERLINK(CONCATENATE("#Metadata!", ADDRESS(INDEX($AJ$2:$AJ$1001,MATCH(ROWS($AH$2:AH773),$AH$2:$AH$1001,0),0), INDEX($AO$1004:$BQ$1004,1,MATCH(COLUMNS($AO$1006:BC1006),$AO$1006:$BQ$1006,0)))),"Fix")))</f>
        <v>#N/A</v>
      </c>
      <c r="Q773" s="5" t="e">
        <f ca="1">IF(OR(INDEX($AI$2:$AI$1001,MATCH(ROWS($AH$2:AH773),$AH$2:$AH$1001,0),1)&gt;=100000,INDEX($AO$1005:$BQ$1005,1,MATCH(COLUMNS($AO$1006:BD1006),$AO$1006:$BQ$1006,0))&gt;=100000), " ",IF(INDEX($AO$2:$BQ$1001,MATCH(ROWS($AH$2:AH773),$AH$2:$AH$1001,0),MATCH(COLUMNS($AO$1006:BD1006),$AO$1006:$BQ$1006,0)), HYPERLINK("#",""), HYPERLINK(CONCATENATE("#Metadata!", ADDRESS(INDEX($AJ$2:$AJ$1001,MATCH(ROWS($AH$2:AH773),$AH$2:$AH$1001,0),0), INDEX($AO$1004:$BQ$1004,1,MATCH(COLUMNS($AO$1006:BD1006),$AO$1006:$BQ$1006,0)))),"Fix")))</f>
        <v>#N/A</v>
      </c>
      <c r="R773" s="5" t="e">
        <f ca="1">IF(OR(INDEX($AI$2:$AI$1001,MATCH(ROWS($AH$2:AH773),$AH$2:$AH$1001,0),1)&gt;=100000,INDEX($AO$1005:$BQ$1005,1,MATCH(COLUMNS($AO$1006:BE1006),$AO$1006:$BQ$1006,0))&gt;=100000), " ",IF(INDEX($AO$2:$BQ$1001,MATCH(ROWS($AH$2:AH773),$AH$2:$AH$1001,0),MATCH(COLUMNS($AO$1006:BE1006),$AO$1006:$BQ$1006,0)), HYPERLINK("#",""), HYPERLINK(CONCATENATE("#Metadata!", ADDRESS(INDEX($AJ$2:$AJ$1001,MATCH(ROWS($AH$2:AH773),$AH$2:$AH$1001,0),0), INDEX($AO$1004:$BQ$1004,1,MATCH(COLUMNS($AO$1006:BE1006),$AO$1006:$BQ$1006,0)))),"Fix")))</f>
        <v>#N/A</v>
      </c>
      <c r="S773" s="5" t="e">
        <f ca="1">IF(OR(INDEX($AI$2:$AI$1001,MATCH(ROWS($AH$2:AH773),$AH$2:$AH$1001,0),1)&gt;=100000,INDEX($AO$1005:$BQ$1005,1,MATCH(COLUMNS($AO$1006:BF1006),$AO$1006:$BQ$1006,0))&gt;=100000), " ",IF(INDEX($AO$2:$BQ$1001,MATCH(ROWS($AH$2:AH773),$AH$2:$AH$1001,0),MATCH(COLUMNS($AO$1006:BF1006),$AO$1006:$BQ$1006,0)), HYPERLINK("#",""), HYPERLINK(CONCATENATE("#Metadata!", ADDRESS(INDEX($AJ$2:$AJ$1001,MATCH(ROWS($AH$2:AH773),$AH$2:$AH$1001,0),0), INDEX($AO$1004:$BQ$1004,1,MATCH(COLUMNS($AO$1006:BF1006),$AO$1006:$BQ$1006,0)))),"Fix")))</f>
        <v>#N/A</v>
      </c>
      <c r="T773" s="5" t="e">
        <f ca="1">IF(OR(INDEX($AI$2:$AI$1001,MATCH(ROWS($AH$2:AH773),$AH$2:$AH$1001,0),1)&gt;=100000,INDEX($AO$1005:$BQ$1005,1,MATCH(COLUMNS($AO$1006:BG1006),$AO$1006:$BQ$1006,0))&gt;=100000), " ",IF(INDEX($AO$2:$BQ$1001,MATCH(ROWS($AH$2:AH773),$AH$2:$AH$1001,0),MATCH(COLUMNS($AO$1006:BG1006),$AO$1006:$BQ$1006,0)), HYPERLINK("#",""), HYPERLINK(CONCATENATE("#Metadata!", ADDRESS(INDEX($AJ$2:$AJ$1001,MATCH(ROWS($AH$2:AH773),$AH$2:$AH$1001,0),0), INDEX($AO$1004:$BQ$1004,1,MATCH(COLUMNS($AO$1006:BG1006),$AO$1006:$BQ$1006,0)))),"Fix")))</f>
        <v>#N/A</v>
      </c>
      <c r="U773" s="5" t="e">
        <f ca="1">IF(OR(INDEX($AI$2:$AI$1001,MATCH(ROWS($AH$2:AH773),$AH$2:$AH$1001,0),1)&gt;=100000,INDEX($AO$1005:$BQ$1005,1,MATCH(COLUMNS($AO$1006:BH1006),$AO$1006:$BQ$1006,0))&gt;=100000), " ",IF(INDEX($AO$2:$BQ$1001,MATCH(ROWS($AH$2:AH773),$AH$2:$AH$1001,0),MATCH(COLUMNS($AO$1006:BH1006),$AO$1006:$BQ$1006,0)), HYPERLINK("#",""), HYPERLINK(CONCATENATE("#Metadata!", ADDRESS(INDEX($AJ$2:$AJ$1001,MATCH(ROWS($AH$2:AH773),$AH$2:$AH$1001,0),0), INDEX($AO$1004:$BQ$1004,1,MATCH(COLUMNS($AO$1006:BH1006),$AO$1006:$BQ$1006,0)))),"Fix")))</f>
        <v>#N/A</v>
      </c>
      <c r="V773" s="5" t="e">
        <f ca="1">IF(OR(INDEX($AI$2:$AI$1001,MATCH(ROWS($AH$2:AH773),$AH$2:$AH$1001,0),1)&gt;=100000,INDEX($AO$1005:$BQ$1005,1,MATCH(COLUMNS($AO$1006:BI1006),$AO$1006:$BQ$1006,0))&gt;=100000), " ",IF(INDEX($AO$2:$BQ$1001,MATCH(ROWS($AH$2:AH773),$AH$2:$AH$1001,0),MATCH(COLUMNS($AO$1006:BI1006),$AO$1006:$BQ$1006,0)), HYPERLINK("#",""), HYPERLINK(CONCATENATE("#Metadata!", ADDRESS(INDEX($AJ$2:$AJ$1001,MATCH(ROWS($AH$2:AH773),$AH$2:$AH$1001,0),0), INDEX($AO$1004:$BQ$1004,1,MATCH(COLUMNS($AO$1006:BI1006),$AO$1006:$BQ$1006,0)))),"Fix")))</f>
        <v>#N/A</v>
      </c>
      <c r="W773" s="5" t="e">
        <f ca="1">IF(OR(INDEX($AI$2:$AI$1001,MATCH(ROWS($AH$2:AH773),$AH$2:$AH$1001,0),1)&gt;=100000,INDEX($AO$1005:$BQ$1005,1,MATCH(COLUMNS($AO$1006:BJ1006),$AO$1006:$BQ$1006,0))&gt;=100000), " ",IF(INDEX($AO$2:$BQ$1001,MATCH(ROWS($AH$2:AH773),$AH$2:$AH$1001,0),MATCH(COLUMNS($AO$1006:BJ1006),$AO$1006:$BQ$1006,0)), HYPERLINK("#",""), HYPERLINK(CONCATENATE("#Metadata!", ADDRESS(INDEX($AJ$2:$AJ$1001,MATCH(ROWS($AH$2:AH773),$AH$2:$AH$1001,0),0), INDEX($AO$1004:$BQ$1004,1,MATCH(COLUMNS($AO$1006:BJ1006),$AO$1006:$BQ$1006,0)))),"Fix")))</f>
        <v>#N/A</v>
      </c>
      <c r="X773" s="5" t="e">
        <f ca="1">IF(OR(INDEX($AI$2:$AI$1001,MATCH(ROWS($AH$2:AH773),$AH$2:$AH$1001,0),1)&gt;=100000,INDEX($AO$1005:$BQ$1005,1,MATCH(COLUMNS($AO$1006:BK1006),$AO$1006:$BQ$1006,0))&gt;=100000), " ",IF(INDEX($AO$2:$BQ$1001,MATCH(ROWS($AH$2:AH773),$AH$2:$AH$1001,0),MATCH(COLUMNS($AO$1006:BK1006),$AO$1006:$BQ$1006,0)), HYPERLINK("#",""), HYPERLINK(CONCATENATE("#Metadata!", ADDRESS(INDEX($AJ$2:$AJ$1001,MATCH(ROWS($AH$2:AH773),$AH$2:$AH$1001,0),0), INDEX($AO$1004:$BQ$1004,1,MATCH(COLUMNS($AO$1006:BK1006),$AO$1006:$BQ$1006,0)))),"Fix")))</f>
        <v>#N/A</v>
      </c>
      <c r="Y773" s="5" t="e">
        <f ca="1">IF(OR(INDEX($AI$2:$AI$1001,MATCH(ROWS($AH$2:AH773),$AH$2:$AH$1001,0),1)&gt;=100000,INDEX($AO$1005:$BQ$1005,1,MATCH(COLUMNS($AO$1006:BL1006),$AO$1006:$BQ$1006,0))&gt;=100000), " ",IF(INDEX($AO$2:$BQ$1001,MATCH(ROWS($AH$2:AH773),$AH$2:$AH$1001,0),MATCH(COLUMNS($AO$1006:BL1006),$AO$1006:$BQ$1006,0)), HYPERLINK("#",""), HYPERLINK(CONCATENATE("#Metadata!", ADDRESS(INDEX($AJ$2:$AJ$1001,MATCH(ROWS($AH$2:AH773),$AH$2:$AH$1001,0),0), INDEX($AO$1004:$BQ$1004,1,MATCH(COLUMNS($AO$1006:BL1006),$AO$1006:$BQ$1006,0)))),"Fix")))</f>
        <v>#N/A</v>
      </c>
      <c r="Z773" s="5" t="e">
        <f ca="1">IF(OR(INDEX($AI$2:$AI$1001,MATCH(ROWS($AH$2:AH773),$AH$2:$AH$1001,0),1)&gt;=100000,INDEX($AO$1005:$BQ$1005,1,MATCH(COLUMNS($AO$1006:BM1006),$AO$1006:$BQ$1006,0))&gt;=100000), " ",IF(INDEX($AO$2:$BQ$1001,MATCH(ROWS($AH$2:AH773),$AH$2:$AH$1001,0),MATCH(COLUMNS($AO$1006:BM1006),$AO$1006:$BQ$1006,0)), HYPERLINK("#",""), HYPERLINK(CONCATENATE("#Metadata!", ADDRESS(INDEX($AJ$2:$AJ$1001,MATCH(ROWS($AH$2:AH773),$AH$2:$AH$1001,0),0), INDEX($AO$1004:$BQ$1004,1,MATCH(COLUMNS($AO$1006:BM1006),$AO$1006:$BQ$1006,0)))),"Fix")))</f>
        <v>#N/A</v>
      </c>
      <c r="AA773" s="5" t="e">
        <f ca="1">IF(OR(INDEX($AI$2:$AI$1001,MATCH(ROWS($AH$2:AH773),$AH$2:$AH$1001,0),1)&gt;=100000,INDEX($AO$1005:$BQ$1005,1,MATCH(COLUMNS($AO$1006:BN1006),$AO$1006:$BQ$1006,0))&gt;=100000), " ",IF(INDEX($AO$2:$BQ$1001,MATCH(ROWS($AH$2:AH773),$AH$2:$AH$1001,0),MATCH(COLUMNS($AO$1006:BN1006),$AO$1006:$BQ$1006,0)), HYPERLINK("#",""), HYPERLINK(CONCATENATE("#Metadata!", ADDRESS(INDEX($AJ$2:$AJ$1001,MATCH(ROWS($AH$2:AH773),$AH$2:$AH$1001,0),0), INDEX($AO$1004:$BQ$1004,1,MATCH(COLUMNS($AO$1006:BN1006),$AO$1006:$BQ$1006,0)))),"Fix")))</f>
        <v>#N/A</v>
      </c>
      <c r="AB773" s="5" t="e">
        <f ca="1">IF(OR(INDEX($AI$2:$AI$1001,MATCH(ROWS($AH$2:AH773),$AH$2:$AH$1001,0),1)&gt;=100000,INDEX($AO$1005:$BQ$1005,1,MATCH(COLUMNS($AO$1006:BO1006),$AO$1006:$BQ$1006,0))&gt;=100000), " ",IF(INDEX($AO$2:$BQ$1001,MATCH(ROWS($AH$2:AH773),$AH$2:$AH$1001,0),MATCH(COLUMNS($AO$1006:BO1006),$AO$1006:$BQ$1006,0)), HYPERLINK("#",""), HYPERLINK(CONCATENATE("#Metadata!", ADDRESS(INDEX($AJ$2:$AJ$1001,MATCH(ROWS($AH$2:AH773),$AH$2:$AH$1001,0),0), INDEX($AO$1004:$BQ$1004,1,MATCH(COLUMNS($AO$1006:BO1006),$AO$1006:$BQ$1006,0)))),"Fix")))</f>
        <v>#N/A</v>
      </c>
      <c r="AC773" s="5" t="e">
        <f ca="1">IF(OR(INDEX($AI$2:$AI$1001,MATCH(ROWS($AH$2:AH773),$AH$2:$AH$1001,0),1)&gt;=100000,INDEX($AO$1005:$BQ$1005,1,MATCH(COLUMNS($AO$1006:BP1006),$AO$1006:$BQ$1006,0))&gt;=100000), " ",IF(INDEX($AO$2:$BQ$1001,MATCH(ROWS($AH$2:AH773),$AH$2:$AH$1001,0),MATCH(COLUMNS($AO$1006:BP1006),$AO$1006:$BQ$1006,0)), HYPERLINK("#",""), HYPERLINK(CONCATENATE("#Metadata!", ADDRESS(INDEX($AJ$2:$AJ$1001,MATCH(ROWS($AH$2:AH773),$AH$2:$AH$1001,0),0), INDEX($AO$1004:$BQ$1004,1,MATCH(COLUMNS($AO$1006:BP1006),$AO$1006:$BQ$1006,0)))),"Fix")))</f>
        <v>#N/A</v>
      </c>
      <c r="AD773" s="5" t="e">
        <f ca="1">IF(OR(INDEX($AI$2:$AI$1001,MATCH(ROWS($AH$2:AH773),$AH$2:$AH$1001,0),1)&gt;=100000,INDEX($AO$1005:$BQ$1005,1,MATCH(COLUMNS($AO$1006:BQ1006),$AO$1006:$BQ$1006,0))&gt;=100000), " ",IF(INDEX($AO$2:$BQ$1001,MATCH(ROWS($AH$2:AH773),$AH$2:$AH$1001,0),MATCH(COLUMNS($AO$1006:BQ1006),$AO$1006:$BQ$1006,0)), HYPERLINK("#",""), HYPERLINK(CONCATENATE("#Metadata!", ADDRESS(INDEX($AJ$2:$AJ$1001,MATCH(ROWS($AH$2:AH773),$AH$2:$AH$1001,0),0), INDEX($AO$1004:$BQ$1004,1,MATCH(COLUMNS($AO$1006:BQ1006),$AO$1006:$BQ$1006,0)))),"Fix")))</f>
        <v>#REF!</v>
      </c>
      <c r="AH773">
        <f ca="1"/>
        <v>770</v>
      </c>
      <c r="AI773">
        <v>100773</v>
      </c>
      <c r="AJ773">
        <v>773</v>
      </c>
      <c r="AK773" t="b">
        <f t="shared" si="12"/>
        <v>1</v>
      </c>
      <c r="AL773" t="b">
        <f>COUNTBLANK(Metadata!B773:AD773)=COLUMNS(Metadata!B773:AD773)</f>
        <v>1</v>
      </c>
      <c r="AM773" t="str">
        <v/>
      </c>
      <c r="AO773" t="b">
        <f ca="1">AND(IF(Metadata!B773="",FALSE,TRUE),COUNTIF(Metadata!B:B, Metadata!B773) = 1,NOT(ISERROR(SUMPRODUCT(SEARCH(MID(Metadata!B773,ROW(INDIRECT("1:"&amp;LEN(Metadata!B773))), 1),"0123456789abcdefghijklmnopqrstuvwxyzABCDEFGHIJKLMNOPQRSTUVWXYZ.")))))</f>
        <v>0</v>
      </c>
      <c r="AP773" t="b">
        <f>IF(Metadata!C773="",FALSE,TRUE)</f>
        <v>0</v>
      </c>
      <c r="AQ773" t="b">
        <f>IF(Metadata!D773="",FALSE,TRUE)</f>
        <v>0</v>
      </c>
      <c r="AR773" t="b">
        <f ca="1">OR(AND(IF(Metadata!E773="",FALSE,TRUE),OR(EXACT(Metadata!E773,"not collected"),EXACT(Metadata!E773,"not provided"),EXACT(Metadata!E773,"restricted access"))),AND(IF(Metadata!E773="",FALSE,TRUE),AND(AND(IFERROR(INT(LEFT(Metadata!E773,4))&gt;1900,FALSE),IFERROR(INT(LEFT(Metadata!E773,4))&lt;=YEAR(NOW()),FALSE)), OR(MID(Metadata!E773,5,1)="", AND(AND(MID(Metadata!E773,5,1)="-",IFERROR(INT(MID(Metadata!E773,6,1))&gt;=0,FALSE),IFERROR(INT(MID(Metadata!E773,6,1))&lt;=1,FALSE),NOT(MID(Metadata!E773,7,1)=""),IFERROR(INT(MID(Metadata!E773,6,2))&gt;=1,FALSE),IFERROR(INT(MID(Metadata!E773,6,2))&lt;=12,FALSE)), OR(MID(Metadata!E773,8,1)="", AND(AND(MID(Metadata!E773,8,1)="-",IFERROR(INT(MID(Metadata!E773,9,1))&gt;=0,FALSE),IFERROR(INT(MID(Metadata!E773,9,1))&lt;=3,FALSE),NOT(MID(Metadata!E773,10,1)=""),IFERROR(INT(MID(Metadata!E773,9,2))&gt;=1,FALSE),IFERROR(INT(MID(Metadata!E773,9,2))&lt;=31,FALSE)), OR(MID(Metadata!E773,11,1)="", AND(AND(MID(Metadata!E773,11,1)=" ",IFERROR(INT(MID(Metadata!E773,12,1))&gt;=0,FALSE),IFERROR(INT(MID(Metadata!E773,12,1))&lt;=2,FALSE),NOT(MID(Metadata!E773,13,1)=""),IFERROR(INT(MID(Metadata!E773,12,2))&gt;=0,FALSE),IFERROR(INT(MID(Metadata!E773,12,2))&lt;=23,FALSE)), OR(MID(Metadata!E773,14,1)="", AND(AND(MID(Metadata!E773,14,1)=":",IFERROR(INT(MID(Metadata!E773,15,1))&gt;=0,FALSE),IFERROR(INT(MID(Metadata!E773,15,1))&lt;=5,FALSE),NOT(MID(Metadata!E773,16,1)=""),IFERROR(INT(MID(Metadata!E773,15,2))&gt;=0,FALSE),IFERROR(INT(MID(Metadata!E773,15,2))&lt;=59,FALSE)), OR(MID(Metadata!E773,17,1)="", AND(AND(MID(Metadata!E773,17,1)=":",IFERROR(INT(MID(Metadata!E773,18,1))&gt;=0,FALSE),IFERROR(INT(MID(Metadata!E773,18,1))&lt;=5,FALSE),NOT(MID(Metadata!E773,19,1)=""),IFERROR(INT(MID(Metadata!E773,18,2))&gt;=0,FALSE),IFERROR(INT(MID(Metadata!E773,18,2))&lt;=59,FALSE)), LEN(Metadata!E773)&lt;=19)))))))))))))</f>
        <v>0</v>
      </c>
      <c r="AS773" t="b">
        <f>IF(Metadata!F773="",FALSE,TRUE)</f>
        <v>0</v>
      </c>
      <c r="AT773" t="b">
        <f>OR(AND(IF(Metadata!G773="",FALSE,TRUE),OR(EXACT(Metadata!G773,"not collected"),EXACT(Metadata!G773,"not provided"))),AND(IF(Metadata!G773="",FALSE,TRUE),OR(EXACT(Metadata!G773,"TRUE"),EXACT(Metadata!G773,"FALSE"))))</f>
        <v>0</v>
      </c>
      <c r="AU773" t="b">
        <f>OR(AND(IF(Metadata!H773="",FALSE,TRUE),OR(EXACT(Metadata!H773,"not collected"),EXACT(Metadata!H773,"not provided"),EXACT(Metadata!H773,"restricted access"))),AND(IF(Metadata!H773="",FALSE,ISNUMBER(VALUE(Metadata!H773))),Metadata!H773&gt;=-413))</f>
        <v>0</v>
      </c>
      <c r="AV773" t="b">
        <f>AND(IF(Metadata!I773="",FALSE,TRUE),EXACT(Metadata!I773,"meters"))</f>
        <v>0</v>
      </c>
      <c r="AW773" t="b">
        <f>AND(IF(Metadata!J773="",FALSE,TRUE),EXACT(Metadata!J773,"free-living"))</f>
        <v>0</v>
      </c>
      <c r="AX773" t="b">
        <f>AND(IF(Metadata!K773="",FALSE,TRUE),OR(EXACT(Metadata!K773,"saline"),EXACT(Metadata!K773,"non-saline")))</f>
        <v>0</v>
      </c>
      <c r="AY773" t="b">
        <f>AND(IF(Metadata!L773="",FALSE,TRUE),OR(EXACT(Metadata!L773,"sub-surface (non-saline)"),EXACT(Metadata!L773,"surface (non-saline)"),EXACT(Metadata!L773,"water (non-saline)"),EXACT(Metadata!L773,"soil (non-saline)"),EXACT(Metadata!L773,"aerosol (non-saline)"),EXACT(Metadata!L773,"sediment (non-saline)"),EXACT(Metadata!L773,"surface (saline)"),EXACT(Metadata!L773,"water (saline)"),EXACT(Metadata!L773,"hypersaline (saline)"),EXACT(Metadata!L773,"aerosol (saline)"),EXACT(Metadata!L773,"sediment (saline)")))</f>
        <v>0</v>
      </c>
      <c r="AZ773" t="b">
        <f>IF(Metadata!M773="",FALSE,TRUE)</f>
        <v>0</v>
      </c>
      <c r="BA773" t="b">
        <f>IF(Metadata!N773="",FALSE,TRUE)</f>
        <v>0</v>
      </c>
      <c r="BB773" t="b">
        <f>IF(Metadata!O773="",FALSE,TRUE)</f>
        <v>0</v>
      </c>
      <c r="BC773" t="b">
        <f>AND(IF(Metadata!P773="",FALSE,TRUE),OR(EXACT(Metadata!P773,"air"),EXACT(Metadata!P773,"microbial mat/biofilm"),EXACT(Metadata!P773,"misc environment"),EXACT(Metadata!P773,"sediment"),EXACT(Metadata!P773,"soil"),EXACT(Metadata!P773,"wastewater/sludge"),EXACT(Metadata!P773,"water")))</f>
        <v>0</v>
      </c>
      <c r="BD773" t="b">
        <f>IF(Metadata!Q773="",FALSE,TRUE)</f>
        <v>0</v>
      </c>
      <c r="BE773" t="b">
        <f>IF(Metadata!R773="",FALSE,TRUE)</f>
        <v>0</v>
      </c>
      <c r="BF773" t="b">
        <f>OR(AND(IF(Metadata!S773="",FALSE,TRUE),OR(EXACT(Metadata!S773,"not collected"),EXACT(Metadata!S773,"not provided"),EXACT(Metadata!S773,"restricted access"))),AND(IF(Metadata!S773="",FALSE,ISNUMBER(VALUE(Metadata!S773))),Metadata!S773&gt;=-90,Metadata!S773&lt;=90))</f>
        <v>0</v>
      </c>
      <c r="BG773" t="b">
        <f>AND(IF(Metadata!T773="",FALSE,TRUE),EXACT(Metadata!T773,"Decimal degrees"))</f>
        <v>0</v>
      </c>
      <c r="BH773" t="b">
        <f>OR(AND(IF(Metadata!U773="",FALSE,TRUE),OR(EXACT(Metadata!U773,"not applicable"),EXACT(Metadata!U773,"not collected"))),IF(Metadata!U773="",FALSE,TRUE))</f>
        <v>0</v>
      </c>
      <c r="BI773" t="b">
        <f>OR(AND(IF(Metadata!V773="",FALSE,TRUE),OR(EXACT(Metadata!V773,"not collected"),EXACT(Metadata!V773,"not provided"),EXACT(Metadata!V773,"restricted access"))),AND(IF(Metadata!V773="",FALSE,ISNUMBER(VALUE(Metadata!V773))),Metadata!V773&gt;=-180,Metadata!V773&lt;=180))</f>
        <v>0</v>
      </c>
      <c r="BJ773" t="b">
        <f>AND(IF(Metadata!W773="",FALSE,TRUE),EXACT(Metadata!W773,"Decimal degrees"))</f>
        <v>0</v>
      </c>
      <c r="BK773" t="b">
        <f>IF(Metadata!X773="",FALSE,TRUE)</f>
        <v>0</v>
      </c>
      <c r="BL773" t="b">
        <f>OR(AND(IF(Metadata!Y773="",FALSE,TRUE),OR(EXACT(Metadata!Y773,"not collected"),EXACT(Metadata!Y773,"not provided"),EXACT(Metadata!Y773,"restricted access"))),AND(IF(Metadata!Y773="",FALSE,TRUE),OR(EXACT(Metadata!Y773,"TRUE"),EXACT(Metadata!Y773,"FALSE"))))</f>
        <v>0</v>
      </c>
      <c r="BM773" t="b">
        <f>OR(AND(IF(Metadata!Z773="",FALSE,TRUE),EXACT(Metadata!Z773,"not applicable")),AND(IF(Metadata!Z773="",FALSE,TRUE),OR(EXACT(Metadata!Z773,"beer"),EXACT(Metadata!Z773,"cheese"),EXACT(Metadata!Z773,"fresh water"),EXACT(Metadata!Z773,"marine sediment"),EXACT(Metadata!Z773,"sea water"),EXACT(Metadata!Z773,"sediment"),EXACT(Metadata!Z773,"soil"),EXACT(Metadata!Z773,"waste water"))))</f>
        <v>0</v>
      </c>
      <c r="BN773" t="b">
        <f>AND(IF(Metadata!AA773="",FALSE,TRUE),EXACT(Metadata!AA773,"metagenome"))</f>
        <v>0</v>
      </c>
      <c r="BO773" t="b">
        <f>AND(IF(Metadata!AB773="",FALSE,TRUE),EXACT(Metadata!AB773,"256318"))</f>
        <v>0</v>
      </c>
      <c r="BP773" t="b">
        <f>IF(Metadata!AC773="",FALSE,TRUE)</f>
        <v>0</v>
      </c>
      <c r="BQ773" t="b">
        <f>IF(Metadata!AD773="",FALSE,TRUE)</f>
        <v>0</v>
      </c>
    </row>
    <row r="774" spans="1:69" x14ac:dyDescent="0.2">
      <c r="A774" s="4" t="e">
        <f ca="1">IF(B774=" "," ",HYPERLINK(CONCATENATE("#metadata!",ADDRESS(INDEX($AJ$2:$AJ$1001,MATCH(ROWS($AH$2:AH774),$AH$2:$AH$1001,0),0),2)),INDEX($AM$2:$AM$1001,MATCH(ROWS($AH$2:AH774),$AH$2:$AH$1001,0),0)))</f>
        <v>#N/A</v>
      </c>
      <c r="B774" s="5" t="e">
        <f ca="1">IF(OR(INDEX($AI$2:$AI$1001,MATCH(ROWS($AH$2:AH774),$AH$2:$AH$1001,0),1)&gt;=100000,INDEX($AO$1005:$BQ$1005,1,MATCH(COLUMNS($AO$1006:AO1006),$AO$1006:$BQ$1006,0))&gt;=100000), " ",IF(INDEX($AO$2:$BQ$1001,MATCH(ROWS($AH$2:AH774),$AH$2:$AH$1001,0),MATCH(COLUMNS($AO$1006:AO1006),$AO$1006:$BQ$1006,0)), HYPERLINK("#",""), HYPERLINK(CONCATENATE("#Metadata!", ADDRESS(INDEX($AJ$2:$AJ$1001,MATCH(ROWS($AH$2:AH774),$AH$2:$AH$1001,0),0), INDEX($AO$1004:$BQ$1004,1,MATCH(COLUMNS($AO$1006:AO1006),$AO$1006:$BQ$1006,0)))),"Fix")))</f>
        <v>#N/A</v>
      </c>
      <c r="C774" s="5" t="e">
        <f ca="1">IF(OR(INDEX($AI$2:$AI$1001,MATCH(ROWS($AH$2:AH774),$AH$2:$AH$1001,0),1)&gt;=100000,INDEX($AO$1005:$BQ$1005,1,MATCH(COLUMNS($AO$1006:AP1006),$AO$1006:$BQ$1006,0))&gt;=100000), " ",IF(INDEX($AO$2:$BQ$1001,MATCH(ROWS($AH$2:AH774),$AH$2:$AH$1001,0),MATCH(COLUMNS($AO$1006:AP1006),$AO$1006:$BQ$1006,0)), HYPERLINK("#",""), HYPERLINK(CONCATENATE("#Metadata!", ADDRESS(INDEX($AJ$2:$AJ$1001,MATCH(ROWS($AH$2:AH774),$AH$2:$AH$1001,0),0), INDEX($AO$1004:$BQ$1004,1,MATCH(COLUMNS($AO$1006:AP1006),$AO$1006:$BQ$1006,0)))),"Fix")))</f>
        <v>#N/A</v>
      </c>
      <c r="D774" s="5" t="e">
        <f ca="1">IF(OR(INDEX($AI$2:$AI$1001,MATCH(ROWS($AH$2:AH774),$AH$2:$AH$1001,0),1)&gt;=100000,INDEX($AO$1005:$BQ$1005,1,MATCH(COLUMNS($AO$1006:AQ1006),$AO$1006:$BQ$1006,0))&gt;=100000), " ",IF(INDEX($AO$2:$BQ$1001,MATCH(ROWS($AH$2:AH774),$AH$2:$AH$1001,0),MATCH(COLUMNS($AO$1006:AQ1006),$AO$1006:$BQ$1006,0)), HYPERLINK("#",""), HYPERLINK(CONCATENATE("#Metadata!", ADDRESS(INDEX($AJ$2:$AJ$1001,MATCH(ROWS($AH$2:AH774),$AH$2:$AH$1001,0),0), INDEX($AO$1004:$BQ$1004,1,MATCH(COLUMNS($AO$1006:AQ1006),$AO$1006:$BQ$1006,0)))),"Fix")))</f>
        <v>#N/A</v>
      </c>
      <c r="E774" s="5" t="e">
        <f ca="1">IF(OR(INDEX($AI$2:$AI$1001,MATCH(ROWS($AH$2:AH774),$AH$2:$AH$1001,0),1)&gt;=100000,INDEX($AO$1005:$BQ$1005,1,MATCH(COLUMNS($AO$1006:AR1006),$AO$1006:$BQ$1006,0))&gt;=100000), " ",IF(INDEX($AO$2:$BQ$1001,MATCH(ROWS($AH$2:AH774),$AH$2:$AH$1001,0),MATCH(COLUMNS($AO$1006:AR1006),$AO$1006:$BQ$1006,0)), HYPERLINK("#",""), HYPERLINK(CONCATENATE("#Metadata!", ADDRESS(INDEX($AJ$2:$AJ$1001,MATCH(ROWS($AH$2:AH774),$AH$2:$AH$1001,0),0), INDEX($AO$1004:$BQ$1004,1,MATCH(COLUMNS($AO$1006:AR1006),$AO$1006:$BQ$1006,0)))),"Fix")))</f>
        <v>#N/A</v>
      </c>
      <c r="F774" s="5" t="e">
        <f ca="1">IF(OR(INDEX($AI$2:$AI$1001,MATCH(ROWS($AH$2:AH774),$AH$2:$AH$1001,0),1)&gt;=100000,INDEX($AO$1005:$BQ$1005,1,MATCH(COLUMNS($AO$1006:AS1006),$AO$1006:$BQ$1006,0))&gt;=100000), " ",IF(INDEX($AO$2:$BQ$1001,MATCH(ROWS($AH$2:AH774),$AH$2:$AH$1001,0),MATCH(COLUMNS($AO$1006:AS1006),$AO$1006:$BQ$1006,0)), HYPERLINK("#",""), HYPERLINK(CONCATENATE("#Metadata!", ADDRESS(INDEX($AJ$2:$AJ$1001,MATCH(ROWS($AH$2:AH774),$AH$2:$AH$1001,0),0), INDEX($AO$1004:$BQ$1004,1,MATCH(COLUMNS($AO$1006:AS1006),$AO$1006:$BQ$1006,0)))),"Fix")))</f>
        <v>#N/A</v>
      </c>
      <c r="G774" s="5" t="e">
        <f ca="1">IF(OR(INDEX($AI$2:$AI$1001,MATCH(ROWS($AH$2:AH774),$AH$2:$AH$1001,0),1)&gt;=100000,INDEX($AO$1005:$BQ$1005,1,MATCH(COLUMNS($AO$1006:AT1006),$AO$1006:$BQ$1006,0))&gt;=100000), " ",IF(INDEX($AO$2:$BQ$1001,MATCH(ROWS($AH$2:AH774),$AH$2:$AH$1001,0),MATCH(COLUMNS($AO$1006:AT1006),$AO$1006:$BQ$1006,0)), HYPERLINK("#",""), HYPERLINK(CONCATENATE("#Metadata!", ADDRESS(INDEX($AJ$2:$AJ$1001,MATCH(ROWS($AH$2:AH774),$AH$2:$AH$1001,0),0), INDEX($AO$1004:$BQ$1004,1,MATCH(COLUMNS($AO$1006:AT1006),$AO$1006:$BQ$1006,0)))),"Fix")))</f>
        <v>#N/A</v>
      </c>
      <c r="H774" s="5" t="e">
        <f ca="1">IF(OR(INDEX($AI$2:$AI$1001,MATCH(ROWS($AH$2:AH774),$AH$2:$AH$1001,0),1)&gt;=100000,INDEX($AO$1005:$BQ$1005,1,MATCH(COLUMNS($AO$1006:AU1006),$AO$1006:$BQ$1006,0))&gt;=100000), " ",IF(INDEX($AO$2:$BQ$1001,MATCH(ROWS($AH$2:AH774),$AH$2:$AH$1001,0),MATCH(COLUMNS($AO$1006:AU1006),$AO$1006:$BQ$1006,0)), HYPERLINK("#",""), HYPERLINK(CONCATENATE("#Metadata!", ADDRESS(INDEX($AJ$2:$AJ$1001,MATCH(ROWS($AH$2:AH774),$AH$2:$AH$1001,0),0), INDEX($AO$1004:$BQ$1004,1,MATCH(COLUMNS($AO$1006:AU1006),$AO$1006:$BQ$1006,0)))),"Fix")))</f>
        <v>#N/A</v>
      </c>
      <c r="I774" s="5" t="e">
        <f ca="1">IF(OR(INDEX($AI$2:$AI$1001,MATCH(ROWS($AH$2:AH774),$AH$2:$AH$1001,0),1)&gt;=100000,INDEX($AO$1005:$BQ$1005,1,MATCH(COLUMNS($AO$1006:AV1006),$AO$1006:$BQ$1006,0))&gt;=100000), " ",IF(INDEX($AO$2:$BQ$1001,MATCH(ROWS($AH$2:AH774),$AH$2:$AH$1001,0),MATCH(COLUMNS($AO$1006:AV1006),$AO$1006:$BQ$1006,0)), HYPERLINK("#",""), HYPERLINK(CONCATENATE("#Metadata!", ADDRESS(INDEX($AJ$2:$AJ$1001,MATCH(ROWS($AH$2:AH774),$AH$2:$AH$1001,0),0), INDEX($AO$1004:$BQ$1004,1,MATCH(COLUMNS($AO$1006:AV1006),$AO$1006:$BQ$1006,0)))),"Fix")))</f>
        <v>#N/A</v>
      </c>
      <c r="J774" s="5" t="e">
        <f ca="1">IF(OR(INDEX($AI$2:$AI$1001,MATCH(ROWS($AH$2:AH774),$AH$2:$AH$1001,0),1)&gt;=100000,INDEX($AO$1005:$BQ$1005,1,MATCH(COLUMNS($AO$1006:AW1006),$AO$1006:$BQ$1006,0))&gt;=100000), " ",IF(INDEX($AO$2:$BQ$1001,MATCH(ROWS($AH$2:AH774),$AH$2:$AH$1001,0),MATCH(COLUMNS($AO$1006:AW1006),$AO$1006:$BQ$1006,0)), HYPERLINK("#",""), HYPERLINK(CONCATENATE("#Metadata!", ADDRESS(INDEX($AJ$2:$AJ$1001,MATCH(ROWS($AH$2:AH774),$AH$2:$AH$1001,0),0), INDEX($AO$1004:$BQ$1004,1,MATCH(COLUMNS($AO$1006:AW1006),$AO$1006:$BQ$1006,0)))),"Fix")))</f>
        <v>#N/A</v>
      </c>
      <c r="K774" s="5" t="e">
        <f ca="1">IF(OR(INDEX($AI$2:$AI$1001,MATCH(ROWS($AH$2:AH774),$AH$2:$AH$1001,0),1)&gt;=100000,INDEX($AO$1005:$BQ$1005,1,MATCH(COLUMNS($AO$1006:AX1006),$AO$1006:$BQ$1006,0))&gt;=100000), " ",IF(INDEX($AO$2:$BQ$1001,MATCH(ROWS($AH$2:AH774),$AH$2:$AH$1001,0),MATCH(COLUMNS($AO$1006:AX1006),$AO$1006:$BQ$1006,0)), HYPERLINK("#",""), HYPERLINK(CONCATENATE("#Metadata!", ADDRESS(INDEX($AJ$2:$AJ$1001,MATCH(ROWS($AH$2:AH774),$AH$2:$AH$1001,0),0), INDEX($AO$1004:$BQ$1004,1,MATCH(COLUMNS($AO$1006:AX1006),$AO$1006:$BQ$1006,0)))),"Fix")))</f>
        <v>#N/A</v>
      </c>
      <c r="L774" s="5" t="e">
        <f ca="1">IF(OR(INDEX($AI$2:$AI$1001,MATCH(ROWS($AH$2:AH774),$AH$2:$AH$1001,0),1)&gt;=100000,INDEX($AO$1005:$BQ$1005,1,MATCH(COLUMNS($AO$1006:AY1006),$AO$1006:$BQ$1006,0))&gt;=100000), " ",IF(INDEX($AO$2:$BQ$1001,MATCH(ROWS($AH$2:AH774),$AH$2:$AH$1001,0),MATCH(COLUMNS($AO$1006:AY1006),$AO$1006:$BQ$1006,0)), HYPERLINK("#",""), HYPERLINK(CONCATENATE("#Metadata!", ADDRESS(INDEX($AJ$2:$AJ$1001,MATCH(ROWS($AH$2:AH774),$AH$2:$AH$1001,0),0), INDEX($AO$1004:$BQ$1004,1,MATCH(COLUMNS($AO$1006:AY1006),$AO$1006:$BQ$1006,0)))),"Fix")))</f>
        <v>#N/A</v>
      </c>
      <c r="M774" s="5" t="e">
        <f ca="1">IF(OR(INDEX($AI$2:$AI$1001,MATCH(ROWS($AH$2:AH774),$AH$2:$AH$1001,0),1)&gt;=100000,INDEX($AO$1005:$BQ$1005,1,MATCH(COLUMNS($AO$1006:AZ1006),$AO$1006:$BQ$1006,0))&gt;=100000), " ",IF(INDEX($AO$2:$BQ$1001,MATCH(ROWS($AH$2:AH774),$AH$2:$AH$1001,0),MATCH(COLUMNS($AO$1006:AZ1006),$AO$1006:$BQ$1006,0)), HYPERLINK("#",""), HYPERLINK(CONCATENATE("#Metadata!", ADDRESS(INDEX($AJ$2:$AJ$1001,MATCH(ROWS($AH$2:AH774),$AH$2:$AH$1001,0),0), INDEX($AO$1004:$BQ$1004,1,MATCH(COLUMNS($AO$1006:AZ1006),$AO$1006:$BQ$1006,0)))),"Fix")))</f>
        <v>#N/A</v>
      </c>
      <c r="N774" s="5" t="e">
        <f ca="1">IF(OR(INDEX($AI$2:$AI$1001,MATCH(ROWS($AH$2:AH774),$AH$2:$AH$1001,0),1)&gt;=100000,INDEX($AO$1005:$BQ$1005,1,MATCH(COLUMNS($AO$1006:BA1006),$AO$1006:$BQ$1006,0))&gt;=100000), " ",IF(INDEX($AO$2:$BQ$1001,MATCH(ROWS($AH$2:AH774),$AH$2:$AH$1001,0),MATCH(COLUMNS($AO$1006:BA1006),$AO$1006:$BQ$1006,0)), HYPERLINK("#",""), HYPERLINK(CONCATENATE("#Metadata!", ADDRESS(INDEX($AJ$2:$AJ$1001,MATCH(ROWS($AH$2:AH774),$AH$2:$AH$1001,0),0), INDEX($AO$1004:$BQ$1004,1,MATCH(COLUMNS($AO$1006:BA1006),$AO$1006:$BQ$1006,0)))),"Fix")))</f>
        <v>#N/A</v>
      </c>
      <c r="O774" s="5" t="e">
        <f ca="1">IF(OR(INDEX($AI$2:$AI$1001,MATCH(ROWS($AH$2:AH774),$AH$2:$AH$1001,0),1)&gt;=100000,INDEX($AO$1005:$BQ$1005,1,MATCH(COLUMNS($AO$1006:BB1006),$AO$1006:$BQ$1006,0))&gt;=100000), " ",IF(INDEX($AO$2:$BQ$1001,MATCH(ROWS($AH$2:AH774),$AH$2:$AH$1001,0),MATCH(COLUMNS($AO$1006:BB1006),$AO$1006:$BQ$1006,0)), HYPERLINK("#",""), HYPERLINK(CONCATENATE("#Metadata!", ADDRESS(INDEX($AJ$2:$AJ$1001,MATCH(ROWS($AH$2:AH774),$AH$2:$AH$1001,0),0), INDEX($AO$1004:$BQ$1004,1,MATCH(COLUMNS($AO$1006:BB1006),$AO$1006:$BQ$1006,0)))),"Fix")))</f>
        <v>#N/A</v>
      </c>
      <c r="P774" s="5" t="e">
        <f ca="1">IF(OR(INDEX($AI$2:$AI$1001,MATCH(ROWS($AH$2:AH774),$AH$2:$AH$1001,0),1)&gt;=100000,INDEX($AO$1005:$BQ$1005,1,MATCH(COLUMNS($AO$1006:BC1006),$AO$1006:$BQ$1006,0))&gt;=100000), " ",IF(INDEX($AO$2:$BQ$1001,MATCH(ROWS($AH$2:AH774),$AH$2:$AH$1001,0),MATCH(COLUMNS($AO$1006:BC1006),$AO$1006:$BQ$1006,0)), HYPERLINK("#",""), HYPERLINK(CONCATENATE("#Metadata!", ADDRESS(INDEX($AJ$2:$AJ$1001,MATCH(ROWS($AH$2:AH774),$AH$2:$AH$1001,0),0), INDEX($AO$1004:$BQ$1004,1,MATCH(COLUMNS($AO$1006:BC1006),$AO$1006:$BQ$1006,0)))),"Fix")))</f>
        <v>#N/A</v>
      </c>
      <c r="Q774" s="5" t="e">
        <f ca="1">IF(OR(INDEX($AI$2:$AI$1001,MATCH(ROWS($AH$2:AH774),$AH$2:$AH$1001,0),1)&gt;=100000,INDEX($AO$1005:$BQ$1005,1,MATCH(COLUMNS($AO$1006:BD1006),$AO$1006:$BQ$1006,0))&gt;=100000), " ",IF(INDEX($AO$2:$BQ$1001,MATCH(ROWS($AH$2:AH774),$AH$2:$AH$1001,0),MATCH(COLUMNS($AO$1006:BD1006),$AO$1006:$BQ$1006,0)), HYPERLINK("#",""), HYPERLINK(CONCATENATE("#Metadata!", ADDRESS(INDEX($AJ$2:$AJ$1001,MATCH(ROWS($AH$2:AH774),$AH$2:$AH$1001,0),0), INDEX($AO$1004:$BQ$1004,1,MATCH(COLUMNS($AO$1006:BD1006),$AO$1006:$BQ$1006,0)))),"Fix")))</f>
        <v>#N/A</v>
      </c>
      <c r="R774" s="5" t="e">
        <f ca="1">IF(OR(INDEX($AI$2:$AI$1001,MATCH(ROWS($AH$2:AH774),$AH$2:$AH$1001,0),1)&gt;=100000,INDEX($AO$1005:$BQ$1005,1,MATCH(COLUMNS($AO$1006:BE1006),$AO$1006:$BQ$1006,0))&gt;=100000), " ",IF(INDEX($AO$2:$BQ$1001,MATCH(ROWS($AH$2:AH774),$AH$2:$AH$1001,0),MATCH(COLUMNS($AO$1006:BE1006),$AO$1006:$BQ$1006,0)), HYPERLINK("#",""), HYPERLINK(CONCATENATE("#Metadata!", ADDRESS(INDEX($AJ$2:$AJ$1001,MATCH(ROWS($AH$2:AH774),$AH$2:$AH$1001,0),0), INDEX($AO$1004:$BQ$1004,1,MATCH(COLUMNS($AO$1006:BE1006),$AO$1006:$BQ$1006,0)))),"Fix")))</f>
        <v>#N/A</v>
      </c>
      <c r="S774" s="5" t="e">
        <f ca="1">IF(OR(INDEX($AI$2:$AI$1001,MATCH(ROWS($AH$2:AH774),$AH$2:$AH$1001,0),1)&gt;=100000,INDEX($AO$1005:$BQ$1005,1,MATCH(COLUMNS($AO$1006:BF1006),$AO$1006:$BQ$1006,0))&gt;=100000), " ",IF(INDEX($AO$2:$BQ$1001,MATCH(ROWS($AH$2:AH774),$AH$2:$AH$1001,0),MATCH(COLUMNS($AO$1006:BF1006),$AO$1006:$BQ$1006,0)), HYPERLINK("#",""), HYPERLINK(CONCATENATE("#Metadata!", ADDRESS(INDEX($AJ$2:$AJ$1001,MATCH(ROWS($AH$2:AH774),$AH$2:$AH$1001,0),0), INDEX($AO$1004:$BQ$1004,1,MATCH(COLUMNS($AO$1006:BF1006),$AO$1006:$BQ$1006,0)))),"Fix")))</f>
        <v>#N/A</v>
      </c>
      <c r="T774" s="5" t="e">
        <f ca="1">IF(OR(INDEX($AI$2:$AI$1001,MATCH(ROWS($AH$2:AH774),$AH$2:$AH$1001,0),1)&gt;=100000,INDEX($AO$1005:$BQ$1005,1,MATCH(COLUMNS($AO$1006:BG1006),$AO$1006:$BQ$1006,0))&gt;=100000), " ",IF(INDEX($AO$2:$BQ$1001,MATCH(ROWS($AH$2:AH774),$AH$2:$AH$1001,0),MATCH(COLUMNS($AO$1006:BG1006),$AO$1006:$BQ$1006,0)), HYPERLINK("#",""), HYPERLINK(CONCATENATE("#Metadata!", ADDRESS(INDEX($AJ$2:$AJ$1001,MATCH(ROWS($AH$2:AH774),$AH$2:$AH$1001,0),0), INDEX($AO$1004:$BQ$1004,1,MATCH(COLUMNS($AO$1006:BG1006),$AO$1006:$BQ$1006,0)))),"Fix")))</f>
        <v>#N/A</v>
      </c>
      <c r="U774" s="5" t="e">
        <f ca="1">IF(OR(INDEX($AI$2:$AI$1001,MATCH(ROWS($AH$2:AH774),$AH$2:$AH$1001,0),1)&gt;=100000,INDEX($AO$1005:$BQ$1005,1,MATCH(COLUMNS($AO$1006:BH1006),$AO$1006:$BQ$1006,0))&gt;=100000), " ",IF(INDEX($AO$2:$BQ$1001,MATCH(ROWS($AH$2:AH774),$AH$2:$AH$1001,0),MATCH(COLUMNS($AO$1006:BH1006),$AO$1006:$BQ$1006,0)), HYPERLINK("#",""), HYPERLINK(CONCATENATE("#Metadata!", ADDRESS(INDEX($AJ$2:$AJ$1001,MATCH(ROWS($AH$2:AH774),$AH$2:$AH$1001,0),0), INDEX($AO$1004:$BQ$1004,1,MATCH(COLUMNS($AO$1006:BH1006),$AO$1006:$BQ$1006,0)))),"Fix")))</f>
        <v>#N/A</v>
      </c>
      <c r="V774" s="5" t="e">
        <f ca="1">IF(OR(INDEX($AI$2:$AI$1001,MATCH(ROWS($AH$2:AH774),$AH$2:$AH$1001,0),1)&gt;=100000,INDEX($AO$1005:$BQ$1005,1,MATCH(COLUMNS($AO$1006:BI1006),$AO$1006:$BQ$1006,0))&gt;=100000), " ",IF(INDEX($AO$2:$BQ$1001,MATCH(ROWS($AH$2:AH774),$AH$2:$AH$1001,0),MATCH(COLUMNS($AO$1006:BI1006),$AO$1006:$BQ$1006,0)), HYPERLINK("#",""), HYPERLINK(CONCATENATE("#Metadata!", ADDRESS(INDEX($AJ$2:$AJ$1001,MATCH(ROWS($AH$2:AH774),$AH$2:$AH$1001,0),0), INDEX($AO$1004:$BQ$1004,1,MATCH(COLUMNS($AO$1006:BI1006),$AO$1006:$BQ$1006,0)))),"Fix")))</f>
        <v>#N/A</v>
      </c>
      <c r="W774" s="5" t="e">
        <f ca="1">IF(OR(INDEX($AI$2:$AI$1001,MATCH(ROWS($AH$2:AH774),$AH$2:$AH$1001,0),1)&gt;=100000,INDEX($AO$1005:$BQ$1005,1,MATCH(COLUMNS($AO$1006:BJ1006),$AO$1006:$BQ$1006,0))&gt;=100000), " ",IF(INDEX($AO$2:$BQ$1001,MATCH(ROWS($AH$2:AH774),$AH$2:$AH$1001,0),MATCH(COLUMNS($AO$1006:BJ1006),$AO$1006:$BQ$1006,0)), HYPERLINK("#",""), HYPERLINK(CONCATENATE("#Metadata!", ADDRESS(INDEX($AJ$2:$AJ$1001,MATCH(ROWS($AH$2:AH774),$AH$2:$AH$1001,0),0), INDEX($AO$1004:$BQ$1004,1,MATCH(COLUMNS($AO$1006:BJ1006),$AO$1006:$BQ$1006,0)))),"Fix")))</f>
        <v>#N/A</v>
      </c>
      <c r="X774" s="5" t="e">
        <f ca="1">IF(OR(INDEX($AI$2:$AI$1001,MATCH(ROWS($AH$2:AH774),$AH$2:$AH$1001,0),1)&gt;=100000,INDEX($AO$1005:$BQ$1005,1,MATCH(COLUMNS($AO$1006:BK1006),$AO$1006:$BQ$1006,0))&gt;=100000), " ",IF(INDEX($AO$2:$BQ$1001,MATCH(ROWS($AH$2:AH774),$AH$2:$AH$1001,0),MATCH(COLUMNS($AO$1006:BK1006),$AO$1006:$BQ$1006,0)), HYPERLINK("#",""), HYPERLINK(CONCATENATE("#Metadata!", ADDRESS(INDEX($AJ$2:$AJ$1001,MATCH(ROWS($AH$2:AH774),$AH$2:$AH$1001,0),0), INDEX($AO$1004:$BQ$1004,1,MATCH(COLUMNS($AO$1006:BK1006),$AO$1006:$BQ$1006,0)))),"Fix")))</f>
        <v>#N/A</v>
      </c>
      <c r="Y774" s="5" t="e">
        <f ca="1">IF(OR(INDEX($AI$2:$AI$1001,MATCH(ROWS($AH$2:AH774),$AH$2:$AH$1001,0),1)&gt;=100000,INDEX($AO$1005:$BQ$1005,1,MATCH(COLUMNS($AO$1006:BL1006),$AO$1006:$BQ$1006,0))&gt;=100000), " ",IF(INDEX($AO$2:$BQ$1001,MATCH(ROWS($AH$2:AH774),$AH$2:$AH$1001,0),MATCH(COLUMNS($AO$1006:BL1006),$AO$1006:$BQ$1006,0)), HYPERLINK("#",""), HYPERLINK(CONCATENATE("#Metadata!", ADDRESS(INDEX($AJ$2:$AJ$1001,MATCH(ROWS($AH$2:AH774),$AH$2:$AH$1001,0),0), INDEX($AO$1004:$BQ$1004,1,MATCH(COLUMNS($AO$1006:BL1006),$AO$1006:$BQ$1006,0)))),"Fix")))</f>
        <v>#N/A</v>
      </c>
      <c r="Z774" s="5" t="e">
        <f ca="1">IF(OR(INDEX($AI$2:$AI$1001,MATCH(ROWS($AH$2:AH774),$AH$2:$AH$1001,0),1)&gt;=100000,INDEX($AO$1005:$BQ$1005,1,MATCH(COLUMNS($AO$1006:BM1006),$AO$1006:$BQ$1006,0))&gt;=100000), " ",IF(INDEX($AO$2:$BQ$1001,MATCH(ROWS($AH$2:AH774),$AH$2:$AH$1001,0),MATCH(COLUMNS($AO$1006:BM1006),$AO$1006:$BQ$1006,0)), HYPERLINK("#",""), HYPERLINK(CONCATENATE("#Metadata!", ADDRESS(INDEX($AJ$2:$AJ$1001,MATCH(ROWS($AH$2:AH774),$AH$2:$AH$1001,0),0), INDEX($AO$1004:$BQ$1004,1,MATCH(COLUMNS($AO$1006:BM1006),$AO$1006:$BQ$1006,0)))),"Fix")))</f>
        <v>#N/A</v>
      </c>
      <c r="AA774" s="5" t="e">
        <f ca="1">IF(OR(INDEX($AI$2:$AI$1001,MATCH(ROWS($AH$2:AH774),$AH$2:$AH$1001,0),1)&gt;=100000,INDEX($AO$1005:$BQ$1005,1,MATCH(COLUMNS($AO$1006:BN1006),$AO$1006:$BQ$1006,0))&gt;=100000), " ",IF(INDEX($AO$2:$BQ$1001,MATCH(ROWS($AH$2:AH774),$AH$2:$AH$1001,0),MATCH(COLUMNS($AO$1006:BN1006),$AO$1006:$BQ$1006,0)), HYPERLINK("#",""), HYPERLINK(CONCATENATE("#Metadata!", ADDRESS(INDEX($AJ$2:$AJ$1001,MATCH(ROWS($AH$2:AH774),$AH$2:$AH$1001,0),0), INDEX($AO$1004:$BQ$1004,1,MATCH(COLUMNS($AO$1006:BN1006),$AO$1006:$BQ$1006,0)))),"Fix")))</f>
        <v>#N/A</v>
      </c>
      <c r="AB774" s="5" t="e">
        <f ca="1">IF(OR(INDEX($AI$2:$AI$1001,MATCH(ROWS($AH$2:AH774),$AH$2:$AH$1001,0),1)&gt;=100000,INDEX($AO$1005:$BQ$1005,1,MATCH(COLUMNS($AO$1006:BO1006),$AO$1006:$BQ$1006,0))&gt;=100000), " ",IF(INDEX($AO$2:$BQ$1001,MATCH(ROWS($AH$2:AH774),$AH$2:$AH$1001,0),MATCH(COLUMNS($AO$1006:BO1006),$AO$1006:$BQ$1006,0)), HYPERLINK("#",""), HYPERLINK(CONCATENATE("#Metadata!", ADDRESS(INDEX($AJ$2:$AJ$1001,MATCH(ROWS($AH$2:AH774),$AH$2:$AH$1001,0),0), INDEX($AO$1004:$BQ$1004,1,MATCH(COLUMNS($AO$1006:BO1006),$AO$1006:$BQ$1006,0)))),"Fix")))</f>
        <v>#N/A</v>
      </c>
      <c r="AC774" s="5" t="e">
        <f ca="1">IF(OR(INDEX($AI$2:$AI$1001,MATCH(ROWS($AH$2:AH774),$AH$2:$AH$1001,0),1)&gt;=100000,INDEX($AO$1005:$BQ$1005,1,MATCH(COLUMNS($AO$1006:BP1006),$AO$1006:$BQ$1006,0))&gt;=100000), " ",IF(INDEX($AO$2:$BQ$1001,MATCH(ROWS($AH$2:AH774),$AH$2:$AH$1001,0),MATCH(COLUMNS($AO$1006:BP1006),$AO$1006:$BQ$1006,0)), HYPERLINK("#",""), HYPERLINK(CONCATENATE("#Metadata!", ADDRESS(INDEX($AJ$2:$AJ$1001,MATCH(ROWS($AH$2:AH774),$AH$2:$AH$1001,0),0), INDEX($AO$1004:$BQ$1004,1,MATCH(COLUMNS($AO$1006:BP1006),$AO$1006:$BQ$1006,0)))),"Fix")))</f>
        <v>#N/A</v>
      </c>
      <c r="AD774" s="5" t="e">
        <f ca="1">IF(OR(INDEX($AI$2:$AI$1001,MATCH(ROWS($AH$2:AH774),$AH$2:$AH$1001,0),1)&gt;=100000,INDEX($AO$1005:$BQ$1005,1,MATCH(COLUMNS($AO$1006:BQ1006),$AO$1006:$BQ$1006,0))&gt;=100000), " ",IF(INDEX($AO$2:$BQ$1001,MATCH(ROWS($AH$2:AH774),$AH$2:$AH$1001,0),MATCH(COLUMNS($AO$1006:BQ1006),$AO$1006:$BQ$1006,0)), HYPERLINK("#",""), HYPERLINK(CONCATENATE("#Metadata!", ADDRESS(INDEX($AJ$2:$AJ$1001,MATCH(ROWS($AH$2:AH774),$AH$2:$AH$1001,0),0), INDEX($AO$1004:$BQ$1004,1,MATCH(COLUMNS($AO$1006:BQ1006),$AO$1006:$BQ$1006,0)))),"Fix")))</f>
        <v>#REF!</v>
      </c>
      <c r="AH774">
        <f ca="1"/>
        <v>771</v>
      </c>
      <c r="AI774">
        <v>100774</v>
      </c>
      <c r="AJ774">
        <v>774</v>
      </c>
      <c r="AK774" t="b">
        <f t="shared" si="12"/>
        <v>1</v>
      </c>
      <c r="AL774" t="b">
        <f>COUNTBLANK(Metadata!B774:AD774)=COLUMNS(Metadata!B774:AD774)</f>
        <v>1</v>
      </c>
      <c r="AM774" t="str">
        <v/>
      </c>
      <c r="AO774" t="b">
        <f ca="1">AND(IF(Metadata!B774="",FALSE,TRUE),COUNTIF(Metadata!B:B, Metadata!B774) = 1,NOT(ISERROR(SUMPRODUCT(SEARCH(MID(Metadata!B774,ROW(INDIRECT("1:"&amp;LEN(Metadata!B774))), 1),"0123456789abcdefghijklmnopqrstuvwxyzABCDEFGHIJKLMNOPQRSTUVWXYZ.")))))</f>
        <v>0</v>
      </c>
      <c r="AP774" t="b">
        <f>IF(Metadata!C774="",FALSE,TRUE)</f>
        <v>0</v>
      </c>
      <c r="AQ774" t="b">
        <f>IF(Metadata!D774="",FALSE,TRUE)</f>
        <v>0</v>
      </c>
      <c r="AR774" t="b">
        <f ca="1">OR(AND(IF(Metadata!E774="",FALSE,TRUE),OR(EXACT(Metadata!E774,"not collected"),EXACT(Metadata!E774,"not provided"),EXACT(Metadata!E774,"restricted access"))),AND(IF(Metadata!E774="",FALSE,TRUE),AND(AND(IFERROR(INT(LEFT(Metadata!E774,4))&gt;1900,FALSE),IFERROR(INT(LEFT(Metadata!E774,4))&lt;=YEAR(NOW()),FALSE)), OR(MID(Metadata!E774,5,1)="", AND(AND(MID(Metadata!E774,5,1)="-",IFERROR(INT(MID(Metadata!E774,6,1))&gt;=0,FALSE),IFERROR(INT(MID(Metadata!E774,6,1))&lt;=1,FALSE),NOT(MID(Metadata!E774,7,1)=""),IFERROR(INT(MID(Metadata!E774,6,2))&gt;=1,FALSE),IFERROR(INT(MID(Metadata!E774,6,2))&lt;=12,FALSE)), OR(MID(Metadata!E774,8,1)="", AND(AND(MID(Metadata!E774,8,1)="-",IFERROR(INT(MID(Metadata!E774,9,1))&gt;=0,FALSE),IFERROR(INT(MID(Metadata!E774,9,1))&lt;=3,FALSE),NOT(MID(Metadata!E774,10,1)=""),IFERROR(INT(MID(Metadata!E774,9,2))&gt;=1,FALSE),IFERROR(INT(MID(Metadata!E774,9,2))&lt;=31,FALSE)), OR(MID(Metadata!E774,11,1)="", AND(AND(MID(Metadata!E774,11,1)=" ",IFERROR(INT(MID(Metadata!E774,12,1))&gt;=0,FALSE),IFERROR(INT(MID(Metadata!E774,12,1))&lt;=2,FALSE),NOT(MID(Metadata!E774,13,1)=""),IFERROR(INT(MID(Metadata!E774,12,2))&gt;=0,FALSE),IFERROR(INT(MID(Metadata!E774,12,2))&lt;=23,FALSE)), OR(MID(Metadata!E774,14,1)="", AND(AND(MID(Metadata!E774,14,1)=":",IFERROR(INT(MID(Metadata!E774,15,1))&gt;=0,FALSE),IFERROR(INT(MID(Metadata!E774,15,1))&lt;=5,FALSE),NOT(MID(Metadata!E774,16,1)=""),IFERROR(INT(MID(Metadata!E774,15,2))&gt;=0,FALSE),IFERROR(INT(MID(Metadata!E774,15,2))&lt;=59,FALSE)), OR(MID(Metadata!E774,17,1)="", AND(AND(MID(Metadata!E774,17,1)=":",IFERROR(INT(MID(Metadata!E774,18,1))&gt;=0,FALSE),IFERROR(INT(MID(Metadata!E774,18,1))&lt;=5,FALSE),NOT(MID(Metadata!E774,19,1)=""),IFERROR(INT(MID(Metadata!E774,18,2))&gt;=0,FALSE),IFERROR(INT(MID(Metadata!E774,18,2))&lt;=59,FALSE)), LEN(Metadata!E774)&lt;=19)))))))))))))</f>
        <v>0</v>
      </c>
      <c r="AS774" t="b">
        <f>IF(Metadata!F774="",FALSE,TRUE)</f>
        <v>0</v>
      </c>
      <c r="AT774" t="b">
        <f>OR(AND(IF(Metadata!G774="",FALSE,TRUE),OR(EXACT(Metadata!G774,"not collected"),EXACT(Metadata!G774,"not provided"))),AND(IF(Metadata!G774="",FALSE,TRUE),OR(EXACT(Metadata!G774,"TRUE"),EXACT(Metadata!G774,"FALSE"))))</f>
        <v>0</v>
      </c>
      <c r="AU774" t="b">
        <f>OR(AND(IF(Metadata!H774="",FALSE,TRUE),OR(EXACT(Metadata!H774,"not collected"),EXACT(Metadata!H774,"not provided"),EXACT(Metadata!H774,"restricted access"))),AND(IF(Metadata!H774="",FALSE,ISNUMBER(VALUE(Metadata!H774))),Metadata!H774&gt;=-413))</f>
        <v>0</v>
      </c>
      <c r="AV774" t="b">
        <f>AND(IF(Metadata!I774="",FALSE,TRUE),EXACT(Metadata!I774,"meters"))</f>
        <v>0</v>
      </c>
      <c r="AW774" t="b">
        <f>AND(IF(Metadata!J774="",FALSE,TRUE),EXACT(Metadata!J774,"free-living"))</f>
        <v>0</v>
      </c>
      <c r="AX774" t="b">
        <f>AND(IF(Metadata!K774="",FALSE,TRUE),OR(EXACT(Metadata!K774,"saline"),EXACT(Metadata!K774,"non-saline")))</f>
        <v>0</v>
      </c>
      <c r="AY774" t="b">
        <f>AND(IF(Metadata!L774="",FALSE,TRUE),OR(EXACT(Metadata!L774,"sub-surface (non-saline)"),EXACT(Metadata!L774,"surface (non-saline)"),EXACT(Metadata!L774,"water (non-saline)"),EXACT(Metadata!L774,"soil (non-saline)"),EXACT(Metadata!L774,"aerosol (non-saline)"),EXACT(Metadata!L774,"sediment (non-saline)"),EXACT(Metadata!L774,"surface (saline)"),EXACT(Metadata!L774,"water (saline)"),EXACT(Metadata!L774,"hypersaline (saline)"),EXACT(Metadata!L774,"aerosol (saline)"),EXACT(Metadata!L774,"sediment (saline)")))</f>
        <v>0</v>
      </c>
      <c r="AZ774" t="b">
        <f>IF(Metadata!M774="",FALSE,TRUE)</f>
        <v>0</v>
      </c>
      <c r="BA774" t="b">
        <f>IF(Metadata!N774="",FALSE,TRUE)</f>
        <v>0</v>
      </c>
      <c r="BB774" t="b">
        <f>IF(Metadata!O774="",FALSE,TRUE)</f>
        <v>0</v>
      </c>
      <c r="BC774" t="b">
        <f>AND(IF(Metadata!P774="",FALSE,TRUE),OR(EXACT(Metadata!P774,"air"),EXACT(Metadata!P774,"microbial mat/biofilm"),EXACT(Metadata!P774,"misc environment"),EXACT(Metadata!P774,"sediment"),EXACT(Metadata!P774,"soil"),EXACT(Metadata!P774,"wastewater/sludge"),EXACT(Metadata!P774,"water")))</f>
        <v>0</v>
      </c>
      <c r="BD774" t="b">
        <f>IF(Metadata!Q774="",FALSE,TRUE)</f>
        <v>0</v>
      </c>
      <c r="BE774" t="b">
        <f>IF(Metadata!R774="",FALSE,TRUE)</f>
        <v>0</v>
      </c>
      <c r="BF774" t="b">
        <f>OR(AND(IF(Metadata!S774="",FALSE,TRUE),OR(EXACT(Metadata!S774,"not collected"),EXACT(Metadata!S774,"not provided"),EXACT(Metadata!S774,"restricted access"))),AND(IF(Metadata!S774="",FALSE,ISNUMBER(VALUE(Metadata!S774))),Metadata!S774&gt;=-90,Metadata!S774&lt;=90))</f>
        <v>0</v>
      </c>
      <c r="BG774" t="b">
        <f>AND(IF(Metadata!T774="",FALSE,TRUE),EXACT(Metadata!T774,"Decimal degrees"))</f>
        <v>0</v>
      </c>
      <c r="BH774" t="b">
        <f>OR(AND(IF(Metadata!U774="",FALSE,TRUE),OR(EXACT(Metadata!U774,"not applicable"),EXACT(Metadata!U774,"not collected"))),IF(Metadata!U774="",FALSE,TRUE))</f>
        <v>0</v>
      </c>
      <c r="BI774" t="b">
        <f>OR(AND(IF(Metadata!V774="",FALSE,TRUE),OR(EXACT(Metadata!V774,"not collected"),EXACT(Metadata!V774,"not provided"),EXACT(Metadata!V774,"restricted access"))),AND(IF(Metadata!V774="",FALSE,ISNUMBER(VALUE(Metadata!V774))),Metadata!V774&gt;=-180,Metadata!V774&lt;=180))</f>
        <v>0</v>
      </c>
      <c r="BJ774" t="b">
        <f>AND(IF(Metadata!W774="",FALSE,TRUE),EXACT(Metadata!W774,"Decimal degrees"))</f>
        <v>0</v>
      </c>
      <c r="BK774" t="b">
        <f>IF(Metadata!X774="",FALSE,TRUE)</f>
        <v>0</v>
      </c>
      <c r="BL774" t="b">
        <f>OR(AND(IF(Metadata!Y774="",FALSE,TRUE),OR(EXACT(Metadata!Y774,"not collected"),EXACT(Metadata!Y774,"not provided"),EXACT(Metadata!Y774,"restricted access"))),AND(IF(Metadata!Y774="",FALSE,TRUE),OR(EXACT(Metadata!Y774,"TRUE"),EXACT(Metadata!Y774,"FALSE"))))</f>
        <v>0</v>
      </c>
      <c r="BM774" t="b">
        <f>OR(AND(IF(Metadata!Z774="",FALSE,TRUE),EXACT(Metadata!Z774,"not applicable")),AND(IF(Metadata!Z774="",FALSE,TRUE),OR(EXACT(Metadata!Z774,"beer"),EXACT(Metadata!Z774,"cheese"),EXACT(Metadata!Z774,"fresh water"),EXACT(Metadata!Z774,"marine sediment"),EXACT(Metadata!Z774,"sea water"),EXACT(Metadata!Z774,"sediment"),EXACT(Metadata!Z774,"soil"),EXACT(Metadata!Z774,"waste water"))))</f>
        <v>0</v>
      </c>
      <c r="BN774" t="b">
        <f>AND(IF(Metadata!AA774="",FALSE,TRUE),EXACT(Metadata!AA774,"metagenome"))</f>
        <v>0</v>
      </c>
      <c r="BO774" t="b">
        <f>AND(IF(Metadata!AB774="",FALSE,TRUE),EXACT(Metadata!AB774,"256318"))</f>
        <v>0</v>
      </c>
      <c r="BP774" t="b">
        <f>IF(Metadata!AC774="",FALSE,TRUE)</f>
        <v>0</v>
      </c>
      <c r="BQ774" t="b">
        <f>IF(Metadata!AD774="",FALSE,TRUE)</f>
        <v>0</v>
      </c>
    </row>
    <row r="775" spans="1:69" x14ac:dyDescent="0.2">
      <c r="A775" s="4" t="e">
        <f ca="1">IF(B775=" "," ",HYPERLINK(CONCATENATE("#metadata!",ADDRESS(INDEX($AJ$2:$AJ$1001,MATCH(ROWS($AH$2:AH775),$AH$2:$AH$1001,0),0),2)),INDEX($AM$2:$AM$1001,MATCH(ROWS($AH$2:AH775),$AH$2:$AH$1001,0),0)))</f>
        <v>#N/A</v>
      </c>
      <c r="B775" s="5" t="e">
        <f ca="1">IF(OR(INDEX($AI$2:$AI$1001,MATCH(ROWS($AH$2:AH775),$AH$2:$AH$1001,0),1)&gt;=100000,INDEX($AO$1005:$BQ$1005,1,MATCH(COLUMNS($AO$1006:AO1006),$AO$1006:$BQ$1006,0))&gt;=100000), " ",IF(INDEX($AO$2:$BQ$1001,MATCH(ROWS($AH$2:AH775),$AH$2:$AH$1001,0),MATCH(COLUMNS($AO$1006:AO1006),$AO$1006:$BQ$1006,0)), HYPERLINK("#",""), HYPERLINK(CONCATENATE("#Metadata!", ADDRESS(INDEX($AJ$2:$AJ$1001,MATCH(ROWS($AH$2:AH775),$AH$2:$AH$1001,0),0), INDEX($AO$1004:$BQ$1004,1,MATCH(COLUMNS($AO$1006:AO1006),$AO$1006:$BQ$1006,0)))),"Fix")))</f>
        <v>#N/A</v>
      </c>
      <c r="C775" s="5" t="e">
        <f ca="1">IF(OR(INDEX($AI$2:$AI$1001,MATCH(ROWS($AH$2:AH775),$AH$2:$AH$1001,0),1)&gt;=100000,INDEX($AO$1005:$BQ$1005,1,MATCH(COLUMNS($AO$1006:AP1006),$AO$1006:$BQ$1006,0))&gt;=100000), " ",IF(INDEX($AO$2:$BQ$1001,MATCH(ROWS($AH$2:AH775),$AH$2:$AH$1001,0),MATCH(COLUMNS($AO$1006:AP1006),$AO$1006:$BQ$1006,0)), HYPERLINK("#",""), HYPERLINK(CONCATENATE("#Metadata!", ADDRESS(INDEX($AJ$2:$AJ$1001,MATCH(ROWS($AH$2:AH775),$AH$2:$AH$1001,0),0), INDEX($AO$1004:$BQ$1004,1,MATCH(COLUMNS($AO$1006:AP1006),$AO$1006:$BQ$1006,0)))),"Fix")))</f>
        <v>#N/A</v>
      </c>
      <c r="D775" s="5" t="e">
        <f ca="1">IF(OR(INDEX($AI$2:$AI$1001,MATCH(ROWS($AH$2:AH775),$AH$2:$AH$1001,0),1)&gt;=100000,INDEX($AO$1005:$BQ$1005,1,MATCH(COLUMNS($AO$1006:AQ1006),$AO$1006:$BQ$1006,0))&gt;=100000), " ",IF(INDEX($AO$2:$BQ$1001,MATCH(ROWS($AH$2:AH775),$AH$2:$AH$1001,0),MATCH(COLUMNS($AO$1006:AQ1006),$AO$1006:$BQ$1006,0)), HYPERLINK("#",""), HYPERLINK(CONCATENATE("#Metadata!", ADDRESS(INDEX($AJ$2:$AJ$1001,MATCH(ROWS($AH$2:AH775),$AH$2:$AH$1001,0),0), INDEX($AO$1004:$BQ$1004,1,MATCH(COLUMNS($AO$1006:AQ1006),$AO$1006:$BQ$1006,0)))),"Fix")))</f>
        <v>#N/A</v>
      </c>
      <c r="E775" s="5" t="e">
        <f ca="1">IF(OR(INDEX($AI$2:$AI$1001,MATCH(ROWS($AH$2:AH775),$AH$2:$AH$1001,0),1)&gt;=100000,INDEX($AO$1005:$BQ$1005,1,MATCH(COLUMNS($AO$1006:AR1006),$AO$1006:$BQ$1006,0))&gt;=100000), " ",IF(INDEX($AO$2:$BQ$1001,MATCH(ROWS($AH$2:AH775),$AH$2:$AH$1001,0),MATCH(COLUMNS($AO$1006:AR1006),$AO$1006:$BQ$1006,0)), HYPERLINK("#",""), HYPERLINK(CONCATENATE("#Metadata!", ADDRESS(INDEX($AJ$2:$AJ$1001,MATCH(ROWS($AH$2:AH775),$AH$2:$AH$1001,0),0), INDEX($AO$1004:$BQ$1004,1,MATCH(COLUMNS($AO$1006:AR1006),$AO$1006:$BQ$1006,0)))),"Fix")))</f>
        <v>#N/A</v>
      </c>
      <c r="F775" s="5" t="e">
        <f ca="1">IF(OR(INDEX($AI$2:$AI$1001,MATCH(ROWS($AH$2:AH775),$AH$2:$AH$1001,0),1)&gt;=100000,INDEX($AO$1005:$BQ$1005,1,MATCH(COLUMNS($AO$1006:AS1006),$AO$1006:$BQ$1006,0))&gt;=100000), " ",IF(INDEX($AO$2:$BQ$1001,MATCH(ROWS($AH$2:AH775),$AH$2:$AH$1001,0),MATCH(COLUMNS($AO$1006:AS1006),$AO$1006:$BQ$1006,0)), HYPERLINK("#",""), HYPERLINK(CONCATENATE("#Metadata!", ADDRESS(INDEX($AJ$2:$AJ$1001,MATCH(ROWS($AH$2:AH775),$AH$2:$AH$1001,0),0), INDEX($AO$1004:$BQ$1004,1,MATCH(COLUMNS($AO$1006:AS1006),$AO$1006:$BQ$1006,0)))),"Fix")))</f>
        <v>#N/A</v>
      </c>
      <c r="G775" s="5" t="e">
        <f ca="1">IF(OR(INDEX($AI$2:$AI$1001,MATCH(ROWS($AH$2:AH775),$AH$2:$AH$1001,0),1)&gt;=100000,INDEX($AO$1005:$BQ$1005,1,MATCH(COLUMNS($AO$1006:AT1006),$AO$1006:$BQ$1006,0))&gt;=100000), " ",IF(INDEX($AO$2:$BQ$1001,MATCH(ROWS($AH$2:AH775),$AH$2:$AH$1001,0),MATCH(COLUMNS($AO$1006:AT1006),$AO$1006:$BQ$1006,0)), HYPERLINK("#",""), HYPERLINK(CONCATENATE("#Metadata!", ADDRESS(INDEX($AJ$2:$AJ$1001,MATCH(ROWS($AH$2:AH775),$AH$2:$AH$1001,0),0), INDEX($AO$1004:$BQ$1004,1,MATCH(COLUMNS($AO$1006:AT1006),$AO$1006:$BQ$1006,0)))),"Fix")))</f>
        <v>#N/A</v>
      </c>
      <c r="H775" s="5" t="e">
        <f ca="1">IF(OR(INDEX($AI$2:$AI$1001,MATCH(ROWS($AH$2:AH775),$AH$2:$AH$1001,0),1)&gt;=100000,INDEX($AO$1005:$BQ$1005,1,MATCH(COLUMNS($AO$1006:AU1006),$AO$1006:$BQ$1006,0))&gt;=100000), " ",IF(INDEX($AO$2:$BQ$1001,MATCH(ROWS($AH$2:AH775),$AH$2:$AH$1001,0),MATCH(COLUMNS($AO$1006:AU1006),$AO$1006:$BQ$1006,0)), HYPERLINK("#",""), HYPERLINK(CONCATENATE("#Metadata!", ADDRESS(INDEX($AJ$2:$AJ$1001,MATCH(ROWS($AH$2:AH775),$AH$2:$AH$1001,0),0), INDEX($AO$1004:$BQ$1004,1,MATCH(COLUMNS($AO$1006:AU1006),$AO$1006:$BQ$1006,0)))),"Fix")))</f>
        <v>#N/A</v>
      </c>
      <c r="I775" s="5" t="e">
        <f ca="1">IF(OR(INDEX($AI$2:$AI$1001,MATCH(ROWS($AH$2:AH775),$AH$2:$AH$1001,0),1)&gt;=100000,INDEX($AO$1005:$BQ$1005,1,MATCH(COLUMNS($AO$1006:AV1006),$AO$1006:$BQ$1006,0))&gt;=100000), " ",IF(INDEX($AO$2:$BQ$1001,MATCH(ROWS($AH$2:AH775),$AH$2:$AH$1001,0),MATCH(COLUMNS($AO$1006:AV1006),$AO$1006:$BQ$1006,0)), HYPERLINK("#",""), HYPERLINK(CONCATENATE("#Metadata!", ADDRESS(INDEX($AJ$2:$AJ$1001,MATCH(ROWS($AH$2:AH775),$AH$2:$AH$1001,0),0), INDEX($AO$1004:$BQ$1004,1,MATCH(COLUMNS($AO$1006:AV1006),$AO$1006:$BQ$1006,0)))),"Fix")))</f>
        <v>#N/A</v>
      </c>
      <c r="J775" s="5" t="e">
        <f ca="1">IF(OR(INDEX($AI$2:$AI$1001,MATCH(ROWS($AH$2:AH775),$AH$2:$AH$1001,0),1)&gt;=100000,INDEX($AO$1005:$BQ$1005,1,MATCH(COLUMNS($AO$1006:AW1006),$AO$1006:$BQ$1006,0))&gt;=100000), " ",IF(INDEX($AO$2:$BQ$1001,MATCH(ROWS($AH$2:AH775),$AH$2:$AH$1001,0),MATCH(COLUMNS($AO$1006:AW1006),$AO$1006:$BQ$1006,0)), HYPERLINK("#",""), HYPERLINK(CONCATENATE("#Metadata!", ADDRESS(INDEX($AJ$2:$AJ$1001,MATCH(ROWS($AH$2:AH775),$AH$2:$AH$1001,0),0), INDEX($AO$1004:$BQ$1004,1,MATCH(COLUMNS($AO$1006:AW1006),$AO$1006:$BQ$1006,0)))),"Fix")))</f>
        <v>#N/A</v>
      </c>
      <c r="K775" s="5" t="e">
        <f ca="1">IF(OR(INDEX($AI$2:$AI$1001,MATCH(ROWS($AH$2:AH775),$AH$2:$AH$1001,0),1)&gt;=100000,INDEX($AO$1005:$BQ$1005,1,MATCH(COLUMNS($AO$1006:AX1006),$AO$1006:$BQ$1006,0))&gt;=100000), " ",IF(INDEX($AO$2:$BQ$1001,MATCH(ROWS($AH$2:AH775),$AH$2:$AH$1001,0),MATCH(COLUMNS($AO$1006:AX1006),$AO$1006:$BQ$1006,0)), HYPERLINK("#",""), HYPERLINK(CONCATENATE("#Metadata!", ADDRESS(INDEX($AJ$2:$AJ$1001,MATCH(ROWS($AH$2:AH775),$AH$2:$AH$1001,0),0), INDEX($AO$1004:$BQ$1004,1,MATCH(COLUMNS($AO$1006:AX1006),$AO$1006:$BQ$1006,0)))),"Fix")))</f>
        <v>#N/A</v>
      </c>
      <c r="L775" s="5" t="e">
        <f ca="1">IF(OR(INDEX($AI$2:$AI$1001,MATCH(ROWS($AH$2:AH775),$AH$2:$AH$1001,0),1)&gt;=100000,INDEX($AO$1005:$BQ$1005,1,MATCH(COLUMNS($AO$1006:AY1006),$AO$1006:$BQ$1006,0))&gt;=100000), " ",IF(INDEX($AO$2:$BQ$1001,MATCH(ROWS($AH$2:AH775),$AH$2:$AH$1001,0),MATCH(COLUMNS($AO$1006:AY1006),$AO$1006:$BQ$1006,0)), HYPERLINK("#",""), HYPERLINK(CONCATENATE("#Metadata!", ADDRESS(INDEX($AJ$2:$AJ$1001,MATCH(ROWS($AH$2:AH775),$AH$2:$AH$1001,0),0), INDEX($AO$1004:$BQ$1004,1,MATCH(COLUMNS($AO$1006:AY1006),$AO$1006:$BQ$1006,0)))),"Fix")))</f>
        <v>#N/A</v>
      </c>
      <c r="M775" s="5" t="e">
        <f ca="1">IF(OR(INDEX($AI$2:$AI$1001,MATCH(ROWS($AH$2:AH775),$AH$2:$AH$1001,0),1)&gt;=100000,INDEX($AO$1005:$BQ$1005,1,MATCH(COLUMNS($AO$1006:AZ1006),$AO$1006:$BQ$1006,0))&gt;=100000), " ",IF(INDEX($AO$2:$BQ$1001,MATCH(ROWS($AH$2:AH775),$AH$2:$AH$1001,0),MATCH(COLUMNS($AO$1006:AZ1006),$AO$1006:$BQ$1006,0)), HYPERLINK("#",""), HYPERLINK(CONCATENATE("#Metadata!", ADDRESS(INDEX($AJ$2:$AJ$1001,MATCH(ROWS($AH$2:AH775),$AH$2:$AH$1001,0),0), INDEX($AO$1004:$BQ$1004,1,MATCH(COLUMNS($AO$1006:AZ1006),$AO$1006:$BQ$1006,0)))),"Fix")))</f>
        <v>#N/A</v>
      </c>
      <c r="N775" s="5" t="e">
        <f ca="1">IF(OR(INDEX($AI$2:$AI$1001,MATCH(ROWS($AH$2:AH775),$AH$2:$AH$1001,0),1)&gt;=100000,INDEX($AO$1005:$BQ$1005,1,MATCH(COLUMNS($AO$1006:BA1006),$AO$1006:$BQ$1006,0))&gt;=100000), " ",IF(INDEX($AO$2:$BQ$1001,MATCH(ROWS($AH$2:AH775),$AH$2:$AH$1001,0),MATCH(COLUMNS($AO$1006:BA1006),$AO$1006:$BQ$1006,0)), HYPERLINK("#",""), HYPERLINK(CONCATENATE("#Metadata!", ADDRESS(INDEX($AJ$2:$AJ$1001,MATCH(ROWS($AH$2:AH775),$AH$2:$AH$1001,0),0), INDEX($AO$1004:$BQ$1004,1,MATCH(COLUMNS($AO$1006:BA1006),$AO$1006:$BQ$1006,0)))),"Fix")))</f>
        <v>#N/A</v>
      </c>
      <c r="O775" s="5" t="e">
        <f ca="1">IF(OR(INDEX($AI$2:$AI$1001,MATCH(ROWS($AH$2:AH775),$AH$2:$AH$1001,0),1)&gt;=100000,INDEX($AO$1005:$BQ$1005,1,MATCH(COLUMNS($AO$1006:BB1006),$AO$1006:$BQ$1006,0))&gt;=100000), " ",IF(INDEX($AO$2:$BQ$1001,MATCH(ROWS($AH$2:AH775),$AH$2:$AH$1001,0),MATCH(COLUMNS($AO$1006:BB1006),$AO$1006:$BQ$1006,0)), HYPERLINK("#",""), HYPERLINK(CONCATENATE("#Metadata!", ADDRESS(INDEX($AJ$2:$AJ$1001,MATCH(ROWS($AH$2:AH775),$AH$2:$AH$1001,0),0), INDEX($AO$1004:$BQ$1004,1,MATCH(COLUMNS($AO$1006:BB1006),$AO$1006:$BQ$1006,0)))),"Fix")))</f>
        <v>#N/A</v>
      </c>
      <c r="P775" s="5" t="e">
        <f ca="1">IF(OR(INDEX($AI$2:$AI$1001,MATCH(ROWS($AH$2:AH775),$AH$2:$AH$1001,0),1)&gt;=100000,INDEX($AO$1005:$BQ$1005,1,MATCH(COLUMNS($AO$1006:BC1006),$AO$1006:$BQ$1006,0))&gt;=100000), " ",IF(INDEX($AO$2:$BQ$1001,MATCH(ROWS($AH$2:AH775),$AH$2:$AH$1001,0),MATCH(COLUMNS($AO$1006:BC1006),$AO$1006:$BQ$1006,0)), HYPERLINK("#",""), HYPERLINK(CONCATENATE("#Metadata!", ADDRESS(INDEX($AJ$2:$AJ$1001,MATCH(ROWS($AH$2:AH775),$AH$2:$AH$1001,0),0), INDEX($AO$1004:$BQ$1004,1,MATCH(COLUMNS($AO$1006:BC1006),$AO$1006:$BQ$1006,0)))),"Fix")))</f>
        <v>#N/A</v>
      </c>
      <c r="Q775" s="5" t="e">
        <f ca="1">IF(OR(INDEX($AI$2:$AI$1001,MATCH(ROWS($AH$2:AH775),$AH$2:$AH$1001,0),1)&gt;=100000,INDEX($AO$1005:$BQ$1005,1,MATCH(COLUMNS($AO$1006:BD1006),$AO$1006:$BQ$1006,0))&gt;=100000), " ",IF(INDEX($AO$2:$BQ$1001,MATCH(ROWS($AH$2:AH775),$AH$2:$AH$1001,0),MATCH(COLUMNS($AO$1006:BD1006),$AO$1006:$BQ$1006,0)), HYPERLINK("#",""), HYPERLINK(CONCATENATE("#Metadata!", ADDRESS(INDEX($AJ$2:$AJ$1001,MATCH(ROWS($AH$2:AH775),$AH$2:$AH$1001,0),0), INDEX($AO$1004:$BQ$1004,1,MATCH(COLUMNS($AO$1006:BD1006),$AO$1006:$BQ$1006,0)))),"Fix")))</f>
        <v>#N/A</v>
      </c>
      <c r="R775" s="5" t="e">
        <f ca="1">IF(OR(INDEX($AI$2:$AI$1001,MATCH(ROWS($AH$2:AH775),$AH$2:$AH$1001,0),1)&gt;=100000,INDEX($AO$1005:$BQ$1005,1,MATCH(COLUMNS($AO$1006:BE1006),$AO$1006:$BQ$1006,0))&gt;=100000), " ",IF(INDEX($AO$2:$BQ$1001,MATCH(ROWS($AH$2:AH775),$AH$2:$AH$1001,0),MATCH(COLUMNS($AO$1006:BE1006),$AO$1006:$BQ$1006,0)), HYPERLINK("#",""), HYPERLINK(CONCATENATE("#Metadata!", ADDRESS(INDEX($AJ$2:$AJ$1001,MATCH(ROWS($AH$2:AH775),$AH$2:$AH$1001,0),0), INDEX($AO$1004:$BQ$1004,1,MATCH(COLUMNS($AO$1006:BE1006),$AO$1006:$BQ$1006,0)))),"Fix")))</f>
        <v>#N/A</v>
      </c>
      <c r="S775" s="5" t="e">
        <f ca="1">IF(OR(INDEX($AI$2:$AI$1001,MATCH(ROWS($AH$2:AH775),$AH$2:$AH$1001,0),1)&gt;=100000,INDEX($AO$1005:$BQ$1005,1,MATCH(COLUMNS($AO$1006:BF1006),$AO$1006:$BQ$1006,0))&gt;=100000), " ",IF(INDEX($AO$2:$BQ$1001,MATCH(ROWS($AH$2:AH775),$AH$2:$AH$1001,0),MATCH(COLUMNS($AO$1006:BF1006),$AO$1006:$BQ$1006,0)), HYPERLINK("#",""), HYPERLINK(CONCATENATE("#Metadata!", ADDRESS(INDEX($AJ$2:$AJ$1001,MATCH(ROWS($AH$2:AH775),$AH$2:$AH$1001,0),0), INDEX($AO$1004:$BQ$1004,1,MATCH(COLUMNS($AO$1006:BF1006),$AO$1006:$BQ$1006,0)))),"Fix")))</f>
        <v>#N/A</v>
      </c>
      <c r="T775" s="5" t="e">
        <f ca="1">IF(OR(INDEX($AI$2:$AI$1001,MATCH(ROWS($AH$2:AH775),$AH$2:$AH$1001,0),1)&gt;=100000,INDEX($AO$1005:$BQ$1005,1,MATCH(COLUMNS($AO$1006:BG1006),$AO$1006:$BQ$1006,0))&gt;=100000), " ",IF(INDEX($AO$2:$BQ$1001,MATCH(ROWS($AH$2:AH775),$AH$2:$AH$1001,0),MATCH(COLUMNS($AO$1006:BG1006),$AO$1006:$BQ$1006,0)), HYPERLINK("#",""), HYPERLINK(CONCATENATE("#Metadata!", ADDRESS(INDEX($AJ$2:$AJ$1001,MATCH(ROWS($AH$2:AH775),$AH$2:$AH$1001,0),0), INDEX($AO$1004:$BQ$1004,1,MATCH(COLUMNS($AO$1006:BG1006),$AO$1006:$BQ$1006,0)))),"Fix")))</f>
        <v>#N/A</v>
      </c>
      <c r="U775" s="5" t="e">
        <f ca="1">IF(OR(INDEX($AI$2:$AI$1001,MATCH(ROWS($AH$2:AH775),$AH$2:$AH$1001,0),1)&gt;=100000,INDEX($AO$1005:$BQ$1005,1,MATCH(COLUMNS($AO$1006:BH1006),$AO$1006:$BQ$1006,0))&gt;=100000), " ",IF(INDEX($AO$2:$BQ$1001,MATCH(ROWS($AH$2:AH775),$AH$2:$AH$1001,0),MATCH(COLUMNS($AO$1006:BH1006),$AO$1006:$BQ$1006,0)), HYPERLINK("#",""), HYPERLINK(CONCATENATE("#Metadata!", ADDRESS(INDEX($AJ$2:$AJ$1001,MATCH(ROWS($AH$2:AH775),$AH$2:$AH$1001,0),0), INDEX($AO$1004:$BQ$1004,1,MATCH(COLUMNS($AO$1006:BH1006),$AO$1006:$BQ$1006,0)))),"Fix")))</f>
        <v>#N/A</v>
      </c>
      <c r="V775" s="5" t="e">
        <f ca="1">IF(OR(INDEX($AI$2:$AI$1001,MATCH(ROWS($AH$2:AH775),$AH$2:$AH$1001,0),1)&gt;=100000,INDEX($AO$1005:$BQ$1005,1,MATCH(COLUMNS($AO$1006:BI1006),$AO$1006:$BQ$1006,0))&gt;=100000), " ",IF(INDEX($AO$2:$BQ$1001,MATCH(ROWS($AH$2:AH775),$AH$2:$AH$1001,0),MATCH(COLUMNS($AO$1006:BI1006),$AO$1006:$BQ$1006,0)), HYPERLINK("#",""), HYPERLINK(CONCATENATE("#Metadata!", ADDRESS(INDEX($AJ$2:$AJ$1001,MATCH(ROWS($AH$2:AH775),$AH$2:$AH$1001,0),0), INDEX($AO$1004:$BQ$1004,1,MATCH(COLUMNS($AO$1006:BI1006),$AO$1006:$BQ$1006,0)))),"Fix")))</f>
        <v>#N/A</v>
      </c>
      <c r="W775" s="5" t="e">
        <f ca="1">IF(OR(INDEX($AI$2:$AI$1001,MATCH(ROWS($AH$2:AH775),$AH$2:$AH$1001,0),1)&gt;=100000,INDEX($AO$1005:$BQ$1005,1,MATCH(COLUMNS($AO$1006:BJ1006),$AO$1006:$BQ$1006,0))&gt;=100000), " ",IF(INDEX($AO$2:$BQ$1001,MATCH(ROWS($AH$2:AH775),$AH$2:$AH$1001,0),MATCH(COLUMNS($AO$1006:BJ1006),$AO$1006:$BQ$1006,0)), HYPERLINK("#",""), HYPERLINK(CONCATENATE("#Metadata!", ADDRESS(INDEX($AJ$2:$AJ$1001,MATCH(ROWS($AH$2:AH775),$AH$2:$AH$1001,0),0), INDEX($AO$1004:$BQ$1004,1,MATCH(COLUMNS($AO$1006:BJ1006),$AO$1006:$BQ$1006,0)))),"Fix")))</f>
        <v>#N/A</v>
      </c>
      <c r="X775" s="5" t="e">
        <f ca="1">IF(OR(INDEX($AI$2:$AI$1001,MATCH(ROWS($AH$2:AH775),$AH$2:$AH$1001,0),1)&gt;=100000,INDEX($AO$1005:$BQ$1005,1,MATCH(COLUMNS($AO$1006:BK1006),$AO$1006:$BQ$1006,0))&gt;=100000), " ",IF(INDEX($AO$2:$BQ$1001,MATCH(ROWS($AH$2:AH775),$AH$2:$AH$1001,0),MATCH(COLUMNS($AO$1006:BK1006),$AO$1006:$BQ$1006,0)), HYPERLINK("#",""), HYPERLINK(CONCATENATE("#Metadata!", ADDRESS(INDEX($AJ$2:$AJ$1001,MATCH(ROWS($AH$2:AH775),$AH$2:$AH$1001,0),0), INDEX($AO$1004:$BQ$1004,1,MATCH(COLUMNS($AO$1006:BK1006),$AO$1006:$BQ$1006,0)))),"Fix")))</f>
        <v>#N/A</v>
      </c>
      <c r="Y775" s="5" t="e">
        <f ca="1">IF(OR(INDEX($AI$2:$AI$1001,MATCH(ROWS($AH$2:AH775),$AH$2:$AH$1001,0),1)&gt;=100000,INDEX($AO$1005:$BQ$1005,1,MATCH(COLUMNS($AO$1006:BL1006),$AO$1006:$BQ$1006,0))&gt;=100000), " ",IF(INDEX($AO$2:$BQ$1001,MATCH(ROWS($AH$2:AH775),$AH$2:$AH$1001,0),MATCH(COLUMNS($AO$1006:BL1006),$AO$1006:$BQ$1006,0)), HYPERLINK("#",""), HYPERLINK(CONCATENATE("#Metadata!", ADDRESS(INDEX($AJ$2:$AJ$1001,MATCH(ROWS($AH$2:AH775),$AH$2:$AH$1001,0),0), INDEX($AO$1004:$BQ$1004,1,MATCH(COLUMNS($AO$1006:BL1006),$AO$1006:$BQ$1006,0)))),"Fix")))</f>
        <v>#N/A</v>
      </c>
      <c r="Z775" s="5" t="e">
        <f ca="1">IF(OR(INDEX($AI$2:$AI$1001,MATCH(ROWS($AH$2:AH775),$AH$2:$AH$1001,0),1)&gt;=100000,INDEX($AO$1005:$BQ$1005,1,MATCH(COLUMNS($AO$1006:BM1006),$AO$1006:$BQ$1006,0))&gt;=100000), " ",IF(INDEX($AO$2:$BQ$1001,MATCH(ROWS($AH$2:AH775),$AH$2:$AH$1001,0),MATCH(COLUMNS($AO$1006:BM1006),$AO$1006:$BQ$1006,0)), HYPERLINK("#",""), HYPERLINK(CONCATENATE("#Metadata!", ADDRESS(INDEX($AJ$2:$AJ$1001,MATCH(ROWS($AH$2:AH775),$AH$2:$AH$1001,0),0), INDEX($AO$1004:$BQ$1004,1,MATCH(COLUMNS($AO$1006:BM1006),$AO$1006:$BQ$1006,0)))),"Fix")))</f>
        <v>#N/A</v>
      </c>
      <c r="AA775" s="5" t="e">
        <f ca="1">IF(OR(INDEX($AI$2:$AI$1001,MATCH(ROWS($AH$2:AH775),$AH$2:$AH$1001,0),1)&gt;=100000,INDEX($AO$1005:$BQ$1005,1,MATCH(COLUMNS($AO$1006:BN1006),$AO$1006:$BQ$1006,0))&gt;=100000), " ",IF(INDEX($AO$2:$BQ$1001,MATCH(ROWS($AH$2:AH775),$AH$2:$AH$1001,0),MATCH(COLUMNS($AO$1006:BN1006),$AO$1006:$BQ$1006,0)), HYPERLINK("#",""), HYPERLINK(CONCATENATE("#Metadata!", ADDRESS(INDEX($AJ$2:$AJ$1001,MATCH(ROWS($AH$2:AH775),$AH$2:$AH$1001,0),0), INDEX($AO$1004:$BQ$1004,1,MATCH(COLUMNS($AO$1006:BN1006),$AO$1006:$BQ$1006,0)))),"Fix")))</f>
        <v>#N/A</v>
      </c>
      <c r="AB775" s="5" t="e">
        <f ca="1">IF(OR(INDEX($AI$2:$AI$1001,MATCH(ROWS($AH$2:AH775),$AH$2:$AH$1001,0),1)&gt;=100000,INDEX($AO$1005:$BQ$1005,1,MATCH(COLUMNS($AO$1006:BO1006),$AO$1006:$BQ$1006,0))&gt;=100000), " ",IF(INDEX($AO$2:$BQ$1001,MATCH(ROWS($AH$2:AH775),$AH$2:$AH$1001,0),MATCH(COLUMNS($AO$1006:BO1006),$AO$1006:$BQ$1006,0)), HYPERLINK("#",""), HYPERLINK(CONCATENATE("#Metadata!", ADDRESS(INDEX($AJ$2:$AJ$1001,MATCH(ROWS($AH$2:AH775),$AH$2:$AH$1001,0),0), INDEX($AO$1004:$BQ$1004,1,MATCH(COLUMNS($AO$1006:BO1006),$AO$1006:$BQ$1006,0)))),"Fix")))</f>
        <v>#N/A</v>
      </c>
      <c r="AC775" s="5" t="e">
        <f ca="1">IF(OR(INDEX($AI$2:$AI$1001,MATCH(ROWS($AH$2:AH775),$AH$2:$AH$1001,0),1)&gt;=100000,INDEX($AO$1005:$BQ$1005,1,MATCH(COLUMNS($AO$1006:BP1006),$AO$1006:$BQ$1006,0))&gt;=100000), " ",IF(INDEX($AO$2:$BQ$1001,MATCH(ROWS($AH$2:AH775),$AH$2:$AH$1001,0),MATCH(COLUMNS($AO$1006:BP1006),$AO$1006:$BQ$1006,0)), HYPERLINK("#",""), HYPERLINK(CONCATENATE("#Metadata!", ADDRESS(INDEX($AJ$2:$AJ$1001,MATCH(ROWS($AH$2:AH775),$AH$2:$AH$1001,0),0), INDEX($AO$1004:$BQ$1004,1,MATCH(COLUMNS($AO$1006:BP1006),$AO$1006:$BQ$1006,0)))),"Fix")))</f>
        <v>#N/A</v>
      </c>
      <c r="AD775" s="5" t="e">
        <f ca="1">IF(OR(INDEX($AI$2:$AI$1001,MATCH(ROWS($AH$2:AH775),$AH$2:$AH$1001,0),1)&gt;=100000,INDEX($AO$1005:$BQ$1005,1,MATCH(COLUMNS($AO$1006:BQ1006),$AO$1006:$BQ$1006,0))&gt;=100000), " ",IF(INDEX($AO$2:$BQ$1001,MATCH(ROWS($AH$2:AH775),$AH$2:$AH$1001,0),MATCH(COLUMNS($AO$1006:BQ1006),$AO$1006:$BQ$1006,0)), HYPERLINK("#",""), HYPERLINK(CONCATENATE("#Metadata!", ADDRESS(INDEX($AJ$2:$AJ$1001,MATCH(ROWS($AH$2:AH775),$AH$2:$AH$1001,0),0), INDEX($AO$1004:$BQ$1004,1,MATCH(COLUMNS($AO$1006:BQ1006),$AO$1006:$BQ$1006,0)))),"Fix")))</f>
        <v>#REF!</v>
      </c>
      <c r="AH775">
        <f ca="1"/>
        <v>772</v>
      </c>
      <c r="AI775">
        <v>100775</v>
      </c>
      <c r="AJ775">
        <v>775</v>
      </c>
      <c r="AK775" t="b">
        <f t="shared" si="12"/>
        <v>1</v>
      </c>
      <c r="AL775" t="b">
        <f>COUNTBLANK(Metadata!B775:AD775)=COLUMNS(Metadata!B775:AD775)</f>
        <v>1</v>
      </c>
      <c r="AM775" t="str">
        <v/>
      </c>
      <c r="AO775" t="b">
        <f ca="1">AND(IF(Metadata!B775="",FALSE,TRUE),COUNTIF(Metadata!B:B, Metadata!B775) = 1,NOT(ISERROR(SUMPRODUCT(SEARCH(MID(Metadata!B775,ROW(INDIRECT("1:"&amp;LEN(Metadata!B775))), 1),"0123456789abcdefghijklmnopqrstuvwxyzABCDEFGHIJKLMNOPQRSTUVWXYZ.")))))</f>
        <v>0</v>
      </c>
      <c r="AP775" t="b">
        <f>IF(Metadata!C775="",FALSE,TRUE)</f>
        <v>0</v>
      </c>
      <c r="AQ775" t="b">
        <f>IF(Metadata!D775="",FALSE,TRUE)</f>
        <v>0</v>
      </c>
      <c r="AR775" t="b">
        <f ca="1">OR(AND(IF(Metadata!E775="",FALSE,TRUE),OR(EXACT(Metadata!E775,"not collected"),EXACT(Metadata!E775,"not provided"),EXACT(Metadata!E775,"restricted access"))),AND(IF(Metadata!E775="",FALSE,TRUE),AND(AND(IFERROR(INT(LEFT(Metadata!E775,4))&gt;1900,FALSE),IFERROR(INT(LEFT(Metadata!E775,4))&lt;=YEAR(NOW()),FALSE)), OR(MID(Metadata!E775,5,1)="", AND(AND(MID(Metadata!E775,5,1)="-",IFERROR(INT(MID(Metadata!E775,6,1))&gt;=0,FALSE),IFERROR(INT(MID(Metadata!E775,6,1))&lt;=1,FALSE),NOT(MID(Metadata!E775,7,1)=""),IFERROR(INT(MID(Metadata!E775,6,2))&gt;=1,FALSE),IFERROR(INT(MID(Metadata!E775,6,2))&lt;=12,FALSE)), OR(MID(Metadata!E775,8,1)="", AND(AND(MID(Metadata!E775,8,1)="-",IFERROR(INT(MID(Metadata!E775,9,1))&gt;=0,FALSE),IFERROR(INT(MID(Metadata!E775,9,1))&lt;=3,FALSE),NOT(MID(Metadata!E775,10,1)=""),IFERROR(INT(MID(Metadata!E775,9,2))&gt;=1,FALSE),IFERROR(INT(MID(Metadata!E775,9,2))&lt;=31,FALSE)), OR(MID(Metadata!E775,11,1)="", AND(AND(MID(Metadata!E775,11,1)=" ",IFERROR(INT(MID(Metadata!E775,12,1))&gt;=0,FALSE),IFERROR(INT(MID(Metadata!E775,12,1))&lt;=2,FALSE),NOT(MID(Metadata!E775,13,1)=""),IFERROR(INT(MID(Metadata!E775,12,2))&gt;=0,FALSE),IFERROR(INT(MID(Metadata!E775,12,2))&lt;=23,FALSE)), OR(MID(Metadata!E775,14,1)="", AND(AND(MID(Metadata!E775,14,1)=":",IFERROR(INT(MID(Metadata!E775,15,1))&gt;=0,FALSE),IFERROR(INT(MID(Metadata!E775,15,1))&lt;=5,FALSE),NOT(MID(Metadata!E775,16,1)=""),IFERROR(INT(MID(Metadata!E775,15,2))&gt;=0,FALSE),IFERROR(INT(MID(Metadata!E775,15,2))&lt;=59,FALSE)), OR(MID(Metadata!E775,17,1)="", AND(AND(MID(Metadata!E775,17,1)=":",IFERROR(INT(MID(Metadata!E775,18,1))&gt;=0,FALSE),IFERROR(INT(MID(Metadata!E775,18,1))&lt;=5,FALSE),NOT(MID(Metadata!E775,19,1)=""),IFERROR(INT(MID(Metadata!E775,18,2))&gt;=0,FALSE),IFERROR(INT(MID(Metadata!E775,18,2))&lt;=59,FALSE)), LEN(Metadata!E775)&lt;=19)))))))))))))</f>
        <v>0</v>
      </c>
      <c r="AS775" t="b">
        <f>IF(Metadata!F775="",FALSE,TRUE)</f>
        <v>0</v>
      </c>
      <c r="AT775" t="b">
        <f>OR(AND(IF(Metadata!G775="",FALSE,TRUE),OR(EXACT(Metadata!G775,"not collected"),EXACT(Metadata!G775,"not provided"))),AND(IF(Metadata!G775="",FALSE,TRUE),OR(EXACT(Metadata!G775,"TRUE"),EXACT(Metadata!G775,"FALSE"))))</f>
        <v>0</v>
      </c>
      <c r="AU775" t="b">
        <f>OR(AND(IF(Metadata!H775="",FALSE,TRUE),OR(EXACT(Metadata!H775,"not collected"),EXACT(Metadata!H775,"not provided"),EXACT(Metadata!H775,"restricted access"))),AND(IF(Metadata!H775="",FALSE,ISNUMBER(VALUE(Metadata!H775))),Metadata!H775&gt;=-413))</f>
        <v>0</v>
      </c>
      <c r="AV775" t="b">
        <f>AND(IF(Metadata!I775="",FALSE,TRUE),EXACT(Metadata!I775,"meters"))</f>
        <v>0</v>
      </c>
      <c r="AW775" t="b">
        <f>AND(IF(Metadata!J775="",FALSE,TRUE),EXACT(Metadata!J775,"free-living"))</f>
        <v>0</v>
      </c>
      <c r="AX775" t="b">
        <f>AND(IF(Metadata!K775="",FALSE,TRUE),OR(EXACT(Metadata!K775,"saline"),EXACT(Metadata!K775,"non-saline")))</f>
        <v>0</v>
      </c>
      <c r="AY775" t="b">
        <f>AND(IF(Metadata!L775="",FALSE,TRUE),OR(EXACT(Metadata!L775,"sub-surface (non-saline)"),EXACT(Metadata!L775,"surface (non-saline)"),EXACT(Metadata!L775,"water (non-saline)"),EXACT(Metadata!L775,"soil (non-saline)"),EXACT(Metadata!L775,"aerosol (non-saline)"),EXACT(Metadata!L775,"sediment (non-saline)"),EXACT(Metadata!L775,"surface (saline)"),EXACT(Metadata!L775,"water (saline)"),EXACT(Metadata!L775,"hypersaline (saline)"),EXACT(Metadata!L775,"aerosol (saline)"),EXACT(Metadata!L775,"sediment (saline)")))</f>
        <v>0</v>
      </c>
      <c r="AZ775" t="b">
        <f>IF(Metadata!M775="",FALSE,TRUE)</f>
        <v>0</v>
      </c>
      <c r="BA775" t="b">
        <f>IF(Metadata!N775="",FALSE,TRUE)</f>
        <v>0</v>
      </c>
      <c r="BB775" t="b">
        <f>IF(Metadata!O775="",FALSE,TRUE)</f>
        <v>0</v>
      </c>
      <c r="BC775" t="b">
        <f>AND(IF(Metadata!P775="",FALSE,TRUE),OR(EXACT(Metadata!P775,"air"),EXACT(Metadata!P775,"microbial mat/biofilm"),EXACT(Metadata!P775,"misc environment"),EXACT(Metadata!P775,"sediment"),EXACT(Metadata!P775,"soil"),EXACT(Metadata!P775,"wastewater/sludge"),EXACT(Metadata!P775,"water")))</f>
        <v>0</v>
      </c>
      <c r="BD775" t="b">
        <f>IF(Metadata!Q775="",FALSE,TRUE)</f>
        <v>0</v>
      </c>
      <c r="BE775" t="b">
        <f>IF(Metadata!R775="",FALSE,TRUE)</f>
        <v>0</v>
      </c>
      <c r="BF775" t="b">
        <f>OR(AND(IF(Metadata!S775="",FALSE,TRUE),OR(EXACT(Metadata!S775,"not collected"),EXACT(Metadata!S775,"not provided"),EXACT(Metadata!S775,"restricted access"))),AND(IF(Metadata!S775="",FALSE,ISNUMBER(VALUE(Metadata!S775))),Metadata!S775&gt;=-90,Metadata!S775&lt;=90))</f>
        <v>0</v>
      </c>
      <c r="BG775" t="b">
        <f>AND(IF(Metadata!T775="",FALSE,TRUE),EXACT(Metadata!T775,"Decimal degrees"))</f>
        <v>0</v>
      </c>
      <c r="BH775" t="b">
        <f>OR(AND(IF(Metadata!U775="",FALSE,TRUE),OR(EXACT(Metadata!U775,"not applicable"),EXACT(Metadata!U775,"not collected"))),IF(Metadata!U775="",FALSE,TRUE))</f>
        <v>0</v>
      </c>
      <c r="BI775" t="b">
        <f>OR(AND(IF(Metadata!V775="",FALSE,TRUE),OR(EXACT(Metadata!V775,"not collected"),EXACT(Metadata!V775,"not provided"),EXACT(Metadata!V775,"restricted access"))),AND(IF(Metadata!V775="",FALSE,ISNUMBER(VALUE(Metadata!V775))),Metadata!V775&gt;=-180,Metadata!V775&lt;=180))</f>
        <v>0</v>
      </c>
      <c r="BJ775" t="b">
        <f>AND(IF(Metadata!W775="",FALSE,TRUE),EXACT(Metadata!W775,"Decimal degrees"))</f>
        <v>0</v>
      </c>
      <c r="BK775" t="b">
        <f>IF(Metadata!X775="",FALSE,TRUE)</f>
        <v>0</v>
      </c>
      <c r="BL775" t="b">
        <f>OR(AND(IF(Metadata!Y775="",FALSE,TRUE),OR(EXACT(Metadata!Y775,"not collected"),EXACT(Metadata!Y775,"not provided"),EXACT(Metadata!Y775,"restricted access"))),AND(IF(Metadata!Y775="",FALSE,TRUE),OR(EXACT(Metadata!Y775,"TRUE"),EXACT(Metadata!Y775,"FALSE"))))</f>
        <v>0</v>
      </c>
      <c r="BM775" t="b">
        <f>OR(AND(IF(Metadata!Z775="",FALSE,TRUE),EXACT(Metadata!Z775,"not applicable")),AND(IF(Metadata!Z775="",FALSE,TRUE),OR(EXACT(Metadata!Z775,"beer"),EXACT(Metadata!Z775,"cheese"),EXACT(Metadata!Z775,"fresh water"),EXACT(Metadata!Z775,"marine sediment"),EXACT(Metadata!Z775,"sea water"),EXACT(Metadata!Z775,"sediment"),EXACT(Metadata!Z775,"soil"),EXACT(Metadata!Z775,"waste water"))))</f>
        <v>0</v>
      </c>
      <c r="BN775" t="b">
        <f>AND(IF(Metadata!AA775="",FALSE,TRUE),EXACT(Metadata!AA775,"metagenome"))</f>
        <v>0</v>
      </c>
      <c r="BO775" t="b">
        <f>AND(IF(Metadata!AB775="",FALSE,TRUE),EXACT(Metadata!AB775,"256318"))</f>
        <v>0</v>
      </c>
      <c r="BP775" t="b">
        <f>IF(Metadata!AC775="",FALSE,TRUE)</f>
        <v>0</v>
      </c>
      <c r="BQ775" t="b">
        <f>IF(Metadata!AD775="",FALSE,TRUE)</f>
        <v>0</v>
      </c>
    </row>
    <row r="776" spans="1:69" x14ac:dyDescent="0.2">
      <c r="A776" s="4" t="e">
        <f ca="1">IF(B776=" "," ",HYPERLINK(CONCATENATE("#metadata!",ADDRESS(INDEX($AJ$2:$AJ$1001,MATCH(ROWS($AH$2:AH776),$AH$2:$AH$1001,0),0),2)),INDEX($AM$2:$AM$1001,MATCH(ROWS($AH$2:AH776),$AH$2:$AH$1001,0),0)))</f>
        <v>#N/A</v>
      </c>
      <c r="B776" s="5" t="e">
        <f ca="1">IF(OR(INDEX($AI$2:$AI$1001,MATCH(ROWS($AH$2:AH776),$AH$2:$AH$1001,0),1)&gt;=100000,INDEX($AO$1005:$BQ$1005,1,MATCH(COLUMNS($AO$1006:AO1006),$AO$1006:$BQ$1006,0))&gt;=100000), " ",IF(INDEX($AO$2:$BQ$1001,MATCH(ROWS($AH$2:AH776),$AH$2:$AH$1001,0),MATCH(COLUMNS($AO$1006:AO1006),$AO$1006:$BQ$1006,0)), HYPERLINK("#",""), HYPERLINK(CONCATENATE("#Metadata!", ADDRESS(INDEX($AJ$2:$AJ$1001,MATCH(ROWS($AH$2:AH776),$AH$2:$AH$1001,0),0), INDEX($AO$1004:$BQ$1004,1,MATCH(COLUMNS($AO$1006:AO1006),$AO$1006:$BQ$1006,0)))),"Fix")))</f>
        <v>#N/A</v>
      </c>
      <c r="C776" s="5" t="e">
        <f ca="1">IF(OR(INDEX($AI$2:$AI$1001,MATCH(ROWS($AH$2:AH776),$AH$2:$AH$1001,0),1)&gt;=100000,INDEX($AO$1005:$BQ$1005,1,MATCH(COLUMNS($AO$1006:AP1006),$AO$1006:$BQ$1006,0))&gt;=100000), " ",IF(INDEX($AO$2:$BQ$1001,MATCH(ROWS($AH$2:AH776),$AH$2:$AH$1001,0),MATCH(COLUMNS($AO$1006:AP1006),$AO$1006:$BQ$1006,0)), HYPERLINK("#",""), HYPERLINK(CONCATENATE("#Metadata!", ADDRESS(INDEX($AJ$2:$AJ$1001,MATCH(ROWS($AH$2:AH776),$AH$2:$AH$1001,0),0), INDEX($AO$1004:$BQ$1004,1,MATCH(COLUMNS($AO$1006:AP1006),$AO$1006:$BQ$1006,0)))),"Fix")))</f>
        <v>#N/A</v>
      </c>
      <c r="D776" s="5" t="e">
        <f ca="1">IF(OR(INDEX($AI$2:$AI$1001,MATCH(ROWS($AH$2:AH776),$AH$2:$AH$1001,0),1)&gt;=100000,INDEX($AO$1005:$BQ$1005,1,MATCH(COLUMNS($AO$1006:AQ1006),$AO$1006:$BQ$1006,0))&gt;=100000), " ",IF(INDEX($AO$2:$BQ$1001,MATCH(ROWS($AH$2:AH776),$AH$2:$AH$1001,0),MATCH(COLUMNS($AO$1006:AQ1006),$AO$1006:$BQ$1006,0)), HYPERLINK("#",""), HYPERLINK(CONCATENATE("#Metadata!", ADDRESS(INDEX($AJ$2:$AJ$1001,MATCH(ROWS($AH$2:AH776),$AH$2:$AH$1001,0),0), INDEX($AO$1004:$BQ$1004,1,MATCH(COLUMNS($AO$1006:AQ1006),$AO$1006:$BQ$1006,0)))),"Fix")))</f>
        <v>#N/A</v>
      </c>
      <c r="E776" s="5" t="e">
        <f ca="1">IF(OR(INDEX($AI$2:$AI$1001,MATCH(ROWS($AH$2:AH776),$AH$2:$AH$1001,0),1)&gt;=100000,INDEX($AO$1005:$BQ$1005,1,MATCH(COLUMNS($AO$1006:AR1006),$AO$1006:$BQ$1006,0))&gt;=100000), " ",IF(INDEX($AO$2:$BQ$1001,MATCH(ROWS($AH$2:AH776),$AH$2:$AH$1001,0),MATCH(COLUMNS($AO$1006:AR1006),$AO$1006:$BQ$1006,0)), HYPERLINK("#",""), HYPERLINK(CONCATENATE("#Metadata!", ADDRESS(INDEX($AJ$2:$AJ$1001,MATCH(ROWS($AH$2:AH776),$AH$2:$AH$1001,0),0), INDEX($AO$1004:$BQ$1004,1,MATCH(COLUMNS($AO$1006:AR1006),$AO$1006:$BQ$1006,0)))),"Fix")))</f>
        <v>#N/A</v>
      </c>
      <c r="F776" s="5" t="e">
        <f ca="1">IF(OR(INDEX($AI$2:$AI$1001,MATCH(ROWS($AH$2:AH776),$AH$2:$AH$1001,0),1)&gt;=100000,INDEX($AO$1005:$BQ$1005,1,MATCH(COLUMNS($AO$1006:AS1006),$AO$1006:$BQ$1006,0))&gt;=100000), " ",IF(INDEX($AO$2:$BQ$1001,MATCH(ROWS($AH$2:AH776),$AH$2:$AH$1001,0),MATCH(COLUMNS($AO$1006:AS1006),$AO$1006:$BQ$1006,0)), HYPERLINK("#",""), HYPERLINK(CONCATENATE("#Metadata!", ADDRESS(INDEX($AJ$2:$AJ$1001,MATCH(ROWS($AH$2:AH776),$AH$2:$AH$1001,0),0), INDEX($AO$1004:$BQ$1004,1,MATCH(COLUMNS($AO$1006:AS1006),$AO$1006:$BQ$1006,0)))),"Fix")))</f>
        <v>#N/A</v>
      </c>
      <c r="G776" s="5" t="e">
        <f ca="1">IF(OR(INDEX($AI$2:$AI$1001,MATCH(ROWS($AH$2:AH776),$AH$2:$AH$1001,0),1)&gt;=100000,INDEX($AO$1005:$BQ$1005,1,MATCH(COLUMNS($AO$1006:AT1006),$AO$1006:$BQ$1006,0))&gt;=100000), " ",IF(INDEX($AO$2:$BQ$1001,MATCH(ROWS($AH$2:AH776),$AH$2:$AH$1001,0),MATCH(COLUMNS($AO$1006:AT1006),$AO$1006:$BQ$1006,0)), HYPERLINK("#",""), HYPERLINK(CONCATENATE("#Metadata!", ADDRESS(INDEX($AJ$2:$AJ$1001,MATCH(ROWS($AH$2:AH776),$AH$2:$AH$1001,0),0), INDEX($AO$1004:$BQ$1004,1,MATCH(COLUMNS($AO$1006:AT1006),$AO$1006:$BQ$1006,0)))),"Fix")))</f>
        <v>#N/A</v>
      </c>
      <c r="H776" s="5" t="e">
        <f ca="1">IF(OR(INDEX($AI$2:$AI$1001,MATCH(ROWS($AH$2:AH776),$AH$2:$AH$1001,0),1)&gt;=100000,INDEX($AO$1005:$BQ$1005,1,MATCH(COLUMNS($AO$1006:AU1006),$AO$1006:$BQ$1006,0))&gt;=100000), " ",IF(INDEX($AO$2:$BQ$1001,MATCH(ROWS($AH$2:AH776),$AH$2:$AH$1001,0),MATCH(COLUMNS($AO$1006:AU1006),$AO$1006:$BQ$1006,0)), HYPERLINK("#",""), HYPERLINK(CONCATENATE("#Metadata!", ADDRESS(INDEX($AJ$2:$AJ$1001,MATCH(ROWS($AH$2:AH776),$AH$2:$AH$1001,0),0), INDEX($AO$1004:$BQ$1004,1,MATCH(COLUMNS($AO$1006:AU1006),$AO$1006:$BQ$1006,0)))),"Fix")))</f>
        <v>#N/A</v>
      </c>
      <c r="I776" s="5" t="e">
        <f ca="1">IF(OR(INDEX($AI$2:$AI$1001,MATCH(ROWS($AH$2:AH776),$AH$2:$AH$1001,0),1)&gt;=100000,INDEX($AO$1005:$BQ$1005,1,MATCH(COLUMNS($AO$1006:AV1006),$AO$1006:$BQ$1006,0))&gt;=100000), " ",IF(INDEX($AO$2:$BQ$1001,MATCH(ROWS($AH$2:AH776),$AH$2:$AH$1001,0),MATCH(COLUMNS($AO$1006:AV1006),$AO$1006:$BQ$1006,0)), HYPERLINK("#",""), HYPERLINK(CONCATENATE("#Metadata!", ADDRESS(INDEX($AJ$2:$AJ$1001,MATCH(ROWS($AH$2:AH776),$AH$2:$AH$1001,0),0), INDEX($AO$1004:$BQ$1004,1,MATCH(COLUMNS($AO$1006:AV1006),$AO$1006:$BQ$1006,0)))),"Fix")))</f>
        <v>#N/A</v>
      </c>
      <c r="J776" s="5" t="e">
        <f ca="1">IF(OR(INDEX($AI$2:$AI$1001,MATCH(ROWS($AH$2:AH776),$AH$2:$AH$1001,0),1)&gt;=100000,INDEX($AO$1005:$BQ$1005,1,MATCH(COLUMNS($AO$1006:AW1006),$AO$1006:$BQ$1006,0))&gt;=100000), " ",IF(INDEX($AO$2:$BQ$1001,MATCH(ROWS($AH$2:AH776),$AH$2:$AH$1001,0),MATCH(COLUMNS($AO$1006:AW1006),$AO$1006:$BQ$1006,0)), HYPERLINK("#",""), HYPERLINK(CONCATENATE("#Metadata!", ADDRESS(INDEX($AJ$2:$AJ$1001,MATCH(ROWS($AH$2:AH776),$AH$2:$AH$1001,0),0), INDEX($AO$1004:$BQ$1004,1,MATCH(COLUMNS($AO$1006:AW1006),$AO$1006:$BQ$1006,0)))),"Fix")))</f>
        <v>#N/A</v>
      </c>
      <c r="K776" s="5" t="e">
        <f ca="1">IF(OR(INDEX($AI$2:$AI$1001,MATCH(ROWS($AH$2:AH776),$AH$2:$AH$1001,0),1)&gt;=100000,INDEX($AO$1005:$BQ$1005,1,MATCH(COLUMNS($AO$1006:AX1006),$AO$1006:$BQ$1006,0))&gt;=100000), " ",IF(INDEX($AO$2:$BQ$1001,MATCH(ROWS($AH$2:AH776),$AH$2:$AH$1001,0),MATCH(COLUMNS($AO$1006:AX1006),$AO$1006:$BQ$1006,0)), HYPERLINK("#",""), HYPERLINK(CONCATENATE("#Metadata!", ADDRESS(INDEX($AJ$2:$AJ$1001,MATCH(ROWS($AH$2:AH776),$AH$2:$AH$1001,0),0), INDEX($AO$1004:$BQ$1004,1,MATCH(COLUMNS($AO$1006:AX1006),$AO$1006:$BQ$1006,0)))),"Fix")))</f>
        <v>#N/A</v>
      </c>
      <c r="L776" s="5" t="e">
        <f ca="1">IF(OR(INDEX($AI$2:$AI$1001,MATCH(ROWS($AH$2:AH776),$AH$2:$AH$1001,0),1)&gt;=100000,INDEX($AO$1005:$BQ$1005,1,MATCH(COLUMNS($AO$1006:AY1006),$AO$1006:$BQ$1006,0))&gt;=100000), " ",IF(INDEX($AO$2:$BQ$1001,MATCH(ROWS($AH$2:AH776),$AH$2:$AH$1001,0),MATCH(COLUMNS($AO$1006:AY1006),$AO$1006:$BQ$1006,0)), HYPERLINK("#",""), HYPERLINK(CONCATENATE("#Metadata!", ADDRESS(INDEX($AJ$2:$AJ$1001,MATCH(ROWS($AH$2:AH776),$AH$2:$AH$1001,0),0), INDEX($AO$1004:$BQ$1004,1,MATCH(COLUMNS($AO$1006:AY1006),$AO$1006:$BQ$1006,0)))),"Fix")))</f>
        <v>#N/A</v>
      </c>
      <c r="M776" s="5" t="e">
        <f ca="1">IF(OR(INDEX($AI$2:$AI$1001,MATCH(ROWS($AH$2:AH776),$AH$2:$AH$1001,0),1)&gt;=100000,INDEX($AO$1005:$BQ$1005,1,MATCH(COLUMNS($AO$1006:AZ1006),$AO$1006:$BQ$1006,0))&gt;=100000), " ",IF(INDEX($AO$2:$BQ$1001,MATCH(ROWS($AH$2:AH776),$AH$2:$AH$1001,0),MATCH(COLUMNS($AO$1006:AZ1006),$AO$1006:$BQ$1006,0)), HYPERLINK("#",""), HYPERLINK(CONCATENATE("#Metadata!", ADDRESS(INDEX($AJ$2:$AJ$1001,MATCH(ROWS($AH$2:AH776),$AH$2:$AH$1001,0),0), INDEX($AO$1004:$BQ$1004,1,MATCH(COLUMNS($AO$1006:AZ1006),$AO$1006:$BQ$1006,0)))),"Fix")))</f>
        <v>#N/A</v>
      </c>
      <c r="N776" s="5" t="e">
        <f ca="1">IF(OR(INDEX($AI$2:$AI$1001,MATCH(ROWS($AH$2:AH776),$AH$2:$AH$1001,0),1)&gt;=100000,INDEX($AO$1005:$BQ$1005,1,MATCH(COLUMNS($AO$1006:BA1006),$AO$1006:$BQ$1006,0))&gt;=100000), " ",IF(INDEX($AO$2:$BQ$1001,MATCH(ROWS($AH$2:AH776),$AH$2:$AH$1001,0),MATCH(COLUMNS($AO$1006:BA1006),$AO$1006:$BQ$1006,0)), HYPERLINK("#",""), HYPERLINK(CONCATENATE("#Metadata!", ADDRESS(INDEX($AJ$2:$AJ$1001,MATCH(ROWS($AH$2:AH776),$AH$2:$AH$1001,0),0), INDEX($AO$1004:$BQ$1004,1,MATCH(COLUMNS($AO$1006:BA1006),$AO$1006:$BQ$1006,0)))),"Fix")))</f>
        <v>#N/A</v>
      </c>
      <c r="O776" s="5" t="e">
        <f ca="1">IF(OR(INDEX($AI$2:$AI$1001,MATCH(ROWS($AH$2:AH776),$AH$2:$AH$1001,0),1)&gt;=100000,INDEX($AO$1005:$BQ$1005,1,MATCH(COLUMNS($AO$1006:BB1006),$AO$1006:$BQ$1006,0))&gt;=100000), " ",IF(INDEX($AO$2:$BQ$1001,MATCH(ROWS($AH$2:AH776),$AH$2:$AH$1001,0),MATCH(COLUMNS($AO$1006:BB1006),$AO$1006:$BQ$1006,0)), HYPERLINK("#",""), HYPERLINK(CONCATENATE("#Metadata!", ADDRESS(INDEX($AJ$2:$AJ$1001,MATCH(ROWS($AH$2:AH776),$AH$2:$AH$1001,0),0), INDEX($AO$1004:$BQ$1004,1,MATCH(COLUMNS($AO$1006:BB1006),$AO$1006:$BQ$1006,0)))),"Fix")))</f>
        <v>#N/A</v>
      </c>
      <c r="P776" s="5" t="e">
        <f ca="1">IF(OR(INDEX($AI$2:$AI$1001,MATCH(ROWS($AH$2:AH776),$AH$2:$AH$1001,0),1)&gt;=100000,INDEX($AO$1005:$BQ$1005,1,MATCH(COLUMNS($AO$1006:BC1006),$AO$1006:$BQ$1006,0))&gt;=100000), " ",IF(INDEX($AO$2:$BQ$1001,MATCH(ROWS($AH$2:AH776),$AH$2:$AH$1001,0),MATCH(COLUMNS($AO$1006:BC1006),$AO$1006:$BQ$1006,0)), HYPERLINK("#",""), HYPERLINK(CONCATENATE("#Metadata!", ADDRESS(INDEX($AJ$2:$AJ$1001,MATCH(ROWS($AH$2:AH776),$AH$2:$AH$1001,0),0), INDEX($AO$1004:$BQ$1004,1,MATCH(COLUMNS($AO$1006:BC1006),$AO$1006:$BQ$1006,0)))),"Fix")))</f>
        <v>#N/A</v>
      </c>
      <c r="Q776" s="5" t="e">
        <f ca="1">IF(OR(INDEX($AI$2:$AI$1001,MATCH(ROWS($AH$2:AH776),$AH$2:$AH$1001,0),1)&gt;=100000,INDEX($AO$1005:$BQ$1005,1,MATCH(COLUMNS($AO$1006:BD1006),$AO$1006:$BQ$1006,0))&gt;=100000), " ",IF(INDEX($AO$2:$BQ$1001,MATCH(ROWS($AH$2:AH776),$AH$2:$AH$1001,0),MATCH(COLUMNS($AO$1006:BD1006),$AO$1006:$BQ$1006,0)), HYPERLINK("#",""), HYPERLINK(CONCATENATE("#Metadata!", ADDRESS(INDEX($AJ$2:$AJ$1001,MATCH(ROWS($AH$2:AH776),$AH$2:$AH$1001,0),0), INDEX($AO$1004:$BQ$1004,1,MATCH(COLUMNS($AO$1006:BD1006),$AO$1006:$BQ$1006,0)))),"Fix")))</f>
        <v>#N/A</v>
      </c>
      <c r="R776" s="5" t="e">
        <f ca="1">IF(OR(INDEX($AI$2:$AI$1001,MATCH(ROWS($AH$2:AH776),$AH$2:$AH$1001,0),1)&gt;=100000,INDEX($AO$1005:$BQ$1005,1,MATCH(COLUMNS($AO$1006:BE1006),$AO$1006:$BQ$1006,0))&gt;=100000), " ",IF(INDEX($AO$2:$BQ$1001,MATCH(ROWS($AH$2:AH776),$AH$2:$AH$1001,0),MATCH(COLUMNS($AO$1006:BE1006),$AO$1006:$BQ$1006,0)), HYPERLINK("#",""), HYPERLINK(CONCATENATE("#Metadata!", ADDRESS(INDEX($AJ$2:$AJ$1001,MATCH(ROWS($AH$2:AH776),$AH$2:$AH$1001,0),0), INDEX($AO$1004:$BQ$1004,1,MATCH(COLUMNS($AO$1006:BE1006),$AO$1006:$BQ$1006,0)))),"Fix")))</f>
        <v>#N/A</v>
      </c>
      <c r="S776" s="5" t="e">
        <f ca="1">IF(OR(INDEX($AI$2:$AI$1001,MATCH(ROWS($AH$2:AH776),$AH$2:$AH$1001,0),1)&gt;=100000,INDEX($AO$1005:$BQ$1005,1,MATCH(COLUMNS($AO$1006:BF1006),$AO$1006:$BQ$1006,0))&gt;=100000), " ",IF(INDEX($AO$2:$BQ$1001,MATCH(ROWS($AH$2:AH776),$AH$2:$AH$1001,0),MATCH(COLUMNS($AO$1006:BF1006),$AO$1006:$BQ$1006,0)), HYPERLINK("#",""), HYPERLINK(CONCATENATE("#Metadata!", ADDRESS(INDEX($AJ$2:$AJ$1001,MATCH(ROWS($AH$2:AH776),$AH$2:$AH$1001,0),0), INDEX($AO$1004:$BQ$1004,1,MATCH(COLUMNS($AO$1006:BF1006),$AO$1006:$BQ$1006,0)))),"Fix")))</f>
        <v>#N/A</v>
      </c>
      <c r="T776" s="5" t="e">
        <f ca="1">IF(OR(INDEX($AI$2:$AI$1001,MATCH(ROWS($AH$2:AH776),$AH$2:$AH$1001,0),1)&gt;=100000,INDEX($AO$1005:$BQ$1005,1,MATCH(COLUMNS($AO$1006:BG1006),$AO$1006:$BQ$1006,0))&gt;=100000), " ",IF(INDEX($AO$2:$BQ$1001,MATCH(ROWS($AH$2:AH776),$AH$2:$AH$1001,0),MATCH(COLUMNS($AO$1006:BG1006),$AO$1006:$BQ$1006,0)), HYPERLINK("#",""), HYPERLINK(CONCATENATE("#Metadata!", ADDRESS(INDEX($AJ$2:$AJ$1001,MATCH(ROWS($AH$2:AH776),$AH$2:$AH$1001,0),0), INDEX($AO$1004:$BQ$1004,1,MATCH(COLUMNS($AO$1006:BG1006),$AO$1006:$BQ$1006,0)))),"Fix")))</f>
        <v>#N/A</v>
      </c>
      <c r="U776" s="5" t="e">
        <f ca="1">IF(OR(INDEX($AI$2:$AI$1001,MATCH(ROWS($AH$2:AH776),$AH$2:$AH$1001,0),1)&gt;=100000,INDEX($AO$1005:$BQ$1005,1,MATCH(COLUMNS($AO$1006:BH1006),$AO$1006:$BQ$1006,0))&gt;=100000), " ",IF(INDEX($AO$2:$BQ$1001,MATCH(ROWS($AH$2:AH776),$AH$2:$AH$1001,0),MATCH(COLUMNS($AO$1006:BH1006),$AO$1006:$BQ$1006,0)), HYPERLINK("#",""), HYPERLINK(CONCATENATE("#Metadata!", ADDRESS(INDEX($AJ$2:$AJ$1001,MATCH(ROWS($AH$2:AH776),$AH$2:$AH$1001,0),0), INDEX($AO$1004:$BQ$1004,1,MATCH(COLUMNS($AO$1006:BH1006),$AO$1006:$BQ$1006,0)))),"Fix")))</f>
        <v>#N/A</v>
      </c>
      <c r="V776" s="5" t="e">
        <f ca="1">IF(OR(INDEX($AI$2:$AI$1001,MATCH(ROWS($AH$2:AH776),$AH$2:$AH$1001,0),1)&gt;=100000,INDEX($AO$1005:$BQ$1005,1,MATCH(COLUMNS($AO$1006:BI1006),$AO$1006:$BQ$1006,0))&gt;=100000), " ",IF(INDEX($AO$2:$BQ$1001,MATCH(ROWS($AH$2:AH776),$AH$2:$AH$1001,0),MATCH(COLUMNS($AO$1006:BI1006),$AO$1006:$BQ$1006,0)), HYPERLINK("#",""), HYPERLINK(CONCATENATE("#Metadata!", ADDRESS(INDEX($AJ$2:$AJ$1001,MATCH(ROWS($AH$2:AH776),$AH$2:$AH$1001,0),0), INDEX($AO$1004:$BQ$1004,1,MATCH(COLUMNS($AO$1006:BI1006),$AO$1006:$BQ$1006,0)))),"Fix")))</f>
        <v>#N/A</v>
      </c>
      <c r="W776" s="5" t="e">
        <f ca="1">IF(OR(INDEX($AI$2:$AI$1001,MATCH(ROWS($AH$2:AH776),$AH$2:$AH$1001,0),1)&gt;=100000,INDEX($AO$1005:$BQ$1005,1,MATCH(COLUMNS($AO$1006:BJ1006),$AO$1006:$BQ$1006,0))&gt;=100000), " ",IF(INDEX($AO$2:$BQ$1001,MATCH(ROWS($AH$2:AH776),$AH$2:$AH$1001,0),MATCH(COLUMNS($AO$1006:BJ1006),$AO$1006:$BQ$1006,0)), HYPERLINK("#",""), HYPERLINK(CONCATENATE("#Metadata!", ADDRESS(INDEX($AJ$2:$AJ$1001,MATCH(ROWS($AH$2:AH776),$AH$2:$AH$1001,0),0), INDEX($AO$1004:$BQ$1004,1,MATCH(COLUMNS($AO$1006:BJ1006),$AO$1006:$BQ$1006,0)))),"Fix")))</f>
        <v>#N/A</v>
      </c>
      <c r="X776" s="5" t="e">
        <f ca="1">IF(OR(INDEX($AI$2:$AI$1001,MATCH(ROWS($AH$2:AH776),$AH$2:$AH$1001,0),1)&gt;=100000,INDEX($AO$1005:$BQ$1005,1,MATCH(COLUMNS($AO$1006:BK1006),$AO$1006:$BQ$1006,0))&gt;=100000), " ",IF(INDEX($AO$2:$BQ$1001,MATCH(ROWS($AH$2:AH776),$AH$2:$AH$1001,0),MATCH(COLUMNS($AO$1006:BK1006),$AO$1006:$BQ$1006,0)), HYPERLINK("#",""), HYPERLINK(CONCATENATE("#Metadata!", ADDRESS(INDEX($AJ$2:$AJ$1001,MATCH(ROWS($AH$2:AH776),$AH$2:$AH$1001,0),0), INDEX($AO$1004:$BQ$1004,1,MATCH(COLUMNS($AO$1006:BK1006),$AO$1006:$BQ$1006,0)))),"Fix")))</f>
        <v>#N/A</v>
      </c>
      <c r="Y776" s="5" t="e">
        <f ca="1">IF(OR(INDEX($AI$2:$AI$1001,MATCH(ROWS($AH$2:AH776),$AH$2:$AH$1001,0),1)&gt;=100000,INDEX($AO$1005:$BQ$1005,1,MATCH(COLUMNS($AO$1006:BL1006),$AO$1006:$BQ$1006,0))&gt;=100000), " ",IF(INDEX($AO$2:$BQ$1001,MATCH(ROWS($AH$2:AH776),$AH$2:$AH$1001,0),MATCH(COLUMNS($AO$1006:BL1006),$AO$1006:$BQ$1006,0)), HYPERLINK("#",""), HYPERLINK(CONCATENATE("#Metadata!", ADDRESS(INDEX($AJ$2:$AJ$1001,MATCH(ROWS($AH$2:AH776),$AH$2:$AH$1001,0),0), INDEX($AO$1004:$BQ$1004,1,MATCH(COLUMNS($AO$1006:BL1006),$AO$1006:$BQ$1006,0)))),"Fix")))</f>
        <v>#N/A</v>
      </c>
      <c r="Z776" s="5" t="e">
        <f ca="1">IF(OR(INDEX($AI$2:$AI$1001,MATCH(ROWS($AH$2:AH776),$AH$2:$AH$1001,0),1)&gt;=100000,INDEX($AO$1005:$BQ$1005,1,MATCH(COLUMNS($AO$1006:BM1006),$AO$1006:$BQ$1006,0))&gt;=100000), " ",IF(INDEX($AO$2:$BQ$1001,MATCH(ROWS($AH$2:AH776),$AH$2:$AH$1001,0),MATCH(COLUMNS($AO$1006:BM1006),$AO$1006:$BQ$1006,0)), HYPERLINK("#",""), HYPERLINK(CONCATENATE("#Metadata!", ADDRESS(INDEX($AJ$2:$AJ$1001,MATCH(ROWS($AH$2:AH776),$AH$2:$AH$1001,0),0), INDEX($AO$1004:$BQ$1004,1,MATCH(COLUMNS($AO$1006:BM1006),$AO$1006:$BQ$1006,0)))),"Fix")))</f>
        <v>#N/A</v>
      </c>
      <c r="AA776" s="5" t="e">
        <f ca="1">IF(OR(INDEX($AI$2:$AI$1001,MATCH(ROWS($AH$2:AH776),$AH$2:$AH$1001,0),1)&gt;=100000,INDEX($AO$1005:$BQ$1005,1,MATCH(COLUMNS($AO$1006:BN1006),$AO$1006:$BQ$1006,0))&gt;=100000), " ",IF(INDEX($AO$2:$BQ$1001,MATCH(ROWS($AH$2:AH776),$AH$2:$AH$1001,0),MATCH(COLUMNS($AO$1006:BN1006),$AO$1006:$BQ$1006,0)), HYPERLINK("#",""), HYPERLINK(CONCATENATE("#Metadata!", ADDRESS(INDEX($AJ$2:$AJ$1001,MATCH(ROWS($AH$2:AH776),$AH$2:$AH$1001,0),0), INDEX($AO$1004:$BQ$1004,1,MATCH(COLUMNS($AO$1006:BN1006),$AO$1006:$BQ$1006,0)))),"Fix")))</f>
        <v>#N/A</v>
      </c>
      <c r="AB776" s="5" t="e">
        <f ca="1">IF(OR(INDEX($AI$2:$AI$1001,MATCH(ROWS($AH$2:AH776),$AH$2:$AH$1001,0),1)&gt;=100000,INDEX($AO$1005:$BQ$1005,1,MATCH(COLUMNS($AO$1006:BO1006),$AO$1006:$BQ$1006,0))&gt;=100000), " ",IF(INDEX($AO$2:$BQ$1001,MATCH(ROWS($AH$2:AH776),$AH$2:$AH$1001,0),MATCH(COLUMNS($AO$1006:BO1006),$AO$1006:$BQ$1006,0)), HYPERLINK("#",""), HYPERLINK(CONCATENATE("#Metadata!", ADDRESS(INDEX($AJ$2:$AJ$1001,MATCH(ROWS($AH$2:AH776),$AH$2:$AH$1001,0),0), INDEX($AO$1004:$BQ$1004,1,MATCH(COLUMNS($AO$1006:BO1006),$AO$1006:$BQ$1006,0)))),"Fix")))</f>
        <v>#N/A</v>
      </c>
      <c r="AC776" s="5" t="e">
        <f ca="1">IF(OR(INDEX($AI$2:$AI$1001,MATCH(ROWS($AH$2:AH776),$AH$2:$AH$1001,0),1)&gt;=100000,INDEX($AO$1005:$BQ$1005,1,MATCH(COLUMNS($AO$1006:BP1006),$AO$1006:$BQ$1006,0))&gt;=100000), " ",IF(INDEX($AO$2:$BQ$1001,MATCH(ROWS($AH$2:AH776),$AH$2:$AH$1001,0),MATCH(COLUMNS($AO$1006:BP1006),$AO$1006:$BQ$1006,0)), HYPERLINK("#",""), HYPERLINK(CONCATENATE("#Metadata!", ADDRESS(INDEX($AJ$2:$AJ$1001,MATCH(ROWS($AH$2:AH776),$AH$2:$AH$1001,0),0), INDEX($AO$1004:$BQ$1004,1,MATCH(COLUMNS($AO$1006:BP1006),$AO$1006:$BQ$1006,0)))),"Fix")))</f>
        <v>#N/A</v>
      </c>
      <c r="AD776" s="5" t="e">
        <f ca="1">IF(OR(INDEX($AI$2:$AI$1001,MATCH(ROWS($AH$2:AH776),$AH$2:$AH$1001,0),1)&gt;=100000,INDEX($AO$1005:$BQ$1005,1,MATCH(COLUMNS($AO$1006:BQ1006),$AO$1006:$BQ$1006,0))&gt;=100000), " ",IF(INDEX($AO$2:$BQ$1001,MATCH(ROWS($AH$2:AH776),$AH$2:$AH$1001,0),MATCH(COLUMNS($AO$1006:BQ1006),$AO$1006:$BQ$1006,0)), HYPERLINK("#",""), HYPERLINK(CONCATENATE("#Metadata!", ADDRESS(INDEX($AJ$2:$AJ$1001,MATCH(ROWS($AH$2:AH776),$AH$2:$AH$1001,0),0), INDEX($AO$1004:$BQ$1004,1,MATCH(COLUMNS($AO$1006:BQ1006),$AO$1006:$BQ$1006,0)))),"Fix")))</f>
        <v>#REF!</v>
      </c>
      <c r="AH776">
        <f ca="1"/>
        <v>773</v>
      </c>
      <c r="AI776">
        <v>100776</v>
      </c>
      <c r="AJ776">
        <v>776</v>
      </c>
      <c r="AK776" t="b">
        <f t="shared" si="12"/>
        <v>1</v>
      </c>
      <c r="AL776" t="b">
        <f>COUNTBLANK(Metadata!B776:AD776)=COLUMNS(Metadata!B776:AD776)</f>
        <v>1</v>
      </c>
      <c r="AM776" t="str">
        <v/>
      </c>
      <c r="AO776" t="b">
        <f ca="1">AND(IF(Metadata!B776="",FALSE,TRUE),COUNTIF(Metadata!B:B, Metadata!B776) = 1,NOT(ISERROR(SUMPRODUCT(SEARCH(MID(Metadata!B776,ROW(INDIRECT("1:"&amp;LEN(Metadata!B776))), 1),"0123456789abcdefghijklmnopqrstuvwxyzABCDEFGHIJKLMNOPQRSTUVWXYZ.")))))</f>
        <v>0</v>
      </c>
      <c r="AP776" t="b">
        <f>IF(Metadata!C776="",FALSE,TRUE)</f>
        <v>0</v>
      </c>
      <c r="AQ776" t="b">
        <f>IF(Metadata!D776="",FALSE,TRUE)</f>
        <v>0</v>
      </c>
      <c r="AR776" t="b">
        <f ca="1">OR(AND(IF(Metadata!E776="",FALSE,TRUE),OR(EXACT(Metadata!E776,"not collected"),EXACT(Metadata!E776,"not provided"),EXACT(Metadata!E776,"restricted access"))),AND(IF(Metadata!E776="",FALSE,TRUE),AND(AND(IFERROR(INT(LEFT(Metadata!E776,4))&gt;1900,FALSE),IFERROR(INT(LEFT(Metadata!E776,4))&lt;=YEAR(NOW()),FALSE)), OR(MID(Metadata!E776,5,1)="", AND(AND(MID(Metadata!E776,5,1)="-",IFERROR(INT(MID(Metadata!E776,6,1))&gt;=0,FALSE),IFERROR(INT(MID(Metadata!E776,6,1))&lt;=1,FALSE),NOT(MID(Metadata!E776,7,1)=""),IFERROR(INT(MID(Metadata!E776,6,2))&gt;=1,FALSE),IFERROR(INT(MID(Metadata!E776,6,2))&lt;=12,FALSE)), OR(MID(Metadata!E776,8,1)="", AND(AND(MID(Metadata!E776,8,1)="-",IFERROR(INT(MID(Metadata!E776,9,1))&gt;=0,FALSE),IFERROR(INT(MID(Metadata!E776,9,1))&lt;=3,FALSE),NOT(MID(Metadata!E776,10,1)=""),IFERROR(INT(MID(Metadata!E776,9,2))&gt;=1,FALSE),IFERROR(INT(MID(Metadata!E776,9,2))&lt;=31,FALSE)), OR(MID(Metadata!E776,11,1)="", AND(AND(MID(Metadata!E776,11,1)=" ",IFERROR(INT(MID(Metadata!E776,12,1))&gt;=0,FALSE),IFERROR(INT(MID(Metadata!E776,12,1))&lt;=2,FALSE),NOT(MID(Metadata!E776,13,1)=""),IFERROR(INT(MID(Metadata!E776,12,2))&gt;=0,FALSE),IFERROR(INT(MID(Metadata!E776,12,2))&lt;=23,FALSE)), OR(MID(Metadata!E776,14,1)="", AND(AND(MID(Metadata!E776,14,1)=":",IFERROR(INT(MID(Metadata!E776,15,1))&gt;=0,FALSE),IFERROR(INT(MID(Metadata!E776,15,1))&lt;=5,FALSE),NOT(MID(Metadata!E776,16,1)=""),IFERROR(INT(MID(Metadata!E776,15,2))&gt;=0,FALSE),IFERROR(INT(MID(Metadata!E776,15,2))&lt;=59,FALSE)), OR(MID(Metadata!E776,17,1)="", AND(AND(MID(Metadata!E776,17,1)=":",IFERROR(INT(MID(Metadata!E776,18,1))&gt;=0,FALSE),IFERROR(INT(MID(Metadata!E776,18,1))&lt;=5,FALSE),NOT(MID(Metadata!E776,19,1)=""),IFERROR(INT(MID(Metadata!E776,18,2))&gt;=0,FALSE),IFERROR(INT(MID(Metadata!E776,18,2))&lt;=59,FALSE)), LEN(Metadata!E776)&lt;=19)))))))))))))</f>
        <v>0</v>
      </c>
      <c r="AS776" t="b">
        <f>IF(Metadata!F776="",FALSE,TRUE)</f>
        <v>0</v>
      </c>
      <c r="AT776" t="b">
        <f>OR(AND(IF(Metadata!G776="",FALSE,TRUE),OR(EXACT(Metadata!G776,"not collected"),EXACT(Metadata!G776,"not provided"))),AND(IF(Metadata!G776="",FALSE,TRUE),OR(EXACT(Metadata!G776,"TRUE"),EXACT(Metadata!G776,"FALSE"))))</f>
        <v>0</v>
      </c>
      <c r="AU776" t="b">
        <f>OR(AND(IF(Metadata!H776="",FALSE,TRUE),OR(EXACT(Metadata!H776,"not collected"),EXACT(Metadata!H776,"not provided"),EXACT(Metadata!H776,"restricted access"))),AND(IF(Metadata!H776="",FALSE,ISNUMBER(VALUE(Metadata!H776))),Metadata!H776&gt;=-413))</f>
        <v>0</v>
      </c>
      <c r="AV776" t="b">
        <f>AND(IF(Metadata!I776="",FALSE,TRUE),EXACT(Metadata!I776,"meters"))</f>
        <v>0</v>
      </c>
      <c r="AW776" t="b">
        <f>AND(IF(Metadata!J776="",FALSE,TRUE),EXACT(Metadata!J776,"free-living"))</f>
        <v>0</v>
      </c>
      <c r="AX776" t="b">
        <f>AND(IF(Metadata!K776="",FALSE,TRUE),OR(EXACT(Metadata!K776,"saline"),EXACT(Metadata!K776,"non-saline")))</f>
        <v>0</v>
      </c>
      <c r="AY776" t="b">
        <f>AND(IF(Metadata!L776="",FALSE,TRUE),OR(EXACT(Metadata!L776,"sub-surface (non-saline)"),EXACT(Metadata!L776,"surface (non-saline)"),EXACT(Metadata!L776,"water (non-saline)"),EXACT(Metadata!L776,"soil (non-saline)"),EXACT(Metadata!L776,"aerosol (non-saline)"),EXACT(Metadata!L776,"sediment (non-saline)"),EXACT(Metadata!L776,"surface (saline)"),EXACT(Metadata!L776,"water (saline)"),EXACT(Metadata!L776,"hypersaline (saline)"),EXACT(Metadata!L776,"aerosol (saline)"),EXACT(Metadata!L776,"sediment (saline)")))</f>
        <v>0</v>
      </c>
      <c r="AZ776" t="b">
        <f>IF(Metadata!M776="",FALSE,TRUE)</f>
        <v>0</v>
      </c>
      <c r="BA776" t="b">
        <f>IF(Metadata!N776="",FALSE,TRUE)</f>
        <v>0</v>
      </c>
      <c r="BB776" t="b">
        <f>IF(Metadata!O776="",FALSE,TRUE)</f>
        <v>0</v>
      </c>
      <c r="BC776" t="b">
        <f>AND(IF(Metadata!P776="",FALSE,TRUE),OR(EXACT(Metadata!P776,"air"),EXACT(Metadata!P776,"microbial mat/biofilm"),EXACT(Metadata!P776,"misc environment"),EXACT(Metadata!P776,"sediment"),EXACT(Metadata!P776,"soil"),EXACT(Metadata!P776,"wastewater/sludge"),EXACT(Metadata!P776,"water")))</f>
        <v>0</v>
      </c>
      <c r="BD776" t="b">
        <f>IF(Metadata!Q776="",FALSE,TRUE)</f>
        <v>0</v>
      </c>
      <c r="BE776" t="b">
        <f>IF(Metadata!R776="",FALSE,TRUE)</f>
        <v>0</v>
      </c>
      <c r="BF776" t="b">
        <f>OR(AND(IF(Metadata!S776="",FALSE,TRUE),OR(EXACT(Metadata!S776,"not collected"),EXACT(Metadata!S776,"not provided"),EXACT(Metadata!S776,"restricted access"))),AND(IF(Metadata!S776="",FALSE,ISNUMBER(VALUE(Metadata!S776))),Metadata!S776&gt;=-90,Metadata!S776&lt;=90))</f>
        <v>0</v>
      </c>
      <c r="BG776" t="b">
        <f>AND(IF(Metadata!T776="",FALSE,TRUE),EXACT(Metadata!T776,"Decimal degrees"))</f>
        <v>0</v>
      </c>
      <c r="BH776" t="b">
        <f>OR(AND(IF(Metadata!U776="",FALSE,TRUE),OR(EXACT(Metadata!U776,"not applicable"),EXACT(Metadata!U776,"not collected"))),IF(Metadata!U776="",FALSE,TRUE))</f>
        <v>0</v>
      </c>
      <c r="BI776" t="b">
        <f>OR(AND(IF(Metadata!V776="",FALSE,TRUE),OR(EXACT(Metadata!V776,"not collected"),EXACT(Metadata!V776,"not provided"),EXACT(Metadata!V776,"restricted access"))),AND(IF(Metadata!V776="",FALSE,ISNUMBER(VALUE(Metadata!V776))),Metadata!V776&gt;=-180,Metadata!V776&lt;=180))</f>
        <v>0</v>
      </c>
      <c r="BJ776" t="b">
        <f>AND(IF(Metadata!W776="",FALSE,TRUE),EXACT(Metadata!W776,"Decimal degrees"))</f>
        <v>0</v>
      </c>
      <c r="BK776" t="b">
        <f>IF(Metadata!X776="",FALSE,TRUE)</f>
        <v>0</v>
      </c>
      <c r="BL776" t="b">
        <f>OR(AND(IF(Metadata!Y776="",FALSE,TRUE),OR(EXACT(Metadata!Y776,"not collected"),EXACT(Metadata!Y776,"not provided"),EXACT(Metadata!Y776,"restricted access"))),AND(IF(Metadata!Y776="",FALSE,TRUE),OR(EXACT(Metadata!Y776,"TRUE"),EXACT(Metadata!Y776,"FALSE"))))</f>
        <v>0</v>
      </c>
      <c r="BM776" t="b">
        <f>OR(AND(IF(Metadata!Z776="",FALSE,TRUE),EXACT(Metadata!Z776,"not applicable")),AND(IF(Metadata!Z776="",FALSE,TRUE),OR(EXACT(Metadata!Z776,"beer"),EXACT(Metadata!Z776,"cheese"),EXACT(Metadata!Z776,"fresh water"),EXACT(Metadata!Z776,"marine sediment"),EXACT(Metadata!Z776,"sea water"),EXACT(Metadata!Z776,"sediment"),EXACT(Metadata!Z776,"soil"),EXACT(Metadata!Z776,"waste water"))))</f>
        <v>0</v>
      </c>
      <c r="BN776" t="b">
        <f>AND(IF(Metadata!AA776="",FALSE,TRUE),EXACT(Metadata!AA776,"metagenome"))</f>
        <v>0</v>
      </c>
      <c r="BO776" t="b">
        <f>AND(IF(Metadata!AB776="",FALSE,TRUE),EXACT(Metadata!AB776,"256318"))</f>
        <v>0</v>
      </c>
      <c r="BP776" t="b">
        <f>IF(Metadata!AC776="",FALSE,TRUE)</f>
        <v>0</v>
      </c>
      <c r="BQ776" t="b">
        <f>IF(Metadata!AD776="",FALSE,TRUE)</f>
        <v>0</v>
      </c>
    </row>
    <row r="777" spans="1:69" x14ac:dyDescent="0.2">
      <c r="A777" s="4" t="e">
        <f ca="1">IF(B777=" "," ",HYPERLINK(CONCATENATE("#metadata!",ADDRESS(INDEX($AJ$2:$AJ$1001,MATCH(ROWS($AH$2:AH777),$AH$2:$AH$1001,0),0),2)),INDEX($AM$2:$AM$1001,MATCH(ROWS($AH$2:AH777),$AH$2:$AH$1001,0),0)))</f>
        <v>#N/A</v>
      </c>
      <c r="B777" s="5" t="e">
        <f ca="1">IF(OR(INDEX($AI$2:$AI$1001,MATCH(ROWS($AH$2:AH777),$AH$2:$AH$1001,0),1)&gt;=100000,INDEX($AO$1005:$BQ$1005,1,MATCH(COLUMNS($AO$1006:AO1006),$AO$1006:$BQ$1006,0))&gt;=100000), " ",IF(INDEX($AO$2:$BQ$1001,MATCH(ROWS($AH$2:AH777),$AH$2:$AH$1001,0),MATCH(COLUMNS($AO$1006:AO1006),$AO$1006:$BQ$1006,0)), HYPERLINK("#",""), HYPERLINK(CONCATENATE("#Metadata!", ADDRESS(INDEX($AJ$2:$AJ$1001,MATCH(ROWS($AH$2:AH777),$AH$2:$AH$1001,0),0), INDEX($AO$1004:$BQ$1004,1,MATCH(COLUMNS($AO$1006:AO1006),$AO$1006:$BQ$1006,0)))),"Fix")))</f>
        <v>#N/A</v>
      </c>
      <c r="C777" s="5" t="e">
        <f ca="1">IF(OR(INDEX($AI$2:$AI$1001,MATCH(ROWS($AH$2:AH777),$AH$2:$AH$1001,0),1)&gt;=100000,INDEX($AO$1005:$BQ$1005,1,MATCH(COLUMNS($AO$1006:AP1006),$AO$1006:$BQ$1006,0))&gt;=100000), " ",IF(INDEX($AO$2:$BQ$1001,MATCH(ROWS($AH$2:AH777),$AH$2:$AH$1001,0),MATCH(COLUMNS($AO$1006:AP1006),$AO$1006:$BQ$1006,0)), HYPERLINK("#",""), HYPERLINK(CONCATENATE("#Metadata!", ADDRESS(INDEX($AJ$2:$AJ$1001,MATCH(ROWS($AH$2:AH777),$AH$2:$AH$1001,0),0), INDEX($AO$1004:$BQ$1004,1,MATCH(COLUMNS($AO$1006:AP1006),$AO$1006:$BQ$1006,0)))),"Fix")))</f>
        <v>#N/A</v>
      </c>
      <c r="D777" s="5" t="e">
        <f ca="1">IF(OR(INDEX($AI$2:$AI$1001,MATCH(ROWS($AH$2:AH777),$AH$2:$AH$1001,0),1)&gt;=100000,INDEX($AO$1005:$BQ$1005,1,MATCH(COLUMNS($AO$1006:AQ1006),$AO$1006:$BQ$1006,0))&gt;=100000), " ",IF(INDEX($AO$2:$BQ$1001,MATCH(ROWS($AH$2:AH777),$AH$2:$AH$1001,0),MATCH(COLUMNS($AO$1006:AQ1006),$AO$1006:$BQ$1006,0)), HYPERLINK("#",""), HYPERLINK(CONCATENATE("#Metadata!", ADDRESS(INDEX($AJ$2:$AJ$1001,MATCH(ROWS($AH$2:AH777),$AH$2:$AH$1001,0),0), INDEX($AO$1004:$BQ$1004,1,MATCH(COLUMNS($AO$1006:AQ1006),$AO$1006:$BQ$1006,0)))),"Fix")))</f>
        <v>#N/A</v>
      </c>
      <c r="E777" s="5" t="e">
        <f ca="1">IF(OR(INDEX($AI$2:$AI$1001,MATCH(ROWS($AH$2:AH777),$AH$2:$AH$1001,0),1)&gt;=100000,INDEX($AO$1005:$BQ$1005,1,MATCH(COLUMNS($AO$1006:AR1006),$AO$1006:$BQ$1006,0))&gt;=100000), " ",IF(INDEX($AO$2:$BQ$1001,MATCH(ROWS($AH$2:AH777),$AH$2:$AH$1001,0),MATCH(COLUMNS($AO$1006:AR1006),$AO$1006:$BQ$1006,0)), HYPERLINK("#",""), HYPERLINK(CONCATENATE("#Metadata!", ADDRESS(INDEX($AJ$2:$AJ$1001,MATCH(ROWS($AH$2:AH777),$AH$2:$AH$1001,0),0), INDEX($AO$1004:$BQ$1004,1,MATCH(COLUMNS($AO$1006:AR1006),$AO$1006:$BQ$1006,0)))),"Fix")))</f>
        <v>#N/A</v>
      </c>
      <c r="F777" s="5" t="e">
        <f ca="1">IF(OR(INDEX($AI$2:$AI$1001,MATCH(ROWS($AH$2:AH777),$AH$2:$AH$1001,0),1)&gt;=100000,INDEX($AO$1005:$BQ$1005,1,MATCH(COLUMNS($AO$1006:AS1006),$AO$1006:$BQ$1006,0))&gt;=100000), " ",IF(INDEX($AO$2:$BQ$1001,MATCH(ROWS($AH$2:AH777),$AH$2:$AH$1001,0),MATCH(COLUMNS($AO$1006:AS1006),$AO$1006:$BQ$1006,0)), HYPERLINK("#",""), HYPERLINK(CONCATENATE("#Metadata!", ADDRESS(INDEX($AJ$2:$AJ$1001,MATCH(ROWS($AH$2:AH777),$AH$2:$AH$1001,0),0), INDEX($AO$1004:$BQ$1004,1,MATCH(COLUMNS($AO$1006:AS1006),$AO$1006:$BQ$1006,0)))),"Fix")))</f>
        <v>#N/A</v>
      </c>
      <c r="G777" s="5" t="e">
        <f ca="1">IF(OR(INDEX($AI$2:$AI$1001,MATCH(ROWS($AH$2:AH777),$AH$2:$AH$1001,0),1)&gt;=100000,INDEX($AO$1005:$BQ$1005,1,MATCH(COLUMNS($AO$1006:AT1006),$AO$1006:$BQ$1006,0))&gt;=100000), " ",IF(INDEX($AO$2:$BQ$1001,MATCH(ROWS($AH$2:AH777),$AH$2:$AH$1001,0),MATCH(COLUMNS($AO$1006:AT1006),$AO$1006:$BQ$1006,0)), HYPERLINK("#",""), HYPERLINK(CONCATENATE("#Metadata!", ADDRESS(INDEX($AJ$2:$AJ$1001,MATCH(ROWS($AH$2:AH777),$AH$2:$AH$1001,0),0), INDEX($AO$1004:$BQ$1004,1,MATCH(COLUMNS($AO$1006:AT1006),$AO$1006:$BQ$1006,0)))),"Fix")))</f>
        <v>#N/A</v>
      </c>
      <c r="H777" s="5" t="e">
        <f ca="1">IF(OR(INDEX($AI$2:$AI$1001,MATCH(ROWS($AH$2:AH777),$AH$2:$AH$1001,0),1)&gt;=100000,INDEX($AO$1005:$BQ$1005,1,MATCH(COLUMNS($AO$1006:AU1006),$AO$1006:$BQ$1006,0))&gt;=100000), " ",IF(INDEX($AO$2:$BQ$1001,MATCH(ROWS($AH$2:AH777),$AH$2:$AH$1001,0),MATCH(COLUMNS($AO$1006:AU1006),$AO$1006:$BQ$1006,0)), HYPERLINK("#",""), HYPERLINK(CONCATENATE("#Metadata!", ADDRESS(INDEX($AJ$2:$AJ$1001,MATCH(ROWS($AH$2:AH777),$AH$2:$AH$1001,0),0), INDEX($AO$1004:$BQ$1004,1,MATCH(COLUMNS($AO$1006:AU1006),$AO$1006:$BQ$1006,0)))),"Fix")))</f>
        <v>#N/A</v>
      </c>
      <c r="I777" s="5" t="e">
        <f ca="1">IF(OR(INDEX($AI$2:$AI$1001,MATCH(ROWS($AH$2:AH777),$AH$2:$AH$1001,0),1)&gt;=100000,INDEX($AO$1005:$BQ$1005,1,MATCH(COLUMNS($AO$1006:AV1006),$AO$1006:$BQ$1006,0))&gt;=100000), " ",IF(INDEX($AO$2:$BQ$1001,MATCH(ROWS($AH$2:AH777),$AH$2:$AH$1001,0),MATCH(COLUMNS($AO$1006:AV1006),$AO$1006:$BQ$1006,0)), HYPERLINK("#",""), HYPERLINK(CONCATENATE("#Metadata!", ADDRESS(INDEX($AJ$2:$AJ$1001,MATCH(ROWS($AH$2:AH777),$AH$2:$AH$1001,0),0), INDEX($AO$1004:$BQ$1004,1,MATCH(COLUMNS($AO$1006:AV1006),$AO$1006:$BQ$1006,0)))),"Fix")))</f>
        <v>#N/A</v>
      </c>
      <c r="J777" s="5" t="e">
        <f ca="1">IF(OR(INDEX($AI$2:$AI$1001,MATCH(ROWS($AH$2:AH777),$AH$2:$AH$1001,0),1)&gt;=100000,INDEX($AO$1005:$BQ$1005,1,MATCH(COLUMNS($AO$1006:AW1006),$AO$1006:$BQ$1006,0))&gt;=100000), " ",IF(INDEX($AO$2:$BQ$1001,MATCH(ROWS($AH$2:AH777),$AH$2:$AH$1001,0),MATCH(COLUMNS($AO$1006:AW1006),$AO$1006:$BQ$1006,0)), HYPERLINK("#",""), HYPERLINK(CONCATENATE("#Metadata!", ADDRESS(INDEX($AJ$2:$AJ$1001,MATCH(ROWS($AH$2:AH777),$AH$2:$AH$1001,0),0), INDEX($AO$1004:$BQ$1004,1,MATCH(COLUMNS($AO$1006:AW1006),$AO$1006:$BQ$1006,0)))),"Fix")))</f>
        <v>#N/A</v>
      </c>
      <c r="K777" s="5" t="e">
        <f ca="1">IF(OR(INDEX($AI$2:$AI$1001,MATCH(ROWS($AH$2:AH777),$AH$2:$AH$1001,0),1)&gt;=100000,INDEX($AO$1005:$BQ$1005,1,MATCH(COLUMNS($AO$1006:AX1006),$AO$1006:$BQ$1006,0))&gt;=100000), " ",IF(INDEX($AO$2:$BQ$1001,MATCH(ROWS($AH$2:AH777),$AH$2:$AH$1001,0),MATCH(COLUMNS($AO$1006:AX1006),$AO$1006:$BQ$1006,0)), HYPERLINK("#",""), HYPERLINK(CONCATENATE("#Metadata!", ADDRESS(INDEX($AJ$2:$AJ$1001,MATCH(ROWS($AH$2:AH777),$AH$2:$AH$1001,0),0), INDEX($AO$1004:$BQ$1004,1,MATCH(COLUMNS($AO$1006:AX1006),$AO$1006:$BQ$1006,0)))),"Fix")))</f>
        <v>#N/A</v>
      </c>
      <c r="L777" s="5" t="e">
        <f ca="1">IF(OR(INDEX($AI$2:$AI$1001,MATCH(ROWS($AH$2:AH777),$AH$2:$AH$1001,0),1)&gt;=100000,INDEX($AO$1005:$BQ$1005,1,MATCH(COLUMNS($AO$1006:AY1006),$AO$1006:$BQ$1006,0))&gt;=100000), " ",IF(INDEX($AO$2:$BQ$1001,MATCH(ROWS($AH$2:AH777),$AH$2:$AH$1001,0),MATCH(COLUMNS($AO$1006:AY1006),$AO$1006:$BQ$1006,0)), HYPERLINK("#",""), HYPERLINK(CONCATENATE("#Metadata!", ADDRESS(INDEX($AJ$2:$AJ$1001,MATCH(ROWS($AH$2:AH777),$AH$2:$AH$1001,0),0), INDEX($AO$1004:$BQ$1004,1,MATCH(COLUMNS($AO$1006:AY1006),$AO$1006:$BQ$1006,0)))),"Fix")))</f>
        <v>#N/A</v>
      </c>
      <c r="M777" s="5" t="e">
        <f ca="1">IF(OR(INDEX($AI$2:$AI$1001,MATCH(ROWS($AH$2:AH777),$AH$2:$AH$1001,0),1)&gt;=100000,INDEX($AO$1005:$BQ$1005,1,MATCH(COLUMNS($AO$1006:AZ1006),$AO$1006:$BQ$1006,0))&gt;=100000), " ",IF(INDEX($AO$2:$BQ$1001,MATCH(ROWS($AH$2:AH777),$AH$2:$AH$1001,0),MATCH(COLUMNS($AO$1006:AZ1006),$AO$1006:$BQ$1006,0)), HYPERLINK("#",""), HYPERLINK(CONCATENATE("#Metadata!", ADDRESS(INDEX($AJ$2:$AJ$1001,MATCH(ROWS($AH$2:AH777),$AH$2:$AH$1001,0),0), INDEX($AO$1004:$BQ$1004,1,MATCH(COLUMNS($AO$1006:AZ1006),$AO$1006:$BQ$1006,0)))),"Fix")))</f>
        <v>#N/A</v>
      </c>
      <c r="N777" s="5" t="e">
        <f ca="1">IF(OR(INDEX($AI$2:$AI$1001,MATCH(ROWS($AH$2:AH777),$AH$2:$AH$1001,0),1)&gt;=100000,INDEX($AO$1005:$BQ$1005,1,MATCH(COLUMNS($AO$1006:BA1006),$AO$1006:$BQ$1006,0))&gt;=100000), " ",IF(INDEX($AO$2:$BQ$1001,MATCH(ROWS($AH$2:AH777),$AH$2:$AH$1001,0),MATCH(COLUMNS($AO$1006:BA1006),$AO$1006:$BQ$1006,0)), HYPERLINK("#",""), HYPERLINK(CONCATENATE("#Metadata!", ADDRESS(INDEX($AJ$2:$AJ$1001,MATCH(ROWS($AH$2:AH777),$AH$2:$AH$1001,0),0), INDEX($AO$1004:$BQ$1004,1,MATCH(COLUMNS($AO$1006:BA1006),$AO$1006:$BQ$1006,0)))),"Fix")))</f>
        <v>#N/A</v>
      </c>
      <c r="O777" s="5" t="e">
        <f ca="1">IF(OR(INDEX($AI$2:$AI$1001,MATCH(ROWS($AH$2:AH777),$AH$2:$AH$1001,0),1)&gt;=100000,INDEX($AO$1005:$BQ$1005,1,MATCH(COLUMNS($AO$1006:BB1006),$AO$1006:$BQ$1006,0))&gt;=100000), " ",IF(INDEX($AO$2:$BQ$1001,MATCH(ROWS($AH$2:AH777),$AH$2:$AH$1001,0),MATCH(COLUMNS($AO$1006:BB1006),$AO$1006:$BQ$1006,0)), HYPERLINK("#",""), HYPERLINK(CONCATENATE("#Metadata!", ADDRESS(INDEX($AJ$2:$AJ$1001,MATCH(ROWS($AH$2:AH777),$AH$2:$AH$1001,0),0), INDEX($AO$1004:$BQ$1004,1,MATCH(COLUMNS($AO$1006:BB1006),$AO$1006:$BQ$1006,0)))),"Fix")))</f>
        <v>#N/A</v>
      </c>
      <c r="P777" s="5" t="e">
        <f ca="1">IF(OR(INDEX($AI$2:$AI$1001,MATCH(ROWS($AH$2:AH777),$AH$2:$AH$1001,0),1)&gt;=100000,INDEX($AO$1005:$BQ$1005,1,MATCH(COLUMNS($AO$1006:BC1006),$AO$1006:$BQ$1006,0))&gt;=100000), " ",IF(INDEX($AO$2:$BQ$1001,MATCH(ROWS($AH$2:AH777),$AH$2:$AH$1001,0),MATCH(COLUMNS($AO$1006:BC1006),$AO$1006:$BQ$1006,0)), HYPERLINK("#",""), HYPERLINK(CONCATENATE("#Metadata!", ADDRESS(INDEX($AJ$2:$AJ$1001,MATCH(ROWS($AH$2:AH777),$AH$2:$AH$1001,0),0), INDEX($AO$1004:$BQ$1004,1,MATCH(COLUMNS($AO$1006:BC1006),$AO$1006:$BQ$1006,0)))),"Fix")))</f>
        <v>#N/A</v>
      </c>
      <c r="Q777" s="5" t="e">
        <f ca="1">IF(OR(INDEX($AI$2:$AI$1001,MATCH(ROWS($AH$2:AH777),$AH$2:$AH$1001,0),1)&gt;=100000,INDEX($AO$1005:$BQ$1005,1,MATCH(COLUMNS($AO$1006:BD1006),$AO$1006:$BQ$1006,0))&gt;=100000), " ",IF(INDEX($AO$2:$BQ$1001,MATCH(ROWS($AH$2:AH777),$AH$2:$AH$1001,0),MATCH(COLUMNS($AO$1006:BD1006),$AO$1006:$BQ$1006,0)), HYPERLINK("#",""), HYPERLINK(CONCATENATE("#Metadata!", ADDRESS(INDEX($AJ$2:$AJ$1001,MATCH(ROWS($AH$2:AH777),$AH$2:$AH$1001,0),0), INDEX($AO$1004:$BQ$1004,1,MATCH(COLUMNS($AO$1006:BD1006),$AO$1006:$BQ$1006,0)))),"Fix")))</f>
        <v>#N/A</v>
      </c>
      <c r="R777" s="5" t="e">
        <f ca="1">IF(OR(INDEX($AI$2:$AI$1001,MATCH(ROWS($AH$2:AH777),$AH$2:$AH$1001,0),1)&gt;=100000,INDEX($AO$1005:$BQ$1005,1,MATCH(COLUMNS($AO$1006:BE1006),$AO$1006:$BQ$1006,0))&gt;=100000), " ",IF(INDEX($AO$2:$BQ$1001,MATCH(ROWS($AH$2:AH777),$AH$2:$AH$1001,0),MATCH(COLUMNS($AO$1006:BE1006),$AO$1006:$BQ$1006,0)), HYPERLINK("#",""), HYPERLINK(CONCATENATE("#Metadata!", ADDRESS(INDEX($AJ$2:$AJ$1001,MATCH(ROWS($AH$2:AH777),$AH$2:$AH$1001,0),0), INDEX($AO$1004:$BQ$1004,1,MATCH(COLUMNS($AO$1006:BE1006),$AO$1006:$BQ$1006,0)))),"Fix")))</f>
        <v>#N/A</v>
      </c>
      <c r="S777" s="5" t="e">
        <f ca="1">IF(OR(INDEX($AI$2:$AI$1001,MATCH(ROWS($AH$2:AH777),$AH$2:$AH$1001,0),1)&gt;=100000,INDEX($AO$1005:$BQ$1005,1,MATCH(COLUMNS($AO$1006:BF1006),$AO$1006:$BQ$1006,0))&gt;=100000), " ",IF(INDEX($AO$2:$BQ$1001,MATCH(ROWS($AH$2:AH777),$AH$2:$AH$1001,0),MATCH(COLUMNS($AO$1006:BF1006),$AO$1006:$BQ$1006,0)), HYPERLINK("#",""), HYPERLINK(CONCATENATE("#Metadata!", ADDRESS(INDEX($AJ$2:$AJ$1001,MATCH(ROWS($AH$2:AH777),$AH$2:$AH$1001,0),0), INDEX($AO$1004:$BQ$1004,1,MATCH(COLUMNS($AO$1006:BF1006),$AO$1006:$BQ$1006,0)))),"Fix")))</f>
        <v>#N/A</v>
      </c>
      <c r="T777" s="5" t="e">
        <f ca="1">IF(OR(INDEX($AI$2:$AI$1001,MATCH(ROWS($AH$2:AH777),$AH$2:$AH$1001,0),1)&gt;=100000,INDEX($AO$1005:$BQ$1005,1,MATCH(COLUMNS($AO$1006:BG1006),$AO$1006:$BQ$1006,0))&gt;=100000), " ",IF(INDEX($AO$2:$BQ$1001,MATCH(ROWS($AH$2:AH777),$AH$2:$AH$1001,0),MATCH(COLUMNS($AO$1006:BG1006),$AO$1006:$BQ$1006,0)), HYPERLINK("#",""), HYPERLINK(CONCATENATE("#Metadata!", ADDRESS(INDEX($AJ$2:$AJ$1001,MATCH(ROWS($AH$2:AH777),$AH$2:$AH$1001,0),0), INDEX($AO$1004:$BQ$1004,1,MATCH(COLUMNS($AO$1006:BG1006),$AO$1006:$BQ$1006,0)))),"Fix")))</f>
        <v>#N/A</v>
      </c>
      <c r="U777" s="5" t="e">
        <f ca="1">IF(OR(INDEX($AI$2:$AI$1001,MATCH(ROWS($AH$2:AH777),$AH$2:$AH$1001,0),1)&gt;=100000,INDEX($AO$1005:$BQ$1005,1,MATCH(COLUMNS($AO$1006:BH1006),$AO$1006:$BQ$1006,0))&gt;=100000), " ",IF(INDEX($AO$2:$BQ$1001,MATCH(ROWS($AH$2:AH777),$AH$2:$AH$1001,0),MATCH(COLUMNS($AO$1006:BH1006),$AO$1006:$BQ$1006,0)), HYPERLINK("#",""), HYPERLINK(CONCATENATE("#Metadata!", ADDRESS(INDEX($AJ$2:$AJ$1001,MATCH(ROWS($AH$2:AH777),$AH$2:$AH$1001,0),0), INDEX($AO$1004:$BQ$1004,1,MATCH(COLUMNS($AO$1006:BH1006),$AO$1006:$BQ$1006,0)))),"Fix")))</f>
        <v>#N/A</v>
      </c>
      <c r="V777" s="5" t="e">
        <f ca="1">IF(OR(INDEX($AI$2:$AI$1001,MATCH(ROWS($AH$2:AH777),$AH$2:$AH$1001,0),1)&gt;=100000,INDEX($AO$1005:$BQ$1005,1,MATCH(COLUMNS($AO$1006:BI1006),$AO$1006:$BQ$1006,0))&gt;=100000), " ",IF(INDEX($AO$2:$BQ$1001,MATCH(ROWS($AH$2:AH777),$AH$2:$AH$1001,0),MATCH(COLUMNS($AO$1006:BI1006),$AO$1006:$BQ$1006,0)), HYPERLINK("#",""), HYPERLINK(CONCATENATE("#Metadata!", ADDRESS(INDEX($AJ$2:$AJ$1001,MATCH(ROWS($AH$2:AH777),$AH$2:$AH$1001,0),0), INDEX($AO$1004:$BQ$1004,1,MATCH(COLUMNS($AO$1006:BI1006),$AO$1006:$BQ$1006,0)))),"Fix")))</f>
        <v>#N/A</v>
      </c>
      <c r="W777" s="5" t="e">
        <f ca="1">IF(OR(INDEX($AI$2:$AI$1001,MATCH(ROWS($AH$2:AH777),$AH$2:$AH$1001,0),1)&gt;=100000,INDEX($AO$1005:$BQ$1005,1,MATCH(COLUMNS($AO$1006:BJ1006),$AO$1006:$BQ$1006,0))&gt;=100000), " ",IF(INDEX($AO$2:$BQ$1001,MATCH(ROWS($AH$2:AH777),$AH$2:$AH$1001,0),MATCH(COLUMNS($AO$1006:BJ1006),$AO$1006:$BQ$1006,0)), HYPERLINK("#",""), HYPERLINK(CONCATENATE("#Metadata!", ADDRESS(INDEX($AJ$2:$AJ$1001,MATCH(ROWS($AH$2:AH777),$AH$2:$AH$1001,0),0), INDEX($AO$1004:$BQ$1004,1,MATCH(COLUMNS($AO$1006:BJ1006),$AO$1006:$BQ$1006,0)))),"Fix")))</f>
        <v>#N/A</v>
      </c>
      <c r="X777" s="5" t="e">
        <f ca="1">IF(OR(INDEX($AI$2:$AI$1001,MATCH(ROWS($AH$2:AH777),$AH$2:$AH$1001,0),1)&gt;=100000,INDEX($AO$1005:$BQ$1005,1,MATCH(COLUMNS($AO$1006:BK1006),$AO$1006:$BQ$1006,0))&gt;=100000), " ",IF(INDEX($AO$2:$BQ$1001,MATCH(ROWS($AH$2:AH777),$AH$2:$AH$1001,0),MATCH(COLUMNS($AO$1006:BK1006),$AO$1006:$BQ$1006,0)), HYPERLINK("#",""), HYPERLINK(CONCATENATE("#Metadata!", ADDRESS(INDEX($AJ$2:$AJ$1001,MATCH(ROWS($AH$2:AH777),$AH$2:$AH$1001,0),0), INDEX($AO$1004:$BQ$1004,1,MATCH(COLUMNS($AO$1006:BK1006),$AO$1006:$BQ$1006,0)))),"Fix")))</f>
        <v>#N/A</v>
      </c>
      <c r="Y777" s="5" t="e">
        <f ca="1">IF(OR(INDEX($AI$2:$AI$1001,MATCH(ROWS($AH$2:AH777),$AH$2:$AH$1001,0),1)&gt;=100000,INDEX($AO$1005:$BQ$1005,1,MATCH(COLUMNS($AO$1006:BL1006),$AO$1006:$BQ$1006,0))&gt;=100000), " ",IF(INDEX($AO$2:$BQ$1001,MATCH(ROWS($AH$2:AH777),$AH$2:$AH$1001,0),MATCH(COLUMNS($AO$1006:BL1006),$AO$1006:$BQ$1006,0)), HYPERLINK("#",""), HYPERLINK(CONCATENATE("#Metadata!", ADDRESS(INDEX($AJ$2:$AJ$1001,MATCH(ROWS($AH$2:AH777),$AH$2:$AH$1001,0),0), INDEX($AO$1004:$BQ$1004,1,MATCH(COLUMNS($AO$1006:BL1006),$AO$1006:$BQ$1006,0)))),"Fix")))</f>
        <v>#N/A</v>
      </c>
      <c r="Z777" s="5" t="e">
        <f ca="1">IF(OR(INDEX($AI$2:$AI$1001,MATCH(ROWS($AH$2:AH777),$AH$2:$AH$1001,0),1)&gt;=100000,INDEX($AO$1005:$BQ$1005,1,MATCH(COLUMNS($AO$1006:BM1006),$AO$1006:$BQ$1006,0))&gt;=100000), " ",IF(INDEX($AO$2:$BQ$1001,MATCH(ROWS($AH$2:AH777),$AH$2:$AH$1001,0),MATCH(COLUMNS($AO$1006:BM1006),$AO$1006:$BQ$1006,0)), HYPERLINK("#",""), HYPERLINK(CONCATENATE("#Metadata!", ADDRESS(INDEX($AJ$2:$AJ$1001,MATCH(ROWS($AH$2:AH777),$AH$2:$AH$1001,0),0), INDEX($AO$1004:$BQ$1004,1,MATCH(COLUMNS($AO$1006:BM1006),$AO$1006:$BQ$1006,0)))),"Fix")))</f>
        <v>#N/A</v>
      </c>
      <c r="AA777" s="5" t="e">
        <f ca="1">IF(OR(INDEX($AI$2:$AI$1001,MATCH(ROWS($AH$2:AH777),$AH$2:$AH$1001,0),1)&gt;=100000,INDEX($AO$1005:$BQ$1005,1,MATCH(COLUMNS($AO$1006:BN1006),$AO$1006:$BQ$1006,0))&gt;=100000), " ",IF(INDEX($AO$2:$BQ$1001,MATCH(ROWS($AH$2:AH777),$AH$2:$AH$1001,0),MATCH(COLUMNS($AO$1006:BN1006),$AO$1006:$BQ$1006,0)), HYPERLINK("#",""), HYPERLINK(CONCATENATE("#Metadata!", ADDRESS(INDEX($AJ$2:$AJ$1001,MATCH(ROWS($AH$2:AH777),$AH$2:$AH$1001,0),0), INDEX($AO$1004:$BQ$1004,1,MATCH(COLUMNS($AO$1006:BN1006),$AO$1006:$BQ$1006,0)))),"Fix")))</f>
        <v>#N/A</v>
      </c>
      <c r="AB777" s="5" t="e">
        <f ca="1">IF(OR(INDEX($AI$2:$AI$1001,MATCH(ROWS($AH$2:AH777),$AH$2:$AH$1001,0),1)&gt;=100000,INDEX($AO$1005:$BQ$1005,1,MATCH(COLUMNS($AO$1006:BO1006),$AO$1006:$BQ$1006,0))&gt;=100000), " ",IF(INDEX($AO$2:$BQ$1001,MATCH(ROWS($AH$2:AH777),$AH$2:$AH$1001,0),MATCH(COLUMNS($AO$1006:BO1006),$AO$1006:$BQ$1006,0)), HYPERLINK("#",""), HYPERLINK(CONCATENATE("#Metadata!", ADDRESS(INDEX($AJ$2:$AJ$1001,MATCH(ROWS($AH$2:AH777),$AH$2:$AH$1001,0),0), INDEX($AO$1004:$BQ$1004,1,MATCH(COLUMNS($AO$1006:BO1006),$AO$1006:$BQ$1006,0)))),"Fix")))</f>
        <v>#N/A</v>
      </c>
      <c r="AC777" s="5" t="e">
        <f ca="1">IF(OR(INDEX($AI$2:$AI$1001,MATCH(ROWS($AH$2:AH777),$AH$2:$AH$1001,0),1)&gt;=100000,INDEX($AO$1005:$BQ$1005,1,MATCH(COLUMNS($AO$1006:BP1006),$AO$1006:$BQ$1006,0))&gt;=100000), " ",IF(INDEX($AO$2:$BQ$1001,MATCH(ROWS($AH$2:AH777),$AH$2:$AH$1001,0),MATCH(COLUMNS($AO$1006:BP1006),$AO$1006:$BQ$1006,0)), HYPERLINK("#",""), HYPERLINK(CONCATENATE("#Metadata!", ADDRESS(INDEX($AJ$2:$AJ$1001,MATCH(ROWS($AH$2:AH777),$AH$2:$AH$1001,0),0), INDEX($AO$1004:$BQ$1004,1,MATCH(COLUMNS($AO$1006:BP1006),$AO$1006:$BQ$1006,0)))),"Fix")))</f>
        <v>#N/A</v>
      </c>
      <c r="AD777" s="5" t="e">
        <f ca="1">IF(OR(INDEX($AI$2:$AI$1001,MATCH(ROWS($AH$2:AH777),$AH$2:$AH$1001,0),1)&gt;=100000,INDEX($AO$1005:$BQ$1005,1,MATCH(COLUMNS($AO$1006:BQ1006),$AO$1006:$BQ$1006,0))&gt;=100000), " ",IF(INDEX($AO$2:$BQ$1001,MATCH(ROWS($AH$2:AH777),$AH$2:$AH$1001,0),MATCH(COLUMNS($AO$1006:BQ1006),$AO$1006:$BQ$1006,0)), HYPERLINK("#",""), HYPERLINK(CONCATENATE("#Metadata!", ADDRESS(INDEX($AJ$2:$AJ$1001,MATCH(ROWS($AH$2:AH777),$AH$2:$AH$1001,0),0), INDEX($AO$1004:$BQ$1004,1,MATCH(COLUMNS($AO$1006:BQ1006),$AO$1006:$BQ$1006,0)))),"Fix")))</f>
        <v>#REF!</v>
      </c>
      <c r="AH777">
        <f ca="1"/>
        <v>774</v>
      </c>
      <c r="AI777">
        <v>100777</v>
      </c>
      <c r="AJ777">
        <v>777</v>
      </c>
      <c r="AK777" t="b">
        <f t="shared" si="12"/>
        <v>1</v>
      </c>
      <c r="AL777" t="b">
        <f>COUNTBLANK(Metadata!B777:AD777)=COLUMNS(Metadata!B777:AD777)</f>
        <v>1</v>
      </c>
      <c r="AM777" t="str">
        <v/>
      </c>
      <c r="AO777" t="b">
        <f ca="1">AND(IF(Metadata!B777="",FALSE,TRUE),COUNTIF(Metadata!B:B, Metadata!B777) = 1,NOT(ISERROR(SUMPRODUCT(SEARCH(MID(Metadata!B777,ROW(INDIRECT("1:"&amp;LEN(Metadata!B777))), 1),"0123456789abcdefghijklmnopqrstuvwxyzABCDEFGHIJKLMNOPQRSTUVWXYZ.")))))</f>
        <v>0</v>
      </c>
      <c r="AP777" t="b">
        <f>IF(Metadata!C777="",FALSE,TRUE)</f>
        <v>0</v>
      </c>
      <c r="AQ777" t="b">
        <f>IF(Metadata!D777="",FALSE,TRUE)</f>
        <v>0</v>
      </c>
      <c r="AR777" t="b">
        <f ca="1">OR(AND(IF(Metadata!E777="",FALSE,TRUE),OR(EXACT(Metadata!E777,"not collected"),EXACT(Metadata!E777,"not provided"),EXACT(Metadata!E777,"restricted access"))),AND(IF(Metadata!E777="",FALSE,TRUE),AND(AND(IFERROR(INT(LEFT(Metadata!E777,4))&gt;1900,FALSE),IFERROR(INT(LEFT(Metadata!E777,4))&lt;=YEAR(NOW()),FALSE)), OR(MID(Metadata!E777,5,1)="", AND(AND(MID(Metadata!E777,5,1)="-",IFERROR(INT(MID(Metadata!E777,6,1))&gt;=0,FALSE),IFERROR(INT(MID(Metadata!E777,6,1))&lt;=1,FALSE),NOT(MID(Metadata!E777,7,1)=""),IFERROR(INT(MID(Metadata!E777,6,2))&gt;=1,FALSE),IFERROR(INT(MID(Metadata!E777,6,2))&lt;=12,FALSE)), OR(MID(Metadata!E777,8,1)="", AND(AND(MID(Metadata!E777,8,1)="-",IFERROR(INT(MID(Metadata!E777,9,1))&gt;=0,FALSE),IFERROR(INT(MID(Metadata!E777,9,1))&lt;=3,FALSE),NOT(MID(Metadata!E777,10,1)=""),IFERROR(INT(MID(Metadata!E777,9,2))&gt;=1,FALSE),IFERROR(INT(MID(Metadata!E777,9,2))&lt;=31,FALSE)), OR(MID(Metadata!E777,11,1)="", AND(AND(MID(Metadata!E777,11,1)=" ",IFERROR(INT(MID(Metadata!E777,12,1))&gt;=0,FALSE),IFERROR(INT(MID(Metadata!E777,12,1))&lt;=2,FALSE),NOT(MID(Metadata!E777,13,1)=""),IFERROR(INT(MID(Metadata!E777,12,2))&gt;=0,FALSE),IFERROR(INT(MID(Metadata!E777,12,2))&lt;=23,FALSE)), OR(MID(Metadata!E777,14,1)="", AND(AND(MID(Metadata!E777,14,1)=":",IFERROR(INT(MID(Metadata!E777,15,1))&gt;=0,FALSE),IFERROR(INT(MID(Metadata!E777,15,1))&lt;=5,FALSE),NOT(MID(Metadata!E777,16,1)=""),IFERROR(INT(MID(Metadata!E777,15,2))&gt;=0,FALSE),IFERROR(INT(MID(Metadata!E777,15,2))&lt;=59,FALSE)), OR(MID(Metadata!E777,17,1)="", AND(AND(MID(Metadata!E777,17,1)=":",IFERROR(INT(MID(Metadata!E777,18,1))&gt;=0,FALSE),IFERROR(INT(MID(Metadata!E777,18,1))&lt;=5,FALSE),NOT(MID(Metadata!E777,19,1)=""),IFERROR(INT(MID(Metadata!E777,18,2))&gt;=0,FALSE),IFERROR(INT(MID(Metadata!E777,18,2))&lt;=59,FALSE)), LEN(Metadata!E777)&lt;=19)))))))))))))</f>
        <v>0</v>
      </c>
      <c r="AS777" t="b">
        <f>IF(Metadata!F777="",FALSE,TRUE)</f>
        <v>0</v>
      </c>
      <c r="AT777" t="b">
        <f>OR(AND(IF(Metadata!G777="",FALSE,TRUE),OR(EXACT(Metadata!G777,"not collected"),EXACT(Metadata!G777,"not provided"))),AND(IF(Metadata!G777="",FALSE,TRUE),OR(EXACT(Metadata!G777,"TRUE"),EXACT(Metadata!G777,"FALSE"))))</f>
        <v>0</v>
      </c>
      <c r="AU777" t="b">
        <f>OR(AND(IF(Metadata!H777="",FALSE,TRUE),OR(EXACT(Metadata!H777,"not collected"),EXACT(Metadata!H777,"not provided"),EXACT(Metadata!H777,"restricted access"))),AND(IF(Metadata!H777="",FALSE,ISNUMBER(VALUE(Metadata!H777))),Metadata!H777&gt;=-413))</f>
        <v>0</v>
      </c>
      <c r="AV777" t="b">
        <f>AND(IF(Metadata!I777="",FALSE,TRUE),EXACT(Metadata!I777,"meters"))</f>
        <v>0</v>
      </c>
      <c r="AW777" t="b">
        <f>AND(IF(Metadata!J777="",FALSE,TRUE),EXACT(Metadata!J777,"free-living"))</f>
        <v>0</v>
      </c>
      <c r="AX777" t="b">
        <f>AND(IF(Metadata!K777="",FALSE,TRUE),OR(EXACT(Metadata!K777,"saline"),EXACT(Metadata!K777,"non-saline")))</f>
        <v>0</v>
      </c>
      <c r="AY777" t="b">
        <f>AND(IF(Metadata!L777="",FALSE,TRUE),OR(EXACT(Metadata!L777,"sub-surface (non-saline)"),EXACT(Metadata!L777,"surface (non-saline)"),EXACT(Metadata!L777,"water (non-saline)"),EXACT(Metadata!L777,"soil (non-saline)"),EXACT(Metadata!L777,"aerosol (non-saline)"),EXACT(Metadata!L777,"sediment (non-saline)"),EXACT(Metadata!L777,"surface (saline)"),EXACT(Metadata!L777,"water (saline)"),EXACT(Metadata!L777,"hypersaline (saline)"),EXACT(Metadata!L777,"aerosol (saline)"),EXACT(Metadata!L777,"sediment (saline)")))</f>
        <v>0</v>
      </c>
      <c r="AZ777" t="b">
        <f>IF(Metadata!M777="",FALSE,TRUE)</f>
        <v>0</v>
      </c>
      <c r="BA777" t="b">
        <f>IF(Metadata!N777="",FALSE,TRUE)</f>
        <v>0</v>
      </c>
      <c r="BB777" t="b">
        <f>IF(Metadata!O777="",FALSE,TRUE)</f>
        <v>0</v>
      </c>
      <c r="BC777" t="b">
        <f>AND(IF(Metadata!P777="",FALSE,TRUE),OR(EXACT(Metadata!P777,"air"),EXACT(Metadata!P777,"microbial mat/biofilm"),EXACT(Metadata!P777,"misc environment"),EXACT(Metadata!P777,"sediment"),EXACT(Metadata!P777,"soil"),EXACT(Metadata!P777,"wastewater/sludge"),EXACT(Metadata!P777,"water")))</f>
        <v>0</v>
      </c>
      <c r="BD777" t="b">
        <f>IF(Metadata!Q777="",FALSE,TRUE)</f>
        <v>0</v>
      </c>
      <c r="BE777" t="b">
        <f>IF(Metadata!R777="",FALSE,TRUE)</f>
        <v>0</v>
      </c>
      <c r="BF777" t="b">
        <f>OR(AND(IF(Metadata!S777="",FALSE,TRUE),OR(EXACT(Metadata!S777,"not collected"),EXACT(Metadata!S777,"not provided"),EXACT(Metadata!S777,"restricted access"))),AND(IF(Metadata!S777="",FALSE,ISNUMBER(VALUE(Metadata!S777))),Metadata!S777&gt;=-90,Metadata!S777&lt;=90))</f>
        <v>0</v>
      </c>
      <c r="BG777" t="b">
        <f>AND(IF(Metadata!T777="",FALSE,TRUE),EXACT(Metadata!T777,"Decimal degrees"))</f>
        <v>0</v>
      </c>
      <c r="BH777" t="b">
        <f>OR(AND(IF(Metadata!U777="",FALSE,TRUE),OR(EXACT(Metadata!U777,"not applicable"),EXACT(Metadata!U777,"not collected"))),IF(Metadata!U777="",FALSE,TRUE))</f>
        <v>0</v>
      </c>
      <c r="BI777" t="b">
        <f>OR(AND(IF(Metadata!V777="",FALSE,TRUE),OR(EXACT(Metadata!V777,"not collected"),EXACT(Metadata!V777,"not provided"),EXACT(Metadata!V777,"restricted access"))),AND(IF(Metadata!V777="",FALSE,ISNUMBER(VALUE(Metadata!V777))),Metadata!V777&gt;=-180,Metadata!V777&lt;=180))</f>
        <v>0</v>
      </c>
      <c r="BJ777" t="b">
        <f>AND(IF(Metadata!W777="",FALSE,TRUE),EXACT(Metadata!W777,"Decimal degrees"))</f>
        <v>0</v>
      </c>
      <c r="BK777" t="b">
        <f>IF(Metadata!X777="",FALSE,TRUE)</f>
        <v>0</v>
      </c>
      <c r="BL777" t="b">
        <f>OR(AND(IF(Metadata!Y777="",FALSE,TRUE),OR(EXACT(Metadata!Y777,"not collected"),EXACT(Metadata!Y777,"not provided"),EXACT(Metadata!Y777,"restricted access"))),AND(IF(Metadata!Y777="",FALSE,TRUE),OR(EXACT(Metadata!Y777,"TRUE"),EXACT(Metadata!Y777,"FALSE"))))</f>
        <v>0</v>
      </c>
      <c r="BM777" t="b">
        <f>OR(AND(IF(Metadata!Z777="",FALSE,TRUE),EXACT(Metadata!Z777,"not applicable")),AND(IF(Metadata!Z777="",FALSE,TRUE),OR(EXACT(Metadata!Z777,"beer"),EXACT(Metadata!Z777,"cheese"),EXACT(Metadata!Z777,"fresh water"),EXACT(Metadata!Z777,"marine sediment"),EXACT(Metadata!Z777,"sea water"),EXACT(Metadata!Z777,"sediment"),EXACT(Metadata!Z777,"soil"),EXACT(Metadata!Z777,"waste water"))))</f>
        <v>0</v>
      </c>
      <c r="BN777" t="b">
        <f>AND(IF(Metadata!AA777="",FALSE,TRUE),EXACT(Metadata!AA777,"metagenome"))</f>
        <v>0</v>
      </c>
      <c r="BO777" t="b">
        <f>AND(IF(Metadata!AB777="",FALSE,TRUE),EXACT(Metadata!AB777,"256318"))</f>
        <v>0</v>
      </c>
      <c r="BP777" t="b">
        <f>IF(Metadata!AC777="",FALSE,TRUE)</f>
        <v>0</v>
      </c>
      <c r="BQ777" t="b">
        <f>IF(Metadata!AD777="",FALSE,TRUE)</f>
        <v>0</v>
      </c>
    </row>
    <row r="778" spans="1:69" x14ac:dyDescent="0.2">
      <c r="A778" s="4" t="e">
        <f ca="1">IF(B778=" "," ",HYPERLINK(CONCATENATE("#metadata!",ADDRESS(INDEX($AJ$2:$AJ$1001,MATCH(ROWS($AH$2:AH778),$AH$2:$AH$1001,0),0),2)),INDEX($AM$2:$AM$1001,MATCH(ROWS($AH$2:AH778),$AH$2:$AH$1001,0),0)))</f>
        <v>#N/A</v>
      </c>
      <c r="B778" s="5" t="e">
        <f ca="1">IF(OR(INDEX($AI$2:$AI$1001,MATCH(ROWS($AH$2:AH778),$AH$2:$AH$1001,0),1)&gt;=100000,INDEX($AO$1005:$BQ$1005,1,MATCH(COLUMNS($AO$1006:AO1006),$AO$1006:$BQ$1006,0))&gt;=100000), " ",IF(INDEX($AO$2:$BQ$1001,MATCH(ROWS($AH$2:AH778),$AH$2:$AH$1001,0),MATCH(COLUMNS($AO$1006:AO1006),$AO$1006:$BQ$1006,0)), HYPERLINK("#",""), HYPERLINK(CONCATENATE("#Metadata!", ADDRESS(INDEX($AJ$2:$AJ$1001,MATCH(ROWS($AH$2:AH778),$AH$2:$AH$1001,0),0), INDEX($AO$1004:$BQ$1004,1,MATCH(COLUMNS($AO$1006:AO1006),$AO$1006:$BQ$1006,0)))),"Fix")))</f>
        <v>#N/A</v>
      </c>
      <c r="C778" s="5" t="e">
        <f ca="1">IF(OR(INDEX($AI$2:$AI$1001,MATCH(ROWS($AH$2:AH778),$AH$2:$AH$1001,0),1)&gt;=100000,INDEX($AO$1005:$BQ$1005,1,MATCH(COLUMNS($AO$1006:AP1006),$AO$1006:$BQ$1006,0))&gt;=100000), " ",IF(INDEX($AO$2:$BQ$1001,MATCH(ROWS($AH$2:AH778),$AH$2:$AH$1001,0),MATCH(COLUMNS($AO$1006:AP1006),$AO$1006:$BQ$1006,0)), HYPERLINK("#",""), HYPERLINK(CONCATENATE("#Metadata!", ADDRESS(INDEX($AJ$2:$AJ$1001,MATCH(ROWS($AH$2:AH778),$AH$2:$AH$1001,0),0), INDEX($AO$1004:$BQ$1004,1,MATCH(COLUMNS($AO$1006:AP1006),$AO$1006:$BQ$1006,0)))),"Fix")))</f>
        <v>#N/A</v>
      </c>
      <c r="D778" s="5" t="e">
        <f ca="1">IF(OR(INDEX($AI$2:$AI$1001,MATCH(ROWS($AH$2:AH778),$AH$2:$AH$1001,0),1)&gt;=100000,INDEX($AO$1005:$BQ$1005,1,MATCH(COLUMNS($AO$1006:AQ1006),$AO$1006:$BQ$1006,0))&gt;=100000), " ",IF(INDEX($AO$2:$BQ$1001,MATCH(ROWS($AH$2:AH778),$AH$2:$AH$1001,0),MATCH(COLUMNS($AO$1006:AQ1006),$AO$1006:$BQ$1006,0)), HYPERLINK("#",""), HYPERLINK(CONCATENATE("#Metadata!", ADDRESS(INDEX($AJ$2:$AJ$1001,MATCH(ROWS($AH$2:AH778),$AH$2:$AH$1001,0),0), INDEX($AO$1004:$BQ$1004,1,MATCH(COLUMNS($AO$1006:AQ1006),$AO$1006:$BQ$1006,0)))),"Fix")))</f>
        <v>#N/A</v>
      </c>
      <c r="E778" s="5" t="e">
        <f ca="1">IF(OR(INDEX($AI$2:$AI$1001,MATCH(ROWS($AH$2:AH778),$AH$2:$AH$1001,0),1)&gt;=100000,INDEX($AO$1005:$BQ$1005,1,MATCH(COLUMNS($AO$1006:AR1006),$AO$1006:$BQ$1006,0))&gt;=100000), " ",IF(INDEX($AO$2:$BQ$1001,MATCH(ROWS($AH$2:AH778),$AH$2:$AH$1001,0),MATCH(COLUMNS($AO$1006:AR1006),$AO$1006:$BQ$1006,0)), HYPERLINK("#",""), HYPERLINK(CONCATENATE("#Metadata!", ADDRESS(INDEX($AJ$2:$AJ$1001,MATCH(ROWS($AH$2:AH778),$AH$2:$AH$1001,0),0), INDEX($AO$1004:$BQ$1004,1,MATCH(COLUMNS($AO$1006:AR1006),$AO$1006:$BQ$1006,0)))),"Fix")))</f>
        <v>#N/A</v>
      </c>
      <c r="F778" s="5" t="e">
        <f ca="1">IF(OR(INDEX($AI$2:$AI$1001,MATCH(ROWS($AH$2:AH778),$AH$2:$AH$1001,0),1)&gt;=100000,INDEX($AO$1005:$BQ$1005,1,MATCH(COLUMNS($AO$1006:AS1006),$AO$1006:$BQ$1006,0))&gt;=100000), " ",IF(INDEX($AO$2:$BQ$1001,MATCH(ROWS($AH$2:AH778),$AH$2:$AH$1001,0),MATCH(COLUMNS($AO$1006:AS1006),$AO$1006:$BQ$1006,0)), HYPERLINK("#",""), HYPERLINK(CONCATENATE("#Metadata!", ADDRESS(INDEX($AJ$2:$AJ$1001,MATCH(ROWS($AH$2:AH778),$AH$2:$AH$1001,0),0), INDEX($AO$1004:$BQ$1004,1,MATCH(COLUMNS($AO$1006:AS1006),$AO$1006:$BQ$1006,0)))),"Fix")))</f>
        <v>#N/A</v>
      </c>
      <c r="G778" s="5" t="e">
        <f ca="1">IF(OR(INDEX($AI$2:$AI$1001,MATCH(ROWS($AH$2:AH778),$AH$2:$AH$1001,0),1)&gt;=100000,INDEX($AO$1005:$BQ$1005,1,MATCH(COLUMNS($AO$1006:AT1006),$AO$1006:$BQ$1006,0))&gt;=100000), " ",IF(INDEX($AO$2:$BQ$1001,MATCH(ROWS($AH$2:AH778),$AH$2:$AH$1001,0),MATCH(COLUMNS($AO$1006:AT1006),$AO$1006:$BQ$1006,0)), HYPERLINK("#",""), HYPERLINK(CONCATENATE("#Metadata!", ADDRESS(INDEX($AJ$2:$AJ$1001,MATCH(ROWS($AH$2:AH778),$AH$2:$AH$1001,0),0), INDEX($AO$1004:$BQ$1004,1,MATCH(COLUMNS($AO$1006:AT1006),$AO$1006:$BQ$1006,0)))),"Fix")))</f>
        <v>#N/A</v>
      </c>
      <c r="H778" s="5" t="e">
        <f ca="1">IF(OR(INDEX($AI$2:$AI$1001,MATCH(ROWS($AH$2:AH778),$AH$2:$AH$1001,0),1)&gt;=100000,INDEX($AO$1005:$BQ$1005,1,MATCH(COLUMNS($AO$1006:AU1006),$AO$1006:$BQ$1006,0))&gt;=100000), " ",IF(INDEX($AO$2:$BQ$1001,MATCH(ROWS($AH$2:AH778),$AH$2:$AH$1001,0),MATCH(COLUMNS($AO$1006:AU1006),$AO$1006:$BQ$1006,0)), HYPERLINK("#",""), HYPERLINK(CONCATENATE("#Metadata!", ADDRESS(INDEX($AJ$2:$AJ$1001,MATCH(ROWS($AH$2:AH778),$AH$2:$AH$1001,0),0), INDEX($AO$1004:$BQ$1004,1,MATCH(COLUMNS($AO$1006:AU1006),$AO$1006:$BQ$1006,0)))),"Fix")))</f>
        <v>#N/A</v>
      </c>
      <c r="I778" s="5" t="e">
        <f ca="1">IF(OR(INDEX($AI$2:$AI$1001,MATCH(ROWS($AH$2:AH778),$AH$2:$AH$1001,0),1)&gt;=100000,INDEX($AO$1005:$BQ$1005,1,MATCH(COLUMNS($AO$1006:AV1006),$AO$1006:$BQ$1006,0))&gt;=100000), " ",IF(INDEX($AO$2:$BQ$1001,MATCH(ROWS($AH$2:AH778),$AH$2:$AH$1001,0),MATCH(COLUMNS($AO$1006:AV1006),$AO$1006:$BQ$1006,0)), HYPERLINK("#",""), HYPERLINK(CONCATENATE("#Metadata!", ADDRESS(INDEX($AJ$2:$AJ$1001,MATCH(ROWS($AH$2:AH778),$AH$2:$AH$1001,0),0), INDEX($AO$1004:$BQ$1004,1,MATCH(COLUMNS($AO$1006:AV1006),$AO$1006:$BQ$1006,0)))),"Fix")))</f>
        <v>#N/A</v>
      </c>
      <c r="J778" s="5" t="e">
        <f ca="1">IF(OR(INDEX($AI$2:$AI$1001,MATCH(ROWS($AH$2:AH778),$AH$2:$AH$1001,0),1)&gt;=100000,INDEX($AO$1005:$BQ$1005,1,MATCH(COLUMNS($AO$1006:AW1006),$AO$1006:$BQ$1006,0))&gt;=100000), " ",IF(INDEX($AO$2:$BQ$1001,MATCH(ROWS($AH$2:AH778),$AH$2:$AH$1001,0),MATCH(COLUMNS($AO$1006:AW1006),$AO$1006:$BQ$1006,0)), HYPERLINK("#",""), HYPERLINK(CONCATENATE("#Metadata!", ADDRESS(INDEX($AJ$2:$AJ$1001,MATCH(ROWS($AH$2:AH778),$AH$2:$AH$1001,0),0), INDEX($AO$1004:$BQ$1004,1,MATCH(COLUMNS($AO$1006:AW1006),$AO$1006:$BQ$1006,0)))),"Fix")))</f>
        <v>#N/A</v>
      </c>
      <c r="K778" s="5" t="e">
        <f ca="1">IF(OR(INDEX($AI$2:$AI$1001,MATCH(ROWS($AH$2:AH778),$AH$2:$AH$1001,0),1)&gt;=100000,INDEX($AO$1005:$BQ$1005,1,MATCH(COLUMNS($AO$1006:AX1006),$AO$1006:$BQ$1006,0))&gt;=100000), " ",IF(INDEX($AO$2:$BQ$1001,MATCH(ROWS($AH$2:AH778),$AH$2:$AH$1001,0),MATCH(COLUMNS($AO$1006:AX1006),$AO$1006:$BQ$1006,0)), HYPERLINK("#",""), HYPERLINK(CONCATENATE("#Metadata!", ADDRESS(INDEX($AJ$2:$AJ$1001,MATCH(ROWS($AH$2:AH778),$AH$2:$AH$1001,0),0), INDEX($AO$1004:$BQ$1004,1,MATCH(COLUMNS($AO$1006:AX1006),$AO$1006:$BQ$1006,0)))),"Fix")))</f>
        <v>#N/A</v>
      </c>
      <c r="L778" s="5" t="e">
        <f ca="1">IF(OR(INDEX($AI$2:$AI$1001,MATCH(ROWS($AH$2:AH778),$AH$2:$AH$1001,0),1)&gt;=100000,INDEX($AO$1005:$BQ$1005,1,MATCH(COLUMNS($AO$1006:AY1006),$AO$1006:$BQ$1006,0))&gt;=100000), " ",IF(INDEX($AO$2:$BQ$1001,MATCH(ROWS($AH$2:AH778),$AH$2:$AH$1001,0),MATCH(COLUMNS($AO$1006:AY1006),$AO$1006:$BQ$1006,0)), HYPERLINK("#",""), HYPERLINK(CONCATENATE("#Metadata!", ADDRESS(INDEX($AJ$2:$AJ$1001,MATCH(ROWS($AH$2:AH778),$AH$2:$AH$1001,0),0), INDEX($AO$1004:$BQ$1004,1,MATCH(COLUMNS($AO$1006:AY1006),$AO$1006:$BQ$1006,0)))),"Fix")))</f>
        <v>#N/A</v>
      </c>
      <c r="M778" s="5" t="e">
        <f ca="1">IF(OR(INDEX($AI$2:$AI$1001,MATCH(ROWS($AH$2:AH778),$AH$2:$AH$1001,0),1)&gt;=100000,INDEX($AO$1005:$BQ$1005,1,MATCH(COLUMNS($AO$1006:AZ1006),$AO$1006:$BQ$1006,0))&gt;=100000), " ",IF(INDEX($AO$2:$BQ$1001,MATCH(ROWS($AH$2:AH778),$AH$2:$AH$1001,0),MATCH(COLUMNS($AO$1006:AZ1006),$AO$1006:$BQ$1006,0)), HYPERLINK("#",""), HYPERLINK(CONCATENATE("#Metadata!", ADDRESS(INDEX($AJ$2:$AJ$1001,MATCH(ROWS($AH$2:AH778),$AH$2:$AH$1001,0),0), INDEX($AO$1004:$BQ$1004,1,MATCH(COLUMNS($AO$1006:AZ1006),$AO$1006:$BQ$1006,0)))),"Fix")))</f>
        <v>#N/A</v>
      </c>
      <c r="N778" s="5" t="e">
        <f ca="1">IF(OR(INDEX($AI$2:$AI$1001,MATCH(ROWS($AH$2:AH778),$AH$2:$AH$1001,0),1)&gt;=100000,INDEX($AO$1005:$BQ$1005,1,MATCH(COLUMNS($AO$1006:BA1006),$AO$1006:$BQ$1006,0))&gt;=100000), " ",IF(INDEX($AO$2:$BQ$1001,MATCH(ROWS($AH$2:AH778),$AH$2:$AH$1001,0),MATCH(COLUMNS($AO$1006:BA1006),$AO$1006:$BQ$1006,0)), HYPERLINK("#",""), HYPERLINK(CONCATENATE("#Metadata!", ADDRESS(INDEX($AJ$2:$AJ$1001,MATCH(ROWS($AH$2:AH778),$AH$2:$AH$1001,0),0), INDEX($AO$1004:$BQ$1004,1,MATCH(COLUMNS($AO$1006:BA1006),$AO$1006:$BQ$1006,0)))),"Fix")))</f>
        <v>#N/A</v>
      </c>
      <c r="O778" s="5" t="e">
        <f ca="1">IF(OR(INDEX($AI$2:$AI$1001,MATCH(ROWS($AH$2:AH778),$AH$2:$AH$1001,0),1)&gt;=100000,INDEX($AO$1005:$BQ$1005,1,MATCH(COLUMNS($AO$1006:BB1006),$AO$1006:$BQ$1006,0))&gt;=100000), " ",IF(INDEX($AO$2:$BQ$1001,MATCH(ROWS($AH$2:AH778),$AH$2:$AH$1001,0),MATCH(COLUMNS($AO$1006:BB1006),$AO$1006:$BQ$1006,0)), HYPERLINK("#",""), HYPERLINK(CONCATENATE("#Metadata!", ADDRESS(INDEX($AJ$2:$AJ$1001,MATCH(ROWS($AH$2:AH778),$AH$2:$AH$1001,0),0), INDEX($AO$1004:$BQ$1004,1,MATCH(COLUMNS($AO$1006:BB1006),$AO$1006:$BQ$1006,0)))),"Fix")))</f>
        <v>#N/A</v>
      </c>
      <c r="P778" s="5" t="e">
        <f ca="1">IF(OR(INDEX($AI$2:$AI$1001,MATCH(ROWS($AH$2:AH778),$AH$2:$AH$1001,0),1)&gt;=100000,INDEX($AO$1005:$BQ$1005,1,MATCH(COLUMNS($AO$1006:BC1006),$AO$1006:$BQ$1006,0))&gt;=100000), " ",IF(INDEX($AO$2:$BQ$1001,MATCH(ROWS($AH$2:AH778),$AH$2:$AH$1001,0),MATCH(COLUMNS($AO$1006:BC1006),$AO$1006:$BQ$1006,0)), HYPERLINK("#",""), HYPERLINK(CONCATENATE("#Metadata!", ADDRESS(INDEX($AJ$2:$AJ$1001,MATCH(ROWS($AH$2:AH778),$AH$2:$AH$1001,0),0), INDEX($AO$1004:$BQ$1004,1,MATCH(COLUMNS($AO$1006:BC1006),$AO$1006:$BQ$1006,0)))),"Fix")))</f>
        <v>#N/A</v>
      </c>
      <c r="Q778" s="5" t="e">
        <f ca="1">IF(OR(INDEX($AI$2:$AI$1001,MATCH(ROWS($AH$2:AH778),$AH$2:$AH$1001,0),1)&gt;=100000,INDEX($AO$1005:$BQ$1005,1,MATCH(COLUMNS($AO$1006:BD1006),$AO$1006:$BQ$1006,0))&gt;=100000), " ",IF(INDEX($AO$2:$BQ$1001,MATCH(ROWS($AH$2:AH778),$AH$2:$AH$1001,0),MATCH(COLUMNS($AO$1006:BD1006),$AO$1006:$BQ$1006,0)), HYPERLINK("#",""), HYPERLINK(CONCATENATE("#Metadata!", ADDRESS(INDEX($AJ$2:$AJ$1001,MATCH(ROWS($AH$2:AH778),$AH$2:$AH$1001,0),0), INDEX($AO$1004:$BQ$1004,1,MATCH(COLUMNS($AO$1006:BD1006),$AO$1006:$BQ$1006,0)))),"Fix")))</f>
        <v>#N/A</v>
      </c>
      <c r="R778" s="5" t="e">
        <f ca="1">IF(OR(INDEX($AI$2:$AI$1001,MATCH(ROWS($AH$2:AH778),$AH$2:$AH$1001,0),1)&gt;=100000,INDEX($AO$1005:$BQ$1005,1,MATCH(COLUMNS($AO$1006:BE1006),$AO$1006:$BQ$1006,0))&gt;=100000), " ",IF(INDEX($AO$2:$BQ$1001,MATCH(ROWS($AH$2:AH778),$AH$2:$AH$1001,0),MATCH(COLUMNS($AO$1006:BE1006),$AO$1006:$BQ$1006,0)), HYPERLINK("#",""), HYPERLINK(CONCATENATE("#Metadata!", ADDRESS(INDEX($AJ$2:$AJ$1001,MATCH(ROWS($AH$2:AH778),$AH$2:$AH$1001,0),0), INDEX($AO$1004:$BQ$1004,1,MATCH(COLUMNS($AO$1006:BE1006),$AO$1006:$BQ$1006,0)))),"Fix")))</f>
        <v>#N/A</v>
      </c>
      <c r="S778" s="5" t="e">
        <f ca="1">IF(OR(INDEX($AI$2:$AI$1001,MATCH(ROWS($AH$2:AH778),$AH$2:$AH$1001,0),1)&gt;=100000,INDEX($AO$1005:$BQ$1005,1,MATCH(COLUMNS($AO$1006:BF1006),$AO$1006:$BQ$1006,0))&gt;=100000), " ",IF(INDEX($AO$2:$BQ$1001,MATCH(ROWS($AH$2:AH778),$AH$2:$AH$1001,0),MATCH(COLUMNS($AO$1006:BF1006),$AO$1006:$BQ$1006,0)), HYPERLINK("#",""), HYPERLINK(CONCATENATE("#Metadata!", ADDRESS(INDEX($AJ$2:$AJ$1001,MATCH(ROWS($AH$2:AH778),$AH$2:$AH$1001,0),0), INDEX($AO$1004:$BQ$1004,1,MATCH(COLUMNS($AO$1006:BF1006),$AO$1006:$BQ$1006,0)))),"Fix")))</f>
        <v>#N/A</v>
      </c>
      <c r="T778" s="5" t="e">
        <f ca="1">IF(OR(INDEX($AI$2:$AI$1001,MATCH(ROWS($AH$2:AH778),$AH$2:$AH$1001,0),1)&gt;=100000,INDEX($AO$1005:$BQ$1005,1,MATCH(COLUMNS($AO$1006:BG1006),$AO$1006:$BQ$1006,0))&gt;=100000), " ",IF(INDEX($AO$2:$BQ$1001,MATCH(ROWS($AH$2:AH778),$AH$2:$AH$1001,0),MATCH(COLUMNS($AO$1006:BG1006),$AO$1006:$BQ$1006,0)), HYPERLINK("#",""), HYPERLINK(CONCATENATE("#Metadata!", ADDRESS(INDEX($AJ$2:$AJ$1001,MATCH(ROWS($AH$2:AH778),$AH$2:$AH$1001,0),0), INDEX($AO$1004:$BQ$1004,1,MATCH(COLUMNS($AO$1006:BG1006),$AO$1006:$BQ$1006,0)))),"Fix")))</f>
        <v>#N/A</v>
      </c>
      <c r="U778" s="5" t="e">
        <f ca="1">IF(OR(INDEX($AI$2:$AI$1001,MATCH(ROWS($AH$2:AH778),$AH$2:$AH$1001,0),1)&gt;=100000,INDEX($AO$1005:$BQ$1005,1,MATCH(COLUMNS($AO$1006:BH1006),$AO$1006:$BQ$1006,0))&gt;=100000), " ",IF(INDEX($AO$2:$BQ$1001,MATCH(ROWS($AH$2:AH778),$AH$2:$AH$1001,0),MATCH(COLUMNS($AO$1006:BH1006),$AO$1006:$BQ$1006,0)), HYPERLINK("#",""), HYPERLINK(CONCATENATE("#Metadata!", ADDRESS(INDEX($AJ$2:$AJ$1001,MATCH(ROWS($AH$2:AH778),$AH$2:$AH$1001,0),0), INDEX($AO$1004:$BQ$1004,1,MATCH(COLUMNS($AO$1006:BH1006),$AO$1006:$BQ$1006,0)))),"Fix")))</f>
        <v>#N/A</v>
      </c>
      <c r="V778" s="5" t="e">
        <f ca="1">IF(OR(INDEX($AI$2:$AI$1001,MATCH(ROWS($AH$2:AH778),$AH$2:$AH$1001,0),1)&gt;=100000,INDEX($AO$1005:$BQ$1005,1,MATCH(COLUMNS($AO$1006:BI1006),$AO$1006:$BQ$1006,0))&gt;=100000), " ",IF(INDEX($AO$2:$BQ$1001,MATCH(ROWS($AH$2:AH778),$AH$2:$AH$1001,0),MATCH(COLUMNS($AO$1006:BI1006),$AO$1006:$BQ$1006,0)), HYPERLINK("#",""), HYPERLINK(CONCATENATE("#Metadata!", ADDRESS(INDEX($AJ$2:$AJ$1001,MATCH(ROWS($AH$2:AH778),$AH$2:$AH$1001,0),0), INDEX($AO$1004:$BQ$1004,1,MATCH(COLUMNS($AO$1006:BI1006),$AO$1006:$BQ$1006,0)))),"Fix")))</f>
        <v>#N/A</v>
      </c>
      <c r="W778" s="5" t="e">
        <f ca="1">IF(OR(INDEX($AI$2:$AI$1001,MATCH(ROWS($AH$2:AH778),$AH$2:$AH$1001,0),1)&gt;=100000,INDEX($AO$1005:$BQ$1005,1,MATCH(COLUMNS($AO$1006:BJ1006),$AO$1006:$BQ$1006,0))&gt;=100000), " ",IF(INDEX($AO$2:$BQ$1001,MATCH(ROWS($AH$2:AH778),$AH$2:$AH$1001,0),MATCH(COLUMNS($AO$1006:BJ1006),$AO$1006:$BQ$1006,0)), HYPERLINK("#",""), HYPERLINK(CONCATENATE("#Metadata!", ADDRESS(INDEX($AJ$2:$AJ$1001,MATCH(ROWS($AH$2:AH778),$AH$2:$AH$1001,0),0), INDEX($AO$1004:$BQ$1004,1,MATCH(COLUMNS($AO$1006:BJ1006),$AO$1006:$BQ$1006,0)))),"Fix")))</f>
        <v>#N/A</v>
      </c>
      <c r="X778" s="5" t="e">
        <f ca="1">IF(OR(INDEX($AI$2:$AI$1001,MATCH(ROWS($AH$2:AH778),$AH$2:$AH$1001,0),1)&gt;=100000,INDEX($AO$1005:$BQ$1005,1,MATCH(COLUMNS($AO$1006:BK1006),$AO$1006:$BQ$1006,0))&gt;=100000), " ",IF(INDEX($AO$2:$BQ$1001,MATCH(ROWS($AH$2:AH778),$AH$2:$AH$1001,0),MATCH(COLUMNS($AO$1006:BK1006),$AO$1006:$BQ$1006,0)), HYPERLINK("#",""), HYPERLINK(CONCATENATE("#Metadata!", ADDRESS(INDEX($AJ$2:$AJ$1001,MATCH(ROWS($AH$2:AH778),$AH$2:$AH$1001,0),0), INDEX($AO$1004:$BQ$1004,1,MATCH(COLUMNS($AO$1006:BK1006),$AO$1006:$BQ$1006,0)))),"Fix")))</f>
        <v>#N/A</v>
      </c>
      <c r="Y778" s="5" t="e">
        <f ca="1">IF(OR(INDEX($AI$2:$AI$1001,MATCH(ROWS($AH$2:AH778),$AH$2:$AH$1001,0),1)&gt;=100000,INDEX($AO$1005:$BQ$1005,1,MATCH(COLUMNS($AO$1006:BL1006),$AO$1006:$BQ$1006,0))&gt;=100000), " ",IF(INDEX($AO$2:$BQ$1001,MATCH(ROWS($AH$2:AH778),$AH$2:$AH$1001,0),MATCH(COLUMNS($AO$1006:BL1006),$AO$1006:$BQ$1006,0)), HYPERLINK("#",""), HYPERLINK(CONCATENATE("#Metadata!", ADDRESS(INDEX($AJ$2:$AJ$1001,MATCH(ROWS($AH$2:AH778),$AH$2:$AH$1001,0),0), INDEX($AO$1004:$BQ$1004,1,MATCH(COLUMNS($AO$1006:BL1006),$AO$1006:$BQ$1006,0)))),"Fix")))</f>
        <v>#N/A</v>
      </c>
      <c r="Z778" s="5" t="e">
        <f ca="1">IF(OR(INDEX($AI$2:$AI$1001,MATCH(ROWS($AH$2:AH778),$AH$2:$AH$1001,0),1)&gt;=100000,INDEX($AO$1005:$BQ$1005,1,MATCH(COLUMNS($AO$1006:BM1006),$AO$1006:$BQ$1006,0))&gt;=100000), " ",IF(INDEX($AO$2:$BQ$1001,MATCH(ROWS($AH$2:AH778),$AH$2:$AH$1001,0),MATCH(COLUMNS($AO$1006:BM1006),$AO$1006:$BQ$1006,0)), HYPERLINK("#",""), HYPERLINK(CONCATENATE("#Metadata!", ADDRESS(INDEX($AJ$2:$AJ$1001,MATCH(ROWS($AH$2:AH778),$AH$2:$AH$1001,0),0), INDEX($AO$1004:$BQ$1004,1,MATCH(COLUMNS($AO$1006:BM1006),$AO$1006:$BQ$1006,0)))),"Fix")))</f>
        <v>#N/A</v>
      </c>
      <c r="AA778" s="5" t="e">
        <f ca="1">IF(OR(INDEX($AI$2:$AI$1001,MATCH(ROWS($AH$2:AH778),$AH$2:$AH$1001,0),1)&gt;=100000,INDEX($AO$1005:$BQ$1005,1,MATCH(COLUMNS($AO$1006:BN1006),$AO$1006:$BQ$1006,0))&gt;=100000), " ",IF(INDEX($AO$2:$BQ$1001,MATCH(ROWS($AH$2:AH778),$AH$2:$AH$1001,0),MATCH(COLUMNS($AO$1006:BN1006),$AO$1006:$BQ$1006,0)), HYPERLINK("#",""), HYPERLINK(CONCATENATE("#Metadata!", ADDRESS(INDEX($AJ$2:$AJ$1001,MATCH(ROWS($AH$2:AH778),$AH$2:$AH$1001,0),0), INDEX($AO$1004:$BQ$1004,1,MATCH(COLUMNS($AO$1006:BN1006),$AO$1006:$BQ$1006,0)))),"Fix")))</f>
        <v>#N/A</v>
      </c>
      <c r="AB778" s="5" t="e">
        <f ca="1">IF(OR(INDEX($AI$2:$AI$1001,MATCH(ROWS($AH$2:AH778),$AH$2:$AH$1001,0),1)&gt;=100000,INDEX($AO$1005:$BQ$1005,1,MATCH(COLUMNS($AO$1006:BO1006),$AO$1006:$BQ$1006,0))&gt;=100000), " ",IF(INDEX($AO$2:$BQ$1001,MATCH(ROWS($AH$2:AH778),$AH$2:$AH$1001,0),MATCH(COLUMNS($AO$1006:BO1006),$AO$1006:$BQ$1006,0)), HYPERLINK("#",""), HYPERLINK(CONCATENATE("#Metadata!", ADDRESS(INDEX($AJ$2:$AJ$1001,MATCH(ROWS($AH$2:AH778),$AH$2:$AH$1001,0),0), INDEX($AO$1004:$BQ$1004,1,MATCH(COLUMNS($AO$1006:BO1006),$AO$1006:$BQ$1006,0)))),"Fix")))</f>
        <v>#N/A</v>
      </c>
      <c r="AC778" s="5" t="e">
        <f ca="1">IF(OR(INDEX($AI$2:$AI$1001,MATCH(ROWS($AH$2:AH778),$AH$2:$AH$1001,0),1)&gt;=100000,INDEX($AO$1005:$BQ$1005,1,MATCH(COLUMNS($AO$1006:BP1006),$AO$1006:$BQ$1006,0))&gt;=100000), " ",IF(INDEX($AO$2:$BQ$1001,MATCH(ROWS($AH$2:AH778),$AH$2:$AH$1001,0),MATCH(COLUMNS($AO$1006:BP1006),$AO$1006:$BQ$1006,0)), HYPERLINK("#",""), HYPERLINK(CONCATENATE("#Metadata!", ADDRESS(INDEX($AJ$2:$AJ$1001,MATCH(ROWS($AH$2:AH778),$AH$2:$AH$1001,0),0), INDEX($AO$1004:$BQ$1004,1,MATCH(COLUMNS($AO$1006:BP1006),$AO$1006:$BQ$1006,0)))),"Fix")))</f>
        <v>#N/A</v>
      </c>
      <c r="AD778" s="5" t="e">
        <f ca="1">IF(OR(INDEX($AI$2:$AI$1001,MATCH(ROWS($AH$2:AH778),$AH$2:$AH$1001,0),1)&gt;=100000,INDEX($AO$1005:$BQ$1005,1,MATCH(COLUMNS($AO$1006:BQ1006),$AO$1006:$BQ$1006,0))&gt;=100000), " ",IF(INDEX($AO$2:$BQ$1001,MATCH(ROWS($AH$2:AH778),$AH$2:$AH$1001,0),MATCH(COLUMNS($AO$1006:BQ1006),$AO$1006:$BQ$1006,0)), HYPERLINK("#",""), HYPERLINK(CONCATENATE("#Metadata!", ADDRESS(INDEX($AJ$2:$AJ$1001,MATCH(ROWS($AH$2:AH778),$AH$2:$AH$1001,0),0), INDEX($AO$1004:$BQ$1004,1,MATCH(COLUMNS($AO$1006:BQ1006),$AO$1006:$BQ$1006,0)))),"Fix")))</f>
        <v>#REF!</v>
      </c>
      <c r="AH778">
        <f ca="1"/>
        <v>775</v>
      </c>
      <c r="AI778">
        <v>100778</v>
      </c>
      <c r="AJ778">
        <v>778</v>
      </c>
      <c r="AK778" t="b">
        <f t="shared" si="12"/>
        <v>1</v>
      </c>
      <c r="AL778" t="b">
        <f>COUNTBLANK(Metadata!B778:AD778)=COLUMNS(Metadata!B778:AD778)</f>
        <v>1</v>
      </c>
      <c r="AM778" t="str">
        <v/>
      </c>
      <c r="AO778" t="b">
        <f ca="1">AND(IF(Metadata!B778="",FALSE,TRUE),COUNTIF(Metadata!B:B, Metadata!B778) = 1,NOT(ISERROR(SUMPRODUCT(SEARCH(MID(Metadata!B778,ROW(INDIRECT("1:"&amp;LEN(Metadata!B778))), 1),"0123456789abcdefghijklmnopqrstuvwxyzABCDEFGHIJKLMNOPQRSTUVWXYZ.")))))</f>
        <v>0</v>
      </c>
      <c r="AP778" t="b">
        <f>IF(Metadata!C778="",FALSE,TRUE)</f>
        <v>0</v>
      </c>
      <c r="AQ778" t="b">
        <f>IF(Metadata!D778="",FALSE,TRUE)</f>
        <v>0</v>
      </c>
      <c r="AR778" t="b">
        <f ca="1">OR(AND(IF(Metadata!E778="",FALSE,TRUE),OR(EXACT(Metadata!E778,"not collected"),EXACT(Metadata!E778,"not provided"),EXACT(Metadata!E778,"restricted access"))),AND(IF(Metadata!E778="",FALSE,TRUE),AND(AND(IFERROR(INT(LEFT(Metadata!E778,4))&gt;1900,FALSE),IFERROR(INT(LEFT(Metadata!E778,4))&lt;=YEAR(NOW()),FALSE)), OR(MID(Metadata!E778,5,1)="", AND(AND(MID(Metadata!E778,5,1)="-",IFERROR(INT(MID(Metadata!E778,6,1))&gt;=0,FALSE),IFERROR(INT(MID(Metadata!E778,6,1))&lt;=1,FALSE),NOT(MID(Metadata!E778,7,1)=""),IFERROR(INT(MID(Metadata!E778,6,2))&gt;=1,FALSE),IFERROR(INT(MID(Metadata!E778,6,2))&lt;=12,FALSE)), OR(MID(Metadata!E778,8,1)="", AND(AND(MID(Metadata!E778,8,1)="-",IFERROR(INT(MID(Metadata!E778,9,1))&gt;=0,FALSE),IFERROR(INT(MID(Metadata!E778,9,1))&lt;=3,FALSE),NOT(MID(Metadata!E778,10,1)=""),IFERROR(INT(MID(Metadata!E778,9,2))&gt;=1,FALSE),IFERROR(INT(MID(Metadata!E778,9,2))&lt;=31,FALSE)), OR(MID(Metadata!E778,11,1)="", AND(AND(MID(Metadata!E778,11,1)=" ",IFERROR(INT(MID(Metadata!E778,12,1))&gt;=0,FALSE),IFERROR(INT(MID(Metadata!E778,12,1))&lt;=2,FALSE),NOT(MID(Metadata!E778,13,1)=""),IFERROR(INT(MID(Metadata!E778,12,2))&gt;=0,FALSE),IFERROR(INT(MID(Metadata!E778,12,2))&lt;=23,FALSE)), OR(MID(Metadata!E778,14,1)="", AND(AND(MID(Metadata!E778,14,1)=":",IFERROR(INT(MID(Metadata!E778,15,1))&gt;=0,FALSE),IFERROR(INT(MID(Metadata!E778,15,1))&lt;=5,FALSE),NOT(MID(Metadata!E778,16,1)=""),IFERROR(INT(MID(Metadata!E778,15,2))&gt;=0,FALSE),IFERROR(INT(MID(Metadata!E778,15,2))&lt;=59,FALSE)), OR(MID(Metadata!E778,17,1)="", AND(AND(MID(Metadata!E778,17,1)=":",IFERROR(INT(MID(Metadata!E778,18,1))&gt;=0,FALSE),IFERROR(INT(MID(Metadata!E778,18,1))&lt;=5,FALSE),NOT(MID(Metadata!E778,19,1)=""),IFERROR(INT(MID(Metadata!E778,18,2))&gt;=0,FALSE),IFERROR(INT(MID(Metadata!E778,18,2))&lt;=59,FALSE)), LEN(Metadata!E778)&lt;=19)))))))))))))</f>
        <v>0</v>
      </c>
      <c r="AS778" t="b">
        <f>IF(Metadata!F778="",FALSE,TRUE)</f>
        <v>0</v>
      </c>
      <c r="AT778" t="b">
        <f>OR(AND(IF(Metadata!G778="",FALSE,TRUE),OR(EXACT(Metadata!G778,"not collected"),EXACT(Metadata!G778,"not provided"))),AND(IF(Metadata!G778="",FALSE,TRUE),OR(EXACT(Metadata!G778,"TRUE"),EXACT(Metadata!G778,"FALSE"))))</f>
        <v>0</v>
      </c>
      <c r="AU778" t="b">
        <f>OR(AND(IF(Metadata!H778="",FALSE,TRUE),OR(EXACT(Metadata!H778,"not collected"),EXACT(Metadata!H778,"not provided"),EXACT(Metadata!H778,"restricted access"))),AND(IF(Metadata!H778="",FALSE,ISNUMBER(VALUE(Metadata!H778))),Metadata!H778&gt;=-413))</f>
        <v>0</v>
      </c>
      <c r="AV778" t="b">
        <f>AND(IF(Metadata!I778="",FALSE,TRUE),EXACT(Metadata!I778,"meters"))</f>
        <v>0</v>
      </c>
      <c r="AW778" t="b">
        <f>AND(IF(Metadata!J778="",FALSE,TRUE),EXACT(Metadata!J778,"free-living"))</f>
        <v>0</v>
      </c>
      <c r="AX778" t="b">
        <f>AND(IF(Metadata!K778="",FALSE,TRUE),OR(EXACT(Metadata!K778,"saline"),EXACT(Metadata!K778,"non-saline")))</f>
        <v>0</v>
      </c>
      <c r="AY778" t="b">
        <f>AND(IF(Metadata!L778="",FALSE,TRUE),OR(EXACT(Metadata!L778,"sub-surface (non-saline)"),EXACT(Metadata!L778,"surface (non-saline)"),EXACT(Metadata!L778,"water (non-saline)"),EXACT(Metadata!L778,"soil (non-saline)"),EXACT(Metadata!L778,"aerosol (non-saline)"),EXACT(Metadata!L778,"sediment (non-saline)"),EXACT(Metadata!L778,"surface (saline)"),EXACT(Metadata!L778,"water (saline)"),EXACT(Metadata!L778,"hypersaline (saline)"),EXACT(Metadata!L778,"aerosol (saline)"),EXACT(Metadata!L778,"sediment (saline)")))</f>
        <v>0</v>
      </c>
      <c r="AZ778" t="b">
        <f>IF(Metadata!M778="",FALSE,TRUE)</f>
        <v>0</v>
      </c>
      <c r="BA778" t="b">
        <f>IF(Metadata!N778="",FALSE,TRUE)</f>
        <v>0</v>
      </c>
      <c r="BB778" t="b">
        <f>IF(Metadata!O778="",FALSE,TRUE)</f>
        <v>0</v>
      </c>
      <c r="BC778" t="b">
        <f>AND(IF(Metadata!P778="",FALSE,TRUE),OR(EXACT(Metadata!P778,"air"),EXACT(Metadata!P778,"microbial mat/biofilm"),EXACT(Metadata!P778,"misc environment"),EXACT(Metadata!P778,"sediment"),EXACT(Metadata!P778,"soil"),EXACT(Metadata!P778,"wastewater/sludge"),EXACT(Metadata!P778,"water")))</f>
        <v>0</v>
      </c>
      <c r="BD778" t="b">
        <f>IF(Metadata!Q778="",FALSE,TRUE)</f>
        <v>0</v>
      </c>
      <c r="BE778" t="b">
        <f>IF(Metadata!R778="",FALSE,TRUE)</f>
        <v>0</v>
      </c>
      <c r="BF778" t="b">
        <f>OR(AND(IF(Metadata!S778="",FALSE,TRUE),OR(EXACT(Metadata!S778,"not collected"),EXACT(Metadata!S778,"not provided"),EXACT(Metadata!S778,"restricted access"))),AND(IF(Metadata!S778="",FALSE,ISNUMBER(VALUE(Metadata!S778))),Metadata!S778&gt;=-90,Metadata!S778&lt;=90))</f>
        <v>0</v>
      </c>
      <c r="BG778" t="b">
        <f>AND(IF(Metadata!T778="",FALSE,TRUE),EXACT(Metadata!T778,"Decimal degrees"))</f>
        <v>0</v>
      </c>
      <c r="BH778" t="b">
        <f>OR(AND(IF(Metadata!U778="",FALSE,TRUE),OR(EXACT(Metadata!U778,"not applicable"),EXACT(Metadata!U778,"not collected"))),IF(Metadata!U778="",FALSE,TRUE))</f>
        <v>0</v>
      </c>
      <c r="BI778" t="b">
        <f>OR(AND(IF(Metadata!V778="",FALSE,TRUE),OR(EXACT(Metadata!V778,"not collected"),EXACT(Metadata!V778,"not provided"),EXACT(Metadata!V778,"restricted access"))),AND(IF(Metadata!V778="",FALSE,ISNUMBER(VALUE(Metadata!V778))),Metadata!V778&gt;=-180,Metadata!V778&lt;=180))</f>
        <v>0</v>
      </c>
      <c r="BJ778" t="b">
        <f>AND(IF(Metadata!W778="",FALSE,TRUE),EXACT(Metadata!W778,"Decimal degrees"))</f>
        <v>0</v>
      </c>
      <c r="BK778" t="b">
        <f>IF(Metadata!X778="",FALSE,TRUE)</f>
        <v>0</v>
      </c>
      <c r="BL778" t="b">
        <f>OR(AND(IF(Metadata!Y778="",FALSE,TRUE),OR(EXACT(Metadata!Y778,"not collected"),EXACT(Metadata!Y778,"not provided"),EXACT(Metadata!Y778,"restricted access"))),AND(IF(Metadata!Y778="",FALSE,TRUE),OR(EXACT(Metadata!Y778,"TRUE"),EXACT(Metadata!Y778,"FALSE"))))</f>
        <v>0</v>
      </c>
      <c r="BM778" t="b">
        <f>OR(AND(IF(Metadata!Z778="",FALSE,TRUE),EXACT(Metadata!Z778,"not applicable")),AND(IF(Metadata!Z778="",FALSE,TRUE),OR(EXACT(Metadata!Z778,"beer"),EXACT(Metadata!Z778,"cheese"),EXACT(Metadata!Z778,"fresh water"),EXACT(Metadata!Z778,"marine sediment"),EXACT(Metadata!Z778,"sea water"),EXACT(Metadata!Z778,"sediment"),EXACT(Metadata!Z778,"soil"),EXACT(Metadata!Z778,"waste water"))))</f>
        <v>0</v>
      </c>
      <c r="BN778" t="b">
        <f>AND(IF(Metadata!AA778="",FALSE,TRUE),EXACT(Metadata!AA778,"metagenome"))</f>
        <v>0</v>
      </c>
      <c r="BO778" t="b">
        <f>AND(IF(Metadata!AB778="",FALSE,TRUE),EXACT(Metadata!AB778,"256318"))</f>
        <v>0</v>
      </c>
      <c r="BP778" t="b">
        <f>IF(Metadata!AC778="",FALSE,TRUE)</f>
        <v>0</v>
      </c>
      <c r="BQ778" t="b">
        <f>IF(Metadata!AD778="",FALSE,TRUE)</f>
        <v>0</v>
      </c>
    </row>
    <row r="779" spans="1:69" x14ac:dyDescent="0.2">
      <c r="A779" s="4" t="e">
        <f ca="1">IF(B779=" "," ",HYPERLINK(CONCATENATE("#metadata!",ADDRESS(INDEX($AJ$2:$AJ$1001,MATCH(ROWS($AH$2:AH779),$AH$2:$AH$1001,0),0),2)),INDEX($AM$2:$AM$1001,MATCH(ROWS($AH$2:AH779),$AH$2:$AH$1001,0),0)))</f>
        <v>#N/A</v>
      </c>
      <c r="B779" s="5" t="e">
        <f ca="1">IF(OR(INDEX($AI$2:$AI$1001,MATCH(ROWS($AH$2:AH779),$AH$2:$AH$1001,0),1)&gt;=100000,INDEX($AO$1005:$BQ$1005,1,MATCH(COLUMNS($AO$1006:AO1006),$AO$1006:$BQ$1006,0))&gt;=100000), " ",IF(INDEX($AO$2:$BQ$1001,MATCH(ROWS($AH$2:AH779),$AH$2:$AH$1001,0),MATCH(COLUMNS($AO$1006:AO1006),$AO$1006:$BQ$1006,0)), HYPERLINK("#",""), HYPERLINK(CONCATENATE("#Metadata!", ADDRESS(INDEX($AJ$2:$AJ$1001,MATCH(ROWS($AH$2:AH779),$AH$2:$AH$1001,0),0), INDEX($AO$1004:$BQ$1004,1,MATCH(COLUMNS($AO$1006:AO1006),$AO$1006:$BQ$1006,0)))),"Fix")))</f>
        <v>#N/A</v>
      </c>
      <c r="C779" s="5" t="e">
        <f ca="1">IF(OR(INDEX($AI$2:$AI$1001,MATCH(ROWS($AH$2:AH779),$AH$2:$AH$1001,0),1)&gt;=100000,INDEX($AO$1005:$BQ$1005,1,MATCH(COLUMNS($AO$1006:AP1006),$AO$1006:$BQ$1006,0))&gt;=100000), " ",IF(INDEX($AO$2:$BQ$1001,MATCH(ROWS($AH$2:AH779),$AH$2:$AH$1001,0),MATCH(COLUMNS($AO$1006:AP1006),$AO$1006:$BQ$1006,0)), HYPERLINK("#",""), HYPERLINK(CONCATENATE("#Metadata!", ADDRESS(INDEX($AJ$2:$AJ$1001,MATCH(ROWS($AH$2:AH779),$AH$2:$AH$1001,0),0), INDEX($AO$1004:$BQ$1004,1,MATCH(COLUMNS($AO$1006:AP1006),$AO$1006:$BQ$1006,0)))),"Fix")))</f>
        <v>#N/A</v>
      </c>
      <c r="D779" s="5" t="e">
        <f ca="1">IF(OR(INDEX($AI$2:$AI$1001,MATCH(ROWS($AH$2:AH779),$AH$2:$AH$1001,0),1)&gt;=100000,INDEX($AO$1005:$BQ$1005,1,MATCH(COLUMNS($AO$1006:AQ1006),$AO$1006:$BQ$1006,0))&gt;=100000), " ",IF(INDEX($AO$2:$BQ$1001,MATCH(ROWS($AH$2:AH779),$AH$2:$AH$1001,0),MATCH(COLUMNS($AO$1006:AQ1006),$AO$1006:$BQ$1006,0)), HYPERLINK("#",""), HYPERLINK(CONCATENATE("#Metadata!", ADDRESS(INDEX($AJ$2:$AJ$1001,MATCH(ROWS($AH$2:AH779),$AH$2:$AH$1001,0),0), INDEX($AO$1004:$BQ$1004,1,MATCH(COLUMNS($AO$1006:AQ1006),$AO$1006:$BQ$1006,0)))),"Fix")))</f>
        <v>#N/A</v>
      </c>
      <c r="E779" s="5" t="e">
        <f ca="1">IF(OR(INDEX($AI$2:$AI$1001,MATCH(ROWS($AH$2:AH779),$AH$2:$AH$1001,0),1)&gt;=100000,INDEX($AO$1005:$BQ$1005,1,MATCH(COLUMNS($AO$1006:AR1006),$AO$1006:$BQ$1006,0))&gt;=100000), " ",IF(INDEX($AO$2:$BQ$1001,MATCH(ROWS($AH$2:AH779),$AH$2:$AH$1001,0),MATCH(COLUMNS($AO$1006:AR1006),$AO$1006:$BQ$1006,0)), HYPERLINK("#",""), HYPERLINK(CONCATENATE("#Metadata!", ADDRESS(INDEX($AJ$2:$AJ$1001,MATCH(ROWS($AH$2:AH779),$AH$2:$AH$1001,0),0), INDEX($AO$1004:$BQ$1004,1,MATCH(COLUMNS($AO$1006:AR1006),$AO$1006:$BQ$1006,0)))),"Fix")))</f>
        <v>#N/A</v>
      </c>
      <c r="F779" s="5" t="e">
        <f ca="1">IF(OR(INDEX($AI$2:$AI$1001,MATCH(ROWS($AH$2:AH779),$AH$2:$AH$1001,0),1)&gt;=100000,INDEX($AO$1005:$BQ$1005,1,MATCH(COLUMNS($AO$1006:AS1006),$AO$1006:$BQ$1006,0))&gt;=100000), " ",IF(INDEX($AO$2:$BQ$1001,MATCH(ROWS($AH$2:AH779),$AH$2:$AH$1001,0),MATCH(COLUMNS($AO$1006:AS1006),$AO$1006:$BQ$1006,0)), HYPERLINK("#",""), HYPERLINK(CONCATENATE("#Metadata!", ADDRESS(INDEX($AJ$2:$AJ$1001,MATCH(ROWS($AH$2:AH779),$AH$2:$AH$1001,0),0), INDEX($AO$1004:$BQ$1004,1,MATCH(COLUMNS($AO$1006:AS1006),$AO$1006:$BQ$1006,0)))),"Fix")))</f>
        <v>#N/A</v>
      </c>
      <c r="G779" s="5" t="e">
        <f ca="1">IF(OR(INDEX($AI$2:$AI$1001,MATCH(ROWS($AH$2:AH779),$AH$2:$AH$1001,0),1)&gt;=100000,INDEX($AO$1005:$BQ$1005,1,MATCH(COLUMNS($AO$1006:AT1006),$AO$1006:$BQ$1006,0))&gt;=100000), " ",IF(INDEX($AO$2:$BQ$1001,MATCH(ROWS($AH$2:AH779),$AH$2:$AH$1001,0),MATCH(COLUMNS($AO$1006:AT1006),$AO$1006:$BQ$1006,0)), HYPERLINK("#",""), HYPERLINK(CONCATENATE("#Metadata!", ADDRESS(INDEX($AJ$2:$AJ$1001,MATCH(ROWS($AH$2:AH779),$AH$2:$AH$1001,0),0), INDEX($AO$1004:$BQ$1004,1,MATCH(COLUMNS($AO$1006:AT1006),$AO$1006:$BQ$1006,0)))),"Fix")))</f>
        <v>#N/A</v>
      </c>
      <c r="H779" s="5" t="e">
        <f ca="1">IF(OR(INDEX($AI$2:$AI$1001,MATCH(ROWS($AH$2:AH779),$AH$2:$AH$1001,0),1)&gt;=100000,INDEX($AO$1005:$BQ$1005,1,MATCH(COLUMNS($AO$1006:AU1006),$AO$1006:$BQ$1006,0))&gt;=100000), " ",IF(INDEX($AO$2:$BQ$1001,MATCH(ROWS($AH$2:AH779),$AH$2:$AH$1001,0),MATCH(COLUMNS($AO$1006:AU1006),$AO$1006:$BQ$1006,0)), HYPERLINK("#",""), HYPERLINK(CONCATENATE("#Metadata!", ADDRESS(INDEX($AJ$2:$AJ$1001,MATCH(ROWS($AH$2:AH779),$AH$2:$AH$1001,0),0), INDEX($AO$1004:$BQ$1004,1,MATCH(COLUMNS($AO$1006:AU1006),$AO$1006:$BQ$1006,0)))),"Fix")))</f>
        <v>#N/A</v>
      </c>
      <c r="I779" s="5" t="e">
        <f ca="1">IF(OR(INDEX($AI$2:$AI$1001,MATCH(ROWS($AH$2:AH779),$AH$2:$AH$1001,0),1)&gt;=100000,INDEX($AO$1005:$BQ$1005,1,MATCH(COLUMNS($AO$1006:AV1006),$AO$1006:$BQ$1006,0))&gt;=100000), " ",IF(INDEX($AO$2:$BQ$1001,MATCH(ROWS($AH$2:AH779),$AH$2:$AH$1001,0),MATCH(COLUMNS($AO$1006:AV1006),$AO$1006:$BQ$1006,0)), HYPERLINK("#",""), HYPERLINK(CONCATENATE("#Metadata!", ADDRESS(INDEX($AJ$2:$AJ$1001,MATCH(ROWS($AH$2:AH779),$AH$2:$AH$1001,0),0), INDEX($AO$1004:$BQ$1004,1,MATCH(COLUMNS($AO$1006:AV1006),$AO$1006:$BQ$1006,0)))),"Fix")))</f>
        <v>#N/A</v>
      </c>
      <c r="J779" s="5" t="e">
        <f ca="1">IF(OR(INDEX($AI$2:$AI$1001,MATCH(ROWS($AH$2:AH779),$AH$2:$AH$1001,0),1)&gt;=100000,INDEX($AO$1005:$BQ$1005,1,MATCH(COLUMNS($AO$1006:AW1006),$AO$1006:$BQ$1006,0))&gt;=100000), " ",IF(INDEX($AO$2:$BQ$1001,MATCH(ROWS($AH$2:AH779),$AH$2:$AH$1001,0),MATCH(COLUMNS($AO$1006:AW1006),$AO$1006:$BQ$1006,0)), HYPERLINK("#",""), HYPERLINK(CONCATENATE("#Metadata!", ADDRESS(INDEX($AJ$2:$AJ$1001,MATCH(ROWS($AH$2:AH779),$AH$2:$AH$1001,0),0), INDEX($AO$1004:$BQ$1004,1,MATCH(COLUMNS($AO$1006:AW1006),$AO$1006:$BQ$1006,0)))),"Fix")))</f>
        <v>#N/A</v>
      </c>
      <c r="K779" s="5" t="e">
        <f ca="1">IF(OR(INDEX($AI$2:$AI$1001,MATCH(ROWS($AH$2:AH779),$AH$2:$AH$1001,0),1)&gt;=100000,INDEX($AO$1005:$BQ$1005,1,MATCH(COLUMNS($AO$1006:AX1006),$AO$1006:$BQ$1006,0))&gt;=100000), " ",IF(INDEX($AO$2:$BQ$1001,MATCH(ROWS($AH$2:AH779),$AH$2:$AH$1001,0),MATCH(COLUMNS($AO$1006:AX1006),$AO$1006:$BQ$1006,0)), HYPERLINK("#",""), HYPERLINK(CONCATENATE("#Metadata!", ADDRESS(INDEX($AJ$2:$AJ$1001,MATCH(ROWS($AH$2:AH779),$AH$2:$AH$1001,0),0), INDEX($AO$1004:$BQ$1004,1,MATCH(COLUMNS($AO$1006:AX1006),$AO$1006:$BQ$1006,0)))),"Fix")))</f>
        <v>#N/A</v>
      </c>
      <c r="L779" s="5" t="e">
        <f ca="1">IF(OR(INDEX($AI$2:$AI$1001,MATCH(ROWS($AH$2:AH779),$AH$2:$AH$1001,0),1)&gt;=100000,INDEX($AO$1005:$BQ$1005,1,MATCH(COLUMNS($AO$1006:AY1006),$AO$1006:$BQ$1006,0))&gt;=100000), " ",IF(INDEX($AO$2:$BQ$1001,MATCH(ROWS($AH$2:AH779),$AH$2:$AH$1001,0),MATCH(COLUMNS($AO$1006:AY1006),$AO$1006:$BQ$1006,0)), HYPERLINK("#",""), HYPERLINK(CONCATENATE("#Metadata!", ADDRESS(INDEX($AJ$2:$AJ$1001,MATCH(ROWS($AH$2:AH779),$AH$2:$AH$1001,0),0), INDEX($AO$1004:$BQ$1004,1,MATCH(COLUMNS($AO$1006:AY1006),$AO$1006:$BQ$1006,0)))),"Fix")))</f>
        <v>#N/A</v>
      </c>
      <c r="M779" s="5" t="e">
        <f ca="1">IF(OR(INDEX($AI$2:$AI$1001,MATCH(ROWS($AH$2:AH779),$AH$2:$AH$1001,0),1)&gt;=100000,INDEX($AO$1005:$BQ$1005,1,MATCH(COLUMNS($AO$1006:AZ1006),$AO$1006:$BQ$1006,0))&gt;=100000), " ",IF(INDEX($AO$2:$BQ$1001,MATCH(ROWS($AH$2:AH779),$AH$2:$AH$1001,0),MATCH(COLUMNS($AO$1006:AZ1006),$AO$1006:$BQ$1006,0)), HYPERLINK("#",""), HYPERLINK(CONCATENATE("#Metadata!", ADDRESS(INDEX($AJ$2:$AJ$1001,MATCH(ROWS($AH$2:AH779),$AH$2:$AH$1001,0),0), INDEX($AO$1004:$BQ$1004,1,MATCH(COLUMNS($AO$1006:AZ1006),$AO$1006:$BQ$1006,0)))),"Fix")))</f>
        <v>#N/A</v>
      </c>
      <c r="N779" s="5" t="e">
        <f ca="1">IF(OR(INDEX($AI$2:$AI$1001,MATCH(ROWS($AH$2:AH779),$AH$2:$AH$1001,0),1)&gt;=100000,INDEX($AO$1005:$BQ$1005,1,MATCH(COLUMNS($AO$1006:BA1006),$AO$1006:$BQ$1006,0))&gt;=100000), " ",IF(INDEX($AO$2:$BQ$1001,MATCH(ROWS($AH$2:AH779),$AH$2:$AH$1001,0),MATCH(COLUMNS($AO$1006:BA1006),$AO$1006:$BQ$1006,0)), HYPERLINK("#",""), HYPERLINK(CONCATENATE("#Metadata!", ADDRESS(INDEX($AJ$2:$AJ$1001,MATCH(ROWS($AH$2:AH779),$AH$2:$AH$1001,0),0), INDEX($AO$1004:$BQ$1004,1,MATCH(COLUMNS($AO$1006:BA1006),$AO$1006:$BQ$1006,0)))),"Fix")))</f>
        <v>#N/A</v>
      </c>
      <c r="O779" s="5" t="e">
        <f ca="1">IF(OR(INDEX($AI$2:$AI$1001,MATCH(ROWS($AH$2:AH779),$AH$2:$AH$1001,0),1)&gt;=100000,INDEX($AO$1005:$BQ$1005,1,MATCH(COLUMNS($AO$1006:BB1006),$AO$1006:$BQ$1006,0))&gt;=100000), " ",IF(INDEX($AO$2:$BQ$1001,MATCH(ROWS($AH$2:AH779),$AH$2:$AH$1001,0),MATCH(COLUMNS($AO$1006:BB1006),$AO$1006:$BQ$1006,0)), HYPERLINK("#",""), HYPERLINK(CONCATENATE("#Metadata!", ADDRESS(INDEX($AJ$2:$AJ$1001,MATCH(ROWS($AH$2:AH779),$AH$2:$AH$1001,0),0), INDEX($AO$1004:$BQ$1004,1,MATCH(COLUMNS($AO$1006:BB1006),$AO$1006:$BQ$1006,0)))),"Fix")))</f>
        <v>#N/A</v>
      </c>
      <c r="P779" s="5" t="e">
        <f ca="1">IF(OR(INDEX($AI$2:$AI$1001,MATCH(ROWS($AH$2:AH779),$AH$2:$AH$1001,0),1)&gt;=100000,INDEX($AO$1005:$BQ$1005,1,MATCH(COLUMNS($AO$1006:BC1006),$AO$1006:$BQ$1006,0))&gt;=100000), " ",IF(INDEX($AO$2:$BQ$1001,MATCH(ROWS($AH$2:AH779),$AH$2:$AH$1001,0),MATCH(COLUMNS($AO$1006:BC1006),$AO$1006:$BQ$1006,0)), HYPERLINK("#",""), HYPERLINK(CONCATENATE("#Metadata!", ADDRESS(INDEX($AJ$2:$AJ$1001,MATCH(ROWS($AH$2:AH779),$AH$2:$AH$1001,0),0), INDEX($AO$1004:$BQ$1004,1,MATCH(COLUMNS($AO$1006:BC1006),$AO$1006:$BQ$1006,0)))),"Fix")))</f>
        <v>#N/A</v>
      </c>
      <c r="Q779" s="5" t="e">
        <f ca="1">IF(OR(INDEX($AI$2:$AI$1001,MATCH(ROWS($AH$2:AH779),$AH$2:$AH$1001,0),1)&gt;=100000,INDEX($AO$1005:$BQ$1005,1,MATCH(COLUMNS($AO$1006:BD1006),$AO$1006:$BQ$1006,0))&gt;=100000), " ",IF(INDEX($AO$2:$BQ$1001,MATCH(ROWS($AH$2:AH779),$AH$2:$AH$1001,0),MATCH(COLUMNS($AO$1006:BD1006),$AO$1006:$BQ$1006,0)), HYPERLINK("#",""), HYPERLINK(CONCATENATE("#Metadata!", ADDRESS(INDEX($AJ$2:$AJ$1001,MATCH(ROWS($AH$2:AH779),$AH$2:$AH$1001,0),0), INDEX($AO$1004:$BQ$1004,1,MATCH(COLUMNS($AO$1006:BD1006),$AO$1006:$BQ$1006,0)))),"Fix")))</f>
        <v>#N/A</v>
      </c>
      <c r="R779" s="5" t="e">
        <f ca="1">IF(OR(INDEX($AI$2:$AI$1001,MATCH(ROWS($AH$2:AH779),$AH$2:$AH$1001,0),1)&gt;=100000,INDEX($AO$1005:$BQ$1005,1,MATCH(COLUMNS($AO$1006:BE1006),$AO$1006:$BQ$1006,0))&gt;=100000), " ",IF(INDEX($AO$2:$BQ$1001,MATCH(ROWS($AH$2:AH779),$AH$2:$AH$1001,0),MATCH(COLUMNS($AO$1006:BE1006),$AO$1006:$BQ$1006,0)), HYPERLINK("#",""), HYPERLINK(CONCATENATE("#Metadata!", ADDRESS(INDEX($AJ$2:$AJ$1001,MATCH(ROWS($AH$2:AH779),$AH$2:$AH$1001,0),0), INDEX($AO$1004:$BQ$1004,1,MATCH(COLUMNS($AO$1006:BE1006),$AO$1006:$BQ$1006,0)))),"Fix")))</f>
        <v>#N/A</v>
      </c>
      <c r="S779" s="5" t="e">
        <f ca="1">IF(OR(INDEX($AI$2:$AI$1001,MATCH(ROWS($AH$2:AH779),$AH$2:$AH$1001,0),1)&gt;=100000,INDEX($AO$1005:$BQ$1005,1,MATCH(COLUMNS($AO$1006:BF1006),$AO$1006:$BQ$1006,0))&gt;=100000), " ",IF(INDEX($AO$2:$BQ$1001,MATCH(ROWS($AH$2:AH779),$AH$2:$AH$1001,0),MATCH(COLUMNS($AO$1006:BF1006),$AO$1006:$BQ$1006,0)), HYPERLINK("#",""), HYPERLINK(CONCATENATE("#Metadata!", ADDRESS(INDEX($AJ$2:$AJ$1001,MATCH(ROWS($AH$2:AH779),$AH$2:$AH$1001,0),0), INDEX($AO$1004:$BQ$1004,1,MATCH(COLUMNS($AO$1006:BF1006),$AO$1006:$BQ$1006,0)))),"Fix")))</f>
        <v>#N/A</v>
      </c>
      <c r="T779" s="5" t="e">
        <f ca="1">IF(OR(INDEX($AI$2:$AI$1001,MATCH(ROWS($AH$2:AH779),$AH$2:$AH$1001,0),1)&gt;=100000,INDEX($AO$1005:$BQ$1005,1,MATCH(COLUMNS($AO$1006:BG1006),$AO$1006:$BQ$1006,0))&gt;=100000), " ",IF(INDEX($AO$2:$BQ$1001,MATCH(ROWS($AH$2:AH779),$AH$2:$AH$1001,0),MATCH(COLUMNS($AO$1006:BG1006),$AO$1006:$BQ$1006,0)), HYPERLINK("#",""), HYPERLINK(CONCATENATE("#Metadata!", ADDRESS(INDEX($AJ$2:$AJ$1001,MATCH(ROWS($AH$2:AH779),$AH$2:$AH$1001,0),0), INDEX($AO$1004:$BQ$1004,1,MATCH(COLUMNS($AO$1006:BG1006),$AO$1006:$BQ$1006,0)))),"Fix")))</f>
        <v>#N/A</v>
      </c>
      <c r="U779" s="5" t="e">
        <f ca="1">IF(OR(INDEX($AI$2:$AI$1001,MATCH(ROWS($AH$2:AH779),$AH$2:$AH$1001,0),1)&gt;=100000,INDEX($AO$1005:$BQ$1005,1,MATCH(COLUMNS($AO$1006:BH1006),$AO$1006:$BQ$1006,0))&gt;=100000), " ",IF(INDEX($AO$2:$BQ$1001,MATCH(ROWS($AH$2:AH779),$AH$2:$AH$1001,0),MATCH(COLUMNS($AO$1006:BH1006),$AO$1006:$BQ$1006,0)), HYPERLINK("#",""), HYPERLINK(CONCATENATE("#Metadata!", ADDRESS(INDEX($AJ$2:$AJ$1001,MATCH(ROWS($AH$2:AH779),$AH$2:$AH$1001,0),0), INDEX($AO$1004:$BQ$1004,1,MATCH(COLUMNS($AO$1006:BH1006),$AO$1006:$BQ$1006,0)))),"Fix")))</f>
        <v>#N/A</v>
      </c>
      <c r="V779" s="5" t="e">
        <f ca="1">IF(OR(INDEX($AI$2:$AI$1001,MATCH(ROWS($AH$2:AH779),$AH$2:$AH$1001,0),1)&gt;=100000,INDEX($AO$1005:$BQ$1005,1,MATCH(COLUMNS($AO$1006:BI1006),$AO$1006:$BQ$1006,0))&gt;=100000), " ",IF(INDEX($AO$2:$BQ$1001,MATCH(ROWS($AH$2:AH779),$AH$2:$AH$1001,0),MATCH(COLUMNS($AO$1006:BI1006),$AO$1006:$BQ$1006,0)), HYPERLINK("#",""), HYPERLINK(CONCATENATE("#Metadata!", ADDRESS(INDEX($AJ$2:$AJ$1001,MATCH(ROWS($AH$2:AH779),$AH$2:$AH$1001,0),0), INDEX($AO$1004:$BQ$1004,1,MATCH(COLUMNS($AO$1006:BI1006),$AO$1006:$BQ$1006,0)))),"Fix")))</f>
        <v>#N/A</v>
      </c>
      <c r="W779" s="5" t="e">
        <f ca="1">IF(OR(INDEX($AI$2:$AI$1001,MATCH(ROWS($AH$2:AH779),$AH$2:$AH$1001,0),1)&gt;=100000,INDEX($AO$1005:$BQ$1005,1,MATCH(COLUMNS($AO$1006:BJ1006),$AO$1006:$BQ$1006,0))&gt;=100000), " ",IF(INDEX($AO$2:$BQ$1001,MATCH(ROWS($AH$2:AH779),$AH$2:$AH$1001,0),MATCH(COLUMNS($AO$1006:BJ1006),$AO$1006:$BQ$1006,0)), HYPERLINK("#",""), HYPERLINK(CONCATENATE("#Metadata!", ADDRESS(INDEX($AJ$2:$AJ$1001,MATCH(ROWS($AH$2:AH779),$AH$2:$AH$1001,0),0), INDEX($AO$1004:$BQ$1004,1,MATCH(COLUMNS($AO$1006:BJ1006),$AO$1006:$BQ$1006,0)))),"Fix")))</f>
        <v>#N/A</v>
      </c>
      <c r="X779" s="5" t="e">
        <f ca="1">IF(OR(INDEX($AI$2:$AI$1001,MATCH(ROWS($AH$2:AH779),$AH$2:$AH$1001,0),1)&gt;=100000,INDEX($AO$1005:$BQ$1005,1,MATCH(COLUMNS($AO$1006:BK1006),$AO$1006:$BQ$1006,0))&gt;=100000), " ",IF(INDEX($AO$2:$BQ$1001,MATCH(ROWS($AH$2:AH779),$AH$2:$AH$1001,0),MATCH(COLUMNS($AO$1006:BK1006),$AO$1006:$BQ$1006,0)), HYPERLINK("#",""), HYPERLINK(CONCATENATE("#Metadata!", ADDRESS(INDEX($AJ$2:$AJ$1001,MATCH(ROWS($AH$2:AH779),$AH$2:$AH$1001,0),0), INDEX($AO$1004:$BQ$1004,1,MATCH(COLUMNS($AO$1006:BK1006),$AO$1006:$BQ$1006,0)))),"Fix")))</f>
        <v>#N/A</v>
      </c>
      <c r="Y779" s="5" t="e">
        <f ca="1">IF(OR(INDEX($AI$2:$AI$1001,MATCH(ROWS($AH$2:AH779),$AH$2:$AH$1001,0),1)&gt;=100000,INDEX($AO$1005:$BQ$1005,1,MATCH(COLUMNS($AO$1006:BL1006),$AO$1006:$BQ$1006,0))&gt;=100000), " ",IF(INDEX($AO$2:$BQ$1001,MATCH(ROWS($AH$2:AH779),$AH$2:$AH$1001,0),MATCH(COLUMNS($AO$1006:BL1006),$AO$1006:$BQ$1006,0)), HYPERLINK("#",""), HYPERLINK(CONCATENATE("#Metadata!", ADDRESS(INDEX($AJ$2:$AJ$1001,MATCH(ROWS($AH$2:AH779),$AH$2:$AH$1001,0),0), INDEX($AO$1004:$BQ$1004,1,MATCH(COLUMNS($AO$1006:BL1006),$AO$1006:$BQ$1006,0)))),"Fix")))</f>
        <v>#N/A</v>
      </c>
      <c r="Z779" s="5" t="e">
        <f ca="1">IF(OR(INDEX($AI$2:$AI$1001,MATCH(ROWS($AH$2:AH779),$AH$2:$AH$1001,0),1)&gt;=100000,INDEX($AO$1005:$BQ$1005,1,MATCH(COLUMNS($AO$1006:BM1006),$AO$1006:$BQ$1006,0))&gt;=100000), " ",IF(INDEX($AO$2:$BQ$1001,MATCH(ROWS($AH$2:AH779),$AH$2:$AH$1001,0),MATCH(COLUMNS($AO$1006:BM1006),$AO$1006:$BQ$1006,0)), HYPERLINK("#",""), HYPERLINK(CONCATENATE("#Metadata!", ADDRESS(INDEX($AJ$2:$AJ$1001,MATCH(ROWS($AH$2:AH779),$AH$2:$AH$1001,0),0), INDEX($AO$1004:$BQ$1004,1,MATCH(COLUMNS($AO$1006:BM1006),$AO$1006:$BQ$1006,0)))),"Fix")))</f>
        <v>#N/A</v>
      </c>
      <c r="AA779" s="5" t="e">
        <f ca="1">IF(OR(INDEX($AI$2:$AI$1001,MATCH(ROWS($AH$2:AH779),$AH$2:$AH$1001,0),1)&gt;=100000,INDEX($AO$1005:$BQ$1005,1,MATCH(COLUMNS($AO$1006:BN1006),$AO$1006:$BQ$1006,0))&gt;=100000), " ",IF(INDEX($AO$2:$BQ$1001,MATCH(ROWS($AH$2:AH779),$AH$2:$AH$1001,0),MATCH(COLUMNS($AO$1006:BN1006),$AO$1006:$BQ$1006,0)), HYPERLINK("#",""), HYPERLINK(CONCATENATE("#Metadata!", ADDRESS(INDEX($AJ$2:$AJ$1001,MATCH(ROWS($AH$2:AH779),$AH$2:$AH$1001,0),0), INDEX($AO$1004:$BQ$1004,1,MATCH(COLUMNS($AO$1006:BN1006),$AO$1006:$BQ$1006,0)))),"Fix")))</f>
        <v>#N/A</v>
      </c>
      <c r="AB779" s="5" t="e">
        <f ca="1">IF(OR(INDEX($AI$2:$AI$1001,MATCH(ROWS($AH$2:AH779),$AH$2:$AH$1001,0),1)&gt;=100000,INDEX($AO$1005:$BQ$1005,1,MATCH(COLUMNS($AO$1006:BO1006),$AO$1006:$BQ$1006,0))&gt;=100000), " ",IF(INDEX($AO$2:$BQ$1001,MATCH(ROWS($AH$2:AH779),$AH$2:$AH$1001,0),MATCH(COLUMNS($AO$1006:BO1006),$AO$1006:$BQ$1006,0)), HYPERLINK("#",""), HYPERLINK(CONCATENATE("#Metadata!", ADDRESS(INDEX($AJ$2:$AJ$1001,MATCH(ROWS($AH$2:AH779),$AH$2:$AH$1001,0),0), INDEX($AO$1004:$BQ$1004,1,MATCH(COLUMNS($AO$1006:BO1006),$AO$1006:$BQ$1006,0)))),"Fix")))</f>
        <v>#N/A</v>
      </c>
      <c r="AC779" s="5" t="e">
        <f ca="1">IF(OR(INDEX($AI$2:$AI$1001,MATCH(ROWS($AH$2:AH779),$AH$2:$AH$1001,0),1)&gt;=100000,INDEX($AO$1005:$BQ$1005,1,MATCH(COLUMNS($AO$1006:BP1006),$AO$1006:$BQ$1006,0))&gt;=100000), " ",IF(INDEX($AO$2:$BQ$1001,MATCH(ROWS($AH$2:AH779),$AH$2:$AH$1001,0),MATCH(COLUMNS($AO$1006:BP1006),$AO$1006:$BQ$1006,0)), HYPERLINK("#",""), HYPERLINK(CONCATENATE("#Metadata!", ADDRESS(INDEX($AJ$2:$AJ$1001,MATCH(ROWS($AH$2:AH779),$AH$2:$AH$1001,0),0), INDEX($AO$1004:$BQ$1004,1,MATCH(COLUMNS($AO$1006:BP1006),$AO$1006:$BQ$1006,0)))),"Fix")))</f>
        <v>#N/A</v>
      </c>
      <c r="AD779" s="5" t="e">
        <f ca="1">IF(OR(INDEX($AI$2:$AI$1001,MATCH(ROWS($AH$2:AH779),$AH$2:$AH$1001,0),1)&gt;=100000,INDEX($AO$1005:$BQ$1005,1,MATCH(COLUMNS($AO$1006:BQ1006),$AO$1006:$BQ$1006,0))&gt;=100000), " ",IF(INDEX($AO$2:$BQ$1001,MATCH(ROWS($AH$2:AH779),$AH$2:$AH$1001,0),MATCH(COLUMNS($AO$1006:BQ1006),$AO$1006:$BQ$1006,0)), HYPERLINK("#",""), HYPERLINK(CONCATENATE("#Metadata!", ADDRESS(INDEX($AJ$2:$AJ$1001,MATCH(ROWS($AH$2:AH779),$AH$2:$AH$1001,0),0), INDEX($AO$1004:$BQ$1004,1,MATCH(COLUMNS($AO$1006:BQ1006),$AO$1006:$BQ$1006,0)))),"Fix")))</f>
        <v>#REF!</v>
      </c>
      <c r="AH779">
        <f ca="1"/>
        <v>776</v>
      </c>
      <c r="AI779">
        <v>100779</v>
      </c>
      <c r="AJ779">
        <v>779</v>
      </c>
      <c r="AK779" t="b">
        <f t="shared" si="12"/>
        <v>1</v>
      </c>
      <c r="AL779" t="b">
        <f>COUNTBLANK(Metadata!B779:AD779)=COLUMNS(Metadata!B779:AD779)</f>
        <v>1</v>
      </c>
      <c r="AM779" t="str">
        <v/>
      </c>
      <c r="AO779" t="b">
        <f ca="1">AND(IF(Metadata!B779="",FALSE,TRUE),COUNTIF(Metadata!B:B, Metadata!B779) = 1,NOT(ISERROR(SUMPRODUCT(SEARCH(MID(Metadata!B779,ROW(INDIRECT("1:"&amp;LEN(Metadata!B779))), 1),"0123456789abcdefghijklmnopqrstuvwxyzABCDEFGHIJKLMNOPQRSTUVWXYZ.")))))</f>
        <v>0</v>
      </c>
      <c r="AP779" t="b">
        <f>IF(Metadata!C779="",FALSE,TRUE)</f>
        <v>0</v>
      </c>
      <c r="AQ779" t="b">
        <f>IF(Metadata!D779="",FALSE,TRUE)</f>
        <v>0</v>
      </c>
      <c r="AR779" t="b">
        <f ca="1">OR(AND(IF(Metadata!E779="",FALSE,TRUE),OR(EXACT(Metadata!E779,"not collected"),EXACT(Metadata!E779,"not provided"),EXACT(Metadata!E779,"restricted access"))),AND(IF(Metadata!E779="",FALSE,TRUE),AND(AND(IFERROR(INT(LEFT(Metadata!E779,4))&gt;1900,FALSE),IFERROR(INT(LEFT(Metadata!E779,4))&lt;=YEAR(NOW()),FALSE)), OR(MID(Metadata!E779,5,1)="", AND(AND(MID(Metadata!E779,5,1)="-",IFERROR(INT(MID(Metadata!E779,6,1))&gt;=0,FALSE),IFERROR(INT(MID(Metadata!E779,6,1))&lt;=1,FALSE),NOT(MID(Metadata!E779,7,1)=""),IFERROR(INT(MID(Metadata!E779,6,2))&gt;=1,FALSE),IFERROR(INT(MID(Metadata!E779,6,2))&lt;=12,FALSE)), OR(MID(Metadata!E779,8,1)="", AND(AND(MID(Metadata!E779,8,1)="-",IFERROR(INT(MID(Metadata!E779,9,1))&gt;=0,FALSE),IFERROR(INT(MID(Metadata!E779,9,1))&lt;=3,FALSE),NOT(MID(Metadata!E779,10,1)=""),IFERROR(INT(MID(Metadata!E779,9,2))&gt;=1,FALSE),IFERROR(INT(MID(Metadata!E779,9,2))&lt;=31,FALSE)), OR(MID(Metadata!E779,11,1)="", AND(AND(MID(Metadata!E779,11,1)=" ",IFERROR(INT(MID(Metadata!E779,12,1))&gt;=0,FALSE),IFERROR(INT(MID(Metadata!E779,12,1))&lt;=2,FALSE),NOT(MID(Metadata!E779,13,1)=""),IFERROR(INT(MID(Metadata!E779,12,2))&gt;=0,FALSE),IFERROR(INT(MID(Metadata!E779,12,2))&lt;=23,FALSE)), OR(MID(Metadata!E779,14,1)="", AND(AND(MID(Metadata!E779,14,1)=":",IFERROR(INT(MID(Metadata!E779,15,1))&gt;=0,FALSE),IFERROR(INT(MID(Metadata!E779,15,1))&lt;=5,FALSE),NOT(MID(Metadata!E779,16,1)=""),IFERROR(INT(MID(Metadata!E779,15,2))&gt;=0,FALSE),IFERROR(INT(MID(Metadata!E779,15,2))&lt;=59,FALSE)), OR(MID(Metadata!E779,17,1)="", AND(AND(MID(Metadata!E779,17,1)=":",IFERROR(INT(MID(Metadata!E779,18,1))&gt;=0,FALSE),IFERROR(INT(MID(Metadata!E779,18,1))&lt;=5,FALSE),NOT(MID(Metadata!E779,19,1)=""),IFERROR(INT(MID(Metadata!E779,18,2))&gt;=0,FALSE),IFERROR(INT(MID(Metadata!E779,18,2))&lt;=59,FALSE)), LEN(Metadata!E779)&lt;=19)))))))))))))</f>
        <v>0</v>
      </c>
      <c r="AS779" t="b">
        <f>IF(Metadata!F779="",FALSE,TRUE)</f>
        <v>0</v>
      </c>
      <c r="AT779" t="b">
        <f>OR(AND(IF(Metadata!G779="",FALSE,TRUE),OR(EXACT(Metadata!G779,"not collected"),EXACT(Metadata!G779,"not provided"))),AND(IF(Metadata!G779="",FALSE,TRUE),OR(EXACT(Metadata!G779,"TRUE"),EXACT(Metadata!G779,"FALSE"))))</f>
        <v>0</v>
      </c>
      <c r="AU779" t="b">
        <f>OR(AND(IF(Metadata!H779="",FALSE,TRUE),OR(EXACT(Metadata!H779,"not collected"),EXACT(Metadata!H779,"not provided"),EXACT(Metadata!H779,"restricted access"))),AND(IF(Metadata!H779="",FALSE,ISNUMBER(VALUE(Metadata!H779))),Metadata!H779&gt;=-413))</f>
        <v>0</v>
      </c>
      <c r="AV779" t="b">
        <f>AND(IF(Metadata!I779="",FALSE,TRUE),EXACT(Metadata!I779,"meters"))</f>
        <v>0</v>
      </c>
      <c r="AW779" t="b">
        <f>AND(IF(Metadata!J779="",FALSE,TRUE),EXACT(Metadata!J779,"free-living"))</f>
        <v>0</v>
      </c>
      <c r="AX779" t="b">
        <f>AND(IF(Metadata!K779="",FALSE,TRUE),OR(EXACT(Metadata!K779,"saline"),EXACT(Metadata!K779,"non-saline")))</f>
        <v>0</v>
      </c>
      <c r="AY779" t="b">
        <f>AND(IF(Metadata!L779="",FALSE,TRUE),OR(EXACT(Metadata!L779,"sub-surface (non-saline)"),EXACT(Metadata!L779,"surface (non-saline)"),EXACT(Metadata!L779,"water (non-saline)"),EXACT(Metadata!L779,"soil (non-saline)"),EXACT(Metadata!L779,"aerosol (non-saline)"),EXACT(Metadata!L779,"sediment (non-saline)"),EXACT(Metadata!L779,"surface (saline)"),EXACT(Metadata!L779,"water (saline)"),EXACT(Metadata!L779,"hypersaline (saline)"),EXACT(Metadata!L779,"aerosol (saline)"),EXACT(Metadata!L779,"sediment (saline)")))</f>
        <v>0</v>
      </c>
      <c r="AZ779" t="b">
        <f>IF(Metadata!M779="",FALSE,TRUE)</f>
        <v>0</v>
      </c>
      <c r="BA779" t="b">
        <f>IF(Metadata!N779="",FALSE,TRUE)</f>
        <v>0</v>
      </c>
      <c r="BB779" t="b">
        <f>IF(Metadata!O779="",FALSE,TRUE)</f>
        <v>0</v>
      </c>
      <c r="BC779" t="b">
        <f>AND(IF(Metadata!P779="",FALSE,TRUE),OR(EXACT(Metadata!P779,"air"),EXACT(Metadata!P779,"microbial mat/biofilm"),EXACT(Metadata!P779,"misc environment"),EXACT(Metadata!P779,"sediment"),EXACT(Metadata!P779,"soil"),EXACT(Metadata!P779,"wastewater/sludge"),EXACT(Metadata!P779,"water")))</f>
        <v>0</v>
      </c>
      <c r="BD779" t="b">
        <f>IF(Metadata!Q779="",FALSE,TRUE)</f>
        <v>0</v>
      </c>
      <c r="BE779" t="b">
        <f>IF(Metadata!R779="",FALSE,TRUE)</f>
        <v>0</v>
      </c>
      <c r="BF779" t="b">
        <f>OR(AND(IF(Metadata!S779="",FALSE,TRUE),OR(EXACT(Metadata!S779,"not collected"),EXACT(Metadata!S779,"not provided"),EXACT(Metadata!S779,"restricted access"))),AND(IF(Metadata!S779="",FALSE,ISNUMBER(VALUE(Metadata!S779))),Metadata!S779&gt;=-90,Metadata!S779&lt;=90))</f>
        <v>0</v>
      </c>
      <c r="BG779" t="b">
        <f>AND(IF(Metadata!T779="",FALSE,TRUE),EXACT(Metadata!T779,"Decimal degrees"))</f>
        <v>0</v>
      </c>
      <c r="BH779" t="b">
        <f>OR(AND(IF(Metadata!U779="",FALSE,TRUE),OR(EXACT(Metadata!U779,"not applicable"),EXACT(Metadata!U779,"not collected"))),IF(Metadata!U779="",FALSE,TRUE))</f>
        <v>0</v>
      </c>
      <c r="BI779" t="b">
        <f>OR(AND(IF(Metadata!V779="",FALSE,TRUE),OR(EXACT(Metadata!V779,"not collected"),EXACT(Metadata!V779,"not provided"),EXACT(Metadata!V779,"restricted access"))),AND(IF(Metadata!V779="",FALSE,ISNUMBER(VALUE(Metadata!V779))),Metadata!V779&gt;=-180,Metadata!V779&lt;=180))</f>
        <v>0</v>
      </c>
      <c r="BJ779" t="b">
        <f>AND(IF(Metadata!W779="",FALSE,TRUE),EXACT(Metadata!W779,"Decimal degrees"))</f>
        <v>0</v>
      </c>
      <c r="BK779" t="b">
        <f>IF(Metadata!X779="",FALSE,TRUE)</f>
        <v>0</v>
      </c>
      <c r="BL779" t="b">
        <f>OR(AND(IF(Metadata!Y779="",FALSE,TRUE),OR(EXACT(Metadata!Y779,"not collected"),EXACT(Metadata!Y779,"not provided"),EXACT(Metadata!Y779,"restricted access"))),AND(IF(Metadata!Y779="",FALSE,TRUE),OR(EXACT(Metadata!Y779,"TRUE"),EXACT(Metadata!Y779,"FALSE"))))</f>
        <v>0</v>
      </c>
      <c r="BM779" t="b">
        <f>OR(AND(IF(Metadata!Z779="",FALSE,TRUE),EXACT(Metadata!Z779,"not applicable")),AND(IF(Metadata!Z779="",FALSE,TRUE),OR(EXACT(Metadata!Z779,"beer"),EXACT(Metadata!Z779,"cheese"),EXACT(Metadata!Z779,"fresh water"),EXACT(Metadata!Z779,"marine sediment"),EXACT(Metadata!Z779,"sea water"),EXACT(Metadata!Z779,"sediment"),EXACT(Metadata!Z779,"soil"),EXACT(Metadata!Z779,"waste water"))))</f>
        <v>0</v>
      </c>
      <c r="BN779" t="b">
        <f>AND(IF(Metadata!AA779="",FALSE,TRUE),EXACT(Metadata!AA779,"metagenome"))</f>
        <v>0</v>
      </c>
      <c r="BO779" t="b">
        <f>AND(IF(Metadata!AB779="",FALSE,TRUE),EXACT(Metadata!AB779,"256318"))</f>
        <v>0</v>
      </c>
      <c r="BP779" t="b">
        <f>IF(Metadata!AC779="",FALSE,TRUE)</f>
        <v>0</v>
      </c>
      <c r="BQ779" t="b">
        <f>IF(Metadata!AD779="",FALSE,TRUE)</f>
        <v>0</v>
      </c>
    </row>
    <row r="780" spans="1:69" x14ac:dyDescent="0.2">
      <c r="A780" s="4" t="e">
        <f ca="1">IF(B780=" "," ",HYPERLINK(CONCATENATE("#metadata!",ADDRESS(INDEX($AJ$2:$AJ$1001,MATCH(ROWS($AH$2:AH780),$AH$2:$AH$1001,0),0),2)),INDEX($AM$2:$AM$1001,MATCH(ROWS($AH$2:AH780),$AH$2:$AH$1001,0),0)))</f>
        <v>#N/A</v>
      </c>
      <c r="B780" s="5" t="e">
        <f ca="1">IF(OR(INDEX($AI$2:$AI$1001,MATCH(ROWS($AH$2:AH780),$AH$2:$AH$1001,0),1)&gt;=100000,INDEX($AO$1005:$BQ$1005,1,MATCH(COLUMNS($AO$1006:AO1006),$AO$1006:$BQ$1006,0))&gt;=100000), " ",IF(INDEX($AO$2:$BQ$1001,MATCH(ROWS($AH$2:AH780),$AH$2:$AH$1001,0),MATCH(COLUMNS($AO$1006:AO1006),$AO$1006:$BQ$1006,0)), HYPERLINK("#",""), HYPERLINK(CONCATENATE("#Metadata!", ADDRESS(INDEX($AJ$2:$AJ$1001,MATCH(ROWS($AH$2:AH780),$AH$2:$AH$1001,0),0), INDEX($AO$1004:$BQ$1004,1,MATCH(COLUMNS($AO$1006:AO1006),$AO$1006:$BQ$1006,0)))),"Fix")))</f>
        <v>#N/A</v>
      </c>
      <c r="C780" s="5" t="e">
        <f ca="1">IF(OR(INDEX($AI$2:$AI$1001,MATCH(ROWS($AH$2:AH780),$AH$2:$AH$1001,0),1)&gt;=100000,INDEX($AO$1005:$BQ$1005,1,MATCH(COLUMNS($AO$1006:AP1006),$AO$1006:$BQ$1006,0))&gt;=100000), " ",IF(INDEX($AO$2:$BQ$1001,MATCH(ROWS($AH$2:AH780),$AH$2:$AH$1001,0),MATCH(COLUMNS($AO$1006:AP1006),$AO$1006:$BQ$1006,0)), HYPERLINK("#",""), HYPERLINK(CONCATENATE("#Metadata!", ADDRESS(INDEX($AJ$2:$AJ$1001,MATCH(ROWS($AH$2:AH780),$AH$2:$AH$1001,0),0), INDEX($AO$1004:$BQ$1004,1,MATCH(COLUMNS($AO$1006:AP1006),$AO$1006:$BQ$1006,0)))),"Fix")))</f>
        <v>#N/A</v>
      </c>
      <c r="D780" s="5" t="e">
        <f ca="1">IF(OR(INDEX($AI$2:$AI$1001,MATCH(ROWS($AH$2:AH780),$AH$2:$AH$1001,0),1)&gt;=100000,INDEX($AO$1005:$BQ$1005,1,MATCH(COLUMNS($AO$1006:AQ1006),$AO$1006:$BQ$1006,0))&gt;=100000), " ",IF(INDEX($AO$2:$BQ$1001,MATCH(ROWS($AH$2:AH780),$AH$2:$AH$1001,0),MATCH(COLUMNS($AO$1006:AQ1006),$AO$1006:$BQ$1006,0)), HYPERLINK("#",""), HYPERLINK(CONCATENATE("#Metadata!", ADDRESS(INDEX($AJ$2:$AJ$1001,MATCH(ROWS($AH$2:AH780),$AH$2:$AH$1001,0),0), INDEX($AO$1004:$BQ$1004,1,MATCH(COLUMNS($AO$1006:AQ1006),$AO$1006:$BQ$1006,0)))),"Fix")))</f>
        <v>#N/A</v>
      </c>
      <c r="E780" s="5" t="e">
        <f ca="1">IF(OR(INDEX($AI$2:$AI$1001,MATCH(ROWS($AH$2:AH780),$AH$2:$AH$1001,0),1)&gt;=100000,INDEX($AO$1005:$BQ$1005,1,MATCH(COLUMNS($AO$1006:AR1006),$AO$1006:$BQ$1006,0))&gt;=100000), " ",IF(INDEX($AO$2:$BQ$1001,MATCH(ROWS($AH$2:AH780),$AH$2:$AH$1001,0),MATCH(COLUMNS($AO$1006:AR1006),$AO$1006:$BQ$1006,0)), HYPERLINK("#",""), HYPERLINK(CONCATENATE("#Metadata!", ADDRESS(INDEX($AJ$2:$AJ$1001,MATCH(ROWS($AH$2:AH780),$AH$2:$AH$1001,0),0), INDEX($AO$1004:$BQ$1004,1,MATCH(COLUMNS($AO$1006:AR1006),$AO$1006:$BQ$1006,0)))),"Fix")))</f>
        <v>#N/A</v>
      </c>
      <c r="F780" s="5" t="e">
        <f ca="1">IF(OR(INDEX($AI$2:$AI$1001,MATCH(ROWS($AH$2:AH780),$AH$2:$AH$1001,0),1)&gt;=100000,INDEX($AO$1005:$BQ$1005,1,MATCH(COLUMNS($AO$1006:AS1006),$AO$1006:$BQ$1006,0))&gt;=100000), " ",IF(INDEX($AO$2:$BQ$1001,MATCH(ROWS($AH$2:AH780),$AH$2:$AH$1001,0),MATCH(COLUMNS($AO$1006:AS1006),$AO$1006:$BQ$1006,0)), HYPERLINK("#",""), HYPERLINK(CONCATENATE("#Metadata!", ADDRESS(INDEX($AJ$2:$AJ$1001,MATCH(ROWS($AH$2:AH780),$AH$2:$AH$1001,0),0), INDEX($AO$1004:$BQ$1004,1,MATCH(COLUMNS($AO$1006:AS1006),$AO$1006:$BQ$1006,0)))),"Fix")))</f>
        <v>#N/A</v>
      </c>
      <c r="G780" s="5" t="e">
        <f ca="1">IF(OR(INDEX($AI$2:$AI$1001,MATCH(ROWS($AH$2:AH780),$AH$2:$AH$1001,0),1)&gt;=100000,INDEX($AO$1005:$BQ$1005,1,MATCH(COLUMNS($AO$1006:AT1006),$AO$1006:$BQ$1006,0))&gt;=100000), " ",IF(INDEX($AO$2:$BQ$1001,MATCH(ROWS($AH$2:AH780),$AH$2:$AH$1001,0),MATCH(COLUMNS($AO$1006:AT1006),$AO$1006:$BQ$1006,0)), HYPERLINK("#",""), HYPERLINK(CONCATENATE("#Metadata!", ADDRESS(INDEX($AJ$2:$AJ$1001,MATCH(ROWS($AH$2:AH780),$AH$2:$AH$1001,0),0), INDEX($AO$1004:$BQ$1004,1,MATCH(COLUMNS($AO$1006:AT1006),$AO$1006:$BQ$1006,0)))),"Fix")))</f>
        <v>#N/A</v>
      </c>
      <c r="H780" s="5" t="e">
        <f ca="1">IF(OR(INDEX($AI$2:$AI$1001,MATCH(ROWS($AH$2:AH780),$AH$2:$AH$1001,0),1)&gt;=100000,INDEX($AO$1005:$BQ$1005,1,MATCH(COLUMNS($AO$1006:AU1006),$AO$1006:$BQ$1006,0))&gt;=100000), " ",IF(INDEX($AO$2:$BQ$1001,MATCH(ROWS($AH$2:AH780),$AH$2:$AH$1001,0),MATCH(COLUMNS($AO$1006:AU1006),$AO$1006:$BQ$1006,0)), HYPERLINK("#",""), HYPERLINK(CONCATENATE("#Metadata!", ADDRESS(INDEX($AJ$2:$AJ$1001,MATCH(ROWS($AH$2:AH780),$AH$2:$AH$1001,0),0), INDEX($AO$1004:$BQ$1004,1,MATCH(COLUMNS($AO$1006:AU1006),$AO$1006:$BQ$1006,0)))),"Fix")))</f>
        <v>#N/A</v>
      </c>
      <c r="I780" s="5" t="e">
        <f ca="1">IF(OR(INDEX($AI$2:$AI$1001,MATCH(ROWS($AH$2:AH780),$AH$2:$AH$1001,0),1)&gt;=100000,INDEX($AO$1005:$BQ$1005,1,MATCH(COLUMNS($AO$1006:AV1006),$AO$1006:$BQ$1006,0))&gt;=100000), " ",IF(INDEX($AO$2:$BQ$1001,MATCH(ROWS($AH$2:AH780),$AH$2:$AH$1001,0),MATCH(COLUMNS($AO$1006:AV1006),$AO$1006:$BQ$1006,0)), HYPERLINK("#",""), HYPERLINK(CONCATENATE("#Metadata!", ADDRESS(INDEX($AJ$2:$AJ$1001,MATCH(ROWS($AH$2:AH780),$AH$2:$AH$1001,0),0), INDEX($AO$1004:$BQ$1004,1,MATCH(COLUMNS($AO$1006:AV1006),$AO$1006:$BQ$1006,0)))),"Fix")))</f>
        <v>#N/A</v>
      </c>
      <c r="J780" s="5" t="e">
        <f ca="1">IF(OR(INDEX($AI$2:$AI$1001,MATCH(ROWS($AH$2:AH780),$AH$2:$AH$1001,0),1)&gt;=100000,INDEX($AO$1005:$BQ$1005,1,MATCH(COLUMNS($AO$1006:AW1006),$AO$1006:$BQ$1006,0))&gt;=100000), " ",IF(INDEX($AO$2:$BQ$1001,MATCH(ROWS($AH$2:AH780),$AH$2:$AH$1001,0),MATCH(COLUMNS($AO$1006:AW1006),$AO$1006:$BQ$1006,0)), HYPERLINK("#",""), HYPERLINK(CONCATENATE("#Metadata!", ADDRESS(INDEX($AJ$2:$AJ$1001,MATCH(ROWS($AH$2:AH780),$AH$2:$AH$1001,0),0), INDEX($AO$1004:$BQ$1004,1,MATCH(COLUMNS($AO$1006:AW1006),$AO$1006:$BQ$1006,0)))),"Fix")))</f>
        <v>#N/A</v>
      </c>
      <c r="K780" s="5" t="e">
        <f ca="1">IF(OR(INDEX($AI$2:$AI$1001,MATCH(ROWS($AH$2:AH780),$AH$2:$AH$1001,0),1)&gt;=100000,INDEX($AO$1005:$BQ$1005,1,MATCH(COLUMNS($AO$1006:AX1006),$AO$1006:$BQ$1006,0))&gt;=100000), " ",IF(INDEX($AO$2:$BQ$1001,MATCH(ROWS($AH$2:AH780),$AH$2:$AH$1001,0),MATCH(COLUMNS($AO$1006:AX1006),$AO$1006:$BQ$1006,0)), HYPERLINK("#",""), HYPERLINK(CONCATENATE("#Metadata!", ADDRESS(INDEX($AJ$2:$AJ$1001,MATCH(ROWS($AH$2:AH780),$AH$2:$AH$1001,0),0), INDEX($AO$1004:$BQ$1004,1,MATCH(COLUMNS($AO$1006:AX1006),$AO$1006:$BQ$1006,0)))),"Fix")))</f>
        <v>#N/A</v>
      </c>
      <c r="L780" s="5" t="e">
        <f ca="1">IF(OR(INDEX($AI$2:$AI$1001,MATCH(ROWS($AH$2:AH780),$AH$2:$AH$1001,0),1)&gt;=100000,INDEX($AO$1005:$BQ$1005,1,MATCH(COLUMNS($AO$1006:AY1006),$AO$1006:$BQ$1006,0))&gt;=100000), " ",IF(INDEX($AO$2:$BQ$1001,MATCH(ROWS($AH$2:AH780),$AH$2:$AH$1001,0),MATCH(COLUMNS($AO$1006:AY1006),$AO$1006:$BQ$1006,0)), HYPERLINK("#",""), HYPERLINK(CONCATENATE("#Metadata!", ADDRESS(INDEX($AJ$2:$AJ$1001,MATCH(ROWS($AH$2:AH780),$AH$2:$AH$1001,0),0), INDEX($AO$1004:$BQ$1004,1,MATCH(COLUMNS($AO$1006:AY1006),$AO$1006:$BQ$1006,0)))),"Fix")))</f>
        <v>#N/A</v>
      </c>
      <c r="M780" s="5" t="e">
        <f ca="1">IF(OR(INDEX($AI$2:$AI$1001,MATCH(ROWS($AH$2:AH780),$AH$2:$AH$1001,0),1)&gt;=100000,INDEX($AO$1005:$BQ$1005,1,MATCH(COLUMNS($AO$1006:AZ1006),$AO$1006:$BQ$1006,0))&gt;=100000), " ",IF(INDEX($AO$2:$BQ$1001,MATCH(ROWS($AH$2:AH780),$AH$2:$AH$1001,0),MATCH(COLUMNS($AO$1006:AZ1006),$AO$1006:$BQ$1006,0)), HYPERLINK("#",""), HYPERLINK(CONCATENATE("#Metadata!", ADDRESS(INDEX($AJ$2:$AJ$1001,MATCH(ROWS($AH$2:AH780),$AH$2:$AH$1001,0),0), INDEX($AO$1004:$BQ$1004,1,MATCH(COLUMNS($AO$1006:AZ1006),$AO$1006:$BQ$1006,0)))),"Fix")))</f>
        <v>#N/A</v>
      </c>
      <c r="N780" s="5" t="e">
        <f ca="1">IF(OR(INDEX($AI$2:$AI$1001,MATCH(ROWS($AH$2:AH780),$AH$2:$AH$1001,0),1)&gt;=100000,INDEX($AO$1005:$BQ$1005,1,MATCH(COLUMNS($AO$1006:BA1006),$AO$1006:$BQ$1006,0))&gt;=100000), " ",IF(INDEX($AO$2:$BQ$1001,MATCH(ROWS($AH$2:AH780),$AH$2:$AH$1001,0),MATCH(COLUMNS($AO$1006:BA1006),$AO$1006:$BQ$1006,0)), HYPERLINK("#",""), HYPERLINK(CONCATENATE("#Metadata!", ADDRESS(INDEX($AJ$2:$AJ$1001,MATCH(ROWS($AH$2:AH780),$AH$2:$AH$1001,0),0), INDEX($AO$1004:$BQ$1004,1,MATCH(COLUMNS($AO$1006:BA1006),$AO$1006:$BQ$1006,0)))),"Fix")))</f>
        <v>#N/A</v>
      </c>
      <c r="O780" s="5" t="e">
        <f ca="1">IF(OR(INDEX($AI$2:$AI$1001,MATCH(ROWS($AH$2:AH780),$AH$2:$AH$1001,0),1)&gt;=100000,INDEX($AO$1005:$BQ$1005,1,MATCH(COLUMNS($AO$1006:BB1006),$AO$1006:$BQ$1006,0))&gt;=100000), " ",IF(INDEX($AO$2:$BQ$1001,MATCH(ROWS($AH$2:AH780),$AH$2:$AH$1001,0),MATCH(COLUMNS($AO$1006:BB1006),$AO$1006:$BQ$1006,0)), HYPERLINK("#",""), HYPERLINK(CONCATENATE("#Metadata!", ADDRESS(INDEX($AJ$2:$AJ$1001,MATCH(ROWS($AH$2:AH780),$AH$2:$AH$1001,0),0), INDEX($AO$1004:$BQ$1004,1,MATCH(COLUMNS($AO$1006:BB1006),$AO$1006:$BQ$1006,0)))),"Fix")))</f>
        <v>#N/A</v>
      </c>
      <c r="P780" s="5" t="e">
        <f ca="1">IF(OR(INDEX($AI$2:$AI$1001,MATCH(ROWS($AH$2:AH780),$AH$2:$AH$1001,0),1)&gt;=100000,INDEX($AO$1005:$BQ$1005,1,MATCH(COLUMNS($AO$1006:BC1006),$AO$1006:$BQ$1006,0))&gt;=100000), " ",IF(INDEX($AO$2:$BQ$1001,MATCH(ROWS($AH$2:AH780),$AH$2:$AH$1001,0),MATCH(COLUMNS($AO$1006:BC1006),$AO$1006:$BQ$1006,0)), HYPERLINK("#",""), HYPERLINK(CONCATENATE("#Metadata!", ADDRESS(INDEX($AJ$2:$AJ$1001,MATCH(ROWS($AH$2:AH780),$AH$2:$AH$1001,0),0), INDEX($AO$1004:$BQ$1004,1,MATCH(COLUMNS($AO$1006:BC1006),$AO$1006:$BQ$1006,0)))),"Fix")))</f>
        <v>#N/A</v>
      </c>
      <c r="Q780" s="5" t="e">
        <f ca="1">IF(OR(INDEX($AI$2:$AI$1001,MATCH(ROWS($AH$2:AH780),$AH$2:$AH$1001,0),1)&gt;=100000,INDEX($AO$1005:$BQ$1005,1,MATCH(COLUMNS($AO$1006:BD1006),$AO$1006:$BQ$1006,0))&gt;=100000), " ",IF(INDEX($AO$2:$BQ$1001,MATCH(ROWS($AH$2:AH780),$AH$2:$AH$1001,0),MATCH(COLUMNS($AO$1006:BD1006),$AO$1006:$BQ$1006,0)), HYPERLINK("#",""), HYPERLINK(CONCATENATE("#Metadata!", ADDRESS(INDEX($AJ$2:$AJ$1001,MATCH(ROWS($AH$2:AH780),$AH$2:$AH$1001,0),0), INDEX($AO$1004:$BQ$1004,1,MATCH(COLUMNS($AO$1006:BD1006),$AO$1006:$BQ$1006,0)))),"Fix")))</f>
        <v>#N/A</v>
      </c>
      <c r="R780" s="5" t="e">
        <f ca="1">IF(OR(INDEX($AI$2:$AI$1001,MATCH(ROWS($AH$2:AH780),$AH$2:$AH$1001,0),1)&gt;=100000,INDEX($AO$1005:$BQ$1005,1,MATCH(COLUMNS($AO$1006:BE1006),$AO$1006:$BQ$1006,0))&gt;=100000), " ",IF(INDEX($AO$2:$BQ$1001,MATCH(ROWS($AH$2:AH780),$AH$2:$AH$1001,0),MATCH(COLUMNS($AO$1006:BE1006),$AO$1006:$BQ$1006,0)), HYPERLINK("#",""), HYPERLINK(CONCATENATE("#Metadata!", ADDRESS(INDEX($AJ$2:$AJ$1001,MATCH(ROWS($AH$2:AH780),$AH$2:$AH$1001,0),0), INDEX($AO$1004:$BQ$1004,1,MATCH(COLUMNS($AO$1006:BE1006),$AO$1006:$BQ$1006,0)))),"Fix")))</f>
        <v>#N/A</v>
      </c>
      <c r="S780" s="5" t="e">
        <f ca="1">IF(OR(INDEX($AI$2:$AI$1001,MATCH(ROWS($AH$2:AH780),$AH$2:$AH$1001,0),1)&gt;=100000,INDEX($AO$1005:$BQ$1005,1,MATCH(COLUMNS($AO$1006:BF1006),$AO$1006:$BQ$1006,0))&gt;=100000), " ",IF(INDEX($AO$2:$BQ$1001,MATCH(ROWS($AH$2:AH780),$AH$2:$AH$1001,0),MATCH(COLUMNS($AO$1006:BF1006),$AO$1006:$BQ$1006,0)), HYPERLINK("#",""), HYPERLINK(CONCATENATE("#Metadata!", ADDRESS(INDEX($AJ$2:$AJ$1001,MATCH(ROWS($AH$2:AH780),$AH$2:$AH$1001,0),0), INDEX($AO$1004:$BQ$1004,1,MATCH(COLUMNS($AO$1006:BF1006),$AO$1006:$BQ$1006,0)))),"Fix")))</f>
        <v>#N/A</v>
      </c>
      <c r="T780" s="5" t="e">
        <f ca="1">IF(OR(INDEX($AI$2:$AI$1001,MATCH(ROWS($AH$2:AH780),$AH$2:$AH$1001,0),1)&gt;=100000,INDEX($AO$1005:$BQ$1005,1,MATCH(COLUMNS($AO$1006:BG1006),$AO$1006:$BQ$1006,0))&gt;=100000), " ",IF(INDEX($AO$2:$BQ$1001,MATCH(ROWS($AH$2:AH780),$AH$2:$AH$1001,0),MATCH(COLUMNS($AO$1006:BG1006),$AO$1006:$BQ$1006,0)), HYPERLINK("#",""), HYPERLINK(CONCATENATE("#Metadata!", ADDRESS(INDEX($AJ$2:$AJ$1001,MATCH(ROWS($AH$2:AH780),$AH$2:$AH$1001,0),0), INDEX($AO$1004:$BQ$1004,1,MATCH(COLUMNS($AO$1006:BG1006),$AO$1006:$BQ$1006,0)))),"Fix")))</f>
        <v>#N/A</v>
      </c>
      <c r="U780" s="5" t="e">
        <f ca="1">IF(OR(INDEX($AI$2:$AI$1001,MATCH(ROWS($AH$2:AH780),$AH$2:$AH$1001,0),1)&gt;=100000,INDEX($AO$1005:$BQ$1005,1,MATCH(COLUMNS($AO$1006:BH1006),$AO$1006:$BQ$1006,0))&gt;=100000), " ",IF(INDEX($AO$2:$BQ$1001,MATCH(ROWS($AH$2:AH780),$AH$2:$AH$1001,0),MATCH(COLUMNS($AO$1006:BH1006),$AO$1006:$BQ$1006,0)), HYPERLINK("#",""), HYPERLINK(CONCATENATE("#Metadata!", ADDRESS(INDEX($AJ$2:$AJ$1001,MATCH(ROWS($AH$2:AH780),$AH$2:$AH$1001,0),0), INDEX($AO$1004:$BQ$1004,1,MATCH(COLUMNS($AO$1006:BH1006),$AO$1006:$BQ$1006,0)))),"Fix")))</f>
        <v>#N/A</v>
      </c>
      <c r="V780" s="5" t="e">
        <f ca="1">IF(OR(INDEX($AI$2:$AI$1001,MATCH(ROWS($AH$2:AH780),$AH$2:$AH$1001,0),1)&gt;=100000,INDEX($AO$1005:$BQ$1005,1,MATCH(COLUMNS($AO$1006:BI1006),$AO$1006:$BQ$1006,0))&gt;=100000), " ",IF(INDEX($AO$2:$BQ$1001,MATCH(ROWS($AH$2:AH780),$AH$2:$AH$1001,0),MATCH(COLUMNS($AO$1006:BI1006),$AO$1006:$BQ$1006,0)), HYPERLINK("#",""), HYPERLINK(CONCATENATE("#Metadata!", ADDRESS(INDEX($AJ$2:$AJ$1001,MATCH(ROWS($AH$2:AH780),$AH$2:$AH$1001,0),0), INDEX($AO$1004:$BQ$1004,1,MATCH(COLUMNS($AO$1006:BI1006),$AO$1006:$BQ$1006,0)))),"Fix")))</f>
        <v>#N/A</v>
      </c>
      <c r="W780" s="5" t="e">
        <f ca="1">IF(OR(INDEX($AI$2:$AI$1001,MATCH(ROWS($AH$2:AH780),$AH$2:$AH$1001,0),1)&gt;=100000,INDEX($AO$1005:$BQ$1005,1,MATCH(COLUMNS($AO$1006:BJ1006),$AO$1006:$BQ$1006,0))&gt;=100000), " ",IF(INDEX($AO$2:$BQ$1001,MATCH(ROWS($AH$2:AH780),$AH$2:$AH$1001,0),MATCH(COLUMNS($AO$1006:BJ1006),$AO$1006:$BQ$1006,0)), HYPERLINK("#",""), HYPERLINK(CONCATENATE("#Metadata!", ADDRESS(INDEX($AJ$2:$AJ$1001,MATCH(ROWS($AH$2:AH780),$AH$2:$AH$1001,0),0), INDEX($AO$1004:$BQ$1004,1,MATCH(COLUMNS($AO$1006:BJ1006),$AO$1006:$BQ$1006,0)))),"Fix")))</f>
        <v>#N/A</v>
      </c>
      <c r="X780" s="5" t="e">
        <f ca="1">IF(OR(INDEX($AI$2:$AI$1001,MATCH(ROWS($AH$2:AH780),$AH$2:$AH$1001,0),1)&gt;=100000,INDEX($AO$1005:$BQ$1005,1,MATCH(COLUMNS($AO$1006:BK1006),$AO$1006:$BQ$1006,0))&gt;=100000), " ",IF(INDEX($AO$2:$BQ$1001,MATCH(ROWS($AH$2:AH780),$AH$2:$AH$1001,0),MATCH(COLUMNS($AO$1006:BK1006),$AO$1006:$BQ$1006,0)), HYPERLINK("#",""), HYPERLINK(CONCATENATE("#Metadata!", ADDRESS(INDEX($AJ$2:$AJ$1001,MATCH(ROWS($AH$2:AH780),$AH$2:$AH$1001,0),0), INDEX($AO$1004:$BQ$1004,1,MATCH(COLUMNS($AO$1006:BK1006),$AO$1006:$BQ$1006,0)))),"Fix")))</f>
        <v>#N/A</v>
      </c>
      <c r="Y780" s="5" t="e">
        <f ca="1">IF(OR(INDEX($AI$2:$AI$1001,MATCH(ROWS($AH$2:AH780),$AH$2:$AH$1001,0),1)&gt;=100000,INDEX($AO$1005:$BQ$1005,1,MATCH(COLUMNS($AO$1006:BL1006),$AO$1006:$BQ$1006,0))&gt;=100000), " ",IF(INDEX($AO$2:$BQ$1001,MATCH(ROWS($AH$2:AH780),$AH$2:$AH$1001,0),MATCH(COLUMNS($AO$1006:BL1006),$AO$1006:$BQ$1006,0)), HYPERLINK("#",""), HYPERLINK(CONCATENATE("#Metadata!", ADDRESS(INDEX($AJ$2:$AJ$1001,MATCH(ROWS($AH$2:AH780),$AH$2:$AH$1001,0),0), INDEX($AO$1004:$BQ$1004,1,MATCH(COLUMNS($AO$1006:BL1006),$AO$1006:$BQ$1006,0)))),"Fix")))</f>
        <v>#N/A</v>
      </c>
      <c r="Z780" s="5" t="e">
        <f ca="1">IF(OR(INDEX($AI$2:$AI$1001,MATCH(ROWS($AH$2:AH780),$AH$2:$AH$1001,0),1)&gt;=100000,INDEX($AO$1005:$BQ$1005,1,MATCH(COLUMNS($AO$1006:BM1006),$AO$1006:$BQ$1006,0))&gt;=100000), " ",IF(INDEX($AO$2:$BQ$1001,MATCH(ROWS($AH$2:AH780),$AH$2:$AH$1001,0),MATCH(COLUMNS($AO$1006:BM1006),$AO$1006:$BQ$1006,0)), HYPERLINK("#",""), HYPERLINK(CONCATENATE("#Metadata!", ADDRESS(INDEX($AJ$2:$AJ$1001,MATCH(ROWS($AH$2:AH780),$AH$2:$AH$1001,0),0), INDEX($AO$1004:$BQ$1004,1,MATCH(COLUMNS($AO$1006:BM1006),$AO$1006:$BQ$1006,0)))),"Fix")))</f>
        <v>#N/A</v>
      </c>
      <c r="AA780" s="5" t="e">
        <f ca="1">IF(OR(INDEX($AI$2:$AI$1001,MATCH(ROWS($AH$2:AH780),$AH$2:$AH$1001,0),1)&gt;=100000,INDEX($AO$1005:$BQ$1005,1,MATCH(COLUMNS($AO$1006:BN1006),$AO$1006:$BQ$1006,0))&gt;=100000), " ",IF(INDEX($AO$2:$BQ$1001,MATCH(ROWS($AH$2:AH780),$AH$2:$AH$1001,0),MATCH(COLUMNS($AO$1006:BN1006),$AO$1006:$BQ$1006,0)), HYPERLINK("#",""), HYPERLINK(CONCATENATE("#Metadata!", ADDRESS(INDEX($AJ$2:$AJ$1001,MATCH(ROWS($AH$2:AH780),$AH$2:$AH$1001,0),0), INDEX($AO$1004:$BQ$1004,1,MATCH(COLUMNS($AO$1006:BN1006),$AO$1006:$BQ$1006,0)))),"Fix")))</f>
        <v>#N/A</v>
      </c>
      <c r="AB780" s="5" t="e">
        <f ca="1">IF(OR(INDEX($AI$2:$AI$1001,MATCH(ROWS($AH$2:AH780),$AH$2:$AH$1001,0),1)&gt;=100000,INDEX($AO$1005:$BQ$1005,1,MATCH(COLUMNS($AO$1006:BO1006),$AO$1006:$BQ$1006,0))&gt;=100000), " ",IF(INDEX($AO$2:$BQ$1001,MATCH(ROWS($AH$2:AH780),$AH$2:$AH$1001,0),MATCH(COLUMNS($AO$1006:BO1006),$AO$1006:$BQ$1006,0)), HYPERLINK("#",""), HYPERLINK(CONCATENATE("#Metadata!", ADDRESS(INDEX($AJ$2:$AJ$1001,MATCH(ROWS($AH$2:AH780),$AH$2:$AH$1001,0),0), INDEX($AO$1004:$BQ$1004,1,MATCH(COLUMNS($AO$1006:BO1006),$AO$1006:$BQ$1006,0)))),"Fix")))</f>
        <v>#N/A</v>
      </c>
      <c r="AC780" s="5" t="e">
        <f ca="1">IF(OR(INDEX($AI$2:$AI$1001,MATCH(ROWS($AH$2:AH780),$AH$2:$AH$1001,0),1)&gt;=100000,INDEX($AO$1005:$BQ$1005,1,MATCH(COLUMNS($AO$1006:BP1006),$AO$1006:$BQ$1006,0))&gt;=100000), " ",IF(INDEX($AO$2:$BQ$1001,MATCH(ROWS($AH$2:AH780),$AH$2:$AH$1001,0),MATCH(COLUMNS($AO$1006:BP1006),$AO$1006:$BQ$1006,0)), HYPERLINK("#",""), HYPERLINK(CONCATENATE("#Metadata!", ADDRESS(INDEX($AJ$2:$AJ$1001,MATCH(ROWS($AH$2:AH780),$AH$2:$AH$1001,0),0), INDEX($AO$1004:$BQ$1004,1,MATCH(COLUMNS($AO$1006:BP1006),$AO$1006:$BQ$1006,0)))),"Fix")))</f>
        <v>#N/A</v>
      </c>
      <c r="AD780" s="5" t="e">
        <f ca="1">IF(OR(INDEX($AI$2:$AI$1001,MATCH(ROWS($AH$2:AH780),$AH$2:$AH$1001,0),1)&gt;=100000,INDEX($AO$1005:$BQ$1005,1,MATCH(COLUMNS($AO$1006:BQ1006),$AO$1006:$BQ$1006,0))&gt;=100000), " ",IF(INDEX($AO$2:$BQ$1001,MATCH(ROWS($AH$2:AH780),$AH$2:$AH$1001,0),MATCH(COLUMNS($AO$1006:BQ1006),$AO$1006:$BQ$1006,0)), HYPERLINK("#",""), HYPERLINK(CONCATENATE("#Metadata!", ADDRESS(INDEX($AJ$2:$AJ$1001,MATCH(ROWS($AH$2:AH780),$AH$2:$AH$1001,0),0), INDEX($AO$1004:$BQ$1004,1,MATCH(COLUMNS($AO$1006:BQ1006),$AO$1006:$BQ$1006,0)))),"Fix")))</f>
        <v>#REF!</v>
      </c>
      <c r="AH780">
        <f ca="1"/>
        <v>777</v>
      </c>
      <c r="AI780">
        <v>100780</v>
      </c>
      <c r="AJ780">
        <v>780</v>
      </c>
      <c r="AK780" t="b">
        <f t="shared" si="12"/>
        <v>1</v>
      </c>
      <c r="AL780" t="b">
        <f>COUNTBLANK(Metadata!B780:AD780)=COLUMNS(Metadata!B780:AD780)</f>
        <v>1</v>
      </c>
      <c r="AM780" t="str">
        <v/>
      </c>
      <c r="AO780" t="b">
        <f ca="1">AND(IF(Metadata!B780="",FALSE,TRUE),COUNTIF(Metadata!B:B, Metadata!B780) = 1,NOT(ISERROR(SUMPRODUCT(SEARCH(MID(Metadata!B780,ROW(INDIRECT("1:"&amp;LEN(Metadata!B780))), 1),"0123456789abcdefghijklmnopqrstuvwxyzABCDEFGHIJKLMNOPQRSTUVWXYZ.")))))</f>
        <v>0</v>
      </c>
      <c r="AP780" t="b">
        <f>IF(Metadata!C780="",FALSE,TRUE)</f>
        <v>0</v>
      </c>
      <c r="AQ780" t="b">
        <f>IF(Metadata!D780="",FALSE,TRUE)</f>
        <v>0</v>
      </c>
      <c r="AR780" t="b">
        <f ca="1">OR(AND(IF(Metadata!E780="",FALSE,TRUE),OR(EXACT(Metadata!E780,"not collected"),EXACT(Metadata!E780,"not provided"),EXACT(Metadata!E780,"restricted access"))),AND(IF(Metadata!E780="",FALSE,TRUE),AND(AND(IFERROR(INT(LEFT(Metadata!E780,4))&gt;1900,FALSE),IFERROR(INT(LEFT(Metadata!E780,4))&lt;=YEAR(NOW()),FALSE)), OR(MID(Metadata!E780,5,1)="", AND(AND(MID(Metadata!E780,5,1)="-",IFERROR(INT(MID(Metadata!E780,6,1))&gt;=0,FALSE),IFERROR(INT(MID(Metadata!E780,6,1))&lt;=1,FALSE),NOT(MID(Metadata!E780,7,1)=""),IFERROR(INT(MID(Metadata!E780,6,2))&gt;=1,FALSE),IFERROR(INT(MID(Metadata!E780,6,2))&lt;=12,FALSE)), OR(MID(Metadata!E780,8,1)="", AND(AND(MID(Metadata!E780,8,1)="-",IFERROR(INT(MID(Metadata!E780,9,1))&gt;=0,FALSE),IFERROR(INT(MID(Metadata!E780,9,1))&lt;=3,FALSE),NOT(MID(Metadata!E780,10,1)=""),IFERROR(INT(MID(Metadata!E780,9,2))&gt;=1,FALSE),IFERROR(INT(MID(Metadata!E780,9,2))&lt;=31,FALSE)), OR(MID(Metadata!E780,11,1)="", AND(AND(MID(Metadata!E780,11,1)=" ",IFERROR(INT(MID(Metadata!E780,12,1))&gt;=0,FALSE),IFERROR(INT(MID(Metadata!E780,12,1))&lt;=2,FALSE),NOT(MID(Metadata!E780,13,1)=""),IFERROR(INT(MID(Metadata!E780,12,2))&gt;=0,FALSE),IFERROR(INT(MID(Metadata!E780,12,2))&lt;=23,FALSE)), OR(MID(Metadata!E780,14,1)="", AND(AND(MID(Metadata!E780,14,1)=":",IFERROR(INT(MID(Metadata!E780,15,1))&gt;=0,FALSE),IFERROR(INT(MID(Metadata!E780,15,1))&lt;=5,FALSE),NOT(MID(Metadata!E780,16,1)=""),IFERROR(INT(MID(Metadata!E780,15,2))&gt;=0,FALSE),IFERROR(INT(MID(Metadata!E780,15,2))&lt;=59,FALSE)), OR(MID(Metadata!E780,17,1)="", AND(AND(MID(Metadata!E780,17,1)=":",IFERROR(INT(MID(Metadata!E780,18,1))&gt;=0,FALSE),IFERROR(INT(MID(Metadata!E780,18,1))&lt;=5,FALSE),NOT(MID(Metadata!E780,19,1)=""),IFERROR(INT(MID(Metadata!E780,18,2))&gt;=0,FALSE),IFERROR(INT(MID(Metadata!E780,18,2))&lt;=59,FALSE)), LEN(Metadata!E780)&lt;=19)))))))))))))</f>
        <v>0</v>
      </c>
      <c r="AS780" t="b">
        <f>IF(Metadata!F780="",FALSE,TRUE)</f>
        <v>0</v>
      </c>
      <c r="AT780" t="b">
        <f>OR(AND(IF(Metadata!G780="",FALSE,TRUE),OR(EXACT(Metadata!G780,"not collected"),EXACT(Metadata!G780,"not provided"))),AND(IF(Metadata!G780="",FALSE,TRUE),OR(EXACT(Metadata!G780,"TRUE"),EXACT(Metadata!G780,"FALSE"))))</f>
        <v>0</v>
      </c>
      <c r="AU780" t="b">
        <f>OR(AND(IF(Metadata!H780="",FALSE,TRUE),OR(EXACT(Metadata!H780,"not collected"),EXACT(Metadata!H780,"not provided"),EXACT(Metadata!H780,"restricted access"))),AND(IF(Metadata!H780="",FALSE,ISNUMBER(VALUE(Metadata!H780))),Metadata!H780&gt;=-413))</f>
        <v>0</v>
      </c>
      <c r="AV780" t="b">
        <f>AND(IF(Metadata!I780="",FALSE,TRUE),EXACT(Metadata!I780,"meters"))</f>
        <v>0</v>
      </c>
      <c r="AW780" t="b">
        <f>AND(IF(Metadata!J780="",FALSE,TRUE),EXACT(Metadata!J780,"free-living"))</f>
        <v>0</v>
      </c>
      <c r="AX780" t="b">
        <f>AND(IF(Metadata!K780="",FALSE,TRUE),OR(EXACT(Metadata!K780,"saline"),EXACT(Metadata!K780,"non-saline")))</f>
        <v>0</v>
      </c>
      <c r="AY780" t="b">
        <f>AND(IF(Metadata!L780="",FALSE,TRUE),OR(EXACT(Metadata!L780,"sub-surface (non-saline)"),EXACT(Metadata!L780,"surface (non-saline)"),EXACT(Metadata!L780,"water (non-saline)"),EXACT(Metadata!L780,"soil (non-saline)"),EXACT(Metadata!L780,"aerosol (non-saline)"),EXACT(Metadata!L780,"sediment (non-saline)"),EXACT(Metadata!L780,"surface (saline)"),EXACT(Metadata!L780,"water (saline)"),EXACT(Metadata!L780,"hypersaline (saline)"),EXACT(Metadata!L780,"aerosol (saline)"),EXACT(Metadata!L780,"sediment (saline)")))</f>
        <v>0</v>
      </c>
      <c r="AZ780" t="b">
        <f>IF(Metadata!M780="",FALSE,TRUE)</f>
        <v>0</v>
      </c>
      <c r="BA780" t="b">
        <f>IF(Metadata!N780="",FALSE,TRUE)</f>
        <v>0</v>
      </c>
      <c r="BB780" t="b">
        <f>IF(Metadata!O780="",FALSE,TRUE)</f>
        <v>0</v>
      </c>
      <c r="BC780" t="b">
        <f>AND(IF(Metadata!P780="",FALSE,TRUE),OR(EXACT(Metadata!P780,"air"),EXACT(Metadata!P780,"microbial mat/biofilm"),EXACT(Metadata!P780,"misc environment"),EXACT(Metadata!P780,"sediment"),EXACT(Metadata!P780,"soil"),EXACT(Metadata!P780,"wastewater/sludge"),EXACT(Metadata!P780,"water")))</f>
        <v>0</v>
      </c>
      <c r="BD780" t="b">
        <f>IF(Metadata!Q780="",FALSE,TRUE)</f>
        <v>0</v>
      </c>
      <c r="BE780" t="b">
        <f>IF(Metadata!R780="",FALSE,TRUE)</f>
        <v>0</v>
      </c>
      <c r="BF780" t="b">
        <f>OR(AND(IF(Metadata!S780="",FALSE,TRUE),OR(EXACT(Metadata!S780,"not collected"),EXACT(Metadata!S780,"not provided"),EXACT(Metadata!S780,"restricted access"))),AND(IF(Metadata!S780="",FALSE,ISNUMBER(VALUE(Metadata!S780))),Metadata!S780&gt;=-90,Metadata!S780&lt;=90))</f>
        <v>0</v>
      </c>
      <c r="BG780" t="b">
        <f>AND(IF(Metadata!T780="",FALSE,TRUE),EXACT(Metadata!T780,"Decimal degrees"))</f>
        <v>0</v>
      </c>
      <c r="BH780" t="b">
        <f>OR(AND(IF(Metadata!U780="",FALSE,TRUE),OR(EXACT(Metadata!U780,"not applicable"),EXACT(Metadata!U780,"not collected"))),IF(Metadata!U780="",FALSE,TRUE))</f>
        <v>0</v>
      </c>
      <c r="BI780" t="b">
        <f>OR(AND(IF(Metadata!V780="",FALSE,TRUE),OR(EXACT(Metadata!V780,"not collected"),EXACT(Metadata!V780,"not provided"),EXACT(Metadata!V780,"restricted access"))),AND(IF(Metadata!V780="",FALSE,ISNUMBER(VALUE(Metadata!V780))),Metadata!V780&gt;=-180,Metadata!V780&lt;=180))</f>
        <v>0</v>
      </c>
      <c r="BJ780" t="b">
        <f>AND(IF(Metadata!W780="",FALSE,TRUE),EXACT(Metadata!W780,"Decimal degrees"))</f>
        <v>0</v>
      </c>
      <c r="BK780" t="b">
        <f>IF(Metadata!X780="",FALSE,TRUE)</f>
        <v>0</v>
      </c>
      <c r="BL780" t="b">
        <f>OR(AND(IF(Metadata!Y780="",FALSE,TRUE),OR(EXACT(Metadata!Y780,"not collected"),EXACT(Metadata!Y780,"not provided"),EXACT(Metadata!Y780,"restricted access"))),AND(IF(Metadata!Y780="",FALSE,TRUE),OR(EXACT(Metadata!Y780,"TRUE"),EXACT(Metadata!Y780,"FALSE"))))</f>
        <v>0</v>
      </c>
      <c r="BM780" t="b">
        <f>OR(AND(IF(Metadata!Z780="",FALSE,TRUE),EXACT(Metadata!Z780,"not applicable")),AND(IF(Metadata!Z780="",FALSE,TRUE),OR(EXACT(Metadata!Z780,"beer"),EXACT(Metadata!Z780,"cheese"),EXACT(Metadata!Z780,"fresh water"),EXACT(Metadata!Z780,"marine sediment"),EXACT(Metadata!Z780,"sea water"),EXACT(Metadata!Z780,"sediment"),EXACT(Metadata!Z780,"soil"),EXACT(Metadata!Z780,"waste water"))))</f>
        <v>0</v>
      </c>
      <c r="BN780" t="b">
        <f>AND(IF(Metadata!AA780="",FALSE,TRUE),EXACT(Metadata!AA780,"metagenome"))</f>
        <v>0</v>
      </c>
      <c r="BO780" t="b">
        <f>AND(IF(Metadata!AB780="",FALSE,TRUE),EXACT(Metadata!AB780,"256318"))</f>
        <v>0</v>
      </c>
      <c r="BP780" t="b">
        <f>IF(Metadata!AC780="",FALSE,TRUE)</f>
        <v>0</v>
      </c>
      <c r="BQ780" t="b">
        <f>IF(Metadata!AD780="",FALSE,TRUE)</f>
        <v>0</v>
      </c>
    </row>
    <row r="781" spans="1:69" x14ac:dyDescent="0.2">
      <c r="A781" s="4" t="e">
        <f ca="1">IF(B781=" "," ",HYPERLINK(CONCATENATE("#metadata!",ADDRESS(INDEX($AJ$2:$AJ$1001,MATCH(ROWS($AH$2:AH781),$AH$2:$AH$1001,0),0),2)),INDEX($AM$2:$AM$1001,MATCH(ROWS($AH$2:AH781),$AH$2:$AH$1001,0),0)))</f>
        <v>#N/A</v>
      </c>
      <c r="B781" s="5" t="e">
        <f ca="1">IF(OR(INDEX($AI$2:$AI$1001,MATCH(ROWS($AH$2:AH781),$AH$2:$AH$1001,0),1)&gt;=100000,INDEX($AO$1005:$BQ$1005,1,MATCH(COLUMNS($AO$1006:AO1006),$AO$1006:$BQ$1006,0))&gt;=100000), " ",IF(INDEX($AO$2:$BQ$1001,MATCH(ROWS($AH$2:AH781),$AH$2:$AH$1001,0),MATCH(COLUMNS($AO$1006:AO1006),$AO$1006:$BQ$1006,0)), HYPERLINK("#",""), HYPERLINK(CONCATENATE("#Metadata!", ADDRESS(INDEX($AJ$2:$AJ$1001,MATCH(ROWS($AH$2:AH781),$AH$2:$AH$1001,0),0), INDEX($AO$1004:$BQ$1004,1,MATCH(COLUMNS($AO$1006:AO1006),$AO$1006:$BQ$1006,0)))),"Fix")))</f>
        <v>#N/A</v>
      </c>
      <c r="C781" s="5" t="e">
        <f ca="1">IF(OR(INDEX($AI$2:$AI$1001,MATCH(ROWS($AH$2:AH781),$AH$2:$AH$1001,0),1)&gt;=100000,INDEX($AO$1005:$BQ$1005,1,MATCH(COLUMNS($AO$1006:AP1006),$AO$1006:$BQ$1006,0))&gt;=100000), " ",IF(INDEX($AO$2:$BQ$1001,MATCH(ROWS($AH$2:AH781),$AH$2:$AH$1001,0),MATCH(COLUMNS($AO$1006:AP1006),$AO$1006:$BQ$1006,0)), HYPERLINK("#",""), HYPERLINK(CONCATENATE("#Metadata!", ADDRESS(INDEX($AJ$2:$AJ$1001,MATCH(ROWS($AH$2:AH781),$AH$2:$AH$1001,0),0), INDEX($AO$1004:$BQ$1004,1,MATCH(COLUMNS($AO$1006:AP1006),$AO$1006:$BQ$1006,0)))),"Fix")))</f>
        <v>#N/A</v>
      </c>
      <c r="D781" s="5" t="e">
        <f ca="1">IF(OR(INDEX($AI$2:$AI$1001,MATCH(ROWS($AH$2:AH781),$AH$2:$AH$1001,0),1)&gt;=100000,INDEX($AO$1005:$BQ$1005,1,MATCH(COLUMNS($AO$1006:AQ1006),$AO$1006:$BQ$1006,0))&gt;=100000), " ",IF(INDEX($AO$2:$BQ$1001,MATCH(ROWS($AH$2:AH781),$AH$2:$AH$1001,0),MATCH(COLUMNS($AO$1006:AQ1006),$AO$1006:$BQ$1006,0)), HYPERLINK("#",""), HYPERLINK(CONCATENATE("#Metadata!", ADDRESS(INDEX($AJ$2:$AJ$1001,MATCH(ROWS($AH$2:AH781),$AH$2:$AH$1001,0),0), INDEX($AO$1004:$BQ$1004,1,MATCH(COLUMNS($AO$1006:AQ1006),$AO$1006:$BQ$1006,0)))),"Fix")))</f>
        <v>#N/A</v>
      </c>
      <c r="E781" s="5" t="e">
        <f ca="1">IF(OR(INDEX($AI$2:$AI$1001,MATCH(ROWS($AH$2:AH781),$AH$2:$AH$1001,0),1)&gt;=100000,INDEX($AO$1005:$BQ$1005,1,MATCH(COLUMNS($AO$1006:AR1006),$AO$1006:$BQ$1006,0))&gt;=100000), " ",IF(INDEX($AO$2:$BQ$1001,MATCH(ROWS($AH$2:AH781),$AH$2:$AH$1001,0),MATCH(COLUMNS($AO$1006:AR1006),$AO$1006:$BQ$1006,0)), HYPERLINK("#",""), HYPERLINK(CONCATENATE("#Metadata!", ADDRESS(INDEX($AJ$2:$AJ$1001,MATCH(ROWS($AH$2:AH781),$AH$2:$AH$1001,0),0), INDEX($AO$1004:$BQ$1004,1,MATCH(COLUMNS($AO$1006:AR1006),$AO$1006:$BQ$1006,0)))),"Fix")))</f>
        <v>#N/A</v>
      </c>
      <c r="F781" s="5" t="e">
        <f ca="1">IF(OR(INDEX($AI$2:$AI$1001,MATCH(ROWS($AH$2:AH781),$AH$2:$AH$1001,0),1)&gt;=100000,INDEX($AO$1005:$BQ$1005,1,MATCH(COLUMNS($AO$1006:AS1006),$AO$1006:$BQ$1006,0))&gt;=100000), " ",IF(INDEX($AO$2:$BQ$1001,MATCH(ROWS($AH$2:AH781),$AH$2:$AH$1001,0),MATCH(COLUMNS($AO$1006:AS1006),$AO$1006:$BQ$1006,0)), HYPERLINK("#",""), HYPERLINK(CONCATENATE("#Metadata!", ADDRESS(INDEX($AJ$2:$AJ$1001,MATCH(ROWS($AH$2:AH781),$AH$2:$AH$1001,0),0), INDEX($AO$1004:$BQ$1004,1,MATCH(COLUMNS($AO$1006:AS1006),$AO$1006:$BQ$1006,0)))),"Fix")))</f>
        <v>#N/A</v>
      </c>
      <c r="G781" s="5" t="e">
        <f ca="1">IF(OR(INDEX($AI$2:$AI$1001,MATCH(ROWS($AH$2:AH781),$AH$2:$AH$1001,0),1)&gt;=100000,INDEX($AO$1005:$BQ$1005,1,MATCH(COLUMNS($AO$1006:AT1006),$AO$1006:$BQ$1006,0))&gt;=100000), " ",IF(INDEX($AO$2:$BQ$1001,MATCH(ROWS($AH$2:AH781),$AH$2:$AH$1001,0),MATCH(COLUMNS($AO$1006:AT1006),$AO$1006:$BQ$1006,0)), HYPERLINK("#",""), HYPERLINK(CONCATENATE("#Metadata!", ADDRESS(INDEX($AJ$2:$AJ$1001,MATCH(ROWS($AH$2:AH781),$AH$2:$AH$1001,0),0), INDEX($AO$1004:$BQ$1004,1,MATCH(COLUMNS($AO$1006:AT1006),$AO$1006:$BQ$1006,0)))),"Fix")))</f>
        <v>#N/A</v>
      </c>
      <c r="H781" s="5" t="e">
        <f ca="1">IF(OR(INDEX($AI$2:$AI$1001,MATCH(ROWS($AH$2:AH781),$AH$2:$AH$1001,0),1)&gt;=100000,INDEX($AO$1005:$BQ$1005,1,MATCH(COLUMNS($AO$1006:AU1006),$AO$1006:$BQ$1006,0))&gt;=100000), " ",IF(INDEX($AO$2:$BQ$1001,MATCH(ROWS($AH$2:AH781),$AH$2:$AH$1001,0),MATCH(COLUMNS($AO$1006:AU1006),$AO$1006:$BQ$1006,0)), HYPERLINK("#",""), HYPERLINK(CONCATENATE("#Metadata!", ADDRESS(INDEX($AJ$2:$AJ$1001,MATCH(ROWS($AH$2:AH781),$AH$2:$AH$1001,0),0), INDEX($AO$1004:$BQ$1004,1,MATCH(COLUMNS($AO$1006:AU1006),$AO$1006:$BQ$1006,0)))),"Fix")))</f>
        <v>#N/A</v>
      </c>
      <c r="I781" s="5" t="e">
        <f ca="1">IF(OR(INDEX($AI$2:$AI$1001,MATCH(ROWS($AH$2:AH781),$AH$2:$AH$1001,0),1)&gt;=100000,INDEX($AO$1005:$BQ$1005,1,MATCH(COLUMNS($AO$1006:AV1006),$AO$1006:$BQ$1006,0))&gt;=100000), " ",IF(INDEX($AO$2:$BQ$1001,MATCH(ROWS($AH$2:AH781),$AH$2:$AH$1001,0),MATCH(COLUMNS($AO$1006:AV1006),$AO$1006:$BQ$1006,0)), HYPERLINK("#",""), HYPERLINK(CONCATENATE("#Metadata!", ADDRESS(INDEX($AJ$2:$AJ$1001,MATCH(ROWS($AH$2:AH781),$AH$2:$AH$1001,0),0), INDEX($AO$1004:$BQ$1004,1,MATCH(COLUMNS($AO$1006:AV1006),$AO$1006:$BQ$1006,0)))),"Fix")))</f>
        <v>#N/A</v>
      </c>
      <c r="J781" s="5" t="e">
        <f ca="1">IF(OR(INDEX($AI$2:$AI$1001,MATCH(ROWS($AH$2:AH781),$AH$2:$AH$1001,0),1)&gt;=100000,INDEX($AO$1005:$BQ$1005,1,MATCH(COLUMNS($AO$1006:AW1006),$AO$1006:$BQ$1006,0))&gt;=100000), " ",IF(INDEX($AO$2:$BQ$1001,MATCH(ROWS($AH$2:AH781),$AH$2:$AH$1001,0),MATCH(COLUMNS($AO$1006:AW1006),$AO$1006:$BQ$1006,0)), HYPERLINK("#",""), HYPERLINK(CONCATENATE("#Metadata!", ADDRESS(INDEX($AJ$2:$AJ$1001,MATCH(ROWS($AH$2:AH781),$AH$2:$AH$1001,0),0), INDEX($AO$1004:$BQ$1004,1,MATCH(COLUMNS($AO$1006:AW1006),$AO$1006:$BQ$1006,0)))),"Fix")))</f>
        <v>#N/A</v>
      </c>
      <c r="K781" s="5" t="e">
        <f ca="1">IF(OR(INDEX($AI$2:$AI$1001,MATCH(ROWS($AH$2:AH781),$AH$2:$AH$1001,0),1)&gt;=100000,INDEX($AO$1005:$BQ$1005,1,MATCH(COLUMNS($AO$1006:AX1006),$AO$1006:$BQ$1006,0))&gt;=100000), " ",IF(INDEX($AO$2:$BQ$1001,MATCH(ROWS($AH$2:AH781),$AH$2:$AH$1001,0),MATCH(COLUMNS($AO$1006:AX1006),$AO$1006:$BQ$1006,0)), HYPERLINK("#",""), HYPERLINK(CONCATENATE("#Metadata!", ADDRESS(INDEX($AJ$2:$AJ$1001,MATCH(ROWS($AH$2:AH781),$AH$2:$AH$1001,0),0), INDEX($AO$1004:$BQ$1004,1,MATCH(COLUMNS($AO$1006:AX1006),$AO$1006:$BQ$1006,0)))),"Fix")))</f>
        <v>#N/A</v>
      </c>
      <c r="L781" s="5" t="e">
        <f ca="1">IF(OR(INDEX($AI$2:$AI$1001,MATCH(ROWS($AH$2:AH781),$AH$2:$AH$1001,0),1)&gt;=100000,INDEX($AO$1005:$BQ$1005,1,MATCH(COLUMNS($AO$1006:AY1006),$AO$1006:$BQ$1006,0))&gt;=100000), " ",IF(INDEX($AO$2:$BQ$1001,MATCH(ROWS($AH$2:AH781),$AH$2:$AH$1001,0),MATCH(COLUMNS($AO$1006:AY1006),$AO$1006:$BQ$1006,0)), HYPERLINK("#",""), HYPERLINK(CONCATENATE("#Metadata!", ADDRESS(INDEX($AJ$2:$AJ$1001,MATCH(ROWS($AH$2:AH781),$AH$2:$AH$1001,0),0), INDEX($AO$1004:$BQ$1004,1,MATCH(COLUMNS($AO$1006:AY1006),$AO$1006:$BQ$1006,0)))),"Fix")))</f>
        <v>#N/A</v>
      </c>
      <c r="M781" s="5" t="e">
        <f ca="1">IF(OR(INDEX($AI$2:$AI$1001,MATCH(ROWS($AH$2:AH781),$AH$2:$AH$1001,0),1)&gt;=100000,INDEX($AO$1005:$BQ$1005,1,MATCH(COLUMNS($AO$1006:AZ1006),$AO$1006:$BQ$1006,0))&gt;=100000), " ",IF(INDEX($AO$2:$BQ$1001,MATCH(ROWS($AH$2:AH781),$AH$2:$AH$1001,0),MATCH(COLUMNS($AO$1006:AZ1006),$AO$1006:$BQ$1006,0)), HYPERLINK("#",""), HYPERLINK(CONCATENATE("#Metadata!", ADDRESS(INDEX($AJ$2:$AJ$1001,MATCH(ROWS($AH$2:AH781),$AH$2:$AH$1001,0),0), INDEX($AO$1004:$BQ$1004,1,MATCH(COLUMNS($AO$1006:AZ1006),$AO$1006:$BQ$1006,0)))),"Fix")))</f>
        <v>#N/A</v>
      </c>
      <c r="N781" s="5" t="e">
        <f ca="1">IF(OR(INDEX($AI$2:$AI$1001,MATCH(ROWS($AH$2:AH781),$AH$2:$AH$1001,0),1)&gt;=100000,INDEX($AO$1005:$BQ$1005,1,MATCH(COLUMNS($AO$1006:BA1006),$AO$1006:$BQ$1006,0))&gt;=100000), " ",IF(INDEX($AO$2:$BQ$1001,MATCH(ROWS($AH$2:AH781),$AH$2:$AH$1001,0),MATCH(COLUMNS($AO$1006:BA1006),$AO$1006:$BQ$1006,0)), HYPERLINK("#",""), HYPERLINK(CONCATENATE("#Metadata!", ADDRESS(INDEX($AJ$2:$AJ$1001,MATCH(ROWS($AH$2:AH781),$AH$2:$AH$1001,0),0), INDEX($AO$1004:$BQ$1004,1,MATCH(COLUMNS($AO$1006:BA1006),$AO$1006:$BQ$1006,0)))),"Fix")))</f>
        <v>#N/A</v>
      </c>
      <c r="O781" s="5" t="e">
        <f ca="1">IF(OR(INDEX($AI$2:$AI$1001,MATCH(ROWS($AH$2:AH781),$AH$2:$AH$1001,0),1)&gt;=100000,INDEX($AO$1005:$BQ$1005,1,MATCH(COLUMNS($AO$1006:BB1006),$AO$1006:$BQ$1006,0))&gt;=100000), " ",IF(INDEX($AO$2:$BQ$1001,MATCH(ROWS($AH$2:AH781),$AH$2:$AH$1001,0),MATCH(COLUMNS($AO$1006:BB1006),$AO$1006:$BQ$1006,0)), HYPERLINK("#",""), HYPERLINK(CONCATENATE("#Metadata!", ADDRESS(INDEX($AJ$2:$AJ$1001,MATCH(ROWS($AH$2:AH781),$AH$2:$AH$1001,0),0), INDEX($AO$1004:$BQ$1004,1,MATCH(COLUMNS($AO$1006:BB1006),$AO$1006:$BQ$1006,0)))),"Fix")))</f>
        <v>#N/A</v>
      </c>
      <c r="P781" s="5" t="e">
        <f ca="1">IF(OR(INDEX($AI$2:$AI$1001,MATCH(ROWS($AH$2:AH781),$AH$2:$AH$1001,0),1)&gt;=100000,INDEX($AO$1005:$BQ$1005,1,MATCH(COLUMNS($AO$1006:BC1006),$AO$1006:$BQ$1006,0))&gt;=100000), " ",IF(INDEX($AO$2:$BQ$1001,MATCH(ROWS($AH$2:AH781),$AH$2:$AH$1001,0),MATCH(COLUMNS($AO$1006:BC1006),$AO$1006:$BQ$1006,0)), HYPERLINK("#",""), HYPERLINK(CONCATENATE("#Metadata!", ADDRESS(INDEX($AJ$2:$AJ$1001,MATCH(ROWS($AH$2:AH781),$AH$2:$AH$1001,0),0), INDEX($AO$1004:$BQ$1004,1,MATCH(COLUMNS($AO$1006:BC1006),$AO$1006:$BQ$1006,0)))),"Fix")))</f>
        <v>#N/A</v>
      </c>
      <c r="Q781" s="5" t="e">
        <f ca="1">IF(OR(INDEX($AI$2:$AI$1001,MATCH(ROWS($AH$2:AH781),$AH$2:$AH$1001,0),1)&gt;=100000,INDEX($AO$1005:$BQ$1005,1,MATCH(COLUMNS($AO$1006:BD1006),$AO$1006:$BQ$1006,0))&gt;=100000), " ",IF(INDEX($AO$2:$BQ$1001,MATCH(ROWS($AH$2:AH781),$AH$2:$AH$1001,0),MATCH(COLUMNS($AO$1006:BD1006),$AO$1006:$BQ$1006,0)), HYPERLINK("#",""), HYPERLINK(CONCATENATE("#Metadata!", ADDRESS(INDEX($AJ$2:$AJ$1001,MATCH(ROWS($AH$2:AH781),$AH$2:$AH$1001,0),0), INDEX($AO$1004:$BQ$1004,1,MATCH(COLUMNS($AO$1006:BD1006),$AO$1006:$BQ$1006,0)))),"Fix")))</f>
        <v>#N/A</v>
      </c>
      <c r="R781" s="5" t="e">
        <f ca="1">IF(OR(INDEX($AI$2:$AI$1001,MATCH(ROWS($AH$2:AH781),$AH$2:$AH$1001,0),1)&gt;=100000,INDEX($AO$1005:$BQ$1005,1,MATCH(COLUMNS($AO$1006:BE1006),$AO$1006:$BQ$1006,0))&gt;=100000), " ",IF(INDEX($AO$2:$BQ$1001,MATCH(ROWS($AH$2:AH781),$AH$2:$AH$1001,0),MATCH(COLUMNS($AO$1006:BE1006),$AO$1006:$BQ$1006,0)), HYPERLINK("#",""), HYPERLINK(CONCATENATE("#Metadata!", ADDRESS(INDEX($AJ$2:$AJ$1001,MATCH(ROWS($AH$2:AH781),$AH$2:$AH$1001,0),0), INDEX($AO$1004:$BQ$1004,1,MATCH(COLUMNS($AO$1006:BE1006),$AO$1006:$BQ$1006,0)))),"Fix")))</f>
        <v>#N/A</v>
      </c>
      <c r="S781" s="5" t="e">
        <f ca="1">IF(OR(INDEX($AI$2:$AI$1001,MATCH(ROWS($AH$2:AH781),$AH$2:$AH$1001,0),1)&gt;=100000,INDEX($AO$1005:$BQ$1005,1,MATCH(COLUMNS($AO$1006:BF1006),$AO$1006:$BQ$1006,0))&gt;=100000), " ",IF(INDEX($AO$2:$BQ$1001,MATCH(ROWS($AH$2:AH781),$AH$2:$AH$1001,0),MATCH(COLUMNS($AO$1006:BF1006),$AO$1006:$BQ$1006,0)), HYPERLINK("#",""), HYPERLINK(CONCATENATE("#Metadata!", ADDRESS(INDEX($AJ$2:$AJ$1001,MATCH(ROWS($AH$2:AH781),$AH$2:$AH$1001,0),0), INDEX($AO$1004:$BQ$1004,1,MATCH(COLUMNS($AO$1006:BF1006),$AO$1006:$BQ$1006,0)))),"Fix")))</f>
        <v>#N/A</v>
      </c>
      <c r="T781" s="5" t="e">
        <f ca="1">IF(OR(INDEX($AI$2:$AI$1001,MATCH(ROWS($AH$2:AH781),$AH$2:$AH$1001,0),1)&gt;=100000,INDEX($AO$1005:$BQ$1005,1,MATCH(COLUMNS($AO$1006:BG1006),$AO$1006:$BQ$1006,0))&gt;=100000), " ",IF(INDEX($AO$2:$BQ$1001,MATCH(ROWS($AH$2:AH781),$AH$2:$AH$1001,0),MATCH(COLUMNS($AO$1006:BG1006),$AO$1006:$BQ$1006,0)), HYPERLINK("#",""), HYPERLINK(CONCATENATE("#Metadata!", ADDRESS(INDEX($AJ$2:$AJ$1001,MATCH(ROWS($AH$2:AH781),$AH$2:$AH$1001,0),0), INDEX($AO$1004:$BQ$1004,1,MATCH(COLUMNS($AO$1006:BG1006),$AO$1006:$BQ$1006,0)))),"Fix")))</f>
        <v>#N/A</v>
      </c>
      <c r="U781" s="5" t="e">
        <f ca="1">IF(OR(INDEX($AI$2:$AI$1001,MATCH(ROWS($AH$2:AH781),$AH$2:$AH$1001,0),1)&gt;=100000,INDEX($AO$1005:$BQ$1005,1,MATCH(COLUMNS($AO$1006:BH1006),$AO$1006:$BQ$1006,0))&gt;=100000), " ",IF(INDEX($AO$2:$BQ$1001,MATCH(ROWS($AH$2:AH781),$AH$2:$AH$1001,0),MATCH(COLUMNS($AO$1006:BH1006),$AO$1006:$BQ$1006,0)), HYPERLINK("#",""), HYPERLINK(CONCATENATE("#Metadata!", ADDRESS(INDEX($AJ$2:$AJ$1001,MATCH(ROWS($AH$2:AH781),$AH$2:$AH$1001,0),0), INDEX($AO$1004:$BQ$1004,1,MATCH(COLUMNS($AO$1006:BH1006),$AO$1006:$BQ$1006,0)))),"Fix")))</f>
        <v>#N/A</v>
      </c>
      <c r="V781" s="5" t="e">
        <f ca="1">IF(OR(INDEX($AI$2:$AI$1001,MATCH(ROWS($AH$2:AH781),$AH$2:$AH$1001,0),1)&gt;=100000,INDEX($AO$1005:$BQ$1005,1,MATCH(COLUMNS($AO$1006:BI1006),$AO$1006:$BQ$1006,0))&gt;=100000), " ",IF(INDEX($AO$2:$BQ$1001,MATCH(ROWS($AH$2:AH781),$AH$2:$AH$1001,0),MATCH(COLUMNS($AO$1006:BI1006),$AO$1006:$BQ$1006,0)), HYPERLINK("#",""), HYPERLINK(CONCATENATE("#Metadata!", ADDRESS(INDEX($AJ$2:$AJ$1001,MATCH(ROWS($AH$2:AH781),$AH$2:$AH$1001,0),0), INDEX($AO$1004:$BQ$1004,1,MATCH(COLUMNS($AO$1006:BI1006),$AO$1006:$BQ$1006,0)))),"Fix")))</f>
        <v>#N/A</v>
      </c>
      <c r="W781" s="5" t="e">
        <f ca="1">IF(OR(INDEX($AI$2:$AI$1001,MATCH(ROWS($AH$2:AH781),$AH$2:$AH$1001,0),1)&gt;=100000,INDEX($AO$1005:$BQ$1005,1,MATCH(COLUMNS($AO$1006:BJ1006),$AO$1006:$BQ$1006,0))&gt;=100000), " ",IF(INDEX($AO$2:$BQ$1001,MATCH(ROWS($AH$2:AH781),$AH$2:$AH$1001,0),MATCH(COLUMNS($AO$1006:BJ1006),$AO$1006:$BQ$1006,0)), HYPERLINK("#",""), HYPERLINK(CONCATENATE("#Metadata!", ADDRESS(INDEX($AJ$2:$AJ$1001,MATCH(ROWS($AH$2:AH781),$AH$2:$AH$1001,0),0), INDEX($AO$1004:$BQ$1004,1,MATCH(COLUMNS($AO$1006:BJ1006),$AO$1006:$BQ$1006,0)))),"Fix")))</f>
        <v>#N/A</v>
      </c>
      <c r="X781" s="5" t="e">
        <f ca="1">IF(OR(INDEX($AI$2:$AI$1001,MATCH(ROWS($AH$2:AH781),$AH$2:$AH$1001,0),1)&gt;=100000,INDEX($AO$1005:$BQ$1005,1,MATCH(COLUMNS($AO$1006:BK1006),$AO$1006:$BQ$1006,0))&gt;=100000), " ",IF(INDEX($AO$2:$BQ$1001,MATCH(ROWS($AH$2:AH781),$AH$2:$AH$1001,0),MATCH(COLUMNS($AO$1006:BK1006),$AO$1006:$BQ$1006,0)), HYPERLINK("#",""), HYPERLINK(CONCATENATE("#Metadata!", ADDRESS(INDEX($AJ$2:$AJ$1001,MATCH(ROWS($AH$2:AH781),$AH$2:$AH$1001,0),0), INDEX($AO$1004:$BQ$1004,1,MATCH(COLUMNS($AO$1006:BK1006),$AO$1006:$BQ$1006,0)))),"Fix")))</f>
        <v>#N/A</v>
      </c>
      <c r="Y781" s="5" t="e">
        <f ca="1">IF(OR(INDEX($AI$2:$AI$1001,MATCH(ROWS($AH$2:AH781),$AH$2:$AH$1001,0),1)&gt;=100000,INDEX($AO$1005:$BQ$1005,1,MATCH(COLUMNS($AO$1006:BL1006),$AO$1006:$BQ$1006,0))&gt;=100000), " ",IF(INDEX($AO$2:$BQ$1001,MATCH(ROWS($AH$2:AH781),$AH$2:$AH$1001,0),MATCH(COLUMNS($AO$1006:BL1006),$AO$1006:$BQ$1006,0)), HYPERLINK("#",""), HYPERLINK(CONCATENATE("#Metadata!", ADDRESS(INDEX($AJ$2:$AJ$1001,MATCH(ROWS($AH$2:AH781),$AH$2:$AH$1001,0),0), INDEX($AO$1004:$BQ$1004,1,MATCH(COLUMNS($AO$1006:BL1006),$AO$1006:$BQ$1006,0)))),"Fix")))</f>
        <v>#N/A</v>
      </c>
      <c r="Z781" s="5" t="e">
        <f ca="1">IF(OR(INDEX($AI$2:$AI$1001,MATCH(ROWS($AH$2:AH781),$AH$2:$AH$1001,0),1)&gt;=100000,INDEX($AO$1005:$BQ$1005,1,MATCH(COLUMNS($AO$1006:BM1006),$AO$1006:$BQ$1006,0))&gt;=100000), " ",IF(INDEX($AO$2:$BQ$1001,MATCH(ROWS($AH$2:AH781),$AH$2:$AH$1001,0),MATCH(COLUMNS($AO$1006:BM1006),$AO$1006:$BQ$1006,0)), HYPERLINK("#",""), HYPERLINK(CONCATENATE("#Metadata!", ADDRESS(INDEX($AJ$2:$AJ$1001,MATCH(ROWS($AH$2:AH781),$AH$2:$AH$1001,0),0), INDEX($AO$1004:$BQ$1004,1,MATCH(COLUMNS($AO$1006:BM1006),$AO$1006:$BQ$1006,0)))),"Fix")))</f>
        <v>#N/A</v>
      </c>
      <c r="AA781" s="5" t="e">
        <f ca="1">IF(OR(INDEX($AI$2:$AI$1001,MATCH(ROWS($AH$2:AH781),$AH$2:$AH$1001,0),1)&gt;=100000,INDEX($AO$1005:$BQ$1005,1,MATCH(COLUMNS($AO$1006:BN1006),$AO$1006:$BQ$1006,0))&gt;=100000), " ",IF(INDEX($AO$2:$BQ$1001,MATCH(ROWS($AH$2:AH781),$AH$2:$AH$1001,0),MATCH(COLUMNS($AO$1006:BN1006),$AO$1006:$BQ$1006,0)), HYPERLINK("#",""), HYPERLINK(CONCATENATE("#Metadata!", ADDRESS(INDEX($AJ$2:$AJ$1001,MATCH(ROWS($AH$2:AH781),$AH$2:$AH$1001,0),0), INDEX($AO$1004:$BQ$1004,1,MATCH(COLUMNS($AO$1006:BN1006),$AO$1006:$BQ$1006,0)))),"Fix")))</f>
        <v>#N/A</v>
      </c>
      <c r="AB781" s="5" t="e">
        <f ca="1">IF(OR(INDEX($AI$2:$AI$1001,MATCH(ROWS($AH$2:AH781),$AH$2:$AH$1001,0),1)&gt;=100000,INDEX($AO$1005:$BQ$1005,1,MATCH(COLUMNS($AO$1006:BO1006),$AO$1006:$BQ$1006,0))&gt;=100000), " ",IF(INDEX($AO$2:$BQ$1001,MATCH(ROWS($AH$2:AH781),$AH$2:$AH$1001,0),MATCH(COLUMNS($AO$1006:BO1006),$AO$1006:$BQ$1006,0)), HYPERLINK("#",""), HYPERLINK(CONCATENATE("#Metadata!", ADDRESS(INDEX($AJ$2:$AJ$1001,MATCH(ROWS($AH$2:AH781),$AH$2:$AH$1001,0),0), INDEX($AO$1004:$BQ$1004,1,MATCH(COLUMNS($AO$1006:BO1006),$AO$1006:$BQ$1006,0)))),"Fix")))</f>
        <v>#N/A</v>
      </c>
      <c r="AC781" s="5" t="e">
        <f ca="1">IF(OR(INDEX($AI$2:$AI$1001,MATCH(ROWS($AH$2:AH781),$AH$2:$AH$1001,0),1)&gt;=100000,INDEX($AO$1005:$BQ$1005,1,MATCH(COLUMNS($AO$1006:BP1006),$AO$1006:$BQ$1006,0))&gt;=100000), " ",IF(INDEX($AO$2:$BQ$1001,MATCH(ROWS($AH$2:AH781),$AH$2:$AH$1001,0),MATCH(COLUMNS($AO$1006:BP1006),$AO$1006:$BQ$1006,0)), HYPERLINK("#",""), HYPERLINK(CONCATENATE("#Metadata!", ADDRESS(INDEX($AJ$2:$AJ$1001,MATCH(ROWS($AH$2:AH781),$AH$2:$AH$1001,0),0), INDEX($AO$1004:$BQ$1004,1,MATCH(COLUMNS($AO$1006:BP1006),$AO$1006:$BQ$1006,0)))),"Fix")))</f>
        <v>#N/A</v>
      </c>
      <c r="AD781" s="5" t="e">
        <f ca="1">IF(OR(INDEX($AI$2:$AI$1001,MATCH(ROWS($AH$2:AH781),$AH$2:$AH$1001,0),1)&gt;=100000,INDEX($AO$1005:$BQ$1005,1,MATCH(COLUMNS($AO$1006:BQ1006),$AO$1006:$BQ$1006,0))&gt;=100000), " ",IF(INDEX($AO$2:$BQ$1001,MATCH(ROWS($AH$2:AH781),$AH$2:$AH$1001,0),MATCH(COLUMNS($AO$1006:BQ1006),$AO$1006:$BQ$1006,0)), HYPERLINK("#",""), HYPERLINK(CONCATENATE("#Metadata!", ADDRESS(INDEX($AJ$2:$AJ$1001,MATCH(ROWS($AH$2:AH781),$AH$2:$AH$1001,0),0), INDEX($AO$1004:$BQ$1004,1,MATCH(COLUMNS($AO$1006:BQ1006),$AO$1006:$BQ$1006,0)))),"Fix")))</f>
        <v>#REF!</v>
      </c>
      <c r="AH781">
        <f ca="1"/>
        <v>778</v>
      </c>
      <c r="AI781">
        <v>100781</v>
      </c>
      <c r="AJ781">
        <v>781</v>
      </c>
      <c r="AK781" t="b">
        <f t="shared" si="12"/>
        <v>1</v>
      </c>
      <c r="AL781" t="b">
        <f>COUNTBLANK(Metadata!B781:AD781)=COLUMNS(Metadata!B781:AD781)</f>
        <v>1</v>
      </c>
      <c r="AM781" t="str">
        <v/>
      </c>
      <c r="AO781" t="b">
        <f ca="1">AND(IF(Metadata!B781="",FALSE,TRUE),COUNTIF(Metadata!B:B, Metadata!B781) = 1,NOT(ISERROR(SUMPRODUCT(SEARCH(MID(Metadata!B781,ROW(INDIRECT("1:"&amp;LEN(Metadata!B781))), 1),"0123456789abcdefghijklmnopqrstuvwxyzABCDEFGHIJKLMNOPQRSTUVWXYZ.")))))</f>
        <v>0</v>
      </c>
      <c r="AP781" t="b">
        <f>IF(Metadata!C781="",FALSE,TRUE)</f>
        <v>0</v>
      </c>
      <c r="AQ781" t="b">
        <f>IF(Metadata!D781="",FALSE,TRUE)</f>
        <v>0</v>
      </c>
      <c r="AR781" t="b">
        <f ca="1">OR(AND(IF(Metadata!E781="",FALSE,TRUE),OR(EXACT(Metadata!E781,"not collected"),EXACT(Metadata!E781,"not provided"),EXACT(Metadata!E781,"restricted access"))),AND(IF(Metadata!E781="",FALSE,TRUE),AND(AND(IFERROR(INT(LEFT(Metadata!E781,4))&gt;1900,FALSE),IFERROR(INT(LEFT(Metadata!E781,4))&lt;=YEAR(NOW()),FALSE)), OR(MID(Metadata!E781,5,1)="", AND(AND(MID(Metadata!E781,5,1)="-",IFERROR(INT(MID(Metadata!E781,6,1))&gt;=0,FALSE),IFERROR(INT(MID(Metadata!E781,6,1))&lt;=1,FALSE),NOT(MID(Metadata!E781,7,1)=""),IFERROR(INT(MID(Metadata!E781,6,2))&gt;=1,FALSE),IFERROR(INT(MID(Metadata!E781,6,2))&lt;=12,FALSE)), OR(MID(Metadata!E781,8,1)="", AND(AND(MID(Metadata!E781,8,1)="-",IFERROR(INT(MID(Metadata!E781,9,1))&gt;=0,FALSE),IFERROR(INT(MID(Metadata!E781,9,1))&lt;=3,FALSE),NOT(MID(Metadata!E781,10,1)=""),IFERROR(INT(MID(Metadata!E781,9,2))&gt;=1,FALSE),IFERROR(INT(MID(Metadata!E781,9,2))&lt;=31,FALSE)), OR(MID(Metadata!E781,11,1)="", AND(AND(MID(Metadata!E781,11,1)=" ",IFERROR(INT(MID(Metadata!E781,12,1))&gt;=0,FALSE),IFERROR(INT(MID(Metadata!E781,12,1))&lt;=2,FALSE),NOT(MID(Metadata!E781,13,1)=""),IFERROR(INT(MID(Metadata!E781,12,2))&gt;=0,FALSE),IFERROR(INT(MID(Metadata!E781,12,2))&lt;=23,FALSE)), OR(MID(Metadata!E781,14,1)="", AND(AND(MID(Metadata!E781,14,1)=":",IFERROR(INT(MID(Metadata!E781,15,1))&gt;=0,FALSE),IFERROR(INT(MID(Metadata!E781,15,1))&lt;=5,FALSE),NOT(MID(Metadata!E781,16,1)=""),IFERROR(INT(MID(Metadata!E781,15,2))&gt;=0,FALSE),IFERROR(INT(MID(Metadata!E781,15,2))&lt;=59,FALSE)), OR(MID(Metadata!E781,17,1)="", AND(AND(MID(Metadata!E781,17,1)=":",IFERROR(INT(MID(Metadata!E781,18,1))&gt;=0,FALSE),IFERROR(INT(MID(Metadata!E781,18,1))&lt;=5,FALSE),NOT(MID(Metadata!E781,19,1)=""),IFERROR(INT(MID(Metadata!E781,18,2))&gt;=0,FALSE),IFERROR(INT(MID(Metadata!E781,18,2))&lt;=59,FALSE)), LEN(Metadata!E781)&lt;=19)))))))))))))</f>
        <v>0</v>
      </c>
      <c r="AS781" t="b">
        <f>IF(Metadata!F781="",FALSE,TRUE)</f>
        <v>0</v>
      </c>
      <c r="AT781" t="b">
        <f>OR(AND(IF(Metadata!G781="",FALSE,TRUE),OR(EXACT(Metadata!G781,"not collected"),EXACT(Metadata!G781,"not provided"))),AND(IF(Metadata!G781="",FALSE,TRUE),OR(EXACT(Metadata!G781,"TRUE"),EXACT(Metadata!G781,"FALSE"))))</f>
        <v>0</v>
      </c>
      <c r="AU781" t="b">
        <f>OR(AND(IF(Metadata!H781="",FALSE,TRUE),OR(EXACT(Metadata!H781,"not collected"),EXACT(Metadata!H781,"not provided"),EXACT(Metadata!H781,"restricted access"))),AND(IF(Metadata!H781="",FALSE,ISNUMBER(VALUE(Metadata!H781))),Metadata!H781&gt;=-413))</f>
        <v>0</v>
      </c>
      <c r="AV781" t="b">
        <f>AND(IF(Metadata!I781="",FALSE,TRUE),EXACT(Metadata!I781,"meters"))</f>
        <v>0</v>
      </c>
      <c r="AW781" t="b">
        <f>AND(IF(Metadata!J781="",FALSE,TRUE),EXACT(Metadata!J781,"free-living"))</f>
        <v>0</v>
      </c>
      <c r="AX781" t="b">
        <f>AND(IF(Metadata!K781="",FALSE,TRUE),OR(EXACT(Metadata!K781,"saline"),EXACT(Metadata!K781,"non-saline")))</f>
        <v>0</v>
      </c>
      <c r="AY781" t="b">
        <f>AND(IF(Metadata!L781="",FALSE,TRUE),OR(EXACT(Metadata!L781,"sub-surface (non-saline)"),EXACT(Metadata!L781,"surface (non-saline)"),EXACT(Metadata!L781,"water (non-saline)"),EXACT(Metadata!L781,"soil (non-saline)"),EXACT(Metadata!L781,"aerosol (non-saline)"),EXACT(Metadata!L781,"sediment (non-saline)"),EXACT(Metadata!L781,"surface (saline)"),EXACT(Metadata!L781,"water (saline)"),EXACT(Metadata!L781,"hypersaline (saline)"),EXACT(Metadata!L781,"aerosol (saline)"),EXACT(Metadata!L781,"sediment (saline)")))</f>
        <v>0</v>
      </c>
      <c r="AZ781" t="b">
        <f>IF(Metadata!M781="",FALSE,TRUE)</f>
        <v>0</v>
      </c>
      <c r="BA781" t="b">
        <f>IF(Metadata!N781="",FALSE,TRUE)</f>
        <v>0</v>
      </c>
      <c r="BB781" t="b">
        <f>IF(Metadata!O781="",FALSE,TRUE)</f>
        <v>0</v>
      </c>
      <c r="BC781" t="b">
        <f>AND(IF(Metadata!P781="",FALSE,TRUE),OR(EXACT(Metadata!P781,"air"),EXACT(Metadata!P781,"microbial mat/biofilm"),EXACT(Metadata!P781,"misc environment"),EXACT(Metadata!P781,"sediment"),EXACT(Metadata!P781,"soil"),EXACT(Metadata!P781,"wastewater/sludge"),EXACT(Metadata!P781,"water")))</f>
        <v>0</v>
      </c>
      <c r="BD781" t="b">
        <f>IF(Metadata!Q781="",FALSE,TRUE)</f>
        <v>0</v>
      </c>
      <c r="BE781" t="b">
        <f>IF(Metadata!R781="",FALSE,TRUE)</f>
        <v>0</v>
      </c>
      <c r="BF781" t="b">
        <f>OR(AND(IF(Metadata!S781="",FALSE,TRUE),OR(EXACT(Metadata!S781,"not collected"),EXACT(Metadata!S781,"not provided"),EXACT(Metadata!S781,"restricted access"))),AND(IF(Metadata!S781="",FALSE,ISNUMBER(VALUE(Metadata!S781))),Metadata!S781&gt;=-90,Metadata!S781&lt;=90))</f>
        <v>0</v>
      </c>
      <c r="BG781" t="b">
        <f>AND(IF(Metadata!T781="",FALSE,TRUE),EXACT(Metadata!T781,"Decimal degrees"))</f>
        <v>0</v>
      </c>
      <c r="BH781" t="b">
        <f>OR(AND(IF(Metadata!U781="",FALSE,TRUE),OR(EXACT(Metadata!U781,"not applicable"),EXACT(Metadata!U781,"not collected"))),IF(Metadata!U781="",FALSE,TRUE))</f>
        <v>0</v>
      </c>
      <c r="BI781" t="b">
        <f>OR(AND(IF(Metadata!V781="",FALSE,TRUE),OR(EXACT(Metadata!V781,"not collected"),EXACT(Metadata!V781,"not provided"),EXACT(Metadata!V781,"restricted access"))),AND(IF(Metadata!V781="",FALSE,ISNUMBER(VALUE(Metadata!V781))),Metadata!V781&gt;=-180,Metadata!V781&lt;=180))</f>
        <v>0</v>
      </c>
      <c r="BJ781" t="b">
        <f>AND(IF(Metadata!W781="",FALSE,TRUE),EXACT(Metadata!W781,"Decimal degrees"))</f>
        <v>0</v>
      </c>
      <c r="BK781" t="b">
        <f>IF(Metadata!X781="",FALSE,TRUE)</f>
        <v>0</v>
      </c>
      <c r="BL781" t="b">
        <f>OR(AND(IF(Metadata!Y781="",FALSE,TRUE),OR(EXACT(Metadata!Y781,"not collected"),EXACT(Metadata!Y781,"not provided"),EXACT(Metadata!Y781,"restricted access"))),AND(IF(Metadata!Y781="",FALSE,TRUE),OR(EXACT(Metadata!Y781,"TRUE"),EXACT(Metadata!Y781,"FALSE"))))</f>
        <v>0</v>
      </c>
      <c r="BM781" t="b">
        <f>OR(AND(IF(Metadata!Z781="",FALSE,TRUE),EXACT(Metadata!Z781,"not applicable")),AND(IF(Metadata!Z781="",FALSE,TRUE),OR(EXACT(Metadata!Z781,"beer"),EXACT(Metadata!Z781,"cheese"),EXACT(Metadata!Z781,"fresh water"),EXACT(Metadata!Z781,"marine sediment"),EXACT(Metadata!Z781,"sea water"),EXACT(Metadata!Z781,"sediment"),EXACT(Metadata!Z781,"soil"),EXACT(Metadata!Z781,"waste water"))))</f>
        <v>0</v>
      </c>
      <c r="BN781" t="b">
        <f>AND(IF(Metadata!AA781="",FALSE,TRUE),EXACT(Metadata!AA781,"metagenome"))</f>
        <v>0</v>
      </c>
      <c r="BO781" t="b">
        <f>AND(IF(Metadata!AB781="",FALSE,TRUE),EXACT(Metadata!AB781,"256318"))</f>
        <v>0</v>
      </c>
      <c r="BP781" t="b">
        <f>IF(Metadata!AC781="",FALSE,TRUE)</f>
        <v>0</v>
      </c>
      <c r="BQ781" t="b">
        <f>IF(Metadata!AD781="",FALSE,TRUE)</f>
        <v>0</v>
      </c>
    </row>
    <row r="782" spans="1:69" x14ac:dyDescent="0.2">
      <c r="A782" s="4" t="e">
        <f ca="1">IF(B782=" "," ",HYPERLINK(CONCATENATE("#metadata!",ADDRESS(INDEX($AJ$2:$AJ$1001,MATCH(ROWS($AH$2:AH782),$AH$2:$AH$1001,0),0),2)),INDEX($AM$2:$AM$1001,MATCH(ROWS($AH$2:AH782),$AH$2:$AH$1001,0),0)))</f>
        <v>#N/A</v>
      </c>
      <c r="B782" s="5" t="e">
        <f ca="1">IF(OR(INDEX($AI$2:$AI$1001,MATCH(ROWS($AH$2:AH782),$AH$2:$AH$1001,0),1)&gt;=100000,INDEX($AO$1005:$BQ$1005,1,MATCH(COLUMNS($AO$1006:AO1006),$AO$1006:$BQ$1006,0))&gt;=100000), " ",IF(INDEX($AO$2:$BQ$1001,MATCH(ROWS($AH$2:AH782),$AH$2:$AH$1001,0),MATCH(COLUMNS($AO$1006:AO1006),$AO$1006:$BQ$1006,0)), HYPERLINK("#",""), HYPERLINK(CONCATENATE("#Metadata!", ADDRESS(INDEX($AJ$2:$AJ$1001,MATCH(ROWS($AH$2:AH782),$AH$2:$AH$1001,0),0), INDEX($AO$1004:$BQ$1004,1,MATCH(COLUMNS($AO$1006:AO1006),$AO$1006:$BQ$1006,0)))),"Fix")))</f>
        <v>#N/A</v>
      </c>
      <c r="C782" s="5" t="e">
        <f ca="1">IF(OR(INDEX($AI$2:$AI$1001,MATCH(ROWS($AH$2:AH782),$AH$2:$AH$1001,0),1)&gt;=100000,INDEX($AO$1005:$BQ$1005,1,MATCH(COLUMNS($AO$1006:AP1006),$AO$1006:$BQ$1006,0))&gt;=100000), " ",IF(INDEX($AO$2:$BQ$1001,MATCH(ROWS($AH$2:AH782),$AH$2:$AH$1001,0),MATCH(COLUMNS($AO$1006:AP1006),$AO$1006:$BQ$1006,0)), HYPERLINK("#",""), HYPERLINK(CONCATENATE("#Metadata!", ADDRESS(INDEX($AJ$2:$AJ$1001,MATCH(ROWS($AH$2:AH782),$AH$2:$AH$1001,0),0), INDEX($AO$1004:$BQ$1004,1,MATCH(COLUMNS($AO$1006:AP1006),$AO$1006:$BQ$1006,0)))),"Fix")))</f>
        <v>#N/A</v>
      </c>
      <c r="D782" s="5" t="e">
        <f ca="1">IF(OR(INDEX($AI$2:$AI$1001,MATCH(ROWS($AH$2:AH782),$AH$2:$AH$1001,0),1)&gt;=100000,INDEX($AO$1005:$BQ$1005,1,MATCH(COLUMNS($AO$1006:AQ1006),$AO$1006:$BQ$1006,0))&gt;=100000), " ",IF(INDEX($AO$2:$BQ$1001,MATCH(ROWS($AH$2:AH782),$AH$2:$AH$1001,0),MATCH(COLUMNS($AO$1006:AQ1006),$AO$1006:$BQ$1006,0)), HYPERLINK("#",""), HYPERLINK(CONCATENATE("#Metadata!", ADDRESS(INDEX($AJ$2:$AJ$1001,MATCH(ROWS($AH$2:AH782),$AH$2:$AH$1001,0),0), INDEX($AO$1004:$BQ$1004,1,MATCH(COLUMNS($AO$1006:AQ1006),$AO$1006:$BQ$1006,0)))),"Fix")))</f>
        <v>#N/A</v>
      </c>
      <c r="E782" s="5" t="e">
        <f ca="1">IF(OR(INDEX($AI$2:$AI$1001,MATCH(ROWS($AH$2:AH782),$AH$2:$AH$1001,0),1)&gt;=100000,INDEX($AO$1005:$BQ$1005,1,MATCH(COLUMNS($AO$1006:AR1006),$AO$1006:$BQ$1006,0))&gt;=100000), " ",IF(INDEX($AO$2:$BQ$1001,MATCH(ROWS($AH$2:AH782),$AH$2:$AH$1001,0),MATCH(COLUMNS($AO$1006:AR1006),$AO$1006:$BQ$1006,0)), HYPERLINK("#",""), HYPERLINK(CONCATENATE("#Metadata!", ADDRESS(INDEX($AJ$2:$AJ$1001,MATCH(ROWS($AH$2:AH782),$AH$2:$AH$1001,0),0), INDEX($AO$1004:$BQ$1004,1,MATCH(COLUMNS($AO$1006:AR1006),$AO$1006:$BQ$1006,0)))),"Fix")))</f>
        <v>#N/A</v>
      </c>
      <c r="F782" s="5" t="e">
        <f ca="1">IF(OR(INDEX($AI$2:$AI$1001,MATCH(ROWS($AH$2:AH782),$AH$2:$AH$1001,0),1)&gt;=100000,INDEX($AO$1005:$BQ$1005,1,MATCH(COLUMNS($AO$1006:AS1006),$AO$1006:$BQ$1006,0))&gt;=100000), " ",IF(INDEX($AO$2:$BQ$1001,MATCH(ROWS($AH$2:AH782),$AH$2:$AH$1001,0),MATCH(COLUMNS($AO$1006:AS1006),$AO$1006:$BQ$1006,0)), HYPERLINK("#",""), HYPERLINK(CONCATENATE("#Metadata!", ADDRESS(INDEX($AJ$2:$AJ$1001,MATCH(ROWS($AH$2:AH782),$AH$2:$AH$1001,0),0), INDEX($AO$1004:$BQ$1004,1,MATCH(COLUMNS($AO$1006:AS1006),$AO$1006:$BQ$1006,0)))),"Fix")))</f>
        <v>#N/A</v>
      </c>
      <c r="G782" s="5" t="e">
        <f ca="1">IF(OR(INDEX($AI$2:$AI$1001,MATCH(ROWS($AH$2:AH782),$AH$2:$AH$1001,0),1)&gt;=100000,INDEX($AO$1005:$BQ$1005,1,MATCH(COLUMNS($AO$1006:AT1006),$AO$1006:$BQ$1006,0))&gt;=100000), " ",IF(INDEX($AO$2:$BQ$1001,MATCH(ROWS($AH$2:AH782),$AH$2:$AH$1001,0),MATCH(COLUMNS($AO$1006:AT1006),$AO$1006:$BQ$1006,0)), HYPERLINK("#",""), HYPERLINK(CONCATENATE("#Metadata!", ADDRESS(INDEX($AJ$2:$AJ$1001,MATCH(ROWS($AH$2:AH782),$AH$2:$AH$1001,0),0), INDEX($AO$1004:$BQ$1004,1,MATCH(COLUMNS($AO$1006:AT1006),$AO$1006:$BQ$1006,0)))),"Fix")))</f>
        <v>#N/A</v>
      </c>
      <c r="H782" s="5" t="e">
        <f ca="1">IF(OR(INDEX($AI$2:$AI$1001,MATCH(ROWS($AH$2:AH782),$AH$2:$AH$1001,0),1)&gt;=100000,INDEX($AO$1005:$BQ$1005,1,MATCH(COLUMNS($AO$1006:AU1006),$AO$1006:$BQ$1006,0))&gt;=100000), " ",IF(INDEX($AO$2:$BQ$1001,MATCH(ROWS($AH$2:AH782),$AH$2:$AH$1001,0),MATCH(COLUMNS($AO$1006:AU1006),$AO$1006:$BQ$1006,0)), HYPERLINK("#",""), HYPERLINK(CONCATENATE("#Metadata!", ADDRESS(INDEX($AJ$2:$AJ$1001,MATCH(ROWS($AH$2:AH782),$AH$2:$AH$1001,0),0), INDEX($AO$1004:$BQ$1004,1,MATCH(COLUMNS($AO$1006:AU1006),$AO$1006:$BQ$1006,0)))),"Fix")))</f>
        <v>#N/A</v>
      </c>
      <c r="I782" s="5" t="e">
        <f ca="1">IF(OR(INDEX($AI$2:$AI$1001,MATCH(ROWS($AH$2:AH782),$AH$2:$AH$1001,0),1)&gt;=100000,INDEX($AO$1005:$BQ$1005,1,MATCH(COLUMNS($AO$1006:AV1006),$AO$1006:$BQ$1006,0))&gt;=100000), " ",IF(INDEX($AO$2:$BQ$1001,MATCH(ROWS($AH$2:AH782),$AH$2:$AH$1001,0),MATCH(COLUMNS($AO$1006:AV1006),$AO$1006:$BQ$1006,0)), HYPERLINK("#",""), HYPERLINK(CONCATENATE("#Metadata!", ADDRESS(INDEX($AJ$2:$AJ$1001,MATCH(ROWS($AH$2:AH782),$AH$2:$AH$1001,0),0), INDEX($AO$1004:$BQ$1004,1,MATCH(COLUMNS($AO$1006:AV1006),$AO$1006:$BQ$1006,0)))),"Fix")))</f>
        <v>#N/A</v>
      </c>
      <c r="J782" s="5" t="e">
        <f ca="1">IF(OR(INDEX($AI$2:$AI$1001,MATCH(ROWS($AH$2:AH782),$AH$2:$AH$1001,0),1)&gt;=100000,INDEX($AO$1005:$BQ$1005,1,MATCH(COLUMNS($AO$1006:AW1006),$AO$1006:$BQ$1006,0))&gt;=100000), " ",IF(INDEX($AO$2:$BQ$1001,MATCH(ROWS($AH$2:AH782),$AH$2:$AH$1001,0),MATCH(COLUMNS($AO$1006:AW1006),$AO$1006:$BQ$1006,0)), HYPERLINK("#",""), HYPERLINK(CONCATENATE("#Metadata!", ADDRESS(INDEX($AJ$2:$AJ$1001,MATCH(ROWS($AH$2:AH782),$AH$2:$AH$1001,0),0), INDEX($AO$1004:$BQ$1004,1,MATCH(COLUMNS($AO$1006:AW1006),$AO$1006:$BQ$1006,0)))),"Fix")))</f>
        <v>#N/A</v>
      </c>
      <c r="K782" s="5" t="e">
        <f ca="1">IF(OR(INDEX($AI$2:$AI$1001,MATCH(ROWS($AH$2:AH782),$AH$2:$AH$1001,0),1)&gt;=100000,INDEX($AO$1005:$BQ$1005,1,MATCH(COLUMNS($AO$1006:AX1006),$AO$1006:$BQ$1006,0))&gt;=100000), " ",IF(INDEX($AO$2:$BQ$1001,MATCH(ROWS($AH$2:AH782),$AH$2:$AH$1001,0),MATCH(COLUMNS($AO$1006:AX1006),$AO$1006:$BQ$1006,0)), HYPERLINK("#",""), HYPERLINK(CONCATENATE("#Metadata!", ADDRESS(INDEX($AJ$2:$AJ$1001,MATCH(ROWS($AH$2:AH782),$AH$2:$AH$1001,0),0), INDEX($AO$1004:$BQ$1004,1,MATCH(COLUMNS($AO$1006:AX1006),$AO$1006:$BQ$1006,0)))),"Fix")))</f>
        <v>#N/A</v>
      </c>
      <c r="L782" s="5" t="e">
        <f ca="1">IF(OR(INDEX($AI$2:$AI$1001,MATCH(ROWS($AH$2:AH782),$AH$2:$AH$1001,0),1)&gt;=100000,INDEX($AO$1005:$BQ$1005,1,MATCH(COLUMNS($AO$1006:AY1006),$AO$1006:$BQ$1006,0))&gt;=100000), " ",IF(INDEX($AO$2:$BQ$1001,MATCH(ROWS($AH$2:AH782),$AH$2:$AH$1001,0),MATCH(COLUMNS($AO$1006:AY1006),$AO$1006:$BQ$1006,0)), HYPERLINK("#",""), HYPERLINK(CONCATENATE("#Metadata!", ADDRESS(INDEX($AJ$2:$AJ$1001,MATCH(ROWS($AH$2:AH782),$AH$2:$AH$1001,0),0), INDEX($AO$1004:$BQ$1004,1,MATCH(COLUMNS($AO$1006:AY1006),$AO$1006:$BQ$1006,0)))),"Fix")))</f>
        <v>#N/A</v>
      </c>
      <c r="M782" s="5" t="e">
        <f ca="1">IF(OR(INDEX($AI$2:$AI$1001,MATCH(ROWS($AH$2:AH782),$AH$2:$AH$1001,0),1)&gt;=100000,INDEX($AO$1005:$BQ$1005,1,MATCH(COLUMNS($AO$1006:AZ1006),$AO$1006:$BQ$1006,0))&gt;=100000), " ",IF(INDEX($AO$2:$BQ$1001,MATCH(ROWS($AH$2:AH782),$AH$2:$AH$1001,0),MATCH(COLUMNS($AO$1006:AZ1006),$AO$1006:$BQ$1006,0)), HYPERLINK("#",""), HYPERLINK(CONCATENATE("#Metadata!", ADDRESS(INDEX($AJ$2:$AJ$1001,MATCH(ROWS($AH$2:AH782),$AH$2:$AH$1001,0),0), INDEX($AO$1004:$BQ$1004,1,MATCH(COLUMNS($AO$1006:AZ1006),$AO$1006:$BQ$1006,0)))),"Fix")))</f>
        <v>#N/A</v>
      </c>
      <c r="N782" s="5" t="e">
        <f ca="1">IF(OR(INDEX($AI$2:$AI$1001,MATCH(ROWS($AH$2:AH782),$AH$2:$AH$1001,0),1)&gt;=100000,INDEX($AO$1005:$BQ$1005,1,MATCH(COLUMNS($AO$1006:BA1006),$AO$1006:$BQ$1006,0))&gt;=100000), " ",IF(INDEX($AO$2:$BQ$1001,MATCH(ROWS($AH$2:AH782),$AH$2:$AH$1001,0),MATCH(COLUMNS($AO$1006:BA1006),$AO$1006:$BQ$1006,0)), HYPERLINK("#",""), HYPERLINK(CONCATENATE("#Metadata!", ADDRESS(INDEX($AJ$2:$AJ$1001,MATCH(ROWS($AH$2:AH782),$AH$2:$AH$1001,0),0), INDEX($AO$1004:$BQ$1004,1,MATCH(COLUMNS($AO$1006:BA1006),$AO$1006:$BQ$1006,0)))),"Fix")))</f>
        <v>#N/A</v>
      </c>
      <c r="O782" s="5" t="e">
        <f ca="1">IF(OR(INDEX($AI$2:$AI$1001,MATCH(ROWS($AH$2:AH782),$AH$2:$AH$1001,0),1)&gt;=100000,INDEX($AO$1005:$BQ$1005,1,MATCH(COLUMNS($AO$1006:BB1006),$AO$1006:$BQ$1006,0))&gt;=100000), " ",IF(INDEX($AO$2:$BQ$1001,MATCH(ROWS($AH$2:AH782),$AH$2:$AH$1001,0),MATCH(COLUMNS($AO$1006:BB1006),$AO$1006:$BQ$1006,0)), HYPERLINK("#",""), HYPERLINK(CONCATENATE("#Metadata!", ADDRESS(INDEX($AJ$2:$AJ$1001,MATCH(ROWS($AH$2:AH782),$AH$2:$AH$1001,0),0), INDEX($AO$1004:$BQ$1004,1,MATCH(COLUMNS($AO$1006:BB1006),$AO$1006:$BQ$1006,0)))),"Fix")))</f>
        <v>#N/A</v>
      </c>
      <c r="P782" s="5" t="e">
        <f ca="1">IF(OR(INDEX($AI$2:$AI$1001,MATCH(ROWS($AH$2:AH782),$AH$2:$AH$1001,0),1)&gt;=100000,INDEX($AO$1005:$BQ$1005,1,MATCH(COLUMNS($AO$1006:BC1006),$AO$1006:$BQ$1006,0))&gt;=100000), " ",IF(INDEX($AO$2:$BQ$1001,MATCH(ROWS($AH$2:AH782),$AH$2:$AH$1001,0),MATCH(COLUMNS($AO$1006:BC1006),$AO$1006:$BQ$1006,0)), HYPERLINK("#",""), HYPERLINK(CONCATENATE("#Metadata!", ADDRESS(INDEX($AJ$2:$AJ$1001,MATCH(ROWS($AH$2:AH782),$AH$2:$AH$1001,0),0), INDEX($AO$1004:$BQ$1004,1,MATCH(COLUMNS($AO$1006:BC1006),$AO$1006:$BQ$1006,0)))),"Fix")))</f>
        <v>#N/A</v>
      </c>
      <c r="Q782" s="5" t="e">
        <f ca="1">IF(OR(INDEX($AI$2:$AI$1001,MATCH(ROWS($AH$2:AH782),$AH$2:$AH$1001,0),1)&gt;=100000,INDEX($AO$1005:$BQ$1005,1,MATCH(COLUMNS($AO$1006:BD1006),$AO$1006:$BQ$1006,0))&gt;=100000), " ",IF(INDEX($AO$2:$BQ$1001,MATCH(ROWS($AH$2:AH782),$AH$2:$AH$1001,0),MATCH(COLUMNS($AO$1006:BD1006),$AO$1006:$BQ$1006,0)), HYPERLINK("#",""), HYPERLINK(CONCATENATE("#Metadata!", ADDRESS(INDEX($AJ$2:$AJ$1001,MATCH(ROWS($AH$2:AH782),$AH$2:$AH$1001,0),0), INDEX($AO$1004:$BQ$1004,1,MATCH(COLUMNS($AO$1006:BD1006),$AO$1006:$BQ$1006,0)))),"Fix")))</f>
        <v>#N/A</v>
      </c>
      <c r="R782" s="5" t="e">
        <f ca="1">IF(OR(INDEX($AI$2:$AI$1001,MATCH(ROWS($AH$2:AH782),$AH$2:$AH$1001,0),1)&gt;=100000,INDEX($AO$1005:$BQ$1005,1,MATCH(COLUMNS($AO$1006:BE1006),$AO$1006:$BQ$1006,0))&gt;=100000), " ",IF(INDEX($AO$2:$BQ$1001,MATCH(ROWS($AH$2:AH782),$AH$2:$AH$1001,0),MATCH(COLUMNS($AO$1006:BE1006),$AO$1006:$BQ$1006,0)), HYPERLINK("#",""), HYPERLINK(CONCATENATE("#Metadata!", ADDRESS(INDEX($AJ$2:$AJ$1001,MATCH(ROWS($AH$2:AH782),$AH$2:$AH$1001,0),0), INDEX($AO$1004:$BQ$1004,1,MATCH(COLUMNS($AO$1006:BE1006),$AO$1006:$BQ$1006,0)))),"Fix")))</f>
        <v>#N/A</v>
      </c>
      <c r="S782" s="5" t="e">
        <f ca="1">IF(OR(INDEX($AI$2:$AI$1001,MATCH(ROWS($AH$2:AH782),$AH$2:$AH$1001,0),1)&gt;=100000,INDEX($AO$1005:$BQ$1005,1,MATCH(COLUMNS($AO$1006:BF1006),$AO$1006:$BQ$1006,0))&gt;=100000), " ",IF(INDEX($AO$2:$BQ$1001,MATCH(ROWS($AH$2:AH782),$AH$2:$AH$1001,0),MATCH(COLUMNS($AO$1006:BF1006),$AO$1006:$BQ$1006,0)), HYPERLINK("#",""), HYPERLINK(CONCATENATE("#Metadata!", ADDRESS(INDEX($AJ$2:$AJ$1001,MATCH(ROWS($AH$2:AH782),$AH$2:$AH$1001,0),0), INDEX($AO$1004:$BQ$1004,1,MATCH(COLUMNS($AO$1006:BF1006),$AO$1006:$BQ$1006,0)))),"Fix")))</f>
        <v>#N/A</v>
      </c>
      <c r="T782" s="5" t="e">
        <f ca="1">IF(OR(INDEX($AI$2:$AI$1001,MATCH(ROWS($AH$2:AH782),$AH$2:$AH$1001,0),1)&gt;=100000,INDEX($AO$1005:$BQ$1005,1,MATCH(COLUMNS($AO$1006:BG1006),$AO$1006:$BQ$1006,0))&gt;=100000), " ",IF(INDEX($AO$2:$BQ$1001,MATCH(ROWS($AH$2:AH782),$AH$2:$AH$1001,0),MATCH(COLUMNS($AO$1006:BG1006),$AO$1006:$BQ$1006,0)), HYPERLINK("#",""), HYPERLINK(CONCATENATE("#Metadata!", ADDRESS(INDEX($AJ$2:$AJ$1001,MATCH(ROWS($AH$2:AH782),$AH$2:$AH$1001,0),0), INDEX($AO$1004:$BQ$1004,1,MATCH(COLUMNS($AO$1006:BG1006),$AO$1006:$BQ$1006,0)))),"Fix")))</f>
        <v>#N/A</v>
      </c>
      <c r="U782" s="5" t="e">
        <f ca="1">IF(OR(INDEX($AI$2:$AI$1001,MATCH(ROWS($AH$2:AH782),$AH$2:$AH$1001,0),1)&gt;=100000,INDEX($AO$1005:$BQ$1005,1,MATCH(COLUMNS($AO$1006:BH1006),$AO$1006:$BQ$1006,0))&gt;=100000), " ",IF(INDEX($AO$2:$BQ$1001,MATCH(ROWS($AH$2:AH782),$AH$2:$AH$1001,0),MATCH(COLUMNS($AO$1006:BH1006),$AO$1006:$BQ$1006,0)), HYPERLINK("#",""), HYPERLINK(CONCATENATE("#Metadata!", ADDRESS(INDEX($AJ$2:$AJ$1001,MATCH(ROWS($AH$2:AH782),$AH$2:$AH$1001,0),0), INDEX($AO$1004:$BQ$1004,1,MATCH(COLUMNS($AO$1006:BH1006),$AO$1006:$BQ$1006,0)))),"Fix")))</f>
        <v>#N/A</v>
      </c>
      <c r="V782" s="5" t="e">
        <f ca="1">IF(OR(INDEX($AI$2:$AI$1001,MATCH(ROWS($AH$2:AH782),$AH$2:$AH$1001,0),1)&gt;=100000,INDEX($AO$1005:$BQ$1005,1,MATCH(COLUMNS($AO$1006:BI1006),$AO$1006:$BQ$1006,0))&gt;=100000), " ",IF(INDEX($AO$2:$BQ$1001,MATCH(ROWS($AH$2:AH782),$AH$2:$AH$1001,0),MATCH(COLUMNS($AO$1006:BI1006),$AO$1006:$BQ$1006,0)), HYPERLINK("#",""), HYPERLINK(CONCATENATE("#Metadata!", ADDRESS(INDEX($AJ$2:$AJ$1001,MATCH(ROWS($AH$2:AH782),$AH$2:$AH$1001,0),0), INDEX($AO$1004:$BQ$1004,1,MATCH(COLUMNS($AO$1006:BI1006),$AO$1006:$BQ$1006,0)))),"Fix")))</f>
        <v>#N/A</v>
      </c>
      <c r="W782" s="5" t="e">
        <f ca="1">IF(OR(INDEX($AI$2:$AI$1001,MATCH(ROWS($AH$2:AH782),$AH$2:$AH$1001,0),1)&gt;=100000,INDEX($AO$1005:$BQ$1005,1,MATCH(COLUMNS($AO$1006:BJ1006),$AO$1006:$BQ$1006,0))&gt;=100000), " ",IF(INDEX($AO$2:$BQ$1001,MATCH(ROWS($AH$2:AH782),$AH$2:$AH$1001,0),MATCH(COLUMNS($AO$1006:BJ1006),$AO$1006:$BQ$1006,0)), HYPERLINK("#",""), HYPERLINK(CONCATENATE("#Metadata!", ADDRESS(INDEX($AJ$2:$AJ$1001,MATCH(ROWS($AH$2:AH782),$AH$2:$AH$1001,0),0), INDEX($AO$1004:$BQ$1004,1,MATCH(COLUMNS($AO$1006:BJ1006),$AO$1006:$BQ$1006,0)))),"Fix")))</f>
        <v>#N/A</v>
      </c>
      <c r="X782" s="5" t="e">
        <f ca="1">IF(OR(INDEX($AI$2:$AI$1001,MATCH(ROWS($AH$2:AH782),$AH$2:$AH$1001,0),1)&gt;=100000,INDEX($AO$1005:$BQ$1005,1,MATCH(COLUMNS($AO$1006:BK1006),$AO$1006:$BQ$1006,0))&gt;=100000), " ",IF(INDEX($AO$2:$BQ$1001,MATCH(ROWS($AH$2:AH782),$AH$2:$AH$1001,0),MATCH(COLUMNS($AO$1006:BK1006),$AO$1006:$BQ$1006,0)), HYPERLINK("#",""), HYPERLINK(CONCATENATE("#Metadata!", ADDRESS(INDEX($AJ$2:$AJ$1001,MATCH(ROWS($AH$2:AH782),$AH$2:$AH$1001,0),0), INDEX($AO$1004:$BQ$1004,1,MATCH(COLUMNS($AO$1006:BK1006),$AO$1006:$BQ$1006,0)))),"Fix")))</f>
        <v>#N/A</v>
      </c>
      <c r="Y782" s="5" t="e">
        <f ca="1">IF(OR(INDEX($AI$2:$AI$1001,MATCH(ROWS($AH$2:AH782),$AH$2:$AH$1001,0),1)&gt;=100000,INDEX($AO$1005:$BQ$1005,1,MATCH(COLUMNS($AO$1006:BL1006),$AO$1006:$BQ$1006,0))&gt;=100000), " ",IF(INDEX($AO$2:$BQ$1001,MATCH(ROWS($AH$2:AH782),$AH$2:$AH$1001,0),MATCH(COLUMNS($AO$1006:BL1006),$AO$1006:$BQ$1006,0)), HYPERLINK("#",""), HYPERLINK(CONCATENATE("#Metadata!", ADDRESS(INDEX($AJ$2:$AJ$1001,MATCH(ROWS($AH$2:AH782),$AH$2:$AH$1001,0),0), INDEX($AO$1004:$BQ$1004,1,MATCH(COLUMNS($AO$1006:BL1006),$AO$1006:$BQ$1006,0)))),"Fix")))</f>
        <v>#N/A</v>
      </c>
      <c r="Z782" s="5" t="e">
        <f ca="1">IF(OR(INDEX($AI$2:$AI$1001,MATCH(ROWS($AH$2:AH782),$AH$2:$AH$1001,0),1)&gt;=100000,INDEX($AO$1005:$BQ$1005,1,MATCH(COLUMNS($AO$1006:BM1006),$AO$1006:$BQ$1006,0))&gt;=100000), " ",IF(INDEX($AO$2:$BQ$1001,MATCH(ROWS($AH$2:AH782),$AH$2:$AH$1001,0),MATCH(COLUMNS($AO$1006:BM1006),$AO$1006:$BQ$1006,0)), HYPERLINK("#",""), HYPERLINK(CONCATENATE("#Metadata!", ADDRESS(INDEX($AJ$2:$AJ$1001,MATCH(ROWS($AH$2:AH782),$AH$2:$AH$1001,0),0), INDEX($AO$1004:$BQ$1004,1,MATCH(COLUMNS($AO$1006:BM1006),$AO$1006:$BQ$1006,0)))),"Fix")))</f>
        <v>#N/A</v>
      </c>
      <c r="AA782" s="5" t="e">
        <f ca="1">IF(OR(INDEX($AI$2:$AI$1001,MATCH(ROWS($AH$2:AH782),$AH$2:$AH$1001,0),1)&gt;=100000,INDEX($AO$1005:$BQ$1005,1,MATCH(COLUMNS($AO$1006:BN1006),$AO$1006:$BQ$1006,0))&gt;=100000), " ",IF(INDEX($AO$2:$BQ$1001,MATCH(ROWS($AH$2:AH782),$AH$2:$AH$1001,0),MATCH(COLUMNS($AO$1006:BN1006),$AO$1006:$BQ$1006,0)), HYPERLINK("#",""), HYPERLINK(CONCATENATE("#Metadata!", ADDRESS(INDEX($AJ$2:$AJ$1001,MATCH(ROWS($AH$2:AH782),$AH$2:$AH$1001,0),0), INDEX($AO$1004:$BQ$1004,1,MATCH(COLUMNS($AO$1006:BN1006),$AO$1006:$BQ$1006,0)))),"Fix")))</f>
        <v>#N/A</v>
      </c>
      <c r="AB782" s="5" t="e">
        <f ca="1">IF(OR(INDEX($AI$2:$AI$1001,MATCH(ROWS($AH$2:AH782),$AH$2:$AH$1001,0),1)&gt;=100000,INDEX($AO$1005:$BQ$1005,1,MATCH(COLUMNS($AO$1006:BO1006),$AO$1006:$BQ$1006,0))&gt;=100000), " ",IF(INDEX($AO$2:$BQ$1001,MATCH(ROWS($AH$2:AH782),$AH$2:$AH$1001,0),MATCH(COLUMNS($AO$1006:BO1006),$AO$1006:$BQ$1006,0)), HYPERLINK("#",""), HYPERLINK(CONCATENATE("#Metadata!", ADDRESS(INDEX($AJ$2:$AJ$1001,MATCH(ROWS($AH$2:AH782),$AH$2:$AH$1001,0),0), INDEX($AO$1004:$BQ$1004,1,MATCH(COLUMNS($AO$1006:BO1006),$AO$1006:$BQ$1006,0)))),"Fix")))</f>
        <v>#N/A</v>
      </c>
      <c r="AC782" s="5" t="e">
        <f ca="1">IF(OR(INDEX($AI$2:$AI$1001,MATCH(ROWS($AH$2:AH782),$AH$2:$AH$1001,0),1)&gt;=100000,INDEX($AO$1005:$BQ$1005,1,MATCH(COLUMNS($AO$1006:BP1006),$AO$1006:$BQ$1006,0))&gt;=100000), " ",IF(INDEX($AO$2:$BQ$1001,MATCH(ROWS($AH$2:AH782),$AH$2:$AH$1001,0),MATCH(COLUMNS($AO$1006:BP1006),$AO$1006:$BQ$1006,0)), HYPERLINK("#",""), HYPERLINK(CONCATENATE("#Metadata!", ADDRESS(INDEX($AJ$2:$AJ$1001,MATCH(ROWS($AH$2:AH782),$AH$2:$AH$1001,0),0), INDEX($AO$1004:$BQ$1004,1,MATCH(COLUMNS($AO$1006:BP1006),$AO$1006:$BQ$1006,0)))),"Fix")))</f>
        <v>#N/A</v>
      </c>
      <c r="AD782" s="5" t="e">
        <f ca="1">IF(OR(INDEX($AI$2:$AI$1001,MATCH(ROWS($AH$2:AH782),$AH$2:$AH$1001,0),1)&gt;=100000,INDEX($AO$1005:$BQ$1005,1,MATCH(COLUMNS($AO$1006:BQ1006),$AO$1006:$BQ$1006,0))&gt;=100000), " ",IF(INDEX($AO$2:$BQ$1001,MATCH(ROWS($AH$2:AH782),$AH$2:$AH$1001,0),MATCH(COLUMNS($AO$1006:BQ1006),$AO$1006:$BQ$1006,0)), HYPERLINK("#",""), HYPERLINK(CONCATENATE("#Metadata!", ADDRESS(INDEX($AJ$2:$AJ$1001,MATCH(ROWS($AH$2:AH782),$AH$2:$AH$1001,0),0), INDEX($AO$1004:$BQ$1004,1,MATCH(COLUMNS($AO$1006:BQ1006),$AO$1006:$BQ$1006,0)))),"Fix")))</f>
        <v>#REF!</v>
      </c>
      <c r="AH782">
        <f ca="1"/>
        <v>779</v>
      </c>
      <c r="AI782">
        <v>100782</v>
      </c>
      <c r="AJ782">
        <v>782</v>
      </c>
      <c r="AK782" t="b">
        <f t="shared" si="12"/>
        <v>1</v>
      </c>
      <c r="AL782" t="b">
        <f>COUNTBLANK(Metadata!B782:AD782)=COLUMNS(Metadata!B782:AD782)</f>
        <v>1</v>
      </c>
      <c r="AM782" t="str">
        <v/>
      </c>
      <c r="AO782" t="b">
        <f ca="1">AND(IF(Metadata!B782="",FALSE,TRUE),COUNTIF(Metadata!B:B, Metadata!B782) = 1,NOT(ISERROR(SUMPRODUCT(SEARCH(MID(Metadata!B782,ROW(INDIRECT("1:"&amp;LEN(Metadata!B782))), 1),"0123456789abcdefghijklmnopqrstuvwxyzABCDEFGHIJKLMNOPQRSTUVWXYZ.")))))</f>
        <v>0</v>
      </c>
      <c r="AP782" t="b">
        <f>IF(Metadata!C782="",FALSE,TRUE)</f>
        <v>0</v>
      </c>
      <c r="AQ782" t="b">
        <f>IF(Metadata!D782="",FALSE,TRUE)</f>
        <v>0</v>
      </c>
      <c r="AR782" t="b">
        <f ca="1">OR(AND(IF(Metadata!E782="",FALSE,TRUE),OR(EXACT(Metadata!E782,"not collected"),EXACT(Metadata!E782,"not provided"),EXACT(Metadata!E782,"restricted access"))),AND(IF(Metadata!E782="",FALSE,TRUE),AND(AND(IFERROR(INT(LEFT(Metadata!E782,4))&gt;1900,FALSE),IFERROR(INT(LEFT(Metadata!E782,4))&lt;=YEAR(NOW()),FALSE)), OR(MID(Metadata!E782,5,1)="", AND(AND(MID(Metadata!E782,5,1)="-",IFERROR(INT(MID(Metadata!E782,6,1))&gt;=0,FALSE),IFERROR(INT(MID(Metadata!E782,6,1))&lt;=1,FALSE),NOT(MID(Metadata!E782,7,1)=""),IFERROR(INT(MID(Metadata!E782,6,2))&gt;=1,FALSE),IFERROR(INT(MID(Metadata!E782,6,2))&lt;=12,FALSE)), OR(MID(Metadata!E782,8,1)="", AND(AND(MID(Metadata!E782,8,1)="-",IFERROR(INT(MID(Metadata!E782,9,1))&gt;=0,FALSE),IFERROR(INT(MID(Metadata!E782,9,1))&lt;=3,FALSE),NOT(MID(Metadata!E782,10,1)=""),IFERROR(INT(MID(Metadata!E782,9,2))&gt;=1,FALSE),IFERROR(INT(MID(Metadata!E782,9,2))&lt;=31,FALSE)), OR(MID(Metadata!E782,11,1)="", AND(AND(MID(Metadata!E782,11,1)=" ",IFERROR(INT(MID(Metadata!E782,12,1))&gt;=0,FALSE),IFERROR(INT(MID(Metadata!E782,12,1))&lt;=2,FALSE),NOT(MID(Metadata!E782,13,1)=""),IFERROR(INT(MID(Metadata!E782,12,2))&gt;=0,FALSE),IFERROR(INT(MID(Metadata!E782,12,2))&lt;=23,FALSE)), OR(MID(Metadata!E782,14,1)="", AND(AND(MID(Metadata!E782,14,1)=":",IFERROR(INT(MID(Metadata!E782,15,1))&gt;=0,FALSE),IFERROR(INT(MID(Metadata!E782,15,1))&lt;=5,FALSE),NOT(MID(Metadata!E782,16,1)=""),IFERROR(INT(MID(Metadata!E782,15,2))&gt;=0,FALSE),IFERROR(INT(MID(Metadata!E782,15,2))&lt;=59,FALSE)), OR(MID(Metadata!E782,17,1)="", AND(AND(MID(Metadata!E782,17,1)=":",IFERROR(INT(MID(Metadata!E782,18,1))&gt;=0,FALSE),IFERROR(INT(MID(Metadata!E782,18,1))&lt;=5,FALSE),NOT(MID(Metadata!E782,19,1)=""),IFERROR(INT(MID(Metadata!E782,18,2))&gt;=0,FALSE),IFERROR(INT(MID(Metadata!E782,18,2))&lt;=59,FALSE)), LEN(Metadata!E782)&lt;=19)))))))))))))</f>
        <v>0</v>
      </c>
      <c r="AS782" t="b">
        <f>IF(Metadata!F782="",FALSE,TRUE)</f>
        <v>0</v>
      </c>
      <c r="AT782" t="b">
        <f>OR(AND(IF(Metadata!G782="",FALSE,TRUE),OR(EXACT(Metadata!G782,"not collected"),EXACT(Metadata!G782,"not provided"))),AND(IF(Metadata!G782="",FALSE,TRUE),OR(EXACT(Metadata!G782,"TRUE"),EXACT(Metadata!G782,"FALSE"))))</f>
        <v>0</v>
      </c>
      <c r="AU782" t="b">
        <f>OR(AND(IF(Metadata!H782="",FALSE,TRUE),OR(EXACT(Metadata!H782,"not collected"),EXACT(Metadata!H782,"not provided"),EXACT(Metadata!H782,"restricted access"))),AND(IF(Metadata!H782="",FALSE,ISNUMBER(VALUE(Metadata!H782))),Metadata!H782&gt;=-413))</f>
        <v>0</v>
      </c>
      <c r="AV782" t="b">
        <f>AND(IF(Metadata!I782="",FALSE,TRUE),EXACT(Metadata!I782,"meters"))</f>
        <v>0</v>
      </c>
      <c r="AW782" t="b">
        <f>AND(IF(Metadata!J782="",FALSE,TRUE),EXACT(Metadata!J782,"free-living"))</f>
        <v>0</v>
      </c>
      <c r="AX782" t="b">
        <f>AND(IF(Metadata!K782="",FALSE,TRUE),OR(EXACT(Metadata!K782,"saline"),EXACT(Metadata!K782,"non-saline")))</f>
        <v>0</v>
      </c>
      <c r="AY782" t="b">
        <f>AND(IF(Metadata!L782="",FALSE,TRUE),OR(EXACT(Metadata!L782,"sub-surface (non-saline)"),EXACT(Metadata!L782,"surface (non-saline)"),EXACT(Metadata!L782,"water (non-saline)"),EXACT(Metadata!L782,"soil (non-saline)"),EXACT(Metadata!L782,"aerosol (non-saline)"),EXACT(Metadata!L782,"sediment (non-saline)"),EXACT(Metadata!L782,"surface (saline)"),EXACT(Metadata!L782,"water (saline)"),EXACT(Metadata!L782,"hypersaline (saline)"),EXACT(Metadata!L782,"aerosol (saline)"),EXACT(Metadata!L782,"sediment (saline)")))</f>
        <v>0</v>
      </c>
      <c r="AZ782" t="b">
        <f>IF(Metadata!M782="",FALSE,TRUE)</f>
        <v>0</v>
      </c>
      <c r="BA782" t="b">
        <f>IF(Metadata!N782="",FALSE,TRUE)</f>
        <v>0</v>
      </c>
      <c r="BB782" t="b">
        <f>IF(Metadata!O782="",FALSE,TRUE)</f>
        <v>0</v>
      </c>
      <c r="BC782" t="b">
        <f>AND(IF(Metadata!P782="",FALSE,TRUE),OR(EXACT(Metadata!P782,"air"),EXACT(Metadata!P782,"microbial mat/biofilm"),EXACT(Metadata!P782,"misc environment"),EXACT(Metadata!P782,"sediment"),EXACT(Metadata!P782,"soil"),EXACT(Metadata!P782,"wastewater/sludge"),EXACT(Metadata!P782,"water")))</f>
        <v>0</v>
      </c>
      <c r="BD782" t="b">
        <f>IF(Metadata!Q782="",FALSE,TRUE)</f>
        <v>0</v>
      </c>
      <c r="BE782" t="b">
        <f>IF(Metadata!R782="",FALSE,TRUE)</f>
        <v>0</v>
      </c>
      <c r="BF782" t="b">
        <f>OR(AND(IF(Metadata!S782="",FALSE,TRUE),OR(EXACT(Metadata!S782,"not collected"),EXACT(Metadata!S782,"not provided"),EXACT(Metadata!S782,"restricted access"))),AND(IF(Metadata!S782="",FALSE,ISNUMBER(VALUE(Metadata!S782))),Metadata!S782&gt;=-90,Metadata!S782&lt;=90))</f>
        <v>0</v>
      </c>
      <c r="BG782" t="b">
        <f>AND(IF(Metadata!T782="",FALSE,TRUE),EXACT(Metadata!T782,"Decimal degrees"))</f>
        <v>0</v>
      </c>
      <c r="BH782" t="b">
        <f>OR(AND(IF(Metadata!U782="",FALSE,TRUE),OR(EXACT(Metadata!U782,"not applicable"),EXACT(Metadata!U782,"not collected"))),IF(Metadata!U782="",FALSE,TRUE))</f>
        <v>0</v>
      </c>
      <c r="BI782" t="b">
        <f>OR(AND(IF(Metadata!V782="",FALSE,TRUE),OR(EXACT(Metadata!V782,"not collected"),EXACT(Metadata!V782,"not provided"),EXACT(Metadata!V782,"restricted access"))),AND(IF(Metadata!V782="",FALSE,ISNUMBER(VALUE(Metadata!V782))),Metadata!V782&gt;=-180,Metadata!V782&lt;=180))</f>
        <v>0</v>
      </c>
      <c r="BJ782" t="b">
        <f>AND(IF(Metadata!W782="",FALSE,TRUE),EXACT(Metadata!W782,"Decimal degrees"))</f>
        <v>0</v>
      </c>
      <c r="BK782" t="b">
        <f>IF(Metadata!X782="",FALSE,TRUE)</f>
        <v>0</v>
      </c>
      <c r="BL782" t="b">
        <f>OR(AND(IF(Metadata!Y782="",FALSE,TRUE),OR(EXACT(Metadata!Y782,"not collected"),EXACT(Metadata!Y782,"not provided"),EXACT(Metadata!Y782,"restricted access"))),AND(IF(Metadata!Y782="",FALSE,TRUE),OR(EXACT(Metadata!Y782,"TRUE"),EXACT(Metadata!Y782,"FALSE"))))</f>
        <v>0</v>
      </c>
      <c r="BM782" t="b">
        <f>OR(AND(IF(Metadata!Z782="",FALSE,TRUE),EXACT(Metadata!Z782,"not applicable")),AND(IF(Metadata!Z782="",FALSE,TRUE),OR(EXACT(Metadata!Z782,"beer"),EXACT(Metadata!Z782,"cheese"),EXACT(Metadata!Z782,"fresh water"),EXACT(Metadata!Z782,"marine sediment"),EXACT(Metadata!Z782,"sea water"),EXACT(Metadata!Z782,"sediment"),EXACT(Metadata!Z782,"soil"),EXACT(Metadata!Z782,"waste water"))))</f>
        <v>0</v>
      </c>
      <c r="BN782" t="b">
        <f>AND(IF(Metadata!AA782="",FALSE,TRUE),EXACT(Metadata!AA782,"metagenome"))</f>
        <v>0</v>
      </c>
      <c r="BO782" t="b">
        <f>AND(IF(Metadata!AB782="",FALSE,TRUE),EXACT(Metadata!AB782,"256318"))</f>
        <v>0</v>
      </c>
      <c r="BP782" t="b">
        <f>IF(Metadata!AC782="",FALSE,TRUE)</f>
        <v>0</v>
      </c>
      <c r="BQ782" t="b">
        <f>IF(Metadata!AD782="",FALSE,TRUE)</f>
        <v>0</v>
      </c>
    </row>
    <row r="783" spans="1:69" x14ac:dyDescent="0.2">
      <c r="A783" s="4" t="e">
        <f ca="1">IF(B783=" "," ",HYPERLINK(CONCATENATE("#metadata!",ADDRESS(INDEX($AJ$2:$AJ$1001,MATCH(ROWS($AH$2:AH783),$AH$2:$AH$1001,0),0),2)),INDEX($AM$2:$AM$1001,MATCH(ROWS($AH$2:AH783),$AH$2:$AH$1001,0),0)))</f>
        <v>#N/A</v>
      </c>
      <c r="B783" s="5" t="e">
        <f ca="1">IF(OR(INDEX($AI$2:$AI$1001,MATCH(ROWS($AH$2:AH783),$AH$2:$AH$1001,0),1)&gt;=100000,INDEX($AO$1005:$BQ$1005,1,MATCH(COLUMNS($AO$1006:AO1006),$AO$1006:$BQ$1006,0))&gt;=100000), " ",IF(INDEX($AO$2:$BQ$1001,MATCH(ROWS($AH$2:AH783),$AH$2:$AH$1001,0),MATCH(COLUMNS($AO$1006:AO1006),$AO$1006:$BQ$1006,0)), HYPERLINK("#",""), HYPERLINK(CONCATENATE("#Metadata!", ADDRESS(INDEX($AJ$2:$AJ$1001,MATCH(ROWS($AH$2:AH783),$AH$2:$AH$1001,0),0), INDEX($AO$1004:$BQ$1004,1,MATCH(COLUMNS($AO$1006:AO1006),$AO$1006:$BQ$1006,0)))),"Fix")))</f>
        <v>#N/A</v>
      </c>
      <c r="C783" s="5" t="e">
        <f ca="1">IF(OR(INDEX($AI$2:$AI$1001,MATCH(ROWS($AH$2:AH783),$AH$2:$AH$1001,0),1)&gt;=100000,INDEX($AO$1005:$BQ$1005,1,MATCH(COLUMNS($AO$1006:AP1006),$AO$1006:$BQ$1006,0))&gt;=100000), " ",IF(INDEX($AO$2:$BQ$1001,MATCH(ROWS($AH$2:AH783),$AH$2:$AH$1001,0),MATCH(COLUMNS($AO$1006:AP1006),$AO$1006:$BQ$1006,0)), HYPERLINK("#",""), HYPERLINK(CONCATENATE("#Metadata!", ADDRESS(INDEX($AJ$2:$AJ$1001,MATCH(ROWS($AH$2:AH783),$AH$2:$AH$1001,0),0), INDEX($AO$1004:$BQ$1004,1,MATCH(COLUMNS($AO$1006:AP1006),$AO$1006:$BQ$1006,0)))),"Fix")))</f>
        <v>#N/A</v>
      </c>
      <c r="D783" s="5" t="e">
        <f ca="1">IF(OR(INDEX($AI$2:$AI$1001,MATCH(ROWS($AH$2:AH783),$AH$2:$AH$1001,0),1)&gt;=100000,INDEX($AO$1005:$BQ$1005,1,MATCH(COLUMNS($AO$1006:AQ1006),$AO$1006:$BQ$1006,0))&gt;=100000), " ",IF(INDEX($AO$2:$BQ$1001,MATCH(ROWS($AH$2:AH783),$AH$2:$AH$1001,0),MATCH(COLUMNS($AO$1006:AQ1006),$AO$1006:$BQ$1006,0)), HYPERLINK("#",""), HYPERLINK(CONCATENATE("#Metadata!", ADDRESS(INDEX($AJ$2:$AJ$1001,MATCH(ROWS($AH$2:AH783),$AH$2:$AH$1001,0),0), INDEX($AO$1004:$BQ$1004,1,MATCH(COLUMNS($AO$1006:AQ1006),$AO$1006:$BQ$1006,0)))),"Fix")))</f>
        <v>#N/A</v>
      </c>
      <c r="E783" s="5" t="e">
        <f ca="1">IF(OR(INDEX($AI$2:$AI$1001,MATCH(ROWS($AH$2:AH783),$AH$2:$AH$1001,0),1)&gt;=100000,INDEX($AO$1005:$BQ$1005,1,MATCH(COLUMNS($AO$1006:AR1006),$AO$1006:$BQ$1006,0))&gt;=100000), " ",IF(INDEX($AO$2:$BQ$1001,MATCH(ROWS($AH$2:AH783),$AH$2:$AH$1001,0),MATCH(COLUMNS($AO$1006:AR1006),$AO$1006:$BQ$1006,0)), HYPERLINK("#",""), HYPERLINK(CONCATENATE("#Metadata!", ADDRESS(INDEX($AJ$2:$AJ$1001,MATCH(ROWS($AH$2:AH783),$AH$2:$AH$1001,0),0), INDEX($AO$1004:$BQ$1004,1,MATCH(COLUMNS($AO$1006:AR1006),$AO$1006:$BQ$1006,0)))),"Fix")))</f>
        <v>#N/A</v>
      </c>
      <c r="F783" s="5" t="e">
        <f ca="1">IF(OR(INDEX($AI$2:$AI$1001,MATCH(ROWS($AH$2:AH783),$AH$2:$AH$1001,0),1)&gt;=100000,INDEX($AO$1005:$BQ$1005,1,MATCH(COLUMNS($AO$1006:AS1006),$AO$1006:$BQ$1006,0))&gt;=100000), " ",IF(INDEX($AO$2:$BQ$1001,MATCH(ROWS($AH$2:AH783),$AH$2:$AH$1001,0),MATCH(COLUMNS($AO$1006:AS1006),$AO$1006:$BQ$1006,0)), HYPERLINK("#",""), HYPERLINK(CONCATENATE("#Metadata!", ADDRESS(INDEX($AJ$2:$AJ$1001,MATCH(ROWS($AH$2:AH783),$AH$2:$AH$1001,0),0), INDEX($AO$1004:$BQ$1004,1,MATCH(COLUMNS($AO$1006:AS1006),$AO$1006:$BQ$1006,0)))),"Fix")))</f>
        <v>#N/A</v>
      </c>
      <c r="G783" s="5" t="e">
        <f ca="1">IF(OR(INDEX($AI$2:$AI$1001,MATCH(ROWS($AH$2:AH783),$AH$2:$AH$1001,0),1)&gt;=100000,INDEX($AO$1005:$BQ$1005,1,MATCH(COLUMNS($AO$1006:AT1006),$AO$1006:$BQ$1006,0))&gt;=100000), " ",IF(INDEX($AO$2:$BQ$1001,MATCH(ROWS($AH$2:AH783),$AH$2:$AH$1001,0),MATCH(COLUMNS($AO$1006:AT1006),$AO$1006:$BQ$1006,0)), HYPERLINK("#",""), HYPERLINK(CONCATENATE("#Metadata!", ADDRESS(INDEX($AJ$2:$AJ$1001,MATCH(ROWS($AH$2:AH783),$AH$2:$AH$1001,0),0), INDEX($AO$1004:$BQ$1004,1,MATCH(COLUMNS($AO$1006:AT1006),$AO$1006:$BQ$1006,0)))),"Fix")))</f>
        <v>#N/A</v>
      </c>
      <c r="H783" s="5" t="e">
        <f ca="1">IF(OR(INDEX($AI$2:$AI$1001,MATCH(ROWS($AH$2:AH783),$AH$2:$AH$1001,0),1)&gt;=100000,INDEX($AO$1005:$BQ$1005,1,MATCH(COLUMNS($AO$1006:AU1006),$AO$1006:$BQ$1006,0))&gt;=100000), " ",IF(INDEX($AO$2:$BQ$1001,MATCH(ROWS($AH$2:AH783),$AH$2:$AH$1001,0),MATCH(COLUMNS($AO$1006:AU1006),$AO$1006:$BQ$1006,0)), HYPERLINK("#",""), HYPERLINK(CONCATENATE("#Metadata!", ADDRESS(INDEX($AJ$2:$AJ$1001,MATCH(ROWS($AH$2:AH783),$AH$2:$AH$1001,0),0), INDEX($AO$1004:$BQ$1004,1,MATCH(COLUMNS($AO$1006:AU1006),$AO$1006:$BQ$1006,0)))),"Fix")))</f>
        <v>#N/A</v>
      </c>
      <c r="I783" s="5" t="e">
        <f ca="1">IF(OR(INDEX($AI$2:$AI$1001,MATCH(ROWS($AH$2:AH783),$AH$2:$AH$1001,0),1)&gt;=100000,INDEX($AO$1005:$BQ$1005,1,MATCH(COLUMNS($AO$1006:AV1006),$AO$1006:$BQ$1006,0))&gt;=100000), " ",IF(INDEX($AO$2:$BQ$1001,MATCH(ROWS($AH$2:AH783),$AH$2:$AH$1001,0),MATCH(COLUMNS($AO$1006:AV1006),$AO$1006:$BQ$1006,0)), HYPERLINK("#",""), HYPERLINK(CONCATENATE("#Metadata!", ADDRESS(INDEX($AJ$2:$AJ$1001,MATCH(ROWS($AH$2:AH783),$AH$2:$AH$1001,0),0), INDEX($AO$1004:$BQ$1004,1,MATCH(COLUMNS($AO$1006:AV1006),$AO$1006:$BQ$1006,0)))),"Fix")))</f>
        <v>#N/A</v>
      </c>
      <c r="J783" s="5" t="e">
        <f ca="1">IF(OR(INDEX($AI$2:$AI$1001,MATCH(ROWS($AH$2:AH783),$AH$2:$AH$1001,0),1)&gt;=100000,INDEX($AO$1005:$BQ$1005,1,MATCH(COLUMNS($AO$1006:AW1006),$AO$1006:$BQ$1006,0))&gt;=100000), " ",IF(INDEX($AO$2:$BQ$1001,MATCH(ROWS($AH$2:AH783),$AH$2:$AH$1001,0),MATCH(COLUMNS($AO$1006:AW1006),$AO$1006:$BQ$1006,0)), HYPERLINK("#",""), HYPERLINK(CONCATENATE("#Metadata!", ADDRESS(INDEX($AJ$2:$AJ$1001,MATCH(ROWS($AH$2:AH783),$AH$2:$AH$1001,0),0), INDEX($AO$1004:$BQ$1004,1,MATCH(COLUMNS($AO$1006:AW1006),$AO$1006:$BQ$1006,0)))),"Fix")))</f>
        <v>#N/A</v>
      </c>
      <c r="K783" s="5" t="e">
        <f ca="1">IF(OR(INDEX($AI$2:$AI$1001,MATCH(ROWS($AH$2:AH783),$AH$2:$AH$1001,0),1)&gt;=100000,INDEX($AO$1005:$BQ$1005,1,MATCH(COLUMNS($AO$1006:AX1006),$AO$1006:$BQ$1006,0))&gt;=100000), " ",IF(INDEX($AO$2:$BQ$1001,MATCH(ROWS($AH$2:AH783),$AH$2:$AH$1001,0),MATCH(COLUMNS($AO$1006:AX1006),$AO$1006:$BQ$1006,0)), HYPERLINK("#",""), HYPERLINK(CONCATENATE("#Metadata!", ADDRESS(INDEX($AJ$2:$AJ$1001,MATCH(ROWS($AH$2:AH783),$AH$2:$AH$1001,0),0), INDEX($AO$1004:$BQ$1004,1,MATCH(COLUMNS($AO$1006:AX1006),$AO$1006:$BQ$1006,0)))),"Fix")))</f>
        <v>#N/A</v>
      </c>
      <c r="L783" s="5" t="e">
        <f ca="1">IF(OR(INDEX($AI$2:$AI$1001,MATCH(ROWS($AH$2:AH783),$AH$2:$AH$1001,0),1)&gt;=100000,INDEX($AO$1005:$BQ$1005,1,MATCH(COLUMNS($AO$1006:AY1006),$AO$1006:$BQ$1006,0))&gt;=100000), " ",IF(INDEX($AO$2:$BQ$1001,MATCH(ROWS($AH$2:AH783),$AH$2:$AH$1001,0),MATCH(COLUMNS($AO$1006:AY1006),$AO$1006:$BQ$1006,0)), HYPERLINK("#",""), HYPERLINK(CONCATENATE("#Metadata!", ADDRESS(INDEX($AJ$2:$AJ$1001,MATCH(ROWS($AH$2:AH783),$AH$2:$AH$1001,0),0), INDEX($AO$1004:$BQ$1004,1,MATCH(COLUMNS($AO$1006:AY1006),$AO$1006:$BQ$1006,0)))),"Fix")))</f>
        <v>#N/A</v>
      </c>
      <c r="M783" s="5" t="e">
        <f ca="1">IF(OR(INDEX($AI$2:$AI$1001,MATCH(ROWS($AH$2:AH783),$AH$2:$AH$1001,0),1)&gt;=100000,INDEX($AO$1005:$BQ$1005,1,MATCH(COLUMNS($AO$1006:AZ1006),$AO$1006:$BQ$1006,0))&gt;=100000), " ",IF(INDEX($AO$2:$BQ$1001,MATCH(ROWS($AH$2:AH783),$AH$2:$AH$1001,0),MATCH(COLUMNS($AO$1006:AZ1006),$AO$1006:$BQ$1006,0)), HYPERLINK("#",""), HYPERLINK(CONCATENATE("#Metadata!", ADDRESS(INDEX($AJ$2:$AJ$1001,MATCH(ROWS($AH$2:AH783),$AH$2:$AH$1001,0),0), INDEX($AO$1004:$BQ$1004,1,MATCH(COLUMNS($AO$1006:AZ1006),$AO$1006:$BQ$1006,0)))),"Fix")))</f>
        <v>#N/A</v>
      </c>
      <c r="N783" s="5" t="e">
        <f ca="1">IF(OR(INDEX($AI$2:$AI$1001,MATCH(ROWS($AH$2:AH783),$AH$2:$AH$1001,0),1)&gt;=100000,INDEX($AO$1005:$BQ$1005,1,MATCH(COLUMNS($AO$1006:BA1006),$AO$1006:$BQ$1006,0))&gt;=100000), " ",IF(INDEX($AO$2:$BQ$1001,MATCH(ROWS($AH$2:AH783),$AH$2:$AH$1001,0),MATCH(COLUMNS($AO$1006:BA1006),$AO$1006:$BQ$1006,0)), HYPERLINK("#",""), HYPERLINK(CONCATENATE("#Metadata!", ADDRESS(INDEX($AJ$2:$AJ$1001,MATCH(ROWS($AH$2:AH783),$AH$2:$AH$1001,0),0), INDEX($AO$1004:$BQ$1004,1,MATCH(COLUMNS($AO$1006:BA1006),$AO$1006:$BQ$1006,0)))),"Fix")))</f>
        <v>#N/A</v>
      </c>
      <c r="O783" s="5" t="e">
        <f ca="1">IF(OR(INDEX($AI$2:$AI$1001,MATCH(ROWS($AH$2:AH783),$AH$2:$AH$1001,0),1)&gt;=100000,INDEX($AO$1005:$BQ$1005,1,MATCH(COLUMNS($AO$1006:BB1006),$AO$1006:$BQ$1006,0))&gt;=100000), " ",IF(INDEX($AO$2:$BQ$1001,MATCH(ROWS($AH$2:AH783),$AH$2:$AH$1001,0),MATCH(COLUMNS($AO$1006:BB1006),$AO$1006:$BQ$1006,0)), HYPERLINK("#",""), HYPERLINK(CONCATENATE("#Metadata!", ADDRESS(INDEX($AJ$2:$AJ$1001,MATCH(ROWS($AH$2:AH783),$AH$2:$AH$1001,0),0), INDEX($AO$1004:$BQ$1004,1,MATCH(COLUMNS($AO$1006:BB1006),$AO$1006:$BQ$1006,0)))),"Fix")))</f>
        <v>#N/A</v>
      </c>
      <c r="P783" s="5" t="e">
        <f ca="1">IF(OR(INDEX($AI$2:$AI$1001,MATCH(ROWS($AH$2:AH783),$AH$2:$AH$1001,0),1)&gt;=100000,INDEX($AO$1005:$BQ$1005,1,MATCH(COLUMNS($AO$1006:BC1006),$AO$1006:$BQ$1006,0))&gt;=100000), " ",IF(INDEX($AO$2:$BQ$1001,MATCH(ROWS($AH$2:AH783),$AH$2:$AH$1001,0),MATCH(COLUMNS($AO$1006:BC1006),$AO$1006:$BQ$1006,0)), HYPERLINK("#",""), HYPERLINK(CONCATENATE("#Metadata!", ADDRESS(INDEX($AJ$2:$AJ$1001,MATCH(ROWS($AH$2:AH783),$AH$2:$AH$1001,0),0), INDEX($AO$1004:$BQ$1004,1,MATCH(COLUMNS($AO$1006:BC1006),$AO$1006:$BQ$1006,0)))),"Fix")))</f>
        <v>#N/A</v>
      </c>
      <c r="Q783" s="5" t="e">
        <f ca="1">IF(OR(INDEX($AI$2:$AI$1001,MATCH(ROWS($AH$2:AH783),$AH$2:$AH$1001,0),1)&gt;=100000,INDEX($AO$1005:$BQ$1005,1,MATCH(COLUMNS($AO$1006:BD1006),$AO$1006:$BQ$1006,0))&gt;=100000), " ",IF(INDEX($AO$2:$BQ$1001,MATCH(ROWS($AH$2:AH783),$AH$2:$AH$1001,0),MATCH(COLUMNS($AO$1006:BD1006),$AO$1006:$BQ$1006,0)), HYPERLINK("#",""), HYPERLINK(CONCATENATE("#Metadata!", ADDRESS(INDEX($AJ$2:$AJ$1001,MATCH(ROWS($AH$2:AH783),$AH$2:$AH$1001,0),0), INDEX($AO$1004:$BQ$1004,1,MATCH(COLUMNS($AO$1006:BD1006),$AO$1006:$BQ$1006,0)))),"Fix")))</f>
        <v>#N/A</v>
      </c>
      <c r="R783" s="5" t="e">
        <f ca="1">IF(OR(INDEX($AI$2:$AI$1001,MATCH(ROWS($AH$2:AH783),$AH$2:$AH$1001,0),1)&gt;=100000,INDEX($AO$1005:$BQ$1005,1,MATCH(COLUMNS($AO$1006:BE1006),$AO$1006:$BQ$1006,0))&gt;=100000), " ",IF(INDEX($AO$2:$BQ$1001,MATCH(ROWS($AH$2:AH783),$AH$2:$AH$1001,0),MATCH(COLUMNS($AO$1006:BE1006),$AO$1006:$BQ$1006,0)), HYPERLINK("#",""), HYPERLINK(CONCATENATE("#Metadata!", ADDRESS(INDEX($AJ$2:$AJ$1001,MATCH(ROWS($AH$2:AH783),$AH$2:$AH$1001,0),0), INDEX($AO$1004:$BQ$1004,1,MATCH(COLUMNS($AO$1006:BE1006),$AO$1006:$BQ$1006,0)))),"Fix")))</f>
        <v>#N/A</v>
      </c>
      <c r="S783" s="5" t="e">
        <f ca="1">IF(OR(INDEX($AI$2:$AI$1001,MATCH(ROWS($AH$2:AH783),$AH$2:$AH$1001,0),1)&gt;=100000,INDEX($AO$1005:$BQ$1005,1,MATCH(COLUMNS($AO$1006:BF1006),$AO$1006:$BQ$1006,0))&gt;=100000), " ",IF(INDEX($AO$2:$BQ$1001,MATCH(ROWS($AH$2:AH783),$AH$2:$AH$1001,0),MATCH(COLUMNS($AO$1006:BF1006),$AO$1006:$BQ$1006,0)), HYPERLINK("#",""), HYPERLINK(CONCATENATE("#Metadata!", ADDRESS(INDEX($AJ$2:$AJ$1001,MATCH(ROWS($AH$2:AH783),$AH$2:$AH$1001,0),0), INDEX($AO$1004:$BQ$1004,1,MATCH(COLUMNS($AO$1006:BF1006),$AO$1006:$BQ$1006,0)))),"Fix")))</f>
        <v>#N/A</v>
      </c>
      <c r="T783" s="5" t="e">
        <f ca="1">IF(OR(INDEX($AI$2:$AI$1001,MATCH(ROWS($AH$2:AH783),$AH$2:$AH$1001,0),1)&gt;=100000,INDEX($AO$1005:$BQ$1005,1,MATCH(COLUMNS($AO$1006:BG1006),$AO$1006:$BQ$1006,0))&gt;=100000), " ",IF(INDEX($AO$2:$BQ$1001,MATCH(ROWS($AH$2:AH783),$AH$2:$AH$1001,0),MATCH(COLUMNS($AO$1006:BG1006),$AO$1006:$BQ$1006,0)), HYPERLINK("#",""), HYPERLINK(CONCATENATE("#Metadata!", ADDRESS(INDEX($AJ$2:$AJ$1001,MATCH(ROWS($AH$2:AH783),$AH$2:$AH$1001,0),0), INDEX($AO$1004:$BQ$1004,1,MATCH(COLUMNS($AO$1006:BG1006),$AO$1006:$BQ$1006,0)))),"Fix")))</f>
        <v>#N/A</v>
      </c>
      <c r="U783" s="5" t="e">
        <f ca="1">IF(OR(INDEX($AI$2:$AI$1001,MATCH(ROWS($AH$2:AH783),$AH$2:$AH$1001,0),1)&gt;=100000,INDEX($AO$1005:$BQ$1005,1,MATCH(COLUMNS($AO$1006:BH1006),$AO$1006:$BQ$1006,0))&gt;=100000), " ",IF(INDEX($AO$2:$BQ$1001,MATCH(ROWS($AH$2:AH783),$AH$2:$AH$1001,0),MATCH(COLUMNS($AO$1006:BH1006),$AO$1006:$BQ$1006,0)), HYPERLINK("#",""), HYPERLINK(CONCATENATE("#Metadata!", ADDRESS(INDEX($AJ$2:$AJ$1001,MATCH(ROWS($AH$2:AH783),$AH$2:$AH$1001,0),0), INDEX($AO$1004:$BQ$1004,1,MATCH(COLUMNS($AO$1006:BH1006),$AO$1006:$BQ$1006,0)))),"Fix")))</f>
        <v>#N/A</v>
      </c>
      <c r="V783" s="5" t="e">
        <f ca="1">IF(OR(INDEX($AI$2:$AI$1001,MATCH(ROWS($AH$2:AH783),$AH$2:$AH$1001,0),1)&gt;=100000,INDEX($AO$1005:$BQ$1005,1,MATCH(COLUMNS($AO$1006:BI1006),$AO$1006:$BQ$1006,0))&gt;=100000), " ",IF(INDEX($AO$2:$BQ$1001,MATCH(ROWS($AH$2:AH783),$AH$2:$AH$1001,0),MATCH(COLUMNS($AO$1006:BI1006),$AO$1006:$BQ$1006,0)), HYPERLINK("#",""), HYPERLINK(CONCATENATE("#Metadata!", ADDRESS(INDEX($AJ$2:$AJ$1001,MATCH(ROWS($AH$2:AH783),$AH$2:$AH$1001,0),0), INDEX($AO$1004:$BQ$1004,1,MATCH(COLUMNS($AO$1006:BI1006),$AO$1006:$BQ$1006,0)))),"Fix")))</f>
        <v>#N/A</v>
      </c>
      <c r="W783" s="5" t="e">
        <f ca="1">IF(OR(INDEX($AI$2:$AI$1001,MATCH(ROWS($AH$2:AH783),$AH$2:$AH$1001,0),1)&gt;=100000,INDEX($AO$1005:$BQ$1005,1,MATCH(COLUMNS($AO$1006:BJ1006),$AO$1006:$BQ$1006,0))&gt;=100000), " ",IF(INDEX($AO$2:$BQ$1001,MATCH(ROWS($AH$2:AH783),$AH$2:$AH$1001,0),MATCH(COLUMNS($AO$1006:BJ1006),$AO$1006:$BQ$1006,0)), HYPERLINK("#",""), HYPERLINK(CONCATENATE("#Metadata!", ADDRESS(INDEX($AJ$2:$AJ$1001,MATCH(ROWS($AH$2:AH783),$AH$2:$AH$1001,0),0), INDEX($AO$1004:$BQ$1004,1,MATCH(COLUMNS($AO$1006:BJ1006),$AO$1006:$BQ$1006,0)))),"Fix")))</f>
        <v>#N/A</v>
      </c>
      <c r="X783" s="5" t="e">
        <f ca="1">IF(OR(INDEX($AI$2:$AI$1001,MATCH(ROWS($AH$2:AH783),$AH$2:$AH$1001,0),1)&gt;=100000,INDEX($AO$1005:$BQ$1005,1,MATCH(COLUMNS($AO$1006:BK1006),$AO$1006:$BQ$1006,0))&gt;=100000), " ",IF(INDEX($AO$2:$BQ$1001,MATCH(ROWS($AH$2:AH783),$AH$2:$AH$1001,0),MATCH(COLUMNS($AO$1006:BK1006),$AO$1006:$BQ$1006,0)), HYPERLINK("#",""), HYPERLINK(CONCATENATE("#Metadata!", ADDRESS(INDEX($AJ$2:$AJ$1001,MATCH(ROWS($AH$2:AH783),$AH$2:$AH$1001,0),0), INDEX($AO$1004:$BQ$1004,1,MATCH(COLUMNS($AO$1006:BK1006),$AO$1006:$BQ$1006,0)))),"Fix")))</f>
        <v>#N/A</v>
      </c>
      <c r="Y783" s="5" t="e">
        <f ca="1">IF(OR(INDEX($AI$2:$AI$1001,MATCH(ROWS($AH$2:AH783),$AH$2:$AH$1001,0),1)&gt;=100000,INDEX($AO$1005:$BQ$1005,1,MATCH(COLUMNS($AO$1006:BL1006),$AO$1006:$BQ$1006,0))&gt;=100000), " ",IF(INDEX($AO$2:$BQ$1001,MATCH(ROWS($AH$2:AH783),$AH$2:$AH$1001,0),MATCH(COLUMNS($AO$1006:BL1006),$AO$1006:$BQ$1006,0)), HYPERLINK("#",""), HYPERLINK(CONCATENATE("#Metadata!", ADDRESS(INDEX($AJ$2:$AJ$1001,MATCH(ROWS($AH$2:AH783),$AH$2:$AH$1001,0),0), INDEX($AO$1004:$BQ$1004,1,MATCH(COLUMNS($AO$1006:BL1006),$AO$1006:$BQ$1006,0)))),"Fix")))</f>
        <v>#N/A</v>
      </c>
      <c r="Z783" s="5" t="e">
        <f ca="1">IF(OR(INDEX($AI$2:$AI$1001,MATCH(ROWS($AH$2:AH783),$AH$2:$AH$1001,0),1)&gt;=100000,INDEX($AO$1005:$BQ$1005,1,MATCH(COLUMNS($AO$1006:BM1006),$AO$1006:$BQ$1006,0))&gt;=100000), " ",IF(INDEX($AO$2:$BQ$1001,MATCH(ROWS($AH$2:AH783),$AH$2:$AH$1001,0),MATCH(COLUMNS($AO$1006:BM1006),$AO$1006:$BQ$1006,0)), HYPERLINK("#",""), HYPERLINK(CONCATENATE("#Metadata!", ADDRESS(INDEX($AJ$2:$AJ$1001,MATCH(ROWS($AH$2:AH783),$AH$2:$AH$1001,0),0), INDEX($AO$1004:$BQ$1004,1,MATCH(COLUMNS($AO$1006:BM1006),$AO$1006:$BQ$1006,0)))),"Fix")))</f>
        <v>#N/A</v>
      </c>
      <c r="AA783" s="5" t="e">
        <f ca="1">IF(OR(INDEX($AI$2:$AI$1001,MATCH(ROWS($AH$2:AH783),$AH$2:$AH$1001,0),1)&gt;=100000,INDEX($AO$1005:$BQ$1005,1,MATCH(COLUMNS($AO$1006:BN1006),$AO$1006:$BQ$1006,0))&gt;=100000), " ",IF(INDEX($AO$2:$BQ$1001,MATCH(ROWS($AH$2:AH783),$AH$2:$AH$1001,0),MATCH(COLUMNS($AO$1006:BN1006),$AO$1006:$BQ$1006,0)), HYPERLINK("#",""), HYPERLINK(CONCATENATE("#Metadata!", ADDRESS(INDEX($AJ$2:$AJ$1001,MATCH(ROWS($AH$2:AH783),$AH$2:$AH$1001,0),0), INDEX($AO$1004:$BQ$1004,1,MATCH(COLUMNS($AO$1006:BN1006),$AO$1006:$BQ$1006,0)))),"Fix")))</f>
        <v>#N/A</v>
      </c>
      <c r="AB783" s="5" t="e">
        <f ca="1">IF(OR(INDEX($AI$2:$AI$1001,MATCH(ROWS($AH$2:AH783),$AH$2:$AH$1001,0),1)&gt;=100000,INDEX($AO$1005:$BQ$1005,1,MATCH(COLUMNS($AO$1006:BO1006),$AO$1006:$BQ$1006,0))&gt;=100000), " ",IF(INDEX($AO$2:$BQ$1001,MATCH(ROWS($AH$2:AH783),$AH$2:$AH$1001,0),MATCH(COLUMNS($AO$1006:BO1006),$AO$1006:$BQ$1006,0)), HYPERLINK("#",""), HYPERLINK(CONCATENATE("#Metadata!", ADDRESS(INDEX($AJ$2:$AJ$1001,MATCH(ROWS($AH$2:AH783),$AH$2:$AH$1001,0),0), INDEX($AO$1004:$BQ$1004,1,MATCH(COLUMNS($AO$1006:BO1006),$AO$1006:$BQ$1006,0)))),"Fix")))</f>
        <v>#N/A</v>
      </c>
      <c r="AC783" s="5" t="e">
        <f ca="1">IF(OR(INDEX($AI$2:$AI$1001,MATCH(ROWS($AH$2:AH783),$AH$2:$AH$1001,0),1)&gt;=100000,INDEX($AO$1005:$BQ$1005,1,MATCH(COLUMNS($AO$1006:BP1006),$AO$1006:$BQ$1006,0))&gt;=100000), " ",IF(INDEX($AO$2:$BQ$1001,MATCH(ROWS($AH$2:AH783),$AH$2:$AH$1001,0),MATCH(COLUMNS($AO$1006:BP1006),$AO$1006:$BQ$1006,0)), HYPERLINK("#",""), HYPERLINK(CONCATENATE("#Metadata!", ADDRESS(INDEX($AJ$2:$AJ$1001,MATCH(ROWS($AH$2:AH783),$AH$2:$AH$1001,0),0), INDEX($AO$1004:$BQ$1004,1,MATCH(COLUMNS($AO$1006:BP1006),$AO$1006:$BQ$1006,0)))),"Fix")))</f>
        <v>#N/A</v>
      </c>
      <c r="AD783" s="5" t="e">
        <f ca="1">IF(OR(INDEX($AI$2:$AI$1001,MATCH(ROWS($AH$2:AH783),$AH$2:$AH$1001,0),1)&gt;=100000,INDEX($AO$1005:$BQ$1005,1,MATCH(COLUMNS($AO$1006:BQ1006),$AO$1006:$BQ$1006,0))&gt;=100000), " ",IF(INDEX($AO$2:$BQ$1001,MATCH(ROWS($AH$2:AH783),$AH$2:$AH$1001,0),MATCH(COLUMNS($AO$1006:BQ1006),$AO$1006:$BQ$1006,0)), HYPERLINK("#",""), HYPERLINK(CONCATENATE("#Metadata!", ADDRESS(INDEX($AJ$2:$AJ$1001,MATCH(ROWS($AH$2:AH783),$AH$2:$AH$1001,0),0), INDEX($AO$1004:$BQ$1004,1,MATCH(COLUMNS($AO$1006:BQ1006),$AO$1006:$BQ$1006,0)))),"Fix")))</f>
        <v>#REF!</v>
      </c>
      <c r="AH783">
        <f ca="1"/>
        <v>780</v>
      </c>
      <c r="AI783">
        <v>100783</v>
      </c>
      <c r="AJ783">
        <v>783</v>
      </c>
      <c r="AK783" t="b">
        <f t="shared" si="12"/>
        <v>1</v>
      </c>
      <c r="AL783" t="b">
        <f>COUNTBLANK(Metadata!B783:AD783)=COLUMNS(Metadata!B783:AD783)</f>
        <v>1</v>
      </c>
      <c r="AM783" t="str">
        <v/>
      </c>
      <c r="AO783" t="b">
        <f ca="1">AND(IF(Metadata!B783="",FALSE,TRUE),COUNTIF(Metadata!B:B, Metadata!B783) = 1,NOT(ISERROR(SUMPRODUCT(SEARCH(MID(Metadata!B783,ROW(INDIRECT("1:"&amp;LEN(Metadata!B783))), 1),"0123456789abcdefghijklmnopqrstuvwxyzABCDEFGHIJKLMNOPQRSTUVWXYZ.")))))</f>
        <v>0</v>
      </c>
      <c r="AP783" t="b">
        <f>IF(Metadata!C783="",FALSE,TRUE)</f>
        <v>0</v>
      </c>
      <c r="AQ783" t="b">
        <f>IF(Metadata!D783="",FALSE,TRUE)</f>
        <v>0</v>
      </c>
      <c r="AR783" t="b">
        <f ca="1">OR(AND(IF(Metadata!E783="",FALSE,TRUE),OR(EXACT(Metadata!E783,"not collected"),EXACT(Metadata!E783,"not provided"),EXACT(Metadata!E783,"restricted access"))),AND(IF(Metadata!E783="",FALSE,TRUE),AND(AND(IFERROR(INT(LEFT(Metadata!E783,4))&gt;1900,FALSE),IFERROR(INT(LEFT(Metadata!E783,4))&lt;=YEAR(NOW()),FALSE)), OR(MID(Metadata!E783,5,1)="", AND(AND(MID(Metadata!E783,5,1)="-",IFERROR(INT(MID(Metadata!E783,6,1))&gt;=0,FALSE),IFERROR(INT(MID(Metadata!E783,6,1))&lt;=1,FALSE),NOT(MID(Metadata!E783,7,1)=""),IFERROR(INT(MID(Metadata!E783,6,2))&gt;=1,FALSE),IFERROR(INT(MID(Metadata!E783,6,2))&lt;=12,FALSE)), OR(MID(Metadata!E783,8,1)="", AND(AND(MID(Metadata!E783,8,1)="-",IFERROR(INT(MID(Metadata!E783,9,1))&gt;=0,FALSE),IFERROR(INT(MID(Metadata!E783,9,1))&lt;=3,FALSE),NOT(MID(Metadata!E783,10,1)=""),IFERROR(INT(MID(Metadata!E783,9,2))&gt;=1,FALSE),IFERROR(INT(MID(Metadata!E783,9,2))&lt;=31,FALSE)), OR(MID(Metadata!E783,11,1)="", AND(AND(MID(Metadata!E783,11,1)=" ",IFERROR(INT(MID(Metadata!E783,12,1))&gt;=0,FALSE),IFERROR(INT(MID(Metadata!E783,12,1))&lt;=2,FALSE),NOT(MID(Metadata!E783,13,1)=""),IFERROR(INT(MID(Metadata!E783,12,2))&gt;=0,FALSE),IFERROR(INT(MID(Metadata!E783,12,2))&lt;=23,FALSE)), OR(MID(Metadata!E783,14,1)="", AND(AND(MID(Metadata!E783,14,1)=":",IFERROR(INT(MID(Metadata!E783,15,1))&gt;=0,FALSE),IFERROR(INT(MID(Metadata!E783,15,1))&lt;=5,FALSE),NOT(MID(Metadata!E783,16,1)=""),IFERROR(INT(MID(Metadata!E783,15,2))&gt;=0,FALSE),IFERROR(INT(MID(Metadata!E783,15,2))&lt;=59,FALSE)), OR(MID(Metadata!E783,17,1)="", AND(AND(MID(Metadata!E783,17,1)=":",IFERROR(INT(MID(Metadata!E783,18,1))&gt;=0,FALSE),IFERROR(INT(MID(Metadata!E783,18,1))&lt;=5,FALSE),NOT(MID(Metadata!E783,19,1)=""),IFERROR(INT(MID(Metadata!E783,18,2))&gt;=0,FALSE),IFERROR(INT(MID(Metadata!E783,18,2))&lt;=59,FALSE)), LEN(Metadata!E783)&lt;=19)))))))))))))</f>
        <v>0</v>
      </c>
      <c r="AS783" t="b">
        <f>IF(Metadata!F783="",FALSE,TRUE)</f>
        <v>0</v>
      </c>
      <c r="AT783" t="b">
        <f>OR(AND(IF(Metadata!G783="",FALSE,TRUE),OR(EXACT(Metadata!G783,"not collected"),EXACT(Metadata!G783,"not provided"))),AND(IF(Metadata!G783="",FALSE,TRUE),OR(EXACT(Metadata!G783,"TRUE"),EXACT(Metadata!G783,"FALSE"))))</f>
        <v>0</v>
      </c>
      <c r="AU783" t="b">
        <f>OR(AND(IF(Metadata!H783="",FALSE,TRUE),OR(EXACT(Metadata!H783,"not collected"),EXACT(Metadata!H783,"not provided"),EXACT(Metadata!H783,"restricted access"))),AND(IF(Metadata!H783="",FALSE,ISNUMBER(VALUE(Metadata!H783))),Metadata!H783&gt;=-413))</f>
        <v>0</v>
      </c>
      <c r="AV783" t="b">
        <f>AND(IF(Metadata!I783="",FALSE,TRUE),EXACT(Metadata!I783,"meters"))</f>
        <v>0</v>
      </c>
      <c r="AW783" t="b">
        <f>AND(IF(Metadata!J783="",FALSE,TRUE),EXACT(Metadata!J783,"free-living"))</f>
        <v>0</v>
      </c>
      <c r="AX783" t="b">
        <f>AND(IF(Metadata!K783="",FALSE,TRUE),OR(EXACT(Metadata!K783,"saline"),EXACT(Metadata!K783,"non-saline")))</f>
        <v>0</v>
      </c>
      <c r="AY783" t="b">
        <f>AND(IF(Metadata!L783="",FALSE,TRUE),OR(EXACT(Metadata!L783,"sub-surface (non-saline)"),EXACT(Metadata!L783,"surface (non-saline)"),EXACT(Metadata!L783,"water (non-saline)"),EXACT(Metadata!L783,"soil (non-saline)"),EXACT(Metadata!L783,"aerosol (non-saline)"),EXACT(Metadata!L783,"sediment (non-saline)"),EXACT(Metadata!L783,"surface (saline)"),EXACT(Metadata!L783,"water (saline)"),EXACT(Metadata!L783,"hypersaline (saline)"),EXACT(Metadata!L783,"aerosol (saline)"),EXACT(Metadata!L783,"sediment (saline)")))</f>
        <v>0</v>
      </c>
      <c r="AZ783" t="b">
        <f>IF(Metadata!M783="",FALSE,TRUE)</f>
        <v>0</v>
      </c>
      <c r="BA783" t="b">
        <f>IF(Metadata!N783="",FALSE,TRUE)</f>
        <v>0</v>
      </c>
      <c r="BB783" t="b">
        <f>IF(Metadata!O783="",FALSE,TRUE)</f>
        <v>0</v>
      </c>
      <c r="BC783" t="b">
        <f>AND(IF(Metadata!P783="",FALSE,TRUE),OR(EXACT(Metadata!P783,"air"),EXACT(Metadata!P783,"microbial mat/biofilm"),EXACT(Metadata!P783,"misc environment"),EXACT(Metadata!P783,"sediment"),EXACT(Metadata!P783,"soil"),EXACT(Metadata!P783,"wastewater/sludge"),EXACT(Metadata!P783,"water")))</f>
        <v>0</v>
      </c>
      <c r="BD783" t="b">
        <f>IF(Metadata!Q783="",FALSE,TRUE)</f>
        <v>0</v>
      </c>
      <c r="BE783" t="b">
        <f>IF(Metadata!R783="",FALSE,TRUE)</f>
        <v>0</v>
      </c>
      <c r="BF783" t="b">
        <f>OR(AND(IF(Metadata!S783="",FALSE,TRUE),OR(EXACT(Metadata!S783,"not collected"),EXACT(Metadata!S783,"not provided"),EXACT(Metadata!S783,"restricted access"))),AND(IF(Metadata!S783="",FALSE,ISNUMBER(VALUE(Metadata!S783))),Metadata!S783&gt;=-90,Metadata!S783&lt;=90))</f>
        <v>0</v>
      </c>
      <c r="BG783" t="b">
        <f>AND(IF(Metadata!T783="",FALSE,TRUE),EXACT(Metadata!T783,"Decimal degrees"))</f>
        <v>0</v>
      </c>
      <c r="BH783" t="b">
        <f>OR(AND(IF(Metadata!U783="",FALSE,TRUE),OR(EXACT(Metadata!U783,"not applicable"),EXACT(Metadata!U783,"not collected"))),IF(Metadata!U783="",FALSE,TRUE))</f>
        <v>0</v>
      </c>
      <c r="BI783" t="b">
        <f>OR(AND(IF(Metadata!V783="",FALSE,TRUE),OR(EXACT(Metadata!V783,"not collected"),EXACT(Metadata!V783,"not provided"),EXACT(Metadata!V783,"restricted access"))),AND(IF(Metadata!V783="",FALSE,ISNUMBER(VALUE(Metadata!V783))),Metadata!V783&gt;=-180,Metadata!V783&lt;=180))</f>
        <v>0</v>
      </c>
      <c r="BJ783" t="b">
        <f>AND(IF(Metadata!W783="",FALSE,TRUE),EXACT(Metadata!W783,"Decimal degrees"))</f>
        <v>0</v>
      </c>
      <c r="BK783" t="b">
        <f>IF(Metadata!X783="",FALSE,TRUE)</f>
        <v>0</v>
      </c>
      <c r="BL783" t="b">
        <f>OR(AND(IF(Metadata!Y783="",FALSE,TRUE),OR(EXACT(Metadata!Y783,"not collected"),EXACT(Metadata!Y783,"not provided"),EXACT(Metadata!Y783,"restricted access"))),AND(IF(Metadata!Y783="",FALSE,TRUE),OR(EXACT(Metadata!Y783,"TRUE"),EXACT(Metadata!Y783,"FALSE"))))</f>
        <v>0</v>
      </c>
      <c r="BM783" t="b">
        <f>OR(AND(IF(Metadata!Z783="",FALSE,TRUE),EXACT(Metadata!Z783,"not applicable")),AND(IF(Metadata!Z783="",FALSE,TRUE),OR(EXACT(Metadata!Z783,"beer"),EXACT(Metadata!Z783,"cheese"),EXACT(Metadata!Z783,"fresh water"),EXACT(Metadata!Z783,"marine sediment"),EXACT(Metadata!Z783,"sea water"),EXACT(Metadata!Z783,"sediment"),EXACT(Metadata!Z783,"soil"),EXACT(Metadata!Z783,"waste water"))))</f>
        <v>0</v>
      </c>
      <c r="BN783" t="b">
        <f>AND(IF(Metadata!AA783="",FALSE,TRUE),EXACT(Metadata!AA783,"metagenome"))</f>
        <v>0</v>
      </c>
      <c r="BO783" t="b">
        <f>AND(IF(Metadata!AB783="",FALSE,TRUE),EXACT(Metadata!AB783,"256318"))</f>
        <v>0</v>
      </c>
      <c r="BP783" t="b">
        <f>IF(Metadata!AC783="",FALSE,TRUE)</f>
        <v>0</v>
      </c>
      <c r="BQ783" t="b">
        <f>IF(Metadata!AD783="",FALSE,TRUE)</f>
        <v>0</v>
      </c>
    </row>
    <row r="784" spans="1:69" x14ac:dyDescent="0.2">
      <c r="A784" s="4" t="e">
        <f ca="1">IF(B784=" "," ",HYPERLINK(CONCATENATE("#metadata!",ADDRESS(INDEX($AJ$2:$AJ$1001,MATCH(ROWS($AH$2:AH784),$AH$2:$AH$1001,0),0),2)),INDEX($AM$2:$AM$1001,MATCH(ROWS($AH$2:AH784),$AH$2:$AH$1001,0),0)))</f>
        <v>#N/A</v>
      </c>
      <c r="B784" s="5" t="e">
        <f ca="1">IF(OR(INDEX($AI$2:$AI$1001,MATCH(ROWS($AH$2:AH784),$AH$2:$AH$1001,0),1)&gt;=100000,INDEX($AO$1005:$BQ$1005,1,MATCH(COLUMNS($AO$1006:AO1006),$AO$1006:$BQ$1006,0))&gt;=100000), " ",IF(INDEX($AO$2:$BQ$1001,MATCH(ROWS($AH$2:AH784),$AH$2:$AH$1001,0),MATCH(COLUMNS($AO$1006:AO1006),$AO$1006:$BQ$1006,0)), HYPERLINK("#",""), HYPERLINK(CONCATENATE("#Metadata!", ADDRESS(INDEX($AJ$2:$AJ$1001,MATCH(ROWS($AH$2:AH784),$AH$2:$AH$1001,0),0), INDEX($AO$1004:$BQ$1004,1,MATCH(COLUMNS($AO$1006:AO1006),$AO$1006:$BQ$1006,0)))),"Fix")))</f>
        <v>#N/A</v>
      </c>
      <c r="C784" s="5" t="e">
        <f ca="1">IF(OR(INDEX($AI$2:$AI$1001,MATCH(ROWS($AH$2:AH784),$AH$2:$AH$1001,0),1)&gt;=100000,INDEX($AO$1005:$BQ$1005,1,MATCH(COLUMNS($AO$1006:AP1006),$AO$1006:$BQ$1006,0))&gt;=100000), " ",IF(INDEX($AO$2:$BQ$1001,MATCH(ROWS($AH$2:AH784),$AH$2:$AH$1001,0),MATCH(COLUMNS($AO$1006:AP1006),$AO$1006:$BQ$1006,0)), HYPERLINK("#",""), HYPERLINK(CONCATENATE("#Metadata!", ADDRESS(INDEX($AJ$2:$AJ$1001,MATCH(ROWS($AH$2:AH784),$AH$2:$AH$1001,0),0), INDEX($AO$1004:$BQ$1004,1,MATCH(COLUMNS($AO$1006:AP1006),$AO$1006:$BQ$1006,0)))),"Fix")))</f>
        <v>#N/A</v>
      </c>
      <c r="D784" s="5" t="e">
        <f ca="1">IF(OR(INDEX($AI$2:$AI$1001,MATCH(ROWS($AH$2:AH784),$AH$2:$AH$1001,0),1)&gt;=100000,INDEX($AO$1005:$BQ$1005,1,MATCH(COLUMNS($AO$1006:AQ1006),$AO$1006:$BQ$1006,0))&gt;=100000), " ",IF(INDEX($AO$2:$BQ$1001,MATCH(ROWS($AH$2:AH784),$AH$2:$AH$1001,0),MATCH(COLUMNS($AO$1006:AQ1006),$AO$1006:$BQ$1006,0)), HYPERLINK("#",""), HYPERLINK(CONCATENATE("#Metadata!", ADDRESS(INDEX($AJ$2:$AJ$1001,MATCH(ROWS($AH$2:AH784),$AH$2:$AH$1001,0),0), INDEX($AO$1004:$BQ$1004,1,MATCH(COLUMNS($AO$1006:AQ1006),$AO$1006:$BQ$1006,0)))),"Fix")))</f>
        <v>#N/A</v>
      </c>
      <c r="E784" s="5" t="e">
        <f ca="1">IF(OR(INDEX($AI$2:$AI$1001,MATCH(ROWS($AH$2:AH784),$AH$2:$AH$1001,0),1)&gt;=100000,INDEX($AO$1005:$BQ$1005,1,MATCH(COLUMNS($AO$1006:AR1006),$AO$1006:$BQ$1006,0))&gt;=100000), " ",IF(INDEX($AO$2:$BQ$1001,MATCH(ROWS($AH$2:AH784),$AH$2:$AH$1001,0),MATCH(COLUMNS($AO$1006:AR1006),$AO$1006:$BQ$1006,0)), HYPERLINK("#",""), HYPERLINK(CONCATENATE("#Metadata!", ADDRESS(INDEX($AJ$2:$AJ$1001,MATCH(ROWS($AH$2:AH784),$AH$2:$AH$1001,0),0), INDEX($AO$1004:$BQ$1004,1,MATCH(COLUMNS($AO$1006:AR1006),$AO$1006:$BQ$1006,0)))),"Fix")))</f>
        <v>#N/A</v>
      </c>
      <c r="F784" s="5" t="e">
        <f ca="1">IF(OR(INDEX($AI$2:$AI$1001,MATCH(ROWS($AH$2:AH784),$AH$2:$AH$1001,0),1)&gt;=100000,INDEX($AO$1005:$BQ$1005,1,MATCH(COLUMNS($AO$1006:AS1006),$AO$1006:$BQ$1006,0))&gt;=100000), " ",IF(INDEX($AO$2:$BQ$1001,MATCH(ROWS($AH$2:AH784),$AH$2:$AH$1001,0),MATCH(COLUMNS($AO$1006:AS1006),$AO$1006:$BQ$1006,0)), HYPERLINK("#",""), HYPERLINK(CONCATENATE("#Metadata!", ADDRESS(INDEX($AJ$2:$AJ$1001,MATCH(ROWS($AH$2:AH784),$AH$2:$AH$1001,0),0), INDEX($AO$1004:$BQ$1004,1,MATCH(COLUMNS($AO$1006:AS1006),$AO$1006:$BQ$1006,0)))),"Fix")))</f>
        <v>#N/A</v>
      </c>
      <c r="G784" s="5" t="e">
        <f ca="1">IF(OR(INDEX($AI$2:$AI$1001,MATCH(ROWS($AH$2:AH784),$AH$2:$AH$1001,0),1)&gt;=100000,INDEX($AO$1005:$BQ$1005,1,MATCH(COLUMNS($AO$1006:AT1006),$AO$1006:$BQ$1006,0))&gt;=100000), " ",IF(INDEX($AO$2:$BQ$1001,MATCH(ROWS($AH$2:AH784),$AH$2:$AH$1001,0),MATCH(COLUMNS($AO$1006:AT1006),$AO$1006:$BQ$1006,0)), HYPERLINK("#",""), HYPERLINK(CONCATENATE("#Metadata!", ADDRESS(INDEX($AJ$2:$AJ$1001,MATCH(ROWS($AH$2:AH784),$AH$2:$AH$1001,0),0), INDEX($AO$1004:$BQ$1004,1,MATCH(COLUMNS($AO$1006:AT1006),$AO$1006:$BQ$1006,0)))),"Fix")))</f>
        <v>#N/A</v>
      </c>
      <c r="H784" s="5" t="e">
        <f ca="1">IF(OR(INDEX($AI$2:$AI$1001,MATCH(ROWS($AH$2:AH784),$AH$2:$AH$1001,0),1)&gt;=100000,INDEX($AO$1005:$BQ$1005,1,MATCH(COLUMNS($AO$1006:AU1006),$AO$1006:$BQ$1006,0))&gt;=100000), " ",IF(INDEX($AO$2:$BQ$1001,MATCH(ROWS($AH$2:AH784),$AH$2:$AH$1001,0),MATCH(COLUMNS($AO$1006:AU1006),$AO$1006:$BQ$1006,0)), HYPERLINK("#",""), HYPERLINK(CONCATENATE("#Metadata!", ADDRESS(INDEX($AJ$2:$AJ$1001,MATCH(ROWS($AH$2:AH784),$AH$2:$AH$1001,0),0), INDEX($AO$1004:$BQ$1004,1,MATCH(COLUMNS($AO$1006:AU1006),$AO$1006:$BQ$1006,0)))),"Fix")))</f>
        <v>#N/A</v>
      </c>
      <c r="I784" s="5" t="e">
        <f ca="1">IF(OR(INDEX($AI$2:$AI$1001,MATCH(ROWS($AH$2:AH784),$AH$2:$AH$1001,0),1)&gt;=100000,INDEX($AO$1005:$BQ$1005,1,MATCH(COLUMNS($AO$1006:AV1006),$AO$1006:$BQ$1006,0))&gt;=100000), " ",IF(INDEX($AO$2:$BQ$1001,MATCH(ROWS($AH$2:AH784),$AH$2:$AH$1001,0),MATCH(COLUMNS($AO$1006:AV1006),$AO$1006:$BQ$1006,0)), HYPERLINK("#",""), HYPERLINK(CONCATENATE("#Metadata!", ADDRESS(INDEX($AJ$2:$AJ$1001,MATCH(ROWS($AH$2:AH784),$AH$2:$AH$1001,0),0), INDEX($AO$1004:$BQ$1004,1,MATCH(COLUMNS($AO$1006:AV1006),$AO$1006:$BQ$1006,0)))),"Fix")))</f>
        <v>#N/A</v>
      </c>
      <c r="J784" s="5" t="e">
        <f ca="1">IF(OR(INDEX($AI$2:$AI$1001,MATCH(ROWS($AH$2:AH784),$AH$2:$AH$1001,0),1)&gt;=100000,INDEX($AO$1005:$BQ$1005,1,MATCH(COLUMNS($AO$1006:AW1006),$AO$1006:$BQ$1006,0))&gt;=100000), " ",IF(INDEX($AO$2:$BQ$1001,MATCH(ROWS($AH$2:AH784),$AH$2:$AH$1001,0),MATCH(COLUMNS($AO$1006:AW1006),$AO$1006:$BQ$1006,0)), HYPERLINK("#",""), HYPERLINK(CONCATENATE("#Metadata!", ADDRESS(INDEX($AJ$2:$AJ$1001,MATCH(ROWS($AH$2:AH784),$AH$2:$AH$1001,0),0), INDEX($AO$1004:$BQ$1004,1,MATCH(COLUMNS($AO$1006:AW1006),$AO$1006:$BQ$1006,0)))),"Fix")))</f>
        <v>#N/A</v>
      </c>
      <c r="K784" s="5" t="e">
        <f ca="1">IF(OR(INDEX($AI$2:$AI$1001,MATCH(ROWS($AH$2:AH784),$AH$2:$AH$1001,0),1)&gt;=100000,INDEX($AO$1005:$BQ$1005,1,MATCH(COLUMNS($AO$1006:AX1006),$AO$1006:$BQ$1006,0))&gt;=100000), " ",IF(INDEX($AO$2:$BQ$1001,MATCH(ROWS($AH$2:AH784),$AH$2:$AH$1001,0),MATCH(COLUMNS($AO$1006:AX1006),$AO$1006:$BQ$1006,0)), HYPERLINK("#",""), HYPERLINK(CONCATENATE("#Metadata!", ADDRESS(INDEX($AJ$2:$AJ$1001,MATCH(ROWS($AH$2:AH784),$AH$2:$AH$1001,0),0), INDEX($AO$1004:$BQ$1004,1,MATCH(COLUMNS($AO$1006:AX1006),$AO$1006:$BQ$1006,0)))),"Fix")))</f>
        <v>#N/A</v>
      </c>
      <c r="L784" s="5" t="e">
        <f ca="1">IF(OR(INDEX($AI$2:$AI$1001,MATCH(ROWS($AH$2:AH784),$AH$2:$AH$1001,0),1)&gt;=100000,INDEX($AO$1005:$BQ$1005,1,MATCH(COLUMNS($AO$1006:AY1006),$AO$1006:$BQ$1006,0))&gt;=100000), " ",IF(INDEX($AO$2:$BQ$1001,MATCH(ROWS($AH$2:AH784),$AH$2:$AH$1001,0),MATCH(COLUMNS($AO$1006:AY1006),$AO$1006:$BQ$1006,0)), HYPERLINK("#",""), HYPERLINK(CONCATENATE("#Metadata!", ADDRESS(INDEX($AJ$2:$AJ$1001,MATCH(ROWS($AH$2:AH784),$AH$2:$AH$1001,0),0), INDEX($AO$1004:$BQ$1004,1,MATCH(COLUMNS($AO$1006:AY1006),$AO$1006:$BQ$1006,0)))),"Fix")))</f>
        <v>#N/A</v>
      </c>
      <c r="M784" s="5" t="e">
        <f ca="1">IF(OR(INDEX($AI$2:$AI$1001,MATCH(ROWS($AH$2:AH784),$AH$2:$AH$1001,0),1)&gt;=100000,INDEX($AO$1005:$BQ$1005,1,MATCH(COLUMNS($AO$1006:AZ1006),$AO$1006:$BQ$1006,0))&gt;=100000), " ",IF(INDEX($AO$2:$BQ$1001,MATCH(ROWS($AH$2:AH784),$AH$2:$AH$1001,0),MATCH(COLUMNS($AO$1006:AZ1006),$AO$1006:$BQ$1006,0)), HYPERLINK("#",""), HYPERLINK(CONCATENATE("#Metadata!", ADDRESS(INDEX($AJ$2:$AJ$1001,MATCH(ROWS($AH$2:AH784),$AH$2:$AH$1001,0),0), INDEX($AO$1004:$BQ$1004,1,MATCH(COLUMNS($AO$1006:AZ1006),$AO$1006:$BQ$1006,0)))),"Fix")))</f>
        <v>#N/A</v>
      </c>
      <c r="N784" s="5" t="e">
        <f ca="1">IF(OR(INDEX($AI$2:$AI$1001,MATCH(ROWS($AH$2:AH784),$AH$2:$AH$1001,0),1)&gt;=100000,INDEX($AO$1005:$BQ$1005,1,MATCH(COLUMNS($AO$1006:BA1006),$AO$1006:$BQ$1006,0))&gt;=100000), " ",IF(INDEX($AO$2:$BQ$1001,MATCH(ROWS($AH$2:AH784),$AH$2:$AH$1001,0),MATCH(COLUMNS($AO$1006:BA1006),$AO$1006:$BQ$1006,0)), HYPERLINK("#",""), HYPERLINK(CONCATENATE("#Metadata!", ADDRESS(INDEX($AJ$2:$AJ$1001,MATCH(ROWS($AH$2:AH784),$AH$2:$AH$1001,0),0), INDEX($AO$1004:$BQ$1004,1,MATCH(COLUMNS($AO$1006:BA1006),$AO$1006:$BQ$1006,0)))),"Fix")))</f>
        <v>#N/A</v>
      </c>
      <c r="O784" s="5" t="e">
        <f ca="1">IF(OR(INDEX($AI$2:$AI$1001,MATCH(ROWS($AH$2:AH784),$AH$2:$AH$1001,0),1)&gt;=100000,INDEX($AO$1005:$BQ$1005,1,MATCH(COLUMNS($AO$1006:BB1006),$AO$1006:$BQ$1006,0))&gt;=100000), " ",IF(INDEX($AO$2:$BQ$1001,MATCH(ROWS($AH$2:AH784),$AH$2:$AH$1001,0),MATCH(COLUMNS($AO$1006:BB1006),$AO$1006:$BQ$1006,0)), HYPERLINK("#",""), HYPERLINK(CONCATENATE("#Metadata!", ADDRESS(INDEX($AJ$2:$AJ$1001,MATCH(ROWS($AH$2:AH784),$AH$2:$AH$1001,0),0), INDEX($AO$1004:$BQ$1004,1,MATCH(COLUMNS($AO$1006:BB1006),$AO$1006:$BQ$1006,0)))),"Fix")))</f>
        <v>#N/A</v>
      </c>
      <c r="P784" s="5" t="e">
        <f ca="1">IF(OR(INDEX($AI$2:$AI$1001,MATCH(ROWS($AH$2:AH784),$AH$2:$AH$1001,0),1)&gt;=100000,INDEX($AO$1005:$BQ$1005,1,MATCH(COLUMNS($AO$1006:BC1006),$AO$1006:$BQ$1006,0))&gt;=100000), " ",IF(INDEX($AO$2:$BQ$1001,MATCH(ROWS($AH$2:AH784),$AH$2:$AH$1001,0),MATCH(COLUMNS($AO$1006:BC1006),$AO$1006:$BQ$1006,0)), HYPERLINK("#",""), HYPERLINK(CONCATENATE("#Metadata!", ADDRESS(INDEX($AJ$2:$AJ$1001,MATCH(ROWS($AH$2:AH784),$AH$2:$AH$1001,0),0), INDEX($AO$1004:$BQ$1004,1,MATCH(COLUMNS($AO$1006:BC1006),$AO$1006:$BQ$1006,0)))),"Fix")))</f>
        <v>#N/A</v>
      </c>
      <c r="Q784" s="5" t="e">
        <f ca="1">IF(OR(INDEX($AI$2:$AI$1001,MATCH(ROWS($AH$2:AH784),$AH$2:$AH$1001,0),1)&gt;=100000,INDEX($AO$1005:$BQ$1005,1,MATCH(COLUMNS($AO$1006:BD1006),$AO$1006:$BQ$1006,0))&gt;=100000), " ",IF(INDEX($AO$2:$BQ$1001,MATCH(ROWS($AH$2:AH784),$AH$2:$AH$1001,0),MATCH(COLUMNS($AO$1006:BD1006),$AO$1006:$BQ$1006,0)), HYPERLINK("#",""), HYPERLINK(CONCATENATE("#Metadata!", ADDRESS(INDEX($AJ$2:$AJ$1001,MATCH(ROWS($AH$2:AH784),$AH$2:$AH$1001,0),0), INDEX($AO$1004:$BQ$1004,1,MATCH(COLUMNS($AO$1006:BD1006),$AO$1006:$BQ$1006,0)))),"Fix")))</f>
        <v>#N/A</v>
      </c>
      <c r="R784" s="5" t="e">
        <f ca="1">IF(OR(INDEX($AI$2:$AI$1001,MATCH(ROWS($AH$2:AH784),$AH$2:$AH$1001,0),1)&gt;=100000,INDEX($AO$1005:$BQ$1005,1,MATCH(COLUMNS($AO$1006:BE1006),$AO$1006:$BQ$1006,0))&gt;=100000), " ",IF(INDEX($AO$2:$BQ$1001,MATCH(ROWS($AH$2:AH784),$AH$2:$AH$1001,0),MATCH(COLUMNS($AO$1006:BE1006),$AO$1006:$BQ$1006,0)), HYPERLINK("#",""), HYPERLINK(CONCATENATE("#Metadata!", ADDRESS(INDEX($AJ$2:$AJ$1001,MATCH(ROWS($AH$2:AH784),$AH$2:$AH$1001,0),0), INDEX($AO$1004:$BQ$1004,1,MATCH(COLUMNS($AO$1006:BE1006),$AO$1006:$BQ$1006,0)))),"Fix")))</f>
        <v>#N/A</v>
      </c>
      <c r="S784" s="5" t="e">
        <f ca="1">IF(OR(INDEX($AI$2:$AI$1001,MATCH(ROWS($AH$2:AH784),$AH$2:$AH$1001,0),1)&gt;=100000,INDEX($AO$1005:$BQ$1005,1,MATCH(COLUMNS($AO$1006:BF1006),$AO$1006:$BQ$1006,0))&gt;=100000), " ",IF(INDEX($AO$2:$BQ$1001,MATCH(ROWS($AH$2:AH784),$AH$2:$AH$1001,0),MATCH(COLUMNS($AO$1006:BF1006),$AO$1006:$BQ$1006,0)), HYPERLINK("#",""), HYPERLINK(CONCATENATE("#Metadata!", ADDRESS(INDEX($AJ$2:$AJ$1001,MATCH(ROWS($AH$2:AH784),$AH$2:$AH$1001,0),0), INDEX($AO$1004:$BQ$1004,1,MATCH(COLUMNS($AO$1006:BF1006),$AO$1006:$BQ$1006,0)))),"Fix")))</f>
        <v>#N/A</v>
      </c>
      <c r="T784" s="5" t="e">
        <f ca="1">IF(OR(INDEX($AI$2:$AI$1001,MATCH(ROWS($AH$2:AH784),$AH$2:$AH$1001,0),1)&gt;=100000,INDEX($AO$1005:$BQ$1005,1,MATCH(COLUMNS($AO$1006:BG1006),$AO$1006:$BQ$1006,0))&gt;=100000), " ",IF(INDEX($AO$2:$BQ$1001,MATCH(ROWS($AH$2:AH784),$AH$2:$AH$1001,0),MATCH(COLUMNS($AO$1006:BG1006),$AO$1006:$BQ$1006,0)), HYPERLINK("#",""), HYPERLINK(CONCATENATE("#Metadata!", ADDRESS(INDEX($AJ$2:$AJ$1001,MATCH(ROWS($AH$2:AH784),$AH$2:$AH$1001,0),0), INDEX($AO$1004:$BQ$1004,1,MATCH(COLUMNS($AO$1006:BG1006),$AO$1006:$BQ$1006,0)))),"Fix")))</f>
        <v>#N/A</v>
      </c>
      <c r="U784" s="5" t="e">
        <f ca="1">IF(OR(INDEX($AI$2:$AI$1001,MATCH(ROWS($AH$2:AH784),$AH$2:$AH$1001,0),1)&gt;=100000,INDEX($AO$1005:$BQ$1005,1,MATCH(COLUMNS($AO$1006:BH1006),$AO$1006:$BQ$1006,0))&gt;=100000), " ",IF(INDEX($AO$2:$BQ$1001,MATCH(ROWS($AH$2:AH784),$AH$2:$AH$1001,0),MATCH(COLUMNS($AO$1006:BH1006),$AO$1006:$BQ$1006,0)), HYPERLINK("#",""), HYPERLINK(CONCATENATE("#Metadata!", ADDRESS(INDEX($AJ$2:$AJ$1001,MATCH(ROWS($AH$2:AH784),$AH$2:$AH$1001,0),0), INDEX($AO$1004:$BQ$1004,1,MATCH(COLUMNS($AO$1006:BH1006),$AO$1006:$BQ$1006,0)))),"Fix")))</f>
        <v>#N/A</v>
      </c>
      <c r="V784" s="5" t="e">
        <f ca="1">IF(OR(INDEX($AI$2:$AI$1001,MATCH(ROWS($AH$2:AH784),$AH$2:$AH$1001,0),1)&gt;=100000,INDEX($AO$1005:$BQ$1005,1,MATCH(COLUMNS($AO$1006:BI1006),$AO$1006:$BQ$1006,0))&gt;=100000), " ",IF(INDEX($AO$2:$BQ$1001,MATCH(ROWS($AH$2:AH784),$AH$2:$AH$1001,0),MATCH(COLUMNS($AO$1006:BI1006),$AO$1006:$BQ$1006,0)), HYPERLINK("#",""), HYPERLINK(CONCATENATE("#Metadata!", ADDRESS(INDEX($AJ$2:$AJ$1001,MATCH(ROWS($AH$2:AH784),$AH$2:$AH$1001,0),0), INDEX($AO$1004:$BQ$1004,1,MATCH(COLUMNS($AO$1006:BI1006),$AO$1006:$BQ$1006,0)))),"Fix")))</f>
        <v>#N/A</v>
      </c>
      <c r="W784" s="5" t="e">
        <f ca="1">IF(OR(INDEX($AI$2:$AI$1001,MATCH(ROWS($AH$2:AH784),$AH$2:$AH$1001,0),1)&gt;=100000,INDEX($AO$1005:$BQ$1005,1,MATCH(COLUMNS($AO$1006:BJ1006),$AO$1006:$BQ$1006,0))&gt;=100000), " ",IF(INDEX($AO$2:$BQ$1001,MATCH(ROWS($AH$2:AH784),$AH$2:$AH$1001,0),MATCH(COLUMNS($AO$1006:BJ1006),$AO$1006:$BQ$1006,0)), HYPERLINK("#",""), HYPERLINK(CONCATENATE("#Metadata!", ADDRESS(INDEX($AJ$2:$AJ$1001,MATCH(ROWS($AH$2:AH784),$AH$2:$AH$1001,0),0), INDEX($AO$1004:$BQ$1004,1,MATCH(COLUMNS($AO$1006:BJ1006),$AO$1006:$BQ$1006,0)))),"Fix")))</f>
        <v>#N/A</v>
      </c>
      <c r="X784" s="5" t="e">
        <f ca="1">IF(OR(INDEX($AI$2:$AI$1001,MATCH(ROWS($AH$2:AH784),$AH$2:$AH$1001,0),1)&gt;=100000,INDEX($AO$1005:$BQ$1005,1,MATCH(COLUMNS($AO$1006:BK1006),$AO$1006:$BQ$1006,0))&gt;=100000), " ",IF(INDEX($AO$2:$BQ$1001,MATCH(ROWS($AH$2:AH784),$AH$2:$AH$1001,0),MATCH(COLUMNS($AO$1006:BK1006),$AO$1006:$BQ$1006,0)), HYPERLINK("#",""), HYPERLINK(CONCATENATE("#Metadata!", ADDRESS(INDEX($AJ$2:$AJ$1001,MATCH(ROWS($AH$2:AH784),$AH$2:$AH$1001,0),0), INDEX($AO$1004:$BQ$1004,1,MATCH(COLUMNS($AO$1006:BK1006),$AO$1006:$BQ$1006,0)))),"Fix")))</f>
        <v>#N/A</v>
      </c>
      <c r="Y784" s="5" t="e">
        <f ca="1">IF(OR(INDEX($AI$2:$AI$1001,MATCH(ROWS($AH$2:AH784),$AH$2:$AH$1001,0),1)&gt;=100000,INDEX($AO$1005:$BQ$1005,1,MATCH(COLUMNS($AO$1006:BL1006),$AO$1006:$BQ$1006,0))&gt;=100000), " ",IF(INDEX($AO$2:$BQ$1001,MATCH(ROWS($AH$2:AH784),$AH$2:$AH$1001,0),MATCH(COLUMNS($AO$1006:BL1006),$AO$1006:$BQ$1006,0)), HYPERLINK("#",""), HYPERLINK(CONCATENATE("#Metadata!", ADDRESS(INDEX($AJ$2:$AJ$1001,MATCH(ROWS($AH$2:AH784),$AH$2:$AH$1001,0),0), INDEX($AO$1004:$BQ$1004,1,MATCH(COLUMNS($AO$1006:BL1006),$AO$1006:$BQ$1006,0)))),"Fix")))</f>
        <v>#N/A</v>
      </c>
      <c r="Z784" s="5" t="e">
        <f ca="1">IF(OR(INDEX($AI$2:$AI$1001,MATCH(ROWS($AH$2:AH784),$AH$2:$AH$1001,0),1)&gt;=100000,INDEX($AO$1005:$BQ$1005,1,MATCH(COLUMNS($AO$1006:BM1006),$AO$1006:$BQ$1006,0))&gt;=100000), " ",IF(INDEX($AO$2:$BQ$1001,MATCH(ROWS($AH$2:AH784),$AH$2:$AH$1001,0),MATCH(COLUMNS($AO$1006:BM1006),$AO$1006:$BQ$1006,0)), HYPERLINK("#",""), HYPERLINK(CONCATENATE("#Metadata!", ADDRESS(INDEX($AJ$2:$AJ$1001,MATCH(ROWS($AH$2:AH784),$AH$2:$AH$1001,0),0), INDEX($AO$1004:$BQ$1004,1,MATCH(COLUMNS($AO$1006:BM1006),$AO$1006:$BQ$1006,0)))),"Fix")))</f>
        <v>#N/A</v>
      </c>
      <c r="AA784" s="5" t="e">
        <f ca="1">IF(OR(INDEX($AI$2:$AI$1001,MATCH(ROWS($AH$2:AH784),$AH$2:$AH$1001,0),1)&gt;=100000,INDEX($AO$1005:$BQ$1005,1,MATCH(COLUMNS($AO$1006:BN1006),$AO$1006:$BQ$1006,0))&gt;=100000), " ",IF(INDEX($AO$2:$BQ$1001,MATCH(ROWS($AH$2:AH784),$AH$2:$AH$1001,0),MATCH(COLUMNS($AO$1006:BN1006),$AO$1006:$BQ$1006,0)), HYPERLINK("#",""), HYPERLINK(CONCATENATE("#Metadata!", ADDRESS(INDEX($AJ$2:$AJ$1001,MATCH(ROWS($AH$2:AH784),$AH$2:$AH$1001,0),0), INDEX($AO$1004:$BQ$1004,1,MATCH(COLUMNS($AO$1006:BN1006),$AO$1006:$BQ$1006,0)))),"Fix")))</f>
        <v>#N/A</v>
      </c>
      <c r="AB784" s="5" t="e">
        <f ca="1">IF(OR(INDEX($AI$2:$AI$1001,MATCH(ROWS($AH$2:AH784),$AH$2:$AH$1001,0),1)&gt;=100000,INDEX($AO$1005:$BQ$1005,1,MATCH(COLUMNS($AO$1006:BO1006),$AO$1006:$BQ$1006,0))&gt;=100000), " ",IF(INDEX($AO$2:$BQ$1001,MATCH(ROWS($AH$2:AH784),$AH$2:$AH$1001,0),MATCH(COLUMNS($AO$1006:BO1006),$AO$1006:$BQ$1006,0)), HYPERLINK("#",""), HYPERLINK(CONCATENATE("#Metadata!", ADDRESS(INDEX($AJ$2:$AJ$1001,MATCH(ROWS($AH$2:AH784),$AH$2:$AH$1001,0),0), INDEX($AO$1004:$BQ$1004,1,MATCH(COLUMNS($AO$1006:BO1006),$AO$1006:$BQ$1006,0)))),"Fix")))</f>
        <v>#N/A</v>
      </c>
      <c r="AC784" s="5" t="e">
        <f ca="1">IF(OR(INDEX($AI$2:$AI$1001,MATCH(ROWS($AH$2:AH784),$AH$2:$AH$1001,0),1)&gt;=100000,INDEX($AO$1005:$BQ$1005,1,MATCH(COLUMNS($AO$1006:BP1006),$AO$1006:$BQ$1006,0))&gt;=100000), " ",IF(INDEX($AO$2:$BQ$1001,MATCH(ROWS($AH$2:AH784),$AH$2:$AH$1001,0),MATCH(COLUMNS($AO$1006:BP1006),$AO$1006:$BQ$1006,0)), HYPERLINK("#",""), HYPERLINK(CONCATENATE("#Metadata!", ADDRESS(INDEX($AJ$2:$AJ$1001,MATCH(ROWS($AH$2:AH784),$AH$2:$AH$1001,0),0), INDEX($AO$1004:$BQ$1004,1,MATCH(COLUMNS($AO$1006:BP1006),$AO$1006:$BQ$1006,0)))),"Fix")))</f>
        <v>#N/A</v>
      </c>
      <c r="AD784" s="5" t="e">
        <f ca="1">IF(OR(INDEX($AI$2:$AI$1001,MATCH(ROWS($AH$2:AH784),$AH$2:$AH$1001,0),1)&gt;=100000,INDEX($AO$1005:$BQ$1005,1,MATCH(COLUMNS($AO$1006:BQ1006),$AO$1006:$BQ$1006,0))&gt;=100000), " ",IF(INDEX($AO$2:$BQ$1001,MATCH(ROWS($AH$2:AH784),$AH$2:$AH$1001,0),MATCH(COLUMNS($AO$1006:BQ1006),$AO$1006:$BQ$1006,0)), HYPERLINK("#",""), HYPERLINK(CONCATENATE("#Metadata!", ADDRESS(INDEX($AJ$2:$AJ$1001,MATCH(ROWS($AH$2:AH784),$AH$2:$AH$1001,0),0), INDEX($AO$1004:$BQ$1004,1,MATCH(COLUMNS($AO$1006:BQ1006),$AO$1006:$BQ$1006,0)))),"Fix")))</f>
        <v>#REF!</v>
      </c>
      <c r="AH784">
        <f ca="1"/>
        <v>781</v>
      </c>
      <c r="AI784">
        <v>100784</v>
      </c>
      <c r="AJ784">
        <v>784</v>
      </c>
      <c r="AK784" t="b">
        <f t="shared" si="12"/>
        <v>1</v>
      </c>
      <c r="AL784" t="b">
        <f>COUNTBLANK(Metadata!B784:AD784)=COLUMNS(Metadata!B784:AD784)</f>
        <v>1</v>
      </c>
      <c r="AM784" t="str">
        <v/>
      </c>
      <c r="AO784" t="b">
        <f ca="1">AND(IF(Metadata!B784="",FALSE,TRUE),COUNTIF(Metadata!B:B, Metadata!B784) = 1,NOT(ISERROR(SUMPRODUCT(SEARCH(MID(Metadata!B784,ROW(INDIRECT("1:"&amp;LEN(Metadata!B784))), 1),"0123456789abcdefghijklmnopqrstuvwxyzABCDEFGHIJKLMNOPQRSTUVWXYZ.")))))</f>
        <v>0</v>
      </c>
      <c r="AP784" t="b">
        <f>IF(Metadata!C784="",FALSE,TRUE)</f>
        <v>0</v>
      </c>
      <c r="AQ784" t="b">
        <f>IF(Metadata!D784="",FALSE,TRUE)</f>
        <v>0</v>
      </c>
      <c r="AR784" t="b">
        <f ca="1">OR(AND(IF(Metadata!E784="",FALSE,TRUE),OR(EXACT(Metadata!E784,"not collected"),EXACT(Metadata!E784,"not provided"),EXACT(Metadata!E784,"restricted access"))),AND(IF(Metadata!E784="",FALSE,TRUE),AND(AND(IFERROR(INT(LEFT(Metadata!E784,4))&gt;1900,FALSE),IFERROR(INT(LEFT(Metadata!E784,4))&lt;=YEAR(NOW()),FALSE)), OR(MID(Metadata!E784,5,1)="", AND(AND(MID(Metadata!E784,5,1)="-",IFERROR(INT(MID(Metadata!E784,6,1))&gt;=0,FALSE),IFERROR(INT(MID(Metadata!E784,6,1))&lt;=1,FALSE),NOT(MID(Metadata!E784,7,1)=""),IFERROR(INT(MID(Metadata!E784,6,2))&gt;=1,FALSE),IFERROR(INT(MID(Metadata!E784,6,2))&lt;=12,FALSE)), OR(MID(Metadata!E784,8,1)="", AND(AND(MID(Metadata!E784,8,1)="-",IFERROR(INT(MID(Metadata!E784,9,1))&gt;=0,FALSE),IFERROR(INT(MID(Metadata!E784,9,1))&lt;=3,FALSE),NOT(MID(Metadata!E784,10,1)=""),IFERROR(INT(MID(Metadata!E784,9,2))&gt;=1,FALSE),IFERROR(INT(MID(Metadata!E784,9,2))&lt;=31,FALSE)), OR(MID(Metadata!E784,11,1)="", AND(AND(MID(Metadata!E784,11,1)=" ",IFERROR(INT(MID(Metadata!E784,12,1))&gt;=0,FALSE),IFERROR(INT(MID(Metadata!E784,12,1))&lt;=2,FALSE),NOT(MID(Metadata!E784,13,1)=""),IFERROR(INT(MID(Metadata!E784,12,2))&gt;=0,FALSE),IFERROR(INT(MID(Metadata!E784,12,2))&lt;=23,FALSE)), OR(MID(Metadata!E784,14,1)="", AND(AND(MID(Metadata!E784,14,1)=":",IFERROR(INT(MID(Metadata!E784,15,1))&gt;=0,FALSE),IFERROR(INT(MID(Metadata!E784,15,1))&lt;=5,FALSE),NOT(MID(Metadata!E784,16,1)=""),IFERROR(INT(MID(Metadata!E784,15,2))&gt;=0,FALSE),IFERROR(INT(MID(Metadata!E784,15,2))&lt;=59,FALSE)), OR(MID(Metadata!E784,17,1)="", AND(AND(MID(Metadata!E784,17,1)=":",IFERROR(INT(MID(Metadata!E784,18,1))&gt;=0,FALSE),IFERROR(INT(MID(Metadata!E784,18,1))&lt;=5,FALSE),NOT(MID(Metadata!E784,19,1)=""),IFERROR(INT(MID(Metadata!E784,18,2))&gt;=0,FALSE),IFERROR(INT(MID(Metadata!E784,18,2))&lt;=59,FALSE)), LEN(Metadata!E784)&lt;=19)))))))))))))</f>
        <v>0</v>
      </c>
      <c r="AS784" t="b">
        <f>IF(Metadata!F784="",FALSE,TRUE)</f>
        <v>0</v>
      </c>
      <c r="AT784" t="b">
        <f>OR(AND(IF(Metadata!G784="",FALSE,TRUE),OR(EXACT(Metadata!G784,"not collected"),EXACT(Metadata!G784,"not provided"))),AND(IF(Metadata!G784="",FALSE,TRUE),OR(EXACT(Metadata!G784,"TRUE"),EXACT(Metadata!G784,"FALSE"))))</f>
        <v>0</v>
      </c>
      <c r="AU784" t="b">
        <f>OR(AND(IF(Metadata!H784="",FALSE,TRUE),OR(EXACT(Metadata!H784,"not collected"),EXACT(Metadata!H784,"not provided"),EXACT(Metadata!H784,"restricted access"))),AND(IF(Metadata!H784="",FALSE,ISNUMBER(VALUE(Metadata!H784))),Metadata!H784&gt;=-413))</f>
        <v>0</v>
      </c>
      <c r="AV784" t="b">
        <f>AND(IF(Metadata!I784="",FALSE,TRUE),EXACT(Metadata!I784,"meters"))</f>
        <v>0</v>
      </c>
      <c r="AW784" t="b">
        <f>AND(IF(Metadata!J784="",FALSE,TRUE),EXACT(Metadata!J784,"free-living"))</f>
        <v>0</v>
      </c>
      <c r="AX784" t="b">
        <f>AND(IF(Metadata!K784="",FALSE,TRUE),OR(EXACT(Metadata!K784,"saline"),EXACT(Metadata!K784,"non-saline")))</f>
        <v>0</v>
      </c>
      <c r="AY784" t="b">
        <f>AND(IF(Metadata!L784="",FALSE,TRUE),OR(EXACT(Metadata!L784,"sub-surface (non-saline)"),EXACT(Metadata!L784,"surface (non-saline)"),EXACT(Metadata!L784,"water (non-saline)"),EXACT(Metadata!L784,"soil (non-saline)"),EXACT(Metadata!L784,"aerosol (non-saline)"),EXACT(Metadata!L784,"sediment (non-saline)"),EXACT(Metadata!L784,"surface (saline)"),EXACT(Metadata!L784,"water (saline)"),EXACT(Metadata!L784,"hypersaline (saline)"),EXACT(Metadata!L784,"aerosol (saline)"),EXACT(Metadata!L784,"sediment (saline)")))</f>
        <v>0</v>
      </c>
      <c r="AZ784" t="b">
        <f>IF(Metadata!M784="",FALSE,TRUE)</f>
        <v>0</v>
      </c>
      <c r="BA784" t="b">
        <f>IF(Metadata!N784="",FALSE,TRUE)</f>
        <v>0</v>
      </c>
      <c r="BB784" t="b">
        <f>IF(Metadata!O784="",FALSE,TRUE)</f>
        <v>0</v>
      </c>
      <c r="BC784" t="b">
        <f>AND(IF(Metadata!P784="",FALSE,TRUE),OR(EXACT(Metadata!P784,"air"),EXACT(Metadata!P784,"microbial mat/biofilm"),EXACT(Metadata!P784,"misc environment"),EXACT(Metadata!P784,"sediment"),EXACT(Metadata!P784,"soil"),EXACT(Metadata!P784,"wastewater/sludge"),EXACT(Metadata!P784,"water")))</f>
        <v>0</v>
      </c>
      <c r="BD784" t="b">
        <f>IF(Metadata!Q784="",FALSE,TRUE)</f>
        <v>0</v>
      </c>
      <c r="BE784" t="b">
        <f>IF(Metadata!R784="",FALSE,TRUE)</f>
        <v>0</v>
      </c>
      <c r="BF784" t="b">
        <f>OR(AND(IF(Metadata!S784="",FALSE,TRUE),OR(EXACT(Metadata!S784,"not collected"),EXACT(Metadata!S784,"not provided"),EXACT(Metadata!S784,"restricted access"))),AND(IF(Metadata!S784="",FALSE,ISNUMBER(VALUE(Metadata!S784))),Metadata!S784&gt;=-90,Metadata!S784&lt;=90))</f>
        <v>0</v>
      </c>
      <c r="BG784" t="b">
        <f>AND(IF(Metadata!T784="",FALSE,TRUE),EXACT(Metadata!T784,"Decimal degrees"))</f>
        <v>0</v>
      </c>
      <c r="BH784" t="b">
        <f>OR(AND(IF(Metadata!U784="",FALSE,TRUE),OR(EXACT(Metadata!U784,"not applicable"),EXACT(Metadata!U784,"not collected"))),IF(Metadata!U784="",FALSE,TRUE))</f>
        <v>0</v>
      </c>
      <c r="BI784" t="b">
        <f>OR(AND(IF(Metadata!V784="",FALSE,TRUE),OR(EXACT(Metadata!V784,"not collected"),EXACT(Metadata!V784,"not provided"),EXACT(Metadata!V784,"restricted access"))),AND(IF(Metadata!V784="",FALSE,ISNUMBER(VALUE(Metadata!V784))),Metadata!V784&gt;=-180,Metadata!V784&lt;=180))</f>
        <v>0</v>
      </c>
      <c r="BJ784" t="b">
        <f>AND(IF(Metadata!W784="",FALSE,TRUE),EXACT(Metadata!W784,"Decimal degrees"))</f>
        <v>0</v>
      </c>
      <c r="BK784" t="b">
        <f>IF(Metadata!X784="",FALSE,TRUE)</f>
        <v>0</v>
      </c>
      <c r="BL784" t="b">
        <f>OR(AND(IF(Metadata!Y784="",FALSE,TRUE),OR(EXACT(Metadata!Y784,"not collected"),EXACT(Metadata!Y784,"not provided"),EXACT(Metadata!Y784,"restricted access"))),AND(IF(Metadata!Y784="",FALSE,TRUE),OR(EXACT(Metadata!Y784,"TRUE"),EXACT(Metadata!Y784,"FALSE"))))</f>
        <v>0</v>
      </c>
      <c r="BM784" t="b">
        <f>OR(AND(IF(Metadata!Z784="",FALSE,TRUE),EXACT(Metadata!Z784,"not applicable")),AND(IF(Metadata!Z784="",FALSE,TRUE),OR(EXACT(Metadata!Z784,"beer"),EXACT(Metadata!Z784,"cheese"),EXACT(Metadata!Z784,"fresh water"),EXACT(Metadata!Z784,"marine sediment"),EXACT(Metadata!Z784,"sea water"),EXACT(Metadata!Z784,"sediment"),EXACT(Metadata!Z784,"soil"),EXACT(Metadata!Z784,"waste water"))))</f>
        <v>0</v>
      </c>
      <c r="BN784" t="b">
        <f>AND(IF(Metadata!AA784="",FALSE,TRUE),EXACT(Metadata!AA784,"metagenome"))</f>
        <v>0</v>
      </c>
      <c r="BO784" t="b">
        <f>AND(IF(Metadata!AB784="",FALSE,TRUE),EXACT(Metadata!AB784,"256318"))</f>
        <v>0</v>
      </c>
      <c r="BP784" t="b">
        <f>IF(Metadata!AC784="",FALSE,TRUE)</f>
        <v>0</v>
      </c>
      <c r="BQ784" t="b">
        <f>IF(Metadata!AD784="",FALSE,TRUE)</f>
        <v>0</v>
      </c>
    </row>
    <row r="785" spans="1:69" x14ac:dyDescent="0.2">
      <c r="A785" s="4" t="e">
        <f ca="1">IF(B785=" "," ",HYPERLINK(CONCATENATE("#metadata!",ADDRESS(INDEX($AJ$2:$AJ$1001,MATCH(ROWS($AH$2:AH785),$AH$2:$AH$1001,0),0),2)),INDEX($AM$2:$AM$1001,MATCH(ROWS($AH$2:AH785),$AH$2:$AH$1001,0),0)))</f>
        <v>#N/A</v>
      </c>
      <c r="B785" s="5" t="e">
        <f ca="1">IF(OR(INDEX($AI$2:$AI$1001,MATCH(ROWS($AH$2:AH785),$AH$2:$AH$1001,0),1)&gt;=100000,INDEX($AO$1005:$BQ$1005,1,MATCH(COLUMNS($AO$1006:AO1006),$AO$1006:$BQ$1006,0))&gt;=100000), " ",IF(INDEX($AO$2:$BQ$1001,MATCH(ROWS($AH$2:AH785),$AH$2:$AH$1001,0),MATCH(COLUMNS($AO$1006:AO1006),$AO$1006:$BQ$1006,0)), HYPERLINK("#",""), HYPERLINK(CONCATENATE("#Metadata!", ADDRESS(INDEX($AJ$2:$AJ$1001,MATCH(ROWS($AH$2:AH785),$AH$2:$AH$1001,0),0), INDEX($AO$1004:$BQ$1004,1,MATCH(COLUMNS($AO$1006:AO1006),$AO$1006:$BQ$1006,0)))),"Fix")))</f>
        <v>#N/A</v>
      </c>
      <c r="C785" s="5" t="e">
        <f ca="1">IF(OR(INDEX($AI$2:$AI$1001,MATCH(ROWS($AH$2:AH785),$AH$2:$AH$1001,0),1)&gt;=100000,INDEX($AO$1005:$BQ$1005,1,MATCH(COLUMNS($AO$1006:AP1006),$AO$1006:$BQ$1006,0))&gt;=100000), " ",IF(INDEX($AO$2:$BQ$1001,MATCH(ROWS($AH$2:AH785),$AH$2:$AH$1001,0),MATCH(COLUMNS($AO$1006:AP1006),$AO$1006:$BQ$1006,0)), HYPERLINK("#",""), HYPERLINK(CONCATENATE("#Metadata!", ADDRESS(INDEX($AJ$2:$AJ$1001,MATCH(ROWS($AH$2:AH785),$AH$2:$AH$1001,0),0), INDEX($AO$1004:$BQ$1004,1,MATCH(COLUMNS($AO$1006:AP1006),$AO$1006:$BQ$1006,0)))),"Fix")))</f>
        <v>#N/A</v>
      </c>
      <c r="D785" s="5" t="e">
        <f ca="1">IF(OR(INDEX($AI$2:$AI$1001,MATCH(ROWS($AH$2:AH785),$AH$2:$AH$1001,0),1)&gt;=100000,INDEX($AO$1005:$BQ$1005,1,MATCH(COLUMNS($AO$1006:AQ1006),$AO$1006:$BQ$1006,0))&gt;=100000), " ",IF(INDEX($AO$2:$BQ$1001,MATCH(ROWS($AH$2:AH785),$AH$2:$AH$1001,0),MATCH(COLUMNS($AO$1006:AQ1006),$AO$1006:$BQ$1006,0)), HYPERLINK("#",""), HYPERLINK(CONCATENATE("#Metadata!", ADDRESS(INDEX($AJ$2:$AJ$1001,MATCH(ROWS($AH$2:AH785),$AH$2:$AH$1001,0),0), INDEX($AO$1004:$BQ$1004,1,MATCH(COLUMNS($AO$1006:AQ1006),$AO$1006:$BQ$1006,0)))),"Fix")))</f>
        <v>#N/A</v>
      </c>
      <c r="E785" s="5" t="e">
        <f ca="1">IF(OR(INDEX($AI$2:$AI$1001,MATCH(ROWS($AH$2:AH785),$AH$2:$AH$1001,0),1)&gt;=100000,INDEX($AO$1005:$BQ$1005,1,MATCH(COLUMNS($AO$1006:AR1006),$AO$1006:$BQ$1006,0))&gt;=100000), " ",IF(INDEX($AO$2:$BQ$1001,MATCH(ROWS($AH$2:AH785),$AH$2:$AH$1001,0),MATCH(COLUMNS($AO$1006:AR1006),$AO$1006:$BQ$1006,0)), HYPERLINK("#",""), HYPERLINK(CONCATENATE("#Metadata!", ADDRESS(INDEX($AJ$2:$AJ$1001,MATCH(ROWS($AH$2:AH785),$AH$2:$AH$1001,0),0), INDEX($AO$1004:$BQ$1004,1,MATCH(COLUMNS($AO$1006:AR1006),$AO$1006:$BQ$1006,0)))),"Fix")))</f>
        <v>#N/A</v>
      </c>
      <c r="F785" s="5" t="e">
        <f ca="1">IF(OR(INDEX($AI$2:$AI$1001,MATCH(ROWS($AH$2:AH785),$AH$2:$AH$1001,0),1)&gt;=100000,INDEX($AO$1005:$BQ$1005,1,MATCH(COLUMNS($AO$1006:AS1006),$AO$1006:$BQ$1006,0))&gt;=100000), " ",IF(INDEX($AO$2:$BQ$1001,MATCH(ROWS($AH$2:AH785),$AH$2:$AH$1001,0),MATCH(COLUMNS($AO$1006:AS1006),$AO$1006:$BQ$1006,0)), HYPERLINK("#",""), HYPERLINK(CONCATENATE("#Metadata!", ADDRESS(INDEX($AJ$2:$AJ$1001,MATCH(ROWS($AH$2:AH785),$AH$2:$AH$1001,0),0), INDEX($AO$1004:$BQ$1004,1,MATCH(COLUMNS($AO$1006:AS1006),$AO$1006:$BQ$1006,0)))),"Fix")))</f>
        <v>#N/A</v>
      </c>
      <c r="G785" s="5" t="e">
        <f ca="1">IF(OR(INDEX($AI$2:$AI$1001,MATCH(ROWS($AH$2:AH785),$AH$2:$AH$1001,0),1)&gt;=100000,INDEX($AO$1005:$BQ$1005,1,MATCH(COLUMNS($AO$1006:AT1006),$AO$1006:$BQ$1006,0))&gt;=100000), " ",IF(INDEX($AO$2:$BQ$1001,MATCH(ROWS($AH$2:AH785),$AH$2:$AH$1001,0),MATCH(COLUMNS($AO$1006:AT1006),$AO$1006:$BQ$1006,0)), HYPERLINK("#",""), HYPERLINK(CONCATENATE("#Metadata!", ADDRESS(INDEX($AJ$2:$AJ$1001,MATCH(ROWS($AH$2:AH785),$AH$2:$AH$1001,0),0), INDEX($AO$1004:$BQ$1004,1,MATCH(COLUMNS($AO$1006:AT1006),$AO$1006:$BQ$1006,0)))),"Fix")))</f>
        <v>#N/A</v>
      </c>
      <c r="H785" s="5" t="e">
        <f ca="1">IF(OR(INDEX($AI$2:$AI$1001,MATCH(ROWS($AH$2:AH785),$AH$2:$AH$1001,0),1)&gt;=100000,INDEX($AO$1005:$BQ$1005,1,MATCH(COLUMNS($AO$1006:AU1006),$AO$1006:$BQ$1006,0))&gt;=100000), " ",IF(INDEX($AO$2:$BQ$1001,MATCH(ROWS($AH$2:AH785),$AH$2:$AH$1001,0),MATCH(COLUMNS($AO$1006:AU1006),$AO$1006:$BQ$1006,0)), HYPERLINK("#",""), HYPERLINK(CONCATENATE("#Metadata!", ADDRESS(INDEX($AJ$2:$AJ$1001,MATCH(ROWS($AH$2:AH785),$AH$2:$AH$1001,0),0), INDEX($AO$1004:$BQ$1004,1,MATCH(COLUMNS($AO$1006:AU1006),$AO$1006:$BQ$1006,0)))),"Fix")))</f>
        <v>#N/A</v>
      </c>
      <c r="I785" s="5" t="e">
        <f ca="1">IF(OR(INDEX($AI$2:$AI$1001,MATCH(ROWS($AH$2:AH785),$AH$2:$AH$1001,0),1)&gt;=100000,INDEX($AO$1005:$BQ$1005,1,MATCH(COLUMNS($AO$1006:AV1006),$AO$1006:$BQ$1006,0))&gt;=100000), " ",IF(INDEX($AO$2:$BQ$1001,MATCH(ROWS($AH$2:AH785),$AH$2:$AH$1001,0),MATCH(COLUMNS($AO$1006:AV1006),$AO$1006:$BQ$1006,0)), HYPERLINK("#",""), HYPERLINK(CONCATENATE("#Metadata!", ADDRESS(INDEX($AJ$2:$AJ$1001,MATCH(ROWS($AH$2:AH785),$AH$2:$AH$1001,0),0), INDEX($AO$1004:$BQ$1004,1,MATCH(COLUMNS($AO$1006:AV1006),$AO$1006:$BQ$1006,0)))),"Fix")))</f>
        <v>#N/A</v>
      </c>
      <c r="J785" s="5" t="e">
        <f ca="1">IF(OR(INDEX($AI$2:$AI$1001,MATCH(ROWS($AH$2:AH785),$AH$2:$AH$1001,0),1)&gt;=100000,INDEX($AO$1005:$BQ$1005,1,MATCH(COLUMNS($AO$1006:AW1006),$AO$1006:$BQ$1006,0))&gt;=100000), " ",IF(INDEX($AO$2:$BQ$1001,MATCH(ROWS($AH$2:AH785),$AH$2:$AH$1001,0),MATCH(COLUMNS($AO$1006:AW1006),$AO$1006:$BQ$1006,0)), HYPERLINK("#",""), HYPERLINK(CONCATENATE("#Metadata!", ADDRESS(INDEX($AJ$2:$AJ$1001,MATCH(ROWS($AH$2:AH785),$AH$2:$AH$1001,0),0), INDEX($AO$1004:$BQ$1004,1,MATCH(COLUMNS($AO$1006:AW1006),$AO$1006:$BQ$1006,0)))),"Fix")))</f>
        <v>#N/A</v>
      </c>
      <c r="K785" s="5" t="e">
        <f ca="1">IF(OR(INDEX($AI$2:$AI$1001,MATCH(ROWS($AH$2:AH785),$AH$2:$AH$1001,0),1)&gt;=100000,INDEX($AO$1005:$BQ$1005,1,MATCH(COLUMNS($AO$1006:AX1006),$AO$1006:$BQ$1006,0))&gt;=100000), " ",IF(INDEX($AO$2:$BQ$1001,MATCH(ROWS($AH$2:AH785),$AH$2:$AH$1001,0),MATCH(COLUMNS($AO$1006:AX1006),$AO$1006:$BQ$1006,0)), HYPERLINK("#",""), HYPERLINK(CONCATENATE("#Metadata!", ADDRESS(INDEX($AJ$2:$AJ$1001,MATCH(ROWS($AH$2:AH785),$AH$2:$AH$1001,0),0), INDEX($AO$1004:$BQ$1004,1,MATCH(COLUMNS($AO$1006:AX1006),$AO$1006:$BQ$1006,0)))),"Fix")))</f>
        <v>#N/A</v>
      </c>
      <c r="L785" s="5" t="e">
        <f ca="1">IF(OR(INDEX($AI$2:$AI$1001,MATCH(ROWS($AH$2:AH785),$AH$2:$AH$1001,0),1)&gt;=100000,INDEX($AO$1005:$BQ$1005,1,MATCH(COLUMNS($AO$1006:AY1006),$AO$1006:$BQ$1006,0))&gt;=100000), " ",IF(INDEX($AO$2:$BQ$1001,MATCH(ROWS($AH$2:AH785),$AH$2:$AH$1001,0),MATCH(COLUMNS($AO$1006:AY1006),$AO$1006:$BQ$1006,0)), HYPERLINK("#",""), HYPERLINK(CONCATENATE("#Metadata!", ADDRESS(INDEX($AJ$2:$AJ$1001,MATCH(ROWS($AH$2:AH785),$AH$2:$AH$1001,0),0), INDEX($AO$1004:$BQ$1004,1,MATCH(COLUMNS($AO$1006:AY1006),$AO$1006:$BQ$1006,0)))),"Fix")))</f>
        <v>#N/A</v>
      </c>
      <c r="M785" s="5" t="e">
        <f ca="1">IF(OR(INDEX($AI$2:$AI$1001,MATCH(ROWS($AH$2:AH785),$AH$2:$AH$1001,0),1)&gt;=100000,INDEX($AO$1005:$BQ$1005,1,MATCH(COLUMNS($AO$1006:AZ1006),$AO$1006:$BQ$1006,0))&gt;=100000), " ",IF(INDEX($AO$2:$BQ$1001,MATCH(ROWS($AH$2:AH785),$AH$2:$AH$1001,0),MATCH(COLUMNS($AO$1006:AZ1006),$AO$1006:$BQ$1006,0)), HYPERLINK("#",""), HYPERLINK(CONCATENATE("#Metadata!", ADDRESS(INDEX($AJ$2:$AJ$1001,MATCH(ROWS($AH$2:AH785),$AH$2:$AH$1001,0),0), INDEX($AO$1004:$BQ$1004,1,MATCH(COLUMNS($AO$1006:AZ1006),$AO$1006:$BQ$1006,0)))),"Fix")))</f>
        <v>#N/A</v>
      </c>
      <c r="N785" s="5" t="e">
        <f ca="1">IF(OR(INDEX($AI$2:$AI$1001,MATCH(ROWS($AH$2:AH785),$AH$2:$AH$1001,0),1)&gt;=100000,INDEX($AO$1005:$BQ$1005,1,MATCH(COLUMNS($AO$1006:BA1006),$AO$1006:$BQ$1006,0))&gt;=100000), " ",IF(INDEX($AO$2:$BQ$1001,MATCH(ROWS($AH$2:AH785),$AH$2:$AH$1001,0),MATCH(COLUMNS($AO$1006:BA1006),$AO$1006:$BQ$1006,0)), HYPERLINK("#",""), HYPERLINK(CONCATENATE("#Metadata!", ADDRESS(INDEX($AJ$2:$AJ$1001,MATCH(ROWS($AH$2:AH785),$AH$2:$AH$1001,0),0), INDEX($AO$1004:$BQ$1004,1,MATCH(COLUMNS($AO$1006:BA1006),$AO$1006:$BQ$1006,0)))),"Fix")))</f>
        <v>#N/A</v>
      </c>
      <c r="O785" s="5" t="e">
        <f ca="1">IF(OR(INDEX($AI$2:$AI$1001,MATCH(ROWS($AH$2:AH785),$AH$2:$AH$1001,0),1)&gt;=100000,INDEX($AO$1005:$BQ$1005,1,MATCH(COLUMNS($AO$1006:BB1006),$AO$1006:$BQ$1006,0))&gt;=100000), " ",IF(INDEX($AO$2:$BQ$1001,MATCH(ROWS($AH$2:AH785),$AH$2:$AH$1001,0),MATCH(COLUMNS($AO$1006:BB1006),$AO$1006:$BQ$1006,0)), HYPERLINK("#",""), HYPERLINK(CONCATENATE("#Metadata!", ADDRESS(INDEX($AJ$2:$AJ$1001,MATCH(ROWS($AH$2:AH785),$AH$2:$AH$1001,0),0), INDEX($AO$1004:$BQ$1004,1,MATCH(COLUMNS($AO$1006:BB1006),$AO$1006:$BQ$1006,0)))),"Fix")))</f>
        <v>#N/A</v>
      </c>
      <c r="P785" s="5" t="e">
        <f ca="1">IF(OR(INDEX($AI$2:$AI$1001,MATCH(ROWS($AH$2:AH785),$AH$2:$AH$1001,0),1)&gt;=100000,INDEX($AO$1005:$BQ$1005,1,MATCH(COLUMNS($AO$1006:BC1006),$AO$1006:$BQ$1006,0))&gt;=100000), " ",IF(INDEX($AO$2:$BQ$1001,MATCH(ROWS($AH$2:AH785),$AH$2:$AH$1001,0),MATCH(COLUMNS($AO$1006:BC1006),$AO$1006:$BQ$1006,0)), HYPERLINK("#",""), HYPERLINK(CONCATENATE("#Metadata!", ADDRESS(INDEX($AJ$2:$AJ$1001,MATCH(ROWS($AH$2:AH785),$AH$2:$AH$1001,0),0), INDEX($AO$1004:$BQ$1004,1,MATCH(COLUMNS($AO$1006:BC1006),$AO$1006:$BQ$1006,0)))),"Fix")))</f>
        <v>#N/A</v>
      </c>
      <c r="Q785" s="5" t="e">
        <f ca="1">IF(OR(INDEX($AI$2:$AI$1001,MATCH(ROWS($AH$2:AH785),$AH$2:$AH$1001,0),1)&gt;=100000,INDEX($AO$1005:$BQ$1005,1,MATCH(COLUMNS($AO$1006:BD1006),$AO$1006:$BQ$1006,0))&gt;=100000), " ",IF(INDEX($AO$2:$BQ$1001,MATCH(ROWS($AH$2:AH785),$AH$2:$AH$1001,0),MATCH(COLUMNS($AO$1006:BD1006),$AO$1006:$BQ$1006,0)), HYPERLINK("#",""), HYPERLINK(CONCATENATE("#Metadata!", ADDRESS(INDEX($AJ$2:$AJ$1001,MATCH(ROWS($AH$2:AH785),$AH$2:$AH$1001,0),0), INDEX($AO$1004:$BQ$1004,1,MATCH(COLUMNS($AO$1006:BD1006),$AO$1006:$BQ$1006,0)))),"Fix")))</f>
        <v>#N/A</v>
      </c>
      <c r="R785" s="5" t="e">
        <f ca="1">IF(OR(INDEX($AI$2:$AI$1001,MATCH(ROWS($AH$2:AH785),$AH$2:$AH$1001,0),1)&gt;=100000,INDEX($AO$1005:$BQ$1005,1,MATCH(COLUMNS($AO$1006:BE1006),$AO$1006:$BQ$1006,0))&gt;=100000), " ",IF(INDEX($AO$2:$BQ$1001,MATCH(ROWS($AH$2:AH785),$AH$2:$AH$1001,0),MATCH(COLUMNS($AO$1006:BE1006),$AO$1006:$BQ$1006,0)), HYPERLINK("#",""), HYPERLINK(CONCATENATE("#Metadata!", ADDRESS(INDEX($AJ$2:$AJ$1001,MATCH(ROWS($AH$2:AH785),$AH$2:$AH$1001,0),0), INDEX($AO$1004:$BQ$1004,1,MATCH(COLUMNS($AO$1006:BE1006),$AO$1006:$BQ$1006,0)))),"Fix")))</f>
        <v>#N/A</v>
      </c>
      <c r="S785" s="5" t="e">
        <f ca="1">IF(OR(INDEX($AI$2:$AI$1001,MATCH(ROWS($AH$2:AH785),$AH$2:$AH$1001,0),1)&gt;=100000,INDEX($AO$1005:$BQ$1005,1,MATCH(COLUMNS($AO$1006:BF1006),$AO$1006:$BQ$1006,0))&gt;=100000), " ",IF(INDEX($AO$2:$BQ$1001,MATCH(ROWS($AH$2:AH785),$AH$2:$AH$1001,0),MATCH(COLUMNS($AO$1006:BF1006),$AO$1006:$BQ$1006,0)), HYPERLINK("#",""), HYPERLINK(CONCATENATE("#Metadata!", ADDRESS(INDEX($AJ$2:$AJ$1001,MATCH(ROWS($AH$2:AH785),$AH$2:$AH$1001,0),0), INDEX($AO$1004:$BQ$1004,1,MATCH(COLUMNS($AO$1006:BF1006),$AO$1006:$BQ$1006,0)))),"Fix")))</f>
        <v>#N/A</v>
      </c>
      <c r="T785" s="5" t="e">
        <f ca="1">IF(OR(INDEX($AI$2:$AI$1001,MATCH(ROWS($AH$2:AH785),$AH$2:$AH$1001,0),1)&gt;=100000,INDEX($AO$1005:$BQ$1005,1,MATCH(COLUMNS($AO$1006:BG1006),$AO$1006:$BQ$1006,0))&gt;=100000), " ",IF(INDEX($AO$2:$BQ$1001,MATCH(ROWS($AH$2:AH785),$AH$2:$AH$1001,0),MATCH(COLUMNS($AO$1006:BG1006),$AO$1006:$BQ$1006,0)), HYPERLINK("#",""), HYPERLINK(CONCATENATE("#Metadata!", ADDRESS(INDEX($AJ$2:$AJ$1001,MATCH(ROWS($AH$2:AH785),$AH$2:$AH$1001,0),0), INDEX($AO$1004:$BQ$1004,1,MATCH(COLUMNS($AO$1006:BG1006),$AO$1006:$BQ$1006,0)))),"Fix")))</f>
        <v>#N/A</v>
      </c>
      <c r="U785" s="5" t="e">
        <f ca="1">IF(OR(INDEX($AI$2:$AI$1001,MATCH(ROWS($AH$2:AH785),$AH$2:$AH$1001,0),1)&gt;=100000,INDEX($AO$1005:$BQ$1005,1,MATCH(COLUMNS($AO$1006:BH1006),$AO$1006:$BQ$1006,0))&gt;=100000), " ",IF(INDEX($AO$2:$BQ$1001,MATCH(ROWS($AH$2:AH785),$AH$2:$AH$1001,0),MATCH(COLUMNS($AO$1006:BH1006),$AO$1006:$BQ$1006,0)), HYPERLINK("#",""), HYPERLINK(CONCATENATE("#Metadata!", ADDRESS(INDEX($AJ$2:$AJ$1001,MATCH(ROWS($AH$2:AH785),$AH$2:$AH$1001,0),0), INDEX($AO$1004:$BQ$1004,1,MATCH(COLUMNS($AO$1006:BH1006),$AO$1006:$BQ$1006,0)))),"Fix")))</f>
        <v>#N/A</v>
      </c>
      <c r="V785" s="5" t="e">
        <f ca="1">IF(OR(INDEX($AI$2:$AI$1001,MATCH(ROWS($AH$2:AH785),$AH$2:$AH$1001,0),1)&gt;=100000,INDEX($AO$1005:$BQ$1005,1,MATCH(COLUMNS($AO$1006:BI1006),$AO$1006:$BQ$1006,0))&gt;=100000), " ",IF(INDEX($AO$2:$BQ$1001,MATCH(ROWS($AH$2:AH785),$AH$2:$AH$1001,0),MATCH(COLUMNS($AO$1006:BI1006),$AO$1006:$BQ$1006,0)), HYPERLINK("#",""), HYPERLINK(CONCATENATE("#Metadata!", ADDRESS(INDEX($AJ$2:$AJ$1001,MATCH(ROWS($AH$2:AH785),$AH$2:$AH$1001,0),0), INDEX($AO$1004:$BQ$1004,1,MATCH(COLUMNS($AO$1006:BI1006),$AO$1006:$BQ$1006,0)))),"Fix")))</f>
        <v>#N/A</v>
      </c>
      <c r="W785" s="5" t="e">
        <f ca="1">IF(OR(INDEX($AI$2:$AI$1001,MATCH(ROWS($AH$2:AH785),$AH$2:$AH$1001,0),1)&gt;=100000,INDEX($AO$1005:$BQ$1005,1,MATCH(COLUMNS($AO$1006:BJ1006),$AO$1006:$BQ$1006,0))&gt;=100000), " ",IF(INDEX($AO$2:$BQ$1001,MATCH(ROWS($AH$2:AH785),$AH$2:$AH$1001,0),MATCH(COLUMNS($AO$1006:BJ1006),$AO$1006:$BQ$1006,0)), HYPERLINK("#",""), HYPERLINK(CONCATENATE("#Metadata!", ADDRESS(INDEX($AJ$2:$AJ$1001,MATCH(ROWS($AH$2:AH785),$AH$2:$AH$1001,0),0), INDEX($AO$1004:$BQ$1004,1,MATCH(COLUMNS($AO$1006:BJ1006),$AO$1006:$BQ$1006,0)))),"Fix")))</f>
        <v>#N/A</v>
      </c>
      <c r="X785" s="5" t="e">
        <f ca="1">IF(OR(INDEX($AI$2:$AI$1001,MATCH(ROWS($AH$2:AH785),$AH$2:$AH$1001,0),1)&gt;=100000,INDEX($AO$1005:$BQ$1005,1,MATCH(COLUMNS($AO$1006:BK1006),$AO$1006:$BQ$1006,0))&gt;=100000), " ",IF(INDEX($AO$2:$BQ$1001,MATCH(ROWS($AH$2:AH785),$AH$2:$AH$1001,0),MATCH(COLUMNS($AO$1006:BK1006),$AO$1006:$BQ$1006,0)), HYPERLINK("#",""), HYPERLINK(CONCATENATE("#Metadata!", ADDRESS(INDEX($AJ$2:$AJ$1001,MATCH(ROWS($AH$2:AH785),$AH$2:$AH$1001,0),0), INDEX($AO$1004:$BQ$1004,1,MATCH(COLUMNS($AO$1006:BK1006),$AO$1006:$BQ$1006,0)))),"Fix")))</f>
        <v>#N/A</v>
      </c>
      <c r="Y785" s="5" t="e">
        <f ca="1">IF(OR(INDEX($AI$2:$AI$1001,MATCH(ROWS($AH$2:AH785),$AH$2:$AH$1001,0),1)&gt;=100000,INDEX($AO$1005:$BQ$1005,1,MATCH(COLUMNS($AO$1006:BL1006),$AO$1006:$BQ$1006,0))&gt;=100000), " ",IF(INDEX($AO$2:$BQ$1001,MATCH(ROWS($AH$2:AH785),$AH$2:$AH$1001,0),MATCH(COLUMNS($AO$1006:BL1006),$AO$1006:$BQ$1006,0)), HYPERLINK("#",""), HYPERLINK(CONCATENATE("#Metadata!", ADDRESS(INDEX($AJ$2:$AJ$1001,MATCH(ROWS($AH$2:AH785),$AH$2:$AH$1001,0),0), INDEX($AO$1004:$BQ$1004,1,MATCH(COLUMNS($AO$1006:BL1006),$AO$1006:$BQ$1006,0)))),"Fix")))</f>
        <v>#N/A</v>
      </c>
      <c r="Z785" s="5" t="e">
        <f ca="1">IF(OR(INDEX($AI$2:$AI$1001,MATCH(ROWS($AH$2:AH785),$AH$2:$AH$1001,0),1)&gt;=100000,INDEX($AO$1005:$BQ$1005,1,MATCH(COLUMNS($AO$1006:BM1006),$AO$1006:$BQ$1006,0))&gt;=100000), " ",IF(INDEX($AO$2:$BQ$1001,MATCH(ROWS($AH$2:AH785),$AH$2:$AH$1001,0),MATCH(COLUMNS($AO$1006:BM1006),$AO$1006:$BQ$1006,0)), HYPERLINK("#",""), HYPERLINK(CONCATENATE("#Metadata!", ADDRESS(INDEX($AJ$2:$AJ$1001,MATCH(ROWS($AH$2:AH785),$AH$2:$AH$1001,0),0), INDEX($AO$1004:$BQ$1004,1,MATCH(COLUMNS($AO$1006:BM1006),$AO$1006:$BQ$1006,0)))),"Fix")))</f>
        <v>#N/A</v>
      </c>
      <c r="AA785" s="5" t="e">
        <f ca="1">IF(OR(INDEX($AI$2:$AI$1001,MATCH(ROWS($AH$2:AH785),$AH$2:$AH$1001,0),1)&gt;=100000,INDEX($AO$1005:$BQ$1005,1,MATCH(COLUMNS($AO$1006:BN1006),$AO$1006:$BQ$1006,0))&gt;=100000), " ",IF(INDEX($AO$2:$BQ$1001,MATCH(ROWS($AH$2:AH785),$AH$2:$AH$1001,0),MATCH(COLUMNS($AO$1006:BN1006),$AO$1006:$BQ$1006,0)), HYPERLINK("#",""), HYPERLINK(CONCATENATE("#Metadata!", ADDRESS(INDEX($AJ$2:$AJ$1001,MATCH(ROWS($AH$2:AH785),$AH$2:$AH$1001,0),0), INDEX($AO$1004:$BQ$1004,1,MATCH(COLUMNS($AO$1006:BN1006),$AO$1006:$BQ$1006,0)))),"Fix")))</f>
        <v>#N/A</v>
      </c>
      <c r="AB785" s="5" t="e">
        <f ca="1">IF(OR(INDEX($AI$2:$AI$1001,MATCH(ROWS($AH$2:AH785),$AH$2:$AH$1001,0),1)&gt;=100000,INDEX($AO$1005:$BQ$1005,1,MATCH(COLUMNS($AO$1006:BO1006),$AO$1006:$BQ$1006,0))&gt;=100000), " ",IF(INDEX($AO$2:$BQ$1001,MATCH(ROWS($AH$2:AH785),$AH$2:$AH$1001,0),MATCH(COLUMNS($AO$1006:BO1006),$AO$1006:$BQ$1006,0)), HYPERLINK("#",""), HYPERLINK(CONCATENATE("#Metadata!", ADDRESS(INDEX($AJ$2:$AJ$1001,MATCH(ROWS($AH$2:AH785),$AH$2:$AH$1001,0),0), INDEX($AO$1004:$BQ$1004,1,MATCH(COLUMNS($AO$1006:BO1006),$AO$1006:$BQ$1006,0)))),"Fix")))</f>
        <v>#N/A</v>
      </c>
      <c r="AC785" s="5" t="e">
        <f ca="1">IF(OR(INDEX($AI$2:$AI$1001,MATCH(ROWS($AH$2:AH785),$AH$2:$AH$1001,0),1)&gt;=100000,INDEX($AO$1005:$BQ$1005,1,MATCH(COLUMNS($AO$1006:BP1006),$AO$1006:$BQ$1006,0))&gt;=100000), " ",IF(INDEX($AO$2:$BQ$1001,MATCH(ROWS($AH$2:AH785),$AH$2:$AH$1001,0),MATCH(COLUMNS($AO$1006:BP1006),$AO$1006:$BQ$1006,0)), HYPERLINK("#",""), HYPERLINK(CONCATENATE("#Metadata!", ADDRESS(INDEX($AJ$2:$AJ$1001,MATCH(ROWS($AH$2:AH785),$AH$2:$AH$1001,0),0), INDEX($AO$1004:$BQ$1004,1,MATCH(COLUMNS($AO$1006:BP1006),$AO$1006:$BQ$1006,0)))),"Fix")))</f>
        <v>#N/A</v>
      </c>
      <c r="AD785" s="5" t="e">
        <f ca="1">IF(OR(INDEX($AI$2:$AI$1001,MATCH(ROWS($AH$2:AH785),$AH$2:$AH$1001,0),1)&gt;=100000,INDEX($AO$1005:$BQ$1005,1,MATCH(COLUMNS($AO$1006:BQ1006),$AO$1006:$BQ$1006,0))&gt;=100000), " ",IF(INDEX($AO$2:$BQ$1001,MATCH(ROWS($AH$2:AH785),$AH$2:$AH$1001,0),MATCH(COLUMNS($AO$1006:BQ1006),$AO$1006:$BQ$1006,0)), HYPERLINK("#",""), HYPERLINK(CONCATENATE("#Metadata!", ADDRESS(INDEX($AJ$2:$AJ$1001,MATCH(ROWS($AH$2:AH785),$AH$2:$AH$1001,0),0), INDEX($AO$1004:$BQ$1004,1,MATCH(COLUMNS($AO$1006:BQ1006),$AO$1006:$BQ$1006,0)))),"Fix")))</f>
        <v>#REF!</v>
      </c>
      <c r="AH785">
        <f ca="1"/>
        <v>782</v>
      </c>
      <c r="AI785">
        <v>100785</v>
      </c>
      <c r="AJ785">
        <v>785</v>
      </c>
      <c r="AK785" t="b">
        <f t="shared" si="12"/>
        <v>1</v>
      </c>
      <c r="AL785" t="b">
        <f>COUNTBLANK(Metadata!B785:AD785)=COLUMNS(Metadata!B785:AD785)</f>
        <v>1</v>
      </c>
      <c r="AM785" t="str">
        <v/>
      </c>
      <c r="AO785" t="b">
        <f ca="1">AND(IF(Metadata!B785="",FALSE,TRUE),COUNTIF(Metadata!B:B, Metadata!B785) = 1,NOT(ISERROR(SUMPRODUCT(SEARCH(MID(Metadata!B785,ROW(INDIRECT("1:"&amp;LEN(Metadata!B785))), 1),"0123456789abcdefghijklmnopqrstuvwxyzABCDEFGHIJKLMNOPQRSTUVWXYZ.")))))</f>
        <v>0</v>
      </c>
      <c r="AP785" t="b">
        <f>IF(Metadata!C785="",FALSE,TRUE)</f>
        <v>0</v>
      </c>
      <c r="AQ785" t="b">
        <f>IF(Metadata!D785="",FALSE,TRUE)</f>
        <v>0</v>
      </c>
      <c r="AR785" t="b">
        <f ca="1">OR(AND(IF(Metadata!E785="",FALSE,TRUE),OR(EXACT(Metadata!E785,"not collected"),EXACT(Metadata!E785,"not provided"),EXACT(Metadata!E785,"restricted access"))),AND(IF(Metadata!E785="",FALSE,TRUE),AND(AND(IFERROR(INT(LEFT(Metadata!E785,4))&gt;1900,FALSE),IFERROR(INT(LEFT(Metadata!E785,4))&lt;=YEAR(NOW()),FALSE)), OR(MID(Metadata!E785,5,1)="", AND(AND(MID(Metadata!E785,5,1)="-",IFERROR(INT(MID(Metadata!E785,6,1))&gt;=0,FALSE),IFERROR(INT(MID(Metadata!E785,6,1))&lt;=1,FALSE),NOT(MID(Metadata!E785,7,1)=""),IFERROR(INT(MID(Metadata!E785,6,2))&gt;=1,FALSE),IFERROR(INT(MID(Metadata!E785,6,2))&lt;=12,FALSE)), OR(MID(Metadata!E785,8,1)="", AND(AND(MID(Metadata!E785,8,1)="-",IFERROR(INT(MID(Metadata!E785,9,1))&gt;=0,FALSE),IFERROR(INT(MID(Metadata!E785,9,1))&lt;=3,FALSE),NOT(MID(Metadata!E785,10,1)=""),IFERROR(INT(MID(Metadata!E785,9,2))&gt;=1,FALSE),IFERROR(INT(MID(Metadata!E785,9,2))&lt;=31,FALSE)), OR(MID(Metadata!E785,11,1)="", AND(AND(MID(Metadata!E785,11,1)=" ",IFERROR(INT(MID(Metadata!E785,12,1))&gt;=0,FALSE),IFERROR(INT(MID(Metadata!E785,12,1))&lt;=2,FALSE),NOT(MID(Metadata!E785,13,1)=""),IFERROR(INT(MID(Metadata!E785,12,2))&gt;=0,FALSE),IFERROR(INT(MID(Metadata!E785,12,2))&lt;=23,FALSE)), OR(MID(Metadata!E785,14,1)="", AND(AND(MID(Metadata!E785,14,1)=":",IFERROR(INT(MID(Metadata!E785,15,1))&gt;=0,FALSE),IFERROR(INT(MID(Metadata!E785,15,1))&lt;=5,FALSE),NOT(MID(Metadata!E785,16,1)=""),IFERROR(INT(MID(Metadata!E785,15,2))&gt;=0,FALSE),IFERROR(INT(MID(Metadata!E785,15,2))&lt;=59,FALSE)), OR(MID(Metadata!E785,17,1)="", AND(AND(MID(Metadata!E785,17,1)=":",IFERROR(INT(MID(Metadata!E785,18,1))&gt;=0,FALSE),IFERROR(INT(MID(Metadata!E785,18,1))&lt;=5,FALSE),NOT(MID(Metadata!E785,19,1)=""),IFERROR(INT(MID(Metadata!E785,18,2))&gt;=0,FALSE),IFERROR(INT(MID(Metadata!E785,18,2))&lt;=59,FALSE)), LEN(Metadata!E785)&lt;=19)))))))))))))</f>
        <v>0</v>
      </c>
      <c r="AS785" t="b">
        <f>IF(Metadata!F785="",FALSE,TRUE)</f>
        <v>0</v>
      </c>
      <c r="AT785" t="b">
        <f>OR(AND(IF(Metadata!G785="",FALSE,TRUE),OR(EXACT(Metadata!G785,"not collected"),EXACT(Metadata!G785,"not provided"))),AND(IF(Metadata!G785="",FALSE,TRUE),OR(EXACT(Metadata!G785,"TRUE"),EXACT(Metadata!G785,"FALSE"))))</f>
        <v>0</v>
      </c>
      <c r="AU785" t="b">
        <f>OR(AND(IF(Metadata!H785="",FALSE,TRUE),OR(EXACT(Metadata!H785,"not collected"),EXACT(Metadata!H785,"not provided"),EXACT(Metadata!H785,"restricted access"))),AND(IF(Metadata!H785="",FALSE,ISNUMBER(VALUE(Metadata!H785))),Metadata!H785&gt;=-413))</f>
        <v>0</v>
      </c>
      <c r="AV785" t="b">
        <f>AND(IF(Metadata!I785="",FALSE,TRUE),EXACT(Metadata!I785,"meters"))</f>
        <v>0</v>
      </c>
      <c r="AW785" t="b">
        <f>AND(IF(Metadata!J785="",FALSE,TRUE),EXACT(Metadata!J785,"free-living"))</f>
        <v>0</v>
      </c>
      <c r="AX785" t="b">
        <f>AND(IF(Metadata!K785="",FALSE,TRUE),OR(EXACT(Metadata!K785,"saline"),EXACT(Metadata!K785,"non-saline")))</f>
        <v>0</v>
      </c>
      <c r="AY785" t="b">
        <f>AND(IF(Metadata!L785="",FALSE,TRUE),OR(EXACT(Metadata!L785,"sub-surface (non-saline)"),EXACT(Metadata!L785,"surface (non-saline)"),EXACT(Metadata!L785,"water (non-saline)"),EXACT(Metadata!L785,"soil (non-saline)"),EXACT(Metadata!L785,"aerosol (non-saline)"),EXACT(Metadata!L785,"sediment (non-saline)"),EXACT(Metadata!L785,"surface (saline)"),EXACT(Metadata!L785,"water (saline)"),EXACT(Metadata!L785,"hypersaline (saline)"),EXACT(Metadata!L785,"aerosol (saline)"),EXACT(Metadata!L785,"sediment (saline)")))</f>
        <v>0</v>
      </c>
      <c r="AZ785" t="b">
        <f>IF(Metadata!M785="",FALSE,TRUE)</f>
        <v>0</v>
      </c>
      <c r="BA785" t="b">
        <f>IF(Metadata!N785="",FALSE,TRUE)</f>
        <v>0</v>
      </c>
      <c r="BB785" t="b">
        <f>IF(Metadata!O785="",FALSE,TRUE)</f>
        <v>0</v>
      </c>
      <c r="BC785" t="b">
        <f>AND(IF(Metadata!P785="",FALSE,TRUE),OR(EXACT(Metadata!P785,"air"),EXACT(Metadata!P785,"microbial mat/biofilm"),EXACT(Metadata!P785,"misc environment"),EXACT(Metadata!P785,"sediment"),EXACT(Metadata!P785,"soil"),EXACT(Metadata!P785,"wastewater/sludge"),EXACT(Metadata!P785,"water")))</f>
        <v>0</v>
      </c>
      <c r="BD785" t="b">
        <f>IF(Metadata!Q785="",FALSE,TRUE)</f>
        <v>0</v>
      </c>
      <c r="BE785" t="b">
        <f>IF(Metadata!R785="",FALSE,TRUE)</f>
        <v>0</v>
      </c>
      <c r="BF785" t="b">
        <f>OR(AND(IF(Metadata!S785="",FALSE,TRUE),OR(EXACT(Metadata!S785,"not collected"),EXACT(Metadata!S785,"not provided"),EXACT(Metadata!S785,"restricted access"))),AND(IF(Metadata!S785="",FALSE,ISNUMBER(VALUE(Metadata!S785))),Metadata!S785&gt;=-90,Metadata!S785&lt;=90))</f>
        <v>0</v>
      </c>
      <c r="BG785" t="b">
        <f>AND(IF(Metadata!T785="",FALSE,TRUE),EXACT(Metadata!T785,"Decimal degrees"))</f>
        <v>0</v>
      </c>
      <c r="BH785" t="b">
        <f>OR(AND(IF(Metadata!U785="",FALSE,TRUE),OR(EXACT(Metadata!U785,"not applicable"),EXACT(Metadata!U785,"not collected"))),IF(Metadata!U785="",FALSE,TRUE))</f>
        <v>0</v>
      </c>
      <c r="BI785" t="b">
        <f>OR(AND(IF(Metadata!V785="",FALSE,TRUE),OR(EXACT(Metadata!V785,"not collected"),EXACT(Metadata!V785,"not provided"),EXACT(Metadata!V785,"restricted access"))),AND(IF(Metadata!V785="",FALSE,ISNUMBER(VALUE(Metadata!V785))),Metadata!V785&gt;=-180,Metadata!V785&lt;=180))</f>
        <v>0</v>
      </c>
      <c r="BJ785" t="b">
        <f>AND(IF(Metadata!W785="",FALSE,TRUE),EXACT(Metadata!W785,"Decimal degrees"))</f>
        <v>0</v>
      </c>
      <c r="BK785" t="b">
        <f>IF(Metadata!X785="",FALSE,TRUE)</f>
        <v>0</v>
      </c>
      <c r="BL785" t="b">
        <f>OR(AND(IF(Metadata!Y785="",FALSE,TRUE),OR(EXACT(Metadata!Y785,"not collected"),EXACT(Metadata!Y785,"not provided"),EXACT(Metadata!Y785,"restricted access"))),AND(IF(Metadata!Y785="",FALSE,TRUE),OR(EXACT(Metadata!Y785,"TRUE"),EXACT(Metadata!Y785,"FALSE"))))</f>
        <v>0</v>
      </c>
      <c r="BM785" t="b">
        <f>OR(AND(IF(Metadata!Z785="",FALSE,TRUE),EXACT(Metadata!Z785,"not applicable")),AND(IF(Metadata!Z785="",FALSE,TRUE),OR(EXACT(Metadata!Z785,"beer"),EXACT(Metadata!Z785,"cheese"),EXACT(Metadata!Z785,"fresh water"),EXACT(Metadata!Z785,"marine sediment"),EXACT(Metadata!Z785,"sea water"),EXACT(Metadata!Z785,"sediment"),EXACT(Metadata!Z785,"soil"),EXACT(Metadata!Z785,"waste water"))))</f>
        <v>0</v>
      </c>
      <c r="BN785" t="b">
        <f>AND(IF(Metadata!AA785="",FALSE,TRUE),EXACT(Metadata!AA785,"metagenome"))</f>
        <v>0</v>
      </c>
      <c r="BO785" t="b">
        <f>AND(IF(Metadata!AB785="",FALSE,TRUE),EXACT(Metadata!AB785,"256318"))</f>
        <v>0</v>
      </c>
      <c r="BP785" t="b">
        <f>IF(Metadata!AC785="",FALSE,TRUE)</f>
        <v>0</v>
      </c>
      <c r="BQ785" t="b">
        <f>IF(Metadata!AD785="",FALSE,TRUE)</f>
        <v>0</v>
      </c>
    </row>
    <row r="786" spans="1:69" x14ac:dyDescent="0.2">
      <c r="A786" s="4" t="e">
        <f ca="1">IF(B786=" "," ",HYPERLINK(CONCATENATE("#metadata!",ADDRESS(INDEX($AJ$2:$AJ$1001,MATCH(ROWS($AH$2:AH786),$AH$2:$AH$1001,0),0),2)),INDEX($AM$2:$AM$1001,MATCH(ROWS($AH$2:AH786),$AH$2:$AH$1001,0),0)))</f>
        <v>#N/A</v>
      </c>
      <c r="B786" s="5" t="e">
        <f ca="1">IF(OR(INDEX($AI$2:$AI$1001,MATCH(ROWS($AH$2:AH786),$AH$2:$AH$1001,0),1)&gt;=100000,INDEX($AO$1005:$BQ$1005,1,MATCH(COLUMNS($AO$1006:AO1006),$AO$1006:$BQ$1006,0))&gt;=100000), " ",IF(INDEX($AO$2:$BQ$1001,MATCH(ROWS($AH$2:AH786),$AH$2:$AH$1001,0),MATCH(COLUMNS($AO$1006:AO1006),$AO$1006:$BQ$1006,0)), HYPERLINK("#",""), HYPERLINK(CONCATENATE("#Metadata!", ADDRESS(INDEX($AJ$2:$AJ$1001,MATCH(ROWS($AH$2:AH786),$AH$2:$AH$1001,0),0), INDEX($AO$1004:$BQ$1004,1,MATCH(COLUMNS($AO$1006:AO1006),$AO$1006:$BQ$1006,0)))),"Fix")))</f>
        <v>#N/A</v>
      </c>
      <c r="C786" s="5" t="e">
        <f ca="1">IF(OR(INDEX($AI$2:$AI$1001,MATCH(ROWS($AH$2:AH786),$AH$2:$AH$1001,0),1)&gt;=100000,INDEX($AO$1005:$BQ$1005,1,MATCH(COLUMNS($AO$1006:AP1006),$AO$1006:$BQ$1006,0))&gt;=100000), " ",IF(INDEX($AO$2:$BQ$1001,MATCH(ROWS($AH$2:AH786),$AH$2:$AH$1001,0),MATCH(COLUMNS($AO$1006:AP1006),$AO$1006:$BQ$1006,0)), HYPERLINK("#",""), HYPERLINK(CONCATENATE("#Metadata!", ADDRESS(INDEX($AJ$2:$AJ$1001,MATCH(ROWS($AH$2:AH786),$AH$2:$AH$1001,0),0), INDEX($AO$1004:$BQ$1004,1,MATCH(COLUMNS($AO$1006:AP1006),$AO$1006:$BQ$1006,0)))),"Fix")))</f>
        <v>#N/A</v>
      </c>
      <c r="D786" s="5" t="e">
        <f ca="1">IF(OR(INDEX($AI$2:$AI$1001,MATCH(ROWS($AH$2:AH786),$AH$2:$AH$1001,0),1)&gt;=100000,INDEX($AO$1005:$BQ$1005,1,MATCH(COLUMNS($AO$1006:AQ1006),$AO$1006:$BQ$1006,0))&gt;=100000), " ",IF(INDEX($AO$2:$BQ$1001,MATCH(ROWS($AH$2:AH786),$AH$2:$AH$1001,0),MATCH(COLUMNS($AO$1006:AQ1006),$AO$1006:$BQ$1006,0)), HYPERLINK("#",""), HYPERLINK(CONCATENATE("#Metadata!", ADDRESS(INDEX($AJ$2:$AJ$1001,MATCH(ROWS($AH$2:AH786),$AH$2:$AH$1001,0),0), INDEX($AO$1004:$BQ$1004,1,MATCH(COLUMNS($AO$1006:AQ1006),$AO$1006:$BQ$1006,0)))),"Fix")))</f>
        <v>#N/A</v>
      </c>
      <c r="E786" s="5" t="e">
        <f ca="1">IF(OR(INDEX($AI$2:$AI$1001,MATCH(ROWS($AH$2:AH786),$AH$2:$AH$1001,0),1)&gt;=100000,INDEX($AO$1005:$BQ$1005,1,MATCH(COLUMNS($AO$1006:AR1006),$AO$1006:$BQ$1006,0))&gt;=100000), " ",IF(INDEX($AO$2:$BQ$1001,MATCH(ROWS($AH$2:AH786),$AH$2:$AH$1001,0),MATCH(COLUMNS($AO$1006:AR1006),$AO$1006:$BQ$1006,0)), HYPERLINK("#",""), HYPERLINK(CONCATENATE("#Metadata!", ADDRESS(INDEX($AJ$2:$AJ$1001,MATCH(ROWS($AH$2:AH786),$AH$2:$AH$1001,0),0), INDEX($AO$1004:$BQ$1004,1,MATCH(COLUMNS($AO$1006:AR1006),$AO$1006:$BQ$1006,0)))),"Fix")))</f>
        <v>#N/A</v>
      </c>
      <c r="F786" s="5" t="e">
        <f ca="1">IF(OR(INDEX($AI$2:$AI$1001,MATCH(ROWS($AH$2:AH786),$AH$2:$AH$1001,0),1)&gt;=100000,INDEX($AO$1005:$BQ$1005,1,MATCH(COLUMNS($AO$1006:AS1006),$AO$1006:$BQ$1006,0))&gt;=100000), " ",IF(INDEX($AO$2:$BQ$1001,MATCH(ROWS($AH$2:AH786),$AH$2:$AH$1001,0),MATCH(COLUMNS($AO$1006:AS1006),$AO$1006:$BQ$1006,0)), HYPERLINK("#",""), HYPERLINK(CONCATENATE("#Metadata!", ADDRESS(INDEX($AJ$2:$AJ$1001,MATCH(ROWS($AH$2:AH786),$AH$2:$AH$1001,0),0), INDEX($AO$1004:$BQ$1004,1,MATCH(COLUMNS($AO$1006:AS1006),$AO$1006:$BQ$1006,0)))),"Fix")))</f>
        <v>#N/A</v>
      </c>
      <c r="G786" s="5" t="e">
        <f ca="1">IF(OR(INDEX($AI$2:$AI$1001,MATCH(ROWS($AH$2:AH786),$AH$2:$AH$1001,0),1)&gt;=100000,INDEX($AO$1005:$BQ$1005,1,MATCH(COLUMNS($AO$1006:AT1006),$AO$1006:$BQ$1006,0))&gt;=100000), " ",IF(INDEX($AO$2:$BQ$1001,MATCH(ROWS($AH$2:AH786),$AH$2:$AH$1001,0),MATCH(COLUMNS($AO$1006:AT1006),$AO$1006:$BQ$1006,0)), HYPERLINK("#",""), HYPERLINK(CONCATENATE("#Metadata!", ADDRESS(INDEX($AJ$2:$AJ$1001,MATCH(ROWS($AH$2:AH786),$AH$2:$AH$1001,0),0), INDEX($AO$1004:$BQ$1004,1,MATCH(COLUMNS($AO$1006:AT1006),$AO$1006:$BQ$1006,0)))),"Fix")))</f>
        <v>#N/A</v>
      </c>
      <c r="H786" s="5" t="e">
        <f ca="1">IF(OR(INDEX($AI$2:$AI$1001,MATCH(ROWS($AH$2:AH786),$AH$2:$AH$1001,0),1)&gt;=100000,INDEX($AO$1005:$BQ$1005,1,MATCH(COLUMNS($AO$1006:AU1006),$AO$1006:$BQ$1006,0))&gt;=100000), " ",IF(INDEX($AO$2:$BQ$1001,MATCH(ROWS($AH$2:AH786),$AH$2:$AH$1001,0),MATCH(COLUMNS($AO$1006:AU1006),$AO$1006:$BQ$1006,0)), HYPERLINK("#",""), HYPERLINK(CONCATENATE("#Metadata!", ADDRESS(INDEX($AJ$2:$AJ$1001,MATCH(ROWS($AH$2:AH786),$AH$2:$AH$1001,0),0), INDEX($AO$1004:$BQ$1004,1,MATCH(COLUMNS($AO$1006:AU1006),$AO$1006:$BQ$1006,0)))),"Fix")))</f>
        <v>#N/A</v>
      </c>
      <c r="I786" s="5" t="e">
        <f ca="1">IF(OR(INDEX($AI$2:$AI$1001,MATCH(ROWS($AH$2:AH786),$AH$2:$AH$1001,0),1)&gt;=100000,INDEX($AO$1005:$BQ$1005,1,MATCH(COLUMNS($AO$1006:AV1006),$AO$1006:$BQ$1006,0))&gt;=100000), " ",IF(INDEX($AO$2:$BQ$1001,MATCH(ROWS($AH$2:AH786),$AH$2:$AH$1001,0),MATCH(COLUMNS($AO$1006:AV1006),$AO$1006:$BQ$1006,0)), HYPERLINK("#",""), HYPERLINK(CONCATENATE("#Metadata!", ADDRESS(INDEX($AJ$2:$AJ$1001,MATCH(ROWS($AH$2:AH786),$AH$2:$AH$1001,0),0), INDEX($AO$1004:$BQ$1004,1,MATCH(COLUMNS($AO$1006:AV1006),$AO$1006:$BQ$1006,0)))),"Fix")))</f>
        <v>#N/A</v>
      </c>
      <c r="J786" s="5" t="e">
        <f ca="1">IF(OR(INDEX($AI$2:$AI$1001,MATCH(ROWS($AH$2:AH786),$AH$2:$AH$1001,0),1)&gt;=100000,INDEX($AO$1005:$BQ$1005,1,MATCH(COLUMNS($AO$1006:AW1006),$AO$1006:$BQ$1006,0))&gt;=100000), " ",IF(INDEX($AO$2:$BQ$1001,MATCH(ROWS($AH$2:AH786),$AH$2:$AH$1001,0),MATCH(COLUMNS($AO$1006:AW1006),$AO$1006:$BQ$1006,0)), HYPERLINK("#",""), HYPERLINK(CONCATENATE("#Metadata!", ADDRESS(INDEX($AJ$2:$AJ$1001,MATCH(ROWS($AH$2:AH786),$AH$2:$AH$1001,0),0), INDEX($AO$1004:$BQ$1004,1,MATCH(COLUMNS($AO$1006:AW1006),$AO$1006:$BQ$1006,0)))),"Fix")))</f>
        <v>#N/A</v>
      </c>
      <c r="K786" s="5" t="e">
        <f ca="1">IF(OR(INDEX($AI$2:$AI$1001,MATCH(ROWS($AH$2:AH786),$AH$2:$AH$1001,0),1)&gt;=100000,INDEX($AO$1005:$BQ$1005,1,MATCH(COLUMNS($AO$1006:AX1006),$AO$1006:$BQ$1006,0))&gt;=100000), " ",IF(INDEX($AO$2:$BQ$1001,MATCH(ROWS($AH$2:AH786),$AH$2:$AH$1001,0),MATCH(COLUMNS($AO$1006:AX1006),$AO$1006:$BQ$1006,0)), HYPERLINK("#",""), HYPERLINK(CONCATENATE("#Metadata!", ADDRESS(INDEX($AJ$2:$AJ$1001,MATCH(ROWS($AH$2:AH786),$AH$2:$AH$1001,0),0), INDEX($AO$1004:$BQ$1004,1,MATCH(COLUMNS($AO$1006:AX1006),$AO$1006:$BQ$1006,0)))),"Fix")))</f>
        <v>#N/A</v>
      </c>
      <c r="L786" s="5" t="e">
        <f ca="1">IF(OR(INDEX($AI$2:$AI$1001,MATCH(ROWS($AH$2:AH786),$AH$2:$AH$1001,0),1)&gt;=100000,INDEX($AO$1005:$BQ$1005,1,MATCH(COLUMNS($AO$1006:AY1006),$AO$1006:$BQ$1006,0))&gt;=100000), " ",IF(INDEX($AO$2:$BQ$1001,MATCH(ROWS($AH$2:AH786),$AH$2:$AH$1001,0),MATCH(COLUMNS($AO$1006:AY1006),$AO$1006:$BQ$1006,0)), HYPERLINK("#",""), HYPERLINK(CONCATENATE("#Metadata!", ADDRESS(INDEX($AJ$2:$AJ$1001,MATCH(ROWS($AH$2:AH786),$AH$2:$AH$1001,0),0), INDEX($AO$1004:$BQ$1004,1,MATCH(COLUMNS($AO$1006:AY1006),$AO$1006:$BQ$1006,0)))),"Fix")))</f>
        <v>#N/A</v>
      </c>
      <c r="M786" s="5" t="e">
        <f ca="1">IF(OR(INDEX($AI$2:$AI$1001,MATCH(ROWS($AH$2:AH786),$AH$2:$AH$1001,0),1)&gt;=100000,INDEX($AO$1005:$BQ$1005,1,MATCH(COLUMNS($AO$1006:AZ1006),$AO$1006:$BQ$1006,0))&gt;=100000), " ",IF(INDEX($AO$2:$BQ$1001,MATCH(ROWS($AH$2:AH786),$AH$2:$AH$1001,0),MATCH(COLUMNS($AO$1006:AZ1006),$AO$1006:$BQ$1006,0)), HYPERLINK("#",""), HYPERLINK(CONCATENATE("#Metadata!", ADDRESS(INDEX($AJ$2:$AJ$1001,MATCH(ROWS($AH$2:AH786),$AH$2:$AH$1001,0),0), INDEX($AO$1004:$BQ$1004,1,MATCH(COLUMNS($AO$1006:AZ1006),$AO$1006:$BQ$1006,0)))),"Fix")))</f>
        <v>#N/A</v>
      </c>
      <c r="N786" s="5" t="e">
        <f ca="1">IF(OR(INDEX($AI$2:$AI$1001,MATCH(ROWS($AH$2:AH786),$AH$2:$AH$1001,0),1)&gt;=100000,INDEX($AO$1005:$BQ$1005,1,MATCH(COLUMNS($AO$1006:BA1006),$AO$1006:$BQ$1006,0))&gt;=100000), " ",IF(INDEX($AO$2:$BQ$1001,MATCH(ROWS($AH$2:AH786),$AH$2:$AH$1001,0),MATCH(COLUMNS($AO$1006:BA1006),$AO$1006:$BQ$1006,0)), HYPERLINK("#",""), HYPERLINK(CONCATENATE("#Metadata!", ADDRESS(INDEX($AJ$2:$AJ$1001,MATCH(ROWS($AH$2:AH786),$AH$2:$AH$1001,0),0), INDEX($AO$1004:$BQ$1004,1,MATCH(COLUMNS($AO$1006:BA1006),$AO$1006:$BQ$1006,0)))),"Fix")))</f>
        <v>#N/A</v>
      </c>
      <c r="O786" s="5" t="e">
        <f ca="1">IF(OR(INDEX($AI$2:$AI$1001,MATCH(ROWS($AH$2:AH786),$AH$2:$AH$1001,0),1)&gt;=100000,INDEX($AO$1005:$BQ$1005,1,MATCH(COLUMNS($AO$1006:BB1006),$AO$1006:$BQ$1006,0))&gt;=100000), " ",IF(INDEX($AO$2:$BQ$1001,MATCH(ROWS($AH$2:AH786),$AH$2:$AH$1001,0),MATCH(COLUMNS($AO$1006:BB1006),$AO$1006:$BQ$1006,0)), HYPERLINK("#",""), HYPERLINK(CONCATENATE("#Metadata!", ADDRESS(INDEX($AJ$2:$AJ$1001,MATCH(ROWS($AH$2:AH786),$AH$2:$AH$1001,0),0), INDEX($AO$1004:$BQ$1004,1,MATCH(COLUMNS($AO$1006:BB1006),$AO$1006:$BQ$1006,0)))),"Fix")))</f>
        <v>#N/A</v>
      </c>
      <c r="P786" s="5" t="e">
        <f ca="1">IF(OR(INDEX($AI$2:$AI$1001,MATCH(ROWS($AH$2:AH786),$AH$2:$AH$1001,0),1)&gt;=100000,INDEX($AO$1005:$BQ$1005,1,MATCH(COLUMNS($AO$1006:BC1006),$AO$1006:$BQ$1006,0))&gt;=100000), " ",IF(INDEX($AO$2:$BQ$1001,MATCH(ROWS($AH$2:AH786),$AH$2:$AH$1001,0),MATCH(COLUMNS($AO$1006:BC1006),$AO$1006:$BQ$1006,0)), HYPERLINK("#",""), HYPERLINK(CONCATENATE("#Metadata!", ADDRESS(INDEX($AJ$2:$AJ$1001,MATCH(ROWS($AH$2:AH786),$AH$2:$AH$1001,0),0), INDEX($AO$1004:$BQ$1004,1,MATCH(COLUMNS($AO$1006:BC1006),$AO$1006:$BQ$1006,0)))),"Fix")))</f>
        <v>#N/A</v>
      </c>
      <c r="Q786" s="5" t="e">
        <f ca="1">IF(OR(INDEX($AI$2:$AI$1001,MATCH(ROWS($AH$2:AH786),$AH$2:$AH$1001,0),1)&gt;=100000,INDEX($AO$1005:$BQ$1005,1,MATCH(COLUMNS($AO$1006:BD1006),$AO$1006:$BQ$1006,0))&gt;=100000), " ",IF(INDEX($AO$2:$BQ$1001,MATCH(ROWS($AH$2:AH786),$AH$2:$AH$1001,0),MATCH(COLUMNS($AO$1006:BD1006),$AO$1006:$BQ$1006,0)), HYPERLINK("#",""), HYPERLINK(CONCATENATE("#Metadata!", ADDRESS(INDEX($AJ$2:$AJ$1001,MATCH(ROWS($AH$2:AH786),$AH$2:$AH$1001,0),0), INDEX($AO$1004:$BQ$1004,1,MATCH(COLUMNS($AO$1006:BD1006),$AO$1006:$BQ$1006,0)))),"Fix")))</f>
        <v>#N/A</v>
      </c>
      <c r="R786" s="5" t="e">
        <f ca="1">IF(OR(INDEX($AI$2:$AI$1001,MATCH(ROWS($AH$2:AH786),$AH$2:$AH$1001,0),1)&gt;=100000,INDEX($AO$1005:$BQ$1005,1,MATCH(COLUMNS($AO$1006:BE1006),$AO$1006:$BQ$1006,0))&gt;=100000), " ",IF(INDEX($AO$2:$BQ$1001,MATCH(ROWS($AH$2:AH786),$AH$2:$AH$1001,0),MATCH(COLUMNS($AO$1006:BE1006),$AO$1006:$BQ$1006,0)), HYPERLINK("#",""), HYPERLINK(CONCATENATE("#Metadata!", ADDRESS(INDEX($AJ$2:$AJ$1001,MATCH(ROWS($AH$2:AH786),$AH$2:$AH$1001,0),0), INDEX($AO$1004:$BQ$1004,1,MATCH(COLUMNS($AO$1006:BE1006),$AO$1006:$BQ$1006,0)))),"Fix")))</f>
        <v>#N/A</v>
      </c>
      <c r="S786" s="5" t="e">
        <f ca="1">IF(OR(INDEX($AI$2:$AI$1001,MATCH(ROWS($AH$2:AH786),$AH$2:$AH$1001,0),1)&gt;=100000,INDEX($AO$1005:$BQ$1005,1,MATCH(COLUMNS($AO$1006:BF1006),$AO$1006:$BQ$1006,0))&gt;=100000), " ",IF(INDEX($AO$2:$BQ$1001,MATCH(ROWS($AH$2:AH786),$AH$2:$AH$1001,0),MATCH(COLUMNS($AO$1006:BF1006),$AO$1006:$BQ$1006,0)), HYPERLINK("#",""), HYPERLINK(CONCATENATE("#Metadata!", ADDRESS(INDEX($AJ$2:$AJ$1001,MATCH(ROWS($AH$2:AH786),$AH$2:$AH$1001,0),0), INDEX($AO$1004:$BQ$1004,1,MATCH(COLUMNS($AO$1006:BF1006),$AO$1006:$BQ$1006,0)))),"Fix")))</f>
        <v>#N/A</v>
      </c>
      <c r="T786" s="5" t="e">
        <f ca="1">IF(OR(INDEX($AI$2:$AI$1001,MATCH(ROWS($AH$2:AH786),$AH$2:$AH$1001,0),1)&gt;=100000,INDEX($AO$1005:$BQ$1005,1,MATCH(COLUMNS($AO$1006:BG1006),$AO$1006:$BQ$1006,0))&gt;=100000), " ",IF(INDEX($AO$2:$BQ$1001,MATCH(ROWS($AH$2:AH786),$AH$2:$AH$1001,0),MATCH(COLUMNS($AO$1006:BG1006),$AO$1006:$BQ$1006,0)), HYPERLINK("#",""), HYPERLINK(CONCATENATE("#Metadata!", ADDRESS(INDEX($AJ$2:$AJ$1001,MATCH(ROWS($AH$2:AH786),$AH$2:$AH$1001,0),0), INDEX($AO$1004:$BQ$1004,1,MATCH(COLUMNS($AO$1006:BG1006),$AO$1006:$BQ$1006,0)))),"Fix")))</f>
        <v>#N/A</v>
      </c>
      <c r="U786" s="5" t="e">
        <f ca="1">IF(OR(INDEX($AI$2:$AI$1001,MATCH(ROWS($AH$2:AH786),$AH$2:$AH$1001,0),1)&gt;=100000,INDEX($AO$1005:$BQ$1005,1,MATCH(COLUMNS($AO$1006:BH1006),$AO$1006:$BQ$1006,0))&gt;=100000), " ",IF(INDEX($AO$2:$BQ$1001,MATCH(ROWS($AH$2:AH786),$AH$2:$AH$1001,0),MATCH(COLUMNS($AO$1006:BH1006),$AO$1006:$BQ$1006,0)), HYPERLINK("#",""), HYPERLINK(CONCATENATE("#Metadata!", ADDRESS(INDEX($AJ$2:$AJ$1001,MATCH(ROWS($AH$2:AH786),$AH$2:$AH$1001,0),0), INDEX($AO$1004:$BQ$1004,1,MATCH(COLUMNS($AO$1006:BH1006),$AO$1006:$BQ$1006,0)))),"Fix")))</f>
        <v>#N/A</v>
      </c>
      <c r="V786" s="5" t="e">
        <f ca="1">IF(OR(INDEX($AI$2:$AI$1001,MATCH(ROWS($AH$2:AH786),$AH$2:$AH$1001,0),1)&gt;=100000,INDEX($AO$1005:$BQ$1005,1,MATCH(COLUMNS($AO$1006:BI1006),$AO$1006:$BQ$1006,0))&gt;=100000), " ",IF(INDEX($AO$2:$BQ$1001,MATCH(ROWS($AH$2:AH786),$AH$2:$AH$1001,0),MATCH(COLUMNS($AO$1006:BI1006),$AO$1006:$BQ$1006,0)), HYPERLINK("#",""), HYPERLINK(CONCATENATE("#Metadata!", ADDRESS(INDEX($AJ$2:$AJ$1001,MATCH(ROWS($AH$2:AH786),$AH$2:$AH$1001,0),0), INDEX($AO$1004:$BQ$1004,1,MATCH(COLUMNS($AO$1006:BI1006),$AO$1006:$BQ$1006,0)))),"Fix")))</f>
        <v>#N/A</v>
      </c>
      <c r="W786" s="5" t="e">
        <f ca="1">IF(OR(INDEX($AI$2:$AI$1001,MATCH(ROWS($AH$2:AH786),$AH$2:$AH$1001,0),1)&gt;=100000,INDEX($AO$1005:$BQ$1005,1,MATCH(COLUMNS($AO$1006:BJ1006),$AO$1006:$BQ$1006,0))&gt;=100000), " ",IF(INDEX($AO$2:$BQ$1001,MATCH(ROWS($AH$2:AH786),$AH$2:$AH$1001,0),MATCH(COLUMNS($AO$1006:BJ1006),$AO$1006:$BQ$1006,0)), HYPERLINK("#",""), HYPERLINK(CONCATENATE("#Metadata!", ADDRESS(INDEX($AJ$2:$AJ$1001,MATCH(ROWS($AH$2:AH786),$AH$2:$AH$1001,0),0), INDEX($AO$1004:$BQ$1004,1,MATCH(COLUMNS($AO$1006:BJ1006),$AO$1006:$BQ$1006,0)))),"Fix")))</f>
        <v>#N/A</v>
      </c>
      <c r="X786" s="5" t="e">
        <f ca="1">IF(OR(INDEX($AI$2:$AI$1001,MATCH(ROWS($AH$2:AH786),$AH$2:$AH$1001,0),1)&gt;=100000,INDEX($AO$1005:$BQ$1005,1,MATCH(COLUMNS($AO$1006:BK1006),$AO$1006:$BQ$1006,0))&gt;=100000), " ",IF(INDEX($AO$2:$BQ$1001,MATCH(ROWS($AH$2:AH786),$AH$2:$AH$1001,0),MATCH(COLUMNS($AO$1006:BK1006),$AO$1006:$BQ$1006,0)), HYPERLINK("#",""), HYPERLINK(CONCATENATE("#Metadata!", ADDRESS(INDEX($AJ$2:$AJ$1001,MATCH(ROWS($AH$2:AH786),$AH$2:$AH$1001,0),0), INDEX($AO$1004:$BQ$1004,1,MATCH(COLUMNS($AO$1006:BK1006),$AO$1006:$BQ$1006,0)))),"Fix")))</f>
        <v>#N/A</v>
      </c>
      <c r="Y786" s="5" t="e">
        <f ca="1">IF(OR(INDEX($AI$2:$AI$1001,MATCH(ROWS($AH$2:AH786),$AH$2:$AH$1001,0),1)&gt;=100000,INDEX($AO$1005:$BQ$1005,1,MATCH(COLUMNS($AO$1006:BL1006),$AO$1006:$BQ$1006,0))&gt;=100000), " ",IF(INDEX($AO$2:$BQ$1001,MATCH(ROWS($AH$2:AH786),$AH$2:$AH$1001,0),MATCH(COLUMNS($AO$1006:BL1006),$AO$1006:$BQ$1006,0)), HYPERLINK("#",""), HYPERLINK(CONCATENATE("#Metadata!", ADDRESS(INDEX($AJ$2:$AJ$1001,MATCH(ROWS($AH$2:AH786),$AH$2:$AH$1001,0),0), INDEX($AO$1004:$BQ$1004,1,MATCH(COLUMNS($AO$1006:BL1006),$AO$1006:$BQ$1006,0)))),"Fix")))</f>
        <v>#N/A</v>
      </c>
      <c r="Z786" s="5" t="e">
        <f ca="1">IF(OR(INDEX($AI$2:$AI$1001,MATCH(ROWS($AH$2:AH786),$AH$2:$AH$1001,0),1)&gt;=100000,INDEX($AO$1005:$BQ$1005,1,MATCH(COLUMNS($AO$1006:BM1006),$AO$1006:$BQ$1006,0))&gt;=100000), " ",IF(INDEX($AO$2:$BQ$1001,MATCH(ROWS($AH$2:AH786),$AH$2:$AH$1001,0),MATCH(COLUMNS($AO$1006:BM1006),$AO$1006:$BQ$1006,0)), HYPERLINK("#",""), HYPERLINK(CONCATENATE("#Metadata!", ADDRESS(INDEX($AJ$2:$AJ$1001,MATCH(ROWS($AH$2:AH786),$AH$2:$AH$1001,0),0), INDEX($AO$1004:$BQ$1004,1,MATCH(COLUMNS($AO$1006:BM1006),$AO$1006:$BQ$1006,0)))),"Fix")))</f>
        <v>#N/A</v>
      </c>
      <c r="AA786" s="5" t="e">
        <f ca="1">IF(OR(INDEX($AI$2:$AI$1001,MATCH(ROWS($AH$2:AH786),$AH$2:$AH$1001,0),1)&gt;=100000,INDEX($AO$1005:$BQ$1005,1,MATCH(COLUMNS($AO$1006:BN1006),$AO$1006:$BQ$1006,0))&gt;=100000), " ",IF(INDEX($AO$2:$BQ$1001,MATCH(ROWS($AH$2:AH786),$AH$2:$AH$1001,0),MATCH(COLUMNS($AO$1006:BN1006),$AO$1006:$BQ$1006,0)), HYPERLINK("#",""), HYPERLINK(CONCATENATE("#Metadata!", ADDRESS(INDEX($AJ$2:$AJ$1001,MATCH(ROWS($AH$2:AH786),$AH$2:$AH$1001,0),0), INDEX($AO$1004:$BQ$1004,1,MATCH(COLUMNS($AO$1006:BN1006),$AO$1006:$BQ$1006,0)))),"Fix")))</f>
        <v>#N/A</v>
      </c>
      <c r="AB786" s="5" t="e">
        <f ca="1">IF(OR(INDEX($AI$2:$AI$1001,MATCH(ROWS($AH$2:AH786),$AH$2:$AH$1001,0),1)&gt;=100000,INDEX($AO$1005:$BQ$1005,1,MATCH(COLUMNS($AO$1006:BO1006),$AO$1006:$BQ$1006,0))&gt;=100000), " ",IF(INDEX($AO$2:$BQ$1001,MATCH(ROWS($AH$2:AH786),$AH$2:$AH$1001,0),MATCH(COLUMNS($AO$1006:BO1006),$AO$1006:$BQ$1006,0)), HYPERLINK("#",""), HYPERLINK(CONCATENATE("#Metadata!", ADDRESS(INDEX($AJ$2:$AJ$1001,MATCH(ROWS($AH$2:AH786),$AH$2:$AH$1001,0),0), INDEX($AO$1004:$BQ$1004,1,MATCH(COLUMNS($AO$1006:BO1006),$AO$1006:$BQ$1006,0)))),"Fix")))</f>
        <v>#N/A</v>
      </c>
      <c r="AC786" s="5" t="e">
        <f ca="1">IF(OR(INDEX($AI$2:$AI$1001,MATCH(ROWS($AH$2:AH786),$AH$2:$AH$1001,0),1)&gt;=100000,INDEX($AO$1005:$BQ$1005,1,MATCH(COLUMNS($AO$1006:BP1006),$AO$1006:$BQ$1006,0))&gt;=100000), " ",IF(INDEX($AO$2:$BQ$1001,MATCH(ROWS($AH$2:AH786),$AH$2:$AH$1001,0),MATCH(COLUMNS($AO$1006:BP1006),$AO$1006:$BQ$1006,0)), HYPERLINK("#",""), HYPERLINK(CONCATENATE("#Metadata!", ADDRESS(INDEX($AJ$2:$AJ$1001,MATCH(ROWS($AH$2:AH786),$AH$2:$AH$1001,0),0), INDEX($AO$1004:$BQ$1004,1,MATCH(COLUMNS($AO$1006:BP1006),$AO$1006:$BQ$1006,0)))),"Fix")))</f>
        <v>#N/A</v>
      </c>
      <c r="AD786" s="5" t="e">
        <f ca="1">IF(OR(INDEX($AI$2:$AI$1001,MATCH(ROWS($AH$2:AH786),$AH$2:$AH$1001,0),1)&gt;=100000,INDEX($AO$1005:$BQ$1005,1,MATCH(COLUMNS($AO$1006:BQ1006),$AO$1006:$BQ$1006,0))&gt;=100000), " ",IF(INDEX($AO$2:$BQ$1001,MATCH(ROWS($AH$2:AH786),$AH$2:$AH$1001,0),MATCH(COLUMNS($AO$1006:BQ1006),$AO$1006:$BQ$1006,0)), HYPERLINK("#",""), HYPERLINK(CONCATENATE("#Metadata!", ADDRESS(INDEX($AJ$2:$AJ$1001,MATCH(ROWS($AH$2:AH786),$AH$2:$AH$1001,0),0), INDEX($AO$1004:$BQ$1004,1,MATCH(COLUMNS($AO$1006:BQ1006),$AO$1006:$BQ$1006,0)))),"Fix")))</f>
        <v>#REF!</v>
      </c>
      <c r="AH786">
        <f ca="1"/>
        <v>783</v>
      </c>
      <c r="AI786">
        <v>100786</v>
      </c>
      <c r="AJ786">
        <v>786</v>
      </c>
      <c r="AK786" t="b">
        <f t="shared" si="12"/>
        <v>1</v>
      </c>
      <c r="AL786" t="b">
        <f>COUNTBLANK(Metadata!B786:AD786)=COLUMNS(Metadata!B786:AD786)</f>
        <v>1</v>
      </c>
      <c r="AM786" t="str">
        <v/>
      </c>
      <c r="AO786" t="b">
        <f ca="1">AND(IF(Metadata!B786="",FALSE,TRUE),COUNTIF(Metadata!B:B, Metadata!B786) = 1,NOT(ISERROR(SUMPRODUCT(SEARCH(MID(Metadata!B786,ROW(INDIRECT("1:"&amp;LEN(Metadata!B786))), 1),"0123456789abcdefghijklmnopqrstuvwxyzABCDEFGHIJKLMNOPQRSTUVWXYZ.")))))</f>
        <v>0</v>
      </c>
      <c r="AP786" t="b">
        <f>IF(Metadata!C786="",FALSE,TRUE)</f>
        <v>0</v>
      </c>
      <c r="AQ786" t="b">
        <f>IF(Metadata!D786="",FALSE,TRUE)</f>
        <v>0</v>
      </c>
      <c r="AR786" t="b">
        <f ca="1">OR(AND(IF(Metadata!E786="",FALSE,TRUE),OR(EXACT(Metadata!E786,"not collected"),EXACT(Metadata!E786,"not provided"),EXACT(Metadata!E786,"restricted access"))),AND(IF(Metadata!E786="",FALSE,TRUE),AND(AND(IFERROR(INT(LEFT(Metadata!E786,4))&gt;1900,FALSE),IFERROR(INT(LEFT(Metadata!E786,4))&lt;=YEAR(NOW()),FALSE)), OR(MID(Metadata!E786,5,1)="", AND(AND(MID(Metadata!E786,5,1)="-",IFERROR(INT(MID(Metadata!E786,6,1))&gt;=0,FALSE),IFERROR(INT(MID(Metadata!E786,6,1))&lt;=1,FALSE),NOT(MID(Metadata!E786,7,1)=""),IFERROR(INT(MID(Metadata!E786,6,2))&gt;=1,FALSE),IFERROR(INT(MID(Metadata!E786,6,2))&lt;=12,FALSE)), OR(MID(Metadata!E786,8,1)="", AND(AND(MID(Metadata!E786,8,1)="-",IFERROR(INT(MID(Metadata!E786,9,1))&gt;=0,FALSE),IFERROR(INT(MID(Metadata!E786,9,1))&lt;=3,FALSE),NOT(MID(Metadata!E786,10,1)=""),IFERROR(INT(MID(Metadata!E786,9,2))&gt;=1,FALSE),IFERROR(INT(MID(Metadata!E786,9,2))&lt;=31,FALSE)), OR(MID(Metadata!E786,11,1)="", AND(AND(MID(Metadata!E786,11,1)=" ",IFERROR(INT(MID(Metadata!E786,12,1))&gt;=0,FALSE),IFERROR(INT(MID(Metadata!E786,12,1))&lt;=2,FALSE),NOT(MID(Metadata!E786,13,1)=""),IFERROR(INT(MID(Metadata!E786,12,2))&gt;=0,FALSE),IFERROR(INT(MID(Metadata!E786,12,2))&lt;=23,FALSE)), OR(MID(Metadata!E786,14,1)="", AND(AND(MID(Metadata!E786,14,1)=":",IFERROR(INT(MID(Metadata!E786,15,1))&gt;=0,FALSE),IFERROR(INT(MID(Metadata!E786,15,1))&lt;=5,FALSE),NOT(MID(Metadata!E786,16,1)=""),IFERROR(INT(MID(Metadata!E786,15,2))&gt;=0,FALSE),IFERROR(INT(MID(Metadata!E786,15,2))&lt;=59,FALSE)), OR(MID(Metadata!E786,17,1)="", AND(AND(MID(Metadata!E786,17,1)=":",IFERROR(INT(MID(Metadata!E786,18,1))&gt;=0,FALSE),IFERROR(INT(MID(Metadata!E786,18,1))&lt;=5,FALSE),NOT(MID(Metadata!E786,19,1)=""),IFERROR(INT(MID(Metadata!E786,18,2))&gt;=0,FALSE),IFERROR(INT(MID(Metadata!E786,18,2))&lt;=59,FALSE)), LEN(Metadata!E786)&lt;=19)))))))))))))</f>
        <v>0</v>
      </c>
      <c r="AS786" t="b">
        <f>IF(Metadata!F786="",FALSE,TRUE)</f>
        <v>0</v>
      </c>
      <c r="AT786" t="b">
        <f>OR(AND(IF(Metadata!G786="",FALSE,TRUE),OR(EXACT(Metadata!G786,"not collected"),EXACT(Metadata!G786,"not provided"))),AND(IF(Metadata!G786="",FALSE,TRUE),OR(EXACT(Metadata!G786,"TRUE"),EXACT(Metadata!G786,"FALSE"))))</f>
        <v>0</v>
      </c>
      <c r="AU786" t="b">
        <f>OR(AND(IF(Metadata!H786="",FALSE,TRUE),OR(EXACT(Metadata!H786,"not collected"),EXACT(Metadata!H786,"not provided"),EXACT(Metadata!H786,"restricted access"))),AND(IF(Metadata!H786="",FALSE,ISNUMBER(VALUE(Metadata!H786))),Metadata!H786&gt;=-413))</f>
        <v>0</v>
      </c>
      <c r="AV786" t="b">
        <f>AND(IF(Metadata!I786="",FALSE,TRUE),EXACT(Metadata!I786,"meters"))</f>
        <v>0</v>
      </c>
      <c r="AW786" t="b">
        <f>AND(IF(Metadata!J786="",FALSE,TRUE),EXACT(Metadata!J786,"free-living"))</f>
        <v>0</v>
      </c>
      <c r="AX786" t="b">
        <f>AND(IF(Metadata!K786="",FALSE,TRUE),OR(EXACT(Metadata!K786,"saline"),EXACT(Metadata!K786,"non-saline")))</f>
        <v>0</v>
      </c>
      <c r="AY786" t="b">
        <f>AND(IF(Metadata!L786="",FALSE,TRUE),OR(EXACT(Metadata!L786,"sub-surface (non-saline)"),EXACT(Metadata!L786,"surface (non-saline)"),EXACT(Metadata!L786,"water (non-saline)"),EXACT(Metadata!L786,"soil (non-saline)"),EXACT(Metadata!L786,"aerosol (non-saline)"),EXACT(Metadata!L786,"sediment (non-saline)"),EXACT(Metadata!L786,"surface (saline)"),EXACT(Metadata!L786,"water (saline)"),EXACT(Metadata!L786,"hypersaline (saline)"),EXACT(Metadata!L786,"aerosol (saline)"),EXACT(Metadata!L786,"sediment (saline)")))</f>
        <v>0</v>
      </c>
      <c r="AZ786" t="b">
        <f>IF(Metadata!M786="",FALSE,TRUE)</f>
        <v>0</v>
      </c>
      <c r="BA786" t="b">
        <f>IF(Metadata!N786="",FALSE,TRUE)</f>
        <v>0</v>
      </c>
      <c r="BB786" t="b">
        <f>IF(Metadata!O786="",FALSE,TRUE)</f>
        <v>0</v>
      </c>
      <c r="BC786" t="b">
        <f>AND(IF(Metadata!P786="",FALSE,TRUE),OR(EXACT(Metadata!P786,"air"),EXACT(Metadata!P786,"microbial mat/biofilm"),EXACT(Metadata!P786,"misc environment"),EXACT(Metadata!P786,"sediment"),EXACT(Metadata!P786,"soil"),EXACT(Metadata!P786,"wastewater/sludge"),EXACT(Metadata!P786,"water")))</f>
        <v>0</v>
      </c>
      <c r="BD786" t="b">
        <f>IF(Metadata!Q786="",FALSE,TRUE)</f>
        <v>0</v>
      </c>
      <c r="BE786" t="b">
        <f>IF(Metadata!R786="",FALSE,TRUE)</f>
        <v>0</v>
      </c>
      <c r="BF786" t="b">
        <f>OR(AND(IF(Metadata!S786="",FALSE,TRUE),OR(EXACT(Metadata!S786,"not collected"),EXACT(Metadata!S786,"not provided"),EXACT(Metadata!S786,"restricted access"))),AND(IF(Metadata!S786="",FALSE,ISNUMBER(VALUE(Metadata!S786))),Metadata!S786&gt;=-90,Metadata!S786&lt;=90))</f>
        <v>0</v>
      </c>
      <c r="BG786" t="b">
        <f>AND(IF(Metadata!T786="",FALSE,TRUE),EXACT(Metadata!T786,"Decimal degrees"))</f>
        <v>0</v>
      </c>
      <c r="BH786" t="b">
        <f>OR(AND(IF(Metadata!U786="",FALSE,TRUE),OR(EXACT(Metadata!U786,"not applicable"),EXACT(Metadata!U786,"not collected"))),IF(Metadata!U786="",FALSE,TRUE))</f>
        <v>0</v>
      </c>
      <c r="BI786" t="b">
        <f>OR(AND(IF(Metadata!V786="",FALSE,TRUE),OR(EXACT(Metadata!V786,"not collected"),EXACT(Metadata!V786,"not provided"),EXACT(Metadata!V786,"restricted access"))),AND(IF(Metadata!V786="",FALSE,ISNUMBER(VALUE(Metadata!V786))),Metadata!V786&gt;=-180,Metadata!V786&lt;=180))</f>
        <v>0</v>
      </c>
      <c r="BJ786" t="b">
        <f>AND(IF(Metadata!W786="",FALSE,TRUE),EXACT(Metadata!W786,"Decimal degrees"))</f>
        <v>0</v>
      </c>
      <c r="BK786" t="b">
        <f>IF(Metadata!X786="",FALSE,TRUE)</f>
        <v>0</v>
      </c>
      <c r="BL786" t="b">
        <f>OR(AND(IF(Metadata!Y786="",FALSE,TRUE),OR(EXACT(Metadata!Y786,"not collected"),EXACT(Metadata!Y786,"not provided"),EXACT(Metadata!Y786,"restricted access"))),AND(IF(Metadata!Y786="",FALSE,TRUE),OR(EXACT(Metadata!Y786,"TRUE"),EXACT(Metadata!Y786,"FALSE"))))</f>
        <v>0</v>
      </c>
      <c r="BM786" t="b">
        <f>OR(AND(IF(Metadata!Z786="",FALSE,TRUE),EXACT(Metadata!Z786,"not applicable")),AND(IF(Metadata!Z786="",FALSE,TRUE),OR(EXACT(Metadata!Z786,"beer"),EXACT(Metadata!Z786,"cheese"),EXACT(Metadata!Z786,"fresh water"),EXACT(Metadata!Z786,"marine sediment"),EXACT(Metadata!Z786,"sea water"),EXACT(Metadata!Z786,"sediment"),EXACT(Metadata!Z786,"soil"),EXACT(Metadata!Z786,"waste water"))))</f>
        <v>0</v>
      </c>
      <c r="BN786" t="b">
        <f>AND(IF(Metadata!AA786="",FALSE,TRUE),EXACT(Metadata!AA786,"metagenome"))</f>
        <v>0</v>
      </c>
      <c r="BO786" t="b">
        <f>AND(IF(Metadata!AB786="",FALSE,TRUE),EXACT(Metadata!AB786,"256318"))</f>
        <v>0</v>
      </c>
      <c r="BP786" t="b">
        <f>IF(Metadata!AC786="",FALSE,TRUE)</f>
        <v>0</v>
      </c>
      <c r="BQ786" t="b">
        <f>IF(Metadata!AD786="",FALSE,TRUE)</f>
        <v>0</v>
      </c>
    </row>
    <row r="787" spans="1:69" x14ac:dyDescent="0.2">
      <c r="A787" s="4" t="e">
        <f ca="1">IF(B787=" "," ",HYPERLINK(CONCATENATE("#metadata!",ADDRESS(INDEX($AJ$2:$AJ$1001,MATCH(ROWS($AH$2:AH787),$AH$2:$AH$1001,0),0),2)),INDEX($AM$2:$AM$1001,MATCH(ROWS($AH$2:AH787),$AH$2:$AH$1001,0),0)))</f>
        <v>#N/A</v>
      </c>
      <c r="B787" s="5" t="e">
        <f ca="1">IF(OR(INDEX($AI$2:$AI$1001,MATCH(ROWS($AH$2:AH787),$AH$2:$AH$1001,0),1)&gt;=100000,INDEX($AO$1005:$BQ$1005,1,MATCH(COLUMNS($AO$1006:AO1006),$AO$1006:$BQ$1006,0))&gt;=100000), " ",IF(INDEX($AO$2:$BQ$1001,MATCH(ROWS($AH$2:AH787),$AH$2:$AH$1001,0),MATCH(COLUMNS($AO$1006:AO1006),$AO$1006:$BQ$1006,0)), HYPERLINK("#",""), HYPERLINK(CONCATENATE("#Metadata!", ADDRESS(INDEX($AJ$2:$AJ$1001,MATCH(ROWS($AH$2:AH787),$AH$2:$AH$1001,0),0), INDEX($AO$1004:$BQ$1004,1,MATCH(COLUMNS($AO$1006:AO1006),$AO$1006:$BQ$1006,0)))),"Fix")))</f>
        <v>#N/A</v>
      </c>
      <c r="C787" s="5" t="e">
        <f ca="1">IF(OR(INDEX($AI$2:$AI$1001,MATCH(ROWS($AH$2:AH787),$AH$2:$AH$1001,0),1)&gt;=100000,INDEX($AO$1005:$BQ$1005,1,MATCH(COLUMNS($AO$1006:AP1006),$AO$1006:$BQ$1006,0))&gt;=100000), " ",IF(INDEX($AO$2:$BQ$1001,MATCH(ROWS($AH$2:AH787),$AH$2:$AH$1001,0),MATCH(COLUMNS($AO$1006:AP1006),$AO$1006:$BQ$1006,0)), HYPERLINK("#",""), HYPERLINK(CONCATENATE("#Metadata!", ADDRESS(INDEX($AJ$2:$AJ$1001,MATCH(ROWS($AH$2:AH787),$AH$2:$AH$1001,0),0), INDEX($AO$1004:$BQ$1004,1,MATCH(COLUMNS($AO$1006:AP1006),$AO$1006:$BQ$1006,0)))),"Fix")))</f>
        <v>#N/A</v>
      </c>
      <c r="D787" s="5" t="e">
        <f ca="1">IF(OR(INDEX($AI$2:$AI$1001,MATCH(ROWS($AH$2:AH787),$AH$2:$AH$1001,0),1)&gt;=100000,INDEX($AO$1005:$BQ$1005,1,MATCH(COLUMNS($AO$1006:AQ1006),$AO$1006:$BQ$1006,0))&gt;=100000), " ",IF(INDEX($AO$2:$BQ$1001,MATCH(ROWS($AH$2:AH787),$AH$2:$AH$1001,0),MATCH(COLUMNS($AO$1006:AQ1006),$AO$1006:$BQ$1006,0)), HYPERLINK("#",""), HYPERLINK(CONCATENATE("#Metadata!", ADDRESS(INDEX($AJ$2:$AJ$1001,MATCH(ROWS($AH$2:AH787),$AH$2:$AH$1001,0),0), INDEX($AO$1004:$BQ$1004,1,MATCH(COLUMNS($AO$1006:AQ1006),$AO$1006:$BQ$1006,0)))),"Fix")))</f>
        <v>#N/A</v>
      </c>
      <c r="E787" s="5" t="e">
        <f ca="1">IF(OR(INDEX($AI$2:$AI$1001,MATCH(ROWS($AH$2:AH787),$AH$2:$AH$1001,0),1)&gt;=100000,INDEX($AO$1005:$BQ$1005,1,MATCH(COLUMNS($AO$1006:AR1006),$AO$1006:$BQ$1006,0))&gt;=100000), " ",IF(INDEX($AO$2:$BQ$1001,MATCH(ROWS($AH$2:AH787),$AH$2:$AH$1001,0),MATCH(COLUMNS($AO$1006:AR1006),$AO$1006:$BQ$1006,0)), HYPERLINK("#",""), HYPERLINK(CONCATENATE("#Metadata!", ADDRESS(INDEX($AJ$2:$AJ$1001,MATCH(ROWS($AH$2:AH787),$AH$2:$AH$1001,0),0), INDEX($AO$1004:$BQ$1004,1,MATCH(COLUMNS($AO$1006:AR1006),$AO$1006:$BQ$1006,0)))),"Fix")))</f>
        <v>#N/A</v>
      </c>
      <c r="F787" s="5" t="e">
        <f ca="1">IF(OR(INDEX($AI$2:$AI$1001,MATCH(ROWS($AH$2:AH787),$AH$2:$AH$1001,0),1)&gt;=100000,INDEX($AO$1005:$BQ$1005,1,MATCH(COLUMNS($AO$1006:AS1006),$AO$1006:$BQ$1006,0))&gt;=100000), " ",IF(INDEX($AO$2:$BQ$1001,MATCH(ROWS($AH$2:AH787),$AH$2:$AH$1001,0),MATCH(COLUMNS($AO$1006:AS1006),$AO$1006:$BQ$1006,0)), HYPERLINK("#",""), HYPERLINK(CONCATENATE("#Metadata!", ADDRESS(INDEX($AJ$2:$AJ$1001,MATCH(ROWS($AH$2:AH787),$AH$2:$AH$1001,0),0), INDEX($AO$1004:$BQ$1004,1,MATCH(COLUMNS($AO$1006:AS1006),$AO$1006:$BQ$1006,0)))),"Fix")))</f>
        <v>#N/A</v>
      </c>
      <c r="G787" s="5" t="e">
        <f ca="1">IF(OR(INDEX($AI$2:$AI$1001,MATCH(ROWS($AH$2:AH787),$AH$2:$AH$1001,0),1)&gt;=100000,INDEX($AO$1005:$BQ$1005,1,MATCH(COLUMNS($AO$1006:AT1006),$AO$1006:$BQ$1006,0))&gt;=100000), " ",IF(INDEX($AO$2:$BQ$1001,MATCH(ROWS($AH$2:AH787),$AH$2:$AH$1001,0),MATCH(COLUMNS($AO$1006:AT1006),$AO$1006:$BQ$1006,0)), HYPERLINK("#",""), HYPERLINK(CONCATENATE("#Metadata!", ADDRESS(INDEX($AJ$2:$AJ$1001,MATCH(ROWS($AH$2:AH787),$AH$2:$AH$1001,0),0), INDEX($AO$1004:$BQ$1004,1,MATCH(COLUMNS($AO$1006:AT1006),$AO$1006:$BQ$1006,0)))),"Fix")))</f>
        <v>#N/A</v>
      </c>
      <c r="H787" s="5" t="e">
        <f ca="1">IF(OR(INDEX($AI$2:$AI$1001,MATCH(ROWS($AH$2:AH787),$AH$2:$AH$1001,0),1)&gt;=100000,INDEX($AO$1005:$BQ$1005,1,MATCH(COLUMNS($AO$1006:AU1006),$AO$1006:$BQ$1006,0))&gt;=100000), " ",IF(INDEX($AO$2:$BQ$1001,MATCH(ROWS($AH$2:AH787),$AH$2:$AH$1001,0),MATCH(COLUMNS($AO$1006:AU1006),$AO$1006:$BQ$1006,0)), HYPERLINK("#",""), HYPERLINK(CONCATENATE("#Metadata!", ADDRESS(INDEX($AJ$2:$AJ$1001,MATCH(ROWS($AH$2:AH787),$AH$2:$AH$1001,0),0), INDEX($AO$1004:$BQ$1004,1,MATCH(COLUMNS($AO$1006:AU1006),$AO$1006:$BQ$1006,0)))),"Fix")))</f>
        <v>#N/A</v>
      </c>
      <c r="I787" s="5" t="e">
        <f ca="1">IF(OR(INDEX($AI$2:$AI$1001,MATCH(ROWS($AH$2:AH787),$AH$2:$AH$1001,0),1)&gt;=100000,INDEX($AO$1005:$BQ$1005,1,MATCH(COLUMNS($AO$1006:AV1006),$AO$1006:$BQ$1006,0))&gt;=100000), " ",IF(INDEX($AO$2:$BQ$1001,MATCH(ROWS($AH$2:AH787),$AH$2:$AH$1001,0),MATCH(COLUMNS($AO$1006:AV1006),$AO$1006:$BQ$1006,0)), HYPERLINK("#",""), HYPERLINK(CONCATENATE("#Metadata!", ADDRESS(INDEX($AJ$2:$AJ$1001,MATCH(ROWS($AH$2:AH787),$AH$2:$AH$1001,0),0), INDEX($AO$1004:$BQ$1004,1,MATCH(COLUMNS($AO$1006:AV1006),$AO$1006:$BQ$1006,0)))),"Fix")))</f>
        <v>#N/A</v>
      </c>
      <c r="J787" s="5" t="e">
        <f ca="1">IF(OR(INDEX($AI$2:$AI$1001,MATCH(ROWS($AH$2:AH787),$AH$2:$AH$1001,0),1)&gt;=100000,INDEX($AO$1005:$BQ$1005,1,MATCH(COLUMNS($AO$1006:AW1006),$AO$1006:$BQ$1006,0))&gt;=100000), " ",IF(INDEX($AO$2:$BQ$1001,MATCH(ROWS($AH$2:AH787),$AH$2:$AH$1001,0),MATCH(COLUMNS($AO$1006:AW1006),$AO$1006:$BQ$1006,0)), HYPERLINK("#",""), HYPERLINK(CONCATENATE("#Metadata!", ADDRESS(INDEX($AJ$2:$AJ$1001,MATCH(ROWS($AH$2:AH787),$AH$2:$AH$1001,0),0), INDEX($AO$1004:$BQ$1004,1,MATCH(COLUMNS($AO$1006:AW1006),$AO$1006:$BQ$1006,0)))),"Fix")))</f>
        <v>#N/A</v>
      </c>
      <c r="K787" s="5" t="e">
        <f ca="1">IF(OR(INDEX($AI$2:$AI$1001,MATCH(ROWS($AH$2:AH787),$AH$2:$AH$1001,0),1)&gt;=100000,INDEX($AO$1005:$BQ$1005,1,MATCH(COLUMNS($AO$1006:AX1006),$AO$1006:$BQ$1006,0))&gt;=100000), " ",IF(INDEX($AO$2:$BQ$1001,MATCH(ROWS($AH$2:AH787),$AH$2:$AH$1001,0),MATCH(COLUMNS($AO$1006:AX1006),$AO$1006:$BQ$1006,0)), HYPERLINK("#",""), HYPERLINK(CONCATENATE("#Metadata!", ADDRESS(INDEX($AJ$2:$AJ$1001,MATCH(ROWS($AH$2:AH787),$AH$2:$AH$1001,0),0), INDEX($AO$1004:$BQ$1004,1,MATCH(COLUMNS($AO$1006:AX1006),$AO$1006:$BQ$1006,0)))),"Fix")))</f>
        <v>#N/A</v>
      </c>
      <c r="L787" s="5" t="e">
        <f ca="1">IF(OR(INDEX($AI$2:$AI$1001,MATCH(ROWS($AH$2:AH787),$AH$2:$AH$1001,0),1)&gt;=100000,INDEX($AO$1005:$BQ$1005,1,MATCH(COLUMNS($AO$1006:AY1006),$AO$1006:$BQ$1006,0))&gt;=100000), " ",IF(INDEX($AO$2:$BQ$1001,MATCH(ROWS($AH$2:AH787),$AH$2:$AH$1001,0),MATCH(COLUMNS($AO$1006:AY1006),$AO$1006:$BQ$1006,0)), HYPERLINK("#",""), HYPERLINK(CONCATENATE("#Metadata!", ADDRESS(INDEX($AJ$2:$AJ$1001,MATCH(ROWS($AH$2:AH787),$AH$2:$AH$1001,0),0), INDEX($AO$1004:$BQ$1004,1,MATCH(COLUMNS($AO$1006:AY1006),$AO$1006:$BQ$1006,0)))),"Fix")))</f>
        <v>#N/A</v>
      </c>
      <c r="M787" s="5" t="e">
        <f ca="1">IF(OR(INDEX($AI$2:$AI$1001,MATCH(ROWS($AH$2:AH787),$AH$2:$AH$1001,0),1)&gt;=100000,INDEX($AO$1005:$BQ$1005,1,MATCH(COLUMNS($AO$1006:AZ1006),$AO$1006:$BQ$1006,0))&gt;=100000), " ",IF(INDEX($AO$2:$BQ$1001,MATCH(ROWS($AH$2:AH787),$AH$2:$AH$1001,0),MATCH(COLUMNS($AO$1006:AZ1006),$AO$1006:$BQ$1006,0)), HYPERLINK("#",""), HYPERLINK(CONCATENATE("#Metadata!", ADDRESS(INDEX($AJ$2:$AJ$1001,MATCH(ROWS($AH$2:AH787),$AH$2:$AH$1001,0),0), INDEX($AO$1004:$BQ$1004,1,MATCH(COLUMNS($AO$1006:AZ1006),$AO$1006:$BQ$1006,0)))),"Fix")))</f>
        <v>#N/A</v>
      </c>
      <c r="N787" s="5" t="e">
        <f ca="1">IF(OR(INDEX($AI$2:$AI$1001,MATCH(ROWS($AH$2:AH787),$AH$2:$AH$1001,0),1)&gt;=100000,INDEX($AO$1005:$BQ$1005,1,MATCH(COLUMNS($AO$1006:BA1006),$AO$1006:$BQ$1006,0))&gt;=100000), " ",IF(INDEX($AO$2:$BQ$1001,MATCH(ROWS($AH$2:AH787),$AH$2:$AH$1001,0),MATCH(COLUMNS($AO$1006:BA1006),$AO$1006:$BQ$1006,0)), HYPERLINK("#",""), HYPERLINK(CONCATENATE("#Metadata!", ADDRESS(INDEX($AJ$2:$AJ$1001,MATCH(ROWS($AH$2:AH787),$AH$2:$AH$1001,0),0), INDEX($AO$1004:$BQ$1004,1,MATCH(COLUMNS($AO$1006:BA1006),$AO$1006:$BQ$1006,0)))),"Fix")))</f>
        <v>#N/A</v>
      </c>
      <c r="O787" s="5" t="e">
        <f ca="1">IF(OR(INDEX($AI$2:$AI$1001,MATCH(ROWS($AH$2:AH787),$AH$2:$AH$1001,0),1)&gt;=100000,INDEX($AO$1005:$BQ$1005,1,MATCH(COLUMNS($AO$1006:BB1006),$AO$1006:$BQ$1006,0))&gt;=100000), " ",IF(INDEX($AO$2:$BQ$1001,MATCH(ROWS($AH$2:AH787),$AH$2:$AH$1001,0),MATCH(COLUMNS($AO$1006:BB1006),$AO$1006:$BQ$1006,0)), HYPERLINK("#",""), HYPERLINK(CONCATENATE("#Metadata!", ADDRESS(INDEX($AJ$2:$AJ$1001,MATCH(ROWS($AH$2:AH787),$AH$2:$AH$1001,0),0), INDEX($AO$1004:$BQ$1004,1,MATCH(COLUMNS($AO$1006:BB1006),$AO$1006:$BQ$1006,0)))),"Fix")))</f>
        <v>#N/A</v>
      </c>
      <c r="P787" s="5" t="e">
        <f ca="1">IF(OR(INDEX($AI$2:$AI$1001,MATCH(ROWS($AH$2:AH787),$AH$2:$AH$1001,0),1)&gt;=100000,INDEX($AO$1005:$BQ$1005,1,MATCH(COLUMNS($AO$1006:BC1006),$AO$1006:$BQ$1006,0))&gt;=100000), " ",IF(INDEX($AO$2:$BQ$1001,MATCH(ROWS($AH$2:AH787),$AH$2:$AH$1001,0),MATCH(COLUMNS($AO$1006:BC1006),$AO$1006:$BQ$1006,0)), HYPERLINK("#",""), HYPERLINK(CONCATENATE("#Metadata!", ADDRESS(INDEX($AJ$2:$AJ$1001,MATCH(ROWS($AH$2:AH787),$AH$2:$AH$1001,0),0), INDEX($AO$1004:$BQ$1004,1,MATCH(COLUMNS($AO$1006:BC1006),$AO$1006:$BQ$1006,0)))),"Fix")))</f>
        <v>#N/A</v>
      </c>
      <c r="Q787" s="5" t="e">
        <f ca="1">IF(OR(INDEX($AI$2:$AI$1001,MATCH(ROWS($AH$2:AH787),$AH$2:$AH$1001,0),1)&gt;=100000,INDEX($AO$1005:$BQ$1005,1,MATCH(COLUMNS($AO$1006:BD1006),$AO$1006:$BQ$1006,0))&gt;=100000), " ",IF(INDEX($AO$2:$BQ$1001,MATCH(ROWS($AH$2:AH787),$AH$2:$AH$1001,0),MATCH(COLUMNS($AO$1006:BD1006),$AO$1006:$BQ$1006,0)), HYPERLINK("#",""), HYPERLINK(CONCATENATE("#Metadata!", ADDRESS(INDEX($AJ$2:$AJ$1001,MATCH(ROWS($AH$2:AH787),$AH$2:$AH$1001,0),0), INDEX($AO$1004:$BQ$1004,1,MATCH(COLUMNS($AO$1006:BD1006),$AO$1006:$BQ$1006,0)))),"Fix")))</f>
        <v>#N/A</v>
      </c>
      <c r="R787" s="5" t="e">
        <f ca="1">IF(OR(INDEX($AI$2:$AI$1001,MATCH(ROWS($AH$2:AH787),$AH$2:$AH$1001,0),1)&gt;=100000,INDEX($AO$1005:$BQ$1005,1,MATCH(COLUMNS($AO$1006:BE1006),$AO$1006:$BQ$1006,0))&gt;=100000), " ",IF(INDEX($AO$2:$BQ$1001,MATCH(ROWS($AH$2:AH787),$AH$2:$AH$1001,0),MATCH(COLUMNS($AO$1006:BE1006),$AO$1006:$BQ$1006,0)), HYPERLINK("#",""), HYPERLINK(CONCATENATE("#Metadata!", ADDRESS(INDEX($AJ$2:$AJ$1001,MATCH(ROWS($AH$2:AH787),$AH$2:$AH$1001,0),0), INDEX($AO$1004:$BQ$1004,1,MATCH(COLUMNS($AO$1006:BE1006),$AO$1006:$BQ$1006,0)))),"Fix")))</f>
        <v>#N/A</v>
      </c>
      <c r="S787" s="5" t="e">
        <f ca="1">IF(OR(INDEX($AI$2:$AI$1001,MATCH(ROWS($AH$2:AH787),$AH$2:$AH$1001,0),1)&gt;=100000,INDEX($AO$1005:$BQ$1005,1,MATCH(COLUMNS($AO$1006:BF1006),$AO$1006:$BQ$1006,0))&gt;=100000), " ",IF(INDEX($AO$2:$BQ$1001,MATCH(ROWS($AH$2:AH787),$AH$2:$AH$1001,0),MATCH(COLUMNS($AO$1006:BF1006),$AO$1006:$BQ$1006,0)), HYPERLINK("#",""), HYPERLINK(CONCATENATE("#Metadata!", ADDRESS(INDEX($AJ$2:$AJ$1001,MATCH(ROWS($AH$2:AH787),$AH$2:$AH$1001,0),0), INDEX($AO$1004:$BQ$1004,1,MATCH(COLUMNS($AO$1006:BF1006),$AO$1006:$BQ$1006,0)))),"Fix")))</f>
        <v>#N/A</v>
      </c>
      <c r="T787" s="5" t="e">
        <f ca="1">IF(OR(INDEX($AI$2:$AI$1001,MATCH(ROWS($AH$2:AH787),$AH$2:$AH$1001,0),1)&gt;=100000,INDEX($AO$1005:$BQ$1005,1,MATCH(COLUMNS($AO$1006:BG1006),$AO$1006:$BQ$1006,0))&gt;=100000), " ",IF(INDEX($AO$2:$BQ$1001,MATCH(ROWS($AH$2:AH787),$AH$2:$AH$1001,0),MATCH(COLUMNS($AO$1006:BG1006),$AO$1006:$BQ$1006,0)), HYPERLINK("#",""), HYPERLINK(CONCATENATE("#Metadata!", ADDRESS(INDEX($AJ$2:$AJ$1001,MATCH(ROWS($AH$2:AH787),$AH$2:$AH$1001,0),0), INDEX($AO$1004:$BQ$1004,1,MATCH(COLUMNS($AO$1006:BG1006),$AO$1006:$BQ$1006,0)))),"Fix")))</f>
        <v>#N/A</v>
      </c>
      <c r="U787" s="5" t="e">
        <f ca="1">IF(OR(INDEX($AI$2:$AI$1001,MATCH(ROWS($AH$2:AH787),$AH$2:$AH$1001,0),1)&gt;=100000,INDEX($AO$1005:$BQ$1005,1,MATCH(COLUMNS($AO$1006:BH1006),$AO$1006:$BQ$1006,0))&gt;=100000), " ",IF(INDEX($AO$2:$BQ$1001,MATCH(ROWS($AH$2:AH787),$AH$2:$AH$1001,0),MATCH(COLUMNS($AO$1006:BH1006),$AO$1006:$BQ$1006,0)), HYPERLINK("#",""), HYPERLINK(CONCATENATE("#Metadata!", ADDRESS(INDEX($AJ$2:$AJ$1001,MATCH(ROWS($AH$2:AH787),$AH$2:$AH$1001,0),0), INDEX($AO$1004:$BQ$1004,1,MATCH(COLUMNS($AO$1006:BH1006),$AO$1006:$BQ$1006,0)))),"Fix")))</f>
        <v>#N/A</v>
      </c>
      <c r="V787" s="5" t="e">
        <f ca="1">IF(OR(INDEX($AI$2:$AI$1001,MATCH(ROWS($AH$2:AH787),$AH$2:$AH$1001,0),1)&gt;=100000,INDEX($AO$1005:$BQ$1005,1,MATCH(COLUMNS($AO$1006:BI1006),$AO$1006:$BQ$1006,0))&gt;=100000), " ",IF(INDEX($AO$2:$BQ$1001,MATCH(ROWS($AH$2:AH787),$AH$2:$AH$1001,0),MATCH(COLUMNS($AO$1006:BI1006),$AO$1006:$BQ$1006,0)), HYPERLINK("#",""), HYPERLINK(CONCATENATE("#Metadata!", ADDRESS(INDEX($AJ$2:$AJ$1001,MATCH(ROWS($AH$2:AH787),$AH$2:$AH$1001,0),0), INDEX($AO$1004:$BQ$1004,1,MATCH(COLUMNS($AO$1006:BI1006),$AO$1006:$BQ$1006,0)))),"Fix")))</f>
        <v>#N/A</v>
      </c>
      <c r="W787" s="5" t="e">
        <f ca="1">IF(OR(INDEX($AI$2:$AI$1001,MATCH(ROWS($AH$2:AH787),$AH$2:$AH$1001,0),1)&gt;=100000,INDEX($AO$1005:$BQ$1005,1,MATCH(COLUMNS($AO$1006:BJ1006),$AO$1006:$BQ$1006,0))&gt;=100000), " ",IF(INDEX($AO$2:$BQ$1001,MATCH(ROWS($AH$2:AH787),$AH$2:$AH$1001,0),MATCH(COLUMNS($AO$1006:BJ1006),$AO$1006:$BQ$1006,0)), HYPERLINK("#",""), HYPERLINK(CONCATENATE("#Metadata!", ADDRESS(INDEX($AJ$2:$AJ$1001,MATCH(ROWS($AH$2:AH787),$AH$2:$AH$1001,0),0), INDEX($AO$1004:$BQ$1004,1,MATCH(COLUMNS($AO$1006:BJ1006),$AO$1006:$BQ$1006,0)))),"Fix")))</f>
        <v>#N/A</v>
      </c>
      <c r="X787" s="5" t="e">
        <f ca="1">IF(OR(INDEX($AI$2:$AI$1001,MATCH(ROWS($AH$2:AH787),$AH$2:$AH$1001,0),1)&gt;=100000,INDEX($AO$1005:$BQ$1005,1,MATCH(COLUMNS($AO$1006:BK1006),$AO$1006:$BQ$1006,0))&gt;=100000), " ",IF(INDEX($AO$2:$BQ$1001,MATCH(ROWS($AH$2:AH787),$AH$2:$AH$1001,0),MATCH(COLUMNS($AO$1006:BK1006),$AO$1006:$BQ$1006,0)), HYPERLINK("#",""), HYPERLINK(CONCATENATE("#Metadata!", ADDRESS(INDEX($AJ$2:$AJ$1001,MATCH(ROWS($AH$2:AH787),$AH$2:$AH$1001,0),0), INDEX($AO$1004:$BQ$1004,1,MATCH(COLUMNS($AO$1006:BK1006),$AO$1006:$BQ$1006,0)))),"Fix")))</f>
        <v>#N/A</v>
      </c>
      <c r="Y787" s="5" t="e">
        <f ca="1">IF(OR(INDEX($AI$2:$AI$1001,MATCH(ROWS($AH$2:AH787),$AH$2:$AH$1001,0),1)&gt;=100000,INDEX($AO$1005:$BQ$1005,1,MATCH(COLUMNS($AO$1006:BL1006),$AO$1006:$BQ$1006,0))&gt;=100000), " ",IF(INDEX($AO$2:$BQ$1001,MATCH(ROWS($AH$2:AH787),$AH$2:$AH$1001,0),MATCH(COLUMNS($AO$1006:BL1006),$AO$1006:$BQ$1006,0)), HYPERLINK("#",""), HYPERLINK(CONCATENATE("#Metadata!", ADDRESS(INDEX($AJ$2:$AJ$1001,MATCH(ROWS($AH$2:AH787),$AH$2:$AH$1001,0),0), INDEX($AO$1004:$BQ$1004,1,MATCH(COLUMNS($AO$1006:BL1006),$AO$1006:$BQ$1006,0)))),"Fix")))</f>
        <v>#N/A</v>
      </c>
      <c r="Z787" s="5" t="e">
        <f ca="1">IF(OR(INDEX($AI$2:$AI$1001,MATCH(ROWS($AH$2:AH787),$AH$2:$AH$1001,0),1)&gt;=100000,INDEX($AO$1005:$BQ$1005,1,MATCH(COLUMNS($AO$1006:BM1006),$AO$1006:$BQ$1006,0))&gt;=100000), " ",IF(INDEX($AO$2:$BQ$1001,MATCH(ROWS($AH$2:AH787),$AH$2:$AH$1001,0),MATCH(COLUMNS($AO$1006:BM1006),$AO$1006:$BQ$1006,0)), HYPERLINK("#",""), HYPERLINK(CONCATENATE("#Metadata!", ADDRESS(INDEX($AJ$2:$AJ$1001,MATCH(ROWS($AH$2:AH787),$AH$2:$AH$1001,0),0), INDEX($AO$1004:$BQ$1004,1,MATCH(COLUMNS($AO$1006:BM1006),$AO$1006:$BQ$1006,0)))),"Fix")))</f>
        <v>#N/A</v>
      </c>
      <c r="AA787" s="5" t="e">
        <f ca="1">IF(OR(INDEX($AI$2:$AI$1001,MATCH(ROWS($AH$2:AH787),$AH$2:$AH$1001,0),1)&gt;=100000,INDEX($AO$1005:$BQ$1005,1,MATCH(COLUMNS($AO$1006:BN1006),$AO$1006:$BQ$1006,0))&gt;=100000), " ",IF(INDEX($AO$2:$BQ$1001,MATCH(ROWS($AH$2:AH787),$AH$2:$AH$1001,0),MATCH(COLUMNS($AO$1006:BN1006),$AO$1006:$BQ$1006,0)), HYPERLINK("#",""), HYPERLINK(CONCATENATE("#Metadata!", ADDRESS(INDEX($AJ$2:$AJ$1001,MATCH(ROWS($AH$2:AH787),$AH$2:$AH$1001,0),0), INDEX($AO$1004:$BQ$1004,1,MATCH(COLUMNS($AO$1006:BN1006),$AO$1006:$BQ$1006,0)))),"Fix")))</f>
        <v>#N/A</v>
      </c>
      <c r="AB787" s="5" t="e">
        <f ca="1">IF(OR(INDEX($AI$2:$AI$1001,MATCH(ROWS($AH$2:AH787),$AH$2:$AH$1001,0),1)&gt;=100000,INDEX($AO$1005:$BQ$1005,1,MATCH(COLUMNS($AO$1006:BO1006),$AO$1006:$BQ$1006,0))&gt;=100000), " ",IF(INDEX($AO$2:$BQ$1001,MATCH(ROWS($AH$2:AH787),$AH$2:$AH$1001,0),MATCH(COLUMNS($AO$1006:BO1006),$AO$1006:$BQ$1006,0)), HYPERLINK("#",""), HYPERLINK(CONCATENATE("#Metadata!", ADDRESS(INDEX($AJ$2:$AJ$1001,MATCH(ROWS($AH$2:AH787),$AH$2:$AH$1001,0),0), INDEX($AO$1004:$BQ$1004,1,MATCH(COLUMNS($AO$1006:BO1006),$AO$1006:$BQ$1006,0)))),"Fix")))</f>
        <v>#N/A</v>
      </c>
      <c r="AC787" s="5" t="e">
        <f ca="1">IF(OR(INDEX($AI$2:$AI$1001,MATCH(ROWS($AH$2:AH787),$AH$2:$AH$1001,0),1)&gt;=100000,INDEX($AO$1005:$BQ$1005,1,MATCH(COLUMNS($AO$1006:BP1006),$AO$1006:$BQ$1006,0))&gt;=100000), " ",IF(INDEX($AO$2:$BQ$1001,MATCH(ROWS($AH$2:AH787),$AH$2:$AH$1001,0),MATCH(COLUMNS($AO$1006:BP1006),$AO$1006:$BQ$1006,0)), HYPERLINK("#",""), HYPERLINK(CONCATENATE("#Metadata!", ADDRESS(INDEX($AJ$2:$AJ$1001,MATCH(ROWS($AH$2:AH787),$AH$2:$AH$1001,0),0), INDEX($AO$1004:$BQ$1004,1,MATCH(COLUMNS($AO$1006:BP1006),$AO$1006:$BQ$1006,0)))),"Fix")))</f>
        <v>#N/A</v>
      </c>
      <c r="AD787" s="5" t="e">
        <f ca="1">IF(OR(INDEX($AI$2:$AI$1001,MATCH(ROWS($AH$2:AH787),$AH$2:$AH$1001,0),1)&gt;=100000,INDEX($AO$1005:$BQ$1005,1,MATCH(COLUMNS($AO$1006:BQ1006),$AO$1006:$BQ$1006,0))&gt;=100000), " ",IF(INDEX($AO$2:$BQ$1001,MATCH(ROWS($AH$2:AH787),$AH$2:$AH$1001,0),MATCH(COLUMNS($AO$1006:BQ1006),$AO$1006:$BQ$1006,0)), HYPERLINK("#",""), HYPERLINK(CONCATENATE("#Metadata!", ADDRESS(INDEX($AJ$2:$AJ$1001,MATCH(ROWS($AH$2:AH787),$AH$2:$AH$1001,0),0), INDEX($AO$1004:$BQ$1004,1,MATCH(COLUMNS($AO$1006:BQ1006),$AO$1006:$BQ$1006,0)))),"Fix")))</f>
        <v>#REF!</v>
      </c>
      <c r="AH787">
        <f ca="1"/>
        <v>784</v>
      </c>
      <c r="AI787">
        <v>100787</v>
      </c>
      <c r="AJ787">
        <v>787</v>
      </c>
      <c r="AK787" t="b">
        <f t="shared" si="12"/>
        <v>1</v>
      </c>
      <c r="AL787" t="b">
        <f>COUNTBLANK(Metadata!B787:AD787)=COLUMNS(Metadata!B787:AD787)</f>
        <v>1</v>
      </c>
      <c r="AM787" t="str">
        <v/>
      </c>
      <c r="AO787" t="b">
        <f ca="1">AND(IF(Metadata!B787="",FALSE,TRUE),COUNTIF(Metadata!B:B, Metadata!B787) = 1,NOT(ISERROR(SUMPRODUCT(SEARCH(MID(Metadata!B787,ROW(INDIRECT("1:"&amp;LEN(Metadata!B787))), 1),"0123456789abcdefghijklmnopqrstuvwxyzABCDEFGHIJKLMNOPQRSTUVWXYZ.")))))</f>
        <v>0</v>
      </c>
      <c r="AP787" t="b">
        <f>IF(Metadata!C787="",FALSE,TRUE)</f>
        <v>0</v>
      </c>
      <c r="AQ787" t="b">
        <f>IF(Metadata!D787="",FALSE,TRUE)</f>
        <v>0</v>
      </c>
      <c r="AR787" t="b">
        <f ca="1">OR(AND(IF(Metadata!E787="",FALSE,TRUE),OR(EXACT(Metadata!E787,"not collected"),EXACT(Metadata!E787,"not provided"),EXACT(Metadata!E787,"restricted access"))),AND(IF(Metadata!E787="",FALSE,TRUE),AND(AND(IFERROR(INT(LEFT(Metadata!E787,4))&gt;1900,FALSE),IFERROR(INT(LEFT(Metadata!E787,4))&lt;=YEAR(NOW()),FALSE)), OR(MID(Metadata!E787,5,1)="", AND(AND(MID(Metadata!E787,5,1)="-",IFERROR(INT(MID(Metadata!E787,6,1))&gt;=0,FALSE),IFERROR(INT(MID(Metadata!E787,6,1))&lt;=1,FALSE),NOT(MID(Metadata!E787,7,1)=""),IFERROR(INT(MID(Metadata!E787,6,2))&gt;=1,FALSE),IFERROR(INT(MID(Metadata!E787,6,2))&lt;=12,FALSE)), OR(MID(Metadata!E787,8,1)="", AND(AND(MID(Metadata!E787,8,1)="-",IFERROR(INT(MID(Metadata!E787,9,1))&gt;=0,FALSE),IFERROR(INT(MID(Metadata!E787,9,1))&lt;=3,FALSE),NOT(MID(Metadata!E787,10,1)=""),IFERROR(INT(MID(Metadata!E787,9,2))&gt;=1,FALSE),IFERROR(INT(MID(Metadata!E787,9,2))&lt;=31,FALSE)), OR(MID(Metadata!E787,11,1)="", AND(AND(MID(Metadata!E787,11,1)=" ",IFERROR(INT(MID(Metadata!E787,12,1))&gt;=0,FALSE),IFERROR(INT(MID(Metadata!E787,12,1))&lt;=2,FALSE),NOT(MID(Metadata!E787,13,1)=""),IFERROR(INT(MID(Metadata!E787,12,2))&gt;=0,FALSE),IFERROR(INT(MID(Metadata!E787,12,2))&lt;=23,FALSE)), OR(MID(Metadata!E787,14,1)="", AND(AND(MID(Metadata!E787,14,1)=":",IFERROR(INT(MID(Metadata!E787,15,1))&gt;=0,FALSE),IFERROR(INT(MID(Metadata!E787,15,1))&lt;=5,FALSE),NOT(MID(Metadata!E787,16,1)=""),IFERROR(INT(MID(Metadata!E787,15,2))&gt;=0,FALSE),IFERROR(INT(MID(Metadata!E787,15,2))&lt;=59,FALSE)), OR(MID(Metadata!E787,17,1)="", AND(AND(MID(Metadata!E787,17,1)=":",IFERROR(INT(MID(Metadata!E787,18,1))&gt;=0,FALSE),IFERROR(INT(MID(Metadata!E787,18,1))&lt;=5,FALSE),NOT(MID(Metadata!E787,19,1)=""),IFERROR(INT(MID(Metadata!E787,18,2))&gt;=0,FALSE),IFERROR(INT(MID(Metadata!E787,18,2))&lt;=59,FALSE)), LEN(Metadata!E787)&lt;=19)))))))))))))</f>
        <v>0</v>
      </c>
      <c r="AS787" t="b">
        <f>IF(Metadata!F787="",FALSE,TRUE)</f>
        <v>0</v>
      </c>
      <c r="AT787" t="b">
        <f>OR(AND(IF(Metadata!G787="",FALSE,TRUE),OR(EXACT(Metadata!G787,"not collected"),EXACT(Metadata!G787,"not provided"))),AND(IF(Metadata!G787="",FALSE,TRUE),OR(EXACT(Metadata!G787,"TRUE"),EXACT(Metadata!G787,"FALSE"))))</f>
        <v>0</v>
      </c>
      <c r="AU787" t="b">
        <f>OR(AND(IF(Metadata!H787="",FALSE,TRUE),OR(EXACT(Metadata!H787,"not collected"),EXACT(Metadata!H787,"not provided"),EXACT(Metadata!H787,"restricted access"))),AND(IF(Metadata!H787="",FALSE,ISNUMBER(VALUE(Metadata!H787))),Metadata!H787&gt;=-413))</f>
        <v>0</v>
      </c>
      <c r="AV787" t="b">
        <f>AND(IF(Metadata!I787="",FALSE,TRUE),EXACT(Metadata!I787,"meters"))</f>
        <v>0</v>
      </c>
      <c r="AW787" t="b">
        <f>AND(IF(Metadata!J787="",FALSE,TRUE),EXACT(Metadata!J787,"free-living"))</f>
        <v>0</v>
      </c>
      <c r="AX787" t="b">
        <f>AND(IF(Metadata!K787="",FALSE,TRUE),OR(EXACT(Metadata!K787,"saline"),EXACT(Metadata!K787,"non-saline")))</f>
        <v>0</v>
      </c>
      <c r="AY787" t="b">
        <f>AND(IF(Metadata!L787="",FALSE,TRUE),OR(EXACT(Metadata!L787,"sub-surface (non-saline)"),EXACT(Metadata!L787,"surface (non-saline)"),EXACT(Metadata!L787,"water (non-saline)"),EXACT(Metadata!L787,"soil (non-saline)"),EXACT(Metadata!L787,"aerosol (non-saline)"),EXACT(Metadata!L787,"sediment (non-saline)"),EXACT(Metadata!L787,"surface (saline)"),EXACT(Metadata!L787,"water (saline)"),EXACT(Metadata!L787,"hypersaline (saline)"),EXACT(Metadata!L787,"aerosol (saline)"),EXACT(Metadata!L787,"sediment (saline)")))</f>
        <v>0</v>
      </c>
      <c r="AZ787" t="b">
        <f>IF(Metadata!M787="",FALSE,TRUE)</f>
        <v>0</v>
      </c>
      <c r="BA787" t="b">
        <f>IF(Metadata!N787="",FALSE,TRUE)</f>
        <v>0</v>
      </c>
      <c r="BB787" t="b">
        <f>IF(Metadata!O787="",FALSE,TRUE)</f>
        <v>0</v>
      </c>
      <c r="BC787" t="b">
        <f>AND(IF(Metadata!P787="",FALSE,TRUE),OR(EXACT(Metadata!P787,"air"),EXACT(Metadata!P787,"microbial mat/biofilm"),EXACT(Metadata!P787,"misc environment"),EXACT(Metadata!P787,"sediment"),EXACT(Metadata!P787,"soil"),EXACT(Metadata!P787,"wastewater/sludge"),EXACT(Metadata!P787,"water")))</f>
        <v>0</v>
      </c>
      <c r="BD787" t="b">
        <f>IF(Metadata!Q787="",FALSE,TRUE)</f>
        <v>0</v>
      </c>
      <c r="BE787" t="b">
        <f>IF(Metadata!R787="",FALSE,TRUE)</f>
        <v>0</v>
      </c>
      <c r="BF787" t="b">
        <f>OR(AND(IF(Metadata!S787="",FALSE,TRUE),OR(EXACT(Metadata!S787,"not collected"),EXACT(Metadata!S787,"not provided"),EXACT(Metadata!S787,"restricted access"))),AND(IF(Metadata!S787="",FALSE,ISNUMBER(VALUE(Metadata!S787))),Metadata!S787&gt;=-90,Metadata!S787&lt;=90))</f>
        <v>0</v>
      </c>
      <c r="BG787" t="b">
        <f>AND(IF(Metadata!T787="",FALSE,TRUE),EXACT(Metadata!T787,"Decimal degrees"))</f>
        <v>0</v>
      </c>
      <c r="BH787" t="b">
        <f>OR(AND(IF(Metadata!U787="",FALSE,TRUE),OR(EXACT(Metadata!U787,"not applicable"),EXACT(Metadata!U787,"not collected"))),IF(Metadata!U787="",FALSE,TRUE))</f>
        <v>0</v>
      </c>
      <c r="BI787" t="b">
        <f>OR(AND(IF(Metadata!V787="",FALSE,TRUE),OR(EXACT(Metadata!V787,"not collected"),EXACT(Metadata!V787,"not provided"),EXACT(Metadata!V787,"restricted access"))),AND(IF(Metadata!V787="",FALSE,ISNUMBER(VALUE(Metadata!V787))),Metadata!V787&gt;=-180,Metadata!V787&lt;=180))</f>
        <v>0</v>
      </c>
      <c r="BJ787" t="b">
        <f>AND(IF(Metadata!W787="",FALSE,TRUE),EXACT(Metadata!W787,"Decimal degrees"))</f>
        <v>0</v>
      </c>
      <c r="BK787" t="b">
        <f>IF(Metadata!X787="",FALSE,TRUE)</f>
        <v>0</v>
      </c>
      <c r="BL787" t="b">
        <f>OR(AND(IF(Metadata!Y787="",FALSE,TRUE),OR(EXACT(Metadata!Y787,"not collected"),EXACT(Metadata!Y787,"not provided"),EXACT(Metadata!Y787,"restricted access"))),AND(IF(Metadata!Y787="",FALSE,TRUE),OR(EXACT(Metadata!Y787,"TRUE"),EXACT(Metadata!Y787,"FALSE"))))</f>
        <v>0</v>
      </c>
      <c r="BM787" t="b">
        <f>OR(AND(IF(Metadata!Z787="",FALSE,TRUE),EXACT(Metadata!Z787,"not applicable")),AND(IF(Metadata!Z787="",FALSE,TRUE),OR(EXACT(Metadata!Z787,"beer"),EXACT(Metadata!Z787,"cheese"),EXACT(Metadata!Z787,"fresh water"),EXACT(Metadata!Z787,"marine sediment"),EXACT(Metadata!Z787,"sea water"),EXACT(Metadata!Z787,"sediment"),EXACT(Metadata!Z787,"soil"),EXACT(Metadata!Z787,"waste water"))))</f>
        <v>0</v>
      </c>
      <c r="BN787" t="b">
        <f>AND(IF(Metadata!AA787="",FALSE,TRUE),EXACT(Metadata!AA787,"metagenome"))</f>
        <v>0</v>
      </c>
      <c r="BO787" t="b">
        <f>AND(IF(Metadata!AB787="",FALSE,TRUE),EXACT(Metadata!AB787,"256318"))</f>
        <v>0</v>
      </c>
      <c r="BP787" t="b">
        <f>IF(Metadata!AC787="",FALSE,TRUE)</f>
        <v>0</v>
      </c>
      <c r="BQ787" t="b">
        <f>IF(Metadata!AD787="",FALSE,TRUE)</f>
        <v>0</v>
      </c>
    </row>
    <row r="788" spans="1:69" x14ac:dyDescent="0.2">
      <c r="A788" s="4" t="e">
        <f ca="1">IF(B788=" "," ",HYPERLINK(CONCATENATE("#metadata!",ADDRESS(INDEX($AJ$2:$AJ$1001,MATCH(ROWS($AH$2:AH788),$AH$2:$AH$1001,0),0),2)),INDEX($AM$2:$AM$1001,MATCH(ROWS($AH$2:AH788),$AH$2:$AH$1001,0),0)))</f>
        <v>#N/A</v>
      </c>
      <c r="B788" s="5" t="e">
        <f ca="1">IF(OR(INDEX($AI$2:$AI$1001,MATCH(ROWS($AH$2:AH788),$AH$2:$AH$1001,0),1)&gt;=100000,INDEX($AO$1005:$BQ$1005,1,MATCH(COLUMNS($AO$1006:AO1006),$AO$1006:$BQ$1006,0))&gt;=100000), " ",IF(INDEX($AO$2:$BQ$1001,MATCH(ROWS($AH$2:AH788),$AH$2:$AH$1001,0),MATCH(COLUMNS($AO$1006:AO1006),$AO$1006:$BQ$1006,0)), HYPERLINK("#",""), HYPERLINK(CONCATENATE("#Metadata!", ADDRESS(INDEX($AJ$2:$AJ$1001,MATCH(ROWS($AH$2:AH788),$AH$2:$AH$1001,0),0), INDEX($AO$1004:$BQ$1004,1,MATCH(COLUMNS($AO$1006:AO1006),$AO$1006:$BQ$1006,0)))),"Fix")))</f>
        <v>#N/A</v>
      </c>
      <c r="C788" s="5" t="e">
        <f ca="1">IF(OR(INDEX($AI$2:$AI$1001,MATCH(ROWS($AH$2:AH788),$AH$2:$AH$1001,0),1)&gt;=100000,INDEX($AO$1005:$BQ$1005,1,MATCH(COLUMNS($AO$1006:AP1006),$AO$1006:$BQ$1006,0))&gt;=100000), " ",IF(INDEX($AO$2:$BQ$1001,MATCH(ROWS($AH$2:AH788),$AH$2:$AH$1001,0),MATCH(COLUMNS($AO$1006:AP1006),$AO$1006:$BQ$1006,0)), HYPERLINK("#",""), HYPERLINK(CONCATENATE("#Metadata!", ADDRESS(INDEX($AJ$2:$AJ$1001,MATCH(ROWS($AH$2:AH788),$AH$2:$AH$1001,0),0), INDEX($AO$1004:$BQ$1004,1,MATCH(COLUMNS($AO$1006:AP1006),$AO$1006:$BQ$1006,0)))),"Fix")))</f>
        <v>#N/A</v>
      </c>
      <c r="D788" s="5" t="e">
        <f ca="1">IF(OR(INDEX($AI$2:$AI$1001,MATCH(ROWS($AH$2:AH788),$AH$2:$AH$1001,0),1)&gt;=100000,INDEX($AO$1005:$BQ$1005,1,MATCH(COLUMNS($AO$1006:AQ1006),$AO$1006:$BQ$1006,0))&gt;=100000), " ",IF(INDEX($AO$2:$BQ$1001,MATCH(ROWS($AH$2:AH788),$AH$2:$AH$1001,0),MATCH(COLUMNS($AO$1006:AQ1006),$AO$1006:$BQ$1006,0)), HYPERLINK("#",""), HYPERLINK(CONCATENATE("#Metadata!", ADDRESS(INDEX($AJ$2:$AJ$1001,MATCH(ROWS($AH$2:AH788),$AH$2:$AH$1001,0),0), INDEX($AO$1004:$BQ$1004,1,MATCH(COLUMNS($AO$1006:AQ1006),$AO$1006:$BQ$1006,0)))),"Fix")))</f>
        <v>#N/A</v>
      </c>
      <c r="E788" s="5" t="e">
        <f ca="1">IF(OR(INDEX($AI$2:$AI$1001,MATCH(ROWS($AH$2:AH788),$AH$2:$AH$1001,0),1)&gt;=100000,INDEX($AO$1005:$BQ$1005,1,MATCH(COLUMNS($AO$1006:AR1006),$AO$1006:$BQ$1006,0))&gt;=100000), " ",IF(INDEX($AO$2:$BQ$1001,MATCH(ROWS($AH$2:AH788),$AH$2:$AH$1001,0),MATCH(COLUMNS($AO$1006:AR1006),$AO$1006:$BQ$1006,0)), HYPERLINK("#",""), HYPERLINK(CONCATENATE("#Metadata!", ADDRESS(INDEX($AJ$2:$AJ$1001,MATCH(ROWS($AH$2:AH788),$AH$2:$AH$1001,0),0), INDEX($AO$1004:$BQ$1004,1,MATCH(COLUMNS($AO$1006:AR1006),$AO$1006:$BQ$1006,0)))),"Fix")))</f>
        <v>#N/A</v>
      </c>
      <c r="F788" s="5" t="e">
        <f ca="1">IF(OR(INDEX($AI$2:$AI$1001,MATCH(ROWS($AH$2:AH788),$AH$2:$AH$1001,0),1)&gt;=100000,INDEX($AO$1005:$BQ$1005,1,MATCH(COLUMNS($AO$1006:AS1006),$AO$1006:$BQ$1006,0))&gt;=100000), " ",IF(INDEX($AO$2:$BQ$1001,MATCH(ROWS($AH$2:AH788),$AH$2:$AH$1001,0),MATCH(COLUMNS($AO$1006:AS1006),$AO$1006:$BQ$1006,0)), HYPERLINK("#",""), HYPERLINK(CONCATENATE("#Metadata!", ADDRESS(INDEX($AJ$2:$AJ$1001,MATCH(ROWS($AH$2:AH788),$AH$2:$AH$1001,0),0), INDEX($AO$1004:$BQ$1004,1,MATCH(COLUMNS($AO$1006:AS1006),$AO$1006:$BQ$1006,0)))),"Fix")))</f>
        <v>#N/A</v>
      </c>
      <c r="G788" s="5" t="e">
        <f ca="1">IF(OR(INDEX($AI$2:$AI$1001,MATCH(ROWS($AH$2:AH788),$AH$2:$AH$1001,0),1)&gt;=100000,INDEX($AO$1005:$BQ$1005,1,MATCH(COLUMNS($AO$1006:AT1006),$AO$1006:$BQ$1006,0))&gt;=100000), " ",IF(INDEX($AO$2:$BQ$1001,MATCH(ROWS($AH$2:AH788),$AH$2:$AH$1001,0),MATCH(COLUMNS($AO$1006:AT1006),$AO$1006:$BQ$1006,0)), HYPERLINK("#",""), HYPERLINK(CONCATENATE("#Metadata!", ADDRESS(INDEX($AJ$2:$AJ$1001,MATCH(ROWS($AH$2:AH788),$AH$2:$AH$1001,0),0), INDEX($AO$1004:$BQ$1004,1,MATCH(COLUMNS($AO$1006:AT1006),$AO$1006:$BQ$1006,0)))),"Fix")))</f>
        <v>#N/A</v>
      </c>
      <c r="H788" s="5" t="e">
        <f ca="1">IF(OR(INDEX($AI$2:$AI$1001,MATCH(ROWS($AH$2:AH788),$AH$2:$AH$1001,0),1)&gt;=100000,INDEX($AO$1005:$BQ$1005,1,MATCH(COLUMNS($AO$1006:AU1006),$AO$1006:$BQ$1006,0))&gt;=100000), " ",IF(INDEX($AO$2:$BQ$1001,MATCH(ROWS($AH$2:AH788),$AH$2:$AH$1001,0),MATCH(COLUMNS($AO$1006:AU1006),$AO$1006:$BQ$1006,0)), HYPERLINK("#",""), HYPERLINK(CONCATENATE("#Metadata!", ADDRESS(INDEX($AJ$2:$AJ$1001,MATCH(ROWS($AH$2:AH788),$AH$2:$AH$1001,0),0), INDEX($AO$1004:$BQ$1004,1,MATCH(COLUMNS($AO$1006:AU1006),$AO$1006:$BQ$1006,0)))),"Fix")))</f>
        <v>#N/A</v>
      </c>
      <c r="I788" s="5" t="e">
        <f ca="1">IF(OR(INDEX($AI$2:$AI$1001,MATCH(ROWS($AH$2:AH788),$AH$2:$AH$1001,0),1)&gt;=100000,INDEX($AO$1005:$BQ$1005,1,MATCH(COLUMNS($AO$1006:AV1006),$AO$1006:$BQ$1006,0))&gt;=100000), " ",IF(INDEX($AO$2:$BQ$1001,MATCH(ROWS($AH$2:AH788),$AH$2:$AH$1001,0),MATCH(COLUMNS($AO$1006:AV1006),$AO$1006:$BQ$1006,0)), HYPERLINK("#",""), HYPERLINK(CONCATENATE("#Metadata!", ADDRESS(INDEX($AJ$2:$AJ$1001,MATCH(ROWS($AH$2:AH788),$AH$2:$AH$1001,0),0), INDEX($AO$1004:$BQ$1004,1,MATCH(COLUMNS($AO$1006:AV1006),$AO$1006:$BQ$1006,0)))),"Fix")))</f>
        <v>#N/A</v>
      </c>
      <c r="J788" s="5" t="e">
        <f ca="1">IF(OR(INDEX($AI$2:$AI$1001,MATCH(ROWS($AH$2:AH788),$AH$2:$AH$1001,0),1)&gt;=100000,INDEX($AO$1005:$BQ$1005,1,MATCH(COLUMNS($AO$1006:AW1006),$AO$1006:$BQ$1006,0))&gt;=100000), " ",IF(INDEX($AO$2:$BQ$1001,MATCH(ROWS($AH$2:AH788),$AH$2:$AH$1001,0),MATCH(COLUMNS($AO$1006:AW1006),$AO$1006:$BQ$1006,0)), HYPERLINK("#",""), HYPERLINK(CONCATENATE("#Metadata!", ADDRESS(INDEX($AJ$2:$AJ$1001,MATCH(ROWS($AH$2:AH788),$AH$2:$AH$1001,0),0), INDEX($AO$1004:$BQ$1004,1,MATCH(COLUMNS($AO$1006:AW1006),$AO$1006:$BQ$1006,0)))),"Fix")))</f>
        <v>#N/A</v>
      </c>
      <c r="K788" s="5" t="e">
        <f ca="1">IF(OR(INDEX($AI$2:$AI$1001,MATCH(ROWS($AH$2:AH788),$AH$2:$AH$1001,0),1)&gt;=100000,INDEX($AO$1005:$BQ$1005,1,MATCH(COLUMNS($AO$1006:AX1006),$AO$1006:$BQ$1006,0))&gt;=100000), " ",IF(INDEX($AO$2:$BQ$1001,MATCH(ROWS($AH$2:AH788),$AH$2:$AH$1001,0),MATCH(COLUMNS($AO$1006:AX1006),$AO$1006:$BQ$1006,0)), HYPERLINK("#",""), HYPERLINK(CONCATENATE("#Metadata!", ADDRESS(INDEX($AJ$2:$AJ$1001,MATCH(ROWS($AH$2:AH788),$AH$2:$AH$1001,0),0), INDEX($AO$1004:$BQ$1004,1,MATCH(COLUMNS($AO$1006:AX1006),$AO$1006:$BQ$1006,0)))),"Fix")))</f>
        <v>#N/A</v>
      </c>
      <c r="L788" s="5" t="e">
        <f ca="1">IF(OR(INDEX($AI$2:$AI$1001,MATCH(ROWS($AH$2:AH788),$AH$2:$AH$1001,0),1)&gt;=100000,INDEX($AO$1005:$BQ$1005,1,MATCH(COLUMNS($AO$1006:AY1006),$AO$1006:$BQ$1006,0))&gt;=100000), " ",IF(INDEX($AO$2:$BQ$1001,MATCH(ROWS($AH$2:AH788),$AH$2:$AH$1001,0),MATCH(COLUMNS($AO$1006:AY1006),$AO$1006:$BQ$1006,0)), HYPERLINK("#",""), HYPERLINK(CONCATENATE("#Metadata!", ADDRESS(INDEX($AJ$2:$AJ$1001,MATCH(ROWS($AH$2:AH788),$AH$2:$AH$1001,0),0), INDEX($AO$1004:$BQ$1004,1,MATCH(COLUMNS($AO$1006:AY1006),$AO$1006:$BQ$1006,0)))),"Fix")))</f>
        <v>#N/A</v>
      </c>
      <c r="M788" s="5" t="e">
        <f ca="1">IF(OR(INDEX($AI$2:$AI$1001,MATCH(ROWS($AH$2:AH788),$AH$2:$AH$1001,0),1)&gt;=100000,INDEX($AO$1005:$BQ$1005,1,MATCH(COLUMNS($AO$1006:AZ1006),$AO$1006:$BQ$1006,0))&gt;=100000), " ",IF(INDEX($AO$2:$BQ$1001,MATCH(ROWS($AH$2:AH788),$AH$2:$AH$1001,0),MATCH(COLUMNS($AO$1006:AZ1006),$AO$1006:$BQ$1006,0)), HYPERLINK("#",""), HYPERLINK(CONCATENATE("#Metadata!", ADDRESS(INDEX($AJ$2:$AJ$1001,MATCH(ROWS($AH$2:AH788),$AH$2:$AH$1001,0),0), INDEX($AO$1004:$BQ$1004,1,MATCH(COLUMNS($AO$1006:AZ1006),$AO$1006:$BQ$1006,0)))),"Fix")))</f>
        <v>#N/A</v>
      </c>
      <c r="N788" s="5" t="e">
        <f ca="1">IF(OR(INDEX($AI$2:$AI$1001,MATCH(ROWS($AH$2:AH788),$AH$2:$AH$1001,0),1)&gt;=100000,INDEX($AO$1005:$BQ$1005,1,MATCH(COLUMNS($AO$1006:BA1006),$AO$1006:$BQ$1006,0))&gt;=100000), " ",IF(INDEX($AO$2:$BQ$1001,MATCH(ROWS($AH$2:AH788),$AH$2:$AH$1001,0),MATCH(COLUMNS($AO$1006:BA1006),$AO$1006:$BQ$1006,0)), HYPERLINK("#",""), HYPERLINK(CONCATENATE("#Metadata!", ADDRESS(INDEX($AJ$2:$AJ$1001,MATCH(ROWS($AH$2:AH788),$AH$2:$AH$1001,0),0), INDEX($AO$1004:$BQ$1004,1,MATCH(COLUMNS($AO$1006:BA1006),$AO$1006:$BQ$1006,0)))),"Fix")))</f>
        <v>#N/A</v>
      </c>
      <c r="O788" s="5" t="e">
        <f ca="1">IF(OR(INDEX($AI$2:$AI$1001,MATCH(ROWS($AH$2:AH788),$AH$2:$AH$1001,0),1)&gt;=100000,INDEX($AO$1005:$BQ$1005,1,MATCH(COLUMNS($AO$1006:BB1006),$AO$1006:$BQ$1006,0))&gt;=100000), " ",IF(INDEX($AO$2:$BQ$1001,MATCH(ROWS($AH$2:AH788),$AH$2:$AH$1001,0),MATCH(COLUMNS($AO$1006:BB1006),$AO$1006:$BQ$1006,0)), HYPERLINK("#",""), HYPERLINK(CONCATENATE("#Metadata!", ADDRESS(INDEX($AJ$2:$AJ$1001,MATCH(ROWS($AH$2:AH788),$AH$2:$AH$1001,0),0), INDEX($AO$1004:$BQ$1004,1,MATCH(COLUMNS($AO$1006:BB1006),$AO$1006:$BQ$1006,0)))),"Fix")))</f>
        <v>#N/A</v>
      </c>
      <c r="P788" s="5" t="e">
        <f ca="1">IF(OR(INDEX($AI$2:$AI$1001,MATCH(ROWS($AH$2:AH788),$AH$2:$AH$1001,0),1)&gt;=100000,INDEX($AO$1005:$BQ$1005,1,MATCH(COLUMNS($AO$1006:BC1006),$AO$1006:$BQ$1006,0))&gt;=100000), " ",IF(INDEX($AO$2:$BQ$1001,MATCH(ROWS($AH$2:AH788),$AH$2:$AH$1001,0),MATCH(COLUMNS($AO$1006:BC1006),$AO$1006:$BQ$1006,0)), HYPERLINK("#",""), HYPERLINK(CONCATENATE("#Metadata!", ADDRESS(INDEX($AJ$2:$AJ$1001,MATCH(ROWS($AH$2:AH788),$AH$2:$AH$1001,0),0), INDEX($AO$1004:$BQ$1004,1,MATCH(COLUMNS($AO$1006:BC1006),$AO$1006:$BQ$1006,0)))),"Fix")))</f>
        <v>#N/A</v>
      </c>
      <c r="Q788" s="5" t="e">
        <f ca="1">IF(OR(INDEX($AI$2:$AI$1001,MATCH(ROWS($AH$2:AH788),$AH$2:$AH$1001,0),1)&gt;=100000,INDEX($AO$1005:$BQ$1005,1,MATCH(COLUMNS($AO$1006:BD1006),$AO$1006:$BQ$1006,0))&gt;=100000), " ",IF(INDEX($AO$2:$BQ$1001,MATCH(ROWS($AH$2:AH788),$AH$2:$AH$1001,0),MATCH(COLUMNS($AO$1006:BD1006),$AO$1006:$BQ$1006,0)), HYPERLINK("#",""), HYPERLINK(CONCATENATE("#Metadata!", ADDRESS(INDEX($AJ$2:$AJ$1001,MATCH(ROWS($AH$2:AH788),$AH$2:$AH$1001,0),0), INDEX($AO$1004:$BQ$1004,1,MATCH(COLUMNS($AO$1006:BD1006),$AO$1006:$BQ$1006,0)))),"Fix")))</f>
        <v>#N/A</v>
      </c>
      <c r="R788" s="5" t="e">
        <f ca="1">IF(OR(INDEX($AI$2:$AI$1001,MATCH(ROWS($AH$2:AH788),$AH$2:$AH$1001,0),1)&gt;=100000,INDEX($AO$1005:$BQ$1005,1,MATCH(COLUMNS($AO$1006:BE1006),$AO$1006:$BQ$1006,0))&gt;=100000), " ",IF(INDEX($AO$2:$BQ$1001,MATCH(ROWS($AH$2:AH788),$AH$2:$AH$1001,0),MATCH(COLUMNS($AO$1006:BE1006),$AO$1006:$BQ$1006,0)), HYPERLINK("#",""), HYPERLINK(CONCATENATE("#Metadata!", ADDRESS(INDEX($AJ$2:$AJ$1001,MATCH(ROWS($AH$2:AH788),$AH$2:$AH$1001,0),0), INDEX($AO$1004:$BQ$1004,1,MATCH(COLUMNS($AO$1006:BE1006),$AO$1006:$BQ$1006,0)))),"Fix")))</f>
        <v>#N/A</v>
      </c>
      <c r="S788" s="5" t="e">
        <f ca="1">IF(OR(INDEX($AI$2:$AI$1001,MATCH(ROWS($AH$2:AH788),$AH$2:$AH$1001,0),1)&gt;=100000,INDEX($AO$1005:$BQ$1005,1,MATCH(COLUMNS($AO$1006:BF1006),$AO$1006:$BQ$1006,0))&gt;=100000), " ",IF(INDEX($AO$2:$BQ$1001,MATCH(ROWS($AH$2:AH788),$AH$2:$AH$1001,0),MATCH(COLUMNS($AO$1006:BF1006),$AO$1006:$BQ$1006,0)), HYPERLINK("#",""), HYPERLINK(CONCATENATE("#Metadata!", ADDRESS(INDEX($AJ$2:$AJ$1001,MATCH(ROWS($AH$2:AH788),$AH$2:$AH$1001,0),0), INDEX($AO$1004:$BQ$1004,1,MATCH(COLUMNS($AO$1006:BF1006),$AO$1006:$BQ$1006,0)))),"Fix")))</f>
        <v>#N/A</v>
      </c>
      <c r="T788" s="5" t="e">
        <f ca="1">IF(OR(INDEX($AI$2:$AI$1001,MATCH(ROWS($AH$2:AH788),$AH$2:$AH$1001,0),1)&gt;=100000,INDEX($AO$1005:$BQ$1005,1,MATCH(COLUMNS($AO$1006:BG1006),$AO$1006:$BQ$1006,0))&gt;=100000), " ",IF(INDEX($AO$2:$BQ$1001,MATCH(ROWS($AH$2:AH788),$AH$2:$AH$1001,0),MATCH(COLUMNS($AO$1006:BG1006),$AO$1006:$BQ$1006,0)), HYPERLINK("#",""), HYPERLINK(CONCATENATE("#Metadata!", ADDRESS(INDEX($AJ$2:$AJ$1001,MATCH(ROWS($AH$2:AH788),$AH$2:$AH$1001,0),0), INDEX($AO$1004:$BQ$1004,1,MATCH(COLUMNS($AO$1006:BG1006),$AO$1006:$BQ$1006,0)))),"Fix")))</f>
        <v>#N/A</v>
      </c>
      <c r="U788" s="5" t="e">
        <f ca="1">IF(OR(INDEX($AI$2:$AI$1001,MATCH(ROWS($AH$2:AH788),$AH$2:$AH$1001,0),1)&gt;=100000,INDEX($AO$1005:$BQ$1005,1,MATCH(COLUMNS($AO$1006:BH1006),$AO$1006:$BQ$1006,0))&gt;=100000), " ",IF(INDEX($AO$2:$BQ$1001,MATCH(ROWS($AH$2:AH788),$AH$2:$AH$1001,0),MATCH(COLUMNS($AO$1006:BH1006),$AO$1006:$BQ$1006,0)), HYPERLINK("#",""), HYPERLINK(CONCATENATE("#Metadata!", ADDRESS(INDEX($AJ$2:$AJ$1001,MATCH(ROWS($AH$2:AH788),$AH$2:$AH$1001,0),0), INDEX($AO$1004:$BQ$1004,1,MATCH(COLUMNS($AO$1006:BH1006),$AO$1006:$BQ$1006,0)))),"Fix")))</f>
        <v>#N/A</v>
      </c>
      <c r="V788" s="5" t="e">
        <f ca="1">IF(OR(INDEX($AI$2:$AI$1001,MATCH(ROWS($AH$2:AH788),$AH$2:$AH$1001,0),1)&gt;=100000,INDEX($AO$1005:$BQ$1005,1,MATCH(COLUMNS($AO$1006:BI1006),$AO$1006:$BQ$1006,0))&gt;=100000), " ",IF(INDEX($AO$2:$BQ$1001,MATCH(ROWS($AH$2:AH788),$AH$2:$AH$1001,0),MATCH(COLUMNS($AO$1006:BI1006),$AO$1006:$BQ$1006,0)), HYPERLINK("#",""), HYPERLINK(CONCATENATE("#Metadata!", ADDRESS(INDEX($AJ$2:$AJ$1001,MATCH(ROWS($AH$2:AH788),$AH$2:$AH$1001,0),0), INDEX($AO$1004:$BQ$1004,1,MATCH(COLUMNS($AO$1006:BI1006),$AO$1006:$BQ$1006,0)))),"Fix")))</f>
        <v>#N/A</v>
      </c>
      <c r="W788" s="5" t="e">
        <f ca="1">IF(OR(INDEX($AI$2:$AI$1001,MATCH(ROWS($AH$2:AH788),$AH$2:$AH$1001,0),1)&gt;=100000,INDEX($AO$1005:$BQ$1005,1,MATCH(COLUMNS($AO$1006:BJ1006),$AO$1006:$BQ$1006,0))&gt;=100000), " ",IF(INDEX($AO$2:$BQ$1001,MATCH(ROWS($AH$2:AH788),$AH$2:$AH$1001,0),MATCH(COLUMNS($AO$1006:BJ1006),$AO$1006:$BQ$1006,0)), HYPERLINK("#",""), HYPERLINK(CONCATENATE("#Metadata!", ADDRESS(INDEX($AJ$2:$AJ$1001,MATCH(ROWS($AH$2:AH788),$AH$2:$AH$1001,0),0), INDEX($AO$1004:$BQ$1004,1,MATCH(COLUMNS($AO$1006:BJ1006),$AO$1006:$BQ$1006,0)))),"Fix")))</f>
        <v>#N/A</v>
      </c>
      <c r="X788" s="5" t="e">
        <f ca="1">IF(OR(INDEX($AI$2:$AI$1001,MATCH(ROWS($AH$2:AH788),$AH$2:$AH$1001,0),1)&gt;=100000,INDEX($AO$1005:$BQ$1005,1,MATCH(COLUMNS($AO$1006:BK1006),$AO$1006:$BQ$1006,0))&gt;=100000), " ",IF(INDEX($AO$2:$BQ$1001,MATCH(ROWS($AH$2:AH788),$AH$2:$AH$1001,0),MATCH(COLUMNS($AO$1006:BK1006),$AO$1006:$BQ$1006,0)), HYPERLINK("#",""), HYPERLINK(CONCATENATE("#Metadata!", ADDRESS(INDEX($AJ$2:$AJ$1001,MATCH(ROWS($AH$2:AH788),$AH$2:$AH$1001,0),0), INDEX($AO$1004:$BQ$1004,1,MATCH(COLUMNS($AO$1006:BK1006),$AO$1006:$BQ$1006,0)))),"Fix")))</f>
        <v>#N/A</v>
      </c>
      <c r="Y788" s="5" t="e">
        <f ca="1">IF(OR(INDEX($AI$2:$AI$1001,MATCH(ROWS($AH$2:AH788),$AH$2:$AH$1001,0),1)&gt;=100000,INDEX($AO$1005:$BQ$1005,1,MATCH(COLUMNS($AO$1006:BL1006),$AO$1006:$BQ$1006,0))&gt;=100000), " ",IF(INDEX($AO$2:$BQ$1001,MATCH(ROWS($AH$2:AH788),$AH$2:$AH$1001,0),MATCH(COLUMNS($AO$1006:BL1006),$AO$1006:$BQ$1006,0)), HYPERLINK("#",""), HYPERLINK(CONCATENATE("#Metadata!", ADDRESS(INDEX($AJ$2:$AJ$1001,MATCH(ROWS($AH$2:AH788),$AH$2:$AH$1001,0),0), INDEX($AO$1004:$BQ$1004,1,MATCH(COLUMNS($AO$1006:BL1006),$AO$1006:$BQ$1006,0)))),"Fix")))</f>
        <v>#N/A</v>
      </c>
      <c r="Z788" s="5" t="e">
        <f ca="1">IF(OR(INDEX($AI$2:$AI$1001,MATCH(ROWS($AH$2:AH788),$AH$2:$AH$1001,0),1)&gt;=100000,INDEX($AO$1005:$BQ$1005,1,MATCH(COLUMNS($AO$1006:BM1006),$AO$1006:$BQ$1006,0))&gt;=100000), " ",IF(INDEX($AO$2:$BQ$1001,MATCH(ROWS($AH$2:AH788),$AH$2:$AH$1001,0),MATCH(COLUMNS($AO$1006:BM1006),$AO$1006:$BQ$1006,0)), HYPERLINK("#",""), HYPERLINK(CONCATENATE("#Metadata!", ADDRESS(INDEX($AJ$2:$AJ$1001,MATCH(ROWS($AH$2:AH788),$AH$2:$AH$1001,0),0), INDEX($AO$1004:$BQ$1004,1,MATCH(COLUMNS($AO$1006:BM1006),$AO$1006:$BQ$1006,0)))),"Fix")))</f>
        <v>#N/A</v>
      </c>
      <c r="AA788" s="5" t="e">
        <f ca="1">IF(OR(INDEX($AI$2:$AI$1001,MATCH(ROWS($AH$2:AH788),$AH$2:$AH$1001,0),1)&gt;=100000,INDEX($AO$1005:$BQ$1005,1,MATCH(COLUMNS($AO$1006:BN1006),$AO$1006:$BQ$1006,0))&gt;=100000), " ",IF(INDEX($AO$2:$BQ$1001,MATCH(ROWS($AH$2:AH788),$AH$2:$AH$1001,0),MATCH(COLUMNS($AO$1006:BN1006),$AO$1006:$BQ$1006,0)), HYPERLINK("#",""), HYPERLINK(CONCATENATE("#Metadata!", ADDRESS(INDEX($AJ$2:$AJ$1001,MATCH(ROWS($AH$2:AH788),$AH$2:$AH$1001,0),0), INDEX($AO$1004:$BQ$1004,1,MATCH(COLUMNS($AO$1006:BN1006),$AO$1006:$BQ$1006,0)))),"Fix")))</f>
        <v>#N/A</v>
      </c>
      <c r="AB788" s="5" t="e">
        <f ca="1">IF(OR(INDEX($AI$2:$AI$1001,MATCH(ROWS($AH$2:AH788),$AH$2:$AH$1001,0),1)&gt;=100000,INDEX($AO$1005:$BQ$1005,1,MATCH(COLUMNS($AO$1006:BO1006),$AO$1006:$BQ$1006,0))&gt;=100000), " ",IF(INDEX($AO$2:$BQ$1001,MATCH(ROWS($AH$2:AH788),$AH$2:$AH$1001,0),MATCH(COLUMNS($AO$1006:BO1006),$AO$1006:$BQ$1006,0)), HYPERLINK("#",""), HYPERLINK(CONCATENATE("#Metadata!", ADDRESS(INDEX($AJ$2:$AJ$1001,MATCH(ROWS($AH$2:AH788),$AH$2:$AH$1001,0),0), INDEX($AO$1004:$BQ$1004,1,MATCH(COLUMNS($AO$1006:BO1006),$AO$1006:$BQ$1006,0)))),"Fix")))</f>
        <v>#N/A</v>
      </c>
      <c r="AC788" s="5" t="e">
        <f ca="1">IF(OR(INDEX($AI$2:$AI$1001,MATCH(ROWS($AH$2:AH788),$AH$2:$AH$1001,0),1)&gt;=100000,INDEX($AO$1005:$BQ$1005,1,MATCH(COLUMNS($AO$1006:BP1006),$AO$1006:$BQ$1006,0))&gt;=100000), " ",IF(INDEX($AO$2:$BQ$1001,MATCH(ROWS($AH$2:AH788),$AH$2:$AH$1001,0),MATCH(COLUMNS($AO$1006:BP1006),$AO$1006:$BQ$1006,0)), HYPERLINK("#",""), HYPERLINK(CONCATENATE("#Metadata!", ADDRESS(INDEX($AJ$2:$AJ$1001,MATCH(ROWS($AH$2:AH788),$AH$2:$AH$1001,0),0), INDEX($AO$1004:$BQ$1004,1,MATCH(COLUMNS($AO$1006:BP1006),$AO$1006:$BQ$1006,0)))),"Fix")))</f>
        <v>#N/A</v>
      </c>
      <c r="AD788" s="5" t="e">
        <f ca="1">IF(OR(INDEX($AI$2:$AI$1001,MATCH(ROWS($AH$2:AH788),$AH$2:$AH$1001,0),1)&gt;=100000,INDEX($AO$1005:$BQ$1005,1,MATCH(COLUMNS($AO$1006:BQ1006),$AO$1006:$BQ$1006,0))&gt;=100000), " ",IF(INDEX($AO$2:$BQ$1001,MATCH(ROWS($AH$2:AH788),$AH$2:$AH$1001,0),MATCH(COLUMNS($AO$1006:BQ1006),$AO$1006:$BQ$1006,0)), HYPERLINK("#",""), HYPERLINK(CONCATENATE("#Metadata!", ADDRESS(INDEX($AJ$2:$AJ$1001,MATCH(ROWS($AH$2:AH788),$AH$2:$AH$1001,0),0), INDEX($AO$1004:$BQ$1004,1,MATCH(COLUMNS($AO$1006:BQ1006),$AO$1006:$BQ$1006,0)))),"Fix")))</f>
        <v>#REF!</v>
      </c>
      <c r="AH788">
        <f ca="1"/>
        <v>785</v>
      </c>
      <c r="AI788">
        <v>100788</v>
      </c>
      <c r="AJ788">
        <v>788</v>
      </c>
      <c r="AK788" t="b">
        <f t="shared" si="12"/>
        <v>1</v>
      </c>
      <c r="AL788" t="b">
        <f>COUNTBLANK(Metadata!B788:AD788)=COLUMNS(Metadata!B788:AD788)</f>
        <v>1</v>
      </c>
      <c r="AM788" t="str">
        <v/>
      </c>
      <c r="AO788" t="b">
        <f ca="1">AND(IF(Metadata!B788="",FALSE,TRUE),COUNTIF(Metadata!B:B, Metadata!B788) = 1,NOT(ISERROR(SUMPRODUCT(SEARCH(MID(Metadata!B788,ROW(INDIRECT("1:"&amp;LEN(Metadata!B788))), 1),"0123456789abcdefghijklmnopqrstuvwxyzABCDEFGHIJKLMNOPQRSTUVWXYZ.")))))</f>
        <v>0</v>
      </c>
      <c r="AP788" t="b">
        <f>IF(Metadata!C788="",FALSE,TRUE)</f>
        <v>0</v>
      </c>
      <c r="AQ788" t="b">
        <f>IF(Metadata!D788="",FALSE,TRUE)</f>
        <v>0</v>
      </c>
      <c r="AR788" t="b">
        <f ca="1">OR(AND(IF(Metadata!E788="",FALSE,TRUE),OR(EXACT(Metadata!E788,"not collected"),EXACT(Metadata!E788,"not provided"),EXACT(Metadata!E788,"restricted access"))),AND(IF(Metadata!E788="",FALSE,TRUE),AND(AND(IFERROR(INT(LEFT(Metadata!E788,4))&gt;1900,FALSE),IFERROR(INT(LEFT(Metadata!E788,4))&lt;=YEAR(NOW()),FALSE)), OR(MID(Metadata!E788,5,1)="", AND(AND(MID(Metadata!E788,5,1)="-",IFERROR(INT(MID(Metadata!E788,6,1))&gt;=0,FALSE),IFERROR(INT(MID(Metadata!E788,6,1))&lt;=1,FALSE),NOT(MID(Metadata!E788,7,1)=""),IFERROR(INT(MID(Metadata!E788,6,2))&gt;=1,FALSE),IFERROR(INT(MID(Metadata!E788,6,2))&lt;=12,FALSE)), OR(MID(Metadata!E788,8,1)="", AND(AND(MID(Metadata!E788,8,1)="-",IFERROR(INT(MID(Metadata!E788,9,1))&gt;=0,FALSE),IFERROR(INT(MID(Metadata!E788,9,1))&lt;=3,FALSE),NOT(MID(Metadata!E788,10,1)=""),IFERROR(INT(MID(Metadata!E788,9,2))&gt;=1,FALSE),IFERROR(INT(MID(Metadata!E788,9,2))&lt;=31,FALSE)), OR(MID(Metadata!E788,11,1)="", AND(AND(MID(Metadata!E788,11,1)=" ",IFERROR(INT(MID(Metadata!E788,12,1))&gt;=0,FALSE),IFERROR(INT(MID(Metadata!E788,12,1))&lt;=2,FALSE),NOT(MID(Metadata!E788,13,1)=""),IFERROR(INT(MID(Metadata!E788,12,2))&gt;=0,FALSE),IFERROR(INT(MID(Metadata!E788,12,2))&lt;=23,FALSE)), OR(MID(Metadata!E788,14,1)="", AND(AND(MID(Metadata!E788,14,1)=":",IFERROR(INT(MID(Metadata!E788,15,1))&gt;=0,FALSE),IFERROR(INT(MID(Metadata!E788,15,1))&lt;=5,FALSE),NOT(MID(Metadata!E788,16,1)=""),IFERROR(INT(MID(Metadata!E788,15,2))&gt;=0,FALSE),IFERROR(INT(MID(Metadata!E788,15,2))&lt;=59,FALSE)), OR(MID(Metadata!E788,17,1)="", AND(AND(MID(Metadata!E788,17,1)=":",IFERROR(INT(MID(Metadata!E788,18,1))&gt;=0,FALSE),IFERROR(INT(MID(Metadata!E788,18,1))&lt;=5,FALSE),NOT(MID(Metadata!E788,19,1)=""),IFERROR(INT(MID(Metadata!E788,18,2))&gt;=0,FALSE),IFERROR(INT(MID(Metadata!E788,18,2))&lt;=59,FALSE)), LEN(Metadata!E788)&lt;=19)))))))))))))</f>
        <v>0</v>
      </c>
      <c r="AS788" t="b">
        <f>IF(Metadata!F788="",FALSE,TRUE)</f>
        <v>0</v>
      </c>
      <c r="AT788" t="b">
        <f>OR(AND(IF(Metadata!G788="",FALSE,TRUE),OR(EXACT(Metadata!G788,"not collected"),EXACT(Metadata!G788,"not provided"))),AND(IF(Metadata!G788="",FALSE,TRUE),OR(EXACT(Metadata!G788,"TRUE"),EXACT(Metadata!G788,"FALSE"))))</f>
        <v>0</v>
      </c>
      <c r="AU788" t="b">
        <f>OR(AND(IF(Metadata!H788="",FALSE,TRUE),OR(EXACT(Metadata!H788,"not collected"),EXACT(Metadata!H788,"not provided"),EXACT(Metadata!H788,"restricted access"))),AND(IF(Metadata!H788="",FALSE,ISNUMBER(VALUE(Metadata!H788))),Metadata!H788&gt;=-413))</f>
        <v>0</v>
      </c>
      <c r="AV788" t="b">
        <f>AND(IF(Metadata!I788="",FALSE,TRUE),EXACT(Metadata!I788,"meters"))</f>
        <v>0</v>
      </c>
      <c r="AW788" t="b">
        <f>AND(IF(Metadata!J788="",FALSE,TRUE),EXACT(Metadata!J788,"free-living"))</f>
        <v>0</v>
      </c>
      <c r="AX788" t="b">
        <f>AND(IF(Metadata!K788="",FALSE,TRUE),OR(EXACT(Metadata!K788,"saline"),EXACT(Metadata!K788,"non-saline")))</f>
        <v>0</v>
      </c>
      <c r="AY788" t="b">
        <f>AND(IF(Metadata!L788="",FALSE,TRUE),OR(EXACT(Metadata!L788,"sub-surface (non-saline)"),EXACT(Metadata!L788,"surface (non-saline)"),EXACT(Metadata!L788,"water (non-saline)"),EXACT(Metadata!L788,"soil (non-saline)"),EXACT(Metadata!L788,"aerosol (non-saline)"),EXACT(Metadata!L788,"sediment (non-saline)"),EXACT(Metadata!L788,"surface (saline)"),EXACT(Metadata!L788,"water (saline)"),EXACT(Metadata!L788,"hypersaline (saline)"),EXACT(Metadata!L788,"aerosol (saline)"),EXACT(Metadata!L788,"sediment (saline)")))</f>
        <v>0</v>
      </c>
      <c r="AZ788" t="b">
        <f>IF(Metadata!M788="",FALSE,TRUE)</f>
        <v>0</v>
      </c>
      <c r="BA788" t="b">
        <f>IF(Metadata!N788="",FALSE,TRUE)</f>
        <v>0</v>
      </c>
      <c r="BB788" t="b">
        <f>IF(Metadata!O788="",FALSE,TRUE)</f>
        <v>0</v>
      </c>
      <c r="BC788" t="b">
        <f>AND(IF(Metadata!P788="",FALSE,TRUE),OR(EXACT(Metadata!P788,"air"),EXACT(Metadata!P788,"microbial mat/biofilm"),EXACT(Metadata!P788,"misc environment"),EXACT(Metadata!P788,"sediment"),EXACT(Metadata!P788,"soil"),EXACT(Metadata!P788,"wastewater/sludge"),EXACT(Metadata!P788,"water")))</f>
        <v>0</v>
      </c>
      <c r="BD788" t="b">
        <f>IF(Metadata!Q788="",FALSE,TRUE)</f>
        <v>0</v>
      </c>
      <c r="BE788" t="b">
        <f>IF(Metadata!R788="",FALSE,TRUE)</f>
        <v>0</v>
      </c>
      <c r="BF788" t="b">
        <f>OR(AND(IF(Metadata!S788="",FALSE,TRUE),OR(EXACT(Metadata!S788,"not collected"),EXACT(Metadata!S788,"not provided"),EXACT(Metadata!S788,"restricted access"))),AND(IF(Metadata!S788="",FALSE,ISNUMBER(VALUE(Metadata!S788))),Metadata!S788&gt;=-90,Metadata!S788&lt;=90))</f>
        <v>0</v>
      </c>
      <c r="BG788" t="b">
        <f>AND(IF(Metadata!T788="",FALSE,TRUE),EXACT(Metadata!T788,"Decimal degrees"))</f>
        <v>0</v>
      </c>
      <c r="BH788" t="b">
        <f>OR(AND(IF(Metadata!U788="",FALSE,TRUE),OR(EXACT(Metadata!U788,"not applicable"),EXACT(Metadata!U788,"not collected"))),IF(Metadata!U788="",FALSE,TRUE))</f>
        <v>0</v>
      </c>
      <c r="BI788" t="b">
        <f>OR(AND(IF(Metadata!V788="",FALSE,TRUE),OR(EXACT(Metadata!V788,"not collected"),EXACT(Metadata!V788,"not provided"),EXACT(Metadata!V788,"restricted access"))),AND(IF(Metadata!V788="",FALSE,ISNUMBER(VALUE(Metadata!V788))),Metadata!V788&gt;=-180,Metadata!V788&lt;=180))</f>
        <v>0</v>
      </c>
      <c r="BJ788" t="b">
        <f>AND(IF(Metadata!W788="",FALSE,TRUE),EXACT(Metadata!W788,"Decimal degrees"))</f>
        <v>0</v>
      </c>
      <c r="BK788" t="b">
        <f>IF(Metadata!X788="",FALSE,TRUE)</f>
        <v>0</v>
      </c>
      <c r="BL788" t="b">
        <f>OR(AND(IF(Metadata!Y788="",FALSE,TRUE),OR(EXACT(Metadata!Y788,"not collected"),EXACT(Metadata!Y788,"not provided"),EXACT(Metadata!Y788,"restricted access"))),AND(IF(Metadata!Y788="",FALSE,TRUE),OR(EXACT(Metadata!Y788,"TRUE"),EXACT(Metadata!Y788,"FALSE"))))</f>
        <v>0</v>
      </c>
      <c r="BM788" t="b">
        <f>OR(AND(IF(Metadata!Z788="",FALSE,TRUE),EXACT(Metadata!Z788,"not applicable")),AND(IF(Metadata!Z788="",FALSE,TRUE),OR(EXACT(Metadata!Z788,"beer"),EXACT(Metadata!Z788,"cheese"),EXACT(Metadata!Z788,"fresh water"),EXACT(Metadata!Z788,"marine sediment"),EXACT(Metadata!Z788,"sea water"),EXACT(Metadata!Z788,"sediment"),EXACT(Metadata!Z788,"soil"),EXACT(Metadata!Z788,"waste water"))))</f>
        <v>0</v>
      </c>
      <c r="BN788" t="b">
        <f>AND(IF(Metadata!AA788="",FALSE,TRUE),EXACT(Metadata!AA788,"metagenome"))</f>
        <v>0</v>
      </c>
      <c r="BO788" t="b">
        <f>AND(IF(Metadata!AB788="",FALSE,TRUE),EXACT(Metadata!AB788,"256318"))</f>
        <v>0</v>
      </c>
      <c r="BP788" t="b">
        <f>IF(Metadata!AC788="",FALSE,TRUE)</f>
        <v>0</v>
      </c>
      <c r="BQ788" t="b">
        <f>IF(Metadata!AD788="",FALSE,TRUE)</f>
        <v>0</v>
      </c>
    </row>
    <row r="789" spans="1:69" x14ac:dyDescent="0.2">
      <c r="A789" s="4" t="e">
        <f ca="1">IF(B789=" "," ",HYPERLINK(CONCATENATE("#metadata!",ADDRESS(INDEX($AJ$2:$AJ$1001,MATCH(ROWS($AH$2:AH789),$AH$2:$AH$1001,0),0),2)),INDEX($AM$2:$AM$1001,MATCH(ROWS($AH$2:AH789),$AH$2:$AH$1001,0),0)))</f>
        <v>#N/A</v>
      </c>
      <c r="B789" s="5" t="e">
        <f ca="1">IF(OR(INDEX($AI$2:$AI$1001,MATCH(ROWS($AH$2:AH789),$AH$2:$AH$1001,0),1)&gt;=100000,INDEX($AO$1005:$BQ$1005,1,MATCH(COLUMNS($AO$1006:AO1006),$AO$1006:$BQ$1006,0))&gt;=100000), " ",IF(INDEX($AO$2:$BQ$1001,MATCH(ROWS($AH$2:AH789),$AH$2:$AH$1001,0),MATCH(COLUMNS($AO$1006:AO1006),$AO$1006:$BQ$1006,0)), HYPERLINK("#",""), HYPERLINK(CONCATENATE("#Metadata!", ADDRESS(INDEX($AJ$2:$AJ$1001,MATCH(ROWS($AH$2:AH789),$AH$2:$AH$1001,0),0), INDEX($AO$1004:$BQ$1004,1,MATCH(COLUMNS($AO$1006:AO1006),$AO$1006:$BQ$1006,0)))),"Fix")))</f>
        <v>#N/A</v>
      </c>
      <c r="C789" s="5" t="e">
        <f ca="1">IF(OR(INDEX($AI$2:$AI$1001,MATCH(ROWS($AH$2:AH789),$AH$2:$AH$1001,0),1)&gt;=100000,INDEX($AO$1005:$BQ$1005,1,MATCH(COLUMNS($AO$1006:AP1006),$AO$1006:$BQ$1006,0))&gt;=100000), " ",IF(INDEX($AO$2:$BQ$1001,MATCH(ROWS($AH$2:AH789),$AH$2:$AH$1001,0),MATCH(COLUMNS($AO$1006:AP1006),$AO$1006:$BQ$1006,0)), HYPERLINK("#",""), HYPERLINK(CONCATENATE("#Metadata!", ADDRESS(INDEX($AJ$2:$AJ$1001,MATCH(ROWS($AH$2:AH789),$AH$2:$AH$1001,0),0), INDEX($AO$1004:$BQ$1004,1,MATCH(COLUMNS($AO$1006:AP1006),$AO$1006:$BQ$1006,0)))),"Fix")))</f>
        <v>#N/A</v>
      </c>
      <c r="D789" s="5" t="e">
        <f ca="1">IF(OR(INDEX($AI$2:$AI$1001,MATCH(ROWS($AH$2:AH789),$AH$2:$AH$1001,0),1)&gt;=100000,INDEX($AO$1005:$BQ$1005,1,MATCH(COLUMNS($AO$1006:AQ1006),$AO$1006:$BQ$1006,0))&gt;=100000), " ",IF(INDEX($AO$2:$BQ$1001,MATCH(ROWS($AH$2:AH789),$AH$2:$AH$1001,0),MATCH(COLUMNS($AO$1006:AQ1006),$AO$1006:$BQ$1006,0)), HYPERLINK("#",""), HYPERLINK(CONCATENATE("#Metadata!", ADDRESS(INDEX($AJ$2:$AJ$1001,MATCH(ROWS($AH$2:AH789),$AH$2:$AH$1001,0),0), INDEX($AO$1004:$BQ$1004,1,MATCH(COLUMNS($AO$1006:AQ1006),$AO$1006:$BQ$1006,0)))),"Fix")))</f>
        <v>#N/A</v>
      </c>
      <c r="E789" s="5" t="e">
        <f ca="1">IF(OR(INDEX($AI$2:$AI$1001,MATCH(ROWS($AH$2:AH789),$AH$2:$AH$1001,0),1)&gt;=100000,INDEX($AO$1005:$BQ$1005,1,MATCH(COLUMNS($AO$1006:AR1006),$AO$1006:$BQ$1006,0))&gt;=100000), " ",IF(INDEX($AO$2:$BQ$1001,MATCH(ROWS($AH$2:AH789),$AH$2:$AH$1001,0),MATCH(COLUMNS($AO$1006:AR1006),$AO$1006:$BQ$1006,0)), HYPERLINK("#",""), HYPERLINK(CONCATENATE("#Metadata!", ADDRESS(INDEX($AJ$2:$AJ$1001,MATCH(ROWS($AH$2:AH789),$AH$2:$AH$1001,0),0), INDEX($AO$1004:$BQ$1004,1,MATCH(COLUMNS($AO$1006:AR1006),$AO$1006:$BQ$1006,0)))),"Fix")))</f>
        <v>#N/A</v>
      </c>
      <c r="F789" s="5" t="e">
        <f ca="1">IF(OR(INDEX($AI$2:$AI$1001,MATCH(ROWS($AH$2:AH789),$AH$2:$AH$1001,0),1)&gt;=100000,INDEX($AO$1005:$BQ$1005,1,MATCH(COLUMNS($AO$1006:AS1006),$AO$1006:$BQ$1006,0))&gt;=100000), " ",IF(INDEX($AO$2:$BQ$1001,MATCH(ROWS($AH$2:AH789),$AH$2:$AH$1001,0),MATCH(COLUMNS($AO$1006:AS1006),$AO$1006:$BQ$1006,0)), HYPERLINK("#",""), HYPERLINK(CONCATENATE("#Metadata!", ADDRESS(INDEX($AJ$2:$AJ$1001,MATCH(ROWS($AH$2:AH789),$AH$2:$AH$1001,0),0), INDEX($AO$1004:$BQ$1004,1,MATCH(COLUMNS($AO$1006:AS1006),$AO$1006:$BQ$1006,0)))),"Fix")))</f>
        <v>#N/A</v>
      </c>
      <c r="G789" s="5" t="e">
        <f ca="1">IF(OR(INDEX($AI$2:$AI$1001,MATCH(ROWS($AH$2:AH789),$AH$2:$AH$1001,0),1)&gt;=100000,INDEX($AO$1005:$BQ$1005,1,MATCH(COLUMNS($AO$1006:AT1006),$AO$1006:$BQ$1006,0))&gt;=100000), " ",IF(INDEX($AO$2:$BQ$1001,MATCH(ROWS($AH$2:AH789),$AH$2:$AH$1001,0),MATCH(COLUMNS($AO$1006:AT1006),$AO$1006:$BQ$1006,0)), HYPERLINK("#",""), HYPERLINK(CONCATENATE("#Metadata!", ADDRESS(INDEX($AJ$2:$AJ$1001,MATCH(ROWS($AH$2:AH789),$AH$2:$AH$1001,0),0), INDEX($AO$1004:$BQ$1004,1,MATCH(COLUMNS($AO$1006:AT1006),$AO$1006:$BQ$1006,0)))),"Fix")))</f>
        <v>#N/A</v>
      </c>
      <c r="H789" s="5" t="e">
        <f ca="1">IF(OR(INDEX($AI$2:$AI$1001,MATCH(ROWS($AH$2:AH789),$AH$2:$AH$1001,0),1)&gt;=100000,INDEX($AO$1005:$BQ$1005,1,MATCH(COLUMNS($AO$1006:AU1006),$AO$1006:$BQ$1006,0))&gt;=100000), " ",IF(INDEX($AO$2:$BQ$1001,MATCH(ROWS($AH$2:AH789),$AH$2:$AH$1001,0),MATCH(COLUMNS($AO$1006:AU1006),$AO$1006:$BQ$1006,0)), HYPERLINK("#",""), HYPERLINK(CONCATENATE("#Metadata!", ADDRESS(INDEX($AJ$2:$AJ$1001,MATCH(ROWS($AH$2:AH789),$AH$2:$AH$1001,0),0), INDEX($AO$1004:$BQ$1004,1,MATCH(COLUMNS($AO$1006:AU1006),$AO$1006:$BQ$1006,0)))),"Fix")))</f>
        <v>#N/A</v>
      </c>
      <c r="I789" s="5" t="e">
        <f ca="1">IF(OR(INDEX($AI$2:$AI$1001,MATCH(ROWS($AH$2:AH789),$AH$2:$AH$1001,0),1)&gt;=100000,INDEX($AO$1005:$BQ$1005,1,MATCH(COLUMNS($AO$1006:AV1006),$AO$1006:$BQ$1006,0))&gt;=100000), " ",IF(INDEX($AO$2:$BQ$1001,MATCH(ROWS($AH$2:AH789),$AH$2:$AH$1001,0),MATCH(COLUMNS($AO$1006:AV1006),$AO$1006:$BQ$1006,0)), HYPERLINK("#",""), HYPERLINK(CONCATENATE("#Metadata!", ADDRESS(INDEX($AJ$2:$AJ$1001,MATCH(ROWS($AH$2:AH789),$AH$2:$AH$1001,0),0), INDEX($AO$1004:$BQ$1004,1,MATCH(COLUMNS($AO$1006:AV1006),$AO$1006:$BQ$1006,0)))),"Fix")))</f>
        <v>#N/A</v>
      </c>
      <c r="J789" s="5" t="e">
        <f ca="1">IF(OR(INDEX($AI$2:$AI$1001,MATCH(ROWS($AH$2:AH789),$AH$2:$AH$1001,0),1)&gt;=100000,INDEX($AO$1005:$BQ$1005,1,MATCH(COLUMNS($AO$1006:AW1006),$AO$1006:$BQ$1006,0))&gt;=100000), " ",IF(INDEX($AO$2:$BQ$1001,MATCH(ROWS($AH$2:AH789),$AH$2:$AH$1001,0),MATCH(COLUMNS($AO$1006:AW1006),$AO$1006:$BQ$1006,0)), HYPERLINK("#",""), HYPERLINK(CONCATENATE("#Metadata!", ADDRESS(INDEX($AJ$2:$AJ$1001,MATCH(ROWS($AH$2:AH789),$AH$2:$AH$1001,0),0), INDEX($AO$1004:$BQ$1004,1,MATCH(COLUMNS($AO$1006:AW1006),$AO$1006:$BQ$1006,0)))),"Fix")))</f>
        <v>#N/A</v>
      </c>
      <c r="K789" s="5" t="e">
        <f ca="1">IF(OR(INDEX($AI$2:$AI$1001,MATCH(ROWS($AH$2:AH789),$AH$2:$AH$1001,0),1)&gt;=100000,INDEX($AO$1005:$BQ$1005,1,MATCH(COLUMNS($AO$1006:AX1006),$AO$1006:$BQ$1006,0))&gt;=100000), " ",IF(INDEX($AO$2:$BQ$1001,MATCH(ROWS($AH$2:AH789),$AH$2:$AH$1001,0),MATCH(COLUMNS($AO$1006:AX1006),$AO$1006:$BQ$1006,0)), HYPERLINK("#",""), HYPERLINK(CONCATENATE("#Metadata!", ADDRESS(INDEX($AJ$2:$AJ$1001,MATCH(ROWS($AH$2:AH789),$AH$2:$AH$1001,0),0), INDEX($AO$1004:$BQ$1004,1,MATCH(COLUMNS($AO$1006:AX1006),$AO$1006:$BQ$1006,0)))),"Fix")))</f>
        <v>#N/A</v>
      </c>
      <c r="L789" s="5" t="e">
        <f ca="1">IF(OR(INDEX($AI$2:$AI$1001,MATCH(ROWS($AH$2:AH789),$AH$2:$AH$1001,0),1)&gt;=100000,INDEX($AO$1005:$BQ$1005,1,MATCH(COLUMNS($AO$1006:AY1006),$AO$1006:$BQ$1006,0))&gt;=100000), " ",IF(INDEX($AO$2:$BQ$1001,MATCH(ROWS($AH$2:AH789),$AH$2:$AH$1001,0),MATCH(COLUMNS($AO$1006:AY1006),$AO$1006:$BQ$1006,0)), HYPERLINK("#",""), HYPERLINK(CONCATENATE("#Metadata!", ADDRESS(INDEX($AJ$2:$AJ$1001,MATCH(ROWS($AH$2:AH789),$AH$2:$AH$1001,0),0), INDEX($AO$1004:$BQ$1004,1,MATCH(COLUMNS($AO$1006:AY1006),$AO$1006:$BQ$1006,0)))),"Fix")))</f>
        <v>#N/A</v>
      </c>
      <c r="M789" s="5" t="e">
        <f ca="1">IF(OR(INDEX($AI$2:$AI$1001,MATCH(ROWS($AH$2:AH789),$AH$2:$AH$1001,0),1)&gt;=100000,INDEX($AO$1005:$BQ$1005,1,MATCH(COLUMNS($AO$1006:AZ1006),$AO$1006:$BQ$1006,0))&gt;=100000), " ",IF(INDEX($AO$2:$BQ$1001,MATCH(ROWS($AH$2:AH789),$AH$2:$AH$1001,0),MATCH(COLUMNS($AO$1006:AZ1006),$AO$1006:$BQ$1006,0)), HYPERLINK("#",""), HYPERLINK(CONCATENATE("#Metadata!", ADDRESS(INDEX($AJ$2:$AJ$1001,MATCH(ROWS($AH$2:AH789),$AH$2:$AH$1001,0),0), INDEX($AO$1004:$BQ$1004,1,MATCH(COLUMNS($AO$1006:AZ1006),$AO$1006:$BQ$1006,0)))),"Fix")))</f>
        <v>#N/A</v>
      </c>
      <c r="N789" s="5" t="e">
        <f ca="1">IF(OR(INDEX($AI$2:$AI$1001,MATCH(ROWS($AH$2:AH789),$AH$2:$AH$1001,0),1)&gt;=100000,INDEX($AO$1005:$BQ$1005,1,MATCH(COLUMNS($AO$1006:BA1006),$AO$1006:$BQ$1006,0))&gt;=100000), " ",IF(INDEX($AO$2:$BQ$1001,MATCH(ROWS($AH$2:AH789),$AH$2:$AH$1001,0),MATCH(COLUMNS($AO$1006:BA1006),$AO$1006:$BQ$1006,0)), HYPERLINK("#",""), HYPERLINK(CONCATENATE("#Metadata!", ADDRESS(INDEX($AJ$2:$AJ$1001,MATCH(ROWS($AH$2:AH789),$AH$2:$AH$1001,0),0), INDEX($AO$1004:$BQ$1004,1,MATCH(COLUMNS($AO$1006:BA1006),$AO$1006:$BQ$1006,0)))),"Fix")))</f>
        <v>#N/A</v>
      </c>
      <c r="O789" s="5" t="e">
        <f ca="1">IF(OR(INDEX($AI$2:$AI$1001,MATCH(ROWS($AH$2:AH789),$AH$2:$AH$1001,0),1)&gt;=100000,INDEX($AO$1005:$BQ$1005,1,MATCH(COLUMNS($AO$1006:BB1006),$AO$1006:$BQ$1006,0))&gt;=100000), " ",IF(INDEX($AO$2:$BQ$1001,MATCH(ROWS($AH$2:AH789),$AH$2:$AH$1001,0),MATCH(COLUMNS($AO$1006:BB1006),$AO$1006:$BQ$1006,0)), HYPERLINK("#",""), HYPERLINK(CONCATENATE("#Metadata!", ADDRESS(INDEX($AJ$2:$AJ$1001,MATCH(ROWS($AH$2:AH789),$AH$2:$AH$1001,0),0), INDEX($AO$1004:$BQ$1004,1,MATCH(COLUMNS($AO$1006:BB1006),$AO$1006:$BQ$1006,0)))),"Fix")))</f>
        <v>#N/A</v>
      </c>
      <c r="P789" s="5" t="e">
        <f ca="1">IF(OR(INDEX($AI$2:$AI$1001,MATCH(ROWS($AH$2:AH789),$AH$2:$AH$1001,0),1)&gt;=100000,INDEX($AO$1005:$BQ$1005,1,MATCH(COLUMNS($AO$1006:BC1006),$AO$1006:$BQ$1006,0))&gt;=100000), " ",IF(INDEX($AO$2:$BQ$1001,MATCH(ROWS($AH$2:AH789),$AH$2:$AH$1001,0),MATCH(COLUMNS($AO$1006:BC1006),$AO$1006:$BQ$1006,0)), HYPERLINK("#",""), HYPERLINK(CONCATENATE("#Metadata!", ADDRESS(INDEX($AJ$2:$AJ$1001,MATCH(ROWS($AH$2:AH789),$AH$2:$AH$1001,0),0), INDEX($AO$1004:$BQ$1004,1,MATCH(COLUMNS($AO$1006:BC1006),$AO$1006:$BQ$1006,0)))),"Fix")))</f>
        <v>#N/A</v>
      </c>
      <c r="Q789" s="5" t="e">
        <f ca="1">IF(OR(INDEX($AI$2:$AI$1001,MATCH(ROWS($AH$2:AH789),$AH$2:$AH$1001,0),1)&gt;=100000,INDEX($AO$1005:$BQ$1005,1,MATCH(COLUMNS($AO$1006:BD1006),$AO$1006:$BQ$1006,0))&gt;=100000), " ",IF(INDEX($AO$2:$BQ$1001,MATCH(ROWS($AH$2:AH789),$AH$2:$AH$1001,0),MATCH(COLUMNS($AO$1006:BD1006),$AO$1006:$BQ$1006,0)), HYPERLINK("#",""), HYPERLINK(CONCATENATE("#Metadata!", ADDRESS(INDEX($AJ$2:$AJ$1001,MATCH(ROWS($AH$2:AH789),$AH$2:$AH$1001,0),0), INDEX($AO$1004:$BQ$1004,1,MATCH(COLUMNS($AO$1006:BD1006),$AO$1006:$BQ$1006,0)))),"Fix")))</f>
        <v>#N/A</v>
      </c>
      <c r="R789" s="5" t="e">
        <f ca="1">IF(OR(INDEX($AI$2:$AI$1001,MATCH(ROWS($AH$2:AH789),$AH$2:$AH$1001,0),1)&gt;=100000,INDEX($AO$1005:$BQ$1005,1,MATCH(COLUMNS($AO$1006:BE1006),$AO$1006:$BQ$1006,0))&gt;=100000), " ",IF(INDEX($AO$2:$BQ$1001,MATCH(ROWS($AH$2:AH789),$AH$2:$AH$1001,0),MATCH(COLUMNS($AO$1006:BE1006),$AO$1006:$BQ$1006,0)), HYPERLINK("#",""), HYPERLINK(CONCATENATE("#Metadata!", ADDRESS(INDEX($AJ$2:$AJ$1001,MATCH(ROWS($AH$2:AH789),$AH$2:$AH$1001,0),0), INDEX($AO$1004:$BQ$1004,1,MATCH(COLUMNS($AO$1006:BE1006),$AO$1006:$BQ$1006,0)))),"Fix")))</f>
        <v>#N/A</v>
      </c>
      <c r="S789" s="5" t="e">
        <f ca="1">IF(OR(INDEX($AI$2:$AI$1001,MATCH(ROWS($AH$2:AH789),$AH$2:$AH$1001,0),1)&gt;=100000,INDEX($AO$1005:$BQ$1005,1,MATCH(COLUMNS($AO$1006:BF1006),$AO$1006:$BQ$1006,0))&gt;=100000), " ",IF(INDEX($AO$2:$BQ$1001,MATCH(ROWS($AH$2:AH789),$AH$2:$AH$1001,0),MATCH(COLUMNS($AO$1006:BF1006),$AO$1006:$BQ$1006,0)), HYPERLINK("#",""), HYPERLINK(CONCATENATE("#Metadata!", ADDRESS(INDEX($AJ$2:$AJ$1001,MATCH(ROWS($AH$2:AH789),$AH$2:$AH$1001,0),0), INDEX($AO$1004:$BQ$1004,1,MATCH(COLUMNS($AO$1006:BF1006),$AO$1006:$BQ$1006,0)))),"Fix")))</f>
        <v>#N/A</v>
      </c>
      <c r="T789" s="5" t="e">
        <f ca="1">IF(OR(INDEX($AI$2:$AI$1001,MATCH(ROWS($AH$2:AH789),$AH$2:$AH$1001,0),1)&gt;=100000,INDEX($AO$1005:$BQ$1005,1,MATCH(COLUMNS($AO$1006:BG1006),$AO$1006:$BQ$1006,0))&gt;=100000), " ",IF(INDEX($AO$2:$BQ$1001,MATCH(ROWS($AH$2:AH789),$AH$2:$AH$1001,0),MATCH(COLUMNS($AO$1006:BG1006),$AO$1006:$BQ$1006,0)), HYPERLINK("#",""), HYPERLINK(CONCATENATE("#Metadata!", ADDRESS(INDEX($AJ$2:$AJ$1001,MATCH(ROWS($AH$2:AH789),$AH$2:$AH$1001,0),0), INDEX($AO$1004:$BQ$1004,1,MATCH(COLUMNS($AO$1006:BG1006),$AO$1006:$BQ$1006,0)))),"Fix")))</f>
        <v>#N/A</v>
      </c>
      <c r="U789" s="5" t="e">
        <f ca="1">IF(OR(INDEX($AI$2:$AI$1001,MATCH(ROWS($AH$2:AH789),$AH$2:$AH$1001,0),1)&gt;=100000,INDEX($AO$1005:$BQ$1005,1,MATCH(COLUMNS($AO$1006:BH1006),$AO$1006:$BQ$1006,0))&gt;=100000), " ",IF(INDEX($AO$2:$BQ$1001,MATCH(ROWS($AH$2:AH789),$AH$2:$AH$1001,0),MATCH(COLUMNS($AO$1006:BH1006),$AO$1006:$BQ$1006,0)), HYPERLINK("#",""), HYPERLINK(CONCATENATE("#Metadata!", ADDRESS(INDEX($AJ$2:$AJ$1001,MATCH(ROWS($AH$2:AH789),$AH$2:$AH$1001,0),0), INDEX($AO$1004:$BQ$1004,1,MATCH(COLUMNS($AO$1006:BH1006),$AO$1006:$BQ$1006,0)))),"Fix")))</f>
        <v>#N/A</v>
      </c>
      <c r="V789" s="5" t="e">
        <f ca="1">IF(OR(INDEX($AI$2:$AI$1001,MATCH(ROWS($AH$2:AH789),$AH$2:$AH$1001,0),1)&gt;=100000,INDEX($AO$1005:$BQ$1005,1,MATCH(COLUMNS($AO$1006:BI1006),$AO$1006:$BQ$1006,0))&gt;=100000), " ",IF(INDEX($AO$2:$BQ$1001,MATCH(ROWS($AH$2:AH789),$AH$2:$AH$1001,0),MATCH(COLUMNS($AO$1006:BI1006),$AO$1006:$BQ$1006,0)), HYPERLINK("#",""), HYPERLINK(CONCATENATE("#Metadata!", ADDRESS(INDEX($AJ$2:$AJ$1001,MATCH(ROWS($AH$2:AH789),$AH$2:$AH$1001,0),0), INDEX($AO$1004:$BQ$1004,1,MATCH(COLUMNS($AO$1006:BI1006),$AO$1006:$BQ$1006,0)))),"Fix")))</f>
        <v>#N/A</v>
      </c>
      <c r="W789" s="5" t="e">
        <f ca="1">IF(OR(INDEX($AI$2:$AI$1001,MATCH(ROWS($AH$2:AH789),$AH$2:$AH$1001,0),1)&gt;=100000,INDEX($AO$1005:$BQ$1005,1,MATCH(COLUMNS($AO$1006:BJ1006),$AO$1006:$BQ$1006,0))&gt;=100000), " ",IF(INDEX($AO$2:$BQ$1001,MATCH(ROWS($AH$2:AH789),$AH$2:$AH$1001,0),MATCH(COLUMNS($AO$1006:BJ1006),$AO$1006:$BQ$1006,0)), HYPERLINK("#",""), HYPERLINK(CONCATENATE("#Metadata!", ADDRESS(INDEX($AJ$2:$AJ$1001,MATCH(ROWS($AH$2:AH789),$AH$2:$AH$1001,0),0), INDEX($AO$1004:$BQ$1004,1,MATCH(COLUMNS($AO$1006:BJ1006),$AO$1006:$BQ$1006,0)))),"Fix")))</f>
        <v>#N/A</v>
      </c>
      <c r="X789" s="5" t="e">
        <f ca="1">IF(OR(INDEX($AI$2:$AI$1001,MATCH(ROWS($AH$2:AH789),$AH$2:$AH$1001,0),1)&gt;=100000,INDEX($AO$1005:$BQ$1005,1,MATCH(COLUMNS($AO$1006:BK1006),$AO$1006:$BQ$1006,0))&gt;=100000), " ",IF(INDEX($AO$2:$BQ$1001,MATCH(ROWS($AH$2:AH789),$AH$2:$AH$1001,0),MATCH(COLUMNS($AO$1006:BK1006),$AO$1006:$BQ$1006,0)), HYPERLINK("#",""), HYPERLINK(CONCATENATE("#Metadata!", ADDRESS(INDEX($AJ$2:$AJ$1001,MATCH(ROWS($AH$2:AH789),$AH$2:$AH$1001,0),0), INDEX($AO$1004:$BQ$1004,1,MATCH(COLUMNS($AO$1006:BK1006),$AO$1006:$BQ$1006,0)))),"Fix")))</f>
        <v>#N/A</v>
      </c>
      <c r="Y789" s="5" t="e">
        <f ca="1">IF(OR(INDEX($AI$2:$AI$1001,MATCH(ROWS($AH$2:AH789),$AH$2:$AH$1001,0),1)&gt;=100000,INDEX($AO$1005:$BQ$1005,1,MATCH(COLUMNS($AO$1006:BL1006),$AO$1006:$BQ$1006,0))&gt;=100000), " ",IF(INDEX($AO$2:$BQ$1001,MATCH(ROWS($AH$2:AH789),$AH$2:$AH$1001,0),MATCH(COLUMNS($AO$1006:BL1006),$AO$1006:$BQ$1006,0)), HYPERLINK("#",""), HYPERLINK(CONCATENATE("#Metadata!", ADDRESS(INDEX($AJ$2:$AJ$1001,MATCH(ROWS($AH$2:AH789),$AH$2:$AH$1001,0),0), INDEX($AO$1004:$BQ$1004,1,MATCH(COLUMNS($AO$1006:BL1006),$AO$1006:$BQ$1006,0)))),"Fix")))</f>
        <v>#N/A</v>
      </c>
      <c r="Z789" s="5" t="e">
        <f ca="1">IF(OR(INDEX($AI$2:$AI$1001,MATCH(ROWS($AH$2:AH789),$AH$2:$AH$1001,0),1)&gt;=100000,INDEX($AO$1005:$BQ$1005,1,MATCH(COLUMNS($AO$1006:BM1006),$AO$1006:$BQ$1006,0))&gt;=100000), " ",IF(INDEX($AO$2:$BQ$1001,MATCH(ROWS($AH$2:AH789),$AH$2:$AH$1001,0),MATCH(COLUMNS($AO$1006:BM1006),$AO$1006:$BQ$1006,0)), HYPERLINK("#",""), HYPERLINK(CONCATENATE("#Metadata!", ADDRESS(INDEX($AJ$2:$AJ$1001,MATCH(ROWS($AH$2:AH789),$AH$2:$AH$1001,0),0), INDEX($AO$1004:$BQ$1004,1,MATCH(COLUMNS($AO$1006:BM1006),$AO$1006:$BQ$1006,0)))),"Fix")))</f>
        <v>#N/A</v>
      </c>
      <c r="AA789" s="5" t="e">
        <f ca="1">IF(OR(INDEX($AI$2:$AI$1001,MATCH(ROWS($AH$2:AH789),$AH$2:$AH$1001,0),1)&gt;=100000,INDEX($AO$1005:$BQ$1005,1,MATCH(COLUMNS($AO$1006:BN1006),$AO$1006:$BQ$1006,0))&gt;=100000), " ",IF(INDEX($AO$2:$BQ$1001,MATCH(ROWS($AH$2:AH789),$AH$2:$AH$1001,0),MATCH(COLUMNS($AO$1006:BN1006),$AO$1006:$BQ$1006,0)), HYPERLINK("#",""), HYPERLINK(CONCATENATE("#Metadata!", ADDRESS(INDEX($AJ$2:$AJ$1001,MATCH(ROWS($AH$2:AH789),$AH$2:$AH$1001,0),0), INDEX($AO$1004:$BQ$1004,1,MATCH(COLUMNS($AO$1006:BN1006),$AO$1006:$BQ$1006,0)))),"Fix")))</f>
        <v>#N/A</v>
      </c>
      <c r="AB789" s="5" t="e">
        <f ca="1">IF(OR(INDEX($AI$2:$AI$1001,MATCH(ROWS($AH$2:AH789),$AH$2:$AH$1001,0),1)&gt;=100000,INDEX($AO$1005:$BQ$1005,1,MATCH(COLUMNS($AO$1006:BO1006),$AO$1006:$BQ$1006,0))&gt;=100000), " ",IF(INDEX($AO$2:$BQ$1001,MATCH(ROWS($AH$2:AH789),$AH$2:$AH$1001,0),MATCH(COLUMNS($AO$1006:BO1006),$AO$1006:$BQ$1006,0)), HYPERLINK("#",""), HYPERLINK(CONCATENATE("#Metadata!", ADDRESS(INDEX($AJ$2:$AJ$1001,MATCH(ROWS($AH$2:AH789),$AH$2:$AH$1001,0),0), INDEX($AO$1004:$BQ$1004,1,MATCH(COLUMNS($AO$1006:BO1006),$AO$1006:$BQ$1006,0)))),"Fix")))</f>
        <v>#N/A</v>
      </c>
      <c r="AC789" s="5" t="e">
        <f ca="1">IF(OR(INDEX($AI$2:$AI$1001,MATCH(ROWS($AH$2:AH789),$AH$2:$AH$1001,0),1)&gt;=100000,INDEX($AO$1005:$BQ$1005,1,MATCH(COLUMNS($AO$1006:BP1006),$AO$1006:$BQ$1006,0))&gt;=100000), " ",IF(INDEX($AO$2:$BQ$1001,MATCH(ROWS($AH$2:AH789),$AH$2:$AH$1001,0),MATCH(COLUMNS($AO$1006:BP1006),$AO$1006:$BQ$1006,0)), HYPERLINK("#",""), HYPERLINK(CONCATENATE("#Metadata!", ADDRESS(INDEX($AJ$2:$AJ$1001,MATCH(ROWS($AH$2:AH789),$AH$2:$AH$1001,0),0), INDEX($AO$1004:$BQ$1004,1,MATCH(COLUMNS($AO$1006:BP1006),$AO$1006:$BQ$1006,0)))),"Fix")))</f>
        <v>#N/A</v>
      </c>
      <c r="AD789" s="5" t="e">
        <f ca="1">IF(OR(INDEX($AI$2:$AI$1001,MATCH(ROWS($AH$2:AH789),$AH$2:$AH$1001,0),1)&gt;=100000,INDEX($AO$1005:$BQ$1005,1,MATCH(COLUMNS($AO$1006:BQ1006),$AO$1006:$BQ$1006,0))&gt;=100000), " ",IF(INDEX($AO$2:$BQ$1001,MATCH(ROWS($AH$2:AH789),$AH$2:$AH$1001,0),MATCH(COLUMNS($AO$1006:BQ1006),$AO$1006:$BQ$1006,0)), HYPERLINK("#",""), HYPERLINK(CONCATENATE("#Metadata!", ADDRESS(INDEX($AJ$2:$AJ$1001,MATCH(ROWS($AH$2:AH789),$AH$2:$AH$1001,0),0), INDEX($AO$1004:$BQ$1004,1,MATCH(COLUMNS($AO$1006:BQ1006),$AO$1006:$BQ$1006,0)))),"Fix")))</f>
        <v>#REF!</v>
      </c>
      <c r="AH789">
        <f ca="1"/>
        <v>786</v>
      </c>
      <c r="AI789">
        <v>100789</v>
      </c>
      <c r="AJ789">
        <v>789</v>
      </c>
      <c r="AK789" t="b">
        <f t="shared" si="12"/>
        <v>1</v>
      </c>
      <c r="AL789" t="b">
        <f>COUNTBLANK(Metadata!B789:AD789)=COLUMNS(Metadata!B789:AD789)</f>
        <v>1</v>
      </c>
      <c r="AM789" t="str">
        <v/>
      </c>
      <c r="AO789" t="b">
        <f ca="1">AND(IF(Metadata!B789="",FALSE,TRUE),COUNTIF(Metadata!B:B, Metadata!B789) = 1,NOT(ISERROR(SUMPRODUCT(SEARCH(MID(Metadata!B789,ROW(INDIRECT("1:"&amp;LEN(Metadata!B789))), 1),"0123456789abcdefghijklmnopqrstuvwxyzABCDEFGHIJKLMNOPQRSTUVWXYZ.")))))</f>
        <v>0</v>
      </c>
      <c r="AP789" t="b">
        <f>IF(Metadata!C789="",FALSE,TRUE)</f>
        <v>0</v>
      </c>
      <c r="AQ789" t="b">
        <f>IF(Metadata!D789="",FALSE,TRUE)</f>
        <v>0</v>
      </c>
      <c r="AR789" t="b">
        <f ca="1">OR(AND(IF(Metadata!E789="",FALSE,TRUE),OR(EXACT(Metadata!E789,"not collected"),EXACT(Metadata!E789,"not provided"),EXACT(Metadata!E789,"restricted access"))),AND(IF(Metadata!E789="",FALSE,TRUE),AND(AND(IFERROR(INT(LEFT(Metadata!E789,4))&gt;1900,FALSE),IFERROR(INT(LEFT(Metadata!E789,4))&lt;=YEAR(NOW()),FALSE)), OR(MID(Metadata!E789,5,1)="", AND(AND(MID(Metadata!E789,5,1)="-",IFERROR(INT(MID(Metadata!E789,6,1))&gt;=0,FALSE),IFERROR(INT(MID(Metadata!E789,6,1))&lt;=1,FALSE),NOT(MID(Metadata!E789,7,1)=""),IFERROR(INT(MID(Metadata!E789,6,2))&gt;=1,FALSE),IFERROR(INT(MID(Metadata!E789,6,2))&lt;=12,FALSE)), OR(MID(Metadata!E789,8,1)="", AND(AND(MID(Metadata!E789,8,1)="-",IFERROR(INT(MID(Metadata!E789,9,1))&gt;=0,FALSE),IFERROR(INT(MID(Metadata!E789,9,1))&lt;=3,FALSE),NOT(MID(Metadata!E789,10,1)=""),IFERROR(INT(MID(Metadata!E789,9,2))&gt;=1,FALSE),IFERROR(INT(MID(Metadata!E789,9,2))&lt;=31,FALSE)), OR(MID(Metadata!E789,11,1)="", AND(AND(MID(Metadata!E789,11,1)=" ",IFERROR(INT(MID(Metadata!E789,12,1))&gt;=0,FALSE),IFERROR(INT(MID(Metadata!E789,12,1))&lt;=2,FALSE),NOT(MID(Metadata!E789,13,1)=""),IFERROR(INT(MID(Metadata!E789,12,2))&gt;=0,FALSE),IFERROR(INT(MID(Metadata!E789,12,2))&lt;=23,FALSE)), OR(MID(Metadata!E789,14,1)="", AND(AND(MID(Metadata!E789,14,1)=":",IFERROR(INT(MID(Metadata!E789,15,1))&gt;=0,FALSE),IFERROR(INT(MID(Metadata!E789,15,1))&lt;=5,FALSE),NOT(MID(Metadata!E789,16,1)=""),IFERROR(INT(MID(Metadata!E789,15,2))&gt;=0,FALSE),IFERROR(INT(MID(Metadata!E789,15,2))&lt;=59,FALSE)), OR(MID(Metadata!E789,17,1)="", AND(AND(MID(Metadata!E789,17,1)=":",IFERROR(INT(MID(Metadata!E789,18,1))&gt;=0,FALSE),IFERROR(INT(MID(Metadata!E789,18,1))&lt;=5,FALSE),NOT(MID(Metadata!E789,19,1)=""),IFERROR(INT(MID(Metadata!E789,18,2))&gt;=0,FALSE),IFERROR(INT(MID(Metadata!E789,18,2))&lt;=59,FALSE)), LEN(Metadata!E789)&lt;=19)))))))))))))</f>
        <v>0</v>
      </c>
      <c r="AS789" t="b">
        <f>IF(Metadata!F789="",FALSE,TRUE)</f>
        <v>0</v>
      </c>
      <c r="AT789" t="b">
        <f>OR(AND(IF(Metadata!G789="",FALSE,TRUE),OR(EXACT(Metadata!G789,"not collected"),EXACT(Metadata!G789,"not provided"))),AND(IF(Metadata!G789="",FALSE,TRUE),OR(EXACT(Metadata!G789,"TRUE"),EXACT(Metadata!G789,"FALSE"))))</f>
        <v>0</v>
      </c>
      <c r="AU789" t="b">
        <f>OR(AND(IF(Metadata!H789="",FALSE,TRUE),OR(EXACT(Metadata!H789,"not collected"),EXACT(Metadata!H789,"not provided"),EXACT(Metadata!H789,"restricted access"))),AND(IF(Metadata!H789="",FALSE,ISNUMBER(VALUE(Metadata!H789))),Metadata!H789&gt;=-413))</f>
        <v>0</v>
      </c>
      <c r="AV789" t="b">
        <f>AND(IF(Metadata!I789="",FALSE,TRUE),EXACT(Metadata!I789,"meters"))</f>
        <v>0</v>
      </c>
      <c r="AW789" t="b">
        <f>AND(IF(Metadata!J789="",FALSE,TRUE),EXACT(Metadata!J789,"free-living"))</f>
        <v>0</v>
      </c>
      <c r="AX789" t="b">
        <f>AND(IF(Metadata!K789="",FALSE,TRUE),OR(EXACT(Metadata!K789,"saline"),EXACT(Metadata!K789,"non-saline")))</f>
        <v>0</v>
      </c>
      <c r="AY789" t="b">
        <f>AND(IF(Metadata!L789="",FALSE,TRUE),OR(EXACT(Metadata!L789,"sub-surface (non-saline)"),EXACT(Metadata!L789,"surface (non-saline)"),EXACT(Metadata!L789,"water (non-saline)"),EXACT(Metadata!L789,"soil (non-saline)"),EXACT(Metadata!L789,"aerosol (non-saline)"),EXACT(Metadata!L789,"sediment (non-saline)"),EXACT(Metadata!L789,"surface (saline)"),EXACT(Metadata!L789,"water (saline)"),EXACT(Metadata!L789,"hypersaline (saline)"),EXACT(Metadata!L789,"aerosol (saline)"),EXACT(Metadata!L789,"sediment (saline)")))</f>
        <v>0</v>
      </c>
      <c r="AZ789" t="b">
        <f>IF(Metadata!M789="",FALSE,TRUE)</f>
        <v>0</v>
      </c>
      <c r="BA789" t="b">
        <f>IF(Metadata!N789="",FALSE,TRUE)</f>
        <v>0</v>
      </c>
      <c r="BB789" t="b">
        <f>IF(Metadata!O789="",FALSE,TRUE)</f>
        <v>0</v>
      </c>
      <c r="BC789" t="b">
        <f>AND(IF(Metadata!P789="",FALSE,TRUE),OR(EXACT(Metadata!P789,"air"),EXACT(Metadata!P789,"microbial mat/biofilm"),EXACT(Metadata!P789,"misc environment"),EXACT(Metadata!P789,"sediment"),EXACT(Metadata!P789,"soil"),EXACT(Metadata!P789,"wastewater/sludge"),EXACT(Metadata!P789,"water")))</f>
        <v>0</v>
      </c>
      <c r="BD789" t="b">
        <f>IF(Metadata!Q789="",FALSE,TRUE)</f>
        <v>0</v>
      </c>
      <c r="BE789" t="b">
        <f>IF(Metadata!R789="",FALSE,TRUE)</f>
        <v>0</v>
      </c>
      <c r="BF789" t="b">
        <f>OR(AND(IF(Metadata!S789="",FALSE,TRUE),OR(EXACT(Metadata!S789,"not collected"),EXACT(Metadata!S789,"not provided"),EXACT(Metadata!S789,"restricted access"))),AND(IF(Metadata!S789="",FALSE,ISNUMBER(VALUE(Metadata!S789))),Metadata!S789&gt;=-90,Metadata!S789&lt;=90))</f>
        <v>0</v>
      </c>
      <c r="BG789" t="b">
        <f>AND(IF(Metadata!T789="",FALSE,TRUE),EXACT(Metadata!T789,"Decimal degrees"))</f>
        <v>0</v>
      </c>
      <c r="BH789" t="b">
        <f>OR(AND(IF(Metadata!U789="",FALSE,TRUE),OR(EXACT(Metadata!U789,"not applicable"),EXACT(Metadata!U789,"not collected"))),IF(Metadata!U789="",FALSE,TRUE))</f>
        <v>0</v>
      </c>
      <c r="BI789" t="b">
        <f>OR(AND(IF(Metadata!V789="",FALSE,TRUE),OR(EXACT(Metadata!V789,"not collected"),EXACT(Metadata!V789,"not provided"),EXACT(Metadata!V789,"restricted access"))),AND(IF(Metadata!V789="",FALSE,ISNUMBER(VALUE(Metadata!V789))),Metadata!V789&gt;=-180,Metadata!V789&lt;=180))</f>
        <v>0</v>
      </c>
      <c r="BJ789" t="b">
        <f>AND(IF(Metadata!W789="",FALSE,TRUE),EXACT(Metadata!W789,"Decimal degrees"))</f>
        <v>0</v>
      </c>
      <c r="BK789" t="b">
        <f>IF(Metadata!X789="",FALSE,TRUE)</f>
        <v>0</v>
      </c>
      <c r="BL789" t="b">
        <f>OR(AND(IF(Metadata!Y789="",FALSE,TRUE),OR(EXACT(Metadata!Y789,"not collected"),EXACT(Metadata!Y789,"not provided"),EXACT(Metadata!Y789,"restricted access"))),AND(IF(Metadata!Y789="",FALSE,TRUE),OR(EXACT(Metadata!Y789,"TRUE"),EXACT(Metadata!Y789,"FALSE"))))</f>
        <v>0</v>
      </c>
      <c r="BM789" t="b">
        <f>OR(AND(IF(Metadata!Z789="",FALSE,TRUE),EXACT(Metadata!Z789,"not applicable")),AND(IF(Metadata!Z789="",FALSE,TRUE),OR(EXACT(Metadata!Z789,"beer"),EXACT(Metadata!Z789,"cheese"),EXACT(Metadata!Z789,"fresh water"),EXACT(Metadata!Z789,"marine sediment"),EXACT(Metadata!Z789,"sea water"),EXACT(Metadata!Z789,"sediment"),EXACT(Metadata!Z789,"soil"),EXACT(Metadata!Z789,"waste water"))))</f>
        <v>0</v>
      </c>
      <c r="BN789" t="b">
        <f>AND(IF(Metadata!AA789="",FALSE,TRUE),EXACT(Metadata!AA789,"metagenome"))</f>
        <v>0</v>
      </c>
      <c r="BO789" t="b">
        <f>AND(IF(Metadata!AB789="",FALSE,TRUE),EXACT(Metadata!AB789,"256318"))</f>
        <v>0</v>
      </c>
      <c r="BP789" t="b">
        <f>IF(Metadata!AC789="",FALSE,TRUE)</f>
        <v>0</v>
      </c>
      <c r="BQ789" t="b">
        <f>IF(Metadata!AD789="",FALSE,TRUE)</f>
        <v>0</v>
      </c>
    </row>
    <row r="790" spans="1:69" x14ac:dyDescent="0.2">
      <c r="A790" s="4" t="e">
        <f ca="1">IF(B790=" "," ",HYPERLINK(CONCATENATE("#metadata!",ADDRESS(INDEX($AJ$2:$AJ$1001,MATCH(ROWS($AH$2:AH790),$AH$2:$AH$1001,0),0),2)),INDEX($AM$2:$AM$1001,MATCH(ROWS($AH$2:AH790),$AH$2:$AH$1001,0),0)))</f>
        <v>#N/A</v>
      </c>
      <c r="B790" s="5" t="e">
        <f ca="1">IF(OR(INDEX($AI$2:$AI$1001,MATCH(ROWS($AH$2:AH790),$AH$2:$AH$1001,0),1)&gt;=100000,INDEX($AO$1005:$BQ$1005,1,MATCH(COLUMNS($AO$1006:AO1006),$AO$1006:$BQ$1006,0))&gt;=100000), " ",IF(INDEX($AO$2:$BQ$1001,MATCH(ROWS($AH$2:AH790),$AH$2:$AH$1001,0),MATCH(COLUMNS($AO$1006:AO1006),$AO$1006:$BQ$1006,0)), HYPERLINK("#",""), HYPERLINK(CONCATENATE("#Metadata!", ADDRESS(INDEX($AJ$2:$AJ$1001,MATCH(ROWS($AH$2:AH790),$AH$2:$AH$1001,0),0), INDEX($AO$1004:$BQ$1004,1,MATCH(COLUMNS($AO$1006:AO1006),$AO$1006:$BQ$1006,0)))),"Fix")))</f>
        <v>#N/A</v>
      </c>
      <c r="C790" s="5" t="e">
        <f ca="1">IF(OR(INDEX($AI$2:$AI$1001,MATCH(ROWS($AH$2:AH790),$AH$2:$AH$1001,0),1)&gt;=100000,INDEX($AO$1005:$BQ$1005,1,MATCH(COLUMNS($AO$1006:AP1006),$AO$1006:$BQ$1006,0))&gt;=100000), " ",IF(INDEX($AO$2:$BQ$1001,MATCH(ROWS($AH$2:AH790),$AH$2:$AH$1001,0),MATCH(COLUMNS($AO$1006:AP1006),$AO$1006:$BQ$1006,0)), HYPERLINK("#",""), HYPERLINK(CONCATENATE("#Metadata!", ADDRESS(INDEX($AJ$2:$AJ$1001,MATCH(ROWS($AH$2:AH790),$AH$2:$AH$1001,0),0), INDEX($AO$1004:$BQ$1004,1,MATCH(COLUMNS($AO$1006:AP1006),$AO$1006:$BQ$1006,0)))),"Fix")))</f>
        <v>#N/A</v>
      </c>
      <c r="D790" s="5" t="e">
        <f ca="1">IF(OR(INDEX($AI$2:$AI$1001,MATCH(ROWS($AH$2:AH790),$AH$2:$AH$1001,0),1)&gt;=100000,INDEX($AO$1005:$BQ$1005,1,MATCH(COLUMNS($AO$1006:AQ1006),$AO$1006:$BQ$1006,0))&gt;=100000), " ",IF(INDEX($AO$2:$BQ$1001,MATCH(ROWS($AH$2:AH790),$AH$2:$AH$1001,0),MATCH(COLUMNS($AO$1006:AQ1006),$AO$1006:$BQ$1006,0)), HYPERLINK("#",""), HYPERLINK(CONCATENATE("#Metadata!", ADDRESS(INDEX($AJ$2:$AJ$1001,MATCH(ROWS($AH$2:AH790),$AH$2:$AH$1001,0),0), INDEX($AO$1004:$BQ$1004,1,MATCH(COLUMNS($AO$1006:AQ1006),$AO$1006:$BQ$1006,0)))),"Fix")))</f>
        <v>#N/A</v>
      </c>
      <c r="E790" s="5" t="e">
        <f ca="1">IF(OR(INDEX($AI$2:$AI$1001,MATCH(ROWS($AH$2:AH790),$AH$2:$AH$1001,0),1)&gt;=100000,INDEX($AO$1005:$BQ$1005,1,MATCH(COLUMNS($AO$1006:AR1006),$AO$1006:$BQ$1006,0))&gt;=100000), " ",IF(INDEX($AO$2:$BQ$1001,MATCH(ROWS($AH$2:AH790),$AH$2:$AH$1001,0),MATCH(COLUMNS($AO$1006:AR1006),$AO$1006:$BQ$1006,0)), HYPERLINK("#",""), HYPERLINK(CONCATENATE("#Metadata!", ADDRESS(INDEX($AJ$2:$AJ$1001,MATCH(ROWS($AH$2:AH790),$AH$2:$AH$1001,0),0), INDEX($AO$1004:$BQ$1004,1,MATCH(COLUMNS($AO$1006:AR1006),$AO$1006:$BQ$1006,0)))),"Fix")))</f>
        <v>#N/A</v>
      </c>
      <c r="F790" s="5" t="e">
        <f ca="1">IF(OR(INDEX($AI$2:$AI$1001,MATCH(ROWS($AH$2:AH790),$AH$2:$AH$1001,0),1)&gt;=100000,INDEX($AO$1005:$BQ$1005,1,MATCH(COLUMNS($AO$1006:AS1006),$AO$1006:$BQ$1006,0))&gt;=100000), " ",IF(INDEX($AO$2:$BQ$1001,MATCH(ROWS($AH$2:AH790),$AH$2:$AH$1001,0),MATCH(COLUMNS($AO$1006:AS1006),$AO$1006:$BQ$1006,0)), HYPERLINK("#",""), HYPERLINK(CONCATENATE("#Metadata!", ADDRESS(INDEX($AJ$2:$AJ$1001,MATCH(ROWS($AH$2:AH790),$AH$2:$AH$1001,0),0), INDEX($AO$1004:$BQ$1004,1,MATCH(COLUMNS($AO$1006:AS1006),$AO$1006:$BQ$1006,0)))),"Fix")))</f>
        <v>#N/A</v>
      </c>
      <c r="G790" s="5" t="e">
        <f ca="1">IF(OR(INDEX($AI$2:$AI$1001,MATCH(ROWS($AH$2:AH790),$AH$2:$AH$1001,0),1)&gt;=100000,INDEX($AO$1005:$BQ$1005,1,MATCH(COLUMNS($AO$1006:AT1006),$AO$1006:$BQ$1006,0))&gt;=100000), " ",IF(INDEX($AO$2:$BQ$1001,MATCH(ROWS($AH$2:AH790),$AH$2:$AH$1001,0),MATCH(COLUMNS($AO$1006:AT1006),$AO$1006:$BQ$1006,0)), HYPERLINK("#",""), HYPERLINK(CONCATENATE("#Metadata!", ADDRESS(INDEX($AJ$2:$AJ$1001,MATCH(ROWS($AH$2:AH790),$AH$2:$AH$1001,0),0), INDEX($AO$1004:$BQ$1004,1,MATCH(COLUMNS($AO$1006:AT1006),$AO$1006:$BQ$1006,0)))),"Fix")))</f>
        <v>#N/A</v>
      </c>
      <c r="H790" s="5" t="e">
        <f ca="1">IF(OR(INDEX($AI$2:$AI$1001,MATCH(ROWS($AH$2:AH790),$AH$2:$AH$1001,0),1)&gt;=100000,INDEX($AO$1005:$BQ$1005,1,MATCH(COLUMNS($AO$1006:AU1006),$AO$1006:$BQ$1006,0))&gt;=100000), " ",IF(INDEX($AO$2:$BQ$1001,MATCH(ROWS($AH$2:AH790),$AH$2:$AH$1001,0),MATCH(COLUMNS($AO$1006:AU1006),$AO$1006:$BQ$1006,0)), HYPERLINK("#",""), HYPERLINK(CONCATENATE("#Metadata!", ADDRESS(INDEX($AJ$2:$AJ$1001,MATCH(ROWS($AH$2:AH790),$AH$2:$AH$1001,0),0), INDEX($AO$1004:$BQ$1004,1,MATCH(COLUMNS($AO$1006:AU1006),$AO$1006:$BQ$1006,0)))),"Fix")))</f>
        <v>#N/A</v>
      </c>
      <c r="I790" s="5" t="e">
        <f ca="1">IF(OR(INDEX($AI$2:$AI$1001,MATCH(ROWS($AH$2:AH790),$AH$2:$AH$1001,0),1)&gt;=100000,INDEX($AO$1005:$BQ$1005,1,MATCH(COLUMNS($AO$1006:AV1006),$AO$1006:$BQ$1006,0))&gt;=100000), " ",IF(INDEX($AO$2:$BQ$1001,MATCH(ROWS($AH$2:AH790),$AH$2:$AH$1001,0),MATCH(COLUMNS($AO$1006:AV1006),$AO$1006:$BQ$1006,0)), HYPERLINK("#",""), HYPERLINK(CONCATENATE("#Metadata!", ADDRESS(INDEX($AJ$2:$AJ$1001,MATCH(ROWS($AH$2:AH790),$AH$2:$AH$1001,0),0), INDEX($AO$1004:$BQ$1004,1,MATCH(COLUMNS($AO$1006:AV1006),$AO$1006:$BQ$1006,0)))),"Fix")))</f>
        <v>#N/A</v>
      </c>
      <c r="J790" s="5" t="e">
        <f ca="1">IF(OR(INDEX($AI$2:$AI$1001,MATCH(ROWS($AH$2:AH790),$AH$2:$AH$1001,0),1)&gt;=100000,INDEX($AO$1005:$BQ$1005,1,MATCH(COLUMNS($AO$1006:AW1006),$AO$1006:$BQ$1006,0))&gt;=100000), " ",IF(INDEX($AO$2:$BQ$1001,MATCH(ROWS($AH$2:AH790),$AH$2:$AH$1001,0),MATCH(COLUMNS($AO$1006:AW1006),$AO$1006:$BQ$1006,0)), HYPERLINK("#",""), HYPERLINK(CONCATENATE("#Metadata!", ADDRESS(INDEX($AJ$2:$AJ$1001,MATCH(ROWS($AH$2:AH790),$AH$2:$AH$1001,0),0), INDEX($AO$1004:$BQ$1004,1,MATCH(COLUMNS($AO$1006:AW1006),$AO$1006:$BQ$1006,0)))),"Fix")))</f>
        <v>#N/A</v>
      </c>
      <c r="K790" s="5" t="e">
        <f ca="1">IF(OR(INDEX($AI$2:$AI$1001,MATCH(ROWS($AH$2:AH790),$AH$2:$AH$1001,0),1)&gt;=100000,INDEX($AO$1005:$BQ$1005,1,MATCH(COLUMNS($AO$1006:AX1006),$AO$1006:$BQ$1006,0))&gt;=100000), " ",IF(INDEX($AO$2:$BQ$1001,MATCH(ROWS($AH$2:AH790),$AH$2:$AH$1001,0),MATCH(COLUMNS($AO$1006:AX1006),$AO$1006:$BQ$1006,0)), HYPERLINK("#",""), HYPERLINK(CONCATENATE("#Metadata!", ADDRESS(INDEX($AJ$2:$AJ$1001,MATCH(ROWS($AH$2:AH790),$AH$2:$AH$1001,0),0), INDEX($AO$1004:$BQ$1004,1,MATCH(COLUMNS($AO$1006:AX1006),$AO$1006:$BQ$1006,0)))),"Fix")))</f>
        <v>#N/A</v>
      </c>
      <c r="L790" s="5" t="e">
        <f ca="1">IF(OR(INDEX($AI$2:$AI$1001,MATCH(ROWS($AH$2:AH790),$AH$2:$AH$1001,0),1)&gt;=100000,INDEX($AO$1005:$BQ$1005,1,MATCH(COLUMNS($AO$1006:AY1006),$AO$1006:$BQ$1006,0))&gt;=100000), " ",IF(INDEX($AO$2:$BQ$1001,MATCH(ROWS($AH$2:AH790),$AH$2:$AH$1001,0),MATCH(COLUMNS($AO$1006:AY1006),$AO$1006:$BQ$1006,0)), HYPERLINK("#",""), HYPERLINK(CONCATENATE("#Metadata!", ADDRESS(INDEX($AJ$2:$AJ$1001,MATCH(ROWS($AH$2:AH790),$AH$2:$AH$1001,0),0), INDEX($AO$1004:$BQ$1004,1,MATCH(COLUMNS($AO$1006:AY1006),$AO$1006:$BQ$1006,0)))),"Fix")))</f>
        <v>#N/A</v>
      </c>
      <c r="M790" s="5" t="e">
        <f ca="1">IF(OR(INDEX($AI$2:$AI$1001,MATCH(ROWS($AH$2:AH790),$AH$2:$AH$1001,0),1)&gt;=100000,INDEX($AO$1005:$BQ$1005,1,MATCH(COLUMNS($AO$1006:AZ1006),$AO$1006:$BQ$1006,0))&gt;=100000), " ",IF(INDEX($AO$2:$BQ$1001,MATCH(ROWS($AH$2:AH790),$AH$2:$AH$1001,0),MATCH(COLUMNS($AO$1006:AZ1006),$AO$1006:$BQ$1006,0)), HYPERLINK("#",""), HYPERLINK(CONCATENATE("#Metadata!", ADDRESS(INDEX($AJ$2:$AJ$1001,MATCH(ROWS($AH$2:AH790),$AH$2:$AH$1001,0),0), INDEX($AO$1004:$BQ$1004,1,MATCH(COLUMNS($AO$1006:AZ1006),$AO$1006:$BQ$1006,0)))),"Fix")))</f>
        <v>#N/A</v>
      </c>
      <c r="N790" s="5" t="e">
        <f ca="1">IF(OR(INDEX($AI$2:$AI$1001,MATCH(ROWS($AH$2:AH790),$AH$2:$AH$1001,0),1)&gt;=100000,INDEX($AO$1005:$BQ$1005,1,MATCH(COLUMNS($AO$1006:BA1006),$AO$1006:$BQ$1006,0))&gt;=100000), " ",IF(INDEX($AO$2:$BQ$1001,MATCH(ROWS($AH$2:AH790),$AH$2:$AH$1001,0),MATCH(COLUMNS($AO$1006:BA1006),$AO$1006:$BQ$1006,0)), HYPERLINK("#",""), HYPERLINK(CONCATENATE("#Metadata!", ADDRESS(INDEX($AJ$2:$AJ$1001,MATCH(ROWS($AH$2:AH790),$AH$2:$AH$1001,0),0), INDEX($AO$1004:$BQ$1004,1,MATCH(COLUMNS($AO$1006:BA1006),$AO$1006:$BQ$1006,0)))),"Fix")))</f>
        <v>#N/A</v>
      </c>
      <c r="O790" s="5" t="e">
        <f ca="1">IF(OR(INDEX($AI$2:$AI$1001,MATCH(ROWS($AH$2:AH790),$AH$2:$AH$1001,0),1)&gt;=100000,INDEX($AO$1005:$BQ$1005,1,MATCH(COLUMNS($AO$1006:BB1006),$AO$1006:$BQ$1006,0))&gt;=100000), " ",IF(INDEX($AO$2:$BQ$1001,MATCH(ROWS($AH$2:AH790),$AH$2:$AH$1001,0),MATCH(COLUMNS($AO$1006:BB1006),$AO$1006:$BQ$1006,0)), HYPERLINK("#",""), HYPERLINK(CONCATENATE("#Metadata!", ADDRESS(INDEX($AJ$2:$AJ$1001,MATCH(ROWS($AH$2:AH790),$AH$2:$AH$1001,0),0), INDEX($AO$1004:$BQ$1004,1,MATCH(COLUMNS($AO$1006:BB1006),$AO$1006:$BQ$1006,0)))),"Fix")))</f>
        <v>#N/A</v>
      </c>
      <c r="P790" s="5" t="e">
        <f ca="1">IF(OR(INDEX($AI$2:$AI$1001,MATCH(ROWS($AH$2:AH790),$AH$2:$AH$1001,0),1)&gt;=100000,INDEX($AO$1005:$BQ$1005,1,MATCH(COLUMNS($AO$1006:BC1006),$AO$1006:$BQ$1006,0))&gt;=100000), " ",IF(INDEX($AO$2:$BQ$1001,MATCH(ROWS($AH$2:AH790),$AH$2:$AH$1001,0),MATCH(COLUMNS($AO$1006:BC1006),$AO$1006:$BQ$1006,0)), HYPERLINK("#",""), HYPERLINK(CONCATENATE("#Metadata!", ADDRESS(INDEX($AJ$2:$AJ$1001,MATCH(ROWS($AH$2:AH790),$AH$2:$AH$1001,0),0), INDEX($AO$1004:$BQ$1004,1,MATCH(COLUMNS($AO$1006:BC1006),$AO$1006:$BQ$1006,0)))),"Fix")))</f>
        <v>#N/A</v>
      </c>
      <c r="Q790" s="5" t="e">
        <f ca="1">IF(OR(INDEX($AI$2:$AI$1001,MATCH(ROWS($AH$2:AH790),$AH$2:$AH$1001,0),1)&gt;=100000,INDEX($AO$1005:$BQ$1005,1,MATCH(COLUMNS($AO$1006:BD1006),$AO$1006:$BQ$1006,0))&gt;=100000), " ",IF(INDEX($AO$2:$BQ$1001,MATCH(ROWS($AH$2:AH790),$AH$2:$AH$1001,0),MATCH(COLUMNS($AO$1006:BD1006),$AO$1006:$BQ$1006,0)), HYPERLINK("#",""), HYPERLINK(CONCATENATE("#Metadata!", ADDRESS(INDEX($AJ$2:$AJ$1001,MATCH(ROWS($AH$2:AH790),$AH$2:$AH$1001,0),0), INDEX($AO$1004:$BQ$1004,1,MATCH(COLUMNS($AO$1006:BD1006),$AO$1006:$BQ$1006,0)))),"Fix")))</f>
        <v>#N/A</v>
      </c>
      <c r="R790" s="5" t="e">
        <f ca="1">IF(OR(INDEX($AI$2:$AI$1001,MATCH(ROWS($AH$2:AH790),$AH$2:$AH$1001,0),1)&gt;=100000,INDEX($AO$1005:$BQ$1005,1,MATCH(COLUMNS($AO$1006:BE1006),$AO$1006:$BQ$1006,0))&gt;=100000), " ",IF(INDEX($AO$2:$BQ$1001,MATCH(ROWS($AH$2:AH790),$AH$2:$AH$1001,0),MATCH(COLUMNS($AO$1006:BE1006),$AO$1006:$BQ$1006,0)), HYPERLINK("#",""), HYPERLINK(CONCATENATE("#Metadata!", ADDRESS(INDEX($AJ$2:$AJ$1001,MATCH(ROWS($AH$2:AH790),$AH$2:$AH$1001,0),0), INDEX($AO$1004:$BQ$1004,1,MATCH(COLUMNS($AO$1006:BE1006),$AO$1006:$BQ$1006,0)))),"Fix")))</f>
        <v>#N/A</v>
      </c>
      <c r="S790" s="5" t="e">
        <f ca="1">IF(OR(INDEX($AI$2:$AI$1001,MATCH(ROWS($AH$2:AH790),$AH$2:$AH$1001,0),1)&gt;=100000,INDEX($AO$1005:$BQ$1005,1,MATCH(COLUMNS($AO$1006:BF1006),$AO$1006:$BQ$1006,0))&gt;=100000), " ",IF(INDEX($AO$2:$BQ$1001,MATCH(ROWS($AH$2:AH790),$AH$2:$AH$1001,0),MATCH(COLUMNS($AO$1006:BF1006),$AO$1006:$BQ$1006,0)), HYPERLINK("#",""), HYPERLINK(CONCATENATE("#Metadata!", ADDRESS(INDEX($AJ$2:$AJ$1001,MATCH(ROWS($AH$2:AH790),$AH$2:$AH$1001,0),0), INDEX($AO$1004:$BQ$1004,1,MATCH(COLUMNS($AO$1006:BF1006),$AO$1006:$BQ$1006,0)))),"Fix")))</f>
        <v>#N/A</v>
      </c>
      <c r="T790" s="5" t="e">
        <f ca="1">IF(OR(INDEX($AI$2:$AI$1001,MATCH(ROWS($AH$2:AH790),$AH$2:$AH$1001,0),1)&gt;=100000,INDEX($AO$1005:$BQ$1005,1,MATCH(COLUMNS($AO$1006:BG1006),$AO$1006:$BQ$1006,0))&gt;=100000), " ",IF(INDEX($AO$2:$BQ$1001,MATCH(ROWS($AH$2:AH790),$AH$2:$AH$1001,0),MATCH(COLUMNS($AO$1006:BG1006),$AO$1006:$BQ$1006,0)), HYPERLINK("#",""), HYPERLINK(CONCATENATE("#Metadata!", ADDRESS(INDEX($AJ$2:$AJ$1001,MATCH(ROWS($AH$2:AH790),$AH$2:$AH$1001,0),0), INDEX($AO$1004:$BQ$1004,1,MATCH(COLUMNS($AO$1006:BG1006),$AO$1006:$BQ$1006,0)))),"Fix")))</f>
        <v>#N/A</v>
      </c>
      <c r="U790" s="5" t="e">
        <f ca="1">IF(OR(INDEX($AI$2:$AI$1001,MATCH(ROWS($AH$2:AH790),$AH$2:$AH$1001,0),1)&gt;=100000,INDEX($AO$1005:$BQ$1005,1,MATCH(COLUMNS($AO$1006:BH1006),$AO$1006:$BQ$1006,0))&gt;=100000), " ",IF(INDEX($AO$2:$BQ$1001,MATCH(ROWS($AH$2:AH790),$AH$2:$AH$1001,0),MATCH(COLUMNS($AO$1006:BH1006),$AO$1006:$BQ$1006,0)), HYPERLINK("#",""), HYPERLINK(CONCATENATE("#Metadata!", ADDRESS(INDEX($AJ$2:$AJ$1001,MATCH(ROWS($AH$2:AH790),$AH$2:$AH$1001,0),0), INDEX($AO$1004:$BQ$1004,1,MATCH(COLUMNS($AO$1006:BH1006),$AO$1006:$BQ$1006,0)))),"Fix")))</f>
        <v>#N/A</v>
      </c>
      <c r="V790" s="5" t="e">
        <f ca="1">IF(OR(INDEX($AI$2:$AI$1001,MATCH(ROWS($AH$2:AH790),$AH$2:$AH$1001,0),1)&gt;=100000,INDEX($AO$1005:$BQ$1005,1,MATCH(COLUMNS($AO$1006:BI1006),$AO$1006:$BQ$1006,0))&gt;=100000), " ",IF(INDEX($AO$2:$BQ$1001,MATCH(ROWS($AH$2:AH790),$AH$2:$AH$1001,0),MATCH(COLUMNS($AO$1006:BI1006),$AO$1006:$BQ$1006,0)), HYPERLINK("#",""), HYPERLINK(CONCATENATE("#Metadata!", ADDRESS(INDEX($AJ$2:$AJ$1001,MATCH(ROWS($AH$2:AH790),$AH$2:$AH$1001,0),0), INDEX($AO$1004:$BQ$1004,1,MATCH(COLUMNS($AO$1006:BI1006),$AO$1006:$BQ$1006,0)))),"Fix")))</f>
        <v>#N/A</v>
      </c>
      <c r="W790" s="5" t="e">
        <f ca="1">IF(OR(INDEX($AI$2:$AI$1001,MATCH(ROWS($AH$2:AH790),$AH$2:$AH$1001,0),1)&gt;=100000,INDEX($AO$1005:$BQ$1005,1,MATCH(COLUMNS($AO$1006:BJ1006),$AO$1006:$BQ$1006,0))&gt;=100000), " ",IF(INDEX($AO$2:$BQ$1001,MATCH(ROWS($AH$2:AH790),$AH$2:$AH$1001,0),MATCH(COLUMNS($AO$1006:BJ1006),$AO$1006:$BQ$1006,0)), HYPERLINK("#",""), HYPERLINK(CONCATENATE("#Metadata!", ADDRESS(INDEX($AJ$2:$AJ$1001,MATCH(ROWS($AH$2:AH790),$AH$2:$AH$1001,0),0), INDEX($AO$1004:$BQ$1004,1,MATCH(COLUMNS($AO$1006:BJ1006),$AO$1006:$BQ$1006,0)))),"Fix")))</f>
        <v>#N/A</v>
      </c>
      <c r="X790" s="5" t="e">
        <f ca="1">IF(OR(INDEX($AI$2:$AI$1001,MATCH(ROWS($AH$2:AH790),$AH$2:$AH$1001,0),1)&gt;=100000,INDEX($AO$1005:$BQ$1005,1,MATCH(COLUMNS($AO$1006:BK1006),$AO$1006:$BQ$1006,0))&gt;=100000), " ",IF(INDEX($AO$2:$BQ$1001,MATCH(ROWS($AH$2:AH790),$AH$2:$AH$1001,0),MATCH(COLUMNS($AO$1006:BK1006),$AO$1006:$BQ$1006,0)), HYPERLINK("#",""), HYPERLINK(CONCATENATE("#Metadata!", ADDRESS(INDEX($AJ$2:$AJ$1001,MATCH(ROWS($AH$2:AH790),$AH$2:$AH$1001,0),0), INDEX($AO$1004:$BQ$1004,1,MATCH(COLUMNS($AO$1006:BK1006),$AO$1006:$BQ$1006,0)))),"Fix")))</f>
        <v>#N/A</v>
      </c>
      <c r="Y790" s="5" t="e">
        <f ca="1">IF(OR(INDEX($AI$2:$AI$1001,MATCH(ROWS($AH$2:AH790),$AH$2:$AH$1001,0),1)&gt;=100000,INDEX($AO$1005:$BQ$1005,1,MATCH(COLUMNS($AO$1006:BL1006),$AO$1006:$BQ$1006,0))&gt;=100000), " ",IF(INDEX($AO$2:$BQ$1001,MATCH(ROWS($AH$2:AH790),$AH$2:$AH$1001,0),MATCH(COLUMNS($AO$1006:BL1006),$AO$1006:$BQ$1006,0)), HYPERLINK("#",""), HYPERLINK(CONCATENATE("#Metadata!", ADDRESS(INDEX($AJ$2:$AJ$1001,MATCH(ROWS($AH$2:AH790),$AH$2:$AH$1001,0),0), INDEX($AO$1004:$BQ$1004,1,MATCH(COLUMNS($AO$1006:BL1006),$AO$1006:$BQ$1006,0)))),"Fix")))</f>
        <v>#N/A</v>
      </c>
      <c r="Z790" s="5" t="e">
        <f ca="1">IF(OR(INDEX($AI$2:$AI$1001,MATCH(ROWS($AH$2:AH790),$AH$2:$AH$1001,0),1)&gt;=100000,INDEX($AO$1005:$BQ$1005,1,MATCH(COLUMNS($AO$1006:BM1006),$AO$1006:$BQ$1006,0))&gt;=100000), " ",IF(INDEX($AO$2:$BQ$1001,MATCH(ROWS($AH$2:AH790),$AH$2:$AH$1001,0),MATCH(COLUMNS($AO$1006:BM1006),$AO$1006:$BQ$1006,0)), HYPERLINK("#",""), HYPERLINK(CONCATENATE("#Metadata!", ADDRESS(INDEX($AJ$2:$AJ$1001,MATCH(ROWS($AH$2:AH790),$AH$2:$AH$1001,0),0), INDEX($AO$1004:$BQ$1004,1,MATCH(COLUMNS($AO$1006:BM1006),$AO$1006:$BQ$1006,0)))),"Fix")))</f>
        <v>#N/A</v>
      </c>
      <c r="AA790" s="5" t="e">
        <f ca="1">IF(OR(INDEX($AI$2:$AI$1001,MATCH(ROWS($AH$2:AH790),$AH$2:$AH$1001,0),1)&gt;=100000,INDEX($AO$1005:$BQ$1005,1,MATCH(COLUMNS($AO$1006:BN1006),$AO$1006:$BQ$1006,0))&gt;=100000), " ",IF(INDEX($AO$2:$BQ$1001,MATCH(ROWS($AH$2:AH790),$AH$2:$AH$1001,0),MATCH(COLUMNS($AO$1006:BN1006),$AO$1006:$BQ$1006,0)), HYPERLINK("#",""), HYPERLINK(CONCATENATE("#Metadata!", ADDRESS(INDEX($AJ$2:$AJ$1001,MATCH(ROWS($AH$2:AH790),$AH$2:$AH$1001,0),0), INDEX($AO$1004:$BQ$1004,1,MATCH(COLUMNS($AO$1006:BN1006),$AO$1006:$BQ$1006,0)))),"Fix")))</f>
        <v>#N/A</v>
      </c>
      <c r="AB790" s="5" t="e">
        <f ca="1">IF(OR(INDEX($AI$2:$AI$1001,MATCH(ROWS($AH$2:AH790),$AH$2:$AH$1001,0),1)&gt;=100000,INDEX($AO$1005:$BQ$1005,1,MATCH(COLUMNS($AO$1006:BO1006),$AO$1006:$BQ$1006,0))&gt;=100000), " ",IF(INDEX($AO$2:$BQ$1001,MATCH(ROWS($AH$2:AH790),$AH$2:$AH$1001,0),MATCH(COLUMNS($AO$1006:BO1006),$AO$1006:$BQ$1006,0)), HYPERLINK("#",""), HYPERLINK(CONCATENATE("#Metadata!", ADDRESS(INDEX($AJ$2:$AJ$1001,MATCH(ROWS($AH$2:AH790),$AH$2:$AH$1001,0),0), INDEX($AO$1004:$BQ$1004,1,MATCH(COLUMNS($AO$1006:BO1006),$AO$1006:$BQ$1006,0)))),"Fix")))</f>
        <v>#N/A</v>
      </c>
      <c r="AC790" s="5" t="e">
        <f ca="1">IF(OR(INDEX($AI$2:$AI$1001,MATCH(ROWS($AH$2:AH790),$AH$2:$AH$1001,0),1)&gt;=100000,INDEX($AO$1005:$BQ$1005,1,MATCH(COLUMNS($AO$1006:BP1006),$AO$1006:$BQ$1006,0))&gt;=100000), " ",IF(INDEX($AO$2:$BQ$1001,MATCH(ROWS($AH$2:AH790),$AH$2:$AH$1001,0),MATCH(COLUMNS($AO$1006:BP1006),$AO$1006:$BQ$1006,0)), HYPERLINK("#",""), HYPERLINK(CONCATENATE("#Metadata!", ADDRESS(INDEX($AJ$2:$AJ$1001,MATCH(ROWS($AH$2:AH790),$AH$2:$AH$1001,0),0), INDEX($AO$1004:$BQ$1004,1,MATCH(COLUMNS($AO$1006:BP1006),$AO$1006:$BQ$1006,0)))),"Fix")))</f>
        <v>#N/A</v>
      </c>
      <c r="AD790" s="5" t="e">
        <f ca="1">IF(OR(INDEX($AI$2:$AI$1001,MATCH(ROWS($AH$2:AH790),$AH$2:$AH$1001,0),1)&gt;=100000,INDEX($AO$1005:$BQ$1005,1,MATCH(COLUMNS($AO$1006:BQ1006),$AO$1006:$BQ$1006,0))&gt;=100000), " ",IF(INDEX($AO$2:$BQ$1001,MATCH(ROWS($AH$2:AH790),$AH$2:$AH$1001,0),MATCH(COLUMNS($AO$1006:BQ1006),$AO$1006:$BQ$1006,0)), HYPERLINK("#",""), HYPERLINK(CONCATENATE("#Metadata!", ADDRESS(INDEX($AJ$2:$AJ$1001,MATCH(ROWS($AH$2:AH790),$AH$2:$AH$1001,0),0), INDEX($AO$1004:$BQ$1004,1,MATCH(COLUMNS($AO$1006:BQ1006),$AO$1006:$BQ$1006,0)))),"Fix")))</f>
        <v>#REF!</v>
      </c>
      <c r="AH790">
        <f ca="1"/>
        <v>787</v>
      </c>
      <c r="AI790">
        <v>100790</v>
      </c>
      <c r="AJ790">
        <v>790</v>
      </c>
      <c r="AK790" t="b">
        <f t="shared" si="12"/>
        <v>1</v>
      </c>
      <c r="AL790" t="b">
        <f>COUNTBLANK(Metadata!B790:AD790)=COLUMNS(Metadata!B790:AD790)</f>
        <v>1</v>
      </c>
      <c r="AM790" t="str">
        <v/>
      </c>
      <c r="AO790" t="b">
        <f ca="1">AND(IF(Metadata!B790="",FALSE,TRUE),COUNTIF(Metadata!B:B, Metadata!B790) = 1,NOT(ISERROR(SUMPRODUCT(SEARCH(MID(Metadata!B790,ROW(INDIRECT("1:"&amp;LEN(Metadata!B790))), 1),"0123456789abcdefghijklmnopqrstuvwxyzABCDEFGHIJKLMNOPQRSTUVWXYZ.")))))</f>
        <v>0</v>
      </c>
      <c r="AP790" t="b">
        <f>IF(Metadata!C790="",FALSE,TRUE)</f>
        <v>0</v>
      </c>
      <c r="AQ790" t="b">
        <f>IF(Metadata!D790="",FALSE,TRUE)</f>
        <v>0</v>
      </c>
      <c r="AR790" t="b">
        <f ca="1">OR(AND(IF(Metadata!E790="",FALSE,TRUE),OR(EXACT(Metadata!E790,"not collected"),EXACT(Metadata!E790,"not provided"),EXACT(Metadata!E790,"restricted access"))),AND(IF(Metadata!E790="",FALSE,TRUE),AND(AND(IFERROR(INT(LEFT(Metadata!E790,4))&gt;1900,FALSE),IFERROR(INT(LEFT(Metadata!E790,4))&lt;=YEAR(NOW()),FALSE)), OR(MID(Metadata!E790,5,1)="", AND(AND(MID(Metadata!E790,5,1)="-",IFERROR(INT(MID(Metadata!E790,6,1))&gt;=0,FALSE),IFERROR(INT(MID(Metadata!E790,6,1))&lt;=1,FALSE),NOT(MID(Metadata!E790,7,1)=""),IFERROR(INT(MID(Metadata!E790,6,2))&gt;=1,FALSE),IFERROR(INT(MID(Metadata!E790,6,2))&lt;=12,FALSE)), OR(MID(Metadata!E790,8,1)="", AND(AND(MID(Metadata!E790,8,1)="-",IFERROR(INT(MID(Metadata!E790,9,1))&gt;=0,FALSE),IFERROR(INT(MID(Metadata!E790,9,1))&lt;=3,FALSE),NOT(MID(Metadata!E790,10,1)=""),IFERROR(INT(MID(Metadata!E790,9,2))&gt;=1,FALSE),IFERROR(INT(MID(Metadata!E790,9,2))&lt;=31,FALSE)), OR(MID(Metadata!E790,11,1)="", AND(AND(MID(Metadata!E790,11,1)=" ",IFERROR(INT(MID(Metadata!E790,12,1))&gt;=0,FALSE),IFERROR(INT(MID(Metadata!E790,12,1))&lt;=2,FALSE),NOT(MID(Metadata!E790,13,1)=""),IFERROR(INT(MID(Metadata!E790,12,2))&gt;=0,FALSE),IFERROR(INT(MID(Metadata!E790,12,2))&lt;=23,FALSE)), OR(MID(Metadata!E790,14,1)="", AND(AND(MID(Metadata!E790,14,1)=":",IFERROR(INT(MID(Metadata!E790,15,1))&gt;=0,FALSE),IFERROR(INT(MID(Metadata!E790,15,1))&lt;=5,FALSE),NOT(MID(Metadata!E790,16,1)=""),IFERROR(INT(MID(Metadata!E790,15,2))&gt;=0,FALSE),IFERROR(INT(MID(Metadata!E790,15,2))&lt;=59,FALSE)), OR(MID(Metadata!E790,17,1)="", AND(AND(MID(Metadata!E790,17,1)=":",IFERROR(INT(MID(Metadata!E790,18,1))&gt;=0,FALSE),IFERROR(INT(MID(Metadata!E790,18,1))&lt;=5,FALSE),NOT(MID(Metadata!E790,19,1)=""),IFERROR(INT(MID(Metadata!E790,18,2))&gt;=0,FALSE),IFERROR(INT(MID(Metadata!E790,18,2))&lt;=59,FALSE)), LEN(Metadata!E790)&lt;=19)))))))))))))</f>
        <v>0</v>
      </c>
      <c r="AS790" t="b">
        <f>IF(Metadata!F790="",FALSE,TRUE)</f>
        <v>0</v>
      </c>
      <c r="AT790" t="b">
        <f>OR(AND(IF(Metadata!G790="",FALSE,TRUE),OR(EXACT(Metadata!G790,"not collected"),EXACT(Metadata!G790,"not provided"))),AND(IF(Metadata!G790="",FALSE,TRUE),OR(EXACT(Metadata!G790,"TRUE"),EXACT(Metadata!G790,"FALSE"))))</f>
        <v>0</v>
      </c>
      <c r="AU790" t="b">
        <f>OR(AND(IF(Metadata!H790="",FALSE,TRUE),OR(EXACT(Metadata!H790,"not collected"),EXACT(Metadata!H790,"not provided"),EXACT(Metadata!H790,"restricted access"))),AND(IF(Metadata!H790="",FALSE,ISNUMBER(VALUE(Metadata!H790))),Metadata!H790&gt;=-413))</f>
        <v>0</v>
      </c>
      <c r="AV790" t="b">
        <f>AND(IF(Metadata!I790="",FALSE,TRUE),EXACT(Metadata!I790,"meters"))</f>
        <v>0</v>
      </c>
      <c r="AW790" t="b">
        <f>AND(IF(Metadata!J790="",FALSE,TRUE),EXACT(Metadata!J790,"free-living"))</f>
        <v>0</v>
      </c>
      <c r="AX790" t="b">
        <f>AND(IF(Metadata!K790="",FALSE,TRUE),OR(EXACT(Metadata!K790,"saline"),EXACT(Metadata!K790,"non-saline")))</f>
        <v>0</v>
      </c>
      <c r="AY790" t="b">
        <f>AND(IF(Metadata!L790="",FALSE,TRUE),OR(EXACT(Metadata!L790,"sub-surface (non-saline)"),EXACT(Metadata!L790,"surface (non-saline)"),EXACT(Metadata!L790,"water (non-saline)"),EXACT(Metadata!L790,"soil (non-saline)"),EXACT(Metadata!L790,"aerosol (non-saline)"),EXACT(Metadata!L790,"sediment (non-saline)"),EXACT(Metadata!L790,"surface (saline)"),EXACT(Metadata!L790,"water (saline)"),EXACT(Metadata!L790,"hypersaline (saline)"),EXACT(Metadata!L790,"aerosol (saline)"),EXACT(Metadata!L790,"sediment (saline)")))</f>
        <v>0</v>
      </c>
      <c r="AZ790" t="b">
        <f>IF(Metadata!M790="",FALSE,TRUE)</f>
        <v>0</v>
      </c>
      <c r="BA790" t="b">
        <f>IF(Metadata!N790="",FALSE,TRUE)</f>
        <v>0</v>
      </c>
      <c r="BB790" t="b">
        <f>IF(Metadata!O790="",FALSE,TRUE)</f>
        <v>0</v>
      </c>
      <c r="BC790" t="b">
        <f>AND(IF(Metadata!P790="",FALSE,TRUE),OR(EXACT(Metadata!P790,"air"),EXACT(Metadata!P790,"microbial mat/biofilm"),EXACT(Metadata!P790,"misc environment"),EXACT(Metadata!P790,"sediment"),EXACT(Metadata!P790,"soil"),EXACT(Metadata!P790,"wastewater/sludge"),EXACT(Metadata!P790,"water")))</f>
        <v>0</v>
      </c>
      <c r="BD790" t="b">
        <f>IF(Metadata!Q790="",FALSE,TRUE)</f>
        <v>0</v>
      </c>
      <c r="BE790" t="b">
        <f>IF(Metadata!R790="",FALSE,TRUE)</f>
        <v>0</v>
      </c>
      <c r="BF790" t="b">
        <f>OR(AND(IF(Metadata!S790="",FALSE,TRUE),OR(EXACT(Metadata!S790,"not collected"),EXACT(Metadata!S790,"not provided"),EXACT(Metadata!S790,"restricted access"))),AND(IF(Metadata!S790="",FALSE,ISNUMBER(VALUE(Metadata!S790))),Metadata!S790&gt;=-90,Metadata!S790&lt;=90))</f>
        <v>0</v>
      </c>
      <c r="BG790" t="b">
        <f>AND(IF(Metadata!T790="",FALSE,TRUE),EXACT(Metadata!T790,"Decimal degrees"))</f>
        <v>0</v>
      </c>
      <c r="BH790" t="b">
        <f>OR(AND(IF(Metadata!U790="",FALSE,TRUE),OR(EXACT(Metadata!U790,"not applicable"),EXACT(Metadata!U790,"not collected"))),IF(Metadata!U790="",FALSE,TRUE))</f>
        <v>0</v>
      </c>
      <c r="BI790" t="b">
        <f>OR(AND(IF(Metadata!V790="",FALSE,TRUE),OR(EXACT(Metadata!V790,"not collected"),EXACT(Metadata!V790,"not provided"),EXACT(Metadata!V790,"restricted access"))),AND(IF(Metadata!V790="",FALSE,ISNUMBER(VALUE(Metadata!V790))),Metadata!V790&gt;=-180,Metadata!V790&lt;=180))</f>
        <v>0</v>
      </c>
      <c r="BJ790" t="b">
        <f>AND(IF(Metadata!W790="",FALSE,TRUE),EXACT(Metadata!W790,"Decimal degrees"))</f>
        <v>0</v>
      </c>
      <c r="BK790" t="b">
        <f>IF(Metadata!X790="",FALSE,TRUE)</f>
        <v>0</v>
      </c>
      <c r="BL790" t="b">
        <f>OR(AND(IF(Metadata!Y790="",FALSE,TRUE),OR(EXACT(Metadata!Y790,"not collected"),EXACT(Metadata!Y790,"not provided"),EXACT(Metadata!Y790,"restricted access"))),AND(IF(Metadata!Y790="",FALSE,TRUE),OR(EXACT(Metadata!Y790,"TRUE"),EXACT(Metadata!Y790,"FALSE"))))</f>
        <v>0</v>
      </c>
      <c r="BM790" t="b">
        <f>OR(AND(IF(Metadata!Z790="",FALSE,TRUE),EXACT(Metadata!Z790,"not applicable")),AND(IF(Metadata!Z790="",FALSE,TRUE),OR(EXACT(Metadata!Z790,"beer"),EXACT(Metadata!Z790,"cheese"),EXACT(Metadata!Z790,"fresh water"),EXACT(Metadata!Z790,"marine sediment"),EXACT(Metadata!Z790,"sea water"),EXACT(Metadata!Z790,"sediment"),EXACT(Metadata!Z790,"soil"),EXACT(Metadata!Z790,"waste water"))))</f>
        <v>0</v>
      </c>
      <c r="BN790" t="b">
        <f>AND(IF(Metadata!AA790="",FALSE,TRUE),EXACT(Metadata!AA790,"metagenome"))</f>
        <v>0</v>
      </c>
      <c r="BO790" t="b">
        <f>AND(IF(Metadata!AB790="",FALSE,TRUE),EXACT(Metadata!AB790,"256318"))</f>
        <v>0</v>
      </c>
      <c r="BP790" t="b">
        <f>IF(Metadata!AC790="",FALSE,TRUE)</f>
        <v>0</v>
      </c>
      <c r="BQ790" t="b">
        <f>IF(Metadata!AD790="",FALSE,TRUE)</f>
        <v>0</v>
      </c>
    </row>
    <row r="791" spans="1:69" x14ac:dyDescent="0.2">
      <c r="A791" s="4" t="e">
        <f ca="1">IF(B791=" "," ",HYPERLINK(CONCATENATE("#metadata!",ADDRESS(INDEX($AJ$2:$AJ$1001,MATCH(ROWS($AH$2:AH791),$AH$2:$AH$1001,0),0),2)),INDEX($AM$2:$AM$1001,MATCH(ROWS($AH$2:AH791),$AH$2:$AH$1001,0),0)))</f>
        <v>#N/A</v>
      </c>
      <c r="B791" s="5" t="e">
        <f ca="1">IF(OR(INDEX($AI$2:$AI$1001,MATCH(ROWS($AH$2:AH791),$AH$2:$AH$1001,0),1)&gt;=100000,INDEX($AO$1005:$BQ$1005,1,MATCH(COLUMNS($AO$1006:AO1006),$AO$1006:$BQ$1006,0))&gt;=100000), " ",IF(INDEX($AO$2:$BQ$1001,MATCH(ROWS($AH$2:AH791),$AH$2:$AH$1001,0),MATCH(COLUMNS($AO$1006:AO1006),$AO$1006:$BQ$1006,0)), HYPERLINK("#",""), HYPERLINK(CONCATENATE("#Metadata!", ADDRESS(INDEX($AJ$2:$AJ$1001,MATCH(ROWS($AH$2:AH791),$AH$2:$AH$1001,0),0), INDEX($AO$1004:$BQ$1004,1,MATCH(COLUMNS($AO$1006:AO1006),$AO$1006:$BQ$1006,0)))),"Fix")))</f>
        <v>#N/A</v>
      </c>
      <c r="C791" s="5" t="e">
        <f ca="1">IF(OR(INDEX($AI$2:$AI$1001,MATCH(ROWS($AH$2:AH791),$AH$2:$AH$1001,0),1)&gt;=100000,INDEX($AO$1005:$BQ$1005,1,MATCH(COLUMNS($AO$1006:AP1006),$AO$1006:$BQ$1006,0))&gt;=100000), " ",IF(INDEX($AO$2:$BQ$1001,MATCH(ROWS($AH$2:AH791),$AH$2:$AH$1001,0),MATCH(COLUMNS($AO$1006:AP1006),$AO$1006:$BQ$1006,0)), HYPERLINK("#",""), HYPERLINK(CONCATENATE("#Metadata!", ADDRESS(INDEX($AJ$2:$AJ$1001,MATCH(ROWS($AH$2:AH791),$AH$2:$AH$1001,0),0), INDEX($AO$1004:$BQ$1004,1,MATCH(COLUMNS($AO$1006:AP1006),$AO$1006:$BQ$1006,0)))),"Fix")))</f>
        <v>#N/A</v>
      </c>
      <c r="D791" s="5" t="e">
        <f ca="1">IF(OR(INDEX($AI$2:$AI$1001,MATCH(ROWS($AH$2:AH791),$AH$2:$AH$1001,0),1)&gt;=100000,INDEX($AO$1005:$BQ$1005,1,MATCH(COLUMNS($AO$1006:AQ1006),$AO$1006:$BQ$1006,0))&gt;=100000), " ",IF(INDEX($AO$2:$BQ$1001,MATCH(ROWS($AH$2:AH791),$AH$2:$AH$1001,0),MATCH(COLUMNS($AO$1006:AQ1006),$AO$1006:$BQ$1006,0)), HYPERLINK("#",""), HYPERLINK(CONCATENATE("#Metadata!", ADDRESS(INDEX($AJ$2:$AJ$1001,MATCH(ROWS($AH$2:AH791),$AH$2:$AH$1001,0),0), INDEX($AO$1004:$BQ$1004,1,MATCH(COLUMNS($AO$1006:AQ1006),$AO$1006:$BQ$1006,0)))),"Fix")))</f>
        <v>#N/A</v>
      </c>
      <c r="E791" s="5" t="e">
        <f ca="1">IF(OR(INDEX($AI$2:$AI$1001,MATCH(ROWS($AH$2:AH791),$AH$2:$AH$1001,0),1)&gt;=100000,INDEX($AO$1005:$BQ$1005,1,MATCH(COLUMNS($AO$1006:AR1006),$AO$1006:$BQ$1006,0))&gt;=100000), " ",IF(INDEX($AO$2:$BQ$1001,MATCH(ROWS($AH$2:AH791),$AH$2:$AH$1001,0),MATCH(COLUMNS($AO$1006:AR1006),$AO$1006:$BQ$1006,0)), HYPERLINK("#",""), HYPERLINK(CONCATENATE("#Metadata!", ADDRESS(INDEX($AJ$2:$AJ$1001,MATCH(ROWS($AH$2:AH791),$AH$2:$AH$1001,0),0), INDEX($AO$1004:$BQ$1004,1,MATCH(COLUMNS($AO$1006:AR1006),$AO$1006:$BQ$1006,0)))),"Fix")))</f>
        <v>#N/A</v>
      </c>
      <c r="F791" s="5" t="e">
        <f ca="1">IF(OR(INDEX($AI$2:$AI$1001,MATCH(ROWS($AH$2:AH791),$AH$2:$AH$1001,0),1)&gt;=100000,INDEX($AO$1005:$BQ$1005,1,MATCH(COLUMNS($AO$1006:AS1006),$AO$1006:$BQ$1006,0))&gt;=100000), " ",IF(INDEX($AO$2:$BQ$1001,MATCH(ROWS($AH$2:AH791),$AH$2:$AH$1001,0),MATCH(COLUMNS($AO$1006:AS1006),$AO$1006:$BQ$1006,0)), HYPERLINK("#",""), HYPERLINK(CONCATENATE("#Metadata!", ADDRESS(INDEX($AJ$2:$AJ$1001,MATCH(ROWS($AH$2:AH791),$AH$2:$AH$1001,0),0), INDEX($AO$1004:$BQ$1004,1,MATCH(COLUMNS($AO$1006:AS1006),$AO$1006:$BQ$1006,0)))),"Fix")))</f>
        <v>#N/A</v>
      </c>
      <c r="G791" s="5" t="e">
        <f ca="1">IF(OR(INDEX($AI$2:$AI$1001,MATCH(ROWS($AH$2:AH791),$AH$2:$AH$1001,0),1)&gt;=100000,INDEX($AO$1005:$BQ$1005,1,MATCH(COLUMNS($AO$1006:AT1006),$AO$1006:$BQ$1006,0))&gt;=100000), " ",IF(INDEX($AO$2:$BQ$1001,MATCH(ROWS($AH$2:AH791),$AH$2:$AH$1001,0),MATCH(COLUMNS($AO$1006:AT1006),$AO$1006:$BQ$1006,0)), HYPERLINK("#",""), HYPERLINK(CONCATENATE("#Metadata!", ADDRESS(INDEX($AJ$2:$AJ$1001,MATCH(ROWS($AH$2:AH791),$AH$2:$AH$1001,0),0), INDEX($AO$1004:$BQ$1004,1,MATCH(COLUMNS($AO$1006:AT1006),$AO$1006:$BQ$1006,0)))),"Fix")))</f>
        <v>#N/A</v>
      </c>
      <c r="H791" s="5" t="e">
        <f ca="1">IF(OR(INDEX($AI$2:$AI$1001,MATCH(ROWS($AH$2:AH791),$AH$2:$AH$1001,0),1)&gt;=100000,INDEX($AO$1005:$BQ$1005,1,MATCH(COLUMNS($AO$1006:AU1006),$AO$1006:$BQ$1006,0))&gt;=100000), " ",IF(INDEX($AO$2:$BQ$1001,MATCH(ROWS($AH$2:AH791),$AH$2:$AH$1001,0),MATCH(COLUMNS($AO$1006:AU1006),$AO$1006:$BQ$1006,0)), HYPERLINK("#",""), HYPERLINK(CONCATENATE("#Metadata!", ADDRESS(INDEX($AJ$2:$AJ$1001,MATCH(ROWS($AH$2:AH791),$AH$2:$AH$1001,0),0), INDEX($AO$1004:$BQ$1004,1,MATCH(COLUMNS($AO$1006:AU1006),$AO$1006:$BQ$1006,0)))),"Fix")))</f>
        <v>#N/A</v>
      </c>
      <c r="I791" s="5" t="e">
        <f ca="1">IF(OR(INDEX($AI$2:$AI$1001,MATCH(ROWS($AH$2:AH791),$AH$2:$AH$1001,0),1)&gt;=100000,INDEX($AO$1005:$BQ$1005,1,MATCH(COLUMNS($AO$1006:AV1006),$AO$1006:$BQ$1006,0))&gt;=100000), " ",IF(INDEX($AO$2:$BQ$1001,MATCH(ROWS($AH$2:AH791),$AH$2:$AH$1001,0),MATCH(COLUMNS($AO$1006:AV1006),$AO$1006:$BQ$1006,0)), HYPERLINK("#",""), HYPERLINK(CONCATENATE("#Metadata!", ADDRESS(INDEX($AJ$2:$AJ$1001,MATCH(ROWS($AH$2:AH791),$AH$2:$AH$1001,0),0), INDEX($AO$1004:$BQ$1004,1,MATCH(COLUMNS($AO$1006:AV1006),$AO$1006:$BQ$1006,0)))),"Fix")))</f>
        <v>#N/A</v>
      </c>
      <c r="J791" s="5" t="e">
        <f ca="1">IF(OR(INDEX($AI$2:$AI$1001,MATCH(ROWS($AH$2:AH791),$AH$2:$AH$1001,0),1)&gt;=100000,INDEX($AO$1005:$BQ$1005,1,MATCH(COLUMNS($AO$1006:AW1006),$AO$1006:$BQ$1006,0))&gt;=100000), " ",IF(INDEX($AO$2:$BQ$1001,MATCH(ROWS($AH$2:AH791),$AH$2:$AH$1001,0),MATCH(COLUMNS($AO$1006:AW1006),$AO$1006:$BQ$1006,0)), HYPERLINK("#",""), HYPERLINK(CONCATENATE("#Metadata!", ADDRESS(INDEX($AJ$2:$AJ$1001,MATCH(ROWS($AH$2:AH791),$AH$2:$AH$1001,0),0), INDEX($AO$1004:$BQ$1004,1,MATCH(COLUMNS($AO$1006:AW1006),$AO$1006:$BQ$1006,0)))),"Fix")))</f>
        <v>#N/A</v>
      </c>
      <c r="K791" s="5" t="e">
        <f ca="1">IF(OR(INDEX($AI$2:$AI$1001,MATCH(ROWS($AH$2:AH791),$AH$2:$AH$1001,0),1)&gt;=100000,INDEX($AO$1005:$BQ$1005,1,MATCH(COLUMNS($AO$1006:AX1006),$AO$1006:$BQ$1006,0))&gt;=100000), " ",IF(INDEX($AO$2:$BQ$1001,MATCH(ROWS($AH$2:AH791),$AH$2:$AH$1001,0),MATCH(COLUMNS($AO$1006:AX1006),$AO$1006:$BQ$1006,0)), HYPERLINK("#",""), HYPERLINK(CONCATENATE("#Metadata!", ADDRESS(INDEX($AJ$2:$AJ$1001,MATCH(ROWS($AH$2:AH791),$AH$2:$AH$1001,0),0), INDEX($AO$1004:$BQ$1004,1,MATCH(COLUMNS($AO$1006:AX1006),$AO$1006:$BQ$1006,0)))),"Fix")))</f>
        <v>#N/A</v>
      </c>
      <c r="L791" s="5" t="e">
        <f ca="1">IF(OR(INDEX($AI$2:$AI$1001,MATCH(ROWS($AH$2:AH791),$AH$2:$AH$1001,0),1)&gt;=100000,INDEX($AO$1005:$BQ$1005,1,MATCH(COLUMNS($AO$1006:AY1006),$AO$1006:$BQ$1006,0))&gt;=100000), " ",IF(INDEX($AO$2:$BQ$1001,MATCH(ROWS($AH$2:AH791),$AH$2:$AH$1001,0),MATCH(COLUMNS($AO$1006:AY1006),$AO$1006:$BQ$1006,0)), HYPERLINK("#",""), HYPERLINK(CONCATENATE("#Metadata!", ADDRESS(INDEX($AJ$2:$AJ$1001,MATCH(ROWS($AH$2:AH791),$AH$2:$AH$1001,0),0), INDEX($AO$1004:$BQ$1004,1,MATCH(COLUMNS($AO$1006:AY1006),$AO$1006:$BQ$1006,0)))),"Fix")))</f>
        <v>#N/A</v>
      </c>
      <c r="M791" s="5" t="e">
        <f ca="1">IF(OR(INDEX($AI$2:$AI$1001,MATCH(ROWS($AH$2:AH791),$AH$2:$AH$1001,0),1)&gt;=100000,INDEX($AO$1005:$BQ$1005,1,MATCH(COLUMNS($AO$1006:AZ1006),$AO$1006:$BQ$1006,0))&gt;=100000), " ",IF(INDEX($AO$2:$BQ$1001,MATCH(ROWS($AH$2:AH791),$AH$2:$AH$1001,0),MATCH(COLUMNS($AO$1006:AZ1006),$AO$1006:$BQ$1006,0)), HYPERLINK("#",""), HYPERLINK(CONCATENATE("#Metadata!", ADDRESS(INDEX($AJ$2:$AJ$1001,MATCH(ROWS($AH$2:AH791),$AH$2:$AH$1001,0),0), INDEX($AO$1004:$BQ$1004,1,MATCH(COLUMNS($AO$1006:AZ1006),$AO$1006:$BQ$1006,0)))),"Fix")))</f>
        <v>#N/A</v>
      </c>
      <c r="N791" s="5" t="e">
        <f ca="1">IF(OR(INDEX($AI$2:$AI$1001,MATCH(ROWS($AH$2:AH791),$AH$2:$AH$1001,0),1)&gt;=100000,INDEX($AO$1005:$BQ$1005,1,MATCH(COLUMNS($AO$1006:BA1006),$AO$1006:$BQ$1006,0))&gt;=100000), " ",IF(INDEX($AO$2:$BQ$1001,MATCH(ROWS($AH$2:AH791),$AH$2:$AH$1001,0),MATCH(COLUMNS($AO$1006:BA1006),$AO$1006:$BQ$1006,0)), HYPERLINK("#",""), HYPERLINK(CONCATENATE("#Metadata!", ADDRESS(INDEX($AJ$2:$AJ$1001,MATCH(ROWS($AH$2:AH791),$AH$2:$AH$1001,0),0), INDEX($AO$1004:$BQ$1004,1,MATCH(COLUMNS($AO$1006:BA1006),$AO$1006:$BQ$1006,0)))),"Fix")))</f>
        <v>#N/A</v>
      </c>
      <c r="O791" s="5" t="e">
        <f ca="1">IF(OR(INDEX($AI$2:$AI$1001,MATCH(ROWS($AH$2:AH791),$AH$2:$AH$1001,0),1)&gt;=100000,INDEX($AO$1005:$BQ$1005,1,MATCH(COLUMNS($AO$1006:BB1006),$AO$1006:$BQ$1006,0))&gt;=100000), " ",IF(INDEX($AO$2:$BQ$1001,MATCH(ROWS($AH$2:AH791),$AH$2:$AH$1001,0),MATCH(COLUMNS($AO$1006:BB1006),$AO$1006:$BQ$1006,0)), HYPERLINK("#",""), HYPERLINK(CONCATENATE("#Metadata!", ADDRESS(INDEX($AJ$2:$AJ$1001,MATCH(ROWS($AH$2:AH791),$AH$2:$AH$1001,0),0), INDEX($AO$1004:$BQ$1004,1,MATCH(COLUMNS($AO$1006:BB1006),$AO$1006:$BQ$1006,0)))),"Fix")))</f>
        <v>#N/A</v>
      </c>
      <c r="P791" s="5" t="e">
        <f ca="1">IF(OR(INDEX($AI$2:$AI$1001,MATCH(ROWS($AH$2:AH791),$AH$2:$AH$1001,0),1)&gt;=100000,INDEX($AO$1005:$BQ$1005,1,MATCH(COLUMNS($AO$1006:BC1006),$AO$1006:$BQ$1006,0))&gt;=100000), " ",IF(INDEX($AO$2:$BQ$1001,MATCH(ROWS($AH$2:AH791),$AH$2:$AH$1001,0),MATCH(COLUMNS($AO$1006:BC1006),$AO$1006:$BQ$1006,0)), HYPERLINK("#",""), HYPERLINK(CONCATENATE("#Metadata!", ADDRESS(INDEX($AJ$2:$AJ$1001,MATCH(ROWS($AH$2:AH791),$AH$2:$AH$1001,0),0), INDEX($AO$1004:$BQ$1004,1,MATCH(COLUMNS($AO$1006:BC1006),$AO$1006:$BQ$1006,0)))),"Fix")))</f>
        <v>#N/A</v>
      </c>
      <c r="Q791" s="5" t="e">
        <f ca="1">IF(OR(INDEX($AI$2:$AI$1001,MATCH(ROWS($AH$2:AH791),$AH$2:$AH$1001,0),1)&gt;=100000,INDEX($AO$1005:$BQ$1005,1,MATCH(COLUMNS($AO$1006:BD1006),$AO$1006:$BQ$1006,0))&gt;=100000), " ",IF(INDEX($AO$2:$BQ$1001,MATCH(ROWS($AH$2:AH791),$AH$2:$AH$1001,0),MATCH(COLUMNS($AO$1006:BD1006),$AO$1006:$BQ$1006,0)), HYPERLINK("#",""), HYPERLINK(CONCATENATE("#Metadata!", ADDRESS(INDEX($AJ$2:$AJ$1001,MATCH(ROWS($AH$2:AH791),$AH$2:$AH$1001,0),0), INDEX($AO$1004:$BQ$1004,1,MATCH(COLUMNS($AO$1006:BD1006),$AO$1006:$BQ$1006,0)))),"Fix")))</f>
        <v>#N/A</v>
      </c>
      <c r="R791" s="5" t="e">
        <f ca="1">IF(OR(INDEX($AI$2:$AI$1001,MATCH(ROWS($AH$2:AH791),$AH$2:$AH$1001,0),1)&gt;=100000,INDEX($AO$1005:$BQ$1005,1,MATCH(COLUMNS($AO$1006:BE1006),$AO$1006:$BQ$1006,0))&gt;=100000), " ",IF(INDEX($AO$2:$BQ$1001,MATCH(ROWS($AH$2:AH791),$AH$2:$AH$1001,0),MATCH(COLUMNS($AO$1006:BE1006),$AO$1006:$BQ$1006,0)), HYPERLINK("#",""), HYPERLINK(CONCATENATE("#Metadata!", ADDRESS(INDEX($AJ$2:$AJ$1001,MATCH(ROWS($AH$2:AH791),$AH$2:$AH$1001,0),0), INDEX($AO$1004:$BQ$1004,1,MATCH(COLUMNS($AO$1006:BE1006),$AO$1006:$BQ$1006,0)))),"Fix")))</f>
        <v>#N/A</v>
      </c>
      <c r="S791" s="5" t="e">
        <f ca="1">IF(OR(INDEX($AI$2:$AI$1001,MATCH(ROWS($AH$2:AH791),$AH$2:$AH$1001,0),1)&gt;=100000,INDEX($AO$1005:$BQ$1005,1,MATCH(COLUMNS($AO$1006:BF1006),$AO$1006:$BQ$1006,0))&gt;=100000), " ",IF(INDEX($AO$2:$BQ$1001,MATCH(ROWS($AH$2:AH791),$AH$2:$AH$1001,0),MATCH(COLUMNS($AO$1006:BF1006),$AO$1006:$BQ$1006,0)), HYPERLINK("#",""), HYPERLINK(CONCATENATE("#Metadata!", ADDRESS(INDEX($AJ$2:$AJ$1001,MATCH(ROWS($AH$2:AH791),$AH$2:$AH$1001,0),0), INDEX($AO$1004:$BQ$1004,1,MATCH(COLUMNS($AO$1006:BF1006),$AO$1006:$BQ$1006,0)))),"Fix")))</f>
        <v>#N/A</v>
      </c>
      <c r="T791" s="5" t="e">
        <f ca="1">IF(OR(INDEX($AI$2:$AI$1001,MATCH(ROWS($AH$2:AH791),$AH$2:$AH$1001,0),1)&gt;=100000,INDEX($AO$1005:$BQ$1005,1,MATCH(COLUMNS($AO$1006:BG1006),$AO$1006:$BQ$1006,0))&gt;=100000), " ",IF(INDEX($AO$2:$BQ$1001,MATCH(ROWS($AH$2:AH791),$AH$2:$AH$1001,0),MATCH(COLUMNS($AO$1006:BG1006),$AO$1006:$BQ$1006,0)), HYPERLINK("#",""), HYPERLINK(CONCATENATE("#Metadata!", ADDRESS(INDEX($AJ$2:$AJ$1001,MATCH(ROWS($AH$2:AH791),$AH$2:$AH$1001,0),0), INDEX($AO$1004:$BQ$1004,1,MATCH(COLUMNS($AO$1006:BG1006),$AO$1006:$BQ$1006,0)))),"Fix")))</f>
        <v>#N/A</v>
      </c>
      <c r="U791" s="5" t="e">
        <f ca="1">IF(OR(INDEX($AI$2:$AI$1001,MATCH(ROWS($AH$2:AH791),$AH$2:$AH$1001,0),1)&gt;=100000,INDEX($AO$1005:$BQ$1005,1,MATCH(COLUMNS($AO$1006:BH1006),$AO$1006:$BQ$1006,0))&gt;=100000), " ",IF(INDEX($AO$2:$BQ$1001,MATCH(ROWS($AH$2:AH791),$AH$2:$AH$1001,0),MATCH(COLUMNS($AO$1006:BH1006),$AO$1006:$BQ$1006,0)), HYPERLINK("#",""), HYPERLINK(CONCATENATE("#Metadata!", ADDRESS(INDEX($AJ$2:$AJ$1001,MATCH(ROWS($AH$2:AH791),$AH$2:$AH$1001,0),0), INDEX($AO$1004:$BQ$1004,1,MATCH(COLUMNS($AO$1006:BH1006),$AO$1006:$BQ$1006,0)))),"Fix")))</f>
        <v>#N/A</v>
      </c>
      <c r="V791" s="5" t="e">
        <f ca="1">IF(OR(INDEX($AI$2:$AI$1001,MATCH(ROWS($AH$2:AH791),$AH$2:$AH$1001,0),1)&gt;=100000,INDEX($AO$1005:$BQ$1005,1,MATCH(COLUMNS($AO$1006:BI1006),$AO$1006:$BQ$1006,0))&gt;=100000), " ",IF(INDEX($AO$2:$BQ$1001,MATCH(ROWS($AH$2:AH791),$AH$2:$AH$1001,0),MATCH(COLUMNS($AO$1006:BI1006),$AO$1006:$BQ$1006,0)), HYPERLINK("#",""), HYPERLINK(CONCATENATE("#Metadata!", ADDRESS(INDEX($AJ$2:$AJ$1001,MATCH(ROWS($AH$2:AH791),$AH$2:$AH$1001,0),0), INDEX($AO$1004:$BQ$1004,1,MATCH(COLUMNS($AO$1006:BI1006),$AO$1006:$BQ$1006,0)))),"Fix")))</f>
        <v>#N/A</v>
      </c>
      <c r="W791" s="5" t="e">
        <f ca="1">IF(OR(INDEX($AI$2:$AI$1001,MATCH(ROWS($AH$2:AH791),$AH$2:$AH$1001,0),1)&gt;=100000,INDEX($AO$1005:$BQ$1005,1,MATCH(COLUMNS($AO$1006:BJ1006),$AO$1006:$BQ$1006,0))&gt;=100000), " ",IF(INDEX($AO$2:$BQ$1001,MATCH(ROWS($AH$2:AH791),$AH$2:$AH$1001,0),MATCH(COLUMNS($AO$1006:BJ1006),$AO$1006:$BQ$1006,0)), HYPERLINK("#",""), HYPERLINK(CONCATENATE("#Metadata!", ADDRESS(INDEX($AJ$2:$AJ$1001,MATCH(ROWS($AH$2:AH791),$AH$2:$AH$1001,0),0), INDEX($AO$1004:$BQ$1004,1,MATCH(COLUMNS($AO$1006:BJ1006),$AO$1006:$BQ$1006,0)))),"Fix")))</f>
        <v>#N/A</v>
      </c>
      <c r="X791" s="5" t="e">
        <f ca="1">IF(OR(INDEX($AI$2:$AI$1001,MATCH(ROWS($AH$2:AH791),$AH$2:$AH$1001,0),1)&gt;=100000,INDEX($AO$1005:$BQ$1005,1,MATCH(COLUMNS($AO$1006:BK1006),$AO$1006:$BQ$1006,0))&gt;=100000), " ",IF(INDEX($AO$2:$BQ$1001,MATCH(ROWS($AH$2:AH791),$AH$2:$AH$1001,0),MATCH(COLUMNS($AO$1006:BK1006),$AO$1006:$BQ$1006,0)), HYPERLINK("#",""), HYPERLINK(CONCATENATE("#Metadata!", ADDRESS(INDEX($AJ$2:$AJ$1001,MATCH(ROWS($AH$2:AH791),$AH$2:$AH$1001,0),0), INDEX($AO$1004:$BQ$1004,1,MATCH(COLUMNS($AO$1006:BK1006),$AO$1006:$BQ$1006,0)))),"Fix")))</f>
        <v>#N/A</v>
      </c>
      <c r="Y791" s="5" t="e">
        <f ca="1">IF(OR(INDEX($AI$2:$AI$1001,MATCH(ROWS($AH$2:AH791),$AH$2:$AH$1001,0),1)&gt;=100000,INDEX($AO$1005:$BQ$1005,1,MATCH(COLUMNS($AO$1006:BL1006),$AO$1006:$BQ$1006,0))&gt;=100000), " ",IF(INDEX($AO$2:$BQ$1001,MATCH(ROWS($AH$2:AH791),$AH$2:$AH$1001,0),MATCH(COLUMNS($AO$1006:BL1006),$AO$1006:$BQ$1006,0)), HYPERLINK("#",""), HYPERLINK(CONCATENATE("#Metadata!", ADDRESS(INDEX($AJ$2:$AJ$1001,MATCH(ROWS($AH$2:AH791),$AH$2:$AH$1001,0),0), INDEX($AO$1004:$BQ$1004,1,MATCH(COLUMNS($AO$1006:BL1006),$AO$1006:$BQ$1006,0)))),"Fix")))</f>
        <v>#N/A</v>
      </c>
      <c r="Z791" s="5" t="e">
        <f ca="1">IF(OR(INDEX($AI$2:$AI$1001,MATCH(ROWS($AH$2:AH791),$AH$2:$AH$1001,0),1)&gt;=100000,INDEX($AO$1005:$BQ$1005,1,MATCH(COLUMNS($AO$1006:BM1006),$AO$1006:$BQ$1006,0))&gt;=100000), " ",IF(INDEX($AO$2:$BQ$1001,MATCH(ROWS($AH$2:AH791),$AH$2:$AH$1001,0),MATCH(COLUMNS($AO$1006:BM1006),$AO$1006:$BQ$1006,0)), HYPERLINK("#",""), HYPERLINK(CONCATENATE("#Metadata!", ADDRESS(INDEX($AJ$2:$AJ$1001,MATCH(ROWS($AH$2:AH791),$AH$2:$AH$1001,0),0), INDEX($AO$1004:$BQ$1004,1,MATCH(COLUMNS($AO$1006:BM1006),$AO$1006:$BQ$1006,0)))),"Fix")))</f>
        <v>#N/A</v>
      </c>
      <c r="AA791" s="5" t="e">
        <f ca="1">IF(OR(INDEX($AI$2:$AI$1001,MATCH(ROWS($AH$2:AH791),$AH$2:$AH$1001,0),1)&gt;=100000,INDEX($AO$1005:$BQ$1005,1,MATCH(COLUMNS($AO$1006:BN1006),$AO$1006:$BQ$1006,0))&gt;=100000), " ",IF(INDEX($AO$2:$BQ$1001,MATCH(ROWS($AH$2:AH791),$AH$2:$AH$1001,0),MATCH(COLUMNS($AO$1006:BN1006),$AO$1006:$BQ$1006,0)), HYPERLINK("#",""), HYPERLINK(CONCATENATE("#Metadata!", ADDRESS(INDEX($AJ$2:$AJ$1001,MATCH(ROWS($AH$2:AH791),$AH$2:$AH$1001,0),0), INDEX($AO$1004:$BQ$1004,1,MATCH(COLUMNS($AO$1006:BN1006),$AO$1006:$BQ$1006,0)))),"Fix")))</f>
        <v>#N/A</v>
      </c>
      <c r="AB791" s="5" t="e">
        <f ca="1">IF(OR(INDEX($AI$2:$AI$1001,MATCH(ROWS($AH$2:AH791),$AH$2:$AH$1001,0),1)&gt;=100000,INDEX($AO$1005:$BQ$1005,1,MATCH(COLUMNS($AO$1006:BO1006),$AO$1006:$BQ$1006,0))&gt;=100000), " ",IF(INDEX($AO$2:$BQ$1001,MATCH(ROWS($AH$2:AH791),$AH$2:$AH$1001,0),MATCH(COLUMNS($AO$1006:BO1006),$AO$1006:$BQ$1006,0)), HYPERLINK("#",""), HYPERLINK(CONCATENATE("#Metadata!", ADDRESS(INDEX($AJ$2:$AJ$1001,MATCH(ROWS($AH$2:AH791),$AH$2:$AH$1001,0),0), INDEX($AO$1004:$BQ$1004,1,MATCH(COLUMNS($AO$1006:BO1006),$AO$1006:$BQ$1006,0)))),"Fix")))</f>
        <v>#N/A</v>
      </c>
      <c r="AC791" s="5" t="e">
        <f ca="1">IF(OR(INDEX($AI$2:$AI$1001,MATCH(ROWS($AH$2:AH791),$AH$2:$AH$1001,0),1)&gt;=100000,INDEX($AO$1005:$BQ$1005,1,MATCH(COLUMNS($AO$1006:BP1006),$AO$1006:$BQ$1006,0))&gt;=100000), " ",IF(INDEX($AO$2:$BQ$1001,MATCH(ROWS($AH$2:AH791),$AH$2:$AH$1001,0),MATCH(COLUMNS($AO$1006:BP1006),$AO$1006:$BQ$1006,0)), HYPERLINK("#",""), HYPERLINK(CONCATENATE("#Metadata!", ADDRESS(INDEX($AJ$2:$AJ$1001,MATCH(ROWS($AH$2:AH791),$AH$2:$AH$1001,0),0), INDEX($AO$1004:$BQ$1004,1,MATCH(COLUMNS($AO$1006:BP1006),$AO$1006:$BQ$1006,0)))),"Fix")))</f>
        <v>#N/A</v>
      </c>
      <c r="AD791" s="5" t="e">
        <f ca="1">IF(OR(INDEX($AI$2:$AI$1001,MATCH(ROWS($AH$2:AH791),$AH$2:$AH$1001,0),1)&gt;=100000,INDEX($AO$1005:$BQ$1005,1,MATCH(COLUMNS($AO$1006:BQ1006),$AO$1006:$BQ$1006,0))&gt;=100000), " ",IF(INDEX($AO$2:$BQ$1001,MATCH(ROWS($AH$2:AH791),$AH$2:$AH$1001,0),MATCH(COLUMNS($AO$1006:BQ1006),$AO$1006:$BQ$1006,0)), HYPERLINK("#",""), HYPERLINK(CONCATENATE("#Metadata!", ADDRESS(INDEX($AJ$2:$AJ$1001,MATCH(ROWS($AH$2:AH791),$AH$2:$AH$1001,0),0), INDEX($AO$1004:$BQ$1004,1,MATCH(COLUMNS($AO$1006:BQ1006),$AO$1006:$BQ$1006,0)))),"Fix")))</f>
        <v>#REF!</v>
      </c>
      <c r="AH791">
        <f ca="1"/>
        <v>788</v>
      </c>
      <c r="AI791">
        <v>100791</v>
      </c>
      <c r="AJ791">
        <v>791</v>
      </c>
      <c r="AK791" t="b">
        <f t="shared" si="12"/>
        <v>1</v>
      </c>
      <c r="AL791" t="b">
        <f>COUNTBLANK(Metadata!B791:AD791)=COLUMNS(Metadata!B791:AD791)</f>
        <v>1</v>
      </c>
      <c r="AM791" t="str">
        <v/>
      </c>
      <c r="AO791" t="b">
        <f ca="1">AND(IF(Metadata!B791="",FALSE,TRUE),COUNTIF(Metadata!B:B, Metadata!B791) = 1,NOT(ISERROR(SUMPRODUCT(SEARCH(MID(Metadata!B791,ROW(INDIRECT("1:"&amp;LEN(Metadata!B791))), 1),"0123456789abcdefghijklmnopqrstuvwxyzABCDEFGHIJKLMNOPQRSTUVWXYZ.")))))</f>
        <v>0</v>
      </c>
      <c r="AP791" t="b">
        <f>IF(Metadata!C791="",FALSE,TRUE)</f>
        <v>0</v>
      </c>
      <c r="AQ791" t="b">
        <f>IF(Metadata!D791="",FALSE,TRUE)</f>
        <v>0</v>
      </c>
      <c r="AR791" t="b">
        <f ca="1">OR(AND(IF(Metadata!E791="",FALSE,TRUE),OR(EXACT(Metadata!E791,"not collected"),EXACT(Metadata!E791,"not provided"),EXACT(Metadata!E791,"restricted access"))),AND(IF(Metadata!E791="",FALSE,TRUE),AND(AND(IFERROR(INT(LEFT(Metadata!E791,4))&gt;1900,FALSE),IFERROR(INT(LEFT(Metadata!E791,4))&lt;=YEAR(NOW()),FALSE)), OR(MID(Metadata!E791,5,1)="", AND(AND(MID(Metadata!E791,5,1)="-",IFERROR(INT(MID(Metadata!E791,6,1))&gt;=0,FALSE),IFERROR(INT(MID(Metadata!E791,6,1))&lt;=1,FALSE),NOT(MID(Metadata!E791,7,1)=""),IFERROR(INT(MID(Metadata!E791,6,2))&gt;=1,FALSE),IFERROR(INT(MID(Metadata!E791,6,2))&lt;=12,FALSE)), OR(MID(Metadata!E791,8,1)="", AND(AND(MID(Metadata!E791,8,1)="-",IFERROR(INT(MID(Metadata!E791,9,1))&gt;=0,FALSE),IFERROR(INT(MID(Metadata!E791,9,1))&lt;=3,FALSE),NOT(MID(Metadata!E791,10,1)=""),IFERROR(INT(MID(Metadata!E791,9,2))&gt;=1,FALSE),IFERROR(INT(MID(Metadata!E791,9,2))&lt;=31,FALSE)), OR(MID(Metadata!E791,11,1)="", AND(AND(MID(Metadata!E791,11,1)=" ",IFERROR(INT(MID(Metadata!E791,12,1))&gt;=0,FALSE),IFERROR(INT(MID(Metadata!E791,12,1))&lt;=2,FALSE),NOT(MID(Metadata!E791,13,1)=""),IFERROR(INT(MID(Metadata!E791,12,2))&gt;=0,FALSE),IFERROR(INT(MID(Metadata!E791,12,2))&lt;=23,FALSE)), OR(MID(Metadata!E791,14,1)="", AND(AND(MID(Metadata!E791,14,1)=":",IFERROR(INT(MID(Metadata!E791,15,1))&gt;=0,FALSE),IFERROR(INT(MID(Metadata!E791,15,1))&lt;=5,FALSE),NOT(MID(Metadata!E791,16,1)=""),IFERROR(INT(MID(Metadata!E791,15,2))&gt;=0,FALSE),IFERROR(INT(MID(Metadata!E791,15,2))&lt;=59,FALSE)), OR(MID(Metadata!E791,17,1)="", AND(AND(MID(Metadata!E791,17,1)=":",IFERROR(INT(MID(Metadata!E791,18,1))&gt;=0,FALSE),IFERROR(INT(MID(Metadata!E791,18,1))&lt;=5,FALSE),NOT(MID(Metadata!E791,19,1)=""),IFERROR(INT(MID(Metadata!E791,18,2))&gt;=0,FALSE),IFERROR(INT(MID(Metadata!E791,18,2))&lt;=59,FALSE)), LEN(Metadata!E791)&lt;=19)))))))))))))</f>
        <v>0</v>
      </c>
      <c r="AS791" t="b">
        <f>IF(Metadata!F791="",FALSE,TRUE)</f>
        <v>0</v>
      </c>
      <c r="AT791" t="b">
        <f>OR(AND(IF(Metadata!G791="",FALSE,TRUE),OR(EXACT(Metadata!G791,"not collected"),EXACT(Metadata!G791,"not provided"))),AND(IF(Metadata!G791="",FALSE,TRUE),OR(EXACT(Metadata!G791,"TRUE"),EXACT(Metadata!G791,"FALSE"))))</f>
        <v>0</v>
      </c>
      <c r="AU791" t="b">
        <f>OR(AND(IF(Metadata!H791="",FALSE,TRUE),OR(EXACT(Metadata!H791,"not collected"),EXACT(Metadata!H791,"not provided"),EXACT(Metadata!H791,"restricted access"))),AND(IF(Metadata!H791="",FALSE,ISNUMBER(VALUE(Metadata!H791))),Metadata!H791&gt;=-413))</f>
        <v>0</v>
      </c>
      <c r="AV791" t="b">
        <f>AND(IF(Metadata!I791="",FALSE,TRUE),EXACT(Metadata!I791,"meters"))</f>
        <v>0</v>
      </c>
      <c r="AW791" t="b">
        <f>AND(IF(Metadata!J791="",FALSE,TRUE),EXACT(Metadata!J791,"free-living"))</f>
        <v>0</v>
      </c>
      <c r="AX791" t="b">
        <f>AND(IF(Metadata!K791="",FALSE,TRUE),OR(EXACT(Metadata!K791,"saline"),EXACT(Metadata!K791,"non-saline")))</f>
        <v>0</v>
      </c>
      <c r="AY791" t="b">
        <f>AND(IF(Metadata!L791="",FALSE,TRUE),OR(EXACT(Metadata!L791,"sub-surface (non-saline)"),EXACT(Metadata!L791,"surface (non-saline)"),EXACT(Metadata!L791,"water (non-saline)"),EXACT(Metadata!L791,"soil (non-saline)"),EXACT(Metadata!L791,"aerosol (non-saline)"),EXACT(Metadata!L791,"sediment (non-saline)"),EXACT(Metadata!L791,"surface (saline)"),EXACT(Metadata!L791,"water (saline)"),EXACT(Metadata!L791,"hypersaline (saline)"),EXACT(Metadata!L791,"aerosol (saline)"),EXACT(Metadata!L791,"sediment (saline)")))</f>
        <v>0</v>
      </c>
      <c r="AZ791" t="b">
        <f>IF(Metadata!M791="",FALSE,TRUE)</f>
        <v>0</v>
      </c>
      <c r="BA791" t="b">
        <f>IF(Metadata!N791="",FALSE,TRUE)</f>
        <v>0</v>
      </c>
      <c r="BB791" t="b">
        <f>IF(Metadata!O791="",FALSE,TRUE)</f>
        <v>0</v>
      </c>
      <c r="BC791" t="b">
        <f>AND(IF(Metadata!P791="",FALSE,TRUE),OR(EXACT(Metadata!P791,"air"),EXACT(Metadata!P791,"microbial mat/biofilm"),EXACT(Metadata!P791,"misc environment"),EXACT(Metadata!P791,"sediment"),EXACT(Metadata!P791,"soil"),EXACT(Metadata!P791,"wastewater/sludge"),EXACT(Metadata!P791,"water")))</f>
        <v>0</v>
      </c>
      <c r="BD791" t="b">
        <f>IF(Metadata!Q791="",FALSE,TRUE)</f>
        <v>0</v>
      </c>
      <c r="BE791" t="b">
        <f>IF(Metadata!R791="",FALSE,TRUE)</f>
        <v>0</v>
      </c>
      <c r="BF791" t="b">
        <f>OR(AND(IF(Metadata!S791="",FALSE,TRUE),OR(EXACT(Metadata!S791,"not collected"),EXACT(Metadata!S791,"not provided"),EXACT(Metadata!S791,"restricted access"))),AND(IF(Metadata!S791="",FALSE,ISNUMBER(VALUE(Metadata!S791))),Metadata!S791&gt;=-90,Metadata!S791&lt;=90))</f>
        <v>0</v>
      </c>
      <c r="BG791" t="b">
        <f>AND(IF(Metadata!T791="",FALSE,TRUE),EXACT(Metadata!T791,"Decimal degrees"))</f>
        <v>0</v>
      </c>
      <c r="BH791" t="b">
        <f>OR(AND(IF(Metadata!U791="",FALSE,TRUE),OR(EXACT(Metadata!U791,"not applicable"),EXACT(Metadata!U791,"not collected"))),IF(Metadata!U791="",FALSE,TRUE))</f>
        <v>0</v>
      </c>
      <c r="BI791" t="b">
        <f>OR(AND(IF(Metadata!V791="",FALSE,TRUE),OR(EXACT(Metadata!V791,"not collected"),EXACT(Metadata!V791,"not provided"),EXACT(Metadata!V791,"restricted access"))),AND(IF(Metadata!V791="",FALSE,ISNUMBER(VALUE(Metadata!V791))),Metadata!V791&gt;=-180,Metadata!V791&lt;=180))</f>
        <v>0</v>
      </c>
      <c r="BJ791" t="b">
        <f>AND(IF(Metadata!W791="",FALSE,TRUE),EXACT(Metadata!W791,"Decimal degrees"))</f>
        <v>0</v>
      </c>
      <c r="BK791" t="b">
        <f>IF(Metadata!X791="",FALSE,TRUE)</f>
        <v>0</v>
      </c>
      <c r="BL791" t="b">
        <f>OR(AND(IF(Metadata!Y791="",FALSE,TRUE),OR(EXACT(Metadata!Y791,"not collected"),EXACT(Metadata!Y791,"not provided"),EXACT(Metadata!Y791,"restricted access"))),AND(IF(Metadata!Y791="",FALSE,TRUE),OR(EXACT(Metadata!Y791,"TRUE"),EXACT(Metadata!Y791,"FALSE"))))</f>
        <v>0</v>
      </c>
      <c r="BM791" t="b">
        <f>OR(AND(IF(Metadata!Z791="",FALSE,TRUE),EXACT(Metadata!Z791,"not applicable")),AND(IF(Metadata!Z791="",FALSE,TRUE),OR(EXACT(Metadata!Z791,"beer"),EXACT(Metadata!Z791,"cheese"),EXACT(Metadata!Z791,"fresh water"),EXACT(Metadata!Z791,"marine sediment"),EXACT(Metadata!Z791,"sea water"),EXACT(Metadata!Z791,"sediment"),EXACT(Metadata!Z791,"soil"),EXACT(Metadata!Z791,"waste water"))))</f>
        <v>0</v>
      </c>
      <c r="BN791" t="b">
        <f>AND(IF(Metadata!AA791="",FALSE,TRUE),EXACT(Metadata!AA791,"metagenome"))</f>
        <v>0</v>
      </c>
      <c r="BO791" t="b">
        <f>AND(IF(Metadata!AB791="",FALSE,TRUE),EXACT(Metadata!AB791,"256318"))</f>
        <v>0</v>
      </c>
      <c r="BP791" t="b">
        <f>IF(Metadata!AC791="",FALSE,TRUE)</f>
        <v>0</v>
      </c>
      <c r="BQ791" t="b">
        <f>IF(Metadata!AD791="",FALSE,TRUE)</f>
        <v>0</v>
      </c>
    </row>
    <row r="792" spans="1:69" x14ac:dyDescent="0.2">
      <c r="A792" s="4" t="e">
        <f ca="1">IF(B792=" "," ",HYPERLINK(CONCATENATE("#metadata!",ADDRESS(INDEX($AJ$2:$AJ$1001,MATCH(ROWS($AH$2:AH792),$AH$2:$AH$1001,0),0),2)),INDEX($AM$2:$AM$1001,MATCH(ROWS($AH$2:AH792),$AH$2:$AH$1001,0),0)))</f>
        <v>#N/A</v>
      </c>
      <c r="B792" s="5" t="e">
        <f ca="1">IF(OR(INDEX($AI$2:$AI$1001,MATCH(ROWS($AH$2:AH792),$AH$2:$AH$1001,0),1)&gt;=100000,INDEX($AO$1005:$BQ$1005,1,MATCH(COLUMNS($AO$1006:AO1006),$AO$1006:$BQ$1006,0))&gt;=100000), " ",IF(INDEX($AO$2:$BQ$1001,MATCH(ROWS($AH$2:AH792),$AH$2:$AH$1001,0),MATCH(COLUMNS($AO$1006:AO1006),$AO$1006:$BQ$1006,0)), HYPERLINK("#",""), HYPERLINK(CONCATENATE("#Metadata!", ADDRESS(INDEX($AJ$2:$AJ$1001,MATCH(ROWS($AH$2:AH792),$AH$2:$AH$1001,0),0), INDEX($AO$1004:$BQ$1004,1,MATCH(COLUMNS($AO$1006:AO1006),$AO$1006:$BQ$1006,0)))),"Fix")))</f>
        <v>#N/A</v>
      </c>
      <c r="C792" s="5" t="e">
        <f ca="1">IF(OR(INDEX($AI$2:$AI$1001,MATCH(ROWS($AH$2:AH792),$AH$2:$AH$1001,0),1)&gt;=100000,INDEX($AO$1005:$BQ$1005,1,MATCH(COLUMNS($AO$1006:AP1006),$AO$1006:$BQ$1006,0))&gt;=100000), " ",IF(INDEX($AO$2:$BQ$1001,MATCH(ROWS($AH$2:AH792),$AH$2:$AH$1001,0),MATCH(COLUMNS($AO$1006:AP1006),$AO$1006:$BQ$1006,0)), HYPERLINK("#",""), HYPERLINK(CONCATENATE("#Metadata!", ADDRESS(INDEX($AJ$2:$AJ$1001,MATCH(ROWS($AH$2:AH792),$AH$2:$AH$1001,0),0), INDEX($AO$1004:$BQ$1004,1,MATCH(COLUMNS($AO$1006:AP1006),$AO$1006:$BQ$1006,0)))),"Fix")))</f>
        <v>#N/A</v>
      </c>
      <c r="D792" s="5" t="e">
        <f ca="1">IF(OR(INDEX($AI$2:$AI$1001,MATCH(ROWS($AH$2:AH792),$AH$2:$AH$1001,0),1)&gt;=100000,INDEX($AO$1005:$BQ$1005,1,MATCH(COLUMNS($AO$1006:AQ1006),$AO$1006:$BQ$1006,0))&gt;=100000), " ",IF(INDEX($AO$2:$BQ$1001,MATCH(ROWS($AH$2:AH792),$AH$2:$AH$1001,0),MATCH(COLUMNS($AO$1006:AQ1006),$AO$1006:$BQ$1006,0)), HYPERLINK("#",""), HYPERLINK(CONCATENATE("#Metadata!", ADDRESS(INDEX($AJ$2:$AJ$1001,MATCH(ROWS($AH$2:AH792),$AH$2:$AH$1001,0),0), INDEX($AO$1004:$BQ$1004,1,MATCH(COLUMNS($AO$1006:AQ1006),$AO$1006:$BQ$1006,0)))),"Fix")))</f>
        <v>#N/A</v>
      </c>
      <c r="E792" s="5" t="e">
        <f ca="1">IF(OR(INDEX($AI$2:$AI$1001,MATCH(ROWS($AH$2:AH792),$AH$2:$AH$1001,0),1)&gt;=100000,INDEX($AO$1005:$BQ$1005,1,MATCH(COLUMNS($AO$1006:AR1006),$AO$1006:$BQ$1006,0))&gt;=100000), " ",IF(INDEX($AO$2:$BQ$1001,MATCH(ROWS($AH$2:AH792),$AH$2:$AH$1001,0),MATCH(COLUMNS($AO$1006:AR1006),$AO$1006:$BQ$1006,0)), HYPERLINK("#",""), HYPERLINK(CONCATENATE("#Metadata!", ADDRESS(INDEX($AJ$2:$AJ$1001,MATCH(ROWS($AH$2:AH792),$AH$2:$AH$1001,0),0), INDEX($AO$1004:$BQ$1004,1,MATCH(COLUMNS($AO$1006:AR1006),$AO$1006:$BQ$1006,0)))),"Fix")))</f>
        <v>#N/A</v>
      </c>
      <c r="F792" s="5" t="e">
        <f ca="1">IF(OR(INDEX($AI$2:$AI$1001,MATCH(ROWS($AH$2:AH792),$AH$2:$AH$1001,0),1)&gt;=100000,INDEX($AO$1005:$BQ$1005,1,MATCH(COLUMNS($AO$1006:AS1006),$AO$1006:$BQ$1006,0))&gt;=100000), " ",IF(INDEX($AO$2:$BQ$1001,MATCH(ROWS($AH$2:AH792),$AH$2:$AH$1001,0),MATCH(COLUMNS($AO$1006:AS1006),$AO$1006:$BQ$1006,0)), HYPERLINK("#",""), HYPERLINK(CONCATENATE("#Metadata!", ADDRESS(INDEX($AJ$2:$AJ$1001,MATCH(ROWS($AH$2:AH792),$AH$2:$AH$1001,0),0), INDEX($AO$1004:$BQ$1004,1,MATCH(COLUMNS($AO$1006:AS1006),$AO$1006:$BQ$1006,0)))),"Fix")))</f>
        <v>#N/A</v>
      </c>
      <c r="G792" s="5" t="e">
        <f ca="1">IF(OR(INDEX($AI$2:$AI$1001,MATCH(ROWS($AH$2:AH792),$AH$2:$AH$1001,0),1)&gt;=100000,INDEX($AO$1005:$BQ$1005,1,MATCH(COLUMNS($AO$1006:AT1006),$AO$1006:$BQ$1006,0))&gt;=100000), " ",IF(INDEX($AO$2:$BQ$1001,MATCH(ROWS($AH$2:AH792),$AH$2:$AH$1001,0),MATCH(COLUMNS($AO$1006:AT1006),$AO$1006:$BQ$1006,0)), HYPERLINK("#",""), HYPERLINK(CONCATENATE("#Metadata!", ADDRESS(INDEX($AJ$2:$AJ$1001,MATCH(ROWS($AH$2:AH792),$AH$2:$AH$1001,0),0), INDEX($AO$1004:$BQ$1004,1,MATCH(COLUMNS($AO$1006:AT1006),$AO$1006:$BQ$1006,0)))),"Fix")))</f>
        <v>#N/A</v>
      </c>
      <c r="H792" s="5" t="e">
        <f ca="1">IF(OR(INDEX($AI$2:$AI$1001,MATCH(ROWS($AH$2:AH792),$AH$2:$AH$1001,0),1)&gt;=100000,INDEX($AO$1005:$BQ$1005,1,MATCH(COLUMNS($AO$1006:AU1006),$AO$1006:$BQ$1006,0))&gt;=100000), " ",IF(INDEX($AO$2:$BQ$1001,MATCH(ROWS($AH$2:AH792),$AH$2:$AH$1001,0),MATCH(COLUMNS($AO$1006:AU1006),$AO$1006:$BQ$1006,0)), HYPERLINK("#",""), HYPERLINK(CONCATENATE("#Metadata!", ADDRESS(INDEX($AJ$2:$AJ$1001,MATCH(ROWS($AH$2:AH792),$AH$2:$AH$1001,0),0), INDEX($AO$1004:$BQ$1004,1,MATCH(COLUMNS($AO$1006:AU1006),$AO$1006:$BQ$1006,0)))),"Fix")))</f>
        <v>#N/A</v>
      </c>
      <c r="I792" s="5" t="e">
        <f ca="1">IF(OR(INDEX($AI$2:$AI$1001,MATCH(ROWS($AH$2:AH792),$AH$2:$AH$1001,0),1)&gt;=100000,INDEX($AO$1005:$BQ$1005,1,MATCH(COLUMNS($AO$1006:AV1006),$AO$1006:$BQ$1006,0))&gt;=100000), " ",IF(INDEX($AO$2:$BQ$1001,MATCH(ROWS($AH$2:AH792),$AH$2:$AH$1001,0),MATCH(COLUMNS($AO$1006:AV1006),$AO$1006:$BQ$1006,0)), HYPERLINK("#",""), HYPERLINK(CONCATENATE("#Metadata!", ADDRESS(INDEX($AJ$2:$AJ$1001,MATCH(ROWS($AH$2:AH792),$AH$2:$AH$1001,0),0), INDEX($AO$1004:$BQ$1004,1,MATCH(COLUMNS($AO$1006:AV1006),$AO$1006:$BQ$1006,0)))),"Fix")))</f>
        <v>#N/A</v>
      </c>
      <c r="J792" s="5" t="e">
        <f ca="1">IF(OR(INDEX($AI$2:$AI$1001,MATCH(ROWS($AH$2:AH792),$AH$2:$AH$1001,0),1)&gt;=100000,INDEX($AO$1005:$BQ$1005,1,MATCH(COLUMNS($AO$1006:AW1006),$AO$1006:$BQ$1006,0))&gt;=100000), " ",IF(INDEX($AO$2:$BQ$1001,MATCH(ROWS($AH$2:AH792),$AH$2:$AH$1001,0),MATCH(COLUMNS($AO$1006:AW1006),$AO$1006:$BQ$1006,0)), HYPERLINK("#",""), HYPERLINK(CONCATENATE("#Metadata!", ADDRESS(INDEX($AJ$2:$AJ$1001,MATCH(ROWS($AH$2:AH792),$AH$2:$AH$1001,0),0), INDEX($AO$1004:$BQ$1004,1,MATCH(COLUMNS($AO$1006:AW1006),$AO$1006:$BQ$1006,0)))),"Fix")))</f>
        <v>#N/A</v>
      </c>
      <c r="K792" s="5" t="e">
        <f ca="1">IF(OR(INDEX($AI$2:$AI$1001,MATCH(ROWS($AH$2:AH792),$AH$2:$AH$1001,0),1)&gt;=100000,INDEX($AO$1005:$BQ$1005,1,MATCH(COLUMNS($AO$1006:AX1006),$AO$1006:$BQ$1006,0))&gt;=100000), " ",IF(INDEX($AO$2:$BQ$1001,MATCH(ROWS($AH$2:AH792),$AH$2:$AH$1001,0),MATCH(COLUMNS($AO$1006:AX1006),$AO$1006:$BQ$1006,0)), HYPERLINK("#",""), HYPERLINK(CONCATENATE("#Metadata!", ADDRESS(INDEX($AJ$2:$AJ$1001,MATCH(ROWS($AH$2:AH792),$AH$2:$AH$1001,0),0), INDEX($AO$1004:$BQ$1004,1,MATCH(COLUMNS($AO$1006:AX1006),$AO$1006:$BQ$1006,0)))),"Fix")))</f>
        <v>#N/A</v>
      </c>
      <c r="L792" s="5" t="e">
        <f ca="1">IF(OR(INDEX($AI$2:$AI$1001,MATCH(ROWS($AH$2:AH792),$AH$2:$AH$1001,0),1)&gt;=100000,INDEX($AO$1005:$BQ$1005,1,MATCH(COLUMNS($AO$1006:AY1006),$AO$1006:$BQ$1006,0))&gt;=100000), " ",IF(INDEX($AO$2:$BQ$1001,MATCH(ROWS($AH$2:AH792),$AH$2:$AH$1001,0),MATCH(COLUMNS($AO$1006:AY1006),$AO$1006:$BQ$1006,0)), HYPERLINK("#",""), HYPERLINK(CONCATENATE("#Metadata!", ADDRESS(INDEX($AJ$2:$AJ$1001,MATCH(ROWS($AH$2:AH792),$AH$2:$AH$1001,0),0), INDEX($AO$1004:$BQ$1004,1,MATCH(COLUMNS($AO$1006:AY1006),$AO$1006:$BQ$1006,0)))),"Fix")))</f>
        <v>#N/A</v>
      </c>
      <c r="M792" s="5" t="e">
        <f ca="1">IF(OR(INDEX($AI$2:$AI$1001,MATCH(ROWS($AH$2:AH792),$AH$2:$AH$1001,0),1)&gt;=100000,INDEX($AO$1005:$BQ$1005,1,MATCH(COLUMNS($AO$1006:AZ1006),$AO$1006:$BQ$1006,0))&gt;=100000), " ",IF(INDEX($AO$2:$BQ$1001,MATCH(ROWS($AH$2:AH792),$AH$2:$AH$1001,0),MATCH(COLUMNS($AO$1006:AZ1006),$AO$1006:$BQ$1006,0)), HYPERLINK("#",""), HYPERLINK(CONCATENATE("#Metadata!", ADDRESS(INDEX($AJ$2:$AJ$1001,MATCH(ROWS($AH$2:AH792),$AH$2:$AH$1001,0),0), INDEX($AO$1004:$BQ$1004,1,MATCH(COLUMNS($AO$1006:AZ1006),$AO$1006:$BQ$1006,0)))),"Fix")))</f>
        <v>#N/A</v>
      </c>
      <c r="N792" s="5" t="e">
        <f ca="1">IF(OR(INDEX($AI$2:$AI$1001,MATCH(ROWS($AH$2:AH792),$AH$2:$AH$1001,0),1)&gt;=100000,INDEX($AO$1005:$BQ$1005,1,MATCH(COLUMNS($AO$1006:BA1006),$AO$1006:$BQ$1006,0))&gt;=100000), " ",IF(INDEX($AO$2:$BQ$1001,MATCH(ROWS($AH$2:AH792),$AH$2:$AH$1001,0),MATCH(COLUMNS($AO$1006:BA1006),$AO$1006:$BQ$1006,0)), HYPERLINK("#",""), HYPERLINK(CONCATENATE("#Metadata!", ADDRESS(INDEX($AJ$2:$AJ$1001,MATCH(ROWS($AH$2:AH792),$AH$2:$AH$1001,0),0), INDEX($AO$1004:$BQ$1004,1,MATCH(COLUMNS($AO$1006:BA1006),$AO$1006:$BQ$1006,0)))),"Fix")))</f>
        <v>#N/A</v>
      </c>
      <c r="O792" s="5" t="e">
        <f ca="1">IF(OR(INDEX($AI$2:$AI$1001,MATCH(ROWS($AH$2:AH792),$AH$2:$AH$1001,0),1)&gt;=100000,INDEX($AO$1005:$BQ$1005,1,MATCH(COLUMNS($AO$1006:BB1006),$AO$1006:$BQ$1006,0))&gt;=100000), " ",IF(INDEX($AO$2:$BQ$1001,MATCH(ROWS($AH$2:AH792),$AH$2:$AH$1001,0),MATCH(COLUMNS($AO$1006:BB1006),$AO$1006:$BQ$1006,0)), HYPERLINK("#",""), HYPERLINK(CONCATENATE("#Metadata!", ADDRESS(INDEX($AJ$2:$AJ$1001,MATCH(ROWS($AH$2:AH792),$AH$2:$AH$1001,0),0), INDEX($AO$1004:$BQ$1004,1,MATCH(COLUMNS($AO$1006:BB1006),$AO$1006:$BQ$1006,0)))),"Fix")))</f>
        <v>#N/A</v>
      </c>
      <c r="P792" s="5" t="e">
        <f ca="1">IF(OR(INDEX($AI$2:$AI$1001,MATCH(ROWS($AH$2:AH792),$AH$2:$AH$1001,0),1)&gt;=100000,INDEX($AO$1005:$BQ$1005,1,MATCH(COLUMNS($AO$1006:BC1006),$AO$1006:$BQ$1006,0))&gt;=100000), " ",IF(INDEX($AO$2:$BQ$1001,MATCH(ROWS($AH$2:AH792),$AH$2:$AH$1001,0),MATCH(COLUMNS($AO$1006:BC1006),$AO$1006:$BQ$1006,0)), HYPERLINK("#",""), HYPERLINK(CONCATENATE("#Metadata!", ADDRESS(INDEX($AJ$2:$AJ$1001,MATCH(ROWS($AH$2:AH792),$AH$2:$AH$1001,0),0), INDEX($AO$1004:$BQ$1004,1,MATCH(COLUMNS($AO$1006:BC1006),$AO$1006:$BQ$1006,0)))),"Fix")))</f>
        <v>#N/A</v>
      </c>
      <c r="Q792" s="5" t="e">
        <f ca="1">IF(OR(INDEX($AI$2:$AI$1001,MATCH(ROWS($AH$2:AH792),$AH$2:$AH$1001,0),1)&gt;=100000,INDEX($AO$1005:$BQ$1005,1,MATCH(COLUMNS($AO$1006:BD1006),$AO$1006:$BQ$1006,0))&gt;=100000), " ",IF(INDEX($AO$2:$BQ$1001,MATCH(ROWS($AH$2:AH792),$AH$2:$AH$1001,0),MATCH(COLUMNS($AO$1006:BD1006),$AO$1006:$BQ$1006,0)), HYPERLINK("#",""), HYPERLINK(CONCATENATE("#Metadata!", ADDRESS(INDEX($AJ$2:$AJ$1001,MATCH(ROWS($AH$2:AH792),$AH$2:$AH$1001,0),0), INDEX($AO$1004:$BQ$1004,1,MATCH(COLUMNS($AO$1006:BD1006),$AO$1006:$BQ$1006,0)))),"Fix")))</f>
        <v>#N/A</v>
      </c>
      <c r="R792" s="5" t="e">
        <f ca="1">IF(OR(INDEX($AI$2:$AI$1001,MATCH(ROWS($AH$2:AH792),$AH$2:$AH$1001,0),1)&gt;=100000,INDEX($AO$1005:$BQ$1005,1,MATCH(COLUMNS($AO$1006:BE1006),$AO$1006:$BQ$1006,0))&gt;=100000), " ",IF(INDEX($AO$2:$BQ$1001,MATCH(ROWS($AH$2:AH792),$AH$2:$AH$1001,0),MATCH(COLUMNS($AO$1006:BE1006),$AO$1006:$BQ$1006,0)), HYPERLINK("#",""), HYPERLINK(CONCATENATE("#Metadata!", ADDRESS(INDEX($AJ$2:$AJ$1001,MATCH(ROWS($AH$2:AH792),$AH$2:$AH$1001,0),0), INDEX($AO$1004:$BQ$1004,1,MATCH(COLUMNS($AO$1006:BE1006),$AO$1006:$BQ$1006,0)))),"Fix")))</f>
        <v>#N/A</v>
      </c>
      <c r="S792" s="5" t="e">
        <f ca="1">IF(OR(INDEX($AI$2:$AI$1001,MATCH(ROWS($AH$2:AH792),$AH$2:$AH$1001,0),1)&gt;=100000,INDEX($AO$1005:$BQ$1005,1,MATCH(COLUMNS($AO$1006:BF1006),$AO$1006:$BQ$1006,0))&gt;=100000), " ",IF(INDEX($AO$2:$BQ$1001,MATCH(ROWS($AH$2:AH792),$AH$2:$AH$1001,0),MATCH(COLUMNS($AO$1006:BF1006),$AO$1006:$BQ$1006,0)), HYPERLINK("#",""), HYPERLINK(CONCATENATE("#Metadata!", ADDRESS(INDEX($AJ$2:$AJ$1001,MATCH(ROWS($AH$2:AH792),$AH$2:$AH$1001,0),0), INDEX($AO$1004:$BQ$1004,1,MATCH(COLUMNS($AO$1006:BF1006),$AO$1006:$BQ$1006,0)))),"Fix")))</f>
        <v>#N/A</v>
      </c>
      <c r="T792" s="5" t="e">
        <f ca="1">IF(OR(INDEX($AI$2:$AI$1001,MATCH(ROWS($AH$2:AH792),$AH$2:$AH$1001,0),1)&gt;=100000,INDEX($AO$1005:$BQ$1005,1,MATCH(COLUMNS($AO$1006:BG1006),$AO$1006:$BQ$1006,0))&gt;=100000), " ",IF(INDEX($AO$2:$BQ$1001,MATCH(ROWS($AH$2:AH792),$AH$2:$AH$1001,0),MATCH(COLUMNS($AO$1006:BG1006),$AO$1006:$BQ$1006,0)), HYPERLINK("#",""), HYPERLINK(CONCATENATE("#Metadata!", ADDRESS(INDEX($AJ$2:$AJ$1001,MATCH(ROWS($AH$2:AH792),$AH$2:$AH$1001,0),0), INDEX($AO$1004:$BQ$1004,1,MATCH(COLUMNS($AO$1006:BG1006),$AO$1006:$BQ$1006,0)))),"Fix")))</f>
        <v>#N/A</v>
      </c>
      <c r="U792" s="5" t="e">
        <f ca="1">IF(OR(INDEX($AI$2:$AI$1001,MATCH(ROWS($AH$2:AH792),$AH$2:$AH$1001,0),1)&gt;=100000,INDEX($AO$1005:$BQ$1005,1,MATCH(COLUMNS($AO$1006:BH1006),$AO$1006:$BQ$1006,0))&gt;=100000), " ",IF(INDEX($AO$2:$BQ$1001,MATCH(ROWS($AH$2:AH792),$AH$2:$AH$1001,0),MATCH(COLUMNS($AO$1006:BH1006),$AO$1006:$BQ$1006,0)), HYPERLINK("#",""), HYPERLINK(CONCATENATE("#Metadata!", ADDRESS(INDEX($AJ$2:$AJ$1001,MATCH(ROWS($AH$2:AH792),$AH$2:$AH$1001,0),0), INDEX($AO$1004:$BQ$1004,1,MATCH(COLUMNS($AO$1006:BH1006),$AO$1006:$BQ$1006,0)))),"Fix")))</f>
        <v>#N/A</v>
      </c>
      <c r="V792" s="5" t="e">
        <f ca="1">IF(OR(INDEX($AI$2:$AI$1001,MATCH(ROWS($AH$2:AH792),$AH$2:$AH$1001,0),1)&gt;=100000,INDEX($AO$1005:$BQ$1005,1,MATCH(COLUMNS($AO$1006:BI1006),$AO$1006:$BQ$1006,0))&gt;=100000), " ",IF(INDEX($AO$2:$BQ$1001,MATCH(ROWS($AH$2:AH792),$AH$2:$AH$1001,0),MATCH(COLUMNS($AO$1006:BI1006),$AO$1006:$BQ$1006,0)), HYPERLINK("#",""), HYPERLINK(CONCATENATE("#Metadata!", ADDRESS(INDEX($AJ$2:$AJ$1001,MATCH(ROWS($AH$2:AH792),$AH$2:$AH$1001,0),0), INDEX($AO$1004:$BQ$1004,1,MATCH(COLUMNS($AO$1006:BI1006),$AO$1006:$BQ$1006,0)))),"Fix")))</f>
        <v>#N/A</v>
      </c>
      <c r="W792" s="5" t="e">
        <f ca="1">IF(OR(INDEX($AI$2:$AI$1001,MATCH(ROWS($AH$2:AH792),$AH$2:$AH$1001,0),1)&gt;=100000,INDEX($AO$1005:$BQ$1005,1,MATCH(COLUMNS($AO$1006:BJ1006),$AO$1006:$BQ$1006,0))&gt;=100000), " ",IF(INDEX($AO$2:$BQ$1001,MATCH(ROWS($AH$2:AH792),$AH$2:$AH$1001,0),MATCH(COLUMNS($AO$1006:BJ1006),$AO$1006:$BQ$1006,0)), HYPERLINK("#",""), HYPERLINK(CONCATENATE("#Metadata!", ADDRESS(INDEX($AJ$2:$AJ$1001,MATCH(ROWS($AH$2:AH792),$AH$2:$AH$1001,0),0), INDEX($AO$1004:$BQ$1004,1,MATCH(COLUMNS($AO$1006:BJ1006),$AO$1006:$BQ$1006,0)))),"Fix")))</f>
        <v>#N/A</v>
      </c>
      <c r="X792" s="5" t="e">
        <f ca="1">IF(OR(INDEX($AI$2:$AI$1001,MATCH(ROWS($AH$2:AH792),$AH$2:$AH$1001,0),1)&gt;=100000,INDEX($AO$1005:$BQ$1005,1,MATCH(COLUMNS($AO$1006:BK1006),$AO$1006:$BQ$1006,0))&gt;=100000), " ",IF(INDEX($AO$2:$BQ$1001,MATCH(ROWS($AH$2:AH792),$AH$2:$AH$1001,0),MATCH(COLUMNS($AO$1006:BK1006),$AO$1006:$BQ$1006,0)), HYPERLINK("#",""), HYPERLINK(CONCATENATE("#Metadata!", ADDRESS(INDEX($AJ$2:$AJ$1001,MATCH(ROWS($AH$2:AH792),$AH$2:$AH$1001,0),0), INDEX($AO$1004:$BQ$1004,1,MATCH(COLUMNS($AO$1006:BK1006),$AO$1006:$BQ$1006,0)))),"Fix")))</f>
        <v>#N/A</v>
      </c>
      <c r="Y792" s="5" t="e">
        <f ca="1">IF(OR(INDEX($AI$2:$AI$1001,MATCH(ROWS($AH$2:AH792),$AH$2:$AH$1001,0),1)&gt;=100000,INDEX($AO$1005:$BQ$1005,1,MATCH(COLUMNS($AO$1006:BL1006),$AO$1006:$BQ$1006,0))&gt;=100000), " ",IF(INDEX($AO$2:$BQ$1001,MATCH(ROWS($AH$2:AH792),$AH$2:$AH$1001,0),MATCH(COLUMNS($AO$1006:BL1006),$AO$1006:$BQ$1006,0)), HYPERLINK("#",""), HYPERLINK(CONCATENATE("#Metadata!", ADDRESS(INDEX($AJ$2:$AJ$1001,MATCH(ROWS($AH$2:AH792),$AH$2:$AH$1001,0),0), INDEX($AO$1004:$BQ$1004,1,MATCH(COLUMNS($AO$1006:BL1006),$AO$1006:$BQ$1006,0)))),"Fix")))</f>
        <v>#N/A</v>
      </c>
      <c r="Z792" s="5" t="e">
        <f ca="1">IF(OR(INDEX($AI$2:$AI$1001,MATCH(ROWS($AH$2:AH792),$AH$2:$AH$1001,0),1)&gt;=100000,INDEX($AO$1005:$BQ$1005,1,MATCH(COLUMNS($AO$1006:BM1006),$AO$1006:$BQ$1006,0))&gt;=100000), " ",IF(INDEX($AO$2:$BQ$1001,MATCH(ROWS($AH$2:AH792),$AH$2:$AH$1001,0),MATCH(COLUMNS($AO$1006:BM1006),$AO$1006:$BQ$1006,0)), HYPERLINK("#",""), HYPERLINK(CONCATENATE("#Metadata!", ADDRESS(INDEX($AJ$2:$AJ$1001,MATCH(ROWS($AH$2:AH792),$AH$2:$AH$1001,0),0), INDEX($AO$1004:$BQ$1004,1,MATCH(COLUMNS($AO$1006:BM1006),$AO$1006:$BQ$1006,0)))),"Fix")))</f>
        <v>#N/A</v>
      </c>
      <c r="AA792" s="5" t="e">
        <f ca="1">IF(OR(INDEX($AI$2:$AI$1001,MATCH(ROWS($AH$2:AH792),$AH$2:$AH$1001,0),1)&gt;=100000,INDEX($AO$1005:$BQ$1005,1,MATCH(COLUMNS($AO$1006:BN1006),$AO$1006:$BQ$1006,0))&gt;=100000), " ",IF(INDEX($AO$2:$BQ$1001,MATCH(ROWS($AH$2:AH792),$AH$2:$AH$1001,0),MATCH(COLUMNS($AO$1006:BN1006),$AO$1006:$BQ$1006,0)), HYPERLINK("#",""), HYPERLINK(CONCATENATE("#Metadata!", ADDRESS(INDEX($AJ$2:$AJ$1001,MATCH(ROWS($AH$2:AH792),$AH$2:$AH$1001,0),0), INDEX($AO$1004:$BQ$1004,1,MATCH(COLUMNS($AO$1006:BN1006),$AO$1006:$BQ$1006,0)))),"Fix")))</f>
        <v>#N/A</v>
      </c>
      <c r="AB792" s="5" t="e">
        <f ca="1">IF(OR(INDEX($AI$2:$AI$1001,MATCH(ROWS($AH$2:AH792),$AH$2:$AH$1001,0),1)&gt;=100000,INDEX($AO$1005:$BQ$1005,1,MATCH(COLUMNS($AO$1006:BO1006),$AO$1006:$BQ$1006,0))&gt;=100000), " ",IF(INDEX($AO$2:$BQ$1001,MATCH(ROWS($AH$2:AH792),$AH$2:$AH$1001,0),MATCH(COLUMNS($AO$1006:BO1006),$AO$1006:$BQ$1006,0)), HYPERLINK("#",""), HYPERLINK(CONCATENATE("#Metadata!", ADDRESS(INDEX($AJ$2:$AJ$1001,MATCH(ROWS($AH$2:AH792),$AH$2:$AH$1001,0),0), INDEX($AO$1004:$BQ$1004,1,MATCH(COLUMNS($AO$1006:BO1006),$AO$1006:$BQ$1006,0)))),"Fix")))</f>
        <v>#N/A</v>
      </c>
      <c r="AC792" s="5" t="e">
        <f ca="1">IF(OR(INDEX($AI$2:$AI$1001,MATCH(ROWS($AH$2:AH792),$AH$2:$AH$1001,0),1)&gt;=100000,INDEX($AO$1005:$BQ$1005,1,MATCH(COLUMNS($AO$1006:BP1006),$AO$1006:$BQ$1006,0))&gt;=100000), " ",IF(INDEX($AO$2:$BQ$1001,MATCH(ROWS($AH$2:AH792),$AH$2:$AH$1001,0),MATCH(COLUMNS($AO$1006:BP1006),$AO$1006:$BQ$1006,0)), HYPERLINK("#",""), HYPERLINK(CONCATENATE("#Metadata!", ADDRESS(INDEX($AJ$2:$AJ$1001,MATCH(ROWS($AH$2:AH792),$AH$2:$AH$1001,0),0), INDEX($AO$1004:$BQ$1004,1,MATCH(COLUMNS($AO$1006:BP1006),$AO$1006:$BQ$1006,0)))),"Fix")))</f>
        <v>#N/A</v>
      </c>
      <c r="AD792" s="5" t="e">
        <f ca="1">IF(OR(INDEX($AI$2:$AI$1001,MATCH(ROWS($AH$2:AH792),$AH$2:$AH$1001,0),1)&gt;=100000,INDEX($AO$1005:$BQ$1005,1,MATCH(COLUMNS($AO$1006:BQ1006),$AO$1006:$BQ$1006,0))&gt;=100000), " ",IF(INDEX($AO$2:$BQ$1001,MATCH(ROWS($AH$2:AH792),$AH$2:$AH$1001,0),MATCH(COLUMNS($AO$1006:BQ1006),$AO$1006:$BQ$1006,0)), HYPERLINK("#",""), HYPERLINK(CONCATENATE("#Metadata!", ADDRESS(INDEX($AJ$2:$AJ$1001,MATCH(ROWS($AH$2:AH792),$AH$2:$AH$1001,0),0), INDEX($AO$1004:$BQ$1004,1,MATCH(COLUMNS($AO$1006:BQ1006),$AO$1006:$BQ$1006,0)))),"Fix")))</f>
        <v>#REF!</v>
      </c>
      <c r="AH792">
        <f ca="1"/>
        <v>789</v>
      </c>
      <c r="AI792">
        <v>100792</v>
      </c>
      <c r="AJ792">
        <v>792</v>
      </c>
      <c r="AK792" t="b">
        <f t="shared" si="12"/>
        <v>1</v>
      </c>
      <c r="AL792" t="b">
        <f>COUNTBLANK(Metadata!B792:AD792)=COLUMNS(Metadata!B792:AD792)</f>
        <v>1</v>
      </c>
      <c r="AM792" t="str">
        <v/>
      </c>
      <c r="AO792" t="b">
        <f ca="1">AND(IF(Metadata!B792="",FALSE,TRUE),COUNTIF(Metadata!B:B, Metadata!B792) = 1,NOT(ISERROR(SUMPRODUCT(SEARCH(MID(Metadata!B792,ROW(INDIRECT("1:"&amp;LEN(Metadata!B792))), 1),"0123456789abcdefghijklmnopqrstuvwxyzABCDEFGHIJKLMNOPQRSTUVWXYZ.")))))</f>
        <v>0</v>
      </c>
      <c r="AP792" t="b">
        <f>IF(Metadata!C792="",FALSE,TRUE)</f>
        <v>0</v>
      </c>
      <c r="AQ792" t="b">
        <f>IF(Metadata!D792="",FALSE,TRUE)</f>
        <v>0</v>
      </c>
      <c r="AR792" t="b">
        <f ca="1">OR(AND(IF(Metadata!E792="",FALSE,TRUE),OR(EXACT(Metadata!E792,"not collected"),EXACT(Metadata!E792,"not provided"),EXACT(Metadata!E792,"restricted access"))),AND(IF(Metadata!E792="",FALSE,TRUE),AND(AND(IFERROR(INT(LEFT(Metadata!E792,4))&gt;1900,FALSE),IFERROR(INT(LEFT(Metadata!E792,4))&lt;=YEAR(NOW()),FALSE)), OR(MID(Metadata!E792,5,1)="", AND(AND(MID(Metadata!E792,5,1)="-",IFERROR(INT(MID(Metadata!E792,6,1))&gt;=0,FALSE),IFERROR(INT(MID(Metadata!E792,6,1))&lt;=1,FALSE),NOT(MID(Metadata!E792,7,1)=""),IFERROR(INT(MID(Metadata!E792,6,2))&gt;=1,FALSE),IFERROR(INT(MID(Metadata!E792,6,2))&lt;=12,FALSE)), OR(MID(Metadata!E792,8,1)="", AND(AND(MID(Metadata!E792,8,1)="-",IFERROR(INT(MID(Metadata!E792,9,1))&gt;=0,FALSE),IFERROR(INT(MID(Metadata!E792,9,1))&lt;=3,FALSE),NOT(MID(Metadata!E792,10,1)=""),IFERROR(INT(MID(Metadata!E792,9,2))&gt;=1,FALSE),IFERROR(INT(MID(Metadata!E792,9,2))&lt;=31,FALSE)), OR(MID(Metadata!E792,11,1)="", AND(AND(MID(Metadata!E792,11,1)=" ",IFERROR(INT(MID(Metadata!E792,12,1))&gt;=0,FALSE),IFERROR(INT(MID(Metadata!E792,12,1))&lt;=2,FALSE),NOT(MID(Metadata!E792,13,1)=""),IFERROR(INT(MID(Metadata!E792,12,2))&gt;=0,FALSE),IFERROR(INT(MID(Metadata!E792,12,2))&lt;=23,FALSE)), OR(MID(Metadata!E792,14,1)="", AND(AND(MID(Metadata!E792,14,1)=":",IFERROR(INT(MID(Metadata!E792,15,1))&gt;=0,FALSE),IFERROR(INT(MID(Metadata!E792,15,1))&lt;=5,FALSE),NOT(MID(Metadata!E792,16,1)=""),IFERROR(INT(MID(Metadata!E792,15,2))&gt;=0,FALSE),IFERROR(INT(MID(Metadata!E792,15,2))&lt;=59,FALSE)), OR(MID(Metadata!E792,17,1)="", AND(AND(MID(Metadata!E792,17,1)=":",IFERROR(INT(MID(Metadata!E792,18,1))&gt;=0,FALSE),IFERROR(INT(MID(Metadata!E792,18,1))&lt;=5,FALSE),NOT(MID(Metadata!E792,19,1)=""),IFERROR(INT(MID(Metadata!E792,18,2))&gt;=0,FALSE),IFERROR(INT(MID(Metadata!E792,18,2))&lt;=59,FALSE)), LEN(Metadata!E792)&lt;=19)))))))))))))</f>
        <v>0</v>
      </c>
      <c r="AS792" t="b">
        <f>IF(Metadata!F792="",FALSE,TRUE)</f>
        <v>0</v>
      </c>
      <c r="AT792" t="b">
        <f>OR(AND(IF(Metadata!G792="",FALSE,TRUE),OR(EXACT(Metadata!G792,"not collected"),EXACT(Metadata!G792,"not provided"))),AND(IF(Metadata!G792="",FALSE,TRUE),OR(EXACT(Metadata!G792,"TRUE"),EXACT(Metadata!G792,"FALSE"))))</f>
        <v>0</v>
      </c>
      <c r="AU792" t="b">
        <f>OR(AND(IF(Metadata!H792="",FALSE,TRUE),OR(EXACT(Metadata!H792,"not collected"),EXACT(Metadata!H792,"not provided"),EXACT(Metadata!H792,"restricted access"))),AND(IF(Metadata!H792="",FALSE,ISNUMBER(VALUE(Metadata!H792))),Metadata!H792&gt;=-413))</f>
        <v>0</v>
      </c>
      <c r="AV792" t="b">
        <f>AND(IF(Metadata!I792="",FALSE,TRUE),EXACT(Metadata!I792,"meters"))</f>
        <v>0</v>
      </c>
      <c r="AW792" t="b">
        <f>AND(IF(Metadata!J792="",FALSE,TRUE),EXACT(Metadata!J792,"free-living"))</f>
        <v>0</v>
      </c>
      <c r="AX792" t="b">
        <f>AND(IF(Metadata!K792="",FALSE,TRUE),OR(EXACT(Metadata!K792,"saline"),EXACT(Metadata!K792,"non-saline")))</f>
        <v>0</v>
      </c>
      <c r="AY792" t="b">
        <f>AND(IF(Metadata!L792="",FALSE,TRUE),OR(EXACT(Metadata!L792,"sub-surface (non-saline)"),EXACT(Metadata!L792,"surface (non-saline)"),EXACT(Metadata!L792,"water (non-saline)"),EXACT(Metadata!L792,"soil (non-saline)"),EXACT(Metadata!L792,"aerosol (non-saline)"),EXACT(Metadata!L792,"sediment (non-saline)"),EXACT(Metadata!L792,"surface (saline)"),EXACT(Metadata!L792,"water (saline)"),EXACT(Metadata!L792,"hypersaline (saline)"),EXACT(Metadata!L792,"aerosol (saline)"),EXACT(Metadata!L792,"sediment (saline)")))</f>
        <v>0</v>
      </c>
      <c r="AZ792" t="b">
        <f>IF(Metadata!M792="",FALSE,TRUE)</f>
        <v>0</v>
      </c>
      <c r="BA792" t="b">
        <f>IF(Metadata!N792="",FALSE,TRUE)</f>
        <v>0</v>
      </c>
      <c r="BB792" t="b">
        <f>IF(Metadata!O792="",FALSE,TRUE)</f>
        <v>0</v>
      </c>
      <c r="BC792" t="b">
        <f>AND(IF(Metadata!P792="",FALSE,TRUE),OR(EXACT(Metadata!P792,"air"),EXACT(Metadata!P792,"microbial mat/biofilm"),EXACT(Metadata!P792,"misc environment"),EXACT(Metadata!P792,"sediment"),EXACT(Metadata!P792,"soil"),EXACT(Metadata!P792,"wastewater/sludge"),EXACT(Metadata!P792,"water")))</f>
        <v>0</v>
      </c>
      <c r="BD792" t="b">
        <f>IF(Metadata!Q792="",FALSE,TRUE)</f>
        <v>0</v>
      </c>
      <c r="BE792" t="b">
        <f>IF(Metadata!R792="",FALSE,TRUE)</f>
        <v>0</v>
      </c>
      <c r="BF792" t="b">
        <f>OR(AND(IF(Metadata!S792="",FALSE,TRUE),OR(EXACT(Metadata!S792,"not collected"),EXACT(Metadata!S792,"not provided"),EXACT(Metadata!S792,"restricted access"))),AND(IF(Metadata!S792="",FALSE,ISNUMBER(VALUE(Metadata!S792))),Metadata!S792&gt;=-90,Metadata!S792&lt;=90))</f>
        <v>0</v>
      </c>
      <c r="BG792" t="b">
        <f>AND(IF(Metadata!T792="",FALSE,TRUE),EXACT(Metadata!T792,"Decimal degrees"))</f>
        <v>0</v>
      </c>
      <c r="BH792" t="b">
        <f>OR(AND(IF(Metadata!U792="",FALSE,TRUE),OR(EXACT(Metadata!U792,"not applicable"),EXACT(Metadata!U792,"not collected"))),IF(Metadata!U792="",FALSE,TRUE))</f>
        <v>0</v>
      </c>
      <c r="BI792" t="b">
        <f>OR(AND(IF(Metadata!V792="",FALSE,TRUE),OR(EXACT(Metadata!V792,"not collected"),EXACT(Metadata!V792,"not provided"),EXACT(Metadata!V792,"restricted access"))),AND(IF(Metadata!V792="",FALSE,ISNUMBER(VALUE(Metadata!V792))),Metadata!V792&gt;=-180,Metadata!V792&lt;=180))</f>
        <v>0</v>
      </c>
      <c r="BJ792" t="b">
        <f>AND(IF(Metadata!W792="",FALSE,TRUE),EXACT(Metadata!W792,"Decimal degrees"))</f>
        <v>0</v>
      </c>
      <c r="BK792" t="b">
        <f>IF(Metadata!X792="",FALSE,TRUE)</f>
        <v>0</v>
      </c>
      <c r="BL792" t="b">
        <f>OR(AND(IF(Metadata!Y792="",FALSE,TRUE),OR(EXACT(Metadata!Y792,"not collected"),EXACT(Metadata!Y792,"not provided"),EXACT(Metadata!Y792,"restricted access"))),AND(IF(Metadata!Y792="",FALSE,TRUE),OR(EXACT(Metadata!Y792,"TRUE"),EXACT(Metadata!Y792,"FALSE"))))</f>
        <v>0</v>
      </c>
      <c r="BM792" t="b">
        <f>OR(AND(IF(Metadata!Z792="",FALSE,TRUE),EXACT(Metadata!Z792,"not applicable")),AND(IF(Metadata!Z792="",FALSE,TRUE),OR(EXACT(Metadata!Z792,"beer"),EXACT(Metadata!Z792,"cheese"),EXACT(Metadata!Z792,"fresh water"),EXACT(Metadata!Z792,"marine sediment"),EXACT(Metadata!Z792,"sea water"),EXACT(Metadata!Z792,"sediment"),EXACT(Metadata!Z792,"soil"),EXACT(Metadata!Z792,"waste water"))))</f>
        <v>0</v>
      </c>
      <c r="BN792" t="b">
        <f>AND(IF(Metadata!AA792="",FALSE,TRUE),EXACT(Metadata!AA792,"metagenome"))</f>
        <v>0</v>
      </c>
      <c r="BO792" t="b">
        <f>AND(IF(Metadata!AB792="",FALSE,TRUE),EXACT(Metadata!AB792,"256318"))</f>
        <v>0</v>
      </c>
      <c r="BP792" t="b">
        <f>IF(Metadata!AC792="",FALSE,TRUE)</f>
        <v>0</v>
      </c>
      <c r="BQ792" t="b">
        <f>IF(Metadata!AD792="",FALSE,TRUE)</f>
        <v>0</v>
      </c>
    </row>
    <row r="793" spans="1:69" x14ac:dyDescent="0.2">
      <c r="A793" s="4" t="e">
        <f ca="1">IF(B793=" "," ",HYPERLINK(CONCATENATE("#metadata!",ADDRESS(INDEX($AJ$2:$AJ$1001,MATCH(ROWS($AH$2:AH793),$AH$2:$AH$1001,0),0),2)),INDEX($AM$2:$AM$1001,MATCH(ROWS($AH$2:AH793),$AH$2:$AH$1001,0),0)))</f>
        <v>#N/A</v>
      </c>
      <c r="B793" s="5" t="e">
        <f ca="1">IF(OR(INDEX($AI$2:$AI$1001,MATCH(ROWS($AH$2:AH793),$AH$2:$AH$1001,0),1)&gt;=100000,INDEX($AO$1005:$BQ$1005,1,MATCH(COLUMNS($AO$1006:AO1006),$AO$1006:$BQ$1006,0))&gt;=100000), " ",IF(INDEX($AO$2:$BQ$1001,MATCH(ROWS($AH$2:AH793),$AH$2:$AH$1001,0),MATCH(COLUMNS($AO$1006:AO1006),$AO$1006:$BQ$1006,0)), HYPERLINK("#",""), HYPERLINK(CONCATENATE("#Metadata!", ADDRESS(INDEX($AJ$2:$AJ$1001,MATCH(ROWS($AH$2:AH793),$AH$2:$AH$1001,0),0), INDEX($AO$1004:$BQ$1004,1,MATCH(COLUMNS($AO$1006:AO1006),$AO$1006:$BQ$1006,0)))),"Fix")))</f>
        <v>#N/A</v>
      </c>
      <c r="C793" s="5" t="e">
        <f ca="1">IF(OR(INDEX($AI$2:$AI$1001,MATCH(ROWS($AH$2:AH793),$AH$2:$AH$1001,0),1)&gt;=100000,INDEX($AO$1005:$BQ$1005,1,MATCH(COLUMNS($AO$1006:AP1006),$AO$1006:$BQ$1006,0))&gt;=100000), " ",IF(INDEX($AO$2:$BQ$1001,MATCH(ROWS($AH$2:AH793),$AH$2:$AH$1001,0),MATCH(COLUMNS($AO$1006:AP1006),$AO$1006:$BQ$1006,0)), HYPERLINK("#",""), HYPERLINK(CONCATENATE("#Metadata!", ADDRESS(INDEX($AJ$2:$AJ$1001,MATCH(ROWS($AH$2:AH793),$AH$2:$AH$1001,0),0), INDEX($AO$1004:$BQ$1004,1,MATCH(COLUMNS($AO$1006:AP1006),$AO$1006:$BQ$1006,0)))),"Fix")))</f>
        <v>#N/A</v>
      </c>
      <c r="D793" s="5" t="e">
        <f ca="1">IF(OR(INDEX($AI$2:$AI$1001,MATCH(ROWS($AH$2:AH793),$AH$2:$AH$1001,0),1)&gt;=100000,INDEX($AO$1005:$BQ$1005,1,MATCH(COLUMNS($AO$1006:AQ1006),$AO$1006:$BQ$1006,0))&gt;=100000), " ",IF(INDEX($AO$2:$BQ$1001,MATCH(ROWS($AH$2:AH793),$AH$2:$AH$1001,0),MATCH(COLUMNS($AO$1006:AQ1006),$AO$1006:$BQ$1006,0)), HYPERLINK("#",""), HYPERLINK(CONCATENATE("#Metadata!", ADDRESS(INDEX($AJ$2:$AJ$1001,MATCH(ROWS($AH$2:AH793),$AH$2:$AH$1001,0),0), INDEX($AO$1004:$BQ$1004,1,MATCH(COLUMNS($AO$1006:AQ1006),$AO$1006:$BQ$1006,0)))),"Fix")))</f>
        <v>#N/A</v>
      </c>
      <c r="E793" s="5" t="e">
        <f ca="1">IF(OR(INDEX($AI$2:$AI$1001,MATCH(ROWS($AH$2:AH793),$AH$2:$AH$1001,0),1)&gt;=100000,INDEX($AO$1005:$BQ$1005,1,MATCH(COLUMNS($AO$1006:AR1006),$AO$1006:$BQ$1006,0))&gt;=100000), " ",IF(INDEX($AO$2:$BQ$1001,MATCH(ROWS($AH$2:AH793),$AH$2:$AH$1001,0),MATCH(COLUMNS($AO$1006:AR1006),$AO$1006:$BQ$1006,0)), HYPERLINK("#",""), HYPERLINK(CONCATENATE("#Metadata!", ADDRESS(INDEX($AJ$2:$AJ$1001,MATCH(ROWS($AH$2:AH793),$AH$2:$AH$1001,0),0), INDEX($AO$1004:$BQ$1004,1,MATCH(COLUMNS($AO$1006:AR1006),$AO$1006:$BQ$1006,0)))),"Fix")))</f>
        <v>#N/A</v>
      </c>
      <c r="F793" s="5" t="e">
        <f ca="1">IF(OR(INDEX($AI$2:$AI$1001,MATCH(ROWS($AH$2:AH793),$AH$2:$AH$1001,0),1)&gt;=100000,INDEX($AO$1005:$BQ$1005,1,MATCH(COLUMNS($AO$1006:AS1006),$AO$1006:$BQ$1006,0))&gt;=100000), " ",IF(INDEX($AO$2:$BQ$1001,MATCH(ROWS($AH$2:AH793),$AH$2:$AH$1001,0),MATCH(COLUMNS($AO$1006:AS1006),$AO$1006:$BQ$1006,0)), HYPERLINK("#",""), HYPERLINK(CONCATENATE("#Metadata!", ADDRESS(INDEX($AJ$2:$AJ$1001,MATCH(ROWS($AH$2:AH793),$AH$2:$AH$1001,0),0), INDEX($AO$1004:$BQ$1004,1,MATCH(COLUMNS($AO$1006:AS1006),$AO$1006:$BQ$1006,0)))),"Fix")))</f>
        <v>#N/A</v>
      </c>
      <c r="G793" s="5" t="e">
        <f ca="1">IF(OR(INDEX($AI$2:$AI$1001,MATCH(ROWS($AH$2:AH793),$AH$2:$AH$1001,0),1)&gt;=100000,INDEX($AO$1005:$BQ$1005,1,MATCH(COLUMNS($AO$1006:AT1006),$AO$1006:$BQ$1006,0))&gt;=100000), " ",IF(INDEX($AO$2:$BQ$1001,MATCH(ROWS($AH$2:AH793),$AH$2:$AH$1001,0),MATCH(COLUMNS($AO$1006:AT1006),$AO$1006:$BQ$1006,0)), HYPERLINK("#",""), HYPERLINK(CONCATENATE("#Metadata!", ADDRESS(INDEX($AJ$2:$AJ$1001,MATCH(ROWS($AH$2:AH793),$AH$2:$AH$1001,0),0), INDEX($AO$1004:$BQ$1004,1,MATCH(COLUMNS($AO$1006:AT1006),$AO$1006:$BQ$1006,0)))),"Fix")))</f>
        <v>#N/A</v>
      </c>
      <c r="H793" s="5" t="e">
        <f ca="1">IF(OR(INDEX($AI$2:$AI$1001,MATCH(ROWS($AH$2:AH793),$AH$2:$AH$1001,0),1)&gt;=100000,INDEX($AO$1005:$BQ$1005,1,MATCH(COLUMNS($AO$1006:AU1006),$AO$1006:$BQ$1006,0))&gt;=100000), " ",IF(INDEX($AO$2:$BQ$1001,MATCH(ROWS($AH$2:AH793),$AH$2:$AH$1001,0),MATCH(COLUMNS($AO$1006:AU1006),$AO$1006:$BQ$1006,0)), HYPERLINK("#",""), HYPERLINK(CONCATENATE("#Metadata!", ADDRESS(INDEX($AJ$2:$AJ$1001,MATCH(ROWS($AH$2:AH793),$AH$2:$AH$1001,0),0), INDEX($AO$1004:$BQ$1004,1,MATCH(COLUMNS($AO$1006:AU1006),$AO$1006:$BQ$1006,0)))),"Fix")))</f>
        <v>#N/A</v>
      </c>
      <c r="I793" s="5" t="e">
        <f ca="1">IF(OR(INDEX($AI$2:$AI$1001,MATCH(ROWS($AH$2:AH793),$AH$2:$AH$1001,0),1)&gt;=100000,INDEX($AO$1005:$BQ$1005,1,MATCH(COLUMNS($AO$1006:AV1006),$AO$1006:$BQ$1006,0))&gt;=100000), " ",IF(INDEX($AO$2:$BQ$1001,MATCH(ROWS($AH$2:AH793),$AH$2:$AH$1001,0),MATCH(COLUMNS($AO$1006:AV1006),$AO$1006:$BQ$1006,0)), HYPERLINK("#",""), HYPERLINK(CONCATENATE("#Metadata!", ADDRESS(INDEX($AJ$2:$AJ$1001,MATCH(ROWS($AH$2:AH793),$AH$2:$AH$1001,0),0), INDEX($AO$1004:$BQ$1004,1,MATCH(COLUMNS($AO$1006:AV1006),$AO$1006:$BQ$1006,0)))),"Fix")))</f>
        <v>#N/A</v>
      </c>
      <c r="J793" s="5" t="e">
        <f ca="1">IF(OR(INDEX($AI$2:$AI$1001,MATCH(ROWS($AH$2:AH793),$AH$2:$AH$1001,0),1)&gt;=100000,INDEX($AO$1005:$BQ$1005,1,MATCH(COLUMNS($AO$1006:AW1006),$AO$1006:$BQ$1006,0))&gt;=100000), " ",IF(INDEX($AO$2:$BQ$1001,MATCH(ROWS($AH$2:AH793),$AH$2:$AH$1001,0),MATCH(COLUMNS($AO$1006:AW1006),$AO$1006:$BQ$1006,0)), HYPERLINK("#",""), HYPERLINK(CONCATENATE("#Metadata!", ADDRESS(INDEX($AJ$2:$AJ$1001,MATCH(ROWS($AH$2:AH793),$AH$2:$AH$1001,0),0), INDEX($AO$1004:$BQ$1004,1,MATCH(COLUMNS($AO$1006:AW1006),$AO$1006:$BQ$1006,0)))),"Fix")))</f>
        <v>#N/A</v>
      </c>
      <c r="K793" s="5" t="e">
        <f ca="1">IF(OR(INDEX($AI$2:$AI$1001,MATCH(ROWS($AH$2:AH793),$AH$2:$AH$1001,0),1)&gt;=100000,INDEX($AO$1005:$BQ$1005,1,MATCH(COLUMNS($AO$1006:AX1006),$AO$1006:$BQ$1006,0))&gt;=100000), " ",IF(INDEX($AO$2:$BQ$1001,MATCH(ROWS($AH$2:AH793),$AH$2:$AH$1001,0),MATCH(COLUMNS($AO$1006:AX1006),$AO$1006:$BQ$1006,0)), HYPERLINK("#",""), HYPERLINK(CONCATENATE("#Metadata!", ADDRESS(INDEX($AJ$2:$AJ$1001,MATCH(ROWS($AH$2:AH793),$AH$2:$AH$1001,0),0), INDEX($AO$1004:$BQ$1004,1,MATCH(COLUMNS($AO$1006:AX1006),$AO$1006:$BQ$1006,0)))),"Fix")))</f>
        <v>#N/A</v>
      </c>
      <c r="L793" s="5" t="e">
        <f ca="1">IF(OR(INDEX($AI$2:$AI$1001,MATCH(ROWS($AH$2:AH793),$AH$2:$AH$1001,0),1)&gt;=100000,INDEX($AO$1005:$BQ$1005,1,MATCH(COLUMNS($AO$1006:AY1006),$AO$1006:$BQ$1006,0))&gt;=100000), " ",IF(INDEX($AO$2:$BQ$1001,MATCH(ROWS($AH$2:AH793),$AH$2:$AH$1001,0),MATCH(COLUMNS($AO$1006:AY1006),$AO$1006:$BQ$1006,0)), HYPERLINK("#",""), HYPERLINK(CONCATENATE("#Metadata!", ADDRESS(INDEX($AJ$2:$AJ$1001,MATCH(ROWS($AH$2:AH793),$AH$2:$AH$1001,0),0), INDEX($AO$1004:$BQ$1004,1,MATCH(COLUMNS($AO$1006:AY1006),$AO$1006:$BQ$1006,0)))),"Fix")))</f>
        <v>#N/A</v>
      </c>
      <c r="M793" s="5" t="e">
        <f ca="1">IF(OR(INDEX($AI$2:$AI$1001,MATCH(ROWS($AH$2:AH793),$AH$2:$AH$1001,0),1)&gt;=100000,INDEX($AO$1005:$BQ$1005,1,MATCH(COLUMNS($AO$1006:AZ1006),$AO$1006:$BQ$1006,0))&gt;=100000), " ",IF(INDEX($AO$2:$BQ$1001,MATCH(ROWS($AH$2:AH793),$AH$2:$AH$1001,0),MATCH(COLUMNS($AO$1006:AZ1006),$AO$1006:$BQ$1006,0)), HYPERLINK("#",""), HYPERLINK(CONCATENATE("#Metadata!", ADDRESS(INDEX($AJ$2:$AJ$1001,MATCH(ROWS($AH$2:AH793),$AH$2:$AH$1001,0),0), INDEX($AO$1004:$BQ$1004,1,MATCH(COLUMNS($AO$1006:AZ1006),$AO$1006:$BQ$1006,0)))),"Fix")))</f>
        <v>#N/A</v>
      </c>
      <c r="N793" s="5" t="e">
        <f ca="1">IF(OR(INDEX($AI$2:$AI$1001,MATCH(ROWS($AH$2:AH793),$AH$2:$AH$1001,0),1)&gt;=100000,INDEX($AO$1005:$BQ$1005,1,MATCH(COLUMNS($AO$1006:BA1006),$AO$1006:$BQ$1006,0))&gt;=100000), " ",IF(INDEX($AO$2:$BQ$1001,MATCH(ROWS($AH$2:AH793),$AH$2:$AH$1001,0),MATCH(COLUMNS($AO$1006:BA1006),$AO$1006:$BQ$1006,0)), HYPERLINK("#",""), HYPERLINK(CONCATENATE("#Metadata!", ADDRESS(INDEX($AJ$2:$AJ$1001,MATCH(ROWS($AH$2:AH793),$AH$2:$AH$1001,0),0), INDEX($AO$1004:$BQ$1004,1,MATCH(COLUMNS($AO$1006:BA1006),$AO$1006:$BQ$1006,0)))),"Fix")))</f>
        <v>#N/A</v>
      </c>
      <c r="O793" s="5" t="e">
        <f ca="1">IF(OR(INDEX($AI$2:$AI$1001,MATCH(ROWS($AH$2:AH793),$AH$2:$AH$1001,0),1)&gt;=100000,INDEX($AO$1005:$BQ$1005,1,MATCH(COLUMNS($AO$1006:BB1006),$AO$1006:$BQ$1006,0))&gt;=100000), " ",IF(INDEX($AO$2:$BQ$1001,MATCH(ROWS($AH$2:AH793),$AH$2:$AH$1001,0),MATCH(COLUMNS($AO$1006:BB1006),$AO$1006:$BQ$1006,0)), HYPERLINK("#",""), HYPERLINK(CONCATENATE("#Metadata!", ADDRESS(INDEX($AJ$2:$AJ$1001,MATCH(ROWS($AH$2:AH793),$AH$2:$AH$1001,0),0), INDEX($AO$1004:$BQ$1004,1,MATCH(COLUMNS($AO$1006:BB1006),$AO$1006:$BQ$1006,0)))),"Fix")))</f>
        <v>#N/A</v>
      </c>
      <c r="P793" s="5" t="e">
        <f ca="1">IF(OR(INDEX($AI$2:$AI$1001,MATCH(ROWS($AH$2:AH793),$AH$2:$AH$1001,0),1)&gt;=100000,INDEX($AO$1005:$BQ$1005,1,MATCH(COLUMNS($AO$1006:BC1006),$AO$1006:$BQ$1006,0))&gt;=100000), " ",IF(INDEX($AO$2:$BQ$1001,MATCH(ROWS($AH$2:AH793),$AH$2:$AH$1001,0),MATCH(COLUMNS($AO$1006:BC1006),$AO$1006:$BQ$1006,0)), HYPERLINK("#",""), HYPERLINK(CONCATENATE("#Metadata!", ADDRESS(INDEX($AJ$2:$AJ$1001,MATCH(ROWS($AH$2:AH793),$AH$2:$AH$1001,0),0), INDEX($AO$1004:$BQ$1004,1,MATCH(COLUMNS($AO$1006:BC1006),$AO$1006:$BQ$1006,0)))),"Fix")))</f>
        <v>#N/A</v>
      </c>
      <c r="Q793" s="5" t="e">
        <f ca="1">IF(OR(INDEX($AI$2:$AI$1001,MATCH(ROWS($AH$2:AH793),$AH$2:$AH$1001,0),1)&gt;=100000,INDEX($AO$1005:$BQ$1005,1,MATCH(COLUMNS($AO$1006:BD1006),$AO$1006:$BQ$1006,0))&gt;=100000), " ",IF(INDEX($AO$2:$BQ$1001,MATCH(ROWS($AH$2:AH793),$AH$2:$AH$1001,0),MATCH(COLUMNS($AO$1006:BD1006),$AO$1006:$BQ$1006,0)), HYPERLINK("#",""), HYPERLINK(CONCATENATE("#Metadata!", ADDRESS(INDEX($AJ$2:$AJ$1001,MATCH(ROWS($AH$2:AH793),$AH$2:$AH$1001,0),0), INDEX($AO$1004:$BQ$1004,1,MATCH(COLUMNS($AO$1006:BD1006),$AO$1006:$BQ$1006,0)))),"Fix")))</f>
        <v>#N/A</v>
      </c>
      <c r="R793" s="5" t="e">
        <f ca="1">IF(OR(INDEX($AI$2:$AI$1001,MATCH(ROWS($AH$2:AH793),$AH$2:$AH$1001,0),1)&gt;=100000,INDEX($AO$1005:$BQ$1005,1,MATCH(COLUMNS($AO$1006:BE1006),$AO$1006:$BQ$1006,0))&gt;=100000), " ",IF(INDEX($AO$2:$BQ$1001,MATCH(ROWS($AH$2:AH793),$AH$2:$AH$1001,0),MATCH(COLUMNS($AO$1006:BE1006),$AO$1006:$BQ$1006,0)), HYPERLINK("#",""), HYPERLINK(CONCATENATE("#Metadata!", ADDRESS(INDEX($AJ$2:$AJ$1001,MATCH(ROWS($AH$2:AH793),$AH$2:$AH$1001,0),0), INDEX($AO$1004:$BQ$1004,1,MATCH(COLUMNS($AO$1006:BE1006),$AO$1006:$BQ$1006,0)))),"Fix")))</f>
        <v>#N/A</v>
      </c>
      <c r="S793" s="5" t="e">
        <f ca="1">IF(OR(INDEX($AI$2:$AI$1001,MATCH(ROWS($AH$2:AH793),$AH$2:$AH$1001,0),1)&gt;=100000,INDEX($AO$1005:$BQ$1005,1,MATCH(COLUMNS($AO$1006:BF1006),$AO$1006:$BQ$1006,0))&gt;=100000), " ",IF(INDEX($AO$2:$BQ$1001,MATCH(ROWS($AH$2:AH793),$AH$2:$AH$1001,0),MATCH(COLUMNS($AO$1006:BF1006),$AO$1006:$BQ$1006,0)), HYPERLINK("#",""), HYPERLINK(CONCATENATE("#Metadata!", ADDRESS(INDEX($AJ$2:$AJ$1001,MATCH(ROWS($AH$2:AH793),$AH$2:$AH$1001,0),0), INDEX($AO$1004:$BQ$1004,1,MATCH(COLUMNS($AO$1006:BF1006),$AO$1006:$BQ$1006,0)))),"Fix")))</f>
        <v>#N/A</v>
      </c>
      <c r="T793" s="5" t="e">
        <f ca="1">IF(OR(INDEX($AI$2:$AI$1001,MATCH(ROWS($AH$2:AH793),$AH$2:$AH$1001,0),1)&gt;=100000,INDEX($AO$1005:$BQ$1005,1,MATCH(COLUMNS($AO$1006:BG1006),$AO$1006:$BQ$1006,0))&gt;=100000), " ",IF(INDEX($AO$2:$BQ$1001,MATCH(ROWS($AH$2:AH793),$AH$2:$AH$1001,0),MATCH(COLUMNS($AO$1006:BG1006),$AO$1006:$BQ$1006,0)), HYPERLINK("#",""), HYPERLINK(CONCATENATE("#Metadata!", ADDRESS(INDEX($AJ$2:$AJ$1001,MATCH(ROWS($AH$2:AH793),$AH$2:$AH$1001,0),0), INDEX($AO$1004:$BQ$1004,1,MATCH(COLUMNS($AO$1006:BG1006),$AO$1006:$BQ$1006,0)))),"Fix")))</f>
        <v>#N/A</v>
      </c>
      <c r="U793" s="5" t="e">
        <f ca="1">IF(OR(INDEX($AI$2:$AI$1001,MATCH(ROWS($AH$2:AH793),$AH$2:$AH$1001,0),1)&gt;=100000,INDEX($AO$1005:$BQ$1005,1,MATCH(COLUMNS($AO$1006:BH1006),$AO$1006:$BQ$1006,0))&gt;=100000), " ",IF(INDEX($AO$2:$BQ$1001,MATCH(ROWS($AH$2:AH793),$AH$2:$AH$1001,0),MATCH(COLUMNS($AO$1006:BH1006),$AO$1006:$BQ$1006,0)), HYPERLINK("#",""), HYPERLINK(CONCATENATE("#Metadata!", ADDRESS(INDEX($AJ$2:$AJ$1001,MATCH(ROWS($AH$2:AH793),$AH$2:$AH$1001,0),0), INDEX($AO$1004:$BQ$1004,1,MATCH(COLUMNS($AO$1006:BH1006),$AO$1006:$BQ$1006,0)))),"Fix")))</f>
        <v>#N/A</v>
      </c>
      <c r="V793" s="5" t="e">
        <f ca="1">IF(OR(INDEX($AI$2:$AI$1001,MATCH(ROWS($AH$2:AH793),$AH$2:$AH$1001,0),1)&gt;=100000,INDEX($AO$1005:$BQ$1005,1,MATCH(COLUMNS($AO$1006:BI1006),$AO$1006:$BQ$1006,0))&gt;=100000), " ",IF(INDEX($AO$2:$BQ$1001,MATCH(ROWS($AH$2:AH793),$AH$2:$AH$1001,0),MATCH(COLUMNS($AO$1006:BI1006),$AO$1006:$BQ$1006,0)), HYPERLINK("#",""), HYPERLINK(CONCATENATE("#Metadata!", ADDRESS(INDEX($AJ$2:$AJ$1001,MATCH(ROWS($AH$2:AH793),$AH$2:$AH$1001,0),0), INDEX($AO$1004:$BQ$1004,1,MATCH(COLUMNS($AO$1006:BI1006),$AO$1006:$BQ$1006,0)))),"Fix")))</f>
        <v>#N/A</v>
      </c>
      <c r="W793" s="5" t="e">
        <f ca="1">IF(OR(INDEX($AI$2:$AI$1001,MATCH(ROWS($AH$2:AH793),$AH$2:$AH$1001,0),1)&gt;=100000,INDEX($AO$1005:$BQ$1005,1,MATCH(COLUMNS($AO$1006:BJ1006),$AO$1006:$BQ$1006,0))&gt;=100000), " ",IF(INDEX($AO$2:$BQ$1001,MATCH(ROWS($AH$2:AH793),$AH$2:$AH$1001,0),MATCH(COLUMNS($AO$1006:BJ1006),$AO$1006:$BQ$1006,0)), HYPERLINK("#",""), HYPERLINK(CONCATENATE("#Metadata!", ADDRESS(INDEX($AJ$2:$AJ$1001,MATCH(ROWS($AH$2:AH793),$AH$2:$AH$1001,0),0), INDEX($AO$1004:$BQ$1004,1,MATCH(COLUMNS($AO$1006:BJ1006),$AO$1006:$BQ$1006,0)))),"Fix")))</f>
        <v>#N/A</v>
      </c>
      <c r="X793" s="5" t="e">
        <f ca="1">IF(OR(INDEX($AI$2:$AI$1001,MATCH(ROWS($AH$2:AH793),$AH$2:$AH$1001,0),1)&gt;=100000,INDEX($AO$1005:$BQ$1005,1,MATCH(COLUMNS($AO$1006:BK1006),$AO$1006:$BQ$1006,0))&gt;=100000), " ",IF(INDEX($AO$2:$BQ$1001,MATCH(ROWS($AH$2:AH793),$AH$2:$AH$1001,0),MATCH(COLUMNS($AO$1006:BK1006),$AO$1006:$BQ$1006,0)), HYPERLINK("#",""), HYPERLINK(CONCATENATE("#Metadata!", ADDRESS(INDEX($AJ$2:$AJ$1001,MATCH(ROWS($AH$2:AH793),$AH$2:$AH$1001,0),0), INDEX($AO$1004:$BQ$1004,1,MATCH(COLUMNS($AO$1006:BK1006),$AO$1006:$BQ$1006,0)))),"Fix")))</f>
        <v>#N/A</v>
      </c>
      <c r="Y793" s="5" t="e">
        <f ca="1">IF(OR(INDEX($AI$2:$AI$1001,MATCH(ROWS($AH$2:AH793),$AH$2:$AH$1001,0),1)&gt;=100000,INDEX($AO$1005:$BQ$1005,1,MATCH(COLUMNS($AO$1006:BL1006),$AO$1006:$BQ$1006,0))&gt;=100000), " ",IF(INDEX($AO$2:$BQ$1001,MATCH(ROWS($AH$2:AH793),$AH$2:$AH$1001,0),MATCH(COLUMNS($AO$1006:BL1006),$AO$1006:$BQ$1006,0)), HYPERLINK("#",""), HYPERLINK(CONCATENATE("#Metadata!", ADDRESS(INDEX($AJ$2:$AJ$1001,MATCH(ROWS($AH$2:AH793),$AH$2:$AH$1001,0),0), INDEX($AO$1004:$BQ$1004,1,MATCH(COLUMNS($AO$1006:BL1006),$AO$1006:$BQ$1006,0)))),"Fix")))</f>
        <v>#N/A</v>
      </c>
      <c r="Z793" s="5" t="e">
        <f ca="1">IF(OR(INDEX($AI$2:$AI$1001,MATCH(ROWS($AH$2:AH793),$AH$2:$AH$1001,0),1)&gt;=100000,INDEX($AO$1005:$BQ$1005,1,MATCH(COLUMNS($AO$1006:BM1006),$AO$1006:$BQ$1006,0))&gt;=100000), " ",IF(INDEX($AO$2:$BQ$1001,MATCH(ROWS($AH$2:AH793),$AH$2:$AH$1001,0),MATCH(COLUMNS($AO$1006:BM1006),$AO$1006:$BQ$1006,0)), HYPERLINK("#",""), HYPERLINK(CONCATENATE("#Metadata!", ADDRESS(INDEX($AJ$2:$AJ$1001,MATCH(ROWS($AH$2:AH793),$AH$2:$AH$1001,0),0), INDEX($AO$1004:$BQ$1004,1,MATCH(COLUMNS($AO$1006:BM1006),$AO$1006:$BQ$1006,0)))),"Fix")))</f>
        <v>#N/A</v>
      </c>
      <c r="AA793" s="5" t="e">
        <f ca="1">IF(OR(INDEX($AI$2:$AI$1001,MATCH(ROWS($AH$2:AH793),$AH$2:$AH$1001,0),1)&gt;=100000,INDEX($AO$1005:$BQ$1005,1,MATCH(COLUMNS($AO$1006:BN1006),$AO$1006:$BQ$1006,0))&gt;=100000), " ",IF(INDEX($AO$2:$BQ$1001,MATCH(ROWS($AH$2:AH793),$AH$2:$AH$1001,0),MATCH(COLUMNS($AO$1006:BN1006),$AO$1006:$BQ$1006,0)), HYPERLINK("#",""), HYPERLINK(CONCATENATE("#Metadata!", ADDRESS(INDEX($AJ$2:$AJ$1001,MATCH(ROWS($AH$2:AH793),$AH$2:$AH$1001,0),0), INDEX($AO$1004:$BQ$1004,1,MATCH(COLUMNS($AO$1006:BN1006),$AO$1006:$BQ$1006,0)))),"Fix")))</f>
        <v>#N/A</v>
      </c>
      <c r="AB793" s="5" t="e">
        <f ca="1">IF(OR(INDEX($AI$2:$AI$1001,MATCH(ROWS($AH$2:AH793),$AH$2:$AH$1001,0),1)&gt;=100000,INDEX($AO$1005:$BQ$1005,1,MATCH(COLUMNS($AO$1006:BO1006),$AO$1006:$BQ$1006,0))&gt;=100000), " ",IF(INDEX($AO$2:$BQ$1001,MATCH(ROWS($AH$2:AH793),$AH$2:$AH$1001,0),MATCH(COLUMNS($AO$1006:BO1006),$AO$1006:$BQ$1006,0)), HYPERLINK("#",""), HYPERLINK(CONCATENATE("#Metadata!", ADDRESS(INDEX($AJ$2:$AJ$1001,MATCH(ROWS($AH$2:AH793),$AH$2:$AH$1001,0),0), INDEX($AO$1004:$BQ$1004,1,MATCH(COLUMNS($AO$1006:BO1006),$AO$1006:$BQ$1006,0)))),"Fix")))</f>
        <v>#N/A</v>
      </c>
      <c r="AC793" s="5" t="e">
        <f ca="1">IF(OR(INDEX($AI$2:$AI$1001,MATCH(ROWS($AH$2:AH793),$AH$2:$AH$1001,0),1)&gt;=100000,INDEX($AO$1005:$BQ$1005,1,MATCH(COLUMNS($AO$1006:BP1006),$AO$1006:$BQ$1006,0))&gt;=100000), " ",IF(INDEX($AO$2:$BQ$1001,MATCH(ROWS($AH$2:AH793),$AH$2:$AH$1001,0),MATCH(COLUMNS($AO$1006:BP1006),$AO$1006:$BQ$1006,0)), HYPERLINK("#",""), HYPERLINK(CONCATENATE("#Metadata!", ADDRESS(INDEX($AJ$2:$AJ$1001,MATCH(ROWS($AH$2:AH793),$AH$2:$AH$1001,0),0), INDEX($AO$1004:$BQ$1004,1,MATCH(COLUMNS($AO$1006:BP1006),$AO$1006:$BQ$1006,0)))),"Fix")))</f>
        <v>#N/A</v>
      </c>
      <c r="AD793" s="5" t="e">
        <f ca="1">IF(OR(INDEX($AI$2:$AI$1001,MATCH(ROWS($AH$2:AH793),$AH$2:$AH$1001,0),1)&gt;=100000,INDEX($AO$1005:$BQ$1005,1,MATCH(COLUMNS($AO$1006:BQ1006),$AO$1006:$BQ$1006,0))&gt;=100000), " ",IF(INDEX($AO$2:$BQ$1001,MATCH(ROWS($AH$2:AH793),$AH$2:$AH$1001,0),MATCH(COLUMNS($AO$1006:BQ1006),$AO$1006:$BQ$1006,0)), HYPERLINK("#",""), HYPERLINK(CONCATENATE("#Metadata!", ADDRESS(INDEX($AJ$2:$AJ$1001,MATCH(ROWS($AH$2:AH793),$AH$2:$AH$1001,0),0), INDEX($AO$1004:$BQ$1004,1,MATCH(COLUMNS($AO$1006:BQ1006),$AO$1006:$BQ$1006,0)))),"Fix")))</f>
        <v>#REF!</v>
      </c>
      <c r="AH793">
        <f ca="1"/>
        <v>790</v>
      </c>
      <c r="AI793">
        <v>100793</v>
      </c>
      <c r="AJ793">
        <v>793</v>
      </c>
      <c r="AK793" t="b">
        <f t="shared" si="12"/>
        <v>1</v>
      </c>
      <c r="AL793" t="b">
        <f>COUNTBLANK(Metadata!B793:AD793)=COLUMNS(Metadata!B793:AD793)</f>
        <v>1</v>
      </c>
      <c r="AM793" t="str">
        <v/>
      </c>
      <c r="AO793" t="b">
        <f ca="1">AND(IF(Metadata!B793="",FALSE,TRUE),COUNTIF(Metadata!B:B, Metadata!B793) = 1,NOT(ISERROR(SUMPRODUCT(SEARCH(MID(Metadata!B793,ROW(INDIRECT("1:"&amp;LEN(Metadata!B793))), 1),"0123456789abcdefghijklmnopqrstuvwxyzABCDEFGHIJKLMNOPQRSTUVWXYZ.")))))</f>
        <v>0</v>
      </c>
      <c r="AP793" t="b">
        <f>IF(Metadata!C793="",FALSE,TRUE)</f>
        <v>0</v>
      </c>
      <c r="AQ793" t="b">
        <f>IF(Metadata!D793="",FALSE,TRUE)</f>
        <v>0</v>
      </c>
      <c r="AR793" t="b">
        <f ca="1">OR(AND(IF(Metadata!E793="",FALSE,TRUE),OR(EXACT(Metadata!E793,"not collected"),EXACT(Metadata!E793,"not provided"),EXACT(Metadata!E793,"restricted access"))),AND(IF(Metadata!E793="",FALSE,TRUE),AND(AND(IFERROR(INT(LEFT(Metadata!E793,4))&gt;1900,FALSE),IFERROR(INT(LEFT(Metadata!E793,4))&lt;=YEAR(NOW()),FALSE)), OR(MID(Metadata!E793,5,1)="", AND(AND(MID(Metadata!E793,5,1)="-",IFERROR(INT(MID(Metadata!E793,6,1))&gt;=0,FALSE),IFERROR(INT(MID(Metadata!E793,6,1))&lt;=1,FALSE),NOT(MID(Metadata!E793,7,1)=""),IFERROR(INT(MID(Metadata!E793,6,2))&gt;=1,FALSE),IFERROR(INT(MID(Metadata!E793,6,2))&lt;=12,FALSE)), OR(MID(Metadata!E793,8,1)="", AND(AND(MID(Metadata!E793,8,1)="-",IFERROR(INT(MID(Metadata!E793,9,1))&gt;=0,FALSE),IFERROR(INT(MID(Metadata!E793,9,1))&lt;=3,FALSE),NOT(MID(Metadata!E793,10,1)=""),IFERROR(INT(MID(Metadata!E793,9,2))&gt;=1,FALSE),IFERROR(INT(MID(Metadata!E793,9,2))&lt;=31,FALSE)), OR(MID(Metadata!E793,11,1)="", AND(AND(MID(Metadata!E793,11,1)=" ",IFERROR(INT(MID(Metadata!E793,12,1))&gt;=0,FALSE),IFERROR(INT(MID(Metadata!E793,12,1))&lt;=2,FALSE),NOT(MID(Metadata!E793,13,1)=""),IFERROR(INT(MID(Metadata!E793,12,2))&gt;=0,FALSE),IFERROR(INT(MID(Metadata!E793,12,2))&lt;=23,FALSE)), OR(MID(Metadata!E793,14,1)="", AND(AND(MID(Metadata!E793,14,1)=":",IFERROR(INT(MID(Metadata!E793,15,1))&gt;=0,FALSE),IFERROR(INT(MID(Metadata!E793,15,1))&lt;=5,FALSE),NOT(MID(Metadata!E793,16,1)=""),IFERROR(INT(MID(Metadata!E793,15,2))&gt;=0,FALSE),IFERROR(INT(MID(Metadata!E793,15,2))&lt;=59,FALSE)), OR(MID(Metadata!E793,17,1)="", AND(AND(MID(Metadata!E793,17,1)=":",IFERROR(INT(MID(Metadata!E793,18,1))&gt;=0,FALSE),IFERROR(INT(MID(Metadata!E793,18,1))&lt;=5,FALSE),NOT(MID(Metadata!E793,19,1)=""),IFERROR(INT(MID(Metadata!E793,18,2))&gt;=0,FALSE),IFERROR(INT(MID(Metadata!E793,18,2))&lt;=59,FALSE)), LEN(Metadata!E793)&lt;=19)))))))))))))</f>
        <v>0</v>
      </c>
      <c r="AS793" t="b">
        <f>IF(Metadata!F793="",FALSE,TRUE)</f>
        <v>0</v>
      </c>
      <c r="AT793" t="b">
        <f>OR(AND(IF(Metadata!G793="",FALSE,TRUE),OR(EXACT(Metadata!G793,"not collected"),EXACT(Metadata!G793,"not provided"))),AND(IF(Metadata!G793="",FALSE,TRUE),OR(EXACT(Metadata!G793,"TRUE"),EXACT(Metadata!G793,"FALSE"))))</f>
        <v>0</v>
      </c>
      <c r="AU793" t="b">
        <f>OR(AND(IF(Metadata!H793="",FALSE,TRUE),OR(EXACT(Metadata!H793,"not collected"),EXACT(Metadata!H793,"not provided"),EXACT(Metadata!H793,"restricted access"))),AND(IF(Metadata!H793="",FALSE,ISNUMBER(VALUE(Metadata!H793))),Metadata!H793&gt;=-413))</f>
        <v>0</v>
      </c>
      <c r="AV793" t="b">
        <f>AND(IF(Metadata!I793="",FALSE,TRUE),EXACT(Metadata!I793,"meters"))</f>
        <v>0</v>
      </c>
      <c r="AW793" t="b">
        <f>AND(IF(Metadata!J793="",FALSE,TRUE),EXACT(Metadata!J793,"free-living"))</f>
        <v>0</v>
      </c>
      <c r="AX793" t="b">
        <f>AND(IF(Metadata!K793="",FALSE,TRUE),OR(EXACT(Metadata!K793,"saline"),EXACT(Metadata!K793,"non-saline")))</f>
        <v>0</v>
      </c>
      <c r="AY793" t="b">
        <f>AND(IF(Metadata!L793="",FALSE,TRUE),OR(EXACT(Metadata!L793,"sub-surface (non-saline)"),EXACT(Metadata!L793,"surface (non-saline)"),EXACT(Metadata!L793,"water (non-saline)"),EXACT(Metadata!L793,"soil (non-saline)"),EXACT(Metadata!L793,"aerosol (non-saline)"),EXACT(Metadata!L793,"sediment (non-saline)"),EXACT(Metadata!L793,"surface (saline)"),EXACT(Metadata!L793,"water (saline)"),EXACT(Metadata!L793,"hypersaline (saline)"),EXACT(Metadata!L793,"aerosol (saline)"),EXACT(Metadata!L793,"sediment (saline)")))</f>
        <v>0</v>
      </c>
      <c r="AZ793" t="b">
        <f>IF(Metadata!M793="",FALSE,TRUE)</f>
        <v>0</v>
      </c>
      <c r="BA793" t="b">
        <f>IF(Metadata!N793="",FALSE,TRUE)</f>
        <v>0</v>
      </c>
      <c r="BB793" t="b">
        <f>IF(Metadata!O793="",FALSE,TRUE)</f>
        <v>0</v>
      </c>
      <c r="BC793" t="b">
        <f>AND(IF(Metadata!P793="",FALSE,TRUE),OR(EXACT(Metadata!P793,"air"),EXACT(Metadata!P793,"microbial mat/biofilm"),EXACT(Metadata!P793,"misc environment"),EXACT(Metadata!P793,"sediment"),EXACT(Metadata!P793,"soil"),EXACT(Metadata!P793,"wastewater/sludge"),EXACT(Metadata!P793,"water")))</f>
        <v>0</v>
      </c>
      <c r="BD793" t="b">
        <f>IF(Metadata!Q793="",FALSE,TRUE)</f>
        <v>0</v>
      </c>
      <c r="BE793" t="b">
        <f>IF(Metadata!R793="",FALSE,TRUE)</f>
        <v>0</v>
      </c>
      <c r="BF793" t="b">
        <f>OR(AND(IF(Metadata!S793="",FALSE,TRUE),OR(EXACT(Metadata!S793,"not collected"),EXACT(Metadata!S793,"not provided"),EXACT(Metadata!S793,"restricted access"))),AND(IF(Metadata!S793="",FALSE,ISNUMBER(VALUE(Metadata!S793))),Metadata!S793&gt;=-90,Metadata!S793&lt;=90))</f>
        <v>0</v>
      </c>
      <c r="BG793" t="b">
        <f>AND(IF(Metadata!T793="",FALSE,TRUE),EXACT(Metadata!T793,"Decimal degrees"))</f>
        <v>0</v>
      </c>
      <c r="BH793" t="b">
        <f>OR(AND(IF(Metadata!U793="",FALSE,TRUE),OR(EXACT(Metadata!U793,"not applicable"),EXACT(Metadata!U793,"not collected"))),IF(Metadata!U793="",FALSE,TRUE))</f>
        <v>0</v>
      </c>
      <c r="BI793" t="b">
        <f>OR(AND(IF(Metadata!V793="",FALSE,TRUE),OR(EXACT(Metadata!V793,"not collected"),EXACT(Metadata!V793,"not provided"),EXACT(Metadata!V793,"restricted access"))),AND(IF(Metadata!V793="",FALSE,ISNUMBER(VALUE(Metadata!V793))),Metadata!V793&gt;=-180,Metadata!V793&lt;=180))</f>
        <v>0</v>
      </c>
      <c r="BJ793" t="b">
        <f>AND(IF(Metadata!W793="",FALSE,TRUE),EXACT(Metadata!W793,"Decimal degrees"))</f>
        <v>0</v>
      </c>
      <c r="BK793" t="b">
        <f>IF(Metadata!X793="",FALSE,TRUE)</f>
        <v>0</v>
      </c>
      <c r="BL793" t="b">
        <f>OR(AND(IF(Metadata!Y793="",FALSE,TRUE),OR(EXACT(Metadata!Y793,"not collected"),EXACT(Metadata!Y793,"not provided"),EXACT(Metadata!Y793,"restricted access"))),AND(IF(Metadata!Y793="",FALSE,TRUE),OR(EXACT(Metadata!Y793,"TRUE"),EXACT(Metadata!Y793,"FALSE"))))</f>
        <v>0</v>
      </c>
      <c r="BM793" t="b">
        <f>OR(AND(IF(Metadata!Z793="",FALSE,TRUE),EXACT(Metadata!Z793,"not applicable")),AND(IF(Metadata!Z793="",FALSE,TRUE),OR(EXACT(Metadata!Z793,"beer"),EXACT(Metadata!Z793,"cheese"),EXACT(Metadata!Z793,"fresh water"),EXACT(Metadata!Z793,"marine sediment"),EXACT(Metadata!Z793,"sea water"),EXACT(Metadata!Z793,"sediment"),EXACT(Metadata!Z793,"soil"),EXACT(Metadata!Z793,"waste water"))))</f>
        <v>0</v>
      </c>
      <c r="BN793" t="b">
        <f>AND(IF(Metadata!AA793="",FALSE,TRUE),EXACT(Metadata!AA793,"metagenome"))</f>
        <v>0</v>
      </c>
      <c r="BO793" t="b">
        <f>AND(IF(Metadata!AB793="",FALSE,TRUE),EXACT(Metadata!AB793,"256318"))</f>
        <v>0</v>
      </c>
      <c r="BP793" t="b">
        <f>IF(Metadata!AC793="",FALSE,TRUE)</f>
        <v>0</v>
      </c>
      <c r="BQ793" t="b">
        <f>IF(Metadata!AD793="",FALSE,TRUE)</f>
        <v>0</v>
      </c>
    </row>
    <row r="794" spans="1:69" x14ac:dyDescent="0.2">
      <c r="A794" s="4" t="e">
        <f ca="1">IF(B794=" "," ",HYPERLINK(CONCATENATE("#metadata!",ADDRESS(INDEX($AJ$2:$AJ$1001,MATCH(ROWS($AH$2:AH794),$AH$2:$AH$1001,0),0),2)),INDEX($AM$2:$AM$1001,MATCH(ROWS($AH$2:AH794),$AH$2:$AH$1001,0),0)))</f>
        <v>#N/A</v>
      </c>
      <c r="B794" s="5" t="e">
        <f ca="1">IF(OR(INDEX($AI$2:$AI$1001,MATCH(ROWS($AH$2:AH794),$AH$2:$AH$1001,0),1)&gt;=100000,INDEX($AO$1005:$BQ$1005,1,MATCH(COLUMNS($AO$1006:AO1006),$AO$1006:$BQ$1006,0))&gt;=100000), " ",IF(INDEX($AO$2:$BQ$1001,MATCH(ROWS($AH$2:AH794),$AH$2:$AH$1001,0),MATCH(COLUMNS($AO$1006:AO1006),$AO$1006:$BQ$1006,0)), HYPERLINK("#",""), HYPERLINK(CONCATENATE("#Metadata!", ADDRESS(INDEX($AJ$2:$AJ$1001,MATCH(ROWS($AH$2:AH794),$AH$2:$AH$1001,0),0), INDEX($AO$1004:$BQ$1004,1,MATCH(COLUMNS($AO$1006:AO1006),$AO$1006:$BQ$1006,0)))),"Fix")))</f>
        <v>#N/A</v>
      </c>
      <c r="C794" s="5" t="e">
        <f ca="1">IF(OR(INDEX($AI$2:$AI$1001,MATCH(ROWS($AH$2:AH794),$AH$2:$AH$1001,0),1)&gt;=100000,INDEX($AO$1005:$BQ$1005,1,MATCH(COLUMNS($AO$1006:AP1006),$AO$1006:$BQ$1006,0))&gt;=100000), " ",IF(INDEX($AO$2:$BQ$1001,MATCH(ROWS($AH$2:AH794),$AH$2:$AH$1001,0),MATCH(COLUMNS($AO$1006:AP1006),$AO$1006:$BQ$1006,0)), HYPERLINK("#",""), HYPERLINK(CONCATENATE("#Metadata!", ADDRESS(INDEX($AJ$2:$AJ$1001,MATCH(ROWS($AH$2:AH794),$AH$2:$AH$1001,0),0), INDEX($AO$1004:$BQ$1004,1,MATCH(COLUMNS($AO$1006:AP1006),$AO$1006:$BQ$1006,0)))),"Fix")))</f>
        <v>#N/A</v>
      </c>
      <c r="D794" s="5" t="e">
        <f ca="1">IF(OR(INDEX($AI$2:$AI$1001,MATCH(ROWS($AH$2:AH794),$AH$2:$AH$1001,0),1)&gt;=100000,INDEX($AO$1005:$BQ$1005,1,MATCH(COLUMNS($AO$1006:AQ1006),$AO$1006:$BQ$1006,0))&gt;=100000), " ",IF(INDEX($AO$2:$BQ$1001,MATCH(ROWS($AH$2:AH794),$AH$2:$AH$1001,0),MATCH(COLUMNS($AO$1006:AQ1006),$AO$1006:$BQ$1006,0)), HYPERLINK("#",""), HYPERLINK(CONCATENATE("#Metadata!", ADDRESS(INDEX($AJ$2:$AJ$1001,MATCH(ROWS($AH$2:AH794),$AH$2:$AH$1001,0),0), INDEX($AO$1004:$BQ$1004,1,MATCH(COLUMNS($AO$1006:AQ1006),$AO$1006:$BQ$1006,0)))),"Fix")))</f>
        <v>#N/A</v>
      </c>
      <c r="E794" s="5" t="e">
        <f ca="1">IF(OR(INDEX($AI$2:$AI$1001,MATCH(ROWS($AH$2:AH794),$AH$2:$AH$1001,0),1)&gt;=100000,INDEX($AO$1005:$BQ$1005,1,MATCH(COLUMNS($AO$1006:AR1006),$AO$1006:$BQ$1006,0))&gt;=100000), " ",IF(INDEX($AO$2:$BQ$1001,MATCH(ROWS($AH$2:AH794),$AH$2:$AH$1001,0),MATCH(COLUMNS($AO$1006:AR1006),$AO$1006:$BQ$1006,0)), HYPERLINK("#",""), HYPERLINK(CONCATENATE("#Metadata!", ADDRESS(INDEX($AJ$2:$AJ$1001,MATCH(ROWS($AH$2:AH794),$AH$2:$AH$1001,0),0), INDEX($AO$1004:$BQ$1004,1,MATCH(COLUMNS($AO$1006:AR1006),$AO$1006:$BQ$1006,0)))),"Fix")))</f>
        <v>#N/A</v>
      </c>
      <c r="F794" s="5" t="e">
        <f ca="1">IF(OR(INDEX($AI$2:$AI$1001,MATCH(ROWS($AH$2:AH794),$AH$2:$AH$1001,0),1)&gt;=100000,INDEX($AO$1005:$BQ$1005,1,MATCH(COLUMNS($AO$1006:AS1006),$AO$1006:$BQ$1006,0))&gt;=100000), " ",IF(INDEX($AO$2:$BQ$1001,MATCH(ROWS($AH$2:AH794),$AH$2:$AH$1001,0),MATCH(COLUMNS($AO$1006:AS1006),$AO$1006:$BQ$1006,0)), HYPERLINK("#",""), HYPERLINK(CONCATENATE("#Metadata!", ADDRESS(INDEX($AJ$2:$AJ$1001,MATCH(ROWS($AH$2:AH794),$AH$2:$AH$1001,0),0), INDEX($AO$1004:$BQ$1004,1,MATCH(COLUMNS($AO$1006:AS1006),$AO$1006:$BQ$1006,0)))),"Fix")))</f>
        <v>#N/A</v>
      </c>
      <c r="G794" s="5" t="e">
        <f ca="1">IF(OR(INDEX($AI$2:$AI$1001,MATCH(ROWS($AH$2:AH794),$AH$2:$AH$1001,0),1)&gt;=100000,INDEX($AO$1005:$BQ$1005,1,MATCH(COLUMNS($AO$1006:AT1006),$AO$1006:$BQ$1006,0))&gt;=100000), " ",IF(INDEX($AO$2:$BQ$1001,MATCH(ROWS($AH$2:AH794),$AH$2:$AH$1001,0),MATCH(COLUMNS($AO$1006:AT1006),$AO$1006:$BQ$1006,0)), HYPERLINK("#",""), HYPERLINK(CONCATENATE("#Metadata!", ADDRESS(INDEX($AJ$2:$AJ$1001,MATCH(ROWS($AH$2:AH794),$AH$2:$AH$1001,0),0), INDEX($AO$1004:$BQ$1004,1,MATCH(COLUMNS($AO$1006:AT1006),$AO$1006:$BQ$1006,0)))),"Fix")))</f>
        <v>#N/A</v>
      </c>
      <c r="H794" s="5" t="e">
        <f ca="1">IF(OR(INDEX($AI$2:$AI$1001,MATCH(ROWS($AH$2:AH794),$AH$2:$AH$1001,0),1)&gt;=100000,INDEX($AO$1005:$BQ$1005,1,MATCH(COLUMNS($AO$1006:AU1006),$AO$1006:$BQ$1006,0))&gt;=100000), " ",IF(INDEX($AO$2:$BQ$1001,MATCH(ROWS($AH$2:AH794),$AH$2:$AH$1001,0),MATCH(COLUMNS($AO$1006:AU1006),$AO$1006:$BQ$1006,0)), HYPERLINK("#",""), HYPERLINK(CONCATENATE("#Metadata!", ADDRESS(INDEX($AJ$2:$AJ$1001,MATCH(ROWS($AH$2:AH794),$AH$2:$AH$1001,0),0), INDEX($AO$1004:$BQ$1004,1,MATCH(COLUMNS($AO$1006:AU1006),$AO$1006:$BQ$1006,0)))),"Fix")))</f>
        <v>#N/A</v>
      </c>
      <c r="I794" s="5" t="e">
        <f ca="1">IF(OR(INDEX($AI$2:$AI$1001,MATCH(ROWS($AH$2:AH794),$AH$2:$AH$1001,0),1)&gt;=100000,INDEX($AO$1005:$BQ$1005,1,MATCH(COLUMNS($AO$1006:AV1006),$AO$1006:$BQ$1006,0))&gt;=100000), " ",IF(INDEX($AO$2:$BQ$1001,MATCH(ROWS($AH$2:AH794),$AH$2:$AH$1001,0),MATCH(COLUMNS($AO$1006:AV1006),$AO$1006:$BQ$1006,0)), HYPERLINK("#",""), HYPERLINK(CONCATENATE("#Metadata!", ADDRESS(INDEX($AJ$2:$AJ$1001,MATCH(ROWS($AH$2:AH794),$AH$2:$AH$1001,0),0), INDEX($AO$1004:$BQ$1004,1,MATCH(COLUMNS($AO$1006:AV1006),$AO$1006:$BQ$1006,0)))),"Fix")))</f>
        <v>#N/A</v>
      </c>
      <c r="J794" s="5" t="e">
        <f ca="1">IF(OR(INDEX($AI$2:$AI$1001,MATCH(ROWS($AH$2:AH794),$AH$2:$AH$1001,0),1)&gt;=100000,INDEX($AO$1005:$BQ$1005,1,MATCH(COLUMNS($AO$1006:AW1006),$AO$1006:$BQ$1006,0))&gt;=100000), " ",IF(INDEX($AO$2:$BQ$1001,MATCH(ROWS($AH$2:AH794),$AH$2:$AH$1001,0),MATCH(COLUMNS($AO$1006:AW1006),$AO$1006:$BQ$1006,0)), HYPERLINK("#",""), HYPERLINK(CONCATENATE("#Metadata!", ADDRESS(INDEX($AJ$2:$AJ$1001,MATCH(ROWS($AH$2:AH794),$AH$2:$AH$1001,0),0), INDEX($AO$1004:$BQ$1004,1,MATCH(COLUMNS($AO$1006:AW1006),$AO$1006:$BQ$1006,0)))),"Fix")))</f>
        <v>#N/A</v>
      </c>
      <c r="K794" s="5" t="e">
        <f ca="1">IF(OR(INDEX($AI$2:$AI$1001,MATCH(ROWS($AH$2:AH794),$AH$2:$AH$1001,0),1)&gt;=100000,INDEX($AO$1005:$BQ$1005,1,MATCH(COLUMNS($AO$1006:AX1006),$AO$1006:$BQ$1006,0))&gt;=100000), " ",IF(INDEX($AO$2:$BQ$1001,MATCH(ROWS($AH$2:AH794),$AH$2:$AH$1001,0),MATCH(COLUMNS($AO$1006:AX1006),$AO$1006:$BQ$1006,0)), HYPERLINK("#",""), HYPERLINK(CONCATENATE("#Metadata!", ADDRESS(INDEX($AJ$2:$AJ$1001,MATCH(ROWS($AH$2:AH794),$AH$2:$AH$1001,0),0), INDEX($AO$1004:$BQ$1004,1,MATCH(COLUMNS($AO$1006:AX1006),$AO$1006:$BQ$1006,0)))),"Fix")))</f>
        <v>#N/A</v>
      </c>
      <c r="L794" s="5" t="e">
        <f ca="1">IF(OR(INDEX($AI$2:$AI$1001,MATCH(ROWS($AH$2:AH794),$AH$2:$AH$1001,0),1)&gt;=100000,INDEX($AO$1005:$BQ$1005,1,MATCH(COLUMNS($AO$1006:AY1006),$AO$1006:$BQ$1006,0))&gt;=100000), " ",IF(INDEX($AO$2:$BQ$1001,MATCH(ROWS($AH$2:AH794),$AH$2:$AH$1001,0),MATCH(COLUMNS($AO$1006:AY1006),$AO$1006:$BQ$1006,0)), HYPERLINK("#",""), HYPERLINK(CONCATENATE("#Metadata!", ADDRESS(INDEX($AJ$2:$AJ$1001,MATCH(ROWS($AH$2:AH794),$AH$2:$AH$1001,0),0), INDEX($AO$1004:$BQ$1004,1,MATCH(COLUMNS($AO$1006:AY1006),$AO$1006:$BQ$1006,0)))),"Fix")))</f>
        <v>#N/A</v>
      </c>
      <c r="M794" s="5" t="e">
        <f ca="1">IF(OR(INDEX($AI$2:$AI$1001,MATCH(ROWS($AH$2:AH794),$AH$2:$AH$1001,0),1)&gt;=100000,INDEX($AO$1005:$BQ$1005,1,MATCH(COLUMNS($AO$1006:AZ1006),$AO$1006:$BQ$1006,0))&gt;=100000), " ",IF(INDEX($AO$2:$BQ$1001,MATCH(ROWS($AH$2:AH794),$AH$2:$AH$1001,0),MATCH(COLUMNS($AO$1006:AZ1006),$AO$1006:$BQ$1006,0)), HYPERLINK("#",""), HYPERLINK(CONCATENATE("#Metadata!", ADDRESS(INDEX($AJ$2:$AJ$1001,MATCH(ROWS($AH$2:AH794),$AH$2:$AH$1001,0),0), INDEX($AO$1004:$BQ$1004,1,MATCH(COLUMNS($AO$1006:AZ1006),$AO$1006:$BQ$1006,0)))),"Fix")))</f>
        <v>#N/A</v>
      </c>
      <c r="N794" s="5" t="e">
        <f ca="1">IF(OR(INDEX($AI$2:$AI$1001,MATCH(ROWS($AH$2:AH794),$AH$2:$AH$1001,0),1)&gt;=100000,INDEX($AO$1005:$BQ$1005,1,MATCH(COLUMNS($AO$1006:BA1006),$AO$1006:$BQ$1006,0))&gt;=100000), " ",IF(INDEX($AO$2:$BQ$1001,MATCH(ROWS($AH$2:AH794),$AH$2:$AH$1001,0),MATCH(COLUMNS($AO$1006:BA1006),$AO$1006:$BQ$1006,0)), HYPERLINK("#",""), HYPERLINK(CONCATENATE("#Metadata!", ADDRESS(INDEX($AJ$2:$AJ$1001,MATCH(ROWS($AH$2:AH794),$AH$2:$AH$1001,0),0), INDEX($AO$1004:$BQ$1004,1,MATCH(COLUMNS($AO$1006:BA1006),$AO$1006:$BQ$1006,0)))),"Fix")))</f>
        <v>#N/A</v>
      </c>
      <c r="O794" s="5" t="e">
        <f ca="1">IF(OR(INDEX($AI$2:$AI$1001,MATCH(ROWS($AH$2:AH794),$AH$2:$AH$1001,0),1)&gt;=100000,INDEX($AO$1005:$BQ$1005,1,MATCH(COLUMNS($AO$1006:BB1006),$AO$1006:$BQ$1006,0))&gt;=100000), " ",IF(INDEX($AO$2:$BQ$1001,MATCH(ROWS($AH$2:AH794),$AH$2:$AH$1001,0),MATCH(COLUMNS($AO$1006:BB1006),$AO$1006:$BQ$1006,0)), HYPERLINK("#",""), HYPERLINK(CONCATENATE("#Metadata!", ADDRESS(INDEX($AJ$2:$AJ$1001,MATCH(ROWS($AH$2:AH794),$AH$2:$AH$1001,0),0), INDEX($AO$1004:$BQ$1004,1,MATCH(COLUMNS($AO$1006:BB1006),$AO$1006:$BQ$1006,0)))),"Fix")))</f>
        <v>#N/A</v>
      </c>
      <c r="P794" s="5" t="e">
        <f ca="1">IF(OR(INDEX($AI$2:$AI$1001,MATCH(ROWS($AH$2:AH794),$AH$2:$AH$1001,0),1)&gt;=100000,INDEX($AO$1005:$BQ$1005,1,MATCH(COLUMNS($AO$1006:BC1006),$AO$1006:$BQ$1006,0))&gt;=100000), " ",IF(INDEX($AO$2:$BQ$1001,MATCH(ROWS($AH$2:AH794),$AH$2:$AH$1001,0),MATCH(COLUMNS($AO$1006:BC1006),$AO$1006:$BQ$1006,0)), HYPERLINK("#",""), HYPERLINK(CONCATENATE("#Metadata!", ADDRESS(INDEX($AJ$2:$AJ$1001,MATCH(ROWS($AH$2:AH794),$AH$2:$AH$1001,0),0), INDEX($AO$1004:$BQ$1004,1,MATCH(COLUMNS($AO$1006:BC1006),$AO$1006:$BQ$1006,0)))),"Fix")))</f>
        <v>#N/A</v>
      </c>
      <c r="Q794" s="5" t="e">
        <f ca="1">IF(OR(INDEX($AI$2:$AI$1001,MATCH(ROWS($AH$2:AH794),$AH$2:$AH$1001,0),1)&gt;=100000,INDEX($AO$1005:$BQ$1005,1,MATCH(COLUMNS($AO$1006:BD1006),$AO$1006:$BQ$1006,0))&gt;=100000), " ",IF(INDEX($AO$2:$BQ$1001,MATCH(ROWS($AH$2:AH794),$AH$2:$AH$1001,0),MATCH(COLUMNS($AO$1006:BD1006),$AO$1006:$BQ$1006,0)), HYPERLINK("#",""), HYPERLINK(CONCATENATE("#Metadata!", ADDRESS(INDEX($AJ$2:$AJ$1001,MATCH(ROWS($AH$2:AH794),$AH$2:$AH$1001,0),0), INDEX($AO$1004:$BQ$1004,1,MATCH(COLUMNS($AO$1006:BD1006),$AO$1006:$BQ$1006,0)))),"Fix")))</f>
        <v>#N/A</v>
      </c>
      <c r="R794" s="5" t="e">
        <f ca="1">IF(OR(INDEX($AI$2:$AI$1001,MATCH(ROWS($AH$2:AH794),$AH$2:$AH$1001,0),1)&gt;=100000,INDEX($AO$1005:$BQ$1005,1,MATCH(COLUMNS($AO$1006:BE1006),$AO$1006:$BQ$1006,0))&gt;=100000), " ",IF(INDEX($AO$2:$BQ$1001,MATCH(ROWS($AH$2:AH794),$AH$2:$AH$1001,0),MATCH(COLUMNS($AO$1006:BE1006),$AO$1006:$BQ$1006,0)), HYPERLINK("#",""), HYPERLINK(CONCATENATE("#Metadata!", ADDRESS(INDEX($AJ$2:$AJ$1001,MATCH(ROWS($AH$2:AH794),$AH$2:$AH$1001,0),0), INDEX($AO$1004:$BQ$1004,1,MATCH(COLUMNS($AO$1006:BE1006),$AO$1006:$BQ$1006,0)))),"Fix")))</f>
        <v>#N/A</v>
      </c>
      <c r="S794" s="5" t="e">
        <f ca="1">IF(OR(INDEX($AI$2:$AI$1001,MATCH(ROWS($AH$2:AH794),$AH$2:$AH$1001,0),1)&gt;=100000,INDEX($AO$1005:$BQ$1005,1,MATCH(COLUMNS($AO$1006:BF1006),$AO$1006:$BQ$1006,0))&gt;=100000), " ",IF(INDEX($AO$2:$BQ$1001,MATCH(ROWS($AH$2:AH794),$AH$2:$AH$1001,0),MATCH(COLUMNS($AO$1006:BF1006),$AO$1006:$BQ$1006,0)), HYPERLINK("#",""), HYPERLINK(CONCATENATE("#Metadata!", ADDRESS(INDEX($AJ$2:$AJ$1001,MATCH(ROWS($AH$2:AH794),$AH$2:$AH$1001,0),0), INDEX($AO$1004:$BQ$1004,1,MATCH(COLUMNS($AO$1006:BF1006),$AO$1006:$BQ$1006,0)))),"Fix")))</f>
        <v>#N/A</v>
      </c>
      <c r="T794" s="5" t="e">
        <f ca="1">IF(OR(INDEX($AI$2:$AI$1001,MATCH(ROWS($AH$2:AH794),$AH$2:$AH$1001,0),1)&gt;=100000,INDEX($AO$1005:$BQ$1005,1,MATCH(COLUMNS($AO$1006:BG1006),$AO$1006:$BQ$1006,0))&gt;=100000), " ",IF(INDEX($AO$2:$BQ$1001,MATCH(ROWS($AH$2:AH794),$AH$2:$AH$1001,0),MATCH(COLUMNS($AO$1006:BG1006),$AO$1006:$BQ$1006,0)), HYPERLINK("#",""), HYPERLINK(CONCATENATE("#Metadata!", ADDRESS(INDEX($AJ$2:$AJ$1001,MATCH(ROWS($AH$2:AH794),$AH$2:$AH$1001,0),0), INDEX($AO$1004:$BQ$1004,1,MATCH(COLUMNS($AO$1006:BG1006),$AO$1006:$BQ$1006,0)))),"Fix")))</f>
        <v>#N/A</v>
      </c>
      <c r="U794" s="5" t="e">
        <f ca="1">IF(OR(INDEX($AI$2:$AI$1001,MATCH(ROWS($AH$2:AH794),$AH$2:$AH$1001,0),1)&gt;=100000,INDEX($AO$1005:$BQ$1005,1,MATCH(COLUMNS($AO$1006:BH1006),$AO$1006:$BQ$1006,0))&gt;=100000), " ",IF(INDEX($AO$2:$BQ$1001,MATCH(ROWS($AH$2:AH794),$AH$2:$AH$1001,0),MATCH(COLUMNS($AO$1006:BH1006),$AO$1006:$BQ$1006,0)), HYPERLINK("#",""), HYPERLINK(CONCATENATE("#Metadata!", ADDRESS(INDEX($AJ$2:$AJ$1001,MATCH(ROWS($AH$2:AH794),$AH$2:$AH$1001,0),0), INDEX($AO$1004:$BQ$1004,1,MATCH(COLUMNS($AO$1006:BH1006),$AO$1006:$BQ$1006,0)))),"Fix")))</f>
        <v>#N/A</v>
      </c>
      <c r="V794" s="5" t="e">
        <f ca="1">IF(OR(INDEX($AI$2:$AI$1001,MATCH(ROWS($AH$2:AH794),$AH$2:$AH$1001,0),1)&gt;=100000,INDEX($AO$1005:$BQ$1005,1,MATCH(COLUMNS($AO$1006:BI1006),$AO$1006:$BQ$1006,0))&gt;=100000), " ",IF(INDEX($AO$2:$BQ$1001,MATCH(ROWS($AH$2:AH794),$AH$2:$AH$1001,0),MATCH(COLUMNS($AO$1006:BI1006),$AO$1006:$BQ$1006,0)), HYPERLINK("#",""), HYPERLINK(CONCATENATE("#Metadata!", ADDRESS(INDEX($AJ$2:$AJ$1001,MATCH(ROWS($AH$2:AH794),$AH$2:$AH$1001,0),0), INDEX($AO$1004:$BQ$1004,1,MATCH(COLUMNS($AO$1006:BI1006),$AO$1006:$BQ$1006,0)))),"Fix")))</f>
        <v>#N/A</v>
      </c>
      <c r="W794" s="5" t="e">
        <f ca="1">IF(OR(INDEX($AI$2:$AI$1001,MATCH(ROWS($AH$2:AH794),$AH$2:$AH$1001,0),1)&gt;=100000,INDEX($AO$1005:$BQ$1005,1,MATCH(COLUMNS($AO$1006:BJ1006),$AO$1006:$BQ$1006,0))&gt;=100000), " ",IF(INDEX($AO$2:$BQ$1001,MATCH(ROWS($AH$2:AH794),$AH$2:$AH$1001,0),MATCH(COLUMNS($AO$1006:BJ1006),$AO$1006:$BQ$1006,0)), HYPERLINK("#",""), HYPERLINK(CONCATENATE("#Metadata!", ADDRESS(INDEX($AJ$2:$AJ$1001,MATCH(ROWS($AH$2:AH794),$AH$2:$AH$1001,0),0), INDEX($AO$1004:$BQ$1004,1,MATCH(COLUMNS($AO$1006:BJ1006),$AO$1006:$BQ$1006,0)))),"Fix")))</f>
        <v>#N/A</v>
      </c>
      <c r="X794" s="5" t="e">
        <f ca="1">IF(OR(INDEX($AI$2:$AI$1001,MATCH(ROWS($AH$2:AH794),$AH$2:$AH$1001,0),1)&gt;=100000,INDEX($AO$1005:$BQ$1005,1,MATCH(COLUMNS($AO$1006:BK1006),$AO$1006:$BQ$1006,0))&gt;=100000), " ",IF(INDEX($AO$2:$BQ$1001,MATCH(ROWS($AH$2:AH794),$AH$2:$AH$1001,0),MATCH(COLUMNS($AO$1006:BK1006),$AO$1006:$BQ$1006,0)), HYPERLINK("#",""), HYPERLINK(CONCATENATE("#Metadata!", ADDRESS(INDEX($AJ$2:$AJ$1001,MATCH(ROWS($AH$2:AH794),$AH$2:$AH$1001,0),0), INDEX($AO$1004:$BQ$1004,1,MATCH(COLUMNS($AO$1006:BK1006),$AO$1006:$BQ$1006,0)))),"Fix")))</f>
        <v>#N/A</v>
      </c>
      <c r="Y794" s="5" t="e">
        <f ca="1">IF(OR(INDEX($AI$2:$AI$1001,MATCH(ROWS($AH$2:AH794),$AH$2:$AH$1001,0),1)&gt;=100000,INDEX($AO$1005:$BQ$1005,1,MATCH(COLUMNS($AO$1006:BL1006),$AO$1006:$BQ$1006,0))&gt;=100000), " ",IF(INDEX($AO$2:$BQ$1001,MATCH(ROWS($AH$2:AH794),$AH$2:$AH$1001,0),MATCH(COLUMNS($AO$1006:BL1006),$AO$1006:$BQ$1006,0)), HYPERLINK("#",""), HYPERLINK(CONCATENATE("#Metadata!", ADDRESS(INDEX($AJ$2:$AJ$1001,MATCH(ROWS($AH$2:AH794),$AH$2:$AH$1001,0),0), INDEX($AO$1004:$BQ$1004,1,MATCH(COLUMNS($AO$1006:BL1006),$AO$1006:$BQ$1006,0)))),"Fix")))</f>
        <v>#N/A</v>
      </c>
      <c r="Z794" s="5" t="e">
        <f ca="1">IF(OR(INDEX($AI$2:$AI$1001,MATCH(ROWS($AH$2:AH794),$AH$2:$AH$1001,0),1)&gt;=100000,INDEX($AO$1005:$BQ$1005,1,MATCH(COLUMNS($AO$1006:BM1006),$AO$1006:$BQ$1006,0))&gt;=100000), " ",IF(INDEX($AO$2:$BQ$1001,MATCH(ROWS($AH$2:AH794),$AH$2:$AH$1001,0),MATCH(COLUMNS($AO$1006:BM1006),$AO$1006:$BQ$1006,0)), HYPERLINK("#",""), HYPERLINK(CONCATENATE("#Metadata!", ADDRESS(INDEX($AJ$2:$AJ$1001,MATCH(ROWS($AH$2:AH794),$AH$2:$AH$1001,0),0), INDEX($AO$1004:$BQ$1004,1,MATCH(COLUMNS($AO$1006:BM1006),$AO$1006:$BQ$1006,0)))),"Fix")))</f>
        <v>#N/A</v>
      </c>
      <c r="AA794" s="5" t="e">
        <f ca="1">IF(OR(INDEX($AI$2:$AI$1001,MATCH(ROWS($AH$2:AH794),$AH$2:$AH$1001,0),1)&gt;=100000,INDEX($AO$1005:$BQ$1005,1,MATCH(COLUMNS($AO$1006:BN1006),$AO$1006:$BQ$1006,0))&gt;=100000), " ",IF(INDEX($AO$2:$BQ$1001,MATCH(ROWS($AH$2:AH794),$AH$2:$AH$1001,0),MATCH(COLUMNS($AO$1006:BN1006),$AO$1006:$BQ$1006,0)), HYPERLINK("#",""), HYPERLINK(CONCATENATE("#Metadata!", ADDRESS(INDEX($AJ$2:$AJ$1001,MATCH(ROWS($AH$2:AH794),$AH$2:$AH$1001,0),0), INDEX($AO$1004:$BQ$1004,1,MATCH(COLUMNS($AO$1006:BN1006),$AO$1006:$BQ$1006,0)))),"Fix")))</f>
        <v>#N/A</v>
      </c>
      <c r="AB794" s="5" t="e">
        <f ca="1">IF(OR(INDEX($AI$2:$AI$1001,MATCH(ROWS($AH$2:AH794),$AH$2:$AH$1001,0),1)&gt;=100000,INDEX($AO$1005:$BQ$1005,1,MATCH(COLUMNS($AO$1006:BO1006),$AO$1006:$BQ$1006,0))&gt;=100000), " ",IF(INDEX($AO$2:$BQ$1001,MATCH(ROWS($AH$2:AH794),$AH$2:$AH$1001,0),MATCH(COLUMNS($AO$1006:BO1006),$AO$1006:$BQ$1006,0)), HYPERLINK("#",""), HYPERLINK(CONCATENATE("#Metadata!", ADDRESS(INDEX($AJ$2:$AJ$1001,MATCH(ROWS($AH$2:AH794),$AH$2:$AH$1001,0),0), INDEX($AO$1004:$BQ$1004,1,MATCH(COLUMNS($AO$1006:BO1006),$AO$1006:$BQ$1006,0)))),"Fix")))</f>
        <v>#N/A</v>
      </c>
      <c r="AC794" s="5" t="e">
        <f ca="1">IF(OR(INDEX($AI$2:$AI$1001,MATCH(ROWS($AH$2:AH794),$AH$2:$AH$1001,0),1)&gt;=100000,INDEX($AO$1005:$BQ$1005,1,MATCH(COLUMNS($AO$1006:BP1006),$AO$1006:$BQ$1006,0))&gt;=100000), " ",IF(INDEX($AO$2:$BQ$1001,MATCH(ROWS($AH$2:AH794),$AH$2:$AH$1001,0),MATCH(COLUMNS($AO$1006:BP1006),$AO$1006:$BQ$1006,0)), HYPERLINK("#",""), HYPERLINK(CONCATENATE("#Metadata!", ADDRESS(INDEX($AJ$2:$AJ$1001,MATCH(ROWS($AH$2:AH794),$AH$2:$AH$1001,0),0), INDEX($AO$1004:$BQ$1004,1,MATCH(COLUMNS($AO$1006:BP1006),$AO$1006:$BQ$1006,0)))),"Fix")))</f>
        <v>#N/A</v>
      </c>
      <c r="AD794" s="5" t="e">
        <f ca="1">IF(OR(INDEX($AI$2:$AI$1001,MATCH(ROWS($AH$2:AH794),$AH$2:$AH$1001,0),1)&gt;=100000,INDEX($AO$1005:$BQ$1005,1,MATCH(COLUMNS($AO$1006:BQ1006),$AO$1006:$BQ$1006,0))&gt;=100000), " ",IF(INDEX($AO$2:$BQ$1001,MATCH(ROWS($AH$2:AH794),$AH$2:$AH$1001,0),MATCH(COLUMNS($AO$1006:BQ1006),$AO$1006:$BQ$1006,0)), HYPERLINK("#",""), HYPERLINK(CONCATENATE("#Metadata!", ADDRESS(INDEX($AJ$2:$AJ$1001,MATCH(ROWS($AH$2:AH794),$AH$2:$AH$1001,0),0), INDEX($AO$1004:$BQ$1004,1,MATCH(COLUMNS($AO$1006:BQ1006),$AO$1006:$BQ$1006,0)))),"Fix")))</f>
        <v>#REF!</v>
      </c>
      <c r="AH794">
        <f ca="1"/>
        <v>791</v>
      </c>
      <c r="AI794">
        <v>100794</v>
      </c>
      <c r="AJ794">
        <v>794</v>
      </c>
      <c r="AK794" t="b">
        <f t="shared" si="12"/>
        <v>1</v>
      </c>
      <c r="AL794" t="b">
        <f>COUNTBLANK(Metadata!B794:AD794)=COLUMNS(Metadata!B794:AD794)</f>
        <v>1</v>
      </c>
      <c r="AM794" t="str">
        <v/>
      </c>
      <c r="AO794" t="b">
        <f ca="1">AND(IF(Metadata!B794="",FALSE,TRUE),COUNTIF(Metadata!B:B, Metadata!B794) = 1,NOT(ISERROR(SUMPRODUCT(SEARCH(MID(Metadata!B794,ROW(INDIRECT("1:"&amp;LEN(Metadata!B794))), 1),"0123456789abcdefghijklmnopqrstuvwxyzABCDEFGHIJKLMNOPQRSTUVWXYZ.")))))</f>
        <v>0</v>
      </c>
      <c r="AP794" t="b">
        <f>IF(Metadata!C794="",FALSE,TRUE)</f>
        <v>0</v>
      </c>
      <c r="AQ794" t="b">
        <f>IF(Metadata!D794="",FALSE,TRUE)</f>
        <v>0</v>
      </c>
      <c r="AR794" t="b">
        <f ca="1">OR(AND(IF(Metadata!E794="",FALSE,TRUE),OR(EXACT(Metadata!E794,"not collected"),EXACT(Metadata!E794,"not provided"),EXACT(Metadata!E794,"restricted access"))),AND(IF(Metadata!E794="",FALSE,TRUE),AND(AND(IFERROR(INT(LEFT(Metadata!E794,4))&gt;1900,FALSE),IFERROR(INT(LEFT(Metadata!E794,4))&lt;=YEAR(NOW()),FALSE)), OR(MID(Metadata!E794,5,1)="", AND(AND(MID(Metadata!E794,5,1)="-",IFERROR(INT(MID(Metadata!E794,6,1))&gt;=0,FALSE),IFERROR(INT(MID(Metadata!E794,6,1))&lt;=1,FALSE),NOT(MID(Metadata!E794,7,1)=""),IFERROR(INT(MID(Metadata!E794,6,2))&gt;=1,FALSE),IFERROR(INT(MID(Metadata!E794,6,2))&lt;=12,FALSE)), OR(MID(Metadata!E794,8,1)="", AND(AND(MID(Metadata!E794,8,1)="-",IFERROR(INT(MID(Metadata!E794,9,1))&gt;=0,FALSE),IFERROR(INT(MID(Metadata!E794,9,1))&lt;=3,FALSE),NOT(MID(Metadata!E794,10,1)=""),IFERROR(INT(MID(Metadata!E794,9,2))&gt;=1,FALSE),IFERROR(INT(MID(Metadata!E794,9,2))&lt;=31,FALSE)), OR(MID(Metadata!E794,11,1)="", AND(AND(MID(Metadata!E794,11,1)=" ",IFERROR(INT(MID(Metadata!E794,12,1))&gt;=0,FALSE),IFERROR(INT(MID(Metadata!E794,12,1))&lt;=2,FALSE),NOT(MID(Metadata!E794,13,1)=""),IFERROR(INT(MID(Metadata!E794,12,2))&gt;=0,FALSE),IFERROR(INT(MID(Metadata!E794,12,2))&lt;=23,FALSE)), OR(MID(Metadata!E794,14,1)="", AND(AND(MID(Metadata!E794,14,1)=":",IFERROR(INT(MID(Metadata!E794,15,1))&gt;=0,FALSE),IFERROR(INT(MID(Metadata!E794,15,1))&lt;=5,FALSE),NOT(MID(Metadata!E794,16,1)=""),IFERROR(INT(MID(Metadata!E794,15,2))&gt;=0,FALSE),IFERROR(INT(MID(Metadata!E794,15,2))&lt;=59,FALSE)), OR(MID(Metadata!E794,17,1)="", AND(AND(MID(Metadata!E794,17,1)=":",IFERROR(INT(MID(Metadata!E794,18,1))&gt;=0,FALSE),IFERROR(INT(MID(Metadata!E794,18,1))&lt;=5,FALSE),NOT(MID(Metadata!E794,19,1)=""),IFERROR(INT(MID(Metadata!E794,18,2))&gt;=0,FALSE),IFERROR(INT(MID(Metadata!E794,18,2))&lt;=59,FALSE)), LEN(Metadata!E794)&lt;=19)))))))))))))</f>
        <v>0</v>
      </c>
      <c r="AS794" t="b">
        <f>IF(Metadata!F794="",FALSE,TRUE)</f>
        <v>0</v>
      </c>
      <c r="AT794" t="b">
        <f>OR(AND(IF(Metadata!G794="",FALSE,TRUE),OR(EXACT(Metadata!G794,"not collected"),EXACT(Metadata!G794,"not provided"))),AND(IF(Metadata!G794="",FALSE,TRUE),OR(EXACT(Metadata!G794,"TRUE"),EXACT(Metadata!G794,"FALSE"))))</f>
        <v>0</v>
      </c>
      <c r="AU794" t="b">
        <f>OR(AND(IF(Metadata!H794="",FALSE,TRUE),OR(EXACT(Metadata!H794,"not collected"),EXACT(Metadata!H794,"not provided"),EXACT(Metadata!H794,"restricted access"))),AND(IF(Metadata!H794="",FALSE,ISNUMBER(VALUE(Metadata!H794))),Metadata!H794&gt;=-413))</f>
        <v>0</v>
      </c>
      <c r="AV794" t="b">
        <f>AND(IF(Metadata!I794="",FALSE,TRUE),EXACT(Metadata!I794,"meters"))</f>
        <v>0</v>
      </c>
      <c r="AW794" t="b">
        <f>AND(IF(Metadata!J794="",FALSE,TRUE),EXACT(Metadata!J794,"free-living"))</f>
        <v>0</v>
      </c>
      <c r="AX794" t="b">
        <f>AND(IF(Metadata!K794="",FALSE,TRUE),OR(EXACT(Metadata!K794,"saline"),EXACT(Metadata!K794,"non-saline")))</f>
        <v>0</v>
      </c>
      <c r="AY794" t="b">
        <f>AND(IF(Metadata!L794="",FALSE,TRUE),OR(EXACT(Metadata!L794,"sub-surface (non-saline)"),EXACT(Metadata!L794,"surface (non-saline)"),EXACT(Metadata!L794,"water (non-saline)"),EXACT(Metadata!L794,"soil (non-saline)"),EXACT(Metadata!L794,"aerosol (non-saline)"),EXACT(Metadata!L794,"sediment (non-saline)"),EXACT(Metadata!L794,"surface (saline)"),EXACT(Metadata!L794,"water (saline)"),EXACT(Metadata!L794,"hypersaline (saline)"),EXACT(Metadata!L794,"aerosol (saline)"),EXACT(Metadata!L794,"sediment (saline)")))</f>
        <v>0</v>
      </c>
      <c r="AZ794" t="b">
        <f>IF(Metadata!M794="",FALSE,TRUE)</f>
        <v>0</v>
      </c>
      <c r="BA794" t="b">
        <f>IF(Metadata!N794="",FALSE,TRUE)</f>
        <v>0</v>
      </c>
      <c r="BB794" t="b">
        <f>IF(Metadata!O794="",FALSE,TRUE)</f>
        <v>0</v>
      </c>
      <c r="BC794" t="b">
        <f>AND(IF(Metadata!P794="",FALSE,TRUE),OR(EXACT(Metadata!P794,"air"),EXACT(Metadata!P794,"microbial mat/biofilm"),EXACT(Metadata!P794,"misc environment"),EXACT(Metadata!P794,"sediment"),EXACT(Metadata!P794,"soil"),EXACT(Metadata!P794,"wastewater/sludge"),EXACT(Metadata!P794,"water")))</f>
        <v>0</v>
      </c>
      <c r="BD794" t="b">
        <f>IF(Metadata!Q794="",FALSE,TRUE)</f>
        <v>0</v>
      </c>
      <c r="BE794" t="b">
        <f>IF(Metadata!R794="",FALSE,TRUE)</f>
        <v>0</v>
      </c>
      <c r="BF794" t="b">
        <f>OR(AND(IF(Metadata!S794="",FALSE,TRUE),OR(EXACT(Metadata!S794,"not collected"),EXACT(Metadata!S794,"not provided"),EXACT(Metadata!S794,"restricted access"))),AND(IF(Metadata!S794="",FALSE,ISNUMBER(VALUE(Metadata!S794))),Metadata!S794&gt;=-90,Metadata!S794&lt;=90))</f>
        <v>0</v>
      </c>
      <c r="BG794" t="b">
        <f>AND(IF(Metadata!T794="",FALSE,TRUE),EXACT(Metadata!T794,"Decimal degrees"))</f>
        <v>0</v>
      </c>
      <c r="BH794" t="b">
        <f>OR(AND(IF(Metadata!U794="",FALSE,TRUE),OR(EXACT(Metadata!U794,"not applicable"),EXACT(Metadata!U794,"not collected"))),IF(Metadata!U794="",FALSE,TRUE))</f>
        <v>0</v>
      </c>
      <c r="BI794" t="b">
        <f>OR(AND(IF(Metadata!V794="",FALSE,TRUE),OR(EXACT(Metadata!V794,"not collected"),EXACT(Metadata!V794,"not provided"),EXACT(Metadata!V794,"restricted access"))),AND(IF(Metadata!V794="",FALSE,ISNUMBER(VALUE(Metadata!V794))),Metadata!V794&gt;=-180,Metadata!V794&lt;=180))</f>
        <v>0</v>
      </c>
      <c r="BJ794" t="b">
        <f>AND(IF(Metadata!W794="",FALSE,TRUE),EXACT(Metadata!W794,"Decimal degrees"))</f>
        <v>0</v>
      </c>
      <c r="BK794" t="b">
        <f>IF(Metadata!X794="",FALSE,TRUE)</f>
        <v>0</v>
      </c>
      <c r="BL794" t="b">
        <f>OR(AND(IF(Metadata!Y794="",FALSE,TRUE),OR(EXACT(Metadata!Y794,"not collected"),EXACT(Metadata!Y794,"not provided"),EXACT(Metadata!Y794,"restricted access"))),AND(IF(Metadata!Y794="",FALSE,TRUE),OR(EXACT(Metadata!Y794,"TRUE"),EXACT(Metadata!Y794,"FALSE"))))</f>
        <v>0</v>
      </c>
      <c r="BM794" t="b">
        <f>OR(AND(IF(Metadata!Z794="",FALSE,TRUE),EXACT(Metadata!Z794,"not applicable")),AND(IF(Metadata!Z794="",FALSE,TRUE),OR(EXACT(Metadata!Z794,"beer"),EXACT(Metadata!Z794,"cheese"),EXACT(Metadata!Z794,"fresh water"),EXACT(Metadata!Z794,"marine sediment"),EXACT(Metadata!Z794,"sea water"),EXACT(Metadata!Z794,"sediment"),EXACT(Metadata!Z794,"soil"),EXACT(Metadata!Z794,"waste water"))))</f>
        <v>0</v>
      </c>
      <c r="BN794" t="b">
        <f>AND(IF(Metadata!AA794="",FALSE,TRUE),EXACT(Metadata!AA794,"metagenome"))</f>
        <v>0</v>
      </c>
      <c r="BO794" t="b">
        <f>AND(IF(Metadata!AB794="",FALSE,TRUE),EXACT(Metadata!AB794,"256318"))</f>
        <v>0</v>
      </c>
      <c r="BP794" t="b">
        <f>IF(Metadata!AC794="",FALSE,TRUE)</f>
        <v>0</v>
      </c>
      <c r="BQ794" t="b">
        <f>IF(Metadata!AD794="",FALSE,TRUE)</f>
        <v>0</v>
      </c>
    </row>
    <row r="795" spans="1:69" x14ac:dyDescent="0.2">
      <c r="A795" s="4" t="e">
        <f ca="1">IF(B795=" "," ",HYPERLINK(CONCATENATE("#metadata!",ADDRESS(INDEX($AJ$2:$AJ$1001,MATCH(ROWS($AH$2:AH795),$AH$2:$AH$1001,0),0),2)),INDEX($AM$2:$AM$1001,MATCH(ROWS($AH$2:AH795),$AH$2:$AH$1001,0),0)))</f>
        <v>#N/A</v>
      </c>
      <c r="B795" s="5" t="e">
        <f ca="1">IF(OR(INDEX($AI$2:$AI$1001,MATCH(ROWS($AH$2:AH795),$AH$2:$AH$1001,0),1)&gt;=100000,INDEX($AO$1005:$BQ$1005,1,MATCH(COLUMNS($AO$1006:AO1006),$AO$1006:$BQ$1006,0))&gt;=100000), " ",IF(INDEX($AO$2:$BQ$1001,MATCH(ROWS($AH$2:AH795),$AH$2:$AH$1001,0),MATCH(COLUMNS($AO$1006:AO1006),$AO$1006:$BQ$1006,0)), HYPERLINK("#",""), HYPERLINK(CONCATENATE("#Metadata!", ADDRESS(INDEX($AJ$2:$AJ$1001,MATCH(ROWS($AH$2:AH795),$AH$2:$AH$1001,0),0), INDEX($AO$1004:$BQ$1004,1,MATCH(COLUMNS($AO$1006:AO1006),$AO$1006:$BQ$1006,0)))),"Fix")))</f>
        <v>#N/A</v>
      </c>
      <c r="C795" s="5" t="e">
        <f ca="1">IF(OR(INDEX($AI$2:$AI$1001,MATCH(ROWS($AH$2:AH795),$AH$2:$AH$1001,0),1)&gt;=100000,INDEX($AO$1005:$BQ$1005,1,MATCH(COLUMNS($AO$1006:AP1006),$AO$1006:$BQ$1006,0))&gt;=100000), " ",IF(INDEX($AO$2:$BQ$1001,MATCH(ROWS($AH$2:AH795),$AH$2:$AH$1001,0),MATCH(COLUMNS($AO$1006:AP1006),$AO$1006:$BQ$1006,0)), HYPERLINK("#",""), HYPERLINK(CONCATENATE("#Metadata!", ADDRESS(INDEX($AJ$2:$AJ$1001,MATCH(ROWS($AH$2:AH795),$AH$2:$AH$1001,0),0), INDEX($AO$1004:$BQ$1004,1,MATCH(COLUMNS($AO$1006:AP1006),$AO$1006:$BQ$1006,0)))),"Fix")))</f>
        <v>#N/A</v>
      </c>
      <c r="D795" s="5" t="e">
        <f ca="1">IF(OR(INDEX($AI$2:$AI$1001,MATCH(ROWS($AH$2:AH795),$AH$2:$AH$1001,0),1)&gt;=100000,INDEX($AO$1005:$BQ$1005,1,MATCH(COLUMNS($AO$1006:AQ1006),$AO$1006:$BQ$1006,0))&gt;=100000), " ",IF(INDEX($AO$2:$BQ$1001,MATCH(ROWS($AH$2:AH795),$AH$2:$AH$1001,0),MATCH(COLUMNS($AO$1006:AQ1006),$AO$1006:$BQ$1006,0)), HYPERLINK("#",""), HYPERLINK(CONCATENATE("#Metadata!", ADDRESS(INDEX($AJ$2:$AJ$1001,MATCH(ROWS($AH$2:AH795),$AH$2:$AH$1001,0),0), INDEX($AO$1004:$BQ$1004,1,MATCH(COLUMNS($AO$1006:AQ1006),$AO$1006:$BQ$1006,0)))),"Fix")))</f>
        <v>#N/A</v>
      </c>
      <c r="E795" s="5" t="e">
        <f ca="1">IF(OR(INDEX($AI$2:$AI$1001,MATCH(ROWS($AH$2:AH795),$AH$2:$AH$1001,0),1)&gt;=100000,INDEX($AO$1005:$BQ$1005,1,MATCH(COLUMNS($AO$1006:AR1006),$AO$1006:$BQ$1006,0))&gt;=100000), " ",IF(INDEX($AO$2:$BQ$1001,MATCH(ROWS($AH$2:AH795),$AH$2:$AH$1001,0),MATCH(COLUMNS($AO$1006:AR1006),$AO$1006:$BQ$1006,0)), HYPERLINK("#",""), HYPERLINK(CONCATENATE("#Metadata!", ADDRESS(INDEX($AJ$2:$AJ$1001,MATCH(ROWS($AH$2:AH795),$AH$2:$AH$1001,0),0), INDEX($AO$1004:$BQ$1004,1,MATCH(COLUMNS($AO$1006:AR1006),$AO$1006:$BQ$1006,0)))),"Fix")))</f>
        <v>#N/A</v>
      </c>
      <c r="F795" s="5" t="e">
        <f ca="1">IF(OR(INDEX($AI$2:$AI$1001,MATCH(ROWS($AH$2:AH795),$AH$2:$AH$1001,0),1)&gt;=100000,INDEX($AO$1005:$BQ$1005,1,MATCH(COLUMNS($AO$1006:AS1006),$AO$1006:$BQ$1006,0))&gt;=100000), " ",IF(INDEX($AO$2:$BQ$1001,MATCH(ROWS($AH$2:AH795),$AH$2:$AH$1001,0),MATCH(COLUMNS($AO$1006:AS1006),$AO$1006:$BQ$1006,0)), HYPERLINK("#",""), HYPERLINK(CONCATENATE("#Metadata!", ADDRESS(INDEX($AJ$2:$AJ$1001,MATCH(ROWS($AH$2:AH795),$AH$2:$AH$1001,0),0), INDEX($AO$1004:$BQ$1004,1,MATCH(COLUMNS($AO$1006:AS1006),$AO$1006:$BQ$1006,0)))),"Fix")))</f>
        <v>#N/A</v>
      </c>
      <c r="G795" s="5" t="e">
        <f ca="1">IF(OR(INDEX($AI$2:$AI$1001,MATCH(ROWS($AH$2:AH795),$AH$2:$AH$1001,0),1)&gt;=100000,INDEX($AO$1005:$BQ$1005,1,MATCH(COLUMNS($AO$1006:AT1006),$AO$1006:$BQ$1006,0))&gt;=100000), " ",IF(INDEX($AO$2:$BQ$1001,MATCH(ROWS($AH$2:AH795),$AH$2:$AH$1001,0),MATCH(COLUMNS($AO$1006:AT1006),$AO$1006:$BQ$1006,0)), HYPERLINK("#",""), HYPERLINK(CONCATENATE("#Metadata!", ADDRESS(INDEX($AJ$2:$AJ$1001,MATCH(ROWS($AH$2:AH795),$AH$2:$AH$1001,0),0), INDEX($AO$1004:$BQ$1004,1,MATCH(COLUMNS($AO$1006:AT1006),$AO$1006:$BQ$1006,0)))),"Fix")))</f>
        <v>#N/A</v>
      </c>
      <c r="H795" s="5" t="e">
        <f ca="1">IF(OR(INDEX($AI$2:$AI$1001,MATCH(ROWS($AH$2:AH795),$AH$2:$AH$1001,0),1)&gt;=100000,INDEX($AO$1005:$BQ$1005,1,MATCH(COLUMNS($AO$1006:AU1006),$AO$1006:$BQ$1006,0))&gt;=100000), " ",IF(INDEX($AO$2:$BQ$1001,MATCH(ROWS($AH$2:AH795),$AH$2:$AH$1001,0),MATCH(COLUMNS($AO$1006:AU1006),$AO$1006:$BQ$1006,0)), HYPERLINK("#",""), HYPERLINK(CONCATENATE("#Metadata!", ADDRESS(INDEX($AJ$2:$AJ$1001,MATCH(ROWS($AH$2:AH795),$AH$2:$AH$1001,0),0), INDEX($AO$1004:$BQ$1004,1,MATCH(COLUMNS($AO$1006:AU1006),$AO$1006:$BQ$1006,0)))),"Fix")))</f>
        <v>#N/A</v>
      </c>
      <c r="I795" s="5" t="e">
        <f ca="1">IF(OR(INDEX($AI$2:$AI$1001,MATCH(ROWS($AH$2:AH795),$AH$2:$AH$1001,0),1)&gt;=100000,INDEX($AO$1005:$BQ$1005,1,MATCH(COLUMNS($AO$1006:AV1006),$AO$1006:$BQ$1006,0))&gt;=100000), " ",IF(INDEX($AO$2:$BQ$1001,MATCH(ROWS($AH$2:AH795),$AH$2:$AH$1001,0),MATCH(COLUMNS($AO$1006:AV1006),$AO$1006:$BQ$1006,0)), HYPERLINK("#",""), HYPERLINK(CONCATENATE("#Metadata!", ADDRESS(INDEX($AJ$2:$AJ$1001,MATCH(ROWS($AH$2:AH795),$AH$2:$AH$1001,0),0), INDEX($AO$1004:$BQ$1004,1,MATCH(COLUMNS($AO$1006:AV1006),$AO$1006:$BQ$1006,0)))),"Fix")))</f>
        <v>#N/A</v>
      </c>
      <c r="J795" s="5" t="e">
        <f ca="1">IF(OR(INDEX($AI$2:$AI$1001,MATCH(ROWS($AH$2:AH795),$AH$2:$AH$1001,0),1)&gt;=100000,INDEX($AO$1005:$BQ$1005,1,MATCH(COLUMNS($AO$1006:AW1006),$AO$1006:$BQ$1006,0))&gt;=100000), " ",IF(INDEX($AO$2:$BQ$1001,MATCH(ROWS($AH$2:AH795),$AH$2:$AH$1001,0),MATCH(COLUMNS($AO$1006:AW1006),$AO$1006:$BQ$1006,0)), HYPERLINK("#",""), HYPERLINK(CONCATENATE("#Metadata!", ADDRESS(INDEX($AJ$2:$AJ$1001,MATCH(ROWS($AH$2:AH795),$AH$2:$AH$1001,0),0), INDEX($AO$1004:$BQ$1004,1,MATCH(COLUMNS($AO$1006:AW1006),$AO$1006:$BQ$1006,0)))),"Fix")))</f>
        <v>#N/A</v>
      </c>
      <c r="K795" s="5" t="e">
        <f ca="1">IF(OR(INDEX($AI$2:$AI$1001,MATCH(ROWS($AH$2:AH795),$AH$2:$AH$1001,0),1)&gt;=100000,INDEX($AO$1005:$BQ$1005,1,MATCH(COLUMNS($AO$1006:AX1006),$AO$1006:$BQ$1006,0))&gt;=100000), " ",IF(INDEX($AO$2:$BQ$1001,MATCH(ROWS($AH$2:AH795),$AH$2:$AH$1001,0),MATCH(COLUMNS($AO$1006:AX1006),$AO$1006:$BQ$1006,0)), HYPERLINK("#",""), HYPERLINK(CONCATENATE("#Metadata!", ADDRESS(INDEX($AJ$2:$AJ$1001,MATCH(ROWS($AH$2:AH795),$AH$2:$AH$1001,0),0), INDEX($AO$1004:$BQ$1004,1,MATCH(COLUMNS($AO$1006:AX1006),$AO$1006:$BQ$1006,0)))),"Fix")))</f>
        <v>#N/A</v>
      </c>
      <c r="L795" s="5" t="e">
        <f ca="1">IF(OR(INDEX($AI$2:$AI$1001,MATCH(ROWS($AH$2:AH795),$AH$2:$AH$1001,0),1)&gt;=100000,INDEX($AO$1005:$BQ$1005,1,MATCH(COLUMNS($AO$1006:AY1006),$AO$1006:$BQ$1006,0))&gt;=100000), " ",IF(INDEX($AO$2:$BQ$1001,MATCH(ROWS($AH$2:AH795),$AH$2:$AH$1001,0),MATCH(COLUMNS($AO$1006:AY1006),$AO$1006:$BQ$1006,0)), HYPERLINK("#",""), HYPERLINK(CONCATENATE("#Metadata!", ADDRESS(INDEX($AJ$2:$AJ$1001,MATCH(ROWS($AH$2:AH795),$AH$2:$AH$1001,0),0), INDEX($AO$1004:$BQ$1004,1,MATCH(COLUMNS($AO$1006:AY1006),$AO$1006:$BQ$1006,0)))),"Fix")))</f>
        <v>#N/A</v>
      </c>
      <c r="M795" s="5" t="e">
        <f ca="1">IF(OR(INDEX($AI$2:$AI$1001,MATCH(ROWS($AH$2:AH795),$AH$2:$AH$1001,0),1)&gt;=100000,INDEX($AO$1005:$BQ$1005,1,MATCH(COLUMNS($AO$1006:AZ1006),$AO$1006:$BQ$1006,0))&gt;=100000), " ",IF(INDEX($AO$2:$BQ$1001,MATCH(ROWS($AH$2:AH795),$AH$2:$AH$1001,0),MATCH(COLUMNS($AO$1006:AZ1006),$AO$1006:$BQ$1006,0)), HYPERLINK("#",""), HYPERLINK(CONCATENATE("#Metadata!", ADDRESS(INDEX($AJ$2:$AJ$1001,MATCH(ROWS($AH$2:AH795),$AH$2:$AH$1001,0),0), INDEX($AO$1004:$BQ$1004,1,MATCH(COLUMNS($AO$1006:AZ1006),$AO$1006:$BQ$1006,0)))),"Fix")))</f>
        <v>#N/A</v>
      </c>
      <c r="N795" s="5" t="e">
        <f ca="1">IF(OR(INDEX($AI$2:$AI$1001,MATCH(ROWS($AH$2:AH795),$AH$2:$AH$1001,0),1)&gt;=100000,INDEX($AO$1005:$BQ$1005,1,MATCH(COLUMNS($AO$1006:BA1006),$AO$1006:$BQ$1006,0))&gt;=100000), " ",IF(INDEX($AO$2:$BQ$1001,MATCH(ROWS($AH$2:AH795),$AH$2:$AH$1001,0),MATCH(COLUMNS($AO$1006:BA1006),$AO$1006:$BQ$1006,0)), HYPERLINK("#",""), HYPERLINK(CONCATENATE("#Metadata!", ADDRESS(INDEX($AJ$2:$AJ$1001,MATCH(ROWS($AH$2:AH795),$AH$2:$AH$1001,0),0), INDEX($AO$1004:$BQ$1004,1,MATCH(COLUMNS($AO$1006:BA1006),$AO$1006:$BQ$1006,0)))),"Fix")))</f>
        <v>#N/A</v>
      </c>
      <c r="O795" s="5" t="e">
        <f ca="1">IF(OR(INDEX($AI$2:$AI$1001,MATCH(ROWS($AH$2:AH795),$AH$2:$AH$1001,0),1)&gt;=100000,INDEX($AO$1005:$BQ$1005,1,MATCH(COLUMNS($AO$1006:BB1006),$AO$1006:$BQ$1006,0))&gt;=100000), " ",IF(INDEX($AO$2:$BQ$1001,MATCH(ROWS($AH$2:AH795),$AH$2:$AH$1001,0),MATCH(COLUMNS($AO$1006:BB1006),$AO$1006:$BQ$1006,0)), HYPERLINK("#",""), HYPERLINK(CONCATENATE("#Metadata!", ADDRESS(INDEX($AJ$2:$AJ$1001,MATCH(ROWS($AH$2:AH795),$AH$2:$AH$1001,0),0), INDEX($AO$1004:$BQ$1004,1,MATCH(COLUMNS($AO$1006:BB1006),$AO$1006:$BQ$1006,0)))),"Fix")))</f>
        <v>#N/A</v>
      </c>
      <c r="P795" s="5" t="e">
        <f ca="1">IF(OR(INDEX($AI$2:$AI$1001,MATCH(ROWS($AH$2:AH795),$AH$2:$AH$1001,0),1)&gt;=100000,INDEX($AO$1005:$BQ$1005,1,MATCH(COLUMNS($AO$1006:BC1006),$AO$1006:$BQ$1006,0))&gt;=100000), " ",IF(INDEX($AO$2:$BQ$1001,MATCH(ROWS($AH$2:AH795),$AH$2:$AH$1001,0),MATCH(COLUMNS($AO$1006:BC1006),$AO$1006:$BQ$1006,0)), HYPERLINK("#",""), HYPERLINK(CONCATENATE("#Metadata!", ADDRESS(INDEX($AJ$2:$AJ$1001,MATCH(ROWS($AH$2:AH795),$AH$2:$AH$1001,0),0), INDEX($AO$1004:$BQ$1004,1,MATCH(COLUMNS($AO$1006:BC1006),$AO$1006:$BQ$1006,0)))),"Fix")))</f>
        <v>#N/A</v>
      </c>
      <c r="Q795" s="5" t="e">
        <f ca="1">IF(OR(INDEX($AI$2:$AI$1001,MATCH(ROWS($AH$2:AH795),$AH$2:$AH$1001,0),1)&gt;=100000,INDEX($AO$1005:$BQ$1005,1,MATCH(COLUMNS($AO$1006:BD1006),$AO$1006:$BQ$1006,0))&gt;=100000), " ",IF(INDEX($AO$2:$BQ$1001,MATCH(ROWS($AH$2:AH795),$AH$2:$AH$1001,0),MATCH(COLUMNS($AO$1006:BD1006),$AO$1006:$BQ$1006,0)), HYPERLINK("#",""), HYPERLINK(CONCATENATE("#Metadata!", ADDRESS(INDEX($AJ$2:$AJ$1001,MATCH(ROWS($AH$2:AH795),$AH$2:$AH$1001,0),0), INDEX($AO$1004:$BQ$1004,1,MATCH(COLUMNS($AO$1006:BD1006),$AO$1006:$BQ$1006,0)))),"Fix")))</f>
        <v>#N/A</v>
      </c>
      <c r="R795" s="5" t="e">
        <f ca="1">IF(OR(INDEX($AI$2:$AI$1001,MATCH(ROWS($AH$2:AH795),$AH$2:$AH$1001,0),1)&gt;=100000,INDEX($AO$1005:$BQ$1005,1,MATCH(COLUMNS($AO$1006:BE1006),$AO$1006:$BQ$1006,0))&gt;=100000), " ",IF(INDEX($AO$2:$BQ$1001,MATCH(ROWS($AH$2:AH795),$AH$2:$AH$1001,0),MATCH(COLUMNS($AO$1006:BE1006),$AO$1006:$BQ$1006,0)), HYPERLINK("#",""), HYPERLINK(CONCATENATE("#Metadata!", ADDRESS(INDEX($AJ$2:$AJ$1001,MATCH(ROWS($AH$2:AH795),$AH$2:$AH$1001,0),0), INDEX($AO$1004:$BQ$1004,1,MATCH(COLUMNS($AO$1006:BE1006),$AO$1006:$BQ$1006,0)))),"Fix")))</f>
        <v>#N/A</v>
      </c>
      <c r="S795" s="5" t="e">
        <f ca="1">IF(OR(INDEX($AI$2:$AI$1001,MATCH(ROWS($AH$2:AH795),$AH$2:$AH$1001,0),1)&gt;=100000,INDEX($AO$1005:$BQ$1005,1,MATCH(COLUMNS($AO$1006:BF1006),$AO$1006:$BQ$1006,0))&gt;=100000), " ",IF(INDEX($AO$2:$BQ$1001,MATCH(ROWS($AH$2:AH795),$AH$2:$AH$1001,0),MATCH(COLUMNS($AO$1006:BF1006),$AO$1006:$BQ$1006,0)), HYPERLINK("#",""), HYPERLINK(CONCATENATE("#Metadata!", ADDRESS(INDEX($AJ$2:$AJ$1001,MATCH(ROWS($AH$2:AH795),$AH$2:$AH$1001,0),0), INDEX($AO$1004:$BQ$1004,1,MATCH(COLUMNS($AO$1006:BF1006),$AO$1006:$BQ$1006,0)))),"Fix")))</f>
        <v>#N/A</v>
      </c>
      <c r="T795" s="5" t="e">
        <f ca="1">IF(OR(INDEX($AI$2:$AI$1001,MATCH(ROWS($AH$2:AH795),$AH$2:$AH$1001,0),1)&gt;=100000,INDEX($AO$1005:$BQ$1005,1,MATCH(COLUMNS($AO$1006:BG1006),$AO$1006:$BQ$1006,0))&gt;=100000), " ",IF(INDEX($AO$2:$BQ$1001,MATCH(ROWS($AH$2:AH795),$AH$2:$AH$1001,0),MATCH(COLUMNS($AO$1006:BG1006),$AO$1006:$BQ$1006,0)), HYPERLINK("#",""), HYPERLINK(CONCATENATE("#Metadata!", ADDRESS(INDEX($AJ$2:$AJ$1001,MATCH(ROWS($AH$2:AH795),$AH$2:$AH$1001,0),0), INDEX($AO$1004:$BQ$1004,1,MATCH(COLUMNS($AO$1006:BG1006),$AO$1006:$BQ$1006,0)))),"Fix")))</f>
        <v>#N/A</v>
      </c>
      <c r="U795" s="5" t="e">
        <f ca="1">IF(OR(INDEX($AI$2:$AI$1001,MATCH(ROWS($AH$2:AH795),$AH$2:$AH$1001,0),1)&gt;=100000,INDEX($AO$1005:$BQ$1005,1,MATCH(COLUMNS($AO$1006:BH1006),$AO$1006:$BQ$1006,0))&gt;=100000), " ",IF(INDEX($AO$2:$BQ$1001,MATCH(ROWS($AH$2:AH795),$AH$2:$AH$1001,0),MATCH(COLUMNS($AO$1006:BH1006),$AO$1006:$BQ$1006,0)), HYPERLINK("#",""), HYPERLINK(CONCATENATE("#Metadata!", ADDRESS(INDEX($AJ$2:$AJ$1001,MATCH(ROWS($AH$2:AH795),$AH$2:$AH$1001,0),0), INDEX($AO$1004:$BQ$1004,1,MATCH(COLUMNS($AO$1006:BH1006),$AO$1006:$BQ$1006,0)))),"Fix")))</f>
        <v>#N/A</v>
      </c>
      <c r="V795" s="5" t="e">
        <f ca="1">IF(OR(INDEX($AI$2:$AI$1001,MATCH(ROWS($AH$2:AH795),$AH$2:$AH$1001,0),1)&gt;=100000,INDEX($AO$1005:$BQ$1005,1,MATCH(COLUMNS($AO$1006:BI1006),$AO$1006:$BQ$1006,0))&gt;=100000), " ",IF(INDEX($AO$2:$BQ$1001,MATCH(ROWS($AH$2:AH795),$AH$2:$AH$1001,0),MATCH(COLUMNS($AO$1006:BI1006),$AO$1006:$BQ$1006,0)), HYPERLINK("#",""), HYPERLINK(CONCATENATE("#Metadata!", ADDRESS(INDEX($AJ$2:$AJ$1001,MATCH(ROWS($AH$2:AH795),$AH$2:$AH$1001,0),0), INDEX($AO$1004:$BQ$1004,1,MATCH(COLUMNS($AO$1006:BI1006),$AO$1006:$BQ$1006,0)))),"Fix")))</f>
        <v>#N/A</v>
      </c>
      <c r="W795" s="5" t="e">
        <f ca="1">IF(OR(INDEX($AI$2:$AI$1001,MATCH(ROWS($AH$2:AH795),$AH$2:$AH$1001,0),1)&gt;=100000,INDEX($AO$1005:$BQ$1005,1,MATCH(COLUMNS($AO$1006:BJ1006),$AO$1006:$BQ$1006,0))&gt;=100000), " ",IF(INDEX($AO$2:$BQ$1001,MATCH(ROWS($AH$2:AH795),$AH$2:$AH$1001,0),MATCH(COLUMNS($AO$1006:BJ1006),$AO$1006:$BQ$1006,0)), HYPERLINK("#",""), HYPERLINK(CONCATENATE("#Metadata!", ADDRESS(INDEX($AJ$2:$AJ$1001,MATCH(ROWS($AH$2:AH795),$AH$2:$AH$1001,0),0), INDEX($AO$1004:$BQ$1004,1,MATCH(COLUMNS($AO$1006:BJ1006),$AO$1006:$BQ$1006,0)))),"Fix")))</f>
        <v>#N/A</v>
      </c>
      <c r="X795" s="5" t="e">
        <f ca="1">IF(OR(INDEX($AI$2:$AI$1001,MATCH(ROWS($AH$2:AH795),$AH$2:$AH$1001,0),1)&gt;=100000,INDEX($AO$1005:$BQ$1005,1,MATCH(COLUMNS($AO$1006:BK1006),$AO$1006:$BQ$1006,0))&gt;=100000), " ",IF(INDEX($AO$2:$BQ$1001,MATCH(ROWS($AH$2:AH795),$AH$2:$AH$1001,0),MATCH(COLUMNS($AO$1006:BK1006),$AO$1006:$BQ$1006,0)), HYPERLINK("#",""), HYPERLINK(CONCATENATE("#Metadata!", ADDRESS(INDEX($AJ$2:$AJ$1001,MATCH(ROWS($AH$2:AH795),$AH$2:$AH$1001,0),0), INDEX($AO$1004:$BQ$1004,1,MATCH(COLUMNS($AO$1006:BK1006),$AO$1006:$BQ$1006,0)))),"Fix")))</f>
        <v>#N/A</v>
      </c>
      <c r="Y795" s="5" t="e">
        <f ca="1">IF(OR(INDEX($AI$2:$AI$1001,MATCH(ROWS($AH$2:AH795),$AH$2:$AH$1001,0),1)&gt;=100000,INDEX($AO$1005:$BQ$1005,1,MATCH(COLUMNS($AO$1006:BL1006),$AO$1006:$BQ$1006,0))&gt;=100000), " ",IF(INDEX($AO$2:$BQ$1001,MATCH(ROWS($AH$2:AH795),$AH$2:$AH$1001,0),MATCH(COLUMNS($AO$1006:BL1006),$AO$1006:$BQ$1006,0)), HYPERLINK("#",""), HYPERLINK(CONCATENATE("#Metadata!", ADDRESS(INDEX($AJ$2:$AJ$1001,MATCH(ROWS($AH$2:AH795),$AH$2:$AH$1001,0),0), INDEX($AO$1004:$BQ$1004,1,MATCH(COLUMNS($AO$1006:BL1006),$AO$1006:$BQ$1006,0)))),"Fix")))</f>
        <v>#N/A</v>
      </c>
      <c r="Z795" s="5" t="e">
        <f ca="1">IF(OR(INDEX($AI$2:$AI$1001,MATCH(ROWS($AH$2:AH795),$AH$2:$AH$1001,0),1)&gt;=100000,INDEX($AO$1005:$BQ$1005,1,MATCH(COLUMNS($AO$1006:BM1006),$AO$1006:$BQ$1006,0))&gt;=100000), " ",IF(INDEX($AO$2:$BQ$1001,MATCH(ROWS($AH$2:AH795),$AH$2:$AH$1001,0),MATCH(COLUMNS($AO$1006:BM1006),$AO$1006:$BQ$1006,0)), HYPERLINK("#",""), HYPERLINK(CONCATENATE("#Metadata!", ADDRESS(INDEX($AJ$2:$AJ$1001,MATCH(ROWS($AH$2:AH795),$AH$2:$AH$1001,0),0), INDEX($AO$1004:$BQ$1004,1,MATCH(COLUMNS($AO$1006:BM1006),$AO$1006:$BQ$1006,0)))),"Fix")))</f>
        <v>#N/A</v>
      </c>
      <c r="AA795" s="5" t="e">
        <f ca="1">IF(OR(INDEX($AI$2:$AI$1001,MATCH(ROWS($AH$2:AH795),$AH$2:$AH$1001,0),1)&gt;=100000,INDEX($AO$1005:$BQ$1005,1,MATCH(COLUMNS($AO$1006:BN1006),$AO$1006:$BQ$1006,0))&gt;=100000), " ",IF(INDEX($AO$2:$BQ$1001,MATCH(ROWS($AH$2:AH795),$AH$2:$AH$1001,0),MATCH(COLUMNS($AO$1006:BN1006),$AO$1006:$BQ$1006,0)), HYPERLINK("#",""), HYPERLINK(CONCATENATE("#Metadata!", ADDRESS(INDEX($AJ$2:$AJ$1001,MATCH(ROWS($AH$2:AH795),$AH$2:$AH$1001,0),0), INDEX($AO$1004:$BQ$1004,1,MATCH(COLUMNS($AO$1006:BN1006),$AO$1006:$BQ$1006,0)))),"Fix")))</f>
        <v>#N/A</v>
      </c>
      <c r="AB795" s="5" t="e">
        <f ca="1">IF(OR(INDEX($AI$2:$AI$1001,MATCH(ROWS($AH$2:AH795),$AH$2:$AH$1001,0),1)&gt;=100000,INDEX($AO$1005:$BQ$1005,1,MATCH(COLUMNS($AO$1006:BO1006),$AO$1006:$BQ$1006,0))&gt;=100000), " ",IF(INDEX($AO$2:$BQ$1001,MATCH(ROWS($AH$2:AH795),$AH$2:$AH$1001,0),MATCH(COLUMNS($AO$1006:BO1006),$AO$1006:$BQ$1006,0)), HYPERLINK("#",""), HYPERLINK(CONCATENATE("#Metadata!", ADDRESS(INDEX($AJ$2:$AJ$1001,MATCH(ROWS($AH$2:AH795),$AH$2:$AH$1001,0),0), INDEX($AO$1004:$BQ$1004,1,MATCH(COLUMNS($AO$1006:BO1006),$AO$1006:$BQ$1006,0)))),"Fix")))</f>
        <v>#N/A</v>
      </c>
      <c r="AC795" s="5" t="e">
        <f ca="1">IF(OR(INDEX($AI$2:$AI$1001,MATCH(ROWS($AH$2:AH795),$AH$2:$AH$1001,0),1)&gt;=100000,INDEX($AO$1005:$BQ$1005,1,MATCH(COLUMNS($AO$1006:BP1006),$AO$1006:$BQ$1006,0))&gt;=100000), " ",IF(INDEX($AO$2:$BQ$1001,MATCH(ROWS($AH$2:AH795),$AH$2:$AH$1001,0),MATCH(COLUMNS($AO$1006:BP1006),$AO$1006:$BQ$1006,0)), HYPERLINK("#",""), HYPERLINK(CONCATENATE("#Metadata!", ADDRESS(INDEX($AJ$2:$AJ$1001,MATCH(ROWS($AH$2:AH795),$AH$2:$AH$1001,0),0), INDEX($AO$1004:$BQ$1004,1,MATCH(COLUMNS($AO$1006:BP1006),$AO$1006:$BQ$1006,0)))),"Fix")))</f>
        <v>#N/A</v>
      </c>
      <c r="AD795" s="5" t="e">
        <f ca="1">IF(OR(INDEX($AI$2:$AI$1001,MATCH(ROWS($AH$2:AH795),$AH$2:$AH$1001,0),1)&gt;=100000,INDEX($AO$1005:$BQ$1005,1,MATCH(COLUMNS($AO$1006:BQ1006),$AO$1006:$BQ$1006,0))&gt;=100000), " ",IF(INDEX($AO$2:$BQ$1001,MATCH(ROWS($AH$2:AH795),$AH$2:$AH$1001,0),MATCH(COLUMNS($AO$1006:BQ1006),$AO$1006:$BQ$1006,0)), HYPERLINK("#",""), HYPERLINK(CONCATENATE("#Metadata!", ADDRESS(INDEX($AJ$2:$AJ$1001,MATCH(ROWS($AH$2:AH795),$AH$2:$AH$1001,0),0), INDEX($AO$1004:$BQ$1004,1,MATCH(COLUMNS($AO$1006:BQ1006),$AO$1006:$BQ$1006,0)))),"Fix")))</f>
        <v>#REF!</v>
      </c>
      <c r="AH795">
        <f ca="1"/>
        <v>792</v>
      </c>
      <c r="AI795">
        <v>100795</v>
      </c>
      <c r="AJ795">
        <v>795</v>
      </c>
      <c r="AK795" t="b">
        <f t="shared" si="12"/>
        <v>1</v>
      </c>
      <c r="AL795" t="b">
        <f>COUNTBLANK(Metadata!B795:AD795)=COLUMNS(Metadata!B795:AD795)</f>
        <v>1</v>
      </c>
      <c r="AM795" t="str">
        <v/>
      </c>
      <c r="AO795" t="b">
        <f ca="1">AND(IF(Metadata!B795="",FALSE,TRUE),COUNTIF(Metadata!B:B, Metadata!B795) = 1,NOT(ISERROR(SUMPRODUCT(SEARCH(MID(Metadata!B795,ROW(INDIRECT("1:"&amp;LEN(Metadata!B795))), 1),"0123456789abcdefghijklmnopqrstuvwxyzABCDEFGHIJKLMNOPQRSTUVWXYZ.")))))</f>
        <v>0</v>
      </c>
      <c r="AP795" t="b">
        <f>IF(Metadata!C795="",FALSE,TRUE)</f>
        <v>0</v>
      </c>
      <c r="AQ795" t="b">
        <f>IF(Metadata!D795="",FALSE,TRUE)</f>
        <v>0</v>
      </c>
      <c r="AR795" t="b">
        <f ca="1">OR(AND(IF(Metadata!E795="",FALSE,TRUE),OR(EXACT(Metadata!E795,"not collected"),EXACT(Metadata!E795,"not provided"),EXACT(Metadata!E795,"restricted access"))),AND(IF(Metadata!E795="",FALSE,TRUE),AND(AND(IFERROR(INT(LEFT(Metadata!E795,4))&gt;1900,FALSE),IFERROR(INT(LEFT(Metadata!E795,4))&lt;=YEAR(NOW()),FALSE)), OR(MID(Metadata!E795,5,1)="", AND(AND(MID(Metadata!E795,5,1)="-",IFERROR(INT(MID(Metadata!E795,6,1))&gt;=0,FALSE),IFERROR(INT(MID(Metadata!E795,6,1))&lt;=1,FALSE),NOT(MID(Metadata!E795,7,1)=""),IFERROR(INT(MID(Metadata!E795,6,2))&gt;=1,FALSE),IFERROR(INT(MID(Metadata!E795,6,2))&lt;=12,FALSE)), OR(MID(Metadata!E795,8,1)="", AND(AND(MID(Metadata!E795,8,1)="-",IFERROR(INT(MID(Metadata!E795,9,1))&gt;=0,FALSE),IFERROR(INT(MID(Metadata!E795,9,1))&lt;=3,FALSE),NOT(MID(Metadata!E795,10,1)=""),IFERROR(INT(MID(Metadata!E795,9,2))&gt;=1,FALSE),IFERROR(INT(MID(Metadata!E795,9,2))&lt;=31,FALSE)), OR(MID(Metadata!E795,11,1)="", AND(AND(MID(Metadata!E795,11,1)=" ",IFERROR(INT(MID(Metadata!E795,12,1))&gt;=0,FALSE),IFERROR(INT(MID(Metadata!E795,12,1))&lt;=2,FALSE),NOT(MID(Metadata!E795,13,1)=""),IFERROR(INT(MID(Metadata!E795,12,2))&gt;=0,FALSE),IFERROR(INT(MID(Metadata!E795,12,2))&lt;=23,FALSE)), OR(MID(Metadata!E795,14,1)="", AND(AND(MID(Metadata!E795,14,1)=":",IFERROR(INT(MID(Metadata!E795,15,1))&gt;=0,FALSE),IFERROR(INT(MID(Metadata!E795,15,1))&lt;=5,FALSE),NOT(MID(Metadata!E795,16,1)=""),IFERROR(INT(MID(Metadata!E795,15,2))&gt;=0,FALSE),IFERROR(INT(MID(Metadata!E795,15,2))&lt;=59,FALSE)), OR(MID(Metadata!E795,17,1)="", AND(AND(MID(Metadata!E795,17,1)=":",IFERROR(INT(MID(Metadata!E795,18,1))&gt;=0,FALSE),IFERROR(INT(MID(Metadata!E795,18,1))&lt;=5,FALSE),NOT(MID(Metadata!E795,19,1)=""),IFERROR(INT(MID(Metadata!E795,18,2))&gt;=0,FALSE),IFERROR(INT(MID(Metadata!E795,18,2))&lt;=59,FALSE)), LEN(Metadata!E795)&lt;=19)))))))))))))</f>
        <v>0</v>
      </c>
      <c r="AS795" t="b">
        <f>IF(Metadata!F795="",FALSE,TRUE)</f>
        <v>0</v>
      </c>
      <c r="AT795" t="b">
        <f>OR(AND(IF(Metadata!G795="",FALSE,TRUE),OR(EXACT(Metadata!G795,"not collected"),EXACT(Metadata!G795,"not provided"))),AND(IF(Metadata!G795="",FALSE,TRUE),OR(EXACT(Metadata!G795,"TRUE"),EXACT(Metadata!G795,"FALSE"))))</f>
        <v>0</v>
      </c>
      <c r="AU795" t="b">
        <f>OR(AND(IF(Metadata!H795="",FALSE,TRUE),OR(EXACT(Metadata!H795,"not collected"),EXACT(Metadata!H795,"not provided"),EXACT(Metadata!H795,"restricted access"))),AND(IF(Metadata!H795="",FALSE,ISNUMBER(VALUE(Metadata!H795))),Metadata!H795&gt;=-413))</f>
        <v>0</v>
      </c>
      <c r="AV795" t="b">
        <f>AND(IF(Metadata!I795="",FALSE,TRUE),EXACT(Metadata!I795,"meters"))</f>
        <v>0</v>
      </c>
      <c r="AW795" t="b">
        <f>AND(IF(Metadata!J795="",FALSE,TRUE),EXACT(Metadata!J795,"free-living"))</f>
        <v>0</v>
      </c>
      <c r="AX795" t="b">
        <f>AND(IF(Metadata!K795="",FALSE,TRUE),OR(EXACT(Metadata!K795,"saline"),EXACT(Metadata!K795,"non-saline")))</f>
        <v>0</v>
      </c>
      <c r="AY795" t="b">
        <f>AND(IF(Metadata!L795="",FALSE,TRUE),OR(EXACT(Metadata!L795,"sub-surface (non-saline)"),EXACT(Metadata!L795,"surface (non-saline)"),EXACT(Metadata!L795,"water (non-saline)"),EXACT(Metadata!L795,"soil (non-saline)"),EXACT(Metadata!L795,"aerosol (non-saline)"),EXACT(Metadata!L795,"sediment (non-saline)"),EXACT(Metadata!L795,"surface (saline)"),EXACT(Metadata!L795,"water (saline)"),EXACT(Metadata!L795,"hypersaline (saline)"),EXACT(Metadata!L795,"aerosol (saline)"),EXACT(Metadata!L795,"sediment (saline)")))</f>
        <v>0</v>
      </c>
      <c r="AZ795" t="b">
        <f>IF(Metadata!M795="",FALSE,TRUE)</f>
        <v>0</v>
      </c>
      <c r="BA795" t="b">
        <f>IF(Metadata!N795="",FALSE,TRUE)</f>
        <v>0</v>
      </c>
      <c r="BB795" t="b">
        <f>IF(Metadata!O795="",FALSE,TRUE)</f>
        <v>0</v>
      </c>
      <c r="BC795" t="b">
        <f>AND(IF(Metadata!P795="",FALSE,TRUE),OR(EXACT(Metadata!P795,"air"),EXACT(Metadata!P795,"microbial mat/biofilm"),EXACT(Metadata!P795,"misc environment"),EXACT(Metadata!P795,"sediment"),EXACT(Metadata!P795,"soil"),EXACT(Metadata!P795,"wastewater/sludge"),EXACT(Metadata!P795,"water")))</f>
        <v>0</v>
      </c>
      <c r="BD795" t="b">
        <f>IF(Metadata!Q795="",FALSE,TRUE)</f>
        <v>0</v>
      </c>
      <c r="BE795" t="b">
        <f>IF(Metadata!R795="",FALSE,TRUE)</f>
        <v>0</v>
      </c>
      <c r="BF795" t="b">
        <f>OR(AND(IF(Metadata!S795="",FALSE,TRUE),OR(EXACT(Metadata!S795,"not collected"),EXACT(Metadata!S795,"not provided"),EXACT(Metadata!S795,"restricted access"))),AND(IF(Metadata!S795="",FALSE,ISNUMBER(VALUE(Metadata!S795))),Metadata!S795&gt;=-90,Metadata!S795&lt;=90))</f>
        <v>0</v>
      </c>
      <c r="BG795" t="b">
        <f>AND(IF(Metadata!T795="",FALSE,TRUE),EXACT(Metadata!T795,"Decimal degrees"))</f>
        <v>0</v>
      </c>
      <c r="BH795" t="b">
        <f>OR(AND(IF(Metadata!U795="",FALSE,TRUE),OR(EXACT(Metadata!U795,"not applicable"),EXACT(Metadata!U795,"not collected"))),IF(Metadata!U795="",FALSE,TRUE))</f>
        <v>0</v>
      </c>
      <c r="BI795" t="b">
        <f>OR(AND(IF(Metadata!V795="",FALSE,TRUE),OR(EXACT(Metadata!V795,"not collected"),EXACT(Metadata!V795,"not provided"),EXACT(Metadata!V795,"restricted access"))),AND(IF(Metadata!V795="",FALSE,ISNUMBER(VALUE(Metadata!V795))),Metadata!V795&gt;=-180,Metadata!V795&lt;=180))</f>
        <v>0</v>
      </c>
      <c r="BJ795" t="b">
        <f>AND(IF(Metadata!W795="",FALSE,TRUE),EXACT(Metadata!W795,"Decimal degrees"))</f>
        <v>0</v>
      </c>
      <c r="BK795" t="b">
        <f>IF(Metadata!X795="",FALSE,TRUE)</f>
        <v>0</v>
      </c>
      <c r="BL795" t="b">
        <f>OR(AND(IF(Metadata!Y795="",FALSE,TRUE),OR(EXACT(Metadata!Y795,"not collected"),EXACT(Metadata!Y795,"not provided"),EXACT(Metadata!Y795,"restricted access"))),AND(IF(Metadata!Y795="",FALSE,TRUE),OR(EXACT(Metadata!Y795,"TRUE"),EXACT(Metadata!Y795,"FALSE"))))</f>
        <v>0</v>
      </c>
      <c r="BM795" t="b">
        <f>OR(AND(IF(Metadata!Z795="",FALSE,TRUE),EXACT(Metadata!Z795,"not applicable")),AND(IF(Metadata!Z795="",FALSE,TRUE),OR(EXACT(Metadata!Z795,"beer"),EXACT(Metadata!Z795,"cheese"),EXACT(Metadata!Z795,"fresh water"),EXACT(Metadata!Z795,"marine sediment"),EXACT(Metadata!Z795,"sea water"),EXACT(Metadata!Z795,"sediment"),EXACT(Metadata!Z795,"soil"),EXACT(Metadata!Z795,"waste water"))))</f>
        <v>0</v>
      </c>
      <c r="BN795" t="b">
        <f>AND(IF(Metadata!AA795="",FALSE,TRUE),EXACT(Metadata!AA795,"metagenome"))</f>
        <v>0</v>
      </c>
      <c r="BO795" t="b">
        <f>AND(IF(Metadata!AB795="",FALSE,TRUE),EXACT(Metadata!AB795,"256318"))</f>
        <v>0</v>
      </c>
      <c r="BP795" t="b">
        <f>IF(Metadata!AC795="",FALSE,TRUE)</f>
        <v>0</v>
      </c>
      <c r="BQ795" t="b">
        <f>IF(Metadata!AD795="",FALSE,TRUE)</f>
        <v>0</v>
      </c>
    </row>
    <row r="796" spans="1:69" x14ac:dyDescent="0.2">
      <c r="A796" s="4" t="e">
        <f ca="1">IF(B796=" "," ",HYPERLINK(CONCATENATE("#metadata!",ADDRESS(INDEX($AJ$2:$AJ$1001,MATCH(ROWS($AH$2:AH796),$AH$2:$AH$1001,0),0),2)),INDEX($AM$2:$AM$1001,MATCH(ROWS($AH$2:AH796),$AH$2:$AH$1001,0),0)))</f>
        <v>#N/A</v>
      </c>
      <c r="B796" s="5" t="e">
        <f ca="1">IF(OR(INDEX($AI$2:$AI$1001,MATCH(ROWS($AH$2:AH796),$AH$2:$AH$1001,0),1)&gt;=100000,INDEX($AO$1005:$BQ$1005,1,MATCH(COLUMNS($AO$1006:AO1006),$AO$1006:$BQ$1006,0))&gt;=100000), " ",IF(INDEX($AO$2:$BQ$1001,MATCH(ROWS($AH$2:AH796),$AH$2:$AH$1001,0),MATCH(COLUMNS($AO$1006:AO1006),$AO$1006:$BQ$1006,0)), HYPERLINK("#",""), HYPERLINK(CONCATENATE("#Metadata!", ADDRESS(INDEX($AJ$2:$AJ$1001,MATCH(ROWS($AH$2:AH796),$AH$2:$AH$1001,0),0), INDEX($AO$1004:$BQ$1004,1,MATCH(COLUMNS($AO$1006:AO1006),$AO$1006:$BQ$1006,0)))),"Fix")))</f>
        <v>#N/A</v>
      </c>
      <c r="C796" s="5" t="e">
        <f ca="1">IF(OR(INDEX($AI$2:$AI$1001,MATCH(ROWS($AH$2:AH796),$AH$2:$AH$1001,0),1)&gt;=100000,INDEX($AO$1005:$BQ$1005,1,MATCH(COLUMNS($AO$1006:AP1006),$AO$1006:$BQ$1006,0))&gt;=100000), " ",IF(INDEX($AO$2:$BQ$1001,MATCH(ROWS($AH$2:AH796),$AH$2:$AH$1001,0),MATCH(COLUMNS($AO$1006:AP1006),$AO$1006:$BQ$1006,0)), HYPERLINK("#",""), HYPERLINK(CONCATENATE("#Metadata!", ADDRESS(INDEX($AJ$2:$AJ$1001,MATCH(ROWS($AH$2:AH796),$AH$2:$AH$1001,0),0), INDEX($AO$1004:$BQ$1004,1,MATCH(COLUMNS($AO$1006:AP1006),$AO$1006:$BQ$1006,0)))),"Fix")))</f>
        <v>#N/A</v>
      </c>
      <c r="D796" s="5" t="e">
        <f ca="1">IF(OR(INDEX($AI$2:$AI$1001,MATCH(ROWS($AH$2:AH796),$AH$2:$AH$1001,0),1)&gt;=100000,INDEX($AO$1005:$BQ$1005,1,MATCH(COLUMNS($AO$1006:AQ1006),$AO$1006:$BQ$1006,0))&gt;=100000), " ",IF(INDEX($AO$2:$BQ$1001,MATCH(ROWS($AH$2:AH796),$AH$2:$AH$1001,0),MATCH(COLUMNS($AO$1006:AQ1006),$AO$1006:$BQ$1006,0)), HYPERLINK("#",""), HYPERLINK(CONCATENATE("#Metadata!", ADDRESS(INDEX($AJ$2:$AJ$1001,MATCH(ROWS($AH$2:AH796),$AH$2:$AH$1001,0),0), INDEX($AO$1004:$BQ$1004,1,MATCH(COLUMNS($AO$1006:AQ1006),$AO$1006:$BQ$1006,0)))),"Fix")))</f>
        <v>#N/A</v>
      </c>
      <c r="E796" s="5" t="e">
        <f ca="1">IF(OR(INDEX($AI$2:$AI$1001,MATCH(ROWS($AH$2:AH796),$AH$2:$AH$1001,0),1)&gt;=100000,INDEX($AO$1005:$BQ$1005,1,MATCH(COLUMNS($AO$1006:AR1006),$AO$1006:$BQ$1006,0))&gt;=100000), " ",IF(INDEX($AO$2:$BQ$1001,MATCH(ROWS($AH$2:AH796),$AH$2:$AH$1001,0),MATCH(COLUMNS($AO$1006:AR1006),$AO$1006:$BQ$1006,0)), HYPERLINK("#",""), HYPERLINK(CONCATENATE("#Metadata!", ADDRESS(INDEX($AJ$2:$AJ$1001,MATCH(ROWS($AH$2:AH796),$AH$2:$AH$1001,0),0), INDEX($AO$1004:$BQ$1004,1,MATCH(COLUMNS($AO$1006:AR1006),$AO$1006:$BQ$1006,0)))),"Fix")))</f>
        <v>#N/A</v>
      </c>
      <c r="F796" s="5" t="e">
        <f ca="1">IF(OR(INDEX($AI$2:$AI$1001,MATCH(ROWS($AH$2:AH796),$AH$2:$AH$1001,0),1)&gt;=100000,INDEX($AO$1005:$BQ$1005,1,MATCH(COLUMNS($AO$1006:AS1006),$AO$1006:$BQ$1006,0))&gt;=100000), " ",IF(INDEX($AO$2:$BQ$1001,MATCH(ROWS($AH$2:AH796),$AH$2:$AH$1001,0),MATCH(COLUMNS($AO$1006:AS1006),$AO$1006:$BQ$1006,0)), HYPERLINK("#",""), HYPERLINK(CONCATENATE("#Metadata!", ADDRESS(INDEX($AJ$2:$AJ$1001,MATCH(ROWS($AH$2:AH796),$AH$2:$AH$1001,0),0), INDEX($AO$1004:$BQ$1004,1,MATCH(COLUMNS($AO$1006:AS1006),$AO$1006:$BQ$1006,0)))),"Fix")))</f>
        <v>#N/A</v>
      </c>
      <c r="G796" s="5" t="e">
        <f ca="1">IF(OR(INDEX($AI$2:$AI$1001,MATCH(ROWS($AH$2:AH796),$AH$2:$AH$1001,0),1)&gt;=100000,INDEX($AO$1005:$BQ$1005,1,MATCH(COLUMNS($AO$1006:AT1006),$AO$1006:$BQ$1006,0))&gt;=100000), " ",IF(INDEX($AO$2:$BQ$1001,MATCH(ROWS($AH$2:AH796),$AH$2:$AH$1001,0),MATCH(COLUMNS($AO$1006:AT1006),$AO$1006:$BQ$1006,0)), HYPERLINK("#",""), HYPERLINK(CONCATENATE("#Metadata!", ADDRESS(INDEX($AJ$2:$AJ$1001,MATCH(ROWS($AH$2:AH796),$AH$2:$AH$1001,0),0), INDEX($AO$1004:$BQ$1004,1,MATCH(COLUMNS($AO$1006:AT1006),$AO$1006:$BQ$1006,0)))),"Fix")))</f>
        <v>#N/A</v>
      </c>
      <c r="H796" s="5" t="e">
        <f ca="1">IF(OR(INDEX($AI$2:$AI$1001,MATCH(ROWS($AH$2:AH796),$AH$2:$AH$1001,0),1)&gt;=100000,INDEX($AO$1005:$BQ$1005,1,MATCH(COLUMNS($AO$1006:AU1006),$AO$1006:$BQ$1006,0))&gt;=100000), " ",IF(INDEX($AO$2:$BQ$1001,MATCH(ROWS($AH$2:AH796),$AH$2:$AH$1001,0),MATCH(COLUMNS($AO$1006:AU1006),$AO$1006:$BQ$1006,0)), HYPERLINK("#",""), HYPERLINK(CONCATENATE("#Metadata!", ADDRESS(INDEX($AJ$2:$AJ$1001,MATCH(ROWS($AH$2:AH796),$AH$2:$AH$1001,0),0), INDEX($AO$1004:$BQ$1004,1,MATCH(COLUMNS($AO$1006:AU1006),$AO$1006:$BQ$1006,0)))),"Fix")))</f>
        <v>#N/A</v>
      </c>
      <c r="I796" s="5" t="e">
        <f ca="1">IF(OR(INDEX($AI$2:$AI$1001,MATCH(ROWS($AH$2:AH796),$AH$2:$AH$1001,0),1)&gt;=100000,INDEX($AO$1005:$BQ$1005,1,MATCH(COLUMNS($AO$1006:AV1006),$AO$1006:$BQ$1006,0))&gt;=100000), " ",IF(INDEX($AO$2:$BQ$1001,MATCH(ROWS($AH$2:AH796),$AH$2:$AH$1001,0),MATCH(COLUMNS($AO$1006:AV1006),$AO$1006:$BQ$1006,0)), HYPERLINK("#",""), HYPERLINK(CONCATENATE("#Metadata!", ADDRESS(INDEX($AJ$2:$AJ$1001,MATCH(ROWS($AH$2:AH796),$AH$2:$AH$1001,0),0), INDEX($AO$1004:$BQ$1004,1,MATCH(COLUMNS($AO$1006:AV1006),$AO$1006:$BQ$1006,0)))),"Fix")))</f>
        <v>#N/A</v>
      </c>
      <c r="J796" s="5" t="e">
        <f ca="1">IF(OR(INDEX($AI$2:$AI$1001,MATCH(ROWS($AH$2:AH796),$AH$2:$AH$1001,0),1)&gt;=100000,INDEX($AO$1005:$BQ$1005,1,MATCH(COLUMNS($AO$1006:AW1006),$AO$1006:$BQ$1006,0))&gt;=100000), " ",IF(INDEX($AO$2:$BQ$1001,MATCH(ROWS($AH$2:AH796),$AH$2:$AH$1001,0),MATCH(COLUMNS($AO$1006:AW1006),$AO$1006:$BQ$1006,0)), HYPERLINK("#",""), HYPERLINK(CONCATENATE("#Metadata!", ADDRESS(INDEX($AJ$2:$AJ$1001,MATCH(ROWS($AH$2:AH796),$AH$2:$AH$1001,0),0), INDEX($AO$1004:$BQ$1004,1,MATCH(COLUMNS($AO$1006:AW1006),$AO$1006:$BQ$1006,0)))),"Fix")))</f>
        <v>#N/A</v>
      </c>
      <c r="K796" s="5" t="e">
        <f ca="1">IF(OR(INDEX($AI$2:$AI$1001,MATCH(ROWS($AH$2:AH796),$AH$2:$AH$1001,0),1)&gt;=100000,INDEX($AO$1005:$BQ$1005,1,MATCH(COLUMNS($AO$1006:AX1006),$AO$1006:$BQ$1006,0))&gt;=100000), " ",IF(INDEX($AO$2:$BQ$1001,MATCH(ROWS($AH$2:AH796),$AH$2:$AH$1001,0),MATCH(COLUMNS($AO$1006:AX1006),$AO$1006:$BQ$1006,0)), HYPERLINK("#",""), HYPERLINK(CONCATENATE("#Metadata!", ADDRESS(INDEX($AJ$2:$AJ$1001,MATCH(ROWS($AH$2:AH796),$AH$2:$AH$1001,0),0), INDEX($AO$1004:$BQ$1004,1,MATCH(COLUMNS($AO$1006:AX1006),$AO$1006:$BQ$1006,0)))),"Fix")))</f>
        <v>#N/A</v>
      </c>
      <c r="L796" s="5" t="e">
        <f ca="1">IF(OR(INDEX($AI$2:$AI$1001,MATCH(ROWS($AH$2:AH796),$AH$2:$AH$1001,0),1)&gt;=100000,INDEX($AO$1005:$BQ$1005,1,MATCH(COLUMNS($AO$1006:AY1006),$AO$1006:$BQ$1006,0))&gt;=100000), " ",IF(INDEX($AO$2:$BQ$1001,MATCH(ROWS($AH$2:AH796),$AH$2:$AH$1001,0),MATCH(COLUMNS($AO$1006:AY1006),$AO$1006:$BQ$1006,0)), HYPERLINK("#",""), HYPERLINK(CONCATENATE("#Metadata!", ADDRESS(INDEX($AJ$2:$AJ$1001,MATCH(ROWS($AH$2:AH796),$AH$2:$AH$1001,0),0), INDEX($AO$1004:$BQ$1004,1,MATCH(COLUMNS($AO$1006:AY1006),$AO$1006:$BQ$1006,0)))),"Fix")))</f>
        <v>#N/A</v>
      </c>
      <c r="M796" s="5" t="e">
        <f ca="1">IF(OR(INDEX($AI$2:$AI$1001,MATCH(ROWS($AH$2:AH796),$AH$2:$AH$1001,0),1)&gt;=100000,INDEX($AO$1005:$BQ$1005,1,MATCH(COLUMNS($AO$1006:AZ1006),$AO$1006:$BQ$1006,0))&gt;=100000), " ",IF(INDEX($AO$2:$BQ$1001,MATCH(ROWS($AH$2:AH796),$AH$2:$AH$1001,0),MATCH(COLUMNS($AO$1006:AZ1006),$AO$1006:$BQ$1006,0)), HYPERLINK("#",""), HYPERLINK(CONCATENATE("#Metadata!", ADDRESS(INDEX($AJ$2:$AJ$1001,MATCH(ROWS($AH$2:AH796),$AH$2:$AH$1001,0),0), INDEX($AO$1004:$BQ$1004,1,MATCH(COLUMNS($AO$1006:AZ1006),$AO$1006:$BQ$1006,0)))),"Fix")))</f>
        <v>#N/A</v>
      </c>
      <c r="N796" s="5" t="e">
        <f ca="1">IF(OR(INDEX($AI$2:$AI$1001,MATCH(ROWS($AH$2:AH796),$AH$2:$AH$1001,0),1)&gt;=100000,INDEX($AO$1005:$BQ$1005,1,MATCH(COLUMNS($AO$1006:BA1006),$AO$1006:$BQ$1006,0))&gt;=100000), " ",IF(INDEX($AO$2:$BQ$1001,MATCH(ROWS($AH$2:AH796),$AH$2:$AH$1001,0),MATCH(COLUMNS($AO$1006:BA1006),$AO$1006:$BQ$1006,0)), HYPERLINK("#",""), HYPERLINK(CONCATENATE("#Metadata!", ADDRESS(INDEX($AJ$2:$AJ$1001,MATCH(ROWS($AH$2:AH796),$AH$2:$AH$1001,0),0), INDEX($AO$1004:$BQ$1004,1,MATCH(COLUMNS($AO$1006:BA1006),$AO$1006:$BQ$1006,0)))),"Fix")))</f>
        <v>#N/A</v>
      </c>
      <c r="O796" s="5" t="e">
        <f ca="1">IF(OR(INDEX($AI$2:$AI$1001,MATCH(ROWS($AH$2:AH796),$AH$2:$AH$1001,0),1)&gt;=100000,INDEX($AO$1005:$BQ$1005,1,MATCH(COLUMNS($AO$1006:BB1006),$AO$1006:$BQ$1006,0))&gt;=100000), " ",IF(INDEX($AO$2:$BQ$1001,MATCH(ROWS($AH$2:AH796),$AH$2:$AH$1001,0),MATCH(COLUMNS($AO$1006:BB1006),$AO$1006:$BQ$1006,0)), HYPERLINK("#",""), HYPERLINK(CONCATENATE("#Metadata!", ADDRESS(INDEX($AJ$2:$AJ$1001,MATCH(ROWS($AH$2:AH796),$AH$2:$AH$1001,0),0), INDEX($AO$1004:$BQ$1004,1,MATCH(COLUMNS($AO$1006:BB1006),$AO$1006:$BQ$1006,0)))),"Fix")))</f>
        <v>#N/A</v>
      </c>
      <c r="P796" s="5" t="e">
        <f ca="1">IF(OR(INDEX($AI$2:$AI$1001,MATCH(ROWS($AH$2:AH796),$AH$2:$AH$1001,0),1)&gt;=100000,INDEX($AO$1005:$BQ$1005,1,MATCH(COLUMNS($AO$1006:BC1006),$AO$1006:$BQ$1006,0))&gt;=100000), " ",IF(INDEX($AO$2:$BQ$1001,MATCH(ROWS($AH$2:AH796),$AH$2:$AH$1001,0),MATCH(COLUMNS($AO$1006:BC1006),$AO$1006:$BQ$1006,0)), HYPERLINK("#",""), HYPERLINK(CONCATENATE("#Metadata!", ADDRESS(INDEX($AJ$2:$AJ$1001,MATCH(ROWS($AH$2:AH796),$AH$2:$AH$1001,0),0), INDEX($AO$1004:$BQ$1004,1,MATCH(COLUMNS($AO$1006:BC1006),$AO$1006:$BQ$1006,0)))),"Fix")))</f>
        <v>#N/A</v>
      </c>
      <c r="Q796" s="5" t="e">
        <f ca="1">IF(OR(INDEX($AI$2:$AI$1001,MATCH(ROWS($AH$2:AH796),$AH$2:$AH$1001,0),1)&gt;=100000,INDEX($AO$1005:$BQ$1005,1,MATCH(COLUMNS($AO$1006:BD1006),$AO$1006:$BQ$1006,0))&gt;=100000), " ",IF(INDEX($AO$2:$BQ$1001,MATCH(ROWS($AH$2:AH796),$AH$2:$AH$1001,0),MATCH(COLUMNS($AO$1006:BD1006),$AO$1006:$BQ$1006,0)), HYPERLINK("#",""), HYPERLINK(CONCATENATE("#Metadata!", ADDRESS(INDEX($AJ$2:$AJ$1001,MATCH(ROWS($AH$2:AH796),$AH$2:$AH$1001,0),0), INDEX($AO$1004:$BQ$1004,1,MATCH(COLUMNS($AO$1006:BD1006),$AO$1006:$BQ$1006,0)))),"Fix")))</f>
        <v>#N/A</v>
      </c>
      <c r="R796" s="5" t="e">
        <f ca="1">IF(OR(INDEX($AI$2:$AI$1001,MATCH(ROWS($AH$2:AH796),$AH$2:$AH$1001,0),1)&gt;=100000,INDEX($AO$1005:$BQ$1005,1,MATCH(COLUMNS($AO$1006:BE1006),$AO$1006:$BQ$1006,0))&gt;=100000), " ",IF(INDEX($AO$2:$BQ$1001,MATCH(ROWS($AH$2:AH796),$AH$2:$AH$1001,0),MATCH(COLUMNS($AO$1006:BE1006),$AO$1006:$BQ$1006,0)), HYPERLINK("#",""), HYPERLINK(CONCATENATE("#Metadata!", ADDRESS(INDEX($AJ$2:$AJ$1001,MATCH(ROWS($AH$2:AH796),$AH$2:$AH$1001,0),0), INDEX($AO$1004:$BQ$1004,1,MATCH(COLUMNS($AO$1006:BE1006),$AO$1006:$BQ$1006,0)))),"Fix")))</f>
        <v>#N/A</v>
      </c>
      <c r="S796" s="5" t="e">
        <f ca="1">IF(OR(INDEX($AI$2:$AI$1001,MATCH(ROWS($AH$2:AH796),$AH$2:$AH$1001,0),1)&gt;=100000,INDEX($AO$1005:$BQ$1005,1,MATCH(COLUMNS($AO$1006:BF1006),$AO$1006:$BQ$1006,0))&gt;=100000), " ",IF(INDEX($AO$2:$BQ$1001,MATCH(ROWS($AH$2:AH796),$AH$2:$AH$1001,0),MATCH(COLUMNS($AO$1006:BF1006),$AO$1006:$BQ$1006,0)), HYPERLINK("#",""), HYPERLINK(CONCATENATE("#Metadata!", ADDRESS(INDEX($AJ$2:$AJ$1001,MATCH(ROWS($AH$2:AH796),$AH$2:$AH$1001,0),0), INDEX($AO$1004:$BQ$1004,1,MATCH(COLUMNS($AO$1006:BF1006),$AO$1006:$BQ$1006,0)))),"Fix")))</f>
        <v>#N/A</v>
      </c>
      <c r="T796" s="5" t="e">
        <f ca="1">IF(OR(INDEX($AI$2:$AI$1001,MATCH(ROWS($AH$2:AH796),$AH$2:$AH$1001,0),1)&gt;=100000,INDEX($AO$1005:$BQ$1005,1,MATCH(COLUMNS($AO$1006:BG1006),$AO$1006:$BQ$1006,0))&gt;=100000), " ",IF(INDEX($AO$2:$BQ$1001,MATCH(ROWS($AH$2:AH796),$AH$2:$AH$1001,0),MATCH(COLUMNS($AO$1006:BG1006),$AO$1006:$BQ$1006,0)), HYPERLINK("#",""), HYPERLINK(CONCATENATE("#Metadata!", ADDRESS(INDEX($AJ$2:$AJ$1001,MATCH(ROWS($AH$2:AH796),$AH$2:$AH$1001,0),0), INDEX($AO$1004:$BQ$1004,1,MATCH(COLUMNS($AO$1006:BG1006),$AO$1006:$BQ$1006,0)))),"Fix")))</f>
        <v>#N/A</v>
      </c>
      <c r="U796" s="5" t="e">
        <f ca="1">IF(OR(INDEX($AI$2:$AI$1001,MATCH(ROWS($AH$2:AH796),$AH$2:$AH$1001,0),1)&gt;=100000,INDEX($AO$1005:$BQ$1005,1,MATCH(COLUMNS($AO$1006:BH1006),$AO$1006:$BQ$1006,0))&gt;=100000), " ",IF(INDEX($AO$2:$BQ$1001,MATCH(ROWS($AH$2:AH796),$AH$2:$AH$1001,0),MATCH(COLUMNS($AO$1006:BH1006),$AO$1006:$BQ$1006,0)), HYPERLINK("#",""), HYPERLINK(CONCATENATE("#Metadata!", ADDRESS(INDEX($AJ$2:$AJ$1001,MATCH(ROWS($AH$2:AH796),$AH$2:$AH$1001,0),0), INDEX($AO$1004:$BQ$1004,1,MATCH(COLUMNS($AO$1006:BH1006),$AO$1006:$BQ$1006,0)))),"Fix")))</f>
        <v>#N/A</v>
      </c>
      <c r="V796" s="5" t="e">
        <f ca="1">IF(OR(INDEX($AI$2:$AI$1001,MATCH(ROWS($AH$2:AH796),$AH$2:$AH$1001,0),1)&gt;=100000,INDEX($AO$1005:$BQ$1005,1,MATCH(COLUMNS($AO$1006:BI1006),$AO$1006:$BQ$1006,0))&gt;=100000), " ",IF(INDEX($AO$2:$BQ$1001,MATCH(ROWS($AH$2:AH796),$AH$2:$AH$1001,0),MATCH(COLUMNS($AO$1006:BI1006),$AO$1006:$BQ$1006,0)), HYPERLINK("#",""), HYPERLINK(CONCATENATE("#Metadata!", ADDRESS(INDEX($AJ$2:$AJ$1001,MATCH(ROWS($AH$2:AH796),$AH$2:$AH$1001,0),0), INDEX($AO$1004:$BQ$1004,1,MATCH(COLUMNS($AO$1006:BI1006),$AO$1006:$BQ$1006,0)))),"Fix")))</f>
        <v>#N/A</v>
      </c>
      <c r="W796" s="5" t="e">
        <f ca="1">IF(OR(INDEX($AI$2:$AI$1001,MATCH(ROWS($AH$2:AH796),$AH$2:$AH$1001,0),1)&gt;=100000,INDEX($AO$1005:$BQ$1005,1,MATCH(COLUMNS($AO$1006:BJ1006),$AO$1006:$BQ$1006,0))&gt;=100000), " ",IF(INDEX($AO$2:$BQ$1001,MATCH(ROWS($AH$2:AH796),$AH$2:$AH$1001,0),MATCH(COLUMNS($AO$1006:BJ1006),$AO$1006:$BQ$1006,0)), HYPERLINK("#",""), HYPERLINK(CONCATENATE("#Metadata!", ADDRESS(INDEX($AJ$2:$AJ$1001,MATCH(ROWS($AH$2:AH796),$AH$2:$AH$1001,0),0), INDEX($AO$1004:$BQ$1004,1,MATCH(COLUMNS($AO$1006:BJ1006),$AO$1006:$BQ$1006,0)))),"Fix")))</f>
        <v>#N/A</v>
      </c>
      <c r="X796" s="5" t="e">
        <f ca="1">IF(OR(INDEX($AI$2:$AI$1001,MATCH(ROWS($AH$2:AH796),$AH$2:$AH$1001,0),1)&gt;=100000,INDEX($AO$1005:$BQ$1005,1,MATCH(COLUMNS($AO$1006:BK1006),$AO$1006:$BQ$1006,0))&gt;=100000), " ",IF(INDEX($AO$2:$BQ$1001,MATCH(ROWS($AH$2:AH796),$AH$2:$AH$1001,0),MATCH(COLUMNS($AO$1006:BK1006),$AO$1006:$BQ$1006,0)), HYPERLINK("#",""), HYPERLINK(CONCATENATE("#Metadata!", ADDRESS(INDEX($AJ$2:$AJ$1001,MATCH(ROWS($AH$2:AH796),$AH$2:$AH$1001,0),0), INDEX($AO$1004:$BQ$1004,1,MATCH(COLUMNS($AO$1006:BK1006),$AO$1006:$BQ$1006,0)))),"Fix")))</f>
        <v>#N/A</v>
      </c>
      <c r="Y796" s="5" t="e">
        <f ca="1">IF(OR(INDEX($AI$2:$AI$1001,MATCH(ROWS($AH$2:AH796),$AH$2:$AH$1001,0),1)&gt;=100000,INDEX($AO$1005:$BQ$1005,1,MATCH(COLUMNS($AO$1006:BL1006),$AO$1006:$BQ$1006,0))&gt;=100000), " ",IF(INDEX($AO$2:$BQ$1001,MATCH(ROWS($AH$2:AH796),$AH$2:$AH$1001,0),MATCH(COLUMNS($AO$1006:BL1006),$AO$1006:$BQ$1006,0)), HYPERLINK("#",""), HYPERLINK(CONCATENATE("#Metadata!", ADDRESS(INDEX($AJ$2:$AJ$1001,MATCH(ROWS($AH$2:AH796),$AH$2:$AH$1001,0),0), INDEX($AO$1004:$BQ$1004,1,MATCH(COLUMNS($AO$1006:BL1006),$AO$1006:$BQ$1006,0)))),"Fix")))</f>
        <v>#N/A</v>
      </c>
      <c r="Z796" s="5" t="e">
        <f ca="1">IF(OR(INDEX($AI$2:$AI$1001,MATCH(ROWS($AH$2:AH796),$AH$2:$AH$1001,0),1)&gt;=100000,INDEX($AO$1005:$BQ$1005,1,MATCH(COLUMNS($AO$1006:BM1006),$AO$1006:$BQ$1006,0))&gt;=100000), " ",IF(INDEX($AO$2:$BQ$1001,MATCH(ROWS($AH$2:AH796),$AH$2:$AH$1001,0),MATCH(COLUMNS($AO$1006:BM1006),$AO$1006:$BQ$1006,0)), HYPERLINK("#",""), HYPERLINK(CONCATENATE("#Metadata!", ADDRESS(INDEX($AJ$2:$AJ$1001,MATCH(ROWS($AH$2:AH796),$AH$2:$AH$1001,0),0), INDEX($AO$1004:$BQ$1004,1,MATCH(COLUMNS($AO$1006:BM1006),$AO$1006:$BQ$1006,0)))),"Fix")))</f>
        <v>#N/A</v>
      </c>
      <c r="AA796" s="5" t="e">
        <f ca="1">IF(OR(INDEX($AI$2:$AI$1001,MATCH(ROWS($AH$2:AH796),$AH$2:$AH$1001,0),1)&gt;=100000,INDEX($AO$1005:$BQ$1005,1,MATCH(COLUMNS($AO$1006:BN1006),$AO$1006:$BQ$1006,0))&gt;=100000), " ",IF(INDEX($AO$2:$BQ$1001,MATCH(ROWS($AH$2:AH796),$AH$2:$AH$1001,0),MATCH(COLUMNS($AO$1006:BN1006),$AO$1006:$BQ$1006,0)), HYPERLINK("#",""), HYPERLINK(CONCATENATE("#Metadata!", ADDRESS(INDEX($AJ$2:$AJ$1001,MATCH(ROWS($AH$2:AH796),$AH$2:$AH$1001,0),0), INDEX($AO$1004:$BQ$1004,1,MATCH(COLUMNS($AO$1006:BN1006),$AO$1006:$BQ$1006,0)))),"Fix")))</f>
        <v>#N/A</v>
      </c>
      <c r="AB796" s="5" t="e">
        <f ca="1">IF(OR(INDEX($AI$2:$AI$1001,MATCH(ROWS($AH$2:AH796),$AH$2:$AH$1001,0),1)&gt;=100000,INDEX($AO$1005:$BQ$1005,1,MATCH(COLUMNS($AO$1006:BO1006),$AO$1006:$BQ$1006,0))&gt;=100000), " ",IF(INDEX($AO$2:$BQ$1001,MATCH(ROWS($AH$2:AH796),$AH$2:$AH$1001,0),MATCH(COLUMNS($AO$1006:BO1006),$AO$1006:$BQ$1006,0)), HYPERLINK("#",""), HYPERLINK(CONCATENATE("#Metadata!", ADDRESS(INDEX($AJ$2:$AJ$1001,MATCH(ROWS($AH$2:AH796),$AH$2:$AH$1001,0),0), INDEX($AO$1004:$BQ$1004,1,MATCH(COLUMNS($AO$1006:BO1006),$AO$1006:$BQ$1006,0)))),"Fix")))</f>
        <v>#N/A</v>
      </c>
      <c r="AC796" s="5" t="e">
        <f ca="1">IF(OR(INDEX($AI$2:$AI$1001,MATCH(ROWS($AH$2:AH796),$AH$2:$AH$1001,0),1)&gt;=100000,INDEX($AO$1005:$BQ$1005,1,MATCH(COLUMNS($AO$1006:BP1006),$AO$1006:$BQ$1006,0))&gt;=100000), " ",IF(INDEX($AO$2:$BQ$1001,MATCH(ROWS($AH$2:AH796),$AH$2:$AH$1001,0),MATCH(COLUMNS($AO$1006:BP1006),$AO$1006:$BQ$1006,0)), HYPERLINK("#",""), HYPERLINK(CONCATENATE("#Metadata!", ADDRESS(INDEX($AJ$2:$AJ$1001,MATCH(ROWS($AH$2:AH796),$AH$2:$AH$1001,0),0), INDEX($AO$1004:$BQ$1004,1,MATCH(COLUMNS($AO$1006:BP1006),$AO$1006:$BQ$1006,0)))),"Fix")))</f>
        <v>#N/A</v>
      </c>
      <c r="AD796" s="5" t="e">
        <f ca="1">IF(OR(INDEX($AI$2:$AI$1001,MATCH(ROWS($AH$2:AH796),$AH$2:$AH$1001,0),1)&gt;=100000,INDEX($AO$1005:$BQ$1005,1,MATCH(COLUMNS($AO$1006:BQ1006),$AO$1006:$BQ$1006,0))&gt;=100000), " ",IF(INDEX($AO$2:$BQ$1001,MATCH(ROWS($AH$2:AH796),$AH$2:$AH$1001,0),MATCH(COLUMNS($AO$1006:BQ1006),$AO$1006:$BQ$1006,0)), HYPERLINK("#",""), HYPERLINK(CONCATENATE("#Metadata!", ADDRESS(INDEX($AJ$2:$AJ$1001,MATCH(ROWS($AH$2:AH796),$AH$2:$AH$1001,0),0), INDEX($AO$1004:$BQ$1004,1,MATCH(COLUMNS($AO$1006:BQ1006),$AO$1006:$BQ$1006,0)))),"Fix")))</f>
        <v>#REF!</v>
      </c>
      <c r="AH796">
        <f ca="1"/>
        <v>793</v>
      </c>
      <c r="AI796">
        <v>100796</v>
      </c>
      <c r="AJ796">
        <v>796</v>
      </c>
      <c r="AK796" t="b">
        <f t="shared" si="12"/>
        <v>1</v>
      </c>
      <c r="AL796" t="b">
        <f>COUNTBLANK(Metadata!B796:AD796)=COLUMNS(Metadata!B796:AD796)</f>
        <v>1</v>
      </c>
      <c r="AM796" t="str">
        <v/>
      </c>
      <c r="AO796" t="b">
        <f ca="1">AND(IF(Metadata!B796="",FALSE,TRUE),COUNTIF(Metadata!B:B, Metadata!B796) = 1,NOT(ISERROR(SUMPRODUCT(SEARCH(MID(Metadata!B796,ROW(INDIRECT("1:"&amp;LEN(Metadata!B796))), 1),"0123456789abcdefghijklmnopqrstuvwxyzABCDEFGHIJKLMNOPQRSTUVWXYZ.")))))</f>
        <v>0</v>
      </c>
      <c r="AP796" t="b">
        <f>IF(Metadata!C796="",FALSE,TRUE)</f>
        <v>0</v>
      </c>
      <c r="AQ796" t="b">
        <f>IF(Metadata!D796="",FALSE,TRUE)</f>
        <v>0</v>
      </c>
      <c r="AR796" t="b">
        <f ca="1">OR(AND(IF(Metadata!E796="",FALSE,TRUE),OR(EXACT(Metadata!E796,"not collected"),EXACT(Metadata!E796,"not provided"),EXACT(Metadata!E796,"restricted access"))),AND(IF(Metadata!E796="",FALSE,TRUE),AND(AND(IFERROR(INT(LEFT(Metadata!E796,4))&gt;1900,FALSE),IFERROR(INT(LEFT(Metadata!E796,4))&lt;=YEAR(NOW()),FALSE)), OR(MID(Metadata!E796,5,1)="", AND(AND(MID(Metadata!E796,5,1)="-",IFERROR(INT(MID(Metadata!E796,6,1))&gt;=0,FALSE),IFERROR(INT(MID(Metadata!E796,6,1))&lt;=1,FALSE),NOT(MID(Metadata!E796,7,1)=""),IFERROR(INT(MID(Metadata!E796,6,2))&gt;=1,FALSE),IFERROR(INT(MID(Metadata!E796,6,2))&lt;=12,FALSE)), OR(MID(Metadata!E796,8,1)="", AND(AND(MID(Metadata!E796,8,1)="-",IFERROR(INT(MID(Metadata!E796,9,1))&gt;=0,FALSE),IFERROR(INT(MID(Metadata!E796,9,1))&lt;=3,FALSE),NOT(MID(Metadata!E796,10,1)=""),IFERROR(INT(MID(Metadata!E796,9,2))&gt;=1,FALSE),IFERROR(INT(MID(Metadata!E796,9,2))&lt;=31,FALSE)), OR(MID(Metadata!E796,11,1)="", AND(AND(MID(Metadata!E796,11,1)=" ",IFERROR(INT(MID(Metadata!E796,12,1))&gt;=0,FALSE),IFERROR(INT(MID(Metadata!E796,12,1))&lt;=2,FALSE),NOT(MID(Metadata!E796,13,1)=""),IFERROR(INT(MID(Metadata!E796,12,2))&gt;=0,FALSE),IFERROR(INT(MID(Metadata!E796,12,2))&lt;=23,FALSE)), OR(MID(Metadata!E796,14,1)="", AND(AND(MID(Metadata!E796,14,1)=":",IFERROR(INT(MID(Metadata!E796,15,1))&gt;=0,FALSE),IFERROR(INT(MID(Metadata!E796,15,1))&lt;=5,FALSE),NOT(MID(Metadata!E796,16,1)=""),IFERROR(INT(MID(Metadata!E796,15,2))&gt;=0,FALSE),IFERROR(INT(MID(Metadata!E796,15,2))&lt;=59,FALSE)), OR(MID(Metadata!E796,17,1)="", AND(AND(MID(Metadata!E796,17,1)=":",IFERROR(INT(MID(Metadata!E796,18,1))&gt;=0,FALSE),IFERROR(INT(MID(Metadata!E796,18,1))&lt;=5,FALSE),NOT(MID(Metadata!E796,19,1)=""),IFERROR(INT(MID(Metadata!E796,18,2))&gt;=0,FALSE),IFERROR(INT(MID(Metadata!E796,18,2))&lt;=59,FALSE)), LEN(Metadata!E796)&lt;=19)))))))))))))</f>
        <v>0</v>
      </c>
      <c r="AS796" t="b">
        <f>IF(Metadata!F796="",FALSE,TRUE)</f>
        <v>0</v>
      </c>
      <c r="AT796" t="b">
        <f>OR(AND(IF(Metadata!G796="",FALSE,TRUE),OR(EXACT(Metadata!G796,"not collected"),EXACT(Metadata!G796,"not provided"))),AND(IF(Metadata!G796="",FALSE,TRUE),OR(EXACT(Metadata!G796,"TRUE"),EXACT(Metadata!G796,"FALSE"))))</f>
        <v>0</v>
      </c>
      <c r="AU796" t="b">
        <f>OR(AND(IF(Metadata!H796="",FALSE,TRUE),OR(EXACT(Metadata!H796,"not collected"),EXACT(Metadata!H796,"not provided"),EXACT(Metadata!H796,"restricted access"))),AND(IF(Metadata!H796="",FALSE,ISNUMBER(VALUE(Metadata!H796))),Metadata!H796&gt;=-413))</f>
        <v>0</v>
      </c>
      <c r="AV796" t="b">
        <f>AND(IF(Metadata!I796="",FALSE,TRUE),EXACT(Metadata!I796,"meters"))</f>
        <v>0</v>
      </c>
      <c r="AW796" t="b">
        <f>AND(IF(Metadata!J796="",FALSE,TRUE),EXACT(Metadata!J796,"free-living"))</f>
        <v>0</v>
      </c>
      <c r="AX796" t="b">
        <f>AND(IF(Metadata!K796="",FALSE,TRUE),OR(EXACT(Metadata!K796,"saline"),EXACT(Metadata!K796,"non-saline")))</f>
        <v>0</v>
      </c>
      <c r="AY796" t="b">
        <f>AND(IF(Metadata!L796="",FALSE,TRUE),OR(EXACT(Metadata!L796,"sub-surface (non-saline)"),EXACT(Metadata!L796,"surface (non-saline)"),EXACT(Metadata!L796,"water (non-saline)"),EXACT(Metadata!L796,"soil (non-saline)"),EXACT(Metadata!L796,"aerosol (non-saline)"),EXACT(Metadata!L796,"sediment (non-saline)"),EXACT(Metadata!L796,"surface (saline)"),EXACT(Metadata!L796,"water (saline)"),EXACT(Metadata!L796,"hypersaline (saline)"),EXACT(Metadata!L796,"aerosol (saline)"),EXACT(Metadata!L796,"sediment (saline)")))</f>
        <v>0</v>
      </c>
      <c r="AZ796" t="b">
        <f>IF(Metadata!M796="",FALSE,TRUE)</f>
        <v>0</v>
      </c>
      <c r="BA796" t="b">
        <f>IF(Metadata!N796="",FALSE,TRUE)</f>
        <v>0</v>
      </c>
      <c r="BB796" t="b">
        <f>IF(Metadata!O796="",FALSE,TRUE)</f>
        <v>0</v>
      </c>
      <c r="BC796" t="b">
        <f>AND(IF(Metadata!P796="",FALSE,TRUE),OR(EXACT(Metadata!P796,"air"),EXACT(Metadata!P796,"microbial mat/biofilm"),EXACT(Metadata!P796,"misc environment"),EXACT(Metadata!P796,"sediment"),EXACT(Metadata!P796,"soil"),EXACT(Metadata!P796,"wastewater/sludge"),EXACT(Metadata!P796,"water")))</f>
        <v>0</v>
      </c>
      <c r="BD796" t="b">
        <f>IF(Metadata!Q796="",FALSE,TRUE)</f>
        <v>0</v>
      </c>
      <c r="BE796" t="b">
        <f>IF(Metadata!R796="",FALSE,TRUE)</f>
        <v>0</v>
      </c>
      <c r="BF796" t="b">
        <f>OR(AND(IF(Metadata!S796="",FALSE,TRUE),OR(EXACT(Metadata!S796,"not collected"),EXACT(Metadata!S796,"not provided"),EXACT(Metadata!S796,"restricted access"))),AND(IF(Metadata!S796="",FALSE,ISNUMBER(VALUE(Metadata!S796))),Metadata!S796&gt;=-90,Metadata!S796&lt;=90))</f>
        <v>0</v>
      </c>
      <c r="BG796" t="b">
        <f>AND(IF(Metadata!T796="",FALSE,TRUE),EXACT(Metadata!T796,"Decimal degrees"))</f>
        <v>0</v>
      </c>
      <c r="BH796" t="b">
        <f>OR(AND(IF(Metadata!U796="",FALSE,TRUE),OR(EXACT(Metadata!U796,"not applicable"),EXACT(Metadata!U796,"not collected"))),IF(Metadata!U796="",FALSE,TRUE))</f>
        <v>0</v>
      </c>
      <c r="BI796" t="b">
        <f>OR(AND(IF(Metadata!V796="",FALSE,TRUE),OR(EXACT(Metadata!V796,"not collected"),EXACT(Metadata!V796,"not provided"),EXACT(Metadata!V796,"restricted access"))),AND(IF(Metadata!V796="",FALSE,ISNUMBER(VALUE(Metadata!V796))),Metadata!V796&gt;=-180,Metadata!V796&lt;=180))</f>
        <v>0</v>
      </c>
      <c r="BJ796" t="b">
        <f>AND(IF(Metadata!W796="",FALSE,TRUE),EXACT(Metadata!W796,"Decimal degrees"))</f>
        <v>0</v>
      </c>
      <c r="BK796" t="b">
        <f>IF(Metadata!X796="",FALSE,TRUE)</f>
        <v>0</v>
      </c>
      <c r="BL796" t="b">
        <f>OR(AND(IF(Metadata!Y796="",FALSE,TRUE),OR(EXACT(Metadata!Y796,"not collected"),EXACT(Metadata!Y796,"not provided"),EXACT(Metadata!Y796,"restricted access"))),AND(IF(Metadata!Y796="",FALSE,TRUE),OR(EXACT(Metadata!Y796,"TRUE"),EXACT(Metadata!Y796,"FALSE"))))</f>
        <v>0</v>
      </c>
      <c r="BM796" t="b">
        <f>OR(AND(IF(Metadata!Z796="",FALSE,TRUE),EXACT(Metadata!Z796,"not applicable")),AND(IF(Metadata!Z796="",FALSE,TRUE),OR(EXACT(Metadata!Z796,"beer"),EXACT(Metadata!Z796,"cheese"),EXACT(Metadata!Z796,"fresh water"),EXACT(Metadata!Z796,"marine sediment"),EXACT(Metadata!Z796,"sea water"),EXACT(Metadata!Z796,"sediment"),EXACT(Metadata!Z796,"soil"),EXACT(Metadata!Z796,"waste water"))))</f>
        <v>0</v>
      </c>
      <c r="BN796" t="b">
        <f>AND(IF(Metadata!AA796="",FALSE,TRUE),EXACT(Metadata!AA796,"metagenome"))</f>
        <v>0</v>
      </c>
      <c r="BO796" t="b">
        <f>AND(IF(Metadata!AB796="",FALSE,TRUE),EXACT(Metadata!AB796,"256318"))</f>
        <v>0</v>
      </c>
      <c r="BP796" t="b">
        <f>IF(Metadata!AC796="",FALSE,TRUE)</f>
        <v>0</v>
      </c>
      <c r="BQ796" t="b">
        <f>IF(Metadata!AD796="",FALSE,TRUE)</f>
        <v>0</v>
      </c>
    </row>
    <row r="797" spans="1:69" x14ac:dyDescent="0.2">
      <c r="A797" s="4" t="e">
        <f ca="1">IF(B797=" "," ",HYPERLINK(CONCATENATE("#metadata!",ADDRESS(INDEX($AJ$2:$AJ$1001,MATCH(ROWS($AH$2:AH797),$AH$2:$AH$1001,0),0),2)),INDEX($AM$2:$AM$1001,MATCH(ROWS($AH$2:AH797),$AH$2:$AH$1001,0),0)))</f>
        <v>#N/A</v>
      </c>
      <c r="B797" s="5" t="e">
        <f ca="1">IF(OR(INDEX($AI$2:$AI$1001,MATCH(ROWS($AH$2:AH797),$AH$2:$AH$1001,0),1)&gt;=100000,INDEX($AO$1005:$BQ$1005,1,MATCH(COLUMNS($AO$1006:AO1006),$AO$1006:$BQ$1006,0))&gt;=100000), " ",IF(INDEX($AO$2:$BQ$1001,MATCH(ROWS($AH$2:AH797),$AH$2:$AH$1001,0),MATCH(COLUMNS($AO$1006:AO1006),$AO$1006:$BQ$1006,0)), HYPERLINK("#",""), HYPERLINK(CONCATENATE("#Metadata!", ADDRESS(INDEX($AJ$2:$AJ$1001,MATCH(ROWS($AH$2:AH797),$AH$2:$AH$1001,0),0), INDEX($AO$1004:$BQ$1004,1,MATCH(COLUMNS($AO$1006:AO1006),$AO$1006:$BQ$1006,0)))),"Fix")))</f>
        <v>#N/A</v>
      </c>
      <c r="C797" s="5" t="e">
        <f ca="1">IF(OR(INDEX($AI$2:$AI$1001,MATCH(ROWS($AH$2:AH797),$AH$2:$AH$1001,0),1)&gt;=100000,INDEX($AO$1005:$BQ$1005,1,MATCH(COLUMNS($AO$1006:AP1006),$AO$1006:$BQ$1006,0))&gt;=100000), " ",IF(INDEX($AO$2:$BQ$1001,MATCH(ROWS($AH$2:AH797),$AH$2:$AH$1001,0),MATCH(COLUMNS($AO$1006:AP1006),$AO$1006:$BQ$1006,0)), HYPERLINK("#",""), HYPERLINK(CONCATENATE("#Metadata!", ADDRESS(INDEX($AJ$2:$AJ$1001,MATCH(ROWS($AH$2:AH797),$AH$2:$AH$1001,0),0), INDEX($AO$1004:$BQ$1004,1,MATCH(COLUMNS($AO$1006:AP1006),$AO$1006:$BQ$1006,0)))),"Fix")))</f>
        <v>#N/A</v>
      </c>
      <c r="D797" s="5" t="e">
        <f ca="1">IF(OR(INDEX($AI$2:$AI$1001,MATCH(ROWS($AH$2:AH797),$AH$2:$AH$1001,0),1)&gt;=100000,INDEX($AO$1005:$BQ$1005,1,MATCH(COLUMNS($AO$1006:AQ1006),$AO$1006:$BQ$1006,0))&gt;=100000), " ",IF(INDEX($AO$2:$BQ$1001,MATCH(ROWS($AH$2:AH797),$AH$2:$AH$1001,0),MATCH(COLUMNS($AO$1006:AQ1006),$AO$1006:$BQ$1006,0)), HYPERLINK("#",""), HYPERLINK(CONCATENATE("#Metadata!", ADDRESS(INDEX($AJ$2:$AJ$1001,MATCH(ROWS($AH$2:AH797),$AH$2:$AH$1001,0),0), INDEX($AO$1004:$BQ$1004,1,MATCH(COLUMNS($AO$1006:AQ1006),$AO$1006:$BQ$1006,0)))),"Fix")))</f>
        <v>#N/A</v>
      </c>
      <c r="E797" s="5" t="e">
        <f ca="1">IF(OR(INDEX($AI$2:$AI$1001,MATCH(ROWS($AH$2:AH797),$AH$2:$AH$1001,0),1)&gt;=100000,INDEX($AO$1005:$BQ$1005,1,MATCH(COLUMNS($AO$1006:AR1006),$AO$1006:$BQ$1006,0))&gt;=100000), " ",IF(INDEX($AO$2:$BQ$1001,MATCH(ROWS($AH$2:AH797),$AH$2:$AH$1001,0),MATCH(COLUMNS($AO$1006:AR1006),$AO$1006:$BQ$1006,0)), HYPERLINK("#",""), HYPERLINK(CONCATENATE("#Metadata!", ADDRESS(INDEX($AJ$2:$AJ$1001,MATCH(ROWS($AH$2:AH797),$AH$2:$AH$1001,0),0), INDEX($AO$1004:$BQ$1004,1,MATCH(COLUMNS($AO$1006:AR1006),$AO$1006:$BQ$1006,0)))),"Fix")))</f>
        <v>#N/A</v>
      </c>
      <c r="F797" s="5" t="e">
        <f ca="1">IF(OR(INDEX($AI$2:$AI$1001,MATCH(ROWS($AH$2:AH797),$AH$2:$AH$1001,0),1)&gt;=100000,INDEX($AO$1005:$BQ$1005,1,MATCH(COLUMNS($AO$1006:AS1006),$AO$1006:$BQ$1006,0))&gt;=100000), " ",IF(INDEX($AO$2:$BQ$1001,MATCH(ROWS($AH$2:AH797),$AH$2:$AH$1001,0),MATCH(COLUMNS($AO$1006:AS1006),$AO$1006:$BQ$1006,0)), HYPERLINK("#",""), HYPERLINK(CONCATENATE("#Metadata!", ADDRESS(INDEX($AJ$2:$AJ$1001,MATCH(ROWS($AH$2:AH797),$AH$2:$AH$1001,0),0), INDEX($AO$1004:$BQ$1004,1,MATCH(COLUMNS($AO$1006:AS1006),$AO$1006:$BQ$1006,0)))),"Fix")))</f>
        <v>#N/A</v>
      </c>
      <c r="G797" s="5" t="e">
        <f ca="1">IF(OR(INDEX($AI$2:$AI$1001,MATCH(ROWS($AH$2:AH797),$AH$2:$AH$1001,0),1)&gt;=100000,INDEX($AO$1005:$BQ$1005,1,MATCH(COLUMNS($AO$1006:AT1006),$AO$1006:$BQ$1006,0))&gt;=100000), " ",IF(INDEX($AO$2:$BQ$1001,MATCH(ROWS($AH$2:AH797),$AH$2:$AH$1001,0),MATCH(COLUMNS($AO$1006:AT1006),$AO$1006:$BQ$1006,0)), HYPERLINK("#",""), HYPERLINK(CONCATENATE("#Metadata!", ADDRESS(INDEX($AJ$2:$AJ$1001,MATCH(ROWS($AH$2:AH797),$AH$2:$AH$1001,0),0), INDEX($AO$1004:$BQ$1004,1,MATCH(COLUMNS($AO$1006:AT1006),$AO$1006:$BQ$1006,0)))),"Fix")))</f>
        <v>#N/A</v>
      </c>
      <c r="H797" s="5" t="e">
        <f ca="1">IF(OR(INDEX($AI$2:$AI$1001,MATCH(ROWS($AH$2:AH797),$AH$2:$AH$1001,0),1)&gt;=100000,INDEX($AO$1005:$BQ$1005,1,MATCH(COLUMNS($AO$1006:AU1006),$AO$1006:$BQ$1006,0))&gt;=100000), " ",IF(INDEX($AO$2:$BQ$1001,MATCH(ROWS($AH$2:AH797),$AH$2:$AH$1001,0),MATCH(COLUMNS($AO$1006:AU1006),$AO$1006:$BQ$1006,0)), HYPERLINK("#",""), HYPERLINK(CONCATENATE("#Metadata!", ADDRESS(INDEX($AJ$2:$AJ$1001,MATCH(ROWS($AH$2:AH797),$AH$2:$AH$1001,0),0), INDEX($AO$1004:$BQ$1004,1,MATCH(COLUMNS($AO$1006:AU1006),$AO$1006:$BQ$1006,0)))),"Fix")))</f>
        <v>#N/A</v>
      </c>
      <c r="I797" s="5" t="e">
        <f ca="1">IF(OR(INDEX($AI$2:$AI$1001,MATCH(ROWS($AH$2:AH797),$AH$2:$AH$1001,0),1)&gt;=100000,INDEX($AO$1005:$BQ$1005,1,MATCH(COLUMNS($AO$1006:AV1006),$AO$1006:$BQ$1006,0))&gt;=100000), " ",IF(INDEX($AO$2:$BQ$1001,MATCH(ROWS($AH$2:AH797),$AH$2:$AH$1001,0),MATCH(COLUMNS($AO$1006:AV1006),$AO$1006:$BQ$1006,0)), HYPERLINK("#",""), HYPERLINK(CONCATENATE("#Metadata!", ADDRESS(INDEX($AJ$2:$AJ$1001,MATCH(ROWS($AH$2:AH797),$AH$2:$AH$1001,0),0), INDEX($AO$1004:$BQ$1004,1,MATCH(COLUMNS($AO$1006:AV1006),$AO$1006:$BQ$1006,0)))),"Fix")))</f>
        <v>#N/A</v>
      </c>
      <c r="J797" s="5" t="e">
        <f ca="1">IF(OR(INDEX($AI$2:$AI$1001,MATCH(ROWS($AH$2:AH797),$AH$2:$AH$1001,0),1)&gt;=100000,INDEX($AO$1005:$BQ$1005,1,MATCH(COLUMNS($AO$1006:AW1006),$AO$1006:$BQ$1006,0))&gt;=100000), " ",IF(INDEX($AO$2:$BQ$1001,MATCH(ROWS($AH$2:AH797),$AH$2:$AH$1001,0),MATCH(COLUMNS($AO$1006:AW1006),$AO$1006:$BQ$1006,0)), HYPERLINK("#",""), HYPERLINK(CONCATENATE("#Metadata!", ADDRESS(INDEX($AJ$2:$AJ$1001,MATCH(ROWS($AH$2:AH797),$AH$2:$AH$1001,0),0), INDEX($AO$1004:$BQ$1004,1,MATCH(COLUMNS($AO$1006:AW1006),$AO$1006:$BQ$1006,0)))),"Fix")))</f>
        <v>#N/A</v>
      </c>
      <c r="K797" s="5" t="e">
        <f ca="1">IF(OR(INDEX($AI$2:$AI$1001,MATCH(ROWS($AH$2:AH797),$AH$2:$AH$1001,0),1)&gt;=100000,INDEX($AO$1005:$BQ$1005,1,MATCH(COLUMNS($AO$1006:AX1006),$AO$1006:$BQ$1006,0))&gt;=100000), " ",IF(INDEX($AO$2:$BQ$1001,MATCH(ROWS($AH$2:AH797),$AH$2:$AH$1001,0),MATCH(COLUMNS($AO$1006:AX1006),$AO$1006:$BQ$1006,0)), HYPERLINK("#",""), HYPERLINK(CONCATENATE("#Metadata!", ADDRESS(INDEX($AJ$2:$AJ$1001,MATCH(ROWS($AH$2:AH797),$AH$2:$AH$1001,0),0), INDEX($AO$1004:$BQ$1004,1,MATCH(COLUMNS($AO$1006:AX1006),$AO$1006:$BQ$1006,0)))),"Fix")))</f>
        <v>#N/A</v>
      </c>
      <c r="L797" s="5" t="e">
        <f ca="1">IF(OR(INDEX($AI$2:$AI$1001,MATCH(ROWS($AH$2:AH797),$AH$2:$AH$1001,0),1)&gt;=100000,INDEX($AO$1005:$BQ$1005,1,MATCH(COLUMNS($AO$1006:AY1006),$AO$1006:$BQ$1006,0))&gt;=100000), " ",IF(INDEX($AO$2:$BQ$1001,MATCH(ROWS($AH$2:AH797),$AH$2:$AH$1001,0),MATCH(COLUMNS($AO$1006:AY1006),$AO$1006:$BQ$1006,0)), HYPERLINK("#",""), HYPERLINK(CONCATENATE("#Metadata!", ADDRESS(INDEX($AJ$2:$AJ$1001,MATCH(ROWS($AH$2:AH797),$AH$2:$AH$1001,0),0), INDEX($AO$1004:$BQ$1004,1,MATCH(COLUMNS($AO$1006:AY1006),$AO$1006:$BQ$1006,0)))),"Fix")))</f>
        <v>#N/A</v>
      </c>
      <c r="M797" s="5" t="e">
        <f ca="1">IF(OR(INDEX($AI$2:$AI$1001,MATCH(ROWS($AH$2:AH797),$AH$2:$AH$1001,0),1)&gt;=100000,INDEX($AO$1005:$BQ$1005,1,MATCH(COLUMNS($AO$1006:AZ1006),$AO$1006:$BQ$1006,0))&gt;=100000), " ",IF(INDEX($AO$2:$BQ$1001,MATCH(ROWS($AH$2:AH797),$AH$2:$AH$1001,0),MATCH(COLUMNS($AO$1006:AZ1006),$AO$1006:$BQ$1006,0)), HYPERLINK("#",""), HYPERLINK(CONCATENATE("#Metadata!", ADDRESS(INDEX($AJ$2:$AJ$1001,MATCH(ROWS($AH$2:AH797),$AH$2:$AH$1001,0),0), INDEX($AO$1004:$BQ$1004,1,MATCH(COLUMNS($AO$1006:AZ1006),$AO$1006:$BQ$1006,0)))),"Fix")))</f>
        <v>#N/A</v>
      </c>
      <c r="N797" s="5" t="e">
        <f ca="1">IF(OR(INDEX($AI$2:$AI$1001,MATCH(ROWS($AH$2:AH797),$AH$2:$AH$1001,0),1)&gt;=100000,INDEX($AO$1005:$BQ$1005,1,MATCH(COLUMNS($AO$1006:BA1006),$AO$1006:$BQ$1006,0))&gt;=100000), " ",IF(INDEX($AO$2:$BQ$1001,MATCH(ROWS($AH$2:AH797),$AH$2:$AH$1001,0),MATCH(COLUMNS($AO$1006:BA1006),$AO$1006:$BQ$1006,0)), HYPERLINK("#",""), HYPERLINK(CONCATENATE("#Metadata!", ADDRESS(INDEX($AJ$2:$AJ$1001,MATCH(ROWS($AH$2:AH797),$AH$2:$AH$1001,0),0), INDEX($AO$1004:$BQ$1004,1,MATCH(COLUMNS($AO$1006:BA1006),$AO$1006:$BQ$1006,0)))),"Fix")))</f>
        <v>#N/A</v>
      </c>
      <c r="O797" s="5" t="e">
        <f ca="1">IF(OR(INDEX($AI$2:$AI$1001,MATCH(ROWS($AH$2:AH797),$AH$2:$AH$1001,0),1)&gt;=100000,INDEX($AO$1005:$BQ$1005,1,MATCH(COLUMNS($AO$1006:BB1006),$AO$1006:$BQ$1006,0))&gt;=100000), " ",IF(INDEX($AO$2:$BQ$1001,MATCH(ROWS($AH$2:AH797),$AH$2:$AH$1001,0),MATCH(COLUMNS($AO$1006:BB1006),$AO$1006:$BQ$1006,0)), HYPERLINK("#",""), HYPERLINK(CONCATENATE("#Metadata!", ADDRESS(INDEX($AJ$2:$AJ$1001,MATCH(ROWS($AH$2:AH797),$AH$2:$AH$1001,0),0), INDEX($AO$1004:$BQ$1004,1,MATCH(COLUMNS($AO$1006:BB1006),$AO$1006:$BQ$1006,0)))),"Fix")))</f>
        <v>#N/A</v>
      </c>
      <c r="P797" s="5" t="e">
        <f ca="1">IF(OR(INDEX($AI$2:$AI$1001,MATCH(ROWS($AH$2:AH797),$AH$2:$AH$1001,0),1)&gt;=100000,INDEX($AO$1005:$BQ$1005,1,MATCH(COLUMNS($AO$1006:BC1006),$AO$1006:$BQ$1006,0))&gt;=100000), " ",IF(INDEX($AO$2:$BQ$1001,MATCH(ROWS($AH$2:AH797),$AH$2:$AH$1001,0),MATCH(COLUMNS($AO$1006:BC1006),$AO$1006:$BQ$1006,0)), HYPERLINK("#",""), HYPERLINK(CONCATENATE("#Metadata!", ADDRESS(INDEX($AJ$2:$AJ$1001,MATCH(ROWS($AH$2:AH797),$AH$2:$AH$1001,0),0), INDEX($AO$1004:$BQ$1004,1,MATCH(COLUMNS($AO$1006:BC1006),$AO$1006:$BQ$1006,0)))),"Fix")))</f>
        <v>#N/A</v>
      </c>
      <c r="Q797" s="5" t="e">
        <f ca="1">IF(OR(INDEX($AI$2:$AI$1001,MATCH(ROWS($AH$2:AH797),$AH$2:$AH$1001,0),1)&gt;=100000,INDEX($AO$1005:$BQ$1005,1,MATCH(COLUMNS($AO$1006:BD1006),$AO$1006:$BQ$1006,0))&gt;=100000), " ",IF(INDEX($AO$2:$BQ$1001,MATCH(ROWS($AH$2:AH797),$AH$2:$AH$1001,0),MATCH(COLUMNS($AO$1006:BD1006),$AO$1006:$BQ$1006,0)), HYPERLINK("#",""), HYPERLINK(CONCATENATE("#Metadata!", ADDRESS(INDEX($AJ$2:$AJ$1001,MATCH(ROWS($AH$2:AH797),$AH$2:$AH$1001,0),0), INDEX($AO$1004:$BQ$1004,1,MATCH(COLUMNS($AO$1006:BD1006),$AO$1006:$BQ$1006,0)))),"Fix")))</f>
        <v>#N/A</v>
      </c>
      <c r="R797" s="5" t="e">
        <f ca="1">IF(OR(INDEX($AI$2:$AI$1001,MATCH(ROWS($AH$2:AH797),$AH$2:$AH$1001,0),1)&gt;=100000,INDEX($AO$1005:$BQ$1005,1,MATCH(COLUMNS($AO$1006:BE1006),$AO$1006:$BQ$1006,0))&gt;=100000), " ",IF(INDEX($AO$2:$BQ$1001,MATCH(ROWS($AH$2:AH797),$AH$2:$AH$1001,0),MATCH(COLUMNS($AO$1006:BE1006),$AO$1006:$BQ$1006,0)), HYPERLINK("#",""), HYPERLINK(CONCATENATE("#Metadata!", ADDRESS(INDEX($AJ$2:$AJ$1001,MATCH(ROWS($AH$2:AH797),$AH$2:$AH$1001,0),0), INDEX($AO$1004:$BQ$1004,1,MATCH(COLUMNS($AO$1006:BE1006),$AO$1006:$BQ$1006,0)))),"Fix")))</f>
        <v>#N/A</v>
      </c>
      <c r="S797" s="5" t="e">
        <f ca="1">IF(OR(INDEX($AI$2:$AI$1001,MATCH(ROWS($AH$2:AH797),$AH$2:$AH$1001,0),1)&gt;=100000,INDEX($AO$1005:$BQ$1005,1,MATCH(COLUMNS($AO$1006:BF1006),$AO$1006:$BQ$1006,0))&gt;=100000), " ",IF(INDEX($AO$2:$BQ$1001,MATCH(ROWS($AH$2:AH797),$AH$2:$AH$1001,0),MATCH(COLUMNS($AO$1006:BF1006),$AO$1006:$BQ$1006,0)), HYPERLINK("#",""), HYPERLINK(CONCATENATE("#Metadata!", ADDRESS(INDEX($AJ$2:$AJ$1001,MATCH(ROWS($AH$2:AH797),$AH$2:$AH$1001,0),0), INDEX($AO$1004:$BQ$1004,1,MATCH(COLUMNS($AO$1006:BF1006),$AO$1006:$BQ$1006,0)))),"Fix")))</f>
        <v>#N/A</v>
      </c>
      <c r="T797" s="5" t="e">
        <f ca="1">IF(OR(INDEX($AI$2:$AI$1001,MATCH(ROWS($AH$2:AH797),$AH$2:$AH$1001,0),1)&gt;=100000,INDEX($AO$1005:$BQ$1005,1,MATCH(COLUMNS($AO$1006:BG1006),$AO$1006:$BQ$1006,0))&gt;=100000), " ",IF(INDEX($AO$2:$BQ$1001,MATCH(ROWS($AH$2:AH797),$AH$2:$AH$1001,0),MATCH(COLUMNS($AO$1006:BG1006),$AO$1006:$BQ$1006,0)), HYPERLINK("#",""), HYPERLINK(CONCATENATE("#Metadata!", ADDRESS(INDEX($AJ$2:$AJ$1001,MATCH(ROWS($AH$2:AH797),$AH$2:$AH$1001,0),0), INDEX($AO$1004:$BQ$1004,1,MATCH(COLUMNS($AO$1006:BG1006),$AO$1006:$BQ$1006,0)))),"Fix")))</f>
        <v>#N/A</v>
      </c>
      <c r="U797" s="5" t="e">
        <f ca="1">IF(OR(INDEX($AI$2:$AI$1001,MATCH(ROWS($AH$2:AH797),$AH$2:$AH$1001,0),1)&gt;=100000,INDEX($AO$1005:$BQ$1005,1,MATCH(COLUMNS($AO$1006:BH1006),$AO$1006:$BQ$1006,0))&gt;=100000), " ",IF(INDEX($AO$2:$BQ$1001,MATCH(ROWS($AH$2:AH797),$AH$2:$AH$1001,0),MATCH(COLUMNS($AO$1006:BH1006),$AO$1006:$BQ$1006,0)), HYPERLINK("#",""), HYPERLINK(CONCATENATE("#Metadata!", ADDRESS(INDEX($AJ$2:$AJ$1001,MATCH(ROWS($AH$2:AH797),$AH$2:$AH$1001,0),0), INDEX($AO$1004:$BQ$1004,1,MATCH(COLUMNS($AO$1006:BH1006),$AO$1006:$BQ$1006,0)))),"Fix")))</f>
        <v>#N/A</v>
      </c>
      <c r="V797" s="5" t="e">
        <f ca="1">IF(OR(INDEX($AI$2:$AI$1001,MATCH(ROWS($AH$2:AH797),$AH$2:$AH$1001,0),1)&gt;=100000,INDEX($AO$1005:$BQ$1005,1,MATCH(COLUMNS($AO$1006:BI1006),$AO$1006:$BQ$1006,0))&gt;=100000), " ",IF(INDEX($AO$2:$BQ$1001,MATCH(ROWS($AH$2:AH797),$AH$2:$AH$1001,0),MATCH(COLUMNS($AO$1006:BI1006),$AO$1006:$BQ$1006,0)), HYPERLINK("#",""), HYPERLINK(CONCATENATE("#Metadata!", ADDRESS(INDEX($AJ$2:$AJ$1001,MATCH(ROWS($AH$2:AH797),$AH$2:$AH$1001,0),0), INDEX($AO$1004:$BQ$1004,1,MATCH(COLUMNS($AO$1006:BI1006),$AO$1006:$BQ$1006,0)))),"Fix")))</f>
        <v>#N/A</v>
      </c>
      <c r="W797" s="5" t="e">
        <f ca="1">IF(OR(INDEX($AI$2:$AI$1001,MATCH(ROWS($AH$2:AH797),$AH$2:$AH$1001,0),1)&gt;=100000,INDEX($AO$1005:$BQ$1005,1,MATCH(COLUMNS($AO$1006:BJ1006),$AO$1006:$BQ$1006,0))&gt;=100000), " ",IF(INDEX($AO$2:$BQ$1001,MATCH(ROWS($AH$2:AH797),$AH$2:$AH$1001,0),MATCH(COLUMNS($AO$1006:BJ1006),$AO$1006:$BQ$1006,0)), HYPERLINK("#",""), HYPERLINK(CONCATENATE("#Metadata!", ADDRESS(INDEX($AJ$2:$AJ$1001,MATCH(ROWS($AH$2:AH797),$AH$2:$AH$1001,0),0), INDEX($AO$1004:$BQ$1004,1,MATCH(COLUMNS($AO$1006:BJ1006),$AO$1006:$BQ$1006,0)))),"Fix")))</f>
        <v>#N/A</v>
      </c>
      <c r="X797" s="5" t="e">
        <f ca="1">IF(OR(INDEX($AI$2:$AI$1001,MATCH(ROWS($AH$2:AH797),$AH$2:$AH$1001,0),1)&gt;=100000,INDEX($AO$1005:$BQ$1005,1,MATCH(COLUMNS($AO$1006:BK1006),$AO$1006:$BQ$1006,0))&gt;=100000), " ",IF(INDEX($AO$2:$BQ$1001,MATCH(ROWS($AH$2:AH797),$AH$2:$AH$1001,0),MATCH(COLUMNS($AO$1006:BK1006),$AO$1006:$BQ$1006,0)), HYPERLINK("#",""), HYPERLINK(CONCATENATE("#Metadata!", ADDRESS(INDEX($AJ$2:$AJ$1001,MATCH(ROWS($AH$2:AH797),$AH$2:$AH$1001,0),0), INDEX($AO$1004:$BQ$1004,1,MATCH(COLUMNS($AO$1006:BK1006),$AO$1006:$BQ$1006,0)))),"Fix")))</f>
        <v>#N/A</v>
      </c>
      <c r="Y797" s="5" t="e">
        <f ca="1">IF(OR(INDEX($AI$2:$AI$1001,MATCH(ROWS($AH$2:AH797),$AH$2:$AH$1001,0),1)&gt;=100000,INDEX($AO$1005:$BQ$1005,1,MATCH(COLUMNS($AO$1006:BL1006),$AO$1006:$BQ$1006,0))&gt;=100000), " ",IF(INDEX($AO$2:$BQ$1001,MATCH(ROWS($AH$2:AH797),$AH$2:$AH$1001,0),MATCH(COLUMNS($AO$1006:BL1006),$AO$1006:$BQ$1006,0)), HYPERLINK("#",""), HYPERLINK(CONCATENATE("#Metadata!", ADDRESS(INDEX($AJ$2:$AJ$1001,MATCH(ROWS($AH$2:AH797),$AH$2:$AH$1001,0),0), INDEX($AO$1004:$BQ$1004,1,MATCH(COLUMNS($AO$1006:BL1006),$AO$1006:$BQ$1006,0)))),"Fix")))</f>
        <v>#N/A</v>
      </c>
      <c r="Z797" s="5" t="e">
        <f ca="1">IF(OR(INDEX($AI$2:$AI$1001,MATCH(ROWS($AH$2:AH797),$AH$2:$AH$1001,0),1)&gt;=100000,INDEX($AO$1005:$BQ$1005,1,MATCH(COLUMNS($AO$1006:BM1006),$AO$1006:$BQ$1006,0))&gt;=100000), " ",IF(INDEX($AO$2:$BQ$1001,MATCH(ROWS($AH$2:AH797),$AH$2:$AH$1001,0),MATCH(COLUMNS($AO$1006:BM1006),$AO$1006:$BQ$1006,0)), HYPERLINK("#",""), HYPERLINK(CONCATENATE("#Metadata!", ADDRESS(INDEX($AJ$2:$AJ$1001,MATCH(ROWS($AH$2:AH797),$AH$2:$AH$1001,0),0), INDEX($AO$1004:$BQ$1004,1,MATCH(COLUMNS($AO$1006:BM1006),$AO$1006:$BQ$1006,0)))),"Fix")))</f>
        <v>#N/A</v>
      </c>
      <c r="AA797" s="5" t="e">
        <f ca="1">IF(OR(INDEX($AI$2:$AI$1001,MATCH(ROWS($AH$2:AH797),$AH$2:$AH$1001,0),1)&gt;=100000,INDEX($AO$1005:$BQ$1005,1,MATCH(COLUMNS($AO$1006:BN1006),$AO$1006:$BQ$1006,0))&gt;=100000), " ",IF(INDEX($AO$2:$BQ$1001,MATCH(ROWS($AH$2:AH797),$AH$2:$AH$1001,0),MATCH(COLUMNS($AO$1006:BN1006),$AO$1006:$BQ$1006,0)), HYPERLINK("#",""), HYPERLINK(CONCATENATE("#Metadata!", ADDRESS(INDEX($AJ$2:$AJ$1001,MATCH(ROWS($AH$2:AH797),$AH$2:$AH$1001,0),0), INDEX($AO$1004:$BQ$1004,1,MATCH(COLUMNS($AO$1006:BN1006),$AO$1006:$BQ$1006,0)))),"Fix")))</f>
        <v>#N/A</v>
      </c>
      <c r="AB797" s="5" t="e">
        <f ca="1">IF(OR(INDEX($AI$2:$AI$1001,MATCH(ROWS($AH$2:AH797),$AH$2:$AH$1001,0),1)&gt;=100000,INDEX($AO$1005:$BQ$1005,1,MATCH(COLUMNS($AO$1006:BO1006),$AO$1006:$BQ$1006,0))&gt;=100000), " ",IF(INDEX($AO$2:$BQ$1001,MATCH(ROWS($AH$2:AH797),$AH$2:$AH$1001,0),MATCH(COLUMNS($AO$1006:BO1006),$AO$1006:$BQ$1006,0)), HYPERLINK("#",""), HYPERLINK(CONCATENATE("#Metadata!", ADDRESS(INDEX($AJ$2:$AJ$1001,MATCH(ROWS($AH$2:AH797),$AH$2:$AH$1001,0),0), INDEX($AO$1004:$BQ$1004,1,MATCH(COLUMNS($AO$1006:BO1006),$AO$1006:$BQ$1006,0)))),"Fix")))</f>
        <v>#N/A</v>
      </c>
      <c r="AC797" s="5" t="e">
        <f ca="1">IF(OR(INDEX($AI$2:$AI$1001,MATCH(ROWS($AH$2:AH797),$AH$2:$AH$1001,0),1)&gt;=100000,INDEX($AO$1005:$BQ$1005,1,MATCH(COLUMNS($AO$1006:BP1006),$AO$1006:$BQ$1006,0))&gt;=100000), " ",IF(INDEX($AO$2:$BQ$1001,MATCH(ROWS($AH$2:AH797),$AH$2:$AH$1001,0),MATCH(COLUMNS($AO$1006:BP1006),$AO$1006:$BQ$1006,0)), HYPERLINK("#",""), HYPERLINK(CONCATENATE("#Metadata!", ADDRESS(INDEX($AJ$2:$AJ$1001,MATCH(ROWS($AH$2:AH797),$AH$2:$AH$1001,0),0), INDEX($AO$1004:$BQ$1004,1,MATCH(COLUMNS($AO$1006:BP1006),$AO$1006:$BQ$1006,0)))),"Fix")))</f>
        <v>#N/A</v>
      </c>
      <c r="AD797" s="5" t="e">
        <f ca="1">IF(OR(INDEX($AI$2:$AI$1001,MATCH(ROWS($AH$2:AH797),$AH$2:$AH$1001,0),1)&gt;=100000,INDEX($AO$1005:$BQ$1005,1,MATCH(COLUMNS($AO$1006:BQ1006),$AO$1006:$BQ$1006,0))&gt;=100000), " ",IF(INDEX($AO$2:$BQ$1001,MATCH(ROWS($AH$2:AH797),$AH$2:$AH$1001,0),MATCH(COLUMNS($AO$1006:BQ1006),$AO$1006:$BQ$1006,0)), HYPERLINK("#",""), HYPERLINK(CONCATENATE("#Metadata!", ADDRESS(INDEX($AJ$2:$AJ$1001,MATCH(ROWS($AH$2:AH797),$AH$2:$AH$1001,0),0), INDEX($AO$1004:$BQ$1004,1,MATCH(COLUMNS($AO$1006:BQ1006),$AO$1006:$BQ$1006,0)))),"Fix")))</f>
        <v>#REF!</v>
      </c>
      <c r="AH797">
        <f ca="1"/>
        <v>794</v>
      </c>
      <c r="AI797">
        <v>100797</v>
      </c>
      <c r="AJ797">
        <v>797</v>
      </c>
      <c r="AK797" t="b">
        <f t="shared" si="12"/>
        <v>1</v>
      </c>
      <c r="AL797" t="b">
        <f>COUNTBLANK(Metadata!B797:AD797)=COLUMNS(Metadata!B797:AD797)</f>
        <v>1</v>
      </c>
      <c r="AM797" t="str">
        <v/>
      </c>
      <c r="AO797" t="b">
        <f ca="1">AND(IF(Metadata!B797="",FALSE,TRUE),COUNTIF(Metadata!B:B, Metadata!B797) = 1,NOT(ISERROR(SUMPRODUCT(SEARCH(MID(Metadata!B797,ROW(INDIRECT("1:"&amp;LEN(Metadata!B797))), 1),"0123456789abcdefghijklmnopqrstuvwxyzABCDEFGHIJKLMNOPQRSTUVWXYZ.")))))</f>
        <v>0</v>
      </c>
      <c r="AP797" t="b">
        <f>IF(Metadata!C797="",FALSE,TRUE)</f>
        <v>0</v>
      </c>
      <c r="AQ797" t="b">
        <f>IF(Metadata!D797="",FALSE,TRUE)</f>
        <v>0</v>
      </c>
      <c r="AR797" t="b">
        <f ca="1">OR(AND(IF(Metadata!E797="",FALSE,TRUE),OR(EXACT(Metadata!E797,"not collected"),EXACT(Metadata!E797,"not provided"),EXACT(Metadata!E797,"restricted access"))),AND(IF(Metadata!E797="",FALSE,TRUE),AND(AND(IFERROR(INT(LEFT(Metadata!E797,4))&gt;1900,FALSE),IFERROR(INT(LEFT(Metadata!E797,4))&lt;=YEAR(NOW()),FALSE)), OR(MID(Metadata!E797,5,1)="", AND(AND(MID(Metadata!E797,5,1)="-",IFERROR(INT(MID(Metadata!E797,6,1))&gt;=0,FALSE),IFERROR(INT(MID(Metadata!E797,6,1))&lt;=1,FALSE),NOT(MID(Metadata!E797,7,1)=""),IFERROR(INT(MID(Metadata!E797,6,2))&gt;=1,FALSE),IFERROR(INT(MID(Metadata!E797,6,2))&lt;=12,FALSE)), OR(MID(Metadata!E797,8,1)="", AND(AND(MID(Metadata!E797,8,1)="-",IFERROR(INT(MID(Metadata!E797,9,1))&gt;=0,FALSE),IFERROR(INT(MID(Metadata!E797,9,1))&lt;=3,FALSE),NOT(MID(Metadata!E797,10,1)=""),IFERROR(INT(MID(Metadata!E797,9,2))&gt;=1,FALSE),IFERROR(INT(MID(Metadata!E797,9,2))&lt;=31,FALSE)), OR(MID(Metadata!E797,11,1)="", AND(AND(MID(Metadata!E797,11,1)=" ",IFERROR(INT(MID(Metadata!E797,12,1))&gt;=0,FALSE),IFERROR(INT(MID(Metadata!E797,12,1))&lt;=2,FALSE),NOT(MID(Metadata!E797,13,1)=""),IFERROR(INT(MID(Metadata!E797,12,2))&gt;=0,FALSE),IFERROR(INT(MID(Metadata!E797,12,2))&lt;=23,FALSE)), OR(MID(Metadata!E797,14,1)="", AND(AND(MID(Metadata!E797,14,1)=":",IFERROR(INT(MID(Metadata!E797,15,1))&gt;=0,FALSE),IFERROR(INT(MID(Metadata!E797,15,1))&lt;=5,FALSE),NOT(MID(Metadata!E797,16,1)=""),IFERROR(INT(MID(Metadata!E797,15,2))&gt;=0,FALSE),IFERROR(INT(MID(Metadata!E797,15,2))&lt;=59,FALSE)), OR(MID(Metadata!E797,17,1)="", AND(AND(MID(Metadata!E797,17,1)=":",IFERROR(INT(MID(Metadata!E797,18,1))&gt;=0,FALSE),IFERROR(INT(MID(Metadata!E797,18,1))&lt;=5,FALSE),NOT(MID(Metadata!E797,19,1)=""),IFERROR(INT(MID(Metadata!E797,18,2))&gt;=0,FALSE),IFERROR(INT(MID(Metadata!E797,18,2))&lt;=59,FALSE)), LEN(Metadata!E797)&lt;=19)))))))))))))</f>
        <v>0</v>
      </c>
      <c r="AS797" t="b">
        <f>IF(Metadata!F797="",FALSE,TRUE)</f>
        <v>0</v>
      </c>
      <c r="AT797" t="b">
        <f>OR(AND(IF(Metadata!G797="",FALSE,TRUE),OR(EXACT(Metadata!G797,"not collected"),EXACT(Metadata!G797,"not provided"))),AND(IF(Metadata!G797="",FALSE,TRUE),OR(EXACT(Metadata!G797,"TRUE"),EXACT(Metadata!G797,"FALSE"))))</f>
        <v>0</v>
      </c>
      <c r="AU797" t="b">
        <f>OR(AND(IF(Metadata!H797="",FALSE,TRUE),OR(EXACT(Metadata!H797,"not collected"),EXACT(Metadata!H797,"not provided"),EXACT(Metadata!H797,"restricted access"))),AND(IF(Metadata!H797="",FALSE,ISNUMBER(VALUE(Metadata!H797))),Metadata!H797&gt;=-413))</f>
        <v>0</v>
      </c>
      <c r="AV797" t="b">
        <f>AND(IF(Metadata!I797="",FALSE,TRUE),EXACT(Metadata!I797,"meters"))</f>
        <v>0</v>
      </c>
      <c r="AW797" t="b">
        <f>AND(IF(Metadata!J797="",FALSE,TRUE),EXACT(Metadata!J797,"free-living"))</f>
        <v>0</v>
      </c>
      <c r="AX797" t="b">
        <f>AND(IF(Metadata!K797="",FALSE,TRUE),OR(EXACT(Metadata!K797,"saline"),EXACT(Metadata!K797,"non-saline")))</f>
        <v>0</v>
      </c>
      <c r="AY797" t="b">
        <f>AND(IF(Metadata!L797="",FALSE,TRUE),OR(EXACT(Metadata!L797,"sub-surface (non-saline)"),EXACT(Metadata!L797,"surface (non-saline)"),EXACT(Metadata!L797,"water (non-saline)"),EXACT(Metadata!L797,"soil (non-saline)"),EXACT(Metadata!L797,"aerosol (non-saline)"),EXACT(Metadata!L797,"sediment (non-saline)"),EXACT(Metadata!L797,"surface (saline)"),EXACT(Metadata!L797,"water (saline)"),EXACT(Metadata!L797,"hypersaline (saline)"),EXACT(Metadata!L797,"aerosol (saline)"),EXACT(Metadata!L797,"sediment (saline)")))</f>
        <v>0</v>
      </c>
      <c r="AZ797" t="b">
        <f>IF(Metadata!M797="",FALSE,TRUE)</f>
        <v>0</v>
      </c>
      <c r="BA797" t="b">
        <f>IF(Metadata!N797="",FALSE,TRUE)</f>
        <v>0</v>
      </c>
      <c r="BB797" t="b">
        <f>IF(Metadata!O797="",FALSE,TRUE)</f>
        <v>0</v>
      </c>
      <c r="BC797" t="b">
        <f>AND(IF(Metadata!P797="",FALSE,TRUE),OR(EXACT(Metadata!P797,"air"),EXACT(Metadata!P797,"microbial mat/biofilm"),EXACT(Metadata!P797,"misc environment"),EXACT(Metadata!P797,"sediment"),EXACT(Metadata!P797,"soil"),EXACT(Metadata!P797,"wastewater/sludge"),EXACT(Metadata!P797,"water")))</f>
        <v>0</v>
      </c>
      <c r="BD797" t="b">
        <f>IF(Metadata!Q797="",FALSE,TRUE)</f>
        <v>0</v>
      </c>
      <c r="BE797" t="b">
        <f>IF(Metadata!R797="",FALSE,TRUE)</f>
        <v>0</v>
      </c>
      <c r="BF797" t="b">
        <f>OR(AND(IF(Metadata!S797="",FALSE,TRUE),OR(EXACT(Metadata!S797,"not collected"),EXACT(Metadata!S797,"not provided"),EXACT(Metadata!S797,"restricted access"))),AND(IF(Metadata!S797="",FALSE,ISNUMBER(VALUE(Metadata!S797))),Metadata!S797&gt;=-90,Metadata!S797&lt;=90))</f>
        <v>0</v>
      </c>
      <c r="BG797" t="b">
        <f>AND(IF(Metadata!T797="",FALSE,TRUE),EXACT(Metadata!T797,"Decimal degrees"))</f>
        <v>0</v>
      </c>
      <c r="BH797" t="b">
        <f>OR(AND(IF(Metadata!U797="",FALSE,TRUE),OR(EXACT(Metadata!U797,"not applicable"),EXACT(Metadata!U797,"not collected"))),IF(Metadata!U797="",FALSE,TRUE))</f>
        <v>0</v>
      </c>
      <c r="BI797" t="b">
        <f>OR(AND(IF(Metadata!V797="",FALSE,TRUE),OR(EXACT(Metadata!V797,"not collected"),EXACT(Metadata!V797,"not provided"),EXACT(Metadata!V797,"restricted access"))),AND(IF(Metadata!V797="",FALSE,ISNUMBER(VALUE(Metadata!V797))),Metadata!V797&gt;=-180,Metadata!V797&lt;=180))</f>
        <v>0</v>
      </c>
      <c r="BJ797" t="b">
        <f>AND(IF(Metadata!W797="",FALSE,TRUE),EXACT(Metadata!W797,"Decimal degrees"))</f>
        <v>0</v>
      </c>
      <c r="BK797" t="b">
        <f>IF(Metadata!X797="",FALSE,TRUE)</f>
        <v>0</v>
      </c>
      <c r="BL797" t="b">
        <f>OR(AND(IF(Metadata!Y797="",FALSE,TRUE),OR(EXACT(Metadata!Y797,"not collected"),EXACT(Metadata!Y797,"not provided"),EXACT(Metadata!Y797,"restricted access"))),AND(IF(Metadata!Y797="",FALSE,TRUE),OR(EXACT(Metadata!Y797,"TRUE"),EXACT(Metadata!Y797,"FALSE"))))</f>
        <v>0</v>
      </c>
      <c r="BM797" t="b">
        <f>OR(AND(IF(Metadata!Z797="",FALSE,TRUE),EXACT(Metadata!Z797,"not applicable")),AND(IF(Metadata!Z797="",FALSE,TRUE),OR(EXACT(Metadata!Z797,"beer"),EXACT(Metadata!Z797,"cheese"),EXACT(Metadata!Z797,"fresh water"),EXACT(Metadata!Z797,"marine sediment"),EXACT(Metadata!Z797,"sea water"),EXACT(Metadata!Z797,"sediment"),EXACT(Metadata!Z797,"soil"),EXACT(Metadata!Z797,"waste water"))))</f>
        <v>0</v>
      </c>
      <c r="BN797" t="b">
        <f>AND(IF(Metadata!AA797="",FALSE,TRUE),EXACT(Metadata!AA797,"metagenome"))</f>
        <v>0</v>
      </c>
      <c r="BO797" t="b">
        <f>AND(IF(Metadata!AB797="",FALSE,TRUE),EXACT(Metadata!AB797,"256318"))</f>
        <v>0</v>
      </c>
      <c r="BP797" t="b">
        <f>IF(Metadata!AC797="",FALSE,TRUE)</f>
        <v>0</v>
      </c>
      <c r="BQ797" t="b">
        <f>IF(Metadata!AD797="",FALSE,TRUE)</f>
        <v>0</v>
      </c>
    </row>
    <row r="798" spans="1:69" x14ac:dyDescent="0.2">
      <c r="A798" s="4" t="e">
        <f ca="1">IF(B798=" "," ",HYPERLINK(CONCATENATE("#metadata!",ADDRESS(INDEX($AJ$2:$AJ$1001,MATCH(ROWS($AH$2:AH798),$AH$2:$AH$1001,0),0),2)),INDEX($AM$2:$AM$1001,MATCH(ROWS($AH$2:AH798),$AH$2:$AH$1001,0),0)))</f>
        <v>#N/A</v>
      </c>
      <c r="B798" s="5" t="e">
        <f ca="1">IF(OR(INDEX($AI$2:$AI$1001,MATCH(ROWS($AH$2:AH798),$AH$2:$AH$1001,0),1)&gt;=100000,INDEX($AO$1005:$BQ$1005,1,MATCH(COLUMNS($AO$1006:AO1006),$AO$1006:$BQ$1006,0))&gt;=100000), " ",IF(INDEX($AO$2:$BQ$1001,MATCH(ROWS($AH$2:AH798),$AH$2:$AH$1001,0),MATCH(COLUMNS($AO$1006:AO1006),$AO$1006:$BQ$1006,0)), HYPERLINK("#",""), HYPERLINK(CONCATENATE("#Metadata!", ADDRESS(INDEX($AJ$2:$AJ$1001,MATCH(ROWS($AH$2:AH798),$AH$2:$AH$1001,0),0), INDEX($AO$1004:$BQ$1004,1,MATCH(COLUMNS($AO$1006:AO1006),$AO$1006:$BQ$1006,0)))),"Fix")))</f>
        <v>#N/A</v>
      </c>
      <c r="C798" s="5" t="e">
        <f ca="1">IF(OR(INDEX($AI$2:$AI$1001,MATCH(ROWS($AH$2:AH798),$AH$2:$AH$1001,0),1)&gt;=100000,INDEX($AO$1005:$BQ$1005,1,MATCH(COLUMNS($AO$1006:AP1006),$AO$1006:$BQ$1006,0))&gt;=100000), " ",IF(INDEX($AO$2:$BQ$1001,MATCH(ROWS($AH$2:AH798),$AH$2:$AH$1001,0),MATCH(COLUMNS($AO$1006:AP1006),$AO$1006:$BQ$1006,0)), HYPERLINK("#",""), HYPERLINK(CONCATENATE("#Metadata!", ADDRESS(INDEX($AJ$2:$AJ$1001,MATCH(ROWS($AH$2:AH798),$AH$2:$AH$1001,0),0), INDEX($AO$1004:$BQ$1004,1,MATCH(COLUMNS($AO$1006:AP1006),$AO$1006:$BQ$1006,0)))),"Fix")))</f>
        <v>#N/A</v>
      </c>
      <c r="D798" s="5" t="e">
        <f ca="1">IF(OR(INDEX($AI$2:$AI$1001,MATCH(ROWS($AH$2:AH798),$AH$2:$AH$1001,0),1)&gt;=100000,INDEX($AO$1005:$BQ$1005,1,MATCH(COLUMNS($AO$1006:AQ1006),$AO$1006:$BQ$1006,0))&gt;=100000), " ",IF(INDEX($AO$2:$BQ$1001,MATCH(ROWS($AH$2:AH798),$AH$2:$AH$1001,0),MATCH(COLUMNS($AO$1006:AQ1006),$AO$1006:$BQ$1006,0)), HYPERLINK("#",""), HYPERLINK(CONCATENATE("#Metadata!", ADDRESS(INDEX($AJ$2:$AJ$1001,MATCH(ROWS($AH$2:AH798),$AH$2:$AH$1001,0),0), INDEX($AO$1004:$BQ$1004,1,MATCH(COLUMNS($AO$1006:AQ1006),$AO$1006:$BQ$1006,0)))),"Fix")))</f>
        <v>#N/A</v>
      </c>
      <c r="E798" s="5" t="e">
        <f ca="1">IF(OR(INDEX($AI$2:$AI$1001,MATCH(ROWS($AH$2:AH798),$AH$2:$AH$1001,0),1)&gt;=100000,INDEX($AO$1005:$BQ$1005,1,MATCH(COLUMNS($AO$1006:AR1006),$AO$1006:$BQ$1006,0))&gt;=100000), " ",IF(INDEX($AO$2:$BQ$1001,MATCH(ROWS($AH$2:AH798),$AH$2:$AH$1001,0),MATCH(COLUMNS($AO$1006:AR1006),$AO$1006:$BQ$1006,0)), HYPERLINK("#",""), HYPERLINK(CONCATENATE("#Metadata!", ADDRESS(INDEX($AJ$2:$AJ$1001,MATCH(ROWS($AH$2:AH798),$AH$2:$AH$1001,0),0), INDEX($AO$1004:$BQ$1004,1,MATCH(COLUMNS($AO$1006:AR1006),$AO$1006:$BQ$1006,0)))),"Fix")))</f>
        <v>#N/A</v>
      </c>
      <c r="F798" s="5" t="e">
        <f ca="1">IF(OR(INDEX($AI$2:$AI$1001,MATCH(ROWS($AH$2:AH798),$AH$2:$AH$1001,0),1)&gt;=100000,INDEX($AO$1005:$BQ$1005,1,MATCH(COLUMNS($AO$1006:AS1006),$AO$1006:$BQ$1006,0))&gt;=100000), " ",IF(INDEX($AO$2:$BQ$1001,MATCH(ROWS($AH$2:AH798),$AH$2:$AH$1001,0),MATCH(COLUMNS($AO$1006:AS1006),$AO$1006:$BQ$1006,0)), HYPERLINK("#",""), HYPERLINK(CONCATENATE("#Metadata!", ADDRESS(INDEX($AJ$2:$AJ$1001,MATCH(ROWS($AH$2:AH798),$AH$2:$AH$1001,0),0), INDEX($AO$1004:$BQ$1004,1,MATCH(COLUMNS($AO$1006:AS1006),$AO$1006:$BQ$1006,0)))),"Fix")))</f>
        <v>#N/A</v>
      </c>
      <c r="G798" s="5" t="e">
        <f ca="1">IF(OR(INDEX($AI$2:$AI$1001,MATCH(ROWS($AH$2:AH798),$AH$2:$AH$1001,0),1)&gt;=100000,INDEX($AO$1005:$BQ$1005,1,MATCH(COLUMNS($AO$1006:AT1006),$AO$1006:$BQ$1006,0))&gt;=100000), " ",IF(INDEX($AO$2:$BQ$1001,MATCH(ROWS($AH$2:AH798),$AH$2:$AH$1001,0),MATCH(COLUMNS($AO$1006:AT1006),$AO$1006:$BQ$1006,0)), HYPERLINK("#",""), HYPERLINK(CONCATENATE("#Metadata!", ADDRESS(INDEX($AJ$2:$AJ$1001,MATCH(ROWS($AH$2:AH798),$AH$2:$AH$1001,0),0), INDEX($AO$1004:$BQ$1004,1,MATCH(COLUMNS($AO$1006:AT1006),$AO$1006:$BQ$1006,0)))),"Fix")))</f>
        <v>#N/A</v>
      </c>
      <c r="H798" s="5" t="e">
        <f ca="1">IF(OR(INDEX($AI$2:$AI$1001,MATCH(ROWS($AH$2:AH798),$AH$2:$AH$1001,0),1)&gt;=100000,INDEX($AO$1005:$BQ$1005,1,MATCH(COLUMNS($AO$1006:AU1006),$AO$1006:$BQ$1006,0))&gt;=100000), " ",IF(INDEX($AO$2:$BQ$1001,MATCH(ROWS($AH$2:AH798),$AH$2:$AH$1001,0),MATCH(COLUMNS($AO$1006:AU1006),$AO$1006:$BQ$1006,0)), HYPERLINK("#",""), HYPERLINK(CONCATENATE("#Metadata!", ADDRESS(INDEX($AJ$2:$AJ$1001,MATCH(ROWS($AH$2:AH798),$AH$2:$AH$1001,0),0), INDEX($AO$1004:$BQ$1004,1,MATCH(COLUMNS($AO$1006:AU1006),$AO$1006:$BQ$1006,0)))),"Fix")))</f>
        <v>#N/A</v>
      </c>
      <c r="I798" s="5" t="e">
        <f ca="1">IF(OR(INDEX($AI$2:$AI$1001,MATCH(ROWS($AH$2:AH798),$AH$2:$AH$1001,0),1)&gt;=100000,INDEX($AO$1005:$BQ$1005,1,MATCH(COLUMNS($AO$1006:AV1006),$AO$1006:$BQ$1006,0))&gt;=100000), " ",IF(INDEX($AO$2:$BQ$1001,MATCH(ROWS($AH$2:AH798),$AH$2:$AH$1001,0),MATCH(COLUMNS($AO$1006:AV1006),$AO$1006:$BQ$1006,0)), HYPERLINK("#",""), HYPERLINK(CONCATENATE("#Metadata!", ADDRESS(INDEX($AJ$2:$AJ$1001,MATCH(ROWS($AH$2:AH798),$AH$2:$AH$1001,0),0), INDEX($AO$1004:$BQ$1004,1,MATCH(COLUMNS($AO$1006:AV1006),$AO$1006:$BQ$1006,0)))),"Fix")))</f>
        <v>#N/A</v>
      </c>
      <c r="J798" s="5" t="e">
        <f ca="1">IF(OR(INDEX($AI$2:$AI$1001,MATCH(ROWS($AH$2:AH798),$AH$2:$AH$1001,0),1)&gt;=100000,INDEX($AO$1005:$BQ$1005,1,MATCH(COLUMNS($AO$1006:AW1006),$AO$1006:$BQ$1006,0))&gt;=100000), " ",IF(INDEX($AO$2:$BQ$1001,MATCH(ROWS($AH$2:AH798),$AH$2:$AH$1001,0),MATCH(COLUMNS($AO$1006:AW1006),$AO$1006:$BQ$1006,0)), HYPERLINK("#",""), HYPERLINK(CONCATENATE("#Metadata!", ADDRESS(INDEX($AJ$2:$AJ$1001,MATCH(ROWS($AH$2:AH798),$AH$2:$AH$1001,0),0), INDEX($AO$1004:$BQ$1004,1,MATCH(COLUMNS($AO$1006:AW1006),$AO$1006:$BQ$1006,0)))),"Fix")))</f>
        <v>#N/A</v>
      </c>
      <c r="K798" s="5" t="e">
        <f ca="1">IF(OR(INDEX($AI$2:$AI$1001,MATCH(ROWS($AH$2:AH798),$AH$2:$AH$1001,0),1)&gt;=100000,INDEX($AO$1005:$BQ$1005,1,MATCH(COLUMNS($AO$1006:AX1006),$AO$1006:$BQ$1006,0))&gt;=100000), " ",IF(INDEX($AO$2:$BQ$1001,MATCH(ROWS($AH$2:AH798),$AH$2:$AH$1001,0),MATCH(COLUMNS($AO$1006:AX1006),$AO$1006:$BQ$1006,0)), HYPERLINK("#",""), HYPERLINK(CONCATENATE("#Metadata!", ADDRESS(INDEX($AJ$2:$AJ$1001,MATCH(ROWS($AH$2:AH798),$AH$2:$AH$1001,0),0), INDEX($AO$1004:$BQ$1004,1,MATCH(COLUMNS($AO$1006:AX1006),$AO$1006:$BQ$1006,0)))),"Fix")))</f>
        <v>#N/A</v>
      </c>
      <c r="L798" s="5" t="e">
        <f ca="1">IF(OR(INDEX($AI$2:$AI$1001,MATCH(ROWS($AH$2:AH798),$AH$2:$AH$1001,0),1)&gt;=100000,INDEX($AO$1005:$BQ$1005,1,MATCH(COLUMNS($AO$1006:AY1006),$AO$1006:$BQ$1006,0))&gt;=100000), " ",IF(INDEX($AO$2:$BQ$1001,MATCH(ROWS($AH$2:AH798),$AH$2:$AH$1001,0),MATCH(COLUMNS($AO$1006:AY1006),$AO$1006:$BQ$1006,0)), HYPERLINK("#",""), HYPERLINK(CONCATENATE("#Metadata!", ADDRESS(INDEX($AJ$2:$AJ$1001,MATCH(ROWS($AH$2:AH798),$AH$2:$AH$1001,0),0), INDEX($AO$1004:$BQ$1004,1,MATCH(COLUMNS($AO$1006:AY1006),$AO$1006:$BQ$1006,0)))),"Fix")))</f>
        <v>#N/A</v>
      </c>
      <c r="M798" s="5" t="e">
        <f ca="1">IF(OR(INDEX($AI$2:$AI$1001,MATCH(ROWS($AH$2:AH798),$AH$2:$AH$1001,0),1)&gt;=100000,INDEX($AO$1005:$BQ$1005,1,MATCH(COLUMNS($AO$1006:AZ1006),$AO$1006:$BQ$1006,0))&gt;=100000), " ",IF(INDEX($AO$2:$BQ$1001,MATCH(ROWS($AH$2:AH798),$AH$2:$AH$1001,0),MATCH(COLUMNS($AO$1006:AZ1006),$AO$1006:$BQ$1006,0)), HYPERLINK("#",""), HYPERLINK(CONCATENATE("#Metadata!", ADDRESS(INDEX($AJ$2:$AJ$1001,MATCH(ROWS($AH$2:AH798),$AH$2:$AH$1001,0),0), INDEX($AO$1004:$BQ$1004,1,MATCH(COLUMNS($AO$1006:AZ1006),$AO$1006:$BQ$1006,0)))),"Fix")))</f>
        <v>#N/A</v>
      </c>
      <c r="N798" s="5" t="e">
        <f ca="1">IF(OR(INDEX($AI$2:$AI$1001,MATCH(ROWS($AH$2:AH798),$AH$2:$AH$1001,0),1)&gt;=100000,INDEX($AO$1005:$BQ$1005,1,MATCH(COLUMNS($AO$1006:BA1006),$AO$1006:$BQ$1006,0))&gt;=100000), " ",IF(INDEX($AO$2:$BQ$1001,MATCH(ROWS($AH$2:AH798),$AH$2:$AH$1001,0),MATCH(COLUMNS($AO$1006:BA1006),$AO$1006:$BQ$1006,0)), HYPERLINK("#",""), HYPERLINK(CONCATENATE("#Metadata!", ADDRESS(INDEX($AJ$2:$AJ$1001,MATCH(ROWS($AH$2:AH798),$AH$2:$AH$1001,0),0), INDEX($AO$1004:$BQ$1004,1,MATCH(COLUMNS($AO$1006:BA1006),$AO$1006:$BQ$1006,0)))),"Fix")))</f>
        <v>#N/A</v>
      </c>
      <c r="O798" s="5" t="e">
        <f ca="1">IF(OR(INDEX($AI$2:$AI$1001,MATCH(ROWS($AH$2:AH798),$AH$2:$AH$1001,0),1)&gt;=100000,INDEX($AO$1005:$BQ$1005,1,MATCH(COLUMNS($AO$1006:BB1006),$AO$1006:$BQ$1006,0))&gt;=100000), " ",IF(INDEX($AO$2:$BQ$1001,MATCH(ROWS($AH$2:AH798),$AH$2:$AH$1001,0),MATCH(COLUMNS($AO$1006:BB1006),$AO$1006:$BQ$1006,0)), HYPERLINK("#",""), HYPERLINK(CONCATENATE("#Metadata!", ADDRESS(INDEX($AJ$2:$AJ$1001,MATCH(ROWS($AH$2:AH798),$AH$2:$AH$1001,0),0), INDEX($AO$1004:$BQ$1004,1,MATCH(COLUMNS($AO$1006:BB1006),$AO$1006:$BQ$1006,0)))),"Fix")))</f>
        <v>#N/A</v>
      </c>
      <c r="P798" s="5" t="e">
        <f ca="1">IF(OR(INDEX($AI$2:$AI$1001,MATCH(ROWS($AH$2:AH798),$AH$2:$AH$1001,0),1)&gt;=100000,INDEX($AO$1005:$BQ$1005,1,MATCH(COLUMNS($AO$1006:BC1006),$AO$1006:$BQ$1006,0))&gt;=100000), " ",IF(INDEX($AO$2:$BQ$1001,MATCH(ROWS($AH$2:AH798),$AH$2:$AH$1001,0),MATCH(COLUMNS($AO$1006:BC1006),$AO$1006:$BQ$1006,0)), HYPERLINK("#",""), HYPERLINK(CONCATENATE("#Metadata!", ADDRESS(INDEX($AJ$2:$AJ$1001,MATCH(ROWS($AH$2:AH798),$AH$2:$AH$1001,0),0), INDEX($AO$1004:$BQ$1004,1,MATCH(COLUMNS($AO$1006:BC1006),$AO$1006:$BQ$1006,0)))),"Fix")))</f>
        <v>#N/A</v>
      </c>
      <c r="Q798" s="5" t="e">
        <f ca="1">IF(OR(INDEX($AI$2:$AI$1001,MATCH(ROWS($AH$2:AH798),$AH$2:$AH$1001,0),1)&gt;=100000,INDEX($AO$1005:$BQ$1005,1,MATCH(COLUMNS($AO$1006:BD1006),$AO$1006:$BQ$1006,0))&gt;=100000), " ",IF(INDEX($AO$2:$BQ$1001,MATCH(ROWS($AH$2:AH798),$AH$2:$AH$1001,0),MATCH(COLUMNS($AO$1006:BD1006),$AO$1006:$BQ$1006,0)), HYPERLINK("#",""), HYPERLINK(CONCATENATE("#Metadata!", ADDRESS(INDEX($AJ$2:$AJ$1001,MATCH(ROWS($AH$2:AH798),$AH$2:$AH$1001,0),0), INDEX($AO$1004:$BQ$1004,1,MATCH(COLUMNS($AO$1006:BD1006),$AO$1006:$BQ$1006,0)))),"Fix")))</f>
        <v>#N/A</v>
      </c>
      <c r="R798" s="5" t="e">
        <f ca="1">IF(OR(INDEX($AI$2:$AI$1001,MATCH(ROWS($AH$2:AH798),$AH$2:$AH$1001,0),1)&gt;=100000,INDEX($AO$1005:$BQ$1005,1,MATCH(COLUMNS($AO$1006:BE1006),$AO$1006:$BQ$1006,0))&gt;=100000), " ",IF(INDEX($AO$2:$BQ$1001,MATCH(ROWS($AH$2:AH798),$AH$2:$AH$1001,0),MATCH(COLUMNS($AO$1006:BE1006),$AO$1006:$BQ$1006,0)), HYPERLINK("#",""), HYPERLINK(CONCATENATE("#Metadata!", ADDRESS(INDEX($AJ$2:$AJ$1001,MATCH(ROWS($AH$2:AH798),$AH$2:$AH$1001,0),0), INDEX($AO$1004:$BQ$1004,1,MATCH(COLUMNS($AO$1006:BE1006),$AO$1006:$BQ$1006,0)))),"Fix")))</f>
        <v>#N/A</v>
      </c>
      <c r="S798" s="5" t="e">
        <f ca="1">IF(OR(INDEX($AI$2:$AI$1001,MATCH(ROWS($AH$2:AH798),$AH$2:$AH$1001,0),1)&gt;=100000,INDEX($AO$1005:$BQ$1005,1,MATCH(COLUMNS($AO$1006:BF1006),$AO$1006:$BQ$1006,0))&gt;=100000), " ",IF(INDEX($AO$2:$BQ$1001,MATCH(ROWS($AH$2:AH798),$AH$2:$AH$1001,0),MATCH(COLUMNS($AO$1006:BF1006),$AO$1006:$BQ$1006,0)), HYPERLINK("#",""), HYPERLINK(CONCATENATE("#Metadata!", ADDRESS(INDEX($AJ$2:$AJ$1001,MATCH(ROWS($AH$2:AH798),$AH$2:$AH$1001,0),0), INDEX($AO$1004:$BQ$1004,1,MATCH(COLUMNS($AO$1006:BF1006),$AO$1006:$BQ$1006,0)))),"Fix")))</f>
        <v>#N/A</v>
      </c>
      <c r="T798" s="5" t="e">
        <f ca="1">IF(OR(INDEX($AI$2:$AI$1001,MATCH(ROWS($AH$2:AH798),$AH$2:$AH$1001,0),1)&gt;=100000,INDEX($AO$1005:$BQ$1005,1,MATCH(COLUMNS($AO$1006:BG1006),$AO$1006:$BQ$1006,0))&gt;=100000), " ",IF(INDEX($AO$2:$BQ$1001,MATCH(ROWS($AH$2:AH798),$AH$2:$AH$1001,0),MATCH(COLUMNS($AO$1006:BG1006),$AO$1006:$BQ$1006,0)), HYPERLINK("#",""), HYPERLINK(CONCATENATE("#Metadata!", ADDRESS(INDEX($AJ$2:$AJ$1001,MATCH(ROWS($AH$2:AH798),$AH$2:$AH$1001,0),0), INDEX($AO$1004:$BQ$1004,1,MATCH(COLUMNS($AO$1006:BG1006),$AO$1006:$BQ$1006,0)))),"Fix")))</f>
        <v>#N/A</v>
      </c>
      <c r="U798" s="5" t="e">
        <f ca="1">IF(OR(INDEX($AI$2:$AI$1001,MATCH(ROWS($AH$2:AH798),$AH$2:$AH$1001,0),1)&gt;=100000,INDEX($AO$1005:$BQ$1005,1,MATCH(COLUMNS($AO$1006:BH1006),$AO$1006:$BQ$1006,0))&gt;=100000), " ",IF(INDEX($AO$2:$BQ$1001,MATCH(ROWS($AH$2:AH798),$AH$2:$AH$1001,0),MATCH(COLUMNS($AO$1006:BH1006),$AO$1006:$BQ$1006,0)), HYPERLINK("#",""), HYPERLINK(CONCATENATE("#Metadata!", ADDRESS(INDEX($AJ$2:$AJ$1001,MATCH(ROWS($AH$2:AH798),$AH$2:$AH$1001,0),0), INDEX($AO$1004:$BQ$1004,1,MATCH(COLUMNS($AO$1006:BH1006),$AO$1006:$BQ$1006,0)))),"Fix")))</f>
        <v>#N/A</v>
      </c>
      <c r="V798" s="5" t="e">
        <f ca="1">IF(OR(INDEX($AI$2:$AI$1001,MATCH(ROWS($AH$2:AH798),$AH$2:$AH$1001,0),1)&gt;=100000,INDEX($AO$1005:$BQ$1005,1,MATCH(COLUMNS($AO$1006:BI1006),$AO$1006:$BQ$1006,0))&gt;=100000), " ",IF(INDEX($AO$2:$BQ$1001,MATCH(ROWS($AH$2:AH798),$AH$2:$AH$1001,0),MATCH(COLUMNS($AO$1006:BI1006),$AO$1006:$BQ$1006,0)), HYPERLINK("#",""), HYPERLINK(CONCATENATE("#Metadata!", ADDRESS(INDEX($AJ$2:$AJ$1001,MATCH(ROWS($AH$2:AH798),$AH$2:$AH$1001,0),0), INDEX($AO$1004:$BQ$1004,1,MATCH(COLUMNS($AO$1006:BI1006),$AO$1006:$BQ$1006,0)))),"Fix")))</f>
        <v>#N/A</v>
      </c>
      <c r="W798" s="5" t="e">
        <f ca="1">IF(OR(INDEX($AI$2:$AI$1001,MATCH(ROWS($AH$2:AH798),$AH$2:$AH$1001,0),1)&gt;=100000,INDEX($AO$1005:$BQ$1005,1,MATCH(COLUMNS($AO$1006:BJ1006),$AO$1006:$BQ$1006,0))&gt;=100000), " ",IF(INDEX($AO$2:$BQ$1001,MATCH(ROWS($AH$2:AH798),$AH$2:$AH$1001,0),MATCH(COLUMNS($AO$1006:BJ1006),$AO$1006:$BQ$1006,0)), HYPERLINK("#",""), HYPERLINK(CONCATENATE("#Metadata!", ADDRESS(INDEX($AJ$2:$AJ$1001,MATCH(ROWS($AH$2:AH798),$AH$2:$AH$1001,0),0), INDEX($AO$1004:$BQ$1004,1,MATCH(COLUMNS($AO$1006:BJ1006),$AO$1006:$BQ$1006,0)))),"Fix")))</f>
        <v>#N/A</v>
      </c>
      <c r="X798" s="5" t="e">
        <f ca="1">IF(OR(INDEX($AI$2:$AI$1001,MATCH(ROWS($AH$2:AH798),$AH$2:$AH$1001,0),1)&gt;=100000,INDEX($AO$1005:$BQ$1005,1,MATCH(COLUMNS($AO$1006:BK1006),$AO$1006:$BQ$1006,0))&gt;=100000), " ",IF(INDEX($AO$2:$BQ$1001,MATCH(ROWS($AH$2:AH798),$AH$2:$AH$1001,0),MATCH(COLUMNS($AO$1006:BK1006),$AO$1006:$BQ$1006,0)), HYPERLINK("#",""), HYPERLINK(CONCATENATE("#Metadata!", ADDRESS(INDEX($AJ$2:$AJ$1001,MATCH(ROWS($AH$2:AH798),$AH$2:$AH$1001,0),0), INDEX($AO$1004:$BQ$1004,1,MATCH(COLUMNS($AO$1006:BK1006),$AO$1006:$BQ$1006,0)))),"Fix")))</f>
        <v>#N/A</v>
      </c>
      <c r="Y798" s="5" t="e">
        <f ca="1">IF(OR(INDEX($AI$2:$AI$1001,MATCH(ROWS($AH$2:AH798),$AH$2:$AH$1001,0),1)&gt;=100000,INDEX($AO$1005:$BQ$1005,1,MATCH(COLUMNS($AO$1006:BL1006),$AO$1006:$BQ$1006,0))&gt;=100000), " ",IF(INDEX($AO$2:$BQ$1001,MATCH(ROWS($AH$2:AH798),$AH$2:$AH$1001,0),MATCH(COLUMNS($AO$1006:BL1006),$AO$1006:$BQ$1006,0)), HYPERLINK("#",""), HYPERLINK(CONCATENATE("#Metadata!", ADDRESS(INDEX($AJ$2:$AJ$1001,MATCH(ROWS($AH$2:AH798),$AH$2:$AH$1001,0),0), INDEX($AO$1004:$BQ$1004,1,MATCH(COLUMNS($AO$1006:BL1006),$AO$1006:$BQ$1006,0)))),"Fix")))</f>
        <v>#N/A</v>
      </c>
      <c r="Z798" s="5" t="e">
        <f ca="1">IF(OR(INDEX($AI$2:$AI$1001,MATCH(ROWS($AH$2:AH798),$AH$2:$AH$1001,0),1)&gt;=100000,INDEX($AO$1005:$BQ$1005,1,MATCH(COLUMNS($AO$1006:BM1006),$AO$1006:$BQ$1006,0))&gt;=100000), " ",IF(INDEX($AO$2:$BQ$1001,MATCH(ROWS($AH$2:AH798),$AH$2:$AH$1001,0),MATCH(COLUMNS($AO$1006:BM1006),$AO$1006:$BQ$1006,0)), HYPERLINK("#",""), HYPERLINK(CONCATENATE("#Metadata!", ADDRESS(INDEX($AJ$2:$AJ$1001,MATCH(ROWS($AH$2:AH798),$AH$2:$AH$1001,0),0), INDEX($AO$1004:$BQ$1004,1,MATCH(COLUMNS($AO$1006:BM1006),$AO$1006:$BQ$1006,0)))),"Fix")))</f>
        <v>#N/A</v>
      </c>
      <c r="AA798" s="5" t="e">
        <f ca="1">IF(OR(INDEX($AI$2:$AI$1001,MATCH(ROWS($AH$2:AH798),$AH$2:$AH$1001,0),1)&gt;=100000,INDEX($AO$1005:$BQ$1005,1,MATCH(COLUMNS($AO$1006:BN1006),$AO$1006:$BQ$1006,0))&gt;=100000), " ",IF(INDEX($AO$2:$BQ$1001,MATCH(ROWS($AH$2:AH798),$AH$2:$AH$1001,0),MATCH(COLUMNS($AO$1006:BN1006),$AO$1006:$BQ$1006,0)), HYPERLINK("#",""), HYPERLINK(CONCATENATE("#Metadata!", ADDRESS(INDEX($AJ$2:$AJ$1001,MATCH(ROWS($AH$2:AH798),$AH$2:$AH$1001,0),0), INDEX($AO$1004:$BQ$1004,1,MATCH(COLUMNS($AO$1006:BN1006),$AO$1006:$BQ$1006,0)))),"Fix")))</f>
        <v>#N/A</v>
      </c>
      <c r="AB798" s="5" t="e">
        <f ca="1">IF(OR(INDEX($AI$2:$AI$1001,MATCH(ROWS($AH$2:AH798),$AH$2:$AH$1001,0),1)&gt;=100000,INDEX($AO$1005:$BQ$1005,1,MATCH(COLUMNS($AO$1006:BO1006),$AO$1006:$BQ$1006,0))&gt;=100000), " ",IF(INDEX($AO$2:$BQ$1001,MATCH(ROWS($AH$2:AH798),$AH$2:$AH$1001,0),MATCH(COLUMNS($AO$1006:BO1006),$AO$1006:$BQ$1006,0)), HYPERLINK("#",""), HYPERLINK(CONCATENATE("#Metadata!", ADDRESS(INDEX($AJ$2:$AJ$1001,MATCH(ROWS($AH$2:AH798),$AH$2:$AH$1001,0),0), INDEX($AO$1004:$BQ$1004,1,MATCH(COLUMNS($AO$1006:BO1006),$AO$1006:$BQ$1006,0)))),"Fix")))</f>
        <v>#N/A</v>
      </c>
      <c r="AC798" s="5" t="e">
        <f ca="1">IF(OR(INDEX($AI$2:$AI$1001,MATCH(ROWS($AH$2:AH798),$AH$2:$AH$1001,0),1)&gt;=100000,INDEX($AO$1005:$BQ$1005,1,MATCH(COLUMNS($AO$1006:BP1006),$AO$1006:$BQ$1006,0))&gt;=100000), " ",IF(INDEX($AO$2:$BQ$1001,MATCH(ROWS($AH$2:AH798),$AH$2:$AH$1001,0),MATCH(COLUMNS($AO$1006:BP1006),$AO$1006:$BQ$1006,0)), HYPERLINK("#",""), HYPERLINK(CONCATENATE("#Metadata!", ADDRESS(INDEX($AJ$2:$AJ$1001,MATCH(ROWS($AH$2:AH798),$AH$2:$AH$1001,0),0), INDEX($AO$1004:$BQ$1004,1,MATCH(COLUMNS($AO$1006:BP1006),$AO$1006:$BQ$1006,0)))),"Fix")))</f>
        <v>#N/A</v>
      </c>
      <c r="AD798" s="5" t="e">
        <f ca="1">IF(OR(INDEX($AI$2:$AI$1001,MATCH(ROWS($AH$2:AH798),$AH$2:$AH$1001,0),1)&gt;=100000,INDEX($AO$1005:$BQ$1005,1,MATCH(COLUMNS($AO$1006:BQ1006),$AO$1006:$BQ$1006,0))&gt;=100000), " ",IF(INDEX($AO$2:$BQ$1001,MATCH(ROWS($AH$2:AH798),$AH$2:$AH$1001,0),MATCH(COLUMNS($AO$1006:BQ1006),$AO$1006:$BQ$1006,0)), HYPERLINK("#",""), HYPERLINK(CONCATENATE("#Metadata!", ADDRESS(INDEX($AJ$2:$AJ$1001,MATCH(ROWS($AH$2:AH798),$AH$2:$AH$1001,0),0), INDEX($AO$1004:$BQ$1004,1,MATCH(COLUMNS($AO$1006:BQ1006),$AO$1006:$BQ$1006,0)))),"Fix")))</f>
        <v>#REF!</v>
      </c>
      <c r="AH798">
        <f ca="1"/>
        <v>795</v>
      </c>
      <c r="AI798">
        <v>100798</v>
      </c>
      <c r="AJ798">
        <v>798</v>
      </c>
      <c r="AK798" t="b">
        <f t="shared" si="12"/>
        <v>1</v>
      </c>
      <c r="AL798" t="b">
        <f>COUNTBLANK(Metadata!B798:AD798)=COLUMNS(Metadata!B798:AD798)</f>
        <v>1</v>
      </c>
      <c r="AM798" t="str">
        <v/>
      </c>
      <c r="AO798" t="b">
        <f ca="1">AND(IF(Metadata!B798="",FALSE,TRUE),COUNTIF(Metadata!B:B, Metadata!B798) = 1,NOT(ISERROR(SUMPRODUCT(SEARCH(MID(Metadata!B798,ROW(INDIRECT("1:"&amp;LEN(Metadata!B798))), 1),"0123456789abcdefghijklmnopqrstuvwxyzABCDEFGHIJKLMNOPQRSTUVWXYZ.")))))</f>
        <v>0</v>
      </c>
      <c r="AP798" t="b">
        <f>IF(Metadata!C798="",FALSE,TRUE)</f>
        <v>0</v>
      </c>
      <c r="AQ798" t="b">
        <f>IF(Metadata!D798="",FALSE,TRUE)</f>
        <v>0</v>
      </c>
      <c r="AR798" t="b">
        <f ca="1">OR(AND(IF(Metadata!E798="",FALSE,TRUE),OR(EXACT(Metadata!E798,"not collected"),EXACT(Metadata!E798,"not provided"),EXACT(Metadata!E798,"restricted access"))),AND(IF(Metadata!E798="",FALSE,TRUE),AND(AND(IFERROR(INT(LEFT(Metadata!E798,4))&gt;1900,FALSE),IFERROR(INT(LEFT(Metadata!E798,4))&lt;=YEAR(NOW()),FALSE)), OR(MID(Metadata!E798,5,1)="", AND(AND(MID(Metadata!E798,5,1)="-",IFERROR(INT(MID(Metadata!E798,6,1))&gt;=0,FALSE),IFERROR(INT(MID(Metadata!E798,6,1))&lt;=1,FALSE),NOT(MID(Metadata!E798,7,1)=""),IFERROR(INT(MID(Metadata!E798,6,2))&gt;=1,FALSE),IFERROR(INT(MID(Metadata!E798,6,2))&lt;=12,FALSE)), OR(MID(Metadata!E798,8,1)="", AND(AND(MID(Metadata!E798,8,1)="-",IFERROR(INT(MID(Metadata!E798,9,1))&gt;=0,FALSE),IFERROR(INT(MID(Metadata!E798,9,1))&lt;=3,FALSE),NOT(MID(Metadata!E798,10,1)=""),IFERROR(INT(MID(Metadata!E798,9,2))&gt;=1,FALSE),IFERROR(INT(MID(Metadata!E798,9,2))&lt;=31,FALSE)), OR(MID(Metadata!E798,11,1)="", AND(AND(MID(Metadata!E798,11,1)=" ",IFERROR(INT(MID(Metadata!E798,12,1))&gt;=0,FALSE),IFERROR(INT(MID(Metadata!E798,12,1))&lt;=2,FALSE),NOT(MID(Metadata!E798,13,1)=""),IFERROR(INT(MID(Metadata!E798,12,2))&gt;=0,FALSE),IFERROR(INT(MID(Metadata!E798,12,2))&lt;=23,FALSE)), OR(MID(Metadata!E798,14,1)="", AND(AND(MID(Metadata!E798,14,1)=":",IFERROR(INT(MID(Metadata!E798,15,1))&gt;=0,FALSE),IFERROR(INT(MID(Metadata!E798,15,1))&lt;=5,FALSE),NOT(MID(Metadata!E798,16,1)=""),IFERROR(INT(MID(Metadata!E798,15,2))&gt;=0,FALSE),IFERROR(INT(MID(Metadata!E798,15,2))&lt;=59,FALSE)), OR(MID(Metadata!E798,17,1)="", AND(AND(MID(Metadata!E798,17,1)=":",IFERROR(INT(MID(Metadata!E798,18,1))&gt;=0,FALSE),IFERROR(INT(MID(Metadata!E798,18,1))&lt;=5,FALSE),NOT(MID(Metadata!E798,19,1)=""),IFERROR(INT(MID(Metadata!E798,18,2))&gt;=0,FALSE),IFERROR(INT(MID(Metadata!E798,18,2))&lt;=59,FALSE)), LEN(Metadata!E798)&lt;=19)))))))))))))</f>
        <v>0</v>
      </c>
      <c r="AS798" t="b">
        <f>IF(Metadata!F798="",FALSE,TRUE)</f>
        <v>0</v>
      </c>
      <c r="AT798" t="b">
        <f>OR(AND(IF(Metadata!G798="",FALSE,TRUE),OR(EXACT(Metadata!G798,"not collected"),EXACT(Metadata!G798,"not provided"))),AND(IF(Metadata!G798="",FALSE,TRUE),OR(EXACT(Metadata!G798,"TRUE"),EXACT(Metadata!G798,"FALSE"))))</f>
        <v>0</v>
      </c>
      <c r="AU798" t="b">
        <f>OR(AND(IF(Metadata!H798="",FALSE,TRUE),OR(EXACT(Metadata!H798,"not collected"),EXACT(Metadata!H798,"not provided"),EXACT(Metadata!H798,"restricted access"))),AND(IF(Metadata!H798="",FALSE,ISNUMBER(VALUE(Metadata!H798))),Metadata!H798&gt;=-413))</f>
        <v>0</v>
      </c>
      <c r="AV798" t="b">
        <f>AND(IF(Metadata!I798="",FALSE,TRUE),EXACT(Metadata!I798,"meters"))</f>
        <v>0</v>
      </c>
      <c r="AW798" t="b">
        <f>AND(IF(Metadata!J798="",FALSE,TRUE),EXACT(Metadata!J798,"free-living"))</f>
        <v>0</v>
      </c>
      <c r="AX798" t="b">
        <f>AND(IF(Metadata!K798="",FALSE,TRUE),OR(EXACT(Metadata!K798,"saline"),EXACT(Metadata!K798,"non-saline")))</f>
        <v>0</v>
      </c>
      <c r="AY798" t="b">
        <f>AND(IF(Metadata!L798="",FALSE,TRUE),OR(EXACT(Metadata!L798,"sub-surface (non-saline)"),EXACT(Metadata!L798,"surface (non-saline)"),EXACT(Metadata!L798,"water (non-saline)"),EXACT(Metadata!L798,"soil (non-saline)"),EXACT(Metadata!L798,"aerosol (non-saline)"),EXACT(Metadata!L798,"sediment (non-saline)"),EXACT(Metadata!L798,"surface (saline)"),EXACT(Metadata!L798,"water (saline)"),EXACT(Metadata!L798,"hypersaline (saline)"),EXACT(Metadata!L798,"aerosol (saline)"),EXACT(Metadata!L798,"sediment (saline)")))</f>
        <v>0</v>
      </c>
      <c r="AZ798" t="b">
        <f>IF(Metadata!M798="",FALSE,TRUE)</f>
        <v>0</v>
      </c>
      <c r="BA798" t="b">
        <f>IF(Metadata!N798="",FALSE,TRUE)</f>
        <v>0</v>
      </c>
      <c r="BB798" t="b">
        <f>IF(Metadata!O798="",FALSE,TRUE)</f>
        <v>0</v>
      </c>
      <c r="BC798" t="b">
        <f>AND(IF(Metadata!P798="",FALSE,TRUE),OR(EXACT(Metadata!P798,"air"),EXACT(Metadata!P798,"microbial mat/biofilm"),EXACT(Metadata!P798,"misc environment"),EXACT(Metadata!P798,"sediment"),EXACT(Metadata!P798,"soil"),EXACT(Metadata!P798,"wastewater/sludge"),EXACT(Metadata!P798,"water")))</f>
        <v>0</v>
      </c>
      <c r="BD798" t="b">
        <f>IF(Metadata!Q798="",FALSE,TRUE)</f>
        <v>0</v>
      </c>
      <c r="BE798" t="b">
        <f>IF(Metadata!R798="",FALSE,TRUE)</f>
        <v>0</v>
      </c>
      <c r="BF798" t="b">
        <f>OR(AND(IF(Metadata!S798="",FALSE,TRUE),OR(EXACT(Metadata!S798,"not collected"),EXACT(Metadata!S798,"not provided"),EXACT(Metadata!S798,"restricted access"))),AND(IF(Metadata!S798="",FALSE,ISNUMBER(VALUE(Metadata!S798))),Metadata!S798&gt;=-90,Metadata!S798&lt;=90))</f>
        <v>0</v>
      </c>
      <c r="BG798" t="b">
        <f>AND(IF(Metadata!T798="",FALSE,TRUE),EXACT(Metadata!T798,"Decimal degrees"))</f>
        <v>0</v>
      </c>
      <c r="BH798" t="b">
        <f>OR(AND(IF(Metadata!U798="",FALSE,TRUE),OR(EXACT(Metadata!U798,"not applicable"),EXACT(Metadata!U798,"not collected"))),IF(Metadata!U798="",FALSE,TRUE))</f>
        <v>0</v>
      </c>
      <c r="BI798" t="b">
        <f>OR(AND(IF(Metadata!V798="",FALSE,TRUE),OR(EXACT(Metadata!V798,"not collected"),EXACT(Metadata!V798,"not provided"),EXACT(Metadata!V798,"restricted access"))),AND(IF(Metadata!V798="",FALSE,ISNUMBER(VALUE(Metadata!V798))),Metadata!V798&gt;=-180,Metadata!V798&lt;=180))</f>
        <v>0</v>
      </c>
      <c r="BJ798" t="b">
        <f>AND(IF(Metadata!W798="",FALSE,TRUE),EXACT(Metadata!W798,"Decimal degrees"))</f>
        <v>0</v>
      </c>
      <c r="BK798" t="b">
        <f>IF(Metadata!X798="",FALSE,TRUE)</f>
        <v>0</v>
      </c>
      <c r="BL798" t="b">
        <f>OR(AND(IF(Metadata!Y798="",FALSE,TRUE),OR(EXACT(Metadata!Y798,"not collected"),EXACT(Metadata!Y798,"not provided"),EXACT(Metadata!Y798,"restricted access"))),AND(IF(Metadata!Y798="",FALSE,TRUE),OR(EXACT(Metadata!Y798,"TRUE"),EXACT(Metadata!Y798,"FALSE"))))</f>
        <v>0</v>
      </c>
      <c r="BM798" t="b">
        <f>OR(AND(IF(Metadata!Z798="",FALSE,TRUE),EXACT(Metadata!Z798,"not applicable")),AND(IF(Metadata!Z798="",FALSE,TRUE),OR(EXACT(Metadata!Z798,"beer"),EXACT(Metadata!Z798,"cheese"),EXACT(Metadata!Z798,"fresh water"),EXACT(Metadata!Z798,"marine sediment"),EXACT(Metadata!Z798,"sea water"),EXACT(Metadata!Z798,"sediment"),EXACT(Metadata!Z798,"soil"),EXACT(Metadata!Z798,"waste water"))))</f>
        <v>0</v>
      </c>
      <c r="BN798" t="b">
        <f>AND(IF(Metadata!AA798="",FALSE,TRUE),EXACT(Metadata!AA798,"metagenome"))</f>
        <v>0</v>
      </c>
      <c r="BO798" t="b">
        <f>AND(IF(Metadata!AB798="",FALSE,TRUE),EXACT(Metadata!AB798,"256318"))</f>
        <v>0</v>
      </c>
      <c r="BP798" t="b">
        <f>IF(Metadata!AC798="",FALSE,TRUE)</f>
        <v>0</v>
      </c>
      <c r="BQ798" t="b">
        <f>IF(Metadata!AD798="",FALSE,TRUE)</f>
        <v>0</v>
      </c>
    </row>
    <row r="799" spans="1:69" x14ac:dyDescent="0.2">
      <c r="A799" s="4" t="e">
        <f ca="1">IF(B799=" "," ",HYPERLINK(CONCATENATE("#metadata!",ADDRESS(INDEX($AJ$2:$AJ$1001,MATCH(ROWS($AH$2:AH799),$AH$2:$AH$1001,0),0),2)),INDEX($AM$2:$AM$1001,MATCH(ROWS($AH$2:AH799),$AH$2:$AH$1001,0),0)))</f>
        <v>#N/A</v>
      </c>
      <c r="B799" s="5" t="e">
        <f ca="1">IF(OR(INDEX($AI$2:$AI$1001,MATCH(ROWS($AH$2:AH799),$AH$2:$AH$1001,0),1)&gt;=100000,INDEX($AO$1005:$BQ$1005,1,MATCH(COLUMNS($AO$1006:AO1006),$AO$1006:$BQ$1006,0))&gt;=100000), " ",IF(INDEX($AO$2:$BQ$1001,MATCH(ROWS($AH$2:AH799),$AH$2:$AH$1001,0),MATCH(COLUMNS($AO$1006:AO1006),$AO$1006:$BQ$1006,0)), HYPERLINK("#",""), HYPERLINK(CONCATENATE("#Metadata!", ADDRESS(INDEX($AJ$2:$AJ$1001,MATCH(ROWS($AH$2:AH799),$AH$2:$AH$1001,0),0), INDEX($AO$1004:$BQ$1004,1,MATCH(COLUMNS($AO$1006:AO1006),$AO$1006:$BQ$1006,0)))),"Fix")))</f>
        <v>#N/A</v>
      </c>
      <c r="C799" s="5" t="e">
        <f ca="1">IF(OR(INDEX($AI$2:$AI$1001,MATCH(ROWS($AH$2:AH799),$AH$2:$AH$1001,0),1)&gt;=100000,INDEX($AO$1005:$BQ$1005,1,MATCH(COLUMNS($AO$1006:AP1006),$AO$1006:$BQ$1006,0))&gt;=100000), " ",IF(INDEX($AO$2:$BQ$1001,MATCH(ROWS($AH$2:AH799),$AH$2:$AH$1001,0),MATCH(COLUMNS($AO$1006:AP1006),$AO$1006:$BQ$1006,0)), HYPERLINK("#",""), HYPERLINK(CONCATENATE("#Metadata!", ADDRESS(INDEX($AJ$2:$AJ$1001,MATCH(ROWS($AH$2:AH799),$AH$2:$AH$1001,0),0), INDEX($AO$1004:$BQ$1004,1,MATCH(COLUMNS($AO$1006:AP1006),$AO$1006:$BQ$1006,0)))),"Fix")))</f>
        <v>#N/A</v>
      </c>
      <c r="D799" s="5" t="e">
        <f ca="1">IF(OR(INDEX($AI$2:$AI$1001,MATCH(ROWS($AH$2:AH799),$AH$2:$AH$1001,0),1)&gt;=100000,INDEX($AO$1005:$BQ$1005,1,MATCH(COLUMNS($AO$1006:AQ1006),$AO$1006:$BQ$1006,0))&gt;=100000), " ",IF(INDEX($AO$2:$BQ$1001,MATCH(ROWS($AH$2:AH799),$AH$2:$AH$1001,0),MATCH(COLUMNS($AO$1006:AQ1006),$AO$1006:$BQ$1006,0)), HYPERLINK("#",""), HYPERLINK(CONCATENATE("#Metadata!", ADDRESS(INDEX($AJ$2:$AJ$1001,MATCH(ROWS($AH$2:AH799),$AH$2:$AH$1001,0),0), INDEX($AO$1004:$BQ$1004,1,MATCH(COLUMNS($AO$1006:AQ1006),$AO$1006:$BQ$1006,0)))),"Fix")))</f>
        <v>#N/A</v>
      </c>
      <c r="E799" s="5" t="e">
        <f ca="1">IF(OR(INDEX($AI$2:$AI$1001,MATCH(ROWS($AH$2:AH799),$AH$2:$AH$1001,0),1)&gt;=100000,INDEX($AO$1005:$BQ$1005,1,MATCH(COLUMNS($AO$1006:AR1006),$AO$1006:$BQ$1006,0))&gt;=100000), " ",IF(INDEX($AO$2:$BQ$1001,MATCH(ROWS($AH$2:AH799),$AH$2:$AH$1001,0),MATCH(COLUMNS($AO$1006:AR1006),$AO$1006:$BQ$1006,0)), HYPERLINK("#",""), HYPERLINK(CONCATENATE("#Metadata!", ADDRESS(INDEX($AJ$2:$AJ$1001,MATCH(ROWS($AH$2:AH799),$AH$2:$AH$1001,0),0), INDEX($AO$1004:$BQ$1004,1,MATCH(COLUMNS($AO$1006:AR1006),$AO$1006:$BQ$1006,0)))),"Fix")))</f>
        <v>#N/A</v>
      </c>
      <c r="F799" s="5" t="e">
        <f ca="1">IF(OR(INDEX($AI$2:$AI$1001,MATCH(ROWS($AH$2:AH799),$AH$2:$AH$1001,0),1)&gt;=100000,INDEX($AO$1005:$BQ$1005,1,MATCH(COLUMNS($AO$1006:AS1006),$AO$1006:$BQ$1006,0))&gt;=100000), " ",IF(INDEX($AO$2:$BQ$1001,MATCH(ROWS($AH$2:AH799),$AH$2:$AH$1001,0),MATCH(COLUMNS($AO$1006:AS1006),$AO$1006:$BQ$1006,0)), HYPERLINK("#",""), HYPERLINK(CONCATENATE("#Metadata!", ADDRESS(INDEX($AJ$2:$AJ$1001,MATCH(ROWS($AH$2:AH799),$AH$2:$AH$1001,0),0), INDEX($AO$1004:$BQ$1004,1,MATCH(COLUMNS($AO$1006:AS1006),$AO$1006:$BQ$1006,0)))),"Fix")))</f>
        <v>#N/A</v>
      </c>
      <c r="G799" s="5" t="e">
        <f ca="1">IF(OR(INDEX($AI$2:$AI$1001,MATCH(ROWS($AH$2:AH799),$AH$2:$AH$1001,0),1)&gt;=100000,INDEX($AO$1005:$BQ$1005,1,MATCH(COLUMNS($AO$1006:AT1006),$AO$1006:$BQ$1006,0))&gt;=100000), " ",IF(INDEX($AO$2:$BQ$1001,MATCH(ROWS($AH$2:AH799),$AH$2:$AH$1001,0),MATCH(COLUMNS($AO$1006:AT1006),$AO$1006:$BQ$1006,0)), HYPERLINK("#",""), HYPERLINK(CONCATENATE("#Metadata!", ADDRESS(INDEX($AJ$2:$AJ$1001,MATCH(ROWS($AH$2:AH799),$AH$2:$AH$1001,0),0), INDEX($AO$1004:$BQ$1004,1,MATCH(COLUMNS($AO$1006:AT1006),$AO$1006:$BQ$1006,0)))),"Fix")))</f>
        <v>#N/A</v>
      </c>
      <c r="H799" s="5" t="e">
        <f ca="1">IF(OR(INDEX($AI$2:$AI$1001,MATCH(ROWS($AH$2:AH799),$AH$2:$AH$1001,0),1)&gt;=100000,INDEX($AO$1005:$BQ$1005,1,MATCH(COLUMNS($AO$1006:AU1006),$AO$1006:$BQ$1006,0))&gt;=100000), " ",IF(INDEX($AO$2:$BQ$1001,MATCH(ROWS($AH$2:AH799),$AH$2:$AH$1001,0),MATCH(COLUMNS($AO$1006:AU1006),$AO$1006:$BQ$1006,0)), HYPERLINK("#",""), HYPERLINK(CONCATENATE("#Metadata!", ADDRESS(INDEX($AJ$2:$AJ$1001,MATCH(ROWS($AH$2:AH799),$AH$2:$AH$1001,0),0), INDEX($AO$1004:$BQ$1004,1,MATCH(COLUMNS($AO$1006:AU1006),$AO$1006:$BQ$1006,0)))),"Fix")))</f>
        <v>#N/A</v>
      </c>
      <c r="I799" s="5" t="e">
        <f ca="1">IF(OR(INDEX($AI$2:$AI$1001,MATCH(ROWS($AH$2:AH799),$AH$2:$AH$1001,0),1)&gt;=100000,INDEX($AO$1005:$BQ$1005,1,MATCH(COLUMNS($AO$1006:AV1006),$AO$1006:$BQ$1006,0))&gt;=100000), " ",IF(INDEX($AO$2:$BQ$1001,MATCH(ROWS($AH$2:AH799),$AH$2:$AH$1001,0),MATCH(COLUMNS($AO$1006:AV1006),$AO$1006:$BQ$1006,0)), HYPERLINK("#",""), HYPERLINK(CONCATENATE("#Metadata!", ADDRESS(INDEX($AJ$2:$AJ$1001,MATCH(ROWS($AH$2:AH799),$AH$2:$AH$1001,0),0), INDEX($AO$1004:$BQ$1004,1,MATCH(COLUMNS($AO$1006:AV1006),$AO$1006:$BQ$1006,0)))),"Fix")))</f>
        <v>#N/A</v>
      </c>
      <c r="J799" s="5" t="e">
        <f ca="1">IF(OR(INDEX($AI$2:$AI$1001,MATCH(ROWS($AH$2:AH799),$AH$2:$AH$1001,0),1)&gt;=100000,INDEX($AO$1005:$BQ$1005,1,MATCH(COLUMNS($AO$1006:AW1006),$AO$1006:$BQ$1006,0))&gt;=100000), " ",IF(INDEX($AO$2:$BQ$1001,MATCH(ROWS($AH$2:AH799),$AH$2:$AH$1001,0),MATCH(COLUMNS($AO$1006:AW1006),$AO$1006:$BQ$1006,0)), HYPERLINK("#",""), HYPERLINK(CONCATENATE("#Metadata!", ADDRESS(INDEX($AJ$2:$AJ$1001,MATCH(ROWS($AH$2:AH799),$AH$2:$AH$1001,0),0), INDEX($AO$1004:$BQ$1004,1,MATCH(COLUMNS($AO$1006:AW1006),$AO$1006:$BQ$1006,0)))),"Fix")))</f>
        <v>#N/A</v>
      </c>
      <c r="K799" s="5" t="e">
        <f ca="1">IF(OR(INDEX($AI$2:$AI$1001,MATCH(ROWS($AH$2:AH799),$AH$2:$AH$1001,0),1)&gt;=100000,INDEX($AO$1005:$BQ$1005,1,MATCH(COLUMNS($AO$1006:AX1006),$AO$1006:$BQ$1006,0))&gt;=100000), " ",IF(INDEX($AO$2:$BQ$1001,MATCH(ROWS($AH$2:AH799),$AH$2:$AH$1001,0),MATCH(COLUMNS($AO$1006:AX1006),$AO$1006:$BQ$1006,0)), HYPERLINK("#",""), HYPERLINK(CONCATENATE("#Metadata!", ADDRESS(INDEX($AJ$2:$AJ$1001,MATCH(ROWS($AH$2:AH799),$AH$2:$AH$1001,0),0), INDEX($AO$1004:$BQ$1004,1,MATCH(COLUMNS($AO$1006:AX1006),$AO$1006:$BQ$1006,0)))),"Fix")))</f>
        <v>#N/A</v>
      </c>
      <c r="L799" s="5" t="e">
        <f ca="1">IF(OR(INDEX($AI$2:$AI$1001,MATCH(ROWS($AH$2:AH799),$AH$2:$AH$1001,0),1)&gt;=100000,INDEX($AO$1005:$BQ$1005,1,MATCH(COLUMNS($AO$1006:AY1006),$AO$1006:$BQ$1006,0))&gt;=100000), " ",IF(INDEX($AO$2:$BQ$1001,MATCH(ROWS($AH$2:AH799),$AH$2:$AH$1001,0),MATCH(COLUMNS($AO$1006:AY1006),$AO$1006:$BQ$1006,0)), HYPERLINK("#",""), HYPERLINK(CONCATENATE("#Metadata!", ADDRESS(INDEX($AJ$2:$AJ$1001,MATCH(ROWS($AH$2:AH799),$AH$2:$AH$1001,0),0), INDEX($AO$1004:$BQ$1004,1,MATCH(COLUMNS($AO$1006:AY1006),$AO$1006:$BQ$1006,0)))),"Fix")))</f>
        <v>#N/A</v>
      </c>
      <c r="M799" s="5" t="e">
        <f ca="1">IF(OR(INDEX($AI$2:$AI$1001,MATCH(ROWS($AH$2:AH799),$AH$2:$AH$1001,0),1)&gt;=100000,INDEX($AO$1005:$BQ$1005,1,MATCH(COLUMNS($AO$1006:AZ1006),$AO$1006:$BQ$1006,0))&gt;=100000), " ",IF(INDEX($AO$2:$BQ$1001,MATCH(ROWS($AH$2:AH799),$AH$2:$AH$1001,0),MATCH(COLUMNS($AO$1006:AZ1006),$AO$1006:$BQ$1006,0)), HYPERLINK("#",""), HYPERLINK(CONCATENATE("#Metadata!", ADDRESS(INDEX($AJ$2:$AJ$1001,MATCH(ROWS($AH$2:AH799),$AH$2:$AH$1001,0),0), INDEX($AO$1004:$BQ$1004,1,MATCH(COLUMNS($AO$1006:AZ1006),$AO$1006:$BQ$1006,0)))),"Fix")))</f>
        <v>#N/A</v>
      </c>
      <c r="N799" s="5" t="e">
        <f ca="1">IF(OR(INDEX($AI$2:$AI$1001,MATCH(ROWS($AH$2:AH799),$AH$2:$AH$1001,0),1)&gt;=100000,INDEX($AO$1005:$BQ$1005,1,MATCH(COLUMNS($AO$1006:BA1006),$AO$1006:$BQ$1006,0))&gt;=100000), " ",IF(INDEX($AO$2:$BQ$1001,MATCH(ROWS($AH$2:AH799),$AH$2:$AH$1001,0),MATCH(COLUMNS($AO$1006:BA1006),$AO$1006:$BQ$1006,0)), HYPERLINK("#",""), HYPERLINK(CONCATENATE("#Metadata!", ADDRESS(INDEX($AJ$2:$AJ$1001,MATCH(ROWS($AH$2:AH799),$AH$2:$AH$1001,0),0), INDEX($AO$1004:$BQ$1004,1,MATCH(COLUMNS($AO$1006:BA1006),$AO$1006:$BQ$1006,0)))),"Fix")))</f>
        <v>#N/A</v>
      </c>
      <c r="O799" s="5" t="e">
        <f ca="1">IF(OR(INDEX($AI$2:$AI$1001,MATCH(ROWS($AH$2:AH799),$AH$2:$AH$1001,0),1)&gt;=100000,INDEX($AO$1005:$BQ$1005,1,MATCH(COLUMNS($AO$1006:BB1006),$AO$1006:$BQ$1006,0))&gt;=100000), " ",IF(INDEX($AO$2:$BQ$1001,MATCH(ROWS($AH$2:AH799),$AH$2:$AH$1001,0),MATCH(COLUMNS($AO$1006:BB1006),$AO$1006:$BQ$1006,0)), HYPERLINK("#",""), HYPERLINK(CONCATENATE("#Metadata!", ADDRESS(INDEX($AJ$2:$AJ$1001,MATCH(ROWS($AH$2:AH799),$AH$2:$AH$1001,0),0), INDEX($AO$1004:$BQ$1004,1,MATCH(COLUMNS($AO$1006:BB1006),$AO$1006:$BQ$1006,0)))),"Fix")))</f>
        <v>#N/A</v>
      </c>
      <c r="P799" s="5" t="e">
        <f ca="1">IF(OR(INDEX($AI$2:$AI$1001,MATCH(ROWS($AH$2:AH799),$AH$2:$AH$1001,0),1)&gt;=100000,INDEX($AO$1005:$BQ$1005,1,MATCH(COLUMNS($AO$1006:BC1006),$AO$1006:$BQ$1006,0))&gt;=100000), " ",IF(INDEX($AO$2:$BQ$1001,MATCH(ROWS($AH$2:AH799),$AH$2:$AH$1001,0),MATCH(COLUMNS($AO$1006:BC1006),$AO$1006:$BQ$1006,0)), HYPERLINK("#",""), HYPERLINK(CONCATENATE("#Metadata!", ADDRESS(INDEX($AJ$2:$AJ$1001,MATCH(ROWS($AH$2:AH799),$AH$2:$AH$1001,0),0), INDEX($AO$1004:$BQ$1004,1,MATCH(COLUMNS($AO$1006:BC1006),$AO$1006:$BQ$1006,0)))),"Fix")))</f>
        <v>#N/A</v>
      </c>
      <c r="Q799" s="5" t="e">
        <f ca="1">IF(OR(INDEX($AI$2:$AI$1001,MATCH(ROWS($AH$2:AH799),$AH$2:$AH$1001,0),1)&gt;=100000,INDEX($AO$1005:$BQ$1005,1,MATCH(COLUMNS($AO$1006:BD1006),$AO$1006:$BQ$1006,0))&gt;=100000), " ",IF(INDEX($AO$2:$BQ$1001,MATCH(ROWS($AH$2:AH799),$AH$2:$AH$1001,0),MATCH(COLUMNS($AO$1006:BD1006),$AO$1006:$BQ$1006,0)), HYPERLINK("#",""), HYPERLINK(CONCATENATE("#Metadata!", ADDRESS(INDEX($AJ$2:$AJ$1001,MATCH(ROWS($AH$2:AH799),$AH$2:$AH$1001,0),0), INDEX($AO$1004:$BQ$1004,1,MATCH(COLUMNS($AO$1006:BD1006),$AO$1006:$BQ$1006,0)))),"Fix")))</f>
        <v>#N/A</v>
      </c>
      <c r="R799" s="5" t="e">
        <f ca="1">IF(OR(INDEX($AI$2:$AI$1001,MATCH(ROWS($AH$2:AH799),$AH$2:$AH$1001,0),1)&gt;=100000,INDEX($AO$1005:$BQ$1005,1,MATCH(COLUMNS($AO$1006:BE1006),$AO$1006:$BQ$1006,0))&gt;=100000), " ",IF(INDEX($AO$2:$BQ$1001,MATCH(ROWS($AH$2:AH799),$AH$2:$AH$1001,0),MATCH(COLUMNS($AO$1006:BE1006),$AO$1006:$BQ$1006,0)), HYPERLINK("#",""), HYPERLINK(CONCATENATE("#Metadata!", ADDRESS(INDEX($AJ$2:$AJ$1001,MATCH(ROWS($AH$2:AH799),$AH$2:$AH$1001,0),0), INDEX($AO$1004:$BQ$1004,1,MATCH(COLUMNS($AO$1006:BE1006),$AO$1006:$BQ$1006,0)))),"Fix")))</f>
        <v>#N/A</v>
      </c>
      <c r="S799" s="5" t="e">
        <f ca="1">IF(OR(INDEX($AI$2:$AI$1001,MATCH(ROWS($AH$2:AH799),$AH$2:$AH$1001,0),1)&gt;=100000,INDEX($AO$1005:$BQ$1005,1,MATCH(COLUMNS($AO$1006:BF1006),$AO$1006:$BQ$1006,0))&gt;=100000), " ",IF(INDEX($AO$2:$BQ$1001,MATCH(ROWS($AH$2:AH799),$AH$2:$AH$1001,0),MATCH(COLUMNS($AO$1006:BF1006),$AO$1006:$BQ$1006,0)), HYPERLINK("#",""), HYPERLINK(CONCATENATE("#Metadata!", ADDRESS(INDEX($AJ$2:$AJ$1001,MATCH(ROWS($AH$2:AH799),$AH$2:$AH$1001,0),0), INDEX($AO$1004:$BQ$1004,1,MATCH(COLUMNS($AO$1006:BF1006),$AO$1006:$BQ$1006,0)))),"Fix")))</f>
        <v>#N/A</v>
      </c>
      <c r="T799" s="5" t="e">
        <f ca="1">IF(OR(INDEX($AI$2:$AI$1001,MATCH(ROWS($AH$2:AH799),$AH$2:$AH$1001,0),1)&gt;=100000,INDEX($AO$1005:$BQ$1005,1,MATCH(COLUMNS($AO$1006:BG1006),$AO$1006:$BQ$1006,0))&gt;=100000), " ",IF(INDEX($AO$2:$BQ$1001,MATCH(ROWS($AH$2:AH799),$AH$2:$AH$1001,0),MATCH(COLUMNS($AO$1006:BG1006),$AO$1006:$BQ$1006,0)), HYPERLINK("#",""), HYPERLINK(CONCATENATE("#Metadata!", ADDRESS(INDEX($AJ$2:$AJ$1001,MATCH(ROWS($AH$2:AH799),$AH$2:$AH$1001,0),0), INDEX($AO$1004:$BQ$1004,1,MATCH(COLUMNS($AO$1006:BG1006),$AO$1006:$BQ$1006,0)))),"Fix")))</f>
        <v>#N/A</v>
      </c>
      <c r="U799" s="5" t="e">
        <f ca="1">IF(OR(INDEX($AI$2:$AI$1001,MATCH(ROWS($AH$2:AH799),$AH$2:$AH$1001,0),1)&gt;=100000,INDEX($AO$1005:$BQ$1005,1,MATCH(COLUMNS($AO$1006:BH1006),$AO$1006:$BQ$1006,0))&gt;=100000), " ",IF(INDEX($AO$2:$BQ$1001,MATCH(ROWS($AH$2:AH799),$AH$2:$AH$1001,0),MATCH(COLUMNS($AO$1006:BH1006),$AO$1006:$BQ$1006,0)), HYPERLINK("#",""), HYPERLINK(CONCATENATE("#Metadata!", ADDRESS(INDEX($AJ$2:$AJ$1001,MATCH(ROWS($AH$2:AH799),$AH$2:$AH$1001,0),0), INDEX($AO$1004:$BQ$1004,1,MATCH(COLUMNS($AO$1006:BH1006),$AO$1006:$BQ$1006,0)))),"Fix")))</f>
        <v>#N/A</v>
      </c>
      <c r="V799" s="5" t="e">
        <f ca="1">IF(OR(INDEX($AI$2:$AI$1001,MATCH(ROWS($AH$2:AH799),$AH$2:$AH$1001,0),1)&gt;=100000,INDEX($AO$1005:$BQ$1005,1,MATCH(COLUMNS($AO$1006:BI1006),$AO$1006:$BQ$1006,0))&gt;=100000), " ",IF(INDEX($AO$2:$BQ$1001,MATCH(ROWS($AH$2:AH799),$AH$2:$AH$1001,0),MATCH(COLUMNS($AO$1006:BI1006),$AO$1006:$BQ$1006,0)), HYPERLINK("#",""), HYPERLINK(CONCATENATE("#Metadata!", ADDRESS(INDEX($AJ$2:$AJ$1001,MATCH(ROWS($AH$2:AH799),$AH$2:$AH$1001,0),0), INDEX($AO$1004:$BQ$1004,1,MATCH(COLUMNS($AO$1006:BI1006),$AO$1006:$BQ$1006,0)))),"Fix")))</f>
        <v>#N/A</v>
      </c>
      <c r="W799" s="5" t="e">
        <f ca="1">IF(OR(INDEX($AI$2:$AI$1001,MATCH(ROWS($AH$2:AH799),$AH$2:$AH$1001,0),1)&gt;=100000,INDEX($AO$1005:$BQ$1005,1,MATCH(COLUMNS($AO$1006:BJ1006),$AO$1006:$BQ$1006,0))&gt;=100000), " ",IF(INDEX($AO$2:$BQ$1001,MATCH(ROWS($AH$2:AH799),$AH$2:$AH$1001,0),MATCH(COLUMNS($AO$1006:BJ1006),$AO$1006:$BQ$1006,0)), HYPERLINK("#",""), HYPERLINK(CONCATENATE("#Metadata!", ADDRESS(INDEX($AJ$2:$AJ$1001,MATCH(ROWS($AH$2:AH799),$AH$2:$AH$1001,0),0), INDEX($AO$1004:$BQ$1004,1,MATCH(COLUMNS($AO$1006:BJ1006),$AO$1006:$BQ$1006,0)))),"Fix")))</f>
        <v>#N/A</v>
      </c>
      <c r="X799" s="5" t="e">
        <f ca="1">IF(OR(INDEX($AI$2:$AI$1001,MATCH(ROWS($AH$2:AH799),$AH$2:$AH$1001,0),1)&gt;=100000,INDEX($AO$1005:$BQ$1005,1,MATCH(COLUMNS($AO$1006:BK1006),$AO$1006:$BQ$1006,0))&gt;=100000), " ",IF(INDEX($AO$2:$BQ$1001,MATCH(ROWS($AH$2:AH799),$AH$2:$AH$1001,0),MATCH(COLUMNS($AO$1006:BK1006),$AO$1006:$BQ$1006,0)), HYPERLINK("#",""), HYPERLINK(CONCATENATE("#Metadata!", ADDRESS(INDEX($AJ$2:$AJ$1001,MATCH(ROWS($AH$2:AH799),$AH$2:$AH$1001,0),0), INDEX($AO$1004:$BQ$1004,1,MATCH(COLUMNS($AO$1006:BK1006),$AO$1006:$BQ$1006,0)))),"Fix")))</f>
        <v>#N/A</v>
      </c>
      <c r="Y799" s="5" t="e">
        <f ca="1">IF(OR(INDEX($AI$2:$AI$1001,MATCH(ROWS($AH$2:AH799),$AH$2:$AH$1001,0),1)&gt;=100000,INDEX($AO$1005:$BQ$1005,1,MATCH(COLUMNS($AO$1006:BL1006),$AO$1006:$BQ$1006,0))&gt;=100000), " ",IF(INDEX($AO$2:$BQ$1001,MATCH(ROWS($AH$2:AH799),$AH$2:$AH$1001,0),MATCH(COLUMNS($AO$1006:BL1006),$AO$1006:$BQ$1006,0)), HYPERLINK("#",""), HYPERLINK(CONCATENATE("#Metadata!", ADDRESS(INDEX($AJ$2:$AJ$1001,MATCH(ROWS($AH$2:AH799),$AH$2:$AH$1001,0),0), INDEX($AO$1004:$BQ$1004,1,MATCH(COLUMNS($AO$1006:BL1006),$AO$1006:$BQ$1006,0)))),"Fix")))</f>
        <v>#N/A</v>
      </c>
      <c r="Z799" s="5" t="e">
        <f ca="1">IF(OR(INDEX($AI$2:$AI$1001,MATCH(ROWS($AH$2:AH799),$AH$2:$AH$1001,0),1)&gt;=100000,INDEX($AO$1005:$BQ$1005,1,MATCH(COLUMNS($AO$1006:BM1006),$AO$1006:$BQ$1006,0))&gt;=100000), " ",IF(INDEX($AO$2:$BQ$1001,MATCH(ROWS($AH$2:AH799),$AH$2:$AH$1001,0),MATCH(COLUMNS($AO$1006:BM1006),$AO$1006:$BQ$1006,0)), HYPERLINK("#",""), HYPERLINK(CONCATENATE("#Metadata!", ADDRESS(INDEX($AJ$2:$AJ$1001,MATCH(ROWS($AH$2:AH799),$AH$2:$AH$1001,0),0), INDEX($AO$1004:$BQ$1004,1,MATCH(COLUMNS($AO$1006:BM1006),$AO$1006:$BQ$1006,0)))),"Fix")))</f>
        <v>#N/A</v>
      </c>
      <c r="AA799" s="5" t="e">
        <f ca="1">IF(OR(INDEX($AI$2:$AI$1001,MATCH(ROWS($AH$2:AH799),$AH$2:$AH$1001,0),1)&gt;=100000,INDEX($AO$1005:$BQ$1005,1,MATCH(COLUMNS($AO$1006:BN1006),$AO$1006:$BQ$1006,0))&gt;=100000), " ",IF(INDEX($AO$2:$BQ$1001,MATCH(ROWS($AH$2:AH799),$AH$2:$AH$1001,0),MATCH(COLUMNS($AO$1006:BN1006),$AO$1006:$BQ$1006,0)), HYPERLINK("#",""), HYPERLINK(CONCATENATE("#Metadata!", ADDRESS(INDEX($AJ$2:$AJ$1001,MATCH(ROWS($AH$2:AH799),$AH$2:$AH$1001,0),0), INDEX($AO$1004:$BQ$1004,1,MATCH(COLUMNS($AO$1006:BN1006),$AO$1006:$BQ$1006,0)))),"Fix")))</f>
        <v>#N/A</v>
      </c>
      <c r="AB799" s="5" t="e">
        <f ca="1">IF(OR(INDEX($AI$2:$AI$1001,MATCH(ROWS($AH$2:AH799),$AH$2:$AH$1001,0),1)&gt;=100000,INDEX($AO$1005:$BQ$1005,1,MATCH(COLUMNS($AO$1006:BO1006),$AO$1006:$BQ$1006,0))&gt;=100000), " ",IF(INDEX($AO$2:$BQ$1001,MATCH(ROWS($AH$2:AH799),$AH$2:$AH$1001,0),MATCH(COLUMNS($AO$1006:BO1006),$AO$1006:$BQ$1006,0)), HYPERLINK("#",""), HYPERLINK(CONCATENATE("#Metadata!", ADDRESS(INDEX($AJ$2:$AJ$1001,MATCH(ROWS($AH$2:AH799),$AH$2:$AH$1001,0),0), INDEX($AO$1004:$BQ$1004,1,MATCH(COLUMNS($AO$1006:BO1006),$AO$1006:$BQ$1006,0)))),"Fix")))</f>
        <v>#N/A</v>
      </c>
      <c r="AC799" s="5" t="e">
        <f ca="1">IF(OR(INDEX($AI$2:$AI$1001,MATCH(ROWS($AH$2:AH799),$AH$2:$AH$1001,0),1)&gt;=100000,INDEX($AO$1005:$BQ$1005,1,MATCH(COLUMNS($AO$1006:BP1006),$AO$1006:$BQ$1006,0))&gt;=100000), " ",IF(INDEX($AO$2:$BQ$1001,MATCH(ROWS($AH$2:AH799),$AH$2:$AH$1001,0),MATCH(COLUMNS($AO$1006:BP1006),$AO$1006:$BQ$1006,0)), HYPERLINK("#",""), HYPERLINK(CONCATENATE("#Metadata!", ADDRESS(INDEX($AJ$2:$AJ$1001,MATCH(ROWS($AH$2:AH799),$AH$2:$AH$1001,0),0), INDEX($AO$1004:$BQ$1004,1,MATCH(COLUMNS($AO$1006:BP1006),$AO$1006:$BQ$1006,0)))),"Fix")))</f>
        <v>#N/A</v>
      </c>
      <c r="AD799" s="5" t="e">
        <f ca="1">IF(OR(INDEX($AI$2:$AI$1001,MATCH(ROWS($AH$2:AH799),$AH$2:$AH$1001,0),1)&gt;=100000,INDEX($AO$1005:$BQ$1005,1,MATCH(COLUMNS($AO$1006:BQ1006),$AO$1006:$BQ$1006,0))&gt;=100000), " ",IF(INDEX($AO$2:$BQ$1001,MATCH(ROWS($AH$2:AH799),$AH$2:$AH$1001,0),MATCH(COLUMNS($AO$1006:BQ1006),$AO$1006:$BQ$1006,0)), HYPERLINK("#",""), HYPERLINK(CONCATENATE("#Metadata!", ADDRESS(INDEX($AJ$2:$AJ$1001,MATCH(ROWS($AH$2:AH799),$AH$2:$AH$1001,0),0), INDEX($AO$1004:$BQ$1004,1,MATCH(COLUMNS($AO$1006:BQ1006),$AO$1006:$BQ$1006,0)))),"Fix")))</f>
        <v>#REF!</v>
      </c>
      <c r="AH799">
        <f ca="1"/>
        <v>796</v>
      </c>
      <c r="AI799">
        <v>100799</v>
      </c>
      <c r="AJ799">
        <v>799</v>
      </c>
      <c r="AK799" t="b">
        <f t="shared" si="12"/>
        <v>1</v>
      </c>
      <c r="AL799" t="b">
        <f>COUNTBLANK(Metadata!B799:AD799)=COLUMNS(Metadata!B799:AD799)</f>
        <v>1</v>
      </c>
      <c r="AM799" t="str">
        <v/>
      </c>
      <c r="AO799" t="b">
        <f ca="1">AND(IF(Metadata!B799="",FALSE,TRUE),COUNTIF(Metadata!B:B, Metadata!B799) = 1,NOT(ISERROR(SUMPRODUCT(SEARCH(MID(Metadata!B799,ROW(INDIRECT("1:"&amp;LEN(Metadata!B799))), 1),"0123456789abcdefghijklmnopqrstuvwxyzABCDEFGHIJKLMNOPQRSTUVWXYZ.")))))</f>
        <v>0</v>
      </c>
      <c r="AP799" t="b">
        <f>IF(Metadata!C799="",FALSE,TRUE)</f>
        <v>0</v>
      </c>
      <c r="AQ799" t="b">
        <f>IF(Metadata!D799="",FALSE,TRUE)</f>
        <v>0</v>
      </c>
      <c r="AR799" t="b">
        <f ca="1">OR(AND(IF(Metadata!E799="",FALSE,TRUE),OR(EXACT(Metadata!E799,"not collected"),EXACT(Metadata!E799,"not provided"),EXACT(Metadata!E799,"restricted access"))),AND(IF(Metadata!E799="",FALSE,TRUE),AND(AND(IFERROR(INT(LEFT(Metadata!E799,4))&gt;1900,FALSE),IFERROR(INT(LEFT(Metadata!E799,4))&lt;=YEAR(NOW()),FALSE)), OR(MID(Metadata!E799,5,1)="", AND(AND(MID(Metadata!E799,5,1)="-",IFERROR(INT(MID(Metadata!E799,6,1))&gt;=0,FALSE),IFERROR(INT(MID(Metadata!E799,6,1))&lt;=1,FALSE),NOT(MID(Metadata!E799,7,1)=""),IFERROR(INT(MID(Metadata!E799,6,2))&gt;=1,FALSE),IFERROR(INT(MID(Metadata!E799,6,2))&lt;=12,FALSE)), OR(MID(Metadata!E799,8,1)="", AND(AND(MID(Metadata!E799,8,1)="-",IFERROR(INT(MID(Metadata!E799,9,1))&gt;=0,FALSE),IFERROR(INT(MID(Metadata!E799,9,1))&lt;=3,FALSE),NOT(MID(Metadata!E799,10,1)=""),IFERROR(INT(MID(Metadata!E799,9,2))&gt;=1,FALSE),IFERROR(INT(MID(Metadata!E799,9,2))&lt;=31,FALSE)), OR(MID(Metadata!E799,11,1)="", AND(AND(MID(Metadata!E799,11,1)=" ",IFERROR(INT(MID(Metadata!E799,12,1))&gt;=0,FALSE),IFERROR(INT(MID(Metadata!E799,12,1))&lt;=2,FALSE),NOT(MID(Metadata!E799,13,1)=""),IFERROR(INT(MID(Metadata!E799,12,2))&gt;=0,FALSE),IFERROR(INT(MID(Metadata!E799,12,2))&lt;=23,FALSE)), OR(MID(Metadata!E799,14,1)="", AND(AND(MID(Metadata!E799,14,1)=":",IFERROR(INT(MID(Metadata!E799,15,1))&gt;=0,FALSE),IFERROR(INT(MID(Metadata!E799,15,1))&lt;=5,FALSE),NOT(MID(Metadata!E799,16,1)=""),IFERROR(INT(MID(Metadata!E799,15,2))&gt;=0,FALSE),IFERROR(INT(MID(Metadata!E799,15,2))&lt;=59,FALSE)), OR(MID(Metadata!E799,17,1)="", AND(AND(MID(Metadata!E799,17,1)=":",IFERROR(INT(MID(Metadata!E799,18,1))&gt;=0,FALSE),IFERROR(INT(MID(Metadata!E799,18,1))&lt;=5,FALSE),NOT(MID(Metadata!E799,19,1)=""),IFERROR(INT(MID(Metadata!E799,18,2))&gt;=0,FALSE),IFERROR(INT(MID(Metadata!E799,18,2))&lt;=59,FALSE)), LEN(Metadata!E799)&lt;=19)))))))))))))</f>
        <v>0</v>
      </c>
      <c r="AS799" t="b">
        <f>IF(Metadata!F799="",FALSE,TRUE)</f>
        <v>0</v>
      </c>
      <c r="AT799" t="b">
        <f>OR(AND(IF(Metadata!G799="",FALSE,TRUE),OR(EXACT(Metadata!G799,"not collected"),EXACT(Metadata!G799,"not provided"))),AND(IF(Metadata!G799="",FALSE,TRUE),OR(EXACT(Metadata!G799,"TRUE"),EXACT(Metadata!G799,"FALSE"))))</f>
        <v>0</v>
      </c>
      <c r="AU799" t="b">
        <f>OR(AND(IF(Metadata!H799="",FALSE,TRUE),OR(EXACT(Metadata!H799,"not collected"),EXACT(Metadata!H799,"not provided"),EXACT(Metadata!H799,"restricted access"))),AND(IF(Metadata!H799="",FALSE,ISNUMBER(VALUE(Metadata!H799))),Metadata!H799&gt;=-413))</f>
        <v>0</v>
      </c>
      <c r="AV799" t="b">
        <f>AND(IF(Metadata!I799="",FALSE,TRUE),EXACT(Metadata!I799,"meters"))</f>
        <v>0</v>
      </c>
      <c r="AW799" t="b">
        <f>AND(IF(Metadata!J799="",FALSE,TRUE),EXACT(Metadata!J799,"free-living"))</f>
        <v>0</v>
      </c>
      <c r="AX799" t="b">
        <f>AND(IF(Metadata!K799="",FALSE,TRUE),OR(EXACT(Metadata!K799,"saline"),EXACT(Metadata!K799,"non-saline")))</f>
        <v>0</v>
      </c>
      <c r="AY799" t="b">
        <f>AND(IF(Metadata!L799="",FALSE,TRUE),OR(EXACT(Metadata!L799,"sub-surface (non-saline)"),EXACT(Metadata!L799,"surface (non-saline)"),EXACT(Metadata!L799,"water (non-saline)"),EXACT(Metadata!L799,"soil (non-saline)"),EXACT(Metadata!L799,"aerosol (non-saline)"),EXACT(Metadata!L799,"sediment (non-saline)"),EXACT(Metadata!L799,"surface (saline)"),EXACT(Metadata!L799,"water (saline)"),EXACT(Metadata!L799,"hypersaline (saline)"),EXACT(Metadata!L799,"aerosol (saline)"),EXACT(Metadata!L799,"sediment (saline)")))</f>
        <v>0</v>
      </c>
      <c r="AZ799" t="b">
        <f>IF(Metadata!M799="",FALSE,TRUE)</f>
        <v>0</v>
      </c>
      <c r="BA799" t="b">
        <f>IF(Metadata!N799="",FALSE,TRUE)</f>
        <v>0</v>
      </c>
      <c r="BB799" t="b">
        <f>IF(Metadata!O799="",FALSE,TRUE)</f>
        <v>0</v>
      </c>
      <c r="BC799" t="b">
        <f>AND(IF(Metadata!P799="",FALSE,TRUE),OR(EXACT(Metadata!P799,"air"),EXACT(Metadata!P799,"microbial mat/biofilm"),EXACT(Metadata!P799,"misc environment"),EXACT(Metadata!P799,"sediment"),EXACT(Metadata!P799,"soil"),EXACT(Metadata!P799,"wastewater/sludge"),EXACT(Metadata!P799,"water")))</f>
        <v>0</v>
      </c>
      <c r="BD799" t="b">
        <f>IF(Metadata!Q799="",FALSE,TRUE)</f>
        <v>0</v>
      </c>
      <c r="BE799" t="b">
        <f>IF(Metadata!R799="",FALSE,TRUE)</f>
        <v>0</v>
      </c>
      <c r="BF799" t="b">
        <f>OR(AND(IF(Metadata!S799="",FALSE,TRUE),OR(EXACT(Metadata!S799,"not collected"),EXACT(Metadata!S799,"not provided"),EXACT(Metadata!S799,"restricted access"))),AND(IF(Metadata!S799="",FALSE,ISNUMBER(VALUE(Metadata!S799))),Metadata!S799&gt;=-90,Metadata!S799&lt;=90))</f>
        <v>0</v>
      </c>
      <c r="BG799" t="b">
        <f>AND(IF(Metadata!T799="",FALSE,TRUE),EXACT(Metadata!T799,"Decimal degrees"))</f>
        <v>0</v>
      </c>
      <c r="BH799" t="b">
        <f>OR(AND(IF(Metadata!U799="",FALSE,TRUE),OR(EXACT(Metadata!U799,"not applicable"),EXACT(Metadata!U799,"not collected"))),IF(Metadata!U799="",FALSE,TRUE))</f>
        <v>0</v>
      </c>
      <c r="BI799" t="b">
        <f>OR(AND(IF(Metadata!V799="",FALSE,TRUE),OR(EXACT(Metadata!V799,"not collected"),EXACT(Metadata!V799,"not provided"),EXACT(Metadata!V799,"restricted access"))),AND(IF(Metadata!V799="",FALSE,ISNUMBER(VALUE(Metadata!V799))),Metadata!V799&gt;=-180,Metadata!V799&lt;=180))</f>
        <v>0</v>
      </c>
      <c r="BJ799" t="b">
        <f>AND(IF(Metadata!W799="",FALSE,TRUE),EXACT(Metadata!W799,"Decimal degrees"))</f>
        <v>0</v>
      </c>
      <c r="BK799" t="b">
        <f>IF(Metadata!X799="",FALSE,TRUE)</f>
        <v>0</v>
      </c>
      <c r="BL799" t="b">
        <f>OR(AND(IF(Metadata!Y799="",FALSE,TRUE),OR(EXACT(Metadata!Y799,"not collected"),EXACT(Metadata!Y799,"not provided"),EXACT(Metadata!Y799,"restricted access"))),AND(IF(Metadata!Y799="",FALSE,TRUE),OR(EXACT(Metadata!Y799,"TRUE"),EXACT(Metadata!Y799,"FALSE"))))</f>
        <v>0</v>
      </c>
      <c r="BM799" t="b">
        <f>OR(AND(IF(Metadata!Z799="",FALSE,TRUE),EXACT(Metadata!Z799,"not applicable")),AND(IF(Metadata!Z799="",FALSE,TRUE),OR(EXACT(Metadata!Z799,"beer"),EXACT(Metadata!Z799,"cheese"),EXACT(Metadata!Z799,"fresh water"),EXACT(Metadata!Z799,"marine sediment"),EXACT(Metadata!Z799,"sea water"),EXACT(Metadata!Z799,"sediment"),EXACT(Metadata!Z799,"soil"),EXACT(Metadata!Z799,"waste water"))))</f>
        <v>0</v>
      </c>
      <c r="BN799" t="b">
        <f>AND(IF(Metadata!AA799="",FALSE,TRUE),EXACT(Metadata!AA799,"metagenome"))</f>
        <v>0</v>
      </c>
      <c r="BO799" t="b">
        <f>AND(IF(Metadata!AB799="",FALSE,TRUE),EXACT(Metadata!AB799,"256318"))</f>
        <v>0</v>
      </c>
      <c r="BP799" t="b">
        <f>IF(Metadata!AC799="",FALSE,TRUE)</f>
        <v>0</v>
      </c>
      <c r="BQ799" t="b">
        <f>IF(Metadata!AD799="",FALSE,TRUE)</f>
        <v>0</v>
      </c>
    </row>
    <row r="800" spans="1:69" x14ac:dyDescent="0.2">
      <c r="A800" s="4" t="e">
        <f ca="1">IF(B800=" "," ",HYPERLINK(CONCATENATE("#metadata!",ADDRESS(INDEX($AJ$2:$AJ$1001,MATCH(ROWS($AH$2:AH800),$AH$2:$AH$1001,0),0),2)),INDEX($AM$2:$AM$1001,MATCH(ROWS($AH$2:AH800),$AH$2:$AH$1001,0),0)))</f>
        <v>#N/A</v>
      </c>
      <c r="B800" s="5" t="e">
        <f ca="1">IF(OR(INDEX($AI$2:$AI$1001,MATCH(ROWS($AH$2:AH800),$AH$2:$AH$1001,0),1)&gt;=100000,INDEX($AO$1005:$BQ$1005,1,MATCH(COLUMNS($AO$1006:AO1006),$AO$1006:$BQ$1006,0))&gt;=100000), " ",IF(INDEX($AO$2:$BQ$1001,MATCH(ROWS($AH$2:AH800),$AH$2:$AH$1001,0),MATCH(COLUMNS($AO$1006:AO1006),$AO$1006:$BQ$1006,0)), HYPERLINK("#",""), HYPERLINK(CONCATENATE("#Metadata!", ADDRESS(INDEX($AJ$2:$AJ$1001,MATCH(ROWS($AH$2:AH800),$AH$2:$AH$1001,0),0), INDEX($AO$1004:$BQ$1004,1,MATCH(COLUMNS($AO$1006:AO1006),$AO$1006:$BQ$1006,0)))),"Fix")))</f>
        <v>#N/A</v>
      </c>
      <c r="C800" s="5" t="e">
        <f ca="1">IF(OR(INDEX($AI$2:$AI$1001,MATCH(ROWS($AH$2:AH800),$AH$2:$AH$1001,0),1)&gt;=100000,INDEX($AO$1005:$BQ$1005,1,MATCH(COLUMNS($AO$1006:AP1006),$AO$1006:$BQ$1006,0))&gt;=100000), " ",IF(INDEX($AO$2:$BQ$1001,MATCH(ROWS($AH$2:AH800),$AH$2:$AH$1001,0),MATCH(COLUMNS($AO$1006:AP1006),$AO$1006:$BQ$1006,0)), HYPERLINK("#",""), HYPERLINK(CONCATENATE("#Metadata!", ADDRESS(INDEX($AJ$2:$AJ$1001,MATCH(ROWS($AH$2:AH800),$AH$2:$AH$1001,0),0), INDEX($AO$1004:$BQ$1004,1,MATCH(COLUMNS($AO$1006:AP1006),$AO$1006:$BQ$1006,0)))),"Fix")))</f>
        <v>#N/A</v>
      </c>
      <c r="D800" s="5" t="e">
        <f ca="1">IF(OR(INDEX($AI$2:$AI$1001,MATCH(ROWS($AH$2:AH800),$AH$2:$AH$1001,0),1)&gt;=100000,INDEX($AO$1005:$BQ$1005,1,MATCH(COLUMNS($AO$1006:AQ1006),$AO$1006:$BQ$1006,0))&gt;=100000), " ",IF(INDEX($AO$2:$BQ$1001,MATCH(ROWS($AH$2:AH800),$AH$2:$AH$1001,0),MATCH(COLUMNS($AO$1006:AQ1006),$AO$1006:$BQ$1006,0)), HYPERLINK("#",""), HYPERLINK(CONCATENATE("#Metadata!", ADDRESS(INDEX($AJ$2:$AJ$1001,MATCH(ROWS($AH$2:AH800),$AH$2:$AH$1001,0),0), INDEX($AO$1004:$BQ$1004,1,MATCH(COLUMNS($AO$1006:AQ1006),$AO$1006:$BQ$1006,0)))),"Fix")))</f>
        <v>#N/A</v>
      </c>
      <c r="E800" s="5" t="e">
        <f ca="1">IF(OR(INDEX($AI$2:$AI$1001,MATCH(ROWS($AH$2:AH800),$AH$2:$AH$1001,0),1)&gt;=100000,INDEX($AO$1005:$BQ$1005,1,MATCH(COLUMNS($AO$1006:AR1006),$AO$1006:$BQ$1006,0))&gt;=100000), " ",IF(INDEX($AO$2:$BQ$1001,MATCH(ROWS($AH$2:AH800),$AH$2:$AH$1001,0),MATCH(COLUMNS($AO$1006:AR1006),$AO$1006:$BQ$1006,0)), HYPERLINK("#",""), HYPERLINK(CONCATENATE("#Metadata!", ADDRESS(INDEX($AJ$2:$AJ$1001,MATCH(ROWS($AH$2:AH800),$AH$2:$AH$1001,0),0), INDEX($AO$1004:$BQ$1004,1,MATCH(COLUMNS($AO$1006:AR1006),$AO$1006:$BQ$1006,0)))),"Fix")))</f>
        <v>#N/A</v>
      </c>
      <c r="F800" s="5" t="e">
        <f ca="1">IF(OR(INDEX($AI$2:$AI$1001,MATCH(ROWS($AH$2:AH800),$AH$2:$AH$1001,0),1)&gt;=100000,INDEX($AO$1005:$BQ$1005,1,MATCH(COLUMNS($AO$1006:AS1006),$AO$1006:$BQ$1006,0))&gt;=100000), " ",IF(INDEX($AO$2:$BQ$1001,MATCH(ROWS($AH$2:AH800),$AH$2:$AH$1001,0),MATCH(COLUMNS($AO$1006:AS1006),$AO$1006:$BQ$1006,0)), HYPERLINK("#",""), HYPERLINK(CONCATENATE("#Metadata!", ADDRESS(INDEX($AJ$2:$AJ$1001,MATCH(ROWS($AH$2:AH800),$AH$2:$AH$1001,0),0), INDEX($AO$1004:$BQ$1004,1,MATCH(COLUMNS($AO$1006:AS1006),$AO$1006:$BQ$1006,0)))),"Fix")))</f>
        <v>#N/A</v>
      </c>
      <c r="G800" s="5" t="e">
        <f ca="1">IF(OR(INDEX($AI$2:$AI$1001,MATCH(ROWS($AH$2:AH800),$AH$2:$AH$1001,0),1)&gt;=100000,INDEX($AO$1005:$BQ$1005,1,MATCH(COLUMNS($AO$1006:AT1006),$AO$1006:$BQ$1006,0))&gt;=100000), " ",IF(INDEX($AO$2:$BQ$1001,MATCH(ROWS($AH$2:AH800),$AH$2:$AH$1001,0),MATCH(COLUMNS($AO$1006:AT1006),$AO$1006:$BQ$1006,0)), HYPERLINK("#",""), HYPERLINK(CONCATENATE("#Metadata!", ADDRESS(INDEX($AJ$2:$AJ$1001,MATCH(ROWS($AH$2:AH800),$AH$2:$AH$1001,0),0), INDEX($AO$1004:$BQ$1004,1,MATCH(COLUMNS($AO$1006:AT1006),$AO$1006:$BQ$1006,0)))),"Fix")))</f>
        <v>#N/A</v>
      </c>
      <c r="H800" s="5" t="e">
        <f ca="1">IF(OR(INDEX($AI$2:$AI$1001,MATCH(ROWS($AH$2:AH800),$AH$2:$AH$1001,0),1)&gt;=100000,INDEX($AO$1005:$BQ$1005,1,MATCH(COLUMNS($AO$1006:AU1006),$AO$1006:$BQ$1006,0))&gt;=100000), " ",IF(INDEX($AO$2:$BQ$1001,MATCH(ROWS($AH$2:AH800),$AH$2:$AH$1001,0),MATCH(COLUMNS($AO$1006:AU1006),$AO$1006:$BQ$1006,0)), HYPERLINK("#",""), HYPERLINK(CONCATENATE("#Metadata!", ADDRESS(INDEX($AJ$2:$AJ$1001,MATCH(ROWS($AH$2:AH800),$AH$2:$AH$1001,0),0), INDEX($AO$1004:$BQ$1004,1,MATCH(COLUMNS($AO$1006:AU1006),$AO$1006:$BQ$1006,0)))),"Fix")))</f>
        <v>#N/A</v>
      </c>
      <c r="I800" s="5" t="e">
        <f ca="1">IF(OR(INDEX($AI$2:$AI$1001,MATCH(ROWS($AH$2:AH800),$AH$2:$AH$1001,0),1)&gt;=100000,INDEX($AO$1005:$BQ$1005,1,MATCH(COLUMNS($AO$1006:AV1006),$AO$1006:$BQ$1006,0))&gt;=100000), " ",IF(INDEX($AO$2:$BQ$1001,MATCH(ROWS($AH$2:AH800),$AH$2:$AH$1001,0),MATCH(COLUMNS($AO$1006:AV1006),$AO$1006:$BQ$1006,0)), HYPERLINK("#",""), HYPERLINK(CONCATENATE("#Metadata!", ADDRESS(INDEX($AJ$2:$AJ$1001,MATCH(ROWS($AH$2:AH800),$AH$2:$AH$1001,0),0), INDEX($AO$1004:$BQ$1004,1,MATCH(COLUMNS($AO$1006:AV1006),$AO$1006:$BQ$1006,0)))),"Fix")))</f>
        <v>#N/A</v>
      </c>
      <c r="J800" s="5" t="e">
        <f ca="1">IF(OR(INDEX($AI$2:$AI$1001,MATCH(ROWS($AH$2:AH800),$AH$2:$AH$1001,0),1)&gt;=100000,INDEX($AO$1005:$BQ$1005,1,MATCH(COLUMNS($AO$1006:AW1006),$AO$1006:$BQ$1006,0))&gt;=100000), " ",IF(INDEX($AO$2:$BQ$1001,MATCH(ROWS($AH$2:AH800),$AH$2:$AH$1001,0),MATCH(COLUMNS($AO$1006:AW1006),$AO$1006:$BQ$1006,0)), HYPERLINK("#",""), HYPERLINK(CONCATENATE("#Metadata!", ADDRESS(INDEX($AJ$2:$AJ$1001,MATCH(ROWS($AH$2:AH800),$AH$2:$AH$1001,0),0), INDEX($AO$1004:$BQ$1004,1,MATCH(COLUMNS($AO$1006:AW1006),$AO$1006:$BQ$1006,0)))),"Fix")))</f>
        <v>#N/A</v>
      </c>
      <c r="K800" s="5" t="e">
        <f ca="1">IF(OR(INDEX($AI$2:$AI$1001,MATCH(ROWS($AH$2:AH800),$AH$2:$AH$1001,0),1)&gt;=100000,INDEX($AO$1005:$BQ$1005,1,MATCH(COLUMNS($AO$1006:AX1006),$AO$1006:$BQ$1006,0))&gt;=100000), " ",IF(INDEX($AO$2:$BQ$1001,MATCH(ROWS($AH$2:AH800),$AH$2:$AH$1001,0),MATCH(COLUMNS($AO$1006:AX1006),$AO$1006:$BQ$1006,0)), HYPERLINK("#",""), HYPERLINK(CONCATENATE("#Metadata!", ADDRESS(INDEX($AJ$2:$AJ$1001,MATCH(ROWS($AH$2:AH800),$AH$2:$AH$1001,0),0), INDEX($AO$1004:$BQ$1004,1,MATCH(COLUMNS($AO$1006:AX1006),$AO$1006:$BQ$1006,0)))),"Fix")))</f>
        <v>#N/A</v>
      </c>
      <c r="L800" s="5" t="e">
        <f ca="1">IF(OR(INDEX($AI$2:$AI$1001,MATCH(ROWS($AH$2:AH800),$AH$2:$AH$1001,0),1)&gt;=100000,INDEX($AO$1005:$BQ$1005,1,MATCH(COLUMNS($AO$1006:AY1006),$AO$1006:$BQ$1006,0))&gt;=100000), " ",IF(INDEX($AO$2:$BQ$1001,MATCH(ROWS($AH$2:AH800),$AH$2:$AH$1001,0),MATCH(COLUMNS($AO$1006:AY1006),$AO$1006:$BQ$1006,0)), HYPERLINK("#",""), HYPERLINK(CONCATENATE("#Metadata!", ADDRESS(INDEX($AJ$2:$AJ$1001,MATCH(ROWS($AH$2:AH800),$AH$2:$AH$1001,0),0), INDEX($AO$1004:$BQ$1004,1,MATCH(COLUMNS($AO$1006:AY1006),$AO$1006:$BQ$1006,0)))),"Fix")))</f>
        <v>#N/A</v>
      </c>
      <c r="M800" s="5" t="e">
        <f ca="1">IF(OR(INDEX($AI$2:$AI$1001,MATCH(ROWS($AH$2:AH800),$AH$2:$AH$1001,0),1)&gt;=100000,INDEX($AO$1005:$BQ$1005,1,MATCH(COLUMNS($AO$1006:AZ1006),$AO$1006:$BQ$1006,0))&gt;=100000), " ",IF(INDEX($AO$2:$BQ$1001,MATCH(ROWS($AH$2:AH800),$AH$2:$AH$1001,0),MATCH(COLUMNS($AO$1006:AZ1006),$AO$1006:$BQ$1006,0)), HYPERLINK("#",""), HYPERLINK(CONCATENATE("#Metadata!", ADDRESS(INDEX($AJ$2:$AJ$1001,MATCH(ROWS($AH$2:AH800),$AH$2:$AH$1001,0),0), INDEX($AO$1004:$BQ$1004,1,MATCH(COLUMNS($AO$1006:AZ1006),$AO$1006:$BQ$1006,0)))),"Fix")))</f>
        <v>#N/A</v>
      </c>
      <c r="N800" s="5" t="e">
        <f ca="1">IF(OR(INDEX($AI$2:$AI$1001,MATCH(ROWS($AH$2:AH800),$AH$2:$AH$1001,0),1)&gt;=100000,INDEX($AO$1005:$BQ$1005,1,MATCH(COLUMNS($AO$1006:BA1006),$AO$1006:$BQ$1006,0))&gt;=100000), " ",IF(INDEX($AO$2:$BQ$1001,MATCH(ROWS($AH$2:AH800),$AH$2:$AH$1001,0),MATCH(COLUMNS($AO$1006:BA1006),$AO$1006:$BQ$1006,0)), HYPERLINK("#",""), HYPERLINK(CONCATENATE("#Metadata!", ADDRESS(INDEX($AJ$2:$AJ$1001,MATCH(ROWS($AH$2:AH800),$AH$2:$AH$1001,0),0), INDEX($AO$1004:$BQ$1004,1,MATCH(COLUMNS($AO$1006:BA1006),$AO$1006:$BQ$1006,0)))),"Fix")))</f>
        <v>#N/A</v>
      </c>
      <c r="O800" s="5" t="e">
        <f ca="1">IF(OR(INDEX($AI$2:$AI$1001,MATCH(ROWS($AH$2:AH800),$AH$2:$AH$1001,0),1)&gt;=100000,INDEX($AO$1005:$BQ$1005,1,MATCH(COLUMNS($AO$1006:BB1006),$AO$1006:$BQ$1006,0))&gt;=100000), " ",IF(INDEX($AO$2:$BQ$1001,MATCH(ROWS($AH$2:AH800),$AH$2:$AH$1001,0),MATCH(COLUMNS($AO$1006:BB1006),$AO$1006:$BQ$1006,0)), HYPERLINK("#",""), HYPERLINK(CONCATENATE("#Metadata!", ADDRESS(INDEX($AJ$2:$AJ$1001,MATCH(ROWS($AH$2:AH800),$AH$2:$AH$1001,0),0), INDEX($AO$1004:$BQ$1004,1,MATCH(COLUMNS($AO$1006:BB1006),$AO$1006:$BQ$1006,0)))),"Fix")))</f>
        <v>#N/A</v>
      </c>
      <c r="P800" s="5" t="e">
        <f ca="1">IF(OR(INDEX($AI$2:$AI$1001,MATCH(ROWS($AH$2:AH800),$AH$2:$AH$1001,0),1)&gt;=100000,INDEX($AO$1005:$BQ$1005,1,MATCH(COLUMNS($AO$1006:BC1006),$AO$1006:$BQ$1006,0))&gt;=100000), " ",IF(INDEX($AO$2:$BQ$1001,MATCH(ROWS($AH$2:AH800),$AH$2:$AH$1001,0),MATCH(COLUMNS($AO$1006:BC1006),$AO$1006:$BQ$1006,0)), HYPERLINK("#",""), HYPERLINK(CONCATENATE("#Metadata!", ADDRESS(INDEX($AJ$2:$AJ$1001,MATCH(ROWS($AH$2:AH800),$AH$2:$AH$1001,0),0), INDEX($AO$1004:$BQ$1004,1,MATCH(COLUMNS($AO$1006:BC1006),$AO$1006:$BQ$1006,0)))),"Fix")))</f>
        <v>#N/A</v>
      </c>
      <c r="Q800" s="5" t="e">
        <f ca="1">IF(OR(INDEX($AI$2:$AI$1001,MATCH(ROWS($AH$2:AH800),$AH$2:$AH$1001,0),1)&gt;=100000,INDEX($AO$1005:$BQ$1005,1,MATCH(COLUMNS($AO$1006:BD1006),$AO$1006:$BQ$1006,0))&gt;=100000), " ",IF(INDEX($AO$2:$BQ$1001,MATCH(ROWS($AH$2:AH800),$AH$2:$AH$1001,0),MATCH(COLUMNS($AO$1006:BD1006),$AO$1006:$BQ$1006,0)), HYPERLINK("#",""), HYPERLINK(CONCATENATE("#Metadata!", ADDRESS(INDEX($AJ$2:$AJ$1001,MATCH(ROWS($AH$2:AH800),$AH$2:$AH$1001,0),0), INDEX($AO$1004:$BQ$1004,1,MATCH(COLUMNS($AO$1006:BD1006),$AO$1006:$BQ$1006,0)))),"Fix")))</f>
        <v>#N/A</v>
      </c>
      <c r="R800" s="5" t="e">
        <f ca="1">IF(OR(INDEX($AI$2:$AI$1001,MATCH(ROWS($AH$2:AH800),$AH$2:$AH$1001,0),1)&gt;=100000,INDEX($AO$1005:$BQ$1005,1,MATCH(COLUMNS($AO$1006:BE1006),$AO$1006:$BQ$1006,0))&gt;=100000), " ",IF(INDEX($AO$2:$BQ$1001,MATCH(ROWS($AH$2:AH800),$AH$2:$AH$1001,0),MATCH(COLUMNS($AO$1006:BE1006),$AO$1006:$BQ$1006,0)), HYPERLINK("#",""), HYPERLINK(CONCATENATE("#Metadata!", ADDRESS(INDEX($AJ$2:$AJ$1001,MATCH(ROWS($AH$2:AH800),$AH$2:$AH$1001,0),0), INDEX($AO$1004:$BQ$1004,1,MATCH(COLUMNS($AO$1006:BE1006),$AO$1006:$BQ$1006,0)))),"Fix")))</f>
        <v>#N/A</v>
      </c>
      <c r="S800" s="5" t="e">
        <f ca="1">IF(OR(INDEX($AI$2:$AI$1001,MATCH(ROWS($AH$2:AH800),$AH$2:$AH$1001,0),1)&gt;=100000,INDEX($AO$1005:$BQ$1005,1,MATCH(COLUMNS($AO$1006:BF1006),$AO$1006:$BQ$1006,0))&gt;=100000), " ",IF(INDEX($AO$2:$BQ$1001,MATCH(ROWS($AH$2:AH800),$AH$2:$AH$1001,0),MATCH(COLUMNS($AO$1006:BF1006),$AO$1006:$BQ$1006,0)), HYPERLINK("#",""), HYPERLINK(CONCATENATE("#Metadata!", ADDRESS(INDEX($AJ$2:$AJ$1001,MATCH(ROWS($AH$2:AH800),$AH$2:$AH$1001,0),0), INDEX($AO$1004:$BQ$1004,1,MATCH(COLUMNS($AO$1006:BF1006),$AO$1006:$BQ$1006,0)))),"Fix")))</f>
        <v>#N/A</v>
      </c>
      <c r="T800" s="5" t="e">
        <f ca="1">IF(OR(INDEX($AI$2:$AI$1001,MATCH(ROWS($AH$2:AH800),$AH$2:$AH$1001,0),1)&gt;=100000,INDEX($AO$1005:$BQ$1005,1,MATCH(COLUMNS($AO$1006:BG1006),$AO$1006:$BQ$1006,0))&gt;=100000), " ",IF(INDEX($AO$2:$BQ$1001,MATCH(ROWS($AH$2:AH800),$AH$2:$AH$1001,0),MATCH(COLUMNS($AO$1006:BG1006),$AO$1006:$BQ$1006,0)), HYPERLINK("#",""), HYPERLINK(CONCATENATE("#Metadata!", ADDRESS(INDEX($AJ$2:$AJ$1001,MATCH(ROWS($AH$2:AH800),$AH$2:$AH$1001,0),0), INDEX($AO$1004:$BQ$1004,1,MATCH(COLUMNS($AO$1006:BG1006),$AO$1006:$BQ$1006,0)))),"Fix")))</f>
        <v>#N/A</v>
      </c>
      <c r="U800" s="5" t="e">
        <f ca="1">IF(OR(INDEX($AI$2:$AI$1001,MATCH(ROWS($AH$2:AH800),$AH$2:$AH$1001,0),1)&gt;=100000,INDEX($AO$1005:$BQ$1005,1,MATCH(COLUMNS($AO$1006:BH1006),$AO$1006:$BQ$1006,0))&gt;=100000), " ",IF(INDEX($AO$2:$BQ$1001,MATCH(ROWS($AH$2:AH800),$AH$2:$AH$1001,0),MATCH(COLUMNS($AO$1006:BH1006),$AO$1006:$BQ$1006,0)), HYPERLINK("#",""), HYPERLINK(CONCATENATE("#Metadata!", ADDRESS(INDEX($AJ$2:$AJ$1001,MATCH(ROWS($AH$2:AH800),$AH$2:$AH$1001,0),0), INDEX($AO$1004:$BQ$1004,1,MATCH(COLUMNS($AO$1006:BH1006),$AO$1006:$BQ$1006,0)))),"Fix")))</f>
        <v>#N/A</v>
      </c>
      <c r="V800" s="5" t="e">
        <f ca="1">IF(OR(INDEX($AI$2:$AI$1001,MATCH(ROWS($AH$2:AH800),$AH$2:$AH$1001,0),1)&gt;=100000,INDEX($AO$1005:$BQ$1005,1,MATCH(COLUMNS($AO$1006:BI1006),$AO$1006:$BQ$1006,0))&gt;=100000), " ",IF(INDEX($AO$2:$BQ$1001,MATCH(ROWS($AH$2:AH800),$AH$2:$AH$1001,0),MATCH(COLUMNS($AO$1006:BI1006),$AO$1006:$BQ$1006,0)), HYPERLINK("#",""), HYPERLINK(CONCATENATE("#Metadata!", ADDRESS(INDEX($AJ$2:$AJ$1001,MATCH(ROWS($AH$2:AH800),$AH$2:$AH$1001,0),0), INDEX($AO$1004:$BQ$1004,1,MATCH(COLUMNS($AO$1006:BI1006),$AO$1006:$BQ$1006,0)))),"Fix")))</f>
        <v>#N/A</v>
      </c>
      <c r="W800" s="5" t="e">
        <f ca="1">IF(OR(INDEX($AI$2:$AI$1001,MATCH(ROWS($AH$2:AH800),$AH$2:$AH$1001,0),1)&gt;=100000,INDEX($AO$1005:$BQ$1005,1,MATCH(COLUMNS($AO$1006:BJ1006),$AO$1006:$BQ$1006,0))&gt;=100000), " ",IF(INDEX($AO$2:$BQ$1001,MATCH(ROWS($AH$2:AH800),$AH$2:$AH$1001,0),MATCH(COLUMNS($AO$1006:BJ1006),$AO$1006:$BQ$1006,0)), HYPERLINK("#",""), HYPERLINK(CONCATENATE("#Metadata!", ADDRESS(INDEX($AJ$2:$AJ$1001,MATCH(ROWS($AH$2:AH800),$AH$2:$AH$1001,0),0), INDEX($AO$1004:$BQ$1004,1,MATCH(COLUMNS($AO$1006:BJ1006),$AO$1006:$BQ$1006,0)))),"Fix")))</f>
        <v>#N/A</v>
      </c>
      <c r="X800" s="5" t="e">
        <f ca="1">IF(OR(INDEX($AI$2:$AI$1001,MATCH(ROWS($AH$2:AH800),$AH$2:$AH$1001,0),1)&gt;=100000,INDEX($AO$1005:$BQ$1005,1,MATCH(COLUMNS($AO$1006:BK1006),$AO$1006:$BQ$1006,0))&gt;=100000), " ",IF(INDEX($AO$2:$BQ$1001,MATCH(ROWS($AH$2:AH800),$AH$2:$AH$1001,0),MATCH(COLUMNS($AO$1006:BK1006),$AO$1006:$BQ$1006,0)), HYPERLINK("#",""), HYPERLINK(CONCATENATE("#Metadata!", ADDRESS(INDEX($AJ$2:$AJ$1001,MATCH(ROWS($AH$2:AH800),$AH$2:$AH$1001,0),0), INDEX($AO$1004:$BQ$1004,1,MATCH(COLUMNS($AO$1006:BK1006),$AO$1006:$BQ$1006,0)))),"Fix")))</f>
        <v>#N/A</v>
      </c>
      <c r="Y800" s="5" t="e">
        <f ca="1">IF(OR(INDEX($AI$2:$AI$1001,MATCH(ROWS($AH$2:AH800),$AH$2:$AH$1001,0),1)&gt;=100000,INDEX($AO$1005:$BQ$1005,1,MATCH(COLUMNS($AO$1006:BL1006),$AO$1006:$BQ$1006,0))&gt;=100000), " ",IF(INDEX($AO$2:$BQ$1001,MATCH(ROWS($AH$2:AH800),$AH$2:$AH$1001,0),MATCH(COLUMNS($AO$1006:BL1006),$AO$1006:$BQ$1006,0)), HYPERLINK("#",""), HYPERLINK(CONCATENATE("#Metadata!", ADDRESS(INDEX($AJ$2:$AJ$1001,MATCH(ROWS($AH$2:AH800),$AH$2:$AH$1001,0),0), INDEX($AO$1004:$BQ$1004,1,MATCH(COLUMNS($AO$1006:BL1006),$AO$1006:$BQ$1006,0)))),"Fix")))</f>
        <v>#N/A</v>
      </c>
      <c r="Z800" s="5" t="e">
        <f ca="1">IF(OR(INDEX($AI$2:$AI$1001,MATCH(ROWS($AH$2:AH800),$AH$2:$AH$1001,0),1)&gt;=100000,INDEX($AO$1005:$BQ$1005,1,MATCH(COLUMNS($AO$1006:BM1006),$AO$1006:$BQ$1006,0))&gt;=100000), " ",IF(INDEX($AO$2:$BQ$1001,MATCH(ROWS($AH$2:AH800),$AH$2:$AH$1001,0),MATCH(COLUMNS($AO$1006:BM1006),$AO$1006:$BQ$1006,0)), HYPERLINK("#",""), HYPERLINK(CONCATENATE("#Metadata!", ADDRESS(INDEX($AJ$2:$AJ$1001,MATCH(ROWS($AH$2:AH800),$AH$2:$AH$1001,0),0), INDEX($AO$1004:$BQ$1004,1,MATCH(COLUMNS($AO$1006:BM1006),$AO$1006:$BQ$1006,0)))),"Fix")))</f>
        <v>#N/A</v>
      </c>
      <c r="AA800" s="5" t="e">
        <f ca="1">IF(OR(INDEX($AI$2:$AI$1001,MATCH(ROWS($AH$2:AH800),$AH$2:$AH$1001,0),1)&gt;=100000,INDEX($AO$1005:$BQ$1005,1,MATCH(COLUMNS($AO$1006:BN1006),$AO$1006:$BQ$1006,0))&gt;=100000), " ",IF(INDEX($AO$2:$BQ$1001,MATCH(ROWS($AH$2:AH800),$AH$2:$AH$1001,0),MATCH(COLUMNS($AO$1006:BN1006),$AO$1006:$BQ$1006,0)), HYPERLINK("#",""), HYPERLINK(CONCATENATE("#Metadata!", ADDRESS(INDEX($AJ$2:$AJ$1001,MATCH(ROWS($AH$2:AH800),$AH$2:$AH$1001,0),0), INDEX($AO$1004:$BQ$1004,1,MATCH(COLUMNS($AO$1006:BN1006),$AO$1006:$BQ$1006,0)))),"Fix")))</f>
        <v>#N/A</v>
      </c>
      <c r="AB800" s="5" t="e">
        <f ca="1">IF(OR(INDEX($AI$2:$AI$1001,MATCH(ROWS($AH$2:AH800),$AH$2:$AH$1001,0),1)&gt;=100000,INDEX($AO$1005:$BQ$1005,1,MATCH(COLUMNS($AO$1006:BO1006),$AO$1006:$BQ$1006,0))&gt;=100000), " ",IF(INDEX($AO$2:$BQ$1001,MATCH(ROWS($AH$2:AH800),$AH$2:$AH$1001,0),MATCH(COLUMNS($AO$1006:BO1006),$AO$1006:$BQ$1006,0)), HYPERLINK("#",""), HYPERLINK(CONCATENATE("#Metadata!", ADDRESS(INDEX($AJ$2:$AJ$1001,MATCH(ROWS($AH$2:AH800),$AH$2:$AH$1001,0),0), INDEX($AO$1004:$BQ$1004,1,MATCH(COLUMNS($AO$1006:BO1006),$AO$1006:$BQ$1006,0)))),"Fix")))</f>
        <v>#N/A</v>
      </c>
      <c r="AC800" s="5" t="e">
        <f ca="1">IF(OR(INDEX($AI$2:$AI$1001,MATCH(ROWS($AH$2:AH800),$AH$2:$AH$1001,0),1)&gt;=100000,INDEX($AO$1005:$BQ$1005,1,MATCH(COLUMNS($AO$1006:BP1006),$AO$1006:$BQ$1006,0))&gt;=100000), " ",IF(INDEX($AO$2:$BQ$1001,MATCH(ROWS($AH$2:AH800),$AH$2:$AH$1001,0),MATCH(COLUMNS($AO$1006:BP1006),$AO$1006:$BQ$1006,0)), HYPERLINK("#",""), HYPERLINK(CONCATENATE("#Metadata!", ADDRESS(INDEX($AJ$2:$AJ$1001,MATCH(ROWS($AH$2:AH800),$AH$2:$AH$1001,0),0), INDEX($AO$1004:$BQ$1004,1,MATCH(COLUMNS($AO$1006:BP1006),$AO$1006:$BQ$1006,0)))),"Fix")))</f>
        <v>#N/A</v>
      </c>
      <c r="AD800" s="5" t="e">
        <f ca="1">IF(OR(INDEX($AI$2:$AI$1001,MATCH(ROWS($AH$2:AH800),$AH$2:$AH$1001,0),1)&gt;=100000,INDEX($AO$1005:$BQ$1005,1,MATCH(COLUMNS($AO$1006:BQ1006),$AO$1006:$BQ$1006,0))&gt;=100000), " ",IF(INDEX($AO$2:$BQ$1001,MATCH(ROWS($AH$2:AH800),$AH$2:$AH$1001,0),MATCH(COLUMNS($AO$1006:BQ1006),$AO$1006:$BQ$1006,0)), HYPERLINK("#",""), HYPERLINK(CONCATENATE("#Metadata!", ADDRESS(INDEX($AJ$2:$AJ$1001,MATCH(ROWS($AH$2:AH800),$AH$2:$AH$1001,0),0), INDEX($AO$1004:$BQ$1004,1,MATCH(COLUMNS($AO$1006:BQ1006),$AO$1006:$BQ$1006,0)))),"Fix")))</f>
        <v>#REF!</v>
      </c>
      <c r="AH800">
        <f ca="1"/>
        <v>797</v>
      </c>
      <c r="AI800">
        <v>100800</v>
      </c>
      <c r="AJ800">
        <v>800</v>
      </c>
      <c r="AK800" t="b">
        <f t="shared" si="12"/>
        <v>1</v>
      </c>
      <c r="AL800" t="b">
        <f>COUNTBLANK(Metadata!B800:AD800)=COLUMNS(Metadata!B800:AD800)</f>
        <v>1</v>
      </c>
      <c r="AM800" t="str">
        <v/>
      </c>
      <c r="AO800" t="b">
        <f ca="1">AND(IF(Metadata!B800="",FALSE,TRUE),COUNTIF(Metadata!B:B, Metadata!B800) = 1,NOT(ISERROR(SUMPRODUCT(SEARCH(MID(Metadata!B800,ROW(INDIRECT("1:"&amp;LEN(Metadata!B800))), 1),"0123456789abcdefghijklmnopqrstuvwxyzABCDEFGHIJKLMNOPQRSTUVWXYZ.")))))</f>
        <v>0</v>
      </c>
      <c r="AP800" t="b">
        <f>IF(Metadata!C800="",FALSE,TRUE)</f>
        <v>0</v>
      </c>
      <c r="AQ800" t="b">
        <f>IF(Metadata!D800="",FALSE,TRUE)</f>
        <v>0</v>
      </c>
      <c r="AR800" t="b">
        <f ca="1">OR(AND(IF(Metadata!E800="",FALSE,TRUE),OR(EXACT(Metadata!E800,"not collected"),EXACT(Metadata!E800,"not provided"),EXACT(Metadata!E800,"restricted access"))),AND(IF(Metadata!E800="",FALSE,TRUE),AND(AND(IFERROR(INT(LEFT(Metadata!E800,4))&gt;1900,FALSE),IFERROR(INT(LEFT(Metadata!E800,4))&lt;=YEAR(NOW()),FALSE)), OR(MID(Metadata!E800,5,1)="", AND(AND(MID(Metadata!E800,5,1)="-",IFERROR(INT(MID(Metadata!E800,6,1))&gt;=0,FALSE),IFERROR(INT(MID(Metadata!E800,6,1))&lt;=1,FALSE),NOT(MID(Metadata!E800,7,1)=""),IFERROR(INT(MID(Metadata!E800,6,2))&gt;=1,FALSE),IFERROR(INT(MID(Metadata!E800,6,2))&lt;=12,FALSE)), OR(MID(Metadata!E800,8,1)="", AND(AND(MID(Metadata!E800,8,1)="-",IFERROR(INT(MID(Metadata!E800,9,1))&gt;=0,FALSE),IFERROR(INT(MID(Metadata!E800,9,1))&lt;=3,FALSE),NOT(MID(Metadata!E800,10,1)=""),IFERROR(INT(MID(Metadata!E800,9,2))&gt;=1,FALSE),IFERROR(INT(MID(Metadata!E800,9,2))&lt;=31,FALSE)), OR(MID(Metadata!E800,11,1)="", AND(AND(MID(Metadata!E800,11,1)=" ",IFERROR(INT(MID(Metadata!E800,12,1))&gt;=0,FALSE),IFERROR(INT(MID(Metadata!E800,12,1))&lt;=2,FALSE),NOT(MID(Metadata!E800,13,1)=""),IFERROR(INT(MID(Metadata!E800,12,2))&gt;=0,FALSE),IFERROR(INT(MID(Metadata!E800,12,2))&lt;=23,FALSE)), OR(MID(Metadata!E800,14,1)="", AND(AND(MID(Metadata!E800,14,1)=":",IFERROR(INT(MID(Metadata!E800,15,1))&gt;=0,FALSE),IFERROR(INT(MID(Metadata!E800,15,1))&lt;=5,FALSE),NOT(MID(Metadata!E800,16,1)=""),IFERROR(INT(MID(Metadata!E800,15,2))&gt;=0,FALSE),IFERROR(INT(MID(Metadata!E800,15,2))&lt;=59,FALSE)), OR(MID(Metadata!E800,17,1)="", AND(AND(MID(Metadata!E800,17,1)=":",IFERROR(INT(MID(Metadata!E800,18,1))&gt;=0,FALSE),IFERROR(INT(MID(Metadata!E800,18,1))&lt;=5,FALSE),NOT(MID(Metadata!E800,19,1)=""),IFERROR(INT(MID(Metadata!E800,18,2))&gt;=0,FALSE),IFERROR(INT(MID(Metadata!E800,18,2))&lt;=59,FALSE)), LEN(Metadata!E800)&lt;=19)))))))))))))</f>
        <v>0</v>
      </c>
      <c r="AS800" t="b">
        <f>IF(Metadata!F800="",FALSE,TRUE)</f>
        <v>0</v>
      </c>
      <c r="AT800" t="b">
        <f>OR(AND(IF(Metadata!G800="",FALSE,TRUE),OR(EXACT(Metadata!G800,"not collected"),EXACT(Metadata!G800,"not provided"))),AND(IF(Metadata!G800="",FALSE,TRUE),OR(EXACT(Metadata!G800,"TRUE"),EXACT(Metadata!G800,"FALSE"))))</f>
        <v>0</v>
      </c>
      <c r="AU800" t="b">
        <f>OR(AND(IF(Metadata!H800="",FALSE,TRUE),OR(EXACT(Metadata!H800,"not collected"),EXACT(Metadata!H800,"not provided"),EXACT(Metadata!H800,"restricted access"))),AND(IF(Metadata!H800="",FALSE,ISNUMBER(VALUE(Metadata!H800))),Metadata!H800&gt;=-413))</f>
        <v>0</v>
      </c>
      <c r="AV800" t="b">
        <f>AND(IF(Metadata!I800="",FALSE,TRUE),EXACT(Metadata!I800,"meters"))</f>
        <v>0</v>
      </c>
      <c r="AW800" t="b">
        <f>AND(IF(Metadata!J800="",FALSE,TRUE),EXACT(Metadata!J800,"free-living"))</f>
        <v>0</v>
      </c>
      <c r="AX800" t="b">
        <f>AND(IF(Metadata!K800="",FALSE,TRUE),OR(EXACT(Metadata!K800,"saline"),EXACT(Metadata!K800,"non-saline")))</f>
        <v>0</v>
      </c>
      <c r="AY800" t="b">
        <f>AND(IF(Metadata!L800="",FALSE,TRUE),OR(EXACT(Metadata!L800,"sub-surface (non-saline)"),EXACT(Metadata!L800,"surface (non-saline)"),EXACT(Metadata!L800,"water (non-saline)"),EXACT(Metadata!L800,"soil (non-saline)"),EXACT(Metadata!L800,"aerosol (non-saline)"),EXACT(Metadata!L800,"sediment (non-saline)"),EXACT(Metadata!L800,"surface (saline)"),EXACT(Metadata!L800,"water (saline)"),EXACT(Metadata!L800,"hypersaline (saline)"),EXACT(Metadata!L800,"aerosol (saline)"),EXACT(Metadata!L800,"sediment (saline)")))</f>
        <v>0</v>
      </c>
      <c r="AZ800" t="b">
        <f>IF(Metadata!M800="",FALSE,TRUE)</f>
        <v>0</v>
      </c>
      <c r="BA800" t="b">
        <f>IF(Metadata!N800="",FALSE,TRUE)</f>
        <v>0</v>
      </c>
      <c r="BB800" t="b">
        <f>IF(Metadata!O800="",FALSE,TRUE)</f>
        <v>0</v>
      </c>
      <c r="BC800" t="b">
        <f>AND(IF(Metadata!P800="",FALSE,TRUE),OR(EXACT(Metadata!P800,"air"),EXACT(Metadata!P800,"microbial mat/biofilm"),EXACT(Metadata!P800,"misc environment"),EXACT(Metadata!P800,"sediment"),EXACT(Metadata!P800,"soil"),EXACT(Metadata!P800,"wastewater/sludge"),EXACT(Metadata!P800,"water")))</f>
        <v>0</v>
      </c>
      <c r="BD800" t="b">
        <f>IF(Metadata!Q800="",FALSE,TRUE)</f>
        <v>0</v>
      </c>
      <c r="BE800" t="b">
        <f>IF(Metadata!R800="",FALSE,TRUE)</f>
        <v>0</v>
      </c>
      <c r="BF800" t="b">
        <f>OR(AND(IF(Metadata!S800="",FALSE,TRUE),OR(EXACT(Metadata!S800,"not collected"),EXACT(Metadata!S800,"not provided"),EXACT(Metadata!S800,"restricted access"))),AND(IF(Metadata!S800="",FALSE,ISNUMBER(VALUE(Metadata!S800))),Metadata!S800&gt;=-90,Metadata!S800&lt;=90))</f>
        <v>0</v>
      </c>
      <c r="BG800" t="b">
        <f>AND(IF(Metadata!T800="",FALSE,TRUE),EXACT(Metadata!T800,"Decimal degrees"))</f>
        <v>0</v>
      </c>
      <c r="BH800" t="b">
        <f>OR(AND(IF(Metadata!U800="",FALSE,TRUE),OR(EXACT(Metadata!U800,"not applicable"),EXACT(Metadata!U800,"not collected"))),IF(Metadata!U800="",FALSE,TRUE))</f>
        <v>0</v>
      </c>
      <c r="BI800" t="b">
        <f>OR(AND(IF(Metadata!V800="",FALSE,TRUE),OR(EXACT(Metadata!V800,"not collected"),EXACT(Metadata!V800,"not provided"),EXACT(Metadata!V800,"restricted access"))),AND(IF(Metadata!V800="",FALSE,ISNUMBER(VALUE(Metadata!V800))),Metadata!V800&gt;=-180,Metadata!V800&lt;=180))</f>
        <v>0</v>
      </c>
      <c r="BJ800" t="b">
        <f>AND(IF(Metadata!W800="",FALSE,TRUE),EXACT(Metadata!W800,"Decimal degrees"))</f>
        <v>0</v>
      </c>
      <c r="BK800" t="b">
        <f>IF(Metadata!X800="",FALSE,TRUE)</f>
        <v>0</v>
      </c>
      <c r="BL800" t="b">
        <f>OR(AND(IF(Metadata!Y800="",FALSE,TRUE),OR(EXACT(Metadata!Y800,"not collected"),EXACT(Metadata!Y800,"not provided"),EXACT(Metadata!Y800,"restricted access"))),AND(IF(Metadata!Y800="",FALSE,TRUE),OR(EXACT(Metadata!Y800,"TRUE"),EXACT(Metadata!Y800,"FALSE"))))</f>
        <v>0</v>
      </c>
      <c r="BM800" t="b">
        <f>OR(AND(IF(Metadata!Z800="",FALSE,TRUE),EXACT(Metadata!Z800,"not applicable")),AND(IF(Metadata!Z800="",FALSE,TRUE),OR(EXACT(Metadata!Z800,"beer"),EXACT(Metadata!Z800,"cheese"),EXACT(Metadata!Z800,"fresh water"),EXACT(Metadata!Z800,"marine sediment"),EXACT(Metadata!Z800,"sea water"),EXACT(Metadata!Z800,"sediment"),EXACT(Metadata!Z800,"soil"),EXACT(Metadata!Z800,"waste water"))))</f>
        <v>0</v>
      </c>
      <c r="BN800" t="b">
        <f>AND(IF(Metadata!AA800="",FALSE,TRUE),EXACT(Metadata!AA800,"metagenome"))</f>
        <v>0</v>
      </c>
      <c r="BO800" t="b">
        <f>AND(IF(Metadata!AB800="",FALSE,TRUE),EXACT(Metadata!AB800,"256318"))</f>
        <v>0</v>
      </c>
      <c r="BP800" t="b">
        <f>IF(Metadata!AC800="",FALSE,TRUE)</f>
        <v>0</v>
      </c>
      <c r="BQ800" t="b">
        <f>IF(Metadata!AD800="",FALSE,TRUE)</f>
        <v>0</v>
      </c>
    </row>
    <row r="801" spans="1:69" x14ac:dyDescent="0.2">
      <c r="A801" s="4" t="e">
        <f ca="1">IF(B801=" "," ",HYPERLINK(CONCATENATE("#metadata!",ADDRESS(INDEX($AJ$2:$AJ$1001,MATCH(ROWS($AH$2:AH801),$AH$2:$AH$1001,0),0),2)),INDEX($AM$2:$AM$1001,MATCH(ROWS($AH$2:AH801),$AH$2:$AH$1001,0),0)))</f>
        <v>#N/A</v>
      </c>
      <c r="B801" s="5" t="e">
        <f ca="1">IF(OR(INDEX($AI$2:$AI$1001,MATCH(ROWS($AH$2:AH801),$AH$2:$AH$1001,0),1)&gt;=100000,INDEX($AO$1005:$BQ$1005,1,MATCH(COLUMNS($AO$1006:AO1006),$AO$1006:$BQ$1006,0))&gt;=100000), " ",IF(INDEX($AO$2:$BQ$1001,MATCH(ROWS($AH$2:AH801),$AH$2:$AH$1001,0),MATCH(COLUMNS($AO$1006:AO1006),$AO$1006:$BQ$1006,0)), HYPERLINK("#",""), HYPERLINK(CONCATENATE("#Metadata!", ADDRESS(INDEX($AJ$2:$AJ$1001,MATCH(ROWS($AH$2:AH801),$AH$2:$AH$1001,0),0), INDEX($AO$1004:$BQ$1004,1,MATCH(COLUMNS($AO$1006:AO1006),$AO$1006:$BQ$1006,0)))),"Fix")))</f>
        <v>#N/A</v>
      </c>
      <c r="C801" s="5" t="e">
        <f ca="1">IF(OR(INDEX($AI$2:$AI$1001,MATCH(ROWS($AH$2:AH801),$AH$2:$AH$1001,0),1)&gt;=100000,INDEX($AO$1005:$BQ$1005,1,MATCH(COLUMNS($AO$1006:AP1006),$AO$1006:$BQ$1006,0))&gt;=100000), " ",IF(INDEX($AO$2:$BQ$1001,MATCH(ROWS($AH$2:AH801),$AH$2:$AH$1001,0),MATCH(COLUMNS($AO$1006:AP1006),$AO$1006:$BQ$1006,0)), HYPERLINK("#",""), HYPERLINK(CONCATENATE("#Metadata!", ADDRESS(INDEX($AJ$2:$AJ$1001,MATCH(ROWS($AH$2:AH801),$AH$2:$AH$1001,0),0), INDEX($AO$1004:$BQ$1004,1,MATCH(COLUMNS($AO$1006:AP1006),$AO$1006:$BQ$1006,0)))),"Fix")))</f>
        <v>#N/A</v>
      </c>
      <c r="D801" s="5" t="e">
        <f ca="1">IF(OR(INDEX($AI$2:$AI$1001,MATCH(ROWS($AH$2:AH801),$AH$2:$AH$1001,0),1)&gt;=100000,INDEX($AO$1005:$BQ$1005,1,MATCH(COLUMNS($AO$1006:AQ1006),$AO$1006:$BQ$1006,0))&gt;=100000), " ",IF(INDEX($AO$2:$BQ$1001,MATCH(ROWS($AH$2:AH801),$AH$2:$AH$1001,0),MATCH(COLUMNS($AO$1006:AQ1006),$AO$1006:$BQ$1006,0)), HYPERLINK("#",""), HYPERLINK(CONCATENATE("#Metadata!", ADDRESS(INDEX($AJ$2:$AJ$1001,MATCH(ROWS($AH$2:AH801),$AH$2:$AH$1001,0),0), INDEX($AO$1004:$BQ$1004,1,MATCH(COLUMNS($AO$1006:AQ1006),$AO$1006:$BQ$1006,0)))),"Fix")))</f>
        <v>#N/A</v>
      </c>
      <c r="E801" s="5" t="e">
        <f ca="1">IF(OR(INDEX($AI$2:$AI$1001,MATCH(ROWS($AH$2:AH801),$AH$2:$AH$1001,0),1)&gt;=100000,INDEX($AO$1005:$BQ$1005,1,MATCH(COLUMNS($AO$1006:AR1006),$AO$1006:$BQ$1006,0))&gt;=100000), " ",IF(INDEX($AO$2:$BQ$1001,MATCH(ROWS($AH$2:AH801),$AH$2:$AH$1001,0),MATCH(COLUMNS($AO$1006:AR1006),$AO$1006:$BQ$1006,0)), HYPERLINK("#",""), HYPERLINK(CONCATENATE("#Metadata!", ADDRESS(INDEX($AJ$2:$AJ$1001,MATCH(ROWS($AH$2:AH801),$AH$2:$AH$1001,0),0), INDEX($AO$1004:$BQ$1004,1,MATCH(COLUMNS($AO$1006:AR1006),$AO$1006:$BQ$1006,0)))),"Fix")))</f>
        <v>#N/A</v>
      </c>
      <c r="F801" s="5" t="e">
        <f ca="1">IF(OR(INDEX($AI$2:$AI$1001,MATCH(ROWS($AH$2:AH801),$AH$2:$AH$1001,0),1)&gt;=100000,INDEX($AO$1005:$BQ$1005,1,MATCH(COLUMNS($AO$1006:AS1006),$AO$1006:$BQ$1006,0))&gt;=100000), " ",IF(INDEX($AO$2:$BQ$1001,MATCH(ROWS($AH$2:AH801),$AH$2:$AH$1001,0),MATCH(COLUMNS($AO$1006:AS1006),$AO$1006:$BQ$1006,0)), HYPERLINK("#",""), HYPERLINK(CONCATENATE("#Metadata!", ADDRESS(INDEX($AJ$2:$AJ$1001,MATCH(ROWS($AH$2:AH801),$AH$2:$AH$1001,0),0), INDEX($AO$1004:$BQ$1004,1,MATCH(COLUMNS($AO$1006:AS1006),$AO$1006:$BQ$1006,0)))),"Fix")))</f>
        <v>#N/A</v>
      </c>
      <c r="G801" s="5" t="e">
        <f ca="1">IF(OR(INDEX($AI$2:$AI$1001,MATCH(ROWS($AH$2:AH801),$AH$2:$AH$1001,0),1)&gt;=100000,INDEX($AO$1005:$BQ$1005,1,MATCH(COLUMNS($AO$1006:AT1006),$AO$1006:$BQ$1006,0))&gt;=100000), " ",IF(INDEX($AO$2:$BQ$1001,MATCH(ROWS($AH$2:AH801),$AH$2:$AH$1001,0),MATCH(COLUMNS($AO$1006:AT1006),$AO$1006:$BQ$1006,0)), HYPERLINK("#",""), HYPERLINK(CONCATENATE("#Metadata!", ADDRESS(INDEX($AJ$2:$AJ$1001,MATCH(ROWS($AH$2:AH801),$AH$2:$AH$1001,0),0), INDEX($AO$1004:$BQ$1004,1,MATCH(COLUMNS($AO$1006:AT1006),$AO$1006:$BQ$1006,0)))),"Fix")))</f>
        <v>#N/A</v>
      </c>
      <c r="H801" s="5" t="e">
        <f ca="1">IF(OR(INDEX($AI$2:$AI$1001,MATCH(ROWS($AH$2:AH801),$AH$2:$AH$1001,0),1)&gt;=100000,INDEX($AO$1005:$BQ$1005,1,MATCH(COLUMNS($AO$1006:AU1006),$AO$1006:$BQ$1006,0))&gt;=100000), " ",IF(INDEX($AO$2:$BQ$1001,MATCH(ROWS($AH$2:AH801),$AH$2:$AH$1001,0),MATCH(COLUMNS($AO$1006:AU1006),$AO$1006:$BQ$1006,0)), HYPERLINK("#",""), HYPERLINK(CONCATENATE("#Metadata!", ADDRESS(INDEX($AJ$2:$AJ$1001,MATCH(ROWS($AH$2:AH801),$AH$2:$AH$1001,0),0), INDEX($AO$1004:$BQ$1004,1,MATCH(COLUMNS($AO$1006:AU1006),$AO$1006:$BQ$1006,0)))),"Fix")))</f>
        <v>#N/A</v>
      </c>
      <c r="I801" s="5" t="e">
        <f ca="1">IF(OR(INDEX($AI$2:$AI$1001,MATCH(ROWS($AH$2:AH801),$AH$2:$AH$1001,0),1)&gt;=100000,INDEX($AO$1005:$BQ$1005,1,MATCH(COLUMNS($AO$1006:AV1006),$AO$1006:$BQ$1006,0))&gt;=100000), " ",IF(INDEX($AO$2:$BQ$1001,MATCH(ROWS($AH$2:AH801),$AH$2:$AH$1001,0),MATCH(COLUMNS($AO$1006:AV1006),$AO$1006:$BQ$1006,0)), HYPERLINK("#",""), HYPERLINK(CONCATENATE("#Metadata!", ADDRESS(INDEX($AJ$2:$AJ$1001,MATCH(ROWS($AH$2:AH801),$AH$2:$AH$1001,0),0), INDEX($AO$1004:$BQ$1004,1,MATCH(COLUMNS($AO$1006:AV1006),$AO$1006:$BQ$1006,0)))),"Fix")))</f>
        <v>#N/A</v>
      </c>
      <c r="J801" s="5" t="e">
        <f ca="1">IF(OR(INDEX($AI$2:$AI$1001,MATCH(ROWS($AH$2:AH801),$AH$2:$AH$1001,0),1)&gt;=100000,INDEX($AO$1005:$BQ$1005,1,MATCH(COLUMNS($AO$1006:AW1006),$AO$1006:$BQ$1006,0))&gt;=100000), " ",IF(INDEX($AO$2:$BQ$1001,MATCH(ROWS($AH$2:AH801),$AH$2:$AH$1001,0),MATCH(COLUMNS($AO$1006:AW1006),$AO$1006:$BQ$1006,0)), HYPERLINK("#",""), HYPERLINK(CONCATENATE("#Metadata!", ADDRESS(INDEX($AJ$2:$AJ$1001,MATCH(ROWS($AH$2:AH801),$AH$2:$AH$1001,0),0), INDEX($AO$1004:$BQ$1004,1,MATCH(COLUMNS($AO$1006:AW1006),$AO$1006:$BQ$1006,0)))),"Fix")))</f>
        <v>#N/A</v>
      </c>
      <c r="K801" s="5" t="e">
        <f ca="1">IF(OR(INDEX($AI$2:$AI$1001,MATCH(ROWS($AH$2:AH801),$AH$2:$AH$1001,0),1)&gt;=100000,INDEX($AO$1005:$BQ$1005,1,MATCH(COLUMNS($AO$1006:AX1006),$AO$1006:$BQ$1006,0))&gt;=100000), " ",IF(INDEX($AO$2:$BQ$1001,MATCH(ROWS($AH$2:AH801),$AH$2:$AH$1001,0),MATCH(COLUMNS($AO$1006:AX1006),$AO$1006:$BQ$1006,0)), HYPERLINK("#",""), HYPERLINK(CONCATENATE("#Metadata!", ADDRESS(INDEX($AJ$2:$AJ$1001,MATCH(ROWS($AH$2:AH801),$AH$2:$AH$1001,0),0), INDEX($AO$1004:$BQ$1004,1,MATCH(COLUMNS($AO$1006:AX1006),$AO$1006:$BQ$1006,0)))),"Fix")))</f>
        <v>#N/A</v>
      </c>
      <c r="L801" s="5" t="e">
        <f ca="1">IF(OR(INDEX($AI$2:$AI$1001,MATCH(ROWS($AH$2:AH801),$AH$2:$AH$1001,0),1)&gt;=100000,INDEX($AO$1005:$BQ$1005,1,MATCH(COLUMNS($AO$1006:AY1006),$AO$1006:$BQ$1006,0))&gt;=100000), " ",IF(INDEX($AO$2:$BQ$1001,MATCH(ROWS($AH$2:AH801),$AH$2:$AH$1001,0),MATCH(COLUMNS($AO$1006:AY1006),$AO$1006:$BQ$1006,0)), HYPERLINK("#",""), HYPERLINK(CONCATENATE("#Metadata!", ADDRESS(INDEX($AJ$2:$AJ$1001,MATCH(ROWS($AH$2:AH801),$AH$2:$AH$1001,0),0), INDEX($AO$1004:$BQ$1004,1,MATCH(COLUMNS($AO$1006:AY1006),$AO$1006:$BQ$1006,0)))),"Fix")))</f>
        <v>#N/A</v>
      </c>
      <c r="M801" s="5" t="e">
        <f ca="1">IF(OR(INDEX($AI$2:$AI$1001,MATCH(ROWS($AH$2:AH801),$AH$2:$AH$1001,0),1)&gt;=100000,INDEX($AO$1005:$BQ$1005,1,MATCH(COLUMNS($AO$1006:AZ1006),$AO$1006:$BQ$1006,0))&gt;=100000), " ",IF(INDEX($AO$2:$BQ$1001,MATCH(ROWS($AH$2:AH801),$AH$2:$AH$1001,0),MATCH(COLUMNS($AO$1006:AZ1006),$AO$1006:$BQ$1006,0)), HYPERLINK("#",""), HYPERLINK(CONCATENATE("#Metadata!", ADDRESS(INDEX($AJ$2:$AJ$1001,MATCH(ROWS($AH$2:AH801),$AH$2:$AH$1001,0),0), INDEX($AO$1004:$BQ$1004,1,MATCH(COLUMNS($AO$1006:AZ1006),$AO$1006:$BQ$1006,0)))),"Fix")))</f>
        <v>#N/A</v>
      </c>
      <c r="N801" s="5" t="e">
        <f ca="1">IF(OR(INDEX($AI$2:$AI$1001,MATCH(ROWS($AH$2:AH801),$AH$2:$AH$1001,0),1)&gt;=100000,INDEX($AO$1005:$BQ$1005,1,MATCH(COLUMNS($AO$1006:BA1006),$AO$1006:$BQ$1006,0))&gt;=100000), " ",IF(INDEX($AO$2:$BQ$1001,MATCH(ROWS($AH$2:AH801),$AH$2:$AH$1001,0),MATCH(COLUMNS($AO$1006:BA1006),$AO$1006:$BQ$1006,0)), HYPERLINK("#",""), HYPERLINK(CONCATENATE("#Metadata!", ADDRESS(INDEX($AJ$2:$AJ$1001,MATCH(ROWS($AH$2:AH801),$AH$2:$AH$1001,0),0), INDEX($AO$1004:$BQ$1004,1,MATCH(COLUMNS($AO$1006:BA1006),$AO$1006:$BQ$1006,0)))),"Fix")))</f>
        <v>#N/A</v>
      </c>
      <c r="O801" s="5" t="e">
        <f ca="1">IF(OR(INDEX($AI$2:$AI$1001,MATCH(ROWS($AH$2:AH801),$AH$2:$AH$1001,0),1)&gt;=100000,INDEX($AO$1005:$BQ$1005,1,MATCH(COLUMNS($AO$1006:BB1006),$AO$1006:$BQ$1006,0))&gt;=100000), " ",IF(INDEX($AO$2:$BQ$1001,MATCH(ROWS($AH$2:AH801),$AH$2:$AH$1001,0),MATCH(COLUMNS($AO$1006:BB1006),$AO$1006:$BQ$1006,0)), HYPERLINK("#",""), HYPERLINK(CONCATENATE("#Metadata!", ADDRESS(INDEX($AJ$2:$AJ$1001,MATCH(ROWS($AH$2:AH801),$AH$2:$AH$1001,0),0), INDEX($AO$1004:$BQ$1004,1,MATCH(COLUMNS($AO$1006:BB1006),$AO$1006:$BQ$1006,0)))),"Fix")))</f>
        <v>#N/A</v>
      </c>
      <c r="P801" s="5" t="e">
        <f ca="1">IF(OR(INDEX($AI$2:$AI$1001,MATCH(ROWS($AH$2:AH801),$AH$2:$AH$1001,0),1)&gt;=100000,INDEX($AO$1005:$BQ$1005,1,MATCH(COLUMNS($AO$1006:BC1006),$AO$1006:$BQ$1006,0))&gt;=100000), " ",IF(INDEX($AO$2:$BQ$1001,MATCH(ROWS($AH$2:AH801),$AH$2:$AH$1001,0),MATCH(COLUMNS($AO$1006:BC1006),$AO$1006:$BQ$1006,0)), HYPERLINK("#",""), HYPERLINK(CONCATENATE("#Metadata!", ADDRESS(INDEX($AJ$2:$AJ$1001,MATCH(ROWS($AH$2:AH801),$AH$2:$AH$1001,0),0), INDEX($AO$1004:$BQ$1004,1,MATCH(COLUMNS($AO$1006:BC1006),$AO$1006:$BQ$1006,0)))),"Fix")))</f>
        <v>#N/A</v>
      </c>
      <c r="Q801" s="5" t="e">
        <f ca="1">IF(OR(INDEX($AI$2:$AI$1001,MATCH(ROWS($AH$2:AH801),$AH$2:$AH$1001,0),1)&gt;=100000,INDEX($AO$1005:$BQ$1005,1,MATCH(COLUMNS($AO$1006:BD1006),$AO$1006:$BQ$1006,0))&gt;=100000), " ",IF(INDEX($AO$2:$BQ$1001,MATCH(ROWS($AH$2:AH801),$AH$2:$AH$1001,0),MATCH(COLUMNS($AO$1006:BD1006),$AO$1006:$BQ$1006,0)), HYPERLINK("#",""), HYPERLINK(CONCATENATE("#Metadata!", ADDRESS(INDEX($AJ$2:$AJ$1001,MATCH(ROWS($AH$2:AH801),$AH$2:$AH$1001,0),0), INDEX($AO$1004:$BQ$1004,1,MATCH(COLUMNS($AO$1006:BD1006),$AO$1006:$BQ$1006,0)))),"Fix")))</f>
        <v>#N/A</v>
      </c>
      <c r="R801" s="5" t="e">
        <f ca="1">IF(OR(INDEX($AI$2:$AI$1001,MATCH(ROWS($AH$2:AH801),$AH$2:$AH$1001,0),1)&gt;=100000,INDEX($AO$1005:$BQ$1005,1,MATCH(COLUMNS($AO$1006:BE1006),$AO$1006:$BQ$1006,0))&gt;=100000), " ",IF(INDEX($AO$2:$BQ$1001,MATCH(ROWS($AH$2:AH801),$AH$2:$AH$1001,0),MATCH(COLUMNS($AO$1006:BE1006),$AO$1006:$BQ$1006,0)), HYPERLINK("#",""), HYPERLINK(CONCATENATE("#Metadata!", ADDRESS(INDEX($AJ$2:$AJ$1001,MATCH(ROWS($AH$2:AH801),$AH$2:$AH$1001,0),0), INDEX($AO$1004:$BQ$1004,1,MATCH(COLUMNS($AO$1006:BE1006),$AO$1006:$BQ$1006,0)))),"Fix")))</f>
        <v>#N/A</v>
      </c>
      <c r="S801" s="5" t="e">
        <f ca="1">IF(OR(INDEX($AI$2:$AI$1001,MATCH(ROWS($AH$2:AH801),$AH$2:$AH$1001,0),1)&gt;=100000,INDEX($AO$1005:$BQ$1005,1,MATCH(COLUMNS($AO$1006:BF1006),$AO$1006:$BQ$1006,0))&gt;=100000), " ",IF(INDEX($AO$2:$BQ$1001,MATCH(ROWS($AH$2:AH801),$AH$2:$AH$1001,0),MATCH(COLUMNS($AO$1006:BF1006),$AO$1006:$BQ$1006,0)), HYPERLINK("#",""), HYPERLINK(CONCATENATE("#Metadata!", ADDRESS(INDEX($AJ$2:$AJ$1001,MATCH(ROWS($AH$2:AH801),$AH$2:$AH$1001,0),0), INDEX($AO$1004:$BQ$1004,1,MATCH(COLUMNS($AO$1006:BF1006),$AO$1006:$BQ$1006,0)))),"Fix")))</f>
        <v>#N/A</v>
      </c>
      <c r="T801" s="5" t="e">
        <f ca="1">IF(OR(INDEX($AI$2:$AI$1001,MATCH(ROWS($AH$2:AH801),$AH$2:$AH$1001,0),1)&gt;=100000,INDEX($AO$1005:$BQ$1005,1,MATCH(COLUMNS($AO$1006:BG1006),$AO$1006:$BQ$1006,0))&gt;=100000), " ",IF(INDEX($AO$2:$BQ$1001,MATCH(ROWS($AH$2:AH801),$AH$2:$AH$1001,0),MATCH(COLUMNS($AO$1006:BG1006),$AO$1006:$BQ$1006,0)), HYPERLINK("#",""), HYPERLINK(CONCATENATE("#Metadata!", ADDRESS(INDEX($AJ$2:$AJ$1001,MATCH(ROWS($AH$2:AH801),$AH$2:$AH$1001,0),0), INDEX($AO$1004:$BQ$1004,1,MATCH(COLUMNS($AO$1006:BG1006),$AO$1006:$BQ$1006,0)))),"Fix")))</f>
        <v>#N/A</v>
      </c>
      <c r="U801" s="5" t="e">
        <f ca="1">IF(OR(INDEX($AI$2:$AI$1001,MATCH(ROWS($AH$2:AH801),$AH$2:$AH$1001,0),1)&gt;=100000,INDEX($AO$1005:$BQ$1005,1,MATCH(COLUMNS($AO$1006:BH1006),$AO$1006:$BQ$1006,0))&gt;=100000), " ",IF(INDEX($AO$2:$BQ$1001,MATCH(ROWS($AH$2:AH801),$AH$2:$AH$1001,0),MATCH(COLUMNS($AO$1006:BH1006),$AO$1006:$BQ$1006,0)), HYPERLINK("#",""), HYPERLINK(CONCATENATE("#Metadata!", ADDRESS(INDEX($AJ$2:$AJ$1001,MATCH(ROWS($AH$2:AH801),$AH$2:$AH$1001,0),0), INDEX($AO$1004:$BQ$1004,1,MATCH(COLUMNS($AO$1006:BH1006),$AO$1006:$BQ$1006,0)))),"Fix")))</f>
        <v>#N/A</v>
      </c>
      <c r="V801" s="5" t="e">
        <f ca="1">IF(OR(INDEX($AI$2:$AI$1001,MATCH(ROWS($AH$2:AH801),$AH$2:$AH$1001,0),1)&gt;=100000,INDEX($AO$1005:$BQ$1005,1,MATCH(COLUMNS($AO$1006:BI1006),$AO$1006:$BQ$1006,0))&gt;=100000), " ",IF(INDEX($AO$2:$BQ$1001,MATCH(ROWS($AH$2:AH801),$AH$2:$AH$1001,0),MATCH(COLUMNS($AO$1006:BI1006),$AO$1006:$BQ$1006,0)), HYPERLINK("#",""), HYPERLINK(CONCATENATE("#Metadata!", ADDRESS(INDEX($AJ$2:$AJ$1001,MATCH(ROWS($AH$2:AH801),$AH$2:$AH$1001,0),0), INDEX($AO$1004:$BQ$1004,1,MATCH(COLUMNS($AO$1006:BI1006),$AO$1006:$BQ$1006,0)))),"Fix")))</f>
        <v>#N/A</v>
      </c>
      <c r="W801" s="5" t="e">
        <f ca="1">IF(OR(INDEX($AI$2:$AI$1001,MATCH(ROWS($AH$2:AH801),$AH$2:$AH$1001,0),1)&gt;=100000,INDEX($AO$1005:$BQ$1005,1,MATCH(COLUMNS($AO$1006:BJ1006),$AO$1006:$BQ$1006,0))&gt;=100000), " ",IF(INDEX($AO$2:$BQ$1001,MATCH(ROWS($AH$2:AH801),$AH$2:$AH$1001,0),MATCH(COLUMNS($AO$1006:BJ1006),$AO$1006:$BQ$1006,0)), HYPERLINK("#",""), HYPERLINK(CONCATENATE("#Metadata!", ADDRESS(INDEX($AJ$2:$AJ$1001,MATCH(ROWS($AH$2:AH801),$AH$2:$AH$1001,0),0), INDEX($AO$1004:$BQ$1004,1,MATCH(COLUMNS($AO$1006:BJ1006),$AO$1006:$BQ$1006,0)))),"Fix")))</f>
        <v>#N/A</v>
      </c>
      <c r="X801" s="5" t="e">
        <f ca="1">IF(OR(INDEX($AI$2:$AI$1001,MATCH(ROWS($AH$2:AH801),$AH$2:$AH$1001,0),1)&gt;=100000,INDEX($AO$1005:$BQ$1005,1,MATCH(COLUMNS($AO$1006:BK1006),$AO$1006:$BQ$1006,0))&gt;=100000), " ",IF(INDEX($AO$2:$BQ$1001,MATCH(ROWS($AH$2:AH801),$AH$2:$AH$1001,0),MATCH(COLUMNS($AO$1006:BK1006),$AO$1006:$BQ$1006,0)), HYPERLINK("#",""), HYPERLINK(CONCATENATE("#Metadata!", ADDRESS(INDEX($AJ$2:$AJ$1001,MATCH(ROWS($AH$2:AH801),$AH$2:$AH$1001,0),0), INDEX($AO$1004:$BQ$1004,1,MATCH(COLUMNS($AO$1006:BK1006),$AO$1006:$BQ$1006,0)))),"Fix")))</f>
        <v>#N/A</v>
      </c>
      <c r="Y801" s="5" t="e">
        <f ca="1">IF(OR(INDEX($AI$2:$AI$1001,MATCH(ROWS($AH$2:AH801),$AH$2:$AH$1001,0),1)&gt;=100000,INDEX($AO$1005:$BQ$1005,1,MATCH(COLUMNS($AO$1006:BL1006),$AO$1006:$BQ$1006,0))&gt;=100000), " ",IF(INDEX($AO$2:$BQ$1001,MATCH(ROWS($AH$2:AH801),$AH$2:$AH$1001,0),MATCH(COLUMNS($AO$1006:BL1006),$AO$1006:$BQ$1006,0)), HYPERLINK("#",""), HYPERLINK(CONCATENATE("#Metadata!", ADDRESS(INDEX($AJ$2:$AJ$1001,MATCH(ROWS($AH$2:AH801),$AH$2:$AH$1001,0),0), INDEX($AO$1004:$BQ$1004,1,MATCH(COLUMNS($AO$1006:BL1006),$AO$1006:$BQ$1006,0)))),"Fix")))</f>
        <v>#N/A</v>
      </c>
      <c r="Z801" s="5" t="e">
        <f ca="1">IF(OR(INDEX($AI$2:$AI$1001,MATCH(ROWS($AH$2:AH801),$AH$2:$AH$1001,0),1)&gt;=100000,INDEX($AO$1005:$BQ$1005,1,MATCH(COLUMNS($AO$1006:BM1006),$AO$1006:$BQ$1006,0))&gt;=100000), " ",IF(INDEX($AO$2:$BQ$1001,MATCH(ROWS($AH$2:AH801),$AH$2:$AH$1001,0),MATCH(COLUMNS($AO$1006:BM1006),$AO$1006:$BQ$1006,0)), HYPERLINK("#",""), HYPERLINK(CONCATENATE("#Metadata!", ADDRESS(INDEX($AJ$2:$AJ$1001,MATCH(ROWS($AH$2:AH801),$AH$2:$AH$1001,0),0), INDEX($AO$1004:$BQ$1004,1,MATCH(COLUMNS($AO$1006:BM1006),$AO$1006:$BQ$1006,0)))),"Fix")))</f>
        <v>#N/A</v>
      </c>
      <c r="AA801" s="5" t="e">
        <f ca="1">IF(OR(INDEX($AI$2:$AI$1001,MATCH(ROWS($AH$2:AH801),$AH$2:$AH$1001,0),1)&gt;=100000,INDEX($AO$1005:$BQ$1005,1,MATCH(COLUMNS($AO$1006:BN1006),$AO$1006:$BQ$1006,0))&gt;=100000), " ",IF(INDEX($AO$2:$BQ$1001,MATCH(ROWS($AH$2:AH801),$AH$2:$AH$1001,0),MATCH(COLUMNS($AO$1006:BN1006),$AO$1006:$BQ$1006,0)), HYPERLINK("#",""), HYPERLINK(CONCATENATE("#Metadata!", ADDRESS(INDEX($AJ$2:$AJ$1001,MATCH(ROWS($AH$2:AH801),$AH$2:$AH$1001,0),0), INDEX($AO$1004:$BQ$1004,1,MATCH(COLUMNS($AO$1006:BN1006),$AO$1006:$BQ$1006,0)))),"Fix")))</f>
        <v>#N/A</v>
      </c>
      <c r="AB801" s="5" t="e">
        <f ca="1">IF(OR(INDEX($AI$2:$AI$1001,MATCH(ROWS($AH$2:AH801),$AH$2:$AH$1001,0),1)&gt;=100000,INDEX($AO$1005:$BQ$1005,1,MATCH(COLUMNS($AO$1006:BO1006),$AO$1006:$BQ$1006,0))&gt;=100000), " ",IF(INDEX($AO$2:$BQ$1001,MATCH(ROWS($AH$2:AH801),$AH$2:$AH$1001,0),MATCH(COLUMNS($AO$1006:BO1006),$AO$1006:$BQ$1006,0)), HYPERLINK("#",""), HYPERLINK(CONCATENATE("#Metadata!", ADDRESS(INDEX($AJ$2:$AJ$1001,MATCH(ROWS($AH$2:AH801),$AH$2:$AH$1001,0),0), INDEX($AO$1004:$BQ$1004,1,MATCH(COLUMNS($AO$1006:BO1006),$AO$1006:$BQ$1006,0)))),"Fix")))</f>
        <v>#N/A</v>
      </c>
      <c r="AC801" s="5" t="e">
        <f ca="1">IF(OR(INDEX($AI$2:$AI$1001,MATCH(ROWS($AH$2:AH801),$AH$2:$AH$1001,0),1)&gt;=100000,INDEX($AO$1005:$BQ$1005,1,MATCH(COLUMNS($AO$1006:BP1006),$AO$1006:$BQ$1006,0))&gt;=100000), " ",IF(INDEX($AO$2:$BQ$1001,MATCH(ROWS($AH$2:AH801),$AH$2:$AH$1001,0),MATCH(COLUMNS($AO$1006:BP1006),$AO$1006:$BQ$1006,0)), HYPERLINK("#",""), HYPERLINK(CONCATENATE("#Metadata!", ADDRESS(INDEX($AJ$2:$AJ$1001,MATCH(ROWS($AH$2:AH801),$AH$2:$AH$1001,0),0), INDEX($AO$1004:$BQ$1004,1,MATCH(COLUMNS($AO$1006:BP1006),$AO$1006:$BQ$1006,0)))),"Fix")))</f>
        <v>#N/A</v>
      </c>
      <c r="AD801" s="5" t="e">
        <f ca="1">IF(OR(INDEX($AI$2:$AI$1001,MATCH(ROWS($AH$2:AH801),$AH$2:$AH$1001,0),1)&gt;=100000,INDEX($AO$1005:$BQ$1005,1,MATCH(COLUMNS($AO$1006:BQ1006),$AO$1006:$BQ$1006,0))&gt;=100000), " ",IF(INDEX($AO$2:$BQ$1001,MATCH(ROWS($AH$2:AH801),$AH$2:$AH$1001,0),MATCH(COLUMNS($AO$1006:BQ1006),$AO$1006:$BQ$1006,0)), HYPERLINK("#",""), HYPERLINK(CONCATENATE("#Metadata!", ADDRESS(INDEX($AJ$2:$AJ$1001,MATCH(ROWS($AH$2:AH801),$AH$2:$AH$1001,0),0), INDEX($AO$1004:$BQ$1004,1,MATCH(COLUMNS($AO$1006:BQ1006),$AO$1006:$BQ$1006,0)))),"Fix")))</f>
        <v>#REF!</v>
      </c>
      <c r="AH801">
        <f ca="1"/>
        <v>798</v>
      </c>
      <c r="AI801">
        <v>100801</v>
      </c>
      <c r="AJ801">
        <v>801</v>
      </c>
      <c r="AK801" t="b">
        <f t="shared" si="12"/>
        <v>1</v>
      </c>
      <c r="AL801" t="b">
        <f>COUNTBLANK(Metadata!B801:AD801)=COLUMNS(Metadata!B801:AD801)</f>
        <v>1</v>
      </c>
      <c r="AM801" t="str">
        <v/>
      </c>
      <c r="AO801" t="b">
        <f ca="1">AND(IF(Metadata!B801="",FALSE,TRUE),COUNTIF(Metadata!B:B, Metadata!B801) = 1,NOT(ISERROR(SUMPRODUCT(SEARCH(MID(Metadata!B801,ROW(INDIRECT("1:"&amp;LEN(Metadata!B801))), 1),"0123456789abcdefghijklmnopqrstuvwxyzABCDEFGHIJKLMNOPQRSTUVWXYZ.")))))</f>
        <v>0</v>
      </c>
      <c r="AP801" t="b">
        <f>IF(Metadata!C801="",FALSE,TRUE)</f>
        <v>0</v>
      </c>
      <c r="AQ801" t="b">
        <f>IF(Metadata!D801="",FALSE,TRUE)</f>
        <v>0</v>
      </c>
      <c r="AR801" t="b">
        <f ca="1">OR(AND(IF(Metadata!E801="",FALSE,TRUE),OR(EXACT(Metadata!E801,"not collected"),EXACT(Metadata!E801,"not provided"),EXACT(Metadata!E801,"restricted access"))),AND(IF(Metadata!E801="",FALSE,TRUE),AND(AND(IFERROR(INT(LEFT(Metadata!E801,4))&gt;1900,FALSE),IFERROR(INT(LEFT(Metadata!E801,4))&lt;=YEAR(NOW()),FALSE)), OR(MID(Metadata!E801,5,1)="", AND(AND(MID(Metadata!E801,5,1)="-",IFERROR(INT(MID(Metadata!E801,6,1))&gt;=0,FALSE),IFERROR(INT(MID(Metadata!E801,6,1))&lt;=1,FALSE),NOT(MID(Metadata!E801,7,1)=""),IFERROR(INT(MID(Metadata!E801,6,2))&gt;=1,FALSE),IFERROR(INT(MID(Metadata!E801,6,2))&lt;=12,FALSE)), OR(MID(Metadata!E801,8,1)="", AND(AND(MID(Metadata!E801,8,1)="-",IFERROR(INT(MID(Metadata!E801,9,1))&gt;=0,FALSE),IFERROR(INT(MID(Metadata!E801,9,1))&lt;=3,FALSE),NOT(MID(Metadata!E801,10,1)=""),IFERROR(INT(MID(Metadata!E801,9,2))&gt;=1,FALSE),IFERROR(INT(MID(Metadata!E801,9,2))&lt;=31,FALSE)), OR(MID(Metadata!E801,11,1)="", AND(AND(MID(Metadata!E801,11,1)=" ",IFERROR(INT(MID(Metadata!E801,12,1))&gt;=0,FALSE),IFERROR(INT(MID(Metadata!E801,12,1))&lt;=2,FALSE),NOT(MID(Metadata!E801,13,1)=""),IFERROR(INT(MID(Metadata!E801,12,2))&gt;=0,FALSE),IFERROR(INT(MID(Metadata!E801,12,2))&lt;=23,FALSE)), OR(MID(Metadata!E801,14,1)="", AND(AND(MID(Metadata!E801,14,1)=":",IFERROR(INT(MID(Metadata!E801,15,1))&gt;=0,FALSE),IFERROR(INT(MID(Metadata!E801,15,1))&lt;=5,FALSE),NOT(MID(Metadata!E801,16,1)=""),IFERROR(INT(MID(Metadata!E801,15,2))&gt;=0,FALSE),IFERROR(INT(MID(Metadata!E801,15,2))&lt;=59,FALSE)), OR(MID(Metadata!E801,17,1)="", AND(AND(MID(Metadata!E801,17,1)=":",IFERROR(INT(MID(Metadata!E801,18,1))&gt;=0,FALSE),IFERROR(INT(MID(Metadata!E801,18,1))&lt;=5,FALSE),NOT(MID(Metadata!E801,19,1)=""),IFERROR(INT(MID(Metadata!E801,18,2))&gt;=0,FALSE),IFERROR(INT(MID(Metadata!E801,18,2))&lt;=59,FALSE)), LEN(Metadata!E801)&lt;=19)))))))))))))</f>
        <v>0</v>
      </c>
      <c r="AS801" t="b">
        <f>IF(Metadata!F801="",FALSE,TRUE)</f>
        <v>0</v>
      </c>
      <c r="AT801" t="b">
        <f>OR(AND(IF(Metadata!G801="",FALSE,TRUE),OR(EXACT(Metadata!G801,"not collected"),EXACT(Metadata!G801,"not provided"))),AND(IF(Metadata!G801="",FALSE,TRUE),OR(EXACT(Metadata!G801,"TRUE"),EXACT(Metadata!G801,"FALSE"))))</f>
        <v>0</v>
      </c>
      <c r="AU801" t="b">
        <f>OR(AND(IF(Metadata!H801="",FALSE,TRUE),OR(EXACT(Metadata!H801,"not collected"),EXACT(Metadata!H801,"not provided"),EXACT(Metadata!H801,"restricted access"))),AND(IF(Metadata!H801="",FALSE,ISNUMBER(VALUE(Metadata!H801))),Metadata!H801&gt;=-413))</f>
        <v>0</v>
      </c>
      <c r="AV801" t="b">
        <f>AND(IF(Metadata!I801="",FALSE,TRUE),EXACT(Metadata!I801,"meters"))</f>
        <v>0</v>
      </c>
      <c r="AW801" t="b">
        <f>AND(IF(Metadata!J801="",FALSE,TRUE),EXACT(Metadata!J801,"free-living"))</f>
        <v>0</v>
      </c>
      <c r="AX801" t="b">
        <f>AND(IF(Metadata!K801="",FALSE,TRUE),OR(EXACT(Metadata!K801,"saline"),EXACT(Metadata!K801,"non-saline")))</f>
        <v>0</v>
      </c>
      <c r="AY801" t="b">
        <f>AND(IF(Metadata!L801="",FALSE,TRUE),OR(EXACT(Metadata!L801,"sub-surface (non-saline)"),EXACT(Metadata!L801,"surface (non-saline)"),EXACT(Metadata!L801,"water (non-saline)"),EXACT(Metadata!L801,"soil (non-saline)"),EXACT(Metadata!L801,"aerosol (non-saline)"),EXACT(Metadata!L801,"sediment (non-saline)"),EXACT(Metadata!L801,"surface (saline)"),EXACT(Metadata!L801,"water (saline)"),EXACT(Metadata!L801,"hypersaline (saline)"),EXACT(Metadata!L801,"aerosol (saline)"),EXACT(Metadata!L801,"sediment (saline)")))</f>
        <v>0</v>
      </c>
      <c r="AZ801" t="b">
        <f>IF(Metadata!M801="",FALSE,TRUE)</f>
        <v>0</v>
      </c>
      <c r="BA801" t="b">
        <f>IF(Metadata!N801="",FALSE,TRUE)</f>
        <v>0</v>
      </c>
      <c r="BB801" t="b">
        <f>IF(Metadata!O801="",FALSE,TRUE)</f>
        <v>0</v>
      </c>
      <c r="BC801" t="b">
        <f>AND(IF(Metadata!P801="",FALSE,TRUE),OR(EXACT(Metadata!P801,"air"),EXACT(Metadata!P801,"microbial mat/biofilm"),EXACT(Metadata!P801,"misc environment"),EXACT(Metadata!P801,"sediment"),EXACT(Metadata!P801,"soil"),EXACT(Metadata!P801,"wastewater/sludge"),EXACT(Metadata!P801,"water")))</f>
        <v>0</v>
      </c>
      <c r="BD801" t="b">
        <f>IF(Metadata!Q801="",FALSE,TRUE)</f>
        <v>0</v>
      </c>
      <c r="BE801" t="b">
        <f>IF(Metadata!R801="",FALSE,TRUE)</f>
        <v>0</v>
      </c>
      <c r="BF801" t="b">
        <f>OR(AND(IF(Metadata!S801="",FALSE,TRUE),OR(EXACT(Metadata!S801,"not collected"),EXACT(Metadata!S801,"not provided"),EXACT(Metadata!S801,"restricted access"))),AND(IF(Metadata!S801="",FALSE,ISNUMBER(VALUE(Metadata!S801))),Metadata!S801&gt;=-90,Metadata!S801&lt;=90))</f>
        <v>0</v>
      </c>
      <c r="BG801" t="b">
        <f>AND(IF(Metadata!T801="",FALSE,TRUE),EXACT(Metadata!T801,"Decimal degrees"))</f>
        <v>0</v>
      </c>
      <c r="BH801" t="b">
        <f>OR(AND(IF(Metadata!U801="",FALSE,TRUE),OR(EXACT(Metadata!U801,"not applicable"),EXACT(Metadata!U801,"not collected"))),IF(Metadata!U801="",FALSE,TRUE))</f>
        <v>0</v>
      </c>
      <c r="BI801" t="b">
        <f>OR(AND(IF(Metadata!V801="",FALSE,TRUE),OR(EXACT(Metadata!V801,"not collected"),EXACT(Metadata!V801,"not provided"),EXACT(Metadata!V801,"restricted access"))),AND(IF(Metadata!V801="",FALSE,ISNUMBER(VALUE(Metadata!V801))),Metadata!V801&gt;=-180,Metadata!V801&lt;=180))</f>
        <v>0</v>
      </c>
      <c r="BJ801" t="b">
        <f>AND(IF(Metadata!W801="",FALSE,TRUE),EXACT(Metadata!W801,"Decimal degrees"))</f>
        <v>0</v>
      </c>
      <c r="BK801" t="b">
        <f>IF(Metadata!X801="",FALSE,TRUE)</f>
        <v>0</v>
      </c>
      <c r="BL801" t="b">
        <f>OR(AND(IF(Metadata!Y801="",FALSE,TRUE),OR(EXACT(Metadata!Y801,"not collected"),EXACT(Metadata!Y801,"not provided"),EXACT(Metadata!Y801,"restricted access"))),AND(IF(Metadata!Y801="",FALSE,TRUE),OR(EXACT(Metadata!Y801,"TRUE"),EXACT(Metadata!Y801,"FALSE"))))</f>
        <v>0</v>
      </c>
      <c r="BM801" t="b">
        <f>OR(AND(IF(Metadata!Z801="",FALSE,TRUE),EXACT(Metadata!Z801,"not applicable")),AND(IF(Metadata!Z801="",FALSE,TRUE),OR(EXACT(Metadata!Z801,"beer"),EXACT(Metadata!Z801,"cheese"),EXACT(Metadata!Z801,"fresh water"),EXACT(Metadata!Z801,"marine sediment"),EXACT(Metadata!Z801,"sea water"),EXACT(Metadata!Z801,"sediment"),EXACT(Metadata!Z801,"soil"),EXACT(Metadata!Z801,"waste water"))))</f>
        <v>0</v>
      </c>
      <c r="BN801" t="b">
        <f>AND(IF(Metadata!AA801="",FALSE,TRUE),EXACT(Metadata!AA801,"metagenome"))</f>
        <v>0</v>
      </c>
      <c r="BO801" t="b">
        <f>AND(IF(Metadata!AB801="",FALSE,TRUE),EXACT(Metadata!AB801,"256318"))</f>
        <v>0</v>
      </c>
      <c r="BP801" t="b">
        <f>IF(Metadata!AC801="",FALSE,TRUE)</f>
        <v>0</v>
      </c>
      <c r="BQ801" t="b">
        <f>IF(Metadata!AD801="",FALSE,TRUE)</f>
        <v>0</v>
      </c>
    </row>
    <row r="802" spans="1:69" x14ac:dyDescent="0.2">
      <c r="A802" s="4" t="e">
        <f ca="1">IF(B802=" "," ",HYPERLINK(CONCATENATE("#metadata!",ADDRESS(INDEX($AJ$2:$AJ$1001,MATCH(ROWS($AH$2:AH802),$AH$2:$AH$1001,0),0),2)),INDEX($AM$2:$AM$1001,MATCH(ROWS($AH$2:AH802),$AH$2:$AH$1001,0),0)))</f>
        <v>#N/A</v>
      </c>
      <c r="B802" s="5" t="e">
        <f ca="1">IF(OR(INDEX($AI$2:$AI$1001,MATCH(ROWS($AH$2:AH802),$AH$2:$AH$1001,0),1)&gt;=100000,INDEX($AO$1005:$BQ$1005,1,MATCH(COLUMNS($AO$1006:AO1006),$AO$1006:$BQ$1006,0))&gt;=100000), " ",IF(INDEX($AO$2:$BQ$1001,MATCH(ROWS($AH$2:AH802),$AH$2:$AH$1001,0),MATCH(COLUMNS($AO$1006:AO1006),$AO$1006:$BQ$1006,0)), HYPERLINK("#",""), HYPERLINK(CONCATENATE("#Metadata!", ADDRESS(INDEX($AJ$2:$AJ$1001,MATCH(ROWS($AH$2:AH802),$AH$2:$AH$1001,0),0), INDEX($AO$1004:$BQ$1004,1,MATCH(COLUMNS($AO$1006:AO1006),$AO$1006:$BQ$1006,0)))),"Fix")))</f>
        <v>#N/A</v>
      </c>
      <c r="C802" s="5" t="e">
        <f ca="1">IF(OR(INDEX($AI$2:$AI$1001,MATCH(ROWS($AH$2:AH802),$AH$2:$AH$1001,0),1)&gt;=100000,INDEX($AO$1005:$BQ$1005,1,MATCH(COLUMNS($AO$1006:AP1006),$AO$1006:$BQ$1006,0))&gt;=100000), " ",IF(INDEX($AO$2:$BQ$1001,MATCH(ROWS($AH$2:AH802),$AH$2:$AH$1001,0),MATCH(COLUMNS($AO$1006:AP1006),$AO$1006:$BQ$1006,0)), HYPERLINK("#",""), HYPERLINK(CONCATENATE("#Metadata!", ADDRESS(INDEX($AJ$2:$AJ$1001,MATCH(ROWS($AH$2:AH802),$AH$2:$AH$1001,0),0), INDEX($AO$1004:$BQ$1004,1,MATCH(COLUMNS($AO$1006:AP1006),$AO$1006:$BQ$1006,0)))),"Fix")))</f>
        <v>#N/A</v>
      </c>
      <c r="D802" s="5" t="e">
        <f ca="1">IF(OR(INDEX($AI$2:$AI$1001,MATCH(ROWS($AH$2:AH802),$AH$2:$AH$1001,0),1)&gt;=100000,INDEX($AO$1005:$BQ$1005,1,MATCH(COLUMNS($AO$1006:AQ1006),$AO$1006:$BQ$1006,0))&gt;=100000), " ",IF(INDEX($AO$2:$BQ$1001,MATCH(ROWS($AH$2:AH802),$AH$2:$AH$1001,0),MATCH(COLUMNS($AO$1006:AQ1006),$AO$1006:$BQ$1006,0)), HYPERLINK("#",""), HYPERLINK(CONCATENATE("#Metadata!", ADDRESS(INDEX($AJ$2:$AJ$1001,MATCH(ROWS($AH$2:AH802),$AH$2:$AH$1001,0),0), INDEX($AO$1004:$BQ$1004,1,MATCH(COLUMNS($AO$1006:AQ1006),$AO$1006:$BQ$1006,0)))),"Fix")))</f>
        <v>#N/A</v>
      </c>
      <c r="E802" s="5" t="e">
        <f ca="1">IF(OR(INDEX($AI$2:$AI$1001,MATCH(ROWS($AH$2:AH802),$AH$2:$AH$1001,0),1)&gt;=100000,INDEX($AO$1005:$BQ$1005,1,MATCH(COLUMNS($AO$1006:AR1006),$AO$1006:$BQ$1006,0))&gt;=100000), " ",IF(INDEX($AO$2:$BQ$1001,MATCH(ROWS($AH$2:AH802),$AH$2:$AH$1001,0),MATCH(COLUMNS($AO$1006:AR1006),$AO$1006:$BQ$1006,0)), HYPERLINK("#",""), HYPERLINK(CONCATENATE("#Metadata!", ADDRESS(INDEX($AJ$2:$AJ$1001,MATCH(ROWS($AH$2:AH802),$AH$2:$AH$1001,0),0), INDEX($AO$1004:$BQ$1004,1,MATCH(COLUMNS($AO$1006:AR1006),$AO$1006:$BQ$1006,0)))),"Fix")))</f>
        <v>#N/A</v>
      </c>
      <c r="F802" s="5" t="e">
        <f ca="1">IF(OR(INDEX($AI$2:$AI$1001,MATCH(ROWS($AH$2:AH802),$AH$2:$AH$1001,0),1)&gt;=100000,INDEX($AO$1005:$BQ$1005,1,MATCH(COLUMNS($AO$1006:AS1006),$AO$1006:$BQ$1006,0))&gt;=100000), " ",IF(INDEX($AO$2:$BQ$1001,MATCH(ROWS($AH$2:AH802),$AH$2:$AH$1001,0),MATCH(COLUMNS($AO$1006:AS1006),$AO$1006:$BQ$1006,0)), HYPERLINK("#",""), HYPERLINK(CONCATENATE("#Metadata!", ADDRESS(INDEX($AJ$2:$AJ$1001,MATCH(ROWS($AH$2:AH802),$AH$2:$AH$1001,0),0), INDEX($AO$1004:$BQ$1004,1,MATCH(COLUMNS($AO$1006:AS1006),$AO$1006:$BQ$1006,0)))),"Fix")))</f>
        <v>#N/A</v>
      </c>
      <c r="G802" s="5" t="e">
        <f ca="1">IF(OR(INDEX($AI$2:$AI$1001,MATCH(ROWS($AH$2:AH802),$AH$2:$AH$1001,0),1)&gt;=100000,INDEX($AO$1005:$BQ$1005,1,MATCH(COLUMNS($AO$1006:AT1006),$AO$1006:$BQ$1006,0))&gt;=100000), " ",IF(INDEX($AO$2:$BQ$1001,MATCH(ROWS($AH$2:AH802),$AH$2:$AH$1001,0),MATCH(COLUMNS($AO$1006:AT1006),$AO$1006:$BQ$1006,0)), HYPERLINK("#",""), HYPERLINK(CONCATENATE("#Metadata!", ADDRESS(INDEX($AJ$2:$AJ$1001,MATCH(ROWS($AH$2:AH802),$AH$2:$AH$1001,0),0), INDEX($AO$1004:$BQ$1004,1,MATCH(COLUMNS($AO$1006:AT1006),$AO$1006:$BQ$1006,0)))),"Fix")))</f>
        <v>#N/A</v>
      </c>
      <c r="H802" s="5" t="e">
        <f ca="1">IF(OR(INDEX($AI$2:$AI$1001,MATCH(ROWS($AH$2:AH802),$AH$2:$AH$1001,0),1)&gt;=100000,INDEX($AO$1005:$BQ$1005,1,MATCH(COLUMNS($AO$1006:AU1006),$AO$1006:$BQ$1006,0))&gt;=100000), " ",IF(INDEX($AO$2:$BQ$1001,MATCH(ROWS($AH$2:AH802),$AH$2:$AH$1001,0),MATCH(COLUMNS($AO$1006:AU1006),$AO$1006:$BQ$1006,0)), HYPERLINK("#",""), HYPERLINK(CONCATENATE("#Metadata!", ADDRESS(INDEX($AJ$2:$AJ$1001,MATCH(ROWS($AH$2:AH802),$AH$2:$AH$1001,0),0), INDEX($AO$1004:$BQ$1004,1,MATCH(COLUMNS($AO$1006:AU1006),$AO$1006:$BQ$1006,0)))),"Fix")))</f>
        <v>#N/A</v>
      </c>
      <c r="I802" s="5" t="e">
        <f ca="1">IF(OR(INDEX($AI$2:$AI$1001,MATCH(ROWS($AH$2:AH802),$AH$2:$AH$1001,0),1)&gt;=100000,INDEX($AO$1005:$BQ$1005,1,MATCH(COLUMNS($AO$1006:AV1006),$AO$1006:$BQ$1006,0))&gt;=100000), " ",IF(INDEX($AO$2:$BQ$1001,MATCH(ROWS($AH$2:AH802),$AH$2:$AH$1001,0),MATCH(COLUMNS($AO$1006:AV1006),$AO$1006:$BQ$1006,0)), HYPERLINK("#",""), HYPERLINK(CONCATENATE("#Metadata!", ADDRESS(INDEX($AJ$2:$AJ$1001,MATCH(ROWS($AH$2:AH802),$AH$2:$AH$1001,0),0), INDEX($AO$1004:$BQ$1004,1,MATCH(COLUMNS($AO$1006:AV1006),$AO$1006:$BQ$1006,0)))),"Fix")))</f>
        <v>#N/A</v>
      </c>
      <c r="J802" s="5" t="e">
        <f ca="1">IF(OR(INDEX($AI$2:$AI$1001,MATCH(ROWS($AH$2:AH802),$AH$2:$AH$1001,0),1)&gt;=100000,INDEX($AO$1005:$BQ$1005,1,MATCH(COLUMNS($AO$1006:AW1006),$AO$1006:$BQ$1006,0))&gt;=100000), " ",IF(INDEX($AO$2:$BQ$1001,MATCH(ROWS($AH$2:AH802),$AH$2:$AH$1001,0),MATCH(COLUMNS($AO$1006:AW1006),$AO$1006:$BQ$1006,0)), HYPERLINK("#",""), HYPERLINK(CONCATENATE("#Metadata!", ADDRESS(INDEX($AJ$2:$AJ$1001,MATCH(ROWS($AH$2:AH802),$AH$2:$AH$1001,0),0), INDEX($AO$1004:$BQ$1004,1,MATCH(COLUMNS($AO$1006:AW1006),$AO$1006:$BQ$1006,0)))),"Fix")))</f>
        <v>#N/A</v>
      </c>
      <c r="K802" s="5" t="e">
        <f ca="1">IF(OR(INDEX($AI$2:$AI$1001,MATCH(ROWS($AH$2:AH802),$AH$2:$AH$1001,0),1)&gt;=100000,INDEX($AO$1005:$BQ$1005,1,MATCH(COLUMNS($AO$1006:AX1006),$AO$1006:$BQ$1006,0))&gt;=100000), " ",IF(INDEX($AO$2:$BQ$1001,MATCH(ROWS($AH$2:AH802),$AH$2:$AH$1001,0),MATCH(COLUMNS($AO$1006:AX1006),$AO$1006:$BQ$1006,0)), HYPERLINK("#",""), HYPERLINK(CONCATENATE("#Metadata!", ADDRESS(INDEX($AJ$2:$AJ$1001,MATCH(ROWS($AH$2:AH802),$AH$2:$AH$1001,0),0), INDEX($AO$1004:$BQ$1004,1,MATCH(COLUMNS($AO$1006:AX1006),$AO$1006:$BQ$1006,0)))),"Fix")))</f>
        <v>#N/A</v>
      </c>
      <c r="L802" s="5" t="e">
        <f ca="1">IF(OR(INDEX($AI$2:$AI$1001,MATCH(ROWS($AH$2:AH802),$AH$2:$AH$1001,0),1)&gt;=100000,INDEX($AO$1005:$BQ$1005,1,MATCH(COLUMNS($AO$1006:AY1006),$AO$1006:$BQ$1006,0))&gt;=100000), " ",IF(INDEX($AO$2:$BQ$1001,MATCH(ROWS($AH$2:AH802),$AH$2:$AH$1001,0),MATCH(COLUMNS($AO$1006:AY1006),$AO$1006:$BQ$1006,0)), HYPERLINK("#",""), HYPERLINK(CONCATENATE("#Metadata!", ADDRESS(INDEX($AJ$2:$AJ$1001,MATCH(ROWS($AH$2:AH802),$AH$2:$AH$1001,0),0), INDEX($AO$1004:$BQ$1004,1,MATCH(COLUMNS($AO$1006:AY1006),$AO$1006:$BQ$1006,0)))),"Fix")))</f>
        <v>#N/A</v>
      </c>
      <c r="M802" s="5" t="e">
        <f ca="1">IF(OR(INDEX($AI$2:$AI$1001,MATCH(ROWS($AH$2:AH802),$AH$2:$AH$1001,0),1)&gt;=100000,INDEX($AO$1005:$BQ$1005,1,MATCH(COLUMNS($AO$1006:AZ1006),$AO$1006:$BQ$1006,0))&gt;=100000), " ",IF(INDEX($AO$2:$BQ$1001,MATCH(ROWS($AH$2:AH802),$AH$2:$AH$1001,0),MATCH(COLUMNS($AO$1006:AZ1006),$AO$1006:$BQ$1006,0)), HYPERLINK("#",""), HYPERLINK(CONCATENATE("#Metadata!", ADDRESS(INDEX($AJ$2:$AJ$1001,MATCH(ROWS($AH$2:AH802),$AH$2:$AH$1001,0),0), INDEX($AO$1004:$BQ$1004,1,MATCH(COLUMNS($AO$1006:AZ1006),$AO$1006:$BQ$1006,0)))),"Fix")))</f>
        <v>#N/A</v>
      </c>
      <c r="N802" s="5" t="e">
        <f ca="1">IF(OR(INDEX($AI$2:$AI$1001,MATCH(ROWS($AH$2:AH802),$AH$2:$AH$1001,0),1)&gt;=100000,INDEX($AO$1005:$BQ$1005,1,MATCH(COLUMNS($AO$1006:BA1006),$AO$1006:$BQ$1006,0))&gt;=100000), " ",IF(INDEX($AO$2:$BQ$1001,MATCH(ROWS($AH$2:AH802),$AH$2:$AH$1001,0),MATCH(COLUMNS($AO$1006:BA1006),$AO$1006:$BQ$1006,0)), HYPERLINK("#",""), HYPERLINK(CONCATENATE("#Metadata!", ADDRESS(INDEX($AJ$2:$AJ$1001,MATCH(ROWS($AH$2:AH802),$AH$2:$AH$1001,0),0), INDEX($AO$1004:$BQ$1004,1,MATCH(COLUMNS($AO$1006:BA1006),$AO$1006:$BQ$1006,0)))),"Fix")))</f>
        <v>#N/A</v>
      </c>
      <c r="O802" s="5" t="e">
        <f ca="1">IF(OR(INDEX($AI$2:$AI$1001,MATCH(ROWS($AH$2:AH802),$AH$2:$AH$1001,0),1)&gt;=100000,INDEX($AO$1005:$BQ$1005,1,MATCH(COLUMNS($AO$1006:BB1006),$AO$1006:$BQ$1006,0))&gt;=100000), " ",IF(INDEX($AO$2:$BQ$1001,MATCH(ROWS($AH$2:AH802),$AH$2:$AH$1001,0),MATCH(COLUMNS($AO$1006:BB1006),$AO$1006:$BQ$1006,0)), HYPERLINK("#",""), HYPERLINK(CONCATENATE("#Metadata!", ADDRESS(INDEX($AJ$2:$AJ$1001,MATCH(ROWS($AH$2:AH802),$AH$2:$AH$1001,0),0), INDEX($AO$1004:$BQ$1004,1,MATCH(COLUMNS($AO$1006:BB1006),$AO$1006:$BQ$1006,0)))),"Fix")))</f>
        <v>#N/A</v>
      </c>
      <c r="P802" s="5" t="e">
        <f ca="1">IF(OR(INDEX($AI$2:$AI$1001,MATCH(ROWS($AH$2:AH802),$AH$2:$AH$1001,0),1)&gt;=100000,INDEX($AO$1005:$BQ$1005,1,MATCH(COLUMNS($AO$1006:BC1006),$AO$1006:$BQ$1006,0))&gt;=100000), " ",IF(INDEX($AO$2:$BQ$1001,MATCH(ROWS($AH$2:AH802),$AH$2:$AH$1001,0),MATCH(COLUMNS($AO$1006:BC1006),$AO$1006:$BQ$1006,0)), HYPERLINK("#",""), HYPERLINK(CONCATENATE("#Metadata!", ADDRESS(INDEX($AJ$2:$AJ$1001,MATCH(ROWS($AH$2:AH802),$AH$2:$AH$1001,0),0), INDEX($AO$1004:$BQ$1004,1,MATCH(COLUMNS($AO$1006:BC1006),$AO$1006:$BQ$1006,0)))),"Fix")))</f>
        <v>#N/A</v>
      </c>
      <c r="Q802" s="5" t="e">
        <f ca="1">IF(OR(INDEX($AI$2:$AI$1001,MATCH(ROWS($AH$2:AH802),$AH$2:$AH$1001,0),1)&gt;=100000,INDEX($AO$1005:$BQ$1005,1,MATCH(COLUMNS($AO$1006:BD1006),$AO$1006:$BQ$1006,0))&gt;=100000), " ",IF(INDEX($AO$2:$BQ$1001,MATCH(ROWS($AH$2:AH802),$AH$2:$AH$1001,0),MATCH(COLUMNS($AO$1006:BD1006),$AO$1006:$BQ$1006,0)), HYPERLINK("#",""), HYPERLINK(CONCATENATE("#Metadata!", ADDRESS(INDEX($AJ$2:$AJ$1001,MATCH(ROWS($AH$2:AH802),$AH$2:$AH$1001,0),0), INDEX($AO$1004:$BQ$1004,1,MATCH(COLUMNS($AO$1006:BD1006),$AO$1006:$BQ$1006,0)))),"Fix")))</f>
        <v>#N/A</v>
      </c>
      <c r="R802" s="5" t="e">
        <f ca="1">IF(OR(INDEX($AI$2:$AI$1001,MATCH(ROWS($AH$2:AH802),$AH$2:$AH$1001,0),1)&gt;=100000,INDEX($AO$1005:$BQ$1005,1,MATCH(COLUMNS($AO$1006:BE1006),$AO$1006:$BQ$1006,0))&gt;=100000), " ",IF(INDEX($AO$2:$BQ$1001,MATCH(ROWS($AH$2:AH802),$AH$2:$AH$1001,0),MATCH(COLUMNS($AO$1006:BE1006),$AO$1006:$BQ$1006,0)), HYPERLINK("#",""), HYPERLINK(CONCATENATE("#Metadata!", ADDRESS(INDEX($AJ$2:$AJ$1001,MATCH(ROWS($AH$2:AH802),$AH$2:$AH$1001,0),0), INDEX($AO$1004:$BQ$1004,1,MATCH(COLUMNS($AO$1006:BE1006),$AO$1006:$BQ$1006,0)))),"Fix")))</f>
        <v>#N/A</v>
      </c>
      <c r="S802" s="5" t="e">
        <f ca="1">IF(OR(INDEX($AI$2:$AI$1001,MATCH(ROWS($AH$2:AH802),$AH$2:$AH$1001,0),1)&gt;=100000,INDEX($AO$1005:$BQ$1005,1,MATCH(COLUMNS($AO$1006:BF1006),$AO$1006:$BQ$1006,0))&gt;=100000), " ",IF(INDEX($AO$2:$BQ$1001,MATCH(ROWS($AH$2:AH802),$AH$2:$AH$1001,0),MATCH(COLUMNS($AO$1006:BF1006),$AO$1006:$BQ$1006,0)), HYPERLINK("#",""), HYPERLINK(CONCATENATE("#Metadata!", ADDRESS(INDEX($AJ$2:$AJ$1001,MATCH(ROWS($AH$2:AH802),$AH$2:$AH$1001,0),0), INDEX($AO$1004:$BQ$1004,1,MATCH(COLUMNS($AO$1006:BF1006),$AO$1006:$BQ$1006,0)))),"Fix")))</f>
        <v>#N/A</v>
      </c>
      <c r="T802" s="5" t="e">
        <f ca="1">IF(OR(INDEX($AI$2:$AI$1001,MATCH(ROWS($AH$2:AH802),$AH$2:$AH$1001,0),1)&gt;=100000,INDEX($AO$1005:$BQ$1005,1,MATCH(COLUMNS($AO$1006:BG1006),$AO$1006:$BQ$1006,0))&gt;=100000), " ",IF(INDEX($AO$2:$BQ$1001,MATCH(ROWS($AH$2:AH802),$AH$2:$AH$1001,0),MATCH(COLUMNS($AO$1006:BG1006),$AO$1006:$BQ$1006,0)), HYPERLINK("#",""), HYPERLINK(CONCATENATE("#Metadata!", ADDRESS(INDEX($AJ$2:$AJ$1001,MATCH(ROWS($AH$2:AH802),$AH$2:$AH$1001,0),0), INDEX($AO$1004:$BQ$1004,1,MATCH(COLUMNS($AO$1006:BG1006),$AO$1006:$BQ$1006,0)))),"Fix")))</f>
        <v>#N/A</v>
      </c>
      <c r="U802" s="5" t="e">
        <f ca="1">IF(OR(INDEX($AI$2:$AI$1001,MATCH(ROWS($AH$2:AH802),$AH$2:$AH$1001,0),1)&gt;=100000,INDEX($AO$1005:$BQ$1005,1,MATCH(COLUMNS($AO$1006:BH1006),$AO$1006:$BQ$1006,0))&gt;=100000), " ",IF(INDEX($AO$2:$BQ$1001,MATCH(ROWS($AH$2:AH802),$AH$2:$AH$1001,0),MATCH(COLUMNS($AO$1006:BH1006),$AO$1006:$BQ$1006,0)), HYPERLINK("#",""), HYPERLINK(CONCATENATE("#Metadata!", ADDRESS(INDEX($AJ$2:$AJ$1001,MATCH(ROWS($AH$2:AH802),$AH$2:$AH$1001,0),0), INDEX($AO$1004:$BQ$1004,1,MATCH(COLUMNS($AO$1006:BH1006),$AO$1006:$BQ$1006,0)))),"Fix")))</f>
        <v>#N/A</v>
      </c>
      <c r="V802" s="5" t="e">
        <f ca="1">IF(OR(INDEX($AI$2:$AI$1001,MATCH(ROWS($AH$2:AH802),$AH$2:$AH$1001,0),1)&gt;=100000,INDEX($AO$1005:$BQ$1005,1,MATCH(COLUMNS($AO$1006:BI1006),$AO$1006:$BQ$1006,0))&gt;=100000), " ",IF(INDEX($AO$2:$BQ$1001,MATCH(ROWS($AH$2:AH802),$AH$2:$AH$1001,0),MATCH(COLUMNS($AO$1006:BI1006),$AO$1006:$BQ$1006,0)), HYPERLINK("#",""), HYPERLINK(CONCATENATE("#Metadata!", ADDRESS(INDEX($AJ$2:$AJ$1001,MATCH(ROWS($AH$2:AH802),$AH$2:$AH$1001,0),0), INDEX($AO$1004:$BQ$1004,1,MATCH(COLUMNS($AO$1006:BI1006),$AO$1006:$BQ$1006,0)))),"Fix")))</f>
        <v>#N/A</v>
      </c>
      <c r="W802" s="5" t="e">
        <f ca="1">IF(OR(INDEX($AI$2:$AI$1001,MATCH(ROWS($AH$2:AH802),$AH$2:$AH$1001,0),1)&gt;=100000,INDEX($AO$1005:$BQ$1005,1,MATCH(COLUMNS($AO$1006:BJ1006),$AO$1006:$BQ$1006,0))&gt;=100000), " ",IF(INDEX($AO$2:$BQ$1001,MATCH(ROWS($AH$2:AH802),$AH$2:$AH$1001,0),MATCH(COLUMNS($AO$1006:BJ1006),$AO$1006:$BQ$1006,0)), HYPERLINK("#",""), HYPERLINK(CONCATENATE("#Metadata!", ADDRESS(INDEX($AJ$2:$AJ$1001,MATCH(ROWS($AH$2:AH802),$AH$2:$AH$1001,0),0), INDEX($AO$1004:$BQ$1004,1,MATCH(COLUMNS($AO$1006:BJ1006),$AO$1006:$BQ$1006,0)))),"Fix")))</f>
        <v>#N/A</v>
      </c>
      <c r="X802" s="5" t="e">
        <f ca="1">IF(OR(INDEX($AI$2:$AI$1001,MATCH(ROWS($AH$2:AH802),$AH$2:$AH$1001,0),1)&gt;=100000,INDEX($AO$1005:$BQ$1005,1,MATCH(COLUMNS($AO$1006:BK1006),$AO$1006:$BQ$1006,0))&gt;=100000), " ",IF(INDEX($AO$2:$BQ$1001,MATCH(ROWS($AH$2:AH802),$AH$2:$AH$1001,0),MATCH(COLUMNS($AO$1006:BK1006),$AO$1006:$BQ$1006,0)), HYPERLINK("#",""), HYPERLINK(CONCATENATE("#Metadata!", ADDRESS(INDEX($AJ$2:$AJ$1001,MATCH(ROWS($AH$2:AH802),$AH$2:$AH$1001,0),0), INDEX($AO$1004:$BQ$1004,1,MATCH(COLUMNS($AO$1006:BK1006),$AO$1006:$BQ$1006,0)))),"Fix")))</f>
        <v>#N/A</v>
      </c>
      <c r="Y802" s="5" t="e">
        <f ca="1">IF(OR(INDEX($AI$2:$AI$1001,MATCH(ROWS($AH$2:AH802),$AH$2:$AH$1001,0),1)&gt;=100000,INDEX($AO$1005:$BQ$1005,1,MATCH(COLUMNS($AO$1006:BL1006),$AO$1006:$BQ$1006,0))&gt;=100000), " ",IF(INDEX($AO$2:$BQ$1001,MATCH(ROWS($AH$2:AH802),$AH$2:$AH$1001,0),MATCH(COLUMNS($AO$1006:BL1006),$AO$1006:$BQ$1006,0)), HYPERLINK("#",""), HYPERLINK(CONCATENATE("#Metadata!", ADDRESS(INDEX($AJ$2:$AJ$1001,MATCH(ROWS($AH$2:AH802),$AH$2:$AH$1001,0),0), INDEX($AO$1004:$BQ$1004,1,MATCH(COLUMNS($AO$1006:BL1006),$AO$1006:$BQ$1006,0)))),"Fix")))</f>
        <v>#N/A</v>
      </c>
      <c r="Z802" s="5" t="e">
        <f ca="1">IF(OR(INDEX($AI$2:$AI$1001,MATCH(ROWS($AH$2:AH802),$AH$2:$AH$1001,0),1)&gt;=100000,INDEX($AO$1005:$BQ$1005,1,MATCH(COLUMNS($AO$1006:BM1006),$AO$1006:$BQ$1006,0))&gt;=100000), " ",IF(INDEX($AO$2:$BQ$1001,MATCH(ROWS($AH$2:AH802),$AH$2:$AH$1001,0),MATCH(COLUMNS($AO$1006:BM1006),$AO$1006:$BQ$1006,0)), HYPERLINK("#",""), HYPERLINK(CONCATENATE("#Metadata!", ADDRESS(INDEX($AJ$2:$AJ$1001,MATCH(ROWS($AH$2:AH802),$AH$2:$AH$1001,0),0), INDEX($AO$1004:$BQ$1004,1,MATCH(COLUMNS($AO$1006:BM1006),$AO$1006:$BQ$1006,0)))),"Fix")))</f>
        <v>#N/A</v>
      </c>
      <c r="AA802" s="5" t="e">
        <f ca="1">IF(OR(INDEX($AI$2:$AI$1001,MATCH(ROWS($AH$2:AH802),$AH$2:$AH$1001,0),1)&gt;=100000,INDEX($AO$1005:$BQ$1005,1,MATCH(COLUMNS($AO$1006:BN1006),$AO$1006:$BQ$1006,0))&gt;=100000), " ",IF(INDEX($AO$2:$BQ$1001,MATCH(ROWS($AH$2:AH802),$AH$2:$AH$1001,0),MATCH(COLUMNS($AO$1006:BN1006),$AO$1006:$BQ$1006,0)), HYPERLINK("#",""), HYPERLINK(CONCATENATE("#Metadata!", ADDRESS(INDEX($AJ$2:$AJ$1001,MATCH(ROWS($AH$2:AH802),$AH$2:$AH$1001,0),0), INDEX($AO$1004:$BQ$1004,1,MATCH(COLUMNS($AO$1006:BN1006),$AO$1006:$BQ$1006,0)))),"Fix")))</f>
        <v>#N/A</v>
      </c>
      <c r="AB802" s="5" t="e">
        <f ca="1">IF(OR(INDEX($AI$2:$AI$1001,MATCH(ROWS($AH$2:AH802),$AH$2:$AH$1001,0),1)&gt;=100000,INDEX($AO$1005:$BQ$1005,1,MATCH(COLUMNS($AO$1006:BO1006),$AO$1006:$BQ$1006,0))&gt;=100000), " ",IF(INDEX($AO$2:$BQ$1001,MATCH(ROWS($AH$2:AH802),$AH$2:$AH$1001,0),MATCH(COLUMNS($AO$1006:BO1006),$AO$1006:$BQ$1006,0)), HYPERLINK("#",""), HYPERLINK(CONCATENATE("#Metadata!", ADDRESS(INDEX($AJ$2:$AJ$1001,MATCH(ROWS($AH$2:AH802),$AH$2:$AH$1001,0),0), INDEX($AO$1004:$BQ$1004,1,MATCH(COLUMNS($AO$1006:BO1006),$AO$1006:$BQ$1006,0)))),"Fix")))</f>
        <v>#N/A</v>
      </c>
      <c r="AC802" s="5" t="e">
        <f ca="1">IF(OR(INDEX($AI$2:$AI$1001,MATCH(ROWS($AH$2:AH802),$AH$2:$AH$1001,0),1)&gt;=100000,INDEX($AO$1005:$BQ$1005,1,MATCH(COLUMNS($AO$1006:BP1006),$AO$1006:$BQ$1006,0))&gt;=100000), " ",IF(INDEX($AO$2:$BQ$1001,MATCH(ROWS($AH$2:AH802),$AH$2:$AH$1001,0),MATCH(COLUMNS($AO$1006:BP1006),$AO$1006:$BQ$1006,0)), HYPERLINK("#",""), HYPERLINK(CONCATENATE("#Metadata!", ADDRESS(INDEX($AJ$2:$AJ$1001,MATCH(ROWS($AH$2:AH802),$AH$2:$AH$1001,0),0), INDEX($AO$1004:$BQ$1004,1,MATCH(COLUMNS($AO$1006:BP1006),$AO$1006:$BQ$1006,0)))),"Fix")))</f>
        <v>#N/A</v>
      </c>
      <c r="AD802" s="5" t="e">
        <f ca="1">IF(OR(INDEX($AI$2:$AI$1001,MATCH(ROWS($AH$2:AH802),$AH$2:$AH$1001,0),1)&gt;=100000,INDEX($AO$1005:$BQ$1005,1,MATCH(COLUMNS($AO$1006:BQ1006),$AO$1006:$BQ$1006,0))&gt;=100000), " ",IF(INDEX($AO$2:$BQ$1001,MATCH(ROWS($AH$2:AH802),$AH$2:$AH$1001,0),MATCH(COLUMNS($AO$1006:BQ1006),$AO$1006:$BQ$1006,0)), HYPERLINK("#",""), HYPERLINK(CONCATENATE("#Metadata!", ADDRESS(INDEX($AJ$2:$AJ$1001,MATCH(ROWS($AH$2:AH802),$AH$2:$AH$1001,0),0), INDEX($AO$1004:$BQ$1004,1,MATCH(COLUMNS($AO$1006:BQ1006),$AO$1006:$BQ$1006,0)))),"Fix")))</f>
        <v>#REF!</v>
      </c>
      <c r="AH802">
        <f ca="1"/>
        <v>799</v>
      </c>
      <c r="AI802">
        <v>100802</v>
      </c>
      <c r="AJ802">
        <v>802</v>
      </c>
      <c r="AK802" t="b">
        <f t="shared" si="12"/>
        <v>1</v>
      </c>
      <c r="AL802" t="b">
        <f>COUNTBLANK(Metadata!B802:AD802)=COLUMNS(Metadata!B802:AD802)</f>
        <v>1</v>
      </c>
      <c r="AM802" t="str">
        <v/>
      </c>
      <c r="AO802" t="b">
        <f ca="1">AND(IF(Metadata!B802="",FALSE,TRUE),COUNTIF(Metadata!B:B, Metadata!B802) = 1,NOT(ISERROR(SUMPRODUCT(SEARCH(MID(Metadata!B802,ROW(INDIRECT("1:"&amp;LEN(Metadata!B802))), 1),"0123456789abcdefghijklmnopqrstuvwxyzABCDEFGHIJKLMNOPQRSTUVWXYZ.")))))</f>
        <v>0</v>
      </c>
      <c r="AP802" t="b">
        <f>IF(Metadata!C802="",FALSE,TRUE)</f>
        <v>0</v>
      </c>
      <c r="AQ802" t="b">
        <f>IF(Metadata!D802="",FALSE,TRUE)</f>
        <v>0</v>
      </c>
      <c r="AR802" t="b">
        <f ca="1">OR(AND(IF(Metadata!E802="",FALSE,TRUE),OR(EXACT(Metadata!E802,"not collected"),EXACT(Metadata!E802,"not provided"),EXACT(Metadata!E802,"restricted access"))),AND(IF(Metadata!E802="",FALSE,TRUE),AND(AND(IFERROR(INT(LEFT(Metadata!E802,4))&gt;1900,FALSE),IFERROR(INT(LEFT(Metadata!E802,4))&lt;=YEAR(NOW()),FALSE)), OR(MID(Metadata!E802,5,1)="", AND(AND(MID(Metadata!E802,5,1)="-",IFERROR(INT(MID(Metadata!E802,6,1))&gt;=0,FALSE),IFERROR(INT(MID(Metadata!E802,6,1))&lt;=1,FALSE),NOT(MID(Metadata!E802,7,1)=""),IFERROR(INT(MID(Metadata!E802,6,2))&gt;=1,FALSE),IFERROR(INT(MID(Metadata!E802,6,2))&lt;=12,FALSE)), OR(MID(Metadata!E802,8,1)="", AND(AND(MID(Metadata!E802,8,1)="-",IFERROR(INT(MID(Metadata!E802,9,1))&gt;=0,FALSE),IFERROR(INT(MID(Metadata!E802,9,1))&lt;=3,FALSE),NOT(MID(Metadata!E802,10,1)=""),IFERROR(INT(MID(Metadata!E802,9,2))&gt;=1,FALSE),IFERROR(INT(MID(Metadata!E802,9,2))&lt;=31,FALSE)), OR(MID(Metadata!E802,11,1)="", AND(AND(MID(Metadata!E802,11,1)=" ",IFERROR(INT(MID(Metadata!E802,12,1))&gt;=0,FALSE),IFERROR(INT(MID(Metadata!E802,12,1))&lt;=2,FALSE),NOT(MID(Metadata!E802,13,1)=""),IFERROR(INT(MID(Metadata!E802,12,2))&gt;=0,FALSE),IFERROR(INT(MID(Metadata!E802,12,2))&lt;=23,FALSE)), OR(MID(Metadata!E802,14,1)="", AND(AND(MID(Metadata!E802,14,1)=":",IFERROR(INT(MID(Metadata!E802,15,1))&gt;=0,FALSE),IFERROR(INT(MID(Metadata!E802,15,1))&lt;=5,FALSE),NOT(MID(Metadata!E802,16,1)=""),IFERROR(INT(MID(Metadata!E802,15,2))&gt;=0,FALSE),IFERROR(INT(MID(Metadata!E802,15,2))&lt;=59,FALSE)), OR(MID(Metadata!E802,17,1)="", AND(AND(MID(Metadata!E802,17,1)=":",IFERROR(INT(MID(Metadata!E802,18,1))&gt;=0,FALSE),IFERROR(INT(MID(Metadata!E802,18,1))&lt;=5,FALSE),NOT(MID(Metadata!E802,19,1)=""),IFERROR(INT(MID(Metadata!E802,18,2))&gt;=0,FALSE),IFERROR(INT(MID(Metadata!E802,18,2))&lt;=59,FALSE)), LEN(Metadata!E802)&lt;=19)))))))))))))</f>
        <v>0</v>
      </c>
      <c r="AS802" t="b">
        <f>IF(Metadata!F802="",FALSE,TRUE)</f>
        <v>0</v>
      </c>
      <c r="AT802" t="b">
        <f>OR(AND(IF(Metadata!G802="",FALSE,TRUE),OR(EXACT(Metadata!G802,"not collected"),EXACT(Metadata!G802,"not provided"))),AND(IF(Metadata!G802="",FALSE,TRUE),OR(EXACT(Metadata!G802,"TRUE"),EXACT(Metadata!G802,"FALSE"))))</f>
        <v>0</v>
      </c>
      <c r="AU802" t="b">
        <f>OR(AND(IF(Metadata!H802="",FALSE,TRUE),OR(EXACT(Metadata!H802,"not collected"),EXACT(Metadata!H802,"not provided"),EXACT(Metadata!H802,"restricted access"))),AND(IF(Metadata!H802="",FALSE,ISNUMBER(VALUE(Metadata!H802))),Metadata!H802&gt;=-413))</f>
        <v>0</v>
      </c>
      <c r="AV802" t="b">
        <f>AND(IF(Metadata!I802="",FALSE,TRUE),EXACT(Metadata!I802,"meters"))</f>
        <v>0</v>
      </c>
      <c r="AW802" t="b">
        <f>AND(IF(Metadata!J802="",FALSE,TRUE),EXACT(Metadata!J802,"free-living"))</f>
        <v>0</v>
      </c>
      <c r="AX802" t="b">
        <f>AND(IF(Metadata!K802="",FALSE,TRUE),OR(EXACT(Metadata!K802,"saline"),EXACT(Metadata!K802,"non-saline")))</f>
        <v>0</v>
      </c>
      <c r="AY802" t="b">
        <f>AND(IF(Metadata!L802="",FALSE,TRUE),OR(EXACT(Metadata!L802,"sub-surface (non-saline)"),EXACT(Metadata!L802,"surface (non-saline)"),EXACT(Metadata!L802,"water (non-saline)"),EXACT(Metadata!L802,"soil (non-saline)"),EXACT(Metadata!L802,"aerosol (non-saline)"),EXACT(Metadata!L802,"sediment (non-saline)"),EXACT(Metadata!L802,"surface (saline)"),EXACT(Metadata!L802,"water (saline)"),EXACT(Metadata!L802,"hypersaline (saline)"),EXACT(Metadata!L802,"aerosol (saline)"),EXACT(Metadata!L802,"sediment (saline)")))</f>
        <v>0</v>
      </c>
      <c r="AZ802" t="b">
        <f>IF(Metadata!M802="",FALSE,TRUE)</f>
        <v>0</v>
      </c>
      <c r="BA802" t="b">
        <f>IF(Metadata!N802="",FALSE,TRUE)</f>
        <v>0</v>
      </c>
      <c r="BB802" t="b">
        <f>IF(Metadata!O802="",FALSE,TRUE)</f>
        <v>0</v>
      </c>
      <c r="BC802" t="b">
        <f>AND(IF(Metadata!P802="",FALSE,TRUE),OR(EXACT(Metadata!P802,"air"),EXACT(Metadata!P802,"microbial mat/biofilm"),EXACT(Metadata!P802,"misc environment"),EXACT(Metadata!P802,"sediment"),EXACT(Metadata!P802,"soil"),EXACT(Metadata!P802,"wastewater/sludge"),EXACT(Metadata!P802,"water")))</f>
        <v>0</v>
      </c>
      <c r="BD802" t="b">
        <f>IF(Metadata!Q802="",FALSE,TRUE)</f>
        <v>0</v>
      </c>
      <c r="BE802" t="b">
        <f>IF(Metadata!R802="",FALSE,TRUE)</f>
        <v>0</v>
      </c>
      <c r="BF802" t="b">
        <f>OR(AND(IF(Metadata!S802="",FALSE,TRUE),OR(EXACT(Metadata!S802,"not collected"),EXACT(Metadata!S802,"not provided"),EXACT(Metadata!S802,"restricted access"))),AND(IF(Metadata!S802="",FALSE,ISNUMBER(VALUE(Metadata!S802))),Metadata!S802&gt;=-90,Metadata!S802&lt;=90))</f>
        <v>0</v>
      </c>
      <c r="BG802" t="b">
        <f>AND(IF(Metadata!T802="",FALSE,TRUE),EXACT(Metadata!T802,"Decimal degrees"))</f>
        <v>0</v>
      </c>
      <c r="BH802" t="b">
        <f>OR(AND(IF(Metadata!U802="",FALSE,TRUE),OR(EXACT(Metadata!U802,"not applicable"),EXACT(Metadata!U802,"not collected"))),IF(Metadata!U802="",FALSE,TRUE))</f>
        <v>0</v>
      </c>
      <c r="BI802" t="b">
        <f>OR(AND(IF(Metadata!V802="",FALSE,TRUE),OR(EXACT(Metadata!V802,"not collected"),EXACT(Metadata!V802,"not provided"),EXACT(Metadata!V802,"restricted access"))),AND(IF(Metadata!V802="",FALSE,ISNUMBER(VALUE(Metadata!V802))),Metadata!V802&gt;=-180,Metadata!V802&lt;=180))</f>
        <v>0</v>
      </c>
      <c r="BJ802" t="b">
        <f>AND(IF(Metadata!W802="",FALSE,TRUE),EXACT(Metadata!W802,"Decimal degrees"))</f>
        <v>0</v>
      </c>
      <c r="BK802" t="b">
        <f>IF(Metadata!X802="",FALSE,TRUE)</f>
        <v>0</v>
      </c>
      <c r="BL802" t="b">
        <f>OR(AND(IF(Metadata!Y802="",FALSE,TRUE),OR(EXACT(Metadata!Y802,"not collected"),EXACT(Metadata!Y802,"not provided"),EXACT(Metadata!Y802,"restricted access"))),AND(IF(Metadata!Y802="",FALSE,TRUE),OR(EXACT(Metadata!Y802,"TRUE"),EXACT(Metadata!Y802,"FALSE"))))</f>
        <v>0</v>
      </c>
      <c r="BM802" t="b">
        <f>OR(AND(IF(Metadata!Z802="",FALSE,TRUE),EXACT(Metadata!Z802,"not applicable")),AND(IF(Metadata!Z802="",FALSE,TRUE),OR(EXACT(Metadata!Z802,"beer"),EXACT(Metadata!Z802,"cheese"),EXACT(Metadata!Z802,"fresh water"),EXACT(Metadata!Z802,"marine sediment"),EXACT(Metadata!Z802,"sea water"),EXACT(Metadata!Z802,"sediment"),EXACT(Metadata!Z802,"soil"),EXACT(Metadata!Z802,"waste water"))))</f>
        <v>0</v>
      </c>
      <c r="BN802" t="b">
        <f>AND(IF(Metadata!AA802="",FALSE,TRUE),EXACT(Metadata!AA802,"metagenome"))</f>
        <v>0</v>
      </c>
      <c r="BO802" t="b">
        <f>AND(IF(Metadata!AB802="",FALSE,TRUE),EXACT(Metadata!AB802,"256318"))</f>
        <v>0</v>
      </c>
      <c r="BP802" t="b">
        <f>IF(Metadata!AC802="",FALSE,TRUE)</f>
        <v>0</v>
      </c>
      <c r="BQ802" t="b">
        <f>IF(Metadata!AD802="",FALSE,TRUE)</f>
        <v>0</v>
      </c>
    </row>
    <row r="803" spans="1:69" x14ac:dyDescent="0.2">
      <c r="A803" s="4" t="e">
        <f ca="1">IF(B803=" "," ",HYPERLINK(CONCATENATE("#metadata!",ADDRESS(INDEX($AJ$2:$AJ$1001,MATCH(ROWS($AH$2:AH803),$AH$2:$AH$1001,0),0),2)),INDEX($AM$2:$AM$1001,MATCH(ROWS($AH$2:AH803),$AH$2:$AH$1001,0),0)))</f>
        <v>#N/A</v>
      </c>
      <c r="B803" s="5" t="e">
        <f ca="1">IF(OR(INDEX($AI$2:$AI$1001,MATCH(ROWS($AH$2:AH803),$AH$2:$AH$1001,0),1)&gt;=100000,INDEX($AO$1005:$BQ$1005,1,MATCH(COLUMNS($AO$1006:AO1006),$AO$1006:$BQ$1006,0))&gt;=100000), " ",IF(INDEX($AO$2:$BQ$1001,MATCH(ROWS($AH$2:AH803),$AH$2:$AH$1001,0),MATCH(COLUMNS($AO$1006:AO1006),$AO$1006:$BQ$1006,0)), HYPERLINK("#",""), HYPERLINK(CONCATENATE("#Metadata!", ADDRESS(INDEX($AJ$2:$AJ$1001,MATCH(ROWS($AH$2:AH803),$AH$2:$AH$1001,0),0), INDEX($AO$1004:$BQ$1004,1,MATCH(COLUMNS($AO$1006:AO1006),$AO$1006:$BQ$1006,0)))),"Fix")))</f>
        <v>#N/A</v>
      </c>
      <c r="C803" s="5" t="e">
        <f ca="1">IF(OR(INDEX($AI$2:$AI$1001,MATCH(ROWS($AH$2:AH803),$AH$2:$AH$1001,0),1)&gt;=100000,INDEX($AO$1005:$BQ$1005,1,MATCH(COLUMNS($AO$1006:AP1006),$AO$1006:$BQ$1006,0))&gt;=100000), " ",IF(INDEX($AO$2:$BQ$1001,MATCH(ROWS($AH$2:AH803),$AH$2:$AH$1001,0),MATCH(COLUMNS($AO$1006:AP1006),$AO$1006:$BQ$1006,0)), HYPERLINK("#",""), HYPERLINK(CONCATENATE("#Metadata!", ADDRESS(INDEX($AJ$2:$AJ$1001,MATCH(ROWS($AH$2:AH803),$AH$2:$AH$1001,0),0), INDEX($AO$1004:$BQ$1004,1,MATCH(COLUMNS($AO$1006:AP1006),$AO$1006:$BQ$1006,0)))),"Fix")))</f>
        <v>#N/A</v>
      </c>
      <c r="D803" s="5" t="e">
        <f ca="1">IF(OR(INDEX($AI$2:$AI$1001,MATCH(ROWS($AH$2:AH803),$AH$2:$AH$1001,0),1)&gt;=100000,INDEX($AO$1005:$BQ$1005,1,MATCH(COLUMNS($AO$1006:AQ1006),$AO$1006:$BQ$1006,0))&gt;=100000), " ",IF(INDEX($AO$2:$BQ$1001,MATCH(ROWS($AH$2:AH803),$AH$2:$AH$1001,0),MATCH(COLUMNS($AO$1006:AQ1006),$AO$1006:$BQ$1006,0)), HYPERLINK("#",""), HYPERLINK(CONCATENATE("#Metadata!", ADDRESS(INDEX($AJ$2:$AJ$1001,MATCH(ROWS($AH$2:AH803),$AH$2:$AH$1001,0),0), INDEX($AO$1004:$BQ$1004,1,MATCH(COLUMNS($AO$1006:AQ1006),$AO$1006:$BQ$1006,0)))),"Fix")))</f>
        <v>#N/A</v>
      </c>
      <c r="E803" s="5" t="e">
        <f ca="1">IF(OR(INDEX($AI$2:$AI$1001,MATCH(ROWS($AH$2:AH803),$AH$2:$AH$1001,0),1)&gt;=100000,INDEX($AO$1005:$BQ$1005,1,MATCH(COLUMNS($AO$1006:AR1006),$AO$1006:$BQ$1006,0))&gt;=100000), " ",IF(INDEX($AO$2:$BQ$1001,MATCH(ROWS($AH$2:AH803),$AH$2:$AH$1001,0),MATCH(COLUMNS($AO$1006:AR1006),$AO$1006:$BQ$1006,0)), HYPERLINK("#",""), HYPERLINK(CONCATENATE("#Metadata!", ADDRESS(INDEX($AJ$2:$AJ$1001,MATCH(ROWS($AH$2:AH803),$AH$2:$AH$1001,0),0), INDEX($AO$1004:$BQ$1004,1,MATCH(COLUMNS($AO$1006:AR1006),$AO$1006:$BQ$1006,0)))),"Fix")))</f>
        <v>#N/A</v>
      </c>
      <c r="F803" s="5" t="e">
        <f ca="1">IF(OR(INDEX($AI$2:$AI$1001,MATCH(ROWS($AH$2:AH803),$AH$2:$AH$1001,0),1)&gt;=100000,INDEX($AO$1005:$BQ$1005,1,MATCH(COLUMNS($AO$1006:AS1006),$AO$1006:$BQ$1006,0))&gt;=100000), " ",IF(INDEX($AO$2:$BQ$1001,MATCH(ROWS($AH$2:AH803),$AH$2:$AH$1001,0),MATCH(COLUMNS($AO$1006:AS1006),$AO$1006:$BQ$1006,0)), HYPERLINK("#",""), HYPERLINK(CONCATENATE("#Metadata!", ADDRESS(INDEX($AJ$2:$AJ$1001,MATCH(ROWS($AH$2:AH803),$AH$2:$AH$1001,0),0), INDEX($AO$1004:$BQ$1004,1,MATCH(COLUMNS($AO$1006:AS1006),$AO$1006:$BQ$1006,0)))),"Fix")))</f>
        <v>#N/A</v>
      </c>
      <c r="G803" s="5" t="e">
        <f ca="1">IF(OR(INDEX($AI$2:$AI$1001,MATCH(ROWS($AH$2:AH803),$AH$2:$AH$1001,0),1)&gt;=100000,INDEX($AO$1005:$BQ$1005,1,MATCH(COLUMNS($AO$1006:AT1006),$AO$1006:$BQ$1006,0))&gt;=100000), " ",IF(INDEX($AO$2:$BQ$1001,MATCH(ROWS($AH$2:AH803),$AH$2:$AH$1001,0),MATCH(COLUMNS($AO$1006:AT1006),$AO$1006:$BQ$1006,0)), HYPERLINK("#",""), HYPERLINK(CONCATENATE("#Metadata!", ADDRESS(INDEX($AJ$2:$AJ$1001,MATCH(ROWS($AH$2:AH803),$AH$2:$AH$1001,0),0), INDEX($AO$1004:$BQ$1004,1,MATCH(COLUMNS($AO$1006:AT1006),$AO$1006:$BQ$1006,0)))),"Fix")))</f>
        <v>#N/A</v>
      </c>
      <c r="H803" s="5" t="e">
        <f ca="1">IF(OR(INDEX($AI$2:$AI$1001,MATCH(ROWS($AH$2:AH803),$AH$2:$AH$1001,0),1)&gt;=100000,INDEX($AO$1005:$BQ$1005,1,MATCH(COLUMNS($AO$1006:AU1006),$AO$1006:$BQ$1006,0))&gt;=100000), " ",IF(INDEX($AO$2:$BQ$1001,MATCH(ROWS($AH$2:AH803),$AH$2:$AH$1001,0),MATCH(COLUMNS($AO$1006:AU1006),$AO$1006:$BQ$1006,0)), HYPERLINK("#",""), HYPERLINK(CONCATENATE("#Metadata!", ADDRESS(INDEX($AJ$2:$AJ$1001,MATCH(ROWS($AH$2:AH803),$AH$2:$AH$1001,0),0), INDEX($AO$1004:$BQ$1004,1,MATCH(COLUMNS($AO$1006:AU1006),$AO$1006:$BQ$1006,0)))),"Fix")))</f>
        <v>#N/A</v>
      </c>
      <c r="I803" s="5" t="e">
        <f ca="1">IF(OR(INDEX($AI$2:$AI$1001,MATCH(ROWS($AH$2:AH803),$AH$2:$AH$1001,0),1)&gt;=100000,INDEX($AO$1005:$BQ$1005,1,MATCH(COLUMNS($AO$1006:AV1006),$AO$1006:$BQ$1006,0))&gt;=100000), " ",IF(INDEX($AO$2:$BQ$1001,MATCH(ROWS($AH$2:AH803),$AH$2:$AH$1001,0),MATCH(COLUMNS($AO$1006:AV1006),$AO$1006:$BQ$1006,0)), HYPERLINK("#",""), HYPERLINK(CONCATENATE("#Metadata!", ADDRESS(INDEX($AJ$2:$AJ$1001,MATCH(ROWS($AH$2:AH803),$AH$2:$AH$1001,0),0), INDEX($AO$1004:$BQ$1004,1,MATCH(COLUMNS($AO$1006:AV1006),$AO$1006:$BQ$1006,0)))),"Fix")))</f>
        <v>#N/A</v>
      </c>
      <c r="J803" s="5" t="e">
        <f ca="1">IF(OR(INDEX($AI$2:$AI$1001,MATCH(ROWS($AH$2:AH803),$AH$2:$AH$1001,0),1)&gt;=100000,INDEX($AO$1005:$BQ$1005,1,MATCH(COLUMNS($AO$1006:AW1006),$AO$1006:$BQ$1006,0))&gt;=100000), " ",IF(INDEX($AO$2:$BQ$1001,MATCH(ROWS($AH$2:AH803),$AH$2:$AH$1001,0),MATCH(COLUMNS($AO$1006:AW1006),$AO$1006:$BQ$1006,0)), HYPERLINK("#",""), HYPERLINK(CONCATENATE("#Metadata!", ADDRESS(INDEX($AJ$2:$AJ$1001,MATCH(ROWS($AH$2:AH803),$AH$2:$AH$1001,0),0), INDEX($AO$1004:$BQ$1004,1,MATCH(COLUMNS($AO$1006:AW1006),$AO$1006:$BQ$1006,0)))),"Fix")))</f>
        <v>#N/A</v>
      </c>
      <c r="K803" s="5" t="e">
        <f ca="1">IF(OR(INDEX($AI$2:$AI$1001,MATCH(ROWS($AH$2:AH803),$AH$2:$AH$1001,0),1)&gt;=100000,INDEX($AO$1005:$BQ$1005,1,MATCH(COLUMNS($AO$1006:AX1006),$AO$1006:$BQ$1006,0))&gt;=100000), " ",IF(INDEX($AO$2:$BQ$1001,MATCH(ROWS($AH$2:AH803),$AH$2:$AH$1001,0),MATCH(COLUMNS($AO$1006:AX1006),$AO$1006:$BQ$1006,0)), HYPERLINK("#",""), HYPERLINK(CONCATENATE("#Metadata!", ADDRESS(INDEX($AJ$2:$AJ$1001,MATCH(ROWS($AH$2:AH803),$AH$2:$AH$1001,0),0), INDEX($AO$1004:$BQ$1004,1,MATCH(COLUMNS($AO$1006:AX1006),$AO$1006:$BQ$1006,0)))),"Fix")))</f>
        <v>#N/A</v>
      </c>
      <c r="L803" s="5" t="e">
        <f ca="1">IF(OR(INDEX($AI$2:$AI$1001,MATCH(ROWS($AH$2:AH803),$AH$2:$AH$1001,0),1)&gt;=100000,INDEX($AO$1005:$BQ$1005,1,MATCH(COLUMNS($AO$1006:AY1006),$AO$1006:$BQ$1006,0))&gt;=100000), " ",IF(INDEX($AO$2:$BQ$1001,MATCH(ROWS($AH$2:AH803),$AH$2:$AH$1001,0),MATCH(COLUMNS($AO$1006:AY1006),$AO$1006:$BQ$1006,0)), HYPERLINK("#",""), HYPERLINK(CONCATENATE("#Metadata!", ADDRESS(INDEX($AJ$2:$AJ$1001,MATCH(ROWS($AH$2:AH803),$AH$2:$AH$1001,0),0), INDEX($AO$1004:$BQ$1004,1,MATCH(COLUMNS($AO$1006:AY1006),$AO$1006:$BQ$1006,0)))),"Fix")))</f>
        <v>#N/A</v>
      </c>
      <c r="M803" s="5" t="e">
        <f ca="1">IF(OR(INDEX($AI$2:$AI$1001,MATCH(ROWS($AH$2:AH803),$AH$2:$AH$1001,0),1)&gt;=100000,INDEX($AO$1005:$BQ$1005,1,MATCH(COLUMNS($AO$1006:AZ1006),$AO$1006:$BQ$1006,0))&gt;=100000), " ",IF(INDEX($AO$2:$BQ$1001,MATCH(ROWS($AH$2:AH803),$AH$2:$AH$1001,0),MATCH(COLUMNS($AO$1006:AZ1006),$AO$1006:$BQ$1006,0)), HYPERLINK("#",""), HYPERLINK(CONCATENATE("#Metadata!", ADDRESS(INDEX($AJ$2:$AJ$1001,MATCH(ROWS($AH$2:AH803),$AH$2:$AH$1001,0),0), INDEX($AO$1004:$BQ$1004,1,MATCH(COLUMNS($AO$1006:AZ1006),$AO$1006:$BQ$1006,0)))),"Fix")))</f>
        <v>#N/A</v>
      </c>
      <c r="N803" s="5" t="e">
        <f ca="1">IF(OR(INDEX($AI$2:$AI$1001,MATCH(ROWS($AH$2:AH803),$AH$2:$AH$1001,0),1)&gt;=100000,INDEX($AO$1005:$BQ$1005,1,MATCH(COLUMNS($AO$1006:BA1006),$AO$1006:$BQ$1006,0))&gt;=100000), " ",IF(INDEX($AO$2:$BQ$1001,MATCH(ROWS($AH$2:AH803),$AH$2:$AH$1001,0),MATCH(COLUMNS($AO$1006:BA1006),$AO$1006:$BQ$1006,0)), HYPERLINK("#",""), HYPERLINK(CONCATENATE("#Metadata!", ADDRESS(INDEX($AJ$2:$AJ$1001,MATCH(ROWS($AH$2:AH803),$AH$2:$AH$1001,0),0), INDEX($AO$1004:$BQ$1004,1,MATCH(COLUMNS($AO$1006:BA1006),$AO$1006:$BQ$1006,0)))),"Fix")))</f>
        <v>#N/A</v>
      </c>
      <c r="O803" s="5" t="e">
        <f ca="1">IF(OR(INDEX($AI$2:$AI$1001,MATCH(ROWS($AH$2:AH803),$AH$2:$AH$1001,0),1)&gt;=100000,INDEX($AO$1005:$BQ$1005,1,MATCH(COLUMNS($AO$1006:BB1006),$AO$1006:$BQ$1006,0))&gt;=100000), " ",IF(INDEX($AO$2:$BQ$1001,MATCH(ROWS($AH$2:AH803),$AH$2:$AH$1001,0),MATCH(COLUMNS($AO$1006:BB1006),$AO$1006:$BQ$1006,0)), HYPERLINK("#",""), HYPERLINK(CONCATENATE("#Metadata!", ADDRESS(INDEX($AJ$2:$AJ$1001,MATCH(ROWS($AH$2:AH803),$AH$2:$AH$1001,0),0), INDEX($AO$1004:$BQ$1004,1,MATCH(COLUMNS($AO$1006:BB1006),$AO$1006:$BQ$1006,0)))),"Fix")))</f>
        <v>#N/A</v>
      </c>
      <c r="P803" s="5" t="e">
        <f ca="1">IF(OR(INDEX($AI$2:$AI$1001,MATCH(ROWS($AH$2:AH803),$AH$2:$AH$1001,0),1)&gt;=100000,INDEX($AO$1005:$BQ$1005,1,MATCH(COLUMNS($AO$1006:BC1006),$AO$1006:$BQ$1006,0))&gt;=100000), " ",IF(INDEX($AO$2:$BQ$1001,MATCH(ROWS($AH$2:AH803),$AH$2:$AH$1001,0),MATCH(COLUMNS($AO$1006:BC1006),$AO$1006:$BQ$1006,0)), HYPERLINK("#",""), HYPERLINK(CONCATENATE("#Metadata!", ADDRESS(INDEX($AJ$2:$AJ$1001,MATCH(ROWS($AH$2:AH803),$AH$2:$AH$1001,0),0), INDEX($AO$1004:$BQ$1004,1,MATCH(COLUMNS($AO$1006:BC1006),$AO$1006:$BQ$1006,0)))),"Fix")))</f>
        <v>#N/A</v>
      </c>
      <c r="Q803" s="5" t="e">
        <f ca="1">IF(OR(INDEX($AI$2:$AI$1001,MATCH(ROWS($AH$2:AH803),$AH$2:$AH$1001,0),1)&gt;=100000,INDEX($AO$1005:$BQ$1005,1,MATCH(COLUMNS($AO$1006:BD1006),$AO$1006:$BQ$1006,0))&gt;=100000), " ",IF(INDEX($AO$2:$BQ$1001,MATCH(ROWS($AH$2:AH803),$AH$2:$AH$1001,0),MATCH(COLUMNS($AO$1006:BD1006),$AO$1006:$BQ$1006,0)), HYPERLINK("#",""), HYPERLINK(CONCATENATE("#Metadata!", ADDRESS(INDEX($AJ$2:$AJ$1001,MATCH(ROWS($AH$2:AH803),$AH$2:$AH$1001,0),0), INDEX($AO$1004:$BQ$1004,1,MATCH(COLUMNS($AO$1006:BD1006),$AO$1006:$BQ$1006,0)))),"Fix")))</f>
        <v>#N/A</v>
      </c>
      <c r="R803" s="5" t="e">
        <f ca="1">IF(OR(INDEX($AI$2:$AI$1001,MATCH(ROWS($AH$2:AH803),$AH$2:$AH$1001,0),1)&gt;=100000,INDEX($AO$1005:$BQ$1005,1,MATCH(COLUMNS($AO$1006:BE1006),$AO$1006:$BQ$1006,0))&gt;=100000), " ",IF(INDEX($AO$2:$BQ$1001,MATCH(ROWS($AH$2:AH803),$AH$2:$AH$1001,0),MATCH(COLUMNS($AO$1006:BE1006),$AO$1006:$BQ$1006,0)), HYPERLINK("#",""), HYPERLINK(CONCATENATE("#Metadata!", ADDRESS(INDEX($AJ$2:$AJ$1001,MATCH(ROWS($AH$2:AH803),$AH$2:$AH$1001,0),0), INDEX($AO$1004:$BQ$1004,1,MATCH(COLUMNS($AO$1006:BE1006),$AO$1006:$BQ$1006,0)))),"Fix")))</f>
        <v>#N/A</v>
      </c>
      <c r="S803" s="5" t="e">
        <f ca="1">IF(OR(INDEX($AI$2:$AI$1001,MATCH(ROWS($AH$2:AH803),$AH$2:$AH$1001,0),1)&gt;=100000,INDEX($AO$1005:$BQ$1005,1,MATCH(COLUMNS($AO$1006:BF1006),$AO$1006:$BQ$1006,0))&gt;=100000), " ",IF(INDEX($AO$2:$BQ$1001,MATCH(ROWS($AH$2:AH803),$AH$2:$AH$1001,0),MATCH(COLUMNS($AO$1006:BF1006),$AO$1006:$BQ$1006,0)), HYPERLINK("#",""), HYPERLINK(CONCATENATE("#Metadata!", ADDRESS(INDEX($AJ$2:$AJ$1001,MATCH(ROWS($AH$2:AH803),$AH$2:$AH$1001,0),0), INDEX($AO$1004:$BQ$1004,1,MATCH(COLUMNS($AO$1006:BF1006),$AO$1006:$BQ$1006,0)))),"Fix")))</f>
        <v>#N/A</v>
      </c>
      <c r="T803" s="5" t="e">
        <f ca="1">IF(OR(INDEX($AI$2:$AI$1001,MATCH(ROWS($AH$2:AH803),$AH$2:$AH$1001,0),1)&gt;=100000,INDEX($AO$1005:$BQ$1005,1,MATCH(COLUMNS($AO$1006:BG1006),$AO$1006:$BQ$1006,0))&gt;=100000), " ",IF(INDEX($AO$2:$BQ$1001,MATCH(ROWS($AH$2:AH803),$AH$2:$AH$1001,0),MATCH(COLUMNS($AO$1006:BG1006),$AO$1006:$BQ$1006,0)), HYPERLINK("#",""), HYPERLINK(CONCATENATE("#Metadata!", ADDRESS(INDEX($AJ$2:$AJ$1001,MATCH(ROWS($AH$2:AH803),$AH$2:$AH$1001,0),0), INDEX($AO$1004:$BQ$1004,1,MATCH(COLUMNS($AO$1006:BG1006),$AO$1006:$BQ$1006,0)))),"Fix")))</f>
        <v>#N/A</v>
      </c>
      <c r="U803" s="5" t="e">
        <f ca="1">IF(OR(INDEX($AI$2:$AI$1001,MATCH(ROWS($AH$2:AH803),$AH$2:$AH$1001,0),1)&gt;=100000,INDEX($AO$1005:$BQ$1005,1,MATCH(COLUMNS($AO$1006:BH1006),$AO$1006:$BQ$1006,0))&gt;=100000), " ",IF(INDEX($AO$2:$BQ$1001,MATCH(ROWS($AH$2:AH803),$AH$2:$AH$1001,0),MATCH(COLUMNS($AO$1006:BH1006),$AO$1006:$BQ$1006,0)), HYPERLINK("#",""), HYPERLINK(CONCATENATE("#Metadata!", ADDRESS(INDEX($AJ$2:$AJ$1001,MATCH(ROWS($AH$2:AH803),$AH$2:$AH$1001,0),0), INDEX($AO$1004:$BQ$1004,1,MATCH(COLUMNS($AO$1006:BH1006),$AO$1006:$BQ$1006,0)))),"Fix")))</f>
        <v>#N/A</v>
      </c>
      <c r="V803" s="5" t="e">
        <f ca="1">IF(OR(INDEX($AI$2:$AI$1001,MATCH(ROWS($AH$2:AH803),$AH$2:$AH$1001,0),1)&gt;=100000,INDEX($AO$1005:$BQ$1005,1,MATCH(COLUMNS($AO$1006:BI1006),$AO$1006:$BQ$1006,0))&gt;=100000), " ",IF(INDEX($AO$2:$BQ$1001,MATCH(ROWS($AH$2:AH803),$AH$2:$AH$1001,0),MATCH(COLUMNS($AO$1006:BI1006),$AO$1006:$BQ$1006,0)), HYPERLINK("#",""), HYPERLINK(CONCATENATE("#Metadata!", ADDRESS(INDEX($AJ$2:$AJ$1001,MATCH(ROWS($AH$2:AH803),$AH$2:$AH$1001,0),0), INDEX($AO$1004:$BQ$1004,1,MATCH(COLUMNS($AO$1006:BI1006),$AO$1006:$BQ$1006,0)))),"Fix")))</f>
        <v>#N/A</v>
      </c>
      <c r="W803" s="5" t="e">
        <f ca="1">IF(OR(INDEX($AI$2:$AI$1001,MATCH(ROWS($AH$2:AH803),$AH$2:$AH$1001,0),1)&gt;=100000,INDEX($AO$1005:$BQ$1005,1,MATCH(COLUMNS($AO$1006:BJ1006),$AO$1006:$BQ$1006,0))&gt;=100000), " ",IF(INDEX($AO$2:$BQ$1001,MATCH(ROWS($AH$2:AH803),$AH$2:$AH$1001,0),MATCH(COLUMNS($AO$1006:BJ1006),$AO$1006:$BQ$1006,0)), HYPERLINK("#",""), HYPERLINK(CONCATENATE("#Metadata!", ADDRESS(INDEX($AJ$2:$AJ$1001,MATCH(ROWS($AH$2:AH803),$AH$2:$AH$1001,0),0), INDEX($AO$1004:$BQ$1004,1,MATCH(COLUMNS($AO$1006:BJ1006),$AO$1006:$BQ$1006,0)))),"Fix")))</f>
        <v>#N/A</v>
      </c>
      <c r="X803" s="5" t="e">
        <f ca="1">IF(OR(INDEX($AI$2:$AI$1001,MATCH(ROWS($AH$2:AH803),$AH$2:$AH$1001,0),1)&gt;=100000,INDEX($AO$1005:$BQ$1005,1,MATCH(COLUMNS($AO$1006:BK1006),$AO$1006:$BQ$1006,0))&gt;=100000), " ",IF(INDEX($AO$2:$BQ$1001,MATCH(ROWS($AH$2:AH803),$AH$2:$AH$1001,0),MATCH(COLUMNS($AO$1006:BK1006),$AO$1006:$BQ$1006,0)), HYPERLINK("#",""), HYPERLINK(CONCATENATE("#Metadata!", ADDRESS(INDEX($AJ$2:$AJ$1001,MATCH(ROWS($AH$2:AH803),$AH$2:$AH$1001,0),0), INDEX($AO$1004:$BQ$1004,1,MATCH(COLUMNS($AO$1006:BK1006),$AO$1006:$BQ$1006,0)))),"Fix")))</f>
        <v>#N/A</v>
      </c>
      <c r="Y803" s="5" t="e">
        <f ca="1">IF(OR(INDEX($AI$2:$AI$1001,MATCH(ROWS($AH$2:AH803),$AH$2:$AH$1001,0),1)&gt;=100000,INDEX($AO$1005:$BQ$1005,1,MATCH(COLUMNS($AO$1006:BL1006),$AO$1006:$BQ$1006,0))&gt;=100000), " ",IF(INDEX($AO$2:$BQ$1001,MATCH(ROWS($AH$2:AH803),$AH$2:$AH$1001,0),MATCH(COLUMNS($AO$1006:BL1006),$AO$1006:$BQ$1006,0)), HYPERLINK("#",""), HYPERLINK(CONCATENATE("#Metadata!", ADDRESS(INDEX($AJ$2:$AJ$1001,MATCH(ROWS($AH$2:AH803),$AH$2:$AH$1001,0),0), INDEX($AO$1004:$BQ$1004,1,MATCH(COLUMNS($AO$1006:BL1006),$AO$1006:$BQ$1006,0)))),"Fix")))</f>
        <v>#N/A</v>
      </c>
      <c r="Z803" s="5" t="e">
        <f ca="1">IF(OR(INDEX($AI$2:$AI$1001,MATCH(ROWS($AH$2:AH803),$AH$2:$AH$1001,0),1)&gt;=100000,INDEX($AO$1005:$BQ$1005,1,MATCH(COLUMNS($AO$1006:BM1006),$AO$1006:$BQ$1006,0))&gt;=100000), " ",IF(INDEX($AO$2:$BQ$1001,MATCH(ROWS($AH$2:AH803),$AH$2:$AH$1001,0),MATCH(COLUMNS($AO$1006:BM1006),$AO$1006:$BQ$1006,0)), HYPERLINK("#",""), HYPERLINK(CONCATENATE("#Metadata!", ADDRESS(INDEX($AJ$2:$AJ$1001,MATCH(ROWS($AH$2:AH803),$AH$2:$AH$1001,0),0), INDEX($AO$1004:$BQ$1004,1,MATCH(COLUMNS($AO$1006:BM1006),$AO$1006:$BQ$1006,0)))),"Fix")))</f>
        <v>#N/A</v>
      </c>
      <c r="AA803" s="5" t="e">
        <f ca="1">IF(OR(INDEX($AI$2:$AI$1001,MATCH(ROWS($AH$2:AH803),$AH$2:$AH$1001,0),1)&gt;=100000,INDEX($AO$1005:$BQ$1005,1,MATCH(COLUMNS($AO$1006:BN1006),$AO$1006:$BQ$1006,0))&gt;=100000), " ",IF(INDEX($AO$2:$BQ$1001,MATCH(ROWS($AH$2:AH803),$AH$2:$AH$1001,0),MATCH(COLUMNS($AO$1006:BN1006),$AO$1006:$BQ$1006,0)), HYPERLINK("#",""), HYPERLINK(CONCATENATE("#Metadata!", ADDRESS(INDEX($AJ$2:$AJ$1001,MATCH(ROWS($AH$2:AH803),$AH$2:$AH$1001,0),0), INDEX($AO$1004:$BQ$1004,1,MATCH(COLUMNS($AO$1006:BN1006),$AO$1006:$BQ$1006,0)))),"Fix")))</f>
        <v>#N/A</v>
      </c>
      <c r="AB803" s="5" t="e">
        <f ca="1">IF(OR(INDEX($AI$2:$AI$1001,MATCH(ROWS($AH$2:AH803),$AH$2:$AH$1001,0),1)&gt;=100000,INDEX($AO$1005:$BQ$1005,1,MATCH(COLUMNS($AO$1006:BO1006),$AO$1006:$BQ$1006,0))&gt;=100000), " ",IF(INDEX($AO$2:$BQ$1001,MATCH(ROWS($AH$2:AH803),$AH$2:$AH$1001,0),MATCH(COLUMNS($AO$1006:BO1006),$AO$1006:$BQ$1006,0)), HYPERLINK("#",""), HYPERLINK(CONCATENATE("#Metadata!", ADDRESS(INDEX($AJ$2:$AJ$1001,MATCH(ROWS($AH$2:AH803),$AH$2:$AH$1001,0),0), INDEX($AO$1004:$BQ$1004,1,MATCH(COLUMNS($AO$1006:BO1006),$AO$1006:$BQ$1006,0)))),"Fix")))</f>
        <v>#N/A</v>
      </c>
      <c r="AC803" s="5" t="e">
        <f ca="1">IF(OR(INDEX($AI$2:$AI$1001,MATCH(ROWS($AH$2:AH803),$AH$2:$AH$1001,0),1)&gt;=100000,INDEX($AO$1005:$BQ$1005,1,MATCH(COLUMNS($AO$1006:BP1006),$AO$1006:$BQ$1006,0))&gt;=100000), " ",IF(INDEX($AO$2:$BQ$1001,MATCH(ROWS($AH$2:AH803),$AH$2:$AH$1001,0),MATCH(COLUMNS($AO$1006:BP1006),$AO$1006:$BQ$1006,0)), HYPERLINK("#",""), HYPERLINK(CONCATENATE("#Metadata!", ADDRESS(INDEX($AJ$2:$AJ$1001,MATCH(ROWS($AH$2:AH803),$AH$2:$AH$1001,0),0), INDEX($AO$1004:$BQ$1004,1,MATCH(COLUMNS($AO$1006:BP1006),$AO$1006:$BQ$1006,0)))),"Fix")))</f>
        <v>#N/A</v>
      </c>
      <c r="AD803" s="5" t="e">
        <f ca="1">IF(OR(INDEX($AI$2:$AI$1001,MATCH(ROWS($AH$2:AH803),$AH$2:$AH$1001,0),1)&gt;=100000,INDEX($AO$1005:$BQ$1005,1,MATCH(COLUMNS($AO$1006:BQ1006),$AO$1006:$BQ$1006,0))&gt;=100000), " ",IF(INDEX($AO$2:$BQ$1001,MATCH(ROWS($AH$2:AH803),$AH$2:$AH$1001,0),MATCH(COLUMNS($AO$1006:BQ1006),$AO$1006:$BQ$1006,0)), HYPERLINK("#",""), HYPERLINK(CONCATENATE("#Metadata!", ADDRESS(INDEX($AJ$2:$AJ$1001,MATCH(ROWS($AH$2:AH803),$AH$2:$AH$1001,0),0), INDEX($AO$1004:$BQ$1004,1,MATCH(COLUMNS($AO$1006:BQ1006),$AO$1006:$BQ$1006,0)))),"Fix")))</f>
        <v>#REF!</v>
      </c>
      <c r="AH803">
        <f ca="1"/>
        <v>800</v>
      </c>
      <c r="AI803">
        <v>100803</v>
      </c>
      <c r="AJ803">
        <v>803</v>
      </c>
      <c r="AK803" t="b">
        <f t="shared" si="12"/>
        <v>1</v>
      </c>
      <c r="AL803" t="b">
        <f>COUNTBLANK(Metadata!B803:AD803)=COLUMNS(Metadata!B803:AD803)</f>
        <v>1</v>
      </c>
      <c r="AM803" t="str">
        <v/>
      </c>
      <c r="AO803" t="b">
        <f ca="1">AND(IF(Metadata!B803="",FALSE,TRUE),COUNTIF(Metadata!B:B, Metadata!B803) = 1,NOT(ISERROR(SUMPRODUCT(SEARCH(MID(Metadata!B803,ROW(INDIRECT("1:"&amp;LEN(Metadata!B803))), 1),"0123456789abcdefghijklmnopqrstuvwxyzABCDEFGHIJKLMNOPQRSTUVWXYZ.")))))</f>
        <v>0</v>
      </c>
      <c r="AP803" t="b">
        <f>IF(Metadata!C803="",FALSE,TRUE)</f>
        <v>0</v>
      </c>
      <c r="AQ803" t="b">
        <f>IF(Metadata!D803="",FALSE,TRUE)</f>
        <v>0</v>
      </c>
      <c r="AR803" t="b">
        <f ca="1">OR(AND(IF(Metadata!E803="",FALSE,TRUE),OR(EXACT(Metadata!E803,"not collected"),EXACT(Metadata!E803,"not provided"),EXACT(Metadata!E803,"restricted access"))),AND(IF(Metadata!E803="",FALSE,TRUE),AND(AND(IFERROR(INT(LEFT(Metadata!E803,4))&gt;1900,FALSE),IFERROR(INT(LEFT(Metadata!E803,4))&lt;=YEAR(NOW()),FALSE)), OR(MID(Metadata!E803,5,1)="", AND(AND(MID(Metadata!E803,5,1)="-",IFERROR(INT(MID(Metadata!E803,6,1))&gt;=0,FALSE),IFERROR(INT(MID(Metadata!E803,6,1))&lt;=1,FALSE),NOT(MID(Metadata!E803,7,1)=""),IFERROR(INT(MID(Metadata!E803,6,2))&gt;=1,FALSE),IFERROR(INT(MID(Metadata!E803,6,2))&lt;=12,FALSE)), OR(MID(Metadata!E803,8,1)="", AND(AND(MID(Metadata!E803,8,1)="-",IFERROR(INT(MID(Metadata!E803,9,1))&gt;=0,FALSE),IFERROR(INT(MID(Metadata!E803,9,1))&lt;=3,FALSE),NOT(MID(Metadata!E803,10,1)=""),IFERROR(INT(MID(Metadata!E803,9,2))&gt;=1,FALSE),IFERROR(INT(MID(Metadata!E803,9,2))&lt;=31,FALSE)), OR(MID(Metadata!E803,11,1)="", AND(AND(MID(Metadata!E803,11,1)=" ",IFERROR(INT(MID(Metadata!E803,12,1))&gt;=0,FALSE),IFERROR(INT(MID(Metadata!E803,12,1))&lt;=2,FALSE),NOT(MID(Metadata!E803,13,1)=""),IFERROR(INT(MID(Metadata!E803,12,2))&gt;=0,FALSE),IFERROR(INT(MID(Metadata!E803,12,2))&lt;=23,FALSE)), OR(MID(Metadata!E803,14,1)="", AND(AND(MID(Metadata!E803,14,1)=":",IFERROR(INT(MID(Metadata!E803,15,1))&gt;=0,FALSE),IFERROR(INT(MID(Metadata!E803,15,1))&lt;=5,FALSE),NOT(MID(Metadata!E803,16,1)=""),IFERROR(INT(MID(Metadata!E803,15,2))&gt;=0,FALSE),IFERROR(INT(MID(Metadata!E803,15,2))&lt;=59,FALSE)), OR(MID(Metadata!E803,17,1)="", AND(AND(MID(Metadata!E803,17,1)=":",IFERROR(INT(MID(Metadata!E803,18,1))&gt;=0,FALSE),IFERROR(INT(MID(Metadata!E803,18,1))&lt;=5,FALSE),NOT(MID(Metadata!E803,19,1)=""),IFERROR(INT(MID(Metadata!E803,18,2))&gt;=0,FALSE),IFERROR(INT(MID(Metadata!E803,18,2))&lt;=59,FALSE)), LEN(Metadata!E803)&lt;=19)))))))))))))</f>
        <v>0</v>
      </c>
      <c r="AS803" t="b">
        <f>IF(Metadata!F803="",FALSE,TRUE)</f>
        <v>0</v>
      </c>
      <c r="AT803" t="b">
        <f>OR(AND(IF(Metadata!G803="",FALSE,TRUE),OR(EXACT(Metadata!G803,"not collected"),EXACT(Metadata!G803,"not provided"))),AND(IF(Metadata!G803="",FALSE,TRUE),OR(EXACT(Metadata!G803,"TRUE"),EXACT(Metadata!G803,"FALSE"))))</f>
        <v>0</v>
      </c>
      <c r="AU803" t="b">
        <f>OR(AND(IF(Metadata!H803="",FALSE,TRUE),OR(EXACT(Metadata!H803,"not collected"),EXACT(Metadata!H803,"not provided"),EXACT(Metadata!H803,"restricted access"))),AND(IF(Metadata!H803="",FALSE,ISNUMBER(VALUE(Metadata!H803))),Metadata!H803&gt;=-413))</f>
        <v>0</v>
      </c>
      <c r="AV803" t="b">
        <f>AND(IF(Metadata!I803="",FALSE,TRUE),EXACT(Metadata!I803,"meters"))</f>
        <v>0</v>
      </c>
      <c r="AW803" t="b">
        <f>AND(IF(Metadata!J803="",FALSE,TRUE),EXACT(Metadata!J803,"free-living"))</f>
        <v>0</v>
      </c>
      <c r="AX803" t="b">
        <f>AND(IF(Metadata!K803="",FALSE,TRUE),OR(EXACT(Metadata!K803,"saline"),EXACT(Metadata!K803,"non-saline")))</f>
        <v>0</v>
      </c>
      <c r="AY803" t="b">
        <f>AND(IF(Metadata!L803="",FALSE,TRUE),OR(EXACT(Metadata!L803,"sub-surface (non-saline)"),EXACT(Metadata!L803,"surface (non-saline)"),EXACT(Metadata!L803,"water (non-saline)"),EXACT(Metadata!L803,"soil (non-saline)"),EXACT(Metadata!L803,"aerosol (non-saline)"),EXACT(Metadata!L803,"sediment (non-saline)"),EXACT(Metadata!L803,"surface (saline)"),EXACT(Metadata!L803,"water (saline)"),EXACT(Metadata!L803,"hypersaline (saline)"),EXACT(Metadata!L803,"aerosol (saline)"),EXACT(Metadata!L803,"sediment (saline)")))</f>
        <v>0</v>
      </c>
      <c r="AZ803" t="b">
        <f>IF(Metadata!M803="",FALSE,TRUE)</f>
        <v>0</v>
      </c>
      <c r="BA803" t="b">
        <f>IF(Metadata!N803="",FALSE,TRUE)</f>
        <v>0</v>
      </c>
      <c r="BB803" t="b">
        <f>IF(Metadata!O803="",FALSE,TRUE)</f>
        <v>0</v>
      </c>
      <c r="BC803" t="b">
        <f>AND(IF(Metadata!P803="",FALSE,TRUE),OR(EXACT(Metadata!P803,"air"),EXACT(Metadata!P803,"microbial mat/biofilm"),EXACT(Metadata!P803,"misc environment"),EXACT(Metadata!P803,"sediment"),EXACT(Metadata!P803,"soil"),EXACT(Metadata!P803,"wastewater/sludge"),EXACT(Metadata!P803,"water")))</f>
        <v>0</v>
      </c>
      <c r="BD803" t="b">
        <f>IF(Metadata!Q803="",FALSE,TRUE)</f>
        <v>0</v>
      </c>
      <c r="BE803" t="b">
        <f>IF(Metadata!R803="",FALSE,TRUE)</f>
        <v>0</v>
      </c>
      <c r="BF803" t="b">
        <f>OR(AND(IF(Metadata!S803="",FALSE,TRUE),OR(EXACT(Metadata!S803,"not collected"),EXACT(Metadata!S803,"not provided"),EXACT(Metadata!S803,"restricted access"))),AND(IF(Metadata!S803="",FALSE,ISNUMBER(VALUE(Metadata!S803))),Metadata!S803&gt;=-90,Metadata!S803&lt;=90))</f>
        <v>0</v>
      </c>
      <c r="BG803" t="b">
        <f>AND(IF(Metadata!T803="",FALSE,TRUE),EXACT(Metadata!T803,"Decimal degrees"))</f>
        <v>0</v>
      </c>
      <c r="BH803" t="b">
        <f>OR(AND(IF(Metadata!U803="",FALSE,TRUE),OR(EXACT(Metadata!U803,"not applicable"),EXACT(Metadata!U803,"not collected"))),IF(Metadata!U803="",FALSE,TRUE))</f>
        <v>0</v>
      </c>
      <c r="BI803" t="b">
        <f>OR(AND(IF(Metadata!V803="",FALSE,TRUE),OR(EXACT(Metadata!V803,"not collected"),EXACT(Metadata!V803,"not provided"),EXACT(Metadata!V803,"restricted access"))),AND(IF(Metadata!V803="",FALSE,ISNUMBER(VALUE(Metadata!V803))),Metadata!V803&gt;=-180,Metadata!V803&lt;=180))</f>
        <v>0</v>
      </c>
      <c r="BJ803" t="b">
        <f>AND(IF(Metadata!W803="",FALSE,TRUE),EXACT(Metadata!W803,"Decimal degrees"))</f>
        <v>0</v>
      </c>
      <c r="BK803" t="b">
        <f>IF(Metadata!X803="",FALSE,TRUE)</f>
        <v>0</v>
      </c>
      <c r="BL803" t="b">
        <f>OR(AND(IF(Metadata!Y803="",FALSE,TRUE),OR(EXACT(Metadata!Y803,"not collected"),EXACT(Metadata!Y803,"not provided"),EXACT(Metadata!Y803,"restricted access"))),AND(IF(Metadata!Y803="",FALSE,TRUE),OR(EXACT(Metadata!Y803,"TRUE"),EXACT(Metadata!Y803,"FALSE"))))</f>
        <v>0</v>
      </c>
      <c r="BM803" t="b">
        <f>OR(AND(IF(Metadata!Z803="",FALSE,TRUE),EXACT(Metadata!Z803,"not applicable")),AND(IF(Metadata!Z803="",FALSE,TRUE),OR(EXACT(Metadata!Z803,"beer"),EXACT(Metadata!Z803,"cheese"),EXACT(Metadata!Z803,"fresh water"),EXACT(Metadata!Z803,"marine sediment"),EXACT(Metadata!Z803,"sea water"),EXACT(Metadata!Z803,"sediment"),EXACT(Metadata!Z803,"soil"),EXACT(Metadata!Z803,"waste water"))))</f>
        <v>0</v>
      </c>
      <c r="BN803" t="b">
        <f>AND(IF(Metadata!AA803="",FALSE,TRUE),EXACT(Metadata!AA803,"metagenome"))</f>
        <v>0</v>
      </c>
      <c r="BO803" t="b">
        <f>AND(IF(Metadata!AB803="",FALSE,TRUE),EXACT(Metadata!AB803,"256318"))</f>
        <v>0</v>
      </c>
      <c r="BP803" t="b">
        <f>IF(Metadata!AC803="",FALSE,TRUE)</f>
        <v>0</v>
      </c>
      <c r="BQ803" t="b">
        <f>IF(Metadata!AD803="",FALSE,TRUE)</f>
        <v>0</v>
      </c>
    </row>
    <row r="804" spans="1:69" x14ac:dyDescent="0.2">
      <c r="A804" s="4" t="e">
        <f ca="1">IF(B804=" "," ",HYPERLINK(CONCATENATE("#metadata!",ADDRESS(INDEX($AJ$2:$AJ$1001,MATCH(ROWS($AH$2:AH804),$AH$2:$AH$1001,0),0),2)),INDEX($AM$2:$AM$1001,MATCH(ROWS($AH$2:AH804),$AH$2:$AH$1001,0),0)))</f>
        <v>#N/A</v>
      </c>
      <c r="B804" s="5" t="e">
        <f ca="1">IF(OR(INDEX($AI$2:$AI$1001,MATCH(ROWS($AH$2:AH804),$AH$2:$AH$1001,0),1)&gt;=100000,INDEX($AO$1005:$BQ$1005,1,MATCH(COLUMNS($AO$1006:AO1006),$AO$1006:$BQ$1006,0))&gt;=100000), " ",IF(INDEX($AO$2:$BQ$1001,MATCH(ROWS($AH$2:AH804),$AH$2:$AH$1001,0),MATCH(COLUMNS($AO$1006:AO1006),$AO$1006:$BQ$1006,0)), HYPERLINK("#",""), HYPERLINK(CONCATENATE("#Metadata!", ADDRESS(INDEX($AJ$2:$AJ$1001,MATCH(ROWS($AH$2:AH804),$AH$2:$AH$1001,0),0), INDEX($AO$1004:$BQ$1004,1,MATCH(COLUMNS($AO$1006:AO1006),$AO$1006:$BQ$1006,0)))),"Fix")))</f>
        <v>#N/A</v>
      </c>
      <c r="C804" s="5" t="e">
        <f ca="1">IF(OR(INDEX($AI$2:$AI$1001,MATCH(ROWS($AH$2:AH804),$AH$2:$AH$1001,0),1)&gt;=100000,INDEX($AO$1005:$BQ$1005,1,MATCH(COLUMNS($AO$1006:AP1006),$AO$1006:$BQ$1006,0))&gt;=100000), " ",IF(INDEX($AO$2:$BQ$1001,MATCH(ROWS($AH$2:AH804),$AH$2:$AH$1001,0),MATCH(COLUMNS($AO$1006:AP1006),$AO$1006:$BQ$1006,0)), HYPERLINK("#",""), HYPERLINK(CONCATENATE("#Metadata!", ADDRESS(INDEX($AJ$2:$AJ$1001,MATCH(ROWS($AH$2:AH804),$AH$2:$AH$1001,0),0), INDEX($AO$1004:$BQ$1004,1,MATCH(COLUMNS($AO$1006:AP1006),$AO$1006:$BQ$1006,0)))),"Fix")))</f>
        <v>#N/A</v>
      </c>
      <c r="D804" s="5" t="e">
        <f ca="1">IF(OR(INDEX($AI$2:$AI$1001,MATCH(ROWS($AH$2:AH804),$AH$2:$AH$1001,0),1)&gt;=100000,INDEX($AO$1005:$BQ$1005,1,MATCH(COLUMNS($AO$1006:AQ1006),$AO$1006:$BQ$1006,0))&gt;=100000), " ",IF(INDEX($AO$2:$BQ$1001,MATCH(ROWS($AH$2:AH804),$AH$2:$AH$1001,0),MATCH(COLUMNS($AO$1006:AQ1006),$AO$1006:$BQ$1006,0)), HYPERLINK("#",""), HYPERLINK(CONCATENATE("#Metadata!", ADDRESS(INDEX($AJ$2:$AJ$1001,MATCH(ROWS($AH$2:AH804),$AH$2:$AH$1001,0),0), INDEX($AO$1004:$BQ$1004,1,MATCH(COLUMNS($AO$1006:AQ1006),$AO$1006:$BQ$1006,0)))),"Fix")))</f>
        <v>#N/A</v>
      </c>
      <c r="E804" s="5" t="e">
        <f ca="1">IF(OR(INDEX($AI$2:$AI$1001,MATCH(ROWS($AH$2:AH804),$AH$2:$AH$1001,0),1)&gt;=100000,INDEX($AO$1005:$BQ$1005,1,MATCH(COLUMNS($AO$1006:AR1006),$AO$1006:$BQ$1006,0))&gt;=100000), " ",IF(INDEX($AO$2:$BQ$1001,MATCH(ROWS($AH$2:AH804),$AH$2:$AH$1001,0),MATCH(COLUMNS($AO$1006:AR1006),$AO$1006:$BQ$1006,0)), HYPERLINK("#",""), HYPERLINK(CONCATENATE("#Metadata!", ADDRESS(INDEX($AJ$2:$AJ$1001,MATCH(ROWS($AH$2:AH804),$AH$2:$AH$1001,0),0), INDEX($AO$1004:$BQ$1004,1,MATCH(COLUMNS($AO$1006:AR1006),$AO$1006:$BQ$1006,0)))),"Fix")))</f>
        <v>#N/A</v>
      </c>
      <c r="F804" s="5" t="e">
        <f ca="1">IF(OR(INDEX($AI$2:$AI$1001,MATCH(ROWS($AH$2:AH804),$AH$2:$AH$1001,0),1)&gt;=100000,INDEX($AO$1005:$BQ$1005,1,MATCH(COLUMNS($AO$1006:AS1006),$AO$1006:$BQ$1006,0))&gt;=100000), " ",IF(INDEX($AO$2:$BQ$1001,MATCH(ROWS($AH$2:AH804),$AH$2:$AH$1001,0),MATCH(COLUMNS($AO$1006:AS1006),$AO$1006:$BQ$1006,0)), HYPERLINK("#",""), HYPERLINK(CONCATENATE("#Metadata!", ADDRESS(INDEX($AJ$2:$AJ$1001,MATCH(ROWS($AH$2:AH804),$AH$2:$AH$1001,0),0), INDEX($AO$1004:$BQ$1004,1,MATCH(COLUMNS($AO$1006:AS1006),$AO$1006:$BQ$1006,0)))),"Fix")))</f>
        <v>#N/A</v>
      </c>
      <c r="G804" s="5" t="e">
        <f ca="1">IF(OR(INDEX($AI$2:$AI$1001,MATCH(ROWS($AH$2:AH804),$AH$2:$AH$1001,0),1)&gt;=100000,INDEX($AO$1005:$BQ$1005,1,MATCH(COLUMNS($AO$1006:AT1006),$AO$1006:$BQ$1006,0))&gt;=100000), " ",IF(INDEX($AO$2:$BQ$1001,MATCH(ROWS($AH$2:AH804),$AH$2:$AH$1001,0),MATCH(COLUMNS($AO$1006:AT1006),$AO$1006:$BQ$1006,0)), HYPERLINK("#",""), HYPERLINK(CONCATENATE("#Metadata!", ADDRESS(INDEX($AJ$2:$AJ$1001,MATCH(ROWS($AH$2:AH804),$AH$2:$AH$1001,0),0), INDEX($AO$1004:$BQ$1004,1,MATCH(COLUMNS($AO$1006:AT1006),$AO$1006:$BQ$1006,0)))),"Fix")))</f>
        <v>#N/A</v>
      </c>
      <c r="H804" s="5" t="e">
        <f ca="1">IF(OR(INDEX($AI$2:$AI$1001,MATCH(ROWS($AH$2:AH804),$AH$2:$AH$1001,0),1)&gt;=100000,INDEX($AO$1005:$BQ$1005,1,MATCH(COLUMNS($AO$1006:AU1006),$AO$1006:$BQ$1006,0))&gt;=100000), " ",IF(INDEX($AO$2:$BQ$1001,MATCH(ROWS($AH$2:AH804),$AH$2:$AH$1001,0),MATCH(COLUMNS($AO$1006:AU1006),$AO$1006:$BQ$1006,0)), HYPERLINK("#",""), HYPERLINK(CONCATENATE("#Metadata!", ADDRESS(INDEX($AJ$2:$AJ$1001,MATCH(ROWS($AH$2:AH804),$AH$2:$AH$1001,0),0), INDEX($AO$1004:$BQ$1004,1,MATCH(COLUMNS($AO$1006:AU1006),$AO$1006:$BQ$1006,0)))),"Fix")))</f>
        <v>#N/A</v>
      </c>
      <c r="I804" s="5" t="e">
        <f ca="1">IF(OR(INDEX($AI$2:$AI$1001,MATCH(ROWS($AH$2:AH804),$AH$2:$AH$1001,0),1)&gt;=100000,INDEX($AO$1005:$BQ$1005,1,MATCH(COLUMNS($AO$1006:AV1006),$AO$1006:$BQ$1006,0))&gt;=100000), " ",IF(INDEX($AO$2:$BQ$1001,MATCH(ROWS($AH$2:AH804),$AH$2:$AH$1001,0),MATCH(COLUMNS($AO$1006:AV1006),$AO$1006:$BQ$1006,0)), HYPERLINK("#",""), HYPERLINK(CONCATENATE("#Metadata!", ADDRESS(INDEX($AJ$2:$AJ$1001,MATCH(ROWS($AH$2:AH804),$AH$2:$AH$1001,0),0), INDEX($AO$1004:$BQ$1004,1,MATCH(COLUMNS($AO$1006:AV1006),$AO$1006:$BQ$1006,0)))),"Fix")))</f>
        <v>#N/A</v>
      </c>
      <c r="J804" s="5" t="e">
        <f ca="1">IF(OR(INDEX($AI$2:$AI$1001,MATCH(ROWS($AH$2:AH804),$AH$2:$AH$1001,0),1)&gt;=100000,INDEX($AO$1005:$BQ$1005,1,MATCH(COLUMNS($AO$1006:AW1006),$AO$1006:$BQ$1006,0))&gt;=100000), " ",IF(INDEX($AO$2:$BQ$1001,MATCH(ROWS($AH$2:AH804),$AH$2:$AH$1001,0),MATCH(COLUMNS($AO$1006:AW1006),$AO$1006:$BQ$1006,0)), HYPERLINK("#",""), HYPERLINK(CONCATENATE("#Metadata!", ADDRESS(INDEX($AJ$2:$AJ$1001,MATCH(ROWS($AH$2:AH804),$AH$2:$AH$1001,0),0), INDEX($AO$1004:$BQ$1004,1,MATCH(COLUMNS($AO$1006:AW1006),$AO$1006:$BQ$1006,0)))),"Fix")))</f>
        <v>#N/A</v>
      </c>
      <c r="K804" s="5" t="e">
        <f ca="1">IF(OR(INDEX($AI$2:$AI$1001,MATCH(ROWS($AH$2:AH804),$AH$2:$AH$1001,0),1)&gt;=100000,INDEX($AO$1005:$BQ$1005,1,MATCH(COLUMNS($AO$1006:AX1006),$AO$1006:$BQ$1006,0))&gt;=100000), " ",IF(INDEX($AO$2:$BQ$1001,MATCH(ROWS($AH$2:AH804),$AH$2:$AH$1001,0),MATCH(COLUMNS($AO$1006:AX1006),$AO$1006:$BQ$1006,0)), HYPERLINK("#",""), HYPERLINK(CONCATENATE("#Metadata!", ADDRESS(INDEX($AJ$2:$AJ$1001,MATCH(ROWS($AH$2:AH804),$AH$2:$AH$1001,0),0), INDEX($AO$1004:$BQ$1004,1,MATCH(COLUMNS($AO$1006:AX1006),$AO$1006:$BQ$1006,0)))),"Fix")))</f>
        <v>#N/A</v>
      </c>
      <c r="L804" s="5" t="e">
        <f ca="1">IF(OR(INDEX($AI$2:$AI$1001,MATCH(ROWS($AH$2:AH804),$AH$2:$AH$1001,0),1)&gt;=100000,INDEX($AO$1005:$BQ$1005,1,MATCH(COLUMNS($AO$1006:AY1006),$AO$1006:$BQ$1006,0))&gt;=100000), " ",IF(INDEX($AO$2:$BQ$1001,MATCH(ROWS($AH$2:AH804),$AH$2:$AH$1001,0),MATCH(COLUMNS($AO$1006:AY1006),$AO$1006:$BQ$1006,0)), HYPERLINK("#",""), HYPERLINK(CONCATENATE("#Metadata!", ADDRESS(INDEX($AJ$2:$AJ$1001,MATCH(ROWS($AH$2:AH804),$AH$2:$AH$1001,0),0), INDEX($AO$1004:$BQ$1004,1,MATCH(COLUMNS($AO$1006:AY1006),$AO$1006:$BQ$1006,0)))),"Fix")))</f>
        <v>#N/A</v>
      </c>
      <c r="M804" s="5" t="e">
        <f ca="1">IF(OR(INDEX($AI$2:$AI$1001,MATCH(ROWS($AH$2:AH804),$AH$2:$AH$1001,0),1)&gt;=100000,INDEX($AO$1005:$BQ$1005,1,MATCH(COLUMNS($AO$1006:AZ1006),$AO$1006:$BQ$1006,0))&gt;=100000), " ",IF(INDEX($AO$2:$BQ$1001,MATCH(ROWS($AH$2:AH804),$AH$2:$AH$1001,0),MATCH(COLUMNS($AO$1006:AZ1006),$AO$1006:$BQ$1006,0)), HYPERLINK("#",""), HYPERLINK(CONCATENATE("#Metadata!", ADDRESS(INDEX($AJ$2:$AJ$1001,MATCH(ROWS($AH$2:AH804),$AH$2:$AH$1001,0),0), INDEX($AO$1004:$BQ$1004,1,MATCH(COLUMNS($AO$1006:AZ1006),$AO$1006:$BQ$1006,0)))),"Fix")))</f>
        <v>#N/A</v>
      </c>
      <c r="N804" s="5" t="e">
        <f ca="1">IF(OR(INDEX($AI$2:$AI$1001,MATCH(ROWS($AH$2:AH804),$AH$2:$AH$1001,0),1)&gt;=100000,INDEX($AO$1005:$BQ$1005,1,MATCH(COLUMNS($AO$1006:BA1006),$AO$1006:$BQ$1006,0))&gt;=100000), " ",IF(INDEX($AO$2:$BQ$1001,MATCH(ROWS($AH$2:AH804),$AH$2:$AH$1001,0),MATCH(COLUMNS($AO$1006:BA1006),$AO$1006:$BQ$1006,0)), HYPERLINK("#",""), HYPERLINK(CONCATENATE("#Metadata!", ADDRESS(INDEX($AJ$2:$AJ$1001,MATCH(ROWS($AH$2:AH804),$AH$2:$AH$1001,0),0), INDEX($AO$1004:$BQ$1004,1,MATCH(COLUMNS($AO$1006:BA1006),$AO$1006:$BQ$1006,0)))),"Fix")))</f>
        <v>#N/A</v>
      </c>
      <c r="O804" s="5" t="e">
        <f ca="1">IF(OR(INDEX($AI$2:$AI$1001,MATCH(ROWS($AH$2:AH804),$AH$2:$AH$1001,0),1)&gt;=100000,INDEX($AO$1005:$BQ$1005,1,MATCH(COLUMNS($AO$1006:BB1006),$AO$1006:$BQ$1006,0))&gt;=100000), " ",IF(INDEX($AO$2:$BQ$1001,MATCH(ROWS($AH$2:AH804),$AH$2:$AH$1001,0),MATCH(COLUMNS($AO$1006:BB1006),$AO$1006:$BQ$1006,0)), HYPERLINK("#",""), HYPERLINK(CONCATENATE("#Metadata!", ADDRESS(INDEX($AJ$2:$AJ$1001,MATCH(ROWS($AH$2:AH804),$AH$2:$AH$1001,0),0), INDEX($AO$1004:$BQ$1004,1,MATCH(COLUMNS($AO$1006:BB1006),$AO$1006:$BQ$1006,0)))),"Fix")))</f>
        <v>#N/A</v>
      </c>
      <c r="P804" s="5" t="e">
        <f ca="1">IF(OR(INDEX($AI$2:$AI$1001,MATCH(ROWS($AH$2:AH804),$AH$2:$AH$1001,0),1)&gt;=100000,INDEX($AO$1005:$BQ$1005,1,MATCH(COLUMNS($AO$1006:BC1006),$AO$1006:$BQ$1006,0))&gt;=100000), " ",IF(INDEX($AO$2:$BQ$1001,MATCH(ROWS($AH$2:AH804),$AH$2:$AH$1001,0),MATCH(COLUMNS($AO$1006:BC1006),$AO$1006:$BQ$1006,0)), HYPERLINK("#",""), HYPERLINK(CONCATENATE("#Metadata!", ADDRESS(INDEX($AJ$2:$AJ$1001,MATCH(ROWS($AH$2:AH804),$AH$2:$AH$1001,0),0), INDEX($AO$1004:$BQ$1004,1,MATCH(COLUMNS($AO$1006:BC1006),$AO$1006:$BQ$1006,0)))),"Fix")))</f>
        <v>#N/A</v>
      </c>
      <c r="Q804" s="5" t="e">
        <f ca="1">IF(OR(INDEX($AI$2:$AI$1001,MATCH(ROWS($AH$2:AH804),$AH$2:$AH$1001,0),1)&gt;=100000,INDEX($AO$1005:$BQ$1005,1,MATCH(COLUMNS($AO$1006:BD1006),$AO$1006:$BQ$1006,0))&gt;=100000), " ",IF(INDEX($AO$2:$BQ$1001,MATCH(ROWS($AH$2:AH804),$AH$2:$AH$1001,0),MATCH(COLUMNS($AO$1006:BD1006),$AO$1006:$BQ$1006,0)), HYPERLINK("#",""), HYPERLINK(CONCATENATE("#Metadata!", ADDRESS(INDEX($AJ$2:$AJ$1001,MATCH(ROWS($AH$2:AH804),$AH$2:$AH$1001,0),0), INDEX($AO$1004:$BQ$1004,1,MATCH(COLUMNS($AO$1006:BD1006),$AO$1006:$BQ$1006,0)))),"Fix")))</f>
        <v>#N/A</v>
      </c>
      <c r="R804" s="5" t="e">
        <f ca="1">IF(OR(INDEX($AI$2:$AI$1001,MATCH(ROWS($AH$2:AH804),$AH$2:$AH$1001,0),1)&gt;=100000,INDEX($AO$1005:$BQ$1005,1,MATCH(COLUMNS($AO$1006:BE1006),$AO$1006:$BQ$1006,0))&gt;=100000), " ",IF(INDEX($AO$2:$BQ$1001,MATCH(ROWS($AH$2:AH804),$AH$2:$AH$1001,0),MATCH(COLUMNS($AO$1006:BE1006),$AO$1006:$BQ$1006,0)), HYPERLINK("#",""), HYPERLINK(CONCATENATE("#Metadata!", ADDRESS(INDEX($AJ$2:$AJ$1001,MATCH(ROWS($AH$2:AH804),$AH$2:$AH$1001,0),0), INDEX($AO$1004:$BQ$1004,1,MATCH(COLUMNS($AO$1006:BE1006),$AO$1006:$BQ$1006,0)))),"Fix")))</f>
        <v>#N/A</v>
      </c>
      <c r="S804" s="5" t="e">
        <f ca="1">IF(OR(INDEX($AI$2:$AI$1001,MATCH(ROWS($AH$2:AH804),$AH$2:$AH$1001,0),1)&gt;=100000,INDEX($AO$1005:$BQ$1005,1,MATCH(COLUMNS($AO$1006:BF1006),$AO$1006:$BQ$1006,0))&gt;=100000), " ",IF(INDEX($AO$2:$BQ$1001,MATCH(ROWS($AH$2:AH804),$AH$2:$AH$1001,0),MATCH(COLUMNS($AO$1006:BF1006),$AO$1006:$BQ$1006,0)), HYPERLINK("#",""), HYPERLINK(CONCATENATE("#Metadata!", ADDRESS(INDEX($AJ$2:$AJ$1001,MATCH(ROWS($AH$2:AH804),$AH$2:$AH$1001,0),0), INDEX($AO$1004:$BQ$1004,1,MATCH(COLUMNS($AO$1006:BF1006),$AO$1006:$BQ$1006,0)))),"Fix")))</f>
        <v>#N/A</v>
      </c>
      <c r="T804" s="5" t="e">
        <f ca="1">IF(OR(INDEX($AI$2:$AI$1001,MATCH(ROWS($AH$2:AH804),$AH$2:$AH$1001,0),1)&gt;=100000,INDEX($AO$1005:$BQ$1005,1,MATCH(COLUMNS($AO$1006:BG1006),$AO$1006:$BQ$1006,0))&gt;=100000), " ",IF(INDEX($AO$2:$BQ$1001,MATCH(ROWS($AH$2:AH804),$AH$2:$AH$1001,0),MATCH(COLUMNS($AO$1006:BG1006),$AO$1006:$BQ$1006,0)), HYPERLINK("#",""), HYPERLINK(CONCATENATE("#Metadata!", ADDRESS(INDEX($AJ$2:$AJ$1001,MATCH(ROWS($AH$2:AH804),$AH$2:$AH$1001,0),0), INDEX($AO$1004:$BQ$1004,1,MATCH(COLUMNS($AO$1006:BG1006),$AO$1006:$BQ$1006,0)))),"Fix")))</f>
        <v>#N/A</v>
      </c>
      <c r="U804" s="5" t="e">
        <f ca="1">IF(OR(INDEX($AI$2:$AI$1001,MATCH(ROWS($AH$2:AH804),$AH$2:$AH$1001,0),1)&gt;=100000,INDEX($AO$1005:$BQ$1005,1,MATCH(COLUMNS($AO$1006:BH1006),$AO$1006:$BQ$1006,0))&gt;=100000), " ",IF(INDEX($AO$2:$BQ$1001,MATCH(ROWS($AH$2:AH804),$AH$2:$AH$1001,0),MATCH(COLUMNS($AO$1006:BH1006),$AO$1006:$BQ$1006,0)), HYPERLINK("#",""), HYPERLINK(CONCATENATE("#Metadata!", ADDRESS(INDEX($AJ$2:$AJ$1001,MATCH(ROWS($AH$2:AH804),$AH$2:$AH$1001,0),0), INDEX($AO$1004:$BQ$1004,1,MATCH(COLUMNS($AO$1006:BH1006),$AO$1006:$BQ$1006,0)))),"Fix")))</f>
        <v>#N/A</v>
      </c>
      <c r="V804" s="5" t="e">
        <f ca="1">IF(OR(INDEX($AI$2:$AI$1001,MATCH(ROWS($AH$2:AH804),$AH$2:$AH$1001,0),1)&gt;=100000,INDEX($AO$1005:$BQ$1005,1,MATCH(COLUMNS($AO$1006:BI1006),$AO$1006:$BQ$1006,0))&gt;=100000), " ",IF(INDEX($AO$2:$BQ$1001,MATCH(ROWS($AH$2:AH804),$AH$2:$AH$1001,0),MATCH(COLUMNS($AO$1006:BI1006),$AO$1006:$BQ$1006,0)), HYPERLINK("#",""), HYPERLINK(CONCATENATE("#Metadata!", ADDRESS(INDEX($AJ$2:$AJ$1001,MATCH(ROWS($AH$2:AH804),$AH$2:$AH$1001,0),0), INDEX($AO$1004:$BQ$1004,1,MATCH(COLUMNS($AO$1006:BI1006),$AO$1006:$BQ$1006,0)))),"Fix")))</f>
        <v>#N/A</v>
      </c>
      <c r="W804" s="5" t="e">
        <f ca="1">IF(OR(INDEX($AI$2:$AI$1001,MATCH(ROWS($AH$2:AH804),$AH$2:$AH$1001,0),1)&gt;=100000,INDEX($AO$1005:$BQ$1005,1,MATCH(COLUMNS($AO$1006:BJ1006),$AO$1006:$BQ$1006,0))&gt;=100000), " ",IF(INDEX($AO$2:$BQ$1001,MATCH(ROWS($AH$2:AH804),$AH$2:$AH$1001,0),MATCH(COLUMNS($AO$1006:BJ1006),$AO$1006:$BQ$1006,0)), HYPERLINK("#",""), HYPERLINK(CONCATENATE("#Metadata!", ADDRESS(INDEX($AJ$2:$AJ$1001,MATCH(ROWS($AH$2:AH804),$AH$2:$AH$1001,0),0), INDEX($AO$1004:$BQ$1004,1,MATCH(COLUMNS($AO$1006:BJ1006),$AO$1006:$BQ$1006,0)))),"Fix")))</f>
        <v>#N/A</v>
      </c>
      <c r="X804" s="5" t="e">
        <f ca="1">IF(OR(INDEX($AI$2:$AI$1001,MATCH(ROWS($AH$2:AH804),$AH$2:$AH$1001,0),1)&gt;=100000,INDEX($AO$1005:$BQ$1005,1,MATCH(COLUMNS($AO$1006:BK1006),$AO$1006:$BQ$1006,0))&gt;=100000), " ",IF(INDEX($AO$2:$BQ$1001,MATCH(ROWS($AH$2:AH804),$AH$2:$AH$1001,0),MATCH(COLUMNS($AO$1006:BK1006),$AO$1006:$BQ$1006,0)), HYPERLINK("#",""), HYPERLINK(CONCATENATE("#Metadata!", ADDRESS(INDEX($AJ$2:$AJ$1001,MATCH(ROWS($AH$2:AH804),$AH$2:$AH$1001,0),0), INDEX($AO$1004:$BQ$1004,1,MATCH(COLUMNS($AO$1006:BK1006),$AO$1006:$BQ$1006,0)))),"Fix")))</f>
        <v>#N/A</v>
      </c>
      <c r="Y804" s="5" t="e">
        <f ca="1">IF(OR(INDEX($AI$2:$AI$1001,MATCH(ROWS($AH$2:AH804),$AH$2:$AH$1001,0),1)&gt;=100000,INDEX($AO$1005:$BQ$1005,1,MATCH(COLUMNS($AO$1006:BL1006),$AO$1006:$BQ$1006,0))&gt;=100000), " ",IF(INDEX($AO$2:$BQ$1001,MATCH(ROWS($AH$2:AH804),$AH$2:$AH$1001,0),MATCH(COLUMNS($AO$1006:BL1006),$AO$1006:$BQ$1006,0)), HYPERLINK("#",""), HYPERLINK(CONCATENATE("#Metadata!", ADDRESS(INDEX($AJ$2:$AJ$1001,MATCH(ROWS($AH$2:AH804),$AH$2:$AH$1001,0),0), INDEX($AO$1004:$BQ$1004,1,MATCH(COLUMNS($AO$1006:BL1006),$AO$1006:$BQ$1006,0)))),"Fix")))</f>
        <v>#N/A</v>
      </c>
      <c r="Z804" s="5" t="e">
        <f ca="1">IF(OR(INDEX($AI$2:$AI$1001,MATCH(ROWS($AH$2:AH804),$AH$2:$AH$1001,0),1)&gt;=100000,INDEX($AO$1005:$BQ$1005,1,MATCH(COLUMNS($AO$1006:BM1006),$AO$1006:$BQ$1006,0))&gt;=100000), " ",IF(INDEX($AO$2:$BQ$1001,MATCH(ROWS($AH$2:AH804),$AH$2:$AH$1001,0),MATCH(COLUMNS($AO$1006:BM1006),$AO$1006:$BQ$1006,0)), HYPERLINK("#",""), HYPERLINK(CONCATENATE("#Metadata!", ADDRESS(INDEX($AJ$2:$AJ$1001,MATCH(ROWS($AH$2:AH804),$AH$2:$AH$1001,0),0), INDEX($AO$1004:$BQ$1004,1,MATCH(COLUMNS($AO$1006:BM1006),$AO$1006:$BQ$1006,0)))),"Fix")))</f>
        <v>#N/A</v>
      </c>
      <c r="AA804" s="5" t="e">
        <f ca="1">IF(OR(INDEX($AI$2:$AI$1001,MATCH(ROWS($AH$2:AH804),$AH$2:$AH$1001,0),1)&gt;=100000,INDEX($AO$1005:$BQ$1005,1,MATCH(COLUMNS($AO$1006:BN1006),$AO$1006:$BQ$1006,0))&gt;=100000), " ",IF(INDEX($AO$2:$BQ$1001,MATCH(ROWS($AH$2:AH804),$AH$2:$AH$1001,0),MATCH(COLUMNS($AO$1006:BN1006),$AO$1006:$BQ$1006,0)), HYPERLINK("#",""), HYPERLINK(CONCATENATE("#Metadata!", ADDRESS(INDEX($AJ$2:$AJ$1001,MATCH(ROWS($AH$2:AH804),$AH$2:$AH$1001,0),0), INDEX($AO$1004:$BQ$1004,1,MATCH(COLUMNS($AO$1006:BN1006),$AO$1006:$BQ$1006,0)))),"Fix")))</f>
        <v>#N/A</v>
      </c>
      <c r="AB804" s="5" t="e">
        <f ca="1">IF(OR(INDEX($AI$2:$AI$1001,MATCH(ROWS($AH$2:AH804),$AH$2:$AH$1001,0),1)&gt;=100000,INDEX($AO$1005:$BQ$1005,1,MATCH(COLUMNS($AO$1006:BO1006),$AO$1006:$BQ$1006,0))&gt;=100000), " ",IF(INDEX($AO$2:$BQ$1001,MATCH(ROWS($AH$2:AH804),$AH$2:$AH$1001,0),MATCH(COLUMNS($AO$1006:BO1006),$AO$1006:$BQ$1006,0)), HYPERLINK("#",""), HYPERLINK(CONCATENATE("#Metadata!", ADDRESS(INDEX($AJ$2:$AJ$1001,MATCH(ROWS($AH$2:AH804),$AH$2:$AH$1001,0),0), INDEX($AO$1004:$BQ$1004,1,MATCH(COLUMNS($AO$1006:BO1006),$AO$1006:$BQ$1006,0)))),"Fix")))</f>
        <v>#N/A</v>
      </c>
      <c r="AC804" s="5" t="e">
        <f ca="1">IF(OR(INDEX($AI$2:$AI$1001,MATCH(ROWS($AH$2:AH804),$AH$2:$AH$1001,0),1)&gt;=100000,INDEX($AO$1005:$BQ$1005,1,MATCH(COLUMNS($AO$1006:BP1006),$AO$1006:$BQ$1006,0))&gt;=100000), " ",IF(INDEX($AO$2:$BQ$1001,MATCH(ROWS($AH$2:AH804),$AH$2:$AH$1001,0),MATCH(COLUMNS($AO$1006:BP1006),$AO$1006:$BQ$1006,0)), HYPERLINK("#",""), HYPERLINK(CONCATENATE("#Metadata!", ADDRESS(INDEX($AJ$2:$AJ$1001,MATCH(ROWS($AH$2:AH804),$AH$2:$AH$1001,0),0), INDEX($AO$1004:$BQ$1004,1,MATCH(COLUMNS($AO$1006:BP1006),$AO$1006:$BQ$1006,0)))),"Fix")))</f>
        <v>#N/A</v>
      </c>
      <c r="AD804" s="5" t="e">
        <f ca="1">IF(OR(INDEX($AI$2:$AI$1001,MATCH(ROWS($AH$2:AH804),$AH$2:$AH$1001,0),1)&gt;=100000,INDEX($AO$1005:$BQ$1005,1,MATCH(COLUMNS($AO$1006:BQ1006),$AO$1006:$BQ$1006,0))&gt;=100000), " ",IF(INDEX($AO$2:$BQ$1001,MATCH(ROWS($AH$2:AH804),$AH$2:$AH$1001,0),MATCH(COLUMNS($AO$1006:BQ1006),$AO$1006:$BQ$1006,0)), HYPERLINK("#",""), HYPERLINK(CONCATENATE("#Metadata!", ADDRESS(INDEX($AJ$2:$AJ$1001,MATCH(ROWS($AH$2:AH804),$AH$2:$AH$1001,0),0), INDEX($AO$1004:$BQ$1004,1,MATCH(COLUMNS($AO$1006:BQ1006),$AO$1006:$BQ$1006,0)))),"Fix")))</f>
        <v>#REF!</v>
      </c>
      <c r="AH804">
        <f ca="1"/>
        <v>801</v>
      </c>
      <c r="AI804">
        <v>100804</v>
      </c>
      <c r="AJ804">
        <v>804</v>
      </c>
      <c r="AK804" t="b">
        <f t="shared" si="12"/>
        <v>1</v>
      </c>
      <c r="AL804" t="b">
        <f>COUNTBLANK(Metadata!B804:AD804)=COLUMNS(Metadata!B804:AD804)</f>
        <v>1</v>
      </c>
      <c r="AM804" t="str">
        <v/>
      </c>
      <c r="AO804" t="b">
        <f ca="1">AND(IF(Metadata!B804="",FALSE,TRUE),COUNTIF(Metadata!B:B, Metadata!B804) = 1,NOT(ISERROR(SUMPRODUCT(SEARCH(MID(Metadata!B804,ROW(INDIRECT("1:"&amp;LEN(Metadata!B804))), 1),"0123456789abcdefghijklmnopqrstuvwxyzABCDEFGHIJKLMNOPQRSTUVWXYZ.")))))</f>
        <v>0</v>
      </c>
      <c r="AP804" t="b">
        <f>IF(Metadata!C804="",FALSE,TRUE)</f>
        <v>0</v>
      </c>
      <c r="AQ804" t="b">
        <f>IF(Metadata!D804="",FALSE,TRUE)</f>
        <v>0</v>
      </c>
      <c r="AR804" t="b">
        <f ca="1">OR(AND(IF(Metadata!E804="",FALSE,TRUE),OR(EXACT(Metadata!E804,"not collected"),EXACT(Metadata!E804,"not provided"),EXACT(Metadata!E804,"restricted access"))),AND(IF(Metadata!E804="",FALSE,TRUE),AND(AND(IFERROR(INT(LEFT(Metadata!E804,4))&gt;1900,FALSE),IFERROR(INT(LEFT(Metadata!E804,4))&lt;=YEAR(NOW()),FALSE)), OR(MID(Metadata!E804,5,1)="", AND(AND(MID(Metadata!E804,5,1)="-",IFERROR(INT(MID(Metadata!E804,6,1))&gt;=0,FALSE),IFERROR(INT(MID(Metadata!E804,6,1))&lt;=1,FALSE),NOT(MID(Metadata!E804,7,1)=""),IFERROR(INT(MID(Metadata!E804,6,2))&gt;=1,FALSE),IFERROR(INT(MID(Metadata!E804,6,2))&lt;=12,FALSE)), OR(MID(Metadata!E804,8,1)="", AND(AND(MID(Metadata!E804,8,1)="-",IFERROR(INT(MID(Metadata!E804,9,1))&gt;=0,FALSE),IFERROR(INT(MID(Metadata!E804,9,1))&lt;=3,FALSE),NOT(MID(Metadata!E804,10,1)=""),IFERROR(INT(MID(Metadata!E804,9,2))&gt;=1,FALSE),IFERROR(INT(MID(Metadata!E804,9,2))&lt;=31,FALSE)), OR(MID(Metadata!E804,11,1)="", AND(AND(MID(Metadata!E804,11,1)=" ",IFERROR(INT(MID(Metadata!E804,12,1))&gt;=0,FALSE),IFERROR(INT(MID(Metadata!E804,12,1))&lt;=2,FALSE),NOT(MID(Metadata!E804,13,1)=""),IFERROR(INT(MID(Metadata!E804,12,2))&gt;=0,FALSE),IFERROR(INT(MID(Metadata!E804,12,2))&lt;=23,FALSE)), OR(MID(Metadata!E804,14,1)="", AND(AND(MID(Metadata!E804,14,1)=":",IFERROR(INT(MID(Metadata!E804,15,1))&gt;=0,FALSE),IFERROR(INT(MID(Metadata!E804,15,1))&lt;=5,FALSE),NOT(MID(Metadata!E804,16,1)=""),IFERROR(INT(MID(Metadata!E804,15,2))&gt;=0,FALSE),IFERROR(INT(MID(Metadata!E804,15,2))&lt;=59,FALSE)), OR(MID(Metadata!E804,17,1)="", AND(AND(MID(Metadata!E804,17,1)=":",IFERROR(INT(MID(Metadata!E804,18,1))&gt;=0,FALSE),IFERROR(INT(MID(Metadata!E804,18,1))&lt;=5,FALSE),NOT(MID(Metadata!E804,19,1)=""),IFERROR(INT(MID(Metadata!E804,18,2))&gt;=0,FALSE),IFERROR(INT(MID(Metadata!E804,18,2))&lt;=59,FALSE)), LEN(Metadata!E804)&lt;=19)))))))))))))</f>
        <v>0</v>
      </c>
      <c r="AS804" t="b">
        <f>IF(Metadata!F804="",FALSE,TRUE)</f>
        <v>0</v>
      </c>
      <c r="AT804" t="b">
        <f>OR(AND(IF(Metadata!G804="",FALSE,TRUE),OR(EXACT(Metadata!G804,"not collected"),EXACT(Metadata!G804,"not provided"))),AND(IF(Metadata!G804="",FALSE,TRUE),OR(EXACT(Metadata!G804,"TRUE"),EXACT(Metadata!G804,"FALSE"))))</f>
        <v>0</v>
      </c>
      <c r="AU804" t="b">
        <f>OR(AND(IF(Metadata!H804="",FALSE,TRUE),OR(EXACT(Metadata!H804,"not collected"),EXACT(Metadata!H804,"not provided"),EXACT(Metadata!H804,"restricted access"))),AND(IF(Metadata!H804="",FALSE,ISNUMBER(VALUE(Metadata!H804))),Metadata!H804&gt;=-413))</f>
        <v>0</v>
      </c>
      <c r="AV804" t="b">
        <f>AND(IF(Metadata!I804="",FALSE,TRUE),EXACT(Metadata!I804,"meters"))</f>
        <v>0</v>
      </c>
      <c r="AW804" t="b">
        <f>AND(IF(Metadata!J804="",FALSE,TRUE),EXACT(Metadata!J804,"free-living"))</f>
        <v>0</v>
      </c>
      <c r="AX804" t="b">
        <f>AND(IF(Metadata!K804="",FALSE,TRUE),OR(EXACT(Metadata!K804,"saline"),EXACT(Metadata!K804,"non-saline")))</f>
        <v>0</v>
      </c>
      <c r="AY804" t="b">
        <f>AND(IF(Metadata!L804="",FALSE,TRUE),OR(EXACT(Metadata!L804,"sub-surface (non-saline)"),EXACT(Metadata!L804,"surface (non-saline)"),EXACT(Metadata!L804,"water (non-saline)"),EXACT(Metadata!L804,"soil (non-saline)"),EXACT(Metadata!L804,"aerosol (non-saline)"),EXACT(Metadata!L804,"sediment (non-saline)"),EXACT(Metadata!L804,"surface (saline)"),EXACT(Metadata!L804,"water (saline)"),EXACT(Metadata!L804,"hypersaline (saline)"),EXACT(Metadata!L804,"aerosol (saline)"),EXACT(Metadata!L804,"sediment (saline)")))</f>
        <v>0</v>
      </c>
      <c r="AZ804" t="b">
        <f>IF(Metadata!M804="",FALSE,TRUE)</f>
        <v>0</v>
      </c>
      <c r="BA804" t="b">
        <f>IF(Metadata!N804="",FALSE,TRUE)</f>
        <v>0</v>
      </c>
      <c r="BB804" t="b">
        <f>IF(Metadata!O804="",FALSE,TRUE)</f>
        <v>0</v>
      </c>
      <c r="BC804" t="b">
        <f>AND(IF(Metadata!P804="",FALSE,TRUE),OR(EXACT(Metadata!P804,"air"),EXACT(Metadata!P804,"microbial mat/biofilm"),EXACT(Metadata!P804,"misc environment"),EXACT(Metadata!P804,"sediment"),EXACT(Metadata!P804,"soil"),EXACT(Metadata!P804,"wastewater/sludge"),EXACT(Metadata!P804,"water")))</f>
        <v>0</v>
      </c>
      <c r="BD804" t="b">
        <f>IF(Metadata!Q804="",FALSE,TRUE)</f>
        <v>0</v>
      </c>
      <c r="BE804" t="b">
        <f>IF(Metadata!R804="",FALSE,TRUE)</f>
        <v>0</v>
      </c>
      <c r="BF804" t="b">
        <f>OR(AND(IF(Metadata!S804="",FALSE,TRUE),OR(EXACT(Metadata!S804,"not collected"),EXACT(Metadata!S804,"not provided"),EXACT(Metadata!S804,"restricted access"))),AND(IF(Metadata!S804="",FALSE,ISNUMBER(VALUE(Metadata!S804))),Metadata!S804&gt;=-90,Metadata!S804&lt;=90))</f>
        <v>0</v>
      </c>
      <c r="BG804" t="b">
        <f>AND(IF(Metadata!T804="",FALSE,TRUE),EXACT(Metadata!T804,"Decimal degrees"))</f>
        <v>0</v>
      </c>
      <c r="BH804" t="b">
        <f>OR(AND(IF(Metadata!U804="",FALSE,TRUE),OR(EXACT(Metadata!U804,"not applicable"),EXACT(Metadata!U804,"not collected"))),IF(Metadata!U804="",FALSE,TRUE))</f>
        <v>0</v>
      </c>
      <c r="BI804" t="b">
        <f>OR(AND(IF(Metadata!V804="",FALSE,TRUE),OR(EXACT(Metadata!V804,"not collected"),EXACT(Metadata!V804,"not provided"),EXACT(Metadata!V804,"restricted access"))),AND(IF(Metadata!V804="",FALSE,ISNUMBER(VALUE(Metadata!V804))),Metadata!V804&gt;=-180,Metadata!V804&lt;=180))</f>
        <v>0</v>
      </c>
      <c r="BJ804" t="b">
        <f>AND(IF(Metadata!W804="",FALSE,TRUE),EXACT(Metadata!W804,"Decimal degrees"))</f>
        <v>0</v>
      </c>
      <c r="BK804" t="b">
        <f>IF(Metadata!X804="",FALSE,TRUE)</f>
        <v>0</v>
      </c>
      <c r="BL804" t="b">
        <f>OR(AND(IF(Metadata!Y804="",FALSE,TRUE),OR(EXACT(Metadata!Y804,"not collected"),EXACT(Metadata!Y804,"not provided"),EXACT(Metadata!Y804,"restricted access"))),AND(IF(Metadata!Y804="",FALSE,TRUE),OR(EXACT(Metadata!Y804,"TRUE"),EXACT(Metadata!Y804,"FALSE"))))</f>
        <v>0</v>
      </c>
      <c r="BM804" t="b">
        <f>OR(AND(IF(Metadata!Z804="",FALSE,TRUE),EXACT(Metadata!Z804,"not applicable")),AND(IF(Metadata!Z804="",FALSE,TRUE),OR(EXACT(Metadata!Z804,"beer"),EXACT(Metadata!Z804,"cheese"),EXACT(Metadata!Z804,"fresh water"),EXACT(Metadata!Z804,"marine sediment"),EXACT(Metadata!Z804,"sea water"),EXACT(Metadata!Z804,"sediment"),EXACT(Metadata!Z804,"soil"),EXACT(Metadata!Z804,"waste water"))))</f>
        <v>0</v>
      </c>
      <c r="BN804" t="b">
        <f>AND(IF(Metadata!AA804="",FALSE,TRUE),EXACT(Metadata!AA804,"metagenome"))</f>
        <v>0</v>
      </c>
      <c r="BO804" t="b">
        <f>AND(IF(Metadata!AB804="",FALSE,TRUE),EXACT(Metadata!AB804,"256318"))</f>
        <v>0</v>
      </c>
      <c r="BP804" t="b">
        <f>IF(Metadata!AC804="",FALSE,TRUE)</f>
        <v>0</v>
      </c>
      <c r="BQ804" t="b">
        <f>IF(Metadata!AD804="",FALSE,TRUE)</f>
        <v>0</v>
      </c>
    </row>
    <row r="805" spans="1:69" x14ac:dyDescent="0.2">
      <c r="A805" s="4" t="e">
        <f ca="1">IF(B805=" "," ",HYPERLINK(CONCATENATE("#metadata!",ADDRESS(INDEX($AJ$2:$AJ$1001,MATCH(ROWS($AH$2:AH805),$AH$2:$AH$1001,0),0),2)),INDEX($AM$2:$AM$1001,MATCH(ROWS($AH$2:AH805),$AH$2:$AH$1001,0),0)))</f>
        <v>#N/A</v>
      </c>
      <c r="B805" s="5" t="e">
        <f ca="1">IF(OR(INDEX($AI$2:$AI$1001,MATCH(ROWS($AH$2:AH805),$AH$2:$AH$1001,0),1)&gt;=100000,INDEX($AO$1005:$BQ$1005,1,MATCH(COLUMNS($AO$1006:AO1006),$AO$1006:$BQ$1006,0))&gt;=100000), " ",IF(INDEX($AO$2:$BQ$1001,MATCH(ROWS($AH$2:AH805),$AH$2:$AH$1001,0),MATCH(COLUMNS($AO$1006:AO1006),$AO$1006:$BQ$1006,0)), HYPERLINK("#",""), HYPERLINK(CONCATENATE("#Metadata!", ADDRESS(INDEX($AJ$2:$AJ$1001,MATCH(ROWS($AH$2:AH805),$AH$2:$AH$1001,0),0), INDEX($AO$1004:$BQ$1004,1,MATCH(COLUMNS($AO$1006:AO1006),$AO$1006:$BQ$1006,0)))),"Fix")))</f>
        <v>#N/A</v>
      </c>
      <c r="C805" s="5" t="e">
        <f ca="1">IF(OR(INDEX($AI$2:$AI$1001,MATCH(ROWS($AH$2:AH805),$AH$2:$AH$1001,0),1)&gt;=100000,INDEX($AO$1005:$BQ$1005,1,MATCH(COLUMNS($AO$1006:AP1006),$AO$1006:$BQ$1006,0))&gt;=100000), " ",IF(INDEX($AO$2:$BQ$1001,MATCH(ROWS($AH$2:AH805),$AH$2:$AH$1001,0),MATCH(COLUMNS($AO$1006:AP1006),$AO$1006:$BQ$1006,0)), HYPERLINK("#",""), HYPERLINK(CONCATENATE("#Metadata!", ADDRESS(INDEX($AJ$2:$AJ$1001,MATCH(ROWS($AH$2:AH805),$AH$2:$AH$1001,0),0), INDEX($AO$1004:$BQ$1004,1,MATCH(COLUMNS($AO$1006:AP1006),$AO$1006:$BQ$1006,0)))),"Fix")))</f>
        <v>#N/A</v>
      </c>
      <c r="D805" s="5" t="e">
        <f ca="1">IF(OR(INDEX($AI$2:$AI$1001,MATCH(ROWS($AH$2:AH805),$AH$2:$AH$1001,0),1)&gt;=100000,INDEX($AO$1005:$BQ$1005,1,MATCH(COLUMNS($AO$1006:AQ1006),$AO$1006:$BQ$1006,0))&gt;=100000), " ",IF(INDEX($AO$2:$BQ$1001,MATCH(ROWS($AH$2:AH805),$AH$2:$AH$1001,0),MATCH(COLUMNS($AO$1006:AQ1006),$AO$1006:$BQ$1006,0)), HYPERLINK("#",""), HYPERLINK(CONCATENATE("#Metadata!", ADDRESS(INDEX($AJ$2:$AJ$1001,MATCH(ROWS($AH$2:AH805),$AH$2:$AH$1001,0),0), INDEX($AO$1004:$BQ$1004,1,MATCH(COLUMNS($AO$1006:AQ1006),$AO$1006:$BQ$1006,0)))),"Fix")))</f>
        <v>#N/A</v>
      </c>
      <c r="E805" s="5" t="e">
        <f ca="1">IF(OR(INDEX($AI$2:$AI$1001,MATCH(ROWS($AH$2:AH805),$AH$2:$AH$1001,0),1)&gt;=100000,INDEX($AO$1005:$BQ$1005,1,MATCH(COLUMNS($AO$1006:AR1006),$AO$1006:$BQ$1006,0))&gt;=100000), " ",IF(INDEX($AO$2:$BQ$1001,MATCH(ROWS($AH$2:AH805),$AH$2:$AH$1001,0),MATCH(COLUMNS($AO$1006:AR1006),$AO$1006:$BQ$1006,0)), HYPERLINK("#",""), HYPERLINK(CONCATENATE("#Metadata!", ADDRESS(INDEX($AJ$2:$AJ$1001,MATCH(ROWS($AH$2:AH805),$AH$2:$AH$1001,0),0), INDEX($AO$1004:$BQ$1004,1,MATCH(COLUMNS($AO$1006:AR1006),$AO$1006:$BQ$1006,0)))),"Fix")))</f>
        <v>#N/A</v>
      </c>
      <c r="F805" s="5" t="e">
        <f ca="1">IF(OR(INDEX($AI$2:$AI$1001,MATCH(ROWS($AH$2:AH805),$AH$2:$AH$1001,0),1)&gt;=100000,INDEX($AO$1005:$BQ$1005,1,MATCH(COLUMNS($AO$1006:AS1006),$AO$1006:$BQ$1006,0))&gt;=100000), " ",IF(INDEX($AO$2:$BQ$1001,MATCH(ROWS($AH$2:AH805),$AH$2:$AH$1001,0),MATCH(COLUMNS($AO$1006:AS1006),$AO$1006:$BQ$1006,0)), HYPERLINK("#",""), HYPERLINK(CONCATENATE("#Metadata!", ADDRESS(INDEX($AJ$2:$AJ$1001,MATCH(ROWS($AH$2:AH805),$AH$2:$AH$1001,0),0), INDEX($AO$1004:$BQ$1004,1,MATCH(COLUMNS($AO$1006:AS1006),$AO$1006:$BQ$1006,0)))),"Fix")))</f>
        <v>#N/A</v>
      </c>
      <c r="G805" s="5" t="e">
        <f ca="1">IF(OR(INDEX($AI$2:$AI$1001,MATCH(ROWS($AH$2:AH805),$AH$2:$AH$1001,0),1)&gt;=100000,INDEX($AO$1005:$BQ$1005,1,MATCH(COLUMNS($AO$1006:AT1006),$AO$1006:$BQ$1006,0))&gt;=100000), " ",IF(INDEX($AO$2:$BQ$1001,MATCH(ROWS($AH$2:AH805),$AH$2:$AH$1001,0),MATCH(COLUMNS($AO$1006:AT1006),$AO$1006:$BQ$1006,0)), HYPERLINK("#",""), HYPERLINK(CONCATENATE("#Metadata!", ADDRESS(INDEX($AJ$2:$AJ$1001,MATCH(ROWS($AH$2:AH805),$AH$2:$AH$1001,0),0), INDEX($AO$1004:$BQ$1004,1,MATCH(COLUMNS($AO$1006:AT1006),$AO$1006:$BQ$1006,0)))),"Fix")))</f>
        <v>#N/A</v>
      </c>
      <c r="H805" s="5" t="e">
        <f ca="1">IF(OR(INDEX($AI$2:$AI$1001,MATCH(ROWS($AH$2:AH805),$AH$2:$AH$1001,0),1)&gt;=100000,INDEX($AO$1005:$BQ$1005,1,MATCH(COLUMNS($AO$1006:AU1006),$AO$1006:$BQ$1006,0))&gt;=100000), " ",IF(INDEX($AO$2:$BQ$1001,MATCH(ROWS($AH$2:AH805),$AH$2:$AH$1001,0),MATCH(COLUMNS($AO$1006:AU1006),$AO$1006:$BQ$1006,0)), HYPERLINK("#",""), HYPERLINK(CONCATENATE("#Metadata!", ADDRESS(INDEX($AJ$2:$AJ$1001,MATCH(ROWS($AH$2:AH805),$AH$2:$AH$1001,0),0), INDEX($AO$1004:$BQ$1004,1,MATCH(COLUMNS($AO$1006:AU1006),$AO$1006:$BQ$1006,0)))),"Fix")))</f>
        <v>#N/A</v>
      </c>
      <c r="I805" s="5" t="e">
        <f ca="1">IF(OR(INDEX($AI$2:$AI$1001,MATCH(ROWS($AH$2:AH805),$AH$2:$AH$1001,0),1)&gt;=100000,INDEX($AO$1005:$BQ$1005,1,MATCH(COLUMNS($AO$1006:AV1006),$AO$1006:$BQ$1006,0))&gt;=100000), " ",IF(INDEX($AO$2:$BQ$1001,MATCH(ROWS($AH$2:AH805),$AH$2:$AH$1001,0),MATCH(COLUMNS($AO$1006:AV1006),$AO$1006:$BQ$1006,0)), HYPERLINK("#",""), HYPERLINK(CONCATENATE("#Metadata!", ADDRESS(INDEX($AJ$2:$AJ$1001,MATCH(ROWS($AH$2:AH805),$AH$2:$AH$1001,0),0), INDEX($AO$1004:$BQ$1004,1,MATCH(COLUMNS($AO$1006:AV1006),$AO$1006:$BQ$1006,0)))),"Fix")))</f>
        <v>#N/A</v>
      </c>
      <c r="J805" s="5" t="e">
        <f ca="1">IF(OR(INDEX($AI$2:$AI$1001,MATCH(ROWS($AH$2:AH805),$AH$2:$AH$1001,0),1)&gt;=100000,INDEX($AO$1005:$BQ$1005,1,MATCH(COLUMNS($AO$1006:AW1006),$AO$1006:$BQ$1006,0))&gt;=100000), " ",IF(INDEX($AO$2:$BQ$1001,MATCH(ROWS($AH$2:AH805),$AH$2:$AH$1001,0),MATCH(COLUMNS($AO$1006:AW1006),$AO$1006:$BQ$1006,0)), HYPERLINK("#",""), HYPERLINK(CONCATENATE("#Metadata!", ADDRESS(INDEX($AJ$2:$AJ$1001,MATCH(ROWS($AH$2:AH805),$AH$2:$AH$1001,0),0), INDEX($AO$1004:$BQ$1004,1,MATCH(COLUMNS($AO$1006:AW1006),$AO$1006:$BQ$1006,0)))),"Fix")))</f>
        <v>#N/A</v>
      </c>
      <c r="K805" s="5" t="e">
        <f ca="1">IF(OR(INDEX($AI$2:$AI$1001,MATCH(ROWS($AH$2:AH805),$AH$2:$AH$1001,0),1)&gt;=100000,INDEX($AO$1005:$BQ$1005,1,MATCH(COLUMNS($AO$1006:AX1006),$AO$1006:$BQ$1006,0))&gt;=100000), " ",IF(INDEX($AO$2:$BQ$1001,MATCH(ROWS($AH$2:AH805),$AH$2:$AH$1001,0),MATCH(COLUMNS($AO$1006:AX1006),$AO$1006:$BQ$1006,0)), HYPERLINK("#",""), HYPERLINK(CONCATENATE("#Metadata!", ADDRESS(INDEX($AJ$2:$AJ$1001,MATCH(ROWS($AH$2:AH805),$AH$2:$AH$1001,0),0), INDEX($AO$1004:$BQ$1004,1,MATCH(COLUMNS($AO$1006:AX1006),$AO$1006:$BQ$1006,0)))),"Fix")))</f>
        <v>#N/A</v>
      </c>
      <c r="L805" s="5" t="e">
        <f ca="1">IF(OR(INDEX($AI$2:$AI$1001,MATCH(ROWS($AH$2:AH805),$AH$2:$AH$1001,0),1)&gt;=100000,INDEX($AO$1005:$BQ$1005,1,MATCH(COLUMNS($AO$1006:AY1006),$AO$1006:$BQ$1006,0))&gt;=100000), " ",IF(INDEX($AO$2:$BQ$1001,MATCH(ROWS($AH$2:AH805),$AH$2:$AH$1001,0),MATCH(COLUMNS($AO$1006:AY1006),$AO$1006:$BQ$1006,0)), HYPERLINK("#",""), HYPERLINK(CONCATENATE("#Metadata!", ADDRESS(INDEX($AJ$2:$AJ$1001,MATCH(ROWS($AH$2:AH805),$AH$2:$AH$1001,0),0), INDEX($AO$1004:$BQ$1004,1,MATCH(COLUMNS($AO$1006:AY1006),$AO$1006:$BQ$1006,0)))),"Fix")))</f>
        <v>#N/A</v>
      </c>
      <c r="M805" s="5" t="e">
        <f ca="1">IF(OR(INDEX($AI$2:$AI$1001,MATCH(ROWS($AH$2:AH805),$AH$2:$AH$1001,0),1)&gt;=100000,INDEX($AO$1005:$BQ$1005,1,MATCH(COLUMNS($AO$1006:AZ1006),$AO$1006:$BQ$1006,0))&gt;=100000), " ",IF(INDEX($AO$2:$BQ$1001,MATCH(ROWS($AH$2:AH805),$AH$2:$AH$1001,0),MATCH(COLUMNS($AO$1006:AZ1006),$AO$1006:$BQ$1006,0)), HYPERLINK("#",""), HYPERLINK(CONCATENATE("#Metadata!", ADDRESS(INDEX($AJ$2:$AJ$1001,MATCH(ROWS($AH$2:AH805),$AH$2:$AH$1001,0),0), INDEX($AO$1004:$BQ$1004,1,MATCH(COLUMNS($AO$1006:AZ1006),$AO$1006:$BQ$1006,0)))),"Fix")))</f>
        <v>#N/A</v>
      </c>
      <c r="N805" s="5" t="e">
        <f ca="1">IF(OR(INDEX($AI$2:$AI$1001,MATCH(ROWS($AH$2:AH805),$AH$2:$AH$1001,0),1)&gt;=100000,INDEX($AO$1005:$BQ$1005,1,MATCH(COLUMNS($AO$1006:BA1006),$AO$1006:$BQ$1006,0))&gt;=100000), " ",IF(INDEX($AO$2:$BQ$1001,MATCH(ROWS($AH$2:AH805),$AH$2:$AH$1001,0),MATCH(COLUMNS($AO$1006:BA1006),$AO$1006:$BQ$1006,0)), HYPERLINK("#",""), HYPERLINK(CONCATENATE("#Metadata!", ADDRESS(INDEX($AJ$2:$AJ$1001,MATCH(ROWS($AH$2:AH805),$AH$2:$AH$1001,0),0), INDEX($AO$1004:$BQ$1004,1,MATCH(COLUMNS($AO$1006:BA1006),$AO$1006:$BQ$1006,0)))),"Fix")))</f>
        <v>#N/A</v>
      </c>
      <c r="O805" s="5" t="e">
        <f ca="1">IF(OR(INDEX($AI$2:$AI$1001,MATCH(ROWS($AH$2:AH805),$AH$2:$AH$1001,0),1)&gt;=100000,INDEX($AO$1005:$BQ$1005,1,MATCH(COLUMNS($AO$1006:BB1006),$AO$1006:$BQ$1006,0))&gt;=100000), " ",IF(INDEX($AO$2:$BQ$1001,MATCH(ROWS($AH$2:AH805),$AH$2:$AH$1001,0),MATCH(COLUMNS($AO$1006:BB1006),$AO$1006:$BQ$1006,0)), HYPERLINK("#",""), HYPERLINK(CONCATENATE("#Metadata!", ADDRESS(INDEX($AJ$2:$AJ$1001,MATCH(ROWS($AH$2:AH805),$AH$2:$AH$1001,0),0), INDEX($AO$1004:$BQ$1004,1,MATCH(COLUMNS($AO$1006:BB1006),$AO$1006:$BQ$1006,0)))),"Fix")))</f>
        <v>#N/A</v>
      </c>
      <c r="P805" s="5" t="e">
        <f ca="1">IF(OR(INDEX($AI$2:$AI$1001,MATCH(ROWS($AH$2:AH805),$AH$2:$AH$1001,0),1)&gt;=100000,INDEX($AO$1005:$BQ$1005,1,MATCH(COLUMNS($AO$1006:BC1006),$AO$1006:$BQ$1006,0))&gt;=100000), " ",IF(INDEX($AO$2:$BQ$1001,MATCH(ROWS($AH$2:AH805),$AH$2:$AH$1001,0),MATCH(COLUMNS($AO$1006:BC1006),$AO$1006:$BQ$1006,0)), HYPERLINK("#",""), HYPERLINK(CONCATENATE("#Metadata!", ADDRESS(INDEX($AJ$2:$AJ$1001,MATCH(ROWS($AH$2:AH805),$AH$2:$AH$1001,0),0), INDEX($AO$1004:$BQ$1004,1,MATCH(COLUMNS($AO$1006:BC1006),$AO$1006:$BQ$1006,0)))),"Fix")))</f>
        <v>#N/A</v>
      </c>
      <c r="Q805" s="5" t="e">
        <f ca="1">IF(OR(INDEX($AI$2:$AI$1001,MATCH(ROWS($AH$2:AH805),$AH$2:$AH$1001,0),1)&gt;=100000,INDEX($AO$1005:$BQ$1005,1,MATCH(COLUMNS($AO$1006:BD1006),$AO$1006:$BQ$1006,0))&gt;=100000), " ",IF(INDEX($AO$2:$BQ$1001,MATCH(ROWS($AH$2:AH805),$AH$2:$AH$1001,0),MATCH(COLUMNS($AO$1006:BD1006),$AO$1006:$BQ$1006,0)), HYPERLINK("#",""), HYPERLINK(CONCATENATE("#Metadata!", ADDRESS(INDEX($AJ$2:$AJ$1001,MATCH(ROWS($AH$2:AH805),$AH$2:$AH$1001,0),0), INDEX($AO$1004:$BQ$1004,1,MATCH(COLUMNS($AO$1006:BD1006),$AO$1006:$BQ$1006,0)))),"Fix")))</f>
        <v>#N/A</v>
      </c>
      <c r="R805" s="5" t="e">
        <f ca="1">IF(OR(INDEX($AI$2:$AI$1001,MATCH(ROWS($AH$2:AH805),$AH$2:$AH$1001,0),1)&gt;=100000,INDEX($AO$1005:$BQ$1005,1,MATCH(COLUMNS($AO$1006:BE1006),$AO$1006:$BQ$1006,0))&gt;=100000), " ",IF(INDEX($AO$2:$BQ$1001,MATCH(ROWS($AH$2:AH805),$AH$2:$AH$1001,0),MATCH(COLUMNS($AO$1006:BE1006),$AO$1006:$BQ$1006,0)), HYPERLINK("#",""), HYPERLINK(CONCATENATE("#Metadata!", ADDRESS(INDEX($AJ$2:$AJ$1001,MATCH(ROWS($AH$2:AH805),$AH$2:$AH$1001,0),0), INDEX($AO$1004:$BQ$1004,1,MATCH(COLUMNS($AO$1006:BE1006),$AO$1006:$BQ$1006,0)))),"Fix")))</f>
        <v>#N/A</v>
      </c>
      <c r="S805" s="5" t="e">
        <f ca="1">IF(OR(INDEX($AI$2:$AI$1001,MATCH(ROWS($AH$2:AH805),$AH$2:$AH$1001,0),1)&gt;=100000,INDEX($AO$1005:$BQ$1005,1,MATCH(COLUMNS($AO$1006:BF1006),$AO$1006:$BQ$1006,0))&gt;=100000), " ",IF(INDEX($AO$2:$BQ$1001,MATCH(ROWS($AH$2:AH805),$AH$2:$AH$1001,0),MATCH(COLUMNS($AO$1006:BF1006),$AO$1006:$BQ$1006,0)), HYPERLINK("#",""), HYPERLINK(CONCATENATE("#Metadata!", ADDRESS(INDEX($AJ$2:$AJ$1001,MATCH(ROWS($AH$2:AH805),$AH$2:$AH$1001,0),0), INDEX($AO$1004:$BQ$1004,1,MATCH(COLUMNS($AO$1006:BF1006),$AO$1006:$BQ$1006,0)))),"Fix")))</f>
        <v>#N/A</v>
      </c>
      <c r="T805" s="5" t="e">
        <f ca="1">IF(OR(INDEX($AI$2:$AI$1001,MATCH(ROWS($AH$2:AH805),$AH$2:$AH$1001,0),1)&gt;=100000,INDEX($AO$1005:$BQ$1005,1,MATCH(COLUMNS($AO$1006:BG1006),$AO$1006:$BQ$1006,0))&gt;=100000), " ",IF(INDEX($AO$2:$BQ$1001,MATCH(ROWS($AH$2:AH805),$AH$2:$AH$1001,0),MATCH(COLUMNS($AO$1006:BG1006),$AO$1006:$BQ$1006,0)), HYPERLINK("#",""), HYPERLINK(CONCATENATE("#Metadata!", ADDRESS(INDEX($AJ$2:$AJ$1001,MATCH(ROWS($AH$2:AH805),$AH$2:$AH$1001,0),0), INDEX($AO$1004:$BQ$1004,1,MATCH(COLUMNS($AO$1006:BG1006),$AO$1006:$BQ$1006,0)))),"Fix")))</f>
        <v>#N/A</v>
      </c>
      <c r="U805" s="5" t="e">
        <f ca="1">IF(OR(INDEX($AI$2:$AI$1001,MATCH(ROWS($AH$2:AH805),$AH$2:$AH$1001,0),1)&gt;=100000,INDEX($AO$1005:$BQ$1005,1,MATCH(COLUMNS($AO$1006:BH1006),$AO$1006:$BQ$1006,0))&gt;=100000), " ",IF(INDEX($AO$2:$BQ$1001,MATCH(ROWS($AH$2:AH805),$AH$2:$AH$1001,0),MATCH(COLUMNS($AO$1006:BH1006),$AO$1006:$BQ$1006,0)), HYPERLINK("#",""), HYPERLINK(CONCATENATE("#Metadata!", ADDRESS(INDEX($AJ$2:$AJ$1001,MATCH(ROWS($AH$2:AH805),$AH$2:$AH$1001,0),0), INDEX($AO$1004:$BQ$1004,1,MATCH(COLUMNS($AO$1006:BH1006),$AO$1006:$BQ$1006,0)))),"Fix")))</f>
        <v>#N/A</v>
      </c>
      <c r="V805" s="5" t="e">
        <f ca="1">IF(OR(INDEX($AI$2:$AI$1001,MATCH(ROWS($AH$2:AH805),$AH$2:$AH$1001,0),1)&gt;=100000,INDEX($AO$1005:$BQ$1005,1,MATCH(COLUMNS($AO$1006:BI1006),$AO$1006:$BQ$1006,0))&gt;=100000), " ",IF(INDEX($AO$2:$BQ$1001,MATCH(ROWS($AH$2:AH805),$AH$2:$AH$1001,0),MATCH(COLUMNS($AO$1006:BI1006),$AO$1006:$BQ$1006,0)), HYPERLINK("#",""), HYPERLINK(CONCATENATE("#Metadata!", ADDRESS(INDEX($AJ$2:$AJ$1001,MATCH(ROWS($AH$2:AH805),$AH$2:$AH$1001,0),0), INDEX($AO$1004:$BQ$1004,1,MATCH(COLUMNS($AO$1006:BI1006),$AO$1006:$BQ$1006,0)))),"Fix")))</f>
        <v>#N/A</v>
      </c>
      <c r="W805" s="5" t="e">
        <f ca="1">IF(OR(INDEX($AI$2:$AI$1001,MATCH(ROWS($AH$2:AH805),$AH$2:$AH$1001,0),1)&gt;=100000,INDEX($AO$1005:$BQ$1005,1,MATCH(COLUMNS($AO$1006:BJ1006),$AO$1006:$BQ$1006,0))&gt;=100000), " ",IF(INDEX($AO$2:$BQ$1001,MATCH(ROWS($AH$2:AH805),$AH$2:$AH$1001,0),MATCH(COLUMNS($AO$1006:BJ1006),$AO$1006:$BQ$1006,0)), HYPERLINK("#",""), HYPERLINK(CONCATENATE("#Metadata!", ADDRESS(INDEX($AJ$2:$AJ$1001,MATCH(ROWS($AH$2:AH805),$AH$2:$AH$1001,0),0), INDEX($AO$1004:$BQ$1004,1,MATCH(COLUMNS($AO$1006:BJ1006),$AO$1006:$BQ$1006,0)))),"Fix")))</f>
        <v>#N/A</v>
      </c>
      <c r="X805" s="5" t="e">
        <f ca="1">IF(OR(INDEX($AI$2:$AI$1001,MATCH(ROWS($AH$2:AH805),$AH$2:$AH$1001,0),1)&gt;=100000,INDEX($AO$1005:$BQ$1005,1,MATCH(COLUMNS($AO$1006:BK1006),$AO$1006:$BQ$1006,0))&gt;=100000), " ",IF(INDEX($AO$2:$BQ$1001,MATCH(ROWS($AH$2:AH805),$AH$2:$AH$1001,0),MATCH(COLUMNS($AO$1006:BK1006),$AO$1006:$BQ$1006,0)), HYPERLINK("#",""), HYPERLINK(CONCATENATE("#Metadata!", ADDRESS(INDEX($AJ$2:$AJ$1001,MATCH(ROWS($AH$2:AH805),$AH$2:$AH$1001,0),0), INDEX($AO$1004:$BQ$1004,1,MATCH(COLUMNS($AO$1006:BK1006),$AO$1006:$BQ$1006,0)))),"Fix")))</f>
        <v>#N/A</v>
      </c>
      <c r="Y805" s="5" t="e">
        <f ca="1">IF(OR(INDEX($AI$2:$AI$1001,MATCH(ROWS($AH$2:AH805),$AH$2:$AH$1001,0),1)&gt;=100000,INDEX($AO$1005:$BQ$1005,1,MATCH(COLUMNS($AO$1006:BL1006),$AO$1006:$BQ$1006,0))&gt;=100000), " ",IF(INDEX($AO$2:$BQ$1001,MATCH(ROWS($AH$2:AH805),$AH$2:$AH$1001,0),MATCH(COLUMNS($AO$1006:BL1006),$AO$1006:$BQ$1006,0)), HYPERLINK("#",""), HYPERLINK(CONCATENATE("#Metadata!", ADDRESS(INDEX($AJ$2:$AJ$1001,MATCH(ROWS($AH$2:AH805),$AH$2:$AH$1001,0),0), INDEX($AO$1004:$BQ$1004,1,MATCH(COLUMNS($AO$1006:BL1006),$AO$1006:$BQ$1006,0)))),"Fix")))</f>
        <v>#N/A</v>
      </c>
      <c r="Z805" s="5" t="e">
        <f ca="1">IF(OR(INDEX($AI$2:$AI$1001,MATCH(ROWS($AH$2:AH805),$AH$2:$AH$1001,0),1)&gt;=100000,INDEX($AO$1005:$BQ$1005,1,MATCH(COLUMNS($AO$1006:BM1006),$AO$1006:$BQ$1006,0))&gt;=100000), " ",IF(INDEX($AO$2:$BQ$1001,MATCH(ROWS($AH$2:AH805),$AH$2:$AH$1001,0),MATCH(COLUMNS($AO$1006:BM1006),$AO$1006:$BQ$1006,0)), HYPERLINK("#",""), HYPERLINK(CONCATENATE("#Metadata!", ADDRESS(INDEX($AJ$2:$AJ$1001,MATCH(ROWS($AH$2:AH805),$AH$2:$AH$1001,0),0), INDEX($AO$1004:$BQ$1004,1,MATCH(COLUMNS($AO$1006:BM1006),$AO$1006:$BQ$1006,0)))),"Fix")))</f>
        <v>#N/A</v>
      </c>
      <c r="AA805" s="5" t="e">
        <f ca="1">IF(OR(INDEX($AI$2:$AI$1001,MATCH(ROWS($AH$2:AH805),$AH$2:$AH$1001,0),1)&gt;=100000,INDEX($AO$1005:$BQ$1005,1,MATCH(COLUMNS($AO$1006:BN1006),$AO$1006:$BQ$1006,0))&gt;=100000), " ",IF(INDEX($AO$2:$BQ$1001,MATCH(ROWS($AH$2:AH805),$AH$2:$AH$1001,0),MATCH(COLUMNS($AO$1006:BN1006),$AO$1006:$BQ$1006,0)), HYPERLINK("#",""), HYPERLINK(CONCATENATE("#Metadata!", ADDRESS(INDEX($AJ$2:$AJ$1001,MATCH(ROWS($AH$2:AH805),$AH$2:$AH$1001,0),0), INDEX($AO$1004:$BQ$1004,1,MATCH(COLUMNS($AO$1006:BN1006),$AO$1006:$BQ$1006,0)))),"Fix")))</f>
        <v>#N/A</v>
      </c>
      <c r="AB805" s="5" t="e">
        <f ca="1">IF(OR(INDEX($AI$2:$AI$1001,MATCH(ROWS($AH$2:AH805),$AH$2:$AH$1001,0),1)&gt;=100000,INDEX($AO$1005:$BQ$1005,1,MATCH(COLUMNS($AO$1006:BO1006),$AO$1006:$BQ$1006,0))&gt;=100000), " ",IF(INDEX($AO$2:$BQ$1001,MATCH(ROWS($AH$2:AH805),$AH$2:$AH$1001,0),MATCH(COLUMNS($AO$1006:BO1006),$AO$1006:$BQ$1006,0)), HYPERLINK("#",""), HYPERLINK(CONCATENATE("#Metadata!", ADDRESS(INDEX($AJ$2:$AJ$1001,MATCH(ROWS($AH$2:AH805),$AH$2:$AH$1001,0),0), INDEX($AO$1004:$BQ$1004,1,MATCH(COLUMNS($AO$1006:BO1006),$AO$1006:$BQ$1006,0)))),"Fix")))</f>
        <v>#N/A</v>
      </c>
      <c r="AC805" s="5" t="e">
        <f ca="1">IF(OR(INDEX($AI$2:$AI$1001,MATCH(ROWS($AH$2:AH805),$AH$2:$AH$1001,0),1)&gt;=100000,INDEX($AO$1005:$BQ$1005,1,MATCH(COLUMNS($AO$1006:BP1006),$AO$1006:$BQ$1006,0))&gt;=100000), " ",IF(INDEX($AO$2:$BQ$1001,MATCH(ROWS($AH$2:AH805),$AH$2:$AH$1001,0),MATCH(COLUMNS($AO$1006:BP1006),$AO$1006:$BQ$1006,0)), HYPERLINK("#",""), HYPERLINK(CONCATENATE("#Metadata!", ADDRESS(INDEX($AJ$2:$AJ$1001,MATCH(ROWS($AH$2:AH805),$AH$2:$AH$1001,0),0), INDEX($AO$1004:$BQ$1004,1,MATCH(COLUMNS($AO$1006:BP1006),$AO$1006:$BQ$1006,0)))),"Fix")))</f>
        <v>#N/A</v>
      </c>
      <c r="AD805" s="5" t="e">
        <f ca="1">IF(OR(INDEX($AI$2:$AI$1001,MATCH(ROWS($AH$2:AH805),$AH$2:$AH$1001,0),1)&gt;=100000,INDEX($AO$1005:$BQ$1005,1,MATCH(COLUMNS($AO$1006:BQ1006),$AO$1006:$BQ$1006,0))&gt;=100000), " ",IF(INDEX($AO$2:$BQ$1001,MATCH(ROWS($AH$2:AH805),$AH$2:$AH$1001,0),MATCH(COLUMNS($AO$1006:BQ1006),$AO$1006:$BQ$1006,0)), HYPERLINK("#",""), HYPERLINK(CONCATENATE("#Metadata!", ADDRESS(INDEX($AJ$2:$AJ$1001,MATCH(ROWS($AH$2:AH805),$AH$2:$AH$1001,0),0), INDEX($AO$1004:$BQ$1004,1,MATCH(COLUMNS($AO$1006:BQ1006),$AO$1006:$BQ$1006,0)))),"Fix")))</f>
        <v>#REF!</v>
      </c>
      <c r="AH805">
        <f ca="1"/>
        <v>802</v>
      </c>
      <c r="AI805">
        <v>100805</v>
      </c>
      <c r="AJ805">
        <v>805</v>
      </c>
      <c r="AK805" t="b">
        <f t="shared" si="12"/>
        <v>1</v>
      </c>
      <c r="AL805" t="b">
        <f>COUNTBLANK(Metadata!B805:AD805)=COLUMNS(Metadata!B805:AD805)</f>
        <v>1</v>
      </c>
      <c r="AM805" t="str">
        <v/>
      </c>
      <c r="AO805" t="b">
        <f ca="1">AND(IF(Metadata!B805="",FALSE,TRUE),COUNTIF(Metadata!B:B, Metadata!B805) = 1,NOT(ISERROR(SUMPRODUCT(SEARCH(MID(Metadata!B805,ROW(INDIRECT("1:"&amp;LEN(Metadata!B805))), 1),"0123456789abcdefghijklmnopqrstuvwxyzABCDEFGHIJKLMNOPQRSTUVWXYZ.")))))</f>
        <v>0</v>
      </c>
      <c r="AP805" t="b">
        <f>IF(Metadata!C805="",FALSE,TRUE)</f>
        <v>0</v>
      </c>
      <c r="AQ805" t="b">
        <f>IF(Metadata!D805="",FALSE,TRUE)</f>
        <v>0</v>
      </c>
      <c r="AR805" t="b">
        <f ca="1">OR(AND(IF(Metadata!E805="",FALSE,TRUE),OR(EXACT(Metadata!E805,"not collected"),EXACT(Metadata!E805,"not provided"),EXACT(Metadata!E805,"restricted access"))),AND(IF(Metadata!E805="",FALSE,TRUE),AND(AND(IFERROR(INT(LEFT(Metadata!E805,4))&gt;1900,FALSE),IFERROR(INT(LEFT(Metadata!E805,4))&lt;=YEAR(NOW()),FALSE)), OR(MID(Metadata!E805,5,1)="", AND(AND(MID(Metadata!E805,5,1)="-",IFERROR(INT(MID(Metadata!E805,6,1))&gt;=0,FALSE),IFERROR(INT(MID(Metadata!E805,6,1))&lt;=1,FALSE),NOT(MID(Metadata!E805,7,1)=""),IFERROR(INT(MID(Metadata!E805,6,2))&gt;=1,FALSE),IFERROR(INT(MID(Metadata!E805,6,2))&lt;=12,FALSE)), OR(MID(Metadata!E805,8,1)="", AND(AND(MID(Metadata!E805,8,1)="-",IFERROR(INT(MID(Metadata!E805,9,1))&gt;=0,FALSE),IFERROR(INT(MID(Metadata!E805,9,1))&lt;=3,FALSE),NOT(MID(Metadata!E805,10,1)=""),IFERROR(INT(MID(Metadata!E805,9,2))&gt;=1,FALSE),IFERROR(INT(MID(Metadata!E805,9,2))&lt;=31,FALSE)), OR(MID(Metadata!E805,11,1)="", AND(AND(MID(Metadata!E805,11,1)=" ",IFERROR(INT(MID(Metadata!E805,12,1))&gt;=0,FALSE),IFERROR(INT(MID(Metadata!E805,12,1))&lt;=2,FALSE),NOT(MID(Metadata!E805,13,1)=""),IFERROR(INT(MID(Metadata!E805,12,2))&gt;=0,FALSE),IFERROR(INT(MID(Metadata!E805,12,2))&lt;=23,FALSE)), OR(MID(Metadata!E805,14,1)="", AND(AND(MID(Metadata!E805,14,1)=":",IFERROR(INT(MID(Metadata!E805,15,1))&gt;=0,FALSE),IFERROR(INT(MID(Metadata!E805,15,1))&lt;=5,FALSE),NOT(MID(Metadata!E805,16,1)=""),IFERROR(INT(MID(Metadata!E805,15,2))&gt;=0,FALSE),IFERROR(INT(MID(Metadata!E805,15,2))&lt;=59,FALSE)), OR(MID(Metadata!E805,17,1)="", AND(AND(MID(Metadata!E805,17,1)=":",IFERROR(INT(MID(Metadata!E805,18,1))&gt;=0,FALSE),IFERROR(INT(MID(Metadata!E805,18,1))&lt;=5,FALSE),NOT(MID(Metadata!E805,19,1)=""),IFERROR(INT(MID(Metadata!E805,18,2))&gt;=0,FALSE),IFERROR(INT(MID(Metadata!E805,18,2))&lt;=59,FALSE)), LEN(Metadata!E805)&lt;=19)))))))))))))</f>
        <v>0</v>
      </c>
      <c r="AS805" t="b">
        <f>IF(Metadata!F805="",FALSE,TRUE)</f>
        <v>0</v>
      </c>
      <c r="AT805" t="b">
        <f>OR(AND(IF(Metadata!G805="",FALSE,TRUE),OR(EXACT(Metadata!G805,"not collected"),EXACT(Metadata!G805,"not provided"))),AND(IF(Metadata!G805="",FALSE,TRUE),OR(EXACT(Metadata!G805,"TRUE"),EXACT(Metadata!G805,"FALSE"))))</f>
        <v>0</v>
      </c>
      <c r="AU805" t="b">
        <f>OR(AND(IF(Metadata!H805="",FALSE,TRUE),OR(EXACT(Metadata!H805,"not collected"),EXACT(Metadata!H805,"not provided"),EXACT(Metadata!H805,"restricted access"))),AND(IF(Metadata!H805="",FALSE,ISNUMBER(VALUE(Metadata!H805))),Metadata!H805&gt;=-413))</f>
        <v>0</v>
      </c>
      <c r="AV805" t="b">
        <f>AND(IF(Metadata!I805="",FALSE,TRUE),EXACT(Metadata!I805,"meters"))</f>
        <v>0</v>
      </c>
      <c r="AW805" t="b">
        <f>AND(IF(Metadata!J805="",FALSE,TRUE),EXACT(Metadata!J805,"free-living"))</f>
        <v>0</v>
      </c>
      <c r="AX805" t="b">
        <f>AND(IF(Metadata!K805="",FALSE,TRUE),OR(EXACT(Metadata!K805,"saline"),EXACT(Metadata!K805,"non-saline")))</f>
        <v>0</v>
      </c>
      <c r="AY805" t="b">
        <f>AND(IF(Metadata!L805="",FALSE,TRUE),OR(EXACT(Metadata!L805,"sub-surface (non-saline)"),EXACT(Metadata!L805,"surface (non-saline)"),EXACT(Metadata!L805,"water (non-saline)"),EXACT(Metadata!L805,"soil (non-saline)"),EXACT(Metadata!L805,"aerosol (non-saline)"),EXACT(Metadata!L805,"sediment (non-saline)"),EXACT(Metadata!L805,"surface (saline)"),EXACT(Metadata!L805,"water (saline)"),EXACT(Metadata!L805,"hypersaline (saline)"),EXACT(Metadata!L805,"aerosol (saline)"),EXACT(Metadata!L805,"sediment (saline)")))</f>
        <v>0</v>
      </c>
      <c r="AZ805" t="b">
        <f>IF(Metadata!M805="",FALSE,TRUE)</f>
        <v>0</v>
      </c>
      <c r="BA805" t="b">
        <f>IF(Metadata!N805="",FALSE,TRUE)</f>
        <v>0</v>
      </c>
      <c r="BB805" t="b">
        <f>IF(Metadata!O805="",FALSE,TRUE)</f>
        <v>0</v>
      </c>
      <c r="BC805" t="b">
        <f>AND(IF(Metadata!P805="",FALSE,TRUE),OR(EXACT(Metadata!P805,"air"),EXACT(Metadata!P805,"microbial mat/biofilm"),EXACT(Metadata!P805,"misc environment"),EXACT(Metadata!P805,"sediment"),EXACT(Metadata!P805,"soil"),EXACT(Metadata!P805,"wastewater/sludge"),EXACT(Metadata!P805,"water")))</f>
        <v>0</v>
      </c>
      <c r="BD805" t="b">
        <f>IF(Metadata!Q805="",FALSE,TRUE)</f>
        <v>0</v>
      </c>
      <c r="BE805" t="b">
        <f>IF(Metadata!R805="",FALSE,TRUE)</f>
        <v>0</v>
      </c>
      <c r="BF805" t="b">
        <f>OR(AND(IF(Metadata!S805="",FALSE,TRUE),OR(EXACT(Metadata!S805,"not collected"),EXACT(Metadata!S805,"not provided"),EXACT(Metadata!S805,"restricted access"))),AND(IF(Metadata!S805="",FALSE,ISNUMBER(VALUE(Metadata!S805))),Metadata!S805&gt;=-90,Metadata!S805&lt;=90))</f>
        <v>0</v>
      </c>
      <c r="BG805" t="b">
        <f>AND(IF(Metadata!T805="",FALSE,TRUE),EXACT(Metadata!T805,"Decimal degrees"))</f>
        <v>0</v>
      </c>
      <c r="BH805" t="b">
        <f>OR(AND(IF(Metadata!U805="",FALSE,TRUE),OR(EXACT(Metadata!U805,"not applicable"),EXACT(Metadata!U805,"not collected"))),IF(Metadata!U805="",FALSE,TRUE))</f>
        <v>0</v>
      </c>
      <c r="BI805" t="b">
        <f>OR(AND(IF(Metadata!V805="",FALSE,TRUE),OR(EXACT(Metadata!V805,"not collected"),EXACT(Metadata!V805,"not provided"),EXACT(Metadata!V805,"restricted access"))),AND(IF(Metadata!V805="",FALSE,ISNUMBER(VALUE(Metadata!V805))),Metadata!V805&gt;=-180,Metadata!V805&lt;=180))</f>
        <v>0</v>
      </c>
      <c r="BJ805" t="b">
        <f>AND(IF(Metadata!W805="",FALSE,TRUE),EXACT(Metadata!W805,"Decimal degrees"))</f>
        <v>0</v>
      </c>
      <c r="BK805" t="b">
        <f>IF(Metadata!X805="",FALSE,TRUE)</f>
        <v>0</v>
      </c>
      <c r="BL805" t="b">
        <f>OR(AND(IF(Metadata!Y805="",FALSE,TRUE),OR(EXACT(Metadata!Y805,"not collected"),EXACT(Metadata!Y805,"not provided"),EXACT(Metadata!Y805,"restricted access"))),AND(IF(Metadata!Y805="",FALSE,TRUE),OR(EXACT(Metadata!Y805,"TRUE"),EXACT(Metadata!Y805,"FALSE"))))</f>
        <v>0</v>
      </c>
      <c r="BM805" t="b">
        <f>OR(AND(IF(Metadata!Z805="",FALSE,TRUE),EXACT(Metadata!Z805,"not applicable")),AND(IF(Metadata!Z805="",FALSE,TRUE),OR(EXACT(Metadata!Z805,"beer"),EXACT(Metadata!Z805,"cheese"),EXACT(Metadata!Z805,"fresh water"),EXACT(Metadata!Z805,"marine sediment"),EXACT(Metadata!Z805,"sea water"),EXACT(Metadata!Z805,"sediment"),EXACT(Metadata!Z805,"soil"),EXACT(Metadata!Z805,"waste water"))))</f>
        <v>0</v>
      </c>
      <c r="BN805" t="b">
        <f>AND(IF(Metadata!AA805="",FALSE,TRUE),EXACT(Metadata!AA805,"metagenome"))</f>
        <v>0</v>
      </c>
      <c r="BO805" t="b">
        <f>AND(IF(Metadata!AB805="",FALSE,TRUE),EXACT(Metadata!AB805,"256318"))</f>
        <v>0</v>
      </c>
      <c r="BP805" t="b">
        <f>IF(Metadata!AC805="",FALSE,TRUE)</f>
        <v>0</v>
      </c>
      <c r="BQ805" t="b">
        <f>IF(Metadata!AD805="",FALSE,TRUE)</f>
        <v>0</v>
      </c>
    </row>
    <row r="806" spans="1:69" x14ac:dyDescent="0.2">
      <c r="A806" s="4" t="e">
        <f ca="1">IF(B806=" "," ",HYPERLINK(CONCATENATE("#metadata!",ADDRESS(INDEX($AJ$2:$AJ$1001,MATCH(ROWS($AH$2:AH806),$AH$2:$AH$1001,0),0),2)),INDEX($AM$2:$AM$1001,MATCH(ROWS($AH$2:AH806),$AH$2:$AH$1001,0),0)))</f>
        <v>#N/A</v>
      </c>
      <c r="B806" s="5" t="e">
        <f ca="1">IF(OR(INDEX($AI$2:$AI$1001,MATCH(ROWS($AH$2:AH806),$AH$2:$AH$1001,0),1)&gt;=100000,INDEX($AO$1005:$BQ$1005,1,MATCH(COLUMNS($AO$1006:AO1006),$AO$1006:$BQ$1006,0))&gt;=100000), " ",IF(INDEX($AO$2:$BQ$1001,MATCH(ROWS($AH$2:AH806),$AH$2:$AH$1001,0),MATCH(COLUMNS($AO$1006:AO1006),$AO$1006:$BQ$1006,0)), HYPERLINK("#",""), HYPERLINK(CONCATENATE("#Metadata!", ADDRESS(INDEX($AJ$2:$AJ$1001,MATCH(ROWS($AH$2:AH806),$AH$2:$AH$1001,0),0), INDEX($AO$1004:$BQ$1004,1,MATCH(COLUMNS($AO$1006:AO1006),$AO$1006:$BQ$1006,0)))),"Fix")))</f>
        <v>#N/A</v>
      </c>
      <c r="C806" s="5" t="e">
        <f ca="1">IF(OR(INDEX($AI$2:$AI$1001,MATCH(ROWS($AH$2:AH806),$AH$2:$AH$1001,0),1)&gt;=100000,INDEX($AO$1005:$BQ$1005,1,MATCH(COLUMNS($AO$1006:AP1006),$AO$1006:$BQ$1006,0))&gt;=100000), " ",IF(INDEX($AO$2:$BQ$1001,MATCH(ROWS($AH$2:AH806),$AH$2:$AH$1001,0),MATCH(COLUMNS($AO$1006:AP1006),$AO$1006:$BQ$1006,0)), HYPERLINK("#",""), HYPERLINK(CONCATENATE("#Metadata!", ADDRESS(INDEX($AJ$2:$AJ$1001,MATCH(ROWS($AH$2:AH806),$AH$2:$AH$1001,0),0), INDEX($AO$1004:$BQ$1004,1,MATCH(COLUMNS($AO$1006:AP1006),$AO$1006:$BQ$1006,0)))),"Fix")))</f>
        <v>#N/A</v>
      </c>
      <c r="D806" s="5" t="e">
        <f ca="1">IF(OR(INDEX($AI$2:$AI$1001,MATCH(ROWS($AH$2:AH806),$AH$2:$AH$1001,0),1)&gt;=100000,INDEX($AO$1005:$BQ$1005,1,MATCH(COLUMNS($AO$1006:AQ1006),$AO$1006:$BQ$1006,0))&gt;=100000), " ",IF(INDEX($AO$2:$BQ$1001,MATCH(ROWS($AH$2:AH806),$AH$2:$AH$1001,0),MATCH(COLUMNS($AO$1006:AQ1006),$AO$1006:$BQ$1006,0)), HYPERLINK("#",""), HYPERLINK(CONCATENATE("#Metadata!", ADDRESS(INDEX($AJ$2:$AJ$1001,MATCH(ROWS($AH$2:AH806),$AH$2:$AH$1001,0),0), INDEX($AO$1004:$BQ$1004,1,MATCH(COLUMNS($AO$1006:AQ1006),$AO$1006:$BQ$1006,0)))),"Fix")))</f>
        <v>#N/A</v>
      </c>
      <c r="E806" s="5" t="e">
        <f ca="1">IF(OR(INDEX($AI$2:$AI$1001,MATCH(ROWS($AH$2:AH806),$AH$2:$AH$1001,0),1)&gt;=100000,INDEX($AO$1005:$BQ$1005,1,MATCH(COLUMNS($AO$1006:AR1006),$AO$1006:$BQ$1006,0))&gt;=100000), " ",IF(INDEX($AO$2:$BQ$1001,MATCH(ROWS($AH$2:AH806),$AH$2:$AH$1001,0),MATCH(COLUMNS($AO$1006:AR1006),$AO$1006:$BQ$1006,0)), HYPERLINK("#",""), HYPERLINK(CONCATENATE("#Metadata!", ADDRESS(INDEX($AJ$2:$AJ$1001,MATCH(ROWS($AH$2:AH806),$AH$2:$AH$1001,0),0), INDEX($AO$1004:$BQ$1004,1,MATCH(COLUMNS($AO$1006:AR1006),$AO$1006:$BQ$1006,0)))),"Fix")))</f>
        <v>#N/A</v>
      </c>
      <c r="F806" s="5" t="e">
        <f ca="1">IF(OR(INDEX($AI$2:$AI$1001,MATCH(ROWS($AH$2:AH806),$AH$2:$AH$1001,0),1)&gt;=100000,INDEX($AO$1005:$BQ$1005,1,MATCH(COLUMNS($AO$1006:AS1006),$AO$1006:$BQ$1006,0))&gt;=100000), " ",IF(INDEX($AO$2:$BQ$1001,MATCH(ROWS($AH$2:AH806),$AH$2:$AH$1001,0),MATCH(COLUMNS($AO$1006:AS1006),$AO$1006:$BQ$1006,0)), HYPERLINK("#",""), HYPERLINK(CONCATENATE("#Metadata!", ADDRESS(INDEX($AJ$2:$AJ$1001,MATCH(ROWS($AH$2:AH806),$AH$2:$AH$1001,0),0), INDEX($AO$1004:$BQ$1004,1,MATCH(COLUMNS($AO$1006:AS1006),$AO$1006:$BQ$1006,0)))),"Fix")))</f>
        <v>#N/A</v>
      </c>
      <c r="G806" s="5" t="e">
        <f ca="1">IF(OR(INDEX($AI$2:$AI$1001,MATCH(ROWS($AH$2:AH806),$AH$2:$AH$1001,0),1)&gt;=100000,INDEX($AO$1005:$BQ$1005,1,MATCH(COLUMNS($AO$1006:AT1006),$AO$1006:$BQ$1006,0))&gt;=100000), " ",IF(INDEX($AO$2:$BQ$1001,MATCH(ROWS($AH$2:AH806),$AH$2:$AH$1001,0),MATCH(COLUMNS($AO$1006:AT1006),$AO$1006:$BQ$1006,0)), HYPERLINK("#",""), HYPERLINK(CONCATENATE("#Metadata!", ADDRESS(INDEX($AJ$2:$AJ$1001,MATCH(ROWS($AH$2:AH806),$AH$2:$AH$1001,0),0), INDEX($AO$1004:$BQ$1004,1,MATCH(COLUMNS($AO$1006:AT1006),$AO$1006:$BQ$1006,0)))),"Fix")))</f>
        <v>#N/A</v>
      </c>
      <c r="H806" s="5" t="e">
        <f ca="1">IF(OR(INDEX($AI$2:$AI$1001,MATCH(ROWS($AH$2:AH806),$AH$2:$AH$1001,0),1)&gt;=100000,INDEX($AO$1005:$BQ$1005,1,MATCH(COLUMNS($AO$1006:AU1006),$AO$1006:$BQ$1006,0))&gt;=100000), " ",IF(INDEX($AO$2:$BQ$1001,MATCH(ROWS($AH$2:AH806),$AH$2:$AH$1001,0),MATCH(COLUMNS($AO$1006:AU1006),$AO$1006:$BQ$1006,0)), HYPERLINK("#",""), HYPERLINK(CONCATENATE("#Metadata!", ADDRESS(INDEX($AJ$2:$AJ$1001,MATCH(ROWS($AH$2:AH806),$AH$2:$AH$1001,0),0), INDEX($AO$1004:$BQ$1004,1,MATCH(COLUMNS($AO$1006:AU1006),$AO$1006:$BQ$1006,0)))),"Fix")))</f>
        <v>#N/A</v>
      </c>
      <c r="I806" s="5" t="e">
        <f ca="1">IF(OR(INDEX($AI$2:$AI$1001,MATCH(ROWS($AH$2:AH806),$AH$2:$AH$1001,0),1)&gt;=100000,INDEX($AO$1005:$BQ$1005,1,MATCH(COLUMNS($AO$1006:AV1006),$AO$1006:$BQ$1006,0))&gt;=100000), " ",IF(INDEX($AO$2:$BQ$1001,MATCH(ROWS($AH$2:AH806),$AH$2:$AH$1001,0),MATCH(COLUMNS($AO$1006:AV1006),$AO$1006:$BQ$1006,0)), HYPERLINK("#",""), HYPERLINK(CONCATENATE("#Metadata!", ADDRESS(INDEX($AJ$2:$AJ$1001,MATCH(ROWS($AH$2:AH806),$AH$2:$AH$1001,0),0), INDEX($AO$1004:$BQ$1004,1,MATCH(COLUMNS($AO$1006:AV1006),$AO$1006:$BQ$1006,0)))),"Fix")))</f>
        <v>#N/A</v>
      </c>
      <c r="J806" s="5" t="e">
        <f ca="1">IF(OR(INDEX($AI$2:$AI$1001,MATCH(ROWS($AH$2:AH806),$AH$2:$AH$1001,0),1)&gt;=100000,INDEX($AO$1005:$BQ$1005,1,MATCH(COLUMNS($AO$1006:AW1006),$AO$1006:$BQ$1006,0))&gt;=100000), " ",IF(INDEX($AO$2:$BQ$1001,MATCH(ROWS($AH$2:AH806),$AH$2:$AH$1001,0),MATCH(COLUMNS($AO$1006:AW1006),$AO$1006:$BQ$1006,0)), HYPERLINK("#",""), HYPERLINK(CONCATENATE("#Metadata!", ADDRESS(INDEX($AJ$2:$AJ$1001,MATCH(ROWS($AH$2:AH806),$AH$2:$AH$1001,0),0), INDEX($AO$1004:$BQ$1004,1,MATCH(COLUMNS($AO$1006:AW1006),$AO$1006:$BQ$1006,0)))),"Fix")))</f>
        <v>#N/A</v>
      </c>
      <c r="K806" s="5" t="e">
        <f ca="1">IF(OR(INDEX($AI$2:$AI$1001,MATCH(ROWS($AH$2:AH806),$AH$2:$AH$1001,0),1)&gt;=100000,INDEX($AO$1005:$BQ$1005,1,MATCH(COLUMNS($AO$1006:AX1006),$AO$1006:$BQ$1006,0))&gt;=100000), " ",IF(INDEX($AO$2:$BQ$1001,MATCH(ROWS($AH$2:AH806),$AH$2:$AH$1001,0),MATCH(COLUMNS($AO$1006:AX1006),$AO$1006:$BQ$1006,0)), HYPERLINK("#",""), HYPERLINK(CONCATENATE("#Metadata!", ADDRESS(INDEX($AJ$2:$AJ$1001,MATCH(ROWS($AH$2:AH806),$AH$2:$AH$1001,0),0), INDEX($AO$1004:$BQ$1004,1,MATCH(COLUMNS($AO$1006:AX1006),$AO$1006:$BQ$1006,0)))),"Fix")))</f>
        <v>#N/A</v>
      </c>
      <c r="L806" s="5" t="e">
        <f ca="1">IF(OR(INDEX($AI$2:$AI$1001,MATCH(ROWS($AH$2:AH806),$AH$2:$AH$1001,0),1)&gt;=100000,INDEX($AO$1005:$BQ$1005,1,MATCH(COLUMNS($AO$1006:AY1006),$AO$1006:$BQ$1006,0))&gt;=100000), " ",IF(INDEX($AO$2:$BQ$1001,MATCH(ROWS($AH$2:AH806),$AH$2:$AH$1001,0),MATCH(COLUMNS($AO$1006:AY1006),$AO$1006:$BQ$1006,0)), HYPERLINK("#",""), HYPERLINK(CONCATENATE("#Metadata!", ADDRESS(INDEX($AJ$2:$AJ$1001,MATCH(ROWS($AH$2:AH806),$AH$2:$AH$1001,0),0), INDEX($AO$1004:$BQ$1004,1,MATCH(COLUMNS($AO$1006:AY1006),$AO$1006:$BQ$1006,0)))),"Fix")))</f>
        <v>#N/A</v>
      </c>
      <c r="M806" s="5" t="e">
        <f ca="1">IF(OR(INDEX($AI$2:$AI$1001,MATCH(ROWS($AH$2:AH806),$AH$2:$AH$1001,0),1)&gt;=100000,INDEX($AO$1005:$BQ$1005,1,MATCH(COLUMNS($AO$1006:AZ1006),$AO$1006:$BQ$1006,0))&gt;=100000), " ",IF(INDEX($AO$2:$BQ$1001,MATCH(ROWS($AH$2:AH806),$AH$2:$AH$1001,0),MATCH(COLUMNS($AO$1006:AZ1006),$AO$1006:$BQ$1006,0)), HYPERLINK("#",""), HYPERLINK(CONCATENATE("#Metadata!", ADDRESS(INDEX($AJ$2:$AJ$1001,MATCH(ROWS($AH$2:AH806),$AH$2:$AH$1001,0),0), INDEX($AO$1004:$BQ$1004,1,MATCH(COLUMNS($AO$1006:AZ1006),$AO$1006:$BQ$1006,0)))),"Fix")))</f>
        <v>#N/A</v>
      </c>
      <c r="N806" s="5" t="e">
        <f ca="1">IF(OR(INDEX($AI$2:$AI$1001,MATCH(ROWS($AH$2:AH806),$AH$2:$AH$1001,0),1)&gt;=100000,INDEX($AO$1005:$BQ$1005,1,MATCH(COLUMNS($AO$1006:BA1006),$AO$1006:$BQ$1006,0))&gt;=100000), " ",IF(INDEX($AO$2:$BQ$1001,MATCH(ROWS($AH$2:AH806),$AH$2:$AH$1001,0),MATCH(COLUMNS($AO$1006:BA1006),$AO$1006:$BQ$1006,0)), HYPERLINK("#",""), HYPERLINK(CONCATENATE("#Metadata!", ADDRESS(INDEX($AJ$2:$AJ$1001,MATCH(ROWS($AH$2:AH806),$AH$2:$AH$1001,0),0), INDEX($AO$1004:$BQ$1004,1,MATCH(COLUMNS($AO$1006:BA1006),$AO$1006:$BQ$1006,0)))),"Fix")))</f>
        <v>#N/A</v>
      </c>
      <c r="O806" s="5" t="e">
        <f ca="1">IF(OR(INDEX($AI$2:$AI$1001,MATCH(ROWS($AH$2:AH806),$AH$2:$AH$1001,0),1)&gt;=100000,INDEX($AO$1005:$BQ$1005,1,MATCH(COLUMNS($AO$1006:BB1006),$AO$1006:$BQ$1006,0))&gt;=100000), " ",IF(INDEX($AO$2:$BQ$1001,MATCH(ROWS($AH$2:AH806),$AH$2:$AH$1001,0),MATCH(COLUMNS($AO$1006:BB1006),$AO$1006:$BQ$1006,0)), HYPERLINK("#",""), HYPERLINK(CONCATENATE("#Metadata!", ADDRESS(INDEX($AJ$2:$AJ$1001,MATCH(ROWS($AH$2:AH806),$AH$2:$AH$1001,0),0), INDEX($AO$1004:$BQ$1004,1,MATCH(COLUMNS($AO$1006:BB1006),$AO$1006:$BQ$1006,0)))),"Fix")))</f>
        <v>#N/A</v>
      </c>
      <c r="P806" s="5" t="e">
        <f ca="1">IF(OR(INDEX($AI$2:$AI$1001,MATCH(ROWS($AH$2:AH806),$AH$2:$AH$1001,0),1)&gt;=100000,INDEX($AO$1005:$BQ$1005,1,MATCH(COLUMNS($AO$1006:BC1006),$AO$1006:$BQ$1006,0))&gt;=100000), " ",IF(INDEX($AO$2:$BQ$1001,MATCH(ROWS($AH$2:AH806),$AH$2:$AH$1001,0),MATCH(COLUMNS($AO$1006:BC1006),$AO$1006:$BQ$1006,0)), HYPERLINK("#",""), HYPERLINK(CONCATENATE("#Metadata!", ADDRESS(INDEX($AJ$2:$AJ$1001,MATCH(ROWS($AH$2:AH806),$AH$2:$AH$1001,0),0), INDEX($AO$1004:$BQ$1004,1,MATCH(COLUMNS($AO$1006:BC1006),$AO$1006:$BQ$1006,0)))),"Fix")))</f>
        <v>#N/A</v>
      </c>
      <c r="Q806" s="5" t="e">
        <f ca="1">IF(OR(INDEX($AI$2:$AI$1001,MATCH(ROWS($AH$2:AH806),$AH$2:$AH$1001,0),1)&gt;=100000,INDEX($AO$1005:$BQ$1005,1,MATCH(COLUMNS($AO$1006:BD1006),$AO$1006:$BQ$1006,0))&gt;=100000), " ",IF(INDEX($AO$2:$BQ$1001,MATCH(ROWS($AH$2:AH806),$AH$2:$AH$1001,0),MATCH(COLUMNS($AO$1006:BD1006),$AO$1006:$BQ$1006,0)), HYPERLINK("#",""), HYPERLINK(CONCATENATE("#Metadata!", ADDRESS(INDEX($AJ$2:$AJ$1001,MATCH(ROWS($AH$2:AH806),$AH$2:$AH$1001,0),0), INDEX($AO$1004:$BQ$1004,1,MATCH(COLUMNS($AO$1006:BD1006),$AO$1006:$BQ$1006,0)))),"Fix")))</f>
        <v>#N/A</v>
      </c>
      <c r="R806" s="5" t="e">
        <f ca="1">IF(OR(INDEX($AI$2:$AI$1001,MATCH(ROWS($AH$2:AH806),$AH$2:$AH$1001,0),1)&gt;=100000,INDEX($AO$1005:$BQ$1005,1,MATCH(COLUMNS($AO$1006:BE1006),$AO$1006:$BQ$1006,0))&gt;=100000), " ",IF(INDEX($AO$2:$BQ$1001,MATCH(ROWS($AH$2:AH806),$AH$2:$AH$1001,0),MATCH(COLUMNS($AO$1006:BE1006),$AO$1006:$BQ$1006,0)), HYPERLINK("#",""), HYPERLINK(CONCATENATE("#Metadata!", ADDRESS(INDEX($AJ$2:$AJ$1001,MATCH(ROWS($AH$2:AH806),$AH$2:$AH$1001,0),0), INDEX($AO$1004:$BQ$1004,1,MATCH(COLUMNS($AO$1006:BE1006),$AO$1006:$BQ$1006,0)))),"Fix")))</f>
        <v>#N/A</v>
      </c>
      <c r="S806" s="5" t="e">
        <f ca="1">IF(OR(INDEX($AI$2:$AI$1001,MATCH(ROWS($AH$2:AH806),$AH$2:$AH$1001,0),1)&gt;=100000,INDEX($AO$1005:$BQ$1005,1,MATCH(COLUMNS($AO$1006:BF1006),$AO$1006:$BQ$1006,0))&gt;=100000), " ",IF(INDEX($AO$2:$BQ$1001,MATCH(ROWS($AH$2:AH806),$AH$2:$AH$1001,0),MATCH(COLUMNS($AO$1006:BF1006),$AO$1006:$BQ$1006,0)), HYPERLINK("#",""), HYPERLINK(CONCATENATE("#Metadata!", ADDRESS(INDEX($AJ$2:$AJ$1001,MATCH(ROWS($AH$2:AH806),$AH$2:$AH$1001,0),0), INDEX($AO$1004:$BQ$1004,1,MATCH(COLUMNS($AO$1006:BF1006),$AO$1006:$BQ$1006,0)))),"Fix")))</f>
        <v>#N/A</v>
      </c>
      <c r="T806" s="5" t="e">
        <f ca="1">IF(OR(INDEX($AI$2:$AI$1001,MATCH(ROWS($AH$2:AH806),$AH$2:$AH$1001,0),1)&gt;=100000,INDEX($AO$1005:$BQ$1005,1,MATCH(COLUMNS($AO$1006:BG1006),$AO$1006:$BQ$1006,0))&gt;=100000), " ",IF(INDEX($AO$2:$BQ$1001,MATCH(ROWS($AH$2:AH806),$AH$2:$AH$1001,0),MATCH(COLUMNS($AO$1006:BG1006),$AO$1006:$BQ$1006,0)), HYPERLINK("#",""), HYPERLINK(CONCATENATE("#Metadata!", ADDRESS(INDEX($AJ$2:$AJ$1001,MATCH(ROWS($AH$2:AH806),$AH$2:$AH$1001,0),0), INDEX($AO$1004:$BQ$1004,1,MATCH(COLUMNS($AO$1006:BG1006),$AO$1006:$BQ$1006,0)))),"Fix")))</f>
        <v>#N/A</v>
      </c>
      <c r="U806" s="5" t="e">
        <f ca="1">IF(OR(INDEX($AI$2:$AI$1001,MATCH(ROWS($AH$2:AH806),$AH$2:$AH$1001,0),1)&gt;=100000,INDEX($AO$1005:$BQ$1005,1,MATCH(COLUMNS($AO$1006:BH1006),$AO$1006:$BQ$1006,0))&gt;=100000), " ",IF(INDEX($AO$2:$BQ$1001,MATCH(ROWS($AH$2:AH806),$AH$2:$AH$1001,0),MATCH(COLUMNS($AO$1006:BH1006),$AO$1006:$BQ$1006,0)), HYPERLINK("#",""), HYPERLINK(CONCATENATE("#Metadata!", ADDRESS(INDEX($AJ$2:$AJ$1001,MATCH(ROWS($AH$2:AH806),$AH$2:$AH$1001,0),0), INDEX($AO$1004:$BQ$1004,1,MATCH(COLUMNS($AO$1006:BH1006),$AO$1006:$BQ$1006,0)))),"Fix")))</f>
        <v>#N/A</v>
      </c>
      <c r="V806" s="5" t="e">
        <f ca="1">IF(OR(INDEX($AI$2:$AI$1001,MATCH(ROWS($AH$2:AH806),$AH$2:$AH$1001,0),1)&gt;=100000,INDEX($AO$1005:$BQ$1005,1,MATCH(COLUMNS($AO$1006:BI1006),$AO$1006:$BQ$1006,0))&gt;=100000), " ",IF(INDEX($AO$2:$BQ$1001,MATCH(ROWS($AH$2:AH806),$AH$2:$AH$1001,0),MATCH(COLUMNS($AO$1006:BI1006),$AO$1006:$BQ$1006,0)), HYPERLINK("#",""), HYPERLINK(CONCATENATE("#Metadata!", ADDRESS(INDEX($AJ$2:$AJ$1001,MATCH(ROWS($AH$2:AH806),$AH$2:$AH$1001,0),0), INDEX($AO$1004:$BQ$1004,1,MATCH(COLUMNS($AO$1006:BI1006),$AO$1006:$BQ$1006,0)))),"Fix")))</f>
        <v>#N/A</v>
      </c>
      <c r="W806" s="5" t="e">
        <f ca="1">IF(OR(INDEX($AI$2:$AI$1001,MATCH(ROWS($AH$2:AH806),$AH$2:$AH$1001,0),1)&gt;=100000,INDEX($AO$1005:$BQ$1005,1,MATCH(COLUMNS($AO$1006:BJ1006),$AO$1006:$BQ$1006,0))&gt;=100000), " ",IF(INDEX($AO$2:$BQ$1001,MATCH(ROWS($AH$2:AH806),$AH$2:$AH$1001,0),MATCH(COLUMNS($AO$1006:BJ1006),$AO$1006:$BQ$1006,0)), HYPERLINK("#",""), HYPERLINK(CONCATENATE("#Metadata!", ADDRESS(INDEX($AJ$2:$AJ$1001,MATCH(ROWS($AH$2:AH806),$AH$2:$AH$1001,0),0), INDEX($AO$1004:$BQ$1004,1,MATCH(COLUMNS($AO$1006:BJ1006),$AO$1006:$BQ$1006,0)))),"Fix")))</f>
        <v>#N/A</v>
      </c>
      <c r="X806" s="5" t="e">
        <f ca="1">IF(OR(INDEX($AI$2:$AI$1001,MATCH(ROWS($AH$2:AH806),$AH$2:$AH$1001,0),1)&gt;=100000,INDEX($AO$1005:$BQ$1005,1,MATCH(COLUMNS($AO$1006:BK1006),$AO$1006:$BQ$1006,0))&gt;=100000), " ",IF(INDEX($AO$2:$BQ$1001,MATCH(ROWS($AH$2:AH806),$AH$2:$AH$1001,0),MATCH(COLUMNS($AO$1006:BK1006),$AO$1006:$BQ$1006,0)), HYPERLINK("#",""), HYPERLINK(CONCATENATE("#Metadata!", ADDRESS(INDEX($AJ$2:$AJ$1001,MATCH(ROWS($AH$2:AH806),$AH$2:$AH$1001,0),0), INDEX($AO$1004:$BQ$1004,1,MATCH(COLUMNS($AO$1006:BK1006),$AO$1006:$BQ$1006,0)))),"Fix")))</f>
        <v>#N/A</v>
      </c>
      <c r="Y806" s="5" t="e">
        <f ca="1">IF(OR(INDEX($AI$2:$AI$1001,MATCH(ROWS($AH$2:AH806),$AH$2:$AH$1001,0),1)&gt;=100000,INDEX($AO$1005:$BQ$1005,1,MATCH(COLUMNS($AO$1006:BL1006),$AO$1006:$BQ$1006,0))&gt;=100000), " ",IF(INDEX($AO$2:$BQ$1001,MATCH(ROWS($AH$2:AH806),$AH$2:$AH$1001,0),MATCH(COLUMNS($AO$1006:BL1006),$AO$1006:$BQ$1006,0)), HYPERLINK("#",""), HYPERLINK(CONCATENATE("#Metadata!", ADDRESS(INDEX($AJ$2:$AJ$1001,MATCH(ROWS($AH$2:AH806),$AH$2:$AH$1001,0),0), INDEX($AO$1004:$BQ$1004,1,MATCH(COLUMNS($AO$1006:BL1006),$AO$1006:$BQ$1006,0)))),"Fix")))</f>
        <v>#N/A</v>
      </c>
      <c r="Z806" s="5" t="e">
        <f ca="1">IF(OR(INDEX($AI$2:$AI$1001,MATCH(ROWS($AH$2:AH806),$AH$2:$AH$1001,0),1)&gt;=100000,INDEX($AO$1005:$BQ$1005,1,MATCH(COLUMNS($AO$1006:BM1006),$AO$1006:$BQ$1006,0))&gt;=100000), " ",IF(INDEX($AO$2:$BQ$1001,MATCH(ROWS($AH$2:AH806),$AH$2:$AH$1001,0),MATCH(COLUMNS($AO$1006:BM1006),$AO$1006:$BQ$1006,0)), HYPERLINK("#",""), HYPERLINK(CONCATENATE("#Metadata!", ADDRESS(INDEX($AJ$2:$AJ$1001,MATCH(ROWS($AH$2:AH806),$AH$2:$AH$1001,0),0), INDEX($AO$1004:$BQ$1004,1,MATCH(COLUMNS($AO$1006:BM1006),$AO$1006:$BQ$1006,0)))),"Fix")))</f>
        <v>#N/A</v>
      </c>
      <c r="AA806" s="5" t="e">
        <f ca="1">IF(OR(INDEX($AI$2:$AI$1001,MATCH(ROWS($AH$2:AH806),$AH$2:$AH$1001,0),1)&gt;=100000,INDEX($AO$1005:$BQ$1005,1,MATCH(COLUMNS($AO$1006:BN1006),$AO$1006:$BQ$1006,0))&gt;=100000), " ",IF(INDEX($AO$2:$BQ$1001,MATCH(ROWS($AH$2:AH806),$AH$2:$AH$1001,0),MATCH(COLUMNS($AO$1006:BN1006),$AO$1006:$BQ$1006,0)), HYPERLINK("#",""), HYPERLINK(CONCATENATE("#Metadata!", ADDRESS(INDEX($AJ$2:$AJ$1001,MATCH(ROWS($AH$2:AH806),$AH$2:$AH$1001,0),0), INDEX($AO$1004:$BQ$1004,1,MATCH(COLUMNS($AO$1006:BN1006),$AO$1006:$BQ$1006,0)))),"Fix")))</f>
        <v>#N/A</v>
      </c>
      <c r="AB806" s="5" t="e">
        <f ca="1">IF(OR(INDEX($AI$2:$AI$1001,MATCH(ROWS($AH$2:AH806),$AH$2:$AH$1001,0),1)&gt;=100000,INDEX($AO$1005:$BQ$1005,1,MATCH(COLUMNS($AO$1006:BO1006),$AO$1006:$BQ$1006,0))&gt;=100000), " ",IF(INDEX($AO$2:$BQ$1001,MATCH(ROWS($AH$2:AH806),$AH$2:$AH$1001,0),MATCH(COLUMNS($AO$1006:BO1006),$AO$1006:$BQ$1006,0)), HYPERLINK("#",""), HYPERLINK(CONCATENATE("#Metadata!", ADDRESS(INDEX($AJ$2:$AJ$1001,MATCH(ROWS($AH$2:AH806),$AH$2:$AH$1001,0),0), INDEX($AO$1004:$BQ$1004,1,MATCH(COLUMNS($AO$1006:BO1006),$AO$1006:$BQ$1006,0)))),"Fix")))</f>
        <v>#N/A</v>
      </c>
      <c r="AC806" s="5" t="e">
        <f ca="1">IF(OR(INDEX($AI$2:$AI$1001,MATCH(ROWS($AH$2:AH806),$AH$2:$AH$1001,0),1)&gt;=100000,INDEX($AO$1005:$BQ$1005,1,MATCH(COLUMNS($AO$1006:BP1006),$AO$1006:$BQ$1006,0))&gt;=100000), " ",IF(INDEX($AO$2:$BQ$1001,MATCH(ROWS($AH$2:AH806),$AH$2:$AH$1001,0),MATCH(COLUMNS($AO$1006:BP1006),$AO$1006:$BQ$1006,0)), HYPERLINK("#",""), HYPERLINK(CONCATENATE("#Metadata!", ADDRESS(INDEX($AJ$2:$AJ$1001,MATCH(ROWS($AH$2:AH806),$AH$2:$AH$1001,0),0), INDEX($AO$1004:$BQ$1004,1,MATCH(COLUMNS($AO$1006:BP1006),$AO$1006:$BQ$1006,0)))),"Fix")))</f>
        <v>#N/A</v>
      </c>
      <c r="AD806" s="5" t="e">
        <f ca="1">IF(OR(INDEX($AI$2:$AI$1001,MATCH(ROWS($AH$2:AH806),$AH$2:$AH$1001,0),1)&gt;=100000,INDEX($AO$1005:$BQ$1005,1,MATCH(COLUMNS($AO$1006:BQ1006),$AO$1006:$BQ$1006,0))&gt;=100000), " ",IF(INDEX($AO$2:$BQ$1001,MATCH(ROWS($AH$2:AH806),$AH$2:$AH$1001,0),MATCH(COLUMNS($AO$1006:BQ1006),$AO$1006:$BQ$1006,0)), HYPERLINK("#",""), HYPERLINK(CONCATENATE("#Metadata!", ADDRESS(INDEX($AJ$2:$AJ$1001,MATCH(ROWS($AH$2:AH806),$AH$2:$AH$1001,0),0), INDEX($AO$1004:$BQ$1004,1,MATCH(COLUMNS($AO$1006:BQ1006),$AO$1006:$BQ$1006,0)))),"Fix")))</f>
        <v>#REF!</v>
      </c>
      <c r="AH806">
        <f ca="1"/>
        <v>803</v>
      </c>
      <c r="AI806">
        <v>100806</v>
      </c>
      <c r="AJ806">
        <v>806</v>
      </c>
      <c r="AK806" t="b">
        <f t="shared" si="12"/>
        <v>1</v>
      </c>
      <c r="AL806" t="b">
        <f>COUNTBLANK(Metadata!B806:AD806)=COLUMNS(Metadata!B806:AD806)</f>
        <v>1</v>
      </c>
      <c r="AM806" t="str">
        <v/>
      </c>
      <c r="AO806" t="b">
        <f ca="1">AND(IF(Metadata!B806="",FALSE,TRUE),COUNTIF(Metadata!B:B, Metadata!B806) = 1,NOT(ISERROR(SUMPRODUCT(SEARCH(MID(Metadata!B806,ROW(INDIRECT("1:"&amp;LEN(Metadata!B806))), 1),"0123456789abcdefghijklmnopqrstuvwxyzABCDEFGHIJKLMNOPQRSTUVWXYZ.")))))</f>
        <v>0</v>
      </c>
      <c r="AP806" t="b">
        <f>IF(Metadata!C806="",FALSE,TRUE)</f>
        <v>0</v>
      </c>
      <c r="AQ806" t="b">
        <f>IF(Metadata!D806="",FALSE,TRUE)</f>
        <v>0</v>
      </c>
      <c r="AR806" t="b">
        <f ca="1">OR(AND(IF(Metadata!E806="",FALSE,TRUE),OR(EXACT(Metadata!E806,"not collected"),EXACT(Metadata!E806,"not provided"),EXACT(Metadata!E806,"restricted access"))),AND(IF(Metadata!E806="",FALSE,TRUE),AND(AND(IFERROR(INT(LEFT(Metadata!E806,4))&gt;1900,FALSE),IFERROR(INT(LEFT(Metadata!E806,4))&lt;=YEAR(NOW()),FALSE)), OR(MID(Metadata!E806,5,1)="", AND(AND(MID(Metadata!E806,5,1)="-",IFERROR(INT(MID(Metadata!E806,6,1))&gt;=0,FALSE),IFERROR(INT(MID(Metadata!E806,6,1))&lt;=1,FALSE),NOT(MID(Metadata!E806,7,1)=""),IFERROR(INT(MID(Metadata!E806,6,2))&gt;=1,FALSE),IFERROR(INT(MID(Metadata!E806,6,2))&lt;=12,FALSE)), OR(MID(Metadata!E806,8,1)="", AND(AND(MID(Metadata!E806,8,1)="-",IFERROR(INT(MID(Metadata!E806,9,1))&gt;=0,FALSE),IFERROR(INT(MID(Metadata!E806,9,1))&lt;=3,FALSE),NOT(MID(Metadata!E806,10,1)=""),IFERROR(INT(MID(Metadata!E806,9,2))&gt;=1,FALSE),IFERROR(INT(MID(Metadata!E806,9,2))&lt;=31,FALSE)), OR(MID(Metadata!E806,11,1)="", AND(AND(MID(Metadata!E806,11,1)=" ",IFERROR(INT(MID(Metadata!E806,12,1))&gt;=0,FALSE),IFERROR(INT(MID(Metadata!E806,12,1))&lt;=2,FALSE),NOT(MID(Metadata!E806,13,1)=""),IFERROR(INT(MID(Metadata!E806,12,2))&gt;=0,FALSE),IFERROR(INT(MID(Metadata!E806,12,2))&lt;=23,FALSE)), OR(MID(Metadata!E806,14,1)="", AND(AND(MID(Metadata!E806,14,1)=":",IFERROR(INT(MID(Metadata!E806,15,1))&gt;=0,FALSE),IFERROR(INT(MID(Metadata!E806,15,1))&lt;=5,FALSE),NOT(MID(Metadata!E806,16,1)=""),IFERROR(INT(MID(Metadata!E806,15,2))&gt;=0,FALSE),IFERROR(INT(MID(Metadata!E806,15,2))&lt;=59,FALSE)), OR(MID(Metadata!E806,17,1)="", AND(AND(MID(Metadata!E806,17,1)=":",IFERROR(INT(MID(Metadata!E806,18,1))&gt;=0,FALSE),IFERROR(INT(MID(Metadata!E806,18,1))&lt;=5,FALSE),NOT(MID(Metadata!E806,19,1)=""),IFERROR(INT(MID(Metadata!E806,18,2))&gt;=0,FALSE),IFERROR(INT(MID(Metadata!E806,18,2))&lt;=59,FALSE)), LEN(Metadata!E806)&lt;=19)))))))))))))</f>
        <v>0</v>
      </c>
      <c r="AS806" t="b">
        <f>IF(Metadata!F806="",FALSE,TRUE)</f>
        <v>0</v>
      </c>
      <c r="AT806" t="b">
        <f>OR(AND(IF(Metadata!G806="",FALSE,TRUE),OR(EXACT(Metadata!G806,"not collected"),EXACT(Metadata!G806,"not provided"))),AND(IF(Metadata!G806="",FALSE,TRUE),OR(EXACT(Metadata!G806,"TRUE"),EXACT(Metadata!G806,"FALSE"))))</f>
        <v>0</v>
      </c>
      <c r="AU806" t="b">
        <f>OR(AND(IF(Metadata!H806="",FALSE,TRUE),OR(EXACT(Metadata!H806,"not collected"),EXACT(Metadata!H806,"not provided"),EXACT(Metadata!H806,"restricted access"))),AND(IF(Metadata!H806="",FALSE,ISNUMBER(VALUE(Metadata!H806))),Metadata!H806&gt;=-413))</f>
        <v>0</v>
      </c>
      <c r="AV806" t="b">
        <f>AND(IF(Metadata!I806="",FALSE,TRUE),EXACT(Metadata!I806,"meters"))</f>
        <v>0</v>
      </c>
      <c r="AW806" t="b">
        <f>AND(IF(Metadata!J806="",FALSE,TRUE),EXACT(Metadata!J806,"free-living"))</f>
        <v>0</v>
      </c>
      <c r="AX806" t="b">
        <f>AND(IF(Metadata!K806="",FALSE,TRUE),OR(EXACT(Metadata!K806,"saline"),EXACT(Metadata!K806,"non-saline")))</f>
        <v>0</v>
      </c>
      <c r="AY806" t="b">
        <f>AND(IF(Metadata!L806="",FALSE,TRUE),OR(EXACT(Metadata!L806,"sub-surface (non-saline)"),EXACT(Metadata!L806,"surface (non-saline)"),EXACT(Metadata!L806,"water (non-saline)"),EXACT(Metadata!L806,"soil (non-saline)"),EXACT(Metadata!L806,"aerosol (non-saline)"),EXACT(Metadata!L806,"sediment (non-saline)"),EXACT(Metadata!L806,"surface (saline)"),EXACT(Metadata!L806,"water (saline)"),EXACT(Metadata!L806,"hypersaline (saline)"),EXACT(Metadata!L806,"aerosol (saline)"),EXACT(Metadata!L806,"sediment (saline)")))</f>
        <v>0</v>
      </c>
      <c r="AZ806" t="b">
        <f>IF(Metadata!M806="",FALSE,TRUE)</f>
        <v>0</v>
      </c>
      <c r="BA806" t="b">
        <f>IF(Metadata!N806="",FALSE,TRUE)</f>
        <v>0</v>
      </c>
      <c r="BB806" t="b">
        <f>IF(Metadata!O806="",FALSE,TRUE)</f>
        <v>0</v>
      </c>
      <c r="BC806" t="b">
        <f>AND(IF(Metadata!P806="",FALSE,TRUE),OR(EXACT(Metadata!P806,"air"),EXACT(Metadata!P806,"microbial mat/biofilm"),EXACT(Metadata!P806,"misc environment"),EXACT(Metadata!P806,"sediment"),EXACT(Metadata!P806,"soil"),EXACT(Metadata!P806,"wastewater/sludge"),EXACT(Metadata!P806,"water")))</f>
        <v>0</v>
      </c>
      <c r="BD806" t="b">
        <f>IF(Metadata!Q806="",FALSE,TRUE)</f>
        <v>0</v>
      </c>
      <c r="BE806" t="b">
        <f>IF(Metadata!R806="",FALSE,TRUE)</f>
        <v>0</v>
      </c>
      <c r="BF806" t="b">
        <f>OR(AND(IF(Metadata!S806="",FALSE,TRUE),OR(EXACT(Metadata!S806,"not collected"),EXACT(Metadata!S806,"not provided"),EXACT(Metadata!S806,"restricted access"))),AND(IF(Metadata!S806="",FALSE,ISNUMBER(VALUE(Metadata!S806))),Metadata!S806&gt;=-90,Metadata!S806&lt;=90))</f>
        <v>0</v>
      </c>
      <c r="BG806" t="b">
        <f>AND(IF(Metadata!T806="",FALSE,TRUE),EXACT(Metadata!T806,"Decimal degrees"))</f>
        <v>0</v>
      </c>
      <c r="BH806" t="b">
        <f>OR(AND(IF(Metadata!U806="",FALSE,TRUE),OR(EXACT(Metadata!U806,"not applicable"),EXACT(Metadata!U806,"not collected"))),IF(Metadata!U806="",FALSE,TRUE))</f>
        <v>0</v>
      </c>
      <c r="BI806" t="b">
        <f>OR(AND(IF(Metadata!V806="",FALSE,TRUE),OR(EXACT(Metadata!V806,"not collected"),EXACT(Metadata!V806,"not provided"),EXACT(Metadata!V806,"restricted access"))),AND(IF(Metadata!V806="",FALSE,ISNUMBER(VALUE(Metadata!V806))),Metadata!V806&gt;=-180,Metadata!V806&lt;=180))</f>
        <v>0</v>
      </c>
      <c r="BJ806" t="b">
        <f>AND(IF(Metadata!W806="",FALSE,TRUE),EXACT(Metadata!W806,"Decimal degrees"))</f>
        <v>0</v>
      </c>
      <c r="BK806" t="b">
        <f>IF(Metadata!X806="",FALSE,TRUE)</f>
        <v>0</v>
      </c>
      <c r="BL806" t="b">
        <f>OR(AND(IF(Metadata!Y806="",FALSE,TRUE),OR(EXACT(Metadata!Y806,"not collected"),EXACT(Metadata!Y806,"not provided"),EXACT(Metadata!Y806,"restricted access"))),AND(IF(Metadata!Y806="",FALSE,TRUE),OR(EXACT(Metadata!Y806,"TRUE"),EXACT(Metadata!Y806,"FALSE"))))</f>
        <v>0</v>
      </c>
      <c r="BM806" t="b">
        <f>OR(AND(IF(Metadata!Z806="",FALSE,TRUE),EXACT(Metadata!Z806,"not applicable")),AND(IF(Metadata!Z806="",FALSE,TRUE),OR(EXACT(Metadata!Z806,"beer"),EXACT(Metadata!Z806,"cheese"),EXACT(Metadata!Z806,"fresh water"),EXACT(Metadata!Z806,"marine sediment"),EXACT(Metadata!Z806,"sea water"),EXACT(Metadata!Z806,"sediment"),EXACT(Metadata!Z806,"soil"),EXACT(Metadata!Z806,"waste water"))))</f>
        <v>0</v>
      </c>
      <c r="BN806" t="b">
        <f>AND(IF(Metadata!AA806="",FALSE,TRUE),EXACT(Metadata!AA806,"metagenome"))</f>
        <v>0</v>
      </c>
      <c r="BO806" t="b">
        <f>AND(IF(Metadata!AB806="",FALSE,TRUE),EXACT(Metadata!AB806,"256318"))</f>
        <v>0</v>
      </c>
      <c r="BP806" t="b">
        <f>IF(Metadata!AC806="",FALSE,TRUE)</f>
        <v>0</v>
      </c>
      <c r="BQ806" t="b">
        <f>IF(Metadata!AD806="",FALSE,TRUE)</f>
        <v>0</v>
      </c>
    </row>
    <row r="807" spans="1:69" x14ac:dyDescent="0.2">
      <c r="A807" s="4" t="e">
        <f ca="1">IF(B807=" "," ",HYPERLINK(CONCATENATE("#metadata!",ADDRESS(INDEX($AJ$2:$AJ$1001,MATCH(ROWS($AH$2:AH807),$AH$2:$AH$1001,0),0),2)),INDEX($AM$2:$AM$1001,MATCH(ROWS($AH$2:AH807),$AH$2:$AH$1001,0),0)))</f>
        <v>#N/A</v>
      </c>
      <c r="B807" s="5" t="e">
        <f ca="1">IF(OR(INDEX($AI$2:$AI$1001,MATCH(ROWS($AH$2:AH807),$AH$2:$AH$1001,0),1)&gt;=100000,INDEX($AO$1005:$BQ$1005,1,MATCH(COLUMNS($AO$1006:AO1006),$AO$1006:$BQ$1006,0))&gt;=100000), " ",IF(INDEX($AO$2:$BQ$1001,MATCH(ROWS($AH$2:AH807),$AH$2:$AH$1001,0),MATCH(COLUMNS($AO$1006:AO1006),$AO$1006:$BQ$1006,0)), HYPERLINK("#",""), HYPERLINK(CONCATENATE("#Metadata!", ADDRESS(INDEX($AJ$2:$AJ$1001,MATCH(ROWS($AH$2:AH807),$AH$2:$AH$1001,0),0), INDEX($AO$1004:$BQ$1004,1,MATCH(COLUMNS($AO$1006:AO1006),$AO$1006:$BQ$1006,0)))),"Fix")))</f>
        <v>#N/A</v>
      </c>
      <c r="C807" s="5" t="e">
        <f ca="1">IF(OR(INDEX($AI$2:$AI$1001,MATCH(ROWS($AH$2:AH807),$AH$2:$AH$1001,0),1)&gt;=100000,INDEX($AO$1005:$BQ$1005,1,MATCH(COLUMNS($AO$1006:AP1006),$AO$1006:$BQ$1006,0))&gt;=100000), " ",IF(INDEX($AO$2:$BQ$1001,MATCH(ROWS($AH$2:AH807),$AH$2:$AH$1001,0),MATCH(COLUMNS($AO$1006:AP1006),$AO$1006:$BQ$1006,0)), HYPERLINK("#",""), HYPERLINK(CONCATENATE("#Metadata!", ADDRESS(INDEX($AJ$2:$AJ$1001,MATCH(ROWS($AH$2:AH807),$AH$2:$AH$1001,0),0), INDEX($AO$1004:$BQ$1004,1,MATCH(COLUMNS($AO$1006:AP1006),$AO$1006:$BQ$1006,0)))),"Fix")))</f>
        <v>#N/A</v>
      </c>
      <c r="D807" s="5" t="e">
        <f ca="1">IF(OR(INDEX($AI$2:$AI$1001,MATCH(ROWS($AH$2:AH807),$AH$2:$AH$1001,0),1)&gt;=100000,INDEX($AO$1005:$BQ$1005,1,MATCH(COLUMNS($AO$1006:AQ1006),$AO$1006:$BQ$1006,0))&gt;=100000), " ",IF(INDEX($AO$2:$BQ$1001,MATCH(ROWS($AH$2:AH807),$AH$2:$AH$1001,0),MATCH(COLUMNS($AO$1006:AQ1006),$AO$1006:$BQ$1006,0)), HYPERLINK("#",""), HYPERLINK(CONCATENATE("#Metadata!", ADDRESS(INDEX($AJ$2:$AJ$1001,MATCH(ROWS($AH$2:AH807),$AH$2:$AH$1001,0),0), INDEX($AO$1004:$BQ$1004,1,MATCH(COLUMNS($AO$1006:AQ1006),$AO$1006:$BQ$1006,0)))),"Fix")))</f>
        <v>#N/A</v>
      </c>
      <c r="E807" s="5" t="e">
        <f ca="1">IF(OR(INDEX($AI$2:$AI$1001,MATCH(ROWS($AH$2:AH807),$AH$2:$AH$1001,0),1)&gt;=100000,INDEX($AO$1005:$BQ$1005,1,MATCH(COLUMNS($AO$1006:AR1006),$AO$1006:$BQ$1006,0))&gt;=100000), " ",IF(INDEX($AO$2:$BQ$1001,MATCH(ROWS($AH$2:AH807),$AH$2:$AH$1001,0),MATCH(COLUMNS($AO$1006:AR1006),$AO$1006:$BQ$1006,0)), HYPERLINK("#",""), HYPERLINK(CONCATENATE("#Metadata!", ADDRESS(INDEX($AJ$2:$AJ$1001,MATCH(ROWS($AH$2:AH807),$AH$2:$AH$1001,0),0), INDEX($AO$1004:$BQ$1004,1,MATCH(COLUMNS($AO$1006:AR1006),$AO$1006:$BQ$1006,0)))),"Fix")))</f>
        <v>#N/A</v>
      </c>
      <c r="F807" s="5" t="e">
        <f ca="1">IF(OR(INDEX($AI$2:$AI$1001,MATCH(ROWS($AH$2:AH807),$AH$2:$AH$1001,0),1)&gt;=100000,INDEX($AO$1005:$BQ$1005,1,MATCH(COLUMNS($AO$1006:AS1006),$AO$1006:$BQ$1006,0))&gt;=100000), " ",IF(INDEX($AO$2:$BQ$1001,MATCH(ROWS($AH$2:AH807),$AH$2:$AH$1001,0),MATCH(COLUMNS($AO$1006:AS1006),$AO$1006:$BQ$1006,0)), HYPERLINK("#",""), HYPERLINK(CONCATENATE("#Metadata!", ADDRESS(INDEX($AJ$2:$AJ$1001,MATCH(ROWS($AH$2:AH807),$AH$2:$AH$1001,0),0), INDEX($AO$1004:$BQ$1004,1,MATCH(COLUMNS($AO$1006:AS1006),$AO$1006:$BQ$1006,0)))),"Fix")))</f>
        <v>#N/A</v>
      </c>
      <c r="G807" s="5" t="e">
        <f ca="1">IF(OR(INDEX($AI$2:$AI$1001,MATCH(ROWS($AH$2:AH807),$AH$2:$AH$1001,0),1)&gt;=100000,INDEX($AO$1005:$BQ$1005,1,MATCH(COLUMNS($AO$1006:AT1006),$AO$1006:$BQ$1006,0))&gt;=100000), " ",IF(INDEX($AO$2:$BQ$1001,MATCH(ROWS($AH$2:AH807),$AH$2:$AH$1001,0),MATCH(COLUMNS($AO$1006:AT1006),$AO$1006:$BQ$1006,0)), HYPERLINK("#",""), HYPERLINK(CONCATENATE("#Metadata!", ADDRESS(INDEX($AJ$2:$AJ$1001,MATCH(ROWS($AH$2:AH807),$AH$2:$AH$1001,0),0), INDEX($AO$1004:$BQ$1004,1,MATCH(COLUMNS($AO$1006:AT1006),$AO$1006:$BQ$1006,0)))),"Fix")))</f>
        <v>#N/A</v>
      </c>
      <c r="H807" s="5" t="e">
        <f ca="1">IF(OR(INDEX($AI$2:$AI$1001,MATCH(ROWS($AH$2:AH807),$AH$2:$AH$1001,0),1)&gt;=100000,INDEX($AO$1005:$BQ$1005,1,MATCH(COLUMNS($AO$1006:AU1006),$AO$1006:$BQ$1006,0))&gt;=100000), " ",IF(INDEX($AO$2:$BQ$1001,MATCH(ROWS($AH$2:AH807),$AH$2:$AH$1001,0),MATCH(COLUMNS($AO$1006:AU1006),$AO$1006:$BQ$1006,0)), HYPERLINK("#",""), HYPERLINK(CONCATENATE("#Metadata!", ADDRESS(INDEX($AJ$2:$AJ$1001,MATCH(ROWS($AH$2:AH807),$AH$2:$AH$1001,0),0), INDEX($AO$1004:$BQ$1004,1,MATCH(COLUMNS($AO$1006:AU1006),$AO$1006:$BQ$1006,0)))),"Fix")))</f>
        <v>#N/A</v>
      </c>
      <c r="I807" s="5" t="e">
        <f ca="1">IF(OR(INDEX($AI$2:$AI$1001,MATCH(ROWS($AH$2:AH807),$AH$2:$AH$1001,0),1)&gt;=100000,INDEX($AO$1005:$BQ$1005,1,MATCH(COLUMNS($AO$1006:AV1006),$AO$1006:$BQ$1006,0))&gt;=100000), " ",IF(INDEX($AO$2:$BQ$1001,MATCH(ROWS($AH$2:AH807),$AH$2:$AH$1001,0),MATCH(COLUMNS($AO$1006:AV1006),$AO$1006:$BQ$1006,0)), HYPERLINK("#",""), HYPERLINK(CONCATENATE("#Metadata!", ADDRESS(INDEX($AJ$2:$AJ$1001,MATCH(ROWS($AH$2:AH807),$AH$2:$AH$1001,0),0), INDEX($AO$1004:$BQ$1004,1,MATCH(COLUMNS($AO$1006:AV1006),$AO$1006:$BQ$1006,0)))),"Fix")))</f>
        <v>#N/A</v>
      </c>
      <c r="J807" s="5" t="e">
        <f ca="1">IF(OR(INDEX($AI$2:$AI$1001,MATCH(ROWS($AH$2:AH807),$AH$2:$AH$1001,0),1)&gt;=100000,INDEX($AO$1005:$BQ$1005,1,MATCH(COLUMNS($AO$1006:AW1006),$AO$1006:$BQ$1006,0))&gt;=100000), " ",IF(INDEX($AO$2:$BQ$1001,MATCH(ROWS($AH$2:AH807),$AH$2:$AH$1001,0),MATCH(COLUMNS($AO$1006:AW1006),$AO$1006:$BQ$1006,0)), HYPERLINK("#",""), HYPERLINK(CONCATENATE("#Metadata!", ADDRESS(INDEX($AJ$2:$AJ$1001,MATCH(ROWS($AH$2:AH807),$AH$2:$AH$1001,0),0), INDEX($AO$1004:$BQ$1004,1,MATCH(COLUMNS($AO$1006:AW1006),$AO$1006:$BQ$1006,0)))),"Fix")))</f>
        <v>#N/A</v>
      </c>
      <c r="K807" s="5" t="e">
        <f ca="1">IF(OR(INDEX($AI$2:$AI$1001,MATCH(ROWS($AH$2:AH807),$AH$2:$AH$1001,0),1)&gt;=100000,INDEX($AO$1005:$BQ$1005,1,MATCH(COLUMNS($AO$1006:AX1006),$AO$1006:$BQ$1006,0))&gt;=100000), " ",IF(INDEX($AO$2:$BQ$1001,MATCH(ROWS($AH$2:AH807),$AH$2:$AH$1001,0),MATCH(COLUMNS($AO$1006:AX1006),$AO$1006:$BQ$1006,0)), HYPERLINK("#",""), HYPERLINK(CONCATENATE("#Metadata!", ADDRESS(INDEX($AJ$2:$AJ$1001,MATCH(ROWS($AH$2:AH807),$AH$2:$AH$1001,0),0), INDEX($AO$1004:$BQ$1004,1,MATCH(COLUMNS($AO$1006:AX1006),$AO$1006:$BQ$1006,0)))),"Fix")))</f>
        <v>#N/A</v>
      </c>
      <c r="L807" s="5" t="e">
        <f ca="1">IF(OR(INDEX($AI$2:$AI$1001,MATCH(ROWS($AH$2:AH807),$AH$2:$AH$1001,0),1)&gt;=100000,INDEX($AO$1005:$BQ$1005,1,MATCH(COLUMNS($AO$1006:AY1006),$AO$1006:$BQ$1006,0))&gt;=100000), " ",IF(INDEX($AO$2:$BQ$1001,MATCH(ROWS($AH$2:AH807),$AH$2:$AH$1001,0),MATCH(COLUMNS($AO$1006:AY1006),$AO$1006:$BQ$1006,0)), HYPERLINK("#",""), HYPERLINK(CONCATENATE("#Metadata!", ADDRESS(INDEX($AJ$2:$AJ$1001,MATCH(ROWS($AH$2:AH807),$AH$2:$AH$1001,0),0), INDEX($AO$1004:$BQ$1004,1,MATCH(COLUMNS($AO$1006:AY1006),$AO$1006:$BQ$1006,0)))),"Fix")))</f>
        <v>#N/A</v>
      </c>
      <c r="M807" s="5" t="e">
        <f ca="1">IF(OR(INDEX($AI$2:$AI$1001,MATCH(ROWS($AH$2:AH807),$AH$2:$AH$1001,0),1)&gt;=100000,INDEX($AO$1005:$BQ$1005,1,MATCH(COLUMNS($AO$1006:AZ1006),$AO$1006:$BQ$1006,0))&gt;=100000), " ",IF(INDEX($AO$2:$BQ$1001,MATCH(ROWS($AH$2:AH807),$AH$2:$AH$1001,0),MATCH(COLUMNS($AO$1006:AZ1006),$AO$1006:$BQ$1006,0)), HYPERLINK("#",""), HYPERLINK(CONCATENATE("#Metadata!", ADDRESS(INDEX($AJ$2:$AJ$1001,MATCH(ROWS($AH$2:AH807),$AH$2:$AH$1001,0),0), INDEX($AO$1004:$BQ$1004,1,MATCH(COLUMNS($AO$1006:AZ1006),$AO$1006:$BQ$1006,0)))),"Fix")))</f>
        <v>#N/A</v>
      </c>
      <c r="N807" s="5" t="e">
        <f ca="1">IF(OR(INDEX($AI$2:$AI$1001,MATCH(ROWS($AH$2:AH807),$AH$2:$AH$1001,0),1)&gt;=100000,INDEX($AO$1005:$BQ$1005,1,MATCH(COLUMNS($AO$1006:BA1006),$AO$1006:$BQ$1006,0))&gt;=100000), " ",IF(INDEX($AO$2:$BQ$1001,MATCH(ROWS($AH$2:AH807),$AH$2:$AH$1001,0),MATCH(COLUMNS($AO$1006:BA1006),$AO$1006:$BQ$1006,0)), HYPERLINK("#",""), HYPERLINK(CONCATENATE("#Metadata!", ADDRESS(INDEX($AJ$2:$AJ$1001,MATCH(ROWS($AH$2:AH807),$AH$2:$AH$1001,0),0), INDEX($AO$1004:$BQ$1004,1,MATCH(COLUMNS($AO$1006:BA1006),$AO$1006:$BQ$1006,0)))),"Fix")))</f>
        <v>#N/A</v>
      </c>
      <c r="O807" s="5" t="e">
        <f ca="1">IF(OR(INDEX($AI$2:$AI$1001,MATCH(ROWS($AH$2:AH807),$AH$2:$AH$1001,0),1)&gt;=100000,INDEX($AO$1005:$BQ$1005,1,MATCH(COLUMNS($AO$1006:BB1006),$AO$1006:$BQ$1006,0))&gt;=100000), " ",IF(INDEX($AO$2:$BQ$1001,MATCH(ROWS($AH$2:AH807),$AH$2:$AH$1001,0),MATCH(COLUMNS($AO$1006:BB1006),$AO$1006:$BQ$1006,0)), HYPERLINK("#",""), HYPERLINK(CONCATENATE("#Metadata!", ADDRESS(INDEX($AJ$2:$AJ$1001,MATCH(ROWS($AH$2:AH807),$AH$2:$AH$1001,0),0), INDEX($AO$1004:$BQ$1004,1,MATCH(COLUMNS($AO$1006:BB1006),$AO$1006:$BQ$1006,0)))),"Fix")))</f>
        <v>#N/A</v>
      </c>
      <c r="P807" s="5" t="e">
        <f ca="1">IF(OR(INDEX($AI$2:$AI$1001,MATCH(ROWS($AH$2:AH807),$AH$2:$AH$1001,0),1)&gt;=100000,INDEX($AO$1005:$BQ$1005,1,MATCH(COLUMNS($AO$1006:BC1006),$AO$1006:$BQ$1006,0))&gt;=100000), " ",IF(INDEX($AO$2:$BQ$1001,MATCH(ROWS($AH$2:AH807),$AH$2:$AH$1001,0),MATCH(COLUMNS($AO$1006:BC1006),$AO$1006:$BQ$1006,0)), HYPERLINK("#",""), HYPERLINK(CONCATENATE("#Metadata!", ADDRESS(INDEX($AJ$2:$AJ$1001,MATCH(ROWS($AH$2:AH807),$AH$2:$AH$1001,0),0), INDEX($AO$1004:$BQ$1004,1,MATCH(COLUMNS($AO$1006:BC1006),$AO$1006:$BQ$1006,0)))),"Fix")))</f>
        <v>#N/A</v>
      </c>
      <c r="Q807" s="5" t="e">
        <f ca="1">IF(OR(INDEX($AI$2:$AI$1001,MATCH(ROWS($AH$2:AH807),$AH$2:$AH$1001,0),1)&gt;=100000,INDEX($AO$1005:$BQ$1005,1,MATCH(COLUMNS($AO$1006:BD1006),$AO$1006:$BQ$1006,0))&gt;=100000), " ",IF(INDEX($AO$2:$BQ$1001,MATCH(ROWS($AH$2:AH807),$AH$2:$AH$1001,0),MATCH(COLUMNS($AO$1006:BD1006),$AO$1006:$BQ$1006,0)), HYPERLINK("#",""), HYPERLINK(CONCATENATE("#Metadata!", ADDRESS(INDEX($AJ$2:$AJ$1001,MATCH(ROWS($AH$2:AH807),$AH$2:$AH$1001,0),0), INDEX($AO$1004:$BQ$1004,1,MATCH(COLUMNS($AO$1006:BD1006),$AO$1006:$BQ$1006,0)))),"Fix")))</f>
        <v>#N/A</v>
      </c>
      <c r="R807" s="5" t="e">
        <f ca="1">IF(OR(INDEX($AI$2:$AI$1001,MATCH(ROWS($AH$2:AH807),$AH$2:$AH$1001,0),1)&gt;=100000,INDEX($AO$1005:$BQ$1005,1,MATCH(COLUMNS($AO$1006:BE1006),$AO$1006:$BQ$1006,0))&gt;=100000), " ",IF(INDEX($AO$2:$BQ$1001,MATCH(ROWS($AH$2:AH807),$AH$2:$AH$1001,0),MATCH(COLUMNS($AO$1006:BE1006),$AO$1006:$BQ$1006,0)), HYPERLINK("#",""), HYPERLINK(CONCATENATE("#Metadata!", ADDRESS(INDEX($AJ$2:$AJ$1001,MATCH(ROWS($AH$2:AH807),$AH$2:$AH$1001,0),0), INDEX($AO$1004:$BQ$1004,1,MATCH(COLUMNS($AO$1006:BE1006),$AO$1006:$BQ$1006,0)))),"Fix")))</f>
        <v>#N/A</v>
      </c>
      <c r="S807" s="5" t="e">
        <f ca="1">IF(OR(INDEX($AI$2:$AI$1001,MATCH(ROWS($AH$2:AH807),$AH$2:$AH$1001,0),1)&gt;=100000,INDEX($AO$1005:$BQ$1005,1,MATCH(COLUMNS($AO$1006:BF1006),$AO$1006:$BQ$1006,0))&gt;=100000), " ",IF(INDEX($AO$2:$BQ$1001,MATCH(ROWS($AH$2:AH807),$AH$2:$AH$1001,0),MATCH(COLUMNS($AO$1006:BF1006),$AO$1006:$BQ$1006,0)), HYPERLINK("#",""), HYPERLINK(CONCATENATE("#Metadata!", ADDRESS(INDEX($AJ$2:$AJ$1001,MATCH(ROWS($AH$2:AH807),$AH$2:$AH$1001,0),0), INDEX($AO$1004:$BQ$1004,1,MATCH(COLUMNS($AO$1006:BF1006),$AO$1006:$BQ$1006,0)))),"Fix")))</f>
        <v>#N/A</v>
      </c>
      <c r="T807" s="5" t="e">
        <f ca="1">IF(OR(INDEX($AI$2:$AI$1001,MATCH(ROWS($AH$2:AH807),$AH$2:$AH$1001,0),1)&gt;=100000,INDEX($AO$1005:$BQ$1005,1,MATCH(COLUMNS($AO$1006:BG1006),$AO$1006:$BQ$1006,0))&gt;=100000), " ",IF(INDEX($AO$2:$BQ$1001,MATCH(ROWS($AH$2:AH807),$AH$2:$AH$1001,0),MATCH(COLUMNS($AO$1006:BG1006),$AO$1006:$BQ$1006,0)), HYPERLINK("#",""), HYPERLINK(CONCATENATE("#Metadata!", ADDRESS(INDEX($AJ$2:$AJ$1001,MATCH(ROWS($AH$2:AH807),$AH$2:$AH$1001,0),0), INDEX($AO$1004:$BQ$1004,1,MATCH(COLUMNS($AO$1006:BG1006),$AO$1006:$BQ$1006,0)))),"Fix")))</f>
        <v>#N/A</v>
      </c>
      <c r="U807" s="5" t="e">
        <f ca="1">IF(OR(INDEX($AI$2:$AI$1001,MATCH(ROWS($AH$2:AH807),$AH$2:$AH$1001,0),1)&gt;=100000,INDEX($AO$1005:$BQ$1005,1,MATCH(COLUMNS($AO$1006:BH1006),$AO$1006:$BQ$1006,0))&gt;=100000), " ",IF(INDEX($AO$2:$BQ$1001,MATCH(ROWS($AH$2:AH807),$AH$2:$AH$1001,0),MATCH(COLUMNS($AO$1006:BH1006),$AO$1006:$BQ$1006,0)), HYPERLINK("#",""), HYPERLINK(CONCATENATE("#Metadata!", ADDRESS(INDEX($AJ$2:$AJ$1001,MATCH(ROWS($AH$2:AH807),$AH$2:$AH$1001,0),0), INDEX($AO$1004:$BQ$1004,1,MATCH(COLUMNS($AO$1006:BH1006),$AO$1006:$BQ$1006,0)))),"Fix")))</f>
        <v>#N/A</v>
      </c>
      <c r="V807" s="5" t="e">
        <f ca="1">IF(OR(INDEX($AI$2:$AI$1001,MATCH(ROWS($AH$2:AH807),$AH$2:$AH$1001,0),1)&gt;=100000,INDEX($AO$1005:$BQ$1005,1,MATCH(COLUMNS($AO$1006:BI1006),$AO$1006:$BQ$1006,0))&gt;=100000), " ",IF(INDEX($AO$2:$BQ$1001,MATCH(ROWS($AH$2:AH807),$AH$2:$AH$1001,0),MATCH(COLUMNS($AO$1006:BI1006),$AO$1006:$BQ$1006,0)), HYPERLINK("#",""), HYPERLINK(CONCATENATE("#Metadata!", ADDRESS(INDEX($AJ$2:$AJ$1001,MATCH(ROWS($AH$2:AH807),$AH$2:$AH$1001,0),0), INDEX($AO$1004:$BQ$1004,1,MATCH(COLUMNS($AO$1006:BI1006),$AO$1006:$BQ$1006,0)))),"Fix")))</f>
        <v>#N/A</v>
      </c>
      <c r="W807" s="5" t="e">
        <f ca="1">IF(OR(INDEX($AI$2:$AI$1001,MATCH(ROWS($AH$2:AH807),$AH$2:$AH$1001,0),1)&gt;=100000,INDEX($AO$1005:$BQ$1005,1,MATCH(COLUMNS($AO$1006:BJ1006),$AO$1006:$BQ$1006,0))&gt;=100000), " ",IF(INDEX($AO$2:$BQ$1001,MATCH(ROWS($AH$2:AH807),$AH$2:$AH$1001,0),MATCH(COLUMNS($AO$1006:BJ1006),$AO$1006:$BQ$1006,0)), HYPERLINK("#",""), HYPERLINK(CONCATENATE("#Metadata!", ADDRESS(INDEX($AJ$2:$AJ$1001,MATCH(ROWS($AH$2:AH807),$AH$2:$AH$1001,0),0), INDEX($AO$1004:$BQ$1004,1,MATCH(COLUMNS($AO$1006:BJ1006),$AO$1006:$BQ$1006,0)))),"Fix")))</f>
        <v>#N/A</v>
      </c>
      <c r="X807" s="5" t="e">
        <f ca="1">IF(OR(INDEX($AI$2:$AI$1001,MATCH(ROWS($AH$2:AH807),$AH$2:$AH$1001,0),1)&gt;=100000,INDEX($AO$1005:$BQ$1005,1,MATCH(COLUMNS($AO$1006:BK1006),$AO$1006:$BQ$1006,0))&gt;=100000), " ",IF(INDEX($AO$2:$BQ$1001,MATCH(ROWS($AH$2:AH807),$AH$2:$AH$1001,0),MATCH(COLUMNS($AO$1006:BK1006),$AO$1006:$BQ$1006,0)), HYPERLINK("#",""), HYPERLINK(CONCATENATE("#Metadata!", ADDRESS(INDEX($AJ$2:$AJ$1001,MATCH(ROWS($AH$2:AH807),$AH$2:$AH$1001,0),0), INDEX($AO$1004:$BQ$1004,1,MATCH(COLUMNS($AO$1006:BK1006),$AO$1006:$BQ$1006,0)))),"Fix")))</f>
        <v>#N/A</v>
      </c>
      <c r="Y807" s="5" t="e">
        <f ca="1">IF(OR(INDEX($AI$2:$AI$1001,MATCH(ROWS($AH$2:AH807),$AH$2:$AH$1001,0),1)&gt;=100000,INDEX($AO$1005:$BQ$1005,1,MATCH(COLUMNS($AO$1006:BL1006),$AO$1006:$BQ$1006,0))&gt;=100000), " ",IF(INDEX($AO$2:$BQ$1001,MATCH(ROWS($AH$2:AH807),$AH$2:$AH$1001,0),MATCH(COLUMNS($AO$1006:BL1006),$AO$1006:$BQ$1006,0)), HYPERLINK("#",""), HYPERLINK(CONCATENATE("#Metadata!", ADDRESS(INDEX($AJ$2:$AJ$1001,MATCH(ROWS($AH$2:AH807),$AH$2:$AH$1001,0),0), INDEX($AO$1004:$BQ$1004,1,MATCH(COLUMNS($AO$1006:BL1006),$AO$1006:$BQ$1006,0)))),"Fix")))</f>
        <v>#N/A</v>
      </c>
      <c r="Z807" s="5" t="e">
        <f ca="1">IF(OR(INDEX($AI$2:$AI$1001,MATCH(ROWS($AH$2:AH807),$AH$2:$AH$1001,0),1)&gt;=100000,INDEX($AO$1005:$BQ$1005,1,MATCH(COLUMNS($AO$1006:BM1006),$AO$1006:$BQ$1006,0))&gt;=100000), " ",IF(INDEX($AO$2:$BQ$1001,MATCH(ROWS($AH$2:AH807),$AH$2:$AH$1001,0),MATCH(COLUMNS($AO$1006:BM1006),$AO$1006:$BQ$1006,0)), HYPERLINK("#",""), HYPERLINK(CONCATENATE("#Metadata!", ADDRESS(INDEX($AJ$2:$AJ$1001,MATCH(ROWS($AH$2:AH807),$AH$2:$AH$1001,0),0), INDEX($AO$1004:$BQ$1004,1,MATCH(COLUMNS($AO$1006:BM1006),$AO$1006:$BQ$1006,0)))),"Fix")))</f>
        <v>#N/A</v>
      </c>
      <c r="AA807" s="5" t="e">
        <f ca="1">IF(OR(INDEX($AI$2:$AI$1001,MATCH(ROWS($AH$2:AH807),$AH$2:$AH$1001,0),1)&gt;=100000,INDEX($AO$1005:$BQ$1005,1,MATCH(COLUMNS($AO$1006:BN1006),$AO$1006:$BQ$1006,0))&gt;=100000), " ",IF(INDEX($AO$2:$BQ$1001,MATCH(ROWS($AH$2:AH807),$AH$2:$AH$1001,0),MATCH(COLUMNS($AO$1006:BN1006),$AO$1006:$BQ$1006,0)), HYPERLINK("#",""), HYPERLINK(CONCATENATE("#Metadata!", ADDRESS(INDEX($AJ$2:$AJ$1001,MATCH(ROWS($AH$2:AH807),$AH$2:$AH$1001,0),0), INDEX($AO$1004:$BQ$1004,1,MATCH(COLUMNS($AO$1006:BN1006),$AO$1006:$BQ$1006,0)))),"Fix")))</f>
        <v>#N/A</v>
      </c>
      <c r="AB807" s="5" t="e">
        <f ca="1">IF(OR(INDEX($AI$2:$AI$1001,MATCH(ROWS($AH$2:AH807),$AH$2:$AH$1001,0),1)&gt;=100000,INDEX($AO$1005:$BQ$1005,1,MATCH(COLUMNS($AO$1006:BO1006),$AO$1006:$BQ$1006,0))&gt;=100000), " ",IF(INDEX($AO$2:$BQ$1001,MATCH(ROWS($AH$2:AH807),$AH$2:$AH$1001,0),MATCH(COLUMNS($AO$1006:BO1006),$AO$1006:$BQ$1006,0)), HYPERLINK("#",""), HYPERLINK(CONCATENATE("#Metadata!", ADDRESS(INDEX($AJ$2:$AJ$1001,MATCH(ROWS($AH$2:AH807),$AH$2:$AH$1001,0),0), INDEX($AO$1004:$BQ$1004,1,MATCH(COLUMNS($AO$1006:BO1006),$AO$1006:$BQ$1006,0)))),"Fix")))</f>
        <v>#N/A</v>
      </c>
      <c r="AC807" s="5" t="e">
        <f ca="1">IF(OR(INDEX($AI$2:$AI$1001,MATCH(ROWS($AH$2:AH807),$AH$2:$AH$1001,0),1)&gt;=100000,INDEX($AO$1005:$BQ$1005,1,MATCH(COLUMNS($AO$1006:BP1006),$AO$1006:$BQ$1006,0))&gt;=100000), " ",IF(INDEX($AO$2:$BQ$1001,MATCH(ROWS($AH$2:AH807),$AH$2:$AH$1001,0),MATCH(COLUMNS($AO$1006:BP1006),$AO$1006:$BQ$1006,0)), HYPERLINK("#",""), HYPERLINK(CONCATENATE("#Metadata!", ADDRESS(INDEX($AJ$2:$AJ$1001,MATCH(ROWS($AH$2:AH807),$AH$2:$AH$1001,0),0), INDEX($AO$1004:$BQ$1004,1,MATCH(COLUMNS($AO$1006:BP1006),$AO$1006:$BQ$1006,0)))),"Fix")))</f>
        <v>#N/A</v>
      </c>
      <c r="AD807" s="5" t="e">
        <f ca="1">IF(OR(INDEX($AI$2:$AI$1001,MATCH(ROWS($AH$2:AH807),$AH$2:$AH$1001,0),1)&gt;=100000,INDEX($AO$1005:$BQ$1005,1,MATCH(COLUMNS($AO$1006:BQ1006),$AO$1006:$BQ$1006,0))&gt;=100000), " ",IF(INDEX($AO$2:$BQ$1001,MATCH(ROWS($AH$2:AH807),$AH$2:$AH$1001,0),MATCH(COLUMNS($AO$1006:BQ1006),$AO$1006:$BQ$1006,0)), HYPERLINK("#",""), HYPERLINK(CONCATENATE("#Metadata!", ADDRESS(INDEX($AJ$2:$AJ$1001,MATCH(ROWS($AH$2:AH807),$AH$2:$AH$1001,0),0), INDEX($AO$1004:$BQ$1004,1,MATCH(COLUMNS($AO$1006:BQ1006),$AO$1006:$BQ$1006,0)))),"Fix")))</f>
        <v>#REF!</v>
      </c>
      <c r="AH807">
        <f ca="1"/>
        <v>804</v>
      </c>
      <c r="AI807">
        <v>100807</v>
      </c>
      <c r="AJ807">
        <v>807</v>
      </c>
      <c r="AK807" t="b">
        <f t="shared" si="12"/>
        <v>1</v>
      </c>
      <c r="AL807" t="b">
        <f>COUNTBLANK(Metadata!B807:AD807)=COLUMNS(Metadata!B807:AD807)</f>
        <v>1</v>
      </c>
      <c r="AM807" t="str">
        <v/>
      </c>
      <c r="AO807" t="b">
        <f ca="1">AND(IF(Metadata!B807="",FALSE,TRUE),COUNTIF(Metadata!B:B, Metadata!B807) = 1,NOT(ISERROR(SUMPRODUCT(SEARCH(MID(Metadata!B807,ROW(INDIRECT("1:"&amp;LEN(Metadata!B807))), 1),"0123456789abcdefghijklmnopqrstuvwxyzABCDEFGHIJKLMNOPQRSTUVWXYZ.")))))</f>
        <v>0</v>
      </c>
      <c r="AP807" t="b">
        <f>IF(Metadata!C807="",FALSE,TRUE)</f>
        <v>0</v>
      </c>
      <c r="AQ807" t="b">
        <f>IF(Metadata!D807="",FALSE,TRUE)</f>
        <v>0</v>
      </c>
      <c r="AR807" t="b">
        <f ca="1">OR(AND(IF(Metadata!E807="",FALSE,TRUE),OR(EXACT(Metadata!E807,"not collected"),EXACT(Metadata!E807,"not provided"),EXACT(Metadata!E807,"restricted access"))),AND(IF(Metadata!E807="",FALSE,TRUE),AND(AND(IFERROR(INT(LEFT(Metadata!E807,4))&gt;1900,FALSE),IFERROR(INT(LEFT(Metadata!E807,4))&lt;=YEAR(NOW()),FALSE)), OR(MID(Metadata!E807,5,1)="", AND(AND(MID(Metadata!E807,5,1)="-",IFERROR(INT(MID(Metadata!E807,6,1))&gt;=0,FALSE),IFERROR(INT(MID(Metadata!E807,6,1))&lt;=1,FALSE),NOT(MID(Metadata!E807,7,1)=""),IFERROR(INT(MID(Metadata!E807,6,2))&gt;=1,FALSE),IFERROR(INT(MID(Metadata!E807,6,2))&lt;=12,FALSE)), OR(MID(Metadata!E807,8,1)="", AND(AND(MID(Metadata!E807,8,1)="-",IFERROR(INT(MID(Metadata!E807,9,1))&gt;=0,FALSE),IFERROR(INT(MID(Metadata!E807,9,1))&lt;=3,FALSE),NOT(MID(Metadata!E807,10,1)=""),IFERROR(INT(MID(Metadata!E807,9,2))&gt;=1,FALSE),IFERROR(INT(MID(Metadata!E807,9,2))&lt;=31,FALSE)), OR(MID(Metadata!E807,11,1)="", AND(AND(MID(Metadata!E807,11,1)=" ",IFERROR(INT(MID(Metadata!E807,12,1))&gt;=0,FALSE),IFERROR(INT(MID(Metadata!E807,12,1))&lt;=2,FALSE),NOT(MID(Metadata!E807,13,1)=""),IFERROR(INT(MID(Metadata!E807,12,2))&gt;=0,FALSE),IFERROR(INT(MID(Metadata!E807,12,2))&lt;=23,FALSE)), OR(MID(Metadata!E807,14,1)="", AND(AND(MID(Metadata!E807,14,1)=":",IFERROR(INT(MID(Metadata!E807,15,1))&gt;=0,FALSE),IFERROR(INT(MID(Metadata!E807,15,1))&lt;=5,FALSE),NOT(MID(Metadata!E807,16,1)=""),IFERROR(INT(MID(Metadata!E807,15,2))&gt;=0,FALSE),IFERROR(INT(MID(Metadata!E807,15,2))&lt;=59,FALSE)), OR(MID(Metadata!E807,17,1)="", AND(AND(MID(Metadata!E807,17,1)=":",IFERROR(INT(MID(Metadata!E807,18,1))&gt;=0,FALSE),IFERROR(INT(MID(Metadata!E807,18,1))&lt;=5,FALSE),NOT(MID(Metadata!E807,19,1)=""),IFERROR(INT(MID(Metadata!E807,18,2))&gt;=0,FALSE),IFERROR(INT(MID(Metadata!E807,18,2))&lt;=59,FALSE)), LEN(Metadata!E807)&lt;=19)))))))))))))</f>
        <v>0</v>
      </c>
      <c r="AS807" t="b">
        <f>IF(Metadata!F807="",FALSE,TRUE)</f>
        <v>0</v>
      </c>
      <c r="AT807" t="b">
        <f>OR(AND(IF(Metadata!G807="",FALSE,TRUE),OR(EXACT(Metadata!G807,"not collected"),EXACT(Metadata!G807,"not provided"))),AND(IF(Metadata!G807="",FALSE,TRUE),OR(EXACT(Metadata!G807,"TRUE"),EXACT(Metadata!G807,"FALSE"))))</f>
        <v>0</v>
      </c>
      <c r="AU807" t="b">
        <f>OR(AND(IF(Metadata!H807="",FALSE,TRUE),OR(EXACT(Metadata!H807,"not collected"),EXACT(Metadata!H807,"not provided"),EXACT(Metadata!H807,"restricted access"))),AND(IF(Metadata!H807="",FALSE,ISNUMBER(VALUE(Metadata!H807))),Metadata!H807&gt;=-413))</f>
        <v>0</v>
      </c>
      <c r="AV807" t="b">
        <f>AND(IF(Metadata!I807="",FALSE,TRUE),EXACT(Metadata!I807,"meters"))</f>
        <v>0</v>
      </c>
      <c r="AW807" t="b">
        <f>AND(IF(Metadata!J807="",FALSE,TRUE),EXACT(Metadata!J807,"free-living"))</f>
        <v>0</v>
      </c>
      <c r="AX807" t="b">
        <f>AND(IF(Metadata!K807="",FALSE,TRUE),OR(EXACT(Metadata!K807,"saline"),EXACT(Metadata!K807,"non-saline")))</f>
        <v>0</v>
      </c>
      <c r="AY807" t="b">
        <f>AND(IF(Metadata!L807="",FALSE,TRUE),OR(EXACT(Metadata!L807,"sub-surface (non-saline)"),EXACT(Metadata!L807,"surface (non-saline)"),EXACT(Metadata!L807,"water (non-saline)"),EXACT(Metadata!L807,"soil (non-saline)"),EXACT(Metadata!L807,"aerosol (non-saline)"),EXACT(Metadata!L807,"sediment (non-saline)"),EXACT(Metadata!L807,"surface (saline)"),EXACT(Metadata!L807,"water (saline)"),EXACT(Metadata!L807,"hypersaline (saline)"),EXACT(Metadata!L807,"aerosol (saline)"),EXACT(Metadata!L807,"sediment (saline)")))</f>
        <v>0</v>
      </c>
      <c r="AZ807" t="b">
        <f>IF(Metadata!M807="",FALSE,TRUE)</f>
        <v>0</v>
      </c>
      <c r="BA807" t="b">
        <f>IF(Metadata!N807="",FALSE,TRUE)</f>
        <v>0</v>
      </c>
      <c r="BB807" t="b">
        <f>IF(Metadata!O807="",FALSE,TRUE)</f>
        <v>0</v>
      </c>
      <c r="BC807" t="b">
        <f>AND(IF(Metadata!P807="",FALSE,TRUE),OR(EXACT(Metadata!P807,"air"),EXACT(Metadata!P807,"microbial mat/biofilm"),EXACT(Metadata!P807,"misc environment"),EXACT(Metadata!P807,"sediment"),EXACT(Metadata!P807,"soil"),EXACT(Metadata!P807,"wastewater/sludge"),EXACT(Metadata!P807,"water")))</f>
        <v>0</v>
      </c>
      <c r="BD807" t="b">
        <f>IF(Metadata!Q807="",FALSE,TRUE)</f>
        <v>0</v>
      </c>
      <c r="BE807" t="b">
        <f>IF(Metadata!R807="",FALSE,TRUE)</f>
        <v>0</v>
      </c>
      <c r="BF807" t="b">
        <f>OR(AND(IF(Metadata!S807="",FALSE,TRUE),OR(EXACT(Metadata!S807,"not collected"),EXACT(Metadata!S807,"not provided"),EXACT(Metadata!S807,"restricted access"))),AND(IF(Metadata!S807="",FALSE,ISNUMBER(VALUE(Metadata!S807))),Metadata!S807&gt;=-90,Metadata!S807&lt;=90))</f>
        <v>0</v>
      </c>
      <c r="BG807" t="b">
        <f>AND(IF(Metadata!T807="",FALSE,TRUE),EXACT(Metadata!T807,"Decimal degrees"))</f>
        <v>0</v>
      </c>
      <c r="BH807" t="b">
        <f>OR(AND(IF(Metadata!U807="",FALSE,TRUE),OR(EXACT(Metadata!U807,"not applicable"),EXACT(Metadata!U807,"not collected"))),IF(Metadata!U807="",FALSE,TRUE))</f>
        <v>0</v>
      </c>
      <c r="BI807" t="b">
        <f>OR(AND(IF(Metadata!V807="",FALSE,TRUE),OR(EXACT(Metadata!V807,"not collected"),EXACT(Metadata!V807,"not provided"),EXACT(Metadata!V807,"restricted access"))),AND(IF(Metadata!V807="",FALSE,ISNUMBER(VALUE(Metadata!V807))),Metadata!V807&gt;=-180,Metadata!V807&lt;=180))</f>
        <v>0</v>
      </c>
      <c r="BJ807" t="b">
        <f>AND(IF(Metadata!W807="",FALSE,TRUE),EXACT(Metadata!W807,"Decimal degrees"))</f>
        <v>0</v>
      </c>
      <c r="BK807" t="b">
        <f>IF(Metadata!X807="",FALSE,TRUE)</f>
        <v>0</v>
      </c>
      <c r="BL807" t="b">
        <f>OR(AND(IF(Metadata!Y807="",FALSE,TRUE),OR(EXACT(Metadata!Y807,"not collected"),EXACT(Metadata!Y807,"not provided"),EXACT(Metadata!Y807,"restricted access"))),AND(IF(Metadata!Y807="",FALSE,TRUE),OR(EXACT(Metadata!Y807,"TRUE"),EXACT(Metadata!Y807,"FALSE"))))</f>
        <v>0</v>
      </c>
      <c r="BM807" t="b">
        <f>OR(AND(IF(Metadata!Z807="",FALSE,TRUE),EXACT(Metadata!Z807,"not applicable")),AND(IF(Metadata!Z807="",FALSE,TRUE),OR(EXACT(Metadata!Z807,"beer"),EXACT(Metadata!Z807,"cheese"),EXACT(Metadata!Z807,"fresh water"),EXACT(Metadata!Z807,"marine sediment"),EXACT(Metadata!Z807,"sea water"),EXACT(Metadata!Z807,"sediment"),EXACT(Metadata!Z807,"soil"),EXACT(Metadata!Z807,"waste water"))))</f>
        <v>0</v>
      </c>
      <c r="BN807" t="b">
        <f>AND(IF(Metadata!AA807="",FALSE,TRUE),EXACT(Metadata!AA807,"metagenome"))</f>
        <v>0</v>
      </c>
      <c r="BO807" t="b">
        <f>AND(IF(Metadata!AB807="",FALSE,TRUE),EXACT(Metadata!AB807,"256318"))</f>
        <v>0</v>
      </c>
      <c r="BP807" t="b">
        <f>IF(Metadata!AC807="",FALSE,TRUE)</f>
        <v>0</v>
      </c>
      <c r="BQ807" t="b">
        <f>IF(Metadata!AD807="",FALSE,TRUE)</f>
        <v>0</v>
      </c>
    </row>
    <row r="808" spans="1:69" x14ac:dyDescent="0.2">
      <c r="A808" s="4" t="e">
        <f ca="1">IF(B808=" "," ",HYPERLINK(CONCATENATE("#metadata!",ADDRESS(INDEX($AJ$2:$AJ$1001,MATCH(ROWS($AH$2:AH808),$AH$2:$AH$1001,0),0),2)),INDEX($AM$2:$AM$1001,MATCH(ROWS($AH$2:AH808),$AH$2:$AH$1001,0),0)))</f>
        <v>#N/A</v>
      </c>
      <c r="B808" s="5" t="e">
        <f ca="1">IF(OR(INDEX($AI$2:$AI$1001,MATCH(ROWS($AH$2:AH808),$AH$2:$AH$1001,0),1)&gt;=100000,INDEX($AO$1005:$BQ$1005,1,MATCH(COLUMNS($AO$1006:AO1006),$AO$1006:$BQ$1006,0))&gt;=100000), " ",IF(INDEX($AO$2:$BQ$1001,MATCH(ROWS($AH$2:AH808),$AH$2:$AH$1001,0),MATCH(COLUMNS($AO$1006:AO1006),$AO$1006:$BQ$1006,0)), HYPERLINK("#",""), HYPERLINK(CONCATENATE("#Metadata!", ADDRESS(INDEX($AJ$2:$AJ$1001,MATCH(ROWS($AH$2:AH808),$AH$2:$AH$1001,0),0), INDEX($AO$1004:$BQ$1004,1,MATCH(COLUMNS($AO$1006:AO1006),$AO$1006:$BQ$1006,0)))),"Fix")))</f>
        <v>#N/A</v>
      </c>
      <c r="C808" s="5" t="e">
        <f ca="1">IF(OR(INDEX($AI$2:$AI$1001,MATCH(ROWS($AH$2:AH808),$AH$2:$AH$1001,0),1)&gt;=100000,INDEX($AO$1005:$BQ$1005,1,MATCH(COLUMNS($AO$1006:AP1006),$AO$1006:$BQ$1006,0))&gt;=100000), " ",IF(INDEX($AO$2:$BQ$1001,MATCH(ROWS($AH$2:AH808),$AH$2:$AH$1001,0),MATCH(COLUMNS($AO$1006:AP1006),$AO$1006:$BQ$1006,0)), HYPERLINK("#",""), HYPERLINK(CONCATENATE("#Metadata!", ADDRESS(INDEX($AJ$2:$AJ$1001,MATCH(ROWS($AH$2:AH808),$AH$2:$AH$1001,0),0), INDEX($AO$1004:$BQ$1004,1,MATCH(COLUMNS($AO$1006:AP1006),$AO$1006:$BQ$1006,0)))),"Fix")))</f>
        <v>#N/A</v>
      </c>
      <c r="D808" s="5" t="e">
        <f ca="1">IF(OR(INDEX($AI$2:$AI$1001,MATCH(ROWS($AH$2:AH808),$AH$2:$AH$1001,0),1)&gt;=100000,INDEX($AO$1005:$BQ$1005,1,MATCH(COLUMNS($AO$1006:AQ1006),$AO$1006:$BQ$1006,0))&gt;=100000), " ",IF(INDEX($AO$2:$BQ$1001,MATCH(ROWS($AH$2:AH808),$AH$2:$AH$1001,0),MATCH(COLUMNS($AO$1006:AQ1006),$AO$1006:$BQ$1006,0)), HYPERLINK("#",""), HYPERLINK(CONCATENATE("#Metadata!", ADDRESS(INDEX($AJ$2:$AJ$1001,MATCH(ROWS($AH$2:AH808),$AH$2:$AH$1001,0),0), INDEX($AO$1004:$BQ$1004,1,MATCH(COLUMNS($AO$1006:AQ1006),$AO$1006:$BQ$1006,0)))),"Fix")))</f>
        <v>#N/A</v>
      </c>
      <c r="E808" s="5" t="e">
        <f ca="1">IF(OR(INDEX($AI$2:$AI$1001,MATCH(ROWS($AH$2:AH808),$AH$2:$AH$1001,0),1)&gt;=100000,INDEX($AO$1005:$BQ$1005,1,MATCH(COLUMNS($AO$1006:AR1006),$AO$1006:$BQ$1006,0))&gt;=100000), " ",IF(INDEX($AO$2:$BQ$1001,MATCH(ROWS($AH$2:AH808),$AH$2:$AH$1001,0),MATCH(COLUMNS($AO$1006:AR1006),$AO$1006:$BQ$1006,0)), HYPERLINK("#",""), HYPERLINK(CONCATENATE("#Metadata!", ADDRESS(INDEX($AJ$2:$AJ$1001,MATCH(ROWS($AH$2:AH808),$AH$2:$AH$1001,0),0), INDEX($AO$1004:$BQ$1004,1,MATCH(COLUMNS($AO$1006:AR1006),$AO$1006:$BQ$1006,0)))),"Fix")))</f>
        <v>#N/A</v>
      </c>
      <c r="F808" s="5" t="e">
        <f ca="1">IF(OR(INDEX($AI$2:$AI$1001,MATCH(ROWS($AH$2:AH808),$AH$2:$AH$1001,0),1)&gt;=100000,INDEX($AO$1005:$BQ$1005,1,MATCH(COLUMNS($AO$1006:AS1006),$AO$1006:$BQ$1006,0))&gt;=100000), " ",IF(INDEX($AO$2:$BQ$1001,MATCH(ROWS($AH$2:AH808),$AH$2:$AH$1001,0),MATCH(COLUMNS($AO$1006:AS1006),$AO$1006:$BQ$1006,0)), HYPERLINK("#",""), HYPERLINK(CONCATENATE("#Metadata!", ADDRESS(INDEX($AJ$2:$AJ$1001,MATCH(ROWS($AH$2:AH808),$AH$2:$AH$1001,0),0), INDEX($AO$1004:$BQ$1004,1,MATCH(COLUMNS($AO$1006:AS1006),$AO$1006:$BQ$1006,0)))),"Fix")))</f>
        <v>#N/A</v>
      </c>
      <c r="G808" s="5" t="e">
        <f ca="1">IF(OR(INDEX($AI$2:$AI$1001,MATCH(ROWS($AH$2:AH808),$AH$2:$AH$1001,0),1)&gt;=100000,INDEX($AO$1005:$BQ$1005,1,MATCH(COLUMNS($AO$1006:AT1006),$AO$1006:$BQ$1006,0))&gt;=100000), " ",IF(INDEX($AO$2:$BQ$1001,MATCH(ROWS($AH$2:AH808),$AH$2:$AH$1001,0),MATCH(COLUMNS($AO$1006:AT1006),$AO$1006:$BQ$1006,0)), HYPERLINK("#",""), HYPERLINK(CONCATENATE("#Metadata!", ADDRESS(INDEX($AJ$2:$AJ$1001,MATCH(ROWS($AH$2:AH808),$AH$2:$AH$1001,0),0), INDEX($AO$1004:$BQ$1004,1,MATCH(COLUMNS($AO$1006:AT1006),$AO$1006:$BQ$1006,0)))),"Fix")))</f>
        <v>#N/A</v>
      </c>
      <c r="H808" s="5" t="e">
        <f ca="1">IF(OR(INDEX($AI$2:$AI$1001,MATCH(ROWS($AH$2:AH808),$AH$2:$AH$1001,0),1)&gt;=100000,INDEX($AO$1005:$BQ$1005,1,MATCH(COLUMNS($AO$1006:AU1006),$AO$1006:$BQ$1006,0))&gt;=100000), " ",IF(INDEX($AO$2:$BQ$1001,MATCH(ROWS($AH$2:AH808),$AH$2:$AH$1001,0),MATCH(COLUMNS($AO$1006:AU1006),$AO$1006:$BQ$1006,0)), HYPERLINK("#",""), HYPERLINK(CONCATENATE("#Metadata!", ADDRESS(INDEX($AJ$2:$AJ$1001,MATCH(ROWS($AH$2:AH808),$AH$2:$AH$1001,0),0), INDEX($AO$1004:$BQ$1004,1,MATCH(COLUMNS($AO$1006:AU1006),$AO$1006:$BQ$1006,0)))),"Fix")))</f>
        <v>#N/A</v>
      </c>
      <c r="I808" s="5" t="e">
        <f ca="1">IF(OR(INDEX($AI$2:$AI$1001,MATCH(ROWS($AH$2:AH808),$AH$2:$AH$1001,0),1)&gt;=100000,INDEX($AO$1005:$BQ$1005,1,MATCH(COLUMNS($AO$1006:AV1006),$AO$1006:$BQ$1006,0))&gt;=100000), " ",IF(INDEX($AO$2:$BQ$1001,MATCH(ROWS($AH$2:AH808),$AH$2:$AH$1001,0),MATCH(COLUMNS($AO$1006:AV1006),$AO$1006:$BQ$1006,0)), HYPERLINK("#",""), HYPERLINK(CONCATENATE("#Metadata!", ADDRESS(INDEX($AJ$2:$AJ$1001,MATCH(ROWS($AH$2:AH808),$AH$2:$AH$1001,0),0), INDEX($AO$1004:$BQ$1004,1,MATCH(COLUMNS($AO$1006:AV1006),$AO$1006:$BQ$1006,0)))),"Fix")))</f>
        <v>#N/A</v>
      </c>
      <c r="J808" s="5" t="e">
        <f ca="1">IF(OR(INDEX($AI$2:$AI$1001,MATCH(ROWS($AH$2:AH808),$AH$2:$AH$1001,0),1)&gt;=100000,INDEX($AO$1005:$BQ$1005,1,MATCH(COLUMNS($AO$1006:AW1006),$AO$1006:$BQ$1006,0))&gt;=100000), " ",IF(INDEX($AO$2:$BQ$1001,MATCH(ROWS($AH$2:AH808),$AH$2:$AH$1001,0),MATCH(COLUMNS($AO$1006:AW1006),$AO$1006:$BQ$1006,0)), HYPERLINK("#",""), HYPERLINK(CONCATENATE("#Metadata!", ADDRESS(INDEX($AJ$2:$AJ$1001,MATCH(ROWS($AH$2:AH808),$AH$2:$AH$1001,0),0), INDEX($AO$1004:$BQ$1004,1,MATCH(COLUMNS($AO$1006:AW1006),$AO$1006:$BQ$1006,0)))),"Fix")))</f>
        <v>#N/A</v>
      </c>
      <c r="K808" s="5" t="e">
        <f ca="1">IF(OR(INDEX($AI$2:$AI$1001,MATCH(ROWS($AH$2:AH808),$AH$2:$AH$1001,0),1)&gt;=100000,INDEX($AO$1005:$BQ$1005,1,MATCH(COLUMNS($AO$1006:AX1006),$AO$1006:$BQ$1006,0))&gt;=100000), " ",IF(INDEX($AO$2:$BQ$1001,MATCH(ROWS($AH$2:AH808),$AH$2:$AH$1001,0),MATCH(COLUMNS($AO$1006:AX1006),$AO$1006:$BQ$1006,0)), HYPERLINK("#",""), HYPERLINK(CONCATENATE("#Metadata!", ADDRESS(INDEX($AJ$2:$AJ$1001,MATCH(ROWS($AH$2:AH808),$AH$2:$AH$1001,0),0), INDEX($AO$1004:$BQ$1004,1,MATCH(COLUMNS($AO$1006:AX1006),$AO$1006:$BQ$1006,0)))),"Fix")))</f>
        <v>#N/A</v>
      </c>
      <c r="L808" s="5" t="e">
        <f ca="1">IF(OR(INDEX($AI$2:$AI$1001,MATCH(ROWS($AH$2:AH808),$AH$2:$AH$1001,0),1)&gt;=100000,INDEX($AO$1005:$BQ$1005,1,MATCH(COLUMNS($AO$1006:AY1006),$AO$1006:$BQ$1006,0))&gt;=100000), " ",IF(INDEX($AO$2:$BQ$1001,MATCH(ROWS($AH$2:AH808),$AH$2:$AH$1001,0),MATCH(COLUMNS($AO$1006:AY1006),$AO$1006:$BQ$1006,0)), HYPERLINK("#",""), HYPERLINK(CONCATENATE("#Metadata!", ADDRESS(INDEX($AJ$2:$AJ$1001,MATCH(ROWS($AH$2:AH808),$AH$2:$AH$1001,0),0), INDEX($AO$1004:$BQ$1004,1,MATCH(COLUMNS($AO$1006:AY1006),$AO$1006:$BQ$1006,0)))),"Fix")))</f>
        <v>#N/A</v>
      </c>
      <c r="M808" s="5" t="e">
        <f ca="1">IF(OR(INDEX($AI$2:$AI$1001,MATCH(ROWS($AH$2:AH808),$AH$2:$AH$1001,0),1)&gt;=100000,INDEX($AO$1005:$BQ$1005,1,MATCH(COLUMNS($AO$1006:AZ1006),$AO$1006:$BQ$1006,0))&gt;=100000), " ",IF(INDEX($AO$2:$BQ$1001,MATCH(ROWS($AH$2:AH808),$AH$2:$AH$1001,0),MATCH(COLUMNS($AO$1006:AZ1006),$AO$1006:$BQ$1006,0)), HYPERLINK("#",""), HYPERLINK(CONCATENATE("#Metadata!", ADDRESS(INDEX($AJ$2:$AJ$1001,MATCH(ROWS($AH$2:AH808),$AH$2:$AH$1001,0),0), INDEX($AO$1004:$BQ$1004,1,MATCH(COLUMNS($AO$1006:AZ1006),$AO$1006:$BQ$1006,0)))),"Fix")))</f>
        <v>#N/A</v>
      </c>
      <c r="N808" s="5" t="e">
        <f ca="1">IF(OR(INDEX($AI$2:$AI$1001,MATCH(ROWS($AH$2:AH808),$AH$2:$AH$1001,0),1)&gt;=100000,INDEX($AO$1005:$BQ$1005,1,MATCH(COLUMNS($AO$1006:BA1006),$AO$1006:$BQ$1006,0))&gt;=100000), " ",IF(INDEX($AO$2:$BQ$1001,MATCH(ROWS($AH$2:AH808),$AH$2:$AH$1001,0),MATCH(COLUMNS($AO$1006:BA1006),$AO$1006:$BQ$1006,0)), HYPERLINK("#",""), HYPERLINK(CONCATENATE("#Metadata!", ADDRESS(INDEX($AJ$2:$AJ$1001,MATCH(ROWS($AH$2:AH808),$AH$2:$AH$1001,0),0), INDEX($AO$1004:$BQ$1004,1,MATCH(COLUMNS($AO$1006:BA1006),$AO$1006:$BQ$1006,0)))),"Fix")))</f>
        <v>#N/A</v>
      </c>
      <c r="O808" s="5" t="e">
        <f ca="1">IF(OR(INDEX($AI$2:$AI$1001,MATCH(ROWS($AH$2:AH808),$AH$2:$AH$1001,0),1)&gt;=100000,INDEX($AO$1005:$BQ$1005,1,MATCH(COLUMNS($AO$1006:BB1006),$AO$1006:$BQ$1006,0))&gt;=100000), " ",IF(INDEX($AO$2:$BQ$1001,MATCH(ROWS($AH$2:AH808),$AH$2:$AH$1001,0),MATCH(COLUMNS($AO$1006:BB1006),$AO$1006:$BQ$1006,0)), HYPERLINK("#",""), HYPERLINK(CONCATENATE("#Metadata!", ADDRESS(INDEX($AJ$2:$AJ$1001,MATCH(ROWS($AH$2:AH808),$AH$2:$AH$1001,0),0), INDEX($AO$1004:$BQ$1004,1,MATCH(COLUMNS($AO$1006:BB1006),$AO$1006:$BQ$1006,0)))),"Fix")))</f>
        <v>#N/A</v>
      </c>
      <c r="P808" s="5" t="e">
        <f ca="1">IF(OR(INDEX($AI$2:$AI$1001,MATCH(ROWS($AH$2:AH808),$AH$2:$AH$1001,0),1)&gt;=100000,INDEX($AO$1005:$BQ$1005,1,MATCH(COLUMNS($AO$1006:BC1006),$AO$1006:$BQ$1006,0))&gt;=100000), " ",IF(INDEX($AO$2:$BQ$1001,MATCH(ROWS($AH$2:AH808),$AH$2:$AH$1001,0),MATCH(COLUMNS($AO$1006:BC1006),$AO$1006:$BQ$1006,0)), HYPERLINK("#",""), HYPERLINK(CONCATENATE("#Metadata!", ADDRESS(INDEX($AJ$2:$AJ$1001,MATCH(ROWS($AH$2:AH808),$AH$2:$AH$1001,0),0), INDEX($AO$1004:$BQ$1004,1,MATCH(COLUMNS($AO$1006:BC1006),$AO$1006:$BQ$1006,0)))),"Fix")))</f>
        <v>#N/A</v>
      </c>
      <c r="Q808" s="5" t="e">
        <f ca="1">IF(OR(INDEX($AI$2:$AI$1001,MATCH(ROWS($AH$2:AH808),$AH$2:$AH$1001,0),1)&gt;=100000,INDEX($AO$1005:$BQ$1005,1,MATCH(COLUMNS($AO$1006:BD1006),$AO$1006:$BQ$1006,0))&gt;=100000), " ",IF(INDEX($AO$2:$BQ$1001,MATCH(ROWS($AH$2:AH808),$AH$2:$AH$1001,0),MATCH(COLUMNS($AO$1006:BD1006),$AO$1006:$BQ$1006,0)), HYPERLINK("#",""), HYPERLINK(CONCATENATE("#Metadata!", ADDRESS(INDEX($AJ$2:$AJ$1001,MATCH(ROWS($AH$2:AH808),$AH$2:$AH$1001,0),0), INDEX($AO$1004:$BQ$1004,1,MATCH(COLUMNS($AO$1006:BD1006),$AO$1006:$BQ$1006,0)))),"Fix")))</f>
        <v>#N/A</v>
      </c>
      <c r="R808" s="5" t="e">
        <f ca="1">IF(OR(INDEX($AI$2:$AI$1001,MATCH(ROWS($AH$2:AH808),$AH$2:$AH$1001,0),1)&gt;=100000,INDEX($AO$1005:$BQ$1005,1,MATCH(COLUMNS($AO$1006:BE1006),$AO$1006:$BQ$1006,0))&gt;=100000), " ",IF(INDEX($AO$2:$BQ$1001,MATCH(ROWS($AH$2:AH808),$AH$2:$AH$1001,0),MATCH(COLUMNS($AO$1006:BE1006),$AO$1006:$BQ$1006,0)), HYPERLINK("#",""), HYPERLINK(CONCATENATE("#Metadata!", ADDRESS(INDEX($AJ$2:$AJ$1001,MATCH(ROWS($AH$2:AH808),$AH$2:$AH$1001,0),0), INDEX($AO$1004:$BQ$1004,1,MATCH(COLUMNS($AO$1006:BE1006),$AO$1006:$BQ$1006,0)))),"Fix")))</f>
        <v>#N/A</v>
      </c>
      <c r="S808" s="5" t="e">
        <f ca="1">IF(OR(INDEX($AI$2:$AI$1001,MATCH(ROWS($AH$2:AH808),$AH$2:$AH$1001,0),1)&gt;=100000,INDEX($AO$1005:$BQ$1005,1,MATCH(COLUMNS($AO$1006:BF1006),$AO$1006:$BQ$1006,0))&gt;=100000), " ",IF(INDEX($AO$2:$BQ$1001,MATCH(ROWS($AH$2:AH808),$AH$2:$AH$1001,0),MATCH(COLUMNS($AO$1006:BF1006),$AO$1006:$BQ$1006,0)), HYPERLINK("#",""), HYPERLINK(CONCATENATE("#Metadata!", ADDRESS(INDEX($AJ$2:$AJ$1001,MATCH(ROWS($AH$2:AH808),$AH$2:$AH$1001,0),0), INDEX($AO$1004:$BQ$1004,1,MATCH(COLUMNS($AO$1006:BF1006),$AO$1006:$BQ$1006,0)))),"Fix")))</f>
        <v>#N/A</v>
      </c>
      <c r="T808" s="5" t="e">
        <f ca="1">IF(OR(INDEX($AI$2:$AI$1001,MATCH(ROWS($AH$2:AH808),$AH$2:$AH$1001,0),1)&gt;=100000,INDEX($AO$1005:$BQ$1005,1,MATCH(COLUMNS($AO$1006:BG1006),$AO$1006:$BQ$1006,0))&gt;=100000), " ",IF(INDEX($AO$2:$BQ$1001,MATCH(ROWS($AH$2:AH808),$AH$2:$AH$1001,0),MATCH(COLUMNS($AO$1006:BG1006),$AO$1006:$BQ$1006,0)), HYPERLINK("#",""), HYPERLINK(CONCATENATE("#Metadata!", ADDRESS(INDEX($AJ$2:$AJ$1001,MATCH(ROWS($AH$2:AH808),$AH$2:$AH$1001,0),0), INDEX($AO$1004:$BQ$1004,1,MATCH(COLUMNS($AO$1006:BG1006),$AO$1006:$BQ$1006,0)))),"Fix")))</f>
        <v>#N/A</v>
      </c>
      <c r="U808" s="5" t="e">
        <f ca="1">IF(OR(INDEX($AI$2:$AI$1001,MATCH(ROWS($AH$2:AH808),$AH$2:$AH$1001,0),1)&gt;=100000,INDEX($AO$1005:$BQ$1005,1,MATCH(COLUMNS($AO$1006:BH1006),$AO$1006:$BQ$1006,0))&gt;=100000), " ",IF(INDEX($AO$2:$BQ$1001,MATCH(ROWS($AH$2:AH808),$AH$2:$AH$1001,0),MATCH(COLUMNS($AO$1006:BH1006),$AO$1006:$BQ$1006,0)), HYPERLINK("#",""), HYPERLINK(CONCATENATE("#Metadata!", ADDRESS(INDEX($AJ$2:$AJ$1001,MATCH(ROWS($AH$2:AH808),$AH$2:$AH$1001,0),0), INDEX($AO$1004:$BQ$1004,1,MATCH(COLUMNS($AO$1006:BH1006),$AO$1006:$BQ$1006,0)))),"Fix")))</f>
        <v>#N/A</v>
      </c>
      <c r="V808" s="5" t="e">
        <f ca="1">IF(OR(INDEX($AI$2:$AI$1001,MATCH(ROWS($AH$2:AH808),$AH$2:$AH$1001,0),1)&gt;=100000,INDEX($AO$1005:$BQ$1005,1,MATCH(COLUMNS($AO$1006:BI1006),$AO$1006:$BQ$1006,0))&gt;=100000), " ",IF(INDEX($AO$2:$BQ$1001,MATCH(ROWS($AH$2:AH808),$AH$2:$AH$1001,0),MATCH(COLUMNS($AO$1006:BI1006),$AO$1006:$BQ$1006,0)), HYPERLINK("#",""), HYPERLINK(CONCATENATE("#Metadata!", ADDRESS(INDEX($AJ$2:$AJ$1001,MATCH(ROWS($AH$2:AH808),$AH$2:$AH$1001,0),0), INDEX($AO$1004:$BQ$1004,1,MATCH(COLUMNS($AO$1006:BI1006),$AO$1006:$BQ$1006,0)))),"Fix")))</f>
        <v>#N/A</v>
      </c>
      <c r="W808" s="5" t="e">
        <f ca="1">IF(OR(INDEX($AI$2:$AI$1001,MATCH(ROWS($AH$2:AH808),$AH$2:$AH$1001,0),1)&gt;=100000,INDEX($AO$1005:$BQ$1005,1,MATCH(COLUMNS($AO$1006:BJ1006),$AO$1006:$BQ$1006,0))&gt;=100000), " ",IF(INDEX($AO$2:$BQ$1001,MATCH(ROWS($AH$2:AH808),$AH$2:$AH$1001,0),MATCH(COLUMNS($AO$1006:BJ1006),$AO$1006:$BQ$1006,0)), HYPERLINK("#",""), HYPERLINK(CONCATENATE("#Metadata!", ADDRESS(INDEX($AJ$2:$AJ$1001,MATCH(ROWS($AH$2:AH808),$AH$2:$AH$1001,0),0), INDEX($AO$1004:$BQ$1004,1,MATCH(COLUMNS($AO$1006:BJ1006),$AO$1006:$BQ$1006,0)))),"Fix")))</f>
        <v>#N/A</v>
      </c>
      <c r="X808" s="5" t="e">
        <f ca="1">IF(OR(INDEX($AI$2:$AI$1001,MATCH(ROWS($AH$2:AH808),$AH$2:$AH$1001,0),1)&gt;=100000,INDEX($AO$1005:$BQ$1005,1,MATCH(COLUMNS($AO$1006:BK1006),$AO$1006:$BQ$1006,0))&gt;=100000), " ",IF(INDEX($AO$2:$BQ$1001,MATCH(ROWS($AH$2:AH808),$AH$2:$AH$1001,0),MATCH(COLUMNS($AO$1006:BK1006),$AO$1006:$BQ$1006,0)), HYPERLINK("#",""), HYPERLINK(CONCATENATE("#Metadata!", ADDRESS(INDEX($AJ$2:$AJ$1001,MATCH(ROWS($AH$2:AH808),$AH$2:$AH$1001,0),0), INDEX($AO$1004:$BQ$1004,1,MATCH(COLUMNS($AO$1006:BK1006),$AO$1006:$BQ$1006,0)))),"Fix")))</f>
        <v>#N/A</v>
      </c>
      <c r="Y808" s="5" t="e">
        <f ca="1">IF(OR(INDEX($AI$2:$AI$1001,MATCH(ROWS($AH$2:AH808),$AH$2:$AH$1001,0),1)&gt;=100000,INDEX($AO$1005:$BQ$1005,1,MATCH(COLUMNS($AO$1006:BL1006),$AO$1006:$BQ$1006,0))&gt;=100000), " ",IF(INDEX($AO$2:$BQ$1001,MATCH(ROWS($AH$2:AH808),$AH$2:$AH$1001,0),MATCH(COLUMNS($AO$1006:BL1006),$AO$1006:$BQ$1006,0)), HYPERLINK("#",""), HYPERLINK(CONCATENATE("#Metadata!", ADDRESS(INDEX($AJ$2:$AJ$1001,MATCH(ROWS($AH$2:AH808),$AH$2:$AH$1001,0),0), INDEX($AO$1004:$BQ$1004,1,MATCH(COLUMNS($AO$1006:BL1006),$AO$1006:$BQ$1006,0)))),"Fix")))</f>
        <v>#N/A</v>
      </c>
      <c r="Z808" s="5" t="e">
        <f ca="1">IF(OR(INDEX($AI$2:$AI$1001,MATCH(ROWS($AH$2:AH808),$AH$2:$AH$1001,0),1)&gt;=100000,INDEX($AO$1005:$BQ$1005,1,MATCH(COLUMNS($AO$1006:BM1006),$AO$1006:$BQ$1006,0))&gt;=100000), " ",IF(INDEX($AO$2:$BQ$1001,MATCH(ROWS($AH$2:AH808),$AH$2:$AH$1001,0),MATCH(COLUMNS($AO$1006:BM1006),$AO$1006:$BQ$1006,0)), HYPERLINK("#",""), HYPERLINK(CONCATENATE("#Metadata!", ADDRESS(INDEX($AJ$2:$AJ$1001,MATCH(ROWS($AH$2:AH808),$AH$2:$AH$1001,0),0), INDEX($AO$1004:$BQ$1004,1,MATCH(COLUMNS($AO$1006:BM1006),$AO$1006:$BQ$1006,0)))),"Fix")))</f>
        <v>#N/A</v>
      </c>
      <c r="AA808" s="5" t="e">
        <f ca="1">IF(OR(INDEX($AI$2:$AI$1001,MATCH(ROWS($AH$2:AH808),$AH$2:$AH$1001,0),1)&gt;=100000,INDEX($AO$1005:$BQ$1005,1,MATCH(COLUMNS($AO$1006:BN1006),$AO$1006:$BQ$1006,0))&gt;=100000), " ",IF(INDEX($AO$2:$BQ$1001,MATCH(ROWS($AH$2:AH808),$AH$2:$AH$1001,0),MATCH(COLUMNS($AO$1006:BN1006),$AO$1006:$BQ$1006,0)), HYPERLINK("#",""), HYPERLINK(CONCATENATE("#Metadata!", ADDRESS(INDEX($AJ$2:$AJ$1001,MATCH(ROWS($AH$2:AH808),$AH$2:$AH$1001,0),0), INDEX($AO$1004:$BQ$1004,1,MATCH(COLUMNS($AO$1006:BN1006),$AO$1006:$BQ$1006,0)))),"Fix")))</f>
        <v>#N/A</v>
      </c>
      <c r="AB808" s="5" t="e">
        <f ca="1">IF(OR(INDEX($AI$2:$AI$1001,MATCH(ROWS($AH$2:AH808),$AH$2:$AH$1001,0),1)&gt;=100000,INDEX($AO$1005:$BQ$1005,1,MATCH(COLUMNS($AO$1006:BO1006),$AO$1006:$BQ$1006,0))&gt;=100000), " ",IF(INDEX($AO$2:$BQ$1001,MATCH(ROWS($AH$2:AH808),$AH$2:$AH$1001,0),MATCH(COLUMNS($AO$1006:BO1006),$AO$1006:$BQ$1006,0)), HYPERLINK("#",""), HYPERLINK(CONCATENATE("#Metadata!", ADDRESS(INDEX($AJ$2:$AJ$1001,MATCH(ROWS($AH$2:AH808),$AH$2:$AH$1001,0),0), INDEX($AO$1004:$BQ$1004,1,MATCH(COLUMNS($AO$1006:BO1006),$AO$1006:$BQ$1006,0)))),"Fix")))</f>
        <v>#N/A</v>
      </c>
      <c r="AC808" s="5" t="e">
        <f ca="1">IF(OR(INDEX($AI$2:$AI$1001,MATCH(ROWS($AH$2:AH808),$AH$2:$AH$1001,0),1)&gt;=100000,INDEX($AO$1005:$BQ$1005,1,MATCH(COLUMNS($AO$1006:BP1006),$AO$1006:$BQ$1006,0))&gt;=100000), " ",IF(INDEX($AO$2:$BQ$1001,MATCH(ROWS($AH$2:AH808),$AH$2:$AH$1001,0),MATCH(COLUMNS($AO$1006:BP1006),$AO$1006:$BQ$1006,0)), HYPERLINK("#",""), HYPERLINK(CONCATENATE("#Metadata!", ADDRESS(INDEX($AJ$2:$AJ$1001,MATCH(ROWS($AH$2:AH808),$AH$2:$AH$1001,0),0), INDEX($AO$1004:$BQ$1004,1,MATCH(COLUMNS($AO$1006:BP1006),$AO$1006:$BQ$1006,0)))),"Fix")))</f>
        <v>#N/A</v>
      </c>
      <c r="AD808" s="5" t="e">
        <f ca="1">IF(OR(INDEX($AI$2:$AI$1001,MATCH(ROWS($AH$2:AH808),$AH$2:$AH$1001,0),1)&gt;=100000,INDEX($AO$1005:$BQ$1005,1,MATCH(COLUMNS($AO$1006:BQ1006),$AO$1006:$BQ$1006,0))&gt;=100000), " ",IF(INDEX($AO$2:$BQ$1001,MATCH(ROWS($AH$2:AH808),$AH$2:$AH$1001,0),MATCH(COLUMNS($AO$1006:BQ1006),$AO$1006:$BQ$1006,0)), HYPERLINK("#",""), HYPERLINK(CONCATENATE("#Metadata!", ADDRESS(INDEX($AJ$2:$AJ$1001,MATCH(ROWS($AH$2:AH808),$AH$2:$AH$1001,0),0), INDEX($AO$1004:$BQ$1004,1,MATCH(COLUMNS($AO$1006:BQ1006),$AO$1006:$BQ$1006,0)))),"Fix")))</f>
        <v>#REF!</v>
      </c>
      <c r="AH808">
        <f ca="1"/>
        <v>805</v>
      </c>
      <c r="AI808">
        <v>100808</v>
      </c>
      <c r="AJ808">
        <v>808</v>
      </c>
      <c r="AK808" t="b">
        <f t="shared" si="12"/>
        <v>1</v>
      </c>
      <c r="AL808" t="b">
        <f>COUNTBLANK(Metadata!B808:AD808)=COLUMNS(Metadata!B808:AD808)</f>
        <v>1</v>
      </c>
      <c r="AM808" t="str">
        <v/>
      </c>
      <c r="AO808" t="b">
        <f ca="1">AND(IF(Metadata!B808="",FALSE,TRUE),COUNTIF(Metadata!B:B, Metadata!B808) = 1,NOT(ISERROR(SUMPRODUCT(SEARCH(MID(Metadata!B808,ROW(INDIRECT("1:"&amp;LEN(Metadata!B808))), 1),"0123456789abcdefghijklmnopqrstuvwxyzABCDEFGHIJKLMNOPQRSTUVWXYZ.")))))</f>
        <v>0</v>
      </c>
      <c r="AP808" t="b">
        <f>IF(Metadata!C808="",FALSE,TRUE)</f>
        <v>0</v>
      </c>
      <c r="AQ808" t="b">
        <f>IF(Metadata!D808="",FALSE,TRUE)</f>
        <v>0</v>
      </c>
      <c r="AR808" t="b">
        <f ca="1">OR(AND(IF(Metadata!E808="",FALSE,TRUE),OR(EXACT(Metadata!E808,"not collected"),EXACT(Metadata!E808,"not provided"),EXACT(Metadata!E808,"restricted access"))),AND(IF(Metadata!E808="",FALSE,TRUE),AND(AND(IFERROR(INT(LEFT(Metadata!E808,4))&gt;1900,FALSE),IFERROR(INT(LEFT(Metadata!E808,4))&lt;=YEAR(NOW()),FALSE)), OR(MID(Metadata!E808,5,1)="", AND(AND(MID(Metadata!E808,5,1)="-",IFERROR(INT(MID(Metadata!E808,6,1))&gt;=0,FALSE),IFERROR(INT(MID(Metadata!E808,6,1))&lt;=1,FALSE),NOT(MID(Metadata!E808,7,1)=""),IFERROR(INT(MID(Metadata!E808,6,2))&gt;=1,FALSE),IFERROR(INT(MID(Metadata!E808,6,2))&lt;=12,FALSE)), OR(MID(Metadata!E808,8,1)="", AND(AND(MID(Metadata!E808,8,1)="-",IFERROR(INT(MID(Metadata!E808,9,1))&gt;=0,FALSE),IFERROR(INT(MID(Metadata!E808,9,1))&lt;=3,FALSE),NOT(MID(Metadata!E808,10,1)=""),IFERROR(INT(MID(Metadata!E808,9,2))&gt;=1,FALSE),IFERROR(INT(MID(Metadata!E808,9,2))&lt;=31,FALSE)), OR(MID(Metadata!E808,11,1)="", AND(AND(MID(Metadata!E808,11,1)=" ",IFERROR(INT(MID(Metadata!E808,12,1))&gt;=0,FALSE),IFERROR(INT(MID(Metadata!E808,12,1))&lt;=2,FALSE),NOT(MID(Metadata!E808,13,1)=""),IFERROR(INT(MID(Metadata!E808,12,2))&gt;=0,FALSE),IFERROR(INT(MID(Metadata!E808,12,2))&lt;=23,FALSE)), OR(MID(Metadata!E808,14,1)="", AND(AND(MID(Metadata!E808,14,1)=":",IFERROR(INT(MID(Metadata!E808,15,1))&gt;=0,FALSE),IFERROR(INT(MID(Metadata!E808,15,1))&lt;=5,FALSE),NOT(MID(Metadata!E808,16,1)=""),IFERROR(INT(MID(Metadata!E808,15,2))&gt;=0,FALSE),IFERROR(INT(MID(Metadata!E808,15,2))&lt;=59,FALSE)), OR(MID(Metadata!E808,17,1)="", AND(AND(MID(Metadata!E808,17,1)=":",IFERROR(INT(MID(Metadata!E808,18,1))&gt;=0,FALSE),IFERROR(INT(MID(Metadata!E808,18,1))&lt;=5,FALSE),NOT(MID(Metadata!E808,19,1)=""),IFERROR(INT(MID(Metadata!E808,18,2))&gt;=0,FALSE),IFERROR(INT(MID(Metadata!E808,18,2))&lt;=59,FALSE)), LEN(Metadata!E808)&lt;=19)))))))))))))</f>
        <v>0</v>
      </c>
      <c r="AS808" t="b">
        <f>IF(Metadata!F808="",FALSE,TRUE)</f>
        <v>0</v>
      </c>
      <c r="AT808" t="b">
        <f>OR(AND(IF(Metadata!G808="",FALSE,TRUE),OR(EXACT(Metadata!G808,"not collected"),EXACT(Metadata!G808,"not provided"))),AND(IF(Metadata!G808="",FALSE,TRUE),OR(EXACT(Metadata!G808,"TRUE"),EXACT(Metadata!G808,"FALSE"))))</f>
        <v>0</v>
      </c>
      <c r="AU808" t="b">
        <f>OR(AND(IF(Metadata!H808="",FALSE,TRUE),OR(EXACT(Metadata!H808,"not collected"),EXACT(Metadata!H808,"not provided"),EXACT(Metadata!H808,"restricted access"))),AND(IF(Metadata!H808="",FALSE,ISNUMBER(VALUE(Metadata!H808))),Metadata!H808&gt;=-413))</f>
        <v>0</v>
      </c>
      <c r="AV808" t="b">
        <f>AND(IF(Metadata!I808="",FALSE,TRUE),EXACT(Metadata!I808,"meters"))</f>
        <v>0</v>
      </c>
      <c r="AW808" t="b">
        <f>AND(IF(Metadata!J808="",FALSE,TRUE),EXACT(Metadata!J808,"free-living"))</f>
        <v>0</v>
      </c>
      <c r="AX808" t="b">
        <f>AND(IF(Metadata!K808="",FALSE,TRUE),OR(EXACT(Metadata!K808,"saline"),EXACT(Metadata!K808,"non-saline")))</f>
        <v>0</v>
      </c>
      <c r="AY808" t="b">
        <f>AND(IF(Metadata!L808="",FALSE,TRUE),OR(EXACT(Metadata!L808,"sub-surface (non-saline)"),EXACT(Metadata!L808,"surface (non-saline)"),EXACT(Metadata!L808,"water (non-saline)"),EXACT(Metadata!L808,"soil (non-saline)"),EXACT(Metadata!L808,"aerosol (non-saline)"),EXACT(Metadata!L808,"sediment (non-saline)"),EXACT(Metadata!L808,"surface (saline)"),EXACT(Metadata!L808,"water (saline)"),EXACT(Metadata!L808,"hypersaline (saline)"),EXACT(Metadata!L808,"aerosol (saline)"),EXACT(Metadata!L808,"sediment (saline)")))</f>
        <v>0</v>
      </c>
      <c r="AZ808" t="b">
        <f>IF(Metadata!M808="",FALSE,TRUE)</f>
        <v>0</v>
      </c>
      <c r="BA808" t="b">
        <f>IF(Metadata!N808="",FALSE,TRUE)</f>
        <v>0</v>
      </c>
      <c r="BB808" t="b">
        <f>IF(Metadata!O808="",FALSE,TRUE)</f>
        <v>0</v>
      </c>
      <c r="BC808" t="b">
        <f>AND(IF(Metadata!P808="",FALSE,TRUE),OR(EXACT(Metadata!P808,"air"),EXACT(Metadata!P808,"microbial mat/biofilm"),EXACT(Metadata!P808,"misc environment"),EXACT(Metadata!P808,"sediment"),EXACT(Metadata!P808,"soil"),EXACT(Metadata!P808,"wastewater/sludge"),EXACT(Metadata!P808,"water")))</f>
        <v>0</v>
      </c>
      <c r="BD808" t="b">
        <f>IF(Metadata!Q808="",FALSE,TRUE)</f>
        <v>0</v>
      </c>
      <c r="BE808" t="b">
        <f>IF(Metadata!R808="",FALSE,TRUE)</f>
        <v>0</v>
      </c>
      <c r="BF808" t="b">
        <f>OR(AND(IF(Metadata!S808="",FALSE,TRUE),OR(EXACT(Metadata!S808,"not collected"),EXACT(Metadata!S808,"not provided"),EXACT(Metadata!S808,"restricted access"))),AND(IF(Metadata!S808="",FALSE,ISNUMBER(VALUE(Metadata!S808))),Metadata!S808&gt;=-90,Metadata!S808&lt;=90))</f>
        <v>0</v>
      </c>
      <c r="BG808" t="b">
        <f>AND(IF(Metadata!T808="",FALSE,TRUE),EXACT(Metadata!T808,"Decimal degrees"))</f>
        <v>0</v>
      </c>
      <c r="BH808" t="b">
        <f>OR(AND(IF(Metadata!U808="",FALSE,TRUE),OR(EXACT(Metadata!U808,"not applicable"),EXACT(Metadata!U808,"not collected"))),IF(Metadata!U808="",FALSE,TRUE))</f>
        <v>0</v>
      </c>
      <c r="BI808" t="b">
        <f>OR(AND(IF(Metadata!V808="",FALSE,TRUE),OR(EXACT(Metadata!V808,"not collected"),EXACT(Metadata!V808,"not provided"),EXACT(Metadata!V808,"restricted access"))),AND(IF(Metadata!V808="",FALSE,ISNUMBER(VALUE(Metadata!V808))),Metadata!V808&gt;=-180,Metadata!V808&lt;=180))</f>
        <v>0</v>
      </c>
      <c r="BJ808" t="b">
        <f>AND(IF(Metadata!W808="",FALSE,TRUE),EXACT(Metadata!W808,"Decimal degrees"))</f>
        <v>0</v>
      </c>
      <c r="BK808" t="b">
        <f>IF(Metadata!X808="",FALSE,TRUE)</f>
        <v>0</v>
      </c>
      <c r="BL808" t="b">
        <f>OR(AND(IF(Metadata!Y808="",FALSE,TRUE),OR(EXACT(Metadata!Y808,"not collected"),EXACT(Metadata!Y808,"not provided"),EXACT(Metadata!Y808,"restricted access"))),AND(IF(Metadata!Y808="",FALSE,TRUE),OR(EXACT(Metadata!Y808,"TRUE"),EXACT(Metadata!Y808,"FALSE"))))</f>
        <v>0</v>
      </c>
      <c r="BM808" t="b">
        <f>OR(AND(IF(Metadata!Z808="",FALSE,TRUE),EXACT(Metadata!Z808,"not applicable")),AND(IF(Metadata!Z808="",FALSE,TRUE),OR(EXACT(Metadata!Z808,"beer"),EXACT(Metadata!Z808,"cheese"),EXACT(Metadata!Z808,"fresh water"),EXACT(Metadata!Z808,"marine sediment"),EXACT(Metadata!Z808,"sea water"),EXACT(Metadata!Z808,"sediment"),EXACT(Metadata!Z808,"soil"),EXACT(Metadata!Z808,"waste water"))))</f>
        <v>0</v>
      </c>
      <c r="BN808" t="b">
        <f>AND(IF(Metadata!AA808="",FALSE,TRUE),EXACT(Metadata!AA808,"metagenome"))</f>
        <v>0</v>
      </c>
      <c r="BO808" t="b">
        <f>AND(IF(Metadata!AB808="",FALSE,TRUE),EXACT(Metadata!AB808,"256318"))</f>
        <v>0</v>
      </c>
      <c r="BP808" t="b">
        <f>IF(Metadata!AC808="",FALSE,TRUE)</f>
        <v>0</v>
      </c>
      <c r="BQ808" t="b">
        <f>IF(Metadata!AD808="",FALSE,TRUE)</f>
        <v>0</v>
      </c>
    </row>
    <row r="809" spans="1:69" x14ac:dyDescent="0.2">
      <c r="A809" s="4" t="e">
        <f ca="1">IF(B809=" "," ",HYPERLINK(CONCATENATE("#metadata!",ADDRESS(INDEX($AJ$2:$AJ$1001,MATCH(ROWS($AH$2:AH809),$AH$2:$AH$1001,0),0),2)),INDEX($AM$2:$AM$1001,MATCH(ROWS($AH$2:AH809),$AH$2:$AH$1001,0),0)))</f>
        <v>#N/A</v>
      </c>
      <c r="B809" s="5" t="e">
        <f ca="1">IF(OR(INDEX($AI$2:$AI$1001,MATCH(ROWS($AH$2:AH809),$AH$2:$AH$1001,0),1)&gt;=100000,INDEX($AO$1005:$BQ$1005,1,MATCH(COLUMNS($AO$1006:AO1006),$AO$1006:$BQ$1006,0))&gt;=100000), " ",IF(INDEX($AO$2:$BQ$1001,MATCH(ROWS($AH$2:AH809),$AH$2:$AH$1001,0),MATCH(COLUMNS($AO$1006:AO1006),$AO$1006:$BQ$1006,0)), HYPERLINK("#",""), HYPERLINK(CONCATENATE("#Metadata!", ADDRESS(INDEX($AJ$2:$AJ$1001,MATCH(ROWS($AH$2:AH809),$AH$2:$AH$1001,0),0), INDEX($AO$1004:$BQ$1004,1,MATCH(COLUMNS($AO$1006:AO1006),$AO$1006:$BQ$1006,0)))),"Fix")))</f>
        <v>#N/A</v>
      </c>
      <c r="C809" s="5" t="e">
        <f ca="1">IF(OR(INDEX($AI$2:$AI$1001,MATCH(ROWS($AH$2:AH809),$AH$2:$AH$1001,0),1)&gt;=100000,INDEX($AO$1005:$BQ$1005,1,MATCH(COLUMNS($AO$1006:AP1006),$AO$1006:$BQ$1006,0))&gt;=100000), " ",IF(INDEX($AO$2:$BQ$1001,MATCH(ROWS($AH$2:AH809),$AH$2:$AH$1001,0),MATCH(COLUMNS($AO$1006:AP1006),$AO$1006:$BQ$1006,0)), HYPERLINK("#",""), HYPERLINK(CONCATENATE("#Metadata!", ADDRESS(INDEX($AJ$2:$AJ$1001,MATCH(ROWS($AH$2:AH809),$AH$2:$AH$1001,0),0), INDEX($AO$1004:$BQ$1004,1,MATCH(COLUMNS($AO$1006:AP1006),$AO$1006:$BQ$1006,0)))),"Fix")))</f>
        <v>#N/A</v>
      </c>
      <c r="D809" s="5" t="e">
        <f ca="1">IF(OR(INDEX($AI$2:$AI$1001,MATCH(ROWS($AH$2:AH809),$AH$2:$AH$1001,0),1)&gt;=100000,INDEX($AO$1005:$BQ$1005,1,MATCH(COLUMNS($AO$1006:AQ1006),$AO$1006:$BQ$1006,0))&gt;=100000), " ",IF(INDEX($AO$2:$BQ$1001,MATCH(ROWS($AH$2:AH809),$AH$2:$AH$1001,0),MATCH(COLUMNS($AO$1006:AQ1006),$AO$1006:$BQ$1006,0)), HYPERLINK("#",""), HYPERLINK(CONCATENATE("#Metadata!", ADDRESS(INDEX($AJ$2:$AJ$1001,MATCH(ROWS($AH$2:AH809),$AH$2:$AH$1001,0),0), INDEX($AO$1004:$BQ$1004,1,MATCH(COLUMNS($AO$1006:AQ1006),$AO$1006:$BQ$1006,0)))),"Fix")))</f>
        <v>#N/A</v>
      </c>
      <c r="E809" s="5" t="e">
        <f ca="1">IF(OR(INDEX($AI$2:$AI$1001,MATCH(ROWS($AH$2:AH809),$AH$2:$AH$1001,0),1)&gt;=100000,INDEX($AO$1005:$BQ$1005,1,MATCH(COLUMNS($AO$1006:AR1006),$AO$1006:$BQ$1006,0))&gt;=100000), " ",IF(INDEX($AO$2:$BQ$1001,MATCH(ROWS($AH$2:AH809),$AH$2:$AH$1001,0),MATCH(COLUMNS($AO$1006:AR1006),$AO$1006:$BQ$1006,0)), HYPERLINK("#",""), HYPERLINK(CONCATENATE("#Metadata!", ADDRESS(INDEX($AJ$2:$AJ$1001,MATCH(ROWS($AH$2:AH809),$AH$2:$AH$1001,0),0), INDEX($AO$1004:$BQ$1004,1,MATCH(COLUMNS($AO$1006:AR1006),$AO$1006:$BQ$1006,0)))),"Fix")))</f>
        <v>#N/A</v>
      </c>
      <c r="F809" s="5" t="e">
        <f ca="1">IF(OR(INDEX($AI$2:$AI$1001,MATCH(ROWS($AH$2:AH809),$AH$2:$AH$1001,0),1)&gt;=100000,INDEX($AO$1005:$BQ$1005,1,MATCH(COLUMNS($AO$1006:AS1006),$AO$1006:$BQ$1006,0))&gt;=100000), " ",IF(INDEX($AO$2:$BQ$1001,MATCH(ROWS($AH$2:AH809),$AH$2:$AH$1001,0),MATCH(COLUMNS($AO$1006:AS1006),$AO$1006:$BQ$1006,0)), HYPERLINK("#",""), HYPERLINK(CONCATENATE("#Metadata!", ADDRESS(INDEX($AJ$2:$AJ$1001,MATCH(ROWS($AH$2:AH809),$AH$2:$AH$1001,0),0), INDEX($AO$1004:$BQ$1004,1,MATCH(COLUMNS($AO$1006:AS1006),$AO$1006:$BQ$1006,0)))),"Fix")))</f>
        <v>#N/A</v>
      </c>
      <c r="G809" s="5" t="e">
        <f ca="1">IF(OR(INDEX($AI$2:$AI$1001,MATCH(ROWS($AH$2:AH809),$AH$2:$AH$1001,0),1)&gt;=100000,INDEX($AO$1005:$BQ$1005,1,MATCH(COLUMNS($AO$1006:AT1006),$AO$1006:$BQ$1006,0))&gt;=100000), " ",IF(INDEX($AO$2:$BQ$1001,MATCH(ROWS($AH$2:AH809),$AH$2:$AH$1001,0),MATCH(COLUMNS($AO$1006:AT1006),$AO$1006:$BQ$1006,0)), HYPERLINK("#",""), HYPERLINK(CONCATENATE("#Metadata!", ADDRESS(INDEX($AJ$2:$AJ$1001,MATCH(ROWS($AH$2:AH809),$AH$2:$AH$1001,0),0), INDEX($AO$1004:$BQ$1004,1,MATCH(COLUMNS($AO$1006:AT1006),$AO$1006:$BQ$1006,0)))),"Fix")))</f>
        <v>#N/A</v>
      </c>
      <c r="H809" s="5" t="e">
        <f ca="1">IF(OR(INDEX($AI$2:$AI$1001,MATCH(ROWS($AH$2:AH809),$AH$2:$AH$1001,0),1)&gt;=100000,INDEX($AO$1005:$BQ$1005,1,MATCH(COLUMNS($AO$1006:AU1006),$AO$1006:$BQ$1006,0))&gt;=100000), " ",IF(INDEX($AO$2:$BQ$1001,MATCH(ROWS($AH$2:AH809),$AH$2:$AH$1001,0),MATCH(COLUMNS($AO$1006:AU1006),$AO$1006:$BQ$1006,0)), HYPERLINK("#",""), HYPERLINK(CONCATENATE("#Metadata!", ADDRESS(INDEX($AJ$2:$AJ$1001,MATCH(ROWS($AH$2:AH809),$AH$2:$AH$1001,0),0), INDEX($AO$1004:$BQ$1004,1,MATCH(COLUMNS($AO$1006:AU1006),$AO$1006:$BQ$1006,0)))),"Fix")))</f>
        <v>#N/A</v>
      </c>
      <c r="I809" s="5" t="e">
        <f ca="1">IF(OR(INDEX($AI$2:$AI$1001,MATCH(ROWS($AH$2:AH809),$AH$2:$AH$1001,0),1)&gt;=100000,INDEX($AO$1005:$BQ$1005,1,MATCH(COLUMNS($AO$1006:AV1006),$AO$1006:$BQ$1006,0))&gt;=100000), " ",IF(INDEX($AO$2:$BQ$1001,MATCH(ROWS($AH$2:AH809),$AH$2:$AH$1001,0),MATCH(COLUMNS($AO$1006:AV1006),$AO$1006:$BQ$1006,0)), HYPERLINK("#",""), HYPERLINK(CONCATENATE("#Metadata!", ADDRESS(INDEX($AJ$2:$AJ$1001,MATCH(ROWS($AH$2:AH809),$AH$2:$AH$1001,0),0), INDEX($AO$1004:$BQ$1004,1,MATCH(COLUMNS($AO$1006:AV1006),$AO$1006:$BQ$1006,0)))),"Fix")))</f>
        <v>#N/A</v>
      </c>
      <c r="J809" s="5" t="e">
        <f ca="1">IF(OR(INDEX($AI$2:$AI$1001,MATCH(ROWS($AH$2:AH809),$AH$2:$AH$1001,0),1)&gt;=100000,INDEX($AO$1005:$BQ$1005,1,MATCH(COLUMNS($AO$1006:AW1006),$AO$1006:$BQ$1006,0))&gt;=100000), " ",IF(INDEX($AO$2:$BQ$1001,MATCH(ROWS($AH$2:AH809),$AH$2:$AH$1001,0),MATCH(COLUMNS($AO$1006:AW1006),$AO$1006:$BQ$1006,0)), HYPERLINK("#",""), HYPERLINK(CONCATENATE("#Metadata!", ADDRESS(INDEX($AJ$2:$AJ$1001,MATCH(ROWS($AH$2:AH809),$AH$2:$AH$1001,0),0), INDEX($AO$1004:$BQ$1004,1,MATCH(COLUMNS($AO$1006:AW1006),$AO$1006:$BQ$1006,0)))),"Fix")))</f>
        <v>#N/A</v>
      </c>
      <c r="K809" s="5" t="e">
        <f ca="1">IF(OR(INDEX($AI$2:$AI$1001,MATCH(ROWS($AH$2:AH809),$AH$2:$AH$1001,0),1)&gt;=100000,INDEX($AO$1005:$BQ$1005,1,MATCH(COLUMNS($AO$1006:AX1006),$AO$1006:$BQ$1006,0))&gt;=100000), " ",IF(INDEX($AO$2:$BQ$1001,MATCH(ROWS($AH$2:AH809),$AH$2:$AH$1001,0),MATCH(COLUMNS($AO$1006:AX1006),$AO$1006:$BQ$1006,0)), HYPERLINK("#",""), HYPERLINK(CONCATENATE("#Metadata!", ADDRESS(INDEX($AJ$2:$AJ$1001,MATCH(ROWS($AH$2:AH809),$AH$2:$AH$1001,0),0), INDEX($AO$1004:$BQ$1004,1,MATCH(COLUMNS($AO$1006:AX1006),$AO$1006:$BQ$1006,0)))),"Fix")))</f>
        <v>#N/A</v>
      </c>
      <c r="L809" s="5" t="e">
        <f ca="1">IF(OR(INDEX($AI$2:$AI$1001,MATCH(ROWS($AH$2:AH809),$AH$2:$AH$1001,0),1)&gt;=100000,INDEX($AO$1005:$BQ$1005,1,MATCH(COLUMNS($AO$1006:AY1006),$AO$1006:$BQ$1006,0))&gt;=100000), " ",IF(INDEX($AO$2:$BQ$1001,MATCH(ROWS($AH$2:AH809),$AH$2:$AH$1001,0),MATCH(COLUMNS($AO$1006:AY1006),$AO$1006:$BQ$1006,0)), HYPERLINK("#",""), HYPERLINK(CONCATENATE("#Metadata!", ADDRESS(INDEX($AJ$2:$AJ$1001,MATCH(ROWS($AH$2:AH809),$AH$2:$AH$1001,0),0), INDEX($AO$1004:$BQ$1004,1,MATCH(COLUMNS($AO$1006:AY1006),$AO$1006:$BQ$1006,0)))),"Fix")))</f>
        <v>#N/A</v>
      </c>
      <c r="M809" s="5" t="e">
        <f ca="1">IF(OR(INDEX($AI$2:$AI$1001,MATCH(ROWS($AH$2:AH809),$AH$2:$AH$1001,0),1)&gt;=100000,INDEX($AO$1005:$BQ$1005,1,MATCH(COLUMNS($AO$1006:AZ1006),$AO$1006:$BQ$1006,0))&gt;=100000), " ",IF(INDEX($AO$2:$BQ$1001,MATCH(ROWS($AH$2:AH809),$AH$2:$AH$1001,0),MATCH(COLUMNS($AO$1006:AZ1006),$AO$1006:$BQ$1006,0)), HYPERLINK("#",""), HYPERLINK(CONCATENATE("#Metadata!", ADDRESS(INDEX($AJ$2:$AJ$1001,MATCH(ROWS($AH$2:AH809),$AH$2:$AH$1001,0),0), INDEX($AO$1004:$BQ$1004,1,MATCH(COLUMNS($AO$1006:AZ1006),$AO$1006:$BQ$1006,0)))),"Fix")))</f>
        <v>#N/A</v>
      </c>
      <c r="N809" s="5" t="e">
        <f ca="1">IF(OR(INDEX($AI$2:$AI$1001,MATCH(ROWS($AH$2:AH809),$AH$2:$AH$1001,0),1)&gt;=100000,INDEX($AO$1005:$BQ$1005,1,MATCH(COLUMNS($AO$1006:BA1006),$AO$1006:$BQ$1006,0))&gt;=100000), " ",IF(INDEX($AO$2:$BQ$1001,MATCH(ROWS($AH$2:AH809),$AH$2:$AH$1001,0),MATCH(COLUMNS($AO$1006:BA1006),$AO$1006:$BQ$1006,0)), HYPERLINK("#",""), HYPERLINK(CONCATENATE("#Metadata!", ADDRESS(INDEX($AJ$2:$AJ$1001,MATCH(ROWS($AH$2:AH809),$AH$2:$AH$1001,0),0), INDEX($AO$1004:$BQ$1004,1,MATCH(COLUMNS($AO$1006:BA1006),$AO$1006:$BQ$1006,0)))),"Fix")))</f>
        <v>#N/A</v>
      </c>
      <c r="O809" s="5" t="e">
        <f ca="1">IF(OR(INDEX($AI$2:$AI$1001,MATCH(ROWS($AH$2:AH809),$AH$2:$AH$1001,0),1)&gt;=100000,INDEX($AO$1005:$BQ$1005,1,MATCH(COLUMNS($AO$1006:BB1006),$AO$1006:$BQ$1006,0))&gt;=100000), " ",IF(INDEX($AO$2:$BQ$1001,MATCH(ROWS($AH$2:AH809),$AH$2:$AH$1001,0),MATCH(COLUMNS($AO$1006:BB1006),$AO$1006:$BQ$1006,0)), HYPERLINK("#",""), HYPERLINK(CONCATENATE("#Metadata!", ADDRESS(INDEX($AJ$2:$AJ$1001,MATCH(ROWS($AH$2:AH809),$AH$2:$AH$1001,0),0), INDEX($AO$1004:$BQ$1004,1,MATCH(COLUMNS($AO$1006:BB1006),$AO$1006:$BQ$1006,0)))),"Fix")))</f>
        <v>#N/A</v>
      </c>
      <c r="P809" s="5" t="e">
        <f ca="1">IF(OR(INDEX($AI$2:$AI$1001,MATCH(ROWS($AH$2:AH809),$AH$2:$AH$1001,0),1)&gt;=100000,INDEX($AO$1005:$BQ$1005,1,MATCH(COLUMNS($AO$1006:BC1006),$AO$1006:$BQ$1006,0))&gt;=100000), " ",IF(INDEX($AO$2:$BQ$1001,MATCH(ROWS($AH$2:AH809),$AH$2:$AH$1001,0),MATCH(COLUMNS($AO$1006:BC1006),$AO$1006:$BQ$1006,0)), HYPERLINK("#",""), HYPERLINK(CONCATENATE("#Metadata!", ADDRESS(INDEX($AJ$2:$AJ$1001,MATCH(ROWS($AH$2:AH809),$AH$2:$AH$1001,0),0), INDEX($AO$1004:$BQ$1004,1,MATCH(COLUMNS($AO$1006:BC1006),$AO$1006:$BQ$1006,0)))),"Fix")))</f>
        <v>#N/A</v>
      </c>
      <c r="Q809" s="5" t="e">
        <f ca="1">IF(OR(INDEX($AI$2:$AI$1001,MATCH(ROWS($AH$2:AH809),$AH$2:$AH$1001,0),1)&gt;=100000,INDEX($AO$1005:$BQ$1005,1,MATCH(COLUMNS($AO$1006:BD1006),$AO$1006:$BQ$1006,0))&gt;=100000), " ",IF(INDEX($AO$2:$BQ$1001,MATCH(ROWS($AH$2:AH809),$AH$2:$AH$1001,0),MATCH(COLUMNS($AO$1006:BD1006),$AO$1006:$BQ$1006,0)), HYPERLINK("#",""), HYPERLINK(CONCATENATE("#Metadata!", ADDRESS(INDEX($AJ$2:$AJ$1001,MATCH(ROWS($AH$2:AH809),$AH$2:$AH$1001,0),0), INDEX($AO$1004:$BQ$1004,1,MATCH(COLUMNS($AO$1006:BD1006),$AO$1006:$BQ$1006,0)))),"Fix")))</f>
        <v>#N/A</v>
      </c>
      <c r="R809" s="5" t="e">
        <f ca="1">IF(OR(INDEX($AI$2:$AI$1001,MATCH(ROWS($AH$2:AH809),$AH$2:$AH$1001,0),1)&gt;=100000,INDEX($AO$1005:$BQ$1005,1,MATCH(COLUMNS($AO$1006:BE1006),$AO$1006:$BQ$1006,0))&gt;=100000), " ",IF(INDEX($AO$2:$BQ$1001,MATCH(ROWS($AH$2:AH809),$AH$2:$AH$1001,0),MATCH(COLUMNS($AO$1006:BE1006),$AO$1006:$BQ$1006,0)), HYPERLINK("#",""), HYPERLINK(CONCATENATE("#Metadata!", ADDRESS(INDEX($AJ$2:$AJ$1001,MATCH(ROWS($AH$2:AH809),$AH$2:$AH$1001,0),0), INDEX($AO$1004:$BQ$1004,1,MATCH(COLUMNS($AO$1006:BE1006),$AO$1006:$BQ$1006,0)))),"Fix")))</f>
        <v>#N/A</v>
      </c>
      <c r="S809" s="5" t="e">
        <f ca="1">IF(OR(INDEX($AI$2:$AI$1001,MATCH(ROWS($AH$2:AH809),$AH$2:$AH$1001,0),1)&gt;=100000,INDEX($AO$1005:$BQ$1005,1,MATCH(COLUMNS($AO$1006:BF1006),$AO$1006:$BQ$1006,0))&gt;=100000), " ",IF(INDEX($AO$2:$BQ$1001,MATCH(ROWS($AH$2:AH809),$AH$2:$AH$1001,0),MATCH(COLUMNS($AO$1006:BF1006),$AO$1006:$BQ$1006,0)), HYPERLINK("#",""), HYPERLINK(CONCATENATE("#Metadata!", ADDRESS(INDEX($AJ$2:$AJ$1001,MATCH(ROWS($AH$2:AH809),$AH$2:$AH$1001,0),0), INDEX($AO$1004:$BQ$1004,1,MATCH(COLUMNS($AO$1006:BF1006),$AO$1006:$BQ$1006,0)))),"Fix")))</f>
        <v>#N/A</v>
      </c>
      <c r="T809" s="5" t="e">
        <f ca="1">IF(OR(INDEX($AI$2:$AI$1001,MATCH(ROWS($AH$2:AH809),$AH$2:$AH$1001,0),1)&gt;=100000,INDEX($AO$1005:$BQ$1005,1,MATCH(COLUMNS($AO$1006:BG1006),$AO$1006:$BQ$1006,0))&gt;=100000), " ",IF(INDEX($AO$2:$BQ$1001,MATCH(ROWS($AH$2:AH809),$AH$2:$AH$1001,0),MATCH(COLUMNS($AO$1006:BG1006),$AO$1006:$BQ$1006,0)), HYPERLINK("#",""), HYPERLINK(CONCATENATE("#Metadata!", ADDRESS(INDEX($AJ$2:$AJ$1001,MATCH(ROWS($AH$2:AH809),$AH$2:$AH$1001,0),0), INDEX($AO$1004:$BQ$1004,1,MATCH(COLUMNS($AO$1006:BG1006),$AO$1006:$BQ$1006,0)))),"Fix")))</f>
        <v>#N/A</v>
      </c>
      <c r="U809" s="5" t="e">
        <f ca="1">IF(OR(INDEX($AI$2:$AI$1001,MATCH(ROWS($AH$2:AH809),$AH$2:$AH$1001,0),1)&gt;=100000,INDEX($AO$1005:$BQ$1005,1,MATCH(COLUMNS($AO$1006:BH1006),$AO$1006:$BQ$1006,0))&gt;=100000), " ",IF(INDEX($AO$2:$BQ$1001,MATCH(ROWS($AH$2:AH809),$AH$2:$AH$1001,0),MATCH(COLUMNS($AO$1006:BH1006),$AO$1006:$BQ$1006,0)), HYPERLINK("#",""), HYPERLINK(CONCATENATE("#Metadata!", ADDRESS(INDEX($AJ$2:$AJ$1001,MATCH(ROWS($AH$2:AH809),$AH$2:$AH$1001,0),0), INDEX($AO$1004:$BQ$1004,1,MATCH(COLUMNS($AO$1006:BH1006),$AO$1006:$BQ$1006,0)))),"Fix")))</f>
        <v>#N/A</v>
      </c>
      <c r="V809" s="5" t="e">
        <f ca="1">IF(OR(INDEX($AI$2:$AI$1001,MATCH(ROWS($AH$2:AH809),$AH$2:$AH$1001,0),1)&gt;=100000,INDEX($AO$1005:$BQ$1005,1,MATCH(COLUMNS($AO$1006:BI1006),$AO$1006:$BQ$1006,0))&gt;=100000), " ",IF(INDEX($AO$2:$BQ$1001,MATCH(ROWS($AH$2:AH809),$AH$2:$AH$1001,0),MATCH(COLUMNS($AO$1006:BI1006),$AO$1006:$BQ$1006,0)), HYPERLINK("#",""), HYPERLINK(CONCATENATE("#Metadata!", ADDRESS(INDEX($AJ$2:$AJ$1001,MATCH(ROWS($AH$2:AH809),$AH$2:$AH$1001,0),0), INDEX($AO$1004:$BQ$1004,1,MATCH(COLUMNS($AO$1006:BI1006),$AO$1006:$BQ$1006,0)))),"Fix")))</f>
        <v>#N/A</v>
      </c>
      <c r="W809" s="5" t="e">
        <f ca="1">IF(OR(INDEX($AI$2:$AI$1001,MATCH(ROWS($AH$2:AH809),$AH$2:$AH$1001,0),1)&gt;=100000,INDEX($AO$1005:$BQ$1005,1,MATCH(COLUMNS($AO$1006:BJ1006),$AO$1006:$BQ$1006,0))&gt;=100000), " ",IF(INDEX($AO$2:$BQ$1001,MATCH(ROWS($AH$2:AH809),$AH$2:$AH$1001,0),MATCH(COLUMNS($AO$1006:BJ1006),$AO$1006:$BQ$1006,0)), HYPERLINK("#",""), HYPERLINK(CONCATENATE("#Metadata!", ADDRESS(INDEX($AJ$2:$AJ$1001,MATCH(ROWS($AH$2:AH809),$AH$2:$AH$1001,0),0), INDEX($AO$1004:$BQ$1004,1,MATCH(COLUMNS($AO$1006:BJ1006),$AO$1006:$BQ$1006,0)))),"Fix")))</f>
        <v>#N/A</v>
      </c>
      <c r="X809" s="5" t="e">
        <f ca="1">IF(OR(INDEX($AI$2:$AI$1001,MATCH(ROWS($AH$2:AH809),$AH$2:$AH$1001,0),1)&gt;=100000,INDEX($AO$1005:$BQ$1005,1,MATCH(COLUMNS($AO$1006:BK1006),$AO$1006:$BQ$1006,0))&gt;=100000), " ",IF(INDEX($AO$2:$BQ$1001,MATCH(ROWS($AH$2:AH809),$AH$2:$AH$1001,0),MATCH(COLUMNS($AO$1006:BK1006),$AO$1006:$BQ$1006,0)), HYPERLINK("#",""), HYPERLINK(CONCATENATE("#Metadata!", ADDRESS(INDEX($AJ$2:$AJ$1001,MATCH(ROWS($AH$2:AH809),$AH$2:$AH$1001,0),0), INDEX($AO$1004:$BQ$1004,1,MATCH(COLUMNS($AO$1006:BK1006),$AO$1006:$BQ$1006,0)))),"Fix")))</f>
        <v>#N/A</v>
      </c>
      <c r="Y809" s="5" t="e">
        <f ca="1">IF(OR(INDEX($AI$2:$AI$1001,MATCH(ROWS($AH$2:AH809),$AH$2:$AH$1001,0),1)&gt;=100000,INDEX($AO$1005:$BQ$1005,1,MATCH(COLUMNS($AO$1006:BL1006),$AO$1006:$BQ$1006,0))&gt;=100000), " ",IF(INDEX($AO$2:$BQ$1001,MATCH(ROWS($AH$2:AH809),$AH$2:$AH$1001,0),MATCH(COLUMNS($AO$1006:BL1006),$AO$1006:$BQ$1006,0)), HYPERLINK("#",""), HYPERLINK(CONCATENATE("#Metadata!", ADDRESS(INDEX($AJ$2:$AJ$1001,MATCH(ROWS($AH$2:AH809),$AH$2:$AH$1001,0),0), INDEX($AO$1004:$BQ$1004,1,MATCH(COLUMNS($AO$1006:BL1006),$AO$1006:$BQ$1006,0)))),"Fix")))</f>
        <v>#N/A</v>
      </c>
      <c r="Z809" s="5" t="e">
        <f ca="1">IF(OR(INDEX($AI$2:$AI$1001,MATCH(ROWS($AH$2:AH809),$AH$2:$AH$1001,0),1)&gt;=100000,INDEX($AO$1005:$BQ$1005,1,MATCH(COLUMNS($AO$1006:BM1006),$AO$1006:$BQ$1006,0))&gt;=100000), " ",IF(INDEX($AO$2:$BQ$1001,MATCH(ROWS($AH$2:AH809),$AH$2:$AH$1001,0),MATCH(COLUMNS($AO$1006:BM1006),$AO$1006:$BQ$1006,0)), HYPERLINK("#",""), HYPERLINK(CONCATENATE("#Metadata!", ADDRESS(INDEX($AJ$2:$AJ$1001,MATCH(ROWS($AH$2:AH809),$AH$2:$AH$1001,0),0), INDEX($AO$1004:$BQ$1004,1,MATCH(COLUMNS($AO$1006:BM1006),$AO$1006:$BQ$1006,0)))),"Fix")))</f>
        <v>#N/A</v>
      </c>
      <c r="AA809" s="5" t="e">
        <f ca="1">IF(OR(INDEX($AI$2:$AI$1001,MATCH(ROWS($AH$2:AH809),$AH$2:$AH$1001,0),1)&gt;=100000,INDEX($AO$1005:$BQ$1005,1,MATCH(COLUMNS($AO$1006:BN1006),$AO$1006:$BQ$1006,0))&gt;=100000), " ",IF(INDEX($AO$2:$BQ$1001,MATCH(ROWS($AH$2:AH809),$AH$2:$AH$1001,0),MATCH(COLUMNS($AO$1006:BN1006),$AO$1006:$BQ$1006,0)), HYPERLINK("#",""), HYPERLINK(CONCATENATE("#Metadata!", ADDRESS(INDEX($AJ$2:$AJ$1001,MATCH(ROWS($AH$2:AH809),$AH$2:$AH$1001,0),0), INDEX($AO$1004:$BQ$1004,1,MATCH(COLUMNS($AO$1006:BN1006),$AO$1006:$BQ$1006,0)))),"Fix")))</f>
        <v>#N/A</v>
      </c>
      <c r="AB809" s="5" t="e">
        <f ca="1">IF(OR(INDEX($AI$2:$AI$1001,MATCH(ROWS($AH$2:AH809),$AH$2:$AH$1001,0),1)&gt;=100000,INDEX($AO$1005:$BQ$1005,1,MATCH(COLUMNS($AO$1006:BO1006),$AO$1006:$BQ$1006,0))&gt;=100000), " ",IF(INDEX($AO$2:$BQ$1001,MATCH(ROWS($AH$2:AH809),$AH$2:$AH$1001,0),MATCH(COLUMNS($AO$1006:BO1006),$AO$1006:$BQ$1006,0)), HYPERLINK("#",""), HYPERLINK(CONCATENATE("#Metadata!", ADDRESS(INDEX($AJ$2:$AJ$1001,MATCH(ROWS($AH$2:AH809),$AH$2:$AH$1001,0),0), INDEX($AO$1004:$BQ$1004,1,MATCH(COLUMNS($AO$1006:BO1006),$AO$1006:$BQ$1006,0)))),"Fix")))</f>
        <v>#N/A</v>
      </c>
      <c r="AC809" s="5" t="e">
        <f ca="1">IF(OR(INDEX($AI$2:$AI$1001,MATCH(ROWS($AH$2:AH809),$AH$2:$AH$1001,0),1)&gt;=100000,INDEX($AO$1005:$BQ$1005,1,MATCH(COLUMNS($AO$1006:BP1006),$AO$1006:$BQ$1006,0))&gt;=100000), " ",IF(INDEX($AO$2:$BQ$1001,MATCH(ROWS($AH$2:AH809),$AH$2:$AH$1001,0),MATCH(COLUMNS($AO$1006:BP1006),$AO$1006:$BQ$1006,0)), HYPERLINK("#",""), HYPERLINK(CONCATENATE("#Metadata!", ADDRESS(INDEX($AJ$2:$AJ$1001,MATCH(ROWS($AH$2:AH809),$AH$2:$AH$1001,0),0), INDEX($AO$1004:$BQ$1004,1,MATCH(COLUMNS($AO$1006:BP1006),$AO$1006:$BQ$1006,0)))),"Fix")))</f>
        <v>#N/A</v>
      </c>
      <c r="AD809" s="5" t="e">
        <f ca="1">IF(OR(INDEX($AI$2:$AI$1001,MATCH(ROWS($AH$2:AH809),$AH$2:$AH$1001,0),1)&gt;=100000,INDEX($AO$1005:$BQ$1005,1,MATCH(COLUMNS($AO$1006:BQ1006),$AO$1006:$BQ$1006,0))&gt;=100000), " ",IF(INDEX($AO$2:$BQ$1001,MATCH(ROWS($AH$2:AH809),$AH$2:$AH$1001,0),MATCH(COLUMNS($AO$1006:BQ1006),$AO$1006:$BQ$1006,0)), HYPERLINK("#",""), HYPERLINK(CONCATENATE("#Metadata!", ADDRESS(INDEX($AJ$2:$AJ$1001,MATCH(ROWS($AH$2:AH809),$AH$2:$AH$1001,0),0), INDEX($AO$1004:$BQ$1004,1,MATCH(COLUMNS($AO$1006:BQ1006),$AO$1006:$BQ$1006,0)))),"Fix")))</f>
        <v>#REF!</v>
      </c>
      <c r="AH809">
        <f ca="1"/>
        <v>806</v>
      </c>
      <c r="AI809">
        <v>100809</v>
      </c>
      <c r="AJ809">
        <v>809</v>
      </c>
      <c r="AK809" t="b">
        <f t="shared" si="12"/>
        <v>1</v>
      </c>
      <c r="AL809" t="b">
        <f>COUNTBLANK(Metadata!B809:AD809)=COLUMNS(Metadata!B809:AD809)</f>
        <v>1</v>
      </c>
      <c r="AM809" t="str">
        <v/>
      </c>
      <c r="AO809" t="b">
        <f ca="1">AND(IF(Metadata!B809="",FALSE,TRUE),COUNTIF(Metadata!B:B, Metadata!B809) = 1,NOT(ISERROR(SUMPRODUCT(SEARCH(MID(Metadata!B809,ROW(INDIRECT("1:"&amp;LEN(Metadata!B809))), 1),"0123456789abcdefghijklmnopqrstuvwxyzABCDEFGHIJKLMNOPQRSTUVWXYZ.")))))</f>
        <v>0</v>
      </c>
      <c r="AP809" t="b">
        <f>IF(Metadata!C809="",FALSE,TRUE)</f>
        <v>0</v>
      </c>
      <c r="AQ809" t="b">
        <f>IF(Metadata!D809="",FALSE,TRUE)</f>
        <v>0</v>
      </c>
      <c r="AR809" t="b">
        <f ca="1">OR(AND(IF(Metadata!E809="",FALSE,TRUE),OR(EXACT(Metadata!E809,"not collected"),EXACT(Metadata!E809,"not provided"),EXACT(Metadata!E809,"restricted access"))),AND(IF(Metadata!E809="",FALSE,TRUE),AND(AND(IFERROR(INT(LEFT(Metadata!E809,4))&gt;1900,FALSE),IFERROR(INT(LEFT(Metadata!E809,4))&lt;=YEAR(NOW()),FALSE)), OR(MID(Metadata!E809,5,1)="", AND(AND(MID(Metadata!E809,5,1)="-",IFERROR(INT(MID(Metadata!E809,6,1))&gt;=0,FALSE),IFERROR(INT(MID(Metadata!E809,6,1))&lt;=1,FALSE),NOT(MID(Metadata!E809,7,1)=""),IFERROR(INT(MID(Metadata!E809,6,2))&gt;=1,FALSE),IFERROR(INT(MID(Metadata!E809,6,2))&lt;=12,FALSE)), OR(MID(Metadata!E809,8,1)="", AND(AND(MID(Metadata!E809,8,1)="-",IFERROR(INT(MID(Metadata!E809,9,1))&gt;=0,FALSE),IFERROR(INT(MID(Metadata!E809,9,1))&lt;=3,FALSE),NOT(MID(Metadata!E809,10,1)=""),IFERROR(INT(MID(Metadata!E809,9,2))&gt;=1,FALSE),IFERROR(INT(MID(Metadata!E809,9,2))&lt;=31,FALSE)), OR(MID(Metadata!E809,11,1)="", AND(AND(MID(Metadata!E809,11,1)=" ",IFERROR(INT(MID(Metadata!E809,12,1))&gt;=0,FALSE),IFERROR(INT(MID(Metadata!E809,12,1))&lt;=2,FALSE),NOT(MID(Metadata!E809,13,1)=""),IFERROR(INT(MID(Metadata!E809,12,2))&gt;=0,FALSE),IFERROR(INT(MID(Metadata!E809,12,2))&lt;=23,FALSE)), OR(MID(Metadata!E809,14,1)="", AND(AND(MID(Metadata!E809,14,1)=":",IFERROR(INT(MID(Metadata!E809,15,1))&gt;=0,FALSE),IFERROR(INT(MID(Metadata!E809,15,1))&lt;=5,FALSE),NOT(MID(Metadata!E809,16,1)=""),IFERROR(INT(MID(Metadata!E809,15,2))&gt;=0,FALSE),IFERROR(INT(MID(Metadata!E809,15,2))&lt;=59,FALSE)), OR(MID(Metadata!E809,17,1)="", AND(AND(MID(Metadata!E809,17,1)=":",IFERROR(INT(MID(Metadata!E809,18,1))&gt;=0,FALSE),IFERROR(INT(MID(Metadata!E809,18,1))&lt;=5,FALSE),NOT(MID(Metadata!E809,19,1)=""),IFERROR(INT(MID(Metadata!E809,18,2))&gt;=0,FALSE),IFERROR(INT(MID(Metadata!E809,18,2))&lt;=59,FALSE)), LEN(Metadata!E809)&lt;=19)))))))))))))</f>
        <v>0</v>
      </c>
      <c r="AS809" t="b">
        <f>IF(Metadata!F809="",FALSE,TRUE)</f>
        <v>0</v>
      </c>
      <c r="AT809" t="b">
        <f>OR(AND(IF(Metadata!G809="",FALSE,TRUE),OR(EXACT(Metadata!G809,"not collected"),EXACT(Metadata!G809,"not provided"))),AND(IF(Metadata!G809="",FALSE,TRUE),OR(EXACT(Metadata!G809,"TRUE"),EXACT(Metadata!G809,"FALSE"))))</f>
        <v>0</v>
      </c>
      <c r="AU809" t="b">
        <f>OR(AND(IF(Metadata!H809="",FALSE,TRUE),OR(EXACT(Metadata!H809,"not collected"),EXACT(Metadata!H809,"not provided"),EXACT(Metadata!H809,"restricted access"))),AND(IF(Metadata!H809="",FALSE,ISNUMBER(VALUE(Metadata!H809))),Metadata!H809&gt;=-413))</f>
        <v>0</v>
      </c>
      <c r="AV809" t="b">
        <f>AND(IF(Metadata!I809="",FALSE,TRUE),EXACT(Metadata!I809,"meters"))</f>
        <v>0</v>
      </c>
      <c r="AW809" t="b">
        <f>AND(IF(Metadata!J809="",FALSE,TRUE),EXACT(Metadata!J809,"free-living"))</f>
        <v>0</v>
      </c>
      <c r="AX809" t="b">
        <f>AND(IF(Metadata!K809="",FALSE,TRUE),OR(EXACT(Metadata!K809,"saline"),EXACT(Metadata!K809,"non-saline")))</f>
        <v>0</v>
      </c>
      <c r="AY809" t="b">
        <f>AND(IF(Metadata!L809="",FALSE,TRUE),OR(EXACT(Metadata!L809,"sub-surface (non-saline)"),EXACT(Metadata!L809,"surface (non-saline)"),EXACT(Metadata!L809,"water (non-saline)"),EXACT(Metadata!L809,"soil (non-saline)"),EXACT(Metadata!L809,"aerosol (non-saline)"),EXACT(Metadata!L809,"sediment (non-saline)"),EXACT(Metadata!L809,"surface (saline)"),EXACT(Metadata!L809,"water (saline)"),EXACT(Metadata!L809,"hypersaline (saline)"),EXACT(Metadata!L809,"aerosol (saline)"),EXACT(Metadata!L809,"sediment (saline)")))</f>
        <v>0</v>
      </c>
      <c r="AZ809" t="b">
        <f>IF(Metadata!M809="",FALSE,TRUE)</f>
        <v>0</v>
      </c>
      <c r="BA809" t="b">
        <f>IF(Metadata!N809="",FALSE,TRUE)</f>
        <v>0</v>
      </c>
      <c r="BB809" t="b">
        <f>IF(Metadata!O809="",FALSE,TRUE)</f>
        <v>0</v>
      </c>
      <c r="BC809" t="b">
        <f>AND(IF(Metadata!P809="",FALSE,TRUE),OR(EXACT(Metadata!P809,"air"),EXACT(Metadata!P809,"microbial mat/biofilm"),EXACT(Metadata!P809,"misc environment"),EXACT(Metadata!P809,"sediment"),EXACT(Metadata!P809,"soil"),EXACT(Metadata!P809,"wastewater/sludge"),EXACT(Metadata!P809,"water")))</f>
        <v>0</v>
      </c>
      <c r="BD809" t="b">
        <f>IF(Metadata!Q809="",FALSE,TRUE)</f>
        <v>0</v>
      </c>
      <c r="BE809" t="b">
        <f>IF(Metadata!R809="",FALSE,TRUE)</f>
        <v>0</v>
      </c>
      <c r="BF809" t="b">
        <f>OR(AND(IF(Metadata!S809="",FALSE,TRUE),OR(EXACT(Metadata!S809,"not collected"),EXACT(Metadata!S809,"not provided"),EXACT(Metadata!S809,"restricted access"))),AND(IF(Metadata!S809="",FALSE,ISNUMBER(VALUE(Metadata!S809))),Metadata!S809&gt;=-90,Metadata!S809&lt;=90))</f>
        <v>0</v>
      </c>
      <c r="BG809" t="b">
        <f>AND(IF(Metadata!T809="",FALSE,TRUE),EXACT(Metadata!T809,"Decimal degrees"))</f>
        <v>0</v>
      </c>
      <c r="BH809" t="b">
        <f>OR(AND(IF(Metadata!U809="",FALSE,TRUE),OR(EXACT(Metadata!U809,"not applicable"),EXACT(Metadata!U809,"not collected"))),IF(Metadata!U809="",FALSE,TRUE))</f>
        <v>0</v>
      </c>
      <c r="BI809" t="b">
        <f>OR(AND(IF(Metadata!V809="",FALSE,TRUE),OR(EXACT(Metadata!V809,"not collected"),EXACT(Metadata!V809,"not provided"),EXACT(Metadata!V809,"restricted access"))),AND(IF(Metadata!V809="",FALSE,ISNUMBER(VALUE(Metadata!V809))),Metadata!V809&gt;=-180,Metadata!V809&lt;=180))</f>
        <v>0</v>
      </c>
      <c r="BJ809" t="b">
        <f>AND(IF(Metadata!W809="",FALSE,TRUE),EXACT(Metadata!W809,"Decimal degrees"))</f>
        <v>0</v>
      </c>
      <c r="BK809" t="b">
        <f>IF(Metadata!X809="",FALSE,TRUE)</f>
        <v>0</v>
      </c>
      <c r="BL809" t="b">
        <f>OR(AND(IF(Metadata!Y809="",FALSE,TRUE),OR(EXACT(Metadata!Y809,"not collected"),EXACT(Metadata!Y809,"not provided"),EXACT(Metadata!Y809,"restricted access"))),AND(IF(Metadata!Y809="",FALSE,TRUE),OR(EXACT(Metadata!Y809,"TRUE"),EXACT(Metadata!Y809,"FALSE"))))</f>
        <v>0</v>
      </c>
      <c r="BM809" t="b">
        <f>OR(AND(IF(Metadata!Z809="",FALSE,TRUE),EXACT(Metadata!Z809,"not applicable")),AND(IF(Metadata!Z809="",FALSE,TRUE),OR(EXACT(Metadata!Z809,"beer"),EXACT(Metadata!Z809,"cheese"),EXACT(Metadata!Z809,"fresh water"),EXACT(Metadata!Z809,"marine sediment"),EXACT(Metadata!Z809,"sea water"),EXACT(Metadata!Z809,"sediment"),EXACT(Metadata!Z809,"soil"),EXACT(Metadata!Z809,"waste water"))))</f>
        <v>0</v>
      </c>
      <c r="BN809" t="b">
        <f>AND(IF(Metadata!AA809="",FALSE,TRUE),EXACT(Metadata!AA809,"metagenome"))</f>
        <v>0</v>
      </c>
      <c r="BO809" t="b">
        <f>AND(IF(Metadata!AB809="",FALSE,TRUE),EXACT(Metadata!AB809,"256318"))</f>
        <v>0</v>
      </c>
      <c r="BP809" t="b">
        <f>IF(Metadata!AC809="",FALSE,TRUE)</f>
        <v>0</v>
      </c>
      <c r="BQ809" t="b">
        <f>IF(Metadata!AD809="",FALSE,TRUE)</f>
        <v>0</v>
      </c>
    </row>
    <row r="810" spans="1:69" x14ac:dyDescent="0.2">
      <c r="A810" s="4" t="e">
        <f ca="1">IF(B810=" "," ",HYPERLINK(CONCATENATE("#metadata!",ADDRESS(INDEX($AJ$2:$AJ$1001,MATCH(ROWS($AH$2:AH810),$AH$2:$AH$1001,0),0),2)),INDEX($AM$2:$AM$1001,MATCH(ROWS($AH$2:AH810),$AH$2:$AH$1001,0),0)))</f>
        <v>#N/A</v>
      </c>
      <c r="B810" s="5" t="e">
        <f ca="1">IF(OR(INDEX($AI$2:$AI$1001,MATCH(ROWS($AH$2:AH810),$AH$2:$AH$1001,0),1)&gt;=100000,INDEX($AO$1005:$BQ$1005,1,MATCH(COLUMNS($AO$1006:AO1006),$AO$1006:$BQ$1006,0))&gt;=100000), " ",IF(INDEX($AO$2:$BQ$1001,MATCH(ROWS($AH$2:AH810),$AH$2:$AH$1001,0),MATCH(COLUMNS($AO$1006:AO1006),$AO$1006:$BQ$1006,0)), HYPERLINK("#",""), HYPERLINK(CONCATENATE("#Metadata!", ADDRESS(INDEX($AJ$2:$AJ$1001,MATCH(ROWS($AH$2:AH810),$AH$2:$AH$1001,0),0), INDEX($AO$1004:$BQ$1004,1,MATCH(COLUMNS($AO$1006:AO1006),$AO$1006:$BQ$1006,0)))),"Fix")))</f>
        <v>#N/A</v>
      </c>
      <c r="C810" s="5" t="e">
        <f ca="1">IF(OR(INDEX($AI$2:$AI$1001,MATCH(ROWS($AH$2:AH810),$AH$2:$AH$1001,0),1)&gt;=100000,INDEX($AO$1005:$BQ$1005,1,MATCH(COLUMNS($AO$1006:AP1006),$AO$1006:$BQ$1006,0))&gt;=100000), " ",IF(INDEX($AO$2:$BQ$1001,MATCH(ROWS($AH$2:AH810),$AH$2:$AH$1001,0),MATCH(COLUMNS($AO$1006:AP1006),$AO$1006:$BQ$1006,0)), HYPERLINK("#",""), HYPERLINK(CONCATENATE("#Metadata!", ADDRESS(INDEX($AJ$2:$AJ$1001,MATCH(ROWS($AH$2:AH810),$AH$2:$AH$1001,0),0), INDEX($AO$1004:$BQ$1004,1,MATCH(COLUMNS($AO$1006:AP1006),$AO$1006:$BQ$1006,0)))),"Fix")))</f>
        <v>#N/A</v>
      </c>
      <c r="D810" s="5" t="e">
        <f ca="1">IF(OR(INDEX($AI$2:$AI$1001,MATCH(ROWS($AH$2:AH810),$AH$2:$AH$1001,0),1)&gt;=100000,INDEX($AO$1005:$BQ$1005,1,MATCH(COLUMNS($AO$1006:AQ1006),$AO$1006:$BQ$1006,0))&gt;=100000), " ",IF(INDEX($AO$2:$BQ$1001,MATCH(ROWS($AH$2:AH810),$AH$2:$AH$1001,0),MATCH(COLUMNS($AO$1006:AQ1006),$AO$1006:$BQ$1006,0)), HYPERLINK("#",""), HYPERLINK(CONCATENATE("#Metadata!", ADDRESS(INDEX($AJ$2:$AJ$1001,MATCH(ROWS($AH$2:AH810),$AH$2:$AH$1001,0),0), INDEX($AO$1004:$BQ$1004,1,MATCH(COLUMNS($AO$1006:AQ1006),$AO$1006:$BQ$1006,0)))),"Fix")))</f>
        <v>#N/A</v>
      </c>
      <c r="E810" s="5" t="e">
        <f ca="1">IF(OR(INDEX($AI$2:$AI$1001,MATCH(ROWS($AH$2:AH810),$AH$2:$AH$1001,0),1)&gt;=100000,INDEX($AO$1005:$BQ$1005,1,MATCH(COLUMNS($AO$1006:AR1006),$AO$1006:$BQ$1006,0))&gt;=100000), " ",IF(INDEX($AO$2:$BQ$1001,MATCH(ROWS($AH$2:AH810),$AH$2:$AH$1001,0),MATCH(COLUMNS($AO$1006:AR1006),$AO$1006:$BQ$1006,0)), HYPERLINK("#",""), HYPERLINK(CONCATENATE("#Metadata!", ADDRESS(INDEX($AJ$2:$AJ$1001,MATCH(ROWS($AH$2:AH810),$AH$2:$AH$1001,0),0), INDEX($AO$1004:$BQ$1004,1,MATCH(COLUMNS($AO$1006:AR1006),$AO$1006:$BQ$1006,0)))),"Fix")))</f>
        <v>#N/A</v>
      </c>
      <c r="F810" s="5" t="e">
        <f ca="1">IF(OR(INDEX($AI$2:$AI$1001,MATCH(ROWS($AH$2:AH810),$AH$2:$AH$1001,0),1)&gt;=100000,INDEX($AO$1005:$BQ$1005,1,MATCH(COLUMNS($AO$1006:AS1006),$AO$1006:$BQ$1006,0))&gt;=100000), " ",IF(INDEX($AO$2:$BQ$1001,MATCH(ROWS($AH$2:AH810),$AH$2:$AH$1001,0),MATCH(COLUMNS($AO$1006:AS1006),$AO$1006:$BQ$1006,0)), HYPERLINK("#",""), HYPERLINK(CONCATENATE("#Metadata!", ADDRESS(INDEX($AJ$2:$AJ$1001,MATCH(ROWS($AH$2:AH810),$AH$2:$AH$1001,0),0), INDEX($AO$1004:$BQ$1004,1,MATCH(COLUMNS($AO$1006:AS1006),$AO$1006:$BQ$1006,0)))),"Fix")))</f>
        <v>#N/A</v>
      </c>
      <c r="G810" s="5" t="e">
        <f ca="1">IF(OR(INDEX($AI$2:$AI$1001,MATCH(ROWS($AH$2:AH810),$AH$2:$AH$1001,0),1)&gt;=100000,INDEX($AO$1005:$BQ$1005,1,MATCH(COLUMNS($AO$1006:AT1006),$AO$1006:$BQ$1006,0))&gt;=100000), " ",IF(INDEX($AO$2:$BQ$1001,MATCH(ROWS($AH$2:AH810),$AH$2:$AH$1001,0),MATCH(COLUMNS($AO$1006:AT1006),$AO$1006:$BQ$1006,0)), HYPERLINK("#",""), HYPERLINK(CONCATENATE("#Metadata!", ADDRESS(INDEX($AJ$2:$AJ$1001,MATCH(ROWS($AH$2:AH810),$AH$2:$AH$1001,0),0), INDEX($AO$1004:$BQ$1004,1,MATCH(COLUMNS($AO$1006:AT1006),$AO$1006:$BQ$1006,0)))),"Fix")))</f>
        <v>#N/A</v>
      </c>
      <c r="H810" s="5" t="e">
        <f ca="1">IF(OR(INDEX($AI$2:$AI$1001,MATCH(ROWS($AH$2:AH810),$AH$2:$AH$1001,0),1)&gt;=100000,INDEX($AO$1005:$BQ$1005,1,MATCH(COLUMNS($AO$1006:AU1006),$AO$1006:$BQ$1006,0))&gt;=100000), " ",IF(INDEX($AO$2:$BQ$1001,MATCH(ROWS($AH$2:AH810),$AH$2:$AH$1001,0),MATCH(COLUMNS($AO$1006:AU1006),$AO$1006:$BQ$1006,0)), HYPERLINK("#",""), HYPERLINK(CONCATENATE("#Metadata!", ADDRESS(INDEX($AJ$2:$AJ$1001,MATCH(ROWS($AH$2:AH810),$AH$2:$AH$1001,0),0), INDEX($AO$1004:$BQ$1004,1,MATCH(COLUMNS($AO$1006:AU1006),$AO$1006:$BQ$1006,0)))),"Fix")))</f>
        <v>#N/A</v>
      </c>
      <c r="I810" s="5" t="e">
        <f ca="1">IF(OR(INDEX($AI$2:$AI$1001,MATCH(ROWS($AH$2:AH810),$AH$2:$AH$1001,0),1)&gt;=100000,INDEX($AO$1005:$BQ$1005,1,MATCH(COLUMNS($AO$1006:AV1006),$AO$1006:$BQ$1006,0))&gt;=100000), " ",IF(INDEX($AO$2:$BQ$1001,MATCH(ROWS($AH$2:AH810),$AH$2:$AH$1001,0),MATCH(COLUMNS($AO$1006:AV1006),$AO$1006:$BQ$1006,0)), HYPERLINK("#",""), HYPERLINK(CONCATENATE("#Metadata!", ADDRESS(INDEX($AJ$2:$AJ$1001,MATCH(ROWS($AH$2:AH810),$AH$2:$AH$1001,0),0), INDEX($AO$1004:$BQ$1004,1,MATCH(COLUMNS($AO$1006:AV1006),$AO$1006:$BQ$1006,0)))),"Fix")))</f>
        <v>#N/A</v>
      </c>
      <c r="J810" s="5" t="e">
        <f ca="1">IF(OR(INDEX($AI$2:$AI$1001,MATCH(ROWS($AH$2:AH810),$AH$2:$AH$1001,0),1)&gt;=100000,INDEX($AO$1005:$BQ$1005,1,MATCH(COLUMNS($AO$1006:AW1006),$AO$1006:$BQ$1006,0))&gt;=100000), " ",IF(INDEX($AO$2:$BQ$1001,MATCH(ROWS($AH$2:AH810),$AH$2:$AH$1001,0),MATCH(COLUMNS($AO$1006:AW1006),$AO$1006:$BQ$1006,0)), HYPERLINK("#",""), HYPERLINK(CONCATENATE("#Metadata!", ADDRESS(INDEX($AJ$2:$AJ$1001,MATCH(ROWS($AH$2:AH810),$AH$2:$AH$1001,0),0), INDEX($AO$1004:$BQ$1004,1,MATCH(COLUMNS($AO$1006:AW1006),$AO$1006:$BQ$1006,0)))),"Fix")))</f>
        <v>#N/A</v>
      </c>
      <c r="K810" s="5" t="e">
        <f ca="1">IF(OR(INDEX($AI$2:$AI$1001,MATCH(ROWS($AH$2:AH810),$AH$2:$AH$1001,0),1)&gt;=100000,INDEX($AO$1005:$BQ$1005,1,MATCH(COLUMNS($AO$1006:AX1006),$AO$1006:$BQ$1006,0))&gt;=100000), " ",IF(INDEX($AO$2:$BQ$1001,MATCH(ROWS($AH$2:AH810),$AH$2:$AH$1001,0),MATCH(COLUMNS($AO$1006:AX1006),$AO$1006:$BQ$1006,0)), HYPERLINK("#",""), HYPERLINK(CONCATENATE("#Metadata!", ADDRESS(INDEX($AJ$2:$AJ$1001,MATCH(ROWS($AH$2:AH810),$AH$2:$AH$1001,0),0), INDEX($AO$1004:$BQ$1004,1,MATCH(COLUMNS($AO$1006:AX1006),$AO$1006:$BQ$1006,0)))),"Fix")))</f>
        <v>#N/A</v>
      </c>
      <c r="L810" s="5" t="e">
        <f ca="1">IF(OR(INDEX($AI$2:$AI$1001,MATCH(ROWS($AH$2:AH810),$AH$2:$AH$1001,0),1)&gt;=100000,INDEX($AO$1005:$BQ$1005,1,MATCH(COLUMNS($AO$1006:AY1006),$AO$1006:$BQ$1006,0))&gt;=100000), " ",IF(INDEX($AO$2:$BQ$1001,MATCH(ROWS($AH$2:AH810),$AH$2:$AH$1001,0),MATCH(COLUMNS($AO$1006:AY1006),$AO$1006:$BQ$1006,0)), HYPERLINK("#",""), HYPERLINK(CONCATENATE("#Metadata!", ADDRESS(INDEX($AJ$2:$AJ$1001,MATCH(ROWS($AH$2:AH810),$AH$2:$AH$1001,0),0), INDEX($AO$1004:$BQ$1004,1,MATCH(COLUMNS($AO$1006:AY1006),$AO$1006:$BQ$1006,0)))),"Fix")))</f>
        <v>#N/A</v>
      </c>
      <c r="M810" s="5" t="e">
        <f ca="1">IF(OR(INDEX($AI$2:$AI$1001,MATCH(ROWS($AH$2:AH810),$AH$2:$AH$1001,0),1)&gt;=100000,INDEX($AO$1005:$BQ$1005,1,MATCH(COLUMNS($AO$1006:AZ1006),$AO$1006:$BQ$1006,0))&gt;=100000), " ",IF(INDEX($AO$2:$BQ$1001,MATCH(ROWS($AH$2:AH810),$AH$2:$AH$1001,0),MATCH(COLUMNS($AO$1006:AZ1006),$AO$1006:$BQ$1006,0)), HYPERLINK("#",""), HYPERLINK(CONCATENATE("#Metadata!", ADDRESS(INDEX($AJ$2:$AJ$1001,MATCH(ROWS($AH$2:AH810),$AH$2:$AH$1001,0),0), INDEX($AO$1004:$BQ$1004,1,MATCH(COLUMNS($AO$1006:AZ1006),$AO$1006:$BQ$1006,0)))),"Fix")))</f>
        <v>#N/A</v>
      </c>
      <c r="N810" s="5" t="e">
        <f ca="1">IF(OR(INDEX($AI$2:$AI$1001,MATCH(ROWS($AH$2:AH810),$AH$2:$AH$1001,0),1)&gt;=100000,INDEX($AO$1005:$BQ$1005,1,MATCH(COLUMNS($AO$1006:BA1006),$AO$1006:$BQ$1006,0))&gt;=100000), " ",IF(INDEX($AO$2:$BQ$1001,MATCH(ROWS($AH$2:AH810),$AH$2:$AH$1001,0),MATCH(COLUMNS($AO$1006:BA1006),$AO$1006:$BQ$1006,0)), HYPERLINK("#",""), HYPERLINK(CONCATENATE("#Metadata!", ADDRESS(INDEX($AJ$2:$AJ$1001,MATCH(ROWS($AH$2:AH810),$AH$2:$AH$1001,0),0), INDEX($AO$1004:$BQ$1004,1,MATCH(COLUMNS($AO$1006:BA1006),$AO$1006:$BQ$1006,0)))),"Fix")))</f>
        <v>#N/A</v>
      </c>
      <c r="O810" s="5" t="e">
        <f ca="1">IF(OR(INDEX($AI$2:$AI$1001,MATCH(ROWS($AH$2:AH810),$AH$2:$AH$1001,0),1)&gt;=100000,INDEX($AO$1005:$BQ$1005,1,MATCH(COLUMNS($AO$1006:BB1006),$AO$1006:$BQ$1006,0))&gt;=100000), " ",IF(INDEX($AO$2:$BQ$1001,MATCH(ROWS($AH$2:AH810),$AH$2:$AH$1001,0),MATCH(COLUMNS($AO$1006:BB1006),$AO$1006:$BQ$1006,0)), HYPERLINK("#",""), HYPERLINK(CONCATENATE("#Metadata!", ADDRESS(INDEX($AJ$2:$AJ$1001,MATCH(ROWS($AH$2:AH810),$AH$2:$AH$1001,0),0), INDEX($AO$1004:$BQ$1004,1,MATCH(COLUMNS($AO$1006:BB1006),$AO$1006:$BQ$1006,0)))),"Fix")))</f>
        <v>#N/A</v>
      </c>
      <c r="P810" s="5" t="e">
        <f ca="1">IF(OR(INDEX($AI$2:$AI$1001,MATCH(ROWS($AH$2:AH810),$AH$2:$AH$1001,0),1)&gt;=100000,INDEX($AO$1005:$BQ$1005,1,MATCH(COLUMNS($AO$1006:BC1006),$AO$1006:$BQ$1006,0))&gt;=100000), " ",IF(INDEX($AO$2:$BQ$1001,MATCH(ROWS($AH$2:AH810),$AH$2:$AH$1001,0),MATCH(COLUMNS($AO$1006:BC1006),$AO$1006:$BQ$1006,0)), HYPERLINK("#",""), HYPERLINK(CONCATENATE("#Metadata!", ADDRESS(INDEX($AJ$2:$AJ$1001,MATCH(ROWS($AH$2:AH810),$AH$2:$AH$1001,0),0), INDEX($AO$1004:$BQ$1004,1,MATCH(COLUMNS($AO$1006:BC1006),$AO$1006:$BQ$1006,0)))),"Fix")))</f>
        <v>#N/A</v>
      </c>
      <c r="Q810" s="5" t="e">
        <f ca="1">IF(OR(INDEX($AI$2:$AI$1001,MATCH(ROWS($AH$2:AH810),$AH$2:$AH$1001,0),1)&gt;=100000,INDEX($AO$1005:$BQ$1005,1,MATCH(COLUMNS($AO$1006:BD1006),$AO$1006:$BQ$1006,0))&gt;=100000), " ",IF(INDEX($AO$2:$BQ$1001,MATCH(ROWS($AH$2:AH810),$AH$2:$AH$1001,0),MATCH(COLUMNS($AO$1006:BD1006),$AO$1006:$BQ$1006,0)), HYPERLINK("#",""), HYPERLINK(CONCATENATE("#Metadata!", ADDRESS(INDEX($AJ$2:$AJ$1001,MATCH(ROWS($AH$2:AH810),$AH$2:$AH$1001,0),0), INDEX($AO$1004:$BQ$1004,1,MATCH(COLUMNS($AO$1006:BD1006),$AO$1006:$BQ$1006,0)))),"Fix")))</f>
        <v>#N/A</v>
      </c>
      <c r="R810" s="5" t="e">
        <f ca="1">IF(OR(INDEX($AI$2:$AI$1001,MATCH(ROWS($AH$2:AH810),$AH$2:$AH$1001,0),1)&gt;=100000,INDEX($AO$1005:$BQ$1005,1,MATCH(COLUMNS($AO$1006:BE1006),$AO$1006:$BQ$1006,0))&gt;=100000), " ",IF(INDEX($AO$2:$BQ$1001,MATCH(ROWS($AH$2:AH810),$AH$2:$AH$1001,0),MATCH(COLUMNS($AO$1006:BE1006),$AO$1006:$BQ$1006,0)), HYPERLINK("#",""), HYPERLINK(CONCATENATE("#Metadata!", ADDRESS(INDEX($AJ$2:$AJ$1001,MATCH(ROWS($AH$2:AH810),$AH$2:$AH$1001,0),0), INDEX($AO$1004:$BQ$1004,1,MATCH(COLUMNS($AO$1006:BE1006),$AO$1006:$BQ$1006,0)))),"Fix")))</f>
        <v>#N/A</v>
      </c>
      <c r="S810" s="5" t="e">
        <f ca="1">IF(OR(INDEX($AI$2:$AI$1001,MATCH(ROWS($AH$2:AH810),$AH$2:$AH$1001,0),1)&gt;=100000,INDEX($AO$1005:$BQ$1005,1,MATCH(COLUMNS($AO$1006:BF1006),$AO$1006:$BQ$1006,0))&gt;=100000), " ",IF(INDEX($AO$2:$BQ$1001,MATCH(ROWS($AH$2:AH810),$AH$2:$AH$1001,0),MATCH(COLUMNS($AO$1006:BF1006),$AO$1006:$BQ$1006,0)), HYPERLINK("#",""), HYPERLINK(CONCATENATE("#Metadata!", ADDRESS(INDEX($AJ$2:$AJ$1001,MATCH(ROWS($AH$2:AH810),$AH$2:$AH$1001,0),0), INDEX($AO$1004:$BQ$1004,1,MATCH(COLUMNS($AO$1006:BF1006),$AO$1006:$BQ$1006,0)))),"Fix")))</f>
        <v>#N/A</v>
      </c>
      <c r="T810" s="5" t="e">
        <f ca="1">IF(OR(INDEX($AI$2:$AI$1001,MATCH(ROWS($AH$2:AH810),$AH$2:$AH$1001,0),1)&gt;=100000,INDEX($AO$1005:$BQ$1005,1,MATCH(COLUMNS($AO$1006:BG1006),$AO$1006:$BQ$1006,0))&gt;=100000), " ",IF(INDEX($AO$2:$BQ$1001,MATCH(ROWS($AH$2:AH810),$AH$2:$AH$1001,0),MATCH(COLUMNS($AO$1006:BG1006),$AO$1006:$BQ$1006,0)), HYPERLINK("#",""), HYPERLINK(CONCATENATE("#Metadata!", ADDRESS(INDEX($AJ$2:$AJ$1001,MATCH(ROWS($AH$2:AH810),$AH$2:$AH$1001,0),0), INDEX($AO$1004:$BQ$1004,1,MATCH(COLUMNS($AO$1006:BG1006),$AO$1006:$BQ$1006,0)))),"Fix")))</f>
        <v>#N/A</v>
      </c>
      <c r="U810" s="5" t="e">
        <f ca="1">IF(OR(INDEX($AI$2:$AI$1001,MATCH(ROWS($AH$2:AH810),$AH$2:$AH$1001,0),1)&gt;=100000,INDEX($AO$1005:$BQ$1005,1,MATCH(COLUMNS($AO$1006:BH1006),$AO$1006:$BQ$1006,0))&gt;=100000), " ",IF(INDEX($AO$2:$BQ$1001,MATCH(ROWS($AH$2:AH810),$AH$2:$AH$1001,0),MATCH(COLUMNS($AO$1006:BH1006),$AO$1006:$BQ$1006,0)), HYPERLINK("#",""), HYPERLINK(CONCATENATE("#Metadata!", ADDRESS(INDEX($AJ$2:$AJ$1001,MATCH(ROWS($AH$2:AH810),$AH$2:$AH$1001,0),0), INDEX($AO$1004:$BQ$1004,1,MATCH(COLUMNS($AO$1006:BH1006),$AO$1006:$BQ$1006,0)))),"Fix")))</f>
        <v>#N/A</v>
      </c>
      <c r="V810" s="5" t="e">
        <f ca="1">IF(OR(INDEX($AI$2:$AI$1001,MATCH(ROWS($AH$2:AH810),$AH$2:$AH$1001,0),1)&gt;=100000,INDEX($AO$1005:$BQ$1005,1,MATCH(COLUMNS($AO$1006:BI1006),$AO$1006:$BQ$1006,0))&gt;=100000), " ",IF(INDEX($AO$2:$BQ$1001,MATCH(ROWS($AH$2:AH810),$AH$2:$AH$1001,0),MATCH(COLUMNS($AO$1006:BI1006),$AO$1006:$BQ$1006,0)), HYPERLINK("#",""), HYPERLINK(CONCATENATE("#Metadata!", ADDRESS(INDEX($AJ$2:$AJ$1001,MATCH(ROWS($AH$2:AH810),$AH$2:$AH$1001,0),0), INDEX($AO$1004:$BQ$1004,1,MATCH(COLUMNS($AO$1006:BI1006),$AO$1006:$BQ$1006,0)))),"Fix")))</f>
        <v>#N/A</v>
      </c>
      <c r="W810" s="5" t="e">
        <f ca="1">IF(OR(INDEX($AI$2:$AI$1001,MATCH(ROWS($AH$2:AH810),$AH$2:$AH$1001,0),1)&gt;=100000,INDEX($AO$1005:$BQ$1005,1,MATCH(COLUMNS($AO$1006:BJ1006),$AO$1006:$BQ$1006,0))&gt;=100000), " ",IF(INDEX($AO$2:$BQ$1001,MATCH(ROWS($AH$2:AH810),$AH$2:$AH$1001,0),MATCH(COLUMNS($AO$1006:BJ1006),$AO$1006:$BQ$1006,0)), HYPERLINK("#",""), HYPERLINK(CONCATENATE("#Metadata!", ADDRESS(INDEX($AJ$2:$AJ$1001,MATCH(ROWS($AH$2:AH810),$AH$2:$AH$1001,0),0), INDEX($AO$1004:$BQ$1004,1,MATCH(COLUMNS($AO$1006:BJ1006),$AO$1006:$BQ$1006,0)))),"Fix")))</f>
        <v>#N/A</v>
      </c>
      <c r="X810" s="5" t="e">
        <f ca="1">IF(OR(INDEX($AI$2:$AI$1001,MATCH(ROWS($AH$2:AH810),$AH$2:$AH$1001,0),1)&gt;=100000,INDEX($AO$1005:$BQ$1005,1,MATCH(COLUMNS($AO$1006:BK1006),$AO$1006:$BQ$1006,0))&gt;=100000), " ",IF(INDEX($AO$2:$BQ$1001,MATCH(ROWS($AH$2:AH810),$AH$2:$AH$1001,0),MATCH(COLUMNS($AO$1006:BK1006),$AO$1006:$BQ$1006,0)), HYPERLINK("#",""), HYPERLINK(CONCATENATE("#Metadata!", ADDRESS(INDEX($AJ$2:$AJ$1001,MATCH(ROWS($AH$2:AH810),$AH$2:$AH$1001,0),0), INDEX($AO$1004:$BQ$1004,1,MATCH(COLUMNS($AO$1006:BK1006),$AO$1006:$BQ$1006,0)))),"Fix")))</f>
        <v>#N/A</v>
      </c>
      <c r="Y810" s="5" t="e">
        <f ca="1">IF(OR(INDEX($AI$2:$AI$1001,MATCH(ROWS($AH$2:AH810),$AH$2:$AH$1001,0),1)&gt;=100000,INDEX($AO$1005:$BQ$1005,1,MATCH(COLUMNS($AO$1006:BL1006),$AO$1006:$BQ$1006,0))&gt;=100000), " ",IF(INDEX($AO$2:$BQ$1001,MATCH(ROWS($AH$2:AH810),$AH$2:$AH$1001,0),MATCH(COLUMNS($AO$1006:BL1006),$AO$1006:$BQ$1006,0)), HYPERLINK("#",""), HYPERLINK(CONCATENATE("#Metadata!", ADDRESS(INDEX($AJ$2:$AJ$1001,MATCH(ROWS($AH$2:AH810),$AH$2:$AH$1001,0),0), INDEX($AO$1004:$BQ$1004,1,MATCH(COLUMNS($AO$1006:BL1006),$AO$1006:$BQ$1006,0)))),"Fix")))</f>
        <v>#N/A</v>
      </c>
      <c r="Z810" s="5" t="e">
        <f ca="1">IF(OR(INDEX($AI$2:$AI$1001,MATCH(ROWS($AH$2:AH810),$AH$2:$AH$1001,0),1)&gt;=100000,INDEX($AO$1005:$BQ$1005,1,MATCH(COLUMNS($AO$1006:BM1006),$AO$1006:$BQ$1006,0))&gt;=100000), " ",IF(INDEX($AO$2:$BQ$1001,MATCH(ROWS($AH$2:AH810),$AH$2:$AH$1001,0),MATCH(COLUMNS($AO$1006:BM1006),$AO$1006:$BQ$1006,0)), HYPERLINK("#",""), HYPERLINK(CONCATENATE("#Metadata!", ADDRESS(INDEX($AJ$2:$AJ$1001,MATCH(ROWS($AH$2:AH810),$AH$2:$AH$1001,0),0), INDEX($AO$1004:$BQ$1004,1,MATCH(COLUMNS($AO$1006:BM1006),$AO$1006:$BQ$1006,0)))),"Fix")))</f>
        <v>#N/A</v>
      </c>
      <c r="AA810" s="5" t="e">
        <f ca="1">IF(OR(INDEX($AI$2:$AI$1001,MATCH(ROWS($AH$2:AH810),$AH$2:$AH$1001,0),1)&gt;=100000,INDEX($AO$1005:$BQ$1005,1,MATCH(COLUMNS($AO$1006:BN1006),$AO$1006:$BQ$1006,0))&gt;=100000), " ",IF(INDEX($AO$2:$BQ$1001,MATCH(ROWS($AH$2:AH810),$AH$2:$AH$1001,0),MATCH(COLUMNS($AO$1006:BN1006),$AO$1006:$BQ$1006,0)), HYPERLINK("#",""), HYPERLINK(CONCATENATE("#Metadata!", ADDRESS(INDEX($AJ$2:$AJ$1001,MATCH(ROWS($AH$2:AH810),$AH$2:$AH$1001,0),0), INDEX($AO$1004:$BQ$1004,1,MATCH(COLUMNS($AO$1006:BN1006),$AO$1006:$BQ$1006,0)))),"Fix")))</f>
        <v>#N/A</v>
      </c>
      <c r="AB810" s="5" t="e">
        <f ca="1">IF(OR(INDEX($AI$2:$AI$1001,MATCH(ROWS($AH$2:AH810),$AH$2:$AH$1001,0),1)&gt;=100000,INDEX($AO$1005:$BQ$1005,1,MATCH(COLUMNS($AO$1006:BO1006),$AO$1006:$BQ$1006,0))&gt;=100000), " ",IF(INDEX($AO$2:$BQ$1001,MATCH(ROWS($AH$2:AH810),$AH$2:$AH$1001,0),MATCH(COLUMNS($AO$1006:BO1006),$AO$1006:$BQ$1006,0)), HYPERLINK("#",""), HYPERLINK(CONCATENATE("#Metadata!", ADDRESS(INDEX($AJ$2:$AJ$1001,MATCH(ROWS($AH$2:AH810),$AH$2:$AH$1001,0),0), INDEX($AO$1004:$BQ$1004,1,MATCH(COLUMNS($AO$1006:BO1006),$AO$1006:$BQ$1006,0)))),"Fix")))</f>
        <v>#N/A</v>
      </c>
      <c r="AC810" s="5" t="e">
        <f ca="1">IF(OR(INDEX($AI$2:$AI$1001,MATCH(ROWS($AH$2:AH810),$AH$2:$AH$1001,0),1)&gt;=100000,INDEX($AO$1005:$BQ$1005,1,MATCH(COLUMNS($AO$1006:BP1006),$AO$1006:$BQ$1006,0))&gt;=100000), " ",IF(INDEX($AO$2:$BQ$1001,MATCH(ROWS($AH$2:AH810),$AH$2:$AH$1001,0),MATCH(COLUMNS($AO$1006:BP1006),$AO$1006:$BQ$1006,0)), HYPERLINK("#",""), HYPERLINK(CONCATENATE("#Metadata!", ADDRESS(INDEX($AJ$2:$AJ$1001,MATCH(ROWS($AH$2:AH810),$AH$2:$AH$1001,0),0), INDEX($AO$1004:$BQ$1004,1,MATCH(COLUMNS($AO$1006:BP1006),$AO$1006:$BQ$1006,0)))),"Fix")))</f>
        <v>#N/A</v>
      </c>
      <c r="AD810" s="5" t="e">
        <f ca="1">IF(OR(INDEX($AI$2:$AI$1001,MATCH(ROWS($AH$2:AH810),$AH$2:$AH$1001,0),1)&gt;=100000,INDEX($AO$1005:$BQ$1005,1,MATCH(COLUMNS($AO$1006:BQ1006),$AO$1006:$BQ$1006,0))&gt;=100000), " ",IF(INDEX($AO$2:$BQ$1001,MATCH(ROWS($AH$2:AH810),$AH$2:$AH$1001,0),MATCH(COLUMNS($AO$1006:BQ1006),$AO$1006:$BQ$1006,0)), HYPERLINK("#",""), HYPERLINK(CONCATENATE("#Metadata!", ADDRESS(INDEX($AJ$2:$AJ$1001,MATCH(ROWS($AH$2:AH810),$AH$2:$AH$1001,0),0), INDEX($AO$1004:$BQ$1004,1,MATCH(COLUMNS($AO$1006:BQ1006),$AO$1006:$BQ$1006,0)))),"Fix")))</f>
        <v>#REF!</v>
      </c>
      <c r="AH810">
        <f ca="1"/>
        <v>807</v>
      </c>
      <c r="AI810">
        <v>100810</v>
      </c>
      <c r="AJ810">
        <v>810</v>
      </c>
      <c r="AK810" t="b">
        <f t="shared" si="12"/>
        <v>1</v>
      </c>
      <c r="AL810" t="b">
        <f>COUNTBLANK(Metadata!B810:AD810)=COLUMNS(Metadata!B810:AD810)</f>
        <v>1</v>
      </c>
      <c r="AM810" t="str">
        <v/>
      </c>
      <c r="AO810" t="b">
        <f ca="1">AND(IF(Metadata!B810="",FALSE,TRUE),COUNTIF(Metadata!B:B, Metadata!B810) = 1,NOT(ISERROR(SUMPRODUCT(SEARCH(MID(Metadata!B810,ROW(INDIRECT("1:"&amp;LEN(Metadata!B810))), 1),"0123456789abcdefghijklmnopqrstuvwxyzABCDEFGHIJKLMNOPQRSTUVWXYZ.")))))</f>
        <v>0</v>
      </c>
      <c r="AP810" t="b">
        <f>IF(Metadata!C810="",FALSE,TRUE)</f>
        <v>0</v>
      </c>
      <c r="AQ810" t="b">
        <f>IF(Metadata!D810="",FALSE,TRUE)</f>
        <v>0</v>
      </c>
      <c r="AR810" t="b">
        <f ca="1">OR(AND(IF(Metadata!E810="",FALSE,TRUE),OR(EXACT(Metadata!E810,"not collected"),EXACT(Metadata!E810,"not provided"),EXACT(Metadata!E810,"restricted access"))),AND(IF(Metadata!E810="",FALSE,TRUE),AND(AND(IFERROR(INT(LEFT(Metadata!E810,4))&gt;1900,FALSE),IFERROR(INT(LEFT(Metadata!E810,4))&lt;=YEAR(NOW()),FALSE)), OR(MID(Metadata!E810,5,1)="", AND(AND(MID(Metadata!E810,5,1)="-",IFERROR(INT(MID(Metadata!E810,6,1))&gt;=0,FALSE),IFERROR(INT(MID(Metadata!E810,6,1))&lt;=1,FALSE),NOT(MID(Metadata!E810,7,1)=""),IFERROR(INT(MID(Metadata!E810,6,2))&gt;=1,FALSE),IFERROR(INT(MID(Metadata!E810,6,2))&lt;=12,FALSE)), OR(MID(Metadata!E810,8,1)="", AND(AND(MID(Metadata!E810,8,1)="-",IFERROR(INT(MID(Metadata!E810,9,1))&gt;=0,FALSE),IFERROR(INT(MID(Metadata!E810,9,1))&lt;=3,FALSE),NOT(MID(Metadata!E810,10,1)=""),IFERROR(INT(MID(Metadata!E810,9,2))&gt;=1,FALSE),IFERROR(INT(MID(Metadata!E810,9,2))&lt;=31,FALSE)), OR(MID(Metadata!E810,11,1)="", AND(AND(MID(Metadata!E810,11,1)=" ",IFERROR(INT(MID(Metadata!E810,12,1))&gt;=0,FALSE),IFERROR(INT(MID(Metadata!E810,12,1))&lt;=2,FALSE),NOT(MID(Metadata!E810,13,1)=""),IFERROR(INT(MID(Metadata!E810,12,2))&gt;=0,FALSE),IFERROR(INT(MID(Metadata!E810,12,2))&lt;=23,FALSE)), OR(MID(Metadata!E810,14,1)="", AND(AND(MID(Metadata!E810,14,1)=":",IFERROR(INT(MID(Metadata!E810,15,1))&gt;=0,FALSE),IFERROR(INT(MID(Metadata!E810,15,1))&lt;=5,FALSE),NOT(MID(Metadata!E810,16,1)=""),IFERROR(INT(MID(Metadata!E810,15,2))&gt;=0,FALSE),IFERROR(INT(MID(Metadata!E810,15,2))&lt;=59,FALSE)), OR(MID(Metadata!E810,17,1)="", AND(AND(MID(Metadata!E810,17,1)=":",IFERROR(INT(MID(Metadata!E810,18,1))&gt;=0,FALSE),IFERROR(INT(MID(Metadata!E810,18,1))&lt;=5,FALSE),NOT(MID(Metadata!E810,19,1)=""),IFERROR(INT(MID(Metadata!E810,18,2))&gt;=0,FALSE),IFERROR(INT(MID(Metadata!E810,18,2))&lt;=59,FALSE)), LEN(Metadata!E810)&lt;=19)))))))))))))</f>
        <v>0</v>
      </c>
      <c r="AS810" t="b">
        <f>IF(Metadata!F810="",FALSE,TRUE)</f>
        <v>0</v>
      </c>
      <c r="AT810" t="b">
        <f>OR(AND(IF(Metadata!G810="",FALSE,TRUE),OR(EXACT(Metadata!G810,"not collected"),EXACT(Metadata!G810,"not provided"))),AND(IF(Metadata!G810="",FALSE,TRUE),OR(EXACT(Metadata!G810,"TRUE"),EXACT(Metadata!G810,"FALSE"))))</f>
        <v>0</v>
      </c>
      <c r="AU810" t="b">
        <f>OR(AND(IF(Metadata!H810="",FALSE,TRUE),OR(EXACT(Metadata!H810,"not collected"),EXACT(Metadata!H810,"not provided"),EXACT(Metadata!H810,"restricted access"))),AND(IF(Metadata!H810="",FALSE,ISNUMBER(VALUE(Metadata!H810))),Metadata!H810&gt;=-413))</f>
        <v>0</v>
      </c>
      <c r="AV810" t="b">
        <f>AND(IF(Metadata!I810="",FALSE,TRUE),EXACT(Metadata!I810,"meters"))</f>
        <v>0</v>
      </c>
      <c r="AW810" t="b">
        <f>AND(IF(Metadata!J810="",FALSE,TRUE),EXACT(Metadata!J810,"free-living"))</f>
        <v>0</v>
      </c>
      <c r="AX810" t="b">
        <f>AND(IF(Metadata!K810="",FALSE,TRUE),OR(EXACT(Metadata!K810,"saline"),EXACT(Metadata!K810,"non-saline")))</f>
        <v>0</v>
      </c>
      <c r="AY810" t="b">
        <f>AND(IF(Metadata!L810="",FALSE,TRUE),OR(EXACT(Metadata!L810,"sub-surface (non-saline)"),EXACT(Metadata!L810,"surface (non-saline)"),EXACT(Metadata!L810,"water (non-saline)"),EXACT(Metadata!L810,"soil (non-saline)"),EXACT(Metadata!L810,"aerosol (non-saline)"),EXACT(Metadata!L810,"sediment (non-saline)"),EXACT(Metadata!L810,"surface (saline)"),EXACT(Metadata!L810,"water (saline)"),EXACT(Metadata!L810,"hypersaline (saline)"),EXACT(Metadata!L810,"aerosol (saline)"),EXACT(Metadata!L810,"sediment (saline)")))</f>
        <v>0</v>
      </c>
      <c r="AZ810" t="b">
        <f>IF(Metadata!M810="",FALSE,TRUE)</f>
        <v>0</v>
      </c>
      <c r="BA810" t="b">
        <f>IF(Metadata!N810="",FALSE,TRUE)</f>
        <v>0</v>
      </c>
      <c r="BB810" t="b">
        <f>IF(Metadata!O810="",FALSE,TRUE)</f>
        <v>0</v>
      </c>
      <c r="BC810" t="b">
        <f>AND(IF(Metadata!P810="",FALSE,TRUE),OR(EXACT(Metadata!P810,"air"),EXACT(Metadata!P810,"microbial mat/biofilm"),EXACT(Metadata!P810,"misc environment"),EXACT(Metadata!P810,"sediment"),EXACT(Metadata!P810,"soil"),EXACT(Metadata!P810,"wastewater/sludge"),EXACT(Metadata!P810,"water")))</f>
        <v>0</v>
      </c>
      <c r="BD810" t="b">
        <f>IF(Metadata!Q810="",FALSE,TRUE)</f>
        <v>0</v>
      </c>
      <c r="BE810" t="b">
        <f>IF(Metadata!R810="",FALSE,TRUE)</f>
        <v>0</v>
      </c>
      <c r="BF810" t="b">
        <f>OR(AND(IF(Metadata!S810="",FALSE,TRUE),OR(EXACT(Metadata!S810,"not collected"),EXACT(Metadata!S810,"not provided"),EXACT(Metadata!S810,"restricted access"))),AND(IF(Metadata!S810="",FALSE,ISNUMBER(VALUE(Metadata!S810))),Metadata!S810&gt;=-90,Metadata!S810&lt;=90))</f>
        <v>0</v>
      </c>
      <c r="BG810" t="b">
        <f>AND(IF(Metadata!T810="",FALSE,TRUE),EXACT(Metadata!T810,"Decimal degrees"))</f>
        <v>0</v>
      </c>
      <c r="BH810" t="b">
        <f>OR(AND(IF(Metadata!U810="",FALSE,TRUE),OR(EXACT(Metadata!U810,"not applicable"),EXACT(Metadata!U810,"not collected"))),IF(Metadata!U810="",FALSE,TRUE))</f>
        <v>0</v>
      </c>
      <c r="BI810" t="b">
        <f>OR(AND(IF(Metadata!V810="",FALSE,TRUE),OR(EXACT(Metadata!V810,"not collected"),EXACT(Metadata!V810,"not provided"),EXACT(Metadata!V810,"restricted access"))),AND(IF(Metadata!V810="",FALSE,ISNUMBER(VALUE(Metadata!V810))),Metadata!V810&gt;=-180,Metadata!V810&lt;=180))</f>
        <v>0</v>
      </c>
      <c r="BJ810" t="b">
        <f>AND(IF(Metadata!W810="",FALSE,TRUE),EXACT(Metadata!W810,"Decimal degrees"))</f>
        <v>0</v>
      </c>
      <c r="BK810" t="b">
        <f>IF(Metadata!X810="",FALSE,TRUE)</f>
        <v>0</v>
      </c>
      <c r="BL810" t="b">
        <f>OR(AND(IF(Metadata!Y810="",FALSE,TRUE),OR(EXACT(Metadata!Y810,"not collected"),EXACT(Metadata!Y810,"not provided"),EXACT(Metadata!Y810,"restricted access"))),AND(IF(Metadata!Y810="",FALSE,TRUE),OR(EXACT(Metadata!Y810,"TRUE"),EXACT(Metadata!Y810,"FALSE"))))</f>
        <v>0</v>
      </c>
      <c r="BM810" t="b">
        <f>OR(AND(IF(Metadata!Z810="",FALSE,TRUE),EXACT(Metadata!Z810,"not applicable")),AND(IF(Metadata!Z810="",FALSE,TRUE),OR(EXACT(Metadata!Z810,"beer"),EXACT(Metadata!Z810,"cheese"),EXACT(Metadata!Z810,"fresh water"),EXACT(Metadata!Z810,"marine sediment"),EXACT(Metadata!Z810,"sea water"),EXACT(Metadata!Z810,"sediment"),EXACT(Metadata!Z810,"soil"),EXACT(Metadata!Z810,"waste water"))))</f>
        <v>0</v>
      </c>
      <c r="BN810" t="b">
        <f>AND(IF(Metadata!AA810="",FALSE,TRUE),EXACT(Metadata!AA810,"metagenome"))</f>
        <v>0</v>
      </c>
      <c r="BO810" t="b">
        <f>AND(IF(Metadata!AB810="",FALSE,TRUE),EXACT(Metadata!AB810,"256318"))</f>
        <v>0</v>
      </c>
      <c r="BP810" t="b">
        <f>IF(Metadata!AC810="",FALSE,TRUE)</f>
        <v>0</v>
      </c>
      <c r="BQ810" t="b">
        <f>IF(Metadata!AD810="",FALSE,TRUE)</f>
        <v>0</v>
      </c>
    </row>
    <row r="811" spans="1:69" x14ac:dyDescent="0.2">
      <c r="A811" s="4" t="e">
        <f ca="1">IF(B811=" "," ",HYPERLINK(CONCATENATE("#metadata!",ADDRESS(INDEX($AJ$2:$AJ$1001,MATCH(ROWS($AH$2:AH811),$AH$2:$AH$1001,0),0),2)),INDEX($AM$2:$AM$1001,MATCH(ROWS($AH$2:AH811),$AH$2:$AH$1001,0),0)))</f>
        <v>#N/A</v>
      </c>
      <c r="B811" s="5" t="e">
        <f ca="1">IF(OR(INDEX($AI$2:$AI$1001,MATCH(ROWS($AH$2:AH811),$AH$2:$AH$1001,0),1)&gt;=100000,INDEX($AO$1005:$BQ$1005,1,MATCH(COLUMNS($AO$1006:AO1006),$AO$1006:$BQ$1006,0))&gt;=100000), " ",IF(INDEX($AO$2:$BQ$1001,MATCH(ROWS($AH$2:AH811),$AH$2:$AH$1001,0),MATCH(COLUMNS($AO$1006:AO1006),$AO$1006:$BQ$1006,0)), HYPERLINK("#",""), HYPERLINK(CONCATENATE("#Metadata!", ADDRESS(INDEX($AJ$2:$AJ$1001,MATCH(ROWS($AH$2:AH811),$AH$2:$AH$1001,0),0), INDEX($AO$1004:$BQ$1004,1,MATCH(COLUMNS($AO$1006:AO1006),$AO$1006:$BQ$1006,0)))),"Fix")))</f>
        <v>#N/A</v>
      </c>
      <c r="C811" s="5" t="e">
        <f ca="1">IF(OR(INDEX($AI$2:$AI$1001,MATCH(ROWS($AH$2:AH811),$AH$2:$AH$1001,0),1)&gt;=100000,INDEX($AO$1005:$BQ$1005,1,MATCH(COLUMNS($AO$1006:AP1006),$AO$1006:$BQ$1006,0))&gt;=100000), " ",IF(INDEX($AO$2:$BQ$1001,MATCH(ROWS($AH$2:AH811),$AH$2:$AH$1001,0),MATCH(COLUMNS($AO$1006:AP1006),$AO$1006:$BQ$1006,0)), HYPERLINK("#",""), HYPERLINK(CONCATENATE("#Metadata!", ADDRESS(INDEX($AJ$2:$AJ$1001,MATCH(ROWS($AH$2:AH811),$AH$2:$AH$1001,0),0), INDEX($AO$1004:$BQ$1004,1,MATCH(COLUMNS($AO$1006:AP1006),$AO$1006:$BQ$1006,0)))),"Fix")))</f>
        <v>#N/A</v>
      </c>
      <c r="D811" s="5" t="e">
        <f ca="1">IF(OR(INDEX($AI$2:$AI$1001,MATCH(ROWS($AH$2:AH811),$AH$2:$AH$1001,0),1)&gt;=100000,INDEX($AO$1005:$BQ$1005,1,MATCH(COLUMNS($AO$1006:AQ1006),$AO$1006:$BQ$1006,0))&gt;=100000), " ",IF(INDEX($AO$2:$BQ$1001,MATCH(ROWS($AH$2:AH811),$AH$2:$AH$1001,0),MATCH(COLUMNS($AO$1006:AQ1006),$AO$1006:$BQ$1006,0)), HYPERLINK("#",""), HYPERLINK(CONCATENATE("#Metadata!", ADDRESS(INDEX($AJ$2:$AJ$1001,MATCH(ROWS($AH$2:AH811),$AH$2:$AH$1001,0),0), INDEX($AO$1004:$BQ$1004,1,MATCH(COLUMNS($AO$1006:AQ1006),$AO$1006:$BQ$1006,0)))),"Fix")))</f>
        <v>#N/A</v>
      </c>
      <c r="E811" s="5" t="e">
        <f ca="1">IF(OR(INDEX($AI$2:$AI$1001,MATCH(ROWS($AH$2:AH811),$AH$2:$AH$1001,0),1)&gt;=100000,INDEX($AO$1005:$BQ$1005,1,MATCH(COLUMNS($AO$1006:AR1006),$AO$1006:$BQ$1006,0))&gt;=100000), " ",IF(INDEX($AO$2:$BQ$1001,MATCH(ROWS($AH$2:AH811),$AH$2:$AH$1001,0),MATCH(COLUMNS($AO$1006:AR1006),$AO$1006:$BQ$1006,0)), HYPERLINK("#",""), HYPERLINK(CONCATENATE("#Metadata!", ADDRESS(INDEX($AJ$2:$AJ$1001,MATCH(ROWS($AH$2:AH811),$AH$2:$AH$1001,0),0), INDEX($AO$1004:$BQ$1004,1,MATCH(COLUMNS($AO$1006:AR1006),$AO$1006:$BQ$1006,0)))),"Fix")))</f>
        <v>#N/A</v>
      </c>
      <c r="F811" s="5" t="e">
        <f ca="1">IF(OR(INDEX($AI$2:$AI$1001,MATCH(ROWS($AH$2:AH811),$AH$2:$AH$1001,0),1)&gt;=100000,INDEX($AO$1005:$BQ$1005,1,MATCH(COLUMNS($AO$1006:AS1006),$AO$1006:$BQ$1006,0))&gt;=100000), " ",IF(INDEX($AO$2:$BQ$1001,MATCH(ROWS($AH$2:AH811),$AH$2:$AH$1001,0),MATCH(COLUMNS($AO$1006:AS1006),$AO$1006:$BQ$1006,0)), HYPERLINK("#",""), HYPERLINK(CONCATENATE("#Metadata!", ADDRESS(INDEX($AJ$2:$AJ$1001,MATCH(ROWS($AH$2:AH811),$AH$2:$AH$1001,0),0), INDEX($AO$1004:$BQ$1004,1,MATCH(COLUMNS($AO$1006:AS1006),$AO$1006:$BQ$1006,0)))),"Fix")))</f>
        <v>#N/A</v>
      </c>
      <c r="G811" s="5" t="e">
        <f ca="1">IF(OR(INDEX($AI$2:$AI$1001,MATCH(ROWS($AH$2:AH811),$AH$2:$AH$1001,0),1)&gt;=100000,INDEX($AO$1005:$BQ$1005,1,MATCH(COLUMNS($AO$1006:AT1006),$AO$1006:$BQ$1006,0))&gt;=100000), " ",IF(INDEX($AO$2:$BQ$1001,MATCH(ROWS($AH$2:AH811),$AH$2:$AH$1001,0),MATCH(COLUMNS($AO$1006:AT1006),$AO$1006:$BQ$1006,0)), HYPERLINK("#",""), HYPERLINK(CONCATENATE("#Metadata!", ADDRESS(INDEX($AJ$2:$AJ$1001,MATCH(ROWS($AH$2:AH811),$AH$2:$AH$1001,0),0), INDEX($AO$1004:$BQ$1004,1,MATCH(COLUMNS($AO$1006:AT1006),$AO$1006:$BQ$1006,0)))),"Fix")))</f>
        <v>#N/A</v>
      </c>
      <c r="H811" s="5" t="e">
        <f ca="1">IF(OR(INDEX($AI$2:$AI$1001,MATCH(ROWS($AH$2:AH811),$AH$2:$AH$1001,0),1)&gt;=100000,INDEX($AO$1005:$BQ$1005,1,MATCH(COLUMNS($AO$1006:AU1006),$AO$1006:$BQ$1006,0))&gt;=100000), " ",IF(INDEX($AO$2:$BQ$1001,MATCH(ROWS($AH$2:AH811),$AH$2:$AH$1001,0),MATCH(COLUMNS($AO$1006:AU1006),$AO$1006:$BQ$1006,0)), HYPERLINK("#",""), HYPERLINK(CONCATENATE("#Metadata!", ADDRESS(INDEX($AJ$2:$AJ$1001,MATCH(ROWS($AH$2:AH811),$AH$2:$AH$1001,0),0), INDEX($AO$1004:$BQ$1004,1,MATCH(COLUMNS($AO$1006:AU1006),$AO$1006:$BQ$1006,0)))),"Fix")))</f>
        <v>#N/A</v>
      </c>
      <c r="I811" s="5" t="e">
        <f ca="1">IF(OR(INDEX($AI$2:$AI$1001,MATCH(ROWS($AH$2:AH811),$AH$2:$AH$1001,0),1)&gt;=100000,INDEX($AO$1005:$BQ$1005,1,MATCH(COLUMNS($AO$1006:AV1006),$AO$1006:$BQ$1006,0))&gt;=100000), " ",IF(INDEX($AO$2:$BQ$1001,MATCH(ROWS($AH$2:AH811),$AH$2:$AH$1001,0),MATCH(COLUMNS($AO$1006:AV1006),$AO$1006:$BQ$1006,0)), HYPERLINK("#",""), HYPERLINK(CONCATENATE("#Metadata!", ADDRESS(INDEX($AJ$2:$AJ$1001,MATCH(ROWS($AH$2:AH811),$AH$2:$AH$1001,0),0), INDEX($AO$1004:$BQ$1004,1,MATCH(COLUMNS($AO$1006:AV1006),$AO$1006:$BQ$1006,0)))),"Fix")))</f>
        <v>#N/A</v>
      </c>
      <c r="J811" s="5" t="e">
        <f ca="1">IF(OR(INDEX($AI$2:$AI$1001,MATCH(ROWS($AH$2:AH811),$AH$2:$AH$1001,0),1)&gt;=100000,INDEX($AO$1005:$BQ$1005,1,MATCH(COLUMNS($AO$1006:AW1006),$AO$1006:$BQ$1006,0))&gt;=100000), " ",IF(INDEX($AO$2:$BQ$1001,MATCH(ROWS($AH$2:AH811),$AH$2:$AH$1001,0),MATCH(COLUMNS($AO$1006:AW1006),$AO$1006:$BQ$1006,0)), HYPERLINK("#",""), HYPERLINK(CONCATENATE("#Metadata!", ADDRESS(INDEX($AJ$2:$AJ$1001,MATCH(ROWS($AH$2:AH811),$AH$2:$AH$1001,0),0), INDEX($AO$1004:$BQ$1004,1,MATCH(COLUMNS($AO$1006:AW1006),$AO$1006:$BQ$1006,0)))),"Fix")))</f>
        <v>#N/A</v>
      </c>
      <c r="K811" s="5" t="e">
        <f ca="1">IF(OR(INDEX($AI$2:$AI$1001,MATCH(ROWS($AH$2:AH811),$AH$2:$AH$1001,0),1)&gt;=100000,INDEX($AO$1005:$BQ$1005,1,MATCH(COLUMNS($AO$1006:AX1006),$AO$1006:$BQ$1006,0))&gt;=100000), " ",IF(INDEX($AO$2:$BQ$1001,MATCH(ROWS($AH$2:AH811),$AH$2:$AH$1001,0),MATCH(COLUMNS($AO$1006:AX1006),$AO$1006:$BQ$1006,0)), HYPERLINK("#",""), HYPERLINK(CONCATENATE("#Metadata!", ADDRESS(INDEX($AJ$2:$AJ$1001,MATCH(ROWS($AH$2:AH811),$AH$2:$AH$1001,0),0), INDEX($AO$1004:$BQ$1004,1,MATCH(COLUMNS($AO$1006:AX1006),$AO$1006:$BQ$1006,0)))),"Fix")))</f>
        <v>#N/A</v>
      </c>
      <c r="L811" s="5" t="e">
        <f ca="1">IF(OR(INDEX($AI$2:$AI$1001,MATCH(ROWS($AH$2:AH811),$AH$2:$AH$1001,0),1)&gt;=100000,INDEX($AO$1005:$BQ$1005,1,MATCH(COLUMNS($AO$1006:AY1006),$AO$1006:$BQ$1006,0))&gt;=100000), " ",IF(INDEX($AO$2:$BQ$1001,MATCH(ROWS($AH$2:AH811),$AH$2:$AH$1001,0),MATCH(COLUMNS($AO$1006:AY1006),$AO$1006:$BQ$1006,0)), HYPERLINK("#",""), HYPERLINK(CONCATENATE("#Metadata!", ADDRESS(INDEX($AJ$2:$AJ$1001,MATCH(ROWS($AH$2:AH811),$AH$2:$AH$1001,0),0), INDEX($AO$1004:$BQ$1004,1,MATCH(COLUMNS($AO$1006:AY1006),$AO$1006:$BQ$1006,0)))),"Fix")))</f>
        <v>#N/A</v>
      </c>
      <c r="M811" s="5" t="e">
        <f ca="1">IF(OR(INDEX($AI$2:$AI$1001,MATCH(ROWS($AH$2:AH811),$AH$2:$AH$1001,0),1)&gt;=100000,INDEX($AO$1005:$BQ$1005,1,MATCH(COLUMNS($AO$1006:AZ1006),$AO$1006:$BQ$1006,0))&gt;=100000), " ",IF(INDEX($AO$2:$BQ$1001,MATCH(ROWS($AH$2:AH811),$AH$2:$AH$1001,0),MATCH(COLUMNS($AO$1006:AZ1006),$AO$1006:$BQ$1006,0)), HYPERLINK("#",""), HYPERLINK(CONCATENATE("#Metadata!", ADDRESS(INDEX($AJ$2:$AJ$1001,MATCH(ROWS($AH$2:AH811),$AH$2:$AH$1001,0),0), INDEX($AO$1004:$BQ$1004,1,MATCH(COLUMNS($AO$1006:AZ1006),$AO$1006:$BQ$1006,0)))),"Fix")))</f>
        <v>#N/A</v>
      </c>
      <c r="N811" s="5" t="e">
        <f ca="1">IF(OR(INDEX($AI$2:$AI$1001,MATCH(ROWS($AH$2:AH811),$AH$2:$AH$1001,0),1)&gt;=100000,INDEX($AO$1005:$BQ$1005,1,MATCH(COLUMNS($AO$1006:BA1006),$AO$1006:$BQ$1006,0))&gt;=100000), " ",IF(INDEX($AO$2:$BQ$1001,MATCH(ROWS($AH$2:AH811),$AH$2:$AH$1001,0),MATCH(COLUMNS($AO$1006:BA1006),$AO$1006:$BQ$1006,0)), HYPERLINK("#",""), HYPERLINK(CONCATENATE("#Metadata!", ADDRESS(INDEX($AJ$2:$AJ$1001,MATCH(ROWS($AH$2:AH811),$AH$2:$AH$1001,0),0), INDEX($AO$1004:$BQ$1004,1,MATCH(COLUMNS($AO$1006:BA1006),$AO$1006:$BQ$1006,0)))),"Fix")))</f>
        <v>#N/A</v>
      </c>
      <c r="O811" s="5" t="e">
        <f ca="1">IF(OR(INDEX($AI$2:$AI$1001,MATCH(ROWS($AH$2:AH811),$AH$2:$AH$1001,0),1)&gt;=100000,INDEX($AO$1005:$BQ$1005,1,MATCH(COLUMNS($AO$1006:BB1006),$AO$1006:$BQ$1006,0))&gt;=100000), " ",IF(INDEX($AO$2:$BQ$1001,MATCH(ROWS($AH$2:AH811),$AH$2:$AH$1001,0),MATCH(COLUMNS($AO$1006:BB1006),$AO$1006:$BQ$1006,0)), HYPERLINK("#",""), HYPERLINK(CONCATENATE("#Metadata!", ADDRESS(INDEX($AJ$2:$AJ$1001,MATCH(ROWS($AH$2:AH811),$AH$2:$AH$1001,0),0), INDEX($AO$1004:$BQ$1004,1,MATCH(COLUMNS($AO$1006:BB1006),$AO$1006:$BQ$1006,0)))),"Fix")))</f>
        <v>#N/A</v>
      </c>
      <c r="P811" s="5" t="e">
        <f ca="1">IF(OR(INDEX($AI$2:$AI$1001,MATCH(ROWS($AH$2:AH811),$AH$2:$AH$1001,0),1)&gt;=100000,INDEX($AO$1005:$BQ$1005,1,MATCH(COLUMNS($AO$1006:BC1006),$AO$1006:$BQ$1006,0))&gt;=100000), " ",IF(INDEX($AO$2:$BQ$1001,MATCH(ROWS($AH$2:AH811),$AH$2:$AH$1001,0),MATCH(COLUMNS($AO$1006:BC1006),$AO$1006:$BQ$1006,0)), HYPERLINK("#",""), HYPERLINK(CONCATENATE("#Metadata!", ADDRESS(INDEX($AJ$2:$AJ$1001,MATCH(ROWS($AH$2:AH811),$AH$2:$AH$1001,0),0), INDEX($AO$1004:$BQ$1004,1,MATCH(COLUMNS($AO$1006:BC1006),$AO$1006:$BQ$1006,0)))),"Fix")))</f>
        <v>#N/A</v>
      </c>
      <c r="Q811" s="5" t="e">
        <f ca="1">IF(OR(INDEX($AI$2:$AI$1001,MATCH(ROWS($AH$2:AH811),$AH$2:$AH$1001,0),1)&gt;=100000,INDEX($AO$1005:$BQ$1005,1,MATCH(COLUMNS($AO$1006:BD1006),$AO$1006:$BQ$1006,0))&gt;=100000), " ",IF(INDEX($AO$2:$BQ$1001,MATCH(ROWS($AH$2:AH811),$AH$2:$AH$1001,0),MATCH(COLUMNS($AO$1006:BD1006),$AO$1006:$BQ$1006,0)), HYPERLINK("#",""), HYPERLINK(CONCATENATE("#Metadata!", ADDRESS(INDEX($AJ$2:$AJ$1001,MATCH(ROWS($AH$2:AH811),$AH$2:$AH$1001,0),0), INDEX($AO$1004:$BQ$1004,1,MATCH(COLUMNS($AO$1006:BD1006),$AO$1006:$BQ$1006,0)))),"Fix")))</f>
        <v>#N/A</v>
      </c>
      <c r="R811" s="5" t="e">
        <f ca="1">IF(OR(INDEX($AI$2:$AI$1001,MATCH(ROWS($AH$2:AH811),$AH$2:$AH$1001,0),1)&gt;=100000,INDEX($AO$1005:$BQ$1005,1,MATCH(COLUMNS($AO$1006:BE1006),$AO$1006:$BQ$1006,0))&gt;=100000), " ",IF(INDEX($AO$2:$BQ$1001,MATCH(ROWS($AH$2:AH811),$AH$2:$AH$1001,0),MATCH(COLUMNS($AO$1006:BE1006),$AO$1006:$BQ$1006,0)), HYPERLINK("#",""), HYPERLINK(CONCATENATE("#Metadata!", ADDRESS(INDEX($AJ$2:$AJ$1001,MATCH(ROWS($AH$2:AH811),$AH$2:$AH$1001,0),0), INDEX($AO$1004:$BQ$1004,1,MATCH(COLUMNS($AO$1006:BE1006),$AO$1006:$BQ$1006,0)))),"Fix")))</f>
        <v>#N/A</v>
      </c>
      <c r="S811" s="5" t="e">
        <f ca="1">IF(OR(INDEX($AI$2:$AI$1001,MATCH(ROWS($AH$2:AH811),$AH$2:$AH$1001,0),1)&gt;=100000,INDEX($AO$1005:$BQ$1005,1,MATCH(COLUMNS($AO$1006:BF1006),$AO$1006:$BQ$1006,0))&gt;=100000), " ",IF(INDEX($AO$2:$BQ$1001,MATCH(ROWS($AH$2:AH811),$AH$2:$AH$1001,0),MATCH(COLUMNS($AO$1006:BF1006),$AO$1006:$BQ$1006,0)), HYPERLINK("#",""), HYPERLINK(CONCATENATE("#Metadata!", ADDRESS(INDEX($AJ$2:$AJ$1001,MATCH(ROWS($AH$2:AH811),$AH$2:$AH$1001,0),0), INDEX($AO$1004:$BQ$1004,1,MATCH(COLUMNS($AO$1006:BF1006),$AO$1006:$BQ$1006,0)))),"Fix")))</f>
        <v>#N/A</v>
      </c>
      <c r="T811" s="5" t="e">
        <f ca="1">IF(OR(INDEX($AI$2:$AI$1001,MATCH(ROWS($AH$2:AH811),$AH$2:$AH$1001,0),1)&gt;=100000,INDEX($AO$1005:$BQ$1005,1,MATCH(COLUMNS($AO$1006:BG1006),$AO$1006:$BQ$1006,0))&gt;=100000), " ",IF(INDEX($AO$2:$BQ$1001,MATCH(ROWS($AH$2:AH811),$AH$2:$AH$1001,0),MATCH(COLUMNS($AO$1006:BG1006),$AO$1006:$BQ$1006,0)), HYPERLINK("#",""), HYPERLINK(CONCATENATE("#Metadata!", ADDRESS(INDEX($AJ$2:$AJ$1001,MATCH(ROWS($AH$2:AH811),$AH$2:$AH$1001,0),0), INDEX($AO$1004:$BQ$1004,1,MATCH(COLUMNS($AO$1006:BG1006),$AO$1006:$BQ$1006,0)))),"Fix")))</f>
        <v>#N/A</v>
      </c>
      <c r="U811" s="5" t="e">
        <f ca="1">IF(OR(INDEX($AI$2:$AI$1001,MATCH(ROWS($AH$2:AH811),$AH$2:$AH$1001,0),1)&gt;=100000,INDEX($AO$1005:$BQ$1005,1,MATCH(COLUMNS($AO$1006:BH1006),$AO$1006:$BQ$1006,0))&gt;=100000), " ",IF(INDEX($AO$2:$BQ$1001,MATCH(ROWS($AH$2:AH811),$AH$2:$AH$1001,0),MATCH(COLUMNS($AO$1006:BH1006),$AO$1006:$BQ$1006,0)), HYPERLINK("#",""), HYPERLINK(CONCATENATE("#Metadata!", ADDRESS(INDEX($AJ$2:$AJ$1001,MATCH(ROWS($AH$2:AH811),$AH$2:$AH$1001,0),0), INDEX($AO$1004:$BQ$1004,1,MATCH(COLUMNS($AO$1006:BH1006),$AO$1006:$BQ$1006,0)))),"Fix")))</f>
        <v>#N/A</v>
      </c>
      <c r="V811" s="5" t="e">
        <f ca="1">IF(OR(INDEX($AI$2:$AI$1001,MATCH(ROWS($AH$2:AH811),$AH$2:$AH$1001,0),1)&gt;=100000,INDEX($AO$1005:$BQ$1005,1,MATCH(COLUMNS($AO$1006:BI1006),$AO$1006:$BQ$1006,0))&gt;=100000), " ",IF(INDEX($AO$2:$BQ$1001,MATCH(ROWS($AH$2:AH811),$AH$2:$AH$1001,0),MATCH(COLUMNS($AO$1006:BI1006),$AO$1006:$BQ$1006,0)), HYPERLINK("#",""), HYPERLINK(CONCATENATE("#Metadata!", ADDRESS(INDEX($AJ$2:$AJ$1001,MATCH(ROWS($AH$2:AH811),$AH$2:$AH$1001,0),0), INDEX($AO$1004:$BQ$1004,1,MATCH(COLUMNS($AO$1006:BI1006),$AO$1006:$BQ$1006,0)))),"Fix")))</f>
        <v>#N/A</v>
      </c>
      <c r="W811" s="5" t="e">
        <f ca="1">IF(OR(INDEX($AI$2:$AI$1001,MATCH(ROWS($AH$2:AH811),$AH$2:$AH$1001,0),1)&gt;=100000,INDEX($AO$1005:$BQ$1005,1,MATCH(COLUMNS($AO$1006:BJ1006),$AO$1006:$BQ$1006,0))&gt;=100000), " ",IF(INDEX($AO$2:$BQ$1001,MATCH(ROWS($AH$2:AH811),$AH$2:$AH$1001,0),MATCH(COLUMNS($AO$1006:BJ1006),$AO$1006:$BQ$1006,0)), HYPERLINK("#",""), HYPERLINK(CONCATENATE("#Metadata!", ADDRESS(INDEX($AJ$2:$AJ$1001,MATCH(ROWS($AH$2:AH811),$AH$2:$AH$1001,0),0), INDEX($AO$1004:$BQ$1004,1,MATCH(COLUMNS($AO$1006:BJ1006),$AO$1006:$BQ$1006,0)))),"Fix")))</f>
        <v>#N/A</v>
      </c>
      <c r="X811" s="5" t="e">
        <f ca="1">IF(OR(INDEX($AI$2:$AI$1001,MATCH(ROWS($AH$2:AH811),$AH$2:$AH$1001,0),1)&gt;=100000,INDEX($AO$1005:$BQ$1005,1,MATCH(COLUMNS($AO$1006:BK1006),$AO$1006:$BQ$1006,0))&gt;=100000), " ",IF(INDEX($AO$2:$BQ$1001,MATCH(ROWS($AH$2:AH811),$AH$2:$AH$1001,0),MATCH(COLUMNS($AO$1006:BK1006),$AO$1006:$BQ$1006,0)), HYPERLINK("#",""), HYPERLINK(CONCATENATE("#Metadata!", ADDRESS(INDEX($AJ$2:$AJ$1001,MATCH(ROWS($AH$2:AH811),$AH$2:$AH$1001,0),0), INDEX($AO$1004:$BQ$1004,1,MATCH(COLUMNS($AO$1006:BK1006),$AO$1006:$BQ$1006,0)))),"Fix")))</f>
        <v>#N/A</v>
      </c>
      <c r="Y811" s="5" t="e">
        <f ca="1">IF(OR(INDEX($AI$2:$AI$1001,MATCH(ROWS($AH$2:AH811),$AH$2:$AH$1001,0),1)&gt;=100000,INDEX($AO$1005:$BQ$1005,1,MATCH(COLUMNS($AO$1006:BL1006),$AO$1006:$BQ$1006,0))&gt;=100000), " ",IF(INDEX($AO$2:$BQ$1001,MATCH(ROWS($AH$2:AH811),$AH$2:$AH$1001,0),MATCH(COLUMNS($AO$1006:BL1006),$AO$1006:$BQ$1006,0)), HYPERLINK("#",""), HYPERLINK(CONCATENATE("#Metadata!", ADDRESS(INDEX($AJ$2:$AJ$1001,MATCH(ROWS($AH$2:AH811),$AH$2:$AH$1001,0),0), INDEX($AO$1004:$BQ$1004,1,MATCH(COLUMNS($AO$1006:BL1006),$AO$1006:$BQ$1006,0)))),"Fix")))</f>
        <v>#N/A</v>
      </c>
      <c r="Z811" s="5" t="e">
        <f ca="1">IF(OR(INDEX($AI$2:$AI$1001,MATCH(ROWS($AH$2:AH811),$AH$2:$AH$1001,0),1)&gt;=100000,INDEX($AO$1005:$BQ$1005,1,MATCH(COLUMNS($AO$1006:BM1006),$AO$1006:$BQ$1006,0))&gt;=100000), " ",IF(INDEX($AO$2:$BQ$1001,MATCH(ROWS($AH$2:AH811),$AH$2:$AH$1001,0),MATCH(COLUMNS($AO$1006:BM1006),$AO$1006:$BQ$1006,0)), HYPERLINK("#",""), HYPERLINK(CONCATENATE("#Metadata!", ADDRESS(INDEX($AJ$2:$AJ$1001,MATCH(ROWS($AH$2:AH811),$AH$2:$AH$1001,0),0), INDEX($AO$1004:$BQ$1004,1,MATCH(COLUMNS($AO$1006:BM1006),$AO$1006:$BQ$1006,0)))),"Fix")))</f>
        <v>#N/A</v>
      </c>
      <c r="AA811" s="5" t="e">
        <f ca="1">IF(OR(INDEX($AI$2:$AI$1001,MATCH(ROWS($AH$2:AH811),$AH$2:$AH$1001,0),1)&gt;=100000,INDEX($AO$1005:$BQ$1005,1,MATCH(COLUMNS($AO$1006:BN1006),$AO$1006:$BQ$1006,0))&gt;=100000), " ",IF(INDEX($AO$2:$BQ$1001,MATCH(ROWS($AH$2:AH811),$AH$2:$AH$1001,0),MATCH(COLUMNS($AO$1006:BN1006),$AO$1006:$BQ$1006,0)), HYPERLINK("#",""), HYPERLINK(CONCATENATE("#Metadata!", ADDRESS(INDEX($AJ$2:$AJ$1001,MATCH(ROWS($AH$2:AH811),$AH$2:$AH$1001,0),0), INDEX($AO$1004:$BQ$1004,1,MATCH(COLUMNS($AO$1006:BN1006),$AO$1006:$BQ$1006,0)))),"Fix")))</f>
        <v>#N/A</v>
      </c>
      <c r="AB811" s="5" t="e">
        <f ca="1">IF(OR(INDEX($AI$2:$AI$1001,MATCH(ROWS($AH$2:AH811),$AH$2:$AH$1001,0),1)&gt;=100000,INDEX($AO$1005:$BQ$1005,1,MATCH(COLUMNS($AO$1006:BO1006),$AO$1006:$BQ$1006,0))&gt;=100000), " ",IF(INDEX($AO$2:$BQ$1001,MATCH(ROWS($AH$2:AH811),$AH$2:$AH$1001,0),MATCH(COLUMNS($AO$1006:BO1006),$AO$1006:$BQ$1006,0)), HYPERLINK("#",""), HYPERLINK(CONCATENATE("#Metadata!", ADDRESS(INDEX($AJ$2:$AJ$1001,MATCH(ROWS($AH$2:AH811),$AH$2:$AH$1001,0),0), INDEX($AO$1004:$BQ$1004,1,MATCH(COLUMNS($AO$1006:BO1006),$AO$1006:$BQ$1006,0)))),"Fix")))</f>
        <v>#N/A</v>
      </c>
      <c r="AC811" s="5" t="e">
        <f ca="1">IF(OR(INDEX($AI$2:$AI$1001,MATCH(ROWS($AH$2:AH811),$AH$2:$AH$1001,0),1)&gt;=100000,INDEX($AO$1005:$BQ$1005,1,MATCH(COLUMNS($AO$1006:BP1006),$AO$1006:$BQ$1006,0))&gt;=100000), " ",IF(INDEX($AO$2:$BQ$1001,MATCH(ROWS($AH$2:AH811),$AH$2:$AH$1001,0),MATCH(COLUMNS($AO$1006:BP1006),$AO$1006:$BQ$1006,0)), HYPERLINK("#",""), HYPERLINK(CONCATENATE("#Metadata!", ADDRESS(INDEX($AJ$2:$AJ$1001,MATCH(ROWS($AH$2:AH811),$AH$2:$AH$1001,0),0), INDEX($AO$1004:$BQ$1004,1,MATCH(COLUMNS($AO$1006:BP1006),$AO$1006:$BQ$1006,0)))),"Fix")))</f>
        <v>#N/A</v>
      </c>
      <c r="AD811" s="5" t="e">
        <f ca="1">IF(OR(INDEX($AI$2:$AI$1001,MATCH(ROWS($AH$2:AH811),$AH$2:$AH$1001,0),1)&gt;=100000,INDEX($AO$1005:$BQ$1005,1,MATCH(COLUMNS($AO$1006:BQ1006),$AO$1006:$BQ$1006,0))&gt;=100000), " ",IF(INDEX($AO$2:$BQ$1001,MATCH(ROWS($AH$2:AH811),$AH$2:$AH$1001,0),MATCH(COLUMNS($AO$1006:BQ1006),$AO$1006:$BQ$1006,0)), HYPERLINK("#",""), HYPERLINK(CONCATENATE("#Metadata!", ADDRESS(INDEX($AJ$2:$AJ$1001,MATCH(ROWS($AH$2:AH811),$AH$2:$AH$1001,0),0), INDEX($AO$1004:$BQ$1004,1,MATCH(COLUMNS($AO$1006:BQ1006),$AO$1006:$BQ$1006,0)))),"Fix")))</f>
        <v>#REF!</v>
      </c>
      <c r="AH811">
        <f ca="1"/>
        <v>808</v>
      </c>
      <c r="AI811">
        <v>100811</v>
      </c>
      <c r="AJ811">
        <v>811</v>
      </c>
      <c r="AK811" t="b">
        <f t="shared" si="12"/>
        <v>1</v>
      </c>
      <c r="AL811" t="b">
        <f>COUNTBLANK(Metadata!B811:AD811)=COLUMNS(Metadata!B811:AD811)</f>
        <v>1</v>
      </c>
      <c r="AM811" t="str">
        <v/>
      </c>
      <c r="AO811" t="b">
        <f ca="1">AND(IF(Metadata!B811="",FALSE,TRUE),COUNTIF(Metadata!B:B, Metadata!B811) = 1,NOT(ISERROR(SUMPRODUCT(SEARCH(MID(Metadata!B811,ROW(INDIRECT("1:"&amp;LEN(Metadata!B811))), 1),"0123456789abcdefghijklmnopqrstuvwxyzABCDEFGHIJKLMNOPQRSTUVWXYZ.")))))</f>
        <v>0</v>
      </c>
      <c r="AP811" t="b">
        <f>IF(Metadata!C811="",FALSE,TRUE)</f>
        <v>0</v>
      </c>
      <c r="AQ811" t="b">
        <f>IF(Metadata!D811="",FALSE,TRUE)</f>
        <v>0</v>
      </c>
      <c r="AR811" t="b">
        <f ca="1">OR(AND(IF(Metadata!E811="",FALSE,TRUE),OR(EXACT(Metadata!E811,"not collected"),EXACT(Metadata!E811,"not provided"),EXACT(Metadata!E811,"restricted access"))),AND(IF(Metadata!E811="",FALSE,TRUE),AND(AND(IFERROR(INT(LEFT(Metadata!E811,4))&gt;1900,FALSE),IFERROR(INT(LEFT(Metadata!E811,4))&lt;=YEAR(NOW()),FALSE)), OR(MID(Metadata!E811,5,1)="", AND(AND(MID(Metadata!E811,5,1)="-",IFERROR(INT(MID(Metadata!E811,6,1))&gt;=0,FALSE),IFERROR(INT(MID(Metadata!E811,6,1))&lt;=1,FALSE),NOT(MID(Metadata!E811,7,1)=""),IFERROR(INT(MID(Metadata!E811,6,2))&gt;=1,FALSE),IFERROR(INT(MID(Metadata!E811,6,2))&lt;=12,FALSE)), OR(MID(Metadata!E811,8,1)="", AND(AND(MID(Metadata!E811,8,1)="-",IFERROR(INT(MID(Metadata!E811,9,1))&gt;=0,FALSE),IFERROR(INT(MID(Metadata!E811,9,1))&lt;=3,FALSE),NOT(MID(Metadata!E811,10,1)=""),IFERROR(INT(MID(Metadata!E811,9,2))&gt;=1,FALSE),IFERROR(INT(MID(Metadata!E811,9,2))&lt;=31,FALSE)), OR(MID(Metadata!E811,11,1)="", AND(AND(MID(Metadata!E811,11,1)=" ",IFERROR(INT(MID(Metadata!E811,12,1))&gt;=0,FALSE),IFERROR(INT(MID(Metadata!E811,12,1))&lt;=2,FALSE),NOT(MID(Metadata!E811,13,1)=""),IFERROR(INT(MID(Metadata!E811,12,2))&gt;=0,FALSE),IFERROR(INT(MID(Metadata!E811,12,2))&lt;=23,FALSE)), OR(MID(Metadata!E811,14,1)="", AND(AND(MID(Metadata!E811,14,1)=":",IFERROR(INT(MID(Metadata!E811,15,1))&gt;=0,FALSE),IFERROR(INT(MID(Metadata!E811,15,1))&lt;=5,FALSE),NOT(MID(Metadata!E811,16,1)=""),IFERROR(INT(MID(Metadata!E811,15,2))&gt;=0,FALSE),IFERROR(INT(MID(Metadata!E811,15,2))&lt;=59,FALSE)), OR(MID(Metadata!E811,17,1)="", AND(AND(MID(Metadata!E811,17,1)=":",IFERROR(INT(MID(Metadata!E811,18,1))&gt;=0,FALSE),IFERROR(INT(MID(Metadata!E811,18,1))&lt;=5,FALSE),NOT(MID(Metadata!E811,19,1)=""),IFERROR(INT(MID(Metadata!E811,18,2))&gt;=0,FALSE),IFERROR(INT(MID(Metadata!E811,18,2))&lt;=59,FALSE)), LEN(Metadata!E811)&lt;=19)))))))))))))</f>
        <v>0</v>
      </c>
      <c r="AS811" t="b">
        <f>IF(Metadata!F811="",FALSE,TRUE)</f>
        <v>0</v>
      </c>
      <c r="AT811" t="b">
        <f>OR(AND(IF(Metadata!G811="",FALSE,TRUE),OR(EXACT(Metadata!G811,"not collected"),EXACT(Metadata!G811,"not provided"))),AND(IF(Metadata!G811="",FALSE,TRUE),OR(EXACT(Metadata!G811,"TRUE"),EXACT(Metadata!G811,"FALSE"))))</f>
        <v>0</v>
      </c>
      <c r="AU811" t="b">
        <f>OR(AND(IF(Metadata!H811="",FALSE,TRUE),OR(EXACT(Metadata!H811,"not collected"),EXACT(Metadata!H811,"not provided"),EXACT(Metadata!H811,"restricted access"))),AND(IF(Metadata!H811="",FALSE,ISNUMBER(VALUE(Metadata!H811))),Metadata!H811&gt;=-413))</f>
        <v>0</v>
      </c>
      <c r="AV811" t="b">
        <f>AND(IF(Metadata!I811="",FALSE,TRUE),EXACT(Metadata!I811,"meters"))</f>
        <v>0</v>
      </c>
      <c r="AW811" t="b">
        <f>AND(IF(Metadata!J811="",FALSE,TRUE),EXACT(Metadata!J811,"free-living"))</f>
        <v>0</v>
      </c>
      <c r="AX811" t="b">
        <f>AND(IF(Metadata!K811="",FALSE,TRUE),OR(EXACT(Metadata!K811,"saline"),EXACT(Metadata!K811,"non-saline")))</f>
        <v>0</v>
      </c>
      <c r="AY811" t="b">
        <f>AND(IF(Metadata!L811="",FALSE,TRUE),OR(EXACT(Metadata!L811,"sub-surface (non-saline)"),EXACT(Metadata!L811,"surface (non-saline)"),EXACT(Metadata!L811,"water (non-saline)"),EXACT(Metadata!L811,"soil (non-saline)"),EXACT(Metadata!L811,"aerosol (non-saline)"),EXACT(Metadata!L811,"sediment (non-saline)"),EXACT(Metadata!L811,"surface (saline)"),EXACT(Metadata!L811,"water (saline)"),EXACT(Metadata!L811,"hypersaline (saline)"),EXACT(Metadata!L811,"aerosol (saline)"),EXACT(Metadata!L811,"sediment (saline)")))</f>
        <v>0</v>
      </c>
      <c r="AZ811" t="b">
        <f>IF(Metadata!M811="",FALSE,TRUE)</f>
        <v>0</v>
      </c>
      <c r="BA811" t="b">
        <f>IF(Metadata!N811="",FALSE,TRUE)</f>
        <v>0</v>
      </c>
      <c r="BB811" t="b">
        <f>IF(Metadata!O811="",FALSE,TRUE)</f>
        <v>0</v>
      </c>
      <c r="BC811" t="b">
        <f>AND(IF(Metadata!P811="",FALSE,TRUE),OR(EXACT(Metadata!P811,"air"),EXACT(Metadata!P811,"microbial mat/biofilm"),EXACT(Metadata!P811,"misc environment"),EXACT(Metadata!P811,"sediment"),EXACT(Metadata!P811,"soil"),EXACT(Metadata!P811,"wastewater/sludge"),EXACT(Metadata!P811,"water")))</f>
        <v>0</v>
      </c>
      <c r="BD811" t="b">
        <f>IF(Metadata!Q811="",FALSE,TRUE)</f>
        <v>0</v>
      </c>
      <c r="BE811" t="b">
        <f>IF(Metadata!R811="",FALSE,TRUE)</f>
        <v>0</v>
      </c>
      <c r="BF811" t="b">
        <f>OR(AND(IF(Metadata!S811="",FALSE,TRUE),OR(EXACT(Metadata!S811,"not collected"),EXACT(Metadata!S811,"not provided"),EXACT(Metadata!S811,"restricted access"))),AND(IF(Metadata!S811="",FALSE,ISNUMBER(VALUE(Metadata!S811))),Metadata!S811&gt;=-90,Metadata!S811&lt;=90))</f>
        <v>0</v>
      </c>
      <c r="BG811" t="b">
        <f>AND(IF(Metadata!T811="",FALSE,TRUE),EXACT(Metadata!T811,"Decimal degrees"))</f>
        <v>0</v>
      </c>
      <c r="BH811" t="b">
        <f>OR(AND(IF(Metadata!U811="",FALSE,TRUE),OR(EXACT(Metadata!U811,"not applicable"),EXACT(Metadata!U811,"not collected"))),IF(Metadata!U811="",FALSE,TRUE))</f>
        <v>0</v>
      </c>
      <c r="BI811" t="b">
        <f>OR(AND(IF(Metadata!V811="",FALSE,TRUE),OR(EXACT(Metadata!V811,"not collected"),EXACT(Metadata!V811,"not provided"),EXACT(Metadata!V811,"restricted access"))),AND(IF(Metadata!V811="",FALSE,ISNUMBER(VALUE(Metadata!V811))),Metadata!V811&gt;=-180,Metadata!V811&lt;=180))</f>
        <v>0</v>
      </c>
      <c r="BJ811" t="b">
        <f>AND(IF(Metadata!W811="",FALSE,TRUE),EXACT(Metadata!W811,"Decimal degrees"))</f>
        <v>0</v>
      </c>
      <c r="BK811" t="b">
        <f>IF(Metadata!X811="",FALSE,TRUE)</f>
        <v>0</v>
      </c>
      <c r="BL811" t="b">
        <f>OR(AND(IF(Metadata!Y811="",FALSE,TRUE),OR(EXACT(Metadata!Y811,"not collected"),EXACT(Metadata!Y811,"not provided"),EXACT(Metadata!Y811,"restricted access"))),AND(IF(Metadata!Y811="",FALSE,TRUE),OR(EXACT(Metadata!Y811,"TRUE"),EXACT(Metadata!Y811,"FALSE"))))</f>
        <v>0</v>
      </c>
      <c r="BM811" t="b">
        <f>OR(AND(IF(Metadata!Z811="",FALSE,TRUE),EXACT(Metadata!Z811,"not applicable")),AND(IF(Metadata!Z811="",FALSE,TRUE),OR(EXACT(Metadata!Z811,"beer"),EXACT(Metadata!Z811,"cheese"),EXACT(Metadata!Z811,"fresh water"),EXACT(Metadata!Z811,"marine sediment"),EXACT(Metadata!Z811,"sea water"),EXACT(Metadata!Z811,"sediment"),EXACT(Metadata!Z811,"soil"),EXACT(Metadata!Z811,"waste water"))))</f>
        <v>0</v>
      </c>
      <c r="BN811" t="b">
        <f>AND(IF(Metadata!AA811="",FALSE,TRUE),EXACT(Metadata!AA811,"metagenome"))</f>
        <v>0</v>
      </c>
      <c r="BO811" t="b">
        <f>AND(IF(Metadata!AB811="",FALSE,TRUE),EXACT(Metadata!AB811,"256318"))</f>
        <v>0</v>
      </c>
      <c r="BP811" t="b">
        <f>IF(Metadata!AC811="",FALSE,TRUE)</f>
        <v>0</v>
      </c>
      <c r="BQ811" t="b">
        <f>IF(Metadata!AD811="",FALSE,TRUE)</f>
        <v>0</v>
      </c>
    </row>
    <row r="812" spans="1:69" x14ac:dyDescent="0.2">
      <c r="A812" s="4" t="e">
        <f ca="1">IF(B812=" "," ",HYPERLINK(CONCATENATE("#metadata!",ADDRESS(INDEX($AJ$2:$AJ$1001,MATCH(ROWS($AH$2:AH812),$AH$2:$AH$1001,0),0),2)),INDEX($AM$2:$AM$1001,MATCH(ROWS($AH$2:AH812),$AH$2:$AH$1001,0),0)))</f>
        <v>#N/A</v>
      </c>
      <c r="B812" s="5" t="e">
        <f ca="1">IF(OR(INDEX($AI$2:$AI$1001,MATCH(ROWS($AH$2:AH812),$AH$2:$AH$1001,0),1)&gt;=100000,INDEX($AO$1005:$BQ$1005,1,MATCH(COLUMNS($AO$1006:AO1006),$AO$1006:$BQ$1006,0))&gt;=100000), " ",IF(INDEX($AO$2:$BQ$1001,MATCH(ROWS($AH$2:AH812),$AH$2:$AH$1001,0),MATCH(COLUMNS($AO$1006:AO1006),$AO$1006:$BQ$1006,0)), HYPERLINK("#",""), HYPERLINK(CONCATENATE("#Metadata!", ADDRESS(INDEX($AJ$2:$AJ$1001,MATCH(ROWS($AH$2:AH812),$AH$2:$AH$1001,0),0), INDEX($AO$1004:$BQ$1004,1,MATCH(COLUMNS($AO$1006:AO1006),$AO$1006:$BQ$1006,0)))),"Fix")))</f>
        <v>#N/A</v>
      </c>
      <c r="C812" s="5" t="e">
        <f ca="1">IF(OR(INDEX($AI$2:$AI$1001,MATCH(ROWS($AH$2:AH812),$AH$2:$AH$1001,0),1)&gt;=100000,INDEX($AO$1005:$BQ$1005,1,MATCH(COLUMNS($AO$1006:AP1006),$AO$1006:$BQ$1006,0))&gt;=100000), " ",IF(INDEX($AO$2:$BQ$1001,MATCH(ROWS($AH$2:AH812),$AH$2:$AH$1001,0),MATCH(COLUMNS($AO$1006:AP1006),$AO$1006:$BQ$1006,0)), HYPERLINK("#",""), HYPERLINK(CONCATENATE("#Metadata!", ADDRESS(INDEX($AJ$2:$AJ$1001,MATCH(ROWS($AH$2:AH812),$AH$2:$AH$1001,0),0), INDEX($AO$1004:$BQ$1004,1,MATCH(COLUMNS($AO$1006:AP1006),$AO$1006:$BQ$1006,0)))),"Fix")))</f>
        <v>#N/A</v>
      </c>
      <c r="D812" s="5" t="e">
        <f ca="1">IF(OR(INDEX($AI$2:$AI$1001,MATCH(ROWS($AH$2:AH812),$AH$2:$AH$1001,0),1)&gt;=100000,INDEX($AO$1005:$BQ$1005,1,MATCH(COLUMNS($AO$1006:AQ1006),$AO$1006:$BQ$1006,0))&gt;=100000), " ",IF(INDEX($AO$2:$BQ$1001,MATCH(ROWS($AH$2:AH812),$AH$2:$AH$1001,0),MATCH(COLUMNS($AO$1006:AQ1006),$AO$1006:$BQ$1006,0)), HYPERLINK("#",""), HYPERLINK(CONCATENATE("#Metadata!", ADDRESS(INDEX($AJ$2:$AJ$1001,MATCH(ROWS($AH$2:AH812),$AH$2:$AH$1001,0),0), INDEX($AO$1004:$BQ$1004,1,MATCH(COLUMNS($AO$1006:AQ1006),$AO$1006:$BQ$1006,0)))),"Fix")))</f>
        <v>#N/A</v>
      </c>
      <c r="E812" s="5" t="e">
        <f ca="1">IF(OR(INDEX($AI$2:$AI$1001,MATCH(ROWS($AH$2:AH812),$AH$2:$AH$1001,0),1)&gt;=100000,INDEX($AO$1005:$BQ$1005,1,MATCH(COLUMNS($AO$1006:AR1006),$AO$1006:$BQ$1006,0))&gt;=100000), " ",IF(INDEX($AO$2:$BQ$1001,MATCH(ROWS($AH$2:AH812),$AH$2:$AH$1001,0),MATCH(COLUMNS($AO$1006:AR1006),$AO$1006:$BQ$1006,0)), HYPERLINK("#",""), HYPERLINK(CONCATENATE("#Metadata!", ADDRESS(INDEX($AJ$2:$AJ$1001,MATCH(ROWS($AH$2:AH812),$AH$2:$AH$1001,0),0), INDEX($AO$1004:$BQ$1004,1,MATCH(COLUMNS($AO$1006:AR1006),$AO$1006:$BQ$1006,0)))),"Fix")))</f>
        <v>#N/A</v>
      </c>
      <c r="F812" s="5" t="e">
        <f ca="1">IF(OR(INDEX($AI$2:$AI$1001,MATCH(ROWS($AH$2:AH812),$AH$2:$AH$1001,0),1)&gt;=100000,INDEX($AO$1005:$BQ$1005,1,MATCH(COLUMNS($AO$1006:AS1006),$AO$1006:$BQ$1006,0))&gt;=100000), " ",IF(INDEX($AO$2:$BQ$1001,MATCH(ROWS($AH$2:AH812),$AH$2:$AH$1001,0),MATCH(COLUMNS($AO$1006:AS1006),$AO$1006:$BQ$1006,0)), HYPERLINK("#",""), HYPERLINK(CONCATENATE("#Metadata!", ADDRESS(INDEX($AJ$2:$AJ$1001,MATCH(ROWS($AH$2:AH812),$AH$2:$AH$1001,0),0), INDEX($AO$1004:$BQ$1004,1,MATCH(COLUMNS($AO$1006:AS1006),$AO$1006:$BQ$1006,0)))),"Fix")))</f>
        <v>#N/A</v>
      </c>
      <c r="G812" s="5" t="e">
        <f ca="1">IF(OR(INDEX($AI$2:$AI$1001,MATCH(ROWS($AH$2:AH812),$AH$2:$AH$1001,0),1)&gt;=100000,INDEX($AO$1005:$BQ$1005,1,MATCH(COLUMNS($AO$1006:AT1006),$AO$1006:$BQ$1006,0))&gt;=100000), " ",IF(INDEX($AO$2:$BQ$1001,MATCH(ROWS($AH$2:AH812),$AH$2:$AH$1001,0),MATCH(COLUMNS($AO$1006:AT1006),$AO$1006:$BQ$1006,0)), HYPERLINK("#",""), HYPERLINK(CONCATENATE("#Metadata!", ADDRESS(INDEX($AJ$2:$AJ$1001,MATCH(ROWS($AH$2:AH812),$AH$2:$AH$1001,0),0), INDEX($AO$1004:$BQ$1004,1,MATCH(COLUMNS($AO$1006:AT1006),$AO$1006:$BQ$1006,0)))),"Fix")))</f>
        <v>#N/A</v>
      </c>
      <c r="H812" s="5" t="e">
        <f ca="1">IF(OR(INDEX($AI$2:$AI$1001,MATCH(ROWS($AH$2:AH812),$AH$2:$AH$1001,0),1)&gt;=100000,INDEX($AO$1005:$BQ$1005,1,MATCH(COLUMNS($AO$1006:AU1006),$AO$1006:$BQ$1006,0))&gt;=100000), " ",IF(INDEX($AO$2:$BQ$1001,MATCH(ROWS($AH$2:AH812),$AH$2:$AH$1001,0),MATCH(COLUMNS($AO$1006:AU1006),$AO$1006:$BQ$1006,0)), HYPERLINK("#",""), HYPERLINK(CONCATENATE("#Metadata!", ADDRESS(INDEX($AJ$2:$AJ$1001,MATCH(ROWS($AH$2:AH812),$AH$2:$AH$1001,0),0), INDEX($AO$1004:$BQ$1004,1,MATCH(COLUMNS($AO$1006:AU1006),$AO$1006:$BQ$1006,0)))),"Fix")))</f>
        <v>#N/A</v>
      </c>
      <c r="I812" s="5" t="e">
        <f ca="1">IF(OR(INDEX($AI$2:$AI$1001,MATCH(ROWS($AH$2:AH812),$AH$2:$AH$1001,0),1)&gt;=100000,INDEX($AO$1005:$BQ$1005,1,MATCH(COLUMNS($AO$1006:AV1006),$AO$1006:$BQ$1006,0))&gt;=100000), " ",IF(INDEX($AO$2:$BQ$1001,MATCH(ROWS($AH$2:AH812),$AH$2:$AH$1001,0),MATCH(COLUMNS($AO$1006:AV1006),$AO$1006:$BQ$1006,0)), HYPERLINK("#",""), HYPERLINK(CONCATENATE("#Metadata!", ADDRESS(INDEX($AJ$2:$AJ$1001,MATCH(ROWS($AH$2:AH812),$AH$2:$AH$1001,0),0), INDEX($AO$1004:$BQ$1004,1,MATCH(COLUMNS($AO$1006:AV1006),$AO$1006:$BQ$1006,0)))),"Fix")))</f>
        <v>#N/A</v>
      </c>
      <c r="J812" s="5" t="e">
        <f ca="1">IF(OR(INDEX($AI$2:$AI$1001,MATCH(ROWS($AH$2:AH812),$AH$2:$AH$1001,0),1)&gt;=100000,INDEX($AO$1005:$BQ$1005,1,MATCH(COLUMNS($AO$1006:AW1006),$AO$1006:$BQ$1006,0))&gt;=100000), " ",IF(INDEX($AO$2:$BQ$1001,MATCH(ROWS($AH$2:AH812),$AH$2:$AH$1001,0),MATCH(COLUMNS($AO$1006:AW1006),$AO$1006:$BQ$1006,0)), HYPERLINK("#",""), HYPERLINK(CONCATENATE("#Metadata!", ADDRESS(INDEX($AJ$2:$AJ$1001,MATCH(ROWS($AH$2:AH812),$AH$2:$AH$1001,0),0), INDEX($AO$1004:$BQ$1004,1,MATCH(COLUMNS($AO$1006:AW1006),$AO$1006:$BQ$1006,0)))),"Fix")))</f>
        <v>#N/A</v>
      </c>
      <c r="K812" s="5" t="e">
        <f ca="1">IF(OR(INDEX($AI$2:$AI$1001,MATCH(ROWS($AH$2:AH812),$AH$2:$AH$1001,0),1)&gt;=100000,INDEX($AO$1005:$BQ$1005,1,MATCH(COLUMNS($AO$1006:AX1006),$AO$1006:$BQ$1006,0))&gt;=100000), " ",IF(INDEX($AO$2:$BQ$1001,MATCH(ROWS($AH$2:AH812),$AH$2:$AH$1001,0),MATCH(COLUMNS($AO$1006:AX1006),$AO$1006:$BQ$1006,0)), HYPERLINK("#",""), HYPERLINK(CONCATENATE("#Metadata!", ADDRESS(INDEX($AJ$2:$AJ$1001,MATCH(ROWS($AH$2:AH812),$AH$2:$AH$1001,0),0), INDEX($AO$1004:$BQ$1004,1,MATCH(COLUMNS($AO$1006:AX1006),$AO$1006:$BQ$1006,0)))),"Fix")))</f>
        <v>#N/A</v>
      </c>
      <c r="L812" s="5" t="e">
        <f ca="1">IF(OR(INDEX($AI$2:$AI$1001,MATCH(ROWS($AH$2:AH812),$AH$2:$AH$1001,0),1)&gt;=100000,INDEX($AO$1005:$BQ$1005,1,MATCH(COLUMNS($AO$1006:AY1006),$AO$1006:$BQ$1006,0))&gt;=100000), " ",IF(INDEX($AO$2:$BQ$1001,MATCH(ROWS($AH$2:AH812),$AH$2:$AH$1001,0),MATCH(COLUMNS($AO$1006:AY1006),$AO$1006:$BQ$1006,0)), HYPERLINK("#",""), HYPERLINK(CONCATENATE("#Metadata!", ADDRESS(INDEX($AJ$2:$AJ$1001,MATCH(ROWS($AH$2:AH812),$AH$2:$AH$1001,0),0), INDEX($AO$1004:$BQ$1004,1,MATCH(COLUMNS($AO$1006:AY1006),$AO$1006:$BQ$1006,0)))),"Fix")))</f>
        <v>#N/A</v>
      </c>
      <c r="M812" s="5" t="e">
        <f ca="1">IF(OR(INDEX($AI$2:$AI$1001,MATCH(ROWS($AH$2:AH812),$AH$2:$AH$1001,0),1)&gt;=100000,INDEX($AO$1005:$BQ$1005,1,MATCH(COLUMNS($AO$1006:AZ1006),$AO$1006:$BQ$1006,0))&gt;=100000), " ",IF(INDEX($AO$2:$BQ$1001,MATCH(ROWS($AH$2:AH812),$AH$2:$AH$1001,0),MATCH(COLUMNS($AO$1006:AZ1006),$AO$1006:$BQ$1006,0)), HYPERLINK("#",""), HYPERLINK(CONCATENATE("#Metadata!", ADDRESS(INDEX($AJ$2:$AJ$1001,MATCH(ROWS($AH$2:AH812),$AH$2:$AH$1001,0),0), INDEX($AO$1004:$BQ$1004,1,MATCH(COLUMNS($AO$1006:AZ1006),$AO$1006:$BQ$1006,0)))),"Fix")))</f>
        <v>#N/A</v>
      </c>
      <c r="N812" s="5" t="e">
        <f ca="1">IF(OR(INDEX($AI$2:$AI$1001,MATCH(ROWS($AH$2:AH812),$AH$2:$AH$1001,0),1)&gt;=100000,INDEX($AO$1005:$BQ$1005,1,MATCH(COLUMNS($AO$1006:BA1006),$AO$1006:$BQ$1006,0))&gt;=100000), " ",IF(INDEX($AO$2:$BQ$1001,MATCH(ROWS($AH$2:AH812),$AH$2:$AH$1001,0),MATCH(COLUMNS($AO$1006:BA1006),$AO$1006:$BQ$1006,0)), HYPERLINK("#",""), HYPERLINK(CONCATENATE("#Metadata!", ADDRESS(INDEX($AJ$2:$AJ$1001,MATCH(ROWS($AH$2:AH812),$AH$2:$AH$1001,0),0), INDEX($AO$1004:$BQ$1004,1,MATCH(COLUMNS($AO$1006:BA1006),$AO$1006:$BQ$1006,0)))),"Fix")))</f>
        <v>#N/A</v>
      </c>
      <c r="O812" s="5" t="e">
        <f ca="1">IF(OR(INDEX($AI$2:$AI$1001,MATCH(ROWS($AH$2:AH812),$AH$2:$AH$1001,0),1)&gt;=100000,INDEX($AO$1005:$BQ$1005,1,MATCH(COLUMNS($AO$1006:BB1006),$AO$1006:$BQ$1006,0))&gt;=100000), " ",IF(INDEX($AO$2:$BQ$1001,MATCH(ROWS($AH$2:AH812),$AH$2:$AH$1001,0),MATCH(COLUMNS($AO$1006:BB1006),$AO$1006:$BQ$1006,0)), HYPERLINK("#",""), HYPERLINK(CONCATENATE("#Metadata!", ADDRESS(INDEX($AJ$2:$AJ$1001,MATCH(ROWS($AH$2:AH812),$AH$2:$AH$1001,0),0), INDEX($AO$1004:$BQ$1004,1,MATCH(COLUMNS($AO$1006:BB1006),$AO$1006:$BQ$1006,0)))),"Fix")))</f>
        <v>#N/A</v>
      </c>
      <c r="P812" s="5" t="e">
        <f ca="1">IF(OR(INDEX($AI$2:$AI$1001,MATCH(ROWS($AH$2:AH812),$AH$2:$AH$1001,0),1)&gt;=100000,INDEX($AO$1005:$BQ$1005,1,MATCH(COLUMNS($AO$1006:BC1006),$AO$1006:$BQ$1006,0))&gt;=100000), " ",IF(INDEX($AO$2:$BQ$1001,MATCH(ROWS($AH$2:AH812),$AH$2:$AH$1001,0),MATCH(COLUMNS($AO$1006:BC1006),$AO$1006:$BQ$1006,0)), HYPERLINK("#",""), HYPERLINK(CONCATENATE("#Metadata!", ADDRESS(INDEX($AJ$2:$AJ$1001,MATCH(ROWS($AH$2:AH812),$AH$2:$AH$1001,0),0), INDEX($AO$1004:$BQ$1004,1,MATCH(COLUMNS($AO$1006:BC1006),$AO$1006:$BQ$1006,0)))),"Fix")))</f>
        <v>#N/A</v>
      </c>
      <c r="Q812" s="5" t="e">
        <f ca="1">IF(OR(INDEX($AI$2:$AI$1001,MATCH(ROWS($AH$2:AH812),$AH$2:$AH$1001,0),1)&gt;=100000,INDEX($AO$1005:$BQ$1005,1,MATCH(COLUMNS($AO$1006:BD1006),$AO$1006:$BQ$1006,0))&gt;=100000), " ",IF(INDEX($AO$2:$BQ$1001,MATCH(ROWS($AH$2:AH812),$AH$2:$AH$1001,0),MATCH(COLUMNS($AO$1006:BD1006),$AO$1006:$BQ$1006,0)), HYPERLINK("#",""), HYPERLINK(CONCATENATE("#Metadata!", ADDRESS(INDEX($AJ$2:$AJ$1001,MATCH(ROWS($AH$2:AH812),$AH$2:$AH$1001,0),0), INDEX($AO$1004:$BQ$1004,1,MATCH(COLUMNS($AO$1006:BD1006),$AO$1006:$BQ$1006,0)))),"Fix")))</f>
        <v>#N/A</v>
      </c>
      <c r="R812" s="5" t="e">
        <f ca="1">IF(OR(INDEX($AI$2:$AI$1001,MATCH(ROWS($AH$2:AH812),$AH$2:$AH$1001,0),1)&gt;=100000,INDEX($AO$1005:$BQ$1005,1,MATCH(COLUMNS($AO$1006:BE1006),$AO$1006:$BQ$1006,0))&gt;=100000), " ",IF(INDEX($AO$2:$BQ$1001,MATCH(ROWS($AH$2:AH812),$AH$2:$AH$1001,0),MATCH(COLUMNS($AO$1006:BE1006),$AO$1006:$BQ$1006,0)), HYPERLINK("#",""), HYPERLINK(CONCATENATE("#Metadata!", ADDRESS(INDEX($AJ$2:$AJ$1001,MATCH(ROWS($AH$2:AH812),$AH$2:$AH$1001,0),0), INDEX($AO$1004:$BQ$1004,1,MATCH(COLUMNS($AO$1006:BE1006),$AO$1006:$BQ$1006,0)))),"Fix")))</f>
        <v>#N/A</v>
      </c>
      <c r="S812" s="5" t="e">
        <f ca="1">IF(OR(INDEX($AI$2:$AI$1001,MATCH(ROWS($AH$2:AH812),$AH$2:$AH$1001,0),1)&gt;=100000,INDEX($AO$1005:$BQ$1005,1,MATCH(COLUMNS($AO$1006:BF1006),$AO$1006:$BQ$1006,0))&gt;=100000), " ",IF(INDEX($AO$2:$BQ$1001,MATCH(ROWS($AH$2:AH812),$AH$2:$AH$1001,0),MATCH(COLUMNS($AO$1006:BF1006),$AO$1006:$BQ$1006,0)), HYPERLINK("#",""), HYPERLINK(CONCATENATE("#Metadata!", ADDRESS(INDEX($AJ$2:$AJ$1001,MATCH(ROWS($AH$2:AH812),$AH$2:$AH$1001,0),0), INDEX($AO$1004:$BQ$1004,1,MATCH(COLUMNS($AO$1006:BF1006),$AO$1006:$BQ$1006,0)))),"Fix")))</f>
        <v>#N/A</v>
      </c>
      <c r="T812" s="5" t="e">
        <f ca="1">IF(OR(INDEX($AI$2:$AI$1001,MATCH(ROWS($AH$2:AH812),$AH$2:$AH$1001,0),1)&gt;=100000,INDEX($AO$1005:$BQ$1005,1,MATCH(COLUMNS($AO$1006:BG1006),$AO$1006:$BQ$1006,0))&gt;=100000), " ",IF(INDEX($AO$2:$BQ$1001,MATCH(ROWS($AH$2:AH812),$AH$2:$AH$1001,0),MATCH(COLUMNS($AO$1006:BG1006),$AO$1006:$BQ$1006,0)), HYPERLINK("#",""), HYPERLINK(CONCATENATE("#Metadata!", ADDRESS(INDEX($AJ$2:$AJ$1001,MATCH(ROWS($AH$2:AH812),$AH$2:$AH$1001,0),0), INDEX($AO$1004:$BQ$1004,1,MATCH(COLUMNS($AO$1006:BG1006),$AO$1006:$BQ$1006,0)))),"Fix")))</f>
        <v>#N/A</v>
      </c>
      <c r="U812" s="5" t="e">
        <f ca="1">IF(OR(INDEX($AI$2:$AI$1001,MATCH(ROWS($AH$2:AH812),$AH$2:$AH$1001,0),1)&gt;=100000,INDEX($AO$1005:$BQ$1005,1,MATCH(COLUMNS($AO$1006:BH1006),$AO$1006:$BQ$1006,0))&gt;=100000), " ",IF(INDEX($AO$2:$BQ$1001,MATCH(ROWS($AH$2:AH812),$AH$2:$AH$1001,0),MATCH(COLUMNS($AO$1006:BH1006),$AO$1006:$BQ$1006,0)), HYPERLINK("#",""), HYPERLINK(CONCATENATE("#Metadata!", ADDRESS(INDEX($AJ$2:$AJ$1001,MATCH(ROWS($AH$2:AH812),$AH$2:$AH$1001,0),0), INDEX($AO$1004:$BQ$1004,1,MATCH(COLUMNS($AO$1006:BH1006),$AO$1006:$BQ$1006,0)))),"Fix")))</f>
        <v>#N/A</v>
      </c>
      <c r="V812" s="5" t="e">
        <f ca="1">IF(OR(INDEX($AI$2:$AI$1001,MATCH(ROWS($AH$2:AH812),$AH$2:$AH$1001,0),1)&gt;=100000,INDEX($AO$1005:$BQ$1005,1,MATCH(COLUMNS($AO$1006:BI1006),$AO$1006:$BQ$1006,0))&gt;=100000), " ",IF(INDEX($AO$2:$BQ$1001,MATCH(ROWS($AH$2:AH812),$AH$2:$AH$1001,0),MATCH(COLUMNS($AO$1006:BI1006),$AO$1006:$BQ$1006,0)), HYPERLINK("#",""), HYPERLINK(CONCATENATE("#Metadata!", ADDRESS(INDEX($AJ$2:$AJ$1001,MATCH(ROWS($AH$2:AH812),$AH$2:$AH$1001,0),0), INDEX($AO$1004:$BQ$1004,1,MATCH(COLUMNS($AO$1006:BI1006),$AO$1006:$BQ$1006,0)))),"Fix")))</f>
        <v>#N/A</v>
      </c>
      <c r="W812" s="5" t="e">
        <f ca="1">IF(OR(INDEX($AI$2:$AI$1001,MATCH(ROWS($AH$2:AH812),$AH$2:$AH$1001,0),1)&gt;=100000,INDEX($AO$1005:$BQ$1005,1,MATCH(COLUMNS($AO$1006:BJ1006),$AO$1006:$BQ$1006,0))&gt;=100000), " ",IF(INDEX($AO$2:$BQ$1001,MATCH(ROWS($AH$2:AH812),$AH$2:$AH$1001,0),MATCH(COLUMNS($AO$1006:BJ1006),$AO$1006:$BQ$1006,0)), HYPERLINK("#",""), HYPERLINK(CONCATENATE("#Metadata!", ADDRESS(INDEX($AJ$2:$AJ$1001,MATCH(ROWS($AH$2:AH812),$AH$2:$AH$1001,0),0), INDEX($AO$1004:$BQ$1004,1,MATCH(COLUMNS($AO$1006:BJ1006),$AO$1006:$BQ$1006,0)))),"Fix")))</f>
        <v>#N/A</v>
      </c>
      <c r="X812" s="5" t="e">
        <f ca="1">IF(OR(INDEX($AI$2:$AI$1001,MATCH(ROWS($AH$2:AH812),$AH$2:$AH$1001,0),1)&gt;=100000,INDEX($AO$1005:$BQ$1005,1,MATCH(COLUMNS($AO$1006:BK1006),$AO$1006:$BQ$1006,0))&gt;=100000), " ",IF(INDEX($AO$2:$BQ$1001,MATCH(ROWS($AH$2:AH812),$AH$2:$AH$1001,0),MATCH(COLUMNS($AO$1006:BK1006),$AO$1006:$BQ$1006,0)), HYPERLINK("#",""), HYPERLINK(CONCATENATE("#Metadata!", ADDRESS(INDEX($AJ$2:$AJ$1001,MATCH(ROWS($AH$2:AH812),$AH$2:$AH$1001,0),0), INDEX($AO$1004:$BQ$1004,1,MATCH(COLUMNS($AO$1006:BK1006),$AO$1006:$BQ$1006,0)))),"Fix")))</f>
        <v>#N/A</v>
      </c>
      <c r="Y812" s="5" t="e">
        <f ca="1">IF(OR(INDEX($AI$2:$AI$1001,MATCH(ROWS($AH$2:AH812),$AH$2:$AH$1001,0),1)&gt;=100000,INDEX($AO$1005:$BQ$1005,1,MATCH(COLUMNS($AO$1006:BL1006),$AO$1006:$BQ$1006,0))&gt;=100000), " ",IF(INDEX($AO$2:$BQ$1001,MATCH(ROWS($AH$2:AH812),$AH$2:$AH$1001,0),MATCH(COLUMNS($AO$1006:BL1006),$AO$1006:$BQ$1006,0)), HYPERLINK("#",""), HYPERLINK(CONCATENATE("#Metadata!", ADDRESS(INDEX($AJ$2:$AJ$1001,MATCH(ROWS($AH$2:AH812),$AH$2:$AH$1001,0),0), INDEX($AO$1004:$BQ$1004,1,MATCH(COLUMNS($AO$1006:BL1006),$AO$1006:$BQ$1006,0)))),"Fix")))</f>
        <v>#N/A</v>
      </c>
      <c r="Z812" s="5" t="e">
        <f ca="1">IF(OR(INDEX($AI$2:$AI$1001,MATCH(ROWS($AH$2:AH812),$AH$2:$AH$1001,0),1)&gt;=100000,INDEX($AO$1005:$BQ$1005,1,MATCH(COLUMNS($AO$1006:BM1006),$AO$1006:$BQ$1006,0))&gt;=100000), " ",IF(INDEX($AO$2:$BQ$1001,MATCH(ROWS($AH$2:AH812),$AH$2:$AH$1001,0),MATCH(COLUMNS($AO$1006:BM1006),$AO$1006:$BQ$1006,0)), HYPERLINK("#",""), HYPERLINK(CONCATENATE("#Metadata!", ADDRESS(INDEX($AJ$2:$AJ$1001,MATCH(ROWS($AH$2:AH812),$AH$2:$AH$1001,0),0), INDEX($AO$1004:$BQ$1004,1,MATCH(COLUMNS($AO$1006:BM1006),$AO$1006:$BQ$1006,0)))),"Fix")))</f>
        <v>#N/A</v>
      </c>
      <c r="AA812" s="5" t="e">
        <f ca="1">IF(OR(INDEX($AI$2:$AI$1001,MATCH(ROWS($AH$2:AH812),$AH$2:$AH$1001,0),1)&gt;=100000,INDEX($AO$1005:$BQ$1005,1,MATCH(COLUMNS($AO$1006:BN1006),$AO$1006:$BQ$1006,0))&gt;=100000), " ",IF(INDEX($AO$2:$BQ$1001,MATCH(ROWS($AH$2:AH812),$AH$2:$AH$1001,0),MATCH(COLUMNS($AO$1006:BN1006),$AO$1006:$BQ$1006,0)), HYPERLINK("#",""), HYPERLINK(CONCATENATE("#Metadata!", ADDRESS(INDEX($AJ$2:$AJ$1001,MATCH(ROWS($AH$2:AH812),$AH$2:$AH$1001,0),0), INDEX($AO$1004:$BQ$1004,1,MATCH(COLUMNS($AO$1006:BN1006),$AO$1006:$BQ$1006,0)))),"Fix")))</f>
        <v>#N/A</v>
      </c>
      <c r="AB812" s="5" t="e">
        <f ca="1">IF(OR(INDEX($AI$2:$AI$1001,MATCH(ROWS($AH$2:AH812),$AH$2:$AH$1001,0),1)&gt;=100000,INDEX($AO$1005:$BQ$1005,1,MATCH(COLUMNS($AO$1006:BO1006),$AO$1006:$BQ$1006,0))&gt;=100000), " ",IF(INDEX($AO$2:$BQ$1001,MATCH(ROWS($AH$2:AH812),$AH$2:$AH$1001,0),MATCH(COLUMNS($AO$1006:BO1006),$AO$1006:$BQ$1006,0)), HYPERLINK("#",""), HYPERLINK(CONCATENATE("#Metadata!", ADDRESS(INDEX($AJ$2:$AJ$1001,MATCH(ROWS($AH$2:AH812),$AH$2:$AH$1001,0),0), INDEX($AO$1004:$BQ$1004,1,MATCH(COLUMNS($AO$1006:BO1006),$AO$1006:$BQ$1006,0)))),"Fix")))</f>
        <v>#N/A</v>
      </c>
      <c r="AC812" s="5" t="e">
        <f ca="1">IF(OR(INDEX($AI$2:$AI$1001,MATCH(ROWS($AH$2:AH812),$AH$2:$AH$1001,0),1)&gt;=100000,INDEX($AO$1005:$BQ$1005,1,MATCH(COLUMNS($AO$1006:BP1006),$AO$1006:$BQ$1006,0))&gt;=100000), " ",IF(INDEX($AO$2:$BQ$1001,MATCH(ROWS($AH$2:AH812),$AH$2:$AH$1001,0),MATCH(COLUMNS($AO$1006:BP1006),$AO$1006:$BQ$1006,0)), HYPERLINK("#",""), HYPERLINK(CONCATENATE("#Metadata!", ADDRESS(INDEX($AJ$2:$AJ$1001,MATCH(ROWS($AH$2:AH812),$AH$2:$AH$1001,0),0), INDEX($AO$1004:$BQ$1004,1,MATCH(COLUMNS($AO$1006:BP1006),$AO$1006:$BQ$1006,0)))),"Fix")))</f>
        <v>#N/A</v>
      </c>
      <c r="AD812" s="5" t="e">
        <f ca="1">IF(OR(INDEX($AI$2:$AI$1001,MATCH(ROWS($AH$2:AH812),$AH$2:$AH$1001,0),1)&gt;=100000,INDEX($AO$1005:$BQ$1005,1,MATCH(COLUMNS($AO$1006:BQ1006),$AO$1006:$BQ$1006,0))&gt;=100000), " ",IF(INDEX($AO$2:$BQ$1001,MATCH(ROWS($AH$2:AH812),$AH$2:$AH$1001,0),MATCH(COLUMNS($AO$1006:BQ1006),$AO$1006:$BQ$1006,0)), HYPERLINK("#",""), HYPERLINK(CONCATENATE("#Metadata!", ADDRESS(INDEX($AJ$2:$AJ$1001,MATCH(ROWS($AH$2:AH812),$AH$2:$AH$1001,0),0), INDEX($AO$1004:$BQ$1004,1,MATCH(COLUMNS($AO$1006:BQ1006),$AO$1006:$BQ$1006,0)))),"Fix")))</f>
        <v>#REF!</v>
      </c>
      <c r="AH812">
        <f ca="1"/>
        <v>809</v>
      </c>
      <c r="AI812">
        <v>100812</v>
      </c>
      <c r="AJ812">
        <v>812</v>
      </c>
      <c r="AK812" t="b">
        <f t="shared" si="12"/>
        <v>1</v>
      </c>
      <c r="AL812" t="b">
        <f>COUNTBLANK(Metadata!B812:AD812)=COLUMNS(Metadata!B812:AD812)</f>
        <v>1</v>
      </c>
      <c r="AM812" t="str">
        <v/>
      </c>
      <c r="AO812" t="b">
        <f ca="1">AND(IF(Metadata!B812="",FALSE,TRUE),COUNTIF(Metadata!B:B, Metadata!B812) = 1,NOT(ISERROR(SUMPRODUCT(SEARCH(MID(Metadata!B812,ROW(INDIRECT("1:"&amp;LEN(Metadata!B812))), 1),"0123456789abcdefghijklmnopqrstuvwxyzABCDEFGHIJKLMNOPQRSTUVWXYZ.")))))</f>
        <v>0</v>
      </c>
      <c r="AP812" t="b">
        <f>IF(Metadata!C812="",FALSE,TRUE)</f>
        <v>0</v>
      </c>
      <c r="AQ812" t="b">
        <f>IF(Metadata!D812="",FALSE,TRUE)</f>
        <v>0</v>
      </c>
      <c r="AR812" t="b">
        <f ca="1">OR(AND(IF(Metadata!E812="",FALSE,TRUE),OR(EXACT(Metadata!E812,"not collected"),EXACT(Metadata!E812,"not provided"),EXACT(Metadata!E812,"restricted access"))),AND(IF(Metadata!E812="",FALSE,TRUE),AND(AND(IFERROR(INT(LEFT(Metadata!E812,4))&gt;1900,FALSE),IFERROR(INT(LEFT(Metadata!E812,4))&lt;=YEAR(NOW()),FALSE)), OR(MID(Metadata!E812,5,1)="", AND(AND(MID(Metadata!E812,5,1)="-",IFERROR(INT(MID(Metadata!E812,6,1))&gt;=0,FALSE),IFERROR(INT(MID(Metadata!E812,6,1))&lt;=1,FALSE),NOT(MID(Metadata!E812,7,1)=""),IFERROR(INT(MID(Metadata!E812,6,2))&gt;=1,FALSE),IFERROR(INT(MID(Metadata!E812,6,2))&lt;=12,FALSE)), OR(MID(Metadata!E812,8,1)="", AND(AND(MID(Metadata!E812,8,1)="-",IFERROR(INT(MID(Metadata!E812,9,1))&gt;=0,FALSE),IFERROR(INT(MID(Metadata!E812,9,1))&lt;=3,FALSE),NOT(MID(Metadata!E812,10,1)=""),IFERROR(INT(MID(Metadata!E812,9,2))&gt;=1,FALSE),IFERROR(INT(MID(Metadata!E812,9,2))&lt;=31,FALSE)), OR(MID(Metadata!E812,11,1)="", AND(AND(MID(Metadata!E812,11,1)=" ",IFERROR(INT(MID(Metadata!E812,12,1))&gt;=0,FALSE),IFERROR(INT(MID(Metadata!E812,12,1))&lt;=2,FALSE),NOT(MID(Metadata!E812,13,1)=""),IFERROR(INT(MID(Metadata!E812,12,2))&gt;=0,FALSE),IFERROR(INT(MID(Metadata!E812,12,2))&lt;=23,FALSE)), OR(MID(Metadata!E812,14,1)="", AND(AND(MID(Metadata!E812,14,1)=":",IFERROR(INT(MID(Metadata!E812,15,1))&gt;=0,FALSE),IFERROR(INT(MID(Metadata!E812,15,1))&lt;=5,FALSE),NOT(MID(Metadata!E812,16,1)=""),IFERROR(INT(MID(Metadata!E812,15,2))&gt;=0,FALSE),IFERROR(INT(MID(Metadata!E812,15,2))&lt;=59,FALSE)), OR(MID(Metadata!E812,17,1)="", AND(AND(MID(Metadata!E812,17,1)=":",IFERROR(INT(MID(Metadata!E812,18,1))&gt;=0,FALSE),IFERROR(INT(MID(Metadata!E812,18,1))&lt;=5,FALSE),NOT(MID(Metadata!E812,19,1)=""),IFERROR(INT(MID(Metadata!E812,18,2))&gt;=0,FALSE),IFERROR(INT(MID(Metadata!E812,18,2))&lt;=59,FALSE)), LEN(Metadata!E812)&lt;=19)))))))))))))</f>
        <v>0</v>
      </c>
      <c r="AS812" t="b">
        <f>IF(Metadata!F812="",FALSE,TRUE)</f>
        <v>0</v>
      </c>
      <c r="AT812" t="b">
        <f>OR(AND(IF(Metadata!G812="",FALSE,TRUE),OR(EXACT(Metadata!G812,"not collected"),EXACT(Metadata!G812,"not provided"))),AND(IF(Metadata!G812="",FALSE,TRUE),OR(EXACT(Metadata!G812,"TRUE"),EXACT(Metadata!G812,"FALSE"))))</f>
        <v>0</v>
      </c>
      <c r="AU812" t="b">
        <f>OR(AND(IF(Metadata!H812="",FALSE,TRUE),OR(EXACT(Metadata!H812,"not collected"),EXACT(Metadata!H812,"not provided"),EXACT(Metadata!H812,"restricted access"))),AND(IF(Metadata!H812="",FALSE,ISNUMBER(VALUE(Metadata!H812))),Metadata!H812&gt;=-413))</f>
        <v>0</v>
      </c>
      <c r="AV812" t="b">
        <f>AND(IF(Metadata!I812="",FALSE,TRUE),EXACT(Metadata!I812,"meters"))</f>
        <v>0</v>
      </c>
      <c r="AW812" t="b">
        <f>AND(IF(Metadata!J812="",FALSE,TRUE),EXACT(Metadata!J812,"free-living"))</f>
        <v>0</v>
      </c>
      <c r="AX812" t="b">
        <f>AND(IF(Metadata!K812="",FALSE,TRUE),OR(EXACT(Metadata!K812,"saline"),EXACT(Metadata!K812,"non-saline")))</f>
        <v>0</v>
      </c>
      <c r="AY812" t="b">
        <f>AND(IF(Metadata!L812="",FALSE,TRUE),OR(EXACT(Metadata!L812,"sub-surface (non-saline)"),EXACT(Metadata!L812,"surface (non-saline)"),EXACT(Metadata!L812,"water (non-saline)"),EXACT(Metadata!L812,"soil (non-saline)"),EXACT(Metadata!L812,"aerosol (non-saline)"),EXACT(Metadata!L812,"sediment (non-saline)"),EXACT(Metadata!L812,"surface (saline)"),EXACT(Metadata!L812,"water (saline)"),EXACT(Metadata!L812,"hypersaline (saline)"),EXACT(Metadata!L812,"aerosol (saline)"),EXACT(Metadata!L812,"sediment (saline)")))</f>
        <v>0</v>
      </c>
      <c r="AZ812" t="b">
        <f>IF(Metadata!M812="",FALSE,TRUE)</f>
        <v>0</v>
      </c>
      <c r="BA812" t="b">
        <f>IF(Metadata!N812="",FALSE,TRUE)</f>
        <v>0</v>
      </c>
      <c r="BB812" t="b">
        <f>IF(Metadata!O812="",FALSE,TRUE)</f>
        <v>0</v>
      </c>
      <c r="BC812" t="b">
        <f>AND(IF(Metadata!P812="",FALSE,TRUE),OR(EXACT(Metadata!P812,"air"),EXACT(Metadata!P812,"microbial mat/biofilm"),EXACT(Metadata!P812,"misc environment"),EXACT(Metadata!P812,"sediment"),EXACT(Metadata!P812,"soil"),EXACT(Metadata!P812,"wastewater/sludge"),EXACT(Metadata!P812,"water")))</f>
        <v>0</v>
      </c>
      <c r="BD812" t="b">
        <f>IF(Metadata!Q812="",FALSE,TRUE)</f>
        <v>0</v>
      </c>
      <c r="BE812" t="b">
        <f>IF(Metadata!R812="",FALSE,TRUE)</f>
        <v>0</v>
      </c>
      <c r="BF812" t="b">
        <f>OR(AND(IF(Metadata!S812="",FALSE,TRUE),OR(EXACT(Metadata!S812,"not collected"),EXACT(Metadata!S812,"not provided"),EXACT(Metadata!S812,"restricted access"))),AND(IF(Metadata!S812="",FALSE,ISNUMBER(VALUE(Metadata!S812))),Metadata!S812&gt;=-90,Metadata!S812&lt;=90))</f>
        <v>0</v>
      </c>
      <c r="BG812" t="b">
        <f>AND(IF(Metadata!T812="",FALSE,TRUE),EXACT(Metadata!T812,"Decimal degrees"))</f>
        <v>0</v>
      </c>
      <c r="BH812" t="b">
        <f>OR(AND(IF(Metadata!U812="",FALSE,TRUE),OR(EXACT(Metadata!U812,"not applicable"),EXACT(Metadata!U812,"not collected"))),IF(Metadata!U812="",FALSE,TRUE))</f>
        <v>0</v>
      </c>
      <c r="BI812" t="b">
        <f>OR(AND(IF(Metadata!V812="",FALSE,TRUE),OR(EXACT(Metadata!V812,"not collected"),EXACT(Metadata!V812,"not provided"),EXACT(Metadata!V812,"restricted access"))),AND(IF(Metadata!V812="",FALSE,ISNUMBER(VALUE(Metadata!V812))),Metadata!V812&gt;=-180,Metadata!V812&lt;=180))</f>
        <v>0</v>
      </c>
      <c r="BJ812" t="b">
        <f>AND(IF(Metadata!W812="",FALSE,TRUE),EXACT(Metadata!W812,"Decimal degrees"))</f>
        <v>0</v>
      </c>
      <c r="BK812" t="b">
        <f>IF(Metadata!X812="",FALSE,TRUE)</f>
        <v>0</v>
      </c>
      <c r="BL812" t="b">
        <f>OR(AND(IF(Metadata!Y812="",FALSE,TRUE),OR(EXACT(Metadata!Y812,"not collected"),EXACT(Metadata!Y812,"not provided"),EXACT(Metadata!Y812,"restricted access"))),AND(IF(Metadata!Y812="",FALSE,TRUE),OR(EXACT(Metadata!Y812,"TRUE"),EXACT(Metadata!Y812,"FALSE"))))</f>
        <v>0</v>
      </c>
      <c r="BM812" t="b">
        <f>OR(AND(IF(Metadata!Z812="",FALSE,TRUE),EXACT(Metadata!Z812,"not applicable")),AND(IF(Metadata!Z812="",FALSE,TRUE),OR(EXACT(Metadata!Z812,"beer"),EXACT(Metadata!Z812,"cheese"),EXACT(Metadata!Z812,"fresh water"),EXACT(Metadata!Z812,"marine sediment"),EXACT(Metadata!Z812,"sea water"),EXACT(Metadata!Z812,"sediment"),EXACT(Metadata!Z812,"soil"),EXACT(Metadata!Z812,"waste water"))))</f>
        <v>0</v>
      </c>
      <c r="BN812" t="b">
        <f>AND(IF(Metadata!AA812="",FALSE,TRUE),EXACT(Metadata!AA812,"metagenome"))</f>
        <v>0</v>
      </c>
      <c r="BO812" t="b">
        <f>AND(IF(Metadata!AB812="",FALSE,TRUE),EXACT(Metadata!AB812,"256318"))</f>
        <v>0</v>
      </c>
      <c r="BP812" t="b">
        <f>IF(Metadata!AC812="",FALSE,TRUE)</f>
        <v>0</v>
      </c>
      <c r="BQ812" t="b">
        <f>IF(Metadata!AD812="",FALSE,TRUE)</f>
        <v>0</v>
      </c>
    </row>
    <row r="813" spans="1:69" x14ac:dyDescent="0.2">
      <c r="A813" s="4" t="e">
        <f ca="1">IF(B813=" "," ",HYPERLINK(CONCATENATE("#metadata!",ADDRESS(INDEX($AJ$2:$AJ$1001,MATCH(ROWS($AH$2:AH813),$AH$2:$AH$1001,0),0),2)),INDEX($AM$2:$AM$1001,MATCH(ROWS($AH$2:AH813),$AH$2:$AH$1001,0),0)))</f>
        <v>#N/A</v>
      </c>
      <c r="B813" s="5" t="e">
        <f ca="1">IF(OR(INDEX($AI$2:$AI$1001,MATCH(ROWS($AH$2:AH813),$AH$2:$AH$1001,0),1)&gt;=100000,INDEX($AO$1005:$BQ$1005,1,MATCH(COLUMNS($AO$1006:AO1006),$AO$1006:$BQ$1006,0))&gt;=100000), " ",IF(INDEX($AO$2:$BQ$1001,MATCH(ROWS($AH$2:AH813),$AH$2:$AH$1001,0),MATCH(COLUMNS($AO$1006:AO1006),$AO$1006:$BQ$1006,0)), HYPERLINK("#",""), HYPERLINK(CONCATENATE("#Metadata!", ADDRESS(INDEX($AJ$2:$AJ$1001,MATCH(ROWS($AH$2:AH813),$AH$2:$AH$1001,0),0), INDEX($AO$1004:$BQ$1004,1,MATCH(COLUMNS($AO$1006:AO1006),$AO$1006:$BQ$1006,0)))),"Fix")))</f>
        <v>#N/A</v>
      </c>
      <c r="C813" s="5" t="e">
        <f ca="1">IF(OR(INDEX($AI$2:$AI$1001,MATCH(ROWS($AH$2:AH813),$AH$2:$AH$1001,0),1)&gt;=100000,INDEX($AO$1005:$BQ$1005,1,MATCH(COLUMNS($AO$1006:AP1006),$AO$1006:$BQ$1006,0))&gt;=100000), " ",IF(INDEX($AO$2:$BQ$1001,MATCH(ROWS($AH$2:AH813),$AH$2:$AH$1001,0),MATCH(COLUMNS($AO$1006:AP1006),$AO$1006:$BQ$1006,0)), HYPERLINK("#",""), HYPERLINK(CONCATENATE("#Metadata!", ADDRESS(INDEX($AJ$2:$AJ$1001,MATCH(ROWS($AH$2:AH813),$AH$2:$AH$1001,0),0), INDEX($AO$1004:$BQ$1004,1,MATCH(COLUMNS($AO$1006:AP1006),$AO$1006:$BQ$1006,0)))),"Fix")))</f>
        <v>#N/A</v>
      </c>
      <c r="D813" s="5" t="e">
        <f ca="1">IF(OR(INDEX($AI$2:$AI$1001,MATCH(ROWS($AH$2:AH813),$AH$2:$AH$1001,0),1)&gt;=100000,INDEX($AO$1005:$BQ$1005,1,MATCH(COLUMNS($AO$1006:AQ1006),$AO$1006:$BQ$1006,0))&gt;=100000), " ",IF(INDEX($AO$2:$BQ$1001,MATCH(ROWS($AH$2:AH813),$AH$2:$AH$1001,0),MATCH(COLUMNS($AO$1006:AQ1006),$AO$1006:$BQ$1006,0)), HYPERLINK("#",""), HYPERLINK(CONCATENATE("#Metadata!", ADDRESS(INDEX($AJ$2:$AJ$1001,MATCH(ROWS($AH$2:AH813),$AH$2:$AH$1001,0),0), INDEX($AO$1004:$BQ$1004,1,MATCH(COLUMNS($AO$1006:AQ1006),$AO$1006:$BQ$1006,0)))),"Fix")))</f>
        <v>#N/A</v>
      </c>
      <c r="E813" s="5" t="e">
        <f ca="1">IF(OR(INDEX($AI$2:$AI$1001,MATCH(ROWS($AH$2:AH813),$AH$2:$AH$1001,0),1)&gt;=100000,INDEX($AO$1005:$BQ$1005,1,MATCH(COLUMNS($AO$1006:AR1006),$AO$1006:$BQ$1006,0))&gt;=100000), " ",IF(INDEX($AO$2:$BQ$1001,MATCH(ROWS($AH$2:AH813),$AH$2:$AH$1001,0),MATCH(COLUMNS($AO$1006:AR1006),$AO$1006:$BQ$1006,0)), HYPERLINK("#",""), HYPERLINK(CONCATENATE("#Metadata!", ADDRESS(INDEX($AJ$2:$AJ$1001,MATCH(ROWS($AH$2:AH813),$AH$2:$AH$1001,0),0), INDEX($AO$1004:$BQ$1004,1,MATCH(COLUMNS($AO$1006:AR1006),$AO$1006:$BQ$1006,0)))),"Fix")))</f>
        <v>#N/A</v>
      </c>
      <c r="F813" s="5" t="e">
        <f ca="1">IF(OR(INDEX($AI$2:$AI$1001,MATCH(ROWS($AH$2:AH813),$AH$2:$AH$1001,0),1)&gt;=100000,INDEX($AO$1005:$BQ$1005,1,MATCH(COLUMNS($AO$1006:AS1006),$AO$1006:$BQ$1006,0))&gt;=100000), " ",IF(INDEX($AO$2:$BQ$1001,MATCH(ROWS($AH$2:AH813),$AH$2:$AH$1001,0),MATCH(COLUMNS($AO$1006:AS1006),$AO$1006:$BQ$1006,0)), HYPERLINK("#",""), HYPERLINK(CONCATENATE("#Metadata!", ADDRESS(INDEX($AJ$2:$AJ$1001,MATCH(ROWS($AH$2:AH813),$AH$2:$AH$1001,0),0), INDEX($AO$1004:$BQ$1004,1,MATCH(COLUMNS($AO$1006:AS1006),$AO$1006:$BQ$1006,0)))),"Fix")))</f>
        <v>#N/A</v>
      </c>
      <c r="G813" s="5" t="e">
        <f ca="1">IF(OR(INDEX($AI$2:$AI$1001,MATCH(ROWS($AH$2:AH813),$AH$2:$AH$1001,0),1)&gt;=100000,INDEX($AO$1005:$BQ$1005,1,MATCH(COLUMNS($AO$1006:AT1006),$AO$1006:$BQ$1006,0))&gt;=100000), " ",IF(INDEX($AO$2:$BQ$1001,MATCH(ROWS($AH$2:AH813),$AH$2:$AH$1001,0),MATCH(COLUMNS($AO$1006:AT1006),$AO$1006:$BQ$1006,0)), HYPERLINK("#",""), HYPERLINK(CONCATENATE("#Metadata!", ADDRESS(INDEX($AJ$2:$AJ$1001,MATCH(ROWS($AH$2:AH813),$AH$2:$AH$1001,0),0), INDEX($AO$1004:$BQ$1004,1,MATCH(COLUMNS($AO$1006:AT1006),$AO$1006:$BQ$1006,0)))),"Fix")))</f>
        <v>#N/A</v>
      </c>
      <c r="H813" s="5" t="e">
        <f ca="1">IF(OR(INDEX($AI$2:$AI$1001,MATCH(ROWS($AH$2:AH813),$AH$2:$AH$1001,0),1)&gt;=100000,INDEX($AO$1005:$BQ$1005,1,MATCH(COLUMNS($AO$1006:AU1006),$AO$1006:$BQ$1006,0))&gt;=100000), " ",IF(INDEX($AO$2:$BQ$1001,MATCH(ROWS($AH$2:AH813),$AH$2:$AH$1001,0),MATCH(COLUMNS($AO$1006:AU1006),$AO$1006:$BQ$1006,0)), HYPERLINK("#",""), HYPERLINK(CONCATENATE("#Metadata!", ADDRESS(INDEX($AJ$2:$AJ$1001,MATCH(ROWS($AH$2:AH813),$AH$2:$AH$1001,0),0), INDEX($AO$1004:$BQ$1004,1,MATCH(COLUMNS($AO$1006:AU1006),$AO$1006:$BQ$1006,0)))),"Fix")))</f>
        <v>#N/A</v>
      </c>
      <c r="I813" s="5" t="e">
        <f ca="1">IF(OR(INDEX($AI$2:$AI$1001,MATCH(ROWS($AH$2:AH813),$AH$2:$AH$1001,0),1)&gt;=100000,INDEX($AO$1005:$BQ$1005,1,MATCH(COLUMNS($AO$1006:AV1006),$AO$1006:$BQ$1006,0))&gt;=100000), " ",IF(INDEX($AO$2:$BQ$1001,MATCH(ROWS($AH$2:AH813),$AH$2:$AH$1001,0),MATCH(COLUMNS($AO$1006:AV1006),$AO$1006:$BQ$1006,0)), HYPERLINK("#",""), HYPERLINK(CONCATENATE("#Metadata!", ADDRESS(INDEX($AJ$2:$AJ$1001,MATCH(ROWS($AH$2:AH813),$AH$2:$AH$1001,0),0), INDEX($AO$1004:$BQ$1004,1,MATCH(COLUMNS($AO$1006:AV1006),$AO$1006:$BQ$1006,0)))),"Fix")))</f>
        <v>#N/A</v>
      </c>
      <c r="J813" s="5" t="e">
        <f ca="1">IF(OR(INDEX($AI$2:$AI$1001,MATCH(ROWS($AH$2:AH813),$AH$2:$AH$1001,0),1)&gt;=100000,INDEX($AO$1005:$BQ$1005,1,MATCH(COLUMNS($AO$1006:AW1006),$AO$1006:$BQ$1006,0))&gt;=100000), " ",IF(INDEX($AO$2:$BQ$1001,MATCH(ROWS($AH$2:AH813),$AH$2:$AH$1001,0),MATCH(COLUMNS($AO$1006:AW1006),$AO$1006:$BQ$1006,0)), HYPERLINK("#",""), HYPERLINK(CONCATENATE("#Metadata!", ADDRESS(INDEX($AJ$2:$AJ$1001,MATCH(ROWS($AH$2:AH813),$AH$2:$AH$1001,0),0), INDEX($AO$1004:$BQ$1004,1,MATCH(COLUMNS($AO$1006:AW1006),$AO$1006:$BQ$1006,0)))),"Fix")))</f>
        <v>#N/A</v>
      </c>
      <c r="K813" s="5" t="e">
        <f ca="1">IF(OR(INDEX($AI$2:$AI$1001,MATCH(ROWS($AH$2:AH813),$AH$2:$AH$1001,0),1)&gt;=100000,INDEX($AO$1005:$BQ$1005,1,MATCH(COLUMNS($AO$1006:AX1006),$AO$1006:$BQ$1006,0))&gt;=100000), " ",IF(INDEX($AO$2:$BQ$1001,MATCH(ROWS($AH$2:AH813),$AH$2:$AH$1001,0),MATCH(COLUMNS($AO$1006:AX1006),$AO$1006:$BQ$1006,0)), HYPERLINK("#",""), HYPERLINK(CONCATENATE("#Metadata!", ADDRESS(INDEX($AJ$2:$AJ$1001,MATCH(ROWS($AH$2:AH813),$AH$2:$AH$1001,0),0), INDEX($AO$1004:$BQ$1004,1,MATCH(COLUMNS($AO$1006:AX1006),$AO$1006:$BQ$1006,0)))),"Fix")))</f>
        <v>#N/A</v>
      </c>
      <c r="L813" s="5" t="e">
        <f ca="1">IF(OR(INDEX($AI$2:$AI$1001,MATCH(ROWS($AH$2:AH813),$AH$2:$AH$1001,0),1)&gt;=100000,INDEX($AO$1005:$BQ$1005,1,MATCH(COLUMNS($AO$1006:AY1006),$AO$1006:$BQ$1006,0))&gt;=100000), " ",IF(INDEX($AO$2:$BQ$1001,MATCH(ROWS($AH$2:AH813),$AH$2:$AH$1001,0),MATCH(COLUMNS($AO$1006:AY1006),$AO$1006:$BQ$1006,0)), HYPERLINK("#",""), HYPERLINK(CONCATENATE("#Metadata!", ADDRESS(INDEX($AJ$2:$AJ$1001,MATCH(ROWS($AH$2:AH813),$AH$2:$AH$1001,0),0), INDEX($AO$1004:$BQ$1004,1,MATCH(COLUMNS($AO$1006:AY1006),$AO$1006:$BQ$1006,0)))),"Fix")))</f>
        <v>#N/A</v>
      </c>
      <c r="M813" s="5" t="e">
        <f ca="1">IF(OR(INDEX($AI$2:$AI$1001,MATCH(ROWS($AH$2:AH813),$AH$2:$AH$1001,0),1)&gt;=100000,INDEX($AO$1005:$BQ$1005,1,MATCH(COLUMNS($AO$1006:AZ1006),$AO$1006:$BQ$1006,0))&gt;=100000), " ",IF(INDEX($AO$2:$BQ$1001,MATCH(ROWS($AH$2:AH813),$AH$2:$AH$1001,0),MATCH(COLUMNS($AO$1006:AZ1006),$AO$1006:$BQ$1006,0)), HYPERLINK("#",""), HYPERLINK(CONCATENATE("#Metadata!", ADDRESS(INDEX($AJ$2:$AJ$1001,MATCH(ROWS($AH$2:AH813),$AH$2:$AH$1001,0),0), INDEX($AO$1004:$BQ$1004,1,MATCH(COLUMNS($AO$1006:AZ1006),$AO$1006:$BQ$1006,0)))),"Fix")))</f>
        <v>#N/A</v>
      </c>
      <c r="N813" s="5" t="e">
        <f ca="1">IF(OR(INDEX($AI$2:$AI$1001,MATCH(ROWS($AH$2:AH813),$AH$2:$AH$1001,0),1)&gt;=100000,INDEX($AO$1005:$BQ$1005,1,MATCH(COLUMNS($AO$1006:BA1006),$AO$1006:$BQ$1006,0))&gt;=100000), " ",IF(INDEX($AO$2:$BQ$1001,MATCH(ROWS($AH$2:AH813),$AH$2:$AH$1001,0),MATCH(COLUMNS($AO$1006:BA1006),$AO$1006:$BQ$1006,0)), HYPERLINK("#",""), HYPERLINK(CONCATENATE("#Metadata!", ADDRESS(INDEX($AJ$2:$AJ$1001,MATCH(ROWS($AH$2:AH813),$AH$2:$AH$1001,0),0), INDEX($AO$1004:$BQ$1004,1,MATCH(COLUMNS($AO$1006:BA1006),$AO$1006:$BQ$1006,0)))),"Fix")))</f>
        <v>#N/A</v>
      </c>
      <c r="O813" s="5" t="e">
        <f ca="1">IF(OR(INDEX($AI$2:$AI$1001,MATCH(ROWS($AH$2:AH813),$AH$2:$AH$1001,0),1)&gt;=100000,INDEX($AO$1005:$BQ$1005,1,MATCH(COLUMNS($AO$1006:BB1006),$AO$1006:$BQ$1006,0))&gt;=100000), " ",IF(INDEX($AO$2:$BQ$1001,MATCH(ROWS($AH$2:AH813),$AH$2:$AH$1001,0),MATCH(COLUMNS($AO$1006:BB1006),$AO$1006:$BQ$1006,0)), HYPERLINK("#",""), HYPERLINK(CONCATENATE("#Metadata!", ADDRESS(INDEX($AJ$2:$AJ$1001,MATCH(ROWS($AH$2:AH813),$AH$2:$AH$1001,0),0), INDEX($AO$1004:$BQ$1004,1,MATCH(COLUMNS($AO$1006:BB1006),$AO$1006:$BQ$1006,0)))),"Fix")))</f>
        <v>#N/A</v>
      </c>
      <c r="P813" s="5" t="e">
        <f ca="1">IF(OR(INDEX($AI$2:$AI$1001,MATCH(ROWS($AH$2:AH813),$AH$2:$AH$1001,0),1)&gt;=100000,INDEX($AO$1005:$BQ$1005,1,MATCH(COLUMNS($AO$1006:BC1006),$AO$1006:$BQ$1006,0))&gt;=100000), " ",IF(INDEX($AO$2:$BQ$1001,MATCH(ROWS($AH$2:AH813),$AH$2:$AH$1001,0),MATCH(COLUMNS($AO$1006:BC1006),$AO$1006:$BQ$1006,0)), HYPERLINK("#",""), HYPERLINK(CONCATENATE("#Metadata!", ADDRESS(INDEX($AJ$2:$AJ$1001,MATCH(ROWS($AH$2:AH813),$AH$2:$AH$1001,0),0), INDEX($AO$1004:$BQ$1004,1,MATCH(COLUMNS($AO$1006:BC1006),$AO$1006:$BQ$1006,0)))),"Fix")))</f>
        <v>#N/A</v>
      </c>
      <c r="Q813" s="5" t="e">
        <f ca="1">IF(OR(INDEX($AI$2:$AI$1001,MATCH(ROWS($AH$2:AH813),$AH$2:$AH$1001,0),1)&gt;=100000,INDEX($AO$1005:$BQ$1005,1,MATCH(COLUMNS($AO$1006:BD1006),$AO$1006:$BQ$1006,0))&gt;=100000), " ",IF(INDEX($AO$2:$BQ$1001,MATCH(ROWS($AH$2:AH813),$AH$2:$AH$1001,0),MATCH(COLUMNS($AO$1006:BD1006),$AO$1006:$BQ$1006,0)), HYPERLINK("#",""), HYPERLINK(CONCATENATE("#Metadata!", ADDRESS(INDEX($AJ$2:$AJ$1001,MATCH(ROWS($AH$2:AH813),$AH$2:$AH$1001,0),0), INDEX($AO$1004:$BQ$1004,1,MATCH(COLUMNS($AO$1006:BD1006),$AO$1006:$BQ$1006,0)))),"Fix")))</f>
        <v>#N/A</v>
      </c>
      <c r="R813" s="5" t="e">
        <f ca="1">IF(OR(INDEX($AI$2:$AI$1001,MATCH(ROWS($AH$2:AH813),$AH$2:$AH$1001,0),1)&gt;=100000,INDEX($AO$1005:$BQ$1005,1,MATCH(COLUMNS($AO$1006:BE1006),$AO$1006:$BQ$1006,0))&gt;=100000), " ",IF(INDEX($AO$2:$BQ$1001,MATCH(ROWS($AH$2:AH813),$AH$2:$AH$1001,0),MATCH(COLUMNS($AO$1006:BE1006),$AO$1006:$BQ$1006,0)), HYPERLINK("#",""), HYPERLINK(CONCATENATE("#Metadata!", ADDRESS(INDEX($AJ$2:$AJ$1001,MATCH(ROWS($AH$2:AH813),$AH$2:$AH$1001,0),0), INDEX($AO$1004:$BQ$1004,1,MATCH(COLUMNS($AO$1006:BE1006),$AO$1006:$BQ$1006,0)))),"Fix")))</f>
        <v>#N/A</v>
      </c>
      <c r="S813" s="5" t="e">
        <f ca="1">IF(OR(INDEX($AI$2:$AI$1001,MATCH(ROWS($AH$2:AH813),$AH$2:$AH$1001,0),1)&gt;=100000,INDEX($AO$1005:$BQ$1005,1,MATCH(COLUMNS($AO$1006:BF1006),$AO$1006:$BQ$1006,0))&gt;=100000), " ",IF(INDEX($AO$2:$BQ$1001,MATCH(ROWS($AH$2:AH813),$AH$2:$AH$1001,0),MATCH(COLUMNS($AO$1006:BF1006),$AO$1006:$BQ$1006,0)), HYPERLINK("#",""), HYPERLINK(CONCATENATE("#Metadata!", ADDRESS(INDEX($AJ$2:$AJ$1001,MATCH(ROWS($AH$2:AH813),$AH$2:$AH$1001,0),0), INDEX($AO$1004:$BQ$1004,1,MATCH(COLUMNS($AO$1006:BF1006),$AO$1006:$BQ$1006,0)))),"Fix")))</f>
        <v>#N/A</v>
      </c>
      <c r="T813" s="5" t="e">
        <f ca="1">IF(OR(INDEX($AI$2:$AI$1001,MATCH(ROWS($AH$2:AH813),$AH$2:$AH$1001,0),1)&gt;=100000,INDEX($AO$1005:$BQ$1005,1,MATCH(COLUMNS($AO$1006:BG1006),$AO$1006:$BQ$1006,0))&gt;=100000), " ",IF(INDEX($AO$2:$BQ$1001,MATCH(ROWS($AH$2:AH813),$AH$2:$AH$1001,0),MATCH(COLUMNS($AO$1006:BG1006),$AO$1006:$BQ$1006,0)), HYPERLINK("#",""), HYPERLINK(CONCATENATE("#Metadata!", ADDRESS(INDEX($AJ$2:$AJ$1001,MATCH(ROWS($AH$2:AH813),$AH$2:$AH$1001,0),0), INDEX($AO$1004:$BQ$1004,1,MATCH(COLUMNS($AO$1006:BG1006),$AO$1006:$BQ$1006,0)))),"Fix")))</f>
        <v>#N/A</v>
      </c>
      <c r="U813" s="5" t="e">
        <f ca="1">IF(OR(INDEX($AI$2:$AI$1001,MATCH(ROWS($AH$2:AH813),$AH$2:$AH$1001,0),1)&gt;=100000,INDEX($AO$1005:$BQ$1005,1,MATCH(COLUMNS($AO$1006:BH1006),$AO$1006:$BQ$1006,0))&gt;=100000), " ",IF(INDEX($AO$2:$BQ$1001,MATCH(ROWS($AH$2:AH813),$AH$2:$AH$1001,0),MATCH(COLUMNS($AO$1006:BH1006),$AO$1006:$BQ$1006,0)), HYPERLINK("#",""), HYPERLINK(CONCATENATE("#Metadata!", ADDRESS(INDEX($AJ$2:$AJ$1001,MATCH(ROWS($AH$2:AH813),$AH$2:$AH$1001,0),0), INDEX($AO$1004:$BQ$1004,1,MATCH(COLUMNS($AO$1006:BH1006),$AO$1006:$BQ$1006,0)))),"Fix")))</f>
        <v>#N/A</v>
      </c>
      <c r="V813" s="5" t="e">
        <f ca="1">IF(OR(INDEX($AI$2:$AI$1001,MATCH(ROWS($AH$2:AH813),$AH$2:$AH$1001,0),1)&gt;=100000,INDEX($AO$1005:$BQ$1005,1,MATCH(COLUMNS($AO$1006:BI1006),$AO$1006:$BQ$1006,0))&gt;=100000), " ",IF(INDEX($AO$2:$BQ$1001,MATCH(ROWS($AH$2:AH813),$AH$2:$AH$1001,0),MATCH(COLUMNS($AO$1006:BI1006),$AO$1006:$BQ$1006,0)), HYPERLINK("#",""), HYPERLINK(CONCATENATE("#Metadata!", ADDRESS(INDEX($AJ$2:$AJ$1001,MATCH(ROWS($AH$2:AH813),$AH$2:$AH$1001,0),0), INDEX($AO$1004:$BQ$1004,1,MATCH(COLUMNS($AO$1006:BI1006),$AO$1006:$BQ$1006,0)))),"Fix")))</f>
        <v>#N/A</v>
      </c>
      <c r="W813" s="5" t="e">
        <f ca="1">IF(OR(INDEX($AI$2:$AI$1001,MATCH(ROWS($AH$2:AH813),$AH$2:$AH$1001,0),1)&gt;=100000,INDEX($AO$1005:$BQ$1005,1,MATCH(COLUMNS($AO$1006:BJ1006),$AO$1006:$BQ$1006,0))&gt;=100000), " ",IF(INDEX($AO$2:$BQ$1001,MATCH(ROWS($AH$2:AH813),$AH$2:$AH$1001,0),MATCH(COLUMNS($AO$1006:BJ1006),$AO$1006:$BQ$1006,0)), HYPERLINK("#",""), HYPERLINK(CONCATENATE("#Metadata!", ADDRESS(INDEX($AJ$2:$AJ$1001,MATCH(ROWS($AH$2:AH813),$AH$2:$AH$1001,0),0), INDEX($AO$1004:$BQ$1004,1,MATCH(COLUMNS($AO$1006:BJ1006),$AO$1006:$BQ$1006,0)))),"Fix")))</f>
        <v>#N/A</v>
      </c>
      <c r="X813" s="5" t="e">
        <f ca="1">IF(OR(INDEX($AI$2:$AI$1001,MATCH(ROWS($AH$2:AH813),$AH$2:$AH$1001,0),1)&gt;=100000,INDEX($AO$1005:$BQ$1005,1,MATCH(COLUMNS($AO$1006:BK1006),$AO$1006:$BQ$1006,0))&gt;=100000), " ",IF(INDEX($AO$2:$BQ$1001,MATCH(ROWS($AH$2:AH813),$AH$2:$AH$1001,0),MATCH(COLUMNS($AO$1006:BK1006),$AO$1006:$BQ$1006,0)), HYPERLINK("#",""), HYPERLINK(CONCATENATE("#Metadata!", ADDRESS(INDEX($AJ$2:$AJ$1001,MATCH(ROWS($AH$2:AH813),$AH$2:$AH$1001,0),0), INDEX($AO$1004:$BQ$1004,1,MATCH(COLUMNS($AO$1006:BK1006),$AO$1006:$BQ$1006,0)))),"Fix")))</f>
        <v>#N/A</v>
      </c>
      <c r="Y813" s="5" t="e">
        <f ca="1">IF(OR(INDEX($AI$2:$AI$1001,MATCH(ROWS($AH$2:AH813),$AH$2:$AH$1001,0),1)&gt;=100000,INDEX($AO$1005:$BQ$1005,1,MATCH(COLUMNS($AO$1006:BL1006),$AO$1006:$BQ$1006,0))&gt;=100000), " ",IF(INDEX($AO$2:$BQ$1001,MATCH(ROWS($AH$2:AH813),$AH$2:$AH$1001,0),MATCH(COLUMNS($AO$1006:BL1006),$AO$1006:$BQ$1006,0)), HYPERLINK("#",""), HYPERLINK(CONCATENATE("#Metadata!", ADDRESS(INDEX($AJ$2:$AJ$1001,MATCH(ROWS($AH$2:AH813),$AH$2:$AH$1001,0),0), INDEX($AO$1004:$BQ$1004,1,MATCH(COLUMNS($AO$1006:BL1006),$AO$1006:$BQ$1006,0)))),"Fix")))</f>
        <v>#N/A</v>
      </c>
      <c r="Z813" s="5" t="e">
        <f ca="1">IF(OR(INDEX($AI$2:$AI$1001,MATCH(ROWS($AH$2:AH813),$AH$2:$AH$1001,0),1)&gt;=100000,INDEX($AO$1005:$BQ$1005,1,MATCH(COLUMNS($AO$1006:BM1006),$AO$1006:$BQ$1006,0))&gt;=100000), " ",IF(INDEX($AO$2:$BQ$1001,MATCH(ROWS($AH$2:AH813),$AH$2:$AH$1001,0),MATCH(COLUMNS($AO$1006:BM1006),$AO$1006:$BQ$1006,0)), HYPERLINK("#",""), HYPERLINK(CONCATENATE("#Metadata!", ADDRESS(INDEX($AJ$2:$AJ$1001,MATCH(ROWS($AH$2:AH813),$AH$2:$AH$1001,0),0), INDEX($AO$1004:$BQ$1004,1,MATCH(COLUMNS($AO$1006:BM1006),$AO$1006:$BQ$1006,0)))),"Fix")))</f>
        <v>#N/A</v>
      </c>
      <c r="AA813" s="5" t="e">
        <f ca="1">IF(OR(INDEX($AI$2:$AI$1001,MATCH(ROWS($AH$2:AH813),$AH$2:$AH$1001,0),1)&gt;=100000,INDEX($AO$1005:$BQ$1005,1,MATCH(COLUMNS($AO$1006:BN1006),$AO$1006:$BQ$1006,0))&gt;=100000), " ",IF(INDEX($AO$2:$BQ$1001,MATCH(ROWS($AH$2:AH813),$AH$2:$AH$1001,0),MATCH(COLUMNS($AO$1006:BN1006),$AO$1006:$BQ$1006,0)), HYPERLINK("#",""), HYPERLINK(CONCATENATE("#Metadata!", ADDRESS(INDEX($AJ$2:$AJ$1001,MATCH(ROWS($AH$2:AH813),$AH$2:$AH$1001,0),0), INDEX($AO$1004:$BQ$1004,1,MATCH(COLUMNS($AO$1006:BN1006),$AO$1006:$BQ$1006,0)))),"Fix")))</f>
        <v>#N/A</v>
      </c>
      <c r="AB813" s="5" t="e">
        <f ca="1">IF(OR(INDEX($AI$2:$AI$1001,MATCH(ROWS($AH$2:AH813),$AH$2:$AH$1001,0),1)&gt;=100000,INDEX($AO$1005:$BQ$1005,1,MATCH(COLUMNS($AO$1006:BO1006),$AO$1006:$BQ$1006,0))&gt;=100000), " ",IF(INDEX($AO$2:$BQ$1001,MATCH(ROWS($AH$2:AH813),$AH$2:$AH$1001,0),MATCH(COLUMNS($AO$1006:BO1006),$AO$1006:$BQ$1006,0)), HYPERLINK("#",""), HYPERLINK(CONCATENATE("#Metadata!", ADDRESS(INDEX($AJ$2:$AJ$1001,MATCH(ROWS($AH$2:AH813),$AH$2:$AH$1001,0),0), INDEX($AO$1004:$BQ$1004,1,MATCH(COLUMNS($AO$1006:BO1006),$AO$1006:$BQ$1006,0)))),"Fix")))</f>
        <v>#N/A</v>
      </c>
      <c r="AC813" s="5" t="e">
        <f ca="1">IF(OR(INDEX($AI$2:$AI$1001,MATCH(ROWS($AH$2:AH813),$AH$2:$AH$1001,0),1)&gt;=100000,INDEX($AO$1005:$BQ$1005,1,MATCH(COLUMNS($AO$1006:BP1006),$AO$1006:$BQ$1006,0))&gt;=100000), " ",IF(INDEX($AO$2:$BQ$1001,MATCH(ROWS($AH$2:AH813),$AH$2:$AH$1001,0),MATCH(COLUMNS($AO$1006:BP1006),$AO$1006:$BQ$1006,0)), HYPERLINK("#",""), HYPERLINK(CONCATENATE("#Metadata!", ADDRESS(INDEX($AJ$2:$AJ$1001,MATCH(ROWS($AH$2:AH813),$AH$2:$AH$1001,0),0), INDEX($AO$1004:$BQ$1004,1,MATCH(COLUMNS($AO$1006:BP1006),$AO$1006:$BQ$1006,0)))),"Fix")))</f>
        <v>#N/A</v>
      </c>
      <c r="AD813" s="5" t="e">
        <f ca="1">IF(OR(INDEX($AI$2:$AI$1001,MATCH(ROWS($AH$2:AH813),$AH$2:$AH$1001,0),1)&gt;=100000,INDEX($AO$1005:$BQ$1005,1,MATCH(COLUMNS($AO$1006:BQ1006),$AO$1006:$BQ$1006,0))&gt;=100000), " ",IF(INDEX($AO$2:$BQ$1001,MATCH(ROWS($AH$2:AH813),$AH$2:$AH$1001,0),MATCH(COLUMNS($AO$1006:BQ1006),$AO$1006:$BQ$1006,0)), HYPERLINK("#",""), HYPERLINK(CONCATENATE("#Metadata!", ADDRESS(INDEX($AJ$2:$AJ$1001,MATCH(ROWS($AH$2:AH813),$AH$2:$AH$1001,0),0), INDEX($AO$1004:$BQ$1004,1,MATCH(COLUMNS($AO$1006:BQ1006),$AO$1006:$BQ$1006,0)))),"Fix")))</f>
        <v>#REF!</v>
      </c>
      <c r="AH813">
        <f ca="1"/>
        <v>810</v>
      </c>
      <c r="AI813">
        <v>100813</v>
      </c>
      <c r="AJ813">
        <v>813</v>
      </c>
      <c r="AK813" t="b">
        <f t="shared" si="12"/>
        <v>1</v>
      </c>
      <c r="AL813" t="b">
        <f>COUNTBLANK(Metadata!B813:AD813)=COLUMNS(Metadata!B813:AD813)</f>
        <v>1</v>
      </c>
      <c r="AM813" t="str">
        <v/>
      </c>
      <c r="AO813" t="b">
        <f ca="1">AND(IF(Metadata!B813="",FALSE,TRUE),COUNTIF(Metadata!B:B, Metadata!B813) = 1,NOT(ISERROR(SUMPRODUCT(SEARCH(MID(Metadata!B813,ROW(INDIRECT("1:"&amp;LEN(Metadata!B813))), 1),"0123456789abcdefghijklmnopqrstuvwxyzABCDEFGHIJKLMNOPQRSTUVWXYZ.")))))</f>
        <v>0</v>
      </c>
      <c r="AP813" t="b">
        <f>IF(Metadata!C813="",FALSE,TRUE)</f>
        <v>0</v>
      </c>
      <c r="AQ813" t="b">
        <f>IF(Metadata!D813="",FALSE,TRUE)</f>
        <v>0</v>
      </c>
      <c r="AR813" t="b">
        <f ca="1">OR(AND(IF(Metadata!E813="",FALSE,TRUE),OR(EXACT(Metadata!E813,"not collected"),EXACT(Metadata!E813,"not provided"),EXACT(Metadata!E813,"restricted access"))),AND(IF(Metadata!E813="",FALSE,TRUE),AND(AND(IFERROR(INT(LEFT(Metadata!E813,4))&gt;1900,FALSE),IFERROR(INT(LEFT(Metadata!E813,4))&lt;=YEAR(NOW()),FALSE)), OR(MID(Metadata!E813,5,1)="", AND(AND(MID(Metadata!E813,5,1)="-",IFERROR(INT(MID(Metadata!E813,6,1))&gt;=0,FALSE),IFERROR(INT(MID(Metadata!E813,6,1))&lt;=1,FALSE),NOT(MID(Metadata!E813,7,1)=""),IFERROR(INT(MID(Metadata!E813,6,2))&gt;=1,FALSE),IFERROR(INT(MID(Metadata!E813,6,2))&lt;=12,FALSE)), OR(MID(Metadata!E813,8,1)="", AND(AND(MID(Metadata!E813,8,1)="-",IFERROR(INT(MID(Metadata!E813,9,1))&gt;=0,FALSE),IFERROR(INT(MID(Metadata!E813,9,1))&lt;=3,FALSE),NOT(MID(Metadata!E813,10,1)=""),IFERROR(INT(MID(Metadata!E813,9,2))&gt;=1,FALSE),IFERROR(INT(MID(Metadata!E813,9,2))&lt;=31,FALSE)), OR(MID(Metadata!E813,11,1)="", AND(AND(MID(Metadata!E813,11,1)=" ",IFERROR(INT(MID(Metadata!E813,12,1))&gt;=0,FALSE),IFERROR(INT(MID(Metadata!E813,12,1))&lt;=2,FALSE),NOT(MID(Metadata!E813,13,1)=""),IFERROR(INT(MID(Metadata!E813,12,2))&gt;=0,FALSE),IFERROR(INT(MID(Metadata!E813,12,2))&lt;=23,FALSE)), OR(MID(Metadata!E813,14,1)="", AND(AND(MID(Metadata!E813,14,1)=":",IFERROR(INT(MID(Metadata!E813,15,1))&gt;=0,FALSE),IFERROR(INT(MID(Metadata!E813,15,1))&lt;=5,FALSE),NOT(MID(Metadata!E813,16,1)=""),IFERROR(INT(MID(Metadata!E813,15,2))&gt;=0,FALSE),IFERROR(INT(MID(Metadata!E813,15,2))&lt;=59,FALSE)), OR(MID(Metadata!E813,17,1)="", AND(AND(MID(Metadata!E813,17,1)=":",IFERROR(INT(MID(Metadata!E813,18,1))&gt;=0,FALSE),IFERROR(INT(MID(Metadata!E813,18,1))&lt;=5,FALSE),NOT(MID(Metadata!E813,19,1)=""),IFERROR(INT(MID(Metadata!E813,18,2))&gt;=0,FALSE),IFERROR(INT(MID(Metadata!E813,18,2))&lt;=59,FALSE)), LEN(Metadata!E813)&lt;=19)))))))))))))</f>
        <v>0</v>
      </c>
      <c r="AS813" t="b">
        <f>IF(Metadata!F813="",FALSE,TRUE)</f>
        <v>0</v>
      </c>
      <c r="AT813" t="b">
        <f>OR(AND(IF(Metadata!G813="",FALSE,TRUE),OR(EXACT(Metadata!G813,"not collected"),EXACT(Metadata!G813,"not provided"))),AND(IF(Metadata!G813="",FALSE,TRUE),OR(EXACT(Metadata!G813,"TRUE"),EXACT(Metadata!G813,"FALSE"))))</f>
        <v>0</v>
      </c>
      <c r="AU813" t="b">
        <f>OR(AND(IF(Metadata!H813="",FALSE,TRUE),OR(EXACT(Metadata!H813,"not collected"),EXACT(Metadata!H813,"not provided"),EXACT(Metadata!H813,"restricted access"))),AND(IF(Metadata!H813="",FALSE,ISNUMBER(VALUE(Metadata!H813))),Metadata!H813&gt;=-413))</f>
        <v>0</v>
      </c>
      <c r="AV813" t="b">
        <f>AND(IF(Metadata!I813="",FALSE,TRUE),EXACT(Metadata!I813,"meters"))</f>
        <v>0</v>
      </c>
      <c r="AW813" t="b">
        <f>AND(IF(Metadata!J813="",FALSE,TRUE),EXACT(Metadata!J813,"free-living"))</f>
        <v>0</v>
      </c>
      <c r="AX813" t="b">
        <f>AND(IF(Metadata!K813="",FALSE,TRUE),OR(EXACT(Metadata!K813,"saline"),EXACT(Metadata!K813,"non-saline")))</f>
        <v>0</v>
      </c>
      <c r="AY813" t="b">
        <f>AND(IF(Metadata!L813="",FALSE,TRUE),OR(EXACT(Metadata!L813,"sub-surface (non-saline)"),EXACT(Metadata!L813,"surface (non-saline)"),EXACT(Metadata!L813,"water (non-saline)"),EXACT(Metadata!L813,"soil (non-saline)"),EXACT(Metadata!L813,"aerosol (non-saline)"),EXACT(Metadata!L813,"sediment (non-saline)"),EXACT(Metadata!L813,"surface (saline)"),EXACT(Metadata!L813,"water (saline)"),EXACT(Metadata!L813,"hypersaline (saline)"),EXACT(Metadata!L813,"aerosol (saline)"),EXACT(Metadata!L813,"sediment (saline)")))</f>
        <v>0</v>
      </c>
      <c r="AZ813" t="b">
        <f>IF(Metadata!M813="",FALSE,TRUE)</f>
        <v>0</v>
      </c>
      <c r="BA813" t="b">
        <f>IF(Metadata!N813="",FALSE,TRUE)</f>
        <v>0</v>
      </c>
      <c r="BB813" t="b">
        <f>IF(Metadata!O813="",FALSE,TRUE)</f>
        <v>0</v>
      </c>
      <c r="BC813" t="b">
        <f>AND(IF(Metadata!P813="",FALSE,TRUE),OR(EXACT(Metadata!P813,"air"),EXACT(Metadata!P813,"microbial mat/biofilm"),EXACT(Metadata!P813,"misc environment"),EXACT(Metadata!P813,"sediment"),EXACT(Metadata!P813,"soil"),EXACT(Metadata!P813,"wastewater/sludge"),EXACT(Metadata!P813,"water")))</f>
        <v>0</v>
      </c>
      <c r="BD813" t="b">
        <f>IF(Metadata!Q813="",FALSE,TRUE)</f>
        <v>0</v>
      </c>
      <c r="BE813" t="b">
        <f>IF(Metadata!R813="",FALSE,TRUE)</f>
        <v>0</v>
      </c>
      <c r="BF813" t="b">
        <f>OR(AND(IF(Metadata!S813="",FALSE,TRUE),OR(EXACT(Metadata!S813,"not collected"),EXACT(Metadata!S813,"not provided"),EXACT(Metadata!S813,"restricted access"))),AND(IF(Metadata!S813="",FALSE,ISNUMBER(VALUE(Metadata!S813))),Metadata!S813&gt;=-90,Metadata!S813&lt;=90))</f>
        <v>0</v>
      </c>
      <c r="BG813" t="b">
        <f>AND(IF(Metadata!T813="",FALSE,TRUE),EXACT(Metadata!T813,"Decimal degrees"))</f>
        <v>0</v>
      </c>
      <c r="BH813" t="b">
        <f>OR(AND(IF(Metadata!U813="",FALSE,TRUE),OR(EXACT(Metadata!U813,"not applicable"),EXACT(Metadata!U813,"not collected"))),IF(Metadata!U813="",FALSE,TRUE))</f>
        <v>0</v>
      </c>
      <c r="BI813" t="b">
        <f>OR(AND(IF(Metadata!V813="",FALSE,TRUE),OR(EXACT(Metadata!V813,"not collected"),EXACT(Metadata!V813,"not provided"),EXACT(Metadata!V813,"restricted access"))),AND(IF(Metadata!V813="",FALSE,ISNUMBER(VALUE(Metadata!V813))),Metadata!V813&gt;=-180,Metadata!V813&lt;=180))</f>
        <v>0</v>
      </c>
      <c r="BJ813" t="b">
        <f>AND(IF(Metadata!W813="",FALSE,TRUE),EXACT(Metadata!W813,"Decimal degrees"))</f>
        <v>0</v>
      </c>
      <c r="BK813" t="b">
        <f>IF(Metadata!X813="",FALSE,TRUE)</f>
        <v>0</v>
      </c>
      <c r="BL813" t="b">
        <f>OR(AND(IF(Metadata!Y813="",FALSE,TRUE),OR(EXACT(Metadata!Y813,"not collected"),EXACT(Metadata!Y813,"not provided"),EXACT(Metadata!Y813,"restricted access"))),AND(IF(Metadata!Y813="",FALSE,TRUE),OR(EXACT(Metadata!Y813,"TRUE"),EXACT(Metadata!Y813,"FALSE"))))</f>
        <v>0</v>
      </c>
      <c r="BM813" t="b">
        <f>OR(AND(IF(Metadata!Z813="",FALSE,TRUE),EXACT(Metadata!Z813,"not applicable")),AND(IF(Metadata!Z813="",FALSE,TRUE),OR(EXACT(Metadata!Z813,"beer"),EXACT(Metadata!Z813,"cheese"),EXACT(Metadata!Z813,"fresh water"),EXACT(Metadata!Z813,"marine sediment"),EXACT(Metadata!Z813,"sea water"),EXACT(Metadata!Z813,"sediment"),EXACT(Metadata!Z813,"soil"),EXACT(Metadata!Z813,"waste water"))))</f>
        <v>0</v>
      </c>
      <c r="BN813" t="b">
        <f>AND(IF(Metadata!AA813="",FALSE,TRUE),EXACT(Metadata!AA813,"metagenome"))</f>
        <v>0</v>
      </c>
      <c r="BO813" t="b">
        <f>AND(IF(Metadata!AB813="",FALSE,TRUE),EXACT(Metadata!AB813,"256318"))</f>
        <v>0</v>
      </c>
      <c r="BP813" t="b">
        <f>IF(Metadata!AC813="",FALSE,TRUE)</f>
        <v>0</v>
      </c>
      <c r="BQ813" t="b">
        <f>IF(Metadata!AD813="",FALSE,TRUE)</f>
        <v>0</v>
      </c>
    </row>
    <row r="814" spans="1:69" x14ac:dyDescent="0.2">
      <c r="A814" s="4" t="e">
        <f ca="1">IF(B814=" "," ",HYPERLINK(CONCATENATE("#metadata!",ADDRESS(INDEX($AJ$2:$AJ$1001,MATCH(ROWS($AH$2:AH814),$AH$2:$AH$1001,0),0),2)),INDEX($AM$2:$AM$1001,MATCH(ROWS($AH$2:AH814),$AH$2:$AH$1001,0),0)))</f>
        <v>#N/A</v>
      </c>
      <c r="B814" s="5" t="e">
        <f ca="1">IF(OR(INDEX($AI$2:$AI$1001,MATCH(ROWS($AH$2:AH814),$AH$2:$AH$1001,0),1)&gt;=100000,INDEX($AO$1005:$BQ$1005,1,MATCH(COLUMNS($AO$1006:AO1006),$AO$1006:$BQ$1006,0))&gt;=100000), " ",IF(INDEX($AO$2:$BQ$1001,MATCH(ROWS($AH$2:AH814),$AH$2:$AH$1001,0),MATCH(COLUMNS($AO$1006:AO1006),$AO$1006:$BQ$1006,0)), HYPERLINK("#",""), HYPERLINK(CONCATENATE("#Metadata!", ADDRESS(INDEX($AJ$2:$AJ$1001,MATCH(ROWS($AH$2:AH814),$AH$2:$AH$1001,0),0), INDEX($AO$1004:$BQ$1004,1,MATCH(COLUMNS($AO$1006:AO1006),$AO$1006:$BQ$1006,0)))),"Fix")))</f>
        <v>#N/A</v>
      </c>
      <c r="C814" s="5" t="e">
        <f ca="1">IF(OR(INDEX($AI$2:$AI$1001,MATCH(ROWS($AH$2:AH814),$AH$2:$AH$1001,0),1)&gt;=100000,INDEX($AO$1005:$BQ$1005,1,MATCH(COLUMNS($AO$1006:AP1006),$AO$1006:$BQ$1006,0))&gt;=100000), " ",IF(INDEX($AO$2:$BQ$1001,MATCH(ROWS($AH$2:AH814),$AH$2:$AH$1001,0),MATCH(COLUMNS($AO$1006:AP1006),$AO$1006:$BQ$1006,0)), HYPERLINK("#",""), HYPERLINK(CONCATENATE("#Metadata!", ADDRESS(INDEX($AJ$2:$AJ$1001,MATCH(ROWS($AH$2:AH814),$AH$2:$AH$1001,0),0), INDEX($AO$1004:$BQ$1004,1,MATCH(COLUMNS($AO$1006:AP1006),$AO$1006:$BQ$1006,0)))),"Fix")))</f>
        <v>#N/A</v>
      </c>
      <c r="D814" s="5" t="e">
        <f ca="1">IF(OR(INDEX($AI$2:$AI$1001,MATCH(ROWS($AH$2:AH814),$AH$2:$AH$1001,0),1)&gt;=100000,INDEX($AO$1005:$BQ$1005,1,MATCH(COLUMNS($AO$1006:AQ1006),$AO$1006:$BQ$1006,0))&gt;=100000), " ",IF(INDEX($AO$2:$BQ$1001,MATCH(ROWS($AH$2:AH814),$AH$2:$AH$1001,0),MATCH(COLUMNS($AO$1006:AQ1006),$AO$1006:$BQ$1006,0)), HYPERLINK("#",""), HYPERLINK(CONCATENATE("#Metadata!", ADDRESS(INDEX($AJ$2:$AJ$1001,MATCH(ROWS($AH$2:AH814),$AH$2:$AH$1001,0),0), INDEX($AO$1004:$BQ$1004,1,MATCH(COLUMNS($AO$1006:AQ1006),$AO$1006:$BQ$1006,0)))),"Fix")))</f>
        <v>#N/A</v>
      </c>
      <c r="E814" s="5" t="e">
        <f ca="1">IF(OR(INDEX($AI$2:$AI$1001,MATCH(ROWS($AH$2:AH814),$AH$2:$AH$1001,0),1)&gt;=100000,INDEX($AO$1005:$BQ$1005,1,MATCH(COLUMNS($AO$1006:AR1006),$AO$1006:$BQ$1006,0))&gt;=100000), " ",IF(INDEX($AO$2:$BQ$1001,MATCH(ROWS($AH$2:AH814),$AH$2:$AH$1001,0),MATCH(COLUMNS($AO$1006:AR1006),$AO$1006:$BQ$1006,0)), HYPERLINK("#",""), HYPERLINK(CONCATENATE("#Metadata!", ADDRESS(INDEX($AJ$2:$AJ$1001,MATCH(ROWS($AH$2:AH814),$AH$2:$AH$1001,0),0), INDEX($AO$1004:$BQ$1004,1,MATCH(COLUMNS($AO$1006:AR1006),$AO$1006:$BQ$1006,0)))),"Fix")))</f>
        <v>#N/A</v>
      </c>
      <c r="F814" s="5" t="e">
        <f ca="1">IF(OR(INDEX($AI$2:$AI$1001,MATCH(ROWS($AH$2:AH814),$AH$2:$AH$1001,0),1)&gt;=100000,INDEX($AO$1005:$BQ$1005,1,MATCH(COLUMNS($AO$1006:AS1006),$AO$1006:$BQ$1006,0))&gt;=100000), " ",IF(INDEX($AO$2:$BQ$1001,MATCH(ROWS($AH$2:AH814),$AH$2:$AH$1001,0),MATCH(COLUMNS($AO$1006:AS1006),$AO$1006:$BQ$1006,0)), HYPERLINK("#",""), HYPERLINK(CONCATENATE("#Metadata!", ADDRESS(INDEX($AJ$2:$AJ$1001,MATCH(ROWS($AH$2:AH814),$AH$2:$AH$1001,0),0), INDEX($AO$1004:$BQ$1004,1,MATCH(COLUMNS($AO$1006:AS1006),$AO$1006:$BQ$1006,0)))),"Fix")))</f>
        <v>#N/A</v>
      </c>
      <c r="G814" s="5" t="e">
        <f ca="1">IF(OR(INDEX($AI$2:$AI$1001,MATCH(ROWS($AH$2:AH814),$AH$2:$AH$1001,0),1)&gt;=100000,INDEX($AO$1005:$BQ$1005,1,MATCH(COLUMNS($AO$1006:AT1006),$AO$1006:$BQ$1006,0))&gt;=100000), " ",IF(INDEX($AO$2:$BQ$1001,MATCH(ROWS($AH$2:AH814),$AH$2:$AH$1001,0),MATCH(COLUMNS($AO$1006:AT1006),$AO$1006:$BQ$1006,0)), HYPERLINK("#",""), HYPERLINK(CONCATENATE("#Metadata!", ADDRESS(INDEX($AJ$2:$AJ$1001,MATCH(ROWS($AH$2:AH814),$AH$2:$AH$1001,0),0), INDEX($AO$1004:$BQ$1004,1,MATCH(COLUMNS($AO$1006:AT1006),$AO$1006:$BQ$1006,0)))),"Fix")))</f>
        <v>#N/A</v>
      </c>
      <c r="H814" s="5" t="e">
        <f ca="1">IF(OR(INDEX($AI$2:$AI$1001,MATCH(ROWS($AH$2:AH814),$AH$2:$AH$1001,0),1)&gt;=100000,INDEX($AO$1005:$BQ$1005,1,MATCH(COLUMNS($AO$1006:AU1006),$AO$1006:$BQ$1006,0))&gt;=100000), " ",IF(INDEX($AO$2:$BQ$1001,MATCH(ROWS($AH$2:AH814),$AH$2:$AH$1001,0),MATCH(COLUMNS($AO$1006:AU1006),$AO$1006:$BQ$1006,0)), HYPERLINK("#",""), HYPERLINK(CONCATENATE("#Metadata!", ADDRESS(INDEX($AJ$2:$AJ$1001,MATCH(ROWS($AH$2:AH814),$AH$2:$AH$1001,0),0), INDEX($AO$1004:$BQ$1004,1,MATCH(COLUMNS($AO$1006:AU1006),$AO$1006:$BQ$1006,0)))),"Fix")))</f>
        <v>#N/A</v>
      </c>
      <c r="I814" s="5" t="e">
        <f ca="1">IF(OR(INDEX($AI$2:$AI$1001,MATCH(ROWS($AH$2:AH814),$AH$2:$AH$1001,0),1)&gt;=100000,INDEX($AO$1005:$BQ$1005,1,MATCH(COLUMNS($AO$1006:AV1006),$AO$1006:$BQ$1006,0))&gt;=100000), " ",IF(INDEX($AO$2:$BQ$1001,MATCH(ROWS($AH$2:AH814),$AH$2:$AH$1001,0),MATCH(COLUMNS($AO$1006:AV1006),$AO$1006:$BQ$1006,0)), HYPERLINK("#",""), HYPERLINK(CONCATENATE("#Metadata!", ADDRESS(INDEX($AJ$2:$AJ$1001,MATCH(ROWS($AH$2:AH814),$AH$2:$AH$1001,0),0), INDEX($AO$1004:$BQ$1004,1,MATCH(COLUMNS($AO$1006:AV1006),$AO$1006:$BQ$1006,0)))),"Fix")))</f>
        <v>#N/A</v>
      </c>
      <c r="J814" s="5" t="e">
        <f ca="1">IF(OR(INDEX($AI$2:$AI$1001,MATCH(ROWS($AH$2:AH814),$AH$2:$AH$1001,0),1)&gt;=100000,INDEX($AO$1005:$BQ$1005,1,MATCH(COLUMNS($AO$1006:AW1006),$AO$1006:$BQ$1006,0))&gt;=100000), " ",IF(INDEX($AO$2:$BQ$1001,MATCH(ROWS($AH$2:AH814),$AH$2:$AH$1001,0),MATCH(COLUMNS($AO$1006:AW1006),$AO$1006:$BQ$1006,0)), HYPERLINK("#",""), HYPERLINK(CONCATENATE("#Metadata!", ADDRESS(INDEX($AJ$2:$AJ$1001,MATCH(ROWS($AH$2:AH814),$AH$2:$AH$1001,0),0), INDEX($AO$1004:$BQ$1004,1,MATCH(COLUMNS($AO$1006:AW1006),$AO$1006:$BQ$1006,0)))),"Fix")))</f>
        <v>#N/A</v>
      </c>
      <c r="K814" s="5" t="e">
        <f ca="1">IF(OR(INDEX($AI$2:$AI$1001,MATCH(ROWS($AH$2:AH814),$AH$2:$AH$1001,0),1)&gt;=100000,INDEX($AO$1005:$BQ$1005,1,MATCH(COLUMNS($AO$1006:AX1006),$AO$1006:$BQ$1006,0))&gt;=100000), " ",IF(INDEX($AO$2:$BQ$1001,MATCH(ROWS($AH$2:AH814),$AH$2:$AH$1001,0),MATCH(COLUMNS($AO$1006:AX1006),$AO$1006:$BQ$1006,0)), HYPERLINK("#",""), HYPERLINK(CONCATENATE("#Metadata!", ADDRESS(INDEX($AJ$2:$AJ$1001,MATCH(ROWS($AH$2:AH814),$AH$2:$AH$1001,0),0), INDEX($AO$1004:$BQ$1004,1,MATCH(COLUMNS($AO$1006:AX1006),$AO$1006:$BQ$1006,0)))),"Fix")))</f>
        <v>#N/A</v>
      </c>
      <c r="L814" s="5" t="e">
        <f ca="1">IF(OR(INDEX($AI$2:$AI$1001,MATCH(ROWS($AH$2:AH814),$AH$2:$AH$1001,0),1)&gt;=100000,INDEX($AO$1005:$BQ$1005,1,MATCH(COLUMNS($AO$1006:AY1006),$AO$1006:$BQ$1006,0))&gt;=100000), " ",IF(INDEX($AO$2:$BQ$1001,MATCH(ROWS($AH$2:AH814),$AH$2:$AH$1001,0),MATCH(COLUMNS($AO$1006:AY1006),$AO$1006:$BQ$1006,0)), HYPERLINK("#",""), HYPERLINK(CONCATENATE("#Metadata!", ADDRESS(INDEX($AJ$2:$AJ$1001,MATCH(ROWS($AH$2:AH814),$AH$2:$AH$1001,0),0), INDEX($AO$1004:$BQ$1004,1,MATCH(COLUMNS($AO$1006:AY1006),$AO$1006:$BQ$1006,0)))),"Fix")))</f>
        <v>#N/A</v>
      </c>
      <c r="M814" s="5" t="e">
        <f ca="1">IF(OR(INDEX($AI$2:$AI$1001,MATCH(ROWS($AH$2:AH814),$AH$2:$AH$1001,0),1)&gt;=100000,INDEX($AO$1005:$BQ$1005,1,MATCH(COLUMNS($AO$1006:AZ1006),$AO$1006:$BQ$1006,0))&gt;=100000), " ",IF(INDEX($AO$2:$BQ$1001,MATCH(ROWS($AH$2:AH814),$AH$2:$AH$1001,0),MATCH(COLUMNS($AO$1006:AZ1006),$AO$1006:$BQ$1006,0)), HYPERLINK("#",""), HYPERLINK(CONCATENATE("#Metadata!", ADDRESS(INDEX($AJ$2:$AJ$1001,MATCH(ROWS($AH$2:AH814),$AH$2:$AH$1001,0),0), INDEX($AO$1004:$BQ$1004,1,MATCH(COLUMNS($AO$1006:AZ1006),$AO$1006:$BQ$1006,0)))),"Fix")))</f>
        <v>#N/A</v>
      </c>
      <c r="N814" s="5" t="e">
        <f ca="1">IF(OR(INDEX($AI$2:$AI$1001,MATCH(ROWS($AH$2:AH814),$AH$2:$AH$1001,0),1)&gt;=100000,INDEX($AO$1005:$BQ$1005,1,MATCH(COLUMNS($AO$1006:BA1006),$AO$1006:$BQ$1006,0))&gt;=100000), " ",IF(INDEX($AO$2:$BQ$1001,MATCH(ROWS($AH$2:AH814),$AH$2:$AH$1001,0),MATCH(COLUMNS($AO$1006:BA1006),$AO$1006:$BQ$1006,0)), HYPERLINK("#",""), HYPERLINK(CONCATENATE("#Metadata!", ADDRESS(INDEX($AJ$2:$AJ$1001,MATCH(ROWS($AH$2:AH814),$AH$2:$AH$1001,0),0), INDEX($AO$1004:$BQ$1004,1,MATCH(COLUMNS($AO$1006:BA1006),$AO$1006:$BQ$1006,0)))),"Fix")))</f>
        <v>#N/A</v>
      </c>
      <c r="O814" s="5" t="e">
        <f ca="1">IF(OR(INDEX($AI$2:$AI$1001,MATCH(ROWS($AH$2:AH814),$AH$2:$AH$1001,0),1)&gt;=100000,INDEX($AO$1005:$BQ$1005,1,MATCH(COLUMNS($AO$1006:BB1006),$AO$1006:$BQ$1006,0))&gt;=100000), " ",IF(INDEX($AO$2:$BQ$1001,MATCH(ROWS($AH$2:AH814),$AH$2:$AH$1001,0),MATCH(COLUMNS($AO$1006:BB1006),$AO$1006:$BQ$1006,0)), HYPERLINK("#",""), HYPERLINK(CONCATENATE("#Metadata!", ADDRESS(INDEX($AJ$2:$AJ$1001,MATCH(ROWS($AH$2:AH814),$AH$2:$AH$1001,0),0), INDEX($AO$1004:$BQ$1004,1,MATCH(COLUMNS($AO$1006:BB1006),$AO$1006:$BQ$1006,0)))),"Fix")))</f>
        <v>#N/A</v>
      </c>
      <c r="P814" s="5" t="e">
        <f ca="1">IF(OR(INDEX($AI$2:$AI$1001,MATCH(ROWS($AH$2:AH814),$AH$2:$AH$1001,0),1)&gt;=100000,INDEX($AO$1005:$BQ$1005,1,MATCH(COLUMNS($AO$1006:BC1006),$AO$1006:$BQ$1006,0))&gt;=100000), " ",IF(INDEX($AO$2:$BQ$1001,MATCH(ROWS($AH$2:AH814),$AH$2:$AH$1001,0),MATCH(COLUMNS($AO$1006:BC1006),$AO$1006:$BQ$1006,0)), HYPERLINK("#",""), HYPERLINK(CONCATENATE("#Metadata!", ADDRESS(INDEX($AJ$2:$AJ$1001,MATCH(ROWS($AH$2:AH814),$AH$2:$AH$1001,0),0), INDEX($AO$1004:$BQ$1004,1,MATCH(COLUMNS($AO$1006:BC1006),$AO$1006:$BQ$1006,0)))),"Fix")))</f>
        <v>#N/A</v>
      </c>
      <c r="Q814" s="5" t="e">
        <f ca="1">IF(OR(INDEX($AI$2:$AI$1001,MATCH(ROWS($AH$2:AH814),$AH$2:$AH$1001,0),1)&gt;=100000,INDEX($AO$1005:$BQ$1005,1,MATCH(COLUMNS($AO$1006:BD1006),$AO$1006:$BQ$1006,0))&gt;=100000), " ",IF(INDEX($AO$2:$BQ$1001,MATCH(ROWS($AH$2:AH814),$AH$2:$AH$1001,0),MATCH(COLUMNS($AO$1006:BD1006),$AO$1006:$BQ$1006,0)), HYPERLINK("#",""), HYPERLINK(CONCATENATE("#Metadata!", ADDRESS(INDEX($AJ$2:$AJ$1001,MATCH(ROWS($AH$2:AH814),$AH$2:$AH$1001,0),0), INDEX($AO$1004:$BQ$1004,1,MATCH(COLUMNS($AO$1006:BD1006),$AO$1006:$BQ$1006,0)))),"Fix")))</f>
        <v>#N/A</v>
      </c>
      <c r="R814" s="5" t="e">
        <f ca="1">IF(OR(INDEX($AI$2:$AI$1001,MATCH(ROWS($AH$2:AH814),$AH$2:$AH$1001,0),1)&gt;=100000,INDEX($AO$1005:$BQ$1005,1,MATCH(COLUMNS($AO$1006:BE1006),$AO$1006:$BQ$1006,0))&gt;=100000), " ",IF(INDEX($AO$2:$BQ$1001,MATCH(ROWS($AH$2:AH814),$AH$2:$AH$1001,0),MATCH(COLUMNS($AO$1006:BE1006),$AO$1006:$BQ$1006,0)), HYPERLINK("#",""), HYPERLINK(CONCATENATE("#Metadata!", ADDRESS(INDEX($AJ$2:$AJ$1001,MATCH(ROWS($AH$2:AH814),$AH$2:$AH$1001,0),0), INDEX($AO$1004:$BQ$1004,1,MATCH(COLUMNS($AO$1006:BE1006),$AO$1006:$BQ$1006,0)))),"Fix")))</f>
        <v>#N/A</v>
      </c>
      <c r="S814" s="5" t="e">
        <f ca="1">IF(OR(INDEX($AI$2:$AI$1001,MATCH(ROWS($AH$2:AH814),$AH$2:$AH$1001,0),1)&gt;=100000,INDEX($AO$1005:$BQ$1005,1,MATCH(COLUMNS($AO$1006:BF1006),$AO$1006:$BQ$1006,0))&gt;=100000), " ",IF(INDEX($AO$2:$BQ$1001,MATCH(ROWS($AH$2:AH814),$AH$2:$AH$1001,0),MATCH(COLUMNS($AO$1006:BF1006),$AO$1006:$BQ$1006,0)), HYPERLINK("#",""), HYPERLINK(CONCATENATE("#Metadata!", ADDRESS(INDEX($AJ$2:$AJ$1001,MATCH(ROWS($AH$2:AH814),$AH$2:$AH$1001,0),0), INDEX($AO$1004:$BQ$1004,1,MATCH(COLUMNS($AO$1006:BF1006),$AO$1006:$BQ$1006,0)))),"Fix")))</f>
        <v>#N/A</v>
      </c>
      <c r="T814" s="5" t="e">
        <f ca="1">IF(OR(INDEX($AI$2:$AI$1001,MATCH(ROWS($AH$2:AH814),$AH$2:$AH$1001,0),1)&gt;=100000,INDEX($AO$1005:$BQ$1005,1,MATCH(COLUMNS($AO$1006:BG1006),$AO$1006:$BQ$1006,0))&gt;=100000), " ",IF(INDEX($AO$2:$BQ$1001,MATCH(ROWS($AH$2:AH814),$AH$2:$AH$1001,0),MATCH(COLUMNS($AO$1006:BG1006),$AO$1006:$BQ$1006,0)), HYPERLINK("#",""), HYPERLINK(CONCATENATE("#Metadata!", ADDRESS(INDEX($AJ$2:$AJ$1001,MATCH(ROWS($AH$2:AH814),$AH$2:$AH$1001,0),0), INDEX($AO$1004:$BQ$1004,1,MATCH(COLUMNS($AO$1006:BG1006),$AO$1006:$BQ$1006,0)))),"Fix")))</f>
        <v>#N/A</v>
      </c>
      <c r="U814" s="5" t="e">
        <f ca="1">IF(OR(INDEX($AI$2:$AI$1001,MATCH(ROWS($AH$2:AH814),$AH$2:$AH$1001,0),1)&gt;=100000,INDEX($AO$1005:$BQ$1005,1,MATCH(COLUMNS($AO$1006:BH1006),$AO$1006:$BQ$1006,0))&gt;=100000), " ",IF(INDEX($AO$2:$BQ$1001,MATCH(ROWS($AH$2:AH814),$AH$2:$AH$1001,0),MATCH(COLUMNS($AO$1006:BH1006),$AO$1006:$BQ$1006,0)), HYPERLINK("#",""), HYPERLINK(CONCATENATE("#Metadata!", ADDRESS(INDEX($AJ$2:$AJ$1001,MATCH(ROWS($AH$2:AH814),$AH$2:$AH$1001,0),0), INDEX($AO$1004:$BQ$1004,1,MATCH(COLUMNS($AO$1006:BH1006),$AO$1006:$BQ$1006,0)))),"Fix")))</f>
        <v>#N/A</v>
      </c>
      <c r="V814" s="5" t="e">
        <f ca="1">IF(OR(INDEX($AI$2:$AI$1001,MATCH(ROWS($AH$2:AH814),$AH$2:$AH$1001,0),1)&gt;=100000,INDEX($AO$1005:$BQ$1005,1,MATCH(COLUMNS($AO$1006:BI1006),$AO$1006:$BQ$1006,0))&gt;=100000), " ",IF(INDEX($AO$2:$BQ$1001,MATCH(ROWS($AH$2:AH814),$AH$2:$AH$1001,0),MATCH(COLUMNS($AO$1006:BI1006),$AO$1006:$BQ$1006,0)), HYPERLINK("#",""), HYPERLINK(CONCATENATE("#Metadata!", ADDRESS(INDEX($AJ$2:$AJ$1001,MATCH(ROWS($AH$2:AH814),$AH$2:$AH$1001,0),0), INDEX($AO$1004:$BQ$1004,1,MATCH(COLUMNS($AO$1006:BI1006),$AO$1006:$BQ$1006,0)))),"Fix")))</f>
        <v>#N/A</v>
      </c>
      <c r="W814" s="5" t="e">
        <f ca="1">IF(OR(INDEX($AI$2:$AI$1001,MATCH(ROWS($AH$2:AH814),$AH$2:$AH$1001,0),1)&gt;=100000,INDEX($AO$1005:$BQ$1005,1,MATCH(COLUMNS($AO$1006:BJ1006),$AO$1006:$BQ$1006,0))&gt;=100000), " ",IF(INDEX($AO$2:$BQ$1001,MATCH(ROWS($AH$2:AH814),$AH$2:$AH$1001,0),MATCH(COLUMNS($AO$1006:BJ1006),$AO$1006:$BQ$1006,0)), HYPERLINK("#",""), HYPERLINK(CONCATENATE("#Metadata!", ADDRESS(INDEX($AJ$2:$AJ$1001,MATCH(ROWS($AH$2:AH814),$AH$2:$AH$1001,0),0), INDEX($AO$1004:$BQ$1004,1,MATCH(COLUMNS($AO$1006:BJ1006),$AO$1006:$BQ$1006,0)))),"Fix")))</f>
        <v>#N/A</v>
      </c>
      <c r="X814" s="5" t="e">
        <f ca="1">IF(OR(INDEX($AI$2:$AI$1001,MATCH(ROWS($AH$2:AH814),$AH$2:$AH$1001,0),1)&gt;=100000,INDEX($AO$1005:$BQ$1005,1,MATCH(COLUMNS($AO$1006:BK1006),$AO$1006:$BQ$1006,0))&gt;=100000), " ",IF(INDEX($AO$2:$BQ$1001,MATCH(ROWS($AH$2:AH814),$AH$2:$AH$1001,0),MATCH(COLUMNS($AO$1006:BK1006),$AO$1006:$BQ$1006,0)), HYPERLINK("#",""), HYPERLINK(CONCATENATE("#Metadata!", ADDRESS(INDEX($AJ$2:$AJ$1001,MATCH(ROWS($AH$2:AH814),$AH$2:$AH$1001,0),0), INDEX($AO$1004:$BQ$1004,1,MATCH(COLUMNS($AO$1006:BK1006),$AO$1006:$BQ$1006,0)))),"Fix")))</f>
        <v>#N/A</v>
      </c>
      <c r="Y814" s="5" t="e">
        <f ca="1">IF(OR(INDEX($AI$2:$AI$1001,MATCH(ROWS($AH$2:AH814),$AH$2:$AH$1001,0),1)&gt;=100000,INDEX($AO$1005:$BQ$1005,1,MATCH(COLUMNS($AO$1006:BL1006),$AO$1006:$BQ$1006,0))&gt;=100000), " ",IF(INDEX($AO$2:$BQ$1001,MATCH(ROWS($AH$2:AH814),$AH$2:$AH$1001,0),MATCH(COLUMNS($AO$1006:BL1006),$AO$1006:$BQ$1006,0)), HYPERLINK("#",""), HYPERLINK(CONCATENATE("#Metadata!", ADDRESS(INDEX($AJ$2:$AJ$1001,MATCH(ROWS($AH$2:AH814),$AH$2:$AH$1001,0),0), INDEX($AO$1004:$BQ$1004,1,MATCH(COLUMNS($AO$1006:BL1006),$AO$1006:$BQ$1006,0)))),"Fix")))</f>
        <v>#N/A</v>
      </c>
      <c r="Z814" s="5" t="e">
        <f ca="1">IF(OR(INDEX($AI$2:$AI$1001,MATCH(ROWS($AH$2:AH814),$AH$2:$AH$1001,0),1)&gt;=100000,INDEX($AO$1005:$BQ$1005,1,MATCH(COLUMNS($AO$1006:BM1006),$AO$1006:$BQ$1006,0))&gt;=100000), " ",IF(INDEX($AO$2:$BQ$1001,MATCH(ROWS($AH$2:AH814),$AH$2:$AH$1001,0),MATCH(COLUMNS($AO$1006:BM1006),$AO$1006:$BQ$1006,0)), HYPERLINK("#",""), HYPERLINK(CONCATENATE("#Metadata!", ADDRESS(INDEX($AJ$2:$AJ$1001,MATCH(ROWS($AH$2:AH814),$AH$2:$AH$1001,0),0), INDEX($AO$1004:$BQ$1004,1,MATCH(COLUMNS($AO$1006:BM1006),$AO$1006:$BQ$1006,0)))),"Fix")))</f>
        <v>#N/A</v>
      </c>
      <c r="AA814" s="5" t="e">
        <f ca="1">IF(OR(INDEX($AI$2:$AI$1001,MATCH(ROWS($AH$2:AH814),$AH$2:$AH$1001,0),1)&gt;=100000,INDEX($AO$1005:$BQ$1005,1,MATCH(COLUMNS($AO$1006:BN1006),$AO$1006:$BQ$1006,0))&gt;=100000), " ",IF(INDEX($AO$2:$BQ$1001,MATCH(ROWS($AH$2:AH814),$AH$2:$AH$1001,0),MATCH(COLUMNS($AO$1006:BN1006),$AO$1006:$BQ$1006,0)), HYPERLINK("#",""), HYPERLINK(CONCATENATE("#Metadata!", ADDRESS(INDEX($AJ$2:$AJ$1001,MATCH(ROWS($AH$2:AH814),$AH$2:$AH$1001,0),0), INDEX($AO$1004:$BQ$1004,1,MATCH(COLUMNS($AO$1006:BN1006),$AO$1006:$BQ$1006,0)))),"Fix")))</f>
        <v>#N/A</v>
      </c>
      <c r="AB814" s="5" t="e">
        <f ca="1">IF(OR(INDEX($AI$2:$AI$1001,MATCH(ROWS($AH$2:AH814),$AH$2:$AH$1001,0),1)&gt;=100000,INDEX($AO$1005:$BQ$1005,1,MATCH(COLUMNS($AO$1006:BO1006),$AO$1006:$BQ$1006,0))&gt;=100000), " ",IF(INDEX($AO$2:$BQ$1001,MATCH(ROWS($AH$2:AH814),$AH$2:$AH$1001,0),MATCH(COLUMNS($AO$1006:BO1006),$AO$1006:$BQ$1006,0)), HYPERLINK("#",""), HYPERLINK(CONCATENATE("#Metadata!", ADDRESS(INDEX($AJ$2:$AJ$1001,MATCH(ROWS($AH$2:AH814),$AH$2:$AH$1001,0),0), INDEX($AO$1004:$BQ$1004,1,MATCH(COLUMNS($AO$1006:BO1006),$AO$1006:$BQ$1006,0)))),"Fix")))</f>
        <v>#N/A</v>
      </c>
      <c r="AC814" s="5" t="e">
        <f ca="1">IF(OR(INDEX($AI$2:$AI$1001,MATCH(ROWS($AH$2:AH814),$AH$2:$AH$1001,0),1)&gt;=100000,INDEX($AO$1005:$BQ$1005,1,MATCH(COLUMNS($AO$1006:BP1006),$AO$1006:$BQ$1006,0))&gt;=100000), " ",IF(INDEX($AO$2:$BQ$1001,MATCH(ROWS($AH$2:AH814),$AH$2:$AH$1001,0),MATCH(COLUMNS($AO$1006:BP1006),$AO$1006:$BQ$1006,0)), HYPERLINK("#",""), HYPERLINK(CONCATENATE("#Metadata!", ADDRESS(INDEX($AJ$2:$AJ$1001,MATCH(ROWS($AH$2:AH814),$AH$2:$AH$1001,0),0), INDEX($AO$1004:$BQ$1004,1,MATCH(COLUMNS($AO$1006:BP1006),$AO$1006:$BQ$1006,0)))),"Fix")))</f>
        <v>#N/A</v>
      </c>
      <c r="AD814" s="5" t="e">
        <f ca="1">IF(OR(INDEX($AI$2:$AI$1001,MATCH(ROWS($AH$2:AH814),$AH$2:$AH$1001,0),1)&gt;=100000,INDEX($AO$1005:$BQ$1005,1,MATCH(COLUMNS($AO$1006:BQ1006),$AO$1006:$BQ$1006,0))&gt;=100000), " ",IF(INDEX($AO$2:$BQ$1001,MATCH(ROWS($AH$2:AH814),$AH$2:$AH$1001,0),MATCH(COLUMNS($AO$1006:BQ1006),$AO$1006:$BQ$1006,0)), HYPERLINK("#",""), HYPERLINK(CONCATENATE("#Metadata!", ADDRESS(INDEX($AJ$2:$AJ$1001,MATCH(ROWS($AH$2:AH814),$AH$2:$AH$1001,0),0), INDEX($AO$1004:$BQ$1004,1,MATCH(COLUMNS($AO$1006:BQ1006),$AO$1006:$BQ$1006,0)))),"Fix")))</f>
        <v>#REF!</v>
      </c>
      <c r="AH814">
        <f ca="1"/>
        <v>811</v>
      </c>
      <c r="AI814">
        <v>100814</v>
      </c>
      <c r="AJ814">
        <v>814</v>
      </c>
      <c r="AK814" t="b">
        <f t="shared" si="12"/>
        <v>1</v>
      </c>
      <c r="AL814" t="b">
        <f>COUNTBLANK(Metadata!B814:AD814)=COLUMNS(Metadata!B814:AD814)</f>
        <v>1</v>
      </c>
      <c r="AM814" t="str">
        <v/>
      </c>
      <c r="AO814" t="b">
        <f ca="1">AND(IF(Metadata!B814="",FALSE,TRUE),COUNTIF(Metadata!B:B, Metadata!B814) = 1,NOT(ISERROR(SUMPRODUCT(SEARCH(MID(Metadata!B814,ROW(INDIRECT("1:"&amp;LEN(Metadata!B814))), 1),"0123456789abcdefghijklmnopqrstuvwxyzABCDEFGHIJKLMNOPQRSTUVWXYZ.")))))</f>
        <v>0</v>
      </c>
      <c r="AP814" t="b">
        <f>IF(Metadata!C814="",FALSE,TRUE)</f>
        <v>0</v>
      </c>
      <c r="AQ814" t="b">
        <f>IF(Metadata!D814="",FALSE,TRUE)</f>
        <v>0</v>
      </c>
      <c r="AR814" t="b">
        <f ca="1">OR(AND(IF(Metadata!E814="",FALSE,TRUE),OR(EXACT(Metadata!E814,"not collected"),EXACT(Metadata!E814,"not provided"),EXACT(Metadata!E814,"restricted access"))),AND(IF(Metadata!E814="",FALSE,TRUE),AND(AND(IFERROR(INT(LEFT(Metadata!E814,4))&gt;1900,FALSE),IFERROR(INT(LEFT(Metadata!E814,4))&lt;=YEAR(NOW()),FALSE)), OR(MID(Metadata!E814,5,1)="", AND(AND(MID(Metadata!E814,5,1)="-",IFERROR(INT(MID(Metadata!E814,6,1))&gt;=0,FALSE),IFERROR(INT(MID(Metadata!E814,6,1))&lt;=1,FALSE),NOT(MID(Metadata!E814,7,1)=""),IFERROR(INT(MID(Metadata!E814,6,2))&gt;=1,FALSE),IFERROR(INT(MID(Metadata!E814,6,2))&lt;=12,FALSE)), OR(MID(Metadata!E814,8,1)="", AND(AND(MID(Metadata!E814,8,1)="-",IFERROR(INT(MID(Metadata!E814,9,1))&gt;=0,FALSE),IFERROR(INT(MID(Metadata!E814,9,1))&lt;=3,FALSE),NOT(MID(Metadata!E814,10,1)=""),IFERROR(INT(MID(Metadata!E814,9,2))&gt;=1,FALSE),IFERROR(INT(MID(Metadata!E814,9,2))&lt;=31,FALSE)), OR(MID(Metadata!E814,11,1)="", AND(AND(MID(Metadata!E814,11,1)=" ",IFERROR(INT(MID(Metadata!E814,12,1))&gt;=0,FALSE),IFERROR(INT(MID(Metadata!E814,12,1))&lt;=2,FALSE),NOT(MID(Metadata!E814,13,1)=""),IFERROR(INT(MID(Metadata!E814,12,2))&gt;=0,FALSE),IFERROR(INT(MID(Metadata!E814,12,2))&lt;=23,FALSE)), OR(MID(Metadata!E814,14,1)="", AND(AND(MID(Metadata!E814,14,1)=":",IFERROR(INT(MID(Metadata!E814,15,1))&gt;=0,FALSE),IFERROR(INT(MID(Metadata!E814,15,1))&lt;=5,FALSE),NOT(MID(Metadata!E814,16,1)=""),IFERROR(INT(MID(Metadata!E814,15,2))&gt;=0,FALSE),IFERROR(INT(MID(Metadata!E814,15,2))&lt;=59,FALSE)), OR(MID(Metadata!E814,17,1)="", AND(AND(MID(Metadata!E814,17,1)=":",IFERROR(INT(MID(Metadata!E814,18,1))&gt;=0,FALSE),IFERROR(INT(MID(Metadata!E814,18,1))&lt;=5,FALSE),NOT(MID(Metadata!E814,19,1)=""),IFERROR(INT(MID(Metadata!E814,18,2))&gt;=0,FALSE),IFERROR(INT(MID(Metadata!E814,18,2))&lt;=59,FALSE)), LEN(Metadata!E814)&lt;=19)))))))))))))</f>
        <v>0</v>
      </c>
      <c r="AS814" t="b">
        <f>IF(Metadata!F814="",FALSE,TRUE)</f>
        <v>0</v>
      </c>
      <c r="AT814" t="b">
        <f>OR(AND(IF(Metadata!G814="",FALSE,TRUE),OR(EXACT(Metadata!G814,"not collected"),EXACT(Metadata!G814,"not provided"))),AND(IF(Metadata!G814="",FALSE,TRUE),OR(EXACT(Metadata!G814,"TRUE"),EXACT(Metadata!G814,"FALSE"))))</f>
        <v>0</v>
      </c>
      <c r="AU814" t="b">
        <f>OR(AND(IF(Metadata!H814="",FALSE,TRUE),OR(EXACT(Metadata!H814,"not collected"),EXACT(Metadata!H814,"not provided"),EXACT(Metadata!H814,"restricted access"))),AND(IF(Metadata!H814="",FALSE,ISNUMBER(VALUE(Metadata!H814))),Metadata!H814&gt;=-413))</f>
        <v>0</v>
      </c>
      <c r="AV814" t="b">
        <f>AND(IF(Metadata!I814="",FALSE,TRUE),EXACT(Metadata!I814,"meters"))</f>
        <v>0</v>
      </c>
      <c r="AW814" t="b">
        <f>AND(IF(Metadata!J814="",FALSE,TRUE),EXACT(Metadata!J814,"free-living"))</f>
        <v>0</v>
      </c>
      <c r="AX814" t="b">
        <f>AND(IF(Metadata!K814="",FALSE,TRUE),OR(EXACT(Metadata!K814,"saline"),EXACT(Metadata!K814,"non-saline")))</f>
        <v>0</v>
      </c>
      <c r="AY814" t="b">
        <f>AND(IF(Metadata!L814="",FALSE,TRUE),OR(EXACT(Metadata!L814,"sub-surface (non-saline)"),EXACT(Metadata!L814,"surface (non-saline)"),EXACT(Metadata!L814,"water (non-saline)"),EXACT(Metadata!L814,"soil (non-saline)"),EXACT(Metadata!L814,"aerosol (non-saline)"),EXACT(Metadata!L814,"sediment (non-saline)"),EXACT(Metadata!L814,"surface (saline)"),EXACT(Metadata!L814,"water (saline)"),EXACT(Metadata!L814,"hypersaline (saline)"),EXACT(Metadata!L814,"aerosol (saline)"),EXACT(Metadata!L814,"sediment (saline)")))</f>
        <v>0</v>
      </c>
      <c r="AZ814" t="b">
        <f>IF(Metadata!M814="",FALSE,TRUE)</f>
        <v>0</v>
      </c>
      <c r="BA814" t="b">
        <f>IF(Metadata!N814="",FALSE,TRUE)</f>
        <v>0</v>
      </c>
      <c r="BB814" t="b">
        <f>IF(Metadata!O814="",FALSE,TRUE)</f>
        <v>0</v>
      </c>
      <c r="BC814" t="b">
        <f>AND(IF(Metadata!P814="",FALSE,TRUE),OR(EXACT(Metadata!P814,"air"),EXACT(Metadata!P814,"microbial mat/biofilm"),EXACT(Metadata!P814,"misc environment"),EXACT(Metadata!P814,"sediment"),EXACT(Metadata!P814,"soil"),EXACT(Metadata!P814,"wastewater/sludge"),EXACT(Metadata!P814,"water")))</f>
        <v>0</v>
      </c>
      <c r="BD814" t="b">
        <f>IF(Metadata!Q814="",FALSE,TRUE)</f>
        <v>0</v>
      </c>
      <c r="BE814" t="b">
        <f>IF(Metadata!R814="",FALSE,TRUE)</f>
        <v>0</v>
      </c>
      <c r="BF814" t="b">
        <f>OR(AND(IF(Metadata!S814="",FALSE,TRUE),OR(EXACT(Metadata!S814,"not collected"),EXACT(Metadata!S814,"not provided"),EXACT(Metadata!S814,"restricted access"))),AND(IF(Metadata!S814="",FALSE,ISNUMBER(VALUE(Metadata!S814))),Metadata!S814&gt;=-90,Metadata!S814&lt;=90))</f>
        <v>0</v>
      </c>
      <c r="BG814" t="b">
        <f>AND(IF(Metadata!T814="",FALSE,TRUE),EXACT(Metadata!T814,"Decimal degrees"))</f>
        <v>0</v>
      </c>
      <c r="BH814" t="b">
        <f>OR(AND(IF(Metadata!U814="",FALSE,TRUE),OR(EXACT(Metadata!U814,"not applicable"),EXACT(Metadata!U814,"not collected"))),IF(Metadata!U814="",FALSE,TRUE))</f>
        <v>0</v>
      </c>
      <c r="BI814" t="b">
        <f>OR(AND(IF(Metadata!V814="",FALSE,TRUE),OR(EXACT(Metadata!V814,"not collected"),EXACT(Metadata!V814,"not provided"),EXACT(Metadata!V814,"restricted access"))),AND(IF(Metadata!V814="",FALSE,ISNUMBER(VALUE(Metadata!V814))),Metadata!V814&gt;=-180,Metadata!V814&lt;=180))</f>
        <v>0</v>
      </c>
      <c r="BJ814" t="b">
        <f>AND(IF(Metadata!W814="",FALSE,TRUE),EXACT(Metadata!W814,"Decimal degrees"))</f>
        <v>0</v>
      </c>
      <c r="BK814" t="b">
        <f>IF(Metadata!X814="",FALSE,TRUE)</f>
        <v>0</v>
      </c>
      <c r="BL814" t="b">
        <f>OR(AND(IF(Metadata!Y814="",FALSE,TRUE),OR(EXACT(Metadata!Y814,"not collected"),EXACT(Metadata!Y814,"not provided"),EXACT(Metadata!Y814,"restricted access"))),AND(IF(Metadata!Y814="",FALSE,TRUE),OR(EXACT(Metadata!Y814,"TRUE"),EXACT(Metadata!Y814,"FALSE"))))</f>
        <v>0</v>
      </c>
      <c r="BM814" t="b">
        <f>OR(AND(IF(Metadata!Z814="",FALSE,TRUE),EXACT(Metadata!Z814,"not applicable")),AND(IF(Metadata!Z814="",FALSE,TRUE),OR(EXACT(Metadata!Z814,"beer"),EXACT(Metadata!Z814,"cheese"),EXACT(Metadata!Z814,"fresh water"),EXACT(Metadata!Z814,"marine sediment"),EXACT(Metadata!Z814,"sea water"),EXACT(Metadata!Z814,"sediment"),EXACT(Metadata!Z814,"soil"),EXACT(Metadata!Z814,"waste water"))))</f>
        <v>0</v>
      </c>
      <c r="BN814" t="b">
        <f>AND(IF(Metadata!AA814="",FALSE,TRUE),EXACT(Metadata!AA814,"metagenome"))</f>
        <v>0</v>
      </c>
      <c r="BO814" t="b">
        <f>AND(IF(Metadata!AB814="",FALSE,TRUE),EXACT(Metadata!AB814,"256318"))</f>
        <v>0</v>
      </c>
      <c r="BP814" t="b">
        <f>IF(Metadata!AC814="",FALSE,TRUE)</f>
        <v>0</v>
      </c>
      <c r="BQ814" t="b">
        <f>IF(Metadata!AD814="",FALSE,TRUE)</f>
        <v>0</v>
      </c>
    </row>
    <row r="815" spans="1:69" x14ac:dyDescent="0.2">
      <c r="A815" s="4" t="e">
        <f ca="1">IF(B815=" "," ",HYPERLINK(CONCATENATE("#metadata!",ADDRESS(INDEX($AJ$2:$AJ$1001,MATCH(ROWS($AH$2:AH815),$AH$2:$AH$1001,0),0),2)),INDEX($AM$2:$AM$1001,MATCH(ROWS($AH$2:AH815),$AH$2:$AH$1001,0),0)))</f>
        <v>#N/A</v>
      </c>
      <c r="B815" s="5" t="e">
        <f ca="1">IF(OR(INDEX($AI$2:$AI$1001,MATCH(ROWS($AH$2:AH815),$AH$2:$AH$1001,0),1)&gt;=100000,INDEX($AO$1005:$BQ$1005,1,MATCH(COLUMNS($AO$1006:AO1006),$AO$1006:$BQ$1006,0))&gt;=100000), " ",IF(INDEX($AO$2:$BQ$1001,MATCH(ROWS($AH$2:AH815),$AH$2:$AH$1001,0),MATCH(COLUMNS($AO$1006:AO1006),$AO$1006:$BQ$1006,0)), HYPERLINK("#",""), HYPERLINK(CONCATENATE("#Metadata!", ADDRESS(INDEX($AJ$2:$AJ$1001,MATCH(ROWS($AH$2:AH815),$AH$2:$AH$1001,0),0), INDEX($AO$1004:$BQ$1004,1,MATCH(COLUMNS($AO$1006:AO1006),$AO$1006:$BQ$1006,0)))),"Fix")))</f>
        <v>#N/A</v>
      </c>
      <c r="C815" s="5" t="e">
        <f ca="1">IF(OR(INDEX($AI$2:$AI$1001,MATCH(ROWS($AH$2:AH815),$AH$2:$AH$1001,0),1)&gt;=100000,INDEX($AO$1005:$BQ$1005,1,MATCH(COLUMNS($AO$1006:AP1006),$AO$1006:$BQ$1006,0))&gt;=100000), " ",IF(INDEX($AO$2:$BQ$1001,MATCH(ROWS($AH$2:AH815),$AH$2:$AH$1001,0),MATCH(COLUMNS($AO$1006:AP1006),$AO$1006:$BQ$1006,0)), HYPERLINK("#",""), HYPERLINK(CONCATENATE("#Metadata!", ADDRESS(INDEX($AJ$2:$AJ$1001,MATCH(ROWS($AH$2:AH815),$AH$2:$AH$1001,0),0), INDEX($AO$1004:$BQ$1004,1,MATCH(COLUMNS($AO$1006:AP1006),$AO$1006:$BQ$1006,0)))),"Fix")))</f>
        <v>#N/A</v>
      </c>
      <c r="D815" s="5" t="e">
        <f ca="1">IF(OR(INDEX($AI$2:$AI$1001,MATCH(ROWS($AH$2:AH815),$AH$2:$AH$1001,0),1)&gt;=100000,INDEX($AO$1005:$BQ$1005,1,MATCH(COLUMNS($AO$1006:AQ1006),$AO$1006:$BQ$1006,0))&gt;=100000), " ",IF(INDEX($AO$2:$BQ$1001,MATCH(ROWS($AH$2:AH815),$AH$2:$AH$1001,0),MATCH(COLUMNS($AO$1006:AQ1006),$AO$1006:$BQ$1006,0)), HYPERLINK("#",""), HYPERLINK(CONCATENATE("#Metadata!", ADDRESS(INDEX($AJ$2:$AJ$1001,MATCH(ROWS($AH$2:AH815),$AH$2:$AH$1001,0),0), INDEX($AO$1004:$BQ$1004,1,MATCH(COLUMNS($AO$1006:AQ1006),$AO$1006:$BQ$1006,0)))),"Fix")))</f>
        <v>#N/A</v>
      </c>
      <c r="E815" s="5" t="e">
        <f ca="1">IF(OR(INDEX($AI$2:$AI$1001,MATCH(ROWS($AH$2:AH815),$AH$2:$AH$1001,0),1)&gt;=100000,INDEX($AO$1005:$BQ$1005,1,MATCH(COLUMNS($AO$1006:AR1006),$AO$1006:$BQ$1006,0))&gt;=100000), " ",IF(INDEX($AO$2:$BQ$1001,MATCH(ROWS($AH$2:AH815),$AH$2:$AH$1001,0),MATCH(COLUMNS($AO$1006:AR1006),$AO$1006:$BQ$1006,0)), HYPERLINK("#",""), HYPERLINK(CONCATENATE("#Metadata!", ADDRESS(INDEX($AJ$2:$AJ$1001,MATCH(ROWS($AH$2:AH815),$AH$2:$AH$1001,0),0), INDEX($AO$1004:$BQ$1004,1,MATCH(COLUMNS($AO$1006:AR1006),$AO$1006:$BQ$1006,0)))),"Fix")))</f>
        <v>#N/A</v>
      </c>
      <c r="F815" s="5" t="e">
        <f ca="1">IF(OR(INDEX($AI$2:$AI$1001,MATCH(ROWS($AH$2:AH815),$AH$2:$AH$1001,0),1)&gt;=100000,INDEX($AO$1005:$BQ$1005,1,MATCH(COLUMNS($AO$1006:AS1006),$AO$1006:$BQ$1006,0))&gt;=100000), " ",IF(INDEX($AO$2:$BQ$1001,MATCH(ROWS($AH$2:AH815),$AH$2:$AH$1001,0),MATCH(COLUMNS($AO$1006:AS1006),$AO$1006:$BQ$1006,0)), HYPERLINK("#",""), HYPERLINK(CONCATENATE("#Metadata!", ADDRESS(INDEX($AJ$2:$AJ$1001,MATCH(ROWS($AH$2:AH815),$AH$2:$AH$1001,0),0), INDEX($AO$1004:$BQ$1004,1,MATCH(COLUMNS($AO$1006:AS1006),$AO$1006:$BQ$1006,0)))),"Fix")))</f>
        <v>#N/A</v>
      </c>
      <c r="G815" s="5" t="e">
        <f ca="1">IF(OR(INDEX($AI$2:$AI$1001,MATCH(ROWS($AH$2:AH815),$AH$2:$AH$1001,0),1)&gt;=100000,INDEX($AO$1005:$BQ$1005,1,MATCH(COLUMNS($AO$1006:AT1006),$AO$1006:$BQ$1006,0))&gt;=100000), " ",IF(INDEX($AO$2:$BQ$1001,MATCH(ROWS($AH$2:AH815),$AH$2:$AH$1001,0),MATCH(COLUMNS($AO$1006:AT1006),$AO$1006:$BQ$1006,0)), HYPERLINK("#",""), HYPERLINK(CONCATENATE("#Metadata!", ADDRESS(INDEX($AJ$2:$AJ$1001,MATCH(ROWS($AH$2:AH815),$AH$2:$AH$1001,0),0), INDEX($AO$1004:$BQ$1004,1,MATCH(COLUMNS($AO$1006:AT1006),$AO$1006:$BQ$1006,0)))),"Fix")))</f>
        <v>#N/A</v>
      </c>
      <c r="H815" s="5" t="e">
        <f ca="1">IF(OR(INDEX($AI$2:$AI$1001,MATCH(ROWS($AH$2:AH815),$AH$2:$AH$1001,0),1)&gt;=100000,INDEX($AO$1005:$BQ$1005,1,MATCH(COLUMNS($AO$1006:AU1006),$AO$1006:$BQ$1006,0))&gt;=100000), " ",IF(INDEX($AO$2:$BQ$1001,MATCH(ROWS($AH$2:AH815),$AH$2:$AH$1001,0),MATCH(COLUMNS($AO$1006:AU1006),$AO$1006:$BQ$1006,0)), HYPERLINK("#",""), HYPERLINK(CONCATENATE("#Metadata!", ADDRESS(INDEX($AJ$2:$AJ$1001,MATCH(ROWS($AH$2:AH815),$AH$2:$AH$1001,0),0), INDEX($AO$1004:$BQ$1004,1,MATCH(COLUMNS($AO$1006:AU1006),$AO$1006:$BQ$1006,0)))),"Fix")))</f>
        <v>#N/A</v>
      </c>
      <c r="I815" s="5" t="e">
        <f ca="1">IF(OR(INDEX($AI$2:$AI$1001,MATCH(ROWS($AH$2:AH815),$AH$2:$AH$1001,0),1)&gt;=100000,INDEX($AO$1005:$BQ$1005,1,MATCH(COLUMNS($AO$1006:AV1006),$AO$1006:$BQ$1006,0))&gt;=100000), " ",IF(INDEX($AO$2:$BQ$1001,MATCH(ROWS($AH$2:AH815),$AH$2:$AH$1001,0),MATCH(COLUMNS($AO$1006:AV1006),$AO$1006:$BQ$1006,0)), HYPERLINK("#",""), HYPERLINK(CONCATENATE("#Metadata!", ADDRESS(INDEX($AJ$2:$AJ$1001,MATCH(ROWS($AH$2:AH815),$AH$2:$AH$1001,0),0), INDEX($AO$1004:$BQ$1004,1,MATCH(COLUMNS($AO$1006:AV1006),$AO$1006:$BQ$1006,0)))),"Fix")))</f>
        <v>#N/A</v>
      </c>
      <c r="J815" s="5" t="e">
        <f ca="1">IF(OR(INDEX($AI$2:$AI$1001,MATCH(ROWS($AH$2:AH815),$AH$2:$AH$1001,0),1)&gt;=100000,INDEX($AO$1005:$BQ$1005,1,MATCH(COLUMNS($AO$1006:AW1006),$AO$1006:$BQ$1006,0))&gt;=100000), " ",IF(INDEX($AO$2:$BQ$1001,MATCH(ROWS($AH$2:AH815),$AH$2:$AH$1001,0),MATCH(COLUMNS($AO$1006:AW1006),$AO$1006:$BQ$1006,0)), HYPERLINK("#",""), HYPERLINK(CONCATENATE("#Metadata!", ADDRESS(INDEX($AJ$2:$AJ$1001,MATCH(ROWS($AH$2:AH815),$AH$2:$AH$1001,0),0), INDEX($AO$1004:$BQ$1004,1,MATCH(COLUMNS($AO$1006:AW1006),$AO$1006:$BQ$1006,0)))),"Fix")))</f>
        <v>#N/A</v>
      </c>
      <c r="K815" s="5" t="e">
        <f ca="1">IF(OR(INDEX($AI$2:$AI$1001,MATCH(ROWS($AH$2:AH815),$AH$2:$AH$1001,0),1)&gt;=100000,INDEX($AO$1005:$BQ$1005,1,MATCH(COLUMNS($AO$1006:AX1006),$AO$1006:$BQ$1006,0))&gt;=100000), " ",IF(INDEX($AO$2:$BQ$1001,MATCH(ROWS($AH$2:AH815),$AH$2:$AH$1001,0),MATCH(COLUMNS($AO$1006:AX1006),$AO$1006:$BQ$1006,0)), HYPERLINK("#",""), HYPERLINK(CONCATENATE("#Metadata!", ADDRESS(INDEX($AJ$2:$AJ$1001,MATCH(ROWS($AH$2:AH815),$AH$2:$AH$1001,0),0), INDEX($AO$1004:$BQ$1004,1,MATCH(COLUMNS($AO$1006:AX1006),$AO$1006:$BQ$1006,0)))),"Fix")))</f>
        <v>#N/A</v>
      </c>
      <c r="L815" s="5" t="e">
        <f ca="1">IF(OR(INDEX($AI$2:$AI$1001,MATCH(ROWS($AH$2:AH815),$AH$2:$AH$1001,0),1)&gt;=100000,INDEX($AO$1005:$BQ$1005,1,MATCH(COLUMNS($AO$1006:AY1006),$AO$1006:$BQ$1006,0))&gt;=100000), " ",IF(INDEX($AO$2:$BQ$1001,MATCH(ROWS($AH$2:AH815),$AH$2:$AH$1001,0),MATCH(COLUMNS($AO$1006:AY1006),$AO$1006:$BQ$1006,0)), HYPERLINK("#",""), HYPERLINK(CONCATENATE("#Metadata!", ADDRESS(INDEX($AJ$2:$AJ$1001,MATCH(ROWS($AH$2:AH815),$AH$2:$AH$1001,0),0), INDEX($AO$1004:$BQ$1004,1,MATCH(COLUMNS($AO$1006:AY1006),$AO$1006:$BQ$1006,0)))),"Fix")))</f>
        <v>#N/A</v>
      </c>
      <c r="M815" s="5" t="e">
        <f ca="1">IF(OR(INDEX($AI$2:$AI$1001,MATCH(ROWS($AH$2:AH815),$AH$2:$AH$1001,0),1)&gt;=100000,INDEX($AO$1005:$BQ$1005,1,MATCH(COLUMNS($AO$1006:AZ1006),$AO$1006:$BQ$1006,0))&gt;=100000), " ",IF(INDEX($AO$2:$BQ$1001,MATCH(ROWS($AH$2:AH815),$AH$2:$AH$1001,0),MATCH(COLUMNS($AO$1006:AZ1006),$AO$1006:$BQ$1006,0)), HYPERLINK("#",""), HYPERLINK(CONCATENATE("#Metadata!", ADDRESS(INDEX($AJ$2:$AJ$1001,MATCH(ROWS($AH$2:AH815),$AH$2:$AH$1001,0),0), INDEX($AO$1004:$BQ$1004,1,MATCH(COLUMNS($AO$1006:AZ1006),$AO$1006:$BQ$1006,0)))),"Fix")))</f>
        <v>#N/A</v>
      </c>
      <c r="N815" s="5" t="e">
        <f ca="1">IF(OR(INDEX($AI$2:$AI$1001,MATCH(ROWS($AH$2:AH815),$AH$2:$AH$1001,0),1)&gt;=100000,INDEX($AO$1005:$BQ$1005,1,MATCH(COLUMNS($AO$1006:BA1006),$AO$1006:$BQ$1006,0))&gt;=100000), " ",IF(INDEX($AO$2:$BQ$1001,MATCH(ROWS($AH$2:AH815),$AH$2:$AH$1001,0),MATCH(COLUMNS($AO$1006:BA1006),$AO$1006:$BQ$1006,0)), HYPERLINK("#",""), HYPERLINK(CONCATENATE("#Metadata!", ADDRESS(INDEX($AJ$2:$AJ$1001,MATCH(ROWS($AH$2:AH815),$AH$2:$AH$1001,0),0), INDEX($AO$1004:$BQ$1004,1,MATCH(COLUMNS($AO$1006:BA1006),$AO$1006:$BQ$1006,0)))),"Fix")))</f>
        <v>#N/A</v>
      </c>
      <c r="O815" s="5" t="e">
        <f ca="1">IF(OR(INDEX($AI$2:$AI$1001,MATCH(ROWS($AH$2:AH815),$AH$2:$AH$1001,0),1)&gt;=100000,INDEX($AO$1005:$BQ$1005,1,MATCH(COLUMNS($AO$1006:BB1006),$AO$1006:$BQ$1006,0))&gt;=100000), " ",IF(INDEX($AO$2:$BQ$1001,MATCH(ROWS($AH$2:AH815),$AH$2:$AH$1001,0),MATCH(COLUMNS($AO$1006:BB1006),$AO$1006:$BQ$1006,0)), HYPERLINK("#",""), HYPERLINK(CONCATENATE("#Metadata!", ADDRESS(INDEX($AJ$2:$AJ$1001,MATCH(ROWS($AH$2:AH815),$AH$2:$AH$1001,0),0), INDEX($AO$1004:$BQ$1004,1,MATCH(COLUMNS($AO$1006:BB1006),$AO$1006:$BQ$1006,0)))),"Fix")))</f>
        <v>#N/A</v>
      </c>
      <c r="P815" s="5" t="e">
        <f ca="1">IF(OR(INDEX($AI$2:$AI$1001,MATCH(ROWS($AH$2:AH815),$AH$2:$AH$1001,0),1)&gt;=100000,INDEX($AO$1005:$BQ$1005,1,MATCH(COLUMNS($AO$1006:BC1006),$AO$1006:$BQ$1006,0))&gt;=100000), " ",IF(INDEX($AO$2:$BQ$1001,MATCH(ROWS($AH$2:AH815),$AH$2:$AH$1001,0),MATCH(COLUMNS($AO$1006:BC1006),$AO$1006:$BQ$1006,0)), HYPERLINK("#",""), HYPERLINK(CONCATENATE("#Metadata!", ADDRESS(INDEX($AJ$2:$AJ$1001,MATCH(ROWS($AH$2:AH815),$AH$2:$AH$1001,0),0), INDEX($AO$1004:$BQ$1004,1,MATCH(COLUMNS($AO$1006:BC1006),$AO$1006:$BQ$1006,0)))),"Fix")))</f>
        <v>#N/A</v>
      </c>
      <c r="Q815" s="5" t="e">
        <f ca="1">IF(OR(INDEX($AI$2:$AI$1001,MATCH(ROWS($AH$2:AH815),$AH$2:$AH$1001,0),1)&gt;=100000,INDEX($AO$1005:$BQ$1005,1,MATCH(COLUMNS($AO$1006:BD1006),$AO$1006:$BQ$1006,0))&gt;=100000), " ",IF(INDEX($AO$2:$BQ$1001,MATCH(ROWS($AH$2:AH815),$AH$2:$AH$1001,0),MATCH(COLUMNS($AO$1006:BD1006),$AO$1006:$BQ$1006,0)), HYPERLINK("#",""), HYPERLINK(CONCATENATE("#Metadata!", ADDRESS(INDEX($AJ$2:$AJ$1001,MATCH(ROWS($AH$2:AH815),$AH$2:$AH$1001,0),0), INDEX($AO$1004:$BQ$1004,1,MATCH(COLUMNS($AO$1006:BD1006),$AO$1006:$BQ$1006,0)))),"Fix")))</f>
        <v>#N/A</v>
      </c>
      <c r="R815" s="5" t="e">
        <f ca="1">IF(OR(INDEX($AI$2:$AI$1001,MATCH(ROWS($AH$2:AH815),$AH$2:$AH$1001,0),1)&gt;=100000,INDEX($AO$1005:$BQ$1005,1,MATCH(COLUMNS($AO$1006:BE1006),$AO$1006:$BQ$1006,0))&gt;=100000), " ",IF(INDEX($AO$2:$BQ$1001,MATCH(ROWS($AH$2:AH815),$AH$2:$AH$1001,0),MATCH(COLUMNS($AO$1006:BE1006),$AO$1006:$BQ$1006,0)), HYPERLINK("#",""), HYPERLINK(CONCATENATE("#Metadata!", ADDRESS(INDEX($AJ$2:$AJ$1001,MATCH(ROWS($AH$2:AH815),$AH$2:$AH$1001,0),0), INDEX($AO$1004:$BQ$1004,1,MATCH(COLUMNS($AO$1006:BE1006),$AO$1006:$BQ$1006,0)))),"Fix")))</f>
        <v>#N/A</v>
      </c>
      <c r="S815" s="5" t="e">
        <f ca="1">IF(OR(INDEX($AI$2:$AI$1001,MATCH(ROWS($AH$2:AH815),$AH$2:$AH$1001,0),1)&gt;=100000,INDEX($AO$1005:$BQ$1005,1,MATCH(COLUMNS($AO$1006:BF1006),$AO$1006:$BQ$1006,0))&gt;=100000), " ",IF(INDEX($AO$2:$BQ$1001,MATCH(ROWS($AH$2:AH815),$AH$2:$AH$1001,0),MATCH(COLUMNS($AO$1006:BF1006),$AO$1006:$BQ$1006,0)), HYPERLINK("#",""), HYPERLINK(CONCATENATE("#Metadata!", ADDRESS(INDEX($AJ$2:$AJ$1001,MATCH(ROWS($AH$2:AH815),$AH$2:$AH$1001,0),0), INDEX($AO$1004:$BQ$1004,1,MATCH(COLUMNS($AO$1006:BF1006),$AO$1006:$BQ$1006,0)))),"Fix")))</f>
        <v>#N/A</v>
      </c>
      <c r="T815" s="5" t="e">
        <f ca="1">IF(OR(INDEX($AI$2:$AI$1001,MATCH(ROWS($AH$2:AH815),$AH$2:$AH$1001,0),1)&gt;=100000,INDEX($AO$1005:$BQ$1005,1,MATCH(COLUMNS($AO$1006:BG1006),$AO$1006:$BQ$1006,0))&gt;=100000), " ",IF(INDEX($AO$2:$BQ$1001,MATCH(ROWS($AH$2:AH815),$AH$2:$AH$1001,0),MATCH(COLUMNS($AO$1006:BG1006),$AO$1006:$BQ$1006,0)), HYPERLINK("#",""), HYPERLINK(CONCATENATE("#Metadata!", ADDRESS(INDEX($AJ$2:$AJ$1001,MATCH(ROWS($AH$2:AH815),$AH$2:$AH$1001,0),0), INDEX($AO$1004:$BQ$1004,1,MATCH(COLUMNS($AO$1006:BG1006),$AO$1006:$BQ$1006,0)))),"Fix")))</f>
        <v>#N/A</v>
      </c>
      <c r="U815" s="5" t="e">
        <f ca="1">IF(OR(INDEX($AI$2:$AI$1001,MATCH(ROWS($AH$2:AH815),$AH$2:$AH$1001,0),1)&gt;=100000,INDEX($AO$1005:$BQ$1005,1,MATCH(COLUMNS($AO$1006:BH1006),$AO$1006:$BQ$1006,0))&gt;=100000), " ",IF(INDEX($AO$2:$BQ$1001,MATCH(ROWS($AH$2:AH815),$AH$2:$AH$1001,0),MATCH(COLUMNS($AO$1006:BH1006),$AO$1006:$BQ$1006,0)), HYPERLINK("#",""), HYPERLINK(CONCATENATE("#Metadata!", ADDRESS(INDEX($AJ$2:$AJ$1001,MATCH(ROWS($AH$2:AH815),$AH$2:$AH$1001,0),0), INDEX($AO$1004:$BQ$1004,1,MATCH(COLUMNS($AO$1006:BH1006),$AO$1006:$BQ$1006,0)))),"Fix")))</f>
        <v>#N/A</v>
      </c>
      <c r="V815" s="5" t="e">
        <f ca="1">IF(OR(INDEX($AI$2:$AI$1001,MATCH(ROWS($AH$2:AH815),$AH$2:$AH$1001,0),1)&gt;=100000,INDEX($AO$1005:$BQ$1005,1,MATCH(COLUMNS($AO$1006:BI1006),$AO$1006:$BQ$1006,0))&gt;=100000), " ",IF(INDEX($AO$2:$BQ$1001,MATCH(ROWS($AH$2:AH815),$AH$2:$AH$1001,0),MATCH(COLUMNS($AO$1006:BI1006),$AO$1006:$BQ$1006,0)), HYPERLINK("#",""), HYPERLINK(CONCATENATE("#Metadata!", ADDRESS(INDEX($AJ$2:$AJ$1001,MATCH(ROWS($AH$2:AH815),$AH$2:$AH$1001,0),0), INDEX($AO$1004:$BQ$1004,1,MATCH(COLUMNS($AO$1006:BI1006),$AO$1006:$BQ$1006,0)))),"Fix")))</f>
        <v>#N/A</v>
      </c>
      <c r="W815" s="5" t="e">
        <f ca="1">IF(OR(INDEX($AI$2:$AI$1001,MATCH(ROWS($AH$2:AH815),$AH$2:$AH$1001,0),1)&gt;=100000,INDEX($AO$1005:$BQ$1005,1,MATCH(COLUMNS($AO$1006:BJ1006),$AO$1006:$BQ$1006,0))&gt;=100000), " ",IF(INDEX($AO$2:$BQ$1001,MATCH(ROWS($AH$2:AH815),$AH$2:$AH$1001,0),MATCH(COLUMNS($AO$1006:BJ1006),$AO$1006:$BQ$1006,0)), HYPERLINK("#",""), HYPERLINK(CONCATENATE("#Metadata!", ADDRESS(INDEX($AJ$2:$AJ$1001,MATCH(ROWS($AH$2:AH815),$AH$2:$AH$1001,0),0), INDEX($AO$1004:$BQ$1004,1,MATCH(COLUMNS($AO$1006:BJ1006),$AO$1006:$BQ$1006,0)))),"Fix")))</f>
        <v>#N/A</v>
      </c>
      <c r="X815" s="5" t="e">
        <f ca="1">IF(OR(INDEX($AI$2:$AI$1001,MATCH(ROWS($AH$2:AH815),$AH$2:$AH$1001,0),1)&gt;=100000,INDEX($AO$1005:$BQ$1005,1,MATCH(COLUMNS($AO$1006:BK1006),$AO$1006:$BQ$1006,0))&gt;=100000), " ",IF(INDEX($AO$2:$BQ$1001,MATCH(ROWS($AH$2:AH815),$AH$2:$AH$1001,0),MATCH(COLUMNS($AO$1006:BK1006),$AO$1006:$BQ$1006,0)), HYPERLINK("#",""), HYPERLINK(CONCATENATE("#Metadata!", ADDRESS(INDEX($AJ$2:$AJ$1001,MATCH(ROWS($AH$2:AH815),$AH$2:$AH$1001,0),0), INDEX($AO$1004:$BQ$1004,1,MATCH(COLUMNS($AO$1006:BK1006),$AO$1006:$BQ$1006,0)))),"Fix")))</f>
        <v>#N/A</v>
      </c>
      <c r="Y815" s="5" t="e">
        <f ca="1">IF(OR(INDEX($AI$2:$AI$1001,MATCH(ROWS($AH$2:AH815),$AH$2:$AH$1001,0),1)&gt;=100000,INDEX($AO$1005:$BQ$1005,1,MATCH(COLUMNS($AO$1006:BL1006),$AO$1006:$BQ$1006,0))&gt;=100000), " ",IF(INDEX($AO$2:$BQ$1001,MATCH(ROWS($AH$2:AH815),$AH$2:$AH$1001,0),MATCH(COLUMNS($AO$1006:BL1006),$AO$1006:$BQ$1006,0)), HYPERLINK("#",""), HYPERLINK(CONCATENATE("#Metadata!", ADDRESS(INDEX($AJ$2:$AJ$1001,MATCH(ROWS($AH$2:AH815),$AH$2:$AH$1001,0),0), INDEX($AO$1004:$BQ$1004,1,MATCH(COLUMNS($AO$1006:BL1006),$AO$1006:$BQ$1006,0)))),"Fix")))</f>
        <v>#N/A</v>
      </c>
      <c r="Z815" s="5" t="e">
        <f ca="1">IF(OR(INDEX($AI$2:$AI$1001,MATCH(ROWS($AH$2:AH815),$AH$2:$AH$1001,0),1)&gt;=100000,INDEX($AO$1005:$BQ$1005,1,MATCH(COLUMNS($AO$1006:BM1006),$AO$1006:$BQ$1006,0))&gt;=100000), " ",IF(INDEX($AO$2:$BQ$1001,MATCH(ROWS($AH$2:AH815),$AH$2:$AH$1001,0),MATCH(COLUMNS($AO$1006:BM1006),$AO$1006:$BQ$1006,0)), HYPERLINK("#",""), HYPERLINK(CONCATENATE("#Metadata!", ADDRESS(INDEX($AJ$2:$AJ$1001,MATCH(ROWS($AH$2:AH815),$AH$2:$AH$1001,0),0), INDEX($AO$1004:$BQ$1004,1,MATCH(COLUMNS($AO$1006:BM1006),$AO$1006:$BQ$1006,0)))),"Fix")))</f>
        <v>#N/A</v>
      </c>
      <c r="AA815" s="5" t="e">
        <f ca="1">IF(OR(INDEX($AI$2:$AI$1001,MATCH(ROWS($AH$2:AH815),$AH$2:$AH$1001,0),1)&gt;=100000,INDEX($AO$1005:$BQ$1005,1,MATCH(COLUMNS($AO$1006:BN1006),$AO$1006:$BQ$1006,0))&gt;=100000), " ",IF(INDEX($AO$2:$BQ$1001,MATCH(ROWS($AH$2:AH815),$AH$2:$AH$1001,0),MATCH(COLUMNS($AO$1006:BN1006),$AO$1006:$BQ$1006,0)), HYPERLINK("#",""), HYPERLINK(CONCATENATE("#Metadata!", ADDRESS(INDEX($AJ$2:$AJ$1001,MATCH(ROWS($AH$2:AH815),$AH$2:$AH$1001,0),0), INDEX($AO$1004:$BQ$1004,1,MATCH(COLUMNS($AO$1006:BN1006),$AO$1006:$BQ$1006,0)))),"Fix")))</f>
        <v>#N/A</v>
      </c>
      <c r="AB815" s="5" t="e">
        <f ca="1">IF(OR(INDEX($AI$2:$AI$1001,MATCH(ROWS($AH$2:AH815),$AH$2:$AH$1001,0),1)&gt;=100000,INDEX($AO$1005:$BQ$1005,1,MATCH(COLUMNS($AO$1006:BO1006),$AO$1006:$BQ$1006,0))&gt;=100000), " ",IF(INDEX($AO$2:$BQ$1001,MATCH(ROWS($AH$2:AH815),$AH$2:$AH$1001,0),MATCH(COLUMNS($AO$1006:BO1006),$AO$1006:$BQ$1006,0)), HYPERLINK("#",""), HYPERLINK(CONCATENATE("#Metadata!", ADDRESS(INDEX($AJ$2:$AJ$1001,MATCH(ROWS($AH$2:AH815),$AH$2:$AH$1001,0),0), INDEX($AO$1004:$BQ$1004,1,MATCH(COLUMNS($AO$1006:BO1006),$AO$1006:$BQ$1006,0)))),"Fix")))</f>
        <v>#N/A</v>
      </c>
      <c r="AC815" s="5" t="e">
        <f ca="1">IF(OR(INDEX($AI$2:$AI$1001,MATCH(ROWS($AH$2:AH815),$AH$2:$AH$1001,0),1)&gt;=100000,INDEX($AO$1005:$BQ$1005,1,MATCH(COLUMNS($AO$1006:BP1006),$AO$1006:$BQ$1006,0))&gt;=100000), " ",IF(INDEX($AO$2:$BQ$1001,MATCH(ROWS($AH$2:AH815),$AH$2:$AH$1001,0),MATCH(COLUMNS($AO$1006:BP1006),$AO$1006:$BQ$1006,0)), HYPERLINK("#",""), HYPERLINK(CONCATENATE("#Metadata!", ADDRESS(INDEX($AJ$2:$AJ$1001,MATCH(ROWS($AH$2:AH815),$AH$2:$AH$1001,0),0), INDEX($AO$1004:$BQ$1004,1,MATCH(COLUMNS($AO$1006:BP1006),$AO$1006:$BQ$1006,0)))),"Fix")))</f>
        <v>#N/A</v>
      </c>
      <c r="AD815" s="5" t="e">
        <f ca="1">IF(OR(INDEX($AI$2:$AI$1001,MATCH(ROWS($AH$2:AH815),$AH$2:$AH$1001,0),1)&gt;=100000,INDEX($AO$1005:$BQ$1005,1,MATCH(COLUMNS($AO$1006:BQ1006),$AO$1006:$BQ$1006,0))&gt;=100000), " ",IF(INDEX($AO$2:$BQ$1001,MATCH(ROWS($AH$2:AH815),$AH$2:$AH$1001,0),MATCH(COLUMNS($AO$1006:BQ1006),$AO$1006:$BQ$1006,0)), HYPERLINK("#",""), HYPERLINK(CONCATENATE("#Metadata!", ADDRESS(INDEX($AJ$2:$AJ$1001,MATCH(ROWS($AH$2:AH815),$AH$2:$AH$1001,0),0), INDEX($AO$1004:$BQ$1004,1,MATCH(COLUMNS($AO$1006:BQ1006),$AO$1006:$BQ$1006,0)))),"Fix")))</f>
        <v>#REF!</v>
      </c>
      <c r="AH815">
        <f ca="1"/>
        <v>812</v>
      </c>
      <c r="AI815">
        <v>100815</v>
      </c>
      <c r="AJ815">
        <v>815</v>
      </c>
      <c r="AK815" t="b">
        <f t="shared" si="12"/>
        <v>1</v>
      </c>
      <c r="AL815" t="b">
        <f>COUNTBLANK(Metadata!B815:AD815)=COLUMNS(Metadata!B815:AD815)</f>
        <v>1</v>
      </c>
      <c r="AM815" t="str">
        <v/>
      </c>
      <c r="AO815" t="b">
        <f ca="1">AND(IF(Metadata!B815="",FALSE,TRUE),COUNTIF(Metadata!B:B, Metadata!B815) = 1,NOT(ISERROR(SUMPRODUCT(SEARCH(MID(Metadata!B815,ROW(INDIRECT("1:"&amp;LEN(Metadata!B815))), 1),"0123456789abcdefghijklmnopqrstuvwxyzABCDEFGHIJKLMNOPQRSTUVWXYZ.")))))</f>
        <v>0</v>
      </c>
      <c r="AP815" t="b">
        <f>IF(Metadata!C815="",FALSE,TRUE)</f>
        <v>0</v>
      </c>
      <c r="AQ815" t="b">
        <f>IF(Metadata!D815="",FALSE,TRUE)</f>
        <v>0</v>
      </c>
      <c r="AR815" t="b">
        <f ca="1">OR(AND(IF(Metadata!E815="",FALSE,TRUE),OR(EXACT(Metadata!E815,"not collected"),EXACT(Metadata!E815,"not provided"),EXACT(Metadata!E815,"restricted access"))),AND(IF(Metadata!E815="",FALSE,TRUE),AND(AND(IFERROR(INT(LEFT(Metadata!E815,4))&gt;1900,FALSE),IFERROR(INT(LEFT(Metadata!E815,4))&lt;=YEAR(NOW()),FALSE)), OR(MID(Metadata!E815,5,1)="", AND(AND(MID(Metadata!E815,5,1)="-",IFERROR(INT(MID(Metadata!E815,6,1))&gt;=0,FALSE),IFERROR(INT(MID(Metadata!E815,6,1))&lt;=1,FALSE),NOT(MID(Metadata!E815,7,1)=""),IFERROR(INT(MID(Metadata!E815,6,2))&gt;=1,FALSE),IFERROR(INT(MID(Metadata!E815,6,2))&lt;=12,FALSE)), OR(MID(Metadata!E815,8,1)="", AND(AND(MID(Metadata!E815,8,1)="-",IFERROR(INT(MID(Metadata!E815,9,1))&gt;=0,FALSE),IFERROR(INT(MID(Metadata!E815,9,1))&lt;=3,FALSE),NOT(MID(Metadata!E815,10,1)=""),IFERROR(INT(MID(Metadata!E815,9,2))&gt;=1,FALSE),IFERROR(INT(MID(Metadata!E815,9,2))&lt;=31,FALSE)), OR(MID(Metadata!E815,11,1)="", AND(AND(MID(Metadata!E815,11,1)=" ",IFERROR(INT(MID(Metadata!E815,12,1))&gt;=0,FALSE),IFERROR(INT(MID(Metadata!E815,12,1))&lt;=2,FALSE),NOT(MID(Metadata!E815,13,1)=""),IFERROR(INT(MID(Metadata!E815,12,2))&gt;=0,FALSE),IFERROR(INT(MID(Metadata!E815,12,2))&lt;=23,FALSE)), OR(MID(Metadata!E815,14,1)="", AND(AND(MID(Metadata!E815,14,1)=":",IFERROR(INT(MID(Metadata!E815,15,1))&gt;=0,FALSE),IFERROR(INT(MID(Metadata!E815,15,1))&lt;=5,FALSE),NOT(MID(Metadata!E815,16,1)=""),IFERROR(INT(MID(Metadata!E815,15,2))&gt;=0,FALSE),IFERROR(INT(MID(Metadata!E815,15,2))&lt;=59,FALSE)), OR(MID(Metadata!E815,17,1)="", AND(AND(MID(Metadata!E815,17,1)=":",IFERROR(INT(MID(Metadata!E815,18,1))&gt;=0,FALSE),IFERROR(INT(MID(Metadata!E815,18,1))&lt;=5,FALSE),NOT(MID(Metadata!E815,19,1)=""),IFERROR(INT(MID(Metadata!E815,18,2))&gt;=0,FALSE),IFERROR(INT(MID(Metadata!E815,18,2))&lt;=59,FALSE)), LEN(Metadata!E815)&lt;=19)))))))))))))</f>
        <v>0</v>
      </c>
      <c r="AS815" t="b">
        <f>IF(Metadata!F815="",FALSE,TRUE)</f>
        <v>0</v>
      </c>
      <c r="AT815" t="b">
        <f>OR(AND(IF(Metadata!G815="",FALSE,TRUE),OR(EXACT(Metadata!G815,"not collected"),EXACT(Metadata!G815,"not provided"))),AND(IF(Metadata!G815="",FALSE,TRUE),OR(EXACT(Metadata!G815,"TRUE"),EXACT(Metadata!G815,"FALSE"))))</f>
        <v>0</v>
      </c>
      <c r="AU815" t="b">
        <f>OR(AND(IF(Metadata!H815="",FALSE,TRUE),OR(EXACT(Metadata!H815,"not collected"),EXACT(Metadata!H815,"not provided"),EXACT(Metadata!H815,"restricted access"))),AND(IF(Metadata!H815="",FALSE,ISNUMBER(VALUE(Metadata!H815))),Metadata!H815&gt;=-413))</f>
        <v>0</v>
      </c>
      <c r="AV815" t="b">
        <f>AND(IF(Metadata!I815="",FALSE,TRUE),EXACT(Metadata!I815,"meters"))</f>
        <v>0</v>
      </c>
      <c r="AW815" t="b">
        <f>AND(IF(Metadata!J815="",FALSE,TRUE),EXACT(Metadata!J815,"free-living"))</f>
        <v>0</v>
      </c>
      <c r="AX815" t="b">
        <f>AND(IF(Metadata!K815="",FALSE,TRUE),OR(EXACT(Metadata!K815,"saline"),EXACT(Metadata!K815,"non-saline")))</f>
        <v>0</v>
      </c>
      <c r="AY815" t="b">
        <f>AND(IF(Metadata!L815="",FALSE,TRUE),OR(EXACT(Metadata!L815,"sub-surface (non-saline)"),EXACT(Metadata!L815,"surface (non-saline)"),EXACT(Metadata!L815,"water (non-saline)"),EXACT(Metadata!L815,"soil (non-saline)"),EXACT(Metadata!L815,"aerosol (non-saline)"),EXACT(Metadata!L815,"sediment (non-saline)"),EXACT(Metadata!L815,"surface (saline)"),EXACT(Metadata!L815,"water (saline)"),EXACT(Metadata!L815,"hypersaline (saline)"),EXACT(Metadata!L815,"aerosol (saline)"),EXACT(Metadata!L815,"sediment (saline)")))</f>
        <v>0</v>
      </c>
      <c r="AZ815" t="b">
        <f>IF(Metadata!M815="",FALSE,TRUE)</f>
        <v>0</v>
      </c>
      <c r="BA815" t="b">
        <f>IF(Metadata!N815="",FALSE,TRUE)</f>
        <v>0</v>
      </c>
      <c r="BB815" t="b">
        <f>IF(Metadata!O815="",FALSE,TRUE)</f>
        <v>0</v>
      </c>
      <c r="BC815" t="b">
        <f>AND(IF(Metadata!P815="",FALSE,TRUE),OR(EXACT(Metadata!P815,"air"),EXACT(Metadata!P815,"microbial mat/biofilm"),EXACT(Metadata!P815,"misc environment"),EXACT(Metadata!P815,"sediment"),EXACT(Metadata!P815,"soil"),EXACT(Metadata!P815,"wastewater/sludge"),EXACT(Metadata!P815,"water")))</f>
        <v>0</v>
      </c>
      <c r="BD815" t="b">
        <f>IF(Metadata!Q815="",FALSE,TRUE)</f>
        <v>0</v>
      </c>
      <c r="BE815" t="b">
        <f>IF(Metadata!R815="",FALSE,TRUE)</f>
        <v>0</v>
      </c>
      <c r="BF815" t="b">
        <f>OR(AND(IF(Metadata!S815="",FALSE,TRUE),OR(EXACT(Metadata!S815,"not collected"),EXACT(Metadata!S815,"not provided"),EXACT(Metadata!S815,"restricted access"))),AND(IF(Metadata!S815="",FALSE,ISNUMBER(VALUE(Metadata!S815))),Metadata!S815&gt;=-90,Metadata!S815&lt;=90))</f>
        <v>0</v>
      </c>
      <c r="BG815" t="b">
        <f>AND(IF(Metadata!T815="",FALSE,TRUE),EXACT(Metadata!T815,"Decimal degrees"))</f>
        <v>0</v>
      </c>
      <c r="BH815" t="b">
        <f>OR(AND(IF(Metadata!U815="",FALSE,TRUE),OR(EXACT(Metadata!U815,"not applicable"),EXACT(Metadata!U815,"not collected"))),IF(Metadata!U815="",FALSE,TRUE))</f>
        <v>0</v>
      </c>
      <c r="BI815" t="b">
        <f>OR(AND(IF(Metadata!V815="",FALSE,TRUE),OR(EXACT(Metadata!V815,"not collected"),EXACT(Metadata!V815,"not provided"),EXACT(Metadata!V815,"restricted access"))),AND(IF(Metadata!V815="",FALSE,ISNUMBER(VALUE(Metadata!V815))),Metadata!V815&gt;=-180,Metadata!V815&lt;=180))</f>
        <v>0</v>
      </c>
      <c r="BJ815" t="b">
        <f>AND(IF(Metadata!W815="",FALSE,TRUE),EXACT(Metadata!W815,"Decimal degrees"))</f>
        <v>0</v>
      </c>
      <c r="BK815" t="b">
        <f>IF(Metadata!X815="",FALSE,TRUE)</f>
        <v>0</v>
      </c>
      <c r="BL815" t="b">
        <f>OR(AND(IF(Metadata!Y815="",FALSE,TRUE),OR(EXACT(Metadata!Y815,"not collected"),EXACT(Metadata!Y815,"not provided"),EXACT(Metadata!Y815,"restricted access"))),AND(IF(Metadata!Y815="",FALSE,TRUE),OR(EXACT(Metadata!Y815,"TRUE"),EXACT(Metadata!Y815,"FALSE"))))</f>
        <v>0</v>
      </c>
      <c r="BM815" t="b">
        <f>OR(AND(IF(Metadata!Z815="",FALSE,TRUE),EXACT(Metadata!Z815,"not applicable")),AND(IF(Metadata!Z815="",FALSE,TRUE),OR(EXACT(Metadata!Z815,"beer"),EXACT(Metadata!Z815,"cheese"),EXACT(Metadata!Z815,"fresh water"),EXACT(Metadata!Z815,"marine sediment"),EXACT(Metadata!Z815,"sea water"),EXACT(Metadata!Z815,"sediment"),EXACT(Metadata!Z815,"soil"),EXACT(Metadata!Z815,"waste water"))))</f>
        <v>0</v>
      </c>
      <c r="BN815" t="b">
        <f>AND(IF(Metadata!AA815="",FALSE,TRUE),EXACT(Metadata!AA815,"metagenome"))</f>
        <v>0</v>
      </c>
      <c r="BO815" t="b">
        <f>AND(IF(Metadata!AB815="",FALSE,TRUE),EXACT(Metadata!AB815,"256318"))</f>
        <v>0</v>
      </c>
      <c r="BP815" t="b">
        <f>IF(Metadata!AC815="",FALSE,TRUE)</f>
        <v>0</v>
      </c>
      <c r="BQ815" t="b">
        <f>IF(Metadata!AD815="",FALSE,TRUE)</f>
        <v>0</v>
      </c>
    </row>
    <row r="816" spans="1:69" x14ac:dyDescent="0.2">
      <c r="A816" s="4" t="e">
        <f ca="1">IF(B816=" "," ",HYPERLINK(CONCATENATE("#metadata!",ADDRESS(INDEX($AJ$2:$AJ$1001,MATCH(ROWS($AH$2:AH816),$AH$2:$AH$1001,0),0),2)),INDEX($AM$2:$AM$1001,MATCH(ROWS($AH$2:AH816),$AH$2:$AH$1001,0),0)))</f>
        <v>#N/A</v>
      </c>
      <c r="B816" s="5" t="e">
        <f ca="1">IF(OR(INDEX($AI$2:$AI$1001,MATCH(ROWS($AH$2:AH816),$AH$2:$AH$1001,0),1)&gt;=100000,INDEX($AO$1005:$BQ$1005,1,MATCH(COLUMNS($AO$1006:AO1006),$AO$1006:$BQ$1006,0))&gt;=100000), " ",IF(INDEX($AO$2:$BQ$1001,MATCH(ROWS($AH$2:AH816),$AH$2:$AH$1001,0),MATCH(COLUMNS($AO$1006:AO1006),$AO$1006:$BQ$1006,0)), HYPERLINK("#",""), HYPERLINK(CONCATENATE("#Metadata!", ADDRESS(INDEX($AJ$2:$AJ$1001,MATCH(ROWS($AH$2:AH816),$AH$2:$AH$1001,0),0), INDEX($AO$1004:$BQ$1004,1,MATCH(COLUMNS($AO$1006:AO1006),$AO$1006:$BQ$1006,0)))),"Fix")))</f>
        <v>#N/A</v>
      </c>
      <c r="C816" s="5" t="e">
        <f ca="1">IF(OR(INDEX($AI$2:$AI$1001,MATCH(ROWS($AH$2:AH816),$AH$2:$AH$1001,0),1)&gt;=100000,INDEX($AO$1005:$BQ$1005,1,MATCH(COLUMNS($AO$1006:AP1006),$AO$1006:$BQ$1006,0))&gt;=100000), " ",IF(INDEX($AO$2:$BQ$1001,MATCH(ROWS($AH$2:AH816),$AH$2:$AH$1001,0),MATCH(COLUMNS($AO$1006:AP1006),$AO$1006:$BQ$1006,0)), HYPERLINK("#",""), HYPERLINK(CONCATENATE("#Metadata!", ADDRESS(INDEX($AJ$2:$AJ$1001,MATCH(ROWS($AH$2:AH816),$AH$2:$AH$1001,0),0), INDEX($AO$1004:$BQ$1004,1,MATCH(COLUMNS($AO$1006:AP1006),$AO$1006:$BQ$1006,0)))),"Fix")))</f>
        <v>#N/A</v>
      </c>
      <c r="D816" s="5" t="e">
        <f ca="1">IF(OR(INDEX($AI$2:$AI$1001,MATCH(ROWS($AH$2:AH816),$AH$2:$AH$1001,0),1)&gt;=100000,INDEX($AO$1005:$BQ$1005,1,MATCH(COLUMNS($AO$1006:AQ1006),$AO$1006:$BQ$1006,0))&gt;=100000), " ",IF(INDEX($AO$2:$BQ$1001,MATCH(ROWS($AH$2:AH816),$AH$2:$AH$1001,0),MATCH(COLUMNS($AO$1006:AQ1006),$AO$1006:$BQ$1006,0)), HYPERLINK("#",""), HYPERLINK(CONCATENATE("#Metadata!", ADDRESS(INDEX($AJ$2:$AJ$1001,MATCH(ROWS($AH$2:AH816),$AH$2:$AH$1001,0),0), INDEX($AO$1004:$BQ$1004,1,MATCH(COLUMNS($AO$1006:AQ1006),$AO$1006:$BQ$1006,0)))),"Fix")))</f>
        <v>#N/A</v>
      </c>
      <c r="E816" s="5" t="e">
        <f ca="1">IF(OR(INDEX($AI$2:$AI$1001,MATCH(ROWS($AH$2:AH816),$AH$2:$AH$1001,0),1)&gt;=100000,INDEX($AO$1005:$BQ$1005,1,MATCH(COLUMNS($AO$1006:AR1006),$AO$1006:$BQ$1006,0))&gt;=100000), " ",IF(INDEX($AO$2:$BQ$1001,MATCH(ROWS($AH$2:AH816),$AH$2:$AH$1001,0),MATCH(COLUMNS($AO$1006:AR1006),$AO$1006:$BQ$1006,0)), HYPERLINK("#",""), HYPERLINK(CONCATENATE("#Metadata!", ADDRESS(INDEX($AJ$2:$AJ$1001,MATCH(ROWS($AH$2:AH816),$AH$2:$AH$1001,0),0), INDEX($AO$1004:$BQ$1004,1,MATCH(COLUMNS($AO$1006:AR1006),$AO$1006:$BQ$1006,0)))),"Fix")))</f>
        <v>#N/A</v>
      </c>
      <c r="F816" s="5" t="e">
        <f ca="1">IF(OR(INDEX($AI$2:$AI$1001,MATCH(ROWS($AH$2:AH816),$AH$2:$AH$1001,0),1)&gt;=100000,INDEX($AO$1005:$BQ$1005,1,MATCH(COLUMNS($AO$1006:AS1006),$AO$1006:$BQ$1006,0))&gt;=100000), " ",IF(INDEX($AO$2:$BQ$1001,MATCH(ROWS($AH$2:AH816),$AH$2:$AH$1001,0),MATCH(COLUMNS($AO$1006:AS1006),$AO$1006:$BQ$1006,0)), HYPERLINK("#",""), HYPERLINK(CONCATENATE("#Metadata!", ADDRESS(INDEX($AJ$2:$AJ$1001,MATCH(ROWS($AH$2:AH816),$AH$2:$AH$1001,0),0), INDEX($AO$1004:$BQ$1004,1,MATCH(COLUMNS($AO$1006:AS1006),$AO$1006:$BQ$1006,0)))),"Fix")))</f>
        <v>#N/A</v>
      </c>
      <c r="G816" s="5" t="e">
        <f ca="1">IF(OR(INDEX($AI$2:$AI$1001,MATCH(ROWS($AH$2:AH816),$AH$2:$AH$1001,0),1)&gt;=100000,INDEX($AO$1005:$BQ$1005,1,MATCH(COLUMNS($AO$1006:AT1006),$AO$1006:$BQ$1006,0))&gt;=100000), " ",IF(INDEX($AO$2:$BQ$1001,MATCH(ROWS($AH$2:AH816),$AH$2:$AH$1001,0),MATCH(COLUMNS($AO$1006:AT1006),$AO$1006:$BQ$1006,0)), HYPERLINK("#",""), HYPERLINK(CONCATENATE("#Metadata!", ADDRESS(INDEX($AJ$2:$AJ$1001,MATCH(ROWS($AH$2:AH816),$AH$2:$AH$1001,0),0), INDEX($AO$1004:$BQ$1004,1,MATCH(COLUMNS($AO$1006:AT1006),$AO$1006:$BQ$1006,0)))),"Fix")))</f>
        <v>#N/A</v>
      </c>
      <c r="H816" s="5" t="e">
        <f ca="1">IF(OR(INDEX($AI$2:$AI$1001,MATCH(ROWS($AH$2:AH816),$AH$2:$AH$1001,0),1)&gt;=100000,INDEX($AO$1005:$BQ$1005,1,MATCH(COLUMNS($AO$1006:AU1006),$AO$1006:$BQ$1006,0))&gt;=100000), " ",IF(INDEX($AO$2:$BQ$1001,MATCH(ROWS($AH$2:AH816),$AH$2:$AH$1001,0),MATCH(COLUMNS($AO$1006:AU1006),$AO$1006:$BQ$1006,0)), HYPERLINK("#",""), HYPERLINK(CONCATENATE("#Metadata!", ADDRESS(INDEX($AJ$2:$AJ$1001,MATCH(ROWS($AH$2:AH816),$AH$2:$AH$1001,0),0), INDEX($AO$1004:$BQ$1004,1,MATCH(COLUMNS($AO$1006:AU1006),$AO$1006:$BQ$1006,0)))),"Fix")))</f>
        <v>#N/A</v>
      </c>
      <c r="I816" s="5" t="e">
        <f ca="1">IF(OR(INDEX($AI$2:$AI$1001,MATCH(ROWS($AH$2:AH816),$AH$2:$AH$1001,0),1)&gt;=100000,INDEX($AO$1005:$BQ$1005,1,MATCH(COLUMNS($AO$1006:AV1006),$AO$1006:$BQ$1006,0))&gt;=100000), " ",IF(INDEX($AO$2:$BQ$1001,MATCH(ROWS($AH$2:AH816),$AH$2:$AH$1001,0),MATCH(COLUMNS($AO$1006:AV1006),$AO$1006:$BQ$1006,0)), HYPERLINK("#",""), HYPERLINK(CONCATENATE("#Metadata!", ADDRESS(INDEX($AJ$2:$AJ$1001,MATCH(ROWS($AH$2:AH816),$AH$2:$AH$1001,0),0), INDEX($AO$1004:$BQ$1004,1,MATCH(COLUMNS($AO$1006:AV1006),$AO$1006:$BQ$1006,0)))),"Fix")))</f>
        <v>#N/A</v>
      </c>
      <c r="J816" s="5" t="e">
        <f ca="1">IF(OR(INDEX($AI$2:$AI$1001,MATCH(ROWS($AH$2:AH816),$AH$2:$AH$1001,0),1)&gt;=100000,INDEX($AO$1005:$BQ$1005,1,MATCH(COLUMNS($AO$1006:AW1006),$AO$1006:$BQ$1006,0))&gt;=100000), " ",IF(INDEX($AO$2:$BQ$1001,MATCH(ROWS($AH$2:AH816),$AH$2:$AH$1001,0),MATCH(COLUMNS($AO$1006:AW1006),$AO$1006:$BQ$1006,0)), HYPERLINK("#",""), HYPERLINK(CONCATENATE("#Metadata!", ADDRESS(INDEX($AJ$2:$AJ$1001,MATCH(ROWS($AH$2:AH816),$AH$2:$AH$1001,0),0), INDEX($AO$1004:$BQ$1004,1,MATCH(COLUMNS($AO$1006:AW1006),$AO$1006:$BQ$1006,0)))),"Fix")))</f>
        <v>#N/A</v>
      </c>
      <c r="K816" s="5" t="e">
        <f ca="1">IF(OR(INDEX($AI$2:$AI$1001,MATCH(ROWS($AH$2:AH816),$AH$2:$AH$1001,0),1)&gt;=100000,INDEX($AO$1005:$BQ$1005,1,MATCH(COLUMNS($AO$1006:AX1006),$AO$1006:$BQ$1006,0))&gt;=100000), " ",IF(INDEX($AO$2:$BQ$1001,MATCH(ROWS($AH$2:AH816),$AH$2:$AH$1001,0),MATCH(COLUMNS($AO$1006:AX1006),$AO$1006:$BQ$1006,0)), HYPERLINK("#",""), HYPERLINK(CONCATENATE("#Metadata!", ADDRESS(INDEX($AJ$2:$AJ$1001,MATCH(ROWS($AH$2:AH816),$AH$2:$AH$1001,0),0), INDEX($AO$1004:$BQ$1004,1,MATCH(COLUMNS($AO$1006:AX1006),$AO$1006:$BQ$1006,0)))),"Fix")))</f>
        <v>#N/A</v>
      </c>
      <c r="L816" s="5" t="e">
        <f ca="1">IF(OR(INDEX($AI$2:$AI$1001,MATCH(ROWS($AH$2:AH816),$AH$2:$AH$1001,0),1)&gt;=100000,INDEX($AO$1005:$BQ$1005,1,MATCH(COLUMNS($AO$1006:AY1006),$AO$1006:$BQ$1006,0))&gt;=100000), " ",IF(INDEX($AO$2:$BQ$1001,MATCH(ROWS($AH$2:AH816),$AH$2:$AH$1001,0),MATCH(COLUMNS($AO$1006:AY1006),$AO$1006:$BQ$1006,0)), HYPERLINK("#",""), HYPERLINK(CONCATENATE("#Metadata!", ADDRESS(INDEX($AJ$2:$AJ$1001,MATCH(ROWS($AH$2:AH816),$AH$2:$AH$1001,0),0), INDEX($AO$1004:$BQ$1004,1,MATCH(COLUMNS($AO$1006:AY1006),$AO$1006:$BQ$1006,0)))),"Fix")))</f>
        <v>#N/A</v>
      </c>
      <c r="M816" s="5" t="e">
        <f ca="1">IF(OR(INDEX($AI$2:$AI$1001,MATCH(ROWS($AH$2:AH816),$AH$2:$AH$1001,0),1)&gt;=100000,INDEX($AO$1005:$BQ$1005,1,MATCH(COLUMNS($AO$1006:AZ1006),$AO$1006:$BQ$1006,0))&gt;=100000), " ",IF(INDEX($AO$2:$BQ$1001,MATCH(ROWS($AH$2:AH816),$AH$2:$AH$1001,0),MATCH(COLUMNS($AO$1006:AZ1006),$AO$1006:$BQ$1006,0)), HYPERLINK("#",""), HYPERLINK(CONCATENATE("#Metadata!", ADDRESS(INDEX($AJ$2:$AJ$1001,MATCH(ROWS($AH$2:AH816),$AH$2:$AH$1001,0),0), INDEX($AO$1004:$BQ$1004,1,MATCH(COLUMNS($AO$1006:AZ1006),$AO$1006:$BQ$1006,0)))),"Fix")))</f>
        <v>#N/A</v>
      </c>
      <c r="N816" s="5" t="e">
        <f ca="1">IF(OR(INDEX($AI$2:$AI$1001,MATCH(ROWS($AH$2:AH816),$AH$2:$AH$1001,0),1)&gt;=100000,INDEX($AO$1005:$BQ$1005,1,MATCH(COLUMNS($AO$1006:BA1006),$AO$1006:$BQ$1006,0))&gt;=100000), " ",IF(INDEX($AO$2:$BQ$1001,MATCH(ROWS($AH$2:AH816),$AH$2:$AH$1001,0),MATCH(COLUMNS($AO$1006:BA1006),$AO$1006:$BQ$1006,0)), HYPERLINK("#",""), HYPERLINK(CONCATENATE("#Metadata!", ADDRESS(INDEX($AJ$2:$AJ$1001,MATCH(ROWS($AH$2:AH816),$AH$2:$AH$1001,0),0), INDEX($AO$1004:$BQ$1004,1,MATCH(COLUMNS($AO$1006:BA1006),$AO$1006:$BQ$1006,0)))),"Fix")))</f>
        <v>#N/A</v>
      </c>
      <c r="O816" s="5" t="e">
        <f ca="1">IF(OR(INDEX($AI$2:$AI$1001,MATCH(ROWS($AH$2:AH816),$AH$2:$AH$1001,0),1)&gt;=100000,INDEX($AO$1005:$BQ$1005,1,MATCH(COLUMNS($AO$1006:BB1006),$AO$1006:$BQ$1006,0))&gt;=100000), " ",IF(INDEX($AO$2:$BQ$1001,MATCH(ROWS($AH$2:AH816),$AH$2:$AH$1001,0),MATCH(COLUMNS($AO$1006:BB1006),$AO$1006:$BQ$1006,0)), HYPERLINK("#",""), HYPERLINK(CONCATENATE("#Metadata!", ADDRESS(INDEX($AJ$2:$AJ$1001,MATCH(ROWS($AH$2:AH816),$AH$2:$AH$1001,0),0), INDEX($AO$1004:$BQ$1004,1,MATCH(COLUMNS($AO$1006:BB1006),$AO$1006:$BQ$1006,0)))),"Fix")))</f>
        <v>#N/A</v>
      </c>
      <c r="P816" s="5" t="e">
        <f ca="1">IF(OR(INDEX($AI$2:$AI$1001,MATCH(ROWS($AH$2:AH816),$AH$2:$AH$1001,0),1)&gt;=100000,INDEX($AO$1005:$BQ$1005,1,MATCH(COLUMNS($AO$1006:BC1006),$AO$1006:$BQ$1006,0))&gt;=100000), " ",IF(INDEX($AO$2:$BQ$1001,MATCH(ROWS($AH$2:AH816),$AH$2:$AH$1001,0),MATCH(COLUMNS($AO$1006:BC1006),$AO$1006:$BQ$1006,0)), HYPERLINK("#",""), HYPERLINK(CONCATENATE("#Metadata!", ADDRESS(INDEX($AJ$2:$AJ$1001,MATCH(ROWS($AH$2:AH816),$AH$2:$AH$1001,0),0), INDEX($AO$1004:$BQ$1004,1,MATCH(COLUMNS($AO$1006:BC1006),$AO$1006:$BQ$1006,0)))),"Fix")))</f>
        <v>#N/A</v>
      </c>
      <c r="Q816" s="5" t="e">
        <f ca="1">IF(OR(INDEX($AI$2:$AI$1001,MATCH(ROWS($AH$2:AH816),$AH$2:$AH$1001,0),1)&gt;=100000,INDEX($AO$1005:$BQ$1005,1,MATCH(COLUMNS($AO$1006:BD1006),$AO$1006:$BQ$1006,0))&gt;=100000), " ",IF(INDEX($AO$2:$BQ$1001,MATCH(ROWS($AH$2:AH816),$AH$2:$AH$1001,0),MATCH(COLUMNS($AO$1006:BD1006),$AO$1006:$BQ$1006,0)), HYPERLINK("#",""), HYPERLINK(CONCATENATE("#Metadata!", ADDRESS(INDEX($AJ$2:$AJ$1001,MATCH(ROWS($AH$2:AH816),$AH$2:$AH$1001,0),0), INDEX($AO$1004:$BQ$1004,1,MATCH(COLUMNS($AO$1006:BD1006),$AO$1006:$BQ$1006,0)))),"Fix")))</f>
        <v>#N/A</v>
      </c>
      <c r="R816" s="5" t="e">
        <f ca="1">IF(OR(INDEX($AI$2:$AI$1001,MATCH(ROWS($AH$2:AH816),$AH$2:$AH$1001,0),1)&gt;=100000,INDEX($AO$1005:$BQ$1005,1,MATCH(COLUMNS($AO$1006:BE1006),$AO$1006:$BQ$1006,0))&gt;=100000), " ",IF(INDEX($AO$2:$BQ$1001,MATCH(ROWS($AH$2:AH816),$AH$2:$AH$1001,0),MATCH(COLUMNS($AO$1006:BE1006),$AO$1006:$BQ$1006,0)), HYPERLINK("#",""), HYPERLINK(CONCATENATE("#Metadata!", ADDRESS(INDEX($AJ$2:$AJ$1001,MATCH(ROWS($AH$2:AH816),$AH$2:$AH$1001,0),0), INDEX($AO$1004:$BQ$1004,1,MATCH(COLUMNS($AO$1006:BE1006),$AO$1006:$BQ$1006,0)))),"Fix")))</f>
        <v>#N/A</v>
      </c>
      <c r="S816" s="5" t="e">
        <f ca="1">IF(OR(INDEX($AI$2:$AI$1001,MATCH(ROWS($AH$2:AH816),$AH$2:$AH$1001,0),1)&gt;=100000,INDEX($AO$1005:$BQ$1005,1,MATCH(COLUMNS($AO$1006:BF1006),$AO$1006:$BQ$1006,0))&gt;=100000), " ",IF(INDEX($AO$2:$BQ$1001,MATCH(ROWS($AH$2:AH816),$AH$2:$AH$1001,0),MATCH(COLUMNS($AO$1006:BF1006),$AO$1006:$BQ$1006,0)), HYPERLINK("#",""), HYPERLINK(CONCATENATE("#Metadata!", ADDRESS(INDEX($AJ$2:$AJ$1001,MATCH(ROWS($AH$2:AH816),$AH$2:$AH$1001,0),0), INDEX($AO$1004:$BQ$1004,1,MATCH(COLUMNS($AO$1006:BF1006),$AO$1006:$BQ$1006,0)))),"Fix")))</f>
        <v>#N/A</v>
      </c>
      <c r="T816" s="5" t="e">
        <f ca="1">IF(OR(INDEX($AI$2:$AI$1001,MATCH(ROWS($AH$2:AH816),$AH$2:$AH$1001,0),1)&gt;=100000,INDEX($AO$1005:$BQ$1005,1,MATCH(COLUMNS($AO$1006:BG1006),$AO$1006:$BQ$1006,0))&gt;=100000), " ",IF(INDEX($AO$2:$BQ$1001,MATCH(ROWS($AH$2:AH816),$AH$2:$AH$1001,0),MATCH(COLUMNS($AO$1006:BG1006),$AO$1006:$BQ$1006,0)), HYPERLINK("#",""), HYPERLINK(CONCATENATE("#Metadata!", ADDRESS(INDEX($AJ$2:$AJ$1001,MATCH(ROWS($AH$2:AH816),$AH$2:$AH$1001,0),0), INDEX($AO$1004:$BQ$1004,1,MATCH(COLUMNS($AO$1006:BG1006),$AO$1006:$BQ$1006,0)))),"Fix")))</f>
        <v>#N/A</v>
      </c>
      <c r="U816" s="5" t="e">
        <f ca="1">IF(OR(INDEX($AI$2:$AI$1001,MATCH(ROWS($AH$2:AH816),$AH$2:$AH$1001,0),1)&gt;=100000,INDEX($AO$1005:$BQ$1005,1,MATCH(COLUMNS($AO$1006:BH1006),$AO$1006:$BQ$1006,0))&gt;=100000), " ",IF(INDEX($AO$2:$BQ$1001,MATCH(ROWS($AH$2:AH816),$AH$2:$AH$1001,0),MATCH(COLUMNS($AO$1006:BH1006),$AO$1006:$BQ$1006,0)), HYPERLINK("#",""), HYPERLINK(CONCATENATE("#Metadata!", ADDRESS(INDEX($AJ$2:$AJ$1001,MATCH(ROWS($AH$2:AH816),$AH$2:$AH$1001,0),0), INDEX($AO$1004:$BQ$1004,1,MATCH(COLUMNS($AO$1006:BH1006),$AO$1006:$BQ$1006,0)))),"Fix")))</f>
        <v>#N/A</v>
      </c>
      <c r="V816" s="5" t="e">
        <f ca="1">IF(OR(INDEX($AI$2:$AI$1001,MATCH(ROWS($AH$2:AH816),$AH$2:$AH$1001,0),1)&gt;=100000,INDEX($AO$1005:$BQ$1005,1,MATCH(COLUMNS($AO$1006:BI1006),$AO$1006:$BQ$1006,0))&gt;=100000), " ",IF(INDEX($AO$2:$BQ$1001,MATCH(ROWS($AH$2:AH816),$AH$2:$AH$1001,0),MATCH(COLUMNS($AO$1006:BI1006),$AO$1006:$BQ$1006,0)), HYPERLINK("#",""), HYPERLINK(CONCATENATE("#Metadata!", ADDRESS(INDEX($AJ$2:$AJ$1001,MATCH(ROWS($AH$2:AH816),$AH$2:$AH$1001,0),0), INDEX($AO$1004:$BQ$1004,1,MATCH(COLUMNS($AO$1006:BI1006),$AO$1006:$BQ$1006,0)))),"Fix")))</f>
        <v>#N/A</v>
      </c>
      <c r="W816" s="5" t="e">
        <f ca="1">IF(OR(INDEX($AI$2:$AI$1001,MATCH(ROWS($AH$2:AH816),$AH$2:$AH$1001,0),1)&gt;=100000,INDEX($AO$1005:$BQ$1005,1,MATCH(COLUMNS($AO$1006:BJ1006),$AO$1006:$BQ$1006,0))&gt;=100000), " ",IF(INDEX($AO$2:$BQ$1001,MATCH(ROWS($AH$2:AH816),$AH$2:$AH$1001,0),MATCH(COLUMNS($AO$1006:BJ1006),$AO$1006:$BQ$1006,0)), HYPERLINK("#",""), HYPERLINK(CONCATENATE("#Metadata!", ADDRESS(INDEX($AJ$2:$AJ$1001,MATCH(ROWS($AH$2:AH816),$AH$2:$AH$1001,0),0), INDEX($AO$1004:$BQ$1004,1,MATCH(COLUMNS($AO$1006:BJ1006),$AO$1006:$BQ$1006,0)))),"Fix")))</f>
        <v>#N/A</v>
      </c>
      <c r="X816" s="5" t="e">
        <f ca="1">IF(OR(INDEX($AI$2:$AI$1001,MATCH(ROWS($AH$2:AH816),$AH$2:$AH$1001,0),1)&gt;=100000,INDEX($AO$1005:$BQ$1005,1,MATCH(COLUMNS($AO$1006:BK1006),$AO$1006:$BQ$1006,0))&gt;=100000), " ",IF(INDEX($AO$2:$BQ$1001,MATCH(ROWS($AH$2:AH816),$AH$2:$AH$1001,0),MATCH(COLUMNS($AO$1006:BK1006),$AO$1006:$BQ$1006,0)), HYPERLINK("#",""), HYPERLINK(CONCATENATE("#Metadata!", ADDRESS(INDEX($AJ$2:$AJ$1001,MATCH(ROWS($AH$2:AH816),$AH$2:$AH$1001,0),0), INDEX($AO$1004:$BQ$1004,1,MATCH(COLUMNS($AO$1006:BK1006),$AO$1006:$BQ$1006,0)))),"Fix")))</f>
        <v>#N/A</v>
      </c>
      <c r="Y816" s="5" t="e">
        <f ca="1">IF(OR(INDEX($AI$2:$AI$1001,MATCH(ROWS($AH$2:AH816),$AH$2:$AH$1001,0),1)&gt;=100000,INDEX($AO$1005:$BQ$1005,1,MATCH(COLUMNS($AO$1006:BL1006),$AO$1006:$BQ$1006,0))&gt;=100000), " ",IF(INDEX($AO$2:$BQ$1001,MATCH(ROWS($AH$2:AH816),$AH$2:$AH$1001,0),MATCH(COLUMNS($AO$1006:BL1006),$AO$1006:$BQ$1006,0)), HYPERLINK("#",""), HYPERLINK(CONCATENATE("#Metadata!", ADDRESS(INDEX($AJ$2:$AJ$1001,MATCH(ROWS($AH$2:AH816),$AH$2:$AH$1001,0),0), INDEX($AO$1004:$BQ$1004,1,MATCH(COLUMNS($AO$1006:BL1006),$AO$1006:$BQ$1006,0)))),"Fix")))</f>
        <v>#N/A</v>
      </c>
      <c r="Z816" s="5" t="e">
        <f ca="1">IF(OR(INDEX($AI$2:$AI$1001,MATCH(ROWS($AH$2:AH816),$AH$2:$AH$1001,0),1)&gt;=100000,INDEX($AO$1005:$BQ$1005,1,MATCH(COLUMNS($AO$1006:BM1006),$AO$1006:$BQ$1006,0))&gt;=100000), " ",IF(INDEX($AO$2:$BQ$1001,MATCH(ROWS($AH$2:AH816),$AH$2:$AH$1001,0),MATCH(COLUMNS($AO$1006:BM1006),$AO$1006:$BQ$1006,0)), HYPERLINK("#",""), HYPERLINK(CONCATENATE("#Metadata!", ADDRESS(INDEX($AJ$2:$AJ$1001,MATCH(ROWS($AH$2:AH816),$AH$2:$AH$1001,0),0), INDEX($AO$1004:$BQ$1004,1,MATCH(COLUMNS($AO$1006:BM1006),$AO$1006:$BQ$1006,0)))),"Fix")))</f>
        <v>#N/A</v>
      </c>
      <c r="AA816" s="5" t="e">
        <f ca="1">IF(OR(INDEX($AI$2:$AI$1001,MATCH(ROWS($AH$2:AH816),$AH$2:$AH$1001,0),1)&gt;=100000,INDEX($AO$1005:$BQ$1005,1,MATCH(COLUMNS($AO$1006:BN1006),$AO$1006:$BQ$1006,0))&gt;=100000), " ",IF(INDEX($AO$2:$BQ$1001,MATCH(ROWS($AH$2:AH816),$AH$2:$AH$1001,0),MATCH(COLUMNS($AO$1006:BN1006),$AO$1006:$BQ$1006,0)), HYPERLINK("#",""), HYPERLINK(CONCATENATE("#Metadata!", ADDRESS(INDEX($AJ$2:$AJ$1001,MATCH(ROWS($AH$2:AH816),$AH$2:$AH$1001,0),0), INDEX($AO$1004:$BQ$1004,1,MATCH(COLUMNS($AO$1006:BN1006),$AO$1006:$BQ$1006,0)))),"Fix")))</f>
        <v>#N/A</v>
      </c>
      <c r="AB816" s="5" t="e">
        <f ca="1">IF(OR(INDEX($AI$2:$AI$1001,MATCH(ROWS($AH$2:AH816),$AH$2:$AH$1001,0),1)&gt;=100000,INDEX($AO$1005:$BQ$1005,1,MATCH(COLUMNS($AO$1006:BO1006),$AO$1006:$BQ$1006,0))&gt;=100000), " ",IF(INDEX($AO$2:$BQ$1001,MATCH(ROWS($AH$2:AH816),$AH$2:$AH$1001,0),MATCH(COLUMNS($AO$1006:BO1006),$AO$1006:$BQ$1006,0)), HYPERLINK("#",""), HYPERLINK(CONCATENATE("#Metadata!", ADDRESS(INDEX($AJ$2:$AJ$1001,MATCH(ROWS($AH$2:AH816),$AH$2:$AH$1001,0),0), INDEX($AO$1004:$BQ$1004,1,MATCH(COLUMNS($AO$1006:BO1006),$AO$1006:$BQ$1006,0)))),"Fix")))</f>
        <v>#N/A</v>
      </c>
      <c r="AC816" s="5" t="e">
        <f ca="1">IF(OR(INDEX($AI$2:$AI$1001,MATCH(ROWS($AH$2:AH816),$AH$2:$AH$1001,0),1)&gt;=100000,INDEX($AO$1005:$BQ$1005,1,MATCH(COLUMNS($AO$1006:BP1006),$AO$1006:$BQ$1006,0))&gt;=100000), " ",IF(INDEX($AO$2:$BQ$1001,MATCH(ROWS($AH$2:AH816),$AH$2:$AH$1001,0),MATCH(COLUMNS($AO$1006:BP1006),$AO$1006:$BQ$1006,0)), HYPERLINK("#",""), HYPERLINK(CONCATENATE("#Metadata!", ADDRESS(INDEX($AJ$2:$AJ$1001,MATCH(ROWS($AH$2:AH816),$AH$2:$AH$1001,0),0), INDEX($AO$1004:$BQ$1004,1,MATCH(COLUMNS($AO$1006:BP1006),$AO$1006:$BQ$1006,0)))),"Fix")))</f>
        <v>#N/A</v>
      </c>
      <c r="AD816" s="5" t="e">
        <f ca="1">IF(OR(INDEX($AI$2:$AI$1001,MATCH(ROWS($AH$2:AH816),$AH$2:$AH$1001,0),1)&gt;=100000,INDEX($AO$1005:$BQ$1005,1,MATCH(COLUMNS($AO$1006:BQ1006),$AO$1006:$BQ$1006,0))&gt;=100000), " ",IF(INDEX($AO$2:$BQ$1001,MATCH(ROWS($AH$2:AH816),$AH$2:$AH$1001,0),MATCH(COLUMNS($AO$1006:BQ1006),$AO$1006:$BQ$1006,0)), HYPERLINK("#",""), HYPERLINK(CONCATENATE("#Metadata!", ADDRESS(INDEX($AJ$2:$AJ$1001,MATCH(ROWS($AH$2:AH816),$AH$2:$AH$1001,0),0), INDEX($AO$1004:$BQ$1004,1,MATCH(COLUMNS($AO$1006:BQ1006),$AO$1006:$BQ$1006,0)))),"Fix")))</f>
        <v>#REF!</v>
      </c>
      <c r="AH816">
        <f ca="1"/>
        <v>813</v>
      </c>
      <c r="AI816">
        <v>100816</v>
      </c>
      <c r="AJ816">
        <v>816</v>
      </c>
      <c r="AK816" t="b">
        <f t="shared" si="12"/>
        <v>1</v>
      </c>
      <c r="AL816" t="b">
        <f>COUNTBLANK(Metadata!B816:AD816)=COLUMNS(Metadata!B816:AD816)</f>
        <v>1</v>
      </c>
      <c r="AM816" t="str">
        <v/>
      </c>
      <c r="AO816" t="b">
        <f ca="1">AND(IF(Metadata!B816="",FALSE,TRUE),COUNTIF(Metadata!B:B, Metadata!B816) = 1,NOT(ISERROR(SUMPRODUCT(SEARCH(MID(Metadata!B816,ROW(INDIRECT("1:"&amp;LEN(Metadata!B816))), 1),"0123456789abcdefghijklmnopqrstuvwxyzABCDEFGHIJKLMNOPQRSTUVWXYZ.")))))</f>
        <v>0</v>
      </c>
      <c r="AP816" t="b">
        <f>IF(Metadata!C816="",FALSE,TRUE)</f>
        <v>0</v>
      </c>
      <c r="AQ816" t="b">
        <f>IF(Metadata!D816="",FALSE,TRUE)</f>
        <v>0</v>
      </c>
      <c r="AR816" t="b">
        <f ca="1">OR(AND(IF(Metadata!E816="",FALSE,TRUE),OR(EXACT(Metadata!E816,"not collected"),EXACT(Metadata!E816,"not provided"),EXACT(Metadata!E816,"restricted access"))),AND(IF(Metadata!E816="",FALSE,TRUE),AND(AND(IFERROR(INT(LEFT(Metadata!E816,4))&gt;1900,FALSE),IFERROR(INT(LEFT(Metadata!E816,4))&lt;=YEAR(NOW()),FALSE)), OR(MID(Metadata!E816,5,1)="", AND(AND(MID(Metadata!E816,5,1)="-",IFERROR(INT(MID(Metadata!E816,6,1))&gt;=0,FALSE),IFERROR(INT(MID(Metadata!E816,6,1))&lt;=1,FALSE),NOT(MID(Metadata!E816,7,1)=""),IFERROR(INT(MID(Metadata!E816,6,2))&gt;=1,FALSE),IFERROR(INT(MID(Metadata!E816,6,2))&lt;=12,FALSE)), OR(MID(Metadata!E816,8,1)="", AND(AND(MID(Metadata!E816,8,1)="-",IFERROR(INT(MID(Metadata!E816,9,1))&gt;=0,FALSE),IFERROR(INT(MID(Metadata!E816,9,1))&lt;=3,FALSE),NOT(MID(Metadata!E816,10,1)=""),IFERROR(INT(MID(Metadata!E816,9,2))&gt;=1,FALSE),IFERROR(INT(MID(Metadata!E816,9,2))&lt;=31,FALSE)), OR(MID(Metadata!E816,11,1)="", AND(AND(MID(Metadata!E816,11,1)=" ",IFERROR(INT(MID(Metadata!E816,12,1))&gt;=0,FALSE),IFERROR(INT(MID(Metadata!E816,12,1))&lt;=2,FALSE),NOT(MID(Metadata!E816,13,1)=""),IFERROR(INT(MID(Metadata!E816,12,2))&gt;=0,FALSE),IFERROR(INT(MID(Metadata!E816,12,2))&lt;=23,FALSE)), OR(MID(Metadata!E816,14,1)="", AND(AND(MID(Metadata!E816,14,1)=":",IFERROR(INT(MID(Metadata!E816,15,1))&gt;=0,FALSE),IFERROR(INT(MID(Metadata!E816,15,1))&lt;=5,FALSE),NOT(MID(Metadata!E816,16,1)=""),IFERROR(INT(MID(Metadata!E816,15,2))&gt;=0,FALSE),IFERROR(INT(MID(Metadata!E816,15,2))&lt;=59,FALSE)), OR(MID(Metadata!E816,17,1)="", AND(AND(MID(Metadata!E816,17,1)=":",IFERROR(INT(MID(Metadata!E816,18,1))&gt;=0,FALSE),IFERROR(INT(MID(Metadata!E816,18,1))&lt;=5,FALSE),NOT(MID(Metadata!E816,19,1)=""),IFERROR(INT(MID(Metadata!E816,18,2))&gt;=0,FALSE),IFERROR(INT(MID(Metadata!E816,18,2))&lt;=59,FALSE)), LEN(Metadata!E816)&lt;=19)))))))))))))</f>
        <v>0</v>
      </c>
      <c r="AS816" t="b">
        <f>IF(Metadata!F816="",FALSE,TRUE)</f>
        <v>0</v>
      </c>
      <c r="AT816" t="b">
        <f>OR(AND(IF(Metadata!G816="",FALSE,TRUE),OR(EXACT(Metadata!G816,"not collected"),EXACT(Metadata!G816,"not provided"))),AND(IF(Metadata!G816="",FALSE,TRUE),OR(EXACT(Metadata!G816,"TRUE"),EXACT(Metadata!G816,"FALSE"))))</f>
        <v>0</v>
      </c>
      <c r="AU816" t="b">
        <f>OR(AND(IF(Metadata!H816="",FALSE,TRUE),OR(EXACT(Metadata!H816,"not collected"),EXACT(Metadata!H816,"not provided"),EXACT(Metadata!H816,"restricted access"))),AND(IF(Metadata!H816="",FALSE,ISNUMBER(VALUE(Metadata!H816))),Metadata!H816&gt;=-413))</f>
        <v>0</v>
      </c>
      <c r="AV816" t="b">
        <f>AND(IF(Metadata!I816="",FALSE,TRUE),EXACT(Metadata!I816,"meters"))</f>
        <v>0</v>
      </c>
      <c r="AW816" t="b">
        <f>AND(IF(Metadata!J816="",FALSE,TRUE),EXACT(Metadata!J816,"free-living"))</f>
        <v>0</v>
      </c>
      <c r="AX816" t="b">
        <f>AND(IF(Metadata!K816="",FALSE,TRUE),OR(EXACT(Metadata!K816,"saline"),EXACT(Metadata!K816,"non-saline")))</f>
        <v>0</v>
      </c>
      <c r="AY816" t="b">
        <f>AND(IF(Metadata!L816="",FALSE,TRUE),OR(EXACT(Metadata!L816,"sub-surface (non-saline)"),EXACT(Metadata!L816,"surface (non-saline)"),EXACT(Metadata!L816,"water (non-saline)"),EXACT(Metadata!L816,"soil (non-saline)"),EXACT(Metadata!L816,"aerosol (non-saline)"),EXACT(Metadata!L816,"sediment (non-saline)"),EXACT(Metadata!L816,"surface (saline)"),EXACT(Metadata!L816,"water (saline)"),EXACT(Metadata!L816,"hypersaline (saline)"),EXACT(Metadata!L816,"aerosol (saline)"),EXACT(Metadata!L816,"sediment (saline)")))</f>
        <v>0</v>
      </c>
      <c r="AZ816" t="b">
        <f>IF(Metadata!M816="",FALSE,TRUE)</f>
        <v>0</v>
      </c>
      <c r="BA816" t="b">
        <f>IF(Metadata!N816="",FALSE,TRUE)</f>
        <v>0</v>
      </c>
      <c r="BB816" t="b">
        <f>IF(Metadata!O816="",FALSE,TRUE)</f>
        <v>0</v>
      </c>
      <c r="BC816" t="b">
        <f>AND(IF(Metadata!P816="",FALSE,TRUE),OR(EXACT(Metadata!P816,"air"),EXACT(Metadata!P816,"microbial mat/biofilm"),EXACT(Metadata!P816,"misc environment"),EXACT(Metadata!P816,"sediment"),EXACT(Metadata!P816,"soil"),EXACT(Metadata!P816,"wastewater/sludge"),EXACT(Metadata!P816,"water")))</f>
        <v>0</v>
      </c>
      <c r="BD816" t="b">
        <f>IF(Metadata!Q816="",FALSE,TRUE)</f>
        <v>0</v>
      </c>
      <c r="BE816" t="b">
        <f>IF(Metadata!R816="",FALSE,TRUE)</f>
        <v>0</v>
      </c>
      <c r="BF816" t="b">
        <f>OR(AND(IF(Metadata!S816="",FALSE,TRUE),OR(EXACT(Metadata!S816,"not collected"),EXACT(Metadata!S816,"not provided"),EXACT(Metadata!S816,"restricted access"))),AND(IF(Metadata!S816="",FALSE,ISNUMBER(VALUE(Metadata!S816))),Metadata!S816&gt;=-90,Metadata!S816&lt;=90))</f>
        <v>0</v>
      </c>
      <c r="BG816" t="b">
        <f>AND(IF(Metadata!T816="",FALSE,TRUE),EXACT(Metadata!T816,"Decimal degrees"))</f>
        <v>0</v>
      </c>
      <c r="BH816" t="b">
        <f>OR(AND(IF(Metadata!U816="",FALSE,TRUE),OR(EXACT(Metadata!U816,"not applicable"),EXACT(Metadata!U816,"not collected"))),IF(Metadata!U816="",FALSE,TRUE))</f>
        <v>0</v>
      </c>
      <c r="BI816" t="b">
        <f>OR(AND(IF(Metadata!V816="",FALSE,TRUE),OR(EXACT(Metadata!V816,"not collected"),EXACT(Metadata!V816,"not provided"),EXACT(Metadata!V816,"restricted access"))),AND(IF(Metadata!V816="",FALSE,ISNUMBER(VALUE(Metadata!V816))),Metadata!V816&gt;=-180,Metadata!V816&lt;=180))</f>
        <v>0</v>
      </c>
      <c r="BJ816" t="b">
        <f>AND(IF(Metadata!W816="",FALSE,TRUE),EXACT(Metadata!W816,"Decimal degrees"))</f>
        <v>0</v>
      </c>
      <c r="BK816" t="b">
        <f>IF(Metadata!X816="",FALSE,TRUE)</f>
        <v>0</v>
      </c>
      <c r="BL816" t="b">
        <f>OR(AND(IF(Metadata!Y816="",FALSE,TRUE),OR(EXACT(Metadata!Y816,"not collected"),EXACT(Metadata!Y816,"not provided"),EXACT(Metadata!Y816,"restricted access"))),AND(IF(Metadata!Y816="",FALSE,TRUE),OR(EXACT(Metadata!Y816,"TRUE"),EXACT(Metadata!Y816,"FALSE"))))</f>
        <v>0</v>
      </c>
      <c r="BM816" t="b">
        <f>OR(AND(IF(Metadata!Z816="",FALSE,TRUE),EXACT(Metadata!Z816,"not applicable")),AND(IF(Metadata!Z816="",FALSE,TRUE),OR(EXACT(Metadata!Z816,"beer"),EXACT(Metadata!Z816,"cheese"),EXACT(Metadata!Z816,"fresh water"),EXACT(Metadata!Z816,"marine sediment"),EXACT(Metadata!Z816,"sea water"),EXACT(Metadata!Z816,"sediment"),EXACT(Metadata!Z816,"soil"),EXACT(Metadata!Z816,"waste water"))))</f>
        <v>0</v>
      </c>
      <c r="BN816" t="b">
        <f>AND(IF(Metadata!AA816="",FALSE,TRUE),EXACT(Metadata!AA816,"metagenome"))</f>
        <v>0</v>
      </c>
      <c r="BO816" t="b">
        <f>AND(IF(Metadata!AB816="",FALSE,TRUE),EXACT(Metadata!AB816,"256318"))</f>
        <v>0</v>
      </c>
      <c r="BP816" t="b">
        <f>IF(Metadata!AC816="",FALSE,TRUE)</f>
        <v>0</v>
      </c>
      <c r="BQ816" t="b">
        <f>IF(Metadata!AD816="",FALSE,TRUE)</f>
        <v>0</v>
      </c>
    </row>
    <row r="817" spans="1:69" x14ac:dyDescent="0.2">
      <c r="A817" s="4" t="e">
        <f ca="1">IF(B817=" "," ",HYPERLINK(CONCATENATE("#metadata!",ADDRESS(INDEX($AJ$2:$AJ$1001,MATCH(ROWS($AH$2:AH817),$AH$2:$AH$1001,0),0),2)),INDEX($AM$2:$AM$1001,MATCH(ROWS($AH$2:AH817),$AH$2:$AH$1001,0),0)))</f>
        <v>#N/A</v>
      </c>
      <c r="B817" s="5" t="e">
        <f ca="1">IF(OR(INDEX($AI$2:$AI$1001,MATCH(ROWS($AH$2:AH817),$AH$2:$AH$1001,0),1)&gt;=100000,INDEX($AO$1005:$BQ$1005,1,MATCH(COLUMNS($AO$1006:AO1006),$AO$1006:$BQ$1006,0))&gt;=100000), " ",IF(INDEX($AO$2:$BQ$1001,MATCH(ROWS($AH$2:AH817),$AH$2:$AH$1001,0),MATCH(COLUMNS($AO$1006:AO1006),$AO$1006:$BQ$1006,0)), HYPERLINK("#",""), HYPERLINK(CONCATENATE("#Metadata!", ADDRESS(INDEX($AJ$2:$AJ$1001,MATCH(ROWS($AH$2:AH817),$AH$2:$AH$1001,0),0), INDEX($AO$1004:$BQ$1004,1,MATCH(COLUMNS($AO$1006:AO1006),$AO$1006:$BQ$1006,0)))),"Fix")))</f>
        <v>#N/A</v>
      </c>
      <c r="C817" s="5" t="e">
        <f ca="1">IF(OR(INDEX($AI$2:$AI$1001,MATCH(ROWS($AH$2:AH817),$AH$2:$AH$1001,0),1)&gt;=100000,INDEX($AO$1005:$BQ$1005,1,MATCH(COLUMNS($AO$1006:AP1006),$AO$1006:$BQ$1006,0))&gt;=100000), " ",IF(INDEX($AO$2:$BQ$1001,MATCH(ROWS($AH$2:AH817),$AH$2:$AH$1001,0),MATCH(COLUMNS($AO$1006:AP1006),$AO$1006:$BQ$1006,0)), HYPERLINK("#",""), HYPERLINK(CONCATENATE("#Metadata!", ADDRESS(INDEX($AJ$2:$AJ$1001,MATCH(ROWS($AH$2:AH817),$AH$2:$AH$1001,0),0), INDEX($AO$1004:$BQ$1004,1,MATCH(COLUMNS($AO$1006:AP1006),$AO$1006:$BQ$1006,0)))),"Fix")))</f>
        <v>#N/A</v>
      </c>
      <c r="D817" s="5" t="e">
        <f ca="1">IF(OR(INDEX($AI$2:$AI$1001,MATCH(ROWS($AH$2:AH817),$AH$2:$AH$1001,0),1)&gt;=100000,INDEX($AO$1005:$BQ$1005,1,MATCH(COLUMNS($AO$1006:AQ1006),$AO$1006:$BQ$1006,0))&gt;=100000), " ",IF(INDEX($AO$2:$BQ$1001,MATCH(ROWS($AH$2:AH817),$AH$2:$AH$1001,0),MATCH(COLUMNS($AO$1006:AQ1006),$AO$1006:$BQ$1006,0)), HYPERLINK("#",""), HYPERLINK(CONCATENATE("#Metadata!", ADDRESS(INDEX($AJ$2:$AJ$1001,MATCH(ROWS($AH$2:AH817),$AH$2:$AH$1001,0),0), INDEX($AO$1004:$BQ$1004,1,MATCH(COLUMNS($AO$1006:AQ1006),$AO$1006:$BQ$1006,0)))),"Fix")))</f>
        <v>#N/A</v>
      </c>
      <c r="E817" s="5" t="e">
        <f ca="1">IF(OR(INDEX($AI$2:$AI$1001,MATCH(ROWS($AH$2:AH817),$AH$2:$AH$1001,0),1)&gt;=100000,INDEX($AO$1005:$BQ$1005,1,MATCH(COLUMNS($AO$1006:AR1006),$AO$1006:$BQ$1006,0))&gt;=100000), " ",IF(INDEX($AO$2:$BQ$1001,MATCH(ROWS($AH$2:AH817),$AH$2:$AH$1001,0),MATCH(COLUMNS($AO$1006:AR1006),$AO$1006:$BQ$1006,0)), HYPERLINK("#",""), HYPERLINK(CONCATENATE("#Metadata!", ADDRESS(INDEX($AJ$2:$AJ$1001,MATCH(ROWS($AH$2:AH817),$AH$2:$AH$1001,0),0), INDEX($AO$1004:$BQ$1004,1,MATCH(COLUMNS($AO$1006:AR1006),$AO$1006:$BQ$1006,0)))),"Fix")))</f>
        <v>#N/A</v>
      </c>
      <c r="F817" s="5" t="e">
        <f ca="1">IF(OR(INDEX($AI$2:$AI$1001,MATCH(ROWS($AH$2:AH817),$AH$2:$AH$1001,0),1)&gt;=100000,INDEX($AO$1005:$BQ$1005,1,MATCH(COLUMNS($AO$1006:AS1006),$AO$1006:$BQ$1006,0))&gt;=100000), " ",IF(INDEX($AO$2:$BQ$1001,MATCH(ROWS($AH$2:AH817),$AH$2:$AH$1001,0),MATCH(COLUMNS($AO$1006:AS1006),$AO$1006:$BQ$1006,0)), HYPERLINK("#",""), HYPERLINK(CONCATENATE("#Metadata!", ADDRESS(INDEX($AJ$2:$AJ$1001,MATCH(ROWS($AH$2:AH817),$AH$2:$AH$1001,0),0), INDEX($AO$1004:$BQ$1004,1,MATCH(COLUMNS($AO$1006:AS1006),$AO$1006:$BQ$1006,0)))),"Fix")))</f>
        <v>#N/A</v>
      </c>
      <c r="G817" s="5" t="e">
        <f ca="1">IF(OR(INDEX($AI$2:$AI$1001,MATCH(ROWS($AH$2:AH817),$AH$2:$AH$1001,0),1)&gt;=100000,INDEX($AO$1005:$BQ$1005,1,MATCH(COLUMNS($AO$1006:AT1006),$AO$1006:$BQ$1006,0))&gt;=100000), " ",IF(INDEX($AO$2:$BQ$1001,MATCH(ROWS($AH$2:AH817),$AH$2:$AH$1001,0),MATCH(COLUMNS($AO$1006:AT1006),$AO$1006:$BQ$1006,0)), HYPERLINK("#",""), HYPERLINK(CONCATENATE("#Metadata!", ADDRESS(INDEX($AJ$2:$AJ$1001,MATCH(ROWS($AH$2:AH817),$AH$2:$AH$1001,0),0), INDEX($AO$1004:$BQ$1004,1,MATCH(COLUMNS($AO$1006:AT1006),$AO$1006:$BQ$1006,0)))),"Fix")))</f>
        <v>#N/A</v>
      </c>
      <c r="H817" s="5" t="e">
        <f ca="1">IF(OR(INDEX($AI$2:$AI$1001,MATCH(ROWS($AH$2:AH817),$AH$2:$AH$1001,0),1)&gt;=100000,INDEX($AO$1005:$BQ$1005,1,MATCH(COLUMNS($AO$1006:AU1006),$AO$1006:$BQ$1006,0))&gt;=100000), " ",IF(INDEX($AO$2:$BQ$1001,MATCH(ROWS($AH$2:AH817),$AH$2:$AH$1001,0),MATCH(COLUMNS($AO$1006:AU1006),$AO$1006:$BQ$1006,0)), HYPERLINK("#",""), HYPERLINK(CONCATENATE("#Metadata!", ADDRESS(INDEX($AJ$2:$AJ$1001,MATCH(ROWS($AH$2:AH817),$AH$2:$AH$1001,0),0), INDEX($AO$1004:$BQ$1004,1,MATCH(COLUMNS($AO$1006:AU1006),$AO$1006:$BQ$1006,0)))),"Fix")))</f>
        <v>#N/A</v>
      </c>
      <c r="I817" s="5" t="e">
        <f ca="1">IF(OR(INDEX($AI$2:$AI$1001,MATCH(ROWS($AH$2:AH817),$AH$2:$AH$1001,0),1)&gt;=100000,INDEX($AO$1005:$BQ$1005,1,MATCH(COLUMNS($AO$1006:AV1006),$AO$1006:$BQ$1006,0))&gt;=100000), " ",IF(INDEX($AO$2:$BQ$1001,MATCH(ROWS($AH$2:AH817),$AH$2:$AH$1001,0),MATCH(COLUMNS($AO$1006:AV1006),$AO$1006:$BQ$1006,0)), HYPERLINK("#",""), HYPERLINK(CONCATENATE("#Metadata!", ADDRESS(INDEX($AJ$2:$AJ$1001,MATCH(ROWS($AH$2:AH817),$AH$2:$AH$1001,0),0), INDEX($AO$1004:$BQ$1004,1,MATCH(COLUMNS($AO$1006:AV1006),$AO$1006:$BQ$1006,0)))),"Fix")))</f>
        <v>#N/A</v>
      </c>
      <c r="J817" s="5" t="e">
        <f ca="1">IF(OR(INDEX($AI$2:$AI$1001,MATCH(ROWS($AH$2:AH817),$AH$2:$AH$1001,0),1)&gt;=100000,INDEX($AO$1005:$BQ$1005,1,MATCH(COLUMNS($AO$1006:AW1006),$AO$1006:$BQ$1006,0))&gt;=100000), " ",IF(INDEX($AO$2:$BQ$1001,MATCH(ROWS($AH$2:AH817),$AH$2:$AH$1001,0),MATCH(COLUMNS($AO$1006:AW1006),$AO$1006:$BQ$1006,0)), HYPERLINK("#",""), HYPERLINK(CONCATENATE("#Metadata!", ADDRESS(INDEX($AJ$2:$AJ$1001,MATCH(ROWS($AH$2:AH817),$AH$2:$AH$1001,0),0), INDEX($AO$1004:$BQ$1004,1,MATCH(COLUMNS($AO$1006:AW1006),$AO$1006:$BQ$1006,0)))),"Fix")))</f>
        <v>#N/A</v>
      </c>
      <c r="K817" s="5" t="e">
        <f ca="1">IF(OR(INDEX($AI$2:$AI$1001,MATCH(ROWS($AH$2:AH817),$AH$2:$AH$1001,0),1)&gt;=100000,INDEX($AO$1005:$BQ$1005,1,MATCH(COLUMNS($AO$1006:AX1006),$AO$1006:$BQ$1006,0))&gt;=100000), " ",IF(INDEX($AO$2:$BQ$1001,MATCH(ROWS($AH$2:AH817),$AH$2:$AH$1001,0),MATCH(COLUMNS($AO$1006:AX1006),$AO$1006:$BQ$1006,0)), HYPERLINK("#",""), HYPERLINK(CONCATENATE("#Metadata!", ADDRESS(INDEX($AJ$2:$AJ$1001,MATCH(ROWS($AH$2:AH817),$AH$2:$AH$1001,0),0), INDEX($AO$1004:$BQ$1004,1,MATCH(COLUMNS($AO$1006:AX1006),$AO$1006:$BQ$1006,0)))),"Fix")))</f>
        <v>#N/A</v>
      </c>
      <c r="L817" s="5" t="e">
        <f ca="1">IF(OR(INDEX($AI$2:$AI$1001,MATCH(ROWS($AH$2:AH817),$AH$2:$AH$1001,0),1)&gt;=100000,INDEX($AO$1005:$BQ$1005,1,MATCH(COLUMNS($AO$1006:AY1006),$AO$1006:$BQ$1006,0))&gt;=100000), " ",IF(INDEX($AO$2:$BQ$1001,MATCH(ROWS($AH$2:AH817),$AH$2:$AH$1001,0),MATCH(COLUMNS($AO$1006:AY1006),$AO$1006:$BQ$1006,0)), HYPERLINK("#",""), HYPERLINK(CONCATENATE("#Metadata!", ADDRESS(INDEX($AJ$2:$AJ$1001,MATCH(ROWS($AH$2:AH817),$AH$2:$AH$1001,0),0), INDEX($AO$1004:$BQ$1004,1,MATCH(COLUMNS($AO$1006:AY1006),$AO$1006:$BQ$1006,0)))),"Fix")))</f>
        <v>#N/A</v>
      </c>
      <c r="M817" s="5" t="e">
        <f ca="1">IF(OR(INDEX($AI$2:$AI$1001,MATCH(ROWS($AH$2:AH817),$AH$2:$AH$1001,0),1)&gt;=100000,INDEX($AO$1005:$BQ$1005,1,MATCH(COLUMNS($AO$1006:AZ1006),$AO$1006:$BQ$1006,0))&gt;=100000), " ",IF(INDEX($AO$2:$BQ$1001,MATCH(ROWS($AH$2:AH817),$AH$2:$AH$1001,0),MATCH(COLUMNS($AO$1006:AZ1006),$AO$1006:$BQ$1006,0)), HYPERLINK("#",""), HYPERLINK(CONCATENATE("#Metadata!", ADDRESS(INDEX($AJ$2:$AJ$1001,MATCH(ROWS($AH$2:AH817),$AH$2:$AH$1001,0),0), INDEX($AO$1004:$BQ$1004,1,MATCH(COLUMNS($AO$1006:AZ1006),$AO$1006:$BQ$1006,0)))),"Fix")))</f>
        <v>#N/A</v>
      </c>
      <c r="N817" s="5" t="e">
        <f ca="1">IF(OR(INDEX($AI$2:$AI$1001,MATCH(ROWS($AH$2:AH817),$AH$2:$AH$1001,0),1)&gt;=100000,INDEX($AO$1005:$BQ$1005,1,MATCH(COLUMNS($AO$1006:BA1006),$AO$1006:$BQ$1006,0))&gt;=100000), " ",IF(INDEX($AO$2:$BQ$1001,MATCH(ROWS($AH$2:AH817),$AH$2:$AH$1001,0),MATCH(COLUMNS($AO$1006:BA1006),$AO$1006:$BQ$1006,0)), HYPERLINK("#",""), HYPERLINK(CONCATENATE("#Metadata!", ADDRESS(INDEX($AJ$2:$AJ$1001,MATCH(ROWS($AH$2:AH817),$AH$2:$AH$1001,0),0), INDEX($AO$1004:$BQ$1004,1,MATCH(COLUMNS($AO$1006:BA1006),$AO$1006:$BQ$1006,0)))),"Fix")))</f>
        <v>#N/A</v>
      </c>
      <c r="O817" s="5" t="e">
        <f ca="1">IF(OR(INDEX($AI$2:$AI$1001,MATCH(ROWS($AH$2:AH817),$AH$2:$AH$1001,0),1)&gt;=100000,INDEX($AO$1005:$BQ$1005,1,MATCH(COLUMNS($AO$1006:BB1006),$AO$1006:$BQ$1006,0))&gt;=100000), " ",IF(INDEX($AO$2:$BQ$1001,MATCH(ROWS($AH$2:AH817),$AH$2:$AH$1001,0),MATCH(COLUMNS($AO$1006:BB1006),$AO$1006:$BQ$1006,0)), HYPERLINK("#",""), HYPERLINK(CONCATENATE("#Metadata!", ADDRESS(INDEX($AJ$2:$AJ$1001,MATCH(ROWS($AH$2:AH817),$AH$2:$AH$1001,0),0), INDEX($AO$1004:$BQ$1004,1,MATCH(COLUMNS($AO$1006:BB1006),$AO$1006:$BQ$1006,0)))),"Fix")))</f>
        <v>#N/A</v>
      </c>
      <c r="P817" s="5" t="e">
        <f ca="1">IF(OR(INDEX($AI$2:$AI$1001,MATCH(ROWS($AH$2:AH817),$AH$2:$AH$1001,0),1)&gt;=100000,INDEX($AO$1005:$BQ$1005,1,MATCH(COLUMNS($AO$1006:BC1006),$AO$1006:$BQ$1006,0))&gt;=100000), " ",IF(INDEX($AO$2:$BQ$1001,MATCH(ROWS($AH$2:AH817),$AH$2:$AH$1001,0),MATCH(COLUMNS($AO$1006:BC1006),$AO$1006:$BQ$1006,0)), HYPERLINK("#",""), HYPERLINK(CONCATENATE("#Metadata!", ADDRESS(INDEX($AJ$2:$AJ$1001,MATCH(ROWS($AH$2:AH817),$AH$2:$AH$1001,0),0), INDEX($AO$1004:$BQ$1004,1,MATCH(COLUMNS($AO$1006:BC1006),$AO$1006:$BQ$1006,0)))),"Fix")))</f>
        <v>#N/A</v>
      </c>
      <c r="Q817" s="5" t="e">
        <f ca="1">IF(OR(INDEX($AI$2:$AI$1001,MATCH(ROWS($AH$2:AH817),$AH$2:$AH$1001,0),1)&gt;=100000,INDEX($AO$1005:$BQ$1005,1,MATCH(COLUMNS($AO$1006:BD1006),$AO$1006:$BQ$1006,0))&gt;=100000), " ",IF(INDEX($AO$2:$BQ$1001,MATCH(ROWS($AH$2:AH817),$AH$2:$AH$1001,0),MATCH(COLUMNS($AO$1006:BD1006),$AO$1006:$BQ$1006,0)), HYPERLINK("#",""), HYPERLINK(CONCATENATE("#Metadata!", ADDRESS(INDEX($AJ$2:$AJ$1001,MATCH(ROWS($AH$2:AH817),$AH$2:$AH$1001,0),0), INDEX($AO$1004:$BQ$1004,1,MATCH(COLUMNS($AO$1006:BD1006),$AO$1006:$BQ$1006,0)))),"Fix")))</f>
        <v>#N/A</v>
      </c>
      <c r="R817" s="5" t="e">
        <f ca="1">IF(OR(INDEX($AI$2:$AI$1001,MATCH(ROWS($AH$2:AH817),$AH$2:$AH$1001,0),1)&gt;=100000,INDEX($AO$1005:$BQ$1005,1,MATCH(COLUMNS($AO$1006:BE1006),$AO$1006:$BQ$1006,0))&gt;=100000), " ",IF(INDEX($AO$2:$BQ$1001,MATCH(ROWS($AH$2:AH817),$AH$2:$AH$1001,0),MATCH(COLUMNS($AO$1006:BE1006),$AO$1006:$BQ$1006,0)), HYPERLINK("#",""), HYPERLINK(CONCATENATE("#Metadata!", ADDRESS(INDEX($AJ$2:$AJ$1001,MATCH(ROWS($AH$2:AH817),$AH$2:$AH$1001,0),0), INDEX($AO$1004:$BQ$1004,1,MATCH(COLUMNS($AO$1006:BE1006),$AO$1006:$BQ$1006,0)))),"Fix")))</f>
        <v>#N/A</v>
      </c>
      <c r="S817" s="5" t="e">
        <f ca="1">IF(OR(INDEX($AI$2:$AI$1001,MATCH(ROWS($AH$2:AH817),$AH$2:$AH$1001,0),1)&gt;=100000,INDEX($AO$1005:$BQ$1005,1,MATCH(COLUMNS($AO$1006:BF1006),$AO$1006:$BQ$1006,0))&gt;=100000), " ",IF(INDEX($AO$2:$BQ$1001,MATCH(ROWS($AH$2:AH817),$AH$2:$AH$1001,0),MATCH(COLUMNS($AO$1006:BF1006),$AO$1006:$BQ$1006,0)), HYPERLINK("#",""), HYPERLINK(CONCATENATE("#Metadata!", ADDRESS(INDEX($AJ$2:$AJ$1001,MATCH(ROWS($AH$2:AH817),$AH$2:$AH$1001,0),0), INDEX($AO$1004:$BQ$1004,1,MATCH(COLUMNS($AO$1006:BF1006),$AO$1006:$BQ$1006,0)))),"Fix")))</f>
        <v>#N/A</v>
      </c>
      <c r="T817" s="5" t="e">
        <f ca="1">IF(OR(INDEX($AI$2:$AI$1001,MATCH(ROWS($AH$2:AH817),$AH$2:$AH$1001,0),1)&gt;=100000,INDEX($AO$1005:$BQ$1005,1,MATCH(COLUMNS($AO$1006:BG1006),$AO$1006:$BQ$1006,0))&gt;=100000), " ",IF(INDEX($AO$2:$BQ$1001,MATCH(ROWS($AH$2:AH817),$AH$2:$AH$1001,0),MATCH(COLUMNS($AO$1006:BG1006),$AO$1006:$BQ$1006,0)), HYPERLINK("#",""), HYPERLINK(CONCATENATE("#Metadata!", ADDRESS(INDEX($AJ$2:$AJ$1001,MATCH(ROWS($AH$2:AH817),$AH$2:$AH$1001,0),0), INDEX($AO$1004:$BQ$1004,1,MATCH(COLUMNS($AO$1006:BG1006),$AO$1006:$BQ$1006,0)))),"Fix")))</f>
        <v>#N/A</v>
      </c>
      <c r="U817" s="5" t="e">
        <f ca="1">IF(OR(INDEX($AI$2:$AI$1001,MATCH(ROWS($AH$2:AH817),$AH$2:$AH$1001,0),1)&gt;=100000,INDEX($AO$1005:$BQ$1005,1,MATCH(COLUMNS($AO$1006:BH1006),$AO$1006:$BQ$1006,0))&gt;=100000), " ",IF(INDEX($AO$2:$BQ$1001,MATCH(ROWS($AH$2:AH817),$AH$2:$AH$1001,0),MATCH(COLUMNS($AO$1006:BH1006),$AO$1006:$BQ$1006,0)), HYPERLINK("#",""), HYPERLINK(CONCATENATE("#Metadata!", ADDRESS(INDEX($AJ$2:$AJ$1001,MATCH(ROWS($AH$2:AH817),$AH$2:$AH$1001,0),0), INDEX($AO$1004:$BQ$1004,1,MATCH(COLUMNS($AO$1006:BH1006),$AO$1006:$BQ$1006,0)))),"Fix")))</f>
        <v>#N/A</v>
      </c>
      <c r="V817" s="5" t="e">
        <f ca="1">IF(OR(INDEX($AI$2:$AI$1001,MATCH(ROWS($AH$2:AH817),$AH$2:$AH$1001,0),1)&gt;=100000,INDEX($AO$1005:$BQ$1005,1,MATCH(COLUMNS($AO$1006:BI1006),$AO$1006:$BQ$1006,0))&gt;=100000), " ",IF(INDEX($AO$2:$BQ$1001,MATCH(ROWS($AH$2:AH817),$AH$2:$AH$1001,0),MATCH(COLUMNS($AO$1006:BI1006),$AO$1006:$BQ$1006,0)), HYPERLINK("#",""), HYPERLINK(CONCATENATE("#Metadata!", ADDRESS(INDEX($AJ$2:$AJ$1001,MATCH(ROWS($AH$2:AH817),$AH$2:$AH$1001,0),0), INDEX($AO$1004:$BQ$1004,1,MATCH(COLUMNS($AO$1006:BI1006),$AO$1006:$BQ$1006,0)))),"Fix")))</f>
        <v>#N/A</v>
      </c>
      <c r="W817" s="5" t="e">
        <f ca="1">IF(OR(INDEX($AI$2:$AI$1001,MATCH(ROWS($AH$2:AH817),$AH$2:$AH$1001,0),1)&gt;=100000,INDEX($AO$1005:$BQ$1005,1,MATCH(COLUMNS($AO$1006:BJ1006),$AO$1006:$BQ$1006,0))&gt;=100000), " ",IF(INDEX($AO$2:$BQ$1001,MATCH(ROWS($AH$2:AH817),$AH$2:$AH$1001,0),MATCH(COLUMNS($AO$1006:BJ1006),$AO$1006:$BQ$1006,0)), HYPERLINK("#",""), HYPERLINK(CONCATENATE("#Metadata!", ADDRESS(INDEX($AJ$2:$AJ$1001,MATCH(ROWS($AH$2:AH817),$AH$2:$AH$1001,0),0), INDEX($AO$1004:$BQ$1004,1,MATCH(COLUMNS($AO$1006:BJ1006),$AO$1006:$BQ$1006,0)))),"Fix")))</f>
        <v>#N/A</v>
      </c>
      <c r="X817" s="5" t="e">
        <f ca="1">IF(OR(INDEX($AI$2:$AI$1001,MATCH(ROWS($AH$2:AH817),$AH$2:$AH$1001,0),1)&gt;=100000,INDEX($AO$1005:$BQ$1005,1,MATCH(COLUMNS($AO$1006:BK1006),$AO$1006:$BQ$1006,0))&gt;=100000), " ",IF(INDEX($AO$2:$BQ$1001,MATCH(ROWS($AH$2:AH817),$AH$2:$AH$1001,0),MATCH(COLUMNS($AO$1006:BK1006),$AO$1006:$BQ$1006,0)), HYPERLINK("#",""), HYPERLINK(CONCATENATE("#Metadata!", ADDRESS(INDEX($AJ$2:$AJ$1001,MATCH(ROWS($AH$2:AH817),$AH$2:$AH$1001,0),0), INDEX($AO$1004:$BQ$1004,1,MATCH(COLUMNS($AO$1006:BK1006),$AO$1006:$BQ$1006,0)))),"Fix")))</f>
        <v>#N/A</v>
      </c>
      <c r="Y817" s="5" t="e">
        <f ca="1">IF(OR(INDEX($AI$2:$AI$1001,MATCH(ROWS($AH$2:AH817),$AH$2:$AH$1001,0),1)&gt;=100000,INDEX($AO$1005:$BQ$1005,1,MATCH(COLUMNS($AO$1006:BL1006),$AO$1006:$BQ$1006,0))&gt;=100000), " ",IF(INDEX($AO$2:$BQ$1001,MATCH(ROWS($AH$2:AH817),$AH$2:$AH$1001,0),MATCH(COLUMNS($AO$1006:BL1006),$AO$1006:$BQ$1006,0)), HYPERLINK("#",""), HYPERLINK(CONCATENATE("#Metadata!", ADDRESS(INDEX($AJ$2:$AJ$1001,MATCH(ROWS($AH$2:AH817),$AH$2:$AH$1001,0),0), INDEX($AO$1004:$BQ$1004,1,MATCH(COLUMNS($AO$1006:BL1006),$AO$1006:$BQ$1006,0)))),"Fix")))</f>
        <v>#N/A</v>
      </c>
      <c r="Z817" s="5" t="e">
        <f ca="1">IF(OR(INDEX($AI$2:$AI$1001,MATCH(ROWS($AH$2:AH817),$AH$2:$AH$1001,0),1)&gt;=100000,INDEX($AO$1005:$BQ$1005,1,MATCH(COLUMNS($AO$1006:BM1006),$AO$1006:$BQ$1006,0))&gt;=100000), " ",IF(INDEX($AO$2:$BQ$1001,MATCH(ROWS($AH$2:AH817),$AH$2:$AH$1001,0),MATCH(COLUMNS($AO$1006:BM1006),$AO$1006:$BQ$1006,0)), HYPERLINK("#",""), HYPERLINK(CONCATENATE("#Metadata!", ADDRESS(INDEX($AJ$2:$AJ$1001,MATCH(ROWS($AH$2:AH817),$AH$2:$AH$1001,0),0), INDEX($AO$1004:$BQ$1004,1,MATCH(COLUMNS($AO$1006:BM1006),$AO$1006:$BQ$1006,0)))),"Fix")))</f>
        <v>#N/A</v>
      </c>
      <c r="AA817" s="5" t="e">
        <f ca="1">IF(OR(INDEX($AI$2:$AI$1001,MATCH(ROWS($AH$2:AH817),$AH$2:$AH$1001,0),1)&gt;=100000,INDEX($AO$1005:$BQ$1005,1,MATCH(COLUMNS($AO$1006:BN1006),$AO$1006:$BQ$1006,0))&gt;=100000), " ",IF(INDEX($AO$2:$BQ$1001,MATCH(ROWS($AH$2:AH817),$AH$2:$AH$1001,0),MATCH(COLUMNS($AO$1006:BN1006),$AO$1006:$BQ$1006,0)), HYPERLINK("#",""), HYPERLINK(CONCATENATE("#Metadata!", ADDRESS(INDEX($AJ$2:$AJ$1001,MATCH(ROWS($AH$2:AH817),$AH$2:$AH$1001,0),0), INDEX($AO$1004:$BQ$1004,1,MATCH(COLUMNS($AO$1006:BN1006),$AO$1006:$BQ$1006,0)))),"Fix")))</f>
        <v>#N/A</v>
      </c>
      <c r="AB817" s="5" t="e">
        <f ca="1">IF(OR(INDEX($AI$2:$AI$1001,MATCH(ROWS($AH$2:AH817),$AH$2:$AH$1001,0),1)&gt;=100000,INDEX($AO$1005:$BQ$1005,1,MATCH(COLUMNS($AO$1006:BO1006),$AO$1006:$BQ$1006,0))&gt;=100000), " ",IF(INDEX($AO$2:$BQ$1001,MATCH(ROWS($AH$2:AH817),$AH$2:$AH$1001,0),MATCH(COLUMNS($AO$1006:BO1006),$AO$1006:$BQ$1006,0)), HYPERLINK("#",""), HYPERLINK(CONCATENATE("#Metadata!", ADDRESS(INDEX($AJ$2:$AJ$1001,MATCH(ROWS($AH$2:AH817),$AH$2:$AH$1001,0),0), INDEX($AO$1004:$BQ$1004,1,MATCH(COLUMNS($AO$1006:BO1006),$AO$1006:$BQ$1006,0)))),"Fix")))</f>
        <v>#N/A</v>
      </c>
      <c r="AC817" s="5" t="e">
        <f ca="1">IF(OR(INDEX($AI$2:$AI$1001,MATCH(ROWS($AH$2:AH817),$AH$2:$AH$1001,0),1)&gt;=100000,INDEX($AO$1005:$BQ$1005,1,MATCH(COLUMNS($AO$1006:BP1006),$AO$1006:$BQ$1006,0))&gt;=100000), " ",IF(INDEX($AO$2:$BQ$1001,MATCH(ROWS($AH$2:AH817),$AH$2:$AH$1001,0),MATCH(COLUMNS($AO$1006:BP1006),$AO$1006:$BQ$1006,0)), HYPERLINK("#",""), HYPERLINK(CONCATENATE("#Metadata!", ADDRESS(INDEX($AJ$2:$AJ$1001,MATCH(ROWS($AH$2:AH817),$AH$2:$AH$1001,0),0), INDEX($AO$1004:$BQ$1004,1,MATCH(COLUMNS($AO$1006:BP1006),$AO$1006:$BQ$1006,0)))),"Fix")))</f>
        <v>#N/A</v>
      </c>
      <c r="AD817" s="5" t="e">
        <f ca="1">IF(OR(INDEX($AI$2:$AI$1001,MATCH(ROWS($AH$2:AH817),$AH$2:$AH$1001,0),1)&gt;=100000,INDEX($AO$1005:$BQ$1005,1,MATCH(COLUMNS($AO$1006:BQ1006),$AO$1006:$BQ$1006,0))&gt;=100000), " ",IF(INDEX($AO$2:$BQ$1001,MATCH(ROWS($AH$2:AH817),$AH$2:$AH$1001,0),MATCH(COLUMNS($AO$1006:BQ1006),$AO$1006:$BQ$1006,0)), HYPERLINK("#",""), HYPERLINK(CONCATENATE("#Metadata!", ADDRESS(INDEX($AJ$2:$AJ$1001,MATCH(ROWS($AH$2:AH817),$AH$2:$AH$1001,0),0), INDEX($AO$1004:$BQ$1004,1,MATCH(COLUMNS($AO$1006:BQ1006),$AO$1006:$BQ$1006,0)))),"Fix")))</f>
        <v>#REF!</v>
      </c>
      <c r="AH817">
        <f ca="1"/>
        <v>814</v>
      </c>
      <c r="AI817">
        <v>100817</v>
      </c>
      <c r="AJ817">
        <v>817</v>
      </c>
      <c r="AK817" t="b">
        <f t="shared" si="12"/>
        <v>1</v>
      </c>
      <c r="AL817" t="b">
        <f>COUNTBLANK(Metadata!B817:AD817)=COLUMNS(Metadata!B817:AD817)</f>
        <v>1</v>
      </c>
      <c r="AM817" t="str">
        <v/>
      </c>
      <c r="AO817" t="b">
        <f ca="1">AND(IF(Metadata!B817="",FALSE,TRUE),COUNTIF(Metadata!B:B, Metadata!B817) = 1,NOT(ISERROR(SUMPRODUCT(SEARCH(MID(Metadata!B817,ROW(INDIRECT("1:"&amp;LEN(Metadata!B817))), 1),"0123456789abcdefghijklmnopqrstuvwxyzABCDEFGHIJKLMNOPQRSTUVWXYZ.")))))</f>
        <v>0</v>
      </c>
      <c r="AP817" t="b">
        <f>IF(Metadata!C817="",FALSE,TRUE)</f>
        <v>0</v>
      </c>
      <c r="AQ817" t="b">
        <f>IF(Metadata!D817="",FALSE,TRUE)</f>
        <v>0</v>
      </c>
      <c r="AR817" t="b">
        <f ca="1">OR(AND(IF(Metadata!E817="",FALSE,TRUE),OR(EXACT(Metadata!E817,"not collected"),EXACT(Metadata!E817,"not provided"),EXACT(Metadata!E817,"restricted access"))),AND(IF(Metadata!E817="",FALSE,TRUE),AND(AND(IFERROR(INT(LEFT(Metadata!E817,4))&gt;1900,FALSE),IFERROR(INT(LEFT(Metadata!E817,4))&lt;=YEAR(NOW()),FALSE)), OR(MID(Metadata!E817,5,1)="", AND(AND(MID(Metadata!E817,5,1)="-",IFERROR(INT(MID(Metadata!E817,6,1))&gt;=0,FALSE),IFERROR(INT(MID(Metadata!E817,6,1))&lt;=1,FALSE),NOT(MID(Metadata!E817,7,1)=""),IFERROR(INT(MID(Metadata!E817,6,2))&gt;=1,FALSE),IFERROR(INT(MID(Metadata!E817,6,2))&lt;=12,FALSE)), OR(MID(Metadata!E817,8,1)="", AND(AND(MID(Metadata!E817,8,1)="-",IFERROR(INT(MID(Metadata!E817,9,1))&gt;=0,FALSE),IFERROR(INT(MID(Metadata!E817,9,1))&lt;=3,FALSE),NOT(MID(Metadata!E817,10,1)=""),IFERROR(INT(MID(Metadata!E817,9,2))&gt;=1,FALSE),IFERROR(INT(MID(Metadata!E817,9,2))&lt;=31,FALSE)), OR(MID(Metadata!E817,11,1)="", AND(AND(MID(Metadata!E817,11,1)=" ",IFERROR(INT(MID(Metadata!E817,12,1))&gt;=0,FALSE),IFERROR(INT(MID(Metadata!E817,12,1))&lt;=2,FALSE),NOT(MID(Metadata!E817,13,1)=""),IFERROR(INT(MID(Metadata!E817,12,2))&gt;=0,FALSE),IFERROR(INT(MID(Metadata!E817,12,2))&lt;=23,FALSE)), OR(MID(Metadata!E817,14,1)="", AND(AND(MID(Metadata!E817,14,1)=":",IFERROR(INT(MID(Metadata!E817,15,1))&gt;=0,FALSE),IFERROR(INT(MID(Metadata!E817,15,1))&lt;=5,FALSE),NOT(MID(Metadata!E817,16,1)=""),IFERROR(INT(MID(Metadata!E817,15,2))&gt;=0,FALSE),IFERROR(INT(MID(Metadata!E817,15,2))&lt;=59,FALSE)), OR(MID(Metadata!E817,17,1)="", AND(AND(MID(Metadata!E817,17,1)=":",IFERROR(INT(MID(Metadata!E817,18,1))&gt;=0,FALSE),IFERROR(INT(MID(Metadata!E817,18,1))&lt;=5,FALSE),NOT(MID(Metadata!E817,19,1)=""),IFERROR(INT(MID(Metadata!E817,18,2))&gt;=0,FALSE),IFERROR(INT(MID(Metadata!E817,18,2))&lt;=59,FALSE)), LEN(Metadata!E817)&lt;=19)))))))))))))</f>
        <v>0</v>
      </c>
      <c r="AS817" t="b">
        <f>IF(Metadata!F817="",FALSE,TRUE)</f>
        <v>0</v>
      </c>
      <c r="AT817" t="b">
        <f>OR(AND(IF(Metadata!G817="",FALSE,TRUE),OR(EXACT(Metadata!G817,"not collected"),EXACT(Metadata!G817,"not provided"))),AND(IF(Metadata!G817="",FALSE,TRUE),OR(EXACT(Metadata!G817,"TRUE"),EXACT(Metadata!G817,"FALSE"))))</f>
        <v>0</v>
      </c>
      <c r="AU817" t="b">
        <f>OR(AND(IF(Metadata!H817="",FALSE,TRUE),OR(EXACT(Metadata!H817,"not collected"),EXACT(Metadata!H817,"not provided"),EXACT(Metadata!H817,"restricted access"))),AND(IF(Metadata!H817="",FALSE,ISNUMBER(VALUE(Metadata!H817))),Metadata!H817&gt;=-413))</f>
        <v>0</v>
      </c>
      <c r="AV817" t="b">
        <f>AND(IF(Metadata!I817="",FALSE,TRUE),EXACT(Metadata!I817,"meters"))</f>
        <v>0</v>
      </c>
      <c r="AW817" t="b">
        <f>AND(IF(Metadata!J817="",FALSE,TRUE),EXACT(Metadata!J817,"free-living"))</f>
        <v>0</v>
      </c>
      <c r="AX817" t="b">
        <f>AND(IF(Metadata!K817="",FALSE,TRUE),OR(EXACT(Metadata!K817,"saline"),EXACT(Metadata!K817,"non-saline")))</f>
        <v>0</v>
      </c>
      <c r="AY817" t="b">
        <f>AND(IF(Metadata!L817="",FALSE,TRUE),OR(EXACT(Metadata!L817,"sub-surface (non-saline)"),EXACT(Metadata!L817,"surface (non-saline)"),EXACT(Metadata!L817,"water (non-saline)"),EXACT(Metadata!L817,"soil (non-saline)"),EXACT(Metadata!L817,"aerosol (non-saline)"),EXACT(Metadata!L817,"sediment (non-saline)"),EXACT(Metadata!L817,"surface (saline)"),EXACT(Metadata!L817,"water (saline)"),EXACT(Metadata!L817,"hypersaline (saline)"),EXACT(Metadata!L817,"aerosol (saline)"),EXACT(Metadata!L817,"sediment (saline)")))</f>
        <v>0</v>
      </c>
      <c r="AZ817" t="b">
        <f>IF(Metadata!M817="",FALSE,TRUE)</f>
        <v>0</v>
      </c>
      <c r="BA817" t="b">
        <f>IF(Metadata!N817="",FALSE,TRUE)</f>
        <v>0</v>
      </c>
      <c r="BB817" t="b">
        <f>IF(Metadata!O817="",FALSE,TRUE)</f>
        <v>0</v>
      </c>
      <c r="BC817" t="b">
        <f>AND(IF(Metadata!P817="",FALSE,TRUE),OR(EXACT(Metadata!P817,"air"),EXACT(Metadata!P817,"microbial mat/biofilm"),EXACT(Metadata!P817,"misc environment"),EXACT(Metadata!P817,"sediment"),EXACT(Metadata!P817,"soil"),EXACT(Metadata!P817,"wastewater/sludge"),EXACT(Metadata!P817,"water")))</f>
        <v>0</v>
      </c>
      <c r="BD817" t="b">
        <f>IF(Metadata!Q817="",FALSE,TRUE)</f>
        <v>0</v>
      </c>
      <c r="BE817" t="b">
        <f>IF(Metadata!R817="",FALSE,TRUE)</f>
        <v>0</v>
      </c>
      <c r="BF817" t="b">
        <f>OR(AND(IF(Metadata!S817="",FALSE,TRUE),OR(EXACT(Metadata!S817,"not collected"),EXACT(Metadata!S817,"not provided"),EXACT(Metadata!S817,"restricted access"))),AND(IF(Metadata!S817="",FALSE,ISNUMBER(VALUE(Metadata!S817))),Metadata!S817&gt;=-90,Metadata!S817&lt;=90))</f>
        <v>0</v>
      </c>
      <c r="BG817" t="b">
        <f>AND(IF(Metadata!T817="",FALSE,TRUE),EXACT(Metadata!T817,"Decimal degrees"))</f>
        <v>0</v>
      </c>
      <c r="BH817" t="b">
        <f>OR(AND(IF(Metadata!U817="",FALSE,TRUE),OR(EXACT(Metadata!U817,"not applicable"),EXACT(Metadata!U817,"not collected"))),IF(Metadata!U817="",FALSE,TRUE))</f>
        <v>0</v>
      </c>
      <c r="BI817" t="b">
        <f>OR(AND(IF(Metadata!V817="",FALSE,TRUE),OR(EXACT(Metadata!V817,"not collected"),EXACT(Metadata!V817,"not provided"),EXACT(Metadata!V817,"restricted access"))),AND(IF(Metadata!V817="",FALSE,ISNUMBER(VALUE(Metadata!V817))),Metadata!V817&gt;=-180,Metadata!V817&lt;=180))</f>
        <v>0</v>
      </c>
      <c r="BJ817" t="b">
        <f>AND(IF(Metadata!W817="",FALSE,TRUE),EXACT(Metadata!W817,"Decimal degrees"))</f>
        <v>0</v>
      </c>
      <c r="BK817" t="b">
        <f>IF(Metadata!X817="",FALSE,TRUE)</f>
        <v>0</v>
      </c>
      <c r="BL817" t="b">
        <f>OR(AND(IF(Metadata!Y817="",FALSE,TRUE),OR(EXACT(Metadata!Y817,"not collected"),EXACT(Metadata!Y817,"not provided"),EXACT(Metadata!Y817,"restricted access"))),AND(IF(Metadata!Y817="",FALSE,TRUE),OR(EXACT(Metadata!Y817,"TRUE"),EXACT(Metadata!Y817,"FALSE"))))</f>
        <v>0</v>
      </c>
      <c r="BM817" t="b">
        <f>OR(AND(IF(Metadata!Z817="",FALSE,TRUE),EXACT(Metadata!Z817,"not applicable")),AND(IF(Metadata!Z817="",FALSE,TRUE),OR(EXACT(Metadata!Z817,"beer"),EXACT(Metadata!Z817,"cheese"),EXACT(Metadata!Z817,"fresh water"),EXACT(Metadata!Z817,"marine sediment"),EXACT(Metadata!Z817,"sea water"),EXACT(Metadata!Z817,"sediment"),EXACT(Metadata!Z817,"soil"),EXACT(Metadata!Z817,"waste water"))))</f>
        <v>0</v>
      </c>
      <c r="BN817" t="b">
        <f>AND(IF(Metadata!AA817="",FALSE,TRUE),EXACT(Metadata!AA817,"metagenome"))</f>
        <v>0</v>
      </c>
      <c r="BO817" t="b">
        <f>AND(IF(Metadata!AB817="",FALSE,TRUE),EXACT(Metadata!AB817,"256318"))</f>
        <v>0</v>
      </c>
      <c r="BP817" t="b">
        <f>IF(Metadata!AC817="",FALSE,TRUE)</f>
        <v>0</v>
      </c>
      <c r="BQ817" t="b">
        <f>IF(Metadata!AD817="",FALSE,TRUE)</f>
        <v>0</v>
      </c>
    </row>
    <row r="818" spans="1:69" x14ac:dyDescent="0.2">
      <c r="A818" s="4" t="e">
        <f ca="1">IF(B818=" "," ",HYPERLINK(CONCATENATE("#metadata!",ADDRESS(INDEX($AJ$2:$AJ$1001,MATCH(ROWS($AH$2:AH818),$AH$2:$AH$1001,0),0),2)),INDEX($AM$2:$AM$1001,MATCH(ROWS($AH$2:AH818),$AH$2:$AH$1001,0),0)))</f>
        <v>#N/A</v>
      </c>
      <c r="B818" s="5" t="e">
        <f ca="1">IF(OR(INDEX($AI$2:$AI$1001,MATCH(ROWS($AH$2:AH818),$AH$2:$AH$1001,0),1)&gt;=100000,INDEX($AO$1005:$BQ$1005,1,MATCH(COLUMNS($AO$1006:AO1006),$AO$1006:$BQ$1006,0))&gt;=100000), " ",IF(INDEX($AO$2:$BQ$1001,MATCH(ROWS($AH$2:AH818),$AH$2:$AH$1001,0),MATCH(COLUMNS($AO$1006:AO1006),$AO$1006:$BQ$1006,0)), HYPERLINK("#",""), HYPERLINK(CONCATENATE("#Metadata!", ADDRESS(INDEX($AJ$2:$AJ$1001,MATCH(ROWS($AH$2:AH818),$AH$2:$AH$1001,0),0), INDEX($AO$1004:$BQ$1004,1,MATCH(COLUMNS($AO$1006:AO1006),$AO$1006:$BQ$1006,0)))),"Fix")))</f>
        <v>#N/A</v>
      </c>
      <c r="C818" s="5" t="e">
        <f ca="1">IF(OR(INDEX($AI$2:$AI$1001,MATCH(ROWS($AH$2:AH818),$AH$2:$AH$1001,0),1)&gt;=100000,INDEX($AO$1005:$BQ$1005,1,MATCH(COLUMNS($AO$1006:AP1006),$AO$1006:$BQ$1006,0))&gt;=100000), " ",IF(INDEX($AO$2:$BQ$1001,MATCH(ROWS($AH$2:AH818),$AH$2:$AH$1001,0),MATCH(COLUMNS($AO$1006:AP1006),$AO$1006:$BQ$1006,0)), HYPERLINK("#",""), HYPERLINK(CONCATENATE("#Metadata!", ADDRESS(INDEX($AJ$2:$AJ$1001,MATCH(ROWS($AH$2:AH818),$AH$2:$AH$1001,0),0), INDEX($AO$1004:$BQ$1004,1,MATCH(COLUMNS($AO$1006:AP1006),$AO$1006:$BQ$1006,0)))),"Fix")))</f>
        <v>#N/A</v>
      </c>
      <c r="D818" s="5" t="e">
        <f ca="1">IF(OR(INDEX($AI$2:$AI$1001,MATCH(ROWS($AH$2:AH818),$AH$2:$AH$1001,0),1)&gt;=100000,INDEX($AO$1005:$BQ$1005,1,MATCH(COLUMNS($AO$1006:AQ1006),$AO$1006:$BQ$1006,0))&gt;=100000), " ",IF(INDEX($AO$2:$BQ$1001,MATCH(ROWS($AH$2:AH818),$AH$2:$AH$1001,0),MATCH(COLUMNS($AO$1006:AQ1006),$AO$1006:$BQ$1006,0)), HYPERLINK("#",""), HYPERLINK(CONCATENATE("#Metadata!", ADDRESS(INDEX($AJ$2:$AJ$1001,MATCH(ROWS($AH$2:AH818),$AH$2:$AH$1001,0),0), INDEX($AO$1004:$BQ$1004,1,MATCH(COLUMNS($AO$1006:AQ1006),$AO$1006:$BQ$1006,0)))),"Fix")))</f>
        <v>#N/A</v>
      </c>
      <c r="E818" s="5" t="e">
        <f ca="1">IF(OR(INDEX($AI$2:$AI$1001,MATCH(ROWS($AH$2:AH818),$AH$2:$AH$1001,0),1)&gt;=100000,INDEX($AO$1005:$BQ$1005,1,MATCH(COLUMNS($AO$1006:AR1006),$AO$1006:$BQ$1006,0))&gt;=100000), " ",IF(INDEX($AO$2:$BQ$1001,MATCH(ROWS($AH$2:AH818),$AH$2:$AH$1001,0),MATCH(COLUMNS($AO$1006:AR1006),$AO$1006:$BQ$1006,0)), HYPERLINK("#",""), HYPERLINK(CONCATENATE("#Metadata!", ADDRESS(INDEX($AJ$2:$AJ$1001,MATCH(ROWS($AH$2:AH818),$AH$2:$AH$1001,0),0), INDEX($AO$1004:$BQ$1004,1,MATCH(COLUMNS($AO$1006:AR1006),$AO$1006:$BQ$1006,0)))),"Fix")))</f>
        <v>#N/A</v>
      </c>
      <c r="F818" s="5" t="e">
        <f ca="1">IF(OR(INDEX($AI$2:$AI$1001,MATCH(ROWS($AH$2:AH818),$AH$2:$AH$1001,0),1)&gt;=100000,INDEX($AO$1005:$BQ$1005,1,MATCH(COLUMNS($AO$1006:AS1006),$AO$1006:$BQ$1006,0))&gt;=100000), " ",IF(INDEX($AO$2:$BQ$1001,MATCH(ROWS($AH$2:AH818),$AH$2:$AH$1001,0),MATCH(COLUMNS($AO$1006:AS1006),$AO$1006:$BQ$1006,0)), HYPERLINK("#",""), HYPERLINK(CONCATENATE("#Metadata!", ADDRESS(INDEX($AJ$2:$AJ$1001,MATCH(ROWS($AH$2:AH818),$AH$2:$AH$1001,0),0), INDEX($AO$1004:$BQ$1004,1,MATCH(COLUMNS($AO$1006:AS1006),$AO$1006:$BQ$1006,0)))),"Fix")))</f>
        <v>#N/A</v>
      </c>
      <c r="G818" s="5" t="e">
        <f ca="1">IF(OR(INDEX($AI$2:$AI$1001,MATCH(ROWS($AH$2:AH818),$AH$2:$AH$1001,0),1)&gt;=100000,INDEX($AO$1005:$BQ$1005,1,MATCH(COLUMNS($AO$1006:AT1006),$AO$1006:$BQ$1006,0))&gt;=100000), " ",IF(INDEX($AO$2:$BQ$1001,MATCH(ROWS($AH$2:AH818),$AH$2:$AH$1001,0),MATCH(COLUMNS($AO$1006:AT1006),$AO$1006:$BQ$1006,0)), HYPERLINK("#",""), HYPERLINK(CONCATENATE("#Metadata!", ADDRESS(INDEX($AJ$2:$AJ$1001,MATCH(ROWS($AH$2:AH818),$AH$2:$AH$1001,0),0), INDEX($AO$1004:$BQ$1004,1,MATCH(COLUMNS($AO$1006:AT1006),$AO$1006:$BQ$1006,0)))),"Fix")))</f>
        <v>#N/A</v>
      </c>
      <c r="H818" s="5" t="e">
        <f ca="1">IF(OR(INDEX($AI$2:$AI$1001,MATCH(ROWS($AH$2:AH818),$AH$2:$AH$1001,0),1)&gt;=100000,INDEX($AO$1005:$BQ$1005,1,MATCH(COLUMNS($AO$1006:AU1006),$AO$1006:$BQ$1006,0))&gt;=100000), " ",IF(INDEX($AO$2:$BQ$1001,MATCH(ROWS($AH$2:AH818),$AH$2:$AH$1001,0),MATCH(COLUMNS($AO$1006:AU1006),$AO$1006:$BQ$1006,0)), HYPERLINK("#",""), HYPERLINK(CONCATENATE("#Metadata!", ADDRESS(INDEX($AJ$2:$AJ$1001,MATCH(ROWS($AH$2:AH818),$AH$2:$AH$1001,0),0), INDEX($AO$1004:$BQ$1004,1,MATCH(COLUMNS($AO$1006:AU1006),$AO$1006:$BQ$1006,0)))),"Fix")))</f>
        <v>#N/A</v>
      </c>
      <c r="I818" s="5" t="e">
        <f ca="1">IF(OR(INDEX($AI$2:$AI$1001,MATCH(ROWS($AH$2:AH818),$AH$2:$AH$1001,0),1)&gt;=100000,INDEX($AO$1005:$BQ$1005,1,MATCH(COLUMNS($AO$1006:AV1006),$AO$1006:$BQ$1006,0))&gt;=100000), " ",IF(INDEX($AO$2:$BQ$1001,MATCH(ROWS($AH$2:AH818),$AH$2:$AH$1001,0),MATCH(COLUMNS($AO$1006:AV1006),$AO$1006:$BQ$1006,0)), HYPERLINK("#",""), HYPERLINK(CONCATENATE("#Metadata!", ADDRESS(INDEX($AJ$2:$AJ$1001,MATCH(ROWS($AH$2:AH818),$AH$2:$AH$1001,0),0), INDEX($AO$1004:$BQ$1004,1,MATCH(COLUMNS($AO$1006:AV1006),$AO$1006:$BQ$1006,0)))),"Fix")))</f>
        <v>#N/A</v>
      </c>
      <c r="J818" s="5" t="e">
        <f ca="1">IF(OR(INDEX($AI$2:$AI$1001,MATCH(ROWS($AH$2:AH818),$AH$2:$AH$1001,0),1)&gt;=100000,INDEX($AO$1005:$BQ$1005,1,MATCH(COLUMNS($AO$1006:AW1006),$AO$1006:$BQ$1006,0))&gt;=100000), " ",IF(INDEX($AO$2:$BQ$1001,MATCH(ROWS($AH$2:AH818),$AH$2:$AH$1001,0),MATCH(COLUMNS($AO$1006:AW1006),$AO$1006:$BQ$1006,0)), HYPERLINK("#",""), HYPERLINK(CONCATENATE("#Metadata!", ADDRESS(INDEX($AJ$2:$AJ$1001,MATCH(ROWS($AH$2:AH818),$AH$2:$AH$1001,0),0), INDEX($AO$1004:$BQ$1004,1,MATCH(COLUMNS($AO$1006:AW1006),$AO$1006:$BQ$1006,0)))),"Fix")))</f>
        <v>#N/A</v>
      </c>
      <c r="K818" s="5" t="e">
        <f ca="1">IF(OR(INDEX($AI$2:$AI$1001,MATCH(ROWS($AH$2:AH818),$AH$2:$AH$1001,0),1)&gt;=100000,INDEX($AO$1005:$BQ$1005,1,MATCH(COLUMNS($AO$1006:AX1006),$AO$1006:$BQ$1006,0))&gt;=100000), " ",IF(INDEX($AO$2:$BQ$1001,MATCH(ROWS($AH$2:AH818),$AH$2:$AH$1001,0),MATCH(COLUMNS($AO$1006:AX1006),$AO$1006:$BQ$1006,0)), HYPERLINK("#",""), HYPERLINK(CONCATENATE("#Metadata!", ADDRESS(INDEX($AJ$2:$AJ$1001,MATCH(ROWS($AH$2:AH818),$AH$2:$AH$1001,0),0), INDEX($AO$1004:$BQ$1004,1,MATCH(COLUMNS($AO$1006:AX1006),$AO$1006:$BQ$1006,0)))),"Fix")))</f>
        <v>#N/A</v>
      </c>
      <c r="L818" s="5" t="e">
        <f ca="1">IF(OR(INDEX($AI$2:$AI$1001,MATCH(ROWS($AH$2:AH818),$AH$2:$AH$1001,0),1)&gt;=100000,INDEX($AO$1005:$BQ$1005,1,MATCH(COLUMNS($AO$1006:AY1006),$AO$1006:$BQ$1006,0))&gt;=100000), " ",IF(INDEX($AO$2:$BQ$1001,MATCH(ROWS($AH$2:AH818),$AH$2:$AH$1001,0),MATCH(COLUMNS($AO$1006:AY1006),$AO$1006:$BQ$1006,0)), HYPERLINK("#",""), HYPERLINK(CONCATENATE("#Metadata!", ADDRESS(INDEX($AJ$2:$AJ$1001,MATCH(ROWS($AH$2:AH818),$AH$2:$AH$1001,0),0), INDEX($AO$1004:$BQ$1004,1,MATCH(COLUMNS($AO$1006:AY1006),$AO$1006:$BQ$1006,0)))),"Fix")))</f>
        <v>#N/A</v>
      </c>
      <c r="M818" s="5" t="e">
        <f ca="1">IF(OR(INDEX($AI$2:$AI$1001,MATCH(ROWS($AH$2:AH818),$AH$2:$AH$1001,0),1)&gt;=100000,INDEX($AO$1005:$BQ$1005,1,MATCH(COLUMNS($AO$1006:AZ1006),$AO$1006:$BQ$1006,0))&gt;=100000), " ",IF(INDEX($AO$2:$BQ$1001,MATCH(ROWS($AH$2:AH818),$AH$2:$AH$1001,0),MATCH(COLUMNS($AO$1006:AZ1006),$AO$1006:$BQ$1006,0)), HYPERLINK("#",""), HYPERLINK(CONCATENATE("#Metadata!", ADDRESS(INDEX($AJ$2:$AJ$1001,MATCH(ROWS($AH$2:AH818),$AH$2:$AH$1001,0),0), INDEX($AO$1004:$BQ$1004,1,MATCH(COLUMNS($AO$1006:AZ1006),$AO$1006:$BQ$1006,0)))),"Fix")))</f>
        <v>#N/A</v>
      </c>
      <c r="N818" s="5" t="e">
        <f ca="1">IF(OR(INDEX($AI$2:$AI$1001,MATCH(ROWS($AH$2:AH818),$AH$2:$AH$1001,0),1)&gt;=100000,INDEX($AO$1005:$BQ$1005,1,MATCH(COLUMNS($AO$1006:BA1006),$AO$1006:$BQ$1006,0))&gt;=100000), " ",IF(INDEX($AO$2:$BQ$1001,MATCH(ROWS($AH$2:AH818),$AH$2:$AH$1001,0),MATCH(COLUMNS($AO$1006:BA1006),$AO$1006:$BQ$1006,0)), HYPERLINK("#",""), HYPERLINK(CONCATENATE("#Metadata!", ADDRESS(INDEX($AJ$2:$AJ$1001,MATCH(ROWS($AH$2:AH818),$AH$2:$AH$1001,0),0), INDEX($AO$1004:$BQ$1004,1,MATCH(COLUMNS($AO$1006:BA1006),$AO$1006:$BQ$1006,0)))),"Fix")))</f>
        <v>#N/A</v>
      </c>
      <c r="O818" s="5" t="e">
        <f ca="1">IF(OR(INDEX($AI$2:$AI$1001,MATCH(ROWS($AH$2:AH818),$AH$2:$AH$1001,0),1)&gt;=100000,INDEX($AO$1005:$BQ$1005,1,MATCH(COLUMNS($AO$1006:BB1006),$AO$1006:$BQ$1006,0))&gt;=100000), " ",IF(INDEX($AO$2:$BQ$1001,MATCH(ROWS($AH$2:AH818),$AH$2:$AH$1001,0),MATCH(COLUMNS($AO$1006:BB1006),$AO$1006:$BQ$1006,0)), HYPERLINK("#",""), HYPERLINK(CONCATENATE("#Metadata!", ADDRESS(INDEX($AJ$2:$AJ$1001,MATCH(ROWS($AH$2:AH818),$AH$2:$AH$1001,0),0), INDEX($AO$1004:$BQ$1004,1,MATCH(COLUMNS($AO$1006:BB1006),$AO$1006:$BQ$1006,0)))),"Fix")))</f>
        <v>#N/A</v>
      </c>
      <c r="P818" s="5" t="e">
        <f ca="1">IF(OR(INDEX($AI$2:$AI$1001,MATCH(ROWS($AH$2:AH818),$AH$2:$AH$1001,0),1)&gt;=100000,INDEX($AO$1005:$BQ$1005,1,MATCH(COLUMNS($AO$1006:BC1006),$AO$1006:$BQ$1006,0))&gt;=100000), " ",IF(INDEX($AO$2:$BQ$1001,MATCH(ROWS($AH$2:AH818),$AH$2:$AH$1001,0),MATCH(COLUMNS($AO$1006:BC1006),$AO$1006:$BQ$1006,0)), HYPERLINK("#",""), HYPERLINK(CONCATENATE("#Metadata!", ADDRESS(INDEX($AJ$2:$AJ$1001,MATCH(ROWS($AH$2:AH818),$AH$2:$AH$1001,0),0), INDEX($AO$1004:$BQ$1004,1,MATCH(COLUMNS($AO$1006:BC1006),$AO$1006:$BQ$1006,0)))),"Fix")))</f>
        <v>#N/A</v>
      </c>
      <c r="Q818" s="5" t="e">
        <f ca="1">IF(OR(INDEX($AI$2:$AI$1001,MATCH(ROWS($AH$2:AH818),$AH$2:$AH$1001,0),1)&gt;=100000,INDEX($AO$1005:$BQ$1005,1,MATCH(COLUMNS($AO$1006:BD1006),$AO$1006:$BQ$1006,0))&gt;=100000), " ",IF(INDEX($AO$2:$BQ$1001,MATCH(ROWS($AH$2:AH818),$AH$2:$AH$1001,0),MATCH(COLUMNS($AO$1006:BD1006),$AO$1006:$BQ$1006,0)), HYPERLINK("#",""), HYPERLINK(CONCATENATE("#Metadata!", ADDRESS(INDEX($AJ$2:$AJ$1001,MATCH(ROWS($AH$2:AH818),$AH$2:$AH$1001,0),0), INDEX($AO$1004:$BQ$1004,1,MATCH(COLUMNS($AO$1006:BD1006),$AO$1006:$BQ$1006,0)))),"Fix")))</f>
        <v>#N/A</v>
      </c>
      <c r="R818" s="5" t="e">
        <f ca="1">IF(OR(INDEX($AI$2:$AI$1001,MATCH(ROWS($AH$2:AH818),$AH$2:$AH$1001,0),1)&gt;=100000,INDEX($AO$1005:$BQ$1005,1,MATCH(COLUMNS($AO$1006:BE1006),$AO$1006:$BQ$1006,0))&gt;=100000), " ",IF(INDEX($AO$2:$BQ$1001,MATCH(ROWS($AH$2:AH818),$AH$2:$AH$1001,0),MATCH(COLUMNS($AO$1006:BE1006),$AO$1006:$BQ$1006,0)), HYPERLINK("#",""), HYPERLINK(CONCATENATE("#Metadata!", ADDRESS(INDEX($AJ$2:$AJ$1001,MATCH(ROWS($AH$2:AH818),$AH$2:$AH$1001,0),0), INDEX($AO$1004:$BQ$1004,1,MATCH(COLUMNS($AO$1006:BE1006),$AO$1006:$BQ$1006,0)))),"Fix")))</f>
        <v>#N/A</v>
      </c>
      <c r="S818" s="5" t="e">
        <f ca="1">IF(OR(INDEX($AI$2:$AI$1001,MATCH(ROWS($AH$2:AH818),$AH$2:$AH$1001,0),1)&gt;=100000,INDEX($AO$1005:$BQ$1005,1,MATCH(COLUMNS($AO$1006:BF1006),$AO$1006:$BQ$1006,0))&gt;=100000), " ",IF(INDEX($AO$2:$BQ$1001,MATCH(ROWS($AH$2:AH818),$AH$2:$AH$1001,0),MATCH(COLUMNS($AO$1006:BF1006),$AO$1006:$BQ$1006,0)), HYPERLINK("#",""), HYPERLINK(CONCATENATE("#Metadata!", ADDRESS(INDEX($AJ$2:$AJ$1001,MATCH(ROWS($AH$2:AH818),$AH$2:$AH$1001,0),0), INDEX($AO$1004:$BQ$1004,1,MATCH(COLUMNS($AO$1006:BF1006),$AO$1006:$BQ$1006,0)))),"Fix")))</f>
        <v>#N/A</v>
      </c>
      <c r="T818" s="5" t="e">
        <f ca="1">IF(OR(INDEX($AI$2:$AI$1001,MATCH(ROWS($AH$2:AH818),$AH$2:$AH$1001,0),1)&gt;=100000,INDEX($AO$1005:$BQ$1005,1,MATCH(COLUMNS($AO$1006:BG1006),$AO$1006:$BQ$1006,0))&gt;=100000), " ",IF(INDEX($AO$2:$BQ$1001,MATCH(ROWS($AH$2:AH818),$AH$2:$AH$1001,0),MATCH(COLUMNS($AO$1006:BG1006),$AO$1006:$BQ$1006,0)), HYPERLINK("#",""), HYPERLINK(CONCATENATE("#Metadata!", ADDRESS(INDEX($AJ$2:$AJ$1001,MATCH(ROWS($AH$2:AH818),$AH$2:$AH$1001,0),0), INDEX($AO$1004:$BQ$1004,1,MATCH(COLUMNS($AO$1006:BG1006),$AO$1006:$BQ$1006,0)))),"Fix")))</f>
        <v>#N/A</v>
      </c>
      <c r="U818" s="5" t="e">
        <f ca="1">IF(OR(INDEX($AI$2:$AI$1001,MATCH(ROWS($AH$2:AH818),$AH$2:$AH$1001,0),1)&gt;=100000,INDEX($AO$1005:$BQ$1005,1,MATCH(COLUMNS($AO$1006:BH1006),$AO$1006:$BQ$1006,0))&gt;=100000), " ",IF(INDEX($AO$2:$BQ$1001,MATCH(ROWS($AH$2:AH818),$AH$2:$AH$1001,0),MATCH(COLUMNS($AO$1006:BH1006),$AO$1006:$BQ$1006,0)), HYPERLINK("#",""), HYPERLINK(CONCATENATE("#Metadata!", ADDRESS(INDEX($AJ$2:$AJ$1001,MATCH(ROWS($AH$2:AH818),$AH$2:$AH$1001,0),0), INDEX($AO$1004:$BQ$1004,1,MATCH(COLUMNS($AO$1006:BH1006),$AO$1006:$BQ$1006,0)))),"Fix")))</f>
        <v>#N/A</v>
      </c>
      <c r="V818" s="5" t="e">
        <f ca="1">IF(OR(INDEX($AI$2:$AI$1001,MATCH(ROWS($AH$2:AH818),$AH$2:$AH$1001,0),1)&gt;=100000,INDEX($AO$1005:$BQ$1005,1,MATCH(COLUMNS($AO$1006:BI1006),$AO$1006:$BQ$1006,0))&gt;=100000), " ",IF(INDEX($AO$2:$BQ$1001,MATCH(ROWS($AH$2:AH818),$AH$2:$AH$1001,0),MATCH(COLUMNS($AO$1006:BI1006),$AO$1006:$BQ$1006,0)), HYPERLINK("#",""), HYPERLINK(CONCATENATE("#Metadata!", ADDRESS(INDEX($AJ$2:$AJ$1001,MATCH(ROWS($AH$2:AH818),$AH$2:$AH$1001,0),0), INDEX($AO$1004:$BQ$1004,1,MATCH(COLUMNS($AO$1006:BI1006),$AO$1006:$BQ$1006,0)))),"Fix")))</f>
        <v>#N/A</v>
      </c>
      <c r="W818" s="5" t="e">
        <f ca="1">IF(OR(INDEX($AI$2:$AI$1001,MATCH(ROWS($AH$2:AH818),$AH$2:$AH$1001,0),1)&gt;=100000,INDEX($AO$1005:$BQ$1005,1,MATCH(COLUMNS($AO$1006:BJ1006),$AO$1006:$BQ$1006,0))&gt;=100000), " ",IF(INDEX($AO$2:$BQ$1001,MATCH(ROWS($AH$2:AH818),$AH$2:$AH$1001,0),MATCH(COLUMNS($AO$1006:BJ1006),$AO$1006:$BQ$1006,0)), HYPERLINK("#",""), HYPERLINK(CONCATENATE("#Metadata!", ADDRESS(INDEX($AJ$2:$AJ$1001,MATCH(ROWS($AH$2:AH818),$AH$2:$AH$1001,0),0), INDEX($AO$1004:$BQ$1004,1,MATCH(COLUMNS($AO$1006:BJ1006),$AO$1006:$BQ$1006,0)))),"Fix")))</f>
        <v>#N/A</v>
      </c>
      <c r="X818" s="5" t="e">
        <f ca="1">IF(OR(INDEX($AI$2:$AI$1001,MATCH(ROWS($AH$2:AH818),$AH$2:$AH$1001,0),1)&gt;=100000,INDEX($AO$1005:$BQ$1005,1,MATCH(COLUMNS($AO$1006:BK1006),$AO$1006:$BQ$1006,0))&gt;=100000), " ",IF(INDEX($AO$2:$BQ$1001,MATCH(ROWS($AH$2:AH818),$AH$2:$AH$1001,0),MATCH(COLUMNS($AO$1006:BK1006),$AO$1006:$BQ$1006,0)), HYPERLINK("#",""), HYPERLINK(CONCATENATE("#Metadata!", ADDRESS(INDEX($AJ$2:$AJ$1001,MATCH(ROWS($AH$2:AH818),$AH$2:$AH$1001,0),0), INDEX($AO$1004:$BQ$1004,1,MATCH(COLUMNS($AO$1006:BK1006),$AO$1006:$BQ$1006,0)))),"Fix")))</f>
        <v>#N/A</v>
      </c>
      <c r="Y818" s="5" t="e">
        <f ca="1">IF(OR(INDEX($AI$2:$AI$1001,MATCH(ROWS($AH$2:AH818),$AH$2:$AH$1001,0),1)&gt;=100000,INDEX($AO$1005:$BQ$1005,1,MATCH(COLUMNS($AO$1006:BL1006),$AO$1006:$BQ$1006,0))&gt;=100000), " ",IF(INDEX($AO$2:$BQ$1001,MATCH(ROWS($AH$2:AH818),$AH$2:$AH$1001,0),MATCH(COLUMNS($AO$1006:BL1006),$AO$1006:$BQ$1006,0)), HYPERLINK("#",""), HYPERLINK(CONCATENATE("#Metadata!", ADDRESS(INDEX($AJ$2:$AJ$1001,MATCH(ROWS($AH$2:AH818),$AH$2:$AH$1001,0),0), INDEX($AO$1004:$BQ$1004,1,MATCH(COLUMNS($AO$1006:BL1006),$AO$1006:$BQ$1006,0)))),"Fix")))</f>
        <v>#N/A</v>
      </c>
      <c r="Z818" s="5" t="e">
        <f ca="1">IF(OR(INDEX($AI$2:$AI$1001,MATCH(ROWS($AH$2:AH818),$AH$2:$AH$1001,0),1)&gt;=100000,INDEX($AO$1005:$BQ$1005,1,MATCH(COLUMNS($AO$1006:BM1006),$AO$1006:$BQ$1006,0))&gt;=100000), " ",IF(INDEX($AO$2:$BQ$1001,MATCH(ROWS($AH$2:AH818),$AH$2:$AH$1001,0),MATCH(COLUMNS($AO$1006:BM1006),$AO$1006:$BQ$1006,0)), HYPERLINK("#",""), HYPERLINK(CONCATENATE("#Metadata!", ADDRESS(INDEX($AJ$2:$AJ$1001,MATCH(ROWS($AH$2:AH818),$AH$2:$AH$1001,0),0), INDEX($AO$1004:$BQ$1004,1,MATCH(COLUMNS($AO$1006:BM1006),$AO$1006:$BQ$1006,0)))),"Fix")))</f>
        <v>#N/A</v>
      </c>
      <c r="AA818" s="5" t="e">
        <f ca="1">IF(OR(INDEX($AI$2:$AI$1001,MATCH(ROWS($AH$2:AH818),$AH$2:$AH$1001,0),1)&gt;=100000,INDEX($AO$1005:$BQ$1005,1,MATCH(COLUMNS($AO$1006:BN1006),$AO$1006:$BQ$1006,0))&gt;=100000), " ",IF(INDEX($AO$2:$BQ$1001,MATCH(ROWS($AH$2:AH818),$AH$2:$AH$1001,0),MATCH(COLUMNS($AO$1006:BN1006),$AO$1006:$BQ$1006,0)), HYPERLINK("#",""), HYPERLINK(CONCATENATE("#Metadata!", ADDRESS(INDEX($AJ$2:$AJ$1001,MATCH(ROWS($AH$2:AH818),$AH$2:$AH$1001,0),0), INDEX($AO$1004:$BQ$1004,1,MATCH(COLUMNS($AO$1006:BN1006),$AO$1006:$BQ$1006,0)))),"Fix")))</f>
        <v>#N/A</v>
      </c>
      <c r="AB818" s="5" t="e">
        <f ca="1">IF(OR(INDEX($AI$2:$AI$1001,MATCH(ROWS($AH$2:AH818),$AH$2:$AH$1001,0),1)&gt;=100000,INDEX($AO$1005:$BQ$1005,1,MATCH(COLUMNS($AO$1006:BO1006),$AO$1006:$BQ$1006,0))&gt;=100000), " ",IF(INDEX($AO$2:$BQ$1001,MATCH(ROWS($AH$2:AH818),$AH$2:$AH$1001,0),MATCH(COLUMNS($AO$1006:BO1006),$AO$1006:$BQ$1006,0)), HYPERLINK("#",""), HYPERLINK(CONCATENATE("#Metadata!", ADDRESS(INDEX($AJ$2:$AJ$1001,MATCH(ROWS($AH$2:AH818),$AH$2:$AH$1001,0),0), INDEX($AO$1004:$BQ$1004,1,MATCH(COLUMNS($AO$1006:BO1006),$AO$1006:$BQ$1006,0)))),"Fix")))</f>
        <v>#N/A</v>
      </c>
      <c r="AC818" s="5" t="e">
        <f ca="1">IF(OR(INDEX($AI$2:$AI$1001,MATCH(ROWS($AH$2:AH818),$AH$2:$AH$1001,0),1)&gt;=100000,INDEX($AO$1005:$BQ$1005,1,MATCH(COLUMNS($AO$1006:BP1006),$AO$1006:$BQ$1006,0))&gt;=100000), " ",IF(INDEX($AO$2:$BQ$1001,MATCH(ROWS($AH$2:AH818),$AH$2:$AH$1001,0),MATCH(COLUMNS($AO$1006:BP1006),$AO$1006:$BQ$1006,0)), HYPERLINK("#",""), HYPERLINK(CONCATENATE("#Metadata!", ADDRESS(INDEX($AJ$2:$AJ$1001,MATCH(ROWS($AH$2:AH818),$AH$2:$AH$1001,0),0), INDEX($AO$1004:$BQ$1004,1,MATCH(COLUMNS($AO$1006:BP1006),$AO$1006:$BQ$1006,0)))),"Fix")))</f>
        <v>#N/A</v>
      </c>
      <c r="AD818" s="5" t="e">
        <f ca="1">IF(OR(INDEX($AI$2:$AI$1001,MATCH(ROWS($AH$2:AH818),$AH$2:$AH$1001,0),1)&gt;=100000,INDEX($AO$1005:$BQ$1005,1,MATCH(COLUMNS($AO$1006:BQ1006),$AO$1006:$BQ$1006,0))&gt;=100000), " ",IF(INDEX($AO$2:$BQ$1001,MATCH(ROWS($AH$2:AH818),$AH$2:$AH$1001,0),MATCH(COLUMNS($AO$1006:BQ1006),$AO$1006:$BQ$1006,0)), HYPERLINK("#",""), HYPERLINK(CONCATENATE("#Metadata!", ADDRESS(INDEX($AJ$2:$AJ$1001,MATCH(ROWS($AH$2:AH818),$AH$2:$AH$1001,0),0), INDEX($AO$1004:$BQ$1004,1,MATCH(COLUMNS($AO$1006:BQ1006),$AO$1006:$BQ$1006,0)))),"Fix")))</f>
        <v>#REF!</v>
      </c>
      <c r="AH818">
        <f ca="1"/>
        <v>815</v>
      </c>
      <c r="AI818">
        <v>100818</v>
      </c>
      <c r="AJ818">
        <v>818</v>
      </c>
      <c r="AK818" t="b">
        <f t="shared" si="12"/>
        <v>1</v>
      </c>
      <c r="AL818" t="b">
        <f>COUNTBLANK(Metadata!B818:AD818)=COLUMNS(Metadata!B818:AD818)</f>
        <v>1</v>
      </c>
      <c r="AM818" t="str">
        <v/>
      </c>
      <c r="AO818" t="b">
        <f ca="1">AND(IF(Metadata!B818="",FALSE,TRUE),COUNTIF(Metadata!B:B, Metadata!B818) = 1,NOT(ISERROR(SUMPRODUCT(SEARCH(MID(Metadata!B818,ROW(INDIRECT("1:"&amp;LEN(Metadata!B818))), 1),"0123456789abcdefghijklmnopqrstuvwxyzABCDEFGHIJKLMNOPQRSTUVWXYZ.")))))</f>
        <v>0</v>
      </c>
      <c r="AP818" t="b">
        <f>IF(Metadata!C818="",FALSE,TRUE)</f>
        <v>0</v>
      </c>
      <c r="AQ818" t="b">
        <f>IF(Metadata!D818="",FALSE,TRUE)</f>
        <v>0</v>
      </c>
      <c r="AR818" t="b">
        <f ca="1">OR(AND(IF(Metadata!E818="",FALSE,TRUE),OR(EXACT(Metadata!E818,"not collected"),EXACT(Metadata!E818,"not provided"),EXACT(Metadata!E818,"restricted access"))),AND(IF(Metadata!E818="",FALSE,TRUE),AND(AND(IFERROR(INT(LEFT(Metadata!E818,4))&gt;1900,FALSE),IFERROR(INT(LEFT(Metadata!E818,4))&lt;=YEAR(NOW()),FALSE)), OR(MID(Metadata!E818,5,1)="", AND(AND(MID(Metadata!E818,5,1)="-",IFERROR(INT(MID(Metadata!E818,6,1))&gt;=0,FALSE),IFERROR(INT(MID(Metadata!E818,6,1))&lt;=1,FALSE),NOT(MID(Metadata!E818,7,1)=""),IFERROR(INT(MID(Metadata!E818,6,2))&gt;=1,FALSE),IFERROR(INT(MID(Metadata!E818,6,2))&lt;=12,FALSE)), OR(MID(Metadata!E818,8,1)="", AND(AND(MID(Metadata!E818,8,1)="-",IFERROR(INT(MID(Metadata!E818,9,1))&gt;=0,FALSE),IFERROR(INT(MID(Metadata!E818,9,1))&lt;=3,FALSE),NOT(MID(Metadata!E818,10,1)=""),IFERROR(INT(MID(Metadata!E818,9,2))&gt;=1,FALSE),IFERROR(INT(MID(Metadata!E818,9,2))&lt;=31,FALSE)), OR(MID(Metadata!E818,11,1)="", AND(AND(MID(Metadata!E818,11,1)=" ",IFERROR(INT(MID(Metadata!E818,12,1))&gt;=0,FALSE),IFERROR(INT(MID(Metadata!E818,12,1))&lt;=2,FALSE),NOT(MID(Metadata!E818,13,1)=""),IFERROR(INT(MID(Metadata!E818,12,2))&gt;=0,FALSE),IFERROR(INT(MID(Metadata!E818,12,2))&lt;=23,FALSE)), OR(MID(Metadata!E818,14,1)="", AND(AND(MID(Metadata!E818,14,1)=":",IFERROR(INT(MID(Metadata!E818,15,1))&gt;=0,FALSE),IFERROR(INT(MID(Metadata!E818,15,1))&lt;=5,FALSE),NOT(MID(Metadata!E818,16,1)=""),IFERROR(INT(MID(Metadata!E818,15,2))&gt;=0,FALSE),IFERROR(INT(MID(Metadata!E818,15,2))&lt;=59,FALSE)), OR(MID(Metadata!E818,17,1)="", AND(AND(MID(Metadata!E818,17,1)=":",IFERROR(INT(MID(Metadata!E818,18,1))&gt;=0,FALSE),IFERROR(INT(MID(Metadata!E818,18,1))&lt;=5,FALSE),NOT(MID(Metadata!E818,19,1)=""),IFERROR(INT(MID(Metadata!E818,18,2))&gt;=0,FALSE),IFERROR(INT(MID(Metadata!E818,18,2))&lt;=59,FALSE)), LEN(Metadata!E818)&lt;=19)))))))))))))</f>
        <v>0</v>
      </c>
      <c r="AS818" t="b">
        <f>IF(Metadata!F818="",FALSE,TRUE)</f>
        <v>0</v>
      </c>
      <c r="AT818" t="b">
        <f>OR(AND(IF(Metadata!G818="",FALSE,TRUE),OR(EXACT(Metadata!G818,"not collected"),EXACT(Metadata!G818,"not provided"))),AND(IF(Metadata!G818="",FALSE,TRUE),OR(EXACT(Metadata!G818,"TRUE"),EXACT(Metadata!G818,"FALSE"))))</f>
        <v>0</v>
      </c>
      <c r="AU818" t="b">
        <f>OR(AND(IF(Metadata!H818="",FALSE,TRUE),OR(EXACT(Metadata!H818,"not collected"),EXACT(Metadata!H818,"not provided"),EXACT(Metadata!H818,"restricted access"))),AND(IF(Metadata!H818="",FALSE,ISNUMBER(VALUE(Metadata!H818))),Metadata!H818&gt;=-413))</f>
        <v>0</v>
      </c>
      <c r="AV818" t="b">
        <f>AND(IF(Metadata!I818="",FALSE,TRUE),EXACT(Metadata!I818,"meters"))</f>
        <v>0</v>
      </c>
      <c r="AW818" t="b">
        <f>AND(IF(Metadata!J818="",FALSE,TRUE),EXACT(Metadata!J818,"free-living"))</f>
        <v>0</v>
      </c>
      <c r="AX818" t="b">
        <f>AND(IF(Metadata!K818="",FALSE,TRUE),OR(EXACT(Metadata!K818,"saline"),EXACT(Metadata!K818,"non-saline")))</f>
        <v>0</v>
      </c>
      <c r="AY818" t="b">
        <f>AND(IF(Metadata!L818="",FALSE,TRUE),OR(EXACT(Metadata!L818,"sub-surface (non-saline)"),EXACT(Metadata!L818,"surface (non-saline)"),EXACT(Metadata!L818,"water (non-saline)"),EXACT(Metadata!L818,"soil (non-saline)"),EXACT(Metadata!L818,"aerosol (non-saline)"),EXACT(Metadata!L818,"sediment (non-saline)"),EXACT(Metadata!L818,"surface (saline)"),EXACT(Metadata!L818,"water (saline)"),EXACT(Metadata!L818,"hypersaline (saline)"),EXACT(Metadata!L818,"aerosol (saline)"),EXACT(Metadata!L818,"sediment (saline)")))</f>
        <v>0</v>
      </c>
      <c r="AZ818" t="b">
        <f>IF(Metadata!M818="",FALSE,TRUE)</f>
        <v>0</v>
      </c>
      <c r="BA818" t="b">
        <f>IF(Metadata!N818="",FALSE,TRUE)</f>
        <v>0</v>
      </c>
      <c r="BB818" t="b">
        <f>IF(Metadata!O818="",FALSE,TRUE)</f>
        <v>0</v>
      </c>
      <c r="BC818" t="b">
        <f>AND(IF(Metadata!P818="",FALSE,TRUE),OR(EXACT(Metadata!P818,"air"),EXACT(Metadata!P818,"microbial mat/biofilm"),EXACT(Metadata!P818,"misc environment"),EXACT(Metadata!P818,"sediment"),EXACT(Metadata!P818,"soil"),EXACT(Metadata!P818,"wastewater/sludge"),EXACT(Metadata!P818,"water")))</f>
        <v>0</v>
      </c>
      <c r="BD818" t="b">
        <f>IF(Metadata!Q818="",FALSE,TRUE)</f>
        <v>0</v>
      </c>
      <c r="BE818" t="b">
        <f>IF(Metadata!R818="",FALSE,TRUE)</f>
        <v>0</v>
      </c>
      <c r="BF818" t="b">
        <f>OR(AND(IF(Metadata!S818="",FALSE,TRUE),OR(EXACT(Metadata!S818,"not collected"),EXACT(Metadata!S818,"not provided"),EXACT(Metadata!S818,"restricted access"))),AND(IF(Metadata!S818="",FALSE,ISNUMBER(VALUE(Metadata!S818))),Metadata!S818&gt;=-90,Metadata!S818&lt;=90))</f>
        <v>0</v>
      </c>
      <c r="BG818" t="b">
        <f>AND(IF(Metadata!T818="",FALSE,TRUE),EXACT(Metadata!T818,"Decimal degrees"))</f>
        <v>0</v>
      </c>
      <c r="BH818" t="b">
        <f>OR(AND(IF(Metadata!U818="",FALSE,TRUE),OR(EXACT(Metadata!U818,"not applicable"),EXACT(Metadata!U818,"not collected"))),IF(Metadata!U818="",FALSE,TRUE))</f>
        <v>0</v>
      </c>
      <c r="BI818" t="b">
        <f>OR(AND(IF(Metadata!V818="",FALSE,TRUE),OR(EXACT(Metadata!V818,"not collected"),EXACT(Metadata!V818,"not provided"),EXACT(Metadata!V818,"restricted access"))),AND(IF(Metadata!V818="",FALSE,ISNUMBER(VALUE(Metadata!V818))),Metadata!V818&gt;=-180,Metadata!V818&lt;=180))</f>
        <v>0</v>
      </c>
      <c r="BJ818" t="b">
        <f>AND(IF(Metadata!W818="",FALSE,TRUE),EXACT(Metadata!W818,"Decimal degrees"))</f>
        <v>0</v>
      </c>
      <c r="BK818" t="b">
        <f>IF(Metadata!X818="",FALSE,TRUE)</f>
        <v>0</v>
      </c>
      <c r="BL818" t="b">
        <f>OR(AND(IF(Metadata!Y818="",FALSE,TRUE),OR(EXACT(Metadata!Y818,"not collected"),EXACT(Metadata!Y818,"not provided"),EXACT(Metadata!Y818,"restricted access"))),AND(IF(Metadata!Y818="",FALSE,TRUE),OR(EXACT(Metadata!Y818,"TRUE"),EXACT(Metadata!Y818,"FALSE"))))</f>
        <v>0</v>
      </c>
      <c r="BM818" t="b">
        <f>OR(AND(IF(Metadata!Z818="",FALSE,TRUE),EXACT(Metadata!Z818,"not applicable")),AND(IF(Metadata!Z818="",FALSE,TRUE),OR(EXACT(Metadata!Z818,"beer"),EXACT(Metadata!Z818,"cheese"),EXACT(Metadata!Z818,"fresh water"),EXACT(Metadata!Z818,"marine sediment"),EXACT(Metadata!Z818,"sea water"),EXACT(Metadata!Z818,"sediment"),EXACT(Metadata!Z818,"soil"),EXACT(Metadata!Z818,"waste water"))))</f>
        <v>0</v>
      </c>
      <c r="BN818" t="b">
        <f>AND(IF(Metadata!AA818="",FALSE,TRUE),EXACT(Metadata!AA818,"metagenome"))</f>
        <v>0</v>
      </c>
      <c r="BO818" t="b">
        <f>AND(IF(Metadata!AB818="",FALSE,TRUE),EXACT(Metadata!AB818,"256318"))</f>
        <v>0</v>
      </c>
      <c r="BP818" t="b">
        <f>IF(Metadata!AC818="",FALSE,TRUE)</f>
        <v>0</v>
      </c>
      <c r="BQ818" t="b">
        <f>IF(Metadata!AD818="",FALSE,TRUE)</f>
        <v>0</v>
      </c>
    </row>
    <row r="819" spans="1:69" x14ac:dyDescent="0.2">
      <c r="A819" s="4" t="e">
        <f ca="1">IF(B819=" "," ",HYPERLINK(CONCATENATE("#metadata!",ADDRESS(INDEX($AJ$2:$AJ$1001,MATCH(ROWS($AH$2:AH819),$AH$2:$AH$1001,0),0),2)),INDEX($AM$2:$AM$1001,MATCH(ROWS($AH$2:AH819),$AH$2:$AH$1001,0),0)))</f>
        <v>#N/A</v>
      </c>
      <c r="B819" s="5" t="e">
        <f ca="1">IF(OR(INDEX($AI$2:$AI$1001,MATCH(ROWS($AH$2:AH819),$AH$2:$AH$1001,0),1)&gt;=100000,INDEX($AO$1005:$BQ$1005,1,MATCH(COLUMNS($AO$1006:AO1006),$AO$1006:$BQ$1006,0))&gt;=100000), " ",IF(INDEX($AO$2:$BQ$1001,MATCH(ROWS($AH$2:AH819),$AH$2:$AH$1001,0),MATCH(COLUMNS($AO$1006:AO1006),$AO$1006:$BQ$1006,0)), HYPERLINK("#",""), HYPERLINK(CONCATENATE("#Metadata!", ADDRESS(INDEX($AJ$2:$AJ$1001,MATCH(ROWS($AH$2:AH819),$AH$2:$AH$1001,0),0), INDEX($AO$1004:$BQ$1004,1,MATCH(COLUMNS($AO$1006:AO1006),$AO$1006:$BQ$1006,0)))),"Fix")))</f>
        <v>#N/A</v>
      </c>
      <c r="C819" s="5" t="e">
        <f ca="1">IF(OR(INDEX($AI$2:$AI$1001,MATCH(ROWS($AH$2:AH819),$AH$2:$AH$1001,0),1)&gt;=100000,INDEX($AO$1005:$BQ$1005,1,MATCH(COLUMNS($AO$1006:AP1006),$AO$1006:$BQ$1006,0))&gt;=100000), " ",IF(INDEX($AO$2:$BQ$1001,MATCH(ROWS($AH$2:AH819),$AH$2:$AH$1001,0),MATCH(COLUMNS($AO$1006:AP1006),$AO$1006:$BQ$1006,0)), HYPERLINK("#",""), HYPERLINK(CONCATENATE("#Metadata!", ADDRESS(INDEX($AJ$2:$AJ$1001,MATCH(ROWS($AH$2:AH819),$AH$2:$AH$1001,0),0), INDEX($AO$1004:$BQ$1004,1,MATCH(COLUMNS($AO$1006:AP1006),$AO$1006:$BQ$1006,0)))),"Fix")))</f>
        <v>#N/A</v>
      </c>
      <c r="D819" s="5" t="e">
        <f ca="1">IF(OR(INDEX($AI$2:$AI$1001,MATCH(ROWS($AH$2:AH819),$AH$2:$AH$1001,0),1)&gt;=100000,INDEX($AO$1005:$BQ$1005,1,MATCH(COLUMNS($AO$1006:AQ1006),$AO$1006:$BQ$1006,0))&gt;=100000), " ",IF(INDEX($AO$2:$BQ$1001,MATCH(ROWS($AH$2:AH819),$AH$2:$AH$1001,0),MATCH(COLUMNS($AO$1006:AQ1006),$AO$1006:$BQ$1006,0)), HYPERLINK("#",""), HYPERLINK(CONCATENATE("#Metadata!", ADDRESS(INDEX($AJ$2:$AJ$1001,MATCH(ROWS($AH$2:AH819),$AH$2:$AH$1001,0),0), INDEX($AO$1004:$BQ$1004,1,MATCH(COLUMNS($AO$1006:AQ1006),$AO$1006:$BQ$1006,0)))),"Fix")))</f>
        <v>#N/A</v>
      </c>
      <c r="E819" s="5" t="e">
        <f ca="1">IF(OR(INDEX($AI$2:$AI$1001,MATCH(ROWS($AH$2:AH819),$AH$2:$AH$1001,0),1)&gt;=100000,INDEX($AO$1005:$BQ$1005,1,MATCH(COLUMNS($AO$1006:AR1006),$AO$1006:$BQ$1006,0))&gt;=100000), " ",IF(INDEX($AO$2:$BQ$1001,MATCH(ROWS($AH$2:AH819),$AH$2:$AH$1001,0),MATCH(COLUMNS($AO$1006:AR1006),$AO$1006:$BQ$1006,0)), HYPERLINK("#",""), HYPERLINK(CONCATENATE("#Metadata!", ADDRESS(INDEX($AJ$2:$AJ$1001,MATCH(ROWS($AH$2:AH819),$AH$2:$AH$1001,0),0), INDEX($AO$1004:$BQ$1004,1,MATCH(COLUMNS($AO$1006:AR1006),$AO$1006:$BQ$1006,0)))),"Fix")))</f>
        <v>#N/A</v>
      </c>
      <c r="F819" s="5" t="e">
        <f ca="1">IF(OR(INDEX($AI$2:$AI$1001,MATCH(ROWS($AH$2:AH819),$AH$2:$AH$1001,0),1)&gt;=100000,INDEX($AO$1005:$BQ$1005,1,MATCH(COLUMNS($AO$1006:AS1006),$AO$1006:$BQ$1006,0))&gt;=100000), " ",IF(INDEX($AO$2:$BQ$1001,MATCH(ROWS($AH$2:AH819),$AH$2:$AH$1001,0),MATCH(COLUMNS($AO$1006:AS1006),$AO$1006:$BQ$1006,0)), HYPERLINK("#",""), HYPERLINK(CONCATENATE("#Metadata!", ADDRESS(INDEX($AJ$2:$AJ$1001,MATCH(ROWS($AH$2:AH819),$AH$2:$AH$1001,0),0), INDEX($AO$1004:$BQ$1004,1,MATCH(COLUMNS($AO$1006:AS1006),$AO$1006:$BQ$1006,0)))),"Fix")))</f>
        <v>#N/A</v>
      </c>
      <c r="G819" s="5" t="e">
        <f ca="1">IF(OR(INDEX($AI$2:$AI$1001,MATCH(ROWS($AH$2:AH819),$AH$2:$AH$1001,0),1)&gt;=100000,INDEX($AO$1005:$BQ$1005,1,MATCH(COLUMNS($AO$1006:AT1006),$AO$1006:$BQ$1006,0))&gt;=100000), " ",IF(INDEX($AO$2:$BQ$1001,MATCH(ROWS($AH$2:AH819),$AH$2:$AH$1001,0),MATCH(COLUMNS($AO$1006:AT1006),$AO$1006:$BQ$1006,0)), HYPERLINK("#",""), HYPERLINK(CONCATENATE("#Metadata!", ADDRESS(INDEX($AJ$2:$AJ$1001,MATCH(ROWS($AH$2:AH819),$AH$2:$AH$1001,0),0), INDEX($AO$1004:$BQ$1004,1,MATCH(COLUMNS($AO$1006:AT1006),$AO$1006:$BQ$1006,0)))),"Fix")))</f>
        <v>#N/A</v>
      </c>
      <c r="H819" s="5" t="e">
        <f ca="1">IF(OR(INDEX($AI$2:$AI$1001,MATCH(ROWS($AH$2:AH819),$AH$2:$AH$1001,0),1)&gt;=100000,INDEX($AO$1005:$BQ$1005,1,MATCH(COLUMNS($AO$1006:AU1006),$AO$1006:$BQ$1006,0))&gt;=100000), " ",IF(INDEX($AO$2:$BQ$1001,MATCH(ROWS($AH$2:AH819),$AH$2:$AH$1001,0),MATCH(COLUMNS($AO$1006:AU1006),$AO$1006:$BQ$1006,0)), HYPERLINK("#",""), HYPERLINK(CONCATENATE("#Metadata!", ADDRESS(INDEX($AJ$2:$AJ$1001,MATCH(ROWS($AH$2:AH819),$AH$2:$AH$1001,0),0), INDEX($AO$1004:$BQ$1004,1,MATCH(COLUMNS($AO$1006:AU1006),$AO$1006:$BQ$1006,0)))),"Fix")))</f>
        <v>#N/A</v>
      </c>
      <c r="I819" s="5" t="e">
        <f ca="1">IF(OR(INDEX($AI$2:$AI$1001,MATCH(ROWS($AH$2:AH819),$AH$2:$AH$1001,0),1)&gt;=100000,INDEX($AO$1005:$BQ$1005,1,MATCH(COLUMNS($AO$1006:AV1006),$AO$1006:$BQ$1006,0))&gt;=100000), " ",IF(INDEX($AO$2:$BQ$1001,MATCH(ROWS($AH$2:AH819),$AH$2:$AH$1001,0),MATCH(COLUMNS($AO$1006:AV1006),$AO$1006:$BQ$1006,0)), HYPERLINK("#",""), HYPERLINK(CONCATENATE("#Metadata!", ADDRESS(INDEX($AJ$2:$AJ$1001,MATCH(ROWS($AH$2:AH819),$AH$2:$AH$1001,0),0), INDEX($AO$1004:$BQ$1004,1,MATCH(COLUMNS($AO$1006:AV1006),$AO$1006:$BQ$1006,0)))),"Fix")))</f>
        <v>#N/A</v>
      </c>
      <c r="J819" s="5" t="e">
        <f ca="1">IF(OR(INDEX($AI$2:$AI$1001,MATCH(ROWS($AH$2:AH819),$AH$2:$AH$1001,0),1)&gt;=100000,INDEX($AO$1005:$BQ$1005,1,MATCH(COLUMNS($AO$1006:AW1006),$AO$1006:$BQ$1006,0))&gt;=100000), " ",IF(INDEX($AO$2:$BQ$1001,MATCH(ROWS($AH$2:AH819),$AH$2:$AH$1001,0),MATCH(COLUMNS($AO$1006:AW1006),$AO$1006:$BQ$1006,0)), HYPERLINK("#",""), HYPERLINK(CONCATENATE("#Metadata!", ADDRESS(INDEX($AJ$2:$AJ$1001,MATCH(ROWS($AH$2:AH819),$AH$2:$AH$1001,0),0), INDEX($AO$1004:$BQ$1004,1,MATCH(COLUMNS($AO$1006:AW1006),$AO$1006:$BQ$1006,0)))),"Fix")))</f>
        <v>#N/A</v>
      </c>
      <c r="K819" s="5" t="e">
        <f ca="1">IF(OR(INDEX($AI$2:$AI$1001,MATCH(ROWS($AH$2:AH819),$AH$2:$AH$1001,0),1)&gt;=100000,INDEX($AO$1005:$BQ$1005,1,MATCH(COLUMNS($AO$1006:AX1006),$AO$1006:$BQ$1006,0))&gt;=100000), " ",IF(INDEX($AO$2:$BQ$1001,MATCH(ROWS($AH$2:AH819),$AH$2:$AH$1001,0),MATCH(COLUMNS($AO$1006:AX1006),$AO$1006:$BQ$1006,0)), HYPERLINK("#",""), HYPERLINK(CONCATENATE("#Metadata!", ADDRESS(INDEX($AJ$2:$AJ$1001,MATCH(ROWS($AH$2:AH819),$AH$2:$AH$1001,0),0), INDEX($AO$1004:$BQ$1004,1,MATCH(COLUMNS($AO$1006:AX1006),$AO$1006:$BQ$1006,0)))),"Fix")))</f>
        <v>#N/A</v>
      </c>
      <c r="L819" s="5" t="e">
        <f ca="1">IF(OR(INDEX($AI$2:$AI$1001,MATCH(ROWS($AH$2:AH819),$AH$2:$AH$1001,0),1)&gt;=100000,INDEX($AO$1005:$BQ$1005,1,MATCH(COLUMNS($AO$1006:AY1006),$AO$1006:$BQ$1006,0))&gt;=100000), " ",IF(INDEX($AO$2:$BQ$1001,MATCH(ROWS($AH$2:AH819),$AH$2:$AH$1001,0),MATCH(COLUMNS($AO$1006:AY1006),$AO$1006:$BQ$1006,0)), HYPERLINK("#",""), HYPERLINK(CONCATENATE("#Metadata!", ADDRESS(INDEX($AJ$2:$AJ$1001,MATCH(ROWS($AH$2:AH819),$AH$2:$AH$1001,0),0), INDEX($AO$1004:$BQ$1004,1,MATCH(COLUMNS($AO$1006:AY1006),$AO$1006:$BQ$1006,0)))),"Fix")))</f>
        <v>#N/A</v>
      </c>
      <c r="M819" s="5" t="e">
        <f ca="1">IF(OR(INDEX($AI$2:$AI$1001,MATCH(ROWS($AH$2:AH819),$AH$2:$AH$1001,0),1)&gt;=100000,INDEX($AO$1005:$BQ$1005,1,MATCH(COLUMNS($AO$1006:AZ1006),$AO$1006:$BQ$1006,0))&gt;=100000), " ",IF(INDEX($AO$2:$BQ$1001,MATCH(ROWS($AH$2:AH819),$AH$2:$AH$1001,0),MATCH(COLUMNS($AO$1006:AZ1006),$AO$1006:$BQ$1006,0)), HYPERLINK("#",""), HYPERLINK(CONCATENATE("#Metadata!", ADDRESS(INDEX($AJ$2:$AJ$1001,MATCH(ROWS($AH$2:AH819),$AH$2:$AH$1001,0),0), INDEX($AO$1004:$BQ$1004,1,MATCH(COLUMNS($AO$1006:AZ1006),$AO$1006:$BQ$1006,0)))),"Fix")))</f>
        <v>#N/A</v>
      </c>
      <c r="N819" s="5" t="e">
        <f ca="1">IF(OR(INDEX($AI$2:$AI$1001,MATCH(ROWS($AH$2:AH819),$AH$2:$AH$1001,0),1)&gt;=100000,INDEX($AO$1005:$BQ$1005,1,MATCH(COLUMNS($AO$1006:BA1006),$AO$1006:$BQ$1006,0))&gt;=100000), " ",IF(INDEX($AO$2:$BQ$1001,MATCH(ROWS($AH$2:AH819),$AH$2:$AH$1001,0),MATCH(COLUMNS($AO$1006:BA1006),$AO$1006:$BQ$1006,0)), HYPERLINK("#",""), HYPERLINK(CONCATENATE("#Metadata!", ADDRESS(INDEX($AJ$2:$AJ$1001,MATCH(ROWS($AH$2:AH819),$AH$2:$AH$1001,0),0), INDEX($AO$1004:$BQ$1004,1,MATCH(COLUMNS($AO$1006:BA1006),$AO$1006:$BQ$1006,0)))),"Fix")))</f>
        <v>#N/A</v>
      </c>
      <c r="O819" s="5" t="e">
        <f ca="1">IF(OR(INDEX($AI$2:$AI$1001,MATCH(ROWS($AH$2:AH819),$AH$2:$AH$1001,0),1)&gt;=100000,INDEX($AO$1005:$BQ$1005,1,MATCH(COLUMNS($AO$1006:BB1006),$AO$1006:$BQ$1006,0))&gt;=100000), " ",IF(INDEX($AO$2:$BQ$1001,MATCH(ROWS($AH$2:AH819),$AH$2:$AH$1001,0),MATCH(COLUMNS($AO$1006:BB1006),$AO$1006:$BQ$1006,0)), HYPERLINK("#",""), HYPERLINK(CONCATENATE("#Metadata!", ADDRESS(INDEX($AJ$2:$AJ$1001,MATCH(ROWS($AH$2:AH819),$AH$2:$AH$1001,0),0), INDEX($AO$1004:$BQ$1004,1,MATCH(COLUMNS($AO$1006:BB1006),$AO$1006:$BQ$1006,0)))),"Fix")))</f>
        <v>#N/A</v>
      </c>
      <c r="P819" s="5" t="e">
        <f ca="1">IF(OR(INDEX($AI$2:$AI$1001,MATCH(ROWS($AH$2:AH819),$AH$2:$AH$1001,0),1)&gt;=100000,INDEX($AO$1005:$BQ$1005,1,MATCH(COLUMNS($AO$1006:BC1006),$AO$1006:$BQ$1006,0))&gt;=100000), " ",IF(INDEX($AO$2:$BQ$1001,MATCH(ROWS($AH$2:AH819),$AH$2:$AH$1001,0),MATCH(COLUMNS($AO$1006:BC1006),$AO$1006:$BQ$1006,0)), HYPERLINK("#",""), HYPERLINK(CONCATENATE("#Metadata!", ADDRESS(INDEX($AJ$2:$AJ$1001,MATCH(ROWS($AH$2:AH819),$AH$2:$AH$1001,0),0), INDEX($AO$1004:$BQ$1004,1,MATCH(COLUMNS($AO$1006:BC1006),$AO$1006:$BQ$1006,0)))),"Fix")))</f>
        <v>#N/A</v>
      </c>
      <c r="Q819" s="5" t="e">
        <f ca="1">IF(OR(INDEX($AI$2:$AI$1001,MATCH(ROWS($AH$2:AH819),$AH$2:$AH$1001,0),1)&gt;=100000,INDEX($AO$1005:$BQ$1005,1,MATCH(COLUMNS($AO$1006:BD1006),$AO$1006:$BQ$1006,0))&gt;=100000), " ",IF(INDEX($AO$2:$BQ$1001,MATCH(ROWS($AH$2:AH819),$AH$2:$AH$1001,0),MATCH(COLUMNS($AO$1006:BD1006),$AO$1006:$BQ$1006,0)), HYPERLINK("#",""), HYPERLINK(CONCATENATE("#Metadata!", ADDRESS(INDEX($AJ$2:$AJ$1001,MATCH(ROWS($AH$2:AH819),$AH$2:$AH$1001,0),0), INDEX($AO$1004:$BQ$1004,1,MATCH(COLUMNS($AO$1006:BD1006),$AO$1006:$BQ$1006,0)))),"Fix")))</f>
        <v>#N/A</v>
      </c>
      <c r="R819" s="5" t="e">
        <f ca="1">IF(OR(INDEX($AI$2:$AI$1001,MATCH(ROWS($AH$2:AH819),$AH$2:$AH$1001,0),1)&gt;=100000,INDEX($AO$1005:$BQ$1005,1,MATCH(COLUMNS($AO$1006:BE1006),$AO$1006:$BQ$1006,0))&gt;=100000), " ",IF(INDEX($AO$2:$BQ$1001,MATCH(ROWS($AH$2:AH819),$AH$2:$AH$1001,0),MATCH(COLUMNS($AO$1006:BE1006),$AO$1006:$BQ$1006,0)), HYPERLINK("#",""), HYPERLINK(CONCATENATE("#Metadata!", ADDRESS(INDEX($AJ$2:$AJ$1001,MATCH(ROWS($AH$2:AH819),$AH$2:$AH$1001,0),0), INDEX($AO$1004:$BQ$1004,1,MATCH(COLUMNS($AO$1006:BE1006),$AO$1006:$BQ$1006,0)))),"Fix")))</f>
        <v>#N/A</v>
      </c>
      <c r="S819" s="5" t="e">
        <f ca="1">IF(OR(INDEX($AI$2:$AI$1001,MATCH(ROWS($AH$2:AH819),$AH$2:$AH$1001,0),1)&gt;=100000,INDEX($AO$1005:$BQ$1005,1,MATCH(COLUMNS($AO$1006:BF1006),$AO$1006:$BQ$1006,0))&gt;=100000), " ",IF(INDEX($AO$2:$BQ$1001,MATCH(ROWS($AH$2:AH819),$AH$2:$AH$1001,0),MATCH(COLUMNS($AO$1006:BF1006),$AO$1006:$BQ$1006,0)), HYPERLINK("#",""), HYPERLINK(CONCATENATE("#Metadata!", ADDRESS(INDEX($AJ$2:$AJ$1001,MATCH(ROWS($AH$2:AH819),$AH$2:$AH$1001,0),0), INDEX($AO$1004:$BQ$1004,1,MATCH(COLUMNS($AO$1006:BF1006),$AO$1006:$BQ$1006,0)))),"Fix")))</f>
        <v>#N/A</v>
      </c>
      <c r="T819" s="5" t="e">
        <f ca="1">IF(OR(INDEX($AI$2:$AI$1001,MATCH(ROWS($AH$2:AH819),$AH$2:$AH$1001,0),1)&gt;=100000,INDEX($AO$1005:$BQ$1005,1,MATCH(COLUMNS($AO$1006:BG1006),$AO$1006:$BQ$1006,0))&gt;=100000), " ",IF(INDEX($AO$2:$BQ$1001,MATCH(ROWS($AH$2:AH819),$AH$2:$AH$1001,0),MATCH(COLUMNS($AO$1006:BG1006),$AO$1006:$BQ$1006,0)), HYPERLINK("#",""), HYPERLINK(CONCATENATE("#Metadata!", ADDRESS(INDEX($AJ$2:$AJ$1001,MATCH(ROWS($AH$2:AH819),$AH$2:$AH$1001,0),0), INDEX($AO$1004:$BQ$1004,1,MATCH(COLUMNS($AO$1006:BG1006),$AO$1006:$BQ$1006,0)))),"Fix")))</f>
        <v>#N/A</v>
      </c>
      <c r="U819" s="5" t="e">
        <f ca="1">IF(OR(INDEX($AI$2:$AI$1001,MATCH(ROWS($AH$2:AH819),$AH$2:$AH$1001,0),1)&gt;=100000,INDEX($AO$1005:$BQ$1005,1,MATCH(COLUMNS($AO$1006:BH1006),$AO$1006:$BQ$1006,0))&gt;=100000), " ",IF(INDEX($AO$2:$BQ$1001,MATCH(ROWS($AH$2:AH819),$AH$2:$AH$1001,0),MATCH(COLUMNS($AO$1006:BH1006),$AO$1006:$BQ$1006,0)), HYPERLINK("#",""), HYPERLINK(CONCATENATE("#Metadata!", ADDRESS(INDEX($AJ$2:$AJ$1001,MATCH(ROWS($AH$2:AH819),$AH$2:$AH$1001,0),0), INDEX($AO$1004:$BQ$1004,1,MATCH(COLUMNS($AO$1006:BH1006),$AO$1006:$BQ$1006,0)))),"Fix")))</f>
        <v>#N/A</v>
      </c>
      <c r="V819" s="5" t="e">
        <f ca="1">IF(OR(INDEX($AI$2:$AI$1001,MATCH(ROWS($AH$2:AH819),$AH$2:$AH$1001,0),1)&gt;=100000,INDEX($AO$1005:$BQ$1005,1,MATCH(COLUMNS($AO$1006:BI1006),$AO$1006:$BQ$1006,0))&gt;=100000), " ",IF(INDEX($AO$2:$BQ$1001,MATCH(ROWS($AH$2:AH819),$AH$2:$AH$1001,0),MATCH(COLUMNS($AO$1006:BI1006),$AO$1006:$BQ$1006,0)), HYPERLINK("#",""), HYPERLINK(CONCATENATE("#Metadata!", ADDRESS(INDEX($AJ$2:$AJ$1001,MATCH(ROWS($AH$2:AH819),$AH$2:$AH$1001,0),0), INDEX($AO$1004:$BQ$1004,1,MATCH(COLUMNS($AO$1006:BI1006),$AO$1006:$BQ$1006,0)))),"Fix")))</f>
        <v>#N/A</v>
      </c>
      <c r="W819" s="5" t="e">
        <f ca="1">IF(OR(INDEX($AI$2:$AI$1001,MATCH(ROWS($AH$2:AH819),$AH$2:$AH$1001,0),1)&gt;=100000,INDEX($AO$1005:$BQ$1005,1,MATCH(COLUMNS($AO$1006:BJ1006),$AO$1006:$BQ$1006,0))&gt;=100000), " ",IF(INDEX($AO$2:$BQ$1001,MATCH(ROWS($AH$2:AH819),$AH$2:$AH$1001,0),MATCH(COLUMNS($AO$1006:BJ1006),$AO$1006:$BQ$1006,0)), HYPERLINK("#",""), HYPERLINK(CONCATENATE("#Metadata!", ADDRESS(INDEX($AJ$2:$AJ$1001,MATCH(ROWS($AH$2:AH819),$AH$2:$AH$1001,0),0), INDEX($AO$1004:$BQ$1004,1,MATCH(COLUMNS($AO$1006:BJ1006),$AO$1006:$BQ$1006,0)))),"Fix")))</f>
        <v>#N/A</v>
      </c>
      <c r="X819" s="5" t="e">
        <f ca="1">IF(OR(INDEX($AI$2:$AI$1001,MATCH(ROWS($AH$2:AH819),$AH$2:$AH$1001,0),1)&gt;=100000,INDEX($AO$1005:$BQ$1005,1,MATCH(COLUMNS($AO$1006:BK1006),$AO$1006:$BQ$1006,0))&gt;=100000), " ",IF(INDEX($AO$2:$BQ$1001,MATCH(ROWS($AH$2:AH819),$AH$2:$AH$1001,0),MATCH(COLUMNS($AO$1006:BK1006),$AO$1006:$BQ$1006,0)), HYPERLINK("#",""), HYPERLINK(CONCATENATE("#Metadata!", ADDRESS(INDEX($AJ$2:$AJ$1001,MATCH(ROWS($AH$2:AH819),$AH$2:$AH$1001,0),0), INDEX($AO$1004:$BQ$1004,1,MATCH(COLUMNS($AO$1006:BK1006),$AO$1006:$BQ$1006,0)))),"Fix")))</f>
        <v>#N/A</v>
      </c>
      <c r="Y819" s="5" t="e">
        <f ca="1">IF(OR(INDEX($AI$2:$AI$1001,MATCH(ROWS($AH$2:AH819),$AH$2:$AH$1001,0),1)&gt;=100000,INDEX($AO$1005:$BQ$1005,1,MATCH(COLUMNS($AO$1006:BL1006),$AO$1006:$BQ$1006,0))&gt;=100000), " ",IF(INDEX($AO$2:$BQ$1001,MATCH(ROWS($AH$2:AH819),$AH$2:$AH$1001,0),MATCH(COLUMNS($AO$1006:BL1006),$AO$1006:$BQ$1006,0)), HYPERLINK("#",""), HYPERLINK(CONCATENATE("#Metadata!", ADDRESS(INDEX($AJ$2:$AJ$1001,MATCH(ROWS($AH$2:AH819),$AH$2:$AH$1001,0),0), INDEX($AO$1004:$BQ$1004,1,MATCH(COLUMNS($AO$1006:BL1006),$AO$1006:$BQ$1006,0)))),"Fix")))</f>
        <v>#N/A</v>
      </c>
      <c r="Z819" s="5" t="e">
        <f ca="1">IF(OR(INDEX($AI$2:$AI$1001,MATCH(ROWS($AH$2:AH819),$AH$2:$AH$1001,0),1)&gt;=100000,INDEX($AO$1005:$BQ$1005,1,MATCH(COLUMNS($AO$1006:BM1006),$AO$1006:$BQ$1006,0))&gt;=100000), " ",IF(INDEX($AO$2:$BQ$1001,MATCH(ROWS($AH$2:AH819),$AH$2:$AH$1001,0),MATCH(COLUMNS($AO$1006:BM1006),$AO$1006:$BQ$1006,0)), HYPERLINK("#",""), HYPERLINK(CONCATENATE("#Metadata!", ADDRESS(INDEX($AJ$2:$AJ$1001,MATCH(ROWS($AH$2:AH819),$AH$2:$AH$1001,0),0), INDEX($AO$1004:$BQ$1004,1,MATCH(COLUMNS($AO$1006:BM1006),$AO$1006:$BQ$1006,0)))),"Fix")))</f>
        <v>#N/A</v>
      </c>
      <c r="AA819" s="5" t="e">
        <f ca="1">IF(OR(INDEX($AI$2:$AI$1001,MATCH(ROWS($AH$2:AH819),$AH$2:$AH$1001,0),1)&gt;=100000,INDEX($AO$1005:$BQ$1005,1,MATCH(COLUMNS($AO$1006:BN1006),$AO$1006:$BQ$1006,0))&gt;=100000), " ",IF(INDEX($AO$2:$BQ$1001,MATCH(ROWS($AH$2:AH819),$AH$2:$AH$1001,0),MATCH(COLUMNS($AO$1006:BN1006),$AO$1006:$BQ$1006,0)), HYPERLINK("#",""), HYPERLINK(CONCATENATE("#Metadata!", ADDRESS(INDEX($AJ$2:$AJ$1001,MATCH(ROWS($AH$2:AH819),$AH$2:$AH$1001,0),0), INDEX($AO$1004:$BQ$1004,1,MATCH(COLUMNS($AO$1006:BN1006),$AO$1006:$BQ$1006,0)))),"Fix")))</f>
        <v>#N/A</v>
      </c>
      <c r="AB819" s="5" t="e">
        <f ca="1">IF(OR(INDEX($AI$2:$AI$1001,MATCH(ROWS($AH$2:AH819),$AH$2:$AH$1001,0),1)&gt;=100000,INDEX($AO$1005:$BQ$1005,1,MATCH(COLUMNS($AO$1006:BO1006),$AO$1006:$BQ$1006,0))&gt;=100000), " ",IF(INDEX($AO$2:$BQ$1001,MATCH(ROWS($AH$2:AH819),$AH$2:$AH$1001,0),MATCH(COLUMNS($AO$1006:BO1006),$AO$1006:$BQ$1006,0)), HYPERLINK("#",""), HYPERLINK(CONCATENATE("#Metadata!", ADDRESS(INDEX($AJ$2:$AJ$1001,MATCH(ROWS($AH$2:AH819),$AH$2:$AH$1001,0),0), INDEX($AO$1004:$BQ$1004,1,MATCH(COLUMNS($AO$1006:BO1006),$AO$1006:$BQ$1006,0)))),"Fix")))</f>
        <v>#N/A</v>
      </c>
      <c r="AC819" s="5" t="e">
        <f ca="1">IF(OR(INDEX($AI$2:$AI$1001,MATCH(ROWS($AH$2:AH819),$AH$2:$AH$1001,0),1)&gt;=100000,INDEX($AO$1005:$BQ$1005,1,MATCH(COLUMNS($AO$1006:BP1006),$AO$1006:$BQ$1006,0))&gt;=100000), " ",IF(INDEX($AO$2:$BQ$1001,MATCH(ROWS($AH$2:AH819),$AH$2:$AH$1001,0),MATCH(COLUMNS($AO$1006:BP1006),$AO$1006:$BQ$1006,0)), HYPERLINK("#",""), HYPERLINK(CONCATENATE("#Metadata!", ADDRESS(INDEX($AJ$2:$AJ$1001,MATCH(ROWS($AH$2:AH819),$AH$2:$AH$1001,0),0), INDEX($AO$1004:$BQ$1004,1,MATCH(COLUMNS($AO$1006:BP1006),$AO$1006:$BQ$1006,0)))),"Fix")))</f>
        <v>#N/A</v>
      </c>
      <c r="AD819" s="5" t="e">
        <f ca="1">IF(OR(INDEX($AI$2:$AI$1001,MATCH(ROWS($AH$2:AH819),$AH$2:$AH$1001,0),1)&gt;=100000,INDEX($AO$1005:$BQ$1005,1,MATCH(COLUMNS($AO$1006:BQ1006),$AO$1006:$BQ$1006,0))&gt;=100000), " ",IF(INDEX($AO$2:$BQ$1001,MATCH(ROWS($AH$2:AH819),$AH$2:$AH$1001,0),MATCH(COLUMNS($AO$1006:BQ1006),$AO$1006:$BQ$1006,0)), HYPERLINK("#",""), HYPERLINK(CONCATENATE("#Metadata!", ADDRESS(INDEX($AJ$2:$AJ$1001,MATCH(ROWS($AH$2:AH819),$AH$2:$AH$1001,0),0), INDEX($AO$1004:$BQ$1004,1,MATCH(COLUMNS($AO$1006:BQ1006),$AO$1006:$BQ$1006,0)))),"Fix")))</f>
        <v>#REF!</v>
      </c>
      <c r="AH819">
        <f ca="1"/>
        <v>816</v>
      </c>
      <c r="AI819">
        <v>100819</v>
      </c>
      <c r="AJ819">
        <v>819</v>
      </c>
      <c r="AK819" t="b">
        <f t="shared" si="12"/>
        <v>1</v>
      </c>
      <c r="AL819" t="b">
        <f>COUNTBLANK(Metadata!B819:AD819)=COLUMNS(Metadata!B819:AD819)</f>
        <v>1</v>
      </c>
      <c r="AM819" t="str">
        <v/>
      </c>
      <c r="AO819" t="b">
        <f ca="1">AND(IF(Metadata!B819="",FALSE,TRUE),COUNTIF(Metadata!B:B, Metadata!B819) = 1,NOT(ISERROR(SUMPRODUCT(SEARCH(MID(Metadata!B819,ROW(INDIRECT("1:"&amp;LEN(Metadata!B819))), 1),"0123456789abcdefghijklmnopqrstuvwxyzABCDEFGHIJKLMNOPQRSTUVWXYZ.")))))</f>
        <v>0</v>
      </c>
      <c r="AP819" t="b">
        <f>IF(Metadata!C819="",FALSE,TRUE)</f>
        <v>0</v>
      </c>
      <c r="AQ819" t="b">
        <f>IF(Metadata!D819="",FALSE,TRUE)</f>
        <v>0</v>
      </c>
      <c r="AR819" t="b">
        <f ca="1">OR(AND(IF(Metadata!E819="",FALSE,TRUE),OR(EXACT(Metadata!E819,"not collected"),EXACT(Metadata!E819,"not provided"),EXACT(Metadata!E819,"restricted access"))),AND(IF(Metadata!E819="",FALSE,TRUE),AND(AND(IFERROR(INT(LEFT(Metadata!E819,4))&gt;1900,FALSE),IFERROR(INT(LEFT(Metadata!E819,4))&lt;=YEAR(NOW()),FALSE)), OR(MID(Metadata!E819,5,1)="", AND(AND(MID(Metadata!E819,5,1)="-",IFERROR(INT(MID(Metadata!E819,6,1))&gt;=0,FALSE),IFERROR(INT(MID(Metadata!E819,6,1))&lt;=1,FALSE),NOT(MID(Metadata!E819,7,1)=""),IFERROR(INT(MID(Metadata!E819,6,2))&gt;=1,FALSE),IFERROR(INT(MID(Metadata!E819,6,2))&lt;=12,FALSE)), OR(MID(Metadata!E819,8,1)="", AND(AND(MID(Metadata!E819,8,1)="-",IFERROR(INT(MID(Metadata!E819,9,1))&gt;=0,FALSE),IFERROR(INT(MID(Metadata!E819,9,1))&lt;=3,FALSE),NOT(MID(Metadata!E819,10,1)=""),IFERROR(INT(MID(Metadata!E819,9,2))&gt;=1,FALSE),IFERROR(INT(MID(Metadata!E819,9,2))&lt;=31,FALSE)), OR(MID(Metadata!E819,11,1)="", AND(AND(MID(Metadata!E819,11,1)=" ",IFERROR(INT(MID(Metadata!E819,12,1))&gt;=0,FALSE),IFERROR(INT(MID(Metadata!E819,12,1))&lt;=2,FALSE),NOT(MID(Metadata!E819,13,1)=""),IFERROR(INT(MID(Metadata!E819,12,2))&gt;=0,FALSE),IFERROR(INT(MID(Metadata!E819,12,2))&lt;=23,FALSE)), OR(MID(Metadata!E819,14,1)="", AND(AND(MID(Metadata!E819,14,1)=":",IFERROR(INT(MID(Metadata!E819,15,1))&gt;=0,FALSE),IFERROR(INT(MID(Metadata!E819,15,1))&lt;=5,FALSE),NOT(MID(Metadata!E819,16,1)=""),IFERROR(INT(MID(Metadata!E819,15,2))&gt;=0,FALSE),IFERROR(INT(MID(Metadata!E819,15,2))&lt;=59,FALSE)), OR(MID(Metadata!E819,17,1)="", AND(AND(MID(Metadata!E819,17,1)=":",IFERROR(INT(MID(Metadata!E819,18,1))&gt;=0,FALSE),IFERROR(INT(MID(Metadata!E819,18,1))&lt;=5,FALSE),NOT(MID(Metadata!E819,19,1)=""),IFERROR(INT(MID(Metadata!E819,18,2))&gt;=0,FALSE),IFERROR(INT(MID(Metadata!E819,18,2))&lt;=59,FALSE)), LEN(Metadata!E819)&lt;=19)))))))))))))</f>
        <v>0</v>
      </c>
      <c r="AS819" t="b">
        <f>IF(Metadata!F819="",FALSE,TRUE)</f>
        <v>0</v>
      </c>
      <c r="AT819" t="b">
        <f>OR(AND(IF(Metadata!G819="",FALSE,TRUE),OR(EXACT(Metadata!G819,"not collected"),EXACT(Metadata!G819,"not provided"))),AND(IF(Metadata!G819="",FALSE,TRUE),OR(EXACT(Metadata!G819,"TRUE"),EXACT(Metadata!G819,"FALSE"))))</f>
        <v>0</v>
      </c>
      <c r="AU819" t="b">
        <f>OR(AND(IF(Metadata!H819="",FALSE,TRUE),OR(EXACT(Metadata!H819,"not collected"),EXACT(Metadata!H819,"not provided"),EXACT(Metadata!H819,"restricted access"))),AND(IF(Metadata!H819="",FALSE,ISNUMBER(VALUE(Metadata!H819))),Metadata!H819&gt;=-413))</f>
        <v>0</v>
      </c>
      <c r="AV819" t="b">
        <f>AND(IF(Metadata!I819="",FALSE,TRUE),EXACT(Metadata!I819,"meters"))</f>
        <v>0</v>
      </c>
      <c r="AW819" t="b">
        <f>AND(IF(Metadata!J819="",FALSE,TRUE),EXACT(Metadata!J819,"free-living"))</f>
        <v>0</v>
      </c>
      <c r="AX819" t="b">
        <f>AND(IF(Metadata!K819="",FALSE,TRUE),OR(EXACT(Metadata!K819,"saline"),EXACT(Metadata!K819,"non-saline")))</f>
        <v>0</v>
      </c>
      <c r="AY819" t="b">
        <f>AND(IF(Metadata!L819="",FALSE,TRUE),OR(EXACT(Metadata!L819,"sub-surface (non-saline)"),EXACT(Metadata!L819,"surface (non-saline)"),EXACT(Metadata!L819,"water (non-saline)"),EXACT(Metadata!L819,"soil (non-saline)"),EXACT(Metadata!L819,"aerosol (non-saline)"),EXACT(Metadata!L819,"sediment (non-saline)"),EXACT(Metadata!L819,"surface (saline)"),EXACT(Metadata!L819,"water (saline)"),EXACT(Metadata!L819,"hypersaline (saline)"),EXACT(Metadata!L819,"aerosol (saline)"),EXACT(Metadata!L819,"sediment (saline)")))</f>
        <v>0</v>
      </c>
      <c r="AZ819" t="b">
        <f>IF(Metadata!M819="",FALSE,TRUE)</f>
        <v>0</v>
      </c>
      <c r="BA819" t="b">
        <f>IF(Metadata!N819="",FALSE,TRUE)</f>
        <v>0</v>
      </c>
      <c r="BB819" t="b">
        <f>IF(Metadata!O819="",FALSE,TRUE)</f>
        <v>0</v>
      </c>
      <c r="BC819" t="b">
        <f>AND(IF(Metadata!P819="",FALSE,TRUE),OR(EXACT(Metadata!P819,"air"),EXACT(Metadata!P819,"microbial mat/biofilm"),EXACT(Metadata!P819,"misc environment"),EXACT(Metadata!P819,"sediment"),EXACT(Metadata!P819,"soil"),EXACT(Metadata!P819,"wastewater/sludge"),EXACT(Metadata!P819,"water")))</f>
        <v>0</v>
      </c>
      <c r="BD819" t="b">
        <f>IF(Metadata!Q819="",FALSE,TRUE)</f>
        <v>0</v>
      </c>
      <c r="BE819" t="b">
        <f>IF(Metadata!R819="",FALSE,TRUE)</f>
        <v>0</v>
      </c>
      <c r="BF819" t="b">
        <f>OR(AND(IF(Metadata!S819="",FALSE,TRUE),OR(EXACT(Metadata!S819,"not collected"),EXACT(Metadata!S819,"not provided"),EXACT(Metadata!S819,"restricted access"))),AND(IF(Metadata!S819="",FALSE,ISNUMBER(VALUE(Metadata!S819))),Metadata!S819&gt;=-90,Metadata!S819&lt;=90))</f>
        <v>0</v>
      </c>
      <c r="BG819" t="b">
        <f>AND(IF(Metadata!T819="",FALSE,TRUE),EXACT(Metadata!T819,"Decimal degrees"))</f>
        <v>0</v>
      </c>
      <c r="BH819" t="b">
        <f>OR(AND(IF(Metadata!U819="",FALSE,TRUE),OR(EXACT(Metadata!U819,"not applicable"),EXACT(Metadata!U819,"not collected"))),IF(Metadata!U819="",FALSE,TRUE))</f>
        <v>0</v>
      </c>
      <c r="BI819" t="b">
        <f>OR(AND(IF(Metadata!V819="",FALSE,TRUE),OR(EXACT(Metadata!V819,"not collected"),EXACT(Metadata!V819,"not provided"),EXACT(Metadata!V819,"restricted access"))),AND(IF(Metadata!V819="",FALSE,ISNUMBER(VALUE(Metadata!V819))),Metadata!V819&gt;=-180,Metadata!V819&lt;=180))</f>
        <v>0</v>
      </c>
      <c r="BJ819" t="b">
        <f>AND(IF(Metadata!W819="",FALSE,TRUE),EXACT(Metadata!W819,"Decimal degrees"))</f>
        <v>0</v>
      </c>
      <c r="BK819" t="b">
        <f>IF(Metadata!X819="",FALSE,TRUE)</f>
        <v>0</v>
      </c>
      <c r="BL819" t="b">
        <f>OR(AND(IF(Metadata!Y819="",FALSE,TRUE),OR(EXACT(Metadata!Y819,"not collected"),EXACT(Metadata!Y819,"not provided"),EXACT(Metadata!Y819,"restricted access"))),AND(IF(Metadata!Y819="",FALSE,TRUE),OR(EXACT(Metadata!Y819,"TRUE"),EXACT(Metadata!Y819,"FALSE"))))</f>
        <v>0</v>
      </c>
      <c r="BM819" t="b">
        <f>OR(AND(IF(Metadata!Z819="",FALSE,TRUE),EXACT(Metadata!Z819,"not applicable")),AND(IF(Metadata!Z819="",FALSE,TRUE),OR(EXACT(Metadata!Z819,"beer"),EXACT(Metadata!Z819,"cheese"),EXACT(Metadata!Z819,"fresh water"),EXACT(Metadata!Z819,"marine sediment"),EXACT(Metadata!Z819,"sea water"),EXACT(Metadata!Z819,"sediment"),EXACT(Metadata!Z819,"soil"),EXACT(Metadata!Z819,"waste water"))))</f>
        <v>0</v>
      </c>
      <c r="BN819" t="b">
        <f>AND(IF(Metadata!AA819="",FALSE,TRUE),EXACT(Metadata!AA819,"metagenome"))</f>
        <v>0</v>
      </c>
      <c r="BO819" t="b">
        <f>AND(IF(Metadata!AB819="",FALSE,TRUE),EXACT(Metadata!AB819,"256318"))</f>
        <v>0</v>
      </c>
      <c r="BP819" t="b">
        <f>IF(Metadata!AC819="",FALSE,TRUE)</f>
        <v>0</v>
      </c>
      <c r="BQ819" t="b">
        <f>IF(Metadata!AD819="",FALSE,TRUE)</f>
        <v>0</v>
      </c>
    </row>
    <row r="820" spans="1:69" x14ac:dyDescent="0.2">
      <c r="A820" s="4" t="e">
        <f ca="1">IF(B820=" "," ",HYPERLINK(CONCATENATE("#metadata!",ADDRESS(INDEX($AJ$2:$AJ$1001,MATCH(ROWS($AH$2:AH820),$AH$2:$AH$1001,0),0),2)),INDEX($AM$2:$AM$1001,MATCH(ROWS($AH$2:AH820),$AH$2:$AH$1001,0),0)))</f>
        <v>#N/A</v>
      </c>
      <c r="B820" s="5" t="e">
        <f ca="1">IF(OR(INDEX($AI$2:$AI$1001,MATCH(ROWS($AH$2:AH820),$AH$2:$AH$1001,0),1)&gt;=100000,INDEX($AO$1005:$BQ$1005,1,MATCH(COLUMNS($AO$1006:AO1006),$AO$1006:$BQ$1006,0))&gt;=100000), " ",IF(INDEX($AO$2:$BQ$1001,MATCH(ROWS($AH$2:AH820),$AH$2:$AH$1001,0),MATCH(COLUMNS($AO$1006:AO1006),$AO$1006:$BQ$1006,0)), HYPERLINK("#",""), HYPERLINK(CONCATENATE("#Metadata!", ADDRESS(INDEX($AJ$2:$AJ$1001,MATCH(ROWS($AH$2:AH820),$AH$2:$AH$1001,0),0), INDEX($AO$1004:$BQ$1004,1,MATCH(COLUMNS($AO$1006:AO1006),$AO$1006:$BQ$1006,0)))),"Fix")))</f>
        <v>#N/A</v>
      </c>
      <c r="C820" s="5" t="e">
        <f ca="1">IF(OR(INDEX($AI$2:$AI$1001,MATCH(ROWS($AH$2:AH820),$AH$2:$AH$1001,0),1)&gt;=100000,INDEX($AO$1005:$BQ$1005,1,MATCH(COLUMNS($AO$1006:AP1006),$AO$1006:$BQ$1006,0))&gt;=100000), " ",IF(INDEX($AO$2:$BQ$1001,MATCH(ROWS($AH$2:AH820),$AH$2:$AH$1001,0),MATCH(COLUMNS($AO$1006:AP1006),$AO$1006:$BQ$1006,0)), HYPERLINK("#",""), HYPERLINK(CONCATENATE("#Metadata!", ADDRESS(INDEX($AJ$2:$AJ$1001,MATCH(ROWS($AH$2:AH820),$AH$2:$AH$1001,0),0), INDEX($AO$1004:$BQ$1004,1,MATCH(COLUMNS($AO$1006:AP1006),$AO$1006:$BQ$1006,0)))),"Fix")))</f>
        <v>#N/A</v>
      </c>
      <c r="D820" s="5" t="e">
        <f ca="1">IF(OR(INDEX($AI$2:$AI$1001,MATCH(ROWS($AH$2:AH820),$AH$2:$AH$1001,0),1)&gt;=100000,INDEX($AO$1005:$BQ$1005,1,MATCH(COLUMNS($AO$1006:AQ1006),$AO$1006:$BQ$1006,0))&gt;=100000), " ",IF(INDEX($AO$2:$BQ$1001,MATCH(ROWS($AH$2:AH820),$AH$2:$AH$1001,0),MATCH(COLUMNS($AO$1006:AQ1006),$AO$1006:$BQ$1006,0)), HYPERLINK("#",""), HYPERLINK(CONCATENATE("#Metadata!", ADDRESS(INDEX($AJ$2:$AJ$1001,MATCH(ROWS($AH$2:AH820),$AH$2:$AH$1001,0),0), INDEX($AO$1004:$BQ$1004,1,MATCH(COLUMNS($AO$1006:AQ1006),$AO$1006:$BQ$1006,0)))),"Fix")))</f>
        <v>#N/A</v>
      </c>
      <c r="E820" s="5" t="e">
        <f ca="1">IF(OR(INDEX($AI$2:$AI$1001,MATCH(ROWS($AH$2:AH820),$AH$2:$AH$1001,0),1)&gt;=100000,INDEX($AO$1005:$BQ$1005,1,MATCH(COLUMNS($AO$1006:AR1006),$AO$1006:$BQ$1006,0))&gt;=100000), " ",IF(INDEX($AO$2:$BQ$1001,MATCH(ROWS($AH$2:AH820),$AH$2:$AH$1001,0),MATCH(COLUMNS($AO$1006:AR1006),$AO$1006:$BQ$1006,0)), HYPERLINK("#",""), HYPERLINK(CONCATENATE("#Metadata!", ADDRESS(INDEX($AJ$2:$AJ$1001,MATCH(ROWS($AH$2:AH820),$AH$2:$AH$1001,0),0), INDEX($AO$1004:$BQ$1004,1,MATCH(COLUMNS($AO$1006:AR1006),$AO$1006:$BQ$1006,0)))),"Fix")))</f>
        <v>#N/A</v>
      </c>
      <c r="F820" s="5" t="e">
        <f ca="1">IF(OR(INDEX($AI$2:$AI$1001,MATCH(ROWS($AH$2:AH820),$AH$2:$AH$1001,0),1)&gt;=100000,INDEX($AO$1005:$BQ$1005,1,MATCH(COLUMNS($AO$1006:AS1006),$AO$1006:$BQ$1006,0))&gt;=100000), " ",IF(INDEX($AO$2:$BQ$1001,MATCH(ROWS($AH$2:AH820),$AH$2:$AH$1001,0),MATCH(COLUMNS($AO$1006:AS1006),$AO$1006:$BQ$1006,0)), HYPERLINK("#",""), HYPERLINK(CONCATENATE("#Metadata!", ADDRESS(INDEX($AJ$2:$AJ$1001,MATCH(ROWS($AH$2:AH820),$AH$2:$AH$1001,0),0), INDEX($AO$1004:$BQ$1004,1,MATCH(COLUMNS($AO$1006:AS1006),$AO$1006:$BQ$1006,0)))),"Fix")))</f>
        <v>#N/A</v>
      </c>
      <c r="G820" s="5" t="e">
        <f ca="1">IF(OR(INDEX($AI$2:$AI$1001,MATCH(ROWS($AH$2:AH820),$AH$2:$AH$1001,0),1)&gt;=100000,INDEX($AO$1005:$BQ$1005,1,MATCH(COLUMNS($AO$1006:AT1006),$AO$1006:$BQ$1006,0))&gt;=100000), " ",IF(INDEX($AO$2:$BQ$1001,MATCH(ROWS($AH$2:AH820),$AH$2:$AH$1001,0),MATCH(COLUMNS($AO$1006:AT1006),$AO$1006:$BQ$1006,0)), HYPERLINK("#",""), HYPERLINK(CONCATENATE("#Metadata!", ADDRESS(INDEX($AJ$2:$AJ$1001,MATCH(ROWS($AH$2:AH820),$AH$2:$AH$1001,0),0), INDEX($AO$1004:$BQ$1004,1,MATCH(COLUMNS($AO$1006:AT1006),$AO$1006:$BQ$1006,0)))),"Fix")))</f>
        <v>#N/A</v>
      </c>
      <c r="H820" s="5" t="e">
        <f ca="1">IF(OR(INDEX($AI$2:$AI$1001,MATCH(ROWS($AH$2:AH820),$AH$2:$AH$1001,0),1)&gt;=100000,INDEX($AO$1005:$BQ$1005,1,MATCH(COLUMNS($AO$1006:AU1006),$AO$1006:$BQ$1006,0))&gt;=100000), " ",IF(INDEX($AO$2:$BQ$1001,MATCH(ROWS($AH$2:AH820),$AH$2:$AH$1001,0),MATCH(COLUMNS($AO$1006:AU1006),$AO$1006:$BQ$1006,0)), HYPERLINK("#",""), HYPERLINK(CONCATENATE("#Metadata!", ADDRESS(INDEX($AJ$2:$AJ$1001,MATCH(ROWS($AH$2:AH820),$AH$2:$AH$1001,0),0), INDEX($AO$1004:$BQ$1004,1,MATCH(COLUMNS($AO$1006:AU1006),$AO$1006:$BQ$1006,0)))),"Fix")))</f>
        <v>#N/A</v>
      </c>
      <c r="I820" s="5" t="e">
        <f ca="1">IF(OR(INDEX($AI$2:$AI$1001,MATCH(ROWS($AH$2:AH820),$AH$2:$AH$1001,0),1)&gt;=100000,INDEX($AO$1005:$BQ$1005,1,MATCH(COLUMNS($AO$1006:AV1006),$AO$1006:$BQ$1006,0))&gt;=100000), " ",IF(INDEX($AO$2:$BQ$1001,MATCH(ROWS($AH$2:AH820),$AH$2:$AH$1001,0),MATCH(COLUMNS($AO$1006:AV1006),$AO$1006:$BQ$1006,0)), HYPERLINK("#",""), HYPERLINK(CONCATENATE("#Metadata!", ADDRESS(INDEX($AJ$2:$AJ$1001,MATCH(ROWS($AH$2:AH820),$AH$2:$AH$1001,0),0), INDEX($AO$1004:$BQ$1004,1,MATCH(COLUMNS($AO$1006:AV1006),$AO$1006:$BQ$1006,0)))),"Fix")))</f>
        <v>#N/A</v>
      </c>
      <c r="J820" s="5" t="e">
        <f ca="1">IF(OR(INDEX($AI$2:$AI$1001,MATCH(ROWS($AH$2:AH820),$AH$2:$AH$1001,0),1)&gt;=100000,INDEX($AO$1005:$BQ$1005,1,MATCH(COLUMNS($AO$1006:AW1006),$AO$1006:$BQ$1006,0))&gt;=100000), " ",IF(INDEX($AO$2:$BQ$1001,MATCH(ROWS($AH$2:AH820),$AH$2:$AH$1001,0),MATCH(COLUMNS($AO$1006:AW1006),$AO$1006:$BQ$1006,0)), HYPERLINK("#",""), HYPERLINK(CONCATENATE("#Metadata!", ADDRESS(INDEX($AJ$2:$AJ$1001,MATCH(ROWS($AH$2:AH820),$AH$2:$AH$1001,0),0), INDEX($AO$1004:$BQ$1004,1,MATCH(COLUMNS($AO$1006:AW1006),$AO$1006:$BQ$1006,0)))),"Fix")))</f>
        <v>#N/A</v>
      </c>
      <c r="K820" s="5" t="e">
        <f ca="1">IF(OR(INDEX($AI$2:$AI$1001,MATCH(ROWS($AH$2:AH820),$AH$2:$AH$1001,0),1)&gt;=100000,INDEX($AO$1005:$BQ$1005,1,MATCH(COLUMNS($AO$1006:AX1006),$AO$1006:$BQ$1006,0))&gt;=100000), " ",IF(INDEX($AO$2:$BQ$1001,MATCH(ROWS($AH$2:AH820),$AH$2:$AH$1001,0),MATCH(COLUMNS($AO$1006:AX1006),$AO$1006:$BQ$1006,0)), HYPERLINK("#",""), HYPERLINK(CONCATENATE("#Metadata!", ADDRESS(INDEX($AJ$2:$AJ$1001,MATCH(ROWS($AH$2:AH820),$AH$2:$AH$1001,0),0), INDEX($AO$1004:$BQ$1004,1,MATCH(COLUMNS($AO$1006:AX1006),$AO$1006:$BQ$1006,0)))),"Fix")))</f>
        <v>#N/A</v>
      </c>
      <c r="L820" s="5" t="e">
        <f ca="1">IF(OR(INDEX($AI$2:$AI$1001,MATCH(ROWS($AH$2:AH820),$AH$2:$AH$1001,0),1)&gt;=100000,INDEX($AO$1005:$BQ$1005,1,MATCH(COLUMNS($AO$1006:AY1006),$AO$1006:$BQ$1006,0))&gt;=100000), " ",IF(INDEX($AO$2:$BQ$1001,MATCH(ROWS($AH$2:AH820),$AH$2:$AH$1001,0),MATCH(COLUMNS($AO$1006:AY1006),$AO$1006:$BQ$1006,0)), HYPERLINK("#",""), HYPERLINK(CONCATENATE("#Metadata!", ADDRESS(INDEX($AJ$2:$AJ$1001,MATCH(ROWS($AH$2:AH820),$AH$2:$AH$1001,0),0), INDEX($AO$1004:$BQ$1004,1,MATCH(COLUMNS($AO$1006:AY1006),$AO$1006:$BQ$1006,0)))),"Fix")))</f>
        <v>#N/A</v>
      </c>
      <c r="M820" s="5" t="e">
        <f ca="1">IF(OR(INDEX($AI$2:$AI$1001,MATCH(ROWS($AH$2:AH820),$AH$2:$AH$1001,0),1)&gt;=100000,INDEX($AO$1005:$BQ$1005,1,MATCH(COLUMNS($AO$1006:AZ1006),$AO$1006:$BQ$1006,0))&gt;=100000), " ",IF(INDEX($AO$2:$BQ$1001,MATCH(ROWS($AH$2:AH820),$AH$2:$AH$1001,0),MATCH(COLUMNS($AO$1006:AZ1006),$AO$1006:$BQ$1006,0)), HYPERLINK("#",""), HYPERLINK(CONCATENATE("#Metadata!", ADDRESS(INDEX($AJ$2:$AJ$1001,MATCH(ROWS($AH$2:AH820),$AH$2:$AH$1001,0),0), INDEX($AO$1004:$BQ$1004,1,MATCH(COLUMNS($AO$1006:AZ1006),$AO$1006:$BQ$1006,0)))),"Fix")))</f>
        <v>#N/A</v>
      </c>
      <c r="N820" s="5" t="e">
        <f ca="1">IF(OR(INDEX($AI$2:$AI$1001,MATCH(ROWS($AH$2:AH820),$AH$2:$AH$1001,0),1)&gt;=100000,INDEX($AO$1005:$BQ$1005,1,MATCH(COLUMNS($AO$1006:BA1006),$AO$1006:$BQ$1006,0))&gt;=100000), " ",IF(INDEX($AO$2:$BQ$1001,MATCH(ROWS($AH$2:AH820),$AH$2:$AH$1001,0),MATCH(COLUMNS($AO$1006:BA1006),$AO$1006:$BQ$1006,0)), HYPERLINK("#",""), HYPERLINK(CONCATENATE("#Metadata!", ADDRESS(INDEX($AJ$2:$AJ$1001,MATCH(ROWS($AH$2:AH820),$AH$2:$AH$1001,0),0), INDEX($AO$1004:$BQ$1004,1,MATCH(COLUMNS($AO$1006:BA1006),$AO$1006:$BQ$1006,0)))),"Fix")))</f>
        <v>#N/A</v>
      </c>
      <c r="O820" s="5" t="e">
        <f ca="1">IF(OR(INDEX($AI$2:$AI$1001,MATCH(ROWS($AH$2:AH820),$AH$2:$AH$1001,0),1)&gt;=100000,INDEX($AO$1005:$BQ$1005,1,MATCH(COLUMNS($AO$1006:BB1006),$AO$1006:$BQ$1006,0))&gt;=100000), " ",IF(INDEX($AO$2:$BQ$1001,MATCH(ROWS($AH$2:AH820),$AH$2:$AH$1001,0),MATCH(COLUMNS($AO$1006:BB1006),$AO$1006:$BQ$1006,0)), HYPERLINK("#",""), HYPERLINK(CONCATENATE("#Metadata!", ADDRESS(INDEX($AJ$2:$AJ$1001,MATCH(ROWS($AH$2:AH820),$AH$2:$AH$1001,0),0), INDEX($AO$1004:$BQ$1004,1,MATCH(COLUMNS($AO$1006:BB1006),$AO$1006:$BQ$1006,0)))),"Fix")))</f>
        <v>#N/A</v>
      </c>
      <c r="P820" s="5" t="e">
        <f ca="1">IF(OR(INDEX($AI$2:$AI$1001,MATCH(ROWS($AH$2:AH820),$AH$2:$AH$1001,0),1)&gt;=100000,INDEX($AO$1005:$BQ$1005,1,MATCH(COLUMNS($AO$1006:BC1006),$AO$1006:$BQ$1006,0))&gt;=100000), " ",IF(INDEX($AO$2:$BQ$1001,MATCH(ROWS($AH$2:AH820),$AH$2:$AH$1001,0),MATCH(COLUMNS($AO$1006:BC1006),$AO$1006:$BQ$1006,0)), HYPERLINK("#",""), HYPERLINK(CONCATENATE("#Metadata!", ADDRESS(INDEX($AJ$2:$AJ$1001,MATCH(ROWS($AH$2:AH820),$AH$2:$AH$1001,0),0), INDEX($AO$1004:$BQ$1004,1,MATCH(COLUMNS($AO$1006:BC1006),$AO$1006:$BQ$1006,0)))),"Fix")))</f>
        <v>#N/A</v>
      </c>
      <c r="Q820" s="5" t="e">
        <f ca="1">IF(OR(INDEX($AI$2:$AI$1001,MATCH(ROWS($AH$2:AH820),$AH$2:$AH$1001,0),1)&gt;=100000,INDEX($AO$1005:$BQ$1005,1,MATCH(COLUMNS($AO$1006:BD1006),$AO$1006:$BQ$1006,0))&gt;=100000), " ",IF(INDEX($AO$2:$BQ$1001,MATCH(ROWS($AH$2:AH820),$AH$2:$AH$1001,0),MATCH(COLUMNS($AO$1006:BD1006),$AO$1006:$BQ$1006,0)), HYPERLINK("#",""), HYPERLINK(CONCATENATE("#Metadata!", ADDRESS(INDEX($AJ$2:$AJ$1001,MATCH(ROWS($AH$2:AH820),$AH$2:$AH$1001,0),0), INDEX($AO$1004:$BQ$1004,1,MATCH(COLUMNS($AO$1006:BD1006),$AO$1006:$BQ$1006,0)))),"Fix")))</f>
        <v>#N/A</v>
      </c>
      <c r="R820" s="5" t="e">
        <f ca="1">IF(OR(INDEX($AI$2:$AI$1001,MATCH(ROWS($AH$2:AH820),$AH$2:$AH$1001,0),1)&gt;=100000,INDEX($AO$1005:$BQ$1005,1,MATCH(COLUMNS($AO$1006:BE1006),$AO$1006:$BQ$1006,0))&gt;=100000), " ",IF(INDEX($AO$2:$BQ$1001,MATCH(ROWS($AH$2:AH820),$AH$2:$AH$1001,0),MATCH(COLUMNS($AO$1006:BE1006),$AO$1006:$BQ$1006,0)), HYPERLINK("#",""), HYPERLINK(CONCATENATE("#Metadata!", ADDRESS(INDEX($AJ$2:$AJ$1001,MATCH(ROWS($AH$2:AH820),$AH$2:$AH$1001,0),0), INDEX($AO$1004:$BQ$1004,1,MATCH(COLUMNS($AO$1006:BE1006),$AO$1006:$BQ$1006,0)))),"Fix")))</f>
        <v>#N/A</v>
      </c>
      <c r="S820" s="5" t="e">
        <f ca="1">IF(OR(INDEX($AI$2:$AI$1001,MATCH(ROWS($AH$2:AH820),$AH$2:$AH$1001,0),1)&gt;=100000,INDEX($AO$1005:$BQ$1005,1,MATCH(COLUMNS($AO$1006:BF1006),$AO$1006:$BQ$1006,0))&gt;=100000), " ",IF(INDEX($AO$2:$BQ$1001,MATCH(ROWS($AH$2:AH820),$AH$2:$AH$1001,0),MATCH(COLUMNS($AO$1006:BF1006),$AO$1006:$BQ$1006,0)), HYPERLINK("#",""), HYPERLINK(CONCATENATE("#Metadata!", ADDRESS(INDEX($AJ$2:$AJ$1001,MATCH(ROWS($AH$2:AH820),$AH$2:$AH$1001,0),0), INDEX($AO$1004:$BQ$1004,1,MATCH(COLUMNS($AO$1006:BF1006),$AO$1006:$BQ$1006,0)))),"Fix")))</f>
        <v>#N/A</v>
      </c>
      <c r="T820" s="5" t="e">
        <f ca="1">IF(OR(INDEX($AI$2:$AI$1001,MATCH(ROWS($AH$2:AH820),$AH$2:$AH$1001,0),1)&gt;=100000,INDEX($AO$1005:$BQ$1005,1,MATCH(COLUMNS($AO$1006:BG1006),$AO$1006:$BQ$1006,0))&gt;=100000), " ",IF(INDEX($AO$2:$BQ$1001,MATCH(ROWS($AH$2:AH820),$AH$2:$AH$1001,0),MATCH(COLUMNS($AO$1006:BG1006),$AO$1006:$BQ$1006,0)), HYPERLINK("#",""), HYPERLINK(CONCATENATE("#Metadata!", ADDRESS(INDEX($AJ$2:$AJ$1001,MATCH(ROWS($AH$2:AH820),$AH$2:$AH$1001,0),0), INDEX($AO$1004:$BQ$1004,1,MATCH(COLUMNS($AO$1006:BG1006),$AO$1006:$BQ$1006,0)))),"Fix")))</f>
        <v>#N/A</v>
      </c>
      <c r="U820" s="5" t="e">
        <f ca="1">IF(OR(INDEX($AI$2:$AI$1001,MATCH(ROWS($AH$2:AH820),$AH$2:$AH$1001,0),1)&gt;=100000,INDEX($AO$1005:$BQ$1005,1,MATCH(COLUMNS($AO$1006:BH1006),$AO$1006:$BQ$1006,0))&gt;=100000), " ",IF(INDEX($AO$2:$BQ$1001,MATCH(ROWS($AH$2:AH820),$AH$2:$AH$1001,0),MATCH(COLUMNS($AO$1006:BH1006),$AO$1006:$BQ$1006,0)), HYPERLINK("#",""), HYPERLINK(CONCATENATE("#Metadata!", ADDRESS(INDEX($AJ$2:$AJ$1001,MATCH(ROWS($AH$2:AH820),$AH$2:$AH$1001,0),0), INDEX($AO$1004:$BQ$1004,1,MATCH(COLUMNS($AO$1006:BH1006),$AO$1006:$BQ$1006,0)))),"Fix")))</f>
        <v>#N/A</v>
      </c>
      <c r="V820" s="5" t="e">
        <f ca="1">IF(OR(INDEX($AI$2:$AI$1001,MATCH(ROWS($AH$2:AH820),$AH$2:$AH$1001,0),1)&gt;=100000,INDEX($AO$1005:$BQ$1005,1,MATCH(COLUMNS($AO$1006:BI1006),$AO$1006:$BQ$1006,0))&gt;=100000), " ",IF(INDEX($AO$2:$BQ$1001,MATCH(ROWS($AH$2:AH820),$AH$2:$AH$1001,0),MATCH(COLUMNS($AO$1006:BI1006),$AO$1006:$BQ$1006,0)), HYPERLINK("#",""), HYPERLINK(CONCATENATE("#Metadata!", ADDRESS(INDEX($AJ$2:$AJ$1001,MATCH(ROWS($AH$2:AH820),$AH$2:$AH$1001,0),0), INDEX($AO$1004:$BQ$1004,1,MATCH(COLUMNS($AO$1006:BI1006),$AO$1006:$BQ$1006,0)))),"Fix")))</f>
        <v>#N/A</v>
      </c>
      <c r="W820" s="5" t="e">
        <f ca="1">IF(OR(INDEX($AI$2:$AI$1001,MATCH(ROWS($AH$2:AH820),$AH$2:$AH$1001,0),1)&gt;=100000,INDEX($AO$1005:$BQ$1005,1,MATCH(COLUMNS($AO$1006:BJ1006),$AO$1006:$BQ$1006,0))&gt;=100000), " ",IF(INDEX($AO$2:$BQ$1001,MATCH(ROWS($AH$2:AH820),$AH$2:$AH$1001,0),MATCH(COLUMNS($AO$1006:BJ1006),$AO$1006:$BQ$1006,0)), HYPERLINK("#",""), HYPERLINK(CONCATENATE("#Metadata!", ADDRESS(INDEX($AJ$2:$AJ$1001,MATCH(ROWS($AH$2:AH820),$AH$2:$AH$1001,0),0), INDEX($AO$1004:$BQ$1004,1,MATCH(COLUMNS($AO$1006:BJ1006),$AO$1006:$BQ$1006,0)))),"Fix")))</f>
        <v>#N/A</v>
      </c>
      <c r="X820" s="5" t="e">
        <f ca="1">IF(OR(INDEX($AI$2:$AI$1001,MATCH(ROWS($AH$2:AH820),$AH$2:$AH$1001,0),1)&gt;=100000,INDEX($AO$1005:$BQ$1005,1,MATCH(COLUMNS($AO$1006:BK1006),$AO$1006:$BQ$1006,0))&gt;=100000), " ",IF(INDEX($AO$2:$BQ$1001,MATCH(ROWS($AH$2:AH820),$AH$2:$AH$1001,0),MATCH(COLUMNS($AO$1006:BK1006),$AO$1006:$BQ$1006,0)), HYPERLINK("#",""), HYPERLINK(CONCATENATE("#Metadata!", ADDRESS(INDEX($AJ$2:$AJ$1001,MATCH(ROWS($AH$2:AH820),$AH$2:$AH$1001,0),0), INDEX($AO$1004:$BQ$1004,1,MATCH(COLUMNS($AO$1006:BK1006),$AO$1006:$BQ$1006,0)))),"Fix")))</f>
        <v>#N/A</v>
      </c>
      <c r="Y820" s="5" t="e">
        <f ca="1">IF(OR(INDEX($AI$2:$AI$1001,MATCH(ROWS($AH$2:AH820),$AH$2:$AH$1001,0),1)&gt;=100000,INDEX($AO$1005:$BQ$1005,1,MATCH(COLUMNS($AO$1006:BL1006),$AO$1006:$BQ$1006,0))&gt;=100000), " ",IF(INDEX($AO$2:$BQ$1001,MATCH(ROWS($AH$2:AH820),$AH$2:$AH$1001,0),MATCH(COLUMNS($AO$1006:BL1006),$AO$1006:$BQ$1006,0)), HYPERLINK("#",""), HYPERLINK(CONCATENATE("#Metadata!", ADDRESS(INDEX($AJ$2:$AJ$1001,MATCH(ROWS($AH$2:AH820),$AH$2:$AH$1001,0),0), INDEX($AO$1004:$BQ$1004,1,MATCH(COLUMNS($AO$1006:BL1006),$AO$1006:$BQ$1006,0)))),"Fix")))</f>
        <v>#N/A</v>
      </c>
      <c r="Z820" s="5" t="e">
        <f ca="1">IF(OR(INDEX($AI$2:$AI$1001,MATCH(ROWS($AH$2:AH820),$AH$2:$AH$1001,0),1)&gt;=100000,INDEX($AO$1005:$BQ$1005,1,MATCH(COLUMNS($AO$1006:BM1006),$AO$1006:$BQ$1006,0))&gt;=100000), " ",IF(INDEX($AO$2:$BQ$1001,MATCH(ROWS($AH$2:AH820),$AH$2:$AH$1001,0),MATCH(COLUMNS($AO$1006:BM1006),$AO$1006:$BQ$1006,0)), HYPERLINK("#",""), HYPERLINK(CONCATENATE("#Metadata!", ADDRESS(INDEX($AJ$2:$AJ$1001,MATCH(ROWS($AH$2:AH820),$AH$2:$AH$1001,0),0), INDEX($AO$1004:$BQ$1004,1,MATCH(COLUMNS($AO$1006:BM1006),$AO$1006:$BQ$1006,0)))),"Fix")))</f>
        <v>#N/A</v>
      </c>
      <c r="AA820" s="5" t="e">
        <f ca="1">IF(OR(INDEX($AI$2:$AI$1001,MATCH(ROWS($AH$2:AH820),$AH$2:$AH$1001,0),1)&gt;=100000,INDEX($AO$1005:$BQ$1005,1,MATCH(COLUMNS($AO$1006:BN1006),$AO$1006:$BQ$1006,0))&gt;=100000), " ",IF(INDEX($AO$2:$BQ$1001,MATCH(ROWS($AH$2:AH820),$AH$2:$AH$1001,0),MATCH(COLUMNS($AO$1006:BN1006),$AO$1006:$BQ$1006,0)), HYPERLINK("#",""), HYPERLINK(CONCATENATE("#Metadata!", ADDRESS(INDEX($AJ$2:$AJ$1001,MATCH(ROWS($AH$2:AH820),$AH$2:$AH$1001,0),0), INDEX($AO$1004:$BQ$1004,1,MATCH(COLUMNS($AO$1006:BN1006),$AO$1006:$BQ$1006,0)))),"Fix")))</f>
        <v>#N/A</v>
      </c>
      <c r="AB820" s="5" t="e">
        <f ca="1">IF(OR(INDEX($AI$2:$AI$1001,MATCH(ROWS($AH$2:AH820),$AH$2:$AH$1001,0),1)&gt;=100000,INDEX($AO$1005:$BQ$1005,1,MATCH(COLUMNS($AO$1006:BO1006),$AO$1006:$BQ$1006,0))&gt;=100000), " ",IF(INDEX($AO$2:$BQ$1001,MATCH(ROWS($AH$2:AH820),$AH$2:$AH$1001,0),MATCH(COLUMNS($AO$1006:BO1006),$AO$1006:$BQ$1006,0)), HYPERLINK("#",""), HYPERLINK(CONCATENATE("#Metadata!", ADDRESS(INDEX($AJ$2:$AJ$1001,MATCH(ROWS($AH$2:AH820),$AH$2:$AH$1001,0),0), INDEX($AO$1004:$BQ$1004,1,MATCH(COLUMNS($AO$1006:BO1006),$AO$1006:$BQ$1006,0)))),"Fix")))</f>
        <v>#N/A</v>
      </c>
      <c r="AC820" s="5" t="e">
        <f ca="1">IF(OR(INDEX($AI$2:$AI$1001,MATCH(ROWS($AH$2:AH820),$AH$2:$AH$1001,0),1)&gt;=100000,INDEX($AO$1005:$BQ$1005,1,MATCH(COLUMNS($AO$1006:BP1006),$AO$1006:$BQ$1006,0))&gt;=100000), " ",IF(INDEX($AO$2:$BQ$1001,MATCH(ROWS($AH$2:AH820),$AH$2:$AH$1001,0),MATCH(COLUMNS($AO$1006:BP1006),$AO$1006:$BQ$1006,0)), HYPERLINK("#",""), HYPERLINK(CONCATENATE("#Metadata!", ADDRESS(INDEX($AJ$2:$AJ$1001,MATCH(ROWS($AH$2:AH820),$AH$2:$AH$1001,0),0), INDEX($AO$1004:$BQ$1004,1,MATCH(COLUMNS($AO$1006:BP1006),$AO$1006:$BQ$1006,0)))),"Fix")))</f>
        <v>#N/A</v>
      </c>
      <c r="AD820" s="5" t="e">
        <f ca="1">IF(OR(INDEX($AI$2:$AI$1001,MATCH(ROWS($AH$2:AH820),$AH$2:$AH$1001,0),1)&gt;=100000,INDEX($AO$1005:$BQ$1005,1,MATCH(COLUMNS($AO$1006:BQ1006),$AO$1006:$BQ$1006,0))&gt;=100000), " ",IF(INDEX($AO$2:$BQ$1001,MATCH(ROWS($AH$2:AH820),$AH$2:$AH$1001,0),MATCH(COLUMNS($AO$1006:BQ1006),$AO$1006:$BQ$1006,0)), HYPERLINK("#",""), HYPERLINK(CONCATENATE("#Metadata!", ADDRESS(INDEX($AJ$2:$AJ$1001,MATCH(ROWS($AH$2:AH820),$AH$2:$AH$1001,0),0), INDEX($AO$1004:$BQ$1004,1,MATCH(COLUMNS($AO$1006:BQ1006),$AO$1006:$BQ$1006,0)))),"Fix")))</f>
        <v>#REF!</v>
      </c>
      <c r="AH820">
        <f ca="1"/>
        <v>817</v>
      </c>
      <c r="AI820">
        <v>100820</v>
      </c>
      <c r="AJ820">
        <v>820</v>
      </c>
      <c r="AK820" t="b">
        <f t="shared" si="12"/>
        <v>1</v>
      </c>
      <c r="AL820" t="b">
        <f>COUNTBLANK(Metadata!B820:AD820)=COLUMNS(Metadata!B820:AD820)</f>
        <v>1</v>
      </c>
      <c r="AM820" t="str">
        <v/>
      </c>
      <c r="AO820" t="b">
        <f ca="1">AND(IF(Metadata!B820="",FALSE,TRUE),COUNTIF(Metadata!B:B, Metadata!B820) = 1,NOT(ISERROR(SUMPRODUCT(SEARCH(MID(Metadata!B820,ROW(INDIRECT("1:"&amp;LEN(Metadata!B820))), 1),"0123456789abcdefghijklmnopqrstuvwxyzABCDEFGHIJKLMNOPQRSTUVWXYZ.")))))</f>
        <v>0</v>
      </c>
      <c r="AP820" t="b">
        <f>IF(Metadata!C820="",FALSE,TRUE)</f>
        <v>0</v>
      </c>
      <c r="AQ820" t="b">
        <f>IF(Metadata!D820="",FALSE,TRUE)</f>
        <v>0</v>
      </c>
      <c r="AR820" t="b">
        <f ca="1">OR(AND(IF(Metadata!E820="",FALSE,TRUE),OR(EXACT(Metadata!E820,"not collected"),EXACT(Metadata!E820,"not provided"),EXACT(Metadata!E820,"restricted access"))),AND(IF(Metadata!E820="",FALSE,TRUE),AND(AND(IFERROR(INT(LEFT(Metadata!E820,4))&gt;1900,FALSE),IFERROR(INT(LEFT(Metadata!E820,4))&lt;=YEAR(NOW()),FALSE)), OR(MID(Metadata!E820,5,1)="", AND(AND(MID(Metadata!E820,5,1)="-",IFERROR(INT(MID(Metadata!E820,6,1))&gt;=0,FALSE),IFERROR(INT(MID(Metadata!E820,6,1))&lt;=1,FALSE),NOT(MID(Metadata!E820,7,1)=""),IFERROR(INT(MID(Metadata!E820,6,2))&gt;=1,FALSE),IFERROR(INT(MID(Metadata!E820,6,2))&lt;=12,FALSE)), OR(MID(Metadata!E820,8,1)="", AND(AND(MID(Metadata!E820,8,1)="-",IFERROR(INT(MID(Metadata!E820,9,1))&gt;=0,FALSE),IFERROR(INT(MID(Metadata!E820,9,1))&lt;=3,FALSE),NOT(MID(Metadata!E820,10,1)=""),IFERROR(INT(MID(Metadata!E820,9,2))&gt;=1,FALSE),IFERROR(INT(MID(Metadata!E820,9,2))&lt;=31,FALSE)), OR(MID(Metadata!E820,11,1)="", AND(AND(MID(Metadata!E820,11,1)=" ",IFERROR(INT(MID(Metadata!E820,12,1))&gt;=0,FALSE),IFERROR(INT(MID(Metadata!E820,12,1))&lt;=2,FALSE),NOT(MID(Metadata!E820,13,1)=""),IFERROR(INT(MID(Metadata!E820,12,2))&gt;=0,FALSE),IFERROR(INT(MID(Metadata!E820,12,2))&lt;=23,FALSE)), OR(MID(Metadata!E820,14,1)="", AND(AND(MID(Metadata!E820,14,1)=":",IFERROR(INT(MID(Metadata!E820,15,1))&gt;=0,FALSE),IFERROR(INT(MID(Metadata!E820,15,1))&lt;=5,FALSE),NOT(MID(Metadata!E820,16,1)=""),IFERROR(INT(MID(Metadata!E820,15,2))&gt;=0,FALSE),IFERROR(INT(MID(Metadata!E820,15,2))&lt;=59,FALSE)), OR(MID(Metadata!E820,17,1)="", AND(AND(MID(Metadata!E820,17,1)=":",IFERROR(INT(MID(Metadata!E820,18,1))&gt;=0,FALSE),IFERROR(INT(MID(Metadata!E820,18,1))&lt;=5,FALSE),NOT(MID(Metadata!E820,19,1)=""),IFERROR(INT(MID(Metadata!E820,18,2))&gt;=0,FALSE),IFERROR(INT(MID(Metadata!E820,18,2))&lt;=59,FALSE)), LEN(Metadata!E820)&lt;=19)))))))))))))</f>
        <v>0</v>
      </c>
      <c r="AS820" t="b">
        <f>IF(Metadata!F820="",FALSE,TRUE)</f>
        <v>0</v>
      </c>
      <c r="AT820" t="b">
        <f>OR(AND(IF(Metadata!G820="",FALSE,TRUE),OR(EXACT(Metadata!G820,"not collected"),EXACT(Metadata!G820,"not provided"))),AND(IF(Metadata!G820="",FALSE,TRUE),OR(EXACT(Metadata!G820,"TRUE"),EXACT(Metadata!G820,"FALSE"))))</f>
        <v>0</v>
      </c>
      <c r="AU820" t="b">
        <f>OR(AND(IF(Metadata!H820="",FALSE,TRUE),OR(EXACT(Metadata!H820,"not collected"),EXACT(Metadata!H820,"not provided"),EXACT(Metadata!H820,"restricted access"))),AND(IF(Metadata!H820="",FALSE,ISNUMBER(VALUE(Metadata!H820))),Metadata!H820&gt;=-413))</f>
        <v>0</v>
      </c>
      <c r="AV820" t="b">
        <f>AND(IF(Metadata!I820="",FALSE,TRUE),EXACT(Metadata!I820,"meters"))</f>
        <v>0</v>
      </c>
      <c r="AW820" t="b">
        <f>AND(IF(Metadata!J820="",FALSE,TRUE),EXACT(Metadata!J820,"free-living"))</f>
        <v>0</v>
      </c>
      <c r="AX820" t="b">
        <f>AND(IF(Metadata!K820="",FALSE,TRUE),OR(EXACT(Metadata!K820,"saline"),EXACT(Metadata!K820,"non-saline")))</f>
        <v>0</v>
      </c>
      <c r="AY820" t="b">
        <f>AND(IF(Metadata!L820="",FALSE,TRUE),OR(EXACT(Metadata!L820,"sub-surface (non-saline)"),EXACT(Metadata!L820,"surface (non-saline)"),EXACT(Metadata!L820,"water (non-saline)"),EXACT(Metadata!L820,"soil (non-saline)"),EXACT(Metadata!L820,"aerosol (non-saline)"),EXACT(Metadata!L820,"sediment (non-saline)"),EXACT(Metadata!L820,"surface (saline)"),EXACT(Metadata!L820,"water (saline)"),EXACT(Metadata!L820,"hypersaline (saline)"),EXACT(Metadata!L820,"aerosol (saline)"),EXACT(Metadata!L820,"sediment (saline)")))</f>
        <v>0</v>
      </c>
      <c r="AZ820" t="b">
        <f>IF(Metadata!M820="",FALSE,TRUE)</f>
        <v>0</v>
      </c>
      <c r="BA820" t="b">
        <f>IF(Metadata!N820="",FALSE,TRUE)</f>
        <v>0</v>
      </c>
      <c r="BB820" t="b">
        <f>IF(Metadata!O820="",FALSE,TRUE)</f>
        <v>0</v>
      </c>
      <c r="BC820" t="b">
        <f>AND(IF(Metadata!P820="",FALSE,TRUE),OR(EXACT(Metadata!P820,"air"),EXACT(Metadata!P820,"microbial mat/biofilm"),EXACT(Metadata!P820,"misc environment"),EXACT(Metadata!P820,"sediment"),EXACT(Metadata!P820,"soil"),EXACT(Metadata!P820,"wastewater/sludge"),EXACT(Metadata!P820,"water")))</f>
        <v>0</v>
      </c>
      <c r="BD820" t="b">
        <f>IF(Metadata!Q820="",FALSE,TRUE)</f>
        <v>0</v>
      </c>
      <c r="BE820" t="b">
        <f>IF(Metadata!R820="",FALSE,TRUE)</f>
        <v>0</v>
      </c>
      <c r="BF820" t="b">
        <f>OR(AND(IF(Metadata!S820="",FALSE,TRUE),OR(EXACT(Metadata!S820,"not collected"),EXACT(Metadata!S820,"not provided"),EXACT(Metadata!S820,"restricted access"))),AND(IF(Metadata!S820="",FALSE,ISNUMBER(VALUE(Metadata!S820))),Metadata!S820&gt;=-90,Metadata!S820&lt;=90))</f>
        <v>0</v>
      </c>
      <c r="BG820" t="b">
        <f>AND(IF(Metadata!T820="",FALSE,TRUE),EXACT(Metadata!T820,"Decimal degrees"))</f>
        <v>0</v>
      </c>
      <c r="BH820" t="b">
        <f>OR(AND(IF(Metadata!U820="",FALSE,TRUE),OR(EXACT(Metadata!U820,"not applicable"),EXACT(Metadata!U820,"not collected"))),IF(Metadata!U820="",FALSE,TRUE))</f>
        <v>0</v>
      </c>
      <c r="BI820" t="b">
        <f>OR(AND(IF(Metadata!V820="",FALSE,TRUE),OR(EXACT(Metadata!V820,"not collected"),EXACT(Metadata!V820,"not provided"),EXACT(Metadata!V820,"restricted access"))),AND(IF(Metadata!V820="",FALSE,ISNUMBER(VALUE(Metadata!V820))),Metadata!V820&gt;=-180,Metadata!V820&lt;=180))</f>
        <v>0</v>
      </c>
      <c r="BJ820" t="b">
        <f>AND(IF(Metadata!W820="",FALSE,TRUE),EXACT(Metadata!W820,"Decimal degrees"))</f>
        <v>0</v>
      </c>
      <c r="BK820" t="b">
        <f>IF(Metadata!X820="",FALSE,TRUE)</f>
        <v>0</v>
      </c>
      <c r="BL820" t="b">
        <f>OR(AND(IF(Metadata!Y820="",FALSE,TRUE),OR(EXACT(Metadata!Y820,"not collected"),EXACT(Metadata!Y820,"not provided"),EXACT(Metadata!Y820,"restricted access"))),AND(IF(Metadata!Y820="",FALSE,TRUE),OR(EXACT(Metadata!Y820,"TRUE"),EXACT(Metadata!Y820,"FALSE"))))</f>
        <v>0</v>
      </c>
      <c r="BM820" t="b">
        <f>OR(AND(IF(Metadata!Z820="",FALSE,TRUE),EXACT(Metadata!Z820,"not applicable")),AND(IF(Metadata!Z820="",FALSE,TRUE),OR(EXACT(Metadata!Z820,"beer"),EXACT(Metadata!Z820,"cheese"),EXACT(Metadata!Z820,"fresh water"),EXACT(Metadata!Z820,"marine sediment"),EXACT(Metadata!Z820,"sea water"),EXACT(Metadata!Z820,"sediment"),EXACT(Metadata!Z820,"soil"),EXACT(Metadata!Z820,"waste water"))))</f>
        <v>0</v>
      </c>
      <c r="BN820" t="b">
        <f>AND(IF(Metadata!AA820="",FALSE,TRUE),EXACT(Metadata!AA820,"metagenome"))</f>
        <v>0</v>
      </c>
      <c r="BO820" t="b">
        <f>AND(IF(Metadata!AB820="",FALSE,TRUE),EXACT(Metadata!AB820,"256318"))</f>
        <v>0</v>
      </c>
      <c r="BP820" t="b">
        <f>IF(Metadata!AC820="",FALSE,TRUE)</f>
        <v>0</v>
      </c>
      <c r="BQ820" t="b">
        <f>IF(Metadata!AD820="",FALSE,TRUE)</f>
        <v>0</v>
      </c>
    </row>
    <row r="821" spans="1:69" x14ac:dyDescent="0.2">
      <c r="A821" s="4" t="e">
        <f ca="1">IF(B821=" "," ",HYPERLINK(CONCATENATE("#metadata!",ADDRESS(INDEX($AJ$2:$AJ$1001,MATCH(ROWS($AH$2:AH821),$AH$2:$AH$1001,0),0),2)),INDEX($AM$2:$AM$1001,MATCH(ROWS($AH$2:AH821),$AH$2:$AH$1001,0),0)))</f>
        <v>#N/A</v>
      </c>
      <c r="B821" s="5" t="e">
        <f ca="1">IF(OR(INDEX($AI$2:$AI$1001,MATCH(ROWS($AH$2:AH821),$AH$2:$AH$1001,0),1)&gt;=100000,INDEX($AO$1005:$BQ$1005,1,MATCH(COLUMNS($AO$1006:AO1006),$AO$1006:$BQ$1006,0))&gt;=100000), " ",IF(INDEX($AO$2:$BQ$1001,MATCH(ROWS($AH$2:AH821),$AH$2:$AH$1001,0),MATCH(COLUMNS($AO$1006:AO1006),$AO$1006:$BQ$1006,0)), HYPERLINK("#",""), HYPERLINK(CONCATENATE("#Metadata!", ADDRESS(INDEX($AJ$2:$AJ$1001,MATCH(ROWS($AH$2:AH821),$AH$2:$AH$1001,0),0), INDEX($AO$1004:$BQ$1004,1,MATCH(COLUMNS($AO$1006:AO1006),$AO$1006:$BQ$1006,0)))),"Fix")))</f>
        <v>#N/A</v>
      </c>
      <c r="C821" s="5" t="e">
        <f ca="1">IF(OR(INDEX($AI$2:$AI$1001,MATCH(ROWS($AH$2:AH821),$AH$2:$AH$1001,0),1)&gt;=100000,INDEX($AO$1005:$BQ$1005,1,MATCH(COLUMNS($AO$1006:AP1006),$AO$1006:$BQ$1006,0))&gt;=100000), " ",IF(INDEX($AO$2:$BQ$1001,MATCH(ROWS($AH$2:AH821),$AH$2:$AH$1001,0),MATCH(COLUMNS($AO$1006:AP1006),$AO$1006:$BQ$1006,0)), HYPERLINK("#",""), HYPERLINK(CONCATENATE("#Metadata!", ADDRESS(INDEX($AJ$2:$AJ$1001,MATCH(ROWS($AH$2:AH821),$AH$2:$AH$1001,0),0), INDEX($AO$1004:$BQ$1004,1,MATCH(COLUMNS($AO$1006:AP1006),$AO$1006:$BQ$1006,0)))),"Fix")))</f>
        <v>#N/A</v>
      </c>
      <c r="D821" s="5" t="e">
        <f ca="1">IF(OR(INDEX($AI$2:$AI$1001,MATCH(ROWS($AH$2:AH821),$AH$2:$AH$1001,0),1)&gt;=100000,INDEX($AO$1005:$BQ$1005,1,MATCH(COLUMNS($AO$1006:AQ1006),$AO$1006:$BQ$1006,0))&gt;=100000), " ",IF(INDEX($AO$2:$BQ$1001,MATCH(ROWS($AH$2:AH821),$AH$2:$AH$1001,0),MATCH(COLUMNS($AO$1006:AQ1006),$AO$1006:$BQ$1006,0)), HYPERLINK("#",""), HYPERLINK(CONCATENATE("#Metadata!", ADDRESS(INDEX($AJ$2:$AJ$1001,MATCH(ROWS($AH$2:AH821),$AH$2:$AH$1001,0),0), INDEX($AO$1004:$BQ$1004,1,MATCH(COLUMNS($AO$1006:AQ1006),$AO$1006:$BQ$1006,0)))),"Fix")))</f>
        <v>#N/A</v>
      </c>
      <c r="E821" s="5" t="e">
        <f ca="1">IF(OR(INDEX($AI$2:$AI$1001,MATCH(ROWS($AH$2:AH821),$AH$2:$AH$1001,0),1)&gt;=100000,INDEX($AO$1005:$BQ$1005,1,MATCH(COLUMNS($AO$1006:AR1006),$AO$1006:$BQ$1006,0))&gt;=100000), " ",IF(INDEX($AO$2:$BQ$1001,MATCH(ROWS($AH$2:AH821),$AH$2:$AH$1001,0),MATCH(COLUMNS($AO$1006:AR1006),$AO$1006:$BQ$1006,0)), HYPERLINK("#",""), HYPERLINK(CONCATENATE("#Metadata!", ADDRESS(INDEX($AJ$2:$AJ$1001,MATCH(ROWS($AH$2:AH821),$AH$2:$AH$1001,0),0), INDEX($AO$1004:$BQ$1004,1,MATCH(COLUMNS($AO$1006:AR1006),$AO$1006:$BQ$1006,0)))),"Fix")))</f>
        <v>#N/A</v>
      </c>
      <c r="F821" s="5" t="e">
        <f ca="1">IF(OR(INDEX($AI$2:$AI$1001,MATCH(ROWS($AH$2:AH821),$AH$2:$AH$1001,0),1)&gt;=100000,INDEX($AO$1005:$BQ$1005,1,MATCH(COLUMNS($AO$1006:AS1006),$AO$1006:$BQ$1006,0))&gt;=100000), " ",IF(INDEX($AO$2:$BQ$1001,MATCH(ROWS($AH$2:AH821),$AH$2:$AH$1001,0),MATCH(COLUMNS($AO$1006:AS1006),$AO$1006:$BQ$1006,0)), HYPERLINK("#",""), HYPERLINK(CONCATENATE("#Metadata!", ADDRESS(INDEX($AJ$2:$AJ$1001,MATCH(ROWS($AH$2:AH821),$AH$2:$AH$1001,0),0), INDEX($AO$1004:$BQ$1004,1,MATCH(COLUMNS($AO$1006:AS1006),$AO$1006:$BQ$1006,0)))),"Fix")))</f>
        <v>#N/A</v>
      </c>
      <c r="G821" s="5" t="e">
        <f ca="1">IF(OR(INDEX($AI$2:$AI$1001,MATCH(ROWS($AH$2:AH821),$AH$2:$AH$1001,0),1)&gt;=100000,INDEX($AO$1005:$BQ$1005,1,MATCH(COLUMNS($AO$1006:AT1006),$AO$1006:$BQ$1006,0))&gt;=100000), " ",IF(INDEX($AO$2:$BQ$1001,MATCH(ROWS($AH$2:AH821),$AH$2:$AH$1001,0),MATCH(COLUMNS($AO$1006:AT1006),$AO$1006:$BQ$1006,0)), HYPERLINK("#",""), HYPERLINK(CONCATENATE("#Metadata!", ADDRESS(INDEX($AJ$2:$AJ$1001,MATCH(ROWS($AH$2:AH821),$AH$2:$AH$1001,0),0), INDEX($AO$1004:$BQ$1004,1,MATCH(COLUMNS($AO$1006:AT1006),$AO$1006:$BQ$1006,0)))),"Fix")))</f>
        <v>#N/A</v>
      </c>
      <c r="H821" s="5" t="e">
        <f ca="1">IF(OR(INDEX($AI$2:$AI$1001,MATCH(ROWS($AH$2:AH821),$AH$2:$AH$1001,0),1)&gt;=100000,INDEX($AO$1005:$BQ$1005,1,MATCH(COLUMNS($AO$1006:AU1006),$AO$1006:$BQ$1006,0))&gt;=100000), " ",IF(INDEX($AO$2:$BQ$1001,MATCH(ROWS($AH$2:AH821),$AH$2:$AH$1001,0),MATCH(COLUMNS($AO$1006:AU1006),$AO$1006:$BQ$1006,0)), HYPERLINK("#",""), HYPERLINK(CONCATENATE("#Metadata!", ADDRESS(INDEX($AJ$2:$AJ$1001,MATCH(ROWS($AH$2:AH821),$AH$2:$AH$1001,0),0), INDEX($AO$1004:$BQ$1004,1,MATCH(COLUMNS($AO$1006:AU1006),$AO$1006:$BQ$1006,0)))),"Fix")))</f>
        <v>#N/A</v>
      </c>
      <c r="I821" s="5" t="e">
        <f ca="1">IF(OR(INDEX($AI$2:$AI$1001,MATCH(ROWS($AH$2:AH821),$AH$2:$AH$1001,0),1)&gt;=100000,INDEX($AO$1005:$BQ$1005,1,MATCH(COLUMNS($AO$1006:AV1006),$AO$1006:$BQ$1006,0))&gt;=100000), " ",IF(INDEX($AO$2:$BQ$1001,MATCH(ROWS($AH$2:AH821),$AH$2:$AH$1001,0),MATCH(COLUMNS($AO$1006:AV1006),$AO$1006:$BQ$1006,0)), HYPERLINK("#",""), HYPERLINK(CONCATENATE("#Metadata!", ADDRESS(INDEX($AJ$2:$AJ$1001,MATCH(ROWS($AH$2:AH821),$AH$2:$AH$1001,0),0), INDEX($AO$1004:$BQ$1004,1,MATCH(COLUMNS($AO$1006:AV1006),$AO$1006:$BQ$1006,0)))),"Fix")))</f>
        <v>#N/A</v>
      </c>
      <c r="J821" s="5" t="e">
        <f ca="1">IF(OR(INDEX($AI$2:$AI$1001,MATCH(ROWS($AH$2:AH821),$AH$2:$AH$1001,0),1)&gt;=100000,INDEX($AO$1005:$BQ$1005,1,MATCH(COLUMNS($AO$1006:AW1006),$AO$1006:$BQ$1006,0))&gt;=100000), " ",IF(INDEX($AO$2:$BQ$1001,MATCH(ROWS($AH$2:AH821),$AH$2:$AH$1001,0),MATCH(COLUMNS($AO$1006:AW1006),$AO$1006:$BQ$1006,0)), HYPERLINK("#",""), HYPERLINK(CONCATENATE("#Metadata!", ADDRESS(INDEX($AJ$2:$AJ$1001,MATCH(ROWS($AH$2:AH821),$AH$2:$AH$1001,0),0), INDEX($AO$1004:$BQ$1004,1,MATCH(COLUMNS($AO$1006:AW1006),$AO$1006:$BQ$1006,0)))),"Fix")))</f>
        <v>#N/A</v>
      </c>
      <c r="K821" s="5" t="e">
        <f ca="1">IF(OR(INDEX($AI$2:$AI$1001,MATCH(ROWS($AH$2:AH821),$AH$2:$AH$1001,0),1)&gt;=100000,INDEX($AO$1005:$BQ$1005,1,MATCH(COLUMNS($AO$1006:AX1006),$AO$1006:$BQ$1006,0))&gt;=100000), " ",IF(INDEX($AO$2:$BQ$1001,MATCH(ROWS($AH$2:AH821),$AH$2:$AH$1001,0),MATCH(COLUMNS($AO$1006:AX1006),$AO$1006:$BQ$1006,0)), HYPERLINK("#",""), HYPERLINK(CONCATENATE("#Metadata!", ADDRESS(INDEX($AJ$2:$AJ$1001,MATCH(ROWS($AH$2:AH821),$AH$2:$AH$1001,0),0), INDEX($AO$1004:$BQ$1004,1,MATCH(COLUMNS($AO$1006:AX1006),$AO$1006:$BQ$1006,0)))),"Fix")))</f>
        <v>#N/A</v>
      </c>
      <c r="L821" s="5" t="e">
        <f ca="1">IF(OR(INDEX($AI$2:$AI$1001,MATCH(ROWS($AH$2:AH821),$AH$2:$AH$1001,0),1)&gt;=100000,INDEX($AO$1005:$BQ$1005,1,MATCH(COLUMNS($AO$1006:AY1006),$AO$1006:$BQ$1006,0))&gt;=100000), " ",IF(INDEX($AO$2:$BQ$1001,MATCH(ROWS($AH$2:AH821),$AH$2:$AH$1001,0),MATCH(COLUMNS($AO$1006:AY1006),$AO$1006:$BQ$1006,0)), HYPERLINK("#",""), HYPERLINK(CONCATENATE("#Metadata!", ADDRESS(INDEX($AJ$2:$AJ$1001,MATCH(ROWS($AH$2:AH821),$AH$2:$AH$1001,0),0), INDEX($AO$1004:$BQ$1004,1,MATCH(COLUMNS($AO$1006:AY1006),$AO$1006:$BQ$1006,0)))),"Fix")))</f>
        <v>#N/A</v>
      </c>
      <c r="M821" s="5" t="e">
        <f ca="1">IF(OR(INDEX($AI$2:$AI$1001,MATCH(ROWS($AH$2:AH821),$AH$2:$AH$1001,0),1)&gt;=100000,INDEX($AO$1005:$BQ$1005,1,MATCH(COLUMNS($AO$1006:AZ1006),$AO$1006:$BQ$1006,0))&gt;=100000), " ",IF(INDEX($AO$2:$BQ$1001,MATCH(ROWS($AH$2:AH821),$AH$2:$AH$1001,0),MATCH(COLUMNS($AO$1006:AZ1006),$AO$1006:$BQ$1006,0)), HYPERLINK("#",""), HYPERLINK(CONCATENATE("#Metadata!", ADDRESS(INDEX($AJ$2:$AJ$1001,MATCH(ROWS($AH$2:AH821),$AH$2:$AH$1001,0),0), INDEX($AO$1004:$BQ$1004,1,MATCH(COLUMNS($AO$1006:AZ1006),$AO$1006:$BQ$1006,0)))),"Fix")))</f>
        <v>#N/A</v>
      </c>
      <c r="N821" s="5" t="e">
        <f ca="1">IF(OR(INDEX($AI$2:$AI$1001,MATCH(ROWS($AH$2:AH821),$AH$2:$AH$1001,0),1)&gt;=100000,INDEX($AO$1005:$BQ$1005,1,MATCH(COLUMNS($AO$1006:BA1006),$AO$1006:$BQ$1006,0))&gt;=100000), " ",IF(INDEX($AO$2:$BQ$1001,MATCH(ROWS($AH$2:AH821),$AH$2:$AH$1001,0),MATCH(COLUMNS($AO$1006:BA1006),$AO$1006:$BQ$1006,0)), HYPERLINK("#",""), HYPERLINK(CONCATENATE("#Metadata!", ADDRESS(INDEX($AJ$2:$AJ$1001,MATCH(ROWS($AH$2:AH821),$AH$2:$AH$1001,0),0), INDEX($AO$1004:$BQ$1004,1,MATCH(COLUMNS($AO$1006:BA1006),$AO$1006:$BQ$1006,0)))),"Fix")))</f>
        <v>#N/A</v>
      </c>
      <c r="O821" s="5" t="e">
        <f ca="1">IF(OR(INDEX($AI$2:$AI$1001,MATCH(ROWS($AH$2:AH821),$AH$2:$AH$1001,0),1)&gt;=100000,INDEX($AO$1005:$BQ$1005,1,MATCH(COLUMNS($AO$1006:BB1006),$AO$1006:$BQ$1006,0))&gt;=100000), " ",IF(INDEX($AO$2:$BQ$1001,MATCH(ROWS($AH$2:AH821),$AH$2:$AH$1001,0),MATCH(COLUMNS($AO$1006:BB1006),$AO$1006:$BQ$1006,0)), HYPERLINK("#",""), HYPERLINK(CONCATENATE("#Metadata!", ADDRESS(INDEX($AJ$2:$AJ$1001,MATCH(ROWS($AH$2:AH821),$AH$2:$AH$1001,0),0), INDEX($AO$1004:$BQ$1004,1,MATCH(COLUMNS($AO$1006:BB1006),$AO$1006:$BQ$1006,0)))),"Fix")))</f>
        <v>#N/A</v>
      </c>
      <c r="P821" s="5" t="e">
        <f ca="1">IF(OR(INDEX($AI$2:$AI$1001,MATCH(ROWS($AH$2:AH821),$AH$2:$AH$1001,0),1)&gt;=100000,INDEX($AO$1005:$BQ$1005,1,MATCH(COLUMNS($AO$1006:BC1006),$AO$1006:$BQ$1006,0))&gt;=100000), " ",IF(INDEX($AO$2:$BQ$1001,MATCH(ROWS($AH$2:AH821),$AH$2:$AH$1001,0),MATCH(COLUMNS($AO$1006:BC1006),$AO$1006:$BQ$1006,0)), HYPERLINK("#",""), HYPERLINK(CONCATENATE("#Metadata!", ADDRESS(INDEX($AJ$2:$AJ$1001,MATCH(ROWS($AH$2:AH821),$AH$2:$AH$1001,0),0), INDEX($AO$1004:$BQ$1004,1,MATCH(COLUMNS($AO$1006:BC1006),$AO$1006:$BQ$1006,0)))),"Fix")))</f>
        <v>#N/A</v>
      </c>
      <c r="Q821" s="5" t="e">
        <f ca="1">IF(OR(INDEX($AI$2:$AI$1001,MATCH(ROWS($AH$2:AH821),$AH$2:$AH$1001,0),1)&gt;=100000,INDEX($AO$1005:$BQ$1005,1,MATCH(COLUMNS($AO$1006:BD1006),$AO$1006:$BQ$1006,0))&gt;=100000), " ",IF(INDEX($AO$2:$BQ$1001,MATCH(ROWS($AH$2:AH821),$AH$2:$AH$1001,0),MATCH(COLUMNS($AO$1006:BD1006),$AO$1006:$BQ$1006,0)), HYPERLINK("#",""), HYPERLINK(CONCATENATE("#Metadata!", ADDRESS(INDEX($AJ$2:$AJ$1001,MATCH(ROWS($AH$2:AH821),$AH$2:$AH$1001,0),0), INDEX($AO$1004:$BQ$1004,1,MATCH(COLUMNS($AO$1006:BD1006),$AO$1006:$BQ$1006,0)))),"Fix")))</f>
        <v>#N/A</v>
      </c>
      <c r="R821" s="5" t="e">
        <f ca="1">IF(OR(INDEX($AI$2:$AI$1001,MATCH(ROWS($AH$2:AH821),$AH$2:$AH$1001,0),1)&gt;=100000,INDEX($AO$1005:$BQ$1005,1,MATCH(COLUMNS($AO$1006:BE1006),$AO$1006:$BQ$1006,0))&gt;=100000), " ",IF(INDEX($AO$2:$BQ$1001,MATCH(ROWS($AH$2:AH821),$AH$2:$AH$1001,0),MATCH(COLUMNS($AO$1006:BE1006),$AO$1006:$BQ$1006,0)), HYPERLINK("#",""), HYPERLINK(CONCATENATE("#Metadata!", ADDRESS(INDEX($AJ$2:$AJ$1001,MATCH(ROWS($AH$2:AH821),$AH$2:$AH$1001,0),0), INDEX($AO$1004:$BQ$1004,1,MATCH(COLUMNS($AO$1006:BE1006),$AO$1006:$BQ$1006,0)))),"Fix")))</f>
        <v>#N/A</v>
      </c>
      <c r="S821" s="5" t="e">
        <f ca="1">IF(OR(INDEX($AI$2:$AI$1001,MATCH(ROWS($AH$2:AH821),$AH$2:$AH$1001,0),1)&gt;=100000,INDEX($AO$1005:$BQ$1005,1,MATCH(COLUMNS($AO$1006:BF1006),$AO$1006:$BQ$1006,0))&gt;=100000), " ",IF(INDEX($AO$2:$BQ$1001,MATCH(ROWS($AH$2:AH821),$AH$2:$AH$1001,0),MATCH(COLUMNS($AO$1006:BF1006),$AO$1006:$BQ$1006,0)), HYPERLINK("#",""), HYPERLINK(CONCATENATE("#Metadata!", ADDRESS(INDEX($AJ$2:$AJ$1001,MATCH(ROWS($AH$2:AH821),$AH$2:$AH$1001,0),0), INDEX($AO$1004:$BQ$1004,1,MATCH(COLUMNS($AO$1006:BF1006),$AO$1006:$BQ$1006,0)))),"Fix")))</f>
        <v>#N/A</v>
      </c>
      <c r="T821" s="5" t="e">
        <f ca="1">IF(OR(INDEX($AI$2:$AI$1001,MATCH(ROWS($AH$2:AH821),$AH$2:$AH$1001,0),1)&gt;=100000,INDEX($AO$1005:$BQ$1005,1,MATCH(COLUMNS($AO$1006:BG1006),$AO$1006:$BQ$1006,0))&gt;=100000), " ",IF(INDEX($AO$2:$BQ$1001,MATCH(ROWS($AH$2:AH821),$AH$2:$AH$1001,0),MATCH(COLUMNS($AO$1006:BG1006),$AO$1006:$BQ$1006,0)), HYPERLINK("#",""), HYPERLINK(CONCATENATE("#Metadata!", ADDRESS(INDEX($AJ$2:$AJ$1001,MATCH(ROWS($AH$2:AH821),$AH$2:$AH$1001,0),0), INDEX($AO$1004:$BQ$1004,1,MATCH(COLUMNS($AO$1006:BG1006),$AO$1006:$BQ$1006,0)))),"Fix")))</f>
        <v>#N/A</v>
      </c>
      <c r="U821" s="5" t="e">
        <f ca="1">IF(OR(INDEX($AI$2:$AI$1001,MATCH(ROWS($AH$2:AH821),$AH$2:$AH$1001,0),1)&gt;=100000,INDEX($AO$1005:$BQ$1005,1,MATCH(COLUMNS($AO$1006:BH1006),$AO$1006:$BQ$1006,0))&gt;=100000), " ",IF(INDEX($AO$2:$BQ$1001,MATCH(ROWS($AH$2:AH821),$AH$2:$AH$1001,0),MATCH(COLUMNS($AO$1006:BH1006),$AO$1006:$BQ$1006,0)), HYPERLINK("#",""), HYPERLINK(CONCATENATE("#Metadata!", ADDRESS(INDEX($AJ$2:$AJ$1001,MATCH(ROWS($AH$2:AH821),$AH$2:$AH$1001,0),0), INDEX($AO$1004:$BQ$1004,1,MATCH(COLUMNS($AO$1006:BH1006),$AO$1006:$BQ$1006,0)))),"Fix")))</f>
        <v>#N/A</v>
      </c>
      <c r="V821" s="5" t="e">
        <f ca="1">IF(OR(INDEX($AI$2:$AI$1001,MATCH(ROWS($AH$2:AH821),$AH$2:$AH$1001,0),1)&gt;=100000,INDEX($AO$1005:$BQ$1005,1,MATCH(COLUMNS($AO$1006:BI1006),$AO$1006:$BQ$1006,0))&gt;=100000), " ",IF(INDEX($AO$2:$BQ$1001,MATCH(ROWS($AH$2:AH821),$AH$2:$AH$1001,0),MATCH(COLUMNS($AO$1006:BI1006),$AO$1006:$BQ$1006,0)), HYPERLINK("#",""), HYPERLINK(CONCATENATE("#Metadata!", ADDRESS(INDEX($AJ$2:$AJ$1001,MATCH(ROWS($AH$2:AH821),$AH$2:$AH$1001,0),0), INDEX($AO$1004:$BQ$1004,1,MATCH(COLUMNS($AO$1006:BI1006),$AO$1006:$BQ$1006,0)))),"Fix")))</f>
        <v>#N/A</v>
      </c>
      <c r="W821" s="5" t="e">
        <f ca="1">IF(OR(INDEX($AI$2:$AI$1001,MATCH(ROWS($AH$2:AH821),$AH$2:$AH$1001,0),1)&gt;=100000,INDEX($AO$1005:$BQ$1005,1,MATCH(COLUMNS($AO$1006:BJ1006),$AO$1006:$BQ$1006,0))&gt;=100000), " ",IF(INDEX($AO$2:$BQ$1001,MATCH(ROWS($AH$2:AH821),$AH$2:$AH$1001,0),MATCH(COLUMNS($AO$1006:BJ1006),$AO$1006:$BQ$1006,0)), HYPERLINK("#",""), HYPERLINK(CONCATENATE("#Metadata!", ADDRESS(INDEX($AJ$2:$AJ$1001,MATCH(ROWS($AH$2:AH821),$AH$2:$AH$1001,0),0), INDEX($AO$1004:$BQ$1004,1,MATCH(COLUMNS($AO$1006:BJ1006),$AO$1006:$BQ$1006,0)))),"Fix")))</f>
        <v>#N/A</v>
      </c>
      <c r="X821" s="5" t="e">
        <f ca="1">IF(OR(INDEX($AI$2:$AI$1001,MATCH(ROWS($AH$2:AH821),$AH$2:$AH$1001,0),1)&gt;=100000,INDEX($AO$1005:$BQ$1005,1,MATCH(COLUMNS($AO$1006:BK1006),$AO$1006:$BQ$1006,0))&gt;=100000), " ",IF(INDEX($AO$2:$BQ$1001,MATCH(ROWS($AH$2:AH821),$AH$2:$AH$1001,0),MATCH(COLUMNS($AO$1006:BK1006),$AO$1006:$BQ$1006,0)), HYPERLINK("#",""), HYPERLINK(CONCATENATE("#Metadata!", ADDRESS(INDEX($AJ$2:$AJ$1001,MATCH(ROWS($AH$2:AH821),$AH$2:$AH$1001,0),0), INDEX($AO$1004:$BQ$1004,1,MATCH(COLUMNS($AO$1006:BK1006),$AO$1006:$BQ$1006,0)))),"Fix")))</f>
        <v>#N/A</v>
      </c>
      <c r="Y821" s="5" t="e">
        <f ca="1">IF(OR(INDEX($AI$2:$AI$1001,MATCH(ROWS($AH$2:AH821),$AH$2:$AH$1001,0),1)&gt;=100000,INDEX($AO$1005:$BQ$1005,1,MATCH(COLUMNS($AO$1006:BL1006),$AO$1006:$BQ$1006,0))&gt;=100000), " ",IF(INDEX($AO$2:$BQ$1001,MATCH(ROWS($AH$2:AH821),$AH$2:$AH$1001,0),MATCH(COLUMNS($AO$1006:BL1006),$AO$1006:$BQ$1006,0)), HYPERLINK("#",""), HYPERLINK(CONCATENATE("#Metadata!", ADDRESS(INDEX($AJ$2:$AJ$1001,MATCH(ROWS($AH$2:AH821),$AH$2:$AH$1001,0),0), INDEX($AO$1004:$BQ$1004,1,MATCH(COLUMNS($AO$1006:BL1006),$AO$1006:$BQ$1006,0)))),"Fix")))</f>
        <v>#N/A</v>
      </c>
      <c r="Z821" s="5" t="e">
        <f ca="1">IF(OR(INDEX($AI$2:$AI$1001,MATCH(ROWS($AH$2:AH821),$AH$2:$AH$1001,0),1)&gt;=100000,INDEX($AO$1005:$BQ$1005,1,MATCH(COLUMNS($AO$1006:BM1006),$AO$1006:$BQ$1006,0))&gt;=100000), " ",IF(INDEX($AO$2:$BQ$1001,MATCH(ROWS($AH$2:AH821),$AH$2:$AH$1001,0),MATCH(COLUMNS($AO$1006:BM1006),$AO$1006:$BQ$1006,0)), HYPERLINK("#",""), HYPERLINK(CONCATENATE("#Metadata!", ADDRESS(INDEX($AJ$2:$AJ$1001,MATCH(ROWS($AH$2:AH821),$AH$2:$AH$1001,0),0), INDEX($AO$1004:$BQ$1004,1,MATCH(COLUMNS($AO$1006:BM1006),$AO$1006:$BQ$1006,0)))),"Fix")))</f>
        <v>#N/A</v>
      </c>
      <c r="AA821" s="5" t="e">
        <f ca="1">IF(OR(INDEX($AI$2:$AI$1001,MATCH(ROWS($AH$2:AH821),$AH$2:$AH$1001,0),1)&gt;=100000,INDEX($AO$1005:$BQ$1005,1,MATCH(COLUMNS($AO$1006:BN1006),$AO$1006:$BQ$1006,0))&gt;=100000), " ",IF(INDEX($AO$2:$BQ$1001,MATCH(ROWS($AH$2:AH821),$AH$2:$AH$1001,0),MATCH(COLUMNS($AO$1006:BN1006),$AO$1006:$BQ$1006,0)), HYPERLINK("#",""), HYPERLINK(CONCATENATE("#Metadata!", ADDRESS(INDEX($AJ$2:$AJ$1001,MATCH(ROWS($AH$2:AH821),$AH$2:$AH$1001,0),0), INDEX($AO$1004:$BQ$1004,1,MATCH(COLUMNS($AO$1006:BN1006),$AO$1006:$BQ$1006,0)))),"Fix")))</f>
        <v>#N/A</v>
      </c>
      <c r="AB821" s="5" t="e">
        <f ca="1">IF(OR(INDEX($AI$2:$AI$1001,MATCH(ROWS($AH$2:AH821),$AH$2:$AH$1001,0),1)&gt;=100000,INDEX($AO$1005:$BQ$1005,1,MATCH(COLUMNS($AO$1006:BO1006),$AO$1006:$BQ$1006,0))&gt;=100000), " ",IF(INDEX($AO$2:$BQ$1001,MATCH(ROWS($AH$2:AH821),$AH$2:$AH$1001,0),MATCH(COLUMNS($AO$1006:BO1006),$AO$1006:$BQ$1006,0)), HYPERLINK("#",""), HYPERLINK(CONCATENATE("#Metadata!", ADDRESS(INDEX($AJ$2:$AJ$1001,MATCH(ROWS($AH$2:AH821),$AH$2:$AH$1001,0),0), INDEX($AO$1004:$BQ$1004,1,MATCH(COLUMNS($AO$1006:BO1006),$AO$1006:$BQ$1006,0)))),"Fix")))</f>
        <v>#N/A</v>
      </c>
      <c r="AC821" s="5" t="e">
        <f ca="1">IF(OR(INDEX($AI$2:$AI$1001,MATCH(ROWS($AH$2:AH821),$AH$2:$AH$1001,0),1)&gt;=100000,INDEX($AO$1005:$BQ$1005,1,MATCH(COLUMNS($AO$1006:BP1006),$AO$1006:$BQ$1006,0))&gt;=100000), " ",IF(INDEX($AO$2:$BQ$1001,MATCH(ROWS($AH$2:AH821),$AH$2:$AH$1001,0),MATCH(COLUMNS($AO$1006:BP1006),$AO$1006:$BQ$1006,0)), HYPERLINK("#",""), HYPERLINK(CONCATENATE("#Metadata!", ADDRESS(INDEX($AJ$2:$AJ$1001,MATCH(ROWS($AH$2:AH821),$AH$2:$AH$1001,0),0), INDEX($AO$1004:$BQ$1004,1,MATCH(COLUMNS($AO$1006:BP1006),$AO$1006:$BQ$1006,0)))),"Fix")))</f>
        <v>#N/A</v>
      </c>
      <c r="AD821" s="5" t="e">
        <f ca="1">IF(OR(INDEX($AI$2:$AI$1001,MATCH(ROWS($AH$2:AH821),$AH$2:$AH$1001,0),1)&gt;=100000,INDEX($AO$1005:$BQ$1005,1,MATCH(COLUMNS($AO$1006:BQ1006),$AO$1006:$BQ$1006,0))&gt;=100000), " ",IF(INDEX($AO$2:$BQ$1001,MATCH(ROWS($AH$2:AH821),$AH$2:$AH$1001,0),MATCH(COLUMNS($AO$1006:BQ1006),$AO$1006:$BQ$1006,0)), HYPERLINK("#",""), HYPERLINK(CONCATENATE("#Metadata!", ADDRESS(INDEX($AJ$2:$AJ$1001,MATCH(ROWS($AH$2:AH821),$AH$2:$AH$1001,0),0), INDEX($AO$1004:$BQ$1004,1,MATCH(COLUMNS($AO$1006:BQ1006),$AO$1006:$BQ$1006,0)))),"Fix")))</f>
        <v>#REF!</v>
      </c>
      <c r="AH821">
        <f ca="1"/>
        <v>818</v>
      </c>
      <c r="AI821">
        <v>100821</v>
      </c>
      <c r="AJ821">
        <v>821</v>
      </c>
      <c r="AK821" t="b">
        <f t="shared" si="12"/>
        <v>1</v>
      </c>
      <c r="AL821" t="b">
        <f>COUNTBLANK(Metadata!B821:AD821)=COLUMNS(Metadata!B821:AD821)</f>
        <v>1</v>
      </c>
      <c r="AM821" t="str">
        <v/>
      </c>
      <c r="AO821" t="b">
        <f ca="1">AND(IF(Metadata!B821="",FALSE,TRUE),COUNTIF(Metadata!B:B, Metadata!B821) = 1,NOT(ISERROR(SUMPRODUCT(SEARCH(MID(Metadata!B821,ROW(INDIRECT("1:"&amp;LEN(Metadata!B821))), 1),"0123456789abcdefghijklmnopqrstuvwxyzABCDEFGHIJKLMNOPQRSTUVWXYZ.")))))</f>
        <v>0</v>
      </c>
      <c r="AP821" t="b">
        <f>IF(Metadata!C821="",FALSE,TRUE)</f>
        <v>0</v>
      </c>
      <c r="AQ821" t="b">
        <f>IF(Metadata!D821="",FALSE,TRUE)</f>
        <v>0</v>
      </c>
      <c r="AR821" t="b">
        <f ca="1">OR(AND(IF(Metadata!E821="",FALSE,TRUE),OR(EXACT(Metadata!E821,"not collected"),EXACT(Metadata!E821,"not provided"),EXACT(Metadata!E821,"restricted access"))),AND(IF(Metadata!E821="",FALSE,TRUE),AND(AND(IFERROR(INT(LEFT(Metadata!E821,4))&gt;1900,FALSE),IFERROR(INT(LEFT(Metadata!E821,4))&lt;=YEAR(NOW()),FALSE)), OR(MID(Metadata!E821,5,1)="", AND(AND(MID(Metadata!E821,5,1)="-",IFERROR(INT(MID(Metadata!E821,6,1))&gt;=0,FALSE),IFERROR(INT(MID(Metadata!E821,6,1))&lt;=1,FALSE),NOT(MID(Metadata!E821,7,1)=""),IFERROR(INT(MID(Metadata!E821,6,2))&gt;=1,FALSE),IFERROR(INT(MID(Metadata!E821,6,2))&lt;=12,FALSE)), OR(MID(Metadata!E821,8,1)="", AND(AND(MID(Metadata!E821,8,1)="-",IFERROR(INT(MID(Metadata!E821,9,1))&gt;=0,FALSE),IFERROR(INT(MID(Metadata!E821,9,1))&lt;=3,FALSE),NOT(MID(Metadata!E821,10,1)=""),IFERROR(INT(MID(Metadata!E821,9,2))&gt;=1,FALSE),IFERROR(INT(MID(Metadata!E821,9,2))&lt;=31,FALSE)), OR(MID(Metadata!E821,11,1)="", AND(AND(MID(Metadata!E821,11,1)=" ",IFERROR(INT(MID(Metadata!E821,12,1))&gt;=0,FALSE),IFERROR(INT(MID(Metadata!E821,12,1))&lt;=2,FALSE),NOT(MID(Metadata!E821,13,1)=""),IFERROR(INT(MID(Metadata!E821,12,2))&gt;=0,FALSE),IFERROR(INT(MID(Metadata!E821,12,2))&lt;=23,FALSE)), OR(MID(Metadata!E821,14,1)="", AND(AND(MID(Metadata!E821,14,1)=":",IFERROR(INT(MID(Metadata!E821,15,1))&gt;=0,FALSE),IFERROR(INT(MID(Metadata!E821,15,1))&lt;=5,FALSE),NOT(MID(Metadata!E821,16,1)=""),IFERROR(INT(MID(Metadata!E821,15,2))&gt;=0,FALSE),IFERROR(INT(MID(Metadata!E821,15,2))&lt;=59,FALSE)), OR(MID(Metadata!E821,17,1)="", AND(AND(MID(Metadata!E821,17,1)=":",IFERROR(INT(MID(Metadata!E821,18,1))&gt;=0,FALSE),IFERROR(INT(MID(Metadata!E821,18,1))&lt;=5,FALSE),NOT(MID(Metadata!E821,19,1)=""),IFERROR(INT(MID(Metadata!E821,18,2))&gt;=0,FALSE),IFERROR(INT(MID(Metadata!E821,18,2))&lt;=59,FALSE)), LEN(Metadata!E821)&lt;=19)))))))))))))</f>
        <v>0</v>
      </c>
      <c r="AS821" t="b">
        <f>IF(Metadata!F821="",FALSE,TRUE)</f>
        <v>0</v>
      </c>
      <c r="AT821" t="b">
        <f>OR(AND(IF(Metadata!G821="",FALSE,TRUE),OR(EXACT(Metadata!G821,"not collected"),EXACT(Metadata!G821,"not provided"))),AND(IF(Metadata!G821="",FALSE,TRUE),OR(EXACT(Metadata!G821,"TRUE"),EXACT(Metadata!G821,"FALSE"))))</f>
        <v>0</v>
      </c>
      <c r="AU821" t="b">
        <f>OR(AND(IF(Metadata!H821="",FALSE,TRUE),OR(EXACT(Metadata!H821,"not collected"),EXACT(Metadata!H821,"not provided"),EXACT(Metadata!H821,"restricted access"))),AND(IF(Metadata!H821="",FALSE,ISNUMBER(VALUE(Metadata!H821))),Metadata!H821&gt;=-413))</f>
        <v>0</v>
      </c>
      <c r="AV821" t="b">
        <f>AND(IF(Metadata!I821="",FALSE,TRUE),EXACT(Metadata!I821,"meters"))</f>
        <v>0</v>
      </c>
      <c r="AW821" t="b">
        <f>AND(IF(Metadata!J821="",FALSE,TRUE),EXACT(Metadata!J821,"free-living"))</f>
        <v>0</v>
      </c>
      <c r="AX821" t="b">
        <f>AND(IF(Metadata!K821="",FALSE,TRUE),OR(EXACT(Metadata!K821,"saline"),EXACT(Metadata!K821,"non-saline")))</f>
        <v>0</v>
      </c>
      <c r="AY821" t="b">
        <f>AND(IF(Metadata!L821="",FALSE,TRUE),OR(EXACT(Metadata!L821,"sub-surface (non-saline)"),EXACT(Metadata!L821,"surface (non-saline)"),EXACT(Metadata!L821,"water (non-saline)"),EXACT(Metadata!L821,"soil (non-saline)"),EXACT(Metadata!L821,"aerosol (non-saline)"),EXACT(Metadata!L821,"sediment (non-saline)"),EXACT(Metadata!L821,"surface (saline)"),EXACT(Metadata!L821,"water (saline)"),EXACT(Metadata!L821,"hypersaline (saline)"),EXACT(Metadata!L821,"aerosol (saline)"),EXACT(Metadata!L821,"sediment (saline)")))</f>
        <v>0</v>
      </c>
      <c r="AZ821" t="b">
        <f>IF(Metadata!M821="",FALSE,TRUE)</f>
        <v>0</v>
      </c>
      <c r="BA821" t="b">
        <f>IF(Metadata!N821="",FALSE,TRUE)</f>
        <v>0</v>
      </c>
      <c r="BB821" t="b">
        <f>IF(Metadata!O821="",FALSE,TRUE)</f>
        <v>0</v>
      </c>
      <c r="BC821" t="b">
        <f>AND(IF(Metadata!P821="",FALSE,TRUE),OR(EXACT(Metadata!P821,"air"),EXACT(Metadata!P821,"microbial mat/biofilm"),EXACT(Metadata!P821,"misc environment"),EXACT(Metadata!P821,"sediment"),EXACT(Metadata!P821,"soil"),EXACT(Metadata!P821,"wastewater/sludge"),EXACT(Metadata!P821,"water")))</f>
        <v>0</v>
      </c>
      <c r="BD821" t="b">
        <f>IF(Metadata!Q821="",FALSE,TRUE)</f>
        <v>0</v>
      </c>
      <c r="BE821" t="b">
        <f>IF(Metadata!R821="",FALSE,TRUE)</f>
        <v>0</v>
      </c>
      <c r="BF821" t="b">
        <f>OR(AND(IF(Metadata!S821="",FALSE,TRUE),OR(EXACT(Metadata!S821,"not collected"),EXACT(Metadata!S821,"not provided"),EXACT(Metadata!S821,"restricted access"))),AND(IF(Metadata!S821="",FALSE,ISNUMBER(VALUE(Metadata!S821))),Metadata!S821&gt;=-90,Metadata!S821&lt;=90))</f>
        <v>0</v>
      </c>
      <c r="BG821" t="b">
        <f>AND(IF(Metadata!T821="",FALSE,TRUE),EXACT(Metadata!T821,"Decimal degrees"))</f>
        <v>0</v>
      </c>
      <c r="BH821" t="b">
        <f>OR(AND(IF(Metadata!U821="",FALSE,TRUE),OR(EXACT(Metadata!U821,"not applicable"),EXACT(Metadata!U821,"not collected"))),IF(Metadata!U821="",FALSE,TRUE))</f>
        <v>0</v>
      </c>
      <c r="BI821" t="b">
        <f>OR(AND(IF(Metadata!V821="",FALSE,TRUE),OR(EXACT(Metadata!V821,"not collected"),EXACT(Metadata!V821,"not provided"),EXACT(Metadata!V821,"restricted access"))),AND(IF(Metadata!V821="",FALSE,ISNUMBER(VALUE(Metadata!V821))),Metadata!V821&gt;=-180,Metadata!V821&lt;=180))</f>
        <v>0</v>
      </c>
      <c r="BJ821" t="b">
        <f>AND(IF(Metadata!W821="",FALSE,TRUE),EXACT(Metadata!W821,"Decimal degrees"))</f>
        <v>0</v>
      </c>
      <c r="BK821" t="b">
        <f>IF(Metadata!X821="",FALSE,TRUE)</f>
        <v>0</v>
      </c>
      <c r="BL821" t="b">
        <f>OR(AND(IF(Metadata!Y821="",FALSE,TRUE),OR(EXACT(Metadata!Y821,"not collected"),EXACT(Metadata!Y821,"not provided"),EXACT(Metadata!Y821,"restricted access"))),AND(IF(Metadata!Y821="",FALSE,TRUE),OR(EXACT(Metadata!Y821,"TRUE"),EXACT(Metadata!Y821,"FALSE"))))</f>
        <v>0</v>
      </c>
      <c r="BM821" t="b">
        <f>OR(AND(IF(Metadata!Z821="",FALSE,TRUE),EXACT(Metadata!Z821,"not applicable")),AND(IF(Metadata!Z821="",FALSE,TRUE),OR(EXACT(Metadata!Z821,"beer"),EXACT(Metadata!Z821,"cheese"),EXACT(Metadata!Z821,"fresh water"),EXACT(Metadata!Z821,"marine sediment"),EXACT(Metadata!Z821,"sea water"),EXACT(Metadata!Z821,"sediment"),EXACT(Metadata!Z821,"soil"),EXACT(Metadata!Z821,"waste water"))))</f>
        <v>0</v>
      </c>
      <c r="BN821" t="b">
        <f>AND(IF(Metadata!AA821="",FALSE,TRUE),EXACT(Metadata!AA821,"metagenome"))</f>
        <v>0</v>
      </c>
      <c r="BO821" t="b">
        <f>AND(IF(Metadata!AB821="",FALSE,TRUE),EXACT(Metadata!AB821,"256318"))</f>
        <v>0</v>
      </c>
      <c r="BP821" t="b">
        <f>IF(Metadata!AC821="",FALSE,TRUE)</f>
        <v>0</v>
      </c>
      <c r="BQ821" t="b">
        <f>IF(Metadata!AD821="",FALSE,TRUE)</f>
        <v>0</v>
      </c>
    </row>
    <row r="822" spans="1:69" x14ac:dyDescent="0.2">
      <c r="A822" s="4" t="e">
        <f ca="1">IF(B822=" "," ",HYPERLINK(CONCATENATE("#metadata!",ADDRESS(INDEX($AJ$2:$AJ$1001,MATCH(ROWS($AH$2:AH822),$AH$2:$AH$1001,0),0),2)),INDEX($AM$2:$AM$1001,MATCH(ROWS($AH$2:AH822),$AH$2:$AH$1001,0),0)))</f>
        <v>#N/A</v>
      </c>
      <c r="B822" s="5" t="e">
        <f ca="1">IF(OR(INDEX($AI$2:$AI$1001,MATCH(ROWS($AH$2:AH822),$AH$2:$AH$1001,0),1)&gt;=100000,INDEX($AO$1005:$BQ$1005,1,MATCH(COLUMNS($AO$1006:AO1006),$AO$1006:$BQ$1006,0))&gt;=100000), " ",IF(INDEX($AO$2:$BQ$1001,MATCH(ROWS($AH$2:AH822),$AH$2:$AH$1001,0),MATCH(COLUMNS($AO$1006:AO1006),$AO$1006:$BQ$1006,0)), HYPERLINK("#",""), HYPERLINK(CONCATENATE("#Metadata!", ADDRESS(INDEX($AJ$2:$AJ$1001,MATCH(ROWS($AH$2:AH822),$AH$2:$AH$1001,0),0), INDEX($AO$1004:$BQ$1004,1,MATCH(COLUMNS($AO$1006:AO1006),$AO$1006:$BQ$1006,0)))),"Fix")))</f>
        <v>#N/A</v>
      </c>
      <c r="C822" s="5" t="e">
        <f ca="1">IF(OR(INDEX($AI$2:$AI$1001,MATCH(ROWS($AH$2:AH822),$AH$2:$AH$1001,0),1)&gt;=100000,INDEX($AO$1005:$BQ$1005,1,MATCH(COLUMNS($AO$1006:AP1006),$AO$1006:$BQ$1006,0))&gt;=100000), " ",IF(INDEX($AO$2:$BQ$1001,MATCH(ROWS($AH$2:AH822),$AH$2:$AH$1001,0),MATCH(COLUMNS($AO$1006:AP1006),$AO$1006:$BQ$1006,0)), HYPERLINK("#",""), HYPERLINK(CONCATENATE("#Metadata!", ADDRESS(INDEX($AJ$2:$AJ$1001,MATCH(ROWS($AH$2:AH822),$AH$2:$AH$1001,0),0), INDEX($AO$1004:$BQ$1004,1,MATCH(COLUMNS($AO$1006:AP1006),$AO$1006:$BQ$1006,0)))),"Fix")))</f>
        <v>#N/A</v>
      </c>
      <c r="D822" s="5" t="e">
        <f ca="1">IF(OR(INDEX($AI$2:$AI$1001,MATCH(ROWS($AH$2:AH822),$AH$2:$AH$1001,0),1)&gt;=100000,INDEX($AO$1005:$BQ$1005,1,MATCH(COLUMNS($AO$1006:AQ1006),$AO$1006:$BQ$1006,0))&gt;=100000), " ",IF(INDEX($AO$2:$BQ$1001,MATCH(ROWS($AH$2:AH822),$AH$2:$AH$1001,0),MATCH(COLUMNS($AO$1006:AQ1006),$AO$1006:$BQ$1006,0)), HYPERLINK("#",""), HYPERLINK(CONCATENATE("#Metadata!", ADDRESS(INDEX($AJ$2:$AJ$1001,MATCH(ROWS($AH$2:AH822),$AH$2:$AH$1001,0),0), INDEX($AO$1004:$BQ$1004,1,MATCH(COLUMNS($AO$1006:AQ1006),$AO$1006:$BQ$1006,0)))),"Fix")))</f>
        <v>#N/A</v>
      </c>
      <c r="E822" s="5" t="e">
        <f ca="1">IF(OR(INDEX($AI$2:$AI$1001,MATCH(ROWS($AH$2:AH822),$AH$2:$AH$1001,0),1)&gt;=100000,INDEX($AO$1005:$BQ$1005,1,MATCH(COLUMNS($AO$1006:AR1006),$AO$1006:$BQ$1006,0))&gt;=100000), " ",IF(INDEX($AO$2:$BQ$1001,MATCH(ROWS($AH$2:AH822),$AH$2:$AH$1001,0),MATCH(COLUMNS($AO$1006:AR1006),$AO$1006:$BQ$1006,0)), HYPERLINK("#",""), HYPERLINK(CONCATENATE("#Metadata!", ADDRESS(INDEX($AJ$2:$AJ$1001,MATCH(ROWS($AH$2:AH822),$AH$2:$AH$1001,0),0), INDEX($AO$1004:$BQ$1004,1,MATCH(COLUMNS($AO$1006:AR1006),$AO$1006:$BQ$1006,0)))),"Fix")))</f>
        <v>#N/A</v>
      </c>
      <c r="F822" s="5" t="e">
        <f ca="1">IF(OR(INDEX($AI$2:$AI$1001,MATCH(ROWS($AH$2:AH822),$AH$2:$AH$1001,0),1)&gt;=100000,INDEX($AO$1005:$BQ$1005,1,MATCH(COLUMNS($AO$1006:AS1006),$AO$1006:$BQ$1006,0))&gt;=100000), " ",IF(INDEX($AO$2:$BQ$1001,MATCH(ROWS($AH$2:AH822),$AH$2:$AH$1001,0),MATCH(COLUMNS($AO$1006:AS1006),$AO$1006:$BQ$1006,0)), HYPERLINK("#",""), HYPERLINK(CONCATENATE("#Metadata!", ADDRESS(INDEX($AJ$2:$AJ$1001,MATCH(ROWS($AH$2:AH822),$AH$2:$AH$1001,0),0), INDEX($AO$1004:$BQ$1004,1,MATCH(COLUMNS($AO$1006:AS1006),$AO$1006:$BQ$1006,0)))),"Fix")))</f>
        <v>#N/A</v>
      </c>
      <c r="G822" s="5" t="e">
        <f ca="1">IF(OR(INDEX($AI$2:$AI$1001,MATCH(ROWS($AH$2:AH822),$AH$2:$AH$1001,0),1)&gt;=100000,INDEX($AO$1005:$BQ$1005,1,MATCH(COLUMNS($AO$1006:AT1006),$AO$1006:$BQ$1006,0))&gt;=100000), " ",IF(INDEX($AO$2:$BQ$1001,MATCH(ROWS($AH$2:AH822),$AH$2:$AH$1001,0),MATCH(COLUMNS($AO$1006:AT1006),$AO$1006:$BQ$1006,0)), HYPERLINK("#",""), HYPERLINK(CONCATENATE("#Metadata!", ADDRESS(INDEX($AJ$2:$AJ$1001,MATCH(ROWS($AH$2:AH822),$AH$2:$AH$1001,0),0), INDEX($AO$1004:$BQ$1004,1,MATCH(COLUMNS($AO$1006:AT1006),$AO$1006:$BQ$1006,0)))),"Fix")))</f>
        <v>#N/A</v>
      </c>
      <c r="H822" s="5" t="e">
        <f ca="1">IF(OR(INDEX($AI$2:$AI$1001,MATCH(ROWS($AH$2:AH822),$AH$2:$AH$1001,0),1)&gt;=100000,INDEX($AO$1005:$BQ$1005,1,MATCH(COLUMNS($AO$1006:AU1006),$AO$1006:$BQ$1006,0))&gt;=100000), " ",IF(INDEX($AO$2:$BQ$1001,MATCH(ROWS($AH$2:AH822),$AH$2:$AH$1001,0),MATCH(COLUMNS($AO$1006:AU1006),$AO$1006:$BQ$1006,0)), HYPERLINK("#",""), HYPERLINK(CONCATENATE("#Metadata!", ADDRESS(INDEX($AJ$2:$AJ$1001,MATCH(ROWS($AH$2:AH822),$AH$2:$AH$1001,0),0), INDEX($AO$1004:$BQ$1004,1,MATCH(COLUMNS($AO$1006:AU1006),$AO$1006:$BQ$1006,0)))),"Fix")))</f>
        <v>#N/A</v>
      </c>
      <c r="I822" s="5" t="e">
        <f ca="1">IF(OR(INDEX($AI$2:$AI$1001,MATCH(ROWS($AH$2:AH822),$AH$2:$AH$1001,0),1)&gt;=100000,INDEX($AO$1005:$BQ$1005,1,MATCH(COLUMNS($AO$1006:AV1006),$AO$1006:$BQ$1006,0))&gt;=100000), " ",IF(INDEX($AO$2:$BQ$1001,MATCH(ROWS($AH$2:AH822),$AH$2:$AH$1001,0),MATCH(COLUMNS($AO$1006:AV1006),$AO$1006:$BQ$1006,0)), HYPERLINK("#",""), HYPERLINK(CONCATENATE("#Metadata!", ADDRESS(INDEX($AJ$2:$AJ$1001,MATCH(ROWS($AH$2:AH822),$AH$2:$AH$1001,0),0), INDEX($AO$1004:$BQ$1004,1,MATCH(COLUMNS($AO$1006:AV1006),$AO$1006:$BQ$1006,0)))),"Fix")))</f>
        <v>#N/A</v>
      </c>
      <c r="J822" s="5" t="e">
        <f ca="1">IF(OR(INDEX($AI$2:$AI$1001,MATCH(ROWS($AH$2:AH822),$AH$2:$AH$1001,0),1)&gt;=100000,INDEX($AO$1005:$BQ$1005,1,MATCH(COLUMNS($AO$1006:AW1006),$AO$1006:$BQ$1006,0))&gt;=100000), " ",IF(INDEX($AO$2:$BQ$1001,MATCH(ROWS($AH$2:AH822),$AH$2:$AH$1001,0),MATCH(COLUMNS($AO$1006:AW1006),$AO$1006:$BQ$1006,0)), HYPERLINK("#",""), HYPERLINK(CONCATENATE("#Metadata!", ADDRESS(INDEX($AJ$2:$AJ$1001,MATCH(ROWS($AH$2:AH822),$AH$2:$AH$1001,0),0), INDEX($AO$1004:$BQ$1004,1,MATCH(COLUMNS($AO$1006:AW1006),$AO$1006:$BQ$1006,0)))),"Fix")))</f>
        <v>#N/A</v>
      </c>
      <c r="K822" s="5" t="e">
        <f ca="1">IF(OR(INDEX($AI$2:$AI$1001,MATCH(ROWS($AH$2:AH822),$AH$2:$AH$1001,0),1)&gt;=100000,INDEX($AO$1005:$BQ$1005,1,MATCH(COLUMNS($AO$1006:AX1006),$AO$1006:$BQ$1006,0))&gt;=100000), " ",IF(INDEX($AO$2:$BQ$1001,MATCH(ROWS($AH$2:AH822),$AH$2:$AH$1001,0),MATCH(COLUMNS($AO$1006:AX1006),$AO$1006:$BQ$1006,0)), HYPERLINK("#",""), HYPERLINK(CONCATENATE("#Metadata!", ADDRESS(INDEX($AJ$2:$AJ$1001,MATCH(ROWS($AH$2:AH822),$AH$2:$AH$1001,0),0), INDEX($AO$1004:$BQ$1004,1,MATCH(COLUMNS($AO$1006:AX1006),$AO$1006:$BQ$1006,0)))),"Fix")))</f>
        <v>#N/A</v>
      </c>
      <c r="L822" s="5" t="e">
        <f ca="1">IF(OR(INDEX($AI$2:$AI$1001,MATCH(ROWS($AH$2:AH822),$AH$2:$AH$1001,0),1)&gt;=100000,INDEX($AO$1005:$BQ$1005,1,MATCH(COLUMNS($AO$1006:AY1006),$AO$1006:$BQ$1006,0))&gt;=100000), " ",IF(INDEX($AO$2:$BQ$1001,MATCH(ROWS($AH$2:AH822),$AH$2:$AH$1001,0),MATCH(COLUMNS($AO$1006:AY1006),$AO$1006:$BQ$1006,0)), HYPERLINK("#",""), HYPERLINK(CONCATENATE("#Metadata!", ADDRESS(INDEX($AJ$2:$AJ$1001,MATCH(ROWS($AH$2:AH822),$AH$2:$AH$1001,0),0), INDEX($AO$1004:$BQ$1004,1,MATCH(COLUMNS($AO$1006:AY1006),$AO$1006:$BQ$1006,0)))),"Fix")))</f>
        <v>#N/A</v>
      </c>
      <c r="M822" s="5" t="e">
        <f ca="1">IF(OR(INDEX($AI$2:$AI$1001,MATCH(ROWS($AH$2:AH822),$AH$2:$AH$1001,0),1)&gt;=100000,INDEX($AO$1005:$BQ$1005,1,MATCH(COLUMNS($AO$1006:AZ1006),$AO$1006:$BQ$1006,0))&gt;=100000), " ",IF(INDEX($AO$2:$BQ$1001,MATCH(ROWS($AH$2:AH822),$AH$2:$AH$1001,0),MATCH(COLUMNS($AO$1006:AZ1006),$AO$1006:$BQ$1006,0)), HYPERLINK("#",""), HYPERLINK(CONCATENATE("#Metadata!", ADDRESS(INDEX($AJ$2:$AJ$1001,MATCH(ROWS($AH$2:AH822),$AH$2:$AH$1001,0),0), INDEX($AO$1004:$BQ$1004,1,MATCH(COLUMNS($AO$1006:AZ1006),$AO$1006:$BQ$1006,0)))),"Fix")))</f>
        <v>#N/A</v>
      </c>
      <c r="N822" s="5" t="e">
        <f ca="1">IF(OR(INDEX($AI$2:$AI$1001,MATCH(ROWS($AH$2:AH822),$AH$2:$AH$1001,0),1)&gt;=100000,INDEX($AO$1005:$BQ$1005,1,MATCH(COLUMNS($AO$1006:BA1006),$AO$1006:$BQ$1006,0))&gt;=100000), " ",IF(INDEX($AO$2:$BQ$1001,MATCH(ROWS($AH$2:AH822),$AH$2:$AH$1001,0),MATCH(COLUMNS($AO$1006:BA1006),$AO$1006:$BQ$1006,0)), HYPERLINK("#",""), HYPERLINK(CONCATENATE("#Metadata!", ADDRESS(INDEX($AJ$2:$AJ$1001,MATCH(ROWS($AH$2:AH822),$AH$2:$AH$1001,0),0), INDEX($AO$1004:$BQ$1004,1,MATCH(COLUMNS($AO$1006:BA1006),$AO$1006:$BQ$1006,0)))),"Fix")))</f>
        <v>#N/A</v>
      </c>
      <c r="O822" s="5" t="e">
        <f ca="1">IF(OR(INDEX($AI$2:$AI$1001,MATCH(ROWS($AH$2:AH822),$AH$2:$AH$1001,0),1)&gt;=100000,INDEX($AO$1005:$BQ$1005,1,MATCH(COLUMNS($AO$1006:BB1006),$AO$1006:$BQ$1006,0))&gt;=100000), " ",IF(INDEX($AO$2:$BQ$1001,MATCH(ROWS($AH$2:AH822),$AH$2:$AH$1001,0),MATCH(COLUMNS($AO$1006:BB1006),$AO$1006:$BQ$1006,0)), HYPERLINK("#",""), HYPERLINK(CONCATENATE("#Metadata!", ADDRESS(INDEX($AJ$2:$AJ$1001,MATCH(ROWS($AH$2:AH822),$AH$2:$AH$1001,0),0), INDEX($AO$1004:$BQ$1004,1,MATCH(COLUMNS($AO$1006:BB1006),$AO$1006:$BQ$1006,0)))),"Fix")))</f>
        <v>#N/A</v>
      </c>
      <c r="P822" s="5" t="e">
        <f ca="1">IF(OR(INDEX($AI$2:$AI$1001,MATCH(ROWS($AH$2:AH822),$AH$2:$AH$1001,0),1)&gt;=100000,INDEX($AO$1005:$BQ$1005,1,MATCH(COLUMNS($AO$1006:BC1006),$AO$1006:$BQ$1006,0))&gt;=100000), " ",IF(INDEX($AO$2:$BQ$1001,MATCH(ROWS($AH$2:AH822),$AH$2:$AH$1001,0),MATCH(COLUMNS($AO$1006:BC1006),$AO$1006:$BQ$1006,0)), HYPERLINK("#",""), HYPERLINK(CONCATENATE("#Metadata!", ADDRESS(INDEX($AJ$2:$AJ$1001,MATCH(ROWS($AH$2:AH822),$AH$2:$AH$1001,0),0), INDEX($AO$1004:$BQ$1004,1,MATCH(COLUMNS($AO$1006:BC1006),$AO$1006:$BQ$1006,0)))),"Fix")))</f>
        <v>#N/A</v>
      </c>
      <c r="Q822" s="5" t="e">
        <f ca="1">IF(OR(INDEX($AI$2:$AI$1001,MATCH(ROWS($AH$2:AH822),$AH$2:$AH$1001,0),1)&gt;=100000,INDEX($AO$1005:$BQ$1005,1,MATCH(COLUMNS($AO$1006:BD1006),$AO$1006:$BQ$1006,0))&gt;=100000), " ",IF(INDEX($AO$2:$BQ$1001,MATCH(ROWS($AH$2:AH822),$AH$2:$AH$1001,0),MATCH(COLUMNS($AO$1006:BD1006),$AO$1006:$BQ$1006,0)), HYPERLINK("#",""), HYPERLINK(CONCATENATE("#Metadata!", ADDRESS(INDEX($AJ$2:$AJ$1001,MATCH(ROWS($AH$2:AH822),$AH$2:$AH$1001,0),0), INDEX($AO$1004:$BQ$1004,1,MATCH(COLUMNS($AO$1006:BD1006),$AO$1006:$BQ$1006,0)))),"Fix")))</f>
        <v>#N/A</v>
      </c>
      <c r="R822" s="5" t="e">
        <f ca="1">IF(OR(INDEX($AI$2:$AI$1001,MATCH(ROWS($AH$2:AH822),$AH$2:$AH$1001,0),1)&gt;=100000,INDEX($AO$1005:$BQ$1005,1,MATCH(COLUMNS($AO$1006:BE1006),$AO$1006:$BQ$1006,0))&gt;=100000), " ",IF(INDEX($AO$2:$BQ$1001,MATCH(ROWS($AH$2:AH822),$AH$2:$AH$1001,0),MATCH(COLUMNS($AO$1006:BE1006),$AO$1006:$BQ$1006,0)), HYPERLINK("#",""), HYPERLINK(CONCATENATE("#Metadata!", ADDRESS(INDEX($AJ$2:$AJ$1001,MATCH(ROWS($AH$2:AH822),$AH$2:$AH$1001,0),0), INDEX($AO$1004:$BQ$1004,1,MATCH(COLUMNS($AO$1006:BE1006),$AO$1006:$BQ$1006,0)))),"Fix")))</f>
        <v>#N/A</v>
      </c>
      <c r="S822" s="5" t="e">
        <f ca="1">IF(OR(INDEX($AI$2:$AI$1001,MATCH(ROWS($AH$2:AH822),$AH$2:$AH$1001,0),1)&gt;=100000,INDEX($AO$1005:$BQ$1005,1,MATCH(COLUMNS($AO$1006:BF1006),$AO$1006:$BQ$1006,0))&gt;=100000), " ",IF(INDEX($AO$2:$BQ$1001,MATCH(ROWS($AH$2:AH822),$AH$2:$AH$1001,0),MATCH(COLUMNS($AO$1006:BF1006),$AO$1006:$BQ$1006,0)), HYPERLINK("#",""), HYPERLINK(CONCATENATE("#Metadata!", ADDRESS(INDEX($AJ$2:$AJ$1001,MATCH(ROWS($AH$2:AH822),$AH$2:$AH$1001,0),0), INDEX($AO$1004:$BQ$1004,1,MATCH(COLUMNS($AO$1006:BF1006),$AO$1006:$BQ$1006,0)))),"Fix")))</f>
        <v>#N/A</v>
      </c>
      <c r="T822" s="5" t="e">
        <f ca="1">IF(OR(INDEX($AI$2:$AI$1001,MATCH(ROWS($AH$2:AH822),$AH$2:$AH$1001,0),1)&gt;=100000,INDEX($AO$1005:$BQ$1005,1,MATCH(COLUMNS($AO$1006:BG1006),$AO$1006:$BQ$1006,0))&gt;=100000), " ",IF(INDEX($AO$2:$BQ$1001,MATCH(ROWS($AH$2:AH822),$AH$2:$AH$1001,0),MATCH(COLUMNS($AO$1006:BG1006),$AO$1006:$BQ$1006,0)), HYPERLINK("#",""), HYPERLINK(CONCATENATE("#Metadata!", ADDRESS(INDEX($AJ$2:$AJ$1001,MATCH(ROWS($AH$2:AH822),$AH$2:$AH$1001,0),0), INDEX($AO$1004:$BQ$1004,1,MATCH(COLUMNS($AO$1006:BG1006),$AO$1006:$BQ$1006,0)))),"Fix")))</f>
        <v>#N/A</v>
      </c>
      <c r="U822" s="5" t="e">
        <f ca="1">IF(OR(INDEX($AI$2:$AI$1001,MATCH(ROWS($AH$2:AH822),$AH$2:$AH$1001,0),1)&gt;=100000,INDEX($AO$1005:$BQ$1005,1,MATCH(COLUMNS($AO$1006:BH1006),$AO$1006:$BQ$1006,0))&gt;=100000), " ",IF(INDEX($AO$2:$BQ$1001,MATCH(ROWS($AH$2:AH822),$AH$2:$AH$1001,0),MATCH(COLUMNS($AO$1006:BH1006),$AO$1006:$BQ$1006,0)), HYPERLINK("#",""), HYPERLINK(CONCATENATE("#Metadata!", ADDRESS(INDEX($AJ$2:$AJ$1001,MATCH(ROWS($AH$2:AH822),$AH$2:$AH$1001,0),0), INDEX($AO$1004:$BQ$1004,1,MATCH(COLUMNS($AO$1006:BH1006),$AO$1006:$BQ$1006,0)))),"Fix")))</f>
        <v>#N/A</v>
      </c>
      <c r="V822" s="5" t="e">
        <f ca="1">IF(OR(INDEX($AI$2:$AI$1001,MATCH(ROWS($AH$2:AH822),$AH$2:$AH$1001,0),1)&gt;=100000,INDEX($AO$1005:$BQ$1005,1,MATCH(COLUMNS($AO$1006:BI1006),$AO$1006:$BQ$1006,0))&gt;=100000), " ",IF(INDEX($AO$2:$BQ$1001,MATCH(ROWS($AH$2:AH822),$AH$2:$AH$1001,0),MATCH(COLUMNS($AO$1006:BI1006),$AO$1006:$BQ$1006,0)), HYPERLINK("#",""), HYPERLINK(CONCATENATE("#Metadata!", ADDRESS(INDEX($AJ$2:$AJ$1001,MATCH(ROWS($AH$2:AH822),$AH$2:$AH$1001,0),0), INDEX($AO$1004:$BQ$1004,1,MATCH(COLUMNS($AO$1006:BI1006),$AO$1006:$BQ$1006,0)))),"Fix")))</f>
        <v>#N/A</v>
      </c>
      <c r="W822" s="5" t="e">
        <f ca="1">IF(OR(INDEX($AI$2:$AI$1001,MATCH(ROWS($AH$2:AH822),$AH$2:$AH$1001,0),1)&gt;=100000,INDEX($AO$1005:$BQ$1005,1,MATCH(COLUMNS($AO$1006:BJ1006),$AO$1006:$BQ$1006,0))&gt;=100000), " ",IF(INDEX($AO$2:$BQ$1001,MATCH(ROWS($AH$2:AH822),$AH$2:$AH$1001,0),MATCH(COLUMNS($AO$1006:BJ1006),$AO$1006:$BQ$1006,0)), HYPERLINK("#",""), HYPERLINK(CONCATENATE("#Metadata!", ADDRESS(INDEX($AJ$2:$AJ$1001,MATCH(ROWS($AH$2:AH822),$AH$2:$AH$1001,0),0), INDEX($AO$1004:$BQ$1004,1,MATCH(COLUMNS($AO$1006:BJ1006),$AO$1006:$BQ$1006,0)))),"Fix")))</f>
        <v>#N/A</v>
      </c>
      <c r="X822" s="5" t="e">
        <f ca="1">IF(OR(INDEX($AI$2:$AI$1001,MATCH(ROWS($AH$2:AH822),$AH$2:$AH$1001,0),1)&gt;=100000,INDEX($AO$1005:$BQ$1005,1,MATCH(COLUMNS($AO$1006:BK1006),$AO$1006:$BQ$1006,0))&gt;=100000), " ",IF(INDEX($AO$2:$BQ$1001,MATCH(ROWS($AH$2:AH822),$AH$2:$AH$1001,0),MATCH(COLUMNS($AO$1006:BK1006),$AO$1006:$BQ$1006,0)), HYPERLINK("#",""), HYPERLINK(CONCATENATE("#Metadata!", ADDRESS(INDEX($AJ$2:$AJ$1001,MATCH(ROWS($AH$2:AH822),$AH$2:$AH$1001,0),0), INDEX($AO$1004:$BQ$1004,1,MATCH(COLUMNS($AO$1006:BK1006),$AO$1006:$BQ$1006,0)))),"Fix")))</f>
        <v>#N/A</v>
      </c>
      <c r="Y822" s="5" t="e">
        <f ca="1">IF(OR(INDEX($AI$2:$AI$1001,MATCH(ROWS($AH$2:AH822),$AH$2:$AH$1001,0),1)&gt;=100000,INDEX($AO$1005:$BQ$1005,1,MATCH(COLUMNS($AO$1006:BL1006),$AO$1006:$BQ$1006,0))&gt;=100000), " ",IF(INDEX($AO$2:$BQ$1001,MATCH(ROWS($AH$2:AH822),$AH$2:$AH$1001,0),MATCH(COLUMNS($AO$1006:BL1006),$AO$1006:$BQ$1006,0)), HYPERLINK("#",""), HYPERLINK(CONCATENATE("#Metadata!", ADDRESS(INDEX($AJ$2:$AJ$1001,MATCH(ROWS($AH$2:AH822),$AH$2:$AH$1001,0),0), INDEX($AO$1004:$BQ$1004,1,MATCH(COLUMNS($AO$1006:BL1006),$AO$1006:$BQ$1006,0)))),"Fix")))</f>
        <v>#N/A</v>
      </c>
      <c r="Z822" s="5" t="e">
        <f ca="1">IF(OR(INDEX($AI$2:$AI$1001,MATCH(ROWS($AH$2:AH822),$AH$2:$AH$1001,0),1)&gt;=100000,INDEX($AO$1005:$BQ$1005,1,MATCH(COLUMNS($AO$1006:BM1006),$AO$1006:$BQ$1006,0))&gt;=100000), " ",IF(INDEX($AO$2:$BQ$1001,MATCH(ROWS($AH$2:AH822),$AH$2:$AH$1001,0),MATCH(COLUMNS($AO$1006:BM1006),$AO$1006:$BQ$1006,0)), HYPERLINK("#",""), HYPERLINK(CONCATENATE("#Metadata!", ADDRESS(INDEX($AJ$2:$AJ$1001,MATCH(ROWS($AH$2:AH822),$AH$2:$AH$1001,0),0), INDEX($AO$1004:$BQ$1004,1,MATCH(COLUMNS($AO$1006:BM1006),$AO$1006:$BQ$1006,0)))),"Fix")))</f>
        <v>#N/A</v>
      </c>
      <c r="AA822" s="5" t="e">
        <f ca="1">IF(OR(INDEX($AI$2:$AI$1001,MATCH(ROWS($AH$2:AH822),$AH$2:$AH$1001,0),1)&gt;=100000,INDEX($AO$1005:$BQ$1005,1,MATCH(COLUMNS($AO$1006:BN1006),$AO$1006:$BQ$1006,0))&gt;=100000), " ",IF(INDEX($AO$2:$BQ$1001,MATCH(ROWS($AH$2:AH822),$AH$2:$AH$1001,0),MATCH(COLUMNS($AO$1006:BN1006),$AO$1006:$BQ$1006,0)), HYPERLINK("#",""), HYPERLINK(CONCATENATE("#Metadata!", ADDRESS(INDEX($AJ$2:$AJ$1001,MATCH(ROWS($AH$2:AH822),$AH$2:$AH$1001,0),0), INDEX($AO$1004:$BQ$1004,1,MATCH(COLUMNS($AO$1006:BN1006),$AO$1006:$BQ$1006,0)))),"Fix")))</f>
        <v>#N/A</v>
      </c>
      <c r="AB822" s="5" t="e">
        <f ca="1">IF(OR(INDEX($AI$2:$AI$1001,MATCH(ROWS($AH$2:AH822),$AH$2:$AH$1001,0),1)&gt;=100000,INDEX($AO$1005:$BQ$1005,1,MATCH(COLUMNS($AO$1006:BO1006),$AO$1006:$BQ$1006,0))&gt;=100000), " ",IF(INDEX($AO$2:$BQ$1001,MATCH(ROWS($AH$2:AH822),$AH$2:$AH$1001,0),MATCH(COLUMNS($AO$1006:BO1006),$AO$1006:$BQ$1006,0)), HYPERLINK("#",""), HYPERLINK(CONCATENATE("#Metadata!", ADDRESS(INDEX($AJ$2:$AJ$1001,MATCH(ROWS($AH$2:AH822),$AH$2:$AH$1001,0),0), INDEX($AO$1004:$BQ$1004,1,MATCH(COLUMNS($AO$1006:BO1006),$AO$1006:$BQ$1006,0)))),"Fix")))</f>
        <v>#N/A</v>
      </c>
      <c r="AC822" s="5" t="e">
        <f ca="1">IF(OR(INDEX($AI$2:$AI$1001,MATCH(ROWS($AH$2:AH822),$AH$2:$AH$1001,0),1)&gt;=100000,INDEX($AO$1005:$BQ$1005,1,MATCH(COLUMNS($AO$1006:BP1006),$AO$1006:$BQ$1006,0))&gt;=100000), " ",IF(INDEX($AO$2:$BQ$1001,MATCH(ROWS($AH$2:AH822),$AH$2:$AH$1001,0),MATCH(COLUMNS($AO$1006:BP1006),$AO$1006:$BQ$1006,0)), HYPERLINK("#",""), HYPERLINK(CONCATENATE("#Metadata!", ADDRESS(INDEX($AJ$2:$AJ$1001,MATCH(ROWS($AH$2:AH822),$AH$2:$AH$1001,0),0), INDEX($AO$1004:$BQ$1004,1,MATCH(COLUMNS($AO$1006:BP1006),$AO$1006:$BQ$1006,0)))),"Fix")))</f>
        <v>#N/A</v>
      </c>
      <c r="AD822" s="5" t="e">
        <f ca="1">IF(OR(INDEX($AI$2:$AI$1001,MATCH(ROWS($AH$2:AH822),$AH$2:$AH$1001,0),1)&gt;=100000,INDEX($AO$1005:$BQ$1005,1,MATCH(COLUMNS($AO$1006:BQ1006),$AO$1006:$BQ$1006,0))&gt;=100000), " ",IF(INDEX($AO$2:$BQ$1001,MATCH(ROWS($AH$2:AH822),$AH$2:$AH$1001,0),MATCH(COLUMNS($AO$1006:BQ1006),$AO$1006:$BQ$1006,0)), HYPERLINK("#",""), HYPERLINK(CONCATENATE("#Metadata!", ADDRESS(INDEX($AJ$2:$AJ$1001,MATCH(ROWS($AH$2:AH822),$AH$2:$AH$1001,0),0), INDEX($AO$1004:$BQ$1004,1,MATCH(COLUMNS($AO$1006:BQ1006),$AO$1006:$BQ$1006,0)))),"Fix")))</f>
        <v>#REF!</v>
      </c>
      <c r="AH822">
        <f ca="1"/>
        <v>819</v>
      </c>
      <c r="AI822">
        <v>100822</v>
      </c>
      <c r="AJ822">
        <v>822</v>
      </c>
      <c r="AK822" t="b">
        <f t="shared" si="12"/>
        <v>1</v>
      </c>
      <c r="AL822" t="b">
        <f>COUNTBLANK(Metadata!B822:AD822)=COLUMNS(Metadata!B822:AD822)</f>
        <v>1</v>
      </c>
      <c r="AM822" t="str">
        <v/>
      </c>
      <c r="AO822" t="b">
        <f ca="1">AND(IF(Metadata!B822="",FALSE,TRUE),COUNTIF(Metadata!B:B, Metadata!B822) = 1,NOT(ISERROR(SUMPRODUCT(SEARCH(MID(Metadata!B822,ROW(INDIRECT("1:"&amp;LEN(Metadata!B822))), 1),"0123456789abcdefghijklmnopqrstuvwxyzABCDEFGHIJKLMNOPQRSTUVWXYZ.")))))</f>
        <v>0</v>
      </c>
      <c r="AP822" t="b">
        <f>IF(Metadata!C822="",FALSE,TRUE)</f>
        <v>0</v>
      </c>
      <c r="AQ822" t="b">
        <f>IF(Metadata!D822="",FALSE,TRUE)</f>
        <v>0</v>
      </c>
      <c r="AR822" t="b">
        <f ca="1">OR(AND(IF(Metadata!E822="",FALSE,TRUE),OR(EXACT(Metadata!E822,"not collected"),EXACT(Metadata!E822,"not provided"),EXACT(Metadata!E822,"restricted access"))),AND(IF(Metadata!E822="",FALSE,TRUE),AND(AND(IFERROR(INT(LEFT(Metadata!E822,4))&gt;1900,FALSE),IFERROR(INT(LEFT(Metadata!E822,4))&lt;=YEAR(NOW()),FALSE)), OR(MID(Metadata!E822,5,1)="", AND(AND(MID(Metadata!E822,5,1)="-",IFERROR(INT(MID(Metadata!E822,6,1))&gt;=0,FALSE),IFERROR(INT(MID(Metadata!E822,6,1))&lt;=1,FALSE),NOT(MID(Metadata!E822,7,1)=""),IFERROR(INT(MID(Metadata!E822,6,2))&gt;=1,FALSE),IFERROR(INT(MID(Metadata!E822,6,2))&lt;=12,FALSE)), OR(MID(Metadata!E822,8,1)="", AND(AND(MID(Metadata!E822,8,1)="-",IFERROR(INT(MID(Metadata!E822,9,1))&gt;=0,FALSE),IFERROR(INT(MID(Metadata!E822,9,1))&lt;=3,FALSE),NOT(MID(Metadata!E822,10,1)=""),IFERROR(INT(MID(Metadata!E822,9,2))&gt;=1,FALSE),IFERROR(INT(MID(Metadata!E822,9,2))&lt;=31,FALSE)), OR(MID(Metadata!E822,11,1)="", AND(AND(MID(Metadata!E822,11,1)=" ",IFERROR(INT(MID(Metadata!E822,12,1))&gt;=0,FALSE),IFERROR(INT(MID(Metadata!E822,12,1))&lt;=2,FALSE),NOT(MID(Metadata!E822,13,1)=""),IFERROR(INT(MID(Metadata!E822,12,2))&gt;=0,FALSE),IFERROR(INT(MID(Metadata!E822,12,2))&lt;=23,FALSE)), OR(MID(Metadata!E822,14,1)="", AND(AND(MID(Metadata!E822,14,1)=":",IFERROR(INT(MID(Metadata!E822,15,1))&gt;=0,FALSE),IFERROR(INT(MID(Metadata!E822,15,1))&lt;=5,FALSE),NOT(MID(Metadata!E822,16,1)=""),IFERROR(INT(MID(Metadata!E822,15,2))&gt;=0,FALSE),IFERROR(INT(MID(Metadata!E822,15,2))&lt;=59,FALSE)), OR(MID(Metadata!E822,17,1)="", AND(AND(MID(Metadata!E822,17,1)=":",IFERROR(INT(MID(Metadata!E822,18,1))&gt;=0,FALSE),IFERROR(INT(MID(Metadata!E822,18,1))&lt;=5,FALSE),NOT(MID(Metadata!E822,19,1)=""),IFERROR(INT(MID(Metadata!E822,18,2))&gt;=0,FALSE),IFERROR(INT(MID(Metadata!E822,18,2))&lt;=59,FALSE)), LEN(Metadata!E822)&lt;=19)))))))))))))</f>
        <v>0</v>
      </c>
      <c r="AS822" t="b">
        <f>IF(Metadata!F822="",FALSE,TRUE)</f>
        <v>0</v>
      </c>
      <c r="AT822" t="b">
        <f>OR(AND(IF(Metadata!G822="",FALSE,TRUE),OR(EXACT(Metadata!G822,"not collected"),EXACT(Metadata!G822,"not provided"))),AND(IF(Metadata!G822="",FALSE,TRUE),OR(EXACT(Metadata!G822,"TRUE"),EXACT(Metadata!G822,"FALSE"))))</f>
        <v>0</v>
      </c>
      <c r="AU822" t="b">
        <f>OR(AND(IF(Metadata!H822="",FALSE,TRUE),OR(EXACT(Metadata!H822,"not collected"),EXACT(Metadata!H822,"not provided"),EXACT(Metadata!H822,"restricted access"))),AND(IF(Metadata!H822="",FALSE,ISNUMBER(VALUE(Metadata!H822))),Metadata!H822&gt;=-413))</f>
        <v>0</v>
      </c>
      <c r="AV822" t="b">
        <f>AND(IF(Metadata!I822="",FALSE,TRUE),EXACT(Metadata!I822,"meters"))</f>
        <v>0</v>
      </c>
      <c r="AW822" t="b">
        <f>AND(IF(Metadata!J822="",FALSE,TRUE),EXACT(Metadata!J822,"free-living"))</f>
        <v>0</v>
      </c>
      <c r="AX822" t="b">
        <f>AND(IF(Metadata!K822="",FALSE,TRUE),OR(EXACT(Metadata!K822,"saline"),EXACT(Metadata!K822,"non-saline")))</f>
        <v>0</v>
      </c>
      <c r="AY822" t="b">
        <f>AND(IF(Metadata!L822="",FALSE,TRUE),OR(EXACT(Metadata!L822,"sub-surface (non-saline)"),EXACT(Metadata!L822,"surface (non-saline)"),EXACT(Metadata!L822,"water (non-saline)"),EXACT(Metadata!L822,"soil (non-saline)"),EXACT(Metadata!L822,"aerosol (non-saline)"),EXACT(Metadata!L822,"sediment (non-saline)"),EXACT(Metadata!L822,"surface (saline)"),EXACT(Metadata!L822,"water (saline)"),EXACT(Metadata!L822,"hypersaline (saline)"),EXACT(Metadata!L822,"aerosol (saline)"),EXACT(Metadata!L822,"sediment (saline)")))</f>
        <v>0</v>
      </c>
      <c r="AZ822" t="b">
        <f>IF(Metadata!M822="",FALSE,TRUE)</f>
        <v>0</v>
      </c>
      <c r="BA822" t="b">
        <f>IF(Metadata!N822="",FALSE,TRUE)</f>
        <v>0</v>
      </c>
      <c r="BB822" t="b">
        <f>IF(Metadata!O822="",FALSE,TRUE)</f>
        <v>0</v>
      </c>
      <c r="BC822" t="b">
        <f>AND(IF(Metadata!P822="",FALSE,TRUE),OR(EXACT(Metadata!P822,"air"),EXACT(Metadata!P822,"microbial mat/biofilm"),EXACT(Metadata!P822,"misc environment"),EXACT(Metadata!P822,"sediment"),EXACT(Metadata!P822,"soil"),EXACT(Metadata!P822,"wastewater/sludge"),EXACT(Metadata!P822,"water")))</f>
        <v>0</v>
      </c>
      <c r="BD822" t="b">
        <f>IF(Metadata!Q822="",FALSE,TRUE)</f>
        <v>0</v>
      </c>
      <c r="BE822" t="b">
        <f>IF(Metadata!R822="",FALSE,TRUE)</f>
        <v>0</v>
      </c>
      <c r="BF822" t="b">
        <f>OR(AND(IF(Metadata!S822="",FALSE,TRUE),OR(EXACT(Metadata!S822,"not collected"),EXACT(Metadata!S822,"not provided"),EXACT(Metadata!S822,"restricted access"))),AND(IF(Metadata!S822="",FALSE,ISNUMBER(VALUE(Metadata!S822))),Metadata!S822&gt;=-90,Metadata!S822&lt;=90))</f>
        <v>0</v>
      </c>
      <c r="BG822" t="b">
        <f>AND(IF(Metadata!T822="",FALSE,TRUE),EXACT(Metadata!T822,"Decimal degrees"))</f>
        <v>0</v>
      </c>
      <c r="BH822" t="b">
        <f>OR(AND(IF(Metadata!U822="",FALSE,TRUE),OR(EXACT(Metadata!U822,"not applicable"),EXACT(Metadata!U822,"not collected"))),IF(Metadata!U822="",FALSE,TRUE))</f>
        <v>0</v>
      </c>
      <c r="BI822" t="b">
        <f>OR(AND(IF(Metadata!V822="",FALSE,TRUE),OR(EXACT(Metadata!V822,"not collected"),EXACT(Metadata!V822,"not provided"),EXACT(Metadata!V822,"restricted access"))),AND(IF(Metadata!V822="",FALSE,ISNUMBER(VALUE(Metadata!V822))),Metadata!V822&gt;=-180,Metadata!V822&lt;=180))</f>
        <v>0</v>
      </c>
      <c r="BJ822" t="b">
        <f>AND(IF(Metadata!W822="",FALSE,TRUE),EXACT(Metadata!W822,"Decimal degrees"))</f>
        <v>0</v>
      </c>
      <c r="BK822" t="b">
        <f>IF(Metadata!X822="",FALSE,TRUE)</f>
        <v>0</v>
      </c>
      <c r="BL822" t="b">
        <f>OR(AND(IF(Metadata!Y822="",FALSE,TRUE),OR(EXACT(Metadata!Y822,"not collected"),EXACT(Metadata!Y822,"not provided"),EXACT(Metadata!Y822,"restricted access"))),AND(IF(Metadata!Y822="",FALSE,TRUE),OR(EXACT(Metadata!Y822,"TRUE"),EXACT(Metadata!Y822,"FALSE"))))</f>
        <v>0</v>
      </c>
      <c r="BM822" t="b">
        <f>OR(AND(IF(Metadata!Z822="",FALSE,TRUE),EXACT(Metadata!Z822,"not applicable")),AND(IF(Metadata!Z822="",FALSE,TRUE),OR(EXACT(Metadata!Z822,"beer"),EXACT(Metadata!Z822,"cheese"),EXACT(Metadata!Z822,"fresh water"),EXACT(Metadata!Z822,"marine sediment"),EXACT(Metadata!Z822,"sea water"),EXACT(Metadata!Z822,"sediment"),EXACT(Metadata!Z822,"soil"),EXACT(Metadata!Z822,"waste water"))))</f>
        <v>0</v>
      </c>
      <c r="BN822" t="b">
        <f>AND(IF(Metadata!AA822="",FALSE,TRUE),EXACT(Metadata!AA822,"metagenome"))</f>
        <v>0</v>
      </c>
      <c r="BO822" t="b">
        <f>AND(IF(Metadata!AB822="",FALSE,TRUE),EXACT(Metadata!AB822,"256318"))</f>
        <v>0</v>
      </c>
      <c r="BP822" t="b">
        <f>IF(Metadata!AC822="",FALSE,TRUE)</f>
        <v>0</v>
      </c>
      <c r="BQ822" t="b">
        <f>IF(Metadata!AD822="",FALSE,TRUE)</f>
        <v>0</v>
      </c>
    </row>
    <row r="823" spans="1:69" x14ac:dyDescent="0.2">
      <c r="A823" s="4" t="e">
        <f ca="1">IF(B823=" "," ",HYPERLINK(CONCATENATE("#metadata!",ADDRESS(INDEX($AJ$2:$AJ$1001,MATCH(ROWS($AH$2:AH823),$AH$2:$AH$1001,0),0),2)),INDEX($AM$2:$AM$1001,MATCH(ROWS($AH$2:AH823),$AH$2:$AH$1001,0),0)))</f>
        <v>#N/A</v>
      </c>
      <c r="B823" s="5" t="e">
        <f ca="1">IF(OR(INDEX($AI$2:$AI$1001,MATCH(ROWS($AH$2:AH823),$AH$2:$AH$1001,0),1)&gt;=100000,INDEX($AO$1005:$BQ$1005,1,MATCH(COLUMNS($AO$1006:AO1006),$AO$1006:$BQ$1006,0))&gt;=100000), " ",IF(INDEX($AO$2:$BQ$1001,MATCH(ROWS($AH$2:AH823),$AH$2:$AH$1001,0),MATCH(COLUMNS($AO$1006:AO1006),$AO$1006:$BQ$1006,0)), HYPERLINK("#",""), HYPERLINK(CONCATENATE("#Metadata!", ADDRESS(INDEX($AJ$2:$AJ$1001,MATCH(ROWS($AH$2:AH823),$AH$2:$AH$1001,0),0), INDEX($AO$1004:$BQ$1004,1,MATCH(COLUMNS($AO$1006:AO1006),$AO$1006:$BQ$1006,0)))),"Fix")))</f>
        <v>#N/A</v>
      </c>
      <c r="C823" s="5" t="e">
        <f ca="1">IF(OR(INDEX($AI$2:$AI$1001,MATCH(ROWS($AH$2:AH823),$AH$2:$AH$1001,0),1)&gt;=100000,INDEX($AO$1005:$BQ$1005,1,MATCH(COLUMNS($AO$1006:AP1006),$AO$1006:$BQ$1006,0))&gt;=100000), " ",IF(INDEX($AO$2:$BQ$1001,MATCH(ROWS($AH$2:AH823),$AH$2:$AH$1001,0),MATCH(COLUMNS($AO$1006:AP1006),$AO$1006:$BQ$1006,0)), HYPERLINK("#",""), HYPERLINK(CONCATENATE("#Metadata!", ADDRESS(INDEX($AJ$2:$AJ$1001,MATCH(ROWS($AH$2:AH823),$AH$2:$AH$1001,0),0), INDEX($AO$1004:$BQ$1004,1,MATCH(COLUMNS($AO$1006:AP1006),$AO$1006:$BQ$1006,0)))),"Fix")))</f>
        <v>#N/A</v>
      </c>
      <c r="D823" s="5" t="e">
        <f ca="1">IF(OR(INDEX($AI$2:$AI$1001,MATCH(ROWS($AH$2:AH823),$AH$2:$AH$1001,0),1)&gt;=100000,INDEX($AO$1005:$BQ$1005,1,MATCH(COLUMNS($AO$1006:AQ1006),$AO$1006:$BQ$1006,0))&gt;=100000), " ",IF(INDEX($AO$2:$BQ$1001,MATCH(ROWS($AH$2:AH823),$AH$2:$AH$1001,0),MATCH(COLUMNS($AO$1006:AQ1006),$AO$1006:$BQ$1006,0)), HYPERLINK("#",""), HYPERLINK(CONCATENATE("#Metadata!", ADDRESS(INDEX($AJ$2:$AJ$1001,MATCH(ROWS($AH$2:AH823),$AH$2:$AH$1001,0),0), INDEX($AO$1004:$BQ$1004,1,MATCH(COLUMNS($AO$1006:AQ1006),$AO$1006:$BQ$1006,0)))),"Fix")))</f>
        <v>#N/A</v>
      </c>
      <c r="E823" s="5" t="e">
        <f ca="1">IF(OR(INDEX($AI$2:$AI$1001,MATCH(ROWS($AH$2:AH823),$AH$2:$AH$1001,0),1)&gt;=100000,INDEX($AO$1005:$BQ$1005,1,MATCH(COLUMNS($AO$1006:AR1006),$AO$1006:$BQ$1006,0))&gt;=100000), " ",IF(INDEX($AO$2:$BQ$1001,MATCH(ROWS($AH$2:AH823),$AH$2:$AH$1001,0),MATCH(COLUMNS($AO$1006:AR1006),$AO$1006:$BQ$1006,0)), HYPERLINK("#",""), HYPERLINK(CONCATENATE("#Metadata!", ADDRESS(INDEX($AJ$2:$AJ$1001,MATCH(ROWS($AH$2:AH823),$AH$2:$AH$1001,0),0), INDEX($AO$1004:$BQ$1004,1,MATCH(COLUMNS($AO$1006:AR1006),$AO$1006:$BQ$1006,0)))),"Fix")))</f>
        <v>#N/A</v>
      </c>
      <c r="F823" s="5" t="e">
        <f ca="1">IF(OR(INDEX($AI$2:$AI$1001,MATCH(ROWS($AH$2:AH823),$AH$2:$AH$1001,0),1)&gt;=100000,INDEX($AO$1005:$BQ$1005,1,MATCH(COLUMNS($AO$1006:AS1006),$AO$1006:$BQ$1006,0))&gt;=100000), " ",IF(INDEX($AO$2:$BQ$1001,MATCH(ROWS($AH$2:AH823),$AH$2:$AH$1001,0),MATCH(COLUMNS($AO$1006:AS1006),$AO$1006:$BQ$1006,0)), HYPERLINK("#",""), HYPERLINK(CONCATENATE("#Metadata!", ADDRESS(INDEX($AJ$2:$AJ$1001,MATCH(ROWS($AH$2:AH823),$AH$2:$AH$1001,0),0), INDEX($AO$1004:$BQ$1004,1,MATCH(COLUMNS($AO$1006:AS1006),$AO$1006:$BQ$1006,0)))),"Fix")))</f>
        <v>#N/A</v>
      </c>
      <c r="G823" s="5" t="e">
        <f ca="1">IF(OR(INDEX($AI$2:$AI$1001,MATCH(ROWS($AH$2:AH823),$AH$2:$AH$1001,0),1)&gt;=100000,INDEX($AO$1005:$BQ$1005,1,MATCH(COLUMNS($AO$1006:AT1006),$AO$1006:$BQ$1006,0))&gt;=100000), " ",IF(INDEX($AO$2:$BQ$1001,MATCH(ROWS($AH$2:AH823),$AH$2:$AH$1001,0),MATCH(COLUMNS($AO$1006:AT1006),$AO$1006:$BQ$1006,0)), HYPERLINK("#",""), HYPERLINK(CONCATENATE("#Metadata!", ADDRESS(INDEX($AJ$2:$AJ$1001,MATCH(ROWS($AH$2:AH823),$AH$2:$AH$1001,0),0), INDEX($AO$1004:$BQ$1004,1,MATCH(COLUMNS($AO$1006:AT1006),$AO$1006:$BQ$1006,0)))),"Fix")))</f>
        <v>#N/A</v>
      </c>
      <c r="H823" s="5" t="e">
        <f ca="1">IF(OR(INDEX($AI$2:$AI$1001,MATCH(ROWS($AH$2:AH823),$AH$2:$AH$1001,0),1)&gt;=100000,INDEX($AO$1005:$BQ$1005,1,MATCH(COLUMNS($AO$1006:AU1006),$AO$1006:$BQ$1006,0))&gt;=100000), " ",IF(INDEX($AO$2:$BQ$1001,MATCH(ROWS($AH$2:AH823),$AH$2:$AH$1001,0),MATCH(COLUMNS($AO$1006:AU1006),$AO$1006:$BQ$1006,0)), HYPERLINK("#",""), HYPERLINK(CONCATENATE("#Metadata!", ADDRESS(INDEX($AJ$2:$AJ$1001,MATCH(ROWS($AH$2:AH823),$AH$2:$AH$1001,0),0), INDEX($AO$1004:$BQ$1004,1,MATCH(COLUMNS($AO$1006:AU1006),$AO$1006:$BQ$1006,0)))),"Fix")))</f>
        <v>#N/A</v>
      </c>
      <c r="I823" s="5" t="e">
        <f ca="1">IF(OR(INDEX($AI$2:$AI$1001,MATCH(ROWS($AH$2:AH823),$AH$2:$AH$1001,0),1)&gt;=100000,INDEX($AO$1005:$BQ$1005,1,MATCH(COLUMNS($AO$1006:AV1006),$AO$1006:$BQ$1006,0))&gt;=100000), " ",IF(INDEX($AO$2:$BQ$1001,MATCH(ROWS($AH$2:AH823),$AH$2:$AH$1001,0),MATCH(COLUMNS($AO$1006:AV1006),$AO$1006:$BQ$1006,0)), HYPERLINK("#",""), HYPERLINK(CONCATENATE("#Metadata!", ADDRESS(INDEX($AJ$2:$AJ$1001,MATCH(ROWS($AH$2:AH823),$AH$2:$AH$1001,0),0), INDEX($AO$1004:$BQ$1004,1,MATCH(COLUMNS($AO$1006:AV1006),$AO$1006:$BQ$1006,0)))),"Fix")))</f>
        <v>#N/A</v>
      </c>
      <c r="J823" s="5" t="e">
        <f ca="1">IF(OR(INDEX($AI$2:$AI$1001,MATCH(ROWS($AH$2:AH823),$AH$2:$AH$1001,0),1)&gt;=100000,INDEX($AO$1005:$BQ$1005,1,MATCH(COLUMNS($AO$1006:AW1006),$AO$1006:$BQ$1006,0))&gt;=100000), " ",IF(INDEX($AO$2:$BQ$1001,MATCH(ROWS($AH$2:AH823),$AH$2:$AH$1001,0),MATCH(COLUMNS($AO$1006:AW1006),$AO$1006:$BQ$1006,0)), HYPERLINK("#",""), HYPERLINK(CONCATENATE("#Metadata!", ADDRESS(INDEX($AJ$2:$AJ$1001,MATCH(ROWS($AH$2:AH823),$AH$2:$AH$1001,0),0), INDEX($AO$1004:$BQ$1004,1,MATCH(COLUMNS($AO$1006:AW1006),$AO$1006:$BQ$1006,0)))),"Fix")))</f>
        <v>#N/A</v>
      </c>
      <c r="K823" s="5" t="e">
        <f ca="1">IF(OR(INDEX($AI$2:$AI$1001,MATCH(ROWS($AH$2:AH823),$AH$2:$AH$1001,0),1)&gt;=100000,INDEX($AO$1005:$BQ$1005,1,MATCH(COLUMNS($AO$1006:AX1006),$AO$1006:$BQ$1006,0))&gt;=100000), " ",IF(INDEX($AO$2:$BQ$1001,MATCH(ROWS($AH$2:AH823),$AH$2:$AH$1001,0),MATCH(COLUMNS($AO$1006:AX1006),$AO$1006:$BQ$1006,0)), HYPERLINK("#",""), HYPERLINK(CONCATENATE("#Metadata!", ADDRESS(INDEX($AJ$2:$AJ$1001,MATCH(ROWS($AH$2:AH823),$AH$2:$AH$1001,0),0), INDEX($AO$1004:$BQ$1004,1,MATCH(COLUMNS($AO$1006:AX1006),$AO$1006:$BQ$1006,0)))),"Fix")))</f>
        <v>#N/A</v>
      </c>
      <c r="L823" s="5" t="e">
        <f ca="1">IF(OR(INDEX($AI$2:$AI$1001,MATCH(ROWS($AH$2:AH823),$AH$2:$AH$1001,0),1)&gt;=100000,INDEX($AO$1005:$BQ$1005,1,MATCH(COLUMNS($AO$1006:AY1006),$AO$1006:$BQ$1006,0))&gt;=100000), " ",IF(INDEX($AO$2:$BQ$1001,MATCH(ROWS($AH$2:AH823),$AH$2:$AH$1001,0),MATCH(COLUMNS($AO$1006:AY1006),$AO$1006:$BQ$1006,0)), HYPERLINK("#",""), HYPERLINK(CONCATENATE("#Metadata!", ADDRESS(INDEX($AJ$2:$AJ$1001,MATCH(ROWS($AH$2:AH823),$AH$2:$AH$1001,0),0), INDEX($AO$1004:$BQ$1004,1,MATCH(COLUMNS($AO$1006:AY1006),$AO$1006:$BQ$1006,0)))),"Fix")))</f>
        <v>#N/A</v>
      </c>
      <c r="M823" s="5" t="e">
        <f ca="1">IF(OR(INDEX($AI$2:$AI$1001,MATCH(ROWS($AH$2:AH823),$AH$2:$AH$1001,0),1)&gt;=100000,INDEX($AO$1005:$BQ$1005,1,MATCH(COLUMNS($AO$1006:AZ1006),$AO$1006:$BQ$1006,0))&gt;=100000), " ",IF(INDEX($AO$2:$BQ$1001,MATCH(ROWS($AH$2:AH823),$AH$2:$AH$1001,0),MATCH(COLUMNS($AO$1006:AZ1006),$AO$1006:$BQ$1006,0)), HYPERLINK("#",""), HYPERLINK(CONCATENATE("#Metadata!", ADDRESS(INDEX($AJ$2:$AJ$1001,MATCH(ROWS($AH$2:AH823),$AH$2:$AH$1001,0),0), INDEX($AO$1004:$BQ$1004,1,MATCH(COLUMNS($AO$1006:AZ1006),$AO$1006:$BQ$1006,0)))),"Fix")))</f>
        <v>#N/A</v>
      </c>
      <c r="N823" s="5" t="e">
        <f ca="1">IF(OR(INDEX($AI$2:$AI$1001,MATCH(ROWS($AH$2:AH823),$AH$2:$AH$1001,0),1)&gt;=100000,INDEX($AO$1005:$BQ$1005,1,MATCH(COLUMNS($AO$1006:BA1006),$AO$1006:$BQ$1006,0))&gt;=100000), " ",IF(INDEX($AO$2:$BQ$1001,MATCH(ROWS($AH$2:AH823),$AH$2:$AH$1001,0),MATCH(COLUMNS($AO$1006:BA1006),$AO$1006:$BQ$1006,0)), HYPERLINK("#",""), HYPERLINK(CONCATENATE("#Metadata!", ADDRESS(INDEX($AJ$2:$AJ$1001,MATCH(ROWS($AH$2:AH823),$AH$2:$AH$1001,0),0), INDEX($AO$1004:$BQ$1004,1,MATCH(COLUMNS($AO$1006:BA1006),$AO$1006:$BQ$1006,0)))),"Fix")))</f>
        <v>#N/A</v>
      </c>
      <c r="O823" s="5" t="e">
        <f ca="1">IF(OR(INDEX($AI$2:$AI$1001,MATCH(ROWS($AH$2:AH823),$AH$2:$AH$1001,0),1)&gt;=100000,INDEX($AO$1005:$BQ$1005,1,MATCH(COLUMNS($AO$1006:BB1006),$AO$1006:$BQ$1006,0))&gt;=100000), " ",IF(INDEX($AO$2:$BQ$1001,MATCH(ROWS($AH$2:AH823),$AH$2:$AH$1001,0),MATCH(COLUMNS($AO$1006:BB1006),$AO$1006:$BQ$1006,0)), HYPERLINK("#",""), HYPERLINK(CONCATENATE("#Metadata!", ADDRESS(INDEX($AJ$2:$AJ$1001,MATCH(ROWS($AH$2:AH823),$AH$2:$AH$1001,0),0), INDEX($AO$1004:$BQ$1004,1,MATCH(COLUMNS($AO$1006:BB1006),$AO$1006:$BQ$1006,0)))),"Fix")))</f>
        <v>#N/A</v>
      </c>
      <c r="P823" s="5" t="e">
        <f ca="1">IF(OR(INDEX($AI$2:$AI$1001,MATCH(ROWS($AH$2:AH823),$AH$2:$AH$1001,0),1)&gt;=100000,INDEX($AO$1005:$BQ$1005,1,MATCH(COLUMNS($AO$1006:BC1006),$AO$1006:$BQ$1006,0))&gt;=100000), " ",IF(INDEX($AO$2:$BQ$1001,MATCH(ROWS($AH$2:AH823),$AH$2:$AH$1001,0),MATCH(COLUMNS($AO$1006:BC1006),$AO$1006:$BQ$1006,0)), HYPERLINK("#",""), HYPERLINK(CONCATENATE("#Metadata!", ADDRESS(INDEX($AJ$2:$AJ$1001,MATCH(ROWS($AH$2:AH823),$AH$2:$AH$1001,0),0), INDEX($AO$1004:$BQ$1004,1,MATCH(COLUMNS($AO$1006:BC1006),$AO$1006:$BQ$1006,0)))),"Fix")))</f>
        <v>#N/A</v>
      </c>
      <c r="Q823" s="5" t="e">
        <f ca="1">IF(OR(INDEX($AI$2:$AI$1001,MATCH(ROWS($AH$2:AH823),$AH$2:$AH$1001,0),1)&gt;=100000,INDEX($AO$1005:$BQ$1005,1,MATCH(COLUMNS($AO$1006:BD1006),$AO$1006:$BQ$1006,0))&gt;=100000), " ",IF(INDEX($AO$2:$BQ$1001,MATCH(ROWS($AH$2:AH823),$AH$2:$AH$1001,0),MATCH(COLUMNS($AO$1006:BD1006),$AO$1006:$BQ$1006,0)), HYPERLINK("#",""), HYPERLINK(CONCATENATE("#Metadata!", ADDRESS(INDEX($AJ$2:$AJ$1001,MATCH(ROWS($AH$2:AH823),$AH$2:$AH$1001,0),0), INDEX($AO$1004:$BQ$1004,1,MATCH(COLUMNS($AO$1006:BD1006),$AO$1006:$BQ$1006,0)))),"Fix")))</f>
        <v>#N/A</v>
      </c>
      <c r="R823" s="5" t="e">
        <f ca="1">IF(OR(INDEX($AI$2:$AI$1001,MATCH(ROWS($AH$2:AH823),$AH$2:$AH$1001,0),1)&gt;=100000,INDEX($AO$1005:$BQ$1005,1,MATCH(COLUMNS($AO$1006:BE1006),$AO$1006:$BQ$1006,0))&gt;=100000), " ",IF(INDEX($AO$2:$BQ$1001,MATCH(ROWS($AH$2:AH823),$AH$2:$AH$1001,0),MATCH(COLUMNS($AO$1006:BE1006),$AO$1006:$BQ$1006,0)), HYPERLINK("#",""), HYPERLINK(CONCATENATE("#Metadata!", ADDRESS(INDEX($AJ$2:$AJ$1001,MATCH(ROWS($AH$2:AH823),$AH$2:$AH$1001,0),0), INDEX($AO$1004:$BQ$1004,1,MATCH(COLUMNS($AO$1006:BE1006),$AO$1006:$BQ$1006,0)))),"Fix")))</f>
        <v>#N/A</v>
      </c>
      <c r="S823" s="5" t="e">
        <f ca="1">IF(OR(INDEX($AI$2:$AI$1001,MATCH(ROWS($AH$2:AH823),$AH$2:$AH$1001,0),1)&gt;=100000,INDEX($AO$1005:$BQ$1005,1,MATCH(COLUMNS($AO$1006:BF1006),$AO$1006:$BQ$1006,0))&gt;=100000), " ",IF(INDEX($AO$2:$BQ$1001,MATCH(ROWS($AH$2:AH823),$AH$2:$AH$1001,0),MATCH(COLUMNS($AO$1006:BF1006),$AO$1006:$BQ$1006,0)), HYPERLINK("#",""), HYPERLINK(CONCATENATE("#Metadata!", ADDRESS(INDEX($AJ$2:$AJ$1001,MATCH(ROWS($AH$2:AH823),$AH$2:$AH$1001,0),0), INDEX($AO$1004:$BQ$1004,1,MATCH(COLUMNS($AO$1006:BF1006),$AO$1006:$BQ$1006,0)))),"Fix")))</f>
        <v>#N/A</v>
      </c>
      <c r="T823" s="5" t="e">
        <f ca="1">IF(OR(INDEX($AI$2:$AI$1001,MATCH(ROWS($AH$2:AH823),$AH$2:$AH$1001,0),1)&gt;=100000,INDEX($AO$1005:$BQ$1005,1,MATCH(COLUMNS($AO$1006:BG1006),$AO$1006:$BQ$1006,0))&gt;=100000), " ",IF(INDEX($AO$2:$BQ$1001,MATCH(ROWS($AH$2:AH823),$AH$2:$AH$1001,0),MATCH(COLUMNS($AO$1006:BG1006),$AO$1006:$BQ$1006,0)), HYPERLINK("#",""), HYPERLINK(CONCATENATE("#Metadata!", ADDRESS(INDEX($AJ$2:$AJ$1001,MATCH(ROWS($AH$2:AH823),$AH$2:$AH$1001,0),0), INDEX($AO$1004:$BQ$1004,1,MATCH(COLUMNS($AO$1006:BG1006),$AO$1006:$BQ$1006,0)))),"Fix")))</f>
        <v>#N/A</v>
      </c>
      <c r="U823" s="5" t="e">
        <f ca="1">IF(OR(INDEX($AI$2:$AI$1001,MATCH(ROWS($AH$2:AH823),$AH$2:$AH$1001,0),1)&gt;=100000,INDEX($AO$1005:$BQ$1005,1,MATCH(COLUMNS($AO$1006:BH1006),$AO$1006:$BQ$1006,0))&gt;=100000), " ",IF(INDEX($AO$2:$BQ$1001,MATCH(ROWS($AH$2:AH823),$AH$2:$AH$1001,0),MATCH(COLUMNS($AO$1006:BH1006),$AO$1006:$BQ$1006,0)), HYPERLINK("#",""), HYPERLINK(CONCATENATE("#Metadata!", ADDRESS(INDEX($AJ$2:$AJ$1001,MATCH(ROWS($AH$2:AH823),$AH$2:$AH$1001,0),0), INDEX($AO$1004:$BQ$1004,1,MATCH(COLUMNS($AO$1006:BH1006),$AO$1006:$BQ$1006,0)))),"Fix")))</f>
        <v>#N/A</v>
      </c>
      <c r="V823" s="5" t="e">
        <f ca="1">IF(OR(INDEX($AI$2:$AI$1001,MATCH(ROWS($AH$2:AH823),$AH$2:$AH$1001,0),1)&gt;=100000,INDEX($AO$1005:$BQ$1005,1,MATCH(COLUMNS($AO$1006:BI1006),$AO$1006:$BQ$1006,0))&gt;=100000), " ",IF(INDEX($AO$2:$BQ$1001,MATCH(ROWS($AH$2:AH823),$AH$2:$AH$1001,0),MATCH(COLUMNS($AO$1006:BI1006),$AO$1006:$BQ$1006,0)), HYPERLINK("#",""), HYPERLINK(CONCATENATE("#Metadata!", ADDRESS(INDEX($AJ$2:$AJ$1001,MATCH(ROWS($AH$2:AH823),$AH$2:$AH$1001,0),0), INDEX($AO$1004:$BQ$1004,1,MATCH(COLUMNS($AO$1006:BI1006),$AO$1006:$BQ$1006,0)))),"Fix")))</f>
        <v>#N/A</v>
      </c>
      <c r="W823" s="5" t="e">
        <f ca="1">IF(OR(INDEX($AI$2:$AI$1001,MATCH(ROWS($AH$2:AH823),$AH$2:$AH$1001,0),1)&gt;=100000,INDEX($AO$1005:$BQ$1005,1,MATCH(COLUMNS($AO$1006:BJ1006),$AO$1006:$BQ$1006,0))&gt;=100000), " ",IF(INDEX($AO$2:$BQ$1001,MATCH(ROWS($AH$2:AH823),$AH$2:$AH$1001,0),MATCH(COLUMNS($AO$1006:BJ1006),$AO$1006:$BQ$1006,0)), HYPERLINK("#",""), HYPERLINK(CONCATENATE("#Metadata!", ADDRESS(INDEX($AJ$2:$AJ$1001,MATCH(ROWS($AH$2:AH823),$AH$2:$AH$1001,0),0), INDEX($AO$1004:$BQ$1004,1,MATCH(COLUMNS($AO$1006:BJ1006),$AO$1006:$BQ$1006,0)))),"Fix")))</f>
        <v>#N/A</v>
      </c>
      <c r="X823" s="5" t="e">
        <f ca="1">IF(OR(INDEX($AI$2:$AI$1001,MATCH(ROWS($AH$2:AH823),$AH$2:$AH$1001,0),1)&gt;=100000,INDEX($AO$1005:$BQ$1005,1,MATCH(COLUMNS($AO$1006:BK1006),$AO$1006:$BQ$1006,0))&gt;=100000), " ",IF(INDEX($AO$2:$BQ$1001,MATCH(ROWS($AH$2:AH823),$AH$2:$AH$1001,0),MATCH(COLUMNS($AO$1006:BK1006),$AO$1006:$BQ$1006,0)), HYPERLINK("#",""), HYPERLINK(CONCATENATE("#Metadata!", ADDRESS(INDEX($AJ$2:$AJ$1001,MATCH(ROWS($AH$2:AH823),$AH$2:$AH$1001,0),0), INDEX($AO$1004:$BQ$1004,1,MATCH(COLUMNS($AO$1006:BK1006),$AO$1006:$BQ$1006,0)))),"Fix")))</f>
        <v>#N/A</v>
      </c>
      <c r="Y823" s="5" t="e">
        <f ca="1">IF(OR(INDEX($AI$2:$AI$1001,MATCH(ROWS($AH$2:AH823),$AH$2:$AH$1001,0),1)&gt;=100000,INDEX($AO$1005:$BQ$1005,1,MATCH(COLUMNS($AO$1006:BL1006),$AO$1006:$BQ$1006,0))&gt;=100000), " ",IF(INDEX($AO$2:$BQ$1001,MATCH(ROWS($AH$2:AH823),$AH$2:$AH$1001,0),MATCH(COLUMNS($AO$1006:BL1006),$AO$1006:$BQ$1006,0)), HYPERLINK("#",""), HYPERLINK(CONCATENATE("#Metadata!", ADDRESS(INDEX($AJ$2:$AJ$1001,MATCH(ROWS($AH$2:AH823),$AH$2:$AH$1001,0),0), INDEX($AO$1004:$BQ$1004,1,MATCH(COLUMNS($AO$1006:BL1006),$AO$1006:$BQ$1006,0)))),"Fix")))</f>
        <v>#N/A</v>
      </c>
      <c r="Z823" s="5" t="e">
        <f ca="1">IF(OR(INDEX($AI$2:$AI$1001,MATCH(ROWS($AH$2:AH823),$AH$2:$AH$1001,0),1)&gt;=100000,INDEX($AO$1005:$BQ$1005,1,MATCH(COLUMNS($AO$1006:BM1006),$AO$1006:$BQ$1006,0))&gt;=100000), " ",IF(INDEX($AO$2:$BQ$1001,MATCH(ROWS($AH$2:AH823),$AH$2:$AH$1001,0),MATCH(COLUMNS($AO$1006:BM1006),$AO$1006:$BQ$1006,0)), HYPERLINK("#",""), HYPERLINK(CONCATENATE("#Metadata!", ADDRESS(INDEX($AJ$2:$AJ$1001,MATCH(ROWS($AH$2:AH823),$AH$2:$AH$1001,0),0), INDEX($AO$1004:$BQ$1004,1,MATCH(COLUMNS($AO$1006:BM1006),$AO$1006:$BQ$1006,0)))),"Fix")))</f>
        <v>#N/A</v>
      </c>
      <c r="AA823" s="5" t="e">
        <f ca="1">IF(OR(INDEX($AI$2:$AI$1001,MATCH(ROWS($AH$2:AH823),$AH$2:$AH$1001,0),1)&gt;=100000,INDEX($AO$1005:$BQ$1005,1,MATCH(COLUMNS($AO$1006:BN1006),$AO$1006:$BQ$1006,0))&gt;=100000), " ",IF(INDEX($AO$2:$BQ$1001,MATCH(ROWS($AH$2:AH823),$AH$2:$AH$1001,0),MATCH(COLUMNS($AO$1006:BN1006),$AO$1006:$BQ$1006,0)), HYPERLINK("#",""), HYPERLINK(CONCATENATE("#Metadata!", ADDRESS(INDEX($AJ$2:$AJ$1001,MATCH(ROWS($AH$2:AH823),$AH$2:$AH$1001,0),0), INDEX($AO$1004:$BQ$1004,1,MATCH(COLUMNS($AO$1006:BN1006),$AO$1006:$BQ$1006,0)))),"Fix")))</f>
        <v>#N/A</v>
      </c>
      <c r="AB823" s="5" t="e">
        <f ca="1">IF(OR(INDEX($AI$2:$AI$1001,MATCH(ROWS($AH$2:AH823),$AH$2:$AH$1001,0),1)&gt;=100000,INDEX($AO$1005:$BQ$1005,1,MATCH(COLUMNS($AO$1006:BO1006),$AO$1006:$BQ$1006,0))&gt;=100000), " ",IF(INDEX($AO$2:$BQ$1001,MATCH(ROWS($AH$2:AH823),$AH$2:$AH$1001,0),MATCH(COLUMNS($AO$1006:BO1006),$AO$1006:$BQ$1006,0)), HYPERLINK("#",""), HYPERLINK(CONCATENATE("#Metadata!", ADDRESS(INDEX($AJ$2:$AJ$1001,MATCH(ROWS($AH$2:AH823),$AH$2:$AH$1001,0),0), INDEX($AO$1004:$BQ$1004,1,MATCH(COLUMNS($AO$1006:BO1006),$AO$1006:$BQ$1006,0)))),"Fix")))</f>
        <v>#N/A</v>
      </c>
      <c r="AC823" s="5" t="e">
        <f ca="1">IF(OR(INDEX($AI$2:$AI$1001,MATCH(ROWS($AH$2:AH823),$AH$2:$AH$1001,0),1)&gt;=100000,INDEX($AO$1005:$BQ$1005,1,MATCH(COLUMNS($AO$1006:BP1006),$AO$1006:$BQ$1006,0))&gt;=100000), " ",IF(INDEX($AO$2:$BQ$1001,MATCH(ROWS($AH$2:AH823),$AH$2:$AH$1001,0),MATCH(COLUMNS($AO$1006:BP1006),$AO$1006:$BQ$1006,0)), HYPERLINK("#",""), HYPERLINK(CONCATENATE("#Metadata!", ADDRESS(INDEX($AJ$2:$AJ$1001,MATCH(ROWS($AH$2:AH823),$AH$2:$AH$1001,0),0), INDEX($AO$1004:$BQ$1004,1,MATCH(COLUMNS($AO$1006:BP1006),$AO$1006:$BQ$1006,0)))),"Fix")))</f>
        <v>#N/A</v>
      </c>
      <c r="AD823" s="5" t="e">
        <f ca="1">IF(OR(INDEX($AI$2:$AI$1001,MATCH(ROWS($AH$2:AH823),$AH$2:$AH$1001,0),1)&gt;=100000,INDEX($AO$1005:$BQ$1005,1,MATCH(COLUMNS($AO$1006:BQ1006),$AO$1006:$BQ$1006,0))&gt;=100000), " ",IF(INDEX($AO$2:$BQ$1001,MATCH(ROWS($AH$2:AH823),$AH$2:$AH$1001,0),MATCH(COLUMNS($AO$1006:BQ1006),$AO$1006:$BQ$1006,0)), HYPERLINK("#",""), HYPERLINK(CONCATENATE("#Metadata!", ADDRESS(INDEX($AJ$2:$AJ$1001,MATCH(ROWS($AH$2:AH823),$AH$2:$AH$1001,0),0), INDEX($AO$1004:$BQ$1004,1,MATCH(COLUMNS($AO$1006:BQ1006),$AO$1006:$BQ$1006,0)))),"Fix")))</f>
        <v>#REF!</v>
      </c>
      <c r="AH823">
        <f ca="1"/>
        <v>820</v>
      </c>
      <c r="AI823">
        <v>100823</v>
      </c>
      <c r="AJ823">
        <v>823</v>
      </c>
      <c r="AK823" t="b">
        <f t="shared" si="12"/>
        <v>1</v>
      </c>
      <c r="AL823" t="b">
        <f>COUNTBLANK(Metadata!B823:AD823)=COLUMNS(Metadata!B823:AD823)</f>
        <v>1</v>
      </c>
      <c r="AM823" t="str">
        <v/>
      </c>
      <c r="AO823" t="b">
        <f ca="1">AND(IF(Metadata!B823="",FALSE,TRUE),COUNTIF(Metadata!B:B, Metadata!B823) = 1,NOT(ISERROR(SUMPRODUCT(SEARCH(MID(Metadata!B823,ROW(INDIRECT("1:"&amp;LEN(Metadata!B823))), 1),"0123456789abcdefghijklmnopqrstuvwxyzABCDEFGHIJKLMNOPQRSTUVWXYZ.")))))</f>
        <v>0</v>
      </c>
      <c r="AP823" t="b">
        <f>IF(Metadata!C823="",FALSE,TRUE)</f>
        <v>0</v>
      </c>
      <c r="AQ823" t="b">
        <f>IF(Metadata!D823="",FALSE,TRUE)</f>
        <v>0</v>
      </c>
      <c r="AR823" t="b">
        <f ca="1">OR(AND(IF(Metadata!E823="",FALSE,TRUE),OR(EXACT(Metadata!E823,"not collected"),EXACT(Metadata!E823,"not provided"),EXACT(Metadata!E823,"restricted access"))),AND(IF(Metadata!E823="",FALSE,TRUE),AND(AND(IFERROR(INT(LEFT(Metadata!E823,4))&gt;1900,FALSE),IFERROR(INT(LEFT(Metadata!E823,4))&lt;=YEAR(NOW()),FALSE)), OR(MID(Metadata!E823,5,1)="", AND(AND(MID(Metadata!E823,5,1)="-",IFERROR(INT(MID(Metadata!E823,6,1))&gt;=0,FALSE),IFERROR(INT(MID(Metadata!E823,6,1))&lt;=1,FALSE),NOT(MID(Metadata!E823,7,1)=""),IFERROR(INT(MID(Metadata!E823,6,2))&gt;=1,FALSE),IFERROR(INT(MID(Metadata!E823,6,2))&lt;=12,FALSE)), OR(MID(Metadata!E823,8,1)="", AND(AND(MID(Metadata!E823,8,1)="-",IFERROR(INT(MID(Metadata!E823,9,1))&gt;=0,FALSE),IFERROR(INT(MID(Metadata!E823,9,1))&lt;=3,FALSE),NOT(MID(Metadata!E823,10,1)=""),IFERROR(INT(MID(Metadata!E823,9,2))&gt;=1,FALSE),IFERROR(INT(MID(Metadata!E823,9,2))&lt;=31,FALSE)), OR(MID(Metadata!E823,11,1)="", AND(AND(MID(Metadata!E823,11,1)=" ",IFERROR(INT(MID(Metadata!E823,12,1))&gt;=0,FALSE),IFERROR(INT(MID(Metadata!E823,12,1))&lt;=2,FALSE),NOT(MID(Metadata!E823,13,1)=""),IFERROR(INT(MID(Metadata!E823,12,2))&gt;=0,FALSE),IFERROR(INT(MID(Metadata!E823,12,2))&lt;=23,FALSE)), OR(MID(Metadata!E823,14,1)="", AND(AND(MID(Metadata!E823,14,1)=":",IFERROR(INT(MID(Metadata!E823,15,1))&gt;=0,FALSE),IFERROR(INT(MID(Metadata!E823,15,1))&lt;=5,FALSE),NOT(MID(Metadata!E823,16,1)=""),IFERROR(INT(MID(Metadata!E823,15,2))&gt;=0,FALSE),IFERROR(INT(MID(Metadata!E823,15,2))&lt;=59,FALSE)), OR(MID(Metadata!E823,17,1)="", AND(AND(MID(Metadata!E823,17,1)=":",IFERROR(INT(MID(Metadata!E823,18,1))&gt;=0,FALSE),IFERROR(INT(MID(Metadata!E823,18,1))&lt;=5,FALSE),NOT(MID(Metadata!E823,19,1)=""),IFERROR(INT(MID(Metadata!E823,18,2))&gt;=0,FALSE),IFERROR(INT(MID(Metadata!E823,18,2))&lt;=59,FALSE)), LEN(Metadata!E823)&lt;=19)))))))))))))</f>
        <v>0</v>
      </c>
      <c r="AS823" t="b">
        <f>IF(Metadata!F823="",FALSE,TRUE)</f>
        <v>0</v>
      </c>
      <c r="AT823" t="b">
        <f>OR(AND(IF(Metadata!G823="",FALSE,TRUE),OR(EXACT(Metadata!G823,"not collected"),EXACT(Metadata!G823,"not provided"))),AND(IF(Metadata!G823="",FALSE,TRUE),OR(EXACT(Metadata!G823,"TRUE"),EXACT(Metadata!G823,"FALSE"))))</f>
        <v>0</v>
      </c>
      <c r="AU823" t="b">
        <f>OR(AND(IF(Metadata!H823="",FALSE,TRUE),OR(EXACT(Metadata!H823,"not collected"),EXACT(Metadata!H823,"not provided"),EXACT(Metadata!H823,"restricted access"))),AND(IF(Metadata!H823="",FALSE,ISNUMBER(VALUE(Metadata!H823))),Metadata!H823&gt;=-413))</f>
        <v>0</v>
      </c>
      <c r="AV823" t="b">
        <f>AND(IF(Metadata!I823="",FALSE,TRUE),EXACT(Metadata!I823,"meters"))</f>
        <v>0</v>
      </c>
      <c r="AW823" t="b">
        <f>AND(IF(Metadata!J823="",FALSE,TRUE),EXACT(Metadata!J823,"free-living"))</f>
        <v>0</v>
      </c>
      <c r="AX823" t="b">
        <f>AND(IF(Metadata!K823="",FALSE,TRUE),OR(EXACT(Metadata!K823,"saline"),EXACT(Metadata!K823,"non-saline")))</f>
        <v>0</v>
      </c>
      <c r="AY823" t="b">
        <f>AND(IF(Metadata!L823="",FALSE,TRUE),OR(EXACT(Metadata!L823,"sub-surface (non-saline)"),EXACT(Metadata!L823,"surface (non-saline)"),EXACT(Metadata!L823,"water (non-saline)"),EXACT(Metadata!L823,"soil (non-saline)"),EXACT(Metadata!L823,"aerosol (non-saline)"),EXACT(Metadata!L823,"sediment (non-saline)"),EXACT(Metadata!L823,"surface (saline)"),EXACT(Metadata!L823,"water (saline)"),EXACT(Metadata!L823,"hypersaline (saline)"),EXACT(Metadata!L823,"aerosol (saline)"),EXACT(Metadata!L823,"sediment (saline)")))</f>
        <v>0</v>
      </c>
      <c r="AZ823" t="b">
        <f>IF(Metadata!M823="",FALSE,TRUE)</f>
        <v>0</v>
      </c>
      <c r="BA823" t="b">
        <f>IF(Metadata!N823="",FALSE,TRUE)</f>
        <v>0</v>
      </c>
      <c r="BB823" t="b">
        <f>IF(Metadata!O823="",FALSE,TRUE)</f>
        <v>0</v>
      </c>
      <c r="BC823" t="b">
        <f>AND(IF(Metadata!P823="",FALSE,TRUE),OR(EXACT(Metadata!P823,"air"),EXACT(Metadata!P823,"microbial mat/biofilm"),EXACT(Metadata!P823,"misc environment"),EXACT(Metadata!P823,"sediment"),EXACT(Metadata!P823,"soil"),EXACT(Metadata!P823,"wastewater/sludge"),EXACT(Metadata!P823,"water")))</f>
        <v>0</v>
      </c>
      <c r="BD823" t="b">
        <f>IF(Metadata!Q823="",FALSE,TRUE)</f>
        <v>0</v>
      </c>
      <c r="BE823" t="b">
        <f>IF(Metadata!R823="",FALSE,TRUE)</f>
        <v>0</v>
      </c>
      <c r="BF823" t="b">
        <f>OR(AND(IF(Metadata!S823="",FALSE,TRUE),OR(EXACT(Metadata!S823,"not collected"),EXACT(Metadata!S823,"not provided"),EXACT(Metadata!S823,"restricted access"))),AND(IF(Metadata!S823="",FALSE,ISNUMBER(VALUE(Metadata!S823))),Metadata!S823&gt;=-90,Metadata!S823&lt;=90))</f>
        <v>0</v>
      </c>
      <c r="BG823" t="b">
        <f>AND(IF(Metadata!T823="",FALSE,TRUE),EXACT(Metadata!T823,"Decimal degrees"))</f>
        <v>0</v>
      </c>
      <c r="BH823" t="b">
        <f>OR(AND(IF(Metadata!U823="",FALSE,TRUE),OR(EXACT(Metadata!U823,"not applicable"),EXACT(Metadata!U823,"not collected"))),IF(Metadata!U823="",FALSE,TRUE))</f>
        <v>0</v>
      </c>
      <c r="BI823" t="b">
        <f>OR(AND(IF(Metadata!V823="",FALSE,TRUE),OR(EXACT(Metadata!V823,"not collected"),EXACT(Metadata!V823,"not provided"),EXACT(Metadata!V823,"restricted access"))),AND(IF(Metadata!V823="",FALSE,ISNUMBER(VALUE(Metadata!V823))),Metadata!V823&gt;=-180,Metadata!V823&lt;=180))</f>
        <v>0</v>
      </c>
      <c r="BJ823" t="b">
        <f>AND(IF(Metadata!W823="",FALSE,TRUE),EXACT(Metadata!W823,"Decimal degrees"))</f>
        <v>0</v>
      </c>
      <c r="BK823" t="b">
        <f>IF(Metadata!X823="",FALSE,TRUE)</f>
        <v>0</v>
      </c>
      <c r="BL823" t="b">
        <f>OR(AND(IF(Metadata!Y823="",FALSE,TRUE),OR(EXACT(Metadata!Y823,"not collected"),EXACT(Metadata!Y823,"not provided"),EXACT(Metadata!Y823,"restricted access"))),AND(IF(Metadata!Y823="",FALSE,TRUE),OR(EXACT(Metadata!Y823,"TRUE"),EXACT(Metadata!Y823,"FALSE"))))</f>
        <v>0</v>
      </c>
      <c r="BM823" t="b">
        <f>OR(AND(IF(Metadata!Z823="",FALSE,TRUE),EXACT(Metadata!Z823,"not applicable")),AND(IF(Metadata!Z823="",FALSE,TRUE),OR(EXACT(Metadata!Z823,"beer"),EXACT(Metadata!Z823,"cheese"),EXACT(Metadata!Z823,"fresh water"),EXACT(Metadata!Z823,"marine sediment"),EXACT(Metadata!Z823,"sea water"),EXACT(Metadata!Z823,"sediment"),EXACT(Metadata!Z823,"soil"),EXACT(Metadata!Z823,"waste water"))))</f>
        <v>0</v>
      </c>
      <c r="BN823" t="b">
        <f>AND(IF(Metadata!AA823="",FALSE,TRUE),EXACT(Metadata!AA823,"metagenome"))</f>
        <v>0</v>
      </c>
      <c r="BO823" t="b">
        <f>AND(IF(Metadata!AB823="",FALSE,TRUE),EXACT(Metadata!AB823,"256318"))</f>
        <v>0</v>
      </c>
      <c r="BP823" t="b">
        <f>IF(Metadata!AC823="",FALSE,TRUE)</f>
        <v>0</v>
      </c>
      <c r="BQ823" t="b">
        <f>IF(Metadata!AD823="",FALSE,TRUE)</f>
        <v>0</v>
      </c>
    </row>
    <row r="824" spans="1:69" x14ac:dyDescent="0.2">
      <c r="A824" s="4" t="e">
        <f ca="1">IF(B824=" "," ",HYPERLINK(CONCATENATE("#metadata!",ADDRESS(INDEX($AJ$2:$AJ$1001,MATCH(ROWS($AH$2:AH824),$AH$2:$AH$1001,0),0),2)),INDEX($AM$2:$AM$1001,MATCH(ROWS($AH$2:AH824),$AH$2:$AH$1001,0),0)))</f>
        <v>#N/A</v>
      </c>
      <c r="B824" s="5" t="e">
        <f ca="1">IF(OR(INDEX($AI$2:$AI$1001,MATCH(ROWS($AH$2:AH824),$AH$2:$AH$1001,0),1)&gt;=100000,INDEX($AO$1005:$BQ$1005,1,MATCH(COLUMNS($AO$1006:AO1006),$AO$1006:$BQ$1006,0))&gt;=100000), " ",IF(INDEX($AO$2:$BQ$1001,MATCH(ROWS($AH$2:AH824),$AH$2:$AH$1001,0),MATCH(COLUMNS($AO$1006:AO1006),$AO$1006:$BQ$1006,0)), HYPERLINK("#",""), HYPERLINK(CONCATENATE("#Metadata!", ADDRESS(INDEX($AJ$2:$AJ$1001,MATCH(ROWS($AH$2:AH824),$AH$2:$AH$1001,0),0), INDEX($AO$1004:$BQ$1004,1,MATCH(COLUMNS($AO$1006:AO1006),$AO$1006:$BQ$1006,0)))),"Fix")))</f>
        <v>#N/A</v>
      </c>
      <c r="C824" s="5" t="e">
        <f ca="1">IF(OR(INDEX($AI$2:$AI$1001,MATCH(ROWS($AH$2:AH824),$AH$2:$AH$1001,0),1)&gt;=100000,INDEX($AO$1005:$BQ$1005,1,MATCH(COLUMNS($AO$1006:AP1006),$AO$1006:$BQ$1006,0))&gt;=100000), " ",IF(INDEX($AO$2:$BQ$1001,MATCH(ROWS($AH$2:AH824),$AH$2:$AH$1001,0),MATCH(COLUMNS($AO$1006:AP1006),$AO$1006:$BQ$1006,0)), HYPERLINK("#",""), HYPERLINK(CONCATENATE("#Metadata!", ADDRESS(INDEX($AJ$2:$AJ$1001,MATCH(ROWS($AH$2:AH824),$AH$2:$AH$1001,0),0), INDEX($AO$1004:$BQ$1004,1,MATCH(COLUMNS($AO$1006:AP1006),$AO$1006:$BQ$1006,0)))),"Fix")))</f>
        <v>#N/A</v>
      </c>
      <c r="D824" s="5" t="e">
        <f ca="1">IF(OR(INDEX($AI$2:$AI$1001,MATCH(ROWS($AH$2:AH824),$AH$2:$AH$1001,0),1)&gt;=100000,INDEX($AO$1005:$BQ$1005,1,MATCH(COLUMNS($AO$1006:AQ1006),$AO$1006:$BQ$1006,0))&gt;=100000), " ",IF(INDEX($AO$2:$BQ$1001,MATCH(ROWS($AH$2:AH824),$AH$2:$AH$1001,0),MATCH(COLUMNS($AO$1006:AQ1006),$AO$1006:$BQ$1006,0)), HYPERLINK("#",""), HYPERLINK(CONCATENATE("#Metadata!", ADDRESS(INDEX($AJ$2:$AJ$1001,MATCH(ROWS($AH$2:AH824),$AH$2:$AH$1001,0),0), INDEX($AO$1004:$BQ$1004,1,MATCH(COLUMNS($AO$1006:AQ1006),$AO$1006:$BQ$1006,0)))),"Fix")))</f>
        <v>#N/A</v>
      </c>
      <c r="E824" s="5" t="e">
        <f ca="1">IF(OR(INDEX($AI$2:$AI$1001,MATCH(ROWS($AH$2:AH824),$AH$2:$AH$1001,0),1)&gt;=100000,INDEX($AO$1005:$BQ$1005,1,MATCH(COLUMNS($AO$1006:AR1006),$AO$1006:$BQ$1006,0))&gt;=100000), " ",IF(INDEX($AO$2:$BQ$1001,MATCH(ROWS($AH$2:AH824),$AH$2:$AH$1001,0),MATCH(COLUMNS($AO$1006:AR1006),$AO$1006:$BQ$1006,0)), HYPERLINK("#",""), HYPERLINK(CONCATENATE("#Metadata!", ADDRESS(INDEX($AJ$2:$AJ$1001,MATCH(ROWS($AH$2:AH824),$AH$2:$AH$1001,0),0), INDEX($AO$1004:$BQ$1004,1,MATCH(COLUMNS($AO$1006:AR1006),$AO$1006:$BQ$1006,0)))),"Fix")))</f>
        <v>#N/A</v>
      </c>
      <c r="F824" s="5" t="e">
        <f ca="1">IF(OR(INDEX($AI$2:$AI$1001,MATCH(ROWS($AH$2:AH824),$AH$2:$AH$1001,0),1)&gt;=100000,INDEX($AO$1005:$BQ$1005,1,MATCH(COLUMNS($AO$1006:AS1006),$AO$1006:$BQ$1006,0))&gt;=100000), " ",IF(INDEX($AO$2:$BQ$1001,MATCH(ROWS($AH$2:AH824),$AH$2:$AH$1001,0),MATCH(COLUMNS($AO$1006:AS1006),$AO$1006:$BQ$1006,0)), HYPERLINK("#",""), HYPERLINK(CONCATENATE("#Metadata!", ADDRESS(INDEX($AJ$2:$AJ$1001,MATCH(ROWS($AH$2:AH824),$AH$2:$AH$1001,0),0), INDEX($AO$1004:$BQ$1004,1,MATCH(COLUMNS($AO$1006:AS1006),$AO$1006:$BQ$1006,0)))),"Fix")))</f>
        <v>#N/A</v>
      </c>
      <c r="G824" s="5" t="e">
        <f ca="1">IF(OR(INDEX($AI$2:$AI$1001,MATCH(ROWS($AH$2:AH824),$AH$2:$AH$1001,0),1)&gt;=100000,INDEX($AO$1005:$BQ$1005,1,MATCH(COLUMNS($AO$1006:AT1006),$AO$1006:$BQ$1006,0))&gt;=100000), " ",IF(INDEX($AO$2:$BQ$1001,MATCH(ROWS($AH$2:AH824),$AH$2:$AH$1001,0),MATCH(COLUMNS($AO$1006:AT1006),$AO$1006:$BQ$1006,0)), HYPERLINK("#",""), HYPERLINK(CONCATENATE("#Metadata!", ADDRESS(INDEX($AJ$2:$AJ$1001,MATCH(ROWS($AH$2:AH824),$AH$2:$AH$1001,0),0), INDEX($AO$1004:$BQ$1004,1,MATCH(COLUMNS($AO$1006:AT1006),$AO$1006:$BQ$1006,0)))),"Fix")))</f>
        <v>#N/A</v>
      </c>
      <c r="H824" s="5" t="e">
        <f ca="1">IF(OR(INDEX($AI$2:$AI$1001,MATCH(ROWS($AH$2:AH824),$AH$2:$AH$1001,0),1)&gt;=100000,INDEX($AO$1005:$BQ$1005,1,MATCH(COLUMNS($AO$1006:AU1006),$AO$1006:$BQ$1006,0))&gt;=100000), " ",IF(INDEX($AO$2:$BQ$1001,MATCH(ROWS($AH$2:AH824),$AH$2:$AH$1001,0),MATCH(COLUMNS($AO$1006:AU1006),$AO$1006:$BQ$1006,0)), HYPERLINK("#",""), HYPERLINK(CONCATENATE("#Metadata!", ADDRESS(INDEX($AJ$2:$AJ$1001,MATCH(ROWS($AH$2:AH824),$AH$2:$AH$1001,0),0), INDEX($AO$1004:$BQ$1004,1,MATCH(COLUMNS($AO$1006:AU1006),$AO$1006:$BQ$1006,0)))),"Fix")))</f>
        <v>#N/A</v>
      </c>
      <c r="I824" s="5" t="e">
        <f ca="1">IF(OR(INDEX($AI$2:$AI$1001,MATCH(ROWS($AH$2:AH824),$AH$2:$AH$1001,0),1)&gt;=100000,INDEX($AO$1005:$BQ$1005,1,MATCH(COLUMNS($AO$1006:AV1006),$AO$1006:$BQ$1006,0))&gt;=100000), " ",IF(INDEX($AO$2:$BQ$1001,MATCH(ROWS($AH$2:AH824),$AH$2:$AH$1001,0),MATCH(COLUMNS($AO$1006:AV1006),$AO$1006:$BQ$1006,0)), HYPERLINK("#",""), HYPERLINK(CONCATENATE("#Metadata!", ADDRESS(INDEX($AJ$2:$AJ$1001,MATCH(ROWS($AH$2:AH824),$AH$2:$AH$1001,0),0), INDEX($AO$1004:$BQ$1004,1,MATCH(COLUMNS($AO$1006:AV1006),$AO$1006:$BQ$1006,0)))),"Fix")))</f>
        <v>#N/A</v>
      </c>
      <c r="J824" s="5" t="e">
        <f ca="1">IF(OR(INDEX($AI$2:$AI$1001,MATCH(ROWS($AH$2:AH824),$AH$2:$AH$1001,0),1)&gt;=100000,INDEX($AO$1005:$BQ$1005,1,MATCH(COLUMNS($AO$1006:AW1006),$AO$1006:$BQ$1006,0))&gt;=100000), " ",IF(INDEX($AO$2:$BQ$1001,MATCH(ROWS($AH$2:AH824),$AH$2:$AH$1001,0),MATCH(COLUMNS($AO$1006:AW1006),$AO$1006:$BQ$1006,0)), HYPERLINK("#",""), HYPERLINK(CONCATENATE("#Metadata!", ADDRESS(INDEX($AJ$2:$AJ$1001,MATCH(ROWS($AH$2:AH824),$AH$2:$AH$1001,0),0), INDEX($AO$1004:$BQ$1004,1,MATCH(COLUMNS($AO$1006:AW1006),$AO$1006:$BQ$1006,0)))),"Fix")))</f>
        <v>#N/A</v>
      </c>
      <c r="K824" s="5" t="e">
        <f ca="1">IF(OR(INDEX($AI$2:$AI$1001,MATCH(ROWS($AH$2:AH824),$AH$2:$AH$1001,0),1)&gt;=100000,INDEX($AO$1005:$BQ$1005,1,MATCH(COLUMNS($AO$1006:AX1006),$AO$1006:$BQ$1006,0))&gt;=100000), " ",IF(INDEX($AO$2:$BQ$1001,MATCH(ROWS($AH$2:AH824),$AH$2:$AH$1001,0),MATCH(COLUMNS($AO$1006:AX1006),$AO$1006:$BQ$1006,0)), HYPERLINK("#",""), HYPERLINK(CONCATENATE("#Metadata!", ADDRESS(INDEX($AJ$2:$AJ$1001,MATCH(ROWS($AH$2:AH824),$AH$2:$AH$1001,0),0), INDEX($AO$1004:$BQ$1004,1,MATCH(COLUMNS($AO$1006:AX1006),$AO$1006:$BQ$1006,0)))),"Fix")))</f>
        <v>#N/A</v>
      </c>
      <c r="L824" s="5" t="e">
        <f ca="1">IF(OR(INDEX($AI$2:$AI$1001,MATCH(ROWS($AH$2:AH824),$AH$2:$AH$1001,0),1)&gt;=100000,INDEX($AO$1005:$BQ$1005,1,MATCH(COLUMNS($AO$1006:AY1006),$AO$1006:$BQ$1006,0))&gt;=100000), " ",IF(INDEX($AO$2:$BQ$1001,MATCH(ROWS($AH$2:AH824),$AH$2:$AH$1001,0),MATCH(COLUMNS($AO$1006:AY1006),$AO$1006:$BQ$1006,0)), HYPERLINK("#",""), HYPERLINK(CONCATENATE("#Metadata!", ADDRESS(INDEX($AJ$2:$AJ$1001,MATCH(ROWS($AH$2:AH824),$AH$2:$AH$1001,0),0), INDEX($AO$1004:$BQ$1004,1,MATCH(COLUMNS($AO$1006:AY1006),$AO$1006:$BQ$1006,0)))),"Fix")))</f>
        <v>#N/A</v>
      </c>
      <c r="M824" s="5" t="e">
        <f ca="1">IF(OR(INDEX($AI$2:$AI$1001,MATCH(ROWS($AH$2:AH824),$AH$2:$AH$1001,0),1)&gt;=100000,INDEX($AO$1005:$BQ$1005,1,MATCH(COLUMNS($AO$1006:AZ1006),$AO$1006:$BQ$1006,0))&gt;=100000), " ",IF(INDEX($AO$2:$BQ$1001,MATCH(ROWS($AH$2:AH824),$AH$2:$AH$1001,0),MATCH(COLUMNS($AO$1006:AZ1006),$AO$1006:$BQ$1006,0)), HYPERLINK("#",""), HYPERLINK(CONCATENATE("#Metadata!", ADDRESS(INDEX($AJ$2:$AJ$1001,MATCH(ROWS($AH$2:AH824),$AH$2:$AH$1001,0),0), INDEX($AO$1004:$BQ$1004,1,MATCH(COLUMNS($AO$1006:AZ1006),$AO$1006:$BQ$1006,0)))),"Fix")))</f>
        <v>#N/A</v>
      </c>
      <c r="N824" s="5" t="e">
        <f ca="1">IF(OR(INDEX($AI$2:$AI$1001,MATCH(ROWS($AH$2:AH824),$AH$2:$AH$1001,0),1)&gt;=100000,INDEX($AO$1005:$BQ$1005,1,MATCH(COLUMNS($AO$1006:BA1006),$AO$1006:$BQ$1006,0))&gt;=100000), " ",IF(INDEX($AO$2:$BQ$1001,MATCH(ROWS($AH$2:AH824),$AH$2:$AH$1001,0),MATCH(COLUMNS($AO$1006:BA1006),$AO$1006:$BQ$1006,0)), HYPERLINK("#",""), HYPERLINK(CONCATENATE("#Metadata!", ADDRESS(INDEX($AJ$2:$AJ$1001,MATCH(ROWS($AH$2:AH824),$AH$2:$AH$1001,0),0), INDEX($AO$1004:$BQ$1004,1,MATCH(COLUMNS($AO$1006:BA1006),$AO$1006:$BQ$1006,0)))),"Fix")))</f>
        <v>#N/A</v>
      </c>
      <c r="O824" s="5" t="e">
        <f ca="1">IF(OR(INDEX($AI$2:$AI$1001,MATCH(ROWS($AH$2:AH824),$AH$2:$AH$1001,0),1)&gt;=100000,INDEX($AO$1005:$BQ$1005,1,MATCH(COLUMNS($AO$1006:BB1006),$AO$1006:$BQ$1006,0))&gt;=100000), " ",IF(INDEX($AO$2:$BQ$1001,MATCH(ROWS($AH$2:AH824),$AH$2:$AH$1001,0),MATCH(COLUMNS($AO$1006:BB1006),$AO$1006:$BQ$1006,0)), HYPERLINK("#",""), HYPERLINK(CONCATENATE("#Metadata!", ADDRESS(INDEX($AJ$2:$AJ$1001,MATCH(ROWS($AH$2:AH824),$AH$2:$AH$1001,0),0), INDEX($AO$1004:$BQ$1004,1,MATCH(COLUMNS($AO$1006:BB1006),$AO$1006:$BQ$1006,0)))),"Fix")))</f>
        <v>#N/A</v>
      </c>
      <c r="P824" s="5" t="e">
        <f ca="1">IF(OR(INDEX($AI$2:$AI$1001,MATCH(ROWS($AH$2:AH824),$AH$2:$AH$1001,0),1)&gt;=100000,INDEX($AO$1005:$BQ$1005,1,MATCH(COLUMNS($AO$1006:BC1006),$AO$1006:$BQ$1006,0))&gt;=100000), " ",IF(INDEX($AO$2:$BQ$1001,MATCH(ROWS($AH$2:AH824),$AH$2:$AH$1001,0),MATCH(COLUMNS($AO$1006:BC1006),$AO$1006:$BQ$1006,0)), HYPERLINK("#",""), HYPERLINK(CONCATENATE("#Metadata!", ADDRESS(INDEX($AJ$2:$AJ$1001,MATCH(ROWS($AH$2:AH824),$AH$2:$AH$1001,0),0), INDEX($AO$1004:$BQ$1004,1,MATCH(COLUMNS($AO$1006:BC1006),$AO$1006:$BQ$1006,0)))),"Fix")))</f>
        <v>#N/A</v>
      </c>
      <c r="Q824" s="5" t="e">
        <f ca="1">IF(OR(INDEX($AI$2:$AI$1001,MATCH(ROWS($AH$2:AH824),$AH$2:$AH$1001,0),1)&gt;=100000,INDEX($AO$1005:$BQ$1005,1,MATCH(COLUMNS($AO$1006:BD1006),$AO$1006:$BQ$1006,0))&gt;=100000), " ",IF(INDEX($AO$2:$BQ$1001,MATCH(ROWS($AH$2:AH824),$AH$2:$AH$1001,0),MATCH(COLUMNS($AO$1006:BD1006),$AO$1006:$BQ$1006,0)), HYPERLINK("#",""), HYPERLINK(CONCATENATE("#Metadata!", ADDRESS(INDEX($AJ$2:$AJ$1001,MATCH(ROWS($AH$2:AH824),$AH$2:$AH$1001,0),0), INDEX($AO$1004:$BQ$1004,1,MATCH(COLUMNS($AO$1006:BD1006),$AO$1006:$BQ$1006,0)))),"Fix")))</f>
        <v>#N/A</v>
      </c>
      <c r="R824" s="5" t="e">
        <f ca="1">IF(OR(INDEX($AI$2:$AI$1001,MATCH(ROWS($AH$2:AH824),$AH$2:$AH$1001,0),1)&gt;=100000,INDEX($AO$1005:$BQ$1005,1,MATCH(COLUMNS($AO$1006:BE1006),$AO$1006:$BQ$1006,0))&gt;=100000), " ",IF(INDEX($AO$2:$BQ$1001,MATCH(ROWS($AH$2:AH824),$AH$2:$AH$1001,0),MATCH(COLUMNS($AO$1006:BE1006),$AO$1006:$BQ$1006,0)), HYPERLINK("#",""), HYPERLINK(CONCATENATE("#Metadata!", ADDRESS(INDEX($AJ$2:$AJ$1001,MATCH(ROWS($AH$2:AH824),$AH$2:$AH$1001,0),0), INDEX($AO$1004:$BQ$1004,1,MATCH(COLUMNS($AO$1006:BE1006),$AO$1006:$BQ$1006,0)))),"Fix")))</f>
        <v>#N/A</v>
      </c>
      <c r="S824" s="5" t="e">
        <f ca="1">IF(OR(INDEX($AI$2:$AI$1001,MATCH(ROWS($AH$2:AH824),$AH$2:$AH$1001,0),1)&gt;=100000,INDEX($AO$1005:$BQ$1005,1,MATCH(COLUMNS($AO$1006:BF1006),$AO$1006:$BQ$1006,0))&gt;=100000), " ",IF(INDEX($AO$2:$BQ$1001,MATCH(ROWS($AH$2:AH824),$AH$2:$AH$1001,0),MATCH(COLUMNS($AO$1006:BF1006),$AO$1006:$BQ$1006,0)), HYPERLINK("#",""), HYPERLINK(CONCATENATE("#Metadata!", ADDRESS(INDEX($AJ$2:$AJ$1001,MATCH(ROWS($AH$2:AH824),$AH$2:$AH$1001,0),0), INDEX($AO$1004:$BQ$1004,1,MATCH(COLUMNS($AO$1006:BF1006),$AO$1006:$BQ$1006,0)))),"Fix")))</f>
        <v>#N/A</v>
      </c>
      <c r="T824" s="5" t="e">
        <f ca="1">IF(OR(INDEX($AI$2:$AI$1001,MATCH(ROWS($AH$2:AH824),$AH$2:$AH$1001,0),1)&gt;=100000,INDEX($AO$1005:$BQ$1005,1,MATCH(COLUMNS($AO$1006:BG1006),$AO$1006:$BQ$1006,0))&gt;=100000), " ",IF(INDEX($AO$2:$BQ$1001,MATCH(ROWS($AH$2:AH824),$AH$2:$AH$1001,0),MATCH(COLUMNS($AO$1006:BG1006),$AO$1006:$BQ$1006,0)), HYPERLINK("#",""), HYPERLINK(CONCATENATE("#Metadata!", ADDRESS(INDEX($AJ$2:$AJ$1001,MATCH(ROWS($AH$2:AH824),$AH$2:$AH$1001,0),0), INDEX($AO$1004:$BQ$1004,1,MATCH(COLUMNS($AO$1006:BG1006),$AO$1006:$BQ$1006,0)))),"Fix")))</f>
        <v>#N/A</v>
      </c>
      <c r="U824" s="5" t="e">
        <f ca="1">IF(OR(INDEX($AI$2:$AI$1001,MATCH(ROWS($AH$2:AH824),$AH$2:$AH$1001,0),1)&gt;=100000,INDEX($AO$1005:$BQ$1005,1,MATCH(COLUMNS($AO$1006:BH1006),$AO$1006:$BQ$1006,0))&gt;=100000), " ",IF(INDEX($AO$2:$BQ$1001,MATCH(ROWS($AH$2:AH824),$AH$2:$AH$1001,0),MATCH(COLUMNS($AO$1006:BH1006),$AO$1006:$BQ$1006,0)), HYPERLINK("#",""), HYPERLINK(CONCATENATE("#Metadata!", ADDRESS(INDEX($AJ$2:$AJ$1001,MATCH(ROWS($AH$2:AH824),$AH$2:$AH$1001,0),0), INDEX($AO$1004:$BQ$1004,1,MATCH(COLUMNS($AO$1006:BH1006),$AO$1006:$BQ$1006,0)))),"Fix")))</f>
        <v>#N/A</v>
      </c>
      <c r="V824" s="5" t="e">
        <f ca="1">IF(OR(INDEX($AI$2:$AI$1001,MATCH(ROWS($AH$2:AH824),$AH$2:$AH$1001,0),1)&gt;=100000,INDEX($AO$1005:$BQ$1005,1,MATCH(COLUMNS($AO$1006:BI1006),$AO$1006:$BQ$1006,0))&gt;=100000), " ",IF(INDEX($AO$2:$BQ$1001,MATCH(ROWS($AH$2:AH824),$AH$2:$AH$1001,0),MATCH(COLUMNS($AO$1006:BI1006),$AO$1006:$BQ$1006,0)), HYPERLINK("#",""), HYPERLINK(CONCATENATE("#Metadata!", ADDRESS(INDEX($AJ$2:$AJ$1001,MATCH(ROWS($AH$2:AH824),$AH$2:$AH$1001,0),0), INDEX($AO$1004:$BQ$1004,1,MATCH(COLUMNS($AO$1006:BI1006),$AO$1006:$BQ$1006,0)))),"Fix")))</f>
        <v>#N/A</v>
      </c>
      <c r="W824" s="5" t="e">
        <f ca="1">IF(OR(INDEX($AI$2:$AI$1001,MATCH(ROWS($AH$2:AH824),$AH$2:$AH$1001,0),1)&gt;=100000,INDEX($AO$1005:$BQ$1005,1,MATCH(COLUMNS($AO$1006:BJ1006),$AO$1006:$BQ$1006,0))&gt;=100000), " ",IF(INDEX($AO$2:$BQ$1001,MATCH(ROWS($AH$2:AH824),$AH$2:$AH$1001,0),MATCH(COLUMNS($AO$1006:BJ1006),$AO$1006:$BQ$1006,0)), HYPERLINK("#",""), HYPERLINK(CONCATENATE("#Metadata!", ADDRESS(INDEX($AJ$2:$AJ$1001,MATCH(ROWS($AH$2:AH824),$AH$2:$AH$1001,0),0), INDEX($AO$1004:$BQ$1004,1,MATCH(COLUMNS($AO$1006:BJ1006),$AO$1006:$BQ$1006,0)))),"Fix")))</f>
        <v>#N/A</v>
      </c>
      <c r="X824" s="5" t="e">
        <f ca="1">IF(OR(INDEX($AI$2:$AI$1001,MATCH(ROWS($AH$2:AH824),$AH$2:$AH$1001,0),1)&gt;=100000,INDEX($AO$1005:$BQ$1005,1,MATCH(COLUMNS($AO$1006:BK1006),$AO$1006:$BQ$1006,0))&gt;=100000), " ",IF(INDEX($AO$2:$BQ$1001,MATCH(ROWS($AH$2:AH824),$AH$2:$AH$1001,0),MATCH(COLUMNS($AO$1006:BK1006),$AO$1006:$BQ$1006,0)), HYPERLINK("#",""), HYPERLINK(CONCATENATE("#Metadata!", ADDRESS(INDEX($AJ$2:$AJ$1001,MATCH(ROWS($AH$2:AH824),$AH$2:$AH$1001,0),0), INDEX($AO$1004:$BQ$1004,1,MATCH(COLUMNS($AO$1006:BK1006),$AO$1006:$BQ$1006,0)))),"Fix")))</f>
        <v>#N/A</v>
      </c>
      <c r="Y824" s="5" t="e">
        <f ca="1">IF(OR(INDEX($AI$2:$AI$1001,MATCH(ROWS($AH$2:AH824),$AH$2:$AH$1001,0),1)&gt;=100000,INDEX($AO$1005:$BQ$1005,1,MATCH(COLUMNS($AO$1006:BL1006),$AO$1006:$BQ$1006,0))&gt;=100000), " ",IF(INDEX($AO$2:$BQ$1001,MATCH(ROWS($AH$2:AH824),$AH$2:$AH$1001,0),MATCH(COLUMNS($AO$1006:BL1006),$AO$1006:$BQ$1006,0)), HYPERLINK("#",""), HYPERLINK(CONCATENATE("#Metadata!", ADDRESS(INDEX($AJ$2:$AJ$1001,MATCH(ROWS($AH$2:AH824),$AH$2:$AH$1001,0),0), INDEX($AO$1004:$BQ$1004,1,MATCH(COLUMNS($AO$1006:BL1006),$AO$1006:$BQ$1006,0)))),"Fix")))</f>
        <v>#N/A</v>
      </c>
      <c r="Z824" s="5" t="e">
        <f ca="1">IF(OR(INDEX($AI$2:$AI$1001,MATCH(ROWS($AH$2:AH824),$AH$2:$AH$1001,0),1)&gt;=100000,INDEX($AO$1005:$BQ$1005,1,MATCH(COLUMNS($AO$1006:BM1006),$AO$1006:$BQ$1006,0))&gt;=100000), " ",IF(INDEX($AO$2:$BQ$1001,MATCH(ROWS($AH$2:AH824),$AH$2:$AH$1001,0),MATCH(COLUMNS($AO$1006:BM1006),$AO$1006:$BQ$1006,0)), HYPERLINK("#",""), HYPERLINK(CONCATENATE("#Metadata!", ADDRESS(INDEX($AJ$2:$AJ$1001,MATCH(ROWS($AH$2:AH824),$AH$2:$AH$1001,0),0), INDEX($AO$1004:$BQ$1004,1,MATCH(COLUMNS($AO$1006:BM1006),$AO$1006:$BQ$1006,0)))),"Fix")))</f>
        <v>#N/A</v>
      </c>
      <c r="AA824" s="5" t="e">
        <f ca="1">IF(OR(INDEX($AI$2:$AI$1001,MATCH(ROWS($AH$2:AH824),$AH$2:$AH$1001,0),1)&gt;=100000,INDEX($AO$1005:$BQ$1005,1,MATCH(COLUMNS($AO$1006:BN1006),$AO$1006:$BQ$1006,0))&gt;=100000), " ",IF(INDEX($AO$2:$BQ$1001,MATCH(ROWS($AH$2:AH824),$AH$2:$AH$1001,0),MATCH(COLUMNS($AO$1006:BN1006),$AO$1006:$BQ$1006,0)), HYPERLINK("#",""), HYPERLINK(CONCATENATE("#Metadata!", ADDRESS(INDEX($AJ$2:$AJ$1001,MATCH(ROWS($AH$2:AH824),$AH$2:$AH$1001,0),0), INDEX($AO$1004:$BQ$1004,1,MATCH(COLUMNS($AO$1006:BN1006),$AO$1006:$BQ$1006,0)))),"Fix")))</f>
        <v>#N/A</v>
      </c>
      <c r="AB824" s="5" t="e">
        <f ca="1">IF(OR(INDEX($AI$2:$AI$1001,MATCH(ROWS($AH$2:AH824),$AH$2:$AH$1001,0),1)&gt;=100000,INDEX($AO$1005:$BQ$1005,1,MATCH(COLUMNS($AO$1006:BO1006),$AO$1006:$BQ$1006,0))&gt;=100000), " ",IF(INDEX($AO$2:$BQ$1001,MATCH(ROWS($AH$2:AH824),$AH$2:$AH$1001,0),MATCH(COLUMNS($AO$1006:BO1006),$AO$1006:$BQ$1006,0)), HYPERLINK("#",""), HYPERLINK(CONCATENATE("#Metadata!", ADDRESS(INDEX($AJ$2:$AJ$1001,MATCH(ROWS($AH$2:AH824),$AH$2:$AH$1001,0),0), INDEX($AO$1004:$BQ$1004,1,MATCH(COLUMNS($AO$1006:BO1006),$AO$1006:$BQ$1006,0)))),"Fix")))</f>
        <v>#N/A</v>
      </c>
      <c r="AC824" s="5" t="e">
        <f ca="1">IF(OR(INDEX($AI$2:$AI$1001,MATCH(ROWS($AH$2:AH824),$AH$2:$AH$1001,0),1)&gt;=100000,INDEX($AO$1005:$BQ$1005,1,MATCH(COLUMNS($AO$1006:BP1006),$AO$1006:$BQ$1006,0))&gt;=100000), " ",IF(INDEX($AO$2:$BQ$1001,MATCH(ROWS($AH$2:AH824),$AH$2:$AH$1001,0),MATCH(COLUMNS($AO$1006:BP1006),$AO$1006:$BQ$1006,0)), HYPERLINK("#",""), HYPERLINK(CONCATENATE("#Metadata!", ADDRESS(INDEX($AJ$2:$AJ$1001,MATCH(ROWS($AH$2:AH824),$AH$2:$AH$1001,0),0), INDEX($AO$1004:$BQ$1004,1,MATCH(COLUMNS($AO$1006:BP1006),$AO$1006:$BQ$1006,0)))),"Fix")))</f>
        <v>#N/A</v>
      </c>
      <c r="AD824" s="5" t="e">
        <f ca="1">IF(OR(INDEX($AI$2:$AI$1001,MATCH(ROWS($AH$2:AH824),$AH$2:$AH$1001,0),1)&gt;=100000,INDEX($AO$1005:$BQ$1005,1,MATCH(COLUMNS($AO$1006:BQ1006),$AO$1006:$BQ$1006,0))&gt;=100000), " ",IF(INDEX($AO$2:$BQ$1001,MATCH(ROWS($AH$2:AH824),$AH$2:$AH$1001,0),MATCH(COLUMNS($AO$1006:BQ1006),$AO$1006:$BQ$1006,0)), HYPERLINK("#",""), HYPERLINK(CONCATENATE("#Metadata!", ADDRESS(INDEX($AJ$2:$AJ$1001,MATCH(ROWS($AH$2:AH824),$AH$2:$AH$1001,0),0), INDEX($AO$1004:$BQ$1004,1,MATCH(COLUMNS($AO$1006:BQ1006),$AO$1006:$BQ$1006,0)))),"Fix")))</f>
        <v>#REF!</v>
      </c>
      <c r="AH824">
        <f ca="1"/>
        <v>821</v>
      </c>
      <c r="AI824">
        <v>100824</v>
      </c>
      <c r="AJ824">
        <v>824</v>
      </c>
      <c r="AK824" t="b">
        <f t="shared" si="12"/>
        <v>1</v>
      </c>
      <c r="AL824" t="b">
        <f>COUNTBLANK(Metadata!B824:AD824)=COLUMNS(Metadata!B824:AD824)</f>
        <v>1</v>
      </c>
      <c r="AM824" t="str">
        <v/>
      </c>
      <c r="AO824" t="b">
        <f ca="1">AND(IF(Metadata!B824="",FALSE,TRUE),COUNTIF(Metadata!B:B, Metadata!B824) = 1,NOT(ISERROR(SUMPRODUCT(SEARCH(MID(Metadata!B824,ROW(INDIRECT("1:"&amp;LEN(Metadata!B824))), 1),"0123456789abcdefghijklmnopqrstuvwxyzABCDEFGHIJKLMNOPQRSTUVWXYZ.")))))</f>
        <v>0</v>
      </c>
      <c r="AP824" t="b">
        <f>IF(Metadata!C824="",FALSE,TRUE)</f>
        <v>0</v>
      </c>
      <c r="AQ824" t="b">
        <f>IF(Metadata!D824="",FALSE,TRUE)</f>
        <v>0</v>
      </c>
      <c r="AR824" t="b">
        <f ca="1">OR(AND(IF(Metadata!E824="",FALSE,TRUE),OR(EXACT(Metadata!E824,"not collected"),EXACT(Metadata!E824,"not provided"),EXACT(Metadata!E824,"restricted access"))),AND(IF(Metadata!E824="",FALSE,TRUE),AND(AND(IFERROR(INT(LEFT(Metadata!E824,4))&gt;1900,FALSE),IFERROR(INT(LEFT(Metadata!E824,4))&lt;=YEAR(NOW()),FALSE)), OR(MID(Metadata!E824,5,1)="", AND(AND(MID(Metadata!E824,5,1)="-",IFERROR(INT(MID(Metadata!E824,6,1))&gt;=0,FALSE),IFERROR(INT(MID(Metadata!E824,6,1))&lt;=1,FALSE),NOT(MID(Metadata!E824,7,1)=""),IFERROR(INT(MID(Metadata!E824,6,2))&gt;=1,FALSE),IFERROR(INT(MID(Metadata!E824,6,2))&lt;=12,FALSE)), OR(MID(Metadata!E824,8,1)="", AND(AND(MID(Metadata!E824,8,1)="-",IFERROR(INT(MID(Metadata!E824,9,1))&gt;=0,FALSE),IFERROR(INT(MID(Metadata!E824,9,1))&lt;=3,FALSE),NOT(MID(Metadata!E824,10,1)=""),IFERROR(INT(MID(Metadata!E824,9,2))&gt;=1,FALSE),IFERROR(INT(MID(Metadata!E824,9,2))&lt;=31,FALSE)), OR(MID(Metadata!E824,11,1)="", AND(AND(MID(Metadata!E824,11,1)=" ",IFERROR(INT(MID(Metadata!E824,12,1))&gt;=0,FALSE),IFERROR(INT(MID(Metadata!E824,12,1))&lt;=2,FALSE),NOT(MID(Metadata!E824,13,1)=""),IFERROR(INT(MID(Metadata!E824,12,2))&gt;=0,FALSE),IFERROR(INT(MID(Metadata!E824,12,2))&lt;=23,FALSE)), OR(MID(Metadata!E824,14,1)="", AND(AND(MID(Metadata!E824,14,1)=":",IFERROR(INT(MID(Metadata!E824,15,1))&gt;=0,FALSE),IFERROR(INT(MID(Metadata!E824,15,1))&lt;=5,FALSE),NOT(MID(Metadata!E824,16,1)=""),IFERROR(INT(MID(Metadata!E824,15,2))&gt;=0,FALSE),IFERROR(INT(MID(Metadata!E824,15,2))&lt;=59,FALSE)), OR(MID(Metadata!E824,17,1)="", AND(AND(MID(Metadata!E824,17,1)=":",IFERROR(INT(MID(Metadata!E824,18,1))&gt;=0,FALSE),IFERROR(INT(MID(Metadata!E824,18,1))&lt;=5,FALSE),NOT(MID(Metadata!E824,19,1)=""),IFERROR(INT(MID(Metadata!E824,18,2))&gt;=0,FALSE),IFERROR(INT(MID(Metadata!E824,18,2))&lt;=59,FALSE)), LEN(Metadata!E824)&lt;=19)))))))))))))</f>
        <v>0</v>
      </c>
      <c r="AS824" t="b">
        <f>IF(Metadata!F824="",FALSE,TRUE)</f>
        <v>0</v>
      </c>
      <c r="AT824" t="b">
        <f>OR(AND(IF(Metadata!G824="",FALSE,TRUE),OR(EXACT(Metadata!G824,"not collected"),EXACT(Metadata!G824,"not provided"))),AND(IF(Metadata!G824="",FALSE,TRUE),OR(EXACT(Metadata!G824,"TRUE"),EXACT(Metadata!G824,"FALSE"))))</f>
        <v>0</v>
      </c>
      <c r="AU824" t="b">
        <f>OR(AND(IF(Metadata!H824="",FALSE,TRUE),OR(EXACT(Metadata!H824,"not collected"),EXACT(Metadata!H824,"not provided"),EXACT(Metadata!H824,"restricted access"))),AND(IF(Metadata!H824="",FALSE,ISNUMBER(VALUE(Metadata!H824))),Metadata!H824&gt;=-413))</f>
        <v>0</v>
      </c>
      <c r="AV824" t="b">
        <f>AND(IF(Metadata!I824="",FALSE,TRUE),EXACT(Metadata!I824,"meters"))</f>
        <v>0</v>
      </c>
      <c r="AW824" t="b">
        <f>AND(IF(Metadata!J824="",FALSE,TRUE),EXACT(Metadata!J824,"free-living"))</f>
        <v>0</v>
      </c>
      <c r="AX824" t="b">
        <f>AND(IF(Metadata!K824="",FALSE,TRUE),OR(EXACT(Metadata!K824,"saline"),EXACT(Metadata!K824,"non-saline")))</f>
        <v>0</v>
      </c>
      <c r="AY824" t="b">
        <f>AND(IF(Metadata!L824="",FALSE,TRUE),OR(EXACT(Metadata!L824,"sub-surface (non-saline)"),EXACT(Metadata!L824,"surface (non-saline)"),EXACT(Metadata!L824,"water (non-saline)"),EXACT(Metadata!L824,"soil (non-saline)"),EXACT(Metadata!L824,"aerosol (non-saline)"),EXACT(Metadata!L824,"sediment (non-saline)"),EXACT(Metadata!L824,"surface (saline)"),EXACT(Metadata!L824,"water (saline)"),EXACT(Metadata!L824,"hypersaline (saline)"),EXACT(Metadata!L824,"aerosol (saline)"),EXACT(Metadata!L824,"sediment (saline)")))</f>
        <v>0</v>
      </c>
      <c r="AZ824" t="b">
        <f>IF(Metadata!M824="",FALSE,TRUE)</f>
        <v>0</v>
      </c>
      <c r="BA824" t="b">
        <f>IF(Metadata!N824="",FALSE,TRUE)</f>
        <v>0</v>
      </c>
      <c r="BB824" t="b">
        <f>IF(Metadata!O824="",FALSE,TRUE)</f>
        <v>0</v>
      </c>
      <c r="BC824" t="b">
        <f>AND(IF(Metadata!P824="",FALSE,TRUE),OR(EXACT(Metadata!P824,"air"),EXACT(Metadata!P824,"microbial mat/biofilm"),EXACT(Metadata!P824,"misc environment"),EXACT(Metadata!P824,"sediment"),EXACT(Metadata!P824,"soil"),EXACT(Metadata!P824,"wastewater/sludge"),EXACT(Metadata!P824,"water")))</f>
        <v>0</v>
      </c>
      <c r="BD824" t="b">
        <f>IF(Metadata!Q824="",FALSE,TRUE)</f>
        <v>0</v>
      </c>
      <c r="BE824" t="b">
        <f>IF(Metadata!R824="",FALSE,TRUE)</f>
        <v>0</v>
      </c>
      <c r="BF824" t="b">
        <f>OR(AND(IF(Metadata!S824="",FALSE,TRUE),OR(EXACT(Metadata!S824,"not collected"),EXACT(Metadata!S824,"not provided"),EXACT(Metadata!S824,"restricted access"))),AND(IF(Metadata!S824="",FALSE,ISNUMBER(VALUE(Metadata!S824))),Metadata!S824&gt;=-90,Metadata!S824&lt;=90))</f>
        <v>0</v>
      </c>
      <c r="BG824" t="b">
        <f>AND(IF(Metadata!T824="",FALSE,TRUE),EXACT(Metadata!T824,"Decimal degrees"))</f>
        <v>0</v>
      </c>
      <c r="BH824" t="b">
        <f>OR(AND(IF(Metadata!U824="",FALSE,TRUE),OR(EXACT(Metadata!U824,"not applicable"),EXACT(Metadata!U824,"not collected"))),IF(Metadata!U824="",FALSE,TRUE))</f>
        <v>0</v>
      </c>
      <c r="BI824" t="b">
        <f>OR(AND(IF(Metadata!V824="",FALSE,TRUE),OR(EXACT(Metadata!V824,"not collected"),EXACT(Metadata!V824,"not provided"),EXACT(Metadata!V824,"restricted access"))),AND(IF(Metadata!V824="",FALSE,ISNUMBER(VALUE(Metadata!V824))),Metadata!V824&gt;=-180,Metadata!V824&lt;=180))</f>
        <v>0</v>
      </c>
      <c r="BJ824" t="b">
        <f>AND(IF(Metadata!W824="",FALSE,TRUE),EXACT(Metadata!W824,"Decimal degrees"))</f>
        <v>0</v>
      </c>
      <c r="BK824" t="b">
        <f>IF(Metadata!X824="",FALSE,TRUE)</f>
        <v>0</v>
      </c>
      <c r="BL824" t="b">
        <f>OR(AND(IF(Metadata!Y824="",FALSE,TRUE),OR(EXACT(Metadata!Y824,"not collected"),EXACT(Metadata!Y824,"not provided"),EXACT(Metadata!Y824,"restricted access"))),AND(IF(Metadata!Y824="",FALSE,TRUE),OR(EXACT(Metadata!Y824,"TRUE"),EXACT(Metadata!Y824,"FALSE"))))</f>
        <v>0</v>
      </c>
      <c r="BM824" t="b">
        <f>OR(AND(IF(Metadata!Z824="",FALSE,TRUE),EXACT(Metadata!Z824,"not applicable")),AND(IF(Metadata!Z824="",FALSE,TRUE),OR(EXACT(Metadata!Z824,"beer"),EXACT(Metadata!Z824,"cheese"),EXACT(Metadata!Z824,"fresh water"),EXACT(Metadata!Z824,"marine sediment"),EXACT(Metadata!Z824,"sea water"),EXACT(Metadata!Z824,"sediment"),EXACT(Metadata!Z824,"soil"),EXACT(Metadata!Z824,"waste water"))))</f>
        <v>0</v>
      </c>
      <c r="BN824" t="b">
        <f>AND(IF(Metadata!AA824="",FALSE,TRUE),EXACT(Metadata!AA824,"metagenome"))</f>
        <v>0</v>
      </c>
      <c r="BO824" t="b">
        <f>AND(IF(Metadata!AB824="",FALSE,TRUE),EXACT(Metadata!AB824,"256318"))</f>
        <v>0</v>
      </c>
      <c r="BP824" t="b">
        <f>IF(Metadata!AC824="",FALSE,TRUE)</f>
        <v>0</v>
      </c>
      <c r="BQ824" t="b">
        <f>IF(Metadata!AD824="",FALSE,TRUE)</f>
        <v>0</v>
      </c>
    </row>
    <row r="825" spans="1:69" x14ac:dyDescent="0.2">
      <c r="A825" s="4" t="e">
        <f ca="1">IF(B825=" "," ",HYPERLINK(CONCATENATE("#metadata!",ADDRESS(INDEX($AJ$2:$AJ$1001,MATCH(ROWS($AH$2:AH825),$AH$2:$AH$1001,0),0),2)),INDEX($AM$2:$AM$1001,MATCH(ROWS($AH$2:AH825),$AH$2:$AH$1001,0),0)))</f>
        <v>#N/A</v>
      </c>
      <c r="B825" s="5" t="e">
        <f ca="1">IF(OR(INDEX($AI$2:$AI$1001,MATCH(ROWS($AH$2:AH825),$AH$2:$AH$1001,0),1)&gt;=100000,INDEX($AO$1005:$BQ$1005,1,MATCH(COLUMNS($AO$1006:AO1006),$AO$1006:$BQ$1006,0))&gt;=100000), " ",IF(INDEX($AO$2:$BQ$1001,MATCH(ROWS($AH$2:AH825),$AH$2:$AH$1001,0),MATCH(COLUMNS($AO$1006:AO1006),$AO$1006:$BQ$1006,0)), HYPERLINK("#",""), HYPERLINK(CONCATENATE("#Metadata!", ADDRESS(INDEX($AJ$2:$AJ$1001,MATCH(ROWS($AH$2:AH825),$AH$2:$AH$1001,0),0), INDEX($AO$1004:$BQ$1004,1,MATCH(COLUMNS($AO$1006:AO1006),$AO$1006:$BQ$1006,0)))),"Fix")))</f>
        <v>#N/A</v>
      </c>
      <c r="C825" s="5" t="e">
        <f ca="1">IF(OR(INDEX($AI$2:$AI$1001,MATCH(ROWS($AH$2:AH825),$AH$2:$AH$1001,0),1)&gt;=100000,INDEX($AO$1005:$BQ$1005,1,MATCH(COLUMNS($AO$1006:AP1006),$AO$1006:$BQ$1006,0))&gt;=100000), " ",IF(INDEX($AO$2:$BQ$1001,MATCH(ROWS($AH$2:AH825),$AH$2:$AH$1001,0),MATCH(COLUMNS($AO$1006:AP1006),$AO$1006:$BQ$1006,0)), HYPERLINK("#",""), HYPERLINK(CONCATENATE("#Metadata!", ADDRESS(INDEX($AJ$2:$AJ$1001,MATCH(ROWS($AH$2:AH825),$AH$2:$AH$1001,0),0), INDEX($AO$1004:$BQ$1004,1,MATCH(COLUMNS($AO$1006:AP1006),$AO$1006:$BQ$1006,0)))),"Fix")))</f>
        <v>#N/A</v>
      </c>
      <c r="D825" s="5" t="e">
        <f ca="1">IF(OR(INDEX($AI$2:$AI$1001,MATCH(ROWS($AH$2:AH825),$AH$2:$AH$1001,0),1)&gt;=100000,INDEX($AO$1005:$BQ$1005,1,MATCH(COLUMNS($AO$1006:AQ1006),$AO$1006:$BQ$1006,0))&gt;=100000), " ",IF(INDEX($AO$2:$BQ$1001,MATCH(ROWS($AH$2:AH825),$AH$2:$AH$1001,0),MATCH(COLUMNS($AO$1006:AQ1006),$AO$1006:$BQ$1006,0)), HYPERLINK("#",""), HYPERLINK(CONCATENATE("#Metadata!", ADDRESS(INDEX($AJ$2:$AJ$1001,MATCH(ROWS($AH$2:AH825),$AH$2:$AH$1001,0),0), INDEX($AO$1004:$BQ$1004,1,MATCH(COLUMNS($AO$1006:AQ1006),$AO$1006:$BQ$1006,0)))),"Fix")))</f>
        <v>#N/A</v>
      </c>
      <c r="E825" s="5" t="e">
        <f ca="1">IF(OR(INDEX($AI$2:$AI$1001,MATCH(ROWS($AH$2:AH825),$AH$2:$AH$1001,0),1)&gt;=100000,INDEX($AO$1005:$BQ$1005,1,MATCH(COLUMNS($AO$1006:AR1006),$AO$1006:$BQ$1006,0))&gt;=100000), " ",IF(INDEX($AO$2:$BQ$1001,MATCH(ROWS($AH$2:AH825),$AH$2:$AH$1001,0),MATCH(COLUMNS($AO$1006:AR1006),$AO$1006:$BQ$1006,0)), HYPERLINK("#",""), HYPERLINK(CONCATENATE("#Metadata!", ADDRESS(INDEX($AJ$2:$AJ$1001,MATCH(ROWS($AH$2:AH825),$AH$2:$AH$1001,0),0), INDEX($AO$1004:$BQ$1004,1,MATCH(COLUMNS($AO$1006:AR1006),$AO$1006:$BQ$1006,0)))),"Fix")))</f>
        <v>#N/A</v>
      </c>
      <c r="F825" s="5" t="e">
        <f ca="1">IF(OR(INDEX($AI$2:$AI$1001,MATCH(ROWS($AH$2:AH825),$AH$2:$AH$1001,0),1)&gt;=100000,INDEX($AO$1005:$BQ$1005,1,MATCH(COLUMNS($AO$1006:AS1006),$AO$1006:$BQ$1006,0))&gt;=100000), " ",IF(INDEX($AO$2:$BQ$1001,MATCH(ROWS($AH$2:AH825),$AH$2:$AH$1001,0),MATCH(COLUMNS($AO$1006:AS1006),$AO$1006:$BQ$1006,0)), HYPERLINK("#",""), HYPERLINK(CONCATENATE("#Metadata!", ADDRESS(INDEX($AJ$2:$AJ$1001,MATCH(ROWS($AH$2:AH825),$AH$2:$AH$1001,0),0), INDEX($AO$1004:$BQ$1004,1,MATCH(COLUMNS($AO$1006:AS1006),$AO$1006:$BQ$1006,0)))),"Fix")))</f>
        <v>#N/A</v>
      </c>
      <c r="G825" s="5" t="e">
        <f ca="1">IF(OR(INDEX($AI$2:$AI$1001,MATCH(ROWS($AH$2:AH825),$AH$2:$AH$1001,0),1)&gt;=100000,INDEX($AO$1005:$BQ$1005,1,MATCH(COLUMNS($AO$1006:AT1006),$AO$1006:$BQ$1006,0))&gt;=100000), " ",IF(INDEX($AO$2:$BQ$1001,MATCH(ROWS($AH$2:AH825),$AH$2:$AH$1001,0),MATCH(COLUMNS($AO$1006:AT1006),$AO$1006:$BQ$1006,0)), HYPERLINK("#",""), HYPERLINK(CONCATENATE("#Metadata!", ADDRESS(INDEX($AJ$2:$AJ$1001,MATCH(ROWS($AH$2:AH825),$AH$2:$AH$1001,0),0), INDEX($AO$1004:$BQ$1004,1,MATCH(COLUMNS($AO$1006:AT1006),$AO$1006:$BQ$1006,0)))),"Fix")))</f>
        <v>#N/A</v>
      </c>
      <c r="H825" s="5" t="e">
        <f ca="1">IF(OR(INDEX($AI$2:$AI$1001,MATCH(ROWS($AH$2:AH825),$AH$2:$AH$1001,0),1)&gt;=100000,INDEX($AO$1005:$BQ$1005,1,MATCH(COLUMNS($AO$1006:AU1006),$AO$1006:$BQ$1006,0))&gt;=100000), " ",IF(INDEX($AO$2:$BQ$1001,MATCH(ROWS($AH$2:AH825),$AH$2:$AH$1001,0),MATCH(COLUMNS($AO$1006:AU1006),$AO$1006:$BQ$1006,0)), HYPERLINK("#",""), HYPERLINK(CONCATENATE("#Metadata!", ADDRESS(INDEX($AJ$2:$AJ$1001,MATCH(ROWS($AH$2:AH825),$AH$2:$AH$1001,0),0), INDEX($AO$1004:$BQ$1004,1,MATCH(COLUMNS($AO$1006:AU1006),$AO$1006:$BQ$1006,0)))),"Fix")))</f>
        <v>#N/A</v>
      </c>
      <c r="I825" s="5" t="e">
        <f ca="1">IF(OR(INDEX($AI$2:$AI$1001,MATCH(ROWS($AH$2:AH825),$AH$2:$AH$1001,0),1)&gt;=100000,INDEX($AO$1005:$BQ$1005,1,MATCH(COLUMNS($AO$1006:AV1006),$AO$1006:$BQ$1006,0))&gt;=100000), " ",IF(INDEX($AO$2:$BQ$1001,MATCH(ROWS($AH$2:AH825),$AH$2:$AH$1001,0),MATCH(COLUMNS($AO$1006:AV1006),$AO$1006:$BQ$1006,0)), HYPERLINK("#",""), HYPERLINK(CONCATENATE("#Metadata!", ADDRESS(INDEX($AJ$2:$AJ$1001,MATCH(ROWS($AH$2:AH825),$AH$2:$AH$1001,0),0), INDEX($AO$1004:$BQ$1004,1,MATCH(COLUMNS($AO$1006:AV1006),$AO$1006:$BQ$1006,0)))),"Fix")))</f>
        <v>#N/A</v>
      </c>
      <c r="J825" s="5" t="e">
        <f ca="1">IF(OR(INDEX($AI$2:$AI$1001,MATCH(ROWS($AH$2:AH825),$AH$2:$AH$1001,0),1)&gt;=100000,INDEX($AO$1005:$BQ$1005,1,MATCH(COLUMNS($AO$1006:AW1006),$AO$1006:$BQ$1006,0))&gt;=100000), " ",IF(INDEX($AO$2:$BQ$1001,MATCH(ROWS($AH$2:AH825),$AH$2:$AH$1001,0),MATCH(COLUMNS($AO$1006:AW1006),$AO$1006:$BQ$1006,0)), HYPERLINK("#",""), HYPERLINK(CONCATENATE("#Metadata!", ADDRESS(INDEX($AJ$2:$AJ$1001,MATCH(ROWS($AH$2:AH825),$AH$2:$AH$1001,0),0), INDEX($AO$1004:$BQ$1004,1,MATCH(COLUMNS($AO$1006:AW1006),$AO$1006:$BQ$1006,0)))),"Fix")))</f>
        <v>#N/A</v>
      </c>
      <c r="K825" s="5" t="e">
        <f ca="1">IF(OR(INDEX($AI$2:$AI$1001,MATCH(ROWS($AH$2:AH825),$AH$2:$AH$1001,0),1)&gt;=100000,INDEX($AO$1005:$BQ$1005,1,MATCH(COLUMNS($AO$1006:AX1006),$AO$1006:$BQ$1006,0))&gt;=100000), " ",IF(INDEX($AO$2:$BQ$1001,MATCH(ROWS($AH$2:AH825),$AH$2:$AH$1001,0),MATCH(COLUMNS($AO$1006:AX1006),$AO$1006:$BQ$1006,0)), HYPERLINK("#",""), HYPERLINK(CONCATENATE("#Metadata!", ADDRESS(INDEX($AJ$2:$AJ$1001,MATCH(ROWS($AH$2:AH825),$AH$2:$AH$1001,0),0), INDEX($AO$1004:$BQ$1004,1,MATCH(COLUMNS($AO$1006:AX1006),$AO$1006:$BQ$1006,0)))),"Fix")))</f>
        <v>#N/A</v>
      </c>
      <c r="L825" s="5" t="e">
        <f ca="1">IF(OR(INDEX($AI$2:$AI$1001,MATCH(ROWS($AH$2:AH825),$AH$2:$AH$1001,0),1)&gt;=100000,INDEX($AO$1005:$BQ$1005,1,MATCH(COLUMNS($AO$1006:AY1006),$AO$1006:$BQ$1006,0))&gt;=100000), " ",IF(INDEX($AO$2:$BQ$1001,MATCH(ROWS($AH$2:AH825),$AH$2:$AH$1001,0),MATCH(COLUMNS($AO$1006:AY1006),$AO$1006:$BQ$1006,0)), HYPERLINK("#",""), HYPERLINK(CONCATENATE("#Metadata!", ADDRESS(INDEX($AJ$2:$AJ$1001,MATCH(ROWS($AH$2:AH825),$AH$2:$AH$1001,0),0), INDEX($AO$1004:$BQ$1004,1,MATCH(COLUMNS($AO$1006:AY1006),$AO$1006:$BQ$1006,0)))),"Fix")))</f>
        <v>#N/A</v>
      </c>
      <c r="M825" s="5" t="e">
        <f ca="1">IF(OR(INDEX($AI$2:$AI$1001,MATCH(ROWS($AH$2:AH825),$AH$2:$AH$1001,0),1)&gt;=100000,INDEX($AO$1005:$BQ$1005,1,MATCH(COLUMNS($AO$1006:AZ1006),$AO$1006:$BQ$1006,0))&gt;=100000), " ",IF(INDEX($AO$2:$BQ$1001,MATCH(ROWS($AH$2:AH825),$AH$2:$AH$1001,0),MATCH(COLUMNS($AO$1006:AZ1006),$AO$1006:$BQ$1006,0)), HYPERLINK("#",""), HYPERLINK(CONCATENATE("#Metadata!", ADDRESS(INDEX($AJ$2:$AJ$1001,MATCH(ROWS($AH$2:AH825),$AH$2:$AH$1001,0),0), INDEX($AO$1004:$BQ$1004,1,MATCH(COLUMNS($AO$1006:AZ1006),$AO$1006:$BQ$1006,0)))),"Fix")))</f>
        <v>#N/A</v>
      </c>
      <c r="N825" s="5" t="e">
        <f ca="1">IF(OR(INDEX($AI$2:$AI$1001,MATCH(ROWS($AH$2:AH825),$AH$2:$AH$1001,0),1)&gt;=100000,INDEX($AO$1005:$BQ$1005,1,MATCH(COLUMNS($AO$1006:BA1006),$AO$1006:$BQ$1006,0))&gt;=100000), " ",IF(INDEX($AO$2:$BQ$1001,MATCH(ROWS($AH$2:AH825),$AH$2:$AH$1001,0),MATCH(COLUMNS($AO$1006:BA1006),$AO$1006:$BQ$1006,0)), HYPERLINK("#",""), HYPERLINK(CONCATENATE("#Metadata!", ADDRESS(INDEX($AJ$2:$AJ$1001,MATCH(ROWS($AH$2:AH825),$AH$2:$AH$1001,0),0), INDEX($AO$1004:$BQ$1004,1,MATCH(COLUMNS($AO$1006:BA1006),$AO$1006:$BQ$1006,0)))),"Fix")))</f>
        <v>#N/A</v>
      </c>
      <c r="O825" s="5" t="e">
        <f ca="1">IF(OR(INDEX($AI$2:$AI$1001,MATCH(ROWS($AH$2:AH825),$AH$2:$AH$1001,0),1)&gt;=100000,INDEX($AO$1005:$BQ$1005,1,MATCH(COLUMNS($AO$1006:BB1006),$AO$1006:$BQ$1006,0))&gt;=100000), " ",IF(INDEX($AO$2:$BQ$1001,MATCH(ROWS($AH$2:AH825),$AH$2:$AH$1001,0),MATCH(COLUMNS($AO$1006:BB1006),$AO$1006:$BQ$1006,0)), HYPERLINK("#",""), HYPERLINK(CONCATENATE("#Metadata!", ADDRESS(INDEX($AJ$2:$AJ$1001,MATCH(ROWS($AH$2:AH825),$AH$2:$AH$1001,0),0), INDEX($AO$1004:$BQ$1004,1,MATCH(COLUMNS($AO$1006:BB1006),$AO$1006:$BQ$1006,0)))),"Fix")))</f>
        <v>#N/A</v>
      </c>
      <c r="P825" s="5" t="e">
        <f ca="1">IF(OR(INDEX($AI$2:$AI$1001,MATCH(ROWS($AH$2:AH825),$AH$2:$AH$1001,0),1)&gt;=100000,INDEX($AO$1005:$BQ$1005,1,MATCH(COLUMNS($AO$1006:BC1006),$AO$1006:$BQ$1006,0))&gt;=100000), " ",IF(INDEX($AO$2:$BQ$1001,MATCH(ROWS($AH$2:AH825),$AH$2:$AH$1001,0),MATCH(COLUMNS($AO$1006:BC1006),$AO$1006:$BQ$1006,0)), HYPERLINK("#",""), HYPERLINK(CONCATENATE("#Metadata!", ADDRESS(INDEX($AJ$2:$AJ$1001,MATCH(ROWS($AH$2:AH825),$AH$2:$AH$1001,0),0), INDEX($AO$1004:$BQ$1004,1,MATCH(COLUMNS($AO$1006:BC1006),$AO$1006:$BQ$1006,0)))),"Fix")))</f>
        <v>#N/A</v>
      </c>
      <c r="Q825" s="5" t="e">
        <f ca="1">IF(OR(INDEX($AI$2:$AI$1001,MATCH(ROWS($AH$2:AH825),$AH$2:$AH$1001,0),1)&gt;=100000,INDEX($AO$1005:$BQ$1005,1,MATCH(COLUMNS($AO$1006:BD1006),$AO$1006:$BQ$1006,0))&gt;=100000), " ",IF(INDEX($AO$2:$BQ$1001,MATCH(ROWS($AH$2:AH825),$AH$2:$AH$1001,0),MATCH(COLUMNS($AO$1006:BD1006),$AO$1006:$BQ$1006,0)), HYPERLINK("#",""), HYPERLINK(CONCATENATE("#Metadata!", ADDRESS(INDEX($AJ$2:$AJ$1001,MATCH(ROWS($AH$2:AH825),$AH$2:$AH$1001,0),0), INDEX($AO$1004:$BQ$1004,1,MATCH(COLUMNS($AO$1006:BD1006),$AO$1006:$BQ$1006,0)))),"Fix")))</f>
        <v>#N/A</v>
      </c>
      <c r="R825" s="5" t="e">
        <f ca="1">IF(OR(INDEX($AI$2:$AI$1001,MATCH(ROWS($AH$2:AH825),$AH$2:$AH$1001,0),1)&gt;=100000,INDEX($AO$1005:$BQ$1005,1,MATCH(COLUMNS($AO$1006:BE1006),$AO$1006:$BQ$1006,0))&gt;=100000), " ",IF(INDEX($AO$2:$BQ$1001,MATCH(ROWS($AH$2:AH825),$AH$2:$AH$1001,0),MATCH(COLUMNS($AO$1006:BE1006),$AO$1006:$BQ$1006,0)), HYPERLINK("#",""), HYPERLINK(CONCATENATE("#Metadata!", ADDRESS(INDEX($AJ$2:$AJ$1001,MATCH(ROWS($AH$2:AH825),$AH$2:$AH$1001,0),0), INDEX($AO$1004:$BQ$1004,1,MATCH(COLUMNS($AO$1006:BE1006),$AO$1006:$BQ$1006,0)))),"Fix")))</f>
        <v>#N/A</v>
      </c>
      <c r="S825" s="5" t="e">
        <f ca="1">IF(OR(INDEX($AI$2:$AI$1001,MATCH(ROWS($AH$2:AH825),$AH$2:$AH$1001,0),1)&gt;=100000,INDEX($AO$1005:$BQ$1005,1,MATCH(COLUMNS($AO$1006:BF1006),$AO$1006:$BQ$1006,0))&gt;=100000), " ",IF(INDEX($AO$2:$BQ$1001,MATCH(ROWS($AH$2:AH825),$AH$2:$AH$1001,0),MATCH(COLUMNS($AO$1006:BF1006),$AO$1006:$BQ$1006,0)), HYPERLINK("#",""), HYPERLINK(CONCATENATE("#Metadata!", ADDRESS(INDEX($AJ$2:$AJ$1001,MATCH(ROWS($AH$2:AH825),$AH$2:$AH$1001,0),0), INDEX($AO$1004:$BQ$1004,1,MATCH(COLUMNS($AO$1006:BF1006),$AO$1006:$BQ$1006,0)))),"Fix")))</f>
        <v>#N/A</v>
      </c>
      <c r="T825" s="5" t="e">
        <f ca="1">IF(OR(INDEX($AI$2:$AI$1001,MATCH(ROWS($AH$2:AH825),$AH$2:$AH$1001,0),1)&gt;=100000,INDEX($AO$1005:$BQ$1005,1,MATCH(COLUMNS($AO$1006:BG1006),$AO$1006:$BQ$1006,0))&gt;=100000), " ",IF(INDEX($AO$2:$BQ$1001,MATCH(ROWS($AH$2:AH825),$AH$2:$AH$1001,0),MATCH(COLUMNS($AO$1006:BG1006),$AO$1006:$BQ$1006,0)), HYPERLINK("#",""), HYPERLINK(CONCATENATE("#Metadata!", ADDRESS(INDEX($AJ$2:$AJ$1001,MATCH(ROWS($AH$2:AH825),$AH$2:$AH$1001,0),0), INDEX($AO$1004:$BQ$1004,1,MATCH(COLUMNS($AO$1006:BG1006),$AO$1006:$BQ$1006,0)))),"Fix")))</f>
        <v>#N/A</v>
      </c>
      <c r="U825" s="5" t="e">
        <f ca="1">IF(OR(INDEX($AI$2:$AI$1001,MATCH(ROWS($AH$2:AH825),$AH$2:$AH$1001,0),1)&gt;=100000,INDEX($AO$1005:$BQ$1005,1,MATCH(COLUMNS($AO$1006:BH1006),$AO$1006:$BQ$1006,0))&gt;=100000), " ",IF(INDEX($AO$2:$BQ$1001,MATCH(ROWS($AH$2:AH825),$AH$2:$AH$1001,0),MATCH(COLUMNS($AO$1006:BH1006),$AO$1006:$BQ$1006,0)), HYPERLINK("#",""), HYPERLINK(CONCATENATE("#Metadata!", ADDRESS(INDEX($AJ$2:$AJ$1001,MATCH(ROWS($AH$2:AH825),$AH$2:$AH$1001,0),0), INDEX($AO$1004:$BQ$1004,1,MATCH(COLUMNS($AO$1006:BH1006),$AO$1006:$BQ$1006,0)))),"Fix")))</f>
        <v>#N/A</v>
      </c>
      <c r="V825" s="5" t="e">
        <f ca="1">IF(OR(INDEX($AI$2:$AI$1001,MATCH(ROWS($AH$2:AH825),$AH$2:$AH$1001,0),1)&gt;=100000,INDEX($AO$1005:$BQ$1005,1,MATCH(COLUMNS($AO$1006:BI1006),$AO$1006:$BQ$1006,0))&gt;=100000), " ",IF(INDEX($AO$2:$BQ$1001,MATCH(ROWS($AH$2:AH825),$AH$2:$AH$1001,0),MATCH(COLUMNS($AO$1006:BI1006),$AO$1006:$BQ$1006,0)), HYPERLINK("#",""), HYPERLINK(CONCATENATE("#Metadata!", ADDRESS(INDEX($AJ$2:$AJ$1001,MATCH(ROWS($AH$2:AH825),$AH$2:$AH$1001,0),0), INDEX($AO$1004:$BQ$1004,1,MATCH(COLUMNS($AO$1006:BI1006),$AO$1006:$BQ$1006,0)))),"Fix")))</f>
        <v>#N/A</v>
      </c>
      <c r="W825" s="5" t="e">
        <f ca="1">IF(OR(INDEX($AI$2:$AI$1001,MATCH(ROWS($AH$2:AH825),$AH$2:$AH$1001,0),1)&gt;=100000,INDEX($AO$1005:$BQ$1005,1,MATCH(COLUMNS($AO$1006:BJ1006),$AO$1006:$BQ$1006,0))&gt;=100000), " ",IF(INDEX($AO$2:$BQ$1001,MATCH(ROWS($AH$2:AH825),$AH$2:$AH$1001,0),MATCH(COLUMNS($AO$1006:BJ1006),$AO$1006:$BQ$1006,0)), HYPERLINK("#",""), HYPERLINK(CONCATENATE("#Metadata!", ADDRESS(INDEX($AJ$2:$AJ$1001,MATCH(ROWS($AH$2:AH825),$AH$2:$AH$1001,0),0), INDEX($AO$1004:$BQ$1004,1,MATCH(COLUMNS($AO$1006:BJ1006),$AO$1006:$BQ$1006,0)))),"Fix")))</f>
        <v>#N/A</v>
      </c>
      <c r="X825" s="5" t="e">
        <f ca="1">IF(OR(INDEX($AI$2:$AI$1001,MATCH(ROWS($AH$2:AH825),$AH$2:$AH$1001,0),1)&gt;=100000,INDEX($AO$1005:$BQ$1005,1,MATCH(COLUMNS($AO$1006:BK1006),$AO$1006:$BQ$1006,0))&gt;=100000), " ",IF(INDEX($AO$2:$BQ$1001,MATCH(ROWS($AH$2:AH825),$AH$2:$AH$1001,0),MATCH(COLUMNS($AO$1006:BK1006),$AO$1006:$BQ$1006,0)), HYPERLINK("#",""), HYPERLINK(CONCATENATE("#Metadata!", ADDRESS(INDEX($AJ$2:$AJ$1001,MATCH(ROWS($AH$2:AH825),$AH$2:$AH$1001,0),0), INDEX($AO$1004:$BQ$1004,1,MATCH(COLUMNS($AO$1006:BK1006),$AO$1006:$BQ$1006,0)))),"Fix")))</f>
        <v>#N/A</v>
      </c>
      <c r="Y825" s="5" t="e">
        <f ca="1">IF(OR(INDEX($AI$2:$AI$1001,MATCH(ROWS($AH$2:AH825),$AH$2:$AH$1001,0),1)&gt;=100000,INDEX($AO$1005:$BQ$1005,1,MATCH(COLUMNS($AO$1006:BL1006),$AO$1006:$BQ$1006,0))&gt;=100000), " ",IF(INDEX($AO$2:$BQ$1001,MATCH(ROWS($AH$2:AH825),$AH$2:$AH$1001,0),MATCH(COLUMNS($AO$1006:BL1006),$AO$1006:$BQ$1006,0)), HYPERLINK("#",""), HYPERLINK(CONCATENATE("#Metadata!", ADDRESS(INDEX($AJ$2:$AJ$1001,MATCH(ROWS($AH$2:AH825),$AH$2:$AH$1001,0),0), INDEX($AO$1004:$BQ$1004,1,MATCH(COLUMNS($AO$1006:BL1006),$AO$1006:$BQ$1006,0)))),"Fix")))</f>
        <v>#N/A</v>
      </c>
      <c r="Z825" s="5" t="e">
        <f ca="1">IF(OR(INDEX($AI$2:$AI$1001,MATCH(ROWS($AH$2:AH825),$AH$2:$AH$1001,0),1)&gt;=100000,INDEX($AO$1005:$BQ$1005,1,MATCH(COLUMNS($AO$1006:BM1006),$AO$1006:$BQ$1006,0))&gt;=100000), " ",IF(INDEX($AO$2:$BQ$1001,MATCH(ROWS($AH$2:AH825),$AH$2:$AH$1001,0),MATCH(COLUMNS($AO$1006:BM1006),$AO$1006:$BQ$1006,0)), HYPERLINK("#",""), HYPERLINK(CONCATENATE("#Metadata!", ADDRESS(INDEX($AJ$2:$AJ$1001,MATCH(ROWS($AH$2:AH825),$AH$2:$AH$1001,0),0), INDEX($AO$1004:$BQ$1004,1,MATCH(COLUMNS($AO$1006:BM1006),$AO$1006:$BQ$1006,0)))),"Fix")))</f>
        <v>#N/A</v>
      </c>
      <c r="AA825" s="5" t="e">
        <f ca="1">IF(OR(INDEX($AI$2:$AI$1001,MATCH(ROWS($AH$2:AH825),$AH$2:$AH$1001,0),1)&gt;=100000,INDEX($AO$1005:$BQ$1005,1,MATCH(COLUMNS($AO$1006:BN1006),$AO$1006:$BQ$1006,0))&gt;=100000), " ",IF(INDEX($AO$2:$BQ$1001,MATCH(ROWS($AH$2:AH825),$AH$2:$AH$1001,0),MATCH(COLUMNS($AO$1006:BN1006),$AO$1006:$BQ$1006,0)), HYPERLINK("#",""), HYPERLINK(CONCATENATE("#Metadata!", ADDRESS(INDEX($AJ$2:$AJ$1001,MATCH(ROWS($AH$2:AH825),$AH$2:$AH$1001,0),0), INDEX($AO$1004:$BQ$1004,1,MATCH(COLUMNS($AO$1006:BN1006),$AO$1006:$BQ$1006,0)))),"Fix")))</f>
        <v>#N/A</v>
      </c>
      <c r="AB825" s="5" t="e">
        <f ca="1">IF(OR(INDEX($AI$2:$AI$1001,MATCH(ROWS($AH$2:AH825),$AH$2:$AH$1001,0),1)&gt;=100000,INDEX($AO$1005:$BQ$1005,1,MATCH(COLUMNS($AO$1006:BO1006),$AO$1006:$BQ$1006,0))&gt;=100000), " ",IF(INDEX($AO$2:$BQ$1001,MATCH(ROWS($AH$2:AH825),$AH$2:$AH$1001,0),MATCH(COLUMNS($AO$1006:BO1006),$AO$1006:$BQ$1006,0)), HYPERLINK("#",""), HYPERLINK(CONCATENATE("#Metadata!", ADDRESS(INDEX($AJ$2:$AJ$1001,MATCH(ROWS($AH$2:AH825),$AH$2:$AH$1001,0),0), INDEX($AO$1004:$BQ$1004,1,MATCH(COLUMNS($AO$1006:BO1006),$AO$1006:$BQ$1006,0)))),"Fix")))</f>
        <v>#N/A</v>
      </c>
      <c r="AC825" s="5" t="e">
        <f ca="1">IF(OR(INDEX($AI$2:$AI$1001,MATCH(ROWS($AH$2:AH825),$AH$2:$AH$1001,0),1)&gt;=100000,INDEX($AO$1005:$BQ$1005,1,MATCH(COLUMNS($AO$1006:BP1006),$AO$1006:$BQ$1006,0))&gt;=100000), " ",IF(INDEX($AO$2:$BQ$1001,MATCH(ROWS($AH$2:AH825),$AH$2:$AH$1001,0),MATCH(COLUMNS($AO$1006:BP1006),$AO$1006:$BQ$1006,0)), HYPERLINK("#",""), HYPERLINK(CONCATENATE("#Metadata!", ADDRESS(INDEX($AJ$2:$AJ$1001,MATCH(ROWS($AH$2:AH825),$AH$2:$AH$1001,0),0), INDEX($AO$1004:$BQ$1004,1,MATCH(COLUMNS($AO$1006:BP1006),$AO$1006:$BQ$1006,0)))),"Fix")))</f>
        <v>#N/A</v>
      </c>
      <c r="AD825" s="5" t="e">
        <f ca="1">IF(OR(INDEX($AI$2:$AI$1001,MATCH(ROWS($AH$2:AH825),$AH$2:$AH$1001,0),1)&gt;=100000,INDEX($AO$1005:$BQ$1005,1,MATCH(COLUMNS($AO$1006:BQ1006),$AO$1006:$BQ$1006,0))&gt;=100000), " ",IF(INDEX($AO$2:$BQ$1001,MATCH(ROWS($AH$2:AH825),$AH$2:$AH$1001,0),MATCH(COLUMNS($AO$1006:BQ1006),$AO$1006:$BQ$1006,0)), HYPERLINK("#",""), HYPERLINK(CONCATENATE("#Metadata!", ADDRESS(INDEX($AJ$2:$AJ$1001,MATCH(ROWS($AH$2:AH825),$AH$2:$AH$1001,0),0), INDEX($AO$1004:$BQ$1004,1,MATCH(COLUMNS($AO$1006:BQ1006),$AO$1006:$BQ$1006,0)))),"Fix")))</f>
        <v>#REF!</v>
      </c>
      <c r="AH825">
        <f ca="1"/>
        <v>822</v>
      </c>
      <c r="AI825">
        <v>100825</v>
      </c>
      <c r="AJ825">
        <v>825</v>
      </c>
      <c r="AK825" t="b">
        <f t="shared" si="12"/>
        <v>1</v>
      </c>
      <c r="AL825" t="b">
        <f>COUNTBLANK(Metadata!B825:AD825)=COLUMNS(Metadata!B825:AD825)</f>
        <v>1</v>
      </c>
      <c r="AM825" t="str">
        <v/>
      </c>
      <c r="AO825" t="b">
        <f ca="1">AND(IF(Metadata!B825="",FALSE,TRUE),COUNTIF(Metadata!B:B, Metadata!B825) = 1,NOT(ISERROR(SUMPRODUCT(SEARCH(MID(Metadata!B825,ROW(INDIRECT("1:"&amp;LEN(Metadata!B825))), 1),"0123456789abcdefghijklmnopqrstuvwxyzABCDEFGHIJKLMNOPQRSTUVWXYZ.")))))</f>
        <v>0</v>
      </c>
      <c r="AP825" t="b">
        <f>IF(Metadata!C825="",FALSE,TRUE)</f>
        <v>0</v>
      </c>
      <c r="AQ825" t="b">
        <f>IF(Metadata!D825="",FALSE,TRUE)</f>
        <v>0</v>
      </c>
      <c r="AR825" t="b">
        <f ca="1">OR(AND(IF(Metadata!E825="",FALSE,TRUE),OR(EXACT(Metadata!E825,"not collected"),EXACT(Metadata!E825,"not provided"),EXACT(Metadata!E825,"restricted access"))),AND(IF(Metadata!E825="",FALSE,TRUE),AND(AND(IFERROR(INT(LEFT(Metadata!E825,4))&gt;1900,FALSE),IFERROR(INT(LEFT(Metadata!E825,4))&lt;=YEAR(NOW()),FALSE)), OR(MID(Metadata!E825,5,1)="", AND(AND(MID(Metadata!E825,5,1)="-",IFERROR(INT(MID(Metadata!E825,6,1))&gt;=0,FALSE),IFERROR(INT(MID(Metadata!E825,6,1))&lt;=1,FALSE),NOT(MID(Metadata!E825,7,1)=""),IFERROR(INT(MID(Metadata!E825,6,2))&gt;=1,FALSE),IFERROR(INT(MID(Metadata!E825,6,2))&lt;=12,FALSE)), OR(MID(Metadata!E825,8,1)="", AND(AND(MID(Metadata!E825,8,1)="-",IFERROR(INT(MID(Metadata!E825,9,1))&gt;=0,FALSE),IFERROR(INT(MID(Metadata!E825,9,1))&lt;=3,FALSE),NOT(MID(Metadata!E825,10,1)=""),IFERROR(INT(MID(Metadata!E825,9,2))&gt;=1,FALSE),IFERROR(INT(MID(Metadata!E825,9,2))&lt;=31,FALSE)), OR(MID(Metadata!E825,11,1)="", AND(AND(MID(Metadata!E825,11,1)=" ",IFERROR(INT(MID(Metadata!E825,12,1))&gt;=0,FALSE),IFERROR(INT(MID(Metadata!E825,12,1))&lt;=2,FALSE),NOT(MID(Metadata!E825,13,1)=""),IFERROR(INT(MID(Metadata!E825,12,2))&gt;=0,FALSE),IFERROR(INT(MID(Metadata!E825,12,2))&lt;=23,FALSE)), OR(MID(Metadata!E825,14,1)="", AND(AND(MID(Metadata!E825,14,1)=":",IFERROR(INT(MID(Metadata!E825,15,1))&gt;=0,FALSE),IFERROR(INT(MID(Metadata!E825,15,1))&lt;=5,FALSE),NOT(MID(Metadata!E825,16,1)=""),IFERROR(INT(MID(Metadata!E825,15,2))&gt;=0,FALSE),IFERROR(INT(MID(Metadata!E825,15,2))&lt;=59,FALSE)), OR(MID(Metadata!E825,17,1)="", AND(AND(MID(Metadata!E825,17,1)=":",IFERROR(INT(MID(Metadata!E825,18,1))&gt;=0,FALSE),IFERROR(INT(MID(Metadata!E825,18,1))&lt;=5,FALSE),NOT(MID(Metadata!E825,19,1)=""),IFERROR(INT(MID(Metadata!E825,18,2))&gt;=0,FALSE),IFERROR(INT(MID(Metadata!E825,18,2))&lt;=59,FALSE)), LEN(Metadata!E825)&lt;=19)))))))))))))</f>
        <v>0</v>
      </c>
      <c r="AS825" t="b">
        <f>IF(Metadata!F825="",FALSE,TRUE)</f>
        <v>0</v>
      </c>
      <c r="AT825" t="b">
        <f>OR(AND(IF(Metadata!G825="",FALSE,TRUE),OR(EXACT(Metadata!G825,"not collected"),EXACT(Metadata!G825,"not provided"))),AND(IF(Metadata!G825="",FALSE,TRUE),OR(EXACT(Metadata!G825,"TRUE"),EXACT(Metadata!G825,"FALSE"))))</f>
        <v>0</v>
      </c>
      <c r="AU825" t="b">
        <f>OR(AND(IF(Metadata!H825="",FALSE,TRUE),OR(EXACT(Metadata!H825,"not collected"),EXACT(Metadata!H825,"not provided"),EXACT(Metadata!H825,"restricted access"))),AND(IF(Metadata!H825="",FALSE,ISNUMBER(VALUE(Metadata!H825))),Metadata!H825&gt;=-413))</f>
        <v>0</v>
      </c>
      <c r="AV825" t="b">
        <f>AND(IF(Metadata!I825="",FALSE,TRUE),EXACT(Metadata!I825,"meters"))</f>
        <v>0</v>
      </c>
      <c r="AW825" t="b">
        <f>AND(IF(Metadata!J825="",FALSE,TRUE),EXACT(Metadata!J825,"free-living"))</f>
        <v>0</v>
      </c>
      <c r="AX825" t="b">
        <f>AND(IF(Metadata!K825="",FALSE,TRUE),OR(EXACT(Metadata!K825,"saline"),EXACT(Metadata!K825,"non-saline")))</f>
        <v>0</v>
      </c>
      <c r="AY825" t="b">
        <f>AND(IF(Metadata!L825="",FALSE,TRUE),OR(EXACT(Metadata!L825,"sub-surface (non-saline)"),EXACT(Metadata!L825,"surface (non-saline)"),EXACT(Metadata!L825,"water (non-saline)"),EXACT(Metadata!L825,"soil (non-saline)"),EXACT(Metadata!L825,"aerosol (non-saline)"),EXACT(Metadata!L825,"sediment (non-saline)"),EXACT(Metadata!L825,"surface (saline)"),EXACT(Metadata!L825,"water (saline)"),EXACT(Metadata!L825,"hypersaline (saline)"),EXACT(Metadata!L825,"aerosol (saline)"),EXACT(Metadata!L825,"sediment (saline)")))</f>
        <v>0</v>
      </c>
      <c r="AZ825" t="b">
        <f>IF(Metadata!M825="",FALSE,TRUE)</f>
        <v>0</v>
      </c>
      <c r="BA825" t="b">
        <f>IF(Metadata!N825="",FALSE,TRUE)</f>
        <v>0</v>
      </c>
      <c r="BB825" t="b">
        <f>IF(Metadata!O825="",FALSE,TRUE)</f>
        <v>0</v>
      </c>
      <c r="BC825" t="b">
        <f>AND(IF(Metadata!P825="",FALSE,TRUE),OR(EXACT(Metadata!P825,"air"),EXACT(Metadata!P825,"microbial mat/biofilm"),EXACT(Metadata!P825,"misc environment"),EXACT(Metadata!P825,"sediment"),EXACT(Metadata!P825,"soil"),EXACT(Metadata!P825,"wastewater/sludge"),EXACT(Metadata!P825,"water")))</f>
        <v>0</v>
      </c>
      <c r="BD825" t="b">
        <f>IF(Metadata!Q825="",FALSE,TRUE)</f>
        <v>0</v>
      </c>
      <c r="BE825" t="b">
        <f>IF(Metadata!R825="",FALSE,TRUE)</f>
        <v>0</v>
      </c>
      <c r="BF825" t="b">
        <f>OR(AND(IF(Metadata!S825="",FALSE,TRUE),OR(EXACT(Metadata!S825,"not collected"),EXACT(Metadata!S825,"not provided"),EXACT(Metadata!S825,"restricted access"))),AND(IF(Metadata!S825="",FALSE,ISNUMBER(VALUE(Metadata!S825))),Metadata!S825&gt;=-90,Metadata!S825&lt;=90))</f>
        <v>0</v>
      </c>
      <c r="BG825" t="b">
        <f>AND(IF(Metadata!T825="",FALSE,TRUE),EXACT(Metadata!T825,"Decimal degrees"))</f>
        <v>0</v>
      </c>
      <c r="BH825" t="b">
        <f>OR(AND(IF(Metadata!U825="",FALSE,TRUE),OR(EXACT(Metadata!U825,"not applicable"),EXACT(Metadata!U825,"not collected"))),IF(Metadata!U825="",FALSE,TRUE))</f>
        <v>0</v>
      </c>
      <c r="BI825" t="b">
        <f>OR(AND(IF(Metadata!V825="",FALSE,TRUE),OR(EXACT(Metadata!V825,"not collected"),EXACT(Metadata!V825,"not provided"),EXACT(Metadata!V825,"restricted access"))),AND(IF(Metadata!V825="",FALSE,ISNUMBER(VALUE(Metadata!V825))),Metadata!V825&gt;=-180,Metadata!V825&lt;=180))</f>
        <v>0</v>
      </c>
      <c r="BJ825" t="b">
        <f>AND(IF(Metadata!W825="",FALSE,TRUE),EXACT(Metadata!W825,"Decimal degrees"))</f>
        <v>0</v>
      </c>
      <c r="BK825" t="b">
        <f>IF(Metadata!X825="",FALSE,TRUE)</f>
        <v>0</v>
      </c>
      <c r="BL825" t="b">
        <f>OR(AND(IF(Metadata!Y825="",FALSE,TRUE),OR(EXACT(Metadata!Y825,"not collected"),EXACT(Metadata!Y825,"not provided"),EXACT(Metadata!Y825,"restricted access"))),AND(IF(Metadata!Y825="",FALSE,TRUE),OR(EXACT(Metadata!Y825,"TRUE"),EXACT(Metadata!Y825,"FALSE"))))</f>
        <v>0</v>
      </c>
      <c r="BM825" t="b">
        <f>OR(AND(IF(Metadata!Z825="",FALSE,TRUE),EXACT(Metadata!Z825,"not applicable")),AND(IF(Metadata!Z825="",FALSE,TRUE),OR(EXACT(Metadata!Z825,"beer"),EXACT(Metadata!Z825,"cheese"),EXACT(Metadata!Z825,"fresh water"),EXACT(Metadata!Z825,"marine sediment"),EXACT(Metadata!Z825,"sea water"),EXACT(Metadata!Z825,"sediment"),EXACT(Metadata!Z825,"soil"),EXACT(Metadata!Z825,"waste water"))))</f>
        <v>0</v>
      </c>
      <c r="BN825" t="b">
        <f>AND(IF(Metadata!AA825="",FALSE,TRUE),EXACT(Metadata!AA825,"metagenome"))</f>
        <v>0</v>
      </c>
      <c r="BO825" t="b">
        <f>AND(IF(Metadata!AB825="",FALSE,TRUE),EXACT(Metadata!AB825,"256318"))</f>
        <v>0</v>
      </c>
      <c r="BP825" t="b">
        <f>IF(Metadata!AC825="",FALSE,TRUE)</f>
        <v>0</v>
      </c>
      <c r="BQ825" t="b">
        <f>IF(Metadata!AD825="",FALSE,TRUE)</f>
        <v>0</v>
      </c>
    </row>
    <row r="826" spans="1:69" x14ac:dyDescent="0.2">
      <c r="A826" s="4" t="e">
        <f ca="1">IF(B826=" "," ",HYPERLINK(CONCATENATE("#metadata!",ADDRESS(INDEX($AJ$2:$AJ$1001,MATCH(ROWS($AH$2:AH826),$AH$2:$AH$1001,0),0),2)),INDEX($AM$2:$AM$1001,MATCH(ROWS($AH$2:AH826),$AH$2:$AH$1001,0),0)))</f>
        <v>#N/A</v>
      </c>
      <c r="B826" s="5" t="e">
        <f ca="1">IF(OR(INDEX($AI$2:$AI$1001,MATCH(ROWS($AH$2:AH826),$AH$2:$AH$1001,0),1)&gt;=100000,INDEX($AO$1005:$BQ$1005,1,MATCH(COLUMNS($AO$1006:AO1006),$AO$1006:$BQ$1006,0))&gt;=100000), " ",IF(INDEX($AO$2:$BQ$1001,MATCH(ROWS($AH$2:AH826),$AH$2:$AH$1001,0),MATCH(COLUMNS($AO$1006:AO1006),$AO$1006:$BQ$1006,0)), HYPERLINK("#",""), HYPERLINK(CONCATENATE("#Metadata!", ADDRESS(INDEX($AJ$2:$AJ$1001,MATCH(ROWS($AH$2:AH826),$AH$2:$AH$1001,0),0), INDEX($AO$1004:$BQ$1004,1,MATCH(COLUMNS($AO$1006:AO1006),$AO$1006:$BQ$1006,0)))),"Fix")))</f>
        <v>#N/A</v>
      </c>
      <c r="C826" s="5" t="e">
        <f ca="1">IF(OR(INDEX($AI$2:$AI$1001,MATCH(ROWS($AH$2:AH826),$AH$2:$AH$1001,0),1)&gt;=100000,INDEX($AO$1005:$BQ$1005,1,MATCH(COLUMNS($AO$1006:AP1006),$AO$1006:$BQ$1006,0))&gt;=100000), " ",IF(INDEX($AO$2:$BQ$1001,MATCH(ROWS($AH$2:AH826),$AH$2:$AH$1001,0),MATCH(COLUMNS($AO$1006:AP1006),$AO$1006:$BQ$1006,0)), HYPERLINK("#",""), HYPERLINK(CONCATENATE("#Metadata!", ADDRESS(INDEX($AJ$2:$AJ$1001,MATCH(ROWS($AH$2:AH826),$AH$2:$AH$1001,0),0), INDEX($AO$1004:$BQ$1004,1,MATCH(COLUMNS($AO$1006:AP1006),$AO$1006:$BQ$1006,0)))),"Fix")))</f>
        <v>#N/A</v>
      </c>
      <c r="D826" s="5" t="e">
        <f ca="1">IF(OR(INDEX($AI$2:$AI$1001,MATCH(ROWS($AH$2:AH826),$AH$2:$AH$1001,0),1)&gt;=100000,INDEX($AO$1005:$BQ$1005,1,MATCH(COLUMNS($AO$1006:AQ1006),$AO$1006:$BQ$1006,0))&gt;=100000), " ",IF(INDEX($AO$2:$BQ$1001,MATCH(ROWS($AH$2:AH826),$AH$2:$AH$1001,0),MATCH(COLUMNS($AO$1006:AQ1006),$AO$1006:$BQ$1006,0)), HYPERLINK("#",""), HYPERLINK(CONCATENATE("#Metadata!", ADDRESS(INDEX($AJ$2:$AJ$1001,MATCH(ROWS($AH$2:AH826),$AH$2:$AH$1001,0),0), INDEX($AO$1004:$BQ$1004,1,MATCH(COLUMNS($AO$1006:AQ1006),$AO$1006:$BQ$1006,0)))),"Fix")))</f>
        <v>#N/A</v>
      </c>
      <c r="E826" s="5" t="e">
        <f ca="1">IF(OR(INDEX($AI$2:$AI$1001,MATCH(ROWS($AH$2:AH826),$AH$2:$AH$1001,0),1)&gt;=100000,INDEX($AO$1005:$BQ$1005,1,MATCH(COLUMNS($AO$1006:AR1006),$AO$1006:$BQ$1006,0))&gt;=100000), " ",IF(INDEX($AO$2:$BQ$1001,MATCH(ROWS($AH$2:AH826),$AH$2:$AH$1001,0),MATCH(COLUMNS($AO$1006:AR1006),$AO$1006:$BQ$1006,0)), HYPERLINK("#",""), HYPERLINK(CONCATENATE("#Metadata!", ADDRESS(INDEX($AJ$2:$AJ$1001,MATCH(ROWS($AH$2:AH826),$AH$2:$AH$1001,0),0), INDEX($AO$1004:$BQ$1004,1,MATCH(COLUMNS($AO$1006:AR1006),$AO$1006:$BQ$1006,0)))),"Fix")))</f>
        <v>#N/A</v>
      </c>
      <c r="F826" s="5" t="e">
        <f ca="1">IF(OR(INDEX($AI$2:$AI$1001,MATCH(ROWS($AH$2:AH826),$AH$2:$AH$1001,0),1)&gt;=100000,INDEX($AO$1005:$BQ$1005,1,MATCH(COLUMNS($AO$1006:AS1006),$AO$1006:$BQ$1006,0))&gt;=100000), " ",IF(INDEX($AO$2:$BQ$1001,MATCH(ROWS($AH$2:AH826),$AH$2:$AH$1001,0),MATCH(COLUMNS($AO$1006:AS1006),$AO$1006:$BQ$1006,0)), HYPERLINK("#",""), HYPERLINK(CONCATENATE("#Metadata!", ADDRESS(INDEX($AJ$2:$AJ$1001,MATCH(ROWS($AH$2:AH826),$AH$2:$AH$1001,0),0), INDEX($AO$1004:$BQ$1004,1,MATCH(COLUMNS($AO$1006:AS1006),$AO$1006:$BQ$1006,0)))),"Fix")))</f>
        <v>#N/A</v>
      </c>
      <c r="G826" s="5" t="e">
        <f ca="1">IF(OR(INDEX($AI$2:$AI$1001,MATCH(ROWS($AH$2:AH826),$AH$2:$AH$1001,0),1)&gt;=100000,INDEX($AO$1005:$BQ$1005,1,MATCH(COLUMNS($AO$1006:AT1006),$AO$1006:$BQ$1006,0))&gt;=100000), " ",IF(INDEX($AO$2:$BQ$1001,MATCH(ROWS($AH$2:AH826),$AH$2:$AH$1001,0),MATCH(COLUMNS($AO$1006:AT1006),$AO$1006:$BQ$1006,0)), HYPERLINK("#",""), HYPERLINK(CONCATENATE("#Metadata!", ADDRESS(INDEX($AJ$2:$AJ$1001,MATCH(ROWS($AH$2:AH826),$AH$2:$AH$1001,0),0), INDEX($AO$1004:$BQ$1004,1,MATCH(COLUMNS($AO$1006:AT1006),$AO$1006:$BQ$1006,0)))),"Fix")))</f>
        <v>#N/A</v>
      </c>
      <c r="H826" s="5" t="e">
        <f ca="1">IF(OR(INDEX($AI$2:$AI$1001,MATCH(ROWS($AH$2:AH826),$AH$2:$AH$1001,0),1)&gt;=100000,INDEX($AO$1005:$BQ$1005,1,MATCH(COLUMNS($AO$1006:AU1006),$AO$1006:$BQ$1006,0))&gt;=100000), " ",IF(INDEX($AO$2:$BQ$1001,MATCH(ROWS($AH$2:AH826),$AH$2:$AH$1001,0),MATCH(COLUMNS($AO$1006:AU1006),$AO$1006:$BQ$1006,0)), HYPERLINK("#",""), HYPERLINK(CONCATENATE("#Metadata!", ADDRESS(INDEX($AJ$2:$AJ$1001,MATCH(ROWS($AH$2:AH826),$AH$2:$AH$1001,0),0), INDEX($AO$1004:$BQ$1004,1,MATCH(COLUMNS($AO$1006:AU1006),$AO$1006:$BQ$1006,0)))),"Fix")))</f>
        <v>#N/A</v>
      </c>
      <c r="I826" s="5" t="e">
        <f ca="1">IF(OR(INDEX($AI$2:$AI$1001,MATCH(ROWS($AH$2:AH826),$AH$2:$AH$1001,0),1)&gt;=100000,INDEX($AO$1005:$BQ$1005,1,MATCH(COLUMNS($AO$1006:AV1006),$AO$1006:$BQ$1006,0))&gt;=100000), " ",IF(INDEX($AO$2:$BQ$1001,MATCH(ROWS($AH$2:AH826),$AH$2:$AH$1001,0),MATCH(COLUMNS($AO$1006:AV1006),$AO$1006:$BQ$1006,0)), HYPERLINK("#",""), HYPERLINK(CONCATENATE("#Metadata!", ADDRESS(INDEX($AJ$2:$AJ$1001,MATCH(ROWS($AH$2:AH826),$AH$2:$AH$1001,0),0), INDEX($AO$1004:$BQ$1004,1,MATCH(COLUMNS($AO$1006:AV1006),$AO$1006:$BQ$1006,0)))),"Fix")))</f>
        <v>#N/A</v>
      </c>
      <c r="J826" s="5" t="e">
        <f ca="1">IF(OR(INDEX($AI$2:$AI$1001,MATCH(ROWS($AH$2:AH826),$AH$2:$AH$1001,0),1)&gt;=100000,INDEX($AO$1005:$BQ$1005,1,MATCH(COLUMNS($AO$1006:AW1006),$AO$1006:$BQ$1006,0))&gt;=100000), " ",IF(INDEX($AO$2:$BQ$1001,MATCH(ROWS($AH$2:AH826),$AH$2:$AH$1001,0),MATCH(COLUMNS($AO$1006:AW1006),$AO$1006:$BQ$1006,0)), HYPERLINK("#",""), HYPERLINK(CONCATENATE("#Metadata!", ADDRESS(INDEX($AJ$2:$AJ$1001,MATCH(ROWS($AH$2:AH826),$AH$2:$AH$1001,0),0), INDEX($AO$1004:$BQ$1004,1,MATCH(COLUMNS($AO$1006:AW1006),$AO$1006:$BQ$1006,0)))),"Fix")))</f>
        <v>#N/A</v>
      </c>
      <c r="K826" s="5" t="e">
        <f ca="1">IF(OR(INDEX($AI$2:$AI$1001,MATCH(ROWS($AH$2:AH826),$AH$2:$AH$1001,0),1)&gt;=100000,INDEX($AO$1005:$BQ$1005,1,MATCH(COLUMNS($AO$1006:AX1006),$AO$1006:$BQ$1006,0))&gt;=100000), " ",IF(INDEX($AO$2:$BQ$1001,MATCH(ROWS($AH$2:AH826),$AH$2:$AH$1001,0),MATCH(COLUMNS($AO$1006:AX1006),$AO$1006:$BQ$1006,0)), HYPERLINK("#",""), HYPERLINK(CONCATENATE("#Metadata!", ADDRESS(INDEX($AJ$2:$AJ$1001,MATCH(ROWS($AH$2:AH826),$AH$2:$AH$1001,0),0), INDEX($AO$1004:$BQ$1004,1,MATCH(COLUMNS($AO$1006:AX1006),$AO$1006:$BQ$1006,0)))),"Fix")))</f>
        <v>#N/A</v>
      </c>
      <c r="L826" s="5" t="e">
        <f ca="1">IF(OR(INDEX($AI$2:$AI$1001,MATCH(ROWS($AH$2:AH826),$AH$2:$AH$1001,0),1)&gt;=100000,INDEX($AO$1005:$BQ$1005,1,MATCH(COLUMNS($AO$1006:AY1006),$AO$1006:$BQ$1006,0))&gt;=100000), " ",IF(INDEX($AO$2:$BQ$1001,MATCH(ROWS($AH$2:AH826),$AH$2:$AH$1001,0),MATCH(COLUMNS($AO$1006:AY1006),$AO$1006:$BQ$1006,0)), HYPERLINK("#",""), HYPERLINK(CONCATENATE("#Metadata!", ADDRESS(INDEX($AJ$2:$AJ$1001,MATCH(ROWS($AH$2:AH826),$AH$2:$AH$1001,0),0), INDEX($AO$1004:$BQ$1004,1,MATCH(COLUMNS($AO$1006:AY1006),$AO$1006:$BQ$1006,0)))),"Fix")))</f>
        <v>#N/A</v>
      </c>
      <c r="M826" s="5" t="e">
        <f ca="1">IF(OR(INDEX($AI$2:$AI$1001,MATCH(ROWS($AH$2:AH826),$AH$2:$AH$1001,0),1)&gt;=100000,INDEX($AO$1005:$BQ$1005,1,MATCH(COLUMNS($AO$1006:AZ1006),$AO$1006:$BQ$1006,0))&gt;=100000), " ",IF(INDEX($AO$2:$BQ$1001,MATCH(ROWS($AH$2:AH826),$AH$2:$AH$1001,0),MATCH(COLUMNS($AO$1006:AZ1006),$AO$1006:$BQ$1006,0)), HYPERLINK("#",""), HYPERLINK(CONCATENATE("#Metadata!", ADDRESS(INDEX($AJ$2:$AJ$1001,MATCH(ROWS($AH$2:AH826),$AH$2:$AH$1001,0),0), INDEX($AO$1004:$BQ$1004,1,MATCH(COLUMNS($AO$1006:AZ1006),$AO$1006:$BQ$1006,0)))),"Fix")))</f>
        <v>#N/A</v>
      </c>
      <c r="N826" s="5" t="e">
        <f ca="1">IF(OR(INDEX($AI$2:$AI$1001,MATCH(ROWS($AH$2:AH826),$AH$2:$AH$1001,0),1)&gt;=100000,INDEX($AO$1005:$BQ$1005,1,MATCH(COLUMNS($AO$1006:BA1006),$AO$1006:$BQ$1006,0))&gt;=100000), " ",IF(INDEX($AO$2:$BQ$1001,MATCH(ROWS($AH$2:AH826),$AH$2:$AH$1001,0),MATCH(COLUMNS($AO$1006:BA1006),$AO$1006:$BQ$1006,0)), HYPERLINK("#",""), HYPERLINK(CONCATENATE("#Metadata!", ADDRESS(INDEX($AJ$2:$AJ$1001,MATCH(ROWS($AH$2:AH826),$AH$2:$AH$1001,0),0), INDEX($AO$1004:$BQ$1004,1,MATCH(COLUMNS($AO$1006:BA1006),$AO$1006:$BQ$1006,0)))),"Fix")))</f>
        <v>#N/A</v>
      </c>
      <c r="O826" s="5" t="e">
        <f ca="1">IF(OR(INDEX($AI$2:$AI$1001,MATCH(ROWS($AH$2:AH826),$AH$2:$AH$1001,0),1)&gt;=100000,INDEX($AO$1005:$BQ$1005,1,MATCH(COLUMNS($AO$1006:BB1006),$AO$1006:$BQ$1006,0))&gt;=100000), " ",IF(INDEX($AO$2:$BQ$1001,MATCH(ROWS($AH$2:AH826),$AH$2:$AH$1001,0),MATCH(COLUMNS($AO$1006:BB1006),$AO$1006:$BQ$1006,0)), HYPERLINK("#",""), HYPERLINK(CONCATENATE("#Metadata!", ADDRESS(INDEX($AJ$2:$AJ$1001,MATCH(ROWS($AH$2:AH826),$AH$2:$AH$1001,0),0), INDEX($AO$1004:$BQ$1004,1,MATCH(COLUMNS($AO$1006:BB1006),$AO$1006:$BQ$1006,0)))),"Fix")))</f>
        <v>#N/A</v>
      </c>
      <c r="P826" s="5" t="e">
        <f ca="1">IF(OR(INDEX($AI$2:$AI$1001,MATCH(ROWS($AH$2:AH826),$AH$2:$AH$1001,0),1)&gt;=100000,INDEX($AO$1005:$BQ$1005,1,MATCH(COLUMNS($AO$1006:BC1006),$AO$1006:$BQ$1006,0))&gt;=100000), " ",IF(INDEX($AO$2:$BQ$1001,MATCH(ROWS($AH$2:AH826),$AH$2:$AH$1001,0),MATCH(COLUMNS($AO$1006:BC1006),$AO$1006:$BQ$1006,0)), HYPERLINK("#",""), HYPERLINK(CONCATENATE("#Metadata!", ADDRESS(INDEX($AJ$2:$AJ$1001,MATCH(ROWS($AH$2:AH826),$AH$2:$AH$1001,0),0), INDEX($AO$1004:$BQ$1004,1,MATCH(COLUMNS($AO$1006:BC1006),$AO$1006:$BQ$1006,0)))),"Fix")))</f>
        <v>#N/A</v>
      </c>
      <c r="Q826" s="5" t="e">
        <f ca="1">IF(OR(INDEX($AI$2:$AI$1001,MATCH(ROWS($AH$2:AH826),$AH$2:$AH$1001,0),1)&gt;=100000,INDEX($AO$1005:$BQ$1005,1,MATCH(COLUMNS($AO$1006:BD1006),$AO$1006:$BQ$1006,0))&gt;=100000), " ",IF(INDEX($AO$2:$BQ$1001,MATCH(ROWS($AH$2:AH826),$AH$2:$AH$1001,0),MATCH(COLUMNS($AO$1006:BD1006),$AO$1006:$BQ$1006,0)), HYPERLINK("#",""), HYPERLINK(CONCATENATE("#Metadata!", ADDRESS(INDEX($AJ$2:$AJ$1001,MATCH(ROWS($AH$2:AH826),$AH$2:$AH$1001,0),0), INDEX($AO$1004:$BQ$1004,1,MATCH(COLUMNS($AO$1006:BD1006),$AO$1006:$BQ$1006,0)))),"Fix")))</f>
        <v>#N/A</v>
      </c>
      <c r="R826" s="5" t="e">
        <f ca="1">IF(OR(INDEX($AI$2:$AI$1001,MATCH(ROWS($AH$2:AH826),$AH$2:$AH$1001,0),1)&gt;=100000,INDEX($AO$1005:$BQ$1005,1,MATCH(COLUMNS($AO$1006:BE1006),$AO$1006:$BQ$1006,0))&gt;=100000), " ",IF(INDEX($AO$2:$BQ$1001,MATCH(ROWS($AH$2:AH826),$AH$2:$AH$1001,0),MATCH(COLUMNS($AO$1006:BE1006),$AO$1006:$BQ$1006,0)), HYPERLINK("#",""), HYPERLINK(CONCATENATE("#Metadata!", ADDRESS(INDEX($AJ$2:$AJ$1001,MATCH(ROWS($AH$2:AH826),$AH$2:$AH$1001,0),0), INDEX($AO$1004:$BQ$1004,1,MATCH(COLUMNS($AO$1006:BE1006),$AO$1006:$BQ$1006,0)))),"Fix")))</f>
        <v>#N/A</v>
      </c>
      <c r="S826" s="5" t="e">
        <f ca="1">IF(OR(INDEX($AI$2:$AI$1001,MATCH(ROWS($AH$2:AH826),$AH$2:$AH$1001,0),1)&gt;=100000,INDEX($AO$1005:$BQ$1005,1,MATCH(COLUMNS($AO$1006:BF1006),$AO$1006:$BQ$1006,0))&gt;=100000), " ",IF(INDEX($AO$2:$BQ$1001,MATCH(ROWS($AH$2:AH826),$AH$2:$AH$1001,0),MATCH(COLUMNS($AO$1006:BF1006),$AO$1006:$BQ$1006,0)), HYPERLINK("#",""), HYPERLINK(CONCATENATE("#Metadata!", ADDRESS(INDEX($AJ$2:$AJ$1001,MATCH(ROWS($AH$2:AH826),$AH$2:$AH$1001,0),0), INDEX($AO$1004:$BQ$1004,1,MATCH(COLUMNS($AO$1006:BF1006),$AO$1006:$BQ$1006,0)))),"Fix")))</f>
        <v>#N/A</v>
      </c>
      <c r="T826" s="5" t="e">
        <f ca="1">IF(OR(INDEX($AI$2:$AI$1001,MATCH(ROWS($AH$2:AH826),$AH$2:$AH$1001,0),1)&gt;=100000,INDEX($AO$1005:$BQ$1005,1,MATCH(COLUMNS($AO$1006:BG1006),$AO$1006:$BQ$1006,0))&gt;=100000), " ",IF(INDEX($AO$2:$BQ$1001,MATCH(ROWS($AH$2:AH826),$AH$2:$AH$1001,0),MATCH(COLUMNS($AO$1006:BG1006),$AO$1006:$BQ$1006,0)), HYPERLINK("#",""), HYPERLINK(CONCATENATE("#Metadata!", ADDRESS(INDEX($AJ$2:$AJ$1001,MATCH(ROWS($AH$2:AH826),$AH$2:$AH$1001,0),0), INDEX($AO$1004:$BQ$1004,1,MATCH(COLUMNS($AO$1006:BG1006),$AO$1006:$BQ$1006,0)))),"Fix")))</f>
        <v>#N/A</v>
      </c>
      <c r="U826" s="5" t="e">
        <f ca="1">IF(OR(INDEX($AI$2:$AI$1001,MATCH(ROWS($AH$2:AH826),$AH$2:$AH$1001,0),1)&gt;=100000,INDEX($AO$1005:$BQ$1005,1,MATCH(COLUMNS($AO$1006:BH1006),$AO$1006:$BQ$1006,0))&gt;=100000), " ",IF(INDEX($AO$2:$BQ$1001,MATCH(ROWS($AH$2:AH826),$AH$2:$AH$1001,0),MATCH(COLUMNS($AO$1006:BH1006),$AO$1006:$BQ$1006,0)), HYPERLINK("#",""), HYPERLINK(CONCATENATE("#Metadata!", ADDRESS(INDEX($AJ$2:$AJ$1001,MATCH(ROWS($AH$2:AH826),$AH$2:$AH$1001,0),0), INDEX($AO$1004:$BQ$1004,1,MATCH(COLUMNS($AO$1006:BH1006),$AO$1006:$BQ$1006,0)))),"Fix")))</f>
        <v>#N/A</v>
      </c>
      <c r="V826" s="5" t="e">
        <f ca="1">IF(OR(INDEX($AI$2:$AI$1001,MATCH(ROWS($AH$2:AH826),$AH$2:$AH$1001,0),1)&gt;=100000,INDEX($AO$1005:$BQ$1005,1,MATCH(COLUMNS($AO$1006:BI1006),$AO$1006:$BQ$1006,0))&gt;=100000), " ",IF(INDEX($AO$2:$BQ$1001,MATCH(ROWS($AH$2:AH826),$AH$2:$AH$1001,0),MATCH(COLUMNS($AO$1006:BI1006),$AO$1006:$BQ$1006,0)), HYPERLINK("#",""), HYPERLINK(CONCATENATE("#Metadata!", ADDRESS(INDEX($AJ$2:$AJ$1001,MATCH(ROWS($AH$2:AH826),$AH$2:$AH$1001,0),0), INDEX($AO$1004:$BQ$1004,1,MATCH(COLUMNS($AO$1006:BI1006),$AO$1006:$BQ$1006,0)))),"Fix")))</f>
        <v>#N/A</v>
      </c>
      <c r="W826" s="5" t="e">
        <f ca="1">IF(OR(INDEX($AI$2:$AI$1001,MATCH(ROWS($AH$2:AH826),$AH$2:$AH$1001,0),1)&gt;=100000,INDEX($AO$1005:$BQ$1005,1,MATCH(COLUMNS($AO$1006:BJ1006),$AO$1006:$BQ$1006,0))&gt;=100000), " ",IF(INDEX($AO$2:$BQ$1001,MATCH(ROWS($AH$2:AH826),$AH$2:$AH$1001,0),MATCH(COLUMNS($AO$1006:BJ1006),$AO$1006:$BQ$1006,0)), HYPERLINK("#",""), HYPERLINK(CONCATENATE("#Metadata!", ADDRESS(INDEX($AJ$2:$AJ$1001,MATCH(ROWS($AH$2:AH826),$AH$2:$AH$1001,0),0), INDEX($AO$1004:$BQ$1004,1,MATCH(COLUMNS($AO$1006:BJ1006),$AO$1006:$BQ$1006,0)))),"Fix")))</f>
        <v>#N/A</v>
      </c>
      <c r="X826" s="5" t="e">
        <f ca="1">IF(OR(INDEX($AI$2:$AI$1001,MATCH(ROWS($AH$2:AH826),$AH$2:$AH$1001,0),1)&gt;=100000,INDEX($AO$1005:$BQ$1005,1,MATCH(COLUMNS($AO$1006:BK1006),$AO$1006:$BQ$1006,0))&gt;=100000), " ",IF(INDEX($AO$2:$BQ$1001,MATCH(ROWS($AH$2:AH826),$AH$2:$AH$1001,0),MATCH(COLUMNS($AO$1006:BK1006),$AO$1006:$BQ$1006,0)), HYPERLINK("#",""), HYPERLINK(CONCATENATE("#Metadata!", ADDRESS(INDEX($AJ$2:$AJ$1001,MATCH(ROWS($AH$2:AH826),$AH$2:$AH$1001,0),0), INDEX($AO$1004:$BQ$1004,1,MATCH(COLUMNS($AO$1006:BK1006),$AO$1006:$BQ$1006,0)))),"Fix")))</f>
        <v>#N/A</v>
      </c>
      <c r="Y826" s="5" t="e">
        <f ca="1">IF(OR(INDEX($AI$2:$AI$1001,MATCH(ROWS($AH$2:AH826),$AH$2:$AH$1001,0),1)&gt;=100000,INDEX($AO$1005:$BQ$1005,1,MATCH(COLUMNS($AO$1006:BL1006),$AO$1006:$BQ$1006,0))&gt;=100000), " ",IF(INDEX($AO$2:$BQ$1001,MATCH(ROWS($AH$2:AH826),$AH$2:$AH$1001,0),MATCH(COLUMNS($AO$1006:BL1006),$AO$1006:$BQ$1006,0)), HYPERLINK("#",""), HYPERLINK(CONCATENATE("#Metadata!", ADDRESS(INDEX($AJ$2:$AJ$1001,MATCH(ROWS($AH$2:AH826),$AH$2:$AH$1001,0),0), INDEX($AO$1004:$BQ$1004,1,MATCH(COLUMNS($AO$1006:BL1006),$AO$1006:$BQ$1006,0)))),"Fix")))</f>
        <v>#N/A</v>
      </c>
      <c r="Z826" s="5" t="e">
        <f ca="1">IF(OR(INDEX($AI$2:$AI$1001,MATCH(ROWS($AH$2:AH826),$AH$2:$AH$1001,0),1)&gt;=100000,INDEX($AO$1005:$BQ$1005,1,MATCH(COLUMNS($AO$1006:BM1006),$AO$1006:$BQ$1006,0))&gt;=100000), " ",IF(INDEX($AO$2:$BQ$1001,MATCH(ROWS($AH$2:AH826),$AH$2:$AH$1001,0),MATCH(COLUMNS($AO$1006:BM1006),$AO$1006:$BQ$1006,0)), HYPERLINK("#",""), HYPERLINK(CONCATENATE("#Metadata!", ADDRESS(INDEX($AJ$2:$AJ$1001,MATCH(ROWS($AH$2:AH826),$AH$2:$AH$1001,0),0), INDEX($AO$1004:$BQ$1004,1,MATCH(COLUMNS($AO$1006:BM1006),$AO$1006:$BQ$1006,0)))),"Fix")))</f>
        <v>#N/A</v>
      </c>
      <c r="AA826" s="5" t="e">
        <f ca="1">IF(OR(INDEX($AI$2:$AI$1001,MATCH(ROWS($AH$2:AH826),$AH$2:$AH$1001,0),1)&gt;=100000,INDEX($AO$1005:$BQ$1005,1,MATCH(COLUMNS($AO$1006:BN1006),$AO$1006:$BQ$1006,0))&gt;=100000), " ",IF(INDEX($AO$2:$BQ$1001,MATCH(ROWS($AH$2:AH826),$AH$2:$AH$1001,0),MATCH(COLUMNS($AO$1006:BN1006),$AO$1006:$BQ$1006,0)), HYPERLINK("#",""), HYPERLINK(CONCATENATE("#Metadata!", ADDRESS(INDEX($AJ$2:$AJ$1001,MATCH(ROWS($AH$2:AH826),$AH$2:$AH$1001,0),0), INDEX($AO$1004:$BQ$1004,1,MATCH(COLUMNS($AO$1006:BN1006),$AO$1006:$BQ$1006,0)))),"Fix")))</f>
        <v>#N/A</v>
      </c>
      <c r="AB826" s="5" t="e">
        <f ca="1">IF(OR(INDEX($AI$2:$AI$1001,MATCH(ROWS($AH$2:AH826),$AH$2:$AH$1001,0),1)&gt;=100000,INDEX($AO$1005:$BQ$1005,1,MATCH(COLUMNS($AO$1006:BO1006),$AO$1006:$BQ$1006,0))&gt;=100000), " ",IF(INDEX($AO$2:$BQ$1001,MATCH(ROWS($AH$2:AH826),$AH$2:$AH$1001,0),MATCH(COLUMNS($AO$1006:BO1006),$AO$1006:$BQ$1006,0)), HYPERLINK("#",""), HYPERLINK(CONCATENATE("#Metadata!", ADDRESS(INDEX($AJ$2:$AJ$1001,MATCH(ROWS($AH$2:AH826),$AH$2:$AH$1001,0),0), INDEX($AO$1004:$BQ$1004,1,MATCH(COLUMNS($AO$1006:BO1006),$AO$1006:$BQ$1006,0)))),"Fix")))</f>
        <v>#N/A</v>
      </c>
      <c r="AC826" s="5" t="e">
        <f ca="1">IF(OR(INDEX($AI$2:$AI$1001,MATCH(ROWS($AH$2:AH826),$AH$2:$AH$1001,0),1)&gt;=100000,INDEX($AO$1005:$BQ$1005,1,MATCH(COLUMNS($AO$1006:BP1006),$AO$1006:$BQ$1006,0))&gt;=100000), " ",IF(INDEX($AO$2:$BQ$1001,MATCH(ROWS($AH$2:AH826),$AH$2:$AH$1001,0),MATCH(COLUMNS($AO$1006:BP1006),$AO$1006:$BQ$1006,0)), HYPERLINK("#",""), HYPERLINK(CONCATENATE("#Metadata!", ADDRESS(INDEX($AJ$2:$AJ$1001,MATCH(ROWS($AH$2:AH826),$AH$2:$AH$1001,0),0), INDEX($AO$1004:$BQ$1004,1,MATCH(COLUMNS($AO$1006:BP1006),$AO$1006:$BQ$1006,0)))),"Fix")))</f>
        <v>#N/A</v>
      </c>
      <c r="AD826" s="5" t="e">
        <f ca="1">IF(OR(INDEX($AI$2:$AI$1001,MATCH(ROWS($AH$2:AH826),$AH$2:$AH$1001,0),1)&gt;=100000,INDEX($AO$1005:$BQ$1005,1,MATCH(COLUMNS($AO$1006:BQ1006),$AO$1006:$BQ$1006,0))&gt;=100000), " ",IF(INDEX($AO$2:$BQ$1001,MATCH(ROWS($AH$2:AH826),$AH$2:$AH$1001,0),MATCH(COLUMNS($AO$1006:BQ1006),$AO$1006:$BQ$1006,0)), HYPERLINK("#",""), HYPERLINK(CONCATENATE("#Metadata!", ADDRESS(INDEX($AJ$2:$AJ$1001,MATCH(ROWS($AH$2:AH826),$AH$2:$AH$1001,0),0), INDEX($AO$1004:$BQ$1004,1,MATCH(COLUMNS($AO$1006:BQ1006),$AO$1006:$BQ$1006,0)))),"Fix")))</f>
        <v>#REF!</v>
      </c>
      <c r="AH826">
        <f ca="1"/>
        <v>823</v>
      </c>
      <c r="AI826">
        <v>100826</v>
      </c>
      <c r="AJ826">
        <v>826</v>
      </c>
      <c r="AK826" t="b">
        <f t="shared" si="12"/>
        <v>1</v>
      </c>
      <c r="AL826" t="b">
        <f>COUNTBLANK(Metadata!B826:AD826)=COLUMNS(Metadata!B826:AD826)</f>
        <v>1</v>
      </c>
      <c r="AM826" t="str">
        <v/>
      </c>
      <c r="AO826" t="b">
        <f ca="1">AND(IF(Metadata!B826="",FALSE,TRUE),COUNTIF(Metadata!B:B, Metadata!B826) = 1,NOT(ISERROR(SUMPRODUCT(SEARCH(MID(Metadata!B826,ROW(INDIRECT("1:"&amp;LEN(Metadata!B826))), 1),"0123456789abcdefghijklmnopqrstuvwxyzABCDEFGHIJKLMNOPQRSTUVWXYZ.")))))</f>
        <v>0</v>
      </c>
      <c r="AP826" t="b">
        <f>IF(Metadata!C826="",FALSE,TRUE)</f>
        <v>0</v>
      </c>
      <c r="AQ826" t="b">
        <f>IF(Metadata!D826="",FALSE,TRUE)</f>
        <v>0</v>
      </c>
      <c r="AR826" t="b">
        <f ca="1">OR(AND(IF(Metadata!E826="",FALSE,TRUE),OR(EXACT(Metadata!E826,"not collected"),EXACT(Metadata!E826,"not provided"),EXACT(Metadata!E826,"restricted access"))),AND(IF(Metadata!E826="",FALSE,TRUE),AND(AND(IFERROR(INT(LEFT(Metadata!E826,4))&gt;1900,FALSE),IFERROR(INT(LEFT(Metadata!E826,4))&lt;=YEAR(NOW()),FALSE)), OR(MID(Metadata!E826,5,1)="", AND(AND(MID(Metadata!E826,5,1)="-",IFERROR(INT(MID(Metadata!E826,6,1))&gt;=0,FALSE),IFERROR(INT(MID(Metadata!E826,6,1))&lt;=1,FALSE),NOT(MID(Metadata!E826,7,1)=""),IFERROR(INT(MID(Metadata!E826,6,2))&gt;=1,FALSE),IFERROR(INT(MID(Metadata!E826,6,2))&lt;=12,FALSE)), OR(MID(Metadata!E826,8,1)="", AND(AND(MID(Metadata!E826,8,1)="-",IFERROR(INT(MID(Metadata!E826,9,1))&gt;=0,FALSE),IFERROR(INT(MID(Metadata!E826,9,1))&lt;=3,FALSE),NOT(MID(Metadata!E826,10,1)=""),IFERROR(INT(MID(Metadata!E826,9,2))&gt;=1,FALSE),IFERROR(INT(MID(Metadata!E826,9,2))&lt;=31,FALSE)), OR(MID(Metadata!E826,11,1)="", AND(AND(MID(Metadata!E826,11,1)=" ",IFERROR(INT(MID(Metadata!E826,12,1))&gt;=0,FALSE),IFERROR(INT(MID(Metadata!E826,12,1))&lt;=2,FALSE),NOT(MID(Metadata!E826,13,1)=""),IFERROR(INT(MID(Metadata!E826,12,2))&gt;=0,FALSE),IFERROR(INT(MID(Metadata!E826,12,2))&lt;=23,FALSE)), OR(MID(Metadata!E826,14,1)="", AND(AND(MID(Metadata!E826,14,1)=":",IFERROR(INT(MID(Metadata!E826,15,1))&gt;=0,FALSE),IFERROR(INT(MID(Metadata!E826,15,1))&lt;=5,FALSE),NOT(MID(Metadata!E826,16,1)=""),IFERROR(INT(MID(Metadata!E826,15,2))&gt;=0,FALSE),IFERROR(INT(MID(Metadata!E826,15,2))&lt;=59,FALSE)), OR(MID(Metadata!E826,17,1)="", AND(AND(MID(Metadata!E826,17,1)=":",IFERROR(INT(MID(Metadata!E826,18,1))&gt;=0,FALSE),IFERROR(INT(MID(Metadata!E826,18,1))&lt;=5,FALSE),NOT(MID(Metadata!E826,19,1)=""),IFERROR(INT(MID(Metadata!E826,18,2))&gt;=0,FALSE),IFERROR(INT(MID(Metadata!E826,18,2))&lt;=59,FALSE)), LEN(Metadata!E826)&lt;=19)))))))))))))</f>
        <v>0</v>
      </c>
      <c r="AS826" t="b">
        <f>IF(Metadata!F826="",FALSE,TRUE)</f>
        <v>0</v>
      </c>
      <c r="AT826" t="b">
        <f>OR(AND(IF(Metadata!G826="",FALSE,TRUE),OR(EXACT(Metadata!G826,"not collected"),EXACT(Metadata!G826,"not provided"))),AND(IF(Metadata!G826="",FALSE,TRUE),OR(EXACT(Metadata!G826,"TRUE"),EXACT(Metadata!G826,"FALSE"))))</f>
        <v>0</v>
      </c>
      <c r="AU826" t="b">
        <f>OR(AND(IF(Metadata!H826="",FALSE,TRUE),OR(EXACT(Metadata!H826,"not collected"),EXACT(Metadata!H826,"not provided"),EXACT(Metadata!H826,"restricted access"))),AND(IF(Metadata!H826="",FALSE,ISNUMBER(VALUE(Metadata!H826))),Metadata!H826&gt;=-413))</f>
        <v>0</v>
      </c>
      <c r="AV826" t="b">
        <f>AND(IF(Metadata!I826="",FALSE,TRUE),EXACT(Metadata!I826,"meters"))</f>
        <v>0</v>
      </c>
      <c r="AW826" t="b">
        <f>AND(IF(Metadata!J826="",FALSE,TRUE),EXACT(Metadata!J826,"free-living"))</f>
        <v>0</v>
      </c>
      <c r="AX826" t="b">
        <f>AND(IF(Metadata!K826="",FALSE,TRUE),OR(EXACT(Metadata!K826,"saline"),EXACT(Metadata!K826,"non-saline")))</f>
        <v>0</v>
      </c>
      <c r="AY826" t="b">
        <f>AND(IF(Metadata!L826="",FALSE,TRUE),OR(EXACT(Metadata!L826,"sub-surface (non-saline)"),EXACT(Metadata!L826,"surface (non-saline)"),EXACT(Metadata!L826,"water (non-saline)"),EXACT(Metadata!L826,"soil (non-saline)"),EXACT(Metadata!L826,"aerosol (non-saline)"),EXACT(Metadata!L826,"sediment (non-saline)"),EXACT(Metadata!L826,"surface (saline)"),EXACT(Metadata!L826,"water (saline)"),EXACT(Metadata!L826,"hypersaline (saline)"),EXACT(Metadata!L826,"aerosol (saline)"),EXACT(Metadata!L826,"sediment (saline)")))</f>
        <v>0</v>
      </c>
      <c r="AZ826" t="b">
        <f>IF(Metadata!M826="",FALSE,TRUE)</f>
        <v>0</v>
      </c>
      <c r="BA826" t="b">
        <f>IF(Metadata!N826="",FALSE,TRUE)</f>
        <v>0</v>
      </c>
      <c r="BB826" t="b">
        <f>IF(Metadata!O826="",FALSE,TRUE)</f>
        <v>0</v>
      </c>
      <c r="BC826" t="b">
        <f>AND(IF(Metadata!P826="",FALSE,TRUE),OR(EXACT(Metadata!P826,"air"),EXACT(Metadata!P826,"microbial mat/biofilm"),EXACT(Metadata!P826,"misc environment"),EXACT(Metadata!P826,"sediment"),EXACT(Metadata!P826,"soil"),EXACT(Metadata!P826,"wastewater/sludge"),EXACT(Metadata!P826,"water")))</f>
        <v>0</v>
      </c>
      <c r="BD826" t="b">
        <f>IF(Metadata!Q826="",FALSE,TRUE)</f>
        <v>0</v>
      </c>
      <c r="BE826" t="b">
        <f>IF(Metadata!R826="",FALSE,TRUE)</f>
        <v>0</v>
      </c>
      <c r="BF826" t="b">
        <f>OR(AND(IF(Metadata!S826="",FALSE,TRUE),OR(EXACT(Metadata!S826,"not collected"),EXACT(Metadata!S826,"not provided"),EXACT(Metadata!S826,"restricted access"))),AND(IF(Metadata!S826="",FALSE,ISNUMBER(VALUE(Metadata!S826))),Metadata!S826&gt;=-90,Metadata!S826&lt;=90))</f>
        <v>0</v>
      </c>
      <c r="BG826" t="b">
        <f>AND(IF(Metadata!T826="",FALSE,TRUE),EXACT(Metadata!T826,"Decimal degrees"))</f>
        <v>0</v>
      </c>
      <c r="BH826" t="b">
        <f>OR(AND(IF(Metadata!U826="",FALSE,TRUE),OR(EXACT(Metadata!U826,"not applicable"),EXACT(Metadata!U826,"not collected"))),IF(Metadata!U826="",FALSE,TRUE))</f>
        <v>0</v>
      </c>
      <c r="BI826" t="b">
        <f>OR(AND(IF(Metadata!V826="",FALSE,TRUE),OR(EXACT(Metadata!V826,"not collected"),EXACT(Metadata!V826,"not provided"),EXACT(Metadata!V826,"restricted access"))),AND(IF(Metadata!V826="",FALSE,ISNUMBER(VALUE(Metadata!V826))),Metadata!V826&gt;=-180,Metadata!V826&lt;=180))</f>
        <v>0</v>
      </c>
      <c r="BJ826" t="b">
        <f>AND(IF(Metadata!W826="",FALSE,TRUE),EXACT(Metadata!W826,"Decimal degrees"))</f>
        <v>0</v>
      </c>
      <c r="BK826" t="b">
        <f>IF(Metadata!X826="",FALSE,TRUE)</f>
        <v>0</v>
      </c>
      <c r="BL826" t="b">
        <f>OR(AND(IF(Metadata!Y826="",FALSE,TRUE),OR(EXACT(Metadata!Y826,"not collected"),EXACT(Metadata!Y826,"not provided"),EXACT(Metadata!Y826,"restricted access"))),AND(IF(Metadata!Y826="",FALSE,TRUE),OR(EXACT(Metadata!Y826,"TRUE"),EXACT(Metadata!Y826,"FALSE"))))</f>
        <v>0</v>
      </c>
      <c r="BM826" t="b">
        <f>OR(AND(IF(Metadata!Z826="",FALSE,TRUE),EXACT(Metadata!Z826,"not applicable")),AND(IF(Metadata!Z826="",FALSE,TRUE),OR(EXACT(Metadata!Z826,"beer"),EXACT(Metadata!Z826,"cheese"),EXACT(Metadata!Z826,"fresh water"),EXACT(Metadata!Z826,"marine sediment"),EXACT(Metadata!Z826,"sea water"),EXACT(Metadata!Z826,"sediment"),EXACT(Metadata!Z826,"soil"),EXACT(Metadata!Z826,"waste water"))))</f>
        <v>0</v>
      </c>
      <c r="BN826" t="b">
        <f>AND(IF(Metadata!AA826="",FALSE,TRUE),EXACT(Metadata!AA826,"metagenome"))</f>
        <v>0</v>
      </c>
      <c r="BO826" t="b">
        <f>AND(IF(Metadata!AB826="",FALSE,TRUE),EXACT(Metadata!AB826,"256318"))</f>
        <v>0</v>
      </c>
      <c r="BP826" t="b">
        <f>IF(Metadata!AC826="",FALSE,TRUE)</f>
        <v>0</v>
      </c>
      <c r="BQ826" t="b">
        <f>IF(Metadata!AD826="",FALSE,TRUE)</f>
        <v>0</v>
      </c>
    </row>
    <row r="827" spans="1:69" x14ac:dyDescent="0.2">
      <c r="A827" s="4" t="e">
        <f ca="1">IF(B827=" "," ",HYPERLINK(CONCATENATE("#metadata!",ADDRESS(INDEX($AJ$2:$AJ$1001,MATCH(ROWS($AH$2:AH827),$AH$2:$AH$1001,0),0),2)),INDEX($AM$2:$AM$1001,MATCH(ROWS($AH$2:AH827),$AH$2:$AH$1001,0),0)))</f>
        <v>#N/A</v>
      </c>
      <c r="B827" s="5" t="e">
        <f ca="1">IF(OR(INDEX($AI$2:$AI$1001,MATCH(ROWS($AH$2:AH827),$AH$2:$AH$1001,0),1)&gt;=100000,INDEX($AO$1005:$BQ$1005,1,MATCH(COLUMNS($AO$1006:AO1006),$AO$1006:$BQ$1006,0))&gt;=100000), " ",IF(INDEX($AO$2:$BQ$1001,MATCH(ROWS($AH$2:AH827),$AH$2:$AH$1001,0),MATCH(COLUMNS($AO$1006:AO1006),$AO$1006:$BQ$1006,0)), HYPERLINK("#",""), HYPERLINK(CONCATENATE("#Metadata!", ADDRESS(INDEX($AJ$2:$AJ$1001,MATCH(ROWS($AH$2:AH827),$AH$2:$AH$1001,0),0), INDEX($AO$1004:$BQ$1004,1,MATCH(COLUMNS($AO$1006:AO1006),$AO$1006:$BQ$1006,0)))),"Fix")))</f>
        <v>#N/A</v>
      </c>
      <c r="C827" s="5" t="e">
        <f ca="1">IF(OR(INDEX($AI$2:$AI$1001,MATCH(ROWS($AH$2:AH827),$AH$2:$AH$1001,0),1)&gt;=100000,INDEX($AO$1005:$BQ$1005,1,MATCH(COLUMNS($AO$1006:AP1006),$AO$1006:$BQ$1006,0))&gt;=100000), " ",IF(INDEX($AO$2:$BQ$1001,MATCH(ROWS($AH$2:AH827),$AH$2:$AH$1001,0),MATCH(COLUMNS($AO$1006:AP1006),$AO$1006:$BQ$1006,0)), HYPERLINK("#",""), HYPERLINK(CONCATENATE("#Metadata!", ADDRESS(INDEX($AJ$2:$AJ$1001,MATCH(ROWS($AH$2:AH827),$AH$2:$AH$1001,0),0), INDEX($AO$1004:$BQ$1004,1,MATCH(COLUMNS($AO$1006:AP1006),$AO$1006:$BQ$1006,0)))),"Fix")))</f>
        <v>#N/A</v>
      </c>
      <c r="D827" s="5" t="e">
        <f ca="1">IF(OR(INDEX($AI$2:$AI$1001,MATCH(ROWS($AH$2:AH827),$AH$2:$AH$1001,0),1)&gt;=100000,INDEX($AO$1005:$BQ$1005,1,MATCH(COLUMNS($AO$1006:AQ1006),$AO$1006:$BQ$1006,0))&gt;=100000), " ",IF(INDEX($AO$2:$BQ$1001,MATCH(ROWS($AH$2:AH827),$AH$2:$AH$1001,0),MATCH(COLUMNS($AO$1006:AQ1006),$AO$1006:$BQ$1006,0)), HYPERLINK("#",""), HYPERLINK(CONCATENATE("#Metadata!", ADDRESS(INDEX($AJ$2:$AJ$1001,MATCH(ROWS($AH$2:AH827),$AH$2:$AH$1001,0),0), INDEX($AO$1004:$BQ$1004,1,MATCH(COLUMNS($AO$1006:AQ1006),$AO$1006:$BQ$1006,0)))),"Fix")))</f>
        <v>#N/A</v>
      </c>
      <c r="E827" s="5" t="e">
        <f ca="1">IF(OR(INDEX($AI$2:$AI$1001,MATCH(ROWS($AH$2:AH827),$AH$2:$AH$1001,0),1)&gt;=100000,INDEX($AO$1005:$BQ$1005,1,MATCH(COLUMNS($AO$1006:AR1006),$AO$1006:$BQ$1006,0))&gt;=100000), " ",IF(INDEX($AO$2:$BQ$1001,MATCH(ROWS($AH$2:AH827),$AH$2:$AH$1001,0),MATCH(COLUMNS($AO$1006:AR1006),$AO$1006:$BQ$1006,0)), HYPERLINK("#",""), HYPERLINK(CONCATENATE("#Metadata!", ADDRESS(INDEX($AJ$2:$AJ$1001,MATCH(ROWS($AH$2:AH827),$AH$2:$AH$1001,0),0), INDEX($AO$1004:$BQ$1004,1,MATCH(COLUMNS($AO$1006:AR1006),$AO$1006:$BQ$1006,0)))),"Fix")))</f>
        <v>#N/A</v>
      </c>
      <c r="F827" s="5" t="e">
        <f ca="1">IF(OR(INDEX($AI$2:$AI$1001,MATCH(ROWS($AH$2:AH827),$AH$2:$AH$1001,0),1)&gt;=100000,INDEX($AO$1005:$BQ$1005,1,MATCH(COLUMNS($AO$1006:AS1006),$AO$1006:$BQ$1006,0))&gt;=100000), " ",IF(INDEX($AO$2:$BQ$1001,MATCH(ROWS($AH$2:AH827),$AH$2:$AH$1001,0),MATCH(COLUMNS($AO$1006:AS1006),$AO$1006:$BQ$1006,0)), HYPERLINK("#",""), HYPERLINK(CONCATENATE("#Metadata!", ADDRESS(INDEX($AJ$2:$AJ$1001,MATCH(ROWS($AH$2:AH827),$AH$2:$AH$1001,0),0), INDEX($AO$1004:$BQ$1004,1,MATCH(COLUMNS($AO$1006:AS1006),$AO$1006:$BQ$1006,0)))),"Fix")))</f>
        <v>#N/A</v>
      </c>
      <c r="G827" s="5" t="e">
        <f ca="1">IF(OR(INDEX($AI$2:$AI$1001,MATCH(ROWS($AH$2:AH827),$AH$2:$AH$1001,0),1)&gt;=100000,INDEX($AO$1005:$BQ$1005,1,MATCH(COLUMNS($AO$1006:AT1006),$AO$1006:$BQ$1006,0))&gt;=100000), " ",IF(INDEX($AO$2:$BQ$1001,MATCH(ROWS($AH$2:AH827),$AH$2:$AH$1001,0),MATCH(COLUMNS($AO$1006:AT1006),$AO$1006:$BQ$1006,0)), HYPERLINK("#",""), HYPERLINK(CONCATENATE("#Metadata!", ADDRESS(INDEX($AJ$2:$AJ$1001,MATCH(ROWS($AH$2:AH827),$AH$2:$AH$1001,0),0), INDEX($AO$1004:$BQ$1004,1,MATCH(COLUMNS($AO$1006:AT1006),$AO$1006:$BQ$1006,0)))),"Fix")))</f>
        <v>#N/A</v>
      </c>
      <c r="H827" s="5" t="e">
        <f ca="1">IF(OR(INDEX($AI$2:$AI$1001,MATCH(ROWS($AH$2:AH827),$AH$2:$AH$1001,0),1)&gt;=100000,INDEX($AO$1005:$BQ$1005,1,MATCH(COLUMNS($AO$1006:AU1006),$AO$1006:$BQ$1006,0))&gt;=100000), " ",IF(INDEX($AO$2:$BQ$1001,MATCH(ROWS($AH$2:AH827),$AH$2:$AH$1001,0),MATCH(COLUMNS($AO$1006:AU1006),$AO$1006:$BQ$1006,0)), HYPERLINK("#",""), HYPERLINK(CONCATENATE("#Metadata!", ADDRESS(INDEX($AJ$2:$AJ$1001,MATCH(ROWS($AH$2:AH827),$AH$2:$AH$1001,0),0), INDEX($AO$1004:$BQ$1004,1,MATCH(COLUMNS($AO$1006:AU1006),$AO$1006:$BQ$1006,0)))),"Fix")))</f>
        <v>#N/A</v>
      </c>
      <c r="I827" s="5" t="e">
        <f ca="1">IF(OR(INDEX($AI$2:$AI$1001,MATCH(ROWS($AH$2:AH827),$AH$2:$AH$1001,0),1)&gt;=100000,INDEX($AO$1005:$BQ$1005,1,MATCH(COLUMNS($AO$1006:AV1006),$AO$1006:$BQ$1006,0))&gt;=100000), " ",IF(INDEX($AO$2:$BQ$1001,MATCH(ROWS($AH$2:AH827),$AH$2:$AH$1001,0),MATCH(COLUMNS($AO$1006:AV1006),$AO$1006:$BQ$1006,0)), HYPERLINK("#",""), HYPERLINK(CONCATENATE("#Metadata!", ADDRESS(INDEX($AJ$2:$AJ$1001,MATCH(ROWS($AH$2:AH827),$AH$2:$AH$1001,0),0), INDEX($AO$1004:$BQ$1004,1,MATCH(COLUMNS($AO$1006:AV1006),$AO$1006:$BQ$1006,0)))),"Fix")))</f>
        <v>#N/A</v>
      </c>
      <c r="J827" s="5" t="e">
        <f ca="1">IF(OR(INDEX($AI$2:$AI$1001,MATCH(ROWS($AH$2:AH827),$AH$2:$AH$1001,0),1)&gt;=100000,INDEX($AO$1005:$BQ$1005,1,MATCH(COLUMNS($AO$1006:AW1006),$AO$1006:$BQ$1006,0))&gt;=100000), " ",IF(INDEX($AO$2:$BQ$1001,MATCH(ROWS($AH$2:AH827),$AH$2:$AH$1001,0),MATCH(COLUMNS($AO$1006:AW1006),$AO$1006:$BQ$1006,0)), HYPERLINK("#",""), HYPERLINK(CONCATENATE("#Metadata!", ADDRESS(INDEX($AJ$2:$AJ$1001,MATCH(ROWS($AH$2:AH827),$AH$2:$AH$1001,0),0), INDEX($AO$1004:$BQ$1004,1,MATCH(COLUMNS($AO$1006:AW1006),$AO$1006:$BQ$1006,0)))),"Fix")))</f>
        <v>#N/A</v>
      </c>
      <c r="K827" s="5" t="e">
        <f ca="1">IF(OR(INDEX($AI$2:$AI$1001,MATCH(ROWS($AH$2:AH827),$AH$2:$AH$1001,0),1)&gt;=100000,INDEX($AO$1005:$BQ$1005,1,MATCH(COLUMNS($AO$1006:AX1006),$AO$1006:$BQ$1006,0))&gt;=100000), " ",IF(INDEX($AO$2:$BQ$1001,MATCH(ROWS($AH$2:AH827),$AH$2:$AH$1001,0),MATCH(COLUMNS($AO$1006:AX1006),$AO$1006:$BQ$1006,0)), HYPERLINK("#",""), HYPERLINK(CONCATENATE("#Metadata!", ADDRESS(INDEX($AJ$2:$AJ$1001,MATCH(ROWS($AH$2:AH827),$AH$2:$AH$1001,0),0), INDEX($AO$1004:$BQ$1004,1,MATCH(COLUMNS($AO$1006:AX1006),$AO$1006:$BQ$1006,0)))),"Fix")))</f>
        <v>#N/A</v>
      </c>
      <c r="L827" s="5" t="e">
        <f ca="1">IF(OR(INDEX($AI$2:$AI$1001,MATCH(ROWS($AH$2:AH827),$AH$2:$AH$1001,0),1)&gt;=100000,INDEX($AO$1005:$BQ$1005,1,MATCH(COLUMNS($AO$1006:AY1006),$AO$1006:$BQ$1006,0))&gt;=100000), " ",IF(INDEX($AO$2:$BQ$1001,MATCH(ROWS($AH$2:AH827),$AH$2:$AH$1001,0),MATCH(COLUMNS($AO$1006:AY1006),$AO$1006:$BQ$1006,0)), HYPERLINK("#",""), HYPERLINK(CONCATENATE("#Metadata!", ADDRESS(INDEX($AJ$2:$AJ$1001,MATCH(ROWS($AH$2:AH827),$AH$2:$AH$1001,0),0), INDEX($AO$1004:$BQ$1004,1,MATCH(COLUMNS($AO$1006:AY1006),$AO$1006:$BQ$1006,0)))),"Fix")))</f>
        <v>#N/A</v>
      </c>
      <c r="M827" s="5" t="e">
        <f ca="1">IF(OR(INDEX($AI$2:$AI$1001,MATCH(ROWS($AH$2:AH827),$AH$2:$AH$1001,0),1)&gt;=100000,INDEX($AO$1005:$BQ$1005,1,MATCH(COLUMNS($AO$1006:AZ1006),$AO$1006:$BQ$1006,0))&gt;=100000), " ",IF(INDEX($AO$2:$BQ$1001,MATCH(ROWS($AH$2:AH827),$AH$2:$AH$1001,0),MATCH(COLUMNS($AO$1006:AZ1006),$AO$1006:$BQ$1006,0)), HYPERLINK("#",""), HYPERLINK(CONCATENATE("#Metadata!", ADDRESS(INDEX($AJ$2:$AJ$1001,MATCH(ROWS($AH$2:AH827),$AH$2:$AH$1001,0),0), INDEX($AO$1004:$BQ$1004,1,MATCH(COLUMNS($AO$1006:AZ1006),$AO$1006:$BQ$1006,0)))),"Fix")))</f>
        <v>#N/A</v>
      </c>
      <c r="N827" s="5" t="e">
        <f ca="1">IF(OR(INDEX($AI$2:$AI$1001,MATCH(ROWS($AH$2:AH827),$AH$2:$AH$1001,0),1)&gt;=100000,INDEX($AO$1005:$BQ$1005,1,MATCH(COLUMNS($AO$1006:BA1006),$AO$1006:$BQ$1006,0))&gt;=100000), " ",IF(INDEX($AO$2:$BQ$1001,MATCH(ROWS($AH$2:AH827),$AH$2:$AH$1001,0),MATCH(COLUMNS($AO$1006:BA1006),$AO$1006:$BQ$1006,0)), HYPERLINK("#",""), HYPERLINK(CONCATENATE("#Metadata!", ADDRESS(INDEX($AJ$2:$AJ$1001,MATCH(ROWS($AH$2:AH827),$AH$2:$AH$1001,0),0), INDEX($AO$1004:$BQ$1004,1,MATCH(COLUMNS($AO$1006:BA1006),$AO$1006:$BQ$1006,0)))),"Fix")))</f>
        <v>#N/A</v>
      </c>
      <c r="O827" s="5" t="e">
        <f ca="1">IF(OR(INDEX($AI$2:$AI$1001,MATCH(ROWS($AH$2:AH827),$AH$2:$AH$1001,0),1)&gt;=100000,INDEX($AO$1005:$BQ$1005,1,MATCH(COLUMNS($AO$1006:BB1006),$AO$1006:$BQ$1006,0))&gt;=100000), " ",IF(INDEX($AO$2:$BQ$1001,MATCH(ROWS($AH$2:AH827),$AH$2:$AH$1001,0),MATCH(COLUMNS($AO$1006:BB1006),$AO$1006:$BQ$1006,0)), HYPERLINK("#",""), HYPERLINK(CONCATENATE("#Metadata!", ADDRESS(INDEX($AJ$2:$AJ$1001,MATCH(ROWS($AH$2:AH827),$AH$2:$AH$1001,0),0), INDEX($AO$1004:$BQ$1004,1,MATCH(COLUMNS($AO$1006:BB1006),$AO$1006:$BQ$1006,0)))),"Fix")))</f>
        <v>#N/A</v>
      </c>
      <c r="P827" s="5" t="e">
        <f ca="1">IF(OR(INDEX($AI$2:$AI$1001,MATCH(ROWS($AH$2:AH827),$AH$2:$AH$1001,0),1)&gt;=100000,INDEX($AO$1005:$BQ$1005,1,MATCH(COLUMNS($AO$1006:BC1006),$AO$1006:$BQ$1006,0))&gt;=100000), " ",IF(INDEX($AO$2:$BQ$1001,MATCH(ROWS($AH$2:AH827),$AH$2:$AH$1001,0),MATCH(COLUMNS($AO$1006:BC1006),$AO$1006:$BQ$1006,0)), HYPERLINK("#",""), HYPERLINK(CONCATENATE("#Metadata!", ADDRESS(INDEX($AJ$2:$AJ$1001,MATCH(ROWS($AH$2:AH827),$AH$2:$AH$1001,0),0), INDEX($AO$1004:$BQ$1004,1,MATCH(COLUMNS($AO$1006:BC1006),$AO$1006:$BQ$1006,0)))),"Fix")))</f>
        <v>#N/A</v>
      </c>
      <c r="Q827" s="5" t="e">
        <f ca="1">IF(OR(INDEX($AI$2:$AI$1001,MATCH(ROWS($AH$2:AH827),$AH$2:$AH$1001,0),1)&gt;=100000,INDEX($AO$1005:$BQ$1005,1,MATCH(COLUMNS($AO$1006:BD1006),$AO$1006:$BQ$1006,0))&gt;=100000), " ",IF(INDEX($AO$2:$BQ$1001,MATCH(ROWS($AH$2:AH827),$AH$2:$AH$1001,0),MATCH(COLUMNS($AO$1006:BD1006),$AO$1006:$BQ$1006,0)), HYPERLINK("#",""), HYPERLINK(CONCATENATE("#Metadata!", ADDRESS(INDEX($AJ$2:$AJ$1001,MATCH(ROWS($AH$2:AH827),$AH$2:$AH$1001,0),0), INDEX($AO$1004:$BQ$1004,1,MATCH(COLUMNS($AO$1006:BD1006),$AO$1006:$BQ$1006,0)))),"Fix")))</f>
        <v>#N/A</v>
      </c>
      <c r="R827" s="5" t="e">
        <f ca="1">IF(OR(INDEX($AI$2:$AI$1001,MATCH(ROWS($AH$2:AH827),$AH$2:$AH$1001,0),1)&gt;=100000,INDEX($AO$1005:$BQ$1005,1,MATCH(COLUMNS($AO$1006:BE1006),$AO$1006:$BQ$1006,0))&gt;=100000), " ",IF(INDEX($AO$2:$BQ$1001,MATCH(ROWS($AH$2:AH827),$AH$2:$AH$1001,0),MATCH(COLUMNS($AO$1006:BE1006),$AO$1006:$BQ$1006,0)), HYPERLINK("#",""), HYPERLINK(CONCATENATE("#Metadata!", ADDRESS(INDEX($AJ$2:$AJ$1001,MATCH(ROWS($AH$2:AH827),$AH$2:$AH$1001,0),0), INDEX($AO$1004:$BQ$1004,1,MATCH(COLUMNS($AO$1006:BE1006),$AO$1006:$BQ$1006,0)))),"Fix")))</f>
        <v>#N/A</v>
      </c>
      <c r="S827" s="5" t="e">
        <f ca="1">IF(OR(INDEX($AI$2:$AI$1001,MATCH(ROWS($AH$2:AH827),$AH$2:$AH$1001,0),1)&gt;=100000,INDEX($AO$1005:$BQ$1005,1,MATCH(COLUMNS($AO$1006:BF1006),$AO$1006:$BQ$1006,0))&gt;=100000), " ",IF(INDEX($AO$2:$BQ$1001,MATCH(ROWS($AH$2:AH827),$AH$2:$AH$1001,0),MATCH(COLUMNS($AO$1006:BF1006),$AO$1006:$BQ$1006,0)), HYPERLINK("#",""), HYPERLINK(CONCATENATE("#Metadata!", ADDRESS(INDEX($AJ$2:$AJ$1001,MATCH(ROWS($AH$2:AH827),$AH$2:$AH$1001,0),0), INDEX($AO$1004:$BQ$1004,1,MATCH(COLUMNS($AO$1006:BF1006),$AO$1006:$BQ$1006,0)))),"Fix")))</f>
        <v>#N/A</v>
      </c>
      <c r="T827" s="5" t="e">
        <f ca="1">IF(OR(INDEX($AI$2:$AI$1001,MATCH(ROWS($AH$2:AH827),$AH$2:$AH$1001,0),1)&gt;=100000,INDEX($AO$1005:$BQ$1005,1,MATCH(COLUMNS($AO$1006:BG1006),$AO$1006:$BQ$1006,0))&gt;=100000), " ",IF(INDEX($AO$2:$BQ$1001,MATCH(ROWS($AH$2:AH827),$AH$2:$AH$1001,0),MATCH(COLUMNS($AO$1006:BG1006),$AO$1006:$BQ$1006,0)), HYPERLINK("#",""), HYPERLINK(CONCATENATE("#Metadata!", ADDRESS(INDEX($AJ$2:$AJ$1001,MATCH(ROWS($AH$2:AH827),$AH$2:$AH$1001,0),0), INDEX($AO$1004:$BQ$1004,1,MATCH(COLUMNS($AO$1006:BG1006),$AO$1006:$BQ$1006,0)))),"Fix")))</f>
        <v>#N/A</v>
      </c>
      <c r="U827" s="5" t="e">
        <f ca="1">IF(OR(INDEX($AI$2:$AI$1001,MATCH(ROWS($AH$2:AH827),$AH$2:$AH$1001,0),1)&gt;=100000,INDEX($AO$1005:$BQ$1005,1,MATCH(COLUMNS($AO$1006:BH1006),$AO$1006:$BQ$1006,0))&gt;=100000), " ",IF(INDEX($AO$2:$BQ$1001,MATCH(ROWS($AH$2:AH827),$AH$2:$AH$1001,0),MATCH(COLUMNS($AO$1006:BH1006),$AO$1006:$BQ$1006,0)), HYPERLINK("#",""), HYPERLINK(CONCATENATE("#Metadata!", ADDRESS(INDEX($AJ$2:$AJ$1001,MATCH(ROWS($AH$2:AH827),$AH$2:$AH$1001,0),0), INDEX($AO$1004:$BQ$1004,1,MATCH(COLUMNS($AO$1006:BH1006),$AO$1006:$BQ$1006,0)))),"Fix")))</f>
        <v>#N/A</v>
      </c>
      <c r="V827" s="5" t="e">
        <f ca="1">IF(OR(INDEX($AI$2:$AI$1001,MATCH(ROWS($AH$2:AH827),$AH$2:$AH$1001,0),1)&gt;=100000,INDEX($AO$1005:$BQ$1005,1,MATCH(COLUMNS($AO$1006:BI1006),$AO$1006:$BQ$1006,0))&gt;=100000), " ",IF(INDEX($AO$2:$BQ$1001,MATCH(ROWS($AH$2:AH827),$AH$2:$AH$1001,0),MATCH(COLUMNS($AO$1006:BI1006),$AO$1006:$BQ$1006,0)), HYPERLINK("#",""), HYPERLINK(CONCATENATE("#Metadata!", ADDRESS(INDEX($AJ$2:$AJ$1001,MATCH(ROWS($AH$2:AH827),$AH$2:$AH$1001,0),0), INDEX($AO$1004:$BQ$1004,1,MATCH(COLUMNS($AO$1006:BI1006),$AO$1006:$BQ$1006,0)))),"Fix")))</f>
        <v>#N/A</v>
      </c>
      <c r="W827" s="5" t="e">
        <f ca="1">IF(OR(INDEX($AI$2:$AI$1001,MATCH(ROWS($AH$2:AH827),$AH$2:$AH$1001,0),1)&gt;=100000,INDEX($AO$1005:$BQ$1005,1,MATCH(COLUMNS($AO$1006:BJ1006),$AO$1006:$BQ$1006,0))&gt;=100000), " ",IF(INDEX($AO$2:$BQ$1001,MATCH(ROWS($AH$2:AH827),$AH$2:$AH$1001,0),MATCH(COLUMNS($AO$1006:BJ1006),$AO$1006:$BQ$1006,0)), HYPERLINK("#",""), HYPERLINK(CONCATENATE("#Metadata!", ADDRESS(INDEX($AJ$2:$AJ$1001,MATCH(ROWS($AH$2:AH827),$AH$2:$AH$1001,0),0), INDEX($AO$1004:$BQ$1004,1,MATCH(COLUMNS($AO$1006:BJ1006),$AO$1006:$BQ$1006,0)))),"Fix")))</f>
        <v>#N/A</v>
      </c>
      <c r="X827" s="5" t="e">
        <f ca="1">IF(OR(INDEX($AI$2:$AI$1001,MATCH(ROWS($AH$2:AH827),$AH$2:$AH$1001,0),1)&gt;=100000,INDEX($AO$1005:$BQ$1005,1,MATCH(COLUMNS($AO$1006:BK1006),$AO$1006:$BQ$1006,0))&gt;=100000), " ",IF(INDEX($AO$2:$BQ$1001,MATCH(ROWS($AH$2:AH827),$AH$2:$AH$1001,0),MATCH(COLUMNS($AO$1006:BK1006),$AO$1006:$BQ$1006,0)), HYPERLINK("#",""), HYPERLINK(CONCATENATE("#Metadata!", ADDRESS(INDEX($AJ$2:$AJ$1001,MATCH(ROWS($AH$2:AH827),$AH$2:$AH$1001,0),0), INDEX($AO$1004:$BQ$1004,1,MATCH(COLUMNS($AO$1006:BK1006),$AO$1006:$BQ$1006,0)))),"Fix")))</f>
        <v>#N/A</v>
      </c>
      <c r="Y827" s="5" t="e">
        <f ca="1">IF(OR(INDEX($AI$2:$AI$1001,MATCH(ROWS($AH$2:AH827),$AH$2:$AH$1001,0),1)&gt;=100000,INDEX($AO$1005:$BQ$1005,1,MATCH(COLUMNS($AO$1006:BL1006),$AO$1006:$BQ$1006,0))&gt;=100000), " ",IF(INDEX($AO$2:$BQ$1001,MATCH(ROWS($AH$2:AH827),$AH$2:$AH$1001,0),MATCH(COLUMNS($AO$1006:BL1006),$AO$1006:$BQ$1006,0)), HYPERLINK("#",""), HYPERLINK(CONCATENATE("#Metadata!", ADDRESS(INDEX($AJ$2:$AJ$1001,MATCH(ROWS($AH$2:AH827),$AH$2:$AH$1001,0),0), INDEX($AO$1004:$BQ$1004,1,MATCH(COLUMNS($AO$1006:BL1006),$AO$1006:$BQ$1006,0)))),"Fix")))</f>
        <v>#N/A</v>
      </c>
      <c r="Z827" s="5" t="e">
        <f ca="1">IF(OR(INDEX($AI$2:$AI$1001,MATCH(ROWS($AH$2:AH827),$AH$2:$AH$1001,0),1)&gt;=100000,INDEX($AO$1005:$BQ$1005,1,MATCH(COLUMNS($AO$1006:BM1006),$AO$1006:$BQ$1006,0))&gt;=100000), " ",IF(INDEX($AO$2:$BQ$1001,MATCH(ROWS($AH$2:AH827),$AH$2:$AH$1001,0),MATCH(COLUMNS($AO$1006:BM1006),$AO$1006:$BQ$1006,0)), HYPERLINK("#",""), HYPERLINK(CONCATENATE("#Metadata!", ADDRESS(INDEX($AJ$2:$AJ$1001,MATCH(ROWS($AH$2:AH827),$AH$2:$AH$1001,0),0), INDEX($AO$1004:$BQ$1004,1,MATCH(COLUMNS($AO$1006:BM1006),$AO$1006:$BQ$1006,0)))),"Fix")))</f>
        <v>#N/A</v>
      </c>
      <c r="AA827" s="5" t="e">
        <f ca="1">IF(OR(INDEX($AI$2:$AI$1001,MATCH(ROWS($AH$2:AH827),$AH$2:$AH$1001,0),1)&gt;=100000,INDEX($AO$1005:$BQ$1005,1,MATCH(COLUMNS($AO$1006:BN1006),$AO$1006:$BQ$1006,0))&gt;=100000), " ",IF(INDEX($AO$2:$BQ$1001,MATCH(ROWS($AH$2:AH827),$AH$2:$AH$1001,0),MATCH(COLUMNS($AO$1006:BN1006),$AO$1006:$BQ$1006,0)), HYPERLINK("#",""), HYPERLINK(CONCATENATE("#Metadata!", ADDRESS(INDEX($AJ$2:$AJ$1001,MATCH(ROWS($AH$2:AH827),$AH$2:$AH$1001,0),0), INDEX($AO$1004:$BQ$1004,1,MATCH(COLUMNS($AO$1006:BN1006),$AO$1006:$BQ$1006,0)))),"Fix")))</f>
        <v>#N/A</v>
      </c>
      <c r="AB827" s="5" t="e">
        <f ca="1">IF(OR(INDEX($AI$2:$AI$1001,MATCH(ROWS($AH$2:AH827),$AH$2:$AH$1001,0),1)&gt;=100000,INDEX($AO$1005:$BQ$1005,1,MATCH(COLUMNS($AO$1006:BO1006),$AO$1006:$BQ$1006,0))&gt;=100000), " ",IF(INDEX($AO$2:$BQ$1001,MATCH(ROWS($AH$2:AH827),$AH$2:$AH$1001,0),MATCH(COLUMNS($AO$1006:BO1006),$AO$1006:$BQ$1006,0)), HYPERLINK("#",""), HYPERLINK(CONCATENATE("#Metadata!", ADDRESS(INDEX($AJ$2:$AJ$1001,MATCH(ROWS($AH$2:AH827),$AH$2:$AH$1001,0),0), INDEX($AO$1004:$BQ$1004,1,MATCH(COLUMNS($AO$1006:BO1006),$AO$1006:$BQ$1006,0)))),"Fix")))</f>
        <v>#N/A</v>
      </c>
      <c r="AC827" s="5" t="e">
        <f ca="1">IF(OR(INDEX($AI$2:$AI$1001,MATCH(ROWS($AH$2:AH827),$AH$2:$AH$1001,0),1)&gt;=100000,INDEX($AO$1005:$BQ$1005,1,MATCH(COLUMNS($AO$1006:BP1006),$AO$1006:$BQ$1006,0))&gt;=100000), " ",IF(INDEX($AO$2:$BQ$1001,MATCH(ROWS($AH$2:AH827),$AH$2:$AH$1001,0),MATCH(COLUMNS($AO$1006:BP1006),$AO$1006:$BQ$1006,0)), HYPERLINK("#",""), HYPERLINK(CONCATENATE("#Metadata!", ADDRESS(INDEX($AJ$2:$AJ$1001,MATCH(ROWS($AH$2:AH827),$AH$2:$AH$1001,0),0), INDEX($AO$1004:$BQ$1004,1,MATCH(COLUMNS($AO$1006:BP1006),$AO$1006:$BQ$1006,0)))),"Fix")))</f>
        <v>#N/A</v>
      </c>
      <c r="AD827" s="5" t="e">
        <f ca="1">IF(OR(INDEX($AI$2:$AI$1001,MATCH(ROWS($AH$2:AH827),$AH$2:$AH$1001,0),1)&gt;=100000,INDEX($AO$1005:$BQ$1005,1,MATCH(COLUMNS($AO$1006:BQ1006),$AO$1006:$BQ$1006,0))&gt;=100000), " ",IF(INDEX($AO$2:$BQ$1001,MATCH(ROWS($AH$2:AH827),$AH$2:$AH$1001,0),MATCH(COLUMNS($AO$1006:BQ1006),$AO$1006:$BQ$1006,0)), HYPERLINK("#",""), HYPERLINK(CONCATENATE("#Metadata!", ADDRESS(INDEX($AJ$2:$AJ$1001,MATCH(ROWS($AH$2:AH827),$AH$2:$AH$1001,0),0), INDEX($AO$1004:$BQ$1004,1,MATCH(COLUMNS($AO$1006:BQ1006),$AO$1006:$BQ$1006,0)))),"Fix")))</f>
        <v>#REF!</v>
      </c>
      <c r="AH827">
        <f ca="1"/>
        <v>824</v>
      </c>
      <c r="AI827">
        <v>100827</v>
      </c>
      <c r="AJ827">
        <v>827</v>
      </c>
      <c r="AK827" t="b">
        <f t="shared" si="12"/>
        <v>1</v>
      </c>
      <c r="AL827" t="b">
        <f>COUNTBLANK(Metadata!B827:AD827)=COLUMNS(Metadata!B827:AD827)</f>
        <v>1</v>
      </c>
      <c r="AM827" t="str">
        <v/>
      </c>
      <c r="AO827" t="b">
        <f ca="1">AND(IF(Metadata!B827="",FALSE,TRUE),COUNTIF(Metadata!B:B, Metadata!B827) = 1,NOT(ISERROR(SUMPRODUCT(SEARCH(MID(Metadata!B827,ROW(INDIRECT("1:"&amp;LEN(Metadata!B827))), 1),"0123456789abcdefghijklmnopqrstuvwxyzABCDEFGHIJKLMNOPQRSTUVWXYZ.")))))</f>
        <v>0</v>
      </c>
      <c r="AP827" t="b">
        <f>IF(Metadata!C827="",FALSE,TRUE)</f>
        <v>0</v>
      </c>
      <c r="AQ827" t="b">
        <f>IF(Metadata!D827="",FALSE,TRUE)</f>
        <v>0</v>
      </c>
      <c r="AR827" t="b">
        <f ca="1">OR(AND(IF(Metadata!E827="",FALSE,TRUE),OR(EXACT(Metadata!E827,"not collected"),EXACT(Metadata!E827,"not provided"),EXACT(Metadata!E827,"restricted access"))),AND(IF(Metadata!E827="",FALSE,TRUE),AND(AND(IFERROR(INT(LEFT(Metadata!E827,4))&gt;1900,FALSE),IFERROR(INT(LEFT(Metadata!E827,4))&lt;=YEAR(NOW()),FALSE)), OR(MID(Metadata!E827,5,1)="", AND(AND(MID(Metadata!E827,5,1)="-",IFERROR(INT(MID(Metadata!E827,6,1))&gt;=0,FALSE),IFERROR(INT(MID(Metadata!E827,6,1))&lt;=1,FALSE),NOT(MID(Metadata!E827,7,1)=""),IFERROR(INT(MID(Metadata!E827,6,2))&gt;=1,FALSE),IFERROR(INT(MID(Metadata!E827,6,2))&lt;=12,FALSE)), OR(MID(Metadata!E827,8,1)="", AND(AND(MID(Metadata!E827,8,1)="-",IFERROR(INT(MID(Metadata!E827,9,1))&gt;=0,FALSE),IFERROR(INT(MID(Metadata!E827,9,1))&lt;=3,FALSE),NOT(MID(Metadata!E827,10,1)=""),IFERROR(INT(MID(Metadata!E827,9,2))&gt;=1,FALSE),IFERROR(INT(MID(Metadata!E827,9,2))&lt;=31,FALSE)), OR(MID(Metadata!E827,11,1)="", AND(AND(MID(Metadata!E827,11,1)=" ",IFERROR(INT(MID(Metadata!E827,12,1))&gt;=0,FALSE),IFERROR(INT(MID(Metadata!E827,12,1))&lt;=2,FALSE),NOT(MID(Metadata!E827,13,1)=""),IFERROR(INT(MID(Metadata!E827,12,2))&gt;=0,FALSE),IFERROR(INT(MID(Metadata!E827,12,2))&lt;=23,FALSE)), OR(MID(Metadata!E827,14,1)="", AND(AND(MID(Metadata!E827,14,1)=":",IFERROR(INT(MID(Metadata!E827,15,1))&gt;=0,FALSE),IFERROR(INT(MID(Metadata!E827,15,1))&lt;=5,FALSE),NOT(MID(Metadata!E827,16,1)=""),IFERROR(INT(MID(Metadata!E827,15,2))&gt;=0,FALSE),IFERROR(INT(MID(Metadata!E827,15,2))&lt;=59,FALSE)), OR(MID(Metadata!E827,17,1)="", AND(AND(MID(Metadata!E827,17,1)=":",IFERROR(INT(MID(Metadata!E827,18,1))&gt;=0,FALSE),IFERROR(INT(MID(Metadata!E827,18,1))&lt;=5,FALSE),NOT(MID(Metadata!E827,19,1)=""),IFERROR(INT(MID(Metadata!E827,18,2))&gt;=0,FALSE),IFERROR(INT(MID(Metadata!E827,18,2))&lt;=59,FALSE)), LEN(Metadata!E827)&lt;=19)))))))))))))</f>
        <v>0</v>
      </c>
      <c r="AS827" t="b">
        <f>IF(Metadata!F827="",FALSE,TRUE)</f>
        <v>0</v>
      </c>
      <c r="AT827" t="b">
        <f>OR(AND(IF(Metadata!G827="",FALSE,TRUE),OR(EXACT(Metadata!G827,"not collected"),EXACT(Metadata!G827,"not provided"))),AND(IF(Metadata!G827="",FALSE,TRUE),OR(EXACT(Metadata!G827,"TRUE"),EXACT(Metadata!G827,"FALSE"))))</f>
        <v>0</v>
      </c>
      <c r="AU827" t="b">
        <f>OR(AND(IF(Metadata!H827="",FALSE,TRUE),OR(EXACT(Metadata!H827,"not collected"),EXACT(Metadata!H827,"not provided"),EXACT(Metadata!H827,"restricted access"))),AND(IF(Metadata!H827="",FALSE,ISNUMBER(VALUE(Metadata!H827))),Metadata!H827&gt;=-413))</f>
        <v>0</v>
      </c>
      <c r="AV827" t="b">
        <f>AND(IF(Metadata!I827="",FALSE,TRUE),EXACT(Metadata!I827,"meters"))</f>
        <v>0</v>
      </c>
      <c r="AW827" t="b">
        <f>AND(IF(Metadata!J827="",FALSE,TRUE),EXACT(Metadata!J827,"free-living"))</f>
        <v>0</v>
      </c>
      <c r="AX827" t="b">
        <f>AND(IF(Metadata!K827="",FALSE,TRUE),OR(EXACT(Metadata!K827,"saline"),EXACT(Metadata!K827,"non-saline")))</f>
        <v>0</v>
      </c>
      <c r="AY827" t="b">
        <f>AND(IF(Metadata!L827="",FALSE,TRUE),OR(EXACT(Metadata!L827,"sub-surface (non-saline)"),EXACT(Metadata!L827,"surface (non-saline)"),EXACT(Metadata!L827,"water (non-saline)"),EXACT(Metadata!L827,"soil (non-saline)"),EXACT(Metadata!L827,"aerosol (non-saline)"),EXACT(Metadata!L827,"sediment (non-saline)"),EXACT(Metadata!L827,"surface (saline)"),EXACT(Metadata!L827,"water (saline)"),EXACT(Metadata!L827,"hypersaline (saline)"),EXACT(Metadata!L827,"aerosol (saline)"),EXACT(Metadata!L827,"sediment (saline)")))</f>
        <v>0</v>
      </c>
      <c r="AZ827" t="b">
        <f>IF(Metadata!M827="",FALSE,TRUE)</f>
        <v>0</v>
      </c>
      <c r="BA827" t="b">
        <f>IF(Metadata!N827="",FALSE,TRUE)</f>
        <v>0</v>
      </c>
      <c r="BB827" t="b">
        <f>IF(Metadata!O827="",FALSE,TRUE)</f>
        <v>0</v>
      </c>
      <c r="BC827" t="b">
        <f>AND(IF(Metadata!P827="",FALSE,TRUE),OR(EXACT(Metadata!P827,"air"),EXACT(Metadata!P827,"microbial mat/biofilm"),EXACT(Metadata!P827,"misc environment"),EXACT(Metadata!P827,"sediment"),EXACT(Metadata!P827,"soil"),EXACT(Metadata!P827,"wastewater/sludge"),EXACT(Metadata!P827,"water")))</f>
        <v>0</v>
      </c>
      <c r="BD827" t="b">
        <f>IF(Metadata!Q827="",FALSE,TRUE)</f>
        <v>0</v>
      </c>
      <c r="BE827" t="b">
        <f>IF(Metadata!R827="",FALSE,TRUE)</f>
        <v>0</v>
      </c>
      <c r="BF827" t="b">
        <f>OR(AND(IF(Metadata!S827="",FALSE,TRUE),OR(EXACT(Metadata!S827,"not collected"),EXACT(Metadata!S827,"not provided"),EXACT(Metadata!S827,"restricted access"))),AND(IF(Metadata!S827="",FALSE,ISNUMBER(VALUE(Metadata!S827))),Metadata!S827&gt;=-90,Metadata!S827&lt;=90))</f>
        <v>0</v>
      </c>
      <c r="BG827" t="b">
        <f>AND(IF(Metadata!T827="",FALSE,TRUE),EXACT(Metadata!T827,"Decimal degrees"))</f>
        <v>0</v>
      </c>
      <c r="BH827" t="b">
        <f>OR(AND(IF(Metadata!U827="",FALSE,TRUE),OR(EXACT(Metadata!U827,"not applicable"),EXACT(Metadata!U827,"not collected"))),IF(Metadata!U827="",FALSE,TRUE))</f>
        <v>0</v>
      </c>
      <c r="BI827" t="b">
        <f>OR(AND(IF(Metadata!V827="",FALSE,TRUE),OR(EXACT(Metadata!V827,"not collected"),EXACT(Metadata!V827,"not provided"),EXACT(Metadata!V827,"restricted access"))),AND(IF(Metadata!V827="",FALSE,ISNUMBER(VALUE(Metadata!V827))),Metadata!V827&gt;=-180,Metadata!V827&lt;=180))</f>
        <v>0</v>
      </c>
      <c r="BJ827" t="b">
        <f>AND(IF(Metadata!W827="",FALSE,TRUE),EXACT(Metadata!W827,"Decimal degrees"))</f>
        <v>0</v>
      </c>
      <c r="BK827" t="b">
        <f>IF(Metadata!X827="",FALSE,TRUE)</f>
        <v>0</v>
      </c>
      <c r="BL827" t="b">
        <f>OR(AND(IF(Metadata!Y827="",FALSE,TRUE),OR(EXACT(Metadata!Y827,"not collected"),EXACT(Metadata!Y827,"not provided"),EXACT(Metadata!Y827,"restricted access"))),AND(IF(Metadata!Y827="",FALSE,TRUE),OR(EXACT(Metadata!Y827,"TRUE"),EXACT(Metadata!Y827,"FALSE"))))</f>
        <v>0</v>
      </c>
      <c r="BM827" t="b">
        <f>OR(AND(IF(Metadata!Z827="",FALSE,TRUE),EXACT(Metadata!Z827,"not applicable")),AND(IF(Metadata!Z827="",FALSE,TRUE),OR(EXACT(Metadata!Z827,"beer"),EXACT(Metadata!Z827,"cheese"),EXACT(Metadata!Z827,"fresh water"),EXACT(Metadata!Z827,"marine sediment"),EXACT(Metadata!Z827,"sea water"),EXACT(Metadata!Z827,"sediment"),EXACT(Metadata!Z827,"soil"),EXACT(Metadata!Z827,"waste water"))))</f>
        <v>0</v>
      </c>
      <c r="BN827" t="b">
        <f>AND(IF(Metadata!AA827="",FALSE,TRUE),EXACT(Metadata!AA827,"metagenome"))</f>
        <v>0</v>
      </c>
      <c r="BO827" t="b">
        <f>AND(IF(Metadata!AB827="",FALSE,TRUE),EXACT(Metadata!AB827,"256318"))</f>
        <v>0</v>
      </c>
      <c r="BP827" t="b">
        <f>IF(Metadata!AC827="",FALSE,TRUE)</f>
        <v>0</v>
      </c>
      <c r="BQ827" t="b">
        <f>IF(Metadata!AD827="",FALSE,TRUE)</f>
        <v>0</v>
      </c>
    </row>
    <row r="828" spans="1:69" x14ac:dyDescent="0.2">
      <c r="A828" s="4" t="e">
        <f ca="1">IF(B828=" "," ",HYPERLINK(CONCATENATE("#metadata!",ADDRESS(INDEX($AJ$2:$AJ$1001,MATCH(ROWS($AH$2:AH828),$AH$2:$AH$1001,0),0),2)),INDEX($AM$2:$AM$1001,MATCH(ROWS($AH$2:AH828),$AH$2:$AH$1001,0),0)))</f>
        <v>#N/A</v>
      </c>
      <c r="B828" s="5" t="e">
        <f ca="1">IF(OR(INDEX($AI$2:$AI$1001,MATCH(ROWS($AH$2:AH828),$AH$2:$AH$1001,0),1)&gt;=100000,INDEX($AO$1005:$BQ$1005,1,MATCH(COLUMNS($AO$1006:AO1006),$AO$1006:$BQ$1006,0))&gt;=100000), " ",IF(INDEX($AO$2:$BQ$1001,MATCH(ROWS($AH$2:AH828),$AH$2:$AH$1001,0),MATCH(COLUMNS($AO$1006:AO1006),$AO$1006:$BQ$1006,0)), HYPERLINK("#",""), HYPERLINK(CONCATENATE("#Metadata!", ADDRESS(INDEX($AJ$2:$AJ$1001,MATCH(ROWS($AH$2:AH828),$AH$2:$AH$1001,0),0), INDEX($AO$1004:$BQ$1004,1,MATCH(COLUMNS($AO$1006:AO1006),$AO$1006:$BQ$1006,0)))),"Fix")))</f>
        <v>#N/A</v>
      </c>
      <c r="C828" s="5" t="e">
        <f ca="1">IF(OR(INDEX($AI$2:$AI$1001,MATCH(ROWS($AH$2:AH828),$AH$2:$AH$1001,0),1)&gt;=100000,INDEX($AO$1005:$BQ$1005,1,MATCH(COLUMNS($AO$1006:AP1006),$AO$1006:$BQ$1006,0))&gt;=100000), " ",IF(INDEX($AO$2:$BQ$1001,MATCH(ROWS($AH$2:AH828),$AH$2:$AH$1001,0),MATCH(COLUMNS($AO$1006:AP1006),$AO$1006:$BQ$1006,0)), HYPERLINK("#",""), HYPERLINK(CONCATENATE("#Metadata!", ADDRESS(INDEX($AJ$2:$AJ$1001,MATCH(ROWS($AH$2:AH828),$AH$2:$AH$1001,0),0), INDEX($AO$1004:$BQ$1004,1,MATCH(COLUMNS($AO$1006:AP1006),$AO$1006:$BQ$1006,0)))),"Fix")))</f>
        <v>#N/A</v>
      </c>
      <c r="D828" s="5" t="e">
        <f ca="1">IF(OR(INDEX($AI$2:$AI$1001,MATCH(ROWS($AH$2:AH828),$AH$2:$AH$1001,0),1)&gt;=100000,INDEX($AO$1005:$BQ$1005,1,MATCH(COLUMNS($AO$1006:AQ1006),$AO$1006:$BQ$1006,0))&gt;=100000), " ",IF(INDEX($AO$2:$BQ$1001,MATCH(ROWS($AH$2:AH828),$AH$2:$AH$1001,0),MATCH(COLUMNS($AO$1006:AQ1006),$AO$1006:$BQ$1006,0)), HYPERLINK("#",""), HYPERLINK(CONCATENATE("#Metadata!", ADDRESS(INDEX($AJ$2:$AJ$1001,MATCH(ROWS($AH$2:AH828),$AH$2:$AH$1001,0),0), INDEX($AO$1004:$BQ$1004,1,MATCH(COLUMNS($AO$1006:AQ1006),$AO$1006:$BQ$1006,0)))),"Fix")))</f>
        <v>#N/A</v>
      </c>
      <c r="E828" s="5" t="e">
        <f ca="1">IF(OR(INDEX($AI$2:$AI$1001,MATCH(ROWS($AH$2:AH828),$AH$2:$AH$1001,0),1)&gt;=100000,INDEX($AO$1005:$BQ$1005,1,MATCH(COLUMNS($AO$1006:AR1006),$AO$1006:$BQ$1006,0))&gt;=100000), " ",IF(INDEX($AO$2:$BQ$1001,MATCH(ROWS($AH$2:AH828),$AH$2:$AH$1001,0),MATCH(COLUMNS($AO$1006:AR1006),$AO$1006:$BQ$1006,0)), HYPERLINK("#",""), HYPERLINK(CONCATENATE("#Metadata!", ADDRESS(INDEX($AJ$2:$AJ$1001,MATCH(ROWS($AH$2:AH828),$AH$2:$AH$1001,0),0), INDEX($AO$1004:$BQ$1004,1,MATCH(COLUMNS($AO$1006:AR1006),$AO$1006:$BQ$1006,0)))),"Fix")))</f>
        <v>#N/A</v>
      </c>
      <c r="F828" s="5" t="e">
        <f ca="1">IF(OR(INDEX($AI$2:$AI$1001,MATCH(ROWS($AH$2:AH828),$AH$2:$AH$1001,0),1)&gt;=100000,INDEX($AO$1005:$BQ$1005,1,MATCH(COLUMNS($AO$1006:AS1006),$AO$1006:$BQ$1006,0))&gt;=100000), " ",IF(INDEX($AO$2:$BQ$1001,MATCH(ROWS($AH$2:AH828),$AH$2:$AH$1001,0),MATCH(COLUMNS($AO$1006:AS1006),$AO$1006:$BQ$1006,0)), HYPERLINK("#",""), HYPERLINK(CONCATENATE("#Metadata!", ADDRESS(INDEX($AJ$2:$AJ$1001,MATCH(ROWS($AH$2:AH828),$AH$2:$AH$1001,0),0), INDEX($AO$1004:$BQ$1004,1,MATCH(COLUMNS($AO$1006:AS1006),$AO$1006:$BQ$1006,0)))),"Fix")))</f>
        <v>#N/A</v>
      </c>
      <c r="G828" s="5" t="e">
        <f ca="1">IF(OR(INDEX($AI$2:$AI$1001,MATCH(ROWS($AH$2:AH828),$AH$2:$AH$1001,0),1)&gt;=100000,INDEX($AO$1005:$BQ$1005,1,MATCH(COLUMNS($AO$1006:AT1006),$AO$1006:$BQ$1006,0))&gt;=100000), " ",IF(INDEX($AO$2:$BQ$1001,MATCH(ROWS($AH$2:AH828),$AH$2:$AH$1001,0),MATCH(COLUMNS($AO$1006:AT1006),$AO$1006:$BQ$1006,0)), HYPERLINK("#",""), HYPERLINK(CONCATENATE("#Metadata!", ADDRESS(INDEX($AJ$2:$AJ$1001,MATCH(ROWS($AH$2:AH828),$AH$2:$AH$1001,0),0), INDEX($AO$1004:$BQ$1004,1,MATCH(COLUMNS($AO$1006:AT1006),$AO$1006:$BQ$1006,0)))),"Fix")))</f>
        <v>#N/A</v>
      </c>
      <c r="H828" s="5" t="e">
        <f ca="1">IF(OR(INDEX($AI$2:$AI$1001,MATCH(ROWS($AH$2:AH828),$AH$2:$AH$1001,0),1)&gt;=100000,INDEX($AO$1005:$BQ$1005,1,MATCH(COLUMNS($AO$1006:AU1006),$AO$1006:$BQ$1006,0))&gt;=100000), " ",IF(INDEX($AO$2:$BQ$1001,MATCH(ROWS($AH$2:AH828),$AH$2:$AH$1001,0),MATCH(COLUMNS($AO$1006:AU1006),$AO$1006:$BQ$1006,0)), HYPERLINK("#",""), HYPERLINK(CONCATENATE("#Metadata!", ADDRESS(INDEX($AJ$2:$AJ$1001,MATCH(ROWS($AH$2:AH828),$AH$2:$AH$1001,0),0), INDEX($AO$1004:$BQ$1004,1,MATCH(COLUMNS($AO$1006:AU1006),$AO$1006:$BQ$1006,0)))),"Fix")))</f>
        <v>#N/A</v>
      </c>
      <c r="I828" s="5" t="e">
        <f ca="1">IF(OR(INDEX($AI$2:$AI$1001,MATCH(ROWS($AH$2:AH828),$AH$2:$AH$1001,0),1)&gt;=100000,INDEX($AO$1005:$BQ$1005,1,MATCH(COLUMNS($AO$1006:AV1006),$AO$1006:$BQ$1006,0))&gt;=100000), " ",IF(INDEX($AO$2:$BQ$1001,MATCH(ROWS($AH$2:AH828),$AH$2:$AH$1001,0),MATCH(COLUMNS($AO$1006:AV1006),$AO$1006:$BQ$1006,0)), HYPERLINK("#",""), HYPERLINK(CONCATENATE("#Metadata!", ADDRESS(INDEX($AJ$2:$AJ$1001,MATCH(ROWS($AH$2:AH828),$AH$2:$AH$1001,0),0), INDEX($AO$1004:$BQ$1004,1,MATCH(COLUMNS($AO$1006:AV1006),$AO$1006:$BQ$1006,0)))),"Fix")))</f>
        <v>#N/A</v>
      </c>
      <c r="J828" s="5" t="e">
        <f ca="1">IF(OR(INDEX($AI$2:$AI$1001,MATCH(ROWS($AH$2:AH828),$AH$2:$AH$1001,0),1)&gt;=100000,INDEX($AO$1005:$BQ$1005,1,MATCH(COLUMNS($AO$1006:AW1006),$AO$1006:$BQ$1006,0))&gt;=100000), " ",IF(INDEX($AO$2:$BQ$1001,MATCH(ROWS($AH$2:AH828),$AH$2:$AH$1001,0),MATCH(COLUMNS($AO$1006:AW1006),$AO$1006:$BQ$1006,0)), HYPERLINK("#",""), HYPERLINK(CONCATENATE("#Metadata!", ADDRESS(INDEX($AJ$2:$AJ$1001,MATCH(ROWS($AH$2:AH828),$AH$2:$AH$1001,0),0), INDEX($AO$1004:$BQ$1004,1,MATCH(COLUMNS($AO$1006:AW1006),$AO$1006:$BQ$1006,0)))),"Fix")))</f>
        <v>#N/A</v>
      </c>
      <c r="K828" s="5" t="e">
        <f ca="1">IF(OR(INDEX($AI$2:$AI$1001,MATCH(ROWS($AH$2:AH828),$AH$2:$AH$1001,0),1)&gt;=100000,INDEX($AO$1005:$BQ$1005,1,MATCH(COLUMNS($AO$1006:AX1006),$AO$1006:$BQ$1006,0))&gt;=100000), " ",IF(INDEX($AO$2:$BQ$1001,MATCH(ROWS($AH$2:AH828),$AH$2:$AH$1001,0),MATCH(COLUMNS($AO$1006:AX1006),$AO$1006:$BQ$1006,0)), HYPERLINK("#",""), HYPERLINK(CONCATENATE("#Metadata!", ADDRESS(INDEX($AJ$2:$AJ$1001,MATCH(ROWS($AH$2:AH828),$AH$2:$AH$1001,0),0), INDEX($AO$1004:$BQ$1004,1,MATCH(COLUMNS($AO$1006:AX1006),$AO$1006:$BQ$1006,0)))),"Fix")))</f>
        <v>#N/A</v>
      </c>
      <c r="L828" s="5" t="e">
        <f ca="1">IF(OR(INDEX($AI$2:$AI$1001,MATCH(ROWS($AH$2:AH828),$AH$2:$AH$1001,0),1)&gt;=100000,INDEX($AO$1005:$BQ$1005,1,MATCH(COLUMNS($AO$1006:AY1006),$AO$1006:$BQ$1006,0))&gt;=100000), " ",IF(INDEX($AO$2:$BQ$1001,MATCH(ROWS($AH$2:AH828),$AH$2:$AH$1001,0),MATCH(COLUMNS($AO$1006:AY1006),$AO$1006:$BQ$1006,0)), HYPERLINK("#",""), HYPERLINK(CONCATENATE("#Metadata!", ADDRESS(INDEX($AJ$2:$AJ$1001,MATCH(ROWS($AH$2:AH828),$AH$2:$AH$1001,0),0), INDEX($AO$1004:$BQ$1004,1,MATCH(COLUMNS($AO$1006:AY1006),$AO$1006:$BQ$1006,0)))),"Fix")))</f>
        <v>#N/A</v>
      </c>
      <c r="M828" s="5" t="e">
        <f ca="1">IF(OR(INDEX($AI$2:$AI$1001,MATCH(ROWS($AH$2:AH828),$AH$2:$AH$1001,0),1)&gt;=100000,INDEX($AO$1005:$BQ$1005,1,MATCH(COLUMNS($AO$1006:AZ1006),$AO$1006:$BQ$1006,0))&gt;=100000), " ",IF(INDEX($AO$2:$BQ$1001,MATCH(ROWS($AH$2:AH828),$AH$2:$AH$1001,0),MATCH(COLUMNS($AO$1006:AZ1006),$AO$1006:$BQ$1006,0)), HYPERLINK("#",""), HYPERLINK(CONCATENATE("#Metadata!", ADDRESS(INDEX($AJ$2:$AJ$1001,MATCH(ROWS($AH$2:AH828),$AH$2:$AH$1001,0),0), INDEX($AO$1004:$BQ$1004,1,MATCH(COLUMNS($AO$1006:AZ1006),$AO$1006:$BQ$1006,0)))),"Fix")))</f>
        <v>#N/A</v>
      </c>
      <c r="N828" s="5" t="e">
        <f ca="1">IF(OR(INDEX($AI$2:$AI$1001,MATCH(ROWS($AH$2:AH828),$AH$2:$AH$1001,0),1)&gt;=100000,INDEX($AO$1005:$BQ$1005,1,MATCH(COLUMNS($AO$1006:BA1006),$AO$1006:$BQ$1006,0))&gt;=100000), " ",IF(INDEX($AO$2:$BQ$1001,MATCH(ROWS($AH$2:AH828),$AH$2:$AH$1001,0),MATCH(COLUMNS($AO$1006:BA1006),$AO$1006:$BQ$1006,0)), HYPERLINK("#",""), HYPERLINK(CONCATENATE("#Metadata!", ADDRESS(INDEX($AJ$2:$AJ$1001,MATCH(ROWS($AH$2:AH828),$AH$2:$AH$1001,0),0), INDEX($AO$1004:$BQ$1004,1,MATCH(COLUMNS($AO$1006:BA1006),$AO$1006:$BQ$1006,0)))),"Fix")))</f>
        <v>#N/A</v>
      </c>
      <c r="O828" s="5" t="e">
        <f ca="1">IF(OR(INDEX($AI$2:$AI$1001,MATCH(ROWS($AH$2:AH828),$AH$2:$AH$1001,0),1)&gt;=100000,INDEX($AO$1005:$BQ$1005,1,MATCH(COLUMNS($AO$1006:BB1006),$AO$1006:$BQ$1006,0))&gt;=100000), " ",IF(INDEX($AO$2:$BQ$1001,MATCH(ROWS($AH$2:AH828),$AH$2:$AH$1001,0),MATCH(COLUMNS($AO$1006:BB1006),$AO$1006:$BQ$1006,0)), HYPERLINK("#",""), HYPERLINK(CONCATENATE("#Metadata!", ADDRESS(INDEX($AJ$2:$AJ$1001,MATCH(ROWS($AH$2:AH828),$AH$2:$AH$1001,0),0), INDEX($AO$1004:$BQ$1004,1,MATCH(COLUMNS($AO$1006:BB1006),$AO$1006:$BQ$1006,0)))),"Fix")))</f>
        <v>#N/A</v>
      </c>
      <c r="P828" s="5" t="e">
        <f ca="1">IF(OR(INDEX($AI$2:$AI$1001,MATCH(ROWS($AH$2:AH828),$AH$2:$AH$1001,0),1)&gt;=100000,INDEX($AO$1005:$BQ$1005,1,MATCH(COLUMNS($AO$1006:BC1006),$AO$1006:$BQ$1006,0))&gt;=100000), " ",IF(INDEX($AO$2:$BQ$1001,MATCH(ROWS($AH$2:AH828),$AH$2:$AH$1001,0),MATCH(COLUMNS($AO$1006:BC1006),$AO$1006:$BQ$1006,0)), HYPERLINK("#",""), HYPERLINK(CONCATENATE("#Metadata!", ADDRESS(INDEX($AJ$2:$AJ$1001,MATCH(ROWS($AH$2:AH828),$AH$2:$AH$1001,0),0), INDEX($AO$1004:$BQ$1004,1,MATCH(COLUMNS($AO$1006:BC1006),$AO$1006:$BQ$1006,0)))),"Fix")))</f>
        <v>#N/A</v>
      </c>
      <c r="Q828" s="5" t="e">
        <f ca="1">IF(OR(INDEX($AI$2:$AI$1001,MATCH(ROWS($AH$2:AH828),$AH$2:$AH$1001,0),1)&gt;=100000,INDEX($AO$1005:$BQ$1005,1,MATCH(COLUMNS($AO$1006:BD1006),$AO$1006:$BQ$1006,0))&gt;=100000), " ",IF(INDEX($AO$2:$BQ$1001,MATCH(ROWS($AH$2:AH828),$AH$2:$AH$1001,0),MATCH(COLUMNS($AO$1006:BD1006),$AO$1006:$BQ$1006,0)), HYPERLINK("#",""), HYPERLINK(CONCATENATE("#Metadata!", ADDRESS(INDEX($AJ$2:$AJ$1001,MATCH(ROWS($AH$2:AH828),$AH$2:$AH$1001,0),0), INDEX($AO$1004:$BQ$1004,1,MATCH(COLUMNS($AO$1006:BD1006),$AO$1006:$BQ$1006,0)))),"Fix")))</f>
        <v>#N/A</v>
      </c>
      <c r="R828" s="5" t="e">
        <f ca="1">IF(OR(INDEX($AI$2:$AI$1001,MATCH(ROWS($AH$2:AH828),$AH$2:$AH$1001,0),1)&gt;=100000,INDEX($AO$1005:$BQ$1005,1,MATCH(COLUMNS($AO$1006:BE1006),$AO$1006:$BQ$1006,0))&gt;=100000), " ",IF(INDEX($AO$2:$BQ$1001,MATCH(ROWS($AH$2:AH828),$AH$2:$AH$1001,0),MATCH(COLUMNS($AO$1006:BE1006),$AO$1006:$BQ$1006,0)), HYPERLINK("#",""), HYPERLINK(CONCATENATE("#Metadata!", ADDRESS(INDEX($AJ$2:$AJ$1001,MATCH(ROWS($AH$2:AH828),$AH$2:$AH$1001,0),0), INDEX($AO$1004:$BQ$1004,1,MATCH(COLUMNS($AO$1006:BE1006),$AO$1006:$BQ$1006,0)))),"Fix")))</f>
        <v>#N/A</v>
      </c>
      <c r="S828" s="5" t="e">
        <f ca="1">IF(OR(INDEX($AI$2:$AI$1001,MATCH(ROWS($AH$2:AH828),$AH$2:$AH$1001,0),1)&gt;=100000,INDEX($AO$1005:$BQ$1005,1,MATCH(COLUMNS($AO$1006:BF1006),$AO$1006:$BQ$1006,0))&gt;=100000), " ",IF(INDEX($AO$2:$BQ$1001,MATCH(ROWS($AH$2:AH828),$AH$2:$AH$1001,0),MATCH(COLUMNS($AO$1006:BF1006),$AO$1006:$BQ$1006,0)), HYPERLINK("#",""), HYPERLINK(CONCATENATE("#Metadata!", ADDRESS(INDEX($AJ$2:$AJ$1001,MATCH(ROWS($AH$2:AH828),$AH$2:$AH$1001,0),0), INDEX($AO$1004:$BQ$1004,1,MATCH(COLUMNS($AO$1006:BF1006),$AO$1006:$BQ$1006,0)))),"Fix")))</f>
        <v>#N/A</v>
      </c>
      <c r="T828" s="5" t="e">
        <f ca="1">IF(OR(INDEX($AI$2:$AI$1001,MATCH(ROWS($AH$2:AH828),$AH$2:$AH$1001,0),1)&gt;=100000,INDEX($AO$1005:$BQ$1005,1,MATCH(COLUMNS($AO$1006:BG1006),$AO$1006:$BQ$1006,0))&gt;=100000), " ",IF(INDEX($AO$2:$BQ$1001,MATCH(ROWS($AH$2:AH828),$AH$2:$AH$1001,0),MATCH(COLUMNS($AO$1006:BG1006),$AO$1006:$BQ$1006,0)), HYPERLINK("#",""), HYPERLINK(CONCATENATE("#Metadata!", ADDRESS(INDEX($AJ$2:$AJ$1001,MATCH(ROWS($AH$2:AH828),$AH$2:$AH$1001,0),0), INDEX($AO$1004:$BQ$1004,1,MATCH(COLUMNS($AO$1006:BG1006),$AO$1006:$BQ$1006,0)))),"Fix")))</f>
        <v>#N/A</v>
      </c>
      <c r="U828" s="5" t="e">
        <f ca="1">IF(OR(INDEX($AI$2:$AI$1001,MATCH(ROWS($AH$2:AH828),$AH$2:$AH$1001,0),1)&gt;=100000,INDEX($AO$1005:$BQ$1005,1,MATCH(COLUMNS($AO$1006:BH1006),$AO$1006:$BQ$1006,0))&gt;=100000), " ",IF(INDEX($AO$2:$BQ$1001,MATCH(ROWS($AH$2:AH828),$AH$2:$AH$1001,0),MATCH(COLUMNS($AO$1006:BH1006),$AO$1006:$BQ$1006,0)), HYPERLINK("#",""), HYPERLINK(CONCATENATE("#Metadata!", ADDRESS(INDEX($AJ$2:$AJ$1001,MATCH(ROWS($AH$2:AH828),$AH$2:$AH$1001,0),0), INDEX($AO$1004:$BQ$1004,1,MATCH(COLUMNS($AO$1006:BH1006),$AO$1006:$BQ$1006,0)))),"Fix")))</f>
        <v>#N/A</v>
      </c>
      <c r="V828" s="5" t="e">
        <f ca="1">IF(OR(INDEX($AI$2:$AI$1001,MATCH(ROWS($AH$2:AH828),$AH$2:$AH$1001,0),1)&gt;=100000,INDEX($AO$1005:$BQ$1005,1,MATCH(COLUMNS($AO$1006:BI1006),$AO$1006:$BQ$1006,0))&gt;=100000), " ",IF(INDEX($AO$2:$BQ$1001,MATCH(ROWS($AH$2:AH828),$AH$2:$AH$1001,0),MATCH(COLUMNS($AO$1006:BI1006),$AO$1006:$BQ$1006,0)), HYPERLINK("#",""), HYPERLINK(CONCATENATE("#Metadata!", ADDRESS(INDEX($AJ$2:$AJ$1001,MATCH(ROWS($AH$2:AH828),$AH$2:$AH$1001,0),0), INDEX($AO$1004:$BQ$1004,1,MATCH(COLUMNS($AO$1006:BI1006),$AO$1006:$BQ$1006,0)))),"Fix")))</f>
        <v>#N/A</v>
      </c>
      <c r="W828" s="5" t="e">
        <f ca="1">IF(OR(INDEX($AI$2:$AI$1001,MATCH(ROWS($AH$2:AH828),$AH$2:$AH$1001,0),1)&gt;=100000,INDEX($AO$1005:$BQ$1005,1,MATCH(COLUMNS($AO$1006:BJ1006),$AO$1006:$BQ$1006,0))&gt;=100000), " ",IF(INDEX($AO$2:$BQ$1001,MATCH(ROWS($AH$2:AH828),$AH$2:$AH$1001,0),MATCH(COLUMNS($AO$1006:BJ1006),$AO$1006:$BQ$1006,0)), HYPERLINK("#",""), HYPERLINK(CONCATENATE("#Metadata!", ADDRESS(INDEX($AJ$2:$AJ$1001,MATCH(ROWS($AH$2:AH828),$AH$2:$AH$1001,0),0), INDEX($AO$1004:$BQ$1004,1,MATCH(COLUMNS($AO$1006:BJ1006),$AO$1006:$BQ$1006,0)))),"Fix")))</f>
        <v>#N/A</v>
      </c>
      <c r="X828" s="5" t="e">
        <f ca="1">IF(OR(INDEX($AI$2:$AI$1001,MATCH(ROWS($AH$2:AH828),$AH$2:$AH$1001,0),1)&gt;=100000,INDEX($AO$1005:$BQ$1005,1,MATCH(COLUMNS($AO$1006:BK1006),$AO$1006:$BQ$1006,0))&gt;=100000), " ",IF(INDEX($AO$2:$BQ$1001,MATCH(ROWS($AH$2:AH828),$AH$2:$AH$1001,0),MATCH(COLUMNS($AO$1006:BK1006),$AO$1006:$BQ$1006,0)), HYPERLINK("#",""), HYPERLINK(CONCATENATE("#Metadata!", ADDRESS(INDEX($AJ$2:$AJ$1001,MATCH(ROWS($AH$2:AH828),$AH$2:$AH$1001,0),0), INDEX($AO$1004:$BQ$1004,1,MATCH(COLUMNS($AO$1006:BK1006),$AO$1006:$BQ$1006,0)))),"Fix")))</f>
        <v>#N/A</v>
      </c>
      <c r="Y828" s="5" t="e">
        <f ca="1">IF(OR(INDEX($AI$2:$AI$1001,MATCH(ROWS($AH$2:AH828),$AH$2:$AH$1001,0),1)&gt;=100000,INDEX($AO$1005:$BQ$1005,1,MATCH(COLUMNS($AO$1006:BL1006),$AO$1006:$BQ$1006,0))&gt;=100000), " ",IF(INDEX($AO$2:$BQ$1001,MATCH(ROWS($AH$2:AH828),$AH$2:$AH$1001,0),MATCH(COLUMNS($AO$1006:BL1006),$AO$1006:$BQ$1006,0)), HYPERLINK("#",""), HYPERLINK(CONCATENATE("#Metadata!", ADDRESS(INDEX($AJ$2:$AJ$1001,MATCH(ROWS($AH$2:AH828),$AH$2:$AH$1001,0),0), INDEX($AO$1004:$BQ$1004,1,MATCH(COLUMNS($AO$1006:BL1006),$AO$1006:$BQ$1006,0)))),"Fix")))</f>
        <v>#N/A</v>
      </c>
      <c r="Z828" s="5" t="e">
        <f ca="1">IF(OR(INDEX($AI$2:$AI$1001,MATCH(ROWS($AH$2:AH828),$AH$2:$AH$1001,0),1)&gt;=100000,INDEX($AO$1005:$BQ$1005,1,MATCH(COLUMNS($AO$1006:BM1006),$AO$1006:$BQ$1006,0))&gt;=100000), " ",IF(INDEX($AO$2:$BQ$1001,MATCH(ROWS($AH$2:AH828),$AH$2:$AH$1001,0),MATCH(COLUMNS($AO$1006:BM1006),$AO$1006:$BQ$1006,0)), HYPERLINK("#",""), HYPERLINK(CONCATENATE("#Metadata!", ADDRESS(INDEX($AJ$2:$AJ$1001,MATCH(ROWS($AH$2:AH828),$AH$2:$AH$1001,0),0), INDEX($AO$1004:$BQ$1004,1,MATCH(COLUMNS($AO$1006:BM1006),$AO$1006:$BQ$1006,0)))),"Fix")))</f>
        <v>#N/A</v>
      </c>
      <c r="AA828" s="5" t="e">
        <f ca="1">IF(OR(INDEX($AI$2:$AI$1001,MATCH(ROWS($AH$2:AH828),$AH$2:$AH$1001,0),1)&gt;=100000,INDEX($AO$1005:$BQ$1005,1,MATCH(COLUMNS($AO$1006:BN1006),$AO$1006:$BQ$1006,0))&gt;=100000), " ",IF(INDEX($AO$2:$BQ$1001,MATCH(ROWS($AH$2:AH828),$AH$2:$AH$1001,0),MATCH(COLUMNS($AO$1006:BN1006),$AO$1006:$BQ$1006,0)), HYPERLINK("#",""), HYPERLINK(CONCATENATE("#Metadata!", ADDRESS(INDEX($AJ$2:$AJ$1001,MATCH(ROWS($AH$2:AH828),$AH$2:$AH$1001,0),0), INDEX($AO$1004:$BQ$1004,1,MATCH(COLUMNS($AO$1006:BN1006),$AO$1006:$BQ$1006,0)))),"Fix")))</f>
        <v>#N/A</v>
      </c>
      <c r="AB828" s="5" t="e">
        <f ca="1">IF(OR(INDEX($AI$2:$AI$1001,MATCH(ROWS($AH$2:AH828),$AH$2:$AH$1001,0),1)&gt;=100000,INDEX($AO$1005:$BQ$1005,1,MATCH(COLUMNS($AO$1006:BO1006),$AO$1006:$BQ$1006,0))&gt;=100000), " ",IF(INDEX($AO$2:$BQ$1001,MATCH(ROWS($AH$2:AH828),$AH$2:$AH$1001,0),MATCH(COLUMNS($AO$1006:BO1006),$AO$1006:$BQ$1006,0)), HYPERLINK("#",""), HYPERLINK(CONCATENATE("#Metadata!", ADDRESS(INDEX($AJ$2:$AJ$1001,MATCH(ROWS($AH$2:AH828),$AH$2:$AH$1001,0),0), INDEX($AO$1004:$BQ$1004,1,MATCH(COLUMNS($AO$1006:BO1006),$AO$1006:$BQ$1006,0)))),"Fix")))</f>
        <v>#N/A</v>
      </c>
      <c r="AC828" s="5" t="e">
        <f ca="1">IF(OR(INDEX($AI$2:$AI$1001,MATCH(ROWS($AH$2:AH828),$AH$2:$AH$1001,0),1)&gt;=100000,INDEX($AO$1005:$BQ$1005,1,MATCH(COLUMNS($AO$1006:BP1006),$AO$1006:$BQ$1006,0))&gt;=100000), " ",IF(INDEX($AO$2:$BQ$1001,MATCH(ROWS($AH$2:AH828),$AH$2:$AH$1001,0),MATCH(COLUMNS($AO$1006:BP1006),$AO$1006:$BQ$1006,0)), HYPERLINK("#",""), HYPERLINK(CONCATENATE("#Metadata!", ADDRESS(INDEX($AJ$2:$AJ$1001,MATCH(ROWS($AH$2:AH828),$AH$2:$AH$1001,0),0), INDEX($AO$1004:$BQ$1004,1,MATCH(COLUMNS($AO$1006:BP1006),$AO$1006:$BQ$1006,0)))),"Fix")))</f>
        <v>#N/A</v>
      </c>
      <c r="AD828" s="5" t="e">
        <f ca="1">IF(OR(INDEX($AI$2:$AI$1001,MATCH(ROWS($AH$2:AH828),$AH$2:$AH$1001,0),1)&gt;=100000,INDEX($AO$1005:$BQ$1005,1,MATCH(COLUMNS($AO$1006:BQ1006),$AO$1006:$BQ$1006,0))&gt;=100000), " ",IF(INDEX($AO$2:$BQ$1001,MATCH(ROWS($AH$2:AH828),$AH$2:$AH$1001,0),MATCH(COLUMNS($AO$1006:BQ1006),$AO$1006:$BQ$1006,0)), HYPERLINK("#",""), HYPERLINK(CONCATENATE("#Metadata!", ADDRESS(INDEX($AJ$2:$AJ$1001,MATCH(ROWS($AH$2:AH828),$AH$2:$AH$1001,0),0), INDEX($AO$1004:$BQ$1004,1,MATCH(COLUMNS($AO$1006:BQ1006),$AO$1006:$BQ$1006,0)))),"Fix")))</f>
        <v>#REF!</v>
      </c>
      <c r="AH828">
        <f ca="1"/>
        <v>825</v>
      </c>
      <c r="AI828">
        <v>100828</v>
      </c>
      <c r="AJ828">
        <v>828</v>
      </c>
      <c r="AK828" t="b">
        <f t="shared" si="12"/>
        <v>1</v>
      </c>
      <c r="AL828" t="b">
        <f>COUNTBLANK(Metadata!B828:AD828)=COLUMNS(Metadata!B828:AD828)</f>
        <v>1</v>
      </c>
      <c r="AM828" t="str">
        <v/>
      </c>
      <c r="AO828" t="b">
        <f ca="1">AND(IF(Metadata!B828="",FALSE,TRUE),COUNTIF(Metadata!B:B, Metadata!B828) = 1,NOT(ISERROR(SUMPRODUCT(SEARCH(MID(Metadata!B828,ROW(INDIRECT("1:"&amp;LEN(Metadata!B828))), 1),"0123456789abcdefghijklmnopqrstuvwxyzABCDEFGHIJKLMNOPQRSTUVWXYZ.")))))</f>
        <v>0</v>
      </c>
      <c r="AP828" t="b">
        <f>IF(Metadata!C828="",FALSE,TRUE)</f>
        <v>0</v>
      </c>
      <c r="AQ828" t="b">
        <f>IF(Metadata!D828="",FALSE,TRUE)</f>
        <v>0</v>
      </c>
      <c r="AR828" t="b">
        <f ca="1">OR(AND(IF(Metadata!E828="",FALSE,TRUE),OR(EXACT(Metadata!E828,"not collected"),EXACT(Metadata!E828,"not provided"),EXACT(Metadata!E828,"restricted access"))),AND(IF(Metadata!E828="",FALSE,TRUE),AND(AND(IFERROR(INT(LEFT(Metadata!E828,4))&gt;1900,FALSE),IFERROR(INT(LEFT(Metadata!E828,4))&lt;=YEAR(NOW()),FALSE)), OR(MID(Metadata!E828,5,1)="", AND(AND(MID(Metadata!E828,5,1)="-",IFERROR(INT(MID(Metadata!E828,6,1))&gt;=0,FALSE),IFERROR(INT(MID(Metadata!E828,6,1))&lt;=1,FALSE),NOT(MID(Metadata!E828,7,1)=""),IFERROR(INT(MID(Metadata!E828,6,2))&gt;=1,FALSE),IFERROR(INT(MID(Metadata!E828,6,2))&lt;=12,FALSE)), OR(MID(Metadata!E828,8,1)="", AND(AND(MID(Metadata!E828,8,1)="-",IFERROR(INT(MID(Metadata!E828,9,1))&gt;=0,FALSE),IFERROR(INT(MID(Metadata!E828,9,1))&lt;=3,FALSE),NOT(MID(Metadata!E828,10,1)=""),IFERROR(INT(MID(Metadata!E828,9,2))&gt;=1,FALSE),IFERROR(INT(MID(Metadata!E828,9,2))&lt;=31,FALSE)), OR(MID(Metadata!E828,11,1)="", AND(AND(MID(Metadata!E828,11,1)=" ",IFERROR(INT(MID(Metadata!E828,12,1))&gt;=0,FALSE),IFERROR(INT(MID(Metadata!E828,12,1))&lt;=2,FALSE),NOT(MID(Metadata!E828,13,1)=""),IFERROR(INT(MID(Metadata!E828,12,2))&gt;=0,FALSE),IFERROR(INT(MID(Metadata!E828,12,2))&lt;=23,FALSE)), OR(MID(Metadata!E828,14,1)="", AND(AND(MID(Metadata!E828,14,1)=":",IFERROR(INT(MID(Metadata!E828,15,1))&gt;=0,FALSE),IFERROR(INT(MID(Metadata!E828,15,1))&lt;=5,FALSE),NOT(MID(Metadata!E828,16,1)=""),IFERROR(INT(MID(Metadata!E828,15,2))&gt;=0,FALSE),IFERROR(INT(MID(Metadata!E828,15,2))&lt;=59,FALSE)), OR(MID(Metadata!E828,17,1)="", AND(AND(MID(Metadata!E828,17,1)=":",IFERROR(INT(MID(Metadata!E828,18,1))&gt;=0,FALSE),IFERROR(INT(MID(Metadata!E828,18,1))&lt;=5,FALSE),NOT(MID(Metadata!E828,19,1)=""),IFERROR(INT(MID(Metadata!E828,18,2))&gt;=0,FALSE),IFERROR(INT(MID(Metadata!E828,18,2))&lt;=59,FALSE)), LEN(Metadata!E828)&lt;=19)))))))))))))</f>
        <v>0</v>
      </c>
      <c r="AS828" t="b">
        <f>IF(Metadata!F828="",FALSE,TRUE)</f>
        <v>0</v>
      </c>
      <c r="AT828" t="b">
        <f>OR(AND(IF(Metadata!G828="",FALSE,TRUE),OR(EXACT(Metadata!G828,"not collected"),EXACT(Metadata!G828,"not provided"))),AND(IF(Metadata!G828="",FALSE,TRUE),OR(EXACT(Metadata!G828,"TRUE"),EXACT(Metadata!G828,"FALSE"))))</f>
        <v>0</v>
      </c>
      <c r="AU828" t="b">
        <f>OR(AND(IF(Metadata!H828="",FALSE,TRUE),OR(EXACT(Metadata!H828,"not collected"),EXACT(Metadata!H828,"not provided"),EXACT(Metadata!H828,"restricted access"))),AND(IF(Metadata!H828="",FALSE,ISNUMBER(VALUE(Metadata!H828))),Metadata!H828&gt;=-413))</f>
        <v>0</v>
      </c>
      <c r="AV828" t="b">
        <f>AND(IF(Metadata!I828="",FALSE,TRUE),EXACT(Metadata!I828,"meters"))</f>
        <v>0</v>
      </c>
      <c r="AW828" t="b">
        <f>AND(IF(Metadata!J828="",FALSE,TRUE),EXACT(Metadata!J828,"free-living"))</f>
        <v>0</v>
      </c>
      <c r="AX828" t="b">
        <f>AND(IF(Metadata!K828="",FALSE,TRUE),OR(EXACT(Metadata!K828,"saline"),EXACT(Metadata!K828,"non-saline")))</f>
        <v>0</v>
      </c>
      <c r="AY828" t="b">
        <f>AND(IF(Metadata!L828="",FALSE,TRUE),OR(EXACT(Metadata!L828,"sub-surface (non-saline)"),EXACT(Metadata!L828,"surface (non-saline)"),EXACT(Metadata!L828,"water (non-saline)"),EXACT(Metadata!L828,"soil (non-saline)"),EXACT(Metadata!L828,"aerosol (non-saline)"),EXACT(Metadata!L828,"sediment (non-saline)"),EXACT(Metadata!L828,"surface (saline)"),EXACT(Metadata!L828,"water (saline)"),EXACT(Metadata!L828,"hypersaline (saline)"),EXACT(Metadata!L828,"aerosol (saline)"),EXACT(Metadata!L828,"sediment (saline)")))</f>
        <v>0</v>
      </c>
      <c r="AZ828" t="b">
        <f>IF(Metadata!M828="",FALSE,TRUE)</f>
        <v>0</v>
      </c>
      <c r="BA828" t="b">
        <f>IF(Metadata!N828="",FALSE,TRUE)</f>
        <v>0</v>
      </c>
      <c r="BB828" t="b">
        <f>IF(Metadata!O828="",FALSE,TRUE)</f>
        <v>0</v>
      </c>
      <c r="BC828" t="b">
        <f>AND(IF(Metadata!P828="",FALSE,TRUE),OR(EXACT(Metadata!P828,"air"),EXACT(Metadata!P828,"microbial mat/biofilm"),EXACT(Metadata!P828,"misc environment"),EXACT(Metadata!P828,"sediment"),EXACT(Metadata!P828,"soil"),EXACT(Metadata!P828,"wastewater/sludge"),EXACT(Metadata!P828,"water")))</f>
        <v>0</v>
      </c>
      <c r="BD828" t="b">
        <f>IF(Metadata!Q828="",FALSE,TRUE)</f>
        <v>0</v>
      </c>
      <c r="BE828" t="b">
        <f>IF(Metadata!R828="",FALSE,TRUE)</f>
        <v>0</v>
      </c>
      <c r="BF828" t="b">
        <f>OR(AND(IF(Metadata!S828="",FALSE,TRUE),OR(EXACT(Metadata!S828,"not collected"),EXACT(Metadata!S828,"not provided"),EXACT(Metadata!S828,"restricted access"))),AND(IF(Metadata!S828="",FALSE,ISNUMBER(VALUE(Metadata!S828))),Metadata!S828&gt;=-90,Metadata!S828&lt;=90))</f>
        <v>0</v>
      </c>
      <c r="BG828" t="b">
        <f>AND(IF(Metadata!T828="",FALSE,TRUE),EXACT(Metadata!T828,"Decimal degrees"))</f>
        <v>0</v>
      </c>
      <c r="BH828" t="b">
        <f>OR(AND(IF(Metadata!U828="",FALSE,TRUE),OR(EXACT(Metadata!U828,"not applicable"),EXACT(Metadata!U828,"not collected"))),IF(Metadata!U828="",FALSE,TRUE))</f>
        <v>0</v>
      </c>
      <c r="BI828" t="b">
        <f>OR(AND(IF(Metadata!V828="",FALSE,TRUE),OR(EXACT(Metadata!V828,"not collected"),EXACT(Metadata!V828,"not provided"),EXACT(Metadata!V828,"restricted access"))),AND(IF(Metadata!V828="",FALSE,ISNUMBER(VALUE(Metadata!V828))),Metadata!V828&gt;=-180,Metadata!V828&lt;=180))</f>
        <v>0</v>
      </c>
      <c r="BJ828" t="b">
        <f>AND(IF(Metadata!W828="",FALSE,TRUE),EXACT(Metadata!W828,"Decimal degrees"))</f>
        <v>0</v>
      </c>
      <c r="BK828" t="b">
        <f>IF(Metadata!X828="",FALSE,TRUE)</f>
        <v>0</v>
      </c>
      <c r="BL828" t="b">
        <f>OR(AND(IF(Metadata!Y828="",FALSE,TRUE),OR(EXACT(Metadata!Y828,"not collected"),EXACT(Metadata!Y828,"not provided"),EXACT(Metadata!Y828,"restricted access"))),AND(IF(Metadata!Y828="",FALSE,TRUE),OR(EXACT(Metadata!Y828,"TRUE"),EXACT(Metadata!Y828,"FALSE"))))</f>
        <v>0</v>
      </c>
      <c r="BM828" t="b">
        <f>OR(AND(IF(Metadata!Z828="",FALSE,TRUE),EXACT(Metadata!Z828,"not applicable")),AND(IF(Metadata!Z828="",FALSE,TRUE),OR(EXACT(Metadata!Z828,"beer"),EXACT(Metadata!Z828,"cheese"),EXACT(Metadata!Z828,"fresh water"),EXACT(Metadata!Z828,"marine sediment"),EXACT(Metadata!Z828,"sea water"),EXACT(Metadata!Z828,"sediment"),EXACT(Metadata!Z828,"soil"),EXACT(Metadata!Z828,"waste water"))))</f>
        <v>0</v>
      </c>
      <c r="BN828" t="b">
        <f>AND(IF(Metadata!AA828="",FALSE,TRUE),EXACT(Metadata!AA828,"metagenome"))</f>
        <v>0</v>
      </c>
      <c r="BO828" t="b">
        <f>AND(IF(Metadata!AB828="",FALSE,TRUE),EXACT(Metadata!AB828,"256318"))</f>
        <v>0</v>
      </c>
      <c r="BP828" t="b">
        <f>IF(Metadata!AC828="",FALSE,TRUE)</f>
        <v>0</v>
      </c>
      <c r="BQ828" t="b">
        <f>IF(Metadata!AD828="",FALSE,TRUE)</f>
        <v>0</v>
      </c>
    </row>
    <row r="829" spans="1:69" x14ac:dyDescent="0.2">
      <c r="A829" s="4" t="e">
        <f ca="1">IF(B829=" "," ",HYPERLINK(CONCATENATE("#metadata!",ADDRESS(INDEX($AJ$2:$AJ$1001,MATCH(ROWS($AH$2:AH829),$AH$2:$AH$1001,0),0),2)),INDEX($AM$2:$AM$1001,MATCH(ROWS($AH$2:AH829),$AH$2:$AH$1001,0),0)))</f>
        <v>#N/A</v>
      </c>
      <c r="B829" s="5" t="e">
        <f ca="1">IF(OR(INDEX($AI$2:$AI$1001,MATCH(ROWS($AH$2:AH829),$AH$2:$AH$1001,0),1)&gt;=100000,INDEX($AO$1005:$BQ$1005,1,MATCH(COLUMNS($AO$1006:AO1006),$AO$1006:$BQ$1006,0))&gt;=100000), " ",IF(INDEX($AO$2:$BQ$1001,MATCH(ROWS($AH$2:AH829),$AH$2:$AH$1001,0),MATCH(COLUMNS($AO$1006:AO1006),$AO$1006:$BQ$1006,0)), HYPERLINK("#",""), HYPERLINK(CONCATENATE("#Metadata!", ADDRESS(INDEX($AJ$2:$AJ$1001,MATCH(ROWS($AH$2:AH829),$AH$2:$AH$1001,0),0), INDEX($AO$1004:$BQ$1004,1,MATCH(COLUMNS($AO$1006:AO1006),$AO$1006:$BQ$1006,0)))),"Fix")))</f>
        <v>#N/A</v>
      </c>
      <c r="C829" s="5" t="e">
        <f ca="1">IF(OR(INDEX($AI$2:$AI$1001,MATCH(ROWS($AH$2:AH829),$AH$2:$AH$1001,0),1)&gt;=100000,INDEX($AO$1005:$BQ$1005,1,MATCH(COLUMNS($AO$1006:AP1006),$AO$1006:$BQ$1006,0))&gt;=100000), " ",IF(INDEX($AO$2:$BQ$1001,MATCH(ROWS($AH$2:AH829),$AH$2:$AH$1001,0),MATCH(COLUMNS($AO$1006:AP1006),$AO$1006:$BQ$1006,0)), HYPERLINK("#",""), HYPERLINK(CONCATENATE("#Metadata!", ADDRESS(INDEX($AJ$2:$AJ$1001,MATCH(ROWS($AH$2:AH829),$AH$2:$AH$1001,0),0), INDEX($AO$1004:$BQ$1004,1,MATCH(COLUMNS($AO$1006:AP1006),$AO$1006:$BQ$1006,0)))),"Fix")))</f>
        <v>#N/A</v>
      </c>
      <c r="D829" s="5" t="e">
        <f ca="1">IF(OR(INDEX($AI$2:$AI$1001,MATCH(ROWS($AH$2:AH829),$AH$2:$AH$1001,0),1)&gt;=100000,INDEX($AO$1005:$BQ$1005,1,MATCH(COLUMNS($AO$1006:AQ1006),$AO$1006:$BQ$1006,0))&gt;=100000), " ",IF(INDEX($AO$2:$BQ$1001,MATCH(ROWS($AH$2:AH829),$AH$2:$AH$1001,0),MATCH(COLUMNS($AO$1006:AQ1006),$AO$1006:$BQ$1006,0)), HYPERLINK("#",""), HYPERLINK(CONCATENATE("#Metadata!", ADDRESS(INDEX($AJ$2:$AJ$1001,MATCH(ROWS($AH$2:AH829),$AH$2:$AH$1001,0),0), INDEX($AO$1004:$BQ$1004,1,MATCH(COLUMNS($AO$1006:AQ1006),$AO$1006:$BQ$1006,0)))),"Fix")))</f>
        <v>#N/A</v>
      </c>
      <c r="E829" s="5" t="e">
        <f ca="1">IF(OR(INDEX($AI$2:$AI$1001,MATCH(ROWS($AH$2:AH829),$AH$2:$AH$1001,0),1)&gt;=100000,INDEX($AO$1005:$BQ$1005,1,MATCH(COLUMNS($AO$1006:AR1006),$AO$1006:$BQ$1006,0))&gt;=100000), " ",IF(INDEX($AO$2:$BQ$1001,MATCH(ROWS($AH$2:AH829),$AH$2:$AH$1001,0),MATCH(COLUMNS($AO$1006:AR1006),$AO$1006:$BQ$1006,0)), HYPERLINK("#",""), HYPERLINK(CONCATENATE("#Metadata!", ADDRESS(INDEX($AJ$2:$AJ$1001,MATCH(ROWS($AH$2:AH829),$AH$2:$AH$1001,0),0), INDEX($AO$1004:$BQ$1004,1,MATCH(COLUMNS($AO$1006:AR1006),$AO$1006:$BQ$1006,0)))),"Fix")))</f>
        <v>#N/A</v>
      </c>
      <c r="F829" s="5" t="e">
        <f ca="1">IF(OR(INDEX($AI$2:$AI$1001,MATCH(ROWS($AH$2:AH829),$AH$2:$AH$1001,0),1)&gt;=100000,INDEX($AO$1005:$BQ$1005,1,MATCH(COLUMNS($AO$1006:AS1006),$AO$1006:$BQ$1006,0))&gt;=100000), " ",IF(INDEX($AO$2:$BQ$1001,MATCH(ROWS($AH$2:AH829),$AH$2:$AH$1001,0),MATCH(COLUMNS($AO$1006:AS1006),$AO$1006:$BQ$1006,0)), HYPERLINK("#",""), HYPERLINK(CONCATENATE("#Metadata!", ADDRESS(INDEX($AJ$2:$AJ$1001,MATCH(ROWS($AH$2:AH829),$AH$2:$AH$1001,0),0), INDEX($AO$1004:$BQ$1004,1,MATCH(COLUMNS($AO$1006:AS1006),$AO$1006:$BQ$1006,0)))),"Fix")))</f>
        <v>#N/A</v>
      </c>
      <c r="G829" s="5" t="e">
        <f ca="1">IF(OR(INDEX($AI$2:$AI$1001,MATCH(ROWS($AH$2:AH829),$AH$2:$AH$1001,0),1)&gt;=100000,INDEX($AO$1005:$BQ$1005,1,MATCH(COLUMNS($AO$1006:AT1006),$AO$1006:$BQ$1006,0))&gt;=100000), " ",IF(INDEX($AO$2:$BQ$1001,MATCH(ROWS($AH$2:AH829),$AH$2:$AH$1001,0),MATCH(COLUMNS($AO$1006:AT1006),$AO$1006:$BQ$1006,0)), HYPERLINK("#",""), HYPERLINK(CONCATENATE("#Metadata!", ADDRESS(INDEX($AJ$2:$AJ$1001,MATCH(ROWS($AH$2:AH829),$AH$2:$AH$1001,0),0), INDEX($AO$1004:$BQ$1004,1,MATCH(COLUMNS($AO$1006:AT1006),$AO$1006:$BQ$1006,0)))),"Fix")))</f>
        <v>#N/A</v>
      </c>
      <c r="H829" s="5" t="e">
        <f ca="1">IF(OR(INDEX($AI$2:$AI$1001,MATCH(ROWS($AH$2:AH829),$AH$2:$AH$1001,0),1)&gt;=100000,INDEX($AO$1005:$BQ$1005,1,MATCH(COLUMNS($AO$1006:AU1006),$AO$1006:$BQ$1006,0))&gt;=100000), " ",IF(INDEX($AO$2:$BQ$1001,MATCH(ROWS($AH$2:AH829),$AH$2:$AH$1001,0),MATCH(COLUMNS($AO$1006:AU1006),$AO$1006:$BQ$1006,0)), HYPERLINK("#",""), HYPERLINK(CONCATENATE("#Metadata!", ADDRESS(INDEX($AJ$2:$AJ$1001,MATCH(ROWS($AH$2:AH829),$AH$2:$AH$1001,0),0), INDEX($AO$1004:$BQ$1004,1,MATCH(COLUMNS($AO$1006:AU1006),$AO$1006:$BQ$1006,0)))),"Fix")))</f>
        <v>#N/A</v>
      </c>
      <c r="I829" s="5" t="e">
        <f ca="1">IF(OR(INDEX($AI$2:$AI$1001,MATCH(ROWS($AH$2:AH829),$AH$2:$AH$1001,0),1)&gt;=100000,INDEX($AO$1005:$BQ$1005,1,MATCH(COLUMNS($AO$1006:AV1006),$AO$1006:$BQ$1006,0))&gt;=100000), " ",IF(INDEX($AO$2:$BQ$1001,MATCH(ROWS($AH$2:AH829),$AH$2:$AH$1001,0),MATCH(COLUMNS($AO$1006:AV1006),$AO$1006:$BQ$1006,0)), HYPERLINK("#",""), HYPERLINK(CONCATENATE("#Metadata!", ADDRESS(INDEX($AJ$2:$AJ$1001,MATCH(ROWS($AH$2:AH829),$AH$2:$AH$1001,0),0), INDEX($AO$1004:$BQ$1004,1,MATCH(COLUMNS($AO$1006:AV1006),$AO$1006:$BQ$1006,0)))),"Fix")))</f>
        <v>#N/A</v>
      </c>
      <c r="J829" s="5" t="e">
        <f ca="1">IF(OR(INDEX($AI$2:$AI$1001,MATCH(ROWS($AH$2:AH829),$AH$2:$AH$1001,0),1)&gt;=100000,INDEX($AO$1005:$BQ$1005,1,MATCH(COLUMNS($AO$1006:AW1006),$AO$1006:$BQ$1006,0))&gt;=100000), " ",IF(INDEX($AO$2:$BQ$1001,MATCH(ROWS($AH$2:AH829),$AH$2:$AH$1001,0),MATCH(COLUMNS($AO$1006:AW1006),$AO$1006:$BQ$1006,0)), HYPERLINK("#",""), HYPERLINK(CONCATENATE("#Metadata!", ADDRESS(INDEX($AJ$2:$AJ$1001,MATCH(ROWS($AH$2:AH829),$AH$2:$AH$1001,0),0), INDEX($AO$1004:$BQ$1004,1,MATCH(COLUMNS($AO$1006:AW1006),$AO$1006:$BQ$1006,0)))),"Fix")))</f>
        <v>#N/A</v>
      </c>
      <c r="K829" s="5" t="e">
        <f ca="1">IF(OR(INDEX($AI$2:$AI$1001,MATCH(ROWS($AH$2:AH829),$AH$2:$AH$1001,0),1)&gt;=100000,INDEX($AO$1005:$BQ$1005,1,MATCH(COLUMNS($AO$1006:AX1006),$AO$1006:$BQ$1006,0))&gt;=100000), " ",IF(INDEX($AO$2:$BQ$1001,MATCH(ROWS($AH$2:AH829),$AH$2:$AH$1001,0),MATCH(COLUMNS($AO$1006:AX1006),$AO$1006:$BQ$1006,0)), HYPERLINK("#",""), HYPERLINK(CONCATENATE("#Metadata!", ADDRESS(INDEX($AJ$2:$AJ$1001,MATCH(ROWS($AH$2:AH829),$AH$2:$AH$1001,0),0), INDEX($AO$1004:$BQ$1004,1,MATCH(COLUMNS($AO$1006:AX1006),$AO$1006:$BQ$1006,0)))),"Fix")))</f>
        <v>#N/A</v>
      </c>
      <c r="L829" s="5" t="e">
        <f ca="1">IF(OR(INDEX($AI$2:$AI$1001,MATCH(ROWS($AH$2:AH829),$AH$2:$AH$1001,0),1)&gt;=100000,INDEX($AO$1005:$BQ$1005,1,MATCH(COLUMNS($AO$1006:AY1006),$AO$1006:$BQ$1006,0))&gt;=100000), " ",IF(INDEX($AO$2:$BQ$1001,MATCH(ROWS($AH$2:AH829),$AH$2:$AH$1001,0),MATCH(COLUMNS($AO$1006:AY1006),$AO$1006:$BQ$1006,0)), HYPERLINK("#",""), HYPERLINK(CONCATENATE("#Metadata!", ADDRESS(INDEX($AJ$2:$AJ$1001,MATCH(ROWS($AH$2:AH829),$AH$2:$AH$1001,0),0), INDEX($AO$1004:$BQ$1004,1,MATCH(COLUMNS($AO$1006:AY1006),$AO$1006:$BQ$1006,0)))),"Fix")))</f>
        <v>#N/A</v>
      </c>
      <c r="M829" s="5" t="e">
        <f ca="1">IF(OR(INDEX($AI$2:$AI$1001,MATCH(ROWS($AH$2:AH829),$AH$2:$AH$1001,0),1)&gt;=100000,INDEX($AO$1005:$BQ$1005,1,MATCH(COLUMNS($AO$1006:AZ1006),$AO$1006:$BQ$1006,0))&gt;=100000), " ",IF(INDEX($AO$2:$BQ$1001,MATCH(ROWS($AH$2:AH829),$AH$2:$AH$1001,0),MATCH(COLUMNS($AO$1006:AZ1006),$AO$1006:$BQ$1006,0)), HYPERLINK("#",""), HYPERLINK(CONCATENATE("#Metadata!", ADDRESS(INDEX($AJ$2:$AJ$1001,MATCH(ROWS($AH$2:AH829),$AH$2:$AH$1001,0),0), INDEX($AO$1004:$BQ$1004,1,MATCH(COLUMNS($AO$1006:AZ1006),$AO$1006:$BQ$1006,0)))),"Fix")))</f>
        <v>#N/A</v>
      </c>
      <c r="N829" s="5" t="e">
        <f ca="1">IF(OR(INDEX($AI$2:$AI$1001,MATCH(ROWS($AH$2:AH829),$AH$2:$AH$1001,0),1)&gt;=100000,INDEX($AO$1005:$BQ$1005,1,MATCH(COLUMNS($AO$1006:BA1006),$AO$1006:$BQ$1006,0))&gt;=100000), " ",IF(INDEX($AO$2:$BQ$1001,MATCH(ROWS($AH$2:AH829),$AH$2:$AH$1001,0),MATCH(COLUMNS($AO$1006:BA1006),$AO$1006:$BQ$1006,0)), HYPERLINK("#",""), HYPERLINK(CONCATENATE("#Metadata!", ADDRESS(INDEX($AJ$2:$AJ$1001,MATCH(ROWS($AH$2:AH829),$AH$2:$AH$1001,0),0), INDEX($AO$1004:$BQ$1004,1,MATCH(COLUMNS($AO$1006:BA1006),$AO$1006:$BQ$1006,0)))),"Fix")))</f>
        <v>#N/A</v>
      </c>
      <c r="O829" s="5" t="e">
        <f ca="1">IF(OR(INDEX($AI$2:$AI$1001,MATCH(ROWS($AH$2:AH829),$AH$2:$AH$1001,0),1)&gt;=100000,INDEX($AO$1005:$BQ$1005,1,MATCH(COLUMNS($AO$1006:BB1006),$AO$1006:$BQ$1006,0))&gt;=100000), " ",IF(INDEX($AO$2:$BQ$1001,MATCH(ROWS($AH$2:AH829),$AH$2:$AH$1001,0),MATCH(COLUMNS($AO$1006:BB1006),$AO$1006:$BQ$1006,0)), HYPERLINK("#",""), HYPERLINK(CONCATENATE("#Metadata!", ADDRESS(INDEX($AJ$2:$AJ$1001,MATCH(ROWS($AH$2:AH829),$AH$2:$AH$1001,0),0), INDEX($AO$1004:$BQ$1004,1,MATCH(COLUMNS($AO$1006:BB1006),$AO$1006:$BQ$1006,0)))),"Fix")))</f>
        <v>#N/A</v>
      </c>
      <c r="P829" s="5" t="e">
        <f ca="1">IF(OR(INDEX($AI$2:$AI$1001,MATCH(ROWS($AH$2:AH829),$AH$2:$AH$1001,0),1)&gt;=100000,INDEX($AO$1005:$BQ$1005,1,MATCH(COLUMNS($AO$1006:BC1006),$AO$1006:$BQ$1006,0))&gt;=100000), " ",IF(INDEX($AO$2:$BQ$1001,MATCH(ROWS($AH$2:AH829),$AH$2:$AH$1001,0),MATCH(COLUMNS($AO$1006:BC1006),$AO$1006:$BQ$1006,0)), HYPERLINK("#",""), HYPERLINK(CONCATENATE("#Metadata!", ADDRESS(INDEX($AJ$2:$AJ$1001,MATCH(ROWS($AH$2:AH829),$AH$2:$AH$1001,0),0), INDEX($AO$1004:$BQ$1004,1,MATCH(COLUMNS($AO$1006:BC1006),$AO$1006:$BQ$1006,0)))),"Fix")))</f>
        <v>#N/A</v>
      </c>
      <c r="Q829" s="5" t="e">
        <f ca="1">IF(OR(INDEX($AI$2:$AI$1001,MATCH(ROWS($AH$2:AH829),$AH$2:$AH$1001,0),1)&gt;=100000,INDEX($AO$1005:$BQ$1005,1,MATCH(COLUMNS($AO$1006:BD1006),$AO$1006:$BQ$1006,0))&gt;=100000), " ",IF(INDEX($AO$2:$BQ$1001,MATCH(ROWS($AH$2:AH829),$AH$2:$AH$1001,0),MATCH(COLUMNS($AO$1006:BD1006),$AO$1006:$BQ$1006,0)), HYPERLINK("#",""), HYPERLINK(CONCATENATE("#Metadata!", ADDRESS(INDEX($AJ$2:$AJ$1001,MATCH(ROWS($AH$2:AH829),$AH$2:$AH$1001,0),0), INDEX($AO$1004:$BQ$1004,1,MATCH(COLUMNS($AO$1006:BD1006),$AO$1006:$BQ$1006,0)))),"Fix")))</f>
        <v>#N/A</v>
      </c>
      <c r="R829" s="5" t="e">
        <f ca="1">IF(OR(INDEX($AI$2:$AI$1001,MATCH(ROWS($AH$2:AH829),$AH$2:$AH$1001,0),1)&gt;=100000,INDEX($AO$1005:$BQ$1005,1,MATCH(COLUMNS($AO$1006:BE1006),$AO$1006:$BQ$1006,0))&gt;=100000), " ",IF(INDEX($AO$2:$BQ$1001,MATCH(ROWS($AH$2:AH829),$AH$2:$AH$1001,0),MATCH(COLUMNS($AO$1006:BE1006),$AO$1006:$BQ$1006,0)), HYPERLINK("#",""), HYPERLINK(CONCATENATE("#Metadata!", ADDRESS(INDEX($AJ$2:$AJ$1001,MATCH(ROWS($AH$2:AH829),$AH$2:$AH$1001,0),0), INDEX($AO$1004:$BQ$1004,1,MATCH(COLUMNS($AO$1006:BE1006),$AO$1006:$BQ$1006,0)))),"Fix")))</f>
        <v>#N/A</v>
      </c>
      <c r="S829" s="5" t="e">
        <f ca="1">IF(OR(INDEX($AI$2:$AI$1001,MATCH(ROWS($AH$2:AH829),$AH$2:$AH$1001,0),1)&gt;=100000,INDEX($AO$1005:$BQ$1005,1,MATCH(COLUMNS($AO$1006:BF1006),$AO$1006:$BQ$1006,0))&gt;=100000), " ",IF(INDEX($AO$2:$BQ$1001,MATCH(ROWS($AH$2:AH829),$AH$2:$AH$1001,0),MATCH(COLUMNS($AO$1006:BF1006),$AO$1006:$BQ$1006,0)), HYPERLINK("#",""), HYPERLINK(CONCATENATE("#Metadata!", ADDRESS(INDEX($AJ$2:$AJ$1001,MATCH(ROWS($AH$2:AH829),$AH$2:$AH$1001,0),0), INDEX($AO$1004:$BQ$1004,1,MATCH(COLUMNS($AO$1006:BF1006),$AO$1006:$BQ$1006,0)))),"Fix")))</f>
        <v>#N/A</v>
      </c>
      <c r="T829" s="5" t="e">
        <f ca="1">IF(OR(INDEX($AI$2:$AI$1001,MATCH(ROWS($AH$2:AH829),$AH$2:$AH$1001,0),1)&gt;=100000,INDEX($AO$1005:$BQ$1005,1,MATCH(COLUMNS($AO$1006:BG1006),$AO$1006:$BQ$1006,0))&gt;=100000), " ",IF(INDEX($AO$2:$BQ$1001,MATCH(ROWS($AH$2:AH829),$AH$2:$AH$1001,0),MATCH(COLUMNS($AO$1006:BG1006),$AO$1006:$BQ$1006,0)), HYPERLINK("#",""), HYPERLINK(CONCATENATE("#Metadata!", ADDRESS(INDEX($AJ$2:$AJ$1001,MATCH(ROWS($AH$2:AH829),$AH$2:$AH$1001,0),0), INDEX($AO$1004:$BQ$1004,1,MATCH(COLUMNS($AO$1006:BG1006),$AO$1006:$BQ$1006,0)))),"Fix")))</f>
        <v>#N/A</v>
      </c>
      <c r="U829" s="5" t="e">
        <f ca="1">IF(OR(INDEX($AI$2:$AI$1001,MATCH(ROWS($AH$2:AH829),$AH$2:$AH$1001,0),1)&gt;=100000,INDEX($AO$1005:$BQ$1005,1,MATCH(COLUMNS($AO$1006:BH1006),$AO$1006:$BQ$1006,0))&gt;=100000), " ",IF(INDEX($AO$2:$BQ$1001,MATCH(ROWS($AH$2:AH829),$AH$2:$AH$1001,0),MATCH(COLUMNS($AO$1006:BH1006),$AO$1006:$BQ$1006,0)), HYPERLINK("#",""), HYPERLINK(CONCATENATE("#Metadata!", ADDRESS(INDEX($AJ$2:$AJ$1001,MATCH(ROWS($AH$2:AH829),$AH$2:$AH$1001,0),0), INDEX($AO$1004:$BQ$1004,1,MATCH(COLUMNS($AO$1006:BH1006),$AO$1006:$BQ$1006,0)))),"Fix")))</f>
        <v>#N/A</v>
      </c>
      <c r="V829" s="5" t="e">
        <f ca="1">IF(OR(INDEX($AI$2:$AI$1001,MATCH(ROWS($AH$2:AH829),$AH$2:$AH$1001,0),1)&gt;=100000,INDEX($AO$1005:$BQ$1005,1,MATCH(COLUMNS($AO$1006:BI1006),$AO$1006:$BQ$1006,0))&gt;=100000), " ",IF(INDEX($AO$2:$BQ$1001,MATCH(ROWS($AH$2:AH829),$AH$2:$AH$1001,0),MATCH(COLUMNS($AO$1006:BI1006),$AO$1006:$BQ$1006,0)), HYPERLINK("#",""), HYPERLINK(CONCATENATE("#Metadata!", ADDRESS(INDEX($AJ$2:$AJ$1001,MATCH(ROWS($AH$2:AH829),$AH$2:$AH$1001,0),0), INDEX($AO$1004:$BQ$1004,1,MATCH(COLUMNS($AO$1006:BI1006),$AO$1006:$BQ$1006,0)))),"Fix")))</f>
        <v>#N/A</v>
      </c>
      <c r="W829" s="5" t="e">
        <f ca="1">IF(OR(INDEX($AI$2:$AI$1001,MATCH(ROWS($AH$2:AH829),$AH$2:$AH$1001,0),1)&gt;=100000,INDEX($AO$1005:$BQ$1005,1,MATCH(COLUMNS($AO$1006:BJ1006),$AO$1006:$BQ$1006,0))&gt;=100000), " ",IF(INDEX($AO$2:$BQ$1001,MATCH(ROWS($AH$2:AH829),$AH$2:$AH$1001,0),MATCH(COLUMNS($AO$1006:BJ1006),$AO$1006:$BQ$1006,0)), HYPERLINK("#",""), HYPERLINK(CONCATENATE("#Metadata!", ADDRESS(INDEX($AJ$2:$AJ$1001,MATCH(ROWS($AH$2:AH829),$AH$2:$AH$1001,0),0), INDEX($AO$1004:$BQ$1004,1,MATCH(COLUMNS($AO$1006:BJ1006),$AO$1006:$BQ$1006,0)))),"Fix")))</f>
        <v>#N/A</v>
      </c>
      <c r="X829" s="5" t="e">
        <f ca="1">IF(OR(INDEX($AI$2:$AI$1001,MATCH(ROWS($AH$2:AH829),$AH$2:$AH$1001,0),1)&gt;=100000,INDEX($AO$1005:$BQ$1005,1,MATCH(COLUMNS($AO$1006:BK1006),$AO$1006:$BQ$1006,0))&gt;=100000), " ",IF(INDEX($AO$2:$BQ$1001,MATCH(ROWS($AH$2:AH829),$AH$2:$AH$1001,0),MATCH(COLUMNS($AO$1006:BK1006),$AO$1006:$BQ$1006,0)), HYPERLINK("#",""), HYPERLINK(CONCATENATE("#Metadata!", ADDRESS(INDEX($AJ$2:$AJ$1001,MATCH(ROWS($AH$2:AH829),$AH$2:$AH$1001,0),0), INDEX($AO$1004:$BQ$1004,1,MATCH(COLUMNS($AO$1006:BK1006),$AO$1006:$BQ$1006,0)))),"Fix")))</f>
        <v>#N/A</v>
      </c>
      <c r="Y829" s="5" t="e">
        <f ca="1">IF(OR(INDEX($AI$2:$AI$1001,MATCH(ROWS($AH$2:AH829),$AH$2:$AH$1001,0),1)&gt;=100000,INDEX($AO$1005:$BQ$1005,1,MATCH(COLUMNS($AO$1006:BL1006),$AO$1006:$BQ$1006,0))&gt;=100000), " ",IF(INDEX($AO$2:$BQ$1001,MATCH(ROWS($AH$2:AH829),$AH$2:$AH$1001,0),MATCH(COLUMNS($AO$1006:BL1006),$AO$1006:$BQ$1006,0)), HYPERLINK("#",""), HYPERLINK(CONCATENATE("#Metadata!", ADDRESS(INDEX($AJ$2:$AJ$1001,MATCH(ROWS($AH$2:AH829),$AH$2:$AH$1001,0),0), INDEX($AO$1004:$BQ$1004,1,MATCH(COLUMNS($AO$1006:BL1006),$AO$1006:$BQ$1006,0)))),"Fix")))</f>
        <v>#N/A</v>
      </c>
      <c r="Z829" s="5" t="e">
        <f ca="1">IF(OR(INDEX($AI$2:$AI$1001,MATCH(ROWS($AH$2:AH829),$AH$2:$AH$1001,0),1)&gt;=100000,INDEX($AO$1005:$BQ$1005,1,MATCH(COLUMNS($AO$1006:BM1006),$AO$1006:$BQ$1006,0))&gt;=100000), " ",IF(INDEX($AO$2:$BQ$1001,MATCH(ROWS($AH$2:AH829),$AH$2:$AH$1001,0),MATCH(COLUMNS($AO$1006:BM1006),$AO$1006:$BQ$1006,0)), HYPERLINK("#",""), HYPERLINK(CONCATENATE("#Metadata!", ADDRESS(INDEX($AJ$2:$AJ$1001,MATCH(ROWS($AH$2:AH829),$AH$2:$AH$1001,0),0), INDEX($AO$1004:$BQ$1004,1,MATCH(COLUMNS($AO$1006:BM1006),$AO$1006:$BQ$1006,0)))),"Fix")))</f>
        <v>#N/A</v>
      </c>
      <c r="AA829" s="5" t="e">
        <f ca="1">IF(OR(INDEX($AI$2:$AI$1001,MATCH(ROWS($AH$2:AH829),$AH$2:$AH$1001,0),1)&gt;=100000,INDEX($AO$1005:$BQ$1005,1,MATCH(COLUMNS($AO$1006:BN1006),$AO$1006:$BQ$1006,0))&gt;=100000), " ",IF(INDEX($AO$2:$BQ$1001,MATCH(ROWS($AH$2:AH829),$AH$2:$AH$1001,0),MATCH(COLUMNS($AO$1006:BN1006),$AO$1006:$BQ$1006,0)), HYPERLINK("#",""), HYPERLINK(CONCATENATE("#Metadata!", ADDRESS(INDEX($AJ$2:$AJ$1001,MATCH(ROWS($AH$2:AH829),$AH$2:$AH$1001,0),0), INDEX($AO$1004:$BQ$1004,1,MATCH(COLUMNS($AO$1006:BN1006),$AO$1006:$BQ$1006,0)))),"Fix")))</f>
        <v>#N/A</v>
      </c>
      <c r="AB829" s="5" t="e">
        <f ca="1">IF(OR(INDEX($AI$2:$AI$1001,MATCH(ROWS($AH$2:AH829),$AH$2:$AH$1001,0),1)&gt;=100000,INDEX($AO$1005:$BQ$1005,1,MATCH(COLUMNS($AO$1006:BO1006),$AO$1006:$BQ$1006,0))&gt;=100000), " ",IF(INDEX($AO$2:$BQ$1001,MATCH(ROWS($AH$2:AH829),$AH$2:$AH$1001,0),MATCH(COLUMNS($AO$1006:BO1006),$AO$1006:$BQ$1006,0)), HYPERLINK("#",""), HYPERLINK(CONCATENATE("#Metadata!", ADDRESS(INDEX($AJ$2:$AJ$1001,MATCH(ROWS($AH$2:AH829),$AH$2:$AH$1001,0),0), INDEX($AO$1004:$BQ$1004,1,MATCH(COLUMNS($AO$1006:BO1006),$AO$1006:$BQ$1006,0)))),"Fix")))</f>
        <v>#N/A</v>
      </c>
      <c r="AC829" s="5" t="e">
        <f ca="1">IF(OR(INDEX($AI$2:$AI$1001,MATCH(ROWS($AH$2:AH829),$AH$2:$AH$1001,0),1)&gt;=100000,INDEX($AO$1005:$BQ$1005,1,MATCH(COLUMNS($AO$1006:BP1006),$AO$1006:$BQ$1006,0))&gt;=100000), " ",IF(INDEX($AO$2:$BQ$1001,MATCH(ROWS($AH$2:AH829),$AH$2:$AH$1001,0),MATCH(COLUMNS($AO$1006:BP1006),$AO$1006:$BQ$1006,0)), HYPERLINK("#",""), HYPERLINK(CONCATENATE("#Metadata!", ADDRESS(INDEX($AJ$2:$AJ$1001,MATCH(ROWS($AH$2:AH829),$AH$2:$AH$1001,0),0), INDEX($AO$1004:$BQ$1004,1,MATCH(COLUMNS($AO$1006:BP1006),$AO$1006:$BQ$1006,0)))),"Fix")))</f>
        <v>#N/A</v>
      </c>
      <c r="AD829" s="5" t="e">
        <f ca="1">IF(OR(INDEX($AI$2:$AI$1001,MATCH(ROWS($AH$2:AH829),$AH$2:$AH$1001,0),1)&gt;=100000,INDEX($AO$1005:$BQ$1005,1,MATCH(COLUMNS($AO$1006:BQ1006),$AO$1006:$BQ$1006,0))&gt;=100000), " ",IF(INDEX($AO$2:$BQ$1001,MATCH(ROWS($AH$2:AH829),$AH$2:$AH$1001,0),MATCH(COLUMNS($AO$1006:BQ1006),$AO$1006:$BQ$1006,0)), HYPERLINK("#",""), HYPERLINK(CONCATENATE("#Metadata!", ADDRESS(INDEX($AJ$2:$AJ$1001,MATCH(ROWS($AH$2:AH829),$AH$2:$AH$1001,0),0), INDEX($AO$1004:$BQ$1004,1,MATCH(COLUMNS($AO$1006:BQ1006),$AO$1006:$BQ$1006,0)))),"Fix")))</f>
        <v>#REF!</v>
      </c>
      <c r="AH829">
        <f ca="1"/>
        <v>826</v>
      </c>
      <c r="AI829">
        <v>100829</v>
      </c>
      <c r="AJ829">
        <v>829</v>
      </c>
      <c r="AK829" t="b">
        <f t="shared" si="12"/>
        <v>1</v>
      </c>
      <c r="AL829" t="b">
        <f>COUNTBLANK(Metadata!B829:AD829)=COLUMNS(Metadata!B829:AD829)</f>
        <v>1</v>
      </c>
      <c r="AM829" t="str">
        <v/>
      </c>
      <c r="AO829" t="b">
        <f ca="1">AND(IF(Metadata!B829="",FALSE,TRUE),COUNTIF(Metadata!B:B, Metadata!B829) = 1,NOT(ISERROR(SUMPRODUCT(SEARCH(MID(Metadata!B829,ROW(INDIRECT("1:"&amp;LEN(Metadata!B829))), 1),"0123456789abcdefghijklmnopqrstuvwxyzABCDEFGHIJKLMNOPQRSTUVWXYZ.")))))</f>
        <v>0</v>
      </c>
      <c r="AP829" t="b">
        <f>IF(Metadata!C829="",FALSE,TRUE)</f>
        <v>0</v>
      </c>
      <c r="AQ829" t="b">
        <f>IF(Metadata!D829="",FALSE,TRUE)</f>
        <v>0</v>
      </c>
      <c r="AR829" t="b">
        <f ca="1">OR(AND(IF(Metadata!E829="",FALSE,TRUE),OR(EXACT(Metadata!E829,"not collected"),EXACT(Metadata!E829,"not provided"),EXACT(Metadata!E829,"restricted access"))),AND(IF(Metadata!E829="",FALSE,TRUE),AND(AND(IFERROR(INT(LEFT(Metadata!E829,4))&gt;1900,FALSE),IFERROR(INT(LEFT(Metadata!E829,4))&lt;=YEAR(NOW()),FALSE)), OR(MID(Metadata!E829,5,1)="", AND(AND(MID(Metadata!E829,5,1)="-",IFERROR(INT(MID(Metadata!E829,6,1))&gt;=0,FALSE),IFERROR(INT(MID(Metadata!E829,6,1))&lt;=1,FALSE),NOT(MID(Metadata!E829,7,1)=""),IFERROR(INT(MID(Metadata!E829,6,2))&gt;=1,FALSE),IFERROR(INT(MID(Metadata!E829,6,2))&lt;=12,FALSE)), OR(MID(Metadata!E829,8,1)="", AND(AND(MID(Metadata!E829,8,1)="-",IFERROR(INT(MID(Metadata!E829,9,1))&gt;=0,FALSE),IFERROR(INT(MID(Metadata!E829,9,1))&lt;=3,FALSE),NOT(MID(Metadata!E829,10,1)=""),IFERROR(INT(MID(Metadata!E829,9,2))&gt;=1,FALSE),IFERROR(INT(MID(Metadata!E829,9,2))&lt;=31,FALSE)), OR(MID(Metadata!E829,11,1)="", AND(AND(MID(Metadata!E829,11,1)=" ",IFERROR(INT(MID(Metadata!E829,12,1))&gt;=0,FALSE),IFERROR(INT(MID(Metadata!E829,12,1))&lt;=2,FALSE),NOT(MID(Metadata!E829,13,1)=""),IFERROR(INT(MID(Metadata!E829,12,2))&gt;=0,FALSE),IFERROR(INT(MID(Metadata!E829,12,2))&lt;=23,FALSE)), OR(MID(Metadata!E829,14,1)="", AND(AND(MID(Metadata!E829,14,1)=":",IFERROR(INT(MID(Metadata!E829,15,1))&gt;=0,FALSE),IFERROR(INT(MID(Metadata!E829,15,1))&lt;=5,FALSE),NOT(MID(Metadata!E829,16,1)=""),IFERROR(INT(MID(Metadata!E829,15,2))&gt;=0,FALSE),IFERROR(INT(MID(Metadata!E829,15,2))&lt;=59,FALSE)), OR(MID(Metadata!E829,17,1)="", AND(AND(MID(Metadata!E829,17,1)=":",IFERROR(INT(MID(Metadata!E829,18,1))&gt;=0,FALSE),IFERROR(INT(MID(Metadata!E829,18,1))&lt;=5,FALSE),NOT(MID(Metadata!E829,19,1)=""),IFERROR(INT(MID(Metadata!E829,18,2))&gt;=0,FALSE),IFERROR(INT(MID(Metadata!E829,18,2))&lt;=59,FALSE)), LEN(Metadata!E829)&lt;=19)))))))))))))</f>
        <v>0</v>
      </c>
      <c r="AS829" t="b">
        <f>IF(Metadata!F829="",FALSE,TRUE)</f>
        <v>0</v>
      </c>
      <c r="AT829" t="b">
        <f>OR(AND(IF(Metadata!G829="",FALSE,TRUE),OR(EXACT(Metadata!G829,"not collected"),EXACT(Metadata!G829,"not provided"))),AND(IF(Metadata!G829="",FALSE,TRUE),OR(EXACT(Metadata!G829,"TRUE"),EXACT(Metadata!G829,"FALSE"))))</f>
        <v>0</v>
      </c>
      <c r="AU829" t="b">
        <f>OR(AND(IF(Metadata!H829="",FALSE,TRUE),OR(EXACT(Metadata!H829,"not collected"),EXACT(Metadata!H829,"not provided"),EXACT(Metadata!H829,"restricted access"))),AND(IF(Metadata!H829="",FALSE,ISNUMBER(VALUE(Metadata!H829))),Metadata!H829&gt;=-413))</f>
        <v>0</v>
      </c>
      <c r="AV829" t="b">
        <f>AND(IF(Metadata!I829="",FALSE,TRUE),EXACT(Metadata!I829,"meters"))</f>
        <v>0</v>
      </c>
      <c r="AW829" t="b">
        <f>AND(IF(Metadata!J829="",FALSE,TRUE),EXACT(Metadata!J829,"free-living"))</f>
        <v>0</v>
      </c>
      <c r="AX829" t="b">
        <f>AND(IF(Metadata!K829="",FALSE,TRUE),OR(EXACT(Metadata!K829,"saline"),EXACT(Metadata!K829,"non-saline")))</f>
        <v>0</v>
      </c>
      <c r="AY829" t="b">
        <f>AND(IF(Metadata!L829="",FALSE,TRUE),OR(EXACT(Metadata!L829,"sub-surface (non-saline)"),EXACT(Metadata!L829,"surface (non-saline)"),EXACT(Metadata!L829,"water (non-saline)"),EXACT(Metadata!L829,"soil (non-saline)"),EXACT(Metadata!L829,"aerosol (non-saline)"),EXACT(Metadata!L829,"sediment (non-saline)"),EXACT(Metadata!L829,"surface (saline)"),EXACT(Metadata!L829,"water (saline)"),EXACT(Metadata!L829,"hypersaline (saline)"),EXACT(Metadata!L829,"aerosol (saline)"),EXACT(Metadata!L829,"sediment (saline)")))</f>
        <v>0</v>
      </c>
      <c r="AZ829" t="b">
        <f>IF(Metadata!M829="",FALSE,TRUE)</f>
        <v>0</v>
      </c>
      <c r="BA829" t="b">
        <f>IF(Metadata!N829="",FALSE,TRUE)</f>
        <v>0</v>
      </c>
      <c r="BB829" t="b">
        <f>IF(Metadata!O829="",FALSE,TRUE)</f>
        <v>0</v>
      </c>
      <c r="BC829" t="b">
        <f>AND(IF(Metadata!P829="",FALSE,TRUE),OR(EXACT(Metadata!P829,"air"),EXACT(Metadata!P829,"microbial mat/biofilm"),EXACT(Metadata!P829,"misc environment"),EXACT(Metadata!P829,"sediment"),EXACT(Metadata!P829,"soil"),EXACT(Metadata!P829,"wastewater/sludge"),EXACT(Metadata!P829,"water")))</f>
        <v>0</v>
      </c>
      <c r="BD829" t="b">
        <f>IF(Metadata!Q829="",FALSE,TRUE)</f>
        <v>0</v>
      </c>
      <c r="BE829" t="b">
        <f>IF(Metadata!R829="",FALSE,TRUE)</f>
        <v>0</v>
      </c>
      <c r="BF829" t="b">
        <f>OR(AND(IF(Metadata!S829="",FALSE,TRUE),OR(EXACT(Metadata!S829,"not collected"),EXACT(Metadata!S829,"not provided"),EXACT(Metadata!S829,"restricted access"))),AND(IF(Metadata!S829="",FALSE,ISNUMBER(VALUE(Metadata!S829))),Metadata!S829&gt;=-90,Metadata!S829&lt;=90))</f>
        <v>0</v>
      </c>
      <c r="BG829" t="b">
        <f>AND(IF(Metadata!T829="",FALSE,TRUE),EXACT(Metadata!T829,"Decimal degrees"))</f>
        <v>0</v>
      </c>
      <c r="BH829" t="b">
        <f>OR(AND(IF(Metadata!U829="",FALSE,TRUE),OR(EXACT(Metadata!U829,"not applicable"),EXACT(Metadata!U829,"not collected"))),IF(Metadata!U829="",FALSE,TRUE))</f>
        <v>0</v>
      </c>
      <c r="BI829" t="b">
        <f>OR(AND(IF(Metadata!V829="",FALSE,TRUE),OR(EXACT(Metadata!V829,"not collected"),EXACT(Metadata!V829,"not provided"),EXACT(Metadata!V829,"restricted access"))),AND(IF(Metadata!V829="",FALSE,ISNUMBER(VALUE(Metadata!V829))),Metadata!V829&gt;=-180,Metadata!V829&lt;=180))</f>
        <v>0</v>
      </c>
      <c r="BJ829" t="b">
        <f>AND(IF(Metadata!W829="",FALSE,TRUE),EXACT(Metadata!W829,"Decimal degrees"))</f>
        <v>0</v>
      </c>
      <c r="BK829" t="b">
        <f>IF(Metadata!X829="",FALSE,TRUE)</f>
        <v>0</v>
      </c>
      <c r="BL829" t="b">
        <f>OR(AND(IF(Metadata!Y829="",FALSE,TRUE),OR(EXACT(Metadata!Y829,"not collected"),EXACT(Metadata!Y829,"not provided"),EXACT(Metadata!Y829,"restricted access"))),AND(IF(Metadata!Y829="",FALSE,TRUE),OR(EXACT(Metadata!Y829,"TRUE"),EXACT(Metadata!Y829,"FALSE"))))</f>
        <v>0</v>
      </c>
      <c r="BM829" t="b">
        <f>OR(AND(IF(Metadata!Z829="",FALSE,TRUE),EXACT(Metadata!Z829,"not applicable")),AND(IF(Metadata!Z829="",FALSE,TRUE),OR(EXACT(Metadata!Z829,"beer"),EXACT(Metadata!Z829,"cheese"),EXACT(Metadata!Z829,"fresh water"),EXACT(Metadata!Z829,"marine sediment"),EXACT(Metadata!Z829,"sea water"),EXACT(Metadata!Z829,"sediment"),EXACT(Metadata!Z829,"soil"),EXACT(Metadata!Z829,"waste water"))))</f>
        <v>0</v>
      </c>
      <c r="BN829" t="b">
        <f>AND(IF(Metadata!AA829="",FALSE,TRUE),EXACT(Metadata!AA829,"metagenome"))</f>
        <v>0</v>
      </c>
      <c r="BO829" t="b">
        <f>AND(IF(Metadata!AB829="",FALSE,TRUE),EXACT(Metadata!AB829,"256318"))</f>
        <v>0</v>
      </c>
      <c r="BP829" t="b">
        <f>IF(Metadata!AC829="",FALSE,TRUE)</f>
        <v>0</v>
      </c>
      <c r="BQ829" t="b">
        <f>IF(Metadata!AD829="",FALSE,TRUE)</f>
        <v>0</v>
      </c>
    </row>
    <row r="830" spans="1:69" x14ac:dyDescent="0.2">
      <c r="A830" s="4" t="e">
        <f ca="1">IF(B830=" "," ",HYPERLINK(CONCATENATE("#metadata!",ADDRESS(INDEX($AJ$2:$AJ$1001,MATCH(ROWS($AH$2:AH830),$AH$2:$AH$1001,0),0),2)),INDEX($AM$2:$AM$1001,MATCH(ROWS($AH$2:AH830),$AH$2:$AH$1001,0),0)))</f>
        <v>#N/A</v>
      </c>
      <c r="B830" s="5" t="e">
        <f ca="1">IF(OR(INDEX($AI$2:$AI$1001,MATCH(ROWS($AH$2:AH830),$AH$2:$AH$1001,0),1)&gt;=100000,INDEX($AO$1005:$BQ$1005,1,MATCH(COLUMNS($AO$1006:AO1006),$AO$1006:$BQ$1006,0))&gt;=100000), " ",IF(INDEX($AO$2:$BQ$1001,MATCH(ROWS($AH$2:AH830),$AH$2:$AH$1001,0),MATCH(COLUMNS($AO$1006:AO1006),$AO$1006:$BQ$1006,0)), HYPERLINK("#",""), HYPERLINK(CONCATENATE("#Metadata!", ADDRESS(INDEX($AJ$2:$AJ$1001,MATCH(ROWS($AH$2:AH830),$AH$2:$AH$1001,0),0), INDEX($AO$1004:$BQ$1004,1,MATCH(COLUMNS($AO$1006:AO1006),$AO$1006:$BQ$1006,0)))),"Fix")))</f>
        <v>#N/A</v>
      </c>
      <c r="C830" s="5" t="e">
        <f ca="1">IF(OR(INDEX($AI$2:$AI$1001,MATCH(ROWS($AH$2:AH830),$AH$2:$AH$1001,0),1)&gt;=100000,INDEX($AO$1005:$BQ$1005,1,MATCH(COLUMNS($AO$1006:AP1006),$AO$1006:$BQ$1006,0))&gt;=100000), " ",IF(INDEX($AO$2:$BQ$1001,MATCH(ROWS($AH$2:AH830),$AH$2:$AH$1001,0),MATCH(COLUMNS($AO$1006:AP1006),$AO$1006:$BQ$1006,0)), HYPERLINK("#",""), HYPERLINK(CONCATENATE("#Metadata!", ADDRESS(INDEX($AJ$2:$AJ$1001,MATCH(ROWS($AH$2:AH830),$AH$2:$AH$1001,0),0), INDEX($AO$1004:$BQ$1004,1,MATCH(COLUMNS($AO$1006:AP1006),$AO$1006:$BQ$1006,0)))),"Fix")))</f>
        <v>#N/A</v>
      </c>
      <c r="D830" s="5" t="e">
        <f ca="1">IF(OR(INDEX($AI$2:$AI$1001,MATCH(ROWS($AH$2:AH830),$AH$2:$AH$1001,0),1)&gt;=100000,INDEX($AO$1005:$BQ$1005,1,MATCH(COLUMNS($AO$1006:AQ1006),$AO$1006:$BQ$1006,0))&gt;=100000), " ",IF(INDEX($AO$2:$BQ$1001,MATCH(ROWS($AH$2:AH830),$AH$2:$AH$1001,0),MATCH(COLUMNS($AO$1006:AQ1006),$AO$1006:$BQ$1006,0)), HYPERLINK("#",""), HYPERLINK(CONCATENATE("#Metadata!", ADDRESS(INDEX($AJ$2:$AJ$1001,MATCH(ROWS($AH$2:AH830),$AH$2:$AH$1001,0),0), INDEX($AO$1004:$BQ$1004,1,MATCH(COLUMNS($AO$1006:AQ1006),$AO$1006:$BQ$1006,0)))),"Fix")))</f>
        <v>#N/A</v>
      </c>
      <c r="E830" s="5" t="e">
        <f ca="1">IF(OR(INDEX($AI$2:$AI$1001,MATCH(ROWS($AH$2:AH830),$AH$2:$AH$1001,0),1)&gt;=100000,INDEX($AO$1005:$BQ$1005,1,MATCH(COLUMNS($AO$1006:AR1006),$AO$1006:$BQ$1006,0))&gt;=100000), " ",IF(INDEX($AO$2:$BQ$1001,MATCH(ROWS($AH$2:AH830),$AH$2:$AH$1001,0),MATCH(COLUMNS($AO$1006:AR1006),$AO$1006:$BQ$1006,0)), HYPERLINK("#",""), HYPERLINK(CONCATENATE("#Metadata!", ADDRESS(INDEX($AJ$2:$AJ$1001,MATCH(ROWS($AH$2:AH830),$AH$2:$AH$1001,0),0), INDEX($AO$1004:$BQ$1004,1,MATCH(COLUMNS($AO$1006:AR1006),$AO$1006:$BQ$1006,0)))),"Fix")))</f>
        <v>#N/A</v>
      </c>
      <c r="F830" s="5" t="e">
        <f ca="1">IF(OR(INDEX($AI$2:$AI$1001,MATCH(ROWS($AH$2:AH830),$AH$2:$AH$1001,0),1)&gt;=100000,INDEX($AO$1005:$BQ$1005,1,MATCH(COLUMNS($AO$1006:AS1006),$AO$1006:$BQ$1006,0))&gt;=100000), " ",IF(INDEX($AO$2:$BQ$1001,MATCH(ROWS($AH$2:AH830),$AH$2:$AH$1001,0),MATCH(COLUMNS($AO$1006:AS1006),$AO$1006:$BQ$1006,0)), HYPERLINK("#",""), HYPERLINK(CONCATENATE("#Metadata!", ADDRESS(INDEX($AJ$2:$AJ$1001,MATCH(ROWS($AH$2:AH830),$AH$2:$AH$1001,0),0), INDEX($AO$1004:$BQ$1004,1,MATCH(COLUMNS($AO$1006:AS1006),$AO$1006:$BQ$1006,0)))),"Fix")))</f>
        <v>#N/A</v>
      </c>
      <c r="G830" s="5" t="e">
        <f ca="1">IF(OR(INDEX($AI$2:$AI$1001,MATCH(ROWS($AH$2:AH830),$AH$2:$AH$1001,0),1)&gt;=100000,INDEX($AO$1005:$BQ$1005,1,MATCH(COLUMNS($AO$1006:AT1006),$AO$1006:$BQ$1006,0))&gt;=100000), " ",IF(INDEX($AO$2:$BQ$1001,MATCH(ROWS($AH$2:AH830),$AH$2:$AH$1001,0),MATCH(COLUMNS($AO$1006:AT1006),$AO$1006:$BQ$1006,0)), HYPERLINK("#",""), HYPERLINK(CONCATENATE("#Metadata!", ADDRESS(INDEX($AJ$2:$AJ$1001,MATCH(ROWS($AH$2:AH830),$AH$2:$AH$1001,0),0), INDEX($AO$1004:$BQ$1004,1,MATCH(COLUMNS($AO$1006:AT1006),$AO$1006:$BQ$1006,0)))),"Fix")))</f>
        <v>#N/A</v>
      </c>
      <c r="H830" s="5" t="e">
        <f ca="1">IF(OR(INDEX($AI$2:$AI$1001,MATCH(ROWS($AH$2:AH830),$AH$2:$AH$1001,0),1)&gt;=100000,INDEX($AO$1005:$BQ$1005,1,MATCH(COLUMNS($AO$1006:AU1006),$AO$1006:$BQ$1006,0))&gt;=100000), " ",IF(INDEX($AO$2:$BQ$1001,MATCH(ROWS($AH$2:AH830),$AH$2:$AH$1001,0),MATCH(COLUMNS($AO$1006:AU1006),$AO$1006:$BQ$1006,0)), HYPERLINK("#",""), HYPERLINK(CONCATENATE("#Metadata!", ADDRESS(INDEX($AJ$2:$AJ$1001,MATCH(ROWS($AH$2:AH830),$AH$2:$AH$1001,0),0), INDEX($AO$1004:$BQ$1004,1,MATCH(COLUMNS($AO$1006:AU1006),$AO$1006:$BQ$1006,0)))),"Fix")))</f>
        <v>#N/A</v>
      </c>
      <c r="I830" s="5" t="e">
        <f ca="1">IF(OR(INDEX($AI$2:$AI$1001,MATCH(ROWS($AH$2:AH830),$AH$2:$AH$1001,0),1)&gt;=100000,INDEX($AO$1005:$BQ$1005,1,MATCH(COLUMNS($AO$1006:AV1006),$AO$1006:$BQ$1006,0))&gt;=100000), " ",IF(INDEX($AO$2:$BQ$1001,MATCH(ROWS($AH$2:AH830),$AH$2:$AH$1001,0),MATCH(COLUMNS($AO$1006:AV1006),$AO$1006:$BQ$1006,0)), HYPERLINK("#",""), HYPERLINK(CONCATENATE("#Metadata!", ADDRESS(INDEX($AJ$2:$AJ$1001,MATCH(ROWS($AH$2:AH830),$AH$2:$AH$1001,0),0), INDEX($AO$1004:$BQ$1004,1,MATCH(COLUMNS($AO$1006:AV1006),$AO$1006:$BQ$1006,0)))),"Fix")))</f>
        <v>#N/A</v>
      </c>
      <c r="J830" s="5" t="e">
        <f ca="1">IF(OR(INDEX($AI$2:$AI$1001,MATCH(ROWS($AH$2:AH830),$AH$2:$AH$1001,0),1)&gt;=100000,INDEX($AO$1005:$BQ$1005,1,MATCH(COLUMNS($AO$1006:AW1006),$AO$1006:$BQ$1006,0))&gt;=100000), " ",IF(INDEX($AO$2:$BQ$1001,MATCH(ROWS($AH$2:AH830),$AH$2:$AH$1001,0),MATCH(COLUMNS($AO$1006:AW1006),$AO$1006:$BQ$1006,0)), HYPERLINK("#",""), HYPERLINK(CONCATENATE("#Metadata!", ADDRESS(INDEX($AJ$2:$AJ$1001,MATCH(ROWS($AH$2:AH830),$AH$2:$AH$1001,0),0), INDEX($AO$1004:$BQ$1004,1,MATCH(COLUMNS($AO$1006:AW1006),$AO$1006:$BQ$1006,0)))),"Fix")))</f>
        <v>#N/A</v>
      </c>
      <c r="K830" s="5" t="e">
        <f ca="1">IF(OR(INDEX($AI$2:$AI$1001,MATCH(ROWS($AH$2:AH830),$AH$2:$AH$1001,0),1)&gt;=100000,INDEX($AO$1005:$BQ$1005,1,MATCH(COLUMNS($AO$1006:AX1006),$AO$1006:$BQ$1006,0))&gt;=100000), " ",IF(INDEX($AO$2:$BQ$1001,MATCH(ROWS($AH$2:AH830),$AH$2:$AH$1001,0),MATCH(COLUMNS($AO$1006:AX1006),$AO$1006:$BQ$1006,0)), HYPERLINK("#",""), HYPERLINK(CONCATENATE("#Metadata!", ADDRESS(INDEX($AJ$2:$AJ$1001,MATCH(ROWS($AH$2:AH830),$AH$2:$AH$1001,0),0), INDEX($AO$1004:$BQ$1004,1,MATCH(COLUMNS($AO$1006:AX1006),$AO$1006:$BQ$1006,0)))),"Fix")))</f>
        <v>#N/A</v>
      </c>
      <c r="L830" s="5" t="e">
        <f ca="1">IF(OR(INDEX($AI$2:$AI$1001,MATCH(ROWS($AH$2:AH830),$AH$2:$AH$1001,0),1)&gt;=100000,INDEX($AO$1005:$BQ$1005,1,MATCH(COLUMNS($AO$1006:AY1006),$AO$1006:$BQ$1006,0))&gt;=100000), " ",IF(INDEX($AO$2:$BQ$1001,MATCH(ROWS($AH$2:AH830),$AH$2:$AH$1001,0),MATCH(COLUMNS($AO$1006:AY1006),$AO$1006:$BQ$1006,0)), HYPERLINK("#",""), HYPERLINK(CONCATENATE("#Metadata!", ADDRESS(INDEX($AJ$2:$AJ$1001,MATCH(ROWS($AH$2:AH830),$AH$2:$AH$1001,0),0), INDEX($AO$1004:$BQ$1004,1,MATCH(COLUMNS($AO$1006:AY1006),$AO$1006:$BQ$1006,0)))),"Fix")))</f>
        <v>#N/A</v>
      </c>
      <c r="M830" s="5" t="e">
        <f ca="1">IF(OR(INDEX($AI$2:$AI$1001,MATCH(ROWS($AH$2:AH830),$AH$2:$AH$1001,0),1)&gt;=100000,INDEX($AO$1005:$BQ$1005,1,MATCH(COLUMNS($AO$1006:AZ1006),$AO$1006:$BQ$1006,0))&gt;=100000), " ",IF(INDEX($AO$2:$BQ$1001,MATCH(ROWS($AH$2:AH830),$AH$2:$AH$1001,0),MATCH(COLUMNS($AO$1006:AZ1006),$AO$1006:$BQ$1006,0)), HYPERLINK("#",""), HYPERLINK(CONCATENATE("#Metadata!", ADDRESS(INDEX($AJ$2:$AJ$1001,MATCH(ROWS($AH$2:AH830),$AH$2:$AH$1001,0),0), INDEX($AO$1004:$BQ$1004,1,MATCH(COLUMNS($AO$1006:AZ1006),$AO$1006:$BQ$1006,0)))),"Fix")))</f>
        <v>#N/A</v>
      </c>
      <c r="N830" s="5" t="e">
        <f ca="1">IF(OR(INDEX($AI$2:$AI$1001,MATCH(ROWS($AH$2:AH830),$AH$2:$AH$1001,0),1)&gt;=100000,INDEX($AO$1005:$BQ$1005,1,MATCH(COLUMNS($AO$1006:BA1006),$AO$1006:$BQ$1006,0))&gt;=100000), " ",IF(INDEX($AO$2:$BQ$1001,MATCH(ROWS($AH$2:AH830),$AH$2:$AH$1001,0),MATCH(COLUMNS($AO$1006:BA1006),$AO$1006:$BQ$1006,0)), HYPERLINK("#",""), HYPERLINK(CONCATENATE("#Metadata!", ADDRESS(INDEX($AJ$2:$AJ$1001,MATCH(ROWS($AH$2:AH830),$AH$2:$AH$1001,0),0), INDEX($AO$1004:$BQ$1004,1,MATCH(COLUMNS($AO$1006:BA1006),$AO$1006:$BQ$1006,0)))),"Fix")))</f>
        <v>#N/A</v>
      </c>
      <c r="O830" s="5" t="e">
        <f ca="1">IF(OR(INDEX($AI$2:$AI$1001,MATCH(ROWS($AH$2:AH830),$AH$2:$AH$1001,0),1)&gt;=100000,INDEX($AO$1005:$BQ$1005,1,MATCH(COLUMNS($AO$1006:BB1006),$AO$1006:$BQ$1006,0))&gt;=100000), " ",IF(INDEX($AO$2:$BQ$1001,MATCH(ROWS($AH$2:AH830),$AH$2:$AH$1001,0),MATCH(COLUMNS($AO$1006:BB1006),$AO$1006:$BQ$1006,0)), HYPERLINK("#",""), HYPERLINK(CONCATENATE("#Metadata!", ADDRESS(INDEX($AJ$2:$AJ$1001,MATCH(ROWS($AH$2:AH830),$AH$2:$AH$1001,0),0), INDEX($AO$1004:$BQ$1004,1,MATCH(COLUMNS($AO$1006:BB1006),$AO$1006:$BQ$1006,0)))),"Fix")))</f>
        <v>#N/A</v>
      </c>
      <c r="P830" s="5" t="e">
        <f ca="1">IF(OR(INDEX($AI$2:$AI$1001,MATCH(ROWS($AH$2:AH830),$AH$2:$AH$1001,0),1)&gt;=100000,INDEX($AO$1005:$BQ$1005,1,MATCH(COLUMNS($AO$1006:BC1006),$AO$1006:$BQ$1006,0))&gt;=100000), " ",IF(INDEX($AO$2:$BQ$1001,MATCH(ROWS($AH$2:AH830),$AH$2:$AH$1001,0),MATCH(COLUMNS($AO$1006:BC1006),$AO$1006:$BQ$1006,0)), HYPERLINK("#",""), HYPERLINK(CONCATENATE("#Metadata!", ADDRESS(INDEX($AJ$2:$AJ$1001,MATCH(ROWS($AH$2:AH830),$AH$2:$AH$1001,0),0), INDEX($AO$1004:$BQ$1004,1,MATCH(COLUMNS($AO$1006:BC1006),$AO$1006:$BQ$1006,0)))),"Fix")))</f>
        <v>#N/A</v>
      </c>
      <c r="Q830" s="5" t="e">
        <f ca="1">IF(OR(INDEX($AI$2:$AI$1001,MATCH(ROWS($AH$2:AH830),$AH$2:$AH$1001,0),1)&gt;=100000,INDEX($AO$1005:$BQ$1005,1,MATCH(COLUMNS($AO$1006:BD1006),$AO$1006:$BQ$1006,0))&gt;=100000), " ",IF(INDEX($AO$2:$BQ$1001,MATCH(ROWS($AH$2:AH830),$AH$2:$AH$1001,0),MATCH(COLUMNS($AO$1006:BD1006),$AO$1006:$BQ$1006,0)), HYPERLINK("#",""), HYPERLINK(CONCATENATE("#Metadata!", ADDRESS(INDEX($AJ$2:$AJ$1001,MATCH(ROWS($AH$2:AH830),$AH$2:$AH$1001,0),0), INDEX($AO$1004:$BQ$1004,1,MATCH(COLUMNS($AO$1006:BD1006),$AO$1006:$BQ$1006,0)))),"Fix")))</f>
        <v>#N/A</v>
      </c>
      <c r="R830" s="5" t="e">
        <f ca="1">IF(OR(INDEX($AI$2:$AI$1001,MATCH(ROWS($AH$2:AH830),$AH$2:$AH$1001,0),1)&gt;=100000,INDEX($AO$1005:$BQ$1005,1,MATCH(COLUMNS($AO$1006:BE1006),$AO$1006:$BQ$1006,0))&gt;=100000), " ",IF(INDEX($AO$2:$BQ$1001,MATCH(ROWS($AH$2:AH830),$AH$2:$AH$1001,0),MATCH(COLUMNS($AO$1006:BE1006),$AO$1006:$BQ$1006,0)), HYPERLINK("#",""), HYPERLINK(CONCATENATE("#Metadata!", ADDRESS(INDEX($AJ$2:$AJ$1001,MATCH(ROWS($AH$2:AH830),$AH$2:$AH$1001,0),0), INDEX($AO$1004:$BQ$1004,1,MATCH(COLUMNS($AO$1006:BE1006),$AO$1006:$BQ$1006,0)))),"Fix")))</f>
        <v>#N/A</v>
      </c>
      <c r="S830" s="5" t="e">
        <f ca="1">IF(OR(INDEX($AI$2:$AI$1001,MATCH(ROWS($AH$2:AH830),$AH$2:$AH$1001,0),1)&gt;=100000,INDEX($AO$1005:$BQ$1005,1,MATCH(COLUMNS($AO$1006:BF1006),$AO$1006:$BQ$1006,0))&gt;=100000), " ",IF(INDEX($AO$2:$BQ$1001,MATCH(ROWS($AH$2:AH830),$AH$2:$AH$1001,0),MATCH(COLUMNS($AO$1006:BF1006),$AO$1006:$BQ$1006,0)), HYPERLINK("#",""), HYPERLINK(CONCATENATE("#Metadata!", ADDRESS(INDEX($AJ$2:$AJ$1001,MATCH(ROWS($AH$2:AH830),$AH$2:$AH$1001,0),0), INDEX($AO$1004:$BQ$1004,1,MATCH(COLUMNS($AO$1006:BF1006),$AO$1006:$BQ$1006,0)))),"Fix")))</f>
        <v>#N/A</v>
      </c>
      <c r="T830" s="5" t="e">
        <f ca="1">IF(OR(INDEX($AI$2:$AI$1001,MATCH(ROWS($AH$2:AH830),$AH$2:$AH$1001,0),1)&gt;=100000,INDEX($AO$1005:$BQ$1005,1,MATCH(COLUMNS($AO$1006:BG1006),$AO$1006:$BQ$1006,0))&gt;=100000), " ",IF(INDEX($AO$2:$BQ$1001,MATCH(ROWS($AH$2:AH830),$AH$2:$AH$1001,0),MATCH(COLUMNS($AO$1006:BG1006),$AO$1006:$BQ$1006,0)), HYPERLINK("#",""), HYPERLINK(CONCATENATE("#Metadata!", ADDRESS(INDEX($AJ$2:$AJ$1001,MATCH(ROWS($AH$2:AH830),$AH$2:$AH$1001,0),0), INDEX($AO$1004:$BQ$1004,1,MATCH(COLUMNS($AO$1006:BG1006),$AO$1006:$BQ$1006,0)))),"Fix")))</f>
        <v>#N/A</v>
      </c>
      <c r="U830" s="5" t="e">
        <f ca="1">IF(OR(INDEX($AI$2:$AI$1001,MATCH(ROWS($AH$2:AH830),$AH$2:$AH$1001,0),1)&gt;=100000,INDEX($AO$1005:$BQ$1005,1,MATCH(COLUMNS($AO$1006:BH1006),$AO$1006:$BQ$1006,0))&gt;=100000), " ",IF(INDEX($AO$2:$BQ$1001,MATCH(ROWS($AH$2:AH830),$AH$2:$AH$1001,0),MATCH(COLUMNS($AO$1006:BH1006),$AO$1006:$BQ$1006,0)), HYPERLINK("#",""), HYPERLINK(CONCATENATE("#Metadata!", ADDRESS(INDEX($AJ$2:$AJ$1001,MATCH(ROWS($AH$2:AH830),$AH$2:$AH$1001,0),0), INDEX($AO$1004:$BQ$1004,1,MATCH(COLUMNS($AO$1006:BH1006),$AO$1006:$BQ$1006,0)))),"Fix")))</f>
        <v>#N/A</v>
      </c>
      <c r="V830" s="5" t="e">
        <f ca="1">IF(OR(INDEX($AI$2:$AI$1001,MATCH(ROWS($AH$2:AH830),$AH$2:$AH$1001,0),1)&gt;=100000,INDEX($AO$1005:$BQ$1005,1,MATCH(COLUMNS($AO$1006:BI1006),$AO$1006:$BQ$1006,0))&gt;=100000), " ",IF(INDEX($AO$2:$BQ$1001,MATCH(ROWS($AH$2:AH830),$AH$2:$AH$1001,0),MATCH(COLUMNS($AO$1006:BI1006),$AO$1006:$BQ$1006,0)), HYPERLINK("#",""), HYPERLINK(CONCATENATE("#Metadata!", ADDRESS(INDEX($AJ$2:$AJ$1001,MATCH(ROWS($AH$2:AH830),$AH$2:$AH$1001,0),0), INDEX($AO$1004:$BQ$1004,1,MATCH(COLUMNS($AO$1006:BI1006),$AO$1006:$BQ$1006,0)))),"Fix")))</f>
        <v>#N/A</v>
      </c>
      <c r="W830" s="5" t="e">
        <f ca="1">IF(OR(INDEX($AI$2:$AI$1001,MATCH(ROWS($AH$2:AH830),$AH$2:$AH$1001,0),1)&gt;=100000,INDEX($AO$1005:$BQ$1005,1,MATCH(COLUMNS($AO$1006:BJ1006),$AO$1006:$BQ$1006,0))&gt;=100000), " ",IF(INDEX($AO$2:$BQ$1001,MATCH(ROWS($AH$2:AH830),$AH$2:$AH$1001,0),MATCH(COLUMNS($AO$1006:BJ1006),$AO$1006:$BQ$1006,0)), HYPERLINK("#",""), HYPERLINK(CONCATENATE("#Metadata!", ADDRESS(INDEX($AJ$2:$AJ$1001,MATCH(ROWS($AH$2:AH830),$AH$2:$AH$1001,0),0), INDEX($AO$1004:$BQ$1004,1,MATCH(COLUMNS($AO$1006:BJ1006),$AO$1006:$BQ$1006,0)))),"Fix")))</f>
        <v>#N/A</v>
      </c>
      <c r="X830" s="5" t="e">
        <f ca="1">IF(OR(INDEX($AI$2:$AI$1001,MATCH(ROWS($AH$2:AH830),$AH$2:$AH$1001,0),1)&gt;=100000,INDEX($AO$1005:$BQ$1005,1,MATCH(COLUMNS($AO$1006:BK1006),$AO$1006:$BQ$1006,0))&gt;=100000), " ",IF(INDEX($AO$2:$BQ$1001,MATCH(ROWS($AH$2:AH830),$AH$2:$AH$1001,0),MATCH(COLUMNS($AO$1006:BK1006),$AO$1006:$BQ$1006,0)), HYPERLINK("#",""), HYPERLINK(CONCATENATE("#Metadata!", ADDRESS(INDEX($AJ$2:$AJ$1001,MATCH(ROWS($AH$2:AH830),$AH$2:$AH$1001,0),0), INDEX($AO$1004:$BQ$1004,1,MATCH(COLUMNS($AO$1006:BK1006),$AO$1006:$BQ$1006,0)))),"Fix")))</f>
        <v>#N/A</v>
      </c>
      <c r="Y830" s="5" t="e">
        <f ca="1">IF(OR(INDEX($AI$2:$AI$1001,MATCH(ROWS($AH$2:AH830),$AH$2:$AH$1001,0),1)&gt;=100000,INDEX($AO$1005:$BQ$1005,1,MATCH(COLUMNS($AO$1006:BL1006),$AO$1006:$BQ$1006,0))&gt;=100000), " ",IF(INDEX($AO$2:$BQ$1001,MATCH(ROWS($AH$2:AH830),$AH$2:$AH$1001,0),MATCH(COLUMNS($AO$1006:BL1006),$AO$1006:$BQ$1006,0)), HYPERLINK("#",""), HYPERLINK(CONCATENATE("#Metadata!", ADDRESS(INDEX($AJ$2:$AJ$1001,MATCH(ROWS($AH$2:AH830),$AH$2:$AH$1001,0),0), INDEX($AO$1004:$BQ$1004,1,MATCH(COLUMNS($AO$1006:BL1006),$AO$1006:$BQ$1006,0)))),"Fix")))</f>
        <v>#N/A</v>
      </c>
      <c r="Z830" s="5" t="e">
        <f ca="1">IF(OR(INDEX($AI$2:$AI$1001,MATCH(ROWS($AH$2:AH830),$AH$2:$AH$1001,0),1)&gt;=100000,INDEX($AO$1005:$BQ$1005,1,MATCH(COLUMNS($AO$1006:BM1006),$AO$1006:$BQ$1006,0))&gt;=100000), " ",IF(INDEX($AO$2:$BQ$1001,MATCH(ROWS($AH$2:AH830),$AH$2:$AH$1001,0),MATCH(COLUMNS($AO$1006:BM1006),$AO$1006:$BQ$1006,0)), HYPERLINK("#",""), HYPERLINK(CONCATENATE("#Metadata!", ADDRESS(INDEX($AJ$2:$AJ$1001,MATCH(ROWS($AH$2:AH830),$AH$2:$AH$1001,0),0), INDEX($AO$1004:$BQ$1004,1,MATCH(COLUMNS($AO$1006:BM1006),$AO$1006:$BQ$1006,0)))),"Fix")))</f>
        <v>#N/A</v>
      </c>
      <c r="AA830" s="5" t="e">
        <f ca="1">IF(OR(INDEX($AI$2:$AI$1001,MATCH(ROWS($AH$2:AH830),$AH$2:$AH$1001,0),1)&gt;=100000,INDEX($AO$1005:$BQ$1005,1,MATCH(COLUMNS($AO$1006:BN1006),$AO$1006:$BQ$1006,0))&gt;=100000), " ",IF(INDEX($AO$2:$BQ$1001,MATCH(ROWS($AH$2:AH830),$AH$2:$AH$1001,0),MATCH(COLUMNS($AO$1006:BN1006),$AO$1006:$BQ$1006,0)), HYPERLINK("#",""), HYPERLINK(CONCATENATE("#Metadata!", ADDRESS(INDEX($AJ$2:$AJ$1001,MATCH(ROWS($AH$2:AH830),$AH$2:$AH$1001,0),0), INDEX($AO$1004:$BQ$1004,1,MATCH(COLUMNS($AO$1006:BN1006),$AO$1006:$BQ$1006,0)))),"Fix")))</f>
        <v>#N/A</v>
      </c>
      <c r="AB830" s="5" t="e">
        <f ca="1">IF(OR(INDEX($AI$2:$AI$1001,MATCH(ROWS($AH$2:AH830),$AH$2:$AH$1001,0),1)&gt;=100000,INDEX($AO$1005:$BQ$1005,1,MATCH(COLUMNS($AO$1006:BO1006),$AO$1006:$BQ$1006,0))&gt;=100000), " ",IF(INDEX($AO$2:$BQ$1001,MATCH(ROWS($AH$2:AH830),$AH$2:$AH$1001,0),MATCH(COLUMNS($AO$1006:BO1006),$AO$1006:$BQ$1006,0)), HYPERLINK("#",""), HYPERLINK(CONCATENATE("#Metadata!", ADDRESS(INDEX($AJ$2:$AJ$1001,MATCH(ROWS($AH$2:AH830),$AH$2:$AH$1001,0),0), INDEX($AO$1004:$BQ$1004,1,MATCH(COLUMNS($AO$1006:BO1006),$AO$1006:$BQ$1006,0)))),"Fix")))</f>
        <v>#N/A</v>
      </c>
      <c r="AC830" s="5" t="e">
        <f ca="1">IF(OR(INDEX($AI$2:$AI$1001,MATCH(ROWS($AH$2:AH830),$AH$2:$AH$1001,0),1)&gt;=100000,INDEX($AO$1005:$BQ$1005,1,MATCH(COLUMNS($AO$1006:BP1006),$AO$1006:$BQ$1006,0))&gt;=100000), " ",IF(INDEX($AO$2:$BQ$1001,MATCH(ROWS($AH$2:AH830),$AH$2:$AH$1001,0),MATCH(COLUMNS($AO$1006:BP1006),$AO$1006:$BQ$1006,0)), HYPERLINK("#",""), HYPERLINK(CONCATENATE("#Metadata!", ADDRESS(INDEX($AJ$2:$AJ$1001,MATCH(ROWS($AH$2:AH830),$AH$2:$AH$1001,0),0), INDEX($AO$1004:$BQ$1004,1,MATCH(COLUMNS($AO$1006:BP1006),$AO$1006:$BQ$1006,0)))),"Fix")))</f>
        <v>#N/A</v>
      </c>
      <c r="AD830" s="5" t="e">
        <f ca="1">IF(OR(INDEX($AI$2:$AI$1001,MATCH(ROWS($AH$2:AH830),$AH$2:$AH$1001,0),1)&gt;=100000,INDEX($AO$1005:$BQ$1005,1,MATCH(COLUMNS($AO$1006:BQ1006),$AO$1006:$BQ$1006,0))&gt;=100000), " ",IF(INDEX($AO$2:$BQ$1001,MATCH(ROWS($AH$2:AH830),$AH$2:$AH$1001,0),MATCH(COLUMNS($AO$1006:BQ1006),$AO$1006:$BQ$1006,0)), HYPERLINK("#",""), HYPERLINK(CONCATENATE("#Metadata!", ADDRESS(INDEX($AJ$2:$AJ$1001,MATCH(ROWS($AH$2:AH830),$AH$2:$AH$1001,0),0), INDEX($AO$1004:$BQ$1004,1,MATCH(COLUMNS($AO$1006:BQ1006),$AO$1006:$BQ$1006,0)))),"Fix")))</f>
        <v>#REF!</v>
      </c>
      <c r="AH830">
        <f ca="1"/>
        <v>827</v>
      </c>
      <c r="AI830">
        <v>100830</v>
      </c>
      <c r="AJ830">
        <v>830</v>
      </c>
      <c r="AK830" t="b">
        <f t="shared" si="12"/>
        <v>1</v>
      </c>
      <c r="AL830" t="b">
        <f>COUNTBLANK(Metadata!B830:AD830)=COLUMNS(Metadata!B830:AD830)</f>
        <v>1</v>
      </c>
      <c r="AM830" t="str">
        <v/>
      </c>
      <c r="AO830" t="b">
        <f ca="1">AND(IF(Metadata!B830="",FALSE,TRUE),COUNTIF(Metadata!B:B, Metadata!B830) = 1,NOT(ISERROR(SUMPRODUCT(SEARCH(MID(Metadata!B830,ROW(INDIRECT("1:"&amp;LEN(Metadata!B830))), 1),"0123456789abcdefghijklmnopqrstuvwxyzABCDEFGHIJKLMNOPQRSTUVWXYZ.")))))</f>
        <v>0</v>
      </c>
      <c r="AP830" t="b">
        <f>IF(Metadata!C830="",FALSE,TRUE)</f>
        <v>0</v>
      </c>
      <c r="AQ830" t="b">
        <f>IF(Metadata!D830="",FALSE,TRUE)</f>
        <v>0</v>
      </c>
      <c r="AR830" t="b">
        <f ca="1">OR(AND(IF(Metadata!E830="",FALSE,TRUE),OR(EXACT(Metadata!E830,"not collected"),EXACT(Metadata!E830,"not provided"),EXACT(Metadata!E830,"restricted access"))),AND(IF(Metadata!E830="",FALSE,TRUE),AND(AND(IFERROR(INT(LEFT(Metadata!E830,4))&gt;1900,FALSE),IFERROR(INT(LEFT(Metadata!E830,4))&lt;=YEAR(NOW()),FALSE)), OR(MID(Metadata!E830,5,1)="", AND(AND(MID(Metadata!E830,5,1)="-",IFERROR(INT(MID(Metadata!E830,6,1))&gt;=0,FALSE),IFERROR(INT(MID(Metadata!E830,6,1))&lt;=1,FALSE),NOT(MID(Metadata!E830,7,1)=""),IFERROR(INT(MID(Metadata!E830,6,2))&gt;=1,FALSE),IFERROR(INT(MID(Metadata!E830,6,2))&lt;=12,FALSE)), OR(MID(Metadata!E830,8,1)="", AND(AND(MID(Metadata!E830,8,1)="-",IFERROR(INT(MID(Metadata!E830,9,1))&gt;=0,FALSE),IFERROR(INT(MID(Metadata!E830,9,1))&lt;=3,FALSE),NOT(MID(Metadata!E830,10,1)=""),IFERROR(INT(MID(Metadata!E830,9,2))&gt;=1,FALSE),IFERROR(INT(MID(Metadata!E830,9,2))&lt;=31,FALSE)), OR(MID(Metadata!E830,11,1)="", AND(AND(MID(Metadata!E830,11,1)=" ",IFERROR(INT(MID(Metadata!E830,12,1))&gt;=0,FALSE),IFERROR(INT(MID(Metadata!E830,12,1))&lt;=2,FALSE),NOT(MID(Metadata!E830,13,1)=""),IFERROR(INT(MID(Metadata!E830,12,2))&gt;=0,FALSE),IFERROR(INT(MID(Metadata!E830,12,2))&lt;=23,FALSE)), OR(MID(Metadata!E830,14,1)="", AND(AND(MID(Metadata!E830,14,1)=":",IFERROR(INT(MID(Metadata!E830,15,1))&gt;=0,FALSE),IFERROR(INT(MID(Metadata!E830,15,1))&lt;=5,FALSE),NOT(MID(Metadata!E830,16,1)=""),IFERROR(INT(MID(Metadata!E830,15,2))&gt;=0,FALSE),IFERROR(INT(MID(Metadata!E830,15,2))&lt;=59,FALSE)), OR(MID(Metadata!E830,17,1)="", AND(AND(MID(Metadata!E830,17,1)=":",IFERROR(INT(MID(Metadata!E830,18,1))&gt;=0,FALSE),IFERROR(INT(MID(Metadata!E830,18,1))&lt;=5,FALSE),NOT(MID(Metadata!E830,19,1)=""),IFERROR(INT(MID(Metadata!E830,18,2))&gt;=0,FALSE),IFERROR(INT(MID(Metadata!E830,18,2))&lt;=59,FALSE)), LEN(Metadata!E830)&lt;=19)))))))))))))</f>
        <v>0</v>
      </c>
      <c r="AS830" t="b">
        <f>IF(Metadata!F830="",FALSE,TRUE)</f>
        <v>0</v>
      </c>
      <c r="AT830" t="b">
        <f>OR(AND(IF(Metadata!G830="",FALSE,TRUE),OR(EXACT(Metadata!G830,"not collected"),EXACT(Metadata!G830,"not provided"))),AND(IF(Metadata!G830="",FALSE,TRUE),OR(EXACT(Metadata!G830,"TRUE"),EXACT(Metadata!G830,"FALSE"))))</f>
        <v>0</v>
      </c>
      <c r="AU830" t="b">
        <f>OR(AND(IF(Metadata!H830="",FALSE,TRUE),OR(EXACT(Metadata!H830,"not collected"),EXACT(Metadata!H830,"not provided"),EXACT(Metadata!H830,"restricted access"))),AND(IF(Metadata!H830="",FALSE,ISNUMBER(VALUE(Metadata!H830))),Metadata!H830&gt;=-413))</f>
        <v>0</v>
      </c>
      <c r="AV830" t="b">
        <f>AND(IF(Metadata!I830="",FALSE,TRUE),EXACT(Metadata!I830,"meters"))</f>
        <v>0</v>
      </c>
      <c r="AW830" t="b">
        <f>AND(IF(Metadata!J830="",FALSE,TRUE),EXACT(Metadata!J830,"free-living"))</f>
        <v>0</v>
      </c>
      <c r="AX830" t="b">
        <f>AND(IF(Metadata!K830="",FALSE,TRUE),OR(EXACT(Metadata!K830,"saline"),EXACT(Metadata!K830,"non-saline")))</f>
        <v>0</v>
      </c>
      <c r="AY830" t="b">
        <f>AND(IF(Metadata!L830="",FALSE,TRUE),OR(EXACT(Metadata!L830,"sub-surface (non-saline)"),EXACT(Metadata!L830,"surface (non-saline)"),EXACT(Metadata!L830,"water (non-saline)"),EXACT(Metadata!L830,"soil (non-saline)"),EXACT(Metadata!L830,"aerosol (non-saline)"),EXACT(Metadata!L830,"sediment (non-saline)"),EXACT(Metadata!L830,"surface (saline)"),EXACT(Metadata!L830,"water (saline)"),EXACT(Metadata!L830,"hypersaline (saline)"),EXACT(Metadata!L830,"aerosol (saline)"),EXACT(Metadata!L830,"sediment (saline)")))</f>
        <v>0</v>
      </c>
      <c r="AZ830" t="b">
        <f>IF(Metadata!M830="",FALSE,TRUE)</f>
        <v>0</v>
      </c>
      <c r="BA830" t="b">
        <f>IF(Metadata!N830="",FALSE,TRUE)</f>
        <v>0</v>
      </c>
      <c r="BB830" t="b">
        <f>IF(Metadata!O830="",FALSE,TRUE)</f>
        <v>0</v>
      </c>
      <c r="BC830" t="b">
        <f>AND(IF(Metadata!P830="",FALSE,TRUE),OR(EXACT(Metadata!P830,"air"),EXACT(Metadata!P830,"microbial mat/biofilm"),EXACT(Metadata!P830,"misc environment"),EXACT(Metadata!P830,"sediment"),EXACT(Metadata!P830,"soil"),EXACT(Metadata!P830,"wastewater/sludge"),EXACT(Metadata!P830,"water")))</f>
        <v>0</v>
      </c>
      <c r="BD830" t="b">
        <f>IF(Metadata!Q830="",FALSE,TRUE)</f>
        <v>0</v>
      </c>
      <c r="BE830" t="b">
        <f>IF(Metadata!R830="",FALSE,TRUE)</f>
        <v>0</v>
      </c>
      <c r="BF830" t="b">
        <f>OR(AND(IF(Metadata!S830="",FALSE,TRUE),OR(EXACT(Metadata!S830,"not collected"),EXACT(Metadata!S830,"not provided"),EXACT(Metadata!S830,"restricted access"))),AND(IF(Metadata!S830="",FALSE,ISNUMBER(VALUE(Metadata!S830))),Metadata!S830&gt;=-90,Metadata!S830&lt;=90))</f>
        <v>0</v>
      </c>
      <c r="BG830" t="b">
        <f>AND(IF(Metadata!T830="",FALSE,TRUE),EXACT(Metadata!T830,"Decimal degrees"))</f>
        <v>0</v>
      </c>
      <c r="BH830" t="b">
        <f>OR(AND(IF(Metadata!U830="",FALSE,TRUE),OR(EXACT(Metadata!U830,"not applicable"),EXACT(Metadata!U830,"not collected"))),IF(Metadata!U830="",FALSE,TRUE))</f>
        <v>0</v>
      </c>
      <c r="BI830" t="b">
        <f>OR(AND(IF(Metadata!V830="",FALSE,TRUE),OR(EXACT(Metadata!V830,"not collected"),EXACT(Metadata!V830,"not provided"),EXACT(Metadata!V830,"restricted access"))),AND(IF(Metadata!V830="",FALSE,ISNUMBER(VALUE(Metadata!V830))),Metadata!V830&gt;=-180,Metadata!V830&lt;=180))</f>
        <v>0</v>
      </c>
      <c r="BJ830" t="b">
        <f>AND(IF(Metadata!W830="",FALSE,TRUE),EXACT(Metadata!W830,"Decimal degrees"))</f>
        <v>0</v>
      </c>
      <c r="BK830" t="b">
        <f>IF(Metadata!X830="",FALSE,TRUE)</f>
        <v>0</v>
      </c>
      <c r="BL830" t="b">
        <f>OR(AND(IF(Metadata!Y830="",FALSE,TRUE),OR(EXACT(Metadata!Y830,"not collected"),EXACT(Metadata!Y830,"not provided"),EXACT(Metadata!Y830,"restricted access"))),AND(IF(Metadata!Y830="",FALSE,TRUE),OR(EXACT(Metadata!Y830,"TRUE"),EXACT(Metadata!Y830,"FALSE"))))</f>
        <v>0</v>
      </c>
      <c r="BM830" t="b">
        <f>OR(AND(IF(Metadata!Z830="",FALSE,TRUE),EXACT(Metadata!Z830,"not applicable")),AND(IF(Metadata!Z830="",FALSE,TRUE),OR(EXACT(Metadata!Z830,"beer"),EXACT(Metadata!Z830,"cheese"),EXACT(Metadata!Z830,"fresh water"),EXACT(Metadata!Z830,"marine sediment"),EXACT(Metadata!Z830,"sea water"),EXACT(Metadata!Z830,"sediment"),EXACT(Metadata!Z830,"soil"),EXACT(Metadata!Z830,"waste water"))))</f>
        <v>0</v>
      </c>
      <c r="BN830" t="b">
        <f>AND(IF(Metadata!AA830="",FALSE,TRUE),EXACT(Metadata!AA830,"metagenome"))</f>
        <v>0</v>
      </c>
      <c r="BO830" t="b">
        <f>AND(IF(Metadata!AB830="",FALSE,TRUE),EXACT(Metadata!AB830,"256318"))</f>
        <v>0</v>
      </c>
      <c r="BP830" t="b">
        <f>IF(Metadata!AC830="",FALSE,TRUE)</f>
        <v>0</v>
      </c>
      <c r="BQ830" t="b">
        <f>IF(Metadata!AD830="",FALSE,TRUE)</f>
        <v>0</v>
      </c>
    </row>
    <row r="831" spans="1:69" x14ac:dyDescent="0.2">
      <c r="A831" s="4" t="e">
        <f ca="1">IF(B831=" "," ",HYPERLINK(CONCATENATE("#metadata!",ADDRESS(INDEX($AJ$2:$AJ$1001,MATCH(ROWS($AH$2:AH831),$AH$2:$AH$1001,0),0),2)),INDEX($AM$2:$AM$1001,MATCH(ROWS($AH$2:AH831),$AH$2:$AH$1001,0),0)))</f>
        <v>#N/A</v>
      </c>
      <c r="B831" s="5" t="e">
        <f ca="1">IF(OR(INDEX($AI$2:$AI$1001,MATCH(ROWS($AH$2:AH831),$AH$2:$AH$1001,0),1)&gt;=100000,INDEX($AO$1005:$BQ$1005,1,MATCH(COLUMNS($AO$1006:AO1006),$AO$1006:$BQ$1006,0))&gt;=100000), " ",IF(INDEX($AO$2:$BQ$1001,MATCH(ROWS($AH$2:AH831),$AH$2:$AH$1001,0),MATCH(COLUMNS($AO$1006:AO1006),$AO$1006:$BQ$1006,0)), HYPERLINK("#",""), HYPERLINK(CONCATENATE("#Metadata!", ADDRESS(INDEX($AJ$2:$AJ$1001,MATCH(ROWS($AH$2:AH831),$AH$2:$AH$1001,0),0), INDEX($AO$1004:$BQ$1004,1,MATCH(COLUMNS($AO$1006:AO1006),$AO$1006:$BQ$1006,0)))),"Fix")))</f>
        <v>#N/A</v>
      </c>
      <c r="C831" s="5" t="e">
        <f ca="1">IF(OR(INDEX($AI$2:$AI$1001,MATCH(ROWS($AH$2:AH831),$AH$2:$AH$1001,0),1)&gt;=100000,INDEX($AO$1005:$BQ$1005,1,MATCH(COLUMNS($AO$1006:AP1006),$AO$1006:$BQ$1006,0))&gt;=100000), " ",IF(INDEX($AO$2:$BQ$1001,MATCH(ROWS($AH$2:AH831),$AH$2:$AH$1001,0),MATCH(COLUMNS($AO$1006:AP1006),$AO$1006:$BQ$1006,0)), HYPERLINK("#",""), HYPERLINK(CONCATENATE("#Metadata!", ADDRESS(INDEX($AJ$2:$AJ$1001,MATCH(ROWS($AH$2:AH831),$AH$2:$AH$1001,0),0), INDEX($AO$1004:$BQ$1004,1,MATCH(COLUMNS($AO$1006:AP1006),$AO$1006:$BQ$1006,0)))),"Fix")))</f>
        <v>#N/A</v>
      </c>
      <c r="D831" s="5" t="e">
        <f ca="1">IF(OR(INDEX($AI$2:$AI$1001,MATCH(ROWS($AH$2:AH831),$AH$2:$AH$1001,0),1)&gt;=100000,INDEX($AO$1005:$BQ$1005,1,MATCH(COLUMNS($AO$1006:AQ1006),$AO$1006:$BQ$1006,0))&gt;=100000), " ",IF(INDEX($AO$2:$BQ$1001,MATCH(ROWS($AH$2:AH831),$AH$2:$AH$1001,0),MATCH(COLUMNS($AO$1006:AQ1006),$AO$1006:$BQ$1006,0)), HYPERLINK("#",""), HYPERLINK(CONCATENATE("#Metadata!", ADDRESS(INDEX($AJ$2:$AJ$1001,MATCH(ROWS($AH$2:AH831),$AH$2:$AH$1001,0),0), INDEX($AO$1004:$BQ$1004,1,MATCH(COLUMNS($AO$1006:AQ1006),$AO$1006:$BQ$1006,0)))),"Fix")))</f>
        <v>#N/A</v>
      </c>
      <c r="E831" s="5" t="e">
        <f ca="1">IF(OR(INDEX($AI$2:$AI$1001,MATCH(ROWS($AH$2:AH831),$AH$2:$AH$1001,0),1)&gt;=100000,INDEX($AO$1005:$BQ$1005,1,MATCH(COLUMNS($AO$1006:AR1006),$AO$1006:$BQ$1006,0))&gt;=100000), " ",IF(INDEX($AO$2:$BQ$1001,MATCH(ROWS($AH$2:AH831),$AH$2:$AH$1001,0),MATCH(COLUMNS($AO$1006:AR1006),$AO$1006:$BQ$1006,0)), HYPERLINK("#",""), HYPERLINK(CONCATENATE("#Metadata!", ADDRESS(INDEX($AJ$2:$AJ$1001,MATCH(ROWS($AH$2:AH831),$AH$2:$AH$1001,0),0), INDEX($AO$1004:$BQ$1004,1,MATCH(COLUMNS($AO$1006:AR1006),$AO$1006:$BQ$1006,0)))),"Fix")))</f>
        <v>#N/A</v>
      </c>
      <c r="F831" s="5" t="e">
        <f ca="1">IF(OR(INDEX($AI$2:$AI$1001,MATCH(ROWS($AH$2:AH831),$AH$2:$AH$1001,0),1)&gt;=100000,INDEX($AO$1005:$BQ$1005,1,MATCH(COLUMNS($AO$1006:AS1006),$AO$1006:$BQ$1006,0))&gt;=100000), " ",IF(INDEX($AO$2:$BQ$1001,MATCH(ROWS($AH$2:AH831),$AH$2:$AH$1001,0),MATCH(COLUMNS($AO$1006:AS1006),$AO$1006:$BQ$1006,0)), HYPERLINK("#",""), HYPERLINK(CONCATENATE("#Metadata!", ADDRESS(INDEX($AJ$2:$AJ$1001,MATCH(ROWS($AH$2:AH831),$AH$2:$AH$1001,0),0), INDEX($AO$1004:$BQ$1004,1,MATCH(COLUMNS($AO$1006:AS1006),$AO$1006:$BQ$1006,0)))),"Fix")))</f>
        <v>#N/A</v>
      </c>
      <c r="G831" s="5" t="e">
        <f ca="1">IF(OR(INDEX($AI$2:$AI$1001,MATCH(ROWS($AH$2:AH831),$AH$2:$AH$1001,0),1)&gt;=100000,INDEX($AO$1005:$BQ$1005,1,MATCH(COLUMNS($AO$1006:AT1006),$AO$1006:$BQ$1006,0))&gt;=100000), " ",IF(INDEX($AO$2:$BQ$1001,MATCH(ROWS($AH$2:AH831),$AH$2:$AH$1001,0),MATCH(COLUMNS($AO$1006:AT1006),$AO$1006:$BQ$1006,0)), HYPERLINK("#",""), HYPERLINK(CONCATENATE("#Metadata!", ADDRESS(INDEX($AJ$2:$AJ$1001,MATCH(ROWS($AH$2:AH831),$AH$2:$AH$1001,0),0), INDEX($AO$1004:$BQ$1004,1,MATCH(COLUMNS($AO$1006:AT1006),$AO$1006:$BQ$1006,0)))),"Fix")))</f>
        <v>#N/A</v>
      </c>
      <c r="H831" s="5" t="e">
        <f ca="1">IF(OR(INDEX($AI$2:$AI$1001,MATCH(ROWS($AH$2:AH831),$AH$2:$AH$1001,0),1)&gt;=100000,INDEX($AO$1005:$BQ$1005,1,MATCH(COLUMNS($AO$1006:AU1006),$AO$1006:$BQ$1006,0))&gt;=100000), " ",IF(INDEX($AO$2:$BQ$1001,MATCH(ROWS($AH$2:AH831),$AH$2:$AH$1001,0),MATCH(COLUMNS($AO$1006:AU1006),$AO$1006:$BQ$1006,0)), HYPERLINK("#",""), HYPERLINK(CONCATENATE("#Metadata!", ADDRESS(INDEX($AJ$2:$AJ$1001,MATCH(ROWS($AH$2:AH831),$AH$2:$AH$1001,0),0), INDEX($AO$1004:$BQ$1004,1,MATCH(COLUMNS($AO$1006:AU1006),$AO$1006:$BQ$1006,0)))),"Fix")))</f>
        <v>#N/A</v>
      </c>
      <c r="I831" s="5" t="e">
        <f ca="1">IF(OR(INDEX($AI$2:$AI$1001,MATCH(ROWS($AH$2:AH831),$AH$2:$AH$1001,0),1)&gt;=100000,INDEX($AO$1005:$BQ$1005,1,MATCH(COLUMNS($AO$1006:AV1006),$AO$1006:$BQ$1006,0))&gt;=100000), " ",IF(INDEX($AO$2:$BQ$1001,MATCH(ROWS($AH$2:AH831),$AH$2:$AH$1001,0),MATCH(COLUMNS($AO$1006:AV1006),$AO$1006:$BQ$1006,0)), HYPERLINK("#",""), HYPERLINK(CONCATENATE("#Metadata!", ADDRESS(INDEX($AJ$2:$AJ$1001,MATCH(ROWS($AH$2:AH831),$AH$2:$AH$1001,0),0), INDEX($AO$1004:$BQ$1004,1,MATCH(COLUMNS($AO$1006:AV1006),$AO$1006:$BQ$1006,0)))),"Fix")))</f>
        <v>#N/A</v>
      </c>
      <c r="J831" s="5" t="e">
        <f ca="1">IF(OR(INDEX($AI$2:$AI$1001,MATCH(ROWS($AH$2:AH831),$AH$2:$AH$1001,0),1)&gt;=100000,INDEX($AO$1005:$BQ$1005,1,MATCH(COLUMNS($AO$1006:AW1006),$AO$1006:$BQ$1006,0))&gt;=100000), " ",IF(INDEX($AO$2:$BQ$1001,MATCH(ROWS($AH$2:AH831),$AH$2:$AH$1001,0),MATCH(COLUMNS($AO$1006:AW1006),$AO$1006:$BQ$1006,0)), HYPERLINK("#",""), HYPERLINK(CONCATENATE("#Metadata!", ADDRESS(INDEX($AJ$2:$AJ$1001,MATCH(ROWS($AH$2:AH831),$AH$2:$AH$1001,0),0), INDEX($AO$1004:$BQ$1004,1,MATCH(COLUMNS($AO$1006:AW1006),$AO$1006:$BQ$1006,0)))),"Fix")))</f>
        <v>#N/A</v>
      </c>
      <c r="K831" s="5" t="e">
        <f ca="1">IF(OR(INDEX($AI$2:$AI$1001,MATCH(ROWS($AH$2:AH831),$AH$2:$AH$1001,0),1)&gt;=100000,INDEX($AO$1005:$BQ$1005,1,MATCH(COLUMNS($AO$1006:AX1006),$AO$1006:$BQ$1006,0))&gt;=100000), " ",IF(INDEX($AO$2:$BQ$1001,MATCH(ROWS($AH$2:AH831),$AH$2:$AH$1001,0),MATCH(COLUMNS($AO$1006:AX1006),$AO$1006:$BQ$1006,0)), HYPERLINK("#",""), HYPERLINK(CONCATENATE("#Metadata!", ADDRESS(INDEX($AJ$2:$AJ$1001,MATCH(ROWS($AH$2:AH831),$AH$2:$AH$1001,0),0), INDEX($AO$1004:$BQ$1004,1,MATCH(COLUMNS($AO$1006:AX1006),$AO$1006:$BQ$1006,0)))),"Fix")))</f>
        <v>#N/A</v>
      </c>
      <c r="L831" s="5" t="e">
        <f ca="1">IF(OR(INDEX($AI$2:$AI$1001,MATCH(ROWS($AH$2:AH831),$AH$2:$AH$1001,0),1)&gt;=100000,INDEX($AO$1005:$BQ$1005,1,MATCH(COLUMNS($AO$1006:AY1006),$AO$1006:$BQ$1006,0))&gt;=100000), " ",IF(INDEX($AO$2:$BQ$1001,MATCH(ROWS($AH$2:AH831),$AH$2:$AH$1001,0),MATCH(COLUMNS($AO$1006:AY1006),$AO$1006:$BQ$1006,0)), HYPERLINK("#",""), HYPERLINK(CONCATENATE("#Metadata!", ADDRESS(INDEX($AJ$2:$AJ$1001,MATCH(ROWS($AH$2:AH831),$AH$2:$AH$1001,0),0), INDEX($AO$1004:$BQ$1004,1,MATCH(COLUMNS($AO$1006:AY1006),$AO$1006:$BQ$1006,0)))),"Fix")))</f>
        <v>#N/A</v>
      </c>
      <c r="M831" s="5" t="e">
        <f ca="1">IF(OR(INDEX($AI$2:$AI$1001,MATCH(ROWS($AH$2:AH831),$AH$2:$AH$1001,0),1)&gt;=100000,INDEX($AO$1005:$BQ$1005,1,MATCH(COLUMNS($AO$1006:AZ1006),$AO$1006:$BQ$1006,0))&gt;=100000), " ",IF(INDEX($AO$2:$BQ$1001,MATCH(ROWS($AH$2:AH831),$AH$2:$AH$1001,0),MATCH(COLUMNS($AO$1006:AZ1006),$AO$1006:$BQ$1006,0)), HYPERLINK("#",""), HYPERLINK(CONCATENATE("#Metadata!", ADDRESS(INDEX($AJ$2:$AJ$1001,MATCH(ROWS($AH$2:AH831),$AH$2:$AH$1001,0),0), INDEX($AO$1004:$BQ$1004,1,MATCH(COLUMNS($AO$1006:AZ1006),$AO$1006:$BQ$1006,0)))),"Fix")))</f>
        <v>#N/A</v>
      </c>
      <c r="N831" s="5" t="e">
        <f ca="1">IF(OR(INDEX($AI$2:$AI$1001,MATCH(ROWS($AH$2:AH831),$AH$2:$AH$1001,0),1)&gt;=100000,INDEX($AO$1005:$BQ$1005,1,MATCH(COLUMNS($AO$1006:BA1006),$AO$1006:$BQ$1006,0))&gt;=100000), " ",IF(INDEX($AO$2:$BQ$1001,MATCH(ROWS($AH$2:AH831),$AH$2:$AH$1001,0),MATCH(COLUMNS($AO$1006:BA1006),$AO$1006:$BQ$1006,0)), HYPERLINK("#",""), HYPERLINK(CONCATENATE("#Metadata!", ADDRESS(INDEX($AJ$2:$AJ$1001,MATCH(ROWS($AH$2:AH831),$AH$2:$AH$1001,0),0), INDEX($AO$1004:$BQ$1004,1,MATCH(COLUMNS($AO$1006:BA1006),$AO$1006:$BQ$1006,0)))),"Fix")))</f>
        <v>#N/A</v>
      </c>
      <c r="O831" s="5" t="e">
        <f ca="1">IF(OR(INDEX($AI$2:$AI$1001,MATCH(ROWS($AH$2:AH831),$AH$2:$AH$1001,0),1)&gt;=100000,INDEX($AO$1005:$BQ$1005,1,MATCH(COLUMNS($AO$1006:BB1006),$AO$1006:$BQ$1006,0))&gt;=100000), " ",IF(INDEX($AO$2:$BQ$1001,MATCH(ROWS($AH$2:AH831),$AH$2:$AH$1001,0),MATCH(COLUMNS($AO$1006:BB1006),$AO$1006:$BQ$1006,0)), HYPERLINK("#",""), HYPERLINK(CONCATENATE("#Metadata!", ADDRESS(INDEX($AJ$2:$AJ$1001,MATCH(ROWS($AH$2:AH831),$AH$2:$AH$1001,0),0), INDEX($AO$1004:$BQ$1004,1,MATCH(COLUMNS($AO$1006:BB1006),$AO$1006:$BQ$1006,0)))),"Fix")))</f>
        <v>#N/A</v>
      </c>
      <c r="P831" s="5" t="e">
        <f ca="1">IF(OR(INDEX($AI$2:$AI$1001,MATCH(ROWS($AH$2:AH831),$AH$2:$AH$1001,0),1)&gt;=100000,INDEX($AO$1005:$BQ$1005,1,MATCH(COLUMNS($AO$1006:BC1006),$AO$1006:$BQ$1006,0))&gt;=100000), " ",IF(INDEX($AO$2:$BQ$1001,MATCH(ROWS($AH$2:AH831),$AH$2:$AH$1001,0),MATCH(COLUMNS($AO$1006:BC1006),$AO$1006:$BQ$1006,0)), HYPERLINK("#",""), HYPERLINK(CONCATENATE("#Metadata!", ADDRESS(INDEX($AJ$2:$AJ$1001,MATCH(ROWS($AH$2:AH831),$AH$2:$AH$1001,0),0), INDEX($AO$1004:$BQ$1004,1,MATCH(COLUMNS($AO$1006:BC1006),$AO$1006:$BQ$1006,0)))),"Fix")))</f>
        <v>#N/A</v>
      </c>
      <c r="Q831" s="5" t="e">
        <f ca="1">IF(OR(INDEX($AI$2:$AI$1001,MATCH(ROWS($AH$2:AH831),$AH$2:$AH$1001,0),1)&gt;=100000,INDEX($AO$1005:$BQ$1005,1,MATCH(COLUMNS($AO$1006:BD1006),$AO$1006:$BQ$1006,0))&gt;=100000), " ",IF(INDEX($AO$2:$BQ$1001,MATCH(ROWS($AH$2:AH831),$AH$2:$AH$1001,0),MATCH(COLUMNS($AO$1006:BD1006),$AO$1006:$BQ$1006,0)), HYPERLINK("#",""), HYPERLINK(CONCATENATE("#Metadata!", ADDRESS(INDEX($AJ$2:$AJ$1001,MATCH(ROWS($AH$2:AH831),$AH$2:$AH$1001,0),0), INDEX($AO$1004:$BQ$1004,1,MATCH(COLUMNS($AO$1006:BD1006),$AO$1006:$BQ$1006,0)))),"Fix")))</f>
        <v>#N/A</v>
      </c>
      <c r="R831" s="5" t="e">
        <f ca="1">IF(OR(INDEX($AI$2:$AI$1001,MATCH(ROWS($AH$2:AH831),$AH$2:$AH$1001,0),1)&gt;=100000,INDEX($AO$1005:$BQ$1005,1,MATCH(COLUMNS($AO$1006:BE1006),$AO$1006:$BQ$1006,0))&gt;=100000), " ",IF(INDEX($AO$2:$BQ$1001,MATCH(ROWS($AH$2:AH831),$AH$2:$AH$1001,0),MATCH(COLUMNS($AO$1006:BE1006),$AO$1006:$BQ$1006,0)), HYPERLINK("#",""), HYPERLINK(CONCATENATE("#Metadata!", ADDRESS(INDEX($AJ$2:$AJ$1001,MATCH(ROWS($AH$2:AH831),$AH$2:$AH$1001,0),0), INDEX($AO$1004:$BQ$1004,1,MATCH(COLUMNS($AO$1006:BE1006),$AO$1006:$BQ$1006,0)))),"Fix")))</f>
        <v>#N/A</v>
      </c>
      <c r="S831" s="5" t="e">
        <f ca="1">IF(OR(INDEX($AI$2:$AI$1001,MATCH(ROWS($AH$2:AH831),$AH$2:$AH$1001,0),1)&gt;=100000,INDEX($AO$1005:$BQ$1005,1,MATCH(COLUMNS($AO$1006:BF1006),$AO$1006:$BQ$1006,0))&gt;=100000), " ",IF(INDEX($AO$2:$BQ$1001,MATCH(ROWS($AH$2:AH831),$AH$2:$AH$1001,0),MATCH(COLUMNS($AO$1006:BF1006),$AO$1006:$BQ$1006,0)), HYPERLINK("#",""), HYPERLINK(CONCATENATE("#Metadata!", ADDRESS(INDEX($AJ$2:$AJ$1001,MATCH(ROWS($AH$2:AH831),$AH$2:$AH$1001,0),0), INDEX($AO$1004:$BQ$1004,1,MATCH(COLUMNS($AO$1006:BF1006),$AO$1006:$BQ$1006,0)))),"Fix")))</f>
        <v>#N/A</v>
      </c>
      <c r="T831" s="5" t="e">
        <f ca="1">IF(OR(INDEX($AI$2:$AI$1001,MATCH(ROWS($AH$2:AH831),$AH$2:$AH$1001,0),1)&gt;=100000,INDEX($AO$1005:$BQ$1005,1,MATCH(COLUMNS($AO$1006:BG1006),$AO$1006:$BQ$1006,0))&gt;=100000), " ",IF(INDEX($AO$2:$BQ$1001,MATCH(ROWS($AH$2:AH831),$AH$2:$AH$1001,0),MATCH(COLUMNS($AO$1006:BG1006),$AO$1006:$BQ$1006,0)), HYPERLINK("#",""), HYPERLINK(CONCATENATE("#Metadata!", ADDRESS(INDEX($AJ$2:$AJ$1001,MATCH(ROWS($AH$2:AH831),$AH$2:$AH$1001,0),0), INDEX($AO$1004:$BQ$1004,1,MATCH(COLUMNS($AO$1006:BG1006),$AO$1006:$BQ$1006,0)))),"Fix")))</f>
        <v>#N/A</v>
      </c>
      <c r="U831" s="5" t="e">
        <f ca="1">IF(OR(INDEX($AI$2:$AI$1001,MATCH(ROWS($AH$2:AH831),$AH$2:$AH$1001,0),1)&gt;=100000,INDEX($AO$1005:$BQ$1005,1,MATCH(COLUMNS($AO$1006:BH1006),$AO$1006:$BQ$1006,0))&gt;=100000), " ",IF(INDEX($AO$2:$BQ$1001,MATCH(ROWS($AH$2:AH831),$AH$2:$AH$1001,0),MATCH(COLUMNS($AO$1006:BH1006),$AO$1006:$BQ$1006,0)), HYPERLINK("#",""), HYPERLINK(CONCATENATE("#Metadata!", ADDRESS(INDEX($AJ$2:$AJ$1001,MATCH(ROWS($AH$2:AH831),$AH$2:$AH$1001,0),0), INDEX($AO$1004:$BQ$1004,1,MATCH(COLUMNS($AO$1006:BH1006),$AO$1006:$BQ$1006,0)))),"Fix")))</f>
        <v>#N/A</v>
      </c>
      <c r="V831" s="5" t="e">
        <f ca="1">IF(OR(INDEX($AI$2:$AI$1001,MATCH(ROWS($AH$2:AH831),$AH$2:$AH$1001,0),1)&gt;=100000,INDEX($AO$1005:$BQ$1005,1,MATCH(COLUMNS($AO$1006:BI1006),$AO$1006:$BQ$1006,0))&gt;=100000), " ",IF(INDEX($AO$2:$BQ$1001,MATCH(ROWS($AH$2:AH831),$AH$2:$AH$1001,0),MATCH(COLUMNS($AO$1006:BI1006),$AO$1006:$BQ$1006,0)), HYPERLINK("#",""), HYPERLINK(CONCATENATE("#Metadata!", ADDRESS(INDEX($AJ$2:$AJ$1001,MATCH(ROWS($AH$2:AH831),$AH$2:$AH$1001,0),0), INDEX($AO$1004:$BQ$1004,1,MATCH(COLUMNS($AO$1006:BI1006),$AO$1006:$BQ$1006,0)))),"Fix")))</f>
        <v>#N/A</v>
      </c>
      <c r="W831" s="5" t="e">
        <f ca="1">IF(OR(INDEX($AI$2:$AI$1001,MATCH(ROWS($AH$2:AH831),$AH$2:$AH$1001,0),1)&gt;=100000,INDEX($AO$1005:$BQ$1005,1,MATCH(COLUMNS($AO$1006:BJ1006),$AO$1006:$BQ$1006,0))&gt;=100000), " ",IF(INDEX($AO$2:$BQ$1001,MATCH(ROWS($AH$2:AH831),$AH$2:$AH$1001,0),MATCH(COLUMNS($AO$1006:BJ1006),$AO$1006:$BQ$1006,0)), HYPERLINK("#",""), HYPERLINK(CONCATENATE("#Metadata!", ADDRESS(INDEX($AJ$2:$AJ$1001,MATCH(ROWS($AH$2:AH831),$AH$2:$AH$1001,0),0), INDEX($AO$1004:$BQ$1004,1,MATCH(COLUMNS($AO$1006:BJ1006),$AO$1006:$BQ$1006,0)))),"Fix")))</f>
        <v>#N/A</v>
      </c>
      <c r="X831" s="5" t="e">
        <f ca="1">IF(OR(INDEX($AI$2:$AI$1001,MATCH(ROWS($AH$2:AH831),$AH$2:$AH$1001,0),1)&gt;=100000,INDEX($AO$1005:$BQ$1005,1,MATCH(COLUMNS($AO$1006:BK1006),$AO$1006:$BQ$1006,0))&gt;=100000), " ",IF(INDEX($AO$2:$BQ$1001,MATCH(ROWS($AH$2:AH831),$AH$2:$AH$1001,0),MATCH(COLUMNS($AO$1006:BK1006),$AO$1006:$BQ$1006,0)), HYPERLINK("#",""), HYPERLINK(CONCATENATE("#Metadata!", ADDRESS(INDEX($AJ$2:$AJ$1001,MATCH(ROWS($AH$2:AH831),$AH$2:$AH$1001,0),0), INDEX($AO$1004:$BQ$1004,1,MATCH(COLUMNS($AO$1006:BK1006),$AO$1006:$BQ$1006,0)))),"Fix")))</f>
        <v>#N/A</v>
      </c>
      <c r="Y831" s="5" t="e">
        <f ca="1">IF(OR(INDEX($AI$2:$AI$1001,MATCH(ROWS($AH$2:AH831),$AH$2:$AH$1001,0),1)&gt;=100000,INDEX($AO$1005:$BQ$1005,1,MATCH(COLUMNS($AO$1006:BL1006),$AO$1006:$BQ$1006,0))&gt;=100000), " ",IF(INDEX($AO$2:$BQ$1001,MATCH(ROWS($AH$2:AH831),$AH$2:$AH$1001,0),MATCH(COLUMNS($AO$1006:BL1006),$AO$1006:$BQ$1006,0)), HYPERLINK("#",""), HYPERLINK(CONCATENATE("#Metadata!", ADDRESS(INDEX($AJ$2:$AJ$1001,MATCH(ROWS($AH$2:AH831),$AH$2:$AH$1001,0),0), INDEX($AO$1004:$BQ$1004,1,MATCH(COLUMNS($AO$1006:BL1006),$AO$1006:$BQ$1006,0)))),"Fix")))</f>
        <v>#N/A</v>
      </c>
      <c r="Z831" s="5" t="e">
        <f ca="1">IF(OR(INDEX($AI$2:$AI$1001,MATCH(ROWS($AH$2:AH831),$AH$2:$AH$1001,0),1)&gt;=100000,INDEX($AO$1005:$BQ$1005,1,MATCH(COLUMNS($AO$1006:BM1006),$AO$1006:$BQ$1006,0))&gt;=100000), " ",IF(INDEX($AO$2:$BQ$1001,MATCH(ROWS($AH$2:AH831),$AH$2:$AH$1001,0),MATCH(COLUMNS($AO$1006:BM1006),$AO$1006:$BQ$1006,0)), HYPERLINK("#",""), HYPERLINK(CONCATENATE("#Metadata!", ADDRESS(INDEX($AJ$2:$AJ$1001,MATCH(ROWS($AH$2:AH831),$AH$2:$AH$1001,0),0), INDEX($AO$1004:$BQ$1004,1,MATCH(COLUMNS($AO$1006:BM1006),$AO$1006:$BQ$1006,0)))),"Fix")))</f>
        <v>#N/A</v>
      </c>
      <c r="AA831" s="5" t="e">
        <f ca="1">IF(OR(INDEX($AI$2:$AI$1001,MATCH(ROWS($AH$2:AH831),$AH$2:$AH$1001,0),1)&gt;=100000,INDEX($AO$1005:$BQ$1005,1,MATCH(COLUMNS($AO$1006:BN1006),$AO$1006:$BQ$1006,0))&gt;=100000), " ",IF(INDEX($AO$2:$BQ$1001,MATCH(ROWS($AH$2:AH831),$AH$2:$AH$1001,0),MATCH(COLUMNS($AO$1006:BN1006),$AO$1006:$BQ$1006,0)), HYPERLINK("#",""), HYPERLINK(CONCATENATE("#Metadata!", ADDRESS(INDEX($AJ$2:$AJ$1001,MATCH(ROWS($AH$2:AH831),$AH$2:$AH$1001,0),0), INDEX($AO$1004:$BQ$1004,1,MATCH(COLUMNS($AO$1006:BN1006),$AO$1006:$BQ$1006,0)))),"Fix")))</f>
        <v>#N/A</v>
      </c>
      <c r="AB831" s="5" t="e">
        <f ca="1">IF(OR(INDEX($AI$2:$AI$1001,MATCH(ROWS($AH$2:AH831),$AH$2:$AH$1001,0),1)&gt;=100000,INDEX($AO$1005:$BQ$1005,1,MATCH(COLUMNS($AO$1006:BO1006),$AO$1006:$BQ$1006,0))&gt;=100000), " ",IF(INDEX($AO$2:$BQ$1001,MATCH(ROWS($AH$2:AH831),$AH$2:$AH$1001,0),MATCH(COLUMNS($AO$1006:BO1006),$AO$1006:$BQ$1006,0)), HYPERLINK("#",""), HYPERLINK(CONCATENATE("#Metadata!", ADDRESS(INDEX($AJ$2:$AJ$1001,MATCH(ROWS($AH$2:AH831),$AH$2:$AH$1001,0),0), INDEX($AO$1004:$BQ$1004,1,MATCH(COLUMNS($AO$1006:BO1006),$AO$1006:$BQ$1006,0)))),"Fix")))</f>
        <v>#N/A</v>
      </c>
      <c r="AC831" s="5" t="e">
        <f ca="1">IF(OR(INDEX($AI$2:$AI$1001,MATCH(ROWS($AH$2:AH831),$AH$2:$AH$1001,0),1)&gt;=100000,INDEX($AO$1005:$BQ$1005,1,MATCH(COLUMNS($AO$1006:BP1006),$AO$1006:$BQ$1006,0))&gt;=100000), " ",IF(INDEX($AO$2:$BQ$1001,MATCH(ROWS($AH$2:AH831),$AH$2:$AH$1001,0),MATCH(COLUMNS($AO$1006:BP1006),$AO$1006:$BQ$1006,0)), HYPERLINK("#",""), HYPERLINK(CONCATENATE("#Metadata!", ADDRESS(INDEX($AJ$2:$AJ$1001,MATCH(ROWS($AH$2:AH831),$AH$2:$AH$1001,0),0), INDEX($AO$1004:$BQ$1004,1,MATCH(COLUMNS($AO$1006:BP1006),$AO$1006:$BQ$1006,0)))),"Fix")))</f>
        <v>#N/A</v>
      </c>
      <c r="AD831" s="5" t="e">
        <f ca="1">IF(OR(INDEX($AI$2:$AI$1001,MATCH(ROWS($AH$2:AH831),$AH$2:$AH$1001,0),1)&gt;=100000,INDEX($AO$1005:$BQ$1005,1,MATCH(COLUMNS($AO$1006:BQ1006),$AO$1006:$BQ$1006,0))&gt;=100000), " ",IF(INDEX($AO$2:$BQ$1001,MATCH(ROWS($AH$2:AH831),$AH$2:$AH$1001,0),MATCH(COLUMNS($AO$1006:BQ1006),$AO$1006:$BQ$1006,0)), HYPERLINK("#",""), HYPERLINK(CONCATENATE("#Metadata!", ADDRESS(INDEX($AJ$2:$AJ$1001,MATCH(ROWS($AH$2:AH831),$AH$2:$AH$1001,0),0), INDEX($AO$1004:$BQ$1004,1,MATCH(COLUMNS($AO$1006:BQ1006),$AO$1006:$BQ$1006,0)))),"Fix")))</f>
        <v>#REF!</v>
      </c>
      <c r="AH831">
        <f ca="1"/>
        <v>828</v>
      </c>
      <c r="AI831">
        <v>100831</v>
      </c>
      <c r="AJ831">
        <v>831</v>
      </c>
      <c r="AK831" t="b">
        <f t="shared" si="12"/>
        <v>1</v>
      </c>
      <c r="AL831" t="b">
        <f>COUNTBLANK(Metadata!B831:AD831)=COLUMNS(Metadata!B831:AD831)</f>
        <v>1</v>
      </c>
      <c r="AM831" t="str">
        <v/>
      </c>
      <c r="AO831" t="b">
        <f ca="1">AND(IF(Metadata!B831="",FALSE,TRUE),COUNTIF(Metadata!B:B, Metadata!B831) = 1,NOT(ISERROR(SUMPRODUCT(SEARCH(MID(Metadata!B831,ROW(INDIRECT("1:"&amp;LEN(Metadata!B831))), 1),"0123456789abcdefghijklmnopqrstuvwxyzABCDEFGHIJKLMNOPQRSTUVWXYZ.")))))</f>
        <v>0</v>
      </c>
      <c r="AP831" t="b">
        <f>IF(Metadata!C831="",FALSE,TRUE)</f>
        <v>0</v>
      </c>
      <c r="AQ831" t="b">
        <f>IF(Metadata!D831="",FALSE,TRUE)</f>
        <v>0</v>
      </c>
      <c r="AR831" t="b">
        <f ca="1">OR(AND(IF(Metadata!E831="",FALSE,TRUE),OR(EXACT(Metadata!E831,"not collected"),EXACT(Metadata!E831,"not provided"),EXACT(Metadata!E831,"restricted access"))),AND(IF(Metadata!E831="",FALSE,TRUE),AND(AND(IFERROR(INT(LEFT(Metadata!E831,4))&gt;1900,FALSE),IFERROR(INT(LEFT(Metadata!E831,4))&lt;=YEAR(NOW()),FALSE)), OR(MID(Metadata!E831,5,1)="", AND(AND(MID(Metadata!E831,5,1)="-",IFERROR(INT(MID(Metadata!E831,6,1))&gt;=0,FALSE),IFERROR(INT(MID(Metadata!E831,6,1))&lt;=1,FALSE),NOT(MID(Metadata!E831,7,1)=""),IFERROR(INT(MID(Metadata!E831,6,2))&gt;=1,FALSE),IFERROR(INT(MID(Metadata!E831,6,2))&lt;=12,FALSE)), OR(MID(Metadata!E831,8,1)="", AND(AND(MID(Metadata!E831,8,1)="-",IFERROR(INT(MID(Metadata!E831,9,1))&gt;=0,FALSE),IFERROR(INT(MID(Metadata!E831,9,1))&lt;=3,FALSE),NOT(MID(Metadata!E831,10,1)=""),IFERROR(INT(MID(Metadata!E831,9,2))&gt;=1,FALSE),IFERROR(INT(MID(Metadata!E831,9,2))&lt;=31,FALSE)), OR(MID(Metadata!E831,11,1)="", AND(AND(MID(Metadata!E831,11,1)=" ",IFERROR(INT(MID(Metadata!E831,12,1))&gt;=0,FALSE),IFERROR(INT(MID(Metadata!E831,12,1))&lt;=2,FALSE),NOT(MID(Metadata!E831,13,1)=""),IFERROR(INT(MID(Metadata!E831,12,2))&gt;=0,FALSE),IFERROR(INT(MID(Metadata!E831,12,2))&lt;=23,FALSE)), OR(MID(Metadata!E831,14,1)="", AND(AND(MID(Metadata!E831,14,1)=":",IFERROR(INT(MID(Metadata!E831,15,1))&gt;=0,FALSE),IFERROR(INT(MID(Metadata!E831,15,1))&lt;=5,FALSE),NOT(MID(Metadata!E831,16,1)=""),IFERROR(INT(MID(Metadata!E831,15,2))&gt;=0,FALSE),IFERROR(INT(MID(Metadata!E831,15,2))&lt;=59,FALSE)), OR(MID(Metadata!E831,17,1)="", AND(AND(MID(Metadata!E831,17,1)=":",IFERROR(INT(MID(Metadata!E831,18,1))&gt;=0,FALSE),IFERROR(INT(MID(Metadata!E831,18,1))&lt;=5,FALSE),NOT(MID(Metadata!E831,19,1)=""),IFERROR(INT(MID(Metadata!E831,18,2))&gt;=0,FALSE),IFERROR(INT(MID(Metadata!E831,18,2))&lt;=59,FALSE)), LEN(Metadata!E831)&lt;=19)))))))))))))</f>
        <v>0</v>
      </c>
      <c r="AS831" t="b">
        <f>IF(Metadata!F831="",FALSE,TRUE)</f>
        <v>0</v>
      </c>
      <c r="AT831" t="b">
        <f>OR(AND(IF(Metadata!G831="",FALSE,TRUE),OR(EXACT(Metadata!G831,"not collected"),EXACT(Metadata!G831,"not provided"))),AND(IF(Metadata!G831="",FALSE,TRUE),OR(EXACT(Metadata!G831,"TRUE"),EXACT(Metadata!G831,"FALSE"))))</f>
        <v>0</v>
      </c>
      <c r="AU831" t="b">
        <f>OR(AND(IF(Metadata!H831="",FALSE,TRUE),OR(EXACT(Metadata!H831,"not collected"),EXACT(Metadata!H831,"not provided"),EXACT(Metadata!H831,"restricted access"))),AND(IF(Metadata!H831="",FALSE,ISNUMBER(VALUE(Metadata!H831))),Metadata!H831&gt;=-413))</f>
        <v>0</v>
      </c>
      <c r="AV831" t="b">
        <f>AND(IF(Metadata!I831="",FALSE,TRUE),EXACT(Metadata!I831,"meters"))</f>
        <v>0</v>
      </c>
      <c r="AW831" t="b">
        <f>AND(IF(Metadata!J831="",FALSE,TRUE),EXACT(Metadata!J831,"free-living"))</f>
        <v>0</v>
      </c>
      <c r="AX831" t="b">
        <f>AND(IF(Metadata!K831="",FALSE,TRUE),OR(EXACT(Metadata!K831,"saline"),EXACT(Metadata!K831,"non-saline")))</f>
        <v>0</v>
      </c>
      <c r="AY831" t="b">
        <f>AND(IF(Metadata!L831="",FALSE,TRUE),OR(EXACT(Metadata!L831,"sub-surface (non-saline)"),EXACT(Metadata!L831,"surface (non-saline)"),EXACT(Metadata!L831,"water (non-saline)"),EXACT(Metadata!L831,"soil (non-saline)"),EXACT(Metadata!L831,"aerosol (non-saline)"),EXACT(Metadata!L831,"sediment (non-saline)"),EXACT(Metadata!L831,"surface (saline)"),EXACT(Metadata!L831,"water (saline)"),EXACT(Metadata!L831,"hypersaline (saline)"),EXACT(Metadata!L831,"aerosol (saline)"),EXACT(Metadata!L831,"sediment (saline)")))</f>
        <v>0</v>
      </c>
      <c r="AZ831" t="b">
        <f>IF(Metadata!M831="",FALSE,TRUE)</f>
        <v>0</v>
      </c>
      <c r="BA831" t="b">
        <f>IF(Metadata!N831="",FALSE,TRUE)</f>
        <v>0</v>
      </c>
      <c r="BB831" t="b">
        <f>IF(Metadata!O831="",FALSE,TRUE)</f>
        <v>0</v>
      </c>
      <c r="BC831" t="b">
        <f>AND(IF(Metadata!P831="",FALSE,TRUE),OR(EXACT(Metadata!P831,"air"),EXACT(Metadata!P831,"microbial mat/biofilm"),EXACT(Metadata!P831,"misc environment"),EXACT(Metadata!P831,"sediment"),EXACT(Metadata!P831,"soil"),EXACT(Metadata!P831,"wastewater/sludge"),EXACT(Metadata!P831,"water")))</f>
        <v>0</v>
      </c>
      <c r="BD831" t="b">
        <f>IF(Metadata!Q831="",FALSE,TRUE)</f>
        <v>0</v>
      </c>
      <c r="BE831" t="b">
        <f>IF(Metadata!R831="",FALSE,TRUE)</f>
        <v>0</v>
      </c>
      <c r="BF831" t="b">
        <f>OR(AND(IF(Metadata!S831="",FALSE,TRUE),OR(EXACT(Metadata!S831,"not collected"),EXACT(Metadata!S831,"not provided"),EXACT(Metadata!S831,"restricted access"))),AND(IF(Metadata!S831="",FALSE,ISNUMBER(VALUE(Metadata!S831))),Metadata!S831&gt;=-90,Metadata!S831&lt;=90))</f>
        <v>0</v>
      </c>
      <c r="BG831" t="b">
        <f>AND(IF(Metadata!T831="",FALSE,TRUE),EXACT(Metadata!T831,"Decimal degrees"))</f>
        <v>0</v>
      </c>
      <c r="BH831" t="b">
        <f>OR(AND(IF(Metadata!U831="",FALSE,TRUE),OR(EXACT(Metadata!U831,"not applicable"),EXACT(Metadata!U831,"not collected"))),IF(Metadata!U831="",FALSE,TRUE))</f>
        <v>0</v>
      </c>
      <c r="BI831" t="b">
        <f>OR(AND(IF(Metadata!V831="",FALSE,TRUE),OR(EXACT(Metadata!V831,"not collected"),EXACT(Metadata!V831,"not provided"),EXACT(Metadata!V831,"restricted access"))),AND(IF(Metadata!V831="",FALSE,ISNUMBER(VALUE(Metadata!V831))),Metadata!V831&gt;=-180,Metadata!V831&lt;=180))</f>
        <v>0</v>
      </c>
      <c r="BJ831" t="b">
        <f>AND(IF(Metadata!W831="",FALSE,TRUE),EXACT(Metadata!W831,"Decimal degrees"))</f>
        <v>0</v>
      </c>
      <c r="BK831" t="b">
        <f>IF(Metadata!X831="",FALSE,TRUE)</f>
        <v>0</v>
      </c>
      <c r="BL831" t="b">
        <f>OR(AND(IF(Metadata!Y831="",FALSE,TRUE),OR(EXACT(Metadata!Y831,"not collected"),EXACT(Metadata!Y831,"not provided"),EXACT(Metadata!Y831,"restricted access"))),AND(IF(Metadata!Y831="",FALSE,TRUE),OR(EXACT(Metadata!Y831,"TRUE"),EXACT(Metadata!Y831,"FALSE"))))</f>
        <v>0</v>
      </c>
      <c r="BM831" t="b">
        <f>OR(AND(IF(Metadata!Z831="",FALSE,TRUE),EXACT(Metadata!Z831,"not applicable")),AND(IF(Metadata!Z831="",FALSE,TRUE),OR(EXACT(Metadata!Z831,"beer"),EXACT(Metadata!Z831,"cheese"),EXACT(Metadata!Z831,"fresh water"),EXACT(Metadata!Z831,"marine sediment"),EXACT(Metadata!Z831,"sea water"),EXACT(Metadata!Z831,"sediment"),EXACT(Metadata!Z831,"soil"),EXACT(Metadata!Z831,"waste water"))))</f>
        <v>0</v>
      </c>
      <c r="BN831" t="b">
        <f>AND(IF(Metadata!AA831="",FALSE,TRUE),EXACT(Metadata!AA831,"metagenome"))</f>
        <v>0</v>
      </c>
      <c r="BO831" t="b">
        <f>AND(IF(Metadata!AB831="",FALSE,TRUE),EXACT(Metadata!AB831,"256318"))</f>
        <v>0</v>
      </c>
      <c r="BP831" t="b">
        <f>IF(Metadata!AC831="",FALSE,TRUE)</f>
        <v>0</v>
      </c>
      <c r="BQ831" t="b">
        <f>IF(Metadata!AD831="",FALSE,TRUE)</f>
        <v>0</v>
      </c>
    </row>
    <row r="832" spans="1:69" x14ac:dyDescent="0.2">
      <c r="A832" s="4" t="e">
        <f ca="1">IF(B832=" "," ",HYPERLINK(CONCATENATE("#metadata!",ADDRESS(INDEX($AJ$2:$AJ$1001,MATCH(ROWS($AH$2:AH832),$AH$2:$AH$1001,0),0),2)),INDEX($AM$2:$AM$1001,MATCH(ROWS($AH$2:AH832),$AH$2:$AH$1001,0),0)))</f>
        <v>#N/A</v>
      </c>
      <c r="B832" s="5" t="e">
        <f ca="1">IF(OR(INDEX($AI$2:$AI$1001,MATCH(ROWS($AH$2:AH832),$AH$2:$AH$1001,0),1)&gt;=100000,INDEX($AO$1005:$BQ$1005,1,MATCH(COLUMNS($AO$1006:AO1006),$AO$1006:$BQ$1006,0))&gt;=100000), " ",IF(INDEX($AO$2:$BQ$1001,MATCH(ROWS($AH$2:AH832),$AH$2:$AH$1001,0),MATCH(COLUMNS($AO$1006:AO1006),$AO$1006:$BQ$1006,0)), HYPERLINK("#",""), HYPERLINK(CONCATENATE("#Metadata!", ADDRESS(INDEX($AJ$2:$AJ$1001,MATCH(ROWS($AH$2:AH832),$AH$2:$AH$1001,0),0), INDEX($AO$1004:$BQ$1004,1,MATCH(COLUMNS($AO$1006:AO1006),$AO$1006:$BQ$1006,0)))),"Fix")))</f>
        <v>#N/A</v>
      </c>
      <c r="C832" s="5" t="e">
        <f ca="1">IF(OR(INDEX($AI$2:$AI$1001,MATCH(ROWS($AH$2:AH832),$AH$2:$AH$1001,0),1)&gt;=100000,INDEX($AO$1005:$BQ$1005,1,MATCH(COLUMNS($AO$1006:AP1006),$AO$1006:$BQ$1006,0))&gt;=100000), " ",IF(INDEX($AO$2:$BQ$1001,MATCH(ROWS($AH$2:AH832),$AH$2:$AH$1001,0),MATCH(COLUMNS($AO$1006:AP1006),$AO$1006:$BQ$1006,0)), HYPERLINK("#",""), HYPERLINK(CONCATENATE("#Metadata!", ADDRESS(INDEX($AJ$2:$AJ$1001,MATCH(ROWS($AH$2:AH832),$AH$2:$AH$1001,0),0), INDEX($AO$1004:$BQ$1004,1,MATCH(COLUMNS($AO$1006:AP1006),$AO$1006:$BQ$1006,0)))),"Fix")))</f>
        <v>#N/A</v>
      </c>
      <c r="D832" s="5" t="e">
        <f ca="1">IF(OR(INDEX($AI$2:$AI$1001,MATCH(ROWS($AH$2:AH832),$AH$2:$AH$1001,0),1)&gt;=100000,INDEX($AO$1005:$BQ$1005,1,MATCH(COLUMNS($AO$1006:AQ1006),$AO$1006:$BQ$1006,0))&gt;=100000), " ",IF(INDEX($AO$2:$BQ$1001,MATCH(ROWS($AH$2:AH832),$AH$2:$AH$1001,0),MATCH(COLUMNS($AO$1006:AQ1006),$AO$1006:$BQ$1006,0)), HYPERLINK("#",""), HYPERLINK(CONCATENATE("#Metadata!", ADDRESS(INDEX($AJ$2:$AJ$1001,MATCH(ROWS($AH$2:AH832),$AH$2:$AH$1001,0),0), INDEX($AO$1004:$BQ$1004,1,MATCH(COLUMNS($AO$1006:AQ1006),$AO$1006:$BQ$1006,0)))),"Fix")))</f>
        <v>#N/A</v>
      </c>
      <c r="E832" s="5" t="e">
        <f ca="1">IF(OR(INDEX($AI$2:$AI$1001,MATCH(ROWS($AH$2:AH832),$AH$2:$AH$1001,0),1)&gt;=100000,INDEX($AO$1005:$BQ$1005,1,MATCH(COLUMNS($AO$1006:AR1006),$AO$1006:$BQ$1006,0))&gt;=100000), " ",IF(INDEX($AO$2:$BQ$1001,MATCH(ROWS($AH$2:AH832),$AH$2:$AH$1001,0),MATCH(COLUMNS($AO$1006:AR1006),$AO$1006:$BQ$1006,0)), HYPERLINK("#",""), HYPERLINK(CONCATENATE("#Metadata!", ADDRESS(INDEX($AJ$2:$AJ$1001,MATCH(ROWS($AH$2:AH832),$AH$2:$AH$1001,0),0), INDEX($AO$1004:$BQ$1004,1,MATCH(COLUMNS($AO$1006:AR1006),$AO$1006:$BQ$1006,0)))),"Fix")))</f>
        <v>#N/A</v>
      </c>
      <c r="F832" s="5" t="e">
        <f ca="1">IF(OR(INDEX($AI$2:$AI$1001,MATCH(ROWS($AH$2:AH832),$AH$2:$AH$1001,0),1)&gt;=100000,INDEX($AO$1005:$BQ$1005,1,MATCH(COLUMNS($AO$1006:AS1006),$AO$1006:$BQ$1006,0))&gt;=100000), " ",IF(INDEX($AO$2:$BQ$1001,MATCH(ROWS($AH$2:AH832),$AH$2:$AH$1001,0),MATCH(COLUMNS($AO$1006:AS1006),$AO$1006:$BQ$1006,0)), HYPERLINK("#",""), HYPERLINK(CONCATENATE("#Metadata!", ADDRESS(INDEX($AJ$2:$AJ$1001,MATCH(ROWS($AH$2:AH832),$AH$2:$AH$1001,0),0), INDEX($AO$1004:$BQ$1004,1,MATCH(COLUMNS($AO$1006:AS1006),$AO$1006:$BQ$1006,0)))),"Fix")))</f>
        <v>#N/A</v>
      </c>
      <c r="G832" s="5" t="e">
        <f ca="1">IF(OR(INDEX($AI$2:$AI$1001,MATCH(ROWS($AH$2:AH832),$AH$2:$AH$1001,0),1)&gt;=100000,INDEX($AO$1005:$BQ$1005,1,MATCH(COLUMNS($AO$1006:AT1006),$AO$1006:$BQ$1006,0))&gt;=100000), " ",IF(INDEX($AO$2:$BQ$1001,MATCH(ROWS($AH$2:AH832),$AH$2:$AH$1001,0),MATCH(COLUMNS($AO$1006:AT1006),$AO$1006:$BQ$1006,0)), HYPERLINK("#",""), HYPERLINK(CONCATENATE("#Metadata!", ADDRESS(INDEX($AJ$2:$AJ$1001,MATCH(ROWS($AH$2:AH832),$AH$2:$AH$1001,0),0), INDEX($AO$1004:$BQ$1004,1,MATCH(COLUMNS($AO$1006:AT1006),$AO$1006:$BQ$1006,0)))),"Fix")))</f>
        <v>#N/A</v>
      </c>
      <c r="H832" s="5" t="e">
        <f ca="1">IF(OR(INDEX($AI$2:$AI$1001,MATCH(ROWS($AH$2:AH832),$AH$2:$AH$1001,0),1)&gt;=100000,INDEX($AO$1005:$BQ$1005,1,MATCH(COLUMNS($AO$1006:AU1006),$AO$1006:$BQ$1006,0))&gt;=100000), " ",IF(INDEX($AO$2:$BQ$1001,MATCH(ROWS($AH$2:AH832),$AH$2:$AH$1001,0),MATCH(COLUMNS($AO$1006:AU1006),$AO$1006:$BQ$1006,0)), HYPERLINK("#",""), HYPERLINK(CONCATENATE("#Metadata!", ADDRESS(INDEX($AJ$2:$AJ$1001,MATCH(ROWS($AH$2:AH832),$AH$2:$AH$1001,0),0), INDEX($AO$1004:$BQ$1004,1,MATCH(COLUMNS($AO$1006:AU1006),$AO$1006:$BQ$1006,0)))),"Fix")))</f>
        <v>#N/A</v>
      </c>
      <c r="I832" s="5" t="e">
        <f ca="1">IF(OR(INDEX($AI$2:$AI$1001,MATCH(ROWS($AH$2:AH832),$AH$2:$AH$1001,0),1)&gt;=100000,INDEX($AO$1005:$BQ$1005,1,MATCH(COLUMNS($AO$1006:AV1006),$AO$1006:$BQ$1006,0))&gt;=100000), " ",IF(INDEX($AO$2:$BQ$1001,MATCH(ROWS($AH$2:AH832),$AH$2:$AH$1001,0),MATCH(COLUMNS($AO$1006:AV1006),$AO$1006:$BQ$1006,0)), HYPERLINK("#",""), HYPERLINK(CONCATENATE("#Metadata!", ADDRESS(INDEX($AJ$2:$AJ$1001,MATCH(ROWS($AH$2:AH832),$AH$2:$AH$1001,0),0), INDEX($AO$1004:$BQ$1004,1,MATCH(COLUMNS($AO$1006:AV1006),$AO$1006:$BQ$1006,0)))),"Fix")))</f>
        <v>#N/A</v>
      </c>
      <c r="J832" s="5" t="e">
        <f ca="1">IF(OR(INDEX($AI$2:$AI$1001,MATCH(ROWS($AH$2:AH832),$AH$2:$AH$1001,0),1)&gt;=100000,INDEX($AO$1005:$BQ$1005,1,MATCH(COLUMNS($AO$1006:AW1006),$AO$1006:$BQ$1006,0))&gt;=100000), " ",IF(INDEX($AO$2:$BQ$1001,MATCH(ROWS($AH$2:AH832),$AH$2:$AH$1001,0),MATCH(COLUMNS($AO$1006:AW1006),$AO$1006:$BQ$1006,0)), HYPERLINK("#",""), HYPERLINK(CONCATENATE("#Metadata!", ADDRESS(INDEX($AJ$2:$AJ$1001,MATCH(ROWS($AH$2:AH832),$AH$2:$AH$1001,0),0), INDEX($AO$1004:$BQ$1004,1,MATCH(COLUMNS($AO$1006:AW1006),$AO$1006:$BQ$1006,0)))),"Fix")))</f>
        <v>#N/A</v>
      </c>
      <c r="K832" s="5" t="e">
        <f ca="1">IF(OR(INDEX($AI$2:$AI$1001,MATCH(ROWS($AH$2:AH832),$AH$2:$AH$1001,0),1)&gt;=100000,INDEX($AO$1005:$BQ$1005,1,MATCH(COLUMNS($AO$1006:AX1006),$AO$1006:$BQ$1006,0))&gt;=100000), " ",IF(INDEX($AO$2:$BQ$1001,MATCH(ROWS($AH$2:AH832),$AH$2:$AH$1001,0),MATCH(COLUMNS($AO$1006:AX1006),$AO$1006:$BQ$1006,0)), HYPERLINK("#",""), HYPERLINK(CONCATENATE("#Metadata!", ADDRESS(INDEX($AJ$2:$AJ$1001,MATCH(ROWS($AH$2:AH832),$AH$2:$AH$1001,0),0), INDEX($AO$1004:$BQ$1004,1,MATCH(COLUMNS($AO$1006:AX1006),$AO$1006:$BQ$1006,0)))),"Fix")))</f>
        <v>#N/A</v>
      </c>
      <c r="L832" s="5" t="e">
        <f ca="1">IF(OR(INDEX($AI$2:$AI$1001,MATCH(ROWS($AH$2:AH832),$AH$2:$AH$1001,0),1)&gt;=100000,INDEX($AO$1005:$BQ$1005,1,MATCH(COLUMNS($AO$1006:AY1006),$AO$1006:$BQ$1006,0))&gt;=100000), " ",IF(INDEX($AO$2:$BQ$1001,MATCH(ROWS($AH$2:AH832),$AH$2:$AH$1001,0),MATCH(COLUMNS($AO$1006:AY1006),$AO$1006:$BQ$1006,0)), HYPERLINK("#",""), HYPERLINK(CONCATENATE("#Metadata!", ADDRESS(INDEX($AJ$2:$AJ$1001,MATCH(ROWS($AH$2:AH832),$AH$2:$AH$1001,0),0), INDEX($AO$1004:$BQ$1004,1,MATCH(COLUMNS($AO$1006:AY1006),$AO$1006:$BQ$1006,0)))),"Fix")))</f>
        <v>#N/A</v>
      </c>
      <c r="M832" s="5" t="e">
        <f ca="1">IF(OR(INDEX($AI$2:$AI$1001,MATCH(ROWS($AH$2:AH832),$AH$2:$AH$1001,0),1)&gt;=100000,INDEX($AO$1005:$BQ$1005,1,MATCH(COLUMNS($AO$1006:AZ1006),$AO$1006:$BQ$1006,0))&gt;=100000), " ",IF(INDEX($AO$2:$BQ$1001,MATCH(ROWS($AH$2:AH832),$AH$2:$AH$1001,0),MATCH(COLUMNS($AO$1006:AZ1006),$AO$1006:$BQ$1006,0)), HYPERLINK("#",""), HYPERLINK(CONCATENATE("#Metadata!", ADDRESS(INDEX($AJ$2:$AJ$1001,MATCH(ROWS($AH$2:AH832),$AH$2:$AH$1001,0),0), INDEX($AO$1004:$BQ$1004,1,MATCH(COLUMNS($AO$1006:AZ1006),$AO$1006:$BQ$1006,0)))),"Fix")))</f>
        <v>#N/A</v>
      </c>
      <c r="N832" s="5" t="e">
        <f ca="1">IF(OR(INDEX($AI$2:$AI$1001,MATCH(ROWS($AH$2:AH832),$AH$2:$AH$1001,0),1)&gt;=100000,INDEX($AO$1005:$BQ$1005,1,MATCH(COLUMNS($AO$1006:BA1006),$AO$1006:$BQ$1006,0))&gt;=100000), " ",IF(INDEX($AO$2:$BQ$1001,MATCH(ROWS($AH$2:AH832),$AH$2:$AH$1001,0),MATCH(COLUMNS($AO$1006:BA1006),$AO$1006:$BQ$1006,0)), HYPERLINK("#",""), HYPERLINK(CONCATENATE("#Metadata!", ADDRESS(INDEX($AJ$2:$AJ$1001,MATCH(ROWS($AH$2:AH832),$AH$2:$AH$1001,0),0), INDEX($AO$1004:$BQ$1004,1,MATCH(COLUMNS($AO$1006:BA1006),$AO$1006:$BQ$1006,0)))),"Fix")))</f>
        <v>#N/A</v>
      </c>
      <c r="O832" s="5" t="e">
        <f ca="1">IF(OR(INDEX($AI$2:$AI$1001,MATCH(ROWS($AH$2:AH832),$AH$2:$AH$1001,0),1)&gt;=100000,INDEX($AO$1005:$BQ$1005,1,MATCH(COLUMNS($AO$1006:BB1006),$AO$1006:$BQ$1006,0))&gt;=100000), " ",IF(INDEX($AO$2:$BQ$1001,MATCH(ROWS($AH$2:AH832),$AH$2:$AH$1001,0),MATCH(COLUMNS($AO$1006:BB1006),$AO$1006:$BQ$1006,0)), HYPERLINK("#",""), HYPERLINK(CONCATENATE("#Metadata!", ADDRESS(INDEX($AJ$2:$AJ$1001,MATCH(ROWS($AH$2:AH832),$AH$2:$AH$1001,0),0), INDEX($AO$1004:$BQ$1004,1,MATCH(COLUMNS($AO$1006:BB1006),$AO$1006:$BQ$1006,0)))),"Fix")))</f>
        <v>#N/A</v>
      </c>
      <c r="P832" s="5" t="e">
        <f ca="1">IF(OR(INDEX($AI$2:$AI$1001,MATCH(ROWS($AH$2:AH832),$AH$2:$AH$1001,0),1)&gt;=100000,INDEX($AO$1005:$BQ$1005,1,MATCH(COLUMNS($AO$1006:BC1006),$AO$1006:$BQ$1006,0))&gt;=100000), " ",IF(INDEX($AO$2:$BQ$1001,MATCH(ROWS($AH$2:AH832),$AH$2:$AH$1001,0),MATCH(COLUMNS($AO$1006:BC1006),$AO$1006:$BQ$1006,0)), HYPERLINK("#",""), HYPERLINK(CONCATENATE("#Metadata!", ADDRESS(INDEX($AJ$2:$AJ$1001,MATCH(ROWS($AH$2:AH832),$AH$2:$AH$1001,0),0), INDEX($AO$1004:$BQ$1004,1,MATCH(COLUMNS($AO$1006:BC1006),$AO$1006:$BQ$1006,0)))),"Fix")))</f>
        <v>#N/A</v>
      </c>
      <c r="Q832" s="5" t="e">
        <f ca="1">IF(OR(INDEX($AI$2:$AI$1001,MATCH(ROWS($AH$2:AH832),$AH$2:$AH$1001,0),1)&gt;=100000,INDEX($AO$1005:$BQ$1005,1,MATCH(COLUMNS($AO$1006:BD1006),$AO$1006:$BQ$1006,0))&gt;=100000), " ",IF(INDEX($AO$2:$BQ$1001,MATCH(ROWS($AH$2:AH832),$AH$2:$AH$1001,0),MATCH(COLUMNS($AO$1006:BD1006),$AO$1006:$BQ$1006,0)), HYPERLINK("#",""), HYPERLINK(CONCATENATE("#Metadata!", ADDRESS(INDEX($AJ$2:$AJ$1001,MATCH(ROWS($AH$2:AH832),$AH$2:$AH$1001,0),0), INDEX($AO$1004:$BQ$1004,1,MATCH(COLUMNS($AO$1006:BD1006),$AO$1006:$BQ$1006,0)))),"Fix")))</f>
        <v>#N/A</v>
      </c>
      <c r="R832" s="5" t="e">
        <f ca="1">IF(OR(INDEX($AI$2:$AI$1001,MATCH(ROWS($AH$2:AH832),$AH$2:$AH$1001,0),1)&gt;=100000,INDEX($AO$1005:$BQ$1005,1,MATCH(COLUMNS($AO$1006:BE1006),$AO$1006:$BQ$1006,0))&gt;=100000), " ",IF(INDEX($AO$2:$BQ$1001,MATCH(ROWS($AH$2:AH832),$AH$2:$AH$1001,0),MATCH(COLUMNS($AO$1006:BE1006),$AO$1006:$BQ$1006,0)), HYPERLINK("#",""), HYPERLINK(CONCATENATE("#Metadata!", ADDRESS(INDEX($AJ$2:$AJ$1001,MATCH(ROWS($AH$2:AH832),$AH$2:$AH$1001,0),0), INDEX($AO$1004:$BQ$1004,1,MATCH(COLUMNS($AO$1006:BE1006),$AO$1006:$BQ$1006,0)))),"Fix")))</f>
        <v>#N/A</v>
      </c>
      <c r="S832" s="5" t="e">
        <f ca="1">IF(OR(INDEX($AI$2:$AI$1001,MATCH(ROWS($AH$2:AH832),$AH$2:$AH$1001,0),1)&gt;=100000,INDEX($AO$1005:$BQ$1005,1,MATCH(COLUMNS($AO$1006:BF1006),$AO$1006:$BQ$1006,0))&gt;=100000), " ",IF(INDEX($AO$2:$BQ$1001,MATCH(ROWS($AH$2:AH832),$AH$2:$AH$1001,0),MATCH(COLUMNS($AO$1006:BF1006),$AO$1006:$BQ$1006,0)), HYPERLINK("#",""), HYPERLINK(CONCATENATE("#Metadata!", ADDRESS(INDEX($AJ$2:$AJ$1001,MATCH(ROWS($AH$2:AH832),$AH$2:$AH$1001,0),0), INDEX($AO$1004:$BQ$1004,1,MATCH(COLUMNS($AO$1006:BF1006),$AO$1006:$BQ$1006,0)))),"Fix")))</f>
        <v>#N/A</v>
      </c>
      <c r="T832" s="5" t="e">
        <f ca="1">IF(OR(INDEX($AI$2:$AI$1001,MATCH(ROWS($AH$2:AH832),$AH$2:$AH$1001,0),1)&gt;=100000,INDEX($AO$1005:$BQ$1005,1,MATCH(COLUMNS($AO$1006:BG1006),$AO$1006:$BQ$1006,0))&gt;=100000), " ",IF(INDEX($AO$2:$BQ$1001,MATCH(ROWS($AH$2:AH832),$AH$2:$AH$1001,0),MATCH(COLUMNS($AO$1006:BG1006),$AO$1006:$BQ$1006,0)), HYPERLINK("#",""), HYPERLINK(CONCATENATE("#Metadata!", ADDRESS(INDEX($AJ$2:$AJ$1001,MATCH(ROWS($AH$2:AH832),$AH$2:$AH$1001,0),0), INDEX($AO$1004:$BQ$1004,1,MATCH(COLUMNS($AO$1006:BG1006),$AO$1006:$BQ$1006,0)))),"Fix")))</f>
        <v>#N/A</v>
      </c>
      <c r="U832" s="5" t="e">
        <f ca="1">IF(OR(INDEX($AI$2:$AI$1001,MATCH(ROWS($AH$2:AH832),$AH$2:$AH$1001,0),1)&gt;=100000,INDEX($AO$1005:$BQ$1005,1,MATCH(COLUMNS($AO$1006:BH1006),$AO$1006:$BQ$1006,0))&gt;=100000), " ",IF(INDEX($AO$2:$BQ$1001,MATCH(ROWS($AH$2:AH832),$AH$2:$AH$1001,0),MATCH(COLUMNS($AO$1006:BH1006),$AO$1006:$BQ$1006,0)), HYPERLINK("#",""), HYPERLINK(CONCATENATE("#Metadata!", ADDRESS(INDEX($AJ$2:$AJ$1001,MATCH(ROWS($AH$2:AH832),$AH$2:$AH$1001,0),0), INDEX($AO$1004:$BQ$1004,1,MATCH(COLUMNS($AO$1006:BH1006),$AO$1006:$BQ$1006,0)))),"Fix")))</f>
        <v>#N/A</v>
      </c>
      <c r="V832" s="5" t="e">
        <f ca="1">IF(OR(INDEX($AI$2:$AI$1001,MATCH(ROWS($AH$2:AH832),$AH$2:$AH$1001,0),1)&gt;=100000,INDEX($AO$1005:$BQ$1005,1,MATCH(COLUMNS($AO$1006:BI1006),$AO$1006:$BQ$1006,0))&gt;=100000), " ",IF(INDEX($AO$2:$BQ$1001,MATCH(ROWS($AH$2:AH832),$AH$2:$AH$1001,0),MATCH(COLUMNS($AO$1006:BI1006),$AO$1006:$BQ$1006,0)), HYPERLINK("#",""), HYPERLINK(CONCATENATE("#Metadata!", ADDRESS(INDEX($AJ$2:$AJ$1001,MATCH(ROWS($AH$2:AH832),$AH$2:$AH$1001,0),0), INDEX($AO$1004:$BQ$1004,1,MATCH(COLUMNS($AO$1006:BI1006),$AO$1006:$BQ$1006,0)))),"Fix")))</f>
        <v>#N/A</v>
      </c>
      <c r="W832" s="5" t="e">
        <f ca="1">IF(OR(INDEX($AI$2:$AI$1001,MATCH(ROWS($AH$2:AH832),$AH$2:$AH$1001,0),1)&gt;=100000,INDEX($AO$1005:$BQ$1005,1,MATCH(COLUMNS($AO$1006:BJ1006),$AO$1006:$BQ$1006,0))&gt;=100000), " ",IF(INDEX($AO$2:$BQ$1001,MATCH(ROWS($AH$2:AH832),$AH$2:$AH$1001,0),MATCH(COLUMNS($AO$1006:BJ1006),$AO$1006:$BQ$1006,0)), HYPERLINK("#",""), HYPERLINK(CONCATENATE("#Metadata!", ADDRESS(INDEX($AJ$2:$AJ$1001,MATCH(ROWS($AH$2:AH832),$AH$2:$AH$1001,0),0), INDEX($AO$1004:$BQ$1004,1,MATCH(COLUMNS($AO$1006:BJ1006),$AO$1006:$BQ$1006,0)))),"Fix")))</f>
        <v>#N/A</v>
      </c>
      <c r="X832" s="5" t="e">
        <f ca="1">IF(OR(INDEX($AI$2:$AI$1001,MATCH(ROWS($AH$2:AH832),$AH$2:$AH$1001,0),1)&gt;=100000,INDEX($AO$1005:$BQ$1005,1,MATCH(COLUMNS($AO$1006:BK1006),$AO$1006:$BQ$1006,0))&gt;=100000), " ",IF(INDEX($AO$2:$BQ$1001,MATCH(ROWS($AH$2:AH832),$AH$2:$AH$1001,0),MATCH(COLUMNS($AO$1006:BK1006),$AO$1006:$BQ$1006,0)), HYPERLINK("#",""), HYPERLINK(CONCATENATE("#Metadata!", ADDRESS(INDEX($AJ$2:$AJ$1001,MATCH(ROWS($AH$2:AH832),$AH$2:$AH$1001,0),0), INDEX($AO$1004:$BQ$1004,1,MATCH(COLUMNS($AO$1006:BK1006),$AO$1006:$BQ$1006,0)))),"Fix")))</f>
        <v>#N/A</v>
      </c>
      <c r="Y832" s="5" t="e">
        <f ca="1">IF(OR(INDEX($AI$2:$AI$1001,MATCH(ROWS($AH$2:AH832),$AH$2:$AH$1001,0),1)&gt;=100000,INDEX($AO$1005:$BQ$1005,1,MATCH(COLUMNS($AO$1006:BL1006),$AO$1006:$BQ$1006,0))&gt;=100000), " ",IF(INDEX($AO$2:$BQ$1001,MATCH(ROWS($AH$2:AH832),$AH$2:$AH$1001,0),MATCH(COLUMNS($AO$1006:BL1006),$AO$1006:$BQ$1006,0)), HYPERLINK("#",""), HYPERLINK(CONCATENATE("#Metadata!", ADDRESS(INDEX($AJ$2:$AJ$1001,MATCH(ROWS($AH$2:AH832),$AH$2:$AH$1001,0),0), INDEX($AO$1004:$BQ$1004,1,MATCH(COLUMNS($AO$1006:BL1006),$AO$1006:$BQ$1006,0)))),"Fix")))</f>
        <v>#N/A</v>
      </c>
      <c r="Z832" s="5" t="e">
        <f ca="1">IF(OR(INDEX($AI$2:$AI$1001,MATCH(ROWS($AH$2:AH832),$AH$2:$AH$1001,0),1)&gt;=100000,INDEX($AO$1005:$BQ$1005,1,MATCH(COLUMNS($AO$1006:BM1006),$AO$1006:$BQ$1006,0))&gt;=100000), " ",IF(INDEX($AO$2:$BQ$1001,MATCH(ROWS($AH$2:AH832),$AH$2:$AH$1001,0),MATCH(COLUMNS($AO$1006:BM1006),$AO$1006:$BQ$1006,0)), HYPERLINK("#",""), HYPERLINK(CONCATENATE("#Metadata!", ADDRESS(INDEX($AJ$2:$AJ$1001,MATCH(ROWS($AH$2:AH832),$AH$2:$AH$1001,0),0), INDEX($AO$1004:$BQ$1004,1,MATCH(COLUMNS($AO$1006:BM1006),$AO$1006:$BQ$1006,0)))),"Fix")))</f>
        <v>#N/A</v>
      </c>
      <c r="AA832" s="5" t="e">
        <f ca="1">IF(OR(INDEX($AI$2:$AI$1001,MATCH(ROWS($AH$2:AH832),$AH$2:$AH$1001,0),1)&gt;=100000,INDEX($AO$1005:$BQ$1005,1,MATCH(COLUMNS($AO$1006:BN1006),$AO$1006:$BQ$1006,0))&gt;=100000), " ",IF(INDEX($AO$2:$BQ$1001,MATCH(ROWS($AH$2:AH832),$AH$2:$AH$1001,0),MATCH(COLUMNS($AO$1006:BN1006),$AO$1006:$BQ$1006,0)), HYPERLINK("#",""), HYPERLINK(CONCATENATE("#Metadata!", ADDRESS(INDEX($AJ$2:$AJ$1001,MATCH(ROWS($AH$2:AH832),$AH$2:$AH$1001,0),0), INDEX($AO$1004:$BQ$1004,1,MATCH(COLUMNS($AO$1006:BN1006),$AO$1006:$BQ$1006,0)))),"Fix")))</f>
        <v>#N/A</v>
      </c>
      <c r="AB832" s="5" t="e">
        <f ca="1">IF(OR(INDEX($AI$2:$AI$1001,MATCH(ROWS($AH$2:AH832),$AH$2:$AH$1001,0),1)&gt;=100000,INDEX($AO$1005:$BQ$1005,1,MATCH(COLUMNS($AO$1006:BO1006),$AO$1006:$BQ$1006,0))&gt;=100000), " ",IF(INDEX($AO$2:$BQ$1001,MATCH(ROWS($AH$2:AH832),$AH$2:$AH$1001,0),MATCH(COLUMNS($AO$1006:BO1006),$AO$1006:$BQ$1006,0)), HYPERLINK("#",""), HYPERLINK(CONCATENATE("#Metadata!", ADDRESS(INDEX($AJ$2:$AJ$1001,MATCH(ROWS($AH$2:AH832),$AH$2:$AH$1001,0),0), INDEX($AO$1004:$BQ$1004,1,MATCH(COLUMNS($AO$1006:BO1006),$AO$1006:$BQ$1006,0)))),"Fix")))</f>
        <v>#N/A</v>
      </c>
      <c r="AC832" s="5" t="e">
        <f ca="1">IF(OR(INDEX($AI$2:$AI$1001,MATCH(ROWS($AH$2:AH832),$AH$2:$AH$1001,0),1)&gt;=100000,INDEX($AO$1005:$BQ$1005,1,MATCH(COLUMNS($AO$1006:BP1006),$AO$1006:$BQ$1006,0))&gt;=100000), " ",IF(INDEX($AO$2:$BQ$1001,MATCH(ROWS($AH$2:AH832),$AH$2:$AH$1001,0),MATCH(COLUMNS($AO$1006:BP1006),$AO$1006:$BQ$1006,0)), HYPERLINK("#",""), HYPERLINK(CONCATENATE("#Metadata!", ADDRESS(INDEX($AJ$2:$AJ$1001,MATCH(ROWS($AH$2:AH832),$AH$2:$AH$1001,0),0), INDEX($AO$1004:$BQ$1004,1,MATCH(COLUMNS($AO$1006:BP1006),$AO$1006:$BQ$1006,0)))),"Fix")))</f>
        <v>#N/A</v>
      </c>
      <c r="AD832" s="5" t="e">
        <f ca="1">IF(OR(INDEX($AI$2:$AI$1001,MATCH(ROWS($AH$2:AH832),$AH$2:$AH$1001,0),1)&gt;=100000,INDEX($AO$1005:$BQ$1005,1,MATCH(COLUMNS($AO$1006:BQ1006),$AO$1006:$BQ$1006,0))&gt;=100000), " ",IF(INDEX($AO$2:$BQ$1001,MATCH(ROWS($AH$2:AH832),$AH$2:$AH$1001,0),MATCH(COLUMNS($AO$1006:BQ1006),$AO$1006:$BQ$1006,0)), HYPERLINK("#",""), HYPERLINK(CONCATENATE("#Metadata!", ADDRESS(INDEX($AJ$2:$AJ$1001,MATCH(ROWS($AH$2:AH832),$AH$2:$AH$1001,0),0), INDEX($AO$1004:$BQ$1004,1,MATCH(COLUMNS($AO$1006:BQ1006),$AO$1006:$BQ$1006,0)))),"Fix")))</f>
        <v>#REF!</v>
      </c>
      <c r="AH832">
        <f ca="1"/>
        <v>829</v>
      </c>
      <c r="AI832">
        <v>100832</v>
      </c>
      <c r="AJ832">
        <v>832</v>
      </c>
      <c r="AK832" t="b">
        <f t="shared" si="12"/>
        <v>1</v>
      </c>
      <c r="AL832" t="b">
        <f>COUNTBLANK(Metadata!B832:AD832)=COLUMNS(Metadata!B832:AD832)</f>
        <v>1</v>
      </c>
      <c r="AM832" t="str">
        <v/>
      </c>
      <c r="AO832" t="b">
        <f ca="1">AND(IF(Metadata!B832="",FALSE,TRUE),COUNTIF(Metadata!B:B, Metadata!B832) = 1,NOT(ISERROR(SUMPRODUCT(SEARCH(MID(Metadata!B832,ROW(INDIRECT("1:"&amp;LEN(Metadata!B832))), 1),"0123456789abcdefghijklmnopqrstuvwxyzABCDEFGHIJKLMNOPQRSTUVWXYZ.")))))</f>
        <v>0</v>
      </c>
      <c r="AP832" t="b">
        <f>IF(Metadata!C832="",FALSE,TRUE)</f>
        <v>0</v>
      </c>
      <c r="AQ832" t="b">
        <f>IF(Metadata!D832="",FALSE,TRUE)</f>
        <v>0</v>
      </c>
      <c r="AR832" t="b">
        <f ca="1">OR(AND(IF(Metadata!E832="",FALSE,TRUE),OR(EXACT(Metadata!E832,"not collected"),EXACT(Metadata!E832,"not provided"),EXACT(Metadata!E832,"restricted access"))),AND(IF(Metadata!E832="",FALSE,TRUE),AND(AND(IFERROR(INT(LEFT(Metadata!E832,4))&gt;1900,FALSE),IFERROR(INT(LEFT(Metadata!E832,4))&lt;=YEAR(NOW()),FALSE)), OR(MID(Metadata!E832,5,1)="", AND(AND(MID(Metadata!E832,5,1)="-",IFERROR(INT(MID(Metadata!E832,6,1))&gt;=0,FALSE),IFERROR(INT(MID(Metadata!E832,6,1))&lt;=1,FALSE),NOT(MID(Metadata!E832,7,1)=""),IFERROR(INT(MID(Metadata!E832,6,2))&gt;=1,FALSE),IFERROR(INT(MID(Metadata!E832,6,2))&lt;=12,FALSE)), OR(MID(Metadata!E832,8,1)="", AND(AND(MID(Metadata!E832,8,1)="-",IFERROR(INT(MID(Metadata!E832,9,1))&gt;=0,FALSE),IFERROR(INT(MID(Metadata!E832,9,1))&lt;=3,FALSE),NOT(MID(Metadata!E832,10,1)=""),IFERROR(INT(MID(Metadata!E832,9,2))&gt;=1,FALSE),IFERROR(INT(MID(Metadata!E832,9,2))&lt;=31,FALSE)), OR(MID(Metadata!E832,11,1)="", AND(AND(MID(Metadata!E832,11,1)=" ",IFERROR(INT(MID(Metadata!E832,12,1))&gt;=0,FALSE),IFERROR(INT(MID(Metadata!E832,12,1))&lt;=2,FALSE),NOT(MID(Metadata!E832,13,1)=""),IFERROR(INT(MID(Metadata!E832,12,2))&gt;=0,FALSE),IFERROR(INT(MID(Metadata!E832,12,2))&lt;=23,FALSE)), OR(MID(Metadata!E832,14,1)="", AND(AND(MID(Metadata!E832,14,1)=":",IFERROR(INT(MID(Metadata!E832,15,1))&gt;=0,FALSE),IFERROR(INT(MID(Metadata!E832,15,1))&lt;=5,FALSE),NOT(MID(Metadata!E832,16,1)=""),IFERROR(INT(MID(Metadata!E832,15,2))&gt;=0,FALSE),IFERROR(INT(MID(Metadata!E832,15,2))&lt;=59,FALSE)), OR(MID(Metadata!E832,17,1)="", AND(AND(MID(Metadata!E832,17,1)=":",IFERROR(INT(MID(Metadata!E832,18,1))&gt;=0,FALSE),IFERROR(INT(MID(Metadata!E832,18,1))&lt;=5,FALSE),NOT(MID(Metadata!E832,19,1)=""),IFERROR(INT(MID(Metadata!E832,18,2))&gt;=0,FALSE),IFERROR(INT(MID(Metadata!E832,18,2))&lt;=59,FALSE)), LEN(Metadata!E832)&lt;=19)))))))))))))</f>
        <v>0</v>
      </c>
      <c r="AS832" t="b">
        <f>IF(Metadata!F832="",FALSE,TRUE)</f>
        <v>0</v>
      </c>
      <c r="AT832" t="b">
        <f>OR(AND(IF(Metadata!G832="",FALSE,TRUE),OR(EXACT(Metadata!G832,"not collected"),EXACT(Metadata!G832,"not provided"))),AND(IF(Metadata!G832="",FALSE,TRUE),OR(EXACT(Metadata!G832,"TRUE"),EXACT(Metadata!G832,"FALSE"))))</f>
        <v>0</v>
      </c>
      <c r="AU832" t="b">
        <f>OR(AND(IF(Metadata!H832="",FALSE,TRUE),OR(EXACT(Metadata!H832,"not collected"),EXACT(Metadata!H832,"not provided"),EXACT(Metadata!H832,"restricted access"))),AND(IF(Metadata!H832="",FALSE,ISNUMBER(VALUE(Metadata!H832))),Metadata!H832&gt;=-413))</f>
        <v>0</v>
      </c>
      <c r="AV832" t="b">
        <f>AND(IF(Metadata!I832="",FALSE,TRUE),EXACT(Metadata!I832,"meters"))</f>
        <v>0</v>
      </c>
      <c r="AW832" t="b">
        <f>AND(IF(Metadata!J832="",FALSE,TRUE),EXACT(Metadata!J832,"free-living"))</f>
        <v>0</v>
      </c>
      <c r="AX832" t="b">
        <f>AND(IF(Metadata!K832="",FALSE,TRUE),OR(EXACT(Metadata!K832,"saline"),EXACT(Metadata!K832,"non-saline")))</f>
        <v>0</v>
      </c>
      <c r="AY832" t="b">
        <f>AND(IF(Metadata!L832="",FALSE,TRUE),OR(EXACT(Metadata!L832,"sub-surface (non-saline)"),EXACT(Metadata!L832,"surface (non-saline)"),EXACT(Metadata!L832,"water (non-saline)"),EXACT(Metadata!L832,"soil (non-saline)"),EXACT(Metadata!L832,"aerosol (non-saline)"),EXACT(Metadata!L832,"sediment (non-saline)"),EXACT(Metadata!L832,"surface (saline)"),EXACT(Metadata!L832,"water (saline)"),EXACT(Metadata!L832,"hypersaline (saline)"),EXACT(Metadata!L832,"aerosol (saline)"),EXACT(Metadata!L832,"sediment (saline)")))</f>
        <v>0</v>
      </c>
      <c r="AZ832" t="b">
        <f>IF(Metadata!M832="",FALSE,TRUE)</f>
        <v>0</v>
      </c>
      <c r="BA832" t="b">
        <f>IF(Metadata!N832="",FALSE,TRUE)</f>
        <v>0</v>
      </c>
      <c r="BB832" t="b">
        <f>IF(Metadata!O832="",FALSE,TRUE)</f>
        <v>0</v>
      </c>
      <c r="BC832" t="b">
        <f>AND(IF(Metadata!P832="",FALSE,TRUE),OR(EXACT(Metadata!P832,"air"),EXACT(Metadata!P832,"microbial mat/biofilm"),EXACT(Metadata!P832,"misc environment"),EXACT(Metadata!P832,"sediment"),EXACT(Metadata!P832,"soil"),EXACT(Metadata!P832,"wastewater/sludge"),EXACT(Metadata!P832,"water")))</f>
        <v>0</v>
      </c>
      <c r="BD832" t="b">
        <f>IF(Metadata!Q832="",FALSE,TRUE)</f>
        <v>0</v>
      </c>
      <c r="BE832" t="b">
        <f>IF(Metadata!R832="",FALSE,TRUE)</f>
        <v>0</v>
      </c>
      <c r="BF832" t="b">
        <f>OR(AND(IF(Metadata!S832="",FALSE,TRUE),OR(EXACT(Metadata!S832,"not collected"),EXACT(Metadata!S832,"not provided"),EXACT(Metadata!S832,"restricted access"))),AND(IF(Metadata!S832="",FALSE,ISNUMBER(VALUE(Metadata!S832))),Metadata!S832&gt;=-90,Metadata!S832&lt;=90))</f>
        <v>0</v>
      </c>
      <c r="BG832" t="b">
        <f>AND(IF(Metadata!T832="",FALSE,TRUE),EXACT(Metadata!T832,"Decimal degrees"))</f>
        <v>0</v>
      </c>
      <c r="BH832" t="b">
        <f>OR(AND(IF(Metadata!U832="",FALSE,TRUE),OR(EXACT(Metadata!U832,"not applicable"),EXACT(Metadata!U832,"not collected"))),IF(Metadata!U832="",FALSE,TRUE))</f>
        <v>0</v>
      </c>
      <c r="BI832" t="b">
        <f>OR(AND(IF(Metadata!V832="",FALSE,TRUE),OR(EXACT(Metadata!V832,"not collected"),EXACT(Metadata!V832,"not provided"),EXACT(Metadata!V832,"restricted access"))),AND(IF(Metadata!V832="",FALSE,ISNUMBER(VALUE(Metadata!V832))),Metadata!V832&gt;=-180,Metadata!V832&lt;=180))</f>
        <v>0</v>
      </c>
      <c r="BJ832" t="b">
        <f>AND(IF(Metadata!W832="",FALSE,TRUE),EXACT(Metadata!W832,"Decimal degrees"))</f>
        <v>0</v>
      </c>
      <c r="BK832" t="b">
        <f>IF(Metadata!X832="",FALSE,TRUE)</f>
        <v>0</v>
      </c>
      <c r="BL832" t="b">
        <f>OR(AND(IF(Metadata!Y832="",FALSE,TRUE),OR(EXACT(Metadata!Y832,"not collected"),EXACT(Metadata!Y832,"not provided"),EXACT(Metadata!Y832,"restricted access"))),AND(IF(Metadata!Y832="",FALSE,TRUE),OR(EXACT(Metadata!Y832,"TRUE"),EXACT(Metadata!Y832,"FALSE"))))</f>
        <v>0</v>
      </c>
      <c r="BM832" t="b">
        <f>OR(AND(IF(Metadata!Z832="",FALSE,TRUE),EXACT(Metadata!Z832,"not applicable")),AND(IF(Metadata!Z832="",FALSE,TRUE),OR(EXACT(Metadata!Z832,"beer"),EXACT(Metadata!Z832,"cheese"),EXACT(Metadata!Z832,"fresh water"),EXACT(Metadata!Z832,"marine sediment"),EXACT(Metadata!Z832,"sea water"),EXACT(Metadata!Z832,"sediment"),EXACT(Metadata!Z832,"soil"),EXACT(Metadata!Z832,"waste water"))))</f>
        <v>0</v>
      </c>
      <c r="BN832" t="b">
        <f>AND(IF(Metadata!AA832="",FALSE,TRUE),EXACT(Metadata!AA832,"metagenome"))</f>
        <v>0</v>
      </c>
      <c r="BO832" t="b">
        <f>AND(IF(Metadata!AB832="",FALSE,TRUE),EXACT(Metadata!AB832,"256318"))</f>
        <v>0</v>
      </c>
      <c r="BP832" t="b">
        <f>IF(Metadata!AC832="",FALSE,TRUE)</f>
        <v>0</v>
      </c>
      <c r="BQ832" t="b">
        <f>IF(Metadata!AD832="",FALSE,TRUE)</f>
        <v>0</v>
      </c>
    </row>
    <row r="833" spans="1:69" x14ac:dyDescent="0.2">
      <c r="A833" s="4" t="e">
        <f ca="1">IF(B833=" "," ",HYPERLINK(CONCATENATE("#metadata!",ADDRESS(INDEX($AJ$2:$AJ$1001,MATCH(ROWS($AH$2:AH833),$AH$2:$AH$1001,0),0),2)),INDEX($AM$2:$AM$1001,MATCH(ROWS($AH$2:AH833),$AH$2:$AH$1001,0),0)))</f>
        <v>#N/A</v>
      </c>
      <c r="B833" s="5" t="e">
        <f ca="1">IF(OR(INDEX($AI$2:$AI$1001,MATCH(ROWS($AH$2:AH833),$AH$2:$AH$1001,0),1)&gt;=100000,INDEX($AO$1005:$BQ$1005,1,MATCH(COLUMNS($AO$1006:AO1006),$AO$1006:$BQ$1006,0))&gt;=100000), " ",IF(INDEX($AO$2:$BQ$1001,MATCH(ROWS($AH$2:AH833),$AH$2:$AH$1001,0),MATCH(COLUMNS($AO$1006:AO1006),$AO$1006:$BQ$1006,0)), HYPERLINK("#",""), HYPERLINK(CONCATENATE("#Metadata!", ADDRESS(INDEX($AJ$2:$AJ$1001,MATCH(ROWS($AH$2:AH833),$AH$2:$AH$1001,0),0), INDEX($AO$1004:$BQ$1004,1,MATCH(COLUMNS($AO$1006:AO1006),$AO$1006:$BQ$1006,0)))),"Fix")))</f>
        <v>#N/A</v>
      </c>
      <c r="C833" s="5" t="e">
        <f ca="1">IF(OR(INDEX($AI$2:$AI$1001,MATCH(ROWS($AH$2:AH833),$AH$2:$AH$1001,0),1)&gt;=100000,INDEX($AO$1005:$BQ$1005,1,MATCH(COLUMNS($AO$1006:AP1006),$AO$1006:$BQ$1006,0))&gt;=100000), " ",IF(INDEX($AO$2:$BQ$1001,MATCH(ROWS($AH$2:AH833),$AH$2:$AH$1001,0),MATCH(COLUMNS($AO$1006:AP1006),$AO$1006:$BQ$1006,0)), HYPERLINK("#",""), HYPERLINK(CONCATENATE("#Metadata!", ADDRESS(INDEX($AJ$2:$AJ$1001,MATCH(ROWS($AH$2:AH833),$AH$2:$AH$1001,0),0), INDEX($AO$1004:$BQ$1004,1,MATCH(COLUMNS($AO$1006:AP1006),$AO$1006:$BQ$1006,0)))),"Fix")))</f>
        <v>#N/A</v>
      </c>
      <c r="D833" s="5" t="e">
        <f ca="1">IF(OR(INDEX($AI$2:$AI$1001,MATCH(ROWS($AH$2:AH833),$AH$2:$AH$1001,0),1)&gt;=100000,INDEX($AO$1005:$BQ$1005,1,MATCH(COLUMNS($AO$1006:AQ1006),$AO$1006:$BQ$1006,0))&gt;=100000), " ",IF(INDEX($AO$2:$BQ$1001,MATCH(ROWS($AH$2:AH833),$AH$2:$AH$1001,0),MATCH(COLUMNS($AO$1006:AQ1006),$AO$1006:$BQ$1006,0)), HYPERLINK("#",""), HYPERLINK(CONCATENATE("#Metadata!", ADDRESS(INDEX($AJ$2:$AJ$1001,MATCH(ROWS($AH$2:AH833),$AH$2:$AH$1001,0),0), INDEX($AO$1004:$BQ$1004,1,MATCH(COLUMNS($AO$1006:AQ1006),$AO$1006:$BQ$1006,0)))),"Fix")))</f>
        <v>#N/A</v>
      </c>
      <c r="E833" s="5" t="e">
        <f ca="1">IF(OR(INDEX($AI$2:$AI$1001,MATCH(ROWS($AH$2:AH833),$AH$2:$AH$1001,0),1)&gt;=100000,INDEX($AO$1005:$BQ$1005,1,MATCH(COLUMNS($AO$1006:AR1006),$AO$1006:$BQ$1006,0))&gt;=100000), " ",IF(INDEX($AO$2:$BQ$1001,MATCH(ROWS($AH$2:AH833),$AH$2:$AH$1001,0),MATCH(COLUMNS($AO$1006:AR1006),$AO$1006:$BQ$1006,0)), HYPERLINK("#",""), HYPERLINK(CONCATENATE("#Metadata!", ADDRESS(INDEX($AJ$2:$AJ$1001,MATCH(ROWS($AH$2:AH833),$AH$2:$AH$1001,0),0), INDEX($AO$1004:$BQ$1004,1,MATCH(COLUMNS($AO$1006:AR1006),$AO$1006:$BQ$1006,0)))),"Fix")))</f>
        <v>#N/A</v>
      </c>
      <c r="F833" s="5" t="e">
        <f ca="1">IF(OR(INDEX($AI$2:$AI$1001,MATCH(ROWS($AH$2:AH833),$AH$2:$AH$1001,0),1)&gt;=100000,INDEX($AO$1005:$BQ$1005,1,MATCH(COLUMNS($AO$1006:AS1006),$AO$1006:$BQ$1006,0))&gt;=100000), " ",IF(INDEX($AO$2:$BQ$1001,MATCH(ROWS($AH$2:AH833),$AH$2:$AH$1001,0),MATCH(COLUMNS($AO$1006:AS1006),$AO$1006:$BQ$1006,0)), HYPERLINK("#",""), HYPERLINK(CONCATENATE("#Metadata!", ADDRESS(INDEX($AJ$2:$AJ$1001,MATCH(ROWS($AH$2:AH833),$AH$2:$AH$1001,0),0), INDEX($AO$1004:$BQ$1004,1,MATCH(COLUMNS($AO$1006:AS1006),$AO$1006:$BQ$1006,0)))),"Fix")))</f>
        <v>#N/A</v>
      </c>
      <c r="G833" s="5" t="e">
        <f ca="1">IF(OR(INDEX($AI$2:$AI$1001,MATCH(ROWS($AH$2:AH833),$AH$2:$AH$1001,0),1)&gt;=100000,INDEX($AO$1005:$BQ$1005,1,MATCH(COLUMNS($AO$1006:AT1006),$AO$1006:$BQ$1006,0))&gt;=100000), " ",IF(INDEX($AO$2:$BQ$1001,MATCH(ROWS($AH$2:AH833),$AH$2:$AH$1001,0),MATCH(COLUMNS($AO$1006:AT1006),$AO$1006:$BQ$1006,0)), HYPERLINK("#",""), HYPERLINK(CONCATENATE("#Metadata!", ADDRESS(INDEX($AJ$2:$AJ$1001,MATCH(ROWS($AH$2:AH833),$AH$2:$AH$1001,0),0), INDEX($AO$1004:$BQ$1004,1,MATCH(COLUMNS($AO$1006:AT1006),$AO$1006:$BQ$1006,0)))),"Fix")))</f>
        <v>#N/A</v>
      </c>
      <c r="H833" s="5" t="e">
        <f ca="1">IF(OR(INDEX($AI$2:$AI$1001,MATCH(ROWS($AH$2:AH833),$AH$2:$AH$1001,0),1)&gt;=100000,INDEX($AO$1005:$BQ$1005,1,MATCH(COLUMNS($AO$1006:AU1006),$AO$1006:$BQ$1006,0))&gt;=100000), " ",IF(INDEX($AO$2:$BQ$1001,MATCH(ROWS($AH$2:AH833),$AH$2:$AH$1001,0),MATCH(COLUMNS($AO$1006:AU1006),$AO$1006:$BQ$1006,0)), HYPERLINK("#",""), HYPERLINK(CONCATENATE("#Metadata!", ADDRESS(INDEX($AJ$2:$AJ$1001,MATCH(ROWS($AH$2:AH833),$AH$2:$AH$1001,0),0), INDEX($AO$1004:$BQ$1004,1,MATCH(COLUMNS($AO$1006:AU1006),$AO$1006:$BQ$1006,0)))),"Fix")))</f>
        <v>#N/A</v>
      </c>
      <c r="I833" s="5" t="e">
        <f ca="1">IF(OR(INDEX($AI$2:$AI$1001,MATCH(ROWS($AH$2:AH833),$AH$2:$AH$1001,0),1)&gt;=100000,INDEX($AO$1005:$BQ$1005,1,MATCH(COLUMNS($AO$1006:AV1006),$AO$1006:$BQ$1006,0))&gt;=100000), " ",IF(INDEX($AO$2:$BQ$1001,MATCH(ROWS($AH$2:AH833),$AH$2:$AH$1001,0),MATCH(COLUMNS($AO$1006:AV1006),$AO$1006:$BQ$1006,0)), HYPERLINK("#",""), HYPERLINK(CONCATENATE("#Metadata!", ADDRESS(INDEX($AJ$2:$AJ$1001,MATCH(ROWS($AH$2:AH833),$AH$2:$AH$1001,0),0), INDEX($AO$1004:$BQ$1004,1,MATCH(COLUMNS($AO$1006:AV1006),$AO$1006:$BQ$1006,0)))),"Fix")))</f>
        <v>#N/A</v>
      </c>
      <c r="J833" s="5" t="e">
        <f ca="1">IF(OR(INDEX($AI$2:$AI$1001,MATCH(ROWS($AH$2:AH833),$AH$2:$AH$1001,0),1)&gt;=100000,INDEX($AO$1005:$BQ$1005,1,MATCH(COLUMNS($AO$1006:AW1006),$AO$1006:$BQ$1006,0))&gt;=100000), " ",IF(INDEX($AO$2:$BQ$1001,MATCH(ROWS($AH$2:AH833),$AH$2:$AH$1001,0),MATCH(COLUMNS($AO$1006:AW1006),$AO$1006:$BQ$1006,0)), HYPERLINK("#",""), HYPERLINK(CONCATENATE("#Metadata!", ADDRESS(INDEX($AJ$2:$AJ$1001,MATCH(ROWS($AH$2:AH833),$AH$2:$AH$1001,0),0), INDEX($AO$1004:$BQ$1004,1,MATCH(COLUMNS($AO$1006:AW1006),$AO$1006:$BQ$1006,0)))),"Fix")))</f>
        <v>#N/A</v>
      </c>
      <c r="K833" s="5" t="e">
        <f ca="1">IF(OR(INDEX($AI$2:$AI$1001,MATCH(ROWS($AH$2:AH833),$AH$2:$AH$1001,0),1)&gt;=100000,INDEX($AO$1005:$BQ$1005,1,MATCH(COLUMNS($AO$1006:AX1006),$AO$1006:$BQ$1006,0))&gt;=100000), " ",IF(INDEX($AO$2:$BQ$1001,MATCH(ROWS($AH$2:AH833),$AH$2:$AH$1001,0),MATCH(COLUMNS($AO$1006:AX1006),$AO$1006:$BQ$1006,0)), HYPERLINK("#",""), HYPERLINK(CONCATENATE("#Metadata!", ADDRESS(INDEX($AJ$2:$AJ$1001,MATCH(ROWS($AH$2:AH833),$AH$2:$AH$1001,0),0), INDEX($AO$1004:$BQ$1004,1,MATCH(COLUMNS($AO$1006:AX1006),$AO$1006:$BQ$1006,0)))),"Fix")))</f>
        <v>#N/A</v>
      </c>
      <c r="L833" s="5" t="e">
        <f ca="1">IF(OR(INDEX($AI$2:$AI$1001,MATCH(ROWS($AH$2:AH833),$AH$2:$AH$1001,0),1)&gt;=100000,INDEX($AO$1005:$BQ$1005,1,MATCH(COLUMNS($AO$1006:AY1006),$AO$1006:$BQ$1006,0))&gt;=100000), " ",IF(INDEX($AO$2:$BQ$1001,MATCH(ROWS($AH$2:AH833),$AH$2:$AH$1001,0),MATCH(COLUMNS($AO$1006:AY1006),$AO$1006:$BQ$1006,0)), HYPERLINK("#",""), HYPERLINK(CONCATENATE("#Metadata!", ADDRESS(INDEX($AJ$2:$AJ$1001,MATCH(ROWS($AH$2:AH833),$AH$2:$AH$1001,0),0), INDEX($AO$1004:$BQ$1004,1,MATCH(COLUMNS($AO$1006:AY1006),$AO$1006:$BQ$1006,0)))),"Fix")))</f>
        <v>#N/A</v>
      </c>
      <c r="M833" s="5" t="e">
        <f ca="1">IF(OR(INDEX($AI$2:$AI$1001,MATCH(ROWS($AH$2:AH833),$AH$2:$AH$1001,0),1)&gt;=100000,INDEX($AO$1005:$BQ$1005,1,MATCH(COLUMNS($AO$1006:AZ1006),$AO$1006:$BQ$1006,0))&gt;=100000), " ",IF(INDEX($AO$2:$BQ$1001,MATCH(ROWS($AH$2:AH833),$AH$2:$AH$1001,0),MATCH(COLUMNS($AO$1006:AZ1006),$AO$1006:$BQ$1006,0)), HYPERLINK("#",""), HYPERLINK(CONCATENATE("#Metadata!", ADDRESS(INDEX($AJ$2:$AJ$1001,MATCH(ROWS($AH$2:AH833),$AH$2:$AH$1001,0),0), INDEX($AO$1004:$BQ$1004,1,MATCH(COLUMNS($AO$1006:AZ1006),$AO$1006:$BQ$1006,0)))),"Fix")))</f>
        <v>#N/A</v>
      </c>
      <c r="N833" s="5" t="e">
        <f ca="1">IF(OR(INDEX($AI$2:$AI$1001,MATCH(ROWS($AH$2:AH833),$AH$2:$AH$1001,0),1)&gt;=100000,INDEX($AO$1005:$BQ$1005,1,MATCH(COLUMNS($AO$1006:BA1006),$AO$1006:$BQ$1006,0))&gt;=100000), " ",IF(INDEX($AO$2:$BQ$1001,MATCH(ROWS($AH$2:AH833),$AH$2:$AH$1001,0),MATCH(COLUMNS($AO$1006:BA1006),$AO$1006:$BQ$1006,0)), HYPERLINK("#",""), HYPERLINK(CONCATENATE("#Metadata!", ADDRESS(INDEX($AJ$2:$AJ$1001,MATCH(ROWS($AH$2:AH833),$AH$2:$AH$1001,0),0), INDEX($AO$1004:$BQ$1004,1,MATCH(COLUMNS($AO$1006:BA1006),$AO$1006:$BQ$1006,0)))),"Fix")))</f>
        <v>#N/A</v>
      </c>
      <c r="O833" s="5" t="e">
        <f ca="1">IF(OR(INDEX($AI$2:$AI$1001,MATCH(ROWS($AH$2:AH833),$AH$2:$AH$1001,0),1)&gt;=100000,INDEX($AO$1005:$BQ$1005,1,MATCH(COLUMNS($AO$1006:BB1006),$AO$1006:$BQ$1006,0))&gt;=100000), " ",IF(INDEX($AO$2:$BQ$1001,MATCH(ROWS($AH$2:AH833),$AH$2:$AH$1001,0),MATCH(COLUMNS($AO$1006:BB1006),$AO$1006:$BQ$1006,0)), HYPERLINK("#",""), HYPERLINK(CONCATENATE("#Metadata!", ADDRESS(INDEX($AJ$2:$AJ$1001,MATCH(ROWS($AH$2:AH833),$AH$2:$AH$1001,0),0), INDEX($AO$1004:$BQ$1004,1,MATCH(COLUMNS($AO$1006:BB1006),$AO$1006:$BQ$1006,0)))),"Fix")))</f>
        <v>#N/A</v>
      </c>
      <c r="P833" s="5" t="e">
        <f ca="1">IF(OR(INDEX($AI$2:$AI$1001,MATCH(ROWS($AH$2:AH833),$AH$2:$AH$1001,0),1)&gt;=100000,INDEX($AO$1005:$BQ$1005,1,MATCH(COLUMNS($AO$1006:BC1006),$AO$1006:$BQ$1006,0))&gt;=100000), " ",IF(INDEX($AO$2:$BQ$1001,MATCH(ROWS($AH$2:AH833),$AH$2:$AH$1001,0),MATCH(COLUMNS($AO$1006:BC1006),$AO$1006:$BQ$1006,0)), HYPERLINK("#",""), HYPERLINK(CONCATENATE("#Metadata!", ADDRESS(INDEX($AJ$2:$AJ$1001,MATCH(ROWS($AH$2:AH833),$AH$2:$AH$1001,0),0), INDEX($AO$1004:$BQ$1004,1,MATCH(COLUMNS($AO$1006:BC1006),$AO$1006:$BQ$1006,0)))),"Fix")))</f>
        <v>#N/A</v>
      </c>
      <c r="Q833" s="5" t="e">
        <f ca="1">IF(OR(INDEX($AI$2:$AI$1001,MATCH(ROWS($AH$2:AH833),$AH$2:$AH$1001,0),1)&gt;=100000,INDEX($AO$1005:$BQ$1005,1,MATCH(COLUMNS($AO$1006:BD1006),$AO$1006:$BQ$1006,0))&gt;=100000), " ",IF(INDEX($AO$2:$BQ$1001,MATCH(ROWS($AH$2:AH833),$AH$2:$AH$1001,0),MATCH(COLUMNS($AO$1006:BD1006),$AO$1006:$BQ$1006,0)), HYPERLINK("#",""), HYPERLINK(CONCATENATE("#Metadata!", ADDRESS(INDEX($AJ$2:$AJ$1001,MATCH(ROWS($AH$2:AH833),$AH$2:$AH$1001,0),0), INDEX($AO$1004:$BQ$1004,1,MATCH(COLUMNS($AO$1006:BD1006),$AO$1006:$BQ$1006,0)))),"Fix")))</f>
        <v>#N/A</v>
      </c>
      <c r="R833" s="5" t="e">
        <f ca="1">IF(OR(INDEX($AI$2:$AI$1001,MATCH(ROWS($AH$2:AH833),$AH$2:$AH$1001,0),1)&gt;=100000,INDEX($AO$1005:$BQ$1005,1,MATCH(COLUMNS($AO$1006:BE1006),$AO$1006:$BQ$1006,0))&gt;=100000), " ",IF(INDEX($AO$2:$BQ$1001,MATCH(ROWS($AH$2:AH833),$AH$2:$AH$1001,0),MATCH(COLUMNS($AO$1006:BE1006),$AO$1006:$BQ$1006,0)), HYPERLINK("#",""), HYPERLINK(CONCATENATE("#Metadata!", ADDRESS(INDEX($AJ$2:$AJ$1001,MATCH(ROWS($AH$2:AH833),$AH$2:$AH$1001,0),0), INDEX($AO$1004:$BQ$1004,1,MATCH(COLUMNS($AO$1006:BE1006),$AO$1006:$BQ$1006,0)))),"Fix")))</f>
        <v>#N/A</v>
      </c>
      <c r="S833" s="5" t="e">
        <f ca="1">IF(OR(INDEX($AI$2:$AI$1001,MATCH(ROWS($AH$2:AH833),$AH$2:$AH$1001,0),1)&gt;=100000,INDEX($AO$1005:$BQ$1005,1,MATCH(COLUMNS($AO$1006:BF1006),$AO$1006:$BQ$1006,0))&gt;=100000), " ",IF(INDEX($AO$2:$BQ$1001,MATCH(ROWS($AH$2:AH833),$AH$2:$AH$1001,0),MATCH(COLUMNS($AO$1006:BF1006),$AO$1006:$BQ$1006,0)), HYPERLINK("#",""), HYPERLINK(CONCATENATE("#Metadata!", ADDRESS(INDEX($AJ$2:$AJ$1001,MATCH(ROWS($AH$2:AH833),$AH$2:$AH$1001,0),0), INDEX($AO$1004:$BQ$1004,1,MATCH(COLUMNS($AO$1006:BF1006),$AO$1006:$BQ$1006,0)))),"Fix")))</f>
        <v>#N/A</v>
      </c>
      <c r="T833" s="5" t="e">
        <f ca="1">IF(OR(INDEX($AI$2:$AI$1001,MATCH(ROWS($AH$2:AH833),$AH$2:$AH$1001,0),1)&gt;=100000,INDEX($AO$1005:$BQ$1005,1,MATCH(COLUMNS($AO$1006:BG1006),$AO$1006:$BQ$1006,0))&gt;=100000), " ",IF(INDEX($AO$2:$BQ$1001,MATCH(ROWS($AH$2:AH833),$AH$2:$AH$1001,0),MATCH(COLUMNS($AO$1006:BG1006),$AO$1006:$BQ$1006,0)), HYPERLINK("#",""), HYPERLINK(CONCATENATE("#Metadata!", ADDRESS(INDEX($AJ$2:$AJ$1001,MATCH(ROWS($AH$2:AH833),$AH$2:$AH$1001,0),0), INDEX($AO$1004:$BQ$1004,1,MATCH(COLUMNS($AO$1006:BG1006),$AO$1006:$BQ$1006,0)))),"Fix")))</f>
        <v>#N/A</v>
      </c>
      <c r="U833" s="5" t="e">
        <f ca="1">IF(OR(INDEX($AI$2:$AI$1001,MATCH(ROWS($AH$2:AH833),$AH$2:$AH$1001,0),1)&gt;=100000,INDEX($AO$1005:$BQ$1005,1,MATCH(COLUMNS($AO$1006:BH1006),$AO$1006:$BQ$1006,0))&gt;=100000), " ",IF(INDEX($AO$2:$BQ$1001,MATCH(ROWS($AH$2:AH833),$AH$2:$AH$1001,0),MATCH(COLUMNS($AO$1006:BH1006),$AO$1006:$BQ$1006,0)), HYPERLINK("#",""), HYPERLINK(CONCATENATE("#Metadata!", ADDRESS(INDEX($AJ$2:$AJ$1001,MATCH(ROWS($AH$2:AH833),$AH$2:$AH$1001,0),0), INDEX($AO$1004:$BQ$1004,1,MATCH(COLUMNS($AO$1006:BH1006),$AO$1006:$BQ$1006,0)))),"Fix")))</f>
        <v>#N/A</v>
      </c>
      <c r="V833" s="5" t="e">
        <f ca="1">IF(OR(INDEX($AI$2:$AI$1001,MATCH(ROWS($AH$2:AH833),$AH$2:$AH$1001,0),1)&gt;=100000,INDEX($AO$1005:$BQ$1005,1,MATCH(COLUMNS($AO$1006:BI1006),$AO$1006:$BQ$1006,0))&gt;=100000), " ",IF(INDEX($AO$2:$BQ$1001,MATCH(ROWS($AH$2:AH833),$AH$2:$AH$1001,0),MATCH(COLUMNS($AO$1006:BI1006),$AO$1006:$BQ$1006,0)), HYPERLINK("#",""), HYPERLINK(CONCATENATE("#Metadata!", ADDRESS(INDEX($AJ$2:$AJ$1001,MATCH(ROWS($AH$2:AH833),$AH$2:$AH$1001,0),0), INDEX($AO$1004:$BQ$1004,1,MATCH(COLUMNS($AO$1006:BI1006),$AO$1006:$BQ$1006,0)))),"Fix")))</f>
        <v>#N/A</v>
      </c>
      <c r="W833" s="5" t="e">
        <f ca="1">IF(OR(INDEX($AI$2:$AI$1001,MATCH(ROWS($AH$2:AH833),$AH$2:$AH$1001,0),1)&gt;=100000,INDEX($AO$1005:$BQ$1005,1,MATCH(COLUMNS($AO$1006:BJ1006),$AO$1006:$BQ$1006,0))&gt;=100000), " ",IF(INDEX($AO$2:$BQ$1001,MATCH(ROWS($AH$2:AH833),$AH$2:$AH$1001,0),MATCH(COLUMNS($AO$1006:BJ1006),$AO$1006:$BQ$1006,0)), HYPERLINK("#",""), HYPERLINK(CONCATENATE("#Metadata!", ADDRESS(INDEX($AJ$2:$AJ$1001,MATCH(ROWS($AH$2:AH833),$AH$2:$AH$1001,0),0), INDEX($AO$1004:$BQ$1004,1,MATCH(COLUMNS($AO$1006:BJ1006),$AO$1006:$BQ$1006,0)))),"Fix")))</f>
        <v>#N/A</v>
      </c>
      <c r="X833" s="5" t="e">
        <f ca="1">IF(OR(INDEX($AI$2:$AI$1001,MATCH(ROWS($AH$2:AH833),$AH$2:$AH$1001,0),1)&gt;=100000,INDEX($AO$1005:$BQ$1005,1,MATCH(COLUMNS($AO$1006:BK1006),$AO$1006:$BQ$1006,0))&gt;=100000), " ",IF(INDEX($AO$2:$BQ$1001,MATCH(ROWS($AH$2:AH833),$AH$2:$AH$1001,0),MATCH(COLUMNS($AO$1006:BK1006),$AO$1006:$BQ$1006,0)), HYPERLINK("#",""), HYPERLINK(CONCATENATE("#Metadata!", ADDRESS(INDEX($AJ$2:$AJ$1001,MATCH(ROWS($AH$2:AH833),$AH$2:$AH$1001,0),0), INDEX($AO$1004:$BQ$1004,1,MATCH(COLUMNS($AO$1006:BK1006),$AO$1006:$BQ$1006,0)))),"Fix")))</f>
        <v>#N/A</v>
      </c>
      <c r="Y833" s="5" t="e">
        <f ca="1">IF(OR(INDEX($AI$2:$AI$1001,MATCH(ROWS($AH$2:AH833),$AH$2:$AH$1001,0),1)&gt;=100000,INDEX($AO$1005:$BQ$1005,1,MATCH(COLUMNS($AO$1006:BL1006),$AO$1006:$BQ$1006,0))&gt;=100000), " ",IF(INDEX($AO$2:$BQ$1001,MATCH(ROWS($AH$2:AH833),$AH$2:$AH$1001,0),MATCH(COLUMNS($AO$1006:BL1006),$AO$1006:$BQ$1006,0)), HYPERLINK("#",""), HYPERLINK(CONCATENATE("#Metadata!", ADDRESS(INDEX($AJ$2:$AJ$1001,MATCH(ROWS($AH$2:AH833),$AH$2:$AH$1001,0),0), INDEX($AO$1004:$BQ$1004,1,MATCH(COLUMNS($AO$1006:BL1006),$AO$1006:$BQ$1006,0)))),"Fix")))</f>
        <v>#N/A</v>
      </c>
      <c r="Z833" s="5" t="e">
        <f ca="1">IF(OR(INDEX($AI$2:$AI$1001,MATCH(ROWS($AH$2:AH833),$AH$2:$AH$1001,0),1)&gt;=100000,INDEX($AO$1005:$BQ$1005,1,MATCH(COLUMNS($AO$1006:BM1006),$AO$1006:$BQ$1006,0))&gt;=100000), " ",IF(INDEX($AO$2:$BQ$1001,MATCH(ROWS($AH$2:AH833),$AH$2:$AH$1001,0),MATCH(COLUMNS($AO$1006:BM1006),$AO$1006:$BQ$1006,0)), HYPERLINK("#",""), HYPERLINK(CONCATENATE("#Metadata!", ADDRESS(INDEX($AJ$2:$AJ$1001,MATCH(ROWS($AH$2:AH833),$AH$2:$AH$1001,0),0), INDEX($AO$1004:$BQ$1004,1,MATCH(COLUMNS($AO$1006:BM1006),$AO$1006:$BQ$1006,0)))),"Fix")))</f>
        <v>#N/A</v>
      </c>
      <c r="AA833" s="5" t="e">
        <f ca="1">IF(OR(INDEX($AI$2:$AI$1001,MATCH(ROWS($AH$2:AH833),$AH$2:$AH$1001,0),1)&gt;=100000,INDEX($AO$1005:$BQ$1005,1,MATCH(COLUMNS($AO$1006:BN1006),$AO$1006:$BQ$1006,0))&gt;=100000), " ",IF(INDEX($AO$2:$BQ$1001,MATCH(ROWS($AH$2:AH833),$AH$2:$AH$1001,0),MATCH(COLUMNS($AO$1006:BN1006),$AO$1006:$BQ$1006,0)), HYPERLINK("#",""), HYPERLINK(CONCATENATE("#Metadata!", ADDRESS(INDEX($AJ$2:$AJ$1001,MATCH(ROWS($AH$2:AH833),$AH$2:$AH$1001,0),0), INDEX($AO$1004:$BQ$1004,1,MATCH(COLUMNS($AO$1006:BN1006),$AO$1006:$BQ$1006,0)))),"Fix")))</f>
        <v>#N/A</v>
      </c>
      <c r="AB833" s="5" t="e">
        <f ca="1">IF(OR(INDEX($AI$2:$AI$1001,MATCH(ROWS($AH$2:AH833),$AH$2:$AH$1001,0),1)&gt;=100000,INDEX($AO$1005:$BQ$1005,1,MATCH(COLUMNS($AO$1006:BO1006),$AO$1006:$BQ$1006,0))&gt;=100000), " ",IF(INDEX($AO$2:$BQ$1001,MATCH(ROWS($AH$2:AH833),$AH$2:$AH$1001,0),MATCH(COLUMNS($AO$1006:BO1006),$AO$1006:$BQ$1006,0)), HYPERLINK("#",""), HYPERLINK(CONCATENATE("#Metadata!", ADDRESS(INDEX($AJ$2:$AJ$1001,MATCH(ROWS($AH$2:AH833),$AH$2:$AH$1001,0),0), INDEX($AO$1004:$BQ$1004,1,MATCH(COLUMNS($AO$1006:BO1006),$AO$1006:$BQ$1006,0)))),"Fix")))</f>
        <v>#N/A</v>
      </c>
      <c r="AC833" s="5" t="e">
        <f ca="1">IF(OR(INDEX($AI$2:$AI$1001,MATCH(ROWS($AH$2:AH833),$AH$2:$AH$1001,0),1)&gt;=100000,INDEX($AO$1005:$BQ$1005,1,MATCH(COLUMNS($AO$1006:BP1006),$AO$1006:$BQ$1006,0))&gt;=100000), " ",IF(INDEX($AO$2:$BQ$1001,MATCH(ROWS($AH$2:AH833),$AH$2:$AH$1001,0),MATCH(COLUMNS($AO$1006:BP1006),$AO$1006:$BQ$1006,0)), HYPERLINK("#",""), HYPERLINK(CONCATENATE("#Metadata!", ADDRESS(INDEX($AJ$2:$AJ$1001,MATCH(ROWS($AH$2:AH833),$AH$2:$AH$1001,0),0), INDEX($AO$1004:$BQ$1004,1,MATCH(COLUMNS($AO$1006:BP1006),$AO$1006:$BQ$1006,0)))),"Fix")))</f>
        <v>#N/A</v>
      </c>
      <c r="AD833" s="5" t="e">
        <f ca="1">IF(OR(INDEX($AI$2:$AI$1001,MATCH(ROWS($AH$2:AH833),$AH$2:$AH$1001,0),1)&gt;=100000,INDEX($AO$1005:$BQ$1005,1,MATCH(COLUMNS($AO$1006:BQ1006),$AO$1006:$BQ$1006,0))&gt;=100000), " ",IF(INDEX($AO$2:$BQ$1001,MATCH(ROWS($AH$2:AH833),$AH$2:$AH$1001,0),MATCH(COLUMNS($AO$1006:BQ1006),$AO$1006:$BQ$1006,0)), HYPERLINK("#",""), HYPERLINK(CONCATENATE("#Metadata!", ADDRESS(INDEX($AJ$2:$AJ$1001,MATCH(ROWS($AH$2:AH833),$AH$2:$AH$1001,0),0), INDEX($AO$1004:$BQ$1004,1,MATCH(COLUMNS($AO$1006:BQ1006),$AO$1006:$BQ$1006,0)))),"Fix")))</f>
        <v>#REF!</v>
      </c>
      <c r="AH833">
        <f ca="1"/>
        <v>830</v>
      </c>
      <c r="AI833">
        <v>100833</v>
      </c>
      <c r="AJ833">
        <v>833</v>
      </c>
      <c r="AK833" t="b">
        <f t="shared" si="12"/>
        <v>1</v>
      </c>
      <c r="AL833" t="b">
        <f>COUNTBLANK(Metadata!B833:AD833)=COLUMNS(Metadata!B833:AD833)</f>
        <v>1</v>
      </c>
      <c r="AM833" t="str">
        <v/>
      </c>
      <c r="AO833" t="b">
        <f ca="1">AND(IF(Metadata!B833="",FALSE,TRUE),COUNTIF(Metadata!B:B, Metadata!B833) = 1,NOT(ISERROR(SUMPRODUCT(SEARCH(MID(Metadata!B833,ROW(INDIRECT("1:"&amp;LEN(Metadata!B833))), 1),"0123456789abcdefghijklmnopqrstuvwxyzABCDEFGHIJKLMNOPQRSTUVWXYZ.")))))</f>
        <v>0</v>
      </c>
      <c r="AP833" t="b">
        <f>IF(Metadata!C833="",FALSE,TRUE)</f>
        <v>0</v>
      </c>
      <c r="AQ833" t="b">
        <f>IF(Metadata!D833="",FALSE,TRUE)</f>
        <v>0</v>
      </c>
      <c r="AR833" t="b">
        <f ca="1">OR(AND(IF(Metadata!E833="",FALSE,TRUE),OR(EXACT(Metadata!E833,"not collected"),EXACT(Metadata!E833,"not provided"),EXACT(Metadata!E833,"restricted access"))),AND(IF(Metadata!E833="",FALSE,TRUE),AND(AND(IFERROR(INT(LEFT(Metadata!E833,4))&gt;1900,FALSE),IFERROR(INT(LEFT(Metadata!E833,4))&lt;=YEAR(NOW()),FALSE)), OR(MID(Metadata!E833,5,1)="", AND(AND(MID(Metadata!E833,5,1)="-",IFERROR(INT(MID(Metadata!E833,6,1))&gt;=0,FALSE),IFERROR(INT(MID(Metadata!E833,6,1))&lt;=1,FALSE),NOT(MID(Metadata!E833,7,1)=""),IFERROR(INT(MID(Metadata!E833,6,2))&gt;=1,FALSE),IFERROR(INT(MID(Metadata!E833,6,2))&lt;=12,FALSE)), OR(MID(Metadata!E833,8,1)="", AND(AND(MID(Metadata!E833,8,1)="-",IFERROR(INT(MID(Metadata!E833,9,1))&gt;=0,FALSE),IFERROR(INT(MID(Metadata!E833,9,1))&lt;=3,FALSE),NOT(MID(Metadata!E833,10,1)=""),IFERROR(INT(MID(Metadata!E833,9,2))&gt;=1,FALSE),IFERROR(INT(MID(Metadata!E833,9,2))&lt;=31,FALSE)), OR(MID(Metadata!E833,11,1)="", AND(AND(MID(Metadata!E833,11,1)=" ",IFERROR(INT(MID(Metadata!E833,12,1))&gt;=0,FALSE),IFERROR(INT(MID(Metadata!E833,12,1))&lt;=2,FALSE),NOT(MID(Metadata!E833,13,1)=""),IFERROR(INT(MID(Metadata!E833,12,2))&gt;=0,FALSE),IFERROR(INT(MID(Metadata!E833,12,2))&lt;=23,FALSE)), OR(MID(Metadata!E833,14,1)="", AND(AND(MID(Metadata!E833,14,1)=":",IFERROR(INT(MID(Metadata!E833,15,1))&gt;=0,FALSE),IFERROR(INT(MID(Metadata!E833,15,1))&lt;=5,FALSE),NOT(MID(Metadata!E833,16,1)=""),IFERROR(INT(MID(Metadata!E833,15,2))&gt;=0,FALSE),IFERROR(INT(MID(Metadata!E833,15,2))&lt;=59,FALSE)), OR(MID(Metadata!E833,17,1)="", AND(AND(MID(Metadata!E833,17,1)=":",IFERROR(INT(MID(Metadata!E833,18,1))&gt;=0,FALSE),IFERROR(INT(MID(Metadata!E833,18,1))&lt;=5,FALSE),NOT(MID(Metadata!E833,19,1)=""),IFERROR(INT(MID(Metadata!E833,18,2))&gt;=0,FALSE),IFERROR(INT(MID(Metadata!E833,18,2))&lt;=59,FALSE)), LEN(Metadata!E833)&lt;=19)))))))))))))</f>
        <v>0</v>
      </c>
      <c r="AS833" t="b">
        <f>IF(Metadata!F833="",FALSE,TRUE)</f>
        <v>0</v>
      </c>
      <c r="AT833" t="b">
        <f>OR(AND(IF(Metadata!G833="",FALSE,TRUE),OR(EXACT(Metadata!G833,"not collected"),EXACT(Metadata!G833,"not provided"))),AND(IF(Metadata!G833="",FALSE,TRUE),OR(EXACT(Metadata!G833,"TRUE"),EXACT(Metadata!G833,"FALSE"))))</f>
        <v>0</v>
      </c>
      <c r="AU833" t="b">
        <f>OR(AND(IF(Metadata!H833="",FALSE,TRUE),OR(EXACT(Metadata!H833,"not collected"),EXACT(Metadata!H833,"not provided"),EXACT(Metadata!H833,"restricted access"))),AND(IF(Metadata!H833="",FALSE,ISNUMBER(VALUE(Metadata!H833))),Metadata!H833&gt;=-413))</f>
        <v>0</v>
      </c>
      <c r="AV833" t="b">
        <f>AND(IF(Metadata!I833="",FALSE,TRUE),EXACT(Metadata!I833,"meters"))</f>
        <v>0</v>
      </c>
      <c r="AW833" t="b">
        <f>AND(IF(Metadata!J833="",FALSE,TRUE),EXACT(Metadata!J833,"free-living"))</f>
        <v>0</v>
      </c>
      <c r="AX833" t="b">
        <f>AND(IF(Metadata!K833="",FALSE,TRUE),OR(EXACT(Metadata!K833,"saline"),EXACT(Metadata!K833,"non-saline")))</f>
        <v>0</v>
      </c>
      <c r="AY833" t="b">
        <f>AND(IF(Metadata!L833="",FALSE,TRUE),OR(EXACT(Metadata!L833,"sub-surface (non-saline)"),EXACT(Metadata!L833,"surface (non-saline)"),EXACT(Metadata!L833,"water (non-saline)"),EXACT(Metadata!L833,"soil (non-saline)"),EXACT(Metadata!L833,"aerosol (non-saline)"),EXACT(Metadata!L833,"sediment (non-saline)"),EXACT(Metadata!L833,"surface (saline)"),EXACT(Metadata!L833,"water (saline)"),EXACT(Metadata!L833,"hypersaline (saline)"),EXACT(Metadata!L833,"aerosol (saline)"),EXACT(Metadata!L833,"sediment (saline)")))</f>
        <v>0</v>
      </c>
      <c r="AZ833" t="b">
        <f>IF(Metadata!M833="",FALSE,TRUE)</f>
        <v>0</v>
      </c>
      <c r="BA833" t="b">
        <f>IF(Metadata!N833="",FALSE,TRUE)</f>
        <v>0</v>
      </c>
      <c r="BB833" t="b">
        <f>IF(Metadata!O833="",FALSE,TRUE)</f>
        <v>0</v>
      </c>
      <c r="BC833" t="b">
        <f>AND(IF(Metadata!P833="",FALSE,TRUE),OR(EXACT(Metadata!P833,"air"),EXACT(Metadata!P833,"microbial mat/biofilm"),EXACT(Metadata!P833,"misc environment"),EXACT(Metadata!P833,"sediment"),EXACT(Metadata!P833,"soil"),EXACT(Metadata!P833,"wastewater/sludge"),EXACT(Metadata!P833,"water")))</f>
        <v>0</v>
      </c>
      <c r="BD833" t="b">
        <f>IF(Metadata!Q833="",FALSE,TRUE)</f>
        <v>0</v>
      </c>
      <c r="BE833" t="b">
        <f>IF(Metadata!R833="",FALSE,TRUE)</f>
        <v>0</v>
      </c>
      <c r="BF833" t="b">
        <f>OR(AND(IF(Metadata!S833="",FALSE,TRUE),OR(EXACT(Metadata!S833,"not collected"),EXACT(Metadata!S833,"not provided"),EXACT(Metadata!S833,"restricted access"))),AND(IF(Metadata!S833="",FALSE,ISNUMBER(VALUE(Metadata!S833))),Metadata!S833&gt;=-90,Metadata!S833&lt;=90))</f>
        <v>0</v>
      </c>
      <c r="BG833" t="b">
        <f>AND(IF(Metadata!T833="",FALSE,TRUE),EXACT(Metadata!T833,"Decimal degrees"))</f>
        <v>0</v>
      </c>
      <c r="BH833" t="b">
        <f>OR(AND(IF(Metadata!U833="",FALSE,TRUE),OR(EXACT(Metadata!U833,"not applicable"),EXACT(Metadata!U833,"not collected"))),IF(Metadata!U833="",FALSE,TRUE))</f>
        <v>0</v>
      </c>
      <c r="BI833" t="b">
        <f>OR(AND(IF(Metadata!V833="",FALSE,TRUE),OR(EXACT(Metadata!V833,"not collected"),EXACT(Metadata!V833,"not provided"),EXACT(Metadata!V833,"restricted access"))),AND(IF(Metadata!V833="",FALSE,ISNUMBER(VALUE(Metadata!V833))),Metadata!V833&gt;=-180,Metadata!V833&lt;=180))</f>
        <v>0</v>
      </c>
      <c r="BJ833" t="b">
        <f>AND(IF(Metadata!W833="",FALSE,TRUE),EXACT(Metadata!W833,"Decimal degrees"))</f>
        <v>0</v>
      </c>
      <c r="BK833" t="b">
        <f>IF(Metadata!X833="",FALSE,TRUE)</f>
        <v>0</v>
      </c>
      <c r="BL833" t="b">
        <f>OR(AND(IF(Metadata!Y833="",FALSE,TRUE),OR(EXACT(Metadata!Y833,"not collected"),EXACT(Metadata!Y833,"not provided"),EXACT(Metadata!Y833,"restricted access"))),AND(IF(Metadata!Y833="",FALSE,TRUE),OR(EXACT(Metadata!Y833,"TRUE"),EXACT(Metadata!Y833,"FALSE"))))</f>
        <v>0</v>
      </c>
      <c r="BM833" t="b">
        <f>OR(AND(IF(Metadata!Z833="",FALSE,TRUE),EXACT(Metadata!Z833,"not applicable")),AND(IF(Metadata!Z833="",FALSE,TRUE),OR(EXACT(Metadata!Z833,"beer"),EXACT(Metadata!Z833,"cheese"),EXACT(Metadata!Z833,"fresh water"),EXACT(Metadata!Z833,"marine sediment"),EXACT(Metadata!Z833,"sea water"),EXACT(Metadata!Z833,"sediment"),EXACT(Metadata!Z833,"soil"),EXACT(Metadata!Z833,"waste water"))))</f>
        <v>0</v>
      </c>
      <c r="BN833" t="b">
        <f>AND(IF(Metadata!AA833="",FALSE,TRUE),EXACT(Metadata!AA833,"metagenome"))</f>
        <v>0</v>
      </c>
      <c r="BO833" t="b">
        <f>AND(IF(Metadata!AB833="",FALSE,TRUE),EXACT(Metadata!AB833,"256318"))</f>
        <v>0</v>
      </c>
      <c r="BP833" t="b">
        <f>IF(Metadata!AC833="",FALSE,TRUE)</f>
        <v>0</v>
      </c>
      <c r="BQ833" t="b">
        <f>IF(Metadata!AD833="",FALSE,TRUE)</f>
        <v>0</v>
      </c>
    </row>
    <row r="834" spans="1:69" x14ac:dyDescent="0.2">
      <c r="A834" s="4" t="e">
        <f ca="1">IF(B834=" "," ",HYPERLINK(CONCATENATE("#metadata!",ADDRESS(INDEX($AJ$2:$AJ$1001,MATCH(ROWS($AH$2:AH834),$AH$2:$AH$1001,0),0),2)),INDEX($AM$2:$AM$1001,MATCH(ROWS($AH$2:AH834),$AH$2:$AH$1001,0),0)))</f>
        <v>#N/A</v>
      </c>
      <c r="B834" s="5" t="e">
        <f ca="1">IF(OR(INDEX($AI$2:$AI$1001,MATCH(ROWS($AH$2:AH834),$AH$2:$AH$1001,0),1)&gt;=100000,INDEX($AO$1005:$BQ$1005,1,MATCH(COLUMNS($AO$1006:AO1006),$AO$1006:$BQ$1006,0))&gt;=100000), " ",IF(INDEX($AO$2:$BQ$1001,MATCH(ROWS($AH$2:AH834),$AH$2:$AH$1001,0),MATCH(COLUMNS($AO$1006:AO1006),$AO$1006:$BQ$1006,0)), HYPERLINK("#",""), HYPERLINK(CONCATENATE("#Metadata!", ADDRESS(INDEX($AJ$2:$AJ$1001,MATCH(ROWS($AH$2:AH834),$AH$2:$AH$1001,0),0), INDEX($AO$1004:$BQ$1004,1,MATCH(COLUMNS($AO$1006:AO1006),$AO$1006:$BQ$1006,0)))),"Fix")))</f>
        <v>#N/A</v>
      </c>
      <c r="C834" s="5" t="e">
        <f ca="1">IF(OR(INDEX($AI$2:$AI$1001,MATCH(ROWS($AH$2:AH834),$AH$2:$AH$1001,0),1)&gt;=100000,INDEX($AO$1005:$BQ$1005,1,MATCH(COLUMNS($AO$1006:AP1006),$AO$1006:$BQ$1006,0))&gt;=100000), " ",IF(INDEX($AO$2:$BQ$1001,MATCH(ROWS($AH$2:AH834),$AH$2:$AH$1001,0),MATCH(COLUMNS($AO$1006:AP1006),$AO$1006:$BQ$1006,0)), HYPERLINK("#",""), HYPERLINK(CONCATENATE("#Metadata!", ADDRESS(INDEX($AJ$2:$AJ$1001,MATCH(ROWS($AH$2:AH834),$AH$2:$AH$1001,0),0), INDEX($AO$1004:$BQ$1004,1,MATCH(COLUMNS($AO$1006:AP1006),$AO$1006:$BQ$1006,0)))),"Fix")))</f>
        <v>#N/A</v>
      </c>
      <c r="D834" s="5" t="e">
        <f ca="1">IF(OR(INDEX($AI$2:$AI$1001,MATCH(ROWS($AH$2:AH834),$AH$2:$AH$1001,0),1)&gt;=100000,INDEX($AO$1005:$BQ$1005,1,MATCH(COLUMNS($AO$1006:AQ1006),$AO$1006:$BQ$1006,0))&gt;=100000), " ",IF(INDEX($AO$2:$BQ$1001,MATCH(ROWS($AH$2:AH834),$AH$2:$AH$1001,0),MATCH(COLUMNS($AO$1006:AQ1006),$AO$1006:$BQ$1006,0)), HYPERLINK("#",""), HYPERLINK(CONCATENATE("#Metadata!", ADDRESS(INDEX($AJ$2:$AJ$1001,MATCH(ROWS($AH$2:AH834),$AH$2:$AH$1001,0),0), INDEX($AO$1004:$BQ$1004,1,MATCH(COLUMNS($AO$1006:AQ1006),$AO$1006:$BQ$1006,0)))),"Fix")))</f>
        <v>#N/A</v>
      </c>
      <c r="E834" s="5" t="e">
        <f ca="1">IF(OR(INDEX($AI$2:$AI$1001,MATCH(ROWS($AH$2:AH834),$AH$2:$AH$1001,0),1)&gt;=100000,INDEX($AO$1005:$BQ$1005,1,MATCH(COLUMNS($AO$1006:AR1006),$AO$1006:$BQ$1006,0))&gt;=100000), " ",IF(INDEX($AO$2:$BQ$1001,MATCH(ROWS($AH$2:AH834),$AH$2:$AH$1001,0),MATCH(COLUMNS($AO$1006:AR1006),$AO$1006:$BQ$1006,0)), HYPERLINK("#",""), HYPERLINK(CONCATENATE("#Metadata!", ADDRESS(INDEX($AJ$2:$AJ$1001,MATCH(ROWS($AH$2:AH834),$AH$2:$AH$1001,0),0), INDEX($AO$1004:$BQ$1004,1,MATCH(COLUMNS($AO$1006:AR1006),$AO$1006:$BQ$1006,0)))),"Fix")))</f>
        <v>#N/A</v>
      </c>
      <c r="F834" s="5" t="e">
        <f ca="1">IF(OR(INDEX($AI$2:$AI$1001,MATCH(ROWS($AH$2:AH834),$AH$2:$AH$1001,0),1)&gt;=100000,INDEX($AO$1005:$BQ$1005,1,MATCH(COLUMNS($AO$1006:AS1006),$AO$1006:$BQ$1006,0))&gt;=100000), " ",IF(INDEX($AO$2:$BQ$1001,MATCH(ROWS($AH$2:AH834),$AH$2:$AH$1001,0),MATCH(COLUMNS($AO$1006:AS1006),$AO$1006:$BQ$1006,0)), HYPERLINK("#",""), HYPERLINK(CONCATENATE("#Metadata!", ADDRESS(INDEX($AJ$2:$AJ$1001,MATCH(ROWS($AH$2:AH834),$AH$2:$AH$1001,0),0), INDEX($AO$1004:$BQ$1004,1,MATCH(COLUMNS($AO$1006:AS1006),$AO$1006:$BQ$1006,0)))),"Fix")))</f>
        <v>#N/A</v>
      </c>
      <c r="G834" s="5" t="e">
        <f ca="1">IF(OR(INDEX($AI$2:$AI$1001,MATCH(ROWS($AH$2:AH834),$AH$2:$AH$1001,0),1)&gt;=100000,INDEX($AO$1005:$BQ$1005,1,MATCH(COLUMNS($AO$1006:AT1006),$AO$1006:$BQ$1006,0))&gt;=100000), " ",IF(INDEX($AO$2:$BQ$1001,MATCH(ROWS($AH$2:AH834),$AH$2:$AH$1001,0),MATCH(COLUMNS($AO$1006:AT1006),$AO$1006:$BQ$1006,0)), HYPERLINK("#",""), HYPERLINK(CONCATENATE("#Metadata!", ADDRESS(INDEX($AJ$2:$AJ$1001,MATCH(ROWS($AH$2:AH834),$AH$2:$AH$1001,0),0), INDEX($AO$1004:$BQ$1004,1,MATCH(COLUMNS($AO$1006:AT1006),$AO$1006:$BQ$1006,0)))),"Fix")))</f>
        <v>#N/A</v>
      </c>
      <c r="H834" s="5" t="e">
        <f ca="1">IF(OR(INDEX($AI$2:$AI$1001,MATCH(ROWS($AH$2:AH834),$AH$2:$AH$1001,0),1)&gt;=100000,INDEX($AO$1005:$BQ$1005,1,MATCH(COLUMNS($AO$1006:AU1006),$AO$1006:$BQ$1006,0))&gt;=100000), " ",IF(INDEX($AO$2:$BQ$1001,MATCH(ROWS($AH$2:AH834),$AH$2:$AH$1001,0),MATCH(COLUMNS($AO$1006:AU1006),$AO$1006:$BQ$1006,0)), HYPERLINK("#",""), HYPERLINK(CONCATENATE("#Metadata!", ADDRESS(INDEX($AJ$2:$AJ$1001,MATCH(ROWS($AH$2:AH834),$AH$2:$AH$1001,0),0), INDEX($AO$1004:$BQ$1004,1,MATCH(COLUMNS($AO$1006:AU1006),$AO$1006:$BQ$1006,0)))),"Fix")))</f>
        <v>#N/A</v>
      </c>
      <c r="I834" s="5" t="e">
        <f ca="1">IF(OR(INDEX($AI$2:$AI$1001,MATCH(ROWS($AH$2:AH834),$AH$2:$AH$1001,0),1)&gt;=100000,INDEX($AO$1005:$BQ$1005,1,MATCH(COLUMNS($AO$1006:AV1006),$AO$1006:$BQ$1006,0))&gt;=100000), " ",IF(INDEX($AO$2:$BQ$1001,MATCH(ROWS($AH$2:AH834),$AH$2:$AH$1001,0),MATCH(COLUMNS($AO$1006:AV1006),$AO$1006:$BQ$1006,0)), HYPERLINK("#",""), HYPERLINK(CONCATENATE("#Metadata!", ADDRESS(INDEX($AJ$2:$AJ$1001,MATCH(ROWS($AH$2:AH834),$AH$2:$AH$1001,0),0), INDEX($AO$1004:$BQ$1004,1,MATCH(COLUMNS($AO$1006:AV1006),$AO$1006:$BQ$1006,0)))),"Fix")))</f>
        <v>#N/A</v>
      </c>
      <c r="J834" s="5" t="e">
        <f ca="1">IF(OR(INDEX($AI$2:$AI$1001,MATCH(ROWS($AH$2:AH834),$AH$2:$AH$1001,0),1)&gt;=100000,INDEX($AO$1005:$BQ$1005,1,MATCH(COLUMNS($AO$1006:AW1006),$AO$1006:$BQ$1006,0))&gt;=100000), " ",IF(INDEX($AO$2:$BQ$1001,MATCH(ROWS($AH$2:AH834),$AH$2:$AH$1001,0),MATCH(COLUMNS($AO$1006:AW1006),$AO$1006:$BQ$1006,0)), HYPERLINK("#",""), HYPERLINK(CONCATENATE("#Metadata!", ADDRESS(INDEX($AJ$2:$AJ$1001,MATCH(ROWS($AH$2:AH834),$AH$2:$AH$1001,0),0), INDEX($AO$1004:$BQ$1004,1,MATCH(COLUMNS($AO$1006:AW1006),$AO$1006:$BQ$1006,0)))),"Fix")))</f>
        <v>#N/A</v>
      </c>
      <c r="K834" s="5" t="e">
        <f ca="1">IF(OR(INDEX($AI$2:$AI$1001,MATCH(ROWS($AH$2:AH834),$AH$2:$AH$1001,0),1)&gt;=100000,INDEX($AO$1005:$BQ$1005,1,MATCH(COLUMNS($AO$1006:AX1006),$AO$1006:$BQ$1006,0))&gt;=100000), " ",IF(INDEX($AO$2:$BQ$1001,MATCH(ROWS($AH$2:AH834),$AH$2:$AH$1001,0),MATCH(COLUMNS($AO$1006:AX1006),$AO$1006:$BQ$1006,0)), HYPERLINK("#",""), HYPERLINK(CONCATENATE("#Metadata!", ADDRESS(INDEX($AJ$2:$AJ$1001,MATCH(ROWS($AH$2:AH834),$AH$2:$AH$1001,0),0), INDEX($AO$1004:$BQ$1004,1,MATCH(COLUMNS($AO$1006:AX1006),$AO$1006:$BQ$1006,0)))),"Fix")))</f>
        <v>#N/A</v>
      </c>
      <c r="L834" s="5" t="e">
        <f ca="1">IF(OR(INDEX($AI$2:$AI$1001,MATCH(ROWS($AH$2:AH834),$AH$2:$AH$1001,0),1)&gt;=100000,INDEX($AO$1005:$BQ$1005,1,MATCH(COLUMNS($AO$1006:AY1006),$AO$1006:$BQ$1006,0))&gt;=100000), " ",IF(INDEX($AO$2:$BQ$1001,MATCH(ROWS($AH$2:AH834),$AH$2:$AH$1001,0),MATCH(COLUMNS($AO$1006:AY1006),$AO$1006:$BQ$1006,0)), HYPERLINK("#",""), HYPERLINK(CONCATENATE("#Metadata!", ADDRESS(INDEX($AJ$2:$AJ$1001,MATCH(ROWS($AH$2:AH834),$AH$2:$AH$1001,0),0), INDEX($AO$1004:$BQ$1004,1,MATCH(COLUMNS($AO$1006:AY1006),$AO$1006:$BQ$1006,0)))),"Fix")))</f>
        <v>#N/A</v>
      </c>
      <c r="M834" s="5" t="e">
        <f ca="1">IF(OR(INDEX($AI$2:$AI$1001,MATCH(ROWS($AH$2:AH834),$AH$2:$AH$1001,0),1)&gt;=100000,INDEX($AO$1005:$BQ$1005,1,MATCH(COLUMNS($AO$1006:AZ1006),$AO$1006:$BQ$1006,0))&gt;=100000), " ",IF(INDEX($AO$2:$BQ$1001,MATCH(ROWS($AH$2:AH834),$AH$2:$AH$1001,0),MATCH(COLUMNS($AO$1006:AZ1006),$AO$1006:$BQ$1006,0)), HYPERLINK("#",""), HYPERLINK(CONCATENATE("#Metadata!", ADDRESS(INDEX($AJ$2:$AJ$1001,MATCH(ROWS($AH$2:AH834),$AH$2:$AH$1001,0),0), INDEX($AO$1004:$BQ$1004,1,MATCH(COLUMNS($AO$1006:AZ1006),$AO$1006:$BQ$1006,0)))),"Fix")))</f>
        <v>#N/A</v>
      </c>
      <c r="N834" s="5" t="e">
        <f ca="1">IF(OR(INDEX($AI$2:$AI$1001,MATCH(ROWS($AH$2:AH834),$AH$2:$AH$1001,0),1)&gt;=100000,INDEX($AO$1005:$BQ$1005,1,MATCH(COLUMNS($AO$1006:BA1006),$AO$1006:$BQ$1006,0))&gt;=100000), " ",IF(INDEX($AO$2:$BQ$1001,MATCH(ROWS($AH$2:AH834),$AH$2:$AH$1001,0),MATCH(COLUMNS($AO$1006:BA1006),$AO$1006:$BQ$1006,0)), HYPERLINK("#",""), HYPERLINK(CONCATENATE("#Metadata!", ADDRESS(INDEX($AJ$2:$AJ$1001,MATCH(ROWS($AH$2:AH834),$AH$2:$AH$1001,0),0), INDEX($AO$1004:$BQ$1004,1,MATCH(COLUMNS($AO$1006:BA1006),$AO$1006:$BQ$1006,0)))),"Fix")))</f>
        <v>#N/A</v>
      </c>
      <c r="O834" s="5" t="e">
        <f ca="1">IF(OR(INDEX($AI$2:$AI$1001,MATCH(ROWS($AH$2:AH834),$AH$2:$AH$1001,0),1)&gt;=100000,INDEX($AO$1005:$BQ$1005,1,MATCH(COLUMNS($AO$1006:BB1006),$AO$1006:$BQ$1006,0))&gt;=100000), " ",IF(INDEX($AO$2:$BQ$1001,MATCH(ROWS($AH$2:AH834),$AH$2:$AH$1001,0),MATCH(COLUMNS($AO$1006:BB1006),$AO$1006:$BQ$1006,0)), HYPERLINK("#",""), HYPERLINK(CONCATENATE("#Metadata!", ADDRESS(INDEX($AJ$2:$AJ$1001,MATCH(ROWS($AH$2:AH834),$AH$2:$AH$1001,0),0), INDEX($AO$1004:$BQ$1004,1,MATCH(COLUMNS($AO$1006:BB1006),$AO$1006:$BQ$1006,0)))),"Fix")))</f>
        <v>#N/A</v>
      </c>
      <c r="P834" s="5" t="e">
        <f ca="1">IF(OR(INDEX($AI$2:$AI$1001,MATCH(ROWS($AH$2:AH834),$AH$2:$AH$1001,0),1)&gt;=100000,INDEX($AO$1005:$BQ$1005,1,MATCH(COLUMNS($AO$1006:BC1006),$AO$1006:$BQ$1006,0))&gt;=100000), " ",IF(INDEX($AO$2:$BQ$1001,MATCH(ROWS($AH$2:AH834),$AH$2:$AH$1001,0),MATCH(COLUMNS($AO$1006:BC1006),$AO$1006:$BQ$1006,0)), HYPERLINK("#",""), HYPERLINK(CONCATENATE("#Metadata!", ADDRESS(INDEX($AJ$2:$AJ$1001,MATCH(ROWS($AH$2:AH834),$AH$2:$AH$1001,0),0), INDEX($AO$1004:$BQ$1004,1,MATCH(COLUMNS($AO$1006:BC1006),$AO$1006:$BQ$1006,0)))),"Fix")))</f>
        <v>#N/A</v>
      </c>
      <c r="Q834" s="5" t="e">
        <f ca="1">IF(OR(INDEX($AI$2:$AI$1001,MATCH(ROWS($AH$2:AH834),$AH$2:$AH$1001,0),1)&gt;=100000,INDEX($AO$1005:$BQ$1005,1,MATCH(COLUMNS($AO$1006:BD1006),$AO$1006:$BQ$1006,0))&gt;=100000), " ",IF(INDEX($AO$2:$BQ$1001,MATCH(ROWS($AH$2:AH834),$AH$2:$AH$1001,0),MATCH(COLUMNS($AO$1006:BD1006),$AO$1006:$BQ$1006,0)), HYPERLINK("#",""), HYPERLINK(CONCATENATE("#Metadata!", ADDRESS(INDEX($AJ$2:$AJ$1001,MATCH(ROWS($AH$2:AH834),$AH$2:$AH$1001,0),0), INDEX($AO$1004:$BQ$1004,1,MATCH(COLUMNS($AO$1006:BD1006),$AO$1006:$BQ$1006,0)))),"Fix")))</f>
        <v>#N/A</v>
      </c>
      <c r="R834" s="5" t="e">
        <f ca="1">IF(OR(INDEX($AI$2:$AI$1001,MATCH(ROWS($AH$2:AH834),$AH$2:$AH$1001,0),1)&gt;=100000,INDEX($AO$1005:$BQ$1005,1,MATCH(COLUMNS($AO$1006:BE1006),$AO$1006:$BQ$1006,0))&gt;=100000), " ",IF(INDEX($AO$2:$BQ$1001,MATCH(ROWS($AH$2:AH834),$AH$2:$AH$1001,0),MATCH(COLUMNS($AO$1006:BE1006),$AO$1006:$BQ$1006,0)), HYPERLINK("#",""), HYPERLINK(CONCATENATE("#Metadata!", ADDRESS(INDEX($AJ$2:$AJ$1001,MATCH(ROWS($AH$2:AH834),$AH$2:$AH$1001,0),0), INDEX($AO$1004:$BQ$1004,1,MATCH(COLUMNS($AO$1006:BE1006),$AO$1006:$BQ$1006,0)))),"Fix")))</f>
        <v>#N/A</v>
      </c>
      <c r="S834" s="5" t="e">
        <f ca="1">IF(OR(INDEX($AI$2:$AI$1001,MATCH(ROWS($AH$2:AH834),$AH$2:$AH$1001,0),1)&gt;=100000,INDEX($AO$1005:$BQ$1005,1,MATCH(COLUMNS($AO$1006:BF1006),$AO$1006:$BQ$1006,0))&gt;=100000), " ",IF(INDEX($AO$2:$BQ$1001,MATCH(ROWS($AH$2:AH834),$AH$2:$AH$1001,0),MATCH(COLUMNS($AO$1006:BF1006),$AO$1006:$BQ$1006,0)), HYPERLINK("#",""), HYPERLINK(CONCATENATE("#Metadata!", ADDRESS(INDEX($AJ$2:$AJ$1001,MATCH(ROWS($AH$2:AH834),$AH$2:$AH$1001,0),0), INDEX($AO$1004:$BQ$1004,1,MATCH(COLUMNS($AO$1006:BF1006),$AO$1006:$BQ$1006,0)))),"Fix")))</f>
        <v>#N/A</v>
      </c>
      <c r="T834" s="5" t="e">
        <f ca="1">IF(OR(INDEX($AI$2:$AI$1001,MATCH(ROWS($AH$2:AH834),$AH$2:$AH$1001,0),1)&gt;=100000,INDEX($AO$1005:$BQ$1005,1,MATCH(COLUMNS($AO$1006:BG1006),$AO$1006:$BQ$1006,0))&gt;=100000), " ",IF(INDEX($AO$2:$BQ$1001,MATCH(ROWS($AH$2:AH834),$AH$2:$AH$1001,0),MATCH(COLUMNS($AO$1006:BG1006),$AO$1006:$BQ$1006,0)), HYPERLINK("#",""), HYPERLINK(CONCATENATE("#Metadata!", ADDRESS(INDEX($AJ$2:$AJ$1001,MATCH(ROWS($AH$2:AH834),$AH$2:$AH$1001,0),0), INDEX($AO$1004:$BQ$1004,1,MATCH(COLUMNS($AO$1006:BG1006),$AO$1006:$BQ$1006,0)))),"Fix")))</f>
        <v>#N/A</v>
      </c>
      <c r="U834" s="5" t="e">
        <f ca="1">IF(OR(INDEX($AI$2:$AI$1001,MATCH(ROWS($AH$2:AH834),$AH$2:$AH$1001,0),1)&gt;=100000,INDEX($AO$1005:$BQ$1005,1,MATCH(COLUMNS($AO$1006:BH1006),$AO$1006:$BQ$1006,0))&gt;=100000), " ",IF(INDEX($AO$2:$BQ$1001,MATCH(ROWS($AH$2:AH834),$AH$2:$AH$1001,0),MATCH(COLUMNS($AO$1006:BH1006),$AO$1006:$BQ$1006,0)), HYPERLINK("#",""), HYPERLINK(CONCATENATE("#Metadata!", ADDRESS(INDEX($AJ$2:$AJ$1001,MATCH(ROWS($AH$2:AH834),$AH$2:$AH$1001,0),0), INDEX($AO$1004:$BQ$1004,1,MATCH(COLUMNS($AO$1006:BH1006),$AO$1006:$BQ$1006,0)))),"Fix")))</f>
        <v>#N/A</v>
      </c>
      <c r="V834" s="5" t="e">
        <f ca="1">IF(OR(INDEX($AI$2:$AI$1001,MATCH(ROWS($AH$2:AH834),$AH$2:$AH$1001,0),1)&gt;=100000,INDEX($AO$1005:$BQ$1005,1,MATCH(COLUMNS($AO$1006:BI1006),$AO$1006:$BQ$1006,0))&gt;=100000), " ",IF(INDEX($AO$2:$BQ$1001,MATCH(ROWS($AH$2:AH834),$AH$2:$AH$1001,0),MATCH(COLUMNS($AO$1006:BI1006),$AO$1006:$BQ$1006,0)), HYPERLINK("#",""), HYPERLINK(CONCATENATE("#Metadata!", ADDRESS(INDEX($AJ$2:$AJ$1001,MATCH(ROWS($AH$2:AH834),$AH$2:$AH$1001,0),0), INDEX($AO$1004:$BQ$1004,1,MATCH(COLUMNS($AO$1006:BI1006),$AO$1006:$BQ$1006,0)))),"Fix")))</f>
        <v>#N/A</v>
      </c>
      <c r="W834" s="5" t="e">
        <f ca="1">IF(OR(INDEX($AI$2:$AI$1001,MATCH(ROWS($AH$2:AH834),$AH$2:$AH$1001,0),1)&gt;=100000,INDEX($AO$1005:$BQ$1005,1,MATCH(COLUMNS($AO$1006:BJ1006),$AO$1006:$BQ$1006,0))&gt;=100000), " ",IF(INDEX($AO$2:$BQ$1001,MATCH(ROWS($AH$2:AH834),$AH$2:$AH$1001,0),MATCH(COLUMNS($AO$1006:BJ1006),$AO$1006:$BQ$1006,0)), HYPERLINK("#",""), HYPERLINK(CONCATENATE("#Metadata!", ADDRESS(INDEX($AJ$2:$AJ$1001,MATCH(ROWS($AH$2:AH834),$AH$2:$AH$1001,0),0), INDEX($AO$1004:$BQ$1004,1,MATCH(COLUMNS($AO$1006:BJ1006),$AO$1006:$BQ$1006,0)))),"Fix")))</f>
        <v>#N/A</v>
      </c>
      <c r="X834" s="5" t="e">
        <f ca="1">IF(OR(INDEX($AI$2:$AI$1001,MATCH(ROWS($AH$2:AH834),$AH$2:$AH$1001,0),1)&gt;=100000,INDEX($AO$1005:$BQ$1005,1,MATCH(COLUMNS($AO$1006:BK1006),$AO$1006:$BQ$1006,0))&gt;=100000), " ",IF(INDEX($AO$2:$BQ$1001,MATCH(ROWS($AH$2:AH834),$AH$2:$AH$1001,0),MATCH(COLUMNS($AO$1006:BK1006),$AO$1006:$BQ$1006,0)), HYPERLINK("#",""), HYPERLINK(CONCATENATE("#Metadata!", ADDRESS(INDEX($AJ$2:$AJ$1001,MATCH(ROWS($AH$2:AH834),$AH$2:$AH$1001,0),0), INDEX($AO$1004:$BQ$1004,1,MATCH(COLUMNS($AO$1006:BK1006),$AO$1006:$BQ$1006,0)))),"Fix")))</f>
        <v>#N/A</v>
      </c>
      <c r="Y834" s="5" t="e">
        <f ca="1">IF(OR(INDEX($AI$2:$AI$1001,MATCH(ROWS($AH$2:AH834),$AH$2:$AH$1001,0),1)&gt;=100000,INDEX($AO$1005:$BQ$1005,1,MATCH(COLUMNS($AO$1006:BL1006),$AO$1006:$BQ$1006,0))&gt;=100000), " ",IF(INDEX($AO$2:$BQ$1001,MATCH(ROWS($AH$2:AH834),$AH$2:$AH$1001,0),MATCH(COLUMNS($AO$1006:BL1006),$AO$1006:$BQ$1006,0)), HYPERLINK("#",""), HYPERLINK(CONCATENATE("#Metadata!", ADDRESS(INDEX($AJ$2:$AJ$1001,MATCH(ROWS($AH$2:AH834),$AH$2:$AH$1001,0),0), INDEX($AO$1004:$BQ$1004,1,MATCH(COLUMNS($AO$1006:BL1006),$AO$1006:$BQ$1006,0)))),"Fix")))</f>
        <v>#N/A</v>
      </c>
      <c r="Z834" s="5" t="e">
        <f ca="1">IF(OR(INDEX($AI$2:$AI$1001,MATCH(ROWS($AH$2:AH834),$AH$2:$AH$1001,0),1)&gt;=100000,INDEX($AO$1005:$BQ$1005,1,MATCH(COLUMNS($AO$1006:BM1006),$AO$1006:$BQ$1006,0))&gt;=100000), " ",IF(INDEX($AO$2:$BQ$1001,MATCH(ROWS($AH$2:AH834),$AH$2:$AH$1001,0),MATCH(COLUMNS($AO$1006:BM1006),$AO$1006:$BQ$1006,0)), HYPERLINK("#",""), HYPERLINK(CONCATENATE("#Metadata!", ADDRESS(INDEX($AJ$2:$AJ$1001,MATCH(ROWS($AH$2:AH834),$AH$2:$AH$1001,0),0), INDEX($AO$1004:$BQ$1004,1,MATCH(COLUMNS($AO$1006:BM1006),$AO$1006:$BQ$1006,0)))),"Fix")))</f>
        <v>#N/A</v>
      </c>
      <c r="AA834" s="5" t="e">
        <f ca="1">IF(OR(INDEX($AI$2:$AI$1001,MATCH(ROWS($AH$2:AH834),$AH$2:$AH$1001,0),1)&gt;=100000,INDEX($AO$1005:$BQ$1005,1,MATCH(COLUMNS($AO$1006:BN1006),$AO$1006:$BQ$1006,0))&gt;=100000), " ",IF(INDEX($AO$2:$BQ$1001,MATCH(ROWS($AH$2:AH834),$AH$2:$AH$1001,0),MATCH(COLUMNS($AO$1006:BN1006),$AO$1006:$BQ$1006,0)), HYPERLINK("#",""), HYPERLINK(CONCATENATE("#Metadata!", ADDRESS(INDEX($AJ$2:$AJ$1001,MATCH(ROWS($AH$2:AH834),$AH$2:$AH$1001,0),0), INDEX($AO$1004:$BQ$1004,1,MATCH(COLUMNS($AO$1006:BN1006),$AO$1006:$BQ$1006,0)))),"Fix")))</f>
        <v>#N/A</v>
      </c>
      <c r="AB834" s="5" t="e">
        <f ca="1">IF(OR(INDEX($AI$2:$AI$1001,MATCH(ROWS($AH$2:AH834),$AH$2:$AH$1001,0),1)&gt;=100000,INDEX($AO$1005:$BQ$1005,1,MATCH(COLUMNS($AO$1006:BO1006),$AO$1006:$BQ$1006,0))&gt;=100000), " ",IF(INDEX($AO$2:$BQ$1001,MATCH(ROWS($AH$2:AH834),$AH$2:$AH$1001,0),MATCH(COLUMNS($AO$1006:BO1006),$AO$1006:$BQ$1006,0)), HYPERLINK("#",""), HYPERLINK(CONCATENATE("#Metadata!", ADDRESS(INDEX($AJ$2:$AJ$1001,MATCH(ROWS($AH$2:AH834),$AH$2:$AH$1001,0),0), INDEX($AO$1004:$BQ$1004,1,MATCH(COLUMNS($AO$1006:BO1006),$AO$1006:$BQ$1006,0)))),"Fix")))</f>
        <v>#N/A</v>
      </c>
      <c r="AC834" s="5" t="e">
        <f ca="1">IF(OR(INDEX($AI$2:$AI$1001,MATCH(ROWS($AH$2:AH834),$AH$2:$AH$1001,0),1)&gt;=100000,INDEX($AO$1005:$BQ$1005,1,MATCH(COLUMNS($AO$1006:BP1006),$AO$1006:$BQ$1006,0))&gt;=100000), " ",IF(INDEX($AO$2:$BQ$1001,MATCH(ROWS($AH$2:AH834),$AH$2:$AH$1001,0),MATCH(COLUMNS($AO$1006:BP1006),$AO$1006:$BQ$1006,0)), HYPERLINK("#",""), HYPERLINK(CONCATENATE("#Metadata!", ADDRESS(INDEX($AJ$2:$AJ$1001,MATCH(ROWS($AH$2:AH834),$AH$2:$AH$1001,0),0), INDEX($AO$1004:$BQ$1004,1,MATCH(COLUMNS($AO$1006:BP1006),$AO$1006:$BQ$1006,0)))),"Fix")))</f>
        <v>#N/A</v>
      </c>
      <c r="AD834" s="5" t="e">
        <f ca="1">IF(OR(INDEX($AI$2:$AI$1001,MATCH(ROWS($AH$2:AH834),$AH$2:$AH$1001,0),1)&gt;=100000,INDEX($AO$1005:$BQ$1005,1,MATCH(COLUMNS($AO$1006:BQ1006),$AO$1006:$BQ$1006,0))&gt;=100000), " ",IF(INDEX($AO$2:$BQ$1001,MATCH(ROWS($AH$2:AH834),$AH$2:$AH$1001,0),MATCH(COLUMNS($AO$1006:BQ1006),$AO$1006:$BQ$1006,0)), HYPERLINK("#",""), HYPERLINK(CONCATENATE("#Metadata!", ADDRESS(INDEX($AJ$2:$AJ$1001,MATCH(ROWS($AH$2:AH834),$AH$2:$AH$1001,0),0), INDEX($AO$1004:$BQ$1004,1,MATCH(COLUMNS($AO$1006:BQ1006),$AO$1006:$BQ$1006,0)))),"Fix")))</f>
        <v>#REF!</v>
      </c>
      <c r="AH834">
        <f ca="1"/>
        <v>831</v>
      </c>
      <c r="AI834">
        <v>100834</v>
      </c>
      <c r="AJ834">
        <v>834</v>
      </c>
      <c r="AK834" t="b">
        <f t="shared" ref="AK834:AK897" si="13">IF(AL834,TRUE,AND(AO834:BQ834))</f>
        <v>1</v>
      </c>
      <c r="AL834" t="b">
        <f>COUNTBLANK(Metadata!B834:AD834)=COLUMNS(Metadata!B834:AD834)</f>
        <v>1</v>
      </c>
      <c r="AM834" t="str">
        <v/>
      </c>
      <c r="AO834" t="b">
        <f ca="1">AND(IF(Metadata!B834="",FALSE,TRUE),COUNTIF(Metadata!B:B, Metadata!B834) = 1,NOT(ISERROR(SUMPRODUCT(SEARCH(MID(Metadata!B834,ROW(INDIRECT("1:"&amp;LEN(Metadata!B834))), 1),"0123456789abcdefghijklmnopqrstuvwxyzABCDEFGHIJKLMNOPQRSTUVWXYZ.")))))</f>
        <v>0</v>
      </c>
      <c r="AP834" t="b">
        <f>IF(Metadata!C834="",FALSE,TRUE)</f>
        <v>0</v>
      </c>
      <c r="AQ834" t="b">
        <f>IF(Metadata!D834="",FALSE,TRUE)</f>
        <v>0</v>
      </c>
      <c r="AR834" t="b">
        <f ca="1">OR(AND(IF(Metadata!E834="",FALSE,TRUE),OR(EXACT(Metadata!E834,"not collected"),EXACT(Metadata!E834,"not provided"),EXACT(Metadata!E834,"restricted access"))),AND(IF(Metadata!E834="",FALSE,TRUE),AND(AND(IFERROR(INT(LEFT(Metadata!E834,4))&gt;1900,FALSE),IFERROR(INT(LEFT(Metadata!E834,4))&lt;=YEAR(NOW()),FALSE)), OR(MID(Metadata!E834,5,1)="", AND(AND(MID(Metadata!E834,5,1)="-",IFERROR(INT(MID(Metadata!E834,6,1))&gt;=0,FALSE),IFERROR(INT(MID(Metadata!E834,6,1))&lt;=1,FALSE),NOT(MID(Metadata!E834,7,1)=""),IFERROR(INT(MID(Metadata!E834,6,2))&gt;=1,FALSE),IFERROR(INT(MID(Metadata!E834,6,2))&lt;=12,FALSE)), OR(MID(Metadata!E834,8,1)="", AND(AND(MID(Metadata!E834,8,1)="-",IFERROR(INT(MID(Metadata!E834,9,1))&gt;=0,FALSE),IFERROR(INT(MID(Metadata!E834,9,1))&lt;=3,FALSE),NOT(MID(Metadata!E834,10,1)=""),IFERROR(INT(MID(Metadata!E834,9,2))&gt;=1,FALSE),IFERROR(INT(MID(Metadata!E834,9,2))&lt;=31,FALSE)), OR(MID(Metadata!E834,11,1)="", AND(AND(MID(Metadata!E834,11,1)=" ",IFERROR(INT(MID(Metadata!E834,12,1))&gt;=0,FALSE),IFERROR(INT(MID(Metadata!E834,12,1))&lt;=2,FALSE),NOT(MID(Metadata!E834,13,1)=""),IFERROR(INT(MID(Metadata!E834,12,2))&gt;=0,FALSE),IFERROR(INT(MID(Metadata!E834,12,2))&lt;=23,FALSE)), OR(MID(Metadata!E834,14,1)="", AND(AND(MID(Metadata!E834,14,1)=":",IFERROR(INT(MID(Metadata!E834,15,1))&gt;=0,FALSE),IFERROR(INT(MID(Metadata!E834,15,1))&lt;=5,FALSE),NOT(MID(Metadata!E834,16,1)=""),IFERROR(INT(MID(Metadata!E834,15,2))&gt;=0,FALSE),IFERROR(INT(MID(Metadata!E834,15,2))&lt;=59,FALSE)), OR(MID(Metadata!E834,17,1)="", AND(AND(MID(Metadata!E834,17,1)=":",IFERROR(INT(MID(Metadata!E834,18,1))&gt;=0,FALSE),IFERROR(INT(MID(Metadata!E834,18,1))&lt;=5,FALSE),NOT(MID(Metadata!E834,19,1)=""),IFERROR(INT(MID(Metadata!E834,18,2))&gt;=0,FALSE),IFERROR(INT(MID(Metadata!E834,18,2))&lt;=59,FALSE)), LEN(Metadata!E834)&lt;=19)))))))))))))</f>
        <v>0</v>
      </c>
      <c r="AS834" t="b">
        <f>IF(Metadata!F834="",FALSE,TRUE)</f>
        <v>0</v>
      </c>
      <c r="AT834" t="b">
        <f>OR(AND(IF(Metadata!G834="",FALSE,TRUE),OR(EXACT(Metadata!G834,"not collected"),EXACT(Metadata!G834,"not provided"))),AND(IF(Metadata!G834="",FALSE,TRUE),OR(EXACT(Metadata!G834,"TRUE"),EXACT(Metadata!G834,"FALSE"))))</f>
        <v>0</v>
      </c>
      <c r="AU834" t="b">
        <f>OR(AND(IF(Metadata!H834="",FALSE,TRUE),OR(EXACT(Metadata!H834,"not collected"),EXACT(Metadata!H834,"not provided"),EXACT(Metadata!H834,"restricted access"))),AND(IF(Metadata!H834="",FALSE,ISNUMBER(VALUE(Metadata!H834))),Metadata!H834&gt;=-413))</f>
        <v>0</v>
      </c>
      <c r="AV834" t="b">
        <f>AND(IF(Metadata!I834="",FALSE,TRUE),EXACT(Metadata!I834,"meters"))</f>
        <v>0</v>
      </c>
      <c r="AW834" t="b">
        <f>AND(IF(Metadata!J834="",FALSE,TRUE),EXACT(Metadata!J834,"free-living"))</f>
        <v>0</v>
      </c>
      <c r="AX834" t="b">
        <f>AND(IF(Metadata!K834="",FALSE,TRUE),OR(EXACT(Metadata!K834,"saline"),EXACT(Metadata!K834,"non-saline")))</f>
        <v>0</v>
      </c>
      <c r="AY834" t="b">
        <f>AND(IF(Metadata!L834="",FALSE,TRUE),OR(EXACT(Metadata!L834,"sub-surface (non-saline)"),EXACT(Metadata!L834,"surface (non-saline)"),EXACT(Metadata!L834,"water (non-saline)"),EXACT(Metadata!L834,"soil (non-saline)"),EXACT(Metadata!L834,"aerosol (non-saline)"),EXACT(Metadata!L834,"sediment (non-saline)"),EXACT(Metadata!L834,"surface (saline)"),EXACT(Metadata!L834,"water (saline)"),EXACT(Metadata!L834,"hypersaline (saline)"),EXACT(Metadata!L834,"aerosol (saline)"),EXACT(Metadata!L834,"sediment (saline)")))</f>
        <v>0</v>
      </c>
      <c r="AZ834" t="b">
        <f>IF(Metadata!M834="",FALSE,TRUE)</f>
        <v>0</v>
      </c>
      <c r="BA834" t="b">
        <f>IF(Metadata!N834="",FALSE,TRUE)</f>
        <v>0</v>
      </c>
      <c r="BB834" t="b">
        <f>IF(Metadata!O834="",FALSE,TRUE)</f>
        <v>0</v>
      </c>
      <c r="BC834" t="b">
        <f>AND(IF(Metadata!P834="",FALSE,TRUE),OR(EXACT(Metadata!P834,"air"),EXACT(Metadata!P834,"microbial mat/biofilm"),EXACT(Metadata!P834,"misc environment"),EXACT(Metadata!P834,"sediment"),EXACT(Metadata!P834,"soil"),EXACT(Metadata!P834,"wastewater/sludge"),EXACT(Metadata!P834,"water")))</f>
        <v>0</v>
      </c>
      <c r="BD834" t="b">
        <f>IF(Metadata!Q834="",FALSE,TRUE)</f>
        <v>0</v>
      </c>
      <c r="BE834" t="b">
        <f>IF(Metadata!R834="",FALSE,TRUE)</f>
        <v>0</v>
      </c>
      <c r="BF834" t="b">
        <f>OR(AND(IF(Metadata!S834="",FALSE,TRUE),OR(EXACT(Metadata!S834,"not collected"),EXACT(Metadata!S834,"not provided"),EXACT(Metadata!S834,"restricted access"))),AND(IF(Metadata!S834="",FALSE,ISNUMBER(VALUE(Metadata!S834))),Metadata!S834&gt;=-90,Metadata!S834&lt;=90))</f>
        <v>0</v>
      </c>
      <c r="BG834" t="b">
        <f>AND(IF(Metadata!T834="",FALSE,TRUE),EXACT(Metadata!T834,"Decimal degrees"))</f>
        <v>0</v>
      </c>
      <c r="BH834" t="b">
        <f>OR(AND(IF(Metadata!U834="",FALSE,TRUE),OR(EXACT(Metadata!U834,"not applicable"),EXACT(Metadata!U834,"not collected"))),IF(Metadata!U834="",FALSE,TRUE))</f>
        <v>0</v>
      </c>
      <c r="BI834" t="b">
        <f>OR(AND(IF(Metadata!V834="",FALSE,TRUE),OR(EXACT(Metadata!V834,"not collected"),EXACT(Metadata!V834,"not provided"),EXACT(Metadata!V834,"restricted access"))),AND(IF(Metadata!V834="",FALSE,ISNUMBER(VALUE(Metadata!V834))),Metadata!V834&gt;=-180,Metadata!V834&lt;=180))</f>
        <v>0</v>
      </c>
      <c r="BJ834" t="b">
        <f>AND(IF(Metadata!W834="",FALSE,TRUE),EXACT(Metadata!W834,"Decimal degrees"))</f>
        <v>0</v>
      </c>
      <c r="BK834" t="b">
        <f>IF(Metadata!X834="",FALSE,TRUE)</f>
        <v>0</v>
      </c>
      <c r="BL834" t="b">
        <f>OR(AND(IF(Metadata!Y834="",FALSE,TRUE),OR(EXACT(Metadata!Y834,"not collected"),EXACT(Metadata!Y834,"not provided"),EXACT(Metadata!Y834,"restricted access"))),AND(IF(Metadata!Y834="",FALSE,TRUE),OR(EXACT(Metadata!Y834,"TRUE"),EXACT(Metadata!Y834,"FALSE"))))</f>
        <v>0</v>
      </c>
      <c r="BM834" t="b">
        <f>OR(AND(IF(Metadata!Z834="",FALSE,TRUE),EXACT(Metadata!Z834,"not applicable")),AND(IF(Metadata!Z834="",FALSE,TRUE),OR(EXACT(Metadata!Z834,"beer"),EXACT(Metadata!Z834,"cheese"),EXACT(Metadata!Z834,"fresh water"),EXACT(Metadata!Z834,"marine sediment"),EXACT(Metadata!Z834,"sea water"),EXACT(Metadata!Z834,"sediment"),EXACT(Metadata!Z834,"soil"),EXACT(Metadata!Z834,"waste water"))))</f>
        <v>0</v>
      </c>
      <c r="BN834" t="b">
        <f>AND(IF(Metadata!AA834="",FALSE,TRUE),EXACT(Metadata!AA834,"metagenome"))</f>
        <v>0</v>
      </c>
      <c r="BO834" t="b">
        <f>AND(IF(Metadata!AB834="",FALSE,TRUE),EXACT(Metadata!AB834,"256318"))</f>
        <v>0</v>
      </c>
      <c r="BP834" t="b">
        <f>IF(Metadata!AC834="",FALSE,TRUE)</f>
        <v>0</v>
      </c>
      <c r="BQ834" t="b">
        <f>IF(Metadata!AD834="",FALSE,TRUE)</f>
        <v>0</v>
      </c>
    </row>
    <row r="835" spans="1:69" x14ac:dyDescent="0.2">
      <c r="A835" s="4" t="e">
        <f ca="1">IF(B835=" "," ",HYPERLINK(CONCATENATE("#metadata!",ADDRESS(INDEX($AJ$2:$AJ$1001,MATCH(ROWS($AH$2:AH835),$AH$2:$AH$1001,0),0),2)),INDEX($AM$2:$AM$1001,MATCH(ROWS($AH$2:AH835),$AH$2:$AH$1001,0),0)))</f>
        <v>#N/A</v>
      </c>
      <c r="B835" s="5" t="e">
        <f ca="1">IF(OR(INDEX($AI$2:$AI$1001,MATCH(ROWS($AH$2:AH835),$AH$2:$AH$1001,0),1)&gt;=100000,INDEX($AO$1005:$BQ$1005,1,MATCH(COLUMNS($AO$1006:AO1006),$AO$1006:$BQ$1006,0))&gt;=100000), " ",IF(INDEX($AO$2:$BQ$1001,MATCH(ROWS($AH$2:AH835),$AH$2:$AH$1001,0),MATCH(COLUMNS($AO$1006:AO1006),$AO$1006:$BQ$1006,0)), HYPERLINK("#",""), HYPERLINK(CONCATENATE("#Metadata!", ADDRESS(INDEX($AJ$2:$AJ$1001,MATCH(ROWS($AH$2:AH835),$AH$2:$AH$1001,0),0), INDEX($AO$1004:$BQ$1004,1,MATCH(COLUMNS($AO$1006:AO1006),$AO$1006:$BQ$1006,0)))),"Fix")))</f>
        <v>#N/A</v>
      </c>
      <c r="C835" s="5" t="e">
        <f ca="1">IF(OR(INDEX($AI$2:$AI$1001,MATCH(ROWS($AH$2:AH835),$AH$2:$AH$1001,0),1)&gt;=100000,INDEX($AO$1005:$BQ$1005,1,MATCH(COLUMNS($AO$1006:AP1006),$AO$1006:$BQ$1006,0))&gt;=100000), " ",IF(INDEX($AO$2:$BQ$1001,MATCH(ROWS($AH$2:AH835),$AH$2:$AH$1001,0),MATCH(COLUMNS($AO$1006:AP1006),$AO$1006:$BQ$1006,0)), HYPERLINK("#",""), HYPERLINK(CONCATENATE("#Metadata!", ADDRESS(INDEX($AJ$2:$AJ$1001,MATCH(ROWS($AH$2:AH835),$AH$2:$AH$1001,0),0), INDEX($AO$1004:$BQ$1004,1,MATCH(COLUMNS($AO$1006:AP1006),$AO$1006:$BQ$1006,0)))),"Fix")))</f>
        <v>#N/A</v>
      </c>
      <c r="D835" s="5" t="e">
        <f ca="1">IF(OR(INDEX($AI$2:$AI$1001,MATCH(ROWS($AH$2:AH835),$AH$2:$AH$1001,0),1)&gt;=100000,INDEX($AO$1005:$BQ$1005,1,MATCH(COLUMNS($AO$1006:AQ1006),$AO$1006:$BQ$1006,0))&gt;=100000), " ",IF(INDEX($AO$2:$BQ$1001,MATCH(ROWS($AH$2:AH835),$AH$2:$AH$1001,0),MATCH(COLUMNS($AO$1006:AQ1006),$AO$1006:$BQ$1006,0)), HYPERLINK("#",""), HYPERLINK(CONCATENATE("#Metadata!", ADDRESS(INDEX($AJ$2:$AJ$1001,MATCH(ROWS($AH$2:AH835),$AH$2:$AH$1001,0),0), INDEX($AO$1004:$BQ$1004,1,MATCH(COLUMNS($AO$1006:AQ1006),$AO$1006:$BQ$1006,0)))),"Fix")))</f>
        <v>#N/A</v>
      </c>
      <c r="E835" s="5" t="e">
        <f ca="1">IF(OR(INDEX($AI$2:$AI$1001,MATCH(ROWS($AH$2:AH835),$AH$2:$AH$1001,0),1)&gt;=100000,INDEX($AO$1005:$BQ$1005,1,MATCH(COLUMNS($AO$1006:AR1006),$AO$1006:$BQ$1006,0))&gt;=100000), " ",IF(INDEX($AO$2:$BQ$1001,MATCH(ROWS($AH$2:AH835),$AH$2:$AH$1001,0),MATCH(COLUMNS($AO$1006:AR1006),$AO$1006:$BQ$1006,0)), HYPERLINK("#",""), HYPERLINK(CONCATENATE("#Metadata!", ADDRESS(INDEX($AJ$2:$AJ$1001,MATCH(ROWS($AH$2:AH835),$AH$2:$AH$1001,0),0), INDEX($AO$1004:$BQ$1004,1,MATCH(COLUMNS($AO$1006:AR1006),$AO$1006:$BQ$1006,0)))),"Fix")))</f>
        <v>#N/A</v>
      </c>
      <c r="F835" s="5" t="e">
        <f ca="1">IF(OR(INDEX($AI$2:$AI$1001,MATCH(ROWS($AH$2:AH835),$AH$2:$AH$1001,0),1)&gt;=100000,INDEX($AO$1005:$BQ$1005,1,MATCH(COLUMNS($AO$1006:AS1006),$AO$1006:$BQ$1006,0))&gt;=100000), " ",IF(INDEX($AO$2:$BQ$1001,MATCH(ROWS($AH$2:AH835),$AH$2:$AH$1001,0),MATCH(COLUMNS($AO$1006:AS1006),$AO$1006:$BQ$1006,0)), HYPERLINK("#",""), HYPERLINK(CONCATENATE("#Metadata!", ADDRESS(INDEX($AJ$2:$AJ$1001,MATCH(ROWS($AH$2:AH835),$AH$2:$AH$1001,0),0), INDEX($AO$1004:$BQ$1004,1,MATCH(COLUMNS($AO$1006:AS1006),$AO$1006:$BQ$1006,0)))),"Fix")))</f>
        <v>#N/A</v>
      </c>
      <c r="G835" s="5" t="e">
        <f ca="1">IF(OR(INDEX($AI$2:$AI$1001,MATCH(ROWS($AH$2:AH835),$AH$2:$AH$1001,0),1)&gt;=100000,INDEX($AO$1005:$BQ$1005,1,MATCH(COLUMNS($AO$1006:AT1006),$AO$1006:$BQ$1006,0))&gt;=100000), " ",IF(INDEX($AO$2:$BQ$1001,MATCH(ROWS($AH$2:AH835),$AH$2:$AH$1001,0),MATCH(COLUMNS($AO$1006:AT1006),$AO$1006:$BQ$1006,0)), HYPERLINK("#",""), HYPERLINK(CONCATENATE("#Metadata!", ADDRESS(INDEX($AJ$2:$AJ$1001,MATCH(ROWS($AH$2:AH835),$AH$2:$AH$1001,0),0), INDEX($AO$1004:$BQ$1004,1,MATCH(COLUMNS($AO$1006:AT1006),$AO$1006:$BQ$1006,0)))),"Fix")))</f>
        <v>#N/A</v>
      </c>
      <c r="H835" s="5" t="e">
        <f ca="1">IF(OR(INDEX($AI$2:$AI$1001,MATCH(ROWS($AH$2:AH835),$AH$2:$AH$1001,0),1)&gt;=100000,INDEX($AO$1005:$BQ$1005,1,MATCH(COLUMNS($AO$1006:AU1006),$AO$1006:$BQ$1006,0))&gt;=100000), " ",IF(INDEX($AO$2:$BQ$1001,MATCH(ROWS($AH$2:AH835),$AH$2:$AH$1001,0),MATCH(COLUMNS($AO$1006:AU1006),$AO$1006:$BQ$1006,0)), HYPERLINK("#",""), HYPERLINK(CONCATENATE("#Metadata!", ADDRESS(INDEX($AJ$2:$AJ$1001,MATCH(ROWS($AH$2:AH835),$AH$2:$AH$1001,0),0), INDEX($AO$1004:$BQ$1004,1,MATCH(COLUMNS($AO$1006:AU1006),$AO$1006:$BQ$1006,0)))),"Fix")))</f>
        <v>#N/A</v>
      </c>
      <c r="I835" s="5" t="e">
        <f ca="1">IF(OR(INDEX($AI$2:$AI$1001,MATCH(ROWS($AH$2:AH835),$AH$2:$AH$1001,0),1)&gt;=100000,INDEX($AO$1005:$BQ$1005,1,MATCH(COLUMNS($AO$1006:AV1006),$AO$1006:$BQ$1006,0))&gt;=100000), " ",IF(INDEX($AO$2:$BQ$1001,MATCH(ROWS($AH$2:AH835),$AH$2:$AH$1001,0),MATCH(COLUMNS($AO$1006:AV1006),$AO$1006:$BQ$1006,0)), HYPERLINK("#",""), HYPERLINK(CONCATENATE("#Metadata!", ADDRESS(INDEX($AJ$2:$AJ$1001,MATCH(ROWS($AH$2:AH835),$AH$2:$AH$1001,0),0), INDEX($AO$1004:$BQ$1004,1,MATCH(COLUMNS($AO$1006:AV1006),$AO$1006:$BQ$1006,0)))),"Fix")))</f>
        <v>#N/A</v>
      </c>
      <c r="J835" s="5" t="e">
        <f ca="1">IF(OR(INDEX($AI$2:$AI$1001,MATCH(ROWS($AH$2:AH835),$AH$2:$AH$1001,0),1)&gt;=100000,INDEX($AO$1005:$BQ$1005,1,MATCH(COLUMNS($AO$1006:AW1006),$AO$1006:$BQ$1006,0))&gt;=100000), " ",IF(INDEX($AO$2:$BQ$1001,MATCH(ROWS($AH$2:AH835),$AH$2:$AH$1001,0),MATCH(COLUMNS($AO$1006:AW1006),$AO$1006:$BQ$1006,0)), HYPERLINK("#",""), HYPERLINK(CONCATENATE("#Metadata!", ADDRESS(INDEX($AJ$2:$AJ$1001,MATCH(ROWS($AH$2:AH835),$AH$2:$AH$1001,0),0), INDEX($AO$1004:$BQ$1004,1,MATCH(COLUMNS($AO$1006:AW1006),$AO$1006:$BQ$1006,0)))),"Fix")))</f>
        <v>#N/A</v>
      </c>
      <c r="K835" s="5" t="e">
        <f ca="1">IF(OR(INDEX($AI$2:$AI$1001,MATCH(ROWS($AH$2:AH835),$AH$2:$AH$1001,0),1)&gt;=100000,INDEX($AO$1005:$BQ$1005,1,MATCH(COLUMNS($AO$1006:AX1006),$AO$1006:$BQ$1006,0))&gt;=100000), " ",IF(INDEX($AO$2:$BQ$1001,MATCH(ROWS($AH$2:AH835),$AH$2:$AH$1001,0),MATCH(COLUMNS($AO$1006:AX1006),$AO$1006:$BQ$1006,0)), HYPERLINK("#",""), HYPERLINK(CONCATENATE("#Metadata!", ADDRESS(INDEX($AJ$2:$AJ$1001,MATCH(ROWS($AH$2:AH835),$AH$2:$AH$1001,0),0), INDEX($AO$1004:$BQ$1004,1,MATCH(COLUMNS($AO$1006:AX1006),$AO$1006:$BQ$1006,0)))),"Fix")))</f>
        <v>#N/A</v>
      </c>
      <c r="L835" s="5" t="e">
        <f ca="1">IF(OR(INDEX($AI$2:$AI$1001,MATCH(ROWS($AH$2:AH835),$AH$2:$AH$1001,0),1)&gt;=100000,INDEX($AO$1005:$BQ$1005,1,MATCH(COLUMNS($AO$1006:AY1006),$AO$1006:$BQ$1006,0))&gt;=100000), " ",IF(INDEX($AO$2:$BQ$1001,MATCH(ROWS($AH$2:AH835),$AH$2:$AH$1001,0),MATCH(COLUMNS($AO$1006:AY1006),$AO$1006:$BQ$1006,0)), HYPERLINK("#",""), HYPERLINK(CONCATENATE("#Metadata!", ADDRESS(INDEX($AJ$2:$AJ$1001,MATCH(ROWS($AH$2:AH835),$AH$2:$AH$1001,0),0), INDEX($AO$1004:$BQ$1004,1,MATCH(COLUMNS($AO$1006:AY1006),$AO$1006:$BQ$1006,0)))),"Fix")))</f>
        <v>#N/A</v>
      </c>
      <c r="M835" s="5" t="e">
        <f ca="1">IF(OR(INDEX($AI$2:$AI$1001,MATCH(ROWS($AH$2:AH835),$AH$2:$AH$1001,0),1)&gt;=100000,INDEX($AO$1005:$BQ$1005,1,MATCH(COLUMNS($AO$1006:AZ1006),$AO$1006:$BQ$1006,0))&gt;=100000), " ",IF(INDEX($AO$2:$BQ$1001,MATCH(ROWS($AH$2:AH835),$AH$2:$AH$1001,0),MATCH(COLUMNS($AO$1006:AZ1006),$AO$1006:$BQ$1006,0)), HYPERLINK("#",""), HYPERLINK(CONCATENATE("#Metadata!", ADDRESS(INDEX($AJ$2:$AJ$1001,MATCH(ROWS($AH$2:AH835),$AH$2:$AH$1001,0),0), INDEX($AO$1004:$BQ$1004,1,MATCH(COLUMNS($AO$1006:AZ1006),$AO$1006:$BQ$1006,0)))),"Fix")))</f>
        <v>#N/A</v>
      </c>
      <c r="N835" s="5" t="e">
        <f ca="1">IF(OR(INDEX($AI$2:$AI$1001,MATCH(ROWS($AH$2:AH835),$AH$2:$AH$1001,0),1)&gt;=100000,INDEX($AO$1005:$BQ$1005,1,MATCH(COLUMNS($AO$1006:BA1006),$AO$1006:$BQ$1006,0))&gt;=100000), " ",IF(INDEX($AO$2:$BQ$1001,MATCH(ROWS($AH$2:AH835),$AH$2:$AH$1001,0),MATCH(COLUMNS($AO$1006:BA1006),$AO$1006:$BQ$1006,0)), HYPERLINK("#",""), HYPERLINK(CONCATENATE("#Metadata!", ADDRESS(INDEX($AJ$2:$AJ$1001,MATCH(ROWS($AH$2:AH835),$AH$2:$AH$1001,0),0), INDEX($AO$1004:$BQ$1004,1,MATCH(COLUMNS($AO$1006:BA1006),$AO$1006:$BQ$1006,0)))),"Fix")))</f>
        <v>#N/A</v>
      </c>
      <c r="O835" s="5" t="e">
        <f ca="1">IF(OR(INDEX($AI$2:$AI$1001,MATCH(ROWS($AH$2:AH835),$AH$2:$AH$1001,0),1)&gt;=100000,INDEX($AO$1005:$BQ$1005,1,MATCH(COLUMNS($AO$1006:BB1006),$AO$1006:$BQ$1006,0))&gt;=100000), " ",IF(INDEX($AO$2:$BQ$1001,MATCH(ROWS($AH$2:AH835),$AH$2:$AH$1001,0),MATCH(COLUMNS($AO$1006:BB1006),$AO$1006:$BQ$1006,0)), HYPERLINK("#",""), HYPERLINK(CONCATENATE("#Metadata!", ADDRESS(INDEX($AJ$2:$AJ$1001,MATCH(ROWS($AH$2:AH835),$AH$2:$AH$1001,0),0), INDEX($AO$1004:$BQ$1004,1,MATCH(COLUMNS($AO$1006:BB1006),$AO$1006:$BQ$1006,0)))),"Fix")))</f>
        <v>#N/A</v>
      </c>
      <c r="P835" s="5" t="e">
        <f ca="1">IF(OR(INDEX($AI$2:$AI$1001,MATCH(ROWS($AH$2:AH835),$AH$2:$AH$1001,0),1)&gt;=100000,INDEX($AO$1005:$BQ$1005,1,MATCH(COLUMNS($AO$1006:BC1006),$AO$1006:$BQ$1006,0))&gt;=100000), " ",IF(INDEX($AO$2:$BQ$1001,MATCH(ROWS($AH$2:AH835),$AH$2:$AH$1001,0),MATCH(COLUMNS($AO$1006:BC1006),$AO$1006:$BQ$1006,0)), HYPERLINK("#",""), HYPERLINK(CONCATENATE("#Metadata!", ADDRESS(INDEX($AJ$2:$AJ$1001,MATCH(ROWS($AH$2:AH835),$AH$2:$AH$1001,0),0), INDEX($AO$1004:$BQ$1004,1,MATCH(COLUMNS($AO$1006:BC1006),$AO$1006:$BQ$1006,0)))),"Fix")))</f>
        <v>#N/A</v>
      </c>
      <c r="Q835" s="5" t="e">
        <f ca="1">IF(OR(INDEX($AI$2:$AI$1001,MATCH(ROWS($AH$2:AH835),$AH$2:$AH$1001,0),1)&gt;=100000,INDEX($AO$1005:$BQ$1005,1,MATCH(COLUMNS($AO$1006:BD1006),$AO$1006:$BQ$1006,0))&gt;=100000), " ",IF(INDEX($AO$2:$BQ$1001,MATCH(ROWS($AH$2:AH835),$AH$2:$AH$1001,0),MATCH(COLUMNS($AO$1006:BD1006),$AO$1006:$BQ$1006,0)), HYPERLINK("#",""), HYPERLINK(CONCATENATE("#Metadata!", ADDRESS(INDEX($AJ$2:$AJ$1001,MATCH(ROWS($AH$2:AH835),$AH$2:$AH$1001,0),0), INDEX($AO$1004:$BQ$1004,1,MATCH(COLUMNS($AO$1006:BD1006),$AO$1006:$BQ$1006,0)))),"Fix")))</f>
        <v>#N/A</v>
      </c>
      <c r="R835" s="5" t="e">
        <f ca="1">IF(OR(INDEX($AI$2:$AI$1001,MATCH(ROWS($AH$2:AH835),$AH$2:$AH$1001,0),1)&gt;=100000,INDEX($AO$1005:$BQ$1005,1,MATCH(COLUMNS($AO$1006:BE1006),$AO$1006:$BQ$1006,0))&gt;=100000), " ",IF(INDEX($AO$2:$BQ$1001,MATCH(ROWS($AH$2:AH835),$AH$2:$AH$1001,0),MATCH(COLUMNS($AO$1006:BE1006),$AO$1006:$BQ$1006,0)), HYPERLINK("#",""), HYPERLINK(CONCATENATE("#Metadata!", ADDRESS(INDEX($AJ$2:$AJ$1001,MATCH(ROWS($AH$2:AH835),$AH$2:$AH$1001,0),0), INDEX($AO$1004:$BQ$1004,1,MATCH(COLUMNS($AO$1006:BE1006),$AO$1006:$BQ$1006,0)))),"Fix")))</f>
        <v>#N/A</v>
      </c>
      <c r="S835" s="5" t="e">
        <f ca="1">IF(OR(INDEX($AI$2:$AI$1001,MATCH(ROWS($AH$2:AH835),$AH$2:$AH$1001,0),1)&gt;=100000,INDEX($AO$1005:$BQ$1005,1,MATCH(COLUMNS($AO$1006:BF1006),$AO$1006:$BQ$1006,0))&gt;=100000), " ",IF(INDEX($AO$2:$BQ$1001,MATCH(ROWS($AH$2:AH835),$AH$2:$AH$1001,0),MATCH(COLUMNS($AO$1006:BF1006),$AO$1006:$BQ$1006,0)), HYPERLINK("#",""), HYPERLINK(CONCATENATE("#Metadata!", ADDRESS(INDEX($AJ$2:$AJ$1001,MATCH(ROWS($AH$2:AH835),$AH$2:$AH$1001,0),0), INDEX($AO$1004:$BQ$1004,1,MATCH(COLUMNS($AO$1006:BF1006),$AO$1006:$BQ$1006,0)))),"Fix")))</f>
        <v>#N/A</v>
      </c>
      <c r="T835" s="5" t="e">
        <f ca="1">IF(OR(INDEX($AI$2:$AI$1001,MATCH(ROWS($AH$2:AH835),$AH$2:$AH$1001,0),1)&gt;=100000,INDEX($AO$1005:$BQ$1005,1,MATCH(COLUMNS($AO$1006:BG1006),$AO$1006:$BQ$1006,0))&gt;=100000), " ",IF(INDEX($AO$2:$BQ$1001,MATCH(ROWS($AH$2:AH835),$AH$2:$AH$1001,0),MATCH(COLUMNS($AO$1006:BG1006),$AO$1006:$BQ$1006,0)), HYPERLINK("#",""), HYPERLINK(CONCATENATE("#Metadata!", ADDRESS(INDEX($AJ$2:$AJ$1001,MATCH(ROWS($AH$2:AH835),$AH$2:$AH$1001,0),0), INDEX($AO$1004:$BQ$1004,1,MATCH(COLUMNS($AO$1006:BG1006),$AO$1006:$BQ$1006,0)))),"Fix")))</f>
        <v>#N/A</v>
      </c>
      <c r="U835" s="5" t="e">
        <f ca="1">IF(OR(INDEX($AI$2:$AI$1001,MATCH(ROWS($AH$2:AH835),$AH$2:$AH$1001,0),1)&gt;=100000,INDEX($AO$1005:$BQ$1005,1,MATCH(COLUMNS($AO$1006:BH1006),$AO$1006:$BQ$1006,0))&gt;=100000), " ",IF(INDEX($AO$2:$BQ$1001,MATCH(ROWS($AH$2:AH835),$AH$2:$AH$1001,0),MATCH(COLUMNS($AO$1006:BH1006),$AO$1006:$BQ$1006,0)), HYPERLINK("#",""), HYPERLINK(CONCATENATE("#Metadata!", ADDRESS(INDEX($AJ$2:$AJ$1001,MATCH(ROWS($AH$2:AH835),$AH$2:$AH$1001,0),0), INDEX($AO$1004:$BQ$1004,1,MATCH(COLUMNS($AO$1006:BH1006),$AO$1006:$BQ$1006,0)))),"Fix")))</f>
        <v>#N/A</v>
      </c>
      <c r="V835" s="5" t="e">
        <f ca="1">IF(OR(INDEX($AI$2:$AI$1001,MATCH(ROWS($AH$2:AH835),$AH$2:$AH$1001,0),1)&gt;=100000,INDEX($AO$1005:$BQ$1005,1,MATCH(COLUMNS($AO$1006:BI1006),$AO$1006:$BQ$1006,0))&gt;=100000), " ",IF(INDEX($AO$2:$BQ$1001,MATCH(ROWS($AH$2:AH835),$AH$2:$AH$1001,0),MATCH(COLUMNS($AO$1006:BI1006),$AO$1006:$BQ$1006,0)), HYPERLINK("#",""), HYPERLINK(CONCATENATE("#Metadata!", ADDRESS(INDEX($AJ$2:$AJ$1001,MATCH(ROWS($AH$2:AH835),$AH$2:$AH$1001,0),0), INDEX($AO$1004:$BQ$1004,1,MATCH(COLUMNS($AO$1006:BI1006),$AO$1006:$BQ$1006,0)))),"Fix")))</f>
        <v>#N/A</v>
      </c>
      <c r="W835" s="5" t="e">
        <f ca="1">IF(OR(INDEX($AI$2:$AI$1001,MATCH(ROWS($AH$2:AH835),$AH$2:$AH$1001,0),1)&gt;=100000,INDEX($AO$1005:$BQ$1005,1,MATCH(COLUMNS($AO$1006:BJ1006),$AO$1006:$BQ$1006,0))&gt;=100000), " ",IF(INDEX($AO$2:$BQ$1001,MATCH(ROWS($AH$2:AH835),$AH$2:$AH$1001,0),MATCH(COLUMNS($AO$1006:BJ1006),$AO$1006:$BQ$1006,0)), HYPERLINK("#",""), HYPERLINK(CONCATENATE("#Metadata!", ADDRESS(INDEX($AJ$2:$AJ$1001,MATCH(ROWS($AH$2:AH835),$AH$2:$AH$1001,0),0), INDEX($AO$1004:$BQ$1004,1,MATCH(COLUMNS($AO$1006:BJ1006),$AO$1006:$BQ$1006,0)))),"Fix")))</f>
        <v>#N/A</v>
      </c>
      <c r="X835" s="5" t="e">
        <f ca="1">IF(OR(INDEX($AI$2:$AI$1001,MATCH(ROWS($AH$2:AH835),$AH$2:$AH$1001,0),1)&gt;=100000,INDEX($AO$1005:$BQ$1005,1,MATCH(COLUMNS($AO$1006:BK1006),$AO$1006:$BQ$1006,0))&gt;=100000), " ",IF(INDEX($AO$2:$BQ$1001,MATCH(ROWS($AH$2:AH835),$AH$2:$AH$1001,0),MATCH(COLUMNS($AO$1006:BK1006),$AO$1006:$BQ$1006,0)), HYPERLINK("#",""), HYPERLINK(CONCATENATE("#Metadata!", ADDRESS(INDEX($AJ$2:$AJ$1001,MATCH(ROWS($AH$2:AH835),$AH$2:$AH$1001,0),0), INDEX($AO$1004:$BQ$1004,1,MATCH(COLUMNS($AO$1006:BK1006),$AO$1006:$BQ$1006,0)))),"Fix")))</f>
        <v>#N/A</v>
      </c>
      <c r="Y835" s="5" t="e">
        <f ca="1">IF(OR(INDEX($AI$2:$AI$1001,MATCH(ROWS($AH$2:AH835),$AH$2:$AH$1001,0),1)&gt;=100000,INDEX($AO$1005:$BQ$1005,1,MATCH(COLUMNS($AO$1006:BL1006),$AO$1006:$BQ$1006,0))&gt;=100000), " ",IF(INDEX($AO$2:$BQ$1001,MATCH(ROWS($AH$2:AH835),$AH$2:$AH$1001,0),MATCH(COLUMNS($AO$1006:BL1006),$AO$1006:$BQ$1006,0)), HYPERLINK("#",""), HYPERLINK(CONCATENATE("#Metadata!", ADDRESS(INDEX($AJ$2:$AJ$1001,MATCH(ROWS($AH$2:AH835),$AH$2:$AH$1001,0),0), INDEX($AO$1004:$BQ$1004,1,MATCH(COLUMNS($AO$1006:BL1006),$AO$1006:$BQ$1006,0)))),"Fix")))</f>
        <v>#N/A</v>
      </c>
      <c r="Z835" s="5" t="e">
        <f ca="1">IF(OR(INDEX($AI$2:$AI$1001,MATCH(ROWS($AH$2:AH835),$AH$2:$AH$1001,0),1)&gt;=100000,INDEX($AO$1005:$BQ$1005,1,MATCH(COLUMNS($AO$1006:BM1006),$AO$1006:$BQ$1006,0))&gt;=100000), " ",IF(INDEX($AO$2:$BQ$1001,MATCH(ROWS($AH$2:AH835),$AH$2:$AH$1001,0),MATCH(COLUMNS($AO$1006:BM1006),$AO$1006:$BQ$1006,0)), HYPERLINK("#",""), HYPERLINK(CONCATENATE("#Metadata!", ADDRESS(INDEX($AJ$2:$AJ$1001,MATCH(ROWS($AH$2:AH835),$AH$2:$AH$1001,0),0), INDEX($AO$1004:$BQ$1004,1,MATCH(COLUMNS($AO$1006:BM1006),$AO$1006:$BQ$1006,0)))),"Fix")))</f>
        <v>#N/A</v>
      </c>
      <c r="AA835" s="5" t="e">
        <f ca="1">IF(OR(INDEX($AI$2:$AI$1001,MATCH(ROWS($AH$2:AH835),$AH$2:$AH$1001,0),1)&gt;=100000,INDEX($AO$1005:$BQ$1005,1,MATCH(COLUMNS($AO$1006:BN1006),$AO$1006:$BQ$1006,0))&gt;=100000), " ",IF(INDEX($AO$2:$BQ$1001,MATCH(ROWS($AH$2:AH835),$AH$2:$AH$1001,0),MATCH(COLUMNS($AO$1006:BN1006),$AO$1006:$BQ$1006,0)), HYPERLINK("#",""), HYPERLINK(CONCATENATE("#Metadata!", ADDRESS(INDEX($AJ$2:$AJ$1001,MATCH(ROWS($AH$2:AH835),$AH$2:$AH$1001,0),0), INDEX($AO$1004:$BQ$1004,1,MATCH(COLUMNS($AO$1006:BN1006),$AO$1006:$BQ$1006,0)))),"Fix")))</f>
        <v>#N/A</v>
      </c>
      <c r="AB835" s="5" t="e">
        <f ca="1">IF(OR(INDEX($AI$2:$AI$1001,MATCH(ROWS($AH$2:AH835),$AH$2:$AH$1001,0),1)&gt;=100000,INDEX($AO$1005:$BQ$1005,1,MATCH(COLUMNS($AO$1006:BO1006),$AO$1006:$BQ$1006,0))&gt;=100000), " ",IF(INDEX($AO$2:$BQ$1001,MATCH(ROWS($AH$2:AH835),$AH$2:$AH$1001,0),MATCH(COLUMNS($AO$1006:BO1006),$AO$1006:$BQ$1006,0)), HYPERLINK("#",""), HYPERLINK(CONCATENATE("#Metadata!", ADDRESS(INDEX($AJ$2:$AJ$1001,MATCH(ROWS($AH$2:AH835),$AH$2:$AH$1001,0),0), INDEX($AO$1004:$BQ$1004,1,MATCH(COLUMNS($AO$1006:BO1006),$AO$1006:$BQ$1006,0)))),"Fix")))</f>
        <v>#N/A</v>
      </c>
      <c r="AC835" s="5" t="e">
        <f ca="1">IF(OR(INDEX($AI$2:$AI$1001,MATCH(ROWS($AH$2:AH835),$AH$2:$AH$1001,0),1)&gt;=100000,INDEX($AO$1005:$BQ$1005,1,MATCH(COLUMNS($AO$1006:BP1006),$AO$1006:$BQ$1006,0))&gt;=100000), " ",IF(INDEX($AO$2:$BQ$1001,MATCH(ROWS($AH$2:AH835),$AH$2:$AH$1001,0),MATCH(COLUMNS($AO$1006:BP1006),$AO$1006:$BQ$1006,0)), HYPERLINK("#",""), HYPERLINK(CONCATENATE("#Metadata!", ADDRESS(INDEX($AJ$2:$AJ$1001,MATCH(ROWS($AH$2:AH835),$AH$2:$AH$1001,0),0), INDEX($AO$1004:$BQ$1004,1,MATCH(COLUMNS($AO$1006:BP1006),$AO$1006:$BQ$1006,0)))),"Fix")))</f>
        <v>#N/A</v>
      </c>
      <c r="AD835" s="5" t="e">
        <f ca="1">IF(OR(INDEX($AI$2:$AI$1001,MATCH(ROWS($AH$2:AH835),$AH$2:$AH$1001,0),1)&gt;=100000,INDEX($AO$1005:$BQ$1005,1,MATCH(COLUMNS($AO$1006:BQ1006),$AO$1006:$BQ$1006,0))&gt;=100000), " ",IF(INDEX($AO$2:$BQ$1001,MATCH(ROWS($AH$2:AH835),$AH$2:$AH$1001,0),MATCH(COLUMNS($AO$1006:BQ1006),$AO$1006:$BQ$1006,0)), HYPERLINK("#",""), HYPERLINK(CONCATENATE("#Metadata!", ADDRESS(INDEX($AJ$2:$AJ$1001,MATCH(ROWS($AH$2:AH835),$AH$2:$AH$1001,0),0), INDEX($AO$1004:$BQ$1004,1,MATCH(COLUMNS($AO$1006:BQ1006),$AO$1006:$BQ$1006,0)))),"Fix")))</f>
        <v>#REF!</v>
      </c>
      <c r="AH835">
        <f ca="1"/>
        <v>832</v>
      </c>
      <c r="AI835">
        <v>100835</v>
      </c>
      <c r="AJ835">
        <v>835</v>
      </c>
      <c r="AK835" t="b">
        <f t="shared" si="13"/>
        <v>1</v>
      </c>
      <c r="AL835" t="b">
        <f>COUNTBLANK(Metadata!B835:AD835)=COLUMNS(Metadata!B835:AD835)</f>
        <v>1</v>
      </c>
      <c r="AM835" t="str">
        <v/>
      </c>
      <c r="AO835" t="b">
        <f ca="1">AND(IF(Metadata!B835="",FALSE,TRUE),COUNTIF(Metadata!B:B, Metadata!B835) = 1,NOT(ISERROR(SUMPRODUCT(SEARCH(MID(Metadata!B835,ROW(INDIRECT("1:"&amp;LEN(Metadata!B835))), 1),"0123456789abcdefghijklmnopqrstuvwxyzABCDEFGHIJKLMNOPQRSTUVWXYZ.")))))</f>
        <v>0</v>
      </c>
      <c r="AP835" t="b">
        <f>IF(Metadata!C835="",FALSE,TRUE)</f>
        <v>0</v>
      </c>
      <c r="AQ835" t="b">
        <f>IF(Metadata!D835="",FALSE,TRUE)</f>
        <v>0</v>
      </c>
      <c r="AR835" t="b">
        <f ca="1">OR(AND(IF(Metadata!E835="",FALSE,TRUE),OR(EXACT(Metadata!E835,"not collected"),EXACT(Metadata!E835,"not provided"),EXACT(Metadata!E835,"restricted access"))),AND(IF(Metadata!E835="",FALSE,TRUE),AND(AND(IFERROR(INT(LEFT(Metadata!E835,4))&gt;1900,FALSE),IFERROR(INT(LEFT(Metadata!E835,4))&lt;=YEAR(NOW()),FALSE)), OR(MID(Metadata!E835,5,1)="", AND(AND(MID(Metadata!E835,5,1)="-",IFERROR(INT(MID(Metadata!E835,6,1))&gt;=0,FALSE),IFERROR(INT(MID(Metadata!E835,6,1))&lt;=1,FALSE),NOT(MID(Metadata!E835,7,1)=""),IFERROR(INT(MID(Metadata!E835,6,2))&gt;=1,FALSE),IFERROR(INT(MID(Metadata!E835,6,2))&lt;=12,FALSE)), OR(MID(Metadata!E835,8,1)="", AND(AND(MID(Metadata!E835,8,1)="-",IFERROR(INT(MID(Metadata!E835,9,1))&gt;=0,FALSE),IFERROR(INT(MID(Metadata!E835,9,1))&lt;=3,FALSE),NOT(MID(Metadata!E835,10,1)=""),IFERROR(INT(MID(Metadata!E835,9,2))&gt;=1,FALSE),IFERROR(INT(MID(Metadata!E835,9,2))&lt;=31,FALSE)), OR(MID(Metadata!E835,11,1)="", AND(AND(MID(Metadata!E835,11,1)=" ",IFERROR(INT(MID(Metadata!E835,12,1))&gt;=0,FALSE),IFERROR(INT(MID(Metadata!E835,12,1))&lt;=2,FALSE),NOT(MID(Metadata!E835,13,1)=""),IFERROR(INT(MID(Metadata!E835,12,2))&gt;=0,FALSE),IFERROR(INT(MID(Metadata!E835,12,2))&lt;=23,FALSE)), OR(MID(Metadata!E835,14,1)="", AND(AND(MID(Metadata!E835,14,1)=":",IFERROR(INT(MID(Metadata!E835,15,1))&gt;=0,FALSE),IFERROR(INT(MID(Metadata!E835,15,1))&lt;=5,FALSE),NOT(MID(Metadata!E835,16,1)=""),IFERROR(INT(MID(Metadata!E835,15,2))&gt;=0,FALSE),IFERROR(INT(MID(Metadata!E835,15,2))&lt;=59,FALSE)), OR(MID(Metadata!E835,17,1)="", AND(AND(MID(Metadata!E835,17,1)=":",IFERROR(INT(MID(Metadata!E835,18,1))&gt;=0,FALSE),IFERROR(INT(MID(Metadata!E835,18,1))&lt;=5,FALSE),NOT(MID(Metadata!E835,19,1)=""),IFERROR(INT(MID(Metadata!E835,18,2))&gt;=0,FALSE),IFERROR(INT(MID(Metadata!E835,18,2))&lt;=59,FALSE)), LEN(Metadata!E835)&lt;=19)))))))))))))</f>
        <v>0</v>
      </c>
      <c r="AS835" t="b">
        <f>IF(Metadata!F835="",FALSE,TRUE)</f>
        <v>0</v>
      </c>
      <c r="AT835" t="b">
        <f>OR(AND(IF(Metadata!G835="",FALSE,TRUE),OR(EXACT(Metadata!G835,"not collected"),EXACT(Metadata!G835,"not provided"))),AND(IF(Metadata!G835="",FALSE,TRUE),OR(EXACT(Metadata!G835,"TRUE"),EXACT(Metadata!G835,"FALSE"))))</f>
        <v>0</v>
      </c>
      <c r="AU835" t="b">
        <f>OR(AND(IF(Metadata!H835="",FALSE,TRUE),OR(EXACT(Metadata!H835,"not collected"),EXACT(Metadata!H835,"not provided"),EXACT(Metadata!H835,"restricted access"))),AND(IF(Metadata!H835="",FALSE,ISNUMBER(VALUE(Metadata!H835))),Metadata!H835&gt;=-413))</f>
        <v>0</v>
      </c>
      <c r="AV835" t="b">
        <f>AND(IF(Metadata!I835="",FALSE,TRUE),EXACT(Metadata!I835,"meters"))</f>
        <v>0</v>
      </c>
      <c r="AW835" t="b">
        <f>AND(IF(Metadata!J835="",FALSE,TRUE),EXACT(Metadata!J835,"free-living"))</f>
        <v>0</v>
      </c>
      <c r="AX835" t="b">
        <f>AND(IF(Metadata!K835="",FALSE,TRUE),OR(EXACT(Metadata!K835,"saline"),EXACT(Metadata!K835,"non-saline")))</f>
        <v>0</v>
      </c>
      <c r="AY835" t="b">
        <f>AND(IF(Metadata!L835="",FALSE,TRUE),OR(EXACT(Metadata!L835,"sub-surface (non-saline)"),EXACT(Metadata!L835,"surface (non-saline)"),EXACT(Metadata!L835,"water (non-saline)"),EXACT(Metadata!L835,"soil (non-saline)"),EXACT(Metadata!L835,"aerosol (non-saline)"),EXACT(Metadata!L835,"sediment (non-saline)"),EXACT(Metadata!L835,"surface (saline)"),EXACT(Metadata!L835,"water (saline)"),EXACT(Metadata!L835,"hypersaline (saline)"),EXACT(Metadata!L835,"aerosol (saline)"),EXACT(Metadata!L835,"sediment (saline)")))</f>
        <v>0</v>
      </c>
      <c r="AZ835" t="b">
        <f>IF(Metadata!M835="",FALSE,TRUE)</f>
        <v>0</v>
      </c>
      <c r="BA835" t="b">
        <f>IF(Metadata!N835="",FALSE,TRUE)</f>
        <v>0</v>
      </c>
      <c r="BB835" t="b">
        <f>IF(Metadata!O835="",FALSE,TRUE)</f>
        <v>0</v>
      </c>
      <c r="BC835" t="b">
        <f>AND(IF(Metadata!P835="",FALSE,TRUE),OR(EXACT(Metadata!P835,"air"),EXACT(Metadata!P835,"microbial mat/biofilm"),EXACT(Metadata!P835,"misc environment"),EXACT(Metadata!P835,"sediment"),EXACT(Metadata!P835,"soil"),EXACT(Metadata!P835,"wastewater/sludge"),EXACT(Metadata!P835,"water")))</f>
        <v>0</v>
      </c>
      <c r="BD835" t="b">
        <f>IF(Metadata!Q835="",FALSE,TRUE)</f>
        <v>0</v>
      </c>
      <c r="BE835" t="b">
        <f>IF(Metadata!R835="",FALSE,TRUE)</f>
        <v>0</v>
      </c>
      <c r="BF835" t="b">
        <f>OR(AND(IF(Metadata!S835="",FALSE,TRUE),OR(EXACT(Metadata!S835,"not collected"),EXACT(Metadata!S835,"not provided"),EXACT(Metadata!S835,"restricted access"))),AND(IF(Metadata!S835="",FALSE,ISNUMBER(VALUE(Metadata!S835))),Metadata!S835&gt;=-90,Metadata!S835&lt;=90))</f>
        <v>0</v>
      </c>
      <c r="BG835" t="b">
        <f>AND(IF(Metadata!T835="",FALSE,TRUE),EXACT(Metadata!T835,"Decimal degrees"))</f>
        <v>0</v>
      </c>
      <c r="BH835" t="b">
        <f>OR(AND(IF(Metadata!U835="",FALSE,TRUE),OR(EXACT(Metadata!U835,"not applicable"),EXACT(Metadata!U835,"not collected"))),IF(Metadata!U835="",FALSE,TRUE))</f>
        <v>0</v>
      </c>
      <c r="BI835" t="b">
        <f>OR(AND(IF(Metadata!V835="",FALSE,TRUE),OR(EXACT(Metadata!V835,"not collected"),EXACT(Metadata!V835,"not provided"),EXACT(Metadata!V835,"restricted access"))),AND(IF(Metadata!V835="",FALSE,ISNUMBER(VALUE(Metadata!V835))),Metadata!V835&gt;=-180,Metadata!V835&lt;=180))</f>
        <v>0</v>
      </c>
      <c r="BJ835" t="b">
        <f>AND(IF(Metadata!W835="",FALSE,TRUE),EXACT(Metadata!W835,"Decimal degrees"))</f>
        <v>0</v>
      </c>
      <c r="BK835" t="b">
        <f>IF(Metadata!X835="",FALSE,TRUE)</f>
        <v>0</v>
      </c>
      <c r="BL835" t="b">
        <f>OR(AND(IF(Metadata!Y835="",FALSE,TRUE),OR(EXACT(Metadata!Y835,"not collected"),EXACT(Metadata!Y835,"not provided"),EXACT(Metadata!Y835,"restricted access"))),AND(IF(Metadata!Y835="",FALSE,TRUE),OR(EXACT(Metadata!Y835,"TRUE"),EXACT(Metadata!Y835,"FALSE"))))</f>
        <v>0</v>
      </c>
      <c r="BM835" t="b">
        <f>OR(AND(IF(Metadata!Z835="",FALSE,TRUE),EXACT(Metadata!Z835,"not applicable")),AND(IF(Metadata!Z835="",FALSE,TRUE),OR(EXACT(Metadata!Z835,"beer"),EXACT(Metadata!Z835,"cheese"),EXACT(Metadata!Z835,"fresh water"),EXACT(Metadata!Z835,"marine sediment"),EXACT(Metadata!Z835,"sea water"),EXACT(Metadata!Z835,"sediment"),EXACT(Metadata!Z835,"soil"),EXACT(Metadata!Z835,"waste water"))))</f>
        <v>0</v>
      </c>
      <c r="BN835" t="b">
        <f>AND(IF(Metadata!AA835="",FALSE,TRUE),EXACT(Metadata!AA835,"metagenome"))</f>
        <v>0</v>
      </c>
      <c r="BO835" t="b">
        <f>AND(IF(Metadata!AB835="",FALSE,TRUE),EXACT(Metadata!AB835,"256318"))</f>
        <v>0</v>
      </c>
      <c r="BP835" t="b">
        <f>IF(Metadata!AC835="",FALSE,TRUE)</f>
        <v>0</v>
      </c>
      <c r="BQ835" t="b">
        <f>IF(Metadata!AD835="",FALSE,TRUE)</f>
        <v>0</v>
      </c>
    </row>
    <row r="836" spans="1:69" x14ac:dyDescent="0.2">
      <c r="A836" s="4" t="e">
        <f ca="1">IF(B836=" "," ",HYPERLINK(CONCATENATE("#metadata!",ADDRESS(INDEX($AJ$2:$AJ$1001,MATCH(ROWS($AH$2:AH836),$AH$2:$AH$1001,0),0),2)),INDEX($AM$2:$AM$1001,MATCH(ROWS($AH$2:AH836),$AH$2:$AH$1001,0),0)))</f>
        <v>#N/A</v>
      </c>
      <c r="B836" s="5" t="e">
        <f ca="1">IF(OR(INDEX($AI$2:$AI$1001,MATCH(ROWS($AH$2:AH836),$AH$2:$AH$1001,0),1)&gt;=100000,INDEX($AO$1005:$BQ$1005,1,MATCH(COLUMNS($AO$1006:AO1006),$AO$1006:$BQ$1006,0))&gt;=100000), " ",IF(INDEX($AO$2:$BQ$1001,MATCH(ROWS($AH$2:AH836),$AH$2:$AH$1001,0),MATCH(COLUMNS($AO$1006:AO1006),$AO$1006:$BQ$1006,0)), HYPERLINK("#",""), HYPERLINK(CONCATENATE("#Metadata!", ADDRESS(INDEX($AJ$2:$AJ$1001,MATCH(ROWS($AH$2:AH836),$AH$2:$AH$1001,0),0), INDEX($AO$1004:$BQ$1004,1,MATCH(COLUMNS($AO$1006:AO1006),$AO$1006:$BQ$1006,0)))),"Fix")))</f>
        <v>#N/A</v>
      </c>
      <c r="C836" s="5" t="e">
        <f ca="1">IF(OR(INDEX($AI$2:$AI$1001,MATCH(ROWS($AH$2:AH836),$AH$2:$AH$1001,0),1)&gt;=100000,INDEX($AO$1005:$BQ$1005,1,MATCH(COLUMNS($AO$1006:AP1006),$AO$1006:$BQ$1006,0))&gt;=100000), " ",IF(INDEX($AO$2:$BQ$1001,MATCH(ROWS($AH$2:AH836),$AH$2:$AH$1001,0),MATCH(COLUMNS($AO$1006:AP1006),$AO$1006:$BQ$1006,0)), HYPERLINK("#",""), HYPERLINK(CONCATENATE("#Metadata!", ADDRESS(INDEX($AJ$2:$AJ$1001,MATCH(ROWS($AH$2:AH836),$AH$2:$AH$1001,0),0), INDEX($AO$1004:$BQ$1004,1,MATCH(COLUMNS($AO$1006:AP1006),$AO$1006:$BQ$1006,0)))),"Fix")))</f>
        <v>#N/A</v>
      </c>
      <c r="D836" s="5" t="e">
        <f ca="1">IF(OR(INDEX($AI$2:$AI$1001,MATCH(ROWS($AH$2:AH836),$AH$2:$AH$1001,0),1)&gt;=100000,INDEX($AO$1005:$BQ$1005,1,MATCH(COLUMNS($AO$1006:AQ1006),$AO$1006:$BQ$1006,0))&gt;=100000), " ",IF(INDEX($AO$2:$BQ$1001,MATCH(ROWS($AH$2:AH836),$AH$2:$AH$1001,0),MATCH(COLUMNS($AO$1006:AQ1006),$AO$1006:$BQ$1006,0)), HYPERLINK("#",""), HYPERLINK(CONCATENATE("#Metadata!", ADDRESS(INDEX($AJ$2:$AJ$1001,MATCH(ROWS($AH$2:AH836),$AH$2:$AH$1001,0),0), INDEX($AO$1004:$BQ$1004,1,MATCH(COLUMNS($AO$1006:AQ1006),$AO$1006:$BQ$1006,0)))),"Fix")))</f>
        <v>#N/A</v>
      </c>
      <c r="E836" s="5" t="e">
        <f ca="1">IF(OR(INDEX($AI$2:$AI$1001,MATCH(ROWS($AH$2:AH836),$AH$2:$AH$1001,0),1)&gt;=100000,INDEX($AO$1005:$BQ$1005,1,MATCH(COLUMNS($AO$1006:AR1006),$AO$1006:$BQ$1006,0))&gt;=100000), " ",IF(INDEX($AO$2:$BQ$1001,MATCH(ROWS($AH$2:AH836),$AH$2:$AH$1001,0),MATCH(COLUMNS($AO$1006:AR1006),$AO$1006:$BQ$1006,0)), HYPERLINK("#",""), HYPERLINK(CONCATENATE("#Metadata!", ADDRESS(INDEX($AJ$2:$AJ$1001,MATCH(ROWS($AH$2:AH836),$AH$2:$AH$1001,0),0), INDEX($AO$1004:$BQ$1004,1,MATCH(COLUMNS($AO$1006:AR1006),$AO$1006:$BQ$1006,0)))),"Fix")))</f>
        <v>#N/A</v>
      </c>
      <c r="F836" s="5" t="e">
        <f ca="1">IF(OR(INDEX($AI$2:$AI$1001,MATCH(ROWS($AH$2:AH836),$AH$2:$AH$1001,0),1)&gt;=100000,INDEX($AO$1005:$BQ$1005,1,MATCH(COLUMNS($AO$1006:AS1006),$AO$1006:$BQ$1006,0))&gt;=100000), " ",IF(INDEX($AO$2:$BQ$1001,MATCH(ROWS($AH$2:AH836),$AH$2:$AH$1001,0),MATCH(COLUMNS($AO$1006:AS1006),$AO$1006:$BQ$1006,0)), HYPERLINK("#",""), HYPERLINK(CONCATENATE("#Metadata!", ADDRESS(INDEX($AJ$2:$AJ$1001,MATCH(ROWS($AH$2:AH836),$AH$2:$AH$1001,0),0), INDEX($AO$1004:$BQ$1004,1,MATCH(COLUMNS($AO$1006:AS1006),$AO$1006:$BQ$1006,0)))),"Fix")))</f>
        <v>#N/A</v>
      </c>
      <c r="G836" s="5" t="e">
        <f ca="1">IF(OR(INDEX($AI$2:$AI$1001,MATCH(ROWS($AH$2:AH836),$AH$2:$AH$1001,0),1)&gt;=100000,INDEX($AO$1005:$BQ$1005,1,MATCH(COLUMNS($AO$1006:AT1006),$AO$1006:$BQ$1006,0))&gt;=100000), " ",IF(INDEX($AO$2:$BQ$1001,MATCH(ROWS($AH$2:AH836),$AH$2:$AH$1001,0),MATCH(COLUMNS($AO$1006:AT1006),$AO$1006:$BQ$1006,0)), HYPERLINK("#",""), HYPERLINK(CONCATENATE("#Metadata!", ADDRESS(INDEX($AJ$2:$AJ$1001,MATCH(ROWS($AH$2:AH836),$AH$2:$AH$1001,0),0), INDEX($AO$1004:$BQ$1004,1,MATCH(COLUMNS($AO$1006:AT1006),$AO$1006:$BQ$1006,0)))),"Fix")))</f>
        <v>#N/A</v>
      </c>
      <c r="H836" s="5" t="e">
        <f ca="1">IF(OR(INDEX($AI$2:$AI$1001,MATCH(ROWS($AH$2:AH836),$AH$2:$AH$1001,0),1)&gt;=100000,INDEX($AO$1005:$BQ$1005,1,MATCH(COLUMNS($AO$1006:AU1006),$AO$1006:$BQ$1006,0))&gt;=100000), " ",IF(INDEX($AO$2:$BQ$1001,MATCH(ROWS($AH$2:AH836),$AH$2:$AH$1001,0),MATCH(COLUMNS($AO$1006:AU1006),$AO$1006:$BQ$1006,0)), HYPERLINK("#",""), HYPERLINK(CONCATENATE("#Metadata!", ADDRESS(INDEX($AJ$2:$AJ$1001,MATCH(ROWS($AH$2:AH836),$AH$2:$AH$1001,0),0), INDEX($AO$1004:$BQ$1004,1,MATCH(COLUMNS($AO$1006:AU1006),$AO$1006:$BQ$1006,0)))),"Fix")))</f>
        <v>#N/A</v>
      </c>
      <c r="I836" s="5" t="e">
        <f ca="1">IF(OR(INDEX($AI$2:$AI$1001,MATCH(ROWS($AH$2:AH836),$AH$2:$AH$1001,0),1)&gt;=100000,INDEX($AO$1005:$BQ$1005,1,MATCH(COLUMNS($AO$1006:AV1006),$AO$1006:$BQ$1006,0))&gt;=100000), " ",IF(INDEX($AO$2:$BQ$1001,MATCH(ROWS($AH$2:AH836),$AH$2:$AH$1001,0),MATCH(COLUMNS($AO$1006:AV1006),$AO$1006:$BQ$1006,0)), HYPERLINK("#",""), HYPERLINK(CONCATENATE("#Metadata!", ADDRESS(INDEX($AJ$2:$AJ$1001,MATCH(ROWS($AH$2:AH836),$AH$2:$AH$1001,0),0), INDEX($AO$1004:$BQ$1004,1,MATCH(COLUMNS($AO$1006:AV1006),$AO$1006:$BQ$1006,0)))),"Fix")))</f>
        <v>#N/A</v>
      </c>
      <c r="J836" s="5" t="e">
        <f ca="1">IF(OR(INDEX($AI$2:$AI$1001,MATCH(ROWS($AH$2:AH836),$AH$2:$AH$1001,0),1)&gt;=100000,INDEX($AO$1005:$BQ$1005,1,MATCH(COLUMNS($AO$1006:AW1006),$AO$1006:$BQ$1006,0))&gt;=100000), " ",IF(INDEX($AO$2:$BQ$1001,MATCH(ROWS($AH$2:AH836),$AH$2:$AH$1001,0),MATCH(COLUMNS($AO$1006:AW1006),$AO$1006:$BQ$1006,0)), HYPERLINK("#",""), HYPERLINK(CONCATENATE("#Metadata!", ADDRESS(INDEX($AJ$2:$AJ$1001,MATCH(ROWS($AH$2:AH836),$AH$2:$AH$1001,0),0), INDEX($AO$1004:$BQ$1004,1,MATCH(COLUMNS($AO$1006:AW1006),$AO$1006:$BQ$1006,0)))),"Fix")))</f>
        <v>#N/A</v>
      </c>
      <c r="K836" s="5" t="e">
        <f ca="1">IF(OR(INDEX($AI$2:$AI$1001,MATCH(ROWS($AH$2:AH836),$AH$2:$AH$1001,0),1)&gt;=100000,INDEX($AO$1005:$BQ$1005,1,MATCH(COLUMNS($AO$1006:AX1006),$AO$1006:$BQ$1006,0))&gt;=100000), " ",IF(INDEX($AO$2:$BQ$1001,MATCH(ROWS($AH$2:AH836),$AH$2:$AH$1001,0),MATCH(COLUMNS($AO$1006:AX1006),$AO$1006:$BQ$1006,0)), HYPERLINK("#",""), HYPERLINK(CONCATENATE("#Metadata!", ADDRESS(INDEX($AJ$2:$AJ$1001,MATCH(ROWS($AH$2:AH836),$AH$2:$AH$1001,0),0), INDEX($AO$1004:$BQ$1004,1,MATCH(COLUMNS($AO$1006:AX1006),$AO$1006:$BQ$1006,0)))),"Fix")))</f>
        <v>#N/A</v>
      </c>
      <c r="L836" s="5" t="e">
        <f ca="1">IF(OR(INDEX($AI$2:$AI$1001,MATCH(ROWS($AH$2:AH836),$AH$2:$AH$1001,0),1)&gt;=100000,INDEX($AO$1005:$BQ$1005,1,MATCH(COLUMNS($AO$1006:AY1006),$AO$1006:$BQ$1006,0))&gt;=100000), " ",IF(INDEX($AO$2:$BQ$1001,MATCH(ROWS($AH$2:AH836),$AH$2:$AH$1001,0),MATCH(COLUMNS($AO$1006:AY1006),$AO$1006:$BQ$1006,0)), HYPERLINK("#",""), HYPERLINK(CONCATENATE("#Metadata!", ADDRESS(INDEX($AJ$2:$AJ$1001,MATCH(ROWS($AH$2:AH836),$AH$2:$AH$1001,0),0), INDEX($AO$1004:$BQ$1004,1,MATCH(COLUMNS($AO$1006:AY1006),$AO$1006:$BQ$1006,0)))),"Fix")))</f>
        <v>#N/A</v>
      </c>
      <c r="M836" s="5" t="e">
        <f ca="1">IF(OR(INDEX($AI$2:$AI$1001,MATCH(ROWS($AH$2:AH836),$AH$2:$AH$1001,0),1)&gt;=100000,INDEX($AO$1005:$BQ$1005,1,MATCH(COLUMNS($AO$1006:AZ1006),$AO$1006:$BQ$1006,0))&gt;=100000), " ",IF(INDEX($AO$2:$BQ$1001,MATCH(ROWS($AH$2:AH836),$AH$2:$AH$1001,0),MATCH(COLUMNS($AO$1006:AZ1006),$AO$1006:$BQ$1006,0)), HYPERLINK("#",""), HYPERLINK(CONCATENATE("#Metadata!", ADDRESS(INDEX($AJ$2:$AJ$1001,MATCH(ROWS($AH$2:AH836),$AH$2:$AH$1001,0),0), INDEX($AO$1004:$BQ$1004,1,MATCH(COLUMNS($AO$1006:AZ1006),$AO$1006:$BQ$1006,0)))),"Fix")))</f>
        <v>#N/A</v>
      </c>
      <c r="N836" s="5" t="e">
        <f ca="1">IF(OR(INDEX($AI$2:$AI$1001,MATCH(ROWS($AH$2:AH836),$AH$2:$AH$1001,0),1)&gt;=100000,INDEX($AO$1005:$BQ$1005,1,MATCH(COLUMNS($AO$1006:BA1006),$AO$1006:$BQ$1006,0))&gt;=100000), " ",IF(INDEX($AO$2:$BQ$1001,MATCH(ROWS($AH$2:AH836),$AH$2:$AH$1001,0),MATCH(COLUMNS($AO$1006:BA1006),$AO$1006:$BQ$1006,0)), HYPERLINK("#",""), HYPERLINK(CONCATENATE("#Metadata!", ADDRESS(INDEX($AJ$2:$AJ$1001,MATCH(ROWS($AH$2:AH836),$AH$2:$AH$1001,0),0), INDEX($AO$1004:$BQ$1004,1,MATCH(COLUMNS($AO$1006:BA1006),$AO$1006:$BQ$1006,0)))),"Fix")))</f>
        <v>#N/A</v>
      </c>
      <c r="O836" s="5" t="e">
        <f ca="1">IF(OR(INDEX($AI$2:$AI$1001,MATCH(ROWS($AH$2:AH836),$AH$2:$AH$1001,0),1)&gt;=100000,INDEX($AO$1005:$BQ$1005,1,MATCH(COLUMNS($AO$1006:BB1006),$AO$1006:$BQ$1006,0))&gt;=100000), " ",IF(INDEX($AO$2:$BQ$1001,MATCH(ROWS($AH$2:AH836),$AH$2:$AH$1001,0),MATCH(COLUMNS($AO$1006:BB1006),$AO$1006:$BQ$1006,0)), HYPERLINK("#",""), HYPERLINK(CONCATENATE("#Metadata!", ADDRESS(INDEX($AJ$2:$AJ$1001,MATCH(ROWS($AH$2:AH836),$AH$2:$AH$1001,0),0), INDEX($AO$1004:$BQ$1004,1,MATCH(COLUMNS($AO$1006:BB1006),$AO$1006:$BQ$1006,0)))),"Fix")))</f>
        <v>#N/A</v>
      </c>
      <c r="P836" s="5" t="e">
        <f ca="1">IF(OR(INDEX($AI$2:$AI$1001,MATCH(ROWS($AH$2:AH836),$AH$2:$AH$1001,0),1)&gt;=100000,INDEX($AO$1005:$BQ$1005,1,MATCH(COLUMNS($AO$1006:BC1006),$AO$1006:$BQ$1006,0))&gt;=100000), " ",IF(INDEX($AO$2:$BQ$1001,MATCH(ROWS($AH$2:AH836),$AH$2:$AH$1001,0),MATCH(COLUMNS($AO$1006:BC1006),$AO$1006:$BQ$1006,0)), HYPERLINK("#",""), HYPERLINK(CONCATENATE("#Metadata!", ADDRESS(INDEX($AJ$2:$AJ$1001,MATCH(ROWS($AH$2:AH836),$AH$2:$AH$1001,0),0), INDEX($AO$1004:$BQ$1004,1,MATCH(COLUMNS($AO$1006:BC1006),$AO$1006:$BQ$1006,0)))),"Fix")))</f>
        <v>#N/A</v>
      </c>
      <c r="Q836" s="5" t="e">
        <f ca="1">IF(OR(INDEX($AI$2:$AI$1001,MATCH(ROWS($AH$2:AH836),$AH$2:$AH$1001,0),1)&gt;=100000,INDEX($AO$1005:$BQ$1005,1,MATCH(COLUMNS($AO$1006:BD1006),$AO$1006:$BQ$1006,0))&gt;=100000), " ",IF(INDEX($AO$2:$BQ$1001,MATCH(ROWS($AH$2:AH836),$AH$2:$AH$1001,0),MATCH(COLUMNS($AO$1006:BD1006),$AO$1006:$BQ$1006,0)), HYPERLINK("#",""), HYPERLINK(CONCATENATE("#Metadata!", ADDRESS(INDEX($AJ$2:$AJ$1001,MATCH(ROWS($AH$2:AH836),$AH$2:$AH$1001,0),0), INDEX($AO$1004:$BQ$1004,1,MATCH(COLUMNS($AO$1006:BD1006),$AO$1006:$BQ$1006,0)))),"Fix")))</f>
        <v>#N/A</v>
      </c>
      <c r="R836" s="5" t="e">
        <f ca="1">IF(OR(INDEX($AI$2:$AI$1001,MATCH(ROWS($AH$2:AH836),$AH$2:$AH$1001,0),1)&gt;=100000,INDEX($AO$1005:$BQ$1005,1,MATCH(COLUMNS($AO$1006:BE1006),$AO$1006:$BQ$1006,0))&gt;=100000), " ",IF(INDEX($AO$2:$BQ$1001,MATCH(ROWS($AH$2:AH836),$AH$2:$AH$1001,0),MATCH(COLUMNS($AO$1006:BE1006),$AO$1006:$BQ$1006,0)), HYPERLINK("#",""), HYPERLINK(CONCATENATE("#Metadata!", ADDRESS(INDEX($AJ$2:$AJ$1001,MATCH(ROWS($AH$2:AH836),$AH$2:$AH$1001,0),0), INDEX($AO$1004:$BQ$1004,1,MATCH(COLUMNS($AO$1006:BE1006),$AO$1006:$BQ$1006,0)))),"Fix")))</f>
        <v>#N/A</v>
      </c>
      <c r="S836" s="5" t="e">
        <f ca="1">IF(OR(INDEX($AI$2:$AI$1001,MATCH(ROWS($AH$2:AH836),$AH$2:$AH$1001,0),1)&gt;=100000,INDEX($AO$1005:$BQ$1005,1,MATCH(COLUMNS($AO$1006:BF1006),$AO$1006:$BQ$1006,0))&gt;=100000), " ",IF(INDEX($AO$2:$BQ$1001,MATCH(ROWS($AH$2:AH836),$AH$2:$AH$1001,0),MATCH(COLUMNS($AO$1006:BF1006),$AO$1006:$BQ$1006,0)), HYPERLINK("#",""), HYPERLINK(CONCATENATE("#Metadata!", ADDRESS(INDEX($AJ$2:$AJ$1001,MATCH(ROWS($AH$2:AH836),$AH$2:$AH$1001,0),0), INDEX($AO$1004:$BQ$1004,1,MATCH(COLUMNS($AO$1006:BF1006),$AO$1006:$BQ$1006,0)))),"Fix")))</f>
        <v>#N/A</v>
      </c>
      <c r="T836" s="5" t="e">
        <f ca="1">IF(OR(INDEX($AI$2:$AI$1001,MATCH(ROWS($AH$2:AH836),$AH$2:$AH$1001,0),1)&gt;=100000,INDEX($AO$1005:$BQ$1005,1,MATCH(COLUMNS($AO$1006:BG1006),$AO$1006:$BQ$1006,0))&gt;=100000), " ",IF(INDEX($AO$2:$BQ$1001,MATCH(ROWS($AH$2:AH836),$AH$2:$AH$1001,0),MATCH(COLUMNS($AO$1006:BG1006),$AO$1006:$BQ$1006,0)), HYPERLINK("#",""), HYPERLINK(CONCATENATE("#Metadata!", ADDRESS(INDEX($AJ$2:$AJ$1001,MATCH(ROWS($AH$2:AH836),$AH$2:$AH$1001,0),0), INDEX($AO$1004:$BQ$1004,1,MATCH(COLUMNS($AO$1006:BG1006),$AO$1006:$BQ$1006,0)))),"Fix")))</f>
        <v>#N/A</v>
      </c>
      <c r="U836" s="5" t="e">
        <f ca="1">IF(OR(INDEX($AI$2:$AI$1001,MATCH(ROWS($AH$2:AH836),$AH$2:$AH$1001,0),1)&gt;=100000,INDEX($AO$1005:$BQ$1005,1,MATCH(COLUMNS($AO$1006:BH1006),$AO$1006:$BQ$1006,0))&gt;=100000), " ",IF(INDEX($AO$2:$BQ$1001,MATCH(ROWS($AH$2:AH836),$AH$2:$AH$1001,0),MATCH(COLUMNS($AO$1006:BH1006),$AO$1006:$BQ$1006,0)), HYPERLINK("#",""), HYPERLINK(CONCATENATE("#Metadata!", ADDRESS(INDEX($AJ$2:$AJ$1001,MATCH(ROWS($AH$2:AH836),$AH$2:$AH$1001,0),0), INDEX($AO$1004:$BQ$1004,1,MATCH(COLUMNS($AO$1006:BH1006),$AO$1006:$BQ$1006,0)))),"Fix")))</f>
        <v>#N/A</v>
      </c>
      <c r="V836" s="5" t="e">
        <f ca="1">IF(OR(INDEX($AI$2:$AI$1001,MATCH(ROWS($AH$2:AH836),$AH$2:$AH$1001,0),1)&gt;=100000,INDEX($AO$1005:$BQ$1005,1,MATCH(COLUMNS($AO$1006:BI1006),$AO$1006:$BQ$1006,0))&gt;=100000), " ",IF(INDEX($AO$2:$BQ$1001,MATCH(ROWS($AH$2:AH836),$AH$2:$AH$1001,0),MATCH(COLUMNS($AO$1006:BI1006),$AO$1006:$BQ$1006,0)), HYPERLINK("#",""), HYPERLINK(CONCATENATE("#Metadata!", ADDRESS(INDEX($AJ$2:$AJ$1001,MATCH(ROWS($AH$2:AH836),$AH$2:$AH$1001,0),0), INDEX($AO$1004:$BQ$1004,1,MATCH(COLUMNS($AO$1006:BI1006),$AO$1006:$BQ$1006,0)))),"Fix")))</f>
        <v>#N/A</v>
      </c>
      <c r="W836" s="5" t="e">
        <f ca="1">IF(OR(INDEX($AI$2:$AI$1001,MATCH(ROWS($AH$2:AH836),$AH$2:$AH$1001,0),1)&gt;=100000,INDEX($AO$1005:$BQ$1005,1,MATCH(COLUMNS($AO$1006:BJ1006),$AO$1006:$BQ$1006,0))&gt;=100000), " ",IF(INDEX($AO$2:$BQ$1001,MATCH(ROWS($AH$2:AH836),$AH$2:$AH$1001,0),MATCH(COLUMNS($AO$1006:BJ1006),$AO$1006:$BQ$1006,0)), HYPERLINK("#",""), HYPERLINK(CONCATENATE("#Metadata!", ADDRESS(INDEX($AJ$2:$AJ$1001,MATCH(ROWS($AH$2:AH836),$AH$2:$AH$1001,0),0), INDEX($AO$1004:$BQ$1004,1,MATCH(COLUMNS($AO$1006:BJ1006),$AO$1006:$BQ$1006,0)))),"Fix")))</f>
        <v>#N/A</v>
      </c>
      <c r="X836" s="5" t="e">
        <f ca="1">IF(OR(INDEX($AI$2:$AI$1001,MATCH(ROWS($AH$2:AH836),$AH$2:$AH$1001,0),1)&gt;=100000,INDEX($AO$1005:$BQ$1005,1,MATCH(COLUMNS($AO$1006:BK1006),$AO$1006:$BQ$1006,0))&gt;=100000), " ",IF(INDEX($AO$2:$BQ$1001,MATCH(ROWS($AH$2:AH836),$AH$2:$AH$1001,0),MATCH(COLUMNS($AO$1006:BK1006),$AO$1006:$BQ$1006,0)), HYPERLINK("#",""), HYPERLINK(CONCATENATE("#Metadata!", ADDRESS(INDEX($AJ$2:$AJ$1001,MATCH(ROWS($AH$2:AH836),$AH$2:$AH$1001,0),0), INDEX($AO$1004:$BQ$1004,1,MATCH(COLUMNS($AO$1006:BK1006),$AO$1006:$BQ$1006,0)))),"Fix")))</f>
        <v>#N/A</v>
      </c>
      <c r="Y836" s="5" t="e">
        <f ca="1">IF(OR(INDEX($AI$2:$AI$1001,MATCH(ROWS($AH$2:AH836),$AH$2:$AH$1001,0),1)&gt;=100000,INDEX($AO$1005:$BQ$1005,1,MATCH(COLUMNS($AO$1006:BL1006),$AO$1006:$BQ$1006,0))&gt;=100000), " ",IF(INDEX($AO$2:$BQ$1001,MATCH(ROWS($AH$2:AH836),$AH$2:$AH$1001,0),MATCH(COLUMNS($AO$1006:BL1006),$AO$1006:$BQ$1006,0)), HYPERLINK("#",""), HYPERLINK(CONCATENATE("#Metadata!", ADDRESS(INDEX($AJ$2:$AJ$1001,MATCH(ROWS($AH$2:AH836),$AH$2:$AH$1001,0),0), INDEX($AO$1004:$BQ$1004,1,MATCH(COLUMNS($AO$1006:BL1006),$AO$1006:$BQ$1006,0)))),"Fix")))</f>
        <v>#N/A</v>
      </c>
      <c r="Z836" s="5" t="e">
        <f ca="1">IF(OR(INDEX($AI$2:$AI$1001,MATCH(ROWS($AH$2:AH836),$AH$2:$AH$1001,0),1)&gt;=100000,INDEX($AO$1005:$BQ$1005,1,MATCH(COLUMNS($AO$1006:BM1006),$AO$1006:$BQ$1006,0))&gt;=100000), " ",IF(INDEX($AO$2:$BQ$1001,MATCH(ROWS($AH$2:AH836),$AH$2:$AH$1001,0),MATCH(COLUMNS($AO$1006:BM1006),$AO$1006:$BQ$1006,0)), HYPERLINK("#",""), HYPERLINK(CONCATENATE("#Metadata!", ADDRESS(INDEX($AJ$2:$AJ$1001,MATCH(ROWS($AH$2:AH836),$AH$2:$AH$1001,0),0), INDEX($AO$1004:$BQ$1004,1,MATCH(COLUMNS($AO$1006:BM1006),$AO$1006:$BQ$1006,0)))),"Fix")))</f>
        <v>#N/A</v>
      </c>
      <c r="AA836" s="5" t="e">
        <f ca="1">IF(OR(INDEX($AI$2:$AI$1001,MATCH(ROWS($AH$2:AH836),$AH$2:$AH$1001,0),1)&gt;=100000,INDEX($AO$1005:$BQ$1005,1,MATCH(COLUMNS($AO$1006:BN1006),$AO$1006:$BQ$1006,0))&gt;=100000), " ",IF(INDEX($AO$2:$BQ$1001,MATCH(ROWS($AH$2:AH836),$AH$2:$AH$1001,0),MATCH(COLUMNS($AO$1006:BN1006),$AO$1006:$BQ$1006,0)), HYPERLINK("#",""), HYPERLINK(CONCATENATE("#Metadata!", ADDRESS(INDEX($AJ$2:$AJ$1001,MATCH(ROWS($AH$2:AH836),$AH$2:$AH$1001,0),0), INDEX($AO$1004:$BQ$1004,1,MATCH(COLUMNS($AO$1006:BN1006),$AO$1006:$BQ$1006,0)))),"Fix")))</f>
        <v>#N/A</v>
      </c>
      <c r="AB836" s="5" t="e">
        <f ca="1">IF(OR(INDEX($AI$2:$AI$1001,MATCH(ROWS($AH$2:AH836),$AH$2:$AH$1001,0),1)&gt;=100000,INDEX($AO$1005:$BQ$1005,1,MATCH(COLUMNS($AO$1006:BO1006),$AO$1006:$BQ$1006,0))&gt;=100000), " ",IF(INDEX($AO$2:$BQ$1001,MATCH(ROWS($AH$2:AH836),$AH$2:$AH$1001,0),MATCH(COLUMNS($AO$1006:BO1006),$AO$1006:$BQ$1006,0)), HYPERLINK("#",""), HYPERLINK(CONCATENATE("#Metadata!", ADDRESS(INDEX($AJ$2:$AJ$1001,MATCH(ROWS($AH$2:AH836),$AH$2:$AH$1001,0),0), INDEX($AO$1004:$BQ$1004,1,MATCH(COLUMNS($AO$1006:BO1006),$AO$1006:$BQ$1006,0)))),"Fix")))</f>
        <v>#N/A</v>
      </c>
      <c r="AC836" s="5" t="e">
        <f ca="1">IF(OR(INDEX($AI$2:$AI$1001,MATCH(ROWS($AH$2:AH836),$AH$2:$AH$1001,0),1)&gt;=100000,INDEX($AO$1005:$BQ$1005,1,MATCH(COLUMNS($AO$1006:BP1006),$AO$1006:$BQ$1006,0))&gt;=100000), " ",IF(INDEX($AO$2:$BQ$1001,MATCH(ROWS($AH$2:AH836),$AH$2:$AH$1001,0),MATCH(COLUMNS($AO$1006:BP1006),$AO$1006:$BQ$1006,0)), HYPERLINK("#",""), HYPERLINK(CONCATENATE("#Metadata!", ADDRESS(INDEX($AJ$2:$AJ$1001,MATCH(ROWS($AH$2:AH836),$AH$2:$AH$1001,0),0), INDEX($AO$1004:$BQ$1004,1,MATCH(COLUMNS($AO$1006:BP1006),$AO$1006:$BQ$1006,0)))),"Fix")))</f>
        <v>#N/A</v>
      </c>
      <c r="AD836" s="5" t="e">
        <f ca="1">IF(OR(INDEX($AI$2:$AI$1001,MATCH(ROWS($AH$2:AH836),$AH$2:$AH$1001,0),1)&gt;=100000,INDEX($AO$1005:$BQ$1005,1,MATCH(COLUMNS($AO$1006:BQ1006),$AO$1006:$BQ$1006,0))&gt;=100000), " ",IF(INDEX($AO$2:$BQ$1001,MATCH(ROWS($AH$2:AH836),$AH$2:$AH$1001,0),MATCH(COLUMNS($AO$1006:BQ1006),$AO$1006:$BQ$1006,0)), HYPERLINK("#",""), HYPERLINK(CONCATENATE("#Metadata!", ADDRESS(INDEX($AJ$2:$AJ$1001,MATCH(ROWS($AH$2:AH836),$AH$2:$AH$1001,0),0), INDEX($AO$1004:$BQ$1004,1,MATCH(COLUMNS($AO$1006:BQ1006),$AO$1006:$BQ$1006,0)))),"Fix")))</f>
        <v>#REF!</v>
      </c>
      <c r="AH836">
        <f ca="1"/>
        <v>833</v>
      </c>
      <c r="AI836">
        <v>100836</v>
      </c>
      <c r="AJ836">
        <v>836</v>
      </c>
      <c r="AK836" t="b">
        <f t="shared" si="13"/>
        <v>1</v>
      </c>
      <c r="AL836" t="b">
        <f>COUNTBLANK(Metadata!B836:AD836)=COLUMNS(Metadata!B836:AD836)</f>
        <v>1</v>
      </c>
      <c r="AM836" t="str">
        <v/>
      </c>
      <c r="AO836" t="b">
        <f ca="1">AND(IF(Metadata!B836="",FALSE,TRUE),COUNTIF(Metadata!B:B, Metadata!B836) = 1,NOT(ISERROR(SUMPRODUCT(SEARCH(MID(Metadata!B836,ROW(INDIRECT("1:"&amp;LEN(Metadata!B836))), 1),"0123456789abcdefghijklmnopqrstuvwxyzABCDEFGHIJKLMNOPQRSTUVWXYZ.")))))</f>
        <v>0</v>
      </c>
      <c r="AP836" t="b">
        <f>IF(Metadata!C836="",FALSE,TRUE)</f>
        <v>0</v>
      </c>
      <c r="AQ836" t="b">
        <f>IF(Metadata!D836="",FALSE,TRUE)</f>
        <v>0</v>
      </c>
      <c r="AR836" t="b">
        <f ca="1">OR(AND(IF(Metadata!E836="",FALSE,TRUE),OR(EXACT(Metadata!E836,"not collected"),EXACT(Metadata!E836,"not provided"),EXACT(Metadata!E836,"restricted access"))),AND(IF(Metadata!E836="",FALSE,TRUE),AND(AND(IFERROR(INT(LEFT(Metadata!E836,4))&gt;1900,FALSE),IFERROR(INT(LEFT(Metadata!E836,4))&lt;=YEAR(NOW()),FALSE)), OR(MID(Metadata!E836,5,1)="", AND(AND(MID(Metadata!E836,5,1)="-",IFERROR(INT(MID(Metadata!E836,6,1))&gt;=0,FALSE),IFERROR(INT(MID(Metadata!E836,6,1))&lt;=1,FALSE),NOT(MID(Metadata!E836,7,1)=""),IFERROR(INT(MID(Metadata!E836,6,2))&gt;=1,FALSE),IFERROR(INT(MID(Metadata!E836,6,2))&lt;=12,FALSE)), OR(MID(Metadata!E836,8,1)="", AND(AND(MID(Metadata!E836,8,1)="-",IFERROR(INT(MID(Metadata!E836,9,1))&gt;=0,FALSE),IFERROR(INT(MID(Metadata!E836,9,1))&lt;=3,FALSE),NOT(MID(Metadata!E836,10,1)=""),IFERROR(INT(MID(Metadata!E836,9,2))&gt;=1,FALSE),IFERROR(INT(MID(Metadata!E836,9,2))&lt;=31,FALSE)), OR(MID(Metadata!E836,11,1)="", AND(AND(MID(Metadata!E836,11,1)=" ",IFERROR(INT(MID(Metadata!E836,12,1))&gt;=0,FALSE),IFERROR(INT(MID(Metadata!E836,12,1))&lt;=2,FALSE),NOT(MID(Metadata!E836,13,1)=""),IFERROR(INT(MID(Metadata!E836,12,2))&gt;=0,FALSE),IFERROR(INT(MID(Metadata!E836,12,2))&lt;=23,FALSE)), OR(MID(Metadata!E836,14,1)="", AND(AND(MID(Metadata!E836,14,1)=":",IFERROR(INT(MID(Metadata!E836,15,1))&gt;=0,FALSE),IFERROR(INT(MID(Metadata!E836,15,1))&lt;=5,FALSE),NOT(MID(Metadata!E836,16,1)=""),IFERROR(INT(MID(Metadata!E836,15,2))&gt;=0,FALSE),IFERROR(INT(MID(Metadata!E836,15,2))&lt;=59,FALSE)), OR(MID(Metadata!E836,17,1)="", AND(AND(MID(Metadata!E836,17,1)=":",IFERROR(INT(MID(Metadata!E836,18,1))&gt;=0,FALSE),IFERROR(INT(MID(Metadata!E836,18,1))&lt;=5,FALSE),NOT(MID(Metadata!E836,19,1)=""),IFERROR(INT(MID(Metadata!E836,18,2))&gt;=0,FALSE),IFERROR(INT(MID(Metadata!E836,18,2))&lt;=59,FALSE)), LEN(Metadata!E836)&lt;=19)))))))))))))</f>
        <v>0</v>
      </c>
      <c r="AS836" t="b">
        <f>IF(Metadata!F836="",FALSE,TRUE)</f>
        <v>0</v>
      </c>
      <c r="AT836" t="b">
        <f>OR(AND(IF(Metadata!G836="",FALSE,TRUE),OR(EXACT(Metadata!G836,"not collected"),EXACT(Metadata!G836,"not provided"))),AND(IF(Metadata!G836="",FALSE,TRUE),OR(EXACT(Metadata!G836,"TRUE"),EXACT(Metadata!G836,"FALSE"))))</f>
        <v>0</v>
      </c>
      <c r="AU836" t="b">
        <f>OR(AND(IF(Metadata!H836="",FALSE,TRUE),OR(EXACT(Metadata!H836,"not collected"),EXACT(Metadata!H836,"not provided"),EXACT(Metadata!H836,"restricted access"))),AND(IF(Metadata!H836="",FALSE,ISNUMBER(VALUE(Metadata!H836))),Metadata!H836&gt;=-413))</f>
        <v>0</v>
      </c>
      <c r="AV836" t="b">
        <f>AND(IF(Metadata!I836="",FALSE,TRUE),EXACT(Metadata!I836,"meters"))</f>
        <v>0</v>
      </c>
      <c r="AW836" t="b">
        <f>AND(IF(Metadata!J836="",FALSE,TRUE),EXACT(Metadata!J836,"free-living"))</f>
        <v>0</v>
      </c>
      <c r="AX836" t="b">
        <f>AND(IF(Metadata!K836="",FALSE,TRUE),OR(EXACT(Metadata!K836,"saline"),EXACT(Metadata!K836,"non-saline")))</f>
        <v>0</v>
      </c>
      <c r="AY836" t="b">
        <f>AND(IF(Metadata!L836="",FALSE,TRUE),OR(EXACT(Metadata!L836,"sub-surface (non-saline)"),EXACT(Metadata!L836,"surface (non-saline)"),EXACT(Metadata!L836,"water (non-saline)"),EXACT(Metadata!L836,"soil (non-saline)"),EXACT(Metadata!L836,"aerosol (non-saline)"),EXACT(Metadata!L836,"sediment (non-saline)"),EXACT(Metadata!L836,"surface (saline)"),EXACT(Metadata!L836,"water (saline)"),EXACT(Metadata!L836,"hypersaline (saline)"),EXACT(Metadata!L836,"aerosol (saline)"),EXACT(Metadata!L836,"sediment (saline)")))</f>
        <v>0</v>
      </c>
      <c r="AZ836" t="b">
        <f>IF(Metadata!M836="",FALSE,TRUE)</f>
        <v>0</v>
      </c>
      <c r="BA836" t="b">
        <f>IF(Metadata!N836="",FALSE,TRUE)</f>
        <v>0</v>
      </c>
      <c r="BB836" t="b">
        <f>IF(Metadata!O836="",FALSE,TRUE)</f>
        <v>0</v>
      </c>
      <c r="BC836" t="b">
        <f>AND(IF(Metadata!P836="",FALSE,TRUE),OR(EXACT(Metadata!P836,"air"),EXACT(Metadata!P836,"microbial mat/biofilm"),EXACT(Metadata!P836,"misc environment"),EXACT(Metadata!P836,"sediment"),EXACT(Metadata!P836,"soil"),EXACT(Metadata!P836,"wastewater/sludge"),EXACT(Metadata!P836,"water")))</f>
        <v>0</v>
      </c>
      <c r="BD836" t="b">
        <f>IF(Metadata!Q836="",FALSE,TRUE)</f>
        <v>0</v>
      </c>
      <c r="BE836" t="b">
        <f>IF(Metadata!R836="",FALSE,TRUE)</f>
        <v>0</v>
      </c>
      <c r="BF836" t="b">
        <f>OR(AND(IF(Metadata!S836="",FALSE,TRUE),OR(EXACT(Metadata!S836,"not collected"),EXACT(Metadata!S836,"not provided"),EXACT(Metadata!S836,"restricted access"))),AND(IF(Metadata!S836="",FALSE,ISNUMBER(VALUE(Metadata!S836))),Metadata!S836&gt;=-90,Metadata!S836&lt;=90))</f>
        <v>0</v>
      </c>
      <c r="BG836" t="b">
        <f>AND(IF(Metadata!T836="",FALSE,TRUE),EXACT(Metadata!T836,"Decimal degrees"))</f>
        <v>0</v>
      </c>
      <c r="BH836" t="b">
        <f>OR(AND(IF(Metadata!U836="",FALSE,TRUE),OR(EXACT(Metadata!U836,"not applicable"),EXACT(Metadata!U836,"not collected"))),IF(Metadata!U836="",FALSE,TRUE))</f>
        <v>0</v>
      </c>
      <c r="BI836" t="b">
        <f>OR(AND(IF(Metadata!V836="",FALSE,TRUE),OR(EXACT(Metadata!V836,"not collected"),EXACT(Metadata!V836,"not provided"),EXACT(Metadata!V836,"restricted access"))),AND(IF(Metadata!V836="",FALSE,ISNUMBER(VALUE(Metadata!V836))),Metadata!V836&gt;=-180,Metadata!V836&lt;=180))</f>
        <v>0</v>
      </c>
      <c r="BJ836" t="b">
        <f>AND(IF(Metadata!W836="",FALSE,TRUE),EXACT(Metadata!W836,"Decimal degrees"))</f>
        <v>0</v>
      </c>
      <c r="BK836" t="b">
        <f>IF(Metadata!X836="",FALSE,TRUE)</f>
        <v>0</v>
      </c>
      <c r="BL836" t="b">
        <f>OR(AND(IF(Metadata!Y836="",FALSE,TRUE),OR(EXACT(Metadata!Y836,"not collected"),EXACT(Metadata!Y836,"not provided"),EXACT(Metadata!Y836,"restricted access"))),AND(IF(Metadata!Y836="",FALSE,TRUE),OR(EXACT(Metadata!Y836,"TRUE"),EXACT(Metadata!Y836,"FALSE"))))</f>
        <v>0</v>
      </c>
      <c r="BM836" t="b">
        <f>OR(AND(IF(Metadata!Z836="",FALSE,TRUE),EXACT(Metadata!Z836,"not applicable")),AND(IF(Metadata!Z836="",FALSE,TRUE),OR(EXACT(Metadata!Z836,"beer"),EXACT(Metadata!Z836,"cheese"),EXACT(Metadata!Z836,"fresh water"),EXACT(Metadata!Z836,"marine sediment"),EXACT(Metadata!Z836,"sea water"),EXACT(Metadata!Z836,"sediment"),EXACT(Metadata!Z836,"soil"),EXACT(Metadata!Z836,"waste water"))))</f>
        <v>0</v>
      </c>
      <c r="BN836" t="b">
        <f>AND(IF(Metadata!AA836="",FALSE,TRUE),EXACT(Metadata!AA836,"metagenome"))</f>
        <v>0</v>
      </c>
      <c r="BO836" t="b">
        <f>AND(IF(Metadata!AB836="",FALSE,TRUE),EXACT(Metadata!AB836,"256318"))</f>
        <v>0</v>
      </c>
      <c r="BP836" t="b">
        <f>IF(Metadata!AC836="",FALSE,TRUE)</f>
        <v>0</v>
      </c>
      <c r="BQ836" t="b">
        <f>IF(Metadata!AD836="",FALSE,TRUE)</f>
        <v>0</v>
      </c>
    </row>
    <row r="837" spans="1:69" x14ac:dyDescent="0.2">
      <c r="A837" s="4" t="e">
        <f ca="1">IF(B837=" "," ",HYPERLINK(CONCATENATE("#metadata!",ADDRESS(INDEX($AJ$2:$AJ$1001,MATCH(ROWS($AH$2:AH837),$AH$2:$AH$1001,0),0),2)),INDEX($AM$2:$AM$1001,MATCH(ROWS($AH$2:AH837),$AH$2:$AH$1001,0),0)))</f>
        <v>#N/A</v>
      </c>
      <c r="B837" s="5" t="e">
        <f ca="1">IF(OR(INDEX($AI$2:$AI$1001,MATCH(ROWS($AH$2:AH837),$AH$2:$AH$1001,0),1)&gt;=100000,INDEX($AO$1005:$BQ$1005,1,MATCH(COLUMNS($AO$1006:AO1006),$AO$1006:$BQ$1006,0))&gt;=100000), " ",IF(INDEX($AO$2:$BQ$1001,MATCH(ROWS($AH$2:AH837),$AH$2:$AH$1001,0),MATCH(COLUMNS($AO$1006:AO1006),$AO$1006:$BQ$1006,0)), HYPERLINK("#",""), HYPERLINK(CONCATENATE("#Metadata!", ADDRESS(INDEX($AJ$2:$AJ$1001,MATCH(ROWS($AH$2:AH837),$AH$2:$AH$1001,0),0), INDEX($AO$1004:$BQ$1004,1,MATCH(COLUMNS($AO$1006:AO1006),$AO$1006:$BQ$1006,0)))),"Fix")))</f>
        <v>#N/A</v>
      </c>
      <c r="C837" s="5" t="e">
        <f ca="1">IF(OR(INDEX($AI$2:$AI$1001,MATCH(ROWS($AH$2:AH837),$AH$2:$AH$1001,0),1)&gt;=100000,INDEX($AO$1005:$BQ$1005,1,MATCH(COLUMNS($AO$1006:AP1006),$AO$1006:$BQ$1006,0))&gt;=100000), " ",IF(INDEX($AO$2:$BQ$1001,MATCH(ROWS($AH$2:AH837),$AH$2:$AH$1001,0),MATCH(COLUMNS($AO$1006:AP1006),$AO$1006:$BQ$1006,0)), HYPERLINK("#",""), HYPERLINK(CONCATENATE("#Metadata!", ADDRESS(INDEX($AJ$2:$AJ$1001,MATCH(ROWS($AH$2:AH837),$AH$2:$AH$1001,0),0), INDEX($AO$1004:$BQ$1004,1,MATCH(COLUMNS($AO$1006:AP1006),$AO$1006:$BQ$1006,0)))),"Fix")))</f>
        <v>#N/A</v>
      </c>
      <c r="D837" s="5" t="e">
        <f ca="1">IF(OR(INDEX($AI$2:$AI$1001,MATCH(ROWS($AH$2:AH837),$AH$2:$AH$1001,0),1)&gt;=100000,INDEX($AO$1005:$BQ$1005,1,MATCH(COLUMNS($AO$1006:AQ1006),$AO$1006:$BQ$1006,0))&gt;=100000), " ",IF(INDEX($AO$2:$BQ$1001,MATCH(ROWS($AH$2:AH837),$AH$2:$AH$1001,0),MATCH(COLUMNS($AO$1006:AQ1006),$AO$1006:$BQ$1006,0)), HYPERLINK("#",""), HYPERLINK(CONCATENATE("#Metadata!", ADDRESS(INDEX($AJ$2:$AJ$1001,MATCH(ROWS($AH$2:AH837),$AH$2:$AH$1001,0),0), INDEX($AO$1004:$BQ$1004,1,MATCH(COLUMNS($AO$1006:AQ1006),$AO$1006:$BQ$1006,0)))),"Fix")))</f>
        <v>#N/A</v>
      </c>
      <c r="E837" s="5" t="e">
        <f ca="1">IF(OR(INDEX($AI$2:$AI$1001,MATCH(ROWS($AH$2:AH837),$AH$2:$AH$1001,0),1)&gt;=100000,INDEX($AO$1005:$BQ$1005,1,MATCH(COLUMNS($AO$1006:AR1006),$AO$1006:$BQ$1006,0))&gt;=100000), " ",IF(INDEX($AO$2:$BQ$1001,MATCH(ROWS($AH$2:AH837),$AH$2:$AH$1001,0),MATCH(COLUMNS($AO$1006:AR1006),$AO$1006:$BQ$1006,0)), HYPERLINK("#",""), HYPERLINK(CONCATENATE("#Metadata!", ADDRESS(INDEX($AJ$2:$AJ$1001,MATCH(ROWS($AH$2:AH837),$AH$2:$AH$1001,0),0), INDEX($AO$1004:$BQ$1004,1,MATCH(COLUMNS($AO$1006:AR1006),$AO$1006:$BQ$1006,0)))),"Fix")))</f>
        <v>#N/A</v>
      </c>
      <c r="F837" s="5" t="e">
        <f ca="1">IF(OR(INDEX($AI$2:$AI$1001,MATCH(ROWS($AH$2:AH837),$AH$2:$AH$1001,0),1)&gt;=100000,INDEX($AO$1005:$BQ$1005,1,MATCH(COLUMNS($AO$1006:AS1006),$AO$1006:$BQ$1006,0))&gt;=100000), " ",IF(INDEX($AO$2:$BQ$1001,MATCH(ROWS($AH$2:AH837),$AH$2:$AH$1001,0),MATCH(COLUMNS($AO$1006:AS1006),$AO$1006:$BQ$1006,0)), HYPERLINK("#",""), HYPERLINK(CONCATENATE("#Metadata!", ADDRESS(INDEX($AJ$2:$AJ$1001,MATCH(ROWS($AH$2:AH837),$AH$2:$AH$1001,0),0), INDEX($AO$1004:$BQ$1004,1,MATCH(COLUMNS($AO$1006:AS1006),$AO$1006:$BQ$1006,0)))),"Fix")))</f>
        <v>#N/A</v>
      </c>
      <c r="G837" s="5" t="e">
        <f ca="1">IF(OR(INDEX($AI$2:$AI$1001,MATCH(ROWS($AH$2:AH837),$AH$2:$AH$1001,0),1)&gt;=100000,INDEX($AO$1005:$BQ$1005,1,MATCH(COLUMNS($AO$1006:AT1006),$AO$1006:$BQ$1006,0))&gt;=100000), " ",IF(INDEX($AO$2:$BQ$1001,MATCH(ROWS($AH$2:AH837),$AH$2:$AH$1001,0),MATCH(COLUMNS($AO$1006:AT1006),$AO$1006:$BQ$1006,0)), HYPERLINK("#",""), HYPERLINK(CONCATENATE("#Metadata!", ADDRESS(INDEX($AJ$2:$AJ$1001,MATCH(ROWS($AH$2:AH837),$AH$2:$AH$1001,0),0), INDEX($AO$1004:$BQ$1004,1,MATCH(COLUMNS($AO$1006:AT1006),$AO$1006:$BQ$1006,0)))),"Fix")))</f>
        <v>#N/A</v>
      </c>
      <c r="H837" s="5" t="e">
        <f ca="1">IF(OR(INDEX($AI$2:$AI$1001,MATCH(ROWS($AH$2:AH837),$AH$2:$AH$1001,0),1)&gt;=100000,INDEX($AO$1005:$BQ$1005,1,MATCH(COLUMNS($AO$1006:AU1006),$AO$1006:$BQ$1006,0))&gt;=100000), " ",IF(INDEX($AO$2:$BQ$1001,MATCH(ROWS($AH$2:AH837),$AH$2:$AH$1001,0),MATCH(COLUMNS($AO$1006:AU1006),$AO$1006:$BQ$1006,0)), HYPERLINK("#",""), HYPERLINK(CONCATENATE("#Metadata!", ADDRESS(INDEX($AJ$2:$AJ$1001,MATCH(ROWS($AH$2:AH837),$AH$2:$AH$1001,0),0), INDEX($AO$1004:$BQ$1004,1,MATCH(COLUMNS($AO$1006:AU1006),$AO$1006:$BQ$1006,0)))),"Fix")))</f>
        <v>#N/A</v>
      </c>
      <c r="I837" s="5" t="e">
        <f ca="1">IF(OR(INDEX($AI$2:$AI$1001,MATCH(ROWS($AH$2:AH837),$AH$2:$AH$1001,0),1)&gt;=100000,INDEX($AO$1005:$BQ$1005,1,MATCH(COLUMNS($AO$1006:AV1006),$AO$1006:$BQ$1006,0))&gt;=100000), " ",IF(INDEX($AO$2:$BQ$1001,MATCH(ROWS($AH$2:AH837),$AH$2:$AH$1001,0),MATCH(COLUMNS($AO$1006:AV1006),$AO$1006:$BQ$1006,0)), HYPERLINK("#",""), HYPERLINK(CONCATENATE("#Metadata!", ADDRESS(INDEX($AJ$2:$AJ$1001,MATCH(ROWS($AH$2:AH837),$AH$2:$AH$1001,0),0), INDEX($AO$1004:$BQ$1004,1,MATCH(COLUMNS($AO$1006:AV1006),$AO$1006:$BQ$1006,0)))),"Fix")))</f>
        <v>#N/A</v>
      </c>
      <c r="J837" s="5" t="e">
        <f ca="1">IF(OR(INDEX($AI$2:$AI$1001,MATCH(ROWS($AH$2:AH837),$AH$2:$AH$1001,0),1)&gt;=100000,INDEX($AO$1005:$BQ$1005,1,MATCH(COLUMNS($AO$1006:AW1006),$AO$1006:$BQ$1006,0))&gt;=100000), " ",IF(INDEX($AO$2:$BQ$1001,MATCH(ROWS($AH$2:AH837),$AH$2:$AH$1001,0),MATCH(COLUMNS($AO$1006:AW1006),$AO$1006:$BQ$1006,0)), HYPERLINK("#",""), HYPERLINK(CONCATENATE("#Metadata!", ADDRESS(INDEX($AJ$2:$AJ$1001,MATCH(ROWS($AH$2:AH837),$AH$2:$AH$1001,0),0), INDEX($AO$1004:$BQ$1004,1,MATCH(COLUMNS($AO$1006:AW1006),$AO$1006:$BQ$1006,0)))),"Fix")))</f>
        <v>#N/A</v>
      </c>
      <c r="K837" s="5" t="e">
        <f ca="1">IF(OR(INDEX($AI$2:$AI$1001,MATCH(ROWS($AH$2:AH837),$AH$2:$AH$1001,0),1)&gt;=100000,INDEX($AO$1005:$BQ$1005,1,MATCH(COLUMNS($AO$1006:AX1006),$AO$1006:$BQ$1006,0))&gt;=100000), " ",IF(INDEX($AO$2:$BQ$1001,MATCH(ROWS($AH$2:AH837),$AH$2:$AH$1001,0),MATCH(COLUMNS($AO$1006:AX1006),$AO$1006:$BQ$1006,0)), HYPERLINK("#",""), HYPERLINK(CONCATENATE("#Metadata!", ADDRESS(INDEX($AJ$2:$AJ$1001,MATCH(ROWS($AH$2:AH837),$AH$2:$AH$1001,0),0), INDEX($AO$1004:$BQ$1004,1,MATCH(COLUMNS($AO$1006:AX1006),$AO$1006:$BQ$1006,0)))),"Fix")))</f>
        <v>#N/A</v>
      </c>
      <c r="L837" s="5" t="e">
        <f ca="1">IF(OR(INDEX($AI$2:$AI$1001,MATCH(ROWS($AH$2:AH837),$AH$2:$AH$1001,0),1)&gt;=100000,INDEX($AO$1005:$BQ$1005,1,MATCH(COLUMNS($AO$1006:AY1006),$AO$1006:$BQ$1006,0))&gt;=100000), " ",IF(INDEX($AO$2:$BQ$1001,MATCH(ROWS($AH$2:AH837),$AH$2:$AH$1001,0),MATCH(COLUMNS($AO$1006:AY1006),$AO$1006:$BQ$1006,0)), HYPERLINK("#",""), HYPERLINK(CONCATENATE("#Metadata!", ADDRESS(INDEX($AJ$2:$AJ$1001,MATCH(ROWS($AH$2:AH837),$AH$2:$AH$1001,0),0), INDEX($AO$1004:$BQ$1004,1,MATCH(COLUMNS($AO$1006:AY1006),$AO$1006:$BQ$1006,0)))),"Fix")))</f>
        <v>#N/A</v>
      </c>
      <c r="M837" s="5" t="e">
        <f ca="1">IF(OR(INDEX($AI$2:$AI$1001,MATCH(ROWS($AH$2:AH837),$AH$2:$AH$1001,0),1)&gt;=100000,INDEX($AO$1005:$BQ$1005,1,MATCH(COLUMNS($AO$1006:AZ1006),$AO$1006:$BQ$1006,0))&gt;=100000), " ",IF(INDEX($AO$2:$BQ$1001,MATCH(ROWS($AH$2:AH837),$AH$2:$AH$1001,0),MATCH(COLUMNS($AO$1006:AZ1006),$AO$1006:$BQ$1006,0)), HYPERLINK("#",""), HYPERLINK(CONCATENATE("#Metadata!", ADDRESS(INDEX($AJ$2:$AJ$1001,MATCH(ROWS($AH$2:AH837),$AH$2:$AH$1001,0),0), INDEX($AO$1004:$BQ$1004,1,MATCH(COLUMNS($AO$1006:AZ1006),$AO$1006:$BQ$1006,0)))),"Fix")))</f>
        <v>#N/A</v>
      </c>
      <c r="N837" s="5" t="e">
        <f ca="1">IF(OR(INDEX($AI$2:$AI$1001,MATCH(ROWS($AH$2:AH837),$AH$2:$AH$1001,0),1)&gt;=100000,INDEX($AO$1005:$BQ$1005,1,MATCH(COLUMNS($AO$1006:BA1006),$AO$1006:$BQ$1006,0))&gt;=100000), " ",IF(INDEX($AO$2:$BQ$1001,MATCH(ROWS($AH$2:AH837),$AH$2:$AH$1001,0),MATCH(COLUMNS($AO$1006:BA1006),$AO$1006:$BQ$1006,0)), HYPERLINK("#",""), HYPERLINK(CONCATENATE("#Metadata!", ADDRESS(INDEX($AJ$2:$AJ$1001,MATCH(ROWS($AH$2:AH837),$AH$2:$AH$1001,0),0), INDEX($AO$1004:$BQ$1004,1,MATCH(COLUMNS($AO$1006:BA1006),$AO$1006:$BQ$1006,0)))),"Fix")))</f>
        <v>#N/A</v>
      </c>
      <c r="O837" s="5" t="e">
        <f ca="1">IF(OR(INDEX($AI$2:$AI$1001,MATCH(ROWS($AH$2:AH837),$AH$2:$AH$1001,0),1)&gt;=100000,INDEX($AO$1005:$BQ$1005,1,MATCH(COLUMNS($AO$1006:BB1006),$AO$1006:$BQ$1006,0))&gt;=100000), " ",IF(INDEX($AO$2:$BQ$1001,MATCH(ROWS($AH$2:AH837),$AH$2:$AH$1001,0),MATCH(COLUMNS($AO$1006:BB1006),$AO$1006:$BQ$1006,0)), HYPERLINK("#",""), HYPERLINK(CONCATENATE("#Metadata!", ADDRESS(INDEX($AJ$2:$AJ$1001,MATCH(ROWS($AH$2:AH837),$AH$2:$AH$1001,0),0), INDEX($AO$1004:$BQ$1004,1,MATCH(COLUMNS($AO$1006:BB1006),$AO$1006:$BQ$1006,0)))),"Fix")))</f>
        <v>#N/A</v>
      </c>
      <c r="P837" s="5" t="e">
        <f ca="1">IF(OR(INDEX($AI$2:$AI$1001,MATCH(ROWS($AH$2:AH837),$AH$2:$AH$1001,0),1)&gt;=100000,INDEX($AO$1005:$BQ$1005,1,MATCH(COLUMNS($AO$1006:BC1006),$AO$1006:$BQ$1006,0))&gt;=100000), " ",IF(INDEX($AO$2:$BQ$1001,MATCH(ROWS($AH$2:AH837),$AH$2:$AH$1001,0),MATCH(COLUMNS($AO$1006:BC1006),$AO$1006:$BQ$1006,0)), HYPERLINK("#",""), HYPERLINK(CONCATENATE("#Metadata!", ADDRESS(INDEX($AJ$2:$AJ$1001,MATCH(ROWS($AH$2:AH837),$AH$2:$AH$1001,0),0), INDEX($AO$1004:$BQ$1004,1,MATCH(COLUMNS($AO$1006:BC1006),$AO$1006:$BQ$1006,0)))),"Fix")))</f>
        <v>#N/A</v>
      </c>
      <c r="Q837" s="5" t="e">
        <f ca="1">IF(OR(INDEX($AI$2:$AI$1001,MATCH(ROWS($AH$2:AH837),$AH$2:$AH$1001,0),1)&gt;=100000,INDEX($AO$1005:$BQ$1005,1,MATCH(COLUMNS($AO$1006:BD1006),$AO$1006:$BQ$1006,0))&gt;=100000), " ",IF(INDEX($AO$2:$BQ$1001,MATCH(ROWS($AH$2:AH837),$AH$2:$AH$1001,0),MATCH(COLUMNS($AO$1006:BD1006),$AO$1006:$BQ$1006,0)), HYPERLINK("#",""), HYPERLINK(CONCATENATE("#Metadata!", ADDRESS(INDEX($AJ$2:$AJ$1001,MATCH(ROWS($AH$2:AH837),$AH$2:$AH$1001,0),0), INDEX($AO$1004:$BQ$1004,1,MATCH(COLUMNS($AO$1006:BD1006),$AO$1006:$BQ$1006,0)))),"Fix")))</f>
        <v>#N/A</v>
      </c>
      <c r="R837" s="5" t="e">
        <f ca="1">IF(OR(INDEX($AI$2:$AI$1001,MATCH(ROWS($AH$2:AH837),$AH$2:$AH$1001,0),1)&gt;=100000,INDEX($AO$1005:$BQ$1005,1,MATCH(COLUMNS($AO$1006:BE1006),$AO$1006:$BQ$1006,0))&gt;=100000), " ",IF(INDEX($AO$2:$BQ$1001,MATCH(ROWS($AH$2:AH837),$AH$2:$AH$1001,0),MATCH(COLUMNS($AO$1006:BE1006),$AO$1006:$BQ$1006,0)), HYPERLINK("#",""), HYPERLINK(CONCATENATE("#Metadata!", ADDRESS(INDEX($AJ$2:$AJ$1001,MATCH(ROWS($AH$2:AH837),$AH$2:$AH$1001,0),0), INDEX($AO$1004:$BQ$1004,1,MATCH(COLUMNS($AO$1006:BE1006),$AO$1006:$BQ$1006,0)))),"Fix")))</f>
        <v>#N/A</v>
      </c>
      <c r="S837" s="5" t="e">
        <f ca="1">IF(OR(INDEX($AI$2:$AI$1001,MATCH(ROWS($AH$2:AH837),$AH$2:$AH$1001,0),1)&gt;=100000,INDEX($AO$1005:$BQ$1005,1,MATCH(COLUMNS($AO$1006:BF1006),$AO$1006:$BQ$1006,0))&gt;=100000), " ",IF(INDEX($AO$2:$BQ$1001,MATCH(ROWS($AH$2:AH837),$AH$2:$AH$1001,0),MATCH(COLUMNS($AO$1006:BF1006),$AO$1006:$BQ$1006,0)), HYPERLINK("#",""), HYPERLINK(CONCATENATE("#Metadata!", ADDRESS(INDEX($AJ$2:$AJ$1001,MATCH(ROWS($AH$2:AH837),$AH$2:$AH$1001,0),0), INDEX($AO$1004:$BQ$1004,1,MATCH(COLUMNS($AO$1006:BF1006),$AO$1006:$BQ$1006,0)))),"Fix")))</f>
        <v>#N/A</v>
      </c>
      <c r="T837" s="5" t="e">
        <f ca="1">IF(OR(INDEX($AI$2:$AI$1001,MATCH(ROWS($AH$2:AH837),$AH$2:$AH$1001,0),1)&gt;=100000,INDEX($AO$1005:$BQ$1005,1,MATCH(COLUMNS($AO$1006:BG1006),$AO$1006:$BQ$1006,0))&gt;=100000), " ",IF(INDEX($AO$2:$BQ$1001,MATCH(ROWS($AH$2:AH837),$AH$2:$AH$1001,0),MATCH(COLUMNS($AO$1006:BG1006),$AO$1006:$BQ$1006,0)), HYPERLINK("#",""), HYPERLINK(CONCATENATE("#Metadata!", ADDRESS(INDEX($AJ$2:$AJ$1001,MATCH(ROWS($AH$2:AH837),$AH$2:$AH$1001,0),0), INDEX($AO$1004:$BQ$1004,1,MATCH(COLUMNS($AO$1006:BG1006),$AO$1006:$BQ$1006,0)))),"Fix")))</f>
        <v>#N/A</v>
      </c>
      <c r="U837" s="5" t="e">
        <f ca="1">IF(OR(INDEX($AI$2:$AI$1001,MATCH(ROWS($AH$2:AH837),$AH$2:$AH$1001,0),1)&gt;=100000,INDEX($AO$1005:$BQ$1005,1,MATCH(COLUMNS($AO$1006:BH1006),$AO$1006:$BQ$1006,0))&gt;=100000), " ",IF(INDEX($AO$2:$BQ$1001,MATCH(ROWS($AH$2:AH837),$AH$2:$AH$1001,0),MATCH(COLUMNS($AO$1006:BH1006),$AO$1006:$BQ$1006,0)), HYPERLINK("#",""), HYPERLINK(CONCATENATE("#Metadata!", ADDRESS(INDEX($AJ$2:$AJ$1001,MATCH(ROWS($AH$2:AH837),$AH$2:$AH$1001,0),0), INDEX($AO$1004:$BQ$1004,1,MATCH(COLUMNS($AO$1006:BH1006),$AO$1006:$BQ$1006,0)))),"Fix")))</f>
        <v>#N/A</v>
      </c>
      <c r="V837" s="5" t="e">
        <f ca="1">IF(OR(INDEX($AI$2:$AI$1001,MATCH(ROWS($AH$2:AH837),$AH$2:$AH$1001,0),1)&gt;=100000,INDEX($AO$1005:$BQ$1005,1,MATCH(COLUMNS($AO$1006:BI1006),$AO$1006:$BQ$1006,0))&gt;=100000), " ",IF(INDEX($AO$2:$BQ$1001,MATCH(ROWS($AH$2:AH837),$AH$2:$AH$1001,0),MATCH(COLUMNS($AO$1006:BI1006),$AO$1006:$BQ$1006,0)), HYPERLINK("#",""), HYPERLINK(CONCATENATE("#Metadata!", ADDRESS(INDEX($AJ$2:$AJ$1001,MATCH(ROWS($AH$2:AH837),$AH$2:$AH$1001,0),0), INDEX($AO$1004:$BQ$1004,1,MATCH(COLUMNS($AO$1006:BI1006),$AO$1006:$BQ$1006,0)))),"Fix")))</f>
        <v>#N/A</v>
      </c>
      <c r="W837" s="5" t="e">
        <f ca="1">IF(OR(INDEX($AI$2:$AI$1001,MATCH(ROWS($AH$2:AH837),$AH$2:$AH$1001,0),1)&gt;=100000,INDEX($AO$1005:$BQ$1005,1,MATCH(COLUMNS($AO$1006:BJ1006),$AO$1006:$BQ$1006,0))&gt;=100000), " ",IF(INDEX($AO$2:$BQ$1001,MATCH(ROWS($AH$2:AH837),$AH$2:$AH$1001,0),MATCH(COLUMNS($AO$1006:BJ1006),$AO$1006:$BQ$1006,0)), HYPERLINK("#",""), HYPERLINK(CONCATENATE("#Metadata!", ADDRESS(INDEX($AJ$2:$AJ$1001,MATCH(ROWS($AH$2:AH837),$AH$2:$AH$1001,0),0), INDEX($AO$1004:$BQ$1004,1,MATCH(COLUMNS($AO$1006:BJ1006),$AO$1006:$BQ$1006,0)))),"Fix")))</f>
        <v>#N/A</v>
      </c>
      <c r="X837" s="5" t="e">
        <f ca="1">IF(OR(INDEX($AI$2:$AI$1001,MATCH(ROWS($AH$2:AH837),$AH$2:$AH$1001,0),1)&gt;=100000,INDEX($AO$1005:$BQ$1005,1,MATCH(COLUMNS($AO$1006:BK1006),$AO$1006:$BQ$1006,0))&gt;=100000), " ",IF(INDEX($AO$2:$BQ$1001,MATCH(ROWS($AH$2:AH837),$AH$2:$AH$1001,0),MATCH(COLUMNS($AO$1006:BK1006),$AO$1006:$BQ$1006,0)), HYPERLINK("#",""), HYPERLINK(CONCATENATE("#Metadata!", ADDRESS(INDEX($AJ$2:$AJ$1001,MATCH(ROWS($AH$2:AH837),$AH$2:$AH$1001,0),0), INDEX($AO$1004:$BQ$1004,1,MATCH(COLUMNS($AO$1006:BK1006),$AO$1006:$BQ$1006,0)))),"Fix")))</f>
        <v>#N/A</v>
      </c>
      <c r="Y837" s="5" t="e">
        <f ca="1">IF(OR(INDEX($AI$2:$AI$1001,MATCH(ROWS($AH$2:AH837),$AH$2:$AH$1001,0),1)&gt;=100000,INDEX($AO$1005:$BQ$1005,1,MATCH(COLUMNS($AO$1006:BL1006),$AO$1006:$BQ$1006,0))&gt;=100000), " ",IF(INDEX($AO$2:$BQ$1001,MATCH(ROWS($AH$2:AH837),$AH$2:$AH$1001,0),MATCH(COLUMNS($AO$1006:BL1006),$AO$1006:$BQ$1006,0)), HYPERLINK("#",""), HYPERLINK(CONCATENATE("#Metadata!", ADDRESS(INDEX($AJ$2:$AJ$1001,MATCH(ROWS($AH$2:AH837),$AH$2:$AH$1001,0),0), INDEX($AO$1004:$BQ$1004,1,MATCH(COLUMNS($AO$1006:BL1006),$AO$1006:$BQ$1006,0)))),"Fix")))</f>
        <v>#N/A</v>
      </c>
      <c r="Z837" s="5" t="e">
        <f ca="1">IF(OR(INDEX($AI$2:$AI$1001,MATCH(ROWS($AH$2:AH837),$AH$2:$AH$1001,0),1)&gt;=100000,INDEX($AO$1005:$BQ$1005,1,MATCH(COLUMNS($AO$1006:BM1006),$AO$1006:$BQ$1006,0))&gt;=100000), " ",IF(INDEX($AO$2:$BQ$1001,MATCH(ROWS($AH$2:AH837),$AH$2:$AH$1001,0),MATCH(COLUMNS($AO$1006:BM1006),$AO$1006:$BQ$1006,0)), HYPERLINK("#",""), HYPERLINK(CONCATENATE("#Metadata!", ADDRESS(INDEX($AJ$2:$AJ$1001,MATCH(ROWS($AH$2:AH837),$AH$2:$AH$1001,0),0), INDEX($AO$1004:$BQ$1004,1,MATCH(COLUMNS($AO$1006:BM1006),$AO$1006:$BQ$1006,0)))),"Fix")))</f>
        <v>#N/A</v>
      </c>
      <c r="AA837" s="5" t="e">
        <f ca="1">IF(OR(INDEX($AI$2:$AI$1001,MATCH(ROWS($AH$2:AH837),$AH$2:$AH$1001,0),1)&gt;=100000,INDEX($AO$1005:$BQ$1005,1,MATCH(COLUMNS($AO$1006:BN1006),$AO$1006:$BQ$1006,0))&gt;=100000), " ",IF(INDEX($AO$2:$BQ$1001,MATCH(ROWS($AH$2:AH837),$AH$2:$AH$1001,0),MATCH(COLUMNS($AO$1006:BN1006),$AO$1006:$BQ$1006,0)), HYPERLINK("#",""), HYPERLINK(CONCATENATE("#Metadata!", ADDRESS(INDEX($AJ$2:$AJ$1001,MATCH(ROWS($AH$2:AH837),$AH$2:$AH$1001,0),0), INDEX($AO$1004:$BQ$1004,1,MATCH(COLUMNS($AO$1006:BN1006),$AO$1006:$BQ$1006,0)))),"Fix")))</f>
        <v>#N/A</v>
      </c>
      <c r="AB837" s="5" t="e">
        <f ca="1">IF(OR(INDEX($AI$2:$AI$1001,MATCH(ROWS($AH$2:AH837),$AH$2:$AH$1001,0),1)&gt;=100000,INDEX($AO$1005:$BQ$1005,1,MATCH(COLUMNS($AO$1006:BO1006),$AO$1006:$BQ$1006,0))&gt;=100000), " ",IF(INDEX($AO$2:$BQ$1001,MATCH(ROWS($AH$2:AH837),$AH$2:$AH$1001,0),MATCH(COLUMNS($AO$1006:BO1006),$AO$1006:$BQ$1006,0)), HYPERLINK("#",""), HYPERLINK(CONCATENATE("#Metadata!", ADDRESS(INDEX($AJ$2:$AJ$1001,MATCH(ROWS($AH$2:AH837),$AH$2:$AH$1001,0),0), INDEX($AO$1004:$BQ$1004,1,MATCH(COLUMNS($AO$1006:BO1006),$AO$1006:$BQ$1006,0)))),"Fix")))</f>
        <v>#N/A</v>
      </c>
      <c r="AC837" s="5" t="e">
        <f ca="1">IF(OR(INDEX($AI$2:$AI$1001,MATCH(ROWS($AH$2:AH837),$AH$2:$AH$1001,0),1)&gt;=100000,INDEX($AO$1005:$BQ$1005,1,MATCH(COLUMNS($AO$1006:BP1006),$AO$1006:$BQ$1006,0))&gt;=100000), " ",IF(INDEX($AO$2:$BQ$1001,MATCH(ROWS($AH$2:AH837),$AH$2:$AH$1001,0),MATCH(COLUMNS($AO$1006:BP1006),$AO$1006:$BQ$1006,0)), HYPERLINK("#",""), HYPERLINK(CONCATENATE("#Metadata!", ADDRESS(INDEX($AJ$2:$AJ$1001,MATCH(ROWS($AH$2:AH837),$AH$2:$AH$1001,0),0), INDEX($AO$1004:$BQ$1004,1,MATCH(COLUMNS($AO$1006:BP1006),$AO$1006:$BQ$1006,0)))),"Fix")))</f>
        <v>#N/A</v>
      </c>
      <c r="AD837" s="5" t="e">
        <f ca="1">IF(OR(INDEX($AI$2:$AI$1001,MATCH(ROWS($AH$2:AH837),$AH$2:$AH$1001,0),1)&gt;=100000,INDEX($AO$1005:$BQ$1005,1,MATCH(COLUMNS($AO$1006:BQ1006),$AO$1006:$BQ$1006,0))&gt;=100000), " ",IF(INDEX($AO$2:$BQ$1001,MATCH(ROWS($AH$2:AH837),$AH$2:$AH$1001,0),MATCH(COLUMNS($AO$1006:BQ1006),$AO$1006:$BQ$1006,0)), HYPERLINK("#",""), HYPERLINK(CONCATENATE("#Metadata!", ADDRESS(INDEX($AJ$2:$AJ$1001,MATCH(ROWS($AH$2:AH837),$AH$2:$AH$1001,0),0), INDEX($AO$1004:$BQ$1004,1,MATCH(COLUMNS($AO$1006:BQ1006),$AO$1006:$BQ$1006,0)))),"Fix")))</f>
        <v>#REF!</v>
      </c>
      <c r="AH837">
        <f ca="1"/>
        <v>834</v>
      </c>
      <c r="AI837">
        <v>100837</v>
      </c>
      <c r="AJ837">
        <v>837</v>
      </c>
      <c r="AK837" t="b">
        <f t="shared" si="13"/>
        <v>1</v>
      </c>
      <c r="AL837" t="b">
        <f>COUNTBLANK(Metadata!B837:AD837)=COLUMNS(Metadata!B837:AD837)</f>
        <v>1</v>
      </c>
      <c r="AM837" t="str">
        <v/>
      </c>
      <c r="AO837" t="b">
        <f ca="1">AND(IF(Metadata!B837="",FALSE,TRUE),COUNTIF(Metadata!B:B, Metadata!B837) = 1,NOT(ISERROR(SUMPRODUCT(SEARCH(MID(Metadata!B837,ROW(INDIRECT("1:"&amp;LEN(Metadata!B837))), 1),"0123456789abcdefghijklmnopqrstuvwxyzABCDEFGHIJKLMNOPQRSTUVWXYZ.")))))</f>
        <v>0</v>
      </c>
      <c r="AP837" t="b">
        <f>IF(Metadata!C837="",FALSE,TRUE)</f>
        <v>0</v>
      </c>
      <c r="AQ837" t="b">
        <f>IF(Metadata!D837="",FALSE,TRUE)</f>
        <v>0</v>
      </c>
      <c r="AR837" t="b">
        <f ca="1">OR(AND(IF(Metadata!E837="",FALSE,TRUE),OR(EXACT(Metadata!E837,"not collected"),EXACT(Metadata!E837,"not provided"),EXACT(Metadata!E837,"restricted access"))),AND(IF(Metadata!E837="",FALSE,TRUE),AND(AND(IFERROR(INT(LEFT(Metadata!E837,4))&gt;1900,FALSE),IFERROR(INT(LEFT(Metadata!E837,4))&lt;=YEAR(NOW()),FALSE)), OR(MID(Metadata!E837,5,1)="", AND(AND(MID(Metadata!E837,5,1)="-",IFERROR(INT(MID(Metadata!E837,6,1))&gt;=0,FALSE),IFERROR(INT(MID(Metadata!E837,6,1))&lt;=1,FALSE),NOT(MID(Metadata!E837,7,1)=""),IFERROR(INT(MID(Metadata!E837,6,2))&gt;=1,FALSE),IFERROR(INT(MID(Metadata!E837,6,2))&lt;=12,FALSE)), OR(MID(Metadata!E837,8,1)="", AND(AND(MID(Metadata!E837,8,1)="-",IFERROR(INT(MID(Metadata!E837,9,1))&gt;=0,FALSE),IFERROR(INT(MID(Metadata!E837,9,1))&lt;=3,FALSE),NOT(MID(Metadata!E837,10,1)=""),IFERROR(INT(MID(Metadata!E837,9,2))&gt;=1,FALSE),IFERROR(INT(MID(Metadata!E837,9,2))&lt;=31,FALSE)), OR(MID(Metadata!E837,11,1)="", AND(AND(MID(Metadata!E837,11,1)=" ",IFERROR(INT(MID(Metadata!E837,12,1))&gt;=0,FALSE),IFERROR(INT(MID(Metadata!E837,12,1))&lt;=2,FALSE),NOT(MID(Metadata!E837,13,1)=""),IFERROR(INT(MID(Metadata!E837,12,2))&gt;=0,FALSE),IFERROR(INT(MID(Metadata!E837,12,2))&lt;=23,FALSE)), OR(MID(Metadata!E837,14,1)="", AND(AND(MID(Metadata!E837,14,1)=":",IFERROR(INT(MID(Metadata!E837,15,1))&gt;=0,FALSE),IFERROR(INT(MID(Metadata!E837,15,1))&lt;=5,FALSE),NOT(MID(Metadata!E837,16,1)=""),IFERROR(INT(MID(Metadata!E837,15,2))&gt;=0,FALSE),IFERROR(INT(MID(Metadata!E837,15,2))&lt;=59,FALSE)), OR(MID(Metadata!E837,17,1)="", AND(AND(MID(Metadata!E837,17,1)=":",IFERROR(INT(MID(Metadata!E837,18,1))&gt;=0,FALSE),IFERROR(INT(MID(Metadata!E837,18,1))&lt;=5,FALSE),NOT(MID(Metadata!E837,19,1)=""),IFERROR(INT(MID(Metadata!E837,18,2))&gt;=0,FALSE),IFERROR(INT(MID(Metadata!E837,18,2))&lt;=59,FALSE)), LEN(Metadata!E837)&lt;=19)))))))))))))</f>
        <v>0</v>
      </c>
      <c r="AS837" t="b">
        <f>IF(Metadata!F837="",FALSE,TRUE)</f>
        <v>0</v>
      </c>
      <c r="AT837" t="b">
        <f>OR(AND(IF(Metadata!G837="",FALSE,TRUE),OR(EXACT(Metadata!G837,"not collected"),EXACT(Metadata!G837,"not provided"))),AND(IF(Metadata!G837="",FALSE,TRUE),OR(EXACT(Metadata!G837,"TRUE"),EXACT(Metadata!G837,"FALSE"))))</f>
        <v>0</v>
      </c>
      <c r="AU837" t="b">
        <f>OR(AND(IF(Metadata!H837="",FALSE,TRUE),OR(EXACT(Metadata!H837,"not collected"),EXACT(Metadata!H837,"not provided"),EXACT(Metadata!H837,"restricted access"))),AND(IF(Metadata!H837="",FALSE,ISNUMBER(VALUE(Metadata!H837))),Metadata!H837&gt;=-413))</f>
        <v>0</v>
      </c>
      <c r="AV837" t="b">
        <f>AND(IF(Metadata!I837="",FALSE,TRUE),EXACT(Metadata!I837,"meters"))</f>
        <v>0</v>
      </c>
      <c r="AW837" t="b">
        <f>AND(IF(Metadata!J837="",FALSE,TRUE),EXACT(Metadata!J837,"free-living"))</f>
        <v>0</v>
      </c>
      <c r="AX837" t="b">
        <f>AND(IF(Metadata!K837="",FALSE,TRUE),OR(EXACT(Metadata!K837,"saline"),EXACT(Metadata!K837,"non-saline")))</f>
        <v>0</v>
      </c>
      <c r="AY837" t="b">
        <f>AND(IF(Metadata!L837="",FALSE,TRUE),OR(EXACT(Metadata!L837,"sub-surface (non-saline)"),EXACT(Metadata!L837,"surface (non-saline)"),EXACT(Metadata!L837,"water (non-saline)"),EXACT(Metadata!L837,"soil (non-saline)"),EXACT(Metadata!L837,"aerosol (non-saline)"),EXACT(Metadata!L837,"sediment (non-saline)"),EXACT(Metadata!L837,"surface (saline)"),EXACT(Metadata!L837,"water (saline)"),EXACT(Metadata!L837,"hypersaline (saline)"),EXACT(Metadata!L837,"aerosol (saline)"),EXACT(Metadata!L837,"sediment (saline)")))</f>
        <v>0</v>
      </c>
      <c r="AZ837" t="b">
        <f>IF(Metadata!M837="",FALSE,TRUE)</f>
        <v>0</v>
      </c>
      <c r="BA837" t="b">
        <f>IF(Metadata!N837="",FALSE,TRUE)</f>
        <v>0</v>
      </c>
      <c r="BB837" t="b">
        <f>IF(Metadata!O837="",FALSE,TRUE)</f>
        <v>0</v>
      </c>
      <c r="BC837" t="b">
        <f>AND(IF(Metadata!P837="",FALSE,TRUE),OR(EXACT(Metadata!P837,"air"),EXACT(Metadata!P837,"microbial mat/biofilm"),EXACT(Metadata!P837,"misc environment"),EXACT(Metadata!P837,"sediment"),EXACT(Metadata!P837,"soil"),EXACT(Metadata!P837,"wastewater/sludge"),EXACT(Metadata!P837,"water")))</f>
        <v>0</v>
      </c>
      <c r="BD837" t="b">
        <f>IF(Metadata!Q837="",FALSE,TRUE)</f>
        <v>0</v>
      </c>
      <c r="BE837" t="b">
        <f>IF(Metadata!R837="",FALSE,TRUE)</f>
        <v>0</v>
      </c>
      <c r="BF837" t="b">
        <f>OR(AND(IF(Metadata!S837="",FALSE,TRUE),OR(EXACT(Metadata!S837,"not collected"),EXACT(Metadata!S837,"not provided"),EXACT(Metadata!S837,"restricted access"))),AND(IF(Metadata!S837="",FALSE,ISNUMBER(VALUE(Metadata!S837))),Metadata!S837&gt;=-90,Metadata!S837&lt;=90))</f>
        <v>0</v>
      </c>
      <c r="BG837" t="b">
        <f>AND(IF(Metadata!T837="",FALSE,TRUE),EXACT(Metadata!T837,"Decimal degrees"))</f>
        <v>0</v>
      </c>
      <c r="BH837" t="b">
        <f>OR(AND(IF(Metadata!U837="",FALSE,TRUE),OR(EXACT(Metadata!U837,"not applicable"),EXACT(Metadata!U837,"not collected"))),IF(Metadata!U837="",FALSE,TRUE))</f>
        <v>0</v>
      </c>
      <c r="BI837" t="b">
        <f>OR(AND(IF(Metadata!V837="",FALSE,TRUE),OR(EXACT(Metadata!V837,"not collected"),EXACT(Metadata!V837,"not provided"),EXACT(Metadata!V837,"restricted access"))),AND(IF(Metadata!V837="",FALSE,ISNUMBER(VALUE(Metadata!V837))),Metadata!V837&gt;=-180,Metadata!V837&lt;=180))</f>
        <v>0</v>
      </c>
      <c r="BJ837" t="b">
        <f>AND(IF(Metadata!W837="",FALSE,TRUE),EXACT(Metadata!W837,"Decimal degrees"))</f>
        <v>0</v>
      </c>
      <c r="BK837" t="b">
        <f>IF(Metadata!X837="",FALSE,TRUE)</f>
        <v>0</v>
      </c>
      <c r="BL837" t="b">
        <f>OR(AND(IF(Metadata!Y837="",FALSE,TRUE),OR(EXACT(Metadata!Y837,"not collected"),EXACT(Metadata!Y837,"not provided"),EXACT(Metadata!Y837,"restricted access"))),AND(IF(Metadata!Y837="",FALSE,TRUE),OR(EXACT(Metadata!Y837,"TRUE"),EXACT(Metadata!Y837,"FALSE"))))</f>
        <v>0</v>
      </c>
      <c r="BM837" t="b">
        <f>OR(AND(IF(Metadata!Z837="",FALSE,TRUE),EXACT(Metadata!Z837,"not applicable")),AND(IF(Metadata!Z837="",FALSE,TRUE),OR(EXACT(Metadata!Z837,"beer"),EXACT(Metadata!Z837,"cheese"),EXACT(Metadata!Z837,"fresh water"),EXACT(Metadata!Z837,"marine sediment"),EXACT(Metadata!Z837,"sea water"),EXACT(Metadata!Z837,"sediment"),EXACT(Metadata!Z837,"soil"),EXACT(Metadata!Z837,"waste water"))))</f>
        <v>0</v>
      </c>
      <c r="BN837" t="b">
        <f>AND(IF(Metadata!AA837="",FALSE,TRUE),EXACT(Metadata!AA837,"metagenome"))</f>
        <v>0</v>
      </c>
      <c r="BO837" t="b">
        <f>AND(IF(Metadata!AB837="",FALSE,TRUE),EXACT(Metadata!AB837,"256318"))</f>
        <v>0</v>
      </c>
      <c r="BP837" t="b">
        <f>IF(Metadata!AC837="",FALSE,TRUE)</f>
        <v>0</v>
      </c>
      <c r="BQ837" t="b">
        <f>IF(Metadata!AD837="",FALSE,TRUE)</f>
        <v>0</v>
      </c>
    </row>
    <row r="838" spans="1:69" x14ac:dyDescent="0.2">
      <c r="A838" s="4" t="e">
        <f ca="1">IF(B838=" "," ",HYPERLINK(CONCATENATE("#metadata!",ADDRESS(INDEX($AJ$2:$AJ$1001,MATCH(ROWS($AH$2:AH838),$AH$2:$AH$1001,0),0),2)),INDEX($AM$2:$AM$1001,MATCH(ROWS($AH$2:AH838),$AH$2:$AH$1001,0),0)))</f>
        <v>#N/A</v>
      </c>
      <c r="B838" s="5" t="e">
        <f ca="1">IF(OR(INDEX($AI$2:$AI$1001,MATCH(ROWS($AH$2:AH838),$AH$2:$AH$1001,0),1)&gt;=100000,INDEX($AO$1005:$BQ$1005,1,MATCH(COLUMNS($AO$1006:AO1006),$AO$1006:$BQ$1006,0))&gt;=100000), " ",IF(INDEX($AO$2:$BQ$1001,MATCH(ROWS($AH$2:AH838),$AH$2:$AH$1001,0),MATCH(COLUMNS($AO$1006:AO1006),$AO$1006:$BQ$1006,0)), HYPERLINK("#",""), HYPERLINK(CONCATENATE("#Metadata!", ADDRESS(INDEX($AJ$2:$AJ$1001,MATCH(ROWS($AH$2:AH838),$AH$2:$AH$1001,0),0), INDEX($AO$1004:$BQ$1004,1,MATCH(COLUMNS($AO$1006:AO1006),$AO$1006:$BQ$1006,0)))),"Fix")))</f>
        <v>#N/A</v>
      </c>
      <c r="C838" s="5" t="e">
        <f ca="1">IF(OR(INDEX($AI$2:$AI$1001,MATCH(ROWS($AH$2:AH838),$AH$2:$AH$1001,0),1)&gt;=100000,INDEX($AO$1005:$BQ$1005,1,MATCH(COLUMNS($AO$1006:AP1006),$AO$1006:$BQ$1006,0))&gt;=100000), " ",IF(INDEX($AO$2:$BQ$1001,MATCH(ROWS($AH$2:AH838),$AH$2:$AH$1001,0),MATCH(COLUMNS($AO$1006:AP1006),$AO$1006:$BQ$1006,0)), HYPERLINK("#",""), HYPERLINK(CONCATENATE("#Metadata!", ADDRESS(INDEX($AJ$2:$AJ$1001,MATCH(ROWS($AH$2:AH838),$AH$2:$AH$1001,0),0), INDEX($AO$1004:$BQ$1004,1,MATCH(COLUMNS($AO$1006:AP1006),$AO$1006:$BQ$1006,0)))),"Fix")))</f>
        <v>#N/A</v>
      </c>
      <c r="D838" s="5" t="e">
        <f ca="1">IF(OR(INDEX($AI$2:$AI$1001,MATCH(ROWS($AH$2:AH838),$AH$2:$AH$1001,0),1)&gt;=100000,INDEX($AO$1005:$BQ$1005,1,MATCH(COLUMNS($AO$1006:AQ1006),$AO$1006:$BQ$1006,0))&gt;=100000), " ",IF(INDEX($AO$2:$BQ$1001,MATCH(ROWS($AH$2:AH838),$AH$2:$AH$1001,0),MATCH(COLUMNS($AO$1006:AQ1006),$AO$1006:$BQ$1006,0)), HYPERLINK("#",""), HYPERLINK(CONCATENATE("#Metadata!", ADDRESS(INDEX($AJ$2:$AJ$1001,MATCH(ROWS($AH$2:AH838),$AH$2:$AH$1001,0),0), INDEX($AO$1004:$BQ$1004,1,MATCH(COLUMNS($AO$1006:AQ1006),$AO$1006:$BQ$1006,0)))),"Fix")))</f>
        <v>#N/A</v>
      </c>
      <c r="E838" s="5" t="e">
        <f ca="1">IF(OR(INDEX($AI$2:$AI$1001,MATCH(ROWS($AH$2:AH838),$AH$2:$AH$1001,0),1)&gt;=100000,INDEX($AO$1005:$BQ$1005,1,MATCH(COLUMNS($AO$1006:AR1006),$AO$1006:$BQ$1006,0))&gt;=100000), " ",IF(INDEX($AO$2:$BQ$1001,MATCH(ROWS($AH$2:AH838),$AH$2:$AH$1001,0),MATCH(COLUMNS($AO$1006:AR1006),$AO$1006:$BQ$1006,0)), HYPERLINK("#",""), HYPERLINK(CONCATENATE("#Metadata!", ADDRESS(INDEX($AJ$2:$AJ$1001,MATCH(ROWS($AH$2:AH838),$AH$2:$AH$1001,0),0), INDEX($AO$1004:$BQ$1004,1,MATCH(COLUMNS($AO$1006:AR1006),$AO$1006:$BQ$1006,0)))),"Fix")))</f>
        <v>#N/A</v>
      </c>
      <c r="F838" s="5" t="e">
        <f ca="1">IF(OR(INDEX($AI$2:$AI$1001,MATCH(ROWS($AH$2:AH838),$AH$2:$AH$1001,0),1)&gt;=100000,INDEX($AO$1005:$BQ$1005,1,MATCH(COLUMNS($AO$1006:AS1006),$AO$1006:$BQ$1006,0))&gt;=100000), " ",IF(INDEX($AO$2:$BQ$1001,MATCH(ROWS($AH$2:AH838),$AH$2:$AH$1001,0),MATCH(COLUMNS($AO$1006:AS1006),$AO$1006:$BQ$1006,0)), HYPERLINK("#",""), HYPERLINK(CONCATENATE("#Metadata!", ADDRESS(INDEX($AJ$2:$AJ$1001,MATCH(ROWS($AH$2:AH838),$AH$2:$AH$1001,0),0), INDEX($AO$1004:$BQ$1004,1,MATCH(COLUMNS($AO$1006:AS1006),$AO$1006:$BQ$1006,0)))),"Fix")))</f>
        <v>#N/A</v>
      </c>
      <c r="G838" s="5" t="e">
        <f ca="1">IF(OR(INDEX($AI$2:$AI$1001,MATCH(ROWS($AH$2:AH838),$AH$2:$AH$1001,0),1)&gt;=100000,INDEX($AO$1005:$BQ$1005,1,MATCH(COLUMNS($AO$1006:AT1006),$AO$1006:$BQ$1006,0))&gt;=100000), " ",IF(INDEX($AO$2:$BQ$1001,MATCH(ROWS($AH$2:AH838),$AH$2:$AH$1001,0),MATCH(COLUMNS($AO$1006:AT1006),$AO$1006:$BQ$1006,0)), HYPERLINK("#",""), HYPERLINK(CONCATENATE("#Metadata!", ADDRESS(INDEX($AJ$2:$AJ$1001,MATCH(ROWS($AH$2:AH838),$AH$2:$AH$1001,0),0), INDEX($AO$1004:$BQ$1004,1,MATCH(COLUMNS($AO$1006:AT1006),$AO$1006:$BQ$1006,0)))),"Fix")))</f>
        <v>#N/A</v>
      </c>
      <c r="H838" s="5" t="e">
        <f ca="1">IF(OR(INDEX($AI$2:$AI$1001,MATCH(ROWS($AH$2:AH838),$AH$2:$AH$1001,0),1)&gt;=100000,INDEX($AO$1005:$BQ$1005,1,MATCH(COLUMNS($AO$1006:AU1006),$AO$1006:$BQ$1006,0))&gt;=100000), " ",IF(INDEX($AO$2:$BQ$1001,MATCH(ROWS($AH$2:AH838),$AH$2:$AH$1001,0),MATCH(COLUMNS($AO$1006:AU1006),$AO$1006:$BQ$1006,0)), HYPERLINK("#",""), HYPERLINK(CONCATENATE("#Metadata!", ADDRESS(INDEX($AJ$2:$AJ$1001,MATCH(ROWS($AH$2:AH838),$AH$2:$AH$1001,0),0), INDEX($AO$1004:$BQ$1004,1,MATCH(COLUMNS($AO$1006:AU1006),$AO$1006:$BQ$1006,0)))),"Fix")))</f>
        <v>#N/A</v>
      </c>
      <c r="I838" s="5" t="e">
        <f ca="1">IF(OR(INDEX($AI$2:$AI$1001,MATCH(ROWS($AH$2:AH838),$AH$2:$AH$1001,0),1)&gt;=100000,INDEX($AO$1005:$BQ$1005,1,MATCH(COLUMNS($AO$1006:AV1006),$AO$1006:$BQ$1006,0))&gt;=100000), " ",IF(INDEX($AO$2:$BQ$1001,MATCH(ROWS($AH$2:AH838),$AH$2:$AH$1001,0),MATCH(COLUMNS($AO$1006:AV1006),$AO$1006:$BQ$1006,0)), HYPERLINK("#",""), HYPERLINK(CONCATENATE("#Metadata!", ADDRESS(INDEX($AJ$2:$AJ$1001,MATCH(ROWS($AH$2:AH838),$AH$2:$AH$1001,0),0), INDEX($AO$1004:$BQ$1004,1,MATCH(COLUMNS($AO$1006:AV1006),$AO$1006:$BQ$1006,0)))),"Fix")))</f>
        <v>#N/A</v>
      </c>
      <c r="J838" s="5" t="e">
        <f ca="1">IF(OR(INDEX($AI$2:$AI$1001,MATCH(ROWS($AH$2:AH838),$AH$2:$AH$1001,0),1)&gt;=100000,INDEX($AO$1005:$BQ$1005,1,MATCH(COLUMNS($AO$1006:AW1006),$AO$1006:$BQ$1006,0))&gt;=100000), " ",IF(INDEX($AO$2:$BQ$1001,MATCH(ROWS($AH$2:AH838),$AH$2:$AH$1001,0),MATCH(COLUMNS($AO$1006:AW1006),$AO$1006:$BQ$1006,0)), HYPERLINK("#",""), HYPERLINK(CONCATENATE("#Metadata!", ADDRESS(INDEX($AJ$2:$AJ$1001,MATCH(ROWS($AH$2:AH838),$AH$2:$AH$1001,0),0), INDEX($AO$1004:$BQ$1004,1,MATCH(COLUMNS($AO$1006:AW1006),$AO$1006:$BQ$1006,0)))),"Fix")))</f>
        <v>#N/A</v>
      </c>
      <c r="K838" s="5" t="e">
        <f ca="1">IF(OR(INDEX($AI$2:$AI$1001,MATCH(ROWS($AH$2:AH838),$AH$2:$AH$1001,0),1)&gt;=100000,INDEX($AO$1005:$BQ$1005,1,MATCH(COLUMNS($AO$1006:AX1006),$AO$1006:$BQ$1006,0))&gt;=100000), " ",IF(INDEX($AO$2:$BQ$1001,MATCH(ROWS($AH$2:AH838),$AH$2:$AH$1001,0),MATCH(COLUMNS($AO$1006:AX1006),$AO$1006:$BQ$1006,0)), HYPERLINK("#",""), HYPERLINK(CONCATENATE("#Metadata!", ADDRESS(INDEX($AJ$2:$AJ$1001,MATCH(ROWS($AH$2:AH838),$AH$2:$AH$1001,0),0), INDEX($AO$1004:$BQ$1004,1,MATCH(COLUMNS($AO$1006:AX1006),$AO$1006:$BQ$1006,0)))),"Fix")))</f>
        <v>#N/A</v>
      </c>
      <c r="L838" s="5" t="e">
        <f ca="1">IF(OR(INDEX($AI$2:$AI$1001,MATCH(ROWS($AH$2:AH838),$AH$2:$AH$1001,0),1)&gt;=100000,INDEX($AO$1005:$BQ$1005,1,MATCH(COLUMNS($AO$1006:AY1006),$AO$1006:$BQ$1006,0))&gt;=100000), " ",IF(INDEX($AO$2:$BQ$1001,MATCH(ROWS($AH$2:AH838),$AH$2:$AH$1001,0),MATCH(COLUMNS($AO$1006:AY1006),$AO$1006:$BQ$1006,0)), HYPERLINK("#",""), HYPERLINK(CONCATENATE("#Metadata!", ADDRESS(INDEX($AJ$2:$AJ$1001,MATCH(ROWS($AH$2:AH838),$AH$2:$AH$1001,0),0), INDEX($AO$1004:$BQ$1004,1,MATCH(COLUMNS($AO$1006:AY1006),$AO$1006:$BQ$1006,0)))),"Fix")))</f>
        <v>#N/A</v>
      </c>
      <c r="M838" s="5" t="e">
        <f ca="1">IF(OR(INDEX($AI$2:$AI$1001,MATCH(ROWS($AH$2:AH838),$AH$2:$AH$1001,0),1)&gt;=100000,INDEX($AO$1005:$BQ$1005,1,MATCH(COLUMNS($AO$1006:AZ1006),$AO$1006:$BQ$1006,0))&gt;=100000), " ",IF(INDEX($AO$2:$BQ$1001,MATCH(ROWS($AH$2:AH838),$AH$2:$AH$1001,0),MATCH(COLUMNS($AO$1006:AZ1006),$AO$1006:$BQ$1006,0)), HYPERLINK("#",""), HYPERLINK(CONCATENATE("#Metadata!", ADDRESS(INDEX($AJ$2:$AJ$1001,MATCH(ROWS($AH$2:AH838),$AH$2:$AH$1001,0),0), INDEX($AO$1004:$BQ$1004,1,MATCH(COLUMNS($AO$1006:AZ1006),$AO$1006:$BQ$1006,0)))),"Fix")))</f>
        <v>#N/A</v>
      </c>
      <c r="N838" s="5" t="e">
        <f ca="1">IF(OR(INDEX($AI$2:$AI$1001,MATCH(ROWS($AH$2:AH838),$AH$2:$AH$1001,0),1)&gt;=100000,INDEX($AO$1005:$BQ$1005,1,MATCH(COLUMNS($AO$1006:BA1006),$AO$1006:$BQ$1006,0))&gt;=100000), " ",IF(INDEX($AO$2:$BQ$1001,MATCH(ROWS($AH$2:AH838),$AH$2:$AH$1001,0),MATCH(COLUMNS($AO$1006:BA1006),$AO$1006:$BQ$1006,0)), HYPERLINK("#",""), HYPERLINK(CONCATENATE("#Metadata!", ADDRESS(INDEX($AJ$2:$AJ$1001,MATCH(ROWS($AH$2:AH838),$AH$2:$AH$1001,0),0), INDEX($AO$1004:$BQ$1004,1,MATCH(COLUMNS($AO$1006:BA1006),$AO$1006:$BQ$1006,0)))),"Fix")))</f>
        <v>#N/A</v>
      </c>
      <c r="O838" s="5" t="e">
        <f ca="1">IF(OR(INDEX($AI$2:$AI$1001,MATCH(ROWS($AH$2:AH838),$AH$2:$AH$1001,0),1)&gt;=100000,INDEX($AO$1005:$BQ$1005,1,MATCH(COLUMNS($AO$1006:BB1006),$AO$1006:$BQ$1006,0))&gt;=100000), " ",IF(INDEX($AO$2:$BQ$1001,MATCH(ROWS($AH$2:AH838),$AH$2:$AH$1001,0),MATCH(COLUMNS($AO$1006:BB1006),$AO$1006:$BQ$1006,0)), HYPERLINK("#",""), HYPERLINK(CONCATENATE("#Metadata!", ADDRESS(INDEX($AJ$2:$AJ$1001,MATCH(ROWS($AH$2:AH838),$AH$2:$AH$1001,0),0), INDEX($AO$1004:$BQ$1004,1,MATCH(COLUMNS($AO$1006:BB1006),$AO$1006:$BQ$1006,0)))),"Fix")))</f>
        <v>#N/A</v>
      </c>
      <c r="P838" s="5" t="e">
        <f ca="1">IF(OR(INDEX($AI$2:$AI$1001,MATCH(ROWS($AH$2:AH838),$AH$2:$AH$1001,0),1)&gt;=100000,INDEX($AO$1005:$BQ$1005,1,MATCH(COLUMNS($AO$1006:BC1006),$AO$1006:$BQ$1006,0))&gt;=100000), " ",IF(INDEX($AO$2:$BQ$1001,MATCH(ROWS($AH$2:AH838),$AH$2:$AH$1001,0),MATCH(COLUMNS($AO$1006:BC1006),$AO$1006:$BQ$1006,0)), HYPERLINK("#",""), HYPERLINK(CONCATENATE("#Metadata!", ADDRESS(INDEX($AJ$2:$AJ$1001,MATCH(ROWS($AH$2:AH838),$AH$2:$AH$1001,0),0), INDEX($AO$1004:$BQ$1004,1,MATCH(COLUMNS($AO$1006:BC1006),$AO$1006:$BQ$1006,0)))),"Fix")))</f>
        <v>#N/A</v>
      </c>
      <c r="Q838" s="5" t="e">
        <f ca="1">IF(OR(INDEX($AI$2:$AI$1001,MATCH(ROWS($AH$2:AH838),$AH$2:$AH$1001,0),1)&gt;=100000,INDEX($AO$1005:$BQ$1005,1,MATCH(COLUMNS($AO$1006:BD1006),$AO$1006:$BQ$1006,0))&gt;=100000), " ",IF(INDEX($AO$2:$BQ$1001,MATCH(ROWS($AH$2:AH838),$AH$2:$AH$1001,0),MATCH(COLUMNS($AO$1006:BD1006),$AO$1006:$BQ$1006,0)), HYPERLINK("#",""), HYPERLINK(CONCATENATE("#Metadata!", ADDRESS(INDEX($AJ$2:$AJ$1001,MATCH(ROWS($AH$2:AH838),$AH$2:$AH$1001,0),0), INDEX($AO$1004:$BQ$1004,1,MATCH(COLUMNS($AO$1006:BD1006),$AO$1006:$BQ$1006,0)))),"Fix")))</f>
        <v>#N/A</v>
      </c>
      <c r="R838" s="5" t="e">
        <f ca="1">IF(OR(INDEX($AI$2:$AI$1001,MATCH(ROWS($AH$2:AH838),$AH$2:$AH$1001,0),1)&gt;=100000,INDEX($AO$1005:$BQ$1005,1,MATCH(COLUMNS($AO$1006:BE1006),$AO$1006:$BQ$1006,0))&gt;=100000), " ",IF(INDEX($AO$2:$BQ$1001,MATCH(ROWS($AH$2:AH838),$AH$2:$AH$1001,0),MATCH(COLUMNS($AO$1006:BE1006),$AO$1006:$BQ$1006,0)), HYPERLINK("#",""), HYPERLINK(CONCATENATE("#Metadata!", ADDRESS(INDEX($AJ$2:$AJ$1001,MATCH(ROWS($AH$2:AH838),$AH$2:$AH$1001,0),0), INDEX($AO$1004:$BQ$1004,1,MATCH(COLUMNS($AO$1006:BE1006),$AO$1006:$BQ$1006,0)))),"Fix")))</f>
        <v>#N/A</v>
      </c>
      <c r="S838" s="5" t="e">
        <f ca="1">IF(OR(INDEX($AI$2:$AI$1001,MATCH(ROWS($AH$2:AH838),$AH$2:$AH$1001,0),1)&gt;=100000,INDEX($AO$1005:$BQ$1005,1,MATCH(COLUMNS($AO$1006:BF1006),$AO$1006:$BQ$1006,0))&gt;=100000), " ",IF(INDEX($AO$2:$BQ$1001,MATCH(ROWS($AH$2:AH838),$AH$2:$AH$1001,0),MATCH(COLUMNS($AO$1006:BF1006),$AO$1006:$BQ$1006,0)), HYPERLINK("#",""), HYPERLINK(CONCATENATE("#Metadata!", ADDRESS(INDEX($AJ$2:$AJ$1001,MATCH(ROWS($AH$2:AH838),$AH$2:$AH$1001,0),0), INDEX($AO$1004:$BQ$1004,1,MATCH(COLUMNS($AO$1006:BF1006),$AO$1006:$BQ$1006,0)))),"Fix")))</f>
        <v>#N/A</v>
      </c>
      <c r="T838" s="5" t="e">
        <f ca="1">IF(OR(INDEX($AI$2:$AI$1001,MATCH(ROWS($AH$2:AH838),$AH$2:$AH$1001,0),1)&gt;=100000,INDEX($AO$1005:$BQ$1005,1,MATCH(COLUMNS($AO$1006:BG1006),$AO$1006:$BQ$1006,0))&gt;=100000), " ",IF(INDEX($AO$2:$BQ$1001,MATCH(ROWS($AH$2:AH838),$AH$2:$AH$1001,0),MATCH(COLUMNS($AO$1006:BG1006),$AO$1006:$BQ$1006,0)), HYPERLINK("#",""), HYPERLINK(CONCATENATE("#Metadata!", ADDRESS(INDEX($AJ$2:$AJ$1001,MATCH(ROWS($AH$2:AH838),$AH$2:$AH$1001,0),0), INDEX($AO$1004:$BQ$1004,1,MATCH(COLUMNS($AO$1006:BG1006),$AO$1006:$BQ$1006,0)))),"Fix")))</f>
        <v>#N/A</v>
      </c>
      <c r="U838" s="5" t="e">
        <f ca="1">IF(OR(INDEX($AI$2:$AI$1001,MATCH(ROWS($AH$2:AH838),$AH$2:$AH$1001,0),1)&gt;=100000,INDEX($AO$1005:$BQ$1005,1,MATCH(COLUMNS($AO$1006:BH1006),$AO$1006:$BQ$1006,0))&gt;=100000), " ",IF(INDEX($AO$2:$BQ$1001,MATCH(ROWS($AH$2:AH838),$AH$2:$AH$1001,0),MATCH(COLUMNS($AO$1006:BH1006),$AO$1006:$BQ$1006,0)), HYPERLINK("#",""), HYPERLINK(CONCATENATE("#Metadata!", ADDRESS(INDEX($AJ$2:$AJ$1001,MATCH(ROWS($AH$2:AH838),$AH$2:$AH$1001,0),0), INDEX($AO$1004:$BQ$1004,1,MATCH(COLUMNS($AO$1006:BH1006),$AO$1006:$BQ$1006,0)))),"Fix")))</f>
        <v>#N/A</v>
      </c>
      <c r="V838" s="5" t="e">
        <f ca="1">IF(OR(INDEX($AI$2:$AI$1001,MATCH(ROWS($AH$2:AH838),$AH$2:$AH$1001,0),1)&gt;=100000,INDEX($AO$1005:$BQ$1005,1,MATCH(COLUMNS($AO$1006:BI1006),$AO$1006:$BQ$1006,0))&gt;=100000), " ",IF(INDEX($AO$2:$BQ$1001,MATCH(ROWS($AH$2:AH838),$AH$2:$AH$1001,0),MATCH(COLUMNS($AO$1006:BI1006),$AO$1006:$BQ$1006,0)), HYPERLINK("#",""), HYPERLINK(CONCATENATE("#Metadata!", ADDRESS(INDEX($AJ$2:$AJ$1001,MATCH(ROWS($AH$2:AH838),$AH$2:$AH$1001,0),0), INDEX($AO$1004:$BQ$1004,1,MATCH(COLUMNS($AO$1006:BI1006),$AO$1006:$BQ$1006,0)))),"Fix")))</f>
        <v>#N/A</v>
      </c>
      <c r="W838" s="5" t="e">
        <f ca="1">IF(OR(INDEX($AI$2:$AI$1001,MATCH(ROWS($AH$2:AH838),$AH$2:$AH$1001,0),1)&gt;=100000,INDEX($AO$1005:$BQ$1005,1,MATCH(COLUMNS($AO$1006:BJ1006),$AO$1006:$BQ$1006,0))&gt;=100000), " ",IF(INDEX($AO$2:$BQ$1001,MATCH(ROWS($AH$2:AH838),$AH$2:$AH$1001,0),MATCH(COLUMNS($AO$1006:BJ1006),$AO$1006:$BQ$1006,0)), HYPERLINK("#",""), HYPERLINK(CONCATENATE("#Metadata!", ADDRESS(INDEX($AJ$2:$AJ$1001,MATCH(ROWS($AH$2:AH838),$AH$2:$AH$1001,0),0), INDEX($AO$1004:$BQ$1004,1,MATCH(COLUMNS($AO$1006:BJ1006),$AO$1006:$BQ$1006,0)))),"Fix")))</f>
        <v>#N/A</v>
      </c>
      <c r="X838" s="5" t="e">
        <f ca="1">IF(OR(INDEX($AI$2:$AI$1001,MATCH(ROWS($AH$2:AH838),$AH$2:$AH$1001,0),1)&gt;=100000,INDEX($AO$1005:$BQ$1005,1,MATCH(COLUMNS($AO$1006:BK1006),$AO$1006:$BQ$1006,0))&gt;=100000), " ",IF(INDEX($AO$2:$BQ$1001,MATCH(ROWS($AH$2:AH838),$AH$2:$AH$1001,0),MATCH(COLUMNS($AO$1006:BK1006),$AO$1006:$BQ$1006,0)), HYPERLINK("#",""), HYPERLINK(CONCATENATE("#Metadata!", ADDRESS(INDEX($AJ$2:$AJ$1001,MATCH(ROWS($AH$2:AH838),$AH$2:$AH$1001,0),0), INDEX($AO$1004:$BQ$1004,1,MATCH(COLUMNS($AO$1006:BK1006),$AO$1006:$BQ$1006,0)))),"Fix")))</f>
        <v>#N/A</v>
      </c>
      <c r="Y838" s="5" t="e">
        <f ca="1">IF(OR(INDEX($AI$2:$AI$1001,MATCH(ROWS($AH$2:AH838),$AH$2:$AH$1001,0),1)&gt;=100000,INDEX($AO$1005:$BQ$1005,1,MATCH(COLUMNS($AO$1006:BL1006),$AO$1006:$BQ$1006,0))&gt;=100000), " ",IF(INDEX($AO$2:$BQ$1001,MATCH(ROWS($AH$2:AH838),$AH$2:$AH$1001,0),MATCH(COLUMNS($AO$1006:BL1006),$AO$1006:$BQ$1006,0)), HYPERLINK("#",""), HYPERLINK(CONCATENATE("#Metadata!", ADDRESS(INDEX($AJ$2:$AJ$1001,MATCH(ROWS($AH$2:AH838),$AH$2:$AH$1001,0),0), INDEX($AO$1004:$BQ$1004,1,MATCH(COLUMNS($AO$1006:BL1006),$AO$1006:$BQ$1006,0)))),"Fix")))</f>
        <v>#N/A</v>
      </c>
      <c r="Z838" s="5" t="e">
        <f ca="1">IF(OR(INDEX($AI$2:$AI$1001,MATCH(ROWS($AH$2:AH838),$AH$2:$AH$1001,0),1)&gt;=100000,INDEX($AO$1005:$BQ$1005,1,MATCH(COLUMNS($AO$1006:BM1006),$AO$1006:$BQ$1006,0))&gt;=100000), " ",IF(INDEX($AO$2:$BQ$1001,MATCH(ROWS($AH$2:AH838),$AH$2:$AH$1001,0),MATCH(COLUMNS($AO$1006:BM1006),$AO$1006:$BQ$1006,0)), HYPERLINK("#",""), HYPERLINK(CONCATENATE("#Metadata!", ADDRESS(INDEX($AJ$2:$AJ$1001,MATCH(ROWS($AH$2:AH838),$AH$2:$AH$1001,0),0), INDEX($AO$1004:$BQ$1004,1,MATCH(COLUMNS($AO$1006:BM1006),$AO$1006:$BQ$1006,0)))),"Fix")))</f>
        <v>#N/A</v>
      </c>
      <c r="AA838" s="5" t="e">
        <f ca="1">IF(OR(INDEX($AI$2:$AI$1001,MATCH(ROWS($AH$2:AH838),$AH$2:$AH$1001,0),1)&gt;=100000,INDEX($AO$1005:$BQ$1005,1,MATCH(COLUMNS($AO$1006:BN1006),$AO$1006:$BQ$1006,0))&gt;=100000), " ",IF(INDEX($AO$2:$BQ$1001,MATCH(ROWS($AH$2:AH838),$AH$2:$AH$1001,0),MATCH(COLUMNS($AO$1006:BN1006),$AO$1006:$BQ$1006,0)), HYPERLINK("#",""), HYPERLINK(CONCATENATE("#Metadata!", ADDRESS(INDEX($AJ$2:$AJ$1001,MATCH(ROWS($AH$2:AH838),$AH$2:$AH$1001,0),0), INDEX($AO$1004:$BQ$1004,1,MATCH(COLUMNS($AO$1006:BN1006),$AO$1006:$BQ$1006,0)))),"Fix")))</f>
        <v>#N/A</v>
      </c>
      <c r="AB838" s="5" t="e">
        <f ca="1">IF(OR(INDEX($AI$2:$AI$1001,MATCH(ROWS($AH$2:AH838),$AH$2:$AH$1001,0),1)&gt;=100000,INDEX($AO$1005:$BQ$1005,1,MATCH(COLUMNS($AO$1006:BO1006),$AO$1006:$BQ$1006,0))&gt;=100000), " ",IF(INDEX($AO$2:$BQ$1001,MATCH(ROWS($AH$2:AH838),$AH$2:$AH$1001,0),MATCH(COLUMNS($AO$1006:BO1006),$AO$1006:$BQ$1006,0)), HYPERLINK("#",""), HYPERLINK(CONCATENATE("#Metadata!", ADDRESS(INDEX($AJ$2:$AJ$1001,MATCH(ROWS($AH$2:AH838),$AH$2:$AH$1001,0),0), INDEX($AO$1004:$BQ$1004,1,MATCH(COLUMNS($AO$1006:BO1006),$AO$1006:$BQ$1006,0)))),"Fix")))</f>
        <v>#N/A</v>
      </c>
      <c r="AC838" s="5" t="e">
        <f ca="1">IF(OR(INDEX($AI$2:$AI$1001,MATCH(ROWS($AH$2:AH838),$AH$2:$AH$1001,0),1)&gt;=100000,INDEX($AO$1005:$BQ$1005,1,MATCH(COLUMNS($AO$1006:BP1006),$AO$1006:$BQ$1006,0))&gt;=100000), " ",IF(INDEX($AO$2:$BQ$1001,MATCH(ROWS($AH$2:AH838),$AH$2:$AH$1001,0),MATCH(COLUMNS($AO$1006:BP1006),$AO$1006:$BQ$1006,0)), HYPERLINK("#",""), HYPERLINK(CONCATENATE("#Metadata!", ADDRESS(INDEX($AJ$2:$AJ$1001,MATCH(ROWS($AH$2:AH838),$AH$2:$AH$1001,0),0), INDEX($AO$1004:$BQ$1004,1,MATCH(COLUMNS($AO$1006:BP1006),$AO$1006:$BQ$1006,0)))),"Fix")))</f>
        <v>#N/A</v>
      </c>
      <c r="AD838" s="5" t="e">
        <f ca="1">IF(OR(INDEX($AI$2:$AI$1001,MATCH(ROWS($AH$2:AH838),$AH$2:$AH$1001,0),1)&gt;=100000,INDEX($AO$1005:$BQ$1005,1,MATCH(COLUMNS($AO$1006:BQ1006),$AO$1006:$BQ$1006,0))&gt;=100000), " ",IF(INDEX($AO$2:$BQ$1001,MATCH(ROWS($AH$2:AH838),$AH$2:$AH$1001,0),MATCH(COLUMNS($AO$1006:BQ1006),$AO$1006:$BQ$1006,0)), HYPERLINK("#",""), HYPERLINK(CONCATENATE("#Metadata!", ADDRESS(INDEX($AJ$2:$AJ$1001,MATCH(ROWS($AH$2:AH838),$AH$2:$AH$1001,0),0), INDEX($AO$1004:$BQ$1004,1,MATCH(COLUMNS($AO$1006:BQ1006),$AO$1006:$BQ$1006,0)))),"Fix")))</f>
        <v>#REF!</v>
      </c>
      <c r="AH838">
        <f ca="1"/>
        <v>835</v>
      </c>
      <c r="AI838">
        <v>100838</v>
      </c>
      <c r="AJ838">
        <v>838</v>
      </c>
      <c r="AK838" t="b">
        <f t="shared" si="13"/>
        <v>1</v>
      </c>
      <c r="AL838" t="b">
        <f>COUNTBLANK(Metadata!B838:AD838)=COLUMNS(Metadata!B838:AD838)</f>
        <v>1</v>
      </c>
      <c r="AM838" t="str">
        <v/>
      </c>
      <c r="AO838" t="b">
        <f ca="1">AND(IF(Metadata!B838="",FALSE,TRUE),COUNTIF(Metadata!B:B, Metadata!B838) = 1,NOT(ISERROR(SUMPRODUCT(SEARCH(MID(Metadata!B838,ROW(INDIRECT("1:"&amp;LEN(Metadata!B838))), 1),"0123456789abcdefghijklmnopqrstuvwxyzABCDEFGHIJKLMNOPQRSTUVWXYZ.")))))</f>
        <v>0</v>
      </c>
      <c r="AP838" t="b">
        <f>IF(Metadata!C838="",FALSE,TRUE)</f>
        <v>0</v>
      </c>
      <c r="AQ838" t="b">
        <f>IF(Metadata!D838="",FALSE,TRUE)</f>
        <v>0</v>
      </c>
      <c r="AR838" t="b">
        <f ca="1">OR(AND(IF(Metadata!E838="",FALSE,TRUE),OR(EXACT(Metadata!E838,"not collected"),EXACT(Metadata!E838,"not provided"),EXACT(Metadata!E838,"restricted access"))),AND(IF(Metadata!E838="",FALSE,TRUE),AND(AND(IFERROR(INT(LEFT(Metadata!E838,4))&gt;1900,FALSE),IFERROR(INT(LEFT(Metadata!E838,4))&lt;=YEAR(NOW()),FALSE)), OR(MID(Metadata!E838,5,1)="", AND(AND(MID(Metadata!E838,5,1)="-",IFERROR(INT(MID(Metadata!E838,6,1))&gt;=0,FALSE),IFERROR(INT(MID(Metadata!E838,6,1))&lt;=1,FALSE),NOT(MID(Metadata!E838,7,1)=""),IFERROR(INT(MID(Metadata!E838,6,2))&gt;=1,FALSE),IFERROR(INT(MID(Metadata!E838,6,2))&lt;=12,FALSE)), OR(MID(Metadata!E838,8,1)="", AND(AND(MID(Metadata!E838,8,1)="-",IFERROR(INT(MID(Metadata!E838,9,1))&gt;=0,FALSE),IFERROR(INT(MID(Metadata!E838,9,1))&lt;=3,FALSE),NOT(MID(Metadata!E838,10,1)=""),IFERROR(INT(MID(Metadata!E838,9,2))&gt;=1,FALSE),IFERROR(INT(MID(Metadata!E838,9,2))&lt;=31,FALSE)), OR(MID(Metadata!E838,11,1)="", AND(AND(MID(Metadata!E838,11,1)=" ",IFERROR(INT(MID(Metadata!E838,12,1))&gt;=0,FALSE),IFERROR(INT(MID(Metadata!E838,12,1))&lt;=2,FALSE),NOT(MID(Metadata!E838,13,1)=""),IFERROR(INT(MID(Metadata!E838,12,2))&gt;=0,FALSE),IFERROR(INT(MID(Metadata!E838,12,2))&lt;=23,FALSE)), OR(MID(Metadata!E838,14,1)="", AND(AND(MID(Metadata!E838,14,1)=":",IFERROR(INT(MID(Metadata!E838,15,1))&gt;=0,FALSE),IFERROR(INT(MID(Metadata!E838,15,1))&lt;=5,FALSE),NOT(MID(Metadata!E838,16,1)=""),IFERROR(INT(MID(Metadata!E838,15,2))&gt;=0,FALSE),IFERROR(INT(MID(Metadata!E838,15,2))&lt;=59,FALSE)), OR(MID(Metadata!E838,17,1)="", AND(AND(MID(Metadata!E838,17,1)=":",IFERROR(INT(MID(Metadata!E838,18,1))&gt;=0,FALSE),IFERROR(INT(MID(Metadata!E838,18,1))&lt;=5,FALSE),NOT(MID(Metadata!E838,19,1)=""),IFERROR(INT(MID(Metadata!E838,18,2))&gt;=0,FALSE),IFERROR(INT(MID(Metadata!E838,18,2))&lt;=59,FALSE)), LEN(Metadata!E838)&lt;=19)))))))))))))</f>
        <v>0</v>
      </c>
      <c r="AS838" t="b">
        <f>IF(Metadata!F838="",FALSE,TRUE)</f>
        <v>0</v>
      </c>
      <c r="AT838" t="b">
        <f>OR(AND(IF(Metadata!G838="",FALSE,TRUE),OR(EXACT(Metadata!G838,"not collected"),EXACT(Metadata!G838,"not provided"))),AND(IF(Metadata!G838="",FALSE,TRUE),OR(EXACT(Metadata!G838,"TRUE"),EXACT(Metadata!G838,"FALSE"))))</f>
        <v>0</v>
      </c>
      <c r="AU838" t="b">
        <f>OR(AND(IF(Metadata!H838="",FALSE,TRUE),OR(EXACT(Metadata!H838,"not collected"),EXACT(Metadata!H838,"not provided"),EXACT(Metadata!H838,"restricted access"))),AND(IF(Metadata!H838="",FALSE,ISNUMBER(VALUE(Metadata!H838))),Metadata!H838&gt;=-413))</f>
        <v>0</v>
      </c>
      <c r="AV838" t="b">
        <f>AND(IF(Metadata!I838="",FALSE,TRUE),EXACT(Metadata!I838,"meters"))</f>
        <v>0</v>
      </c>
      <c r="AW838" t="b">
        <f>AND(IF(Metadata!J838="",FALSE,TRUE),EXACT(Metadata!J838,"free-living"))</f>
        <v>0</v>
      </c>
      <c r="AX838" t="b">
        <f>AND(IF(Metadata!K838="",FALSE,TRUE),OR(EXACT(Metadata!K838,"saline"),EXACT(Metadata!K838,"non-saline")))</f>
        <v>0</v>
      </c>
      <c r="AY838" t="b">
        <f>AND(IF(Metadata!L838="",FALSE,TRUE),OR(EXACT(Metadata!L838,"sub-surface (non-saline)"),EXACT(Metadata!L838,"surface (non-saline)"),EXACT(Metadata!L838,"water (non-saline)"),EXACT(Metadata!L838,"soil (non-saline)"),EXACT(Metadata!L838,"aerosol (non-saline)"),EXACT(Metadata!L838,"sediment (non-saline)"),EXACT(Metadata!L838,"surface (saline)"),EXACT(Metadata!L838,"water (saline)"),EXACT(Metadata!L838,"hypersaline (saline)"),EXACT(Metadata!L838,"aerosol (saline)"),EXACT(Metadata!L838,"sediment (saline)")))</f>
        <v>0</v>
      </c>
      <c r="AZ838" t="b">
        <f>IF(Metadata!M838="",FALSE,TRUE)</f>
        <v>0</v>
      </c>
      <c r="BA838" t="b">
        <f>IF(Metadata!N838="",FALSE,TRUE)</f>
        <v>0</v>
      </c>
      <c r="BB838" t="b">
        <f>IF(Metadata!O838="",FALSE,TRUE)</f>
        <v>0</v>
      </c>
      <c r="BC838" t="b">
        <f>AND(IF(Metadata!P838="",FALSE,TRUE),OR(EXACT(Metadata!P838,"air"),EXACT(Metadata!P838,"microbial mat/biofilm"),EXACT(Metadata!P838,"misc environment"),EXACT(Metadata!P838,"sediment"),EXACT(Metadata!P838,"soil"),EXACT(Metadata!P838,"wastewater/sludge"),EXACT(Metadata!P838,"water")))</f>
        <v>0</v>
      </c>
      <c r="BD838" t="b">
        <f>IF(Metadata!Q838="",FALSE,TRUE)</f>
        <v>0</v>
      </c>
      <c r="BE838" t="b">
        <f>IF(Metadata!R838="",FALSE,TRUE)</f>
        <v>0</v>
      </c>
      <c r="BF838" t="b">
        <f>OR(AND(IF(Metadata!S838="",FALSE,TRUE),OR(EXACT(Metadata!S838,"not collected"),EXACT(Metadata!S838,"not provided"),EXACT(Metadata!S838,"restricted access"))),AND(IF(Metadata!S838="",FALSE,ISNUMBER(VALUE(Metadata!S838))),Metadata!S838&gt;=-90,Metadata!S838&lt;=90))</f>
        <v>0</v>
      </c>
      <c r="BG838" t="b">
        <f>AND(IF(Metadata!T838="",FALSE,TRUE),EXACT(Metadata!T838,"Decimal degrees"))</f>
        <v>0</v>
      </c>
      <c r="BH838" t="b">
        <f>OR(AND(IF(Metadata!U838="",FALSE,TRUE),OR(EXACT(Metadata!U838,"not applicable"),EXACT(Metadata!U838,"not collected"))),IF(Metadata!U838="",FALSE,TRUE))</f>
        <v>0</v>
      </c>
      <c r="BI838" t="b">
        <f>OR(AND(IF(Metadata!V838="",FALSE,TRUE),OR(EXACT(Metadata!V838,"not collected"),EXACT(Metadata!V838,"not provided"),EXACT(Metadata!V838,"restricted access"))),AND(IF(Metadata!V838="",FALSE,ISNUMBER(VALUE(Metadata!V838))),Metadata!V838&gt;=-180,Metadata!V838&lt;=180))</f>
        <v>0</v>
      </c>
      <c r="BJ838" t="b">
        <f>AND(IF(Metadata!W838="",FALSE,TRUE),EXACT(Metadata!W838,"Decimal degrees"))</f>
        <v>0</v>
      </c>
      <c r="BK838" t="b">
        <f>IF(Metadata!X838="",FALSE,TRUE)</f>
        <v>0</v>
      </c>
      <c r="BL838" t="b">
        <f>OR(AND(IF(Metadata!Y838="",FALSE,TRUE),OR(EXACT(Metadata!Y838,"not collected"),EXACT(Metadata!Y838,"not provided"),EXACT(Metadata!Y838,"restricted access"))),AND(IF(Metadata!Y838="",FALSE,TRUE),OR(EXACT(Metadata!Y838,"TRUE"),EXACT(Metadata!Y838,"FALSE"))))</f>
        <v>0</v>
      </c>
      <c r="BM838" t="b">
        <f>OR(AND(IF(Metadata!Z838="",FALSE,TRUE),EXACT(Metadata!Z838,"not applicable")),AND(IF(Metadata!Z838="",FALSE,TRUE),OR(EXACT(Metadata!Z838,"beer"),EXACT(Metadata!Z838,"cheese"),EXACT(Metadata!Z838,"fresh water"),EXACT(Metadata!Z838,"marine sediment"),EXACT(Metadata!Z838,"sea water"),EXACT(Metadata!Z838,"sediment"),EXACT(Metadata!Z838,"soil"),EXACT(Metadata!Z838,"waste water"))))</f>
        <v>0</v>
      </c>
      <c r="BN838" t="b">
        <f>AND(IF(Metadata!AA838="",FALSE,TRUE),EXACT(Metadata!AA838,"metagenome"))</f>
        <v>0</v>
      </c>
      <c r="BO838" t="b">
        <f>AND(IF(Metadata!AB838="",FALSE,TRUE),EXACT(Metadata!AB838,"256318"))</f>
        <v>0</v>
      </c>
      <c r="BP838" t="b">
        <f>IF(Metadata!AC838="",FALSE,TRUE)</f>
        <v>0</v>
      </c>
      <c r="BQ838" t="b">
        <f>IF(Metadata!AD838="",FALSE,TRUE)</f>
        <v>0</v>
      </c>
    </row>
    <row r="839" spans="1:69" x14ac:dyDescent="0.2">
      <c r="A839" s="4" t="e">
        <f ca="1">IF(B839=" "," ",HYPERLINK(CONCATENATE("#metadata!",ADDRESS(INDEX($AJ$2:$AJ$1001,MATCH(ROWS($AH$2:AH839),$AH$2:$AH$1001,0),0),2)),INDEX($AM$2:$AM$1001,MATCH(ROWS($AH$2:AH839),$AH$2:$AH$1001,0),0)))</f>
        <v>#N/A</v>
      </c>
      <c r="B839" s="5" t="e">
        <f ca="1">IF(OR(INDEX($AI$2:$AI$1001,MATCH(ROWS($AH$2:AH839),$AH$2:$AH$1001,0),1)&gt;=100000,INDEX($AO$1005:$BQ$1005,1,MATCH(COLUMNS($AO$1006:AO1006),$AO$1006:$BQ$1006,0))&gt;=100000), " ",IF(INDEX($AO$2:$BQ$1001,MATCH(ROWS($AH$2:AH839),$AH$2:$AH$1001,0),MATCH(COLUMNS($AO$1006:AO1006),$AO$1006:$BQ$1006,0)), HYPERLINK("#",""), HYPERLINK(CONCATENATE("#Metadata!", ADDRESS(INDEX($AJ$2:$AJ$1001,MATCH(ROWS($AH$2:AH839),$AH$2:$AH$1001,0),0), INDEX($AO$1004:$BQ$1004,1,MATCH(COLUMNS($AO$1006:AO1006),$AO$1006:$BQ$1006,0)))),"Fix")))</f>
        <v>#N/A</v>
      </c>
      <c r="C839" s="5" t="e">
        <f ca="1">IF(OR(INDEX($AI$2:$AI$1001,MATCH(ROWS($AH$2:AH839),$AH$2:$AH$1001,0),1)&gt;=100000,INDEX($AO$1005:$BQ$1005,1,MATCH(COLUMNS($AO$1006:AP1006),$AO$1006:$BQ$1006,0))&gt;=100000), " ",IF(INDEX($AO$2:$BQ$1001,MATCH(ROWS($AH$2:AH839),$AH$2:$AH$1001,0),MATCH(COLUMNS($AO$1006:AP1006),$AO$1006:$BQ$1006,0)), HYPERLINK("#",""), HYPERLINK(CONCATENATE("#Metadata!", ADDRESS(INDEX($AJ$2:$AJ$1001,MATCH(ROWS($AH$2:AH839),$AH$2:$AH$1001,0),0), INDEX($AO$1004:$BQ$1004,1,MATCH(COLUMNS($AO$1006:AP1006),$AO$1006:$BQ$1006,0)))),"Fix")))</f>
        <v>#N/A</v>
      </c>
      <c r="D839" s="5" t="e">
        <f ca="1">IF(OR(INDEX($AI$2:$AI$1001,MATCH(ROWS($AH$2:AH839),$AH$2:$AH$1001,0),1)&gt;=100000,INDEX($AO$1005:$BQ$1005,1,MATCH(COLUMNS($AO$1006:AQ1006),$AO$1006:$BQ$1006,0))&gt;=100000), " ",IF(INDEX($AO$2:$BQ$1001,MATCH(ROWS($AH$2:AH839),$AH$2:$AH$1001,0),MATCH(COLUMNS($AO$1006:AQ1006),$AO$1006:$BQ$1006,0)), HYPERLINK("#",""), HYPERLINK(CONCATENATE("#Metadata!", ADDRESS(INDEX($AJ$2:$AJ$1001,MATCH(ROWS($AH$2:AH839),$AH$2:$AH$1001,0),0), INDEX($AO$1004:$BQ$1004,1,MATCH(COLUMNS($AO$1006:AQ1006),$AO$1006:$BQ$1006,0)))),"Fix")))</f>
        <v>#N/A</v>
      </c>
      <c r="E839" s="5" t="e">
        <f ca="1">IF(OR(INDEX($AI$2:$AI$1001,MATCH(ROWS($AH$2:AH839),$AH$2:$AH$1001,0),1)&gt;=100000,INDEX($AO$1005:$BQ$1005,1,MATCH(COLUMNS($AO$1006:AR1006),$AO$1006:$BQ$1006,0))&gt;=100000), " ",IF(INDEX($AO$2:$BQ$1001,MATCH(ROWS($AH$2:AH839),$AH$2:$AH$1001,0),MATCH(COLUMNS($AO$1006:AR1006),$AO$1006:$BQ$1006,0)), HYPERLINK("#",""), HYPERLINK(CONCATENATE("#Metadata!", ADDRESS(INDEX($AJ$2:$AJ$1001,MATCH(ROWS($AH$2:AH839),$AH$2:$AH$1001,0),0), INDEX($AO$1004:$BQ$1004,1,MATCH(COLUMNS($AO$1006:AR1006),$AO$1006:$BQ$1006,0)))),"Fix")))</f>
        <v>#N/A</v>
      </c>
      <c r="F839" s="5" t="e">
        <f ca="1">IF(OR(INDEX($AI$2:$AI$1001,MATCH(ROWS($AH$2:AH839),$AH$2:$AH$1001,0),1)&gt;=100000,INDEX($AO$1005:$BQ$1005,1,MATCH(COLUMNS($AO$1006:AS1006),$AO$1006:$BQ$1006,0))&gt;=100000), " ",IF(INDEX($AO$2:$BQ$1001,MATCH(ROWS($AH$2:AH839),$AH$2:$AH$1001,0),MATCH(COLUMNS($AO$1006:AS1006),$AO$1006:$BQ$1006,0)), HYPERLINK("#",""), HYPERLINK(CONCATENATE("#Metadata!", ADDRESS(INDEX($AJ$2:$AJ$1001,MATCH(ROWS($AH$2:AH839),$AH$2:$AH$1001,0),0), INDEX($AO$1004:$BQ$1004,1,MATCH(COLUMNS($AO$1006:AS1006),$AO$1006:$BQ$1006,0)))),"Fix")))</f>
        <v>#N/A</v>
      </c>
      <c r="G839" s="5" t="e">
        <f ca="1">IF(OR(INDEX($AI$2:$AI$1001,MATCH(ROWS($AH$2:AH839),$AH$2:$AH$1001,0),1)&gt;=100000,INDEX($AO$1005:$BQ$1005,1,MATCH(COLUMNS($AO$1006:AT1006),$AO$1006:$BQ$1006,0))&gt;=100000), " ",IF(INDEX($AO$2:$BQ$1001,MATCH(ROWS($AH$2:AH839),$AH$2:$AH$1001,0),MATCH(COLUMNS($AO$1006:AT1006),$AO$1006:$BQ$1006,0)), HYPERLINK("#",""), HYPERLINK(CONCATENATE("#Metadata!", ADDRESS(INDEX($AJ$2:$AJ$1001,MATCH(ROWS($AH$2:AH839),$AH$2:$AH$1001,0),0), INDEX($AO$1004:$BQ$1004,1,MATCH(COLUMNS($AO$1006:AT1006),$AO$1006:$BQ$1006,0)))),"Fix")))</f>
        <v>#N/A</v>
      </c>
      <c r="H839" s="5" t="e">
        <f ca="1">IF(OR(INDEX($AI$2:$AI$1001,MATCH(ROWS($AH$2:AH839),$AH$2:$AH$1001,0),1)&gt;=100000,INDEX($AO$1005:$BQ$1005,1,MATCH(COLUMNS($AO$1006:AU1006),$AO$1006:$BQ$1006,0))&gt;=100000), " ",IF(INDEX($AO$2:$BQ$1001,MATCH(ROWS($AH$2:AH839),$AH$2:$AH$1001,0),MATCH(COLUMNS($AO$1006:AU1006),$AO$1006:$BQ$1006,0)), HYPERLINK("#",""), HYPERLINK(CONCATENATE("#Metadata!", ADDRESS(INDEX($AJ$2:$AJ$1001,MATCH(ROWS($AH$2:AH839),$AH$2:$AH$1001,0),0), INDEX($AO$1004:$BQ$1004,1,MATCH(COLUMNS($AO$1006:AU1006),$AO$1006:$BQ$1006,0)))),"Fix")))</f>
        <v>#N/A</v>
      </c>
      <c r="I839" s="5" t="e">
        <f ca="1">IF(OR(INDEX($AI$2:$AI$1001,MATCH(ROWS($AH$2:AH839),$AH$2:$AH$1001,0),1)&gt;=100000,INDEX($AO$1005:$BQ$1005,1,MATCH(COLUMNS($AO$1006:AV1006),$AO$1006:$BQ$1006,0))&gt;=100000), " ",IF(INDEX($AO$2:$BQ$1001,MATCH(ROWS($AH$2:AH839),$AH$2:$AH$1001,0),MATCH(COLUMNS($AO$1006:AV1006),$AO$1006:$BQ$1006,0)), HYPERLINK("#",""), HYPERLINK(CONCATENATE("#Metadata!", ADDRESS(INDEX($AJ$2:$AJ$1001,MATCH(ROWS($AH$2:AH839),$AH$2:$AH$1001,0),0), INDEX($AO$1004:$BQ$1004,1,MATCH(COLUMNS($AO$1006:AV1006),$AO$1006:$BQ$1006,0)))),"Fix")))</f>
        <v>#N/A</v>
      </c>
      <c r="J839" s="5" t="e">
        <f ca="1">IF(OR(INDEX($AI$2:$AI$1001,MATCH(ROWS($AH$2:AH839),$AH$2:$AH$1001,0),1)&gt;=100000,INDEX($AO$1005:$BQ$1005,1,MATCH(COLUMNS($AO$1006:AW1006),$AO$1006:$BQ$1006,0))&gt;=100000), " ",IF(INDEX($AO$2:$BQ$1001,MATCH(ROWS($AH$2:AH839),$AH$2:$AH$1001,0),MATCH(COLUMNS($AO$1006:AW1006),$AO$1006:$BQ$1006,0)), HYPERLINK("#",""), HYPERLINK(CONCATENATE("#Metadata!", ADDRESS(INDEX($AJ$2:$AJ$1001,MATCH(ROWS($AH$2:AH839),$AH$2:$AH$1001,0),0), INDEX($AO$1004:$BQ$1004,1,MATCH(COLUMNS($AO$1006:AW1006),$AO$1006:$BQ$1006,0)))),"Fix")))</f>
        <v>#N/A</v>
      </c>
      <c r="K839" s="5" t="e">
        <f ca="1">IF(OR(INDEX($AI$2:$AI$1001,MATCH(ROWS($AH$2:AH839),$AH$2:$AH$1001,0),1)&gt;=100000,INDEX($AO$1005:$BQ$1005,1,MATCH(COLUMNS($AO$1006:AX1006),$AO$1006:$BQ$1006,0))&gt;=100000), " ",IF(INDEX($AO$2:$BQ$1001,MATCH(ROWS($AH$2:AH839),$AH$2:$AH$1001,0),MATCH(COLUMNS($AO$1006:AX1006),$AO$1006:$BQ$1006,0)), HYPERLINK("#",""), HYPERLINK(CONCATENATE("#Metadata!", ADDRESS(INDEX($AJ$2:$AJ$1001,MATCH(ROWS($AH$2:AH839),$AH$2:$AH$1001,0),0), INDEX($AO$1004:$BQ$1004,1,MATCH(COLUMNS($AO$1006:AX1006),$AO$1006:$BQ$1006,0)))),"Fix")))</f>
        <v>#N/A</v>
      </c>
      <c r="L839" s="5" t="e">
        <f ca="1">IF(OR(INDEX($AI$2:$AI$1001,MATCH(ROWS($AH$2:AH839),$AH$2:$AH$1001,0),1)&gt;=100000,INDEX($AO$1005:$BQ$1005,1,MATCH(COLUMNS($AO$1006:AY1006),$AO$1006:$BQ$1006,0))&gt;=100000), " ",IF(INDEX($AO$2:$BQ$1001,MATCH(ROWS($AH$2:AH839),$AH$2:$AH$1001,0),MATCH(COLUMNS($AO$1006:AY1006),$AO$1006:$BQ$1006,0)), HYPERLINK("#",""), HYPERLINK(CONCATENATE("#Metadata!", ADDRESS(INDEX($AJ$2:$AJ$1001,MATCH(ROWS($AH$2:AH839),$AH$2:$AH$1001,0),0), INDEX($AO$1004:$BQ$1004,1,MATCH(COLUMNS($AO$1006:AY1006),$AO$1006:$BQ$1006,0)))),"Fix")))</f>
        <v>#N/A</v>
      </c>
      <c r="M839" s="5" t="e">
        <f ca="1">IF(OR(INDEX($AI$2:$AI$1001,MATCH(ROWS($AH$2:AH839),$AH$2:$AH$1001,0),1)&gt;=100000,INDEX($AO$1005:$BQ$1005,1,MATCH(COLUMNS($AO$1006:AZ1006),$AO$1006:$BQ$1006,0))&gt;=100000), " ",IF(INDEX($AO$2:$BQ$1001,MATCH(ROWS($AH$2:AH839),$AH$2:$AH$1001,0),MATCH(COLUMNS($AO$1006:AZ1006),$AO$1006:$BQ$1006,0)), HYPERLINK("#",""), HYPERLINK(CONCATENATE("#Metadata!", ADDRESS(INDEX($AJ$2:$AJ$1001,MATCH(ROWS($AH$2:AH839),$AH$2:$AH$1001,0),0), INDEX($AO$1004:$BQ$1004,1,MATCH(COLUMNS($AO$1006:AZ1006),$AO$1006:$BQ$1006,0)))),"Fix")))</f>
        <v>#N/A</v>
      </c>
      <c r="N839" s="5" t="e">
        <f ca="1">IF(OR(INDEX($AI$2:$AI$1001,MATCH(ROWS($AH$2:AH839),$AH$2:$AH$1001,0),1)&gt;=100000,INDEX($AO$1005:$BQ$1005,1,MATCH(COLUMNS($AO$1006:BA1006),$AO$1006:$BQ$1006,0))&gt;=100000), " ",IF(INDEX($AO$2:$BQ$1001,MATCH(ROWS($AH$2:AH839),$AH$2:$AH$1001,0),MATCH(COLUMNS($AO$1006:BA1006),$AO$1006:$BQ$1006,0)), HYPERLINK("#",""), HYPERLINK(CONCATENATE("#Metadata!", ADDRESS(INDEX($AJ$2:$AJ$1001,MATCH(ROWS($AH$2:AH839),$AH$2:$AH$1001,0),0), INDEX($AO$1004:$BQ$1004,1,MATCH(COLUMNS($AO$1006:BA1006),$AO$1006:$BQ$1006,0)))),"Fix")))</f>
        <v>#N/A</v>
      </c>
      <c r="O839" s="5" t="e">
        <f ca="1">IF(OR(INDEX($AI$2:$AI$1001,MATCH(ROWS($AH$2:AH839),$AH$2:$AH$1001,0),1)&gt;=100000,INDEX($AO$1005:$BQ$1005,1,MATCH(COLUMNS($AO$1006:BB1006),$AO$1006:$BQ$1006,0))&gt;=100000), " ",IF(INDEX($AO$2:$BQ$1001,MATCH(ROWS($AH$2:AH839),$AH$2:$AH$1001,0),MATCH(COLUMNS($AO$1006:BB1006),$AO$1006:$BQ$1006,0)), HYPERLINK("#",""), HYPERLINK(CONCATENATE("#Metadata!", ADDRESS(INDEX($AJ$2:$AJ$1001,MATCH(ROWS($AH$2:AH839),$AH$2:$AH$1001,0),0), INDEX($AO$1004:$BQ$1004,1,MATCH(COLUMNS($AO$1006:BB1006),$AO$1006:$BQ$1006,0)))),"Fix")))</f>
        <v>#N/A</v>
      </c>
      <c r="P839" s="5" t="e">
        <f ca="1">IF(OR(INDEX($AI$2:$AI$1001,MATCH(ROWS($AH$2:AH839),$AH$2:$AH$1001,0),1)&gt;=100000,INDEX($AO$1005:$BQ$1005,1,MATCH(COLUMNS($AO$1006:BC1006),$AO$1006:$BQ$1006,0))&gt;=100000), " ",IF(INDEX($AO$2:$BQ$1001,MATCH(ROWS($AH$2:AH839),$AH$2:$AH$1001,0),MATCH(COLUMNS($AO$1006:BC1006),$AO$1006:$BQ$1006,0)), HYPERLINK("#",""), HYPERLINK(CONCATENATE("#Metadata!", ADDRESS(INDEX($AJ$2:$AJ$1001,MATCH(ROWS($AH$2:AH839),$AH$2:$AH$1001,0),0), INDEX($AO$1004:$BQ$1004,1,MATCH(COLUMNS($AO$1006:BC1006),$AO$1006:$BQ$1006,0)))),"Fix")))</f>
        <v>#N/A</v>
      </c>
      <c r="Q839" s="5" t="e">
        <f ca="1">IF(OR(INDEX($AI$2:$AI$1001,MATCH(ROWS($AH$2:AH839),$AH$2:$AH$1001,0),1)&gt;=100000,INDEX($AO$1005:$BQ$1005,1,MATCH(COLUMNS($AO$1006:BD1006),$AO$1006:$BQ$1006,0))&gt;=100000), " ",IF(INDEX($AO$2:$BQ$1001,MATCH(ROWS($AH$2:AH839),$AH$2:$AH$1001,0),MATCH(COLUMNS($AO$1006:BD1006),$AO$1006:$BQ$1006,0)), HYPERLINK("#",""), HYPERLINK(CONCATENATE("#Metadata!", ADDRESS(INDEX($AJ$2:$AJ$1001,MATCH(ROWS($AH$2:AH839),$AH$2:$AH$1001,0),0), INDEX($AO$1004:$BQ$1004,1,MATCH(COLUMNS($AO$1006:BD1006),$AO$1006:$BQ$1006,0)))),"Fix")))</f>
        <v>#N/A</v>
      </c>
      <c r="R839" s="5" t="e">
        <f ca="1">IF(OR(INDEX($AI$2:$AI$1001,MATCH(ROWS($AH$2:AH839),$AH$2:$AH$1001,0),1)&gt;=100000,INDEX($AO$1005:$BQ$1005,1,MATCH(COLUMNS($AO$1006:BE1006),$AO$1006:$BQ$1006,0))&gt;=100000), " ",IF(INDEX($AO$2:$BQ$1001,MATCH(ROWS($AH$2:AH839),$AH$2:$AH$1001,0),MATCH(COLUMNS($AO$1006:BE1006),$AO$1006:$BQ$1006,0)), HYPERLINK("#",""), HYPERLINK(CONCATENATE("#Metadata!", ADDRESS(INDEX($AJ$2:$AJ$1001,MATCH(ROWS($AH$2:AH839),$AH$2:$AH$1001,0),0), INDEX($AO$1004:$BQ$1004,1,MATCH(COLUMNS($AO$1006:BE1006),$AO$1006:$BQ$1006,0)))),"Fix")))</f>
        <v>#N/A</v>
      </c>
      <c r="S839" s="5" t="e">
        <f ca="1">IF(OR(INDEX($AI$2:$AI$1001,MATCH(ROWS($AH$2:AH839),$AH$2:$AH$1001,0),1)&gt;=100000,INDEX($AO$1005:$BQ$1005,1,MATCH(COLUMNS($AO$1006:BF1006),$AO$1006:$BQ$1006,0))&gt;=100000), " ",IF(INDEX($AO$2:$BQ$1001,MATCH(ROWS($AH$2:AH839),$AH$2:$AH$1001,0),MATCH(COLUMNS($AO$1006:BF1006),$AO$1006:$BQ$1006,0)), HYPERLINK("#",""), HYPERLINK(CONCATENATE("#Metadata!", ADDRESS(INDEX($AJ$2:$AJ$1001,MATCH(ROWS($AH$2:AH839),$AH$2:$AH$1001,0),0), INDEX($AO$1004:$BQ$1004,1,MATCH(COLUMNS($AO$1006:BF1006),$AO$1006:$BQ$1006,0)))),"Fix")))</f>
        <v>#N/A</v>
      </c>
      <c r="T839" s="5" t="e">
        <f ca="1">IF(OR(INDEX($AI$2:$AI$1001,MATCH(ROWS($AH$2:AH839),$AH$2:$AH$1001,0),1)&gt;=100000,INDEX($AO$1005:$BQ$1005,1,MATCH(COLUMNS($AO$1006:BG1006),$AO$1006:$BQ$1006,0))&gt;=100000), " ",IF(INDEX($AO$2:$BQ$1001,MATCH(ROWS($AH$2:AH839),$AH$2:$AH$1001,0),MATCH(COLUMNS($AO$1006:BG1006),$AO$1006:$BQ$1006,0)), HYPERLINK("#",""), HYPERLINK(CONCATENATE("#Metadata!", ADDRESS(INDEX($AJ$2:$AJ$1001,MATCH(ROWS($AH$2:AH839),$AH$2:$AH$1001,0),0), INDEX($AO$1004:$BQ$1004,1,MATCH(COLUMNS($AO$1006:BG1006),$AO$1006:$BQ$1006,0)))),"Fix")))</f>
        <v>#N/A</v>
      </c>
      <c r="U839" s="5" t="e">
        <f ca="1">IF(OR(INDEX($AI$2:$AI$1001,MATCH(ROWS($AH$2:AH839),$AH$2:$AH$1001,0),1)&gt;=100000,INDEX($AO$1005:$BQ$1005,1,MATCH(COLUMNS($AO$1006:BH1006),$AO$1006:$BQ$1006,0))&gt;=100000), " ",IF(INDEX($AO$2:$BQ$1001,MATCH(ROWS($AH$2:AH839),$AH$2:$AH$1001,0),MATCH(COLUMNS($AO$1006:BH1006),$AO$1006:$BQ$1006,0)), HYPERLINK("#",""), HYPERLINK(CONCATENATE("#Metadata!", ADDRESS(INDEX($AJ$2:$AJ$1001,MATCH(ROWS($AH$2:AH839),$AH$2:$AH$1001,0),0), INDEX($AO$1004:$BQ$1004,1,MATCH(COLUMNS($AO$1006:BH1006),$AO$1006:$BQ$1006,0)))),"Fix")))</f>
        <v>#N/A</v>
      </c>
      <c r="V839" s="5" t="e">
        <f ca="1">IF(OR(INDEX($AI$2:$AI$1001,MATCH(ROWS($AH$2:AH839),$AH$2:$AH$1001,0),1)&gt;=100000,INDEX($AO$1005:$BQ$1005,1,MATCH(COLUMNS($AO$1006:BI1006),$AO$1006:$BQ$1006,0))&gt;=100000), " ",IF(INDEX($AO$2:$BQ$1001,MATCH(ROWS($AH$2:AH839),$AH$2:$AH$1001,0),MATCH(COLUMNS($AO$1006:BI1006),$AO$1006:$BQ$1006,0)), HYPERLINK("#",""), HYPERLINK(CONCATENATE("#Metadata!", ADDRESS(INDEX($AJ$2:$AJ$1001,MATCH(ROWS($AH$2:AH839),$AH$2:$AH$1001,0),0), INDEX($AO$1004:$BQ$1004,1,MATCH(COLUMNS($AO$1006:BI1006),$AO$1006:$BQ$1006,0)))),"Fix")))</f>
        <v>#N/A</v>
      </c>
      <c r="W839" s="5" t="e">
        <f ca="1">IF(OR(INDEX($AI$2:$AI$1001,MATCH(ROWS($AH$2:AH839),$AH$2:$AH$1001,0),1)&gt;=100000,INDEX($AO$1005:$BQ$1005,1,MATCH(COLUMNS($AO$1006:BJ1006),$AO$1006:$BQ$1006,0))&gt;=100000), " ",IF(INDEX($AO$2:$BQ$1001,MATCH(ROWS($AH$2:AH839),$AH$2:$AH$1001,0),MATCH(COLUMNS($AO$1006:BJ1006),$AO$1006:$BQ$1006,0)), HYPERLINK("#",""), HYPERLINK(CONCATENATE("#Metadata!", ADDRESS(INDEX($AJ$2:$AJ$1001,MATCH(ROWS($AH$2:AH839),$AH$2:$AH$1001,0),0), INDEX($AO$1004:$BQ$1004,1,MATCH(COLUMNS($AO$1006:BJ1006),$AO$1006:$BQ$1006,0)))),"Fix")))</f>
        <v>#N/A</v>
      </c>
      <c r="X839" s="5" t="e">
        <f ca="1">IF(OR(INDEX($AI$2:$AI$1001,MATCH(ROWS($AH$2:AH839),$AH$2:$AH$1001,0),1)&gt;=100000,INDEX($AO$1005:$BQ$1005,1,MATCH(COLUMNS($AO$1006:BK1006),$AO$1006:$BQ$1006,0))&gt;=100000), " ",IF(INDEX($AO$2:$BQ$1001,MATCH(ROWS($AH$2:AH839),$AH$2:$AH$1001,0),MATCH(COLUMNS($AO$1006:BK1006),$AO$1006:$BQ$1006,0)), HYPERLINK("#",""), HYPERLINK(CONCATENATE("#Metadata!", ADDRESS(INDEX($AJ$2:$AJ$1001,MATCH(ROWS($AH$2:AH839),$AH$2:$AH$1001,0),0), INDEX($AO$1004:$BQ$1004,1,MATCH(COLUMNS($AO$1006:BK1006),$AO$1006:$BQ$1006,0)))),"Fix")))</f>
        <v>#N/A</v>
      </c>
      <c r="Y839" s="5" t="e">
        <f ca="1">IF(OR(INDEX($AI$2:$AI$1001,MATCH(ROWS($AH$2:AH839),$AH$2:$AH$1001,0),1)&gt;=100000,INDEX($AO$1005:$BQ$1005,1,MATCH(COLUMNS($AO$1006:BL1006),$AO$1006:$BQ$1006,0))&gt;=100000), " ",IF(INDEX($AO$2:$BQ$1001,MATCH(ROWS($AH$2:AH839),$AH$2:$AH$1001,0),MATCH(COLUMNS($AO$1006:BL1006),$AO$1006:$BQ$1006,0)), HYPERLINK("#",""), HYPERLINK(CONCATENATE("#Metadata!", ADDRESS(INDEX($AJ$2:$AJ$1001,MATCH(ROWS($AH$2:AH839),$AH$2:$AH$1001,0),0), INDEX($AO$1004:$BQ$1004,1,MATCH(COLUMNS($AO$1006:BL1006),$AO$1006:$BQ$1006,0)))),"Fix")))</f>
        <v>#N/A</v>
      </c>
      <c r="Z839" s="5" t="e">
        <f ca="1">IF(OR(INDEX($AI$2:$AI$1001,MATCH(ROWS($AH$2:AH839),$AH$2:$AH$1001,0),1)&gt;=100000,INDEX($AO$1005:$BQ$1005,1,MATCH(COLUMNS($AO$1006:BM1006),$AO$1006:$BQ$1006,0))&gt;=100000), " ",IF(INDEX($AO$2:$BQ$1001,MATCH(ROWS($AH$2:AH839),$AH$2:$AH$1001,0),MATCH(COLUMNS($AO$1006:BM1006),$AO$1006:$BQ$1006,0)), HYPERLINK("#",""), HYPERLINK(CONCATENATE("#Metadata!", ADDRESS(INDEX($AJ$2:$AJ$1001,MATCH(ROWS($AH$2:AH839),$AH$2:$AH$1001,0),0), INDEX($AO$1004:$BQ$1004,1,MATCH(COLUMNS($AO$1006:BM1006),$AO$1006:$BQ$1006,0)))),"Fix")))</f>
        <v>#N/A</v>
      </c>
      <c r="AA839" s="5" t="e">
        <f ca="1">IF(OR(INDEX($AI$2:$AI$1001,MATCH(ROWS($AH$2:AH839),$AH$2:$AH$1001,0),1)&gt;=100000,INDEX($AO$1005:$BQ$1005,1,MATCH(COLUMNS($AO$1006:BN1006),$AO$1006:$BQ$1006,0))&gt;=100000), " ",IF(INDEX($AO$2:$BQ$1001,MATCH(ROWS($AH$2:AH839),$AH$2:$AH$1001,0),MATCH(COLUMNS($AO$1006:BN1006),$AO$1006:$BQ$1006,0)), HYPERLINK("#",""), HYPERLINK(CONCATENATE("#Metadata!", ADDRESS(INDEX($AJ$2:$AJ$1001,MATCH(ROWS($AH$2:AH839),$AH$2:$AH$1001,0),0), INDEX($AO$1004:$BQ$1004,1,MATCH(COLUMNS($AO$1006:BN1006),$AO$1006:$BQ$1006,0)))),"Fix")))</f>
        <v>#N/A</v>
      </c>
      <c r="AB839" s="5" t="e">
        <f ca="1">IF(OR(INDEX($AI$2:$AI$1001,MATCH(ROWS($AH$2:AH839),$AH$2:$AH$1001,0),1)&gt;=100000,INDEX($AO$1005:$BQ$1005,1,MATCH(COLUMNS($AO$1006:BO1006),$AO$1006:$BQ$1006,0))&gt;=100000), " ",IF(INDEX($AO$2:$BQ$1001,MATCH(ROWS($AH$2:AH839),$AH$2:$AH$1001,0),MATCH(COLUMNS($AO$1006:BO1006),$AO$1006:$BQ$1006,0)), HYPERLINK("#",""), HYPERLINK(CONCATENATE("#Metadata!", ADDRESS(INDEX($AJ$2:$AJ$1001,MATCH(ROWS($AH$2:AH839),$AH$2:$AH$1001,0),0), INDEX($AO$1004:$BQ$1004,1,MATCH(COLUMNS($AO$1006:BO1006),$AO$1006:$BQ$1006,0)))),"Fix")))</f>
        <v>#N/A</v>
      </c>
      <c r="AC839" s="5" t="e">
        <f ca="1">IF(OR(INDEX($AI$2:$AI$1001,MATCH(ROWS($AH$2:AH839),$AH$2:$AH$1001,0),1)&gt;=100000,INDEX($AO$1005:$BQ$1005,1,MATCH(COLUMNS($AO$1006:BP1006),$AO$1006:$BQ$1006,0))&gt;=100000), " ",IF(INDEX($AO$2:$BQ$1001,MATCH(ROWS($AH$2:AH839),$AH$2:$AH$1001,0),MATCH(COLUMNS($AO$1006:BP1006),$AO$1006:$BQ$1006,0)), HYPERLINK("#",""), HYPERLINK(CONCATENATE("#Metadata!", ADDRESS(INDEX($AJ$2:$AJ$1001,MATCH(ROWS($AH$2:AH839),$AH$2:$AH$1001,0),0), INDEX($AO$1004:$BQ$1004,1,MATCH(COLUMNS($AO$1006:BP1006),$AO$1006:$BQ$1006,0)))),"Fix")))</f>
        <v>#N/A</v>
      </c>
      <c r="AD839" s="5" t="e">
        <f ca="1">IF(OR(INDEX($AI$2:$AI$1001,MATCH(ROWS($AH$2:AH839),$AH$2:$AH$1001,0),1)&gt;=100000,INDEX($AO$1005:$BQ$1005,1,MATCH(COLUMNS($AO$1006:BQ1006),$AO$1006:$BQ$1006,0))&gt;=100000), " ",IF(INDEX($AO$2:$BQ$1001,MATCH(ROWS($AH$2:AH839),$AH$2:$AH$1001,0),MATCH(COLUMNS($AO$1006:BQ1006),$AO$1006:$BQ$1006,0)), HYPERLINK("#",""), HYPERLINK(CONCATENATE("#Metadata!", ADDRESS(INDEX($AJ$2:$AJ$1001,MATCH(ROWS($AH$2:AH839),$AH$2:$AH$1001,0),0), INDEX($AO$1004:$BQ$1004,1,MATCH(COLUMNS($AO$1006:BQ1006),$AO$1006:$BQ$1006,0)))),"Fix")))</f>
        <v>#REF!</v>
      </c>
      <c r="AH839">
        <f ca="1"/>
        <v>836</v>
      </c>
      <c r="AI839">
        <v>100839</v>
      </c>
      <c r="AJ839">
        <v>839</v>
      </c>
      <c r="AK839" t="b">
        <f t="shared" si="13"/>
        <v>1</v>
      </c>
      <c r="AL839" t="b">
        <f>COUNTBLANK(Metadata!B839:AD839)=COLUMNS(Metadata!B839:AD839)</f>
        <v>1</v>
      </c>
      <c r="AM839" t="str">
        <v/>
      </c>
      <c r="AO839" t="b">
        <f ca="1">AND(IF(Metadata!B839="",FALSE,TRUE),COUNTIF(Metadata!B:B, Metadata!B839) = 1,NOT(ISERROR(SUMPRODUCT(SEARCH(MID(Metadata!B839,ROW(INDIRECT("1:"&amp;LEN(Metadata!B839))), 1),"0123456789abcdefghijklmnopqrstuvwxyzABCDEFGHIJKLMNOPQRSTUVWXYZ.")))))</f>
        <v>0</v>
      </c>
      <c r="AP839" t="b">
        <f>IF(Metadata!C839="",FALSE,TRUE)</f>
        <v>0</v>
      </c>
      <c r="AQ839" t="b">
        <f>IF(Metadata!D839="",FALSE,TRUE)</f>
        <v>0</v>
      </c>
      <c r="AR839" t="b">
        <f ca="1">OR(AND(IF(Metadata!E839="",FALSE,TRUE),OR(EXACT(Metadata!E839,"not collected"),EXACT(Metadata!E839,"not provided"),EXACT(Metadata!E839,"restricted access"))),AND(IF(Metadata!E839="",FALSE,TRUE),AND(AND(IFERROR(INT(LEFT(Metadata!E839,4))&gt;1900,FALSE),IFERROR(INT(LEFT(Metadata!E839,4))&lt;=YEAR(NOW()),FALSE)), OR(MID(Metadata!E839,5,1)="", AND(AND(MID(Metadata!E839,5,1)="-",IFERROR(INT(MID(Metadata!E839,6,1))&gt;=0,FALSE),IFERROR(INT(MID(Metadata!E839,6,1))&lt;=1,FALSE),NOT(MID(Metadata!E839,7,1)=""),IFERROR(INT(MID(Metadata!E839,6,2))&gt;=1,FALSE),IFERROR(INT(MID(Metadata!E839,6,2))&lt;=12,FALSE)), OR(MID(Metadata!E839,8,1)="", AND(AND(MID(Metadata!E839,8,1)="-",IFERROR(INT(MID(Metadata!E839,9,1))&gt;=0,FALSE),IFERROR(INT(MID(Metadata!E839,9,1))&lt;=3,FALSE),NOT(MID(Metadata!E839,10,1)=""),IFERROR(INT(MID(Metadata!E839,9,2))&gt;=1,FALSE),IFERROR(INT(MID(Metadata!E839,9,2))&lt;=31,FALSE)), OR(MID(Metadata!E839,11,1)="", AND(AND(MID(Metadata!E839,11,1)=" ",IFERROR(INT(MID(Metadata!E839,12,1))&gt;=0,FALSE),IFERROR(INT(MID(Metadata!E839,12,1))&lt;=2,FALSE),NOT(MID(Metadata!E839,13,1)=""),IFERROR(INT(MID(Metadata!E839,12,2))&gt;=0,FALSE),IFERROR(INT(MID(Metadata!E839,12,2))&lt;=23,FALSE)), OR(MID(Metadata!E839,14,1)="", AND(AND(MID(Metadata!E839,14,1)=":",IFERROR(INT(MID(Metadata!E839,15,1))&gt;=0,FALSE),IFERROR(INT(MID(Metadata!E839,15,1))&lt;=5,FALSE),NOT(MID(Metadata!E839,16,1)=""),IFERROR(INT(MID(Metadata!E839,15,2))&gt;=0,FALSE),IFERROR(INT(MID(Metadata!E839,15,2))&lt;=59,FALSE)), OR(MID(Metadata!E839,17,1)="", AND(AND(MID(Metadata!E839,17,1)=":",IFERROR(INT(MID(Metadata!E839,18,1))&gt;=0,FALSE),IFERROR(INT(MID(Metadata!E839,18,1))&lt;=5,FALSE),NOT(MID(Metadata!E839,19,1)=""),IFERROR(INT(MID(Metadata!E839,18,2))&gt;=0,FALSE),IFERROR(INT(MID(Metadata!E839,18,2))&lt;=59,FALSE)), LEN(Metadata!E839)&lt;=19)))))))))))))</f>
        <v>0</v>
      </c>
      <c r="AS839" t="b">
        <f>IF(Metadata!F839="",FALSE,TRUE)</f>
        <v>0</v>
      </c>
      <c r="AT839" t="b">
        <f>OR(AND(IF(Metadata!G839="",FALSE,TRUE),OR(EXACT(Metadata!G839,"not collected"),EXACT(Metadata!G839,"not provided"))),AND(IF(Metadata!G839="",FALSE,TRUE),OR(EXACT(Metadata!G839,"TRUE"),EXACT(Metadata!G839,"FALSE"))))</f>
        <v>0</v>
      </c>
      <c r="AU839" t="b">
        <f>OR(AND(IF(Metadata!H839="",FALSE,TRUE),OR(EXACT(Metadata!H839,"not collected"),EXACT(Metadata!H839,"not provided"),EXACT(Metadata!H839,"restricted access"))),AND(IF(Metadata!H839="",FALSE,ISNUMBER(VALUE(Metadata!H839))),Metadata!H839&gt;=-413))</f>
        <v>0</v>
      </c>
      <c r="AV839" t="b">
        <f>AND(IF(Metadata!I839="",FALSE,TRUE),EXACT(Metadata!I839,"meters"))</f>
        <v>0</v>
      </c>
      <c r="AW839" t="b">
        <f>AND(IF(Metadata!J839="",FALSE,TRUE),EXACT(Metadata!J839,"free-living"))</f>
        <v>0</v>
      </c>
      <c r="AX839" t="b">
        <f>AND(IF(Metadata!K839="",FALSE,TRUE),OR(EXACT(Metadata!K839,"saline"),EXACT(Metadata!K839,"non-saline")))</f>
        <v>0</v>
      </c>
      <c r="AY839" t="b">
        <f>AND(IF(Metadata!L839="",FALSE,TRUE),OR(EXACT(Metadata!L839,"sub-surface (non-saline)"),EXACT(Metadata!L839,"surface (non-saline)"),EXACT(Metadata!L839,"water (non-saline)"),EXACT(Metadata!L839,"soil (non-saline)"),EXACT(Metadata!L839,"aerosol (non-saline)"),EXACT(Metadata!L839,"sediment (non-saline)"),EXACT(Metadata!L839,"surface (saline)"),EXACT(Metadata!L839,"water (saline)"),EXACT(Metadata!L839,"hypersaline (saline)"),EXACT(Metadata!L839,"aerosol (saline)"),EXACT(Metadata!L839,"sediment (saline)")))</f>
        <v>0</v>
      </c>
      <c r="AZ839" t="b">
        <f>IF(Metadata!M839="",FALSE,TRUE)</f>
        <v>0</v>
      </c>
      <c r="BA839" t="b">
        <f>IF(Metadata!N839="",FALSE,TRUE)</f>
        <v>0</v>
      </c>
      <c r="BB839" t="b">
        <f>IF(Metadata!O839="",FALSE,TRUE)</f>
        <v>0</v>
      </c>
      <c r="BC839" t="b">
        <f>AND(IF(Metadata!P839="",FALSE,TRUE),OR(EXACT(Metadata!P839,"air"),EXACT(Metadata!P839,"microbial mat/biofilm"),EXACT(Metadata!P839,"misc environment"),EXACT(Metadata!P839,"sediment"),EXACT(Metadata!P839,"soil"),EXACT(Metadata!P839,"wastewater/sludge"),EXACT(Metadata!P839,"water")))</f>
        <v>0</v>
      </c>
      <c r="BD839" t="b">
        <f>IF(Metadata!Q839="",FALSE,TRUE)</f>
        <v>0</v>
      </c>
      <c r="BE839" t="b">
        <f>IF(Metadata!R839="",FALSE,TRUE)</f>
        <v>0</v>
      </c>
      <c r="BF839" t="b">
        <f>OR(AND(IF(Metadata!S839="",FALSE,TRUE),OR(EXACT(Metadata!S839,"not collected"),EXACT(Metadata!S839,"not provided"),EXACT(Metadata!S839,"restricted access"))),AND(IF(Metadata!S839="",FALSE,ISNUMBER(VALUE(Metadata!S839))),Metadata!S839&gt;=-90,Metadata!S839&lt;=90))</f>
        <v>0</v>
      </c>
      <c r="BG839" t="b">
        <f>AND(IF(Metadata!T839="",FALSE,TRUE),EXACT(Metadata!T839,"Decimal degrees"))</f>
        <v>0</v>
      </c>
      <c r="BH839" t="b">
        <f>OR(AND(IF(Metadata!U839="",FALSE,TRUE),OR(EXACT(Metadata!U839,"not applicable"),EXACT(Metadata!U839,"not collected"))),IF(Metadata!U839="",FALSE,TRUE))</f>
        <v>0</v>
      </c>
      <c r="BI839" t="b">
        <f>OR(AND(IF(Metadata!V839="",FALSE,TRUE),OR(EXACT(Metadata!V839,"not collected"),EXACT(Metadata!V839,"not provided"),EXACT(Metadata!V839,"restricted access"))),AND(IF(Metadata!V839="",FALSE,ISNUMBER(VALUE(Metadata!V839))),Metadata!V839&gt;=-180,Metadata!V839&lt;=180))</f>
        <v>0</v>
      </c>
      <c r="BJ839" t="b">
        <f>AND(IF(Metadata!W839="",FALSE,TRUE),EXACT(Metadata!W839,"Decimal degrees"))</f>
        <v>0</v>
      </c>
      <c r="BK839" t="b">
        <f>IF(Metadata!X839="",FALSE,TRUE)</f>
        <v>0</v>
      </c>
      <c r="BL839" t="b">
        <f>OR(AND(IF(Metadata!Y839="",FALSE,TRUE),OR(EXACT(Metadata!Y839,"not collected"),EXACT(Metadata!Y839,"not provided"),EXACT(Metadata!Y839,"restricted access"))),AND(IF(Metadata!Y839="",FALSE,TRUE),OR(EXACT(Metadata!Y839,"TRUE"),EXACT(Metadata!Y839,"FALSE"))))</f>
        <v>0</v>
      </c>
      <c r="BM839" t="b">
        <f>OR(AND(IF(Metadata!Z839="",FALSE,TRUE),EXACT(Metadata!Z839,"not applicable")),AND(IF(Metadata!Z839="",FALSE,TRUE),OR(EXACT(Metadata!Z839,"beer"),EXACT(Metadata!Z839,"cheese"),EXACT(Metadata!Z839,"fresh water"),EXACT(Metadata!Z839,"marine sediment"),EXACT(Metadata!Z839,"sea water"),EXACT(Metadata!Z839,"sediment"),EXACT(Metadata!Z839,"soil"),EXACT(Metadata!Z839,"waste water"))))</f>
        <v>0</v>
      </c>
      <c r="BN839" t="b">
        <f>AND(IF(Metadata!AA839="",FALSE,TRUE),EXACT(Metadata!AA839,"metagenome"))</f>
        <v>0</v>
      </c>
      <c r="BO839" t="b">
        <f>AND(IF(Metadata!AB839="",FALSE,TRUE),EXACT(Metadata!AB839,"256318"))</f>
        <v>0</v>
      </c>
      <c r="BP839" t="b">
        <f>IF(Metadata!AC839="",FALSE,TRUE)</f>
        <v>0</v>
      </c>
      <c r="BQ839" t="b">
        <f>IF(Metadata!AD839="",FALSE,TRUE)</f>
        <v>0</v>
      </c>
    </row>
    <row r="840" spans="1:69" x14ac:dyDescent="0.2">
      <c r="A840" s="4" t="e">
        <f ca="1">IF(B840=" "," ",HYPERLINK(CONCATENATE("#metadata!",ADDRESS(INDEX($AJ$2:$AJ$1001,MATCH(ROWS($AH$2:AH840),$AH$2:$AH$1001,0),0),2)),INDEX($AM$2:$AM$1001,MATCH(ROWS($AH$2:AH840),$AH$2:$AH$1001,0),0)))</f>
        <v>#N/A</v>
      </c>
      <c r="B840" s="5" t="e">
        <f ca="1">IF(OR(INDEX($AI$2:$AI$1001,MATCH(ROWS($AH$2:AH840),$AH$2:$AH$1001,0),1)&gt;=100000,INDEX($AO$1005:$BQ$1005,1,MATCH(COLUMNS($AO$1006:AO1006),$AO$1006:$BQ$1006,0))&gt;=100000), " ",IF(INDEX($AO$2:$BQ$1001,MATCH(ROWS($AH$2:AH840),$AH$2:$AH$1001,0),MATCH(COLUMNS($AO$1006:AO1006),$AO$1006:$BQ$1006,0)), HYPERLINK("#",""), HYPERLINK(CONCATENATE("#Metadata!", ADDRESS(INDEX($AJ$2:$AJ$1001,MATCH(ROWS($AH$2:AH840),$AH$2:$AH$1001,0),0), INDEX($AO$1004:$BQ$1004,1,MATCH(COLUMNS($AO$1006:AO1006),$AO$1006:$BQ$1006,0)))),"Fix")))</f>
        <v>#N/A</v>
      </c>
      <c r="C840" s="5" t="e">
        <f ca="1">IF(OR(INDEX($AI$2:$AI$1001,MATCH(ROWS($AH$2:AH840),$AH$2:$AH$1001,0),1)&gt;=100000,INDEX($AO$1005:$BQ$1005,1,MATCH(COLUMNS($AO$1006:AP1006),$AO$1006:$BQ$1006,0))&gt;=100000), " ",IF(INDEX($AO$2:$BQ$1001,MATCH(ROWS($AH$2:AH840),$AH$2:$AH$1001,0),MATCH(COLUMNS($AO$1006:AP1006),$AO$1006:$BQ$1006,0)), HYPERLINK("#",""), HYPERLINK(CONCATENATE("#Metadata!", ADDRESS(INDEX($AJ$2:$AJ$1001,MATCH(ROWS($AH$2:AH840),$AH$2:$AH$1001,0),0), INDEX($AO$1004:$BQ$1004,1,MATCH(COLUMNS($AO$1006:AP1006),$AO$1006:$BQ$1006,0)))),"Fix")))</f>
        <v>#N/A</v>
      </c>
      <c r="D840" s="5" t="e">
        <f ca="1">IF(OR(INDEX($AI$2:$AI$1001,MATCH(ROWS($AH$2:AH840),$AH$2:$AH$1001,0),1)&gt;=100000,INDEX($AO$1005:$BQ$1005,1,MATCH(COLUMNS($AO$1006:AQ1006),$AO$1006:$BQ$1006,0))&gt;=100000), " ",IF(INDEX($AO$2:$BQ$1001,MATCH(ROWS($AH$2:AH840),$AH$2:$AH$1001,0),MATCH(COLUMNS($AO$1006:AQ1006),$AO$1006:$BQ$1006,0)), HYPERLINK("#",""), HYPERLINK(CONCATENATE("#Metadata!", ADDRESS(INDEX($AJ$2:$AJ$1001,MATCH(ROWS($AH$2:AH840),$AH$2:$AH$1001,0),0), INDEX($AO$1004:$BQ$1004,1,MATCH(COLUMNS($AO$1006:AQ1006),$AO$1006:$BQ$1006,0)))),"Fix")))</f>
        <v>#N/A</v>
      </c>
      <c r="E840" s="5" t="e">
        <f ca="1">IF(OR(INDEX($AI$2:$AI$1001,MATCH(ROWS($AH$2:AH840),$AH$2:$AH$1001,0),1)&gt;=100000,INDEX($AO$1005:$BQ$1005,1,MATCH(COLUMNS($AO$1006:AR1006),$AO$1006:$BQ$1006,0))&gt;=100000), " ",IF(INDEX($AO$2:$BQ$1001,MATCH(ROWS($AH$2:AH840),$AH$2:$AH$1001,0),MATCH(COLUMNS($AO$1006:AR1006),$AO$1006:$BQ$1006,0)), HYPERLINK("#",""), HYPERLINK(CONCATENATE("#Metadata!", ADDRESS(INDEX($AJ$2:$AJ$1001,MATCH(ROWS($AH$2:AH840),$AH$2:$AH$1001,0),0), INDEX($AO$1004:$BQ$1004,1,MATCH(COLUMNS($AO$1006:AR1006),$AO$1006:$BQ$1006,0)))),"Fix")))</f>
        <v>#N/A</v>
      </c>
      <c r="F840" s="5" t="e">
        <f ca="1">IF(OR(INDEX($AI$2:$AI$1001,MATCH(ROWS($AH$2:AH840),$AH$2:$AH$1001,0),1)&gt;=100000,INDEX($AO$1005:$BQ$1005,1,MATCH(COLUMNS($AO$1006:AS1006),$AO$1006:$BQ$1006,0))&gt;=100000), " ",IF(INDEX($AO$2:$BQ$1001,MATCH(ROWS($AH$2:AH840),$AH$2:$AH$1001,0),MATCH(COLUMNS($AO$1006:AS1006),$AO$1006:$BQ$1006,0)), HYPERLINK("#",""), HYPERLINK(CONCATENATE("#Metadata!", ADDRESS(INDEX($AJ$2:$AJ$1001,MATCH(ROWS($AH$2:AH840),$AH$2:$AH$1001,0),0), INDEX($AO$1004:$BQ$1004,1,MATCH(COLUMNS($AO$1006:AS1006),$AO$1006:$BQ$1006,0)))),"Fix")))</f>
        <v>#N/A</v>
      </c>
      <c r="G840" s="5" t="e">
        <f ca="1">IF(OR(INDEX($AI$2:$AI$1001,MATCH(ROWS($AH$2:AH840),$AH$2:$AH$1001,0),1)&gt;=100000,INDEX($AO$1005:$BQ$1005,1,MATCH(COLUMNS($AO$1006:AT1006),$AO$1006:$BQ$1006,0))&gt;=100000), " ",IF(INDEX($AO$2:$BQ$1001,MATCH(ROWS($AH$2:AH840),$AH$2:$AH$1001,0),MATCH(COLUMNS($AO$1006:AT1006),$AO$1006:$BQ$1006,0)), HYPERLINK("#",""), HYPERLINK(CONCATENATE("#Metadata!", ADDRESS(INDEX($AJ$2:$AJ$1001,MATCH(ROWS($AH$2:AH840),$AH$2:$AH$1001,0),0), INDEX($AO$1004:$BQ$1004,1,MATCH(COLUMNS($AO$1006:AT1006),$AO$1006:$BQ$1006,0)))),"Fix")))</f>
        <v>#N/A</v>
      </c>
      <c r="H840" s="5" t="e">
        <f ca="1">IF(OR(INDEX($AI$2:$AI$1001,MATCH(ROWS($AH$2:AH840),$AH$2:$AH$1001,0),1)&gt;=100000,INDEX($AO$1005:$BQ$1005,1,MATCH(COLUMNS($AO$1006:AU1006),$AO$1006:$BQ$1006,0))&gt;=100000), " ",IF(INDEX($AO$2:$BQ$1001,MATCH(ROWS($AH$2:AH840),$AH$2:$AH$1001,0),MATCH(COLUMNS($AO$1006:AU1006),$AO$1006:$BQ$1006,0)), HYPERLINK("#",""), HYPERLINK(CONCATENATE("#Metadata!", ADDRESS(INDEX($AJ$2:$AJ$1001,MATCH(ROWS($AH$2:AH840),$AH$2:$AH$1001,0),0), INDEX($AO$1004:$BQ$1004,1,MATCH(COLUMNS($AO$1006:AU1006),$AO$1006:$BQ$1006,0)))),"Fix")))</f>
        <v>#N/A</v>
      </c>
      <c r="I840" s="5" t="e">
        <f ca="1">IF(OR(INDEX($AI$2:$AI$1001,MATCH(ROWS($AH$2:AH840),$AH$2:$AH$1001,0),1)&gt;=100000,INDEX($AO$1005:$BQ$1005,1,MATCH(COLUMNS($AO$1006:AV1006),$AO$1006:$BQ$1006,0))&gt;=100000), " ",IF(INDEX($AO$2:$BQ$1001,MATCH(ROWS($AH$2:AH840),$AH$2:$AH$1001,0),MATCH(COLUMNS($AO$1006:AV1006),$AO$1006:$BQ$1006,0)), HYPERLINK("#",""), HYPERLINK(CONCATENATE("#Metadata!", ADDRESS(INDEX($AJ$2:$AJ$1001,MATCH(ROWS($AH$2:AH840),$AH$2:$AH$1001,0),0), INDEX($AO$1004:$BQ$1004,1,MATCH(COLUMNS($AO$1006:AV1006),$AO$1006:$BQ$1006,0)))),"Fix")))</f>
        <v>#N/A</v>
      </c>
      <c r="J840" s="5" t="e">
        <f ca="1">IF(OR(INDEX($AI$2:$AI$1001,MATCH(ROWS($AH$2:AH840),$AH$2:$AH$1001,0),1)&gt;=100000,INDEX($AO$1005:$BQ$1005,1,MATCH(COLUMNS($AO$1006:AW1006),$AO$1006:$BQ$1006,0))&gt;=100000), " ",IF(INDEX($AO$2:$BQ$1001,MATCH(ROWS($AH$2:AH840),$AH$2:$AH$1001,0),MATCH(COLUMNS($AO$1006:AW1006),$AO$1006:$BQ$1006,0)), HYPERLINK("#",""), HYPERLINK(CONCATENATE("#Metadata!", ADDRESS(INDEX($AJ$2:$AJ$1001,MATCH(ROWS($AH$2:AH840),$AH$2:$AH$1001,0),0), INDEX($AO$1004:$BQ$1004,1,MATCH(COLUMNS($AO$1006:AW1006),$AO$1006:$BQ$1006,0)))),"Fix")))</f>
        <v>#N/A</v>
      </c>
      <c r="K840" s="5" t="e">
        <f ca="1">IF(OR(INDEX($AI$2:$AI$1001,MATCH(ROWS($AH$2:AH840),$AH$2:$AH$1001,0),1)&gt;=100000,INDEX($AO$1005:$BQ$1005,1,MATCH(COLUMNS($AO$1006:AX1006),$AO$1006:$BQ$1006,0))&gt;=100000), " ",IF(INDEX($AO$2:$BQ$1001,MATCH(ROWS($AH$2:AH840),$AH$2:$AH$1001,0),MATCH(COLUMNS($AO$1006:AX1006),$AO$1006:$BQ$1006,0)), HYPERLINK("#",""), HYPERLINK(CONCATENATE("#Metadata!", ADDRESS(INDEX($AJ$2:$AJ$1001,MATCH(ROWS($AH$2:AH840),$AH$2:$AH$1001,0),0), INDEX($AO$1004:$BQ$1004,1,MATCH(COLUMNS($AO$1006:AX1006),$AO$1006:$BQ$1006,0)))),"Fix")))</f>
        <v>#N/A</v>
      </c>
      <c r="L840" s="5" t="e">
        <f ca="1">IF(OR(INDEX($AI$2:$AI$1001,MATCH(ROWS($AH$2:AH840),$AH$2:$AH$1001,0),1)&gt;=100000,INDEX($AO$1005:$BQ$1005,1,MATCH(COLUMNS($AO$1006:AY1006),$AO$1006:$BQ$1006,0))&gt;=100000), " ",IF(INDEX($AO$2:$BQ$1001,MATCH(ROWS($AH$2:AH840),$AH$2:$AH$1001,0),MATCH(COLUMNS($AO$1006:AY1006),$AO$1006:$BQ$1006,0)), HYPERLINK("#",""), HYPERLINK(CONCATENATE("#Metadata!", ADDRESS(INDEX($AJ$2:$AJ$1001,MATCH(ROWS($AH$2:AH840),$AH$2:$AH$1001,0),0), INDEX($AO$1004:$BQ$1004,1,MATCH(COLUMNS($AO$1006:AY1006),$AO$1006:$BQ$1006,0)))),"Fix")))</f>
        <v>#N/A</v>
      </c>
      <c r="M840" s="5" t="e">
        <f ca="1">IF(OR(INDEX($AI$2:$AI$1001,MATCH(ROWS($AH$2:AH840),$AH$2:$AH$1001,0),1)&gt;=100000,INDEX($AO$1005:$BQ$1005,1,MATCH(COLUMNS($AO$1006:AZ1006),$AO$1006:$BQ$1006,0))&gt;=100000), " ",IF(INDEX($AO$2:$BQ$1001,MATCH(ROWS($AH$2:AH840),$AH$2:$AH$1001,0),MATCH(COLUMNS($AO$1006:AZ1006),$AO$1006:$BQ$1006,0)), HYPERLINK("#",""), HYPERLINK(CONCATENATE("#Metadata!", ADDRESS(INDEX($AJ$2:$AJ$1001,MATCH(ROWS($AH$2:AH840),$AH$2:$AH$1001,0),0), INDEX($AO$1004:$BQ$1004,1,MATCH(COLUMNS($AO$1006:AZ1006),$AO$1006:$BQ$1006,0)))),"Fix")))</f>
        <v>#N/A</v>
      </c>
      <c r="N840" s="5" t="e">
        <f ca="1">IF(OR(INDEX($AI$2:$AI$1001,MATCH(ROWS($AH$2:AH840),$AH$2:$AH$1001,0),1)&gt;=100000,INDEX($AO$1005:$BQ$1005,1,MATCH(COLUMNS($AO$1006:BA1006),$AO$1006:$BQ$1006,0))&gt;=100000), " ",IF(INDEX($AO$2:$BQ$1001,MATCH(ROWS($AH$2:AH840),$AH$2:$AH$1001,0),MATCH(COLUMNS($AO$1006:BA1006),$AO$1006:$BQ$1006,0)), HYPERLINK("#",""), HYPERLINK(CONCATENATE("#Metadata!", ADDRESS(INDEX($AJ$2:$AJ$1001,MATCH(ROWS($AH$2:AH840),$AH$2:$AH$1001,0),0), INDEX($AO$1004:$BQ$1004,1,MATCH(COLUMNS($AO$1006:BA1006),$AO$1006:$BQ$1006,0)))),"Fix")))</f>
        <v>#N/A</v>
      </c>
      <c r="O840" s="5" t="e">
        <f ca="1">IF(OR(INDEX($AI$2:$AI$1001,MATCH(ROWS($AH$2:AH840),$AH$2:$AH$1001,0),1)&gt;=100000,INDEX($AO$1005:$BQ$1005,1,MATCH(COLUMNS($AO$1006:BB1006),$AO$1006:$BQ$1006,0))&gt;=100000), " ",IF(INDEX($AO$2:$BQ$1001,MATCH(ROWS($AH$2:AH840),$AH$2:$AH$1001,0),MATCH(COLUMNS($AO$1006:BB1006),$AO$1006:$BQ$1006,0)), HYPERLINK("#",""), HYPERLINK(CONCATENATE("#Metadata!", ADDRESS(INDEX($AJ$2:$AJ$1001,MATCH(ROWS($AH$2:AH840),$AH$2:$AH$1001,0),0), INDEX($AO$1004:$BQ$1004,1,MATCH(COLUMNS($AO$1006:BB1006),$AO$1006:$BQ$1006,0)))),"Fix")))</f>
        <v>#N/A</v>
      </c>
      <c r="P840" s="5" t="e">
        <f ca="1">IF(OR(INDEX($AI$2:$AI$1001,MATCH(ROWS($AH$2:AH840),$AH$2:$AH$1001,0),1)&gt;=100000,INDEX($AO$1005:$BQ$1005,1,MATCH(COLUMNS($AO$1006:BC1006),$AO$1006:$BQ$1006,0))&gt;=100000), " ",IF(INDEX($AO$2:$BQ$1001,MATCH(ROWS($AH$2:AH840),$AH$2:$AH$1001,0),MATCH(COLUMNS($AO$1006:BC1006),$AO$1006:$BQ$1006,0)), HYPERLINK("#",""), HYPERLINK(CONCATENATE("#Metadata!", ADDRESS(INDEX($AJ$2:$AJ$1001,MATCH(ROWS($AH$2:AH840),$AH$2:$AH$1001,0),0), INDEX($AO$1004:$BQ$1004,1,MATCH(COLUMNS($AO$1006:BC1006),$AO$1006:$BQ$1006,0)))),"Fix")))</f>
        <v>#N/A</v>
      </c>
      <c r="Q840" s="5" t="e">
        <f ca="1">IF(OR(INDEX($AI$2:$AI$1001,MATCH(ROWS($AH$2:AH840),$AH$2:$AH$1001,0),1)&gt;=100000,INDEX($AO$1005:$BQ$1005,1,MATCH(COLUMNS($AO$1006:BD1006),$AO$1006:$BQ$1006,0))&gt;=100000), " ",IF(INDEX($AO$2:$BQ$1001,MATCH(ROWS($AH$2:AH840),$AH$2:$AH$1001,0),MATCH(COLUMNS($AO$1006:BD1006),$AO$1006:$BQ$1006,0)), HYPERLINK("#",""), HYPERLINK(CONCATENATE("#Metadata!", ADDRESS(INDEX($AJ$2:$AJ$1001,MATCH(ROWS($AH$2:AH840),$AH$2:$AH$1001,0),0), INDEX($AO$1004:$BQ$1004,1,MATCH(COLUMNS($AO$1006:BD1006),$AO$1006:$BQ$1006,0)))),"Fix")))</f>
        <v>#N/A</v>
      </c>
      <c r="R840" s="5" t="e">
        <f ca="1">IF(OR(INDEX($AI$2:$AI$1001,MATCH(ROWS($AH$2:AH840),$AH$2:$AH$1001,0),1)&gt;=100000,INDEX($AO$1005:$BQ$1005,1,MATCH(COLUMNS($AO$1006:BE1006),$AO$1006:$BQ$1006,0))&gt;=100000), " ",IF(INDEX($AO$2:$BQ$1001,MATCH(ROWS($AH$2:AH840),$AH$2:$AH$1001,0),MATCH(COLUMNS($AO$1006:BE1006),$AO$1006:$BQ$1006,0)), HYPERLINK("#",""), HYPERLINK(CONCATENATE("#Metadata!", ADDRESS(INDEX($AJ$2:$AJ$1001,MATCH(ROWS($AH$2:AH840),$AH$2:$AH$1001,0),0), INDEX($AO$1004:$BQ$1004,1,MATCH(COLUMNS($AO$1006:BE1006),$AO$1006:$BQ$1006,0)))),"Fix")))</f>
        <v>#N/A</v>
      </c>
      <c r="S840" s="5" t="e">
        <f ca="1">IF(OR(INDEX($AI$2:$AI$1001,MATCH(ROWS($AH$2:AH840),$AH$2:$AH$1001,0),1)&gt;=100000,INDEX($AO$1005:$BQ$1005,1,MATCH(COLUMNS($AO$1006:BF1006),$AO$1006:$BQ$1006,0))&gt;=100000), " ",IF(INDEX($AO$2:$BQ$1001,MATCH(ROWS($AH$2:AH840),$AH$2:$AH$1001,0),MATCH(COLUMNS($AO$1006:BF1006),$AO$1006:$BQ$1006,0)), HYPERLINK("#",""), HYPERLINK(CONCATENATE("#Metadata!", ADDRESS(INDEX($AJ$2:$AJ$1001,MATCH(ROWS($AH$2:AH840),$AH$2:$AH$1001,0),0), INDEX($AO$1004:$BQ$1004,1,MATCH(COLUMNS($AO$1006:BF1006),$AO$1006:$BQ$1006,0)))),"Fix")))</f>
        <v>#N/A</v>
      </c>
      <c r="T840" s="5" t="e">
        <f ca="1">IF(OR(INDEX($AI$2:$AI$1001,MATCH(ROWS($AH$2:AH840),$AH$2:$AH$1001,0),1)&gt;=100000,INDEX($AO$1005:$BQ$1005,1,MATCH(COLUMNS($AO$1006:BG1006),$AO$1006:$BQ$1006,0))&gt;=100000), " ",IF(INDEX($AO$2:$BQ$1001,MATCH(ROWS($AH$2:AH840),$AH$2:$AH$1001,0),MATCH(COLUMNS($AO$1006:BG1006),$AO$1006:$BQ$1006,0)), HYPERLINK("#",""), HYPERLINK(CONCATENATE("#Metadata!", ADDRESS(INDEX($AJ$2:$AJ$1001,MATCH(ROWS($AH$2:AH840),$AH$2:$AH$1001,0),0), INDEX($AO$1004:$BQ$1004,1,MATCH(COLUMNS($AO$1006:BG1006),$AO$1006:$BQ$1006,0)))),"Fix")))</f>
        <v>#N/A</v>
      </c>
      <c r="U840" s="5" t="e">
        <f ca="1">IF(OR(INDEX($AI$2:$AI$1001,MATCH(ROWS($AH$2:AH840),$AH$2:$AH$1001,0),1)&gt;=100000,INDEX($AO$1005:$BQ$1005,1,MATCH(COLUMNS($AO$1006:BH1006),$AO$1006:$BQ$1006,0))&gt;=100000), " ",IF(INDEX($AO$2:$BQ$1001,MATCH(ROWS($AH$2:AH840),$AH$2:$AH$1001,0),MATCH(COLUMNS($AO$1006:BH1006),$AO$1006:$BQ$1006,0)), HYPERLINK("#",""), HYPERLINK(CONCATENATE("#Metadata!", ADDRESS(INDEX($AJ$2:$AJ$1001,MATCH(ROWS($AH$2:AH840),$AH$2:$AH$1001,0),0), INDEX($AO$1004:$BQ$1004,1,MATCH(COLUMNS($AO$1006:BH1006),$AO$1006:$BQ$1006,0)))),"Fix")))</f>
        <v>#N/A</v>
      </c>
      <c r="V840" s="5" t="e">
        <f ca="1">IF(OR(INDEX($AI$2:$AI$1001,MATCH(ROWS($AH$2:AH840),$AH$2:$AH$1001,0),1)&gt;=100000,INDEX($AO$1005:$BQ$1005,1,MATCH(COLUMNS($AO$1006:BI1006),$AO$1006:$BQ$1006,0))&gt;=100000), " ",IF(INDEX($AO$2:$BQ$1001,MATCH(ROWS($AH$2:AH840),$AH$2:$AH$1001,0),MATCH(COLUMNS($AO$1006:BI1006),$AO$1006:$BQ$1006,0)), HYPERLINK("#",""), HYPERLINK(CONCATENATE("#Metadata!", ADDRESS(INDEX($AJ$2:$AJ$1001,MATCH(ROWS($AH$2:AH840),$AH$2:$AH$1001,0),0), INDEX($AO$1004:$BQ$1004,1,MATCH(COLUMNS($AO$1006:BI1006),$AO$1006:$BQ$1006,0)))),"Fix")))</f>
        <v>#N/A</v>
      </c>
      <c r="W840" s="5" t="e">
        <f ca="1">IF(OR(INDEX($AI$2:$AI$1001,MATCH(ROWS($AH$2:AH840),$AH$2:$AH$1001,0),1)&gt;=100000,INDEX($AO$1005:$BQ$1005,1,MATCH(COLUMNS($AO$1006:BJ1006),$AO$1006:$BQ$1006,0))&gt;=100000), " ",IF(INDEX($AO$2:$BQ$1001,MATCH(ROWS($AH$2:AH840),$AH$2:$AH$1001,0),MATCH(COLUMNS($AO$1006:BJ1006),$AO$1006:$BQ$1006,0)), HYPERLINK("#",""), HYPERLINK(CONCATENATE("#Metadata!", ADDRESS(INDEX($AJ$2:$AJ$1001,MATCH(ROWS($AH$2:AH840),$AH$2:$AH$1001,0),0), INDEX($AO$1004:$BQ$1004,1,MATCH(COLUMNS($AO$1006:BJ1006),$AO$1006:$BQ$1006,0)))),"Fix")))</f>
        <v>#N/A</v>
      </c>
      <c r="X840" s="5" t="e">
        <f ca="1">IF(OR(INDEX($AI$2:$AI$1001,MATCH(ROWS($AH$2:AH840),$AH$2:$AH$1001,0),1)&gt;=100000,INDEX($AO$1005:$BQ$1005,1,MATCH(COLUMNS($AO$1006:BK1006),$AO$1006:$BQ$1006,0))&gt;=100000), " ",IF(INDEX($AO$2:$BQ$1001,MATCH(ROWS($AH$2:AH840),$AH$2:$AH$1001,0),MATCH(COLUMNS($AO$1006:BK1006),$AO$1006:$BQ$1006,0)), HYPERLINK("#",""), HYPERLINK(CONCATENATE("#Metadata!", ADDRESS(INDEX($AJ$2:$AJ$1001,MATCH(ROWS($AH$2:AH840),$AH$2:$AH$1001,0),0), INDEX($AO$1004:$BQ$1004,1,MATCH(COLUMNS($AO$1006:BK1006),$AO$1006:$BQ$1006,0)))),"Fix")))</f>
        <v>#N/A</v>
      </c>
      <c r="Y840" s="5" t="e">
        <f ca="1">IF(OR(INDEX($AI$2:$AI$1001,MATCH(ROWS($AH$2:AH840),$AH$2:$AH$1001,0),1)&gt;=100000,INDEX($AO$1005:$BQ$1005,1,MATCH(COLUMNS($AO$1006:BL1006),$AO$1006:$BQ$1006,0))&gt;=100000), " ",IF(INDEX($AO$2:$BQ$1001,MATCH(ROWS($AH$2:AH840),$AH$2:$AH$1001,0),MATCH(COLUMNS($AO$1006:BL1006),$AO$1006:$BQ$1006,0)), HYPERLINK("#",""), HYPERLINK(CONCATENATE("#Metadata!", ADDRESS(INDEX($AJ$2:$AJ$1001,MATCH(ROWS($AH$2:AH840),$AH$2:$AH$1001,0),0), INDEX($AO$1004:$BQ$1004,1,MATCH(COLUMNS($AO$1006:BL1006),$AO$1006:$BQ$1006,0)))),"Fix")))</f>
        <v>#N/A</v>
      </c>
      <c r="Z840" s="5" t="e">
        <f ca="1">IF(OR(INDEX($AI$2:$AI$1001,MATCH(ROWS($AH$2:AH840),$AH$2:$AH$1001,0),1)&gt;=100000,INDEX($AO$1005:$BQ$1005,1,MATCH(COLUMNS($AO$1006:BM1006),$AO$1006:$BQ$1006,0))&gt;=100000), " ",IF(INDEX($AO$2:$BQ$1001,MATCH(ROWS($AH$2:AH840),$AH$2:$AH$1001,0),MATCH(COLUMNS($AO$1006:BM1006),$AO$1006:$BQ$1006,0)), HYPERLINK("#",""), HYPERLINK(CONCATENATE("#Metadata!", ADDRESS(INDEX($AJ$2:$AJ$1001,MATCH(ROWS($AH$2:AH840),$AH$2:$AH$1001,0),0), INDEX($AO$1004:$BQ$1004,1,MATCH(COLUMNS($AO$1006:BM1006),$AO$1006:$BQ$1006,0)))),"Fix")))</f>
        <v>#N/A</v>
      </c>
      <c r="AA840" s="5" t="e">
        <f ca="1">IF(OR(INDEX($AI$2:$AI$1001,MATCH(ROWS($AH$2:AH840),$AH$2:$AH$1001,0),1)&gt;=100000,INDEX($AO$1005:$BQ$1005,1,MATCH(COLUMNS($AO$1006:BN1006),$AO$1006:$BQ$1006,0))&gt;=100000), " ",IF(INDEX($AO$2:$BQ$1001,MATCH(ROWS($AH$2:AH840),$AH$2:$AH$1001,0),MATCH(COLUMNS($AO$1006:BN1006),$AO$1006:$BQ$1006,0)), HYPERLINK("#",""), HYPERLINK(CONCATENATE("#Metadata!", ADDRESS(INDEX($AJ$2:$AJ$1001,MATCH(ROWS($AH$2:AH840),$AH$2:$AH$1001,0),0), INDEX($AO$1004:$BQ$1004,1,MATCH(COLUMNS($AO$1006:BN1006),$AO$1006:$BQ$1006,0)))),"Fix")))</f>
        <v>#N/A</v>
      </c>
      <c r="AB840" s="5" t="e">
        <f ca="1">IF(OR(INDEX($AI$2:$AI$1001,MATCH(ROWS($AH$2:AH840),$AH$2:$AH$1001,0),1)&gt;=100000,INDEX($AO$1005:$BQ$1005,1,MATCH(COLUMNS($AO$1006:BO1006),$AO$1006:$BQ$1006,0))&gt;=100000), " ",IF(INDEX($AO$2:$BQ$1001,MATCH(ROWS($AH$2:AH840),$AH$2:$AH$1001,0),MATCH(COLUMNS($AO$1006:BO1006),$AO$1006:$BQ$1006,0)), HYPERLINK("#",""), HYPERLINK(CONCATENATE("#Metadata!", ADDRESS(INDEX($AJ$2:$AJ$1001,MATCH(ROWS($AH$2:AH840),$AH$2:$AH$1001,0),0), INDEX($AO$1004:$BQ$1004,1,MATCH(COLUMNS($AO$1006:BO1006),$AO$1006:$BQ$1006,0)))),"Fix")))</f>
        <v>#N/A</v>
      </c>
      <c r="AC840" s="5" t="e">
        <f ca="1">IF(OR(INDEX($AI$2:$AI$1001,MATCH(ROWS($AH$2:AH840),$AH$2:$AH$1001,0),1)&gt;=100000,INDEX($AO$1005:$BQ$1005,1,MATCH(COLUMNS($AO$1006:BP1006),$AO$1006:$BQ$1006,0))&gt;=100000), " ",IF(INDEX($AO$2:$BQ$1001,MATCH(ROWS($AH$2:AH840),$AH$2:$AH$1001,0),MATCH(COLUMNS($AO$1006:BP1006),$AO$1006:$BQ$1006,0)), HYPERLINK("#",""), HYPERLINK(CONCATENATE("#Metadata!", ADDRESS(INDEX($AJ$2:$AJ$1001,MATCH(ROWS($AH$2:AH840),$AH$2:$AH$1001,0),0), INDEX($AO$1004:$BQ$1004,1,MATCH(COLUMNS($AO$1006:BP1006),$AO$1006:$BQ$1006,0)))),"Fix")))</f>
        <v>#N/A</v>
      </c>
      <c r="AD840" s="5" t="e">
        <f ca="1">IF(OR(INDEX($AI$2:$AI$1001,MATCH(ROWS($AH$2:AH840),$AH$2:$AH$1001,0),1)&gt;=100000,INDEX($AO$1005:$BQ$1005,1,MATCH(COLUMNS($AO$1006:BQ1006),$AO$1006:$BQ$1006,0))&gt;=100000), " ",IF(INDEX($AO$2:$BQ$1001,MATCH(ROWS($AH$2:AH840),$AH$2:$AH$1001,0),MATCH(COLUMNS($AO$1006:BQ1006),$AO$1006:$BQ$1006,0)), HYPERLINK("#",""), HYPERLINK(CONCATENATE("#Metadata!", ADDRESS(INDEX($AJ$2:$AJ$1001,MATCH(ROWS($AH$2:AH840),$AH$2:$AH$1001,0),0), INDEX($AO$1004:$BQ$1004,1,MATCH(COLUMNS($AO$1006:BQ1006),$AO$1006:$BQ$1006,0)))),"Fix")))</f>
        <v>#REF!</v>
      </c>
      <c r="AH840">
        <f ca="1"/>
        <v>837</v>
      </c>
      <c r="AI840">
        <v>100840</v>
      </c>
      <c r="AJ840">
        <v>840</v>
      </c>
      <c r="AK840" t="b">
        <f t="shared" si="13"/>
        <v>1</v>
      </c>
      <c r="AL840" t="b">
        <f>COUNTBLANK(Metadata!B840:AD840)=COLUMNS(Metadata!B840:AD840)</f>
        <v>1</v>
      </c>
      <c r="AM840" t="str">
        <v/>
      </c>
      <c r="AO840" t="b">
        <f ca="1">AND(IF(Metadata!B840="",FALSE,TRUE),COUNTIF(Metadata!B:B, Metadata!B840) = 1,NOT(ISERROR(SUMPRODUCT(SEARCH(MID(Metadata!B840,ROW(INDIRECT("1:"&amp;LEN(Metadata!B840))), 1),"0123456789abcdefghijklmnopqrstuvwxyzABCDEFGHIJKLMNOPQRSTUVWXYZ.")))))</f>
        <v>0</v>
      </c>
      <c r="AP840" t="b">
        <f>IF(Metadata!C840="",FALSE,TRUE)</f>
        <v>0</v>
      </c>
      <c r="AQ840" t="b">
        <f>IF(Metadata!D840="",FALSE,TRUE)</f>
        <v>0</v>
      </c>
      <c r="AR840" t="b">
        <f ca="1">OR(AND(IF(Metadata!E840="",FALSE,TRUE),OR(EXACT(Metadata!E840,"not collected"),EXACT(Metadata!E840,"not provided"),EXACT(Metadata!E840,"restricted access"))),AND(IF(Metadata!E840="",FALSE,TRUE),AND(AND(IFERROR(INT(LEFT(Metadata!E840,4))&gt;1900,FALSE),IFERROR(INT(LEFT(Metadata!E840,4))&lt;=YEAR(NOW()),FALSE)), OR(MID(Metadata!E840,5,1)="", AND(AND(MID(Metadata!E840,5,1)="-",IFERROR(INT(MID(Metadata!E840,6,1))&gt;=0,FALSE),IFERROR(INT(MID(Metadata!E840,6,1))&lt;=1,FALSE),NOT(MID(Metadata!E840,7,1)=""),IFERROR(INT(MID(Metadata!E840,6,2))&gt;=1,FALSE),IFERROR(INT(MID(Metadata!E840,6,2))&lt;=12,FALSE)), OR(MID(Metadata!E840,8,1)="", AND(AND(MID(Metadata!E840,8,1)="-",IFERROR(INT(MID(Metadata!E840,9,1))&gt;=0,FALSE),IFERROR(INT(MID(Metadata!E840,9,1))&lt;=3,FALSE),NOT(MID(Metadata!E840,10,1)=""),IFERROR(INT(MID(Metadata!E840,9,2))&gt;=1,FALSE),IFERROR(INT(MID(Metadata!E840,9,2))&lt;=31,FALSE)), OR(MID(Metadata!E840,11,1)="", AND(AND(MID(Metadata!E840,11,1)=" ",IFERROR(INT(MID(Metadata!E840,12,1))&gt;=0,FALSE),IFERROR(INT(MID(Metadata!E840,12,1))&lt;=2,FALSE),NOT(MID(Metadata!E840,13,1)=""),IFERROR(INT(MID(Metadata!E840,12,2))&gt;=0,FALSE),IFERROR(INT(MID(Metadata!E840,12,2))&lt;=23,FALSE)), OR(MID(Metadata!E840,14,1)="", AND(AND(MID(Metadata!E840,14,1)=":",IFERROR(INT(MID(Metadata!E840,15,1))&gt;=0,FALSE),IFERROR(INT(MID(Metadata!E840,15,1))&lt;=5,FALSE),NOT(MID(Metadata!E840,16,1)=""),IFERROR(INT(MID(Metadata!E840,15,2))&gt;=0,FALSE),IFERROR(INT(MID(Metadata!E840,15,2))&lt;=59,FALSE)), OR(MID(Metadata!E840,17,1)="", AND(AND(MID(Metadata!E840,17,1)=":",IFERROR(INT(MID(Metadata!E840,18,1))&gt;=0,FALSE),IFERROR(INT(MID(Metadata!E840,18,1))&lt;=5,FALSE),NOT(MID(Metadata!E840,19,1)=""),IFERROR(INT(MID(Metadata!E840,18,2))&gt;=0,FALSE),IFERROR(INT(MID(Metadata!E840,18,2))&lt;=59,FALSE)), LEN(Metadata!E840)&lt;=19)))))))))))))</f>
        <v>0</v>
      </c>
      <c r="AS840" t="b">
        <f>IF(Metadata!F840="",FALSE,TRUE)</f>
        <v>0</v>
      </c>
      <c r="AT840" t="b">
        <f>OR(AND(IF(Metadata!G840="",FALSE,TRUE),OR(EXACT(Metadata!G840,"not collected"),EXACT(Metadata!G840,"not provided"))),AND(IF(Metadata!G840="",FALSE,TRUE),OR(EXACT(Metadata!G840,"TRUE"),EXACT(Metadata!G840,"FALSE"))))</f>
        <v>0</v>
      </c>
      <c r="AU840" t="b">
        <f>OR(AND(IF(Metadata!H840="",FALSE,TRUE),OR(EXACT(Metadata!H840,"not collected"),EXACT(Metadata!H840,"not provided"),EXACT(Metadata!H840,"restricted access"))),AND(IF(Metadata!H840="",FALSE,ISNUMBER(VALUE(Metadata!H840))),Metadata!H840&gt;=-413))</f>
        <v>0</v>
      </c>
      <c r="AV840" t="b">
        <f>AND(IF(Metadata!I840="",FALSE,TRUE),EXACT(Metadata!I840,"meters"))</f>
        <v>0</v>
      </c>
      <c r="AW840" t="b">
        <f>AND(IF(Metadata!J840="",FALSE,TRUE),EXACT(Metadata!J840,"free-living"))</f>
        <v>0</v>
      </c>
      <c r="AX840" t="b">
        <f>AND(IF(Metadata!K840="",FALSE,TRUE),OR(EXACT(Metadata!K840,"saline"),EXACT(Metadata!K840,"non-saline")))</f>
        <v>0</v>
      </c>
      <c r="AY840" t="b">
        <f>AND(IF(Metadata!L840="",FALSE,TRUE),OR(EXACT(Metadata!L840,"sub-surface (non-saline)"),EXACT(Metadata!L840,"surface (non-saline)"),EXACT(Metadata!L840,"water (non-saline)"),EXACT(Metadata!L840,"soil (non-saline)"),EXACT(Metadata!L840,"aerosol (non-saline)"),EXACT(Metadata!L840,"sediment (non-saline)"),EXACT(Metadata!L840,"surface (saline)"),EXACT(Metadata!L840,"water (saline)"),EXACT(Metadata!L840,"hypersaline (saline)"),EXACT(Metadata!L840,"aerosol (saline)"),EXACT(Metadata!L840,"sediment (saline)")))</f>
        <v>0</v>
      </c>
      <c r="AZ840" t="b">
        <f>IF(Metadata!M840="",FALSE,TRUE)</f>
        <v>0</v>
      </c>
      <c r="BA840" t="b">
        <f>IF(Metadata!N840="",FALSE,TRUE)</f>
        <v>0</v>
      </c>
      <c r="BB840" t="b">
        <f>IF(Metadata!O840="",FALSE,TRUE)</f>
        <v>0</v>
      </c>
      <c r="BC840" t="b">
        <f>AND(IF(Metadata!P840="",FALSE,TRUE),OR(EXACT(Metadata!P840,"air"),EXACT(Metadata!P840,"microbial mat/biofilm"),EXACT(Metadata!P840,"misc environment"),EXACT(Metadata!P840,"sediment"),EXACT(Metadata!P840,"soil"),EXACT(Metadata!P840,"wastewater/sludge"),EXACT(Metadata!P840,"water")))</f>
        <v>0</v>
      </c>
      <c r="BD840" t="b">
        <f>IF(Metadata!Q840="",FALSE,TRUE)</f>
        <v>0</v>
      </c>
      <c r="BE840" t="b">
        <f>IF(Metadata!R840="",FALSE,TRUE)</f>
        <v>0</v>
      </c>
      <c r="BF840" t="b">
        <f>OR(AND(IF(Metadata!S840="",FALSE,TRUE),OR(EXACT(Metadata!S840,"not collected"),EXACT(Metadata!S840,"not provided"),EXACT(Metadata!S840,"restricted access"))),AND(IF(Metadata!S840="",FALSE,ISNUMBER(VALUE(Metadata!S840))),Metadata!S840&gt;=-90,Metadata!S840&lt;=90))</f>
        <v>0</v>
      </c>
      <c r="BG840" t="b">
        <f>AND(IF(Metadata!T840="",FALSE,TRUE),EXACT(Metadata!T840,"Decimal degrees"))</f>
        <v>0</v>
      </c>
      <c r="BH840" t="b">
        <f>OR(AND(IF(Metadata!U840="",FALSE,TRUE),OR(EXACT(Metadata!U840,"not applicable"),EXACT(Metadata!U840,"not collected"))),IF(Metadata!U840="",FALSE,TRUE))</f>
        <v>0</v>
      </c>
      <c r="BI840" t="b">
        <f>OR(AND(IF(Metadata!V840="",FALSE,TRUE),OR(EXACT(Metadata!V840,"not collected"),EXACT(Metadata!V840,"not provided"),EXACT(Metadata!V840,"restricted access"))),AND(IF(Metadata!V840="",FALSE,ISNUMBER(VALUE(Metadata!V840))),Metadata!V840&gt;=-180,Metadata!V840&lt;=180))</f>
        <v>0</v>
      </c>
      <c r="BJ840" t="b">
        <f>AND(IF(Metadata!W840="",FALSE,TRUE),EXACT(Metadata!W840,"Decimal degrees"))</f>
        <v>0</v>
      </c>
      <c r="BK840" t="b">
        <f>IF(Metadata!X840="",FALSE,TRUE)</f>
        <v>0</v>
      </c>
      <c r="BL840" t="b">
        <f>OR(AND(IF(Metadata!Y840="",FALSE,TRUE),OR(EXACT(Metadata!Y840,"not collected"),EXACT(Metadata!Y840,"not provided"),EXACT(Metadata!Y840,"restricted access"))),AND(IF(Metadata!Y840="",FALSE,TRUE),OR(EXACT(Metadata!Y840,"TRUE"),EXACT(Metadata!Y840,"FALSE"))))</f>
        <v>0</v>
      </c>
      <c r="BM840" t="b">
        <f>OR(AND(IF(Metadata!Z840="",FALSE,TRUE),EXACT(Metadata!Z840,"not applicable")),AND(IF(Metadata!Z840="",FALSE,TRUE),OR(EXACT(Metadata!Z840,"beer"),EXACT(Metadata!Z840,"cheese"),EXACT(Metadata!Z840,"fresh water"),EXACT(Metadata!Z840,"marine sediment"),EXACT(Metadata!Z840,"sea water"),EXACT(Metadata!Z840,"sediment"),EXACT(Metadata!Z840,"soil"),EXACT(Metadata!Z840,"waste water"))))</f>
        <v>0</v>
      </c>
      <c r="BN840" t="b">
        <f>AND(IF(Metadata!AA840="",FALSE,TRUE),EXACT(Metadata!AA840,"metagenome"))</f>
        <v>0</v>
      </c>
      <c r="BO840" t="b">
        <f>AND(IF(Metadata!AB840="",FALSE,TRUE),EXACT(Metadata!AB840,"256318"))</f>
        <v>0</v>
      </c>
      <c r="BP840" t="b">
        <f>IF(Metadata!AC840="",FALSE,TRUE)</f>
        <v>0</v>
      </c>
      <c r="BQ840" t="b">
        <f>IF(Metadata!AD840="",FALSE,TRUE)</f>
        <v>0</v>
      </c>
    </row>
    <row r="841" spans="1:69" x14ac:dyDescent="0.2">
      <c r="A841" s="4" t="e">
        <f ca="1">IF(B841=" "," ",HYPERLINK(CONCATENATE("#metadata!",ADDRESS(INDEX($AJ$2:$AJ$1001,MATCH(ROWS($AH$2:AH841),$AH$2:$AH$1001,0),0),2)),INDEX($AM$2:$AM$1001,MATCH(ROWS($AH$2:AH841),$AH$2:$AH$1001,0),0)))</f>
        <v>#N/A</v>
      </c>
      <c r="B841" s="5" t="e">
        <f ca="1">IF(OR(INDEX($AI$2:$AI$1001,MATCH(ROWS($AH$2:AH841),$AH$2:$AH$1001,0),1)&gt;=100000,INDEX($AO$1005:$BQ$1005,1,MATCH(COLUMNS($AO$1006:AO1006),$AO$1006:$BQ$1006,0))&gt;=100000), " ",IF(INDEX($AO$2:$BQ$1001,MATCH(ROWS($AH$2:AH841),$AH$2:$AH$1001,0),MATCH(COLUMNS($AO$1006:AO1006),$AO$1006:$BQ$1006,0)), HYPERLINK("#",""), HYPERLINK(CONCATENATE("#Metadata!", ADDRESS(INDEX($AJ$2:$AJ$1001,MATCH(ROWS($AH$2:AH841),$AH$2:$AH$1001,0),0), INDEX($AO$1004:$BQ$1004,1,MATCH(COLUMNS($AO$1006:AO1006),$AO$1006:$BQ$1006,0)))),"Fix")))</f>
        <v>#N/A</v>
      </c>
      <c r="C841" s="5" t="e">
        <f ca="1">IF(OR(INDEX($AI$2:$AI$1001,MATCH(ROWS($AH$2:AH841),$AH$2:$AH$1001,0),1)&gt;=100000,INDEX($AO$1005:$BQ$1005,1,MATCH(COLUMNS($AO$1006:AP1006),$AO$1006:$BQ$1006,0))&gt;=100000), " ",IF(INDEX($AO$2:$BQ$1001,MATCH(ROWS($AH$2:AH841),$AH$2:$AH$1001,0),MATCH(COLUMNS($AO$1006:AP1006),$AO$1006:$BQ$1006,0)), HYPERLINK("#",""), HYPERLINK(CONCATENATE("#Metadata!", ADDRESS(INDEX($AJ$2:$AJ$1001,MATCH(ROWS($AH$2:AH841),$AH$2:$AH$1001,0),0), INDEX($AO$1004:$BQ$1004,1,MATCH(COLUMNS($AO$1006:AP1006),$AO$1006:$BQ$1006,0)))),"Fix")))</f>
        <v>#N/A</v>
      </c>
      <c r="D841" s="5" t="e">
        <f ca="1">IF(OR(INDEX($AI$2:$AI$1001,MATCH(ROWS($AH$2:AH841),$AH$2:$AH$1001,0),1)&gt;=100000,INDEX($AO$1005:$BQ$1005,1,MATCH(COLUMNS($AO$1006:AQ1006),$AO$1006:$BQ$1006,0))&gt;=100000), " ",IF(INDEX($AO$2:$BQ$1001,MATCH(ROWS($AH$2:AH841),$AH$2:$AH$1001,0),MATCH(COLUMNS($AO$1006:AQ1006),$AO$1006:$BQ$1006,0)), HYPERLINK("#",""), HYPERLINK(CONCATENATE("#Metadata!", ADDRESS(INDEX($AJ$2:$AJ$1001,MATCH(ROWS($AH$2:AH841),$AH$2:$AH$1001,0),0), INDEX($AO$1004:$BQ$1004,1,MATCH(COLUMNS($AO$1006:AQ1006),$AO$1006:$BQ$1006,0)))),"Fix")))</f>
        <v>#N/A</v>
      </c>
      <c r="E841" s="5" t="e">
        <f ca="1">IF(OR(INDEX($AI$2:$AI$1001,MATCH(ROWS($AH$2:AH841),$AH$2:$AH$1001,0),1)&gt;=100000,INDEX($AO$1005:$BQ$1005,1,MATCH(COLUMNS($AO$1006:AR1006),$AO$1006:$BQ$1006,0))&gt;=100000), " ",IF(INDEX($AO$2:$BQ$1001,MATCH(ROWS($AH$2:AH841),$AH$2:$AH$1001,0),MATCH(COLUMNS($AO$1006:AR1006),$AO$1006:$BQ$1006,0)), HYPERLINK("#",""), HYPERLINK(CONCATENATE("#Metadata!", ADDRESS(INDEX($AJ$2:$AJ$1001,MATCH(ROWS($AH$2:AH841),$AH$2:$AH$1001,0),0), INDEX($AO$1004:$BQ$1004,1,MATCH(COLUMNS($AO$1006:AR1006),$AO$1006:$BQ$1006,0)))),"Fix")))</f>
        <v>#N/A</v>
      </c>
      <c r="F841" s="5" t="e">
        <f ca="1">IF(OR(INDEX($AI$2:$AI$1001,MATCH(ROWS($AH$2:AH841),$AH$2:$AH$1001,0),1)&gt;=100000,INDEX($AO$1005:$BQ$1005,1,MATCH(COLUMNS($AO$1006:AS1006),$AO$1006:$BQ$1006,0))&gt;=100000), " ",IF(INDEX($AO$2:$BQ$1001,MATCH(ROWS($AH$2:AH841),$AH$2:$AH$1001,0),MATCH(COLUMNS($AO$1006:AS1006),$AO$1006:$BQ$1006,0)), HYPERLINK("#",""), HYPERLINK(CONCATENATE("#Metadata!", ADDRESS(INDEX($AJ$2:$AJ$1001,MATCH(ROWS($AH$2:AH841),$AH$2:$AH$1001,0),0), INDEX($AO$1004:$BQ$1004,1,MATCH(COLUMNS($AO$1006:AS1006),$AO$1006:$BQ$1006,0)))),"Fix")))</f>
        <v>#N/A</v>
      </c>
      <c r="G841" s="5" t="e">
        <f ca="1">IF(OR(INDEX($AI$2:$AI$1001,MATCH(ROWS($AH$2:AH841),$AH$2:$AH$1001,0),1)&gt;=100000,INDEX($AO$1005:$BQ$1005,1,MATCH(COLUMNS($AO$1006:AT1006),$AO$1006:$BQ$1006,0))&gt;=100000), " ",IF(INDEX($AO$2:$BQ$1001,MATCH(ROWS($AH$2:AH841),$AH$2:$AH$1001,0),MATCH(COLUMNS($AO$1006:AT1006),$AO$1006:$BQ$1006,0)), HYPERLINK("#",""), HYPERLINK(CONCATENATE("#Metadata!", ADDRESS(INDEX($AJ$2:$AJ$1001,MATCH(ROWS($AH$2:AH841),$AH$2:$AH$1001,0),0), INDEX($AO$1004:$BQ$1004,1,MATCH(COLUMNS($AO$1006:AT1006),$AO$1006:$BQ$1006,0)))),"Fix")))</f>
        <v>#N/A</v>
      </c>
      <c r="H841" s="5" t="e">
        <f ca="1">IF(OR(INDEX($AI$2:$AI$1001,MATCH(ROWS($AH$2:AH841),$AH$2:$AH$1001,0),1)&gt;=100000,INDEX($AO$1005:$BQ$1005,1,MATCH(COLUMNS($AO$1006:AU1006),$AO$1006:$BQ$1006,0))&gt;=100000), " ",IF(INDEX($AO$2:$BQ$1001,MATCH(ROWS($AH$2:AH841),$AH$2:$AH$1001,0),MATCH(COLUMNS($AO$1006:AU1006),$AO$1006:$BQ$1006,0)), HYPERLINK("#",""), HYPERLINK(CONCATENATE("#Metadata!", ADDRESS(INDEX($AJ$2:$AJ$1001,MATCH(ROWS($AH$2:AH841),$AH$2:$AH$1001,0),0), INDEX($AO$1004:$BQ$1004,1,MATCH(COLUMNS($AO$1006:AU1006),$AO$1006:$BQ$1006,0)))),"Fix")))</f>
        <v>#N/A</v>
      </c>
      <c r="I841" s="5" t="e">
        <f ca="1">IF(OR(INDEX($AI$2:$AI$1001,MATCH(ROWS($AH$2:AH841),$AH$2:$AH$1001,0),1)&gt;=100000,INDEX($AO$1005:$BQ$1005,1,MATCH(COLUMNS($AO$1006:AV1006),$AO$1006:$BQ$1006,0))&gt;=100000), " ",IF(INDEX($AO$2:$BQ$1001,MATCH(ROWS($AH$2:AH841),$AH$2:$AH$1001,0),MATCH(COLUMNS($AO$1006:AV1006),$AO$1006:$BQ$1006,0)), HYPERLINK("#",""), HYPERLINK(CONCATENATE("#Metadata!", ADDRESS(INDEX($AJ$2:$AJ$1001,MATCH(ROWS($AH$2:AH841),$AH$2:$AH$1001,0),0), INDEX($AO$1004:$BQ$1004,1,MATCH(COLUMNS($AO$1006:AV1006),$AO$1006:$BQ$1006,0)))),"Fix")))</f>
        <v>#N/A</v>
      </c>
      <c r="J841" s="5" t="e">
        <f ca="1">IF(OR(INDEX($AI$2:$AI$1001,MATCH(ROWS($AH$2:AH841),$AH$2:$AH$1001,0),1)&gt;=100000,INDEX($AO$1005:$BQ$1005,1,MATCH(COLUMNS($AO$1006:AW1006),$AO$1006:$BQ$1006,0))&gt;=100000), " ",IF(INDEX($AO$2:$BQ$1001,MATCH(ROWS($AH$2:AH841),$AH$2:$AH$1001,0),MATCH(COLUMNS($AO$1006:AW1006),$AO$1006:$BQ$1006,0)), HYPERLINK("#",""), HYPERLINK(CONCATENATE("#Metadata!", ADDRESS(INDEX($AJ$2:$AJ$1001,MATCH(ROWS($AH$2:AH841),$AH$2:$AH$1001,0),0), INDEX($AO$1004:$BQ$1004,1,MATCH(COLUMNS($AO$1006:AW1006),$AO$1006:$BQ$1006,0)))),"Fix")))</f>
        <v>#N/A</v>
      </c>
      <c r="K841" s="5" t="e">
        <f ca="1">IF(OR(INDEX($AI$2:$AI$1001,MATCH(ROWS($AH$2:AH841),$AH$2:$AH$1001,0),1)&gt;=100000,INDEX($AO$1005:$BQ$1005,1,MATCH(COLUMNS($AO$1006:AX1006),$AO$1006:$BQ$1006,0))&gt;=100000), " ",IF(INDEX($AO$2:$BQ$1001,MATCH(ROWS($AH$2:AH841),$AH$2:$AH$1001,0),MATCH(COLUMNS($AO$1006:AX1006),$AO$1006:$BQ$1006,0)), HYPERLINK("#",""), HYPERLINK(CONCATENATE("#Metadata!", ADDRESS(INDEX($AJ$2:$AJ$1001,MATCH(ROWS($AH$2:AH841),$AH$2:$AH$1001,0),0), INDEX($AO$1004:$BQ$1004,1,MATCH(COLUMNS($AO$1006:AX1006),$AO$1006:$BQ$1006,0)))),"Fix")))</f>
        <v>#N/A</v>
      </c>
      <c r="L841" s="5" t="e">
        <f ca="1">IF(OR(INDEX($AI$2:$AI$1001,MATCH(ROWS($AH$2:AH841),$AH$2:$AH$1001,0),1)&gt;=100000,INDEX($AO$1005:$BQ$1005,1,MATCH(COLUMNS($AO$1006:AY1006),$AO$1006:$BQ$1006,0))&gt;=100000), " ",IF(INDEX($AO$2:$BQ$1001,MATCH(ROWS($AH$2:AH841),$AH$2:$AH$1001,0),MATCH(COLUMNS($AO$1006:AY1006),$AO$1006:$BQ$1006,0)), HYPERLINK("#",""), HYPERLINK(CONCATENATE("#Metadata!", ADDRESS(INDEX($AJ$2:$AJ$1001,MATCH(ROWS($AH$2:AH841),$AH$2:$AH$1001,0),0), INDEX($AO$1004:$BQ$1004,1,MATCH(COLUMNS($AO$1006:AY1006),$AO$1006:$BQ$1006,0)))),"Fix")))</f>
        <v>#N/A</v>
      </c>
      <c r="M841" s="5" t="e">
        <f ca="1">IF(OR(INDEX($AI$2:$AI$1001,MATCH(ROWS($AH$2:AH841),$AH$2:$AH$1001,0),1)&gt;=100000,INDEX($AO$1005:$BQ$1005,1,MATCH(COLUMNS($AO$1006:AZ1006),$AO$1006:$BQ$1006,0))&gt;=100000), " ",IF(INDEX($AO$2:$BQ$1001,MATCH(ROWS($AH$2:AH841),$AH$2:$AH$1001,0),MATCH(COLUMNS($AO$1006:AZ1006),$AO$1006:$BQ$1006,0)), HYPERLINK("#",""), HYPERLINK(CONCATENATE("#Metadata!", ADDRESS(INDEX($AJ$2:$AJ$1001,MATCH(ROWS($AH$2:AH841),$AH$2:$AH$1001,0),0), INDEX($AO$1004:$BQ$1004,1,MATCH(COLUMNS($AO$1006:AZ1006),$AO$1006:$BQ$1006,0)))),"Fix")))</f>
        <v>#N/A</v>
      </c>
      <c r="N841" s="5" t="e">
        <f ca="1">IF(OR(INDEX($AI$2:$AI$1001,MATCH(ROWS($AH$2:AH841),$AH$2:$AH$1001,0),1)&gt;=100000,INDEX($AO$1005:$BQ$1005,1,MATCH(COLUMNS($AO$1006:BA1006),$AO$1006:$BQ$1006,0))&gt;=100000), " ",IF(INDEX($AO$2:$BQ$1001,MATCH(ROWS($AH$2:AH841),$AH$2:$AH$1001,0),MATCH(COLUMNS($AO$1006:BA1006),$AO$1006:$BQ$1006,0)), HYPERLINK("#",""), HYPERLINK(CONCATENATE("#Metadata!", ADDRESS(INDEX($AJ$2:$AJ$1001,MATCH(ROWS($AH$2:AH841),$AH$2:$AH$1001,0),0), INDEX($AO$1004:$BQ$1004,1,MATCH(COLUMNS($AO$1006:BA1006),$AO$1006:$BQ$1006,0)))),"Fix")))</f>
        <v>#N/A</v>
      </c>
      <c r="O841" s="5" t="e">
        <f ca="1">IF(OR(INDEX($AI$2:$AI$1001,MATCH(ROWS($AH$2:AH841),$AH$2:$AH$1001,0),1)&gt;=100000,INDEX($AO$1005:$BQ$1005,1,MATCH(COLUMNS($AO$1006:BB1006),$AO$1006:$BQ$1006,0))&gt;=100000), " ",IF(INDEX($AO$2:$BQ$1001,MATCH(ROWS($AH$2:AH841),$AH$2:$AH$1001,0),MATCH(COLUMNS($AO$1006:BB1006),$AO$1006:$BQ$1006,0)), HYPERLINK("#",""), HYPERLINK(CONCATENATE("#Metadata!", ADDRESS(INDEX($AJ$2:$AJ$1001,MATCH(ROWS($AH$2:AH841),$AH$2:$AH$1001,0),0), INDEX($AO$1004:$BQ$1004,1,MATCH(COLUMNS($AO$1006:BB1006),$AO$1006:$BQ$1006,0)))),"Fix")))</f>
        <v>#N/A</v>
      </c>
      <c r="P841" s="5" t="e">
        <f ca="1">IF(OR(INDEX($AI$2:$AI$1001,MATCH(ROWS($AH$2:AH841),$AH$2:$AH$1001,0),1)&gt;=100000,INDEX($AO$1005:$BQ$1005,1,MATCH(COLUMNS($AO$1006:BC1006),$AO$1006:$BQ$1006,0))&gt;=100000), " ",IF(INDEX($AO$2:$BQ$1001,MATCH(ROWS($AH$2:AH841),$AH$2:$AH$1001,0),MATCH(COLUMNS($AO$1006:BC1006),$AO$1006:$BQ$1006,0)), HYPERLINK("#",""), HYPERLINK(CONCATENATE("#Metadata!", ADDRESS(INDEX($AJ$2:$AJ$1001,MATCH(ROWS($AH$2:AH841),$AH$2:$AH$1001,0),0), INDEX($AO$1004:$BQ$1004,1,MATCH(COLUMNS($AO$1006:BC1006),$AO$1006:$BQ$1006,0)))),"Fix")))</f>
        <v>#N/A</v>
      </c>
      <c r="Q841" s="5" t="e">
        <f ca="1">IF(OR(INDEX($AI$2:$AI$1001,MATCH(ROWS($AH$2:AH841),$AH$2:$AH$1001,0),1)&gt;=100000,INDEX($AO$1005:$BQ$1005,1,MATCH(COLUMNS($AO$1006:BD1006),$AO$1006:$BQ$1006,0))&gt;=100000), " ",IF(INDEX($AO$2:$BQ$1001,MATCH(ROWS($AH$2:AH841),$AH$2:$AH$1001,0),MATCH(COLUMNS($AO$1006:BD1006),$AO$1006:$BQ$1006,0)), HYPERLINK("#",""), HYPERLINK(CONCATENATE("#Metadata!", ADDRESS(INDEX($AJ$2:$AJ$1001,MATCH(ROWS($AH$2:AH841),$AH$2:$AH$1001,0),0), INDEX($AO$1004:$BQ$1004,1,MATCH(COLUMNS($AO$1006:BD1006),$AO$1006:$BQ$1006,0)))),"Fix")))</f>
        <v>#N/A</v>
      </c>
      <c r="R841" s="5" t="e">
        <f ca="1">IF(OR(INDEX($AI$2:$AI$1001,MATCH(ROWS($AH$2:AH841),$AH$2:$AH$1001,0),1)&gt;=100000,INDEX($AO$1005:$BQ$1005,1,MATCH(COLUMNS($AO$1006:BE1006),$AO$1006:$BQ$1006,0))&gt;=100000), " ",IF(INDEX($AO$2:$BQ$1001,MATCH(ROWS($AH$2:AH841),$AH$2:$AH$1001,0),MATCH(COLUMNS($AO$1006:BE1006),$AO$1006:$BQ$1006,0)), HYPERLINK("#",""), HYPERLINK(CONCATENATE("#Metadata!", ADDRESS(INDEX($AJ$2:$AJ$1001,MATCH(ROWS($AH$2:AH841),$AH$2:$AH$1001,0),0), INDEX($AO$1004:$BQ$1004,1,MATCH(COLUMNS($AO$1006:BE1006),$AO$1006:$BQ$1006,0)))),"Fix")))</f>
        <v>#N/A</v>
      </c>
      <c r="S841" s="5" t="e">
        <f ca="1">IF(OR(INDEX($AI$2:$AI$1001,MATCH(ROWS($AH$2:AH841),$AH$2:$AH$1001,0),1)&gt;=100000,INDEX($AO$1005:$BQ$1005,1,MATCH(COLUMNS($AO$1006:BF1006),$AO$1006:$BQ$1006,0))&gt;=100000), " ",IF(INDEX($AO$2:$BQ$1001,MATCH(ROWS($AH$2:AH841),$AH$2:$AH$1001,0),MATCH(COLUMNS($AO$1006:BF1006),$AO$1006:$BQ$1006,0)), HYPERLINK("#",""), HYPERLINK(CONCATENATE("#Metadata!", ADDRESS(INDEX($AJ$2:$AJ$1001,MATCH(ROWS($AH$2:AH841),$AH$2:$AH$1001,0),0), INDEX($AO$1004:$BQ$1004,1,MATCH(COLUMNS($AO$1006:BF1006),$AO$1006:$BQ$1006,0)))),"Fix")))</f>
        <v>#N/A</v>
      </c>
      <c r="T841" s="5" t="e">
        <f ca="1">IF(OR(INDEX($AI$2:$AI$1001,MATCH(ROWS($AH$2:AH841),$AH$2:$AH$1001,0),1)&gt;=100000,INDEX($AO$1005:$BQ$1005,1,MATCH(COLUMNS($AO$1006:BG1006),$AO$1006:$BQ$1006,0))&gt;=100000), " ",IF(INDEX($AO$2:$BQ$1001,MATCH(ROWS($AH$2:AH841),$AH$2:$AH$1001,0),MATCH(COLUMNS($AO$1006:BG1006),$AO$1006:$BQ$1006,0)), HYPERLINK("#",""), HYPERLINK(CONCATENATE("#Metadata!", ADDRESS(INDEX($AJ$2:$AJ$1001,MATCH(ROWS($AH$2:AH841),$AH$2:$AH$1001,0),0), INDEX($AO$1004:$BQ$1004,1,MATCH(COLUMNS($AO$1006:BG1006),$AO$1006:$BQ$1006,0)))),"Fix")))</f>
        <v>#N/A</v>
      </c>
      <c r="U841" s="5" t="e">
        <f ca="1">IF(OR(INDEX($AI$2:$AI$1001,MATCH(ROWS($AH$2:AH841),$AH$2:$AH$1001,0),1)&gt;=100000,INDEX($AO$1005:$BQ$1005,1,MATCH(COLUMNS($AO$1006:BH1006),$AO$1006:$BQ$1006,0))&gt;=100000), " ",IF(INDEX($AO$2:$BQ$1001,MATCH(ROWS($AH$2:AH841),$AH$2:$AH$1001,0),MATCH(COLUMNS($AO$1006:BH1006),$AO$1006:$BQ$1006,0)), HYPERLINK("#",""), HYPERLINK(CONCATENATE("#Metadata!", ADDRESS(INDEX($AJ$2:$AJ$1001,MATCH(ROWS($AH$2:AH841),$AH$2:$AH$1001,0),0), INDEX($AO$1004:$BQ$1004,1,MATCH(COLUMNS($AO$1006:BH1006),$AO$1006:$BQ$1006,0)))),"Fix")))</f>
        <v>#N/A</v>
      </c>
      <c r="V841" s="5" t="e">
        <f ca="1">IF(OR(INDEX($AI$2:$AI$1001,MATCH(ROWS($AH$2:AH841),$AH$2:$AH$1001,0),1)&gt;=100000,INDEX($AO$1005:$BQ$1005,1,MATCH(COLUMNS($AO$1006:BI1006),$AO$1006:$BQ$1006,0))&gt;=100000), " ",IF(INDEX($AO$2:$BQ$1001,MATCH(ROWS($AH$2:AH841),$AH$2:$AH$1001,0),MATCH(COLUMNS($AO$1006:BI1006),$AO$1006:$BQ$1006,0)), HYPERLINK("#",""), HYPERLINK(CONCATENATE("#Metadata!", ADDRESS(INDEX($AJ$2:$AJ$1001,MATCH(ROWS($AH$2:AH841),$AH$2:$AH$1001,0),0), INDEX($AO$1004:$BQ$1004,1,MATCH(COLUMNS($AO$1006:BI1006),$AO$1006:$BQ$1006,0)))),"Fix")))</f>
        <v>#N/A</v>
      </c>
      <c r="W841" s="5" t="e">
        <f ca="1">IF(OR(INDEX($AI$2:$AI$1001,MATCH(ROWS($AH$2:AH841),$AH$2:$AH$1001,0),1)&gt;=100000,INDEX($AO$1005:$BQ$1005,1,MATCH(COLUMNS($AO$1006:BJ1006),$AO$1006:$BQ$1006,0))&gt;=100000), " ",IF(INDEX($AO$2:$BQ$1001,MATCH(ROWS($AH$2:AH841),$AH$2:$AH$1001,0),MATCH(COLUMNS($AO$1006:BJ1006),$AO$1006:$BQ$1006,0)), HYPERLINK("#",""), HYPERLINK(CONCATENATE("#Metadata!", ADDRESS(INDEX($AJ$2:$AJ$1001,MATCH(ROWS($AH$2:AH841),$AH$2:$AH$1001,0),0), INDEX($AO$1004:$BQ$1004,1,MATCH(COLUMNS($AO$1006:BJ1006),$AO$1006:$BQ$1006,0)))),"Fix")))</f>
        <v>#N/A</v>
      </c>
      <c r="X841" s="5" t="e">
        <f ca="1">IF(OR(INDEX($AI$2:$AI$1001,MATCH(ROWS($AH$2:AH841),$AH$2:$AH$1001,0),1)&gt;=100000,INDEX($AO$1005:$BQ$1005,1,MATCH(COLUMNS($AO$1006:BK1006),$AO$1006:$BQ$1006,0))&gt;=100000), " ",IF(INDEX($AO$2:$BQ$1001,MATCH(ROWS($AH$2:AH841),$AH$2:$AH$1001,0),MATCH(COLUMNS($AO$1006:BK1006),$AO$1006:$BQ$1006,0)), HYPERLINK("#",""), HYPERLINK(CONCATENATE("#Metadata!", ADDRESS(INDEX($AJ$2:$AJ$1001,MATCH(ROWS($AH$2:AH841),$AH$2:$AH$1001,0),0), INDEX($AO$1004:$BQ$1004,1,MATCH(COLUMNS($AO$1006:BK1006),$AO$1006:$BQ$1006,0)))),"Fix")))</f>
        <v>#N/A</v>
      </c>
      <c r="Y841" s="5" t="e">
        <f ca="1">IF(OR(INDEX($AI$2:$AI$1001,MATCH(ROWS($AH$2:AH841),$AH$2:$AH$1001,0),1)&gt;=100000,INDEX($AO$1005:$BQ$1005,1,MATCH(COLUMNS($AO$1006:BL1006),$AO$1006:$BQ$1006,0))&gt;=100000), " ",IF(INDEX($AO$2:$BQ$1001,MATCH(ROWS($AH$2:AH841),$AH$2:$AH$1001,0),MATCH(COLUMNS($AO$1006:BL1006),$AO$1006:$BQ$1006,0)), HYPERLINK("#",""), HYPERLINK(CONCATENATE("#Metadata!", ADDRESS(INDEX($AJ$2:$AJ$1001,MATCH(ROWS($AH$2:AH841),$AH$2:$AH$1001,0),0), INDEX($AO$1004:$BQ$1004,1,MATCH(COLUMNS($AO$1006:BL1006),$AO$1006:$BQ$1006,0)))),"Fix")))</f>
        <v>#N/A</v>
      </c>
      <c r="Z841" s="5" t="e">
        <f ca="1">IF(OR(INDEX($AI$2:$AI$1001,MATCH(ROWS($AH$2:AH841),$AH$2:$AH$1001,0),1)&gt;=100000,INDEX($AO$1005:$BQ$1005,1,MATCH(COLUMNS($AO$1006:BM1006),$AO$1006:$BQ$1006,0))&gt;=100000), " ",IF(INDEX($AO$2:$BQ$1001,MATCH(ROWS($AH$2:AH841),$AH$2:$AH$1001,0),MATCH(COLUMNS($AO$1006:BM1006),$AO$1006:$BQ$1006,0)), HYPERLINK("#",""), HYPERLINK(CONCATENATE("#Metadata!", ADDRESS(INDEX($AJ$2:$AJ$1001,MATCH(ROWS($AH$2:AH841),$AH$2:$AH$1001,0),0), INDEX($AO$1004:$BQ$1004,1,MATCH(COLUMNS($AO$1006:BM1006),$AO$1006:$BQ$1006,0)))),"Fix")))</f>
        <v>#N/A</v>
      </c>
      <c r="AA841" s="5" t="e">
        <f ca="1">IF(OR(INDEX($AI$2:$AI$1001,MATCH(ROWS($AH$2:AH841),$AH$2:$AH$1001,0),1)&gt;=100000,INDEX($AO$1005:$BQ$1005,1,MATCH(COLUMNS($AO$1006:BN1006),$AO$1006:$BQ$1006,0))&gt;=100000), " ",IF(INDEX($AO$2:$BQ$1001,MATCH(ROWS($AH$2:AH841),$AH$2:$AH$1001,0),MATCH(COLUMNS($AO$1006:BN1006),$AO$1006:$BQ$1006,0)), HYPERLINK("#",""), HYPERLINK(CONCATENATE("#Metadata!", ADDRESS(INDEX($AJ$2:$AJ$1001,MATCH(ROWS($AH$2:AH841),$AH$2:$AH$1001,0),0), INDEX($AO$1004:$BQ$1004,1,MATCH(COLUMNS($AO$1006:BN1006),$AO$1006:$BQ$1006,0)))),"Fix")))</f>
        <v>#N/A</v>
      </c>
      <c r="AB841" s="5" t="e">
        <f ca="1">IF(OR(INDEX($AI$2:$AI$1001,MATCH(ROWS($AH$2:AH841),$AH$2:$AH$1001,0),1)&gt;=100000,INDEX($AO$1005:$BQ$1005,1,MATCH(COLUMNS($AO$1006:BO1006),$AO$1006:$BQ$1006,0))&gt;=100000), " ",IF(INDEX($AO$2:$BQ$1001,MATCH(ROWS($AH$2:AH841),$AH$2:$AH$1001,0),MATCH(COLUMNS($AO$1006:BO1006),$AO$1006:$BQ$1006,0)), HYPERLINK("#",""), HYPERLINK(CONCATENATE("#Metadata!", ADDRESS(INDEX($AJ$2:$AJ$1001,MATCH(ROWS($AH$2:AH841),$AH$2:$AH$1001,0),0), INDEX($AO$1004:$BQ$1004,1,MATCH(COLUMNS($AO$1006:BO1006),$AO$1006:$BQ$1006,0)))),"Fix")))</f>
        <v>#N/A</v>
      </c>
      <c r="AC841" s="5" t="e">
        <f ca="1">IF(OR(INDEX($AI$2:$AI$1001,MATCH(ROWS($AH$2:AH841),$AH$2:$AH$1001,0),1)&gt;=100000,INDEX($AO$1005:$BQ$1005,1,MATCH(COLUMNS($AO$1006:BP1006),$AO$1006:$BQ$1006,0))&gt;=100000), " ",IF(INDEX($AO$2:$BQ$1001,MATCH(ROWS($AH$2:AH841),$AH$2:$AH$1001,0),MATCH(COLUMNS($AO$1006:BP1006),$AO$1006:$BQ$1006,0)), HYPERLINK("#",""), HYPERLINK(CONCATENATE("#Metadata!", ADDRESS(INDEX($AJ$2:$AJ$1001,MATCH(ROWS($AH$2:AH841),$AH$2:$AH$1001,0),0), INDEX($AO$1004:$BQ$1004,1,MATCH(COLUMNS($AO$1006:BP1006),$AO$1006:$BQ$1006,0)))),"Fix")))</f>
        <v>#N/A</v>
      </c>
      <c r="AD841" s="5" t="e">
        <f ca="1">IF(OR(INDEX($AI$2:$AI$1001,MATCH(ROWS($AH$2:AH841),$AH$2:$AH$1001,0),1)&gt;=100000,INDEX($AO$1005:$BQ$1005,1,MATCH(COLUMNS($AO$1006:BQ1006),$AO$1006:$BQ$1006,0))&gt;=100000), " ",IF(INDEX($AO$2:$BQ$1001,MATCH(ROWS($AH$2:AH841),$AH$2:$AH$1001,0),MATCH(COLUMNS($AO$1006:BQ1006),$AO$1006:$BQ$1006,0)), HYPERLINK("#",""), HYPERLINK(CONCATENATE("#Metadata!", ADDRESS(INDEX($AJ$2:$AJ$1001,MATCH(ROWS($AH$2:AH841),$AH$2:$AH$1001,0),0), INDEX($AO$1004:$BQ$1004,1,MATCH(COLUMNS($AO$1006:BQ1006),$AO$1006:$BQ$1006,0)))),"Fix")))</f>
        <v>#REF!</v>
      </c>
      <c r="AH841">
        <f ca="1"/>
        <v>838</v>
      </c>
      <c r="AI841">
        <v>100841</v>
      </c>
      <c r="AJ841">
        <v>841</v>
      </c>
      <c r="AK841" t="b">
        <f t="shared" si="13"/>
        <v>1</v>
      </c>
      <c r="AL841" t="b">
        <f>COUNTBLANK(Metadata!B841:AD841)=COLUMNS(Metadata!B841:AD841)</f>
        <v>1</v>
      </c>
      <c r="AM841" t="str">
        <v/>
      </c>
      <c r="AO841" t="b">
        <f ca="1">AND(IF(Metadata!B841="",FALSE,TRUE),COUNTIF(Metadata!B:B, Metadata!B841) = 1,NOT(ISERROR(SUMPRODUCT(SEARCH(MID(Metadata!B841,ROW(INDIRECT("1:"&amp;LEN(Metadata!B841))), 1),"0123456789abcdefghijklmnopqrstuvwxyzABCDEFGHIJKLMNOPQRSTUVWXYZ.")))))</f>
        <v>0</v>
      </c>
      <c r="AP841" t="b">
        <f>IF(Metadata!C841="",FALSE,TRUE)</f>
        <v>0</v>
      </c>
      <c r="AQ841" t="b">
        <f>IF(Metadata!D841="",FALSE,TRUE)</f>
        <v>0</v>
      </c>
      <c r="AR841" t="b">
        <f ca="1">OR(AND(IF(Metadata!E841="",FALSE,TRUE),OR(EXACT(Metadata!E841,"not collected"),EXACT(Metadata!E841,"not provided"),EXACT(Metadata!E841,"restricted access"))),AND(IF(Metadata!E841="",FALSE,TRUE),AND(AND(IFERROR(INT(LEFT(Metadata!E841,4))&gt;1900,FALSE),IFERROR(INT(LEFT(Metadata!E841,4))&lt;=YEAR(NOW()),FALSE)), OR(MID(Metadata!E841,5,1)="", AND(AND(MID(Metadata!E841,5,1)="-",IFERROR(INT(MID(Metadata!E841,6,1))&gt;=0,FALSE),IFERROR(INT(MID(Metadata!E841,6,1))&lt;=1,FALSE),NOT(MID(Metadata!E841,7,1)=""),IFERROR(INT(MID(Metadata!E841,6,2))&gt;=1,FALSE),IFERROR(INT(MID(Metadata!E841,6,2))&lt;=12,FALSE)), OR(MID(Metadata!E841,8,1)="", AND(AND(MID(Metadata!E841,8,1)="-",IFERROR(INT(MID(Metadata!E841,9,1))&gt;=0,FALSE),IFERROR(INT(MID(Metadata!E841,9,1))&lt;=3,FALSE),NOT(MID(Metadata!E841,10,1)=""),IFERROR(INT(MID(Metadata!E841,9,2))&gt;=1,FALSE),IFERROR(INT(MID(Metadata!E841,9,2))&lt;=31,FALSE)), OR(MID(Metadata!E841,11,1)="", AND(AND(MID(Metadata!E841,11,1)=" ",IFERROR(INT(MID(Metadata!E841,12,1))&gt;=0,FALSE),IFERROR(INT(MID(Metadata!E841,12,1))&lt;=2,FALSE),NOT(MID(Metadata!E841,13,1)=""),IFERROR(INT(MID(Metadata!E841,12,2))&gt;=0,FALSE),IFERROR(INT(MID(Metadata!E841,12,2))&lt;=23,FALSE)), OR(MID(Metadata!E841,14,1)="", AND(AND(MID(Metadata!E841,14,1)=":",IFERROR(INT(MID(Metadata!E841,15,1))&gt;=0,FALSE),IFERROR(INT(MID(Metadata!E841,15,1))&lt;=5,FALSE),NOT(MID(Metadata!E841,16,1)=""),IFERROR(INT(MID(Metadata!E841,15,2))&gt;=0,FALSE),IFERROR(INT(MID(Metadata!E841,15,2))&lt;=59,FALSE)), OR(MID(Metadata!E841,17,1)="", AND(AND(MID(Metadata!E841,17,1)=":",IFERROR(INT(MID(Metadata!E841,18,1))&gt;=0,FALSE),IFERROR(INT(MID(Metadata!E841,18,1))&lt;=5,FALSE),NOT(MID(Metadata!E841,19,1)=""),IFERROR(INT(MID(Metadata!E841,18,2))&gt;=0,FALSE),IFERROR(INT(MID(Metadata!E841,18,2))&lt;=59,FALSE)), LEN(Metadata!E841)&lt;=19)))))))))))))</f>
        <v>0</v>
      </c>
      <c r="AS841" t="b">
        <f>IF(Metadata!F841="",FALSE,TRUE)</f>
        <v>0</v>
      </c>
      <c r="AT841" t="b">
        <f>OR(AND(IF(Metadata!G841="",FALSE,TRUE),OR(EXACT(Metadata!G841,"not collected"),EXACT(Metadata!G841,"not provided"))),AND(IF(Metadata!G841="",FALSE,TRUE),OR(EXACT(Metadata!G841,"TRUE"),EXACT(Metadata!G841,"FALSE"))))</f>
        <v>0</v>
      </c>
      <c r="AU841" t="b">
        <f>OR(AND(IF(Metadata!H841="",FALSE,TRUE),OR(EXACT(Metadata!H841,"not collected"),EXACT(Metadata!H841,"not provided"),EXACT(Metadata!H841,"restricted access"))),AND(IF(Metadata!H841="",FALSE,ISNUMBER(VALUE(Metadata!H841))),Metadata!H841&gt;=-413))</f>
        <v>0</v>
      </c>
      <c r="AV841" t="b">
        <f>AND(IF(Metadata!I841="",FALSE,TRUE),EXACT(Metadata!I841,"meters"))</f>
        <v>0</v>
      </c>
      <c r="AW841" t="b">
        <f>AND(IF(Metadata!J841="",FALSE,TRUE),EXACT(Metadata!J841,"free-living"))</f>
        <v>0</v>
      </c>
      <c r="AX841" t="b">
        <f>AND(IF(Metadata!K841="",FALSE,TRUE),OR(EXACT(Metadata!K841,"saline"),EXACT(Metadata!K841,"non-saline")))</f>
        <v>0</v>
      </c>
      <c r="AY841" t="b">
        <f>AND(IF(Metadata!L841="",FALSE,TRUE),OR(EXACT(Metadata!L841,"sub-surface (non-saline)"),EXACT(Metadata!L841,"surface (non-saline)"),EXACT(Metadata!L841,"water (non-saline)"),EXACT(Metadata!L841,"soil (non-saline)"),EXACT(Metadata!L841,"aerosol (non-saline)"),EXACT(Metadata!L841,"sediment (non-saline)"),EXACT(Metadata!L841,"surface (saline)"),EXACT(Metadata!L841,"water (saline)"),EXACT(Metadata!L841,"hypersaline (saline)"),EXACT(Metadata!L841,"aerosol (saline)"),EXACT(Metadata!L841,"sediment (saline)")))</f>
        <v>0</v>
      </c>
      <c r="AZ841" t="b">
        <f>IF(Metadata!M841="",FALSE,TRUE)</f>
        <v>0</v>
      </c>
      <c r="BA841" t="b">
        <f>IF(Metadata!N841="",FALSE,TRUE)</f>
        <v>0</v>
      </c>
      <c r="BB841" t="b">
        <f>IF(Metadata!O841="",FALSE,TRUE)</f>
        <v>0</v>
      </c>
      <c r="BC841" t="b">
        <f>AND(IF(Metadata!P841="",FALSE,TRUE),OR(EXACT(Metadata!P841,"air"),EXACT(Metadata!P841,"microbial mat/biofilm"),EXACT(Metadata!P841,"misc environment"),EXACT(Metadata!P841,"sediment"),EXACT(Metadata!P841,"soil"),EXACT(Metadata!P841,"wastewater/sludge"),EXACT(Metadata!P841,"water")))</f>
        <v>0</v>
      </c>
      <c r="BD841" t="b">
        <f>IF(Metadata!Q841="",FALSE,TRUE)</f>
        <v>0</v>
      </c>
      <c r="BE841" t="b">
        <f>IF(Metadata!R841="",FALSE,TRUE)</f>
        <v>0</v>
      </c>
      <c r="BF841" t="b">
        <f>OR(AND(IF(Metadata!S841="",FALSE,TRUE),OR(EXACT(Metadata!S841,"not collected"),EXACT(Metadata!S841,"not provided"),EXACT(Metadata!S841,"restricted access"))),AND(IF(Metadata!S841="",FALSE,ISNUMBER(VALUE(Metadata!S841))),Metadata!S841&gt;=-90,Metadata!S841&lt;=90))</f>
        <v>0</v>
      </c>
      <c r="BG841" t="b">
        <f>AND(IF(Metadata!T841="",FALSE,TRUE),EXACT(Metadata!T841,"Decimal degrees"))</f>
        <v>0</v>
      </c>
      <c r="BH841" t="b">
        <f>OR(AND(IF(Metadata!U841="",FALSE,TRUE),OR(EXACT(Metadata!U841,"not applicable"),EXACT(Metadata!U841,"not collected"))),IF(Metadata!U841="",FALSE,TRUE))</f>
        <v>0</v>
      </c>
      <c r="BI841" t="b">
        <f>OR(AND(IF(Metadata!V841="",FALSE,TRUE),OR(EXACT(Metadata!V841,"not collected"),EXACT(Metadata!V841,"not provided"),EXACT(Metadata!V841,"restricted access"))),AND(IF(Metadata!V841="",FALSE,ISNUMBER(VALUE(Metadata!V841))),Metadata!V841&gt;=-180,Metadata!V841&lt;=180))</f>
        <v>0</v>
      </c>
      <c r="BJ841" t="b">
        <f>AND(IF(Metadata!W841="",FALSE,TRUE),EXACT(Metadata!W841,"Decimal degrees"))</f>
        <v>0</v>
      </c>
      <c r="BK841" t="b">
        <f>IF(Metadata!X841="",FALSE,TRUE)</f>
        <v>0</v>
      </c>
      <c r="BL841" t="b">
        <f>OR(AND(IF(Metadata!Y841="",FALSE,TRUE),OR(EXACT(Metadata!Y841,"not collected"),EXACT(Metadata!Y841,"not provided"),EXACT(Metadata!Y841,"restricted access"))),AND(IF(Metadata!Y841="",FALSE,TRUE),OR(EXACT(Metadata!Y841,"TRUE"),EXACT(Metadata!Y841,"FALSE"))))</f>
        <v>0</v>
      </c>
      <c r="BM841" t="b">
        <f>OR(AND(IF(Metadata!Z841="",FALSE,TRUE),EXACT(Metadata!Z841,"not applicable")),AND(IF(Metadata!Z841="",FALSE,TRUE),OR(EXACT(Metadata!Z841,"beer"),EXACT(Metadata!Z841,"cheese"),EXACT(Metadata!Z841,"fresh water"),EXACT(Metadata!Z841,"marine sediment"),EXACT(Metadata!Z841,"sea water"),EXACT(Metadata!Z841,"sediment"),EXACT(Metadata!Z841,"soil"),EXACT(Metadata!Z841,"waste water"))))</f>
        <v>0</v>
      </c>
      <c r="BN841" t="b">
        <f>AND(IF(Metadata!AA841="",FALSE,TRUE),EXACT(Metadata!AA841,"metagenome"))</f>
        <v>0</v>
      </c>
      <c r="BO841" t="b">
        <f>AND(IF(Metadata!AB841="",FALSE,TRUE),EXACT(Metadata!AB841,"256318"))</f>
        <v>0</v>
      </c>
      <c r="BP841" t="b">
        <f>IF(Metadata!AC841="",FALSE,TRUE)</f>
        <v>0</v>
      </c>
      <c r="BQ841" t="b">
        <f>IF(Metadata!AD841="",FALSE,TRUE)</f>
        <v>0</v>
      </c>
    </row>
    <row r="842" spans="1:69" x14ac:dyDescent="0.2">
      <c r="A842" s="4" t="e">
        <f ca="1">IF(B842=" "," ",HYPERLINK(CONCATENATE("#metadata!",ADDRESS(INDEX($AJ$2:$AJ$1001,MATCH(ROWS($AH$2:AH842),$AH$2:$AH$1001,0),0),2)),INDEX($AM$2:$AM$1001,MATCH(ROWS($AH$2:AH842),$AH$2:$AH$1001,0),0)))</f>
        <v>#N/A</v>
      </c>
      <c r="B842" s="5" t="e">
        <f ca="1">IF(OR(INDEX($AI$2:$AI$1001,MATCH(ROWS($AH$2:AH842),$AH$2:$AH$1001,0),1)&gt;=100000,INDEX($AO$1005:$BQ$1005,1,MATCH(COLUMNS($AO$1006:AO1006),$AO$1006:$BQ$1006,0))&gt;=100000), " ",IF(INDEX($AO$2:$BQ$1001,MATCH(ROWS($AH$2:AH842),$AH$2:$AH$1001,0),MATCH(COLUMNS($AO$1006:AO1006),$AO$1006:$BQ$1006,0)), HYPERLINK("#",""), HYPERLINK(CONCATENATE("#Metadata!", ADDRESS(INDEX($AJ$2:$AJ$1001,MATCH(ROWS($AH$2:AH842),$AH$2:$AH$1001,0),0), INDEX($AO$1004:$BQ$1004,1,MATCH(COLUMNS($AO$1006:AO1006),$AO$1006:$BQ$1006,0)))),"Fix")))</f>
        <v>#N/A</v>
      </c>
      <c r="C842" s="5" t="e">
        <f ca="1">IF(OR(INDEX($AI$2:$AI$1001,MATCH(ROWS($AH$2:AH842),$AH$2:$AH$1001,0),1)&gt;=100000,INDEX($AO$1005:$BQ$1005,1,MATCH(COLUMNS($AO$1006:AP1006),$AO$1006:$BQ$1006,0))&gt;=100000), " ",IF(INDEX($AO$2:$BQ$1001,MATCH(ROWS($AH$2:AH842),$AH$2:$AH$1001,0),MATCH(COLUMNS($AO$1006:AP1006),$AO$1006:$BQ$1006,0)), HYPERLINK("#",""), HYPERLINK(CONCATENATE("#Metadata!", ADDRESS(INDEX($AJ$2:$AJ$1001,MATCH(ROWS($AH$2:AH842),$AH$2:$AH$1001,0),0), INDEX($AO$1004:$BQ$1004,1,MATCH(COLUMNS($AO$1006:AP1006),$AO$1006:$BQ$1006,0)))),"Fix")))</f>
        <v>#N/A</v>
      </c>
      <c r="D842" s="5" t="e">
        <f ca="1">IF(OR(INDEX($AI$2:$AI$1001,MATCH(ROWS($AH$2:AH842),$AH$2:$AH$1001,0),1)&gt;=100000,INDEX($AO$1005:$BQ$1005,1,MATCH(COLUMNS($AO$1006:AQ1006),$AO$1006:$BQ$1006,0))&gt;=100000), " ",IF(INDEX($AO$2:$BQ$1001,MATCH(ROWS($AH$2:AH842),$AH$2:$AH$1001,0),MATCH(COLUMNS($AO$1006:AQ1006),$AO$1006:$BQ$1006,0)), HYPERLINK("#",""), HYPERLINK(CONCATENATE("#Metadata!", ADDRESS(INDEX($AJ$2:$AJ$1001,MATCH(ROWS($AH$2:AH842),$AH$2:$AH$1001,0),0), INDEX($AO$1004:$BQ$1004,1,MATCH(COLUMNS($AO$1006:AQ1006),$AO$1006:$BQ$1006,0)))),"Fix")))</f>
        <v>#N/A</v>
      </c>
      <c r="E842" s="5" t="e">
        <f ca="1">IF(OR(INDEX($AI$2:$AI$1001,MATCH(ROWS($AH$2:AH842),$AH$2:$AH$1001,0),1)&gt;=100000,INDEX($AO$1005:$BQ$1005,1,MATCH(COLUMNS($AO$1006:AR1006),$AO$1006:$BQ$1006,0))&gt;=100000), " ",IF(INDEX($AO$2:$BQ$1001,MATCH(ROWS($AH$2:AH842),$AH$2:$AH$1001,0),MATCH(COLUMNS($AO$1006:AR1006),$AO$1006:$BQ$1006,0)), HYPERLINK("#",""), HYPERLINK(CONCATENATE("#Metadata!", ADDRESS(INDEX($AJ$2:$AJ$1001,MATCH(ROWS($AH$2:AH842),$AH$2:$AH$1001,0),0), INDEX($AO$1004:$BQ$1004,1,MATCH(COLUMNS($AO$1006:AR1006),$AO$1006:$BQ$1006,0)))),"Fix")))</f>
        <v>#N/A</v>
      </c>
      <c r="F842" s="5" t="e">
        <f ca="1">IF(OR(INDEX($AI$2:$AI$1001,MATCH(ROWS($AH$2:AH842),$AH$2:$AH$1001,0),1)&gt;=100000,INDEX($AO$1005:$BQ$1005,1,MATCH(COLUMNS($AO$1006:AS1006),$AO$1006:$BQ$1006,0))&gt;=100000), " ",IF(INDEX($AO$2:$BQ$1001,MATCH(ROWS($AH$2:AH842),$AH$2:$AH$1001,0),MATCH(COLUMNS($AO$1006:AS1006),$AO$1006:$BQ$1006,0)), HYPERLINK("#",""), HYPERLINK(CONCATENATE("#Metadata!", ADDRESS(INDEX($AJ$2:$AJ$1001,MATCH(ROWS($AH$2:AH842),$AH$2:$AH$1001,0),0), INDEX($AO$1004:$BQ$1004,1,MATCH(COLUMNS($AO$1006:AS1006),$AO$1006:$BQ$1006,0)))),"Fix")))</f>
        <v>#N/A</v>
      </c>
      <c r="G842" s="5" t="e">
        <f ca="1">IF(OR(INDEX($AI$2:$AI$1001,MATCH(ROWS($AH$2:AH842),$AH$2:$AH$1001,0),1)&gt;=100000,INDEX($AO$1005:$BQ$1005,1,MATCH(COLUMNS($AO$1006:AT1006),$AO$1006:$BQ$1006,0))&gt;=100000), " ",IF(INDEX($AO$2:$BQ$1001,MATCH(ROWS($AH$2:AH842),$AH$2:$AH$1001,0),MATCH(COLUMNS($AO$1006:AT1006),$AO$1006:$BQ$1006,0)), HYPERLINK("#",""), HYPERLINK(CONCATENATE("#Metadata!", ADDRESS(INDEX($AJ$2:$AJ$1001,MATCH(ROWS($AH$2:AH842),$AH$2:$AH$1001,0),0), INDEX($AO$1004:$BQ$1004,1,MATCH(COLUMNS($AO$1006:AT1006),$AO$1006:$BQ$1006,0)))),"Fix")))</f>
        <v>#N/A</v>
      </c>
      <c r="H842" s="5" t="e">
        <f ca="1">IF(OR(INDEX($AI$2:$AI$1001,MATCH(ROWS($AH$2:AH842),$AH$2:$AH$1001,0),1)&gt;=100000,INDEX($AO$1005:$BQ$1005,1,MATCH(COLUMNS($AO$1006:AU1006),$AO$1006:$BQ$1006,0))&gt;=100000), " ",IF(INDEX($AO$2:$BQ$1001,MATCH(ROWS($AH$2:AH842),$AH$2:$AH$1001,0),MATCH(COLUMNS($AO$1006:AU1006),$AO$1006:$BQ$1006,0)), HYPERLINK("#",""), HYPERLINK(CONCATENATE("#Metadata!", ADDRESS(INDEX($AJ$2:$AJ$1001,MATCH(ROWS($AH$2:AH842),$AH$2:$AH$1001,0),0), INDEX($AO$1004:$BQ$1004,1,MATCH(COLUMNS($AO$1006:AU1006),$AO$1006:$BQ$1006,0)))),"Fix")))</f>
        <v>#N/A</v>
      </c>
      <c r="I842" s="5" t="e">
        <f ca="1">IF(OR(INDEX($AI$2:$AI$1001,MATCH(ROWS($AH$2:AH842),$AH$2:$AH$1001,0),1)&gt;=100000,INDEX($AO$1005:$BQ$1005,1,MATCH(COLUMNS($AO$1006:AV1006),$AO$1006:$BQ$1006,0))&gt;=100000), " ",IF(INDEX($AO$2:$BQ$1001,MATCH(ROWS($AH$2:AH842),$AH$2:$AH$1001,0),MATCH(COLUMNS($AO$1006:AV1006),$AO$1006:$BQ$1006,0)), HYPERLINK("#",""), HYPERLINK(CONCATENATE("#Metadata!", ADDRESS(INDEX($AJ$2:$AJ$1001,MATCH(ROWS($AH$2:AH842),$AH$2:$AH$1001,0),0), INDEX($AO$1004:$BQ$1004,1,MATCH(COLUMNS($AO$1006:AV1006),$AO$1006:$BQ$1006,0)))),"Fix")))</f>
        <v>#N/A</v>
      </c>
      <c r="J842" s="5" t="e">
        <f ca="1">IF(OR(INDEX($AI$2:$AI$1001,MATCH(ROWS($AH$2:AH842),$AH$2:$AH$1001,0),1)&gt;=100000,INDEX($AO$1005:$BQ$1005,1,MATCH(COLUMNS($AO$1006:AW1006),$AO$1006:$BQ$1006,0))&gt;=100000), " ",IF(INDEX($AO$2:$BQ$1001,MATCH(ROWS($AH$2:AH842),$AH$2:$AH$1001,0),MATCH(COLUMNS($AO$1006:AW1006),$AO$1006:$BQ$1006,0)), HYPERLINK("#",""), HYPERLINK(CONCATENATE("#Metadata!", ADDRESS(INDEX($AJ$2:$AJ$1001,MATCH(ROWS($AH$2:AH842),$AH$2:$AH$1001,0),0), INDEX($AO$1004:$BQ$1004,1,MATCH(COLUMNS($AO$1006:AW1006),$AO$1006:$BQ$1006,0)))),"Fix")))</f>
        <v>#N/A</v>
      </c>
      <c r="K842" s="5" t="e">
        <f ca="1">IF(OR(INDEX($AI$2:$AI$1001,MATCH(ROWS($AH$2:AH842),$AH$2:$AH$1001,0),1)&gt;=100000,INDEX($AO$1005:$BQ$1005,1,MATCH(COLUMNS($AO$1006:AX1006),$AO$1006:$BQ$1006,0))&gt;=100000), " ",IF(INDEX($AO$2:$BQ$1001,MATCH(ROWS($AH$2:AH842),$AH$2:$AH$1001,0),MATCH(COLUMNS($AO$1006:AX1006),$AO$1006:$BQ$1006,0)), HYPERLINK("#",""), HYPERLINK(CONCATENATE("#Metadata!", ADDRESS(INDEX($AJ$2:$AJ$1001,MATCH(ROWS($AH$2:AH842),$AH$2:$AH$1001,0),0), INDEX($AO$1004:$BQ$1004,1,MATCH(COLUMNS($AO$1006:AX1006),$AO$1006:$BQ$1006,0)))),"Fix")))</f>
        <v>#N/A</v>
      </c>
      <c r="L842" s="5" t="e">
        <f ca="1">IF(OR(INDEX($AI$2:$AI$1001,MATCH(ROWS($AH$2:AH842),$AH$2:$AH$1001,0),1)&gt;=100000,INDEX($AO$1005:$BQ$1005,1,MATCH(COLUMNS($AO$1006:AY1006),$AO$1006:$BQ$1006,0))&gt;=100000), " ",IF(INDEX($AO$2:$BQ$1001,MATCH(ROWS($AH$2:AH842),$AH$2:$AH$1001,0),MATCH(COLUMNS($AO$1006:AY1006),$AO$1006:$BQ$1006,0)), HYPERLINK("#",""), HYPERLINK(CONCATENATE("#Metadata!", ADDRESS(INDEX($AJ$2:$AJ$1001,MATCH(ROWS($AH$2:AH842),$AH$2:$AH$1001,0),0), INDEX($AO$1004:$BQ$1004,1,MATCH(COLUMNS($AO$1006:AY1006),$AO$1006:$BQ$1006,0)))),"Fix")))</f>
        <v>#N/A</v>
      </c>
      <c r="M842" s="5" t="e">
        <f ca="1">IF(OR(INDEX($AI$2:$AI$1001,MATCH(ROWS($AH$2:AH842),$AH$2:$AH$1001,0),1)&gt;=100000,INDEX($AO$1005:$BQ$1005,1,MATCH(COLUMNS($AO$1006:AZ1006),$AO$1006:$BQ$1006,0))&gt;=100000), " ",IF(INDEX($AO$2:$BQ$1001,MATCH(ROWS($AH$2:AH842),$AH$2:$AH$1001,0),MATCH(COLUMNS($AO$1006:AZ1006),$AO$1006:$BQ$1006,0)), HYPERLINK("#",""), HYPERLINK(CONCATENATE("#Metadata!", ADDRESS(INDEX($AJ$2:$AJ$1001,MATCH(ROWS($AH$2:AH842),$AH$2:$AH$1001,0),0), INDEX($AO$1004:$BQ$1004,1,MATCH(COLUMNS($AO$1006:AZ1006),$AO$1006:$BQ$1006,0)))),"Fix")))</f>
        <v>#N/A</v>
      </c>
      <c r="N842" s="5" t="e">
        <f ca="1">IF(OR(INDEX($AI$2:$AI$1001,MATCH(ROWS($AH$2:AH842),$AH$2:$AH$1001,0),1)&gt;=100000,INDEX($AO$1005:$BQ$1005,1,MATCH(COLUMNS($AO$1006:BA1006),$AO$1006:$BQ$1006,0))&gt;=100000), " ",IF(INDEX($AO$2:$BQ$1001,MATCH(ROWS($AH$2:AH842),$AH$2:$AH$1001,0),MATCH(COLUMNS($AO$1006:BA1006),$AO$1006:$BQ$1006,0)), HYPERLINK("#",""), HYPERLINK(CONCATENATE("#Metadata!", ADDRESS(INDEX($AJ$2:$AJ$1001,MATCH(ROWS($AH$2:AH842),$AH$2:$AH$1001,0),0), INDEX($AO$1004:$BQ$1004,1,MATCH(COLUMNS($AO$1006:BA1006),$AO$1006:$BQ$1006,0)))),"Fix")))</f>
        <v>#N/A</v>
      </c>
      <c r="O842" s="5" t="e">
        <f ca="1">IF(OR(INDEX($AI$2:$AI$1001,MATCH(ROWS($AH$2:AH842),$AH$2:$AH$1001,0),1)&gt;=100000,INDEX($AO$1005:$BQ$1005,1,MATCH(COLUMNS($AO$1006:BB1006),$AO$1006:$BQ$1006,0))&gt;=100000), " ",IF(INDEX($AO$2:$BQ$1001,MATCH(ROWS($AH$2:AH842),$AH$2:$AH$1001,0),MATCH(COLUMNS($AO$1006:BB1006),$AO$1006:$BQ$1006,0)), HYPERLINK("#",""), HYPERLINK(CONCATENATE("#Metadata!", ADDRESS(INDEX($AJ$2:$AJ$1001,MATCH(ROWS($AH$2:AH842),$AH$2:$AH$1001,0),0), INDEX($AO$1004:$BQ$1004,1,MATCH(COLUMNS($AO$1006:BB1006),$AO$1006:$BQ$1006,0)))),"Fix")))</f>
        <v>#N/A</v>
      </c>
      <c r="P842" s="5" t="e">
        <f ca="1">IF(OR(INDEX($AI$2:$AI$1001,MATCH(ROWS($AH$2:AH842),$AH$2:$AH$1001,0),1)&gt;=100000,INDEX($AO$1005:$BQ$1005,1,MATCH(COLUMNS($AO$1006:BC1006),$AO$1006:$BQ$1006,0))&gt;=100000), " ",IF(INDEX($AO$2:$BQ$1001,MATCH(ROWS($AH$2:AH842),$AH$2:$AH$1001,0),MATCH(COLUMNS($AO$1006:BC1006),$AO$1006:$BQ$1006,0)), HYPERLINK("#",""), HYPERLINK(CONCATENATE("#Metadata!", ADDRESS(INDEX($AJ$2:$AJ$1001,MATCH(ROWS($AH$2:AH842),$AH$2:$AH$1001,0),0), INDEX($AO$1004:$BQ$1004,1,MATCH(COLUMNS($AO$1006:BC1006),$AO$1006:$BQ$1006,0)))),"Fix")))</f>
        <v>#N/A</v>
      </c>
      <c r="Q842" s="5" t="e">
        <f ca="1">IF(OR(INDEX($AI$2:$AI$1001,MATCH(ROWS($AH$2:AH842),$AH$2:$AH$1001,0),1)&gt;=100000,INDEX($AO$1005:$BQ$1005,1,MATCH(COLUMNS($AO$1006:BD1006),$AO$1006:$BQ$1006,0))&gt;=100000), " ",IF(INDEX($AO$2:$BQ$1001,MATCH(ROWS($AH$2:AH842),$AH$2:$AH$1001,0),MATCH(COLUMNS($AO$1006:BD1006),$AO$1006:$BQ$1006,0)), HYPERLINK("#",""), HYPERLINK(CONCATENATE("#Metadata!", ADDRESS(INDEX($AJ$2:$AJ$1001,MATCH(ROWS($AH$2:AH842),$AH$2:$AH$1001,0),0), INDEX($AO$1004:$BQ$1004,1,MATCH(COLUMNS($AO$1006:BD1006),$AO$1006:$BQ$1006,0)))),"Fix")))</f>
        <v>#N/A</v>
      </c>
      <c r="R842" s="5" t="e">
        <f ca="1">IF(OR(INDEX($AI$2:$AI$1001,MATCH(ROWS($AH$2:AH842),$AH$2:$AH$1001,0),1)&gt;=100000,INDEX($AO$1005:$BQ$1005,1,MATCH(COLUMNS($AO$1006:BE1006),$AO$1006:$BQ$1006,0))&gt;=100000), " ",IF(INDEX($AO$2:$BQ$1001,MATCH(ROWS($AH$2:AH842),$AH$2:$AH$1001,0),MATCH(COLUMNS($AO$1006:BE1006),$AO$1006:$BQ$1006,0)), HYPERLINK("#",""), HYPERLINK(CONCATENATE("#Metadata!", ADDRESS(INDEX($AJ$2:$AJ$1001,MATCH(ROWS($AH$2:AH842),$AH$2:$AH$1001,0),0), INDEX($AO$1004:$BQ$1004,1,MATCH(COLUMNS($AO$1006:BE1006),$AO$1006:$BQ$1006,0)))),"Fix")))</f>
        <v>#N/A</v>
      </c>
      <c r="S842" s="5" t="e">
        <f ca="1">IF(OR(INDEX($AI$2:$AI$1001,MATCH(ROWS($AH$2:AH842),$AH$2:$AH$1001,0),1)&gt;=100000,INDEX($AO$1005:$BQ$1005,1,MATCH(COLUMNS($AO$1006:BF1006),$AO$1006:$BQ$1006,0))&gt;=100000), " ",IF(INDEX($AO$2:$BQ$1001,MATCH(ROWS($AH$2:AH842),$AH$2:$AH$1001,0),MATCH(COLUMNS($AO$1006:BF1006),$AO$1006:$BQ$1006,0)), HYPERLINK("#",""), HYPERLINK(CONCATENATE("#Metadata!", ADDRESS(INDEX($AJ$2:$AJ$1001,MATCH(ROWS($AH$2:AH842),$AH$2:$AH$1001,0),0), INDEX($AO$1004:$BQ$1004,1,MATCH(COLUMNS($AO$1006:BF1006),$AO$1006:$BQ$1006,0)))),"Fix")))</f>
        <v>#N/A</v>
      </c>
      <c r="T842" s="5" t="e">
        <f ca="1">IF(OR(INDEX($AI$2:$AI$1001,MATCH(ROWS($AH$2:AH842),$AH$2:$AH$1001,0),1)&gt;=100000,INDEX($AO$1005:$BQ$1005,1,MATCH(COLUMNS($AO$1006:BG1006),$AO$1006:$BQ$1006,0))&gt;=100000), " ",IF(INDEX($AO$2:$BQ$1001,MATCH(ROWS($AH$2:AH842),$AH$2:$AH$1001,0),MATCH(COLUMNS($AO$1006:BG1006),$AO$1006:$BQ$1006,0)), HYPERLINK("#",""), HYPERLINK(CONCATENATE("#Metadata!", ADDRESS(INDEX($AJ$2:$AJ$1001,MATCH(ROWS($AH$2:AH842),$AH$2:$AH$1001,0),0), INDEX($AO$1004:$BQ$1004,1,MATCH(COLUMNS($AO$1006:BG1006),$AO$1006:$BQ$1006,0)))),"Fix")))</f>
        <v>#N/A</v>
      </c>
      <c r="U842" s="5" t="e">
        <f ca="1">IF(OR(INDEX($AI$2:$AI$1001,MATCH(ROWS($AH$2:AH842),$AH$2:$AH$1001,0),1)&gt;=100000,INDEX($AO$1005:$BQ$1005,1,MATCH(COLUMNS($AO$1006:BH1006),$AO$1006:$BQ$1006,0))&gt;=100000), " ",IF(INDEX($AO$2:$BQ$1001,MATCH(ROWS($AH$2:AH842),$AH$2:$AH$1001,0),MATCH(COLUMNS($AO$1006:BH1006),$AO$1006:$BQ$1006,0)), HYPERLINK("#",""), HYPERLINK(CONCATENATE("#Metadata!", ADDRESS(INDEX($AJ$2:$AJ$1001,MATCH(ROWS($AH$2:AH842),$AH$2:$AH$1001,0),0), INDEX($AO$1004:$BQ$1004,1,MATCH(COLUMNS($AO$1006:BH1006),$AO$1006:$BQ$1006,0)))),"Fix")))</f>
        <v>#N/A</v>
      </c>
      <c r="V842" s="5" t="e">
        <f ca="1">IF(OR(INDEX($AI$2:$AI$1001,MATCH(ROWS($AH$2:AH842),$AH$2:$AH$1001,0),1)&gt;=100000,INDEX($AO$1005:$BQ$1005,1,MATCH(COLUMNS($AO$1006:BI1006),$AO$1006:$BQ$1006,0))&gt;=100000), " ",IF(INDEX($AO$2:$BQ$1001,MATCH(ROWS($AH$2:AH842),$AH$2:$AH$1001,0),MATCH(COLUMNS($AO$1006:BI1006),$AO$1006:$BQ$1006,0)), HYPERLINK("#",""), HYPERLINK(CONCATENATE("#Metadata!", ADDRESS(INDEX($AJ$2:$AJ$1001,MATCH(ROWS($AH$2:AH842),$AH$2:$AH$1001,0),0), INDEX($AO$1004:$BQ$1004,1,MATCH(COLUMNS($AO$1006:BI1006),$AO$1006:$BQ$1006,0)))),"Fix")))</f>
        <v>#N/A</v>
      </c>
      <c r="W842" s="5" t="e">
        <f ca="1">IF(OR(INDEX($AI$2:$AI$1001,MATCH(ROWS($AH$2:AH842),$AH$2:$AH$1001,0),1)&gt;=100000,INDEX($AO$1005:$BQ$1005,1,MATCH(COLUMNS($AO$1006:BJ1006),$AO$1006:$BQ$1006,0))&gt;=100000), " ",IF(INDEX($AO$2:$BQ$1001,MATCH(ROWS($AH$2:AH842),$AH$2:$AH$1001,0),MATCH(COLUMNS($AO$1006:BJ1006),$AO$1006:$BQ$1006,0)), HYPERLINK("#",""), HYPERLINK(CONCATENATE("#Metadata!", ADDRESS(INDEX($AJ$2:$AJ$1001,MATCH(ROWS($AH$2:AH842),$AH$2:$AH$1001,0),0), INDEX($AO$1004:$BQ$1004,1,MATCH(COLUMNS($AO$1006:BJ1006),$AO$1006:$BQ$1006,0)))),"Fix")))</f>
        <v>#N/A</v>
      </c>
      <c r="X842" s="5" t="e">
        <f ca="1">IF(OR(INDEX($AI$2:$AI$1001,MATCH(ROWS($AH$2:AH842),$AH$2:$AH$1001,0),1)&gt;=100000,INDEX($AO$1005:$BQ$1005,1,MATCH(COLUMNS($AO$1006:BK1006),$AO$1006:$BQ$1006,0))&gt;=100000), " ",IF(INDEX($AO$2:$BQ$1001,MATCH(ROWS($AH$2:AH842),$AH$2:$AH$1001,0),MATCH(COLUMNS($AO$1006:BK1006),$AO$1006:$BQ$1006,0)), HYPERLINK("#",""), HYPERLINK(CONCATENATE("#Metadata!", ADDRESS(INDEX($AJ$2:$AJ$1001,MATCH(ROWS($AH$2:AH842),$AH$2:$AH$1001,0),0), INDEX($AO$1004:$BQ$1004,1,MATCH(COLUMNS($AO$1006:BK1006),$AO$1006:$BQ$1006,0)))),"Fix")))</f>
        <v>#N/A</v>
      </c>
      <c r="Y842" s="5" t="e">
        <f ca="1">IF(OR(INDEX($AI$2:$AI$1001,MATCH(ROWS($AH$2:AH842),$AH$2:$AH$1001,0),1)&gt;=100000,INDEX($AO$1005:$BQ$1005,1,MATCH(COLUMNS($AO$1006:BL1006),$AO$1006:$BQ$1006,0))&gt;=100000), " ",IF(INDEX($AO$2:$BQ$1001,MATCH(ROWS($AH$2:AH842),$AH$2:$AH$1001,0),MATCH(COLUMNS($AO$1006:BL1006),$AO$1006:$BQ$1006,0)), HYPERLINK("#",""), HYPERLINK(CONCATENATE("#Metadata!", ADDRESS(INDEX($AJ$2:$AJ$1001,MATCH(ROWS($AH$2:AH842),$AH$2:$AH$1001,0),0), INDEX($AO$1004:$BQ$1004,1,MATCH(COLUMNS($AO$1006:BL1006),$AO$1006:$BQ$1006,0)))),"Fix")))</f>
        <v>#N/A</v>
      </c>
      <c r="Z842" s="5" t="e">
        <f ca="1">IF(OR(INDEX($AI$2:$AI$1001,MATCH(ROWS($AH$2:AH842),$AH$2:$AH$1001,0),1)&gt;=100000,INDEX($AO$1005:$BQ$1005,1,MATCH(COLUMNS($AO$1006:BM1006),$AO$1006:$BQ$1006,0))&gt;=100000), " ",IF(INDEX($AO$2:$BQ$1001,MATCH(ROWS($AH$2:AH842),$AH$2:$AH$1001,0),MATCH(COLUMNS($AO$1006:BM1006),$AO$1006:$BQ$1006,0)), HYPERLINK("#",""), HYPERLINK(CONCATENATE("#Metadata!", ADDRESS(INDEX($AJ$2:$AJ$1001,MATCH(ROWS($AH$2:AH842),$AH$2:$AH$1001,0),0), INDEX($AO$1004:$BQ$1004,1,MATCH(COLUMNS($AO$1006:BM1006),$AO$1006:$BQ$1006,0)))),"Fix")))</f>
        <v>#N/A</v>
      </c>
      <c r="AA842" s="5" t="e">
        <f ca="1">IF(OR(INDEX($AI$2:$AI$1001,MATCH(ROWS($AH$2:AH842),$AH$2:$AH$1001,0),1)&gt;=100000,INDEX($AO$1005:$BQ$1005,1,MATCH(COLUMNS($AO$1006:BN1006),$AO$1006:$BQ$1006,0))&gt;=100000), " ",IF(INDEX($AO$2:$BQ$1001,MATCH(ROWS($AH$2:AH842),$AH$2:$AH$1001,0),MATCH(COLUMNS($AO$1006:BN1006),$AO$1006:$BQ$1006,0)), HYPERLINK("#",""), HYPERLINK(CONCATENATE("#Metadata!", ADDRESS(INDEX($AJ$2:$AJ$1001,MATCH(ROWS($AH$2:AH842),$AH$2:$AH$1001,0),0), INDEX($AO$1004:$BQ$1004,1,MATCH(COLUMNS($AO$1006:BN1006),$AO$1006:$BQ$1006,0)))),"Fix")))</f>
        <v>#N/A</v>
      </c>
      <c r="AB842" s="5" t="e">
        <f ca="1">IF(OR(INDEX($AI$2:$AI$1001,MATCH(ROWS($AH$2:AH842),$AH$2:$AH$1001,0),1)&gt;=100000,INDEX($AO$1005:$BQ$1005,1,MATCH(COLUMNS($AO$1006:BO1006),$AO$1006:$BQ$1006,0))&gt;=100000), " ",IF(INDEX($AO$2:$BQ$1001,MATCH(ROWS($AH$2:AH842),$AH$2:$AH$1001,0),MATCH(COLUMNS($AO$1006:BO1006),$AO$1006:$BQ$1006,0)), HYPERLINK("#",""), HYPERLINK(CONCATENATE("#Metadata!", ADDRESS(INDEX($AJ$2:$AJ$1001,MATCH(ROWS($AH$2:AH842),$AH$2:$AH$1001,0),0), INDEX($AO$1004:$BQ$1004,1,MATCH(COLUMNS($AO$1006:BO1006),$AO$1006:$BQ$1006,0)))),"Fix")))</f>
        <v>#N/A</v>
      </c>
      <c r="AC842" s="5" t="e">
        <f ca="1">IF(OR(INDEX($AI$2:$AI$1001,MATCH(ROWS($AH$2:AH842),$AH$2:$AH$1001,0),1)&gt;=100000,INDEX($AO$1005:$BQ$1005,1,MATCH(COLUMNS($AO$1006:BP1006),$AO$1006:$BQ$1006,0))&gt;=100000), " ",IF(INDEX($AO$2:$BQ$1001,MATCH(ROWS($AH$2:AH842),$AH$2:$AH$1001,0),MATCH(COLUMNS($AO$1006:BP1006),$AO$1006:$BQ$1006,0)), HYPERLINK("#",""), HYPERLINK(CONCATENATE("#Metadata!", ADDRESS(INDEX($AJ$2:$AJ$1001,MATCH(ROWS($AH$2:AH842),$AH$2:$AH$1001,0),0), INDEX($AO$1004:$BQ$1004,1,MATCH(COLUMNS($AO$1006:BP1006),$AO$1006:$BQ$1006,0)))),"Fix")))</f>
        <v>#N/A</v>
      </c>
      <c r="AD842" s="5" t="e">
        <f ca="1">IF(OR(INDEX($AI$2:$AI$1001,MATCH(ROWS($AH$2:AH842),$AH$2:$AH$1001,0),1)&gt;=100000,INDEX($AO$1005:$BQ$1005,1,MATCH(COLUMNS($AO$1006:BQ1006),$AO$1006:$BQ$1006,0))&gt;=100000), " ",IF(INDEX($AO$2:$BQ$1001,MATCH(ROWS($AH$2:AH842),$AH$2:$AH$1001,0),MATCH(COLUMNS($AO$1006:BQ1006),$AO$1006:$BQ$1006,0)), HYPERLINK("#",""), HYPERLINK(CONCATENATE("#Metadata!", ADDRESS(INDEX($AJ$2:$AJ$1001,MATCH(ROWS($AH$2:AH842),$AH$2:$AH$1001,0),0), INDEX($AO$1004:$BQ$1004,1,MATCH(COLUMNS($AO$1006:BQ1006),$AO$1006:$BQ$1006,0)))),"Fix")))</f>
        <v>#REF!</v>
      </c>
      <c r="AH842">
        <f ca="1"/>
        <v>839</v>
      </c>
      <c r="AI842">
        <v>100842</v>
      </c>
      <c r="AJ842">
        <v>842</v>
      </c>
      <c r="AK842" t="b">
        <f t="shared" si="13"/>
        <v>1</v>
      </c>
      <c r="AL842" t="b">
        <f>COUNTBLANK(Metadata!B842:AD842)=COLUMNS(Metadata!B842:AD842)</f>
        <v>1</v>
      </c>
      <c r="AM842" t="str">
        <v/>
      </c>
      <c r="AO842" t="b">
        <f ca="1">AND(IF(Metadata!B842="",FALSE,TRUE),COUNTIF(Metadata!B:B, Metadata!B842) = 1,NOT(ISERROR(SUMPRODUCT(SEARCH(MID(Metadata!B842,ROW(INDIRECT("1:"&amp;LEN(Metadata!B842))), 1),"0123456789abcdefghijklmnopqrstuvwxyzABCDEFGHIJKLMNOPQRSTUVWXYZ.")))))</f>
        <v>0</v>
      </c>
      <c r="AP842" t="b">
        <f>IF(Metadata!C842="",FALSE,TRUE)</f>
        <v>0</v>
      </c>
      <c r="AQ842" t="b">
        <f>IF(Metadata!D842="",FALSE,TRUE)</f>
        <v>0</v>
      </c>
      <c r="AR842" t="b">
        <f ca="1">OR(AND(IF(Metadata!E842="",FALSE,TRUE),OR(EXACT(Metadata!E842,"not collected"),EXACT(Metadata!E842,"not provided"),EXACT(Metadata!E842,"restricted access"))),AND(IF(Metadata!E842="",FALSE,TRUE),AND(AND(IFERROR(INT(LEFT(Metadata!E842,4))&gt;1900,FALSE),IFERROR(INT(LEFT(Metadata!E842,4))&lt;=YEAR(NOW()),FALSE)), OR(MID(Metadata!E842,5,1)="", AND(AND(MID(Metadata!E842,5,1)="-",IFERROR(INT(MID(Metadata!E842,6,1))&gt;=0,FALSE),IFERROR(INT(MID(Metadata!E842,6,1))&lt;=1,FALSE),NOT(MID(Metadata!E842,7,1)=""),IFERROR(INT(MID(Metadata!E842,6,2))&gt;=1,FALSE),IFERROR(INT(MID(Metadata!E842,6,2))&lt;=12,FALSE)), OR(MID(Metadata!E842,8,1)="", AND(AND(MID(Metadata!E842,8,1)="-",IFERROR(INT(MID(Metadata!E842,9,1))&gt;=0,FALSE),IFERROR(INT(MID(Metadata!E842,9,1))&lt;=3,FALSE),NOT(MID(Metadata!E842,10,1)=""),IFERROR(INT(MID(Metadata!E842,9,2))&gt;=1,FALSE),IFERROR(INT(MID(Metadata!E842,9,2))&lt;=31,FALSE)), OR(MID(Metadata!E842,11,1)="", AND(AND(MID(Metadata!E842,11,1)=" ",IFERROR(INT(MID(Metadata!E842,12,1))&gt;=0,FALSE),IFERROR(INT(MID(Metadata!E842,12,1))&lt;=2,FALSE),NOT(MID(Metadata!E842,13,1)=""),IFERROR(INT(MID(Metadata!E842,12,2))&gt;=0,FALSE),IFERROR(INT(MID(Metadata!E842,12,2))&lt;=23,FALSE)), OR(MID(Metadata!E842,14,1)="", AND(AND(MID(Metadata!E842,14,1)=":",IFERROR(INT(MID(Metadata!E842,15,1))&gt;=0,FALSE),IFERROR(INT(MID(Metadata!E842,15,1))&lt;=5,FALSE),NOT(MID(Metadata!E842,16,1)=""),IFERROR(INT(MID(Metadata!E842,15,2))&gt;=0,FALSE),IFERROR(INT(MID(Metadata!E842,15,2))&lt;=59,FALSE)), OR(MID(Metadata!E842,17,1)="", AND(AND(MID(Metadata!E842,17,1)=":",IFERROR(INT(MID(Metadata!E842,18,1))&gt;=0,FALSE),IFERROR(INT(MID(Metadata!E842,18,1))&lt;=5,FALSE),NOT(MID(Metadata!E842,19,1)=""),IFERROR(INT(MID(Metadata!E842,18,2))&gt;=0,FALSE),IFERROR(INT(MID(Metadata!E842,18,2))&lt;=59,FALSE)), LEN(Metadata!E842)&lt;=19)))))))))))))</f>
        <v>0</v>
      </c>
      <c r="AS842" t="b">
        <f>IF(Metadata!F842="",FALSE,TRUE)</f>
        <v>0</v>
      </c>
      <c r="AT842" t="b">
        <f>OR(AND(IF(Metadata!G842="",FALSE,TRUE),OR(EXACT(Metadata!G842,"not collected"),EXACT(Metadata!G842,"not provided"))),AND(IF(Metadata!G842="",FALSE,TRUE),OR(EXACT(Metadata!G842,"TRUE"),EXACT(Metadata!G842,"FALSE"))))</f>
        <v>0</v>
      </c>
      <c r="AU842" t="b">
        <f>OR(AND(IF(Metadata!H842="",FALSE,TRUE),OR(EXACT(Metadata!H842,"not collected"),EXACT(Metadata!H842,"not provided"),EXACT(Metadata!H842,"restricted access"))),AND(IF(Metadata!H842="",FALSE,ISNUMBER(VALUE(Metadata!H842))),Metadata!H842&gt;=-413))</f>
        <v>0</v>
      </c>
      <c r="AV842" t="b">
        <f>AND(IF(Metadata!I842="",FALSE,TRUE),EXACT(Metadata!I842,"meters"))</f>
        <v>0</v>
      </c>
      <c r="AW842" t="b">
        <f>AND(IF(Metadata!J842="",FALSE,TRUE),EXACT(Metadata!J842,"free-living"))</f>
        <v>0</v>
      </c>
      <c r="AX842" t="b">
        <f>AND(IF(Metadata!K842="",FALSE,TRUE),OR(EXACT(Metadata!K842,"saline"),EXACT(Metadata!K842,"non-saline")))</f>
        <v>0</v>
      </c>
      <c r="AY842" t="b">
        <f>AND(IF(Metadata!L842="",FALSE,TRUE),OR(EXACT(Metadata!L842,"sub-surface (non-saline)"),EXACT(Metadata!L842,"surface (non-saline)"),EXACT(Metadata!L842,"water (non-saline)"),EXACT(Metadata!L842,"soil (non-saline)"),EXACT(Metadata!L842,"aerosol (non-saline)"),EXACT(Metadata!L842,"sediment (non-saline)"),EXACT(Metadata!L842,"surface (saline)"),EXACT(Metadata!L842,"water (saline)"),EXACT(Metadata!L842,"hypersaline (saline)"),EXACT(Metadata!L842,"aerosol (saline)"),EXACT(Metadata!L842,"sediment (saline)")))</f>
        <v>0</v>
      </c>
      <c r="AZ842" t="b">
        <f>IF(Metadata!M842="",FALSE,TRUE)</f>
        <v>0</v>
      </c>
      <c r="BA842" t="b">
        <f>IF(Metadata!N842="",FALSE,TRUE)</f>
        <v>0</v>
      </c>
      <c r="BB842" t="b">
        <f>IF(Metadata!O842="",FALSE,TRUE)</f>
        <v>0</v>
      </c>
      <c r="BC842" t="b">
        <f>AND(IF(Metadata!P842="",FALSE,TRUE),OR(EXACT(Metadata!P842,"air"),EXACT(Metadata!P842,"microbial mat/biofilm"),EXACT(Metadata!P842,"misc environment"),EXACT(Metadata!P842,"sediment"),EXACT(Metadata!P842,"soil"),EXACT(Metadata!P842,"wastewater/sludge"),EXACT(Metadata!P842,"water")))</f>
        <v>0</v>
      </c>
      <c r="BD842" t="b">
        <f>IF(Metadata!Q842="",FALSE,TRUE)</f>
        <v>0</v>
      </c>
      <c r="BE842" t="b">
        <f>IF(Metadata!R842="",FALSE,TRUE)</f>
        <v>0</v>
      </c>
      <c r="BF842" t="b">
        <f>OR(AND(IF(Metadata!S842="",FALSE,TRUE),OR(EXACT(Metadata!S842,"not collected"),EXACT(Metadata!S842,"not provided"),EXACT(Metadata!S842,"restricted access"))),AND(IF(Metadata!S842="",FALSE,ISNUMBER(VALUE(Metadata!S842))),Metadata!S842&gt;=-90,Metadata!S842&lt;=90))</f>
        <v>0</v>
      </c>
      <c r="BG842" t="b">
        <f>AND(IF(Metadata!T842="",FALSE,TRUE),EXACT(Metadata!T842,"Decimal degrees"))</f>
        <v>0</v>
      </c>
      <c r="BH842" t="b">
        <f>OR(AND(IF(Metadata!U842="",FALSE,TRUE),OR(EXACT(Metadata!U842,"not applicable"),EXACT(Metadata!U842,"not collected"))),IF(Metadata!U842="",FALSE,TRUE))</f>
        <v>0</v>
      </c>
      <c r="BI842" t="b">
        <f>OR(AND(IF(Metadata!V842="",FALSE,TRUE),OR(EXACT(Metadata!V842,"not collected"),EXACT(Metadata!V842,"not provided"),EXACT(Metadata!V842,"restricted access"))),AND(IF(Metadata!V842="",FALSE,ISNUMBER(VALUE(Metadata!V842))),Metadata!V842&gt;=-180,Metadata!V842&lt;=180))</f>
        <v>0</v>
      </c>
      <c r="BJ842" t="b">
        <f>AND(IF(Metadata!W842="",FALSE,TRUE),EXACT(Metadata!W842,"Decimal degrees"))</f>
        <v>0</v>
      </c>
      <c r="BK842" t="b">
        <f>IF(Metadata!X842="",FALSE,TRUE)</f>
        <v>0</v>
      </c>
      <c r="BL842" t="b">
        <f>OR(AND(IF(Metadata!Y842="",FALSE,TRUE),OR(EXACT(Metadata!Y842,"not collected"),EXACT(Metadata!Y842,"not provided"),EXACT(Metadata!Y842,"restricted access"))),AND(IF(Metadata!Y842="",FALSE,TRUE),OR(EXACT(Metadata!Y842,"TRUE"),EXACT(Metadata!Y842,"FALSE"))))</f>
        <v>0</v>
      </c>
      <c r="BM842" t="b">
        <f>OR(AND(IF(Metadata!Z842="",FALSE,TRUE),EXACT(Metadata!Z842,"not applicable")),AND(IF(Metadata!Z842="",FALSE,TRUE),OR(EXACT(Metadata!Z842,"beer"),EXACT(Metadata!Z842,"cheese"),EXACT(Metadata!Z842,"fresh water"),EXACT(Metadata!Z842,"marine sediment"),EXACT(Metadata!Z842,"sea water"),EXACT(Metadata!Z842,"sediment"),EXACT(Metadata!Z842,"soil"),EXACT(Metadata!Z842,"waste water"))))</f>
        <v>0</v>
      </c>
      <c r="BN842" t="b">
        <f>AND(IF(Metadata!AA842="",FALSE,TRUE),EXACT(Metadata!AA842,"metagenome"))</f>
        <v>0</v>
      </c>
      <c r="BO842" t="b">
        <f>AND(IF(Metadata!AB842="",FALSE,TRUE),EXACT(Metadata!AB842,"256318"))</f>
        <v>0</v>
      </c>
      <c r="BP842" t="b">
        <f>IF(Metadata!AC842="",FALSE,TRUE)</f>
        <v>0</v>
      </c>
      <c r="BQ842" t="b">
        <f>IF(Metadata!AD842="",FALSE,TRUE)</f>
        <v>0</v>
      </c>
    </row>
    <row r="843" spans="1:69" x14ac:dyDescent="0.2">
      <c r="A843" s="4" t="e">
        <f ca="1">IF(B843=" "," ",HYPERLINK(CONCATENATE("#metadata!",ADDRESS(INDEX($AJ$2:$AJ$1001,MATCH(ROWS($AH$2:AH843),$AH$2:$AH$1001,0),0),2)),INDEX($AM$2:$AM$1001,MATCH(ROWS($AH$2:AH843),$AH$2:$AH$1001,0),0)))</f>
        <v>#N/A</v>
      </c>
      <c r="B843" s="5" t="e">
        <f ca="1">IF(OR(INDEX($AI$2:$AI$1001,MATCH(ROWS($AH$2:AH843),$AH$2:$AH$1001,0),1)&gt;=100000,INDEX($AO$1005:$BQ$1005,1,MATCH(COLUMNS($AO$1006:AO1006),$AO$1006:$BQ$1006,0))&gt;=100000), " ",IF(INDEX($AO$2:$BQ$1001,MATCH(ROWS($AH$2:AH843),$AH$2:$AH$1001,0),MATCH(COLUMNS($AO$1006:AO1006),$AO$1006:$BQ$1006,0)), HYPERLINK("#",""), HYPERLINK(CONCATENATE("#Metadata!", ADDRESS(INDEX($AJ$2:$AJ$1001,MATCH(ROWS($AH$2:AH843),$AH$2:$AH$1001,0),0), INDEX($AO$1004:$BQ$1004,1,MATCH(COLUMNS($AO$1006:AO1006),$AO$1006:$BQ$1006,0)))),"Fix")))</f>
        <v>#N/A</v>
      </c>
      <c r="C843" s="5" t="e">
        <f ca="1">IF(OR(INDEX($AI$2:$AI$1001,MATCH(ROWS($AH$2:AH843),$AH$2:$AH$1001,0),1)&gt;=100000,INDEX($AO$1005:$BQ$1005,1,MATCH(COLUMNS($AO$1006:AP1006),$AO$1006:$BQ$1006,0))&gt;=100000), " ",IF(INDEX($AO$2:$BQ$1001,MATCH(ROWS($AH$2:AH843),$AH$2:$AH$1001,0),MATCH(COLUMNS($AO$1006:AP1006),$AO$1006:$BQ$1006,0)), HYPERLINK("#",""), HYPERLINK(CONCATENATE("#Metadata!", ADDRESS(INDEX($AJ$2:$AJ$1001,MATCH(ROWS($AH$2:AH843),$AH$2:$AH$1001,0),0), INDEX($AO$1004:$BQ$1004,1,MATCH(COLUMNS($AO$1006:AP1006),$AO$1006:$BQ$1006,0)))),"Fix")))</f>
        <v>#N/A</v>
      </c>
      <c r="D843" s="5" t="e">
        <f ca="1">IF(OR(INDEX($AI$2:$AI$1001,MATCH(ROWS($AH$2:AH843),$AH$2:$AH$1001,0),1)&gt;=100000,INDEX($AO$1005:$BQ$1005,1,MATCH(COLUMNS($AO$1006:AQ1006),$AO$1006:$BQ$1006,0))&gt;=100000), " ",IF(INDEX($AO$2:$BQ$1001,MATCH(ROWS($AH$2:AH843),$AH$2:$AH$1001,0),MATCH(COLUMNS($AO$1006:AQ1006),$AO$1006:$BQ$1006,0)), HYPERLINK("#",""), HYPERLINK(CONCATENATE("#Metadata!", ADDRESS(INDEX($AJ$2:$AJ$1001,MATCH(ROWS($AH$2:AH843),$AH$2:$AH$1001,0),0), INDEX($AO$1004:$BQ$1004,1,MATCH(COLUMNS($AO$1006:AQ1006),$AO$1006:$BQ$1006,0)))),"Fix")))</f>
        <v>#N/A</v>
      </c>
      <c r="E843" s="5" t="e">
        <f ca="1">IF(OR(INDEX($AI$2:$AI$1001,MATCH(ROWS($AH$2:AH843),$AH$2:$AH$1001,0),1)&gt;=100000,INDEX($AO$1005:$BQ$1005,1,MATCH(COLUMNS($AO$1006:AR1006),$AO$1006:$BQ$1006,0))&gt;=100000), " ",IF(INDEX($AO$2:$BQ$1001,MATCH(ROWS($AH$2:AH843),$AH$2:$AH$1001,0),MATCH(COLUMNS($AO$1006:AR1006),$AO$1006:$BQ$1006,0)), HYPERLINK("#",""), HYPERLINK(CONCATENATE("#Metadata!", ADDRESS(INDEX($AJ$2:$AJ$1001,MATCH(ROWS($AH$2:AH843),$AH$2:$AH$1001,0),0), INDEX($AO$1004:$BQ$1004,1,MATCH(COLUMNS($AO$1006:AR1006),$AO$1006:$BQ$1006,0)))),"Fix")))</f>
        <v>#N/A</v>
      </c>
      <c r="F843" s="5" t="e">
        <f ca="1">IF(OR(INDEX($AI$2:$AI$1001,MATCH(ROWS($AH$2:AH843),$AH$2:$AH$1001,0),1)&gt;=100000,INDEX($AO$1005:$BQ$1005,1,MATCH(COLUMNS($AO$1006:AS1006),$AO$1006:$BQ$1006,0))&gt;=100000), " ",IF(INDEX($AO$2:$BQ$1001,MATCH(ROWS($AH$2:AH843),$AH$2:$AH$1001,0),MATCH(COLUMNS($AO$1006:AS1006),$AO$1006:$BQ$1006,0)), HYPERLINK("#",""), HYPERLINK(CONCATENATE("#Metadata!", ADDRESS(INDEX($AJ$2:$AJ$1001,MATCH(ROWS($AH$2:AH843),$AH$2:$AH$1001,0),0), INDEX($AO$1004:$BQ$1004,1,MATCH(COLUMNS($AO$1006:AS1006),$AO$1006:$BQ$1006,0)))),"Fix")))</f>
        <v>#N/A</v>
      </c>
      <c r="G843" s="5" t="e">
        <f ca="1">IF(OR(INDEX($AI$2:$AI$1001,MATCH(ROWS($AH$2:AH843),$AH$2:$AH$1001,0),1)&gt;=100000,INDEX($AO$1005:$BQ$1005,1,MATCH(COLUMNS($AO$1006:AT1006),$AO$1006:$BQ$1006,0))&gt;=100000), " ",IF(INDEX($AO$2:$BQ$1001,MATCH(ROWS($AH$2:AH843),$AH$2:$AH$1001,0),MATCH(COLUMNS($AO$1006:AT1006),$AO$1006:$BQ$1006,0)), HYPERLINK("#",""), HYPERLINK(CONCATENATE("#Metadata!", ADDRESS(INDEX($AJ$2:$AJ$1001,MATCH(ROWS($AH$2:AH843),$AH$2:$AH$1001,0),0), INDEX($AO$1004:$BQ$1004,1,MATCH(COLUMNS($AO$1006:AT1006),$AO$1006:$BQ$1006,0)))),"Fix")))</f>
        <v>#N/A</v>
      </c>
      <c r="H843" s="5" t="e">
        <f ca="1">IF(OR(INDEX($AI$2:$AI$1001,MATCH(ROWS($AH$2:AH843),$AH$2:$AH$1001,0),1)&gt;=100000,INDEX($AO$1005:$BQ$1005,1,MATCH(COLUMNS($AO$1006:AU1006),$AO$1006:$BQ$1006,0))&gt;=100000), " ",IF(INDEX($AO$2:$BQ$1001,MATCH(ROWS($AH$2:AH843),$AH$2:$AH$1001,0),MATCH(COLUMNS($AO$1006:AU1006),$AO$1006:$BQ$1006,0)), HYPERLINK("#",""), HYPERLINK(CONCATENATE("#Metadata!", ADDRESS(INDEX($AJ$2:$AJ$1001,MATCH(ROWS($AH$2:AH843),$AH$2:$AH$1001,0),0), INDEX($AO$1004:$BQ$1004,1,MATCH(COLUMNS($AO$1006:AU1006),$AO$1006:$BQ$1006,0)))),"Fix")))</f>
        <v>#N/A</v>
      </c>
      <c r="I843" s="5" t="e">
        <f ca="1">IF(OR(INDEX($AI$2:$AI$1001,MATCH(ROWS($AH$2:AH843),$AH$2:$AH$1001,0),1)&gt;=100000,INDEX($AO$1005:$BQ$1005,1,MATCH(COLUMNS($AO$1006:AV1006),$AO$1006:$BQ$1006,0))&gt;=100000), " ",IF(INDEX($AO$2:$BQ$1001,MATCH(ROWS($AH$2:AH843),$AH$2:$AH$1001,0),MATCH(COLUMNS($AO$1006:AV1006),$AO$1006:$BQ$1006,0)), HYPERLINK("#",""), HYPERLINK(CONCATENATE("#Metadata!", ADDRESS(INDEX($AJ$2:$AJ$1001,MATCH(ROWS($AH$2:AH843),$AH$2:$AH$1001,0),0), INDEX($AO$1004:$BQ$1004,1,MATCH(COLUMNS($AO$1006:AV1006),$AO$1006:$BQ$1006,0)))),"Fix")))</f>
        <v>#N/A</v>
      </c>
      <c r="J843" s="5" t="e">
        <f ca="1">IF(OR(INDEX($AI$2:$AI$1001,MATCH(ROWS($AH$2:AH843),$AH$2:$AH$1001,0),1)&gt;=100000,INDEX($AO$1005:$BQ$1005,1,MATCH(COLUMNS($AO$1006:AW1006),$AO$1006:$BQ$1006,0))&gt;=100000), " ",IF(INDEX($AO$2:$BQ$1001,MATCH(ROWS($AH$2:AH843),$AH$2:$AH$1001,0),MATCH(COLUMNS($AO$1006:AW1006),$AO$1006:$BQ$1006,0)), HYPERLINK("#",""), HYPERLINK(CONCATENATE("#Metadata!", ADDRESS(INDEX($AJ$2:$AJ$1001,MATCH(ROWS($AH$2:AH843),$AH$2:$AH$1001,0),0), INDEX($AO$1004:$BQ$1004,1,MATCH(COLUMNS($AO$1006:AW1006),$AO$1006:$BQ$1006,0)))),"Fix")))</f>
        <v>#N/A</v>
      </c>
      <c r="K843" s="5" t="e">
        <f ca="1">IF(OR(INDEX($AI$2:$AI$1001,MATCH(ROWS($AH$2:AH843),$AH$2:$AH$1001,0),1)&gt;=100000,INDEX($AO$1005:$BQ$1005,1,MATCH(COLUMNS($AO$1006:AX1006),$AO$1006:$BQ$1006,0))&gt;=100000), " ",IF(INDEX($AO$2:$BQ$1001,MATCH(ROWS($AH$2:AH843),$AH$2:$AH$1001,0),MATCH(COLUMNS($AO$1006:AX1006),$AO$1006:$BQ$1006,0)), HYPERLINK("#",""), HYPERLINK(CONCATENATE("#Metadata!", ADDRESS(INDEX($AJ$2:$AJ$1001,MATCH(ROWS($AH$2:AH843),$AH$2:$AH$1001,0),0), INDEX($AO$1004:$BQ$1004,1,MATCH(COLUMNS($AO$1006:AX1006),$AO$1006:$BQ$1006,0)))),"Fix")))</f>
        <v>#N/A</v>
      </c>
      <c r="L843" s="5" t="e">
        <f ca="1">IF(OR(INDEX($AI$2:$AI$1001,MATCH(ROWS($AH$2:AH843),$AH$2:$AH$1001,0),1)&gt;=100000,INDEX($AO$1005:$BQ$1005,1,MATCH(COLUMNS($AO$1006:AY1006),$AO$1006:$BQ$1006,0))&gt;=100000), " ",IF(INDEX($AO$2:$BQ$1001,MATCH(ROWS($AH$2:AH843),$AH$2:$AH$1001,0),MATCH(COLUMNS($AO$1006:AY1006),$AO$1006:$BQ$1006,0)), HYPERLINK("#",""), HYPERLINK(CONCATENATE("#Metadata!", ADDRESS(INDEX($AJ$2:$AJ$1001,MATCH(ROWS($AH$2:AH843),$AH$2:$AH$1001,0),0), INDEX($AO$1004:$BQ$1004,1,MATCH(COLUMNS($AO$1006:AY1006),$AO$1006:$BQ$1006,0)))),"Fix")))</f>
        <v>#N/A</v>
      </c>
      <c r="M843" s="5" t="e">
        <f ca="1">IF(OR(INDEX($AI$2:$AI$1001,MATCH(ROWS($AH$2:AH843),$AH$2:$AH$1001,0),1)&gt;=100000,INDEX($AO$1005:$BQ$1005,1,MATCH(COLUMNS($AO$1006:AZ1006),$AO$1006:$BQ$1006,0))&gt;=100000), " ",IF(INDEX($AO$2:$BQ$1001,MATCH(ROWS($AH$2:AH843),$AH$2:$AH$1001,0),MATCH(COLUMNS($AO$1006:AZ1006),$AO$1006:$BQ$1006,0)), HYPERLINK("#",""), HYPERLINK(CONCATENATE("#Metadata!", ADDRESS(INDEX($AJ$2:$AJ$1001,MATCH(ROWS($AH$2:AH843),$AH$2:$AH$1001,0),0), INDEX($AO$1004:$BQ$1004,1,MATCH(COLUMNS($AO$1006:AZ1006),$AO$1006:$BQ$1006,0)))),"Fix")))</f>
        <v>#N/A</v>
      </c>
      <c r="N843" s="5" t="e">
        <f ca="1">IF(OR(INDEX($AI$2:$AI$1001,MATCH(ROWS($AH$2:AH843),$AH$2:$AH$1001,0),1)&gt;=100000,INDEX($AO$1005:$BQ$1005,1,MATCH(COLUMNS($AO$1006:BA1006),$AO$1006:$BQ$1006,0))&gt;=100000), " ",IF(INDEX($AO$2:$BQ$1001,MATCH(ROWS($AH$2:AH843),$AH$2:$AH$1001,0),MATCH(COLUMNS($AO$1006:BA1006),$AO$1006:$BQ$1006,0)), HYPERLINK("#",""), HYPERLINK(CONCATENATE("#Metadata!", ADDRESS(INDEX($AJ$2:$AJ$1001,MATCH(ROWS($AH$2:AH843),$AH$2:$AH$1001,0),0), INDEX($AO$1004:$BQ$1004,1,MATCH(COLUMNS($AO$1006:BA1006),$AO$1006:$BQ$1006,0)))),"Fix")))</f>
        <v>#N/A</v>
      </c>
      <c r="O843" s="5" t="e">
        <f ca="1">IF(OR(INDEX($AI$2:$AI$1001,MATCH(ROWS($AH$2:AH843),$AH$2:$AH$1001,0),1)&gt;=100000,INDEX($AO$1005:$BQ$1005,1,MATCH(COLUMNS($AO$1006:BB1006),$AO$1006:$BQ$1006,0))&gt;=100000), " ",IF(INDEX($AO$2:$BQ$1001,MATCH(ROWS($AH$2:AH843),$AH$2:$AH$1001,0),MATCH(COLUMNS($AO$1006:BB1006),$AO$1006:$BQ$1006,0)), HYPERLINK("#",""), HYPERLINK(CONCATENATE("#Metadata!", ADDRESS(INDEX($AJ$2:$AJ$1001,MATCH(ROWS($AH$2:AH843),$AH$2:$AH$1001,0),0), INDEX($AO$1004:$BQ$1004,1,MATCH(COLUMNS($AO$1006:BB1006),$AO$1006:$BQ$1006,0)))),"Fix")))</f>
        <v>#N/A</v>
      </c>
      <c r="P843" s="5" t="e">
        <f ca="1">IF(OR(INDEX($AI$2:$AI$1001,MATCH(ROWS($AH$2:AH843),$AH$2:$AH$1001,0),1)&gt;=100000,INDEX($AO$1005:$BQ$1005,1,MATCH(COLUMNS($AO$1006:BC1006),$AO$1006:$BQ$1006,0))&gt;=100000), " ",IF(INDEX($AO$2:$BQ$1001,MATCH(ROWS($AH$2:AH843),$AH$2:$AH$1001,0),MATCH(COLUMNS($AO$1006:BC1006),$AO$1006:$BQ$1006,0)), HYPERLINK("#",""), HYPERLINK(CONCATENATE("#Metadata!", ADDRESS(INDEX($AJ$2:$AJ$1001,MATCH(ROWS($AH$2:AH843),$AH$2:$AH$1001,0),0), INDEX($AO$1004:$BQ$1004,1,MATCH(COLUMNS($AO$1006:BC1006),$AO$1006:$BQ$1006,0)))),"Fix")))</f>
        <v>#N/A</v>
      </c>
      <c r="Q843" s="5" t="e">
        <f ca="1">IF(OR(INDEX($AI$2:$AI$1001,MATCH(ROWS($AH$2:AH843),$AH$2:$AH$1001,0),1)&gt;=100000,INDEX($AO$1005:$BQ$1005,1,MATCH(COLUMNS($AO$1006:BD1006),$AO$1006:$BQ$1006,0))&gt;=100000), " ",IF(INDEX($AO$2:$BQ$1001,MATCH(ROWS($AH$2:AH843),$AH$2:$AH$1001,0),MATCH(COLUMNS($AO$1006:BD1006),$AO$1006:$BQ$1006,0)), HYPERLINK("#",""), HYPERLINK(CONCATENATE("#Metadata!", ADDRESS(INDEX($AJ$2:$AJ$1001,MATCH(ROWS($AH$2:AH843),$AH$2:$AH$1001,0),0), INDEX($AO$1004:$BQ$1004,1,MATCH(COLUMNS($AO$1006:BD1006),$AO$1006:$BQ$1006,0)))),"Fix")))</f>
        <v>#N/A</v>
      </c>
      <c r="R843" s="5" t="e">
        <f ca="1">IF(OR(INDEX($AI$2:$AI$1001,MATCH(ROWS($AH$2:AH843),$AH$2:$AH$1001,0),1)&gt;=100000,INDEX($AO$1005:$BQ$1005,1,MATCH(COLUMNS($AO$1006:BE1006),$AO$1006:$BQ$1006,0))&gt;=100000), " ",IF(INDEX($AO$2:$BQ$1001,MATCH(ROWS($AH$2:AH843),$AH$2:$AH$1001,0),MATCH(COLUMNS($AO$1006:BE1006),$AO$1006:$BQ$1006,0)), HYPERLINK("#",""), HYPERLINK(CONCATENATE("#Metadata!", ADDRESS(INDEX($AJ$2:$AJ$1001,MATCH(ROWS($AH$2:AH843),$AH$2:$AH$1001,0),0), INDEX($AO$1004:$BQ$1004,1,MATCH(COLUMNS($AO$1006:BE1006),$AO$1006:$BQ$1006,0)))),"Fix")))</f>
        <v>#N/A</v>
      </c>
      <c r="S843" s="5" t="e">
        <f ca="1">IF(OR(INDEX($AI$2:$AI$1001,MATCH(ROWS($AH$2:AH843),$AH$2:$AH$1001,0),1)&gt;=100000,INDEX($AO$1005:$BQ$1005,1,MATCH(COLUMNS($AO$1006:BF1006),$AO$1006:$BQ$1006,0))&gt;=100000), " ",IF(INDEX($AO$2:$BQ$1001,MATCH(ROWS($AH$2:AH843),$AH$2:$AH$1001,0),MATCH(COLUMNS($AO$1006:BF1006),$AO$1006:$BQ$1006,0)), HYPERLINK("#",""), HYPERLINK(CONCATENATE("#Metadata!", ADDRESS(INDEX($AJ$2:$AJ$1001,MATCH(ROWS($AH$2:AH843),$AH$2:$AH$1001,0),0), INDEX($AO$1004:$BQ$1004,1,MATCH(COLUMNS($AO$1006:BF1006),$AO$1006:$BQ$1006,0)))),"Fix")))</f>
        <v>#N/A</v>
      </c>
      <c r="T843" s="5" t="e">
        <f ca="1">IF(OR(INDEX($AI$2:$AI$1001,MATCH(ROWS($AH$2:AH843),$AH$2:$AH$1001,0),1)&gt;=100000,INDEX($AO$1005:$BQ$1005,1,MATCH(COLUMNS($AO$1006:BG1006),$AO$1006:$BQ$1006,0))&gt;=100000), " ",IF(INDEX($AO$2:$BQ$1001,MATCH(ROWS($AH$2:AH843),$AH$2:$AH$1001,0),MATCH(COLUMNS($AO$1006:BG1006),$AO$1006:$BQ$1006,0)), HYPERLINK("#",""), HYPERLINK(CONCATENATE("#Metadata!", ADDRESS(INDEX($AJ$2:$AJ$1001,MATCH(ROWS($AH$2:AH843),$AH$2:$AH$1001,0),0), INDEX($AO$1004:$BQ$1004,1,MATCH(COLUMNS($AO$1006:BG1006),$AO$1006:$BQ$1006,0)))),"Fix")))</f>
        <v>#N/A</v>
      </c>
      <c r="U843" s="5" t="e">
        <f ca="1">IF(OR(INDEX($AI$2:$AI$1001,MATCH(ROWS($AH$2:AH843),$AH$2:$AH$1001,0),1)&gt;=100000,INDEX($AO$1005:$BQ$1005,1,MATCH(COLUMNS($AO$1006:BH1006),$AO$1006:$BQ$1006,0))&gt;=100000), " ",IF(INDEX($AO$2:$BQ$1001,MATCH(ROWS($AH$2:AH843),$AH$2:$AH$1001,0),MATCH(COLUMNS($AO$1006:BH1006),$AO$1006:$BQ$1006,0)), HYPERLINK("#",""), HYPERLINK(CONCATENATE("#Metadata!", ADDRESS(INDEX($AJ$2:$AJ$1001,MATCH(ROWS($AH$2:AH843),$AH$2:$AH$1001,0),0), INDEX($AO$1004:$BQ$1004,1,MATCH(COLUMNS($AO$1006:BH1006),$AO$1006:$BQ$1006,0)))),"Fix")))</f>
        <v>#N/A</v>
      </c>
      <c r="V843" s="5" t="e">
        <f ca="1">IF(OR(INDEX($AI$2:$AI$1001,MATCH(ROWS($AH$2:AH843),$AH$2:$AH$1001,0),1)&gt;=100000,INDEX($AO$1005:$BQ$1005,1,MATCH(COLUMNS($AO$1006:BI1006),$AO$1006:$BQ$1006,0))&gt;=100000), " ",IF(INDEX($AO$2:$BQ$1001,MATCH(ROWS($AH$2:AH843),$AH$2:$AH$1001,0),MATCH(COLUMNS($AO$1006:BI1006),$AO$1006:$BQ$1006,0)), HYPERLINK("#",""), HYPERLINK(CONCATENATE("#Metadata!", ADDRESS(INDEX($AJ$2:$AJ$1001,MATCH(ROWS($AH$2:AH843),$AH$2:$AH$1001,0),0), INDEX($AO$1004:$BQ$1004,1,MATCH(COLUMNS($AO$1006:BI1006),$AO$1006:$BQ$1006,0)))),"Fix")))</f>
        <v>#N/A</v>
      </c>
      <c r="W843" s="5" t="e">
        <f ca="1">IF(OR(INDEX($AI$2:$AI$1001,MATCH(ROWS($AH$2:AH843),$AH$2:$AH$1001,0),1)&gt;=100000,INDEX($AO$1005:$BQ$1005,1,MATCH(COLUMNS($AO$1006:BJ1006),$AO$1006:$BQ$1006,0))&gt;=100000), " ",IF(INDEX($AO$2:$BQ$1001,MATCH(ROWS($AH$2:AH843),$AH$2:$AH$1001,0),MATCH(COLUMNS($AO$1006:BJ1006),$AO$1006:$BQ$1006,0)), HYPERLINK("#",""), HYPERLINK(CONCATENATE("#Metadata!", ADDRESS(INDEX($AJ$2:$AJ$1001,MATCH(ROWS($AH$2:AH843),$AH$2:$AH$1001,0),0), INDEX($AO$1004:$BQ$1004,1,MATCH(COLUMNS($AO$1006:BJ1006),$AO$1006:$BQ$1006,0)))),"Fix")))</f>
        <v>#N/A</v>
      </c>
      <c r="X843" s="5" t="e">
        <f ca="1">IF(OR(INDEX($AI$2:$AI$1001,MATCH(ROWS($AH$2:AH843),$AH$2:$AH$1001,0),1)&gt;=100000,INDEX($AO$1005:$BQ$1005,1,MATCH(COLUMNS($AO$1006:BK1006),$AO$1006:$BQ$1006,0))&gt;=100000), " ",IF(INDEX($AO$2:$BQ$1001,MATCH(ROWS($AH$2:AH843),$AH$2:$AH$1001,0),MATCH(COLUMNS($AO$1006:BK1006),$AO$1006:$BQ$1006,0)), HYPERLINK("#",""), HYPERLINK(CONCATENATE("#Metadata!", ADDRESS(INDEX($AJ$2:$AJ$1001,MATCH(ROWS($AH$2:AH843),$AH$2:$AH$1001,0),0), INDEX($AO$1004:$BQ$1004,1,MATCH(COLUMNS($AO$1006:BK1006),$AO$1006:$BQ$1006,0)))),"Fix")))</f>
        <v>#N/A</v>
      </c>
      <c r="Y843" s="5" t="e">
        <f ca="1">IF(OR(INDEX($AI$2:$AI$1001,MATCH(ROWS($AH$2:AH843),$AH$2:$AH$1001,0),1)&gt;=100000,INDEX($AO$1005:$BQ$1005,1,MATCH(COLUMNS($AO$1006:BL1006),$AO$1006:$BQ$1006,0))&gt;=100000), " ",IF(INDEX($AO$2:$BQ$1001,MATCH(ROWS($AH$2:AH843),$AH$2:$AH$1001,0),MATCH(COLUMNS($AO$1006:BL1006),$AO$1006:$BQ$1006,0)), HYPERLINK("#",""), HYPERLINK(CONCATENATE("#Metadata!", ADDRESS(INDEX($AJ$2:$AJ$1001,MATCH(ROWS($AH$2:AH843),$AH$2:$AH$1001,0),0), INDEX($AO$1004:$BQ$1004,1,MATCH(COLUMNS($AO$1006:BL1006),$AO$1006:$BQ$1006,0)))),"Fix")))</f>
        <v>#N/A</v>
      </c>
      <c r="Z843" s="5" t="e">
        <f ca="1">IF(OR(INDEX($AI$2:$AI$1001,MATCH(ROWS($AH$2:AH843),$AH$2:$AH$1001,0),1)&gt;=100000,INDEX($AO$1005:$BQ$1005,1,MATCH(COLUMNS($AO$1006:BM1006),$AO$1006:$BQ$1006,0))&gt;=100000), " ",IF(INDEX($AO$2:$BQ$1001,MATCH(ROWS($AH$2:AH843),$AH$2:$AH$1001,0),MATCH(COLUMNS($AO$1006:BM1006),$AO$1006:$BQ$1006,0)), HYPERLINK("#",""), HYPERLINK(CONCATENATE("#Metadata!", ADDRESS(INDEX($AJ$2:$AJ$1001,MATCH(ROWS($AH$2:AH843),$AH$2:$AH$1001,0),0), INDEX($AO$1004:$BQ$1004,1,MATCH(COLUMNS($AO$1006:BM1006),$AO$1006:$BQ$1006,0)))),"Fix")))</f>
        <v>#N/A</v>
      </c>
      <c r="AA843" s="5" t="e">
        <f ca="1">IF(OR(INDEX($AI$2:$AI$1001,MATCH(ROWS($AH$2:AH843),$AH$2:$AH$1001,0),1)&gt;=100000,INDEX($AO$1005:$BQ$1005,1,MATCH(COLUMNS($AO$1006:BN1006),$AO$1006:$BQ$1006,0))&gt;=100000), " ",IF(INDEX($AO$2:$BQ$1001,MATCH(ROWS($AH$2:AH843),$AH$2:$AH$1001,0),MATCH(COLUMNS($AO$1006:BN1006),$AO$1006:$BQ$1006,0)), HYPERLINK("#",""), HYPERLINK(CONCATENATE("#Metadata!", ADDRESS(INDEX($AJ$2:$AJ$1001,MATCH(ROWS($AH$2:AH843),$AH$2:$AH$1001,0),0), INDEX($AO$1004:$BQ$1004,1,MATCH(COLUMNS($AO$1006:BN1006),$AO$1006:$BQ$1006,0)))),"Fix")))</f>
        <v>#N/A</v>
      </c>
      <c r="AB843" s="5" t="e">
        <f ca="1">IF(OR(INDEX($AI$2:$AI$1001,MATCH(ROWS($AH$2:AH843),$AH$2:$AH$1001,0),1)&gt;=100000,INDEX($AO$1005:$BQ$1005,1,MATCH(COLUMNS($AO$1006:BO1006),$AO$1006:$BQ$1006,0))&gt;=100000), " ",IF(INDEX($AO$2:$BQ$1001,MATCH(ROWS($AH$2:AH843),$AH$2:$AH$1001,0),MATCH(COLUMNS($AO$1006:BO1006),$AO$1006:$BQ$1006,0)), HYPERLINK("#",""), HYPERLINK(CONCATENATE("#Metadata!", ADDRESS(INDEX($AJ$2:$AJ$1001,MATCH(ROWS($AH$2:AH843),$AH$2:$AH$1001,0),0), INDEX($AO$1004:$BQ$1004,1,MATCH(COLUMNS($AO$1006:BO1006),$AO$1006:$BQ$1006,0)))),"Fix")))</f>
        <v>#N/A</v>
      </c>
      <c r="AC843" s="5" t="e">
        <f ca="1">IF(OR(INDEX($AI$2:$AI$1001,MATCH(ROWS($AH$2:AH843),$AH$2:$AH$1001,0),1)&gt;=100000,INDEX($AO$1005:$BQ$1005,1,MATCH(COLUMNS($AO$1006:BP1006),$AO$1006:$BQ$1006,0))&gt;=100000), " ",IF(INDEX($AO$2:$BQ$1001,MATCH(ROWS($AH$2:AH843),$AH$2:$AH$1001,0),MATCH(COLUMNS($AO$1006:BP1006),$AO$1006:$BQ$1006,0)), HYPERLINK("#",""), HYPERLINK(CONCATENATE("#Metadata!", ADDRESS(INDEX($AJ$2:$AJ$1001,MATCH(ROWS($AH$2:AH843),$AH$2:$AH$1001,0),0), INDEX($AO$1004:$BQ$1004,1,MATCH(COLUMNS($AO$1006:BP1006),$AO$1006:$BQ$1006,0)))),"Fix")))</f>
        <v>#N/A</v>
      </c>
      <c r="AD843" s="5" t="e">
        <f ca="1">IF(OR(INDEX($AI$2:$AI$1001,MATCH(ROWS($AH$2:AH843),$AH$2:$AH$1001,0),1)&gt;=100000,INDEX($AO$1005:$BQ$1005,1,MATCH(COLUMNS($AO$1006:BQ1006),$AO$1006:$BQ$1006,0))&gt;=100000), " ",IF(INDEX($AO$2:$BQ$1001,MATCH(ROWS($AH$2:AH843),$AH$2:$AH$1001,0),MATCH(COLUMNS($AO$1006:BQ1006),$AO$1006:$BQ$1006,0)), HYPERLINK("#",""), HYPERLINK(CONCATENATE("#Metadata!", ADDRESS(INDEX($AJ$2:$AJ$1001,MATCH(ROWS($AH$2:AH843),$AH$2:$AH$1001,0),0), INDEX($AO$1004:$BQ$1004,1,MATCH(COLUMNS($AO$1006:BQ1006),$AO$1006:$BQ$1006,0)))),"Fix")))</f>
        <v>#REF!</v>
      </c>
      <c r="AH843">
        <f ca="1"/>
        <v>840</v>
      </c>
      <c r="AI843">
        <v>100843</v>
      </c>
      <c r="AJ843">
        <v>843</v>
      </c>
      <c r="AK843" t="b">
        <f t="shared" si="13"/>
        <v>1</v>
      </c>
      <c r="AL843" t="b">
        <f>COUNTBLANK(Metadata!B843:AD843)=COLUMNS(Metadata!B843:AD843)</f>
        <v>1</v>
      </c>
      <c r="AM843" t="str">
        <v/>
      </c>
      <c r="AO843" t="b">
        <f ca="1">AND(IF(Metadata!B843="",FALSE,TRUE),COUNTIF(Metadata!B:B, Metadata!B843) = 1,NOT(ISERROR(SUMPRODUCT(SEARCH(MID(Metadata!B843,ROW(INDIRECT("1:"&amp;LEN(Metadata!B843))), 1),"0123456789abcdefghijklmnopqrstuvwxyzABCDEFGHIJKLMNOPQRSTUVWXYZ.")))))</f>
        <v>0</v>
      </c>
      <c r="AP843" t="b">
        <f>IF(Metadata!C843="",FALSE,TRUE)</f>
        <v>0</v>
      </c>
      <c r="AQ843" t="b">
        <f>IF(Metadata!D843="",FALSE,TRUE)</f>
        <v>0</v>
      </c>
      <c r="AR843" t="b">
        <f ca="1">OR(AND(IF(Metadata!E843="",FALSE,TRUE),OR(EXACT(Metadata!E843,"not collected"),EXACT(Metadata!E843,"not provided"),EXACT(Metadata!E843,"restricted access"))),AND(IF(Metadata!E843="",FALSE,TRUE),AND(AND(IFERROR(INT(LEFT(Metadata!E843,4))&gt;1900,FALSE),IFERROR(INT(LEFT(Metadata!E843,4))&lt;=YEAR(NOW()),FALSE)), OR(MID(Metadata!E843,5,1)="", AND(AND(MID(Metadata!E843,5,1)="-",IFERROR(INT(MID(Metadata!E843,6,1))&gt;=0,FALSE),IFERROR(INT(MID(Metadata!E843,6,1))&lt;=1,FALSE),NOT(MID(Metadata!E843,7,1)=""),IFERROR(INT(MID(Metadata!E843,6,2))&gt;=1,FALSE),IFERROR(INT(MID(Metadata!E843,6,2))&lt;=12,FALSE)), OR(MID(Metadata!E843,8,1)="", AND(AND(MID(Metadata!E843,8,1)="-",IFERROR(INT(MID(Metadata!E843,9,1))&gt;=0,FALSE),IFERROR(INT(MID(Metadata!E843,9,1))&lt;=3,FALSE),NOT(MID(Metadata!E843,10,1)=""),IFERROR(INT(MID(Metadata!E843,9,2))&gt;=1,FALSE),IFERROR(INT(MID(Metadata!E843,9,2))&lt;=31,FALSE)), OR(MID(Metadata!E843,11,1)="", AND(AND(MID(Metadata!E843,11,1)=" ",IFERROR(INT(MID(Metadata!E843,12,1))&gt;=0,FALSE),IFERROR(INT(MID(Metadata!E843,12,1))&lt;=2,FALSE),NOT(MID(Metadata!E843,13,1)=""),IFERROR(INT(MID(Metadata!E843,12,2))&gt;=0,FALSE),IFERROR(INT(MID(Metadata!E843,12,2))&lt;=23,FALSE)), OR(MID(Metadata!E843,14,1)="", AND(AND(MID(Metadata!E843,14,1)=":",IFERROR(INT(MID(Metadata!E843,15,1))&gt;=0,FALSE),IFERROR(INT(MID(Metadata!E843,15,1))&lt;=5,FALSE),NOT(MID(Metadata!E843,16,1)=""),IFERROR(INT(MID(Metadata!E843,15,2))&gt;=0,FALSE),IFERROR(INT(MID(Metadata!E843,15,2))&lt;=59,FALSE)), OR(MID(Metadata!E843,17,1)="", AND(AND(MID(Metadata!E843,17,1)=":",IFERROR(INT(MID(Metadata!E843,18,1))&gt;=0,FALSE),IFERROR(INT(MID(Metadata!E843,18,1))&lt;=5,FALSE),NOT(MID(Metadata!E843,19,1)=""),IFERROR(INT(MID(Metadata!E843,18,2))&gt;=0,FALSE),IFERROR(INT(MID(Metadata!E843,18,2))&lt;=59,FALSE)), LEN(Metadata!E843)&lt;=19)))))))))))))</f>
        <v>0</v>
      </c>
      <c r="AS843" t="b">
        <f>IF(Metadata!F843="",FALSE,TRUE)</f>
        <v>0</v>
      </c>
      <c r="AT843" t="b">
        <f>OR(AND(IF(Metadata!G843="",FALSE,TRUE),OR(EXACT(Metadata!G843,"not collected"),EXACT(Metadata!G843,"not provided"))),AND(IF(Metadata!G843="",FALSE,TRUE),OR(EXACT(Metadata!G843,"TRUE"),EXACT(Metadata!G843,"FALSE"))))</f>
        <v>0</v>
      </c>
      <c r="AU843" t="b">
        <f>OR(AND(IF(Metadata!H843="",FALSE,TRUE),OR(EXACT(Metadata!H843,"not collected"),EXACT(Metadata!H843,"not provided"),EXACT(Metadata!H843,"restricted access"))),AND(IF(Metadata!H843="",FALSE,ISNUMBER(VALUE(Metadata!H843))),Metadata!H843&gt;=-413))</f>
        <v>0</v>
      </c>
      <c r="AV843" t="b">
        <f>AND(IF(Metadata!I843="",FALSE,TRUE),EXACT(Metadata!I843,"meters"))</f>
        <v>0</v>
      </c>
      <c r="AW843" t="b">
        <f>AND(IF(Metadata!J843="",FALSE,TRUE),EXACT(Metadata!J843,"free-living"))</f>
        <v>0</v>
      </c>
      <c r="AX843" t="b">
        <f>AND(IF(Metadata!K843="",FALSE,TRUE),OR(EXACT(Metadata!K843,"saline"),EXACT(Metadata!K843,"non-saline")))</f>
        <v>0</v>
      </c>
      <c r="AY843" t="b">
        <f>AND(IF(Metadata!L843="",FALSE,TRUE),OR(EXACT(Metadata!L843,"sub-surface (non-saline)"),EXACT(Metadata!L843,"surface (non-saline)"),EXACT(Metadata!L843,"water (non-saline)"),EXACT(Metadata!L843,"soil (non-saline)"),EXACT(Metadata!L843,"aerosol (non-saline)"),EXACT(Metadata!L843,"sediment (non-saline)"),EXACT(Metadata!L843,"surface (saline)"),EXACT(Metadata!L843,"water (saline)"),EXACT(Metadata!L843,"hypersaline (saline)"),EXACT(Metadata!L843,"aerosol (saline)"),EXACT(Metadata!L843,"sediment (saline)")))</f>
        <v>0</v>
      </c>
      <c r="AZ843" t="b">
        <f>IF(Metadata!M843="",FALSE,TRUE)</f>
        <v>0</v>
      </c>
      <c r="BA843" t="b">
        <f>IF(Metadata!N843="",FALSE,TRUE)</f>
        <v>0</v>
      </c>
      <c r="BB843" t="b">
        <f>IF(Metadata!O843="",FALSE,TRUE)</f>
        <v>0</v>
      </c>
      <c r="BC843" t="b">
        <f>AND(IF(Metadata!P843="",FALSE,TRUE),OR(EXACT(Metadata!P843,"air"),EXACT(Metadata!P843,"microbial mat/biofilm"),EXACT(Metadata!P843,"misc environment"),EXACT(Metadata!P843,"sediment"),EXACT(Metadata!P843,"soil"),EXACT(Metadata!P843,"wastewater/sludge"),EXACT(Metadata!P843,"water")))</f>
        <v>0</v>
      </c>
      <c r="BD843" t="b">
        <f>IF(Metadata!Q843="",FALSE,TRUE)</f>
        <v>0</v>
      </c>
      <c r="BE843" t="b">
        <f>IF(Metadata!R843="",FALSE,TRUE)</f>
        <v>0</v>
      </c>
      <c r="BF843" t="b">
        <f>OR(AND(IF(Metadata!S843="",FALSE,TRUE),OR(EXACT(Metadata!S843,"not collected"),EXACT(Metadata!S843,"not provided"),EXACT(Metadata!S843,"restricted access"))),AND(IF(Metadata!S843="",FALSE,ISNUMBER(VALUE(Metadata!S843))),Metadata!S843&gt;=-90,Metadata!S843&lt;=90))</f>
        <v>0</v>
      </c>
      <c r="BG843" t="b">
        <f>AND(IF(Metadata!T843="",FALSE,TRUE),EXACT(Metadata!T843,"Decimal degrees"))</f>
        <v>0</v>
      </c>
      <c r="BH843" t="b">
        <f>OR(AND(IF(Metadata!U843="",FALSE,TRUE),OR(EXACT(Metadata!U843,"not applicable"),EXACT(Metadata!U843,"not collected"))),IF(Metadata!U843="",FALSE,TRUE))</f>
        <v>0</v>
      </c>
      <c r="BI843" t="b">
        <f>OR(AND(IF(Metadata!V843="",FALSE,TRUE),OR(EXACT(Metadata!V843,"not collected"),EXACT(Metadata!V843,"not provided"),EXACT(Metadata!V843,"restricted access"))),AND(IF(Metadata!V843="",FALSE,ISNUMBER(VALUE(Metadata!V843))),Metadata!V843&gt;=-180,Metadata!V843&lt;=180))</f>
        <v>0</v>
      </c>
      <c r="BJ843" t="b">
        <f>AND(IF(Metadata!W843="",FALSE,TRUE),EXACT(Metadata!W843,"Decimal degrees"))</f>
        <v>0</v>
      </c>
      <c r="BK843" t="b">
        <f>IF(Metadata!X843="",FALSE,TRUE)</f>
        <v>0</v>
      </c>
      <c r="BL843" t="b">
        <f>OR(AND(IF(Metadata!Y843="",FALSE,TRUE),OR(EXACT(Metadata!Y843,"not collected"),EXACT(Metadata!Y843,"not provided"),EXACT(Metadata!Y843,"restricted access"))),AND(IF(Metadata!Y843="",FALSE,TRUE),OR(EXACT(Metadata!Y843,"TRUE"),EXACT(Metadata!Y843,"FALSE"))))</f>
        <v>0</v>
      </c>
      <c r="BM843" t="b">
        <f>OR(AND(IF(Metadata!Z843="",FALSE,TRUE),EXACT(Metadata!Z843,"not applicable")),AND(IF(Metadata!Z843="",FALSE,TRUE),OR(EXACT(Metadata!Z843,"beer"),EXACT(Metadata!Z843,"cheese"),EXACT(Metadata!Z843,"fresh water"),EXACT(Metadata!Z843,"marine sediment"),EXACT(Metadata!Z843,"sea water"),EXACT(Metadata!Z843,"sediment"),EXACT(Metadata!Z843,"soil"),EXACT(Metadata!Z843,"waste water"))))</f>
        <v>0</v>
      </c>
      <c r="BN843" t="b">
        <f>AND(IF(Metadata!AA843="",FALSE,TRUE),EXACT(Metadata!AA843,"metagenome"))</f>
        <v>0</v>
      </c>
      <c r="BO843" t="b">
        <f>AND(IF(Metadata!AB843="",FALSE,TRUE),EXACT(Metadata!AB843,"256318"))</f>
        <v>0</v>
      </c>
      <c r="BP843" t="b">
        <f>IF(Metadata!AC843="",FALSE,TRUE)</f>
        <v>0</v>
      </c>
      <c r="BQ843" t="b">
        <f>IF(Metadata!AD843="",FALSE,TRUE)</f>
        <v>0</v>
      </c>
    </row>
    <row r="844" spans="1:69" x14ac:dyDescent="0.2">
      <c r="A844" s="4" t="e">
        <f ca="1">IF(B844=" "," ",HYPERLINK(CONCATENATE("#metadata!",ADDRESS(INDEX($AJ$2:$AJ$1001,MATCH(ROWS($AH$2:AH844),$AH$2:$AH$1001,0),0),2)),INDEX($AM$2:$AM$1001,MATCH(ROWS($AH$2:AH844),$AH$2:$AH$1001,0),0)))</f>
        <v>#N/A</v>
      </c>
      <c r="B844" s="5" t="e">
        <f ca="1">IF(OR(INDEX($AI$2:$AI$1001,MATCH(ROWS($AH$2:AH844),$AH$2:$AH$1001,0),1)&gt;=100000,INDEX($AO$1005:$BQ$1005,1,MATCH(COLUMNS($AO$1006:AO1006),$AO$1006:$BQ$1006,0))&gt;=100000), " ",IF(INDEX($AO$2:$BQ$1001,MATCH(ROWS($AH$2:AH844),$AH$2:$AH$1001,0),MATCH(COLUMNS($AO$1006:AO1006),$AO$1006:$BQ$1006,0)), HYPERLINK("#",""), HYPERLINK(CONCATENATE("#Metadata!", ADDRESS(INDEX($AJ$2:$AJ$1001,MATCH(ROWS($AH$2:AH844),$AH$2:$AH$1001,0),0), INDEX($AO$1004:$BQ$1004,1,MATCH(COLUMNS($AO$1006:AO1006),$AO$1006:$BQ$1006,0)))),"Fix")))</f>
        <v>#N/A</v>
      </c>
      <c r="C844" s="5" t="e">
        <f ca="1">IF(OR(INDEX($AI$2:$AI$1001,MATCH(ROWS($AH$2:AH844),$AH$2:$AH$1001,0),1)&gt;=100000,INDEX($AO$1005:$BQ$1005,1,MATCH(COLUMNS($AO$1006:AP1006),$AO$1006:$BQ$1006,0))&gt;=100000), " ",IF(INDEX($AO$2:$BQ$1001,MATCH(ROWS($AH$2:AH844),$AH$2:$AH$1001,0),MATCH(COLUMNS($AO$1006:AP1006),$AO$1006:$BQ$1006,0)), HYPERLINK("#",""), HYPERLINK(CONCATENATE("#Metadata!", ADDRESS(INDEX($AJ$2:$AJ$1001,MATCH(ROWS($AH$2:AH844),$AH$2:$AH$1001,0),0), INDEX($AO$1004:$BQ$1004,1,MATCH(COLUMNS($AO$1006:AP1006),$AO$1006:$BQ$1006,0)))),"Fix")))</f>
        <v>#N/A</v>
      </c>
      <c r="D844" s="5" t="e">
        <f ca="1">IF(OR(INDEX($AI$2:$AI$1001,MATCH(ROWS($AH$2:AH844),$AH$2:$AH$1001,0),1)&gt;=100000,INDEX($AO$1005:$BQ$1005,1,MATCH(COLUMNS($AO$1006:AQ1006),$AO$1006:$BQ$1006,0))&gt;=100000), " ",IF(INDEX($AO$2:$BQ$1001,MATCH(ROWS($AH$2:AH844),$AH$2:$AH$1001,0),MATCH(COLUMNS($AO$1006:AQ1006),$AO$1006:$BQ$1006,0)), HYPERLINK("#",""), HYPERLINK(CONCATENATE("#Metadata!", ADDRESS(INDEX($AJ$2:$AJ$1001,MATCH(ROWS($AH$2:AH844),$AH$2:$AH$1001,0),0), INDEX($AO$1004:$BQ$1004,1,MATCH(COLUMNS($AO$1006:AQ1006),$AO$1006:$BQ$1006,0)))),"Fix")))</f>
        <v>#N/A</v>
      </c>
      <c r="E844" s="5" t="e">
        <f ca="1">IF(OR(INDEX($AI$2:$AI$1001,MATCH(ROWS($AH$2:AH844),$AH$2:$AH$1001,0),1)&gt;=100000,INDEX($AO$1005:$BQ$1005,1,MATCH(COLUMNS($AO$1006:AR1006),$AO$1006:$BQ$1006,0))&gt;=100000), " ",IF(INDEX($AO$2:$BQ$1001,MATCH(ROWS($AH$2:AH844),$AH$2:$AH$1001,0),MATCH(COLUMNS($AO$1006:AR1006),$AO$1006:$BQ$1006,0)), HYPERLINK("#",""), HYPERLINK(CONCATENATE("#Metadata!", ADDRESS(INDEX($AJ$2:$AJ$1001,MATCH(ROWS($AH$2:AH844),$AH$2:$AH$1001,0),0), INDEX($AO$1004:$BQ$1004,1,MATCH(COLUMNS($AO$1006:AR1006),$AO$1006:$BQ$1006,0)))),"Fix")))</f>
        <v>#N/A</v>
      </c>
      <c r="F844" s="5" t="e">
        <f ca="1">IF(OR(INDEX($AI$2:$AI$1001,MATCH(ROWS($AH$2:AH844),$AH$2:$AH$1001,0),1)&gt;=100000,INDEX($AO$1005:$BQ$1005,1,MATCH(COLUMNS($AO$1006:AS1006),$AO$1006:$BQ$1006,0))&gt;=100000), " ",IF(INDEX($AO$2:$BQ$1001,MATCH(ROWS($AH$2:AH844),$AH$2:$AH$1001,0),MATCH(COLUMNS($AO$1006:AS1006),$AO$1006:$BQ$1006,0)), HYPERLINK("#",""), HYPERLINK(CONCATENATE("#Metadata!", ADDRESS(INDEX($AJ$2:$AJ$1001,MATCH(ROWS($AH$2:AH844),$AH$2:$AH$1001,0),0), INDEX($AO$1004:$BQ$1004,1,MATCH(COLUMNS($AO$1006:AS1006),$AO$1006:$BQ$1006,0)))),"Fix")))</f>
        <v>#N/A</v>
      </c>
      <c r="G844" s="5" t="e">
        <f ca="1">IF(OR(INDEX($AI$2:$AI$1001,MATCH(ROWS($AH$2:AH844),$AH$2:$AH$1001,0),1)&gt;=100000,INDEX($AO$1005:$BQ$1005,1,MATCH(COLUMNS($AO$1006:AT1006),$AO$1006:$BQ$1006,0))&gt;=100000), " ",IF(INDEX($AO$2:$BQ$1001,MATCH(ROWS($AH$2:AH844),$AH$2:$AH$1001,0),MATCH(COLUMNS($AO$1006:AT1006),$AO$1006:$BQ$1006,0)), HYPERLINK("#",""), HYPERLINK(CONCATENATE("#Metadata!", ADDRESS(INDEX($AJ$2:$AJ$1001,MATCH(ROWS($AH$2:AH844),$AH$2:$AH$1001,0),0), INDEX($AO$1004:$BQ$1004,1,MATCH(COLUMNS($AO$1006:AT1006),$AO$1006:$BQ$1006,0)))),"Fix")))</f>
        <v>#N/A</v>
      </c>
      <c r="H844" s="5" t="e">
        <f ca="1">IF(OR(INDEX($AI$2:$AI$1001,MATCH(ROWS($AH$2:AH844),$AH$2:$AH$1001,0),1)&gt;=100000,INDEX($AO$1005:$BQ$1005,1,MATCH(COLUMNS($AO$1006:AU1006),$AO$1006:$BQ$1006,0))&gt;=100000), " ",IF(INDEX($AO$2:$BQ$1001,MATCH(ROWS($AH$2:AH844),$AH$2:$AH$1001,0),MATCH(COLUMNS($AO$1006:AU1006),$AO$1006:$BQ$1006,0)), HYPERLINK("#",""), HYPERLINK(CONCATENATE("#Metadata!", ADDRESS(INDEX($AJ$2:$AJ$1001,MATCH(ROWS($AH$2:AH844),$AH$2:$AH$1001,0),0), INDEX($AO$1004:$BQ$1004,1,MATCH(COLUMNS($AO$1006:AU1006),$AO$1006:$BQ$1006,0)))),"Fix")))</f>
        <v>#N/A</v>
      </c>
      <c r="I844" s="5" t="e">
        <f ca="1">IF(OR(INDEX($AI$2:$AI$1001,MATCH(ROWS($AH$2:AH844),$AH$2:$AH$1001,0),1)&gt;=100000,INDEX($AO$1005:$BQ$1005,1,MATCH(COLUMNS($AO$1006:AV1006),$AO$1006:$BQ$1006,0))&gt;=100000), " ",IF(INDEX($AO$2:$BQ$1001,MATCH(ROWS($AH$2:AH844),$AH$2:$AH$1001,0),MATCH(COLUMNS($AO$1006:AV1006),$AO$1006:$BQ$1006,0)), HYPERLINK("#",""), HYPERLINK(CONCATENATE("#Metadata!", ADDRESS(INDEX($AJ$2:$AJ$1001,MATCH(ROWS($AH$2:AH844),$AH$2:$AH$1001,0),0), INDEX($AO$1004:$BQ$1004,1,MATCH(COLUMNS($AO$1006:AV1006),$AO$1006:$BQ$1006,0)))),"Fix")))</f>
        <v>#N/A</v>
      </c>
      <c r="J844" s="5" t="e">
        <f ca="1">IF(OR(INDEX($AI$2:$AI$1001,MATCH(ROWS($AH$2:AH844),$AH$2:$AH$1001,0),1)&gt;=100000,INDEX($AO$1005:$BQ$1005,1,MATCH(COLUMNS($AO$1006:AW1006),$AO$1006:$BQ$1006,0))&gt;=100000), " ",IF(INDEX($AO$2:$BQ$1001,MATCH(ROWS($AH$2:AH844),$AH$2:$AH$1001,0),MATCH(COLUMNS($AO$1006:AW1006),$AO$1006:$BQ$1006,0)), HYPERLINK("#",""), HYPERLINK(CONCATENATE("#Metadata!", ADDRESS(INDEX($AJ$2:$AJ$1001,MATCH(ROWS($AH$2:AH844),$AH$2:$AH$1001,0),0), INDEX($AO$1004:$BQ$1004,1,MATCH(COLUMNS($AO$1006:AW1006),$AO$1006:$BQ$1006,0)))),"Fix")))</f>
        <v>#N/A</v>
      </c>
      <c r="K844" s="5" t="e">
        <f ca="1">IF(OR(INDEX($AI$2:$AI$1001,MATCH(ROWS($AH$2:AH844),$AH$2:$AH$1001,0),1)&gt;=100000,INDEX($AO$1005:$BQ$1005,1,MATCH(COLUMNS($AO$1006:AX1006),$AO$1006:$BQ$1006,0))&gt;=100000), " ",IF(INDEX($AO$2:$BQ$1001,MATCH(ROWS($AH$2:AH844),$AH$2:$AH$1001,0),MATCH(COLUMNS($AO$1006:AX1006),$AO$1006:$BQ$1006,0)), HYPERLINK("#",""), HYPERLINK(CONCATENATE("#Metadata!", ADDRESS(INDEX($AJ$2:$AJ$1001,MATCH(ROWS($AH$2:AH844),$AH$2:$AH$1001,0),0), INDEX($AO$1004:$BQ$1004,1,MATCH(COLUMNS($AO$1006:AX1006),$AO$1006:$BQ$1006,0)))),"Fix")))</f>
        <v>#N/A</v>
      </c>
      <c r="L844" s="5" t="e">
        <f ca="1">IF(OR(INDEX($AI$2:$AI$1001,MATCH(ROWS($AH$2:AH844),$AH$2:$AH$1001,0),1)&gt;=100000,INDEX($AO$1005:$BQ$1005,1,MATCH(COLUMNS($AO$1006:AY1006),$AO$1006:$BQ$1006,0))&gt;=100000), " ",IF(INDEX($AO$2:$BQ$1001,MATCH(ROWS($AH$2:AH844),$AH$2:$AH$1001,0),MATCH(COLUMNS($AO$1006:AY1006),$AO$1006:$BQ$1006,0)), HYPERLINK("#",""), HYPERLINK(CONCATENATE("#Metadata!", ADDRESS(INDEX($AJ$2:$AJ$1001,MATCH(ROWS($AH$2:AH844),$AH$2:$AH$1001,0),0), INDEX($AO$1004:$BQ$1004,1,MATCH(COLUMNS($AO$1006:AY1006),$AO$1006:$BQ$1006,0)))),"Fix")))</f>
        <v>#N/A</v>
      </c>
      <c r="M844" s="5" t="e">
        <f ca="1">IF(OR(INDEX($AI$2:$AI$1001,MATCH(ROWS($AH$2:AH844),$AH$2:$AH$1001,0),1)&gt;=100000,INDEX($AO$1005:$BQ$1005,1,MATCH(COLUMNS($AO$1006:AZ1006),$AO$1006:$BQ$1006,0))&gt;=100000), " ",IF(INDEX($AO$2:$BQ$1001,MATCH(ROWS($AH$2:AH844),$AH$2:$AH$1001,0),MATCH(COLUMNS($AO$1006:AZ1006),$AO$1006:$BQ$1006,0)), HYPERLINK("#",""), HYPERLINK(CONCATENATE("#Metadata!", ADDRESS(INDEX($AJ$2:$AJ$1001,MATCH(ROWS($AH$2:AH844),$AH$2:$AH$1001,0),0), INDEX($AO$1004:$BQ$1004,1,MATCH(COLUMNS($AO$1006:AZ1006),$AO$1006:$BQ$1006,0)))),"Fix")))</f>
        <v>#N/A</v>
      </c>
      <c r="N844" s="5" t="e">
        <f ca="1">IF(OR(INDEX($AI$2:$AI$1001,MATCH(ROWS($AH$2:AH844),$AH$2:$AH$1001,0),1)&gt;=100000,INDEX($AO$1005:$BQ$1005,1,MATCH(COLUMNS($AO$1006:BA1006),$AO$1006:$BQ$1006,0))&gt;=100000), " ",IF(INDEX($AO$2:$BQ$1001,MATCH(ROWS($AH$2:AH844),$AH$2:$AH$1001,0),MATCH(COLUMNS($AO$1006:BA1006),$AO$1006:$BQ$1006,0)), HYPERLINK("#",""), HYPERLINK(CONCATENATE("#Metadata!", ADDRESS(INDEX($AJ$2:$AJ$1001,MATCH(ROWS($AH$2:AH844),$AH$2:$AH$1001,0),0), INDEX($AO$1004:$BQ$1004,1,MATCH(COLUMNS($AO$1006:BA1006),$AO$1006:$BQ$1006,0)))),"Fix")))</f>
        <v>#N/A</v>
      </c>
      <c r="O844" s="5" t="e">
        <f ca="1">IF(OR(INDEX($AI$2:$AI$1001,MATCH(ROWS($AH$2:AH844),$AH$2:$AH$1001,0),1)&gt;=100000,INDEX($AO$1005:$BQ$1005,1,MATCH(COLUMNS($AO$1006:BB1006),$AO$1006:$BQ$1006,0))&gt;=100000), " ",IF(INDEX($AO$2:$BQ$1001,MATCH(ROWS($AH$2:AH844),$AH$2:$AH$1001,0),MATCH(COLUMNS($AO$1006:BB1006),$AO$1006:$BQ$1006,0)), HYPERLINK("#",""), HYPERLINK(CONCATENATE("#Metadata!", ADDRESS(INDEX($AJ$2:$AJ$1001,MATCH(ROWS($AH$2:AH844),$AH$2:$AH$1001,0),0), INDEX($AO$1004:$BQ$1004,1,MATCH(COLUMNS($AO$1006:BB1006),$AO$1006:$BQ$1006,0)))),"Fix")))</f>
        <v>#N/A</v>
      </c>
      <c r="P844" s="5" t="e">
        <f ca="1">IF(OR(INDEX($AI$2:$AI$1001,MATCH(ROWS($AH$2:AH844),$AH$2:$AH$1001,0),1)&gt;=100000,INDEX($AO$1005:$BQ$1005,1,MATCH(COLUMNS($AO$1006:BC1006),$AO$1006:$BQ$1006,0))&gt;=100000), " ",IF(INDEX($AO$2:$BQ$1001,MATCH(ROWS($AH$2:AH844),$AH$2:$AH$1001,0),MATCH(COLUMNS($AO$1006:BC1006),$AO$1006:$BQ$1006,0)), HYPERLINK("#",""), HYPERLINK(CONCATENATE("#Metadata!", ADDRESS(INDEX($AJ$2:$AJ$1001,MATCH(ROWS($AH$2:AH844),$AH$2:$AH$1001,0),0), INDEX($AO$1004:$BQ$1004,1,MATCH(COLUMNS($AO$1006:BC1006),$AO$1006:$BQ$1006,0)))),"Fix")))</f>
        <v>#N/A</v>
      </c>
      <c r="Q844" s="5" t="e">
        <f ca="1">IF(OR(INDEX($AI$2:$AI$1001,MATCH(ROWS($AH$2:AH844),$AH$2:$AH$1001,0),1)&gt;=100000,INDEX($AO$1005:$BQ$1005,1,MATCH(COLUMNS($AO$1006:BD1006),$AO$1006:$BQ$1006,0))&gt;=100000), " ",IF(INDEX($AO$2:$BQ$1001,MATCH(ROWS($AH$2:AH844),$AH$2:$AH$1001,0),MATCH(COLUMNS($AO$1006:BD1006),$AO$1006:$BQ$1006,0)), HYPERLINK("#",""), HYPERLINK(CONCATENATE("#Metadata!", ADDRESS(INDEX($AJ$2:$AJ$1001,MATCH(ROWS($AH$2:AH844),$AH$2:$AH$1001,0),0), INDEX($AO$1004:$BQ$1004,1,MATCH(COLUMNS($AO$1006:BD1006),$AO$1006:$BQ$1006,0)))),"Fix")))</f>
        <v>#N/A</v>
      </c>
      <c r="R844" s="5" t="e">
        <f ca="1">IF(OR(INDEX($AI$2:$AI$1001,MATCH(ROWS($AH$2:AH844),$AH$2:$AH$1001,0),1)&gt;=100000,INDEX($AO$1005:$BQ$1005,1,MATCH(COLUMNS($AO$1006:BE1006),$AO$1006:$BQ$1006,0))&gt;=100000), " ",IF(INDEX($AO$2:$BQ$1001,MATCH(ROWS($AH$2:AH844),$AH$2:$AH$1001,0),MATCH(COLUMNS($AO$1006:BE1006),$AO$1006:$BQ$1006,0)), HYPERLINK("#",""), HYPERLINK(CONCATENATE("#Metadata!", ADDRESS(INDEX($AJ$2:$AJ$1001,MATCH(ROWS($AH$2:AH844),$AH$2:$AH$1001,0),0), INDEX($AO$1004:$BQ$1004,1,MATCH(COLUMNS($AO$1006:BE1006),$AO$1006:$BQ$1006,0)))),"Fix")))</f>
        <v>#N/A</v>
      </c>
      <c r="S844" s="5" t="e">
        <f ca="1">IF(OR(INDEX($AI$2:$AI$1001,MATCH(ROWS($AH$2:AH844),$AH$2:$AH$1001,0),1)&gt;=100000,INDEX($AO$1005:$BQ$1005,1,MATCH(COLUMNS($AO$1006:BF1006),$AO$1006:$BQ$1006,0))&gt;=100000), " ",IF(INDEX($AO$2:$BQ$1001,MATCH(ROWS($AH$2:AH844),$AH$2:$AH$1001,0),MATCH(COLUMNS($AO$1006:BF1006),$AO$1006:$BQ$1006,0)), HYPERLINK("#",""), HYPERLINK(CONCATENATE("#Metadata!", ADDRESS(INDEX($AJ$2:$AJ$1001,MATCH(ROWS($AH$2:AH844),$AH$2:$AH$1001,0),0), INDEX($AO$1004:$BQ$1004,1,MATCH(COLUMNS($AO$1006:BF1006),$AO$1006:$BQ$1006,0)))),"Fix")))</f>
        <v>#N/A</v>
      </c>
      <c r="T844" s="5" t="e">
        <f ca="1">IF(OR(INDEX($AI$2:$AI$1001,MATCH(ROWS($AH$2:AH844),$AH$2:$AH$1001,0),1)&gt;=100000,INDEX($AO$1005:$BQ$1005,1,MATCH(COLUMNS($AO$1006:BG1006),$AO$1006:$BQ$1006,0))&gt;=100000), " ",IF(INDEX($AO$2:$BQ$1001,MATCH(ROWS($AH$2:AH844),$AH$2:$AH$1001,0),MATCH(COLUMNS($AO$1006:BG1006),$AO$1006:$BQ$1006,0)), HYPERLINK("#",""), HYPERLINK(CONCATENATE("#Metadata!", ADDRESS(INDEX($AJ$2:$AJ$1001,MATCH(ROWS($AH$2:AH844),$AH$2:$AH$1001,0),0), INDEX($AO$1004:$BQ$1004,1,MATCH(COLUMNS($AO$1006:BG1006),$AO$1006:$BQ$1006,0)))),"Fix")))</f>
        <v>#N/A</v>
      </c>
      <c r="U844" s="5" t="e">
        <f ca="1">IF(OR(INDEX($AI$2:$AI$1001,MATCH(ROWS($AH$2:AH844),$AH$2:$AH$1001,0),1)&gt;=100000,INDEX($AO$1005:$BQ$1005,1,MATCH(COLUMNS($AO$1006:BH1006),$AO$1006:$BQ$1006,0))&gt;=100000), " ",IF(INDEX($AO$2:$BQ$1001,MATCH(ROWS($AH$2:AH844),$AH$2:$AH$1001,0),MATCH(COLUMNS($AO$1006:BH1006),$AO$1006:$BQ$1006,0)), HYPERLINK("#",""), HYPERLINK(CONCATENATE("#Metadata!", ADDRESS(INDEX($AJ$2:$AJ$1001,MATCH(ROWS($AH$2:AH844),$AH$2:$AH$1001,0),0), INDEX($AO$1004:$BQ$1004,1,MATCH(COLUMNS($AO$1006:BH1006),$AO$1006:$BQ$1006,0)))),"Fix")))</f>
        <v>#N/A</v>
      </c>
      <c r="V844" s="5" t="e">
        <f ca="1">IF(OR(INDEX($AI$2:$AI$1001,MATCH(ROWS($AH$2:AH844),$AH$2:$AH$1001,0),1)&gt;=100000,INDEX($AO$1005:$BQ$1005,1,MATCH(COLUMNS($AO$1006:BI1006),$AO$1006:$BQ$1006,0))&gt;=100000), " ",IF(INDEX($AO$2:$BQ$1001,MATCH(ROWS($AH$2:AH844),$AH$2:$AH$1001,0),MATCH(COLUMNS($AO$1006:BI1006),$AO$1006:$BQ$1006,0)), HYPERLINK("#",""), HYPERLINK(CONCATENATE("#Metadata!", ADDRESS(INDEX($AJ$2:$AJ$1001,MATCH(ROWS($AH$2:AH844),$AH$2:$AH$1001,0),0), INDEX($AO$1004:$BQ$1004,1,MATCH(COLUMNS($AO$1006:BI1006),$AO$1006:$BQ$1006,0)))),"Fix")))</f>
        <v>#N/A</v>
      </c>
      <c r="W844" s="5" t="e">
        <f ca="1">IF(OR(INDEX($AI$2:$AI$1001,MATCH(ROWS($AH$2:AH844),$AH$2:$AH$1001,0),1)&gt;=100000,INDEX($AO$1005:$BQ$1005,1,MATCH(COLUMNS($AO$1006:BJ1006),$AO$1006:$BQ$1006,0))&gt;=100000), " ",IF(INDEX($AO$2:$BQ$1001,MATCH(ROWS($AH$2:AH844),$AH$2:$AH$1001,0),MATCH(COLUMNS($AO$1006:BJ1006),$AO$1006:$BQ$1006,0)), HYPERLINK("#",""), HYPERLINK(CONCATENATE("#Metadata!", ADDRESS(INDEX($AJ$2:$AJ$1001,MATCH(ROWS($AH$2:AH844),$AH$2:$AH$1001,0),0), INDEX($AO$1004:$BQ$1004,1,MATCH(COLUMNS($AO$1006:BJ1006),$AO$1006:$BQ$1006,0)))),"Fix")))</f>
        <v>#N/A</v>
      </c>
      <c r="X844" s="5" t="e">
        <f ca="1">IF(OR(INDEX($AI$2:$AI$1001,MATCH(ROWS($AH$2:AH844),$AH$2:$AH$1001,0),1)&gt;=100000,INDEX($AO$1005:$BQ$1005,1,MATCH(COLUMNS($AO$1006:BK1006),$AO$1006:$BQ$1006,0))&gt;=100000), " ",IF(INDEX($AO$2:$BQ$1001,MATCH(ROWS($AH$2:AH844),$AH$2:$AH$1001,0),MATCH(COLUMNS($AO$1006:BK1006),$AO$1006:$BQ$1006,0)), HYPERLINK("#",""), HYPERLINK(CONCATENATE("#Metadata!", ADDRESS(INDEX($AJ$2:$AJ$1001,MATCH(ROWS($AH$2:AH844),$AH$2:$AH$1001,0),0), INDEX($AO$1004:$BQ$1004,1,MATCH(COLUMNS($AO$1006:BK1006),$AO$1006:$BQ$1006,0)))),"Fix")))</f>
        <v>#N/A</v>
      </c>
      <c r="Y844" s="5" t="e">
        <f ca="1">IF(OR(INDEX($AI$2:$AI$1001,MATCH(ROWS($AH$2:AH844),$AH$2:$AH$1001,0),1)&gt;=100000,INDEX($AO$1005:$BQ$1005,1,MATCH(COLUMNS($AO$1006:BL1006),$AO$1006:$BQ$1006,0))&gt;=100000), " ",IF(INDEX($AO$2:$BQ$1001,MATCH(ROWS($AH$2:AH844),$AH$2:$AH$1001,0),MATCH(COLUMNS($AO$1006:BL1006),$AO$1006:$BQ$1006,0)), HYPERLINK("#",""), HYPERLINK(CONCATENATE("#Metadata!", ADDRESS(INDEX($AJ$2:$AJ$1001,MATCH(ROWS($AH$2:AH844),$AH$2:$AH$1001,0),0), INDEX($AO$1004:$BQ$1004,1,MATCH(COLUMNS($AO$1006:BL1006),$AO$1006:$BQ$1006,0)))),"Fix")))</f>
        <v>#N/A</v>
      </c>
      <c r="Z844" s="5" t="e">
        <f ca="1">IF(OR(INDEX($AI$2:$AI$1001,MATCH(ROWS($AH$2:AH844),$AH$2:$AH$1001,0),1)&gt;=100000,INDEX($AO$1005:$BQ$1005,1,MATCH(COLUMNS($AO$1006:BM1006),$AO$1006:$BQ$1006,0))&gt;=100000), " ",IF(INDEX($AO$2:$BQ$1001,MATCH(ROWS($AH$2:AH844),$AH$2:$AH$1001,0),MATCH(COLUMNS($AO$1006:BM1006),$AO$1006:$BQ$1006,0)), HYPERLINK("#",""), HYPERLINK(CONCATENATE("#Metadata!", ADDRESS(INDEX($AJ$2:$AJ$1001,MATCH(ROWS($AH$2:AH844),$AH$2:$AH$1001,0),0), INDEX($AO$1004:$BQ$1004,1,MATCH(COLUMNS($AO$1006:BM1006),$AO$1006:$BQ$1006,0)))),"Fix")))</f>
        <v>#N/A</v>
      </c>
      <c r="AA844" s="5" t="e">
        <f ca="1">IF(OR(INDEX($AI$2:$AI$1001,MATCH(ROWS($AH$2:AH844),$AH$2:$AH$1001,0),1)&gt;=100000,INDEX($AO$1005:$BQ$1005,1,MATCH(COLUMNS($AO$1006:BN1006),$AO$1006:$BQ$1006,0))&gt;=100000), " ",IF(INDEX($AO$2:$BQ$1001,MATCH(ROWS($AH$2:AH844),$AH$2:$AH$1001,0),MATCH(COLUMNS($AO$1006:BN1006),$AO$1006:$BQ$1006,0)), HYPERLINK("#",""), HYPERLINK(CONCATENATE("#Metadata!", ADDRESS(INDEX($AJ$2:$AJ$1001,MATCH(ROWS($AH$2:AH844),$AH$2:$AH$1001,0),0), INDEX($AO$1004:$BQ$1004,1,MATCH(COLUMNS($AO$1006:BN1006),$AO$1006:$BQ$1006,0)))),"Fix")))</f>
        <v>#N/A</v>
      </c>
      <c r="AB844" s="5" t="e">
        <f ca="1">IF(OR(INDEX($AI$2:$AI$1001,MATCH(ROWS($AH$2:AH844),$AH$2:$AH$1001,0),1)&gt;=100000,INDEX($AO$1005:$BQ$1005,1,MATCH(COLUMNS($AO$1006:BO1006),$AO$1006:$BQ$1006,0))&gt;=100000), " ",IF(INDEX($AO$2:$BQ$1001,MATCH(ROWS($AH$2:AH844),$AH$2:$AH$1001,0),MATCH(COLUMNS($AO$1006:BO1006),$AO$1006:$BQ$1006,0)), HYPERLINK("#",""), HYPERLINK(CONCATENATE("#Metadata!", ADDRESS(INDEX($AJ$2:$AJ$1001,MATCH(ROWS($AH$2:AH844),$AH$2:$AH$1001,0),0), INDEX($AO$1004:$BQ$1004,1,MATCH(COLUMNS($AO$1006:BO1006),$AO$1006:$BQ$1006,0)))),"Fix")))</f>
        <v>#N/A</v>
      </c>
      <c r="AC844" s="5" t="e">
        <f ca="1">IF(OR(INDEX($AI$2:$AI$1001,MATCH(ROWS($AH$2:AH844),$AH$2:$AH$1001,0),1)&gt;=100000,INDEX($AO$1005:$BQ$1005,1,MATCH(COLUMNS($AO$1006:BP1006),$AO$1006:$BQ$1006,0))&gt;=100000), " ",IF(INDEX($AO$2:$BQ$1001,MATCH(ROWS($AH$2:AH844),$AH$2:$AH$1001,0),MATCH(COLUMNS($AO$1006:BP1006),$AO$1006:$BQ$1006,0)), HYPERLINK("#",""), HYPERLINK(CONCATENATE("#Metadata!", ADDRESS(INDEX($AJ$2:$AJ$1001,MATCH(ROWS($AH$2:AH844),$AH$2:$AH$1001,0),0), INDEX($AO$1004:$BQ$1004,1,MATCH(COLUMNS($AO$1006:BP1006),$AO$1006:$BQ$1006,0)))),"Fix")))</f>
        <v>#N/A</v>
      </c>
      <c r="AD844" s="5" t="e">
        <f ca="1">IF(OR(INDEX($AI$2:$AI$1001,MATCH(ROWS($AH$2:AH844),$AH$2:$AH$1001,0),1)&gt;=100000,INDEX($AO$1005:$BQ$1005,1,MATCH(COLUMNS($AO$1006:BQ1006),$AO$1006:$BQ$1006,0))&gt;=100000), " ",IF(INDEX($AO$2:$BQ$1001,MATCH(ROWS($AH$2:AH844),$AH$2:$AH$1001,0),MATCH(COLUMNS($AO$1006:BQ1006),$AO$1006:$BQ$1006,0)), HYPERLINK("#",""), HYPERLINK(CONCATENATE("#Metadata!", ADDRESS(INDEX($AJ$2:$AJ$1001,MATCH(ROWS($AH$2:AH844),$AH$2:$AH$1001,0),0), INDEX($AO$1004:$BQ$1004,1,MATCH(COLUMNS($AO$1006:BQ1006),$AO$1006:$BQ$1006,0)))),"Fix")))</f>
        <v>#REF!</v>
      </c>
      <c r="AH844">
        <f ca="1"/>
        <v>841</v>
      </c>
      <c r="AI844">
        <v>100844</v>
      </c>
      <c r="AJ844">
        <v>844</v>
      </c>
      <c r="AK844" t="b">
        <f t="shared" si="13"/>
        <v>1</v>
      </c>
      <c r="AL844" t="b">
        <f>COUNTBLANK(Metadata!B844:AD844)=COLUMNS(Metadata!B844:AD844)</f>
        <v>1</v>
      </c>
      <c r="AM844" t="str">
        <v/>
      </c>
      <c r="AO844" t="b">
        <f ca="1">AND(IF(Metadata!B844="",FALSE,TRUE),COUNTIF(Metadata!B:B, Metadata!B844) = 1,NOT(ISERROR(SUMPRODUCT(SEARCH(MID(Metadata!B844,ROW(INDIRECT("1:"&amp;LEN(Metadata!B844))), 1),"0123456789abcdefghijklmnopqrstuvwxyzABCDEFGHIJKLMNOPQRSTUVWXYZ.")))))</f>
        <v>0</v>
      </c>
      <c r="AP844" t="b">
        <f>IF(Metadata!C844="",FALSE,TRUE)</f>
        <v>0</v>
      </c>
      <c r="AQ844" t="b">
        <f>IF(Metadata!D844="",FALSE,TRUE)</f>
        <v>0</v>
      </c>
      <c r="AR844" t="b">
        <f ca="1">OR(AND(IF(Metadata!E844="",FALSE,TRUE),OR(EXACT(Metadata!E844,"not collected"),EXACT(Metadata!E844,"not provided"),EXACT(Metadata!E844,"restricted access"))),AND(IF(Metadata!E844="",FALSE,TRUE),AND(AND(IFERROR(INT(LEFT(Metadata!E844,4))&gt;1900,FALSE),IFERROR(INT(LEFT(Metadata!E844,4))&lt;=YEAR(NOW()),FALSE)), OR(MID(Metadata!E844,5,1)="", AND(AND(MID(Metadata!E844,5,1)="-",IFERROR(INT(MID(Metadata!E844,6,1))&gt;=0,FALSE),IFERROR(INT(MID(Metadata!E844,6,1))&lt;=1,FALSE),NOT(MID(Metadata!E844,7,1)=""),IFERROR(INT(MID(Metadata!E844,6,2))&gt;=1,FALSE),IFERROR(INT(MID(Metadata!E844,6,2))&lt;=12,FALSE)), OR(MID(Metadata!E844,8,1)="", AND(AND(MID(Metadata!E844,8,1)="-",IFERROR(INT(MID(Metadata!E844,9,1))&gt;=0,FALSE),IFERROR(INT(MID(Metadata!E844,9,1))&lt;=3,FALSE),NOT(MID(Metadata!E844,10,1)=""),IFERROR(INT(MID(Metadata!E844,9,2))&gt;=1,FALSE),IFERROR(INT(MID(Metadata!E844,9,2))&lt;=31,FALSE)), OR(MID(Metadata!E844,11,1)="", AND(AND(MID(Metadata!E844,11,1)=" ",IFERROR(INT(MID(Metadata!E844,12,1))&gt;=0,FALSE),IFERROR(INT(MID(Metadata!E844,12,1))&lt;=2,FALSE),NOT(MID(Metadata!E844,13,1)=""),IFERROR(INT(MID(Metadata!E844,12,2))&gt;=0,FALSE),IFERROR(INT(MID(Metadata!E844,12,2))&lt;=23,FALSE)), OR(MID(Metadata!E844,14,1)="", AND(AND(MID(Metadata!E844,14,1)=":",IFERROR(INT(MID(Metadata!E844,15,1))&gt;=0,FALSE),IFERROR(INT(MID(Metadata!E844,15,1))&lt;=5,FALSE),NOT(MID(Metadata!E844,16,1)=""),IFERROR(INT(MID(Metadata!E844,15,2))&gt;=0,FALSE),IFERROR(INT(MID(Metadata!E844,15,2))&lt;=59,FALSE)), OR(MID(Metadata!E844,17,1)="", AND(AND(MID(Metadata!E844,17,1)=":",IFERROR(INT(MID(Metadata!E844,18,1))&gt;=0,FALSE),IFERROR(INT(MID(Metadata!E844,18,1))&lt;=5,FALSE),NOT(MID(Metadata!E844,19,1)=""),IFERROR(INT(MID(Metadata!E844,18,2))&gt;=0,FALSE),IFERROR(INT(MID(Metadata!E844,18,2))&lt;=59,FALSE)), LEN(Metadata!E844)&lt;=19)))))))))))))</f>
        <v>0</v>
      </c>
      <c r="AS844" t="b">
        <f>IF(Metadata!F844="",FALSE,TRUE)</f>
        <v>0</v>
      </c>
      <c r="AT844" t="b">
        <f>OR(AND(IF(Metadata!G844="",FALSE,TRUE),OR(EXACT(Metadata!G844,"not collected"),EXACT(Metadata!G844,"not provided"))),AND(IF(Metadata!G844="",FALSE,TRUE),OR(EXACT(Metadata!G844,"TRUE"),EXACT(Metadata!G844,"FALSE"))))</f>
        <v>0</v>
      </c>
      <c r="AU844" t="b">
        <f>OR(AND(IF(Metadata!H844="",FALSE,TRUE),OR(EXACT(Metadata!H844,"not collected"),EXACT(Metadata!H844,"not provided"),EXACT(Metadata!H844,"restricted access"))),AND(IF(Metadata!H844="",FALSE,ISNUMBER(VALUE(Metadata!H844))),Metadata!H844&gt;=-413))</f>
        <v>0</v>
      </c>
      <c r="AV844" t="b">
        <f>AND(IF(Metadata!I844="",FALSE,TRUE),EXACT(Metadata!I844,"meters"))</f>
        <v>0</v>
      </c>
      <c r="AW844" t="b">
        <f>AND(IF(Metadata!J844="",FALSE,TRUE),EXACT(Metadata!J844,"free-living"))</f>
        <v>0</v>
      </c>
      <c r="AX844" t="b">
        <f>AND(IF(Metadata!K844="",FALSE,TRUE),OR(EXACT(Metadata!K844,"saline"),EXACT(Metadata!K844,"non-saline")))</f>
        <v>0</v>
      </c>
      <c r="AY844" t="b">
        <f>AND(IF(Metadata!L844="",FALSE,TRUE),OR(EXACT(Metadata!L844,"sub-surface (non-saline)"),EXACT(Metadata!L844,"surface (non-saline)"),EXACT(Metadata!L844,"water (non-saline)"),EXACT(Metadata!L844,"soil (non-saline)"),EXACT(Metadata!L844,"aerosol (non-saline)"),EXACT(Metadata!L844,"sediment (non-saline)"),EXACT(Metadata!L844,"surface (saline)"),EXACT(Metadata!L844,"water (saline)"),EXACT(Metadata!L844,"hypersaline (saline)"),EXACT(Metadata!L844,"aerosol (saline)"),EXACT(Metadata!L844,"sediment (saline)")))</f>
        <v>0</v>
      </c>
      <c r="AZ844" t="b">
        <f>IF(Metadata!M844="",FALSE,TRUE)</f>
        <v>0</v>
      </c>
      <c r="BA844" t="b">
        <f>IF(Metadata!N844="",FALSE,TRUE)</f>
        <v>0</v>
      </c>
      <c r="BB844" t="b">
        <f>IF(Metadata!O844="",FALSE,TRUE)</f>
        <v>0</v>
      </c>
      <c r="BC844" t="b">
        <f>AND(IF(Metadata!P844="",FALSE,TRUE),OR(EXACT(Metadata!P844,"air"),EXACT(Metadata!P844,"microbial mat/biofilm"),EXACT(Metadata!P844,"misc environment"),EXACT(Metadata!P844,"sediment"),EXACT(Metadata!P844,"soil"),EXACT(Metadata!P844,"wastewater/sludge"),EXACT(Metadata!P844,"water")))</f>
        <v>0</v>
      </c>
      <c r="BD844" t="b">
        <f>IF(Metadata!Q844="",FALSE,TRUE)</f>
        <v>0</v>
      </c>
      <c r="BE844" t="b">
        <f>IF(Metadata!R844="",FALSE,TRUE)</f>
        <v>0</v>
      </c>
      <c r="BF844" t="b">
        <f>OR(AND(IF(Metadata!S844="",FALSE,TRUE),OR(EXACT(Metadata!S844,"not collected"),EXACT(Metadata!S844,"not provided"),EXACT(Metadata!S844,"restricted access"))),AND(IF(Metadata!S844="",FALSE,ISNUMBER(VALUE(Metadata!S844))),Metadata!S844&gt;=-90,Metadata!S844&lt;=90))</f>
        <v>0</v>
      </c>
      <c r="BG844" t="b">
        <f>AND(IF(Metadata!T844="",FALSE,TRUE),EXACT(Metadata!T844,"Decimal degrees"))</f>
        <v>0</v>
      </c>
      <c r="BH844" t="b">
        <f>OR(AND(IF(Metadata!U844="",FALSE,TRUE),OR(EXACT(Metadata!U844,"not applicable"),EXACT(Metadata!U844,"not collected"))),IF(Metadata!U844="",FALSE,TRUE))</f>
        <v>0</v>
      </c>
      <c r="BI844" t="b">
        <f>OR(AND(IF(Metadata!V844="",FALSE,TRUE),OR(EXACT(Metadata!V844,"not collected"),EXACT(Metadata!V844,"not provided"),EXACT(Metadata!V844,"restricted access"))),AND(IF(Metadata!V844="",FALSE,ISNUMBER(VALUE(Metadata!V844))),Metadata!V844&gt;=-180,Metadata!V844&lt;=180))</f>
        <v>0</v>
      </c>
      <c r="BJ844" t="b">
        <f>AND(IF(Metadata!W844="",FALSE,TRUE),EXACT(Metadata!W844,"Decimal degrees"))</f>
        <v>0</v>
      </c>
      <c r="BK844" t="b">
        <f>IF(Metadata!X844="",FALSE,TRUE)</f>
        <v>0</v>
      </c>
      <c r="BL844" t="b">
        <f>OR(AND(IF(Metadata!Y844="",FALSE,TRUE),OR(EXACT(Metadata!Y844,"not collected"),EXACT(Metadata!Y844,"not provided"),EXACT(Metadata!Y844,"restricted access"))),AND(IF(Metadata!Y844="",FALSE,TRUE),OR(EXACT(Metadata!Y844,"TRUE"),EXACT(Metadata!Y844,"FALSE"))))</f>
        <v>0</v>
      </c>
      <c r="BM844" t="b">
        <f>OR(AND(IF(Metadata!Z844="",FALSE,TRUE),EXACT(Metadata!Z844,"not applicable")),AND(IF(Metadata!Z844="",FALSE,TRUE),OR(EXACT(Metadata!Z844,"beer"),EXACT(Metadata!Z844,"cheese"),EXACT(Metadata!Z844,"fresh water"),EXACT(Metadata!Z844,"marine sediment"),EXACT(Metadata!Z844,"sea water"),EXACT(Metadata!Z844,"sediment"),EXACT(Metadata!Z844,"soil"),EXACT(Metadata!Z844,"waste water"))))</f>
        <v>0</v>
      </c>
      <c r="BN844" t="b">
        <f>AND(IF(Metadata!AA844="",FALSE,TRUE),EXACT(Metadata!AA844,"metagenome"))</f>
        <v>0</v>
      </c>
      <c r="BO844" t="b">
        <f>AND(IF(Metadata!AB844="",FALSE,TRUE),EXACT(Metadata!AB844,"256318"))</f>
        <v>0</v>
      </c>
      <c r="BP844" t="b">
        <f>IF(Metadata!AC844="",FALSE,TRUE)</f>
        <v>0</v>
      </c>
      <c r="BQ844" t="b">
        <f>IF(Metadata!AD844="",FALSE,TRUE)</f>
        <v>0</v>
      </c>
    </row>
    <row r="845" spans="1:69" x14ac:dyDescent="0.2">
      <c r="A845" s="4" t="e">
        <f ca="1">IF(B845=" "," ",HYPERLINK(CONCATENATE("#metadata!",ADDRESS(INDEX($AJ$2:$AJ$1001,MATCH(ROWS($AH$2:AH845),$AH$2:$AH$1001,0),0),2)),INDEX($AM$2:$AM$1001,MATCH(ROWS($AH$2:AH845),$AH$2:$AH$1001,0),0)))</f>
        <v>#N/A</v>
      </c>
      <c r="B845" s="5" t="e">
        <f ca="1">IF(OR(INDEX($AI$2:$AI$1001,MATCH(ROWS($AH$2:AH845),$AH$2:$AH$1001,0),1)&gt;=100000,INDEX($AO$1005:$BQ$1005,1,MATCH(COLUMNS($AO$1006:AO1006),$AO$1006:$BQ$1006,0))&gt;=100000), " ",IF(INDEX($AO$2:$BQ$1001,MATCH(ROWS($AH$2:AH845),$AH$2:$AH$1001,0),MATCH(COLUMNS($AO$1006:AO1006),$AO$1006:$BQ$1006,0)), HYPERLINK("#",""), HYPERLINK(CONCATENATE("#Metadata!", ADDRESS(INDEX($AJ$2:$AJ$1001,MATCH(ROWS($AH$2:AH845),$AH$2:$AH$1001,0),0), INDEX($AO$1004:$BQ$1004,1,MATCH(COLUMNS($AO$1006:AO1006),$AO$1006:$BQ$1006,0)))),"Fix")))</f>
        <v>#N/A</v>
      </c>
      <c r="C845" s="5" t="e">
        <f ca="1">IF(OR(INDEX($AI$2:$AI$1001,MATCH(ROWS($AH$2:AH845),$AH$2:$AH$1001,0),1)&gt;=100000,INDEX($AO$1005:$BQ$1005,1,MATCH(COLUMNS($AO$1006:AP1006),$AO$1006:$BQ$1006,0))&gt;=100000), " ",IF(INDEX($AO$2:$BQ$1001,MATCH(ROWS($AH$2:AH845),$AH$2:$AH$1001,0),MATCH(COLUMNS($AO$1006:AP1006),$AO$1006:$BQ$1006,0)), HYPERLINK("#",""), HYPERLINK(CONCATENATE("#Metadata!", ADDRESS(INDEX($AJ$2:$AJ$1001,MATCH(ROWS($AH$2:AH845),$AH$2:$AH$1001,0),0), INDEX($AO$1004:$BQ$1004,1,MATCH(COLUMNS($AO$1006:AP1006),$AO$1006:$BQ$1006,0)))),"Fix")))</f>
        <v>#N/A</v>
      </c>
      <c r="D845" s="5" t="e">
        <f ca="1">IF(OR(INDEX($AI$2:$AI$1001,MATCH(ROWS($AH$2:AH845),$AH$2:$AH$1001,0),1)&gt;=100000,INDEX($AO$1005:$BQ$1005,1,MATCH(COLUMNS($AO$1006:AQ1006),$AO$1006:$BQ$1006,0))&gt;=100000), " ",IF(INDEX($AO$2:$BQ$1001,MATCH(ROWS($AH$2:AH845),$AH$2:$AH$1001,0),MATCH(COLUMNS($AO$1006:AQ1006),$AO$1006:$BQ$1006,0)), HYPERLINK("#",""), HYPERLINK(CONCATENATE("#Metadata!", ADDRESS(INDEX($AJ$2:$AJ$1001,MATCH(ROWS($AH$2:AH845),$AH$2:$AH$1001,0),0), INDEX($AO$1004:$BQ$1004,1,MATCH(COLUMNS($AO$1006:AQ1006),$AO$1006:$BQ$1006,0)))),"Fix")))</f>
        <v>#N/A</v>
      </c>
      <c r="E845" s="5" t="e">
        <f ca="1">IF(OR(INDEX($AI$2:$AI$1001,MATCH(ROWS($AH$2:AH845),$AH$2:$AH$1001,0),1)&gt;=100000,INDEX($AO$1005:$BQ$1005,1,MATCH(COLUMNS($AO$1006:AR1006),$AO$1006:$BQ$1006,0))&gt;=100000), " ",IF(INDEX($AO$2:$BQ$1001,MATCH(ROWS($AH$2:AH845),$AH$2:$AH$1001,0),MATCH(COLUMNS($AO$1006:AR1006),$AO$1006:$BQ$1006,0)), HYPERLINK("#",""), HYPERLINK(CONCATENATE("#Metadata!", ADDRESS(INDEX($AJ$2:$AJ$1001,MATCH(ROWS($AH$2:AH845),$AH$2:$AH$1001,0),0), INDEX($AO$1004:$BQ$1004,1,MATCH(COLUMNS($AO$1006:AR1006),$AO$1006:$BQ$1006,0)))),"Fix")))</f>
        <v>#N/A</v>
      </c>
      <c r="F845" s="5" t="e">
        <f ca="1">IF(OR(INDEX($AI$2:$AI$1001,MATCH(ROWS($AH$2:AH845),$AH$2:$AH$1001,0),1)&gt;=100000,INDEX($AO$1005:$BQ$1005,1,MATCH(COLUMNS($AO$1006:AS1006),$AO$1006:$BQ$1006,0))&gt;=100000), " ",IF(INDEX($AO$2:$BQ$1001,MATCH(ROWS($AH$2:AH845),$AH$2:$AH$1001,0),MATCH(COLUMNS($AO$1006:AS1006),$AO$1006:$BQ$1006,0)), HYPERLINK("#",""), HYPERLINK(CONCATENATE("#Metadata!", ADDRESS(INDEX($AJ$2:$AJ$1001,MATCH(ROWS($AH$2:AH845),$AH$2:$AH$1001,0),0), INDEX($AO$1004:$BQ$1004,1,MATCH(COLUMNS($AO$1006:AS1006),$AO$1006:$BQ$1006,0)))),"Fix")))</f>
        <v>#N/A</v>
      </c>
      <c r="G845" s="5" t="e">
        <f ca="1">IF(OR(INDEX($AI$2:$AI$1001,MATCH(ROWS($AH$2:AH845),$AH$2:$AH$1001,0),1)&gt;=100000,INDEX($AO$1005:$BQ$1005,1,MATCH(COLUMNS($AO$1006:AT1006),$AO$1006:$BQ$1006,0))&gt;=100000), " ",IF(INDEX($AO$2:$BQ$1001,MATCH(ROWS($AH$2:AH845),$AH$2:$AH$1001,0),MATCH(COLUMNS($AO$1006:AT1006),$AO$1006:$BQ$1006,0)), HYPERLINK("#",""), HYPERLINK(CONCATENATE("#Metadata!", ADDRESS(INDEX($AJ$2:$AJ$1001,MATCH(ROWS($AH$2:AH845),$AH$2:$AH$1001,0),0), INDEX($AO$1004:$BQ$1004,1,MATCH(COLUMNS($AO$1006:AT1006),$AO$1006:$BQ$1006,0)))),"Fix")))</f>
        <v>#N/A</v>
      </c>
      <c r="H845" s="5" t="e">
        <f ca="1">IF(OR(INDEX($AI$2:$AI$1001,MATCH(ROWS($AH$2:AH845),$AH$2:$AH$1001,0),1)&gt;=100000,INDEX($AO$1005:$BQ$1005,1,MATCH(COLUMNS($AO$1006:AU1006),$AO$1006:$BQ$1006,0))&gt;=100000), " ",IF(INDEX($AO$2:$BQ$1001,MATCH(ROWS($AH$2:AH845),$AH$2:$AH$1001,0),MATCH(COLUMNS($AO$1006:AU1006),$AO$1006:$BQ$1006,0)), HYPERLINK("#",""), HYPERLINK(CONCATENATE("#Metadata!", ADDRESS(INDEX($AJ$2:$AJ$1001,MATCH(ROWS($AH$2:AH845),$AH$2:$AH$1001,0),0), INDEX($AO$1004:$BQ$1004,1,MATCH(COLUMNS($AO$1006:AU1006),$AO$1006:$BQ$1006,0)))),"Fix")))</f>
        <v>#N/A</v>
      </c>
      <c r="I845" s="5" t="e">
        <f ca="1">IF(OR(INDEX($AI$2:$AI$1001,MATCH(ROWS($AH$2:AH845),$AH$2:$AH$1001,0),1)&gt;=100000,INDEX($AO$1005:$BQ$1005,1,MATCH(COLUMNS($AO$1006:AV1006),$AO$1006:$BQ$1006,0))&gt;=100000), " ",IF(INDEX($AO$2:$BQ$1001,MATCH(ROWS($AH$2:AH845),$AH$2:$AH$1001,0),MATCH(COLUMNS($AO$1006:AV1006),$AO$1006:$BQ$1006,0)), HYPERLINK("#",""), HYPERLINK(CONCATENATE("#Metadata!", ADDRESS(INDEX($AJ$2:$AJ$1001,MATCH(ROWS($AH$2:AH845),$AH$2:$AH$1001,0),0), INDEX($AO$1004:$BQ$1004,1,MATCH(COLUMNS($AO$1006:AV1006),$AO$1006:$BQ$1006,0)))),"Fix")))</f>
        <v>#N/A</v>
      </c>
      <c r="J845" s="5" t="e">
        <f ca="1">IF(OR(INDEX($AI$2:$AI$1001,MATCH(ROWS($AH$2:AH845),$AH$2:$AH$1001,0),1)&gt;=100000,INDEX($AO$1005:$BQ$1005,1,MATCH(COLUMNS($AO$1006:AW1006),$AO$1006:$BQ$1006,0))&gt;=100000), " ",IF(INDEX($AO$2:$BQ$1001,MATCH(ROWS($AH$2:AH845),$AH$2:$AH$1001,0),MATCH(COLUMNS($AO$1006:AW1006),$AO$1006:$BQ$1006,0)), HYPERLINK("#",""), HYPERLINK(CONCATENATE("#Metadata!", ADDRESS(INDEX($AJ$2:$AJ$1001,MATCH(ROWS($AH$2:AH845),$AH$2:$AH$1001,0),0), INDEX($AO$1004:$BQ$1004,1,MATCH(COLUMNS($AO$1006:AW1006),$AO$1006:$BQ$1006,0)))),"Fix")))</f>
        <v>#N/A</v>
      </c>
      <c r="K845" s="5" t="e">
        <f ca="1">IF(OR(INDEX($AI$2:$AI$1001,MATCH(ROWS($AH$2:AH845),$AH$2:$AH$1001,0),1)&gt;=100000,INDEX($AO$1005:$BQ$1005,1,MATCH(COLUMNS($AO$1006:AX1006),$AO$1006:$BQ$1006,0))&gt;=100000), " ",IF(INDEX($AO$2:$BQ$1001,MATCH(ROWS($AH$2:AH845),$AH$2:$AH$1001,0),MATCH(COLUMNS($AO$1006:AX1006),$AO$1006:$BQ$1006,0)), HYPERLINK("#",""), HYPERLINK(CONCATENATE("#Metadata!", ADDRESS(INDEX($AJ$2:$AJ$1001,MATCH(ROWS($AH$2:AH845),$AH$2:$AH$1001,0),0), INDEX($AO$1004:$BQ$1004,1,MATCH(COLUMNS($AO$1006:AX1006),$AO$1006:$BQ$1006,0)))),"Fix")))</f>
        <v>#N/A</v>
      </c>
      <c r="L845" s="5" t="e">
        <f ca="1">IF(OR(INDEX($AI$2:$AI$1001,MATCH(ROWS($AH$2:AH845),$AH$2:$AH$1001,0),1)&gt;=100000,INDEX($AO$1005:$BQ$1005,1,MATCH(COLUMNS($AO$1006:AY1006),$AO$1006:$BQ$1006,0))&gt;=100000), " ",IF(INDEX($AO$2:$BQ$1001,MATCH(ROWS($AH$2:AH845),$AH$2:$AH$1001,0),MATCH(COLUMNS($AO$1006:AY1006),$AO$1006:$BQ$1006,0)), HYPERLINK("#",""), HYPERLINK(CONCATENATE("#Metadata!", ADDRESS(INDEX($AJ$2:$AJ$1001,MATCH(ROWS($AH$2:AH845),$AH$2:$AH$1001,0),0), INDEX($AO$1004:$BQ$1004,1,MATCH(COLUMNS($AO$1006:AY1006),$AO$1006:$BQ$1006,0)))),"Fix")))</f>
        <v>#N/A</v>
      </c>
      <c r="M845" s="5" t="e">
        <f ca="1">IF(OR(INDEX($AI$2:$AI$1001,MATCH(ROWS($AH$2:AH845),$AH$2:$AH$1001,0),1)&gt;=100000,INDEX($AO$1005:$BQ$1005,1,MATCH(COLUMNS($AO$1006:AZ1006),$AO$1006:$BQ$1006,0))&gt;=100000), " ",IF(INDEX($AO$2:$BQ$1001,MATCH(ROWS($AH$2:AH845),$AH$2:$AH$1001,0),MATCH(COLUMNS($AO$1006:AZ1006),$AO$1006:$BQ$1006,0)), HYPERLINK("#",""), HYPERLINK(CONCATENATE("#Metadata!", ADDRESS(INDEX($AJ$2:$AJ$1001,MATCH(ROWS($AH$2:AH845),$AH$2:$AH$1001,0),0), INDEX($AO$1004:$BQ$1004,1,MATCH(COLUMNS($AO$1006:AZ1006),$AO$1006:$BQ$1006,0)))),"Fix")))</f>
        <v>#N/A</v>
      </c>
      <c r="N845" s="5" t="e">
        <f ca="1">IF(OR(INDEX($AI$2:$AI$1001,MATCH(ROWS($AH$2:AH845),$AH$2:$AH$1001,0),1)&gt;=100000,INDEX($AO$1005:$BQ$1005,1,MATCH(COLUMNS($AO$1006:BA1006),$AO$1006:$BQ$1006,0))&gt;=100000), " ",IF(INDEX($AO$2:$BQ$1001,MATCH(ROWS($AH$2:AH845),$AH$2:$AH$1001,0),MATCH(COLUMNS($AO$1006:BA1006),$AO$1006:$BQ$1006,0)), HYPERLINK("#",""), HYPERLINK(CONCATENATE("#Metadata!", ADDRESS(INDEX($AJ$2:$AJ$1001,MATCH(ROWS($AH$2:AH845),$AH$2:$AH$1001,0),0), INDEX($AO$1004:$BQ$1004,1,MATCH(COLUMNS($AO$1006:BA1006),$AO$1006:$BQ$1006,0)))),"Fix")))</f>
        <v>#N/A</v>
      </c>
      <c r="O845" s="5" t="e">
        <f ca="1">IF(OR(INDEX($AI$2:$AI$1001,MATCH(ROWS($AH$2:AH845),$AH$2:$AH$1001,0),1)&gt;=100000,INDEX($AO$1005:$BQ$1005,1,MATCH(COLUMNS($AO$1006:BB1006),$AO$1006:$BQ$1006,0))&gt;=100000), " ",IF(INDEX($AO$2:$BQ$1001,MATCH(ROWS($AH$2:AH845),$AH$2:$AH$1001,0),MATCH(COLUMNS($AO$1006:BB1006),$AO$1006:$BQ$1006,0)), HYPERLINK("#",""), HYPERLINK(CONCATENATE("#Metadata!", ADDRESS(INDEX($AJ$2:$AJ$1001,MATCH(ROWS($AH$2:AH845),$AH$2:$AH$1001,0),0), INDEX($AO$1004:$BQ$1004,1,MATCH(COLUMNS($AO$1006:BB1006),$AO$1006:$BQ$1006,0)))),"Fix")))</f>
        <v>#N/A</v>
      </c>
      <c r="P845" s="5" t="e">
        <f ca="1">IF(OR(INDEX($AI$2:$AI$1001,MATCH(ROWS($AH$2:AH845),$AH$2:$AH$1001,0),1)&gt;=100000,INDEX($AO$1005:$BQ$1005,1,MATCH(COLUMNS($AO$1006:BC1006),$AO$1006:$BQ$1006,0))&gt;=100000), " ",IF(INDEX($AO$2:$BQ$1001,MATCH(ROWS($AH$2:AH845),$AH$2:$AH$1001,0),MATCH(COLUMNS($AO$1006:BC1006),$AO$1006:$BQ$1006,0)), HYPERLINK("#",""), HYPERLINK(CONCATENATE("#Metadata!", ADDRESS(INDEX($AJ$2:$AJ$1001,MATCH(ROWS($AH$2:AH845),$AH$2:$AH$1001,0),0), INDEX($AO$1004:$BQ$1004,1,MATCH(COLUMNS($AO$1006:BC1006),$AO$1006:$BQ$1006,0)))),"Fix")))</f>
        <v>#N/A</v>
      </c>
      <c r="Q845" s="5" t="e">
        <f ca="1">IF(OR(INDEX($AI$2:$AI$1001,MATCH(ROWS($AH$2:AH845),$AH$2:$AH$1001,0),1)&gt;=100000,INDEX($AO$1005:$BQ$1005,1,MATCH(COLUMNS($AO$1006:BD1006),$AO$1006:$BQ$1006,0))&gt;=100000), " ",IF(INDEX($AO$2:$BQ$1001,MATCH(ROWS($AH$2:AH845),$AH$2:$AH$1001,0),MATCH(COLUMNS($AO$1006:BD1006),$AO$1006:$BQ$1006,0)), HYPERLINK("#",""), HYPERLINK(CONCATENATE("#Metadata!", ADDRESS(INDEX($AJ$2:$AJ$1001,MATCH(ROWS($AH$2:AH845),$AH$2:$AH$1001,0),0), INDEX($AO$1004:$BQ$1004,1,MATCH(COLUMNS($AO$1006:BD1006),$AO$1006:$BQ$1006,0)))),"Fix")))</f>
        <v>#N/A</v>
      </c>
      <c r="R845" s="5" t="e">
        <f ca="1">IF(OR(INDEX($AI$2:$AI$1001,MATCH(ROWS($AH$2:AH845),$AH$2:$AH$1001,0),1)&gt;=100000,INDEX($AO$1005:$BQ$1005,1,MATCH(COLUMNS($AO$1006:BE1006),$AO$1006:$BQ$1006,0))&gt;=100000), " ",IF(INDEX($AO$2:$BQ$1001,MATCH(ROWS($AH$2:AH845),$AH$2:$AH$1001,0),MATCH(COLUMNS($AO$1006:BE1006),$AO$1006:$BQ$1006,0)), HYPERLINK("#",""), HYPERLINK(CONCATENATE("#Metadata!", ADDRESS(INDEX($AJ$2:$AJ$1001,MATCH(ROWS($AH$2:AH845),$AH$2:$AH$1001,0),0), INDEX($AO$1004:$BQ$1004,1,MATCH(COLUMNS($AO$1006:BE1006),$AO$1006:$BQ$1006,0)))),"Fix")))</f>
        <v>#N/A</v>
      </c>
      <c r="S845" s="5" t="e">
        <f ca="1">IF(OR(INDEX($AI$2:$AI$1001,MATCH(ROWS($AH$2:AH845),$AH$2:$AH$1001,0),1)&gt;=100000,INDEX($AO$1005:$BQ$1005,1,MATCH(COLUMNS($AO$1006:BF1006),$AO$1006:$BQ$1006,0))&gt;=100000), " ",IF(INDEX($AO$2:$BQ$1001,MATCH(ROWS($AH$2:AH845),$AH$2:$AH$1001,0),MATCH(COLUMNS($AO$1006:BF1006),$AO$1006:$BQ$1006,0)), HYPERLINK("#",""), HYPERLINK(CONCATENATE("#Metadata!", ADDRESS(INDEX($AJ$2:$AJ$1001,MATCH(ROWS($AH$2:AH845),$AH$2:$AH$1001,0),0), INDEX($AO$1004:$BQ$1004,1,MATCH(COLUMNS($AO$1006:BF1006),$AO$1006:$BQ$1006,0)))),"Fix")))</f>
        <v>#N/A</v>
      </c>
      <c r="T845" s="5" t="e">
        <f ca="1">IF(OR(INDEX($AI$2:$AI$1001,MATCH(ROWS($AH$2:AH845),$AH$2:$AH$1001,0),1)&gt;=100000,INDEX($AO$1005:$BQ$1005,1,MATCH(COLUMNS($AO$1006:BG1006),$AO$1006:$BQ$1006,0))&gt;=100000), " ",IF(INDEX($AO$2:$BQ$1001,MATCH(ROWS($AH$2:AH845),$AH$2:$AH$1001,0),MATCH(COLUMNS($AO$1006:BG1006),$AO$1006:$BQ$1006,0)), HYPERLINK("#",""), HYPERLINK(CONCATENATE("#Metadata!", ADDRESS(INDEX($AJ$2:$AJ$1001,MATCH(ROWS($AH$2:AH845),$AH$2:$AH$1001,0),0), INDEX($AO$1004:$BQ$1004,1,MATCH(COLUMNS($AO$1006:BG1006),$AO$1006:$BQ$1006,0)))),"Fix")))</f>
        <v>#N/A</v>
      </c>
      <c r="U845" s="5" t="e">
        <f ca="1">IF(OR(INDEX($AI$2:$AI$1001,MATCH(ROWS($AH$2:AH845),$AH$2:$AH$1001,0),1)&gt;=100000,INDEX($AO$1005:$BQ$1005,1,MATCH(COLUMNS($AO$1006:BH1006),$AO$1006:$BQ$1006,0))&gt;=100000), " ",IF(INDEX($AO$2:$BQ$1001,MATCH(ROWS($AH$2:AH845),$AH$2:$AH$1001,0),MATCH(COLUMNS($AO$1006:BH1006),$AO$1006:$BQ$1006,0)), HYPERLINK("#",""), HYPERLINK(CONCATENATE("#Metadata!", ADDRESS(INDEX($AJ$2:$AJ$1001,MATCH(ROWS($AH$2:AH845),$AH$2:$AH$1001,0),0), INDEX($AO$1004:$BQ$1004,1,MATCH(COLUMNS($AO$1006:BH1006),$AO$1006:$BQ$1006,0)))),"Fix")))</f>
        <v>#N/A</v>
      </c>
      <c r="V845" s="5" t="e">
        <f ca="1">IF(OR(INDEX($AI$2:$AI$1001,MATCH(ROWS($AH$2:AH845),$AH$2:$AH$1001,0),1)&gt;=100000,INDEX($AO$1005:$BQ$1005,1,MATCH(COLUMNS($AO$1006:BI1006),$AO$1006:$BQ$1006,0))&gt;=100000), " ",IF(INDEX($AO$2:$BQ$1001,MATCH(ROWS($AH$2:AH845),$AH$2:$AH$1001,0),MATCH(COLUMNS($AO$1006:BI1006),$AO$1006:$BQ$1006,0)), HYPERLINK("#",""), HYPERLINK(CONCATENATE("#Metadata!", ADDRESS(INDEX($AJ$2:$AJ$1001,MATCH(ROWS($AH$2:AH845),$AH$2:$AH$1001,0),0), INDEX($AO$1004:$BQ$1004,1,MATCH(COLUMNS($AO$1006:BI1006),$AO$1006:$BQ$1006,0)))),"Fix")))</f>
        <v>#N/A</v>
      </c>
      <c r="W845" s="5" t="e">
        <f ca="1">IF(OR(INDEX($AI$2:$AI$1001,MATCH(ROWS($AH$2:AH845),$AH$2:$AH$1001,0),1)&gt;=100000,INDEX($AO$1005:$BQ$1005,1,MATCH(COLUMNS($AO$1006:BJ1006),$AO$1006:$BQ$1006,0))&gt;=100000), " ",IF(INDEX($AO$2:$BQ$1001,MATCH(ROWS($AH$2:AH845),$AH$2:$AH$1001,0),MATCH(COLUMNS($AO$1006:BJ1006),$AO$1006:$BQ$1006,0)), HYPERLINK("#",""), HYPERLINK(CONCATENATE("#Metadata!", ADDRESS(INDEX($AJ$2:$AJ$1001,MATCH(ROWS($AH$2:AH845),$AH$2:$AH$1001,0),0), INDEX($AO$1004:$BQ$1004,1,MATCH(COLUMNS($AO$1006:BJ1006),$AO$1006:$BQ$1006,0)))),"Fix")))</f>
        <v>#N/A</v>
      </c>
      <c r="X845" s="5" t="e">
        <f ca="1">IF(OR(INDEX($AI$2:$AI$1001,MATCH(ROWS($AH$2:AH845),$AH$2:$AH$1001,0),1)&gt;=100000,INDEX($AO$1005:$BQ$1005,1,MATCH(COLUMNS($AO$1006:BK1006),$AO$1006:$BQ$1006,0))&gt;=100000), " ",IF(INDEX($AO$2:$BQ$1001,MATCH(ROWS($AH$2:AH845),$AH$2:$AH$1001,0),MATCH(COLUMNS($AO$1006:BK1006),$AO$1006:$BQ$1006,0)), HYPERLINK("#",""), HYPERLINK(CONCATENATE("#Metadata!", ADDRESS(INDEX($AJ$2:$AJ$1001,MATCH(ROWS($AH$2:AH845),$AH$2:$AH$1001,0),0), INDEX($AO$1004:$BQ$1004,1,MATCH(COLUMNS($AO$1006:BK1006),$AO$1006:$BQ$1006,0)))),"Fix")))</f>
        <v>#N/A</v>
      </c>
      <c r="Y845" s="5" t="e">
        <f ca="1">IF(OR(INDEX($AI$2:$AI$1001,MATCH(ROWS($AH$2:AH845),$AH$2:$AH$1001,0),1)&gt;=100000,INDEX($AO$1005:$BQ$1005,1,MATCH(COLUMNS($AO$1006:BL1006),$AO$1006:$BQ$1006,0))&gt;=100000), " ",IF(INDEX($AO$2:$BQ$1001,MATCH(ROWS($AH$2:AH845),$AH$2:$AH$1001,0),MATCH(COLUMNS($AO$1006:BL1006),$AO$1006:$BQ$1006,0)), HYPERLINK("#",""), HYPERLINK(CONCATENATE("#Metadata!", ADDRESS(INDEX($AJ$2:$AJ$1001,MATCH(ROWS($AH$2:AH845),$AH$2:$AH$1001,0),0), INDEX($AO$1004:$BQ$1004,1,MATCH(COLUMNS($AO$1006:BL1006),$AO$1006:$BQ$1006,0)))),"Fix")))</f>
        <v>#N/A</v>
      </c>
      <c r="Z845" s="5" t="e">
        <f ca="1">IF(OR(INDEX($AI$2:$AI$1001,MATCH(ROWS($AH$2:AH845),$AH$2:$AH$1001,0),1)&gt;=100000,INDEX($AO$1005:$BQ$1005,1,MATCH(COLUMNS($AO$1006:BM1006),$AO$1006:$BQ$1006,0))&gt;=100000), " ",IF(INDEX($AO$2:$BQ$1001,MATCH(ROWS($AH$2:AH845),$AH$2:$AH$1001,0),MATCH(COLUMNS($AO$1006:BM1006),$AO$1006:$BQ$1006,0)), HYPERLINK("#",""), HYPERLINK(CONCATENATE("#Metadata!", ADDRESS(INDEX($AJ$2:$AJ$1001,MATCH(ROWS($AH$2:AH845),$AH$2:$AH$1001,0),0), INDEX($AO$1004:$BQ$1004,1,MATCH(COLUMNS($AO$1006:BM1006),$AO$1006:$BQ$1006,0)))),"Fix")))</f>
        <v>#N/A</v>
      </c>
      <c r="AA845" s="5" t="e">
        <f ca="1">IF(OR(INDEX($AI$2:$AI$1001,MATCH(ROWS($AH$2:AH845),$AH$2:$AH$1001,0),1)&gt;=100000,INDEX($AO$1005:$BQ$1005,1,MATCH(COLUMNS($AO$1006:BN1006),$AO$1006:$BQ$1006,0))&gt;=100000), " ",IF(INDEX($AO$2:$BQ$1001,MATCH(ROWS($AH$2:AH845),$AH$2:$AH$1001,0),MATCH(COLUMNS($AO$1006:BN1006),$AO$1006:$BQ$1006,0)), HYPERLINK("#",""), HYPERLINK(CONCATENATE("#Metadata!", ADDRESS(INDEX($AJ$2:$AJ$1001,MATCH(ROWS($AH$2:AH845),$AH$2:$AH$1001,0),0), INDEX($AO$1004:$BQ$1004,1,MATCH(COLUMNS($AO$1006:BN1006),$AO$1006:$BQ$1006,0)))),"Fix")))</f>
        <v>#N/A</v>
      </c>
      <c r="AB845" s="5" t="e">
        <f ca="1">IF(OR(INDEX($AI$2:$AI$1001,MATCH(ROWS($AH$2:AH845),$AH$2:$AH$1001,0),1)&gt;=100000,INDEX($AO$1005:$BQ$1005,1,MATCH(COLUMNS($AO$1006:BO1006),$AO$1006:$BQ$1006,0))&gt;=100000), " ",IF(INDEX($AO$2:$BQ$1001,MATCH(ROWS($AH$2:AH845),$AH$2:$AH$1001,0),MATCH(COLUMNS($AO$1006:BO1006),$AO$1006:$BQ$1006,0)), HYPERLINK("#",""), HYPERLINK(CONCATENATE("#Metadata!", ADDRESS(INDEX($AJ$2:$AJ$1001,MATCH(ROWS($AH$2:AH845),$AH$2:$AH$1001,0),0), INDEX($AO$1004:$BQ$1004,1,MATCH(COLUMNS($AO$1006:BO1006),$AO$1006:$BQ$1006,0)))),"Fix")))</f>
        <v>#N/A</v>
      </c>
      <c r="AC845" s="5" t="e">
        <f ca="1">IF(OR(INDEX($AI$2:$AI$1001,MATCH(ROWS($AH$2:AH845),$AH$2:$AH$1001,0),1)&gt;=100000,INDEX($AO$1005:$BQ$1005,1,MATCH(COLUMNS($AO$1006:BP1006),$AO$1006:$BQ$1006,0))&gt;=100000), " ",IF(INDEX($AO$2:$BQ$1001,MATCH(ROWS($AH$2:AH845),$AH$2:$AH$1001,0),MATCH(COLUMNS($AO$1006:BP1006),$AO$1006:$BQ$1006,0)), HYPERLINK("#",""), HYPERLINK(CONCATENATE("#Metadata!", ADDRESS(INDEX($AJ$2:$AJ$1001,MATCH(ROWS($AH$2:AH845),$AH$2:$AH$1001,0),0), INDEX($AO$1004:$BQ$1004,1,MATCH(COLUMNS($AO$1006:BP1006),$AO$1006:$BQ$1006,0)))),"Fix")))</f>
        <v>#N/A</v>
      </c>
      <c r="AD845" s="5" t="e">
        <f ca="1">IF(OR(INDEX($AI$2:$AI$1001,MATCH(ROWS($AH$2:AH845),$AH$2:$AH$1001,0),1)&gt;=100000,INDEX($AO$1005:$BQ$1005,1,MATCH(COLUMNS($AO$1006:BQ1006),$AO$1006:$BQ$1006,0))&gt;=100000), " ",IF(INDEX($AO$2:$BQ$1001,MATCH(ROWS($AH$2:AH845),$AH$2:$AH$1001,0),MATCH(COLUMNS($AO$1006:BQ1006),$AO$1006:$BQ$1006,0)), HYPERLINK("#",""), HYPERLINK(CONCATENATE("#Metadata!", ADDRESS(INDEX($AJ$2:$AJ$1001,MATCH(ROWS($AH$2:AH845),$AH$2:$AH$1001,0),0), INDEX($AO$1004:$BQ$1004,1,MATCH(COLUMNS($AO$1006:BQ1006),$AO$1006:$BQ$1006,0)))),"Fix")))</f>
        <v>#REF!</v>
      </c>
      <c r="AH845">
        <f ca="1"/>
        <v>842</v>
      </c>
      <c r="AI845">
        <v>100845</v>
      </c>
      <c r="AJ845">
        <v>845</v>
      </c>
      <c r="AK845" t="b">
        <f t="shared" si="13"/>
        <v>1</v>
      </c>
      <c r="AL845" t="b">
        <f>COUNTBLANK(Metadata!B845:AD845)=COLUMNS(Metadata!B845:AD845)</f>
        <v>1</v>
      </c>
      <c r="AM845" t="str">
        <v/>
      </c>
      <c r="AO845" t="b">
        <f ca="1">AND(IF(Metadata!B845="",FALSE,TRUE),COUNTIF(Metadata!B:B, Metadata!B845) = 1,NOT(ISERROR(SUMPRODUCT(SEARCH(MID(Metadata!B845,ROW(INDIRECT("1:"&amp;LEN(Metadata!B845))), 1),"0123456789abcdefghijklmnopqrstuvwxyzABCDEFGHIJKLMNOPQRSTUVWXYZ.")))))</f>
        <v>0</v>
      </c>
      <c r="AP845" t="b">
        <f>IF(Metadata!C845="",FALSE,TRUE)</f>
        <v>0</v>
      </c>
      <c r="AQ845" t="b">
        <f>IF(Metadata!D845="",FALSE,TRUE)</f>
        <v>0</v>
      </c>
      <c r="AR845" t="b">
        <f ca="1">OR(AND(IF(Metadata!E845="",FALSE,TRUE),OR(EXACT(Metadata!E845,"not collected"),EXACT(Metadata!E845,"not provided"),EXACT(Metadata!E845,"restricted access"))),AND(IF(Metadata!E845="",FALSE,TRUE),AND(AND(IFERROR(INT(LEFT(Metadata!E845,4))&gt;1900,FALSE),IFERROR(INT(LEFT(Metadata!E845,4))&lt;=YEAR(NOW()),FALSE)), OR(MID(Metadata!E845,5,1)="", AND(AND(MID(Metadata!E845,5,1)="-",IFERROR(INT(MID(Metadata!E845,6,1))&gt;=0,FALSE),IFERROR(INT(MID(Metadata!E845,6,1))&lt;=1,FALSE),NOT(MID(Metadata!E845,7,1)=""),IFERROR(INT(MID(Metadata!E845,6,2))&gt;=1,FALSE),IFERROR(INT(MID(Metadata!E845,6,2))&lt;=12,FALSE)), OR(MID(Metadata!E845,8,1)="", AND(AND(MID(Metadata!E845,8,1)="-",IFERROR(INT(MID(Metadata!E845,9,1))&gt;=0,FALSE),IFERROR(INT(MID(Metadata!E845,9,1))&lt;=3,FALSE),NOT(MID(Metadata!E845,10,1)=""),IFERROR(INT(MID(Metadata!E845,9,2))&gt;=1,FALSE),IFERROR(INT(MID(Metadata!E845,9,2))&lt;=31,FALSE)), OR(MID(Metadata!E845,11,1)="", AND(AND(MID(Metadata!E845,11,1)=" ",IFERROR(INT(MID(Metadata!E845,12,1))&gt;=0,FALSE),IFERROR(INT(MID(Metadata!E845,12,1))&lt;=2,FALSE),NOT(MID(Metadata!E845,13,1)=""),IFERROR(INT(MID(Metadata!E845,12,2))&gt;=0,FALSE),IFERROR(INT(MID(Metadata!E845,12,2))&lt;=23,FALSE)), OR(MID(Metadata!E845,14,1)="", AND(AND(MID(Metadata!E845,14,1)=":",IFERROR(INT(MID(Metadata!E845,15,1))&gt;=0,FALSE),IFERROR(INT(MID(Metadata!E845,15,1))&lt;=5,FALSE),NOT(MID(Metadata!E845,16,1)=""),IFERROR(INT(MID(Metadata!E845,15,2))&gt;=0,FALSE),IFERROR(INT(MID(Metadata!E845,15,2))&lt;=59,FALSE)), OR(MID(Metadata!E845,17,1)="", AND(AND(MID(Metadata!E845,17,1)=":",IFERROR(INT(MID(Metadata!E845,18,1))&gt;=0,FALSE),IFERROR(INT(MID(Metadata!E845,18,1))&lt;=5,FALSE),NOT(MID(Metadata!E845,19,1)=""),IFERROR(INT(MID(Metadata!E845,18,2))&gt;=0,FALSE),IFERROR(INT(MID(Metadata!E845,18,2))&lt;=59,FALSE)), LEN(Metadata!E845)&lt;=19)))))))))))))</f>
        <v>0</v>
      </c>
      <c r="AS845" t="b">
        <f>IF(Metadata!F845="",FALSE,TRUE)</f>
        <v>0</v>
      </c>
      <c r="AT845" t="b">
        <f>OR(AND(IF(Metadata!G845="",FALSE,TRUE),OR(EXACT(Metadata!G845,"not collected"),EXACT(Metadata!G845,"not provided"))),AND(IF(Metadata!G845="",FALSE,TRUE),OR(EXACT(Metadata!G845,"TRUE"),EXACT(Metadata!G845,"FALSE"))))</f>
        <v>0</v>
      </c>
      <c r="AU845" t="b">
        <f>OR(AND(IF(Metadata!H845="",FALSE,TRUE),OR(EXACT(Metadata!H845,"not collected"),EXACT(Metadata!H845,"not provided"),EXACT(Metadata!H845,"restricted access"))),AND(IF(Metadata!H845="",FALSE,ISNUMBER(VALUE(Metadata!H845))),Metadata!H845&gt;=-413))</f>
        <v>0</v>
      </c>
      <c r="AV845" t="b">
        <f>AND(IF(Metadata!I845="",FALSE,TRUE),EXACT(Metadata!I845,"meters"))</f>
        <v>0</v>
      </c>
      <c r="AW845" t="b">
        <f>AND(IF(Metadata!J845="",FALSE,TRUE),EXACT(Metadata!J845,"free-living"))</f>
        <v>0</v>
      </c>
      <c r="AX845" t="b">
        <f>AND(IF(Metadata!K845="",FALSE,TRUE),OR(EXACT(Metadata!K845,"saline"),EXACT(Metadata!K845,"non-saline")))</f>
        <v>0</v>
      </c>
      <c r="AY845" t="b">
        <f>AND(IF(Metadata!L845="",FALSE,TRUE),OR(EXACT(Metadata!L845,"sub-surface (non-saline)"),EXACT(Metadata!L845,"surface (non-saline)"),EXACT(Metadata!L845,"water (non-saline)"),EXACT(Metadata!L845,"soil (non-saline)"),EXACT(Metadata!L845,"aerosol (non-saline)"),EXACT(Metadata!L845,"sediment (non-saline)"),EXACT(Metadata!L845,"surface (saline)"),EXACT(Metadata!L845,"water (saline)"),EXACT(Metadata!L845,"hypersaline (saline)"),EXACT(Metadata!L845,"aerosol (saline)"),EXACT(Metadata!L845,"sediment (saline)")))</f>
        <v>0</v>
      </c>
      <c r="AZ845" t="b">
        <f>IF(Metadata!M845="",FALSE,TRUE)</f>
        <v>0</v>
      </c>
      <c r="BA845" t="b">
        <f>IF(Metadata!N845="",FALSE,TRUE)</f>
        <v>0</v>
      </c>
      <c r="BB845" t="b">
        <f>IF(Metadata!O845="",FALSE,TRUE)</f>
        <v>0</v>
      </c>
      <c r="BC845" t="b">
        <f>AND(IF(Metadata!P845="",FALSE,TRUE),OR(EXACT(Metadata!P845,"air"),EXACT(Metadata!P845,"microbial mat/biofilm"),EXACT(Metadata!P845,"misc environment"),EXACT(Metadata!P845,"sediment"),EXACT(Metadata!P845,"soil"),EXACT(Metadata!P845,"wastewater/sludge"),EXACT(Metadata!P845,"water")))</f>
        <v>0</v>
      </c>
      <c r="BD845" t="b">
        <f>IF(Metadata!Q845="",FALSE,TRUE)</f>
        <v>0</v>
      </c>
      <c r="BE845" t="b">
        <f>IF(Metadata!R845="",FALSE,TRUE)</f>
        <v>0</v>
      </c>
      <c r="BF845" t="b">
        <f>OR(AND(IF(Metadata!S845="",FALSE,TRUE),OR(EXACT(Metadata!S845,"not collected"),EXACT(Metadata!S845,"not provided"),EXACT(Metadata!S845,"restricted access"))),AND(IF(Metadata!S845="",FALSE,ISNUMBER(VALUE(Metadata!S845))),Metadata!S845&gt;=-90,Metadata!S845&lt;=90))</f>
        <v>0</v>
      </c>
      <c r="BG845" t="b">
        <f>AND(IF(Metadata!T845="",FALSE,TRUE),EXACT(Metadata!T845,"Decimal degrees"))</f>
        <v>0</v>
      </c>
      <c r="BH845" t="b">
        <f>OR(AND(IF(Metadata!U845="",FALSE,TRUE),OR(EXACT(Metadata!U845,"not applicable"),EXACT(Metadata!U845,"not collected"))),IF(Metadata!U845="",FALSE,TRUE))</f>
        <v>0</v>
      </c>
      <c r="BI845" t="b">
        <f>OR(AND(IF(Metadata!V845="",FALSE,TRUE),OR(EXACT(Metadata!V845,"not collected"),EXACT(Metadata!V845,"not provided"),EXACT(Metadata!V845,"restricted access"))),AND(IF(Metadata!V845="",FALSE,ISNUMBER(VALUE(Metadata!V845))),Metadata!V845&gt;=-180,Metadata!V845&lt;=180))</f>
        <v>0</v>
      </c>
      <c r="BJ845" t="b">
        <f>AND(IF(Metadata!W845="",FALSE,TRUE),EXACT(Metadata!W845,"Decimal degrees"))</f>
        <v>0</v>
      </c>
      <c r="BK845" t="b">
        <f>IF(Metadata!X845="",FALSE,TRUE)</f>
        <v>0</v>
      </c>
      <c r="BL845" t="b">
        <f>OR(AND(IF(Metadata!Y845="",FALSE,TRUE),OR(EXACT(Metadata!Y845,"not collected"),EXACT(Metadata!Y845,"not provided"),EXACT(Metadata!Y845,"restricted access"))),AND(IF(Metadata!Y845="",FALSE,TRUE),OR(EXACT(Metadata!Y845,"TRUE"),EXACT(Metadata!Y845,"FALSE"))))</f>
        <v>0</v>
      </c>
      <c r="BM845" t="b">
        <f>OR(AND(IF(Metadata!Z845="",FALSE,TRUE),EXACT(Metadata!Z845,"not applicable")),AND(IF(Metadata!Z845="",FALSE,TRUE),OR(EXACT(Metadata!Z845,"beer"),EXACT(Metadata!Z845,"cheese"),EXACT(Metadata!Z845,"fresh water"),EXACT(Metadata!Z845,"marine sediment"),EXACT(Metadata!Z845,"sea water"),EXACT(Metadata!Z845,"sediment"),EXACT(Metadata!Z845,"soil"),EXACT(Metadata!Z845,"waste water"))))</f>
        <v>0</v>
      </c>
      <c r="BN845" t="b">
        <f>AND(IF(Metadata!AA845="",FALSE,TRUE),EXACT(Metadata!AA845,"metagenome"))</f>
        <v>0</v>
      </c>
      <c r="BO845" t="b">
        <f>AND(IF(Metadata!AB845="",FALSE,TRUE),EXACT(Metadata!AB845,"256318"))</f>
        <v>0</v>
      </c>
      <c r="BP845" t="b">
        <f>IF(Metadata!AC845="",FALSE,TRUE)</f>
        <v>0</v>
      </c>
      <c r="BQ845" t="b">
        <f>IF(Metadata!AD845="",FALSE,TRUE)</f>
        <v>0</v>
      </c>
    </row>
    <row r="846" spans="1:69" x14ac:dyDescent="0.2">
      <c r="A846" s="4" t="e">
        <f ca="1">IF(B846=" "," ",HYPERLINK(CONCATENATE("#metadata!",ADDRESS(INDEX($AJ$2:$AJ$1001,MATCH(ROWS($AH$2:AH846),$AH$2:$AH$1001,0),0),2)),INDEX($AM$2:$AM$1001,MATCH(ROWS($AH$2:AH846),$AH$2:$AH$1001,0),0)))</f>
        <v>#N/A</v>
      </c>
      <c r="B846" s="5" t="e">
        <f ca="1">IF(OR(INDEX($AI$2:$AI$1001,MATCH(ROWS($AH$2:AH846),$AH$2:$AH$1001,0),1)&gt;=100000,INDEX($AO$1005:$BQ$1005,1,MATCH(COLUMNS($AO$1006:AO1006),$AO$1006:$BQ$1006,0))&gt;=100000), " ",IF(INDEX($AO$2:$BQ$1001,MATCH(ROWS($AH$2:AH846),$AH$2:$AH$1001,0),MATCH(COLUMNS($AO$1006:AO1006),$AO$1006:$BQ$1006,0)), HYPERLINK("#",""), HYPERLINK(CONCATENATE("#Metadata!", ADDRESS(INDEX($AJ$2:$AJ$1001,MATCH(ROWS($AH$2:AH846),$AH$2:$AH$1001,0),0), INDEX($AO$1004:$BQ$1004,1,MATCH(COLUMNS($AO$1006:AO1006),$AO$1006:$BQ$1006,0)))),"Fix")))</f>
        <v>#N/A</v>
      </c>
      <c r="C846" s="5" t="e">
        <f ca="1">IF(OR(INDEX($AI$2:$AI$1001,MATCH(ROWS($AH$2:AH846),$AH$2:$AH$1001,0),1)&gt;=100000,INDEX($AO$1005:$BQ$1005,1,MATCH(COLUMNS($AO$1006:AP1006),$AO$1006:$BQ$1006,0))&gt;=100000), " ",IF(INDEX($AO$2:$BQ$1001,MATCH(ROWS($AH$2:AH846),$AH$2:$AH$1001,0),MATCH(COLUMNS($AO$1006:AP1006),$AO$1006:$BQ$1006,0)), HYPERLINK("#",""), HYPERLINK(CONCATENATE("#Metadata!", ADDRESS(INDEX($AJ$2:$AJ$1001,MATCH(ROWS($AH$2:AH846),$AH$2:$AH$1001,0),0), INDEX($AO$1004:$BQ$1004,1,MATCH(COLUMNS($AO$1006:AP1006),$AO$1006:$BQ$1006,0)))),"Fix")))</f>
        <v>#N/A</v>
      </c>
      <c r="D846" s="5" t="e">
        <f ca="1">IF(OR(INDEX($AI$2:$AI$1001,MATCH(ROWS($AH$2:AH846),$AH$2:$AH$1001,0),1)&gt;=100000,INDEX($AO$1005:$BQ$1005,1,MATCH(COLUMNS($AO$1006:AQ1006),$AO$1006:$BQ$1006,0))&gt;=100000), " ",IF(INDEX($AO$2:$BQ$1001,MATCH(ROWS($AH$2:AH846),$AH$2:$AH$1001,0),MATCH(COLUMNS($AO$1006:AQ1006),$AO$1006:$BQ$1006,0)), HYPERLINK("#",""), HYPERLINK(CONCATENATE("#Metadata!", ADDRESS(INDEX($AJ$2:$AJ$1001,MATCH(ROWS($AH$2:AH846),$AH$2:$AH$1001,0),0), INDEX($AO$1004:$BQ$1004,1,MATCH(COLUMNS($AO$1006:AQ1006),$AO$1006:$BQ$1006,0)))),"Fix")))</f>
        <v>#N/A</v>
      </c>
      <c r="E846" s="5" t="e">
        <f ca="1">IF(OR(INDEX($AI$2:$AI$1001,MATCH(ROWS($AH$2:AH846),$AH$2:$AH$1001,0),1)&gt;=100000,INDEX($AO$1005:$BQ$1005,1,MATCH(COLUMNS($AO$1006:AR1006),$AO$1006:$BQ$1006,0))&gt;=100000), " ",IF(INDEX($AO$2:$BQ$1001,MATCH(ROWS($AH$2:AH846),$AH$2:$AH$1001,0),MATCH(COLUMNS($AO$1006:AR1006),$AO$1006:$BQ$1006,0)), HYPERLINK("#",""), HYPERLINK(CONCATENATE("#Metadata!", ADDRESS(INDEX($AJ$2:$AJ$1001,MATCH(ROWS($AH$2:AH846),$AH$2:$AH$1001,0),0), INDEX($AO$1004:$BQ$1004,1,MATCH(COLUMNS($AO$1006:AR1006),$AO$1006:$BQ$1006,0)))),"Fix")))</f>
        <v>#N/A</v>
      </c>
      <c r="F846" s="5" t="e">
        <f ca="1">IF(OR(INDEX($AI$2:$AI$1001,MATCH(ROWS($AH$2:AH846),$AH$2:$AH$1001,0),1)&gt;=100000,INDEX($AO$1005:$BQ$1005,1,MATCH(COLUMNS($AO$1006:AS1006),$AO$1006:$BQ$1006,0))&gt;=100000), " ",IF(INDEX($AO$2:$BQ$1001,MATCH(ROWS($AH$2:AH846),$AH$2:$AH$1001,0),MATCH(COLUMNS($AO$1006:AS1006),$AO$1006:$BQ$1006,0)), HYPERLINK("#",""), HYPERLINK(CONCATENATE("#Metadata!", ADDRESS(INDEX($AJ$2:$AJ$1001,MATCH(ROWS($AH$2:AH846),$AH$2:$AH$1001,0),0), INDEX($AO$1004:$BQ$1004,1,MATCH(COLUMNS($AO$1006:AS1006),$AO$1006:$BQ$1006,0)))),"Fix")))</f>
        <v>#N/A</v>
      </c>
      <c r="G846" s="5" t="e">
        <f ca="1">IF(OR(INDEX($AI$2:$AI$1001,MATCH(ROWS($AH$2:AH846),$AH$2:$AH$1001,0),1)&gt;=100000,INDEX($AO$1005:$BQ$1005,1,MATCH(COLUMNS($AO$1006:AT1006),$AO$1006:$BQ$1006,0))&gt;=100000), " ",IF(INDEX($AO$2:$BQ$1001,MATCH(ROWS($AH$2:AH846),$AH$2:$AH$1001,0),MATCH(COLUMNS($AO$1006:AT1006),$AO$1006:$BQ$1006,0)), HYPERLINK("#",""), HYPERLINK(CONCATENATE("#Metadata!", ADDRESS(INDEX($AJ$2:$AJ$1001,MATCH(ROWS($AH$2:AH846),$AH$2:$AH$1001,0),0), INDEX($AO$1004:$BQ$1004,1,MATCH(COLUMNS($AO$1006:AT1006),$AO$1006:$BQ$1006,0)))),"Fix")))</f>
        <v>#N/A</v>
      </c>
      <c r="H846" s="5" t="e">
        <f ca="1">IF(OR(INDEX($AI$2:$AI$1001,MATCH(ROWS($AH$2:AH846),$AH$2:$AH$1001,0),1)&gt;=100000,INDEX($AO$1005:$BQ$1005,1,MATCH(COLUMNS($AO$1006:AU1006),$AO$1006:$BQ$1006,0))&gt;=100000), " ",IF(INDEX($AO$2:$BQ$1001,MATCH(ROWS($AH$2:AH846),$AH$2:$AH$1001,0),MATCH(COLUMNS($AO$1006:AU1006),$AO$1006:$BQ$1006,0)), HYPERLINK("#",""), HYPERLINK(CONCATENATE("#Metadata!", ADDRESS(INDEX($AJ$2:$AJ$1001,MATCH(ROWS($AH$2:AH846),$AH$2:$AH$1001,0),0), INDEX($AO$1004:$BQ$1004,1,MATCH(COLUMNS($AO$1006:AU1006),$AO$1006:$BQ$1006,0)))),"Fix")))</f>
        <v>#N/A</v>
      </c>
      <c r="I846" s="5" t="e">
        <f ca="1">IF(OR(INDEX($AI$2:$AI$1001,MATCH(ROWS($AH$2:AH846),$AH$2:$AH$1001,0),1)&gt;=100000,INDEX($AO$1005:$BQ$1005,1,MATCH(COLUMNS($AO$1006:AV1006),$AO$1006:$BQ$1006,0))&gt;=100000), " ",IF(INDEX($AO$2:$BQ$1001,MATCH(ROWS($AH$2:AH846),$AH$2:$AH$1001,0),MATCH(COLUMNS($AO$1006:AV1006),$AO$1006:$BQ$1006,0)), HYPERLINK("#",""), HYPERLINK(CONCATENATE("#Metadata!", ADDRESS(INDEX($AJ$2:$AJ$1001,MATCH(ROWS($AH$2:AH846),$AH$2:$AH$1001,0),0), INDEX($AO$1004:$BQ$1004,1,MATCH(COLUMNS($AO$1006:AV1006),$AO$1006:$BQ$1006,0)))),"Fix")))</f>
        <v>#N/A</v>
      </c>
      <c r="J846" s="5" t="e">
        <f ca="1">IF(OR(INDEX($AI$2:$AI$1001,MATCH(ROWS($AH$2:AH846),$AH$2:$AH$1001,0),1)&gt;=100000,INDEX($AO$1005:$BQ$1005,1,MATCH(COLUMNS($AO$1006:AW1006),$AO$1006:$BQ$1006,0))&gt;=100000), " ",IF(INDEX($AO$2:$BQ$1001,MATCH(ROWS($AH$2:AH846),$AH$2:$AH$1001,0),MATCH(COLUMNS($AO$1006:AW1006),$AO$1006:$BQ$1006,0)), HYPERLINK("#",""), HYPERLINK(CONCATENATE("#Metadata!", ADDRESS(INDEX($AJ$2:$AJ$1001,MATCH(ROWS($AH$2:AH846),$AH$2:$AH$1001,0),0), INDEX($AO$1004:$BQ$1004,1,MATCH(COLUMNS($AO$1006:AW1006),$AO$1006:$BQ$1006,0)))),"Fix")))</f>
        <v>#N/A</v>
      </c>
      <c r="K846" s="5" t="e">
        <f ca="1">IF(OR(INDEX($AI$2:$AI$1001,MATCH(ROWS($AH$2:AH846),$AH$2:$AH$1001,0),1)&gt;=100000,INDEX($AO$1005:$BQ$1005,1,MATCH(COLUMNS($AO$1006:AX1006),$AO$1006:$BQ$1006,0))&gt;=100000), " ",IF(INDEX($AO$2:$BQ$1001,MATCH(ROWS($AH$2:AH846),$AH$2:$AH$1001,0),MATCH(COLUMNS($AO$1006:AX1006),$AO$1006:$BQ$1006,0)), HYPERLINK("#",""), HYPERLINK(CONCATENATE("#Metadata!", ADDRESS(INDEX($AJ$2:$AJ$1001,MATCH(ROWS($AH$2:AH846),$AH$2:$AH$1001,0),0), INDEX($AO$1004:$BQ$1004,1,MATCH(COLUMNS($AO$1006:AX1006),$AO$1006:$BQ$1006,0)))),"Fix")))</f>
        <v>#N/A</v>
      </c>
      <c r="L846" s="5" t="e">
        <f ca="1">IF(OR(INDEX($AI$2:$AI$1001,MATCH(ROWS($AH$2:AH846),$AH$2:$AH$1001,0),1)&gt;=100000,INDEX($AO$1005:$BQ$1005,1,MATCH(COLUMNS($AO$1006:AY1006),$AO$1006:$BQ$1006,0))&gt;=100000), " ",IF(INDEX($AO$2:$BQ$1001,MATCH(ROWS($AH$2:AH846),$AH$2:$AH$1001,0),MATCH(COLUMNS($AO$1006:AY1006),$AO$1006:$BQ$1006,0)), HYPERLINK("#",""), HYPERLINK(CONCATENATE("#Metadata!", ADDRESS(INDEX($AJ$2:$AJ$1001,MATCH(ROWS($AH$2:AH846),$AH$2:$AH$1001,0),0), INDEX($AO$1004:$BQ$1004,1,MATCH(COLUMNS($AO$1006:AY1006),$AO$1006:$BQ$1006,0)))),"Fix")))</f>
        <v>#N/A</v>
      </c>
      <c r="M846" s="5" t="e">
        <f ca="1">IF(OR(INDEX($AI$2:$AI$1001,MATCH(ROWS($AH$2:AH846),$AH$2:$AH$1001,0),1)&gt;=100000,INDEX($AO$1005:$BQ$1005,1,MATCH(COLUMNS($AO$1006:AZ1006),$AO$1006:$BQ$1006,0))&gt;=100000), " ",IF(INDEX($AO$2:$BQ$1001,MATCH(ROWS($AH$2:AH846),$AH$2:$AH$1001,0),MATCH(COLUMNS($AO$1006:AZ1006),$AO$1006:$BQ$1006,0)), HYPERLINK("#",""), HYPERLINK(CONCATENATE("#Metadata!", ADDRESS(INDEX($AJ$2:$AJ$1001,MATCH(ROWS($AH$2:AH846),$AH$2:$AH$1001,0),0), INDEX($AO$1004:$BQ$1004,1,MATCH(COLUMNS($AO$1006:AZ1006),$AO$1006:$BQ$1006,0)))),"Fix")))</f>
        <v>#N/A</v>
      </c>
      <c r="N846" s="5" t="e">
        <f ca="1">IF(OR(INDEX($AI$2:$AI$1001,MATCH(ROWS($AH$2:AH846),$AH$2:$AH$1001,0),1)&gt;=100000,INDEX($AO$1005:$BQ$1005,1,MATCH(COLUMNS($AO$1006:BA1006),$AO$1006:$BQ$1006,0))&gt;=100000), " ",IF(INDEX($AO$2:$BQ$1001,MATCH(ROWS($AH$2:AH846),$AH$2:$AH$1001,0),MATCH(COLUMNS($AO$1006:BA1006),$AO$1006:$BQ$1006,0)), HYPERLINK("#",""), HYPERLINK(CONCATENATE("#Metadata!", ADDRESS(INDEX($AJ$2:$AJ$1001,MATCH(ROWS($AH$2:AH846),$AH$2:$AH$1001,0),0), INDEX($AO$1004:$BQ$1004,1,MATCH(COLUMNS($AO$1006:BA1006),$AO$1006:$BQ$1006,0)))),"Fix")))</f>
        <v>#N/A</v>
      </c>
      <c r="O846" s="5" t="e">
        <f ca="1">IF(OR(INDEX($AI$2:$AI$1001,MATCH(ROWS($AH$2:AH846),$AH$2:$AH$1001,0),1)&gt;=100000,INDEX($AO$1005:$BQ$1005,1,MATCH(COLUMNS($AO$1006:BB1006),$AO$1006:$BQ$1006,0))&gt;=100000), " ",IF(INDEX($AO$2:$BQ$1001,MATCH(ROWS($AH$2:AH846),$AH$2:$AH$1001,0),MATCH(COLUMNS($AO$1006:BB1006),$AO$1006:$BQ$1006,0)), HYPERLINK("#",""), HYPERLINK(CONCATENATE("#Metadata!", ADDRESS(INDEX($AJ$2:$AJ$1001,MATCH(ROWS($AH$2:AH846),$AH$2:$AH$1001,0),0), INDEX($AO$1004:$BQ$1004,1,MATCH(COLUMNS($AO$1006:BB1006),$AO$1006:$BQ$1006,0)))),"Fix")))</f>
        <v>#N/A</v>
      </c>
      <c r="P846" s="5" t="e">
        <f ca="1">IF(OR(INDEX($AI$2:$AI$1001,MATCH(ROWS($AH$2:AH846),$AH$2:$AH$1001,0),1)&gt;=100000,INDEX($AO$1005:$BQ$1005,1,MATCH(COLUMNS($AO$1006:BC1006),$AO$1006:$BQ$1006,0))&gt;=100000), " ",IF(INDEX($AO$2:$BQ$1001,MATCH(ROWS($AH$2:AH846),$AH$2:$AH$1001,0),MATCH(COLUMNS($AO$1006:BC1006),$AO$1006:$BQ$1006,0)), HYPERLINK("#",""), HYPERLINK(CONCATENATE("#Metadata!", ADDRESS(INDEX($AJ$2:$AJ$1001,MATCH(ROWS($AH$2:AH846),$AH$2:$AH$1001,0),0), INDEX($AO$1004:$BQ$1004,1,MATCH(COLUMNS($AO$1006:BC1006),$AO$1006:$BQ$1006,0)))),"Fix")))</f>
        <v>#N/A</v>
      </c>
      <c r="Q846" s="5" t="e">
        <f ca="1">IF(OR(INDEX($AI$2:$AI$1001,MATCH(ROWS($AH$2:AH846),$AH$2:$AH$1001,0),1)&gt;=100000,INDEX($AO$1005:$BQ$1005,1,MATCH(COLUMNS($AO$1006:BD1006),$AO$1006:$BQ$1006,0))&gt;=100000), " ",IF(INDEX($AO$2:$BQ$1001,MATCH(ROWS($AH$2:AH846),$AH$2:$AH$1001,0),MATCH(COLUMNS($AO$1006:BD1006),$AO$1006:$BQ$1006,0)), HYPERLINK("#",""), HYPERLINK(CONCATENATE("#Metadata!", ADDRESS(INDEX($AJ$2:$AJ$1001,MATCH(ROWS($AH$2:AH846),$AH$2:$AH$1001,0),0), INDEX($AO$1004:$BQ$1004,1,MATCH(COLUMNS($AO$1006:BD1006),$AO$1006:$BQ$1006,0)))),"Fix")))</f>
        <v>#N/A</v>
      </c>
      <c r="R846" s="5" t="e">
        <f ca="1">IF(OR(INDEX($AI$2:$AI$1001,MATCH(ROWS($AH$2:AH846),$AH$2:$AH$1001,0),1)&gt;=100000,INDEX($AO$1005:$BQ$1005,1,MATCH(COLUMNS($AO$1006:BE1006),$AO$1006:$BQ$1006,0))&gt;=100000), " ",IF(INDEX($AO$2:$BQ$1001,MATCH(ROWS($AH$2:AH846),$AH$2:$AH$1001,0),MATCH(COLUMNS($AO$1006:BE1006),$AO$1006:$BQ$1006,0)), HYPERLINK("#",""), HYPERLINK(CONCATENATE("#Metadata!", ADDRESS(INDEX($AJ$2:$AJ$1001,MATCH(ROWS($AH$2:AH846),$AH$2:$AH$1001,0),0), INDEX($AO$1004:$BQ$1004,1,MATCH(COLUMNS($AO$1006:BE1006),$AO$1006:$BQ$1006,0)))),"Fix")))</f>
        <v>#N/A</v>
      </c>
      <c r="S846" s="5" t="e">
        <f ca="1">IF(OR(INDEX($AI$2:$AI$1001,MATCH(ROWS($AH$2:AH846),$AH$2:$AH$1001,0),1)&gt;=100000,INDEX($AO$1005:$BQ$1005,1,MATCH(COLUMNS($AO$1006:BF1006),$AO$1006:$BQ$1006,0))&gt;=100000), " ",IF(INDEX($AO$2:$BQ$1001,MATCH(ROWS($AH$2:AH846),$AH$2:$AH$1001,0),MATCH(COLUMNS($AO$1006:BF1006),$AO$1006:$BQ$1006,0)), HYPERLINK("#",""), HYPERLINK(CONCATENATE("#Metadata!", ADDRESS(INDEX($AJ$2:$AJ$1001,MATCH(ROWS($AH$2:AH846),$AH$2:$AH$1001,0),0), INDEX($AO$1004:$BQ$1004,1,MATCH(COLUMNS($AO$1006:BF1006),$AO$1006:$BQ$1006,0)))),"Fix")))</f>
        <v>#N/A</v>
      </c>
      <c r="T846" s="5" t="e">
        <f ca="1">IF(OR(INDEX($AI$2:$AI$1001,MATCH(ROWS($AH$2:AH846),$AH$2:$AH$1001,0),1)&gt;=100000,INDEX($AO$1005:$BQ$1005,1,MATCH(COLUMNS($AO$1006:BG1006),$AO$1006:$BQ$1006,0))&gt;=100000), " ",IF(INDEX($AO$2:$BQ$1001,MATCH(ROWS($AH$2:AH846),$AH$2:$AH$1001,0),MATCH(COLUMNS($AO$1006:BG1006),$AO$1006:$BQ$1006,0)), HYPERLINK("#",""), HYPERLINK(CONCATENATE("#Metadata!", ADDRESS(INDEX($AJ$2:$AJ$1001,MATCH(ROWS($AH$2:AH846),$AH$2:$AH$1001,0),0), INDEX($AO$1004:$BQ$1004,1,MATCH(COLUMNS($AO$1006:BG1006),$AO$1006:$BQ$1006,0)))),"Fix")))</f>
        <v>#N/A</v>
      </c>
      <c r="U846" s="5" t="e">
        <f ca="1">IF(OR(INDEX($AI$2:$AI$1001,MATCH(ROWS($AH$2:AH846),$AH$2:$AH$1001,0),1)&gt;=100000,INDEX($AO$1005:$BQ$1005,1,MATCH(COLUMNS($AO$1006:BH1006),$AO$1006:$BQ$1006,0))&gt;=100000), " ",IF(INDEX($AO$2:$BQ$1001,MATCH(ROWS($AH$2:AH846),$AH$2:$AH$1001,0),MATCH(COLUMNS($AO$1006:BH1006),$AO$1006:$BQ$1006,0)), HYPERLINK("#",""), HYPERLINK(CONCATENATE("#Metadata!", ADDRESS(INDEX($AJ$2:$AJ$1001,MATCH(ROWS($AH$2:AH846),$AH$2:$AH$1001,0),0), INDEX($AO$1004:$BQ$1004,1,MATCH(COLUMNS($AO$1006:BH1006),$AO$1006:$BQ$1006,0)))),"Fix")))</f>
        <v>#N/A</v>
      </c>
      <c r="V846" s="5" t="e">
        <f ca="1">IF(OR(INDEX($AI$2:$AI$1001,MATCH(ROWS($AH$2:AH846),$AH$2:$AH$1001,0),1)&gt;=100000,INDEX($AO$1005:$BQ$1005,1,MATCH(COLUMNS($AO$1006:BI1006),$AO$1006:$BQ$1006,0))&gt;=100000), " ",IF(INDEX($AO$2:$BQ$1001,MATCH(ROWS($AH$2:AH846),$AH$2:$AH$1001,0),MATCH(COLUMNS($AO$1006:BI1006),$AO$1006:$BQ$1006,0)), HYPERLINK("#",""), HYPERLINK(CONCATENATE("#Metadata!", ADDRESS(INDEX($AJ$2:$AJ$1001,MATCH(ROWS($AH$2:AH846),$AH$2:$AH$1001,0),0), INDEX($AO$1004:$BQ$1004,1,MATCH(COLUMNS($AO$1006:BI1006),$AO$1006:$BQ$1006,0)))),"Fix")))</f>
        <v>#N/A</v>
      </c>
      <c r="W846" s="5" t="e">
        <f ca="1">IF(OR(INDEX($AI$2:$AI$1001,MATCH(ROWS($AH$2:AH846),$AH$2:$AH$1001,0),1)&gt;=100000,INDEX($AO$1005:$BQ$1005,1,MATCH(COLUMNS($AO$1006:BJ1006),$AO$1006:$BQ$1006,0))&gt;=100000), " ",IF(INDEX($AO$2:$BQ$1001,MATCH(ROWS($AH$2:AH846),$AH$2:$AH$1001,0),MATCH(COLUMNS($AO$1006:BJ1006),$AO$1006:$BQ$1006,0)), HYPERLINK("#",""), HYPERLINK(CONCATENATE("#Metadata!", ADDRESS(INDEX($AJ$2:$AJ$1001,MATCH(ROWS($AH$2:AH846),$AH$2:$AH$1001,0),0), INDEX($AO$1004:$BQ$1004,1,MATCH(COLUMNS($AO$1006:BJ1006),$AO$1006:$BQ$1006,0)))),"Fix")))</f>
        <v>#N/A</v>
      </c>
      <c r="X846" s="5" t="e">
        <f ca="1">IF(OR(INDEX($AI$2:$AI$1001,MATCH(ROWS($AH$2:AH846),$AH$2:$AH$1001,0),1)&gt;=100000,INDEX($AO$1005:$BQ$1005,1,MATCH(COLUMNS($AO$1006:BK1006),$AO$1006:$BQ$1006,0))&gt;=100000), " ",IF(INDEX($AO$2:$BQ$1001,MATCH(ROWS($AH$2:AH846),$AH$2:$AH$1001,0),MATCH(COLUMNS($AO$1006:BK1006),$AO$1006:$BQ$1006,0)), HYPERLINK("#",""), HYPERLINK(CONCATENATE("#Metadata!", ADDRESS(INDEX($AJ$2:$AJ$1001,MATCH(ROWS($AH$2:AH846),$AH$2:$AH$1001,0),0), INDEX($AO$1004:$BQ$1004,1,MATCH(COLUMNS($AO$1006:BK1006),$AO$1006:$BQ$1006,0)))),"Fix")))</f>
        <v>#N/A</v>
      </c>
      <c r="Y846" s="5" t="e">
        <f ca="1">IF(OR(INDEX($AI$2:$AI$1001,MATCH(ROWS($AH$2:AH846),$AH$2:$AH$1001,0),1)&gt;=100000,INDEX($AO$1005:$BQ$1005,1,MATCH(COLUMNS($AO$1006:BL1006),$AO$1006:$BQ$1006,0))&gt;=100000), " ",IF(INDEX($AO$2:$BQ$1001,MATCH(ROWS($AH$2:AH846),$AH$2:$AH$1001,0),MATCH(COLUMNS($AO$1006:BL1006),$AO$1006:$BQ$1006,0)), HYPERLINK("#",""), HYPERLINK(CONCATENATE("#Metadata!", ADDRESS(INDEX($AJ$2:$AJ$1001,MATCH(ROWS($AH$2:AH846),$AH$2:$AH$1001,0),0), INDEX($AO$1004:$BQ$1004,1,MATCH(COLUMNS($AO$1006:BL1006),$AO$1006:$BQ$1006,0)))),"Fix")))</f>
        <v>#N/A</v>
      </c>
      <c r="Z846" s="5" t="e">
        <f ca="1">IF(OR(INDEX($AI$2:$AI$1001,MATCH(ROWS($AH$2:AH846),$AH$2:$AH$1001,0),1)&gt;=100000,INDEX($AO$1005:$BQ$1005,1,MATCH(COLUMNS($AO$1006:BM1006),$AO$1006:$BQ$1006,0))&gt;=100000), " ",IF(INDEX($AO$2:$BQ$1001,MATCH(ROWS($AH$2:AH846),$AH$2:$AH$1001,0),MATCH(COLUMNS($AO$1006:BM1006),$AO$1006:$BQ$1006,0)), HYPERLINK("#",""), HYPERLINK(CONCATENATE("#Metadata!", ADDRESS(INDEX($AJ$2:$AJ$1001,MATCH(ROWS($AH$2:AH846),$AH$2:$AH$1001,0),0), INDEX($AO$1004:$BQ$1004,1,MATCH(COLUMNS($AO$1006:BM1006),$AO$1006:$BQ$1006,0)))),"Fix")))</f>
        <v>#N/A</v>
      </c>
      <c r="AA846" s="5" t="e">
        <f ca="1">IF(OR(INDEX($AI$2:$AI$1001,MATCH(ROWS($AH$2:AH846),$AH$2:$AH$1001,0),1)&gt;=100000,INDEX($AO$1005:$BQ$1005,1,MATCH(COLUMNS($AO$1006:BN1006),$AO$1006:$BQ$1006,0))&gt;=100000), " ",IF(INDEX($AO$2:$BQ$1001,MATCH(ROWS($AH$2:AH846),$AH$2:$AH$1001,0),MATCH(COLUMNS($AO$1006:BN1006),$AO$1006:$BQ$1006,0)), HYPERLINK("#",""), HYPERLINK(CONCATENATE("#Metadata!", ADDRESS(INDEX($AJ$2:$AJ$1001,MATCH(ROWS($AH$2:AH846),$AH$2:$AH$1001,0),0), INDEX($AO$1004:$BQ$1004,1,MATCH(COLUMNS($AO$1006:BN1006),$AO$1006:$BQ$1006,0)))),"Fix")))</f>
        <v>#N/A</v>
      </c>
      <c r="AB846" s="5" t="e">
        <f ca="1">IF(OR(INDEX($AI$2:$AI$1001,MATCH(ROWS($AH$2:AH846),$AH$2:$AH$1001,0),1)&gt;=100000,INDEX($AO$1005:$BQ$1005,1,MATCH(COLUMNS($AO$1006:BO1006),$AO$1006:$BQ$1006,0))&gt;=100000), " ",IF(INDEX($AO$2:$BQ$1001,MATCH(ROWS($AH$2:AH846),$AH$2:$AH$1001,0),MATCH(COLUMNS($AO$1006:BO1006),$AO$1006:$BQ$1006,0)), HYPERLINK("#",""), HYPERLINK(CONCATENATE("#Metadata!", ADDRESS(INDEX($AJ$2:$AJ$1001,MATCH(ROWS($AH$2:AH846),$AH$2:$AH$1001,0),0), INDEX($AO$1004:$BQ$1004,1,MATCH(COLUMNS($AO$1006:BO1006),$AO$1006:$BQ$1006,0)))),"Fix")))</f>
        <v>#N/A</v>
      </c>
      <c r="AC846" s="5" t="e">
        <f ca="1">IF(OR(INDEX($AI$2:$AI$1001,MATCH(ROWS($AH$2:AH846),$AH$2:$AH$1001,0),1)&gt;=100000,INDEX($AO$1005:$BQ$1005,1,MATCH(COLUMNS($AO$1006:BP1006),$AO$1006:$BQ$1006,0))&gt;=100000), " ",IF(INDEX($AO$2:$BQ$1001,MATCH(ROWS($AH$2:AH846),$AH$2:$AH$1001,0),MATCH(COLUMNS($AO$1006:BP1006),$AO$1006:$BQ$1006,0)), HYPERLINK("#",""), HYPERLINK(CONCATENATE("#Metadata!", ADDRESS(INDEX($AJ$2:$AJ$1001,MATCH(ROWS($AH$2:AH846),$AH$2:$AH$1001,0),0), INDEX($AO$1004:$BQ$1004,1,MATCH(COLUMNS($AO$1006:BP1006),$AO$1006:$BQ$1006,0)))),"Fix")))</f>
        <v>#N/A</v>
      </c>
      <c r="AD846" s="5" t="e">
        <f ca="1">IF(OR(INDEX($AI$2:$AI$1001,MATCH(ROWS($AH$2:AH846),$AH$2:$AH$1001,0),1)&gt;=100000,INDEX($AO$1005:$BQ$1005,1,MATCH(COLUMNS($AO$1006:BQ1006),$AO$1006:$BQ$1006,0))&gt;=100000), " ",IF(INDEX($AO$2:$BQ$1001,MATCH(ROWS($AH$2:AH846),$AH$2:$AH$1001,0),MATCH(COLUMNS($AO$1006:BQ1006),$AO$1006:$BQ$1006,0)), HYPERLINK("#",""), HYPERLINK(CONCATENATE("#Metadata!", ADDRESS(INDEX($AJ$2:$AJ$1001,MATCH(ROWS($AH$2:AH846),$AH$2:$AH$1001,0),0), INDEX($AO$1004:$BQ$1004,1,MATCH(COLUMNS($AO$1006:BQ1006),$AO$1006:$BQ$1006,0)))),"Fix")))</f>
        <v>#REF!</v>
      </c>
      <c r="AH846">
        <f ca="1"/>
        <v>843</v>
      </c>
      <c r="AI846">
        <v>100846</v>
      </c>
      <c r="AJ846">
        <v>846</v>
      </c>
      <c r="AK846" t="b">
        <f t="shared" si="13"/>
        <v>1</v>
      </c>
      <c r="AL846" t="b">
        <f>COUNTBLANK(Metadata!B846:AD846)=COLUMNS(Metadata!B846:AD846)</f>
        <v>1</v>
      </c>
      <c r="AM846" t="str">
        <v/>
      </c>
      <c r="AO846" t="b">
        <f ca="1">AND(IF(Metadata!B846="",FALSE,TRUE),COUNTIF(Metadata!B:B, Metadata!B846) = 1,NOT(ISERROR(SUMPRODUCT(SEARCH(MID(Metadata!B846,ROW(INDIRECT("1:"&amp;LEN(Metadata!B846))), 1),"0123456789abcdefghijklmnopqrstuvwxyzABCDEFGHIJKLMNOPQRSTUVWXYZ.")))))</f>
        <v>0</v>
      </c>
      <c r="AP846" t="b">
        <f>IF(Metadata!C846="",FALSE,TRUE)</f>
        <v>0</v>
      </c>
      <c r="AQ846" t="b">
        <f>IF(Metadata!D846="",FALSE,TRUE)</f>
        <v>0</v>
      </c>
      <c r="AR846" t="b">
        <f ca="1">OR(AND(IF(Metadata!E846="",FALSE,TRUE),OR(EXACT(Metadata!E846,"not collected"),EXACT(Metadata!E846,"not provided"),EXACT(Metadata!E846,"restricted access"))),AND(IF(Metadata!E846="",FALSE,TRUE),AND(AND(IFERROR(INT(LEFT(Metadata!E846,4))&gt;1900,FALSE),IFERROR(INT(LEFT(Metadata!E846,4))&lt;=YEAR(NOW()),FALSE)), OR(MID(Metadata!E846,5,1)="", AND(AND(MID(Metadata!E846,5,1)="-",IFERROR(INT(MID(Metadata!E846,6,1))&gt;=0,FALSE),IFERROR(INT(MID(Metadata!E846,6,1))&lt;=1,FALSE),NOT(MID(Metadata!E846,7,1)=""),IFERROR(INT(MID(Metadata!E846,6,2))&gt;=1,FALSE),IFERROR(INT(MID(Metadata!E846,6,2))&lt;=12,FALSE)), OR(MID(Metadata!E846,8,1)="", AND(AND(MID(Metadata!E846,8,1)="-",IFERROR(INT(MID(Metadata!E846,9,1))&gt;=0,FALSE),IFERROR(INT(MID(Metadata!E846,9,1))&lt;=3,FALSE),NOT(MID(Metadata!E846,10,1)=""),IFERROR(INT(MID(Metadata!E846,9,2))&gt;=1,FALSE),IFERROR(INT(MID(Metadata!E846,9,2))&lt;=31,FALSE)), OR(MID(Metadata!E846,11,1)="", AND(AND(MID(Metadata!E846,11,1)=" ",IFERROR(INT(MID(Metadata!E846,12,1))&gt;=0,FALSE),IFERROR(INT(MID(Metadata!E846,12,1))&lt;=2,FALSE),NOT(MID(Metadata!E846,13,1)=""),IFERROR(INT(MID(Metadata!E846,12,2))&gt;=0,FALSE),IFERROR(INT(MID(Metadata!E846,12,2))&lt;=23,FALSE)), OR(MID(Metadata!E846,14,1)="", AND(AND(MID(Metadata!E846,14,1)=":",IFERROR(INT(MID(Metadata!E846,15,1))&gt;=0,FALSE),IFERROR(INT(MID(Metadata!E846,15,1))&lt;=5,FALSE),NOT(MID(Metadata!E846,16,1)=""),IFERROR(INT(MID(Metadata!E846,15,2))&gt;=0,FALSE),IFERROR(INT(MID(Metadata!E846,15,2))&lt;=59,FALSE)), OR(MID(Metadata!E846,17,1)="", AND(AND(MID(Metadata!E846,17,1)=":",IFERROR(INT(MID(Metadata!E846,18,1))&gt;=0,FALSE),IFERROR(INT(MID(Metadata!E846,18,1))&lt;=5,FALSE),NOT(MID(Metadata!E846,19,1)=""),IFERROR(INT(MID(Metadata!E846,18,2))&gt;=0,FALSE),IFERROR(INT(MID(Metadata!E846,18,2))&lt;=59,FALSE)), LEN(Metadata!E846)&lt;=19)))))))))))))</f>
        <v>0</v>
      </c>
      <c r="AS846" t="b">
        <f>IF(Metadata!F846="",FALSE,TRUE)</f>
        <v>0</v>
      </c>
      <c r="AT846" t="b">
        <f>OR(AND(IF(Metadata!G846="",FALSE,TRUE),OR(EXACT(Metadata!G846,"not collected"),EXACT(Metadata!G846,"not provided"))),AND(IF(Metadata!G846="",FALSE,TRUE),OR(EXACT(Metadata!G846,"TRUE"),EXACT(Metadata!G846,"FALSE"))))</f>
        <v>0</v>
      </c>
      <c r="AU846" t="b">
        <f>OR(AND(IF(Metadata!H846="",FALSE,TRUE),OR(EXACT(Metadata!H846,"not collected"),EXACT(Metadata!H846,"not provided"),EXACT(Metadata!H846,"restricted access"))),AND(IF(Metadata!H846="",FALSE,ISNUMBER(VALUE(Metadata!H846))),Metadata!H846&gt;=-413))</f>
        <v>0</v>
      </c>
      <c r="AV846" t="b">
        <f>AND(IF(Metadata!I846="",FALSE,TRUE),EXACT(Metadata!I846,"meters"))</f>
        <v>0</v>
      </c>
      <c r="AW846" t="b">
        <f>AND(IF(Metadata!J846="",FALSE,TRUE),EXACT(Metadata!J846,"free-living"))</f>
        <v>0</v>
      </c>
      <c r="AX846" t="b">
        <f>AND(IF(Metadata!K846="",FALSE,TRUE),OR(EXACT(Metadata!K846,"saline"),EXACT(Metadata!K846,"non-saline")))</f>
        <v>0</v>
      </c>
      <c r="AY846" t="b">
        <f>AND(IF(Metadata!L846="",FALSE,TRUE),OR(EXACT(Metadata!L846,"sub-surface (non-saline)"),EXACT(Metadata!L846,"surface (non-saline)"),EXACT(Metadata!L846,"water (non-saline)"),EXACT(Metadata!L846,"soil (non-saline)"),EXACT(Metadata!L846,"aerosol (non-saline)"),EXACT(Metadata!L846,"sediment (non-saline)"),EXACT(Metadata!L846,"surface (saline)"),EXACT(Metadata!L846,"water (saline)"),EXACT(Metadata!L846,"hypersaline (saline)"),EXACT(Metadata!L846,"aerosol (saline)"),EXACT(Metadata!L846,"sediment (saline)")))</f>
        <v>0</v>
      </c>
      <c r="AZ846" t="b">
        <f>IF(Metadata!M846="",FALSE,TRUE)</f>
        <v>0</v>
      </c>
      <c r="BA846" t="b">
        <f>IF(Metadata!N846="",FALSE,TRUE)</f>
        <v>0</v>
      </c>
      <c r="BB846" t="b">
        <f>IF(Metadata!O846="",FALSE,TRUE)</f>
        <v>0</v>
      </c>
      <c r="BC846" t="b">
        <f>AND(IF(Metadata!P846="",FALSE,TRUE),OR(EXACT(Metadata!P846,"air"),EXACT(Metadata!P846,"microbial mat/biofilm"),EXACT(Metadata!P846,"misc environment"),EXACT(Metadata!P846,"sediment"),EXACT(Metadata!P846,"soil"),EXACT(Metadata!P846,"wastewater/sludge"),EXACT(Metadata!P846,"water")))</f>
        <v>0</v>
      </c>
      <c r="BD846" t="b">
        <f>IF(Metadata!Q846="",FALSE,TRUE)</f>
        <v>0</v>
      </c>
      <c r="BE846" t="b">
        <f>IF(Metadata!R846="",FALSE,TRUE)</f>
        <v>0</v>
      </c>
      <c r="BF846" t="b">
        <f>OR(AND(IF(Metadata!S846="",FALSE,TRUE),OR(EXACT(Metadata!S846,"not collected"),EXACT(Metadata!S846,"not provided"),EXACT(Metadata!S846,"restricted access"))),AND(IF(Metadata!S846="",FALSE,ISNUMBER(VALUE(Metadata!S846))),Metadata!S846&gt;=-90,Metadata!S846&lt;=90))</f>
        <v>0</v>
      </c>
      <c r="BG846" t="b">
        <f>AND(IF(Metadata!T846="",FALSE,TRUE),EXACT(Metadata!T846,"Decimal degrees"))</f>
        <v>0</v>
      </c>
      <c r="BH846" t="b">
        <f>OR(AND(IF(Metadata!U846="",FALSE,TRUE),OR(EXACT(Metadata!U846,"not applicable"),EXACT(Metadata!U846,"not collected"))),IF(Metadata!U846="",FALSE,TRUE))</f>
        <v>0</v>
      </c>
      <c r="BI846" t="b">
        <f>OR(AND(IF(Metadata!V846="",FALSE,TRUE),OR(EXACT(Metadata!V846,"not collected"),EXACT(Metadata!V846,"not provided"),EXACT(Metadata!V846,"restricted access"))),AND(IF(Metadata!V846="",FALSE,ISNUMBER(VALUE(Metadata!V846))),Metadata!V846&gt;=-180,Metadata!V846&lt;=180))</f>
        <v>0</v>
      </c>
      <c r="BJ846" t="b">
        <f>AND(IF(Metadata!W846="",FALSE,TRUE),EXACT(Metadata!W846,"Decimal degrees"))</f>
        <v>0</v>
      </c>
      <c r="BK846" t="b">
        <f>IF(Metadata!X846="",FALSE,TRUE)</f>
        <v>0</v>
      </c>
      <c r="BL846" t="b">
        <f>OR(AND(IF(Metadata!Y846="",FALSE,TRUE),OR(EXACT(Metadata!Y846,"not collected"),EXACT(Metadata!Y846,"not provided"),EXACT(Metadata!Y846,"restricted access"))),AND(IF(Metadata!Y846="",FALSE,TRUE),OR(EXACT(Metadata!Y846,"TRUE"),EXACT(Metadata!Y846,"FALSE"))))</f>
        <v>0</v>
      </c>
      <c r="BM846" t="b">
        <f>OR(AND(IF(Metadata!Z846="",FALSE,TRUE),EXACT(Metadata!Z846,"not applicable")),AND(IF(Metadata!Z846="",FALSE,TRUE),OR(EXACT(Metadata!Z846,"beer"),EXACT(Metadata!Z846,"cheese"),EXACT(Metadata!Z846,"fresh water"),EXACT(Metadata!Z846,"marine sediment"),EXACT(Metadata!Z846,"sea water"),EXACT(Metadata!Z846,"sediment"),EXACT(Metadata!Z846,"soil"),EXACT(Metadata!Z846,"waste water"))))</f>
        <v>0</v>
      </c>
      <c r="BN846" t="b">
        <f>AND(IF(Metadata!AA846="",FALSE,TRUE),EXACT(Metadata!AA846,"metagenome"))</f>
        <v>0</v>
      </c>
      <c r="BO846" t="b">
        <f>AND(IF(Metadata!AB846="",FALSE,TRUE),EXACT(Metadata!AB846,"256318"))</f>
        <v>0</v>
      </c>
      <c r="BP846" t="b">
        <f>IF(Metadata!AC846="",FALSE,TRUE)</f>
        <v>0</v>
      </c>
      <c r="BQ846" t="b">
        <f>IF(Metadata!AD846="",FALSE,TRUE)</f>
        <v>0</v>
      </c>
    </row>
    <row r="847" spans="1:69" x14ac:dyDescent="0.2">
      <c r="A847" s="4" t="e">
        <f ca="1">IF(B847=" "," ",HYPERLINK(CONCATENATE("#metadata!",ADDRESS(INDEX($AJ$2:$AJ$1001,MATCH(ROWS($AH$2:AH847),$AH$2:$AH$1001,0),0),2)),INDEX($AM$2:$AM$1001,MATCH(ROWS($AH$2:AH847),$AH$2:$AH$1001,0),0)))</f>
        <v>#N/A</v>
      </c>
      <c r="B847" s="5" t="e">
        <f ca="1">IF(OR(INDEX($AI$2:$AI$1001,MATCH(ROWS($AH$2:AH847),$AH$2:$AH$1001,0),1)&gt;=100000,INDEX($AO$1005:$BQ$1005,1,MATCH(COLUMNS($AO$1006:AO1006),$AO$1006:$BQ$1006,0))&gt;=100000), " ",IF(INDEX($AO$2:$BQ$1001,MATCH(ROWS($AH$2:AH847),$AH$2:$AH$1001,0),MATCH(COLUMNS($AO$1006:AO1006),$AO$1006:$BQ$1006,0)), HYPERLINK("#",""), HYPERLINK(CONCATENATE("#Metadata!", ADDRESS(INDEX($AJ$2:$AJ$1001,MATCH(ROWS($AH$2:AH847),$AH$2:$AH$1001,0),0), INDEX($AO$1004:$BQ$1004,1,MATCH(COLUMNS($AO$1006:AO1006),$AO$1006:$BQ$1006,0)))),"Fix")))</f>
        <v>#N/A</v>
      </c>
      <c r="C847" s="5" t="e">
        <f ca="1">IF(OR(INDEX($AI$2:$AI$1001,MATCH(ROWS($AH$2:AH847),$AH$2:$AH$1001,0),1)&gt;=100000,INDEX($AO$1005:$BQ$1005,1,MATCH(COLUMNS($AO$1006:AP1006),$AO$1006:$BQ$1006,0))&gt;=100000), " ",IF(INDEX($AO$2:$BQ$1001,MATCH(ROWS($AH$2:AH847),$AH$2:$AH$1001,0),MATCH(COLUMNS($AO$1006:AP1006),$AO$1006:$BQ$1006,0)), HYPERLINK("#",""), HYPERLINK(CONCATENATE("#Metadata!", ADDRESS(INDEX($AJ$2:$AJ$1001,MATCH(ROWS($AH$2:AH847),$AH$2:$AH$1001,0),0), INDEX($AO$1004:$BQ$1004,1,MATCH(COLUMNS($AO$1006:AP1006),$AO$1006:$BQ$1006,0)))),"Fix")))</f>
        <v>#N/A</v>
      </c>
      <c r="D847" s="5" t="e">
        <f ca="1">IF(OR(INDEX($AI$2:$AI$1001,MATCH(ROWS($AH$2:AH847),$AH$2:$AH$1001,0),1)&gt;=100000,INDEX($AO$1005:$BQ$1005,1,MATCH(COLUMNS($AO$1006:AQ1006),$AO$1006:$BQ$1006,0))&gt;=100000), " ",IF(INDEX($AO$2:$BQ$1001,MATCH(ROWS($AH$2:AH847),$AH$2:$AH$1001,0),MATCH(COLUMNS($AO$1006:AQ1006),$AO$1006:$BQ$1006,0)), HYPERLINK("#",""), HYPERLINK(CONCATENATE("#Metadata!", ADDRESS(INDEX($AJ$2:$AJ$1001,MATCH(ROWS($AH$2:AH847),$AH$2:$AH$1001,0),0), INDEX($AO$1004:$BQ$1004,1,MATCH(COLUMNS($AO$1006:AQ1006),$AO$1006:$BQ$1006,0)))),"Fix")))</f>
        <v>#N/A</v>
      </c>
      <c r="E847" s="5" t="e">
        <f ca="1">IF(OR(INDEX($AI$2:$AI$1001,MATCH(ROWS($AH$2:AH847),$AH$2:$AH$1001,0),1)&gt;=100000,INDEX($AO$1005:$BQ$1005,1,MATCH(COLUMNS($AO$1006:AR1006),$AO$1006:$BQ$1006,0))&gt;=100000), " ",IF(INDEX($AO$2:$BQ$1001,MATCH(ROWS($AH$2:AH847),$AH$2:$AH$1001,0),MATCH(COLUMNS($AO$1006:AR1006),$AO$1006:$BQ$1006,0)), HYPERLINK("#",""), HYPERLINK(CONCATENATE("#Metadata!", ADDRESS(INDEX($AJ$2:$AJ$1001,MATCH(ROWS($AH$2:AH847),$AH$2:$AH$1001,0),0), INDEX($AO$1004:$BQ$1004,1,MATCH(COLUMNS($AO$1006:AR1006),$AO$1006:$BQ$1006,0)))),"Fix")))</f>
        <v>#N/A</v>
      </c>
      <c r="F847" s="5" t="e">
        <f ca="1">IF(OR(INDEX($AI$2:$AI$1001,MATCH(ROWS($AH$2:AH847),$AH$2:$AH$1001,0),1)&gt;=100000,INDEX($AO$1005:$BQ$1005,1,MATCH(COLUMNS($AO$1006:AS1006),$AO$1006:$BQ$1006,0))&gt;=100000), " ",IF(INDEX($AO$2:$BQ$1001,MATCH(ROWS($AH$2:AH847),$AH$2:$AH$1001,0),MATCH(COLUMNS($AO$1006:AS1006),$AO$1006:$BQ$1006,0)), HYPERLINK("#",""), HYPERLINK(CONCATENATE("#Metadata!", ADDRESS(INDEX($AJ$2:$AJ$1001,MATCH(ROWS($AH$2:AH847),$AH$2:$AH$1001,0),0), INDEX($AO$1004:$BQ$1004,1,MATCH(COLUMNS($AO$1006:AS1006),$AO$1006:$BQ$1006,0)))),"Fix")))</f>
        <v>#N/A</v>
      </c>
      <c r="G847" s="5" t="e">
        <f ca="1">IF(OR(INDEX($AI$2:$AI$1001,MATCH(ROWS($AH$2:AH847),$AH$2:$AH$1001,0),1)&gt;=100000,INDEX($AO$1005:$BQ$1005,1,MATCH(COLUMNS($AO$1006:AT1006),$AO$1006:$BQ$1006,0))&gt;=100000), " ",IF(INDEX($AO$2:$BQ$1001,MATCH(ROWS($AH$2:AH847),$AH$2:$AH$1001,0),MATCH(COLUMNS($AO$1006:AT1006),$AO$1006:$BQ$1006,0)), HYPERLINK("#",""), HYPERLINK(CONCATENATE("#Metadata!", ADDRESS(INDEX($AJ$2:$AJ$1001,MATCH(ROWS($AH$2:AH847),$AH$2:$AH$1001,0),0), INDEX($AO$1004:$BQ$1004,1,MATCH(COLUMNS($AO$1006:AT1006),$AO$1006:$BQ$1006,0)))),"Fix")))</f>
        <v>#N/A</v>
      </c>
      <c r="H847" s="5" t="e">
        <f ca="1">IF(OR(INDEX($AI$2:$AI$1001,MATCH(ROWS($AH$2:AH847),$AH$2:$AH$1001,0),1)&gt;=100000,INDEX($AO$1005:$BQ$1005,1,MATCH(COLUMNS($AO$1006:AU1006),$AO$1006:$BQ$1006,0))&gt;=100000), " ",IF(INDEX($AO$2:$BQ$1001,MATCH(ROWS($AH$2:AH847),$AH$2:$AH$1001,0),MATCH(COLUMNS($AO$1006:AU1006),$AO$1006:$BQ$1006,0)), HYPERLINK("#",""), HYPERLINK(CONCATENATE("#Metadata!", ADDRESS(INDEX($AJ$2:$AJ$1001,MATCH(ROWS($AH$2:AH847),$AH$2:$AH$1001,0),0), INDEX($AO$1004:$BQ$1004,1,MATCH(COLUMNS($AO$1006:AU1006),$AO$1006:$BQ$1006,0)))),"Fix")))</f>
        <v>#N/A</v>
      </c>
      <c r="I847" s="5" t="e">
        <f ca="1">IF(OR(INDEX($AI$2:$AI$1001,MATCH(ROWS($AH$2:AH847),$AH$2:$AH$1001,0),1)&gt;=100000,INDEX($AO$1005:$BQ$1005,1,MATCH(COLUMNS($AO$1006:AV1006),$AO$1006:$BQ$1006,0))&gt;=100000), " ",IF(INDEX($AO$2:$BQ$1001,MATCH(ROWS($AH$2:AH847),$AH$2:$AH$1001,0),MATCH(COLUMNS($AO$1006:AV1006),$AO$1006:$BQ$1006,0)), HYPERLINK("#",""), HYPERLINK(CONCATENATE("#Metadata!", ADDRESS(INDEX($AJ$2:$AJ$1001,MATCH(ROWS($AH$2:AH847),$AH$2:$AH$1001,0),0), INDEX($AO$1004:$BQ$1004,1,MATCH(COLUMNS($AO$1006:AV1006),$AO$1006:$BQ$1006,0)))),"Fix")))</f>
        <v>#N/A</v>
      </c>
      <c r="J847" s="5" t="e">
        <f ca="1">IF(OR(INDEX($AI$2:$AI$1001,MATCH(ROWS($AH$2:AH847),$AH$2:$AH$1001,0),1)&gt;=100000,INDEX($AO$1005:$BQ$1005,1,MATCH(COLUMNS($AO$1006:AW1006),$AO$1006:$BQ$1006,0))&gt;=100000), " ",IF(INDEX($AO$2:$BQ$1001,MATCH(ROWS($AH$2:AH847),$AH$2:$AH$1001,0),MATCH(COLUMNS($AO$1006:AW1006),$AO$1006:$BQ$1006,0)), HYPERLINK("#",""), HYPERLINK(CONCATENATE("#Metadata!", ADDRESS(INDEX($AJ$2:$AJ$1001,MATCH(ROWS($AH$2:AH847),$AH$2:$AH$1001,0),0), INDEX($AO$1004:$BQ$1004,1,MATCH(COLUMNS($AO$1006:AW1006),$AO$1006:$BQ$1006,0)))),"Fix")))</f>
        <v>#N/A</v>
      </c>
      <c r="K847" s="5" t="e">
        <f ca="1">IF(OR(INDEX($AI$2:$AI$1001,MATCH(ROWS($AH$2:AH847),$AH$2:$AH$1001,0),1)&gt;=100000,INDEX($AO$1005:$BQ$1005,1,MATCH(COLUMNS($AO$1006:AX1006),$AO$1006:$BQ$1006,0))&gt;=100000), " ",IF(INDEX($AO$2:$BQ$1001,MATCH(ROWS($AH$2:AH847),$AH$2:$AH$1001,0),MATCH(COLUMNS($AO$1006:AX1006),$AO$1006:$BQ$1006,0)), HYPERLINK("#",""), HYPERLINK(CONCATENATE("#Metadata!", ADDRESS(INDEX($AJ$2:$AJ$1001,MATCH(ROWS($AH$2:AH847),$AH$2:$AH$1001,0),0), INDEX($AO$1004:$BQ$1004,1,MATCH(COLUMNS($AO$1006:AX1006),$AO$1006:$BQ$1006,0)))),"Fix")))</f>
        <v>#N/A</v>
      </c>
      <c r="L847" s="5" t="e">
        <f ca="1">IF(OR(INDEX($AI$2:$AI$1001,MATCH(ROWS($AH$2:AH847),$AH$2:$AH$1001,0),1)&gt;=100000,INDEX($AO$1005:$BQ$1005,1,MATCH(COLUMNS($AO$1006:AY1006),$AO$1006:$BQ$1006,0))&gt;=100000), " ",IF(INDEX($AO$2:$BQ$1001,MATCH(ROWS($AH$2:AH847),$AH$2:$AH$1001,0),MATCH(COLUMNS($AO$1006:AY1006),$AO$1006:$BQ$1006,0)), HYPERLINK("#",""), HYPERLINK(CONCATENATE("#Metadata!", ADDRESS(INDEX($AJ$2:$AJ$1001,MATCH(ROWS($AH$2:AH847),$AH$2:$AH$1001,0),0), INDEX($AO$1004:$BQ$1004,1,MATCH(COLUMNS($AO$1006:AY1006),$AO$1006:$BQ$1006,0)))),"Fix")))</f>
        <v>#N/A</v>
      </c>
      <c r="M847" s="5" t="e">
        <f ca="1">IF(OR(INDEX($AI$2:$AI$1001,MATCH(ROWS($AH$2:AH847),$AH$2:$AH$1001,0),1)&gt;=100000,INDEX($AO$1005:$BQ$1005,1,MATCH(COLUMNS($AO$1006:AZ1006),$AO$1006:$BQ$1006,0))&gt;=100000), " ",IF(INDEX($AO$2:$BQ$1001,MATCH(ROWS($AH$2:AH847),$AH$2:$AH$1001,0),MATCH(COLUMNS($AO$1006:AZ1006),$AO$1006:$BQ$1006,0)), HYPERLINK("#",""), HYPERLINK(CONCATENATE("#Metadata!", ADDRESS(INDEX($AJ$2:$AJ$1001,MATCH(ROWS($AH$2:AH847),$AH$2:$AH$1001,0),0), INDEX($AO$1004:$BQ$1004,1,MATCH(COLUMNS($AO$1006:AZ1006),$AO$1006:$BQ$1006,0)))),"Fix")))</f>
        <v>#N/A</v>
      </c>
      <c r="N847" s="5" t="e">
        <f ca="1">IF(OR(INDEX($AI$2:$AI$1001,MATCH(ROWS($AH$2:AH847),$AH$2:$AH$1001,0),1)&gt;=100000,INDEX($AO$1005:$BQ$1005,1,MATCH(COLUMNS($AO$1006:BA1006),$AO$1006:$BQ$1006,0))&gt;=100000), " ",IF(INDEX($AO$2:$BQ$1001,MATCH(ROWS($AH$2:AH847),$AH$2:$AH$1001,0),MATCH(COLUMNS($AO$1006:BA1006),$AO$1006:$BQ$1006,0)), HYPERLINK("#",""), HYPERLINK(CONCATENATE("#Metadata!", ADDRESS(INDEX($AJ$2:$AJ$1001,MATCH(ROWS($AH$2:AH847),$AH$2:$AH$1001,0),0), INDEX($AO$1004:$BQ$1004,1,MATCH(COLUMNS($AO$1006:BA1006),$AO$1006:$BQ$1006,0)))),"Fix")))</f>
        <v>#N/A</v>
      </c>
      <c r="O847" s="5" t="e">
        <f ca="1">IF(OR(INDEX($AI$2:$AI$1001,MATCH(ROWS($AH$2:AH847),$AH$2:$AH$1001,0),1)&gt;=100000,INDEX($AO$1005:$BQ$1005,1,MATCH(COLUMNS($AO$1006:BB1006),$AO$1006:$BQ$1006,0))&gt;=100000), " ",IF(INDEX($AO$2:$BQ$1001,MATCH(ROWS($AH$2:AH847),$AH$2:$AH$1001,0),MATCH(COLUMNS($AO$1006:BB1006),$AO$1006:$BQ$1006,0)), HYPERLINK("#",""), HYPERLINK(CONCATENATE("#Metadata!", ADDRESS(INDEX($AJ$2:$AJ$1001,MATCH(ROWS($AH$2:AH847),$AH$2:$AH$1001,0),0), INDEX($AO$1004:$BQ$1004,1,MATCH(COLUMNS($AO$1006:BB1006),$AO$1006:$BQ$1006,0)))),"Fix")))</f>
        <v>#N/A</v>
      </c>
      <c r="P847" s="5" t="e">
        <f ca="1">IF(OR(INDEX($AI$2:$AI$1001,MATCH(ROWS($AH$2:AH847),$AH$2:$AH$1001,0),1)&gt;=100000,INDEX($AO$1005:$BQ$1005,1,MATCH(COLUMNS($AO$1006:BC1006),$AO$1006:$BQ$1006,0))&gt;=100000), " ",IF(INDEX($AO$2:$BQ$1001,MATCH(ROWS($AH$2:AH847),$AH$2:$AH$1001,0),MATCH(COLUMNS($AO$1006:BC1006),$AO$1006:$BQ$1006,0)), HYPERLINK("#",""), HYPERLINK(CONCATENATE("#Metadata!", ADDRESS(INDEX($AJ$2:$AJ$1001,MATCH(ROWS($AH$2:AH847),$AH$2:$AH$1001,0),0), INDEX($AO$1004:$BQ$1004,1,MATCH(COLUMNS($AO$1006:BC1006),$AO$1006:$BQ$1006,0)))),"Fix")))</f>
        <v>#N/A</v>
      </c>
      <c r="Q847" s="5" t="e">
        <f ca="1">IF(OR(INDEX($AI$2:$AI$1001,MATCH(ROWS($AH$2:AH847),$AH$2:$AH$1001,0),1)&gt;=100000,INDEX($AO$1005:$BQ$1005,1,MATCH(COLUMNS($AO$1006:BD1006),$AO$1006:$BQ$1006,0))&gt;=100000), " ",IF(INDEX($AO$2:$BQ$1001,MATCH(ROWS($AH$2:AH847),$AH$2:$AH$1001,0),MATCH(COLUMNS($AO$1006:BD1006),$AO$1006:$BQ$1006,0)), HYPERLINK("#",""), HYPERLINK(CONCATENATE("#Metadata!", ADDRESS(INDEX($AJ$2:$AJ$1001,MATCH(ROWS($AH$2:AH847),$AH$2:$AH$1001,0),0), INDEX($AO$1004:$BQ$1004,1,MATCH(COLUMNS($AO$1006:BD1006),$AO$1006:$BQ$1006,0)))),"Fix")))</f>
        <v>#N/A</v>
      </c>
      <c r="R847" s="5" t="e">
        <f ca="1">IF(OR(INDEX($AI$2:$AI$1001,MATCH(ROWS($AH$2:AH847),$AH$2:$AH$1001,0),1)&gt;=100000,INDEX($AO$1005:$BQ$1005,1,MATCH(COLUMNS($AO$1006:BE1006),$AO$1006:$BQ$1006,0))&gt;=100000), " ",IF(INDEX($AO$2:$BQ$1001,MATCH(ROWS($AH$2:AH847),$AH$2:$AH$1001,0),MATCH(COLUMNS($AO$1006:BE1006),$AO$1006:$BQ$1006,0)), HYPERLINK("#",""), HYPERLINK(CONCATENATE("#Metadata!", ADDRESS(INDEX($AJ$2:$AJ$1001,MATCH(ROWS($AH$2:AH847),$AH$2:$AH$1001,0),0), INDEX($AO$1004:$BQ$1004,1,MATCH(COLUMNS($AO$1006:BE1006),$AO$1006:$BQ$1006,0)))),"Fix")))</f>
        <v>#N/A</v>
      </c>
      <c r="S847" s="5" t="e">
        <f ca="1">IF(OR(INDEX($AI$2:$AI$1001,MATCH(ROWS($AH$2:AH847),$AH$2:$AH$1001,0),1)&gt;=100000,INDEX($AO$1005:$BQ$1005,1,MATCH(COLUMNS($AO$1006:BF1006),$AO$1006:$BQ$1006,0))&gt;=100000), " ",IF(INDEX($AO$2:$BQ$1001,MATCH(ROWS($AH$2:AH847),$AH$2:$AH$1001,0),MATCH(COLUMNS($AO$1006:BF1006),$AO$1006:$BQ$1006,0)), HYPERLINK("#",""), HYPERLINK(CONCATENATE("#Metadata!", ADDRESS(INDEX($AJ$2:$AJ$1001,MATCH(ROWS($AH$2:AH847),$AH$2:$AH$1001,0),0), INDEX($AO$1004:$BQ$1004,1,MATCH(COLUMNS($AO$1006:BF1006),$AO$1006:$BQ$1006,0)))),"Fix")))</f>
        <v>#N/A</v>
      </c>
      <c r="T847" s="5" t="e">
        <f ca="1">IF(OR(INDEX($AI$2:$AI$1001,MATCH(ROWS($AH$2:AH847),$AH$2:$AH$1001,0),1)&gt;=100000,INDEX($AO$1005:$BQ$1005,1,MATCH(COLUMNS($AO$1006:BG1006),$AO$1006:$BQ$1006,0))&gt;=100000), " ",IF(INDEX($AO$2:$BQ$1001,MATCH(ROWS($AH$2:AH847),$AH$2:$AH$1001,0),MATCH(COLUMNS($AO$1006:BG1006),$AO$1006:$BQ$1006,0)), HYPERLINK("#",""), HYPERLINK(CONCATENATE("#Metadata!", ADDRESS(INDEX($AJ$2:$AJ$1001,MATCH(ROWS($AH$2:AH847),$AH$2:$AH$1001,0),0), INDEX($AO$1004:$BQ$1004,1,MATCH(COLUMNS($AO$1006:BG1006),$AO$1006:$BQ$1006,0)))),"Fix")))</f>
        <v>#N/A</v>
      </c>
      <c r="U847" s="5" t="e">
        <f ca="1">IF(OR(INDEX($AI$2:$AI$1001,MATCH(ROWS($AH$2:AH847),$AH$2:$AH$1001,0),1)&gt;=100000,INDEX($AO$1005:$BQ$1005,1,MATCH(COLUMNS($AO$1006:BH1006),$AO$1006:$BQ$1006,0))&gt;=100000), " ",IF(INDEX($AO$2:$BQ$1001,MATCH(ROWS($AH$2:AH847),$AH$2:$AH$1001,0),MATCH(COLUMNS($AO$1006:BH1006),$AO$1006:$BQ$1006,0)), HYPERLINK("#",""), HYPERLINK(CONCATENATE("#Metadata!", ADDRESS(INDEX($AJ$2:$AJ$1001,MATCH(ROWS($AH$2:AH847),$AH$2:$AH$1001,0),0), INDEX($AO$1004:$BQ$1004,1,MATCH(COLUMNS($AO$1006:BH1006),$AO$1006:$BQ$1006,0)))),"Fix")))</f>
        <v>#N/A</v>
      </c>
      <c r="V847" s="5" t="e">
        <f ca="1">IF(OR(INDEX($AI$2:$AI$1001,MATCH(ROWS($AH$2:AH847),$AH$2:$AH$1001,0),1)&gt;=100000,INDEX($AO$1005:$BQ$1005,1,MATCH(COLUMNS($AO$1006:BI1006),$AO$1006:$BQ$1006,0))&gt;=100000), " ",IF(INDEX($AO$2:$BQ$1001,MATCH(ROWS($AH$2:AH847),$AH$2:$AH$1001,0),MATCH(COLUMNS($AO$1006:BI1006),$AO$1006:$BQ$1006,0)), HYPERLINK("#",""), HYPERLINK(CONCATENATE("#Metadata!", ADDRESS(INDEX($AJ$2:$AJ$1001,MATCH(ROWS($AH$2:AH847),$AH$2:$AH$1001,0),0), INDEX($AO$1004:$BQ$1004,1,MATCH(COLUMNS($AO$1006:BI1006),$AO$1006:$BQ$1006,0)))),"Fix")))</f>
        <v>#N/A</v>
      </c>
      <c r="W847" s="5" t="e">
        <f ca="1">IF(OR(INDEX($AI$2:$AI$1001,MATCH(ROWS($AH$2:AH847),$AH$2:$AH$1001,0),1)&gt;=100000,INDEX($AO$1005:$BQ$1005,1,MATCH(COLUMNS($AO$1006:BJ1006),$AO$1006:$BQ$1006,0))&gt;=100000), " ",IF(INDEX($AO$2:$BQ$1001,MATCH(ROWS($AH$2:AH847),$AH$2:$AH$1001,0),MATCH(COLUMNS($AO$1006:BJ1006),$AO$1006:$BQ$1006,0)), HYPERLINK("#",""), HYPERLINK(CONCATENATE("#Metadata!", ADDRESS(INDEX($AJ$2:$AJ$1001,MATCH(ROWS($AH$2:AH847),$AH$2:$AH$1001,0),0), INDEX($AO$1004:$BQ$1004,1,MATCH(COLUMNS($AO$1006:BJ1006),$AO$1006:$BQ$1006,0)))),"Fix")))</f>
        <v>#N/A</v>
      </c>
      <c r="X847" s="5" t="e">
        <f ca="1">IF(OR(INDEX($AI$2:$AI$1001,MATCH(ROWS($AH$2:AH847),$AH$2:$AH$1001,0),1)&gt;=100000,INDEX($AO$1005:$BQ$1005,1,MATCH(COLUMNS($AO$1006:BK1006),$AO$1006:$BQ$1006,0))&gt;=100000), " ",IF(INDEX($AO$2:$BQ$1001,MATCH(ROWS($AH$2:AH847),$AH$2:$AH$1001,0),MATCH(COLUMNS($AO$1006:BK1006),$AO$1006:$BQ$1006,0)), HYPERLINK("#",""), HYPERLINK(CONCATENATE("#Metadata!", ADDRESS(INDEX($AJ$2:$AJ$1001,MATCH(ROWS($AH$2:AH847),$AH$2:$AH$1001,0),0), INDEX($AO$1004:$BQ$1004,1,MATCH(COLUMNS($AO$1006:BK1006),$AO$1006:$BQ$1006,0)))),"Fix")))</f>
        <v>#N/A</v>
      </c>
      <c r="Y847" s="5" t="e">
        <f ca="1">IF(OR(INDEX($AI$2:$AI$1001,MATCH(ROWS($AH$2:AH847),$AH$2:$AH$1001,0),1)&gt;=100000,INDEX($AO$1005:$BQ$1005,1,MATCH(COLUMNS($AO$1006:BL1006),$AO$1006:$BQ$1006,0))&gt;=100000), " ",IF(INDEX($AO$2:$BQ$1001,MATCH(ROWS($AH$2:AH847),$AH$2:$AH$1001,0),MATCH(COLUMNS($AO$1006:BL1006),$AO$1006:$BQ$1006,0)), HYPERLINK("#",""), HYPERLINK(CONCATENATE("#Metadata!", ADDRESS(INDEX($AJ$2:$AJ$1001,MATCH(ROWS($AH$2:AH847),$AH$2:$AH$1001,0),0), INDEX($AO$1004:$BQ$1004,1,MATCH(COLUMNS($AO$1006:BL1006),$AO$1006:$BQ$1006,0)))),"Fix")))</f>
        <v>#N/A</v>
      </c>
      <c r="Z847" s="5" t="e">
        <f ca="1">IF(OR(INDEX($AI$2:$AI$1001,MATCH(ROWS($AH$2:AH847),$AH$2:$AH$1001,0),1)&gt;=100000,INDEX($AO$1005:$BQ$1005,1,MATCH(COLUMNS($AO$1006:BM1006),$AO$1006:$BQ$1006,0))&gt;=100000), " ",IF(INDEX($AO$2:$BQ$1001,MATCH(ROWS($AH$2:AH847),$AH$2:$AH$1001,0),MATCH(COLUMNS($AO$1006:BM1006),$AO$1006:$BQ$1006,0)), HYPERLINK("#",""), HYPERLINK(CONCATENATE("#Metadata!", ADDRESS(INDEX($AJ$2:$AJ$1001,MATCH(ROWS($AH$2:AH847),$AH$2:$AH$1001,0),0), INDEX($AO$1004:$BQ$1004,1,MATCH(COLUMNS($AO$1006:BM1006),$AO$1006:$BQ$1006,0)))),"Fix")))</f>
        <v>#N/A</v>
      </c>
      <c r="AA847" s="5" t="e">
        <f ca="1">IF(OR(INDEX($AI$2:$AI$1001,MATCH(ROWS($AH$2:AH847),$AH$2:$AH$1001,0),1)&gt;=100000,INDEX($AO$1005:$BQ$1005,1,MATCH(COLUMNS($AO$1006:BN1006),$AO$1006:$BQ$1006,0))&gt;=100000), " ",IF(INDEX($AO$2:$BQ$1001,MATCH(ROWS($AH$2:AH847),$AH$2:$AH$1001,0),MATCH(COLUMNS($AO$1006:BN1006),$AO$1006:$BQ$1006,0)), HYPERLINK("#",""), HYPERLINK(CONCATENATE("#Metadata!", ADDRESS(INDEX($AJ$2:$AJ$1001,MATCH(ROWS($AH$2:AH847),$AH$2:$AH$1001,0),0), INDEX($AO$1004:$BQ$1004,1,MATCH(COLUMNS($AO$1006:BN1006),$AO$1006:$BQ$1006,0)))),"Fix")))</f>
        <v>#N/A</v>
      </c>
      <c r="AB847" s="5" t="e">
        <f ca="1">IF(OR(INDEX($AI$2:$AI$1001,MATCH(ROWS($AH$2:AH847),$AH$2:$AH$1001,0),1)&gt;=100000,INDEX($AO$1005:$BQ$1005,1,MATCH(COLUMNS($AO$1006:BO1006),$AO$1006:$BQ$1006,0))&gt;=100000), " ",IF(INDEX($AO$2:$BQ$1001,MATCH(ROWS($AH$2:AH847),$AH$2:$AH$1001,0),MATCH(COLUMNS($AO$1006:BO1006),$AO$1006:$BQ$1006,0)), HYPERLINK("#",""), HYPERLINK(CONCATENATE("#Metadata!", ADDRESS(INDEX($AJ$2:$AJ$1001,MATCH(ROWS($AH$2:AH847),$AH$2:$AH$1001,0),0), INDEX($AO$1004:$BQ$1004,1,MATCH(COLUMNS($AO$1006:BO1006),$AO$1006:$BQ$1006,0)))),"Fix")))</f>
        <v>#N/A</v>
      </c>
      <c r="AC847" s="5" t="e">
        <f ca="1">IF(OR(INDEX($AI$2:$AI$1001,MATCH(ROWS($AH$2:AH847),$AH$2:$AH$1001,0),1)&gt;=100000,INDEX($AO$1005:$BQ$1005,1,MATCH(COLUMNS($AO$1006:BP1006),$AO$1006:$BQ$1006,0))&gt;=100000), " ",IF(INDEX($AO$2:$BQ$1001,MATCH(ROWS($AH$2:AH847),$AH$2:$AH$1001,0),MATCH(COLUMNS($AO$1006:BP1006),$AO$1006:$BQ$1006,0)), HYPERLINK("#",""), HYPERLINK(CONCATENATE("#Metadata!", ADDRESS(INDEX($AJ$2:$AJ$1001,MATCH(ROWS($AH$2:AH847),$AH$2:$AH$1001,0),0), INDEX($AO$1004:$BQ$1004,1,MATCH(COLUMNS($AO$1006:BP1006),$AO$1006:$BQ$1006,0)))),"Fix")))</f>
        <v>#N/A</v>
      </c>
      <c r="AD847" s="5" t="e">
        <f ca="1">IF(OR(INDEX($AI$2:$AI$1001,MATCH(ROWS($AH$2:AH847),$AH$2:$AH$1001,0),1)&gt;=100000,INDEX($AO$1005:$BQ$1005,1,MATCH(COLUMNS($AO$1006:BQ1006),$AO$1006:$BQ$1006,0))&gt;=100000), " ",IF(INDEX($AO$2:$BQ$1001,MATCH(ROWS($AH$2:AH847),$AH$2:$AH$1001,0),MATCH(COLUMNS($AO$1006:BQ1006),$AO$1006:$BQ$1006,0)), HYPERLINK("#",""), HYPERLINK(CONCATENATE("#Metadata!", ADDRESS(INDEX($AJ$2:$AJ$1001,MATCH(ROWS($AH$2:AH847),$AH$2:$AH$1001,0),0), INDEX($AO$1004:$BQ$1004,1,MATCH(COLUMNS($AO$1006:BQ1006),$AO$1006:$BQ$1006,0)))),"Fix")))</f>
        <v>#REF!</v>
      </c>
      <c r="AH847">
        <f ca="1"/>
        <v>844</v>
      </c>
      <c r="AI847">
        <v>100847</v>
      </c>
      <c r="AJ847">
        <v>847</v>
      </c>
      <c r="AK847" t="b">
        <f t="shared" si="13"/>
        <v>1</v>
      </c>
      <c r="AL847" t="b">
        <f>COUNTBLANK(Metadata!B847:AD847)=COLUMNS(Metadata!B847:AD847)</f>
        <v>1</v>
      </c>
      <c r="AM847" t="str">
        <v/>
      </c>
      <c r="AO847" t="b">
        <f ca="1">AND(IF(Metadata!B847="",FALSE,TRUE),COUNTIF(Metadata!B:B, Metadata!B847) = 1,NOT(ISERROR(SUMPRODUCT(SEARCH(MID(Metadata!B847,ROW(INDIRECT("1:"&amp;LEN(Metadata!B847))), 1),"0123456789abcdefghijklmnopqrstuvwxyzABCDEFGHIJKLMNOPQRSTUVWXYZ.")))))</f>
        <v>0</v>
      </c>
      <c r="AP847" t="b">
        <f>IF(Metadata!C847="",FALSE,TRUE)</f>
        <v>0</v>
      </c>
      <c r="AQ847" t="b">
        <f>IF(Metadata!D847="",FALSE,TRUE)</f>
        <v>0</v>
      </c>
      <c r="AR847" t="b">
        <f ca="1">OR(AND(IF(Metadata!E847="",FALSE,TRUE),OR(EXACT(Metadata!E847,"not collected"),EXACT(Metadata!E847,"not provided"),EXACT(Metadata!E847,"restricted access"))),AND(IF(Metadata!E847="",FALSE,TRUE),AND(AND(IFERROR(INT(LEFT(Metadata!E847,4))&gt;1900,FALSE),IFERROR(INT(LEFT(Metadata!E847,4))&lt;=YEAR(NOW()),FALSE)), OR(MID(Metadata!E847,5,1)="", AND(AND(MID(Metadata!E847,5,1)="-",IFERROR(INT(MID(Metadata!E847,6,1))&gt;=0,FALSE),IFERROR(INT(MID(Metadata!E847,6,1))&lt;=1,FALSE),NOT(MID(Metadata!E847,7,1)=""),IFERROR(INT(MID(Metadata!E847,6,2))&gt;=1,FALSE),IFERROR(INT(MID(Metadata!E847,6,2))&lt;=12,FALSE)), OR(MID(Metadata!E847,8,1)="", AND(AND(MID(Metadata!E847,8,1)="-",IFERROR(INT(MID(Metadata!E847,9,1))&gt;=0,FALSE),IFERROR(INT(MID(Metadata!E847,9,1))&lt;=3,FALSE),NOT(MID(Metadata!E847,10,1)=""),IFERROR(INT(MID(Metadata!E847,9,2))&gt;=1,FALSE),IFERROR(INT(MID(Metadata!E847,9,2))&lt;=31,FALSE)), OR(MID(Metadata!E847,11,1)="", AND(AND(MID(Metadata!E847,11,1)=" ",IFERROR(INT(MID(Metadata!E847,12,1))&gt;=0,FALSE),IFERROR(INT(MID(Metadata!E847,12,1))&lt;=2,FALSE),NOT(MID(Metadata!E847,13,1)=""),IFERROR(INT(MID(Metadata!E847,12,2))&gt;=0,FALSE),IFERROR(INT(MID(Metadata!E847,12,2))&lt;=23,FALSE)), OR(MID(Metadata!E847,14,1)="", AND(AND(MID(Metadata!E847,14,1)=":",IFERROR(INT(MID(Metadata!E847,15,1))&gt;=0,FALSE),IFERROR(INT(MID(Metadata!E847,15,1))&lt;=5,FALSE),NOT(MID(Metadata!E847,16,1)=""),IFERROR(INT(MID(Metadata!E847,15,2))&gt;=0,FALSE),IFERROR(INT(MID(Metadata!E847,15,2))&lt;=59,FALSE)), OR(MID(Metadata!E847,17,1)="", AND(AND(MID(Metadata!E847,17,1)=":",IFERROR(INT(MID(Metadata!E847,18,1))&gt;=0,FALSE),IFERROR(INT(MID(Metadata!E847,18,1))&lt;=5,FALSE),NOT(MID(Metadata!E847,19,1)=""),IFERROR(INT(MID(Metadata!E847,18,2))&gt;=0,FALSE),IFERROR(INT(MID(Metadata!E847,18,2))&lt;=59,FALSE)), LEN(Metadata!E847)&lt;=19)))))))))))))</f>
        <v>0</v>
      </c>
      <c r="AS847" t="b">
        <f>IF(Metadata!F847="",FALSE,TRUE)</f>
        <v>0</v>
      </c>
      <c r="AT847" t="b">
        <f>OR(AND(IF(Metadata!G847="",FALSE,TRUE),OR(EXACT(Metadata!G847,"not collected"),EXACT(Metadata!G847,"not provided"))),AND(IF(Metadata!G847="",FALSE,TRUE),OR(EXACT(Metadata!G847,"TRUE"),EXACT(Metadata!G847,"FALSE"))))</f>
        <v>0</v>
      </c>
      <c r="AU847" t="b">
        <f>OR(AND(IF(Metadata!H847="",FALSE,TRUE),OR(EXACT(Metadata!H847,"not collected"),EXACT(Metadata!H847,"not provided"),EXACT(Metadata!H847,"restricted access"))),AND(IF(Metadata!H847="",FALSE,ISNUMBER(VALUE(Metadata!H847))),Metadata!H847&gt;=-413))</f>
        <v>0</v>
      </c>
      <c r="AV847" t="b">
        <f>AND(IF(Metadata!I847="",FALSE,TRUE),EXACT(Metadata!I847,"meters"))</f>
        <v>0</v>
      </c>
      <c r="AW847" t="b">
        <f>AND(IF(Metadata!J847="",FALSE,TRUE),EXACT(Metadata!J847,"free-living"))</f>
        <v>0</v>
      </c>
      <c r="AX847" t="b">
        <f>AND(IF(Metadata!K847="",FALSE,TRUE),OR(EXACT(Metadata!K847,"saline"),EXACT(Metadata!K847,"non-saline")))</f>
        <v>0</v>
      </c>
      <c r="AY847" t="b">
        <f>AND(IF(Metadata!L847="",FALSE,TRUE),OR(EXACT(Metadata!L847,"sub-surface (non-saline)"),EXACT(Metadata!L847,"surface (non-saline)"),EXACT(Metadata!L847,"water (non-saline)"),EXACT(Metadata!L847,"soil (non-saline)"),EXACT(Metadata!L847,"aerosol (non-saline)"),EXACT(Metadata!L847,"sediment (non-saline)"),EXACT(Metadata!L847,"surface (saline)"),EXACT(Metadata!L847,"water (saline)"),EXACT(Metadata!L847,"hypersaline (saline)"),EXACT(Metadata!L847,"aerosol (saline)"),EXACT(Metadata!L847,"sediment (saline)")))</f>
        <v>0</v>
      </c>
      <c r="AZ847" t="b">
        <f>IF(Metadata!M847="",FALSE,TRUE)</f>
        <v>0</v>
      </c>
      <c r="BA847" t="b">
        <f>IF(Metadata!N847="",FALSE,TRUE)</f>
        <v>0</v>
      </c>
      <c r="BB847" t="b">
        <f>IF(Metadata!O847="",FALSE,TRUE)</f>
        <v>0</v>
      </c>
      <c r="BC847" t="b">
        <f>AND(IF(Metadata!P847="",FALSE,TRUE),OR(EXACT(Metadata!P847,"air"),EXACT(Metadata!P847,"microbial mat/biofilm"),EXACT(Metadata!P847,"misc environment"),EXACT(Metadata!P847,"sediment"),EXACT(Metadata!P847,"soil"),EXACT(Metadata!P847,"wastewater/sludge"),EXACT(Metadata!P847,"water")))</f>
        <v>0</v>
      </c>
      <c r="BD847" t="b">
        <f>IF(Metadata!Q847="",FALSE,TRUE)</f>
        <v>0</v>
      </c>
      <c r="BE847" t="b">
        <f>IF(Metadata!R847="",FALSE,TRUE)</f>
        <v>0</v>
      </c>
      <c r="BF847" t="b">
        <f>OR(AND(IF(Metadata!S847="",FALSE,TRUE),OR(EXACT(Metadata!S847,"not collected"),EXACT(Metadata!S847,"not provided"),EXACT(Metadata!S847,"restricted access"))),AND(IF(Metadata!S847="",FALSE,ISNUMBER(VALUE(Metadata!S847))),Metadata!S847&gt;=-90,Metadata!S847&lt;=90))</f>
        <v>0</v>
      </c>
      <c r="BG847" t="b">
        <f>AND(IF(Metadata!T847="",FALSE,TRUE),EXACT(Metadata!T847,"Decimal degrees"))</f>
        <v>0</v>
      </c>
      <c r="BH847" t="b">
        <f>OR(AND(IF(Metadata!U847="",FALSE,TRUE),OR(EXACT(Metadata!U847,"not applicable"),EXACT(Metadata!U847,"not collected"))),IF(Metadata!U847="",FALSE,TRUE))</f>
        <v>0</v>
      </c>
      <c r="BI847" t="b">
        <f>OR(AND(IF(Metadata!V847="",FALSE,TRUE),OR(EXACT(Metadata!V847,"not collected"),EXACT(Metadata!V847,"not provided"),EXACT(Metadata!V847,"restricted access"))),AND(IF(Metadata!V847="",FALSE,ISNUMBER(VALUE(Metadata!V847))),Metadata!V847&gt;=-180,Metadata!V847&lt;=180))</f>
        <v>0</v>
      </c>
      <c r="BJ847" t="b">
        <f>AND(IF(Metadata!W847="",FALSE,TRUE),EXACT(Metadata!W847,"Decimal degrees"))</f>
        <v>0</v>
      </c>
      <c r="BK847" t="b">
        <f>IF(Metadata!X847="",FALSE,TRUE)</f>
        <v>0</v>
      </c>
      <c r="BL847" t="b">
        <f>OR(AND(IF(Metadata!Y847="",FALSE,TRUE),OR(EXACT(Metadata!Y847,"not collected"),EXACT(Metadata!Y847,"not provided"),EXACT(Metadata!Y847,"restricted access"))),AND(IF(Metadata!Y847="",FALSE,TRUE),OR(EXACT(Metadata!Y847,"TRUE"),EXACT(Metadata!Y847,"FALSE"))))</f>
        <v>0</v>
      </c>
      <c r="BM847" t="b">
        <f>OR(AND(IF(Metadata!Z847="",FALSE,TRUE),EXACT(Metadata!Z847,"not applicable")),AND(IF(Metadata!Z847="",FALSE,TRUE),OR(EXACT(Metadata!Z847,"beer"),EXACT(Metadata!Z847,"cheese"),EXACT(Metadata!Z847,"fresh water"),EXACT(Metadata!Z847,"marine sediment"),EXACT(Metadata!Z847,"sea water"),EXACT(Metadata!Z847,"sediment"),EXACT(Metadata!Z847,"soil"),EXACT(Metadata!Z847,"waste water"))))</f>
        <v>0</v>
      </c>
      <c r="BN847" t="b">
        <f>AND(IF(Metadata!AA847="",FALSE,TRUE),EXACT(Metadata!AA847,"metagenome"))</f>
        <v>0</v>
      </c>
      <c r="BO847" t="b">
        <f>AND(IF(Metadata!AB847="",FALSE,TRUE),EXACT(Metadata!AB847,"256318"))</f>
        <v>0</v>
      </c>
      <c r="BP847" t="b">
        <f>IF(Metadata!AC847="",FALSE,TRUE)</f>
        <v>0</v>
      </c>
      <c r="BQ847" t="b">
        <f>IF(Metadata!AD847="",FALSE,TRUE)</f>
        <v>0</v>
      </c>
    </row>
    <row r="848" spans="1:69" x14ac:dyDescent="0.2">
      <c r="A848" s="4" t="e">
        <f ca="1">IF(B848=" "," ",HYPERLINK(CONCATENATE("#metadata!",ADDRESS(INDEX($AJ$2:$AJ$1001,MATCH(ROWS($AH$2:AH848),$AH$2:$AH$1001,0),0),2)),INDEX($AM$2:$AM$1001,MATCH(ROWS($AH$2:AH848),$AH$2:$AH$1001,0),0)))</f>
        <v>#N/A</v>
      </c>
      <c r="B848" s="5" t="e">
        <f ca="1">IF(OR(INDEX($AI$2:$AI$1001,MATCH(ROWS($AH$2:AH848),$AH$2:$AH$1001,0),1)&gt;=100000,INDEX($AO$1005:$BQ$1005,1,MATCH(COLUMNS($AO$1006:AO1006),$AO$1006:$BQ$1006,0))&gt;=100000), " ",IF(INDEX($AO$2:$BQ$1001,MATCH(ROWS($AH$2:AH848),$AH$2:$AH$1001,0),MATCH(COLUMNS($AO$1006:AO1006),$AO$1006:$BQ$1006,0)), HYPERLINK("#",""), HYPERLINK(CONCATENATE("#Metadata!", ADDRESS(INDEX($AJ$2:$AJ$1001,MATCH(ROWS($AH$2:AH848),$AH$2:$AH$1001,0),0), INDEX($AO$1004:$BQ$1004,1,MATCH(COLUMNS($AO$1006:AO1006),$AO$1006:$BQ$1006,0)))),"Fix")))</f>
        <v>#N/A</v>
      </c>
      <c r="C848" s="5" t="e">
        <f ca="1">IF(OR(INDEX($AI$2:$AI$1001,MATCH(ROWS($AH$2:AH848),$AH$2:$AH$1001,0),1)&gt;=100000,INDEX($AO$1005:$BQ$1005,1,MATCH(COLUMNS($AO$1006:AP1006),$AO$1006:$BQ$1006,0))&gt;=100000), " ",IF(INDEX($AO$2:$BQ$1001,MATCH(ROWS($AH$2:AH848),$AH$2:$AH$1001,0),MATCH(COLUMNS($AO$1006:AP1006),$AO$1006:$BQ$1006,0)), HYPERLINK("#",""), HYPERLINK(CONCATENATE("#Metadata!", ADDRESS(INDEX($AJ$2:$AJ$1001,MATCH(ROWS($AH$2:AH848),$AH$2:$AH$1001,0),0), INDEX($AO$1004:$BQ$1004,1,MATCH(COLUMNS($AO$1006:AP1006),$AO$1006:$BQ$1006,0)))),"Fix")))</f>
        <v>#N/A</v>
      </c>
      <c r="D848" s="5" t="e">
        <f ca="1">IF(OR(INDEX($AI$2:$AI$1001,MATCH(ROWS($AH$2:AH848),$AH$2:$AH$1001,0),1)&gt;=100000,INDEX($AO$1005:$BQ$1005,1,MATCH(COLUMNS($AO$1006:AQ1006),$AO$1006:$BQ$1006,0))&gt;=100000), " ",IF(INDEX($AO$2:$BQ$1001,MATCH(ROWS($AH$2:AH848),$AH$2:$AH$1001,0),MATCH(COLUMNS($AO$1006:AQ1006),$AO$1006:$BQ$1006,0)), HYPERLINK("#",""), HYPERLINK(CONCATENATE("#Metadata!", ADDRESS(INDEX($AJ$2:$AJ$1001,MATCH(ROWS($AH$2:AH848),$AH$2:$AH$1001,0),0), INDEX($AO$1004:$BQ$1004,1,MATCH(COLUMNS($AO$1006:AQ1006),$AO$1006:$BQ$1006,0)))),"Fix")))</f>
        <v>#N/A</v>
      </c>
      <c r="E848" s="5" t="e">
        <f ca="1">IF(OR(INDEX($AI$2:$AI$1001,MATCH(ROWS($AH$2:AH848),$AH$2:$AH$1001,0),1)&gt;=100000,INDEX($AO$1005:$BQ$1005,1,MATCH(COLUMNS($AO$1006:AR1006),$AO$1006:$BQ$1006,0))&gt;=100000), " ",IF(INDEX($AO$2:$BQ$1001,MATCH(ROWS($AH$2:AH848),$AH$2:$AH$1001,0),MATCH(COLUMNS($AO$1006:AR1006),$AO$1006:$BQ$1006,0)), HYPERLINK("#",""), HYPERLINK(CONCATENATE("#Metadata!", ADDRESS(INDEX($AJ$2:$AJ$1001,MATCH(ROWS($AH$2:AH848),$AH$2:$AH$1001,0),0), INDEX($AO$1004:$BQ$1004,1,MATCH(COLUMNS($AO$1006:AR1006),$AO$1006:$BQ$1006,0)))),"Fix")))</f>
        <v>#N/A</v>
      </c>
      <c r="F848" s="5" t="e">
        <f ca="1">IF(OR(INDEX($AI$2:$AI$1001,MATCH(ROWS($AH$2:AH848),$AH$2:$AH$1001,0),1)&gt;=100000,INDEX($AO$1005:$BQ$1005,1,MATCH(COLUMNS($AO$1006:AS1006),$AO$1006:$BQ$1006,0))&gt;=100000), " ",IF(INDEX($AO$2:$BQ$1001,MATCH(ROWS($AH$2:AH848),$AH$2:$AH$1001,0),MATCH(COLUMNS($AO$1006:AS1006),$AO$1006:$BQ$1006,0)), HYPERLINK("#",""), HYPERLINK(CONCATENATE("#Metadata!", ADDRESS(INDEX($AJ$2:$AJ$1001,MATCH(ROWS($AH$2:AH848),$AH$2:$AH$1001,0),0), INDEX($AO$1004:$BQ$1004,1,MATCH(COLUMNS($AO$1006:AS1006),$AO$1006:$BQ$1006,0)))),"Fix")))</f>
        <v>#N/A</v>
      </c>
      <c r="G848" s="5" t="e">
        <f ca="1">IF(OR(INDEX($AI$2:$AI$1001,MATCH(ROWS($AH$2:AH848),$AH$2:$AH$1001,0),1)&gt;=100000,INDEX($AO$1005:$BQ$1005,1,MATCH(COLUMNS($AO$1006:AT1006),$AO$1006:$BQ$1006,0))&gt;=100000), " ",IF(INDEX($AO$2:$BQ$1001,MATCH(ROWS($AH$2:AH848),$AH$2:$AH$1001,0),MATCH(COLUMNS($AO$1006:AT1006),$AO$1006:$BQ$1006,0)), HYPERLINK("#",""), HYPERLINK(CONCATENATE("#Metadata!", ADDRESS(INDEX($AJ$2:$AJ$1001,MATCH(ROWS($AH$2:AH848),$AH$2:$AH$1001,0),0), INDEX($AO$1004:$BQ$1004,1,MATCH(COLUMNS($AO$1006:AT1006),$AO$1006:$BQ$1006,0)))),"Fix")))</f>
        <v>#N/A</v>
      </c>
      <c r="H848" s="5" t="e">
        <f ca="1">IF(OR(INDEX($AI$2:$AI$1001,MATCH(ROWS($AH$2:AH848),$AH$2:$AH$1001,0),1)&gt;=100000,INDEX($AO$1005:$BQ$1005,1,MATCH(COLUMNS($AO$1006:AU1006),$AO$1006:$BQ$1006,0))&gt;=100000), " ",IF(INDEX($AO$2:$BQ$1001,MATCH(ROWS($AH$2:AH848),$AH$2:$AH$1001,0),MATCH(COLUMNS($AO$1006:AU1006),$AO$1006:$BQ$1006,0)), HYPERLINK("#",""), HYPERLINK(CONCATENATE("#Metadata!", ADDRESS(INDEX($AJ$2:$AJ$1001,MATCH(ROWS($AH$2:AH848),$AH$2:$AH$1001,0),0), INDEX($AO$1004:$BQ$1004,1,MATCH(COLUMNS($AO$1006:AU1006),$AO$1006:$BQ$1006,0)))),"Fix")))</f>
        <v>#N/A</v>
      </c>
      <c r="I848" s="5" t="e">
        <f ca="1">IF(OR(INDEX($AI$2:$AI$1001,MATCH(ROWS($AH$2:AH848),$AH$2:$AH$1001,0),1)&gt;=100000,INDEX($AO$1005:$BQ$1005,1,MATCH(COLUMNS($AO$1006:AV1006),$AO$1006:$BQ$1006,0))&gt;=100000), " ",IF(INDEX($AO$2:$BQ$1001,MATCH(ROWS($AH$2:AH848),$AH$2:$AH$1001,0),MATCH(COLUMNS($AO$1006:AV1006),$AO$1006:$BQ$1006,0)), HYPERLINK("#",""), HYPERLINK(CONCATENATE("#Metadata!", ADDRESS(INDEX($AJ$2:$AJ$1001,MATCH(ROWS($AH$2:AH848),$AH$2:$AH$1001,0),0), INDEX($AO$1004:$BQ$1004,1,MATCH(COLUMNS($AO$1006:AV1006),$AO$1006:$BQ$1006,0)))),"Fix")))</f>
        <v>#N/A</v>
      </c>
      <c r="J848" s="5" t="e">
        <f ca="1">IF(OR(INDEX($AI$2:$AI$1001,MATCH(ROWS($AH$2:AH848),$AH$2:$AH$1001,0),1)&gt;=100000,INDEX($AO$1005:$BQ$1005,1,MATCH(COLUMNS($AO$1006:AW1006),$AO$1006:$BQ$1006,0))&gt;=100000), " ",IF(INDEX($AO$2:$BQ$1001,MATCH(ROWS($AH$2:AH848),$AH$2:$AH$1001,0),MATCH(COLUMNS($AO$1006:AW1006),$AO$1006:$BQ$1006,0)), HYPERLINK("#",""), HYPERLINK(CONCATENATE("#Metadata!", ADDRESS(INDEX($AJ$2:$AJ$1001,MATCH(ROWS($AH$2:AH848),$AH$2:$AH$1001,0),0), INDEX($AO$1004:$BQ$1004,1,MATCH(COLUMNS($AO$1006:AW1006),$AO$1006:$BQ$1006,0)))),"Fix")))</f>
        <v>#N/A</v>
      </c>
      <c r="K848" s="5" t="e">
        <f ca="1">IF(OR(INDEX($AI$2:$AI$1001,MATCH(ROWS($AH$2:AH848),$AH$2:$AH$1001,0),1)&gt;=100000,INDEX($AO$1005:$BQ$1005,1,MATCH(COLUMNS($AO$1006:AX1006),$AO$1006:$BQ$1006,0))&gt;=100000), " ",IF(INDEX($AO$2:$BQ$1001,MATCH(ROWS($AH$2:AH848),$AH$2:$AH$1001,0),MATCH(COLUMNS($AO$1006:AX1006),$AO$1006:$BQ$1006,0)), HYPERLINK("#",""), HYPERLINK(CONCATENATE("#Metadata!", ADDRESS(INDEX($AJ$2:$AJ$1001,MATCH(ROWS($AH$2:AH848),$AH$2:$AH$1001,0),0), INDEX($AO$1004:$BQ$1004,1,MATCH(COLUMNS($AO$1006:AX1006),$AO$1006:$BQ$1006,0)))),"Fix")))</f>
        <v>#N/A</v>
      </c>
      <c r="L848" s="5" t="e">
        <f ca="1">IF(OR(INDEX($AI$2:$AI$1001,MATCH(ROWS($AH$2:AH848),$AH$2:$AH$1001,0),1)&gt;=100000,INDEX($AO$1005:$BQ$1005,1,MATCH(COLUMNS($AO$1006:AY1006),$AO$1006:$BQ$1006,0))&gt;=100000), " ",IF(INDEX($AO$2:$BQ$1001,MATCH(ROWS($AH$2:AH848),$AH$2:$AH$1001,0),MATCH(COLUMNS($AO$1006:AY1006),$AO$1006:$BQ$1006,0)), HYPERLINK("#",""), HYPERLINK(CONCATENATE("#Metadata!", ADDRESS(INDEX($AJ$2:$AJ$1001,MATCH(ROWS($AH$2:AH848),$AH$2:$AH$1001,0),0), INDEX($AO$1004:$BQ$1004,1,MATCH(COLUMNS($AO$1006:AY1006),$AO$1006:$BQ$1006,0)))),"Fix")))</f>
        <v>#N/A</v>
      </c>
      <c r="M848" s="5" t="e">
        <f ca="1">IF(OR(INDEX($AI$2:$AI$1001,MATCH(ROWS($AH$2:AH848),$AH$2:$AH$1001,0),1)&gt;=100000,INDEX($AO$1005:$BQ$1005,1,MATCH(COLUMNS($AO$1006:AZ1006),$AO$1006:$BQ$1006,0))&gt;=100000), " ",IF(INDEX($AO$2:$BQ$1001,MATCH(ROWS($AH$2:AH848),$AH$2:$AH$1001,0),MATCH(COLUMNS($AO$1006:AZ1006),$AO$1006:$BQ$1006,0)), HYPERLINK("#",""), HYPERLINK(CONCATENATE("#Metadata!", ADDRESS(INDEX($AJ$2:$AJ$1001,MATCH(ROWS($AH$2:AH848),$AH$2:$AH$1001,0),0), INDEX($AO$1004:$BQ$1004,1,MATCH(COLUMNS($AO$1006:AZ1006),$AO$1006:$BQ$1006,0)))),"Fix")))</f>
        <v>#N/A</v>
      </c>
      <c r="N848" s="5" t="e">
        <f ca="1">IF(OR(INDEX($AI$2:$AI$1001,MATCH(ROWS($AH$2:AH848),$AH$2:$AH$1001,0),1)&gt;=100000,INDEX($AO$1005:$BQ$1005,1,MATCH(COLUMNS($AO$1006:BA1006),$AO$1006:$BQ$1006,0))&gt;=100000), " ",IF(INDEX($AO$2:$BQ$1001,MATCH(ROWS($AH$2:AH848),$AH$2:$AH$1001,0),MATCH(COLUMNS($AO$1006:BA1006),$AO$1006:$BQ$1006,0)), HYPERLINK("#",""), HYPERLINK(CONCATENATE("#Metadata!", ADDRESS(INDEX($AJ$2:$AJ$1001,MATCH(ROWS($AH$2:AH848),$AH$2:$AH$1001,0),0), INDEX($AO$1004:$BQ$1004,1,MATCH(COLUMNS($AO$1006:BA1006),$AO$1006:$BQ$1006,0)))),"Fix")))</f>
        <v>#N/A</v>
      </c>
      <c r="O848" s="5" t="e">
        <f ca="1">IF(OR(INDEX($AI$2:$AI$1001,MATCH(ROWS($AH$2:AH848),$AH$2:$AH$1001,0),1)&gt;=100000,INDEX($AO$1005:$BQ$1005,1,MATCH(COLUMNS($AO$1006:BB1006),$AO$1006:$BQ$1006,0))&gt;=100000), " ",IF(INDEX($AO$2:$BQ$1001,MATCH(ROWS($AH$2:AH848),$AH$2:$AH$1001,0),MATCH(COLUMNS($AO$1006:BB1006),$AO$1006:$BQ$1006,0)), HYPERLINK("#",""), HYPERLINK(CONCATENATE("#Metadata!", ADDRESS(INDEX($AJ$2:$AJ$1001,MATCH(ROWS($AH$2:AH848),$AH$2:$AH$1001,0),0), INDEX($AO$1004:$BQ$1004,1,MATCH(COLUMNS($AO$1006:BB1006),$AO$1006:$BQ$1006,0)))),"Fix")))</f>
        <v>#N/A</v>
      </c>
      <c r="P848" s="5" t="e">
        <f ca="1">IF(OR(INDEX($AI$2:$AI$1001,MATCH(ROWS($AH$2:AH848),$AH$2:$AH$1001,0),1)&gt;=100000,INDEX($AO$1005:$BQ$1005,1,MATCH(COLUMNS($AO$1006:BC1006),$AO$1006:$BQ$1006,0))&gt;=100000), " ",IF(INDEX($AO$2:$BQ$1001,MATCH(ROWS($AH$2:AH848),$AH$2:$AH$1001,0),MATCH(COLUMNS($AO$1006:BC1006),$AO$1006:$BQ$1006,0)), HYPERLINK("#",""), HYPERLINK(CONCATENATE("#Metadata!", ADDRESS(INDEX($AJ$2:$AJ$1001,MATCH(ROWS($AH$2:AH848),$AH$2:$AH$1001,0),0), INDEX($AO$1004:$BQ$1004,1,MATCH(COLUMNS($AO$1006:BC1006),$AO$1006:$BQ$1006,0)))),"Fix")))</f>
        <v>#N/A</v>
      </c>
      <c r="Q848" s="5" t="e">
        <f ca="1">IF(OR(INDEX($AI$2:$AI$1001,MATCH(ROWS($AH$2:AH848),$AH$2:$AH$1001,0),1)&gt;=100000,INDEX($AO$1005:$BQ$1005,1,MATCH(COLUMNS($AO$1006:BD1006),$AO$1006:$BQ$1006,0))&gt;=100000), " ",IF(INDEX($AO$2:$BQ$1001,MATCH(ROWS($AH$2:AH848),$AH$2:$AH$1001,0),MATCH(COLUMNS($AO$1006:BD1006),$AO$1006:$BQ$1006,0)), HYPERLINK("#",""), HYPERLINK(CONCATENATE("#Metadata!", ADDRESS(INDEX($AJ$2:$AJ$1001,MATCH(ROWS($AH$2:AH848),$AH$2:$AH$1001,0),0), INDEX($AO$1004:$BQ$1004,1,MATCH(COLUMNS($AO$1006:BD1006),$AO$1006:$BQ$1006,0)))),"Fix")))</f>
        <v>#N/A</v>
      </c>
      <c r="R848" s="5" t="e">
        <f ca="1">IF(OR(INDEX($AI$2:$AI$1001,MATCH(ROWS($AH$2:AH848),$AH$2:$AH$1001,0),1)&gt;=100000,INDEX($AO$1005:$BQ$1005,1,MATCH(COLUMNS($AO$1006:BE1006),$AO$1006:$BQ$1006,0))&gt;=100000), " ",IF(INDEX($AO$2:$BQ$1001,MATCH(ROWS($AH$2:AH848),$AH$2:$AH$1001,0),MATCH(COLUMNS($AO$1006:BE1006),$AO$1006:$BQ$1006,0)), HYPERLINK("#",""), HYPERLINK(CONCATENATE("#Metadata!", ADDRESS(INDEX($AJ$2:$AJ$1001,MATCH(ROWS($AH$2:AH848),$AH$2:$AH$1001,0),0), INDEX($AO$1004:$BQ$1004,1,MATCH(COLUMNS($AO$1006:BE1006),$AO$1006:$BQ$1006,0)))),"Fix")))</f>
        <v>#N/A</v>
      </c>
      <c r="S848" s="5" t="e">
        <f ca="1">IF(OR(INDEX($AI$2:$AI$1001,MATCH(ROWS($AH$2:AH848),$AH$2:$AH$1001,0),1)&gt;=100000,INDEX($AO$1005:$BQ$1005,1,MATCH(COLUMNS($AO$1006:BF1006),$AO$1006:$BQ$1006,0))&gt;=100000), " ",IF(INDEX($AO$2:$BQ$1001,MATCH(ROWS($AH$2:AH848),$AH$2:$AH$1001,0),MATCH(COLUMNS($AO$1006:BF1006),$AO$1006:$BQ$1006,0)), HYPERLINK("#",""), HYPERLINK(CONCATENATE("#Metadata!", ADDRESS(INDEX($AJ$2:$AJ$1001,MATCH(ROWS($AH$2:AH848),$AH$2:$AH$1001,0),0), INDEX($AO$1004:$BQ$1004,1,MATCH(COLUMNS($AO$1006:BF1006),$AO$1006:$BQ$1006,0)))),"Fix")))</f>
        <v>#N/A</v>
      </c>
      <c r="T848" s="5" t="e">
        <f ca="1">IF(OR(INDEX($AI$2:$AI$1001,MATCH(ROWS($AH$2:AH848),$AH$2:$AH$1001,0),1)&gt;=100000,INDEX($AO$1005:$BQ$1005,1,MATCH(COLUMNS($AO$1006:BG1006),$AO$1006:$BQ$1006,0))&gt;=100000), " ",IF(INDEX($AO$2:$BQ$1001,MATCH(ROWS($AH$2:AH848),$AH$2:$AH$1001,0),MATCH(COLUMNS($AO$1006:BG1006),$AO$1006:$BQ$1006,0)), HYPERLINK("#",""), HYPERLINK(CONCATENATE("#Metadata!", ADDRESS(INDEX($AJ$2:$AJ$1001,MATCH(ROWS($AH$2:AH848),$AH$2:$AH$1001,0),0), INDEX($AO$1004:$BQ$1004,1,MATCH(COLUMNS($AO$1006:BG1006),$AO$1006:$BQ$1006,0)))),"Fix")))</f>
        <v>#N/A</v>
      </c>
      <c r="U848" s="5" t="e">
        <f ca="1">IF(OR(INDEX($AI$2:$AI$1001,MATCH(ROWS($AH$2:AH848),$AH$2:$AH$1001,0),1)&gt;=100000,INDEX($AO$1005:$BQ$1005,1,MATCH(COLUMNS($AO$1006:BH1006),$AO$1006:$BQ$1006,0))&gt;=100000), " ",IF(INDEX($AO$2:$BQ$1001,MATCH(ROWS($AH$2:AH848),$AH$2:$AH$1001,0),MATCH(COLUMNS($AO$1006:BH1006),$AO$1006:$BQ$1006,0)), HYPERLINK("#",""), HYPERLINK(CONCATENATE("#Metadata!", ADDRESS(INDEX($AJ$2:$AJ$1001,MATCH(ROWS($AH$2:AH848),$AH$2:$AH$1001,0),0), INDEX($AO$1004:$BQ$1004,1,MATCH(COLUMNS($AO$1006:BH1006),$AO$1006:$BQ$1006,0)))),"Fix")))</f>
        <v>#N/A</v>
      </c>
      <c r="V848" s="5" t="e">
        <f ca="1">IF(OR(INDEX($AI$2:$AI$1001,MATCH(ROWS($AH$2:AH848),$AH$2:$AH$1001,0),1)&gt;=100000,INDEX($AO$1005:$BQ$1005,1,MATCH(COLUMNS($AO$1006:BI1006),$AO$1006:$BQ$1006,0))&gt;=100000), " ",IF(INDEX($AO$2:$BQ$1001,MATCH(ROWS($AH$2:AH848),$AH$2:$AH$1001,0),MATCH(COLUMNS($AO$1006:BI1006),$AO$1006:$BQ$1006,0)), HYPERLINK("#",""), HYPERLINK(CONCATENATE("#Metadata!", ADDRESS(INDEX($AJ$2:$AJ$1001,MATCH(ROWS($AH$2:AH848),$AH$2:$AH$1001,0),0), INDEX($AO$1004:$BQ$1004,1,MATCH(COLUMNS($AO$1006:BI1006),$AO$1006:$BQ$1006,0)))),"Fix")))</f>
        <v>#N/A</v>
      </c>
      <c r="W848" s="5" t="e">
        <f ca="1">IF(OR(INDEX($AI$2:$AI$1001,MATCH(ROWS($AH$2:AH848),$AH$2:$AH$1001,0),1)&gt;=100000,INDEX($AO$1005:$BQ$1005,1,MATCH(COLUMNS($AO$1006:BJ1006),$AO$1006:$BQ$1006,0))&gt;=100000), " ",IF(INDEX($AO$2:$BQ$1001,MATCH(ROWS($AH$2:AH848),$AH$2:$AH$1001,0),MATCH(COLUMNS($AO$1006:BJ1006),$AO$1006:$BQ$1006,0)), HYPERLINK("#",""), HYPERLINK(CONCATENATE("#Metadata!", ADDRESS(INDEX($AJ$2:$AJ$1001,MATCH(ROWS($AH$2:AH848),$AH$2:$AH$1001,0),0), INDEX($AO$1004:$BQ$1004,1,MATCH(COLUMNS($AO$1006:BJ1006),$AO$1006:$BQ$1006,0)))),"Fix")))</f>
        <v>#N/A</v>
      </c>
      <c r="X848" s="5" t="e">
        <f ca="1">IF(OR(INDEX($AI$2:$AI$1001,MATCH(ROWS($AH$2:AH848),$AH$2:$AH$1001,0),1)&gt;=100000,INDEX($AO$1005:$BQ$1005,1,MATCH(COLUMNS($AO$1006:BK1006),$AO$1006:$BQ$1006,0))&gt;=100000), " ",IF(INDEX($AO$2:$BQ$1001,MATCH(ROWS($AH$2:AH848),$AH$2:$AH$1001,0),MATCH(COLUMNS($AO$1006:BK1006),$AO$1006:$BQ$1006,0)), HYPERLINK("#",""), HYPERLINK(CONCATENATE("#Metadata!", ADDRESS(INDEX($AJ$2:$AJ$1001,MATCH(ROWS($AH$2:AH848),$AH$2:$AH$1001,0),0), INDEX($AO$1004:$BQ$1004,1,MATCH(COLUMNS($AO$1006:BK1006),$AO$1006:$BQ$1006,0)))),"Fix")))</f>
        <v>#N/A</v>
      </c>
      <c r="Y848" s="5" t="e">
        <f ca="1">IF(OR(INDEX($AI$2:$AI$1001,MATCH(ROWS($AH$2:AH848),$AH$2:$AH$1001,0),1)&gt;=100000,INDEX($AO$1005:$BQ$1005,1,MATCH(COLUMNS($AO$1006:BL1006),$AO$1006:$BQ$1006,0))&gt;=100000), " ",IF(INDEX($AO$2:$BQ$1001,MATCH(ROWS($AH$2:AH848),$AH$2:$AH$1001,0),MATCH(COLUMNS($AO$1006:BL1006),$AO$1006:$BQ$1006,0)), HYPERLINK("#",""), HYPERLINK(CONCATENATE("#Metadata!", ADDRESS(INDEX($AJ$2:$AJ$1001,MATCH(ROWS($AH$2:AH848),$AH$2:$AH$1001,0),0), INDEX($AO$1004:$BQ$1004,1,MATCH(COLUMNS($AO$1006:BL1006),$AO$1006:$BQ$1006,0)))),"Fix")))</f>
        <v>#N/A</v>
      </c>
      <c r="Z848" s="5" t="e">
        <f ca="1">IF(OR(INDEX($AI$2:$AI$1001,MATCH(ROWS($AH$2:AH848),$AH$2:$AH$1001,0),1)&gt;=100000,INDEX($AO$1005:$BQ$1005,1,MATCH(COLUMNS($AO$1006:BM1006),$AO$1006:$BQ$1006,0))&gt;=100000), " ",IF(INDEX($AO$2:$BQ$1001,MATCH(ROWS($AH$2:AH848),$AH$2:$AH$1001,0),MATCH(COLUMNS($AO$1006:BM1006),$AO$1006:$BQ$1006,0)), HYPERLINK("#",""), HYPERLINK(CONCATENATE("#Metadata!", ADDRESS(INDEX($AJ$2:$AJ$1001,MATCH(ROWS($AH$2:AH848),$AH$2:$AH$1001,0),0), INDEX($AO$1004:$BQ$1004,1,MATCH(COLUMNS($AO$1006:BM1006),$AO$1006:$BQ$1006,0)))),"Fix")))</f>
        <v>#N/A</v>
      </c>
      <c r="AA848" s="5" t="e">
        <f ca="1">IF(OR(INDEX($AI$2:$AI$1001,MATCH(ROWS($AH$2:AH848),$AH$2:$AH$1001,0),1)&gt;=100000,INDEX($AO$1005:$BQ$1005,1,MATCH(COLUMNS($AO$1006:BN1006),$AO$1006:$BQ$1006,0))&gt;=100000), " ",IF(INDEX($AO$2:$BQ$1001,MATCH(ROWS($AH$2:AH848),$AH$2:$AH$1001,0),MATCH(COLUMNS($AO$1006:BN1006),$AO$1006:$BQ$1006,0)), HYPERLINK("#",""), HYPERLINK(CONCATENATE("#Metadata!", ADDRESS(INDEX($AJ$2:$AJ$1001,MATCH(ROWS($AH$2:AH848),$AH$2:$AH$1001,0),0), INDEX($AO$1004:$BQ$1004,1,MATCH(COLUMNS($AO$1006:BN1006),$AO$1006:$BQ$1006,0)))),"Fix")))</f>
        <v>#N/A</v>
      </c>
      <c r="AB848" s="5" t="e">
        <f ca="1">IF(OR(INDEX($AI$2:$AI$1001,MATCH(ROWS($AH$2:AH848),$AH$2:$AH$1001,0),1)&gt;=100000,INDEX($AO$1005:$BQ$1005,1,MATCH(COLUMNS($AO$1006:BO1006),$AO$1006:$BQ$1006,0))&gt;=100000), " ",IF(INDEX($AO$2:$BQ$1001,MATCH(ROWS($AH$2:AH848),$AH$2:$AH$1001,0),MATCH(COLUMNS($AO$1006:BO1006),$AO$1006:$BQ$1006,0)), HYPERLINK("#",""), HYPERLINK(CONCATENATE("#Metadata!", ADDRESS(INDEX($AJ$2:$AJ$1001,MATCH(ROWS($AH$2:AH848),$AH$2:$AH$1001,0),0), INDEX($AO$1004:$BQ$1004,1,MATCH(COLUMNS($AO$1006:BO1006),$AO$1006:$BQ$1006,0)))),"Fix")))</f>
        <v>#N/A</v>
      </c>
      <c r="AC848" s="5" t="e">
        <f ca="1">IF(OR(INDEX($AI$2:$AI$1001,MATCH(ROWS($AH$2:AH848),$AH$2:$AH$1001,0),1)&gt;=100000,INDEX($AO$1005:$BQ$1005,1,MATCH(COLUMNS($AO$1006:BP1006),$AO$1006:$BQ$1006,0))&gt;=100000), " ",IF(INDEX($AO$2:$BQ$1001,MATCH(ROWS($AH$2:AH848),$AH$2:$AH$1001,0),MATCH(COLUMNS($AO$1006:BP1006),$AO$1006:$BQ$1006,0)), HYPERLINK("#",""), HYPERLINK(CONCATENATE("#Metadata!", ADDRESS(INDEX($AJ$2:$AJ$1001,MATCH(ROWS($AH$2:AH848),$AH$2:$AH$1001,0),0), INDEX($AO$1004:$BQ$1004,1,MATCH(COLUMNS($AO$1006:BP1006),$AO$1006:$BQ$1006,0)))),"Fix")))</f>
        <v>#N/A</v>
      </c>
      <c r="AD848" s="5" t="e">
        <f ca="1">IF(OR(INDEX($AI$2:$AI$1001,MATCH(ROWS($AH$2:AH848),$AH$2:$AH$1001,0),1)&gt;=100000,INDEX($AO$1005:$BQ$1005,1,MATCH(COLUMNS($AO$1006:BQ1006),$AO$1006:$BQ$1006,0))&gt;=100000), " ",IF(INDEX($AO$2:$BQ$1001,MATCH(ROWS($AH$2:AH848),$AH$2:$AH$1001,0),MATCH(COLUMNS($AO$1006:BQ1006),$AO$1006:$BQ$1006,0)), HYPERLINK("#",""), HYPERLINK(CONCATENATE("#Metadata!", ADDRESS(INDEX($AJ$2:$AJ$1001,MATCH(ROWS($AH$2:AH848),$AH$2:$AH$1001,0),0), INDEX($AO$1004:$BQ$1004,1,MATCH(COLUMNS($AO$1006:BQ1006),$AO$1006:$BQ$1006,0)))),"Fix")))</f>
        <v>#REF!</v>
      </c>
      <c r="AH848">
        <f ca="1"/>
        <v>845</v>
      </c>
      <c r="AI848">
        <v>100848</v>
      </c>
      <c r="AJ848">
        <v>848</v>
      </c>
      <c r="AK848" t="b">
        <f t="shared" si="13"/>
        <v>1</v>
      </c>
      <c r="AL848" t="b">
        <f>COUNTBLANK(Metadata!B848:AD848)=COLUMNS(Metadata!B848:AD848)</f>
        <v>1</v>
      </c>
      <c r="AM848" t="str">
        <v/>
      </c>
      <c r="AO848" t="b">
        <f ca="1">AND(IF(Metadata!B848="",FALSE,TRUE),COUNTIF(Metadata!B:B, Metadata!B848) = 1,NOT(ISERROR(SUMPRODUCT(SEARCH(MID(Metadata!B848,ROW(INDIRECT("1:"&amp;LEN(Metadata!B848))), 1),"0123456789abcdefghijklmnopqrstuvwxyzABCDEFGHIJKLMNOPQRSTUVWXYZ.")))))</f>
        <v>0</v>
      </c>
      <c r="AP848" t="b">
        <f>IF(Metadata!C848="",FALSE,TRUE)</f>
        <v>0</v>
      </c>
      <c r="AQ848" t="b">
        <f>IF(Metadata!D848="",FALSE,TRUE)</f>
        <v>0</v>
      </c>
      <c r="AR848" t="b">
        <f ca="1">OR(AND(IF(Metadata!E848="",FALSE,TRUE),OR(EXACT(Metadata!E848,"not collected"),EXACT(Metadata!E848,"not provided"),EXACT(Metadata!E848,"restricted access"))),AND(IF(Metadata!E848="",FALSE,TRUE),AND(AND(IFERROR(INT(LEFT(Metadata!E848,4))&gt;1900,FALSE),IFERROR(INT(LEFT(Metadata!E848,4))&lt;=YEAR(NOW()),FALSE)), OR(MID(Metadata!E848,5,1)="", AND(AND(MID(Metadata!E848,5,1)="-",IFERROR(INT(MID(Metadata!E848,6,1))&gt;=0,FALSE),IFERROR(INT(MID(Metadata!E848,6,1))&lt;=1,FALSE),NOT(MID(Metadata!E848,7,1)=""),IFERROR(INT(MID(Metadata!E848,6,2))&gt;=1,FALSE),IFERROR(INT(MID(Metadata!E848,6,2))&lt;=12,FALSE)), OR(MID(Metadata!E848,8,1)="", AND(AND(MID(Metadata!E848,8,1)="-",IFERROR(INT(MID(Metadata!E848,9,1))&gt;=0,FALSE),IFERROR(INT(MID(Metadata!E848,9,1))&lt;=3,FALSE),NOT(MID(Metadata!E848,10,1)=""),IFERROR(INT(MID(Metadata!E848,9,2))&gt;=1,FALSE),IFERROR(INT(MID(Metadata!E848,9,2))&lt;=31,FALSE)), OR(MID(Metadata!E848,11,1)="", AND(AND(MID(Metadata!E848,11,1)=" ",IFERROR(INT(MID(Metadata!E848,12,1))&gt;=0,FALSE),IFERROR(INT(MID(Metadata!E848,12,1))&lt;=2,FALSE),NOT(MID(Metadata!E848,13,1)=""),IFERROR(INT(MID(Metadata!E848,12,2))&gt;=0,FALSE),IFERROR(INT(MID(Metadata!E848,12,2))&lt;=23,FALSE)), OR(MID(Metadata!E848,14,1)="", AND(AND(MID(Metadata!E848,14,1)=":",IFERROR(INT(MID(Metadata!E848,15,1))&gt;=0,FALSE),IFERROR(INT(MID(Metadata!E848,15,1))&lt;=5,FALSE),NOT(MID(Metadata!E848,16,1)=""),IFERROR(INT(MID(Metadata!E848,15,2))&gt;=0,FALSE),IFERROR(INT(MID(Metadata!E848,15,2))&lt;=59,FALSE)), OR(MID(Metadata!E848,17,1)="", AND(AND(MID(Metadata!E848,17,1)=":",IFERROR(INT(MID(Metadata!E848,18,1))&gt;=0,FALSE),IFERROR(INT(MID(Metadata!E848,18,1))&lt;=5,FALSE),NOT(MID(Metadata!E848,19,1)=""),IFERROR(INT(MID(Metadata!E848,18,2))&gt;=0,FALSE),IFERROR(INT(MID(Metadata!E848,18,2))&lt;=59,FALSE)), LEN(Metadata!E848)&lt;=19)))))))))))))</f>
        <v>0</v>
      </c>
      <c r="AS848" t="b">
        <f>IF(Metadata!F848="",FALSE,TRUE)</f>
        <v>0</v>
      </c>
      <c r="AT848" t="b">
        <f>OR(AND(IF(Metadata!G848="",FALSE,TRUE),OR(EXACT(Metadata!G848,"not collected"),EXACT(Metadata!G848,"not provided"))),AND(IF(Metadata!G848="",FALSE,TRUE),OR(EXACT(Metadata!G848,"TRUE"),EXACT(Metadata!G848,"FALSE"))))</f>
        <v>0</v>
      </c>
      <c r="AU848" t="b">
        <f>OR(AND(IF(Metadata!H848="",FALSE,TRUE),OR(EXACT(Metadata!H848,"not collected"),EXACT(Metadata!H848,"not provided"),EXACT(Metadata!H848,"restricted access"))),AND(IF(Metadata!H848="",FALSE,ISNUMBER(VALUE(Metadata!H848))),Metadata!H848&gt;=-413))</f>
        <v>0</v>
      </c>
      <c r="AV848" t="b">
        <f>AND(IF(Metadata!I848="",FALSE,TRUE),EXACT(Metadata!I848,"meters"))</f>
        <v>0</v>
      </c>
      <c r="AW848" t="b">
        <f>AND(IF(Metadata!J848="",FALSE,TRUE),EXACT(Metadata!J848,"free-living"))</f>
        <v>0</v>
      </c>
      <c r="AX848" t="b">
        <f>AND(IF(Metadata!K848="",FALSE,TRUE),OR(EXACT(Metadata!K848,"saline"),EXACT(Metadata!K848,"non-saline")))</f>
        <v>0</v>
      </c>
      <c r="AY848" t="b">
        <f>AND(IF(Metadata!L848="",FALSE,TRUE),OR(EXACT(Metadata!L848,"sub-surface (non-saline)"),EXACT(Metadata!L848,"surface (non-saline)"),EXACT(Metadata!L848,"water (non-saline)"),EXACT(Metadata!L848,"soil (non-saline)"),EXACT(Metadata!L848,"aerosol (non-saline)"),EXACT(Metadata!L848,"sediment (non-saline)"),EXACT(Metadata!L848,"surface (saline)"),EXACT(Metadata!L848,"water (saline)"),EXACT(Metadata!L848,"hypersaline (saline)"),EXACT(Metadata!L848,"aerosol (saline)"),EXACT(Metadata!L848,"sediment (saline)")))</f>
        <v>0</v>
      </c>
      <c r="AZ848" t="b">
        <f>IF(Metadata!M848="",FALSE,TRUE)</f>
        <v>0</v>
      </c>
      <c r="BA848" t="b">
        <f>IF(Metadata!N848="",FALSE,TRUE)</f>
        <v>0</v>
      </c>
      <c r="BB848" t="b">
        <f>IF(Metadata!O848="",FALSE,TRUE)</f>
        <v>0</v>
      </c>
      <c r="BC848" t="b">
        <f>AND(IF(Metadata!P848="",FALSE,TRUE),OR(EXACT(Metadata!P848,"air"),EXACT(Metadata!P848,"microbial mat/biofilm"),EXACT(Metadata!P848,"misc environment"),EXACT(Metadata!P848,"sediment"),EXACT(Metadata!P848,"soil"),EXACT(Metadata!P848,"wastewater/sludge"),EXACT(Metadata!P848,"water")))</f>
        <v>0</v>
      </c>
      <c r="BD848" t="b">
        <f>IF(Metadata!Q848="",FALSE,TRUE)</f>
        <v>0</v>
      </c>
      <c r="BE848" t="b">
        <f>IF(Metadata!R848="",FALSE,TRUE)</f>
        <v>0</v>
      </c>
      <c r="BF848" t="b">
        <f>OR(AND(IF(Metadata!S848="",FALSE,TRUE),OR(EXACT(Metadata!S848,"not collected"),EXACT(Metadata!S848,"not provided"),EXACT(Metadata!S848,"restricted access"))),AND(IF(Metadata!S848="",FALSE,ISNUMBER(VALUE(Metadata!S848))),Metadata!S848&gt;=-90,Metadata!S848&lt;=90))</f>
        <v>0</v>
      </c>
      <c r="BG848" t="b">
        <f>AND(IF(Metadata!T848="",FALSE,TRUE),EXACT(Metadata!T848,"Decimal degrees"))</f>
        <v>0</v>
      </c>
      <c r="BH848" t="b">
        <f>OR(AND(IF(Metadata!U848="",FALSE,TRUE),OR(EXACT(Metadata!U848,"not applicable"),EXACT(Metadata!U848,"not collected"))),IF(Metadata!U848="",FALSE,TRUE))</f>
        <v>0</v>
      </c>
      <c r="BI848" t="b">
        <f>OR(AND(IF(Metadata!V848="",FALSE,TRUE),OR(EXACT(Metadata!V848,"not collected"),EXACT(Metadata!V848,"not provided"),EXACT(Metadata!V848,"restricted access"))),AND(IF(Metadata!V848="",FALSE,ISNUMBER(VALUE(Metadata!V848))),Metadata!V848&gt;=-180,Metadata!V848&lt;=180))</f>
        <v>0</v>
      </c>
      <c r="BJ848" t="b">
        <f>AND(IF(Metadata!W848="",FALSE,TRUE),EXACT(Metadata!W848,"Decimal degrees"))</f>
        <v>0</v>
      </c>
      <c r="BK848" t="b">
        <f>IF(Metadata!X848="",FALSE,TRUE)</f>
        <v>0</v>
      </c>
      <c r="BL848" t="b">
        <f>OR(AND(IF(Metadata!Y848="",FALSE,TRUE),OR(EXACT(Metadata!Y848,"not collected"),EXACT(Metadata!Y848,"not provided"),EXACT(Metadata!Y848,"restricted access"))),AND(IF(Metadata!Y848="",FALSE,TRUE),OR(EXACT(Metadata!Y848,"TRUE"),EXACT(Metadata!Y848,"FALSE"))))</f>
        <v>0</v>
      </c>
      <c r="BM848" t="b">
        <f>OR(AND(IF(Metadata!Z848="",FALSE,TRUE),EXACT(Metadata!Z848,"not applicable")),AND(IF(Metadata!Z848="",FALSE,TRUE),OR(EXACT(Metadata!Z848,"beer"),EXACT(Metadata!Z848,"cheese"),EXACT(Metadata!Z848,"fresh water"),EXACT(Metadata!Z848,"marine sediment"),EXACT(Metadata!Z848,"sea water"),EXACT(Metadata!Z848,"sediment"),EXACT(Metadata!Z848,"soil"),EXACT(Metadata!Z848,"waste water"))))</f>
        <v>0</v>
      </c>
      <c r="BN848" t="b">
        <f>AND(IF(Metadata!AA848="",FALSE,TRUE),EXACT(Metadata!AA848,"metagenome"))</f>
        <v>0</v>
      </c>
      <c r="BO848" t="b">
        <f>AND(IF(Metadata!AB848="",FALSE,TRUE),EXACT(Metadata!AB848,"256318"))</f>
        <v>0</v>
      </c>
      <c r="BP848" t="b">
        <f>IF(Metadata!AC848="",FALSE,TRUE)</f>
        <v>0</v>
      </c>
      <c r="BQ848" t="b">
        <f>IF(Metadata!AD848="",FALSE,TRUE)</f>
        <v>0</v>
      </c>
    </row>
    <row r="849" spans="1:69" x14ac:dyDescent="0.2">
      <c r="A849" s="4" t="e">
        <f ca="1">IF(B849=" "," ",HYPERLINK(CONCATENATE("#metadata!",ADDRESS(INDEX($AJ$2:$AJ$1001,MATCH(ROWS($AH$2:AH849),$AH$2:$AH$1001,0),0),2)),INDEX($AM$2:$AM$1001,MATCH(ROWS($AH$2:AH849),$AH$2:$AH$1001,0),0)))</f>
        <v>#N/A</v>
      </c>
      <c r="B849" s="5" t="e">
        <f ca="1">IF(OR(INDEX($AI$2:$AI$1001,MATCH(ROWS($AH$2:AH849),$AH$2:$AH$1001,0),1)&gt;=100000,INDEX($AO$1005:$BQ$1005,1,MATCH(COLUMNS($AO$1006:AO1006),$AO$1006:$BQ$1006,0))&gt;=100000), " ",IF(INDEX($AO$2:$BQ$1001,MATCH(ROWS($AH$2:AH849),$AH$2:$AH$1001,0),MATCH(COLUMNS($AO$1006:AO1006),$AO$1006:$BQ$1006,0)), HYPERLINK("#",""), HYPERLINK(CONCATENATE("#Metadata!", ADDRESS(INDEX($AJ$2:$AJ$1001,MATCH(ROWS($AH$2:AH849),$AH$2:$AH$1001,0),0), INDEX($AO$1004:$BQ$1004,1,MATCH(COLUMNS($AO$1006:AO1006),$AO$1006:$BQ$1006,0)))),"Fix")))</f>
        <v>#N/A</v>
      </c>
      <c r="C849" s="5" t="e">
        <f ca="1">IF(OR(INDEX($AI$2:$AI$1001,MATCH(ROWS($AH$2:AH849),$AH$2:$AH$1001,0),1)&gt;=100000,INDEX($AO$1005:$BQ$1005,1,MATCH(COLUMNS($AO$1006:AP1006),$AO$1006:$BQ$1006,0))&gt;=100000), " ",IF(INDEX($AO$2:$BQ$1001,MATCH(ROWS($AH$2:AH849),$AH$2:$AH$1001,0),MATCH(COLUMNS($AO$1006:AP1006),$AO$1006:$BQ$1006,0)), HYPERLINK("#",""), HYPERLINK(CONCATENATE("#Metadata!", ADDRESS(INDEX($AJ$2:$AJ$1001,MATCH(ROWS($AH$2:AH849),$AH$2:$AH$1001,0),0), INDEX($AO$1004:$BQ$1004,1,MATCH(COLUMNS($AO$1006:AP1006),$AO$1006:$BQ$1006,0)))),"Fix")))</f>
        <v>#N/A</v>
      </c>
      <c r="D849" s="5" t="e">
        <f ca="1">IF(OR(INDEX($AI$2:$AI$1001,MATCH(ROWS($AH$2:AH849),$AH$2:$AH$1001,0),1)&gt;=100000,INDEX($AO$1005:$BQ$1005,1,MATCH(COLUMNS($AO$1006:AQ1006),$AO$1006:$BQ$1006,0))&gt;=100000), " ",IF(INDEX($AO$2:$BQ$1001,MATCH(ROWS($AH$2:AH849),$AH$2:$AH$1001,0),MATCH(COLUMNS($AO$1006:AQ1006),$AO$1006:$BQ$1006,0)), HYPERLINK("#",""), HYPERLINK(CONCATENATE("#Metadata!", ADDRESS(INDEX($AJ$2:$AJ$1001,MATCH(ROWS($AH$2:AH849),$AH$2:$AH$1001,0),0), INDEX($AO$1004:$BQ$1004,1,MATCH(COLUMNS($AO$1006:AQ1006),$AO$1006:$BQ$1006,0)))),"Fix")))</f>
        <v>#N/A</v>
      </c>
      <c r="E849" s="5" t="e">
        <f ca="1">IF(OR(INDEX($AI$2:$AI$1001,MATCH(ROWS($AH$2:AH849),$AH$2:$AH$1001,0),1)&gt;=100000,INDEX($AO$1005:$BQ$1005,1,MATCH(COLUMNS($AO$1006:AR1006),$AO$1006:$BQ$1006,0))&gt;=100000), " ",IF(INDEX($AO$2:$BQ$1001,MATCH(ROWS($AH$2:AH849),$AH$2:$AH$1001,0),MATCH(COLUMNS($AO$1006:AR1006),$AO$1006:$BQ$1006,0)), HYPERLINK("#",""), HYPERLINK(CONCATENATE("#Metadata!", ADDRESS(INDEX($AJ$2:$AJ$1001,MATCH(ROWS($AH$2:AH849),$AH$2:$AH$1001,0),0), INDEX($AO$1004:$BQ$1004,1,MATCH(COLUMNS($AO$1006:AR1006),$AO$1006:$BQ$1006,0)))),"Fix")))</f>
        <v>#N/A</v>
      </c>
      <c r="F849" s="5" t="e">
        <f ca="1">IF(OR(INDEX($AI$2:$AI$1001,MATCH(ROWS($AH$2:AH849),$AH$2:$AH$1001,0),1)&gt;=100000,INDEX($AO$1005:$BQ$1005,1,MATCH(COLUMNS($AO$1006:AS1006),$AO$1006:$BQ$1006,0))&gt;=100000), " ",IF(INDEX($AO$2:$BQ$1001,MATCH(ROWS($AH$2:AH849),$AH$2:$AH$1001,0),MATCH(COLUMNS($AO$1006:AS1006),$AO$1006:$BQ$1006,0)), HYPERLINK("#",""), HYPERLINK(CONCATENATE("#Metadata!", ADDRESS(INDEX($AJ$2:$AJ$1001,MATCH(ROWS($AH$2:AH849),$AH$2:$AH$1001,0),0), INDEX($AO$1004:$BQ$1004,1,MATCH(COLUMNS($AO$1006:AS1006),$AO$1006:$BQ$1006,0)))),"Fix")))</f>
        <v>#N/A</v>
      </c>
      <c r="G849" s="5" t="e">
        <f ca="1">IF(OR(INDEX($AI$2:$AI$1001,MATCH(ROWS($AH$2:AH849),$AH$2:$AH$1001,0),1)&gt;=100000,INDEX($AO$1005:$BQ$1005,1,MATCH(COLUMNS($AO$1006:AT1006),$AO$1006:$BQ$1006,0))&gt;=100000), " ",IF(INDEX($AO$2:$BQ$1001,MATCH(ROWS($AH$2:AH849),$AH$2:$AH$1001,0),MATCH(COLUMNS($AO$1006:AT1006),$AO$1006:$BQ$1006,0)), HYPERLINK("#",""), HYPERLINK(CONCATENATE("#Metadata!", ADDRESS(INDEX($AJ$2:$AJ$1001,MATCH(ROWS($AH$2:AH849),$AH$2:$AH$1001,0),0), INDEX($AO$1004:$BQ$1004,1,MATCH(COLUMNS($AO$1006:AT1006),$AO$1006:$BQ$1006,0)))),"Fix")))</f>
        <v>#N/A</v>
      </c>
      <c r="H849" s="5" t="e">
        <f ca="1">IF(OR(INDEX($AI$2:$AI$1001,MATCH(ROWS($AH$2:AH849),$AH$2:$AH$1001,0),1)&gt;=100000,INDEX($AO$1005:$BQ$1005,1,MATCH(COLUMNS($AO$1006:AU1006),$AO$1006:$BQ$1006,0))&gt;=100000), " ",IF(INDEX($AO$2:$BQ$1001,MATCH(ROWS($AH$2:AH849),$AH$2:$AH$1001,0),MATCH(COLUMNS($AO$1006:AU1006),$AO$1006:$BQ$1006,0)), HYPERLINK("#",""), HYPERLINK(CONCATENATE("#Metadata!", ADDRESS(INDEX($AJ$2:$AJ$1001,MATCH(ROWS($AH$2:AH849),$AH$2:$AH$1001,0),0), INDEX($AO$1004:$BQ$1004,1,MATCH(COLUMNS($AO$1006:AU1006),$AO$1006:$BQ$1006,0)))),"Fix")))</f>
        <v>#N/A</v>
      </c>
      <c r="I849" s="5" t="e">
        <f ca="1">IF(OR(INDEX($AI$2:$AI$1001,MATCH(ROWS($AH$2:AH849),$AH$2:$AH$1001,0),1)&gt;=100000,INDEX($AO$1005:$BQ$1005,1,MATCH(COLUMNS($AO$1006:AV1006),$AO$1006:$BQ$1006,0))&gt;=100000), " ",IF(INDEX($AO$2:$BQ$1001,MATCH(ROWS($AH$2:AH849),$AH$2:$AH$1001,0),MATCH(COLUMNS($AO$1006:AV1006),$AO$1006:$BQ$1006,0)), HYPERLINK("#",""), HYPERLINK(CONCATENATE("#Metadata!", ADDRESS(INDEX($AJ$2:$AJ$1001,MATCH(ROWS($AH$2:AH849),$AH$2:$AH$1001,0),0), INDEX($AO$1004:$BQ$1004,1,MATCH(COLUMNS($AO$1006:AV1006),$AO$1006:$BQ$1006,0)))),"Fix")))</f>
        <v>#N/A</v>
      </c>
      <c r="J849" s="5" t="e">
        <f ca="1">IF(OR(INDEX($AI$2:$AI$1001,MATCH(ROWS($AH$2:AH849),$AH$2:$AH$1001,0),1)&gt;=100000,INDEX($AO$1005:$BQ$1005,1,MATCH(COLUMNS($AO$1006:AW1006),$AO$1006:$BQ$1006,0))&gt;=100000), " ",IF(INDEX($AO$2:$BQ$1001,MATCH(ROWS($AH$2:AH849),$AH$2:$AH$1001,0),MATCH(COLUMNS($AO$1006:AW1006),$AO$1006:$BQ$1006,0)), HYPERLINK("#",""), HYPERLINK(CONCATENATE("#Metadata!", ADDRESS(INDEX($AJ$2:$AJ$1001,MATCH(ROWS($AH$2:AH849),$AH$2:$AH$1001,0),0), INDEX($AO$1004:$BQ$1004,1,MATCH(COLUMNS($AO$1006:AW1006),$AO$1006:$BQ$1006,0)))),"Fix")))</f>
        <v>#N/A</v>
      </c>
      <c r="K849" s="5" t="e">
        <f ca="1">IF(OR(INDEX($AI$2:$AI$1001,MATCH(ROWS($AH$2:AH849),$AH$2:$AH$1001,0),1)&gt;=100000,INDEX($AO$1005:$BQ$1005,1,MATCH(COLUMNS($AO$1006:AX1006),$AO$1006:$BQ$1006,0))&gt;=100000), " ",IF(INDEX($AO$2:$BQ$1001,MATCH(ROWS($AH$2:AH849),$AH$2:$AH$1001,0),MATCH(COLUMNS($AO$1006:AX1006),$AO$1006:$BQ$1006,0)), HYPERLINK("#",""), HYPERLINK(CONCATENATE("#Metadata!", ADDRESS(INDEX($AJ$2:$AJ$1001,MATCH(ROWS($AH$2:AH849),$AH$2:$AH$1001,0),0), INDEX($AO$1004:$BQ$1004,1,MATCH(COLUMNS($AO$1006:AX1006),$AO$1006:$BQ$1006,0)))),"Fix")))</f>
        <v>#N/A</v>
      </c>
      <c r="L849" s="5" t="e">
        <f ca="1">IF(OR(INDEX($AI$2:$AI$1001,MATCH(ROWS($AH$2:AH849),$AH$2:$AH$1001,0),1)&gt;=100000,INDEX($AO$1005:$BQ$1005,1,MATCH(COLUMNS($AO$1006:AY1006),$AO$1006:$BQ$1006,0))&gt;=100000), " ",IF(INDEX($AO$2:$BQ$1001,MATCH(ROWS($AH$2:AH849),$AH$2:$AH$1001,0),MATCH(COLUMNS($AO$1006:AY1006),$AO$1006:$BQ$1006,0)), HYPERLINK("#",""), HYPERLINK(CONCATENATE("#Metadata!", ADDRESS(INDEX($AJ$2:$AJ$1001,MATCH(ROWS($AH$2:AH849),$AH$2:$AH$1001,0),0), INDEX($AO$1004:$BQ$1004,1,MATCH(COLUMNS($AO$1006:AY1006),$AO$1006:$BQ$1006,0)))),"Fix")))</f>
        <v>#N/A</v>
      </c>
      <c r="M849" s="5" t="e">
        <f ca="1">IF(OR(INDEX($AI$2:$AI$1001,MATCH(ROWS($AH$2:AH849),$AH$2:$AH$1001,0),1)&gt;=100000,INDEX($AO$1005:$BQ$1005,1,MATCH(COLUMNS($AO$1006:AZ1006),$AO$1006:$BQ$1006,0))&gt;=100000), " ",IF(INDEX($AO$2:$BQ$1001,MATCH(ROWS($AH$2:AH849),$AH$2:$AH$1001,0),MATCH(COLUMNS($AO$1006:AZ1006),$AO$1006:$BQ$1006,0)), HYPERLINK("#",""), HYPERLINK(CONCATENATE("#Metadata!", ADDRESS(INDEX($AJ$2:$AJ$1001,MATCH(ROWS($AH$2:AH849),$AH$2:$AH$1001,0),0), INDEX($AO$1004:$BQ$1004,1,MATCH(COLUMNS($AO$1006:AZ1006),$AO$1006:$BQ$1006,0)))),"Fix")))</f>
        <v>#N/A</v>
      </c>
      <c r="N849" s="5" t="e">
        <f ca="1">IF(OR(INDEX($AI$2:$AI$1001,MATCH(ROWS($AH$2:AH849),$AH$2:$AH$1001,0),1)&gt;=100000,INDEX($AO$1005:$BQ$1005,1,MATCH(COLUMNS($AO$1006:BA1006),$AO$1006:$BQ$1006,0))&gt;=100000), " ",IF(INDEX($AO$2:$BQ$1001,MATCH(ROWS($AH$2:AH849),$AH$2:$AH$1001,0),MATCH(COLUMNS($AO$1006:BA1006),$AO$1006:$BQ$1006,0)), HYPERLINK("#",""), HYPERLINK(CONCATENATE("#Metadata!", ADDRESS(INDEX($AJ$2:$AJ$1001,MATCH(ROWS($AH$2:AH849),$AH$2:$AH$1001,0),0), INDEX($AO$1004:$BQ$1004,1,MATCH(COLUMNS($AO$1006:BA1006),$AO$1006:$BQ$1006,0)))),"Fix")))</f>
        <v>#N/A</v>
      </c>
      <c r="O849" s="5" t="e">
        <f ca="1">IF(OR(INDEX($AI$2:$AI$1001,MATCH(ROWS($AH$2:AH849),$AH$2:$AH$1001,0),1)&gt;=100000,INDEX($AO$1005:$BQ$1005,1,MATCH(COLUMNS($AO$1006:BB1006),$AO$1006:$BQ$1006,0))&gt;=100000), " ",IF(INDEX($AO$2:$BQ$1001,MATCH(ROWS($AH$2:AH849),$AH$2:$AH$1001,0),MATCH(COLUMNS($AO$1006:BB1006),$AO$1006:$BQ$1006,0)), HYPERLINK("#",""), HYPERLINK(CONCATENATE("#Metadata!", ADDRESS(INDEX($AJ$2:$AJ$1001,MATCH(ROWS($AH$2:AH849),$AH$2:$AH$1001,0),0), INDEX($AO$1004:$BQ$1004,1,MATCH(COLUMNS($AO$1006:BB1006),$AO$1006:$BQ$1006,0)))),"Fix")))</f>
        <v>#N/A</v>
      </c>
      <c r="P849" s="5" t="e">
        <f ca="1">IF(OR(INDEX($AI$2:$AI$1001,MATCH(ROWS($AH$2:AH849),$AH$2:$AH$1001,0),1)&gt;=100000,INDEX($AO$1005:$BQ$1005,1,MATCH(COLUMNS($AO$1006:BC1006),$AO$1006:$BQ$1006,0))&gt;=100000), " ",IF(INDEX($AO$2:$BQ$1001,MATCH(ROWS($AH$2:AH849),$AH$2:$AH$1001,0),MATCH(COLUMNS($AO$1006:BC1006),$AO$1006:$BQ$1006,0)), HYPERLINK("#",""), HYPERLINK(CONCATENATE("#Metadata!", ADDRESS(INDEX($AJ$2:$AJ$1001,MATCH(ROWS($AH$2:AH849),$AH$2:$AH$1001,0),0), INDEX($AO$1004:$BQ$1004,1,MATCH(COLUMNS($AO$1006:BC1006),$AO$1006:$BQ$1006,0)))),"Fix")))</f>
        <v>#N/A</v>
      </c>
      <c r="Q849" s="5" t="e">
        <f ca="1">IF(OR(INDEX($AI$2:$AI$1001,MATCH(ROWS($AH$2:AH849),$AH$2:$AH$1001,0),1)&gt;=100000,INDEX($AO$1005:$BQ$1005,1,MATCH(COLUMNS($AO$1006:BD1006),$AO$1006:$BQ$1006,0))&gt;=100000), " ",IF(INDEX($AO$2:$BQ$1001,MATCH(ROWS($AH$2:AH849),$AH$2:$AH$1001,0),MATCH(COLUMNS($AO$1006:BD1006),$AO$1006:$BQ$1006,0)), HYPERLINK("#",""), HYPERLINK(CONCATENATE("#Metadata!", ADDRESS(INDEX($AJ$2:$AJ$1001,MATCH(ROWS($AH$2:AH849),$AH$2:$AH$1001,0),0), INDEX($AO$1004:$BQ$1004,1,MATCH(COLUMNS($AO$1006:BD1006),$AO$1006:$BQ$1006,0)))),"Fix")))</f>
        <v>#N/A</v>
      </c>
      <c r="R849" s="5" t="e">
        <f ca="1">IF(OR(INDEX($AI$2:$AI$1001,MATCH(ROWS($AH$2:AH849),$AH$2:$AH$1001,0),1)&gt;=100000,INDEX($AO$1005:$BQ$1005,1,MATCH(COLUMNS($AO$1006:BE1006),$AO$1006:$BQ$1006,0))&gt;=100000), " ",IF(INDEX($AO$2:$BQ$1001,MATCH(ROWS($AH$2:AH849),$AH$2:$AH$1001,0),MATCH(COLUMNS($AO$1006:BE1006),$AO$1006:$BQ$1006,0)), HYPERLINK("#",""), HYPERLINK(CONCATENATE("#Metadata!", ADDRESS(INDEX($AJ$2:$AJ$1001,MATCH(ROWS($AH$2:AH849),$AH$2:$AH$1001,0),0), INDEX($AO$1004:$BQ$1004,1,MATCH(COLUMNS($AO$1006:BE1006),$AO$1006:$BQ$1006,0)))),"Fix")))</f>
        <v>#N/A</v>
      </c>
      <c r="S849" s="5" t="e">
        <f ca="1">IF(OR(INDEX($AI$2:$AI$1001,MATCH(ROWS($AH$2:AH849),$AH$2:$AH$1001,0),1)&gt;=100000,INDEX($AO$1005:$BQ$1005,1,MATCH(COLUMNS($AO$1006:BF1006),$AO$1006:$BQ$1006,0))&gt;=100000), " ",IF(INDEX($AO$2:$BQ$1001,MATCH(ROWS($AH$2:AH849),$AH$2:$AH$1001,0),MATCH(COLUMNS($AO$1006:BF1006),$AO$1006:$BQ$1006,0)), HYPERLINK("#",""), HYPERLINK(CONCATENATE("#Metadata!", ADDRESS(INDEX($AJ$2:$AJ$1001,MATCH(ROWS($AH$2:AH849),$AH$2:$AH$1001,0),0), INDEX($AO$1004:$BQ$1004,1,MATCH(COLUMNS($AO$1006:BF1006),$AO$1006:$BQ$1006,0)))),"Fix")))</f>
        <v>#N/A</v>
      </c>
      <c r="T849" s="5" t="e">
        <f ca="1">IF(OR(INDEX($AI$2:$AI$1001,MATCH(ROWS($AH$2:AH849),$AH$2:$AH$1001,0),1)&gt;=100000,INDEX($AO$1005:$BQ$1005,1,MATCH(COLUMNS($AO$1006:BG1006),$AO$1006:$BQ$1006,0))&gt;=100000), " ",IF(INDEX($AO$2:$BQ$1001,MATCH(ROWS($AH$2:AH849),$AH$2:$AH$1001,0),MATCH(COLUMNS($AO$1006:BG1006),$AO$1006:$BQ$1006,0)), HYPERLINK("#",""), HYPERLINK(CONCATENATE("#Metadata!", ADDRESS(INDEX($AJ$2:$AJ$1001,MATCH(ROWS($AH$2:AH849),$AH$2:$AH$1001,0),0), INDEX($AO$1004:$BQ$1004,1,MATCH(COLUMNS($AO$1006:BG1006),$AO$1006:$BQ$1006,0)))),"Fix")))</f>
        <v>#N/A</v>
      </c>
      <c r="U849" s="5" t="e">
        <f ca="1">IF(OR(INDEX($AI$2:$AI$1001,MATCH(ROWS($AH$2:AH849),$AH$2:$AH$1001,0),1)&gt;=100000,INDEX($AO$1005:$BQ$1005,1,MATCH(COLUMNS($AO$1006:BH1006),$AO$1006:$BQ$1006,0))&gt;=100000), " ",IF(INDEX($AO$2:$BQ$1001,MATCH(ROWS($AH$2:AH849),$AH$2:$AH$1001,0),MATCH(COLUMNS($AO$1006:BH1006),$AO$1006:$BQ$1006,0)), HYPERLINK("#",""), HYPERLINK(CONCATENATE("#Metadata!", ADDRESS(INDEX($AJ$2:$AJ$1001,MATCH(ROWS($AH$2:AH849),$AH$2:$AH$1001,0),0), INDEX($AO$1004:$BQ$1004,1,MATCH(COLUMNS($AO$1006:BH1006),$AO$1006:$BQ$1006,0)))),"Fix")))</f>
        <v>#N/A</v>
      </c>
      <c r="V849" s="5" t="e">
        <f ca="1">IF(OR(INDEX($AI$2:$AI$1001,MATCH(ROWS($AH$2:AH849),$AH$2:$AH$1001,0),1)&gt;=100000,INDEX($AO$1005:$BQ$1005,1,MATCH(COLUMNS($AO$1006:BI1006),$AO$1006:$BQ$1006,0))&gt;=100000), " ",IF(INDEX($AO$2:$BQ$1001,MATCH(ROWS($AH$2:AH849),$AH$2:$AH$1001,0),MATCH(COLUMNS($AO$1006:BI1006),$AO$1006:$BQ$1006,0)), HYPERLINK("#",""), HYPERLINK(CONCATENATE("#Metadata!", ADDRESS(INDEX($AJ$2:$AJ$1001,MATCH(ROWS($AH$2:AH849),$AH$2:$AH$1001,0),0), INDEX($AO$1004:$BQ$1004,1,MATCH(COLUMNS($AO$1006:BI1006),$AO$1006:$BQ$1006,0)))),"Fix")))</f>
        <v>#N/A</v>
      </c>
      <c r="W849" s="5" t="e">
        <f ca="1">IF(OR(INDEX($AI$2:$AI$1001,MATCH(ROWS($AH$2:AH849),$AH$2:$AH$1001,0),1)&gt;=100000,INDEX($AO$1005:$BQ$1005,1,MATCH(COLUMNS($AO$1006:BJ1006),$AO$1006:$BQ$1006,0))&gt;=100000), " ",IF(INDEX($AO$2:$BQ$1001,MATCH(ROWS($AH$2:AH849),$AH$2:$AH$1001,0),MATCH(COLUMNS($AO$1006:BJ1006),$AO$1006:$BQ$1006,0)), HYPERLINK("#",""), HYPERLINK(CONCATENATE("#Metadata!", ADDRESS(INDEX($AJ$2:$AJ$1001,MATCH(ROWS($AH$2:AH849),$AH$2:$AH$1001,0),0), INDEX($AO$1004:$BQ$1004,1,MATCH(COLUMNS($AO$1006:BJ1006),$AO$1006:$BQ$1006,0)))),"Fix")))</f>
        <v>#N/A</v>
      </c>
      <c r="X849" s="5" t="e">
        <f ca="1">IF(OR(INDEX($AI$2:$AI$1001,MATCH(ROWS($AH$2:AH849),$AH$2:$AH$1001,0),1)&gt;=100000,INDEX($AO$1005:$BQ$1005,1,MATCH(COLUMNS($AO$1006:BK1006),$AO$1006:$BQ$1006,0))&gt;=100000), " ",IF(INDEX($AO$2:$BQ$1001,MATCH(ROWS($AH$2:AH849),$AH$2:$AH$1001,0),MATCH(COLUMNS($AO$1006:BK1006),$AO$1006:$BQ$1006,0)), HYPERLINK("#",""), HYPERLINK(CONCATENATE("#Metadata!", ADDRESS(INDEX($AJ$2:$AJ$1001,MATCH(ROWS($AH$2:AH849),$AH$2:$AH$1001,0),0), INDEX($AO$1004:$BQ$1004,1,MATCH(COLUMNS($AO$1006:BK1006),$AO$1006:$BQ$1006,0)))),"Fix")))</f>
        <v>#N/A</v>
      </c>
      <c r="Y849" s="5" t="e">
        <f ca="1">IF(OR(INDEX($AI$2:$AI$1001,MATCH(ROWS($AH$2:AH849),$AH$2:$AH$1001,0),1)&gt;=100000,INDEX($AO$1005:$BQ$1005,1,MATCH(COLUMNS($AO$1006:BL1006),$AO$1006:$BQ$1006,0))&gt;=100000), " ",IF(INDEX($AO$2:$BQ$1001,MATCH(ROWS($AH$2:AH849),$AH$2:$AH$1001,0),MATCH(COLUMNS($AO$1006:BL1006),$AO$1006:$BQ$1006,0)), HYPERLINK("#",""), HYPERLINK(CONCATENATE("#Metadata!", ADDRESS(INDEX($AJ$2:$AJ$1001,MATCH(ROWS($AH$2:AH849),$AH$2:$AH$1001,0),0), INDEX($AO$1004:$BQ$1004,1,MATCH(COLUMNS($AO$1006:BL1006),$AO$1006:$BQ$1006,0)))),"Fix")))</f>
        <v>#N/A</v>
      </c>
      <c r="Z849" s="5" t="e">
        <f ca="1">IF(OR(INDEX($AI$2:$AI$1001,MATCH(ROWS($AH$2:AH849),$AH$2:$AH$1001,0),1)&gt;=100000,INDEX($AO$1005:$BQ$1005,1,MATCH(COLUMNS($AO$1006:BM1006),$AO$1006:$BQ$1006,0))&gt;=100000), " ",IF(INDEX($AO$2:$BQ$1001,MATCH(ROWS($AH$2:AH849),$AH$2:$AH$1001,0),MATCH(COLUMNS($AO$1006:BM1006),$AO$1006:$BQ$1006,0)), HYPERLINK("#",""), HYPERLINK(CONCATENATE("#Metadata!", ADDRESS(INDEX($AJ$2:$AJ$1001,MATCH(ROWS($AH$2:AH849),$AH$2:$AH$1001,0),0), INDEX($AO$1004:$BQ$1004,1,MATCH(COLUMNS($AO$1006:BM1006),$AO$1006:$BQ$1006,0)))),"Fix")))</f>
        <v>#N/A</v>
      </c>
      <c r="AA849" s="5" t="e">
        <f ca="1">IF(OR(INDEX($AI$2:$AI$1001,MATCH(ROWS($AH$2:AH849),$AH$2:$AH$1001,0),1)&gt;=100000,INDEX($AO$1005:$BQ$1005,1,MATCH(COLUMNS($AO$1006:BN1006),$AO$1006:$BQ$1006,0))&gt;=100000), " ",IF(INDEX($AO$2:$BQ$1001,MATCH(ROWS($AH$2:AH849),$AH$2:$AH$1001,0),MATCH(COLUMNS($AO$1006:BN1006),$AO$1006:$BQ$1006,0)), HYPERLINK("#",""), HYPERLINK(CONCATENATE("#Metadata!", ADDRESS(INDEX($AJ$2:$AJ$1001,MATCH(ROWS($AH$2:AH849),$AH$2:$AH$1001,0),0), INDEX($AO$1004:$BQ$1004,1,MATCH(COLUMNS($AO$1006:BN1006),$AO$1006:$BQ$1006,0)))),"Fix")))</f>
        <v>#N/A</v>
      </c>
      <c r="AB849" s="5" t="e">
        <f ca="1">IF(OR(INDEX($AI$2:$AI$1001,MATCH(ROWS($AH$2:AH849),$AH$2:$AH$1001,0),1)&gt;=100000,INDEX($AO$1005:$BQ$1005,1,MATCH(COLUMNS($AO$1006:BO1006),$AO$1006:$BQ$1006,0))&gt;=100000), " ",IF(INDEX($AO$2:$BQ$1001,MATCH(ROWS($AH$2:AH849),$AH$2:$AH$1001,0),MATCH(COLUMNS($AO$1006:BO1006),$AO$1006:$BQ$1006,0)), HYPERLINK("#",""), HYPERLINK(CONCATENATE("#Metadata!", ADDRESS(INDEX($AJ$2:$AJ$1001,MATCH(ROWS($AH$2:AH849),$AH$2:$AH$1001,0),0), INDEX($AO$1004:$BQ$1004,1,MATCH(COLUMNS($AO$1006:BO1006),$AO$1006:$BQ$1006,0)))),"Fix")))</f>
        <v>#N/A</v>
      </c>
      <c r="AC849" s="5" t="e">
        <f ca="1">IF(OR(INDEX($AI$2:$AI$1001,MATCH(ROWS($AH$2:AH849),$AH$2:$AH$1001,0),1)&gt;=100000,INDEX($AO$1005:$BQ$1005,1,MATCH(COLUMNS($AO$1006:BP1006),$AO$1006:$BQ$1006,0))&gt;=100000), " ",IF(INDEX($AO$2:$BQ$1001,MATCH(ROWS($AH$2:AH849),$AH$2:$AH$1001,0),MATCH(COLUMNS($AO$1006:BP1006),$AO$1006:$BQ$1006,0)), HYPERLINK("#",""), HYPERLINK(CONCATENATE("#Metadata!", ADDRESS(INDEX($AJ$2:$AJ$1001,MATCH(ROWS($AH$2:AH849),$AH$2:$AH$1001,0),0), INDEX($AO$1004:$BQ$1004,1,MATCH(COLUMNS($AO$1006:BP1006),$AO$1006:$BQ$1006,0)))),"Fix")))</f>
        <v>#N/A</v>
      </c>
      <c r="AD849" s="5" t="e">
        <f ca="1">IF(OR(INDEX($AI$2:$AI$1001,MATCH(ROWS($AH$2:AH849),$AH$2:$AH$1001,0),1)&gt;=100000,INDEX($AO$1005:$BQ$1005,1,MATCH(COLUMNS($AO$1006:BQ1006),$AO$1006:$BQ$1006,0))&gt;=100000), " ",IF(INDEX($AO$2:$BQ$1001,MATCH(ROWS($AH$2:AH849),$AH$2:$AH$1001,0),MATCH(COLUMNS($AO$1006:BQ1006),$AO$1006:$BQ$1006,0)), HYPERLINK("#",""), HYPERLINK(CONCATENATE("#Metadata!", ADDRESS(INDEX($AJ$2:$AJ$1001,MATCH(ROWS($AH$2:AH849),$AH$2:$AH$1001,0),0), INDEX($AO$1004:$BQ$1004,1,MATCH(COLUMNS($AO$1006:BQ1006),$AO$1006:$BQ$1006,0)))),"Fix")))</f>
        <v>#REF!</v>
      </c>
      <c r="AH849">
        <f ca="1"/>
        <v>846</v>
      </c>
      <c r="AI849">
        <v>100849</v>
      </c>
      <c r="AJ849">
        <v>849</v>
      </c>
      <c r="AK849" t="b">
        <f t="shared" si="13"/>
        <v>1</v>
      </c>
      <c r="AL849" t="b">
        <f>COUNTBLANK(Metadata!B849:AD849)=COLUMNS(Metadata!B849:AD849)</f>
        <v>1</v>
      </c>
      <c r="AM849" t="str">
        <v/>
      </c>
      <c r="AO849" t="b">
        <f ca="1">AND(IF(Metadata!B849="",FALSE,TRUE),COUNTIF(Metadata!B:B, Metadata!B849) = 1,NOT(ISERROR(SUMPRODUCT(SEARCH(MID(Metadata!B849,ROW(INDIRECT("1:"&amp;LEN(Metadata!B849))), 1),"0123456789abcdefghijklmnopqrstuvwxyzABCDEFGHIJKLMNOPQRSTUVWXYZ.")))))</f>
        <v>0</v>
      </c>
      <c r="AP849" t="b">
        <f>IF(Metadata!C849="",FALSE,TRUE)</f>
        <v>0</v>
      </c>
      <c r="AQ849" t="b">
        <f>IF(Metadata!D849="",FALSE,TRUE)</f>
        <v>0</v>
      </c>
      <c r="AR849" t="b">
        <f ca="1">OR(AND(IF(Metadata!E849="",FALSE,TRUE),OR(EXACT(Metadata!E849,"not collected"),EXACT(Metadata!E849,"not provided"),EXACT(Metadata!E849,"restricted access"))),AND(IF(Metadata!E849="",FALSE,TRUE),AND(AND(IFERROR(INT(LEFT(Metadata!E849,4))&gt;1900,FALSE),IFERROR(INT(LEFT(Metadata!E849,4))&lt;=YEAR(NOW()),FALSE)), OR(MID(Metadata!E849,5,1)="", AND(AND(MID(Metadata!E849,5,1)="-",IFERROR(INT(MID(Metadata!E849,6,1))&gt;=0,FALSE),IFERROR(INT(MID(Metadata!E849,6,1))&lt;=1,FALSE),NOT(MID(Metadata!E849,7,1)=""),IFERROR(INT(MID(Metadata!E849,6,2))&gt;=1,FALSE),IFERROR(INT(MID(Metadata!E849,6,2))&lt;=12,FALSE)), OR(MID(Metadata!E849,8,1)="", AND(AND(MID(Metadata!E849,8,1)="-",IFERROR(INT(MID(Metadata!E849,9,1))&gt;=0,FALSE),IFERROR(INT(MID(Metadata!E849,9,1))&lt;=3,FALSE),NOT(MID(Metadata!E849,10,1)=""),IFERROR(INT(MID(Metadata!E849,9,2))&gt;=1,FALSE),IFERROR(INT(MID(Metadata!E849,9,2))&lt;=31,FALSE)), OR(MID(Metadata!E849,11,1)="", AND(AND(MID(Metadata!E849,11,1)=" ",IFERROR(INT(MID(Metadata!E849,12,1))&gt;=0,FALSE),IFERROR(INT(MID(Metadata!E849,12,1))&lt;=2,FALSE),NOT(MID(Metadata!E849,13,1)=""),IFERROR(INT(MID(Metadata!E849,12,2))&gt;=0,FALSE),IFERROR(INT(MID(Metadata!E849,12,2))&lt;=23,FALSE)), OR(MID(Metadata!E849,14,1)="", AND(AND(MID(Metadata!E849,14,1)=":",IFERROR(INT(MID(Metadata!E849,15,1))&gt;=0,FALSE),IFERROR(INT(MID(Metadata!E849,15,1))&lt;=5,FALSE),NOT(MID(Metadata!E849,16,1)=""),IFERROR(INT(MID(Metadata!E849,15,2))&gt;=0,FALSE),IFERROR(INT(MID(Metadata!E849,15,2))&lt;=59,FALSE)), OR(MID(Metadata!E849,17,1)="", AND(AND(MID(Metadata!E849,17,1)=":",IFERROR(INT(MID(Metadata!E849,18,1))&gt;=0,FALSE),IFERROR(INT(MID(Metadata!E849,18,1))&lt;=5,FALSE),NOT(MID(Metadata!E849,19,1)=""),IFERROR(INT(MID(Metadata!E849,18,2))&gt;=0,FALSE),IFERROR(INT(MID(Metadata!E849,18,2))&lt;=59,FALSE)), LEN(Metadata!E849)&lt;=19)))))))))))))</f>
        <v>0</v>
      </c>
      <c r="AS849" t="b">
        <f>IF(Metadata!F849="",FALSE,TRUE)</f>
        <v>0</v>
      </c>
      <c r="AT849" t="b">
        <f>OR(AND(IF(Metadata!G849="",FALSE,TRUE),OR(EXACT(Metadata!G849,"not collected"),EXACT(Metadata!G849,"not provided"))),AND(IF(Metadata!G849="",FALSE,TRUE),OR(EXACT(Metadata!G849,"TRUE"),EXACT(Metadata!G849,"FALSE"))))</f>
        <v>0</v>
      </c>
      <c r="AU849" t="b">
        <f>OR(AND(IF(Metadata!H849="",FALSE,TRUE),OR(EXACT(Metadata!H849,"not collected"),EXACT(Metadata!H849,"not provided"),EXACT(Metadata!H849,"restricted access"))),AND(IF(Metadata!H849="",FALSE,ISNUMBER(VALUE(Metadata!H849))),Metadata!H849&gt;=-413))</f>
        <v>0</v>
      </c>
      <c r="AV849" t="b">
        <f>AND(IF(Metadata!I849="",FALSE,TRUE),EXACT(Metadata!I849,"meters"))</f>
        <v>0</v>
      </c>
      <c r="AW849" t="b">
        <f>AND(IF(Metadata!J849="",FALSE,TRUE),EXACT(Metadata!J849,"free-living"))</f>
        <v>0</v>
      </c>
      <c r="AX849" t="b">
        <f>AND(IF(Metadata!K849="",FALSE,TRUE),OR(EXACT(Metadata!K849,"saline"),EXACT(Metadata!K849,"non-saline")))</f>
        <v>0</v>
      </c>
      <c r="AY849" t="b">
        <f>AND(IF(Metadata!L849="",FALSE,TRUE),OR(EXACT(Metadata!L849,"sub-surface (non-saline)"),EXACT(Metadata!L849,"surface (non-saline)"),EXACT(Metadata!L849,"water (non-saline)"),EXACT(Metadata!L849,"soil (non-saline)"),EXACT(Metadata!L849,"aerosol (non-saline)"),EXACT(Metadata!L849,"sediment (non-saline)"),EXACT(Metadata!L849,"surface (saline)"),EXACT(Metadata!L849,"water (saline)"),EXACT(Metadata!L849,"hypersaline (saline)"),EXACT(Metadata!L849,"aerosol (saline)"),EXACT(Metadata!L849,"sediment (saline)")))</f>
        <v>0</v>
      </c>
      <c r="AZ849" t="b">
        <f>IF(Metadata!M849="",FALSE,TRUE)</f>
        <v>0</v>
      </c>
      <c r="BA849" t="b">
        <f>IF(Metadata!N849="",FALSE,TRUE)</f>
        <v>0</v>
      </c>
      <c r="BB849" t="b">
        <f>IF(Metadata!O849="",FALSE,TRUE)</f>
        <v>0</v>
      </c>
      <c r="BC849" t="b">
        <f>AND(IF(Metadata!P849="",FALSE,TRUE),OR(EXACT(Metadata!P849,"air"),EXACT(Metadata!P849,"microbial mat/biofilm"),EXACT(Metadata!P849,"misc environment"),EXACT(Metadata!P849,"sediment"),EXACT(Metadata!P849,"soil"),EXACT(Metadata!P849,"wastewater/sludge"),EXACT(Metadata!P849,"water")))</f>
        <v>0</v>
      </c>
      <c r="BD849" t="b">
        <f>IF(Metadata!Q849="",FALSE,TRUE)</f>
        <v>0</v>
      </c>
      <c r="BE849" t="b">
        <f>IF(Metadata!R849="",FALSE,TRUE)</f>
        <v>0</v>
      </c>
      <c r="BF849" t="b">
        <f>OR(AND(IF(Metadata!S849="",FALSE,TRUE),OR(EXACT(Metadata!S849,"not collected"),EXACT(Metadata!S849,"not provided"),EXACT(Metadata!S849,"restricted access"))),AND(IF(Metadata!S849="",FALSE,ISNUMBER(VALUE(Metadata!S849))),Metadata!S849&gt;=-90,Metadata!S849&lt;=90))</f>
        <v>0</v>
      </c>
      <c r="BG849" t="b">
        <f>AND(IF(Metadata!T849="",FALSE,TRUE),EXACT(Metadata!T849,"Decimal degrees"))</f>
        <v>0</v>
      </c>
      <c r="BH849" t="b">
        <f>OR(AND(IF(Metadata!U849="",FALSE,TRUE),OR(EXACT(Metadata!U849,"not applicable"),EXACT(Metadata!U849,"not collected"))),IF(Metadata!U849="",FALSE,TRUE))</f>
        <v>0</v>
      </c>
      <c r="BI849" t="b">
        <f>OR(AND(IF(Metadata!V849="",FALSE,TRUE),OR(EXACT(Metadata!V849,"not collected"),EXACT(Metadata!V849,"not provided"),EXACT(Metadata!V849,"restricted access"))),AND(IF(Metadata!V849="",FALSE,ISNUMBER(VALUE(Metadata!V849))),Metadata!V849&gt;=-180,Metadata!V849&lt;=180))</f>
        <v>0</v>
      </c>
      <c r="BJ849" t="b">
        <f>AND(IF(Metadata!W849="",FALSE,TRUE),EXACT(Metadata!W849,"Decimal degrees"))</f>
        <v>0</v>
      </c>
      <c r="BK849" t="b">
        <f>IF(Metadata!X849="",FALSE,TRUE)</f>
        <v>0</v>
      </c>
      <c r="BL849" t="b">
        <f>OR(AND(IF(Metadata!Y849="",FALSE,TRUE),OR(EXACT(Metadata!Y849,"not collected"),EXACT(Metadata!Y849,"not provided"),EXACT(Metadata!Y849,"restricted access"))),AND(IF(Metadata!Y849="",FALSE,TRUE),OR(EXACT(Metadata!Y849,"TRUE"),EXACT(Metadata!Y849,"FALSE"))))</f>
        <v>0</v>
      </c>
      <c r="BM849" t="b">
        <f>OR(AND(IF(Metadata!Z849="",FALSE,TRUE),EXACT(Metadata!Z849,"not applicable")),AND(IF(Metadata!Z849="",FALSE,TRUE),OR(EXACT(Metadata!Z849,"beer"),EXACT(Metadata!Z849,"cheese"),EXACT(Metadata!Z849,"fresh water"),EXACT(Metadata!Z849,"marine sediment"),EXACT(Metadata!Z849,"sea water"),EXACT(Metadata!Z849,"sediment"),EXACT(Metadata!Z849,"soil"),EXACT(Metadata!Z849,"waste water"))))</f>
        <v>0</v>
      </c>
      <c r="BN849" t="b">
        <f>AND(IF(Metadata!AA849="",FALSE,TRUE),EXACT(Metadata!AA849,"metagenome"))</f>
        <v>0</v>
      </c>
      <c r="BO849" t="b">
        <f>AND(IF(Metadata!AB849="",FALSE,TRUE),EXACT(Metadata!AB849,"256318"))</f>
        <v>0</v>
      </c>
      <c r="BP849" t="b">
        <f>IF(Metadata!AC849="",FALSE,TRUE)</f>
        <v>0</v>
      </c>
      <c r="BQ849" t="b">
        <f>IF(Metadata!AD849="",FALSE,TRUE)</f>
        <v>0</v>
      </c>
    </row>
    <row r="850" spans="1:69" x14ac:dyDescent="0.2">
      <c r="A850" s="4" t="e">
        <f ca="1">IF(B850=" "," ",HYPERLINK(CONCATENATE("#metadata!",ADDRESS(INDEX($AJ$2:$AJ$1001,MATCH(ROWS($AH$2:AH850),$AH$2:$AH$1001,0),0),2)),INDEX($AM$2:$AM$1001,MATCH(ROWS($AH$2:AH850),$AH$2:$AH$1001,0),0)))</f>
        <v>#N/A</v>
      </c>
      <c r="B850" s="5" t="e">
        <f ca="1">IF(OR(INDEX($AI$2:$AI$1001,MATCH(ROWS($AH$2:AH850),$AH$2:$AH$1001,0),1)&gt;=100000,INDEX($AO$1005:$BQ$1005,1,MATCH(COLUMNS($AO$1006:AO1006),$AO$1006:$BQ$1006,0))&gt;=100000), " ",IF(INDEX($AO$2:$BQ$1001,MATCH(ROWS($AH$2:AH850),$AH$2:$AH$1001,0),MATCH(COLUMNS($AO$1006:AO1006),$AO$1006:$BQ$1006,0)), HYPERLINK("#",""), HYPERLINK(CONCATENATE("#Metadata!", ADDRESS(INDEX($AJ$2:$AJ$1001,MATCH(ROWS($AH$2:AH850),$AH$2:$AH$1001,0),0), INDEX($AO$1004:$BQ$1004,1,MATCH(COLUMNS($AO$1006:AO1006),$AO$1006:$BQ$1006,0)))),"Fix")))</f>
        <v>#N/A</v>
      </c>
      <c r="C850" s="5" t="e">
        <f ca="1">IF(OR(INDEX($AI$2:$AI$1001,MATCH(ROWS($AH$2:AH850),$AH$2:$AH$1001,0),1)&gt;=100000,INDEX($AO$1005:$BQ$1005,1,MATCH(COLUMNS($AO$1006:AP1006),$AO$1006:$BQ$1006,0))&gt;=100000), " ",IF(INDEX($AO$2:$BQ$1001,MATCH(ROWS($AH$2:AH850),$AH$2:$AH$1001,0),MATCH(COLUMNS($AO$1006:AP1006),$AO$1006:$BQ$1006,0)), HYPERLINK("#",""), HYPERLINK(CONCATENATE("#Metadata!", ADDRESS(INDEX($AJ$2:$AJ$1001,MATCH(ROWS($AH$2:AH850),$AH$2:$AH$1001,0),0), INDEX($AO$1004:$BQ$1004,1,MATCH(COLUMNS($AO$1006:AP1006),$AO$1006:$BQ$1006,0)))),"Fix")))</f>
        <v>#N/A</v>
      </c>
      <c r="D850" s="5" t="e">
        <f ca="1">IF(OR(INDEX($AI$2:$AI$1001,MATCH(ROWS($AH$2:AH850),$AH$2:$AH$1001,0),1)&gt;=100000,INDEX($AO$1005:$BQ$1005,1,MATCH(COLUMNS($AO$1006:AQ1006),$AO$1006:$BQ$1006,0))&gt;=100000), " ",IF(INDEX($AO$2:$BQ$1001,MATCH(ROWS($AH$2:AH850),$AH$2:$AH$1001,0),MATCH(COLUMNS($AO$1006:AQ1006),$AO$1006:$BQ$1006,0)), HYPERLINK("#",""), HYPERLINK(CONCATENATE("#Metadata!", ADDRESS(INDEX($AJ$2:$AJ$1001,MATCH(ROWS($AH$2:AH850),$AH$2:$AH$1001,0),0), INDEX($AO$1004:$BQ$1004,1,MATCH(COLUMNS($AO$1006:AQ1006),$AO$1006:$BQ$1006,0)))),"Fix")))</f>
        <v>#N/A</v>
      </c>
      <c r="E850" s="5" t="e">
        <f ca="1">IF(OR(INDEX($AI$2:$AI$1001,MATCH(ROWS($AH$2:AH850),$AH$2:$AH$1001,0),1)&gt;=100000,INDEX($AO$1005:$BQ$1005,1,MATCH(COLUMNS($AO$1006:AR1006),$AO$1006:$BQ$1006,0))&gt;=100000), " ",IF(INDEX($AO$2:$BQ$1001,MATCH(ROWS($AH$2:AH850),$AH$2:$AH$1001,0),MATCH(COLUMNS($AO$1006:AR1006),$AO$1006:$BQ$1006,0)), HYPERLINK("#",""), HYPERLINK(CONCATENATE("#Metadata!", ADDRESS(INDEX($AJ$2:$AJ$1001,MATCH(ROWS($AH$2:AH850),$AH$2:$AH$1001,0),0), INDEX($AO$1004:$BQ$1004,1,MATCH(COLUMNS($AO$1006:AR1006),$AO$1006:$BQ$1006,0)))),"Fix")))</f>
        <v>#N/A</v>
      </c>
      <c r="F850" s="5" t="e">
        <f ca="1">IF(OR(INDEX($AI$2:$AI$1001,MATCH(ROWS($AH$2:AH850),$AH$2:$AH$1001,0),1)&gt;=100000,INDEX($AO$1005:$BQ$1005,1,MATCH(COLUMNS($AO$1006:AS1006),$AO$1006:$BQ$1006,0))&gt;=100000), " ",IF(INDEX($AO$2:$BQ$1001,MATCH(ROWS($AH$2:AH850),$AH$2:$AH$1001,0),MATCH(COLUMNS($AO$1006:AS1006),$AO$1006:$BQ$1006,0)), HYPERLINK("#",""), HYPERLINK(CONCATENATE("#Metadata!", ADDRESS(INDEX($AJ$2:$AJ$1001,MATCH(ROWS($AH$2:AH850),$AH$2:$AH$1001,0),0), INDEX($AO$1004:$BQ$1004,1,MATCH(COLUMNS($AO$1006:AS1006),$AO$1006:$BQ$1006,0)))),"Fix")))</f>
        <v>#N/A</v>
      </c>
      <c r="G850" s="5" t="e">
        <f ca="1">IF(OR(INDEX($AI$2:$AI$1001,MATCH(ROWS($AH$2:AH850),$AH$2:$AH$1001,0),1)&gt;=100000,INDEX($AO$1005:$BQ$1005,1,MATCH(COLUMNS($AO$1006:AT1006),$AO$1006:$BQ$1006,0))&gt;=100000), " ",IF(INDEX($AO$2:$BQ$1001,MATCH(ROWS($AH$2:AH850),$AH$2:$AH$1001,0),MATCH(COLUMNS($AO$1006:AT1006),$AO$1006:$BQ$1006,0)), HYPERLINK("#",""), HYPERLINK(CONCATENATE("#Metadata!", ADDRESS(INDEX($AJ$2:$AJ$1001,MATCH(ROWS($AH$2:AH850),$AH$2:$AH$1001,0),0), INDEX($AO$1004:$BQ$1004,1,MATCH(COLUMNS($AO$1006:AT1006),$AO$1006:$BQ$1006,0)))),"Fix")))</f>
        <v>#N/A</v>
      </c>
      <c r="H850" s="5" t="e">
        <f ca="1">IF(OR(INDEX($AI$2:$AI$1001,MATCH(ROWS($AH$2:AH850),$AH$2:$AH$1001,0),1)&gt;=100000,INDEX($AO$1005:$BQ$1005,1,MATCH(COLUMNS($AO$1006:AU1006),$AO$1006:$BQ$1006,0))&gt;=100000), " ",IF(INDEX($AO$2:$BQ$1001,MATCH(ROWS($AH$2:AH850),$AH$2:$AH$1001,0),MATCH(COLUMNS($AO$1006:AU1006),$AO$1006:$BQ$1006,0)), HYPERLINK("#",""), HYPERLINK(CONCATENATE("#Metadata!", ADDRESS(INDEX($AJ$2:$AJ$1001,MATCH(ROWS($AH$2:AH850),$AH$2:$AH$1001,0),0), INDEX($AO$1004:$BQ$1004,1,MATCH(COLUMNS($AO$1006:AU1006),$AO$1006:$BQ$1006,0)))),"Fix")))</f>
        <v>#N/A</v>
      </c>
      <c r="I850" s="5" t="e">
        <f ca="1">IF(OR(INDEX($AI$2:$AI$1001,MATCH(ROWS($AH$2:AH850),$AH$2:$AH$1001,0),1)&gt;=100000,INDEX($AO$1005:$BQ$1005,1,MATCH(COLUMNS($AO$1006:AV1006),$AO$1006:$BQ$1006,0))&gt;=100000), " ",IF(INDEX($AO$2:$BQ$1001,MATCH(ROWS($AH$2:AH850),$AH$2:$AH$1001,0),MATCH(COLUMNS($AO$1006:AV1006),$AO$1006:$BQ$1006,0)), HYPERLINK("#",""), HYPERLINK(CONCATENATE("#Metadata!", ADDRESS(INDEX($AJ$2:$AJ$1001,MATCH(ROWS($AH$2:AH850),$AH$2:$AH$1001,0),0), INDEX($AO$1004:$BQ$1004,1,MATCH(COLUMNS($AO$1006:AV1006),$AO$1006:$BQ$1006,0)))),"Fix")))</f>
        <v>#N/A</v>
      </c>
      <c r="J850" s="5" t="e">
        <f ca="1">IF(OR(INDEX($AI$2:$AI$1001,MATCH(ROWS($AH$2:AH850),$AH$2:$AH$1001,0),1)&gt;=100000,INDEX($AO$1005:$BQ$1005,1,MATCH(COLUMNS($AO$1006:AW1006),$AO$1006:$BQ$1006,0))&gt;=100000), " ",IF(INDEX($AO$2:$BQ$1001,MATCH(ROWS($AH$2:AH850),$AH$2:$AH$1001,0),MATCH(COLUMNS($AO$1006:AW1006),$AO$1006:$BQ$1006,0)), HYPERLINK("#",""), HYPERLINK(CONCATENATE("#Metadata!", ADDRESS(INDEX($AJ$2:$AJ$1001,MATCH(ROWS($AH$2:AH850),$AH$2:$AH$1001,0),0), INDEX($AO$1004:$BQ$1004,1,MATCH(COLUMNS($AO$1006:AW1006),$AO$1006:$BQ$1006,0)))),"Fix")))</f>
        <v>#N/A</v>
      </c>
      <c r="K850" s="5" t="e">
        <f ca="1">IF(OR(INDEX($AI$2:$AI$1001,MATCH(ROWS($AH$2:AH850),$AH$2:$AH$1001,0),1)&gt;=100000,INDEX($AO$1005:$BQ$1005,1,MATCH(COLUMNS($AO$1006:AX1006),$AO$1006:$BQ$1006,0))&gt;=100000), " ",IF(INDEX($AO$2:$BQ$1001,MATCH(ROWS($AH$2:AH850),$AH$2:$AH$1001,0),MATCH(COLUMNS($AO$1006:AX1006),$AO$1006:$BQ$1006,0)), HYPERLINK("#",""), HYPERLINK(CONCATENATE("#Metadata!", ADDRESS(INDEX($AJ$2:$AJ$1001,MATCH(ROWS($AH$2:AH850),$AH$2:$AH$1001,0),0), INDEX($AO$1004:$BQ$1004,1,MATCH(COLUMNS($AO$1006:AX1006),$AO$1006:$BQ$1006,0)))),"Fix")))</f>
        <v>#N/A</v>
      </c>
      <c r="L850" s="5" t="e">
        <f ca="1">IF(OR(INDEX($AI$2:$AI$1001,MATCH(ROWS($AH$2:AH850),$AH$2:$AH$1001,0),1)&gt;=100000,INDEX($AO$1005:$BQ$1005,1,MATCH(COLUMNS($AO$1006:AY1006),$AO$1006:$BQ$1006,0))&gt;=100000), " ",IF(INDEX($AO$2:$BQ$1001,MATCH(ROWS($AH$2:AH850),$AH$2:$AH$1001,0),MATCH(COLUMNS($AO$1006:AY1006),$AO$1006:$BQ$1006,0)), HYPERLINK("#",""), HYPERLINK(CONCATENATE("#Metadata!", ADDRESS(INDEX($AJ$2:$AJ$1001,MATCH(ROWS($AH$2:AH850),$AH$2:$AH$1001,0),0), INDEX($AO$1004:$BQ$1004,1,MATCH(COLUMNS($AO$1006:AY1006),$AO$1006:$BQ$1006,0)))),"Fix")))</f>
        <v>#N/A</v>
      </c>
      <c r="M850" s="5" t="e">
        <f ca="1">IF(OR(INDEX($AI$2:$AI$1001,MATCH(ROWS($AH$2:AH850),$AH$2:$AH$1001,0),1)&gt;=100000,INDEX($AO$1005:$BQ$1005,1,MATCH(COLUMNS($AO$1006:AZ1006),$AO$1006:$BQ$1006,0))&gt;=100000), " ",IF(INDEX($AO$2:$BQ$1001,MATCH(ROWS($AH$2:AH850),$AH$2:$AH$1001,0),MATCH(COLUMNS($AO$1006:AZ1006),$AO$1006:$BQ$1006,0)), HYPERLINK("#",""), HYPERLINK(CONCATENATE("#Metadata!", ADDRESS(INDEX($AJ$2:$AJ$1001,MATCH(ROWS($AH$2:AH850),$AH$2:$AH$1001,0),0), INDEX($AO$1004:$BQ$1004,1,MATCH(COLUMNS($AO$1006:AZ1006),$AO$1006:$BQ$1006,0)))),"Fix")))</f>
        <v>#N/A</v>
      </c>
      <c r="N850" s="5" t="e">
        <f ca="1">IF(OR(INDEX($AI$2:$AI$1001,MATCH(ROWS($AH$2:AH850),$AH$2:$AH$1001,0),1)&gt;=100000,INDEX($AO$1005:$BQ$1005,1,MATCH(COLUMNS($AO$1006:BA1006),$AO$1006:$BQ$1006,0))&gt;=100000), " ",IF(INDEX($AO$2:$BQ$1001,MATCH(ROWS($AH$2:AH850),$AH$2:$AH$1001,0),MATCH(COLUMNS($AO$1006:BA1006),$AO$1006:$BQ$1006,0)), HYPERLINK("#",""), HYPERLINK(CONCATENATE("#Metadata!", ADDRESS(INDEX($AJ$2:$AJ$1001,MATCH(ROWS($AH$2:AH850),$AH$2:$AH$1001,0),0), INDEX($AO$1004:$BQ$1004,1,MATCH(COLUMNS($AO$1006:BA1006),$AO$1006:$BQ$1006,0)))),"Fix")))</f>
        <v>#N/A</v>
      </c>
      <c r="O850" s="5" t="e">
        <f ca="1">IF(OR(INDEX($AI$2:$AI$1001,MATCH(ROWS($AH$2:AH850),$AH$2:$AH$1001,0),1)&gt;=100000,INDEX($AO$1005:$BQ$1005,1,MATCH(COLUMNS($AO$1006:BB1006),$AO$1006:$BQ$1006,0))&gt;=100000), " ",IF(INDEX($AO$2:$BQ$1001,MATCH(ROWS($AH$2:AH850),$AH$2:$AH$1001,0),MATCH(COLUMNS($AO$1006:BB1006),$AO$1006:$BQ$1006,0)), HYPERLINK("#",""), HYPERLINK(CONCATENATE("#Metadata!", ADDRESS(INDEX($AJ$2:$AJ$1001,MATCH(ROWS($AH$2:AH850),$AH$2:$AH$1001,0),0), INDEX($AO$1004:$BQ$1004,1,MATCH(COLUMNS($AO$1006:BB1006),$AO$1006:$BQ$1006,0)))),"Fix")))</f>
        <v>#N/A</v>
      </c>
      <c r="P850" s="5" t="e">
        <f ca="1">IF(OR(INDEX($AI$2:$AI$1001,MATCH(ROWS($AH$2:AH850),$AH$2:$AH$1001,0),1)&gt;=100000,INDEX($AO$1005:$BQ$1005,1,MATCH(COLUMNS($AO$1006:BC1006),$AO$1006:$BQ$1006,0))&gt;=100000), " ",IF(INDEX($AO$2:$BQ$1001,MATCH(ROWS($AH$2:AH850),$AH$2:$AH$1001,0),MATCH(COLUMNS($AO$1006:BC1006),$AO$1006:$BQ$1006,0)), HYPERLINK("#",""), HYPERLINK(CONCATENATE("#Metadata!", ADDRESS(INDEX($AJ$2:$AJ$1001,MATCH(ROWS($AH$2:AH850),$AH$2:$AH$1001,0),0), INDEX($AO$1004:$BQ$1004,1,MATCH(COLUMNS($AO$1006:BC1006),$AO$1006:$BQ$1006,0)))),"Fix")))</f>
        <v>#N/A</v>
      </c>
      <c r="Q850" s="5" t="e">
        <f ca="1">IF(OR(INDEX($AI$2:$AI$1001,MATCH(ROWS($AH$2:AH850),$AH$2:$AH$1001,0),1)&gt;=100000,INDEX($AO$1005:$BQ$1005,1,MATCH(COLUMNS($AO$1006:BD1006),$AO$1006:$BQ$1006,0))&gt;=100000), " ",IF(INDEX($AO$2:$BQ$1001,MATCH(ROWS($AH$2:AH850),$AH$2:$AH$1001,0),MATCH(COLUMNS($AO$1006:BD1006),$AO$1006:$BQ$1006,0)), HYPERLINK("#",""), HYPERLINK(CONCATENATE("#Metadata!", ADDRESS(INDEX($AJ$2:$AJ$1001,MATCH(ROWS($AH$2:AH850),$AH$2:$AH$1001,0),0), INDEX($AO$1004:$BQ$1004,1,MATCH(COLUMNS($AO$1006:BD1006),$AO$1006:$BQ$1006,0)))),"Fix")))</f>
        <v>#N/A</v>
      </c>
      <c r="R850" s="5" t="e">
        <f ca="1">IF(OR(INDEX($AI$2:$AI$1001,MATCH(ROWS($AH$2:AH850),$AH$2:$AH$1001,0),1)&gt;=100000,INDEX($AO$1005:$BQ$1005,1,MATCH(COLUMNS($AO$1006:BE1006),$AO$1006:$BQ$1006,0))&gt;=100000), " ",IF(INDEX($AO$2:$BQ$1001,MATCH(ROWS($AH$2:AH850),$AH$2:$AH$1001,0),MATCH(COLUMNS($AO$1006:BE1006),$AO$1006:$BQ$1006,0)), HYPERLINK("#",""), HYPERLINK(CONCATENATE("#Metadata!", ADDRESS(INDEX($AJ$2:$AJ$1001,MATCH(ROWS($AH$2:AH850),$AH$2:$AH$1001,0),0), INDEX($AO$1004:$BQ$1004,1,MATCH(COLUMNS($AO$1006:BE1006),$AO$1006:$BQ$1006,0)))),"Fix")))</f>
        <v>#N/A</v>
      </c>
      <c r="S850" s="5" t="e">
        <f ca="1">IF(OR(INDEX($AI$2:$AI$1001,MATCH(ROWS($AH$2:AH850),$AH$2:$AH$1001,0),1)&gt;=100000,INDEX($AO$1005:$BQ$1005,1,MATCH(COLUMNS($AO$1006:BF1006),$AO$1006:$BQ$1006,0))&gt;=100000), " ",IF(INDEX($AO$2:$BQ$1001,MATCH(ROWS($AH$2:AH850),$AH$2:$AH$1001,0),MATCH(COLUMNS($AO$1006:BF1006),$AO$1006:$BQ$1006,0)), HYPERLINK("#",""), HYPERLINK(CONCATENATE("#Metadata!", ADDRESS(INDEX($AJ$2:$AJ$1001,MATCH(ROWS($AH$2:AH850),$AH$2:$AH$1001,0),0), INDEX($AO$1004:$BQ$1004,1,MATCH(COLUMNS($AO$1006:BF1006),$AO$1006:$BQ$1006,0)))),"Fix")))</f>
        <v>#N/A</v>
      </c>
      <c r="T850" s="5" t="e">
        <f ca="1">IF(OR(INDEX($AI$2:$AI$1001,MATCH(ROWS($AH$2:AH850),$AH$2:$AH$1001,0),1)&gt;=100000,INDEX($AO$1005:$BQ$1005,1,MATCH(COLUMNS($AO$1006:BG1006),$AO$1006:$BQ$1006,0))&gt;=100000), " ",IF(INDEX($AO$2:$BQ$1001,MATCH(ROWS($AH$2:AH850),$AH$2:$AH$1001,0),MATCH(COLUMNS($AO$1006:BG1006),$AO$1006:$BQ$1006,0)), HYPERLINK("#",""), HYPERLINK(CONCATENATE("#Metadata!", ADDRESS(INDEX($AJ$2:$AJ$1001,MATCH(ROWS($AH$2:AH850),$AH$2:$AH$1001,0),0), INDEX($AO$1004:$BQ$1004,1,MATCH(COLUMNS($AO$1006:BG1006),$AO$1006:$BQ$1006,0)))),"Fix")))</f>
        <v>#N/A</v>
      </c>
      <c r="U850" s="5" t="e">
        <f ca="1">IF(OR(INDEX($AI$2:$AI$1001,MATCH(ROWS($AH$2:AH850),$AH$2:$AH$1001,0),1)&gt;=100000,INDEX($AO$1005:$BQ$1005,1,MATCH(COLUMNS($AO$1006:BH1006),$AO$1006:$BQ$1006,0))&gt;=100000), " ",IF(INDEX($AO$2:$BQ$1001,MATCH(ROWS($AH$2:AH850),$AH$2:$AH$1001,0),MATCH(COLUMNS($AO$1006:BH1006),$AO$1006:$BQ$1006,0)), HYPERLINK("#",""), HYPERLINK(CONCATENATE("#Metadata!", ADDRESS(INDEX($AJ$2:$AJ$1001,MATCH(ROWS($AH$2:AH850),$AH$2:$AH$1001,0),0), INDEX($AO$1004:$BQ$1004,1,MATCH(COLUMNS($AO$1006:BH1006),$AO$1006:$BQ$1006,0)))),"Fix")))</f>
        <v>#N/A</v>
      </c>
      <c r="V850" s="5" t="e">
        <f ca="1">IF(OR(INDEX($AI$2:$AI$1001,MATCH(ROWS($AH$2:AH850),$AH$2:$AH$1001,0),1)&gt;=100000,INDEX($AO$1005:$BQ$1005,1,MATCH(COLUMNS($AO$1006:BI1006),$AO$1006:$BQ$1006,0))&gt;=100000), " ",IF(INDEX($AO$2:$BQ$1001,MATCH(ROWS($AH$2:AH850),$AH$2:$AH$1001,0),MATCH(COLUMNS($AO$1006:BI1006),$AO$1006:$BQ$1006,0)), HYPERLINK("#",""), HYPERLINK(CONCATENATE("#Metadata!", ADDRESS(INDEX($AJ$2:$AJ$1001,MATCH(ROWS($AH$2:AH850),$AH$2:$AH$1001,0),0), INDEX($AO$1004:$BQ$1004,1,MATCH(COLUMNS($AO$1006:BI1006),$AO$1006:$BQ$1006,0)))),"Fix")))</f>
        <v>#N/A</v>
      </c>
      <c r="W850" s="5" t="e">
        <f ca="1">IF(OR(INDEX($AI$2:$AI$1001,MATCH(ROWS($AH$2:AH850),$AH$2:$AH$1001,0),1)&gt;=100000,INDEX($AO$1005:$BQ$1005,1,MATCH(COLUMNS($AO$1006:BJ1006),$AO$1006:$BQ$1006,0))&gt;=100000), " ",IF(INDEX($AO$2:$BQ$1001,MATCH(ROWS($AH$2:AH850),$AH$2:$AH$1001,0),MATCH(COLUMNS($AO$1006:BJ1006),$AO$1006:$BQ$1006,0)), HYPERLINK("#",""), HYPERLINK(CONCATENATE("#Metadata!", ADDRESS(INDEX($AJ$2:$AJ$1001,MATCH(ROWS($AH$2:AH850),$AH$2:$AH$1001,0),0), INDEX($AO$1004:$BQ$1004,1,MATCH(COLUMNS($AO$1006:BJ1006),$AO$1006:$BQ$1006,0)))),"Fix")))</f>
        <v>#N/A</v>
      </c>
      <c r="X850" s="5" t="e">
        <f ca="1">IF(OR(INDEX($AI$2:$AI$1001,MATCH(ROWS($AH$2:AH850),$AH$2:$AH$1001,0),1)&gt;=100000,INDEX($AO$1005:$BQ$1005,1,MATCH(COLUMNS($AO$1006:BK1006),$AO$1006:$BQ$1006,0))&gt;=100000), " ",IF(INDEX($AO$2:$BQ$1001,MATCH(ROWS($AH$2:AH850),$AH$2:$AH$1001,0),MATCH(COLUMNS($AO$1006:BK1006),$AO$1006:$BQ$1006,0)), HYPERLINK("#",""), HYPERLINK(CONCATENATE("#Metadata!", ADDRESS(INDEX($AJ$2:$AJ$1001,MATCH(ROWS($AH$2:AH850),$AH$2:$AH$1001,0),0), INDEX($AO$1004:$BQ$1004,1,MATCH(COLUMNS($AO$1006:BK1006),$AO$1006:$BQ$1006,0)))),"Fix")))</f>
        <v>#N/A</v>
      </c>
      <c r="Y850" s="5" t="e">
        <f ca="1">IF(OR(INDEX($AI$2:$AI$1001,MATCH(ROWS($AH$2:AH850),$AH$2:$AH$1001,0),1)&gt;=100000,INDEX($AO$1005:$BQ$1005,1,MATCH(COLUMNS($AO$1006:BL1006),$AO$1006:$BQ$1006,0))&gt;=100000), " ",IF(INDEX($AO$2:$BQ$1001,MATCH(ROWS($AH$2:AH850),$AH$2:$AH$1001,0),MATCH(COLUMNS($AO$1006:BL1006),$AO$1006:$BQ$1006,0)), HYPERLINK("#",""), HYPERLINK(CONCATENATE("#Metadata!", ADDRESS(INDEX($AJ$2:$AJ$1001,MATCH(ROWS($AH$2:AH850),$AH$2:$AH$1001,0),0), INDEX($AO$1004:$BQ$1004,1,MATCH(COLUMNS($AO$1006:BL1006),$AO$1006:$BQ$1006,0)))),"Fix")))</f>
        <v>#N/A</v>
      </c>
      <c r="Z850" s="5" t="e">
        <f ca="1">IF(OR(INDEX($AI$2:$AI$1001,MATCH(ROWS($AH$2:AH850),$AH$2:$AH$1001,0),1)&gt;=100000,INDEX($AO$1005:$BQ$1005,1,MATCH(COLUMNS($AO$1006:BM1006),$AO$1006:$BQ$1006,0))&gt;=100000), " ",IF(INDEX($AO$2:$BQ$1001,MATCH(ROWS($AH$2:AH850),$AH$2:$AH$1001,0),MATCH(COLUMNS($AO$1006:BM1006),$AO$1006:$BQ$1006,0)), HYPERLINK("#",""), HYPERLINK(CONCATENATE("#Metadata!", ADDRESS(INDEX($AJ$2:$AJ$1001,MATCH(ROWS($AH$2:AH850),$AH$2:$AH$1001,0),0), INDEX($AO$1004:$BQ$1004,1,MATCH(COLUMNS($AO$1006:BM1006),$AO$1006:$BQ$1006,0)))),"Fix")))</f>
        <v>#N/A</v>
      </c>
      <c r="AA850" s="5" t="e">
        <f ca="1">IF(OR(INDEX($AI$2:$AI$1001,MATCH(ROWS($AH$2:AH850),$AH$2:$AH$1001,0),1)&gt;=100000,INDEX($AO$1005:$BQ$1005,1,MATCH(COLUMNS($AO$1006:BN1006),$AO$1006:$BQ$1006,0))&gt;=100000), " ",IF(INDEX($AO$2:$BQ$1001,MATCH(ROWS($AH$2:AH850),$AH$2:$AH$1001,0),MATCH(COLUMNS($AO$1006:BN1006),$AO$1006:$BQ$1006,0)), HYPERLINK("#",""), HYPERLINK(CONCATENATE("#Metadata!", ADDRESS(INDEX($AJ$2:$AJ$1001,MATCH(ROWS($AH$2:AH850),$AH$2:$AH$1001,0),0), INDEX($AO$1004:$BQ$1004,1,MATCH(COLUMNS($AO$1006:BN1006),$AO$1006:$BQ$1006,0)))),"Fix")))</f>
        <v>#N/A</v>
      </c>
      <c r="AB850" s="5" t="e">
        <f ca="1">IF(OR(INDEX($AI$2:$AI$1001,MATCH(ROWS($AH$2:AH850),$AH$2:$AH$1001,0),1)&gt;=100000,INDEX($AO$1005:$BQ$1005,1,MATCH(COLUMNS($AO$1006:BO1006),$AO$1006:$BQ$1006,0))&gt;=100000), " ",IF(INDEX($AO$2:$BQ$1001,MATCH(ROWS($AH$2:AH850),$AH$2:$AH$1001,0),MATCH(COLUMNS($AO$1006:BO1006),$AO$1006:$BQ$1006,0)), HYPERLINK("#",""), HYPERLINK(CONCATENATE("#Metadata!", ADDRESS(INDEX($AJ$2:$AJ$1001,MATCH(ROWS($AH$2:AH850),$AH$2:$AH$1001,0),0), INDEX($AO$1004:$BQ$1004,1,MATCH(COLUMNS($AO$1006:BO1006),$AO$1006:$BQ$1006,0)))),"Fix")))</f>
        <v>#N/A</v>
      </c>
      <c r="AC850" s="5" t="e">
        <f ca="1">IF(OR(INDEX($AI$2:$AI$1001,MATCH(ROWS($AH$2:AH850),$AH$2:$AH$1001,0),1)&gt;=100000,INDEX($AO$1005:$BQ$1005,1,MATCH(COLUMNS($AO$1006:BP1006),$AO$1006:$BQ$1006,0))&gt;=100000), " ",IF(INDEX($AO$2:$BQ$1001,MATCH(ROWS($AH$2:AH850),$AH$2:$AH$1001,0),MATCH(COLUMNS($AO$1006:BP1006),$AO$1006:$BQ$1006,0)), HYPERLINK("#",""), HYPERLINK(CONCATENATE("#Metadata!", ADDRESS(INDEX($AJ$2:$AJ$1001,MATCH(ROWS($AH$2:AH850),$AH$2:$AH$1001,0),0), INDEX($AO$1004:$BQ$1004,1,MATCH(COLUMNS($AO$1006:BP1006),$AO$1006:$BQ$1006,0)))),"Fix")))</f>
        <v>#N/A</v>
      </c>
      <c r="AD850" s="5" t="e">
        <f ca="1">IF(OR(INDEX($AI$2:$AI$1001,MATCH(ROWS($AH$2:AH850),$AH$2:$AH$1001,0),1)&gt;=100000,INDEX($AO$1005:$BQ$1005,1,MATCH(COLUMNS($AO$1006:BQ1006),$AO$1006:$BQ$1006,0))&gt;=100000), " ",IF(INDEX($AO$2:$BQ$1001,MATCH(ROWS($AH$2:AH850),$AH$2:$AH$1001,0),MATCH(COLUMNS($AO$1006:BQ1006),$AO$1006:$BQ$1006,0)), HYPERLINK("#",""), HYPERLINK(CONCATENATE("#Metadata!", ADDRESS(INDEX($AJ$2:$AJ$1001,MATCH(ROWS($AH$2:AH850),$AH$2:$AH$1001,0),0), INDEX($AO$1004:$BQ$1004,1,MATCH(COLUMNS($AO$1006:BQ1006),$AO$1006:$BQ$1006,0)))),"Fix")))</f>
        <v>#REF!</v>
      </c>
      <c r="AH850">
        <f ca="1"/>
        <v>847</v>
      </c>
      <c r="AI850">
        <v>100850</v>
      </c>
      <c r="AJ850">
        <v>850</v>
      </c>
      <c r="AK850" t="b">
        <f t="shared" si="13"/>
        <v>1</v>
      </c>
      <c r="AL850" t="b">
        <f>COUNTBLANK(Metadata!B850:AD850)=COLUMNS(Metadata!B850:AD850)</f>
        <v>1</v>
      </c>
      <c r="AM850" t="str">
        <v/>
      </c>
      <c r="AO850" t="b">
        <f ca="1">AND(IF(Metadata!B850="",FALSE,TRUE),COUNTIF(Metadata!B:B, Metadata!B850) = 1,NOT(ISERROR(SUMPRODUCT(SEARCH(MID(Metadata!B850,ROW(INDIRECT("1:"&amp;LEN(Metadata!B850))), 1),"0123456789abcdefghijklmnopqrstuvwxyzABCDEFGHIJKLMNOPQRSTUVWXYZ.")))))</f>
        <v>0</v>
      </c>
      <c r="AP850" t="b">
        <f>IF(Metadata!C850="",FALSE,TRUE)</f>
        <v>0</v>
      </c>
      <c r="AQ850" t="b">
        <f>IF(Metadata!D850="",FALSE,TRUE)</f>
        <v>0</v>
      </c>
      <c r="AR850" t="b">
        <f ca="1">OR(AND(IF(Metadata!E850="",FALSE,TRUE),OR(EXACT(Metadata!E850,"not collected"),EXACT(Metadata!E850,"not provided"),EXACT(Metadata!E850,"restricted access"))),AND(IF(Metadata!E850="",FALSE,TRUE),AND(AND(IFERROR(INT(LEFT(Metadata!E850,4))&gt;1900,FALSE),IFERROR(INT(LEFT(Metadata!E850,4))&lt;=YEAR(NOW()),FALSE)), OR(MID(Metadata!E850,5,1)="", AND(AND(MID(Metadata!E850,5,1)="-",IFERROR(INT(MID(Metadata!E850,6,1))&gt;=0,FALSE),IFERROR(INT(MID(Metadata!E850,6,1))&lt;=1,FALSE),NOT(MID(Metadata!E850,7,1)=""),IFERROR(INT(MID(Metadata!E850,6,2))&gt;=1,FALSE),IFERROR(INT(MID(Metadata!E850,6,2))&lt;=12,FALSE)), OR(MID(Metadata!E850,8,1)="", AND(AND(MID(Metadata!E850,8,1)="-",IFERROR(INT(MID(Metadata!E850,9,1))&gt;=0,FALSE),IFERROR(INT(MID(Metadata!E850,9,1))&lt;=3,FALSE),NOT(MID(Metadata!E850,10,1)=""),IFERROR(INT(MID(Metadata!E850,9,2))&gt;=1,FALSE),IFERROR(INT(MID(Metadata!E850,9,2))&lt;=31,FALSE)), OR(MID(Metadata!E850,11,1)="", AND(AND(MID(Metadata!E850,11,1)=" ",IFERROR(INT(MID(Metadata!E850,12,1))&gt;=0,FALSE),IFERROR(INT(MID(Metadata!E850,12,1))&lt;=2,FALSE),NOT(MID(Metadata!E850,13,1)=""),IFERROR(INT(MID(Metadata!E850,12,2))&gt;=0,FALSE),IFERROR(INT(MID(Metadata!E850,12,2))&lt;=23,FALSE)), OR(MID(Metadata!E850,14,1)="", AND(AND(MID(Metadata!E850,14,1)=":",IFERROR(INT(MID(Metadata!E850,15,1))&gt;=0,FALSE),IFERROR(INT(MID(Metadata!E850,15,1))&lt;=5,FALSE),NOT(MID(Metadata!E850,16,1)=""),IFERROR(INT(MID(Metadata!E850,15,2))&gt;=0,FALSE),IFERROR(INT(MID(Metadata!E850,15,2))&lt;=59,FALSE)), OR(MID(Metadata!E850,17,1)="", AND(AND(MID(Metadata!E850,17,1)=":",IFERROR(INT(MID(Metadata!E850,18,1))&gt;=0,FALSE),IFERROR(INT(MID(Metadata!E850,18,1))&lt;=5,FALSE),NOT(MID(Metadata!E850,19,1)=""),IFERROR(INT(MID(Metadata!E850,18,2))&gt;=0,FALSE),IFERROR(INT(MID(Metadata!E850,18,2))&lt;=59,FALSE)), LEN(Metadata!E850)&lt;=19)))))))))))))</f>
        <v>0</v>
      </c>
      <c r="AS850" t="b">
        <f>IF(Metadata!F850="",FALSE,TRUE)</f>
        <v>0</v>
      </c>
      <c r="AT850" t="b">
        <f>OR(AND(IF(Metadata!G850="",FALSE,TRUE),OR(EXACT(Metadata!G850,"not collected"),EXACT(Metadata!G850,"not provided"))),AND(IF(Metadata!G850="",FALSE,TRUE),OR(EXACT(Metadata!G850,"TRUE"),EXACT(Metadata!G850,"FALSE"))))</f>
        <v>0</v>
      </c>
      <c r="AU850" t="b">
        <f>OR(AND(IF(Metadata!H850="",FALSE,TRUE),OR(EXACT(Metadata!H850,"not collected"),EXACT(Metadata!H850,"not provided"),EXACT(Metadata!H850,"restricted access"))),AND(IF(Metadata!H850="",FALSE,ISNUMBER(VALUE(Metadata!H850))),Metadata!H850&gt;=-413))</f>
        <v>0</v>
      </c>
      <c r="AV850" t="b">
        <f>AND(IF(Metadata!I850="",FALSE,TRUE),EXACT(Metadata!I850,"meters"))</f>
        <v>0</v>
      </c>
      <c r="AW850" t="b">
        <f>AND(IF(Metadata!J850="",FALSE,TRUE),EXACT(Metadata!J850,"free-living"))</f>
        <v>0</v>
      </c>
      <c r="AX850" t="b">
        <f>AND(IF(Metadata!K850="",FALSE,TRUE),OR(EXACT(Metadata!K850,"saline"),EXACT(Metadata!K850,"non-saline")))</f>
        <v>0</v>
      </c>
      <c r="AY850" t="b">
        <f>AND(IF(Metadata!L850="",FALSE,TRUE),OR(EXACT(Metadata!L850,"sub-surface (non-saline)"),EXACT(Metadata!L850,"surface (non-saline)"),EXACT(Metadata!L850,"water (non-saline)"),EXACT(Metadata!L850,"soil (non-saline)"),EXACT(Metadata!L850,"aerosol (non-saline)"),EXACT(Metadata!L850,"sediment (non-saline)"),EXACT(Metadata!L850,"surface (saline)"),EXACT(Metadata!L850,"water (saline)"),EXACT(Metadata!L850,"hypersaline (saline)"),EXACT(Metadata!L850,"aerosol (saline)"),EXACT(Metadata!L850,"sediment (saline)")))</f>
        <v>0</v>
      </c>
      <c r="AZ850" t="b">
        <f>IF(Metadata!M850="",FALSE,TRUE)</f>
        <v>0</v>
      </c>
      <c r="BA850" t="b">
        <f>IF(Metadata!N850="",FALSE,TRUE)</f>
        <v>0</v>
      </c>
      <c r="BB850" t="b">
        <f>IF(Metadata!O850="",FALSE,TRUE)</f>
        <v>0</v>
      </c>
      <c r="BC850" t="b">
        <f>AND(IF(Metadata!P850="",FALSE,TRUE),OR(EXACT(Metadata!P850,"air"),EXACT(Metadata!P850,"microbial mat/biofilm"),EXACT(Metadata!P850,"misc environment"),EXACT(Metadata!P850,"sediment"),EXACT(Metadata!P850,"soil"),EXACT(Metadata!P850,"wastewater/sludge"),EXACT(Metadata!P850,"water")))</f>
        <v>0</v>
      </c>
      <c r="BD850" t="b">
        <f>IF(Metadata!Q850="",FALSE,TRUE)</f>
        <v>0</v>
      </c>
      <c r="BE850" t="b">
        <f>IF(Metadata!R850="",FALSE,TRUE)</f>
        <v>0</v>
      </c>
      <c r="BF850" t="b">
        <f>OR(AND(IF(Metadata!S850="",FALSE,TRUE),OR(EXACT(Metadata!S850,"not collected"),EXACT(Metadata!S850,"not provided"),EXACT(Metadata!S850,"restricted access"))),AND(IF(Metadata!S850="",FALSE,ISNUMBER(VALUE(Metadata!S850))),Metadata!S850&gt;=-90,Metadata!S850&lt;=90))</f>
        <v>0</v>
      </c>
      <c r="BG850" t="b">
        <f>AND(IF(Metadata!T850="",FALSE,TRUE),EXACT(Metadata!T850,"Decimal degrees"))</f>
        <v>0</v>
      </c>
      <c r="BH850" t="b">
        <f>OR(AND(IF(Metadata!U850="",FALSE,TRUE),OR(EXACT(Metadata!U850,"not applicable"),EXACT(Metadata!U850,"not collected"))),IF(Metadata!U850="",FALSE,TRUE))</f>
        <v>0</v>
      </c>
      <c r="BI850" t="b">
        <f>OR(AND(IF(Metadata!V850="",FALSE,TRUE),OR(EXACT(Metadata!V850,"not collected"),EXACT(Metadata!V850,"not provided"),EXACT(Metadata!V850,"restricted access"))),AND(IF(Metadata!V850="",FALSE,ISNUMBER(VALUE(Metadata!V850))),Metadata!V850&gt;=-180,Metadata!V850&lt;=180))</f>
        <v>0</v>
      </c>
      <c r="BJ850" t="b">
        <f>AND(IF(Metadata!W850="",FALSE,TRUE),EXACT(Metadata!W850,"Decimal degrees"))</f>
        <v>0</v>
      </c>
      <c r="BK850" t="b">
        <f>IF(Metadata!X850="",FALSE,TRUE)</f>
        <v>0</v>
      </c>
      <c r="BL850" t="b">
        <f>OR(AND(IF(Metadata!Y850="",FALSE,TRUE),OR(EXACT(Metadata!Y850,"not collected"),EXACT(Metadata!Y850,"not provided"),EXACT(Metadata!Y850,"restricted access"))),AND(IF(Metadata!Y850="",FALSE,TRUE),OR(EXACT(Metadata!Y850,"TRUE"),EXACT(Metadata!Y850,"FALSE"))))</f>
        <v>0</v>
      </c>
      <c r="BM850" t="b">
        <f>OR(AND(IF(Metadata!Z850="",FALSE,TRUE),EXACT(Metadata!Z850,"not applicable")),AND(IF(Metadata!Z850="",FALSE,TRUE),OR(EXACT(Metadata!Z850,"beer"),EXACT(Metadata!Z850,"cheese"),EXACT(Metadata!Z850,"fresh water"),EXACT(Metadata!Z850,"marine sediment"),EXACT(Metadata!Z850,"sea water"),EXACT(Metadata!Z850,"sediment"),EXACT(Metadata!Z850,"soil"),EXACT(Metadata!Z850,"waste water"))))</f>
        <v>0</v>
      </c>
      <c r="BN850" t="b">
        <f>AND(IF(Metadata!AA850="",FALSE,TRUE),EXACT(Metadata!AA850,"metagenome"))</f>
        <v>0</v>
      </c>
      <c r="BO850" t="b">
        <f>AND(IF(Metadata!AB850="",FALSE,TRUE),EXACT(Metadata!AB850,"256318"))</f>
        <v>0</v>
      </c>
      <c r="BP850" t="b">
        <f>IF(Metadata!AC850="",FALSE,TRUE)</f>
        <v>0</v>
      </c>
      <c r="BQ850" t="b">
        <f>IF(Metadata!AD850="",FALSE,TRUE)</f>
        <v>0</v>
      </c>
    </row>
    <row r="851" spans="1:69" x14ac:dyDescent="0.2">
      <c r="A851" s="4" t="e">
        <f ca="1">IF(B851=" "," ",HYPERLINK(CONCATENATE("#metadata!",ADDRESS(INDEX($AJ$2:$AJ$1001,MATCH(ROWS($AH$2:AH851),$AH$2:$AH$1001,0),0),2)),INDEX($AM$2:$AM$1001,MATCH(ROWS($AH$2:AH851),$AH$2:$AH$1001,0),0)))</f>
        <v>#N/A</v>
      </c>
      <c r="B851" s="5" t="e">
        <f ca="1">IF(OR(INDEX($AI$2:$AI$1001,MATCH(ROWS($AH$2:AH851),$AH$2:$AH$1001,0),1)&gt;=100000,INDEX($AO$1005:$BQ$1005,1,MATCH(COLUMNS($AO$1006:AO1006),$AO$1006:$BQ$1006,0))&gt;=100000), " ",IF(INDEX($AO$2:$BQ$1001,MATCH(ROWS($AH$2:AH851),$AH$2:$AH$1001,0),MATCH(COLUMNS($AO$1006:AO1006),$AO$1006:$BQ$1006,0)), HYPERLINK("#",""), HYPERLINK(CONCATENATE("#Metadata!", ADDRESS(INDEX($AJ$2:$AJ$1001,MATCH(ROWS($AH$2:AH851),$AH$2:$AH$1001,0),0), INDEX($AO$1004:$BQ$1004,1,MATCH(COLUMNS($AO$1006:AO1006),$AO$1006:$BQ$1006,0)))),"Fix")))</f>
        <v>#N/A</v>
      </c>
      <c r="C851" s="5" t="e">
        <f ca="1">IF(OR(INDEX($AI$2:$AI$1001,MATCH(ROWS($AH$2:AH851),$AH$2:$AH$1001,0),1)&gt;=100000,INDEX($AO$1005:$BQ$1005,1,MATCH(COLUMNS($AO$1006:AP1006),$AO$1006:$BQ$1006,0))&gt;=100000), " ",IF(INDEX($AO$2:$BQ$1001,MATCH(ROWS($AH$2:AH851),$AH$2:$AH$1001,0),MATCH(COLUMNS($AO$1006:AP1006),$AO$1006:$BQ$1006,0)), HYPERLINK("#",""), HYPERLINK(CONCATENATE("#Metadata!", ADDRESS(INDEX($AJ$2:$AJ$1001,MATCH(ROWS($AH$2:AH851),$AH$2:$AH$1001,0),0), INDEX($AO$1004:$BQ$1004,1,MATCH(COLUMNS($AO$1006:AP1006),$AO$1006:$BQ$1006,0)))),"Fix")))</f>
        <v>#N/A</v>
      </c>
      <c r="D851" s="5" t="e">
        <f ca="1">IF(OR(INDEX($AI$2:$AI$1001,MATCH(ROWS($AH$2:AH851),$AH$2:$AH$1001,0),1)&gt;=100000,INDEX($AO$1005:$BQ$1005,1,MATCH(COLUMNS($AO$1006:AQ1006),$AO$1006:$BQ$1006,0))&gt;=100000), " ",IF(INDEX($AO$2:$BQ$1001,MATCH(ROWS($AH$2:AH851),$AH$2:$AH$1001,0),MATCH(COLUMNS($AO$1006:AQ1006),$AO$1006:$BQ$1006,0)), HYPERLINK("#",""), HYPERLINK(CONCATENATE("#Metadata!", ADDRESS(INDEX($AJ$2:$AJ$1001,MATCH(ROWS($AH$2:AH851),$AH$2:$AH$1001,0),0), INDEX($AO$1004:$BQ$1004,1,MATCH(COLUMNS($AO$1006:AQ1006),$AO$1006:$BQ$1006,0)))),"Fix")))</f>
        <v>#N/A</v>
      </c>
      <c r="E851" s="5" t="e">
        <f ca="1">IF(OR(INDEX($AI$2:$AI$1001,MATCH(ROWS($AH$2:AH851),$AH$2:$AH$1001,0),1)&gt;=100000,INDEX($AO$1005:$BQ$1005,1,MATCH(COLUMNS($AO$1006:AR1006),$AO$1006:$BQ$1006,0))&gt;=100000), " ",IF(INDEX($AO$2:$BQ$1001,MATCH(ROWS($AH$2:AH851),$AH$2:$AH$1001,0),MATCH(COLUMNS($AO$1006:AR1006),$AO$1006:$BQ$1006,0)), HYPERLINK("#",""), HYPERLINK(CONCATENATE("#Metadata!", ADDRESS(INDEX($AJ$2:$AJ$1001,MATCH(ROWS($AH$2:AH851),$AH$2:$AH$1001,0),0), INDEX($AO$1004:$BQ$1004,1,MATCH(COLUMNS($AO$1006:AR1006),$AO$1006:$BQ$1006,0)))),"Fix")))</f>
        <v>#N/A</v>
      </c>
      <c r="F851" s="5" t="e">
        <f ca="1">IF(OR(INDEX($AI$2:$AI$1001,MATCH(ROWS($AH$2:AH851),$AH$2:$AH$1001,0),1)&gt;=100000,INDEX($AO$1005:$BQ$1005,1,MATCH(COLUMNS($AO$1006:AS1006),$AO$1006:$BQ$1006,0))&gt;=100000), " ",IF(INDEX($AO$2:$BQ$1001,MATCH(ROWS($AH$2:AH851),$AH$2:$AH$1001,0),MATCH(COLUMNS($AO$1006:AS1006),$AO$1006:$BQ$1006,0)), HYPERLINK("#",""), HYPERLINK(CONCATENATE("#Metadata!", ADDRESS(INDEX($AJ$2:$AJ$1001,MATCH(ROWS($AH$2:AH851),$AH$2:$AH$1001,0),0), INDEX($AO$1004:$BQ$1004,1,MATCH(COLUMNS($AO$1006:AS1006),$AO$1006:$BQ$1006,0)))),"Fix")))</f>
        <v>#N/A</v>
      </c>
      <c r="G851" s="5" t="e">
        <f ca="1">IF(OR(INDEX($AI$2:$AI$1001,MATCH(ROWS($AH$2:AH851),$AH$2:$AH$1001,0),1)&gt;=100000,INDEX($AO$1005:$BQ$1005,1,MATCH(COLUMNS($AO$1006:AT1006),$AO$1006:$BQ$1006,0))&gt;=100000), " ",IF(INDEX($AO$2:$BQ$1001,MATCH(ROWS($AH$2:AH851),$AH$2:$AH$1001,0),MATCH(COLUMNS($AO$1006:AT1006),$AO$1006:$BQ$1006,0)), HYPERLINK("#",""), HYPERLINK(CONCATENATE("#Metadata!", ADDRESS(INDEX($AJ$2:$AJ$1001,MATCH(ROWS($AH$2:AH851),$AH$2:$AH$1001,0),0), INDEX($AO$1004:$BQ$1004,1,MATCH(COLUMNS($AO$1006:AT1006),$AO$1006:$BQ$1006,0)))),"Fix")))</f>
        <v>#N/A</v>
      </c>
      <c r="H851" s="5" t="e">
        <f ca="1">IF(OR(INDEX($AI$2:$AI$1001,MATCH(ROWS($AH$2:AH851),$AH$2:$AH$1001,0),1)&gt;=100000,INDEX($AO$1005:$BQ$1005,1,MATCH(COLUMNS($AO$1006:AU1006),$AO$1006:$BQ$1006,0))&gt;=100000), " ",IF(INDEX($AO$2:$BQ$1001,MATCH(ROWS($AH$2:AH851),$AH$2:$AH$1001,0),MATCH(COLUMNS($AO$1006:AU1006),$AO$1006:$BQ$1006,0)), HYPERLINK("#",""), HYPERLINK(CONCATENATE("#Metadata!", ADDRESS(INDEX($AJ$2:$AJ$1001,MATCH(ROWS($AH$2:AH851),$AH$2:$AH$1001,0),0), INDEX($AO$1004:$BQ$1004,1,MATCH(COLUMNS($AO$1006:AU1006),$AO$1006:$BQ$1006,0)))),"Fix")))</f>
        <v>#N/A</v>
      </c>
      <c r="I851" s="5" t="e">
        <f ca="1">IF(OR(INDEX($AI$2:$AI$1001,MATCH(ROWS($AH$2:AH851),$AH$2:$AH$1001,0),1)&gt;=100000,INDEX($AO$1005:$BQ$1005,1,MATCH(COLUMNS($AO$1006:AV1006),$AO$1006:$BQ$1006,0))&gt;=100000), " ",IF(INDEX($AO$2:$BQ$1001,MATCH(ROWS($AH$2:AH851),$AH$2:$AH$1001,0),MATCH(COLUMNS($AO$1006:AV1006),$AO$1006:$BQ$1006,0)), HYPERLINK("#",""), HYPERLINK(CONCATENATE("#Metadata!", ADDRESS(INDEX($AJ$2:$AJ$1001,MATCH(ROWS($AH$2:AH851),$AH$2:$AH$1001,0),0), INDEX($AO$1004:$BQ$1004,1,MATCH(COLUMNS($AO$1006:AV1006),$AO$1006:$BQ$1006,0)))),"Fix")))</f>
        <v>#N/A</v>
      </c>
      <c r="J851" s="5" t="e">
        <f ca="1">IF(OR(INDEX($AI$2:$AI$1001,MATCH(ROWS($AH$2:AH851),$AH$2:$AH$1001,0),1)&gt;=100000,INDEX($AO$1005:$BQ$1005,1,MATCH(COLUMNS($AO$1006:AW1006),$AO$1006:$BQ$1006,0))&gt;=100000), " ",IF(INDEX($AO$2:$BQ$1001,MATCH(ROWS($AH$2:AH851),$AH$2:$AH$1001,0),MATCH(COLUMNS($AO$1006:AW1006),$AO$1006:$BQ$1006,0)), HYPERLINK("#",""), HYPERLINK(CONCATENATE("#Metadata!", ADDRESS(INDEX($AJ$2:$AJ$1001,MATCH(ROWS($AH$2:AH851),$AH$2:$AH$1001,0),0), INDEX($AO$1004:$BQ$1004,1,MATCH(COLUMNS($AO$1006:AW1006),$AO$1006:$BQ$1006,0)))),"Fix")))</f>
        <v>#N/A</v>
      </c>
      <c r="K851" s="5" t="e">
        <f ca="1">IF(OR(INDEX($AI$2:$AI$1001,MATCH(ROWS($AH$2:AH851),$AH$2:$AH$1001,0),1)&gt;=100000,INDEX($AO$1005:$BQ$1005,1,MATCH(COLUMNS($AO$1006:AX1006),$AO$1006:$BQ$1006,0))&gt;=100000), " ",IF(INDEX($AO$2:$BQ$1001,MATCH(ROWS($AH$2:AH851),$AH$2:$AH$1001,0),MATCH(COLUMNS($AO$1006:AX1006),$AO$1006:$BQ$1006,0)), HYPERLINK("#",""), HYPERLINK(CONCATENATE("#Metadata!", ADDRESS(INDEX($AJ$2:$AJ$1001,MATCH(ROWS($AH$2:AH851),$AH$2:$AH$1001,0),0), INDEX($AO$1004:$BQ$1004,1,MATCH(COLUMNS($AO$1006:AX1006),$AO$1006:$BQ$1006,0)))),"Fix")))</f>
        <v>#N/A</v>
      </c>
      <c r="L851" s="5" t="e">
        <f ca="1">IF(OR(INDEX($AI$2:$AI$1001,MATCH(ROWS($AH$2:AH851),$AH$2:$AH$1001,0),1)&gt;=100000,INDEX($AO$1005:$BQ$1005,1,MATCH(COLUMNS($AO$1006:AY1006),$AO$1006:$BQ$1006,0))&gt;=100000), " ",IF(INDEX($AO$2:$BQ$1001,MATCH(ROWS($AH$2:AH851),$AH$2:$AH$1001,0),MATCH(COLUMNS($AO$1006:AY1006),$AO$1006:$BQ$1006,0)), HYPERLINK("#",""), HYPERLINK(CONCATENATE("#Metadata!", ADDRESS(INDEX($AJ$2:$AJ$1001,MATCH(ROWS($AH$2:AH851),$AH$2:$AH$1001,0),0), INDEX($AO$1004:$BQ$1004,1,MATCH(COLUMNS($AO$1006:AY1006),$AO$1006:$BQ$1006,0)))),"Fix")))</f>
        <v>#N/A</v>
      </c>
      <c r="M851" s="5" t="e">
        <f ca="1">IF(OR(INDEX($AI$2:$AI$1001,MATCH(ROWS($AH$2:AH851),$AH$2:$AH$1001,0),1)&gt;=100000,INDEX($AO$1005:$BQ$1005,1,MATCH(COLUMNS($AO$1006:AZ1006),$AO$1006:$BQ$1006,0))&gt;=100000), " ",IF(INDEX($AO$2:$BQ$1001,MATCH(ROWS($AH$2:AH851),$AH$2:$AH$1001,0),MATCH(COLUMNS($AO$1006:AZ1006),$AO$1006:$BQ$1006,0)), HYPERLINK("#",""), HYPERLINK(CONCATENATE("#Metadata!", ADDRESS(INDEX($AJ$2:$AJ$1001,MATCH(ROWS($AH$2:AH851),$AH$2:$AH$1001,0),0), INDEX($AO$1004:$BQ$1004,1,MATCH(COLUMNS($AO$1006:AZ1006),$AO$1006:$BQ$1006,0)))),"Fix")))</f>
        <v>#N/A</v>
      </c>
      <c r="N851" s="5" t="e">
        <f ca="1">IF(OR(INDEX($AI$2:$AI$1001,MATCH(ROWS($AH$2:AH851),$AH$2:$AH$1001,0),1)&gt;=100000,INDEX($AO$1005:$BQ$1005,1,MATCH(COLUMNS($AO$1006:BA1006),$AO$1006:$BQ$1006,0))&gt;=100000), " ",IF(INDEX($AO$2:$BQ$1001,MATCH(ROWS($AH$2:AH851),$AH$2:$AH$1001,0),MATCH(COLUMNS($AO$1006:BA1006),$AO$1006:$BQ$1006,0)), HYPERLINK("#",""), HYPERLINK(CONCATENATE("#Metadata!", ADDRESS(INDEX($AJ$2:$AJ$1001,MATCH(ROWS($AH$2:AH851),$AH$2:$AH$1001,0),0), INDEX($AO$1004:$BQ$1004,1,MATCH(COLUMNS($AO$1006:BA1006),$AO$1006:$BQ$1006,0)))),"Fix")))</f>
        <v>#N/A</v>
      </c>
      <c r="O851" s="5" t="e">
        <f ca="1">IF(OR(INDEX($AI$2:$AI$1001,MATCH(ROWS($AH$2:AH851),$AH$2:$AH$1001,0),1)&gt;=100000,INDEX($AO$1005:$BQ$1005,1,MATCH(COLUMNS($AO$1006:BB1006),$AO$1006:$BQ$1006,0))&gt;=100000), " ",IF(INDEX($AO$2:$BQ$1001,MATCH(ROWS($AH$2:AH851),$AH$2:$AH$1001,0),MATCH(COLUMNS($AO$1006:BB1006),$AO$1006:$BQ$1006,0)), HYPERLINK("#",""), HYPERLINK(CONCATENATE("#Metadata!", ADDRESS(INDEX($AJ$2:$AJ$1001,MATCH(ROWS($AH$2:AH851),$AH$2:$AH$1001,0),0), INDEX($AO$1004:$BQ$1004,1,MATCH(COLUMNS($AO$1006:BB1006),$AO$1006:$BQ$1006,0)))),"Fix")))</f>
        <v>#N/A</v>
      </c>
      <c r="P851" s="5" t="e">
        <f ca="1">IF(OR(INDEX($AI$2:$AI$1001,MATCH(ROWS($AH$2:AH851),$AH$2:$AH$1001,0),1)&gt;=100000,INDEX($AO$1005:$BQ$1005,1,MATCH(COLUMNS($AO$1006:BC1006),$AO$1006:$BQ$1006,0))&gt;=100000), " ",IF(INDEX($AO$2:$BQ$1001,MATCH(ROWS($AH$2:AH851),$AH$2:$AH$1001,0),MATCH(COLUMNS($AO$1006:BC1006),$AO$1006:$BQ$1006,0)), HYPERLINK("#",""), HYPERLINK(CONCATENATE("#Metadata!", ADDRESS(INDEX($AJ$2:$AJ$1001,MATCH(ROWS($AH$2:AH851),$AH$2:$AH$1001,0),0), INDEX($AO$1004:$BQ$1004,1,MATCH(COLUMNS($AO$1006:BC1006),$AO$1006:$BQ$1006,0)))),"Fix")))</f>
        <v>#N/A</v>
      </c>
      <c r="Q851" s="5" t="e">
        <f ca="1">IF(OR(INDEX($AI$2:$AI$1001,MATCH(ROWS($AH$2:AH851),$AH$2:$AH$1001,0),1)&gt;=100000,INDEX($AO$1005:$BQ$1005,1,MATCH(COLUMNS($AO$1006:BD1006),$AO$1006:$BQ$1006,0))&gt;=100000), " ",IF(INDEX($AO$2:$BQ$1001,MATCH(ROWS($AH$2:AH851),$AH$2:$AH$1001,0),MATCH(COLUMNS($AO$1006:BD1006),$AO$1006:$BQ$1006,0)), HYPERLINK("#",""), HYPERLINK(CONCATENATE("#Metadata!", ADDRESS(INDEX($AJ$2:$AJ$1001,MATCH(ROWS($AH$2:AH851),$AH$2:$AH$1001,0),0), INDEX($AO$1004:$BQ$1004,1,MATCH(COLUMNS($AO$1006:BD1006),$AO$1006:$BQ$1006,0)))),"Fix")))</f>
        <v>#N/A</v>
      </c>
      <c r="R851" s="5" t="e">
        <f ca="1">IF(OR(INDEX($AI$2:$AI$1001,MATCH(ROWS($AH$2:AH851),$AH$2:$AH$1001,0),1)&gt;=100000,INDEX($AO$1005:$BQ$1005,1,MATCH(COLUMNS($AO$1006:BE1006),$AO$1006:$BQ$1006,0))&gt;=100000), " ",IF(INDEX($AO$2:$BQ$1001,MATCH(ROWS($AH$2:AH851),$AH$2:$AH$1001,0),MATCH(COLUMNS($AO$1006:BE1006),$AO$1006:$BQ$1006,0)), HYPERLINK("#",""), HYPERLINK(CONCATENATE("#Metadata!", ADDRESS(INDEX($AJ$2:$AJ$1001,MATCH(ROWS($AH$2:AH851),$AH$2:$AH$1001,0),0), INDEX($AO$1004:$BQ$1004,1,MATCH(COLUMNS($AO$1006:BE1006),$AO$1006:$BQ$1006,0)))),"Fix")))</f>
        <v>#N/A</v>
      </c>
      <c r="S851" s="5" t="e">
        <f ca="1">IF(OR(INDEX($AI$2:$AI$1001,MATCH(ROWS($AH$2:AH851),$AH$2:$AH$1001,0),1)&gt;=100000,INDEX($AO$1005:$BQ$1005,1,MATCH(COLUMNS($AO$1006:BF1006),$AO$1006:$BQ$1006,0))&gt;=100000), " ",IF(INDEX($AO$2:$BQ$1001,MATCH(ROWS($AH$2:AH851),$AH$2:$AH$1001,0),MATCH(COLUMNS($AO$1006:BF1006),$AO$1006:$BQ$1006,0)), HYPERLINK("#",""), HYPERLINK(CONCATENATE("#Metadata!", ADDRESS(INDEX($AJ$2:$AJ$1001,MATCH(ROWS($AH$2:AH851),$AH$2:$AH$1001,0),0), INDEX($AO$1004:$BQ$1004,1,MATCH(COLUMNS($AO$1006:BF1006),$AO$1006:$BQ$1006,0)))),"Fix")))</f>
        <v>#N/A</v>
      </c>
      <c r="T851" s="5" t="e">
        <f ca="1">IF(OR(INDEX($AI$2:$AI$1001,MATCH(ROWS($AH$2:AH851),$AH$2:$AH$1001,0),1)&gt;=100000,INDEX($AO$1005:$BQ$1005,1,MATCH(COLUMNS($AO$1006:BG1006),$AO$1006:$BQ$1006,0))&gt;=100000), " ",IF(INDEX($AO$2:$BQ$1001,MATCH(ROWS($AH$2:AH851),$AH$2:$AH$1001,0),MATCH(COLUMNS($AO$1006:BG1006),$AO$1006:$BQ$1006,0)), HYPERLINK("#",""), HYPERLINK(CONCATENATE("#Metadata!", ADDRESS(INDEX($AJ$2:$AJ$1001,MATCH(ROWS($AH$2:AH851),$AH$2:$AH$1001,0),0), INDEX($AO$1004:$BQ$1004,1,MATCH(COLUMNS($AO$1006:BG1006),$AO$1006:$BQ$1006,0)))),"Fix")))</f>
        <v>#N/A</v>
      </c>
      <c r="U851" s="5" t="e">
        <f ca="1">IF(OR(INDEX($AI$2:$AI$1001,MATCH(ROWS($AH$2:AH851),$AH$2:$AH$1001,0),1)&gt;=100000,INDEX($AO$1005:$BQ$1005,1,MATCH(COLUMNS($AO$1006:BH1006),$AO$1006:$BQ$1006,0))&gt;=100000), " ",IF(INDEX($AO$2:$BQ$1001,MATCH(ROWS($AH$2:AH851),$AH$2:$AH$1001,0),MATCH(COLUMNS($AO$1006:BH1006),$AO$1006:$BQ$1006,0)), HYPERLINK("#",""), HYPERLINK(CONCATENATE("#Metadata!", ADDRESS(INDEX($AJ$2:$AJ$1001,MATCH(ROWS($AH$2:AH851),$AH$2:$AH$1001,0),0), INDEX($AO$1004:$BQ$1004,1,MATCH(COLUMNS($AO$1006:BH1006),$AO$1006:$BQ$1006,0)))),"Fix")))</f>
        <v>#N/A</v>
      </c>
      <c r="V851" s="5" t="e">
        <f ca="1">IF(OR(INDEX($AI$2:$AI$1001,MATCH(ROWS($AH$2:AH851),$AH$2:$AH$1001,0),1)&gt;=100000,INDEX($AO$1005:$BQ$1005,1,MATCH(COLUMNS($AO$1006:BI1006),$AO$1006:$BQ$1006,0))&gt;=100000), " ",IF(INDEX($AO$2:$BQ$1001,MATCH(ROWS($AH$2:AH851),$AH$2:$AH$1001,0),MATCH(COLUMNS($AO$1006:BI1006),$AO$1006:$BQ$1006,0)), HYPERLINK("#",""), HYPERLINK(CONCATENATE("#Metadata!", ADDRESS(INDEX($AJ$2:$AJ$1001,MATCH(ROWS($AH$2:AH851),$AH$2:$AH$1001,0),0), INDEX($AO$1004:$BQ$1004,1,MATCH(COLUMNS($AO$1006:BI1006),$AO$1006:$BQ$1006,0)))),"Fix")))</f>
        <v>#N/A</v>
      </c>
      <c r="W851" s="5" t="e">
        <f ca="1">IF(OR(INDEX($AI$2:$AI$1001,MATCH(ROWS($AH$2:AH851),$AH$2:$AH$1001,0),1)&gt;=100000,INDEX($AO$1005:$BQ$1005,1,MATCH(COLUMNS($AO$1006:BJ1006),$AO$1006:$BQ$1006,0))&gt;=100000), " ",IF(INDEX($AO$2:$BQ$1001,MATCH(ROWS($AH$2:AH851),$AH$2:$AH$1001,0),MATCH(COLUMNS($AO$1006:BJ1006),$AO$1006:$BQ$1006,0)), HYPERLINK("#",""), HYPERLINK(CONCATENATE("#Metadata!", ADDRESS(INDEX($AJ$2:$AJ$1001,MATCH(ROWS($AH$2:AH851),$AH$2:$AH$1001,0),0), INDEX($AO$1004:$BQ$1004,1,MATCH(COLUMNS($AO$1006:BJ1006),$AO$1006:$BQ$1006,0)))),"Fix")))</f>
        <v>#N/A</v>
      </c>
      <c r="X851" s="5" t="e">
        <f ca="1">IF(OR(INDEX($AI$2:$AI$1001,MATCH(ROWS($AH$2:AH851),$AH$2:$AH$1001,0),1)&gt;=100000,INDEX($AO$1005:$BQ$1005,1,MATCH(COLUMNS($AO$1006:BK1006),$AO$1006:$BQ$1006,0))&gt;=100000), " ",IF(INDEX($AO$2:$BQ$1001,MATCH(ROWS($AH$2:AH851),$AH$2:$AH$1001,0),MATCH(COLUMNS($AO$1006:BK1006),$AO$1006:$BQ$1006,0)), HYPERLINK("#",""), HYPERLINK(CONCATENATE("#Metadata!", ADDRESS(INDEX($AJ$2:$AJ$1001,MATCH(ROWS($AH$2:AH851),$AH$2:$AH$1001,0),0), INDEX($AO$1004:$BQ$1004,1,MATCH(COLUMNS($AO$1006:BK1006),$AO$1006:$BQ$1006,0)))),"Fix")))</f>
        <v>#N/A</v>
      </c>
      <c r="Y851" s="5" t="e">
        <f ca="1">IF(OR(INDEX($AI$2:$AI$1001,MATCH(ROWS($AH$2:AH851),$AH$2:$AH$1001,0),1)&gt;=100000,INDEX($AO$1005:$BQ$1005,1,MATCH(COLUMNS($AO$1006:BL1006),$AO$1006:$BQ$1006,0))&gt;=100000), " ",IF(INDEX($AO$2:$BQ$1001,MATCH(ROWS($AH$2:AH851),$AH$2:$AH$1001,0),MATCH(COLUMNS($AO$1006:BL1006),$AO$1006:$BQ$1006,0)), HYPERLINK("#",""), HYPERLINK(CONCATENATE("#Metadata!", ADDRESS(INDEX($AJ$2:$AJ$1001,MATCH(ROWS($AH$2:AH851),$AH$2:$AH$1001,0),0), INDEX($AO$1004:$BQ$1004,1,MATCH(COLUMNS($AO$1006:BL1006),$AO$1006:$BQ$1006,0)))),"Fix")))</f>
        <v>#N/A</v>
      </c>
      <c r="Z851" s="5" t="e">
        <f ca="1">IF(OR(INDEX($AI$2:$AI$1001,MATCH(ROWS($AH$2:AH851),$AH$2:$AH$1001,0),1)&gt;=100000,INDEX($AO$1005:$BQ$1005,1,MATCH(COLUMNS($AO$1006:BM1006),$AO$1006:$BQ$1006,0))&gt;=100000), " ",IF(INDEX($AO$2:$BQ$1001,MATCH(ROWS($AH$2:AH851),$AH$2:$AH$1001,0),MATCH(COLUMNS($AO$1006:BM1006),$AO$1006:$BQ$1006,0)), HYPERLINK("#",""), HYPERLINK(CONCATENATE("#Metadata!", ADDRESS(INDEX($AJ$2:$AJ$1001,MATCH(ROWS($AH$2:AH851),$AH$2:$AH$1001,0),0), INDEX($AO$1004:$BQ$1004,1,MATCH(COLUMNS($AO$1006:BM1006),$AO$1006:$BQ$1006,0)))),"Fix")))</f>
        <v>#N/A</v>
      </c>
      <c r="AA851" s="5" t="e">
        <f ca="1">IF(OR(INDEX($AI$2:$AI$1001,MATCH(ROWS($AH$2:AH851),$AH$2:$AH$1001,0),1)&gt;=100000,INDEX($AO$1005:$BQ$1005,1,MATCH(COLUMNS($AO$1006:BN1006),$AO$1006:$BQ$1006,0))&gt;=100000), " ",IF(INDEX($AO$2:$BQ$1001,MATCH(ROWS($AH$2:AH851),$AH$2:$AH$1001,0),MATCH(COLUMNS($AO$1006:BN1006),$AO$1006:$BQ$1006,0)), HYPERLINK("#",""), HYPERLINK(CONCATENATE("#Metadata!", ADDRESS(INDEX($AJ$2:$AJ$1001,MATCH(ROWS($AH$2:AH851),$AH$2:$AH$1001,0),0), INDEX($AO$1004:$BQ$1004,1,MATCH(COLUMNS($AO$1006:BN1006),$AO$1006:$BQ$1006,0)))),"Fix")))</f>
        <v>#N/A</v>
      </c>
      <c r="AB851" s="5" t="e">
        <f ca="1">IF(OR(INDEX($AI$2:$AI$1001,MATCH(ROWS($AH$2:AH851),$AH$2:$AH$1001,0),1)&gt;=100000,INDEX($AO$1005:$BQ$1005,1,MATCH(COLUMNS($AO$1006:BO1006),$AO$1006:$BQ$1006,0))&gt;=100000), " ",IF(INDEX($AO$2:$BQ$1001,MATCH(ROWS($AH$2:AH851),$AH$2:$AH$1001,0),MATCH(COLUMNS($AO$1006:BO1006),$AO$1006:$BQ$1006,0)), HYPERLINK("#",""), HYPERLINK(CONCATENATE("#Metadata!", ADDRESS(INDEX($AJ$2:$AJ$1001,MATCH(ROWS($AH$2:AH851),$AH$2:$AH$1001,0),0), INDEX($AO$1004:$BQ$1004,1,MATCH(COLUMNS($AO$1006:BO1006),$AO$1006:$BQ$1006,0)))),"Fix")))</f>
        <v>#N/A</v>
      </c>
      <c r="AC851" s="5" t="e">
        <f ca="1">IF(OR(INDEX($AI$2:$AI$1001,MATCH(ROWS($AH$2:AH851),$AH$2:$AH$1001,0),1)&gt;=100000,INDEX($AO$1005:$BQ$1005,1,MATCH(COLUMNS($AO$1006:BP1006),$AO$1006:$BQ$1006,0))&gt;=100000), " ",IF(INDEX($AO$2:$BQ$1001,MATCH(ROWS($AH$2:AH851),$AH$2:$AH$1001,0),MATCH(COLUMNS($AO$1006:BP1006),$AO$1006:$BQ$1006,0)), HYPERLINK("#",""), HYPERLINK(CONCATENATE("#Metadata!", ADDRESS(INDEX($AJ$2:$AJ$1001,MATCH(ROWS($AH$2:AH851),$AH$2:$AH$1001,0),0), INDEX($AO$1004:$BQ$1004,1,MATCH(COLUMNS($AO$1006:BP1006),$AO$1006:$BQ$1006,0)))),"Fix")))</f>
        <v>#N/A</v>
      </c>
      <c r="AD851" s="5" t="e">
        <f ca="1">IF(OR(INDEX($AI$2:$AI$1001,MATCH(ROWS($AH$2:AH851),$AH$2:$AH$1001,0),1)&gt;=100000,INDEX($AO$1005:$BQ$1005,1,MATCH(COLUMNS($AO$1006:BQ1006),$AO$1006:$BQ$1006,0))&gt;=100000), " ",IF(INDEX($AO$2:$BQ$1001,MATCH(ROWS($AH$2:AH851),$AH$2:$AH$1001,0),MATCH(COLUMNS($AO$1006:BQ1006),$AO$1006:$BQ$1006,0)), HYPERLINK("#",""), HYPERLINK(CONCATENATE("#Metadata!", ADDRESS(INDEX($AJ$2:$AJ$1001,MATCH(ROWS($AH$2:AH851),$AH$2:$AH$1001,0),0), INDEX($AO$1004:$BQ$1004,1,MATCH(COLUMNS($AO$1006:BQ1006),$AO$1006:$BQ$1006,0)))),"Fix")))</f>
        <v>#REF!</v>
      </c>
      <c r="AH851">
        <f ca="1"/>
        <v>848</v>
      </c>
      <c r="AI851">
        <v>100851</v>
      </c>
      <c r="AJ851">
        <v>851</v>
      </c>
      <c r="AK851" t="b">
        <f t="shared" si="13"/>
        <v>1</v>
      </c>
      <c r="AL851" t="b">
        <f>COUNTBLANK(Metadata!B851:AD851)=COLUMNS(Metadata!B851:AD851)</f>
        <v>1</v>
      </c>
      <c r="AM851" t="str">
        <v/>
      </c>
      <c r="AO851" t="b">
        <f ca="1">AND(IF(Metadata!B851="",FALSE,TRUE),COUNTIF(Metadata!B:B, Metadata!B851) = 1,NOT(ISERROR(SUMPRODUCT(SEARCH(MID(Metadata!B851,ROW(INDIRECT("1:"&amp;LEN(Metadata!B851))), 1),"0123456789abcdefghijklmnopqrstuvwxyzABCDEFGHIJKLMNOPQRSTUVWXYZ.")))))</f>
        <v>0</v>
      </c>
      <c r="AP851" t="b">
        <f>IF(Metadata!C851="",FALSE,TRUE)</f>
        <v>0</v>
      </c>
      <c r="AQ851" t="b">
        <f>IF(Metadata!D851="",FALSE,TRUE)</f>
        <v>0</v>
      </c>
      <c r="AR851" t="b">
        <f ca="1">OR(AND(IF(Metadata!E851="",FALSE,TRUE),OR(EXACT(Metadata!E851,"not collected"),EXACT(Metadata!E851,"not provided"),EXACT(Metadata!E851,"restricted access"))),AND(IF(Metadata!E851="",FALSE,TRUE),AND(AND(IFERROR(INT(LEFT(Metadata!E851,4))&gt;1900,FALSE),IFERROR(INT(LEFT(Metadata!E851,4))&lt;=YEAR(NOW()),FALSE)), OR(MID(Metadata!E851,5,1)="", AND(AND(MID(Metadata!E851,5,1)="-",IFERROR(INT(MID(Metadata!E851,6,1))&gt;=0,FALSE),IFERROR(INT(MID(Metadata!E851,6,1))&lt;=1,FALSE),NOT(MID(Metadata!E851,7,1)=""),IFERROR(INT(MID(Metadata!E851,6,2))&gt;=1,FALSE),IFERROR(INT(MID(Metadata!E851,6,2))&lt;=12,FALSE)), OR(MID(Metadata!E851,8,1)="", AND(AND(MID(Metadata!E851,8,1)="-",IFERROR(INT(MID(Metadata!E851,9,1))&gt;=0,FALSE),IFERROR(INT(MID(Metadata!E851,9,1))&lt;=3,FALSE),NOT(MID(Metadata!E851,10,1)=""),IFERROR(INT(MID(Metadata!E851,9,2))&gt;=1,FALSE),IFERROR(INT(MID(Metadata!E851,9,2))&lt;=31,FALSE)), OR(MID(Metadata!E851,11,1)="", AND(AND(MID(Metadata!E851,11,1)=" ",IFERROR(INT(MID(Metadata!E851,12,1))&gt;=0,FALSE),IFERROR(INT(MID(Metadata!E851,12,1))&lt;=2,FALSE),NOT(MID(Metadata!E851,13,1)=""),IFERROR(INT(MID(Metadata!E851,12,2))&gt;=0,FALSE),IFERROR(INT(MID(Metadata!E851,12,2))&lt;=23,FALSE)), OR(MID(Metadata!E851,14,1)="", AND(AND(MID(Metadata!E851,14,1)=":",IFERROR(INT(MID(Metadata!E851,15,1))&gt;=0,FALSE),IFERROR(INT(MID(Metadata!E851,15,1))&lt;=5,FALSE),NOT(MID(Metadata!E851,16,1)=""),IFERROR(INT(MID(Metadata!E851,15,2))&gt;=0,FALSE),IFERROR(INT(MID(Metadata!E851,15,2))&lt;=59,FALSE)), OR(MID(Metadata!E851,17,1)="", AND(AND(MID(Metadata!E851,17,1)=":",IFERROR(INT(MID(Metadata!E851,18,1))&gt;=0,FALSE),IFERROR(INT(MID(Metadata!E851,18,1))&lt;=5,FALSE),NOT(MID(Metadata!E851,19,1)=""),IFERROR(INT(MID(Metadata!E851,18,2))&gt;=0,FALSE),IFERROR(INT(MID(Metadata!E851,18,2))&lt;=59,FALSE)), LEN(Metadata!E851)&lt;=19)))))))))))))</f>
        <v>0</v>
      </c>
      <c r="AS851" t="b">
        <f>IF(Metadata!F851="",FALSE,TRUE)</f>
        <v>0</v>
      </c>
      <c r="AT851" t="b">
        <f>OR(AND(IF(Metadata!G851="",FALSE,TRUE),OR(EXACT(Metadata!G851,"not collected"),EXACT(Metadata!G851,"not provided"))),AND(IF(Metadata!G851="",FALSE,TRUE),OR(EXACT(Metadata!G851,"TRUE"),EXACT(Metadata!G851,"FALSE"))))</f>
        <v>0</v>
      </c>
      <c r="AU851" t="b">
        <f>OR(AND(IF(Metadata!H851="",FALSE,TRUE),OR(EXACT(Metadata!H851,"not collected"),EXACT(Metadata!H851,"not provided"),EXACT(Metadata!H851,"restricted access"))),AND(IF(Metadata!H851="",FALSE,ISNUMBER(VALUE(Metadata!H851))),Metadata!H851&gt;=-413))</f>
        <v>0</v>
      </c>
      <c r="AV851" t="b">
        <f>AND(IF(Metadata!I851="",FALSE,TRUE),EXACT(Metadata!I851,"meters"))</f>
        <v>0</v>
      </c>
      <c r="AW851" t="b">
        <f>AND(IF(Metadata!J851="",FALSE,TRUE),EXACT(Metadata!J851,"free-living"))</f>
        <v>0</v>
      </c>
      <c r="AX851" t="b">
        <f>AND(IF(Metadata!K851="",FALSE,TRUE),OR(EXACT(Metadata!K851,"saline"),EXACT(Metadata!K851,"non-saline")))</f>
        <v>0</v>
      </c>
      <c r="AY851" t="b">
        <f>AND(IF(Metadata!L851="",FALSE,TRUE),OR(EXACT(Metadata!L851,"sub-surface (non-saline)"),EXACT(Metadata!L851,"surface (non-saline)"),EXACT(Metadata!L851,"water (non-saline)"),EXACT(Metadata!L851,"soil (non-saline)"),EXACT(Metadata!L851,"aerosol (non-saline)"),EXACT(Metadata!L851,"sediment (non-saline)"),EXACT(Metadata!L851,"surface (saline)"),EXACT(Metadata!L851,"water (saline)"),EXACT(Metadata!L851,"hypersaline (saline)"),EXACT(Metadata!L851,"aerosol (saline)"),EXACT(Metadata!L851,"sediment (saline)")))</f>
        <v>0</v>
      </c>
      <c r="AZ851" t="b">
        <f>IF(Metadata!M851="",FALSE,TRUE)</f>
        <v>0</v>
      </c>
      <c r="BA851" t="b">
        <f>IF(Metadata!N851="",FALSE,TRUE)</f>
        <v>0</v>
      </c>
      <c r="BB851" t="b">
        <f>IF(Metadata!O851="",FALSE,TRUE)</f>
        <v>0</v>
      </c>
      <c r="BC851" t="b">
        <f>AND(IF(Metadata!P851="",FALSE,TRUE),OR(EXACT(Metadata!P851,"air"),EXACT(Metadata!P851,"microbial mat/biofilm"),EXACT(Metadata!P851,"misc environment"),EXACT(Metadata!P851,"sediment"),EXACT(Metadata!P851,"soil"),EXACT(Metadata!P851,"wastewater/sludge"),EXACT(Metadata!P851,"water")))</f>
        <v>0</v>
      </c>
      <c r="BD851" t="b">
        <f>IF(Metadata!Q851="",FALSE,TRUE)</f>
        <v>0</v>
      </c>
      <c r="BE851" t="b">
        <f>IF(Metadata!R851="",FALSE,TRUE)</f>
        <v>0</v>
      </c>
      <c r="BF851" t="b">
        <f>OR(AND(IF(Metadata!S851="",FALSE,TRUE),OR(EXACT(Metadata!S851,"not collected"),EXACT(Metadata!S851,"not provided"),EXACT(Metadata!S851,"restricted access"))),AND(IF(Metadata!S851="",FALSE,ISNUMBER(VALUE(Metadata!S851))),Metadata!S851&gt;=-90,Metadata!S851&lt;=90))</f>
        <v>0</v>
      </c>
      <c r="BG851" t="b">
        <f>AND(IF(Metadata!T851="",FALSE,TRUE),EXACT(Metadata!T851,"Decimal degrees"))</f>
        <v>0</v>
      </c>
      <c r="BH851" t="b">
        <f>OR(AND(IF(Metadata!U851="",FALSE,TRUE),OR(EXACT(Metadata!U851,"not applicable"),EXACT(Metadata!U851,"not collected"))),IF(Metadata!U851="",FALSE,TRUE))</f>
        <v>0</v>
      </c>
      <c r="BI851" t="b">
        <f>OR(AND(IF(Metadata!V851="",FALSE,TRUE),OR(EXACT(Metadata!V851,"not collected"),EXACT(Metadata!V851,"not provided"),EXACT(Metadata!V851,"restricted access"))),AND(IF(Metadata!V851="",FALSE,ISNUMBER(VALUE(Metadata!V851))),Metadata!V851&gt;=-180,Metadata!V851&lt;=180))</f>
        <v>0</v>
      </c>
      <c r="BJ851" t="b">
        <f>AND(IF(Metadata!W851="",FALSE,TRUE),EXACT(Metadata!W851,"Decimal degrees"))</f>
        <v>0</v>
      </c>
      <c r="BK851" t="b">
        <f>IF(Metadata!X851="",FALSE,TRUE)</f>
        <v>0</v>
      </c>
      <c r="BL851" t="b">
        <f>OR(AND(IF(Metadata!Y851="",FALSE,TRUE),OR(EXACT(Metadata!Y851,"not collected"),EXACT(Metadata!Y851,"not provided"),EXACT(Metadata!Y851,"restricted access"))),AND(IF(Metadata!Y851="",FALSE,TRUE),OR(EXACT(Metadata!Y851,"TRUE"),EXACT(Metadata!Y851,"FALSE"))))</f>
        <v>0</v>
      </c>
      <c r="BM851" t="b">
        <f>OR(AND(IF(Metadata!Z851="",FALSE,TRUE),EXACT(Metadata!Z851,"not applicable")),AND(IF(Metadata!Z851="",FALSE,TRUE),OR(EXACT(Metadata!Z851,"beer"),EXACT(Metadata!Z851,"cheese"),EXACT(Metadata!Z851,"fresh water"),EXACT(Metadata!Z851,"marine sediment"),EXACT(Metadata!Z851,"sea water"),EXACT(Metadata!Z851,"sediment"),EXACT(Metadata!Z851,"soil"),EXACT(Metadata!Z851,"waste water"))))</f>
        <v>0</v>
      </c>
      <c r="BN851" t="b">
        <f>AND(IF(Metadata!AA851="",FALSE,TRUE),EXACT(Metadata!AA851,"metagenome"))</f>
        <v>0</v>
      </c>
      <c r="BO851" t="b">
        <f>AND(IF(Metadata!AB851="",FALSE,TRUE),EXACT(Metadata!AB851,"256318"))</f>
        <v>0</v>
      </c>
      <c r="BP851" t="b">
        <f>IF(Metadata!AC851="",FALSE,TRUE)</f>
        <v>0</v>
      </c>
      <c r="BQ851" t="b">
        <f>IF(Metadata!AD851="",FALSE,TRUE)</f>
        <v>0</v>
      </c>
    </row>
    <row r="852" spans="1:69" x14ac:dyDescent="0.2">
      <c r="A852" s="4" t="e">
        <f ca="1">IF(B852=" "," ",HYPERLINK(CONCATENATE("#metadata!",ADDRESS(INDEX($AJ$2:$AJ$1001,MATCH(ROWS($AH$2:AH852),$AH$2:$AH$1001,0),0),2)),INDEX($AM$2:$AM$1001,MATCH(ROWS($AH$2:AH852),$AH$2:$AH$1001,0),0)))</f>
        <v>#N/A</v>
      </c>
      <c r="B852" s="5" t="e">
        <f ca="1">IF(OR(INDEX($AI$2:$AI$1001,MATCH(ROWS($AH$2:AH852),$AH$2:$AH$1001,0),1)&gt;=100000,INDEX($AO$1005:$BQ$1005,1,MATCH(COLUMNS($AO$1006:AO1006),$AO$1006:$BQ$1006,0))&gt;=100000), " ",IF(INDEX($AO$2:$BQ$1001,MATCH(ROWS($AH$2:AH852),$AH$2:$AH$1001,0),MATCH(COLUMNS($AO$1006:AO1006),$AO$1006:$BQ$1006,0)), HYPERLINK("#",""), HYPERLINK(CONCATENATE("#Metadata!", ADDRESS(INDEX($AJ$2:$AJ$1001,MATCH(ROWS($AH$2:AH852),$AH$2:$AH$1001,0),0), INDEX($AO$1004:$BQ$1004,1,MATCH(COLUMNS($AO$1006:AO1006),$AO$1006:$BQ$1006,0)))),"Fix")))</f>
        <v>#N/A</v>
      </c>
      <c r="C852" s="5" t="e">
        <f ca="1">IF(OR(INDEX($AI$2:$AI$1001,MATCH(ROWS($AH$2:AH852),$AH$2:$AH$1001,0),1)&gt;=100000,INDEX($AO$1005:$BQ$1005,1,MATCH(COLUMNS($AO$1006:AP1006),$AO$1006:$BQ$1006,0))&gt;=100000), " ",IF(INDEX($AO$2:$BQ$1001,MATCH(ROWS($AH$2:AH852),$AH$2:$AH$1001,0),MATCH(COLUMNS($AO$1006:AP1006),$AO$1006:$BQ$1006,0)), HYPERLINK("#",""), HYPERLINK(CONCATENATE("#Metadata!", ADDRESS(INDEX($AJ$2:$AJ$1001,MATCH(ROWS($AH$2:AH852),$AH$2:$AH$1001,0),0), INDEX($AO$1004:$BQ$1004,1,MATCH(COLUMNS($AO$1006:AP1006),$AO$1006:$BQ$1006,0)))),"Fix")))</f>
        <v>#N/A</v>
      </c>
      <c r="D852" s="5" t="e">
        <f ca="1">IF(OR(INDEX($AI$2:$AI$1001,MATCH(ROWS($AH$2:AH852),$AH$2:$AH$1001,0),1)&gt;=100000,INDEX($AO$1005:$BQ$1005,1,MATCH(COLUMNS($AO$1006:AQ1006),$AO$1006:$BQ$1006,0))&gt;=100000), " ",IF(INDEX($AO$2:$BQ$1001,MATCH(ROWS($AH$2:AH852),$AH$2:$AH$1001,0),MATCH(COLUMNS($AO$1006:AQ1006),$AO$1006:$BQ$1006,0)), HYPERLINK("#",""), HYPERLINK(CONCATENATE("#Metadata!", ADDRESS(INDEX($AJ$2:$AJ$1001,MATCH(ROWS($AH$2:AH852),$AH$2:$AH$1001,0),0), INDEX($AO$1004:$BQ$1004,1,MATCH(COLUMNS($AO$1006:AQ1006),$AO$1006:$BQ$1006,0)))),"Fix")))</f>
        <v>#N/A</v>
      </c>
      <c r="E852" s="5" t="e">
        <f ca="1">IF(OR(INDEX($AI$2:$AI$1001,MATCH(ROWS($AH$2:AH852),$AH$2:$AH$1001,0),1)&gt;=100000,INDEX($AO$1005:$BQ$1005,1,MATCH(COLUMNS($AO$1006:AR1006),$AO$1006:$BQ$1006,0))&gt;=100000), " ",IF(INDEX($AO$2:$BQ$1001,MATCH(ROWS($AH$2:AH852),$AH$2:$AH$1001,0),MATCH(COLUMNS($AO$1006:AR1006),$AO$1006:$BQ$1006,0)), HYPERLINK("#",""), HYPERLINK(CONCATENATE("#Metadata!", ADDRESS(INDEX($AJ$2:$AJ$1001,MATCH(ROWS($AH$2:AH852),$AH$2:$AH$1001,0),0), INDEX($AO$1004:$BQ$1004,1,MATCH(COLUMNS($AO$1006:AR1006),$AO$1006:$BQ$1006,0)))),"Fix")))</f>
        <v>#N/A</v>
      </c>
      <c r="F852" s="5" t="e">
        <f ca="1">IF(OR(INDEX($AI$2:$AI$1001,MATCH(ROWS($AH$2:AH852),$AH$2:$AH$1001,0),1)&gt;=100000,INDEX($AO$1005:$BQ$1005,1,MATCH(COLUMNS($AO$1006:AS1006),$AO$1006:$BQ$1006,0))&gt;=100000), " ",IF(INDEX($AO$2:$BQ$1001,MATCH(ROWS($AH$2:AH852),$AH$2:$AH$1001,0),MATCH(COLUMNS($AO$1006:AS1006),$AO$1006:$BQ$1006,0)), HYPERLINK("#",""), HYPERLINK(CONCATENATE("#Metadata!", ADDRESS(INDEX($AJ$2:$AJ$1001,MATCH(ROWS($AH$2:AH852),$AH$2:$AH$1001,0),0), INDEX($AO$1004:$BQ$1004,1,MATCH(COLUMNS($AO$1006:AS1006),$AO$1006:$BQ$1006,0)))),"Fix")))</f>
        <v>#N/A</v>
      </c>
      <c r="G852" s="5" t="e">
        <f ca="1">IF(OR(INDEX($AI$2:$AI$1001,MATCH(ROWS($AH$2:AH852),$AH$2:$AH$1001,0),1)&gt;=100000,INDEX($AO$1005:$BQ$1005,1,MATCH(COLUMNS($AO$1006:AT1006),$AO$1006:$BQ$1006,0))&gt;=100000), " ",IF(INDEX($AO$2:$BQ$1001,MATCH(ROWS($AH$2:AH852),$AH$2:$AH$1001,0),MATCH(COLUMNS($AO$1006:AT1006),$AO$1006:$BQ$1006,0)), HYPERLINK("#",""), HYPERLINK(CONCATENATE("#Metadata!", ADDRESS(INDEX($AJ$2:$AJ$1001,MATCH(ROWS($AH$2:AH852),$AH$2:$AH$1001,0),0), INDEX($AO$1004:$BQ$1004,1,MATCH(COLUMNS($AO$1006:AT1006),$AO$1006:$BQ$1006,0)))),"Fix")))</f>
        <v>#N/A</v>
      </c>
      <c r="H852" s="5" t="e">
        <f ca="1">IF(OR(INDEX($AI$2:$AI$1001,MATCH(ROWS($AH$2:AH852),$AH$2:$AH$1001,0),1)&gt;=100000,INDEX($AO$1005:$BQ$1005,1,MATCH(COLUMNS($AO$1006:AU1006),$AO$1006:$BQ$1006,0))&gt;=100000), " ",IF(INDEX($AO$2:$BQ$1001,MATCH(ROWS($AH$2:AH852),$AH$2:$AH$1001,0),MATCH(COLUMNS($AO$1006:AU1006),$AO$1006:$BQ$1006,0)), HYPERLINK("#",""), HYPERLINK(CONCATENATE("#Metadata!", ADDRESS(INDEX($AJ$2:$AJ$1001,MATCH(ROWS($AH$2:AH852),$AH$2:$AH$1001,0),0), INDEX($AO$1004:$BQ$1004,1,MATCH(COLUMNS($AO$1006:AU1006),$AO$1006:$BQ$1006,0)))),"Fix")))</f>
        <v>#N/A</v>
      </c>
      <c r="I852" s="5" t="e">
        <f ca="1">IF(OR(INDEX($AI$2:$AI$1001,MATCH(ROWS($AH$2:AH852),$AH$2:$AH$1001,0),1)&gt;=100000,INDEX($AO$1005:$BQ$1005,1,MATCH(COLUMNS($AO$1006:AV1006),$AO$1006:$BQ$1006,0))&gt;=100000), " ",IF(INDEX($AO$2:$BQ$1001,MATCH(ROWS($AH$2:AH852),$AH$2:$AH$1001,0),MATCH(COLUMNS($AO$1006:AV1006),$AO$1006:$BQ$1006,0)), HYPERLINK("#",""), HYPERLINK(CONCATENATE("#Metadata!", ADDRESS(INDEX($AJ$2:$AJ$1001,MATCH(ROWS($AH$2:AH852),$AH$2:$AH$1001,0),0), INDEX($AO$1004:$BQ$1004,1,MATCH(COLUMNS($AO$1006:AV1006),$AO$1006:$BQ$1006,0)))),"Fix")))</f>
        <v>#N/A</v>
      </c>
      <c r="J852" s="5" t="e">
        <f ca="1">IF(OR(INDEX($AI$2:$AI$1001,MATCH(ROWS($AH$2:AH852),$AH$2:$AH$1001,0),1)&gt;=100000,INDEX($AO$1005:$BQ$1005,1,MATCH(COLUMNS($AO$1006:AW1006),$AO$1006:$BQ$1006,0))&gt;=100000), " ",IF(INDEX($AO$2:$BQ$1001,MATCH(ROWS($AH$2:AH852),$AH$2:$AH$1001,0),MATCH(COLUMNS($AO$1006:AW1006),$AO$1006:$BQ$1006,0)), HYPERLINK("#",""), HYPERLINK(CONCATENATE("#Metadata!", ADDRESS(INDEX($AJ$2:$AJ$1001,MATCH(ROWS($AH$2:AH852),$AH$2:$AH$1001,0),0), INDEX($AO$1004:$BQ$1004,1,MATCH(COLUMNS($AO$1006:AW1006),$AO$1006:$BQ$1006,0)))),"Fix")))</f>
        <v>#N/A</v>
      </c>
      <c r="K852" s="5" t="e">
        <f ca="1">IF(OR(INDEX($AI$2:$AI$1001,MATCH(ROWS($AH$2:AH852),$AH$2:$AH$1001,0),1)&gt;=100000,INDEX($AO$1005:$BQ$1005,1,MATCH(COLUMNS($AO$1006:AX1006),$AO$1006:$BQ$1006,0))&gt;=100000), " ",IF(INDEX($AO$2:$BQ$1001,MATCH(ROWS($AH$2:AH852),$AH$2:$AH$1001,0),MATCH(COLUMNS($AO$1006:AX1006),$AO$1006:$BQ$1006,0)), HYPERLINK("#",""), HYPERLINK(CONCATENATE("#Metadata!", ADDRESS(INDEX($AJ$2:$AJ$1001,MATCH(ROWS($AH$2:AH852),$AH$2:$AH$1001,0),0), INDEX($AO$1004:$BQ$1004,1,MATCH(COLUMNS($AO$1006:AX1006),$AO$1006:$BQ$1006,0)))),"Fix")))</f>
        <v>#N/A</v>
      </c>
      <c r="L852" s="5" t="e">
        <f ca="1">IF(OR(INDEX($AI$2:$AI$1001,MATCH(ROWS($AH$2:AH852),$AH$2:$AH$1001,0),1)&gt;=100000,INDEX($AO$1005:$BQ$1005,1,MATCH(COLUMNS($AO$1006:AY1006),$AO$1006:$BQ$1006,0))&gt;=100000), " ",IF(INDEX($AO$2:$BQ$1001,MATCH(ROWS($AH$2:AH852),$AH$2:$AH$1001,0),MATCH(COLUMNS($AO$1006:AY1006),$AO$1006:$BQ$1006,0)), HYPERLINK("#",""), HYPERLINK(CONCATENATE("#Metadata!", ADDRESS(INDEX($AJ$2:$AJ$1001,MATCH(ROWS($AH$2:AH852),$AH$2:$AH$1001,0),0), INDEX($AO$1004:$BQ$1004,1,MATCH(COLUMNS($AO$1006:AY1006),$AO$1006:$BQ$1006,0)))),"Fix")))</f>
        <v>#N/A</v>
      </c>
      <c r="M852" s="5" t="e">
        <f ca="1">IF(OR(INDEX($AI$2:$AI$1001,MATCH(ROWS($AH$2:AH852),$AH$2:$AH$1001,0),1)&gt;=100000,INDEX($AO$1005:$BQ$1005,1,MATCH(COLUMNS($AO$1006:AZ1006),$AO$1006:$BQ$1006,0))&gt;=100000), " ",IF(INDEX($AO$2:$BQ$1001,MATCH(ROWS($AH$2:AH852),$AH$2:$AH$1001,0),MATCH(COLUMNS($AO$1006:AZ1006),$AO$1006:$BQ$1006,0)), HYPERLINK("#",""), HYPERLINK(CONCATENATE("#Metadata!", ADDRESS(INDEX($AJ$2:$AJ$1001,MATCH(ROWS($AH$2:AH852),$AH$2:$AH$1001,0),0), INDEX($AO$1004:$BQ$1004,1,MATCH(COLUMNS($AO$1006:AZ1006),$AO$1006:$BQ$1006,0)))),"Fix")))</f>
        <v>#N/A</v>
      </c>
      <c r="N852" s="5" t="e">
        <f ca="1">IF(OR(INDEX($AI$2:$AI$1001,MATCH(ROWS($AH$2:AH852),$AH$2:$AH$1001,0),1)&gt;=100000,INDEX($AO$1005:$BQ$1005,1,MATCH(COLUMNS($AO$1006:BA1006),$AO$1006:$BQ$1006,0))&gt;=100000), " ",IF(INDEX($AO$2:$BQ$1001,MATCH(ROWS($AH$2:AH852),$AH$2:$AH$1001,0),MATCH(COLUMNS($AO$1006:BA1006),$AO$1006:$BQ$1006,0)), HYPERLINK("#",""), HYPERLINK(CONCATENATE("#Metadata!", ADDRESS(INDEX($AJ$2:$AJ$1001,MATCH(ROWS($AH$2:AH852),$AH$2:$AH$1001,0),0), INDEX($AO$1004:$BQ$1004,1,MATCH(COLUMNS($AO$1006:BA1006),$AO$1006:$BQ$1006,0)))),"Fix")))</f>
        <v>#N/A</v>
      </c>
      <c r="O852" s="5" t="e">
        <f ca="1">IF(OR(INDEX($AI$2:$AI$1001,MATCH(ROWS($AH$2:AH852),$AH$2:$AH$1001,0),1)&gt;=100000,INDEX($AO$1005:$BQ$1005,1,MATCH(COLUMNS($AO$1006:BB1006),$AO$1006:$BQ$1006,0))&gt;=100000), " ",IF(INDEX($AO$2:$BQ$1001,MATCH(ROWS($AH$2:AH852),$AH$2:$AH$1001,0),MATCH(COLUMNS($AO$1006:BB1006),$AO$1006:$BQ$1006,0)), HYPERLINK("#",""), HYPERLINK(CONCATENATE("#Metadata!", ADDRESS(INDEX($AJ$2:$AJ$1001,MATCH(ROWS($AH$2:AH852),$AH$2:$AH$1001,0),0), INDEX($AO$1004:$BQ$1004,1,MATCH(COLUMNS($AO$1006:BB1006),$AO$1006:$BQ$1006,0)))),"Fix")))</f>
        <v>#N/A</v>
      </c>
      <c r="P852" s="5" t="e">
        <f ca="1">IF(OR(INDEX($AI$2:$AI$1001,MATCH(ROWS($AH$2:AH852),$AH$2:$AH$1001,0),1)&gt;=100000,INDEX($AO$1005:$BQ$1005,1,MATCH(COLUMNS($AO$1006:BC1006),$AO$1006:$BQ$1006,0))&gt;=100000), " ",IF(INDEX($AO$2:$BQ$1001,MATCH(ROWS($AH$2:AH852),$AH$2:$AH$1001,0),MATCH(COLUMNS($AO$1006:BC1006),$AO$1006:$BQ$1006,0)), HYPERLINK("#",""), HYPERLINK(CONCATENATE("#Metadata!", ADDRESS(INDEX($AJ$2:$AJ$1001,MATCH(ROWS($AH$2:AH852),$AH$2:$AH$1001,0),0), INDEX($AO$1004:$BQ$1004,1,MATCH(COLUMNS($AO$1006:BC1006),$AO$1006:$BQ$1006,0)))),"Fix")))</f>
        <v>#N/A</v>
      </c>
      <c r="Q852" s="5" t="e">
        <f ca="1">IF(OR(INDEX($AI$2:$AI$1001,MATCH(ROWS($AH$2:AH852),$AH$2:$AH$1001,0),1)&gt;=100000,INDEX($AO$1005:$BQ$1005,1,MATCH(COLUMNS($AO$1006:BD1006),$AO$1006:$BQ$1006,0))&gt;=100000), " ",IF(INDEX($AO$2:$BQ$1001,MATCH(ROWS($AH$2:AH852),$AH$2:$AH$1001,0),MATCH(COLUMNS($AO$1006:BD1006),$AO$1006:$BQ$1006,0)), HYPERLINK("#",""), HYPERLINK(CONCATENATE("#Metadata!", ADDRESS(INDEX($AJ$2:$AJ$1001,MATCH(ROWS($AH$2:AH852),$AH$2:$AH$1001,0),0), INDEX($AO$1004:$BQ$1004,1,MATCH(COLUMNS($AO$1006:BD1006),$AO$1006:$BQ$1006,0)))),"Fix")))</f>
        <v>#N/A</v>
      </c>
      <c r="R852" s="5" t="e">
        <f ca="1">IF(OR(INDEX($AI$2:$AI$1001,MATCH(ROWS($AH$2:AH852),$AH$2:$AH$1001,0),1)&gt;=100000,INDEX($AO$1005:$BQ$1005,1,MATCH(COLUMNS($AO$1006:BE1006),$AO$1006:$BQ$1006,0))&gt;=100000), " ",IF(INDEX($AO$2:$BQ$1001,MATCH(ROWS($AH$2:AH852),$AH$2:$AH$1001,0),MATCH(COLUMNS($AO$1006:BE1006),$AO$1006:$BQ$1006,0)), HYPERLINK("#",""), HYPERLINK(CONCATENATE("#Metadata!", ADDRESS(INDEX($AJ$2:$AJ$1001,MATCH(ROWS($AH$2:AH852),$AH$2:$AH$1001,0),0), INDEX($AO$1004:$BQ$1004,1,MATCH(COLUMNS($AO$1006:BE1006),$AO$1006:$BQ$1006,0)))),"Fix")))</f>
        <v>#N/A</v>
      </c>
      <c r="S852" s="5" t="e">
        <f ca="1">IF(OR(INDEX($AI$2:$AI$1001,MATCH(ROWS($AH$2:AH852),$AH$2:$AH$1001,0),1)&gt;=100000,INDEX($AO$1005:$BQ$1005,1,MATCH(COLUMNS($AO$1006:BF1006),$AO$1006:$BQ$1006,0))&gt;=100000), " ",IF(INDEX($AO$2:$BQ$1001,MATCH(ROWS($AH$2:AH852),$AH$2:$AH$1001,0),MATCH(COLUMNS($AO$1006:BF1006),$AO$1006:$BQ$1006,0)), HYPERLINK("#",""), HYPERLINK(CONCATENATE("#Metadata!", ADDRESS(INDEX($AJ$2:$AJ$1001,MATCH(ROWS($AH$2:AH852),$AH$2:$AH$1001,0),0), INDEX($AO$1004:$BQ$1004,1,MATCH(COLUMNS($AO$1006:BF1006),$AO$1006:$BQ$1006,0)))),"Fix")))</f>
        <v>#N/A</v>
      </c>
      <c r="T852" s="5" t="e">
        <f ca="1">IF(OR(INDEX($AI$2:$AI$1001,MATCH(ROWS($AH$2:AH852),$AH$2:$AH$1001,0),1)&gt;=100000,INDEX($AO$1005:$BQ$1005,1,MATCH(COLUMNS($AO$1006:BG1006),$AO$1006:$BQ$1006,0))&gt;=100000), " ",IF(INDEX($AO$2:$BQ$1001,MATCH(ROWS($AH$2:AH852),$AH$2:$AH$1001,0),MATCH(COLUMNS($AO$1006:BG1006),$AO$1006:$BQ$1006,0)), HYPERLINK("#",""), HYPERLINK(CONCATENATE("#Metadata!", ADDRESS(INDEX($AJ$2:$AJ$1001,MATCH(ROWS($AH$2:AH852),$AH$2:$AH$1001,0),0), INDEX($AO$1004:$BQ$1004,1,MATCH(COLUMNS($AO$1006:BG1006),$AO$1006:$BQ$1006,0)))),"Fix")))</f>
        <v>#N/A</v>
      </c>
      <c r="U852" s="5" t="e">
        <f ca="1">IF(OR(INDEX($AI$2:$AI$1001,MATCH(ROWS($AH$2:AH852),$AH$2:$AH$1001,0),1)&gt;=100000,INDEX($AO$1005:$BQ$1005,1,MATCH(COLUMNS($AO$1006:BH1006),$AO$1006:$BQ$1006,0))&gt;=100000), " ",IF(INDEX($AO$2:$BQ$1001,MATCH(ROWS($AH$2:AH852),$AH$2:$AH$1001,0),MATCH(COLUMNS($AO$1006:BH1006),$AO$1006:$BQ$1006,0)), HYPERLINK("#",""), HYPERLINK(CONCATENATE("#Metadata!", ADDRESS(INDEX($AJ$2:$AJ$1001,MATCH(ROWS($AH$2:AH852),$AH$2:$AH$1001,0),0), INDEX($AO$1004:$BQ$1004,1,MATCH(COLUMNS($AO$1006:BH1006),$AO$1006:$BQ$1006,0)))),"Fix")))</f>
        <v>#N/A</v>
      </c>
      <c r="V852" s="5" t="e">
        <f ca="1">IF(OR(INDEX($AI$2:$AI$1001,MATCH(ROWS($AH$2:AH852),$AH$2:$AH$1001,0),1)&gt;=100000,INDEX($AO$1005:$BQ$1005,1,MATCH(COLUMNS($AO$1006:BI1006),$AO$1006:$BQ$1006,0))&gt;=100000), " ",IF(INDEX($AO$2:$BQ$1001,MATCH(ROWS($AH$2:AH852),$AH$2:$AH$1001,0),MATCH(COLUMNS($AO$1006:BI1006),$AO$1006:$BQ$1006,0)), HYPERLINK("#",""), HYPERLINK(CONCATENATE("#Metadata!", ADDRESS(INDEX($AJ$2:$AJ$1001,MATCH(ROWS($AH$2:AH852),$AH$2:$AH$1001,0),0), INDEX($AO$1004:$BQ$1004,1,MATCH(COLUMNS($AO$1006:BI1006),$AO$1006:$BQ$1006,0)))),"Fix")))</f>
        <v>#N/A</v>
      </c>
      <c r="W852" s="5" t="e">
        <f ca="1">IF(OR(INDEX($AI$2:$AI$1001,MATCH(ROWS($AH$2:AH852),$AH$2:$AH$1001,0),1)&gt;=100000,INDEX($AO$1005:$BQ$1005,1,MATCH(COLUMNS($AO$1006:BJ1006),$AO$1006:$BQ$1006,0))&gt;=100000), " ",IF(INDEX($AO$2:$BQ$1001,MATCH(ROWS($AH$2:AH852),$AH$2:$AH$1001,0),MATCH(COLUMNS($AO$1006:BJ1006),$AO$1006:$BQ$1006,0)), HYPERLINK("#",""), HYPERLINK(CONCATENATE("#Metadata!", ADDRESS(INDEX($AJ$2:$AJ$1001,MATCH(ROWS($AH$2:AH852),$AH$2:$AH$1001,0),0), INDEX($AO$1004:$BQ$1004,1,MATCH(COLUMNS($AO$1006:BJ1006),$AO$1006:$BQ$1006,0)))),"Fix")))</f>
        <v>#N/A</v>
      </c>
      <c r="X852" s="5" t="e">
        <f ca="1">IF(OR(INDEX($AI$2:$AI$1001,MATCH(ROWS($AH$2:AH852),$AH$2:$AH$1001,0),1)&gt;=100000,INDEX($AO$1005:$BQ$1005,1,MATCH(COLUMNS($AO$1006:BK1006),$AO$1006:$BQ$1006,0))&gt;=100000), " ",IF(INDEX($AO$2:$BQ$1001,MATCH(ROWS($AH$2:AH852),$AH$2:$AH$1001,0),MATCH(COLUMNS($AO$1006:BK1006),$AO$1006:$BQ$1006,0)), HYPERLINK("#",""), HYPERLINK(CONCATENATE("#Metadata!", ADDRESS(INDEX($AJ$2:$AJ$1001,MATCH(ROWS($AH$2:AH852),$AH$2:$AH$1001,0),0), INDEX($AO$1004:$BQ$1004,1,MATCH(COLUMNS($AO$1006:BK1006),$AO$1006:$BQ$1006,0)))),"Fix")))</f>
        <v>#N/A</v>
      </c>
      <c r="Y852" s="5" t="e">
        <f ca="1">IF(OR(INDEX($AI$2:$AI$1001,MATCH(ROWS($AH$2:AH852),$AH$2:$AH$1001,0),1)&gt;=100000,INDEX($AO$1005:$BQ$1005,1,MATCH(COLUMNS($AO$1006:BL1006),$AO$1006:$BQ$1006,0))&gt;=100000), " ",IF(INDEX($AO$2:$BQ$1001,MATCH(ROWS($AH$2:AH852),$AH$2:$AH$1001,0),MATCH(COLUMNS($AO$1006:BL1006),$AO$1006:$BQ$1006,0)), HYPERLINK("#",""), HYPERLINK(CONCATENATE("#Metadata!", ADDRESS(INDEX($AJ$2:$AJ$1001,MATCH(ROWS($AH$2:AH852),$AH$2:$AH$1001,0),0), INDEX($AO$1004:$BQ$1004,1,MATCH(COLUMNS($AO$1006:BL1006),$AO$1006:$BQ$1006,0)))),"Fix")))</f>
        <v>#N/A</v>
      </c>
      <c r="Z852" s="5" t="e">
        <f ca="1">IF(OR(INDEX($AI$2:$AI$1001,MATCH(ROWS($AH$2:AH852),$AH$2:$AH$1001,0),1)&gt;=100000,INDEX($AO$1005:$BQ$1005,1,MATCH(COLUMNS($AO$1006:BM1006),$AO$1006:$BQ$1006,0))&gt;=100000), " ",IF(INDEX($AO$2:$BQ$1001,MATCH(ROWS($AH$2:AH852),$AH$2:$AH$1001,0),MATCH(COLUMNS($AO$1006:BM1006),$AO$1006:$BQ$1006,0)), HYPERLINK("#",""), HYPERLINK(CONCATENATE("#Metadata!", ADDRESS(INDEX($AJ$2:$AJ$1001,MATCH(ROWS($AH$2:AH852),$AH$2:$AH$1001,0),0), INDEX($AO$1004:$BQ$1004,1,MATCH(COLUMNS($AO$1006:BM1006),$AO$1006:$BQ$1006,0)))),"Fix")))</f>
        <v>#N/A</v>
      </c>
      <c r="AA852" s="5" t="e">
        <f ca="1">IF(OR(INDEX($AI$2:$AI$1001,MATCH(ROWS($AH$2:AH852),$AH$2:$AH$1001,0),1)&gt;=100000,INDEX($AO$1005:$BQ$1005,1,MATCH(COLUMNS($AO$1006:BN1006),$AO$1006:$BQ$1006,0))&gt;=100000), " ",IF(INDEX($AO$2:$BQ$1001,MATCH(ROWS($AH$2:AH852),$AH$2:$AH$1001,0),MATCH(COLUMNS($AO$1006:BN1006),$AO$1006:$BQ$1006,0)), HYPERLINK("#",""), HYPERLINK(CONCATENATE("#Metadata!", ADDRESS(INDEX($AJ$2:$AJ$1001,MATCH(ROWS($AH$2:AH852),$AH$2:$AH$1001,0),0), INDEX($AO$1004:$BQ$1004,1,MATCH(COLUMNS($AO$1006:BN1006),$AO$1006:$BQ$1006,0)))),"Fix")))</f>
        <v>#N/A</v>
      </c>
      <c r="AB852" s="5" t="e">
        <f ca="1">IF(OR(INDEX($AI$2:$AI$1001,MATCH(ROWS($AH$2:AH852),$AH$2:$AH$1001,0),1)&gt;=100000,INDEX($AO$1005:$BQ$1005,1,MATCH(COLUMNS($AO$1006:BO1006),$AO$1006:$BQ$1006,0))&gt;=100000), " ",IF(INDEX($AO$2:$BQ$1001,MATCH(ROWS($AH$2:AH852),$AH$2:$AH$1001,0),MATCH(COLUMNS($AO$1006:BO1006),$AO$1006:$BQ$1006,0)), HYPERLINK("#",""), HYPERLINK(CONCATENATE("#Metadata!", ADDRESS(INDEX($AJ$2:$AJ$1001,MATCH(ROWS($AH$2:AH852),$AH$2:$AH$1001,0),0), INDEX($AO$1004:$BQ$1004,1,MATCH(COLUMNS($AO$1006:BO1006),$AO$1006:$BQ$1006,0)))),"Fix")))</f>
        <v>#N/A</v>
      </c>
      <c r="AC852" s="5" t="e">
        <f ca="1">IF(OR(INDEX($AI$2:$AI$1001,MATCH(ROWS($AH$2:AH852),$AH$2:$AH$1001,0),1)&gt;=100000,INDEX($AO$1005:$BQ$1005,1,MATCH(COLUMNS($AO$1006:BP1006),$AO$1006:$BQ$1006,0))&gt;=100000), " ",IF(INDEX($AO$2:$BQ$1001,MATCH(ROWS($AH$2:AH852),$AH$2:$AH$1001,0),MATCH(COLUMNS($AO$1006:BP1006),$AO$1006:$BQ$1006,0)), HYPERLINK("#",""), HYPERLINK(CONCATENATE("#Metadata!", ADDRESS(INDEX($AJ$2:$AJ$1001,MATCH(ROWS($AH$2:AH852),$AH$2:$AH$1001,0),0), INDEX($AO$1004:$BQ$1004,1,MATCH(COLUMNS($AO$1006:BP1006),$AO$1006:$BQ$1006,0)))),"Fix")))</f>
        <v>#N/A</v>
      </c>
      <c r="AD852" s="5" t="e">
        <f ca="1">IF(OR(INDEX($AI$2:$AI$1001,MATCH(ROWS($AH$2:AH852),$AH$2:$AH$1001,0),1)&gt;=100000,INDEX($AO$1005:$BQ$1005,1,MATCH(COLUMNS($AO$1006:BQ1006),$AO$1006:$BQ$1006,0))&gt;=100000), " ",IF(INDEX($AO$2:$BQ$1001,MATCH(ROWS($AH$2:AH852),$AH$2:$AH$1001,0),MATCH(COLUMNS($AO$1006:BQ1006),$AO$1006:$BQ$1006,0)), HYPERLINK("#",""), HYPERLINK(CONCATENATE("#Metadata!", ADDRESS(INDEX($AJ$2:$AJ$1001,MATCH(ROWS($AH$2:AH852),$AH$2:$AH$1001,0),0), INDEX($AO$1004:$BQ$1004,1,MATCH(COLUMNS($AO$1006:BQ1006),$AO$1006:$BQ$1006,0)))),"Fix")))</f>
        <v>#REF!</v>
      </c>
      <c r="AH852">
        <f ca="1"/>
        <v>849</v>
      </c>
      <c r="AI852">
        <v>100852</v>
      </c>
      <c r="AJ852">
        <v>852</v>
      </c>
      <c r="AK852" t="b">
        <f t="shared" si="13"/>
        <v>1</v>
      </c>
      <c r="AL852" t="b">
        <f>COUNTBLANK(Metadata!B852:AD852)=COLUMNS(Metadata!B852:AD852)</f>
        <v>1</v>
      </c>
      <c r="AM852" t="str">
        <v/>
      </c>
      <c r="AO852" t="b">
        <f ca="1">AND(IF(Metadata!B852="",FALSE,TRUE),COUNTIF(Metadata!B:B, Metadata!B852) = 1,NOT(ISERROR(SUMPRODUCT(SEARCH(MID(Metadata!B852,ROW(INDIRECT("1:"&amp;LEN(Metadata!B852))), 1),"0123456789abcdefghijklmnopqrstuvwxyzABCDEFGHIJKLMNOPQRSTUVWXYZ.")))))</f>
        <v>0</v>
      </c>
      <c r="AP852" t="b">
        <f>IF(Metadata!C852="",FALSE,TRUE)</f>
        <v>0</v>
      </c>
      <c r="AQ852" t="b">
        <f>IF(Metadata!D852="",FALSE,TRUE)</f>
        <v>0</v>
      </c>
      <c r="AR852" t="b">
        <f ca="1">OR(AND(IF(Metadata!E852="",FALSE,TRUE),OR(EXACT(Metadata!E852,"not collected"),EXACT(Metadata!E852,"not provided"),EXACT(Metadata!E852,"restricted access"))),AND(IF(Metadata!E852="",FALSE,TRUE),AND(AND(IFERROR(INT(LEFT(Metadata!E852,4))&gt;1900,FALSE),IFERROR(INT(LEFT(Metadata!E852,4))&lt;=YEAR(NOW()),FALSE)), OR(MID(Metadata!E852,5,1)="", AND(AND(MID(Metadata!E852,5,1)="-",IFERROR(INT(MID(Metadata!E852,6,1))&gt;=0,FALSE),IFERROR(INT(MID(Metadata!E852,6,1))&lt;=1,FALSE),NOT(MID(Metadata!E852,7,1)=""),IFERROR(INT(MID(Metadata!E852,6,2))&gt;=1,FALSE),IFERROR(INT(MID(Metadata!E852,6,2))&lt;=12,FALSE)), OR(MID(Metadata!E852,8,1)="", AND(AND(MID(Metadata!E852,8,1)="-",IFERROR(INT(MID(Metadata!E852,9,1))&gt;=0,FALSE),IFERROR(INT(MID(Metadata!E852,9,1))&lt;=3,FALSE),NOT(MID(Metadata!E852,10,1)=""),IFERROR(INT(MID(Metadata!E852,9,2))&gt;=1,FALSE),IFERROR(INT(MID(Metadata!E852,9,2))&lt;=31,FALSE)), OR(MID(Metadata!E852,11,1)="", AND(AND(MID(Metadata!E852,11,1)=" ",IFERROR(INT(MID(Metadata!E852,12,1))&gt;=0,FALSE),IFERROR(INT(MID(Metadata!E852,12,1))&lt;=2,FALSE),NOT(MID(Metadata!E852,13,1)=""),IFERROR(INT(MID(Metadata!E852,12,2))&gt;=0,FALSE),IFERROR(INT(MID(Metadata!E852,12,2))&lt;=23,FALSE)), OR(MID(Metadata!E852,14,1)="", AND(AND(MID(Metadata!E852,14,1)=":",IFERROR(INT(MID(Metadata!E852,15,1))&gt;=0,FALSE),IFERROR(INT(MID(Metadata!E852,15,1))&lt;=5,FALSE),NOT(MID(Metadata!E852,16,1)=""),IFERROR(INT(MID(Metadata!E852,15,2))&gt;=0,FALSE),IFERROR(INT(MID(Metadata!E852,15,2))&lt;=59,FALSE)), OR(MID(Metadata!E852,17,1)="", AND(AND(MID(Metadata!E852,17,1)=":",IFERROR(INT(MID(Metadata!E852,18,1))&gt;=0,FALSE),IFERROR(INT(MID(Metadata!E852,18,1))&lt;=5,FALSE),NOT(MID(Metadata!E852,19,1)=""),IFERROR(INT(MID(Metadata!E852,18,2))&gt;=0,FALSE),IFERROR(INT(MID(Metadata!E852,18,2))&lt;=59,FALSE)), LEN(Metadata!E852)&lt;=19)))))))))))))</f>
        <v>0</v>
      </c>
      <c r="AS852" t="b">
        <f>IF(Metadata!F852="",FALSE,TRUE)</f>
        <v>0</v>
      </c>
      <c r="AT852" t="b">
        <f>OR(AND(IF(Metadata!G852="",FALSE,TRUE),OR(EXACT(Metadata!G852,"not collected"),EXACT(Metadata!G852,"not provided"))),AND(IF(Metadata!G852="",FALSE,TRUE),OR(EXACT(Metadata!G852,"TRUE"),EXACT(Metadata!G852,"FALSE"))))</f>
        <v>0</v>
      </c>
      <c r="AU852" t="b">
        <f>OR(AND(IF(Metadata!H852="",FALSE,TRUE),OR(EXACT(Metadata!H852,"not collected"),EXACT(Metadata!H852,"not provided"),EXACT(Metadata!H852,"restricted access"))),AND(IF(Metadata!H852="",FALSE,ISNUMBER(VALUE(Metadata!H852))),Metadata!H852&gt;=-413))</f>
        <v>0</v>
      </c>
      <c r="AV852" t="b">
        <f>AND(IF(Metadata!I852="",FALSE,TRUE),EXACT(Metadata!I852,"meters"))</f>
        <v>0</v>
      </c>
      <c r="AW852" t="b">
        <f>AND(IF(Metadata!J852="",FALSE,TRUE),EXACT(Metadata!J852,"free-living"))</f>
        <v>0</v>
      </c>
      <c r="AX852" t="b">
        <f>AND(IF(Metadata!K852="",FALSE,TRUE),OR(EXACT(Metadata!K852,"saline"),EXACT(Metadata!K852,"non-saline")))</f>
        <v>0</v>
      </c>
      <c r="AY852" t="b">
        <f>AND(IF(Metadata!L852="",FALSE,TRUE),OR(EXACT(Metadata!L852,"sub-surface (non-saline)"),EXACT(Metadata!L852,"surface (non-saline)"),EXACT(Metadata!L852,"water (non-saline)"),EXACT(Metadata!L852,"soil (non-saline)"),EXACT(Metadata!L852,"aerosol (non-saline)"),EXACT(Metadata!L852,"sediment (non-saline)"),EXACT(Metadata!L852,"surface (saline)"),EXACT(Metadata!L852,"water (saline)"),EXACT(Metadata!L852,"hypersaline (saline)"),EXACT(Metadata!L852,"aerosol (saline)"),EXACT(Metadata!L852,"sediment (saline)")))</f>
        <v>0</v>
      </c>
      <c r="AZ852" t="b">
        <f>IF(Metadata!M852="",FALSE,TRUE)</f>
        <v>0</v>
      </c>
      <c r="BA852" t="b">
        <f>IF(Metadata!N852="",FALSE,TRUE)</f>
        <v>0</v>
      </c>
      <c r="BB852" t="b">
        <f>IF(Metadata!O852="",FALSE,TRUE)</f>
        <v>0</v>
      </c>
      <c r="BC852" t="b">
        <f>AND(IF(Metadata!P852="",FALSE,TRUE),OR(EXACT(Metadata!P852,"air"),EXACT(Metadata!P852,"microbial mat/biofilm"),EXACT(Metadata!P852,"misc environment"),EXACT(Metadata!P852,"sediment"),EXACT(Metadata!P852,"soil"),EXACT(Metadata!P852,"wastewater/sludge"),EXACT(Metadata!P852,"water")))</f>
        <v>0</v>
      </c>
      <c r="BD852" t="b">
        <f>IF(Metadata!Q852="",FALSE,TRUE)</f>
        <v>0</v>
      </c>
      <c r="BE852" t="b">
        <f>IF(Metadata!R852="",FALSE,TRUE)</f>
        <v>0</v>
      </c>
      <c r="BF852" t="b">
        <f>OR(AND(IF(Metadata!S852="",FALSE,TRUE),OR(EXACT(Metadata!S852,"not collected"),EXACT(Metadata!S852,"not provided"),EXACT(Metadata!S852,"restricted access"))),AND(IF(Metadata!S852="",FALSE,ISNUMBER(VALUE(Metadata!S852))),Metadata!S852&gt;=-90,Metadata!S852&lt;=90))</f>
        <v>0</v>
      </c>
      <c r="BG852" t="b">
        <f>AND(IF(Metadata!T852="",FALSE,TRUE),EXACT(Metadata!T852,"Decimal degrees"))</f>
        <v>0</v>
      </c>
      <c r="BH852" t="b">
        <f>OR(AND(IF(Metadata!U852="",FALSE,TRUE),OR(EXACT(Metadata!U852,"not applicable"),EXACT(Metadata!U852,"not collected"))),IF(Metadata!U852="",FALSE,TRUE))</f>
        <v>0</v>
      </c>
      <c r="BI852" t="b">
        <f>OR(AND(IF(Metadata!V852="",FALSE,TRUE),OR(EXACT(Metadata!V852,"not collected"),EXACT(Metadata!V852,"not provided"),EXACT(Metadata!V852,"restricted access"))),AND(IF(Metadata!V852="",FALSE,ISNUMBER(VALUE(Metadata!V852))),Metadata!V852&gt;=-180,Metadata!V852&lt;=180))</f>
        <v>0</v>
      </c>
      <c r="BJ852" t="b">
        <f>AND(IF(Metadata!W852="",FALSE,TRUE),EXACT(Metadata!W852,"Decimal degrees"))</f>
        <v>0</v>
      </c>
      <c r="BK852" t="b">
        <f>IF(Metadata!X852="",FALSE,TRUE)</f>
        <v>0</v>
      </c>
      <c r="BL852" t="b">
        <f>OR(AND(IF(Metadata!Y852="",FALSE,TRUE),OR(EXACT(Metadata!Y852,"not collected"),EXACT(Metadata!Y852,"not provided"),EXACT(Metadata!Y852,"restricted access"))),AND(IF(Metadata!Y852="",FALSE,TRUE),OR(EXACT(Metadata!Y852,"TRUE"),EXACT(Metadata!Y852,"FALSE"))))</f>
        <v>0</v>
      </c>
      <c r="BM852" t="b">
        <f>OR(AND(IF(Metadata!Z852="",FALSE,TRUE),EXACT(Metadata!Z852,"not applicable")),AND(IF(Metadata!Z852="",FALSE,TRUE),OR(EXACT(Metadata!Z852,"beer"),EXACT(Metadata!Z852,"cheese"),EXACT(Metadata!Z852,"fresh water"),EXACT(Metadata!Z852,"marine sediment"),EXACT(Metadata!Z852,"sea water"),EXACT(Metadata!Z852,"sediment"),EXACT(Metadata!Z852,"soil"),EXACT(Metadata!Z852,"waste water"))))</f>
        <v>0</v>
      </c>
      <c r="BN852" t="b">
        <f>AND(IF(Metadata!AA852="",FALSE,TRUE),EXACT(Metadata!AA852,"metagenome"))</f>
        <v>0</v>
      </c>
      <c r="BO852" t="b">
        <f>AND(IF(Metadata!AB852="",FALSE,TRUE),EXACT(Metadata!AB852,"256318"))</f>
        <v>0</v>
      </c>
      <c r="BP852" t="b">
        <f>IF(Metadata!AC852="",FALSE,TRUE)</f>
        <v>0</v>
      </c>
      <c r="BQ852" t="b">
        <f>IF(Metadata!AD852="",FALSE,TRUE)</f>
        <v>0</v>
      </c>
    </row>
    <row r="853" spans="1:69" x14ac:dyDescent="0.2">
      <c r="A853" s="4" t="e">
        <f ca="1">IF(B853=" "," ",HYPERLINK(CONCATENATE("#metadata!",ADDRESS(INDEX($AJ$2:$AJ$1001,MATCH(ROWS($AH$2:AH853),$AH$2:$AH$1001,0),0),2)),INDEX($AM$2:$AM$1001,MATCH(ROWS($AH$2:AH853),$AH$2:$AH$1001,0),0)))</f>
        <v>#N/A</v>
      </c>
      <c r="B853" s="5" t="e">
        <f ca="1">IF(OR(INDEX($AI$2:$AI$1001,MATCH(ROWS($AH$2:AH853),$AH$2:$AH$1001,0),1)&gt;=100000,INDEX($AO$1005:$BQ$1005,1,MATCH(COLUMNS($AO$1006:AO1006),$AO$1006:$BQ$1006,0))&gt;=100000), " ",IF(INDEX($AO$2:$BQ$1001,MATCH(ROWS($AH$2:AH853),$AH$2:$AH$1001,0),MATCH(COLUMNS($AO$1006:AO1006),$AO$1006:$BQ$1006,0)), HYPERLINK("#",""), HYPERLINK(CONCATENATE("#Metadata!", ADDRESS(INDEX($AJ$2:$AJ$1001,MATCH(ROWS($AH$2:AH853),$AH$2:$AH$1001,0),0), INDEX($AO$1004:$BQ$1004,1,MATCH(COLUMNS($AO$1006:AO1006),$AO$1006:$BQ$1006,0)))),"Fix")))</f>
        <v>#N/A</v>
      </c>
      <c r="C853" s="5" t="e">
        <f ca="1">IF(OR(INDEX($AI$2:$AI$1001,MATCH(ROWS($AH$2:AH853),$AH$2:$AH$1001,0),1)&gt;=100000,INDEX($AO$1005:$BQ$1005,1,MATCH(COLUMNS($AO$1006:AP1006),$AO$1006:$BQ$1006,0))&gt;=100000), " ",IF(INDEX($AO$2:$BQ$1001,MATCH(ROWS($AH$2:AH853),$AH$2:$AH$1001,0),MATCH(COLUMNS($AO$1006:AP1006),$AO$1006:$BQ$1006,0)), HYPERLINK("#",""), HYPERLINK(CONCATENATE("#Metadata!", ADDRESS(INDEX($AJ$2:$AJ$1001,MATCH(ROWS($AH$2:AH853),$AH$2:$AH$1001,0),0), INDEX($AO$1004:$BQ$1004,1,MATCH(COLUMNS($AO$1006:AP1006),$AO$1006:$BQ$1006,0)))),"Fix")))</f>
        <v>#N/A</v>
      </c>
      <c r="D853" s="5" t="e">
        <f ca="1">IF(OR(INDEX($AI$2:$AI$1001,MATCH(ROWS($AH$2:AH853),$AH$2:$AH$1001,0),1)&gt;=100000,INDEX($AO$1005:$BQ$1005,1,MATCH(COLUMNS($AO$1006:AQ1006),$AO$1006:$BQ$1006,0))&gt;=100000), " ",IF(INDEX($AO$2:$BQ$1001,MATCH(ROWS($AH$2:AH853),$AH$2:$AH$1001,0),MATCH(COLUMNS($AO$1006:AQ1006),$AO$1006:$BQ$1006,0)), HYPERLINK("#",""), HYPERLINK(CONCATENATE("#Metadata!", ADDRESS(INDEX($AJ$2:$AJ$1001,MATCH(ROWS($AH$2:AH853),$AH$2:$AH$1001,0),0), INDEX($AO$1004:$BQ$1004,1,MATCH(COLUMNS($AO$1006:AQ1006),$AO$1006:$BQ$1006,0)))),"Fix")))</f>
        <v>#N/A</v>
      </c>
      <c r="E853" s="5" t="e">
        <f ca="1">IF(OR(INDEX($AI$2:$AI$1001,MATCH(ROWS($AH$2:AH853),$AH$2:$AH$1001,0),1)&gt;=100000,INDEX($AO$1005:$BQ$1005,1,MATCH(COLUMNS($AO$1006:AR1006),$AO$1006:$BQ$1006,0))&gt;=100000), " ",IF(INDEX($AO$2:$BQ$1001,MATCH(ROWS($AH$2:AH853),$AH$2:$AH$1001,0),MATCH(COLUMNS($AO$1006:AR1006),$AO$1006:$BQ$1006,0)), HYPERLINK("#",""), HYPERLINK(CONCATENATE("#Metadata!", ADDRESS(INDEX($AJ$2:$AJ$1001,MATCH(ROWS($AH$2:AH853),$AH$2:$AH$1001,0),0), INDEX($AO$1004:$BQ$1004,1,MATCH(COLUMNS($AO$1006:AR1006),$AO$1006:$BQ$1006,0)))),"Fix")))</f>
        <v>#N/A</v>
      </c>
      <c r="F853" s="5" t="e">
        <f ca="1">IF(OR(INDEX($AI$2:$AI$1001,MATCH(ROWS($AH$2:AH853),$AH$2:$AH$1001,0),1)&gt;=100000,INDEX($AO$1005:$BQ$1005,1,MATCH(COLUMNS($AO$1006:AS1006),$AO$1006:$BQ$1006,0))&gt;=100000), " ",IF(INDEX($AO$2:$BQ$1001,MATCH(ROWS($AH$2:AH853),$AH$2:$AH$1001,0),MATCH(COLUMNS($AO$1006:AS1006),$AO$1006:$BQ$1006,0)), HYPERLINK("#",""), HYPERLINK(CONCATENATE("#Metadata!", ADDRESS(INDEX($AJ$2:$AJ$1001,MATCH(ROWS($AH$2:AH853),$AH$2:$AH$1001,0),0), INDEX($AO$1004:$BQ$1004,1,MATCH(COLUMNS($AO$1006:AS1006),$AO$1006:$BQ$1006,0)))),"Fix")))</f>
        <v>#N/A</v>
      </c>
      <c r="G853" s="5" t="e">
        <f ca="1">IF(OR(INDEX($AI$2:$AI$1001,MATCH(ROWS($AH$2:AH853),$AH$2:$AH$1001,0),1)&gt;=100000,INDEX($AO$1005:$BQ$1005,1,MATCH(COLUMNS($AO$1006:AT1006),$AO$1006:$BQ$1006,0))&gt;=100000), " ",IF(INDEX($AO$2:$BQ$1001,MATCH(ROWS($AH$2:AH853),$AH$2:$AH$1001,0),MATCH(COLUMNS($AO$1006:AT1006),$AO$1006:$BQ$1006,0)), HYPERLINK("#",""), HYPERLINK(CONCATENATE("#Metadata!", ADDRESS(INDEX($AJ$2:$AJ$1001,MATCH(ROWS($AH$2:AH853),$AH$2:$AH$1001,0),0), INDEX($AO$1004:$BQ$1004,1,MATCH(COLUMNS($AO$1006:AT1006),$AO$1006:$BQ$1006,0)))),"Fix")))</f>
        <v>#N/A</v>
      </c>
      <c r="H853" s="5" t="e">
        <f ca="1">IF(OR(INDEX($AI$2:$AI$1001,MATCH(ROWS($AH$2:AH853),$AH$2:$AH$1001,0),1)&gt;=100000,INDEX($AO$1005:$BQ$1005,1,MATCH(COLUMNS($AO$1006:AU1006),$AO$1006:$BQ$1006,0))&gt;=100000), " ",IF(INDEX($AO$2:$BQ$1001,MATCH(ROWS($AH$2:AH853),$AH$2:$AH$1001,0),MATCH(COLUMNS($AO$1006:AU1006),$AO$1006:$BQ$1006,0)), HYPERLINK("#",""), HYPERLINK(CONCATENATE("#Metadata!", ADDRESS(INDEX($AJ$2:$AJ$1001,MATCH(ROWS($AH$2:AH853),$AH$2:$AH$1001,0),0), INDEX($AO$1004:$BQ$1004,1,MATCH(COLUMNS($AO$1006:AU1006),$AO$1006:$BQ$1006,0)))),"Fix")))</f>
        <v>#N/A</v>
      </c>
      <c r="I853" s="5" t="e">
        <f ca="1">IF(OR(INDEX($AI$2:$AI$1001,MATCH(ROWS($AH$2:AH853),$AH$2:$AH$1001,0),1)&gt;=100000,INDEX($AO$1005:$BQ$1005,1,MATCH(COLUMNS($AO$1006:AV1006),$AO$1006:$BQ$1006,0))&gt;=100000), " ",IF(INDEX($AO$2:$BQ$1001,MATCH(ROWS($AH$2:AH853),$AH$2:$AH$1001,0),MATCH(COLUMNS($AO$1006:AV1006),$AO$1006:$BQ$1006,0)), HYPERLINK("#",""), HYPERLINK(CONCATENATE("#Metadata!", ADDRESS(INDEX($AJ$2:$AJ$1001,MATCH(ROWS($AH$2:AH853),$AH$2:$AH$1001,0),0), INDEX($AO$1004:$BQ$1004,1,MATCH(COLUMNS($AO$1006:AV1006),$AO$1006:$BQ$1006,0)))),"Fix")))</f>
        <v>#N/A</v>
      </c>
      <c r="J853" s="5" t="e">
        <f ca="1">IF(OR(INDEX($AI$2:$AI$1001,MATCH(ROWS($AH$2:AH853),$AH$2:$AH$1001,0),1)&gt;=100000,INDEX($AO$1005:$BQ$1005,1,MATCH(COLUMNS($AO$1006:AW1006),$AO$1006:$BQ$1006,0))&gt;=100000), " ",IF(INDEX($AO$2:$BQ$1001,MATCH(ROWS($AH$2:AH853),$AH$2:$AH$1001,0),MATCH(COLUMNS($AO$1006:AW1006),$AO$1006:$BQ$1006,0)), HYPERLINK("#",""), HYPERLINK(CONCATENATE("#Metadata!", ADDRESS(INDEX($AJ$2:$AJ$1001,MATCH(ROWS($AH$2:AH853),$AH$2:$AH$1001,0),0), INDEX($AO$1004:$BQ$1004,1,MATCH(COLUMNS($AO$1006:AW1006),$AO$1006:$BQ$1006,0)))),"Fix")))</f>
        <v>#N/A</v>
      </c>
      <c r="K853" s="5" t="e">
        <f ca="1">IF(OR(INDEX($AI$2:$AI$1001,MATCH(ROWS($AH$2:AH853),$AH$2:$AH$1001,0),1)&gt;=100000,INDEX($AO$1005:$BQ$1005,1,MATCH(COLUMNS($AO$1006:AX1006),$AO$1006:$BQ$1006,0))&gt;=100000), " ",IF(INDEX($AO$2:$BQ$1001,MATCH(ROWS($AH$2:AH853),$AH$2:$AH$1001,0),MATCH(COLUMNS($AO$1006:AX1006),$AO$1006:$BQ$1006,0)), HYPERLINK("#",""), HYPERLINK(CONCATENATE("#Metadata!", ADDRESS(INDEX($AJ$2:$AJ$1001,MATCH(ROWS($AH$2:AH853),$AH$2:$AH$1001,0),0), INDEX($AO$1004:$BQ$1004,1,MATCH(COLUMNS($AO$1006:AX1006),$AO$1006:$BQ$1006,0)))),"Fix")))</f>
        <v>#N/A</v>
      </c>
      <c r="L853" s="5" t="e">
        <f ca="1">IF(OR(INDEX($AI$2:$AI$1001,MATCH(ROWS($AH$2:AH853),$AH$2:$AH$1001,0),1)&gt;=100000,INDEX($AO$1005:$BQ$1005,1,MATCH(COLUMNS($AO$1006:AY1006),$AO$1006:$BQ$1006,0))&gt;=100000), " ",IF(INDEX($AO$2:$BQ$1001,MATCH(ROWS($AH$2:AH853),$AH$2:$AH$1001,0),MATCH(COLUMNS($AO$1006:AY1006),$AO$1006:$BQ$1006,0)), HYPERLINK("#",""), HYPERLINK(CONCATENATE("#Metadata!", ADDRESS(INDEX($AJ$2:$AJ$1001,MATCH(ROWS($AH$2:AH853),$AH$2:$AH$1001,0),0), INDEX($AO$1004:$BQ$1004,1,MATCH(COLUMNS($AO$1006:AY1006),$AO$1006:$BQ$1006,0)))),"Fix")))</f>
        <v>#N/A</v>
      </c>
      <c r="M853" s="5" t="e">
        <f ca="1">IF(OR(INDEX($AI$2:$AI$1001,MATCH(ROWS($AH$2:AH853),$AH$2:$AH$1001,0),1)&gt;=100000,INDEX($AO$1005:$BQ$1005,1,MATCH(COLUMNS($AO$1006:AZ1006),$AO$1006:$BQ$1006,0))&gt;=100000), " ",IF(INDEX($AO$2:$BQ$1001,MATCH(ROWS($AH$2:AH853),$AH$2:$AH$1001,0),MATCH(COLUMNS($AO$1006:AZ1006),$AO$1006:$BQ$1006,0)), HYPERLINK("#",""), HYPERLINK(CONCATENATE("#Metadata!", ADDRESS(INDEX($AJ$2:$AJ$1001,MATCH(ROWS($AH$2:AH853),$AH$2:$AH$1001,0),0), INDEX($AO$1004:$BQ$1004,1,MATCH(COLUMNS($AO$1006:AZ1006),$AO$1006:$BQ$1006,0)))),"Fix")))</f>
        <v>#N/A</v>
      </c>
      <c r="N853" s="5" t="e">
        <f ca="1">IF(OR(INDEX($AI$2:$AI$1001,MATCH(ROWS($AH$2:AH853),$AH$2:$AH$1001,0),1)&gt;=100000,INDEX($AO$1005:$BQ$1005,1,MATCH(COLUMNS($AO$1006:BA1006),$AO$1006:$BQ$1006,0))&gt;=100000), " ",IF(INDEX($AO$2:$BQ$1001,MATCH(ROWS($AH$2:AH853),$AH$2:$AH$1001,0),MATCH(COLUMNS($AO$1006:BA1006),$AO$1006:$BQ$1006,0)), HYPERLINK("#",""), HYPERLINK(CONCATENATE("#Metadata!", ADDRESS(INDEX($AJ$2:$AJ$1001,MATCH(ROWS($AH$2:AH853),$AH$2:$AH$1001,0),0), INDEX($AO$1004:$BQ$1004,1,MATCH(COLUMNS($AO$1006:BA1006),$AO$1006:$BQ$1006,0)))),"Fix")))</f>
        <v>#N/A</v>
      </c>
      <c r="O853" s="5" t="e">
        <f ca="1">IF(OR(INDEX($AI$2:$AI$1001,MATCH(ROWS($AH$2:AH853),$AH$2:$AH$1001,0),1)&gt;=100000,INDEX($AO$1005:$BQ$1005,1,MATCH(COLUMNS($AO$1006:BB1006),$AO$1006:$BQ$1006,0))&gt;=100000), " ",IF(INDEX($AO$2:$BQ$1001,MATCH(ROWS($AH$2:AH853),$AH$2:$AH$1001,0),MATCH(COLUMNS($AO$1006:BB1006),$AO$1006:$BQ$1006,0)), HYPERLINK("#",""), HYPERLINK(CONCATENATE("#Metadata!", ADDRESS(INDEX($AJ$2:$AJ$1001,MATCH(ROWS($AH$2:AH853),$AH$2:$AH$1001,0),0), INDEX($AO$1004:$BQ$1004,1,MATCH(COLUMNS($AO$1006:BB1006),$AO$1006:$BQ$1006,0)))),"Fix")))</f>
        <v>#N/A</v>
      </c>
      <c r="P853" s="5" t="e">
        <f ca="1">IF(OR(INDEX($AI$2:$AI$1001,MATCH(ROWS($AH$2:AH853),$AH$2:$AH$1001,0),1)&gt;=100000,INDEX($AO$1005:$BQ$1005,1,MATCH(COLUMNS($AO$1006:BC1006),$AO$1006:$BQ$1006,0))&gt;=100000), " ",IF(INDEX($AO$2:$BQ$1001,MATCH(ROWS($AH$2:AH853),$AH$2:$AH$1001,0),MATCH(COLUMNS($AO$1006:BC1006),$AO$1006:$BQ$1006,0)), HYPERLINK("#",""), HYPERLINK(CONCATENATE("#Metadata!", ADDRESS(INDEX($AJ$2:$AJ$1001,MATCH(ROWS($AH$2:AH853),$AH$2:$AH$1001,0),0), INDEX($AO$1004:$BQ$1004,1,MATCH(COLUMNS($AO$1006:BC1006),$AO$1006:$BQ$1006,0)))),"Fix")))</f>
        <v>#N/A</v>
      </c>
      <c r="Q853" s="5" t="e">
        <f ca="1">IF(OR(INDEX($AI$2:$AI$1001,MATCH(ROWS($AH$2:AH853),$AH$2:$AH$1001,0),1)&gt;=100000,INDEX($AO$1005:$BQ$1005,1,MATCH(COLUMNS($AO$1006:BD1006),$AO$1006:$BQ$1006,0))&gt;=100000), " ",IF(INDEX($AO$2:$BQ$1001,MATCH(ROWS($AH$2:AH853),$AH$2:$AH$1001,0),MATCH(COLUMNS($AO$1006:BD1006),$AO$1006:$BQ$1006,0)), HYPERLINK("#",""), HYPERLINK(CONCATENATE("#Metadata!", ADDRESS(INDEX($AJ$2:$AJ$1001,MATCH(ROWS($AH$2:AH853),$AH$2:$AH$1001,0),0), INDEX($AO$1004:$BQ$1004,1,MATCH(COLUMNS($AO$1006:BD1006),$AO$1006:$BQ$1006,0)))),"Fix")))</f>
        <v>#N/A</v>
      </c>
      <c r="R853" s="5" t="e">
        <f ca="1">IF(OR(INDEX($AI$2:$AI$1001,MATCH(ROWS($AH$2:AH853),$AH$2:$AH$1001,0),1)&gt;=100000,INDEX($AO$1005:$BQ$1005,1,MATCH(COLUMNS($AO$1006:BE1006),$AO$1006:$BQ$1006,0))&gt;=100000), " ",IF(INDEX($AO$2:$BQ$1001,MATCH(ROWS($AH$2:AH853),$AH$2:$AH$1001,0),MATCH(COLUMNS($AO$1006:BE1006),$AO$1006:$BQ$1006,0)), HYPERLINK("#",""), HYPERLINK(CONCATENATE("#Metadata!", ADDRESS(INDEX($AJ$2:$AJ$1001,MATCH(ROWS($AH$2:AH853),$AH$2:$AH$1001,0),0), INDEX($AO$1004:$BQ$1004,1,MATCH(COLUMNS($AO$1006:BE1006),$AO$1006:$BQ$1006,0)))),"Fix")))</f>
        <v>#N/A</v>
      </c>
      <c r="S853" s="5" t="e">
        <f ca="1">IF(OR(INDEX($AI$2:$AI$1001,MATCH(ROWS($AH$2:AH853),$AH$2:$AH$1001,0),1)&gt;=100000,INDEX($AO$1005:$BQ$1005,1,MATCH(COLUMNS($AO$1006:BF1006),$AO$1006:$BQ$1006,0))&gt;=100000), " ",IF(INDEX($AO$2:$BQ$1001,MATCH(ROWS($AH$2:AH853),$AH$2:$AH$1001,0),MATCH(COLUMNS($AO$1006:BF1006),$AO$1006:$BQ$1006,0)), HYPERLINK("#",""), HYPERLINK(CONCATENATE("#Metadata!", ADDRESS(INDEX($AJ$2:$AJ$1001,MATCH(ROWS($AH$2:AH853),$AH$2:$AH$1001,0),0), INDEX($AO$1004:$BQ$1004,1,MATCH(COLUMNS($AO$1006:BF1006),$AO$1006:$BQ$1006,0)))),"Fix")))</f>
        <v>#N/A</v>
      </c>
      <c r="T853" s="5" t="e">
        <f ca="1">IF(OR(INDEX($AI$2:$AI$1001,MATCH(ROWS($AH$2:AH853),$AH$2:$AH$1001,0),1)&gt;=100000,INDEX($AO$1005:$BQ$1005,1,MATCH(COLUMNS($AO$1006:BG1006),$AO$1006:$BQ$1006,0))&gt;=100000), " ",IF(INDEX($AO$2:$BQ$1001,MATCH(ROWS($AH$2:AH853),$AH$2:$AH$1001,0),MATCH(COLUMNS($AO$1006:BG1006),$AO$1006:$BQ$1006,0)), HYPERLINK("#",""), HYPERLINK(CONCATENATE("#Metadata!", ADDRESS(INDEX($AJ$2:$AJ$1001,MATCH(ROWS($AH$2:AH853),$AH$2:$AH$1001,0),0), INDEX($AO$1004:$BQ$1004,1,MATCH(COLUMNS($AO$1006:BG1006),$AO$1006:$BQ$1006,0)))),"Fix")))</f>
        <v>#N/A</v>
      </c>
      <c r="U853" s="5" t="e">
        <f ca="1">IF(OR(INDEX($AI$2:$AI$1001,MATCH(ROWS($AH$2:AH853),$AH$2:$AH$1001,0),1)&gt;=100000,INDEX($AO$1005:$BQ$1005,1,MATCH(COLUMNS($AO$1006:BH1006),$AO$1006:$BQ$1006,0))&gt;=100000), " ",IF(INDEX($AO$2:$BQ$1001,MATCH(ROWS($AH$2:AH853),$AH$2:$AH$1001,0),MATCH(COLUMNS($AO$1006:BH1006),$AO$1006:$BQ$1006,0)), HYPERLINK("#",""), HYPERLINK(CONCATENATE("#Metadata!", ADDRESS(INDEX($AJ$2:$AJ$1001,MATCH(ROWS($AH$2:AH853),$AH$2:$AH$1001,0),0), INDEX($AO$1004:$BQ$1004,1,MATCH(COLUMNS($AO$1006:BH1006),$AO$1006:$BQ$1006,0)))),"Fix")))</f>
        <v>#N/A</v>
      </c>
      <c r="V853" s="5" t="e">
        <f ca="1">IF(OR(INDEX($AI$2:$AI$1001,MATCH(ROWS($AH$2:AH853),$AH$2:$AH$1001,0),1)&gt;=100000,INDEX($AO$1005:$BQ$1005,1,MATCH(COLUMNS($AO$1006:BI1006),$AO$1006:$BQ$1006,0))&gt;=100000), " ",IF(INDEX($AO$2:$BQ$1001,MATCH(ROWS($AH$2:AH853),$AH$2:$AH$1001,0),MATCH(COLUMNS($AO$1006:BI1006),$AO$1006:$BQ$1006,0)), HYPERLINK("#",""), HYPERLINK(CONCATENATE("#Metadata!", ADDRESS(INDEX($AJ$2:$AJ$1001,MATCH(ROWS($AH$2:AH853),$AH$2:$AH$1001,0),0), INDEX($AO$1004:$BQ$1004,1,MATCH(COLUMNS($AO$1006:BI1006),$AO$1006:$BQ$1006,0)))),"Fix")))</f>
        <v>#N/A</v>
      </c>
      <c r="W853" s="5" t="e">
        <f ca="1">IF(OR(INDEX($AI$2:$AI$1001,MATCH(ROWS($AH$2:AH853),$AH$2:$AH$1001,0),1)&gt;=100000,INDEX($AO$1005:$BQ$1005,1,MATCH(COLUMNS($AO$1006:BJ1006),$AO$1006:$BQ$1006,0))&gt;=100000), " ",IF(INDEX($AO$2:$BQ$1001,MATCH(ROWS($AH$2:AH853),$AH$2:$AH$1001,0),MATCH(COLUMNS($AO$1006:BJ1006),$AO$1006:$BQ$1006,0)), HYPERLINK("#",""), HYPERLINK(CONCATENATE("#Metadata!", ADDRESS(INDEX($AJ$2:$AJ$1001,MATCH(ROWS($AH$2:AH853),$AH$2:$AH$1001,0),0), INDEX($AO$1004:$BQ$1004,1,MATCH(COLUMNS($AO$1006:BJ1006),$AO$1006:$BQ$1006,0)))),"Fix")))</f>
        <v>#N/A</v>
      </c>
      <c r="X853" s="5" t="e">
        <f ca="1">IF(OR(INDEX($AI$2:$AI$1001,MATCH(ROWS($AH$2:AH853),$AH$2:$AH$1001,0),1)&gt;=100000,INDEX($AO$1005:$BQ$1005,1,MATCH(COLUMNS($AO$1006:BK1006),$AO$1006:$BQ$1006,0))&gt;=100000), " ",IF(INDEX($AO$2:$BQ$1001,MATCH(ROWS($AH$2:AH853),$AH$2:$AH$1001,0),MATCH(COLUMNS($AO$1006:BK1006),$AO$1006:$BQ$1006,0)), HYPERLINK("#",""), HYPERLINK(CONCATENATE("#Metadata!", ADDRESS(INDEX($AJ$2:$AJ$1001,MATCH(ROWS($AH$2:AH853),$AH$2:$AH$1001,0),0), INDEX($AO$1004:$BQ$1004,1,MATCH(COLUMNS($AO$1006:BK1006),$AO$1006:$BQ$1006,0)))),"Fix")))</f>
        <v>#N/A</v>
      </c>
      <c r="Y853" s="5" t="e">
        <f ca="1">IF(OR(INDEX($AI$2:$AI$1001,MATCH(ROWS($AH$2:AH853),$AH$2:$AH$1001,0),1)&gt;=100000,INDEX($AO$1005:$BQ$1005,1,MATCH(COLUMNS($AO$1006:BL1006),$AO$1006:$BQ$1006,0))&gt;=100000), " ",IF(INDEX($AO$2:$BQ$1001,MATCH(ROWS($AH$2:AH853),$AH$2:$AH$1001,0),MATCH(COLUMNS($AO$1006:BL1006),$AO$1006:$BQ$1006,0)), HYPERLINK("#",""), HYPERLINK(CONCATENATE("#Metadata!", ADDRESS(INDEX($AJ$2:$AJ$1001,MATCH(ROWS($AH$2:AH853),$AH$2:$AH$1001,0),0), INDEX($AO$1004:$BQ$1004,1,MATCH(COLUMNS($AO$1006:BL1006),$AO$1006:$BQ$1006,0)))),"Fix")))</f>
        <v>#N/A</v>
      </c>
      <c r="Z853" s="5" t="e">
        <f ca="1">IF(OR(INDEX($AI$2:$AI$1001,MATCH(ROWS($AH$2:AH853),$AH$2:$AH$1001,0),1)&gt;=100000,INDEX($AO$1005:$BQ$1005,1,MATCH(COLUMNS($AO$1006:BM1006),$AO$1006:$BQ$1006,0))&gt;=100000), " ",IF(INDEX($AO$2:$BQ$1001,MATCH(ROWS($AH$2:AH853),$AH$2:$AH$1001,0),MATCH(COLUMNS($AO$1006:BM1006),$AO$1006:$BQ$1006,0)), HYPERLINK("#",""), HYPERLINK(CONCATENATE("#Metadata!", ADDRESS(INDEX($AJ$2:$AJ$1001,MATCH(ROWS($AH$2:AH853),$AH$2:$AH$1001,0),0), INDEX($AO$1004:$BQ$1004,1,MATCH(COLUMNS($AO$1006:BM1006),$AO$1006:$BQ$1006,0)))),"Fix")))</f>
        <v>#N/A</v>
      </c>
      <c r="AA853" s="5" t="e">
        <f ca="1">IF(OR(INDEX($AI$2:$AI$1001,MATCH(ROWS($AH$2:AH853),$AH$2:$AH$1001,0),1)&gt;=100000,INDEX($AO$1005:$BQ$1005,1,MATCH(COLUMNS($AO$1006:BN1006),$AO$1006:$BQ$1006,0))&gt;=100000), " ",IF(INDEX($AO$2:$BQ$1001,MATCH(ROWS($AH$2:AH853),$AH$2:$AH$1001,0),MATCH(COLUMNS($AO$1006:BN1006),$AO$1006:$BQ$1006,0)), HYPERLINK("#",""), HYPERLINK(CONCATENATE("#Metadata!", ADDRESS(INDEX($AJ$2:$AJ$1001,MATCH(ROWS($AH$2:AH853),$AH$2:$AH$1001,0),0), INDEX($AO$1004:$BQ$1004,1,MATCH(COLUMNS($AO$1006:BN1006),$AO$1006:$BQ$1006,0)))),"Fix")))</f>
        <v>#N/A</v>
      </c>
      <c r="AB853" s="5" t="e">
        <f ca="1">IF(OR(INDEX($AI$2:$AI$1001,MATCH(ROWS($AH$2:AH853),$AH$2:$AH$1001,0),1)&gt;=100000,INDEX($AO$1005:$BQ$1005,1,MATCH(COLUMNS($AO$1006:BO1006),$AO$1006:$BQ$1006,0))&gt;=100000), " ",IF(INDEX($AO$2:$BQ$1001,MATCH(ROWS($AH$2:AH853),$AH$2:$AH$1001,0),MATCH(COLUMNS($AO$1006:BO1006),$AO$1006:$BQ$1006,0)), HYPERLINK("#",""), HYPERLINK(CONCATENATE("#Metadata!", ADDRESS(INDEX($AJ$2:$AJ$1001,MATCH(ROWS($AH$2:AH853),$AH$2:$AH$1001,0),0), INDEX($AO$1004:$BQ$1004,1,MATCH(COLUMNS($AO$1006:BO1006),$AO$1006:$BQ$1006,0)))),"Fix")))</f>
        <v>#N/A</v>
      </c>
      <c r="AC853" s="5" t="e">
        <f ca="1">IF(OR(INDEX($AI$2:$AI$1001,MATCH(ROWS($AH$2:AH853),$AH$2:$AH$1001,0),1)&gt;=100000,INDEX($AO$1005:$BQ$1005,1,MATCH(COLUMNS($AO$1006:BP1006),$AO$1006:$BQ$1006,0))&gt;=100000), " ",IF(INDEX($AO$2:$BQ$1001,MATCH(ROWS($AH$2:AH853),$AH$2:$AH$1001,0),MATCH(COLUMNS($AO$1006:BP1006),$AO$1006:$BQ$1006,0)), HYPERLINK("#",""), HYPERLINK(CONCATENATE("#Metadata!", ADDRESS(INDEX($AJ$2:$AJ$1001,MATCH(ROWS($AH$2:AH853),$AH$2:$AH$1001,0),0), INDEX($AO$1004:$BQ$1004,1,MATCH(COLUMNS($AO$1006:BP1006),$AO$1006:$BQ$1006,0)))),"Fix")))</f>
        <v>#N/A</v>
      </c>
      <c r="AD853" s="5" t="e">
        <f ca="1">IF(OR(INDEX($AI$2:$AI$1001,MATCH(ROWS($AH$2:AH853),$AH$2:$AH$1001,0),1)&gt;=100000,INDEX($AO$1005:$BQ$1005,1,MATCH(COLUMNS($AO$1006:BQ1006),$AO$1006:$BQ$1006,0))&gt;=100000), " ",IF(INDEX($AO$2:$BQ$1001,MATCH(ROWS($AH$2:AH853),$AH$2:$AH$1001,0),MATCH(COLUMNS($AO$1006:BQ1006),$AO$1006:$BQ$1006,0)), HYPERLINK("#",""), HYPERLINK(CONCATENATE("#Metadata!", ADDRESS(INDEX($AJ$2:$AJ$1001,MATCH(ROWS($AH$2:AH853),$AH$2:$AH$1001,0),0), INDEX($AO$1004:$BQ$1004,1,MATCH(COLUMNS($AO$1006:BQ1006),$AO$1006:$BQ$1006,0)))),"Fix")))</f>
        <v>#REF!</v>
      </c>
      <c r="AH853">
        <f ca="1"/>
        <v>850</v>
      </c>
      <c r="AI853">
        <v>100853</v>
      </c>
      <c r="AJ853">
        <v>853</v>
      </c>
      <c r="AK853" t="b">
        <f t="shared" si="13"/>
        <v>1</v>
      </c>
      <c r="AL853" t="b">
        <f>COUNTBLANK(Metadata!B853:AD853)=COLUMNS(Metadata!B853:AD853)</f>
        <v>1</v>
      </c>
      <c r="AM853" t="str">
        <v/>
      </c>
      <c r="AO853" t="b">
        <f ca="1">AND(IF(Metadata!B853="",FALSE,TRUE),COUNTIF(Metadata!B:B, Metadata!B853) = 1,NOT(ISERROR(SUMPRODUCT(SEARCH(MID(Metadata!B853,ROW(INDIRECT("1:"&amp;LEN(Metadata!B853))), 1),"0123456789abcdefghijklmnopqrstuvwxyzABCDEFGHIJKLMNOPQRSTUVWXYZ.")))))</f>
        <v>0</v>
      </c>
      <c r="AP853" t="b">
        <f>IF(Metadata!C853="",FALSE,TRUE)</f>
        <v>0</v>
      </c>
      <c r="AQ853" t="b">
        <f>IF(Metadata!D853="",FALSE,TRUE)</f>
        <v>0</v>
      </c>
      <c r="AR853" t="b">
        <f ca="1">OR(AND(IF(Metadata!E853="",FALSE,TRUE),OR(EXACT(Metadata!E853,"not collected"),EXACT(Metadata!E853,"not provided"),EXACT(Metadata!E853,"restricted access"))),AND(IF(Metadata!E853="",FALSE,TRUE),AND(AND(IFERROR(INT(LEFT(Metadata!E853,4))&gt;1900,FALSE),IFERROR(INT(LEFT(Metadata!E853,4))&lt;=YEAR(NOW()),FALSE)), OR(MID(Metadata!E853,5,1)="", AND(AND(MID(Metadata!E853,5,1)="-",IFERROR(INT(MID(Metadata!E853,6,1))&gt;=0,FALSE),IFERROR(INT(MID(Metadata!E853,6,1))&lt;=1,FALSE),NOT(MID(Metadata!E853,7,1)=""),IFERROR(INT(MID(Metadata!E853,6,2))&gt;=1,FALSE),IFERROR(INT(MID(Metadata!E853,6,2))&lt;=12,FALSE)), OR(MID(Metadata!E853,8,1)="", AND(AND(MID(Metadata!E853,8,1)="-",IFERROR(INT(MID(Metadata!E853,9,1))&gt;=0,FALSE),IFERROR(INT(MID(Metadata!E853,9,1))&lt;=3,FALSE),NOT(MID(Metadata!E853,10,1)=""),IFERROR(INT(MID(Metadata!E853,9,2))&gt;=1,FALSE),IFERROR(INT(MID(Metadata!E853,9,2))&lt;=31,FALSE)), OR(MID(Metadata!E853,11,1)="", AND(AND(MID(Metadata!E853,11,1)=" ",IFERROR(INT(MID(Metadata!E853,12,1))&gt;=0,FALSE),IFERROR(INT(MID(Metadata!E853,12,1))&lt;=2,FALSE),NOT(MID(Metadata!E853,13,1)=""),IFERROR(INT(MID(Metadata!E853,12,2))&gt;=0,FALSE),IFERROR(INT(MID(Metadata!E853,12,2))&lt;=23,FALSE)), OR(MID(Metadata!E853,14,1)="", AND(AND(MID(Metadata!E853,14,1)=":",IFERROR(INT(MID(Metadata!E853,15,1))&gt;=0,FALSE),IFERROR(INT(MID(Metadata!E853,15,1))&lt;=5,FALSE),NOT(MID(Metadata!E853,16,1)=""),IFERROR(INT(MID(Metadata!E853,15,2))&gt;=0,FALSE),IFERROR(INT(MID(Metadata!E853,15,2))&lt;=59,FALSE)), OR(MID(Metadata!E853,17,1)="", AND(AND(MID(Metadata!E853,17,1)=":",IFERROR(INT(MID(Metadata!E853,18,1))&gt;=0,FALSE),IFERROR(INT(MID(Metadata!E853,18,1))&lt;=5,FALSE),NOT(MID(Metadata!E853,19,1)=""),IFERROR(INT(MID(Metadata!E853,18,2))&gt;=0,FALSE),IFERROR(INT(MID(Metadata!E853,18,2))&lt;=59,FALSE)), LEN(Metadata!E853)&lt;=19)))))))))))))</f>
        <v>0</v>
      </c>
      <c r="AS853" t="b">
        <f>IF(Metadata!F853="",FALSE,TRUE)</f>
        <v>0</v>
      </c>
      <c r="AT853" t="b">
        <f>OR(AND(IF(Metadata!G853="",FALSE,TRUE),OR(EXACT(Metadata!G853,"not collected"),EXACT(Metadata!G853,"not provided"))),AND(IF(Metadata!G853="",FALSE,TRUE),OR(EXACT(Metadata!G853,"TRUE"),EXACT(Metadata!G853,"FALSE"))))</f>
        <v>0</v>
      </c>
      <c r="AU853" t="b">
        <f>OR(AND(IF(Metadata!H853="",FALSE,TRUE),OR(EXACT(Metadata!H853,"not collected"),EXACT(Metadata!H853,"not provided"),EXACT(Metadata!H853,"restricted access"))),AND(IF(Metadata!H853="",FALSE,ISNUMBER(VALUE(Metadata!H853))),Metadata!H853&gt;=-413))</f>
        <v>0</v>
      </c>
      <c r="AV853" t="b">
        <f>AND(IF(Metadata!I853="",FALSE,TRUE),EXACT(Metadata!I853,"meters"))</f>
        <v>0</v>
      </c>
      <c r="AW853" t="b">
        <f>AND(IF(Metadata!J853="",FALSE,TRUE),EXACT(Metadata!J853,"free-living"))</f>
        <v>0</v>
      </c>
      <c r="AX853" t="b">
        <f>AND(IF(Metadata!K853="",FALSE,TRUE),OR(EXACT(Metadata!K853,"saline"),EXACT(Metadata!K853,"non-saline")))</f>
        <v>0</v>
      </c>
      <c r="AY853" t="b">
        <f>AND(IF(Metadata!L853="",FALSE,TRUE),OR(EXACT(Metadata!L853,"sub-surface (non-saline)"),EXACT(Metadata!L853,"surface (non-saline)"),EXACT(Metadata!L853,"water (non-saline)"),EXACT(Metadata!L853,"soil (non-saline)"),EXACT(Metadata!L853,"aerosol (non-saline)"),EXACT(Metadata!L853,"sediment (non-saline)"),EXACT(Metadata!L853,"surface (saline)"),EXACT(Metadata!L853,"water (saline)"),EXACT(Metadata!L853,"hypersaline (saline)"),EXACT(Metadata!L853,"aerosol (saline)"),EXACT(Metadata!L853,"sediment (saline)")))</f>
        <v>0</v>
      </c>
      <c r="AZ853" t="b">
        <f>IF(Metadata!M853="",FALSE,TRUE)</f>
        <v>0</v>
      </c>
      <c r="BA853" t="b">
        <f>IF(Metadata!N853="",FALSE,TRUE)</f>
        <v>0</v>
      </c>
      <c r="BB853" t="b">
        <f>IF(Metadata!O853="",FALSE,TRUE)</f>
        <v>0</v>
      </c>
      <c r="BC853" t="b">
        <f>AND(IF(Metadata!P853="",FALSE,TRUE),OR(EXACT(Metadata!P853,"air"),EXACT(Metadata!P853,"microbial mat/biofilm"),EXACT(Metadata!P853,"misc environment"),EXACT(Metadata!P853,"sediment"),EXACT(Metadata!P853,"soil"),EXACT(Metadata!P853,"wastewater/sludge"),EXACT(Metadata!P853,"water")))</f>
        <v>0</v>
      </c>
      <c r="BD853" t="b">
        <f>IF(Metadata!Q853="",FALSE,TRUE)</f>
        <v>0</v>
      </c>
      <c r="BE853" t="b">
        <f>IF(Metadata!R853="",FALSE,TRUE)</f>
        <v>0</v>
      </c>
      <c r="BF853" t="b">
        <f>OR(AND(IF(Metadata!S853="",FALSE,TRUE),OR(EXACT(Metadata!S853,"not collected"),EXACT(Metadata!S853,"not provided"),EXACT(Metadata!S853,"restricted access"))),AND(IF(Metadata!S853="",FALSE,ISNUMBER(VALUE(Metadata!S853))),Metadata!S853&gt;=-90,Metadata!S853&lt;=90))</f>
        <v>0</v>
      </c>
      <c r="BG853" t="b">
        <f>AND(IF(Metadata!T853="",FALSE,TRUE),EXACT(Metadata!T853,"Decimal degrees"))</f>
        <v>0</v>
      </c>
      <c r="BH853" t="b">
        <f>OR(AND(IF(Metadata!U853="",FALSE,TRUE),OR(EXACT(Metadata!U853,"not applicable"),EXACT(Metadata!U853,"not collected"))),IF(Metadata!U853="",FALSE,TRUE))</f>
        <v>0</v>
      </c>
      <c r="BI853" t="b">
        <f>OR(AND(IF(Metadata!V853="",FALSE,TRUE),OR(EXACT(Metadata!V853,"not collected"),EXACT(Metadata!V853,"not provided"),EXACT(Metadata!V853,"restricted access"))),AND(IF(Metadata!V853="",FALSE,ISNUMBER(VALUE(Metadata!V853))),Metadata!V853&gt;=-180,Metadata!V853&lt;=180))</f>
        <v>0</v>
      </c>
      <c r="BJ853" t="b">
        <f>AND(IF(Metadata!W853="",FALSE,TRUE),EXACT(Metadata!W853,"Decimal degrees"))</f>
        <v>0</v>
      </c>
      <c r="BK853" t="b">
        <f>IF(Metadata!X853="",FALSE,TRUE)</f>
        <v>0</v>
      </c>
      <c r="BL853" t="b">
        <f>OR(AND(IF(Metadata!Y853="",FALSE,TRUE),OR(EXACT(Metadata!Y853,"not collected"),EXACT(Metadata!Y853,"not provided"),EXACT(Metadata!Y853,"restricted access"))),AND(IF(Metadata!Y853="",FALSE,TRUE),OR(EXACT(Metadata!Y853,"TRUE"),EXACT(Metadata!Y853,"FALSE"))))</f>
        <v>0</v>
      </c>
      <c r="BM853" t="b">
        <f>OR(AND(IF(Metadata!Z853="",FALSE,TRUE),EXACT(Metadata!Z853,"not applicable")),AND(IF(Metadata!Z853="",FALSE,TRUE),OR(EXACT(Metadata!Z853,"beer"),EXACT(Metadata!Z853,"cheese"),EXACT(Metadata!Z853,"fresh water"),EXACT(Metadata!Z853,"marine sediment"),EXACT(Metadata!Z853,"sea water"),EXACT(Metadata!Z853,"sediment"),EXACT(Metadata!Z853,"soil"),EXACT(Metadata!Z853,"waste water"))))</f>
        <v>0</v>
      </c>
      <c r="BN853" t="b">
        <f>AND(IF(Metadata!AA853="",FALSE,TRUE),EXACT(Metadata!AA853,"metagenome"))</f>
        <v>0</v>
      </c>
      <c r="BO853" t="b">
        <f>AND(IF(Metadata!AB853="",FALSE,TRUE),EXACT(Metadata!AB853,"256318"))</f>
        <v>0</v>
      </c>
      <c r="BP853" t="b">
        <f>IF(Metadata!AC853="",FALSE,TRUE)</f>
        <v>0</v>
      </c>
      <c r="BQ853" t="b">
        <f>IF(Metadata!AD853="",FALSE,TRUE)</f>
        <v>0</v>
      </c>
    </row>
    <row r="854" spans="1:69" x14ac:dyDescent="0.2">
      <c r="A854" s="4" t="e">
        <f ca="1">IF(B854=" "," ",HYPERLINK(CONCATENATE("#metadata!",ADDRESS(INDEX($AJ$2:$AJ$1001,MATCH(ROWS($AH$2:AH854),$AH$2:$AH$1001,0),0),2)),INDEX($AM$2:$AM$1001,MATCH(ROWS($AH$2:AH854),$AH$2:$AH$1001,0),0)))</f>
        <v>#N/A</v>
      </c>
      <c r="B854" s="5" t="e">
        <f ca="1">IF(OR(INDEX($AI$2:$AI$1001,MATCH(ROWS($AH$2:AH854),$AH$2:$AH$1001,0),1)&gt;=100000,INDEX($AO$1005:$BQ$1005,1,MATCH(COLUMNS($AO$1006:AO1006),$AO$1006:$BQ$1006,0))&gt;=100000), " ",IF(INDEX($AO$2:$BQ$1001,MATCH(ROWS($AH$2:AH854),$AH$2:$AH$1001,0),MATCH(COLUMNS($AO$1006:AO1006),$AO$1006:$BQ$1006,0)), HYPERLINK("#",""), HYPERLINK(CONCATENATE("#Metadata!", ADDRESS(INDEX($AJ$2:$AJ$1001,MATCH(ROWS($AH$2:AH854),$AH$2:$AH$1001,0),0), INDEX($AO$1004:$BQ$1004,1,MATCH(COLUMNS($AO$1006:AO1006),$AO$1006:$BQ$1006,0)))),"Fix")))</f>
        <v>#N/A</v>
      </c>
      <c r="C854" s="5" t="e">
        <f ca="1">IF(OR(INDEX($AI$2:$AI$1001,MATCH(ROWS($AH$2:AH854),$AH$2:$AH$1001,0),1)&gt;=100000,INDEX($AO$1005:$BQ$1005,1,MATCH(COLUMNS($AO$1006:AP1006),$AO$1006:$BQ$1006,0))&gt;=100000), " ",IF(INDEX($AO$2:$BQ$1001,MATCH(ROWS($AH$2:AH854),$AH$2:$AH$1001,0),MATCH(COLUMNS($AO$1006:AP1006),$AO$1006:$BQ$1006,0)), HYPERLINK("#",""), HYPERLINK(CONCATENATE("#Metadata!", ADDRESS(INDEX($AJ$2:$AJ$1001,MATCH(ROWS($AH$2:AH854),$AH$2:$AH$1001,0),0), INDEX($AO$1004:$BQ$1004,1,MATCH(COLUMNS($AO$1006:AP1006),$AO$1006:$BQ$1006,0)))),"Fix")))</f>
        <v>#N/A</v>
      </c>
      <c r="D854" s="5" t="e">
        <f ca="1">IF(OR(INDEX($AI$2:$AI$1001,MATCH(ROWS($AH$2:AH854),$AH$2:$AH$1001,0),1)&gt;=100000,INDEX($AO$1005:$BQ$1005,1,MATCH(COLUMNS($AO$1006:AQ1006),$AO$1006:$BQ$1006,0))&gt;=100000), " ",IF(INDEX($AO$2:$BQ$1001,MATCH(ROWS($AH$2:AH854),$AH$2:$AH$1001,0),MATCH(COLUMNS($AO$1006:AQ1006),$AO$1006:$BQ$1006,0)), HYPERLINK("#",""), HYPERLINK(CONCATENATE("#Metadata!", ADDRESS(INDEX($AJ$2:$AJ$1001,MATCH(ROWS($AH$2:AH854),$AH$2:$AH$1001,0),0), INDEX($AO$1004:$BQ$1004,1,MATCH(COLUMNS($AO$1006:AQ1006),$AO$1006:$BQ$1006,0)))),"Fix")))</f>
        <v>#N/A</v>
      </c>
      <c r="E854" s="5" t="e">
        <f ca="1">IF(OR(INDEX($AI$2:$AI$1001,MATCH(ROWS($AH$2:AH854),$AH$2:$AH$1001,0),1)&gt;=100000,INDEX($AO$1005:$BQ$1005,1,MATCH(COLUMNS($AO$1006:AR1006),$AO$1006:$BQ$1006,0))&gt;=100000), " ",IF(INDEX($AO$2:$BQ$1001,MATCH(ROWS($AH$2:AH854),$AH$2:$AH$1001,0),MATCH(COLUMNS($AO$1006:AR1006),$AO$1006:$BQ$1006,0)), HYPERLINK("#",""), HYPERLINK(CONCATENATE("#Metadata!", ADDRESS(INDEX($AJ$2:$AJ$1001,MATCH(ROWS($AH$2:AH854),$AH$2:$AH$1001,0),0), INDEX($AO$1004:$BQ$1004,1,MATCH(COLUMNS($AO$1006:AR1006),$AO$1006:$BQ$1006,0)))),"Fix")))</f>
        <v>#N/A</v>
      </c>
      <c r="F854" s="5" t="e">
        <f ca="1">IF(OR(INDEX($AI$2:$AI$1001,MATCH(ROWS($AH$2:AH854),$AH$2:$AH$1001,0),1)&gt;=100000,INDEX($AO$1005:$BQ$1005,1,MATCH(COLUMNS($AO$1006:AS1006),$AO$1006:$BQ$1006,0))&gt;=100000), " ",IF(INDEX($AO$2:$BQ$1001,MATCH(ROWS($AH$2:AH854),$AH$2:$AH$1001,0),MATCH(COLUMNS($AO$1006:AS1006),$AO$1006:$BQ$1006,0)), HYPERLINK("#",""), HYPERLINK(CONCATENATE("#Metadata!", ADDRESS(INDEX($AJ$2:$AJ$1001,MATCH(ROWS($AH$2:AH854),$AH$2:$AH$1001,0),0), INDEX($AO$1004:$BQ$1004,1,MATCH(COLUMNS($AO$1006:AS1006),$AO$1006:$BQ$1006,0)))),"Fix")))</f>
        <v>#N/A</v>
      </c>
      <c r="G854" s="5" t="e">
        <f ca="1">IF(OR(INDEX($AI$2:$AI$1001,MATCH(ROWS($AH$2:AH854),$AH$2:$AH$1001,0),1)&gt;=100000,INDEX($AO$1005:$BQ$1005,1,MATCH(COLUMNS($AO$1006:AT1006),$AO$1006:$BQ$1006,0))&gt;=100000), " ",IF(INDEX($AO$2:$BQ$1001,MATCH(ROWS($AH$2:AH854),$AH$2:$AH$1001,0),MATCH(COLUMNS($AO$1006:AT1006),$AO$1006:$BQ$1006,0)), HYPERLINK("#",""), HYPERLINK(CONCATENATE("#Metadata!", ADDRESS(INDEX($AJ$2:$AJ$1001,MATCH(ROWS($AH$2:AH854),$AH$2:$AH$1001,0),0), INDEX($AO$1004:$BQ$1004,1,MATCH(COLUMNS($AO$1006:AT1006),$AO$1006:$BQ$1006,0)))),"Fix")))</f>
        <v>#N/A</v>
      </c>
      <c r="H854" s="5" t="e">
        <f ca="1">IF(OR(INDEX($AI$2:$AI$1001,MATCH(ROWS($AH$2:AH854),$AH$2:$AH$1001,0),1)&gt;=100000,INDEX($AO$1005:$BQ$1005,1,MATCH(COLUMNS($AO$1006:AU1006),$AO$1006:$BQ$1006,0))&gt;=100000), " ",IF(INDEX($AO$2:$BQ$1001,MATCH(ROWS($AH$2:AH854),$AH$2:$AH$1001,0),MATCH(COLUMNS($AO$1006:AU1006),$AO$1006:$BQ$1006,0)), HYPERLINK("#",""), HYPERLINK(CONCATENATE("#Metadata!", ADDRESS(INDEX($AJ$2:$AJ$1001,MATCH(ROWS($AH$2:AH854),$AH$2:$AH$1001,0),0), INDEX($AO$1004:$BQ$1004,1,MATCH(COLUMNS($AO$1006:AU1006),$AO$1006:$BQ$1006,0)))),"Fix")))</f>
        <v>#N/A</v>
      </c>
      <c r="I854" s="5" t="e">
        <f ca="1">IF(OR(INDEX($AI$2:$AI$1001,MATCH(ROWS($AH$2:AH854),$AH$2:$AH$1001,0),1)&gt;=100000,INDEX($AO$1005:$BQ$1005,1,MATCH(COLUMNS($AO$1006:AV1006),$AO$1006:$BQ$1006,0))&gt;=100000), " ",IF(INDEX($AO$2:$BQ$1001,MATCH(ROWS($AH$2:AH854),$AH$2:$AH$1001,0),MATCH(COLUMNS($AO$1006:AV1006),$AO$1006:$BQ$1006,0)), HYPERLINK("#",""), HYPERLINK(CONCATENATE("#Metadata!", ADDRESS(INDEX($AJ$2:$AJ$1001,MATCH(ROWS($AH$2:AH854),$AH$2:$AH$1001,0),0), INDEX($AO$1004:$BQ$1004,1,MATCH(COLUMNS($AO$1006:AV1006),$AO$1006:$BQ$1006,0)))),"Fix")))</f>
        <v>#N/A</v>
      </c>
      <c r="J854" s="5" t="e">
        <f ca="1">IF(OR(INDEX($AI$2:$AI$1001,MATCH(ROWS($AH$2:AH854),$AH$2:$AH$1001,0),1)&gt;=100000,INDEX($AO$1005:$BQ$1005,1,MATCH(COLUMNS($AO$1006:AW1006),$AO$1006:$BQ$1006,0))&gt;=100000), " ",IF(INDEX($AO$2:$BQ$1001,MATCH(ROWS($AH$2:AH854),$AH$2:$AH$1001,0),MATCH(COLUMNS($AO$1006:AW1006),$AO$1006:$BQ$1006,0)), HYPERLINK("#",""), HYPERLINK(CONCATENATE("#Metadata!", ADDRESS(INDEX($AJ$2:$AJ$1001,MATCH(ROWS($AH$2:AH854),$AH$2:$AH$1001,0),0), INDEX($AO$1004:$BQ$1004,1,MATCH(COLUMNS($AO$1006:AW1006),$AO$1006:$BQ$1006,0)))),"Fix")))</f>
        <v>#N/A</v>
      </c>
      <c r="K854" s="5" t="e">
        <f ca="1">IF(OR(INDEX($AI$2:$AI$1001,MATCH(ROWS($AH$2:AH854),$AH$2:$AH$1001,0),1)&gt;=100000,INDEX($AO$1005:$BQ$1005,1,MATCH(COLUMNS($AO$1006:AX1006),$AO$1006:$BQ$1006,0))&gt;=100000), " ",IF(INDEX($AO$2:$BQ$1001,MATCH(ROWS($AH$2:AH854),$AH$2:$AH$1001,0),MATCH(COLUMNS($AO$1006:AX1006),$AO$1006:$BQ$1006,0)), HYPERLINK("#",""), HYPERLINK(CONCATENATE("#Metadata!", ADDRESS(INDEX($AJ$2:$AJ$1001,MATCH(ROWS($AH$2:AH854),$AH$2:$AH$1001,0),0), INDEX($AO$1004:$BQ$1004,1,MATCH(COLUMNS($AO$1006:AX1006),$AO$1006:$BQ$1006,0)))),"Fix")))</f>
        <v>#N/A</v>
      </c>
      <c r="L854" s="5" t="e">
        <f ca="1">IF(OR(INDEX($AI$2:$AI$1001,MATCH(ROWS($AH$2:AH854),$AH$2:$AH$1001,0),1)&gt;=100000,INDEX($AO$1005:$BQ$1005,1,MATCH(COLUMNS($AO$1006:AY1006),$AO$1006:$BQ$1006,0))&gt;=100000), " ",IF(INDEX($AO$2:$BQ$1001,MATCH(ROWS($AH$2:AH854),$AH$2:$AH$1001,0),MATCH(COLUMNS($AO$1006:AY1006),$AO$1006:$BQ$1006,0)), HYPERLINK("#",""), HYPERLINK(CONCATENATE("#Metadata!", ADDRESS(INDEX($AJ$2:$AJ$1001,MATCH(ROWS($AH$2:AH854),$AH$2:$AH$1001,0),0), INDEX($AO$1004:$BQ$1004,1,MATCH(COLUMNS($AO$1006:AY1006),$AO$1006:$BQ$1006,0)))),"Fix")))</f>
        <v>#N/A</v>
      </c>
      <c r="M854" s="5" t="e">
        <f ca="1">IF(OR(INDEX($AI$2:$AI$1001,MATCH(ROWS($AH$2:AH854),$AH$2:$AH$1001,0),1)&gt;=100000,INDEX($AO$1005:$BQ$1005,1,MATCH(COLUMNS($AO$1006:AZ1006),$AO$1006:$BQ$1006,0))&gt;=100000), " ",IF(INDEX($AO$2:$BQ$1001,MATCH(ROWS($AH$2:AH854),$AH$2:$AH$1001,0),MATCH(COLUMNS($AO$1006:AZ1006),$AO$1006:$BQ$1006,0)), HYPERLINK("#",""), HYPERLINK(CONCATENATE("#Metadata!", ADDRESS(INDEX($AJ$2:$AJ$1001,MATCH(ROWS($AH$2:AH854),$AH$2:$AH$1001,0),0), INDEX($AO$1004:$BQ$1004,1,MATCH(COLUMNS($AO$1006:AZ1006),$AO$1006:$BQ$1006,0)))),"Fix")))</f>
        <v>#N/A</v>
      </c>
      <c r="N854" s="5" t="e">
        <f ca="1">IF(OR(INDEX($AI$2:$AI$1001,MATCH(ROWS($AH$2:AH854),$AH$2:$AH$1001,0),1)&gt;=100000,INDEX($AO$1005:$BQ$1005,1,MATCH(COLUMNS($AO$1006:BA1006),$AO$1006:$BQ$1006,0))&gt;=100000), " ",IF(INDEX($AO$2:$BQ$1001,MATCH(ROWS($AH$2:AH854),$AH$2:$AH$1001,0),MATCH(COLUMNS($AO$1006:BA1006),$AO$1006:$BQ$1006,0)), HYPERLINK("#",""), HYPERLINK(CONCATENATE("#Metadata!", ADDRESS(INDEX($AJ$2:$AJ$1001,MATCH(ROWS($AH$2:AH854),$AH$2:$AH$1001,0),0), INDEX($AO$1004:$BQ$1004,1,MATCH(COLUMNS($AO$1006:BA1006),$AO$1006:$BQ$1006,0)))),"Fix")))</f>
        <v>#N/A</v>
      </c>
      <c r="O854" s="5" t="e">
        <f ca="1">IF(OR(INDEX($AI$2:$AI$1001,MATCH(ROWS($AH$2:AH854),$AH$2:$AH$1001,0),1)&gt;=100000,INDEX($AO$1005:$BQ$1005,1,MATCH(COLUMNS($AO$1006:BB1006),$AO$1006:$BQ$1006,0))&gt;=100000), " ",IF(INDEX($AO$2:$BQ$1001,MATCH(ROWS($AH$2:AH854),$AH$2:$AH$1001,0),MATCH(COLUMNS($AO$1006:BB1006),$AO$1006:$BQ$1006,0)), HYPERLINK("#",""), HYPERLINK(CONCATENATE("#Metadata!", ADDRESS(INDEX($AJ$2:$AJ$1001,MATCH(ROWS($AH$2:AH854),$AH$2:$AH$1001,0),0), INDEX($AO$1004:$BQ$1004,1,MATCH(COLUMNS($AO$1006:BB1006),$AO$1006:$BQ$1006,0)))),"Fix")))</f>
        <v>#N/A</v>
      </c>
      <c r="P854" s="5" t="e">
        <f ca="1">IF(OR(INDEX($AI$2:$AI$1001,MATCH(ROWS($AH$2:AH854),$AH$2:$AH$1001,0),1)&gt;=100000,INDEX($AO$1005:$BQ$1005,1,MATCH(COLUMNS($AO$1006:BC1006),$AO$1006:$BQ$1006,0))&gt;=100000), " ",IF(INDEX($AO$2:$BQ$1001,MATCH(ROWS($AH$2:AH854),$AH$2:$AH$1001,0),MATCH(COLUMNS($AO$1006:BC1006),$AO$1006:$BQ$1006,0)), HYPERLINK("#",""), HYPERLINK(CONCATENATE("#Metadata!", ADDRESS(INDEX($AJ$2:$AJ$1001,MATCH(ROWS($AH$2:AH854),$AH$2:$AH$1001,0),0), INDEX($AO$1004:$BQ$1004,1,MATCH(COLUMNS($AO$1006:BC1006),$AO$1006:$BQ$1006,0)))),"Fix")))</f>
        <v>#N/A</v>
      </c>
      <c r="Q854" s="5" t="e">
        <f ca="1">IF(OR(INDEX($AI$2:$AI$1001,MATCH(ROWS($AH$2:AH854),$AH$2:$AH$1001,0),1)&gt;=100000,INDEX($AO$1005:$BQ$1005,1,MATCH(COLUMNS($AO$1006:BD1006),$AO$1006:$BQ$1006,0))&gt;=100000), " ",IF(INDEX($AO$2:$BQ$1001,MATCH(ROWS($AH$2:AH854),$AH$2:$AH$1001,0),MATCH(COLUMNS($AO$1006:BD1006),$AO$1006:$BQ$1006,0)), HYPERLINK("#",""), HYPERLINK(CONCATENATE("#Metadata!", ADDRESS(INDEX($AJ$2:$AJ$1001,MATCH(ROWS($AH$2:AH854),$AH$2:$AH$1001,0),0), INDEX($AO$1004:$BQ$1004,1,MATCH(COLUMNS($AO$1006:BD1006),$AO$1006:$BQ$1006,0)))),"Fix")))</f>
        <v>#N/A</v>
      </c>
      <c r="R854" s="5" t="e">
        <f ca="1">IF(OR(INDEX($AI$2:$AI$1001,MATCH(ROWS($AH$2:AH854),$AH$2:$AH$1001,0),1)&gt;=100000,INDEX($AO$1005:$BQ$1005,1,MATCH(COLUMNS($AO$1006:BE1006),$AO$1006:$BQ$1006,0))&gt;=100000), " ",IF(INDEX($AO$2:$BQ$1001,MATCH(ROWS($AH$2:AH854),$AH$2:$AH$1001,0),MATCH(COLUMNS($AO$1006:BE1006),$AO$1006:$BQ$1006,0)), HYPERLINK("#",""), HYPERLINK(CONCATENATE("#Metadata!", ADDRESS(INDEX($AJ$2:$AJ$1001,MATCH(ROWS($AH$2:AH854),$AH$2:$AH$1001,0),0), INDEX($AO$1004:$BQ$1004,1,MATCH(COLUMNS($AO$1006:BE1006),$AO$1006:$BQ$1006,0)))),"Fix")))</f>
        <v>#N/A</v>
      </c>
      <c r="S854" s="5" t="e">
        <f ca="1">IF(OR(INDEX($AI$2:$AI$1001,MATCH(ROWS($AH$2:AH854),$AH$2:$AH$1001,0),1)&gt;=100000,INDEX($AO$1005:$BQ$1005,1,MATCH(COLUMNS($AO$1006:BF1006),$AO$1006:$BQ$1006,0))&gt;=100000), " ",IF(INDEX($AO$2:$BQ$1001,MATCH(ROWS($AH$2:AH854),$AH$2:$AH$1001,0),MATCH(COLUMNS($AO$1006:BF1006),$AO$1006:$BQ$1006,0)), HYPERLINK("#",""), HYPERLINK(CONCATENATE("#Metadata!", ADDRESS(INDEX($AJ$2:$AJ$1001,MATCH(ROWS($AH$2:AH854),$AH$2:$AH$1001,0),0), INDEX($AO$1004:$BQ$1004,1,MATCH(COLUMNS($AO$1006:BF1006),$AO$1006:$BQ$1006,0)))),"Fix")))</f>
        <v>#N/A</v>
      </c>
      <c r="T854" s="5" t="e">
        <f ca="1">IF(OR(INDEX($AI$2:$AI$1001,MATCH(ROWS($AH$2:AH854),$AH$2:$AH$1001,0),1)&gt;=100000,INDEX($AO$1005:$BQ$1005,1,MATCH(COLUMNS($AO$1006:BG1006),$AO$1006:$BQ$1006,0))&gt;=100000), " ",IF(INDEX($AO$2:$BQ$1001,MATCH(ROWS($AH$2:AH854),$AH$2:$AH$1001,0),MATCH(COLUMNS($AO$1006:BG1006),$AO$1006:$BQ$1006,0)), HYPERLINK("#",""), HYPERLINK(CONCATENATE("#Metadata!", ADDRESS(INDEX($AJ$2:$AJ$1001,MATCH(ROWS($AH$2:AH854),$AH$2:$AH$1001,0),0), INDEX($AO$1004:$BQ$1004,1,MATCH(COLUMNS($AO$1006:BG1006),$AO$1006:$BQ$1006,0)))),"Fix")))</f>
        <v>#N/A</v>
      </c>
      <c r="U854" s="5" t="e">
        <f ca="1">IF(OR(INDEX($AI$2:$AI$1001,MATCH(ROWS($AH$2:AH854),$AH$2:$AH$1001,0),1)&gt;=100000,INDEX($AO$1005:$BQ$1005,1,MATCH(COLUMNS($AO$1006:BH1006),$AO$1006:$BQ$1006,0))&gt;=100000), " ",IF(INDEX($AO$2:$BQ$1001,MATCH(ROWS($AH$2:AH854),$AH$2:$AH$1001,0),MATCH(COLUMNS($AO$1006:BH1006),$AO$1006:$BQ$1006,0)), HYPERLINK("#",""), HYPERLINK(CONCATENATE("#Metadata!", ADDRESS(INDEX($AJ$2:$AJ$1001,MATCH(ROWS($AH$2:AH854),$AH$2:$AH$1001,0),0), INDEX($AO$1004:$BQ$1004,1,MATCH(COLUMNS($AO$1006:BH1006),$AO$1006:$BQ$1006,0)))),"Fix")))</f>
        <v>#N/A</v>
      </c>
      <c r="V854" s="5" t="e">
        <f ca="1">IF(OR(INDEX($AI$2:$AI$1001,MATCH(ROWS($AH$2:AH854),$AH$2:$AH$1001,0),1)&gt;=100000,INDEX($AO$1005:$BQ$1005,1,MATCH(COLUMNS($AO$1006:BI1006),$AO$1006:$BQ$1006,0))&gt;=100000), " ",IF(INDEX($AO$2:$BQ$1001,MATCH(ROWS($AH$2:AH854),$AH$2:$AH$1001,0),MATCH(COLUMNS($AO$1006:BI1006),$AO$1006:$BQ$1006,0)), HYPERLINK("#",""), HYPERLINK(CONCATENATE("#Metadata!", ADDRESS(INDEX($AJ$2:$AJ$1001,MATCH(ROWS($AH$2:AH854),$AH$2:$AH$1001,0),0), INDEX($AO$1004:$BQ$1004,1,MATCH(COLUMNS($AO$1006:BI1006),$AO$1006:$BQ$1006,0)))),"Fix")))</f>
        <v>#N/A</v>
      </c>
      <c r="W854" s="5" t="e">
        <f ca="1">IF(OR(INDEX($AI$2:$AI$1001,MATCH(ROWS($AH$2:AH854),$AH$2:$AH$1001,0),1)&gt;=100000,INDEX($AO$1005:$BQ$1005,1,MATCH(COLUMNS($AO$1006:BJ1006),$AO$1006:$BQ$1006,0))&gt;=100000), " ",IF(INDEX($AO$2:$BQ$1001,MATCH(ROWS($AH$2:AH854),$AH$2:$AH$1001,0),MATCH(COLUMNS($AO$1006:BJ1006),$AO$1006:$BQ$1006,0)), HYPERLINK("#",""), HYPERLINK(CONCATENATE("#Metadata!", ADDRESS(INDEX($AJ$2:$AJ$1001,MATCH(ROWS($AH$2:AH854),$AH$2:$AH$1001,0),0), INDEX($AO$1004:$BQ$1004,1,MATCH(COLUMNS($AO$1006:BJ1006),$AO$1006:$BQ$1006,0)))),"Fix")))</f>
        <v>#N/A</v>
      </c>
      <c r="X854" s="5" t="e">
        <f ca="1">IF(OR(INDEX($AI$2:$AI$1001,MATCH(ROWS($AH$2:AH854),$AH$2:$AH$1001,0),1)&gt;=100000,INDEX($AO$1005:$BQ$1005,1,MATCH(COLUMNS($AO$1006:BK1006),$AO$1006:$BQ$1006,0))&gt;=100000), " ",IF(INDEX($AO$2:$BQ$1001,MATCH(ROWS($AH$2:AH854),$AH$2:$AH$1001,0),MATCH(COLUMNS($AO$1006:BK1006),$AO$1006:$BQ$1006,0)), HYPERLINK("#",""), HYPERLINK(CONCATENATE("#Metadata!", ADDRESS(INDEX($AJ$2:$AJ$1001,MATCH(ROWS($AH$2:AH854),$AH$2:$AH$1001,0),0), INDEX($AO$1004:$BQ$1004,1,MATCH(COLUMNS($AO$1006:BK1006),$AO$1006:$BQ$1006,0)))),"Fix")))</f>
        <v>#N/A</v>
      </c>
      <c r="Y854" s="5" t="e">
        <f ca="1">IF(OR(INDEX($AI$2:$AI$1001,MATCH(ROWS($AH$2:AH854),$AH$2:$AH$1001,0),1)&gt;=100000,INDEX($AO$1005:$BQ$1005,1,MATCH(COLUMNS($AO$1006:BL1006),$AO$1006:$BQ$1006,0))&gt;=100000), " ",IF(INDEX($AO$2:$BQ$1001,MATCH(ROWS($AH$2:AH854),$AH$2:$AH$1001,0),MATCH(COLUMNS($AO$1006:BL1006),$AO$1006:$BQ$1006,0)), HYPERLINK("#",""), HYPERLINK(CONCATENATE("#Metadata!", ADDRESS(INDEX($AJ$2:$AJ$1001,MATCH(ROWS($AH$2:AH854),$AH$2:$AH$1001,0),0), INDEX($AO$1004:$BQ$1004,1,MATCH(COLUMNS($AO$1006:BL1006),$AO$1006:$BQ$1006,0)))),"Fix")))</f>
        <v>#N/A</v>
      </c>
      <c r="Z854" s="5" t="e">
        <f ca="1">IF(OR(INDEX($AI$2:$AI$1001,MATCH(ROWS($AH$2:AH854),$AH$2:$AH$1001,0),1)&gt;=100000,INDEX($AO$1005:$BQ$1005,1,MATCH(COLUMNS($AO$1006:BM1006),$AO$1006:$BQ$1006,0))&gt;=100000), " ",IF(INDEX($AO$2:$BQ$1001,MATCH(ROWS($AH$2:AH854),$AH$2:$AH$1001,0),MATCH(COLUMNS($AO$1006:BM1006),$AO$1006:$BQ$1006,0)), HYPERLINK("#",""), HYPERLINK(CONCATENATE("#Metadata!", ADDRESS(INDEX($AJ$2:$AJ$1001,MATCH(ROWS($AH$2:AH854),$AH$2:$AH$1001,0),0), INDEX($AO$1004:$BQ$1004,1,MATCH(COLUMNS($AO$1006:BM1006),$AO$1006:$BQ$1006,0)))),"Fix")))</f>
        <v>#N/A</v>
      </c>
      <c r="AA854" s="5" t="e">
        <f ca="1">IF(OR(INDEX($AI$2:$AI$1001,MATCH(ROWS($AH$2:AH854),$AH$2:$AH$1001,0),1)&gt;=100000,INDEX($AO$1005:$BQ$1005,1,MATCH(COLUMNS($AO$1006:BN1006),$AO$1006:$BQ$1006,0))&gt;=100000), " ",IF(INDEX($AO$2:$BQ$1001,MATCH(ROWS($AH$2:AH854),$AH$2:$AH$1001,0),MATCH(COLUMNS($AO$1006:BN1006),$AO$1006:$BQ$1006,0)), HYPERLINK("#",""), HYPERLINK(CONCATENATE("#Metadata!", ADDRESS(INDEX($AJ$2:$AJ$1001,MATCH(ROWS($AH$2:AH854),$AH$2:$AH$1001,0),0), INDEX($AO$1004:$BQ$1004,1,MATCH(COLUMNS($AO$1006:BN1006),$AO$1006:$BQ$1006,0)))),"Fix")))</f>
        <v>#N/A</v>
      </c>
      <c r="AB854" s="5" t="e">
        <f ca="1">IF(OR(INDEX($AI$2:$AI$1001,MATCH(ROWS($AH$2:AH854),$AH$2:$AH$1001,0),1)&gt;=100000,INDEX($AO$1005:$BQ$1005,1,MATCH(COLUMNS($AO$1006:BO1006),$AO$1006:$BQ$1006,0))&gt;=100000), " ",IF(INDEX($AO$2:$BQ$1001,MATCH(ROWS($AH$2:AH854),$AH$2:$AH$1001,0),MATCH(COLUMNS($AO$1006:BO1006),$AO$1006:$BQ$1006,0)), HYPERLINK("#",""), HYPERLINK(CONCATENATE("#Metadata!", ADDRESS(INDEX($AJ$2:$AJ$1001,MATCH(ROWS($AH$2:AH854),$AH$2:$AH$1001,0),0), INDEX($AO$1004:$BQ$1004,1,MATCH(COLUMNS($AO$1006:BO1006),$AO$1006:$BQ$1006,0)))),"Fix")))</f>
        <v>#N/A</v>
      </c>
      <c r="AC854" s="5" t="e">
        <f ca="1">IF(OR(INDEX($AI$2:$AI$1001,MATCH(ROWS($AH$2:AH854),$AH$2:$AH$1001,0),1)&gt;=100000,INDEX($AO$1005:$BQ$1005,1,MATCH(COLUMNS($AO$1006:BP1006),$AO$1006:$BQ$1006,0))&gt;=100000), " ",IF(INDEX($AO$2:$BQ$1001,MATCH(ROWS($AH$2:AH854),$AH$2:$AH$1001,0),MATCH(COLUMNS($AO$1006:BP1006),$AO$1006:$BQ$1006,0)), HYPERLINK("#",""), HYPERLINK(CONCATENATE("#Metadata!", ADDRESS(INDEX($AJ$2:$AJ$1001,MATCH(ROWS($AH$2:AH854),$AH$2:$AH$1001,0),0), INDEX($AO$1004:$BQ$1004,1,MATCH(COLUMNS($AO$1006:BP1006),$AO$1006:$BQ$1006,0)))),"Fix")))</f>
        <v>#N/A</v>
      </c>
      <c r="AD854" s="5" t="e">
        <f ca="1">IF(OR(INDEX($AI$2:$AI$1001,MATCH(ROWS($AH$2:AH854),$AH$2:$AH$1001,0),1)&gt;=100000,INDEX($AO$1005:$BQ$1005,1,MATCH(COLUMNS($AO$1006:BQ1006),$AO$1006:$BQ$1006,0))&gt;=100000), " ",IF(INDEX($AO$2:$BQ$1001,MATCH(ROWS($AH$2:AH854),$AH$2:$AH$1001,0),MATCH(COLUMNS($AO$1006:BQ1006),$AO$1006:$BQ$1006,0)), HYPERLINK("#",""), HYPERLINK(CONCATENATE("#Metadata!", ADDRESS(INDEX($AJ$2:$AJ$1001,MATCH(ROWS($AH$2:AH854),$AH$2:$AH$1001,0),0), INDEX($AO$1004:$BQ$1004,1,MATCH(COLUMNS($AO$1006:BQ1006),$AO$1006:$BQ$1006,0)))),"Fix")))</f>
        <v>#REF!</v>
      </c>
      <c r="AH854">
        <f ca="1"/>
        <v>851</v>
      </c>
      <c r="AI854">
        <v>100854</v>
      </c>
      <c r="AJ854">
        <v>854</v>
      </c>
      <c r="AK854" t="b">
        <f t="shared" si="13"/>
        <v>1</v>
      </c>
      <c r="AL854" t="b">
        <f>COUNTBLANK(Metadata!B854:AD854)=COLUMNS(Metadata!B854:AD854)</f>
        <v>1</v>
      </c>
      <c r="AM854" t="str">
        <v/>
      </c>
      <c r="AO854" t="b">
        <f ca="1">AND(IF(Metadata!B854="",FALSE,TRUE),COUNTIF(Metadata!B:B, Metadata!B854) = 1,NOT(ISERROR(SUMPRODUCT(SEARCH(MID(Metadata!B854,ROW(INDIRECT("1:"&amp;LEN(Metadata!B854))), 1),"0123456789abcdefghijklmnopqrstuvwxyzABCDEFGHIJKLMNOPQRSTUVWXYZ.")))))</f>
        <v>0</v>
      </c>
      <c r="AP854" t="b">
        <f>IF(Metadata!C854="",FALSE,TRUE)</f>
        <v>0</v>
      </c>
      <c r="AQ854" t="b">
        <f>IF(Metadata!D854="",FALSE,TRUE)</f>
        <v>0</v>
      </c>
      <c r="AR854" t="b">
        <f ca="1">OR(AND(IF(Metadata!E854="",FALSE,TRUE),OR(EXACT(Metadata!E854,"not collected"),EXACT(Metadata!E854,"not provided"),EXACT(Metadata!E854,"restricted access"))),AND(IF(Metadata!E854="",FALSE,TRUE),AND(AND(IFERROR(INT(LEFT(Metadata!E854,4))&gt;1900,FALSE),IFERROR(INT(LEFT(Metadata!E854,4))&lt;=YEAR(NOW()),FALSE)), OR(MID(Metadata!E854,5,1)="", AND(AND(MID(Metadata!E854,5,1)="-",IFERROR(INT(MID(Metadata!E854,6,1))&gt;=0,FALSE),IFERROR(INT(MID(Metadata!E854,6,1))&lt;=1,FALSE),NOT(MID(Metadata!E854,7,1)=""),IFERROR(INT(MID(Metadata!E854,6,2))&gt;=1,FALSE),IFERROR(INT(MID(Metadata!E854,6,2))&lt;=12,FALSE)), OR(MID(Metadata!E854,8,1)="", AND(AND(MID(Metadata!E854,8,1)="-",IFERROR(INT(MID(Metadata!E854,9,1))&gt;=0,FALSE),IFERROR(INT(MID(Metadata!E854,9,1))&lt;=3,FALSE),NOT(MID(Metadata!E854,10,1)=""),IFERROR(INT(MID(Metadata!E854,9,2))&gt;=1,FALSE),IFERROR(INT(MID(Metadata!E854,9,2))&lt;=31,FALSE)), OR(MID(Metadata!E854,11,1)="", AND(AND(MID(Metadata!E854,11,1)=" ",IFERROR(INT(MID(Metadata!E854,12,1))&gt;=0,FALSE),IFERROR(INT(MID(Metadata!E854,12,1))&lt;=2,FALSE),NOT(MID(Metadata!E854,13,1)=""),IFERROR(INT(MID(Metadata!E854,12,2))&gt;=0,FALSE),IFERROR(INT(MID(Metadata!E854,12,2))&lt;=23,FALSE)), OR(MID(Metadata!E854,14,1)="", AND(AND(MID(Metadata!E854,14,1)=":",IFERROR(INT(MID(Metadata!E854,15,1))&gt;=0,FALSE),IFERROR(INT(MID(Metadata!E854,15,1))&lt;=5,FALSE),NOT(MID(Metadata!E854,16,1)=""),IFERROR(INT(MID(Metadata!E854,15,2))&gt;=0,FALSE),IFERROR(INT(MID(Metadata!E854,15,2))&lt;=59,FALSE)), OR(MID(Metadata!E854,17,1)="", AND(AND(MID(Metadata!E854,17,1)=":",IFERROR(INT(MID(Metadata!E854,18,1))&gt;=0,FALSE),IFERROR(INT(MID(Metadata!E854,18,1))&lt;=5,FALSE),NOT(MID(Metadata!E854,19,1)=""),IFERROR(INT(MID(Metadata!E854,18,2))&gt;=0,FALSE),IFERROR(INT(MID(Metadata!E854,18,2))&lt;=59,FALSE)), LEN(Metadata!E854)&lt;=19)))))))))))))</f>
        <v>0</v>
      </c>
      <c r="AS854" t="b">
        <f>IF(Metadata!F854="",FALSE,TRUE)</f>
        <v>0</v>
      </c>
      <c r="AT854" t="b">
        <f>OR(AND(IF(Metadata!G854="",FALSE,TRUE),OR(EXACT(Metadata!G854,"not collected"),EXACT(Metadata!G854,"not provided"))),AND(IF(Metadata!G854="",FALSE,TRUE),OR(EXACT(Metadata!G854,"TRUE"),EXACT(Metadata!G854,"FALSE"))))</f>
        <v>0</v>
      </c>
      <c r="AU854" t="b">
        <f>OR(AND(IF(Metadata!H854="",FALSE,TRUE),OR(EXACT(Metadata!H854,"not collected"),EXACT(Metadata!H854,"not provided"),EXACT(Metadata!H854,"restricted access"))),AND(IF(Metadata!H854="",FALSE,ISNUMBER(VALUE(Metadata!H854))),Metadata!H854&gt;=-413))</f>
        <v>0</v>
      </c>
      <c r="AV854" t="b">
        <f>AND(IF(Metadata!I854="",FALSE,TRUE),EXACT(Metadata!I854,"meters"))</f>
        <v>0</v>
      </c>
      <c r="AW854" t="b">
        <f>AND(IF(Metadata!J854="",FALSE,TRUE),EXACT(Metadata!J854,"free-living"))</f>
        <v>0</v>
      </c>
      <c r="AX854" t="b">
        <f>AND(IF(Metadata!K854="",FALSE,TRUE),OR(EXACT(Metadata!K854,"saline"),EXACT(Metadata!K854,"non-saline")))</f>
        <v>0</v>
      </c>
      <c r="AY854" t="b">
        <f>AND(IF(Metadata!L854="",FALSE,TRUE),OR(EXACT(Metadata!L854,"sub-surface (non-saline)"),EXACT(Metadata!L854,"surface (non-saline)"),EXACT(Metadata!L854,"water (non-saline)"),EXACT(Metadata!L854,"soil (non-saline)"),EXACT(Metadata!L854,"aerosol (non-saline)"),EXACT(Metadata!L854,"sediment (non-saline)"),EXACT(Metadata!L854,"surface (saline)"),EXACT(Metadata!L854,"water (saline)"),EXACT(Metadata!L854,"hypersaline (saline)"),EXACT(Metadata!L854,"aerosol (saline)"),EXACT(Metadata!L854,"sediment (saline)")))</f>
        <v>0</v>
      </c>
      <c r="AZ854" t="b">
        <f>IF(Metadata!M854="",FALSE,TRUE)</f>
        <v>0</v>
      </c>
      <c r="BA854" t="b">
        <f>IF(Metadata!N854="",FALSE,TRUE)</f>
        <v>0</v>
      </c>
      <c r="BB854" t="b">
        <f>IF(Metadata!O854="",FALSE,TRUE)</f>
        <v>0</v>
      </c>
      <c r="BC854" t="b">
        <f>AND(IF(Metadata!P854="",FALSE,TRUE),OR(EXACT(Metadata!P854,"air"),EXACT(Metadata!P854,"microbial mat/biofilm"),EXACT(Metadata!P854,"misc environment"),EXACT(Metadata!P854,"sediment"),EXACT(Metadata!P854,"soil"),EXACT(Metadata!P854,"wastewater/sludge"),EXACT(Metadata!P854,"water")))</f>
        <v>0</v>
      </c>
      <c r="BD854" t="b">
        <f>IF(Metadata!Q854="",FALSE,TRUE)</f>
        <v>0</v>
      </c>
      <c r="BE854" t="b">
        <f>IF(Metadata!R854="",FALSE,TRUE)</f>
        <v>0</v>
      </c>
      <c r="BF854" t="b">
        <f>OR(AND(IF(Metadata!S854="",FALSE,TRUE),OR(EXACT(Metadata!S854,"not collected"),EXACT(Metadata!S854,"not provided"),EXACT(Metadata!S854,"restricted access"))),AND(IF(Metadata!S854="",FALSE,ISNUMBER(VALUE(Metadata!S854))),Metadata!S854&gt;=-90,Metadata!S854&lt;=90))</f>
        <v>0</v>
      </c>
      <c r="BG854" t="b">
        <f>AND(IF(Metadata!T854="",FALSE,TRUE),EXACT(Metadata!T854,"Decimal degrees"))</f>
        <v>0</v>
      </c>
      <c r="BH854" t="b">
        <f>OR(AND(IF(Metadata!U854="",FALSE,TRUE),OR(EXACT(Metadata!U854,"not applicable"),EXACT(Metadata!U854,"not collected"))),IF(Metadata!U854="",FALSE,TRUE))</f>
        <v>0</v>
      </c>
      <c r="BI854" t="b">
        <f>OR(AND(IF(Metadata!V854="",FALSE,TRUE),OR(EXACT(Metadata!V854,"not collected"),EXACT(Metadata!V854,"not provided"),EXACT(Metadata!V854,"restricted access"))),AND(IF(Metadata!V854="",FALSE,ISNUMBER(VALUE(Metadata!V854))),Metadata!V854&gt;=-180,Metadata!V854&lt;=180))</f>
        <v>0</v>
      </c>
      <c r="BJ854" t="b">
        <f>AND(IF(Metadata!W854="",FALSE,TRUE),EXACT(Metadata!W854,"Decimal degrees"))</f>
        <v>0</v>
      </c>
      <c r="BK854" t="b">
        <f>IF(Metadata!X854="",FALSE,TRUE)</f>
        <v>0</v>
      </c>
      <c r="BL854" t="b">
        <f>OR(AND(IF(Metadata!Y854="",FALSE,TRUE),OR(EXACT(Metadata!Y854,"not collected"),EXACT(Metadata!Y854,"not provided"),EXACT(Metadata!Y854,"restricted access"))),AND(IF(Metadata!Y854="",FALSE,TRUE),OR(EXACT(Metadata!Y854,"TRUE"),EXACT(Metadata!Y854,"FALSE"))))</f>
        <v>0</v>
      </c>
      <c r="BM854" t="b">
        <f>OR(AND(IF(Metadata!Z854="",FALSE,TRUE),EXACT(Metadata!Z854,"not applicable")),AND(IF(Metadata!Z854="",FALSE,TRUE),OR(EXACT(Metadata!Z854,"beer"),EXACT(Metadata!Z854,"cheese"),EXACT(Metadata!Z854,"fresh water"),EXACT(Metadata!Z854,"marine sediment"),EXACT(Metadata!Z854,"sea water"),EXACT(Metadata!Z854,"sediment"),EXACT(Metadata!Z854,"soil"),EXACT(Metadata!Z854,"waste water"))))</f>
        <v>0</v>
      </c>
      <c r="BN854" t="b">
        <f>AND(IF(Metadata!AA854="",FALSE,TRUE),EXACT(Metadata!AA854,"metagenome"))</f>
        <v>0</v>
      </c>
      <c r="BO854" t="b">
        <f>AND(IF(Metadata!AB854="",FALSE,TRUE),EXACT(Metadata!AB854,"256318"))</f>
        <v>0</v>
      </c>
      <c r="BP854" t="b">
        <f>IF(Metadata!AC854="",FALSE,TRUE)</f>
        <v>0</v>
      </c>
      <c r="BQ854" t="b">
        <f>IF(Metadata!AD854="",FALSE,TRUE)</f>
        <v>0</v>
      </c>
    </row>
    <row r="855" spans="1:69" x14ac:dyDescent="0.2">
      <c r="A855" s="4" t="e">
        <f ca="1">IF(B855=" "," ",HYPERLINK(CONCATENATE("#metadata!",ADDRESS(INDEX($AJ$2:$AJ$1001,MATCH(ROWS($AH$2:AH855),$AH$2:$AH$1001,0),0),2)),INDEX($AM$2:$AM$1001,MATCH(ROWS($AH$2:AH855),$AH$2:$AH$1001,0),0)))</f>
        <v>#N/A</v>
      </c>
      <c r="B855" s="5" t="e">
        <f ca="1">IF(OR(INDEX($AI$2:$AI$1001,MATCH(ROWS($AH$2:AH855),$AH$2:$AH$1001,0),1)&gt;=100000,INDEX($AO$1005:$BQ$1005,1,MATCH(COLUMNS($AO$1006:AO1006),$AO$1006:$BQ$1006,0))&gt;=100000), " ",IF(INDEX($AO$2:$BQ$1001,MATCH(ROWS($AH$2:AH855),$AH$2:$AH$1001,0),MATCH(COLUMNS($AO$1006:AO1006),$AO$1006:$BQ$1006,0)), HYPERLINK("#",""), HYPERLINK(CONCATENATE("#Metadata!", ADDRESS(INDEX($AJ$2:$AJ$1001,MATCH(ROWS($AH$2:AH855),$AH$2:$AH$1001,0),0), INDEX($AO$1004:$BQ$1004,1,MATCH(COLUMNS($AO$1006:AO1006),$AO$1006:$BQ$1006,0)))),"Fix")))</f>
        <v>#N/A</v>
      </c>
      <c r="C855" s="5" t="e">
        <f ca="1">IF(OR(INDEX($AI$2:$AI$1001,MATCH(ROWS($AH$2:AH855),$AH$2:$AH$1001,0),1)&gt;=100000,INDEX($AO$1005:$BQ$1005,1,MATCH(COLUMNS($AO$1006:AP1006),$AO$1006:$BQ$1006,0))&gt;=100000), " ",IF(INDEX($AO$2:$BQ$1001,MATCH(ROWS($AH$2:AH855),$AH$2:$AH$1001,0),MATCH(COLUMNS($AO$1006:AP1006),$AO$1006:$BQ$1006,0)), HYPERLINK("#",""), HYPERLINK(CONCATENATE("#Metadata!", ADDRESS(INDEX($AJ$2:$AJ$1001,MATCH(ROWS($AH$2:AH855),$AH$2:$AH$1001,0),0), INDEX($AO$1004:$BQ$1004,1,MATCH(COLUMNS($AO$1006:AP1006),$AO$1006:$BQ$1006,0)))),"Fix")))</f>
        <v>#N/A</v>
      </c>
      <c r="D855" s="5" t="e">
        <f ca="1">IF(OR(INDEX($AI$2:$AI$1001,MATCH(ROWS($AH$2:AH855),$AH$2:$AH$1001,0),1)&gt;=100000,INDEX($AO$1005:$BQ$1005,1,MATCH(COLUMNS($AO$1006:AQ1006),$AO$1006:$BQ$1006,0))&gt;=100000), " ",IF(INDEX($AO$2:$BQ$1001,MATCH(ROWS($AH$2:AH855),$AH$2:$AH$1001,0),MATCH(COLUMNS($AO$1006:AQ1006),$AO$1006:$BQ$1006,0)), HYPERLINK("#",""), HYPERLINK(CONCATENATE("#Metadata!", ADDRESS(INDEX($AJ$2:$AJ$1001,MATCH(ROWS($AH$2:AH855),$AH$2:$AH$1001,0),0), INDEX($AO$1004:$BQ$1004,1,MATCH(COLUMNS($AO$1006:AQ1006),$AO$1006:$BQ$1006,0)))),"Fix")))</f>
        <v>#N/A</v>
      </c>
      <c r="E855" s="5" t="e">
        <f ca="1">IF(OR(INDEX($AI$2:$AI$1001,MATCH(ROWS($AH$2:AH855),$AH$2:$AH$1001,0),1)&gt;=100000,INDEX($AO$1005:$BQ$1005,1,MATCH(COLUMNS($AO$1006:AR1006),$AO$1006:$BQ$1006,0))&gt;=100000), " ",IF(INDEX($AO$2:$BQ$1001,MATCH(ROWS($AH$2:AH855),$AH$2:$AH$1001,0),MATCH(COLUMNS($AO$1006:AR1006),$AO$1006:$BQ$1006,0)), HYPERLINK("#",""), HYPERLINK(CONCATENATE("#Metadata!", ADDRESS(INDEX($AJ$2:$AJ$1001,MATCH(ROWS($AH$2:AH855),$AH$2:$AH$1001,0),0), INDEX($AO$1004:$BQ$1004,1,MATCH(COLUMNS($AO$1006:AR1006),$AO$1006:$BQ$1006,0)))),"Fix")))</f>
        <v>#N/A</v>
      </c>
      <c r="F855" s="5" t="e">
        <f ca="1">IF(OR(INDEX($AI$2:$AI$1001,MATCH(ROWS($AH$2:AH855),$AH$2:$AH$1001,0),1)&gt;=100000,INDEX($AO$1005:$BQ$1005,1,MATCH(COLUMNS($AO$1006:AS1006),$AO$1006:$BQ$1006,0))&gt;=100000), " ",IF(INDEX($AO$2:$BQ$1001,MATCH(ROWS($AH$2:AH855),$AH$2:$AH$1001,0),MATCH(COLUMNS($AO$1006:AS1006),$AO$1006:$BQ$1006,0)), HYPERLINK("#",""), HYPERLINK(CONCATENATE("#Metadata!", ADDRESS(INDEX($AJ$2:$AJ$1001,MATCH(ROWS($AH$2:AH855),$AH$2:$AH$1001,0),0), INDEX($AO$1004:$BQ$1004,1,MATCH(COLUMNS($AO$1006:AS1006),$AO$1006:$BQ$1006,0)))),"Fix")))</f>
        <v>#N/A</v>
      </c>
      <c r="G855" s="5" t="e">
        <f ca="1">IF(OR(INDEX($AI$2:$AI$1001,MATCH(ROWS($AH$2:AH855),$AH$2:$AH$1001,0),1)&gt;=100000,INDEX($AO$1005:$BQ$1005,1,MATCH(COLUMNS($AO$1006:AT1006),$AO$1006:$BQ$1006,0))&gt;=100000), " ",IF(INDEX($AO$2:$BQ$1001,MATCH(ROWS($AH$2:AH855),$AH$2:$AH$1001,0),MATCH(COLUMNS($AO$1006:AT1006),$AO$1006:$BQ$1006,0)), HYPERLINK("#",""), HYPERLINK(CONCATENATE("#Metadata!", ADDRESS(INDEX($AJ$2:$AJ$1001,MATCH(ROWS($AH$2:AH855),$AH$2:$AH$1001,0),0), INDEX($AO$1004:$BQ$1004,1,MATCH(COLUMNS($AO$1006:AT1006),$AO$1006:$BQ$1006,0)))),"Fix")))</f>
        <v>#N/A</v>
      </c>
      <c r="H855" s="5" t="e">
        <f ca="1">IF(OR(INDEX($AI$2:$AI$1001,MATCH(ROWS($AH$2:AH855),$AH$2:$AH$1001,0),1)&gt;=100000,INDEX($AO$1005:$BQ$1005,1,MATCH(COLUMNS($AO$1006:AU1006),$AO$1006:$BQ$1006,0))&gt;=100000), " ",IF(INDEX($AO$2:$BQ$1001,MATCH(ROWS($AH$2:AH855),$AH$2:$AH$1001,0),MATCH(COLUMNS($AO$1006:AU1006),$AO$1006:$BQ$1006,0)), HYPERLINK("#",""), HYPERLINK(CONCATENATE("#Metadata!", ADDRESS(INDEX($AJ$2:$AJ$1001,MATCH(ROWS($AH$2:AH855),$AH$2:$AH$1001,0),0), INDEX($AO$1004:$BQ$1004,1,MATCH(COLUMNS($AO$1006:AU1006),$AO$1006:$BQ$1006,0)))),"Fix")))</f>
        <v>#N/A</v>
      </c>
      <c r="I855" s="5" t="e">
        <f ca="1">IF(OR(INDEX($AI$2:$AI$1001,MATCH(ROWS($AH$2:AH855),$AH$2:$AH$1001,0),1)&gt;=100000,INDEX($AO$1005:$BQ$1005,1,MATCH(COLUMNS($AO$1006:AV1006),$AO$1006:$BQ$1006,0))&gt;=100000), " ",IF(INDEX($AO$2:$BQ$1001,MATCH(ROWS($AH$2:AH855),$AH$2:$AH$1001,0),MATCH(COLUMNS($AO$1006:AV1006),$AO$1006:$BQ$1006,0)), HYPERLINK("#",""), HYPERLINK(CONCATENATE("#Metadata!", ADDRESS(INDEX($AJ$2:$AJ$1001,MATCH(ROWS($AH$2:AH855),$AH$2:$AH$1001,0),0), INDEX($AO$1004:$BQ$1004,1,MATCH(COLUMNS($AO$1006:AV1006),$AO$1006:$BQ$1006,0)))),"Fix")))</f>
        <v>#N/A</v>
      </c>
      <c r="J855" s="5" t="e">
        <f ca="1">IF(OR(INDEX($AI$2:$AI$1001,MATCH(ROWS($AH$2:AH855),$AH$2:$AH$1001,0),1)&gt;=100000,INDEX($AO$1005:$BQ$1005,1,MATCH(COLUMNS($AO$1006:AW1006),$AO$1006:$BQ$1006,0))&gt;=100000), " ",IF(INDEX($AO$2:$BQ$1001,MATCH(ROWS($AH$2:AH855),$AH$2:$AH$1001,0),MATCH(COLUMNS($AO$1006:AW1006),$AO$1006:$BQ$1006,0)), HYPERLINK("#",""), HYPERLINK(CONCATENATE("#Metadata!", ADDRESS(INDEX($AJ$2:$AJ$1001,MATCH(ROWS($AH$2:AH855),$AH$2:$AH$1001,0),0), INDEX($AO$1004:$BQ$1004,1,MATCH(COLUMNS($AO$1006:AW1006),$AO$1006:$BQ$1006,0)))),"Fix")))</f>
        <v>#N/A</v>
      </c>
      <c r="K855" s="5" t="e">
        <f ca="1">IF(OR(INDEX($AI$2:$AI$1001,MATCH(ROWS($AH$2:AH855),$AH$2:$AH$1001,0),1)&gt;=100000,INDEX($AO$1005:$BQ$1005,1,MATCH(COLUMNS($AO$1006:AX1006),$AO$1006:$BQ$1006,0))&gt;=100000), " ",IF(INDEX($AO$2:$BQ$1001,MATCH(ROWS($AH$2:AH855),$AH$2:$AH$1001,0),MATCH(COLUMNS($AO$1006:AX1006),$AO$1006:$BQ$1006,0)), HYPERLINK("#",""), HYPERLINK(CONCATENATE("#Metadata!", ADDRESS(INDEX($AJ$2:$AJ$1001,MATCH(ROWS($AH$2:AH855),$AH$2:$AH$1001,0),0), INDEX($AO$1004:$BQ$1004,1,MATCH(COLUMNS($AO$1006:AX1006),$AO$1006:$BQ$1006,0)))),"Fix")))</f>
        <v>#N/A</v>
      </c>
      <c r="L855" s="5" t="e">
        <f ca="1">IF(OR(INDEX($AI$2:$AI$1001,MATCH(ROWS($AH$2:AH855),$AH$2:$AH$1001,0),1)&gt;=100000,INDEX($AO$1005:$BQ$1005,1,MATCH(COLUMNS($AO$1006:AY1006),$AO$1006:$BQ$1006,0))&gt;=100000), " ",IF(INDEX($AO$2:$BQ$1001,MATCH(ROWS($AH$2:AH855),$AH$2:$AH$1001,0),MATCH(COLUMNS($AO$1006:AY1006),$AO$1006:$BQ$1006,0)), HYPERLINK("#",""), HYPERLINK(CONCATENATE("#Metadata!", ADDRESS(INDEX($AJ$2:$AJ$1001,MATCH(ROWS($AH$2:AH855),$AH$2:$AH$1001,0),0), INDEX($AO$1004:$BQ$1004,1,MATCH(COLUMNS($AO$1006:AY1006),$AO$1006:$BQ$1006,0)))),"Fix")))</f>
        <v>#N/A</v>
      </c>
      <c r="M855" s="5" t="e">
        <f ca="1">IF(OR(INDEX($AI$2:$AI$1001,MATCH(ROWS($AH$2:AH855),$AH$2:$AH$1001,0),1)&gt;=100000,INDEX($AO$1005:$BQ$1005,1,MATCH(COLUMNS($AO$1006:AZ1006),$AO$1006:$BQ$1006,0))&gt;=100000), " ",IF(INDEX($AO$2:$BQ$1001,MATCH(ROWS($AH$2:AH855),$AH$2:$AH$1001,0),MATCH(COLUMNS($AO$1006:AZ1006),$AO$1006:$BQ$1006,0)), HYPERLINK("#",""), HYPERLINK(CONCATENATE("#Metadata!", ADDRESS(INDEX($AJ$2:$AJ$1001,MATCH(ROWS($AH$2:AH855),$AH$2:$AH$1001,0),0), INDEX($AO$1004:$BQ$1004,1,MATCH(COLUMNS($AO$1006:AZ1006),$AO$1006:$BQ$1006,0)))),"Fix")))</f>
        <v>#N/A</v>
      </c>
      <c r="N855" s="5" t="e">
        <f ca="1">IF(OR(INDEX($AI$2:$AI$1001,MATCH(ROWS($AH$2:AH855),$AH$2:$AH$1001,0),1)&gt;=100000,INDEX($AO$1005:$BQ$1005,1,MATCH(COLUMNS($AO$1006:BA1006),$AO$1006:$BQ$1006,0))&gt;=100000), " ",IF(INDEX($AO$2:$BQ$1001,MATCH(ROWS($AH$2:AH855),$AH$2:$AH$1001,0),MATCH(COLUMNS($AO$1006:BA1006),$AO$1006:$BQ$1006,0)), HYPERLINK("#",""), HYPERLINK(CONCATENATE("#Metadata!", ADDRESS(INDEX($AJ$2:$AJ$1001,MATCH(ROWS($AH$2:AH855),$AH$2:$AH$1001,0),0), INDEX($AO$1004:$BQ$1004,1,MATCH(COLUMNS($AO$1006:BA1006),$AO$1006:$BQ$1006,0)))),"Fix")))</f>
        <v>#N/A</v>
      </c>
      <c r="O855" s="5" t="e">
        <f ca="1">IF(OR(INDEX($AI$2:$AI$1001,MATCH(ROWS($AH$2:AH855),$AH$2:$AH$1001,0),1)&gt;=100000,INDEX($AO$1005:$BQ$1005,1,MATCH(COLUMNS($AO$1006:BB1006),$AO$1006:$BQ$1006,0))&gt;=100000), " ",IF(INDEX($AO$2:$BQ$1001,MATCH(ROWS($AH$2:AH855),$AH$2:$AH$1001,0),MATCH(COLUMNS($AO$1006:BB1006),$AO$1006:$BQ$1006,0)), HYPERLINK("#",""), HYPERLINK(CONCATENATE("#Metadata!", ADDRESS(INDEX($AJ$2:$AJ$1001,MATCH(ROWS($AH$2:AH855),$AH$2:$AH$1001,0),0), INDEX($AO$1004:$BQ$1004,1,MATCH(COLUMNS($AO$1006:BB1006),$AO$1006:$BQ$1006,0)))),"Fix")))</f>
        <v>#N/A</v>
      </c>
      <c r="P855" s="5" t="e">
        <f ca="1">IF(OR(INDEX($AI$2:$AI$1001,MATCH(ROWS($AH$2:AH855),$AH$2:$AH$1001,0),1)&gt;=100000,INDEX($AO$1005:$BQ$1005,1,MATCH(COLUMNS($AO$1006:BC1006),$AO$1006:$BQ$1006,0))&gt;=100000), " ",IF(INDEX($AO$2:$BQ$1001,MATCH(ROWS($AH$2:AH855),$AH$2:$AH$1001,0),MATCH(COLUMNS($AO$1006:BC1006),$AO$1006:$BQ$1006,0)), HYPERLINK("#",""), HYPERLINK(CONCATENATE("#Metadata!", ADDRESS(INDEX($AJ$2:$AJ$1001,MATCH(ROWS($AH$2:AH855),$AH$2:$AH$1001,0),0), INDEX($AO$1004:$BQ$1004,1,MATCH(COLUMNS($AO$1006:BC1006),$AO$1006:$BQ$1006,0)))),"Fix")))</f>
        <v>#N/A</v>
      </c>
      <c r="Q855" s="5" t="e">
        <f ca="1">IF(OR(INDEX($AI$2:$AI$1001,MATCH(ROWS($AH$2:AH855),$AH$2:$AH$1001,0),1)&gt;=100000,INDEX($AO$1005:$BQ$1005,1,MATCH(COLUMNS($AO$1006:BD1006),$AO$1006:$BQ$1006,0))&gt;=100000), " ",IF(INDEX($AO$2:$BQ$1001,MATCH(ROWS($AH$2:AH855),$AH$2:$AH$1001,0),MATCH(COLUMNS($AO$1006:BD1006),$AO$1006:$BQ$1006,0)), HYPERLINK("#",""), HYPERLINK(CONCATENATE("#Metadata!", ADDRESS(INDEX($AJ$2:$AJ$1001,MATCH(ROWS($AH$2:AH855),$AH$2:$AH$1001,0),0), INDEX($AO$1004:$BQ$1004,1,MATCH(COLUMNS($AO$1006:BD1006),$AO$1006:$BQ$1006,0)))),"Fix")))</f>
        <v>#N/A</v>
      </c>
      <c r="R855" s="5" t="e">
        <f ca="1">IF(OR(INDEX($AI$2:$AI$1001,MATCH(ROWS($AH$2:AH855),$AH$2:$AH$1001,0),1)&gt;=100000,INDEX($AO$1005:$BQ$1005,1,MATCH(COLUMNS($AO$1006:BE1006),$AO$1006:$BQ$1006,0))&gt;=100000), " ",IF(INDEX($AO$2:$BQ$1001,MATCH(ROWS($AH$2:AH855),$AH$2:$AH$1001,0),MATCH(COLUMNS($AO$1006:BE1006),$AO$1006:$BQ$1006,0)), HYPERLINK("#",""), HYPERLINK(CONCATENATE("#Metadata!", ADDRESS(INDEX($AJ$2:$AJ$1001,MATCH(ROWS($AH$2:AH855),$AH$2:$AH$1001,0),0), INDEX($AO$1004:$BQ$1004,1,MATCH(COLUMNS($AO$1006:BE1006),$AO$1006:$BQ$1006,0)))),"Fix")))</f>
        <v>#N/A</v>
      </c>
      <c r="S855" s="5" t="e">
        <f ca="1">IF(OR(INDEX($AI$2:$AI$1001,MATCH(ROWS($AH$2:AH855),$AH$2:$AH$1001,0),1)&gt;=100000,INDEX($AO$1005:$BQ$1005,1,MATCH(COLUMNS($AO$1006:BF1006),$AO$1006:$BQ$1006,0))&gt;=100000), " ",IF(INDEX($AO$2:$BQ$1001,MATCH(ROWS($AH$2:AH855),$AH$2:$AH$1001,0),MATCH(COLUMNS($AO$1006:BF1006),$AO$1006:$BQ$1006,0)), HYPERLINK("#",""), HYPERLINK(CONCATENATE("#Metadata!", ADDRESS(INDEX($AJ$2:$AJ$1001,MATCH(ROWS($AH$2:AH855),$AH$2:$AH$1001,0),0), INDEX($AO$1004:$BQ$1004,1,MATCH(COLUMNS($AO$1006:BF1006),$AO$1006:$BQ$1006,0)))),"Fix")))</f>
        <v>#N/A</v>
      </c>
      <c r="T855" s="5" t="e">
        <f ca="1">IF(OR(INDEX($AI$2:$AI$1001,MATCH(ROWS($AH$2:AH855),$AH$2:$AH$1001,0),1)&gt;=100000,INDEX($AO$1005:$BQ$1005,1,MATCH(COLUMNS($AO$1006:BG1006),$AO$1006:$BQ$1006,0))&gt;=100000), " ",IF(INDEX($AO$2:$BQ$1001,MATCH(ROWS($AH$2:AH855),$AH$2:$AH$1001,0),MATCH(COLUMNS($AO$1006:BG1006),$AO$1006:$BQ$1006,0)), HYPERLINK("#",""), HYPERLINK(CONCATENATE("#Metadata!", ADDRESS(INDEX($AJ$2:$AJ$1001,MATCH(ROWS($AH$2:AH855),$AH$2:$AH$1001,0),0), INDEX($AO$1004:$BQ$1004,1,MATCH(COLUMNS($AO$1006:BG1006),$AO$1006:$BQ$1006,0)))),"Fix")))</f>
        <v>#N/A</v>
      </c>
      <c r="U855" s="5" t="e">
        <f ca="1">IF(OR(INDEX($AI$2:$AI$1001,MATCH(ROWS($AH$2:AH855),$AH$2:$AH$1001,0),1)&gt;=100000,INDEX($AO$1005:$BQ$1005,1,MATCH(COLUMNS($AO$1006:BH1006),$AO$1006:$BQ$1006,0))&gt;=100000), " ",IF(INDEX($AO$2:$BQ$1001,MATCH(ROWS($AH$2:AH855),$AH$2:$AH$1001,0),MATCH(COLUMNS($AO$1006:BH1006),$AO$1006:$BQ$1006,0)), HYPERLINK("#",""), HYPERLINK(CONCATENATE("#Metadata!", ADDRESS(INDEX($AJ$2:$AJ$1001,MATCH(ROWS($AH$2:AH855),$AH$2:$AH$1001,0),0), INDEX($AO$1004:$BQ$1004,1,MATCH(COLUMNS($AO$1006:BH1006),$AO$1006:$BQ$1006,0)))),"Fix")))</f>
        <v>#N/A</v>
      </c>
      <c r="V855" s="5" t="e">
        <f ca="1">IF(OR(INDEX($AI$2:$AI$1001,MATCH(ROWS($AH$2:AH855),$AH$2:$AH$1001,0),1)&gt;=100000,INDEX($AO$1005:$BQ$1005,1,MATCH(COLUMNS($AO$1006:BI1006),$AO$1006:$BQ$1006,0))&gt;=100000), " ",IF(INDEX($AO$2:$BQ$1001,MATCH(ROWS($AH$2:AH855),$AH$2:$AH$1001,0),MATCH(COLUMNS($AO$1006:BI1006),$AO$1006:$BQ$1006,0)), HYPERLINK("#",""), HYPERLINK(CONCATENATE("#Metadata!", ADDRESS(INDEX($AJ$2:$AJ$1001,MATCH(ROWS($AH$2:AH855),$AH$2:$AH$1001,0),0), INDEX($AO$1004:$BQ$1004,1,MATCH(COLUMNS($AO$1006:BI1006),$AO$1006:$BQ$1006,0)))),"Fix")))</f>
        <v>#N/A</v>
      </c>
      <c r="W855" s="5" t="e">
        <f ca="1">IF(OR(INDEX($AI$2:$AI$1001,MATCH(ROWS($AH$2:AH855),$AH$2:$AH$1001,0),1)&gt;=100000,INDEX($AO$1005:$BQ$1005,1,MATCH(COLUMNS($AO$1006:BJ1006),$AO$1006:$BQ$1006,0))&gt;=100000), " ",IF(INDEX($AO$2:$BQ$1001,MATCH(ROWS($AH$2:AH855),$AH$2:$AH$1001,0),MATCH(COLUMNS($AO$1006:BJ1006),$AO$1006:$BQ$1006,0)), HYPERLINK("#",""), HYPERLINK(CONCATENATE("#Metadata!", ADDRESS(INDEX($AJ$2:$AJ$1001,MATCH(ROWS($AH$2:AH855),$AH$2:$AH$1001,0),0), INDEX($AO$1004:$BQ$1004,1,MATCH(COLUMNS($AO$1006:BJ1006),$AO$1006:$BQ$1006,0)))),"Fix")))</f>
        <v>#N/A</v>
      </c>
      <c r="X855" s="5" t="e">
        <f ca="1">IF(OR(INDEX($AI$2:$AI$1001,MATCH(ROWS($AH$2:AH855),$AH$2:$AH$1001,0),1)&gt;=100000,INDEX($AO$1005:$BQ$1005,1,MATCH(COLUMNS($AO$1006:BK1006),$AO$1006:$BQ$1006,0))&gt;=100000), " ",IF(INDEX($AO$2:$BQ$1001,MATCH(ROWS($AH$2:AH855),$AH$2:$AH$1001,0),MATCH(COLUMNS($AO$1006:BK1006),$AO$1006:$BQ$1006,0)), HYPERLINK("#",""), HYPERLINK(CONCATENATE("#Metadata!", ADDRESS(INDEX($AJ$2:$AJ$1001,MATCH(ROWS($AH$2:AH855),$AH$2:$AH$1001,0),0), INDEX($AO$1004:$BQ$1004,1,MATCH(COLUMNS($AO$1006:BK1006),$AO$1006:$BQ$1006,0)))),"Fix")))</f>
        <v>#N/A</v>
      </c>
      <c r="Y855" s="5" t="e">
        <f ca="1">IF(OR(INDEX($AI$2:$AI$1001,MATCH(ROWS($AH$2:AH855),$AH$2:$AH$1001,0),1)&gt;=100000,INDEX($AO$1005:$BQ$1005,1,MATCH(COLUMNS($AO$1006:BL1006),$AO$1006:$BQ$1006,0))&gt;=100000), " ",IF(INDEX($AO$2:$BQ$1001,MATCH(ROWS($AH$2:AH855),$AH$2:$AH$1001,0),MATCH(COLUMNS($AO$1006:BL1006),$AO$1006:$BQ$1006,0)), HYPERLINK("#",""), HYPERLINK(CONCATENATE("#Metadata!", ADDRESS(INDEX($AJ$2:$AJ$1001,MATCH(ROWS($AH$2:AH855),$AH$2:$AH$1001,0),0), INDEX($AO$1004:$BQ$1004,1,MATCH(COLUMNS($AO$1006:BL1006),$AO$1006:$BQ$1006,0)))),"Fix")))</f>
        <v>#N/A</v>
      </c>
      <c r="Z855" s="5" t="e">
        <f ca="1">IF(OR(INDEX($AI$2:$AI$1001,MATCH(ROWS($AH$2:AH855),$AH$2:$AH$1001,0),1)&gt;=100000,INDEX($AO$1005:$BQ$1005,1,MATCH(COLUMNS($AO$1006:BM1006),$AO$1006:$BQ$1006,0))&gt;=100000), " ",IF(INDEX($AO$2:$BQ$1001,MATCH(ROWS($AH$2:AH855),$AH$2:$AH$1001,0),MATCH(COLUMNS($AO$1006:BM1006),$AO$1006:$BQ$1006,0)), HYPERLINK("#",""), HYPERLINK(CONCATENATE("#Metadata!", ADDRESS(INDEX($AJ$2:$AJ$1001,MATCH(ROWS($AH$2:AH855),$AH$2:$AH$1001,0),0), INDEX($AO$1004:$BQ$1004,1,MATCH(COLUMNS($AO$1006:BM1006),$AO$1006:$BQ$1006,0)))),"Fix")))</f>
        <v>#N/A</v>
      </c>
      <c r="AA855" s="5" t="e">
        <f ca="1">IF(OR(INDEX($AI$2:$AI$1001,MATCH(ROWS($AH$2:AH855),$AH$2:$AH$1001,0),1)&gt;=100000,INDEX($AO$1005:$BQ$1005,1,MATCH(COLUMNS($AO$1006:BN1006),$AO$1006:$BQ$1006,0))&gt;=100000), " ",IF(INDEX($AO$2:$BQ$1001,MATCH(ROWS($AH$2:AH855),$AH$2:$AH$1001,0),MATCH(COLUMNS($AO$1006:BN1006),$AO$1006:$BQ$1006,0)), HYPERLINK("#",""), HYPERLINK(CONCATENATE("#Metadata!", ADDRESS(INDEX($AJ$2:$AJ$1001,MATCH(ROWS($AH$2:AH855),$AH$2:$AH$1001,0),0), INDEX($AO$1004:$BQ$1004,1,MATCH(COLUMNS($AO$1006:BN1006),$AO$1006:$BQ$1006,0)))),"Fix")))</f>
        <v>#N/A</v>
      </c>
      <c r="AB855" s="5" t="e">
        <f ca="1">IF(OR(INDEX($AI$2:$AI$1001,MATCH(ROWS($AH$2:AH855),$AH$2:$AH$1001,0),1)&gt;=100000,INDEX($AO$1005:$BQ$1005,1,MATCH(COLUMNS($AO$1006:BO1006),$AO$1006:$BQ$1006,0))&gt;=100000), " ",IF(INDEX($AO$2:$BQ$1001,MATCH(ROWS($AH$2:AH855),$AH$2:$AH$1001,0),MATCH(COLUMNS($AO$1006:BO1006),$AO$1006:$BQ$1006,0)), HYPERLINK("#",""), HYPERLINK(CONCATENATE("#Metadata!", ADDRESS(INDEX($AJ$2:$AJ$1001,MATCH(ROWS($AH$2:AH855),$AH$2:$AH$1001,0),0), INDEX($AO$1004:$BQ$1004,1,MATCH(COLUMNS($AO$1006:BO1006),$AO$1006:$BQ$1006,0)))),"Fix")))</f>
        <v>#N/A</v>
      </c>
      <c r="AC855" s="5" t="e">
        <f ca="1">IF(OR(INDEX($AI$2:$AI$1001,MATCH(ROWS($AH$2:AH855),$AH$2:$AH$1001,0),1)&gt;=100000,INDEX($AO$1005:$BQ$1005,1,MATCH(COLUMNS($AO$1006:BP1006),$AO$1006:$BQ$1006,0))&gt;=100000), " ",IF(INDEX($AO$2:$BQ$1001,MATCH(ROWS($AH$2:AH855),$AH$2:$AH$1001,0),MATCH(COLUMNS($AO$1006:BP1006),$AO$1006:$BQ$1006,0)), HYPERLINK("#",""), HYPERLINK(CONCATENATE("#Metadata!", ADDRESS(INDEX($AJ$2:$AJ$1001,MATCH(ROWS($AH$2:AH855),$AH$2:$AH$1001,0),0), INDEX($AO$1004:$BQ$1004,1,MATCH(COLUMNS($AO$1006:BP1006),$AO$1006:$BQ$1006,0)))),"Fix")))</f>
        <v>#N/A</v>
      </c>
      <c r="AD855" s="5" t="e">
        <f ca="1">IF(OR(INDEX($AI$2:$AI$1001,MATCH(ROWS($AH$2:AH855),$AH$2:$AH$1001,0),1)&gt;=100000,INDEX($AO$1005:$BQ$1005,1,MATCH(COLUMNS($AO$1006:BQ1006),$AO$1006:$BQ$1006,0))&gt;=100000), " ",IF(INDEX($AO$2:$BQ$1001,MATCH(ROWS($AH$2:AH855),$AH$2:$AH$1001,0),MATCH(COLUMNS($AO$1006:BQ1006),$AO$1006:$BQ$1006,0)), HYPERLINK("#",""), HYPERLINK(CONCATENATE("#Metadata!", ADDRESS(INDEX($AJ$2:$AJ$1001,MATCH(ROWS($AH$2:AH855),$AH$2:$AH$1001,0),0), INDEX($AO$1004:$BQ$1004,1,MATCH(COLUMNS($AO$1006:BQ1006),$AO$1006:$BQ$1006,0)))),"Fix")))</f>
        <v>#REF!</v>
      </c>
      <c r="AH855">
        <f ca="1"/>
        <v>852</v>
      </c>
      <c r="AI855">
        <v>100855</v>
      </c>
      <c r="AJ855">
        <v>855</v>
      </c>
      <c r="AK855" t="b">
        <f t="shared" si="13"/>
        <v>1</v>
      </c>
      <c r="AL855" t="b">
        <f>COUNTBLANK(Metadata!B855:AD855)=COLUMNS(Metadata!B855:AD855)</f>
        <v>1</v>
      </c>
      <c r="AM855" t="str">
        <v/>
      </c>
      <c r="AO855" t="b">
        <f ca="1">AND(IF(Metadata!B855="",FALSE,TRUE),COUNTIF(Metadata!B:B, Metadata!B855) = 1,NOT(ISERROR(SUMPRODUCT(SEARCH(MID(Metadata!B855,ROW(INDIRECT("1:"&amp;LEN(Metadata!B855))), 1),"0123456789abcdefghijklmnopqrstuvwxyzABCDEFGHIJKLMNOPQRSTUVWXYZ.")))))</f>
        <v>0</v>
      </c>
      <c r="AP855" t="b">
        <f>IF(Metadata!C855="",FALSE,TRUE)</f>
        <v>0</v>
      </c>
      <c r="AQ855" t="b">
        <f>IF(Metadata!D855="",FALSE,TRUE)</f>
        <v>0</v>
      </c>
      <c r="AR855" t="b">
        <f ca="1">OR(AND(IF(Metadata!E855="",FALSE,TRUE),OR(EXACT(Metadata!E855,"not collected"),EXACT(Metadata!E855,"not provided"),EXACT(Metadata!E855,"restricted access"))),AND(IF(Metadata!E855="",FALSE,TRUE),AND(AND(IFERROR(INT(LEFT(Metadata!E855,4))&gt;1900,FALSE),IFERROR(INT(LEFT(Metadata!E855,4))&lt;=YEAR(NOW()),FALSE)), OR(MID(Metadata!E855,5,1)="", AND(AND(MID(Metadata!E855,5,1)="-",IFERROR(INT(MID(Metadata!E855,6,1))&gt;=0,FALSE),IFERROR(INT(MID(Metadata!E855,6,1))&lt;=1,FALSE),NOT(MID(Metadata!E855,7,1)=""),IFERROR(INT(MID(Metadata!E855,6,2))&gt;=1,FALSE),IFERROR(INT(MID(Metadata!E855,6,2))&lt;=12,FALSE)), OR(MID(Metadata!E855,8,1)="", AND(AND(MID(Metadata!E855,8,1)="-",IFERROR(INT(MID(Metadata!E855,9,1))&gt;=0,FALSE),IFERROR(INT(MID(Metadata!E855,9,1))&lt;=3,FALSE),NOT(MID(Metadata!E855,10,1)=""),IFERROR(INT(MID(Metadata!E855,9,2))&gt;=1,FALSE),IFERROR(INT(MID(Metadata!E855,9,2))&lt;=31,FALSE)), OR(MID(Metadata!E855,11,1)="", AND(AND(MID(Metadata!E855,11,1)=" ",IFERROR(INT(MID(Metadata!E855,12,1))&gt;=0,FALSE),IFERROR(INT(MID(Metadata!E855,12,1))&lt;=2,FALSE),NOT(MID(Metadata!E855,13,1)=""),IFERROR(INT(MID(Metadata!E855,12,2))&gt;=0,FALSE),IFERROR(INT(MID(Metadata!E855,12,2))&lt;=23,FALSE)), OR(MID(Metadata!E855,14,1)="", AND(AND(MID(Metadata!E855,14,1)=":",IFERROR(INT(MID(Metadata!E855,15,1))&gt;=0,FALSE),IFERROR(INT(MID(Metadata!E855,15,1))&lt;=5,FALSE),NOT(MID(Metadata!E855,16,1)=""),IFERROR(INT(MID(Metadata!E855,15,2))&gt;=0,FALSE),IFERROR(INT(MID(Metadata!E855,15,2))&lt;=59,FALSE)), OR(MID(Metadata!E855,17,1)="", AND(AND(MID(Metadata!E855,17,1)=":",IFERROR(INT(MID(Metadata!E855,18,1))&gt;=0,FALSE),IFERROR(INT(MID(Metadata!E855,18,1))&lt;=5,FALSE),NOT(MID(Metadata!E855,19,1)=""),IFERROR(INT(MID(Metadata!E855,18,2))&gt;=0,FALSE),IFERROR(INT(MID(Metadata!E855,18,2))&lt;=59,FALSE)), LEN(Metadata!E855)&lt;=19)))))))))))))</f>
        <v>0</v>
      </c>
      <c r="AS855" t="b">
        <f>IF(Metadata!F855="",FALSE,TRUE)</f>
        <v>0</v>
      </c>
      <c r="AT855" t="b">
        <f>OR(AND(IF(Metadata!G855="",FALSE,TRUE),OR(EXACT(Metadata!G855,"not collected"),EXACT(Metadata!G855,"not provided"))),AND(IF(Metadata!G855="",FALSE,TRUE),OR(EXACT(Metadata!G855,"TRUE"),EXACT(Metadata!G855,"FALSE"))))</f>
        <v>0</v>
      </c>
      <c r="AU855" t="b">
        <f>OR(AND(IF(Metadata!H855="",FALSE,TRUE),OR(EXACT(Metadata!H855,"not collected"),EXACT(Metadata!H855,"not provided"),EXACT(Metadata!H855,"restricted access"))),AND(IF(Metadata!H855="",FALSE,ISNUMBER(VALUE(Metadata!H855))),Metadata!H855&gt;=-413))</f>
        <v>0</v>
      </c>
      <c r="AV855" t="b">
        <f>AND(IF(Metadata!I855="",FALSE,TRUE),EXACT(Metadata!I855,"meters"))</f>
        <v>0</v>
      </c>
      <c r="AW855" t="b">
        <f>AND(IF(Metadata!J855="",FALSE,TRUE),EXACT(Metadata!J855,"free-living"))</f>
        <v>0</v>
      </c>
      <c r="AX855" t="b">
        <f>AND(IF(Metadata!K855="",FALSE,TRUE),OR(EXACT(Metadata!K855,"saline"),EXACT(Metadata!K855,"non-saline")))</f>
        <v>0</v>
      </c>
      <c r="AY855" t="b">
        <f>AND(IF(Metadata!L855="",FALSE,TRUE),OR(EXACT(Metadata!L855,"sub-surface (non-saline)"),EXACT(Metadata!L855,"surface (non-saline)"),EXACT(Metadata!L855,"water (non-saline)"),EXACT(Metadata!L855,"soil (non-saline)"),EXACT(Metadata!L855,"aerosol (non-saline)"),EXACT(Metadata!L855,"sediment (non-saline)"),EXACT(Metadata!L855,"surface (saline)"),EXACT(Metadata!L855,"water (saline)"),EXACT(Metadata!L855,"hypersaline (saline)"),EXACT(Metadata!L855,"aerosol (saline)"),EXACT(Metadata!L855,"sediment (saline)")))</f>
        <v>0</v>
      </c>
      <c r="AZ855" t="b">
        <f>IF(Metadata!M855="",FALSE,TRUE)</f>
        <v>0</v>
      </c>
      <c r="BA855" t="b">
        <f>IF(Metadata!N855="",FALSE,TRUE)</f>
        <v>0</v>
      </c>
      <c r="BB855" t="b">
        <f>IF(Metadata!O855="",FALSE,TRUE)</f>
        <v>0</v>
      </c>
      <c r="BC855" t="b">
        <f>AND(IF(Metadata!P855="",FALSE,TRUE),OR(EXACT(Metadata!P855,"air"),EXACT(Metadata!P855,"microbial mat/biofilm"),EXACT(Metadata!P855,"misc environment"),EXACT(Metadata!P855,"sediment"),EXACT(Metadata!P855,"soil"),EXACT(Metadata!P855,"wastewater/sludge"),EXACT(Metadata!P855,"water")))</f>
        <v>0</v>
      </c>
      <c r="BD855" t="b">
        <f>IF(Metadata!Q855="",FALSE,TRUE)</f>
        <v>0</v>
      </c>
      <c r="BE855" t="b">
        <f>IF(Metadata!R855="",FALSE,TRUE)</f>
        <v>0</v>
      </c>
      <c r="BF855" t="b">
        <f>OR(AND(IF(Metadata!S855="",FALSE,TRUE),OR(EXACT(Metadata!S855,"not collected"),EXACT(Metadata!S855,"not provided"),EXACT(Metadata!S855,"restricted access"))),AND(IF(Metadata!S855="",FALSE,ISNUMBER(VALUE(Metadata!S855))),Metadata!S855&gt;=-90,Metadata!S855&lt;=90))</f>
        <v>0</v>
      </c>
      <c r="BG855" t="b">
        <f>AND(IF(Metadata!T855="",FALSE,TRUE),EXACT(Metadata!T855,"Decimal degrees"))</f>
        <v>0</v>
      </c>
      <c r="BH855" t="b">
        <f>OR(AND(IF(Metadata!U855="",FALSE,TRUE),OR(EXACT(Metadata!U855,"not applicable"),EXACT(Metadata!U855,"not collected"))),IF(Metadata!U855="",FALSE,TRUE))</f>
        <v>0</v>
      </c>
      <c r="BI855" t="b">
        <f>OR(AND(IF(Metadata!V855="",FALSE,TRUE),OR(EXACT(Metadata!V855,"not collected"),EXACT(Metadata!V855,"not provided"),EXACT(Metadata!V855,"restricted access"))),AND(IF(Metadata!V855="",FALSE,ISNUMBER(VALUE(Metadata!V855))),Metadata!V855&gt;=-180,Metadata!V855&lt;=180))</f>
        <v>0</v>
      </c>
      <c r="BJ855" t="b">
        <f>AND(IF(Metadata!W855="",FALSE,TRUE),EXACT(Metadata!W855,"Decimal degrees"))</f>
        <v>0</v>
      </c>
      <c r="BK855" t="b">
        <f>IF(Metadata!X855="",FALSE,TRUE)</f>
        <v>0</v>
      </c>
      <c r="BL855" t="b">
        <f>OR(AND(IF(Metadata!Y855="",FALSE,TRUE),OR(EXACT(Metadata!Y855,"not collected"),EXACT(Metadata!Y855,"not provided"),EXACT(Metadata!Y855,"restricted access"))),AND(IF(Metadata!Y855="",FALSE,TRUE),OR(EXACT(Metadata!Y855,"TRUE"),EXACT(Metadata!Y855,"FALSE"))))</f>
        <v>0</v>
      </c>
      <c r="BM855" t="b">
        <f>OR(AND(IF(Metadata!Z855="",FALSE,TRUE),EXACT(Metadata!Z855,"not applicable")),AND(IF(Metadata!Z855="",FALSE,TRUE),OR(EXACT(Metadata!Z855,"beer"),EXACT(Metadata!Z855,"cheese"),EXACT(Metadata!Z855,"fresh water"),EXACT(Metadata!Z855,"marine sediment"),EXACT(Metadata!Z855,"sea water"),EXACT(Metadata!Z855,"sediment"),EXACT(Metadata!Z855,"soil"),EXACT(Metadata!Z855,"waste water"))))</f>
        <v>0</v>
      </c>
      <c r="BN855" t="b">
        <f>AND(IF(Metadata!AA855="",FALSE,TRUE),EXACT(Metadata!AA855,"metagenome"))</f>
        <v>0</v>
      </c>
      <c r="BO855" t="b">
        <f>AND(IF(Metadata!AB855="",FALSE,TRUE),EXACT(Metadata!AB855,"256318"))</f>
        <v>0</v>
      </c>
      <c r="BP855" t="b">
        <f>IF(Metadata!AC855="",FALSE,TRUE)</f>
        <v>0</v>
      </c>
      <c r="BQ855" t="b">
        <f>IF(Metadata!AD855="",FALSE,TRUE)</f>
        <v>0</v>
      </c>
    </row>
    <row r="856" spans="1:69" x14ac:dyDescent="0.2">
      <c r="A856" s="4" t="e">
        <f ca="1">IF(B856=" "," ",HYPERLINK(CONCATENATE("#metadata!",ADDRESS(INDEX($AJ$2:$AJ$1001,MATCH(ROWS($AH$2:AH856),$AH$2:$AH$1001,0),0),2)),INDEX($AM$2:$AM$1001,MATCH(ROWS($AH$2:AH856),$AH$2:$AH$1001,0),0)))</f>
        <v>#N/A</v>
      </c>
      <c r="B856" s="5" t="e">
        <f ca="1">IF(OR(INDEX($AI$2:$AI$1001,MATCH(ROWS($AH$2:AH856),$AH$2:$AH$1001,0),1)&gt;=100000,INDEX($AO$1005:$BQ$1005,1,MATCH(COLUMNS($AO$1006:AO1006),$AO$1006:$BQ$1006,0))&gt;=100000), " ",IF(INDEX($AO$2:$BQ$1001,MATCH(ROWS($AH$2:AH856),$AH$2:$AH$1001,0),MATCH(COLUMNS($AO$1006:AO1006),$AO$1006:$BQ$1006,0)), HYPERLINK("#",""), HYPERLINK(CONCATENATE("#Metadata!", ADDRESS(INDEX($AJ$2:$AJ$1001,MATCH(ROWS($AH$2:AH856),$AH$2:$AH$1001,0),0), INDEX($AO$1004:$BQ$1004,1,MATCH(COLUMNS($AO$1006:AO1006),$AO$1006:$BQ$1006,0)))),"Fix")))</f>
        <v>#N/A</v>
      </c>
      <c r="C856" s="5" t="e">
        <f ca="1">IF(OR(INDEX($AI$2:$AI$1001,MATCH(ROWS($AH$2:AH856),$AH$2:$AH$1001,0),1)&gt;=100000,INDEX($AO$1005:$BQ$1005,1,MATCH(COLUMNS($AO$1006:AP1006),$AO$1006:$BQ$1006,0))&gt;=100000), " ",IF(INDEX($AO$2:$BQ$1001,MATCH(ROWS($AH$2:AH856),$AH$2:$AH$1001,0),MATCH(COLUMNS($AO$1006:AP1006),$AO$1006:$BQ$1006,0)), HYPERLINK("#",""), HYPERLINK(CONCATENATE("#Metadata!", ADDRESS(INDEX($AJ$2:$AJ$1001,MATCH(ROWS($AH$2:AH856),$AH$2:$AH$1001,0),0), INDEX($AO$1004:$BQ$1004,1,MATCH(COLUMNS($AO$1006:AP1006),$AO$1006:$BQ$1006,0)))),"Fix")))</f>
        <v>#N/A</v>
      </c>
      <c r="D856" s="5" t="e">
        <f ca="1">IF(OR(INDEX($AI$2:$AI$1001,MATCH(ROWS($AH$2:AH856),$AH$2:$AH$1001,0),1)&gt;=100000,INDEX($AO$1005:$BQ$1005,1,MATCH(COLUMNS($AO$1006:AQ1006),$AO$1006:$BQ$1006,0))&gt;=100000), " ",IF(INDEX($AO$2:$BQ$1001,MATCH(ROWS($AH$2:AH856),$AH$2:$AH$1001,0),MATCH(COLUMNS($AO$1006:AQ1006),$AO$1006:$BQ$1006,0)), HYPERLINK("#",""), HYPERLINK(CONCATENATE("#Metadata!", ADDRESS(INDEX($AJ$2:$AJ$1001,MATCH(ROWS($AH$2:AH856),$AH$2:$AH$1001,0),0), INDEX($AO$1004:$BQ$1004,1,MATCH(COLUMNS($AO$1006:AQ1006),$AO$1006:$BQ$1006,0)))),"Fix")))</f>
        <v>#N/A</v>
      </c>
      <c r="E856" s="5" t="e">
        <f ca="1">IF(OR(INDEX($AI$2:$AI$1001,MATCH(ROWS($AH$2:AH856),$AH$2:$AH$1001,0),1)&gt;=100000,INDEX($AO$1005:$BQ$1005,1,MATCH(COLUMNS($AO$1006:AR1006),$AO$1006:$BQ$1006,0))&gt;=100000), " ",IF(INDEX($AO$2:$BQ$1001,MATCH(ROWS($AH$2:AH856),$AH$2:$AH$1001,0),MATCH(COLUMNS($AO$1006:AR1006),$AO$1006:$BQ$1006,0)), HYPERLINK("#",""), HYPERLINK(CONCATENATE("#Metadata!", ADDRESS(INDEX($AJ$2:$AJ$1001,MATCH(ROWS($AH$2:AH856),$AH$2:$AH$1001,0),0), INDEX($AO$1004:$BQ$1004,1,MATCH(COLUMNS($AO$1006:AR1006),$AO$1006:$BQ$1006,0)))),"Fix")))</f>
        <v>#N/A</v>
      </c>
      <c r="F856" s="5" t="e">
        <f ca="1">IF(OR(INDEX($AI$2:$AI$1001,MATCH(ROWS($AH$2:AH856),$AH$2:$AH$1001,0),1)&gt;=100000,INDEX($AO$1005:$BQ$1005,1,MATCH(COLUMNS($AO$1006:AS1006),$AO$1006:$BQ$1006,0))&gt;=100000), " ",IF(INDEX($AO$2:$BQ$1001,MATCH(ROWS($AH$2:AH856),$AH$2:$AH$1001,0),MATCH(COLUMNS($AO$1006:AS1006),$AO$1006:$BQ$1006,0)), HYPERLINK("#",""), HYPERLINK(CONCATENATE("#Metadata!", ADDRESS(INDEX($AJ$2:$AJ$1001,MATCH(ROWS($AH$2:AH856),$AH$2:$AH$1001,0),0), INDEX($AO$1004:$BQ$1004,1,MATCH(COLUMNS($AO$1006:AS1006),$AO$1006:$BQ$1006,0)))),"Fix")))</f>
        <v>#N/A</v>
      </c>
      <c r="G856" s="5" t="e">
        <f ca="1">IF(OR(INDEX($AI$2:$AI$1001,MATCH(ROWS($AH$2:AH856),$AH$2:$AH$1001,0),1)&gt;=100000,INDEX($AO$1005:$BQ$1005,1,MATCH(COLUMNS($AO$1006:AT1006),$AO$1006:$BQ$1006,0))&gt;=100000), " ",IF(INDEX($AO$2:$BQ$1001,MATCH(ROWS($AH$2:AH856),$AH$2:$AH$1001,0),MATCH(COLUMNS($AO$1006:AT1006),$AO$1006:$BQ$1006,0)), HYPERLINK("#",""), HYPERLINK(CONCATENATE("#Metadata!", ADDRESS(INDEX($AJ$2:$AJ$1001,MATCH(ROWS($AH$2:AH856),$AH$2:$AH$1001,0),0), INDEX($AO$1004:$BQ$1004,1,MATCH(COLUMNS($AO$1006:AT1006),$AO$1006:$BQ$1006,0)))),"Fix")))</f>
        <v>#N/A</v>
      </c>
      <c r="H856" s="5" t="e">
        <f ca="1">IF(OR(INDEX($AI$2:$AI$1001,MATCH(ROWS($AH$2:AH856),$AH$2:$AH$1001,0),1)&gt;=100000,INDEX($AO$1005:$BQ$1005,1,MATCH(COLUMNS($AO$1006:AU1006),$AO$1006:$BQ$1006,0))&gt;=100000), " ",IF(INDEX($AO$2:$BQ$1001,MATCH(ROWS($AH$2:AH856),$AH$2:$AH$1001,0),MATCH(COLUMNS($AO$1006:AU1006),$AO$1006:$BQ$1006,0)), HYPERLINK("#",""), HYPERLINK(CONCATENATE("#Metadata!", ADDRESS(INDEX($AJ$2:$AJ$1001,MATCH(ROWS($AH$2:AH856),$AH$2:$AH$1001,0),0), INDEX($AO$1004:$BQ$1004,1,MATCH(COLUMNS($AO$1006:AU1006),$AO$1006:$BQ$1006,0)))),"Fix")))</f>
        <v>#N/A</v>
      </c>
      <c r="I856" s="5" t="e">
        <f ca="1">IF(OR(INDEX($AI$2:$AI$1001,MATCH(ROWS($AH$2:AH856),$AH$2:$AH$1001,0),1)&gt;=100000,INDEX($AO$1005:$BQ$1005,1,MATCH(COLUMNS($AO$1006:AV1006),$AO$1006:$BQ$1006,0))&gt;=100000), " ",IF(INDEX($AO$2:$BQ$1001,MATCH(ROWS($AH$2:AH856),$AH$2:$AH$1001,0),MATCH(COLUMNS($AO$1006:AV1006),$AO$1006:$BQ$1006,0)), HYPERLINK("#",""), HYPERLINK(CONCATENATE("#Metadata!", ADDRESS(INDEX($AJ$2:$AJ$1001,MATCH(ROWS($AH$2:AH856),$AH$2:$AH$1001,0),0), INDEX($AO$1004:$BQ$1004,1,MATCH(COLUMNS($AO$1006:AV1006),$AO$1006:$BQ$1006,0)))),"Fix")))</f>
        <v>#N/A</v>
      </c>
      <c r="J856" s="5" t="e">
        <f ca="1">IF(OR(INDEX($AI$2:$AI$1001,MATCH(ROWS($AH$2:AH856),$AH$2:$AH$1001,0),1)&gt;=100000,INDEX($AO$1005:$BQ$1005,1,MATCH(COLUMNS($AO$1006:AW1006),$AO$1006:$BQ$1006,0))&gt;=100000), " ",IF(INDEX($AO$2:$BQ$1001,MATCH(ROWS($AH$2:AH856),$AH$2:$AH$1001,0),MATCH(COLUMNS($AO$1006:AW1006),$AO$1006:$BQ$1006,0)), HYPERLINK("#",""), HYPERLINK(CONCATENATE("#Metadata!", ADDRESS(INDEX($AJ$2:$AJ$1001,MATCH(ROWS($AH$2:AH856),$AH$2:$AH$1001,0),0), INDEX($AO$1004:$BQ$1004,1,MATCH(COLUMNS($AO$1006:AW1006),$AO$1006:$BQ$1006,0)))),"Fix")))</f>
        <v>#N/A</v>
      </c>
      <c r="K856" s="5" t="e">
        <f ca="1">IF(OR(INDEX($AI$2:$AI$1001,MATCH(ROWS($AH$2:AH856),$AH$2:$AH$1001,0),1)&gt;=100000,INDEX($AO$1005:$BQ$1005,1,MATCH(COLUMNS($AO$1006:AX1006),$AO$1006:$BQ$1006,0))&gt;=100000), " ",IF(INDEX($AO$2:$BQ$1001,MATCH(ROWS($AH$2:AH856),$AH$2:$AH$1001,0),MATCH(COLUMNS($AO$1006:AX1006),$AO$1006:$BQ$1006,0)), HYPERLINK("#",""), HYPERLINK(CONCATENATE("#Metadata!", ADDRESS(INDEX($AJ$2:$AJ$1001,MATCH(ROWS($AH$2:AH856),$AH$2:$AH$1001,0),0), INDEX($AO$1004:$BQ$1004,1,MATCH(COLUMNS($AO$1006:AX1006),$AO$1006:$BQ$1006,0)))),"Fix")))</f>
        <v>#N/A</v>
      </c>
      <c r="L856" s="5" t="e">
        <f ca="1">IF(OR(INDEX($AI$2:$AI$1001,MATCH(ROWS($AH$2:AH856),$AH$2:$AH$1001,0),1)&gt;=100000,INDEX($AO$1005:$BQ$1005,1,MATCH(COLUMNS($AO$1006:AY1006),$AO$1006:$BQ$1006,0))&gt;=100000), " ",IF(INDEX($AO$2:$BQ$1001,MATCH(ROWS($AH$2:AH856),$AH$2:$AH$1001,0),MATCH(COLUMNS($AO$1006:AY1006),$AO$1006:$BQ$1006,0)), HYPERLINK("#",""), HYPERLINK(CONCATENATE("#Metadata!", ADDRESS(INDEX($AJ$2:$AJ$1001,MATCH(ROWS($AH$2:AH856),$AH$2:$AH$1001,0),0), INDEX($AO$1004:$BQ$1004,1,MATCH(COLUMNS($AO$1006:AY1006),$AO$1006:$BQ$1006,0)))),"Fix")))</f>
        <v>#N/A</v>
      </c>
      <c r="M856" s="5" t="e">
        <f ca="1">IF(OR(INDEX($AI$2:$AI$1001,MATCH(ROWS($AH$2:AH856),$AH$2:$AH$1001,0),1)&gt;=100000,INDEX($AO$1005:$BQ$1005,1,MATCH(COLUMNS($AO$1006:AZ1006),$AO$1006:$BQ$1006,0))&gt;=100000), " ",IF(INDEX($AO$2:$BQ$1001,MATCH(ROWS($AH$2:AH856),$AH$2:$AH$1001,0),MATCH(COLUMNS($AO$1006:AZ1006),$AO$1006:$BQ$1006,0)), HYPERLINK("#",""), HYPERLINK(CONCATENATE("#Metadata!", ADDRESS(INDEX($AJ$2:$AJ$1001,MATCH(ROWS($AH$2:AH856),$AH$2:$AH$1001,0),0), INDEX($AO$1004:$BQ$1004,1,MATCH(COLUMNS($AO$1006:AZ1006),$AO$1006:$BQ$1006,0)))),"Fix")))</f>
        <v>#N/A</v>
      </c>
      <c r="N856" s="5" t="e">
        <f ca="1">IF(OR(INDEX($AI$2:$AI$1001,MATCH(ROWS($AH$2:AH856),$AH$2:$AH$1001,0),1)&gt;=100000,INDEX($AO$1005:$BQ$1005,1,MATCH(COLUMNS($AO$1006:BA1006),$AO$1006:$BQ$1006,0))&gt;=100000), " ",IF(INDEX($AO$2:$BQ$1001,MATCH(ROWS($AH$2:AH856),$AH$2:$AH$1001,0),MATCH(COLUMNS($AO$1006:BA1006),$AO$1006:$BQ$1006,0)), HYPERLINK("#",""), HYPERLINK(CONCATENATE("#Metadata!", ADDRESS(INDEX($AJ$2:$AJ$1001,MATCH(ROWS($AH$2:AH856),$AH$2:$AH$1001,0),0), INDEX($AO$1004:$BQ$1004,1,MATCH(COLUMNS($AO$1006:BA1006),$AO$1006:$BQ$1006,0)))),"Fix")))</f>
        <v>#N/A</v>
      </c>
      <c r="O856" s="5" t="e">
        <f ca="1">IF(OR(INDEX($AI$2:$AI$1001,MATCH(ROWS($AH$2:AH856),$AH$2:$AH$1001,0),1)&gt;=100000,INDEX($AO$1005:$BQ$1005,1,MATCH(COLUMNS($AO$1006:BB1006),$AO$1006:$BQ$1006,0))&gt;=100000), " ",IF(INDEX($AO$2:$BQ$1001,MATCH(ROWS($AH$2:AH856),$AH$2:$AH$1001,0),MATCH(COLUMNS($AO$1006:BB1006),$AO$1006:$BQ$1006,0)), HYPERLINK("#",""), HYPERLINK(CONCATENATE("#Metadata!", ADDRESS(INDEX($AJ$2:$AJ$1001,MATCH(ROWS($AH$2:AH856),$AH$2:$AH$1001,0),0), INDEX($AO$1004:$BQ$1004,1,MATCH(COLUMNS($AO$1006:BB1006),$AO$1006:$BQ$1006,0)))),"Fix")))</f>
        <v>#N/A</v>
      </c>
      <c r="P856" s="5" t="e">
        <f ca="1">IF(OR(INDEX($AI$2:$AI$1001,MATCH(ROWS($AH$2:AH856),$AH$2:$AH$1001,0),1)&gt;=100000,INDEX($AO$1005:$BQ$1005,1,MATCH(COLUMNS($AO$1006:BC1006),$AO$1006:$BQ$1006,0))&gt;=100000), " ",IF(INDEX($AO$2:$BQ$1001,MATCH(ROWS($AH$2:AH856),$AH$2:$AH$1001,0),MATCH(COLUMNS($AO$1006:BC1006),$AO$1006:$BQ$1006,0)), HYPERLINK("#",""), HYPERLINK(CONCATENATE("#Metadata!", ADDRESS(INDEX($AJ$2:$AJ$1001,MATCH(ROWS($AH$2:AH856),$AH$2:$AH$1001,0),0), INDEX($AO$1004:$BQ$1004,1,MATCH(COLUMNS($AO$1006:BC1006),$AO$1006:$BQ$1006,0)))),"Fix")))</f>
        <v>#N/A</v>
      </c>
      <c r="Q856" s="5" t="e">
        <f ca="1">IF(OR(INDEX($AI$2:$AI$1001,MATCH(ROWS($AH$2:AH856),$AH$2:$AH$1001,0),1)&gt;=100000,INDEX($AO$1005:$BQ$1005,1,MATCH(COLUMNS($AO$1006:BD1006),$AO$1006:$BQ$1006,0))&gt;=100000), " ",IF(INDEX($AO$2:$BQ$1001,MATCH(ROWS($AH$2:AH856),$AH$2:$AH$1001,0),MATCH(COLUMNS($AO$1006:BD1006),$AO$1006:$BQ$1006,0)), HYPERLINK("#",""), HYPERLINK(CONCATENATE("#Metadata!", ADDRESS(INDEX($AJ$2:$AJ$1001,MATCH(ROWS($AH$2:AH856),$AH$2:$AH$1001,0),0), INDEX($AO$1004:$BQ$1004,1,MATCH(COLUMNS($AO$1006:BD1006),$AO$1006:$BQ$1006,0)))),"Fix")))</f>
        <v>#N/A</v>
      </c>
      <c r="R856" s="5" t="e">
        <f ca="1">IF(OR(INDEX($AI$2:$AI$1001,MATCH(ROWS($AH$2:AH856),$AH$2:$AH$1001,0),1)&gt;=100000,INDEX($AO$1005:$BQ$1005,1,MATCH(COLUMNS($AO$1006:BE1006),$AO$1006:$BQ$1006,0))&gt;=100000), " ",IF(INDEX($AO$2:$BQ$1001,MATCH(ROWS($AH$2:AH856),$AH$2:$AH$1001,0),MATCH(COLUMNS($AO$1006:BE1006),$AO$1006:$BQ$1006,0)), HYPERLINK("#",""), HYPERLINK(CONCATENATE("#Metadata!", ADDRESS(INDEX($AJ$2:$AJ$1001,MATCH(ROWS($AH$2:AH856),$AH$2:$AH$1001,0),0), INDEX($AO$1004:$BQ$1004,1,MATCH(COLUMNS($AO$1006:BE1006),$AO$1006:$BQ$1006,0)))),"Fix")))</f>
        <v>#N/A</v>
      </c>
      <c r="S856" s="5" t="e">
        <f ca="1">IF(OR(INDEX($AI$2:$AI$1001,MATCH(ROWS($AH$2:AH856),$AH$2:$AH$1001,0),1)&gt;=100000,INDEX($AO$1005:$BQ$1005,1,MATCH(COLUMNS($AO$1006:BF1006),$AO$1006:$BQ$1006,0))&gt;=100000), " ",IF(INDEX($AO$2:$BQ$1001,MATCH(ROWS($AH$2:AH856),$AH$2:$AH$1001,0),MATCH(COLUMNS($AO$1006:BF1006),$AO$1006:$BQ$1006,0)), HYPERLINK("#",""), HYPERLINK(CONCATENATE("#Metadata!", ADDRESS(INDEX($AJ$2:$AJ$1001,MATCH(ROWS($AH$2:AH856),$AH$2:$AH$1001,0),0), INDEX($AO$1004:$BQ$1004,1,MATCH(COLUMNS($AO$1006:BF1006),$AO$1006:$BQ$1006,0)))),"Fix")))</f>
        <v>#N/A</v>
      </c>
      <c r="T856" s="5" t="e">
        <f ca="1">IF(OR(INDEX($AI$2:$AI$1001,MATCH(ROWS($AH$2:AH856),$AH$2:$AH$1001,0),1)&gt;=100000,INDEX($AO$1005:$BQ$1005,1,MATCH(COLUMNS($AO$1006:BG1006),$AO$1006:$BQ$1006,0))&gt;=100000), " ",IF(INDEX($AO$2:$BQ$1001,MATCH(ROWS($AH$2:AH856),$AH$2:$AH$1001,0),MATCH(COLUMNS($AO$1006:BG1006),$AO$1006:$BQ$1006,0)), HYPERLINK("#",""), HYPERLINK(CONCATENATE("#Metadata!", ADDRESS(INDEX($AJ$2:$AJ$1001,MATCH(ROWS($AH$2:AH856),$AH$2:$AH$1001,0),0), INDEX($AO$1004:$BQ$1004,1,MATCH(COLUMNS($AO$1006:BG1006),$AO$1006:$BQ$1006,0)))),"Fix")))</f>
        <v>#N/A</v>
      </c>
      <c r="U856" s="5" t="e">
        <f ca="1">IF(OR(INDEX($AI$2:$AI$1001,MATCH(ROWS($AH$2:AH856),$AH$2:$AH$1001,0),1)&gt;=100000,INDEX($AO$1005:$BQ$1005,1,MATCH(COLUMNS($AO$1006:BH1006),$AO$1006:$BQ$1006,0))&gt;=100000), " ",IF(INDEX($AO$2:$BQ$1001,MATCH(ROWS($AH$2:AH856),$AH$2:$AH$1001,0),MATCH(COLUMNS($AO$1006:BH1006),$AO$1006:$BQ$1006,0)), HYPERLINK("#",""), HYPERLINK(CONCATENATE("#Metadata!", ADDRESS(INDEX($AJ$2:$AJ$1001,MATCH(ROWS($AH$2:AH856),$AH$2:$AH$1001,0),0), INDEX($AO$1004:$BQ$1004,1,MATCH(COLUMNS($AO$1006:BH1006),$AO$1006:$BQ$1006,0)))),"Fix")))</f>
        <v>#N/A</v>
      </c>
      <c r="V856" s="5" t="e">
        <f ca="1">IF(OR(INDEX($AI$2:$AI$1001,MATCH(ROWS($AH$2:AH856),$AH$2:$AH$1001,0),1)&gt;=100000,INDEX($AO$1005:$BQ$1005,1,MATCH(COLUMNS($AO$1006:BI1006),$AO$1006:$BQ$1006,0))&gt;=100000), " ",IF(INDEX($AO$2:$BQ$1001,MATCH(ROWS($AH$2:AH856),$AH$2:$AH$1001,0),MATCH(COLUMNS($AO$1006:BI1006),$AO$1006:$BQ$1006,0)), HYPERLINK("#",""), HYPERLINK(CONCATENATE("#Metadata!", ADDRESS(INDEX($AJ$2:$AJ$1001,MATCH(ROWS($AH$2:AH856),$AH$2:$AH$1001,0),0), INDEX($AO$1004:$BQ$1004,1,MATCH(COLUMNS($AO$1006:BI1006),$AO$1006:$BQ$1006,0)))),"Fix")))</f>
        <v>#N/A</v>
      </c>
      <c r="W856" s="5" t="e">
        <f ca="1">IF(OR(INDEX($AI$2:$AI$1001,MATCH(ROWS($AH$2:AH856),$AH$2:$AH$1001,0),1)&gt;=100000,INDEX($AO$1005:$BQ$1005,1,MATCH(COLUMNS($AO$1006:BJ1006),$AO$1006:$BQ$1006,0))&gt;=100000), " ",IF(INDEX($AO$2:$BQ$1001,MATCH(ROWS($AH$2:AH856),$AH$2:$AH$1001,0),MATCH(COLUMNS($AO$1006:BJ1006),$AO$1006:$BQ$1006,0)), HYPERLINK("#",""), HYPERLINK(CONCATENATE("#Metadata!", ADDRESS(INDEX($AJ$2:$AJ$1001,MATCH(ROWS($AH$2:AH856),$AH$2:$AH$1001,0),0), INDEX($AO$1004:$BQ$1004,1,MATCH(COLUMNS($AO$1006:BJ1006),$AO$1006:$BQ$1006,0)))),"Fix")))</f>
        <v>#N/A</v>
      </c>
      <c r="X856" s="5" t="e">
        <f ca="1">IF(OR(INDEX($AI$2:$AI$1001,MATCH(ROWS($AH$2:AH856),$AH$2:$AH$1001,0),1)&gt;=100000,INDEX($AO$1005:$BQ$1005,1,MATCH(COLUMNS($AO$1006:BK1006),$AO$1006:$BQ$1006,0))&gt;=100000), " ",IF(INDEX($AO$2:$BQ$1001,MATCH(ROWS($AH$2:AH856),$AH$2:$AH$1001,0),MATCH(COLUMNS($AO$1006:BK1006),$AO$1006:$BQ$1006,0)), HYPERLINK("#",""), HYPERLINK(CONCATENATE("#Metadata!", ADDRESS(INDEX($AJ$2:$AJ$1001,MATCH(ROWS($AH$2:AH856),$AH$2:$AH$1001,0),0), INDEX($AO$1004:$BQ$1004,1,MATCH(COLUMNS($AO$1006:BK1006),$AO$1006:$BQ$1006,0)))),"Fix")))</f>
        <v>#N/A</v>
      </c>
      <c r="Y856" s="5" t="e">
        <f ca="1">IF(OR(INDEX($AI$2:$AI$1001,MATCH(ROWS($AH$2:AH856),$AH$2:$AH$1001,0),1)&gt;=100000,INDEX($AO$1005:$BQ$1005,1,MATCH(COLUMNS($AO$1006:BL1006),$AO$1006:$BQ$1006,0))&gt;=100000), " ",IF(INDEX($AO$2:$BQ$1001,MATCH(ROWS($AH$2:AH856),$AH$2:$AH$1001,0),MATCH(COLUMNS($AO$1006:BL1006),$AO$1006:$BQ$1006,0)), HYPERLINK("#",""), HYPERLINK(CONCATENATE("#Metadata!", ADDRESS(INDEX($AJ$2:$AJ$1001,MATCH(ROWS($AH$2:AH856),$AH$2:$AH$1001,0),0), INDEX($AO$1004:$BQ$1004,1,MATCH(COLUMNS($AO$1006:BL1006),$AO$1006:$BQ$1006,0)))),"Fix")))</f>
        <v>#N/A</v>
      </c>
      <c r="Z856" s="5" t="e">
        <f ca="1">IF(OR(INDEX($AI$2:$AI$1001,MATCH(ROWS($AH$2:AH856),$AH$2:$AH$1001,0),1)&gt;=100000,INDEX($AO$1005:$BQ$1005,1,MATCH(COLUMNS($AO$1006:BM1006),$AO$1006:$BQ$1006,0))&gt;=100000), " ",IF(INDEX($AO$2:$BQ$1001,MATCH(ROWS($AH$2:AH856),$AH$2:$AH$1001,0),MATCH(COLUMNS($AO$1006:BM1006),$AO$1006:$BQ$1006,0)), HYPERLINK("#",""), HYPERLINK(CONCATENATE("#Metadata!", ADDRESS(INDEX($AJ$2:$AJ$1001,MATCH(ROWS($AH$2:AH856),$AH$2:$AH$1001,0),0), INDEX($AO$1004:$BQ$1004,1,MATCH(COLUMNS($AO$1006:BM1006),$AO$1006:$BQ$1006,0)))),"Fix")))</f>
        <v>#N/A</v>
      </c>
      <c r="AA856" s="5" t="e">
        <f ca="1">IF(OR(INDEX($AI$2:$AI$1001,MATCH(ROWS($AH$2:AH856),$AH$2:$AH$1001,0),1)&gt;=100000,INDEX($AO$1005:$BQ$1005,1,MATCH(COLUMNS($AO$1006:BN1006),$AO$1006:$BQ$1006,0))&gt;=100000), " ",IF(INDEX($AO$2:$BQ$1001,MATCH(ROWS($AH$2:AH856),$AH$2:$AH$1001,0),MATCH(COLUMNS($AO$1006:BN1006),$AO$1006:$BQ$1006,0)), HYPERLINK("#",""), HYPERLINK(CONCATENATE("#Metadata!", ADDRESS(INDEX($AJ$2:$AJ$1001,MATCH(ROWS($AH$2:AH856),$AH$2:$AH$1001,0),0), INDEX($AO$1004:$BQ$1004,1,MATCH(COLUMNS($AO$1006:BN1006),$AO$1006:$BQ$1006,0)))),"Fix")))</f>
        <v>#N/A</v>
      </c>
      <c r="AB856" s="5" t="e">
        <f ca="1">IF(OR(INDEX($AI$2:$AI$1001,MATCH(ROWS($AH$2:AH856),$AH$2:$AH$1001,0),1)&gt;=100000,INDEX($AO$1005:$BQ$1005,1,MATCH(COLUMNS($AO$1006:BO1006),$AO$1006:$BQ$1006,0))&gt;=100000), " ",IF(INDEX($AO$2:$BQ$1001,MATCH(ROWS($AH$2:AH856),$AH$2:$AH$1001,0),MATCH(COLUMNS($AO$1006:BO1006),$AO$1006:$BQ$1006,0)), HYPERLINK("#",""), HYPERLINK(CONCATENATE("#Metadata!", ADDRESS(INDEX($AJ$2:$AJ$1001,MATCH(ROWS($AH$2:AH856),$AH$2:$AH$1001,0),0), INDEX($AO$1004:$BQ$1004,1,MATCH(COLUMNS($AO$1006:BO1006),$AO$1006:$BQ$1006,0)))),"Fix")))</f>
        <v>#N/A</v>
      </c>
      <c r="AC856" s="5" t="e">
        <f ca="1">IF(OR(INDEX($AI$2:$AI$1001,MATCH(ROWS($AH$2:AH856),$AH$2:$AH$1001,0),1)&gt;=100000,INDEX($AO$1005:$BQ$1005,1,MATCH(COLUMNS($AO$1006:BP1006),$AO$1006:$BQ$1006,0))&gt;=100000), " ",IF(INDEX($AO$2:$BQ$1001,MATCH(ROWS($AH$2:AH856),$AH$2:$AH$1001,0),MATCH(COLUMNS($AO$1006:BP1006),$AO$1006:$BQ$1006,0)), HYPERLINK("#",""), HYPERLINK(CONCATENATE("#Metadata!", ADDRESS(INDEX($AJ$2:$AJ$1001,MATCH(ROWS($AH$2:AH856),$AH$2:$AH$1001,0),0), INDEX($AO$1004:$BQ$1004,1,MATCH(COLUMNS($AO$1006:BP1006),$AO$1006:$BQ$1006,0)))),"Fix")))</f>
        <v>#N/A</v>
      </c>
      <c r="AD856" s="5" t="e">
        <f ca="1">IF(OR(INDEX($AI$2:$AI$1001,MATCH(ROWS($AH$2:AH856),$AH$2:$AH$1001,0),1)&gt;=100000,INDEX($AO$1005:$BQ$1005,1,MATCH(COLUMNS($AO$1006:BQ1006),$AO$1006:$BQ$1006,0))&gt;=100000), " ",IF(INDEX($AO$2:$BQ$1001,MATCH(ROWS($AH$2:AH856),$AH$2:$AH$1001,0),MATCH(COLUMNS($AO$1006:BQ1006),$AO$1006:$BQ$1006,0)), HYPERLINK("#",""), HYPERLINK(CONCATENATE("#Metadata!", ADDRESS(INDEX($AJ$2:$AJ$1001,MATCH(ROWS($AH$2:AH856),$AH$2:$AH$1001,0),0), INDEX($AO$1004:$BQ$1004,1,MATCH(COLUMNS($AO$1006:BQ1006),$AO$1006:$BQ$1006,0)))),"Fix")))</f>
        <v>#REF!</v>
      </c>
      <c r="AH856">
        <f ca="1"/>
        <v>853</v>
      </c>
      <c r="AI856">
        <v>100856</v>
      </c>
      <c r="AJ856">
        <v>856</v>
      </c>
      <c r="AK856" t="b">
        <f t="shared" si="13"/>
        <v>1</v>
      </c>
      <c r="AL856" t="b">
        <f>COUNTBLANK(Metadata!B856:AD856)=COLUMNS(Metadata!B856:AD856)</f>
        <v>1</v>
      </c>
      <c r="AM856" t="str">
        <v/>
      </c>
      <c r="AO856" t="b">
        <f ca="1">AND(IF(Metadata!B856="",FALSE,TRUE),COUNTIF(Metadata!B:B, Metadata!B856) = 1,NOT(ISERROR(SUMPRODUCT(SEARCH(MID(Metadata!B856,ROW(INDIRECT("1:"&amp;LEN(Metadata!B856))), 1),"0123456789abcdefghijklmnopqrstuvwxyzABCDEFGHIJKLMNOPQRSTUVWXYZ.")))))</f>
        <v>0</v>
      </c>
      <c r="AP856" t="b">
        <f>IF(Metadata!C856="",FALSE,TRUE)</f>
        <v>0</v>
      </c>
      <c r="AQ856" t="b">
        <f>IF(Metadata!D856="",FALSE,TRUE)</f>
        <v>0</v>
      </c>
      <c r="AR856" t="b">
        <f ca="1">OR(AND(IF(Metadata!E856="",FALSE,TRUE),OR(EXACT(Metadata!E856,"not collected"),EXACT(Metadata!E856,"not provided"),EXACT(Metadata!E856,"restricted access"))),AND(IF(Metadata!E856="",FALSE,TRUE),AND(AND(IFERROR(INT(LEFT(Metadata!E856,4))&gt;1900,FALSE),IFERROR(INT(LEFT(Metadata!E856,4))&lt;=YEAR(NOW()),FALSE)), OR(MID(Metadata!E856,5,1)="", AND(AND(MID(Metadata!E856,5,1)="-",IFERROR(INT(MID(Metadata!E856,6,1))&gt;=0,FALSE),IFERROR(INT(MID(Metadata!E856,6,1))&lt;=1,FALSE),NOT(MID(Metadata!E856,7,1)=""),IFERROR(INT(MID(Metadata!E856,6,2))&gt;=1,FALSE),IFERROR(INT(MID(Metadata!E856,6,2))&lt;=12,FALSE)), OR(MID(Metadata!E856,8,1)="", AND(AND(MID(Metadata!E856,8,1)="-",IFERROR(INT(MID(Metadata!E856,9,1))&gt;=0,FALSE),IFERROR(INT(MID(Metadata!E856,9,1))&lt;=3,FALSE),NOT(MID(Metadata!E856,10,1)=""),IFERROR(INT(MID(Metadata!E856,9,2))&gt;=1,FALSE),IFERROR(INT(MID(Metadata!E856,9,2))&lt;=31,FALSE)), OR(MID(Metadata!E856,11,1)="", AND(AND(MID(Metadata!E856,11,1)=" ",IFERROR(INT(MID(Metadata!E856,12,1))&gt;=0,FALSE),IFERROR(INT(MID(Metadata!E856,12,1))&lt;=2,FALSE),NOT(MID(Metadata!E856,13,1)=""),IFERROR(INT(MID(Metadata!E856,12,2))&gt;=0,FALSE),IFERROR(INT(MID(Metadata!E856,12,2))&lt;=23,FALSE)), OR(MID(Metadata!E856,14,1)="", AND(AND(MID(Metadata!E856,14,1)=":",IFERROR(INT(MID(Metadata!E856,15,1))&gt;=0,FALSE),IFERROR(INT(MID(Metadata!E856,15,1))&lt;=5,FALSE),NOT(MID(Metadata!E856,16,1)=""),IFERROR(INT(MID(Metadata!E856,15,2))&gt;=0,FALSE),IFERROR(INT(MID(Metadata!E856,15,2))&lt;=59,FALSE)), OR(MID(Metadata!E856,17,1)="", AND(AND(MID(Metadata!E856,17,1)=":",IFERROR(INT(MID(Metadata!E856,18,1))&gt;=0,FALSE),IFERROR(INT(MID(Metadata!E856,18,1))&lt;=5,FALSE),NOT(MID(Metadata!E856,19,1)=""),IFERROR(INT(MID(Metadata!E856,18,2))&gt;=0,FALSE),IFERROR(INT(MID(Metadata!E856,18,2))&lt;=59,FALSE)), LEN(Metadata!E856)&lt;=19)))))))))))))</f>
        <v>0</v>
      </c>
      <c r="AS856" t="b">
        <f>IF(Metadata!F856="",FALSE,TRUE)</f>
        <v>0</v>
      </c>
      <c r="AT856" t="b">
        <f>OR(AND(IF(Metadata!G856="",FALSE,TRUE),OR(EXACT(Metadata!G856,"not collected"),EXACT(Metadata!G856,"not provided"))),AND(IF(Metadata!G856="",FALSE,TRUE),OR(EXACT(Metadata!G856,"TRUE"),EXACT(Metadata!G856,"FALSE"))))</f>
        <v>0</v>
      </c>
      <c r="AU856" t="b">
        <f>OR(AND(IF(Metadata!H856="",FALSE,TRUE),OR(EXACT(Metadata!H856,"not collected"),EXACT(Metadata!H856,"not provided"),EXACT(Metadata!H856,"restricted access"))),AND(IF(Metadata!H856="",FALSE,ISNUMBER(VALUE(Metadata!H856))),Metadata!H856&gt;=-413))</f>
        <v>0</v>
      </c>
      <c r="AV856" t="b">
        <f>AND(IF(Metadata!I856="",FALSE,TRUE),EXACT(Metadata!I856,"meters"))</f>
        <v>0</v>
      </c>
      <c r="AW856" t="b">
        <f>AND(IF(Metadata!J856="",FALSE,TRUE),EXACT(Metadata!J856,"free-living"))</f>
        <v>0</v>
      </c>
      <c r="AX856" t="b">
        <f>AND(IF(Metadata!K856="",FALSE,TRUE),OR(EXACT(Metadata!K856,"saline"),EXACT(Metadata!K856,"non-saline")))</f>
        <v>0</v>
      </c>
      <c r="AY856" t="b">
        <f>AND(IF(Metadata!L856="",FALSE,TRUE),OR(EXACT(Metadata!L856,"sub-surface (non-saline)"),EXACT(Metadata!L856,"surface (non-saline)"),EXACT(Metadata!L856,"water (non-saline)"),EXACT(Metadata!L856,"soil (non-saline)"),EXACT(Metadata!L856,"aerosol (non-saline)"),EXACT(Metadata!L856,"sediment (non-saline)"),EXACT(Metadata!L856,"surface (saline)"),EXACT(Metadata!L856,"water (saline)"),EXACT(Metadata!L856,"hypersaline (saline)"),EXACT(Metadata!L856,"aerosol (saline)"),EXACT(Metadata!L856,"sediment (saline)")))</f>
        <v>0</v>
      </c>
      <c r="AZ856" t="b">
        <f>IF(Metadata!M856="",FALSE,TRUE)</f>
        <v>0</v>
      </c>
      <c r="BA856" t="b">
        <f>IF(Metadata!N856="",FALSE,TRUE)</f>
        <v>0</v>
      </c>
      <c r="BB856" t="b">
        <f>IF(Metadata!O856="",FALSE,TRUE)</f>
        <v>0</v>
      </c>
      <c r="BC856" t="b">
        <f>AND(IF(Metadata!P856="",FALSE,TRUE),OR(EXACT(Metadata!P856,"air"),EXACT(Metadata!P856,"microbial mat/biofilm"),EXACT(Metadata!P856,"misc environment"),EXACT(Metadata!P856,"sediment"),EXACT(Metadata!P856,"soil"),EXACT(Metadata!P856,"wastewater/sludge"),EXACT(Metadata!P856,"water")))</f>
        <v>0</v>
      </c>
      <c r="BD856" t="b">
        <f>IF(Metadata!Q856="",FALSE,TRUE)</f>
        <v>0</v>
      </c>
      <c r="BE856" t="b">
        <f>IF(Metadata!R856="",FALSE,TRUE)</f>
        <v>0</v>
      </c>
      <c r="BF856" t="b">
        <f>OR(AND(IF(Metadata!S856="",FALSE,TRUE),OR(EXACT(Metadata!S856,"not collected"),EXACT(Metadata!S856,"not provided"),EXACT(Metadata!S856,"restricted access"))),AND(IF(Metadata!S856="",FALSE,ISNUMBER(VALUE(Metadata!S856))),Metadata!S856&gt;=-90,Metadata!S856&lt;=90))</f>
        <v>0</v>
      </c>
      <c r="BG856" t="b">
        <f>AND(IF(Metadata!T856="",FALSE,TRUE),EXACT(Metadata!T856,"Decimal degrees"))</f>
        <v>0</v>
      </c>
      <c r="BH856" t="b">
        <f>OR(AND(IF(Metadata!U856="",FALSE,TRUE),OR(EXACT(Metadata!U856,"not applicable"),EXACT(Metadata!U856,"not collected"))),IF(Metadata!U856="",FALSE,TRUE))</f>
        <v>0</v>
      </c>
      <c r="BI856" t="b">
        <f>OR(AND(IF(Metadata!V856="",FALSE,TRUE),OR(EXACT(Metadata!V856,"not collected"),EXACT(Metadata!V856,"not provided"),EXACT(Metadata!V856,"restricted access"))),AND(IF(Metadata!V856="",FALSE,ISNUMBER(VALUE(Metadata!V856))),Metadata!V856&gt;=-180,Metadata!V856&lt;=180))</f>
        <v>0</v>
      </c>
      <c r="BJ856" t="b">
        <f>AND(IF(Metadata!W856="",FALSE,TRUE),EXACT(Metadata!W856,"Decimal degrees"))</f>
        <v>0</v>
      </c>
      <c r="BK856" t="b">
        <f>IF(Metadata!X856="",FALSE,TRUE)</f>
        <v>0</v>
      </c>
      <c r="BL856" t="b">
        <f>OR(AND(IF(Metadata!Y856="",FALSE,TRUE),OR(EXACT(Metadata!Y856,"not collected"),EXACT(Metadata!Y856,"not provided"),EXACT(Metadata!Y856,"restricted access"))),AND(IF(Metadata!Y856="",FALSE,TRUE),OR(EXACT(Metadata!Y856,"TRUE"),EXACT(Metadata!Y856,"FALSE"))))</f>
        <v>0</v>
      </c>
      <c r="BM856" t="b">
        <f>OR(AND(IF(Metadata!Z856="",FALSE,TRUE),EXACT(Metadata!Z856,"not applicable")),AND(IF(Metadata!Z856="",FALSE,TRUE),OR(EXACT(Metadata!Z856,"beer"),EXACT(Metadata!Z856,"cheese"),EXACT(Metadata!Z856,"fresh water"),EXACT(Metadata!Z856,"marine sediment"),EXACT(Metadata!Z856,"sea water"),EXACT(Metadata!Z856,"sediment"),EXACT(Metadata!Z856,"soil"),EXACT(Metadata!Z856,"waste water"))))</f>
        <v>0</v>
      </c>
      <c r="BN856" t="b">
        <f>AND(IF(Metadata!AA856="",FALSE,TRUE),EXACT(Metadata!AA856,"metagenome"))</f>
        <v>0</v>
      </c>
      <c r="BO856" t="b">
        <f>AND(IF(Metadata!AB856="",FALSE,TRUE),EXACT(Metadata!AB856,"256318"))</f>
        <v>0</v>
      </c>
      <c r="BP856" t="b">
        <f>IF(Metadata!AC856="",FALSE,TRUE)</f>
        <v>0</v>
      </c>
      <c r="BQ856" t="b">
        <f>IF(Metadata!AD856="",FALSE,TRUE)</f>
        <v>0</v>
      </c>
    </row>
    <row r="857" spans="1:69" x14ac:dyDescent="0.2">
      <c r="A857" s="4" t="e">
        <f ca="1">IF(B857=" "," ",HYPERLINK(CONCATENATE("#metadata!",ADDRESS(INDEX($AJ$2:$AJ$1001,MATCH(ROWS($AH$2:AH857),$AH$2:$AH$1001,0),0),2)),INDEX($AM$2:$AM$1001,MATCH(ROWS($AH$2:AH857),$AH$2:$AH$1001,0),0)))</f>
        <v>#N/A</v>
      </c>
      <c r="B857" s="5" t="e">
        <f ca="1">IF(OR(INDEX($AI$2:$AI$1001,MATCH(ROWS($AH$2:AH857),$AH$2:$AH$1001,0),1)&gt;=100000,INDEX($AO$1005:$BQ$1005,1,MATCH(COLUMNS($AO$1006:AO1006),$AO$1006:$BQ$1006,0))&gt;=100000), " ",IF(INDEX($AO$2:$BQ$1001,MATCH(ROWS($AH$2:AH857),$AH$2:$AH$1001,0),MATCH(COLUMNS($AO$1006:AO1006),$AO$1006:$BQ$1006,0)), HYPERLINK("#",""), HYPERLINK(CONCATENATE("#Metadata!", ADDRESS(INDEX($AJ$2:$AJ$1001,MATCH(ROWS($AH$2:AH857),$AH$2:$AH$1001,0),0), INDEX($AO$1004:$BQ$1004,1,MATCH(COLUMNS($AO$1006:AO1006),$AO$1006:$BQ$1006,0)))),"Fix")))</f>
        <v>#N/A</v>
      </c>
      <c r="C857" s="5" t="e">
        <f ca="1">IF(OR(INDEX($AI$2:$AI$1001,MATCH(ROWS($AH$2:AH857),$AH$2:$AH$1001,0),1)&gt;=100000,INDEX($AO$1005:$BQ$1005,1,MATCH(COLUMNS($AO$1006:AP1006),$AO$1006:$BQ$1006,0))&gt;=100000), " ",IF(INDEX($AO$2:$BQ$1001,MATCH(ROWS($AH$2:AH857),$AH$2:$AH$1001,0),MATCH(COLUMNS($AO$1006:AP1006),$AO$1006:$BQ$1006,0)), HYPERLINK("#",""), HYPERLINK(CONCATENATE("#Metadata!", ADDRESS(INDEX($AJ$2:$AJ$1001,MATCH(ROWS($AH$2:AH857),$AH$2:$AH$1001,0),0), INDEX($AO$1004:$BQ$1004,1,MATCH(COLUMNS($AO$1006:AP1006),$AO$1006:$BQ$1006,0)))),"Fix")))</f>
        <v>#N/A</v>
      </c>
      <c r="D857" s="5" t="e">
        <f ca="1">IF(OR(INDEX($AI$2:$AI$1001,MATCH(ROWS($AH$2:AH857),$AH$2:$AH$1001,0),1)&gt;=100000,INDEX($AO$1005:$BQ$1005,1,MATCH(COLUMNS($AO$1006:AQ1006),$AO$1006:$BQ$1006,0))&gt;=100000), " ",IF(INDEX($AO$2:$BQ$1001,MATCH(ROWS($AH$2:AH857),$AH$2:$AH$1001,0),MATCH(COLUMNS($AO$1006:AQ1006),$AO$1006:$BQ$1006,0)), HYPERLINK("#",""), HYPERLINK(CONCATENATE("#Metadata!", ADDRESS(INDEX($AJ$2:$AJ$1001,MATCH(ROWS($AH$2:AH857),$AH$2:$AH$1001,0),0), INDEX($AO$1004:$BQ$1004,1,MATCH(COLUMNS($AO$1006:AQ1006),$AO$1006:$BQ$1006,0)))),"Fix")))</f>
        <v>#N/A</v>
      </c>
      <c r="E857" s="5" t="e">
        <f ca="1">IF(OR(INDEX($AI$2:$AI$1001,MATCH(ROWS($AH$2:AH857),$AH$2:$AH$1001,0),1)&gt;=100000,INDEX($AO$1005:$BQ$1005,1,MATCH(COLUMNS($AO$1006:AR1006),$AO$1006:$BQ$1006,0))&gt;=100000), " ",IF(INDEX($AO$2:$BQ$1001,MATCH(ROWS($AH$2:AH857),$AH$2:$AH$1001,0),MATCH(COLUMNS($AO$1006:AR1006),$AO$1006:$BQ$1006,0)), HYPERLINK("#",""), HYPERLINK(CONCATENATE("#Metadata!", ADDRESS(INDEX($AJ$2:$AJ$1001,MATCH(ROWS($AH$2:AH857),$AH$2:$AH$1001,0),0), INDEX($AO$1004:$BQ$1004,1,MATCH(COLUMNS($AO$1006:AR1006),$AO$1006:$BQ$1006,0)))),"Fix")))</f>
        <v>#N/A</v>
      </c>
      <c r="F857" s="5" t="e">
        <f ca="1">IF(OR(INDEX($AI$2:$AI$1001,MATCH(ROWS($AH$2:AH857),$AH$2:$AH$1001,0),1)&gt;=100000,INDEX($AO$1005:$BQ$1005,1,MATCH(COLUMNS($AO$1006:AS1006),$AO$1006:$BQ$1006,0))&gt;=100000), " ",IF(INDEX($AO$2:$BQ$1001,MATCH(ROWS($AH$2:AH857),$AH$2:$AH$1001,0),MATCH(COLUMNS($AO$1006:AS1006),$AO$1006:$BQ$1006,0)), HYPERLINK("#",""), HYPERLINK(CONCATENATE("#Metadata!", ADDRESS(INDEX($AJ$2:$AJ$1001,MATCH(ROWS($AH$2:AH857),$AH$2:$AH$1001,0),0), INDEX($AO$1004:$BQ$1004,1,MATCH(COLUMNS($AO$1006:AS1006),$AO$1006:$BQ$1006,0)))),"Fix")))</f>
        <v>#N/A</v>
      </c>
      <c r="G857" s="5" t="e">
        <f ca="1">IF(OR(INDEX($AI$2:$AI$1001,MATCH(ROWS($AH$2:AH857),$AH$2:$AH$1001,0),1)&gt;=100000,INDEX($AO$1005:$BQ$1005,1,MATCH(COLUMNS($AO$1006:AT1006),$AO$1006:$BQ$1006,0))&gt;=100000), " ",IF(INDEX($AO$2:$BQ$1001,MATCH(ROWS($AH$2:AH857),$AH$2:$AH$1001,0),MATCH(COLUMNS($AO$1006:AT1006),$AO$1006:$BQ$1006,0)), HYPERLINK("#",""), HYPERLINK(CONCATENATE("#Metadata!", ADDRESS(INDEX($AJ$2:$AJ$1001,MATCH(ROWS($AH$2:AH857),$AH$2:$AH$1001,0),0), INDEX($AO$1004:$BQ$1004,1,MATCH(COLUMNS($AO$1006:AT1006),$AO$1006:$BQ$1006,0)))),"Fix")))</f>
        <v>#N/A</v>
      </c>
      <c r="H857" s="5" t="e">
        <f ca="1">IF(OR(INDEX($AI$2:$AI$1001,MATCH(ROWS($AH$2:AH857),$AH$2:$AH$1001,0),1)&gt;=100000,INDEX($AO$1005:$BQ$1005,1,MATCH(COLUMNS($AO$1006:AU1006),$AO$1006:$BQ$1006,0))&gt;=100000), " ",IF(INDEX($AO$2:$BQ$1001,MATCH(ROWS($AH$2:AH857),$AH$2:$AH$1001,0),MATCH(COLUMNS($AO$1006:AU1006),$AO$1006:$BQ$1006,0)), HYPERLINK("#",""), HYPERLINK(CONCATENATE("#Metadata!", ADDRESS(INDEX($AJ$2:$AJ$1001,MATCH(ROWS($AH$2:AH857),$AH$2:$AH$1001,0),0), INDEX($AO$1004:$BQ$1004,1,MATCH(COLUMNS($AO$1006:AU1006),$AO$1006:$BQ$1006,0)))),"Fix")))</f>
        <v>#N/A</v>
      </c>
      <c r="I857" s="5" t="e">
        <f ca="1">IF(OR(INDEX($AI$2:$AI$1001,MATCH(ROWS($AH$2:AH857),$AH$2:$AH$1001,0),1)&gt;=100000,INDEX($AO$1005:$BQ$1005,1,MATCH(COLUMNS($AO$1006:AV1006),$AO$1006:$BQ$1006,0))&gt;=100000), " ",IF(INDEX($AO$2:$BQ$1001,MATCH(ROWS($AH$2:AH857),$AH$2:$AH$1001,0),MATCH(COLUMNS($AO$1006:AV1006),$AO$1006:$BQ$1006,0)), HYPERLINK("#",""), HYPERLINK(CONCATENATE("#Metadata!", ADDRESS(INDEX($AJ$2:$AJ$1001,MATCH(ROWS($AH$2:AH857),$AH$2:$AH$1001,0),0), INDEX($AO$1004:$BQ$1004,1,MATCH(COLUMNS($AO$1006:AV1006),$AO$1006:$BQ$1006,0)))),"Fix")))</f>
        <v>#N/A</v>
      </c>
      <c r="J857" s="5" t="e">
        <f ca="1">IF(OR(INDEX($AI$2:$AI$1001,MATCH(ROWS($AH$2:AH857),$AH$2:$AH$1001,0),1)&gt;=100000,INDEX($AO$1005:$BQ$1005,1,MATCH(COLUMNS($AO$1006:AW1006),$AO$1006:$BQ$1006,0))&gt;=100000), " ",IF(INDEX($AO$2:$BQ$1001,MATCH(ROWS($AH$2:AH857),$AH$2:$AH$1001,0),MATCH(COLUMNS($AO$1006:AW1006),$AO$1006:$BQ$1006,0)), HYPERLINK("#",""), HYPERLINK(CONCATENATE("#Metadata!", ADDRESS(INDEX($AJ$2:$AJ$1001,MATCH(ROWS($AH$2:AH857),$AH$2:$AH$1001,0),0), INDEX($AO$1004:$BQ$1004,1,MATCH(COLUMNS($AO$1006:AW1006),$AO$1006:$BQ$1006,0)))),"Fix")))</f>
        <v>#N/A</v>
      </c>
      <c r="K857" s="5" t="e">
        <f ca="1">IF(OR(INDEX($AI$2:$AI$1001,MATCH(ROWS($AH$2:AH857),$AH$2:$AH$1001,0),1)&gt;=100000,INDEX($AO$1005:$BQ$1005,1,MATCH(COLUMNS($AO$1006:AX1006),$AO$1006:$BQ$1006,0))&gt;=100000), " ",IF(INDEX($AO$2:$BQ$1001,MATCH(ROWS($AH$2:AH857),$AH$2:$AH$1001,0),MATCH(COLUMNS($AO$1006:AX1006),$AO$1006:$BQ$1006,0)), HYPERLINK("#",""), HYPERLINK(CONCATENATE("#Metadata!", ADDRESS(INDEX($AJ$2:$AJ$1001,MATCH(ROWS($AH$2:AH857),$AH$2:$AH$1001,0),0), INDEX($AO$1004:$BQ$1004,1,MATCH(COLUMNS($AO$1006:AX1006),$AO$1006:$BQ$1006,0)))),"Fix")))</f>
        <v>#N/A</v>
      </c>
      <c r="L857" s="5" t="e">
        <f ca="1">IF(OR(INDEX($AI$2:$AI$1001,MATCH(ROWS($AH$2:AH857),$AH$2:$AH$1001,0),1)&gt;=100000,INDEX($AO$1005:$BQ$1005,1,MATCH(COLUMNS($AO$1006:AY1006),$AO$1006:$BQ$1006,0))&gt;=100000), " ",IF(INDEX($AO$2:$BQ$1001,MATCH(ROWS($AH$2:AH857),$AH$2:$AH$1001,0),MATCH(COLUMNS($AO$1006:AY1006),$AO$1006:$BQ$1006,0)), HYPERLINK("#",""), HYPERLINK(CONCATENATE("#Metadata!", ADDRESS(INDEX($AJ$2:$AJ$1001,MATCH(ROWS($AH$2:AH857),$AH$2:$AH$1001,0),0), INDEX($AO$1004:$BQ$1004,1,MATCH(COLUMNS($AO$1006:AY1006),$AO$1006:$BQ$1006,0)))),"Fix")))</f>
        <v>#N/A</v>
      </c>
      <c r="M857" s="5" t="e">
        <f ca="1">IF(OR(INDEX($AI$2:$AI$1001,MATCH(ROWS($AH$2:AH857),$AH$2:$AH$1001,0),1)&gt;=100000,INDEX($AO$1005:$BQ$1005,1,MATCH(COLUMNS($AO$1006:AZ1006),$AO$1006:$BQ$1006,0))&gt;=100000), " ",IF(INDEX($AO$2:$BQ$1001,MATCH(ROWS($AH$2:AH857),$AH$2:$AH$1001,0),MATCH(COLUMNS($AO$1006:AZ1006),$AO$1006:$BQ$1006,0)), HYPERLINK("#",""), HYPERLINK(CONCATENATE("#Metadata!", ADDRESS(INDEX($AJ$2:$AJ$1001,MATCH(ROWS($AH$2:AH857),$AH$2:$AH$1001,0),0), INDEX($AO$1004:$BQ$1004,1,MATCH(COLUMNS($AO$1006:AZ1006),$AO$1006:$BQ$1006,0)))),"Fix")))</f>
        <v>#N/A</v>
      </c>
      <c r="N857" s="5" t="e">
        <f ca="1">IF(OR(INDEX($AI$2:$AI$1001,MATCH(ROWS($AH$2:AH857),$AH$2:$AH$1001,0),1)&gt;=100000,INDEX($AO$1005:$BQ$1005,1,MATCH(COLUMNS($AO$1006:BA1006),$AO$1006:$BQ$1006,0))&gt;=100000), " ",IF(INDEX($AO$2:$BQ$1001,MATCH(ROWS($AH$2:AH857),$AH$2:$AH$1001,0),MATCH(COLUMNS($AO$1006:BA1006),$AO$1006:$BQ$1006,0)), HYPERLINK("#",""), HYPERLINK(CONCATENATE("#Metadata!", ADDRESS(INDEX($AJ$2:$AJ$1001,MATCH(ROWS($AH$2:AH857),$AH$2:$AH$1001,0),0), INDEX($AO$1004:$BQ$1004,1,MATCH(COLUMNS($AO$1006:BA1006),$AO$1006:$BQ$1006,0)))),"Fix")))</f>
        <v>#N/A</v>
      </c>
      <c r="O857" s="5" t="e">
        <f ca="1">IF(OR(INDEX($AI$2:$AI$1001,MATCH(ROWS($AH$2:AH857),$AH$2:$AH$1001,0),1)&gt;=100000,INDEX($AO$1005:$BQ$1005,1,MATCH(COLUMNS($AO$1006:BB1006),$AO$1006:$BQ$1006,0))&gt;=100000), " ",IF(INDEX($AO$2:$BQ$1001,MATCH(ROWS($AH$2:AH857),$AH$2:$AH$1001,0),MATCH(COLUMNS($AO$1006:BB1006),$AO$1006:$BQ$1006,0)), HYPERLINK("#",""), HYPERLINK(CONCATENATE("#Metadata!", ADDRESS(INDEX($AJ$2:$AJ$1001,MATCH(ROWS($AH$2:AH857),$AH$2:$AH$1001,0),0), INDEX($AO$1004:$BQ$1004,1,MATCH(COLUMNS($AO$1006:BB1006),$AO$1006:$BQ$1006,0)))),"Fix")))</f>
        <v>#N/A</v>
      </c>
      <c r="P857" s="5" t="e">
        <f ca="1">IF(OR(INDEX($AI$2:$AI$1001,MATCH(ROWS($AH$2:AH857),$AH$2:$AH$1001,0),1)&gt;=100000,INDEX($AO$1005:$BQ$1005,1,MATCH(COLUMNS($AO$1006:BC1006),$AO$1006:$BQ$1006,0))&gt;=100000), " ",IF(INDEX($AO$2:$BQ$1001,MATCH(ROWS($AH$2:AH857),$AH$2:$AH$1001,0),MATCH(COLUMNS($AO$1006:BC1006),$AO$1006:$BQ$1006,0)), HYPERLINK("#",""), HYPERLINK(CONCATENATE("#Metadata!", ADDRESS(INDEX($AJ$2:$AJ$1001,MATCH(ROWS($AH$2:AH857),$AH$2:$AH$1001,0),0), INDEX($AO$1004:$BQ$1004,1,MATCH(COLUMNS($AO$1006:BC1006),$AO$1006:$BQ$1006,0)))),"Fix")))</f>
        <v>#N/A</v>
      </c>
      <c r="Q857" s="5" t="e">
        <f ca="1">IF(OR(INDEX($AI$2:$AI$1001,MATCH(ROWS($AH$2:AH857),$AH$2:$AH$1001,0),1)&gt;=100000,INDEX($AO$1005:$BQ$1005,1,MATCH(COLUMNS($AO$1006:BD1006),$AO$1006:$BQ$1006,0))&gt;=100000), " ",IF(INDEX($AO$2:$BQ$1001,MATCH(ROWS($AH$2:AH857),$AH$2:$AH$1001,0),MATCH(COLUMNS($AO$1006:BD1006),$AO$1006:$BQ$1006,0)), HYPERLINK("#",""), HYPERLINK(CONCATENATE("#Metadata!", ADDRESS(INDEX($AJ$2:$AJ$1001,MATCH(ROWS($AH$2:AH857),$AH$2:$AH$1001,0),0), INDEX($AO$1004:$BQ$1004,1,MATCH(COLUMNS($AO$1006:BD1006),$AO$1006:$BQ$1006,0)))),"Fix")))</f>
        <v>#N/A</v>
      </c>
      <c r="R857" s="5" t="e">
        <f ca="1">IF(OR(INDEX($AI$2:$AI$1001,MATCH(ROWS($AH$2:AH857),$AH$2:$AH$1001,0),1)&gt;=100000,INDEX($AO$1005:$BQ$1005,1,MATCH(COLUMNS($AO$1006:BE1006),$AO$1006:$BQ$1006,0))&gt;=100000), " ",IF(INDEX($AO$2:$BQ$1001,MATCH(ROWS($AH$2:AH857),$AH$2:$AH$1001,0),MATCH(COLUMNS($AO$1006:BE1006),$AO$1006:$BQ$1006,0)), HYPERLINK("#",""), HYPERLINK(CONCATENATE("#Metadata!", ADDRESS(INDEX($AJ$2:$AJ$1001,MATCH(ROWS($AH$2:AH857),$AH$2:$AH$1001,0),0), INDEX($AO$1004:$BQ$1004,1,MATCH(COLUMNS($AO$1006:BE1006),$AO$1006:$BQ$1006,0)))),"Fix")))</f>
        <v>#N/A</v>
      </c>
      <c r="S857" s="5" t="e">
        <f ca="1">IF(OR(INDEX($AI$2:$AI$1001,MATCH(ROWS($AH$2:AH857),$AH$2:$AH$1001,0),1)&gt;=100000,INDEX($AO$1005:$BQ$1005,1,MATCH(COLUMNS($AO$1006:BF1006),$AO$1006:$BQ$1006,0))&gt;=100000), " ",IF(INDEX($AO$2:$BQ$1001,MATCH(ROWS($AH$2:AH857),$AH$2:$AH$1001,0),MATCH(COLUMNS($AO$1006:BF1006),$AO$1006:$BQ$1006,0)), HYPERLINK("#",""), HYPERLINK(CONCATENATE("#Metadata!", ADDRESS(INDEX($AJ$2:$AJ$1001,MATCH(ROWS($AH$2:AH857),$AH$2:$AH$1001,0),0), INDEX($AO$1004:$BQ$1004,1,MATCH(COLUMNS($AO$1006:BF1006),$AO$1006:$BQ$1006,0)))),"Fix")))</f>
        <v>#N/A</v>
      </c>
      <c r="T857" s="5" t="e">
        <f ca="1">IF(OR(INDEX($AI$2:$AI$1001,MATCH(ROWS($AH$2:AH857),$AH$2:$AH$1001,0),1)&gt;=100000,INDEX($AO$1005:$BQ$1005,1,MATCH(COLUMNS($AO$1006:BG1006),$AO$1006:$BQ$1006,0))&gt;=100000), " ",IF(INDEX($AO$2:$BQ$1001,MATCH(ROWS($AH$2:AH857),$AH$2:$AH$1001,0),MATCH(COLUMNS($AO$1006:BG1006),$AO$1006:$BQ$1006,0)), HYPERLINK("#",""), HYPERLINK(CONCATENATE("#Metadata!", ADDRESS(INDEX($AJ$2:$AJ$1001,MATCH(ROWS($AH$2:AH857),$AH$2:$AH$1001,0),0), INDEX($AO$1004:$BQ$1004,1,MATCH(COLUMNS($AO$1006:BG1006),$AO$1006:$BQ$1006,0)))),"Fix")))</f>
        <v>#N/A</v>
      </c>
      <c r="U857" s="5" t="e">
        <f ca="1">IF(OR(INDEX($AI$2:$AI$1001,MATCH(ROWS($AH$2:AH857),$AH$2:$AH$1001,0),1)&gt;=100000,INDEX($AO$1005:$BQ$1005,1,MATCH(COLUMNS($AO$1006:BH1006),$AO$1006:$BQ$1006,0))&gt;=100000), " ",IF(INDEX($AO$2:$BQ$1001,MATCH(ROWS($AH$2:AH857),$AH$2:$AH$1001,0),MATCH(COLUMNS($AO$1006:BH1006),$AO$1006:$BQ$1006,0)), HYPERLINK("#",""), HYPERLINK(CONCATENATE("#Metadata!", ADDRESS(INDEX($AJ$2:$AJ$1001,MATCH(ROWS($AH$2:AH857),$AH$2:$AH$1001,0),0), INDEX($AO$1004:$BQ$1004,1,MATCH(COLUMNS($AO$1006:BH1006),$AO$1006:$BQ$1006,0)))),"Fix")))</f>
        <v>#N/A</v>
      </c>
      <c r="V857" s="5" t="e">
        <f ca="1">IF(OR(INDEX($AI$2:$AI$1001,MATCH(ROWS($AH$2:AH857),$AH$2:$AH$1001,0),1)&gt;=100000,INDEX($AO$1005:$BQ$1005,1,MATCH(COLUMNS($AO$1006:BI1006),$AO$1006:$BQ$1006,0))&gt;=100000), " ",IF(INDEX($AO$2:$BQ$1001,MATCH(ROWS($AH$2:AH857),$AH$2:$AH$1001,0),MATCH(COLUMNS($AO$1006:BI1006),$AO$1006:$BQ$1006,0)), HYPERLINK("#",""), HYPERLINK(CONCATENATE("#Metadata!", ADDRESS(INDEX($AJ$2:$AJ$1001,MATCH(ROWS($AH$2:AH857),$AH$2:$AH$1001,0),0), INDEX($AO$1004:$BQ$1004,1,MATCH(COLUMNS($AO$1006:BI1006),$AO$1006:$BQ$1006,0)))),"Fix")))</f>
        <v>#N/A</v>
      </c>
      <c r="W857" s="5" t="e">
        <f ca="1">IF(OR(INDEX($AI$2:$AI$1001,MATCH(ROWS($AH$2:AH857),$AH$2:$AH$1001,0),1)&gt;=100000,INDEX($AO$1005:$BQ$1005,1,MATCH(COLUMNS($AO$1006:BJ1006),$AO$1006:$BQ$1006,0))&gt;=100000), " ",IF(INDEX($AO$2:$BQ$1001,MATCH(ROWS($AH$2:AH857),$AH$2:$AH$1001,0),MATCH(COLUMNS($AO$1006:BJ1006),$AO$1006:$BQ$1006,0)), HYPERLINK("#",""), HYPERLINK(CONCATENATE("#Metadata!", ADDRESS(INDEX($AJ$2:$AJ$1001,MATCH(ROWS($AH$2:AH857),$AH$2:$AH$1001,0),0), INDEX($AO$1004:$BQ$1004,1,MATCH(COLUMNS($AO$1006:BJ1006),$AO$1006:$BQ$1006,0)))),"Fix")))</f>
        <v>#N/A</v>
      </c>
      <c r="X857" s="5" t="e">
        <f ca="1">IF(OR(INDEX($AI$2:$AI$1001,MATCH(ROWS($AH$2:AH857),$AH$2:$AH$1001,0),1)&gt;=100000,INDEX($AO$1005:$BQ$1005,1,MATCH(COLUMNS($AO$1006:BK1006),$AO$1006:$BQ$1006,0))&gt;=100000), " ",IF(INDEX($AO$2:$BQ$1001,MATCH(ROWS($AH$2:AH857),$AH$2:$AH$1001,0),MATCH(COLUMNS($AO$1006:BK1006),$AO$1006:$BQ$1006,0)), HYPERLINK("#",""), HYPERLINK(CONCATENATE("#Metadata!", ADDRESS(INDEX($AJ$2:$AJ$1001,MATCH(ROWS($AH$2:AH857),$AH$2:$AH$1001,0),0), INDEX($AO$1004:$BQ$1004,1,MATCH(COLUMNS($AO$1006:BK1006),$AO$1006:$BQ$1006,0)))),"Fix")))</f>
        <v>#N/A</v>
      </c>
      <c r="Y857" s="5" t="e">
        <f ca="1">IF(OR(INDEX($AI$2:$AI$1001,MATCH(ROWS($AH$2:AH857),$AH$2:$AH$1001,0),1)&gt;=100000,INDEX($AO$1005:$BQ$1005,1,MATCH(COLUMNS($AO$1006:BL1006),$AO$1006:$BQ$1006,0))&gt;=100000), " ",IF(INDEX($AO$2:$BQ$1001,MATCH(ROWS($AH$2:AH857),$AH$2:$AH$1001,0),MATCH(COLUMNS($AO$1006:BL1006),$AO$1006:$BQ$1006,0)), HYPERLINK("#",""), HYPERLINK(CONCATENATE("#Metadata!", ADDRESS(INDEX($AJ$2:$AJ$1001,MATCH(ROWS($AH$2:AH857),$AH$2:$AH$1001,0),0), INDEX($AO$1004:$BQ$1004,1,MATCH(COLUMNS($AO$1006:BL1006),$AO$1006:$BQ$1006,0)))),"Fix")))</f>
        <v>#N/A</v>
      </c>
      <c r="Z857" s="5" t="e">
        <f ca="1">IF(OR(INDEX($AI$2:$AI$1001,MATCH(ROWS($AH$2:AH857),$AH$2:$AH$1001,0),1)&gt;=100000,INDEX($AO$1005:$BQ$1005,1,MATCH(COLUMNS($AO$1006:BM1006),$AO$1006:$BQ$1006,0))&gt;=100000), " ",IF(INDEX($AO$2:$BQ$1001,MATCH(ROWS($AH$2:AH857),$AH$2:$AH$1001,0),MATCH(COLUMNS($AO$1006:BM1006),$AO$1006:$BQ$1006,0)), HYPERLINK("#",""), HYPERLINK(CONCATENATE("#Metadata!", ADDRESS(INDEX($AJ$2:$AJ$1001,MATCH(ROWS($AH$2:AH857),$AH$2:$AH$1001,0),0), INDEX($AO$1004:$BQ$1004,1,MATCH(COLUMNS($AO$1006:BM1006),$AO$1006:$BQ$1006,0)))),"Fix")))</f>
        <v>#N/A</v>
      </c>
      <c r="AA857" s="5" t="e">
        <f ca="1">IF(OR(INDEX($AI$2:$AI$1001,MATCH(ROWS($AH$2:AH857),$AH$2:$AH$1001,0),1)&gt;=100000,INDEX($AO$1005:$BQ$1005,1,MATCH(COLUMNS($AO$1006:BN1006),$AO$1006:$BQ$1006,0))&gt;=100000), " ",IF(INDEX($AO$2:$BQ$1001,MATCH(ROWS($AH$2:AH857),$AH$2:$AH$1001,0),MATCH(COLUMNS($AO$1006:BN1006),$AO$1006:$BQ$1006,0)), HYPERLINK("#",""), HYPERLINK(CONCATENATE("#Metadata!", ADDRESS(INDEX($AJ$2:$AJ$1001,MATCH(ROWS($AH$2:AH857),$AH$2:$AH$1001,0),0), INDEX($AO$1004:$BQ$1004,1,MATCH(COLUMNS($AO$1006:BN1006),$AO$1006:$BQ$1006,0)))),"Fix")))</f>
        <v>#N/A</v>
      </c>
      <c r="AB857" s="5" t="e">
        <f ca="1">IF(OR(INDEX($AI$2:$AI$1001,MATCH(ROWS($AH$2:AH857),$AH$2:$AH$1001,0),1)&gt;=100000,INDEX($AO$1005:$BQ$1005,1,MATCH(COLUMNS($AO$1006:BO1006),$AO$1006:$BQ$1006,0))&gt;=100000), " ",IF(INDEX($AO$2:$BQ$1001,MATCH(ROWS($AH$2:AH857),$AH$2:$AH$1001,0),MATCH(COLUMNS($AO$1006:BO1006),$AO$1006:$BQ$1006,0)), HYPERLINK("#",""), HYPERLINK(CONCATENATE("#Metadata!", ADDRESS(INDEX($AJ$2:$AJ$1001,MATCH(ROWS($AH$2:AH857),$AH$2:$AH$1001,0),0), INDEX($AO$1004:$BQ$1004,1,MATCH(COLUMNS($AO$1006:BO1006),$AO$1006:$BQ$1006,0)))),"Fix")))</f>
        <v>#N/A</v>
      </c>
      <c r="AC857" s="5" t="e">
        <f ca="1">IF(OR(INDEX($AI$2:$AI$1001,MATCH(ROWS($AH$2:AH857),$AH$2:$AH$1001,0),1)&gt;=100000,INDEX($AO$1005:$BQ$1005,1,MATCH(COLUMNS($AO$1006:BP1006),$AO$1006:$BQ$1006,0))&gt;=100000), " ",IF(INDEX($AO$2:$BQ$1001,MATCH(ROWS($AH$2:AH857),$AH$2:$AH$1001,0),MATCH(COLUMNS($AO$1006:BP1006),$AO$1006:$BQ$1006,0)), HYPERLINK("#",""), HYPERLINK(CONCATENATE("#Metadata!", ADDRESS(INDEX($AJ$2:$AJ$1001,MATCH(ROWS($AH$2:AH857),$AH$2:$AH$1001,0),0), INDEX($AO$1004:$BQ$1004,1,MATCH(COLUMNS($AO$1006:BP1006),$AO$1006:$BQ$1006,0)))),"Fix")))</f>
        <v>#N/A</v>
      </c>
      <c r="AD857" s="5" t="e">
        <f ca="1">IF(OR(INDEX($AI$2:$AI$1001,MATCH(ROWS($AH$2:AH857),$AH$2:$AH$1001,0),1)&gt;=100000,INDEX($AO$1005:$BQ$1005,1,MATCH(COLUMNS($AO$1006:BQ1006),$AO$1006:$BQ$1006,0))&gt;=100000), " ",IF(INDEX($AO$2:$BQ$1001,MATCH(ROWS($AH$2:AH857),$AH$2:$AH$1001,0),MATCH(COLUMNS($AO$1006:BQ1006),$AO$1006:$BQ$1006,0)), HYPERLINK("#",""), HYPERLINK(CONCATENATE("#Metadata!", ADDRESS(INDEX($AJ$2:$AJ$1001,MATCH(ROWS($AH$2:AH857),$AH$2:$AH$1001,0),0), INDEX($AO$1004:$BQ$1004,1,MATCH(COLUMNS($AO$1006:BQ1006),$AO$1006:$BQ$1006,0)))),"Fix")))</f>
        <v>#REF!</v>
      </c>
      <c r="AH857">
        <f ca="1"/>
        <v>854</v>
      </c>
      <c r="AI857">
        <v>100857</v>
      </c>
      <c r="AJ857">
        <v>857</v>
      </c>
      <c r="AK857" t="b">
        <f t="shared" si="13"/>
        <v>1</v>
      </c>
      <c r="AL857" t="b">
        <f>COUNTBLANK(Metadata!B857:AD857)=COLUMNS(Metadata!B857:AD857)</f>
        <v>1</v>
      </c>
      <c r="AM857" t="str">
        <v/>
      </c>
      <c r="AO857" t="b">
        <f ca="1">AND(IF(Metadata!B857="",FALSE,TRUE),COUNTIF(Metadata!B:B, Metadata!B857) = 1,NOT(ISERROR(SUMPRODUCT(SEARCH(MID(Metadata!B857,ROW(INDIRECT("1:"&amp;LEN(Metadata!B857))), 1),"0123456789abcdefghijklmnopqrstuvwxyzABCDEFGHIJKLMNOPQRSTUVWXYZ.")))))</f>
        <v>0</v>
      </c>
      <c r="AP857" t="b">
        <f>IF(Metadata!C857="",FALSE,TRUE)</f>
        <v>0</v>
      </c>
      <c r="AQ857" t="b">
        <f>IF(Metadata!D857="",FALSE,TRUE)</f>
        <v>0</v>
      </c>
      <c r="AR857" t="b">
        <f ca="1">OR(AND(IF(Metadata!E857="",FALSE,TRUE),OR(EXACT(Metadata!E857,"not collected"),EXACT(Metadata!E857,"not provided"),EXACT(Metadata!E857,"restricted access"))),AND(IF(Metadata!E857="",FALSE,TRUE),AND(AND(IFERROR(INT(LEFT(Metadata!E857,4))&gt;1900,FALSE),IFERROR(INT(LEFT(Metadata!E857,4))&lt;=YEAR(NOW()),FALSE)), OR(MID(Metadata!E857,5,1)="", AND(AND(MID(Metadata!E857,5,1)="-",IFERROR(INT(MID(Metadata!E857,6,1))&gt;=0,FALSE),IFERROR(INT(MID(Metadata!E857,6,1))&lt;=1,FALSE),NOT(MID(Metadata!E857,7,1)=""),IFERROR(INT(MID(Metadata!E857,6,2))&gt;=1,FALSE),IFERROR(INT(MID(Metadata!E857,6,2))&lt;=12,FALSE)), OR(MID(Metadata!E857,8,1)="", AND(AND(MID(Metadata!E857,8,1)="-",IFERROR(INT(MID(Metadata!E857,9,1))&gt;=0,FALSE),IFERROR(INT(MID(Metadata!E857,9,1))&lt;=3,FALSE),NOT(MID(Metadata!E857,10,1)=""),IFERROR(INT(MID(Metadata!E857,9,2))&gt;=1,FALSE),IFERROR(INT(MID(Metadata!E857,9,2))&lt;=31,FALSE)), OR(MID(Metadata!E857,11,1)="", AND(AND(MID(Metadata!E857,11,1)=" ",IFERROR(INT(MID(Metadata!E857,12,1))&gt;=0,FALSE),IFERROR(INT(MID(Metadata!E857,12,1))&lt;=2,FALSE),NOT(MID(Metadata!E857,13,1)=""),IFERROR(INT(MID(Metadata!E857,12,2))&gt;=0,FALSE),IFERROR(INT(MID(Metadata!E857,12,2))&lt;=23,FALSE)), OR(MID(Metadata!E857,14,1)="", AND(AND(MID(Metadata!E857,14,1)=":",IFERROR(INT(MID(Metadata!E857,15,1))&gt;=0,FALSE),IFERROR(INT(MID(Metadata!E857,15,1))&lt;=5,FALSE),NOT(MID(Metadata!E857,16,1)=""),IFERROR(INT(MID(Metadata!E857,15,2))&gt;=0,FALSE),IFERROR(INT(MID(Metadata!E857,15,2))&lt;=59,FALSE)), OR(MID(Metadata!E857,17,1)="", AND(AND(MID(Metadata!E857,17,1)=":",IFERROR(INT(MID(Metadata!E857,18,1))&gt;=0,FALSE),IFERROR(INT(MID(Metadata!E857,18,1))&lt;=5,FALSE),NOT(MID(Metadata!E857,19,1)=""),IFERROR(INT(MID(Metadata!E857,18,2))&gt;=0,FALSE),IFERROR(INT(MID(Metadata!E857,18,2))&lt;=59,FALSE)), LEN(Metadata!E857)&lt;=19)))))))))))))</f>
        <v>0</v>
      </c>
      <c r="AS857" t="b">
        <f>IF(Metadata!F857="",FALSE,TRUE)</f>
        <v>0</v>
      </c>
      <c r="AT857" t="b">
        <f>OR(AND(IF(Metadata!G857="",FALSE,TRUE),OR(EXACT(Metadata!G857,"not collected"),EXACT(Metadata!G857,"not provided"))),AND(IF(Metadata!G857="",FALSE,TRUE),OR(EXACT(Metadata!G857,"TRUE"),EXACT(Metadata!G857,"FALSE"))))</f>
        <v>0</v>
      </c>
      <c r="AU857" t="b">
        <f>OR(AND(IF(Metadata!H857="",FALSE,TRUE),OR(EXACT(Metadata!H857,"not collected"),EXACT(Metadata!H857,"not provided"),EXACT(Metadata!H857,"restricted access"))),AND(IF(Metadata!H857="",FALSE,ISNUMBER(VALUE(Metadata!H857))),Metadata!H857&gt;=-413))</f>
        <v>0</v>
      </c>
      <c r="AV857" t="b">
        <f>AND(IF(Metadata!I857="",FALSE,TRUE),EXACT(Metadata!I857,"meters"))</f>
        <v>0</v>
      </c>
      <c r="AW857" t="b">
        <f>AND(IF(Metadata!J857="",FALSE,TRUE),EXACT(Metadata!J857,"free-living"))</f>
        <v>0</v>
      </c>
      <c r="AX857" t="b">
        <f>AND(IF(Metadata!K857="",FALSE,TRUE),OR(EXACT(Metadata!K857,"saline"),EXACT(Metadata!K857,"non-saline")))</f>
        <v>0</v>
      </c>
      <c r="AY857" t="b">
        <f>AND(IF(Metadata!L857="",FALSE,TRUE),OR(EXACT(Metadata!L857,"sub-surface (non-saline)"),EXACT(Metadata!L857,"surface (non-saline)"),EXACT(Metadata!L857,"water (non-saline)"),EXACT(Metadata!L857,"soil (non-saline)"),EXACT(Metadata!L857,"aerosol (non-saline)"),EXACT(Metadata!L857,"sediment (non-saline)"),EXACT(Metadata!L857,"surface (saline)"),EXACT(Metadata!L857,"water (saline)"),EXACT(Metadata!L857,"hypersaline (saline)"),EXACT(Metadata!L857,"aerosol (saline)"),EXACT(Metadata!L857,"sediment (saline)")))</f>
        <v>0</v>
      </c>
      <c r="AZ857" t="b">
        <f>IF(Metadata!M857="",FALSE,TRUE)</f>
        <v>0</v>
      </c>
      <c r="BA857" t="b">
        <f>IF(Metadata!N857="",FALSE,TRUE)</f>
        <v>0</v>
      </c>
      <c r="BB857" t="b">
        <f>IF(Metadata!O857="",FALSE,TRUE)</f>
        <v>0</v>
      </c>
      <c r="BC857" t="b">
        <f>AND(IF(Metadata!P857="",FALSE,TRUE),OR(EXACT(Metadata!P857,"air"),EXACT(Metadata!P857,"microbial mat/biofilm"),EXACT(Metadata!P857,"misc environment"),EXACT(Metadata!P857,"sediment"),EXACT(Metadata!P857,"soil"),EXACT(Metadata!P857,"wastewater/sludge"),EXACT(Metadata!P857,"water")))</f>
        <v>0</v>
      </c>
      <c r="BD857" t="b">
        <f>IF(Metadata!Q857="",FALSE,TRUE)</f>
        <v>0</v>
      </c>
      <c r="BE857" t="b">
        <f>IF(Metadata!R857="",FALSE,TRUE)</f>
        <v>0</v>
      </c>
      <c r="BF857" t="b">
        <f>OR(AND(IF(Metadata!S857="",FALSE,TRUE),OR(EXACT(Metadata!S857,"not collected"),EXACT(Metadata!S857,"not provided"),EXACT(Metadata!S857,"restricted access"))),AND(IF(Metadata!S857="",FALSE,ISNUMBER(VALUE(Metadata!S857))),Metadata!S857&gt;=-90,Metadata!S857&lt;=90))</f>
        <v>0</v>
      </c>
      <c r="BG857" t="b">
        <f>AND(IF(Metadata!T857="",FALSE,TRUE),EXACT(Metadata!T857,"Decimal degrees"))</f>
        <v>0</v>
      </c>
      <c r="BH857" t="b">
        <f>OR(AND(IF(Metadata!U857="",FALSE,TRUE),OR(EXACT(Metadata!U857,"not applicable"),EXACT(Metadata!U857,"not collected"))),IF(Metadata!U857="",FALSE,TRUE))</f>
        <v>0</v>
      </c>
      <c r="BI857" t="b">
        <f>OR(AND(IF(Metadata!V857="",FALSE,TRUE),OR(EXACT(Metadata!V857,"not collected"),EXACT(Metadata!V857,"not provided"),EXACT(Metadata!V857,"restricted access"))),AND(IF(Metadata!V857="",FALSE,ISNUMBER(VALUE(Metadata!V857))),Metadata!V857&gt;=-180,Metadata!V857&lt;=180))</f>
        <v>0</v>
      </c>
      <c r="BJ857" t="b">
        <f>AND(IF(Metadata!W857="",FALSE,TRUE),EXACT(Metadata!W857,"Decimal degrees"))</f>
        <v>0</v>
      </c>
      <c r="BK857" t="b">
        <f>IF(Metadata!X857="",FALSE,TRUE)</f>
        <v>0</v>
      </c>
      <c r="BL857" t="b">
        <f>OR(AND(IF(Metadata!Y857="",FALSE,TRUE),OR(EXACT(Metadata!Y857,"not collected"),EXACT(Metadata!Y857,"not provided"),EXACT(Metadata!Y857,"restricted access"))),AND(IF(Metadata!Y857="",FALSE,TRUE),OR(EXACT(Metadata!Y857,"TRUE"),EXACT(Metadata!Y857,"FALSE"))))</f>
        <v>0</v>
      </c>
      <c r="BM857" t="b">
        <f>OR(AND(IF(Metadata!Z857="",FALSE,TRUE),EXACT(Metadata!Z857,"not applicable")),AND(IF(Metadata!Z857="",FALSE,TRUE),OR(EXACT(Metadata!Z857,"beer"),EXACT(Metadata!Z857,"cheese"),EXACT(Metadata!Z857,"fresh water"),EXACT(Metadata!Z857,"marine sediment"),EXACT(Metadata!Z857,"sea water"),EXACT(Metadata!Z857,"sediment"),EXACT(Metadata!Z857,"soil"),EXACT(Metadata!Z857,"waste water"))))</f>
        <v>0</v>
      </c>
      <c r="BN857" t="b">
        <f>AND(IF(Metadata!AA857="",FALSE,TRUE),EXACT(Metadata!AA857,"metagenome"))</f>
        <v>0</v>
      </c>
      <c r="BO857" t="b">
        <f>AND(IF(Metadata!AB857="",FALSE,TRUE),EXACT(Metadata!AB857,"256318"))</f>
        <v>0</v>
      </c>
      <c r="BP857" t="b">
        <f>IF(Metadata!AC857="",FALSE,TRUE)</f>
        <v>0</v>
      </c>
      <c r="BQ857" t="b">
        <f>IF(Metadata!AD857="",FALSE,TRUE)</f>
        <v>0</v>
      </c>
    </row>
    <row r="858" spans="1:69" x14ac:dyDescent="0.2">
      <c r="A858" s="4" t="e">
        <f ca="1">IF(B858=" "," ",HYPERLINK(CONCATENATE("#metadata!",ADDRESS(INDEX($AJ$2:$AJ$1001,MATCH(ROWS($AH$2:AH858),$AH$2:$AH$1001,0),0),2)),INDEX($AM$2:$AM$1001,MATCH(ROWS($AH$2:AH858),$AH$2:$AH$1001,0),0)))</f>
        <v>#N/A</v>
      </c>
      <c r="B858" s="5" t="e">
        <f ca="1">IF(OR(INDEX($AI$2:$AI$1001,MATCH(ROWS($AH$2:AH858),$AH$2:$AH$1001,0),1)&gt;=100000,INDEX($AO$1005:$BQ$1005,1,MATCH(COLUMNS($AO$1006:AO1006),$AO$1006:$BQ$1006,0))&gt;=100000), " ",IF(INDEX($AO$2:$BQ$1001,MATCH(ROWS($AH$2:AH858),$AH$2:$AH$1001,0),MATCH(COLUMNS($AO$1006:AO1006),$AO$1006:$BQ$1006,0)), HYPERLINK("#",""), HYPERLINK(CONCATENATE("#Metadata!", ADDRESS(INDEX($AJ$2:$AJ$1001,MATCH(ROWS($AH$2:AH858),$AH$2:$AH$1001,0),0), INDEX($AO$1004:$BQ$1004,1,MATCH(COLUMNS($AO$1006:AO1006),$AO$1006:$BQ$1006,0)))),"Fix")))</f>
        <v>#N/A</v>
      </c>
      <c r="C858" s="5" t="e">
        <f ca="1">IF(OR(INDEX($AI$2:$AI$1001,MATCH(ROWS($AH$2:AH858),$AH$2:$AH$1001,0),1)&gt;=100000,INDEX($AO$1005:$BQ$1005,1,MATCH(COLUMNS($AO$1006:AP1006),$AO$1006:$BQ$1006,0))&gt;=100000), " ",IF(INDEX($AO$2:$BQ$1001,MATCH(ROWS($AH$2:AH858),$AH$2:$AH$1001,0),MATCH(COLUMNS($AO$1006:AP1006),$AO$1006:$BQ$1006,0)), HYPERLINK("#",""), HYPERLINK(CONCATENATE("#Metadata!", ADDRESS(INDEX($AJ$2:$AJ$1001,MATCH(ROWS($AH$2:AH858),$AH$2:$AH$1001,0),0), INDEX($AO$1004:$BQ$1004,1,MATCH(COLUMNS($AO$1006:AP1006),$AO$1006:$BQ$1006,0)))),"Fix")))</f>
        <v>#N/A</v>
      </c>
      <c r="D858" s="5" t="e">
        <f ca="1">IF(OR(INDEX($AI$2:$AI$1001,MATCH(ROWS($AH$2:AH858),$AH$2:$AH$1001,0),1)&gt;=100000,INDEX($AO$1005:$BQ$1005,1,MATCH(COLUMNS($AO$1006:AQ1006),$AO$1006:$BQ$1006,0))&gt;=100000), " ",IF(INDEX($AO$2:$BQ$1001,MATCH(ROWS($AH$2:AH858),$AH$2:$AH$1001,0),MATCH(COLUMNS($AO$1006:AQ1006),$AO$1006:$BQ$1006,0)), HYPERLINK("#",""), HYPERLINK(CONCATENATE("#Metadata!", ADDRESS(INDEX($AJ$2:$AJ$1001,MATCH(ROWS($AH$2:AH858),$AH$2:$AH$1001,0),0), INDEX($AO$1004:$BQ$1004,1,MATCH(COLUMNS($AO$1006:AQ1006),$AO$1006:$BQ$1006,0)))),"Fix")))</f>
        <v>#N/A</v>
      </c>
      <c r="E858" s="5" t="e">
        <f ca="1">IF(OR(INDEX($AI$2:$AI$1001,MATCH(ROWS($AH$2:AH858),$AH$2:$AH$1001,0),1)&gt;=100000,INDEX($AO$1005:$BQ$1005,1,MATCH(COLUMNS($AO$1006:AR1006),$AO$1006:$BQ$1006,0))&gt;=100000), " ",IF(INDEX($AO$2:$BQ$1001,MATCH(ROWS($AH$2:AH858),$AH$2:$AH$1001,0),MATCH(COLUMNS($AO$1006:AR1006),$AO$1006:$BQ$1006,0)), HYPERLINK("#",""), HYPERLINK(CONCATENATE("#Metadata!", ADDRESS(INDEX($AJ$2:$AJ$1001,MATCH(ROWS($AH$2:AH858),$AH$2:$AH$1001,0),0), INDEX($AO$1004:$BQ$1004,1,MATCH(COLUMNS($AO$1006:AR1006),$AO$1006:$BQ$1006,0)))),"Fix")))</f>
        <v>#N/A</v>
      </c>
      <c r="F858" s="5" t="e">
        <f ca="1">IF(OR(INDEX($AI$2:$AI$1001,MATCH(ROWS($AH$2:AH858),$AH$2:$AH$1001,0),1)&gt;=100000,INDEX($AO$1005:$BQ$1005,1,MATCH(COLUMNS($AO$1006:AS1006),$AO$1006:$BQ$1006,0))&gt;=100000), " ",IF(INDEX($AO$2:$BQ$1001,MATCH(ROWS($AH$2:AH858),$AH$2:$AH$1001,0),MATCH(COLUMNS($AO$1006:AS1006),$AO$1006:$BQ$1006,0)), HYPERLINK("#",""), HYPERLINK(CONCATENATE("#Metadata!", ADDRESS(INDEX($AJ$2:$AJ$1001,MATCH(ROWS($AH$2:AH858),$AH$2:$AH$1001,0),0), INDEX($AO$1004:$BQ$1004,1,MATCH(COLUMNS($AO$1006:AS1006),$AO$1006:$BQ$1006,0)))),"Fix")))</f>
        <v>#N/A</v>
      </c>
      <c r="G858" s="5" t="e">
        <f ca="1">IF(OR(INDEX($AI$2:$AI$1001,MATCH(ROWS($AH$2:AH858),$AH$2:$AH$1001,0),1)&gt;=100000,INDEX($AO$1005:$BQ$1005,1,MATCH(COLUMNS($AO$1006:AT1006),$AO$1006:$BQ$1006,0))&gt;=100000), " ",IF(INDEX($AO$2:$BQ$1001,MATCH(ROWS($AH$2:AH858),$AH$2:$AH$1001,0),MATCH(COLUMNS($AO$1006:AT1006),$AO$1006:$BQ$1006,0)), HYPERLINK("#",""), HYPERLINK(CONCATENATE("#Metadata!", ADDRESS(INDEX($AJ$2:$AJ$1001,MATCH(ROWS($AH$2:AH858),$AH$2:$AH$1001,0),0), INDEX($AO$1004:$BQ$1004,1,MATCH(COLUMNS($AO$1006:AT1006),$AO$1006:$BQ$1006,0)))),"Fix")))</f>
        <v>#N/A</v>
      </c>
      <c r="H858" s="5" t="e">
        <f ca="1">IF(OR(INDEX($AI$2:$AI$1001,MATCH(ROWS($AH$2:AH858),$AH$2:$AH$1001,0),1)&gt;=100000,INDEX($AO$1005:$BQ$1005,1,MATCH(COLUMNS($AO$1006:AU1006),$AO$1006:$BQ$1006,0))&gt;=100000), " ",IF(INDEX($AO$2:$BQ$1001,MATCH(ROWS($AH$2:AH858),$AH$2:$AH$1001,0),MATCH(COLUMNS($AO$1006:AU1006),$AO$1006:$BQ$1006,0)), HYPERLINK("#",""), HYPERLINK(CONCATENATE("#Metadata!", ADDRESS(INDEX($AJ$2:$AJ$1001,MATCH(ROWS($AH$2:AH858),$AH$2:$AH$1001,0),0), INDEX($AO$1004:$BQ$1004,1,MATCH(COLUMNS($AO$1006:AU1006),$AO$1006:$BQ$1006,0)))),"Fix")))</f>
        <v>#N/A</v>
      </c>
      <c r="I858" s="5" t="e">
        <f ca="1">IF(OR(INDEX($AI$2:$AI$1001,MATCH(ROWS($AH$2:AH858),$AH$2:$AH$1001,0),1)&gt;=100000,INDEX($AO$1005:$BQ$1005,1,MATCH(COLUMNS($AO$1006:AV1006),$AO$1006:$BQ$1006,0))&gt;=100000), " ",IF(INDEX($AO$2:$BQ$1001,MATCH(ROWS($AH$2:AH858),$AH$2:$AH$1001,0),MATCH(COLUMNS($AO$1006:AV1006),$AO$1006:$BQ$1006,0)), HYPERLINK("#",""), HYPERLINK(CONCATENATE("#Metadata!", ADDRESS(INDEX($AJ$2:$AJ$1001,MATCH(ROWS($AH$2:AH858),$AH$2:$AH$1001,0),0), INDEX($AO$1004:$BQ$1004,1,MATCH(COLUMNS($AO$1006:AV1006),$AO$1006:$BQ$1006,0)))),"Fix")))</f>
        <v>#N/A</v>
      </c>
      <c r="J858" s="5" t="e">
        <f ca="1">IF(OR(INDEX($AI$2:$AI$1001,MATCH(ROWS($AH$2:AH858),$AH$2:$AH$1001,0),1)&gt;=100000,INDEX($AO$1005:$BQ$1005,1,MATCH(COLUMNS($AO$1006:AW1006),$AO$1006:$BQ$1006,0))&gt;=100000), " ",IF(INDEX($AO$2:$BQ$1001,MATCH(ROWS($AH$2:AH858),$AH$2:$AH$1001,0),MATCH(COLUMNS($AO$1006:AW1006),$AO$1006:$BQ$1006,0)), HYPERLINK("#",""), HYPERLINK(CONCATENATE("#Metadata!", ADDRESS(INDEX($AJ$2:$AJ$1001,MATCH(ROWS($AH$2:AH858),$AH$2:$AH$1001,0),0), INDEX($AO$1004:$BQ$1004,1,MATCH(COLUMNS($AO$1006:AW1006),$AO$1006:$BQ$1006,0)))),"Fix")))</f>
        <v>#N/A</v>
      </c>
      <c r="K858" s="5" t="e">
        <f ca="1">IF(OR(INDEX($AI$2:$AI$1001,MATCH(ROWS($AH$2:AH858),$AH$2:$AH$1001,0),1)&gt;=100000,INDEX($AO$1005:$BQ$1005,1,MATCH(COLUMNS($AO$1006:AX1006),$AO$1006:$BQ$1006,0))&gt;=100000), " ",IF(INDEX($AO$2:$BQ$1001,MATCH(ROWS($AH$2:AH858),$AH$2:$AH$1001,0),MATCH(COLUMNS($AO$1006:AX1006),$AO$1006:$BQ$1006,0)), HYPERLINK("#",""), HYPERLINK(CONCATENATE("#Metadata!", ADDRESS(INDEX($AJ$2:$AJ$1001,MATCH(ROWS($AH$2:AH858),$AH$2:$AH$1001,0),0), INDEX($AO$1004:$BQ$1004,1,MATCH(COLUMNS($AO$1006:AX1006),$AO$1006:$BQ$1006,0)))),"Fix")))</f>
        <v>#N/A</v>
      </c>
      <c r="L858" s="5" t="e">
        <f ca="1">IF(OR(INDEX($AI$2:$AI$1001,MATCH(ROWS($AH$2:AH858),$AH$2:$AH$1001,0),1)&gt;=100000,INDEX($AO$1005:$BQ$1005,1,MATCH(COLUMNS($AO$1006:AY1006),$AO$1006:$BQ$1006,0))&gt;=100000), " ",IF(INDEX($AO$2:$BQ$1001,MATCH(ROWS($AH$2:AH858),$AH$2:$AH$1001,0),MATCH(COLUMNS($AO$1006:AY1006),$AO$1006:$BQ$1006,0)), HYPERLINK("#",""), HYPERLINK(CONCATENATE("#Metadata!", ADDRESS(INDEX($AJ$2:$AJ$1001,MATCH(ROWS($AH$2:AH858),$AH$2:$AH$1001,0),0), INDEX($AO$1004:$BQ$1004,1,MATCH(COLUMNS($AO$1006:AY1006),$AO$1006:$BQ$1006,0)))),"Fix")))</f>
        <v>#N/A</v>
      </c>
      <c r="M858" s="5" t="e">
        <f ca="1">IF(OR(INDEX($AI$2:$AI$1001,MATCH(ROWS($AH$2:AH858),$AH$2:$AH$1001,0),1)&gt;=100000,INDEX($AO$1005:$BQ$1005,1,MATCH(COLUMNS($AO$1006:AZ1006),$AO$1006:$BQ$1006,0))&gt;=100000), " ",IF(INDEX($AO$2:$BQ$1001,MATCH(ROWS($AH$2:AH858),$AH$2:$AH$1001,0),MATCH(COLUMNS($AO$1006:AZ1006),$AO$1006:$BQ$1006,0)), HYPERLINK("#",""), HYPERLINK(CONCATENATE("#Metadata!", ADDRESS(INDEX($AJ$2:$AJ$1001,MATCH(ROWS($AH$2:AH858),$AH$2:$AH$1001,0),0), INDEX($AO$1004:$BQ$1004,1,MATCH(COLUMNS($AO$1006:AZ1006),$AO$1006:$BQ$1006,0)))),"Fix")))</f>
        <v>#N/A</v>
      </c>
      <c r="N858" s="5" t="e">
        <f ca="1">IF(OR(INDEX($AI$2:$AI$1001,MATCH(ROWS($AH$2:AH858),$AH$2:$AH$1001,0),1)&gt;=100000,INDEX($AO$1005:$BQ$1005,1,MATCH(COLUMNS($AO$1006:BA1006),$AO$1006:$BQ$1006,0))&gt;=100000), " ",IF(INDEX($AO$2:$BQ$1001,MATCH(ROWS($AH$2:AH858),$AH$2:$AH$1001,0),MATCH(COLUMNS($AO$1006:BA1006),$AO$1006:$BQ$1006,0)), HYPERLINK("#",""), HYPERLINK(CONCATENATE("#Metadata!", ADDRESS(INDEX($AJ$2:$AJ$1001,MATCH(ROWS($AH$2:AH858),$AH$2:$AH$1001,0),0), INDEX($AO$1004:$BQ$1004,1,MATCH(COLUMNS($AO$1006:BA1006),$AO$1006:$BQ$1006,0)))),"Fix")))</f>
        <v>#N/A</v>
      </c>
      <c r="O858" s="5" t="e">
        <f ca="1">IF(OR(INDEX($AI$2:$AI$1001,MATCH(ROWS($AH$2:AH858),$AH$2:$AH$1001,0),1)&gt;=100000,INDEX($AO$1005:$BQ$1005,1,MATCH(COLUMNS($AO$1006:BB1006),$AO$1006:$BQ$1006,0))&gt;=100000), " ",IF(INDEX($AO$2:$BQ$1001,MATCH(ROWS($AH$2:AH858),$AH$2:$AH$1001,0),MATCH(COLUMNS($AO$1006:BB1006),$AO$1006:$BQ$1006,0)), HYPERLINK("#",""), HYPERLINK(CONCATENATE("#Metadata!", ADDRESS(INDEX($AJ$2:$AJ$1001,MATCH(ROWS($AH$2:AH858),$AH$2:$AH$1001,0),0), INDEX($AO$1004:$BQ$1004,1,MATCH(COLUMNS($AO$1006:BB1006),$AO$1006:$BQ$1006,0)))),"Fix")))</f>
        <v>#N/A</v>
      </c>
      <c r="P858" s="5" t="e">
        <f ca="1">IF(OR(INDEX($AI$2:$AI$1001,MATCH(ROWS($AH$2:AH858),$AH$2:$AH$1001,0),1)&gt;=100000,INDEX($AO$1005:$BQ$1005,1,MATCH(COLUMNS($AO$1006:BC1006),$AO$1006:$BQ$1006,0))&gt;=100000), " ",IF(INDEX($AO$2:$BQ$1001,MATCH(ROWS($AH$2:AH858),$AH$2:$AH$1001,0),MATCH(COLUMNS($AO$1006:BC1006),$AO$1006:$BQ$1006,0)), HYPERLINK("#",""), HYPERLINK(CONCATENATE("#Metadata!", ADDRESS(INDEX($AJ$2:$AJ$1001,MATCH(ROWS($AH$2:AH858),$AH$2:$AH$1001,0),0), INDEX($AO$1004:$BQ$1004,1,MATCH(COLUMNS($AO$1006:BC1006),$AO$1006:$BQ$1006,0)))),"Fix")))</f>
        <v>#N/A</v>
      </c>
      <c r="Q858" s="5" t="e">
        <f ca="1">IF(OR(INDEX($AI$2:$AI$1001,MATCH(ROWS($AH$2:AH858),$AH$2:$AH$1001,0),1)&gt;=100000,INDEX($AO$1005:$BQ$1005,1,MATCH(COLUMNS($AO$1006:BD1006),$AO$1006:$BQ$1006,0))&gt;=100000), " ",IF(INDEX($AO$2:$BQ$1001,MATCH(ROWS($AH$2:AH858),$AH$2:$AH$1001,0),MATCH(COLUMNS($AO$1006:BD1006),$AO$1006:$BQ$1006,0)), HYPERLINK("#",""), HYPERLINK(CONCATENATE("#Metadata!", ADDRESS(INDEX($AJ$2:$AJ$1001,MATCH(ROWS($AH$2:AH858),$AH$2:$AH$1001,0),0), INDEX($AO$1004:$BQ$1004,1,MATCH(COLUMNS($AO$1006:BD1006),$AO$1006:$BQ$1006,0)))),"Fix")))</f>
        <v>#N/A</v>
      </c>
      <c r="R858" s="5" t="e">
        <f ca="1">IF(OR(INDEX($AI$2:$AI$1001,MATCH(ROWS($AH$2:AH858),$AH$2:$AH$1001,0),1)&gt;=100000,INDEX($AO$1005:$BQ$1005,1,MATCH(COLUMNS($AO$1006:BE1006),$AO$1006:$BQ$1006,0))&gt;=100000), " ",IF(INDEX($AO$2:$BQ$1001,MATCH(ROWS($AH$2:AH858),$AH$2:$AH$1001,0),MATCH(COLUMNS($AO$1006:BE1006),$AO$1006:$BQ$1006,0)), HYPERLINK("#",""), HYPERLINK(CONCATENATE("#Metadata!", ADDRESS(INDEX($AJ$2:$AJ$1001,MATCH(ROWS($AH$2:AH858),$AH$2:$AH$1001,0),0), INDEX($AO$1004:$BQ$1004,1,MATCH(COLUMNS($AO$1006:BE1006),$AO$1006:$BQ$1006,0)))),"Fix")))</f>
        <v>#N/A</v>
      </c>
      <c r="S858" s="5" t="e">
        <f ca="1">IF(OR(INDEX($AI$2:$AI$1001,MATCH(ROWS($AH$2:AH858),$AH$2:$AH$1001,0),1)&gt;=100000,INDEX($AO$1005:$BQ$1005,1,MATCH(COLUMNS($AO$1006:BF1006),$AO$1006:$BQ$1006,0))&gt;=100000), " ",IF(INDEX($AO$2:$BQ$1001,MATCH(ROWS($AH$2:AH858),$AH$2:$AH$1001,0),MATCH(COLUMNS($AO$1006:BF1006),$AO$1006:$BQ$1006,0)), HYPERLINK("#",""), HYPERLINK(CONCATENATE("#Metadata!", ADDRESS(INDEX($AJ$2:$AJ$1001,MATCH(ROWS($AH$2:AH858),$AH$2:$AH$1001,0),0), INDEX($AO$1004:$BQ$1004,1,MATCH(COLUMNS($AO$1006:BF1006),$AO$1006:$BQ$1006,0)))),"Fix")))</f>
        <v>#N/A</v>
      </c>
      <c r="T858" s="5" t="e">
        <f ca="1">IF(OR(INDEX($AI$2:$AI$1001,MATCH(ROWS($AH$2:AH858),$AH$2:$AH$1001,0),1)&gt;=100000,INDEX($AO$1005:$BQ$1005,1,MATCH(COLUMNS($AO$1006:BG1006),$AO$1006:$BQ$1006,0))&gt;=100000), " ",IF(INDEX($AO$2:$BQ$1001,MATCH(ROWS($AH$2:AH858),$AH$2:$AH$1001,0),MATCH(COLUMNS($AO$1006:BG1006),$AO$1006:$BQ$1006,0)), HYPERLINK("#",""), HYPERLINK(CONCATENATE("#Metadata!", ADDRESS(INDEX($AJ$2:$AJ$1001,MATCH(ROWS($AH$2:AH858),$AH$2:$AH$1001,0),0), INDEX($AO$1004:$BQ$1004,1,MATCH(COLUMNS($AO$1006:BG1006),$AO$1006:$BQ$1006,0)))),"Fix")))</f>
        <v>#N/A</v>
      </c>
      <c r="U858" s="5" t="e">
        <f ca="1">IF(OR(INDEX($AI$2:$AI$1001,MATCH(ROWS($AH$2:AH858),$AH$2:$AH$1001,0),1)&gt;=100000,INDEX($AO$1005:$BQ$1005,1,MATCH(COLUMNS($AO$1006:BH1006),$AO$1006:$BQ$1006,0))&gt;=100000), " ",IF(INDEX($AO$2:$BQ$1001,MATCH(ROWS($AH$2:AH858),$AH$2:$AH$1001,0),MATCH(COLUMNS($AO$1006:BH1006),$AO$1006:$BQ$1006,0)), HYPERLINK("#",""), HYPERLINK(CONCATENATE("#Metadata!", ADDRESS(INDEX($AJ$2:$AJ$1001,MATCH(ROWS($AH$2:AH858),$AH$2:$AH$1001,0),0), INDEX($AO$1004:$BQ$1004,1,MATCH(COLUMNS($AO$1006:BH1006),$AO$1006:$BQ$1006,0)))),"Fix")))</f>
        <v>#N/A</v>
      </c>
      <c r="V858" s="5" t="e">
        <f ca="1">IF(OR(INDEX($AI$2:$AI$1001,MATCH(ROWS($AH$2:AH858),$AH$2:$AH$1001,0),1)&gt;=100000,INDEX($AO$1005:$BQ$1005,1,MATCH(COLUMNS($AO$1006:BI1006),$AO$1006:$BQ$1006,0))&gt;=100000), " ",IF(INDEX($AO$2:$BQ$1001,MATCH(ROWS($AH$2:AH858),$AH$2:$AH$1001,0),MATCH(COLUMNS($AO$1006:BI1006),$AO$1006:$BQ$1006,0)), HYPERLINK("#",""), HYPERLINK(CONCATENATE("#Metadata!", ADDRESS(INDEX($AJ$2:$AJ$1001,MATCH(ROWS($AH$2:AH858),$AH$2:$AH$1001,0),0), INDEX($AO$1004:$BQ$1004,1,MATCH(COLUMNS($AO$1006:BI1006),$AO$1006:$BQ$1006,0)))),"Fix")))</f>
        <v>#N/A</v>
      </c>
      <c r="W858" s="5" t="e">
        <f ca="1">IF(OR(INDEX($AI$2:$AI$1001,MATCH(ROWS($AH$2:AH858),$AH$2:$AH$1001,0),1)&gt;=100000,INDEX($AO$1005:$BQ$1005,1,MATCH(COLUMNS($AO$1006:BJ1006),$AO$1006:$BQ$1006,0))&gt;=100000), " ",IF(INDEX($AO$2:$BQ$1001,MATCH(ROWS($AH$2:AH858),$AH$2:$AH$1001,0),MATCH(COLUMNS($AO$1006:BJ1006),$AO$1006:$BQ$1006,0)), HYPERLINK("#",""), HYPERLINK(CONCATENATE("#Metadata!", ADDRESS(INDEX($AJ$2:$AJ$1001,MATCH(ROWS($AH$2:AH858),$AH$2:$AH$1001,0),0), INDEX($AO$1004:$BQ$1004,1,MATCH(COLUMNS($AO$1006:BJ1006),$AO$1006:$BQ$1006,0)))),"Fix")))</f>
        <v>#N/A</v>
      </c>
      <c r="X858" s="5" t="e">
        <f ca="1">IF(OR(INDEX($AI$2:$AI$1001,MATCH(ROWS($AH$2:AH858),$AH$2:$AH$1001,0),1)&gt;=100000,INDEX($AO$1005:$BQ$1005,1,MATCH(COLUMNS($AO$1006:BK1006),$AO$1006:$BQ$1006,0))&gt;=100000), " ",IF(INDEX($AO$2:$BQ$1001,MATCH(ROWS($AH$2:AH858),$AH$2:$AH$1001,0),MATCH(COLUMNS($AO$1006:BK1006),$AO$1006:$BQ$1006,0)), HYPERLINK("#",""), HYPERLINK(CONCATENATE("#Metadata!", ADDRESS(INDEX($AJ$2:$AJ$1001,MATCH(ROWS($AH$2:AH858),$AH$2:$AH$1001,0),0), INDEX($AO$1004:$BQ$1004,1,MATCH(COLUMNS($AO$1006:BK1006),$AO$1006:$BQ$1006,0)))),"Fix")))</f>
        <v>#N/A</v>
      </c>
      <c r="Y858" s="5" t="e">
        <f ca="1">IF(OR(INDEX($AI$2:$AI$1001,MATCH(ROWS($AH$2:AH858),$AH$2:$AH$1001,0),1)&gt;=100000,INDEX($AO$1005:$BQ$1005,1,MATCH(COLUMNS($AO$1006:BL1006),$AO$1006:$BQ$1006,0))&gt;=100000), " ",IF(INDEX($AO$2:$BQ$1001,MATCH(ROWS($AH$2:AH858),$AH$2:$AH$1001,0),MATCH(COLUMNS($AO$1006:BL1006),$AO$1006:$BQ$1006,0)), HYPERLINK("#",""), HYPERLINK(CONCATENATE("#Metadata!", ADDRESS(INDEX($AJ$2:$AJ$1001,MATCH(ROWS($AH$2:AH858),$AH$2:$AH$1001,0),0), INDEX($AO$1004:$BQ$1004,1,MATCH(COLUMNS($AO$1006:BL1006),$AO$1006:$BQ$1006,0)))),"Fix")))</f>
        <v>#N/A</v>
      </c>
      <c r="Z858" s="5" t="e">
        <f ca="1">IF(OR(INDEX($AI$2:$AI$1001,MATCH(ROWS($AH$2:AH858),$AH$2:$AH$1001,0),1)&gt;=100000,INDEX($AO$1005:$BQ$1005,1,MATCH(COLUMNS($AO$1006:BM1006),$AO$1006:$BQ$1006,0))&gt;=100000), " ",IF(INDEX($AO$2:$BQ$1001,MATCH(ROWS($AH$2:AH858),$AH$2:$AH$1001,0),MATCH(COLUMNS($AO$1006:BM1006),$AO$1006:$BQ$1006,0)), HYPERLINK("#",""), HYPERLINK(CONCATENATE("#Metadata!", ADDRESS(INDEX($AJ$2:$AJ$1001,MATCH(ROWS($AH$2:AH858),$AH$2:$AH$1001,0),0), INDEX($AO$1004:$BQ$1004,1,MATCH(COLUMNS($AO$1006:BM1006),$AO$1006:$BQ$1006,0)))),"Fix")))</f>
        <v>#N/A</v>
      </c>
      <c r="AA858" s="5" t="e">
        <f ca="1">IF(OR(INDEX($AI$2:$AI$1001,MATCH(ROWS($AH$2:AH858),$AH$2:$AH$1001,0),1)&gt;=100000,INDEX($AO$1005:$BQ$1005,1,MATCH(COLUMNS($AO$1006:BN1006),$AO$1006:$BQ$1006,0))&gt;=100000), " ",IF(INDEX($AO$2:$BQ$1001,MATCH(ROWS($AH$2:AH858),$AH$2:$AH$1001,0),MATCH(COLUMNS($AO$1006:BN1006),$AO$1006:$BQ$1006,0)), HYPERLINK("#",""), HYPERLINK(CONCATENATE("#Metadata!", ADDRESS(INDEX($AJ$2:$AJ$1001,MATCH(ROWS($AH$2:AH858),$AH$2:$AH$1001,0),0), INDEX($AO$1004:$BQ$1004,1,MATCH(COLUMNS($AO$1006:BN1006),$AO$1006:$BQ$1006,0)))),"Fix")))</f>
        <v>#N/A</v>
      </c>
      <c r="AB858" s="5" t="e">
        <f ca="1">IF(OR(INDEX($AI$2:$AI$1001,MATCH(ROWS($AH$2:AH858),$AH$2:$AH$1001,0),1)&gt;=100000,INDEX($AO$1005:$BQ$1005,1,MATCH(COLUMNS($AO$1006:BO1006),$AO$1006:$BQ$1006,0))&gt;=100000), " ",IF(INDEX($AO$2:$BQ$1001,MATCH(ROWS($AH$2:AH858),$AH$2:$AH$1001,0),MATCH(COLUMNS($AO$1006:BO1006),$AO$1006:$BQ$1006,0)), HYPERLINK("#",""), HYPERLINK(CONCATENATE("#Metadata!", ADDRESS(INDEX($AJ$2:$AJ$1001,MATCH(ROWS($AH$2:AH858),$AH$2:$AH$1001,0),0), INDEX($AO$1004:$BQ$1004,1,MATCH(COLUMNS($AO$1006:BO1006),$AO$1006:$BQ$1006,0)))),"Fix")))</f>
        <v>#N/A</v>
      </c>
      <c r="AC858" s="5" t="e">
        <f ca="1">IF(OR(INDEX($AI$2:$AI$1001,MATCH(ROWS($AH$2:AH858),$AH$2:$AH$1001,0),1)&gt;=100000,INDEX($AO$1005:$BQ$1005,1,MATCH(COLUMNS($AO$1006:BP1006),$AO$1006:$BQ$1006,0))&gt;=100000), " ",IF(INDEX($AO$2:$BQ$1001,MATCH(ROWS($AH$2:AH858),$AH$2:$AH$1001,0),MATCH(COLUMNS($AO$1006:BP1006),$AO$1006:$BQ$1006,0)), HYPERLINK("#",""), HYPERLINK(CONCATENATE("#Metadata!", ADDRESS(INDEX($AJ$2:$AJ$1001,MATCH(ROWS($AH$2:AH858),$AH$2:$AH$1001,0),0), INDEX($AO$1004:$BQ$1004,1,MATCH(COLUMNS($AO$1006:BP1006),$AO$1006:$BQ$1006,0)))),"Fix")))</f>
        <v>#N/A</v>
      </c>
      <c r="AD858" s="5" t="e">
        <f ca="1">IF(OR(INDEX($AI$2:$AI$1001,MATCH(ROWS($AH$2:AH858),$AH$2:$AH$1001,0),1)&gt;=100000,INDEX($AO$1005:$BQ$1005,1,MATCH(COLUMNS($AO$1006:BQ1006),$AO$1006:$BQ$1006,0))&gt;=100000), " ",IF(INDEX($AO$2:$BQ$1001,MATCH(ROWS($AH$2:AH858),$AH$2:$AH$1001,0),MATCH(COLUMNS($AO$1006:BQ1006),$AO$1006:$BQ$1006,0)), HYPERLINK("#",""), HYPERLINK(CONCATENATE("#Metadata!", ADDRESS(INDEX($AJ$2:$AJ$1001,MATCH(ROWS($AH$2:AH858),$AH$2:$AH$1001,0),0), INDEX($AO$1004:$BQ$1004,1,MATCH(COLUMNS($AO$1006:BQ1006),$AO$1006:$BQ$1006,0)))),"Fix")))</f>
        <v>#REF!</v>
      </c>
      <c r="AH858">
        <f ca="1"/>
        <v>855</v>
      </c>
      <c r="AI858">
        <v>100858</v>
      </c>
      <c r="AJ858">
        <v>858</v>
      </c>
      <c r="AK858" t="b">
        <f t="shared" si="13"/>
        <v>1</v>
      </c>
      <c r="AL858" t="b">
        <f>COUNTBLANK(Metadata!B858:AD858)=COLUMNS(Metadata!B858:AD858)</f>
        <v>1</v>
      </c>
      <c r="AM858" t="str">
        <v/>
      </c>
      <c r="AO858" t="b">
        <f ca="1">AND(IF(Metadata!B858="",FALSE,TRUE),COUNTIF(Metadata!B:B, Metadata!B858) = 1,NOT(ISERROR(SUMPRODUCT(SEARCH(MID(Metadata!B858,ROW(INDIRECT("1:"&amp;LEN(Metadata!B858))), 1),"0123456789abcdefghijklmnopqrstuvwxyzABCDEFGHIJKLMNOPQRSTUVWXYZ.")))))</f>
        <v>0</v>
      </c>
      <c r="AP858" t="b">
        <f>IF(Metadata!C858="",FALSE,TRUE)</f>
        <v>0</v>
      </c>
      <c r="AQ858" t="b">
        <f>IF(Metadata!D858="",FALSE,TRUE)</f>
        <v>0</v>
      </c>
      <c r="AR858" t="b">
        <f ca="1">OR(AND(IF(Metadata!E858="",FALSE,TRUE),OR(EXACT(Metadata!E858,"not collected"),EXACT(Metadata!E858,"not provided"),EXACT(Metadata!E858,"restricted access"))),AND(IF(Metadata!E858="",FALSE,TRUE),AND(AND(IFERROR(INT(LEFT(Metadata!E858,4))&gt;1900,FALSE),IFERROR(INT(LEFT(Metadata!E858,4))&lt;=YEAR(NOW()),FALSE)), OR(MID(Metadata!E858,5,1)="", AND(AND(MID(Metadata!E858,5,1)="-",IFERROR(INT(MID(Metadata!E858,6,1))&gt;=0,FALSE),IFERROR(INT(MID(Metadata!E858,6,1))&lt;=1,FALSE),NOT(MID(Metadata!E858,7,1)=""),IFERROR(INT(MID(Metadata!E858,6,2))&gt;=1,FALSE),IFERROR(INT(MID(Metadata!E858,6,2))&lt;=12,FALSE)), OR(MID(Metadata!E858,8,1)="", AND(AND(MID(Metadata!E858,8,1)="-",IFERROR(INT(MID(Metadata!E858,9,1))&gt;=0,FALSE),IFERROR(INT(MID(Metadata!E858,9,1))&lt;=3,FALSE),NOT(MID(Metadata!E858,10,1)=""),IFERROR(INT(MID(Metadata!E858,9,2))&gt;=1,FALSE),IFERROR(INT(MID(Metadata!E858,9,2))&lt;=31,FALSE)), OR(MID(Metadata!E858,11,1)="", AND(AND(MID(Metadata!E858,11,1)=" ",IFERROR(INT(MID(Metadata!E858,12,1))&gt;=0,FALSE),IFERROR(INT(MID(Metadata!E858,12,1))&lt;=2,FALSE),NOT(MID(Metadata!E858,13,1)=""),IFERROR(INT(MID(Metadata!E858,12,2))&gt;=0,FALSE),IFERROR(INT(MID(Metadata!E858,12,2))&lt;=23,FALSE)), OR(MID(Metadata!E858,14,1)="", AND(AND(MID(Metadata!E858,14,1)=":",IFERROR(INT(MID(Metadata!E858,15,1))&gt;=0,FALSE),IFERROR(INT(MID(Metadata!E858,15,1))&lt;=5,FALSE),NOT(MID(Metadata!E858,16,1)=""),IFERROR(INT(MID(Metadata!E858,15,2))&gt;=0,FALSE),IFERROR(INT(MID(Metadata!E858,15,2))&lt;=59,FALSE)), OR(MID(Metadata!E858,17,1)="", AND(AND(MID(Metadata!E858,17,1)=":",IFERROR(INT(MID(Metadata!E858,18,1))&gt;=0,FALSE),IFERROR(INT(MID(Metadata!E858,18,1))&lt;=5,FALSE),NOT(MID(Metadata!E858,19,1)=""),IFERROR(INT(MID(Metadata!E858,18,2))&gt;=0,FALSE),IFERROR(INT(MID(Metadata!E858,18,2))&lt;=59,FALSE)), LEN(Metadata!E858)&lt;=19)))))))))))))</f>
        <v>0</v>
      </c>
      <c r="AS858" t="b">
        <f>IF(Metadata!F858="",FALSE,TRUE)</f>
        <v>0</v>
      </c>
      <c r="AT858" t="b">
        <f>OR(AND(IF(Metadata!G858="",FALSE,TRUE),OR(EXACT(Metadata!G858,"not collected"),EXACT(Metadata!G858,"not provided"))),AND(IF(Metadata!G858="",FALSE,TRUE),OR(EXACT(Metadata!G858,"TRUE"),EXACT(Metadata!G858,"FALSE"))))</f>
        <v>0</v>
      </c>
      <c r="AU858" t="b">
        <f>OR(AND(IF(Metadata!H858="",FALSE,TRUE),OR(EXACT(Metadata!H858,"not collected"),EXACT(Metadata!H858,"not provided"),EXACT(Metadata!H858,"restricted access"))),AND(IF(Metadata!H858="",FALSE,ISNUMBER(VALUE(Metadata!H858))),Metadata!H858&gt;=-413))</f>
        <v>0</v>
      </c>
      <c r="AV858" t="b">
        <f>AND(IF(Metadata!I858="",FALSE,TRUE),EXACT(Metadata!I858,"meters"))</f>
        <v>0</v>
      </c>
      <c r="AW858" t="b">
        <f>AND(IF(Metadata!J858="",FALSE,TRUE),EXACT(Metadata!J858,"free-living"))</f>
        <v>0</v>
      </c>
      <c r="AX858" t="b">
        <f>AND(IF(Metadata!K858="",FALSE,TRUE),OR(EXACT(Metadata!K858,"saline"),EXACT(Metadata!K858,"non-saline")))</f>
        <v>0</v>
      </c>
      <c r="AY858" t="b">
        <f>AND(IF(Metadata!L858="",FALSE,TRUE),OR(EXACT(Metadata!L858,"sub-surface (non-saline)"),EXACT(Metadata!L858,"surface (non-saline)"),EXACT(Metadata!L858,"water (non-saline)"),EXACT(Metadata!L858,"soil (non-saline)"),EXACT(Metadata!L858,"aerosol (non-saline)"),EXACT(Metadata!L858,"sediment (non-saline)"),EXACT(Metadata!L858,"surface (saline)"),EXACT(Metadata!L858,"water (saline)"),EXACT(Metadata!L858,"hypersaline (saline)"),EXACT(Metadata!L858,"aerosol (saline)"),EXACT(Metadata!L858,"sediment (saline)")))</f>
        <v>0</v>
      </c>
      <c r="AZ858" t="b">
        <f>IF(Metadata!M858="",FALSE,TRUE)</f>
        <v>0</v>
      </c>
      <c r="BA858" t="b">
        <f>IF(Metadata!N858="",FALSE,TRUE)</f>
        <v>0</v>
      </c>
      <c r="BB858" t="b">
        <f>IF(Metadata!O858="",FALSE,TRUE)</f>
        <v>0</v>
      </c>
      <c r="BC858" t="b">
        <f>AND(IF(Metadata!P858="",FALSE,TRUE),OR(EXACT(Metadata!P858,"air"),EXACT(Metadata!P858,"microbial mat/biofilm"),EXACT(Metadata!P858,"misc environment"),EXACT(Metadata!P858,"sediment"),EXACT(Metadata!P858,"soil"),EXACT(Metadata!P858,"wastewater/sludge"),EXACT(Metadata!P858,"water")))</f>
        <v>0</v>
      </c>
      <c r="BD858" t="b">
        <f>IF(Metadata!Q858="",FALSE,TRUE)</f>
        <v>0</v>
      </c>
      <c r="BE858" t="b">
        <f>IF(Metadata!R858="",FALSE,TRUE)</f>
        <v>0</v>
      </c>
      <c r="BF858" t="b">
        <f>OR(AND(IF(Metadata!S858="",FALSE,TRUE),OR(EXACT(Metadata!S858,"not collected"),EXACT(Metadata!S858,"not provided"),EXACT(Metadata!S858,"restricted access"))),AND(IF(Metadata!S858="",FALSE,ISNUMBER(VALUE(Metadata!S858))),Metadata!S858&gt;=-90,Metadata!S858&lt;=90))</f>
        <v>0</v>
      </c>
      <c r="BG858" t="b">
        <f>AND(IF(Metadata!T858="",FALSE,TRUE),EXACT(Metadata!T858,"Decimal degrees"))</f>
        <v>0</v>
      </c>
      <c r="BH858" t="b">
        <f>OR(AND(IF(Metadata!U858="",FALSE,TRUE),OR(EXACT(Metadata!U858,"not applicable"),EXACT(Metadata!U858,"not collected"))),IF(Metadata!U858="",FALSE,TRUE))</f>
        <v>0</v>
      </c>
      <c r="BI858" t="b">
        <f>OR(AND(IF(Metadata!V858="",FALSE,TRUE),OR(EXACT(Metadata!V858,"not collected"),EXACT(Metadata!V858,"not provided"),EXACT(Metadata!V858,"restricted access"))),AND(IF(Metadata!V858="",FALSE,ISNUMBER(VALUE(Metadata!V858))),Metadata!V858&gt;=-180,Metadata!V858&lt;=180))</f>
        <v>0</v>
      </c>
      <c r="BJ858" t="b">
        <f>AND(IF(Metadata!W858="",FALSE,TRUE),EXACT(Metadata!W858,"Decimal degrees"))</f>
        <v>0</v>
      </c>
      <c r="BK858" t="b">
        <f>IF(Metadata!X858="",FALSE,TRUE)</f>
        <v>0</v>
      </c>
      <c r="BL858" t="b">
        <f>OR(AND(IF(Metadata!Y858="",FALSE,TRUE),OR(EXACT(Metadata!Y858,"not collected"),EXACT(Metadata!Y858,"not provided"),EXACT(Metadata!Y858,"restricted access"))),AND(IF(Metadata!Y858="",FALSE,TRUE),OR(EXACT(Metadata!Y858,"TRUE"),EXACT(Metadata!Y858,"FALSE"))))</f>
        <v>0</v>
      </c>
      <c r="BM858" t="b">
        <f>OR(AND(IF(Metadata!Z858="",FALSE,TRUE),EXACT(Metadata!Z858,"not applicable")),AND(IF(Metadata!Z858="",FALSE,TRUE),OR(EXACT(Metadata!Z858,"beer"),EXACT(Metadata!Z858,"cheese"),EXACT(Metadata!Z858,"fresh water"),EXACT(Metadata!Z858,"marine sediment"),EXACT(Metadata!Z858,"sea water"),EXACT(Metadata!Z858,"sediment"),EXACT(Metadata!Z858,"soil"),EXACT(Metadata!Z858,"waste water"))))</f>
        <v>0</v>
      </c>
      <c r="BN858" t="b">
        <f>AND(IF(Metadata!AA858="",FALSE,TRUE),EXACT(Metadata!AA858,"metagenome"))</f>
        <v>0</v>
      </c>
      <c r="BO858" t="b">
        <f>AND(IF(Metadata!AB858="",FALSE,TRUE),EXACT(Metadata!AB858,"256318"))</f>
        <v>0</v>
      </c>
      <c r="BP858" t="b">
        <f>IF(Metadata!AC858="",FALSE,TRUE)</f>
        <v>0</v>
      </c>
      <c r="BQ858" t="b">
        <f>IF(Metadata!AD858="",FALSE,TRUE)</f>
        <v>0</v>
      </c>
    </row>
    <row r="859" spans="1:69" x14ac:dyDescent="0.2">
      <c r="A859" s="4" t="e">
        <f ca="1">IF(B859=" "," ",HYPERLINK(CONCATENATE("#metadata!",ADDRESS(INDEX($AJ$2:$AJ$1001,MATCH(ROWS($AH$2:AH859),$AH$2:$AH$1001,0),0),2)),INDEX($AM$2:$AM$1001,MATCH(ROWS($AH$2:AH859),$AH$2:$AH$1001,0),0)))</f>
        <v>#N/A</v>
      </c>
      <c r="B859" s="5" t="e">
        <f ca="1">IF(OR(INDEX($AI$2:$AI$1001,MATCH(ROWS($AH$2:AH859),$AH$2:$AH$1001,0),1)&gt;=100000,INDEX($AO$1005:$BQ$1005,1,MATCH(COLUMNS($AO$1006:AO1006),$AO$1006:$BQ$1006,0))&gt;=100000), " ",IF(INDEX($AO$2:$BQ$1001,MATCH(ROWS($AH$2:AH859),$AH$2:$AH$1001,0),MATCH(COLUMNS($AO$1006:AO1006),$AO$1006:$BQ$1006,0)), HYPERLINK("#",""), HYPERLINK(CONCATENATE("#Metadata!", ADDRESS(INDEX($AJ$2:$AJ$1001,MATCH(ROWS($AH$2:AH859),$AH$2:$AH$1001,0),0), INDEX($AO$1004:$BQ$1004,1,MATCH(COLUMNS($AO$1006:AO1006),$AO$1006:$BQ$1006,0)))),"Fix")))</f>
        <v>#N/A</v>
      </c>
      <c r="C859" s="5" t="e">
        <f ca="1">IF(OR(INDEX($AI$2:$AI$1001,MATCH(ROWS($AH$2:AH859),$AH$2:$AH$1001,0),1)&gt;=100000,INDEX($AO$1005:$BQ$1005,1,MATCH(COLUMNS($AO$1006:AP1006),$AO$1006:$BQ$1006,0))&gt;=100000), " ",IF(INDEX($AO$2:$BQ$1001,MATCH(ROWS($AH$2:AH859),$AH$2:$AH$1001,0),MATCH(COLUMNS($AO$1006:AP1006),$AO$1006:$BQ$1006,0)), HYPERLINK("#",""), HYPERLINK(CONCATENATE("#Metadata!", ADDRESS(INDEX($AJ$2:$AJ$1001,MATCH(ROWS($AH$2:AH859),$AH$2:$AH$1001,0),0), INDEX($AO$1004:$BQ$1004,1,MATCH(COLUMNS($AO$1006:AP1006),$AO$1006:$BQ$1006,0)))),"Fix")))</f>
        <v>#N/A</v>
      </c>
      <c r="D859" s="5" t="e">
        <f ca="1">IF(OR(INDEX($AI$2:$AI$1001,MATCH(ROWS($AH$2:AH859),$AH$2:$AH$1001,0),1)&gt;=100000,INDEX($AO$1005:$BQ$1005,1,MATCH(COLUMNS($AO$1006:AQ1006),$AO$1006:$BQ$1006,0))&gt;=100000), " ",IF(INDEX($AO$2:$BQ$1001,MATCH(ROWS($AH$2:AH859),$AH$2:$AH$1001,0),MATCH(COLUMNS($AO$1006:AQ1006),$AO$1006:$BQ$1006,0)), HYPERLINK("#",""), HYPERLINK(CONCATENATE("#Metadata!", ADDRESS(INDEX($AJ$2:$AJ$1001,MATCH(ROWS($AH$2:AH859),$AH$2:$AH$1001,0),0), INDEX($AO$1004:$BQ$1004,1,MATCH(COLUMNS($AO$1006:AQ1006),$AO$1006:$BQ$1006,0)))),"Fix")))</f>
        <v>#N/A</v>
      </c>
      <c r="E859" s="5" t="e">
        <f ca="1">IF(OR(INDEX($AI$2:$AI$1001,MATCH(ROWS($AH$2:AH859),$AH$2:$AH$1001,0),1)&gt;=100000,INDEX($AO$1005:$BQ$1005,1,MATCH(COLUMNS($AO$1006:AR1006),$AO$1006:$BQ$1006,0))&gt;=100000), " ",IF(INDEX($AO$2:$BQ$1001,MATCH(ROWS($AH$2:AH859),$AH$2:$AH$1001,0),MATCH(COLUMNS($AO$1006:AR1006),$AO$1006:$BQ$1006,0)), HYPERLINK("#",""), HYPERLINK(CONCATENATE("#Metadata!", ADDRESS(INDEX($AJ$2:$AJ$1001,MATCH(ROWS($AH$2:AH859),$AH$2:$AH$1001,0),0), INDEX($AO$1004:$BQ$1004,1,MATCH(COLUMNS($AO$1006:AR1006),$AO$1006:$BQ$1006,0)))),"Fix")))</f>
        <v>#N/A</v>
      </c>
      <c r="F859" s="5" t="e">
        <f ca="1">IF(OR(INDEX($AI$2:$AI$1001,MATCH(ROWS($AH$2:AH859),$AH$2:$AH$1001,0),1)&gt;=100000,INDEX($AO$1005:$BQ$1005,1,MATCH(COLUMNS($AO$1006:AS1006),$AO$1006:$BQ$1006,0))&gt;=100000), " ",IF(INDEX($AO$2:$BQ$1001,MATCH(ROWS($AH$2:AH859),$AH$2:$AH$1001,0),MATCH(COLUMNS($AO$1006:AS1006),$AO$1006:$BQ$1006,0)), HYPERLINK("#",""), HYPERLINK(CONCATENATE("#Metadata!", ADDRESS(INDEX($AJ$2:$AJ$1001,MATCH(ROWS($AH$2:AH859),$AH$2:$AH$1001,0),0), INDEX($AO$1004:$BQ$1004,1,MATCH(COLUMNS($AO$1006:AS1006),$AO$1006:$BQ$1006,0)))),"Fix")))</f>
        <v>#N/A</v>
      </c>
      <c r="G859" s="5" t="e">
        <f ca="1">IF(OR(INDEX($AI$2:$AI$1001,MATCH(ROWS($AH$2:AH859),$AH$2:$AH$1001,0),1)&gt;=100000,INDEX($AO$1005:$BQ$1005,1,MATCH(COLUMNS($AO$1006:AT1006),$AO$1006:$BQ$1006,0))&gt;=100000), " ",IF(INDEX($AO$2:$BQ$1001,MATCH(ROWS($AH$2:AH859),$AH$2:$AH$1001,0),MATCH(COLUMNS($AO$1006:AT1006),$AO$1006:$BQ$1006,0)), HYPERLINK("#",""), HYPERLINK(CONCATENATE("#Metadata!", ADDRESS(INDEX($AJ$2:$AJ$1001,MATCH(ROWS($AH$2:AH859),$AH$2:$AH$1001,0),0), INDEX($AO$1004:$BQ$1004,1,MATCH(COLUMNS($AO$1006:AT1006),$AO$1006:$BQ$1006,0)))),"Fix")))</f>
        <v>#N/A</v>
      </c>
      <c r="H859" s="5" t="e">
        <f ca="1">IF(OR(INDEX($AI$2:$AI$1001,MATCH(ROWS($AH$2:AH859),$AH$2:$AH$1001,0),1)&gt;=100000,INDEX($AO$1005:$BQ$1005,1,MATCH(COLUMNS($AO$1006:AU1006),$AO$1006:$BQ$1006,0))&gt;=100000), " ",IF(INDEX($AO$2:$BQ$1001,MATCH(ROWS($AH$2:AH859),$AH$2:$AH$1001,0),MATCH(COLUMNS($AO$1006:AU1006),$AO$1006:$BQ$1006,0)), HYPERLINK("#",""), HYPERLINK(CONCATENATE("#Metadata!", ADDRESS(INDEX($AJ$2:$AJ$1001,MATCH(ROWS($AH$2:AH859),$AH$2:$AH$1001,0),0), INDEX($AO$1004:$BQ$1004,1,MATCH(COLUMNS($AO$1006:AU1006),$AO$1006:$BQ$1006,0)))),"Fix")))</f>
        <v>#N/A</v>
      </c>
      <c r="I859" s="5" t="e">
        <f ca="1">IF(OR(INDEX($AI$2:$AI$1001,MATCH(ROWS($AH$2:AH859),$AH$2:$AH$1001,0),1)&gt;=100000,INDEX($AO$1005:$BQ$1005,1,MATCH(COLUMNS($AO$1006:AV1006),$AO$1006:$BQ$1006,0))&gt;=100000), " ",IF(INDEX($AO$2:$BQ$1001,MATCH(ROWS($AH$2:AH859),$AH$2:$AH$1001,0),MATCH(COLUMNS($AO$1006:AV1006),$AO$1006:$BQ$1006,0)), HYPERLINK("#",""), HYPERLINK(CONCATENATE("#Metadata!", ADDRESS(INDEX($AJ$2:$AJ$1001,MATCH(ROWS($AH$2:AH859),$AH$2:$AH$1001,0),0), INDEX($AO$1004:$BQ$1004,1,MATCH(COLUMNS($AO$1006:AV1006),$AO$1006:$BQ$1006,0)))),"Fix")))</f>
        <v>#N/A</v>
      </c>
      <c r="J859" s="5" t="e">
        <f ca="1">IF(OR(INDEX($AI$2:$AI$1001,MATCH(ROWS($AH$2:AH859),$AH$2:$AH$1001,0),1)&gt;=100000,INDEX($AO$1005:$BQ$1005,1,MATCH(COLUMNS($AO$1006:AW1006),$AO$1006:$BQ$1006,0))&gt;=100000), " ",IF(INDEX($AO$2:$BQ$1001,MATCH(ROWS($AH$2:AH859),$AH$2:$AH$1001,0),MATCH(COLUMNS($AO$1006:AW1006),$AO$1006:$BQ$1006,0)), HYPERLINK("#",""), HYPERLINK(CONCATENATE("#Metadata!", ADDRESS(INDEX($AJ$2:$AJ$1001,MATCH(ROWS($AH$2:AH859),$AH$2:$AH$1001,0),0), INDEX($AO$1004:$BQ$1004,1,MATCH(COLUMNS($AO$1006:AW1006),$AO$1006:$BQ$1006,0)))),"Fix")))</f>
        <v>#N/A</v>
      </c>
      <c r="K859" s="5" t="e">
        <f ca="1">IF(OR(INDEX($AI$2:$AI$1001,MATCH(ROWS($AH$2:AH859),$AH$2:$AH$1001,0),1)&gt;=100000,INDEX($AO$1005:$BQ$1005,1,MATCH(COLUMNS($AO$1006:AX1006),$AO$1006:$BQ$1006,0))&gt;=100000), " ",IF(INDEX($AO$2:$BQ$1001,MATCH(ROWS($AH$2:AH859),$AH$2:$AH$1001,0),MATCH(COLUMNS($AO$1006:AX1006),$AO$1006:$BQ$1006,0)), HYPERLINK("#",""), HYPERLINK(CONCATENATE("#Metadata!", ADDRESS(INDEX($AJ$2:$AJ$1001,MATCH(ROWS($AH$2:AH859),$AH$2:$AH$1001,0),0), INDEX($AO$1004:$BQ$1004,1,MATCH(COLUMNS($AO$1006:AX1006),$AO$1006:$BQ$1006,0)))),"Fix")))</f>
        <v>#N/A</v>
      </c>
      <c r="L859" s="5" t="e">
        <f ca="1">IF(OR(INDEX($AI$2:$AI$1001,MATCH(ROWS($AH$2:AH859),$AH$2:$AH$1001,0),1)&gt;=100000,INDEX($AO$1005:$BQ$1005,1,MATCH(COLUMNS($AO$1006:AY1006),$AO$1006:$BQ$1006,0))&gt;=100000), " ",IF(INDEX($AO$2:$BQ$1001,MATCH(ROWS($AH$2:AH859),$AH$2:$AH$1001,0),MATCH(COLUMNS($AO$1006:AY1006),$AO$1006:$BQ$1006,0)), HYPERLINK("#",""), HYPERLINK(CONCATENATE("#Metadata!", ADDRESS(INDEX($AJ$2:$AJ$1001,MATCH(ROWS($AH$2:AH859),$AH$2:$AH$1001,0),0), INDEX($AO$1004:$BQ$1004,1,MATCH(COLUMNS($AO$1006:AY1006),$AO$1006:$BQ$1006,0)))),"Fix")))</f>
        <v>#N/A</v>
      </c>
      <c r="M859" s="5" t="e">
        <f ca="1">IF(OR(INDEX($AI$2:$AI$1001,MATCH(ROWS($AH$2:AH859),$AH$2:$AH$1001,0),1)&gt;=100000,INDEX($AO$1005:$BQ$1005,1,MATCH(COLUMNS($AO$1006:AZ1006),$AO$1006:$BQ$1006,0))&gt;=100000), " ",IF(INDEX($AO$2:$BQ$1001,MATCH(ROWS($AH$2:AH859),$AH$2:$AH$1001,0),MATCH(COLUMNS($AO$1006:AZ1006),$AO$1006:$BQ$1006,0)), HYPERLINK("#",""), HYPERLINK(CONCATENATE("#Metadata!", ADDRESS(INDEX($AJ$2:$AJ$1001,MATCH(ROWS($AH$2:AH859),$AH$2:$AH$1001,0),0), INDEX($AO$1004:$BQ$1004,1,MATCH(COLUMNS($AO$1006:AZ1006),$AO$1006:$BQ$1006,0)))),"Fix")))</f>
        <v>#N/A</v>
      </c>
      <c r="N859" s="5" t="e">
        <f ca="1">IF(OR(INDEX($AI$2:$AI$1001,MATCH(ROWS($AH$2:AH859),$AH$2:$AH$1001,0),1)&gt;=100000,INDEX($AO$1005:$BQ$1005,1,MATCH(COLUMNS($AO$1006:BA1006),$AO$1006:$BQ$1006,0))&gt;=100000), " ",IF(INDEX($AO$2:$BQ$1001,MATCH(ROWS($AH$2:AH859),$AH$2:$AH$1001,0),MATCH(COLUMNS($AO$1006:BA1006),$AO$1006:$BQ$1006,0)), HYPERLINK("#",""), HYPERLINK(CONCATENATE("#Metadata!", ADDRESS(INDEX($AJ$2:$AJ$1001,MATCH(ROWS($AH$2:AH859),$AH$2:$AH$1001,0),0), INDEX($AO$1004:$BQ$1004,1,MATCH(COLUMNS($AO$1006:BA1006),$AO$1006:$BQ$1006,0)))),"Fix")))</f>
        <v>#N/A</v>
      </c>
      <c r="O859" s="5" t="e">
        <f ca="1">IF(OR(INDEX($AI$2:$AI$1001,MATCH(ROWS($AH$2:AH859),$AH$2:$AH$1001,0),1)&gt;=100000,INDEX($AO$1005:$BQ$1005,1,MATCH(COLUMNS($AO$1006:BB1006),$AO$1006:$BQ$1006,0))&gt;=100000), " ",IF(INDEX($AO$2:$BQ$1001,MATCH(ROWS($AH$2:AH859),$AH$2:$AH$1001,0),MATCH(COLUMNS($AO$1006:BB1006),$AO$1006:$BQ$1006,0)), HYPERLINK("#",""), HYPERLINK(CONCATENATE("#Metadata!", ADDRESS(INDEX($AJ$2:$AJ$1001,MATCH(ROWS($AH$2:AH859),$AH$2:$AH$1001,0),0), INDEX($AO$1004:$BQ$1004,1,MATCH(COLUMNS($AO$1006:BB1006),$AO$1006:$BQ$1006,0)))),"Fix")))</f>
        <v>#N/A</v>
      </c>
      <c r="P859" s="5" t="e">
        <f ca="1">IF(OR(INDEX($AI$2:$AI$1001,MATCH(ROWS($AH$2:AH859),$AH$2:$AH$1001,0),1)&gt;=100000,INDEX($AO$1005:$BQ$1005,1,MATCH(COLUMNS($AO$1006:BC1006),$AO$1006:$BQ$1006,0))&gt;=100000), " ",IF(INDEX($AO$2:$BQ$1001,MATCH(ROWS($AH$2:AH859),$AH$2:$AH$1001,0),MATCH(COLUMNS($AO$1006:BC1006),$AO$1006:$BQ$1006,0)), HYPERLINK("#",""), HYPERLINK(CONCATENATE("#Metadata!", ADDRESS(INDEX($AJ$2:$AJ$1001,MATCH(ROWS($AH$2:AH859),$AH$2:$AH$1001,0),0), INDEX($AO$1004:$BQ$1004,1,MATCH(COLUMNS($AO$1006:BC1006),$AO$1006:$BQ$1006,0)))),"Fix")))</f>
        <v>#N/A</v>
      </c>
      <c r="Q859" s="5" t="e">
        <f ca="1">IF(OR(INDEX($AI$2:$AI$1001,MATCH(ROWS($AH$2:AH859),$AH$2:$AH$1001,0),1)&gt;=100000,INDEX($AO$1005:$BQ$1005,1,MATCH(COLUMNS($AO$1006:BD1006),$AO$1006:$BQ$1006,0))&gt;=100000), " ",IF(INDEX($AO$2:$BQ$1001,MATCH(ROWS($AH$2:AH859),$AH$2:$AH$1001,0),MATCH(COLUMNS($AO$1006:BD1006),$AO$1006:$BQ$1006,0)), HYPERLINK("#",""), HYPERLINK(CONCATENATE("#Metadata!", ADDRESS(INDEX($AJ$2:$AJ$1001,MATCH(ROWS($AH$2:AH859),$AH$2:$AH$1001,0),0), INDEX($AO$1004:$BQ$1004,1,MATCH(COLUMNS($AO$1006:BD1006),$AO$1006:$BQ$1006,0)))),"Fix")))</f>
        <v>#N/A</v>
      </c>
      <c r="R859" s="5" t="e">
        <f ca="1">IF(OR(INDEX($AI$2:$AI$1001,MATCH(ROWS($AH$2:AH859),$AH$2:$AH$1001,0),1)&gt;=100000,INDEX($AO$1005:$BQ$1005,1,MATCH(COLUMNS($AO$1006:BE1006),$AO$1006:$BQ$1006,0))&gt;=100000), " ",IF(INDEX($AO$2:$BQ$1001,MATCH(ROWS($AH$2:AH859),$AH$2:$AH$1001,0),MATCH(COLUMNS($AO$1006:BE1006),$AO$1006:$BQ$1006,0)), HYPERLINK("#",""), HYPERLINK(CONCATENATE("#Metadata!", ADDRESS(INDEX($AJ$2:$AJ$1001,MATCH(ROWS($AH$2:AH859),$AH$2:$AH$1001,0),0), INDEX($AO$1004:$BQ$1004,1,MATCH(COLUMNS($AO$1006:BE1006),$AO$1006:$BQ$1006,0)))),"Fix")))</f>
        <v>#N/A</v>
      </c>
      <c r="S859" s="5" t="e">
        <f ca="1">IF(OR(INDEX($AI$2:$AI$1001,MATCH(ROWS($AH$2:AH859),$AH$2:$AH$1001,0),1)&gt;=100000,INDEX($AO$1005:$BQ$1005,1,MATCH(COLUMNS($AO$1006:BF1006),$AO$1006:$BQ$1006,0))&gt;=100000), " ",IF(INDEX($AO$2:$BQ$1001,MATCH(ROWS($AH$2:AH859),$AH$2:$AH$1001,0),MATCH(COLUMNS($AO$1006:BF1006),$AO$1006:$BQ$1006,0)), HYPERLINK("#",""), HYPERLINK(CONCATENATE("#Metadata!", ADDRESS(INDEX($AJ$2:$AJ$1001,MATCH(ROWS($AH$2:AH859),$AH$2:$AH$1001,0),0), INDEX($AO$1004:$BQ$1004,1,MATCH(COLUMNS($AO$1006:BF1006),$AO$1006:$BQ$1006,0)))),"Fix")))</f>
        <v>#N/A</v>
      </c>
      <c r="T859" s="5" t="e">
        <f ca="1">IF(OR(INDEX($AI$2:$AI$1001,MATCH(ROWS($AH$2:AH859),$AH$2:$AH$1001,0),1)&gt;=100000,INDEX($AO$1005:$BQ$1005,1,MATCH(COLUMNS($AO$1006:BG1006),$AO$1006:$BQ$1006,0))&gt;=100000), " ",IF(INDEX($AO$2:$BQ$1001,MATCH(ROWS($AH$2:AH859),$AH$2:$AH$1001,0),MATCH(COLUMNS($AO$1006:BG1006),$AO$1006:$BQ$1006,0)), HYPERLINK("#",""), HYPERLINK(CONCATENATE("#Metadata!", ADDRESS(INDEX($AJ$2:$AJ$1001,MATCH(ROWS($AH$2:AH859),$AH$2:$AH$1001,0),0), INDEX($AO$1004:$BQ$1004,1,MATCH(COLUMNS($AO$1006:BG1006),$AO$1006:$BQ$1006,0)))),"Fix")))</f>
        <v>#N/A</v>
      </c>
      <c r="U859" s="5" t="e">
        <f ca="1">IF(OR(INDEX($AI$2:$AI$1001,MATCH(ROWS($AH$2:AH859),$AH$2:$AH$1001,0),1)&gt;=100000,INDEX($AO$1005:$BQ$1005,1,MATCH(COLUMNS($AO$1006:BH1006),$AO$1006:$BQ$1006,0))&gt;=100000), " ",IF(INDEX($AO$2:$BQ$1001,MATCH(ROWS($AH$2:AH859),$AH$2:$AH$1001,0),MATCH(COLUMNS($AO$1006:BH1006),$AO$1006:$BQ$1006,0)), HYPERLINK("#",""), HYPERLINK(CONCATENATE("#Metadata!", ADDRESS(INDEX($AJ$2:$AJ$1001,MATCH(ROWS($AH$2:AH859),$AH$2:$AH$1001,0),0), INDEX($AO$1004:$BQ$1004,1,MATCH(COLUMNS($AO$1006:BH1006),$AO$1006:$BQ$1006,0)))),"Fix")))</f>
        <v>#N/A</v>
      </c>
      <c r="V859" s="5" t="e">
        <f ca="1">IF(OR(INDEX($AI$2:$AI$1001,MATCH(ROWS($AH$2:AH859),$AH$2:$AH$1001,0),1)&gt;=100000,INDEX($AO$1005:$BQ$1005,1,MATCH(COLUMNS($AO$1006:BI1006),$AO$1006:$BQ$1006,0))&gt;=100000), " ",IF(INDEX($AO$2:$BQ$1001,MATCH(ROWS($AH$2:AH859),$AH$2:$AH$1001,0),MATCH(COLUMNS($AO$1006:BI1006),$AO$1006:$BQ$1006,0)), HYPERLINK("#",""), HYPERLINK(CONCATENATE("#Metadata!", ADDRESS(INDEX($AJ$2:$AJ$1001,MATCH(ROWS($AH$2:AH859),$AH$2:$AH$1001,0),0), INDEX($AO$1004:$BQ$1004,1,MATCH(COLUMNS($AO$1006:BI1006),$AO$1006:$BQ$1006,0)))),"Fix")))</f>
        <v>#N/A</v>
      </c>
      <c r="W859" s="5" t="e">
        <f ca="1">IF(OR(INDEX($AI$2:$AI$1001,MATCH(ROWS($AH$2:AH859),$AH$2:$AH$1001,0),1)&gt;=100000,INDEX($AO$1005:$BQ$1005,1,MATCH(COLUMNS($AO$1006:BJ1006),$AO$1006:$BQ$1006,0))&gt;=100000), " ",IF(INDEX($AO$2:$BQ$1001,MATCH(ROWS($AH$2:AH859),$AH$2:$AH$1001,0),MATCH(COLUMNS($AO$1006:BJ1006),$AO$1006:$BQ$1006,0)), HYPERLINK("#",""), HYPERLINK(CONCATENATE("#Metadata!", ADDRESS(INDEX($AJ$2:$AJ$1001,MATCH(ROWS($AH$2:AH859),$AH$2:$AH$1001,0),0), INDEX($AO$1004:$BQ$1004,1,MATCH(COLUMNS($AO$1006:BJ1006),$AO$1006:$BQ$1006,0)))),"Fix")))</f>
        <v>#N/A</v>
      </c>
      <c r="X859" s="5" t="e">
        <f ca="1">IF(OR(INDEX($AI$2:$AI$1001,MATCH(ROWS($AH$2:AH859),$AH$2:$AH$1001,0),1)&gt;=100000,INDEX($AO$1005:$BQ$1005,1,MATCH(COLUMNS($AO$1006:BK1006),$AO$1006:$BQ$1006,0))&gt;=100000), " ",IF(INDEX($AO$2:$BQ$1001,MATCH(ROWS($AH$2:AH859),$AH$2:$AH$1001,0),MATCH(COLUMNS($AO$1006:BK1006),$AO$1006:$BQ$1006,0)), HYPERLINK("#",""), HYPERLINK(CONCATENATE("#Metadata!", ADDRESS(INDEX($AJ$2:$AJ$1001,MATCH(ROWS($AH$2:AH859),$AH$2:$AH$1001,0),0), INDEX($AO$1004:$BQ$1004,1,MATCH(COLUMNS($AO$1006:BK1006),$AO$1006:$BQ$1006,0)))),"Fix")))</f>
        <v>#N/A</v>
      </c>
      <c r="Y859" s="5" t="e">
        <f ca="1">IF(OR(INDEX($AI$2:$AI$1001,MATCH(ROWS($AH$2:AH859),$AH$2:$AH$1001,0),1)&gt;=100000,INDEX($AO$1005:$BQ$1005,1,MATCH(COLUMNS($AO$1006:BL1006),$AO$1006:$BQ$1006,0))&gt;=100000), " ",IF(INDEX($AO$2:$BQ$1001,MATCH(ROWS($AH$2:AH859),$AH$2:$AH$1001,0),MATCH(COLUMNS($AO$1006:BL1006),$AO$1006:$BQ$1006,0)), HYPERLINK("#",""), HYPERLINK(CONCATENATE("#Metadata!", ADDRESS(INDEX($AJ$2:$AJ$1001,MATCH(ROWS($AH$2:AH859),$AH$2:$AH$1001,0),0), INDEX($AO$1004:$BQ$1004,1,MATCH(COLUMNS($AO$1006:BL1006),$AO$1006:$BQ$1006,0)))),"Fix")))</f>
        <v>#N/A</v>
      </c>
      <c r="Z859" s="5" t="e">
        <f ca="1">IF(OR(INDEX($AI$2:$AI$1001,MATCH(ROWS($AH$2:AH859),$AH$2:$AH$1001,0),1)&gt;=100000,INDEX($AO$1005:$BQ$1005,1,MATCH(COLUMNS($AO$1006:BM1006),$AO$1006:$BQ$1006,0))&gt;=100000), " ",IF(INDEX($AO$2:$BQ$1001,MATCH(ROWS($AH$2:AH859),$AH$2:$AH$1001,0),MATCH(COLUMNS($AO$1006:BM1006),$AO$1006:$BQ$1006,0)), HYPERLINK("#",""), HYPERLINK(CONCATENATE("#Metadata!", ADDRESS(INDEX($AJ$2:$AJ$1001,MATCH(ROWS($AH$2:AH859),$AH$2:$AH$1001,0),0), INDEX($AO$1004:$BQ$1004,1,MATCH(COLUMNS($AO$1006:BM1006),$AO$1006:$BQ$1006,0)))),"Fix")))</f>
        <v>#N/A</v>
      </c>
      <c r="AA859" s="5" t="e">
        <f ca="1">IF(OR(INDEX($AI$2:$AI$1001,MATCH(ROWS($AH$2:AH859),$AH$2:$AH$1001,0),1)&gt;=100000,INDEX($AO$1005:$BQ$1005,1,MATCH(COLUMNS($AO$1006:BN1006),$AO$1006:$BQ$1006,0))&gt;=100000), " ",IF(INDEX($AO$2:$BQ$1001,MATCH(ROWS($AH$2:AH859),$AH$2:$AH$1001,0),MATCH(COLUMNS($AO$1006:BN1006),$AO$1006:$BQ$1006,0)), HYPERLINK("#",""), HYPERLINK(CONCATENATE("#Metadata!", ADDRESS(INDEX($AJ$2:$AJ$1001,MATCH(ROWS($AH$2:AH859),$AH$2:$AH$1001,0),0), INDEX($AO$1004:$BQ$1004,1,MATCH(COLUMNS($AO$1006:BN1006),$AO$1006:$BQ$1006,0)))),"Fix")))</f>
        <v>#N/A</v>
      </c>
      <c r="AB859" s="5" t="e">
        <f ca="1">IF(OR(INDEX($AI$2:$AI$1001,MATCH(ROWS($AH$2:AH859),$AH$2:$AH$1001,0),1)&gt;=100000,INDEX($AO$1005:$BQ$1005,1,MATCH(COLUMNS($AO$1006:BO1006),$AO$1006:$BQ$1006,0))&gt;=100000), " ",IF(INDEX($AO$2:$BQ$1001,MATCH(ROWS($AH$2:AH859),$AH$2:$AH$1001,0),MATCH(COLUMNS($AO$1006:BO1006),$AO$1006:$BQ$1006,0)), HYPERLINK("#",""), HYPERLINK(CONCATENATE("#Metadata!", ADDRESS(INDEX($AJ$2:$AJ$1001,MATCH(ROWS($AH$2:AH859),$AH$2:$AH$1001,0),0), INDEX($AO$1004:$BQ$1004,1,MATCH(COLUMNS($AO$1006:BO1006),$AO$1006:$BQ$1006,0)))),"Fix")))</f>
        <v>#N/A</v>
      </c>
      <c r="AC859" s="5" t="e">
        <f ca="1">IF(OR(INDEX($AI$2:$AI$1001,MATCH(ROWS($AH$2:AH859),$AH$2:$AH$1001,0),1)&gt;=100000,INDEX($AO$1005:$BQ$1005,1,MATCH(COLUMNS($AO$1006:BP1006),$AO$1006:$BQ$1006,0))&gt;=100000), " ",IF(INDEX($AO$2:$BQ$1001,MATCH(ROWS($AH$2:AH859),$AH$2:$AH$1001,0),MATCH(COLUMNS($AO$1006:BP1006),$AO$1006:$BQ$1006,0)), HYPERLINK("#",""), HYPERLINK(CONCATENATE("#Metadata!", ADDRESS(INDEX($AJ$2:$AJ$1001,MATCH(ROWS($AH$2:AH859),$AH$2:$AH$1001,0),0), INDEX($AO$1004:$BQ$1004,1,MATCH(COLUMNS($AO$1006:BP1006),$AO$1006:$BQ$1006,0)))),"Fix")))</f>
        <v>#N/A</v>
      </c>
      <c r="AD859" s="5" t="e">
        <f ca="1">IF(OR(INDEX($AI$2:$AI$1001,MATCH(ROWS($AH$2:AH859),$AH$2:$AH$1001,0),1)&gt;=100000,INDEX($AO$1005:$BQ$1005,1,MATCH(COLUMNS($AO$1006:BQ1006),$AO$1006:$BQ$1006,0))&gt;=100000), " ",IF(INDEX($AO$2:$BQ$1001,MATCH(ROWS($AH$2:AH859),$AH$2:$AH$1001,0),MATCH(COLUMNS($AO$1006:BQ1006),$AO$1006:$BQ$1006,0)), HYPERLINK("#",""), HYPERLINK(CONCATENATE("#Metadata!", ADDRESS(INDEX($AJ$2:$AJ$1001,MATCH(ROWS($AH$2:AH859),$AH$2:$AH$1001,0),0), INDEX($AO$1004:$BQ$1004,1,MATCH(COLUMNS($AO$1006:BQ1006),$AO$1006:$BQ$1006,0)))),"Fix")))</f>
        <v>#REF!</v>
      </c>
      <c r="AH859">
        <f ca="1"/>
        <v>856</v>
      </c>
      <c r="AI859">
        <v>100859</v>
      </c>
      <c r="AJ859">
        <v>859</v>
      </c>
      <c r="AK859" t="b">
        <f t="shared" si="13"/>
        <v>1</v>
      </c>
      <c r="AL859" t="b">
        <f>COUNTBLANK(Metadata!B859:AD859)=COLUMNS(Metadata!B859:AD859)</f>
        <v>1</v>
      </c>
      <c r="AM859" t="str">
        <v/>
      </c>
      <c r="AO859" t="b">
        <f ca="1">AND(IF(Metadata!B859="",FALSE,TRUE),COUNTIF(Metadata!B:B, Metadata!B859) = 1,NOT(ISERROR(SUMPRODUCT(SEARCH(MID(Metadata!B859,ROW(INDIRECT("1:"&amp;LEN(Metadata!B859))), 1),"0123456789abcdefghijklmnopqrstuvwxyzABCDEFGHIJKLMNOPQRSTUVWXYZ.")))))</f>
        <v>0</v>
      </c>
      <c r="AP859" t="b">
        <f>IF(Metadata!C859="",FALSE,TRUE)</f>
        <v>0</v>
      </c>
      <c r="AQ859" t="b">
        <f>IF(Metadata!D859="",FALSE,TRUE)</f>
        <v>0</v>
      </c>
      <c r="AR859" t="b">
        <f ca="1">OR(AND(IF(Metadata!E859="",FALSE,TRUE),OR(EXACT(Metadata!E859,"not collected"),EXACT(Metadata!E859,"not provided"),EXACT(Metadata!E859,"restricted access"))),AND(IF(Metadata!E859="",FALSE,TRUE),AND(AND(IFERROR(INT(LEFT(Metadata!E859,4))&gt;1900,FALSE),IFERROR(INT(LEFT(Metadata!E859,4))&lt;=YEAR(NOW()),FALSE)), OR(MID(Metadata!E859,5,1)="", AND(AND(MID(Metadata!E859,5,1)="-",IFERROR(INT(MID(Metadata!E859,6,1))&gt;=0,FALSE),IFERROR(INT(MID(Metadata!E859,6,1))&lt;=1,FALSE),NOT(MID(Metadata!E859,7,1)=""),IFERROR(INT(MID(Metadata!E859,6,2))&gt;=1,FALSE),IFERROR(INT(MID(Metadata!E859,6,2))&lt;=12,FALSE)), OR(MID(Metadata!E859,8,1)="", AND(AND(MID(Metadata!E859,8,1)="-",IFERROR(INT(MID(Metadata!E859,9,1))&gt;=0,FALSE),IFERROR(INT(MID(Metadata!E859,9,1))&lt;=3,FALSE),NOT(MID(Metadata!E859,10,1)=""),IFERROR(INT(MID(Metadata!E859,9,2))&gt;=1,FALSE),IFERROR(INT(MID(Metadata!E859,9,2))&lt;=31,FALSE)), OR(MID(Metadata!E859,11,1)="", AND(AND(MID(Metadata!E859,11,1)=" ",IFERROR(INT(MID(Metadata!E859,12,1))&gt;=0,FALSE),IFERROR(INT(MID(Metadata!E859,12,1))&lt;=2,FALSE),NOT(MID(Metadata!E859,13,1)=""),IFERROR(INT(MID(Metadata!E859,12,2))&gt;=0,FALSE),IFERROR(INT(MID(Metadata!E859,12,2))&lt;=23,FALSE)), OR(MID(Metadata!E859,14,1)="", AND(AND(MID(Metadata!E859,14,1)=":",IFERROR(INT(MID(Metadata!E859,15,1))&gt;=0,FALSE),IFERROR(INT(MID(Metadata!E859,15,1))&lt;=5,FALSE),NOT(MID(Metadata!E859,16,1)=""),IFERROR(INT(MID(Metadata!E859,15,2))&gt;=0,FALSE),IFERROR(INT(MID(Metadata!E859,15,2))&lt;=59,FALSE)), OR(MID(Metadata!E859,17,1)="", AND(AND(MID(Metadata!E859,17,1)=":",IFERROR(INT(MID(Metadata!E859,18,1))&gt;=0,FALSE),IFERROR(INT(MID(Metadata!E859,18,1))&lt;=5,FALSE),NOT(MID(Metadata!E859,19,1)=""),IFERROR(INT(MID(Metadata!E859,18,2))&gt;=0,FALSE),IFERROR(INT(MID(Metadata!E859,18,2))&lt;=59,FALSE)), LEN(Metadata!E859)&lt;=19)))))))))))))</f>
        <v>0</v>
      </c>
      <c r="AS859" t="b">
        <f>IF(Metadata!F859="",FALSE,TRUE)</f>
        <v>0</v>
      </c>
      <c r="AT859" t="b">
        <f>OR(AND(IF(Metadata!G859="",FALSE,TRUE),OR(EXACT(Metadata!G859,"not collected"),EXACT(Metadata!G859,"not provided"))),AND(IF(Metadata!G859="",FALSE,TRUE),OR(EXACT(Metadata!G859,"TRUE"),EXACT(Metadata!G859,"FALSE"))))</f>
        <v>0</v>
      </c>
      <c r="AU859" t="b">
        <f>OR(AND(IF(Metadata!H859="",FALSE,TRUE),OR(EXACT(Metadata!H859,"not collected"),EXACT(Metadata!H859,"not provided"),EXACT(Metadata!H859,"restricted access"))),AND(IF(Metadata!H859="",FALSE,ISNUMBER(VALUE(Metadata!H859))),Metadata!H859&gt;=-413))</f>
        <v>0</v>
      </c>
      <c r="AV859" t="b">
        <f>AND(IF(Metadata!I859="",FALSE,TRUE),EXACT(Metadata!I859,"meters"))</f>
        <v>0</v>
      </c>
      <c r="AW859" t="b">
        <f>AND(IF(Metadata!J859="",FALSE,TRUE),EXACT(Metadata!J859,"free-living"))</f>
        <v>0</v>
      </c>
      <c r="AX859" t="b">
        <f>AND(IF(Metadata!K859="",FALSE,TRUE),OR(EXACT(Metadata!K859,"saline"),EXACT(Metadata!K859,"non-saline")))</f>
        <v>0</v>
      </c>
      <c r="AY859" t="b">
        <f>AND(IF(Metadata!L859="",FALSE,TRUE),OR(EXACT(Metadata!L859,"sub-surface (non-saline)"),EXACT(Metadata!L859,"surface (non-saline)"),EXACT(Metadata!L859,"water (non-saline)"),EXACT(Metadata!L859,"soil (non-saline)"),EXACT(Metadata!L859,"aerosol (non-saline)"),EXACT(Metadata!L859,"sediment (non-saline)"),EXACT(Metadata!L859,"surface (saline)"),EXACT(Metadata!L859,"water (saline)"),EXACT(Metadata!L859,"hypersaline (saline)"),EXACT(Metadata!L859,"aerosol (saline)"),EXACT(Metadata!L859,"sediment (saline)")))</f>
        <v>0</v>
      </c>
      <c r="AZ859" t="b">
        <f>IF(Metadata!M859="",FALSE,TRUE)</f>
        <v>0</v>
      </c>
      <c r="BA859" t="b">
        <f>IF(Metadata!N859="",FALSE,TRUE)</f>
        <v>0</v>
      </c>
      <c r="BB859" t="b">
        <f>IF(Metadata!O859="",FALSE,TRUE)</f>
        <v>0</v>
      </c>
      <c r="BC859" t="b">
        <f>AND(IF(Metadata!P859="",FALSE,TRUE),OR(EXACT(Metadata!P859,"air"),EXACT(Metadata!P859,"microbial mat/biofilm"),EXACT(Metadata!P859,"misc environment"),EXACT(Metadata!P859,"sediment"),EXACT(Metadata!P859,"soil"),EXACT(Metadata!P859,"wastewater/sludge"),EXACT(Metadata!P859,"water")))</f>
        <v>0</v>
      </c>
      <c r="BD859" t="b">
        <f>IF(Metadata!Q859="",FALSE,TRUE)</f>
        <v>0</v>
      </c>
      <c r="BE859" t="b">
        <f>IF(Metadata!R859="",FALSE,TRUE)</f>
        <v>0</v>
      </c>
      <c r="BF859" t="b">
        <f>OR(AND(IF(Metadata!S859="",FALSE,TRUE),OR(EXACT(Metadata!S859,"not collected"),EXACT(Metadata!S859,"not provided"),EXACT(Metadata!S859,"restricted access"))),AND(IF(Metadata!S859="",FALSE,ISNUMBER(VALUE(Metadata!S859))),Metadata!S859&gt;=-90,Metadata!S859&lt;=90))</f>
        <v>0</v>
      </c>
      <c r="BG859" t="b">
        <f>AND(IF(Metadata!T859="",FALSE,TRUE),EXACT(Metadata!T859,"Decimal degrees"))</f>
        <v>0</v>
      </c>
      <c r="BH859" t="b">
        <f>OR(AND(IF(Metadata!U859="",FALSE,TRUE),OR(EXACT(Metadata!U859,"not applicable"),EXACT(Metadata!U859,"not collected"))),IF(Metadata!U859="",FALSE,TRUE))</f>
        <v>0</v>
      </c>
      <c r="BI859" t="b">
        <f>OR(AND(IF(Metadata!V859="",FALSE,TRUE),OR(EXACT(Metadata!V859,"not collected"),EXACT(Metadata!V859,"not provided"),EXACT(Metadata!V859,"restricted access"))),AND(IF(Metadata!V859="",FALSE,ISNUMBER(VALUE(Metadata!V859))),Metadata!V859&gt;=-180,Metadata!V859&lt;=180))</f>
        <v>0</v>
      </c>
      <c r="BJ859" t="b">
        <f>AND(IF(Metadata!W859="",FALSE,TRUE),EXACT(Metadata!W859,"Decimal degrees"))</f>
        <v>0</v>
      </c>
      <c r="BK859" t="b">
        <f>IF(Metadata!X859="",FALSE,TRUE)</f>
        <v>0</v>
      </c>
      <c r="BL859" t="b">
        <f>OR(AND(IF(Metadata!Y859="",FALSE,TRUE),OR(EXACT(Metadata!Y859,"not collected"),EXACT(Metadata!Y859,"not provided"),EXACT(Metadata!Y859,"restricted access"))),AND(IF(Metadata!Y859="",FALSE,TRUE),OR(EXACT(Metadata!Y859,"TRUE"),EXACT(Metadata!Y859,"FALSE"))))</f>
        <v>0</v>
      </c>
      <c r="BM859" t="b">
        <f>OR(AND(IF(Metadata!Z859="",FALSE,TRUE),EXACT(Metadata!Z859,"not applicable")),AND(IF(Metadata!Z859="",FALSE,TRUE),OR(EXACT(Metadata!Z859,"beer"),EXACT(Metadata!Z859,"cheese"),EXACT(Metadata!Z859,"fresh water"),EXACT(Metadata!Z859,"marine sediment"),EXACT(Metadata!Z859,"sea water"),EXACT(Metadata!Z859,"sediment"),EXACT(Metadata!Z859,"soil"),EXACT(Metadata!Z859,"waste water"))))</f>
        <v>0</v>
      </c>
      <c r="BN859" t="b">
        <f>AND(IF(Metadata!AA859="",FALSE,TRUE),EXACT(Metadata!AA859,"metagenome"))</f>
        <v>0</v>
      </c>
      <c r="BO859" t="b">
        <f>AND(IF(Metadata!AB859="",FALSE,TRUE),EXACT(Metadata!AB859,"256318"))</f>
        <v>0</v>
      </c>
      <c r="BP859" t="b">
        <f>IF(Metadata!AC859="",FALSE,TRUE)</f>
        <v>0</v>
      </c>
      <c r="BQ859" t="b">
        <f>IF(Metadata!AD859="",FALSE,TRUE)</f>
        <v>0</v>
      </c>
    </row>
    <row r="860" spans="1:69" x14ac:dyDescent="0.2">
      <c r="A860" s="4" t="e">
        <f ca="1">IF(B860=" "," ",HYPERLINK(CONCATENATE("#metadata!",ADDRESS(INDEX($AJ$2:$AJ$1001,MATCH(ROWS($AH$2:AH860),$AH$2:$AH$1001,0),0),2)),INDEX($AM$2:$AM$1001,MATCH(ROWS($AH$2:AH860),$AH$2:$AH$1001,0),0)))</f>
        <v>#N/A</v>
      </c>
      <c r="B860" s="5" t="e">
        <f ca="1">IF(OR(INDEX($AI$2:$AI$1001,MATCH(ROWS($AH$2:AH860),$AH$2:$AH$1001,0),1)&gt;=100000,INDEX($AO$1005:$BQ$1005,1,MATCH(COLUMNS($AO$1006:AO1006),$AO$1006:$BQ$1006,0))&gt;=100000), " ",IF(INDEX($AO$2:$BQ$1001,MATCH(ROWS($AH$2:AH860),$AH$2:$AH$1001,0),MATCH(COLUMNS($AO$1006:AO1006),$AO$1006:$BQ$1006,0)), HYPERLINK("#",""), HYPERLINK(CONCATENATE("#Metadata!", ADDRESS(INDEX($AJ$2:$AJ$1001,MATCH(ROWS($AH$2:AH860),$AH$2:$AH$1001,0),0), INDEX($AO$1004:$BQ$1004,1,MATCH(COLUMNS($AO$1006:AO1006),$AO$1006:$BQ$1006,0)))),"Fix")))</f>
        <v>#N/A</v>
      </c>
      <c r="C860" s="5" t="e">
        <f ca="1">IF(OR(INDEX($AI$2:$AI$1001,MATCH(ROWS($AH$2:AH860),$AH$2:$AH$1001,0),1)&gt;=100000,INDEX($AO$1005:$BQ$1005,1,MATCH(COLUMNS($AO$1006:AP1006),$AO$1006:$BQ$1006,0))&gt;=100000), " ",IF(INDEX($AO$2:$BQ$1001,MATCH(ROWS($AH$2:AH860),$AH$2:$AH$1001,0),MATCH(COLUMNS($AO$1006:AP1006),$AO$1006:$BQ$1006,0)), HYPERLINK("#",""), HYPERLINK(CONCATENATE("#Metadata!", ADDRESS(INDEX($AJ$2:$AJ$1001,MATCH(ROWS($AH$2:AH860),$AH$2:$AH$1001,0),0), INDEX($AO$1004:$BQ$1004,1,MATCH(COLUMNS($AO$1006:AP1006),$AO$1006:$BQ$1006,0)))),"Fix")))</f>
        <v>#N/A</v>
      </c>
      <c r="D860" s="5" t="e">
        <f ca="1">IF(OR(INDEX($AI$2:$AI$1001,MATCH(ROWS($AH$2:AH860),$AH$2:$AH$1001,0),1)&gt;=100000,INDEX($AO$1005:$BQ$1005,1,MATCH(COLUMNS($AO$1006:AQ1006),$AO$1006:$BQ$1006,0))&gt;=100000), " ",IF(INDEX($AO$2:$BQ$1001,MATCH(ROWS($AH$2:AH860),$AH$2:$AH$1001,0),MATCH(COLUMNS($AO$1006:AQ1006),$AO$1006:$BQ$1006,0)), HYPERLINK("#",""), HYPERLINK(CONCATENATE("#Metadata!", ADDRESS(INDEX($AJ$2:$AJ$1001,MATCH(ROWS($AH$2:AH860),$AH$2:$AH$1001,0),0), INDEX($AO$1004:$BQ$1004,1,MATCH(COLUMNS($AO$1006:AQ1006),$AO$1006:$BQ$1006,0)))),"Fix")))</f>
        <v>#N/A</v>
      </c>
      <c r="E860" s="5" t="e">
        <f ca="1">IF(OR(INDEX($AI$2:$AI$1001,MATCH(ROWS($AH$2:AH860),$AH$2:$AH$1001,0),1)&gt;=100000,INDEX($AO$1005:$BQ$1005,1,MATCH(COLUMNS($AO$1006:AR1006),$AO$1006:$BQ$1006,0))&gt;=100000), " ",IF(INDEX($AO$2:$BQ$1001,MATCH(ROWS($AH$2:AH860),$AH$2:$AH$1001,0),MATCH(COLUMNS($AO$1006:AR1006),$AO$1006:$BQ$1006,0)), HYPERLINK("#",""), HYPERLINK(CONCATENATE("#Metadata!", ADDRESS(INDEX($AJ$2:$AJ$1001,MATCH(ROWS($AH$2:AH860),$AH$2:$AH$1001,0),0), INDEX($AO$1004:$BQ$1004,1,MATCH(COLUMNS($AO$1006:AR1006),$AO$1006:$BQ$1006,0)))),"Fix")))</f>
        <v>#N/A</v>
      </c>
      <c r="F860" s="5" t="e">
        <f ca="1">IF(OR(INDEX($AI$2:$AI$1001,MATCH(ROWS($AH$2:AH860),$AH$2:$AH$1001,0),1)&gt;=100000,INDEX($AO$1005:$BQ$1005,1,MATCH(COLUMNS($AO$1006:AS1006),$AO$1006:$BQ$1006,0))&gt;=100000), " ",IF(INDEX($AO$2:$BQ$1001,MATCH(ROWS($AH$2:AH860),$AH$2:$AH$1001,0),MATCH(COLUMNS($AO$1006:AS1006),$AO$1006:$BQ$1006,0)), HYPERLINK("#",""), HYPERLINK(CONCATENATE("#Metadata!", ADDRESS(INDEX($AJ$2:$AJ$1001,MATCH(ROWS($AH$2:AH860),$AH$2:$AH$1001,0),0), INDEX($AO$1004:$BQ$1004,1,MATCH(COLUMNS($AO$1006:AS1006),$AO$1006:$BQ$1006,0)))),"Fix")))</f>
        <v>#N/A</v>
      </c>
      <c r="G860" s="5" t="e">
        <f ca="1">IF(OR(INDEX($AI$2:$AI$1001,MATCH(ROWS($AH$2:AH860),$AH$2:$AH$1001,0),1)&gt;=100000,INDEX($AO$1005:$BQ$1005,1,MATCH(COLUMNS($AO$1006:AT1006),$AO$1006:$BQ$1006,0))&gt;=100000), " ",IF(INDEX($AO$2:$BQ$1001,MATCH(ROWS($AH$2:AH860),$AH$2:$AH$1001,0),MATCH(COLUMNS($AO$1006:AT1006),$AO$1006:$BQ$1006,0)), HYPERLINK("#",""), HYPERLINK(CONCATENATE("#Metadata!", ADDRESS(INDEX($AJ$2:$AJ$1001,MATCH(ROWS($AH$2:AH860),$AH$2:$AH$1001,0),0), INDEX($AO$1004:$BQ$1004,1,MATCH(COLUMNS($AO$1006:AT1006),$AO$1006:$BQ$1006,0)))),"Fix")))</f>
        <v>#N/A</v>
      </c>
      <c r="H860" s="5" t="e">
        <f ca="1">IF(OR(INDEX($AI$2:$AI$1001,MATCH(ROWS($AH$2:AH860),$AH$2:$AH$1001,0),1)&gt;=100000,INDEX($AO$1005:$BQ$1005,1,MATCH(COLUMNS($AO$1006:AU1006),$AO$1006:$BQ$1006,0))&gt;=100000), " ",IF(INDEX($AO$2:$BQ$1001,MATCH(ROWS($AH$2:AH860),$AH$2:$AH$1001,0),MATCH(COLUMNS($AO$1006:AU1006),$AO$1006:$BQ$1006,0)), HYPERLINK("#",""), HYPERLINK(CONCATENATE("#Metadata!", ADDRESS(INDEX($AJ$2:$AJ$1001,MATCH(ROWS($AH$2:AH860),$AH$2:$AH$1001,0),0), INDEX($AO$1004:$BQ$1004,1,MATCH(COLUMNS($AO$1006:AU1006),$AO$1006:$BQ$1006,0)))),"Fix")))</f>
        <v>#N/A</v>
      </c>
      <c r="I860" s="5" t="e">
        <f ca="1">IF(OR(INDEX($AI$2:$AI$1001,MATCH(ROWS($AH$2:AH860),$AH$2:$AH$1001,0),1)&gt;=100000,INDEX($AO$1005:$BQ$1005,1,MATCH(COLUMNS($AO$1006:AV1006),$AO$1006:$BQ$1006,0))&gt;=100000), " ",IF(INDEX($AO$2:$BQ$1001,MATCH(ROWS($AH$2:AH860),$AH$2:$AH$1001,0),MATCH(COLUMNS($AO$1006:AV1006),$AO$1006:$BQ$1006,0)), HYPERLINK("#",""), HYPERLINK(CONCATENATE("#Metadata!", ADDRESS(INDEX($AJ$2:$AJ$1001,MATCH(ROWS($AH$2:AH860),$AH$2:$AH$1001,0),0), INDEX($AO$1004:$BQ$1004,1,MATCH(COLUMNS($AO$1006:AV1006),$AO$1006:$BQ$1006,0)))),"Fix")))</f>
        <v>#N/A</v>
      </c>
      <c r="J860" s="5" t="e">
        <f ca="1">IF(OR(INDEX($AI$2:$AI$1001,MATCH(ROWS($AH$2:AH860),$AH$2:$AH$1001,0),1)&gt;=100000,INDEX($AO$1005:$BQ$1005,1,MATCH(COLUMNS($AO$1006:AW1006),$AO$1006:$BQ$1006,0))&gt;=100000), " ",IF(INDEX($AO$2:$BQ$1001,MATCH(ROWS($AH$2:AH860),$AH$2:$AH$1001,0),MATCH(COLUMNS($AO$1006:AW1006),$AO$1006:$BQ$1006,0)), HYPERLINK("#",""), HYPERLINK(CONCATENATE("#Metadata!", ADDRESS(INDEX($AJ$2:$AJ$1001,MATCH(ROWS($AH$2:AH860),$AH$2:$AH$1001,0),0), INDEX($AO$1004:$BQ$1004,1,MATCH(COLUMNS($AO$1006:AW1006),$AO$1006:$BQ$1006,0)))),"Fix")))</f>
        <v>#N/A</v>
      </c>
      <c r="K860" s="5" t="e">
        <f ca="1">IF(OR(INDEX($AI$2:$AI$1001,MATCH(ROWS($AH$2:AH860),$AH$2:$AH$1001,0),1)&gt;=100000,INDEX($AO$1005:$BQ$1005,1,MATCH(COLUMNS($AO$1006:AX1006),$AO$1006:$BQ$1006,0))&gt;=100000), " ",IF(INDEX($AO$2:$BQ$1001,MATCH(ROWS($AH$2:AH860),$AH$2:$AH$1001,0),MATCH(COLUMNS($AO$1006:AX1006),$AO$1006:$BQ$1006,0)), HYPERLINK("#",""), HYPERLINK(CONCATENATE("#Metadata!", ADDRESS(INDEX($AJ$2:$AJ$1001,MATCH(ROWS($AH$2:AH860),$AH$2:$AH$1001,0),0), INDEX($AO$1004:$BQ$1004,1,MATCH(COLUMNS($AO$1006:AX1006),$AO$1006:$BQ$1006,0)))),"Fix")))</f>
        <v>#N/A</v>
      </c>
      <c r="L860" s="5" t="e">
        <f ca="1">IF(OR(INDEX($AI$2:$AI$1001,MATCH(ROWS($AH$2:AH860),$AH$2:$AH$1001,0),1)&gt;=100000,INDEX($AO$1005:$BQ$1005,1,MATCH(COLUMNS($AO$1006:AY1006),$AO$1006:$BQ$1006,0))&gt;=100000), " ",IF(INDEX($AO$2:$BQ$1001,MATCH(ROWS($AH$2:AH860),$AH$2:$AH$1001,0),MATCH(COLUMNS($AO$1006:AY1006),$AO$1006:$BQ$1006,0)), HYPERLINK("#",""), HYPERLINK(CONCATENATE("#Metadata!", ADDRESS(INDEX($AJ$2:$AJ$1001,MATCH(ROWS($AH$2:AH860),$AH$2:$AH$1001,0),0), INDEX($AO$1004:$BQ$1004,1,MATCH(COLUMNS($AO$1006:AY1006),$AO$1006:$BQ$1006,0)))),"Fix")))</f>
        <v>#N/A</v>
      </c>
      <c r="M860" s="5" t="e">
        <f ca="1">IF(OR(INDEX($AI$2:$AI$1001,MATCH(ROWS($AH$2:AH860),$AH$2:$AH$1001,0),1)&gt;=100000,INDEX($AO$1005:$BQ$1005,1,MATCH(COLUMNS($AO$1006:AZ1006),$AO$1006:$BQ$1006,0))&gt;=100000), " ",IF(INDEX($AO$2:$BQ$1001,MATCH(ROWS($AH$2:AH860),$AH$2:$AH$1001,0),MATCH(COLUMNS($AO$1006:AZ1006),$AO$1006:$BQ$1006,0)), HYPERLINK("#",""), HYPERLINK(CONCATENATE("#Metadata!", ADDRESS(INDEX($AJ$2:$AJ$1001,MATCH(ROWS($AH$2:AH860),$AH$2:$AH$1001,0),0), INDEX($AO$1004:$BQ$1004,1,MATCH(COLUMNS($AO$1006:AZ1006),$AO$1006:$BQ$1006,0)))),"Fix")))</f>
        <v>#N/A</v>
      </c>
      <c r="N860" s="5" t="e">
        <f ca="1">IF(OR(INDEX($AI$2:$AI$1001,MATCH(ROWS($AH$2:AH860),$AH$2:$AH$1001,0),1)&gt;=100000,INDEX($AO$1005:$BQ$1005,1,MATCH(COLUMNS($AO$1006:BA1006),$AO$1006:$BQ$1006,0))&gt;=100000), " ",IF(INDEX($AO$2:$BQ$1001,MATCH(ROWS($AH$2:AH860),$AH$2:$AH$1001,0),MATCH(COLUMNS($AO$1006:BA1006),$AO$1006:$BQ$1006,0)), HYPERLINK("#",""), HYPERLINK(CONCATENATE("#Metadata!", ADDRESS(INDEX($AJ$2:$AJ$1001,MATCH(ROWS($AH$2:AH860),$AH$2:$AH$1001,0),0), INDEX($AO$1004:$BQ$1004,1,MATCH(COLUMNS($AO$1006:BA1006),$AO$1006:$BQ$1006,0)))),"Fix")))</f>
        <v>#N/A</v>
      </c>
      <c r="O860" s="5" t="e">
        <f ca="1">IF(OR(INDEX($AI$2:$AI$1001,MATCH(ROWS($AH$2:AH860),$AH$2:$AH$1001,0),1)&gt;=100000,INDEX($AO$1005:$BQ$1005,1,MATCH(COLUMNS($AO$1006:BB1006),$AO$1006:$BQ$1006,0))&gt;=100000), " ",IF(INDEX($AO$2:$BQ$1001,MATCH(ROWS($AH$2:AH860),$AH$2:$AH$1001,0),MATCH(COLUMNS($AO$1006:BB1006),$AO$1006:$BQ$1006,0)), HYPERLINK("#",""), HYPERLINK(CONCATENATE("#Metadata!", ADDRESS(INDEX($AJ$2:$AJ$1001,MATCH(ROWS($AH$2:AH860),$AH$2:$AH$1001,0),0), INDEX($AO$1004:$BQ$1004,1,MATCH(COLUMNS($AO$1006:BB1006),$AO$1006:$BQ$1006,0)))),"Fix")))</f>
        <v>#N/A</v>
      </c>
      <c r="P860" s="5" t="e">
        <f ca="1">IF(OR(INDEX($AI$2:$AI$1001,MATCH(ROWS($AH$2:AH860),$AH$2:$AH$1001,0),1)&gt;=100000,INDEX($AO$1005:$BQ$1005,1,MATCH(COLUMNS($AO$1006:BC1006),$AO$1006:$BQ$1006,0))&gt;=100000), " ",IF(INDEX($AO$2:$BQ$1001,MATCH(ROWS($AH$2:AH860),$AH$2:$AH$1001,0),MATCH(COLUMNS($AO$1006:BC1006),$AO$1006:$BQ$1006,0)), HYPERLINK("#",""), HYPERLINK(CONCATENATE("#Metadata!", ADDRESS(INDEX($AJ$2:$AJ$1001,MATCH(ROWS($AH$2:AH860),$AH$2:$AH$1001,0),0), INDEX($AO$1004:$BQ$1004,1,MATCH(COLUMNS($AO$1006:BC1006),$AO$1006:$BQ$1006,0)))),"Fix")))</f>
        <v>#N/A</v>
      </c>
      <c r="Q860" s="5" t="e">
        <f ca="1">IF(OR(INDEX($AI$2:$AI$1001,MATCH(ROWS($AH$2:AH860),$AH$2:$AH$1001,0),1)&gt;=100000,INDEX($AO$1005:$BQ$1005,1,MATCH(COLUMNS($AO$1006:BD1006),$AO$1006:$BQ$1006,0))&gt;=100000), " ",IF(INDEX($AO$2:$BQ$1001,MATCH(ROWS($AH$2:AH860),$AH$2:$AH$1001,0),MATCH(COLUMNS($AO$1006:BD1006),$AO$1006:$BQ$1006,0)), HYPERLINK("#",""), HYPERLINK(CONCATENATE("#Metadata!", ADDRESS(INDEX($AJ$2:$AJ$1001,MATCH(ROWS($AH$2:AH860),$AH$2:$AH$1001,0),0), INDEX($AO$1004:$BQ$1004,1,MATCH(COLUMNS($AO$1006:BD1006),$AO$1006:$BQ$1006,0)))),"Fix")))</f>
        <v>#N/A</v>
      </c>
      <c r="R860" s="5" t="e">
        <f ca="1">IF(OR(INDEX($AI$2:$AI$1001,MATCH(ROWS($AH$2:AH860),$AH$2:$AH$1001,0),1)&gt;=100000,INDEX($AO$1005:$BQ$1005,1,MATCH(COLUMNS($AO$1006:BE1006),$AO$1006:$BQ$1006,0))&gt;=100000), " ",IF(INDEX($AO$2:$BQ$1001,MATCH(ROWS($AH$2:AH860),$AH$2:$AH$1001,0),MATCH(COLUMNS($AO$1006:BE1006),$AO$1006:$BQ$1006,0)), HYPERLINK("#",""), HYPERLINK(CONCATENATE("#Metadata!", ADDRESS(INDEX($AJ$2:$AJ$1001,MATCH(ROWS($AH$2:AH860),$AH$2:$AH$1001,0),0), INDEX($AO$1004:$BQ$1004,1,MATCH(COLUMNS($AO$1006:BE1006),$AO$1006:$BQ$1006,0)))),"Fix")))</f>
        <v>#N/A</v>
      </c>
      <c r="S860" s="5" t="e">
        <f ca="1">IF(OR(INDEX($AI$2:$AI$1001,MATCH(ROWS($AH$2:AH860),$AH$2:$AH$1001,0),1)&gt;=100000,INDEX($AO$1005:$BQ$1005,1,MATCH(COLUMNS($AO$1006:BF1006),$AO$1006:$BQ$1006,0))&gt;=100000), " ",IF(INDEX($AO$2:$BQ$1001,MATCH(ROWS($AH$2:AH860),$AH$2:$AH$1001,0),MATCH(COLUMNS($AO$1006:BF1006),$AO$1006:$BQ$1006,0)), HYPERLINK("#",""), HYPERLINK(CONCATENATE("#Metadata!", ADDRESS(INDEX($AJ$2:$AJ$1001,MATCH(ROWS($AH$2:AH860),$AH$2:$AH$1001,0),0), INDEX($AO$1004:$BQ$1004,1,MATCH(COLUMNS($AO$1006:BF1006),$AO$1006:$BQ$1006,0)))),"Fix")))</f>
        <v>#N/A</v>
      </c>
      <c r="T860" s="5" t="e">
        <f ca="1">IF(OR(INDEX($AI$2:$AI$1001,MATCH(ROWS($AH$2:AH860),$AH$2:$AH$1001,0),1)&gt;=100000,INDEX($AO$1005:$BQ$1005,1,MATCH(COLUMNS($AO$1006:BG1006),$AO$1006:$BQ$1006,0))&gt;=100000), " ",IF(INDEX($AO$2:$BQ$1001,MATCH(ROWS($AH$2:AH860),$AH$2:$AH$1001,0),MATCH(COLUMNS($AO$1006:BG1006),$AO$1006:$BQ$1006,0)), HYPERLINK("#",""), HYPERLINK(CONCATENATE("#Metadata!", ADDRESS(INDEX($AJ$2:$AJ$1001,MATCH(ROWS($AH$2:AH860),$AH$2:$AH$1001,0),0), INDEX($AO$1004:$BQ$1004,1,MATCH(COLUMNS($AO$1006:BG1006),$AO$1006:$BQ$1006,0)))),"Fix")))</f>
        <v>#N/A</v>
      </c>
      <c r="U860" s="5" t="e">
        <f ca="1">IF(OR(INDEX($AI$2:$AI$1001,MATCH(ROWS($AH$2:AH860),$AH$2:$AH$1001,0),1)&gt;=100000,INDEX($AO$1005:$BQ$1005,1,MATCH(COLUMNS($AO$1006:BH1006),$AO$1006:$BQ$1006,0))&gt;=100000), " ",IF(INDEX($AO$2:$BQ$1001,MATCH(ROWS($AH$2:AH860),$AH$2:$AH$1001,0),MATCH(COLUMNS($AO$1006:BH1006),$AO$1006:$BQ$1006,0)), HYPERLINK("#",""), HYPERLINK(CONCATENATE("#Metadata!", ADDRESS(INDEX($AJ$2:$AJ$1001,MATCH(ROWS($AH$2:AH860),$AH$2:$AH$1001,0),0), INDEX($AO$1004:$BQ$1004,1,MATCH(COLUMNS($AO$1006:BH1006),$AO$1006:$BQ$1006,0)))),"Fix")))</f>
        <v>#N/A</v>
      </c>
      <c r="V860" s="5" t="e">
        <f ca="1">IF(OR(INDEX($AI$2:$AI$1001,MATCH(ROWS($AH$2:AH860),$AH$2:$AH$1001,0),1)&gt;=100000,INDEX($AO$1005:$BQ$1005,1,MATCH(COLUMNS($AO$1006:BI1006),$AO$1006:$BQ$1006,0))&gt;=100000), " ",IF(INDEX($AO$2:$BQ$1001,MATCH(ROWS($AH$2:AH860),$AH$2:$AH$1001,0),MATCH(COLUMNS($AO$1006:BI1006),$AO$1006:$BQ$1006,0)), HYPERLINK("#",""), HYPERLINK(CONCATENATE("#Metadata!", ADDRESS(INDEX($AJ$2:$AJ$1001,MATCH(ROWS($AH$2:AH860),$AH$2:$AH$1001,0),0), INDEX($AO$1004:$BQ$1004,1,MATCH(COLUMNS($AO$1006:BI1006),$AO$1006:$BQ$1006,0)))),"Fix")))</f>
        <v>#N/A</v>
      </c>
      <c r="W860" s="5" t="e">
        <f ca="1">IF(OR(INDEX($AI$2:$AI$1001,MATCH(ROWS($AH$2:AH860),$AH$2:$AH$1001,0),1)&gt;=100000,INDEX($AO$1005:$BQ$1005,1,MATCH(COLUMNS($AO$1006:BJ1006),$AO$1006:$BQ$1006,0))&gt;=100000), " ",IF(INDEX($AO$2:$BQ$1001,MATCH(ROWS($AH$2:AH860),$AH$2:$AH$1001,0),MATCH(COLUMNS($AO$1006:BJ1006),$AO$1006:$BQ$1006,0)), HYPERLINK("#",""), HYPERLINK(CONCATENATE("#Metadata!", ADDRESS(INDEX($AJ$2:$AJ$1001,MATCH(ROWS($AH$2:AH860),$AH$2:$AH$1001,0),0), INDEX($AO$1004:$BQ$1004,1,MATCH(COLUMNS($AO$1006:BJ1006),$AO$1006:$BQ$1006,0)))),"Fix")))</f>
        <v>#N/A</v>
      </c>
      <c r="X860" s="5" t="e">
        <f ca="1">IF(OR(INDEX($AI$2:$AI$1001,MATCH(ROWS($AH$2:AH860),$AH$2:$AH$1001,0),1)&gt;=100000,INDEX($AO$1005:$BQ$1005,1,MATCH(COLUMNS($AO$1006:BK1006),$AO$1006:$BQ$1006,0))&gt;=100000), " ",IF(INDEX($AO$2:$BQ$1001,MATCH(ROWS($AH$2:AH860),$AH$2:$AH$1001,0),MATCH(COLUMNS($AO$1006:BK1006),$AO$1006:$BQ$1006,0)), HYPERLINK("#",""), HYPERLINK(CONCATENATE("#Metadata!", ADDRESS(INDEX($AJ$2:$AJ$1001,MATCH(ROWS($AH$2:AH860),$AH$2:$AH$1001,0),0), INDEX($AO$1004:$BQ$1004,1,MATCH(COLUMNS($AO$1006:BK1006),$AO$1006:$BQ$1006,0)))),"Fix")))</f>
        <v>#N/A</v>
      </c>
      <c r="Y860" s="5" t="e">
        <f ca="1">IF(OR(INDEX($AI$2:$AI$1001,MATCH(ROWS($AH$2:AH860),$AH$2:$AH$1001,0),1)&gt;=100000,INDEX($AO$1005:$BQ$1005,1,MATCH(COLUMNS($AO$1006:BL1006),$AO$1006:$BQ$1006,0))&gt;=100000), " ",IF(INDEX($AO$2:$BQ$1001,MATCH(ROWS($AH$2:AH860),$AH$2:$AH$1001,0),MATCH(COLUMNS($AO$1006:BL1006),$AO$1006:$BQ$1006,0)), HYPERLINK("#",""), HYPERLINK(CONCATENATE("#Metadata!", ADDRESS(INDEX($AJ$2:$AJ$1001,MATCH(ROWS($AH$2:AH860),$AH$2:$AH$1001,0),0), INDEX($AO$1004:$BQ$1004,1,MATCH(COLUMNS($AO$1006:BL1006),$AO$1006:$BQ$1006,0)))),"Fix")))</f>
        <v>#N/A</v>
      </c>
      <c r="Z860" s="5" t="e">
        <f ca="1">IF(OR(INDEX($AI$2:$AI$1001,MATCH(ROWS($AH$2:AH860),$AH$2:$AH$1001,0),1)&gt;=100000,INDEX($AO$1005:$BQ$1005,1,MATCH(COLUMNS($AO$1006:BM1006),$AO$1006:$BQ$1006,0))&gt;=100000), " ",IF(INDEX($AO$2:$BQ$1001,MATCH(ROWS($AH$2:AH860),$AH$2:$AH$1001,0),MATCH(COLUMNS($AO$1006:BM1006),$AO$1006:$BQ$1006,0)), HYPERLINK("#",""), HYPERLINK(CONCATENATE("#Metadata!", ADDRESS(INDEX($AJ$2:$AJ$1001,MATCH(ROWS($AH$2:AH860),$AH$2:$AH$1001,0),0), INDEX($AO$1004:$BQ$1004,1,MATCH(COLUMNS($AO$1006:BM1006),$AO$1006:$BQ$1006,0)))),"Fix")))</f>
        <v>#N/A</v>
      </c>
      <c r="AA860" s="5" t="e">
        <f ca="1">IF(OR(INDEX($AI$2:$AI$1001,MATCH(ROWS($AH$2:AH860),$AH$2:$AH$1001,0),1)&gt;=100000,INDEX($AO$1005:$BQ$1005,1,MATCH(COLUMNS($AO$1006:BN1006),$AO$1006:$BQ$1006,0))&gt;=100000), " ",IF(INDEX($AO$2:$BQ$1001,MATCH(ROWS($AH$2:AH860),$AH$2:$AH$1001,0),MATCH(COLUMNS($AO$1006:BN1006),$AO$1006:$BQ$1006,0)), HYPERLINK("#",""), HYPERLINK(CONCATENATE("#Metadata!", ADDRESS(INDEX($AJ$2:$AJ$1001,MATCH(ROWS($AH$2:AH860),$AH$2:$AH$1001,0),0), INDEX($AO$1004:$BQ$1004,1,MATCH(COLUMNS($AO$1006:BN1006),$AO$1006:$BQ$1006,0)))),"Fix")))</f>
        <v>#N/A</v>
      </c>
      <c r="AB860" s="5" t="e">
        <f ca="1">IF(OR(INDEX($AI$2:$AI$1001,MATCH(ROWS($AH$2:AH860),$AH$2:$AH$1001,0),1)&gt;=100000,INDEX($AO$1005:$BQ$1005,1,MATCH(COLUMNS($AO$1006:BO1006),$AO$1006:$BQ$1006,0))&gt;=100000), " ",IF(INDEX($AO$2:$BQ$1001,MATCH(ROWS($AH$2:AH860),$AH$2:$AH$1001,0),MATCH(COLUMNS($AO$1006:BO1006),$AO$1006:$BQ$1006,0)), HYPERLINK("#",""), HYPERLINK(CONCATENATE("#Metadata!", ADDRESS(INDEX($AJ$2:$AJ$1001,MATCH(ROWS($AH$2:AH860),$AH$2:$AH$1001,0),0), INDEX($AO$1004:$BQ$1004,1,MATCH(COLUMNS($AO$1006:BO1006),$AO$1006:$BQ$1006,0)))),"Fix")))</f>
        <v>#N/A</v>
      </c>
      <c r="AC860" s="5" t="e">
        <f ca="1">IF(OR(INDEX($AI$2:$AI$1001,MATCH(ROWS($AH$2:AH860),$AH$2:$AH$1001,0),1)&gt;=100000,INDEX($AO$1005:$BQ$1005,1,MATCH(COLUMNS($AO$1006:BP1006),$AO$1006:$BQ$1006,0))&gt;=100000), " ",IF(INDEX($AO$2:$BQ$1001,MATCH(ROWS($AH$2:AH860),$AH$2:$AH$1001,0),MATCH(COLUMNS($AO$1006:BP1006),$AO$1006:$BQ$1006,0)), HYPERLINK("#",""), HYPERLINK(CONCATENATE("#Metadata!", ADDRESS(INDEX($AJ$2:$AJ$1001,MATCH(ROWS($AH$2:AH860),$AH$2:$AH$1001,0),0), INDEX($AO$1004:$BQ$1004,1,MATCH(COLUMNS($AO$1006:BP1006),$AO$1006:$BQ$1006,0)))),"Fix")))</f>
        <v>#N/A</v>
      </c>
      <c r="AD860" s="5" t="e">
        <f ca="1">IF(OR(INDEX($AI$2:$AI$1001,MATCH(ROWS($AH$2:AH860),$AH$2:$AH$1001,0),1)&gt;=100000,INDEX($AO$1005:$BQ$1005,1,MATCH(COLUMNS($AO$1006:BQ1006),$AO$1006:$BQ$1006,0))&gt;=100000), " ",IF(INDEX($AO$2:$BQ$1001,MATCH(ROWS($AH$2:AH860),$AH$2:$AH$1001,0),MATCH(COLUMNS($AO$1006:BQ1006),$AO$1006:$BQ$1006,0)), HYPERLINK("#",""), HYPERLINK(CONCATENATE("#Metadata!", ADDRESS(INDEX($AJ$2:$AJ$1001,MATCH(ROWS($AH$2:AH860),$AH$2:$AH$1001,0),0), INDEX($AO$1004:$BQ$1004,1,MATCH(COLUMNS($AO$1006:BQ1006),$AO$1006:$BQ$1006,0)))),"Fix")))</f>
        <v>#REF!</v>
      </c>
      <c r="AH860">
        <f ca="1"/>
        <v>857</v>
      </c>
      <c r="AI860">
        <v>100860</v>
      </c>
      <c r="AJ860">
        <v>860</v>
      </c>
      <c r="AK860" t="b">
        <f t="shared" si="13"/>
        <v>1</v>
      </c>
      <c r="AL860" t="b">
        <f>COUNTBLANK(Metadata!B860:AD860)=COLUMNS(Metadata!B860:AD860)</f>
        <v>1</v>
      </c>
      <c r="AM860" t="str">
        <v/>
      </c>
      <c r="AO860" t="b">
        <f ca="1">AND(IF(Metadata!B860="",FALSE,TRUE),COUNTIF(Metadata!B:B, Metadata!B860) = 1,NOT(ISERROR(SUMPRODUCT(SEARCH(MID(Metadata!B860,ROW(INDIRECT("1:"&amp;LEN(Metadata!B860))), 1),"0123456789abcdefghijklmnopqrstuvwxyzABCDEFGHIJKLMNOPQRSTUVWXYZ.")))))</f>
        <v>0</v>
      </c>
      <c r="AP860" t="b">
        <f>IF(Metadata!C860="",FALSE,TRUE)</f>
        <v>0</v>
      </c>
      <c r="AQ860" t="b">
        <f>IF(Metadata!D860="",FALSE,TRUE)</f>
        <v>0</v>
      </c>
      <c r="AR860" t="b">
        <f ca="1">OR(AND(IF(Metadata!E860="",FALSE,TRUE),OR(EXACT(Metadata!E860,"not collected"),EXACT(Metadata!E860,"not provided"),EXACT(Metadata!E860,"restricted access"))),AND(IF(Metadata!E860="",FALSE,TRUE),AND(AND(IFERROR(INT(LEFT(Metadata!E860,4))&gt;1900,FALSE),IFERROR(INT(LEFT(Metadata!E860,4))&lt;=YEAR(NOW()),FALSE)), OR(MID(Metadata!E860,5,1)="", AND(AND(MID(Metadata!E860,5,1)="-",IFERROR(INT(MID(Metadata!E860,6,1))&gt;=0,FALSE),IFERROR(INT(MID(Metadata!E860,6,1))&lt;=1,FALSE),NOT(MID(Metadata!E860,7,1)=""),IFERROR(INT(MID(Metadata!E860,6,2))&gt;=1,FALSE),IFERROR(INT(MID(Metadata!E860,6,2))&lt;=12,FALSE)), OR(MID(Metadata!E860,8,1)="", AND(AND(MID(Metadata!E860,8,1)="-",IFERROR(INT(MID(Metadata!E860,9,1))&gt;=0,FALSE),IFERROR(INT(MID(Metadata!E860,9,1))&lt;=3,FALSE),NOT(MID(Metadata!E860,10,1)=""),IFERROR(INT(MID(Metadata!E860,9,2))&gt;=1,FALSE),IFERROR(INT(MID(Metadata!E860,9,2))&lt;=31,FALSE)), OR(MID(Metadata!E860,11,1)="", AND(AND(MID(Metadata!E860,11,1)=" ",IFERROR(INT(MID(Metadata!E860,12,1))&gt;=0,FALSE),IFERROR(INT(MID(Metadata!E860,12,1))&lt;=2,FALSE),NOT(MID(Metadata!E860,13,1)=""),IFERROR(INT(MID(Metadata!E860,12,2))&gt;=0,FALSE),IFERROR(INT(MID(Metadata!E860,12,2))&lt;=23,FALSE)), OR(MID(Metadata!E860,14,1)="", AND(AND(MID(Metadata!E860,14,1)=":",IFERROR(INT(MID(Metadata!E860,15,1))&gt;=0,FALSE),IFERROR(INT(MID(Metadata!E860,15,1))&lt;=5,FALSE),NOT(MID(Metadata!E860,16,1)=""),IFERROR(INT(MID(Metadata!E860,15,2))&gt;=0,FALSE),IFERROR(INT(MID(Metadata!E860,15,2))&lt;=59,FALSE)), OR(MID(Metadata!E860,17,1)="", AND(AND(MID(Metadata!E860,17,1)=":",IFERROR(INT(MID(Metadata!E860,18,1))&gt;=0,FALSE),IFERROR(INT(MID(Metadata!E860,18,1))&lt;=5,FALSE),NOT(MID(Metadata!E860,19,1)=""),IFERROR(INT(MID(Metadata!E860,18,2))&gt;=0,FALSE),IFERROR(INT(MID(Metadata!E860,18,2))&lt;=59,FALSE)), LEN(Metadata!E860)&lt;=19)))))))))))))</f>
        <v>0</v>
      </c>
      <c r="AS860" t="b">
        <f>IF(Metadata!F860="",FALSE,TRUE)</f>
        <v>0</v>
      </c>
      <c r="AT860" t="b">
        <f>OR(AND(IF(Metadata!G860="",FALSE,TRUE),OR(EXACT(Metadata!G860,"not collected"),EXACT(Metadata!G860,"not provided"))),AND(IF(Metadata!G860="",FALSE,TRUE),OR(EXACT(Metadata!G860,"TRUE"),EXACT(Metadata!G860,"FALSE"))))</f>
        <v>0</v>
      </c>
      <c r="AU860" t="b">
        <f>OR(AND(IF(Metadata!H860="",FALSE,TRUE),OR(EXACT(Metadata!H860,"not collected"),EXACT(Metadata!H860,"not provided"),EXACT(Metadata!H860,"restricted access"))),AND(IF(Metadata!H860="",FALSE,ISNUMBER(VALUE(Metadata!H860))),Metadata!H860&gt;=-413))</f>
        <v>0</v>
      </c>
      <c r="AV860" t="b">
        <f>AND(IF(Metadata!I860="",FALSE,TRUE),EXACT(Metadata!I860,"meters"))</f>
        <v>0</v>
      </c>
      <c r="AW860" t="b">
        <f>AND(IF(Metadata!J860="",FALSE,TRUE),EXACT(Metadata!J860,"free-living"))</f>
        <v>0</v>
      </c>
      <c r="AX860" t="b">
        <f>AND(IF(Metadata!K860="",FALSE,TRUE),OR(EXACT(Metadata!K860,"saline"),EXACT(Metadata!K860,"non-saline")))</f>
        <v>0</v>
      </c>
      <c r="AY860" t="b">
        <f>AND(IF(Metadata!L860="",FALSE,TRUE),OR(EXACT(Metadata!L860,"sub-surface (non-saline)"),EXACT(Metadata!L860,"surface (non-saline)"),EXACT(Metadata!L860,"water (non-saline)"),EXACT(Metadata!L860,"soil (non-saline)"),EXACT(Metadata!L860,"aerosol (non-saline)"),EXACT(Metadata!L860,"sediment (non-saline)"),EXACT(Metadata!L860,"surface (saline)"),EXACT(Metadata!L860,"water (saline)"),EXACT(Metadata!L860,"hypersaline (saline)"),EXACT(Metadata!L860,"aerosol (saline)"),EXACT(Metadata!L860,"sediment (saline)")))</f>
        <v>0</v>
      </c>
      <c r="AZ860" t="b">
        <f>IF(Metadata!M860="",FALSE,TRUE)</f>
        <v>0</v>
      </c>
      <c r="BA860" t="b">
        <f>IF(Metadata!N860="",FALSE,TRUE)</f>
        <v>0</v>
      </c>
      <c r="BB860" t="b">
        <f>IF(Metadata!O860="",FALSE,TRUE)</f>
        <v>0</v>
      </c>
      <c r="BC860" t="b">
        <f>AND(IF(Metadata!P860="",FALSE,TRUE),OR(EXACT(Metadata!P860,"air"),EXACT(Metadata!P860,"microbial mat/biofilm"),EXACT(Metadata!P860,"misc environment"),EXACT(Metadata!P860,"sediment"),EXACT(Metadata!P860,"soil"),EXACT(Metadata!P860,"wastewater/sludge"),EXACT(Metadata!P860,"water")))</f>
        <v>0</v>
      </c>
      <c r="BD860" t="b">
        <f>IF(Metadata!Q860="",FALSE,TRUE)</f>
        <v>0</v>
      </c>
      <c r="BE860" t="b">
        <f>IF(Metadata!R860="",FALSE,TRUE)</f>
        <v>0</v>
      </c>
      <c r="BF860" t="b">
        <f>OR(AND(IF(Metadata!S860="",FALSE,TRUE),OR(EXACT(Metadata!S860,"not collected"),EXACT(Metadata!S860,"not provided"),EXACT(Metadata!S860,"restricted access"))),AND(IF(Metadata!S860="",FALSE,ISNUMBER(VALUE(Metadata!S860))),Metadata!S860&gt;=-90,Metadata!S860&lt;=90))</f>
        <v>0</v>
      </c>
      <c r="BG860" t="b">
        <f>AND(IF(Metadata!T860="",FALSE,TRUE),EXACT(Metadata!T860,"Decimal degrees"))</f>
        <v>0</v>
      </c>
      <c r="BH860" t="b">
        <f>OR(AND(IF(Metadata!U860="",FALSE,TRUE),OR(EXACT(Metadata!U860,"not applicable"),EXACT(Metadata!U860,"not collected"))),IF(Metadata!U860="",FALSE,TRUE))</f>
        <v>0</v>
      </c>
      <c r="BI860" t="b">
        <f>OR(AND(IF(Metadata!V860="",FALSE,TRUE),OR(EXACT(Metadata!V860,"not collected"),EXACT(Metadata!V860,"not provided"),EXACT(Metadata!V860,"restricted access"))),AND(IF(Metadata!V860="",FALSE,ISNUMBER(VALUE(Metadata!V860))),Metadata!V860&gt;=-180,Metadata!V860&lt;=180))</f>
        <v>0</v>
      </c>
      <c r="BJ860" t="b">
        <f>AND(IF(Metadata!W860="",FALSE,TRUE),EXACT(Metadata!W860,"Decimal degrees"))</f>
        <v>0</v>
      </c>
      <c r="BK860" t="b">
        <f>IF(Metadata!X860="",FALSE,TRUE)</f>
        <v>0</v>
      </c>
      <c r="BL860" t="b">
        <f>OR(AND(IF(Metadata!Y860="",FALSE,TRUE),OR(EXACT(Metadata!Y860,"not collected"),EXACT(Metadata!Y860,"not provided"),EXACT(Metadata!Y860,"restricted access"))),AND(IF(Metadata!Y860="",FALSE,TRUE),OR(EXACT(Metadata!Y860,"TRUE"),EXACT(Metadata!Y860,"FALSE"))))</f>
        <v>0</v>
      </c>
      <c r="BM860" t="b">
        <f>OR(AND(IF(Metadata!Z860="",FALSE,TRUE),EXACT(Metadata!Z860,"not applicable")),AND(IF(Metadata!Z860="",FALSE,TRUE),OR(EXACT(Metadata!Z860,"beer"),EXACT(Metadata!Z860,"cheese"),EXACT(Metadata!Z860,"fresh water"),EXACT(Metadata!Z860,"marine sediment"),EXACT(Metadata!Z860,"sea water"),EXACT(Metadata!Z860,"sediment"),EXACT(Metadata!Z860,"soil"),EXACT(Metadata!Z860,"waste water"))))</f>
        <v>0</v>
      </c>
      <c r="BN860" t="b">
        <f>AND(IF(Metadata!AA860="",FALSE,TRUE),EXACT(Metadata!AA860,"metagenome"))</f>
        <v>0</v>
      </c>
      <c r="BO860" t="b">
        <f>AND(IF(Metadata!AB860="",FALSE,TRUE),EXACT(Metadata!AB860,"256318"))</f>
        <v>0</v>
      </c>
      <c r="BP860" t="b">
        <f>IF(Metadata!AC860="",FALSE,TRUE)</f>
        <v>0</v>
      </c>
      <c r="BQ860" t="b">
        <f>IF(Metadata!AD860="",FALSE,TRUE)</f>
        <v>0</v>
      </c>
    </row>
    <row r="861" spans="1:69" x14ac:dyDescent="0.2">
      <c r="A861" s="4" t="e">
        <f ca="1">IF(B861=" "," ",HYPERLINK(CONCATENATE("#metadata!",ADDRESS(INDEX($AJ$2:$AJ$1001,MATCH(ROWS($AH$2:AH861),$AH$2:$AH$1001,0),0),2)),INDEX($AM$2:$AM$1001,MATCH(ROWS($AH$2:AH861),$AH$2:$AH$1001,0),0)))</f>
        <v>#N/A</v>
      </c>
      <c r="B861" s="5" t="e">
        <f ca="1">IF(OR(INDEX($AI$2:$AI$1001,MATCH(ROWS($AH$2:AH861),$AH$2:$AH$1001,0),1)&gt;=100000,INDEX($AO$1005:$BQ$1005,1,MATCH(COLUMNS($AO$1006:AO1006),$AO$1006:$BQ$1006,0))&gt;=100000), " ",IF(INDEX($AO$2:$BQ$1001,MATCH(ROWS($AH$2:AH861),$AH$2:$AH$1001,0),MATCH(COLUMNS($AO$1006:AO1006),$AO$1006:$BQ$1006,0)), HYPERLINK("#",""), HYPERLINK(CONCATENATE("#Metadata!", ADDRESS(INDEX($AJ$2:$AJ$1001,MATCH(ROWS($AH$2:AH861),$AH$2:$AH$1001,0),0), INDEX($AO$1004:$BQ$1004,1,MATCH(COLUMNS($AO$1006:AO1006),$AO$1006:$BQ$1006,0)))),"Fix")))</f>
        <v>#N/A</v>
      </c>
      <c r="C861" s="5" t="e">
        <f ca="1">IF(OR(INDEX($AI$2:$AI$1001,MATCH(ROWS($AH$2:AH861),$AH$2:$AH$1001,0),1)&gt;=100000,INDEX($AO$1005:$BQ$1005,1,MATCH(COLUMNS($AO$1006:AP1006),$AO$1006:$BQ$1006,0))&gt;=100000), " ",IF(INDEX($AO$2:$BQ$1001,MATCH(ROWS($AH$2:AH861),$AH$2:$AH$1001,0),MATCH(COLUMNS($AO$1006:AP1006),$AO$1006:$BQ$1006,0)), HYPERLINK("#",""), HYPERLINK(CONCATENATE("#Metadata!", ADDRESS(INDEX($AJ$2:$AJ$1001,MATCH(ROWS($AH$2:AH861),$AH$2:$AH$1001,0),0), INDEX($AO$1004:$BQ$1004,1,MATCH(COLUMNS($AO$1006:AP1006),$AO$1006:$BQ$1006,0)))),"Fix")))</f>
        <v>#N/A</v>
      </c>
      <c r="D861" s="5" t="e">
        <f ca="1">IF(OR(INDEX($AI$2:$AI$1001,MATCH(ROWS($AH$2:AH861),$AH$2:$AH$1001,0),1)&gt;=100000,INDEX($AO$1005:$BQ$1005,1,MATCH(COLUMNS($AO$1006:AQ1006),$AO$1006:$BQ$1006,0))&gt;=100000), " ",IF(INDEX($AO$2:$BQ$1001,MATCH(ROWS($AH$2:AH861),$AH$2:$AH$1001,0),MATCH(COLUMNS($AO$1006:AQ1006),$AO$1006:$BQ$1006,0)), HYPERLINK("#",""), HYPERLINK(CONCATENATE("#Metadata!", ADDRESS(INDEX($AJ$2:$AJ$1001,MATCH(ROWS($AH$2:AH861),$AH$2:$AH$1001,0),0), INDEX($AO$1004:$BQ$1004,1,MATCH(COLUMNS($AO$1006:AQ1006),$AO$1006:$BQ$1006,0)))),"Fix")))</f>
        <v>#N/A</v>
      </c>
      <c r="E861" s="5" t="e">
        <f ca="1">IF(OR(INDEX($AI$2:$AI$1001,MATCH(ROWS($AH$2:AH861),$AH$2:$AH$1001,0),1)&gt;=100000,INDEX($AO$1005:$BQ$1005,1,MATCH(COLUMNS($AO$1006:AR1006),$AO$1006:$BQ$1006,0))&gt;=100000), " ",IF(INDEX($AO$2:$BQ$1001,MATCH(ROWS($AH$2:AH861),$AH$2:$AH$1001,0),MATCH(COLUMNS($AO$1006:AR1006),$AO$1006:$BQ$1006,0)), HYPERLINK("#",""), HYPERLINK(CONCATENATE("#Metadata!", ADDRESS(INDEX($AJ$2:$AJ$1001,MATCH(ROWS($AH$2:AH861),$AH$2:$AH$1001,0),0), INDEX($AO$1004:$BQ$1004,1,MATCH(COLUMNS($AO$1006:AR1006),$AO$1006:$BQ$1006,0)))),"Fix")))</f>
        <v>#N/A</v>
      </c>
      <c r="F861" s="5" t="e">
        <f ca="1">IF(OR(INDEX($AI$2:$AI$1001,MATCH(ROWS($AH$2:AH861),$AH$2:$AH$1001,0),1)&gt;=100000,INDEX($AO$1005:$BQ$1005,1,MATCH(COLUMNS($AO$1006:AS1006),$AO$1006:$BQ$1006,0))&gt;=100000), " ",IF(INDEX($AO$2:$BQ$1001,MATCH(ROWS($AH$2:AH861),$AH$2:$AH$1001,0),MATCH(COLUMNS($AO$1006:AS1006),$AO$1006:$BQ$1006,0)), HYPERLINK("#",""), HYPERLINK(CONCATENATE("#Metadata!", ADDRESS(INDEX($AJ$2:$AJ$1001,MATCH(ROWS($AH$2:AH861),$AH$2:$AH$1001,0),0), INDEX($AO$1004:$BQ$1004,1,MATCH(COLUMNS($AO$1006:AS1006),$AO$1006:$BQ$1006,0)))),"Fix")))</f>
        <v>#N/A</v>
      </c>
      <c r="G861" s="5" t="e">
        <f ca="1">IF(OR(INDEX($AI$2:$AI$1001,MATCH(ROWS($AH$2:AH861),$AH$2:$AH$1001,0),1)&gt;=100000,INDEX($AO$1005:$BQ$1005,1,MATCH(COLUMNS($AO$1006:AT1006),$AO$1006:$BQ$1006,0))&gt;=100000), " ",IF(INDEX($AO$2:$BQ$1001,MATCH(ROWS($AH$2:AH861),$AH$2:$AH$1001,0),MATCH(COLUMNS($AO$1006:AT1006),$AO$1006:$BQ$1006,0)), HYPERLINK("#",""), HYPERLINK(CONCATENATE("#Metadata!", ADDRESS(INDEX($AJ$2:$AJ$1001,MATCH(ROWS($AH$2:AH861),$AH$2:$AH$1001,0),0), INDEX($AO$1004:$BQ$1004,1,MATCH(COLUMNS($AO$1006:AT1006),$AO$1006:$BQ$1006,0)))),"Fix")))</f>
        <v>#N/A</v>
      </c>
      <c r="H861" s="5" t="e">
        <f ca="1">IF(OR(INDEX($AI$2:$AI$1001,MATCH(ROWS($AH$2:AH861),$AH$2:$AH$1001,0),1)&gt;=100000,INDEX($AO$1005:$BQ$1005,1,MATCH(COLUMNS($AO$1006:AU1006),$AO$1006:$BQ$1006,0))&gt;=100000), " ",IF(INDEX($AO$2:$BQ$1001,MATCH(ROWS($AH$2:AH861),$AH$2:$AH$1001,0),MATCH(COLUMNS($AO$1006:AU1006),$AO$1006:$BQ$1006,0)), HYPERLINK("#",""), HYPERLINK(CONCATENATE("#Metadata!", ADDRESS(INDEX($AJ$2:$AJ$1001,MATCH(ROWS($AH$2:AH861),$AH$2:$AH$1001,0),0), INDEX($AO$1004:$BQ$1004,1,MATCH(COLUMNS($AO$1006:AU1006),$AO$1006:$BQ$1006,0)))),"Fix")))</f>
        <v>#N/A</v>
      </c>
      <c r="I861" s="5" t="e">
        <f ca="1">IF(OR(INDEX($AI$2:$AI$1001,MATCH(ROWS($AH$2:AH861),$AH$2:$AH$1001,0),1)&gt;=100000,INDEX($AO$1005:$BQ$1005,1,MATCH(COLUMNS($AO$1006:AV1006),$AO$1006:$BQ$1006,0))&gt;=100000), " ",IF(INDEX($AO$2:$BQ$1001,MATCH(ROWS($AH$2:AH861),$AH$2:$AH$1001,0),MATCH(COLUMNS($AO$1006:AV1006),$AO$1006:$BQ$1006,0)), HYPERLINK("#",""), HYPERLINK(CONCATENATE("#Metadata!", ADDRESS(INDEX($AJ$2:$AJ$1001,MATCH(ROWS($AH$2:AH861),$AH$2:$AH$1001,0),0), INDEX($AO$1004:$BQ$1004,1,MATCH(COLUMNS($AO$1006:AV1006),$AO$1006:$BQ$1006,0)))),"Fix")))</f>
        <v>#N/A</v>
      </c>
      <c r="J861" s="5" t="e">
        <f ca="1">IF(OR(INDEX($AI$2:$AI$1001,MATCH(ROWS($AH$2:AH861),$AH$2:$AH$1001,0),1)&gt;=100000,INDEX($AO$1005:$BQ$1005,1,MATCH(COLUMNS($AO$1006:AW1006),$AO$1006:$BQ$1006,0))&gt;=100000), " ",IF(INDEX($AO$2:$BQ$1001,MATCH(ROWS($AH$2:AH861),$AH$2:$AH$1001,0),MATCH(COLUMNS($AO$1006:AW1006),$AO$1006:$BQ$1006,0)), HYPERLINK("#",""), HYPERLINK(CONCATENATE("#Metadata!", ADDRESS(INDEX($AJ$2:$AJ$1001,MATCH(ROWS($AH$2:AH861),$AH$2:$AH$1001,0),0), INDEX($AO$1004:$BQ$1004,1,MATCH(COLUMNS($AO$1006:AW1006),$AO$1006:$BQ$1006,0)))),"Fix")))</f>
        <v>#N/A</v>
      </c>
      <c r="K861" s="5" t="e">
        <f ca="1">IF(OR(INDEX($AI$2:$AI$1001,MATCH(ROWS($AH$2:AH861),$AH$2:$AH$1001,0),1)&gt;=100000,INDEX($AO$1005:$BQ$1005,1,MATCH(COLUMNS($AO$1006:AX1006),$AO$1006:$BQ$1006,0))&gt;=100000), " ",IF(INDEX($AO$2:$BQ$1001,MATCH(ROWS($AH$2:AH861),$AH$2:$AH$1001,0),MATCH(COLUMNS($AO$1006:AX1006),$AO$1006:$BQ$1006,0)), HYPERLINK("#",""), HYPERLINK(CONCATENATE("#Metadata!", ADDRESS(INDEX($AJ$2:$AJ$1001,MATCH(ROWS($AH$2:AH861),$AH$2:$AH$1001,0),0), INDEX($AO$1004:$BQ$1004,1,MATCH(COLUMNS($AO$1006:AX1006),$AO$1006:$BQ$1006,0)))),"Fix")))</f>
        <v>#N/A</v>
      </c>
      <c r="L861" s="5" t="e">
        <f ca="1">IF(OR(INDEX($AI$2:$AI$1001,MATCH(ROWS($AH$2:AH861),$AH$2:$AH$1001,0),1)&gt;=100000,INDEX($AO$1005:$BQ$1005,1,MATCH(COLUMNS($AO$1006:AY1006),$AO$1006:$BQ$1006,0))&gt;=100000), " ",IF(INDEX($AO$2:$BQ$1001,MATCH(ROWS($AH$2:AH861),$AH$2:$AH$1001,0),MATCH(COLUMNS($AO$1006:AY1006),$AO$1006:$BQ$1006,0)), HYPERLINK("#",""), HYPERLINK(CONCATENATE("#Metadata!", ADDRESS(INDEX($AJ$2:$AJ$1001,MATCH(ROWS($AH$2:AH861),$AH$2:$AH$1001,0),0), INDEX($AO$1004:$BQ$1004,1,MATCH(COLUMNS($AO$1006:AY1006),$AO$1006:$BQ$1006,0)))),"Fix")))</f>
        <v>#N/A</v>
      </c>
      <c r="M861" s="5" t="e">
        <f ca="1">IF(OR(INDEX($AI$2:$AI$1001,MATCH(ROWS($AH$2:AH861),$AH$2:$AH$1001,0),1)&gt;=100000,INDEX($AO$1005:$BQ$1005,1,MATCH(COLUMNS($AO$1006:AZ1006),$AO$1006:$BQ$1006,0))&gt;=100000), " ",IF(INDEX($AO$2:$BQ$1001,MATCH(ROWS($AH$2:AH861),$AH$2:$AH$1001,0),MATCH(COLUMNS($AO$1006:AZ1006),$AO$1006:$BQ$1006,0)), HYPERLINK("#",""), HYPERLINK(CONCATENATE("#Metadata!", ADDRESS(INDEX($AJ$2:$AJ$1001,MATCH(ROWS($AH$2:AH861),$AH$2:$AH$1001,0),0), INDEX($AO$1004:$BQ$1004,1,MATCH(COLUMNS($AO$1006:AZ1006),$AO$1006:$BQ$1006,0)))),"Fix")))</f>
        <v>#N/A</v>
      </c>
      <c r="N861" s="5" t="e">
        <f ca="1">IF(OR(INDEX($AI$2:$AI$1001,MATCH(ROWS($AH$2:AH861),$AH$2:$AH$1001,0),1)&gt;=100000,INDEX($AO$1005:$BQ$1005,1,MATCH(COLUMNS($AO$1006:BA1006),$AO$1006:$BQ$1006,0))&gt;=100000), " ",IF(INDEX($AO$2:$BQ$1001,MATCH(ROWS($AH$2:AH861),$AH$2:$AH$1001,0),MATCH(COLUMNS($AO$1006:BA1006),$AO$1006:$BQ$1006,0)), HYPERLINK("#",""), HYPERLINK(CONCATENATE("#Metadata!", ADDRESS(INDEX($AJ$2:$AJ$1001,MATCH(ROWS($AH$2:AH861),$AH$2:$AH$1001,0),0), INDEX($AO$1004:$BQ$1004,1,MATCH(COLUMNS($AO$1006:BA1006),$AO$1006:$BQ$1006,0)))),"Fix")))</f>
        <v>#N/A</v>
      </c>
      <c r="O861" s="5" t="e">
        <f ca="1">IF(OR(INDEX($AI$2:$AI$1001,MATCH(ROWS($AH$2:AH861),$AH$2:$AH$1001,0),1)&gt;=100000,INDEX($AO$1005:$BQ$1005,1,MATCH(COLUMNS($AO$1006:BB1006),$AO$1006:$BQ$1006,0))&gt;=100000), " ",IF(INDEX($AO$2:$BQ$1001,MATCH(ROWS($AH$2:AH861),$AH$2:$AH$1001,0),MATCH(COLUMNS($AO$1006:BB1006),$AO$1006:$BQ$1006,0)), HYPERLINK("#",""), HYPERLINK(CONCATENATE("#Metadata!", ADDRESS(INDEX($AJ$2:$AJ$1001,MATCH(ROWS($AH$2:AH861),$AH$2:$AH$1001,0),0), INDEX($AO$1004:$BQ$1004,1,MATCH(COLUMNS($AO$1006:BB1006),$AO$1006:$BQ$1006,0)))),"Fix")))</f>
        <v>#N/A</v>
      </c>
      <c r="P861" s="5" t="e">
        <f ca="1">IF(OR(INDEX($AI$2:$AI$1001,MATCH(ROWS($AH$2:AH861),$AH$2:$AH$1001,0),1)&gt;=100000,INDEX($AO$1005:$BQ$1005,1,MATCH(COLUMNS($AO$1006:BC1006),$AO$1006:$BQ$1006,0))&gt;=100000), " ",IF(INDEX($AO$2:$BQ$1001,MATCH(ROWS($AH$2:AH861),$AH$2:$AH$1001,0),MATCH(COLUMNS($AO$1006:BC1006),$AO$1006:$BQ$1006,0)), HYPERLINK("#",""), HYPERLINK(CONCATENATE("#Metadata!", ADDRESS(INDEX($AJ$2:$AJ$1001,MATCH(ROWS($AH$2:AH861),$AH$2:$AH$1001,0),0), INDEX($AO$1004:$BQ$1004,1,MATCH(COLUMNS($AO$1006:BC1006),$AO$1006:$BQ$1006,0)))),"Fix")))</f>
        <v>#N/A</v>
      </c>
      <c r="Q861" s="5" t="e">
        <f ca="1">IF(OR(INDEX($AI$2:$AI$1001,MATCH(ROWS($AH$2:AH861),$AH$2:$AH$1001,0),1)&gt;=100000,INDEX($AO$1005:$BQ$1005,1,MATCH(COLUMNS($AO$1006:BD1006),$AO$1006:$BQ$1006,0))&gt;=100000), " ",IF(INDEX($AO$2:$BQ$1001,MATCH(ROWS($AH$2:AH861),$AH$2:$AH$1001,0),MATCH(COLUMNS($AO$1006:BD1006),$AO$1006:$BQ$1006,0)), HYPERLINK("#",""), HYPERLINK(CONCATENATE("#Metadata!", ADDRESS(INDEX($AJ$2:$AJ$1001,MATCH(ROWS($AH$2:AH861),$AH$2:$AH$1001,0),0), INDEX($AO$1004:$BQ$1004,1,MATCH(COLUMNS($AO$1006:BD1006),$AO$1006:$BQ$1006,0)))),"Fix")))</f>
        <v>#N/A</v>
      </c>
      <c r="R861" s="5" t="e">
        <f ca="1">IF(OR(INDEX($AI$2:$AI$1001,MATCH(ROWS($AH$2:AH861),$AH$2:$AH$1001,0),1)&gt;=100000,INDEX($AO$1005:$BQ$1005,1,MATCH(COLUMNS($AO$1006:BE1006),$AO$1006:$BQ$1006,0))&gt;=100000), " ",IF(INDEX($AO$2:$BQ$1001,MATCH(ROWS($AH$2:AH861),$AH$2:$AH$1001,0),MATCH(COLUMNS($AO$1006:BE1006),$AO$1006:$BQ$1006,0)), HYPERLINK("#",""), HYPERLINK(CONCATENATE("#Metadata!", ADDRESS(INDEX($AJ$2:$AJ$1001,MATCH(ROWS($AH$2:AH861),$AH$2:$AH$1001,0),0), INDEX($AO$1004:$BQ$1004,1,MATCH(COLUMNS($AO$1006:BE1006),$AO$1006:$BQ$1006,0)))),"Fix")))</f>
        <v>#N/A</v>
      </c>
      <c r="S861" s="5" t="e">
        <f ca="1">IF(OR(INDEX($AI$2:$AI$1001,MATCH(ROWS($AH$2:AH861),$AH$2:$AH$1001,0),1)&gt;=100000,INDEX($AO$1005:$BQ$1005,1,MATCH(COLUMNS($AO$1006:BF1006),$AO$1006:$BQ$1006,0))&gt;=100000), " ",IF(INDEX($AO$2:$BQ$1001,MATCH(ROWS($AH$2:AH861),$AH$2:$AH$1001,0),MATCH(COLUMNS($AO$1006:BF1006),$AO$1006:$BQ$1006,0)), HYPERLINK("#",""), HYPERLINK(CONCATENATE("#Metadata!", ADDRESS(INDEX($AJ$2:$AJ$1001,MATCH(ROWS($AH$2:AH861),$AH$2:$AH$1001,0),0), INDEX($AO$1004:$BQ$1004,1,MATCH(COLUMNS($AO$1006:BF1006),$AO$1006:$BQ$1006,0)))),"Fix")))</f>
        <v>#N/A</v>
      </c>
      <c r="T861" s="5" t="e">
        <f ca="1">IF(OR(INDEX($AI$2:$AI$1001,MATCH(ROWS($AH$2:AH861),$AH$2:$AH$1001,0),1)&gt;=100000,INDEX($AO$1005:$BQ$1005,1,MATCH(COLUMNS($AO$1006:BG1006),$AO$1006:$BQ$1006,0))&gt;=100000), " ",IF(INDEX($AO$2:$BQ$1001,MATCH(ROWS($AH$2:AH861),$AH$2:$AH$1001,0),MATCH(COLUMNS($AO$1006:BG1006),$AO$1006:$BQ$1006,0)), HYPERLINK("#",""), HYPERLINK(CONCATENATE("#Metadata!", ADDRESS(INDEX($AJ$2:$AJ$1001,MATCH(ROWS($AH$2:AH861),$AH$2:$AH$1001,0),0), INDEX($AO$1004:$BQ$1004,1,MATCH(COLUMNS($AO$1006:BG1006),$AO$1006:$BQ$1006,0)))),"Fix")))</f>
        <v>#N/A</v>
      </c>
      <c r="U861" s="5" t="e">
        <f ca="1">IF(OR(INDEX($AI$2:$AI$1001,MATCH(ROWS($AH$2:AH861),$AH$2:$AH$1001,0),1)&gt;=100000,INDEX($AO$1005:$BQ$1005,1,MATCH(COLUMNS($AO$1006:BH1006),$AO$1006:$BQ$1006,0))&gt;=100000), " ",IF(INDEX($AO$2:$BQ$1001,MATCH(ROWS($AH$2:AH861),$AH$2:$AH$1001,0),MATCH(COLUMNS($AO$1006:BH1006),$AO$1006:$BQ$1006,0)), HYPERLINK("#",""), HYPERLINK(CONCATENATE("#Metadata!", ADDRESS(INDEX($AJ$2:$AJ$1001,MATCH(ROWS($AH$2:AH861),$AH$2:$AH$1001,0),0), INDEX($AO$1004:$BQ$1004,1,MATCH(COLUMNS($AO$1006:BH1006),$AO$1006:$BQ$1006,0)))),"Fix")))</f>
        <v>#N/A</v>
      </c>
      <c r="V861" s="5" t="e">
        <f ca="1">IF(OR(INDEX($AI$2:$AI$1001,MATCH(ROWS($AH$2:AH861),$AH$2:$AH$1001,0),1)&gt;=100000,INDEX($AO$1005:$BQ$1005,1,MATCH(COLUMNS($AO$1006:BI1006),$AO$1006:$BQ$1006,0))&gt;=100000), " ",IF(INDEX($AO$2:$BQ$1001,MATCH(ROWS($AH$2:AH861),$AH$2:$AH$1001,0),MATCH(COLUMNS($AO$1006:BI1006),$AO$1006:$BQ$1006,0)), HYPERLINK("#",""), HYPERLINK(CONCATENATE("#Metadata!", ADDRESS(INDEX($AJ$2:$AJ$1001,MATCH(ROWS($AH$2:AH861),$AH$2:$AH$1001,0),0), INDEX($AO$1004:$BQ$1004,1,MATCH(COLUMNS($AO$1006:BI1006),$AO$1006:$BQ$1006,0)))),"Fix")))</f>
        <v>#N/A</v>
      </c>
      <c r="W861" s="5" t="e">
        <f ca="1">IF(OR(INDEX($AI$2:$AI$1001,MATCH(ROWS($AH$2:AH861),$AH$2:$AH$1001,0),1)&gt;=100000,INDEX($AO$1005:$BQ$1005,1,MATCH(COLUMNS($AO$1006:BJ1006),$AO$1006:$BQ$1006,0))&gt;=100000), " ",IF(INDEX($AO$2:$BQ$1001,MATCH(ROWS($AH$2:AH861),$AH$2:$AH$1001,0),MATCH(COLUMNS($AO$1006:BJ1006),$AO$1006:$BQ$1006,0)), HYPERLINK("#",""), HYPERLINK(CONCATENATE("#Metadata!", ADDRESS(INDEX($AJ$2:$AJ$1001,MATCH(ROWS($AH$2:AH861),$AH$2:$AH$1001,0),0), INDEX($AO$1004:$BQ$1004,1,MATCH(COLUMNS($AO$1006:BJ1006),$AO$1006:$BQ$1006,0)))),"Fix")))</f>
        <v>#N/A</v>
      </c>
      <c r="X861" s="5" t="e">
        <f ca="1">IF(OR(INDEX($AI$2:$AI$1001,MATCH(ROWS($AH$2:AH861),$AH$2:$AH$1001,0),1)&gt;=100000,INDEX($AO$1005:$BQ$1005,1,MATCH(COLUMNS($AO$1006:BK1006),$AO$1006:$BQ$1006,0))&gt;=100000), " ",IF(INDEX($AO$2:$BQ$1001,MATCH(ROWS($AH$2:AH861),$AH$2:$AH$1001,0),MATCH(COLUMNS($AO$1006:BK1006),$AO$1006:$BQ$1006,0)), HYPERLINK("#",""), HYPERLINK(CONCATENATE("#Metadata!", ADDRESS(INDEX($AJ$2:$AJ$1001,MATCH(ROWS($AH$2:AH861),$AH$2:$AH$1001,0),0), INDEX($AO$1004:$BQ$1004,1,MATCH(COLUMNS($AO$1006:BK1006),$AO$1006:$BQ$1006,0)))),"Fix")))</f>
        <v>#N/A</v>
      </c>
      <c r="Y861" s="5" t="e">
        <f ca="1">IF(OR(INDEX($AI$2:$AI$1001,MATCH(ROWS($AH$2:AH861),$AH$2:$AH$1001,0),1)&gt;=100000,INDEX($AO$1005:$BQ$1005,1,MATCH(COLUMNS($AO$1006:BL1006),$AO$1006:$BQ$1006,0))&gt;=100000), " ",IF(INDEX($AO$2:$BQ$1001,MATCH(ROWS($AH$2:AH861),$AH$2:$AH$1001,0),MATCH(COLUMNS($AO$1006:BL1006),$AO$1006:$BQ$1006,0)), HYPERLINK("#",""), HYPERLINK(CONCATENATE("#Metadata!", ADDRESS(INDEX($AJ$2:$AJ$1001,MATCH(ROWS($AH$2:AH861),$AH$2:$AH$1001,0),0), INDEX($AO$1004:$BQ$1004,1,MATCH(COLUMNS($AO$1006:BL1006),$AO$1006:$BQ$1006,0)))),"Fix")))</f>
        <v>#N/A</v>
      </c>
      <c r="Z861" s="5" t="e">
        <f ca="1">IF(OR(INDEX($AI$2:$AI$1001,MATCH(ROWS($AH$2:AH861),$AH$2:$AH$1001,0),1)&gt;=100000,INDEX($AO$1005:$BQ$1005,1,MATCH(COLUMNS($AO$1006:BM1006),$AO$1006:$BQ$1006,0))&gt;=100000), " ",IF(INDEX($AO$2:$BQ$1001,MATCH(ROWS($AH$2:AH861),$AH$2:$AH$1001,0),MATCH(COLUMNS($AO$1006:BM1006),$AO$1006:$BQ$1006,0)), HYPERLINK("#",""), HYPERLINK(CONCATENATE("#Metadata!", ADDRESS(INDEX($AJ$2:$AJ$1001,MATCH(ROWS($AH$2:AH861),$AH$2:$AH$1001,0),0), INDEX($AO$1004:$BQ$1004,1,MATCH(COLUMNS($AO$1006:BM1006),$AO$1006:$BQ$1006,0)))),"Fix")))</f>
        <v>#N/A</v>
      </c>
      <c r="AA861" s="5" t="e">
        <f ca="1">IF(OR(INDEX($AI$2:$AI$1001,MATCH(ROWS($AH$2:AH861),$AH$2:$AH$1001,0),1)&gt;=100000,INDEX($AO$1005:$BQ$1005,1,MATCH(COLUMNS($AO$1006:BN1006),$AO$1006:$BQ$1006,0))&gt;=100000), " ",IF(INDEX($AO$2:$BQ$1001,MATCH(ROWS($AH$2:AH861),$AH$2:$AH$1001,0),MATCH(COLUMNS($AO$1006:BN1006),$AO$1006:$BQ$1006,0)), HYPERLINK("#",""), HYPERLINK(CONCATENATE("#Metadata!", ADDRESS(INDEX($AJ$2:$AJ$1001,MATCH(ROWS($AH$2:AH861),$AH$2:$AH$1001,0),0), INDEX($AO$1004:$BQ$1004,1,MATCH(COLUMNS($AO$1006:BN1006),$AO$1006:$BQ$1006,0)))),"Fix")))</f>
        <v>#N/A</v>
      </c>
      <c r="AB861" s="5" t="e">
        <f ca="1">IF(OR(INDEX($AI$2:$AI$1001,MATCH(ROWS($AH$2:AH861),$AH$2:$AH$1001,0),1)&gt;=100000,INDEX($AO$1005:$BQ$1005,1,MATCH(COLUMNS($AO$1006:BO1006),$AO$1006:$BQ$1006,0))&gt;=100000), " ",IF(INDEX($AO$2:$BQ$1001,MATCH(ROWS($AH$2:AH861),$AH$2:$AH$1001,0),MATCH(COLUMNS($AO$1006:BO1006),$AO$1006:$BQ$1006,0)), HYPERLINK("#",""), HYPERLINK(CONCATENATE("#Metadata!", ADDRESS(INDEX($AJ$2:$AJ$1001,MATCH(ROWS($AH$2:AH861),$AH$2:$AH$1001,0),0), INDEX($AO$1004:$BQ$1004,1,MATCH(COLUMNS($AO$1006:BO1006),$AO$1006:$BQ$1006,0)))),"Fix")))</f>
        <v>#N/A</v>
      </c>
      <c r="AC861" s="5" t="e">
        <f ca="1">IF(OR(INDEX($AI$2:$AI$1001,MATCH(ROWS($AH$2:AH861),$AH$2:$AH$1001,0),1)&gt;=100000,INDEX($AO$1005:$BQ$1005,1,MATCH(COLUMNS($AO$1006:BP1006),$AO$1006:$BQ$1006,0))&gt;=100000), " ",IF(INDEX($AO$2:$BQ$1001,MATCH(ROWS($AH$2:AH861),$AH$2:$AH$1001,0),MATCH(COLUMNS($AO$1006:BP1006),$AO$1006:$BQ$1006,0)), HYPERLINK("#",""), HYPERLINK(CONCATENATE("#Metadata!", ADDRESS(INDEX($AJ$2:$AJ$1001,MATCH(ROWS($AH$2:AH861),$AH$2:$AH$1001,0),0), INDEX($AO$1004:$BQ$1004,1,MATCH(COLUMNS($AO$1006:BP1006),$AO$1006:$BQ$1006,0)))),"Fix")))</f>
        <v>#N/A</v>
      </c>
      <c r="AD861" s="5" t="e">
        <f ca="1">IF(OR(INDEX($AI$2:$AI$1001,MATCH(ROWS($AH$2:AH861),$AH$2:$AH$1001,0),1)&gt;=100000,INDEX($AO$1005:$BQ$1005,1,MATCH(COLUMNS($AO$1006:BQ1006),$AO$1006:$BQ$1006,0))&gt;=100000), " ",IF(INDEX($AO$2:$BQ$1001,MATCH(ROWS($AH$2:AH861),$AH$2:$AH$1001,0),MATCH(COLUMNS($AO$1006:BQ1006),$AO$1006:$BQ$1006,0)), HYPERLINK("#",""), HYPERLINK(CONCATENATE("#Metadata!", ADDRESS(INDEX($AJ$2:$AJ$1001,MATCH(ROWS($AH$2:AH861),$AH$2:$AH$1001,0),0), INDEX($AO$1004:$BQ$1004,1,MATCH(COLUMNS($AO$1006:BQ1006),$AO$1006:$BQ$1006,0)))),"Fix")))</f>
        <v>#REF!</v>
      </c>
      <c r="AH861">
        <f ca="1"/>
        <v>858</v>
      </c>
      <c r="AI861">
        <v>100861</v>
      </c>
      <c r="AJ861">
        <v>861</v>
      </c>
      <c r="AK861" t="b">
        <f t="shared" si="13"/>
        <v>1</v>
      </c>
      <c r="AL861" t="b">
        <f>COUNTBLANK(Metadata!B861:AD861)=COLUMNS(Metadata!B861:AD861)</f>
        <v>1</v>
      </c>
      <c r="AM861" t="str">
        <v/>
      </c>
      <c r="AO861" t="b">
        <f ca="1">AND(IF(Metadata!B861="",FALSE,TRUE),COUNTIF(Metadata!B:B, Metadata!B861) = 1,NOT(ISERROR(SUMPRODUCT(SEARCH(MID(Metadata!B861,ROW(INDIRECT("1:"&amp;LEN(Metadata!B861))), 1),"0123456789abcdefghijklmnopqrstuvwxyzABCDEFGHIJKLMNOPQRSTUVWXYZ.")))))</f>
        <v>0</v>
      </c>
      <c r="AP861" t="b">
        <f>IF(Metadata!C861="",FALSE,TRUE)</f>
        <v>0</v>
      </c>
      <c r="AQ861" t="b">
        <f>IF(Metadata!D861="",FALSE,TRUE)</f>
        <v>0</v>
      </c>
      <c r="AR861" t="b">
        <f ca="1">OR(AND(IF(Metadata!E861="",FALSE,TRUE),OR(EXACT(Metadata!E861,"not collected"),EXACT(Metadata!E861,"not provided"),EXACT(Metadata!E861,"restricted access"))),AND(IF(Metadata!E861="",FALSE,TRUE),AND(AND(IFERROR(INT(LEFT(Metadata!E861,4))&gt;1900,FALSE),IFERROR(INT(LEFT(Metadata!E861,4))&lt;=YEAR(NOW()),FALSE)), OR(MID(Metadata!E861,5,1)="", AND(AND(MID(Metadata!E861,5,1)="-",IFERROR(INT(MID(Metadata!E861,6,1))&gt;=0,FALSE),IFERROR(INT(MID(Metadata!E861,6,1))&lt;=1,FALSE),NOT(MID(Metadata!E861,7,1)=""),IFERROR(INT(MID(Metadata!E861,6,2))&gt;=1,FALSE),IFERROR(INT(MID(Metadata!E861,6,2))&lt;=12,FALSE)), OR(MID(Metadata!E861,8,1)="", AND(AND(MID(Metadata!E861,8,1)="-",IFERROR(INT(MID(Metadata!E861,9,1))&gt;=0,FALSE),IFERROR(INT(MID(Metadata!E861,9,1))&lt;=3,FALSE),NOT(MID(Metadata!E861,10,1)=""),IFERROR(INT(MID(Metadata!E861,9,2))&gt;=1,FALSE),IFERROR(INT(MID(Metadata!E861,9,2))&lt;=31,FALSE)), OR(MID(Metadata!E861,11,1)="", AND(AND(MID(Metadata!E861,11,1)=" ",IFERROR(INT(MID(Metadata!E861,12,1))&gt;=0,FALSE),IFERROR(INT(MID(Metadata!E861,12,1))&lt;=2,FALSE),NOT(MID(Metadata!E861,13,1)=""),IFERROR(INT(MID(Metadata!E861,12,2))&gt;=0,FALSE),IFERROR(INT(MID(Metadata!E861,12,2))&lt;=23,FALSE)), OR(MID(Metadata!E861,14,1)="", AND(AND(MID(Metadata!E861,14,1)=":",IFERROR(INT(MID(Metadata!E861,15,1))&gt;=0,FALSE),IFERROR(INT(MID(Metadata!E861,15,1))&lt;=5,FALSE),NOT(MID(Metadata!E861,16,1)=""),IFERROR(INT(MID(Metadata!E861,15,2))&gt;=0,FALSE),IFERROR(INT(MID(Metadata!E861,15,2))&lt;=59,FALSE)), OR(MID(Metadata!E861,17,1)="", AND(AND(MID(Metadata!E861,17,1)=":",IFERROR(INT(MID(Metadata!E861,18,1))&gt;=0,FALSE),IFERROR(INT(MID(Metadata!E861,18,1))&lt;=5,FALSE),NOT(MID(Metadata!E861,19,1)=""),IFERROR(INT(MID(Metadata!E861,18,2))&gt;=0,FALSE),IFERROR(INT(MID(Metadata!E861,18,2))&lt;=59,FALSE)), LEN(Metadata!E861)&lt;=19)))))))))))))</f>
        <v>0</v>
      </c>
      <c r="AS861" t="b">
        <f>IF(Metadata!F861="",FALSE,TRUE)</f>
        <v>0</v>
      </c>
      <c r="AT861" t="b">
        <f>OR(AND(IF(Metadata!G861="",FALSE,TRUE),OR(EXACT(Metadata!G861,"not collected"),EXACT(Metadata!G861,"not provided"))),AND(IF(Metadata!G861="",FALSE,TRUE),OR(EXACT(Metadata!G861,"TRUE"),EXACT(Metadata!G861,"FALSE"))))</f>
        <v>0</v>
      </c>
      <c r="AU861" t="b">
        <f>OR(AND(IF(Metadata!H861="",FALSE,TRUE),OR(EXACT(Metadata!H861,"not collected"),EXACT(Metadata!H861,"not provided"),EXACT(Metadata!H861,"restricted access"))),AND(IF(Metadata!H861="",FALSE,ISNUMBER(VALUE(Metadata!H861))),Metadata!H861&gt;=-413))</f>
        <v>0</v>
      </c>
      <c r="AV861" t="b">
        <f>AND(IF(Metadata!I861="",FALSE,TRUE),EXACT(Metadata!I861,"meters"))</f>
        <v>0</v>
      </c>
      <c r="AW861" t="b">
        <f>AND(IF(Metadata!J861="",FALSE,TRUE),EXACT(Metadata!J861,"free-living"))</f>
        <v>0</v>
      </c>
      <c r="AX861" t="b">
        <f>AND(IF(Metadata!K861="",FALSE,TRUE),OR(EXACT(Metadata!K861,"saline"),EXACT(Metadata!K861,"non-saline")))</f>
        <v>0</v>
      </c>
      <c r="AY861" t="b">
        <f>AND(IF(Metadata!L861="",FALSE,TRUE),OR(EXACT(Metadata!L861,"sub-surface (non-saline)"),EXACT(Metadata!L861,"surface (non-saline)"),EXACT(Metadata!L861,"water (non-saline)"),EXACT(Metadata!L861,"soil (non-saline)"),EXACT(Metadata!L861,"aerosol (non-saline)"),EXACT(Metadata!L861,"sediment (non-saline)"),EXACT(Metadata!L861,"surface (saline)"),EXACT(Metadata!L861,"water (saline)"),EXACT(Metadata!L861,"hypersaline (saline)"),EXACT(Metadata!L861,"aerosol (saline)"),EXACT(Metadata!L861,"sediment (saline)")))</f>
        <v>0</v>
      </c>
      <c r="AZ861" t="b">
        <f>IF(Metadata!M861="",FALSE,TRUE)</f>
        <v>0</v>
      </c>
      <c r="BA861" t="b">
        <f>IF(Metadata!N861="",FALSE,TRUE)</f>
        <v>0</v>
      </c>
      <c r="BB861" t="b">
        <f>IF(Metadata!O861="",FALSE,TRUE)</f>
        <v>0</v>
      </c>
      <c r="BC861" t="b">
        <f>AND(IF(Metadata!P861="",FALSE,TRUE),OR(EXACT(Metadata!P861,"air"),EXACT(Metadata!P861,"microbial mat/biofilm"),EXACT(Metadata!P861,"misc environment"),EXACT(Metadata!P861,"sediment"),EXACT(Metadata!P861,"soil"),EXACT(Metadata!P861,"wastewater/sludge"),EXACT(Metadata!P861,"water")))</f>
        <v>0</v>
      </c>
      <c r="BD861" t="b">
        <f>IF(Metadata!Q861="",FALSE,TRUE)</f>
        <v>0</v>
      </c>
      <c r="BE861" t="b">
        <f>IF(Metadata!R861="",FALSE,TRUE)</f>
        <v>0</v>
      </c>
      <c r="BF861" t="b">
        <f>OR(AND(IF(Metadata!S861="",FALSE,TRUE),OR(EXACT(Metadata!S861,"not collected"),EXACT(Metadata!S861,"not provided"),EXACT(Metadata!S861,"restricted access"))),AND(IF(Metadata!S861="",FALSE,ISNUMBER(VALUE(Metadata!S861))),Metadata!S861&gt;=-90,Metadata!S861&lt;=90))</f>
        <v>0</v>
      </c>
      <c r="BG861" t="b">
        <f>AND(IF(Metadata!T861="",FALSE,TRUE),EXACT(Metadata!T861,"Decimal degrees"))</f>
        <v>0</v>
      </c>
      <c r="BH861" t="b">
        <f>OR(AND(IF(Metadata!U861="",FALSE,TRUE),OR(EXACT(Metadata!U861,"not applicable"),EXACT(Metadata!U861,"not collected"))),IF(Metadata!U861="",FALSE,TRUE))</f>
        <v>0</v>
      </c>
      <c r="BI861" t="b">
        <f>OR(AND(IF(Metadata!V861="",FALSE,TRUE),OR(EXACT(Metadata!V861,"not collected"),EXACT(Metadata!V861,"not provided"),EXACT(Metadata!V861,"restricted access"))),AND(IF(Metadata!V861="",FALSE,ISNUMBER(VALUE(Metadata!V861))),Metadata!V861&gt;=-180,Metadata!V861&lt;=180))</f>
        <v>0</v>
      </c>
      <c r="BJ861" t="b">
        <f>AND(IF(Metadata!W861="",FALSE,TRUE),EXACT(Metadata!W861,"Decimal degrees"))</f>
        <v>0</v>
      </c>
      <c r="BK861" t="b">
        <f>IF(Metadata!X861="",FALSE,TRUE)</f>
        <v>0</v>
      </c>
      <c r="BL861" t="b">
        <f>OR(AND(IF(Metadata!Y861="",FALSE,TRUE),OR(EXACT(Metadata!Y861,"not collected"),EXACT(Metadata!Y861,"not provided"),EXACT(Metadata!Y861,"restricted access"))),AND(IF(Metadata!Y861="",FALSE,TRUE),OR(EXACT(Metadata!Y861,"TRUE"),EXACT(Metadata!Y861,"FALSE"))))</f>
        <v>0</v>
      </c>
      <c r="BM861" t="b">
        <f>OR(AND(IF(Metadata!Z861="",FALSE,TRUE),EXACT(Metadata!Z861,"not applicable")),AND(IF(Metadata!Z861="",FALSE,TRUE),OR(EXACT(Metadata!Z861,"beer"),EXACT(Metadata!Z861,"cheese"),EXACT(Metadata!Z861,"fresh water"),EXACT(Metadata!Z861,"marine sediment"),EXACT(Metadata!Z861,"sea water"),EXACT(Metadata!Z861,"sediment"),EXACT(Metadata!Z861,"soil"),EXACT(Metadata!Z861,"waste water"))))</f>
        <v>0</v>
      </c>
      <c r="BN861" t="b">
        <f>AND(IF(Metadata!AA861="",FALSE,TRUE),EXACT(Metadata!AA861,"metagenome"))</f>
        <v>0</v>
      </c>
      <c r="BO861" t="b">
        <f>AND(IF(Metadata!AB861="",FALSE,TRUE),EXACT(Metadata!AB861,"256318"))</f>
        <v>0</v>
      </c>
      <c r="BP861" t="b">
        <f>IF(Metadata!AC861="",FALSE,TRUE)</f>
        <v>0</v>
      </c>
      <c r="BQ861" t="b">
        <f>IF(Metadata!AD861="",FALSE,TRUE)</f>
        <v>0</v>
      </c>
    </row>
    <row r="862" spans="1:69" x14ac:dyDescent="0.2">
      <c r="A862" s="4" t="e">
        <f ca="1">IF(B862=" "," ",HYPERLINK(CONCATENATE("#metadata!",ADDRESS(INDEX($AJ$2:$AJ$1001,MATCH(ROWS($AH$2:AH862),$AH$2:$AH$1001,0),0),2)),INDEX($AM$2:$AM$1001,MATCH(ROWS($AH$2:AH862),$AH$2:$AH$1001,0),0)))</f>
        <v>#N/A</v>
      </c>
      <c r="B862" s="5" t="e">
        <f ca="1">IF(OR(INDEX($AI$2:$AI$1001,MATCH(ROWS($AH$2:AH862),$AH$2:$AH$1001,0),1)&gt;=100000,INDEX($AO$1005:$BQ$1005,1,MATCH(COLUMNS($AO$1006:AO1006),$AO$1006:$BQ$1006,0))&gt;=100000), " ",IF(INDEX($AO$2:$BQ$1001,MATCH(ROWS($AH$2:AH862),$AH$2:$AH$1001,0),MATCH(COLUMNS($AO$1006:AO1006),$AO$1006:$BQ$1006,0)), HYPERLINK("#",""), HYPERLINK(CONCATENATE("#Metadata!", ADDRESS(INDEX($AJ$2:$AJ$1001,MATCH(ROWS($AH$2:AH862),$AH$2:$AH$1001,0),0), INDEX($AO$1004:$BQ$1004,1,MATCH(COLUMNS($AO$1006:AO1006),$AO$1006:$BQ$1006,0)))),"Fix")))</f>
        <v>#N/A</v>
      </c>
      <c r="C862" s="5" t="e">
        <f ca="1">IF(OR(INDEX($AI$2:$AI$1001,MATCH(ROWS($AH$2:AH862),$AH$2:$AH$1001,0),1)&gt;=100000,INDEX($AO$1005:$BQ$1005,1,MATCH(COLUMNS($AO$1006:AP1006),$AO$1006:$BQ$1006,0))&gt;=100000), " ",IF(INDEX($AO$2:$BQ$1001,MATCH(ROWS($AH$2:AH862),$AH$2:$AH$1001,0),MATCH(COLUMNS($AO$1006:AP1006),$AO$1006:$BQ$1006,0)), HYPERLINK("#",""), HYPERLINK(CONCATENATE("#Metadata!", ADDRESS(INDEX($AJ$2:$AJ$1001,MATCH(ROWS($AH$2:AH862),$AH$2:$AH$1001,0),0), INDEX($AO$1004:$BQ$1004,1,MATCH(COLUMNS($AO$1006:AP1006),$AO$1006:$BQ$1006,0)))),"Fix")))</f>
        <v>#N/A</v>
      </c>
      <c r="D862" s="5" t="e">
        <f ca="1">IF(OR(INDEX($AI$2:$AI$1001,MATCH(ROWS($AH$2:AH862),$AH$2:$AH$1001,0),1)&gt;=100000,INDEX($AO$1005:$BQ$1005,1,MATCH(COLUMNS($AO$1006:AQ1006),$AO$1006:$BQ$1006,0))&gt;=100000), " ",IF(INDEX($AO$2:$BQ$1001,MATCH(ROWS($AH$2:AH862),$AH$2:$AH$1001,0),MATCH(COLUMNS($AO$1006:AQ1006),$AO$1006:$BQ$1006,0)), HYPERLINK("#",""), HYPERLINK(CONCATENATE("#Metadata!", ADDRESS(INDEX($AJ$2:$AJ$1001,MATCH(ROWS($AH$2:AH862),$AH$2:$AH$1001,0),0), INDEX($AO$1004:$BQ$1004,1,MATCH(COLUMNS($AO$1006:AQ1006),$AO$1006:$BQ$1006,0)))),"Fix")))</f>
        <v>#N/A</v>
      </c>
      <c r="E862" s="5" t="e">
        <f ca="1">IF(OR(INDEX($AI$2:$AI$1001,MATCH(ROWS($AH$2:AH862),$AH$2:$AH$1001,0),1)&gt;=100000,INDEX($AO$1005:$BQ$1005,1,MATCH(COLUMNS($AO$1006:AR1006),$AO$1006:$BQ$1006,0))&gt;=100000), " ",IF(INDEX($AO$2:$BQ$1001,MATCH(ROWS($AH$2:AH862),$AH$2:$AH$1001,0),MATCH(COLUMNS($AO$1006:AR1006),$AO$1006:$BQ$1006,0)), HYPERLINK("#",""), HYPERLINK(CONCATENATE("#Metadata!", ADDRESS(INDEX($AJ$2:$AJ$1001,MATCH(ROWS($AH$2:AH862),$AH$2:$AH$1001,0),0), INDEX($AO$1004:$BQ$1004,1,MATCH(COLUMNS($AO$1006:AR1006),$AO$1006:$BQ$1006,0)))),"Fix")))</f>
        <v>#N/A</v>
      </c>
      <c r="F862" s="5" t="e">
        <f ca="1">IF(OR(INDEX($AI$2:$AI$1001,MATCH(ROWS($AH$2:AH862),$AH$2:$AH$1001,0),1)&gt;=100000,INDEX($AO$1005:$BQ$1005,1,MATCH(COLUMNS($AO$1006:AS1006),$AO$1006:$BQ$1006,0))&gt;=100000), " ",IF(INDEX($AO$2:$BQ$1001,MATCH(ROWS($AH$2:AH862),$AH$2:$AH$1001,0),MATCH(COLUMNS($AO$1006:AS1006),$AO$1006:$BQ$1006,0)), HYPERLINK("#",""), HYPERLINK(CONCATENATE("#Metadata!", ADDRESS(INDEX($AJ$2:$AJ$1001,MATCH(ROWS($AH$2:AH862),$AH$2:$AH$1001,0),0), INDEX($AO$1004:$BQ$1004,1,MATCH(COLUMNS($AO$1006:AS1006),$AO$1006:$BQ$1006,0)))),"Fix")))</f>
        <v>#N/A</v>
      </c>
      <c r="G862" s="5" t="e">
        <f ca="1">IF(OR(INDEX($AI$2:$AI$1001,MATCH(ROWS($AH$2:AH862),$AH$2:$AH$1001,0),1)&gt;=100000,INDEX($AO$1005:$BQ$1005,1,MATCH(COLUMNS($AO$1006:AT1006),$AO$1006:$BQ$1006,0))&gt;=100000), " ",IF(INDEX($AO$2:$BQ$1001,MATCH(ROWS($AH$2:AH862),$AH$2:$AH$1001,0),MATCH(COLUMNS($AO$1006:AT1006),$AO$1006:$BQ$1006,0)), HYPERLINK("#",""), HYPERLINK(CONCATENATE("#Metadata!", ADDRESS(INDEX($AJ$2:$AJ$1001,MATCH(ROWS($AH$2:AH862),$AH$2:$AH$1001,0),0), INDEX($AO$1004:$BQ$1004,1,MATCH(COLUMNS($AO$1006:AT1006),$AO$1006:$BQ$1006,0)))),"Fix")))</f>
        <v>#N/A</v>
      </c>
      <c r="H862" s="5" t="e">
        <f ca="1">IF(OR(INDEX($AI$2:$AI$1001,MATCH(ROWS($AH$2:AH862),$AH$2:$AH$1001,0),1)&gt;=100000,INDEX($AO$1005:$BQ$1005,1,MATCH(COLUMNS($AO$1006:AU1006),$AO$1006:$BQ$1006,0))&gt;=100000), " ",IF(INDEX($AO$2:$BQ$1001,MATCH(ROWS($AH$2:AH862),$AH$2:$AH$1001,0),MATCH(COLUMNS($AO$1006:AU1006),$AO$1006:$BQ$1006,0)), HYPERLINK("#",""), HYPERLINK(CONCATENATE("#Metadata!", ADDRESS(INDEX($AJ$2:$AJ$1001,MATCH(ROWS($AH$2:AH862),$AH$2:$AH$1001,0),0), INDEX($AO$1004:$BQ$1004,1,MATCH(COLUMNS($AO$1006:AU1006),$AO$1006:$BQ$1006,0)))),"Fix")))</f>
        <v>#N/A</v>
      </c>
      <c r="I862" s="5" t="e">
        <f ca="1">IF(OR(INDEX($AI$2:$AI$1001,MATCH(ROWS($AH$2:AH862),$AH$2:$AH$1001,0),1)&gt;=100000,INDEX($AO$1005:$BQ$1005,1,MATCH(COLUMNS($AO$1006:AV1006),$AO$1006:$BQ$1006,0))&gt;=100000), " ",IF(INDEX($AO$2:$BQ$1001,MATCH(ROWS($AH$2:AH862),$AH$2:$AH$1001,0),MATCH(COLUMNS($AO$1006:AV1006),$AO$1006:$BQ$1006,0)), HYPERLINK("#",""), HYPERLINK(CONCATENATE("#Metadata!", ADDRESS(INDEX($AJ$2:$AJ$1001,MATCH(ROWS($AH$2:AH862),$AH$2:$AH$1001,0),0), INDEX($AO$1004:$BQ$1004,1,MATCH(COLUMNS($AO$1006:AV1006),$AO$1006:$BQ$1006,0)))),"Fix")))</f>
        <v>#N/A</v>
      </c>
      <c r="J862" s="5" t="e">
        <f ca="1">IF(OR(INDEX($AI$2:$AI$1001,MATCH(ROWS($AH$2:AH862),$AH$2:$AH$1001,0),1)&gt;=100000,INDEX($AO$1005:$BQ$1005,1,MATCH(COLUMNS($AO$1006:AW1006),$AO$1006:$BQ$1006,0))&gt;=100000), " ",IF(INDEX($AO$2:$BQ$1001,MATCH(ROWS($AH$2:AH862),$AH$2:$AH$1001,0),MATCH(COLUMNS($AO$1006:AW1006),$AO$1006:$BQ$1006,0)), HYPERLINK("#",""), HYPERLINK(CONCATENATE("#Metadata!", ADDRESS(INDEX($AJ$2:$AJ$1001,MATCH(ROWS($AH$2:AH862),$AH$2:$AH$1001,0),0), INDEX($AO$1004:$BQ$1004,1,MATCH(COLUMNS($AO$1006:AW1006),$AO$1006:$BQ$1006,0)))),"Fix")))</f>
        <v>#N/A</v>
      </c>
      <c r="K862" s="5" t="e">
        <f ca="1">IF(OR(INDEX($AI$2:$AI$1001,MATCH(ROWS($AH$2:AH862),$AH$2:$AH$1001,0),1)&gt;=100000,INDEX($AO$1005:$BQ$1005,1,MATCH(COLUMNS($AO$1006:AX1006),$AO$1006:$BQ$1006,0))&gt;=100000), " ",IF(INDEX($AO$2:$BQ$1001,MATCH(ROWS($AH$2:AH862),$AH$2:$AH$1001,0),MATCH(COLUMNS($AO$1006:AX1006),$AO$1006:$BQ$1006,0)), HYPERLINK("#",""), HYPERLINK(CONCATENATE("#Metadata!", ADDRESS(INDEX($AJ$2:$AJ$1001,MATCH(ROWS($AH$2:AH862),$AH$2:$AH$1001,0),0), INDEX($AO$1004:$BQ$1004,1,MATCH(COLUMNS($AO$1006:AX1006),$AO$1006:$BQ$1006,0)))),"Fix")))</f>
        <v>#N/A</v>
      </c>
      <c r="L862" s="5" t="e">
        <f ca="1">IF(OR(INDEX($AI$2:$AI$1001,MATCH(ROWS($AH$2:AH862),$AH$2:$AH$1001,0),1)&gt;=100000,INDEX($AO$1005:$BQ$1005,1,MATCH(COLUMNS($AO$1006:AY1006),$AO$1006:$BQ$1006,0))&gt;=100000), " ",IF(INDEX($AO$2:$BQ$1001,MATCH(ROWS($AH$2:AH862),$AH$2:$AH$1001,0),MATCH(COLUMNS($AO$1006:AY1006),$AO$1006:$BQ$1006,0)), HYPERLINK("#",""), HYPERLINK(CONCATENATE("#Metadata!", ADDRESS(INDEX($AJ$2:$AJ$1001,MATCH(ROWS($AH$2:AH862),$AH$2:$AH$1001,0),0), INDEX($AO$1004:$BQ$1004,1,MATCH(COLUMNS($AO$1006:AY1006),$AO$1006:$BQ$1006,0)))),"Fix")))</f>
        <v>#N/A</v>
      </c>
      <c r="M862" s="5" t="e">
        <f ca="1">IF(OR(INDEX($AI$2:$AI$1001,MATCH(ROWS($AH$2:AH862),$AH$2:$AH$1001,0),1)&gt;=100000,INDEX($AO$1005:$BQ$1005,1,MATCH(COLUMNS($AO$1006:AZ1006),$AO$1006:$BQ$1006,0))&gt;=100000), " ",IF(INDEX($AO$2:$BQ$1001,MATCH(ROWS($AH$2:AH862),$AH$2:$AH$1001,0),MATCH(COLUMNS($AO$1006:AZ1006),$AO$1006:$BQ$1006,0)), HYPERLINK("#",""), HYPERLINK(CONCATENATE("#Metadata!", ADDRESS(INDEX($AJ$2:$AJ$1001,MATCH(ROWS($AH$2:AH862),$AH$2:$AH$1001,0),0), INDEX($AO$1004:$BQ$1004,1,MATCH(COLUMNS($AO$1006:AZ1006),$AO$1006:$BQ$1006,0)))),"Fix")))</f>
        <v>#N/A</v>
      </c>
      <c r="N862" s="5" t="e">
        <f ca="1">IF(OR(INDEX($AI$2:$AI$1001,MATCH(ROWS($AH$2:AH862),$AH$2:$AH$1001,0),1)&gt;=100000,INDEX($AO$1005:$BQ$1005,1,MATCH(COLUMNS($AO$1006:BA1006),$AO$1006:$BQ$1006,0))&gt;=100000), " ",IF(INDEX($AO$2:$BQ$1001,MATCH(ROWS($AH$2:AH862),$AH$2:$AH$1001,0),MATCH(COLUMNS($AO$1006:BA1006),$AO$1006:$BQ$1006,0)), HYPERLINK("#",""), HYPERLINK(CONCATENATE("#Metadata!", ADDRESS(INDEX($AJ$2:$AJ$1001,MATCH(ROWS($AH$2:AH862),$AH$2:$AH$1001,0),0), INDEX($AO$1004:$BQ$1004,1,MATCH(COLUMNS($AO$1006:BA1006),$AO$1006:$BQ$1006,0)))),"Fix")))</f>
        <v>#N/A</v>
      </c>
      <c r="O862" s="5" t="e">
        <f ca="1">IF(OR(INDEX($AI$2:$AI$1001,MATCH(ROWS($AH$2:AH862),$AH$2:$AH$1001,0),1)&gt;=100000,INDEX($AO$1005:$BQ$1005,1,MATCH(COLUMNS($AO$1006:BB1006),$AO$1006:$BQ$1006,0))&gt;=100000), " ",IF(INDEX($AO$2:$BQ$1001,MATCH(ROWS($AH$2:AH862),$AH$2:$AH$1001,0),MATCH(COLUMNS($AO$1006:BB1006),$AO$1006:$BQ$1006,0)), HYPERLINK("#",""), HYPERLINK(CONCATENATE("#Metadata!", ADDRESS(INDEX($AJ$2:$AJ$1001,MATCH(ROWS($AH$2:AH862),$AH$2:$AH$1001,0),0), INDEX($AO$1004:$BQ$1004,1,MATCH(COLUMNS($AO$1006:BB1006),$AO$1006:$BQ$1006,0)))),"Fix")))</f>
        <v>#N/A</v>
      </c>
      <c r="P862" s="5" t="e">
        <f ca="1">IF(OR(INDEX($AI$2:$AI$1001,MATCH(ROWS($AH$2:AH862),$AH$2:$AH$1001,0),1)&gt;=100000,INDEX($AO$1005:$BQ$1005,1,MATCH(COLUMNS($AO$1006:BC1006),$AO$1006:$BQ$1006,0))&gt;=100000), " ",IF(INDEX($AO$2:$BQ$1001,MATCH(ROWS($AH$2:AH862),$AH$2:$AH$1001,0),MATCH(COLUMNS($AO$1006:BC1006),$AO$1006:$BQ$1006,0)), HYPERLINK("#",""), HYPERLINK(CONCATENATE("#Metadata!", ADDRESS(INDEX($AJ$2:$AJ$1001,MATCH(ROWS($AH$2:AH862),$AH$2:$AH$1001,0),0), INDEX($AO$1004:$BQ$1004,1,MATCH(COLUMNS($AO$1006:BC1006),$AO$1006:$BQ$1006,0)))),"Fix")))</f>
        <v>#N/A</v>
      </c>
      <c r="Q862" s="5" t="e">
        <f ca="1">IF(OR(INDEX($AI$2:$AI$1001,MATCH(ROWS($AH$2:AH862),$AH$2:$AH$1001,0),1)&gt;=100000,INDEX($AO$1005:$BQ$1005,1,MATCH(COLUMNS($AO$1006:BD1006),$AO$1006:$BQ$1006,0))&gt;=100000), " ",IF(INDEX($AO$2:$BQ$1001,MATCH(ROWS($AH$2:AH862),$AH$2:$AH$1001,0),MATCH(COLUMNS($AO$1006:BD1006),$AO$1006:$BQ$1006,0)), HYPERLINK("#",""), HYPERLINK(CONCATENATE("#Metadata!", ADDRESS(INDEX($AJ$2:$AJ$1001,MATCH(ROWS($AH$2:AH862),$AH$2:$AH$1001,0),0), INDEX($AO$1004:$BQ$1004,1,MATCH(COLUMNS($AO$1006:BD1006),$AO$1006:$BQ$1006,0)))),"Fix")))</f>
        <v>#N/A</v>
      </c>
      <c r="R862" s="5" t="e">
        <f ca="1">IF(OR(INDEX($AI$2:$AI$1001,MATCH(ROWS($AH$2:AH862),$AH$2:$AH$1001,0),1)&gt;=100000,INDEX($AO$1005:$BQ$1005,1,MATCH(COLUMNS($AO$1006:BE1006),$AO$1006:$BQ$1006,0))&gt;=100000), " ",IF(INDEX($AO$2:$BQ$1001,MATCH(ROWS($AH$2:AH862),$AH$2:$AH$1001,0),MATCH(COLUMNS($AO$1006:BE1006),$AO$1006:$BQ$1006,0)), HYPERLINK("#",""), HYPERLINK(CONCATENATE("#Metadata!", ADDRESS(INDEX($AJ$2:$AJ$1001,MATCH(ROWS($AH$2:AH862),$AH$2:$AH$1001,0),0), INDEX($AO$1004:$BQ$1004,1,MATCH(COLUMNS($AO$1006:BE1006),$AO$1006:$BQ$1006,0)))),"Fix")))</f>
        <v>#N/A</v>
      </c>
      <c r="S862" s="5" t="e">
        <f ca="1">IF(OR(INDEX($AI$2:$AI$1001,MATCH(ROWS($AH$2:AH862),$AH$2:$AH$1001,0),1)&gt;=100000,INDEX($AO$1005:$BQ$1005,1,MATCH(COLUMNS($AO$1006:BF1006),$AO$1006:$BQ$1006,0))&gt;=100000), " ",IF(INDEX($AO$2:$BQ$1001,MATCH(ROWS($AH$2:AH862),$AH$2:$AH$1001,0),MATCH(COLUMNS($AO$1006:BF1006),$AO$1006:$BQ$1006,0)), HYPERLINK("#",""), HYPERLINK(CONCATENATE("#Metadata!", ADDRESS(INDEX($AJ$2:$AJ$1001,MATCH(ROWS($AH$2:AH862),$AH$2:$AH$1001,0),0), INDEX($AO$1004:$BQ$1004,1,MATCH(COLUMNS($AO$1006:BF1006),$AO$1006:$BQ$1006,0)))),"Fix")))</f>
        <v>#N/A</v>
      </c>
      <c r="T862" s="5" t="e">
        <f ca="1">IF(OR(INDEX($AI$2:$AI$1001,MATCH(ROWS($AH$2:AH862),$AH$2:$AH$1001,0),1)&gt;=100000,INDEX($AO$1005:$BQ$1005,1,MATCH(COLUMNS($AO$1006:BG1006),$AO$1006:$BQ$1006,0))&gt;=100000), " ",IF(INDEX($AO$2:$BQ$1001,MATCH(ROWS($AH$2:AH862),$AH$2:$AH$1001,0),MATCH(COLUMNS($AO$1006:BG1006),$AO$1006:$BQ$1006,0)), HYPERLINK("#",""), HYPERLINK(CONCATENATE("#Metadata!", ADDRESS(INDEX($AJ$2:$AJ$1001,MATCH(ROWS($AH$2:AH862),$AH$2:$AH$1001,0),0), INDEX($AO$1004:$BQ$1004,1,MATCH(COLUMNS($AO$1006:BG1006),$AO$1006:$BQ$1006,0)))),"Fix")))</f>
        <v>#N/A</v>
      </c>
      <c r="U862" s="5" t="e">
        <f ca="1">IF(OR(INDEX($AI$2:$AI$1001,MATCH(ROWS($AH$2:AH862),$AH$2:$AH$1001,0),1)&gt;=100000,INDEX($AO$1005:$BQ$1005,1,MATCH(COLUMNS($AO$1006:BH1006),$AO$1006:$BQ$1006,0))&gt;=100000), " ",IF(INDEX($AO$2:$BQ$1001,MATCH(ROWS($AH$2:AH862),$AH$2:$AH$1001,0),MATCH(COLUMNS($AO$1006:BH1006),$AO$1006:$BQ$1006,0)), HYPERLINK("#",""), HYPERLINK(CONCATENATE("#Metadata!", ADDRESS(INDEX($AJ$2:$AJ$1001,MATCH(ROWS($AH$2:AH862),$AH$2:$AH$1001,0),0), INDEX($AO$1004:$BQ$1004,1,MATCH(COLUMNS($AO$1006:BH1006),$AO$1006:$BQ$1006,0)))),"Fix")))</f>
        <v>#N/A</v>
      </c>
      <c r="V862" s="5" t="e">
        <f ca="1">IF(OR(INDEX($AI$2:$AI$1001,MATCH(ROWS($AH$2:AH862),$AH$2:$AH$1001,0),1)&gt;=100000,INDEX($AO$1005:$BQ$1005,1,MATCH(COLUMNS($AO$1006:BI1006),$AO$1006:$BQ$1006,0))&gt;=100000), " ",IF(INDEX($AO$2:$BQ$1001,MATCH(ROWS($AH$2:AH862),$AH$2:$AH$1001,0),MATCH(COLUMNS($AO$1006:BI1006),$AO$1006:$BQ$1006,0)), HYPERLINK("#",""), HYPERLINK(CONCATENATE("#Metadata!", ADDRESS(INDEX($AJ$2:$AJ$1001,MATCH(ROWS($AH$2:AH862),$AH$2:$AH$1001,0),0), INDEX($AO$1004:$BQ$1004,1,MATCH(COLUMNS($AO$1006:BI1006),$AO$1006:$BQ$1006,0)))),"Fix")))</f>
        <v>#N/A</v>
      </c>
      <c r="W862" s="5" t="e">
        <f ca="1">IF(OR(INDEX($AI$2:$AI$1001,MATCH(ROWS($AH$2:AH862),$AH$2:$AH$1001,0),1)&gt;=100000,INDEX($AO$1005:$BQ$1005,1,MATCH(COLUMNS($AO$1006:BJ1006),$AO$1006:$BQ$1006,0))&gt;=100000), " ",IF(INDEX($AO$2:$BQ$1001,MATCH(ROWS($AH$2:AH862),$AH$2:$AH$1001,0),MATCH(COLUMNS($AO$1006:BJ1006),$AO$1006:$BQ$1006,0)), HYPERLINK("#",""), HYPERLINK(CONCATENATE("#Metadata!", ADDRESS(INDEX($AJ$2:$AJ$1001,MATCH(ROWS($AH$2:AH862),$AH$2:$AH$1001,0),0), INDEX($AO$1004:$BQ$1004,1,MATCH(COLUMNS($AO$1006:BJ1006),$AO$1006:$BQ$1006,0)))),"Fix")))</f>
        <v>#N/A</v>
      </c>
      <c r="X862" s="5" t="e">
        <f ca="1">IF(OR(INDEX($AI$2:$AI$1001,MATCH(ROWS($AH$2:AH862),$AH$2:$AH$1001,0),1)&gt;=100000,INDEX($AO$1005:$BQ$1005,1,MATCH(COLUMNS($AO$1006:BK1006),$AO$1006:$BQ$1006,0))&gt;=100000), " ",IF(INDEX($AO$2:$BQ$1001,MATCH(ROWS($AH$2:AH862),$AH$2:$AH$1001,0),MATCH(COLUMNS($AO$1006:BK1006),$AO$1006:$BQ$1006,0)), HYPERLINK("#",""), HYPERLINK(CONCATENATE("#Metadata!", ADDRESS(INDEX($AJ$2:$AJ$1001,MATCH(ROWS($AH$2:AH862),$AH$2:$AH$1001,0),0), INDEX($AO$1004:$BQ$1004,1,MATCH(COLUMNS($AO$1006:BK1006),$AO$1006:$BQ$1006,0)))),"Fix")))</f>
        <v>#N/A</v>
      </c>
      <c r="Y862" s="5" t="e">
        <f ca="1">IF(OR(INDEX($AI$2:$AI$1001,MATCH(ROWS($AH$2:AH862),$AH$2:$AH$1001,0),1)&gt;=100000,INDEX($AO$1005:$BQ$1005,1,MATCH(COLUMNS($AO$1006:BL1006),$AO$1006:$BQ$1006,0))&gt;=100000), " ",IF(INDEX($AO$2:$BQ$1001,MATCH(ROWS($AH$2:AH862),$AH$2:$AH$1001,0),MATCH(COLUMNS($AO$1006:BL1006),$AO$1006:$BQ$1006,0)), HYPERLINK("#",""), HYPERLINK(CONCATENATE("#Metadata!", ADDRESS(INDEX($AJ$2:$AJ$1001,MATCH(ROWS($AH$2:AH862),$AH$2:$AH$1001,0),0), INDEX($AO$1004:$BQ$1004,1,MATCH(COLUMNS($AO$1006:BL1006),$AO$1006:$BQ$1006,0)))),"Fix")))</f>
        <v>#N/A</v>
      </c>
      <c r="Z862" s="5" t="e">
        <f ca="1">IF(OR(INDEX($AI$2:$AI$1001,MATCH(ROWS($AH$2:AH862),$AH$2:$AH$1001,0),1)&gt;=100000,INDEX($AO$1005:$BQ$1005,1,MATCH(COLUMNS($AO$1006:BM1006),$AO$1006:$BQ$1006,0))&gt;=100000), " ",IF(INDEX($AO$2:$BQ$1001,MATCH(ROWS($AH$2:AH862),$AH$2:$AH$1001,0),MATCH(COLUMNS($AO$1006:BM1006),$AO$1006:$BQ$1006,0)), HYPERLINK("#",""), HYPERLINK(CONCATENATE("#Metadata!", ADDRESS(INDEX($AJ$2:$AJ$1001,MATCH(ROWS($AH$2:AH862),$AH$2:$AH$1001,0),0), INDEX($AO$1004:$BQ$1004,1,MATCH(COLUMNS($AO$1006:BM1006),$AO$1006:$BQ$1006,0)))),"Fix")))</f>
        <v>#N/A</v>
      </c>
      <c r="AA862" s="5" t="e">
        <f ca="1">IF(OR(INDEX($AI$2:$AI$1001,MATCH(ROWS($AH$2:AH862),$AH$2:$AH$1001,0),1)&gt;=100000,INDEX($AO$1005:$BQ$1005,1,MATCH(COLUMNS($AO$1006:BN1006),$AO$1006:$BQ$1006,0))&gt;=100000), " ",IF(INDEX($AO$2:$BQ$1001,MATCH(ROWS($AH$2:AH862),$AH$2:$AH$1001,0),MATCH(COLUMNS($AO$1006:BN1006),$AO$1006:$BQ$1006,0)), HYPERLINK("#",""), HYPERLINK(CONCATENATE("#Metadata!", ADDRESS(INDEX($AJ$2:$AJ$1001,MATCH(ROWS($AH$2:AH862),$AH$2:$AH$1001,0),0), INDEX($AO$1004:$BQ$1004,1,MATCH(COLUMNS($AO$1006:BN1006),$AO$1006:$BQ$1006,0)))),"Fix")))</f>
        <v>#N/A</v>
      </c>
      <c r="AB862" s="5" t="e">
        <f ca="1">IF(OR(INDEX($AI$2:$AI$1001,MATCH(ROWS($AH$2:AH862),$AH$2:$AH$1001,0),1)&gt;=100000,INDEX($AO$1005:$BQ$1005,1,MATCH(COLUMNS($AO$1006:BO1006),$AO$1006:$BQ$1006,0))&gt;=100000), " ",IF(INDEX($AO$2:$BQ$1001,MATCH(ROWS($AH$2:AH862),$AH$2:$AH$1001,0),MATCH(COLUMNS($AO$1006:BO1006),$AO$1006:$BQ$1006,0)), HYPERLINK("#",""), HYPERLINK(CONCATENATE("#Metadata!", ADDRESS(INDEX($AJ$2:$AJ$1001,MATCH(ROWS($AH$2:AH862),$AH$2:$AH$1001,0),0), INDEX($AO$1004:$BQ$1004,1,MATCH(COLUMNS($AO$1006:BO1006),$AO$1006:$BQ$1006,0)))),"Fix")))</f>
        <v>#N/A</v>
      </c>
      <c r="AC862" s="5" t="e">
        <f ca="1">IF(OR(INDEX($AI$2:$AI$1001,MATCH(ROWS($AH$2:AH862),$AH$2:$AH$1001,0),1)&gt;=100000,INDEX($AO$1005:$BQ$1005,1,MATCH(COLUMNS($AO$1006:BP1006),$AO$1006:$BQ$1006,0))&gt;=100000), " ",IF(INDEX($AO$2:$BQ$1001,MATCH(ROWS($AH$2:AH862),$AH$2:$AH$1001,0),MATCH(COLUMNS($AO$1006:BP1006),$AO$1006:$BQ$1006,0)), HYPERLINK("#",""), HYPERLINK(CONCATENATE("#Metadata!", ADDRESS(INDEX($AJ$2:$AJ$1001,MATCH(ROWS($AH$2:AH862),$AH$2:$AH$1001,0),0), INDEX($AO$1004:$BQ$1004,1,MATCH(COLUMNS($AO$1006:BP1006),$AO$1006:$BQ$1006,0)))),"Fix")))</f>
        <v>#N/A</v>
      </c>
      <c r="AD862" s="5" t="e">
        <f ca="1">IF(OR(INDEX($AI$2:$AI$1001,MATCH(ROWS($AH$2:AH862),$AH$2:$AH$1001,0),1)&gt;=100000,INDEX($AO$1005:$BQ$1005,1,MATCH(COLUMNS($AO$1006:BQ1006),$AO$1006:$BQ$1006,0))&gt;=100000), " ",IF(INDEX($AO$2:$BQ$1001,MATCH(ROWS($AH$2:AH862),$AH$2:$AH$1001,0),MATCH(COLUMNS($AO$1006:BQ1006),$AO$1006:$BQ$1006,0)), HYPERLINK("#",""), HYPERLINK(CONCATENATE("#Metadata!", ADDRESS(INDEX($AJ$2:$AJ$1001,MATCH(ROWS($AH$2:AH862),$AH$2:$AH$1001,0),0), INDEX($AO$1004:$BQ$1004,1,MATCH(COLUMNS($AO$1006:BQ1006),$AO$1006:$BQ$1006,0)))),"Fix")))</f>
        <v>#REF!</v>
      </c>
      <c r="AH862">
        <f ca="1"/>
        <v>859</v>
      </c>
      <c r="AI862">
        <v>100862</v>
      </c>
      <c r="AJ862">
        <v>862</v>
      </c>
      <c r="AK862" t="b">
        <f t="shared" si="13"/>
        <v>1</v>
      </c>
      <c r="AL862" t="b">
        <f>COUNTBLANK(Metadata!B862:AD862)=COLUMNS(Metadata!B862:AD862)</f>
        <v>1</v>
      </c>
      <c r="AM862" t="str">
        <v/>
      </c>
      <c r="AO862" t="b">
        <f ca="1">AND(IF(Metadata!B862="",FALSE,TRUE),COUNTIF(Metadata!B:B, Metadata!B862) = 1,NOT(ISERROR(SUMPRODUCT(SEARCH(MID(Metadata!B862,ROW(INDIRECT("1:"&amp;LEN(Metadata!B862))), 1),"0123456789abcdefghijklmnopqrstuvwxyzABCDEFGHIJKLMNOPQRSTUVWXYZ.")))))</f>
        <v>0</v>
      </c>
      <c r="AP862" t="b">
        <f>IF(Metadata!C862="",FALSE,TRUE)</f>
        <v>0</v>
      </c>
      <c r="AQ862" t="b">
        <f>IF(Metadata!D862="",FALSE,TRUE)</f>
        <v>0</v>
      </c>
      <c r="AR862" t="b">
        <f ca="1">OR(AND(IF(Metadata!E862="",FALSE,TRUE),OR(EXACT(Metadata!E862,"not collected"),EXACT(Metadata!E862,"not provided"),EXACT(Metadata!E862,"restricted access"))),AND(IF(Metadata!E862="",FALSE,TRUE),AND(AND(IFERROR(INT(LEFT(Metadata!E862,4))&gt;1900,FALSE),IFERROR(INT(LEFT(Metadata!E862,4))&lt;=YEAR(NOW()),FALSE)), OR(MID(Metadata!E862,5,1)="", AND(AND(MID(Metadata!E862,5,1)="-",IFERROR(INT(MID(Metadata!E862,6,1))&gt;=0,FALSE),IFERROR(INT(MID(Metadata!E862,6,1))&lt;=1,FALSE),NOT(MID(Metadata!E862,7,1)=""),IFERROR(INT(MID(Metadata!E862,6,2))&gt;=1,FALSE),IFERROR(INT(MID(Metadata!E862,6,2))&lt;=12,FALSE)), OR(MID(Metadata!E862,8,1)="", AND(AND(MID(Metadata!E862,8,1)="-",IFERROR(INT(MID(Metadata!E862,9,1))&gt;=0,FALSE),IFERROR(INT(MID(Metadata!E862,9,1))&lt;=3,FALSE),NOT(MID(Metadata!E862,10,1)=""),IFERROR(INT(MID(Metadata!E862,9,2))&gt;=1,FALSE),IFERROR(INT(MID(Metadata!E862,9,2))&lt;=31,FALSE)), OR(MID(Metadata!E862,11,1)="", AND(AND(MID(Metadata!E862,11,1)=" ",IFERROR(INT(MID(Metadata!E862,12,1))&gt;=0,FALSE),IFERROR(INT(MID(Metadata!E862,12,1))&lt;=2,FALSE),NOT(MID(Metadata!E862,13,1)=""),IFERROR(INT(MID(Metadata!E862,12,2))&gt;=0,FALSE),IFERROR(INT(MID(Metadata!E862,12,2))&lt;=23,FALSE)), OR(MID(Metadata!E862,14,1)="", AND(AND(MID(Metadata!E862,14,1)=":",IFERROR(INT(MID(Metadata!E862,15,1))&gt;=0,FALSE),IFERROR(INT(MID(Metadata!E862,15,1))&lt;=5,FALSE),NOT(MID(Metadata!E862,16,1)=""),IFERROR(INT(MID(Metadata!E862,15,2))&gt;=0,FALSE),IFERROR(INT(MID(Metadata!E862,15,2))&lt;=59,FALSE)), OR(MID(Metadata!E862,17,1)="", AND(AND(MID(Metadata!E862,17,1)=":",IFERROR(INT(MID(Metadata!E862,18,1))&gt;=0,FALSE),IFERROR(INT(MID(Metadata!E862,18,1))&lt;=5,FALSE),NOT(MID(Metadata!E862,19,1)=""),IFERROR(INT(MID(Metadata!E862,18,2))&gt;=0,FALSE),IFERROR(INT(MID(Metadata!E862,18,2))&lt;=59,FALSE)), LEN(Metadata!E862)&lt;=19)))))))))))))</f>
        <v>0</v>
      </c>
      <c r="AS862" t="b">
        <f>IF(Metadata!F862="",FALSE,TRUE)</f>
        <v>0</v>
      </c>
      <c r="AT862" t="b">
        <f>OR(AND(IF(Metadata!G862="",FALSE,TRUE),OR(EXACT(Metadata!G862,"not collected"),EXACT(Metadata!G862,"not provided"))),AND(IF(Metadata!G862="",FALSE,TRUE),OR(EXACT(Metadata!G862,"TRUE"),EXACT(Metadata!G862,"FALSE"))))</f>
        <v>0</v>
      </c>
      <c r="AU862" t="b">
        <f>OR(AND(IF(Metadata!H862="",FALSE,TRUE),OR(EXACT(Metadata!H862,"not collected"),EXACT(Metadata!H862,"not provided"),EXACT(Metadata!H862,"restricted access"))),AND(IF(Metadata!H862="",FALSE,ISNUMBER(VALUE(Metadata!H862))),Metadata!H862&gt;=-413))</f>
        <v>0</v>
      </c>
      <c r="AV862" t="b">
        <f>AND(IF(Metadata!I862="",FALSE,TRUE),EXACT(Metadata!I862,"meters"))</f>
        <v>0</v>
      </c>
      <c r="AW862" t="b">
        <f>AND(IF(Metadata!J862="",FALSE,TRUE),EXACT(Metadata!J862,"free-living"))</f>
        <v>0</v>
      </c>
      <c r="AX862" t="b">
        <f>AND(IF(Metadata!K862="",FALSE,TRUE),OR(EXACT(Metadata!K862,"saline"),EXACT(Metadata!K862,"non-saline")))</f>
        <v>0</v>
      </c>
      <c r="AY862" t="b">
        <f>AND(IF(Metadata!L862="",FALSE,TRUE),OR(EXACT(Metadata!L862,"sub-surface (non-saline)"),EXACT(Metadata!L862,"surface (non-saline)"),EXACT(Metadata!L862,"water (non-saline)"),EXACT(Metadata!L862,"soil (non-saline)"),EXACT(Metadata!L862,"aerosol (non-saline)"),EXACT(Metadata!L862,"sediment (non-saline)"),EXACT(Metadata!L862,"surface (saline)"),EXACT(Metadata!L862,"water (saline)"),EXACT(Metadata!L862,"hypersaline (saline)"),EXACT(Metadata!L862,"aerosol (saline)"),EXACT(Metadata!L862,"sediment (saline)")))</f>
        <v>0</v>
      </c>
      <c r="AZ862" t="b">
        <f>IF(Metadata!M862="",FALSE,TRUE)</f>
        <v>0</v>
      </c>
      <c r="BA862" t="b">
        <f>IF(Metadata!N862="",FALSE,TRUE)</f>
        <v>0</v>
      </c>
      <c r="BB862" t="b">
        <f>IF(Metadata!O862="",FALSE,TRUE)</f>
        <v>0</v>
      </c>
      <c r="BC862" t="b">
        <f>AND(IF(Metadata!P862="",FALSE,TRUE),OR(EXACT(Metadata!P862,"air"),EXACT(Metadata!P862,"microbial mat/biofilm"),EXACT(Metadata!P862,"misc environment"),EXACT(Metadata!P862,"sediment"),EXACT(Metadata!P862,"soil"),EXACT(Metadata!P862,"wastewater/sludge"),EXACT(Metadata!P862,"water")))</f>
        <v>0</v>
      </c>
      <c r="BD862" t="b">
        <f>IF(Metadata!Q862="",FALSE,TRUE)</f>
        <v>0</v>
      </c>
      <c r="BE862" t="b">
        <f>IF(Metadata!R862="",FALSE,TRUE)</f>
        <v>0</v>
      </c>
      <c r="BF862" t="b">
        <f>OR(AND(IF(Metadata!S862="",FALSE,TRUE),OR(EXACT(Metadata!S862,"not collected"),EXACT(Metadata!S862,"not provided"),EXACT(Metadata!S862,"restricted access"))),AND(IF(Metadata!S862="",FALSE,ISNUMBER(VALUE(Metadata!S862))),Metadata!S862&gt;=-90,Metadata!S862&lt;=90))</f>
        <v>0</v>
      </c>
      <c r="BG862" t="b">
        <f>AND(IF(Metadata!T862="",FALSE,TRUE),EXACT(Metadata!T862,"Decimal degrees"))</f>
        <v>0</v>
      </c>
      <c r="BH862" t="b">
        <f>OR(AND(IF(Metadata!U862="",FALSE,TRUE),OR(EXACT(Metadata!U862,"not applicable"),EXACT(Metadata!U862,"not collected"))),IF(Metadata!U862="",FALSE,TRUE))</f>
        <v>0</v>
      </c>
      <c r="BI862" t="b">
        <f>OR(AND(IF(Metadata!V862="",FALSE,TRUE),OR(EXACT(Metadata!V862,"not collected"),EXACT(Metadata!V862,"not provided"),EXACT(Metadata!V862,"restricted access"))),AND(IF(Metadata!V862="",FALSE,ISNUMBER(VALUE(Metadata!V862))),Metadata!V862&gt;=-180,Metadata!V862&lt;=180))</f>
        <v>0</v>
      </c>
      <c r="BJ862" t="b">
        <f>AND(IF(Metadata!W862="",FALSE,TRUE),EXACT(Metadata!W862,"Decimal degrees"))</f>
        <v>0</v>
      </c>
      <c r="BK862" t="b">
        <f>IF(Metadata!X862="",FALSE,TRUE)</f>
        <v>0</v>
      </c>
      <c r="BL862" t="b">
        <f>OR(AND(IF(Metadata!Y862="",FALSE,TRUE),OR(EXACT(Metadata!Y862,"not collected"),EXACT(Metadata!Y862,"not provided"),EXACT(Metadata!Y862,"restricted access"))),AND(IF(Metadata!Y862="",FALSE,TRUE),OR(EXACT(Metadata!Y862,"TRUE"),EXACT(Metadata!Y862,"FALSE"))))</f>
        <v>0</v>
      </c>
      <c r="BM862" t="b">
        <f>OR(AND(IF(Metadata!Z862="",FALSE,TRUE),EXACT(Metadata!Z862,"not applicable")),AND(IF(Metadata!Z862="",FALSE,TRUE),OR(EXACT(Metadata!Z862,"beer"),EXACT(Metadata!Z862,"cheese"),EXACT(Metadata!Z862,"fresh water"),EXACT(Metadata!Z862,"marine sediment"),EXACT(Metadata!Z862,"sea water"),EXACT(Metadata!Z862,"sediment"),EXACT(Metadata!Z862,"soil"),EXACT(Metadata!Z862,"waste water"))))</f>
        <v>0</v>
      </c>
      <c r="BN862" t="b">
        <f>AND(IF(Metadata!AA862="",FALSE,TRUE),EXACT(Metadata!AA862,"metagenome"))</f>
        <v>0</v>
      </c>
      <c r="BO862" t="b">
        <f>AND(IF(Metadata!AB862="",FALSE,TRUE),EXACT(Metadata!AB862,"256318"))</f>
        <v>0</v>
      </c>
      <c r="BP862" t="b">
        <f>IF(Metadata!AC862="",FALSE,TRUE)</f>
        <v>0</v>
      </c>
      <c r="BQ862" t="b">
        <f>IF(Metadata!AD862="",FALSE,TRUE)</f>
        <v>0</v>
      </c>
    </row>
    <row r="863" spans="1:69" x14ac:dyDescent="0.2">
      <c r="A863" s="4" t="e">
        <f ca="1">IF(B863=" "," ",HYPERLINK(CONCATENATE("#metadata!",ADDRESS(INDEX($AJ$2:$AJ$1001,MATCH(ROWS($AH$2:AH863),$AH$2:$AH$1001,0),0),2)),INDEX($AM$2:$AM$1001,MATCH(ROWS($AH$2:AH863),$AH$2:$AH$1001,0),0)))</f>
        <v>#N/A</v>
      </c>
      <c r="B863" s="5" t="e">
        <f ca="1">IF(OR(INDEX($AI$2:$AI$1001,MATCH(ROWS($AH$2:AH863),$AH$2:$AH$1001,0),1)&gt;=100000,INDEX($AO$1005:$BQ$1005,1,MATCH(COLUMNS($AO$1006:AO1006),$AO$1006:$BQ$1006,0))&gt;=100000), " ",IF(INDEX($AO$2:$BQ$1001,MATCH(ROWS($AH$2:AH863),$AH$2:$AH$1001,0),MATCH(COLUMNS($AO$1006:AO1006),$AO$1006:$BQ$1006,0)), HYPERLINK("#",""), HYPERLINK(CONCATENATE("#Metadata!", ADDRESS(INDEX($AJ$2:$AJ$1001,MATCH(ROWS($AH$2:AH863),$AH$2:$AH$1001,0),0), INDEX($AO$1004:$BQ$1004,1,MATCH(COLUMNS($AO$1006:AO1006),$AO$1006:$BQ$1006,0)))),"Fix")))</f>
        <v>#N/A</v>
      </c>
      <c r="C863" s="5" t="e">
        <f ca="1">IF(OR(INDEX($AI$2:$AI$1001,MATCH(ROWS($AH$2:AH863),$AH$2:$AH$1001,0),1)&gt;=100000,INDEX($AO$1005:$BQ$1005,1,MATCH(COLUMNS($AO$1006:AP1006),$AO$1006:$BQ$1006,0))&gt;=100000), " ",IF(INDEX($AO$2:$BQ$1001,MATCH(ROWS($AH$2:AH863),$AH$2:$AH$1001,0),MATCH(COLUMNS($AO$1006:AP1006),$AO$1006:$BQ$1006,0)), HYPERLINK("#",""), HYPERLINK(CONCATENATE("#Metadata!", ADDRESS(INDEX($AJ$2:$AJ$1001,MATCH(ROWS($AH$2:AH863),$AH$2:$AH$1001,0),0), INDEX($AO$1004:$BQ$1004,1,MATCH(COLUMNS($AO$1006:AP1006),$AO$1006:$BQ$1006,0)))),"Fix")))</f>
        <v>#N/A</v>
      </c>
      <c r="D863" s="5" t="e">
        <f ca="1">IF(OR(INDEX($AI$2:$AI$1001,MATCH(ROWS($AH$2:AH863),$AH$2:$AH$1001,0),1)&gt;=100000,INDEX($AO$1005:$BQ$1005,1,MATCH(COLUMNS($AO$1006:AQ1006),$AO$1006:$BQ$1006,0))&gt;=100000), " ",IF(INDEX($AO$2:$BQ$1001,MATCH(ROWS($AH$2:AH863),$AH$2:$AH$1001,0),MATCH(COLUMNS($AO$1006:AQ1006),$AO$1006:$BQ$1006,0)), HYPERLINK("#",""), HYPERLINK(CONCATENATE("#Metadata!", ADDRESS(INDEX($AJ$2:$AJ$1001,MATCH(ROWS($AH$2:AH863),$AH$2:$AH$1001,0),0), INDEX($AO$1004:$BQ$1004,1,MATCH(COLUMNS($AO$1006:AQ1006),$AO$1006:$BQ$1006,0)))),"Fix")))</f>
        <v>#N/A</v>
      </c>
      <c r="E863" s="5" t="e">
        <f ca="1">IF(OR(INDEX($AI$2:$AI$1001,MATCH(ROWS($AH$2:AH863),$AH$2:$AH$1001,0),1)&gt;=100000,INDEX($AO$1005:$BQ$1005,1,MATCH(COLUMNS($AO$1006:AR1006),$AO$1006:$BQ$1006,0))&gt;=100000), " ",IF(INDEX($AO$2:$BQ$1001,MATCH(ROWS($AH$2:AH863),$AH$2:$AH$1001,0),MATCH(COLUMNS($AO$1006:AR1006),$AO$1006:$BQ$1006,0)), HYPERLINK("#",""), HYPERLINK(CONCATENATE("#Metadata!", ADDRESS(INDEX($AJ$2:$AJ$1001,MATCH(ROWS($AH$2:AH863),$AH$2:$AH$1001,0),0), INDEX($AO$1004:$BQ$1004,1,MATCH(COLUMNS($AO$1006:AR1006),$AO$1006:$BQ$1006,0)))),"Fix")))</f>
        <v>#N/A</v>
      </c>
      <c r="F863" s="5" t="e">
        <f ca="1">IF(OR(INDEX($AI$2:$AI$1001,MATCH(ROWS($AH$2:AH863),$AH$2:$AH$1001,0),1)&gt;=100000,INDEX($AO$1005:$BQ$1005,1,MATCH(COLUMNS($AO$1006:AS1006),$AO$1006:$BQ$1006,0))&gt;=100000), " ",IF(INDEX($AO$2:$BQ$1001,MATCH(ROWS($AH$2:AH863),$AH$2:$AH$1001,0),MATCH(COLUMNS($AO$1006:AS1006),$AO$1006:$BQ$1006,0)), HYPERLINK("#",""), HYPERLINK(CONCATENATE("#Metadata!", ADDRESS(INDEX($AJ$2:$AJ$1001,MATCH(ROWS($AH$2:AH863),$AH$2:$AH$1001,0),0), INDEX($AO$1004:$BQ$1004,1,MATCH(COLUMNS($AO$1006:AS1006),$AO$1006:$BQ$1006,0)))),"Fix")))</f>
        <v>#N/A</v>
      </c>
      <c r="G863" s="5" t="e">
        <f ca="1">IF(OR(INDEX($AI$2:$AI$1001,MATCH(ROWS($AH$2:AH863),$AH$2:$AH$1001,0),1)&gt;=100000,INDEX($AO$1005:$BQ$1005,1,MATCH(COLUMNS($AO$1006:AT1006),$AO$1006:$BQ$1006,0))&gt;=100000), " ",IF(INDEX($AO$2:$BQ$1001,MATCH(ROWS($AH$2:AH863),$AH$2:$AH$1001,0),MATCH(COLUMNS($AO$1006:AT1006),$AO$1006:$BQ$1006,0)), HYPERLINK("#",""), HYPERLINK(CONCATENATE("#Metadata!", ADDRESS(INDEX($AJ$2:$AJ$1001,MATCH(ROWS($AH$2:AH863),$AH$2:$AH$1001,0),0), INDEX($AO$1004:$BQ$1004,1,MATCH(COLUMNS($AO$1006:AT1006),$AO$1006:$BQ$1006,0)))),"Fix")))</f>
        <v>#N/A</v>
      </c>
      <c r="H863" s="5" t="e">
        <f ca="1">IF(OR(INDEX($AI$2:$AI$1001,MATCH(ROWS($AH$2:AH863),$AH$2:$AH$1001,0),1)&gt;=100000,INDEX($AO$1005:$BQ$1005,1,MATCH(COLUMNS($AO$1006:AU1006),$AO$1006:$BQ$1006,0))&gt;=100000), " ",IF(INDEX($AO$2:$BQ$1001,MATCH(ROWS($AH$2:AH863),$AH$2:$AH$1001,0),MATCH(COLUMNS($AO$1006:AU1006),$AO$1006:$BQ$1006,0)), HYPERLINK("#",""), HYPERLINK(CONCATENATE("#Metadata!", ADDRESS(INDEX($AJ$2:$AJ$1001,MATCH(ROWS($AH$2:AH863),$AH$2:$AH$1001,0),0), INDEX($AO$1004:$BQ$1004,1,MATCH(COLUMNS($AO$1006:AU1006),$AO$1006:$BQ$1006,0)))),"Fix")))</f>
        <v>#N/A</v>
      </c>
      <c r="I863" s="5" t="e">
        <f ca="1">IF(OR(INDEX($AI$2:$AI$1001,MATCH(ROWS($AH$2:AH863),$AH$2:$AH$1001,0),1)&gt;=100000,INDEX($AO$1005:$BQ$1005,1,MATCH(COLUMNS($AO$1006:AV1006),$AO$1006:$BQ$1006,0))&gt;=100000), " ",IF(INDEX($AO$2:$BQ$1001,MATCH(ROWS($AH$2:AH863),$AH$2:$AH$1001,0),MATCH(COLUMNS($AO$1006:AV1006),$AO$1006:$BQ$1006,0)), HYPERLINK("#",""), HYPERLINK(CONCATENATE("#Metadata!", ADDRESS(INDEX($AJ$2:$AJ$1001,MATCH(ROWS($AH$2:AH863),$AH$2:$AH$1001,0),0), INDEX($AO$1004:$BQ$1004,1,MATCH(COLUMNS($AO$1006:AV1006),$AO$1006:$BQ$1006,0)))),"Fix")))</f>
        <v>#N/A</v>
      </c>
      <c r="J863" s="5" t="e">
        <f ca="1">IF(OR(INDEX($AI$2:$AI$1001,MATCH(ROWS($AH$2:AH863),$AH$2:$AH$1001,0),1)&gt;=100000,INDEX($AO$1005:$BQ$1005,1,MATCH(COLUMNS($AO$1006:AW1006),$AO$1006:$BQ$1006,0))&gt;=100000), " ",IF(INDEX($AO$2:$BQ$1001,MATCH(ROWS($AH$2:AH863),$AH$2:$AH$1001,0),MATCH(COLUMNS($AO$1006:AW1006),$AO$1006:$BQ$1006,0)), HYPERLINK("#",""), HYPERLINK(CONCATENATE("#Metadata!", ADDRESS(INDEX($AJ$2:$AJ$1001,MATCH(ROWS($AH$2:AH863),$AH$2:$AH$1001,0),0), INDEX($AO$1004:$BQ$1004,1,MATCH(COLUMNS($AO$1006:AW1006),$AO$1006:$BQ$1006,0)))),"Fix")))</f>
        <v>#N/A</v>
      </c>
      <c r="K863" s="5" t="e">
        <f ca="1">IF(OR(INDEX($AI$2:$AI$1001,MATCH(ROWS($AH$2:AH863),$AH$2:$AH$1001,0),1)&gt;=100000,INDEX($AO$1005:$BQ$1005,1,MATCH(COLUMNS($AO$1006:AX1006),$AO$1006:$BQ$1006,0))&gt;=100000), " ",IF(INDEX($AO$2:$BQ$1001,MATCH(ROWS($AH$2:AH863),$AH$2:$AH$1001,0),MATCH(COLUMNS($AO$1006:AX1006),$AO$1006:$BQ$1006,0)), HYPERLINK("#",""), HYPERLINK(CONCATENATE("#Metadata!", ADDRESS(INDEX($AJ$2:$AJ$1001,MATCH(ROWS($AH$2:AH863),$AH$2:$AH$1001,0),0), INDEX($AO$1004:$BQ$1004,1,MATCH(COLUMNS($AO$1006:AX1006),$AO$1006:$BQ$1006,0)))),"Fix")))</f>
        <v>#N/A</v>
      </c>
      <c r="L863" s="5" t="e">
        <f ca="1">IF(OR(INDEX($AI$2:$AI$1001,MATCH(ROWS($AH$2:AH863),$AH$2:$AH$1001,0),1)&gt;=100000,INDEX($AO$1005:$BQ$1005,1,MATCH(COLUMNS($AO$1006:AY1006),$AO$1006:$BQ$1006,0))&gt;=100000), " ",IF(INDEX($AO$2:$BQ$1001,MATCH(ROWS($AH$2:AH863),$AH$2:$AH$1001,0),MATCH(COLUMNS($AO$1006:AY1006),$AO$1006:$BQ$1006,0)), HYPERLINK("#",""), HYPERLINK(CONCATENATE("#Metadata!", ADDRESS(INDEX($AJ$2:$AJ$1001,MATCH(ROWS($AH$2:AH863),$AH$2:$AH$1001,0),0), INDEX($AO$1004:$BQ$1004,1,MATCH(COLUMNS($AO$1006:AY1006),$AO$1006:$BQ$1006,0)))),"Fix")))</f>
        <v>#N/A</v>
      </c>
      <c r="M863" s="5" t="e">
        <f ca="1">IF(OR(INDEX($AI$2:$AI$1001,MATCH(ROWS($AH$2:AH863),$AH$2:$AH$1001,0),1)&gt;=100000,INDEX($AO$1005:$BQ$1005,1,MATCH(COLUMNS($AO$1006:AZ1006),$AO$1006:$BQ$1006,0))&gt;=100000), " ",IF(INDEX($AO$2:$BQ$1001,MATCH(ROWS($AH$2:AH863),$AH$2:$AH$1001,0),MATCH(COLUMNS($AO$1006:AZ1006),$AO$1006:$BQ$1006,0)), HYPERLINK("#",""), HYPERLINK(CONCATENATE("#Metadata!", ADDRESS(INDEX($AJ$2:$AJ$1001,MATCH(ROWS($AH$2:AH863),$AH$2:$AH$1001,0),0), INDEX($AO$1004:$BQ$1004,1,MATCH(COLUMNS($AO$1006:AZ1006),$AO$1006:$BQ$1006,0)))),"Fix")))</f>
        <v>#N/A</v>
      </c>
      <c r="N863" s="5" t="e">
        <f ca="1">IF(OR(INDEX($AI$2:$AI$1001,MATCH(ROWS($AH$2:AH863),$AH$2:$AH$1001,0),1)&gt;=100000,INDEX($AO$1005:$BQ$1005,1,MATCH(COLUMNS($AO$1006:BA1006),$AO$1006:$BQ$1006,0))&gt;=100000), " ",IF(INDEX($AO$2:$BQ$1001,MATCH(ROWS($AH$2:AH863),$AH$2:$AH$1001,0),MATCH(COLUMNS($AO$1006:BA1006),$AO$1006:$BQ$1006,0)), HYPERLINK("#",""), HYPERLINK(CONCATENATE("#Metadata!", ADDRESS(INDEX($AJ$2:$AJ$1001,MATCH(ROWS($AH$2:AH863),$AH$2:$AH$1001,0),0), INDEX($AO$1004:$BQ$1004,1,MATCH(COLUMNS($AO$1006:BA1006),$AO$1006:$BQ$1006,0)))),"Fix")))</f>
        <v>#N/A</v>
      </c>
      <c r="O863" s="5" t="e">
        <f ca="1">IF(OR(INDEX($AI$2:$AI$1001,MATCH(ROWS($AH$2:AH863),$AH$2:$AH$1001,0),1)&gt;=100000,INDEX($AO$1005:$BQ$1005,1,MATCH(COLUMNS($AO$1006:BB1006),$AO$1006:$BQ$1006,0))&gt;=100000), " ",IF(INDEX($AO$2:$BQ$1001,MATCH(ROWS($AH$2:AH863),$AH$2:$AH$1001,0),MATCH(COLUMNS($AO$1006:BB1006),$AO$1006:$BQ$1006,0)), HYPERLINK("#",""), HYPERLINK(CONCATENATE("#Metadata!", ADDRESS(INDEX($AJ$2:$AJ$1001,MATCH(ROWS($AH$2:AH863),$AH$2:$AH$1001,0),0), INDEX($AO$1004:$BQ$1004,1,MATCH(COLUMNS($AO$1006:BB1006),$AO$1006:$BQ$1006,0)))),"Fix")))</f>
        <v>#N/A</v>
      </c>
      <c r="P863" s="5" t="e">
        <f ca="1">IF(OR(INDEX($AI$2:$AI$1001,MATCH(ROWS($AH$2:AH863),$AH$2:$AH$1001,0),1)&gt;=100000,INDEX($AO$1005:$BQ$1005,1,MATCH(COLUMNS($AO$1006:BC1006),$AO$1006:$BQ$1006,0))&gt;=100000), " ",IF(INDEX($AO$2:$BQ$1001,MATCH(ROWS($AH$2:AH863),$AH$2:$AH$1001,0),MATCH(COLUMNS($AO$1006:BC1006),$AO$1006:$BQ$1006,0)), HYPERLINK("#",""), HYPERLINK(CONCATENATE("#Metadata!", ADDRESS(INDEX($AJ$2:$AJ$1001,MATCH(ROWS($AH$2:AH863),$AH$2:$AH$1001,0),0), INDEX($AO$1004:$BQ$1004,1,MATCH(COLUMNS($AO$1006:BC1006),$AO$1006:$BQ$1006,0)))),"Fix")))</f>
        <v>#N/A</v>
      </c>
      <c r="Q863" s="5" t="e">
        <f ca="1">IF(OR(INDEX($AI$2:$AI$1001,MATCH(ROWS($AH$2:AH863),$AH$2:$AH$1001,0),1)&gt;=100000,INDEX($AO$1005:$BQ$1005,1,MATCH(COLUMNS($AO$1006:BD1006),$AO$1006:$BQ$1006,0))&gt;=100000), " ",IF(INDEX($AO$2:$BQ$1001,MATCH(ROWS($AH$2:AH863),$AH$2:$AH$1001,0),MATCH(COLUMNS($AO$1006:BD1006),$AO$1006:$BQ$1006,0)), HYPERLINK("#",""), HYPERLINK(CONCATENATE("#Metadata!", ADDRESS(INDEX($AJ$2:$AJ$1001,MATCH(ROWS($AH$2:AH863),$AH$2:$AH$1001,0),0), INDEX($AO$1004:$BQ$1004,1,MATCH(COLUMNS($AO$1006:BD1006),$AO$1006:$BQ$1006,0)))),"Fix")))</f>
        <v>#N/A</v>
      </c>
      <c r="R863" s="5" t="e">
        <f ca="1">IF(OR(INDEX($AI$2:$AI$1001,MATCH(ROWS($AH$2:AH863),$AH$2:$AH$1001,0),1)&gt;=100000,INDEX($AO$1005:$BQ$1005,1,MATCH(COLUMNS($AO$1006:BE1006),$AO$1006:$BQ$1006,0))&gt;=100000), " ",IF(INDEX($AO$2:$BQ$1001,MATCH(ROWS($AH$2:AH863),$AH$2:$AH$1001,0),MATCH(COLUMNS($AO$1006:BE1006),$AO$1006:$BQ$1006,0)), HYPERLINK("#",""), HYPERLINK(CONCATENATE("#Metadata!", ADDRESS(INDEX($AJ$2:$AJ$1001,MATCH(ROWS($AH$2:AH863),$AH$2:$AH$1001,0),0), INDEX($AO$1004:$BQ$1004,1,MATCH(COLUMNS($AO$1006:BE1006),$AO$1006:$BQ$1006,0)))),"Fix")))</f>
        <v>#N/A</v>
      </c>
      <c r="S863" s="5" t="e">
        <f ca="1">IF(OR(INDEX($AI$2:$AI$1001,MATCH(ROWS($AH$2:AH863),$AH$2:$AH$1001,0),1)&gt;=100000,INDEX($AO$1005:$BQ$1005,1,MATCH(COLUMNS($AO$1006:BF1006),$AO$1006:$BQ$1006,0))&gt;=100000), " ",IF(INDEX($AO$2:$BQ$1001,MATCH(ROWS($AH$2:AH863),$AH$2:$AH$1001,0),MATCH(COLUMNS($AO$1006:BF1006),$AO$1006:$BQ$1006,0)), HYPERLINK("#",""), HYPERLINK(CONCATENATE("#Metadata!", ADDRESS(INDEX($AJ$2:$AJ$1001,MATCH(ROWS($AH$2:AH863),$AH$2:$AH$1001,0),0), INDEX($AO$1004:$BQ$1004,1,MATCH(COLUMNS($AO$1006:BF1006),$AO$1006:$BQ$1006,0)))),"Fix")))</f>
        <v>#N/A</v>
      </c>
      <c r="T863" s="5" t="e">
        <f ca="1">IF(OR(INDEX($AI$2:$AI$1001,MATCH(ROWS($AH$2:AH863),$AH$2:$AH$1001,0),1)&gt;=100000,INDEX($AO$1005:$BQ$1005,1,MATCH(COLUMNS($AO$1006:BG1006),$AO$1006:$BQ$1006,0))&gt;=100000), " ",IF(INDEX($AO$2:$BQ$1001,MATCH(ROWS($AH$2:AH863),$AH$2:$AH$1001,0),MATCH(COLUMNS($AO$1006:BG1006),$AO$1006:$BQ$1006,0)), HYPERLINK("#",""), HYPERLINK(CONCATENATE("#Metadata!", ADDRESS(INDEX($AJ$2:$AJ$1001,MATCH(ROWS($AH$2:AH863),$AH$2:$AH$1001,0),0), INDEX($AO$1004:$BQ$1004,1,MATCH(COLUMNS($AO$1006:BG1006),$AO$1006:$BQ$1006,0)))),"Fix")))</f>
        <v>#N/A</v>
      </c>
      <c r="U863" s="5" t="e">
        <f ca="1">IF(OR(INDEX($AI$2:$AI$1001,MATCH(ROWS($AH$2:AH863),$AH$2:$AH$1001,0),1)&gt;=100000,INDEX($AO$1005:$BQ$1005,1,MATCH(COLUMNS($AO$1006:BH1006),$AO$1006:$BQ$1006,0))&gt;=100000), " ",IF(INDEX($AO$2:$BQ$1001,MATCH(ROWS($AH$2:AH863),$AH$2:$AH$1001,0),MATCH(COLUMNS($AO$1006:BH1006),$AO$1006:$BQ$1006,0)), HYPERLINK("#",""), HYPERLINK(CONCATENATE("#Metadata!", ADDRESS(INDEX($AJ$2:$AJ$1001,MATCH(ROWS($AH$2:AH863),$AH$2:$AH$1001,0),0), INDEX($AO$1004:$BQ$1004,1,MATCH(COLUMNS($AO$1006:BH1006),$AO$1006:$BQ$1006,0)))),"Fix")))</f>
        <v>#N/A</v>
      </c>
      <c r="V863" s="5" t="e">
        <f ca="1">IF(OR(INDEX($AI$2:$AI$1001,MATCH(ROWS($AH$2:AH863),$AH$2:$AH$1001,0),1)&gt;=100000,INDEX($AO$1005:$BQ$1005,1,MATCH(COLUMNS($AO$1006:BI1006),$AO$1006:$BQ$1006,0))&gt;=100000), " ",IF(INDEX($AO$2:$BQ$1001,MATCH(ROWS($AH$2:AH863),$AH$2:$AH$1001,0),MATCH(COLUMNS($AO$1006:BI1006),$AO$1006:$BQ$1006,0)), HYPERLINK("#",""), HYPERLINK(CONCATENATE("#Metadata!", ADDRESS(INDEX($AJ$2:$AJ$1001,MATCH(ROWS($AH$2:AH863),$AH$2:$AH$1001,0),0), INDEX($AO$1004:$BQ$1004,1,MATCH(COLUMNS($AO$1006:BI1006),$AO$1006:$BQ$1006,0)))),"Fix")))</f>
        <v>#N/A</v>
      </c>
      <c r="W863" s="5" t="e">
        <f ca="1">IF(OR(INDEX($AI$2:$AI$1001,MATCH(ROWS($AH$2:AH863),$AH$2:$AH$1001,0),1)&gt;=100000,INDEX($AO$1005:$BQ$1005,1,MATCH(COLUMNS($AO$1006:BJ1006),$AO$1006:$BQ$1006,0))&gt;=100000), " ",IF(INDEX($AO$2:$BQ$1001,MATCH(ROWS($AH$2:AH863),$AH$2:$AH$1001,0),MATCH(COLUMNS($AO$1006:BJ1006),$AO$1006:$BQ$1006,0)), HYPERLINK("#",""), HYPERLINK(CONCATENATE("#Metadata!", ADDRESS(INDEX($AJ$2:$AJ$1001,MATCH(ROWS($AH$2:AH863),$AH$2:$AH$1001,0),0), INDEX($AO$1004:$BQ$1004,1,MATCH(COLUMNS($AO$1006:BJ1006),$AO$1006:$BQ$1006,0)))),"Fix")))</f>
        <v>#N/A</v>
      </c>
      <c r="X863" s="5" t="e">
        <f ca="1">IF(OR(INDEX($AI$2:$AI$1001,MATCH(ROWS($AH$2:AH863),$AH$2:$AH$1001,0),1)&gt;=100000,INDEX($AO$1005:$BQ$1005,1,MATCH(COLUMNS($AO$1006:BK1006),$AO$1006:$BQ$1006,0))&gt;=100000), " ",IF(INDEX($AO$2:$BQ$1001,MATCH(ROWS($AH$2:AH863),$AH$2:$AH$1001,0),MATCH(COLUMNS($AO$1006:BK1006),$AO$1006:$BQ$1006,0)), HYPERLINK("#",""), HYPERLINK(CONCATENATE("#Metadata!", ADDRESS(INDEX($AJ$2:$AJ$1001,MATCH(ROWS($AH$2:AH863),$AH$2:$AH$1001,0),0), INDEX($AO$1004:$BQ$1004,1,MATCH(COLUMNS($AO$1006:BK1006),$AO$1006:$BQ$1006,0)))),"Fix")))</f>
        <v>#N/A</v>
      </c>
      <c r="Y863" s="5" t="e">
        <f ca="1">IF(OR(INDEX($AI$2:$AI$1001,MATCH(ROWS($AH$2:AH863),$AH$2:$AH$1001,0),1)&gt;=100000,INDEX($AO$1005:$BQ$1005,1,MATCH(COLUMNS($AO$1006:BL1006),$AO$1006:$BQ$1006,0))&gt;=100000), " ",IF(INDEX($AO$2:$BQ$1001,MATCH(ROWS($AH$2:AH863),$AH$2:$AH$1001,0),MATCH(COLUMNS($AO$1006:BL1006),$AO$1006:$BQ$1006,0)), HYPERLINK("#",""), HYPERLINK(CONCATENATE("#Metadata!", ADDRESS(INDEX($AJ$2:$AJ$1001,MATCH(ROWS($AH$2:AH863),$AH$2:$AH$1001,0),0), INDEX($AO$1004:$BQ$1004,1,MATCH(COLUMNS($AO$1006:BL1006),$AO$1006:$BQ$1006,0)))),"Fix")))</f>
        <v>#N/A</v>
      </c>
      <c r="Z863" s="5" t="e">
        <f ca="1">IF(OR(INDEX($AI$2:$AI$1001,MATCH(ROWS($AH$2:AH863),$AH$2:$AH$1001,0),1)&gt;=100000,INDEX($AO$1005:$BQ$1005,1,MATCH(COLUMNS($AO$1006:BM1006),$AO$1006:$BQ$1006,0))&gt;=100000), " ",IF(INDEX($AO$2:$BQ$1001,MATCH(ROWS($AH$2:AH863),$AH$2:$AH$1001,0),MATCH(COLUMNS($AO$1006:BM1006),$AO$1006:$BQ$1006,0)), HYPERLINK("#",""), HYPERLINK(CONCATENATE("#Metadata!", ADDRESS(INDEX($AJ$2:$AJ$1001,MATCH(ROWS($AH$2:AH863),$AH$2:$AH$1001,0),0), INDEX($AO$1004:$BQ$1004,1,MATCH(COLUMNS($AO$1006:BM1006),$AO$1006:$BQ$1006,0)))),"Fix")))</f>
        <v>#N/A</v>
      </c>
      <c r="AA863" s="5" t="e">
        <f ca="1">IF(OR(INDEX($AI$2:$AI$1001,MATCH(ROWS($AH$2:AH863),$AH$2:$AH$1001,0),1)&gt;=100000,INDEX($AO$1005:$BQ$1005,1,MATCH(COLUMNS($AO$1006:BN1006),$AO$1006:$BQ$1006,0))&gt;=100000), " ",IF(INDEX($AO$2:$BQ$1001,MATCH(ROWS($AH$2:AH863),$AH$2:$AH$1001,0),MATCH(COLUMNS($AO$1006:BN1006),$AO$1006:$BQ$1006,0)), HYPERLINK("#",""), HYPERLINK(CONCATENATE("#Metadata!", ADDRESS(INDEX($AJ$2:$AJ$1001,MATCH(ROWS($AH$2:AH863),$AH$2:$AH$1001,0),0), INDEX($AO$1004:$BQ$1004,1,MATCH(COLUMNS($AO$1006:BN1006),$AO$1006:$BQ$1006,0)))),"Fix")))</f>
        <v>#N/A</v>
      </c>
      <c r="AB863" s="5" t="e">
        <f ca="1">IF(OR(INDEX($AI$2:$AI$1001,MATCH(ROWS($AH$2:AH863),$AH$2:$AH$1001,0),1)&gt;=100000,INDEX($AO$1005:$BQ$1005,1,MATCH(COLUMNS($AO$1006:BO1006),$AO$1006:$BQ$1006,0))&gt;=100000), " ",IF(INDEX($AO$2:$BQ$1001,MATCH(ROWS($AH$2:AH863),$AH$2:$AH$1001,0),MATCH(COLUMNS($AO$1006:BO1006),$AO$1006:$BQ$1006,0)), HYPERLINK("#",""), HYPERLINK(CONCATENATE("#Metadata!", ADDRESS(INDEX($AJ$2:$AJ$1001,MATCH(ROWS($AH$2:AH863),$AH$2:$AH$1001,0),0), INDEX($AO$1004:$BQ$1004,1,MATCH(COLUMNS($AO$1006:BO1006),$AO$1006:$BQ$1006,0)))),"Fix")))</f>
        <v>#N/A</v>
      </c>
      <c r="AC863" s="5" t="e">
        <f ca="1">IF(OR(INDEX($AI$2:$AI$1001,MATCH(ROWS($AH$2:AH863),$AH$2:$AH$1001,0),1)&gt;=100000,INDEX($AO$1005:$BQ$1005,1,MATCH(COLUMNS($AO$1006:BP1006),$AO$1006:$BQ$1006,0))&gt;=100000), " ",IF(INDEX($AO$2:$BQ$1001,MATCH(ROWS($AH$2:AH863),$AH$2:$AH$1001,0),MATCH(COLUMNS($AO$1006:BP1006),$AO$1006:$BQ$1006,0)), HYPERLINK("#",""), HYPERLINK(CONCATENATE("#Metadata!", ADDRESS(INDEX($AJ$2:$AJ$1001,MATCH(ROWS($AH$2:AH863),$AH$2:$AH$1001,0),0), INDEX($AO$1004:$BQ$1004,1,MATCH(COLUMNS($AO$1006:BP1006),$AO$1006:$BQ$1006,0)))),"Fix")))</f>
        <v>#N/A</v>
      </c>
      <c r="AD863" s="5" t="e">
        <f ca="1">IF(OR(INDEX($AI$2:$AI$1001,MATCH(ROWS($AH$2:AH863),$AH$2:$AH$1001,0),1)&gt;=100000,INDEX($AO$1005:$BQ$1005,1,MATCH(COLUMNS($AO$1006:BQ1006),$AO$1006:$BQ$1006,0))&gt;=100000), " ",IF(INDEX($AO$2:$BQ$1001,MATCH(ROWS($AH$2:AH863),$AH$2:$AH$1001,0),MATCH(COLUMNS($AO$1006:BQ1006),$AO$1006:$BQ$1006,0)), HYPERLINK("#",""), HYPERLINK(CONCATENATE("#Metadata!", ADDRESS(INDEX($AJ$2:$AJ$1001,MATCH(ROWS($AH$2:AH863),$AH$2:$AH$1001,0),0), INDEX($AO$1004:$BQ$1004,1,MATCH(COLUMNS($AO$1006:BQ1006),$AO$1006:$BQ$1006,0)))),"Fix")))</f>
        <v>#REF!</v>
      </c>
      <c r="AH863">
        <f ca="1"/>
        <v>860</v>
      </c>
      <c r="AI863">
        <v>100863</v>
      </c>
      <c r="AJ863">
        <v>863</v>
      </c>
      <c r="AK863" t="b">
        <f t="shared" si="13"/>
        <v>1</v>
      </c>
      <c r="AL863" t="b">
        <f>COUNTBLANK(Metadata!B863:AD863)=COLUMNS(Metadata!B863:AD863)</f>
        <v>1</v>
      </c>
      <c r="AM863" t="str">
        <v/>
      </c>
      <c r="AO863" t="b">
        <f ca="1">AND(IF(Metadata!B863="",FALSE,TRUE),COUNTIF(Metadata!B:B, Metadata!B863) = 1,NOT(ISERROR(SUMPRODUCT(SEARCH(MID(Metadata!B863,ROW(INDIRECT("1:"&amp;LEN(Metadata!B863))), 1),"0123456789abcdefghijklmnopqrstuvwxyzABCDEFGHIJKLMNOPQRSTUVWXYZ.")))))</f>
        <v>0</v>
      </c>
      <c r="AP863" t="b">
        <f>IF(Metadata!C863="",FALSE,TRUE)</f>
        <v>0</v>
      </c>
      <c r="AQ863" t="b">
        <f>IF(Metadata!D863="",FALSE,TRUE)</f>
        <v>0</v>
      </c>
      <c r="AR863" t="b">
        <f ca="1">OR(AND(IF(Metadata!E863="",FALSE,TRUE),OR(EXACT(Metadata!E863,"not collected"),EXACT(Metadata!E863,"not provided"),EXACT(Metadata!E863,"restricted access"))),AND(IF(Metadata!E863="",FALSE,TRUE),AND(AND(IFERROR(INT(LEFT(Metadata!E863,4))&gt;1900,FALSE),IFERROR(INT(LEFT(Metadata!E863,4))&lt;=YEAR(NOW()),FALSE)), OR(MID(Metadata!E863,5,1)="", AND(AND(MID(Metadata!E863,5,1)="-",IFERROR(INT(MID(Metadata!E863,6,1))&gt;=0,FALSE),IFERROR(INT(MID(Metadata!E863,6,1))&lt;=1,FALSE),NOT(MID(Metadata!E863,7,1)=""),IFERROR(INT(MID(Metadata!E863,6,2))&gt;=1,FALSE),IFERROR(INT(MID(Metadata!E863,6,2))&lt;=12,FALSE)), OR(MID(Metadata!E863,8,1)="", AND(AND(MID(Metadata!E863,8,1)="-",IFERROR(INT(MID(Metadata!E863,9,1))&gt;=0,FALSE),IFERROR(INT(MID(Metadata!E863,9,1))&lt;=3,FALSE),NOT(MID(Metadata!E863,10,1)=""),IFERROR(INT(MID(Metadata!E863,9,2))&gt;=1,FALSE),IFERROR(INT(MID(Metadata!E863,9,2))&lt;=31,FALSE)), OR(MID(Metadata!E863,11,1)="", AND(AND(MID(Metadata!E863,11,1)=" ",IFERROR(INT(MID(Metadata!E863,12,1))&gt;=0,FALSE),IFERROR(INT(MID(Metadata!E863,12,1))&lt;=2,FALSE),NOT(MID(Metadata!E863,13,1)=""),IFERROR(INT(MID(Metadata!E863,12,2))&gt;=0,FALSE),IFERROR(INT(MID(Metadata!E863,12,2))&lt;=23,FALSE)), OR(MID(Metadata!E863,14,1)="", AND(AND(MID(Metadata!E863,14,1)=":",IFERROR(INT(MID(Metadata!E863,15,1))&gt;=0,FALSE),IFERROR(INT(MID(Metadata!E863,15,1))&lt;=5,FALSE),NOT(MID(Metadata!E863,16,1)=""),IFERROR(INT(MID(Metadata!E863,15,2))&gt;=0,FALSE),IFERROR(INT(MID(Metadata!E863,15,2))&lt;=59,FALSE)), OR(MID(Metadata!E863,17,1)="", AND(AND(MID(Metadata!E863,17,1)=":",IFERROR(INT(MID(Metadata!E863,18,1))&gt;=0,FALSE),IFERROR(INT(MID(Metadata!E863,18,1))&lt;=5,FALSE),NOT(MID(Metadata!E863,19,1)=""),IFERROR(INT(MID(Metadata!E863,18,2))&gt;=0,FALSE),IFERROR(INT(MID(Metadata!E863,18,2))&lt;=59,FALSE)), LEN(Metadata!E863)&lt;=19)))))))))))))</f>
        <v>0</v>
      </c>
      <c r="AS863" t="b">
        <f>IF(Metadata!F863="",FALSE,TRUE)</f>
        <v>0</v>
      </c>
      <c r="AT863" t="b">
        <f>OR(AND(IF(Metadata!G863="",FALSE,TRUE),OR(EXACT(Metadata!G863,"not collected"),EXACT(Metadata!G863,"not provided"))),AND(IF(Metadata!G863="",FALSE,TRUE),OR(EXACT(Metadata!G863,"TRUE"),EXACT(Metadata!G863,"FALSE"))))</f>
        <v>0</v>
      </c>
      <c r="AU863" t="b">
        <f>OR(AND(IF(Metadata!H863="",FALSE,TRUE),OR(EXACT(Metadata!H863,"not collected"),EXACT(Metadata!H863,"not provided"),EXACT(Metadata!H863,"restricted access"))),AND(IF(Metadata!H863="",FALSE,ISNUMBER(VALUE(Metadata!H863))),Metadata!H863&gt;=-413))</f>
        <v>0</v>
      </c>
      <c r="AV863" t="b">
        <f>AND(IF(Metadata!I863="",FALSE,TRUE),EXACT(Metadata!I863,"meters"))</f>
        <v>0</v>
      </c>
      <c r="AW863" t="b">
        <f>AND(IF(Metadata!J863="",FALSE,TRUE),EXACT(Metadata!J863,"free-living"))</f>
        <v>0</v>
      </c>
      <c r="AX863" t="b">
        <f>AND(IF(Metadata!K863="",FALSE,TRUE),OR(EXACT(Metadata!K863,"saline"),EXACT(Metadata!K863,"non-saline")))</f>
        <v>0</v>
      </c>
      <c r="AY863" t="b">
        <f>AND(IF(Metadata!L863="",FALSE,TRUE),OR(EXACT(Metadata!L863,"sub-surface (non-saline)"),EXACT(Metadata!L863,"surface (non-saline)"),EXACT(Metadata!L863,"water (non-saline)"),EXACT(Metadata!L863,"soil (non-saline)"),EXACT(Metadata!L863,"aerosol (non-saline)"),EXACT(Metadata!L863,"sediment (non-saline)"),EXACT(Metadata!L863,"surface (saline)"),EXACT(Metadata!L863,"water (saline)"),EXACT(Metadata!L863,"hypersaline (saline)"),EXACT(Metadata!L863,"aerosol (saline)"),EXACT(Metadata!L863,"sediment (saline)")))</f>
        <v>0</v>
      </c>
      <c r="AZ863" t="b">
        <f>IF(Metadata!M863="",FALSE,TRUE)</f>
        <v>0</v>
      </c>
      <c r="BA863" t="b">
        <f>IF(Metadata!N863="",FALSE,TRUE)</f>
        <v>0</v>
      </c>
      <c r="BB863" t="b">
        <f>IF(Metadata!O863="",FALSE,TRUE)</f>
        <v>0</v>
      </c>
      <c r="BC863" t="b">
        <f>AND(IF(Metadata!P863="",FALSE,TRUE),OR(EXACT(Metadata!P863,"air"),EXACT(Metadata!P863,"microbial mat/biofilm"),EXACT(Metadata!P863,"misc environment"),EXACT(Metadata!P863,"sediment"),EXACT(Metadata!P863,"soil"),EXACT(Metadata!P863,"wastewater/sludge"),EXACT(Metadata!P863,"water")))</f>
        <v>0</v>
      </c>
      <c r="BD863" t="b">
        <f>IF(Metadata!Q863="",FALSE,TRUE)</f>
        <v>0</v>
      </c>
      <c r="BE863" t="b">
        <f>IF(Metadata!R863="",FALSE,TRUE)</f>
        <v>0</v>
      </c>
      <c r="BF863" t="b">
        <f>OR(AND(IF(Metadata!S863="",FALSE,TRUE),OR(EXACT(Metadata!S863,"not collected"),EXACT(Metadata!S863,"not provided"),EXACT(Metadata!S863,"restricted access"))),AND(IF(Metadata!S863="",FALSE,ISNUMBER(VALUE(Metadata!S863))),Metadata!S863&gt;=-90,Metadata!S863&lt;=90))</f>
        <v>0</v>
      </c>
      <c r="BG863" t="b">
        <f>AND(IF(Metadata!T863="",FALSE,TRUE),EXACT(Metadata!T863,"Decimal degrees"))</f>
        <v>0</v>
      </c>
      <c r="BH863" t="b">
        <f>OR(AND(IF(Metadata!U863="",FALSE,TRUE),OR(EXACT(Metadata!U863,"not applicable"),EXACT(Metadata!U863,"not collected"))),IF(Metadata!U863="",FALSE,TRUE))</f>
        <v>0</v>
      </c>
      <c r="BI863" t="b">
        <f>OR(AND(IF(Metadata!V863="",FALSE,TRUE),OR(EXACT(Metadata!V863,"not collected"),EXACT(Metadata!V863,"not provided"),EXACT(Metadata!V863,"restricted access"))),AND(IF(Metadata!V863="",FALSE,ISNUMBER(VALUE(Metadata!V863))),Metadata!V863&gt;=-180,Metadata!V863&lt;=180))</f>
        <v>0</v>
      </c>
      <c r="BJ863" t="b">
        <f>AND(IF(Metadata!W863="",FALSE,TRUE),EXACT(Metadata!W863,"Decimal degrees"))</f>
        <v>0</v>
      </c>
      <c r="BK863" t="b">
        <f>IF(Metadata!X863="",FALSE,TRUE)</f>
        <v>0</v>
      </c>
      <c r="BL863" t="b">
        <f>OR(AND(IF(Metadata!Y863="",FALSE,TRUE),OR(EXACT(Metadata!Y863,"not collected"),EXACT(Metadata!Y863,"not provided"),EXACT(Metadata!Y863,"restricted access"))),AND(IF(Metadata!Y863="",FALSE,TRUE),OR(EXACT(Metadata!Y863,"TRUE"),EXACT(Metadata!Y863,"FALSE"))))</f>
        <v>0</v>
      </c>
      <c r="BM863" t="b">
        <f>OR(AND(IF(Metadata!Z863="",FALSE,TRUE),EXACT(Metadata!Z863,"not applicable")),AND(IF(Metadata!Z863="",FALSE,TRUE),OR(EXACT(Metadata!Z863,"beer"),EXACT(Metadata!Z863,"cheese"),EXACT(Metadata!Z863,"fresh water"),EXACT(Metadata!Z863,"marine sediment"),EXACT(Metadata!Z863,"sea water"),EXACT(Metadata!Z863,"sediment"),EXACT(Metadata!Z863,"soil"),EXACT(Metadata!Z863,"waste water"))))</f>
        <v>0</v>
      </c>
      <c r="BN863" t="b">
        <f>AND(IF(Metadata!AA863="",FALSE,TRUE),EXACT(Metadata!AA863,"metagenome"))</f>
        <v>0</v>
      </c>
      <c r="BO863" t="b">
        <f>AND(IF(Metadata!AB863="",FALSE,TRUE),EXACT(Metadata!AB863,"256318"))</f>
        <v>0</v>
      </c>
      <c r="BP863" t="b">
        <f>IF(Metadata!AC863="",FALSE,TRUE)</f>
        <v>0</v>
      </c>
      <c r="BQ863" t="b">
        <f>IF(Metadata!AD863="",FALSE,TRUE)</f>
        <v>0</v>
      </c>
    </row>
    <row r="864" spans="1:69" x14ac:dyDescent="0.2">
      <c r="A864" s="4" t="e">
        <f ca="1">IF(B864=" "," ",HYPERLINK(CONCATENATE("#metadata!",ADDRESS(INDEX($AJ$2:$AJ$1001,MATCH(ROWS($AH$2:AH864),$AH$2:$AH$1001,0),0),2)),INDEX($AM$2:$AM$1001,MATCH(ROWS($AH$2:AH864),$AH$2:$AH$1001,0),0)))</f>
        <v>#N/A</v>
      </c>
      <c r="B864" s="5" t="e">
        <f ca="1">IF(OR(INDEX($AI$2:$AI$1001,MATCH(ROWS($AH$2:AH864),$AH$2:$AH$1001,0),1)&gt;=100000,INDEX($AO$1005:$BQ$1005,1,MATCH(COLUMNS($AO$1006:AO1006),$AO$1006:$BQ$1006,0))&gt;=100000), " ",IF(INDEX($AO$2:$BQ$1001,MATCH(ROWS($AH$2:AH864),$AH$2:$AH$1001,0),MATCH(COLUMNS($AO$1006:AO1006),$AO$1006:$BQ$1006,0)), HYPERLINK("#",""), HYPERLINK(CONCATENATE("#Metadata!", ADDRESS(INDEX($AJ$2:$AJ$1001,MATCH(ROWS($AH$2:AH864),$AH$2:$AH$1001,0),0), INDEX($AO$1004:$BQ$1004,1,MATCH(COLUMNS($AO$1006:AO1006),$AO$1006:$BQ$1006,0)))),"Fix")))</f>
        <v>#N/A</v>
      </c>
      <c r="C864" s="5" t="e">
        <f ca="1">IF(OR(INDEX($AI$2:$AI$1001,MATCH(ROWS($AH$2:AH864),$AH$2:$AH$1001,0),1)&gt;=100000,INDEX($AO$1005:$BQ$1005,1,MATCH(COLUMNS($AO$1006:AP1006),$AO$1006:$BQ$1006,0))&gt;=100000), " ",IF(INDEX($AO$2:$BQ$1001,MATCH(ROWS($AH$2:AH864),$AH$2:$AH$1001,0),MATCH(COLUMNS($AO$1006:AP1006),$AO$1006:$BQ$1006,0)), HYPERLINK("#",""), HYPERLINK(CONCATENATE("#Metadata!", ADDRESS(INDEX($AJ$2:$AJ$1001,MATCH(ROWS($AH$2:AH864),$AH$2:$AH$1001,0),0), INDEX($AO$1004:$BQ$1004,1,MATCH(COLUMNS($AO$1006:AP1006),$AO$1006:$BQ$1006,0)))),"Fix")))</f>
        <v>#N/A</v>
      </c>
      <c r="D864" s="5" t="e">
        <f ca="1">IF(OR(INDEX($AI$2:$AI$1001,MATCH(ROWS($AH$2:AH864),$AH$2:$AH$1001,0),1)&gt;=100000,INDEX($AO$1005:$BQ$1005,1,MATCH(COLUMNS($AO$1006:AQ1006),$AO$1006:$BQ$1006,0))&gt;=100000), " ",IF(INDEX($AO$2:$BQ$1001,MATCH(ROWS($AH$2:AH864),$AH$2:$AH$1001,0),MATCH(COLUMNS($AO$1006:AQ1006),$AO$1006:$BQ$1006,0)), HYPERLINK("#",""), HYPERLINK(CONCATENATE("#Metadata!", ADDRESS(INDEX($AJ$2:$AJ$1001,MATCH(ROWS($AH$2:AH864),$AH$2:$AH$1001,0),0), INDEX($AO$1004:$BQ$1004,1,MATCH(COLUMNS($AO$1006:AQ1006),$AO$1006:$BQ$1006,0)))),"Fix")))</f>
        <v>#N/A</v>
      </c>
      <c r="E864" s="5" t="e">
        <f ca="1">IF(OR(INDEX($AI$2:$AI$1001,MATCH(ROWS($AH$2:AH864),$AH$2:$AH$1001,0),1)&gt;=100000,INDEX($AO$1005:$BQ$1005,1,MATCH(COLUMNS($AO$1006:AR1006),$AO$1006:$BQ$1006,0))&gt;=100000), " ",IF(INDEX($AO$2:$BQ$1001,MATCH(ROWS($AH$2:AH864),$AH$2:$AH$1001,0),MATCH(COLUMNS($AO$1006:AR1006),$AO$1006:$BQ$1006,0)), HYPERLINK("#",""), HYPERLINK(CONCATENATE("#Metadata!", ADDRESS(INDEX($AJ$2:$AJ$1001,MATCH(ROWS($AH$2:AH864),$AH$2:$AH$1001,0),0), INDEX($AO$1004:$BQ$1004,1,MATCH(COLUMNS($AO$1006:AR1006),$AO$1006:$BQ$1006,0)))),"Fix")))</f>
        <v>#N/A</v>
      </c>
      <c r="F864" s="5" t="e">
        <f ca="1">IF(OR(INDEX($AI$2:$AI$1001,MATCH(ROWS($AH$2:AH864),$AH$2:$AH$1001,0),1)&gt;=100000,INDEX($AO$1005:$BQ$1005,1,MATCH(COLUMNS($AO$1006:AS1006),$AO$1006:$BQ$1006,0))&gt;=100000), " ",IF(INDEX($AO$2:$BQ$1001,MATCH(ROWS($AH$2:AH864),$AH$2:$AH$1001,0),MATCH(COLUMNS($AO$1006:AS1006),$AO$1006:$BQ$1006,0)), HYPERLINK("#",""), HYPERLINK(CONCATENATE("#Metadata!", ADDRESS(INDEX($AJ$2:$AJ$1001,MATCH(ROWS($AH$2:AH864),$AH$2:$AH$1001,0),0), INDEX($AO$1004:$BQ$1004,1,MATCH(COLUMNS($AO$1006:AS1006),$AO$1006:$BQ$1006,0)))),"Fix")))</f>
        <v>#N/A</v>
      </c>
      <c r="G864" s="5" t="e">
        <f ca="1">IF(OR(INDEX($AI$2:$AI$1001,MATCH(ROWS($AH$2:AH864),$AH$2:$AH$1001,0),1)&gt;=100000,INDEX($AO$1005:$BQ$1005,1,MATCH(COLUMNS($AO$1006:AT1006),$AO$1006:$BQ$1006,0))&gt;=100000), " ",IF(INDEX($AO$2:$BQ$1001,MATCH(ROWS($AH$2:AH864),$AH$2:$AH$1001,0),MATCH(COLUMNS($AO$1006:AT1006),$AO$1006:$BQ$1006,0)), HYPERLINK("#",""), HYPERLINK(CONCATENATE("#Metadata!", ADDRESS(INDEX($AJ$2:$AJ$1001,MATCH(ROWS($AH$2:AH864),$AH$2:$AH$1001,0),0), INDEX($AO$1004:$BQ$1004,1,MATCH(COLUMNS($AO$1006:AT1006),$AO$1006:$BQ$1006,0)))),"Fix")))</f>
        <v>#N/A</v>
      </c>
      <c r="H864" s="5" t="e">
        <f ca="1">IF(OR(INDEX($AI$2:$AI$1001,MATCH(ROWS($AH$2:AH864),$AH$2:$AH$1001,0),1)&gt;=100000,INDEX($AO$1005:$BQ$1005,1,MATCH(COLUMNS($AO$1006:AU1006),$AO$1006:$BQ$1006,0))&gt;=100000), " ",IF(INDEX($AO$2:$BQ$1001,MATCH(ROWS($AH$2:AH864),$AH$2:$AH$1001,0),MATCH(COLUMNS($AO$1006:AU1006),$AO$1006:$BQ$1006,0)), HYPERLINK("#",""), HYPERLINK(CONCATENATE("#Metadata!", ADDRESS(INDEX($AJ$2:$AJ$1001,MATCH(ROWS($AH$2:AH864),$AH$2:$AH$1001,0),0), INDEX($AO$1004:$BQ$1004,1,MATCH(COLUMNS($AO$1006:AU1006),$AO$1006:$BQ$1006,0)))),"Fix")))</f>
        <v>#N/A</v>
      </c>
      <c r="I864" s="5" t="e">
        <f ca="1">IF(OR(INDEX($AI$2:$AI$1001,MATCH(ROWS($AH$2:AH864),$AH$2:$AH$1001,0),1)&gt;=100000,INDEX($AO$1005:$BQ$1005,1,MATCH(COLUMNS($AO$1006:AV1006),$AO$1006:$BQ$1006,0))&gt;=100000), " ",IF(INDEX($AO$2:$BQ$1001,MATCH(ROWS($AH$2:AH864),$AH$2:$AH$1001,0),MATCH(COLUMNS($AO$1006:AV1006),$AO$1006:$BQ$1006,0)), HYPERLINK("#",""), HYPERLINK(CONCATENATE("#Metadata!", ADDRESS(INDEX($AJ$2:$AJ$1001,MATCH(ROWS($AH$2:AH864),$AH$2:$AH$1001,0),0), INDEX($AO$1004:$BQ$1004,1,MATCH(COLUMNS($AO$1006:AV1006),$AO$1006:$BQ$1006,0)))),"Fix")))</f>
        <v>#N/A</v>
      </c>
      <c r="J864" s="5" t="e">
        <f ca="1">IF(OR(INDEX($AI$2:$AI$1001,MATCH(ROWS($AH$2:AH864),$AH$2:$AH$1001,0),1)&gt;=100000,INDEX($AO$1005:$BQ$1005,1,MATCH(COLUMNS($AO$1006:AW1006),$AO$1006:$BQ$1006,0))&gt;=100000), " ",IF(INDEX($AO$2:$BQ$1001,MATCH(ROWS($AH$2:AH864),$AH$2:$AH$1001,0),MATCH(COLUMNS($AO$1006:AW1006),$AO$1006:$BQ$1006,0)), HYPERLINK("#",""), HYPERLINK(CONCATENATE("#Metadata!", ADDRESS(INDEX($AJ$2:$AJ$1001,MATCH(ROWS($AH$2:AH864),$AH$2:$AH$1001,0),0), INDEX($AO$1004:$BQ$1004,1,MATCH(COLUMNS($AO$1006:AW1006),$AO$1006:$BQ$1006,0)))),"Fix")))</f>
        <v>#N/A</v>
      </c>
      <c r="K864" s="5" t="e">
        <f ca="1">IF(OR(INDEX($AI$2:$AI$1001,MATCH(ROWS($AH$2:AH864),$AH$2:$AH$1001,0),1)&gt;=100000,INDEX($AO$1005:$BQ$1005,1,MATCH(COLUMNS($AO$1006:AX1006),$AO$1006:$BQ$1006,0))&gt;=100000), " ",IF(INDEX($AO$2:$BQ$1001,MATCH(ROWS($AH$2:AH864),$AH$2:$AH$1001,0),MATCH(COLUMNS($AO$1006:AX1006),$AO$1006:$BQ$1006,0)), HYPERLINK("#",""), HYPERLINK(CONCATENATE("#Metadata!", ADDRESS(INDEX($AJ$2:$AJ$1001,MATCH(ROWS($AH$2:AH864),$AH$2:$AH$1001,0),0), INDEX($AO$1004:$BQ$1004,1,MATCH(COLUMNS($AO$1006:AX1006),$AO$1006:$BQ$1006,0)))),"Fix")))</f>
        <v>#N/A</v>
      </c>
      <c r="L864" s="5" t="e">
        <f ca="1">IF(OR(INDEX($AI$2:$AI$1001,MATCH(ROWS($AH$2:AH864),$AH$2:$AH$1001,0),1)&gt;=100000,INDEX($AO$1005:$BQ$1005,1,MATCH(COLUMNS($AO$1006:AY1006),$AO$1006:$BQ$1006,0))&gt;=100000), " ",IF(INDEX($AO$2:$BQ$1001,MATCH(ROWS($AH$2:AH864),$AH$2:$AH$1001,0),MATCH(COLUMNS($AO$1006:AY1006),$AO$1006:$BQ$1006,0)), HYPERLINK("#",""), HYPERLINK(CONCATENATE("#Metadata!", ADDRESS(INDEX($AJ$2:$AJ$1001,MATCH(ROWS($AH$2:AH864),$AH$2:$AH$1001,0),0), INDEX($AO$1004:$BQ$1004,1,MATCH(COLUMNS($AO$1006:AY1006),$AO$1006:$BQ$1006,0)))),"Fix")))</f>
        <v>#N/A</v>
      </c>
      <c r="M864" s="5" t="e">
        <f ca="1">IF(OR(INDEX($AI$2:$AI$1001,MATCH(ROWS($AH$2:AH864),$AH$2:$AH$1001,0),1)&gt;=100000,INDEX($AO$1005:$BQ$1005,1,MATCH(COLUMNS($AO$1006:AZ1006),$AO$1006:$BQ$1006,0))&gt;=100000), " ",IF(INDEX($AO$2:$BQ$1001,MATCH(ROWS($AH$2:AH864),$AH$2:$AH$1001,0),MATCH(COLUMNS($AO$1006:AZ1006),$AO$1006:$BQ$1006,0)), HYPERLINK("#",""), HYPERLINK(CONCATENATE("#Metadata!", ADDRESS(INDEX($AJ$2:$AJ$1001,MATCH(ROWS($AH$2:AH864),$AH$2:$AH$1001,0),0), INDEX($AO$1004:$BQ$1004,1,MATCH(COLUMNS($AO$1006:AZ1006),$AO$1006:$BQ$1006,0)))),"Fix")))</f>
        <v>#N/A</v>
      </c>
      <c r="N864" s="5" t="e">
        <f ca="1">IF(OR(INDEX($AI$2:$AI$1001,MATCH(ROWS($AH$2:AH864),$AH$2:$AH$1001,0),1)&gt;=100000,INDEX($AO$1005:$BQ$1005,1,MATCH(COLUMNS($AO$1006:BA1006),$AO$1006:$BQ$1006,0))&gt;=100000), " ",IF(INDEX($AO$2:$BQ$1001,MATCH(ROWS($AH$2:AH864),$AH$2:$AH$1001,0),MATCH(COLUMNS($AO$1006:BA1006),$AO$1006:$BQ$1006,0)), HYPERLINK("#",""), HYPERLINK(CONCATENATE("#Metadata!", ADDRESS(INDEX($AJ$2:$AJ$1001,MATCH(ROWS($AH$2:AH864),$AH$2:$AH$1001,0),0), INDEX($AO$1004:$BQ$1004,1,MATCH(COLUMNS($AO$1006:BA1006),$AO$1006:$BQ$1006,0)))),"Fix")))</f>
        <v>#N/A</v>
      </c>
      <c r="O864" s="5" t="e">
        <f ca="1">IF(OR(INDEX($AI$2:$AI$1001,MATCH(ROWS($AH$2:AH864),$AH$2:$AH$1001,0),1)&gt;=100000,INDEX($AO$1005:$BQ$1005,1,MATCH(COLUMNS($AO$1006:BB1006),$AO$1006:$BQ$1006,0))&gt;=100000), " ",IF(INDEX($AO$2:$BQ$1001,MATCH(ROWS($AH$2:AH864),$AH$2:$AH$1001,0),MATCH(COLUMNS($AO$1006:BB1006),$AO$1006:$BQ$1006,0)), HYPERLINK("#",""), HYPERLINK(CONCATENATE("#Metadata!", ADDRESS(INDEX($AJ$2:$AJ$1001,MATCH(ROWS($AH$2:AH864),$AH$2:$AH$1001,0),0), INDEX($AO$1004:$BQ$1004,1,MATCH(COLUMNS($AO$1006:BB1006),$AO$1006:$BQ$1006,0)))),"Fix")))</f>
        <v>#N/A</v>
      </c>
      <c r="P864" s="5" t="e">
        <f ca="1">IF(OR(INDEX($AI$2:$AI$1001,MATCH(ROWS($AH$2:AH864),$AH$2:$AH$1001,0),1)&gt;=100000,INDEX($AO$1005:$BQ$1005,1,MATCH(COLUMNS($AO$1006:BC1006),$AO$1006:$BQ$1006,0))&gt;=100000), " ",IF(INDEX($AO$2:$BQ$1001,MATCH(ROWS($AH$2:AH864),$AH$2:$AH$1001,0),MATCH(COLUMNS($AO$1006:BC1006),$AO$1006:$BQ$1006,0)), HYPERLINK("#",""), HYPERLINK(CONCATENATE("#Metadata!", ADDRESS(INDEX($AJ$2:$AJ$1001,MATCH(ROWS($AH$2:AH864),$AH$2:$AH$1001,0),0), INDEX($AO$1004:$BQ$1004,1,MATCH(COLUMNS($AO$1006:BC1006),$AO$1006:$BQ$1006,0)))),"Fix")))</f>
        <v>#N/A</v>
      </c>
      <c r="Q864" s="5" t="e">
        <f ca="1">IF(OR(INDEX($AI$2:$AI$1001,MATCH(ROWS($AH$2:AH864),$AH$2:$AH$1001,0),1)&gt;=100000,INDEX($AO$1005:$BQ$1005,1,MATCH(COLUMNS($AO$1006:BD1006),$AO$1006:$BQ$1006,0))&gt;=100000), " ",IF(INDEX($AO$2:$BQ$1001,MATCH(ROWS($AH$2:AH864),$AH$2:$AH$1001,0),MATCH(COLUMNS($AO$1006:BD1006),$AO$1006:$BQ$1006,0)), HYPERLINK("#",""), HYPERLINK(CONCATENATE("#Metadata!", ADDRESS(INDEX($AJ$2:$AJ$1001,MATCH(ROWS($AH$2:AH864),$AH$2:$AH$1001,0),0), INDEX($AO$1004:$BQ$1004,1,MATCH(COLUMNS($AO$1006:BD1006),$AO$1006:$BQ$1006,0)))),"Fix")))</f>
        <v>#N/A</v>
      </c>
      <c r="R864" s="5" t="e">
        <f ca="1">IF(OR(INDEX($AI$2:$AI$1001,MATCH(ROWS($AH$2:AH864),$AH$2:$AH$1001,0),1)&gt;=100000,INDEX($AO$1005:$BQ$1005,1,MATCH(COLUMNS($AO$1006:BE1006),$AO$1006:$BQ$1006,0))&gt;=100000), " ",IF(INDEX($AO$2:$BQ$1001,MATCH(ROWS($AH$2:AH864),$AH$2:$AH$1001,0),MATCH(COLUMNS($AO$1006:BE1006),$AO$1006:$BQ$1006,0)), HYPERLINK("#",""), HYPERLINK(CONCATENATE("#Metadata!", ADDRESS(INDEX($AJ$2:$AJ$1001,MATCH(ROWS($AH$2:AH864),$AH$2:$AH$1001,0),0), INDEX($AO$1004:$BQ$1004,1,MATCH(COLUMNS($AO$1006:BE1006),$AO$1006:$BQ$1006,0)))),"Fix")))</f>
        <v>#N/A</v>
      </c>
      <c r="S864" s="5" t="e">
        <f ca="1">IF(OR(INDEX($AI$2:$AI$1001,MATCH(ROWS($AH$2:AH864),$AH$2:$AH$1001,0),1)&gt;=100000,INDEX($AO$1005:$BQ$1005,1,MATCH(COLUMNS($AO$1006:BF1006),$AO$1006:$BQ$1006,0))&gt;=100000), " ",IF(INDEX($AO$2:$BQ$1001,MATCH(ROWS($AH$2:AH864),$AH$2:$AH$1001,0),MATCH(COLUMNS($AO$1006:BF1006),$AO$1006:$BQ$1006,0)), HYPERLINK("#",""), HYPERLINK(CONCATENATE("#Metadata!", ADDRESS(INDEX($AJ$2:$AJ$1001,MATCH(ROWS($AH$2:AH864),$AH$2:$AH$1001,0),0), INDEX($AO$1004:$BQ$1004,1,MATCH(COLUMNS($AO$1006:BF1006),$AO$1006:$BQ$1006,0)))),"Fix")))</f>
        <v>#N/A</v>
      </c>
      <c r="T864" s="5" t="e">
        <f ca="1">IF(OR(INDEX($AI$2:$AI$1001,MATCH(ROWS($AH$2:AH864),$AH$2:$AH$1001,0),1)&gt;=100000,INDEX($AO$1005:$BQ$1005,1,MATCH(COLUMNS($AO$1006:BG1006),$AO$1006:$BQ$1006,0))&gt;=100000), " ",IF(INDEX($AO$2:$BQ$1001,MATCH(ROWS($AH$2:AH864),$AH$2:$AH$1001,0),MATCH(COLUMNS($AO$1006:BG1006),$AO$1006:$BQ$1006,0)), HYPERLINK("#",""), HYPERLINK(CONCATENATE("#Metadata!", ADDRESS(INDEX($AJ$2:$AJ$1001,MATCH(ROWS($AH$2:AH864),$AH$2:$AH$1001,0),0), INDEX($AO$1004:$BQ$1004,1,MATCH(COLUMNS($AO$1006:BG1006),$AO$1006:$BQ$1006,0)))),"Fix")))</f>
        <v>#N/A</v>
      </c>
      <c r="U864" s="5" t="e">
        <f ca="1">IF(OR(INDEX($AI$2:$AI$1001,MATCH(ROWS($AH$2:AH864),$AH$2:$AH$1001,0),1)&gt;=100000,INDEX($AO$1005:$BQ$1005,1,MATCH(COLUMNS($AO$1006:BH1006),$AO$1006:$BQ$1006,0))&gt;=100000), " ",IF(INDEX($AO$2:$BQ$1001,MATCH(ROWS($AH$2:AH864),$AH$2:$AH$1001,0),MATCH(COLUMNS($AO$1006:BH1006),$AO$1006:$BQ$1006,0)), HYPERLINK("#",""), HYPERLINK(CONCATENATE("#Metadata!", ADDRESS(INDEX($AJ$2:$AJ$1001,MATCH(ROWS($AH$2:AH864),$AH$2:$AH$1001,0),0), INDEX($AO$1004:$BQ$1004,1,MATCH(COLUMNS($AO$1006:BH1006),$AO$1006:$BQ$1006,0)))),"Fix")))</f>
        <v>#N/A</v>
      </c>
      <c r="V864" s="5" t="e">
        <f ca="1">IF(OR(INDEX($AI$2:$AI$1001,MATCH(ROWS($AH$2:AH864),$AH$2:$AH$1001,0),1)&gt;=100000,INDEX($AO$1005:$BQ$1005,1,MATCH(COLUMNS($AO$1006:BI1006),$AO$1006:$BQ$1006,0))&gt;=100000), " ",IF(INDEX($AO$2:$BQ$1001,MATCH(ROWS($AH$2:AH864),$AH$2:$AH$1001,0),MATCH(COLUMNS($AO$1006:BI1006),$AO$1006:$BQ$1006,0)), HYPERLINK("#",""), HYPERLINK(CONCATENATE("#Metadata!", ADDRESS(INDEX($AJ$2:$AJ$1001,MATCH(ROWS($AH$2:AH864),$AH$2:$AH$1001,0),0), INDEX($AO$1004:$BQ$1004,1,MATCH(COLUMNS($AO$1006:BI1006),$AO$1006:$BQ$1006,0)))),"Fix")))</f>
        <v>#N/A</v>
      </c>
      <c r="W864" s="5" t="e">
        <f ca="1">IF(OR(INDEX($AI$2:$AI$1001,MATCH(ROWS($AH$2:AH864),$AH$2:$AH$1001,0),1)&gt;=100000,INDEX($AO$1005:$BQ$1005,1,MATCH(COLUMNS($AO$1006:BJ1006),$AO$1006:$BQ$1006,0))&gt;=100000), " ",IF(INDEX($AO$2:$BQ$1001,MATCH(ROWS($AH$2:AH864),$AH$2:$AH$1001,0),MATCH(COLUMNS($AO$1006:BJ1006),$AO$1006:$BQ$1006,0)), HYPERLINK("#",""), HYPERLINK(CONCATENATE("#Metadata!", ADDRESS(INDEX($AJ$2:$AJ$1001,MATCH(ROWS($AH$2:AH864),$AH$2:$AH$1001,0),0), INDEX($AO$1004:$BQ$1004,1,MATCH(COLUMNS($AO$1006:BJ1006),$AO$1006:$BQ$1006,0)))),"Fix")))</f>
        <v>#N/A</v>
      </c>
      <c r="X864" s="5" t="e">
        <f ca="1">IF(OR(INDEX($AI$2:$AI$1001,MATCH(ROWS($AH$2:AH864),$AH$2:$AH$1001,0),1)&gt;=100000,INDEX($AO$1005:$BQ$1005,1,MATCH(COLUMNS($AO$1006:BK1006),$AO$1006:$BQ$1006,0))&gt;=100000), " ",IF(INDEX($AO$2:$BQ$1001,MATCH(ROWS($AH$2:AH864),$AH$2:$AH$1001,0),MATCH(COLUMNS($AO$1006:BK1006),$AO$1006:$BQ$1006,0)), HYPERLINK("#",""), HYPERLINK(CONCATENATE("#Metadata!", ADDRESS(INDEX($AJ$2:$AJ$1001,MATCH(ROWS($AH$2:AH864),$AH$2:$AH$1001,0),0), INDEX($AO$1004:$BQ$1004,1,MATCH(COLUMNS($AO$1006:BK1006),$AO$1006:$BQ$1006,0)))),"Fix")))</f>
        <v>#N/A</v>
      </c>
      <c r="Y864" s="5" t="e">
        <f ca="1">IF(OR(INDEX($AI$2:$AI$1001,MATCH(ROWS($AH$2:AH864),$AH$2:$AH$1001,0),1)&gt;=100000,INDEX($AO$1005:$BQ$1005,1,MATCH(COLUMNS($AO$1006:BL1006),$AO$1006:$BQ$1006,0))&gt;=100000), " ",IF(INDEX($AO$2:$BQ$1001,MATCH(ROWS($AH$2:AH864),$AH$2:$AH$1001,0),MATCH(COLUMNS($AO$1006:BL1006),$AO$1006:$BQ$1006,0)), HYPERLINK("#",""), HYPERLINK(CONCATENATE("#Metadata!", ADDRESS(INDEX($AJ$2:$AJ$1001,MATCH(ROWS($AH$2:AH864),$AH$2:$AH$1001,0),0), INDEX($AO$1004:$BQ$1004,1,MATCH(COLUMNS($AO$1006:BL1006),$AO$1006:$BQ$1006,0)))),"Fix")))</f>
        <v>#N/A</v>
      </c>
      <c r="Z864" s="5" t="e">
        <f ca="1">IF(OR(INDEX($AI$2:$AI$1001,MATCH(ROWS($AH$2:AH864),$AH$2:$AH$1001,0),1)&gt;=100000,INDEX($AO$1005:$BQ$1005,1,MATCH(COLUMNS($AO$1006:BM1006),$AO$1006:$BQ$1006,0))&gt;=100000), " ",IF(INDEX($AO$2:$BQ$1001,MATCH(ROWS($AH$2:AH864),$AH$2:$AH$1001,0),MATCH(COLUMNS($AO$1006:BM1006),$AO$1006:$BQ$1006,0)), HYPERLINK("#",""), HYPERLINK(CONCATENATE("#Metadata!", ADDRESS(INDEX($AJ$2:$AJ$1001,MATCH(ROWS($AH$2:AH864),$AH$2:$AH$1001,0),0), INDEX($AO$1004:$BQ$1004,1,MATCH(COLUMNS($AO$1006:BM1006),$AO$1006:$BQ$1006,0)))),"Fix")))</f>
        <v>#N/A</v>
      </c>
      <c r="AA864" s="5" t="e">
        <f ca="1">IF(OR(INDEX($AI$2:$AI$1001,MATCH(ROWS($AH$2:AH864),$AH$2:$AH$1001,0),1)&gt;=100000,INDEX($AO$1005:$BQ$1005,1,MATCH(COLUMNS($AO$1006:BN1006),$AO$1006:$BQ$1006,0))&gt;=100000), " ",IF(INDEX($AO$2:$BQ$1001,MATCH(ROWS($AH$2:AH864),$AH$2:$AH$1001,0),MATCH(COLUMNS($AO$1006:BN1006),$AO$1006:$BQ$1006,0)), HYPERLINK("#",""), HYPERLINK(CONCATENATE("#Metadata!", ADDRESS(INDEX($AJ$2:$AJ$1001,MATCH(ROWS($AH$2:AH864),$AH$2:$AH$1001,0),0), INDEX($AO$1004:$BQ$1004,1,MATCH(COLUMNS($AO$1006:BN1006),$AO$1006:$BQ$1006,0)))),"Fix")))</f>
        <v>#N/A</v>
      </c>
      <c r="AB864" s="5" t="e">
        <f ca="1">IF(OR(INDEX($AI$2:$AI$1001,MATCH(ROWS($AH$2:AH864),$AH$2:$AH$1001,0),1)&gt;=100000,INDEX($AO$1005:$BQ$1005,1,MATCH(COLUMNS($AO$1006:BO1006),$AO$1006:$BQ$1006,0))&gt;=100000), " ",IF(INDEX($AO$2:$BQ$1001,MATCH(ROWS($AH$2:AH864),$AH$2:$AH$1001,0),MATCH(COLUMNS($AO$1006:BO1006),$AO$1006:$BQ$1006,0)), HYPERLINK("#",""), HYPERLINK(CONCATENATE("#Metadata!", ADDRESS(INDEX($AJ$2:$AJ$1001,MATCH(ROWS($AH$2:AH864),$AH$2:$AH$1001,0),0), INDEX($AO$1004:$BQ$1004,1,MATCH(COLUMNS($AO$1006:BO1006),$AO$1006:$BQ$1006,0)))),"Fix")))</f>
        <v>#N/A</v>
      </c>
      <c r="AC864" s="5" t="e">
        <f ca="1">IF(OR(INDEX($AI$2:$AI$1001,MATCH(ROWS($AH$2:AH864),$AH$2:$AH$1001,0),1)&gt;=100000,INDEX($AO$1005:$BQ$1005,1,MATCH(COLUMNS($AO$1006:BP1006),$AO$1006:$BQ$1006,0))&gt;=100000), " ",IF(INDEX($AO$2:$BQ$1001,MATCH(ROWS($AH$2:AH864),$AH$2:$AH$1001,0),MATCH(COLUMNS($AO$1006:BP1006),$AO$1006:$BQ$1006,0)), HYPERLINK("#",""), HYPERLINK(CONCATENATE("#Metadata!", ADDRESS(INDEX($AJ$2:$AJ$1001,MATCH(ROWS($AH$2:AH864),$AH$2:$AH$1001,0),0), INDEX($AO$1004:$BQ$1004,1,MATCH(COLUMNS($AO$1006:BP1006),$AO$1006:$BQ$1006,0)))),"Fix")))</f>
        <v>#N/A</v>
      </c>
      <c r="AD864" s="5" t="e">
        <f ca="1">IF(OR(INDEX($AI$2:$AI$1001,MATCH(ROWS($AH$2:AH864),$AH$2:$AH$1001,0),1)&gt;=100000,INDEX($AO$1005:$BQ$1005,1,MATCH(COLUMNS($AO$1006:BQ1006),$AO$1006:$BQ$1006,0))&gt;=100000), " ",IF(INDEX($AO$2:$BQ$1001,MATCH(ROWS($AH$2:AH864),$AH$2:$AH$1001,0),MATCH(COLUMNS($AO$1006:BQ1006),$AO$1006:$BQ$1006,0)), HYPERLINK("#",""), HYPERLINK(CONCATENATE("#Metadata!", ADDRESS(INDEX($AJ$2:$AJ$1001,MATCH(ROWS($AH$2:AH864),$AH$2:$AH$1001,0),0), INDEX($AO$1004:$BQ$1004,1,MATCH(COLUMNS($AO$1006:BQ1006),$AO$1006:$BQ$1006,0)))),"Fix")))</f>
        <v>#REF!</v>
      </c>
      <c r="AH864">
        <f ca="1"/>
        <v>861</v>
      </c>
      <c r="AI864">
        <v>100864</v>
      </c>
      <c r="AJ864">
        <v>864</v>
      </c>
      <c r="AK864" t="b">
        <f t="shared" si="13"/>
        <v>1</v>
      </c>
      <c r="AL864" t="b">
        <f>COUNTBLANK(Metadata!B864:AD864)=COLUMNS(Metadata!B864:AD864)</f>
        <v>1</v>
      </c>
      <c r="AM864" t="str">
        <v/>
      </c>
      <c r="AO864" t="b">
        <f ca="1">AND(IF(Metadata!B864="",FALSE,TRUE),COUNTIF(Metadata!B:B, Metadata!B864) = 1,NOT(ISERROR(SUMPRODUCT(SEARCH(MID(Metadata!B864,ROW(INDIRECT("1:"&amp;LEN(Metadata!B864))), 1),"0123456789abcdefghijklmnopqrstuvwxyzABCDEFGHIJKLMNOPQRSTUVWXYZ.")))))</f>
        <v>0</v>
      </c>
      <c r="AP864" t="b">
        <f>IF(Metadata!C864="",FALSE,TRUE)</f>
        <v>0</v>
      </c>
      <c r="AQ864" t="b">
        <f>IF(Metadata!D864="",FALSE,TRUE)</f>
        <v>0</v>
      </c>
      <c r="AR864" t="b">
        <f ca="1">OR(AND(IF(Metadata!E864="",FALSE,TRUE),OR(EXACT(Metadata!E864,"not collected"),EXACT(Metadata!E864,"not provided"),EXACT(Metadata!E864,"restricted access"))),AND(IF(Metadata!E864="",FALSE,TRUE),AND(AND(IFERROR(INT(LEFT(Metadata!E864,4))&gt;1900,FALSE),IFERROR(INT(LEFT(Metadata!E864,4))&lt;=YEAR(NOW()),FALSE)), OR(MID(Metadata!E864,5,1)="", AND(AND(MID(Metadata!E864,5,1)="-",IFERROR(INT(MID(Metadata!E864,6,1))&gt;=0,FALSE),IFERROR(INT(MID(Metadata!E864,6,1))&lt;=1,FALSE),NOT(MID(Metadata!E864,7,1)=""),IFERROR(INT(MID(Metadata!E864,6,2))&gt;=1,FALSE),IFERROR(INT(MID(Metadata!E864,6,2))&lt;=12,FALSE)), OR(MID(Metadata!E864,8,1)="", AND(AND(MID(Metadata!E864,8,1)="-",IFERROR(INT(MID(Metadata!E864,9,1))&gt;=0,FALSE),IFERROR(INT(MID(Metadata!E864,9,1))&lt;=3,FALSE),NOT(MID(Metadata!E864,10,1)=""),IFERROR(INT(MID(Metadata!E864,9,2))&gt;=1,FALSE),IFERROR(INT(MID(Metadata!E864,9,2))&lt;=31,FALSE)), OR(MID(Metadata!E864,11,1)="", AND(AND(MID(Metadata!E864,11,1)=" ",IFERROR(INT(MID(Metadata!E864,12,1))&gt;=0,FALSE),IFERROR(INT(MID(Metadata!E864,12,1))&lt;=2,FALSE),NOT(MID(Metadata!E864,13,1)=""),IFERROR(INT(MID(Metadata!E864,12,2))&gt;=0,FALSE),IFERROR(INT(MID(Metadata!E864,12,2))&lt;=23,FALSE)), OR(MID(Metadata!E864,14,1)="", AND(AND(MID(Metadata!E864,14,1)=":",IFERROR(INT(MID(Metadata!E864,15,1))&gt;=0,FALSE),IFERROR(INT(MID(Metadata!E864,15,1))&lt;=5,FALSE),NOT(MID(Metadata!E864,16,1)=""),IFERROR(INT(MID(Metadata!E864,15,2))&gt;=0,FALSE),IFERROR(INT(MID(Metadata!E864,15,2))&lt;=59,FALSE)), OR(MID(Metadata!E864,17,1)="", AND(AND(MID(Metadata!E864,17,1)=":",IFERROR(INT(MID(Metadata!E864,18,1))&gt;=0,FALSE),IFERROR(INT(MID(Metadata!E864,18,1))&lt;=5,FALSE),NOT(MID(Metadata!E864,19,1)=""),IFERROR(INT(MID(Metadata!E864,18,2))&gt;=0,FALSE),IFERROR(INT(MID(Metadata!E864,18,2))&lt;=59,FALSE)), LEN(Metadata!E864)&lt;=19)))))))))))))</f>
        <v>0</v>
      </c>
      <c r="AS864" t="b">
        <f>IF(Metadata!F864="",FALSE,TRUE)</f>
        <v>0</v>
      </c>
      <c r="AT864" t="b">
        <f>OR(AND(IF(Metadata!G864="",FALSE,TRUE),OR(EXACT(Metadata!G864,"not collected"),EXACT(Metadata!G864,"not provided"))),AND(IF(Metadata!G864="",FALSE,TRUE),OR(EXACT(Metadata!G864,"TRUE"),EXACT(Metadata!G864,"FALSE"))))</f>
        <v>0</v>
      </c>
      <c r="AU864" t="b">
        <f>OR(AND(IF(Metadata!H864="",FALSE,TRUE),OR(EXACT(Metadata!H864,"not collected"),EXACT(Metadata!H864,"not provided"),EXACT(Metadata!H864,"restricted access"))),AND(IF(Metadata!H864="",FALSE,ISNUMBER(VALUE(Metadata!H864))),Metadata!H864&gt;=-413))</f>
        <v>0</v>
      </c>
      <c r="AV864" t="b">
        <f>AND(IF(Metadata!I864="",FALSE,TRUE),EXACT(Metadata!I864,"meters"))</f>
        <v>0</v>
      </c>
      <c r="AW864" t="b">
        <f>AND(IF(Metadata!J864="",FALSE,TRUE),EXACT(Metadata!J864,"free-living"))</f>
        <v>0</v>
      </c>
      <c r="AX864" t="b">
        <f>AND(IF(Metadata!K864="",FALSE,TRUE),OR(EXACT(Metadata!K864,"saline"),EXACT(Metadata!K864,"non-saline")))</f>
        <v>0</v>
      </c>
      <c r="AY864" t="b">
        <f>AND(IF(Metadata!L864="",FALSE,TRUE),OR(EXACT(Metadata!L864,"sub-surface (non-saline)"),EXACT(Metadata!L864,"surface (non-saline)"),EXACT(Metadata!L864,"water (non-saline)"),EXACT(Metadata!L864,"soil (non-saline)"),EXACT(Metadata!L864,"aerosol (non-saline)"),EXACT(Metadata!L864,"sediment (non-saline)"),EXACT(Metadata!L864,"surface (saline)"),EXACT(Metadata!L864,"water (saline)"),EXACT(Metadata!L864,"hypersaline (saline)"),EXACT(Metadata!L864,"aerosol (saline)"),EXACT(Metadata!L864,"sediment (saline)")))</f>
        <v>0</v>
      </c>
      <c r="AZ864" t="b">
        <f>IF(Metadata!M864="",FALSE,TRUE)</f>
        <v>0</v>
      </c>
      <c r="BA864" t="b">
        <f>IF(Metadata!N864="",FALSE,TRUE)</f>
        <v>0</v>
      </c>
      <c r="BB864" t="b">
        <f>IF(Metadata!O864="",FALSE,TRUE)</f>
        <v>0</v>
      </c>
      <c r="BC864" t="b">
        <f>AND(IF(Metadata!P864="",FALSE,TRUE),OR(EXACT(Metadata!P864,"air"),EXACT(Metadata!P864,"microbial mat/biofilm"),EXACT(Metadata!P864,"misc environment"),EXACT(Metadata!P864,"sediment"),EXACT(Metadata!P864,"soil"),EXACT(Metadata!P864,"wastewater/sludge"),EXACT(Metadata!P864,"water")))</f>
        <v>0</v>
      </c>
      <c r="BD864" t="b">
        <f>IF(Metadata!Q864="",FALSE,TRUE)</f>
        <v>0</v>
      </c>
      <c r="BE864" t="b">
        <f>IF(Metadata!R864="",FALSE,TRUE)</f>
        <v>0</v>
      </c>
      <c r="BF864" t="b">
        <f>OR(AND(IF(Metadata!S864="",FALSE,TRUE),OR(EXACT(Metadata!S864,"not collected"),EXACT(Metadata!S864,"not provided"),EXACT(Metadata!S864,"restricted access"))),AND(IF(Metadata!S864="",FALSE,ISNUMBER(VALUE(Metadata!S864))),Metadata!S864&gt;=-90,Metadata!S864&lt;=90))</f>
        <v>0</v>
      </c>
      <c r="BG864" t="b">
        <f>AND(IF(Metadata!T864="",FALSE,TRUE),EXACT(Metadata!T864,"Decimal degrees"))</f>
        <v>0</v>
      </c>
      <c r="BH864" t="b">
        <f>OR(AND(IF(Metadata!U864="",FALSE,TRUE),OR(EXACT(Metadata!U864,"not applicable"),EXACT(Metadata!U864,"not collected"))),IF(Metadata!U864="",FALSE,TRUE))</f>
        <v>0</v>
      </c>
      <c r="BI864" t="b">
        <f>OR(AND(IF(Metadata!V864="",FALSE,TRUE),OR(EXACT(Metadata!V864,"not collected"),EXACT(Metadata!V864,"not provided"),EXACT(Metadata!V864,"restricted access"))),AND(IF(Metadata!V864="",FALSE,ISNUMBER(VALUE(Metadata!V864))),Metadata!V864&gt;=-180,Metadata!V864&lt;=180))</f>
        <v>0</v>
      </c>
      <c r="BJ864" t="b">
        <f>AND(IF(Metadata!W864="",FALSE,TRUE),EXACT(Metadata!W864,"Decimal degrees"))</f>
        <v>0</v>
      </c>
      <c r="BK864" t="b">
        <f>IF(Metadata!X864="",FALSE,TRUE)</f>
        <v>0</v>
      </c>
      <c r="BL864" t="b">
        <f>OR(AND(IF(Metadata!Y864="",FALSE,TRUE),OR(EXACT(Metadata!Y864,"not collected"),EXACT(Metadata!Y864,"not provided"),EXACT(Metadata!Y864,"restricted access"))),AND(IF(Metadata!Y864="",FALSE,TRUE),OR(EXACT(Metadata!Y864,"TRUE"),EXACT(Metadata!Y864,"FALSE"))))</f>
        <v>0</v>
      </c>
      <c r="BM864" t="b">
        <f>OR(AND(IF(Metadata!Z864="",FALSE,TRUE),EXACT(Metadata!Z864,"not applicable")),AND(IF(Metadata!Z864="",FALSE,TRUE),OR(EXACT(Metadata!Z864,"beer"),EXACT(Metadata!Z864,"cheese"),EXACT(Metadata!Z864,"fresh water"),EXACT(Metadata!Z864,"marine sediment"),EXACT(Metadata!Z864,"sea water"),EXACT(Metadata!Z864,"sediment"),EXACT(Metadata!Z864,"soil"),EXACT(Metadata!Z864,"waste water"))))</f>
        <v>0</v>
      </c>
      <c r="BN864" t="b">
        <f>AND(IF(Metadata!AA864="",FALSE,TRUE),EXACT(Metadata!AA864,"metagenome"))</f>
        <v>0</v>
      </c>
      <c r="BO864" t="b">
        <f>AND(IF(Metadata!AB864="",FALSE,TRUE),EXACT(Metadata!AB864,"256318"))</f>
        <v>0</v>
      </c>
      <c r="BP864" t="b">
        <f>IF(Metadata!AC864="",FALSE,TRUE)</f>
        <v>0</v>
      </c>
      <c r="BQ864" t="b">
        <f>IF(Metadata!AD864="",FALSE,TRUE)</f>
        <v>0</v>
      </c>
    </row>
    <row r="865" spans="1:69" x14ac:dyDescent="0.2">
      <c r="A865" s="4" t="e">
        <f ca="1">IF(B865=" "," ",HYPERLINK(CONCATENATE("#metadata!",ADDRESS(INDEX($AJ$2:$AJ$1001,MATCH(ROWS($AH$2:AH865),$AH$2:$AH$1001,0),0),2)),INDEX($AM$2:$AM$1001,MATCH(ROWS($AH$2:AH865),$AH$2:$AH$1001,0),0)))</f>
        <v>#N/A</v>
      </c>
      <c r="B865" s="5" t="e">
        <f ca="1">IF(OR(INDEX($AI$2:$AI$1001,MATCH(ROWS($AH$2:AH865),$AH$2:$AH$1001,0),1)&gt;=100000,INDEX($AO$1005:$BQ$1005,1,MATCH(COLUMNS($AO$1006:AO1006),$AO$1006:$BQ$1006,0))&gt;=100000), " ",IF(INDEX($AO$2:$BQ$1001,MATCH(ROWS($AH$2:AH865),$AH$2:$AH$1001,0),MATCH(COLUMNS($AO$1006:AO1006),$AO$1006:$BQ$1006,0)), HYPERLINK("#",""), HYPERLINK(CONCATENATE("#Metadata!", ADDRESS(INDEX($AJ$2:$AJ$1001,MATCH(ROWS($AH$2:AH865),$AH$2:$AH$1001,0),0), INDEX($AO$1004:$BQ$1004,1,MATCH(COLUMNS($AO$1006:AO1006),$AO$1006:$BQ$1006,0)))),"Fix")))</f>
        <v>#N/A</v>
      </c>
      <c r="C865" s="5" t="e">
        <f ca="1">IF(OR(INDEX($AI$2:$AI$1001,MATCH(ROWS($AH$2:AH865),$AH$2:$AH$1001,0),1)&gt;=100000,INDEX($AO$1005:$BQ$1005,1,MATCH(COLUMNS($AO$1006:AP1006),$AO$1006:$BQ$1006,0))&gt;=100000), " ",IF(INDEX($AO$2:$BQ$1001,MATCH(ROWS($AH$2:AH865),$AH$2:$AH$1001,0),MATCH(COLUMNS($AO$1006:AP1006),$AO$1006:$BQ$1006,0)), HYPERLINK("#",""), HYPERLINK(CONCATENATE("#Metadata!", ADDRESS(INDEX($AJ$2:$AJ$1001,MATCH(ROWS($AH$2:AH865),$AH$2:$AH$1001,0),0), INDEX($AO$1004:$BQ$1004,1,MATCH(COLUMNS($AO$1006:AP1006),$AO$1006:$BQ$1006,0)))),"Fix")))</f>
        <v>#N/A</v>
      </c>
      <c r="D865" s="5" t="e">
        <f ca="1">IF(OR(INDEX($AI$2:$AI$1001,MATCH(ROWS($AH$2:AH865),$AH$2:$AH$1001,0),1)&gt;=100000,INDEX($AO$1005:$BQ$1005,1,MATCH(COLUMNS($AO$1006:AQ1006),$AO$1006:$BQ$1006,0))&gt;=100000), " ",IF(INDEX($AO$2:$BQ$1001,MATCH(ROWS($AH$2:AH865),$AH$2:$AH$1001,0),MATCH(COLUMNS($AO$1006:AQ1006),$AO$1006:$BQ$1006,0)), HYPERLINK("#",""), HYPERLINK(CONCATENATE("#Metadata!", ADDRESS(INDEX($AJ$2:$AJ$1001,MATCH(ROWS($AH$2:AH865),$AH$2:$AH$1001,0),0), INDEX($AO$1004:$BQ$1004,1,MATCH(COLUMNS($AO$1006:AQ1006),$AO$1006:$BQ$1006,0)))),"Fix")))</f>
        <v>#N/A</v>
      </c>
      <c r="E865" s="5" t="e">
        <f ca="1">IF(OR(INDEX($AI$2:$AI$1001,MATCH(ROWS($AH$2:AH865),$AH$2:$AH$1001,0),1)&gt;=100000,INDEX($AO$1005:$BQ$1005,1,MATCH(COLUMNS($AO$1006:AR1006),$AO$1006:$BQ$1006,0))&gt;=100000), " ",IF(INDEX($AO$2:$BQ$1001,MATCH(ROWS($AH$2:AH865),$AH$2:$AH$1001,0),MATCH(COLUMNS($AO$1006:AR1006),$AO$1006:$BQ$1006,0)), HYPERLINK("#",""), HYPERLINK(CONCATENATE("#Metadata!", ADDRESS(INDEX($AJ$2:$AJ$1001,MATCH(ROWS($AH$2:AH865),$AH$2:$AH$1001,0),0), INDEX($AO$1004:$BQ$1004,1,MATCH(COLUMNS($AO$1006:AR1006),$AO$1006:$BQ$1006,0)))),"Fix")))</f>
        <v>#N/A</v>
      </c>
      <c r="F865" s="5" t="e">
        <f ca="1">IF(OR(INDEX($AI$2:$AI$1001,MATCH(ROWS($AH$2:AH865),$AH$2:$AH$1001,0),1)&gt;=100000,INDEX($AO$1005:$BQ$1005,1,MATCH(COLUMNS($AO$1006:AS1006),$AO$1006:$BQ$1006,0))&gt;=100000), " ",IF(INDEX($AO$2:$BQ$1001,MATCH(ROWS($AH$2:AH865),$AH$2:$AH$1001,0),MATCH(COLUMNS($AO$1006:AS1006),$AO$1006:$BQ$1006,0)), HYPERLINK("#",""), HYPERLINK(CONCATENATE("#Metadata!", ADDRESS(INDEX($AJ$2:$AJ$1001,MATCH(ROWS($AH$2:AH865),$AH$2:$AH$1001,0),0), INDEX($AO$1004:$BQ$1004,1,MATCH(COLUMNS($AO$1006:AS1006),$AO$1006:$BQ$1006,0)))),"Fix")))</f>
        <v>#N/A</v>
      </c>
      <c r="G865" s="5" t="e">
        <f ca="1">IF(OR(INDEX($AI$2:$AI$1001,MATCH(ROWS($AH$2:AH865),$AH$2:$AH$1001,0),1)&gt;=100000,INDEX($AO$1005:$BQ$1005,1,MATCH(COLUMNS($AO$1006:AT1006),$AO$1006:$BQ$1006,0))&gt;=100000), " ",IF(INDEX($AO$2:$BQ$1001,MATCH(ROWS($AH$2:AH865),$AH$2:$AH$1001,0),MATCH(COLUMNS($AO$1006:AT1006),$AO$1006:$BQ$1006,0)), HYPERLINK("#",""), HYPERLINK(CONCATENATE("#Metadata!", ADDRESS(INDEX($AJ$2:$AJ$1001,MATCH(ROWS($AH$2:AH865),$AH$2:$AH$1001,0),0), INDEX($AO$1004:$BQ$1004,1,MATCH(COLUMNS($AO$1006:AT1006),$AO$1006:$BQ$1006,0)))),"Fix")))</f>
        <v>#N/A</v>
      </c>
      <c r="H865" s="5" t="e">
        <f ca="1">IF(OR(INDEX($AI$2:$AI$1001,MATCH(ROWS($AH$2:AH865),$AH$2:$AH$1001,0),1)&gt;=100000,INDEX($AO$1005:$BQ$1005,1,MATCH(COLUMNS($AO$1006:AU1006),$AO$1006:$BQ$1006,0))&gt;=100000), " ",IF(INDEX($AO$2:$BQ$1001,MATCH(ROWS($AH$2:AH865),$AH$2:$AH$1001,0),MATCH(COLUMNS($AO$1006:AU1006),$AO$1006:$BQ$1006,0)), HYPERLINK("#",""), HYPERLINK(CONCATENATE("#Metadata!", ADDRESS(INDEX($AJ$2:$AJ$1001,MATCH(ROWS($AH$2:AH865),$AH$2:$AH$1001,0),0), INDEX($AO$1004:$BQ$1004,1,MATCH(COLUMNS($AO$1006:AU1006),$AO$1006:$BQ$1006,0)))),"Fix")))</f>
        <v>#N/A</v>
      </c>
      <c r="I865" s="5" t="e">
        <f ca="1">IF(OR(INDEX($AI$2:$AI$1001,MATCH(ROWS($AH$2:AH865),$AH$2:$AH$1001,0),1)&gt;=100000,INDEX($AO$1005:$BQ$1005,1,MATCH(COLUMNS($AO$1006:AV1006),$AO$1006:$BQ$1006,0))&gt;=100000), " ",IF(INDEX($AO$2:$BQ$1001,MATCH(ROWS($AH$2:AH865),$AH$2:$AH$1001,0),MATCH(COLUMNS($AO$1006:AV1006),$AO$1006:$BQ$1006,0)), HYPERLINK("#",""), HYPERLINK(CONCATENATE("#Metadata!", ADDRESS(INDEX($AJ$2:$AJ$1001,MATCH(ROWS($AH$2:AH865),$AH$2:$AH$1001,0),0), INDEX($AO$1004:$BQ$1004,1,MATCH(COLUMNS($AO$1006:AV1006),$AO$1006:$BQ$1006,0)))),"Fix")))</f>
        <v>#N/A</v>
      </c>
      <c r="J865" s="5" t="e">
        <f ca="1">IF(OR(INDEX($AI$2:$AI$1001,MATCH(ROWS($AH$2:AH865),$AH$2:$AH$1001,0),1)&gt;=100000,INDEX($AO$1005:$BQ$1005,1,MATCH(COLUMNS($AO$1006:AW1006),$AO$1006:$BQ$1006,0))&gt;=100000), " ",IF(INDEX($AO$2:$BQ$1001,MATCH(ROWS($AH$2:AH865),$AH$2:$AH$1001,0),MATCH(COLUMNS($AO$1006:AW1006),$AO$1006:$BQ$1006,0)), HYPERLINK("#",""), HYPERLINK(CONCATENATE("#Metadata!", ADDRESS(INDEX($AJ$2:$AJ$1001,MATCH(ROWS($AH$2:AH865),$AH$2:$AH$1001,0),0), INDEX($AO$1004:$BQ$1004,1,MATCH(COLUMNS($AO$1006:AW1006),$AO$1006:$BQ$1006,0)))),"Fix")))</f>
        <v>#N/A</v>
      </c>
      <c r="K865" s="5" t="e">
        <f ca="1">IF(OR(INDEX($AI$2:$AI$1001,MATCH(ROWS($AH$2:AH865),$AH$2:$AH$1001,0),1)&gt;=100000,INDEX($AO$1005:$BQ$1005,1,MATCH(COLUMNS($AO$1006:AX1006),$AO$1006:$BQ$1006,0))&gt;=100000), " ",IF(INDEX($AO$2:$BQ$1001,MATCH(ROWS($AH$2:AH865),$AH$2:$AH$1001,0),MATCH(COLUMNS($AO$1006:AX1006),$AO$1006:$BQ$1006,0)), HYPERLINK("#",""), HYPERLINK(CONCATENATE("#Metadata!", ADDRESS(INDEX($AJ$2:$AJ$1001,MATCH(ROWS($AH$2:AH865),$AH$2:$AH$1001,0),0), INDEX($AO$1004:$BQ$1004,1,MATCH(COLUMNS($AO$1006:AX1006),$AO$1006:$BQ$1006,0)))),"Fix")))</f>
        <v>#N/A</v>
      </c>
      <c r="L865" s="5" t="e">
        <f ca="1">IF(OR(INDEX($AI$2:$AI$1001,MATCH(ROWS($AH$2:AH865),$AH$2:$AH$1001,0),1)&gt;=100000,INDEX($AO$1005:$BQ$1005,1,MATCH(COLUMNS($AO$1006:AY1006),$AO$1006:$BQ$1006,0))&gt;=100000), " ",IF(INDEX($AO$2:$BQ$1001,MATCH(ROWS($AH$2:AH865),$AH$2:$AH$1001,0),MATCH(COLUMNS($AO$1006:AY1006),$AO$1006:$BQ$1006,0)), HYPERLINK("#",""), HYPERLINK(CONCATENATE("#Metadata!", ADDRESS(INDEX($AJ$2:$AJ$1001,MATCH(ROWS($AH$2:AH865),$AH$2:$AH$1001,0),0), INDEX($AO$1004:$BQ$1004,1,MATCH(COLUMNS($AO$1006:AY1006),$AO$1006:$BQ$1006,0)))),"Fix")))</f>
        <v>#N/A</v>
      </c>
      <c r="M865" s="5" t="e">
        <f ca="1">IF(OR(INDEX($AI$2:$AI$1001,MATCH(ROWS($AH$2:AH865),$AH$2:$AH$1001,0),1)&gt;=100000,INDEX($AO$1005:$BQ$1005,1,MATCH(COLUMNS($AO$1006:AZ1006),$AO$1006:$BQ$1006,0))&gt;=100000), " ",IF(INDEX($AO$2:$BQ$1001,MATCH(ROWS($AH$2:AH865),$AH$2:$AH$1001,0),MATCH(COLUMNS($AO$1006:AZ1006),$AO$1006:$BQ$1006,0)), HYPERLINK("#",""), HYPERLINK(CONCATENATE("#Metadata!", ADDRESS(INDEX($AJ$2:$AJ$1001,MATCH(ROWS($AH$2:AH865),$AH$2:$AH$1001,0),0), INDEX($AO$1004:$BQ$1004,1,MATCH(COLUMNS($AO$1006:AZ1006),$AO$1006:$BQ$1006,0)))),"Fix")))</f>
        <v>#N/A</v>
      </c>
      <c r="N865" s="5" t="e">
        <f ca="1">IF(OR(INDEX($AI$2:$AI$1001,MATCH(ROWS($AH$2:AH865),$AH$2:$AH$1001,0),1)&gt;=100000,INDEX($AO$1005:$BQ$1005,1,MATCH(COLUMNS($AO$1006:BA1006),$AO$1006:$BQ$1006,0))&gt;=100000), " ",IF(INDEX($AO$2:$BQ$1001,MATCH(ROWS($AH$2:AH865),$AH$2:$AH$1001,0),MATCH(COLUMNS($AO$1006:BA1006),$AO$1006:$BQ$1006,0)), HYPERLINK("#",""), HYPERLINK(CONCATENATE("#Metadata!", ADDRESS(INDEX($AJ$2:$AJ$1001,MATCH(ROWS($AH$2:AH865),$AH$2:$AH$1001,0),0), INDEX($AO$1004:$BQ$1004,1,MATCH(COLUMNS($AO$1006:BA1006),$AO$1006:$BQ$1006,0)))),"Fix")))</f>
        <v>#N/A</v>
      </c>
      <c r="O865" s="5" t="e">
        <f ca="1">IF(OR(INDEX($AI$2:$AI$1001,MATCH(ROWS($AH$2:AH865),$AH$2:$AH$1001,0),1)&gt;=100000,INDEX($AO$1005:$BQ$1005,1,MATCH(COLUMNS($AO$1006:BB1006),$AO$1006:$BQ$1006,0))&gt;=100000), " ",IF(INDEX($AO$2:$BQ$1001,MATCH(ROWS($AH$2:AH865),$AH$2:$AH$1001,0),MATCH(COLUMNS($AO$1006:BB1006),$AO$1006:$BQ$1006,0)), HYPERLINK("#",""), HYPERLINK(CONCATENATE("#Metadata!", ADDRESS(INDEX($AJ$2:$AJ$1001,MATCH(ROWS($AH$2:AH865),$AH$2:$AH$1001,0),0), INDEX($AO$1004:$BQ$1004,1,MATCH(COLUMNS($AO$1006:BB1006),$AO$1006:$BQ$1006,0)))),"Fix")))</f>
        <v>#N/A</v>
      </c>
      <c r="P865" s="5" t="e">
        <f ca="1">IF(OR(INDEX($AI$2:$AI$1001,MATCH(ROWS($AH$2:AH865),$AH$2:$AH$1001,0),1)&gt;=100000,INDEX($AO$1005:$BQ$1005,1,MATCH(COLUMNS($AO$1006:BC1006),$AO$1006:$BQ$1006,0))&gt;=100000), " ",IF(INDEX($AO$2:$BQ$1001,MATCH(ROWS($AH$2:AH865),$AH$2:$AH$1001,0),MATCH(COLUMNS($AO$1006:BC1006),$AO$1006:$BQ$1006,0)), HYPERLINK("#",""), HYPERLINK(CONCATENATE("#Metadata!", ADDRESS(INDEX($AJ$2:$AJ$1001,MATCH(ROWS($AH$2:AH865),$AH$2:$AH$1001,0),0), INDEX($AO$1004:$BQ$1004,1,MATCH(COLUMNS($AO$1006:BC1006),$AO$1006:$BQ$1006,0)))),"Fix")))</f>
        <v>#N/A</v>
      </c>
      <c r="Q865" s="5" t="e">
        <f ca="1">IF(OR(INDEX($AI$2:$AI$1001,MATCH(ROWS($AH$2:AH865),$AH$2:$AH$1001,0),1)&gt;=100000,INDEX($AO$1005:$BQ$1005,1,MATCH(COLUMNS($AO$1006:BD1006),$AO$1006:$BQ$1006,0))&gt;=100000), " ",IF(INDEX($AO$2:$BQ$1001,MATCH(ROWS($AH$2:AH865),$AH$2:$AH$1001,0),MATCH(COLUMNS($AO$1006:BD1006),$AO$1006:$BQ$1006,0)), HYPERLINK("#",""), HYPERLINK(CONCATENATE("#Metadata!", ADDRESS(INDEX($AJ$2:$AJ$1001,MATCH(ROWS($AH$2:AH865),$AH$2:$AH$1001,0),0), INDEX($AO$1004:$BQ$1004,1,MATCH(COLUMNS($AO$1006:BD1006),$AO$1006:$BQ$1006,0)))),"Fix")))</f>
        <v>#N/A</v>
      </c>
      <c r="R865" s="5" t="e">
        <f ca="1">IF(OR(INDEX($AI$2:$AI$1001,MATCH(ROWS($AH$2:AH865),$AH$2:$AH$1001,0),1)&gt;=100000,INDEX($AO$1005:$BQ$1005,1,MATCH(COLUMNS($AO$1006:BE1006),$AO$1006:$BQ$1006,0))&gt;=100000), " ",IF(INDEX($AO$2:$BQ$1001,MATCH(ROWS($AH$2:AH865),$AH$2:$AH$1001,0),MATCH(COLUMNS($AO$1006:BE1006),$AO$1006:$BQ$1006,0)), HYPERLINK("#",""), HYPERLINK(CONCATENATE("#Metadata!", ADDRESS(INDEX($AJ$2:$AJ$1001,MATCH(ROWS($AH$2:AH865),$AH$2:$AH$1001,0),0), INDEX($AO$1004:$BQ$1004,1,MATCH(COLUMNS($AO$1006:BE1006),$AO$1006:$BQ$1006,0)))),"Fix")))</f>
        <v>#N/A</v>
      </c>
      <c r="S865" s="5" t="e">
        <f ca="1">IF(OR(INDEX($AI$2:$AI$1001,MATCH(ROWS($AH$2:AH865),$AH$2:$AH$1001,0),1)&gt;=100000,INDEX($AO$1005:$BQ$1005,1,MATCH(COLUMNS($AO$1006:BF1006),$AO$1006:$BQ$1006,0))&gt;=100000), " ",IF(INDEX($AO$2:$BQ$1001,MATCH(ROWS($AH$2:AH865),$AH$2:$AH$1001,0),MATCH(COLUMNS($AO$1006:BF1006),$AO$1006:$BQ$1006,0)), HYPERLINK("#",""), HYPERLINK(CONCATENATE("#Metadata!", ADDRESS(INDEX($AJ$2:$AJ$1001,MATCH(ROWS($AH$2:AH865),$AH$2:$AH$1001,0),0), INDEX($AO$1004:$BQ$1004,1,MATCH(COLUMNS($AO$1006:BF1006),$AO$1006:$BQ$1006,0)))),"Fix")))</f>
        <v>#N/A</v>
      </c>
      <c r="T865" s="5" t="e">
        <f ca="1">IF(OR(INDEX($AI$2:$AI$1001,MATCH(ROWS($AH$2:AH865),$AH$2:$AH$1001,0),1)&gt;=100000,INDEX($AO$1005:$BQ$1005,1,MATCH(COLUMNS($AO$1006:BG1006),$AO$1006:$BQ$1006,0))&gt;=100000), " ",IF(INDEX($AO$2:$BQ$1001,MATCH(ROWS($AH$2:AH865),$AH$2:$AH$1001,0),MATCH(COLUMNS($AO$1006:BG1006),$AO$1006:$BQ$1006,0)), HYPERLINK("#",""), HYPERLINK(CONCATENATE("#Metadata!", ADDRESS(INDEX($AJ$2:$AJ$1001,MATCH(ROWS($AH$2:AH865),$AH$2:$AH$1001,0),0), INDEX($AO$1004:$BQ$1004,1,MATCH(COLUMNS($AO$1006:BG1006),$AO$1006:$BQ$1006,0)))),"Fix")))</f>
        <v>#N/A</v>
      </c>
      <c r="U865" s="5" t="e">
        <f ca="1">IF(OR(INDEX($AI$2:$AI$1001,MATCH(ROWS($AH$2:AH865),$AH$2:$AH$1001,0),1)&gt;=100000,INDEX($AO$1005:$BQ$1005,1,MATCH(COLUMNS($AO$1006:BH1006),$AO$1006:$BQ$1006,0))&gt;=100000), " ",IF(INDEX($AO$2:$BQ$1001,MATCH(ROWS($AH$2:AH865),$AH$2:$AH$1001,0),MATCH(COLUMNS($AO$1006:BH1006),$AO$1006:$BQ$1006,0)), HYPERLINK("#",""), HYPERLINK(CONCATENATE("#Metadata!", ADDRESS(INDEX($AJ$2:$AJ$1001,MATCH(ROWS($AH$2:AH865),$AH$2:$AH$1001,0),0), INDEX($AO$1004:$BQ$1004,1,MATCH(COLUMNS($AO$1006:BH1006),$AO$1006:$BQ$1006,0)))),"Fix")))</f>
        <v>#N/A</v>
      </c>
      <c r="V865" s="5" t="e">
        <f ca="1">IF(OR(INDEX($AI$2:$AI$1001,MATCH(ROWS($AH$2:AH865),$AH$2:$AH$1001,0),1)&gt;=100000,INDEX($AO$1005:$BQ$1005,1,MATCH(COLUMNS($AO$1006:BI1006),$AO$1006:$BQ$1006,0))&gt;=100000), " ",IF(INDEX($AO$2:$BQ$1001,MATCH(ROWS($AH$2:AH865),$AH$2:$AH$1001,0),MATCH(COLUMNS($AO$1006:BI1006),$AO$1006:$BQ$1006,0)), HYPERLINK("#",""), HYPERLINK(CONCATENATE("#Metadata!", ADDRESS(INDEX($AJ$2:$AJ$1001,MATCH(ROWS($AH$2:AH865),$AH$2:$AH$1001,0),0), INDEX($AO$1004:$BQ$1004,1,MATCH(COLUMNS($AO$1006:BI1006),$AO$1006:$BQ$1006,0)))),"Fix")))</f>
        <v>#N/A</v>
      </c>
      <c r="W865" s="5" t="e">
        <f ca="1">IF(OR(INDEX($AI$2:$AI$1001,MATCH(ROWS($AH$2:AH865),$AH$2:$AH$1001,0),1)&gt;=100000,INDEX($AO$1005:$BQ$1005,1,MATCH(COLUMNS($AO$1006:BJ1006),$AO$1006:$BQ$1006,0))&gt;=100000), " ",IF(INDEX($AO$2:$BQ$1001,MATCH(ROWS($AH$2:AH865),$AH$2:$AH$1001,0),MATCH(COLUMNS($AO$1006:BJ1006),$AO$1006:$BQ$1006,0)), HYPERLINK("#",""), HYPERLINK(CONCATENATE("#Metadata!", ADDRESS(INDEX($AJ$2:$AJ$1001,MATCH(ROWS($AH$2:AH865),$AH$2:$AH$1001,0),0), INDEX($AO$1004:$BQ$1004,1,MATCH(COLUMNS($AO$1006:BJ1006),$AO$1006:$BQ$1006,0)))),"Fix")))</f>
        <v>#N/A</v>
      </c>
      <c r="X865" s="5" t="e">
        <f ca="1">IF(OR(INDEX($AI$2:$AI$1001,MATCH(ROWS($AH$2:AH865),$AH$2:$AH$1001,0),1)&gt;=100000,INDEX($AO$1005:$BQ$1005,1,MATCH(COLUMNS($AO$1006:BK1006),$AO$1006:$BQ$1006,0))&gt;=100000), " ",IF(INDEX($AO$2:$BQ$1001,MATCH(ROWS($AH$2:AH865),$AH$2:$AH$1001,0),MATCH(COLUMNS($AO$1006:BK1006),$AO$1006:$BQ$1006,0)), HYPERLINK("#",""), HYPERLINK(CONCATENATE("#Metadata!", ADDRESS(INDEX($AJ$2:$AJ$1001,MATCH(ROWS($AH$2:AH865),$AH$2:$AH$1001,0),0), INDEX($AO$1004:$BQ$1004,1,MATCH(COLUMNS($AO$1006:BK1006),$AO$1006:$BQ$1006,0)))),"Fix")))</f>
        <v>#N/A</v>
      </c>
      <c r="Y865" s="5" t="e">
        <f ca="1">IF(OR(INDEX($AI$2:$AI$1001,MATCH(ROWS($AH$2:AH865),$AH$2:$AH$1001,0),1)&gt;=100000,INDEX($AO$1005:$BQ$1005,1,MATCH(COLUMNS($AO$1006:BL1006),$AO$1006:$BQ$1006,0))&gt;=100000), " ",IF(INDEX($AO$2:$BQ$1001,MATCH(ROWS($AH$2:AH865),$AH$2:$AH$1001,0),MATCH(COLUMNS($AO$1006:BL1006),$AO$1006:$BQ$1006,0)), HYPERLINK("#",""), HYPERLINK(CONCATENATE("#Metadata!", ADDRESS(INDEX($AJ$2:$AJ$1001,MATCH(ROWS($AH$2:AH865),$AH$2:$AH$1001,0),0), INDEX($AO$1004:$BQ$1004,1,MATCH(COLUMNS($AO$1006:BL1006),$AO$1006:$BQ$1006,0)))),"Fix")))</f>
        <v>#N/A</v>
      </c>
      <c r="Z865" s="5" t="e">
        <f ca="1">IF(OR(INDEX($AI$2:$AI$1001,MATCH(ROWS($AH$2:AH865),$AH$2:$AH$1001,0),1)&gt;=100000,INDEX($AO$1005:$BQ$1005,1,MATCH(COLUMNS($AO$1006:BM1006),$AO$1006:$BQ$1006,0))&gt;=100000), " ",IF(INDEX($AO$2:$BQ$1001,MATCH(ROWS($AH$2:AH865),$AH$2:$AH$1001,0),MATCH(COLUMNS($AO$1006:BM1006),$AO$1006:$BQ$1006,0)), HYPERLINK("#",""), HYPERLINK(CONCATENATE("#Metadata!", ADDRESS(INDEX($AJ$2:$AJ$1001,MATCH(ROWS($AH$2:AH865),$AH$2:$AH$1001,0),0), INDEX($AO$1004:$BQ$1004,1,MATCH(COLUMNS($AO$1006:BM1006),$AO$1006:$BQ$1006,0)))),"Fix")))</f>
        <v>#N/A</v>
      </c>
      <c r="AA865" s="5" t="e">
        <f ca="1">IF(OR(INDEX($AI$2:$AI$1001,MATCH(ROWS($AH$2:AH865),$AH$2:$AH$1001,0),1)&gt;=100000,INDEX($AO$1005:$BQ$1005,1,MATCH(COLUMNS($AO$1006:BN1006),$AO$1006:$BQ$1006,0))&gt;=100000), " ",IF(INDEX($AO$2:$BQ$1001,MATCH(ROWS($AH$2:AH865),$AH$2:$AH$1001,0),MATCH(COLUMNS($AO$1006:BN1006),$AO$1006:$BQ$1006,0)), HYPERLINK("#",""), HYPERLINK(CONCATENATE("#Metadata!", ADDRESS(INDEX($AJ$2:$AJ$1001,MATCH(ROWS($AH$2:AH865),$AH$2:$AH$1001,0),0), INDEX($AO$1004:$BQ$1004,1,MATCH(COLUMNS($AO$1006:BN1006),$AO$1006:$BQ$1006,0)))),"Fix")))</f>
        <v>#N/A</v>
      </c>
      <c r="AB865" s="5" t="e">
        <f ca="1">IF(OR(INDEX($AI$2:$AI$1001,MATCH(ROWS($AH$2:AH865),$AH$2:$AH$1001,0),1)&gt;=100000,INDEX($AO$1005:$BQ$1005,1,MATCH(COLUMNS($AO$1006:BO1006),$AO$1006:$BQ$1006,0))&gt;=100000), " ",IF(INDEX($AO$2:$BQ$1001,MATCH(ROWS($AH$2:AH865),$AH$2:$AH$1001,0),MATCH(COLUMNS($AO$1006:BO1006),$AO$1006:$BQ$1006,0)), HYPERLINK("#",""), HYPERLINK(CONCATENATE("#Metadata!", ADDRESS(INDEX($AJ$2:$AJ$1001,MATCH(ROWS($AH$2:AH865),$AH$2:$AH$1001,0),0), INDEX($AO$1004:$BQ$1004,1,MATCH(COLUMNS($AO$1006:BO1006),$AO$1006:$BQ$1006,0)))),"Fix")))</f>
        <v>#N/A</v>
      </c>
      <c r="AC865" s="5" t="e">
        <f ca="1">IF(OR(INDEX($AI$2:$AI$1001,MATCH(ROWS($AH$2:AH865),$AH$2:$AH$1001,0),1)&gt;=100000,INDEX($AO$1005:$BQ$1005,1,MATCH(COLUMNS($AO$1006:BP1006),$AO$1006:$BQ$1006,0))&gt;=100000), " ",IF(INDEX($AO$2:$BQ$1001,MATCH(ROWS($AH$2:AH865),$AH$2:$AH$1001,0),MATCH(COLUMNS($AO$1006:BP1006),$AO$1006:$BQ$1006,0)), HYPERLINK("#",""), HYPERLINK(CONCATENATE("#Metadata!", ADDRESS(INDEX($AJ$2:$AJ$1001,MATCH(ROWS($AH$2:AH865),$AH$2:$AH$1001,0),0), INDEX($AO$1004:$BQ$1004,1,MATCH(COLUMNS($AO$1006:BP1006),$AO$1006:$BQ$1006,0)))),"Fix")))</f>
        <v>#N/A</v>
      </c>
      <c r="AD865" s="5" t="e">
        <f ca="1">IF(OR(INDEX($AI$2:$AI$1001,MATCH(ROWS($AH$2:AH865),$AH$2:$AH$1001,0),1)&gt;=100000,INDEX($AO$1005:$BQ$1005,1,MATCH(COLUMNS($AO$1006:BQ1006),$AO$1006:$BQ$1006,0))&gt;=100000), " ",IF(INDEX($AO$2:$BQ$1001,MATCH(ROWS($AH$2:AH865),$AH$2:$AH$1001,0),MATCH(COLUMNS($AO$1006:BQ1006),$AO$1006:$BQ$1006,0)), HYPERLINK("#",""), HYPERLINK(CONCATENATE("#Metadata!", ADDRESS(INDEX($AJ$2:$AJ$1001,MATCH(ROWS($AH$2:AH865),$AH$2:$AH$1001,0),0), INDEX($AO$1004:$BQ$1004,1,MATCH(COLUMNS($AO$1006:BQ1006),$AO$1006:$BQ$1006,0)))),"Fix")))</f>
        <v>#REF!</v>
      </c>
      <c r="AH865">
        <f ca="1"/>
        <v>862</v>
      </c>
      <c r="AI865">
        <v>100865</v>
      </c>
      <c r="AJ865">
        <v>865</v>
      </c>
      <c r="AK865" t="b">
        <f t="shared" si="13"/>
        <v>1</v>
      </c>
      <c r="AL865" t="b">
        <f>COUNTBLANK(Metadata!B865:AD865)=COLUMNS(Metadata!B865:AD865)</f>
        <v>1</v>
      </c>
      <c r="AM865" t="str">
        <v/>
      </c>
      <c r="AO865" t="b">
        <f ca="1">AND(IF(Metadata!B865="",FALSE,TRUE),COUNTIF(Metadata!B:B, Metadata!B865) = 1,NOT(ISERROR(SUMPRODUCT(SEARCH(MID(Metadata!B865,ROW(INDIRECT("1:"&amp;LEN(Metadata!B865))), 1),"0123456789abcdefghijklmnopqrstuvwxyzABCDEFGHIJKLMNOPQRSTUVWXYZ.")))))</f>
        <v>0</v>
      </c>
      <c r="AP865" t="b">
        <f>IF(Metadata!C865="",FALSE,TRUE)</f>
        <v>0</v>
      </c>
      <c r="AQ865" t="b">
        <f>IF(Metadata!D865="",FALSE,TRUE)</f>
        <v>0</v>
      </c>
      <c r="AR865" t="b">
        <f ca="1">OR(AND(IF(Metadata!E865="",FALSE,TRUE),OR(EXACT(Metadata!E865,"not collected"),EXACT(Metadata!E865,"not provided"),EXACT(Metadata!E865,"restricted access"))),AND(IF(Metadata!E865="",FALSE,TRUE),AND(AND(IFERROR(INT(LEFT(Metadata!E865,4))&gt;1900,FALSE),IFERROR(INT(LEFT(Metadata!E865,4))&lt;=YEAR(NOW()),FALSE)), OR(MID(Metadata!E865,5,1)="", AND(AND(MID(Metadata!E865,5,1)="-",IFERROR(INT(MID(Metadata!E865,6,1))&gt;=0,FALSE),IFERROR(INT(MID(Metadata!E865,6,1))&lt;=1,FALSE),NOT(MID(Metadata!E865,7,1)=""),IFERROR(INT(MID(Metadata!E865,6,2))&gt;=1,FALSE),IFERROR(INT(MID(Metadata!E865,6,2))&lt;=12,FALSE)), OR(MID(Metadata!E865,8,1)="", AND(AND(MID(Metadata!E865,8,1)="-",IFERROR(INT(MID(Metadata!E865,9,1))&gt;=0,FALSE),IFERROR(INT(MID(Metadata!E865,9,1))&lt;=3,FALSE),NOT(MID(Metadata!E865,10,1)=""),IFERROR(INT(MID(Metadata!E865,9,2))&gt;=1,FALSE),IFERROR(INT(MID(Metadata!E865,9,2))&lt;=31,FALSE)), OR(MID(Metadata!E865,11,1)="", AND(AND(MID(Metadata!E865,11,1)=" ",IFERROR(INT(MID(Metadata!E865,12,1))&gt;=0,FALSE),IFERROR(INT(MID(Metadata!E865,12,1))&lt;=2,FALSE),NOT(MID(Metadata!E865,13,1)=""),IFERROR(INT(MID(Metadata!E865,12,2))&gt;=0,FALSE),IFERROR(INT(MID(Metadata!E865,12,2))&lt;=23,FALSE)), OR(MID(Metadata!E865,14,1)="", AND(AND(MID(Metadata!E865,14,1)=":",IFERROR(INT(MID(Metadata!E865,15,1))&gt;=0,FALSE),IFERROR(INT(MID(Metadata!E865,15,1))&lt;=5,FALSE),NOT(MID(Metadata!E865,16,1)=""),IFERROR(INT(MID(Metadata!E865,15,2))&gt;=0,FALSE),IFERROR(INT(MID(Metadata!E865,15,2))&lt;=59,FALSE)), OR(MID(Metadata!E865,17,1)="", AND(AND(MID(Metadata!E865,17,1)=":",IFERROR(INT(MID(Metadata!E865,18,1))&gt;=0,FALSE),IFERROR(INT(MID(Metadata!E865,18,1))&lt;=5,FALSE),NOT(MID(Metadata!E865,19,1)=""),IFERROR(INT(MID(Metadata!E865,18,2))&gt;=0,FALSE),IFERROR(INT(MID(Metadata!E865,18,2))&lt;=59,FALSE)), LEN(Metadata!E865)&lt;=19)))))))))))))</f>
        <v>0</v>
      </c>
      <c r="AS865" t="b">
        <f>IF(Metadata!F865="",FALSE,TRUE)</f>
        <v>0</v>
      </c>
      <c r="AT865" t="b">
        <f>OR(AND(IF(Metadata!G865="",FALSE,TRUE),OR(EXACT(Metadata!G865,"not collected"),EXACT(Metadata!G865,"not provided"))),AND(IF(Metadata!G865="",FALSE,TRUE),OR(EXACT(Metadata!G865,"TRUE"),EXACT(Metadata!G865,"FALSE"))))</f>
        <v>0</v>
      </c>
      <c r="AU865" t="b">
        <f>OR(AND(IF(Metadata!H865="",FALSE,TRUE),OR(EXACT(Metadata!H865,"not collected"),EXACT(Metadata!H865,"not provided"),EXACT(Metadata!H865,"restricted access"))),AND(IF(Metadata!H865="",FALSE,ISNUMBER(VALUE(Metadata!H865))),Metadata!H865&gt;=-413))</f>
        <v>0</v>
      </c>
      <c r="AV865" t="b">
        <f>AND(IF(Metadata!I865="",FALSE,TRUE),EXACT(Metadata!I865,"meters"))</f>
        <v>0</v>
      </c>
      <c r="AW865" t="b">
        <f>AND(IF(Metadata!J865="",FALSE,TRUE),EXACT(Metadata!J865,"free-living"))</f>
        <v>0</v>
      </c>
      <c r="AX865" t="b">
        <f>AND(IF(Metadata!K865="",FALSE,TRUE),OR(EXACT(Metadata!K865,"saline"),EXACT(Metadata!K865,"non-saline")))</f>
        <v>0</v>
      </c>
      <c r="AY865" t="b">
        <f>AND(IF(Metadata!L865="",FALSE,TRUE),OR(EXACT(Metadata!L865,"sub-surface (non-saline)"),EXACT(Metadata!L865,"surface (non-saline)"),EXACT(Metadata!L865,"water (non-saline)"),EXACT(Metadata!L865,"soil (non-saline)"),EXACT(Metadata!L865,"aerosol (non-saline)"),EXACT(Metadata!L865,"sediment (non-saline)"),EXACT(Metadata!L865,"surface (saline)"),EXACT(Metadata!L865,"water (saline)"),EXACT(Metadata!L865,"hypersaline (saline)"),EXACT(Metadata!L865,"aerosol (saline)"),EXACT(Metadata!L865,"sediment (saline)")))</f>
        <v>0</v>
      </c>
      <c r="AZ865" t="b">
        <f>IF(Metadata!M865="",FALSE,TRUE)</f>
        <v>0</v>
      </c>
      <c r="BA865" t="b">
        <f>IF(Metadata!N865="",FALSE,TRUE)</f>
        <v>0</v>
      </c>
      <c r="BB865" t="b">
        <f>IF(Metadata!O865="",FALSE,TRUE)</f>
        <v>0</v>
      </c>
      <c r="BC865" t="b">
        <f>AND(IF(Metadata!P865="",FALSE,TRUE),OR(EXACT(Metadata!P865,"air"),EXACT(Metadata!P865,"microbial mat/biofilm"),EXACT(Metadata!P865,"misc environment"),EXACT(Metadata!P865,"sediment"),EXACT(Metadata!P865,"soil"),EXACT(Metadata!P865,"wastewater/sludge"),EXACT(Metadata!P865,"water")))</f>
        <v>0</v>
      </c>
      <c r="BD865" t="b">
        <f>IF(Metadata!Q865="",FALSE,TRUE)</f>
        <v>0</v>
      </c>
      <c r="BE865" t="b">
        <f>IF(Metadata!R865="",FALSE,TRUE)</f>
        <v>0</v>
      </c>
      <c r="BF865" t="b">
        <f>OR(AND(IF(Metadata!S865="",FALSE,TRUE),OR(EXACT(Metadata!S865,"not collected"),EXACT(Metadata!S865,"not provided"),EXACT(Metadata!S865,"restricted access"))),AND(IF(Metadata!S865="",FALSE,ISNUMBER(VALUE(Metadata!S865))),Metadata!S865&gt;=-90,Metadata!S865&lt;=90))</f>
        <v>0</v>
      </c>
      <c r="BG865" t="b">
        <f>AND(IF(Metadata!T865="",FALSE,TRUE),EXACT(Metadata!T865,"Decimal degrees"))</f>
        <v>0</v>
      </c>
      <c r="BH865" t="b">
        <f>OR(AND(IF(Metadata!U865="",FALSE,TRUE),OR(EXACT(Metadata!U865,"not applicable"),EXACT(Metadata!U865,"not collected"))),IF(Metadata!U865="",FALSE,TRUE))</f>
        <v>0</v>
      </c>
      <c r="BI865" t="b">
        <f>OR(AND(IF(Metadata!V865="",FALSE,TRUE),OR(EXACT(Metadata!V865,"not collected"),EXACT(Metadata!V865,"not provided"),EXACT(Metadata!V865,"restricted access"))),AND(IF(Metadata!V865="",FALSE,ISNUMBER(VALUE(Metadata!V865))),Metadata!V865&gt;=-180,Metadata!V865&lt;=180))</f>
        <v>0</v>
      </c>
      <c r="BJ865" t="b">
        <f>AND(IF(Metadata!W865="",FALSE,TRUE),EXACT(Metadata!W865,"Decimal degrees"))</f>
        <v>0</v>
      </c>
      <c r="BK865" t="b">
        <f>IF(Metadata!X865="",FALSE,TRUE)</f>
        <v>0</v>
      </c>
      <c r="BL865" t="b">
        <f>OR(AND(IF(Metadata!Y865="",FALSE,TRUE),OR(EXACT(Metadata!Y865,"not collected"),EXACT(Metadata!Y865,"not provided"),EXACT(Metadata!Y865,"restricted access"))),AND(IF(Metadata!Y865="",FALSE,TRUE),OR(EXACT(Metadata!Y865,"TRUE"),EXACT(Metadata!Y865,"FALSE"))))</f>
        <v>0</v>
      </c>
      <c r="BM865" t="b">
        <f>OR(AND(IF(Metadata!Z865="",FALSE,TRUE),EXACT(Metadata!Z865,"not applicable")),AND(IF(Metadata!Z865="",FALSE,TRUE),OR(EXACT(Metadata!Z865,"beer"),EXACT(Metadata!Z865,"cheese"),EXACT(Metadata!Z865,"fresh water"),EXACT(Metadata!Z865,"marine sediment"),EXACT(Metadata!Z865,"sea water"),EXACT(Metadata!Z865,"sediment"),EXACT(Metadata!Z865,"soil"),EXACT(Metadata!Z865,"waste water"))))</f>
        <v>0</v>
      </c>
      <c r="BN865" t="b">
        <f>AND(IF(Metadata!AA865="",FALSE,TRUE),EXACT(Metadata!AA865,"metagenome"))</f>
        <v>0</v>
      </c>
      <c r="BO865" t="b">
        <f>AND(IF(Metadata!AB865="",FALSE,TRUE),EXACT(Metadata!AB865,"256318"))</f>
        <v>0</v>
      </c>
      <c r="BP865" t="b">
        <f>IF(Metadata!AC865="",FALSE,TRUE)</f>
        <v>0</v>
      </c>
      <c r="BQ865" t="b">
        <f>IF(Metadata!AD865="",FALSE,TRUE)</f>
        <v>0</v>
      </c>
    </row>
    <row r="866" spans="1:69" x14ac:dyDescent="0.2">
      <c r="A866" s="4" t="e">
        <f ca="1">IF(B866=" "," ",HYPERLINK(CONCATENATE("#metadata!",ADDRESS(INDEX($AJ$2:$AJ$1001,MATCH(ROWS($AH$2:AH866),$AH$2:$AH$1001,0),0),2)),INDEX($AM$2:$AM$1001,MATCH(ROWS($AH$2:AH866),$AH$2:$AH$1001,0),0)))</f>
        <v>#N/A</v>
      </c>
      <c r="B866" s="5" t="e">
        <f ca="1">IF(OR(INDEX($AI$2:$AI$1001,MATCH(ROWS($AH$2:AH866),$AH$2:$AH$1001,0),1)&gt;=100000,INDEX($AO$1005:$BQ$1005,1,MATCH(COLUMNS($AO$1006:AO1006),$AO$1006:$BQ$1006,0))&gt;=100000), " ",IF(INDEX($AO$2:$BQ$1001,MATCH(ROWS($AH$2:AH866),$AH$2:$AH$1001,0),MATCH(COLUMNS($AO$1006:AO1006),$AO$1006:$BQ$1006,0)), HYPERLINK("#",""), HYPERLINK(CONCATENATE("#Metadata!", ADDRESS(INDEX($AJ$2:$AJ$1001,MATCH(ROWS($AH$2:AH866),$AH$2:$AH$1001,0),0), INDEX($AO$1004:$BQ$1004,1,MATCH(COLUMNS($AO$1006:AO1006),$AO$1006:$BQ$1006,0)))),"Fix")))</f>
        <v>#N/A</v>
      </c>
      <c r="C866" s="5" t="e">
        <f ca="1">IF(OR(INDEX($AI$2:$AI$1001,MATCH(ROWS($AH$2:AH866),$AH$2:$AH$1001,0),1)&gt;=100000,INDEX($AO$1005:$BQ$1005,1,MATCH(COLUMNS($AO$1006:AP1006),$AO$1006:$BQ$1006,0))&gt;=100000), " ",IF(INDEX($AO$2:$BQ$1001,MATCH(ROWS($AH$2:AH866),$AH$2:$AH$1001,0),MATCH(COLUMNS($AO$1006:AP1006),$AO$1006:$BQ$1006,0)), HYPERLINK("#",""), HYPERLINK(CONCATENATE("#Metadata!", ADDRESS(INDEX($AJ$2:$AJ$1001,MATCH(ROWS($AH$2:AH866),$AH$2:$AH$1001,0),0), INDEX($AO$1004:$BQ$1004,1,MATCH(COLUMNS($AO$1006:AP1006),$AO$1006:$BQ$1006,0)))),"Fix")))</f>
        <v>#N/A</v>
      </c>
      <c r="D866" s="5" t="e">
        <f ca="1">IF(OR(INDEX($AI$2:$AI$1001,MATCH(ROWS($AH$2:AH866),$AH$2:$AH$1001,0),1)&gt;=100000,INDEX($AO$1005:$BQ$1005,1,MATCH(COLUMNS($AO$1006:AQ1006),$AO$1006:$BQ$1006,0))&gt;=100000), " ",IF(INDEX($AO$2:$BQ$1001,MATCH(ROWS($AH$2:AH866),$AH$2:$AH$1001,0),MATCH(COLUMNS($AO$1006:AQ1006),$AO$1006:$BQ$1006,0)), HYPERLINK("#",""), HYPERLINK(CONCATENATE("#Metadata!", ADDRESS(INDEX($AJ$2:$AJ$1001,MATCH(ROWS($AH$2:AH866),$AH$2:$AH$1001,0),0), INDEX($AO$1004:$BQ$1004,1,MATCH(COLUMNS($AO$1006:AQ1006),$AO$1006:$BQ$1006,0)))),"Fix")))</f>
        <v>#N/A</v>
      </c>
      <c r="E866" s="5" t="e">
        <f ca="1">IF(OR(INDEX($AI$2:$AI$1001,MATCH(ROWS($AH$2:AH866),$AH$2:$AH$1001,0),1)&gt;=100000,INDEX($AO$1005:$BQ$1005,1,MATCH(COLUMNS($AO$1006:AR1006),$AO$1006:$BQ$1006,0))&gt;=100000), " ",IF(INDEX($AO$2:$BQ$1001,MATCH(ROWS($AH$2:AH866),$AH$2:$AH$1001,0),MATCH(COLUMNS($AO$1006:AR1006),$AO$1006:$BQ$1006,0)), HYPERLINK("#",""), HYPERLINK(CONCATENATE("#Metadata!", ADDRESS(INDEX($AJ$2:$AJ$1001,MATCH(ROWS($AH$2:AH866),$AH$2:$AH$1001,0),0), INDEX($AO$1004:$BQ$1004,1,MATCH(COLUMNS($AO$1006:AR1006),$AO$1006:$BQ$1006,0)))),"Fix")))</f>
        <v>#N/A</v>
      </c>
      <c r="F866" s="5" t="e">
        <f ca="1">IF(OR(INDEX($AI$2:$AI$1001,MATCH(ROWS($AH$2:AH866),$AH$2:$AH$1001,0),1)&gt;=100000,INDEX($AO$1005:$BQ$1005,1,MATCH(COLUMNS($AO$1006:AS1006),$AO$1006:$BQ$1006,0))&gt;=100000), " ",IF(INDEX($AO$2:$BQ$1001,MATCH(ROWS($AH$2:AH866),$AH$2:$AH$1001,0),MATCH(COLUMNS($AO$1006:AS1006),$AO$1006:$BQ$1006,0)), HYPERLINK("#",""), HYPERLINK(CONCATENATE("#Metadata!", ADDRESS(INDEX($AJ$2:$AJ$1001,MATCH(ROWS($AH$2:AH866),$AH$2:$AH$1001,0),0), INDEX($AO$1004:$BQ$1004,1,MATCH(COLUMNS($AO$1006:AS1006),$AO$1006:$BQ$1006,0)))),"Fix")))</f>
        <v>#N/A</v>
      </c>
      <c r="G866" s="5" t="e">
        <f ca="1">IF(OR(INDEX($AI$2:$AI$1001,MATCH(ROWS($AH$2:AH866),$AH$2:$AH$1001,0),1)&gt;=100000,INDEX($AO$1005:$BQ$1005,1,MATCH(COLUMNS($AO$1006:AT1006),$AO$1006:$BQ$1006,0))&gt;=100000), " ",IF(INDEX($AO$2:$BQ$1001,MATCH(ROWS($AH$2:AH866),$AH$2:$AH$1001,0),MATCH(COLUMNS($AO$1006:AT1006),$AO$1006:$BQ$1006,0)), HYPERLINK("#",""), HYPERLINK(CONCATENATE("#Metadata!", ADDRESS(INDEX($AJ$2:$AJ$1001,MATCH(ROWS($AH$2:AH866),$AH$2:$AH$1001,0),0), INDEX($AO$1004:$BQ$1004,1,MATCH(COLUMNS($AO$1006:AT1006),$AO$1006:$BQ$1006,0)))),"Fix")))</f>
        <v>#N/A</v>
      </c>
      <c r="H866" s="5" t="e">
        <f ca="1">IF(OR(INDEX($AI$2:$AI$1001,MATCH(ROWS($AH$2:AH866),$AH$2:$AH$1001,0),1)&gt;=100000,INDEX($AO$1005:$BQ$1005,1,MATCH(COLUMNS($AO$1006:AU1006),$AO$1006:$BQ$1006,0))&gt;=100000), " ",IF(INDEX($AO$2:$BQ$1001,MATCH(ROWS($AH$2:AH866),$AH$2:$AH$1001,0),MATCH(COLUMNS($AO$1006:AU1006),$AO$1006:$BQ$1006,0)), HYPERLINK("#",""), HYPERLINK(CONCATENATE("#Metadata!", ADDRESS(INDEX($AJ$2:$AJ$1001,MATCH(ROWS($AH$2:AH866),$AH$2:$AH$1001,0),0), INDEX($AO$1004:$BQ$1004,1,MATCH(COLUMNS($AO$1006:AU1006),$AO$1006:$BQ$1006,0)))),"Fix")))</f>
        <v>#N/A</v>
      </c>
      <c r="I866" s="5" t="e">
        <f ca="1">IF(OR(INDEX($AI$2:$AI$1001,MATCH(ROWS($AH$2:AH866),$AH$2:$AH$1001,0),1)&gt;=100000,INDEX($AO$1005:$BQ$1005,1,MATCH(COLUMNS($AO$1006:AV1006),$AO$1006:$BQ$1006,0))&gt;=100000), " ",IF(INDEX($AO$2:$BQ$1001,MATCH(ROWS($AH$2:AH866),$AH$2:$AH$1001,0),MATCH(COLUMNS($AO$1006:AV1006),$AO$1006:$BQ$1006,0)), HYPERLINK("#",""), HYPERLINK(CONCATENATE("#Metadata!", ADDRESS(INDEX($AJ$2:$AJ$1001,MATCH(ROWS($AH$2:AH866),$AH$2:$AH$1001,0),0), INDEX($AO$1004:$BQ$1004,1,MATCH(COLUMNS($AO$1006:AV1006),$AO$1006:$BQ$1006,0)))),"Fix")))</f>
        <v>#N/A</v>
      </c>
      <c r="J866" s="5" t="e">
        <f ca="1">IF(OR(INDEX($AI$2:$AI$1001,MATCH(ROWS($AH$2:AH866),$AH$2:$AH$1001,0),1)&gt;=100000,INDEX($AO$1005:$BQ$1005,1,MATCH(COLUMNS($AO$1006:AW1006),$AO$1006:$BQ$1006,0))&gt;=100000), " ",IF(INDEX($AO$2:$BQ$1001,MATCH(ROWS($AH$2:AH866),$AH$2:$AH$1001,0),MATCH(COLUMNS($AO$1006:AW1006),$AO$1006:$BQ$1006,0)), HYPERLINK("#",""), HYPERLINK(CONCATENATE("#Metadata!", ADDRESS(INDEX($AJ$2:$AJ$1001,MATCH(ROWS($AH$2:AH866),$AH$2:$AH$1001,0),0), INDEX($AO$1004:$BQ$1004,1,MATCH(COLUMNS($AO$1006:AW1006),$AO$1006:$BQ$1006,0)))),"Fix")))</f>
        <v>#N/A</v>
      </c>
      <c r="K866" s="5" t="e">
        <f ca="1">IF(OR(INDEX($AI$2:$AI$1001,MATCH(ROWS($AH$2:AH866),$AH$2:$AH$1001,0),1)&gt;=100000,INDEX($AO$1005:$BQ$1005,1,MATCH(COLUMNS($AO$1006:AX1006),$AO$1006:$BQ$1006,0))&gt;=100000), " ",IF(INDEX($AO$2:$BQ$1001,MATCH(ROWS($AH$2:AH866),$AH$2:$AH$1001,0),MATCH(COLUMNS($AO$1006:AX1006),$AO$1006:$BQ$1006,0)), HYPERLINK("#",""), HYPERLINK(CONCATENATE("#Metadata!", ADDRESS(INDEX($AJ$2:$AJ$1001,MATCH(ROWS($AH$2:AH866),$AH$2:$AH$1001,0),0), INDEX($AO$1004:$BQ$1004,1,MATCH(COLUMNS($AO$1006:AX1006),$AO$1006:$BQ$1006,0)))),"Fix")))</f>
        <v>#N/A</v>
      </c>
      <c r="L866" s="5" t="e">
        <f ca="1">IF(OR(INDEX($AI$2:$AI$1001,MATCH(ROWS($AH$2:AH866),$AH$2:$AH$1001,0),1)&gt;=100000,INDEX($AO$1005:$BQ$1005,1,MATCH(COLUMNS($AO$1006:AY1006),$AO$1006:$BQ$1006,0))&gt;=100000), " ",IF(INDEX($AO$2:$BQ$1001,MATCH(ROWS($AH$2:AH866),$AH$2:$AH$1001,0),MATCH(COLUMNS($AO$1006:AY1006),$AO$1006:$BQ$1006,0)), HYPERLINK("#",""), HYPERLINK(CONCATENATE("#Metadata!", ADDRESS(INDEX($AJ$2:$AJ$1001,MATCH(ROWS($AH$2:AH866),$AH$2:$AH$1001,0),0), INDEX($AO$1004:$BQ$1004,1,MATCH(COLUMNS($AO$1006:AY1006),$AO$1006:$BQ$1006,0)))),"Fix")))</f>
        <v>#N/A</v>
      </c>
      <c r="M866" s="5" t="e">
        <f ca="1">IF(OR(INDEX($AI$2:$AI$1001,MATCH(ROWS($AH$2:AH866),$AH$2:$AH$1001,0),1)&gt;=100000,INDEX($AO$1005:$BQ$1005,1,MATCH(COLUMNS($AO$1006:AZ1006),$AO$1006:$BQ$1006,0))&gt;=100000), " ",IF(INDEX($AO$2:$BQ$1001,MATCH(ROWS($AH$2:AH866),$AH$2:$AH$1001,0),MATCH(COLUMNS($AO$1006:AZ1006),$AO$1006:$BQ$1006,0)), HYPERLINK("#",""), HYPERLINK(CONCATENATE("#Metadata!", ADDRESS(INDEX($AJ$2:$AJ$1001,MATCH(ROWS($AH$2:AH866),$AH$2:$AH$1001,0),0), INDEX($AO$1004:$BQ$1004,1,MATCH(COLUMNS($AO$1006:AZ1006),$AO$1006:$BQ$1006,0)))),"Fix")))</f>
        <v>#N/A</v>
      </c>
      <c r="N866" s="5" t="e">
        <f ca="1">IF(OR(INDEX($AI$2:$AI$1001,MATCH(ROWS($AH$2:AH866),$AH$2:$AH$1001,0),1)&gt;=100000,INDEX($AO$1005:$BQ$1005,1,MATCH(COLUMNS($AO$1006:BA1006),$AO$1006:$BQ$1006,0))&gt;=100000), " ",IF(INDEX($AO$2:$BQ$1001,MATCH(ROWS($AH$2:AH866),$AH$2:$AH$1001,0),MATCH(COLUMNS($AO$1006:BA1006),$AO$1006:$BQ$1006,0)), HYPERLINK("#",""), HYPERLINK(CONCATENATE("#Metadata!", ADDRESS(INDEX($AJ$2:$AJ$1001,MATCH(ROWS($AH$2:AH866),$AH$2:$AH$1001,0),0), INDEX($AO$1004:$BQ$1004,1,MATCH(COLUMNS($AO$1006:BA1006),$AO$1006:$BQ$1006,0)))),"Fix")))</f>
        <v>#N/A</v>
      </c>
      <c r="O866" s="5" t="e">
        <f ca="1">IF(OR(INDEX($AI$2:$AI$1001,MATCH(ROWS($AH$2:AH866),$AH$2:$AH$1001,0),1)&gt;=100000,INDEX($AO$1005:$BQ$1005,1,MATCH(COLUMNS($AO$1006:BB1006),$AO$1006:$BQ$1006,0))&gt;=100000), " ",IF(INDEX($AO$2:$BQ$1001,MATCH(ROWS($AH$2:AH866),$AH$2:$AH$1001,0),MATCH(COLUMNS($AO$1006:BB1006),$AO$1006:$BQ$1006,0)), HYPERLINK("#",""), HYPERLINK(CONCATENATE("#Metadata!", ADDRESS(INDEX($AJ$2:$AJ$1001,MATCH(ROWS($AH$2:AH866),$AH$2:$AH$1001,0),0), INDEX($AO$1004:$BQ$1004,1,MATCH(COLUMNS($AO$1006:BB1006),$AO$1006:$BQ$1006,0)))),"Fix")))</f>
        <v>#N/A</v>
      </c>
      <c r="P866" s="5" t="e">
        <f ca="1">IF(OR(INDEX($AI$2:$AI$1001,MATCH(ROWS($AH$2:AH866),$AH$2:$AH$1001,0),1)&gt;=100000,INDEX($AO$1005:$BQ$1005,1,MATCH(COLUMNS($AO$1006:BC1006),$AO$1006:$BQ$1006,0))&gt;=100000), " ",IF(INDEX($AO$2:$BQ$1001,MATCH(ROWS($AH$2:AH866),$AH$2:$AH$1001,0),MATCH(COLUMNS($AO$1006:BC1006),$AO$1006:$BQ$1006,0)), HYPERLINK("#",""), HYPERLINK(CONCATENATE("#Metadata!", ADDRESS(INDEX($AJ$2:$AJ$1001,MATCH(ROWS($AH$2:AH866),$AH$2:$AH$1001,0),0), INDEX($AO$1004:$BQ$1004,1,MATCH(COLUMNS($AO$1006:BC1006),$AO$1006:$BQ$1006,0)))),"Fix")))</f>
        <v>#N/A</v>
      </c>
      <c r="Q866" s="5" t="e">
        <f ca="1">IF(OR(INDEX($AI$2:$AI$1001,MATCH(ROWS($AH$2:AH866),$AH$2:$AH$1001,0),1)&gt;=100000,INDEX($AO$1005:$BQ$1005,1,MATCH(COLUMNS($AO$1006:BD1006),$AO$1006:$BQ$1006,0))&gt;=100000), " ",IF(INDEX($AO$2:$BQ$1001,MATCH(ROWS($AH$2:AH866),$AH$2:$AH$1001,0),MATCH(COLUMNS($AO$1006:BD1006),$AO$1006:$BQ$1006,0)), HYPERLINK("#",""), HYPERLINK(CONCATENATE("#Metadata!", ADDRESS(INDEX($AJ$2:$AJ$1001,MATCH(ROWS($AH$2:AH866),$AH$2:$AH$1001,0),0), INDEX($AO$1004:$BQ$1004,1,MATCH(COLUMNS($AO$1006:BD1006),$AO$1006:$BQ$1006,0)))),"Fix")))</f>
        <v>#N/A</v>
      </c>
      <c r="R866" s="5" t="e">
        <f ca="1">IF(OR(INDEX($AI$2:$AI$1001,MATCH(ROWS($AH$2:AH866),$AH$2:$AH$1001,0),1)&gt;=100000,INDEX($AO$1005:$BQ$1005,1,MATCH(COLUMNS($AO$1006:BE1006),$AO$1006:$BQ$1006,0))&gt;=100000), " ",IF(INDEX($AO$2:$BQ$1001,MATCH(ROWS($AH$2:AH866),$AH$2:$AH$1001,0),MATCH(COLUMNS($AO$1006:BE1006),$AO$1006:$BQ$1006,0)), HYPERLINK("#",""), HYPERLINK(CONCATENATE("#Metadata!", ADDRESS(INDEX($AJ$2:$AJ$1001,MATCH(ROWS($AH$2:AH866),$AH$2:$AH$1001,0),0), INDEX($AO$1004:$BQ$1004,1,MATCH(COLUMNS($AO$1006:BE1006),$AO$1006:$BQ$1006,0)))),"Fix")))</f>
        <v>#N/A</v>
      </c>
      <c r="S866" s="5" t="e">
        <f ca="1">IF(OR(INDEX($AI$2:$AI$1001,MATCH(ROWS($AH$2:AH866),$AH$2:$AH$1001,0),1)&gt;=100000,INDEX($AO$1005:$BQ$1005,1,MATCH(COLUMNS($AO$1006:BF1006),$AO$1006:$BQ$1006,0))&gt;=100000), " ",IF(INDEX($AO$2:$BQ$1001,MATCH(ROWS($AH$2:AH866),$AH$2:$AH$1001,0),MATCH(COLUMNS($AO$1006:BF1006),$AO$1006:$BQ$1006,0)), HYPERLINK("#",""), HYPERLINK(CONCATENATE("#Metadata!", ADDRESS(INDEX($AJ$2:$AJ$1001,MATCH(ROWS($AH$2:AH866),$AH$2:$AH$1001,0),0), INDEX($AO$1004:$BQ$1004,1,MATCH(COLUMNS($AO$1006:BF1006),$AO$1006:$BQ$1006,0)))),"Fix")))</f>
        <v>#N/A</v>
      </c>
      <c r="T866" s="5" t="e">
        <f ca="1">IF(OR(INDEX($AI$2:$AI$1001,MATCH(ROWS($AH$2:AH866),$AH$2:$AH$1001,0),1)&gt;=100000,INDEX($AO$1005:$BQ$1005,1,MATCH(COLUMNS($AO$1006:BG1006),$AO$1006:$BQ$1006,0))&gt;=100000), " ",IF(INDEX($AO$2:$BQ$1001,MATCH(ROWS($AH$2:AH866),$AH$2:$AH$1001,0),MATCH(COLUMNS($AO$1006:BG1006),$AO$1006:$BQ$1006,0)), HYPERLINK("#",""), HYPERLINK(CONCATENATE("#Metadata!", ADDRESS(INDEX($AJ$2:$AJ$1001,MATCH(ROWS($AH$2:AH866),$AH$2:$AH$1001,0),0), INDEX($AO$1004:$BQ$1004,1,MATCH(COLUMNS($AO$1006:BG1006),$AO$1006:$BQ$1006,0)))),"Fix")))</f>
        <v>#N/A</v>
      </c>
      <c r="U866" s="5" t="e">
        <f ca="1">IF(OR(INDEX($AI$2:$AI$1001,MATCH(ROWS($AH$2:AH866),$AH$2:$AH$1001,0),1)&gt;=100000,INDEX($AO$1005:$BQ$1005,1,MATCH(COLUMNS($AO$1006:BH1006),$AO$1006:$BQ$1006,0))&gt;=100000), " ",IF(INDEX($AO$2:$BQ$1001,MATCH(ROWS($AH$2:AH866),$AH$2:$AH$1001,0),MATCH(COLUMNS($AO$1006:BH1006),$AO$1006:$BQ$1006,0)), HYPERLINK("#",""), HYPERLINK(CONCATENATE("#Metadata!", ADDRESS(INDEX($AJ$2:$AJ$1001,MATCH(ROWS($AH$2:AH866),$AH$2:$AH$1001,0),0), INDEX($AO$1004:$BQ$1004,1,MATCH(COLUMNS($AO$1006:BH1006),$AO$1006:$BQ$1006,0)))),"Fix")))</f>
        <v>#N/A</v>
      </c>
      <c r="V866" s="5" t="e">
        <f ca="1">IF(OR(INDEX($AI$2:$AI$1001,MATCH(ROWS($AH$2:AH866),$AH$2:$AH$1001,0),1)&gt;=100000,INDEX($AO$1005:$BQ$1005,1,MATCH(COLUMNS($AO$1006:BI1006),$AO$1006:$BQ$1006,0))&gt;=100000), " ",IF(INDEX($AO$2:$BQ$1001,MATCH(ROWS($AH$2:AH866),$AH$2:$AH$1001,0),MATCH(COLUMNS($AO$1006:BI1006),$AO$1006:$BQ$1006,0)), HYPERLINK("#",""), HYPERLINK(CONCATENATE("#Metadata!", ADDRESS(INDEX($AJ$2:$AJ$1001,MATCH(ROWS($AH$2:AH866),$AH$2:$AH$1001,0),0), INDEX($AO$1004:$BQ$1004,1,MATCH(COLUMNS($AO$1006:BI1006),$AO$1006:$BQ$1006,0)))),"Fix")))</f>
        <v>#N/A</v>
      </c>
      <c r="W866" s="5" t="e">
        <f ca="1">IF(OR(INDEX($AI$2:$AI$1001,MATCH(ROWS($AH$2:AH866),$AH$2:$AH$1001,0),1)&gt;=100000,INDEX($AO$1005:$BQ$1005,1,MATCH(COLUMNS($AO$1006:BJ1006),$AO$1006:$BQ$1006,0))&gt;=100000), " ",IF(INDEX($AO$2:$BQ$1001,MATCH(ROWS($AH$2:AH866),$AH$2:$AH$1001,0),MATCH(COLUMNS($AO$1006:BJ1006),$AO$1006:$BQ$1006,0)), HYPERLINK("#",""), HYPERLINK(CONCATENATE("#Metadata!", ADDRESS(INDEX($AJ$2:$AJ$1001,MATCH(ROWS($AH$2:AH866),$AH$2:$AH$1001,0),0), INDEX($AO$1004:$BQ$1004,1,MATCH(COLUMNS($AO$1006:BJ1006),$AO$1006:$BQ$1006,0)))),"Fix")))</f>
        <v>#N/A</v>
      </c>
      <c r="X866" s="5" t="e">
        <f ca="1">IF(OR(INDEX($AI$2:$AI$1001,MATCH(ROWS($AH$2:AH866),$AH$2:$AH$1001,0),1)&gt;=100000,INDEX($AO$1005:$BQ$1005,1,MATCH(COLUMNS($AO$1006:BK1006),$AO$1006:$BQ$1006,0))&gt;=100000), " ",IF(INDEX($AO$2:$BQ$1001,MATCH(ROWS($AH$2:AH866),$AH$2:$AH$1001,0),MATCH(COLUMNS($AO$1006:BK1006),$AO$1006:$BQ$1006,0)), HYPERLINK("#",""), HYPERLINK(CONCATENATE("#Metadata!", ADDRESS(INDEX($AJ$2:$AJ$1001,MATCH(ROWS($AH$2:AH866),$AH$2:$AH$1001,0),0), INDEX($AO$1004:$BQ$1004,1,MATCH(COLUMNS($AO$1006:BK1006),$AO$1006:$BQ$1006,0)))),"Fix")))</f>
        <v>#N/A</v>
      </c>
      <c r="Y866" s="5" t="e">
        <f ca="1">IF(OR(INDEX($AI$2:$AI$1001,MATCH(ROWS($AH$2:AH866),$AH$2:$AH$1001,0),1)&gt;=100000,INDEX($AO$1005:$BQ$1005,1,MATCH(COLUMNS($AO$1006:BL1006),$AO$1006:$BQ$1006,0))&gt;=100000), " ",IF(INDEX($AO$2:$BQ$1001,MATCH(ROWS($AH$2:AH866),$AH$2:$AH$1001,0),MATCH(COLUMNS($AO$1006:BL1006),$AO$1006:$BQ$1006,0)), HYPERLINK("#",""), HYPERLINK(CONCATENATE("#Metadata!", ADDRESS(INDEX($AJ$2:$AJ$1001,MATCH(ROWS($AH$2:AH866),$AH$2:$AH$1001,0),0), INDEX($AO$1004:$BQ$1004,1,MATCH(COLUMNS($AO$1006:BL1006),$AO$1006:$BQ$1006,0)))),"Fix")))</f>
        <v>#N/A</v>
      </c>
      <c r="Z866" s="5" t="e">
        <f ca="1">IF(OR(INDEX($AI$2:$AI$1001,MATCH(ROWS($AH$2:AH866),$AH$2:$AH$1001,0),1)&gt;=100000,INDEX($AO$1005:$BQ$1005,1,MATCH(COLUMNS($AO$1006:BM1006),$AO$1006:$BQ$1006,0))&gt;=100000), " ",IF(INDEX($AO$2:$BQ$1001,MATCH(ROWS($AH$2:AH866),$AH$2:$AH$1001,0),MATCH(COLUMNS($AO$1006:BM1006),$AO$1006:$BQ$1006,0)), HYPERLINK("#",""), HYPERLINK(CONCATENATE("#Metadata!", ADDRESS(INDEX($AJ$2:$AJ$1001,MATCH(ROWS($AH$2:AH866),$AH$2:$AH$1001,0),0), INDEX($AO$1004:$BQ$1004,1,MATCH(COLUMNS($AO$1006:BM1006),$AO$1006:$BQ$1006,0)))),"Fix")))</f>
        <v>#N/A</v>
      </c>
      <c r="AA866" s="5" t="e">
        <f ca="1">IF(OR(INDEX($AI$2:$AI$1001,MATCH(ROWS($AH$2:AH866),$AH$2:$AH$1001,0),1)&gt;=100000,INDEX($AO$1005:$BQ$1005,1,MATCH(COLUMNS($AO$1006:BN1006),$AO$1006:$BQ$1006,0))&gt;=100000), " ",IF(INDEX($AO$2:$BQ$1001,MATCH(ROWS($AH$2:AH866),$AH$2:$AH$1001,0),MATCH(COLUMNS($AO$1006:BN1006),$AO$1006:$BQ$1006,0)), HYPERLINK("#",""), HYPERLINK(CONCATENATE("#Metadata!", ADDRESS(INDEX($AJ$2:$AJ$1001,MATCH(ROWS($AH$2:AH866),$AH$2:$AH$1001,0),0), INDEX($AO$1004:$BQ$1004,1,MATCH(COLUMNS($AO$1006:BN1006),$AO$1006:$BQ$1006,0)))),"Fix")))</f>
        <v>#N/A</v>
      </c>
      <c r="AB866" s="5" t="e">
        <f ca="1">IF(OR(INDEX($AI$2:$AI$1001,MATCH(ROWS($AH$2:AH866),$AH$2:$AH$1001,0),1)&gt;=100000,INDEX($AO$1005:$BQ$1005,1,MATCH(COLUMNS($AO$1006:BO1006),$AO$1006:$BQ$1006,0))&gt;=100000), " ",IF(INDEX($AO$2:$BQ$1001,MATCH(ROWS($AH$2:AH866),$AH$2:$AH$1001,0),MATCH(COLUMNS($AO$1006:BO1006),$AO$1006:$BQ$1006,0)), HYPERLINK("#",""), HYPERLINK(CONCATENATE("#Metadata!", ADDRESS(INDEX($AJ$2:$AJ$1001,MATCH(ROWS($AH$2:AH866),$AH$2:$AH$1001,0),0), INDEX($AO$1004:$BQ$1004,1,MATCH(COLUMNS($AO$1006:BO1006),$AO$1006:$BQ$1006,0)))),"Fix")))</f>
        <v>#N/A</v>
      </c>
      <c r="AC866" s="5" t="e">
        <f ca="1">IF(OR(INDEX($AI$2:$AI$1001,MATCH(ROWS($AH$2:AH866),$AH$2:$AH$1001,0),1)&gt;=100000,INDEX($AO$1005:$BQ$1005,1,MATCH(COLUMNS($AO$1006:BP1006),$AO$1006:$BQ$1006,0))&gt;=100000), " ",IF(INDEX($AO$2:$BQ$1001,MATCH(ROWS($AH$2:AH866),$AH$2:$AH$1001,0),MATCH(COLUMNS($AO$1006:BP1006),$AO$1006:$BQ$1006,0)), HYPERLINK("#",""), HYPERLINK(CONCATENATE("#Metadata!", ADDRESS(INDEX($AJ$2:$AJ$1001,MATCH(ROWS($AH$2:AH866),$AH$2:$AH$1001,0),0), INDEX($AO$1004:$BQ$1004,1,MATCH(COLUMNS($AO$1006:BP1006),$AO$1006:$BQ$1006,0)))),"Fix")))</f>
        <v>#N/A</v>
      </c>
      <c r="AD866" s="5" t="e">
        <f ca="1">IF(OR(INDEX($AI$2:$AI$1001,MATCH(ROWS($AH$2:AH866),$AH$2:$AH$1001,0),1)&gt;=100000,INDEX($AO$1005:$BQ$1005,1,MATCH(COLUMNS($AO$1006:BQ1006),$AO$1006:$BQ$1006,0))&gt;=100000), " ",IF(INDEX($AO$2:$BQ$1001,MATCH(ROWS($AH$2:AH866),$AH$2:$AH$1001,0),MATCH(COLUMNS($AO$1006:BQ1006),$AO$1006:$BQ$1006,0)), HYPERLINK("#",""), HYPERLINK(CONCATENATE("#Metadata!", ADDRESS(INDEX($AJ$2:$AJ$1001,MATCH(ROWS($AH$2:AH866),$AH$2:$AH$1001,0),0), INDEX($AO$1004:$BQ$1004,1,MATCH(COLUMNS($AO$1006:BQ1006),$AO$1006:$BQ$1006,0)))),"Fix")))</f>
        <v>#REF!</v>
      </c>
      <c r="AH866">
        <f ca="1"/>
        <v>863</v>
      </c>
      <c r="AI866">
        <v>100866</v>
      </c>
      <c r="AJ866">
        <v>866</v>
      </c>
      <c r="AK866" t="b">
        <f t="shared" si="13"/>
        <v>1</v>
      </c>
      <c r="AL866" t="b">
        <f>COUNTBLANK(Metadata!B866:AD866)=COLUMNS(Metadata!B866:AD866)</f>
        <v>1</v>
      </c>
      <c r="AM866" t="str">
        <v/>
      </c>
      <c r="AO866" t="b">
        <f ca="1">AND(IF(Metadata!B866="",FALSE,TRUE),COUNTIF(Metadata!B:B, Metadata!B866) = 1,NOT(ISERROR(SUMPRODUCT(SEARCH(MID(Metadata!B866,ROW(INDIRECT("1:"&amp;LEN(Metadata!B866))), 1),"0123456789abcdefghijklmnopqrstuvwxyzABCDEFGHIJKLMNOPQRSTUVWXYZ.")))))</f>
        <v>0</v>
      </c>
      <c r="AP866" t="b">
        <f>IF(Metadata!C866="",FALSE,TRUE)</f>
        <v>0</v>
      </c>
      <c r="AQ866" t="b">
        <f>IF(Metadata!D866="",FALSE,TRUE)</f>
        <v>0</v>
      </c>
      <c r="AR866" t="b">
        <f ca="1">OR(AND(IF(Metadata!E866="",FALSE,TRUE),OR(EXACT(Metadata!E866,"not collected"),EXACT(Metadata!E866,"not provided"),EXACT(Metadata!E866,"restricted access"))),AND(IF(Metadata!E866="",FALSE,TRUE),AND(AND(IFERROR(INT(LEFT(Metadata!E866,4))&gt;1900,FALSE),IFERROR(INT(LEFT(Metadata!E866,4))&lt;=YEAR(NOW()),FALSE)), OR(MID(Metadata!E866,5,1)="", AND(AND(MID(Metadata!E866,5,1)="-",IFERROR(INT(MID(Metadata!E866,6,1))&gt;=0,FALSE),IFERROR(INT(MID(Metadata!E866,6,1))&lt;=1,FALSE),NOT(MID(Metadata!E866,7,1)=""),IFERROR(INT(MID(Metadata!E866,6,2))&gt;=1,FALSE),IFERROR(INT(MID(Metadata!E866,6,2))&lt;=12,FALSE)), OR(MID(Metadata!E866,8,1)="", AND(AND(MID(Metadata!E866,8,1)="-",IFERROR(INT(MID(Metadata!E866,9,1))&gt;=0,FALSE),IFERROR(INT(MID(Metadata!E866,9,1))&lt;=3,FALSE),NOT(MID(Metadata!E866,10,1)=""),IFERROR(INT(MID(Metadata!E866,9,2))&gt;=1,FALSE),IFERROR(INT(MID(Metadata!E866,9,2))&lt;=31,FALSE)), OR(MID(Metadata!E866,11,1)="", AND(AND(MID(Metadata!E866,11,1)=" ",IFERROR(INT(MID(Metadata!E866,12,1))&gt;=0,FALSE),IFERROR(INT(MID(Metadata!E866,12,1))&lt;=2,FALSE),NOT(MID(Metadata!E866,13,1)=""),IFERROR(INT(MID(Metadata!E866,12,2))&gt;=0,FALSE),IFERROR(INT(MID(Metadata!E866,12,2))&lt;=23,FALSE)), OR(MID(Metadata!E866,14,1)="", AND(AND(MID(Metadata!E866,14,1)=":",IFERROR(INT(MID(Metadata!E866,15,1))&gt;=0,FALSE),IFERROR(INT(MID(Metadata!E866,15,1))&lt;=5,FALSE),NOT(MID(Metadata!E866,16,1)=""),IFERROR(INT(MID(Metadata!E866,15,2))&gt;=0,FALSE),IFERROR(INT(MID(Metadata!E866,15,2))&lt;=59,FALSE)), OR(MID(Metadata!E866,17,1)="", AND(AND(MID(Metadata!E866,17,1)=":",IFERROR(INT(MID(Metadata!E866,18,1))&gt;=0,FALSE),IFERROR(INT(MID(Metadata!E866,18,1))&lt;=5,FALSE),NOT(MID(Metadata!E866,19,1)=""),IFERROR(INT(MID(Metadata!E866,18,2))&gt;=0,FALSE),IFERROR(INT(MID(Metadata!E866,18,2))&lt;=59,FALSE)), LEN(Metadata!E866)&lt;=19)))))))))))))</f>
        <v>0</v>
      </c>
      <c r="AS866" t="b">
        <f>IF(Metadata!F866="",FALSE,TRUE)</f>
        <v>0</v>
      </c>
      <c r="AT866" t="b">
        <f>OR(AND(IF(Metadata!G866="",FALSE,TRUE),OR(EXACT(Metadata!G866,"not collected"),EXACT(Metadata!G866,"not provided"))),AND(IF(Metadata!G866="",FALSE,TRUE),OR(EXACT(Metadata!G866,"TRUE"),EXACT(Metadata!G866,"FALSE"))))</f>
        <v>0</v>
      </c>
      <c r="AU866" t="b">
        <f>OR(AND(IF(Metadata!H866="",FALSE,TRUE),OR(EXACT(Metadata!H866,"not collected"),EXACT(Metadata!H866,"not provided"),EXACT(Metadata!H866,"restricted access"))),AND(IF(Metadata!H866="",FALSE,ISNUMBER(VALUE(Metadata!H866))),Metadata!H866&gt;=-413))</f>
        <v>0</v>
      </c>
      <c r="AV866" t="b">
        <f>AND(IF(Metadata!I866="",FALSE,TRUE),EXACT(Metadata!I866,"meters"))</f>
        <v>0</v>
      </c>
      <c r="AW866" t="b">
        <f>AND(IF(Metadata!J866="",FALSE,TRUE),EXACT(Metadata!J866,"free-living"))</f>
        <v>0</v>
      </c>
      <c r="AX866" t="b">
        <f>AND(IF(Metadata!K866="",FALSE,TRUE),OR(EXACT(Metadata!K866,"saline"),EXACT(Metadata!K866,"non-saline")))</f>
        <v>0</v>
      </c>
      <c r="AY866" t="b">
        <f>AND(IF(Metadata!L866="",FALSE,TRUE),OR(EXACT(Metadata!L866,"sub-surface (non-saline)"),EXACT(Metadata!L866,"surface (non-saline)"),EXACT(Metadata!L866,"water (non-saline)"),EXACT(Metadata!L866,"soil (non-saline)"),EXACT(Metadata!L866,"aerosol (non-saline)"),EXACT(Metadata!L866,"sediment (non-saline)"),EXACT(Metadata!L866,"surface (saline)"),EXACT(Metadata!L866,"water (saline)"),EXACT(Metadata!L866,"hypersaline (saline)"),EXACT(Metadata!L866,"aerosol (saline)"),EXACT(Metadata!L866,"sediment (saline)")))</f>
        <v>0</v>
      </c>
      <c r="AZ866" t="b">
        <f>IF(Metadata!M866="",FALSE,TRUE)</f>
        <v>0</v>
      </c>
      <c r="BA866" t="b">
        <f>IF(Metadata!N866="",FALSE,TRUE)</f>
        <v>0</v>
      </c>
      <c r="BB866" t="b">
        <f>IF(Metadata!O866="",FALSE,TRUE)</f>
        <v>0</v>
      </c>
      <c r="BC866" t="b">
        <f>AND(IF(Metadata!P866="",FALSE,TRUE),OR(EXACT(Metadata!P866,"air"),EXACT(Metadata!P866,"microbial mat/biofilm"),EXACT(Metadata!P866,"misc environment"),EXACT(Metadata!P866,"sediment"),EXACT(Metadata!P866,"soil"),EXACT(Metadata!P866,"wastewater/sludge"),EXACT(Metadata!P866,"water")))</f>
        <v>0</v>
      </c>
      <c r="BD866" t="b">
        <f>IF(Metadata!Q866="",FALSE,TRUE)</f>
        <v>0</v>
      </c>
      <c r="BE866" t="b">
        <f>IF(Metadata!R866="",FALSE,TRUE)</f>
        <v>0</v>
      </c>
      <c r="BF866" t="b">
        <f>OR(AND(IF(Metadata!S866="",FALSE,TRUE),OR(EXACT(Metadata!S866,"not collected"),EXACT(Metadata!S866,"not provided"),EXACT(Metadata!S866,"restricted access"))),AND(IF(Metadata!S866="",FALSE,ISNUMBER(VALUE(Metadata!S866))),Metadata!S866&gt;=-90,Metadata!S866&lt;=90))</f>
        <v>0</v>
      </c>
      <c r="BG866" t="b">
        <f>AND(IF(Metadata!T866="",FALSE,TRUE),EXACT(Metadata!T866,"Decimal degrees"))</f>
        <v>0</v>
      </c>
      <c r="BH866" t="b">
        <f>OR(AND(IF(Metadata!U866="",FALSE,TRUE),OR(EXACT(Metadata!U866,"not applicable"),EXACT(Metadata!U866,"not collected"))),IF(Metadata!U866="",FALSE,TRUE))</f>
        <v>0</v>
      </c>
      <c r="BI866" t="b">
        <f>OR(AND(IF(Metadata!V866="",FALSE,TRUE),OR(EXACT(Metadata!V866,"not collected"),EXACT(Metadata!V866,"not provided"),EXACT(Metadata!V866,"restricted access"))),AND(IF(Metadata!V866="",FALSE,ISNUMBER(VALUE(Metadata!V866))),Metadata!V866&gt;=-180,Metadata!V866&lt;=180))</f>
        <v>0</v>
      </c>
      <c r="BJ866" t="b">
        <f>AND(IF(Metadata!W866="",FALSE,TRUE),EXACT(Metadata!W866,"Decimal degrees"))</f>
        <v>0</v>
      </c>
      <c r="BK866" t="b">
        <f>IF(Metadata!X866="",FALSE,TRUE)</f>
        <v>0</v>
      </c>
      <c r="BL866" t="b">
        <f>OR(AND(IF(Metadata!Y866="",FALSE,TRUE),OR(EXACT(Metadata!Y866,"not collected"),EXACT(Metadata!Y866,"not provided"),EXACT(Metadata!Y866,"restricted access"))),AND(IF(Metadata!Y866="",FALSE,TRUE),OR(EXACT(Metadata!Y866,"TRUE"),EXACT(Metadata!Y866,"FALSE"))))</f>
        <v>0</v>
      </c>
      <c r="BM866" t="b">
        <f>OR(AND(IF(Metadata!Z866="",FALSE,TRUE),EXACT(Metadata!Z866,"not applicable")),AND(IF(Metadata!Z866="",FALSE,TRUE),OR(EXACT(Metadata!Z866,"beer"),EXACT(Metadata!Z866,"cheese"),EXACT(Metadata!Z866,"fresh water"),EXACT(Metadata!Z866,"marine sediment"),EXACT(Metadata!Z866,"sea water"),EXACT(Metadata!Z866,"sediment"),EXACT(Metadata!Z866,"soil"),EXACT(Metadata!Z866,"waste water"))))</f>
        <v>0</v>
      </c>
      <c r="BN866" t="b">
        <f>AND(IF(Metadata!AA866="",FALSE,TRUE),EXACT(Metadata!AA866,"metagenome"))</f>
        <v>0</v>
      </c>
      <c r="BO866" t="b">
        <f>AND(IF(Metadata!AB866="",FALSE,TRUE),EXACT(Metadata!AB866,"256318"))</f>
        <v>0</v>
      </c>
      <c r="BP866" t="b">
        <f>IF(Metadata!AC866="",FALSE,TRUE)</f>
        <v>0</v>
      </c>
      <c r="BQ866" t="b">
        <f>IF(Metadata!AD866="",FALSE,TRUE)</f>
        <v>0</v>
      </c>
    </row>
    <row r="867" spans="1:69" x14ac:dyDescent="0.2">
      <c r="A867" s="4" t="e">
        <f ca="1">IF(B867=" "," ",HYPERLINK(CONCATENATE("#metadata!",ADDRESS(INDEX($AJ$2:$AJ$1001,MATCH(ROWS($AH$2:AH867),$AH$2:$AH$1001,0),0),2)),INDEX($AM$2:$AM$1001,MATCH(ROWS($AH$2:AH867),$AH$2:$AH$1001,0),0)))</f>
        <v>#N/A</v>
      </c>
      <c r="B867" s="5" t="e">
        <f ca="1">IF(OR(INDEX($AI$2:$AI$1001,MATCH(ROWS($AH$2:AH867),$AH$2:$AH$1001,0),1)&gt;=100000,INDEX($AO$1005:$BQ$1005,1,MATCH(COLUMNS($AO$1006:AO1006),$AO$1006:$BQ$1006,0))&gt;=100000), " ",IF(INDEX($AO$2:$BQ$1001,MATCH(ROWS($AH$2:AH867),$AH$2:$AH$1001,0),MATCH(COLUMNS($AO$1006:AO1006),$AO$1006:$BQ$1006,0)), HYPERLINK("#",""), HYPERLINK(CONCATENATE("#Metadata!", ADDRESS(INDEX($AJ$2:$AJ$1001,MATCH(ROWS($AH$2:AH867),$AH$2:$AH$1001,0),0), INDEX($AO$1004:$BQ$1004,1,MATCH(COLUMNS($AO$1006:AO1006),$AO$1006:$BQ$1006,0)))),"Fix")))</f>
        <v>#N/A</v>
      </c>
      <c r="C867" s="5" t="e">
        <f ca="1">IF(OR(INDEX($AI$2:$AI$1001,MATCH(ROWS($AH$2:AH867),$AH$2:$AH$1001,0),1)&gt;=100000,INDEX($AO$1005:$BQ$1005,1,MATCH(COLUMNS($AO$1006:AP1006),$AO$1006:$BQ$1006,0))&gt;=100000), " ",IF(INDEX($AO$2:$BQ$1001,MATCH(ROWS($AH$2:AH867),$AH$2:$AH$1001,0),MATCH(COLUMNS($AO$1006:AP1006),$AO$1006:$BQ$1006,0)), HYPERLINK("#",""), HYPERLINK(CONCATENATE("#Metadata!", ADDRESS(INDEX($AJ$2:$AJ$1001,MATCH(ROWS($AH$2:AH867),$AH$2:$AH$1001,0),0), INDEX($AO$1004:$BQ$1004,1,MATCH(COLUMNS($AO$1006:AP1006),$AO$1006:$BQ$1006,0)))),"Fix")))</f>
        <v>#N/A</v>
      </c>
      <c r="D867" s="5" t="e">
        <f ca="1">IF(OR(INDEX($AI$2:$AI$1001,MATCH(ROWS($AH$2:AH867),$AH$2:$AH$1001,0),1)&gt;=100000,INDEX($AO$1005:$BQ$1005,1,MATCH(COLUMNS($AO$1006:AQ1006),$AO$1006:$BQ$1006,0))&gt;=100000), " ",IF(INDEX($AO$2:$BQ$1001,MATCH(ROWS($AH$2:AH867),$AH$2:$AH$1001,0),MATCH(COLUMNS($AO$1006:AQ1006),$AO$1006:$BQ$1006,0)), HYPERLINK("#",""), HYPERLINK(CONCATENATE("#Metadata!", ADDRESS(INDEX($AJ$2:$AJ$1001,MATCH(ROWS($AH$2:AH867),$AH$2:$AH$1001,0),0), INDEX($AO$1004:$BQ$1004,1,MATCH(COLUMNS($AO$1006:AQ1006),$AO$1006:$BQ$1006,0)))),"Fix")))</f>
        <v>#N/A</v>
      </c>
      <c r="E867" s="5" t="e">
        <f ca="1">IF(OR(INDEX($AI$2:$AI$1001,MATCH(ROWS($AH$2:AH867),$AH$2:$AH$1001,0),1)&gt;=100000,INDEX($AO$1005:$BQ$1005,1,MATCH(COLUMNS($AO$1006:AR1006),$AO$1006:$BQ$1006,0))&gt;=100000), " ",IF(INDEX($AO$2:$BQ$1001,MATCH(ROWS($AH$2:AH867),$AH$2:$AH$1001,0),MATCH(COLUMNS($AO$1006:AR1006),$AO$1006:$BQ$1006,0)), HYPERLINK("#",""), HYPERLINK(CONCATENATE("#Metadata!", ADDRESS(INDEX($AJ$2:$AJ$1001,MATCH(ROWS($AH$2:AH867),$AH$2:$AH$1001,0),0), INDEX($AO$1004:$BQ$1004,1,MATCH(COLUMNS($AO$1006:AR1006),$AO$1006:$BQ$1006,0)))),"Fix")))</f>
        <v>#N/A</v>
      </c>
      <c r="F867" s="5" t="e">
        <f ca="1">IF(OR(INDEX($AI$2:$AI$1001,MATCH(ROWS($AH$2:AH867),$AH$2:$AH$1001,0),1)&gt;=100000,INDEX($AO$1005:$BQ$1005,1,MATCH(COLUMNS($AO$1006:AS1006),$AO$1006:$BQ$1006,0))&gt;=100000), " ",IF(INDEX($AO$2:$BQ$1001,MATCH(ROWS($AH$2:AH867),$AH$2:$AH$1001,0),MATCH(COLUMNS($AO$1006:AS1006),$AO$1006:$BQ$1006,0)), HYPERLINK("#",""), HYPERLINK(CONCATENATE("#Metadata!", ADDRESS(INDEX($AJ$2:$AJ$1001,MATCH(ROWS($AH$2:AH867),$AH$2:$AH$1001,0),0), INDEX($AO$1004:$BQ$1004,1,MATCH(COLUMNS($AO$1006:AS1006),$AO$1006:$BQ$1006,0)))),"Fix")))</f>
        <v>#N/A</v>
      </c>
      <c r="G867" s="5" t="e">
        <f ca="1">IF(OR(INDEX($AI$2:$AI$1001,MATCH(ROWS($AH$2:AH867),$AH$2:$AH$1001,0),1)&gt;=100000,INDEX($AO$1005:$BQ$1005,1,MATCH(COLUMNS($AO$1006:AT1006),$AO$1006:$BQ$1006,0))&gt;=100000), " ",IF(INDEX($AO$2:$BQ$1001,MATCH(ROWS($AH$2:AH867),$AH$2:$AH$1001,0),MATCH(COLUMNS($AO$1006:AT1006),$AO$1006:$BQ$1006,0)), HYPERLINK("#",""), HYPERLINK(CONCATENATE("#Metadata!", ADDRESS(INDEX($AJ$2:$AJ$1001,MATCH(ROWS($AH$2:AH867),$AH$2:$AH$1001,0),0), INDEX($AO$1004:$BQ$1004,1,MATCH(COLUMNS($AO$1006:AT1006),$AO$1006:$BQ$1006,0)))),"Fix")))</f>
        <v>#N/A</v>
      </c>
      <c r="H867" s="5" t="e">
        <f ca="1">IF(OR(INDEX($AI$2:$AI$1001,MATCH(ROWS($AH$2:AH867),$AH$2:$AH$1001,0),1)&gt;=100000,INDEX($AO$1005:$BQ$1005,1,MATCH(COLUMNS($AO$1006:AU1006),$AO$1006:$BQ$1006,0))&gt;=100000), " ",IF(INDEX($AO$2:$BQ$1001,MATCH(ROWS($AH$2:AH867),$AH$2:$AH$1001,0),MATCH(COLUMNS($AO$1006:AU1006),$AO$1006:$BQ$1006,0)), HYPERLINK("#",""), HYPERLINK(CONCATENATE("#Metadata!", ADDRESS(INDEX($AJ$2:$AJ$1001,MATCH(ROWS($AH$2:AH867),$AH$2:$AH$1001,0),0), INDEX($AO$1004:$BQ$1004,1,MATCH(COLUMNS($AO$1006:AU1006),$AO$1006:$BQ$1006,0)))),"Fix")))</f>
        <v>#N/A</v>
      </c>
      <c r="I867" s="5" t="e">
        <f ca="1">IF(OR(INDEX($AI$2:$AI$1001,MATCH(ROWS($AH$2:AH867),$AH$2:$AH$1001,0),1)&gt;=100000,INDEX($AO$1005:$BQ$1005,1,MATCH(COLUMNS($AO$1006:AV1006),$AO$1006:$BQ$1006,0))&gt;=100000), " ",IF(INDEX($AO$2:$BQ$1001,MATCH(ROWS($AH$2:AH867),$AH$2:$AH$1001,0),MATCH(COLUMNS($AO$1006:AV1006),$AO$1006:$BQ$1006,0)), HYPERLINK("#",""), HYPERLINK(CONCATENATE("#Metadata!", ADDRESS(INDEX($AJ$2:$AJ$1001,MATCH(ROWS($AH$2:AH867),$AH$2:$AH$1001,0),0), INDEX($AO$1004:$BQ$1004,1,MATCH(COLUMNS($AO$1006:AV1006),$AO$1006:$BQ$1006,0)))),"Fix")))</f>
        <v>#N/A</v>
      </c>
      <c r="J867" s="5" t="e">
        <f ca="1">IF(OR(INDEX($AI$2:$AI$1001,MATCH(ROWS($AH$2:AH867),$AH$2:$AH$1001,0),1)&gt;=100000,INDEX($AO$1005:$BQ$1005,1,MATCH(COLUMNS($AO$1006:AW1006),$AO$1006:$BQ$1006,0))&gt;=100000), " ",IF(INDEX($AO$2:$BQ$1001,MATCH(ROWS($AH$2:AH867),$AH$2:$AH$1001,0),MATCH(COLUMNS($AO$1006:AW1006),$AO$1006:$BQ$1006,0)), HYPERLINK("#",""), HYPERLINK(CONCATENATE("#Metadata!", ADDRESS(INDEX($AJ$2:$AJ$1001,MATCH(ROWS($AH$2:AH867),$AH$2:$AH$1001,0),0), INDEX($AO$1004:$BQ$1004,1,MATCH(COLUMNS($AO$1006:AW1006),$AO$1006:$BQ$1006,0)))),"Fix")))</f>
        <v>#N/A</v>
      </c>
      <c r="K867" s="5" t="e">
        <f ca="1">IF(OR(INDEX($AI$2:$AI$1001,MATCH(ROWS($AH$2:AH867),$AH$2:$AH$1001,0),1)&gt;=100000,INDEX($AO$1005:$BQ$1005,1,MATCH(COLUMNS($AO$1006:AX1006),$AO$1006:$BQ$1006,0))&gt;=100000), " ",IF(INDEX($AO$2:$BQ$1001,MATCH(ROWS($AH$2:AH867),$AH$2:$AH$1001,0),MATCH(COLUMNS($AO$1006:AX1006),$AO$1006:$BQ$1006,0)), HYPERLINK("#",""), HYPERLINK(CONCATENATE("#Metadata!", ADDRESS(INDEX($AJ$2:$AJ$1001,MATCH(ROWS($AH$2:AH867),$AH$2:$AH$1001,0),0), INDEX($AO$1004:$BQ$1004,1,MATCH(COLUMNS($AO$1006:AX1006),$AO$1006:$BQ$1006,0)))),"Fix")))</f>
        <v>#N/A</v>
      </c>
      <c r="L867" s="5" t="e">
        <f ca="1">IF(OR(INDEX($AI$2:$AI$1001,MATCH(ROWS($AH$2:AH867),$AH$2:$AH$1001,0),1)&gt;=100000,INDEX($AO$1005:$BQ$1005,1,MATCH(COLUMNS($AO$1006:AY1006),$AO$1006:$BQ$1006,0))&gt;=100000), " ",IF(INDEX($AO$2:$BQ$1001,MATCH(ROWS($AH$2:AH867),$AH$2:$AH$1001,0),MATCH(COLUMNS($AO$1006:AY1006),$AO$1006:$BQ$1006,0)), HYPERLINK("#",""), HYPERLINK(CONCATENATE("#Metadata!", ADDRESS(INDEX($AJ$2:$AJ$1001,MATCH(ROWS($AH$2:AH867),$AH$2:$AH$1001,0),0), INDEX($AO$1004:$BQ$1004,1,MATCH(COLUMNS($AO$1006:AY1006),$AO$1006:$BQ$1006,0)))),"Fix")))</f>
        <v>#N/A</v>
      </c>
      <c r="M867" s="5" t="e">
        <f ca="1">IF(OR(INDEX($AI$2:$AI$1001,MATCH(ROWS($AH$2:AH867),$AH$2:$AH$1001,0),1)&gt;=100000,INDEX($AO$1005:$BQ$1005,1,MATCH(COLUMNS($AO$1006:AZ1006),$AO$1006:$BQ$1006,0))&gt;=100000), " ",IF(INDEX($AO$2:$BQ$1001,MATCH(ROWS($AH$2:AH867),$AH$2:$AH$1001,0),MATCH(COLUMNS($AO$1006:AZ1006),$AO$1006:$BQ$1006,0)), HYPERLINK("#",""), HYPERLINK(CONCATENATE("#Metadata!", ADDRESS(INDEX($AJ$2:$AJ$1001,MATCH(ROWS($AH$2:AH867),$AH$2:$AH$1001,0),0), INDEX($AO$1004:$BQ$1004,1,MATCH(COLUMNS($AO$1006:AZ1006),$AO$1006:$BQ$1006,0)))),"Fix")))</f>
        <v>#N/A</v>
      </c>
      <c r="N867" s="5" t="e">
        <f ca="1">IF(OR(INDEX($AI$2:$AI$1001,MATCH(ROWS($AH$2:AH867),$AH$2:$AH$1001,0),1)&gt;=100000,INDEX($AO$1005:$BQ$1005,1,MATCH(COLUMNS($AO$1006:BA1006),$AO$1006:$BQ$1006,0))&gt;=100000), " ",IF(INDEX($AO$2:$BQ$1001,MATCH(ROWS($AH$2:AH867),$AH$2:$AH$1001,0),MATCH(COLUMNS($AO$1006:BA1006),$AO$1006:$BQ$1006,0)), HYPERLINK("#",""), HYPERLINK(CONCATENATE("#Metadata!", ADDRESS(INDEX($AJ$2:$AJ$1001,MATCH(ROWS($AH$2:AH867),$AH$2:$AH$1001,0),0), INDEX($AO$1004:$BQ$1004,1,MATCH(COLUMNS($AO$1006:BA1006),$AO$1006:$BQ$1006,0)))),"Fix")))</f>
        <v>#N/A</v>
      </c>
      <c r="O867" s="5" t="e">
        <f ca="1">IF(OR(INDEX($AI$2:$AI$1001,MATCH(ROWS($AH$2:AH867),$AH$2:$AH$1001,0),1)&gt;=100000,INDEX($AO$1005:$BQ$1005,1,MATCH(COLUMNS($AO$1006:BB1006),$AO$1006:$BQ$1006,0))&gt;=100000), " ",IF(INDEX($AO$2:$BQ$1001,MATCH(ROWS($AH$2:AH867),$AH$2:$AH$1001,0),MATCH(COLUMNS($AO$1006:BB1006),$AO$1006:$BQ$1006,0)), HYPERLINK("#",""), HYPERLINK(CONCATENATE("#Metadata!", ADDRESS(INDEX($AJ$2:$AJ$1001,MATCH(ROWS($AH$2:AH867),$AH$2:$AH$1001,0),0), INDEX($AO$1004:$BQ$1004,1,MATCH(COLUMNS($AO$1006:BB1006),$AO$1006:$BQ$1006,0)))),"Fix")))</f>
        <v>#N/A</v>
      </c>
      <c r="P867" s="5" t="e">
        <f ca="1">IF(OR(INDEX($AI$2:$AI$1001,MATCH(ROWS($AH$2:AH867),$AH$2:$AH$1001,0),1)&gt;=100000,INDEX($AO$1005:$BQ$1005,1,MATCH(COLUMNS($AO$1006:BC1006),$AO$1006:$BQ$1006,0))&gt;=100000), " ",IF(INDEX($AO$2:$BQ$1001,MATCH(ROWS($AH$2:AH867),$AH$2:$AH$1001,0),MATCH(COLUMNS($AO$1006:BC1006),$AO$1006:$BQ$1006,0)), HYPERLINK("#",""), HYPERLINK(CONCATENATE("#Metadata!", ADDRESS(INDEX($AJ$2:$AJ$1001,MATCH(ROWS($AH$2:AH867),$AH$2:$AH$1001,0),0), INDEX($AO$1004:$BQ$1004,1,MATCH(COLUMNS($AO$1006:BC1006),$AO$1006:$BQ$1006,0)))),"Fix")))</f>
        <v>#N/A</v>
      </c>
      <c r="Q867" s="5" t="e">
        <f ca="1">IF(OR(INDEX($AI$2:$AI$1001,MATCH(ROWS($AH$2:AH867),$AH$2:$AH$1001,0),1)&gt;=100000,INDEX($AO$1005:$BQ$1005,1,MATCH(COLUMNS($AO$1006:BD1006),$AO$1006:$BQ$1006,0))&gt;=100000), " ",IF(INDEX($AO$2:$BQ$1001,MATCH(ROWS($AH$2:AH867),$AH$2:$AH$1001,0),MATCH(COLUMNS($AO$1006:BD1006),$AO$1006:$BQ$1006,0)), HYPERLINK("#",""), HYPERLINK(CONCATENATE("#Metadata!", ADDRESS(INDEX($AJ$2:$AJ$1001,MATCH(ROWS($AH$2:AH867),$AH$2:$AH$1001,0),0), INDEX($AO$1004:$BQ$1004,1,MATCH(COLUMNS($AO$1006:BD1006),$AO$1006:$BQ$1006,0)))),"Fix")))</f>
        <v>#N/A</v>
      </c>
      <c r="R867" s="5" t="e">
        <f ca="1">IF(OR(INDEX($AI$2:$AI$1001,MATCH(ROWS($AH$2:AH867),$AH$2:$AH$1001,0),1)&gt;=100000,INDEX($AO$1005:$BQ$1005,1,MATCH(COLUMNS($AO$1006:BE1006),$AO$1006:$BQ$1006,0))&gt;=100000), " ",IF(INDEX($AO$2:$BQ$1001,MATCH(ROWS($AH$2:AH867),$AH$2:$AH$1001,0),MATCH(COLUMNS($AO$1006:BE1006),$AO$1006:$BQ$1006,0)), HYPERLINK("#",""), HYPERLINK(CONCATENATE("#Metadata!", ADDRESS(INDEX($AJ$2:$AJ$1001,MATCH(ROWS($AH$2:AH867),$AH$2:$AH$1001,0),0), INDEX($AO$1004:$BQ$1004,1,MATCH(COLUMNS($AO$1006:BE1006),$AO$1006:$BQ$1006,0)))),"Fix")))</f>
        <v>#N/A</v>
      </c>
      <c r="S867" s="5" t="e">
        <f ca="1">IF(OR(INDEX($AI$2:$AI$1001,MATCH(ROWS($AH$2:AH867),$AH$2:$AH$1001,0),1)&gt;=100000,INDEX($AO$1005:$BQ$1005,1,MATCH(COLUMNS($AO$1006:BF1006),$AO$1006:$BQ$1006,0))&gt;=100000), " ",IF(INDEX($AO$2:$BQ$1001,MATCH(ROWS($AH$2:AH867),$AH$2:$AH$1001,0),MATCH(COLUMNS($AO$1006:BF1006),$AO$1006:$BQ$1006,0)), HYPERLINK("#",""), HYPERLINK(CONCATENATE("#Metadata!", ADDRESS(INDEX($AJ$2:$AJ$1001,MATCH(ROWS($AH$2:AH867),$AH$2:$AH$1001,0),0), INDEX($AO$1004:$BQ$1004,1,MATCH(COLUMNS($AO$1006:BF1006),$AO$1006:$BQ$1006,0)))),"Fix")))</f>
        <v>#N/A</v>
      </c>
      <c r="T867" s="5" t="e">
        <f ca="1">IF(OR(INDEX($AI$2:$AI$1001,MATCH(ROWS($AH$2:AH867),$AH$2:$AH$1001,0),1)&gt;=100000,INDEX($AO$1005:$BQ$1005,1,MATCH(COLUMNS($AO$1006:BG1006),$AO$1006:$BQ$1006,0))&gt;=100000), " ",IF(INDEX($AO$2:$BQ$1001,MATCH(ROWS($AH$2:AH867),$AH$2:$AH$1001,0),MATCH(COLUMNS($AO$1006:BG1006),$AO$1006:$BQ$1006,0)), HYPERLINK("#",""), HYPERLINK(CONCATENATE("#Metadata!", ADDRESS(INDEX($AJ$2:$AJ$1001,MATCH(ROWS($AH$2:AH867),$AH$2:$AH$1001,0),0), INDEX($AO$1004:$BQ$1004,1,MATCH(COLUMNS($AO$1006:BG1006),$AO$1006:$BQ$1006,0)))),"Fix")))</f>
        <v>#N/A</v>
      </c>
      <c r="U867" s="5" t="e">
        <f ca="1">IF(OR(INDEX($AI$2:$AI$1001,MATCH(ROWS($AH$2:AH867),$AH$2:$AH$1001,0),1)&gt;=100000,INDEX($AO$1005:$BQ$1005,1,MATCH(COLUMNS($AO$1006:BH1006),$AO$1006:$BQ$1006,0))&gt;=100000), " ",IF(INDEX($AO$2:$BQ$1001,MATCH(ROWS($AH$2:AH867),$AH$2:$AH$1001,0),MATCH(COLUMNS($AO$1006:BH1006),$AO$1006:$BQ$1006,0)), HYPERLINK("#",""), HYPERLINK(CONCATENATE("#Metadata!", ADDRESS(INDEX($AJ$2:$AJ$1001,MATCH(ROWS($AH$2:AH867),$AH$2:$AH$1001,0),0), INDEX($AO$1004:$BQ$1004,1,MATCH(COLUMNS($AO$1006:BH1006),$AO$1006:$BQ$1006,0)))),"Fix")))</f>
        <v>#N/A</v>
      </c>
      <c r="V867" s="5" t="e">
        <f ca="1">IF(OR(INDEX($AI$2:$AI$1001,MATCH(ROWS($AH$2:AH867),$AH$2:$AH$1001,0),1)&gt;=100000,INDEX($AO$1005:$BQ$1005,1,MATCH(COLUMNS($AO$1006:BI1006),$AO$1006:$BQ$1006,0))&gt;=100000), " ",IF(INDEX($AO$2:$BQ$1001,MATCH(ROWS($AH$2:AH867),$AH$2:$AH$1001,0),MATCH(COLUMNS($AO$1006:BI1006),$AO$1006:$BQ$1006,0)), HYPERLINK("#",""), HYPERLINK(CONCATENATE("#Metadata!", ADDRESS(INDEX($AJ$2:$AJ$1001,MATCH(ROWS($AH$2:AH867),$AH$2:$AH$1001,0),0), INDEX($AO$1004:$BQ$1004,1,MATCH(COLUMNS($AO$1006:BI1006),$AO$1006:$BQ$1006,0)))),"Fix")))</f>
        <v>#N/A</v>
      </c>
      <c r="W867" s="5" t="e">
        <f ca="1">IF(OR(INDEX($AI$2:$AI$1001,MATCH(ROWS($AH$2:AH867),$AH$2:$AH$1001,0),1)&gt;=100000,INDEX($AO$1005:$BQ$1005,1,MATCH(COLUMNS($AO$1006:BJ1006),$AO$1006:$BQ$1006,0))&gt;=100000), " ",IF(INDEX($AO$2:$BQ$1001,MATCH(ROWS($AH$2:AH867),$AH$2:$AH$1001,0),MATCH(COLUMNS($AO$1006:BJ1006),$AO$1006:$BQ$1006,0)), HYPERLINK("#",""), HYPERLINK(CONCATENATE("#Metadata!", ADDRESS(INDEX($AJ$2:$AJ$1001,MATCH(ROWS($AH$2:AH867),$AH$2:$AH$1001,0),0), INDEX($AO$1004:$BQ$1004,1,MATCH(COLUMNS($AO$1006:BJ1006),$AO$1006:$BQ$1006,0)))),"Fix")))</f>
        <v>#N/A</v>
      </c>
      <c r="X867" s="5" t="e">
        <f ca="1">IF(OR(INDEX($AI$2:$AI$1001,MATCH(ROWS($AH$2:AH867),$AH$2:$AH$1001,0),1)&gt;=100000,INDEX($AO$1005:$BQ$1005,1,MATCH(COLUMNS($AO$1006:BK1006),$AO$1006:$BQ$1006,0))&gt;=100000), " ",IF(INDEX($AO$2:$BQ$1001,MATCH(ROWS($AH$2:AH867),$AH$2:$AH$1001,0),MATCH(COLUMNS($AO$1006:BK1006),$AO$1006:$BQ$1006,0)), HYPERLINK("#",""), HYPERLINK(CONCATENATE("#Metadata!", ADDRESS(INDEX($AJ$2:$AJ$1001,MATCH(ROWS($AH$2:AH867),$AH$2:$AH$1001,0),0), INDEX($AO$1004:$BQ$1004,1,MATCH(COLUMNS($AO$1006:BK1006),$AO$1006:$BQ$1006,0)))),"Fix")))</f>
        <v>#N/A</v>
      </c>
      <c r="Y867" s="5" t="e">
        <f ca="1">IF(OR(INDEX($AI$2:$AI$1001,MATCH(ROWS($AH$2:AH867),$AH$2:$AH$1001,0),1)&gt;=100000,INDEX($AO$1005:$BQ$1005,1,MATCH(COLUMNS($AO$1006:BL1006),$AO$1006:$BQ$1006,0))&gt;=100000), " ",IF(INDEX($AO$2:$BQ$1001,MATCH(ROWS($AH$2:AH867),$AH$2:$AH$1001,0),MATCH(COLUMNS($AO$1006:BL1006),$AO$1006:$BQ$1006,0)), HYPERLINK("#",""), HYPERLINK(CONCATENATE("#Metadata!", ADDRESS(INDEX($AJ$2:$AJ$1001,MATCH(ROWS($AH$2:AH867),$AH$2:$AH$1001,0),0), INDEX($AO$1004:$BQ$1004,1,MATCH(COLUMNS($AO$1006:BL1006),$AO$1006:$BQ$1006,0)))),"Fix")))</f>
        <v>#N/A</v>
      </c>
      <c r="Z867" s="5" t="e">
        <f ca="1">IF(OR(INDEX($AI$2:$AI$1001,MATCH(ROWS($AH$2:AH867),$AH$2:$AH$1001,0),1)&gt;=100000,INDEX($AO$1005:$BQ$1005,1,MATCH(COLUMNS($AO$1006:BM1006),$AO$1006:$BQ$1006,0))&gt;=100000), " ",IF(INDEX($AO$2:$BQ$1001,MATCH(ROWS($AH$2:AH867),$AH$2:$AH$1001,0),MATCH(COLUMNS($AO$1006:BM1006),$AO$1006:$BQ$1006,0)), HYPERLINK("#",""), HYPERLINK(CONCATENATE("#Metadata!", ADDRESS(INDEX($AJ$2:$AJ$1001,MATCH(ROWS($AH$2:AH867),$AH$2:$AH$1001,0),0), INDEX($AO$1004:$BQ$1004,1,MATCH(COLUMNS($AO$1006:BM1006),$AO$1006:$BQ$1006,0)))),"Fix")))</f>
        <v>#N/A</v>
      </c>
      <c r="AA867" s="5" t="e">
        <f ca="1">IF(OR(INDEX($AI$2:$AI$1001,MATCH(ROWS($AH$2:AH867),$AH$2:$AH$1001,0),1)&gt;=100000,INDEX($AO$1005:$BQ$1005,1,MATCH(COLUMNS($AO$1006:BN1006),$AO$1006:$BQ$1006,0))&gt;=100000), " ",IF(INDEX($AO$2:$BQ$1001,MATCH(ROWS($AH$2:AH867),$AH$2:$AH$1001,0),MATCH(COLUMNS($AO$1006:BN1006),$AO$1006:$BQ$1006,0)), HYPERLINK("#",""), HYPERLINK(CONCATENATE("#Metadata!", ADDRESS(INDEX($AJ$2:$AJ$1001,MATCH(ROWS($AH$2:AH867),$AH$2:$AH$1001,0),0), INDEX($AO$1004:$BQ$1004,1,MATCH(COLUMNS($AO$1006:BN1006),$AO$1006:$BQ$1006,0)))),"Fix")))</f>
        <v>#N/A</v>
      </c>
      <c r="AB867" s="5" t="e">
        <f ca="1">IF(OR(INDEX($AI$2:$AI$1001,MATCH(ROWS($AH$2:AH867),$AH$2:$AH$1001,0),1)&gt;=100000,INDEX($AO$1005:$BQ$1005,1,MATCH(COLUMNS($AO$1006:BO1006),$AO$1006:$BQ$1006,0))&gt;=100000), " ",IF(INDEX($AO$2:$BQ$1001,MATCH(ROWS($AH$2:AH867),$AH$2:$AH$1001,0),MATCH(COLUMNS($AO$1006:BO1006),$AO$1006:$BQ$1006,0)), HYPERLINK("#",""), HYPERLINK(CONCATENATE("#Metadata!", ADDRESS(INDEX($AJ$2:$AJ$1001,MATCH(ROWS($AH$2:AH867),$AH$2:$AH$1001,0),0), INDEX($AO$1004:$BQ$1004,1,MATCH(COLUMNS($AO$1006:BO1006),$AO$1006:$BQ$1006,0)))),"Fix")))</f>
        <v>#N/A</v>
      </c>
      <c r="AC867" s="5" t="e">
        <f ca="1">IF(OR(INDEX($AI$2:$AI$1001,MATCH(ROWS($AH$2:AH867),$AH$2:$AH$1001,0),1)&gt;=100000,INDEX($AO$1005:$BQ$1005,1,MATCH(COLUMNS($AO$1006:BP1006),$AO$1006:$BQ$1006,0))&gt;=100000), " ",IF(INDEX($AO$2:$BQ$1001,MATCH(ROWS($AH$2:AH867),$AH$2:$AH$1001,0),MATCH(COLUMNS($AO$1006:BP1006),$AO$1006:$BQ$1006,0)), HYPERLINK("#",""), HYPERLINK(CONCATENATE("#Metadata!", ADDRESS(INDEX($AJ$2:$AJ$1001,MATCH(ROWS($AH$2:AH867),$AH$2:$AH$1001,0),0), INDEX($AO$1004:$BQ$1004,1,MATCH(COLUMNS($AO$1006:BP1006),$AO$1006:$BQ$1006,0)))),"Fix")))</f>
        <v>#N/A</v>
      </c>
      <c r="AD867" s="5" t="e">
        <f ca="1">IF(OR(INDEX($AI$2:$AI$1001,MATCH(ROWS($AH$2:AH867),$AH$2:$AH$1001,0),1)&gt;=100000,INDEX($AO$1005:$BQ$1005,1,MATCH(COLUMNS($AO$1006:BQ1006),$AO$1006:$BQ$1006,0))&gt;=100000), " ",IF(INDEX($AO$2:$BQ$1001,MATCH(ROWS($AH$2:AH867),$AH$2:$AH$1001,0),MATCH(COLUMNS($AO$1006:BQ1006),$AO$1006:$BQ$1006,0)), HYPERLINK("#",""), HYPERLINK(CONCATENATE("#Metadata!", ADDRESS(INDEX($AJ$2:$AJ$1001,MATCH(ROWS($AH$2:AH867),$AH$2:$AH$1001,0),0), INDEX($AO$1004:$BQ$1004,1,MATCH(COLUMNS($AO$1006:BQ1006),$AO$1006:$BQ$1006,0)))),"Fix")))</f>
        <v>#REF!</v>
      </c>
      <c r="AH867">
        <f ca="1"/>
        <v>864</v>
      </c>
      <c r="AI867">
        <v>100867</v>
      </c>
      <c r="AJ867">
        <v>867</v>
      </c>
      <c r="AK867" t="b">
        <f t="shared" si="13"/>
        <v>1</v>
      </c>
      <c r="AL867" t="b">
        <f>COUNTBLANK(Metadata!B867:AD867)=COLUMNS(Metadata!B867:AD867)</f>
        <v>1</v>
      </c>
      <c r="AM867" t="str">
        <v/>
      </c>
      <c r="AO867" t="b">
        <f ca="1">AND(IF(Metadata!B867="",FALSE,TRUE),COUNTIF(Metadata!B:B, Metadata!B867) = 1,NOT(ISERROR(SUMPRODUCT(SEARCH(MID(Metadata!B867,ROW(INDIRECT("1:"&amp;LEN(Metadata!B867))), 1),"0123456789abcdefghijklmnopqrstuvwxyzABCDEFGHIJKLMNOPQRSTUVWXYZ.")))))</f>
        <v>0</v>
      </c>
      <c r="AP867" t="b">
        <f>IF(Metadata!C867="",FALSE,TRUE)</f>
        <v>0</v>
      </c>
      <c r="AQ867" t="b">
        <f>IF(Metadata!D867="",FALSE,TRUE)</f>
        <v>0</v>
      </c>
      <c r="AR867" t="b">
        <f ca="1">OR(AND(IF(Metadata!E867="",FALSE,TRUE),OR(EXACT(Metadata!E867,"not collected"),EXACT(Metadata!E867,"not provided"),EXACT(Metadata!E867,"restricted access"))),AND(IF(Metadata!E867="",FALSE,TRUE),AND(AND(IFERROR(INT(LEFT(Metadata!E867,4))&gt;1900,FALSE),IFERROR(INT(LEFT(Metadata!E867,4))&lt;=YEAR(NOW()),FALSE)), OR(MID(Metadata!E867,5,1)="", AND(AND(MID(Metadata!E867,5,1)="-",IFERROR(INT(MID(Metadata!E867,6,1))&gt;=0,FALSE),IFERROR(INT(MID(Metadata!E867,6,1))&lt;=1,FALSE),NOT(MID(Metadata!E867,7,1)=""),IFERROR(INT(MID(Metadata!E867,6,2))&gt;=1,FALSE),IFERROR(INT(MID(Metadata!E867,6,2))&lt;=12,FALSE)), OR(MID(Metadata!E867,8,1)="", AND(AND(MID(Metadata!E867,8,1)="-",IFERROR(INT(MID(Metadata!E867,9,1))&gt;=0,FALSE),IFERROR(INT(MID(Metadata!E867,9,1))&lt;=3,FALSE),NOT(MID(Metadata!E867,10,1)=""),IFERROR(INT(MID(Metadata!E867,9,2))&gt;=1,FALSE),IFERROR(INT(MID(Metadata!E867,9,2))&lt;=31,FALSE)), OR(MID(Metadata!E867,11,1)="", AND(AND(MID(Metadata!E867,11,1)=" ",IFERROR(INT(MID(Metadata!E867,12,1))&gt;=0,FALSE),IFERROR(INT(MID(Metadata!E867,12,1))&lt;=2,FALSE),NOT(MID(Metadata!E867,13,1)=""),IFERROR(INT(MID(Metadata!E867,12,2))&gt;=0,FALSE),IFERROR(INT(MID(Metadata!E867,12,2))&lt;=23,FALSE)), OR(MID(Metadata!E867,14,1)="", AND(AND(MID(Metadata!E867,14,1)=":",IFERROR(INT(MID(Metadata!E867,15,1))&gt;=0,FALSE),IFERROR(INT(MID(Metadata!E867,15,1))&lt;=5,FALSE),NOT(MID(Metadata!E867,16,1)=""),IFERROR(INT(MID(Metadata!E867,15,2))&gt;=0,FALSE),IFERROR(INT(MID(Metadata!E867,15,2))&lt;=59,FALSE)), OR(MID(Metadata!E867,17,1)="", AND(AND(MID(Metadata!E867,17,1)=":",IFERROR(INT(MID(Metadata!E867,18,1))&gt;=0,FALSE),IFERROR(INT(MID(Metadata!E867,18,1))&lt;=5,FALSE),NOT(MID(Metadata!E867,19,1)=""),IFERROR(INT(MID(Metadata!E867,18,2))&gt;=0,FALSE),IFERROR(INT(MID(Metadata!E867,18,2))&lt;=59,FALSE)), LEN(Metadata!E867)&lt;=19)))))))))))))</f>
        <v>0</v>
      </c>
      <c r="AS867" t="b">
        <f>IF(Metadata!F867="",FALSE,TRUE)</f>
        <v>0</v>
      </c>
      <c r="AT867" t="b">
        <f>OR(AND(IF(Metadata!G867="",FALSE,TRUE),OR(EXACT(Metadata!G867,"not collected"),EXACT(Metadata!G867,"not provided"))),AND(IF(Metadata!G867="",FALSE,TRUE),OR(EXACT(Metadata!G867,"TRUE"),EXACT(Metadata!G867,"FALSE"))))</f>
        <v>0</v>
      </c>
      <c r="AU867" t="b">
        <f>OR(AND(IF(Metadata!H867="",FALSE,TRUE),OR(EXACT(Metadata!H867,"not collected"),EXACT(Metadata!H867,"not provided"),EXACT(Metadata!H867,"restricted access"))),AND(IF(Metadata!H867="",FALSE,ISNUMBER(VALUE(Metadata!H867))),Metadata!H867&gt;=-413))</f>
        <v>0</v>
      </c>
      <c r="AV867" t="b">
        <f>AND(IF(Metadata!I867="",FALSE,TRUE),EXACT(Metadata!I867,"meters"))</f>
        <v>0</v>
      </c>
      <c r="AW867" t="b">
        <f>AND(IF(Metadata!J867="",FALSE,TRUE),EXACT(Metadata!J867,"free-living"))</f>
        <v>0</v>
      </c>
      <c r="AX867" t="b">
        <f>AND(IF(Metadata!K867="",FALSE,TRUE),OR(EXACT(Metadata!K867,"saline"),EXACT(Metadata!K867,"non-saline")))</f>
        <v>0</v>
      </c>
      <c r="AY867" t="b">
        <f>AND(IF(Metadata!L867="",FALSE,TRUE),OR(EXACT(Metadata!L867,"sub-surface (non-saline)"),EXACT(Metadata!L867,"surface (non-saline)"),EXACT(Metadata!L867,"water (non-saline)"),EXACT(Metadata!L867,"soil (non-saline)"),EXACT(Metadata!L867,"aerosol (non-saline)"),EXACT(Metadata!L867,"sediment (non-saline)"),EXACT(Metadata!L867,"surface (saline)"),EXACT(Metadata!L867,"water (saline)"),EXACT(Metadata!L867,"hypersaline (saline)"),EXACT(Metadata!L867,"aerosol (saline)"),EXACT(Metadata!L867,"sediment (saline)")))</f>
        <v>0</v>
      </c>
      <c r="AZ867" t="b">
        <f>IF(Metadata!M867="",FALSE,TRUE)</f>
        <v>0</v>
      </c>
      <c r="BA867" t="b">
        <f>IF(Metadata!N867="",FALSE,TRUE)</f>
        <v>0</v>
      </c>
      <c r="BB867" t="b">
        <f>IF(Metadata!O867="",FALSE,TRUE)</f>
        <v>0</v>
      </c>
      <c r="BC867" t="b">
        <f>AND(IF(Metadata!P867="",FALSE,TRUE),OR(EXACT(Metadata!P867,"air"),EXACT(Metadata!P867,"microbial mat/biofilm"),EXACT(Metadata!P867,"misc environment"),EXACT(Metadata!P867,"sediment"),EXACT(Metadata!P867,"soil"),EXACT(Metadata!P867,"wastewater/sludge"),EXACT(Metadata!P867,"water")))</f>
        <v>0</v>
      </c>
      <c r="BD867" t="b">
        <f>IF(Metadata!Q867="",FALSE,TRUE)</f>
        <v>0</v>
      </c>
      <c r="BE867" t="b">
        <f>IF(Metadata!R867="",FALSE,TRUE)</f>
        <v>0</v>
      </c>
      <c r="BF867" t="b">
        <f>OR(AND(IF(Metadata!S867="",FALSE,TRUE),OR(EXACT(Metadata!S867,"not collected"),EXACT(Metadata!S867,"not provided"),EXACT(Metadata!S867,"restricted access"))),AND(IF(Metadata!S867="",FALSE,ISNUMBER(VALUE(Metadata!S867))),Metadata!S867&gt;=-90,Metadata!S867&lt;=90))</f>
        <v>0</v>
      </c>
      <c r="BG867" t="b">
        <f>AND(IF(Metadata!T867="",FALSE,TRUE),EXACT(Metadata!T867,"Decimal degrees"))</f>
        <v>0</v>
      </c>
      <c r="BH867" t="b">
        <f>OR(AND(IF(Metadata!U867="",FALSE,TRUE),OR(EXACT(Metadata!U867,"not applicable"),EXACT(Metadata!U867,"not collected"))),IF(Metadata!U867="",FALSE,TRUE))</f>
        <v>0</v>
      </c>
      <c r="BI867" t="b">
        <f>OR(AND(IF(Metadata!V867="",FALSE,TRUE),OR(EXACT(Metadata!V867,"not collected"),EXACT(Metadata!V867,"not provided"),EXACT(Metadata!V867,"restricted access"))),AND(IF(Metadata!V867="",FALSE,ISNUMBER(VALUE(Metadata!V867))),Metadata!V867&gt;=-180,Metadata!V867&lt;=180))</f>
        <v>0</v>
      </c>
      <c r="BJ867" t="b">
        <f>AND(IF(Metadata!W867="",FALSE,TRUE),EXACT(Metadata!W867,"Decimal degrees"))</f>
        <v>0</v>
      </c>
      <c r="BK867" t="b">
        <f>IF(Metadata!X867="",FALSE,TRUE)</f>
        <v>0</v>
      </c>
      <c r="BL867" t="b">
        <f>OR(AND(IF(Metadata!Y867="",FALSE,TRUE),OR(EXACT(Metadata!Y867,"not collected"),EXACT(Metadata!Y867,"not provided"),EXACT(Metadata!Y867,"restricted access"))),AND(IF(Metadata!Y867="",FALSE,TRUE),OR(EXACT(Metadata!Y867,"TRUE"),EXACT(Metadata!Y867,"FALSE"))))</f>
        <v>0</v>
      </c>
      <c r="BM867" t="b">
        <f>OR(AND(IF(Metadata!Z867="",FALSE,TRUE),EXACT(Metadata!Z867,"not applicable")),AND(IF(Metadata!Z867="",FALSE,TRUE),OR(EXACT(Metadata!Z867,"beer"),EXACT(Metadata!Z867,"cheese"),EXACT(Metadata!Z867,"fresh water"),EXACT(Metadata!Z867,"marine sediment"),EXACT(Metadata!Z867,"sea water"),EXACT(Metadata!Z867,"sediment"),EXACT(Metadata!Z867,"soil"),EXACT(Metadata!Z867,"waste water"))))</f>
        <v>0</v>
      </c>
      <c r="BN867" t="b">
        <f>AND(IF(Metadata!AA867="",FALSE,TRUE),EXACT(Metadata!AA867,"metagenome"))</f>
        <v>0</v>
      </c>
      <c r="BO867" t="b">
        <f>AND(IF(Metadata!AB867="",FALSE,TRUE),EXACT(Metadata!AB867,"256318"))</f>
        <v>0</v>
      </c>
      <c r="BP867" t="b">
        <f>IF(Metadata!AC867="",FALSE,TRUE)</f>
        <v>0</v>
      </c>
      <c r="BQ867" t="b">
        <f>IF(Metadata!AD867="",FALSE,TRUE)</f>
        <v>0</v>
      </c>
    </row>
    <row r="868" spans="1:69" x14ac:dyDescent="0.2">
      <c r="A868" s="4" t="e">
        <f ca="1">IF(B868=" "," ",HYPERLINK(CONCATENATE("#metadata!",ADDRESS(INDEX($AJ$2:$AJ$1001,MATCH(ROWS($AH$2:AH868),$AH$2:$AH$1001,0),0),2)),INDEX($AM$2:$AM$1001,MATCH(ROWS($AH$2:AH868),$AH$2:$AH$1001,0),0)))</f>
        <v>#N/A</v>
      </c>
      <c r="B868" s="5" t="e">
        <f ca="1">IF(OR(INDEX($AI$2:$AI$1001,MATCH(ROWS($AH$2:AH868),$AH$2:$AH$1001,0),1)&gt;=100000,INDEX($AO$1005:$BQ$1005,1,MATCH(COLUMNS($AO$1006:AO1006),$AO$1006:$BQ$1006,0))&gt;=100000), " ",IF(INDEX($AO$2:$BQ$1001,MATCH(ROWS($AH$2:AH868),$AH$2:$AH$1001,0),MATCH(COLUMNS($AO$1006:AO1006),$AO$1006:$BQ$1006,0)), HYPERLINK("#",""), HYPERLINK(CONCATENATE("#Metadata!", ADDRESS(INDEX($AJ$2:$AJ$1001,MATCH(ROWS($AH$2:AH868),$AH$2:$AH$1001,0),0), INDEX($AO$1004:$BQ$1004,1,MATCH(COLUMNS($AO$1006:AO1006),$AO$1006:$BQ$1006,0)))),"Fix")))</f>
        <v>#N/A</v>
      </c>
      <c r="C868" s="5" t="e">
        <f ca="1">IF(OR(INDEX($AI$2:$AI$1001,MATCH(ROWS($AH$2:AH868),$AH$2:$AH$1001,0),1)&gt;=100000,INDEX($AO$1005:$BQ$1005,1,MATCH(COLUMNS($AO$1006:AP1006),$AO$1006:$BQ$1006,0))&gt;=100000), " ",IF(INDEX($AO$2:$BQ$1001,MATCH(ROWS($AH$2:AH868),$AH$2:$AH$1001,0),MATCH(COLUMNS($AO$1006:AP1006),$AO$1006:$BQ$1006,0)), HYPERLINK("#",""), HYPERLINK(CONCATENATE("#Metadata!", ADDRESS(INDEX($AJ$2:$AJ$1001,MATCH(ROWS($AH$2:AH868),$AH$2:$AH$1001,0),0), INDEX($AO$1004:$BQ$1004,1,MATCH(COLUMNS($AO$1006:AP1006),$AO$1006:$BQ$1006,0)))),"Fix")))</f>
        <v>#N/A</v>
      </c>
      <c r="D868" s="5" t="e">
        <f ca="1">IF(OR(INDEX($AI$2:$AI$1001,MATCH(ROWS($AH$2:AH868),$AH$2:$AH$1001,0),1)&gt;=100000,INDEX($AO$1005:$BQ$1005,1,MATCH(COLUMNS($AO$1006:AQ1006),$AO$1006:$BQ$1006,0))&gt;=100000), " ",IF(INDEX($AO$2:$BQ$1001,MATCH(ROWS($AH$2:AH868),$AH$2:$AH$1001,0),MATCH(COLUMNS($AO$1006:AQ1006),$AO$1006:$BQ$1006,0)), HYPERLINK("#",""), HYPERLINK(CONCATENATE("#Metadata!", ADDRESS(INDEX($AJ$2:$AJ$1001,MATCH(ROWS($AH$2:AH868),$AH$2:$AH$1001,0),0), INDEX($AO$1004:$BQ$1004,1,MATCH(COLUMNS($AO$1006:AQ1006),$AO$1006:$BQ$1006,0)))),"Fix")))</f>
        <v>#N/A</v>
      </c>
      <c r="E868" s="5" t="e">
        <f ca="1">IF(OR(INDEX($AI$2:$AI$1001,MATCH(ROWS($AH$2:AH868),$AH$2:$AH$1001,0),1)&gt;=100000,INDEX($AO$1005:$BQ$1005,1,MATCH(COLUMNS($AO$1006:AR1006),$AO$1006:$BQ$1006,0))&gt;=100000), " ",IF(INDEX($AO$2:$BQ$1001,MATCH(ROWS($AH$2:AH868),$AH$2:$AH$1001,0),MATCH(COLUMNS($AO$1006:AR1006),$AO$1006:$BQ$1006,0)), HYPERLINK("#",""), HYPERLINK(CONCATENATE("#Metadata!", ADDRESS(INDEX($AJ$2:$AJ$1001,MATCH(ROWS($AH$2:AH868),$AH$2:$AH$1001,0),0), INDEX($AO$1004:$BQ$1004,1,MATCH(COLUMNS($AO$1006:AR1006),$AO$1006:$BQ$1006,0)))),"Fix")))</f>
        <v>#N/A</v>
      </c>
      <c r="F868" s="5" t="e">
        <f ca="1">IF(OR(INDEX($AI$2:$AI$1001,MATCH(ROWS($AH$2:AH868),$AH$2:$AH$1001,0),1)&gt;=100000,INDEX($AO$1005:$BQ$1005,1,MATCH(COLUMNS($AO$1006:AS1006),$AO$1006:$BQ$1006,0))&gt;=100000), " ",IF(INDEX($AO$2:$BQ$1001,MATCH(ROWS($AH$2:AH868),$AH$2:$AH$1001,0),MATCH(COLUMNS($AO$1006:AS1006),$AO$1006:$BQ$1006,0)), HYPERLINK("#",""), HYPERLINK(CONCATENATE("#Metadata!", ADDRESS(INDEX($AJ$2:$AJ$1001,MATCH(ROWS($AH$2:AH868),$AH$2:$AH$1001,0),0), INDEX($AO$1004:$BQ$1004,1,MATCH(COLUMNS($AO$1006:AS1006),$AO$1006:$BQ$1006,0)))),"Fix")))</f>
        <v>#N/A</v>
      </c>
      <c r="G868" s="5" t="e">
        <f ca="1">IF(OR(INDEX($AI$2:$AI$1001,MATCH(ROWS($AH$2:AH868),$AH$2:$AH$1001,0),1)&gt;=100000,INDEX($AO$1005:$BQ$1005,1,MATCH(COLUMNS($AO$1006:AT1006),$AO$1006:$BQ$1006,0))&gt;=100000), " ",IF(INDEX($AO$2:$BQ$1001,MATCH(ROWS($AH$2:AH868),$AH$2:$AH$1001,0),MATCH(COLUMNS($AO$1006:AT1006),$AO$1006:$BQ$1006,0)), HYPERLINK("#",""), HYPERLINK(CONCATENATE("#Metadata!", ADDRESS(INDEX($AJ$2:$AJ$1001,MATCH(ROWS($AH$2:AH868),$AH$2:$AH$1001,0),0), INDEX($AO$1004:$BQ$1004,1,MATCH(COLUMNS($AO$1006:AT1006),$AO$1006:$BQ$1006,0)))),"Fix")))</f>
        <v>#N/A</v>
      </c>
      <c r="H868" s="5" t="e">
        <f ca="1">IF(OR(INDEX($AI$2:$AI$1001,MATCH(ROWS($AH$2:AH868),$AH$2:$AH$1001,0),1)&gt;=100000,INDEX($AO$1005:$BQ$1005,1,MATCH(COLUMNS($AO$1006:AU1006),$AO$1006:$BQ$1006,0))&gt;=100000), " ",IF(INDEX($AO$2:$BQ$1001,MATCH(ROWS($AH$2:AH868),$AH$2:$AH$1001,0),MATCH(COLUMNS($AO$1006:AU1006),$AO$1006:$BQ$1006,0)), HYPERLINK("#",""), HYPERLINK(CONCATENATE("#Metadata!", ADDRESS(INDEX($AJ$2:$AJ$1001,MATCH(ROWS($AH$2:AH868),$AH$2:$AH$1001,0),0), INDEX($AO$1004:$BQ$1004,1,MATCH(COLUMNS($AO$1006:AU1006),$AO$1006:$BQ$1006,0)))),"Fix")))</f>
        <v>#N/A</v>
      </c>
      <c r="I868" s="5" t="e">
        <f ca="1">IF(OR(INDEX($AI$2:$AI$1001,MATCH(ROWS($AH$2:AH868),$AH$2:$AH$1001,0),1)&gt;=100000,INDEX($AO$1005:$BQ$1005,1,MATCH(COLUMNS($AO$1006:AV1006),$AO$1006:$BQ$1006,0))&gt;=100000), " ",IF(INDEX($AO$2:$BQ$1001,MATCH(ROWS($AH$2:AH868),$AH$2:$AH$1001,0),MATCH(COLUMNS($AO$1006:AV1006),$AO$1006:$BQ$1006,0)), HYPERLINK("#",""), HYPERLINK(CONCATENATE("#Metadata!", ADDRESS(INDEX($AJ$2:$AJ$1001,MATCH(ROWS($AH$2:AH868),$AH$2:$AH$1001,0),0), INDEX($AO$1004:$BQ$1004,1,MATCH(COLUMNS($AO$1006:AV1006),$AO$1006:$BQ$1006,0)))),"Fix")))</f>
        <v>#N/A</v>
      </c>
      <c r="J868" s="5" t="e">
        <f ca="1">IF(OR(INDEX($AI$2:$AI$1001,MATCH(ROWS($AH$2:AH868),$AH$2:$AH$1001,0),1)&gt;=100000,INDEX($AO$1005:$BQ$1005,1,MATCH(COLUMNS($AO$1006:AW1006),$AO$1006:$BQ$1006,0))&gt;=100000), " ",IF(INDEX($AO$2:$BQ$1001,MATCH(ROWS($AH$2:AH868),$AH$2:$AH$1001,0),MATCH(COLUMNS($AO$1006:AW1006),$AO$1006:$BQ$1006,0)), HYPERLINK("#",""), HYPERLINK(CONCATENATE("#Metadata!", ADDRESS(INDEX($AJ$2:$AJ$1001,MATCH(ROWS($AH$2:AH868),$AH$2:$AH$1001,0),0), INDEX($AO$1004:$BQ$1004,1,MATCH(COLUMNS($AO$1006:AW1006),$AO$1006:$BQ$1006,0)))),"Fix")))</f>
        <v>#N/A</v>
      </c>
      <c r="K868" s="5" t="e">
        <f ca="1">IF(OR(INDEX($AI$2:$AI$1001,MATCH(ROWS($AH$2:AH868),$AH$2:$AH$1001,0),1)&gt;=100000,INDEX($AO$1005:$BQ$1005,1,MATCH(COLUMNS($AO$1006:AX1006),$AO$1006:$BQ$1006,0))&gt;=100000), " ",IF(INDEX($AO$2:$BQ$1001,MATCH(ROWS($AH$2:AH868),$AH$2:$AH$1001,0),MATCH(COLUMNS($AO$1006:AX1006),$AO$1006:$BQ$1006,0)), HYPERLINK("#",""), HYPERLINK(CONCATENATE("#Metadata!", ADDRESS(INDEX($AJ$2:$AJ$1001,MATCH(ROWS($AH$2:AH868),$AH$2:$AH$1001,0),0), INDEX($AO$1004:$BQ$1004,1,MATCH(COLUMNS($AO$1006:AX1006),$AO$1006:$BQ$1006,0)))),"Fix")))</f>
        <v>#N/A</v>
      </c>
      <c r="L868" s="5" t="e">
        <f ca="1">IF(OR(INDEX($AI$2:$AI$1001,MATCH(ROWS($AH$2:AH868),$AH$2:$AH$1001,0),1)&gt;=100000,INDEX($AO$1005:$BQ$1005,1,MATCH(COLUMNS($AO$1006:AY1006),$AO$1006:$BQ$1006,0))&gt;=100000), " ",IF(INDEX($AO$2:$BQ$1001,MATCH(ROWS($AH$2:AH868),$AH$2:$AH$1001,0),MATCH(COLUMNS($AO$1006:AY1006),$AO$1006:$BQ$1006,0)), HYPERLINK("#",""), HYPERLINK(CONCATENATE("#Metadata!", ADDRESS(INDEX($AJ$2:$AJ$1001,MATCH(ROWS($AH$2:AH868),$AH$2:$AH$1001,0),0), INDEX($AO$1004:$BQ$1004,1,MATCH(COLUMNS($AO$1006:AY1006),$AO$1006:$BQ$1006,0)))),"Fix")))</f>
        <v>#N/A</v>
      </c>
      <c r="M868" s="5" t="e">
        <f ca="1">IF(OR(INDEX($AI$2:$AI$1001,MATCH(ROWS($AH$2:AH868),$AH$2:$AH$1001,0),1)&gt;=100000,INDEX($AO$1005:$BQ$1005,1,MATCH(COLUMNS($AO$1006:AZ1006),$AO$1006:$BQ$1006,0))&gt;=100000), " ",IF(INDEX($AO$2:$BQ$1001,MATCH(ROWS($AH$2:AH868),$AH$2:$AH$1001,0),MATCH(COLUMNS($AO$1006:AZ1006),$AO$1006:$BQ$1006,0)), HYPERLINK("#",""), HYPERLINK(CONCATENATE("#Metadata!", ADDRESS(INDEX($AJ$2:$AJ$1001,MATCH(ROWS($AH$2:AH868),$AH$2:$AH$1001,0),0), INDEX($AO$1004:$BQ$1004,1,MATCH(COLUMNS($AO$1006:AZ1006),$AO$1006:$BQ$1006,0)))),"Fix")))</f>
        <v>#N/A</v>
      </c>
      <c r="N868" s="5" t="e">
        <f ca="1">IF(OR(INDEX($AI$2:$AI$1001,MATCH(ROWS($AH$2:AH868),$AH$2:$AH$1001,0),1)&gt;=100000,INDEX($AO$1005:$BQ$1005,1,MATCH(COLUMNS($AO$1006:BA1006),$AO$1006:$BQ$1006,0))&gt;=100000), " ",IF(INDEX($AO$2:$BQ$1001,MATCH(ROWS($AH$2:AH868),$AH$2:$AH$1001,0),MATCH(COLUMNS($AO$1006:BA1006),$AO$1006:$BQ$1006,0)), HYPERLINK("#",""), HYPERLINK(CONCATENATE("#Metadata!", ADDRESS(INDEX($AJ$2:$AJ$1001,MATCH(ROWS($AH$2:AH868),$AH$2:$AH$1001,0),0), INDEX($AO$1004:$BQ$1004,1,MATCH(COLUMNS($AO$1006:BA1006),$AO$1006:$BQ$1006,0)))),"Fix")))</f>
        <v>#N/A</v>
      </c>
      <c r="O868" s="5" t="e">
        <f ca="1">IF(OR(INDEX($AI$2:$AI$1001,MATCH(ROWS($AH$2:AH868),$AH$2:$AH$1001,0),1)&gt;=100000,INDEX($AO$1005:$BQ$1005,1,MATCH(COLUMNS($AO$1006:BB1006),$AO$1006:$BQ$1006,0))&gt;=100000), " ",IF(INDEX($AO$2:$BQ$1001,MATCH(ROWS($AH$2:AH868),$AH$2:$AH$1001,0),MATCH(COLUMNS($AO$1006:BB1006),$AO$1006:$BQ$1006,0)), HYPERLINK("#",""), HYPERLINK(CONCATENATE("#Metadata!", ADDRESS(INDEX($AJ$2:$AJ$1001,MATCH(ROWS($AH$2:AH868),$AH$2:$AH$1001,0),0), INDEX($AO$1004:$BQ$1004,1,MATCH(COLUMNS($AO$1006:BB1006),$AO$1006:$BQ$1006,0)))),"Fix")))</f>
        <v>#N/A</v>
      </c>
      <c r="P868" s="5" t="e">
        <f ca="1">IF(OR(INDEX($AI$2:$AI$1001,MATCH(ROWS($AH$2:AH868),$AH$2:$AH$1001,0),1)&gt;=100000,INDEX($AO$1005:$BQ$1005,1,MATCH(COLUMNS($AO$1006:BC1006),$AO$1006:$BQ$1006,0))&gt;=100000), " ",IF(INDEX($AO$2:$BQ$1001,MATCH(ROWS($AH$2:AH868),$AH$2:$AH$1001,0),MATCH(COLUMNS($AO$1006:BC1006),$AO$1006:$BQ$1006,0)), HYPERLINK("#",""), HYPERLINK(CONCATENATE("#Metadata!", ADDRESS(INDEX($AJ$2:$AJ$1001,MATCH(ROWS($AH$2:AH868),$AH$2:$AH$1001,0),0), INDEX($AO$1004:$BQ$1004,1,MATCH(COLUMNS($AO$1006:BC1006),$AO$1006:$BQ$1006,0)))),"Fix")))</f>
        <v>#N/A</v>
      </c>
      <c r="Q868" s="5" t="e">
        <f ca="1">IF(OR(INDEX($AI$2:$AI$1001,MATCH(ROWS($AH$2:AH868),$AH$2:$AH$1001,0),1)&gt;=100000,INDEX($AO$1005:$BQ$1005,1,MATCH(COLUMNS($AO$1006:BD1006),$AO$1006:$BQ$1006,0))&gt;=100000), " ",IF(INDEX($AO$2:$BQ$1001,MATCH(ROWS($AH$2:AH868),$AH$2:$AH$1001,0),MATCH(COLUMNS($AO$1006:BD1006),$AO$1006:$BQ$1006,0)), HYPERLINK("#",""), HYPERLINK(CONCATENATE("#Metadata!", ADDRESS(INDEX($AJ$2:$AJ$1001,MATCH(ROWS($AH$2:AH868),$AH$2:$AH$1001,0),0), INDEX($AO$1004:$BQ$1004,1,MATCH(COLUMNS($AO$1006:BD1006),$AO$1006:$BQ$1006,0)))),"Fix")))</f>
        <v>#N/A</v>
      </c>
      <c r="R868" s="5" t="e">
        <f ca="1">IF(OR(INDEX($AI$2:$AI$1001,MATCH(ROWS($AH$2:AH868),$AH$2:$AH$1001,0),1)&gt;=100000,INDEX($AO$1005:$BQ$1005,1,MATCH(COLUMNS($AO$1006:BE1006),$AO$1006:$BQ$1006,0))&gt;=100000), " ",IF(INDEX($AO$2:$BQ$1001,MATCH(ROWS($AH$2:AH868),$AH$2:$AH$1001,0),MATCH(COLUMNS($AO$1006:BE1006),$AO$1006:$BQ$1006,0)), HYPERLINK("#",""), HYPERLINK(CONCATENATE("#Metadata!", ADDRESS(INDEX($AJ$2:$AJ$1001,MATCH(ROWS($AH$2:AH868),$AH$2:$AH$1001,0),0), INDEX($AO$1004:$BQ$1004,1,MATCH(COLUMNS($AO$1006:BE1006),$AO$1006:$BQ$1006,0)))),"Fix")))</f>
        <v>#N/A</v>
      </c>
      <c r="S868" s="5" t="e">
        <f ca="1">IF(OR(INDEX($AI$2:$AI$1001,MATCH(ROWS($AH$2:AH868),$AH$2:$AH$1001,0),1)&gt;=100000,INDEX($AO$1005:$BQ$1005,1,MATCH(COLUMNS($AO$1006:BF1006),$AO$1006:$BQ$1006,0))&gt;=100000), " ",IF(INDEX($AO$2:$BQ$1001,MATCH(ROWS($AH$2:AH868),$AH$2:$AH$1001,0),MATCH(COLUMNS($AO$1006:BF1006),$AO$1006:$BQ$1006,0)), HYPERLINK("#",""), HYPERLINK(CONCATENATE("#Metadata!", ADDRESS(INDEX($AJ$2:$AJ$1001,MATCH(ROWS($AH$2:AH868),$AH$2:$AH$1001,0),0), INDEX($AO$1004:$BQ$1004,1,MATCH(COLUMNS($AO$1006:BF1006),$AO$1006:$BQ$1006,0)))),"Fix")))</f>
        <v>#N/A</v>
      </c>
      <c r="T868" s="5" t="e">
        <f ca="1">IF(OR(INDEX($AI$2:$AI$1001,MATCH(ROWS($AH$2:AH868),$AH$2:$AH$1001,0),1)&gt;=100000,INDEX($AO$1005:$BQ$1005,1,MATCH(COLUMNS($AO$1006:BG1006),$AO$1006:$BQ$1006,0))&gt;=100000), " ",IF(INDEX($AO$2:$BQ$1001,MATCH(ROWS($AH$2:AH868),$AH$2:$AH$1001,0),MATCH(COLUMNS($AO$1006:BG1006),$AO$1006:$BQ$1006,0)), HYPERLINK("#",""), HYPERLINK(CONCATENATE("#Metadata!", ADDRESS(INDEX($AJ$2:$AJ$1001,MATCH(ROWS($AH$2:AH868),$AH$2:$AH$1001,0),0), INDEX($AO$1004:$BQ$1004,1,MATCH(COLUMNS($AO$1006:BG1006),$AO$1006:$BQ$1006,0)))),"Fix")))</f>
        <v>#N/A</v>
      </c>
      <c r="U868" s="5" t="e">
        <f ca="1">IF(OR(INDEX($AI$2:$AI$1001,MATCH(ROWS($AH$2:AH868),$AH$2:$AH$1001,0),1)&gt;=100000,INDEX($AO$1005:$BQ$1005,1,MATCH(COLUMNS($AO$1006:BH1006),$AO$1006:$BQ$1006,0))&gt;=100000), " ",IF(INDEX($AO$2:$BQ$1001,MATCH(ROWS($AH$2:AH868),$AH$2:$AH$1001,0),MATCH(COLUMNS($AO$1006:BH1006),$AO$1006:$BQ$1006,0)), HYPERLINK("#",""), HYPERLINK(CONCATENATE("#Metadata!", ADDRESS(INDEX($AJ$2:$AJ$1001,MATCH(ROWS($AH$2:AH868),$AH$2:$AH$1001,0),0), INDEX($AO$1004:$BQ$1004,1,MATCH(COLUMNS($AO$1006:BH1006),$AO$1006:$BQ$1006,0)))),"Fix")))</f>
        <v>#N/A</v>
      </c>
      <c r="V868" s="5" t="e">
        <f ca="1">IF(OR(INDEX($AI$2:$AI$1001,MATCH(ROWS($AH$2:AH868),$AH$2:$AH$1001,0),1)&gt;=100000,INDEX($AO$1005:$BQ$1005,1,MATCH(COLUMNS($AO$1006:BI1006),$AO$1006:$BQ$1006,0))&gt;=100000), " ",IF(INDEX($AO$2:$BQ$1001,MATCH(ROWS($AH$2:AH868),$AH$2:$AH$1001,0),MATCH(COLUMNS($AO$1006:BI1006),$AO$1006:$BQ$1006,0)), HYPERLINK("#",""), HYPERLINK(CONCATENATE("#Metadata!", ADDRESS(INDEX($AJ$2:$AJ$1001,MATCH(ROWS($AH$2:AH868),$AH$2:$AH$1001,0),0), INDEX($AO$1004:$BQ$1004,1,MATCH(COLUMNS($AO$1006:BI1006),$AO$1006:$BQ$1006,0)))),"Fix")))</f>
        <v>#N/A</v>
      </c>
      <c r="W868" s="5" t="e">
        <f ca="1">IF(OR(INDEX($AI$2:$AI$1001,MATCH(ROWS($AH$2:AH868),$AH$2:$AH$1001,0),1)&gt;=100000,INDEX($AO$1005:$BQ$1005,1,MATCH(COLUMNS($AO$1006:BJ1006),$AO$1006:$BQ$1006,0))&gt;=100000), " ",IF(INDEX($AO$2:$BQ$1001,MATCH(ROWS($AH$2:AH868),$AH$2:$AH$1001,0),MATCH(COLUMNS($AO$1006:BJ1006),$AO$1006:$BQ$1006,0)), HYPERLINK("#",""), HYPERLINK(CONCATENATE("#Metadata!", ADDRESS(INDEX($AJ$2:$AJ$1001,MATCH(ROWS($AH$2:AH868),$AH$2:$AH$1001,0),0), INDEX($AO$1004:$BQ$1004,1,MATCH(COLUMNS($AO$1006:BJ1006),$AO$1006:$BQ$1006,0)))),"Fix")))</f>
        <v>#N/A</v>
      </c>
      <c r="X868" s="5" t="e">
        <f ca="1">IF(OR(INDEX($AI$2:$AI$1001,MATCH(ROWS($AH$2:AH868),$AH$2:$AH$1001,0),1)&gt;=100000,INDEX($AO$1005:$BQ$1005,1,MATCH(COLUMNS($AO$1006:BK1006),$AO$1006:$BQ$1006,0))&gt;=100000), " ",IF(INDEX($AO$2:$BQ$1001,MATCH(ROWS($AH$2:AH868),$AH$2:$AH$1001,0),MATCH(COLUMNS($AO$1006:BK1006),$AO$1006:$BQ$1006,0)), HYPERLINK("#",""), HYPERLINK(CONCATENATE("#Metadata!", ADDRESS(INDEX($AJ$2:$AJ$1001,MATCH(ROWS($AH$2:AH868),$AH$2:$AH$1001,0),0), INDEX($AO$1004:$BQ$1004,1,MATCH(COLUMNS($AO$1006:BK1006),$AO$1006:$BQ$1006,0)))),"Fix")))</f>
        <v>#N/A</v>
      </c>
      <c r="Y868" s="5" t="e">
        <f ca="1">IF(OR(INDEX($AI$2:$AI$1001,MATCH(ROWS($AH$2:AH868),$AH$2:$AH$1001,0),1)&gt;=100000,INDEX($AO$1005:$BQ$1005,1,MATCH(COLUMNS($AO$1006:BL1006),$AO$1006:$BQ$1006,0))&gt;=100000), " ",IF(INDEX($AO$2:$BQ$1001,MATCH(ROWS($AH$2:AH868),$AH$2:$AH$1001,0),MATCH(COLUMNS($AO$1006:BL1006),$AO$1006:$BQ$1006,0)), HYPERLINK("#",""), HYPERLINK(CONCATENATE("#Metadata!", ADDRESS(INDEX($AJ$2:$AJ$1001,MATCH(ROWS($AH$2:AH868),$AH$2:$AH$1001,0),0), INDEX($AO$1004:$BQ$1004,1,MATCH(COLUMNS($AO$1006:BL1006),$AO$1006:$BQ$1006,0)))),"Fix")))</f>
        <v>#N/A</v>
      </c>
      <c r="Z868" s="5" t="e">
        <f ca="1">IF(OR(INDEX($AI$2:$AI$1001,MATCH(ROWS($AH$2:AH868),$AH$2:$AH$1001,0),1)&gt;=100000,INDEX($AO$1005:$BQ$1005,1,MATCH(COLUMNS($AO$1006:BM1006),$AO$1006:$BQ$1006,0))&gt;=100000), " ",IF(INDEX($AO$2:$BQ$1001,MATCH(ROWS($AH$2:AH868),$AH$2:$AH$1001,0),MATCH(COLUMNS($AO$1006:BM1006),$AO$1006:$BQ$1006,0)), HYPERLINK("#",""), HYPERLINK(CONCATENATE("#Metadata!", ADDRESS(INDEX($AJ$2:$AJ$1001,MATCH(ROWS($AH$2:AH868),$AH$2:$AH$1001,0),0), INDEX($AO$1004:$BQ$1004,1,MATCH(COLUMNS($AO$1006:BM1006),$AO$1006:$BQ$1006,0)))),"Fix")))</f>
        <v>#N/A</v>
      </c>
      <c r="AA868" s="5" t="e">
        <f ca="1">IF(OR(INDEX($AI$2:$AI$1001,MATCH(ROWS($AH$2:AH868),$AH$2:$AH$1001,0),1)&gt;=100000,INDEX($AO$1005:$BQ$1005,1,MATCH(COLUMNS($AO$1006:BN1006),$AO$1006:$BQ$1006,0))&gt;=100000), " ",IF(INDEX($AO$2:$BQ$1001,MATCH(ROWS($AH$2:AH868),$AH$2:$AH$1001,0),MATCH(COLUMNS($AO$1006:BN1006),$AO$1006:$BQ$1006,0)), HYPERLINK("#",""), HYPERLINK(CONCATENATE("#Metadata!", ADDRESS(INDEX($AJ$2:$AJ$1001,MATCH(ROWS($AH$2:AH868),$AH$2:$AH$1001,0),0), INDEX($AO$1004:$BQ$1004,1,MATCH(COLUMNS($AO$1006:BN1006),$AO$1006:$BQ$1006,0)))),"Fix")))</f>
        <v>#N/A</v>
      </c>
      <c r="AB868" s="5" t="e">
        <f ca="1">IF(OR(INDEX($AI$2:$AI$1001,MATCH(ROWS($AH$2:AH868),$AH$2:$AH$1001,0),1)&gt;=100000,INDEX($AO$1005:$BQ$1005,1,MATCH(COLUMNS($AO$1006:BO1006),$AO$1006:$BQ$1006,0))&gt;=100000), " ",IF(INDEX($AO$2:$BQ$1001,MATCH(ROWS($AH$2:AH868),$AH$2:$AH$1001,0),MATCH(COLUMNS($AO$1006:BO1006),$AO$1006:$BQ$1006,0)), HYPERLINK("#",""), HYPERLINK(CONCATENATE("#Metadata!", ADDRESS(INDEX($AJ$2:$AJ$1001,MATCH(ROWS($AH$2:AH868),$AH$2:$AH$1001,0),0), INDEX($AO$1004:$BQ$1004,1,MATCH(COLUMNS($AO$1006:BO1006),$AO$1006:$BQ$1006,0)))),"Fix")))</f>
        <v>#N/A</v>
      </c>
      <c r="AC868" s="5" t="e">
        <f ca="1">IF(OR(INDEX($AI$2:$AI$1001,MATCH(ROWS($AH$2:AH868),$AH$2:$AH$1001,0),1)&gt;=100000,INDEX($AO$1005:$BQ$1005,1,MATCH(COLUMNS($AO$1006:BP1006),$AO$1006:$BQ$1006,0))&gt;=100000), " ",IF(INDEX($AO$2:$BQ$1001,MATCH(ROWS($AH$2:AH868),$AH$2:$AH$1001,0),MATCH(COLUMNS($AO$1006:BP1006),$AO$1006:$BQ$1006,0)), HYPERLINK("#",""), HYPERLINK(CONCATENATE("#Metadata!", ADDRESS(INDEX($AJ$2:$AJ$1001,MATCH(ROWS($AH$2:AH868),$AH$2:$AH$1001,0),0), INDEX($AO$1004:$BQ$1004,1,MATCH(COLUMNS($AO$1006:BP1006),$AO$1006:$BQ$1006,0)))),"Fix")))</f>
        <v>#N/A</v>
      </c>
      <c r="AD868" s="5" t="e">
        <f ca="1">IF(OR(INDEX($AI$2:$AI$1001,MATCH(ROWS($AH$2:AH868),$AH$2:$AH$1001,0),1)&gt;=100000,INDEX($AO$1005:$BQ$1005,1,MATCH(COLUMNS($AO$1006:BQ1006),$AO$1006:$BQ$1006,0))&gt;=100000), " ",IF(INDEX($AO$2:$BQ$1001,MATCH(ROWS($AH$2:AH868),$AH$2:$AH$1001,0),MATCH(COLUMNS($AO$1006:BQ1006),$AO$1006:$BQ$1006,0)), HYPERLINK("#",""), HYPERLINK(CONCATENATE("#Metadata!", ADDRESS(INDEX($AJ$2:$AJ$1001,MATCH(ROWS($AH$2:AH868),$AH$2:$AH$1001,0),0), INDEX($AO$1004:$BQ$1004,1,MATCH(COLUMNS($AO$1006:BQ1006),$AO$1006:$BQ$1006,0)))),"Fix")))</f>
        <v>#REF!</v>
      </c>
      <c r="AH868">
        <f ca="1"/>
        <v>865</v>
      </c>
      <c r="AI868">
        <v>100868</v>
      </c>
      <c r="AJ868">
        <v>868</v>
      </c>
      <c r="AK868" t="b">
        <f t="shared" si="13"/>
        <v>1</v>
      </c>
      <c r="AL868" t="b">
        <f>COUNTBLANK(Metadata!B868:AD868)=COLUMNS(Metadata!B868:AD868)</f>
        <v>1</v>
      </c>
      <c r="AM868" t="str">
        <v/>
      </c>
      <c r="AO868" t="b">
        <f ca="1">AND(IF(Metadata!B868="",FALSE,TRUE),COUNTIF(Metadata!B:B, Metadata!B868) = 1,NOT(ISERROR(SUMPRODUCT(SEARCH(MID(Metadata!B868,ROW(INDIRECT("1:"&amp;LEN(Metadata!B868))), 1),"0123456789abcdefghijklmnopqrstuvwxyzABCDEFGHIJKLMNOPQRSTUVWXYZ.")))))</f>
        <v>0</v>
      </c>
      <c r="AP868" t="b">
        <f>IF(Metadata!C868="",FALSE,TRUE)</f>
        <v>0</v>
      </c>
      <c r="AQ868" t="b">
        <f>IF(Metadata!D868="",FALSE,TRUE)</f>
        <v>0</v>
      </c>
      <c r="AR868" t="b">
        <f ca="1">OR(AND(IF(Metadata!E868="",FALSE,TRUE),OR(EXACT(Metadata!E868,"not collected"),EXACT(Metadata!E868,"not provided"),EXACT(Metadata!E868,"restricted access"))),AND(IF(Metadata!E868="",FALSE,TRUE),AND(AND(IFERROR(INT(LEFT(Metadata!E868,4))&gt;1900,FALSE),IFERROR(INT(LEFT(Metadata!E868,4))&lt;=YEAR(NOW()),FALSE)), OR(MID(Metadata!E868,5,1)="", AND(AND(MID(Metadata!E868,5,1)="-",IFERROR(INT(MID(Metadata!E868,6,1))&gt;=0,FALSE),IFERROR(INT(MID(Metadata!E868,6,1))&lt;=1,FALSE),NOT(MID(Metadata!E868,7,1)=""),IFERROR(INT(MID(Metadata!E868,6,2))&gt;=1,FALSE),IFERROR(INT(MID(Metadata!E868,6,2))&lt;=12,FALSE)), OR(MID(Metadata!E868,8,1)="", AND(AND(MID(Metadata!E868,8,1)="-",IFERROR(INT(MID(Metadata!E868,9,1))&gt;=0,FALSE),IFERROR(INT(MID(Metadata!E868,9,1))&lt;=3,FALSE),NOT(MID(Metadata!E868,10,1)=""),IFERROR(INT(MID(Metadata!E868,9,2))&gt;=1,FALSE),IFERROR(INT(MID(Metadata!E868,9,2))&lt;=31,FALSE)), OR(MID(Metadata!E868,11,1)="", AND(AND(MID(Metadata!E868,11,1)=" ",IFERROR(INT(MID(Metadata!E868,12,1))&gt;=0,FALSE),IFERROR(INT(MID(Metadata!E868,12,1))&lt;=2,FALSE),NOT(MID(Metadata!E868,13,1)=""),IFERROR(INT(MID(Metadata!E868,12,2))&gt;=0,FALSE),IFERROR(INT(MID(Metadata!E868,12,2))&lt;=23,FALSE)), OR(MID(Metadata!E868,14,1)="", AND(AND(MID(Metadata!E868,14,1)=":",IFERROR(INT(MID(Metadata!E868,15,1))&gt;=0,FALSE),IFERROR(INT(MID(Metadata!E868,15,1))&lt;=5,FALSE),NOT(MID(Metadata!E868,16,1)=""),IFERROR(INT(MID(Metadata!E868,15,2))&gt;=0,FALSE),IFERROR(INT(MID(Metadata!E868,15,2))&lt;=59,FALSE)), OR(MID(Metadata!E868,17,1)="", AND(AND(MID(Metadata!E868,17,1)=":",IFERROR(INT(MID(Metadata!E868,18,1))&gt;=0,FALSE),IFERROR(INT(MID(Metadata!E868,18,1))&lt;=5,FALSE),NOT(MID(Metadata!E868,19,1)=""),IFERROR(INT(MID(Metadata!E868,18,2))&gt;=0,FALSE),IFERROR(INT(MID(Metadata!E868,18,2))&lt;=59,FALSE)), LEN(Metadata!E868)&lt;=19)))))))))))))</f>
        <v>0</v>
      </c>
      <c r="AS868" t="b">
        <f>IF(Metadata!F868="",FALSE,TRUE)</f>
        <v>0</v>
      </c>
      <c r="AT868" t="b">
        <f>OR(AND(IF(Metadata!G868="",FALSE,TRUE),OR(EXACT(Metadata!G868,"not collected"),EXACT(Metadata!G868,"not provided"))),AND(IF(Metadata!G868="",FALSE,TRUE),OR(EXACT(Metadata!G868,"TRUE"),EXACT(Metadata!G868,"FALSE"))))</f>
        <v>0</v>
      </c>
      <c r="AU868" t="b">
        <f>OR(AND(IF(Metadata!H868="",FALSE,TRUE),OR(EXACT(Metadata!H868,"not collected"),EXACT(Metadata!H868,"not provided"),EXACT(Metadata!H868,"restricted access"))),AND(IF(Metadata!H868="",FALSE,ISNUMBER(VALUE(Metadata!H868))),Metadata!H868&gt;=-413))</f>
        <v>0</v>
      </c>
      <c r="AV868" t="b">
        <f>AND(IF(Metadata!I868="",FALSE,TRUE),EXACT(Metadata!I868,"meters"))</f>
        <v>0</v>
      </c>
      <c r="AW868" t="b">
        <f>AND(IF(Metadata!J868="",FALSE,TRUE),EXACT(Metadata!J868,"free-living"))</f>
        <v>0</v>
      </c>
      <c r="AX868" t="b">
        <f>AND(IF(Metadata!K868="",FALSE,TRUE),OR(EXACT(Metadata!K868,"saline"),EXACT(Metadata!K868,"non-saline")))</f>
        <v>0</v>
      </c>
      <c r="AY868" t="b">
        <f>AND(IF(Metadata!L868="",FALSE,TRUE),OR(EXACT(Metadata!L868,"sub-surface (non-saline)"),EXACT(Metadata!L868,"surface (non-saline)"),EXACT(Metadata!L868,"water (non-saline)"),EXACT(Metadata!L868,"soil (non-saline)"),EXACT(Metadata!L868,"aerosol (non-saline)"),EXACT(Metadata!L868,"sediment (non-saline)"),EXACT(Metadata!L868,"surface (saline)"),EXACT(Metadata!L868,"water (saline)"),EXACT(Metadata!L868,"hypersaline (saline)"),EXACT(Metadata!L868,"aerosol (saline)"),EXACT(Metadata!L868,"sediment (saline)")))</f>
        <v>0</v>
      </c>
      <c r="AZ868" t="b">
        <f>IF(Metadata!M868="",FALSE,TRUE)</f>
        <v>0</v>
      </c>
      <c r="BA868" t="b">
        <f>IF(Metadata!N868="",FALSE,TRUE)</f>
        <v>0</v>
      </c>
      <c r="BB868" t="b">
        <f>IF(Metadata!O868="",FALSE,TRUE)</f>
        <v>0</v>
      </c>
      <c r="BC868" t="b">
        <f>AND(IF(Metadata!P868="",FALSE,TRUE),OR(EXACT(Metadata!P868,"air"),EXACT(Metadata!P868,"microbial mat/biofilm"),EXACT(Metadata!P868,"misc environment"),EXACT(Metadata!P868,"sediment"),EXACT(Metadata!P868,"soil"),EXACT(Metadata!P868,"wastewater/sludge"),EXACT(Metadata!P868,"water")))</f>
        <v>0</v>
      </c>
      <c r="BD868" t="b">
        <f>IF(Metadata!Q868="",FALSE,TRUE)</f>
        <v>0</v>
      </c>
      <c r="BE868" t="b">
        <f>IF(Metadata!R868="",FALSE,TRUE)</f>
        <v>0</v>
      </c>
      <c r="BF868" t="b">
        <f>OR(AND(IF(Metadata!S868="",FALSE,TRUE),OR(EXACT(Metadata!S868,"not collected"),EXACT(Metadata!S868,"not provided"),EXACT(Metadata!S868,"restricted access"))),AND(IF(Metadata!S868="",FALSE,ISNUMBER(VALUE(Metadata!S868))),Metadata!S868&gt;=-90,Metadata!S868&lt;=90))</f>
        <v>0</v>
      </c>
      <c r="BG868" t="b">
        <f>AND(IF(Metadata!T868="",FALSE,TRUE),EXACT(Metadata!T868,"Decimal degrees"))</f>
        <v>0</v>
      </c>
      <c r="BH868" t="b">
        <f>OR(AND(IF(Metadata!U868="",FALSE,TRUE),OR(EXACT(Metadata!U868,"not applicable"),EXACT(Metadata!U868,"not collected"))),IF(Metadata!U868="",FALSE,TRUE))</f>
        <v>0</v>
      </c>
      <c r="BI868" t="b">
        <f>OR(AND(IF(Metadata!V868="",FALSE,TRUE),OR(EXACT(Metadata!V868,"not collected"),EXACT(Metadata!V868,"not provided"),EXACT(Metadata!V868,"restricted access"))),AND(IF(Metadata!V868="",FALSE,ISNUMBER(VALUE(Metadata!V868))),Metadata!V868&gt;=-180,Metadata!V868&lt;=180))</f>
        <v>0</v>
      </c>
      <c r="BJ868" t="b">
        <f>AND(IF(Metadata!W868="",FALSE,TRUE),EXACT(Metadata!W868,"Decimal degrees"))</f>
        <v>0</v>
      </c>
      <c r="BK868" t="b">
        <f>IF(Metadata!X868="",FALSE,TRUE)</f>
        <v>0</v>
      </c>
      <c r="BL868" t="b">
        <f>OR(AND(IF(Metadata!Y868="",FALSE,TRUE),OR(EXACT(Metadata!Y868,"not collected"),EXACT(Metadata!Y868,"not provided"),EXACT(Metadata!Y868,"restricted access"))),AND(IF(Metadata!Y868="",FALSE,TRUE),OR(EXACT(Metadata!Y868,"TRUE"),EXACT(Metadata!Y868,"FALSE"))))</f>
        <v>0</v>
      </c>
      <c r="BM868" t="b">
        <f>OR(AND(IF(Metadata!Z868="",FALSE,TRUE),EXACT(Metadata!Z868,"not applicable")),AND(IF(Metadata!Z868="",FALSE,TRUE),OR(EXACT(Metadata!Z868,"beer"),EXACT(Metadata!Z868,"cheese"),EXACT(Metadata!Z868,"fresh water"),EXACT(Metadata!Z868,"marine sediment"),EXACT(Metadata!Z868,"sea water"),EXACT(Metadata!Z868,"sediment"),EXACT(Metadata!Z868,"soil"),EXACT(Metadata!Z868,"waste water"))))</f>
        <v>0</v>
      </c>
      <c r="BN868" t="b">
        <f>AND(IF(Metadata!AA868="",FALSE,TRUE),EXACT(Metadata!AA868,"metagenome"))</f>
        <v>0</v>
      </c>
      <c r="BO868" t="b">
        <f>AND(IF(Metadata!AB868="",FALSE,TRUE),EXACT(Metadata!AB868,"256318"))</f>
        <v>0</v>
      </c>
      <c r="BP868" t="b">
        <f>IF(Metadata!AC868="",FALSE,TRUE)</f>
        <v>0</v>
      </c>
      <c r="BQ868" t="b">
        <f>IF(Metadata!AD868="",FALSE,TRUE)</f>
        <v>0</v>
      </c>
    </row>
    <row r="869" spans="1:69" x14ac:dyDescent="0.2">
      <c r="A869" s="4" t="e">
        <f ca="1">IF(B869=" "," ",HYPERLINK(CONCATENATE("#metadata!",ADDRESS(INDEX($AJ$2:$AJ$1001,MATCH(ROWS($AH$2:AH869),$AH$2:$AH$1001,0),0),2)),INDEX($AM$2:$AM$1001,MATCH(ROWS($AH$2:AH869),$AH$2:$AH$1001,0),0)))</f>
        <v>#N/A</v>
      </c>
      <c r="B869" s="5" t="e">
        <f ca="1">IF(OR(INDEX($AI$2:$AI$1001,MATCH(ROWS($AH$2:AH869),$AH$2:$AH$1001,0),1)&gt;=100000,INDEX($AO$1005:$BQ$1005,1,MATCH(COLUMNS($AO$1006:AO1006),$AO$1006:$BQ$1006,0))&gt;=100000), " ",IF(INDEX($AO$2:$BQ$1001,MATCH(ROWS($AH$2:AH869),$AH$2:$AH$1001,0),MATCH(COLUMNS($AO$1006:AO1006),$AO$1006:$BQ$1006,0)), HYPERLINK("#",""), HYPERLINK(CONCATENATE("#Metadata!", ADDRESS(INDEX($AJ$2:$AJ$1001,MATCH(ROWS($AH$2:AH869),$AH$2:$AH$1001,0),0), INDEX($AO$1004:$BQ$1004,1,MATCH(COLUMNS($AO$1006:AO1006),$AO$1006:$BQ$1006,0)))),"Fix")))</f>
        <v>#N/A</v>
      </c>
      <c r="C869" s="5" t="e">
        <f ca="1">IF(OR(INDEX($AI$2:$AI$1001,MATCH(ROWS($AH$2:AH869),$AH$2:$AH$1001,0),1)&gt;=100000,INDEX($AO$1005:$BQ$1005,1,MATCH(COLUMNS($AO$1006:AP1006),$AO$1006:$BQ$1006,0))&gt;=100000), " ",IF(INDEX($AO$2:$BQ$1001,MATCH(ROWS($AH$2:AH869),$AH$2:$AH$1001,0),MATCH(COLUMNS($AO$1006:AP1006),$AO$1006:$BQ$1006,0)), HYPERLINK("#",""), HYPERLINK(CONCATENATE("#Metadata!", ADDRESS(INDEX($AJ$2:$AJ$1001,MATCH(ROWS($AH$2:AH869),$AH$2:$AH$1001,0),0), INDEX($AO$1004:$BQ$1004,1,MATCH(COLUMNS($AO$1006:AP1006),$AO$1006:$BQ$1006,0)))),"Fix")))</f>
        <v>#N/A</v>
      </c>
      <c r="D869" s="5" t="e">
        <f ca="1">IF(OR(INDEX($AI$2:$AI$1001,MATCH(ROWS($AH$2:AH869),$AH$2:$AH$1001,0),1)&gt;=100000,INDEX($AO$1005:$BQ$1005,1,MATCH(COLUMNS($AO$1006:AQ1006),$AO$1006:$BQ$1006,0))&gt;=100000), " ",IF(INDEX($AO$2:$BQ$1001,MATCH(ROWS($AH$2:AH869),$AH$2:$AH$1001,0),MATCH(COLUMNS($AO$1006:AQ1006),$AO$1006:$BQ$1006,0)), HYPERLINK("#",""), HYPERLINK(CONCATENATE("#Metadata!", ADDRESS(INDEX($AJ$2:$AJ$1001,MATCH(ROWS($AH$2:AH869),$AH$2:$AH$1001,0),0), INDEX($AO$1004:$BQ$1004,1,MATCH(COLUMNS($AO$1006:AQ1006),$AO$1006:$BQ$1006,0)))),"Fix")))</f>
        <v>#N/A</v>
      </c>
      <c r="E869" s="5" t="e">
        <f ca="1">IF(OR(INDEX($AI$2:$AI$1001,MATCH(ROWS($AH$2:AH869),$AH$2:$AH$1001,0),1)&gt;=100000,INDEX($AO$1005:$BQ$1005,1,MATCH(COLUMNS($AO$1006:AR1006),$AO$1006:$BQ$1006,0))&gt;=100000), " ",IF(INDEX($AO$2:$BQ$1001,MATCH(ROWS($AH$2:AH869),$AH$2:$AH$1001,0),MATCH(COLUMNS($AO$1006:AR1006),$AO$1006:$BQ$1006,0)), HYPERLINK("#",""), HYPERLINK(CONCATENATE("#Metadata!", ADDRESS(INDEX($AJ$2:$AJ$1001,MATCH(ROWS($AH$2:AH869),$AH$2:$AH$1001,0),0), INDEX($AO$1004:$BQ$1004,1,MATCH(COLUMNS($AO$1006:AR1006),$AO$1006:$BQ$1006,0)))),"Fix")))</f>
        <v>#N/A</v>
      </c>
      <c r="F869" s="5" t="e">
        <f ca="1">IF(OR(INDEX($AI$2:$AI$1001,MATCH(ROWS($AH$2:AH869),$AH$2:$AH$1001,0),1)&gt;=100000,INDEX($AO$1005:$BQ$1005,1,MATCH(COLUMNS($AO$1006:AS1006),$AO$1006:$BQ$1006,0))&gt;=100000), " ",IF(INDEX($AO$2:$BQ$1001,MATCH(ROWS($AH$2:AH869),$AH$2:$AH$1001,0),MATCH(COLUMNS($AO$1006:AS1006),$AO$1006:$BQ$1006,0)), HYPERLINK("#",""), HYPERLINK(CONCATENATE("#Metadata!", ADDRESS(INDEX($AJ$2:$AJ$1001,MATCH(ROWS($AH$2:AH869),$AH$2:$AH$1001,0),0), INDEX($AO$1004:$BQ$1004,1,MATCH(COLUMNS($AO$1006:AS1006),$AO$1006:$BQ$1006,0)))),"Fix")))</f>
        <v>#N/A</v>
      </c>
      <c r="G869" s="5" t="e">
        <f ca="1">IF(OR(INDEX($AI$2:$AI$1001,MATCH(ROWS($AH$2:AH869),$AH$2:$AH$1001,0),1)&gt;=100000,INDEX($AO$1005:$BQ$1005,1,MATCH(COLUMNS($AO$1006:AT1006),$AO$1006:$BQ$1006,0))&gt;=100000), " ",IF(INDEX($AO$2:$BQ$1001,MATCH(ROWS($AH$2:AH869),$AH$2:$AH$1001,0),MATCH(COLUMNS($AO$1006:AT1006),$AO$1006:$BQ$1006,0)), HYPERLINK("#",""), HYPERLINK(CONCATENATE("#Metadata!", ADDRESS(INDEX($AJ$2:$AJ$1001,MATCH(ROWS($AH$2:AH869),$AH$2:$AH$1001,0),0), INDEX($AO$1004:$BQ$1004,1,MATCH(COLUMNS($AO$1006:AT1006),$AO$1006:$BQ$1006,0)))),"Fix")))</f>
        <v>#N/A</v>
      </c>
      <c r="H869" s="5" t="e">
        <f ca="1">IF(OR(INDEX($AI$2:$AI$1001,MATCH(ROWS($AH$2:AH869),$AH$2:$AH$1001,0),1)&gt;=100000,INDEX($AO$1005:$BQ$1005,1,MATCH(COLUMNS($AO$1006:AU1006),$AO$1006:$BQ$1006,0))&gt;=100000), " ",IF(INDEX($AO$2:$BQ$1001,MATCH(ROWS($AH$2:AH869),$AH$2:$AH$1001,0),MATCH(COLUMNS($AO$1006:AU1006),$AO$1006:$BQ$1006,0)), HYPERLINK("#",""), HYPERLINK(CONCATENATE("#Metadata!", ADDRESS(INDEX($AJ$2:$AJ$1001,MATCH(ROWS($AH$2:AH869),$AH$2:$AH$1001,0),0), INDEX($AO$1004:$BQ$1004,1,MATCH(COLUMNS($AO$1006:AU1006),$AO$1006:$BQ$1006,0)))),"Fix")))</f>
        <v>#N/A</v>
      </c>
      <c r="I869" s="5" t="e">
        <f ca="1">IF(OR(INDEX($AI$2:$AI$1001,MATCH(ROWS($AH$2:AH869),$AH$2:$AH$1001,0),1)&gt;=100000,INDEX($AO$1005:$BQ$1005,1,MATCH(COLUMNS($AO$1006:AV1006),$AO$1006:$BQ$1006,0))&gt;=100000), " ",IF(INDEX($AO$2:$BQ$1001,MATCH(ROWS($AH$2:AH869),$AH$2:$AH$1001,0),MATCH(COLUMNS($AO$1006:AV1006),$AO$1006:$BQ$1006,0)), HYPERLINK("#",""), HYPERLINK(CONCATENATE("#Metadata!", ADDRESS(INDEX($AJ$2:$AJ$1001,MATCH(ROWS($AH$2:AH869),$AH$2:$AH$1001,0),0), INDEX($AO$1004:$BQ$1004,1,MATCH(COLUMNS($AO$1006:AV1006),$AO$1006:$BQ$1006,0)))),"Fix")))</f>
        <v>#N/A</v>
      </c>
      <c r="J869" s="5" t="e">
        <f ca="1">IF(OR(INDEX($AI$2:$AI$1001,MATCH(ROWS($AH$2:AH869),$AH$2:$AH$1001,0),1)&gt;=100000,INDEX($AO$1005:$BQ$1005,1,MATCH(COLUMNS($AO$1006:AW1006),$AO$1006:$BQ$1006,0))&gt;=100000), " ",IF(INDEX($AO$2:$BQ$1001,MATCH(ROWS($AH$2:AH869),$AH$2:$AH$1001,0),MATCH(COLUMNS($AO$1006:AW1006),$AO$1006:$BQ$1006,0)), HYPERLINK("#",""), HYPERLINK(CONCATENATE("#Metadata!", ADDRESS(INDEX($AJ$2:$AJ$1001,MATCH(ROWS($AH$2:AH869),$AH$2:$AH$1001,0),0), INDEX($AO$1004:$BQ$1004,1,MATCH(COLUMNS($AO$1006:AW1006),$AO$1006:$BQ$1006,0)))),"Fix")))</f>
        <v>#N/A</v>
      </c>
      <c r="K869" s="5" t="e">
        <f ca="1">IF(OR(INDEX($AI$2:$AI$1001,MATCH(ROWS($AH$2:AH869),$AH$2:$AH$1001,0),1)&gt;=100000,INDEX($AO$1005:$BQ$1005,1,MATCH(COLUMNS($AO$1006:AX1006),$AO$1006:$BQ$1006,0))&gt;=100000), " ",IF(INDEX($AO$2:$BQ$1001,MATCH(ROWS($AH$2:AH869),$AH$2:$AH$1001,0),MATCH(COLUMNS($AO$1006:AX1006),$AO$1006:$BQ$1006,0)), HYPERLINK("#",""), HYPERLINK(CONCATENATE("#Metadata!", ADDRESS(INDEX($AJ$2:$AJ$1001,MATCH(ROWS($AH$2:AH869),$AH$2:$AH$1001,0),0), INDEX($AO$1004:$BQ$1004,1,MATCH(COLUMNS($AO$1006:AX1006),$AO$1006:$BQ$1006,0)))),"Fix")))</f>
        <v>#N/A</v>
      </c>
      <c r="L869" s="5" t="e">
        <f ca="1">IF(OR(INDEX($AI$2:$AI$1001,MATCH(ROWS($AH$2:AH869),$AH$2:$AH$1001,0),1)&gt;=100000,INDEX($AO$1005:$BQ$1005,1,MATCH(COLUMNS($AO$1006:AY1006),$AO$1006:$BQ$1006,0))&gt;=100000), " ",IF(INDEX($AO$2:$BQ$1001,MATCH(ROWS($AH$2:AH869),$AH$2:$AH$1001,0),MATCH(COLUMNS($AO$1006:AY1006),$AO$1006:$BQ$1006,0)), HYPERLINK("#",""), HYPERLINK(CONCATENATE("#Metadata!", ADDRESS(INDEX($AJ$2:$AJ$1001,MATCH(ROWS($AH$2:AH869),$AH$2:$AH$1001,0),0), INDEX($AO$1004:$BQ$1004,1,MATCH(COLUMNS($AO$1006:AY1006),$AO$1006:$BQ$1006,0)))),"Fix")))</f>
        <v>#N/A</v>
      </c>
      <c r="M869" s="5" t="e">
        <f ca="1">IF(OR(INDEX($AI$2:$AI$1001,MATCH(ROWS($AH$2:AH869),$AH$2:$AH$1001,0),1)&gt;=100000,INDEX($AO$1005:$BQ$1005,1,MATCH(COLUMNS($AO$1006:AZ1006),$AO$1006:$BQ$1006,0))&gt;=100000), " ",IF(INDEX($AO$2:$BQ$1001,MATCH(ROWS($AH$2:AH869),$AH$2:$AH$1001,0),MATCH(COLUMNS($AO$1006:AZ1006),$AO$1006:$BQ$1006,0)), HYPERLINK("#",""), HYPERLINK(CONCATENATE("#Metadata!", ADDRESS(INDEX($AJ$2:$AJ$1001,MATCH(ROWS($AH$2:AH869),$AH$2:$AH$1001,0),0), INDEX($AO$1004:$BQ$1004,1,MATCH(COLUMNS($AO$1006:AZ1006),$AO$1006:$BQ$1006,0)))),"Fix")))</f>
        <v>#N/A</v>
      </c>
      <c r="N869" s="5" t="e">
        <f ca="1">IF(OR(INDEX($AI$2:$AI$1001,MATCH(ROWS($AH$2:AH869),$AH$2:$AH$1001,0),1)&gt;=100000,INDEX($AO$1005:$BQ$1005,1,MATCH(COLUMNS($AO$1006:BA1006),$AO$1006:$BQ$1006,0))&gt;=100000), " ",IF(INDEX($AO$2:$BQ$1001,MATCH(ROWS($AH$2:AH869),$AH$2:$AH$1001,0),MATCH(COLUMNS($AO$1006:BA1006),$AO$1006:$BQ$1006,0)), HYPERLINK("#",""), HYPERLINK(CONCATENATE("#Metadata!", ADDRESS(INDEX($AJ$2:$AJ$1001,MATCH(ROWS($AH$2:AH869),$AH$2:$AH$1001,0),0), INDEX($AO$1004:$BQ$1004,1,MATCH(COLUMNS($AO$1006:BA1006),$AO$1006:$BQ$1006,0)))),"Fix")))</f>
        <v>#N/A</v>
      </c>
      <c r="O869" s="5" t="e">
        <f ca="1">IF(OR(INDEX($AI$2:$AI$1001,MATCH(ROWS($AH$2:AH869),$AH$2:$AH$1001,0),1)&gt;=100000,INDEX($AO$1005:$BQ$1005,1,MATCH(COLUMNS($AO$1006:BB1006),$AO$1006:$BQ$1006,0))&gt;=100000), " ",IF(INDEX($AO$2:$BQ$1001,MATCH(ROWS($AH$2:AH869),$AH$2:$AH$1001,0),MATCH(COLUMNS($AO$1006:BB1006),$AO$1006:$BQ$1006,0)), HYPERLINK("#",""), HYPERLINK(CONCATENATE("#Metadata!", ADDRESS(INDEX($AJ$2:$AJ$1001,MATCH(ROWS($AH$2:AH869),$AH$2:$AH$1001,0),0), INDEX($AO$1004:$BQ$1004,1,MATCH(COLUMNS($AO$1006:BB1006),$AO$1006:$BQ$1006,0)))),"Fix")))</f>
        <v>#N/A</v>
      </c>
      <c r="P869" s="5" t="e">
        <f ca="1">IF(OR(INDEX($AI$2:$AI$1001,MATCH(ROWS($AH$2:AH869),$AH$2:$AH$1001,0),1)&gt;=100000,INDEX($AO$1005:$BQ$1005,1,MATCH(COLUMNS($AO$1006:BC1006),$AO$1006:$BQ$1006,0))&gt;=100000), " ",IF(INDEX($AO$2:$BQ$1001,MATCH(ROWS($AH$2:AH869),$AH$2:$AH$1001,0),MATCH(COLUMNS($AO$1006:BC1006),$AO$1006:$BQ$1006,0)), HYPERLINK("#",""), HYPERLINK(CONCATENATE("#Metadata!", ADDRESS(INDEX($AJ$2:$AJ$1001,MATCH(ROWS($AH$2:AH869),$AH$2:$AH$1001,0),0), INDEX($AO$1004:$BQ$1004,1,MATCH(COLUMNS($AO$1006:BC1006),$AO$1006:$BQ$1006,0)))),"Fix")))</f>
        <v>#N/A</v>
      </c>
      <c r="Q869" s="5" t="e">
        <f ca="1">IF(OR(INDEX($AI$2:$AI$1001,MATCH(ROWS($AH$2:AH869),$AH$2:$AH$1001,0),1)&gt;=100000,INDEX($AO$1005:$BQ$1005,1,MATCH(COLUMNS($AO$1006:BD1006),$AO$1006:$BQ$1006,0))&gt;=100000), " ",IF(INDEX($AO$2:$BQ$1001,MATCH(ROWS($AH$2:AH869),$AH$2:$AH$1001,0),MATCH(COLUMNS($AO$1006:BD1006),$AO$1006:$BQ$1006,0)), HYPERLINK("#",""), HYPERLINK(CONCATENATE("#Metadata!", ADDRESS(INDEX($AJ$2:$AJ$1001,MATCH(ROWS($AH$2:AH869),$AH$2:$AH$1001,0),0), INDEX($AO$1004:$BQ$1004,1,MATCH(COLUMNS($AO$1006:BD1006),$AO$1006:$BQ$1006,0)))),"Fix")))</f>
        <v>#N/A</v>
      </c>
      <c r="R869" s="5" t="e">
        <f ca="1">IF(OR(INDEX($AI$2:$AI$1001,MATCH(ROWS($AH$2:AH869),$AH$2:$AH$1001,0),1)&gt;=100000,INDEX($AO$1005:$BQ$1005,1,MATCH(COLUMNS($AO$1006:BE1006),$AO$1006:$BQ$1006,0))&gt;=100000), " ",IF(INDEX($AO$2:$BQ$1001,MATCH(ROWS($AH$2:AH869),$AH$2:$AH$1001,0),MATCH(COLUMNS($AO$1006:BE1006),$AO$1006:$BQ$1006,0)), HYPERLINK("#",""), HYPERLINK(CONCATENATE("#Metadata!", ADDRESS(INDEX($AJ$2:$AJ$1001,MATCH(ROWS($AH$2:AH869),$AH$2:$AH$1001,0),0), INDEX($AO$1004:$BQ$1004,1,MATCH(COLUMNS($AO$1006:BE1006),$AO$1006:$BQ$1006,0)))),"Fix")))</f>
        <v>#N/A</v>
      </c>
      <c r="S869" s="5" t="e">
        <f ca="1">IF(OR(INDEX($AI$2:$AI$1001,MATCH(ROWS($AH$2:AH869),$AH$2:$AH$1001,0),1)&gt;=100000,INDEX($AO$1005:$BQ$1005,1,MATCH(COLUMNS($AO$1006:BF1006),$AO$1006:$BQ$1006,0))&gt;=100000), " ",IF(INDEX($AO$2:$BQ$1001,MATCH(ROWS($AH$2:AH869),$AH$2:$AH$1001,0),MATCH(COLUMNS($AO$1006:BF1006),$AO$1006:$BQ$1006,0)), HYPERLINK("#",""), HYPERLINK(CONCATENATE("#Metadata!", ADDRESS(INDEX($AJ$2:$AJ$1001,MATCH(ROWS($AH$2:AH869),$AH$2:$AH$1001,0),0), INDEX($AO$1004:$BQ$1004,1,MATCH(COLUMNS($AO$1006:BF1006),$AO$1006:$BQ$1006,0)))),"Fix")))</f>
        <v>#N/A</v>
      </c>
      <c r="T869" s="5" t="e">
        <f ca="1">IF(OR(INDEX($AI$2:$AI$1001,MATCH(ROWS($AH$2:AH869),$AH$2:$AH$1001,0),1)&gt;=100000,INDEX($AO$1005:$BQ$1005,1,MATCH(COLUMNS($AO$1006:BG1006),$AO$1006:$BQ$1006,0))&gt;=100000), " ",IF(INDEX($AO$2:$BQ$1001,MATCH(ROWS($AH$2:AH869),$AH$2:$AH$1001,0),MATCH(COLUMNS($AO$1006:BG1006),$AO$1006:$BQ$1006,0)), HYPERLINK("#",""), HYPERLINK(CONCATENATE("#Metadata!", ADDRESS(INDEX($AJ$2:$AJ$1001,MATCH(ROWS($AH$2:AH869),$AH$2:$AH$1001,0),0), INDEX($AO$1004:$BQ$1004,1,MATCH(COLUMNS($AO$1006:BG1006),$AO$1006:$BQ$1006,0)))),"Fix")))</f>
        <v>#N/A</v>
      </c>
      <c r="U869" s="5" t="e">
        <f ca="1">IF(OR(INDEX($AI$2:$AI$1001,MATCH(ROWS($AH$2:AH869),$AH$2:$AH$1001,0),1)&gt;=100000,INDEX($AO$1005:$BQ$1005,1,MATCH(COLUMNS($AO$1006:BH1006),$AO$1006:$BQ$1006,0))&gt;=100000), " ",IF(INDEX($AO$2:$BQ$1001,MATCH(ROWS($AH$2:AH869),$AH$2:$AH$1001,0),MATCH(COLUMNS($AO$1006:BH1006),$AO$1006:$BQ$1006,0)), HYPERLINK("#",""), HYPERLINK(CONCATENATE("#Metadata!", ADDRESS(INDEX($AJ$2:$AJ$1001,MATCH(ROWS($AH$2:AH869),$AH$2:$AH$1001,0),0), INDEX($AO$1004:$BQ$1004,1,MATCH(COLUMNS($AO$1006:BH1006),$AO$1006:$BQ$1006,0)))),"Fix")))</f>
        <v>#N/A</v>
      </c>
      <c r="V869" s="5" t="e">
        <f ca="1">IF(OR(INDEX($AI$2:$AI$1001,MATCH(ROWS($AH$2:AH869),$AH$2:$AH$1001,0),1)&gt;=100000,INDEX($AO$1005:$BQ$1005,1,MATCH(COLUMNS($AO$1006:BI1006),$AO$1006:$BQ$1006,0))&gt;=100000), " ",IF(INDEX($AO$2:$BQ$1001,MATCH(ROWS($AH$2:AH869),$AH$2:$AH$1001,0),MATCH(COLUMNS($AO$1006:BI1006),$AO$1006:$BQ$1006,0)), HYPERLINK("#",""), HYPERLINK(CONCATENATE("#Metadata!", ADDRESS(INDEX($AJ$2:$AJ$1001,MATCH(ROWS($AH$2:AH869),$AH$2:$AH$1001,0),0), INDEX($AO$1004:$BQ$1004,1,MATCH(COLUMNS($AO$1006:BI1006),$AO$1006:$BQ$1006,0)))),"Fix")))</f>
        <v>#N/A</v>
      </c>
      <c r="W869" s="5" t="e">
        <f ca="1">IF(OR(INDEX($AI$2:$AI$1001,MATCH(ROWS($AH$2:AH869),$AH$2:$AH$1001,0),1)&gt;=100000,INDEX($AO$1005:$BQ$1005,1,MATCH(COLUMNS($AO$1006:BJ1006),$AO$1006:$BQ$1006,0))&gt;=100000), " ",IF(INDEX($AO$2:$BQ$1001,MATCH(ROWS($AH$2:AH869),$AH$2:$AH$1001,0),MATCH(COLUMNS($AO$1006:BJ1006),$AO$1006:$BQ$1006,0)), HYPERLINK("#",""), HYPERLINK(CONCATENATE("#Metadata!", ADDRESS(INDEX($AJ$2:$AJ$1001,MATCH(ROWS($AH$2:AH869),$AH$2:$AH$1001,0),0), INDEX($AO$1004:$BQ$1004,1,MATCH(COLUMNS($AO$1006:BJ1006),$AO$1006:$BQ$1006,0)))),"Fix")))</f>
        <v>#N/A</v>
      </c>
      <c r="X869" s="5" t="e">
        <f ca="1">IF(OR(INDEX($AI$2:$AI$1001,MATCH(ROWS($AH$2:AH869),$AH$2:$AH$1001,0),1)&gt;=100000,INDEX($AO$1005:$BQ$1005,1,MATCH(COLUMNS($AO$1006:BK1006),$AO$1006:$BQ$1006,0))&gt;=100000), " ",IF(INDEX($AO$2:$BQ$1001,MATCH(ROWS($AH$2:AH869),$AH$2:$AH$1001,0),MATCH(COLUMNS($AO$1006:BK1006),$AO$1006:$BQ$1006,0)), HYPERLINK("#",""), HYPERLINK(CONCATENATE("#Metadata!", ADDRESS(INDEX($AJ$2:$AJ$1001,MATCH(ROWS($AH$2:AH869),$AH$2:$AH$1001,0),0), INDEX($AO$1004:$BQ$1004,1,MATCH(COLUMNS($AO$1006:BK1006),$AO$1006:$BQ$1006,0)))),"Fix")))</f>
        <v>#N/A</v>
      </c>
      <c r="Y869" s="5" t="e">
        <f ca="1">IF(OR(INDEX($AI$2:$AI$1001,MATCH(ROWS($AH$2:AH869),$AH$2:$AH$1001,0),1)&gt;=100000,INDEX($AO$1005:$BQ$1005,1,MATCH(COLUMNS($AO$1006:BL1006),$AO$1006:$BQ$1006,0))&gt;=100000), " ",IF(INDEX($AO$2:$BQ$1001,MATCH(ROWS($AH$2:AH869),$AH$2:$AH$1001,0),MATCH(COLUMNS($AO$1006:BL1006),$AO$1006:$BQ$1006,0)), HYPERLINK("#",""), HYPERLINK(CONCATENATE("#Metadata!", ADDRESS(INDEX($AJ$2:$AJ$1001,MATCH(ROWS($AH$2:AH869),$AH$2:$AH$1001,0),0), INDEX($AO$1004:$BQ$1004,1,MATCH(COLUMNS($AO$1006:BL1006),$AO$1006:$BQ$1006,0)))),"Fix")))</f>
        <v>#N/A</v>
      </c>
      <c r="Z869" s="5" t="e">
        <f ca="1">IF(OR(INDEX($AI$2:$AI$1001,MATCH(ROWS($AH$2:AH869),$AH$2:$AH$1001,0),1)&gt;=100000,INDEX($AO$1005:$BQ$1005,1,MATCH(COLUMNS($AO$1006:BM1006),$AO$1006:$BQ$1006,0))&gt;=100000), " ",IF(INDEX($AO$2:$BQ$1001,MATCH(ROWS($AH$2:AH869),$AH$2:$AH$1001,0),MATCH(COLUMNS($AO$1006:BM1006),$AO$1006:$BQ$1006,0)), HYPERLINK("#",""), HYPERLINK(CONCATENATE("#Metadata!", ADDRESS(INDEX($AJ$2:$AJ$1001,MATCH(ROWS($AH$2:AH869),$AH$2:$AH$1001,0),0), INDEX($AO$1004:$BQ$1004,1,MATCH(COLUMNS($AO$1006:BM1006),$AO$1006:$BQ$1006,0)))),"Fix")))</f>
        <v>#N/A</v>
      </c>
      <c r="AA869" s="5" t="e">
        <f ca="1">IF(OR(INDEX($AI$2:$AI$1001,MATCH(ROWS($AH$2:AH869),$AH$2:$AH$1001,0),1)&gt;=100000,INDEX($AO$1005:$BQ$1005,1,MATCH(COLUMNS($AO$1006:BN1006),$AO$1006:$BQ$1006,0))&gt;=100000), " ",IF(INDEX($AO$2:$BQ$1001,MATCH(ROWS($AH$2:AH869),$AH$2:$AH$1001,0),MATCH(COLUMNS($AO$1006:BN1006),$AO$1006:$BQ$1006,0)), HYPERLINK("#",""), HYPERLINK(CONCATENATE("#Metadata!", ADDRESS(INDEX($AJ$2:$AJ$1001,MATCH(ROWS($AH$2:AH869),$AH$2:$AH$1001,0),0), INDEX($AO$1004:$BQ$1004,1,MATCH(COLUMNS($AO$1006:BN1006),$AO$1006:$BQ$1006,0)))),"Fix")))</f>
        <v>#N/A</v>
      </c>
      <c r="AB869" s="5" t="e">
        <f ca="1">IF(OR(INDEX($AI$2:$AI$1001,MATCH(ROWS($AH$2:AH869),$AH$2:$AH$1001,0),1)&gt;=100000,INDEX($AO$1005:$BQ$1005,1,MATCH(COLUMNS($AO$1006:BO1006),$AO$1006:$BQ$1006,0))&gt;=100000), " ",IF(INDEX($AO$2:$BQ$1001,MATCH(ROWS($AH$2:AH869),$AH$2:$AH$1001,0),MATCH(COLUMNS($AO$1006:BO1006),$AO$1006:$BQ$1006,0)), HYPERLINK("#",""), HYPERLINK(CONCATENATE("#Metadata!", ADDRESS(INDEX($AJ$2:$AJ$1001,MATCH(ROWS($AH$2:AH869),$AH$2:$AH$1001,0),0), INDEX($AO$1004:$BQ$1004,1,MATCH(COLUMNS($AO$1006:BO1006),$AO$1006:$BQ$1006,0)))),"Fix")))</f>
        <v>#N/A</v>
      </c>
      <c r="AC869" s="5" t="e">
        <f ca="1">IF(OR(INDEX($AI$2:$AI$1001,MATCH(ROWS($AH$2:AH869),$AH$2:$AH$1001,0),1)&gt;=100000,INDEX($AO$1005:$BQ$1005,1,MATCH(COLUMNS($AO$1006:BP1006),$AO$1006:$BQ$1006,0))&gt;=100000), " ",IF(INDEX($AO$2:$BQ$1001,MATCH(ROWS($AH$2:AH869),$AH$2:$AH$1001,0),MATCH(COLUMNS($AO$1006:BP1006),$AO$1006:$BQ$1006,0)), HYPERLINK("#",""), HYPERLINK(CONCATENATE("#Metadata!", ADDRESS(INDEX($AJ$2:$AJ$1001,MATCH(ROWS($AH$2:AH869),$AH$2:$AH$1001,0),0), INDEX($AO$1004:$BQ$1004,1,MATCH(COLUMNS($AO$1006:BP1006),$AO$1006:$BQ$1006,0)))),"Fix")))</f>
        <v>#N/A</v>
      </c>
      <c r="AD869" s="5" t="e">
        <f ca="1">IF(OR(INDEX($AI$2:$AI$1001,MATCH(ROWS($AH$2:AH869),$AH$2:$AH$1001,0),1)&gt;=100000,INDEX($AO$1005:$BQ$1005,1,MATCH(COLUMNS($AO$1006:BQ1006),$AO$1006:$BQ$1006,0))&gt;=100000), " ",IF(INDEX($AO$2:$BQ$1001,MATCH(ROWS($AH$2:AH869),$AH$2:$AH$1001,0),MATCH(COLUMNS($AO$1006:BQ1006),$AO$1006:$BQ$1006,0)), HYPERLINK("#",""), HYPERLINK(CONCATENATE("#Metadata!", ADDRESS(INDEX($AJ$2:$AJ$1001,MATCH(ROWS($AH$2:AH869),$AH$2:$AH$1001,0),0), INDEX($AO$1004:$BQ$1004,1,MATCH(COLUMNS($AO$1006:BQ1006),$AO$1006:$BQ$1006,0)))),"Fix")))</f>
        <v>#REF!</v>
      </c>
      <c r="AH869">
        <f ca="1"/>
        <v>866</v>
      </c>
      <c r="AI869">
        <v>100869</v>
      </c>
      <c r="AJ869">
        <v>869</v>
      </c>
      <c r="AK869" t="b">
        <f t="shared" si="13"/>
        <v>1</v>
      </c>
      <c r="AL869" t="b">
        <f>COUNTBLANK(Metadata!B869:AD869)=COLUMNS(Metadata!B869:AD869)</f>
        <v>1</v>
      </c>
      <c r="AM869" t="str">
        <v/>
      </c>
      <c r="AO869" t="b">
        <f ca="1">AND(IF(Metadata!B869="",FALSE,TRUE),COUNTIF(Metadata!B:B, Metadata!B869) = 1,NOT(ISERROR(SUMPRODUCT(SEARCH(MID(Metadata!B869,ROW(INDIRECT("1:"&amp;LEN(Metadata!B869))), 1),"0123456789abcdefghijklmnopqrstuvwxyzABCDEFGHIJKLMNOPQRSTUVWXYZ.")))))</f>
        <v>0</v>
      </c>
      <c r="AP869" t="b">
        <f>IF(Metadata!C869="",FALSE,TRUE)</f>
        <v>0</v>
      </c>
      <c r="AQ869" t="b">
        <f>IF(Metadata!D869="",FALSE,TRUE)</f>
        <v>0</v>
      </c>
      <c r="AR869" t="b">
        <f ca="1">OR(AND(IF(Metadata!E869="",FALSE,TRUE),OR(EXACT(Metadata!E869,"not collected"),EXACT(Metadata!E869,"not provided"),EXACT(Metadata!E869,"restricted access"))),AND(IF(Metadata!E869="",FALSE,TRUE),AND(AND(IFERROR(INT(LEFT(Metadata!E869,4))&gt;1900,FALSE),IFERROR(INT(LEFT(Metadata!E869,4))&lt;=YEAR(NOW()),FALSE)), OR(MID(Metadata!E869,5,1)="", AND(AND(MID(Metadata!E869,5,1)="-",IFERROR(INT(MID(Metadata!E869,6,1))&gt;=0,FALSE),IFERROR(INT(MID(Metadata!E869,6,1))&lt;=1,FALSE),NOT(MID(Metadata!E869,7,1)=""),IFERROR(INT(MID(Metadata!E869,6,2))&gt;=1,FALSE),IFERROR(INT(MID(Metadata!E869,6,2))&lt;=12,FALSE)), OR(MID(Metadata!E869,8,1)="", AND(AND(MID(Metadata!E869,8,1)="-",IFERROR(INT(MID(Metadata!E869,9,1))&gt;=0,FALSE),IFERROR(INT(MID(Metadata!E869,9,1))&lt;=3,FALSE),NOT(MID(Metadata!E869,10,1)=""),IFERROR(INT(MID(Metadata!E869,9,2))&gt;=1,FALSE),IFERROR(INT(MID(Metadata!E869,9,2))&lt;=31,FALSE)), OR(MID(Metadata!E869,11,1)="", AND(AND(MID(Metadata!E869,11,1)=" ",IFERROR(INT(MID(Metadata!E869,12,1))&gt;=0,FALSE),IFERROR(INT(MID(Metadata!E869,12,1))&lt;=2,FALSE),NOT(MID(Metadata!E869,13,1)=""),IFERROR(INT(MID(Metadata!E869,12,2))&gt;=0,FALSE),IFERROR(INT(MID(Metadata!E869,12,2))&lt;=23,FALSE)), OR(MID(Metadata!E869,14,1)="", AND(AND(MID(Metadata!E869,14,1)=":",IFERROR(INT(MID(Metadata!E869,15,1))&gt;=0,FALSE),IFERROR(INT(MID(Metadata!E869,15,1))&lt;=5,FALSE),NOT(MID(Metadata!E869,16,1)=""),IFERROR(INT(MID(Metadata!E869,15,2))&gt;=0,FALSE),IFERROR(INT(MID(Metadata!E869,15,2))&lt;=59,FALSE)), OR(MID(Metadata!E869,17,1)="", AND(AND(MID(Metadata!E869,17,1)=":",IFERROR(INT(MID(Metadata!E869,18,1))&gt;=0,FALSE),IFERROR(INT(MID(Metadata!E869,18,1))&lt;=5,FALSE),NOT(MID(Metadata!E869,19,1)=""),IFERROR(INT(MID(Metadata!E869,18,2))&gt;=0,FALSE),IFERROR(INT(MID(Metadata!E869,18,2))&lt;=59,FALSE)), LEN(Metadata!E869)&lt;=19)))))))))))))</f>
        <v>0</v>
      </c>
      <c r="AS869" t="b">
        <f>IF(Metadata!F869="",FALSE,TRUE)</f>
        <v>0</v>
      </c>
      <c r="AT869" t="b">
        <f>OR(AND(IF(Metadata!G869="",FALSE,TRUE),OR(EXACT(Metadata!G869,"not collected"),EXACT(Metadata!G869,"not provided"))),AND(IF(Metadata!G869="",FALSE,TRUE),OR(EXACT(Metadata!G869,"TRUE"),EXACT(Metadata!G869,"FALSE"))))</f>
        <v>0</v>
      </c>
      <c r="AU869" t="b">
        <f>OR(AND(IF(Metadata!H869="",FALSE,TRUE),OR(EXACT(Metadata!H869,"not collected"),EXACT(Metadata!H869,"not provided"),EXACT(Metadata!H869,"restricted access"))),AND(IF(Metadata!H869="",FALSE,ISNUMBER(VALUE(Metadata!H869))),Metadata!H869&gt;=-413))</f>
        <v>0</v>
      </c>
      <c r="AV869" t="b">
        <f>AND(IF(Metadata!I869="",FALSE,TRUE),EXACT(Metadata!I869,"meters"))</f>
        <v>0</v>
      </c>
      <c r="AW869" t="b">
        <f>AND(IF(Metadata!J869="",FALSE,TRUE),EXACT(Metadata!J869,"free-living"))</f>
        <v>0</v>
      </c>
      <c r="AX869" t="b">
        <f>AND(IF(Metadata!K869="",FALSE,TRUE),OR(EXACT(Metadata!K869,"saline"),EXACT(Metadata!K869,"non-saline")))</f>
        <v>0</v>
      </c>
      <c r="AY869" t="b">
        <f>AND(IF(Metadata!L869="",FALSE,TRUE),OR(EXACT(Metadata!L869,"sub-surface (non-saline)"),EXACT(Metadata!L869,"surface (non-saline)"),EXACT(Metadata!L869,"water (non-saline)"),EXACT(Metadata!L869,"soil (non-saline)"),EXACT(Metadata!L869,"aerosol (non-saline)"),EXACT(Metadata!L869,"sediment (non-saline)"),EXACT(Metadata!L869,"surface (saline)"),EXACT(Metadata!L869,"water (saline)"),EXACT(Metadata!L869,"hypersaline (saline)"),EXACT(Metadata!L869,"aerosol (saline)"),EXACT(Metadata!L869,"sediment (saline)")))</f>
        <v>0</v>
      </c>
      <c r="AZ869" t="b">
        <f>IF(Metadata!M869="",FALSE,TRUE)</f>
        <v>0</v>
      </c>
      <c r="BA869" t="b">
        <f>IF(Metadata!N869="",FALSE,TRUE)</f>
        <v>0</v>
      </c>
      <c r="BB869" t="b">
        <f>IF(Metadata!O869="",FALSE,TRUE)</f>
        <v>0</v>
      </c>
      <c r="BC869" t="b">
        <f>AND(IF(Metadata!P869="",FALSE,TRUE),OR(EXACT(Metadata!P869,"air"),EXACT(Metadata!P869,"microbial mat/biofilm"),EXACT(Metadata!P869,"misc environment"),EXACT(Metadata!P869,"sediment"),EXACT(Metadata!P869,"soil"),EXACT(Metadata!P869,"wastewater/sludge"),EXACT(Metadata!P869,"water")))</f>
        <v>0</v>
      </c>
      <c r="BD869" t="b">
        <f>IF(Metadata!Q869="",FALSE,TRUE)</f>
        <v>0</v>
      </c>
      <c r="BE869" t="b">
        <f>IF(Metadata!R869="",FALSE,TRUE)</f>
        <v>0</v>
      </c>
      <c r="BF869" t="b">
        <f>OR(AND(IF(Metadata!S869="",FALSE,TRUE),OR(EXACT(Metadata!S869,"not collected"),EXACT(Metadata!S869,"not provided"),EXACT(Metadata!S869,"restricted access"))),AND(IF(Metadata!S869="",FALSE,ISNUMBER(VALUE(Metadata!S869))),Metadata!S869&gt;=-90,Metadata!S869&lt;=90))</f>
        <v>0</v>
      </c>
      <c r="BG869" t="b">
        <f>AND(IF(Metadata!T869="",FALSE,TRUE),EXACT(Metadata!T869,"Decimal degrees"))</f>
        <v>0</v>
      </c>
      <c r="BH869" t="b">
        <f>OR(AND(IF(Metadata!U869="",FALSE,TRUE),OR(EXACT(Metadata!U869,"not applicable"),EXACT(Metadata!U869,"not collected"))),IF(Metadata!U869="",FALSE,TRUE))</f>
        <v>0</v>
      </c>
      <c r="BI869" t="b">
        <f>OR(AND(IF(Metadata!V869="",FALSE,TRUE),OR(EXACT(Metadata!V869,"not collected"),EXACT(Metadata!V869,"not provided"),EXACT(Metadata!V869,"restricted access"))),AND(IF(Metadata!V869="",FALSE,ISNUMBER(VALUE(Metadata!V869))),Metadata!V869&gt;=-180,Metadata!V869&lt;=180))</f>
        <v>0</v>
      </c>
      <c r="BJ869" t="b">
        <f>AND(IF(Metadata!W869="",FALSE,TRUE),EXACT(Metadata!W869,"Decimal degrees"))</f>
        <v>0</v>
      </c>
      <c r="BK869" t="b">
        <f>IF(Metadata!X869="",FALSE,TRUE)</f>
        <v>0</v>
      </c>
      <c r="BL869" t="b">
        <f>OR(AND(IF(Metadata!Y869="",FALSE,TRUE),OR(EXACT(Metadata!Y869,"not collected"),EXACT(Metadata!Y869,"not provided"),EXACT(Metadata!Y869,"restricted access"))),AND(IF(Metadata!Y869="",FALSE,TRUE),OR(EXACT(Metadata!Y869,"TRUE"),EXACT(Metadata!Y869,"FALSE"))))</f>
        <v>0</v>
      </c>
      <c r="BM869" t="b">
        <f>OR(AND(IF(Metadata!Z869="",FALSE,TRUE),EXACT(Metadata!Z869,"not applicable")),AND(IF(Metadata!Z869="",FALSE,TRUE),OR(EXACT(Metadata!Z869,"beer"),EXACT(Metadata!Z869,"cheese"),EXACT(Metadata!Z869,"fresh water"),EXACT(Metadata!Z869,"marine sediment"),EXACT(Metadata!Z869,"sea water"),EXACT(Metadata!Z869,"sediment"),EXACT(Metadata!Z869,"soil"),EXACT(Metadata!Z869,"waste water"))))</f>
        <v>0</v>
      </c>
      <c r="BN869" t="b">
        <f>AND(IF(Metadata!AA869="",FALSE,TRUE),EXACT(Metadata!AA869,"metagenome"))</f>
        <v>0</v>
      </c>
      <c r="BO869" t="b">
        <f>AND(IF(Metadata!AB869="",FALSE,TRUE),EXACT(Metadata!AB869,"256318"))</f>
        <v>0</v>
      </c>
      <c r="BP869" t="b">
        <f>IF(Metadata!AC869="",FALSE,TRUE)</f>
        <v>0</v>
      </c>
      <c r="BQ869" t="b">
        <f>IF(Metadata!AD869="",FALSE,TRUE)</f>
        <v>0</v>
      </c>
    </row>
    <row r="870" spans="1:69" x14ac:dyDescent="0.2">
      <c r="A870" s="4" t="e">
        <f ca="1">IF(B870=" "," ",HYPERLINK(CONCATENATE("#metadata!",ADDRESS(INDEX($AJ$2:$AJ$1001,MATCH(ROWS($AH$2:AH870),$AH$2:$AH$1001,0),0),2)),INDEX($AM$2:$AM$1001,MATCH(ROWS($AH$2:AH870),$AH$2:$AH$1001,0),0)))</f>
        <v>#N/A</v>
      </c>
      <c r="B870" s="5" t="e">
        <f ca="1">IF(OR(INDEX($AI$2:$AI$1001,MATCH(ROWS($AH$2:AH870),$AH$2:$AH$1001,0),1)&gt;=100000,INDEX($AO$1005:$BQ$1005,1,MATCH(COLUMNS($AO$1006:AO1006),$AO$1006:$BQ$1006,0))&gt;=100000), " ",IF(INDEX($AO$2:$BQ$1001,MATCH(ROWS($AH$2:AH870),$AH$2:$AH$1001,0),MATCH(COLUMNS($AO$1006:AO1006),$AO$1006:$BQ$1006,0)), HYPERLINK("#",""), HYPERLINK(CONCATENATE("#Metadata!", ADDRESS(INDEX($AJ$2:$AJ$1001,MATCH(ROWS($AH$2:AH870),$AH$2:$AH$1001,0),0), INDEX($AO$1004:$BQ$1004,1,MATCH(COLUMNS($AO$1006:AO1006),$AO$1006:$BQ$1006,0)))),"Fix")))</f>
        <v>#N/A</v>
      </c>
      <c r="C870" s="5" t="e">
        <f ca="1">IF(OR(INDEX($AI$2:$AI$1001,MATCH(ROWS($AH$2:AH870),$AH$2:$AH$1001,0),1)&gt;=100000,INDEX($AO$1005:$BQ$1005,1,MATCH(COLUMNS($AO$1006:AP1006),$AO$1006:$BQ$1006,0))&gt;=100000), " ",IF(INDEX($AO$2:$BQ$1001,MATCH(ROWS($AH$2:AH870),$AH$2:$AH$1001,0),MATCH(COLUMNS($AO$1006:AP1006),$AO$1006:$BQ$1006,0)), HYPERLINK("#",""), HYPERLINK(CONCATENATE("#Metadata!", ADDRESS(INDEX($AJ$2:$AJ$1001,MATCH(ROWS($AH$2:AH870),$AH$2:$AH$1001,0),0), INDEX($AO$1004:$BQ$1004,1,MATCH(COLUMNS($AO$1006:AP1006),$AO$1006:$BQ$1006,0)))),"Fix")))</f>
        <v>#N/A</v>
      </c>
      <c r="D870" s="5" t="e">
        <f ca="1">IF(OR(INDEX($AI$2:$AI$1001,MATCH(ROWS($AH$2:AH870),$AH$2:$AH$1001,0),1)&gt;=100000,INDEX($AO$1005:$BQ$1005,1,MATCH(COLUMNS($AO$1006:AQ1006),$AO$1006:$BQ$1006,0))&gt;=100000), " ",IF(INDEX($AO$2:$BQ$1001,MATCH(ROWS($AH$2:AH870),$AH$2:$AH$1001,0),MATCH(COLUMNS($AO$1006:AQ1006),$AO$1006:$BQ$1006,0)), HYPERLINK("#",""), HYPERLINK(CONCATENATE("#Metadata!", ADDRESS(INDEX($AJ$2:$AJ$1001,MATCH(ROWS($AH$2:AH870),$AH$2:$AH$1001,0),0), INDEX($AO$1004:$BQ$1004,1,MATCH(COLUMNS($AO$1006:AQ1006),$AO$1006:$BQ$1006,0)))),"Fix")))</f>
        <v>#N/A</v>
      </c>
      <c r="E870" s="5" t="e">
        <f ca="1">IF(OR(INDEX($AI$2:$AI$1001,MATCH(ROWS($AH$2:AH870),$AH$2:$AH$1001,0),1)&gt;=100000,INDEX($AO$1005:$BQ$1005,1,MATCH(COLUMNS($AO$1006:AR1006),$AO$1006:$BQ$1006,0))&gt;=100000), " ",IF(INDEX($AO$2:$BQ$1001,MATCH(ROWS($AH$2:AH870),$AH$2:$AH$1001,0),MATCH(COLUMNS($AO$1006:AR1006),$AO$1006:$BQ$1006,0)), HYPERLINK("#",""), HYPERLINK(CONCATENATE("#Metadata!", ADDRESS(INDEX($AJ$2:$AJ$1001,MATCH(ROWS($AH$2:AH870),$AH$2:$AH$1001,0),0), INDEX($AO$1004:$BQ$1004,1,MATCH(COLUMNS($AO$1006:AR1006),$AO$1006:$BQ$1006,0)))),"Fix")))</f>
        <v>#N/A</v>
      </c>
      <c r="F870" s="5" t="e">
        <f ca="1">IF(OR(INDEX($AI$2:$AI$1001,MATCH(ROWS($AH$2:AH870),$AH$2:$AH$1001,0),1)&gt;=100000,INDEX($AO$1005:$BQ$1005,1,MATCH(COLUMNS($AO$1006:AS1006),$AO$1006:$BQ$1006,0))&gt;=100000), " ",IF(INDEX($AO$2:$BQ$1001,MATCH(ROWS($AH$2:AH870),$AH$2:$AH$1001,0),MATCH(COLUMNS($AO$1006:AS1006),$AO$1006:$BQ$1006,0)), HYPERLINK("#",""), HYPERLINK(CONCATENATE("#Metadata!", ADDRESS(INDEX($AJ$2:$AJ$1001,MATCH(ROWS($AH$2:AH870),$AH$2:$AH$1001,0),0), INDEX($AO$1004:$BQ$1004,1,MATCH(COLUMNS($AO$1006:AS1006),$AO$1006:$BQ$1006,0)))),"Fix")))</f>
        <v>#N/A</v>
      </c>
      <c r="G870" s="5" t="e">
        <f ca="1">IF(OR(INDEX($AI$2:$AI$1001,MATCH(ROWS($AH$2:AH870),$AH$2:$AH$1001,0),1)&gt;=100000,INDEX($AO$1005:$BQ$1005,1,MATCH(COLUMNS($AO$1006:AT1006),$AO$1006:$BQ$1006,0))&gt;=100000), " ",IF(INDEX($AO$2:$BQ$1001,MATCH(ROWS($AH$2:AH870),$AH$2:$AH$1001,0),MATCH(COLUMNS($AO$1006:AT1006),$AO$1006:$BQ$1006,0)), HYPERLINK("#",""), HYPERLINK(CONCATENATE("#Metadata!", ADDRESS(INDEX($AJ$2:$AJ$1001,MATCH(ROWS($AH$2:AH870),$AH$2:$AH$1001,0),0), INDEX($AO$1004:$BQ$1004,1,MATCH(COLUMNS($AO$1006:AT1006),$AO$1006:$BQ$1006,0)))),"Fix")))</f>
        <v>#N/A</v>
      </c>
      <c r="H870" s="5" t="e">
        <f ca="1">IF(OR(INDEX($AI$2:$AI$1001,MATCH(ROWS($AH$2:AH870),$AH$2:$AH$1001,0),1)&gt;=100000,INDEX($AO$1005:$BQ$1005,1,MATCH(COLUMNS($AO$1006:AU1006),$AO$1006:$BQ$1006,0))&gt;=100000), " ",IF(INDEX($AO$2:$BQ$1001,MATCH(ROWS($AH$2:AH870),$AH$2:$AH$1001,0),MATCH(COLUMNS($AO$1006:AU1006),$AO$1006:$BQ$1006,0)), HYPERLINK("#",""), HYPERLINK(CONCATENATE("#Metadata!", ADDRESS(INDEX($AJ$2:$AJ$1001,MATCH(ROWS($AH$2:AH870),$AH$2:$AH$1001,0),0), INDEX($AO$1004:$BQ$1004,1,MATCH(COLUMNS($AO$1006:AU1006),$AO$1006:$BQ$1006,0)))),"Fix")))</f>
        <v>#N/A</v>
      </c>
      <c r="I870" s="5" t="e">
        <f ca="1">IF(OR(INDEX($AI$2:$AI$1001,MATCH(ROWS($AH$2:AH870),$AH$2:$AH$1001,0),1)&gt;=100000,INDEX($AO$1005:$BQ$1005,1,MATCH(COLUMNS($AO$1006:AV1006),$AO$1006:$BQ$1006,0))&gt;=100000), " ",IF(INDEX($AO$2:$BQ$1001,MATCH(ROWS($AH$2:AH870),$AH$2:$AH$1001,0),MATCH(COLUMNS($AO$1006:AV1006),$AO$1006:$BQ$1006,0)), HYPERLINK("#",""), HYPERLINK(CONCATENATE("#Metadata!", ADDRESS(INDEX($AJ$2:$AJ$1001,MATCH(ROWS($AH$2:AH870),$AH$2:$AH$1001,0),0), INDEX($AO$1004:$BQ$1004,1,MATCH(COLUMNS($AO$1006:AV1006),$AO$1006:$BQ$1006,0)))),"Fix")))</f>
        <v>#N/A</v>
      </c>
      <c r="J870" s="5" t="e">
        <f ca="1">IF(OR(INDEX($AI$2:$AI$1001,MATCH(ROWS($AH$2:AH870),$AH$2:$AH$1001,0),1)&gt;=100000,INDEX($AO$1005:$BQ$1005,1,MATCH(COLUMNS($AO$1006:AW1006),$AO$1006:$BQ$1006,0))&gt;=100000), " ",IF(INDEX($AO$2:$BQ$1001,MATCH(ROWS($AH$2:AH870),$AH$2:$AH$1001,0),MATCH(COLUMNS($AO$1006:AW1006),$AO$1006:$BQ$1006,0)), HYPERLINK("#",""), HYPERLINK(CONCATENATE("#Metadata!", ADDRESS(INDEX($AJ$2:$AJ$1001,MATCH(ROWS($AH$2:AH870),$AH$2:$AH$1001,0),0), INDEX($AO$1004:$BQ$1004,1,MATCH(COLUMNS($AO$1006:AW1006),$AO$1006:$BQ$1006,0)))),"Fix")))</f>
        <v>#N/A</v>
      </c>
      <c r="K870" s="5" t="e">
        <f ca="1">IF(OR(INDEX($AI$2:$AI$1001,MATCH(ROWS($AH$2:AH870),$AH$2:$AH$1001,0),1)&gt;=100000,INDEX($AO$1005:$BQ$1005,1,MATCH(COLUMNS($AO$1006:AX1006),$AO$1006:$BQ$1006,0))&gt;=100000), " ",IF(INDEX($AO$2:$BQ$1001,MATCH(ROWS($AH$2:AH870),$AH$2:$AH$1001,0),MATCH(COLUMNS($AO$1006:AX1006),$AO$1006:$BQ$1006,0)), HYPERLINK("#",""), HYPERLINK(CONCATENATE("#Metadata!", ADDRESS(INDEX($AJ$2:$AJ$1001,MATCH(ROWS($AH$2:AH870),$AH$2:$AH$1001,0),0), INDEX($AO$1004:$BQ$1004,1,MATCH(COLUMNS($AO$1006:AX1006),$AO$1006:$BQ$1006,0)))),"Fix")))</f>
        <v>#N/A</v>
      </c>
      <c r="L870" s="5" t="e">
        <f ca="1">IF(OR(INDEX($AI$2:$AI$1001,MATCH(ROWS($AH$2:AH870),$AH$2:$AH$1001,0),1)&gt;=100000,INDEX($AO$1005:$BQ$1005,1,MATCH(COLUMNS($AO$1006:AY1006),$AO$1006:$BQ$1006,0))&gt;=100000), " ",IF(INDEX($AO$2:$BQ$1001,MATCH(ROWS($AH$2:AH870),$AH$2:$AH$1001,0),MATCH(COLUMNS($AO$1006:AY1006),$AO$1006:$BQ$1006,0)), HYPERLINK("#",""), HYPERLINK(CONCATENATE("#Metadata!", ADDRESS(INDEX($AJ$2:$AJ$1001,MATCH(ROWS($AH$2:AH870),$AH$2:$AH$1001,0),0), INDEX($AO$1004:$BQ$1004,1,MATCH(COLUMNS($AO$1006:AY1006),$AO$1006:$BQ$1006,0)))),"Fix")))</f>
        <v>#N/A</v>
      </c>
      <c r="M870" s="5" t="e">
        <f ca="1">IF(OR(INDEX($AI$2:$AI$1001,MATCH(ROWS($AH$2:AH870),$AH$2:$AH$1001,0),1)&gt;=100000,INDEX($AO$1005:$BQ$1005,1,MATCH(COLUMNS($AO$1006:AZ1006),$AO$1006:$BQ$1006,0))&gt;=100000), " ",IF(INDEX($AO$2:$BQ$1001,MATCH(ROWS($AH$2:AH870),$AH$2:$AH$1001,0),MATCH(COLUMNS($AO$1006:AZ1006),$AO$1006:$BQ$1006,0)), HYPERLINK("#",""), HYPERLINK(CONCATENATE("#Metadata!", ADDRESS(INDEX($AJ$2:$AJ$1001,MATCH(ROWS($AH$2:AH870),$AH$2:$AH$1001,0),0), INDEX($AO$1004:$BQ$1004,1,MATCH(COLUMNS($AO$1006:AZ1006),$AO$1006:$BQ$1006,0)))),"Fix")))</f>
        <v>#N/A</v>
      </c>
      <c r="N870" s="5" t="e">
        <f ca="1">IF(OR(INDEX($AI$2:$AI$1001,MATCH(ROWS($AH$2:AH870),$AH$2:$AH$1001,0),1)&gt;=100000,INDEX($AO$1005:$BQ$1005,1,MATCH(COLUMNS($AO$1006:BA1006),$AO$1006:$BQ$1006,0))&gt;=100000), " ",IF(INDEX($AO$2:$BQ$1001,MATCH(ROWS($AH$2:AH870),$AH$2:$AH$1001,0),MATCH(COLUMNS($AO$1006:BA1006),$AO$1006:$BQ$1006,0)), HYPERLINK("#",""), HYPERLINK(CONCATENATE("#Metadata!", ADDRESS(INDEX($AJ$2:$AJ$1001,MATCH(ROWS($AH$2:AH870),$AH$2:$AH$1001,0),0), INDEX($AO$1004:$BQ$1004,1,MATCH(COLUMNS($AO$1006:BA1006),$AO$1006:$BQ$1006,0)))),"Fix")))</f>
        <v>#N/A</v>
      </c>
      <c r="O870" s="5" t="e">
        <f ca="1">IF(OR(INDEX($AI$2:$AI$1001,MATCH(ROWS($AH$2:AH870),$AH$2:$AH$1001,0),1)&gt;=100000,INDEX($AO$1005:$BQ$1005,1,MATCH(COLUMNS($AO$1006:BB1006),$AO$1006:$BQ$1006,0))&gt;=100000), " ",IF(INDEX($AO$2:$BQ$1001,MATCH(ROWS($AH$2:AH870),$AH$2:$AH$1001,0),MATCH(COLUMNS($AO$1006:BB1006),$AO$1006:$BQ$1006,0)), HYPERLINK("#",""), HYPERLINK(CONCATENATE("#Metadata!", ADDRESS(INDEX($AJ$2:$AJ$1001,MATCH(ROWS($AH$2:AH870),$AH$2:$AH$1001,0),0), INDEX($AO$1004:$BQ$1004,1,MATCH(COLUMNS($AO$1006:BB1006),$AO$1006:$BQ$1006,0)))),"Fix")))</f>
        <v>#N/A</v>
      </c>
      <c r="P870" s="5" t="e">
        <f ca="1">IF(OR(INDEX($AI$2:$AI$1001,MATCH(ROWS($AH$2:AH870),$AH$2:$AH$1001,0),1)&gt;=100000,INDEX($AO$1005:$BQ$1005,1,MATCH(COLUMNS($AO$1006:BC1006),$AO$1006:$BQ$1006,0))&gt;=100000), " ",IF(INDEX($AO$2:$BQ$1001,MATCH(ROWS($AH$2:AH870),$AH$2:$AH$1001,0),MATCH(COLUMNS($AO$1006:BC1006),$AO$1006:$BQ$1006,0)), HYPERLINK("#",""), HYPERLINK(CONCATENATE("#Metadata!", ADDRESS(INDEX($AJ$2:$AJ$1001,MATCH(ROWS($AH$2:AH870),$AH$2:$AH$1001,0),0), INDEX($AO$1004:$BQ$1004,1,MATCH(COLUMNS($AO$1006:BC1006),$AO$1006:$BQ$1006,0)))),"Fix")))</f>
        <v>#N/A</v>
      </c>
      <c r="Q870" s="5" t="e">
        <f ca="1">IF(OR(INDEX($AI$2:$AI$1001,MATCH(ROWS($AH$2:AH870),$AH$2:$AH$1001,0),1)&gt;=100000,INDEX($AO$1005:$BQ$1005,1,MATCH(COLUMNS($AO$1006:BD1006),$AO$1006:$BQ$1006,0))&gt;=100000), " ",IF(INDEX($AO$2:$BQ$1001,MATCH(ROWS($AH$2:AH870),$AH$2:$AH$1001,0),MATCH(COLUMNS($AO$1006:BD1006),$AO$1006:$BQ$1006,0)), HYPERLINK("#",""), HYPERLINK(CONCATENATE("#Metadata!", ADDRESS(INDEX($AJ$2:$AJ$1001,MATCH(ROWS($AH$2:AH870),$AH$2:$AH$1001,0),0), INDEX($AO$1004:$BQ$1004,1,MATCH(COLUMNS($AO$1006:BD1006),$AO$1006:$BQ$1006,0)))),"Fix")))</f>
        <v>#N/A</v>
      </c>
      <c r="R870" s="5" t="e">
        <f ca="1">IF(OR(INDEX($AI$2:$AI$1001,MATCH(ROWS($AH$2:AH870),$AH$2:$AH$1001,0),1)&gt;=100000,INDEX($AO$1005:$BQ$1005,1,MATCH(COLUMNS($AO$1006:BE1006),$AO$1006:$BQ$1006,0))&gt;=100000), " ",IF(INDEX($AO$2:$BQ$1001,MATCH(ROWS($AH$2:AH870),$AH$2:$AH$1001,0),MATCH(COLUMNS($AO$1006:BE1006),$AO$1006:$BQ$1006,0)), HYPERLINK("#",""), HYPERLINK(CONCATENATE("#Metadata!", ADDRESS(INDEX($AJ$2:$AJ$1001,MATCH(ROWS($AH$2:AH870),$AH$2:$AH$1001,0),0), INDEX($AO$1004:$BQ$1004,1,MATCH(COLUMNS($AO$1006:BE1006),$AO$1006:$BQ$1006,0)))),"Fix")))</f>
        <v>#N/A</v>
      </c>
      <c r="S870" s="5" t="e">
        <f ca="1">IF(OR(INDEX($AI$2:$AI$1001,MATCH(ROWS($AH$2:AH870),$AH$2:$AH$1001,0),1)&gt;=100000,INDEX($AO$1005:$BQ$1005,1,MATCH(COLUMNS($AO$1006:BF1006),$AO$1006:$BQ$1006,0))&gt;=100000), " ",IF(INDEX($AO$2:$BQ$1001,MATCH(ROWS($AH$2:AH870),$AH$2:$AH$1001,0),MATCH(COLUMNS($AO$1006:BF1006),$AO$1006:$BQ$1006,0)), HYPERLINK("#",""), HYPERLINK(CONCATENATE("#Metadata!", ADDRESS(INDEX($AJ$2:$AJ$1001,MATCH(ROWS($AH$2:AH870),$AH$2:$AH$1001,0),0), INDEX($AO$1004:$BQ$1004,1,MATCH(COLUMNS($AO$1006:BF1006),$AO$1006:$BQ$1006,0)))),"Fix")))</f>
        <v>#N/A</v>
      </c>
      <c r="T870" s="5" t="e">
        <f ca="1">IF(OR(INDEX($AI$2:$AI$1001,MATCH(ROWS($AH$2:AH870),$AH$2:$AH$1001,0),1)&gt;=100000,INDEX($AO$1005:$BQ$1005,1,MATCH(COLUMNS($AO$1006:BG1006),$AO$1006:$BQ$1006,0))&gt;=100000), " ",IF(INDEX($AO$2:$BQ$1001,MATCH(ROWS($AH$2:AH870),$AH$2:$AH$1001,0),MATCH(COLUMNS($AO$1006:BG1006),$AO$1006:$BQ$1006,0)), HYPERLINK("#",""), HYPERLINK(CONCATENATE("#Metadata!", ADDRESS(INDEX($AJ$2:$AJ$1001,MATCH(ROWS($AH$2:AH870),$AH$2:$AH$1001,0),0), INDEX($AO$1004:$BQ$1004,1,MATCH(COLUMNS($AO$1006:BG1006),$AO$1006:$BQ$1006,0)))),"Fix")))</f>
        <v>#N/A</v>
      </c>
      <c r="U870" s="5" t="e">
        <f ca="1">IF(OR(INDEX($AI$2:$AI$1001,MATCH(ROWS($AH$2:AH870),$AH$2:$AH$1001,0),1)&gt;=100000,INDEX($AO$1005:$BQ$1005,1,MATCH(COLUMNS($AO$1006:BH1006),$AO$1006:$BQ$1006,0))&gt;=100000), " ",IF(INDEX($AO$2:$BQ$1001,MATCH(ROWS($AH$2:AH870),$AH$2:$AH$1001,0),MATCH(COLUMNS($AO$1006:BH1006),$AO$1006:$BQ$1006,0)), HYPERLINK("#",""), HYPERLINK(CONCATENATE("#Metadata!", ADDRESS(INDEX($AJ$2:$AJ$1001,MATCH(ROWS($AH$2:AH870),$AH$2:$AH$1001,0),0), INDEX($AO$1004:$BQ$1004,1,MATCH(COLUMNS($AO$1006:BH1006),$AO$1006:$BQ$1006,0)))),"Fix")))</f>
        <v>#N/A</v>
      </c>
      <c r="V870" s="5" t="e">
        <f ca="1">IF(OR(INDEX($AI$2:$AI$1001,MATCH(ROWS($AH$2:AH870),$AH$2:$AH$1001,0),1)&gt;=100000,INDEX($AO$1005:$BQ$1005,1,MATCH(COLUMNS($AO$1006:BI1006),$AO$1006:$BQ$1006,0))&gt;=100000), " ",IF(INDEX($AO$2:$BQ$1001,MATCH(ROWS($AH$2:AH870),$AH$2:$AH$1001,0),MATCH(COLUMNS($AO$1006:BI1006),$AO$1006:$BQ$1006,0)), HYPERLINK("#",""), HYPERLINK(CONCATENATE("#Metadata!", ADDRESS(INDEX($AJ$2:$AJ$1001,MATCH(ROWS($AH$2:AH870),$AH$2:$AH$1001,0),0), INDEX($AO$1004:$BQ$1004,1,MATCH(COLUMNS($AO$1006:BI1006),$AO$1006:$BQ$1006,0)))),"Fix")))</f>
        <v>#N/A</v>
      </c>
      <c r="W870" s="5" t="e">
        <f ca="1">IF(OR(INDEX($AI$2:$AI$1001,MATCH(ROWS($AH$2:AH870),$AH$2:$AH$1001,0),1)&gt;=100000,INDEX($AO$1005:$BQ$1005,1,MATCH(COLUMNS($AO$1006:BJ1006),$AO$1006:$BQ$1006,0))&gt;=100000), " ",IF(INDEX($AO$2:$BQ$1001,MATCH(ROWS($AH$2:AH870),$AH$2:$AH$1001,0),MATCH(COLUMNS($AO$1006:BJ1006),$AO$1006:$BQ$1006,0)), HYPERLINK("#",""), HYPERLINK(CONCATENATE("#Metadata!", ADDRESS(INDEX($AJ$2:$AJ$1001,MATCH(ROWS($AH$2:AH870),$AH$2:$AH$1001,0),0), INDEX($AO$1004:$BQ$1004,1,MATCH(COLUMNS($AO$1006:BJ1006),$AO$1006:$BQ$1006,0)))),"Fix")))</f>
        <v>#N/A</v>
      </c>
      <c r="X870" s="5" t="e">
        <f ca="1">IF(OR(INDEX($AI$2:$AI$1001,MATCH(ROWS($AH$2:AH870),$AH$2:$AH$1001,0),1)&gt;=100000,INDEX($AO$1005:$BQ$1005,1,MATCH(COLUMNS($AO$1006:BK1006),$AO$1006:$BQ$1006,0))&gt;=100000), " ",IF(INDEX($AO$2:$BQ$1001,MATCH(ROWS($AH$2:AH870),$AH$2:$AH$1001,0),MATCH(COLUMNS($AO$1006:BK1006),$AO$1006:$BQ$1006,0)), HYPERLINK("#",""), HYPERLINK(CONCATENATE("#Metadata!", ADDRESS(INDEX($AJ$2:$AJ$1001,MATCH(ROWS($AH$2:AH870),$AH$2:$AH$1001,0),0), INDEX($AO$1004:$BQ$1004,1,MATCH(COLUMNS($AO$1006:BK1006),$AO$1006:$BQ$1006,0)))),"Fix")))</f>
        <v>#N/A</v>
      </c>
      <c r="Y870" s="5" t="e">
        <f ca="1">IF(OR(INDEX($AI$2:$AI$1001,MATCH(ROWS($AH$2:AH870),$AH$2:$AH$1001,0),1)&gt;=100000,INDEX($AO$1005:$BQ$1005,1,MATCH(COLUMNS($AO$1006:BL1006),$AO$1006:$BQ$1006,0))&gt;=100000), " ",IF(INDEX($AO$2:$BQ$1001,MATCH(ROWS($AH$2:AH870),$AH$2:$AH$1001,0),MATCH(COLUMNS($AO$1006:BL1006),$AO$1006:$BQ$1006,0)), HYPERLINK("#",""), HYPERLINK(CONCATENATE("#Metadata!", ADDRESS(INDEX($AJ$2:$AJ$1001,MATCH(ROWS($AH$2:AH870),$AH$2:$AH$1001,0),0), INDEX($AO$1004:$BQ$1004,1,MATCH(COLUMNS($AO$1006:BL1006),$AO$1006:$BQ$1006,0)))),"Fix")))</f>
        <v>#N/A</v>
      </c>
      <c r="Z870" s="5" t="e">
        <f ca="1">IF(OR(INDEX($AI$2:$AI$1001,MATCH(ROWS($AH$2:AH870),$AH$2:$AH$1001,0),1)&gt;=100000,INDEX($AO$1005:$BQ$1005,1,MATCH(COLUMNS($AO$1006:BM1006),$AO$1006:$BQ$1006,0))&gt;=100000), " ",IF(INDEX($AO$2:$BQ$1001,MATCH(ROWS($AH$2:AH870),$AH$2:$AH$1001,0),MATCH(COLUMNS($AO$1006:BM1006),$AO$1006:$BQ$1006,0)), HYPERLINK("#",""), HYPERLINK(CONCATENATE("#Metadata!", ADDRESS(INDEX($AJ$2:$AJ$1001,MATCH(ROWS($AH$2:AH870),$AH$2:$AH$1001,0),0), INDEX($AO$1004:$BQ$1004,1,MATCH(COLUMNS($AO$1006:BM1006),$AO$1006:$BQ$1006,0)))),"Fix")))</f>
        <v>#N/A</v>
      </c>
      <c r="AA870" s="5" t="e">
        <f ca="1">IF(OR(INDEX($AI$2:$AI$1001,MATCH(ROWS($AH$2:AH870),$AH$2:$AH$1001,0),1)&gt;=100000,INDEX($AO$1005:$BQ$1005,1,MATCH(COLUMNS($AO$1006:BN1006),$AO$1006:$BQ$1006,0))&gt;=100000), " ",IF(INDEX($AO$2:$BQ$1001,MATCH(ROWS($AH$2:AH870),$AH$2:$AH$1001,0),MATCH(COLUMNS($AO$1006:BN1006),$AO$1006:$BQ$1006,0)), HYPERLINK("#",""), HYPERLINK(CONCATENATE("#Metadata!", ADDRESS(INDEX($AJ$2:$AJ$1001,MATCH(ROWS($AH$2:AH870),$AH$2:$AH$1001,0),0), INDEX($AO$1004:$BQ$1004,1,MATCH(COLUMNS($AO$1006:BN1006),$AO$1006:$BQ$1006,0)))),"Fix")))</f>
        <v>#N/A</v>
      </c>
      <c r="AB870" s="5" t="e">
        <f ca="1">IF(OR(INDEX($AI$2:$AI$1001,MATCH(ROWS($AH$2:AH870),$AH$2:$AH$1001,0),1)&gt;=100000,INDEX($AO$1005:$BQ$1005,1,MATCH(COLUMNS($AO$1006:BO1006),$AO$1006:$BQ$1006,0))&gt;=100000), " ",IF(INDEX($AO$2:$BQ$1001,MATCH(ROWS($AH$2:AH870),$AH$2:$AH$1001,0),MATCH(COLUMNS($AO$1006:BO1006),$AO$1006:$BQ$1006,0)), HYPERLINK("#",""), HYPERLINK(CONCATENATE("#Metadata!", ADDRESS(INDEX($AJ$2:$AJ$1001,MATCH(ROWS($AH$2:AH870),$AH$2:$AH$1001,0),0), INDEX($AO$1004:$BQ$1004,1,MATCH(COLUMNS($AO$1006:BO1006),$AO$1006:$BQ$1006,0)))),"Fix")))</f>
        <v>#N/A</v>
      </c>
      <c r="AC870" s="5" t="e">
        <f ca="1">IF(OR(INDEX($AI$2:$AI$1001,MATCH(ROWS($AH$2:AH870),$AH$2:$AH$1001,0),1)&gt;=100000,INDEX($AO$1005:$BQ$1005,1,MATCH(COLUMNS($AO$1006:BP1006),$AO$1006:$BQ$1006,0))&gt;=100000), " ",IF(INDEX($AO$2:$BQ$1001,MATCH(ROWS($AH$2:AH870),$AH$2:$AH$1001,0),MATCH(COLUMNS($AO$1006:BP1006),$AO$1006:$BQ$1006,0)), HYPERLINK("#",""), HYPERLINK(CONCATENATE("#Metadata!", ADDRESS(INDEX($AJ$2:$AJ$1001,MATCH(ROWS($AH$2:AH870),$AH$2:$AH$1001,0),0), INDEX($AO$1004:$BQ$1004,1,MATCH(COLUMNS($AO$1006:BP1006),$AO$1006:$BQ$1006,0)))),"Fix")))</f>
        <v>#N/A</v>
      </c>
      <c r="AD870" s="5" t="e">
        <f ca="1">IF(OR(INDEX($AI$2:$AI$1001,MATCH(ROWS($AH$2:AH870),$AH$2:$AH$1001,0),1)&gt;=100000,INDEX($AO$1005:$BQ$1005,1,MATCH(COLUMNS($AO$1006:BQ1006),$AO$1006:$BQ$1006,0))&gt;=100000), " ",IF(INDEX($AO$2:$BQ$1001,MATCH(ROWS($AH$2:AH870),$AH$2:$AH$1001,0),MATCH(COLUMNS($AO$1006:BQ1006),$AO$1006:$BQ$1006,0)), HYPERLINK("#",""), HYPERLINK(CONCATENATE("#Metadata!", ADDRESS(INDEX($AJ$2:$AJ$1001,MATCH(ROWS($AH$2:AH870),$AH$2:$AH$1001,0),0), INDEX($AO$1004:$BQ$1004,1,MATCH(COLUMNS($AO$1006:BQ1006),$AO$1006:$BQ$1006,0)))),"Fix")))</f>
        <v>#REF!</v>
      </c>
      <c r="AH870">
        <f ca="1"/>
        <v>867</v>
      </c>
      <c r="AI870">
        <v>100870</v>
      </c>
      <c r="AJ870">
        <v>870</v>
      </c>
      <c r="AK870" t="b">
        <f t="shared" si="13"/>
        <v>1</v>
      </c>
      <c r="AL870" t="b">
        <f>COUNTBLANK(Metadata!B870:AD870)=COLUMNS(Metadata!B870:AD870)</f>
        <v>1</v>
      </c>
      <c r="AM870" t="str">
        <v/>
      </c>
      <c r="AO870" t="b">
        <f ca="1">AND(IF(Metadata!B870="",FALSE,TRUE),COUNTIF(Metadata!B:B, Metadata!B870) = 1,NOT(ISERROR(SUMPRODUCT(SEARCH(MID(Metadata!B870,ROW(INDIRECT("1:"&amp;LEN(Metadata!B870))), 1),"0123456789abcdefghijklmnopqrstuvwxyzABCDEFGHIJKLMNOPQRSTUVWXYZ.")))))</f>
        <v>0</v>
      </c>
      <c r="AP870" t="b">
        <f>IF(Metadata!C870="",FALSE,TRUE)</f>
        <v>0</v>
      </c>
      <c r="AQ870" t="b">
        <f>IF(Metadata!D870="",FALSE,TRUE)</f>
        <v>0</v>
      </c>
      <c r="AR870" t="b">
        <f ca="1">OR(AND(IF(Metadata!E870="",FALSE,TRUE),OR(EXACT(Metadata!E870,"not collected"),EXACT(Metadata!E870,"not provided"),EXACT(Metadata!E870,"restricted access"))),AND(IF(Metadata!E870="",FALSE,TRUE),AND(AND(IFERROR(INT(LEFT(Metadata!E870,4))&gt;1900,FALSE),IFERROR(INT(LEFT(Metadata!E870,4))&lt;=YEAR(NOW()),FALSE)), OR(MID(Metadata!E870,5,1)="", AND(AND(MID(Metadata!E870,5,1)="-",IFERROR(INT(MID(Metadata!E870,6,1))&gt;=0,FALSE),IFERROR(INT(MID(Metadata!E870,6,1))&lt;=1,FALSE),NOT(MID(Metadata!E870,7,1)=""),IFERROR(INT(MID(Metadata!E870,6,2))&gt;=1,FALSE),IFERROR(INT(MID(Metadata!E870,6,2))&lt;=12,FALSE)), OR(MID(Metadata!E870,8,1)="", AND(AND(MID(Metadata!E870,8,1)="-",IFERROR(INT(MID(Metadata!E870,9,1))&gt;=0,FALSE),IFERROR(INT(MID(Metadata!E870,9,1))&lt;=3,FALSE),NOT(MID(Metadata!E870,10,1)=""),IFERROR(INT(MID(Metadata!E870,9,2))&gt;=1,FALSE),IFERROR(INT(MID(Metadata!E870,9,2))&lt;=31,FALSE)), OR(MID(Metadata!E870,11,1)="", AND(AND(MID(Metadata!E870,11,1)=" ",IFERROR(INT(MID(Metadata!E870,12,1))&gt;=0,FALSE),IFERROR(INT(MID(Metadata!E870,12,1))&lt;=2,FALSE),NOT(MID(Metadata!E870,13,1)=""),IFERROR(INT(MID(Metadata!E870,12,2))&gt;=0,FALSE),IFERROR(INT(MID(Metadata!E870,12,2))&lt;=23,FALSE)), OR(MID(Metadata!E870,14,1)="", AND(AND(MID(Metadata!E870,14,1)=":",IFERROR(INT(MID(Metadata!E870,15,1))&gt;=0,FALSE),IFERROR(INT(MID(Metadata!E870,15,1))&lt;=5,FALSE),NOT(MID(Metadata!E870,16,1)=""),IFERROR(INT(MID(Metadata!E870,15,2))&gt;=0,FALSE),IFERROR(INT(MID(Metadata!E870,15,2))&lt;=59,FALSE)), OR(MID(Metadata!E870,17,1)="", AND(AND(MID(Metadata!E870,17,1)=":",IFERROR(INT(MID(Metadata!E870,18,1))&gt;=0,FALSE),IFERROR(INT(MID(Metadata!E870,18,1))&lt;=5,FALSE),NOT(MID(Metadata!E870,19,1)=""),IFERROR(INT(MID(Metadata!E870,18,2))&gt;=0,FALSE),IFERROR(INT(MID(Metadata!E870,18,2))&lt;=59,FALSE)), LEN(Metadata!E870)&lt;=19)))))))))))))</f>
        <v>0</v>
      </c>
      <c r="AS870" t="b">
        <f>IF(Metadata!F870="",FALSE,TRUE)</f>
        <v>0</v>
      </c>
      <c r="AT870" t="b">
        <f>OR(AND(IF(Metadata!G870="",FALSE,TRUE),OR(EXACT(Metadata!G870,"not collected"),EXACT(Metadata!G870,"not provided"))),AND(IF(Metadata!G870="",FALSE,TRUE),OR(EXACT(Metadata!G870,"TRUE"),EXACT(Metadata!G870,"FALSE"))))</f>
        <v>0</v>
      </c>
      <c r="AU870" t="b">
        <f>OR(AND(IF(Metadata!H870="",FALSE,TRUE),OR(EXACT(Metadata!H870,"not collected"),EXACT(Metadata!H870,"not provided"),EXACT(Metadata!H870,"restricted access"))),AND(IF(Metadata!H870="",FALSE,ISNUMBER(VALUE(Metadata!H870))),Metadata!H870&gt;=-413))</f>
        <v>0</v>
      </c>
      <c r="AV870" t="b">
        <f>AND(IF(Metadata!I870="",FALSE,TRUE),EXACT(Metadata!I870,"meters"))</f>
        <v>0</v>
      </c>
      <c r="AW870" t="b">
        <f>AND(IF(Metadata!J870="",FALSE,TRUE),EXACT(Metadata!J870,"free-living"))</f>
        <v>0</v>
      </c>
      <c r="AX870" t="b">
        <f>AND(IF(Metadata!K870="",FALSE,TRUE),OR(EXACT(Metadata!K870,"saline"),EXACT(Metadata!K870,"non-saline")))</f>
        <v>0</v>
      </c>
      <c r="AY870" t="b">
        <f>AND(IF(Metadata!L870="",FALSE,TRUE),OR(EXACT(Metadata!L870,"sub-surface (non-saline)"),EXACT(Metadata!L870,"surface (non-saline)"),EXACT(Metadata!L870,"water (non-saline)"),EXACT(Metadata!L870,"soil (non-saline)"),EXACT(Metadata!L870,"aerosol (non-saline)"),EXACT(Metadata!L870,"sediment (non-saline)"),EXACT(Metadata!L870,"surface (saline)"),EXACT(Metadata!L870,"water (saline)"),EXACT(Metadata!L870,"hypersaline (saline)"),EXACT(Metadata!L870,"aerosol (saline)"),EXACT(Metadata!L870,"sediment (saline)")))</f>
        <v>0</v>
      </c>
      <c r="AZ870" t="b">
        <f>IF(Metadata!M870="",FALSE,TRUE)</f>
        <v>0</v>
      </c>
      <c r="BA870" t="b">
        <f>IF(Metadata!N870="",FALSE,TRUE)</f>
        <v>0</v>
      </c>
      <c r="BB870" t="b">
        <f>IF(Metadata!O870="",FALSE,TRUE)</f>
        <v>0</v>
      </c>
      <c r="BC870" t="b">
        <f>AND(IF(Metadata!P870="",FALSE,TRUE),OR(EXACT(Metadata!P870,"air"),EXACT(Metadata!P870,"microbial mat/biofilm"),EXACT(Metadata!P870,"misc environment"),EXACT(Metadata!P870,"sediment"),EXACT(Metadata!P870,"soil"),EXACT(Metadata!P870,"wastewater/sludge"),EXACT(Metadata!P870,"water")))</f>
        <v>0</v>
      </c>
      <c r="BD870" t="b">
        <f>IF(Metadata!Q870="",FALSE,TRUE)</f>
        <v>0</v>
      </c>
      <c r="BE870" t="b">
        <f>IF(Metadata!R870="",FALSE,TRUE)</f>
        <v>0</v>
      </c>
      <c r="BF870" t="b">
        <f>OR(AND(IF(Metadata!S870="",FALSE,TRUE),OR(EXACT(Metadata!S870,"not collected"),EXACT(Metadata!S870,"not provided"),EXACT(Metadata!S870,"restricted access"))),AND(IF(Metadata!S870="",FALSE,ISNUMBER(VALUE(Metadata!S870))),Metadata!S870&gt;=-90,Metadata!S870&lt;=90))</f>
        <v>0</v>
      </c>
      <c r="BG870" t="b">
        <f>AND(IF(Metadata!T870="",FALSE,TRUE),EXACT(Metadata!T870,"Decimal degrees"))</f>
        <v>0</v>
      </c>
      <c r="BH870" t="b">
        <f>OR(AND(IF(Metadata!U870="",FALSE,TRUE),OR(EXACT(Metadata!U870,"not applicable"),EXACT(Metadata!U870,"not collected"))),IF(Metadata!U870="",FALSE,TRUE))</f>
        <v>0</v>
      </c>
      <c r="BI870" t="b">
        <f>OR(AND(IF(Metadata!V870="",FALSE,TRUE),OR(EXACT(Metadata!V870,"not collected"),EXACT(Metadata!V870,"not provided"),EXACT(Metadata!V870,"restricted access"))),AND(IF(Metadata!V870="",FALSE,ISNUMBER(VALUE(Metadata!V870))),Metadata!V870&gt;=-180,Metadata!V870&lt;=180))</f>
        <v>0</v>
      </c>
      <c r="BJ870" t="b">
        <f>AND(IF(Metadata!W870="",FALSE,TRUE),EXACT(Metadata!W870,"Decimal degrees"))</f>
        <v>0</v>
      </c>
      <c r="BK870" t="b">
        <f>IF(Metadata!X870="",FALSE,TRUE)</f>
        <v>0</v>
      </c>
      <c r="BL870" t="b">
        <f>OR(AND(IF(Metadata!Y870="",FALSE,TRUE),OR(EXACT(Metadata!Y870,"not collected"),EXACT(Metadata!Y870,"not provided"),EXACT(Metadata!Y870,"restricted access"))),AND(IF(Metadata!Y870="",FALSE,TRUE),OR(EXACT(Metadata!Y870,"TRUE"),EXACT(Metadata!Y870,"FALSE"))))</f>
        <v>0</v>
      </c>
      <c r="BM870" t="b">
        <f>OR(AND(IF(Metadata!Z870="",FALSE,TRUE),EXACT(Metadata!Z870,"not applicable")),AND(IF(Metadata!Z870="",FALSE,TRUE),OR(EXACT(Metadata!Z870,"beer"),EXACT(Metadata!Z870,"cheese"),EXACT(Metadata!Z870,"fresh water"),EXACT(Metadata!Z870,"marine sediment"),EXACT(Metadata!Z870,"sea water"),EXACT(Metadata!Z870,"sediment"),EXACT(Metadata!Z870,"soil"),EXACT(Metadata!Z870,"waste water"))))</f>
        <v>0</v>
      </c>
      <c r="BN870" t="b">
        <f>AND(IF(Metadata!AA870="",FALSE,TRUE),EXACT(Metadata!AA870,"metagenome"))</f>
        <v>0</v>
      </c>
      <c r="BO870" t="b">
        <f>AND(IF(Metadata!AB870="",FALSE,TRUE),EXACT(Metadata!AB870,"256318"))</f>
        <v>0</v>
      </c>
      <c r="BP870" t="b">
        <f>IF(Metadata!AC870="",FALSE,TRUE)</f>
        <v>0</v>
      </c>
      <c r="BQ870" t="b">
        <f>IF(Metadata!AD870="",FALSE,TRUE)</f>
        <v>0</v>
      </c>
    </row>
    <row r="871" spans="1:69" x14ac:dyDescent="0.2">
      <c r="A871" s="4" t="e">
        <f ca="1">IF(B871=" "," ",HYPERLINK(CONCATENATE("#metadata!",ADDRESS(INDEX($AJ$2:$AJ$1001,MATCH(ROWS($AH$2:AH871),$AH$2:$AH$1001,0),0),2)),INDEX($AM$2:$AM$1001,MATCH(ROWS($AH$2:AH871),$AH$2:$AH$1001,0),0)))</f>
        <v>#N/A</v>
      </c>
      <c r="B871" s="5" t="e">
        <f ca="1">IF(OR(INDEX($AI$2:$AI$1001,MATCH(ROWS($AH$2:AH871),$AH$2:$AH$1001,0),1)&gt;=100000,INDEX($AO$1005:$BQ$1005,1,MATCH(COLUMNS($AO$1006:AO1006),$AO$1006:$BQ$1006,0))&gt;=100000), " ",IF(INDEX($AO$2:$BQ$1001,MATCH(ROWS($AH$2:AH871),$AH$2:$AH$1001,0),MATCH(COLUMNS($AO$1006:AO1006),$AO$1006:$BQ$1006,0)), HYPERLINK("#",""), HYPERLINK(CONCATENATE("#Metadata!", ADDRESS(INDEX($AJ$2:$AJ$1001,MATCH(ROWS($AH$2:AH871),$AH$2:$AH$1001,0),0), INDEX($AO$1004:$BQ$1004,1,MATCH(COLUMNS($AO$1006:AO1006),$AO$1006:$BQ$1006,0)))),"Fix")))</f>
        <v>#N/A</v>
      </c>
      <c r="C871" s="5" t="e">
        <f ca="1">IF(OR(INDEX($AI$2:$AI$1001,MATCH(ROWS($AH$2:AH871),$AH$2:$AH$1001,0),1)&gt;=100000,INDEX($AO$1005:$BQ$1005,1,MATCH(COLUMNS($AO$1006:AP1006),$AO$1006:$BQ$1006,0))&gt;=100000), " ",IF(INDEX($AO$2:$BQ$1001,MATCH(ROWS($AH$2:AH871),$AH$2:$AH$1001,0),MATCH(COLUMNS($AO$1006:AP1006),$AO$1006:$BQ$1006,0)), HYPERLINK("#",""), HYPERLINK(CONCATENATE("#Metadata!", ADDRESS(INDEX($AJ$2:$AJ$1001,MATCH(ROWS($AH$2:AH871),$AH$2:$AH$1001,0),0), INDEX($AO$1004:$BQ$1004,1,MATCH(COLUMNS($AO$1006:AP1006),$AO$1006:$BQ$1006,0)))),"Fix")))</f>
        <v>#N/A</v>
      </c>
      <c r="D871" s="5" t="e">
        <f ca="1">IF(OR(INDEX($AI$2:$AI$1001,MATCH(ROWS($AH$2:AH871),$AH$2:$AH$1001,0),1)&gt;=100000,INDEX($AO$1005:$BQ$1005,1,MATCH(COLUMNS($AO$1006:AQ1006),$AO$1006:$BQ$1006,0))&gt;=100000), " ",IF(INDEX($AO$2:$BQ$1001,MATCH(ROWS($AH$2:AH871),$AH$2:$AH$1001,0),MATCH(COLUMNS($AO$1006:AQ1006),$AO$1006:$BQ$1006,0)), HYPERLINK("#",""), HYPERLINK(CONCATENATE("#Metadata!", ADDRESS(INDEX($AJ$2:$AJ$1001,MATCH(ROWS($AH$2:AH871),$AH$2:$AH$1001,0),0), INDEX($AO$1004:$BQ$1004,1,MATCH(COLUMNS($AO$1006:AQ1006),$AO$1006:$BQ$1006,0)))),"Fix")))</f>
        <v>#N/A</v>
      </c>
      <c r="E871" s="5" t="e">
        <f ca="1">IF(OR(INDEX($AI$2:$AI$1001,MATCH(ROWS($AH$2:AH871),$AH$2:$AH$1001,0),1)&gt;=100000,INDEX($AO$1005:$BQ$1005,1,MATCH(COLUMNS($AO$1006:AR1006),$AO$1006:$BQ$1006,0))&gt;=100000), " ",IF(INDEX($AO$2:$BQ$1001,MATCH(ROWS($AH$2:AH871),$AH$2:$AH$1001,0),MATCH(COLUMNS($AO$1006:AR1006),$AO$1006:$BQ$1006,0)), HYPERLINK("#",""), HYPERLINK(CONCATENATE("#Metadata!", ADDRESS(INDEX($AJ$2:$AJ$1001,MATCH(ROWS($AH$2:AH871),$AH$2:$AH$1001,0),0), INDEX($AO$1004:$BQ$1004,1,MATCH(COLUMNS($AO$1006:AR1006),$AO$1006:$BQ$1006,0)))),"Fix")))</f>
        <v>#N/A</v>
      </c>
      <c r="F871" s="5" t="e">
        <f ca="1">IF(OR(INDEX($AI$2:$AI$1001,MATCH(ROWS($AH$2:AH871),$AH$2:$AH$1001,0),1)&gt;=100000,INDEX($AO$1005:$BQ$1005,1,MATCH(COLUMNS($AO$1006:AS1006),$AO$1006:$BQ$1006,0))&gt;=100000), " ",IF(INDEX($AO$2:$BQ$1001,MATCH(ROWS($AH$2:AH871),$AH$2:$AH$1001,0),MATCH(COLUMNS($AO$1006:AS1006),$AO$1006:$BQ$1006,0)), HYPERLINK("#",""), HYPERLINK(CONCATENATE("#Metadata!", ADDRESS(INDEX($AJ$2:$AJ$1001,MATCH(ROWS($AH$2:AH871),$AH$2:$AH$1001,0),0), INDEX($AO$1004:$BQ$1004,1,MATCH(COLUMNS($AO$1006:AS1006),$AO$1006:$BQ$1006,0)))),"Fix")))</f>
        <v>#N/A</v>
      </c>
      <c r="G871" s="5" t="e">
        <f ca="1">IF(OR(INDEX($AI$2:$AI$1001,MATCH(ROWS($AH$2:AH871),$AH$2:$AH$1001,0),1)&gt;=100000,INDEX($AO$1005:$BQ$1005,1,MATCH(COLUMNS($AO$1006:AT1006),$AO$1006:$BQ$1006,0))&gt;=100000), " ",IF(INDEX($AO$2:$BQ$1001,MATCH(ROWS($AH$2:AH871),$AH$2:$AH$1001,0),MATCH(COLUMNS($AO$1006:AT1006),$AO$1006:$BQ$1006,0)), HYPERLINK("#",""), HYPERLINK(CONCATENATE("#Metadata!", ADDRESS(INDEX($AJ$2:$AJ$1001,MATCH(ROWS($AH$2:AH871),$AH$2:$AH$1001,0),0), INDEX($AO$1004:$BQ$1004,1,MATCH(COLUMNS($AO$1006:AT1006),$AO$1006:$BQ$1006,0)))),"Fix")))</f>
        <v>#N/A</v>
      </c>
      <c r="H871" s="5" t="e">
        <f ca="1">IF(OR(INDEX($AI$2:$AI$1001,MATCH(ROWS($AH$2:AH871),$AH$2:$AH$1001,0),1)&gt;=100000,INDEX($AO$1005:$BQ$1005,1,MATCH(COLUMNS($AO$1006:AU1006),$AO$1006:$BQ$1006,0))&gt;=100000), " ",IF(INDEX($AO$2:$BQ$1001,MATCH(ROWS($AH$2:AH871),$AH$2:$AH$1001,0),MATCH(COLUMNS($AO$1006:AU1006),$AO$1006:$BQ$1006,0)), HYPERLINK("#",""), HYPERLINK(CONCATENATE("#Metadata!", ADDRESS(INDEX($AJ$2:$AJ$1001,MATCH(ROWS($AH$2:AH871),$AH$2:$AH$1001,0),0), INDEX($AO$1004:$BQ$1004,1,MATCH(COLUMNS($AO$1006:AU1006),$AO$1006:$BQ$1006,0)))),"Fix")))</f>
        <v>#N/A</v>
      </c>
      <c r="I871" s="5" t="e">
        <f ca="1">IF(OR(INDEX($AI$2:$AI$1001,MATCH(ROWS($AH$2:AH871),$AH$2:$AH$1001,0),1)&gt;=100000,INDEX($AO$1005:$BQ$1005,1,MATCH(COLUMNS($AO$1006:AV1006),$AO$1006:$BQ$1006,0))&gt;=100000), " ",IF(INDEX($AO$2:$BQ$1001,MATCH(ROWS($AH$2:AH871),$AH$2:$AH$1001,0),MATCH(COLUMNS($AO$1006:AV1006),$AO$1006:$BQ$1006,0)), HYPERLINK("#",""), HYPERLINK(CONCATENATE("#Metadata!", ADDRESS(INDEX($AJ$2:$AJ$1001,MATCH(ROWS($AH$2:AH871),$AH$2:$AH$1001,0),0), INDEX($AO$1004:$BQ$1004,1,MATCH(COLUMNS($AO$1006:AV1006),$AO$1006:$BQ$1006,0)))),"Fix")))</f>
        <v>#N/A</v>
      </c>
      <c r="J871" s="5" t="e">
        <f ca="1">IF(OR(INDEX($AI$2:$AI$1001,MATCH(ROWS($AH$2:AH871),$AH$2:$AH$1001,0),1)&gt;=100000,INDEX($AO$1005:$BQ$1005,1,MATCH(COLUMNS($AO$1006:AW1006),$AO$1006:$BQ$1006,0))&gt;=100000), " ",IF(INDEX($AO$2:$BQ$1001,MATCH(ROWS($AH$2:AH871),$AH$2:$AH$1001,0),MATCH(COLUMNS($AO$1006:AW1006),$AO$1006:$BQ$1006,0)), HYPERLINK("#",""), HYPERLINK(CONCATENATE("#Metadata!", ADDRESS(INDEX($AJ$2:$AJ$1001,MATCH(ROWS($AH$2:AH871),$AH$2:$AH$1001,0),0), INDEX($AO$1004:$BQ$1004,1,MATCH(COLUMNS($AO$1006:AW1006),$AO$1006:$BQ$1006,0)))),"Fix")))</f>
        <v>#N/A</v>
      </c>
      <c r="K871" s="5" t="e">
        <f ca="1">IF(OR(INDEX($AI$2:$AI$1001,MATCH(ROWS($AH$2:AH871),$AH$2:$AH$1001,0),1)&gt;=100000,INDEX($AO$1005:$BQ$1005,1,MATCH(COLUMNS($AO$1006:AX1006),$AO$1006:$BQ$1006,0))&gt;=100000), " ",IF(INDEX($AO$2:$BQ$1001,MATCH(ROWS($AH$2:AH871),$AH$2:$AH$1001,0),MATCH(COLUMNS($AO$1006:AX1006),$AO$1006:$BQ$1006,0)), HYPERLINK("#",""), HYPERLINK(CONCATENATE("#Metadata!", ADDRESS(INDEX($AJ$2:$AJ$1001,MATCH(ROWS($AH$2:AH871),$AH$2:$AH$1001,0),0), INDEX($AO$1004:$BQ$1004,1,MATCH(COLUMNS($AO$1006:AX1006),$AO$1006:$BQ$1006,0)))),"Fix")))</f>
        <v>#N/A</v>
      </c>
      <c r="L871" s="5" t="e">
        <f ca="1">IF(OR(INDEX($AI$2:$AI$1001,MATCH(ROWS($AH$2:AH871),$AH$2:$AH$1001,0),1)&gt;=100000,INDEX($AO$1005:$BQ$1005,1,MATCH(COLUMNS($AO$1006:AY1006),$AO$1006:$BQ$1006,0))&gt;=100000), " ",IF(INDEX($AO$2:$BQ$1001,MATCH(ROWS($AH$2:AH871),$AH$2:$AH$1001,0),MATCH(COLUMNS($AO$1006:AY1006),$AO$1006:$BQ$1006,0)), HYPERLINK("#",""), HYPERLINK(CONCATENATE("#Metadata!", ADDRESS(INDEX($AJ$2:$AJ$1001,MATCH(ROWS($AH$2:AH871),$AH$2:$AH$1001,0),0), INDEX($AO$1004:$BQ$1004,1,MATCH(COLUMNS($AO$1006:AY1006),$AO$1006:$BQ$1006,0)))),"Fix")))</f>
        <v>#N/A</v>
      </c>
      <c r="M871" s="5" t="e">
        <f ca="1">IF(OR(INDEX($AI$2:$AI$1001,MATCH(ROWS($AH$2:AH871),$AH$2:$AH$1001,0),1)&gt;=100000,INDEX($AO$1005:$BQ$1005,1,MATCH(COLUMNS($AO$1006:AZ1006),$AO$1006:$BQ$1006,0))&gt;=100000), " ",IF(INDEX($AO$2:$BQ$1001,MATCH(ROWS($AH$2:AH871),$AH$2:$AH$1001,0),MATCH(COLUMNS($AO$1006:AZ1006),$AO$1006:$BQ$1006,0)), HYPERLINK("#",""), HYPERLINK(CONCATENATE("#Metadata!", ADDRESS(INDEX($AJ$2:$AJ$1001,MATCH(ROWS($AH$2:AH871),$AH$2:$AH$1001,0),0), INDEX($AO$1004:$BQ$1004,1,MATCH(COLUMNS($AO$1006:AZ1006),$AO$1006:$BQ$1006,0)))),"Fix")))</f>
        <v>#N/A</v>
      </c>
      <c r="N871" s="5" t="e">
        <f ca="1">IF(OR(INDEX($AI$2:$AI$1001,MATCH(ROWS($AH$2:AH871),$AH$2:$AH$1001,0),1)&gt;=100000,INDEX($AO$1005:$BQ$1005,1,MATCH(COLUMNS($AO$1006:BA1006),$AO$1006:$BQ$1006,0))&gt;=100000), " ",IF(INDEX($AO$2:$BQ$1001,MATCH(ROWS($AH$2:AH871),$AH$2:$AH$1001,0),MATCH(COLUMNS($AO$1006:BA1006),$AO$1006:$BQ$1006,0)), HYPERLINK("#",""), HYPERLINK(CONCATENATE("#Metadata!", ADDRESS(INDEX($AJ$2:$AJ$1001,MATCH(ROWS($AH$2:AH871),$AH$2:$AH$1001,0),0), INDEX($AO$1004:$BQ$1004,1,MATCH(COLUMNS($AO$1006:BA1006),$AO$1006:$BQ$1006,0)))),"Fix")))</f>
        <v>#N/A</v>
      </c>
      <c r="O871" s="5" t="e">
        <f ca="1">IF(OR(INDEX($AI$2:$AI$1001,MATCH(ROWS($AH$2:AH871),$AH$2:$AH$1001,0),1)&gt;=100000,INDEX($AO$1005:$BQ$1005,1,MATCH(COLUMNS($AO$1006:BB1006),$AO$1006:$BQ$1006,0))&gt;=100000), " ",IF(INDEX($AO$2:$BQ$1001,MATCH(ROWS($AH$2:AH871),$AH$2:$AH$1001,0),MATCH(COLUMNS($AO$1006:BB1006),$AO$1006:$BQ$1006,0)), HYPERLINK("#",""), HYPERLINK(CONCATENATE("#Metadata!", ADDRESS(INDEX($AJ$2:$AJ$1001,MATCH(ROWS($AH$2:AH871),$AH$2:$AH$1001,0),0), INDEX($AO$1004:$BQ$1004,1,MATCH(COLUMNS($AO$1006:BB1006),$AO$1006:$BQ$1006,0)))),"Fix")))</f>
        <v>#N/A</v>
      </c>
      <c r="P871" s="5" t="e">
        <f ca="1">IF(OR(INDEX($AI$2:$AI$1001,MATCH(ROWS($AH$2:AH871),$AH$2:$AH$1001,0),1)&gt;=100000,INDEX($AO$1005:$BQ$1005,1,MATCH(COLUMNS($AO$1006:BC1006),$AO$1006:$BQ$1006,0))&gt;=100000), " ",IF(INDEX($AO$2:$BQ$1001,MATCH(ROWS($AH$2:AH871),$AH$2:$AH$1001,0),MATCH(COLUMNS($AO$1006:BC1006),$AO$1006:$BQ$1006,0)), HYPERLINK("#",""), HYPERLINK(CONCATENATE("#Metadata!", ADDRESS(INDEX($AJ$2:$AJ$1001,MATCH(ROWS($AH$2:AH871),$AH$2:$AH$1001,0),0), INDEX($AO$1004:$BQ$1004,1,MATCH(COLUMNS($AO$1006:BC1006),$AO$1006:$BQ$1006,0)))),"Fix")))</f>
        <v>#N/A</v>
      </c>
      <c r="Q871" s="5" t="e">
        <f ca="1">IF(OR(INDEX($AI$2:$AI$1001,MATCH(ROWS($AH$2:AH871),$AH$2:$AH$1001,0),1)&gt;=100000,INDEX($AO$1005:$BQ$1005,1,MATCH(COLUMNS($AO$1006:BD1006),$AO$1006:$BQ$1006,0))&gt;=100000), " ",IF(INDEX($AO$2:$BQ$1001,MATCH(ROWS($AH$2:AH871),$AH$2:$AH$1001,0),MATCH(COLUMNS($AO$1006:BD1006),$AO$1006:$BQ$1006,0)), HYPERLINK("#",""), HYPERLINK(CONCATENATE("#Metadata!", ADDRESS(INDEX($AJ$2:$AJ$1001,MATCH(ROWS($AH$2:AH871),$AH$2:$AH$1001,0),0), INDEX($AO$1004:$BQ$1004,1,MATCH(COLUMNS($AO$1006:BD1006),$AO$1006:$BQ$1006,0)))),"Fix")))</f>
        <v>#N/A</v>
      </c>
      <c r="R871" s="5" t="e">
        <f ca="1">IF(OR(INDEX($AI$2:$AI$1001,MATCH(ROWS($AH$2:AH871),$AH$2:$AH$1001,0),1)&gt;=100000,INDEX($AO$1005:$BQ$1005,1,MATCH(COLUMNS($AO$1006:BE1006),$AO$1006:$BQ$1006,0))&gt;=100000), " ",IF(INDEX($AO$2:$BQ$1001,MATCH(ROWS($AH$2:AH871),$AH$2:$AH$1001,0),MATCH(COLUMNS($AO$1006:BE1006),$AO$1006:$BQ$1006,0)), HYPERLINK("#",""), HYPERLINK(CONCATENATE("#Metadata!", ADDRESS(INDEX($AJ$2:$AJ$1001,MATCH(ROWS($AH$2:AH871),$AH$2:$AH$1001,0),0), INDEX($AO$1004:$BQ$1004,1,MATCH(COLUMNS($AO$1006:BE1006),$AO$1006:$BQ$1006,0)))),"Fix")))</f>
        <v>#N/A</v>
      </c>
      <c r="S871" s="5" t="e">
        <f ca="1">IF(OR(INDEX($AI$2:$AI$1001,MATCH(ROWS($AH$2:AH871),$AH$2:$AH$1001,0),1)&gt;=100000,INDEX($AO$1005:$BQ$1005,1,MATCH(COLUMNS($AO$1006:BF1006),$AO$1006:$BQ$1006,0))&gt;=100000), " ",IF(INDEX($AO$2:$BQ$1001,MATCH(ROWS($AH$2:AH871),$AH$2:$AH$1001,0),MATCH(COLUMNS($AO$1006:BF1006),$AO$1006:$BQ$1006,0)), HYPERLINK("#",""), HYPERLINK(CONCATENATE("#Metadata!", ADDRESS(INDEX($AJ$2:$AJ$1001,MATCH(ROWS($AH$2:AH871),$AH$2:$AH$1001,0),0), INDEX($AO$1004:$BQ$1004,1,MATCH(COLUMNS($AO$1006:BF1006),$AO$1006:$BQ$1006,0)))),"Fix")))</f>
        <v>#N/A</v>
      </c>
      <c r="T871" s="5" t="e">
        <f ca="1">IF(OR(INDEX($AI$2:$AI$1001,MATCH(ROWS($AH$2:AH871),$AH$2:$AH$1001,0),1)&gt;=100000,INDEX($AO$1005:$BQ$1005,1,MATCH(COLUMNS($AO$1006:BG1006),$AO$1006:$BQ$1006,0))&gt;=100000), " ",IF(INDEX($AO$2:$BQ$1001,MATCH(ROWS($AH$2:AH871),$AH$2:$AH$1001,0),MATCH(COLUMNS($AO$1006:BG1006),$AO$1006:$BQ$1006,0)), HYPERLINK("#",""), HYPERLINK(CONCATENATE("#Metadata!", ADDRESS(INDEX($AJ$2:$AJ$1001,MATCH(ROWS($AH$2:AH871),$AH$2:$AH$1001,0),0), INDEX($AO$1004:$BQ$1004,1,MATCH(COLUMNS($AO$1006:BG1006),$AO$1006:$BQ$1006,0)))),"Fix")))</f>
        <v>#N/A</v>
      </c>
      <c r="U871" s="5" t="e">
        <f ca="1">IF(OR(INDEX($AI$2:$AI$1001,MATCH(ROWS($AH$2:AH871),$AH$2:$AH$1001,0),1)&gt;=100000,INDEX($AO$1005:$BQ$1005,1,MATCH(COLUMNS($AO$1006:BH1006),$AO$1006:$BQ$1006,0))&gt;=100000), " ",IF(INDEX($AO$2:$BQ$1001,MATCH(ROWS($AH$2:AH871),$AH$2:$AH$1001,0),MATCH(COLUMNS($AO$1006:BH1006),$AO$1006:$BQ$1006,0)), HYPERLINK("#",""), HYPERLINK(CONCATENATE("#Metadata!", ADDRESS(INDEX($AJ$2:$AJ$1001,MATCH(ROWS($AH$2:AH871),$AH$2:$AH$1001,0),0), INDEX($AO$1004:$BQ$1004,1,MATCH(COLUMNS($AO$1006:BH1006),$AO$1006:$BQ$1006,0)))),"Fix")))</f>
        <v>#N/A</v>
      </c>
      <c r="V871" s="5" t="e">
        <f ca="1">IF(OR(INDEX($AI$2:$AI$1001,MATCH(ROWS($AH$2:AH871),$AH$2:$AH$1001,0),1)&gt;=100000,INDEX($AO$1005:$BQ$1005,1,MATCH(COLUMNS($AO$1006:BI1006),$AO$1006:$BQ$1006,0))&gt;=100000), " ",IF(INDEX($AO$2:$BQ$1001,MATCH(ROWS($AH$2:AH871),$AH$2:$AH$1001,0),MATCH(COLUMNS($AO$1006:BI1006),$AO$1006:$BQ$1006,0)), HYPERLINK("#",""), HYPERLINK(CONCATENATE("#Metadata!", ADDRESS(INDEX($AJ$2:$AJ$1001,MATCH(ROWS($AH$2:AH871),$AH$2:$AH$1001,0),0), INDEX($AO$1004:$BQ$1004,1,MATCH(COLUMNS($AO$1006:BI1006),$AO$1006:$BQ$1006,0)))),"Fix")))</f>
        <v>#N/A</v>
      </c>
      <c r="W871" s="5" t="e">
        <f ca="1">IF(OR(INDEX($AI$2:$AI$1001,MATCH(ROWS($AH$2:AH871),$AH$2:$AH$1001,0),1)&gt;=100000,INDEX($AO$1005:$BQ$1005,1,MATCH(COLUMNS($AO$1006:BJ1006),$AO$1006:$BQ$1006,0))&gt;=100000), " ",IF(INDEX($AO$2:$BQ$1001,MATCH(ROWS($AH$2:AH871),$AH$2:$AH$1001,0),MATCH(COLUMNS($AO$1006:BJ1006),$AO$1006:$BQ$1006,0)), HYPERLINK("#",""), HYPERLINK(CONCATENATE("#Metadata!", ADDRESS(INDEX($AJ$2:$AJ$1001,MATCH(ROWS($AH$2:AH871),$AH$2:$AH$1001,0),0), INDEX($AO$1004:$BQ$1004,1,MATCH(COLUMNS($AO$1006:BJ1006),$AO$1006:$BQ$1006,0)))),"Fix")))</f>
        <v>#N/A</v>
      </c>
      <c r="X871" s="5" t="e">
        <f ca="1">IF(OR(INDEX($AI$2:$AI$1001,MATCH(ROWS($AH$2:AH871),$AH$2:$AH$1001,0),1)&gt;=100000,INDEX($AO$1005:$BQ$1005,1,MATCH(COLUMNS($AO$1006:BK1006),$AO$1006:$BQ$1006,0))&gt;=100000), " ",IF(INDEX($AO$2:$BQ$1001,MATCH(ROWS($AH$2:AH871),$AH$2:$AH$1001,0),MATCH(COLUMNS($AO$1006:BK1006),$AO$1006:$BQ$1006,0)), HYPERLINK("#",""), HYPERLINK(CONCATENATE("#Metadata!", ADDRESS(INDEX($AJ$2:$AJ$1001,MATCH(ROWS($AH$2:AH871),$AH$2:$AH$1001,0),0), INDEX($AO$1004:$BQ$1004,1,MATCH(COLUMNS($AO$1006:BK1006),$AO$1006:$BQ$1006,0)))),"Fix")))</f>
        <v>#N/A</v>
      </c>
      <c r="Y871" s="5" t="e">
        <f ca="1">IF(OR(INDEX($AI$2:$AI$1001,MATCH(ROWS($AH$2:AH871),$AH$2:$AH$1001,0),1)&gt;=100000,INDEX($AO$1005:$BQ$1005,1,MATCH(COLUMNS($AO$1006:BL1006),$AO$1006:$BQ$1006,0))&gt;=100000), " ",IF(INDEX($AO$2:$BQ$1001,MATCH(ROWS($AH$2:AH871),$AH$2:$AH$1001,0),MATCH(COLUMNS($AO$1006:BL1006),$AO$1006:$BQ$1006,0)), HYPERLINK("#",""), HYPERLINK(CONCATENATE("#Metadata!", ADDRESS(INDEX($AJ$2:$AJ$1001,MATCH(ROWS($AH$2:AH871),$AH$2:$AH$1001,0),0), INDEX($AO$1004:$BQ$1004,1,MATCH(COLUMNS($AO$1006:BL1006),$AO$1006:$BQ$1006,0)))),"Fix")))</f>
        <v>#N/A</v>
      </c>
      <c r="Z871" s="5" t="e">
        <f ca="1">IF(OR(INDEX($AI$2:$AI$1001,MATCH(ROWS($AH$2:AH871),$AH$2:$AH$1001,0),1)&gt;=100000,INDEX($AO$1005:$BQ$1005,1,MATCH(COLUMNS($AO$1006:BM1006),$AO$1006:$BQ$1006,0))&gt;=100000), " ",IF(INDEX($AO$2:$BQ$1001,MATCH(ROWS($AH$2:AH871),$AH$2:$AH$1001,0),MATCH(COLUMNS($AO$1006:BM1006),$AO$1006:$BQ$1006,0)), HYPERLINK("#",""), HYPERLINK(CONCATENATE("#Metadata!", ADDRESS(INDEX($AJ$2:$AJ$1001,MATCH(ROWS($AH$2:AH871),$AH$2:$AH$1001,0),0), INDEX($AO$1004:$BQ$1004,1,MATCH(COLUMNS($AO$1006:BM1006),$AO$1006:$BQ$1006,0)))),"Fix")))</f>
        <v>#N/A</v>
      </c>
      <c r="AA871" s="5" t="e">
        <f ca="1">IF(OR(INDEX($AI$2:$AI$1001,MATCH(ROWS($AH$2:AH871),$AH$2:$AH$1001,0),1)&gt;=100000,INDEX($AO$1005:$BQ$1005,1,MATCH(COLUMNS($AO$1006:BN1006),$AO$1006:$BQ$1006,0))&gt;=100000), " ",IF(INDEX($AO$2:$BQ$1001,MATCH(ROWS($AH$2:AH871),$AH$2:$AH$1001,0),MATCH(COLUMNS($AO$1006:BN1006),$AO$1006:$BQ$1006,0)), HYPERLINK("#",""), HYPERLINK(CONCATENATE("#Metadata!", ADDRESS(INDEX($AJ$2:$AJ$1001,MATCH(ROWS($AH$2:AH871),$AH$2:$AH$1001,0),0), INDEX($AO$1004:$BQ$1004,1,MATCH(COLUMNS($AO$1006:BN1006),$AO$1006:$BQ$1006,0)))),"Fix")))</f>
        <v>#N/A</v>
      </c>
      <c r="AB871" s="5" t="e">
        <f ca="1">IF(OR(INDEX($AI$2:$AI$1001,MATCH(ROWS($AH$2:AH871),$AH$2:$AH$1001,0),1)&gt;=100000,INDEX($AO$1005:$BQ$1005,1,MATCH(COLUMNS($AO$1006:BO1006),$AO$1006:$BQ$1006,0))&gt;=100000), " ",IF(INDEX($AO$2:$BQ$1001,MATCH(ROWS($AH$2:AH871),$AH$2:$AH$1001,0),MATCH(COLUMNS($AO$1006:BO1006),$AO$1006:$BQ$1006,0)), HYPERLINK("#",""), HYPERLINK(CONCATENATE("#Metadata!", ADDRESS(INDEX($AJ$2:$AJ$1001,MATCH(ROWS($AH$2:AH871),$AH$2:$AH$1001,0),0), INDEX($AO$1004:$BQ$1004,1,MATCH(COLUMNS($AO$1006:BO1006),$AO$1006:$BQ$1006,0)))),"Fix")))</f>
        <v>#N/A</v>
      </c>
      <c r="AC871" s="5" t="e">
        <f ca="1">IF(OR(INDEX($AI$2:$AI$1001,MATCH(ROWS($AH$2:AH871),$AH$2:$AH$1001,0),1)&gt;=100000,INDEX($AO$1005:$BQ$1005,1,MATCH(COLUMNS($AO$1006:BP1006),$AO$1006:$BQ$1006,0))&gt;=100000), " ",IF(INDEX($AO$2:$BQ$1001,MATCH(ROWS($AH$2:AH871),$AH$2:$AH$1001,0),MATCH(COLUMNS($AO$1006:BP1006),$AO$1006:$BQ$1006,0)), HYPERLINK("#",""), HYPERLINK(CONCATENATE("#Metadata!", ADDRESS(INDEX($AJ$2:$AJ$1001,MATCH(ROWS($AH$2:AH871),$AH$2:$AH$1001,0),0), INDEX($AO$1004:$BQ$1004,1,MATCH(COLUMNS($AO$1006:BP1006),$AO$1006:$BQ$1006,0)))),"Fix")))</f>
        <v>#N/A</v>
      </c>
      <c r="AD871" s="5" t="e">
        <f ca="1">IF(OR(INDEX($AI$2:$AI$1001,MATCH(ROWS($AH$2:AH871),$AH$2:$AH$1001,0),1)&gt;=100000,INDEX($AO$1005:$BQ$1005,1,MATCH(COLUMNS($AO$1006:BQ1006),$AO$1006:$BQ$1006,0))&gt;=100000), " ",IF(INDEX($AO$2:$BQ$1001,MATCH(ROWS($AH$2:AH871),$AH$2:$AH$1001,0),MATCH(COLUMNS($AO$1006:BQ1006),$AO$1006:$BQ$1006,0)), HYPERLINK("#",""), HYPERLINK(CONCATENATE("#Metadata!", ADDRESS(INDEX($AJ$2:$AJ$1001,MATCH(ROWS($AH$2:AH871),$AH$2:$AH$1001,0),0), INDEX($AO$1004:$BQ$1004,1,MATCH(COLUMNS($AO$1006:BQ1006),$AO$1006:$BQ$1006,0)))),"Fix")))</f>
        <v>#REF!</v>
      </c>
      <c r="AH871">
        <f ca="1"/>
        <v>868</v>
      </c>
      <c r="AI871">
        <v>100871</v>
      </c>
      <c r="AJ871">
        <v>871</v>
      </c>
      <c r="AK871" t="b">
        <f t="shared" si="13"/>
        <v>1</v>
      </c>
      <c r="AL871" t="b">
        <f>COUNTBLANK(Metadata!B871:AD871)=COLUMNS(Metadata!B871:AD871)</f>
        <v>1</v>
      </c>
      <c r="AM871" t="str">
        <v/>
      </c>
      <c r="AO871" t="b">
        <f ca="1">AND(IF(Metadata!B871="",FALSE,TRUE),COUNTIF(Metadata!B:B, Metadata!B871) = 1,NOT(ISERROR(SUMPRODUCT(SEARCH(MID(Metadata!B871,ROW(INDIRECT("1:"&amp;LEN(Metadata!B871))), 1),"0123456789abcdefghijklmnopqrstuvwxyzABCDEFGHIJKLMNOPQRSTUVWXYZ.")))))</f>
        <v>0</v>
      </c>
      <c r="AP871" t="b">
        <f>IF(Metadata!C871="",FALSE,TRUE)</f>
        <v>0</v>
      </c>
      <c r="AQ871" t="b">
        <f>IF(Metadata!D871="",FALSE,TRUE)</f>
        <v>0</v>
      </c>
      <c r="AR871" t="b">
        <f ca="1">OR(AND(IF(Metadata!E871="",FALSE,TRUE),OR(EXACT(Metadata!E871,"not collected"),EXACT(Metadata!E871,"not provided"),EXACT(Metadata!E871,"restricted access"))),AND(IF(Metadata!E871="",FALSE,TRUE),AND(AND(IFERROR(INT(LEFT(Metadata!E871,4))&gt;1900,FALSE),IFERROR(INT(LEFT(Metadata!E871,4))&lt;=YEAR(NOW()),FALSE)), OR(MID(Metadata!E871,5,1)="", AND(AND(MID(Metadata!E871,5,1)="-",IFERROR(INT(MID(Metadata!E871,6,1))&gt;=0,FALSE),IFERROR(INT(MID(Metadata!E871,6,1))&lt;=1,FALSE),NOT(MID(Metadata!E871,7,1)=""),IFERROR(INT(MID(Metadata!E871,6,2))&gt;=1,FALSE),IFERROR(INT(MID(Metadata!E871,6,2))&lt;=12,FALSE)), OR(MID(Metadata!E871,8,1)="", AND(AND(MID(Metadata!E871,8,1)="-",IFERROR(INT(MID(Metadata!E871,9,1))&gt;=0,FALSE),IFERROR(INT(MID(Metadata!E871,9,1))&lt;=3,FALSE),NOT(MID(Metadata!E871,10,1)=""),IFERROR(INT(MID(Metadata!E871,9,2))&gt;=1,FALSE),IFERROR(INT(MID(Metadata!E871,9,2))&lt;=31,FALSE)), OR(MID(Metadata!E871,11,1)="", AND(AND(MID(Metadata!E871,11,1)=" ",IFERROR(INT(MID(Metadata!E871,12,1))&gt;=0,FALSE),IFERROR(INT(MID(Metadata!E871,12,1))&lt;=2,FALSE),NOT(MID(Metadata!E871,13,1)=""),IFERROR(INT(MID(Metadata!E871,12,2))&gt;=0,FALSE),IFERROR(INT(MID(Metadata!E871,12,2))&lt;=23,FALSE)), OR(MID(Metadata!E871,14,1)="", AND(AND(MID(Metadata!E871,14,1)=":",IFERROR(INT(MID(Metadata!E871,15,1))&gt;=0,FALSE),IFERROR(INT(MID(Metadata!E871,15,1))&lt;=5,FALSE),NOT(MID(Metadata!E871,16,1)=""),IFERROR(INT(MID(Metadata!E871,15,2))&gt;=0,FALSE),IFERROR(INT(MID(Metadata!E871,15,2))&lt;=59,FALSE)), OR(MID(Metadata!E871,17,1)="", AND(AND(MID(Metadata!E871,17,1)=":",IFERROR(INT(MID(Metadata!E871,18,1))&gt;=0,FALSE),IFERROR(INT(MID(Metadata!E871,18,1))&lt;=5,FALSE),NOT(MID(Metadata!E871,19,1)=""),IFERROR(INT(MID(Metadata!E871,18,2))&gt;=0,FALSE),IFERROR(INT(MID(Metadata!E871,18,2))&lt;=59,FALSE)), LEN(Metadata!E871)&lt;=19)))))))))))))</f>
        <v>0</v>
      </c>
      <c r="AS871" t="b">
        <f>IF(Metadata!F871="",FALSE,TRUE)</f>
        <v>0</v>
      </c>
      <c r="AT871" t="b">
        <f>OR(AND(IF(Metadata!G871="",FALSE,TRUE),OR(EXACT(Metadata!G871,"not collected"),EXACT(Metadata!G871,"not provided"))),AND(IF(Metadata!G871="",FALSE,TRUE),OR(EXACT(Metadata!G871,"TRUE"),EXACT(Metadata!G871,"FALSE"))))</f>
        <v>0</v>
      </c>
      <c r="AU871" t="b">
        <f>OR(AND(IF(Metadata!H871="",FALSE,TRUE),OR(EXACT(Metadata!H871,"not collected"),EXACT(Metadata!H871,"not provided"),EXACT(Metadata!H871,"restricted access"))),AND(IF(Metadata!H871="",FALSE,ISNUMBER(VALUE(Metadata!H871))),Metadata!H871&gt;=-413))</f>
        <v>0</v>
      </c>
      <c r="AV871" t="b">
        <f>AND(IF(Metadata!I871="",FALSE,TRUE),EXACT(Metadata!I871,"meters"))</f>
        <v>0</v>
      </c>
      <c r="AW871" t="b">
        <f>AND(IF(Metadata!J871="",FALSE,TRUE),EXACT(Metadata!J871,"free-living"))</f>
        <v>0</v>
      </c>
      <c r="AX871" t="b">
        <f>AND(IF(Metadata!K871="",FALSE,TRUE),OR(EXACT(Metadata!K871,"saline"),EXACT(Metadata!K871,"non-saline")))</f>
        <v>0</v>
      </c>
      <c r="AY871" t="b">
        <f>AND(IF(Metadata!L871="",FALSE,TRUE),OR(EXACT(Metadata!L871,"sub-surface (non-saline)"),EXACT(Metadata!L871,"surface (non-saline)"),EXACT(Metadata!L871,"water (non-saline)"),EXACT(Metadata!L871,"soil (non-saline)"),EXACT(Metadata!L871,"aerosol (non-saline)"),EXACT(Metadata!L871,"sediment (non-saline)"),EXACT(Metadata!L871,"surface (saline)"),EXACT(Metadata!L871,"water (saline)"),EXACT(Metadata!L871,"hypersaline (saline)"),EXACT(Metadata!L871,"aerosol (saline)"),EXACT(Metadata!L871,"sediment (saline)")))</f>
        <v>0</v>
      </c>
      <c r="AZ871" t="b">
        <f>IF(Metadata!M871="",FALSE,TRUE)</f>
        <v>0</v>
      </c>
      <c r="BA871" t="b">
        <f>IF(Metadata!N871="",FALSE,TRUE)</f>
        <v>0</v>
      </c>
      <c r="BB871" t="b">
        <f>IF(Metadata!O871="",FALSE,TRUE)</f>
        <v>0</v>
      </c>
      <c r="BC871" t="b">
        <f>AND(IF(Metadata!P871="",FALSE,TRUE),OR(EXACT(Metadata!P871,"air"),EXACT(Metadata!P871,"microbial mat/biofilm"),EXACT(Metadata!P871,"misc environment"),EXACT(Metadata!P871,"sediment"),EXACT(Metadata!P871,"soil"),EXACT(Metadata!P871,"wastewater/sludge"),EXACT(Metadata!P871,"water")))</f>
        <v>0</v>
      </c>
      <c r="BD871" t="b">
        <f>IF(Metadata!Q871="",FALSE,TRUE)</f>
        <v>0</v>
      </c>
      <c r="BE871" t="b">
        <f>IF(Metadata!R871="",FALSE,TRUE)</f>
        <v>0</v>
      </c>
      <c r="BF871" t="b">
        <f>OR(AND(IF(Metadata!S871="",FALSE,TRUE),OR(EXACT(Metadata!S871,"not collected"),EXACT(Metadata!S871,"not provided"),EXACT(Metadata!S871,"restricted access"))),AND(IF(Metadata!S871="",FALSE,ISNUMBER(VALUE(Metadata!S871))),Metadata!S871&gt;=-90,Metadata!S871&lt;=90))</f>
        <v>0</v>
      </c>
      <c r="BG871" t="b">
        <f>AND(IF(Metadata!T871="",FALSE,TRUE),EXACT(Metadata!T871,"Decimal degrees"))</f>
        <v>0</v>
      </c>
      <c r="BH871" t="b">
        <f>OR(AND(IF(Metadata!U871="",FALSE,TRUE),OR(EXACT(Metadata!U871,"not applicable"),EXACT(Metadata!U871,"not collected"))),IF(Metadata!U871="",FALSE,TRUE))</f>
        <v>0</v>
      </c>
      <c r="BI871" t="b">
        <f>OR(AND(IF(Metadata!V871="",FALSE,TRUE),OR(EXACT(Metadata!V871,"not collected"),EXACT(Metadata!V871,"not provided"),EXACT(Metadata!V871,"restricted access"))),AND(IF(Metadata!V871="",FALSE,ISNUMBER(VALUE(Metadata!V871))),Metadata!V871&gt;=-180,Metadata!V871&lt;=180))</f>
        <v>0</v>
      </c>
      <c r="BJ871" t="b">
        <f>AND(IF(Metadata!W871="",FALSE,TRUE),EXACT(Metadata!W871,"Decimal degrees"))</f>
        <v>0</v>
      </c>
      <c r="BK871" t="b">
        <f>IF(Metadata!X871="",FALSE,TRUE)</f>
        <v>0</v>
      </c>
      <c r="BL871" t="b">
        <f>OR(AND(IF(Metadata!Y871="",FALSE,TRUE),OR(EXACT(Metadata!Y871,"not collected"),EXACT(Metadata!Y871,"not provided"),EXACT(Metadata!Y871,"restricted access"))),AND(IF(Metadata!Y871="",FALSE,TRUE),OR(EXACT(Metadata!Y871,"TRUE"),EXACT(Metadata!Y871,"FALSE"))))</f>
        <v>0</v>
      </c>
      <c r="BM871" t="b">
        <f>OR(AND(IF(Metadata!Z871="",FALSE,TRUE),EXACT(Metadata!Z871,"not applicable")),AND(IF(Metadata!Z871="",FALSE,TRUE),OR(EXACT(Metadata!Z871,"beer"),EXACT(Metadata!Z871,"cheese"),EXACT(Metadata!Z871,"fresh water"),EXACT(Metadata!Z871,"marine sediment"),EXACT(Metadata!Z871,"sea water"),EXACT(Metadata!Z871,"sediment"),EXACT(Metadata!Z871,"soil"),EXACT(Metadata!Z871,"waste water"))))</f>
        <v>0</v>
      </c>
      <c r="BN871" t="b">
        <f>AND(IF(Metadata!AA871="",FALSE,TRUE),EXACT(Metadata!AA871,"metagenome"))</f>
        <v>0</v>
      </c>
      <c r="BO871" t="b">
        <f>AND(IF(Metadata!AB871="",FALSE,TRUE),EXACT(Metadata!AB871,"256318"))</f>
        <v>0</v>
      </c>
      <c r="BP871" t="b">
        <f>IF(Metadata!AC871="",FALSE,TRUE)</f>
        <v>0</v>
      </c>
      <c r="BQ871" t="b">
        <f>IF(Metadata!AD871="",FALSE,TRUE)</f>
        <v>0</v>
      </c>
    </row>
    <row r="872" spans="1:69" x14ac:dyDescent="0.2">
      <c r="A872" s="4" t="e">
        <f ca="1">IF(B872=" "," ",HYPERLINK(CONCATENATE("#metadata!",ADDRESS(INDEX($AJ$2:$AJ$1001,MATCH(ROWS($AH$2:AH872),$AH$2:$AH$1001,0),0),2)),INDEX($AM$2:$AM$1001,MATCH(ROWS($AH$2:AH872),$AH$2:$AH$1001,0),0)))</f>
        <v>#N/A</v>
      </c>
      <c r="B872" s="5" t="e">
        <f ca="1">IF(OR(INDEX($AI$2:$AI$1001,MATCH(ROWS($AH$2:AH872),$AH$2:$AH$1001,0),1)&gt;=100000,INDEX($AO$1005:$BQ$1005,1,MATCH(COLUMNS($AO$1006:AO1006),$AO$1006:$BQ$1006,0))&gt;=100000), " ",IF(INDEX($AO$2:$BQ$1001,MATCH(ROWS($AH$2:AH872),$AH$2:$AH$1001,0),MATCH(COLUMNS($AO$1006:AO1006),$AO$1006:$BQ$1006,0)), HYPERLINK("#",""), HYPERLINK(CONCATENATE("#Metadata!", ADDRESS(INDEX($AJ$2:$AJ$1001,MATCH(ROWS($AH$2:AH872),$AH$2:$AH$1001,0),0), INDEX($AO$1004:$BQ$1004,1,MATCH(COLUMNS($AO$1006:AO1006),$AO$1006:$BQ$1006,0)))),"Fix")))</f>
        <v>#N/A</v>
      </c>
      <c r="C872" s="5" t="e">
        <f ca="1">IF(OR(INDEX($AI$2:$AI$1001,MATCH(ROWS($AH$2:AH872),$AH$2:$AH$1001,0),1)&gt;=100000,INDEX($AO$1005:$BQ$1005,1,MATCH(COLUMNS($AO$1006:AP1006),$AO$1006:$BQ$1006,0))&gt;=100000), " ",IF(INDEX($AO$2:$BQ$1001,MATCH(ROWS($AH$2:AH872),$AH$2:$AH$1001,0),MATCH(COLUMNS($AO$1006:AP1006),$AO$1006:$BQ$1006,0)), HYPERLINK("#",""), HYPERLINK(CONCATENATE("#Metadata!", ADDRESS(INDEX($AJ$2:$AJ$1001,MATCH(ROWS($AH$2:AH872),$AH$2:$AH$1001,0),0), INDEX($AO$1004:$BQ$1004,1,MATCH(COLUMNS($AO$1006:AP1006),$AO$1006:$BQ$1006,0)))),"Fix")))</f>
        <v>#N/A</v>
      </c>
      <c r="D872" s="5" t="e">
        <f ca="1">IF(OR(INDEX($AI$2:$AI$1001,MATCH(ROWS($AH$2:AH872),$AH$2:$AH$1001,0),1)&gt;=100000,INDEX($AO$1005:$BQ$1005,1,MATCH(COLUMNS($AO$1006:AQ1006),$AO$1006:$BQ$1006,0))&gt;=100000), " ",IF(INDEX($AO$2:$BQ$1001,MATCH(ROWS($AH$2:AH872),$AH$2:$AH$1001,0),MATCH(COLUMNS($AO$1006:AQ1006),$AO$1006:$BQ$1006,0)), HYPERLINK("#",""), HYPERLINK(CONCATENATE("#Metadata!", ADDRESS(INDEX($AJ$2:$AJ$1001,MATCH(ROWS($AH$2:AH872),$AH$2:$AH$1001,0),0), INDEX($AO$1004:$BQ$1004,1,MATCH(COLUMNS($AO$1006:AQ1006),$AO$1006:$BQ$1006,0)))),"Fix")))</f>
        <v>#N/A</v>
      </c>
      <c r="E872" s="5" t="e">
        <f ca="1">IF(OR(INDEX($AI$2:$AI$1001,MATCH(ROWS($AH$2:AH872),$AH$2:$AH$1001,0),1)&gt;=100000,INDEX($AO$1005:$BQ$1005,1,MATCH(COLUMNS($AO$1006:AR1006),$AO$1006:$BQ$1006,0))&gt;=100000), " ",IF(INDEX($AO$2:$BQ$1001,MATCH(ROWS($AH$2:AH872),$AH$2:$AH$1001,0),MATCH(COLUMNS($AO$1006:AR1006),$AO$1006:$BQ$1006,0)), HYPERLINK("#",""), HYPERLINK(CONCATENATE("#Metadata!", ADDRESS(INDEX($AJ$2:$AJ$1001,MATCH(ROWS($AH$2:AH872),$AH$2:$AH$1001,0),0), INDEX($AO$1004:$BQ$1004,1,MATCH(COLUMNS($AO$1006:AR1006),$AO$1006:$BQ$1006,0)))),"Fix")))</f>
        <v>#N/A</v>
      </c>
      <c r="F872" s="5" t="e">
        <f ca="1">IF(OR(INDEX($AI$2:$AI$1001,MATCH(ROWS($AH$2:AH872),$AH$2:$AH$1001,0),1)&gt;=100000,INDEX($AO$1005:$BQ$1005,1,MATCH(COLUMNS($AO$1006:AS1006),$AO$1006:$BQ$1006,0))&gt;=100000), " ",IF(INDEX($AO$2:$BQ$1001,MATCH(ROWS($AH$2:AH872),$AH$2:$AH$1001,0),MATCH(COLUMNS($AO$1006:AS1006),$AO$1006:$BQ$1006,0)), HYPERLINK("#",""), HYPERLINK(CONCATENATE("#Metadata!", ADDRESS(INDEX($AJ$2:$AJ$1001,MATCH(ROWS($AH$2:AH872),$AH$2:$AH$1001,0),0), INDEX($AO$1004:$BQ$1004,1,MATCH(COLUMNS($AO$1006:AS1006),$AO$1006:$BQ$1006,0)))),"Fix")))</f>
        <v>#N/A</v>
      </c>
      <c r="G872" s="5" t="e">
        <f ca="1">IF(OR(INDEX($AI$2:$AI$1001,MATCH(ROWS($AH$2:AH872),$AH$2:$AH$1001,0),1)&gt;=100000,INDEX($AO$1005:$BQ$1005,1,MATCH(COLUMNS($AO$1006:AT1006),$AO$1006:$BQ$1006,0))&gt;=100000), " ",IF(INDEX($AO$2:$BQ$1001,MATCH(ROWS($AH$2:AH872),$AH$2:$AH$1001,0),MATCH(COLUMNS($AO$1006:AT1006),$AO$1006:$BQ$1006,0)), HYPERLINK("#",""), HYPERLINK(CONCATENATE("#Metadata!", ADDRESS(INDEX($AJ$2:$AJ$1001,MATCH(ROWS($AH$2:AH872),$AH$2:$AH$1001,0),0), INDEX($AO$1004:$BQ$1004,1,MATCH(COLUMNS($AO$1006:AT1006),$AO$1006:$BQ$1006,0)))),"Fix")))</f>
        <v>#N/A</v>
      </c>
      <c r="H872" s="5" t="e">
        <f ca="1">IF(OR(INDEX($AI$2:$AI$1001,MATCH(ROWS($AH$2:AH872),$AH$2:$AH$1001,0),1)&gt;=100000,INDEX($AO$1005:$BQ$1005,1,MATCH(COLUMNS($AO$1006:AU1006),$AO$1006:$BQ$1006,0))&gt;=100000), " ",IF(INDEX($AO$2:$BQ$1001,MATCH(ROWS($AH$2:AH872),$AH$2:$AH$1001,0),MATCH(COLUMNS($AO$1006:AU1006),$AO$1006:$BQ$1006,0)), HYPERLINK("#",""), HYPERLINK(CONCATENATE("#Metadata!", ADDRESS(INDEX($AJ$2:$AJ$1001,MATCH(ROWS($AH$2:AH872),$AH$2:$AH$1001,0),0), INDEX($AO$1004:$BQ$1004,1,MATCH(COLUMNS($AO$1006:AU1006),$AO$1006:$BQ$1006,0)))),"Fix")))</f>
        <v>#N/A</v>
      </c>
      <c r="I872" s="5" t="e">
        <f ca="1">IF(OR(INDEX($AI$2:$AI$1001,MATCH(ROWS($AH$2:AH872),$AH$2:$AH$1001,0),1)&gt;=100000,INDEX($AO$1005:$BQ$1005,1,MATCH(COLUMNS($AO$1006:AV1006),$AO$1006:$BQ$1006,0))&gt;=100000), " ",IF(INDEX($AO$2:$BQ$1001,MATCH(ROWS($AH$2:AH872),$AH$2:$AH$1001,0),MATCH(COLUMNS($AO$1006:AV1006),$AO$1006:$BQ$1006,0)), HYPERLINK("#",""), HYPERLINK(CONCATENATE("#Metadata!", ADDRESS(INDEX($AJ$2:$AJ$1001,MATCH(ROWS($AH$2:AH872),$AH$2:$AH$1001,0),0), INDEX($AO$1004:$BQ$1004,1,MATCH(COLUMNS($AO$1006:AV1006),$AO$1006:$BQ$1006,0)))),"Fix")))</f>
        <v>#N/A</v>
      </c>
      <c r="J872" s="5" t="e">
        <f ca="1">IF(OR(INDEX($AI$2:$AI$1001,MATCH(ROWS($AH$2:AH872),$AH$2:$AH$1001,0),1)&gt;=100000,INDEX($AO$1005:$BQ$1005,1,MATCH(COLUMNS($AO$1006:AW1006),$AO$1006:$BQ$1006,0))&gt;=100000), " ",IF(INDEX($AO$2:$BQ$1001,MATCH(ROWS($AH$2:AH872),$AH$2:$AH$1001,0),MATCH(COLUMNS($AO$1006:AW1006),$AO$1006:$BQ$1006,0)), HYPERLINK("#",""), HYPERLINK(CONCATENATE("#Metadata!", ADDRESS(INDEX($AJ$2:$AJ$1001,MATCH(ROWS($AH$2:AH872),$AH$2:$AH$1001,0),0), INDEX($AO$1004:$BQ$1004,1,MATCH(COLUMNS($AO$1006:AW1006),$AO$1006:$BQ$1006,0)))),"Fix")))</f>
        <v>#N/A</v>
      </c>
      <c r="K872" s="5" t="e">
        <f ca="1">IF(OR(INDEX($AI$2:$AI$1001,MATCH(ROWS($AH$2:AH872),$AH$2:$AH$1001,0),1)&gt;=100000,INDEX($AO$1005:$BQ$1005,1,MATCH(COLUMNS($AO$1006:AX1006),$AO$1006:$BQ$1006,0))&gt;=100000), " ",IF(INDEX($AO$2:$BQ$1001,MATCH(ROWS($AH$2:AH872),$AH$2:$AH$1001,0),MATCH(COLUMNS($AO$1006:AX1006),$AO$1006:$BQ$1006,0)), HYPERLINK("#",""), HYPERLINK(CONCATENATE("#Metadata!", ADDRESS(INDEX($AJ$2:$AJ$1001,MATCH(ROWS($AH$2:AH872),$AH$2:$AH$1001,0),0), INDEX($AO$1004:$BQ$1004,1,MATCH(COLUMNS($AO$1006:AX1006),$AO$1006:$BQ$1006,0)))),"Fix")))</f>
        <v>#N/A</v>
      </c>
      <c r="L872" s="5" t="e">
        <f ca="1">IF(OR(INDEX($AI$2:$AI$1001,MATCH(ROWS($AH$2:AH872),$AH$2:$AH$1001,0),1)&gt;=100000,INDEX($AO$1005:$BQ$1005,1,MATCH(COLUMNS($AO$1006:AY1006),$AO$1006:$BQ$1006,0))&gt;=100000), " ",IF(INDEX($AO$2:$BQ$1001,MATCH(ROWS($AH$2:AH872),$AH$2:$AH$1001,0),MATCH(COLUMNS($AO$1006:AY1006),$AO$1006:$BQ$1006,0)), HYPERLINK("#",""), HYPERLINK(CONCATENATE("#Metadata!", ADDRESS(INDEX($AJ$2:$AJ$1001,MATCH(ROWS($AH$2:AH872),$AH$2:$AH$1001,0),0), INDEX($AO$1004:$BQ$1004,1,MATCH(COLUMNS($AO$1006:AY1006),$AO$1006:$BQ$1006,0)))),"Fix")))</f>
        <v>#N/A</v>
      </c>
      <c r="M872" s="5" t="e">
        <f ca="1">IF(OR(INDEX($AI$2:$AI$1001,MATCH(ROWS($AH$2:AH872),$AH$2:$AH$1001,0),1)&gt;=100000,INDEX($AO$1005:$BQ$1005,1,MATCH(COLUMNS($AO$1006:AZ1006),$AO$1006:$BQ$1006,0))&gt;=100000), " ",IF(INDEX($AO$2:$BQ$1001,MATCH(ROWS($AH$2:AH872),$AH$2:$AH$1001,0),MATCH(COLUMNS($AO$1006:AZ1006),$AO$1006:$BQ$1006,0)), HYPERLINK("#",""), HYPERLINK(CONCATENATE("#Metadata!", ADDRESS(INDEX($AJ$2:$AJ$1001,MATCH(ROWS($AH$2:AH872),$AH$2:$AH$1001,0),0), INDEX($AO$1004:$BQ$1004,1,MATCH(COLUMNS($AO$1006:AZ1006),$AO$1006:$BQ$1006,0)))),"Fix")))</f>
        <v>#N/A</v>
      </c>
      <c r="N872" s="5" t="e">
        <f ca="1">IF(OR(INDEX($AI$2:$AI$1001,MATCH(ROWS($AH$2:AH872),$AH$2:$AH$1001,0),1)&gt;=100000,INDEX($AO$1005:$BQ$1005,1,MATCH(COLUMNS($AO$1006:BA1006),$AO$1006:$BQ$1006,0))&gt;=100000), " ",IF(INDEX($AO$2:$BQ$1001,MATCH(ROWS($AH$2:AH872),$AH$2:$AH$1001,0),MATCH(COLUMNS($AO$1006:BA1006),$AO$1006:$BQ$1006,0)), HYPERLINK("#",""), HYPERLINK(CONCATENATE("#Metadata!", ADDRESS(INDEX($AJ$2:$AJ$1001,MATCH(ROWS($AH$2:AH872),$AH$2:$AH$1001,0),0), INDEX($AO$1004:$BQ$1004,1,MATCH(COLUMNS($AO$1006:BA1006),$AO$1006:$BQ$1006,0)))),"Fix")))</f>
        <v>#N/A</v>
      </c>
      <c r="O872" s="5" t="e">
        <f ca="1">IF(OR(INDEX($AI$2:$AI$1001,MATCH(ROWS($AH$2:AH872),$AH$2:$AH$1001,0),1)&gt;=100000,INDEX($AO$1005:$BQ$1005,1,MATCH(COLUMNS($AO$1006:BB1006),$AO$1006:$BQ$1006,0))&gt;=100000), " ",IF(INDEX($AO$2:$BQ$1001,MATCH(ROWS($AH$2:AH872),$AH$2:$AH$1001,0),MATCH(COLUMNS($AO$1006:BB1006),$AO$1006:$BQ$1006,0)), HYPERLINK("#",""), HYPERLINK(CONCATENATE("#Metadata!", ADDRESS(INDEX($AJ$2:$AJ$1001,MATCH(ROWS($AH$2:AH872),$AH$2:$AH$1001,0),0), INDEX($AO$1004:$BQ$1004,1,MATCH(COLUMNS($AO$1006:BB1006),$AO$1006:$BQ$1006,0)))),"Fix")))</f>
        <v>#N/A</v>
      </c>
      <c r="P872" s="5" t="e">
        <f ca="1">IF(OR(INDEX($AI$2:$AI$1001,MATCH(ROWS($AH$2:AH872),$AH$2:$AH$1001,0),1)&gt;=100000,INDEX($AO$1005:$BQ$1005,1,MATCH(COLUMNS($AO$1006:BC1006),$AO$1006:$BQ$1006,0))&gt;=100000), " ",IF(INDEX($AO$2:$BQ$1001,MATCH(ROWS($AH$2:AH872),$AH$2:$AH$1001,0),MATCH(COLUMNS($AO$1006:BC1006),$AO$1006:$BQ$1006,0)), HYPERLINK("#",""), HYPERLINK(CONCATENATE("#Metadata!", ADDRESS(INDEX($AJ$2:$AJ$1001,MATCH(ROWS($AH$2:AH872),$AH$2:$AH$1001,0),0), INDEX($AO$1004:$BQ$1004,1,MATCH(COLUMNS($AO$1006:BC1006),$AO$1006:$BQ$1006,0)))),"Fix")))</f>
        <v>#N/A</v>
      </c>
      <c r="Q872" s="5" t="e">
        <f ca="1">IF(OR(INDEX($AI$2:$AI$1001,MATCH(ROWS($AH$2:AH872),$AH$2:$AH$1001,0),1)&gt;=100000,INDEX($AO$1005:$BQ$1005,1,MATCH(COLUMNS($AO$1006:BD1006),$AO$1006:$BQ$1006,0))&gt;=100000), " ",IF(INDEX($AO$2:$BQ$1001,MATCH(ROWS($AH$2:AH872),$AH$2:$AH$1001,0),MATCH(COLUMNS($AO$1006:BD1006),$AO$1006:$BQ$1006,0)), HYPERLINK("#",""), HYPERLINK(CONCATENATE("#Metadata!", ADDRESS(INDEX($AJ$2:$AJ$1001,MATCH(ROWS($AH$2:AH872),$AH$2:$AH$1001,0),0), INDEX($AO$1004:$BQ$1004,1,MATCH(COLUMNS($AO$1006:BD1006),$AO$1006:$BQ$1006,0)))),"Fix")))</f>
        <v>#N/A</v>
      </c>
      <c r="R872" s="5" t="e">
        <f ca="1">IF(OR(INDEX($AI$2:$AI$1001,MATCH(ROWS($AH$2:AH872),$AH$2:$AH$1001,0),1)&gt;=100000,INDEX($AO$1005:$BQ$1005,1,MATCH(COLUMNS($AO$1006:BE1006),$AO$1006:$BQ$1006,0))&gt;=100000), " ",IF(INDEX($AO$2:$BQ$1001,MATCH(ROWS($AH$2:AH872),$AH$2:$AH$1001,0),MATCH(COLUMNS($AO$1006:BE1006),$AO$1006:$BQ$1006,0)), HYPERLINK("#",""), HYPERLINK(CONCATENATE("#Metadata!", ADDRESS(INDEX($AJ$2:$AJ$1001,MATCH(ROWS($AH$2:AH872),$AH$2:$AH$1001,0),0), INDEX($AO$1004:$BQ$1004,1,MATCH(COLUMNS($AO$1006:BE1006),$AO$1006:$BQ$1006,0)))),"Fix")))</f>
        <v>#N/A</v>
      </c>
      <c r="S872" s="5" t="e">
        <f ca="1">IF(OR(INDEX($AI$2:$AI$1001,MATCH(ROWS($AH$2:AH872),$AH$2:$AH$1001,0),1)&gt;=100000,INDEX($AO$1005:$BQ$1005,1,MATCH(COLUMNS($AO$1006:BF1006),$AO$1006:$BQ$1006,0))&gt;=100000), " ",IF(INDEX($AO$2:$BQ$1001,MATCH(ROWS($AH$2:AH872),$AH$2:$AH$1001,0),MATCH(COLUMNS($AO$1006:BF1006),$AO$1006:$BQ$1006,0)), HYPERLINK("#",""), HYPERLINK(CONCATENATE("#Metadata!", ADDRESS(INDEX($AJ$2:$AJ$1001,MATCH(ROWS($AH$2:AH872),$AH$2:$AH$1001,0),0), INDEX($AO$1004:$BQ$1004,1,MATCH(COLUMNS($AO$1006:BF1006),$AO$1006:$BQ$1006,0)))),"Fix")))</f>
        <v>#N/A</v>
      </c>
      <c r="T872" s="5" t="e">
        <f ca="1">IF(OR(INDEX($AI$2:$AI$1001,MATCH(ROWS($AH$2:AH872),$AH$2:$AH$1001,0),1)&gt;=100000,INDEX($AO$1005:$BQ$1005,1,MATCH(COLUMNS($AO$1006:BG1006),$AO$1006:$BQ$1006,0))&gt;=100000), " ",IF(INDEX($AO$2:$BQ$1001,MATCH(ROWS($AH$2:AH872),$AH$2:$AH$1001,0),MATCH(COLUMNS($AO$1006:BG1006),$AO$1006:$BQ$1006,0)), HYPERLINK("#",""), HYPERLINK(CONCATENATE("#Metadata!", ADDRESS(INDEX($AJ$2:$AJ$1001,MATCH(ROWS($AH$2:AH872),$AH$2:$AH$1001,0),0), INDEX($AO$1004:$BQ$1004,1,MATCH(COLUMNS($AO$1006:BG1006),$AO$1006:$BQ$1006,0)))),"Fix")))</f>
        <v>#N/A</v>
      </c>
      <c r="U872" s="5" t="e">
        <f ca="1">IF(OR(INDEX($AI$2:$AI$1001,MATCH(ROWS($AH$2:AH872),$AH$2:$AH$1001,0),1)&gt;=100000,INDEX($AO$1005:$BQ$1005,1,MATCH(COLUMNS($AO$1006:BH1006),$AO$1006:$BQ$1006,0))&gt;=100000), " ",IF(INDEX($AO$2:$BQ$1001,MATCH(ROWS($AH$2:AH872),$AH$2:$AH$1001,0),MATCH(COLUMNS($AO$1006:BH1006),$AO$1006:$BQ$1006,0)), HYPERLINK("#",""), HYPERLINK(CONCATENATE("#Metadata!", ADDRESS(INDEX($AJ$2:$AJ$1001,MATCH(ROWS($AH$2:AH872),$AH$2:$AH$1001,0),0), INDEX($AO$1004:$BQ$1004,1,MATCH(COLUMNS($AO$1006:BH1006),$AO$1006:$BQ$1006,0)))),"Fix")))</f>
        <v>#N/A</v>
      </c>
      <c r="V872" s="5" t="e">
        <f ca="1">IF(OR(INDEX($AI$2:$AI$1001,MATCH(ROWS($AH$2:AH872),$AH$2:$AH$1001,0),1)&gt;=100000,INDEX($AO$1005:$BQ$1005,1,MATCH(COLUMNS($AO$1006:BI1006),$AO$1006:$BQ$1006,0))&gt;=100000), " ",IF(INDEX($AO$2:$BQ$1001,MATCH(ROWS($AH$2:AH872),$AH$2:$AH$1001,0),MATCH(COLUMNS($AO$1006:BI1006),$AO$1006:$BQ$1006,0)), HYPERLINK("#",""), HYPERLINK(CONCATENATE("#Metadata!", ADDRESS(INDEX($AJ$2:$AJ$1001,MATCH(ROWS($AH$2:AH872),$AH$2:$AH$1001,0),0), INDEX($AO$1004:$BQ$1004,1,MATCH(COLUMNS($AO$1006:BI1006),$AO$1006:$BQ$1006,0)))),"Fix")))</f>
        <v>#N/A</v>
      </c>
      <c r="W872" s="5" t="e">
        <f ca="1">IF(OR(INDEX($AI$2:$AI$1001,MATCH(ROWS($AH$2:AH872),$AH$2:$AH$1001,0),1)&gt;=100000,INDEX($AO$1005:$BQ$1005,1,MATCH(COLUMNS($AO$1006:BJ1006),$AO$1006:$BQ$1006,0))&gt;=100000), " ",IF(INDEX($AO$2:$BQ$1001,MATCH(ROWS($AH$2:AH872),$AH$2:$AH$1001,0),MATCH(COLUMNS($AO$1006:BJ1006),$AO$1006:$BQ$1006,0)), HYPERLINK("#",""), HYPERLINK(CONCATENATE("#Metadata!", ADDRESS(INDEX($AJ$2:$AJ$1001,MATCH(ROWS($AH$2:AH872),$AH$2:$AH$1001,0),0), INDEX($AO$1004:$BQ$1004,1,MATCH(COLUMNS($AO$1006:BJ1006),$AO$1006:$BQ$1006,0)))),"Fix")))</f>
        <v>#N/A</v>
      </c>
      <c r="X872" s="5" t="e">
        <f ca="1">IF(OR(INDEX($AI$2:$AI$1001,MATCH(ROWS($AH$2:AH872),$AH$2:$AH$1001,0),1)&gt;=100000,INDEX($AO$1005:$BQ$1005,1,MATCH(COLUMNS($AO$1006:BK1006),$AO$1006:$BQ$1006,0))&gt;=100000), " ",IF(INDEX($AO$2:$BQ$1001,MATCH(ROWS($AH$2:AH872),$AH$2:$AH$1001,0),MATCH(COLUMNS($AO$1006:BK1006),$AO$1006:$BQ$1006,0)), HYPERLINK("#",""), HYPERLINK(CONCATENATE("#Metadata!", ADDRESS(INDEX($AJ$2:$AJ$1001,MATCH(ROWS($AH$2:AH872),$AH$2:$AH$1001,0),0), INDEX($AO$1004:$BQ$1004,1,MATCH(COLUMNS($AO$1006:BK1006),$AO$1006:$BQ$1006,0)))),"Fix")))</f>
        <v>#N/A</v>
      </c>
      <c r="Y872" s="5" t="e">
        <f ca="1">IF(OR(INDEX($AI$2:$AI$1001,MATCH(ROWS($AH$2:AH872),$AH$2:$AH$1001,0),1)&gt;=100000,INDEX($AO$1005:$BQ$1005,1,MATCH(COLUMNS($AO$1006:BL1006),$AO$1006:$BQ$1006,0))&gt;=100000), " ",IF(INDEX($AO$2:$BQ$1001,MATCH(ROWS($AH$2:AH872),$AH$2:$AH$1001,0),MATCH(COLUMNS($AO$1006:BL1006),$AO$1006:$BQ$1006,0)), HYPERLINK("#",""), HYPERLINK(CONCATENATE("#Metadata!", ADDRESS(INDEX($AJ$2:$AJ$1001,MATCH(ROWS($AH$2:AH872),$AH$2:$AH$1001,0),0), INDEX($AO$1004:$BQ$1004,1,MATCH(COLUMNS($AO$1006:BL1006),$AO$1006:$BQ$1006,0)))),"Fix")))</f>
        <v>#N/A</v>
      </c>
      <c r="Z872" s="5" t="e">
        <f ca="1">IF(OR(INDEX($AI$2:$AI$1001,MATCH(ROWS($AH$2:AH872),$AH$2:$AH$1001,0),1)&gt;=100000,INDEX($AO$1005:$BQ$1005,1,MATCH(COLUMNS($AO$1006:BM1006),$AO$1006:$BQ$1006,0))&gt;=100000), " ",IF(INDEX($AO$2:$BQ$1001,MATCH(ROWS($AH$2:AH872),$AH$2:$AH$1001,0),MATCH(COLUMNS($AO$1006:BM1006),$AO$1006:$BQ$1006,0)), HYPERLINK("#",""), HYPERLINK(CONCATENATE("#Metadata!", ADDRESS(INDEX($AJ$2:$AJ$1001,MATCH(ROWS($AH$2:AH872),$AH$2:$AH$1001,0),0), INDEX($AO$1004:$BQ$1004,1,MATCH(COLUMNS($AO$1006:BM1006),$AO$1006:$BQ$1006,0)))),"Fix")))</f>
        <v>#N/A</v>
      </c>
      <c r="AA872" s="5" t="e">
        <f ca="1">IF(OR(INDEX($AI$2:$AI$1001,MATCH(ROWS($AH$2:AH872),$AH$2:$AH$1001,0),1)&gt;=100000,INDEX($AO$1005:$BQ$1005,1,MATCH(COLUMNS($AO$1006:BN1006),$AO$1006:$BQ$1006,0))&gt;=100000), " ",IF(INDEX($AO$2:$BQ$1001,MATCH(ROWS($AH$2:AH872),$AH$2:$AH$1001,0),MATCH(COLUMNS($AO$1006:BN1006),$AO$1006:$BQ$1006,0)), HYPERLINK("#",""), HYPERLINK(CONCATENATE("#Metadata!", ADDRESS(INDEX($AJ$2:$AJ$1001,MATCH(ROWS($AH$2:AH872),$AH$2:$AH$1001,0),0), INDEX($AO$1004:$BQ$1004,1,MATCH(COLUMNS($AO$1006:BN1006),$AO$1006:$BQ$1006,0)))),"Fix")))</f>
        <v>#N/A</v>
      </c>
      <c r="AB872" s="5" t="e">
        <f ca="1">IF(OR(INDEX($AI$2:$AI$1001,MATCH(ROWS($AH$2:AH872),$AH$2:$AH$1001,0),1)&gt;=100000,INDEX($AO$1005:$BQ$1005,1,MATCH(COLUMNS($AO$1006:BO1006),$AO$1006:$BQ$1006,0))&gt;=100000), " ",IF(INDEX($AO$2:$BQ$1001,MATCH(ROWS($AH$2:AH872),$AH$2:$AH$1001,0),MATCH(COLUMNS($AO$1006:BO1006),$AO$1006:$BQ$1006,0)), HYPERLINK("#",""), HYPERLINK(CONCATENATE("#Metadata!", ADDRESS(INDEX($AJ$2:$AJ$1001,MATCH(ROWS($AH$2:AH872),$AH$2:$AH$1001,0),0), INDEX($AO$1004:$BQ$1004,1,MATCH(COLUMNS($AO$1006:BO1006),$AO$1006:$BQ$1006,0)))),"Fix")))</f>
        <v>#N/A</v>
      </c>
      <c r="AC872" s="5" t="e">
        <f ca="1">IF(OR(INDEX($AI$2:$AI$1001,MATCH(ROWS($AH$2:AH872),$AH$2:$AH$1001,0),1)&gt;=100000,INDEX($AO$1005:$BQ$1005,1,MATCH(COLUMNS($AO$1006:BP1006),$AO$1006:$BQ$1006,0))&gt;=100000), " ",IF(INDEX($AO$2:$BQ$1001,MATCH(ROWS($AH$2:AH872),$AH$2:$AH$1001,0),MATCH(COLUMNS($AO$1006:BP1006),$AO$1006:$BQ$1006,0)), HYPERLINK("#",""), HYPERLINK(CONCATENATE("#Metadata!", ADDRESS(INDEX($AJ$2:$AJ$1001,MATCH(ROWS($AH$2:AH872),$AH$2:$AH$1001,0),0), INDEX($AO$1004:$BQ$1004,1,MATCH(COLUMNS($AO$1006:BP1006),$AO$1006:$BQ$1006,0)))),"Fix")))</f>
        <v>#N/A</v>
      </c>
      <c r="AD872" s="5" t="e">
        <f ca="1">IF(OR(INDEX($AI$2:$AI$1001,MATCH(ROWS($AH$2:AH872),$AH$2:$AH$1001,0),1)&gt;=100000,INDEX($AO$1005:$BQ$1005,1,MATCH(COLUMNS($AO$1006:BQ1006),$AO$1006:$BQ$1006,0))&gt;=100000), " ",IF(INDEX($AO$2:$BQ$1001,MATCH(ROWS($AH$2:AH872),$AH$2:$AH$1001,0),MATCH(COLUMNS($AO$1006:BQ1006),$AO$1006:$BQ$1006,0)), HYPERLINK("#",""), HYPERLINK(CONCATENATE("#Metadata!", ADDRESS(INDEX($AJ$2:$AJ$1001,MATCH(ROWS($AH$2:AH872),$AH$2:$AH$1001,0),0), INDEX($AO$1004:$BQ$1004,1,MATCH(COLUMNS($AO$1006:BQ1006),$AO$1006:$BQ$1006,0)))),"Fix")))</f>
        <v>#REF!</v>
      </c>
      <c r="AH872">
        <f ca="1"/>
        <v>869</v>
      </c>
      <c r="AI872">
        <v>100872</v>
      </c>
      <c r="AJ872">
        <v>872</v>
      </c>
      <c r="AK872" t="b">
        <f t="shared" si="13"/>
        <v>1</v>
      </c>
      <c r="AL872" t="b">
        <f>COUNTBLANK(Metadata!B872:AD872)=COLUMNS(Metadata!B872:AD872)</f>
        <v>1</v>
      </c>
      <c r="AM872" t="str">
        <v/>
      </c>
      <c r="AO872" t="b">
        <f ca="1">AND(IF(Metadata!B872="",FALSE,TRUE),COUNTIF(Metadata!B:B, Metadata!B872) = 1,NOT(ISERROR(SUMPRODUCT(SEARCH(MID(Metadata!B872,ROW(INDIRECT("1:"&amp;LEN(Metadata!B872))), 1),"0123456789abcdefghijklmnopqrstuvwxyzABCDEFGHIJKLMNOPQRSTUVWXYZ.")))))</f>
        <v>0</v>
      </c>
      <c r="AP872" t="b">
        <f>IF(Metadata!C872="",FALSE,TRUE)</f>
        <v>0</v>
      </c>
      <c r="AQ872" t="b">
        <f>IF(Metadata!D872="",FALSE,TRUE)</f>
        <v>0</v>
      </c>
      <c r="AR872" t="b">
        <f ca="1">OR(AND(IF(Metadata!E872="",FALSE,TRUE),OR(EXACT(Metadata!E872,"not collected"),EXACT(Metadata!E872,"not provided"),EXACT(Metadata!E872,"restricted access"))),AND(IF(Metadata!E872="",FALSE,TRUE),AND(AND(IFERROR(INT(LEFT(Metadata!E872,4))&gt;1900,FALSE),IFERROR(INT(LEFT(Metadata!E872,4))&lt;=YEAR(NOW()),FALSE)), OR(MID(Metadata!E872,5,1)="", AND(AND(MID(Metadata!E872,5,1)="-",IFERROR(INT(MID(Metadata!E872,6,1))&gt;=0,FALSE),IFERROR(INT(MID(Metadata!E872,6,1))&lt;=1,FALSE),NOT(MID(Metadata!E872,7,1)=""),IFERROR(INT(MID(Metadata!E872,6,2))&gt;=1,FALSE),IFERROR(INT(MID(Metadata!E872,6,2))&lt;=12,FALSE)), OR(MID(Metadata!E872,8,1)="", AND(AND(MID(Metadata!E872,8,1)="-",IFERROR(INT(MID(Metadata!E872,9,1))&gt;=0,FALSE),IFERROR(INT(MID(Metadata!E872,9,1))&lt;=3,FALSE),NOT(MID(Metadata!E872,10,1)=""),IFERROR(INT(MID(Metadata!E872,9,2))&gt;=1,FALSE),IFERROR(INT(MID(Metadata!E872,9,2))&lt;=31,FALSE)), OR(MID(Metadata!E872,11,1)="", AND(AND(MID(Metadata!E872,11,1)=" ",IFERROR(INT(MID(Metadata!E872,12,1))&gt;=0,FALSE),IFERROR(INT(MID(Metadata!E872,12,1))&lt;=2,FALSE),NOT(MID(Metadata!E872,13,1)=""),IFERROR(INT(MID(Metadata!E872,12,2))&gt;=0,FALSE),IFERROR(INT(MID(Metadata!E872,12,2))&lt;=23,FALSE)), OR(MID(Metadata!E872,14,1)="", AND(AND(MID(Metadata!E872,14,1)=":",IFERROR(INT(MID(Metadata!E872,15,1))&gt;=0,FALSE),IFERROR(INT(MID(Metadata!E872,15,1))&lt;=5,FALSE),NOT(MID(Metadata!E872,16,1)=""),IFERROR(INT(MID(Metadata!E872,15,2))&gt;=0,FALSE),IFERROR(INT(MID(Metadata!E872,15,2))&lt;=59,FALSE)), OR(MID(Metadata!E872,17,1)="", AND(AND(MID(Metadata!E872,17,1)=":",IFERROR(INT(MID(Metadata!E872,18,1))&gt;=0,FALSE),IFERROR(INT(MID(Metadata!E872,18,1))&lt;=5,FALSE),NOT(MID(Metadata!E872,19,1)=""),IFERROR(INT(MID(Metadata!E872,18,2))&gt;=0,FALSE),IFERROR(INT(MID(Metadata!E872,18,2))&lt;=59,FALSE)), LEN(Metadata!E872)&lt;=19)))))))))))))</f>
        <v>0</v>
      </c>
      <c r="AS872" t="b">
        <f>IF(Metadata!F872="",FALSE,TRUE)</f>
        <v>0</v>
      </c>
      <c r="AT872" t="b">
        <f>OR(AND(IF(Metadata!G872="",FALSE,TRUE),OR(EXACT(Metadata!G872,"not collected"),EXACT(Metadata!G872,"not provided"))),AND(IF(Metadata!G872="",FALSE,TRUE),OR(EXACT(Metadata!G872,"TRUE"),EXACT(Metadata!G872,"FALSE"))))</f>
        <v>0</v>
      </c>
      <c r="AU872" t="b">
        <f>OR(AND(IF(Metadata!H872="",FALSE,TRUE),OR(EXACT(Metadata!H872,"not collected"),EXACT(Metadata!H872,"not provided"),EXACT(Metadata!H872,"restricted access"))),AND(IF(Metadata!H872="",FALSE,ISNUMBER(VALUE(Metadata!H872))),Metadata!H872&gt;=-413))</f>
        <v>0</v>
      </c>
      <c r="AV872" t="b">
        <f>AND(IF(Metadata!I872="",FALSE,TRUE),EXACT(Metadata!I872,"meters"))</f>
        <v>0</v>
      </c>
      <c r="AW872" t="b">
        <f>AND(IF(Metadata!J872="",FALSE,TRUE),EXACT(Metadata!J872,"free-living"))</f>
        <v>0</v>
      </c>
      <c r="AX872" t="b">
        <f>AND(IF(Metadata!K872="",FALSE,TRUE),OR(EXACT(Metadata!K872,"saline"),EXACT(Metadata!K872,"non-saline")))</f>
        <v>0</v>
      </c>
      <c r="AY872" t="b">
        <f>AND(IF(Metadata!L872="",FALSE,TRUE),OR(EXACT(Metadata!L872,"sub-surface (non-saline)"),EXACT(Metadata!L872,"surface (non-saline)"),EXACT(Metadata!L872,"water (non-saline)"),EXACT(Metadata!L872,"soil (non-saline)"),EXACT(Metadata!L872,"aerosol (non-saline)"),EXACT(Metadata!L872,"sediment (non-saline)"),EXACT(Metadata!L872,"surface (saline)"),EXACT(Metadata!L872,"water (saline)"),EXACT(Metadata!L872,"hypersaline (saline)"),EXACT(Metadata!L872,"aerosol (saline)"),EXACT(Metadata!L872,"sediment (saline)")))</f>
        <v>0</v>
      </c>
      <c r="AZ872" t="b">
        <f>IF(Metadata!M872="",FALSE,TRUE)</f>
        <v>0</v>
      </c>
      <c r="BA872" t="b">
        <f>IF(Metadata!N872="",FALSE,TRUE)</f>
        <v>0</v>
      </c>
      <c r="BB872" t="b">
        <f>IF(Metadata!O872="",FALSE,TRUE)</f>
        <v>0</v>
      </c>
      <c r="BC872" t="b">
        <f>AND(IF(Metadata!P872="",FALSE,TRUE),OR(EXACT(Metadata!P872,"air"),EXACT(Metadata!P872,"microbial mat/biofilm"),EXACT(Metadata!P872,"misc environment"),EXACT(Metadata!P872,"sediment"),EXACT(Metadata!P872,"soil"),EXACT(Metadata!P872,"wastewater/sludge"),EXACT(Metadata!P872,"water")))</f>
        <v>0</v>
      </c>
      <c r="BD872" t="b">
        <f>IF(Metadata!Q872="",FALSE,TRUE)</f>
        <v>0</v>
      </c>
      <c r="BE872" t="b">
        <f>IF(Metadata!R872="",FALSE,TRUE)</f>
        <v>0</v>
      </c>
      <c r="BF872" t="b">
        <f>OR(AND(IF(Metadata!S872="",FALSE,TRUE),OR(EXACT(Metadata!S872,"not collected"),EXACT(Metadata!S872,"not provided"),EXACT(Metadata!S872,"restricted access"))),AND(IF(Metadata!S872="",FALSE,ISNUMBER(VALUE(Metadata!S872))),Metadata!S872&gt;=-90,Metadata!S872&lt;=90))</f>
        <v>0</v>
      </c>
      <c r="BG872" t="b">
        <f>AND(IF(Metadata!T872="",FALSE,TRUE),EXACT(Metadata!T872,"Decimal degrees"))</f>
        <v>0</v>
      </c>
      <c r="BH872" t="b">
        <f>OR(AND(IF(Metadata!U872="",FALSE,TRUE),OR(EXACT(Metadata!U872,"not applicable"),EXACT(Metadata!U872,"not collected"))),IF(Metadata!U872="",FALSE,TRUE))</f>
        <v>0</v>
      </c>
      <c r="BI872" t="b">
        <f>OR(AND(IF(Metadata!V872="",FALSE,TRUE),OR(EXACT(Metadata!V872,"not collected"),EXACT(Metadata!V872,"not provided"),EXACT(Metadata!V872,"restricted access"))),AND(IF(Metadata!V872="",FALSE,ISNUMBER(VALUE(Metadata!V872))),Metadata!V872&gt;=-180,Metadata!V872&lt;=180))</f>
        <v>0</v>
      </c>
      <c r="BJ872" t="b">
        <f>AND(IF(Metadata!W872="",FALSE,TRUE),EXACT(Metadata!W872,"Decimal degrees"))</f>
        <v>0</v>
      </c>
      <c r="BK872" t="b">
        <f>IF(Metadata!X872="",FALSE,TRUE)</f>
        <v>0</v>
      </c>
      <c r="BL872" t="b">
        <f>OR(AND(IF(Metadata!Y872="",FALSE,TRUE),OR(EXACT(Metadata!Y872,"not collected"),EXACT(Metadata!Y872,"not provided"),EXACT(Metadata!Y872,"restricted access"))),AND(IF(Metadata!Y872="",FALSE,TRUE),OR(EXACT(Metadata!Y872,"TRUE"),EXACT(Metadata!Y872,"FALSE"))))</f>
        <v>0</v>
      </c>
      <c r="BM872" t="b">
        <f>OR(AND(IF(Metadata!Z872="",FALSE,TRUE),EXACT(Metadata!Z872,"not applicable")),AND(IF(Metadata!Z872="",FALSE,TRUE),OR(EXACT(Metadata!Z872,"beer"),EXACT(Metadata!Z872,"cheese"),EXACT(Metadata!Z872,"fresh water"),EXACT(Metadata!Z872,"marine sediment"),EXACT(Metadata!Z872,"sea water"),EXACT(Metadata!Z872,"sediment"),EXACT(Metadata!Z872,"soil"),EXACT(Metadata!Z872,"waste water"))))</f>
        <v>0</v>
      </c>
      <c r="BN872" t="b">
        <f>AND(IF(Metadata!AA872="",FALSE,TRUE),EXACT(Metadata!AA872,"metagenome"))</f>
        <v>0</v>
      </c>
      <c r="BO872" t="b">
        <f>AND(IF(Metadata!AB872="",FALSE,TRUE),EXACT(Metadata!AB872,"256318"))</f>
        <v>0</v>
      </c>
      <c r="BP872" t="b">
        <f>IF(Metadata!AC872="",FALSE,TRUE)</f>
        <v>0</v>
      </c>
      <c r="BQ872" t="b">
        <f>IF(Metadata!AD872="",FALSE,TRUE)</f>
        <v>0</v>
      </c>
    </row>
    <row r="873" spans="1:69" x14ac:dyDescent="0.2">
      <c r="A873" s="4" t="e">
        <f ca="1">IF(B873=" "," ",HYPERLINK(CONCATENATE("#metadata!",ADDRESS(INDEX($AJ$2:$AJ$1001,MATCH(ROWS($AH$2:AH873),$AH$2:$AH$1001,0),0),2)),INDEX($AM$2:$AM$1001,MATCH(ROWS($AH$2:AH873),$AH$2:$AH$1001,0),0)))</f>
        <v>#N/A</v>
      </c>
      <c r="B873" s="5" t="e">
        <f ca="1">IF(OR(INDEX($AI$2:$AI$1001,MATCH(ROWS($AH$2:AH873),$AH$2:$AH$1001,0),1)&gt;=100000,INDEX($AO$1005:$BQ$1005,1,MATCH(COLUMNS($AO$1006:AO1006),$AO$1006:$BQ$1006,0))&gt;=100000), " ",IF(INDEX($AO$2:$BQ$1001,MATCH(ROWS($AH$2:AH873),$AH$2:$AH$1001,0),MATCH(COLUMNS($AO$1006:AO1006),$AO$1006:$BQ$1006,0)), HYPERLINK("#",""), HYPERLINK(CONCATENATE("#Metadata!", ADDRESS(INDEX($AJ$2:$AJ$1001,MATCH(ROWS($AH$2:AH873),$AH$2:$AH$1001,0),0), INDEX($AO$1004:$BQ$1004,1,MATCH(COLUMNS($AO$1006:AO1006),$AO$1006:$BQ$1006,0)))),"Fix")))</f>
        <v>#N/A</v>
      </c>
      <c r="C873" s="5" t="e">
        <f ca="1">IF(OR(INDEX($AI$2:$AI$1001,MATCH(ROWS($AH$2:AH873),$AH$2:$AH$1001,0),1)&gt;=100000,INDEX($AO$1005:$BQ$1005,1,MATCH(COLUMNS($AO$1006:AP1006),$AO$1006:$BQ$1006,0))&gt;=100000), " ",IF(INDEX($AO$2:$BQ$1001,MATCH(ROWS($AH$2:AH873),$AH$2:$AH$1001,0),MATCH(COLUMNS($AO$1006:AP1006),$AO$1006:$BQ$1006,0)), HYPERLINK("#",""), HYPERLINK(CONCATENATE("#Metadata!", ADDRESS(INDEX($AJ$2:$AJ$1001,MATCH(ROWS($AH$2:AH873),$AH$2:$AH$1001,0),0), INDEX($AO$1004:$BQ$1004,1,MATCH(COLUMNS($AO$1006:AP1006),$AO$1006:$BQ$1006,0)))),"Fix")))</f>
        <v>#N/A</v>
      </c>
      <c r="D873" s="5" t="e">
        <f ca="1">IF(OR(INDEX($AI$2:$AI$1001,MATCH(ROWS($AH$2:AH873),$AH$2:$AH$1001,0),1)&gt;=100000,INDEX($AO$1005:$BQ$1005,1,MATCH(COLUMNS($AO$1006:AQ1006),$AO$1006:$BQ$1006,0))&gt;=100000), " ",IF(INDEX($AO$2:$BQ$1001,MATCH(ROWS($AH$2:AH873),$AH$2:$AH$1001,0),MATCH(COLUMNS($AO$1006:AQ1006),$AO$1006:$BQ$1006,0)), HYPERLINK("#",""), HYPERLINK(CONCATENATE("#Metadata!", ADDRESS(INDEX($AJ$2:$AJ$1001,MATCH(ROWS($AH$2:AH873),$AH$2:$AH$1001,0),0), INDEX($AO$1004:$BQ$1004,1,MATCH(COLUMNS($AO$1006:AQ1006),$AO$1006:$BQ$1006,0)))),"Fix")))</f>
        <v>#N/A</v>
      </c>
      <c r="E873" s="5" t="e">
        <f ca="1">IF(OR(INDEX($AI$2:$AI$1001,MATCH(ROWS($AH$2:AH873),$AH$2:$AH$1001,0),1)&gt;=100000,INDEX($AO$1005:$BQ$1005,1,MATCH(COLUMNS($AO$1006:AR1006),$AO$1006:$BQ$1006,0))&gt;=100000), " ",IF(INDEX($AO$2:$BQ$1001,MATCH(ROWS($AH$2:AH873),$AH$2:$AH$1001,0),MATCH(COLUMNS($AO$1006:AR1006),$AO$1006:$BQ$1006,0)), HYPERLINK("#",""), HYPERLINK(CONCATENATE("#Metadata!", ADDRESS(INDEX($AJ$2:$AJ$1001,MATCH(ROWS($AH$2:AH873),$AH$2:$AH$1001,0),0), INDEX($AO$1004:$BQ$1004,1,MATCH(COLUMNS($AO$1006:AR1006),$AO$1006:$BQ$1006,0)))),"Fix")))</f>
        <v>#N/A</v>
      </c>
      <c r="F873" s="5" t="e">
        <f ca="1">IF(OR(INDEX($AI$2:$AI$1001,MATCH(ROWS($AH$2:AH873),$AH$2:$AH$1001,0),1)&gt;=100000,INDEX($AO$1005:$BQ$1005,1,MATCH(COLUMNS($AO$1006:AS1006),$AO$1006:$BQ$1006,0))&gt;=100000), " ",IF(INDEX($AO$2:$BQ$1001,MATCH(ROWS($AH$2:AH873),$AH$2:$AH$1001,0),MATCH(COLUMNS($AO$1006:AS1006),$AO$1006:$BQ$1006,0)), HYPERLINK("#",""), HYPERLINK(CONCATENATE("#Metadata!", ADDRESS(INDEX($AJ$2:$AJ$1001,MATCH(ROWS($AH$2:AH873),$AH$2:$AH$1001,0),0), INDEX($AO$1004:$BQ$1004,1,MATCH(COLUMNS($AO$1006:AS1006),$AO$1006:$BQ$1006,0)))),"Fix")))</f>
        <v>#N/A</v>
      </c>
      <c r="G873" s="5" t="e">
        <f ca="1">IF(OR(INDEX($AI$2:$AI$1001,MATCH(ROWS($AH$2:AH873),$AH$2:$AH$1001,0),1)&gt;=100000,INDEX($AO$1005:$BQ$1005,1,MATCH(COLUMNS($AO$1006:AT1006),$AO$1006:$BQ$1006,0))&gt;=100000), " ",IF(INDEX($AO$2:$BQ$1001,MATCH(ROWS($AH$2:AH873),$AH$2:$AH$1001,0),MATCH(COLUMNS($AO$1006:AT1006),$AO$1006:$BQ$1006,0)), HYPERLINK("#",""), HYPERLINK(CONCATENATE("#Metadata!", ADDRESS(INDEX($AJ$2:$AJ$1001,MATCH(ROWS($AH$2:AH873),$AH$2:$AH$1001,0),0), INDEX($AO$1004:$BQ$1004,1,MATCH(COLUMNS($AO$1006:AT1006),$AO$1006:$BQ$1006,0)))),"Fix")))</f>
        <v>#N/A</v>
      </c>
      <c r="H873" s="5" t="e">
        <f ca="1">IF(OR(INDEX($AI$2:$AI$1001,MATCH(ROWS($AH$2:AH873),$AH$2:$AH$1001,0),1)&gt;=100000,INDEX($AO$1005:$BQ$1005,1,MATCH(COLUMNS($AO$1006:AU1006),$AO$1006:$BQ$1006,0))&gt;=100000), " ",IF(INDEX($AO$2:$BQ$1001,MATCH(ROWS($AH$2:AH873),$AH$2:$AH$1001,0),MATCH(COLUMNS($AO$1006:AU1006),$AO$1006:$BQ$1006,0)), HYPERLINK("#",""), HYPERLINK(CONCATENATE("#Metadata!", ADDRESS(INDEX($AJ$2:$AJ$1001,MATCH(ROWS($AH$2:AH873),$AH$2:$AH$1001,0),0), INDEX($AO$1004:$BQ$1004,1,MATCH(COLUMNS($AO$1006:AU1006),$AO$1006:$BQ$1006,0)))),"Fix")))</f>
        <v>#N/A</v>
      </c>
      <c r="I873" s="5" t="e">
        <f ca="1">IF(OR(INDEX($AI$2:$AI$1001,MATCH(ROWS($AH$2:AH873),$AH$2:$AH$1001,0),1)&gt;=100000,INDEX($AO$1005:$BQ$1005,1,MATCH(COLUMNS($AO$1006:AV1006),$AO$1006:$BQ$1006,0))&gt;=100000), " ",IF(INDEX($AO$2:$BQ$1001,MATCH(ROWS($AH$2:AH873),$AH$2:$AH$1001,0),MATCH(COLUMNS($AO$1006:AV1006),$AO$1006:$BQ$1006,0)), HYPERLINK("#",""), HYPERLINK(CONCATENATE("#Metadata!", ADDRESS(INDEX($AJ$2:$AJ$1001,MATCH(ROWS($AH$2:AH873),$AH$2:$AH$1001,0),0), INDEX($AO$1004:$BQ$1004,1,MATCH(COLUMNS($AO$1006:AV1006),$AO$1006:$BQ$1006,0)))),"Fix")))</f>
        <v>#N/A</v>
      </c>
      <c r="J873" s="5" t="e">
        <f ca="1">IF(OR(INDEX($AI$2:$AI$1001,MATCH(ROWS($AH$2:AH873),$AH$2:$AH$1001,0),1)&gt;=100000,INDEX($AO$1005:$BQ$1005,1,MATCH(COLUMNS($AO$1006:AW1006),$AO$1006:$BQ$1006,0))&gt;=100000), " ",IF(INDEX($AO$2:$BQ$1001,MATCH(ROWS($AH$2:AH873),$AH$2:$AH$1001,0),MATCH(COLUMNS($AO$1006:AW1006),$AO$1006:$BQ$1006,0)), HYPERLINK("#",""), HYPERLINK(CONCATENATE("#Metadata!", ADDRESS(INDEX($AJ$2:$AJ$1001,MATCH(ROWS($AH$2:AH873),$AH$2:$AH$1001,0),0), INDEX($AO$1004:$BQ$1004,1,MATCH(COLUMNS($AO$1006:AW1006),$AO$1006:$BQ$1006,0)))),"Fix")))</f>
        <v>#N/A</v>
      </c>
      <c r="K873" s="5" t="e">
        <f ca="1">IF(OR(INDEX($AI$2:$AI$1001,MATCH(ROWS($AH$2:AH873),$AH$2:$AH$1001,0),1)&gt;=100000,INDEX($AO$1005:$BQ$1005,1,MATCH(COLUMNS($AO$1006:AX1006),$AO$1006:$BQ$1006,0))&gt;=100000), " ",IF(INDEX($AO$2:$BQ$1001,MATCH(ROWS($AH$2:AH873),$AH$2:$AH$1001,0),MATCH(COLUMNS($AO$1006:AX1006),$AO$1006:$BQ$1006,0)), HYPERLINK("#",""), HYPERLINK(CONCATENATE("#Metadata!", ADDRESS(INDEX($AJ$2:$AJ$1001,MATCH(ROWS($AH$2:AH873),$AH$2:$AH$1001,0),0), INDEX($AO$1004:$BQ$1004,1,MATCH(COLUMNS($AO$1006:AX1006),$AO$1006:$BQ$1006,0)))),"Fix")))</f>
        <v>#N/A</v>
      </c>
      <c r="L873" s="5" t="e">
        <f ca="1">IF(OR(INDEX($AI$2:$AI$1001,MATCH(ROWS($AH$2:AH873),$AH$2:$AH$1001,0),1)&gt;=100000,INDEX($AO$1005:$BQ$1005,1,MATCH(COLUMNS($AO$1006:AY1006),$AO$1006:$BQ$1006,0))&gt;=100000), " ",IF(INDEX($AO$2:$BQ$1001,MATCH(ROWS($AH$2:AH873),$AH$2:$AH$1001,0),MATCH(COLUMNS($AO$1006:AY1006),$AO$1006:$BQ$1006,0)), HYPERLINK("#",""), HYPERLINK(CONCATENATE("#Metadata!", ADDRESS(INDEX($AJ$2:$AJ$1001,MATCH(ROWS($AH$2:AH873),$AH$2:$AH$1001,0),0), INDEX($AO$1004:$BQ$1004,1,MATCH(COLUMNS($AO$1006:AY1006),$AO$1006:$BQ$1006,0)))),"Fix")))</f>
        <v>#N/A</v>
      </c>
      <c r="M873" s="5" t="e">
        <f ca="1">IF(OR(INDEX($AI$2:$AI$1001,MATCH(ROWS($AH$2:AH873),$AH$2:$AH$1001,0),1)&gt;=100000,INDEX($AO$1005:$BQ$1005,1,MATCH(COLUMNS($AO$1006:AZ1006),$AO$1006:$BQ$1006,0))&gt;=100000), " ",IF(INDEX($AO$2:$BQ$1001,MATCH(ROWS($AH$2:AH873),$AH$2:$AH$1001,0),MATCH(COLUMNS($AO$1006:AZ1006),$AO$1006:$BQ$1006,0)), HYPERLINK("#",""), HYPERLINK(CONCATENATE("#Metadata!", ADDRESS(INDEX($AJ$2:$AJ$1001,MATCH(ROWS($AH$2:AH873),$AH$2:$AH$1001,0),0), INDEX($AO$1004:$BQ$1004,1,MATCH(COLUMNS($AO$1006:AZ1006),$AO$1006:$BQ$1006,0)))),"Fix")))</f>
        <v>#N/A</v>
      </c>
      <c r="N873" s="5" t="e">
        <f ca="1">IF(OR(INDEX($AI$2:$AI$1001,MATCH(ROWS($AH$2:AH873),$AH$2:$AH$1001,0),1)&gt;=100000,INDEX($AO$1005:$BQ$1005,1,MATCH(COLUMNS($AO$1006:BA1006),$AO$1006:$BQ$1006,0))&gt;=100000), " ",IF(INDEX($AO$2:$BQ$1001,MATCH(ROWS($AH$2:AH873),$AH$2:$AH$1001,0),MATCH(COLUMNS($AO$1006:BA1006),$AO$1006:$BQ$1006,0)), HYPERLINK("#",""), HYPERLINK(CONCATENATE("#Metadata!", ADDRESS(INDEX($AJ$2:$AJ$1001,MATCH(ROWS($AH$2:AH873),$AH$2:$AH$1001,0),0), INDEX($AO$1004:$BQ$1004,1,MATCH(COLUMNS($AO$1006:BA1006),$AO$1006:$BQ$1006,0)))),"Fix")))</f>
        <v>#N/A</v>
      </c>
      <c r="O873" s="5" t="e">
        <f ca="1">IF(OR(INDEX($AI$2:$AI$1001,MATCH(ROWS($AH$2:AH873),$AH$2:$AH$1001,0),1)&gt;=100000,INDEX($AO$1005:$BQ$1005,1,MATCH(COLUMNS($AO$1006:BB1006),$AO$1006:$BQ$1006,0))&gt;=100000), " ",IF(INDEX($AO$2:$BQ$1001,MATCH(ROWS($AH$2:AH873),$AH$2:$AH$1001,0),MATCH(COLUMNS($AO$1006:BB1006),$AO$1006:$BQ$1006,0)), HYPERLINK("#",""), HYPERLINK(CONCATENATE("#Metadata!", ADDRESS(INDEX($AJ$2:$AJ$1001,MATCH(ROWS($AH$2:AH873),$AH$2:$AH$1001,0),0), INDEX($AO$1004:$BQ$1004,1,MATCH(COLUMNS($AO$1006:BB1006),$AO$1006:$BQ$1006,0)))),"Fix")))</f>
        <v>#N/A</v>
      </c>
      <c r="P873" s="5" t="e">
        <f ca="1">IF(OR(INDEX($AI$2:$AI$1001,MATCH(ROWS($AH$2:AH873),$AH$2:$AH$1001,0),1)&gt;=100000,INDEX($AO$1005:$BQ$1005,1,MATCH(COLUMNS($AO$1006:BC1006),$AO$1006:$BQ$1006,0))&gt;=100000), " ",IF(INDEX($AO$2:$BQ$1001,MATCH(ROWS($AH$2:AH873),$AH$2:$AH$1001,0),MATCH(COLUMNS($AO$1006:BC1006),$AO$1006:$BQ$1006,0)), HYPERLINK("#",""), HYPERLINK(CONCATENATE("#Metadata!", ADDRESS(INDEX($AJ$2:$AJ$1001,MATCH(ROWS($AH$2:AH873),$AH$2:$AH$1001,0),0), INDEX($AO$1004:$BQ$1004,1,MATCH(COLUMNS($AO$1006:BC1006),$AO$1006:$BQ$1006,0)))),"Fix")))</f>
        <v>#N/A</v>
      </c>
      <c r="Q873" s="5" t="e">
        <f ca="1">IF(OR(INDEX($AI$2:$AI$1001,MATCH(ROWS($AH$2:AH873),$AH$2:$AH$1001,0),1)&gt;=100000,INDEX($AO$1005:$BQ$1005,1,MATCH(COLUMNS($AO$1006:BD1006),$AO$1006:$BQ$1006,0))&gt;=100000), " ",IF(INDEX($AO$2:$BQ$1001,MATCH(ROWS($AH$2:AH873),$AH$2:$AH$1001,0),MATCH(COLUMNS($AO$1006:BD1006),$AO$1006:$BQ$1006,0)), HYPERLINK("#",""), HYPERLINK(CONCATENATE("#Metadata!", ADDRESS(INDEX($AJ$2:$AJ$1001,MATCH(ROWS($AH$2:AH873),$AH$2:$AH$1001,0),0), INDEX($AO$1004:$BQ$1004,1,MATCH(COLUMNS($AO$1006:BD1006),$AO$1006:$BQ$1006,0)))),"Fix")))</f>
        <v>#N/A</v>
      </c>
      <c r="R873" s="5" t="e">
        <f ca="1">IF(OR(INDEX($AI$2:$AI$1001,MATCH(ROWS($AH$2:AH873),$AH$2:$AH$1001,0),1)&gt;=100000,INDEX($AO$1005:$BQ$1005,1,MATCH(COLUMNS($AO$1006:BE1006),$AO$1006:$BQ$1006,0))&gt;=100000), " ",IF(INDEX($AO$2:$BQ$1001,MATCH(ROWS($AH$2:AH873),$AH$2:$AH$1001,0),MATCH(COLUMNS($AO$1006:BE1006),$AO$1006:$BQ$1006,0)), HYPERLINK("#",""), HYPERLINK(CONCATENATE("#Metadata!", ADDRESS(INDEX($AJ$2:$AJ$1001,MATCH(ROWS($AH$2:AH873),$AH$2:$AH$1001,0),0), INDEX($AO$1004:$BQ$1004,1,MATCH(COLUMNS($AO$1006:BE1006),$AO$1006:$BQ$1006,0)))),"Fix")))</f>
        <v>#N/A</v>
      </c>
      <c r="S873" s="5" t="e">
        <f ca="1">IF(OR(INDEX($AI$2:$AI$1001,MATCH(ROWS($AH$2:AH873),$AH$2:$AH$1001,0),1)&gt;=100000,INDEX($AO$1005:$BQ$1005,1,MATCH(COLUMNS($AO$1006:BF1006),$AO$1006:$BQ$1006,0))&gt;=100000), " ",IF(INDEX($AO$2:$BQ$1001,MATCH(ROWS($AH$2:AH873),$AH$2:$AH$1001,0),MATCH(COLUMNS($AO$1006:BF1006),$AO$1006:$BQ$1006,0)), HYPERLINK("#",""), HYPERLINK(CONCATENATE("#Metadata!", ADDRESS(INDEX($AJ$2:$AJ$1001,MATCH(ROWS($AH$2:AH873),$AH$2:$AH$1001,0),0), INDEX($AO$1004:$BQ$1004,1,MATCH(COLUMNS($AO$1006:BF1006),$AO$1006:$BQ$1006,0)))),"Fix")))</f>
        <v>#N/A</v>
      </c>
      <c r="T873" s="5" t="e">
        <f ca="1">IF(OR(INDEX($AI$2:$AI$1001,MATCH(ROWS($AH$2:AH873),$AH$2:$AH$1001,0),1)&gt;=100000,INDEX($AO$1005:$BQ$1005,1,MATCH(COLUMNS($AO$1006:BG1006),$AO$1006:$BQ$1006,0))&gt;=100000), " ",IF(INDEX($AO$2:$BQ$1001,MATCH(ROWS($AH$2:AH873),$AH$2:$AH$1001,0),MATCH(COLUMNS($AO$1006:BG1006),$AO$1006:$BQ$1006,0)), HYPERLINK("#",""), HYPERLINK(CONCATENATE("#Metadata!", ADDRESS(INDEX($AJ$2:$AJ$1001,MATCH(ROWS($AH$2:AH873),$AH$2:$AH$1001,0),0), INDEX($AO$1004:$BQ$1004,1,MATCH(COLUMNS($AO$1006:BG1006),$AO$1006:$BQ$1006,0)))),"Fix")))</f>
        <v>#N/A</v>
      </c>
      <c r="U873" s="5" t="e">
        <f ca="1">IF(OR(INDEX($AI$2:$AI$1001,MATCH(ROWS($AH$2:AH873),$AH$2:$AH$1001,0),1)&gt;=100000,INDEX($AO$1005:$BQ$1005,1,MATCH(COLUMNS($AO$1006:BH1006),$AO$1006:$BQ$1006,0))&gt;=100000), " ",IF(INDEX($AO$2:$BQ$1001,MATCH(ROWS($AH$2:AH873),$AH$2:$AH$1001,0),MATCH(COLUMNS($AO$1006:BH1006),$AO$1006:$BQ$1006,0)), HYPERLINK("#",""), HYPERLINK(CONCATENATE("#Metadata!", ADDRESS(INDEX($AJ$2:$AJ$1001,MATCH(ROWS($AH$2:AH873),$AH$2:$AH$1001,0),0), INDEX($AO$1004:$BQ$1004,1,MATCH(COLUMNS($AO$1006:BH1006),$AO$1006:$BQ$1006,0)))),"Fix")))</f>
        <v>#N/A</v>
      </c>
      <c r="V873" s="5" t="e">
        <f ca="1">IF(OR(INDEX($AI$2:$AI$1001,MATCH(ROWS($AH$2:AH873),$AH$2:$AH$1001,0),1)&gt;=100000,INDEX($AO$1005:$BQ$1005,1,MATCH(COLUMNS($AO$1006:BI1006),$AO$1006:$BQ$1006,0))&gt;=100000), " ",IF(INDEX($AO$2:$BQ$1001,MATCH(ROWS($AH$2:AH873),$AH$2:$AH$1001,0),MATCH(COLUMNS($AO$1006:BI1006),$AO$1006:$BQ$1006,0)), HYPERLINK("#",""), HYPERLINK(CONCATENATE("#Metadata!", ADDRESS(INDEX($AJ$2:$AJ$1001,MATCH(ROWS($AH$2:AH873),$AH$2:$AH$1001,0),0), INDEX($AO$1004:$BQ$1004,1,MATCH(COLUMNS($AO$1006:BI1006),$AO$1006:$BQ$1006,0)))),"Fix")))</f>
        <v>#N/A</v>
      </c>
      <c r="W873" s="5" t="e">
        <f ca="1">IF(OR(INDEX($AI$2:$AI$1001,MATCH(ROWS($AH$2:AH873),$AH$2:$AH$1001,0),1)&gt;=100000,INDEX($AO$1005:$BQ$1005,1,MATCH(COLUMNS($AO$1006:BJ1006),$AO$1006:$BQ$1006,0))&gt;=100000), " ",IF(INDEX($AO$2:$BQ$1001,MATCH(ROWS($AH$2:AH873),$AH$2:$AH$1001,0),MATCH(COLUMNS($AO$1006:BJ1006),$AO$1006:$BQ$1006,0)), HYPERLINK("#",""), HYPERLINK(CONCATENATE("#Metadata!", ADDRESS(INDEX($AJ$2:$AJ$1001,MATCH(ROWS($AH$2:AH873),$AH$2:$AH$1001,0),0), INDEX($AO$1004:$BQ$1004,1,MATCH(COLUMNS($AO$1006:BJ1006),$AO$1006:$BQ$1006,0)))),"Fix")))</f>
        <v>#N/A</v>
      </c>
      <c r="X873" s="5" t="e">
        <f ca="1">IF(OR(INDEX($AI$2:$AI$1001,MATCH(ROWS($AH$2:AH873),$AH$2:$AH$1001,0),1)&gt;=100000,INDEX($AO$1005:$BQ$1005,1,MATCH(COLUMNS($AO$1006:BK1006),$AO$1006:$BQ$1006,0))&gt;=100000), " ",IF(INDEX($AO$2:$BQ$1001,MATCH(ROWS($AH$2:AH873),$AH$2:$AH$1001,0),MATCH(COLUMNS($AO$1006:BK1006),$AO$1006:$BQ$1006,0)), HYPERLINK("#",""), HYPERLINK(CONCATENATE("#Metadata!", ADDRESS(INDEX($AJ$2:$AJ$1001,MATCH(ROWS($AH$2:AH873),$AH$2:$AH$1001,0),0), INDEX($AO$1004:$BQ$1004,1,MATCH(COLUMNS($AO$1006:BK1006),$AO$1006:$BQ$1006,0)))),"Fix")))</f>
        <v>#N/A</v>
      </c>
      <c r="Y873" s="5" t="e">
        <f ca="1">IF(OR(INDEX($AI$2:$AI$1001,MATCH(ROWS($AH$2:AH873),$AH$2:$AH$1001,0),1)&gt;=100000,INDEX($AO$1005:$BQ$1005,1,MATCH(COLUMNS($AO$1006:BL1006),$AO$1006:$BQ$1006,0))&gt;=100000), " ",IF(INDEX($AO$2:$BQ$1001,MATCH(ROWS($AH$2:AH873),$AH$2:$AH$1001,0),MATCH(COLUMNS($AO$1006:BL1006),$AO$1006:$BQ$1006,0)), HYPERLINK("#",""), HYPERLINK(CONCATENATE("#Metadata!", ADDRESS(INDEX($AJ$2:$AJ$1001,MATCH(ROWS($AH$2:AH873),$AH$2:$AH$1001,0),0), INDEX($AO$1004:$BQ$1004,1,MATCH(COLUMNS($AO$1006:BL1006),$AO$1006:$BQ$1006,0)))),"Fix")))</f>
        <v>#N/A</v>
      </c>
      <c r="Z873" s="5" t="e">
        <f ca="1">IF(OR(INDEX($AI$2:$AI$1001,MATCH(ROWS($AH$2:AH873),$AH$2:$AH$1001,0),1)&gt;=100000,INDEX($AO$1005:$BQ$1005,1,MATCH(COLUMNS($AO$1006:BM1006),$AO$1006:$BQ$1006,0))&gt;=100000), " ",IF(INDEX($AO$2:$BQ$1001,MATCH(ROWS($AH$2:AH873),$AH$2:$AH$1001,0),MATCH(COLUMNS($AO$1006:BM1006),$AO$1006:$BQ$1006,0)), HYPERLINK("#",""), HYPERLINK(CONCATENATE("#Metadata!", ADDRESS(INDEX($AJ$2:$AJ$1001,MATCH(ROWS($AH$2:AH873),$AH$2:$AH$1001,0),0), INDEX($AO$1004:$BQ$1004,1,MATCH(COLUMNS($AO$1006:BM1006),$AO$1006:$BQ$1006,0)))),"Fix")))</f>
        <v>#N/A</v>
      </c>
      <c r="AA873" s="5" t="e">
        <f ca="1">IF(OR(INDEX($AI$2:$AI$1001,MATCH(ROWS($AH$2:AH873),$AH$2:$AH$1001,0),1)&gt;=100000,INDEX($AO$1005:$BQ$1005,1,MATCH(COLUMNS($AO$1006:BN1006),$AO$1006:$BQ$1006,0))&gt;=100000), " ",IF(INDEX($AO$2:$BQ$1001,MATCH(ROWS($AH$2:AH873),$AH$2:$AH$1001,0),MATCH(COLUMNS($AO$1006:BN1006),$AO$1006:$BQ$1006,0)), HYPERLINK("#",""), HYPERLINK(CONCATENATE("#Metadata!", ADDRESS(INDEX($AJ$2:$AJ$1001,MATCH(ROWS($AH$2:AH873),$AH$2:$AH$1001,0),0), INDEX($AO$1004:$BQ$1004,1,MATCH(COLUMNS($AO$1006:BN1006),$AO$1006:$BQ$1006,0)))),"Fix")))</f>
        <v>#N/A</v>
      </c>
      <c r="AB873" s="5" t="e">
        <f ca="1">IF(OR(INDEX($AI$2:$AI$1001,MATCH(ROWS($AH$2:AH873),$AH$2:$AH$1001,0),1)&gt;=100000,INDEX($AO$1005:$BQ$1005,1,MATCH(COLUMNS($AO$1006:BO1006),$AO$1006:$BQ$1006,0))&gt;=100000), " ",IF(INDEX($AO$2:$BQ$1001,MATCH(ROWS($AH$2:AH873),$AH$2:$AH$1001,0),MATCH(COLUMNS($AO$1006:BO1006),$AO$1006:$BQ$1006,0)), HYPERLINK("#",""), HYPERLINK(CONCATENATE("#Metadata!", ADDRESS(INDEX($AJ$2:$AJ$1001,MATCH(ROWS($AH$2:AH873),$AH$2:$AH$1001,0),0), INDEX($AO$1004:$BQ$1004,1,MATCH(COLUMNS($AO$1006:BO1006),$AO$1006:$BQ$1006,0)))),"Fix")))</f>
        <v>#N/A</v>
      </c>
      <c r="AC873" s="5" t="e">
        <f ca="1">IF(OR(INDEX($AI$2:$AI$1001,MATCH(ROWS($AH$2:AH873),$AH$2:$AH$1001,0),1)&gt;=100000,INDEX($AO$1005:$BQ$1005,1,MATCH(COLUMNS($AO$1006:BP1006),$AO$1006:$BQ$1006,0))&gt;=100000), " ",IF(INDEX($AO$2:$BQ$1001,MATCH(ROWS($AH$2:AH873),$AH$2:$AH$1001,0),MATCH(COLUMNS($AO$1006:BP1006),$AO$1006:$BQ$1006,0)), HYPERLINK("#",""), HYPERLINK(CONCATENATE("#Metadata!", ADDRESS(INDEX($AJ$2:$AJ$1001,MATCH(ROWS($AH$2:AH873),$AH$2:$AH$1001,0),0), INDEX($AO$1004:$BQ$1004,1,MATCH(COLUMNS($AO$1006:BP1006),$AO$1006:$BQ$1006,0)))),"Fix")))</f>
        <v>#N/A</v>
      </c>
      <c r="AD873" s="5" t="e">
        <f ca="1">IF(OR(INDEX($AI$2:$AI$1001,MATCH(ROWS($AH$2:AH873),$AH$2:$AH$1001,0),1)&gt;=100000,INDEX($AO$1005:$BQ$1005,1,MATCH(COLUMNS($AO$1006:BQ1006),$AO$1006:$BQ$1006,0))&gt;=100000), " ",IF(INDEX($AO$2:$BQ$1001,MATCH(ROWS($AH$2:AH873),$AH$2:$AH$1001,0),MATCH(COLUMNS($AO$1006:BQ1006),$AO$1006:$BQ$1006,0)), HYPERLINK("#",""), HYPERLINK(CONCATENATE("#Metadata!", ADDRESS(INDEX($AJ$2:$AJ$1001,MATCH(ROWS($AH$2:AH873),$AH$2:$AH$1001,0),0), INDEX($AO$1004:$BQ$1004,1,MATCH(COLUMNS($AO$1006:BQ1006),$AO$1006:$BQ$1006,0)))),"Fix")))</f>
        <v>#REF!</v>
      </c>
      <c r="AH873">
        <f ca="1"/>
        <v>870</v>
      </c>
      <c r="AI873">
        <v>100873</v>
      </c>
      <c r="AJ873">
        <v>873</v>
      </c>
      <c r="AK873" t="b">
        <f t="shared" si="13"/>
        <v>1</v>
      </c>
      <c r="AL873" t="b">
        <f>COUNTBLANK(Metadata!B873:AD873)=COLUMNS(Metadata!B873:AD873)</f>
        <v>1</v>
      </c>
      <c r="AM873" t="str">
        <v/>
      </c>
      <c r="AO873" t="b">
        <f ca="1">AND(IF(Metadata!B873="",FALSE,TRUE),COUNTIF(Metadata!B:B, Metadata!B873) = 1,NOT(ISERROR(SUMPRODUCT(SEARCH(MID(Metadata!B873,ROW(INDIRECT("1:"&amp;LEN(Metadata!B873))), 1),"0123456789abcdefghijklmnopqrstuvwxyzABCDEFGHIJKLMNOPQRSTUVWXYZ.")))))</f>
        <v>0</v>
      </c>
      <c r="AP873" t="b">
        <f>IF(Metadata!C873="",FALSE,TRUE)</f>
        <v>0</v>
      </c>
      <c r="AQ873" t="b">
        <f>IF(Metadata!D873="",FALSE,TRUE)</f>
        <v>0</v>
      </c>
      <c r="AR873" t="b">
        <f ca="1">OR(AND(IF(Metadata!E873="",FALSE,TRUE),OR(EXACT(Metadata!E873,"not collected"),EXACT(Metadata!E873,"not provided"),EXACT(Metadata!E873,"restricted access"))),AND(IF(Metadata!E873="",FALSE,TRUE),AND(AND(IFERROR(INT(LEFT(Metadata!E873,4))&gt;1900,FALSE),IFERROR(INT(LEFT(Metadata!E873,4))&lt;=YEAR(NOW()),FALSE)), OR(MID(Metadata!E873,5,1)="", AND(AND(MID(Metadata!E873,5,1)="-",IFERROR(INT(MID(Metadata!E873,6,1))&gt;=0,FALSE),IFERROR(INT(MID(Metadata!E873,6,1))&lt;=1,FALSE),NOT(MID(Metadata!E873,7,1)=""),IFERROR(INT(MID(Metadata!E873,6,2))&gt;=1,FALSE),IFERROR(INT(MID(Metadata!E873,6,2))&lt;=12,FALSE)), OR(MID(Metadata!E873,8,1)="", AND(AND(MID(Metadata!E873,8,1)="-",IFERROR(INT(MID(Metadata!E873,9,1))&gt;=0,FALSE),IFERROR(INT(MID(Metadata!E873,9,1))&lt;=3,FALSE),NOT(MID(Metadata!E873,10,1)=""),IFERROR(INT(MID(Metadata!E873,9,2))&gt;=1,FALSE),IFERROR(INT(MID(Metadata!E873,9,2))&lt;=31,FALSE)), OR(MID(Metadata!E873,11,1)="", AND(AND(MID(Metadata!E873,11,1)=" ",IFERROR(INT(MID(Metadata!E873,12,1))&gt;=0,FALSE),IFERROR(INT(MID(Metadata!E873,12,1))&lt;=2,FALSE),NOT(MID(Metadata!E873,13,1)=""),IFERROR(INT(MID(Metadata!E873,12,2))&gt;=0,FALSE),IFERROR(INT(MID(Metadata!E873,12,2))&lt;=23,FALSE)), OR(MID(Metadata!E873,14,1)="", AND(AND(MID(Metadata!E873,14,1)=":",IFERROR(INT(MID(Metadata!E873,15,1))&gt;=0,FALSE),IFERROR(INT(MID(Metadata!E873,15,1))&lt;=5,FALSE),NOT(MID(Metadata!E873,16,1)=""),IFERROR(INT(MID(Metadata!E873,15,2))&gt;=0,FALSE),IFERROR(INT(MID(Metadata!E873,15,2))&lt;=59,FALSE)), OR(MID(Metadata!E873,17,1)="", AND(AND(MID(Metadata!E873,17,1)=":",IFERROR(INT(MID(Metadata!E873,18,1))&gt;=0,FALSE),IFERROR(INT(MID(Metadata!E873,18,1))&lt;=5,FALSE),NOT(MID(Metadata!E873,19,1)=""),IFERROR(INT(MID(Metadata!E873,18,2))&gt;=0,FALSE),IFERROR(INT(MID(Metadata!E873,18,2))&lt;=59,FALSE)), LEN(Metadata!E873)&lt;=19)))))))))))))</f>
        <v>0</v>
      </c>
      <c r="AS873" t="b">
        <f>IF(Metadata!F873="",FALSE,TRUE)</f>
        <v>0</v>
      </c>
      <c r="AT873" t="b">
        <f>OR(AND(IF(Metadata!G873="",FALSE,TRUE),OR(EXACT(Metadata!G873,"not collected"),EXACT(Metadata!G873,"not provided"))),AND(IF(Metadata!G873="",FALSE,TRUE),OR(EXACT(Metadata!G873,"TRUE"),EXACT(Metadata!G873,"FALSE"))))</f>
        <v>0</v>
      </c>
      <c r="AU873" t="b">
        <f>OR(AND(IF(Metadata!H873="",FALSE,TRUE),OR(EXACT(Metadata!H873,"not collected"),EXACT(Metadata!H873,"not provided"),EXACT(Metadata!H873,"restricted access"))),AND(IF(Metadata!H873="",FALSE,ISNUMBER(VALUE(Metadata!H873))),Metadata!H873&gt;=-413))</f>
        <v>0</v>
      </c>
      <c r="AV873" t="b">
        <f>AND(IF(Metadata!I873="",FALSE,TRUE),EXACT(Metadata!I873,"meters"))</f>
        <v>0</v>
      </c>
      <c r="AW873" t="b">
        <f>AND(IF(Metadata!J873="",FALSE,TRUE),EXACT(Metadata!J873,"free-living"))</f>
        <v>0</v>
      </c>
      <c r="AX873" t="b">
        <f>AND(IF(Metadata!K873="",FALSE,TRUE),OR(EXACT(Metadata!K873,"saline"),EXACT(Metadata!K873,"non-saline")))</f>
        <v>0</v>
      </c>
      <c r="AY873" t="b">
        <f>AND(IF(Metadata!L873="",FALSE,TRUE),OR(EXACT(Metadata!L873,"sub-surface (non-saline)"),EXACT(Metadata!L873,"surface (non-saline)"),EXACT(Metadata!L873,"water (non-saline)"),EXACT(Metadata!L873,"soil (non-saline)"),EXACT(Metadata!L873,"aerosol (non-saline)"),EXACT(Metadata!L873,"sediment (non-saline)"),EXACT(Metadata!L873,"surface (saline)"),EXACT(Metadata!L873,"water (saline)"),EXACT(Metadata!L873,"hypersaline (saline)"),EXACT(Metadata!L873,"aerosol (saline)"),EXACT(Metadata!L873,"sediment (saline)")))</f>
        <v>0</v>
      </c>
      <c r="AZ873" t="b">
        <f>IF(Metadata!M873="",FALSE,TRUE)</f>
        <v>0</v>
      </c>
      <c r="BA873" t="b">
        <f>IF(Metadata!N873="",FALSE,TRUE)</f>
        <v>0</v>
      </c>
      <c r="BB873" t="b">
        <f>IF(Metadata!O873="",FALSE,TRUE)</f>
        <v>0</v>
      </c>
      <c r="BC873" t="b">
        <f>AND(IF(Metadata!P873="",FALSE,TRUE),OR(EXACT(Metadata!P873,"air"),EXACT(Metadata!P873,"microbial mat/biofilm"),EXACT(Metadata!P873,"misc environment"),EXACT(Metadata!P873,"sediment"),EXACT(Metadata!P873,"soil"),EXACT(Metadata!P873,"wastewater/sludge"),EXACT(Metadata!P873,"water")))</f>
        <v>0</v>
      </c>
      <c r="BD873" t="b">
        <f>IF(Metadata!Q873="",FALSE,TRUE)</f>
        <v>0</v>
      </c>
      <c r="BE873" t="b">
        <f>IF(Metadata!R873="",FALSE,TRUE)</f>
        <v>0</v>
      </c>
      <c r="BF873" t="b">
        <f>OR(AND(IF(Metadata!S873="",FALSE,TRUE),OR(EXACT(Metadata!S873,"not collected"),EXACT(Metadata!S873,"not provided"),EXACT(Metadata!S873,"restricted access"))),AND(IF(Metadata!S873="",FALSE,ISNUMBER(VALUE(Metadata!S873))),Metadata!S873&gt;=-90,Metadata!S873&lt;=90))</f>
        <v>0</v>
      </c>
      <c r="BG873" t="b">
        <f>AND(IF(Metadata!T873="",FALSE,TRUE),EXACT(Metadata!T873,"Decimal degrees"))</f>
        <v>0</v>
      </c>
      <c r="BH873" t="b">
        <f>OR(AND(IF(Metadata!U873="",FALSE,TRUE),OR(EXACT(Metadata!U873,"not applicable"),EXACT(Metadata!U873,"not collected"))),IF(Metadata!U873="",FALSE,TRUE))</f>
        <v>0</v>
      </c>
      <c r="BI873" t="b">
        <f>OR(AND(IF(Metadata!V873="",FALSE,TRUE),OR(EXACT(Metadata!V873,"not collected"),EXACT(Metadata!V873,"not provided"),EXACT(Metadata!V873,"restricted access"))),AND(IF(Metadata!V873="",FALSE,ISNUMBER(VALUE(Metadata!V873))),Metadata!V873&gt;=-180,Metadata!V873&lt;=180))</f>
        <v>0</v>
      </c>
      <c r="BJ873" t="b">
        <f>AND(IF(Metadata!W873="",FALSE,TRUE),EXACT(Metadata!W873,"Decimal degrees"))</f>
        <v>0</v>
      </c>
      <c r="BK873" t="b">
        <f>IF(Metadata!X873="",FALSE,TRUE)</f>
        <v>0</v>
      </c>
      <c r="BL873" t="b">
        <f>OR(AND(IF(Metadata!Y873="",FALSE,TRUE),OR(EXACT(Metadata!Y873,"not collected"),EXACT(Metadata!Y873,"not provided"),EXACT(Metadata!Y873,"restricted access"))),AND(IF(Metadata!Y873="",FALSE,TRUE),OR(EXACT(Metadata!Y873,"TRUE"),EXACT(Metadata!Y873,"FALSE"))))</f>
        <v>0</v>
      </c>
      <c r="BM873" t="b">
        <f>OR(AND(IF(Metadata!Z873="",FALSE,TRUE),EXACT(Metadata!Z873,"not applicable")),AND(IF(Metadata!Z873="",FALSE,TRUE),OR(EXACT(Metadata!Z873,"beer"),EXACT(Metadata!Z873,"cheese"),EXACT(Metadata!Z873,"fresh water"),EXACT(Metadata!Z873,"marine sediment"),EXACT(Metadata!Z873,"sea water"),EXACT(Metadata!Z873,"sediment"),EXACT(Metadata!Z873,"soil"),EXACT(Metadata!Z873,"waste water"))))</f>
        <v>0</v>
      </c>
      <c r="BN873" t="b">
        <f>AND(IF(Metadata!AA873="",FALSE,TRUE),EXACT(Metadata!AA873,"metagenome"))</f>
        <v>0</v>
      </c>
      <c r="BO873" t="b">
        <f>AND(IF(Metadata!AB873="",FALSE,TRUE),EXACT(Metadata!AB873,"256318"))</f>
        <v>0</v>
      </c>
      <c r="BP873" t="b">
        <f>IF(Metadata!AC873="",FALSE,TRUE)</f>
        <v>0</v>
      </c>
      <c r="BQ873" t="b">
        <f>IF(Metadata!AD873="",FALSE,TRUE)</f>
        <v>0</v>
      </c>
    </row>
    <row r="874" spans="1:69" x14ac:dyDescent="0.2">
      <c r="A874" s="4" t="e">
        <f ca="1">IF(B874=" "," ",HYPERLINK(CONCATENATE("#metadata!",ADDRESS(INDEX($AJ$2:$AJ$1001,MATCH(ROWS($AH$2:AH874),$AH$2:$AH$1001,0),0),2)),INDEX($AM$2:$AM$1001,MATCH(ROWS($AH$2:AH874),$AH$2:$AH$1001,0),0)))</f>
        <v>#N/A</v>
      </c>
      <c r="B874" s="5" t="e">
        <f ca="1">IF(OR(INDEX($AI$2:$AI$1001,MATCH(ROWS($AH$2:AH874),$AH$2:$AH$1001,0),1)&gt;=100000,INDEX($AO$1005:$BQ$1005,1,MATCH(COLUMNS($AO$1006:AO1006),$AO$1006:$BQ$1006,0))&gt;=100000), " ",IF(INDEX($AO$2:$BQ$1001,MATCH(ROWS($AH$2:AH874),$AH$2:$AH$1001,0),MATCH(COLUMNS($AO$1006:AO1006),$AO$1006:$BQ$1006,0)), HYPERLINK("#",""), HYPERLINK(CONCATENATE("#Metadata!", ADDRESS(INDEX($AJ$2:$AJ$1001,MATCH(ROWS($AH$2:AH874),$AH$2:$AH$1001,0),0), INDEX($AO$1004:$BQ$1004,1,MATCH(COLUMNS($AO$1006:AO1006),$AO$1006:$BQ$1006,0)))),"Fix")))</f>
        <v>#N/A</v>
      </c>
      <c r="C874" s="5" t="e">
        <f ca="1">IF(OR(INDEX($AI$2:$AI$1001,MATCH(ROWS($AH$2:AH874),$AH$2:$AH$1001,0),1)&gt;=100000,INDEX($AO$1005:$BQ$1005,1,MATCH(COLUMNS($AO$1006:AP1006),$AO$1006:$BQ$1006,0))&gt;=100000), " ",IF(INDEX($AO$2:$BQ$1001,MATCH(ROWS($AH$2:AH874),$AH$2:$AH$1001,0),MATCH(COLUMNS($AO$1006:AP1006),$AO$1006:$BQ$1006,0)), HYPERLINK("#",""), HYPERLINK(CONCATENATE("#Metadata!", ADDRESS(INDEX($AJ$2:$AJ$1001,MATCH(ROWS($AH$2:AH874),$AH$2:$AH$1001,0),0), INDEX($AO$1004:$BQ$1004,1,MATCH(COLUMNS($AO$1006:AP1006),$AO$1006:$BQ$1006,0)))),"Fix")))</f>
        <v>#N/A</v>
      </c>
      <c r="D874" s="5" t="e">
        <f ca="1">IF(OR(INDEX($AI$2:$AI$1001,MATCH(ROWS($AH$2:AH874),$AH$2:$AH$1001,0),1)&gt;=100000,INDEX($AO$1005:$BQ$1005,1,MATCH(COLUMNS($AO$1006:AQ1006),$AO$1006:$BQ$1006,0))&gt;=100000), " ",IF(INDEX($AO$2:$BQ$1001,MATCH(ROWS($AH$2:AH874),$AH$2:$AH$1001,0),MATCH(COLUMNS($AO$1006:AQ1006),$AO$1006:$BQ$1006,0)), HYPERLINK("#",""), HYPERLINK(CONCATENATE("#Metadata!", ADDRESS(INDEX($AJ$2:$AJ$1001,MATCH(ROWS($AH$2:AH874),$AH$2:$AH$1001,0),0), INDEX($AO$1004:$BQ$1004,1,MATCH(COLUMNS($AO$1006:AQ1006),$AO$1006:$BQ$1006,0)))),"Fix")))</f>
        <v>#N/A</v>
      </c>
      <c r="E874" s="5" t="e">
        <f ca="1">IF(OR(INDEX($AI$2:$AI$1001,MATCH(ROWS($AH$2:AH874),$AH$2:$AH$1001,0),1)&gt;=100000,INDEX($AO$1005:$BQ$1005,1,MATCH(COLUMNS($AO$1006:AR1006),$AO$1006:$BQ$1006,0))&gt;=100000), " ",IF(INDEX($AO$2:$BQ$1001,MATCH(ROWS($AH$2:AH874),$AH$2:$AH$1001,0),MATCH(COLUMNS($AO$1006:AR1006),$AO$1006:$BQ$1006,0)), HYPERLINK("#",""), HYPERLINK(CONCATENATE("#Metadata!", ADDRESS(INDEX($AJ$2:$AJ$1001,MATCH(ROWS($AH$2:AH874),$AH$2:$AH$1001,0),0), INDEX($AO$1004:$BQ$1004,1,MATCH(COLUMNS($AO$1006:AR1006),$AO$1006:$BQ$1006,0)))),"Fix")))</f>
        <v>#N/A</v>
      </c>
      <c r="F874" s="5" t="e">
        <f ca="1">IF(OR(INDEX($AI$2:$AI$1001,MATCH(ROWS($AH$2:AH874),$AH$2:$AH$1001,0),1)&gt;=100000,INDEX($AO$1005:$BQ$1005,1,MATCH(COLUMNS($AO$1006:AS1006),$AO$1006:$BQ$1006,0))&gt;=100000), " ",IF(INDEX($AO$2:$BQ$1001,MATCH(ROWS($AH$2:AH874),$AH$2:$AH$1001,0),MATCH(COLUMNS($AO$1006:AS1006),$AO$1006:$BQ$1006,0)), HYPERLINK("#",""), HYPERLINK(CONCATENATE("#Metadata!", ADDRESS(INDEX($AJ$2:$AJ$1001,MATCH(ROWS($AH$2:AH874),$AH$2:$AH$1001,0),0), INDEX($AO$1004:$BQ$1004,1,MATCH(COLUMNS($AO$1006:AS1006),$AO$1006:$BQ$1006,0)))),"Fix")))</f>
        <v>#N/A</v>
      </c>
      <c r="G874" s="5" t="e">
        <f ca="1">IF(OR(INDEX($AI$2:$AI$1001,MATCH(ROWS($AH$2:AH874),$AH$2:$AH$1001,0),1)&gt;=100000,INDEX($AO$1005:$BQ$1005,1,MATCH(COLUMNS($AO$1006:AT1006),$AO$1006:$BQ$1006,0))&gt;=100000), " ",IF(INDEX($AO$2:$BQ$1001,MATCH(ROWS($AH$2:AH874),$AH$2:$AH$1001,0),MATCH(COLUMNS($AO$1006:AT1006),$AO$1006:$BQ$1006,0)), HYPERLINK("#",""), HYPERLINK(CONCATENATE("#Metadata!", ADDRESS(INDEX($AJ$2:$AJ$1001,MATCH(ROWS($AH$2:AH874),$AH$2:$AH$1001,0),0), INDEX($AO$1004:$BQ$1004,1,MATCH(COLUMNS($AO$1006:AT1006),$AO$1006:$BQ$1006,0)))),"Fix")))</f>
        <v>#N/A</v>
      </c>
      <c r="H874" s="5" t="e">
        <f ca="1">IF(OR(INDEX($AI$2:$AI$1001,MATCH(ROWS($AH$2:AH874),$AH$2:$AH$1001,0),1)&gt;=100000,INDEX($AO$1005:$BQ$1005,1,MATCH(COLUMNS($AO$1006:AU1006),$AO$1006:$BQ$1006,0))&gt;=100000), " ",IF(INDEX($AO$2:$BQ$1001,MATCH(ROWS($AH$2:AH874),$AH$2:$AH$1001,0),MATCH(COLUMNS($AO$1006:AU1006),$AO$1006:$BQ$1006,0)), HYPERLINK("#",""), HYPERLINK(CONCATENATE("#Metadata!", ADDRESS(INDEX($AJ$2:$AJ$1001,MATCH(ROWS($AH$2:AH874),$AH$2:$AH$1001,0),0), INDEX($AO$1004:$BQ$1004,1,MATCH(COLUMNS($AO$1006:AU1006),$AO$1006:$BQ$1006,0)))),"Fix")))</f>
        <v>#N/A</v>
      </c>
      <c r="I874" s="5" t="e">
        <f ca="1">IF(OR(INDEX($AI$2:$AI$1001,MATCH(ROWS($AH$2:AH874),$AH$2:$AH$1001,0),1)&gt;=100000,INDEX($AO$1005:$BQ$1005,1,MATCH(COLUMNS($AO$1006:AV1006),$AO$1006:$BQ$1006,0))&gt;=100000), " ",IF(INDEX($AO$2:$BQ$1001,MATCH(ROWS($AH$2:AH874),$AH$2:$AH$1001,0),MATCH(COLUMNS($AO$1006:AV1006),$AO$1006:$BQ$1006,0)), HYPERLINK("#",""), HYPERLINK(CONCATENATE("#Metadata!", ADDRESS(INDEX($AJ$2:$AJ$1001,MATCH(ROWS($AH$2:AH874),$AH$2:$AH$1001,0),0), INDEX($AO$1004:$BQ$1004,1,MATCH(COLUMNS($AO$1006:AV1006),$AO$1006:$BQ$1006,0)))),"Fix")))</f>
        <v>#N/A</v>
      </c>
      <c r="J874" s="5" t="e">
        <f ca="1">IF(OR(INDEX($AI$2:$AI$1001,MATCH(ROWS($AH$2:AH874),$AH$2:$AH$1001,0),1)&gt;=100000,INDEX($AO$1005:$BQ$1005,1,MATCH(COLUMNS($AO$1006:AW1006),$AO$1006:$BQ$1006,0))&gt;=100000), " ",IF(INDEX($AO$2:$BQ$1001,MATCH(ROWS($AH$2:AH874),$AH$2:$AH$1001,0),MATCH(COLUMNS($AO$1006:AW1006),$AO$1006:$BQ$1006,0)), HYPERLINK("#",""), HYPERLINK(CONCATENATE("#Metadata!", ADDRESS(INDEX($AJ$2:$AJ$1001,MATCH(ROWS($AH$2:AH874),$AH$2:$AH$1001,0),0), INDEX($AO$1004:$BQ$1004,1,MATCH(COLUMNS($AO$1006:AW1006),$AO$1006:$BQ$1006,0)))),"Fix")))</f>
        <v>#N/A</v>
      </c>
      <c r="K874" s="5" t="e">
        <f ca="1">IF(OR(INDEX($AI$2:$AI$1001,MATCH(ROWS($AH$2:AH874),$AH$2:$AH$1001,0),1)&gt;=100000,INDEX($AO$1005:$BQ$1005,1,MATCH(COLUMNS($AO$1006:AX1006),$AO$1006:$BQ$1006,0))&gt;=100000), " ",IF(INDEX($AO$2:$BQ$1001,MATCH(ROWS($AH$2:AH874),$AH$2:$AH$1001,0),MATCH(COLUMNS($AO$1006:AX1006),$AO$1006:$BQ$1006,0)), HYPERLINK("#",""), HYPERLINK(CONCATENATE("#Metadata!", ADDRESS(INDEX($AJ$2:$AJ$1001,MATCH(ROWS($AH$2:AH874),$AH$2:$AH$1001,0),0), INDEX($AO$1004:$BQ$1004,1,MATCH(COLUMNS($AO$1006:AX1006),$AO$1006:$BQ$1006,0)))),"Fix")))</f>
        <v>#N/A</v>
      </c>
      <c r="L874" s="5" t="e">
        <f ca="1">IF(OR(INDEX($AI$2:$AI$1001,MATCH(ROWS($AH$2:AH874),$AH$2:$AH$1001,0),1)&gt;=100000,INDEX($AO$1005:$BQ$1005,1,MATCH(COLUMNS($AO$1006:AY1006),$AO$1006:$BQ$1006,0))&gt;=100000), " ",IF(INDEX($AO$2:$BQ$1001,MATCH(ROWS($AH$2:AH874),$AH$2:$AH$1001,0),MATCH(COLUMNS($AO$1006:AY1006),$AO$1006:$BQ$1006,0)), HYPERLINK("#",""), HYPERLINK(CONCATENATE("#Metadata!", ADDRESS(INDEX($AJ$2:$AJ$1001,MATCH(ROWS($AH$2:AH874),$AH$2:$AH$1001,0),0), INDEX($AO$1004:$BQ$1004,1,MATCH(COLUMNS($AO$1006:AY1006),$AO$1006:$BQ$1006,0)))),"Fix")))</f>
        <v>#N/A</v>
      </c>
      <c r="M874" s="5" t="e">
        <f ca="1">IF(OR(INDEX($AI$2:$AI$1001,MATCH(ROWS($AH$2:AH874),$AH$2:$AH$1001,0),1)&gt;=100000,INDEX($AO$1005:$BQ$1005,1,MATCH(COLUMNS($AO$1006:AZ1006),$AO$1006:$BQ$1006,0))&gt;=100000), " ",IF(INDEX($AO$2:$BQ$1001,MATCH(ROWS($AH$2:AH874),$AH$2:$AH$1001,0),MATCH(COLUMNS($AO$1006:AZ1006),$AO$1006:$BQ$1006,0)), HYPERLINK("#",""), HYPERLINK(CONCATENATE("#Metadata!", ADDRESS(INDEX($AJ$2:$AJ$1001,MATCH(ROWS($AH$2:AH874),$AH$2:$AH$1001,0),0), INDEX($AO$1004:$BQ$1004,1,MATCH(COLUMNS($AO$1006:AZ1006),$AO$1006:$BQ$1006,0)))),"Fix")))</f>
        <v>#N/A</v>
      </c>
      <c r="N874" s="5" t="e">
        <f ca="1">IF(OR(INDEX($AI$2:$AI$1001,MATCH(ROWS($AH$2:AH874),$AH$2:$AH$1001,0),1)&gt;=100000,INDEX($AO$1005:$BQ$1005,1,MATCH(COLUMNS($AO$1006:BA1006),$AO$1006:$BQ$1006,0))&gt;=100000), " ",IF(INDEX($AO$2:$BQ$1001,MATCH(ROWS($AH$2:AH874),$AH$2:$AH$1001,0),MATCH(COLUMNS($AO$1006:BA1006),$AO$1006:$BQ$1006,0)), HYPERLINK("#",""), HYPERLINK(CONCATENATE("#Metadata!", ADDRESS(INDEX($AJ$2:$AJ$1001,MATCH(ROWS($AH$2:AH874),$AH$2:$AH$1001,0),0), INDEX($AO$1004:$BQ$1004,1,MATCH(COLUMNS($AO$1006:BA1006),$AO$1006:$BQ$1006,0)))),"Fix")))</f>
        <v>#N/A</v>
      </c>
      <c r="O874" s="5" t="e">
        <f ca="1">IF(OR(INDEX($AI$2:$AI$1001,MATCH(ROWS($AH$2:AH874),$AH$2:$AH$1001,0),1)&gt;=100000,INDEX($AO$1005:$BQ$1005,1,MATCH(COLUMNS($AO$1006:BB1006),$AO$1006:$BQ$1006,0))&gt;=100000), " ",IF(INDEX($AO$2:$BQ$1001,MATCH(ROWS($AH$2:AH874),$AH$2:$AH$1001,0),MATCH(COLUMNS($AO$1006:BB1006),$AO$1006:$BQ$1006,0)), HYPERLINK("#",""), HYPERLINK(CONCATENATE("#Metadata!", ADDRESS(INDEX($AJ$2:$AJ$1001,MATCH(ROWS($AH$2:AH874),$AH$2:$AH$1001,0),0), INDEX($AO$1004:$BQ$1004,1,MATCH(COLUMNS($AO$1006:BB1006),$AO$1006:$BQ$1006,0)))),"Fix")))</f>
        <v>#N/A</v>
      </c>
      <c r="P874" s="5" t="e">
        <f ca="1">IF(OR(INDEX($AI$2:$AI$1001,MATCH(ROWS($AH$2:AH874),$AH$2:$AH$1001,0),1)&gt;=100000,INDEX($AO$1005:$BQ$1005,1,MATCH(COLUMNS($AO$1006:BC1006),$AO$1006:$BQ$1006,0))&gt;=100000), " ",IF(INDEX($AO$2:$BQ$1001,MATCH(ROWS($AH$2:AH874),$AH$2:$AH$1001,0),MATCH(COLUMNS($AO$1006:BC1006),$AO$1006:$BQ$1006,0)), HYPERLINK("#",""), HYPERLINK(CONCATENATE("#Metadata!", ADDRESS(INDEX($AJ$2:$AJ$1001,MATCH(ROWS($AH$2:AH874),$AH$2:$AH$1001,0),0), INDEX($AO$1004:$BQ$1004,1,MATCH(COLUMNS($AO$1006:BC1006),$AO$1006:$BQ$1006,0)))),"Fix")))</f>
        <v>#N/A</v>
      </c>
      <c r="Q874" s="5" t="e">
        <f ca="1">IF(OR(INDEX($AI$2:$AI$1001,MATCH(ROWS($AH$2:AH874),$AH$2:$AH$1001,0),1)&gt;=100000,INDEX($AO$1005:$BQ$1005,1,MATCH(COLUMNS($AO$1006:BD1006),$AO$1006:$BQ$1006,0))&gt;=100000), " ",IF(INDEX($AO$2:$BQ$1001,MATCH(ROWS($AH$2:AH874),$AH$2:$AH$1001,0),MATCH(COLUMNS($AO$1006:BD1006),$AO$1006:$BQ$1006,0)), HYPERLINK("#",""), HYPERLINK(CONCATENATE("#Metadata!", ADDRESS(INDEX($AJ$2:$AJ$1001,MATCH(ROWS($AH$2:AH874),$AH$2:$AH$1001,0),0), INDEX($AO$1004:$BQ$1004,1,MATCH(COLUMNS($AO$1006:BD1006),$AO$1006:$BQ$1006,0)))),"Fix")))</f>
        <v>#N/A</v>
      </c>
      <c r="R874" s="5" t="e">
        <f ca="1">IF(OR(INDEX($AI$2:$AI$1001,MATCH(ROWS($AH$2:AH874),$AH$2:$AH$1001,0),1)&gt;=100000,INDEX($AO$1005:$BQ$1005,1,MATCH(COLUMNS($AO$1006:BE1006),$AO$1006:$BQ$1006,0))&gt;=100000), " ",IF(INDEX($AO$2:$BQ$1001,MATCH(ROWS($AH$2:AH874),$AH$2:$AH$1001,0),MATCH(COLUMNS($AO$1006:BE1006),$AO$1006:$BQ$1006,0)), HYPERLINK("#",""), HYPERLINK(CONCATENATE("#Metadata!", ADDRESS(INDEX($AJ$2:$AJ$1001,MATCH(ROWS($AH$2:AH874),$AH$2:$AH$1001,0),0), INDEX($AO$1004:$BQ$1004,1,MATCH(COLUMNS($AO$1006:BE1006),$AO$1006:$BQ$1006,0)))),"Fix")))</f>
        <v>#N/A</v>
      </c>
      <c r="S874" s="5" t="e">
        <f ca="1">IF(OR(INDEX($AI$2:$AI$1001,MATCH(ROWS($AH$2:AH874),$AH$2:$AH$1001,0),1)&gt;=100000,INDEX($AO$1005:$BQ$1005,1,MATCH(COLUMNS($AO$1006:BF1006),$AO$1006:$BQ$1006,0))&gt;=100000), " ",IF(INDEX($AO$2:$BQ$1001,MATCH(ROWS($AH$2:AH874),$AH$2:$AH$1001,0),MATCH(COLUMNS($AO$1006:BF1006),$AO$1006:$BQ$1006,0)), HYPERLINK("#",""), HYPERLINK(CONCATENATE("#Metadata!", ADDRESS(INDEX($AJ$2:$AJ$1001,MATCH(ROWS($AH$2:AH874),$AH$2:$AH$1001,0),0), INDEX($AO$1004:$BQ$1004,1,MATCH(COLUMNS($AO$1006:BF1006),$AO$1006:$BQ$1006,0)))),"Fix")))</f>
        <v>#N/A</v>
      </c>
      <c r="T874" s="5" t="e">
        <f ca="1">IF(OR(INDEX($AI$2:$AI$1001,MATCH(ROWS($AH$2:AH874),$AH$2:$AH$1001,0),1)&gt;=100000,INDEX($AO$1005:$BQ$1005,1,MATCH(COLUMNS($AO$1006:BG1006),$AO$1006:$BQ$1006,0))&gt;=100000), " ",IF(INDEX($AO$2:$BQ$1001,MATCH(ROWS($AH$2:AH874),$AH$2:$AH$1001,0),MATCH(COLUMNS($AO$1006:BG1006),$AO$1006:$BQ$1006,0)), HYPERLINK("#",""), HYPERLINK(CONCATENATE("#Metadata!", ADDRESS(INDEX($AJ$2:$AJ$1001,MATCH(ROWS($AH$2:AH874),$AH$2:$AH$1001,0),0), INDEX($AO$1004:$BQ$1004,1,MATCH(COLUMNS($AO$1006:BG1006),$AO$1006:$BQ$1006,0)))),"Fix")))</f>
        <v>#N/A</v>
      </c>
      <c r="U874" s="5" t="e">
        <f ca="1">IF(OR(INDEX($AI$2:$AI$1001,MATCH(ROWS($AH$2:AH874),$AH$2:$AH$1001,0),1)&gt;=100000,INDEX($AO$1005:$BQ$1005,1,MATCH(COLUMNS($AO$1006:BH1006),$AO$1006:$BQ$1006,0))&gt;=100000), " ",IF(INDEX($AO$2:$BQ$1001,MATCH(ROWS($AH$2:AH874),$AH$2:$AH$1001,0),MATCH(COLUMNS($AO$1006:BH1006),$AO$1006:$BQ$1006,0)), HYPERLINK("#",""), HYPERLINK(CONCATENATE("#Metadata!", ADDRESS(INDEX($AJ$2:$AJ$1001,MATCH(ROWS($AH$2:AH874),$AH$2:$AH$1001,0),0), INDEX($AO$1004:$BQ$1004,1,MATCH(COLUMNS($AO$1006:BH1006),$AO$1006:$BQ$1006,0)))),"Fix")))</f>
        <v>#N/A</v>
      </c>
      <c r="V874" s="5" t="e">
        <f ca="1">IF(OR(INDEX($AI$2:$AI$1001,MATCH(ROWS($AH$2:AH874),$AH$2:$AH$1001,0),1)&gt;=100000,INDEX($AO$1005:$BQ$1005,1,MATCH(COLUMNS($AO$1006:BI1006),$AO$1006:$BQ$1006,0))&gt;=100000), " ",IF(INDEX($AO$2:$BQ$1001,MATCH(ROWS($AH$2:AH874),$AH$2:$AH$1001,0),MATCH(COLUMNS($AO$1006:BI1006),$AO$1006:$BQ$1006,0)), HYPERLINK("#",""), HYPERLINK(CONCATENATE("#Metadata!", ADDRESS(INDEX($AJ$2:$AJ$1001,MATCH(ROWS($AH$2:AH874),$AH$2:$AH$1001,0),0), INDEX($AO$1004:$BQ$1004,1,MATCH(COLUMNS($AO$1006:BI1006),$AO$1006:$BQ$1006,0)))),"Fix")))</f>
        <v>#N/A</v>
      </c>
      <c r="W874" s="5" t="e">
        <f ca="1">IF(OR(INDEX($AI$2:$AI$1001,MATCH(ROWS($AH$2:AH874),$AH$2:$AH$1001,0),1)&gt;=100000,INDEX($AO$1005:$BQ$1005,1,MATCH(COLUMNS($AO$1006:BJ1006),$AO$1006:$BQ$1006,0))&gt;=100000), " ",IF(INDEX($AO$2:$BQ$1001,MATCH(ROWS($AH$2:AH874),$AH$2:$AH$1001,0),MATCH(COLUMNS($AO$1006:BJ1006),$AO$1006:$BQ$1006,0)), HYPERLINK("#",""), HYPERLINK(CONCATENATE("#Metadata!", ADDRESS(INDEX($AJ$2:$AJ$1001,MATCH(ROWS($AH$2:AH874),$AH$2:$AH$1001,0),0), INDEX($AO$1004:$BQ$1004,1,MATCH(COLUMNS($AO$1006:BJ1006),$AO$1006:$BQ$1006,0)))),"Fix")))</f>
        <v>#N/A</v>
      </c>
      <c r="X874" s="5" t="e">
        <f ca="1">IF(OR(INDEX($AI$2:$AI$1001,MATCH(ROWS($AH$2:AH874),$AH$2:$AH$1001,0),1)&gt;=100000,INDEX($AO$1005:$BQ$1005,1,MATCH(COLUMNS($AO$1006:BK1006),$AO$1006:$BQ$1006,0))&gt;=100000), " ",IF(INDEX($AO$2:$BQ$1001,MATCH(ROWS($AH$2:AH874),$AH$2:$AH$1001,0),MATCH(COLUMNS($AO$1006:BK1006),$AO$1006:$BQ$1006,0)), HYPERLINK("#",""), HYPERLINK(CONCATENATE("#Metadata!", ADDRESS(INDEX($AJ$2:$AJ$1001,MATCH(ROWS($AH$2:AH874),$AH$2:$AH$1001,0),0), INDEX($AO$1004:$BQ$1004,1,MATCH(COLUMNS($AO$1006:BK1006),$AO$1006:$BQ$1006,0)))),"Fix")))</f>
        <v>#N/A</v>
      </c>
      <c r="Y874" s="5" t="e">
        <f ca="1">IF(OR(INDEX($AI$2:$AI$1001,MATCH(ROWS($AH$2:AH874),$AH$2:$AH$1001,0),1)&gt;=100000,INDEX($AO$1005:$BQ$1005,1,MATCH(COLUMNS($AO$1006:BL1006),$AO$1006:$BQ$1006,0))&gt;=100000), " ",IF(INDEX($AO$2:$BQ$1001,MATCH(ROWS($AH$2:AH874),$AH$2:$AH$1001,0),MATCH(COLUMNS($AO$1006:BL1006),$AO$1006:$BQ$1006,0)), HYPERLINK("#",""), HYPERLINK(CONCATENATE("#Metadata!", ADDRESS(INDEX($AJ$2:$AJ$1001,MATCH(ROWS($AH$2:AH874),$AH$2:$AH$1001,0),0), INDEX($AO$1004:$BQ$1004,1,MATCH(COLUMNS($AO$1006:BL1006),$AO$1006:$BQ$1006,0)))),"Fix")))</f>
        <v>#N/A</v>
      </c>
      <c r="Z874" s="5" t="e">
        <f ca="1">IF(OR(INDEX($AI$2:$AI$1001,MATCH(ROWS($AH$2:AH874),$AH$2:$AH$1001,0),1)&gt;=100000,INDEX($AO$1005:$BQ$1005,1,MATCH(COLUMNS($AO$1006:BM1006),$AO$1006:$BQ$1006,0))&gt;=100000), " ",IF(INDEX($AO$2:$BQ$1001,MATCH(ROWS($AH$2:AH874),$AH$2:$AH$1001,0),MATCH(COLUMNS($AO$1006:BM1006),$AO$1006:$BQ$1006,0)), HYPERLINK("#",""), HYPERLINK(CONCATENATE("#Metadata!", ADDRESS(INDEX($AJ$2:$AJ$1001,MATCH(ROWS($AH$2:AH874),$AH$2:$AH$1001,0),0), INDEX($AO$1004:$BQ$1004,1,MATCH(COLUMNS($AO$1006:BM1006),$AO$1006:$BQ$1006,0)))),"Fix")))</f>
        <v>#N/A</v>
      </c>
      <c r="AA874" s="5" t="e">
        <f ca="1">IF(OR(INDEX($AI$2:$AI$1001,MATCH(ROWS($AH$2:AH874),$AH$2:$AH$1001,0),1)&gt;=100000,INDEX($AO$1005:$BQ$1005,1,MATCH(COLUMNS($AO$1006:BN1006),$AO$1006:$BQ$1006,0))&gt;=100000), " ",IF(INDEX($AO$2:$BQ$1001,MATCH(ROWS($AH$2:AH874),$AH$2:$AH$1001,0),MATCH(COLUMNS($AO$1006:BN1006),$AO$1006:$BQ$1006,0)), HYPERLINK("#",""), HYPERLINK(CONCATENATE("#Metadata!", ADDRESS(INDEX($AJ$2:$AJ$1001,MATCH(ROWS($AH$2:AH874),$AH$2:$AH$1001,0),0), INDEX($AO$1004:$BQ$1004,1,MATCH(COLUMNS($AO$1006:BN1006),$AO$1006:$BQ$1006,0)))),"Fix")))</f>
        <v>#N/A</v>
      </c>
      <c r="AB874" s="5" t="e">
        <f ca="1">IF(OR(INDEX($AI$2:$AI$1001,MATCH(ROWS($AH$2:AH874),$AH$2:$AH$1001,0),1)&gt;=100000,INDEX($AO$1005:$BQ$1005,1,MATCH(COLUMNS($AO$1006:BO1006),$AO$1006:$BQ$1006,0))&gt;=100000), " ",IF(INDEX($AO$2:$BQ$1001,MATCH(ROWS($AH$2:AH874),$AH$2:$AH$1001,0),MATCH(COLUMNS($AO$1006:BO1006),$AO$1006:$BQ$1006,0)), HYPERLINK("#",""), HYPERLINK(CONCATENATE("#Metadata!", ADDRESS(INDEX($AJ$2:$AJ$1001,MATCH(ROWS($AH$2:AH874),$AH$2:$AH$1001,0),0), INDEX($AO$1004:$BQ$1004,1,MATCH(COLUMNS($AO$1006:BO1006),$AO$1006:$BQ$1006,0)))),"Fix")))</f>
        <v>#N/A</v>
      </c>
      <c r="AC874" s="5" t="e">
        <f ca="1">IF(OR(INDEX($AI$2:$AI$1001,MATCH(ROWS($AH$2:AH874),$AH$2:$AH$1001,0),1)&gt;=100000,INDEX($AO$1005:$BQ$1005,1,MATCH(COLUMNS($AO$1006:BP1006),$AO$1006:$BQ$1006,0))&gt;=100000), " ",IF(INDEX($AO$2:$BQ$1001,MATCH(ROWS($AH$2:AH874),$AH$2:$AH$1001,0),MATCH(COLUMNS($AO$1006:BP1006),$AO$1006:$BQ$1006,0)), HYPERLINK("#",""), HYPERLINK(CONCATENATE("#Metadata!", ADDRESS(INDEX($AJ$2:$AJ$1001,MATCH(ROWS($AH$2:AH874),$AH$2:$AH$1001,0),0), INDEX($AO$1004:$BQ$1004,1,MATCH(COLUMNS($AO$1006:BP1006),$AO$1006:$BQ$1006,0)))),"Fix")))</f>
        <v>#N/A</v>
      </c>
      <c r="AD874" s="5" t="e">
        <f ca="1">IF(OR(INDEX($AI$2:$AI$1001,MATCH(ROWS($AH$2:AH874),$AH$2:$AH$1001,0),1)&gt;=100000,INDEX($AO$1005:$BQ$1005,1,MATCH(COLUMNS($AO$1006:BQ1006),$AO$1006:$BQ$1006,0))&gt;=100000), " ",IF(INDEX($AO$2:$BQ$1001,MATCH(ROWS($AH$2:AH874),$AH$2:$AH$1001,0),MATCH(COLUMNS($AO$1006:BQ1006),$AO$1006:$BQ$1006,0)), HYPERLINK("#",""), HYPERLINK(CONCATENATE("#Metadata!", ADDRESS(INDEX($AJ$2:$AJ$1001,MATCH(ROWS($AH$2:AH874),$AH$2:$AH$1001,0),0), INDEX($AO$1004:$BQ$1004,1,MATCH(COLUMNS($AO$1006:BQ1006),$AO$1006:$BQ$1006,0)))),"Fix")))</f>
        <v>#REF!</v>
      </c>
      <c r="AH874">
        <f ca="1"/>
        <v>871</v>
      </c>
      <c r="AI874">
        <v>100874</v>
      </c>
      <c r="AJ874">
        <v>874</v>
      </c>
      <c r="AK874" t="b">
        <f t="shared" si="13"/>
        <v>1</v>
      </c>
      <c r="AL874" t="b">
        <f>COUNTBLANK(Metadata!B874:AD874)=COLUMNS(Metadata!B874:AD874)</f>
        <v>1</v>
      </c>
      <c r="AM874" t="str">
        <v/>
      </c>
      <c r="AO874" t="b">
        <f ca="1">AND(IF(Metadata!B874="",FALSE,TRUE),COUNTIF(Metadata!B:B, Metadata!B874) = 1,NOT(ISERROR(SUMPRODUCT(SEARCH(MID(Metadata!B874,ROW(INDIRECT("1:"&amp;LEN(Metadata!B874))), 1),"0123456789abcdefghijklmnopqrstuvwxyzABCDEFGHIJKLMNOPQRSTUVWXYZ.")))))</f>
        <v>0</v>
      </c>
      <c r="AP874" t="b">
        <f>IF(Metadata!C874="",FALSE,TRUE)</f>
        <v>0</v>
      </c>
      <c r="AQ874" t="b">
        <f>IF(Metadata!D874="",FALSE,TRUE)</f>
        <v>0</v>
      </c>
      <c r="AR874" t="b">
        <f ca="1">OR(AND(IF(Metadata!E874="",FALSE,TRUE),OR(EXACT(Metadata!E874,"not collected"),EXACT(Metadata!E874,"not provided"),EXACT(Metadata!E874,"restricted access"))),AND(IF(Metadata!E874="",FALSE,TRUE),AND(AND(IFERROR(INT(LEFT(Metadata!E874,4))&gt;1900,FALSE),IFERROR(INT(LEFT(Metadata!E874,4))&lt;=YEAR(NOW()),FALSE)), OR(MID(Metadata!E874,5,1)="", AND(AND(MID(Metadata!E874,5,1)="-",IFERROR(INT(MID(Metadata!E874,6,1))&gt;=0,FALSE),IFERROR(INT(MID(Metadata!E874,6,1))&lt;=1,FALSE),NOT(MID(Metadata!E874,7,1)=""),IFERROR(INT(MID(Metadata!E874,6,2))&gt;=1,FALSE),IFERROR(INT(MID(Metadata!E874,6,2))&lt;=12,FALSE)), OR(MID(Metadata!E874,8,1)="", AND(AND(MID(Metadata!E874,8,1)="-",IFERROR(INT(MID(Metadata!E874,9,1))&gt;=0,FALSE),IFERROR(INT(MID(Metadata!E874,9,1))&lt;=3,FALSE),NOT(MID(Metadata!E874,10,1)=""),IFERROR(INT(MID(Metadata!E874,9,2))&gt;=1,FALSE),IFERROR(INT(MID(Metadata!E874,9,2))&lt;=31,FALSE)), OR(MID(Metadata!E874,11,1)="", AND(AND(MID(Metadata!E874,11,1)=" ",IFERROR(INT(MID(Metadata!E874,12,1))&gt;=0,FALSE),IFERROR(INT(MID(Metadata!E874,12,1))&lt;=2,FALSE),NOT(MID(Metadata!E874,13,1)=""),IFERROR(INT(MID(Metadata!E874,12,2))&gt;=0,FALSE),IFERROR(INT(MID(Metadata!E874,12,2))&lt;=23,FALSE)), OR(MID(Metadata!E874,14,1)="", AND(AND(MID(Metadata!E874,14,1)=":",IFERROR(INT(MID(Metadata!E874,15,1))&gt;=0,FALSE),IFERROR(INT(MID(Metadata!E874,15,1))&lt;=5,FALSE),NOT(MID(Metadata!E874,16,1)=""),IFERROR(INT(MID(Metadata!E874,15,2))&gt;=0,FALSE),IFERROR(INT(MID(Metadata!E874,15,2))&lt;=59,FALSE)), OR(MID(Metadata!E874,17,1)="", AND(AND(MID(Metadata!E874,17,1)=":",IFERROR(INT(MID(Metadata!E874,18,1))&gt;=0,FALSE),IFERROR(INT(MID(Metadata!E874,18,1))&lt;=5,FALSE),NOT(MID(Metadata!E874,19,1)=""),IFERROR(INT(MID(Metadata!E874,18,2))&gt;=0,FALSE),IFERROR(INT(MID(Metadata!E874,18,2))&lt;=59,FALSE)), LEN(Metadata!E874)&lt;=19)))))))))))))</f>
        <v>0</v>
      </c>
      <c r="AS874" t="b">
        <f>IF(Metadata!F874="",FALSE,TRUE)</f>
        <v>0</v>
      </c>
      <c r="AT874" t="b">
        <f>OR(AND(IF(Metadata!G874="",FALSE,TRUE),OR(EXACT(Metadata!G874,"not collected"),EXACT(Metadata!G874,"not provided"))),AND(IF(Metadata!G874="",FALSE,TRUE),OR(EXACT(Metadata!G874,"TRUE"),EXACT(Metadata!G874,"FALSE"))))</f>
        <v>0</v>
      </c>
      <c r="AU874" t="b">
        <f>OR(AND(IF(Metadata!H874="",FALSE,TRUE),OR(EXACT(Metadata!H874,"not collected"),EXACT(Metadata!H874,"not provided"),EXACT(Metadata!H874,"restricted access"))),AND(IF(Metadata!H874="",FALSE,ISNUMBER(VALUE(Metadata!H874))),Metadata!H874&gt;=-413))</f>
        <v>0</v>
      </c>
      <c r="AV874" t="b">
        <f>AND(IF(Metadata!I874="",FALSE,TRUE),EXACT(Metadata!I874,"meters"))</f>
        <v>0</v>
      </c>
      <c r="AW874" t="b">
        <f>AND(IF(Metadata!J874="",FALSE,TRUE),EXACT(Metadata!J874,"free-living"))</f>
        <v>0</v>
      </c>
      <c r="AX874" t="b">
        <f>AND(IF(Metadata!K874="",FALSE,TRUE),OR(EXACT(Metadata!K874,"saline"),EXACT(Metadata!K874,"non-saline")))</f>
        <v>0</v>
      </c>
      <c r="AY874" t="b">
        <f>AND(IF(Metadata!L874="",FALSE,TRUE),OR(EXACT(Metadata!L874,"sub-surface (non-saline)"),EXACT(Metadata!L874,"surface (non-saline)"),EXACT(Metadata!L874,"water (non-saline)"),EXACT(Metadata!L874,"soil (non-saline)"),EXACT(Metadata!L874,"aerosol (non-saline)"),EXACT(Metadata!L874,"sediment (non-saline)"),EXACT(Metadata!L874,"surface (saline)"),EXACT(Metadata!L874,"water (saline)"),EXACT(Metadata!L874,"hypersaline (saline)"),EXACT(Metadata!L874,"aerosol (saline)"),EXACT(Metadata!L874,"sediment (saline)")))</f>
        <v>0</v>
      </c>
      <c r="AZ874" t="b">
        <f>IF(Metadata!M874="",FALSE,TRUE)</f>
        <v>0</v>
      </c>
      <c r="BA874" t="b">
        <f>IF(Metadata!N874="",FALSE,TRUE)</f>
        <v>0</v>
      </c>
      <c r="BB874" t="b">
        <f>IF(Metadata!O874="",FALSE,TRUE)</f>
        <v>0</v>
      </c>
      <c r="BC874" t="b">
        <f>AND(IF(Metadata!P874="",FALSE,TRUE),OR(EXACT(Metadata!P874,"air"),EXACT(Metadata!P874,"microbial mat/biofilm"),EXACT(Metadata!P874,"misc environment"),EXACT(Metadata!P874,"sediment"),EXACT(Metadata!P874,"soil"),EXACT(Metadata!P874,"wastewater/sludge"),EXACT(Metadata!P874,"water")))</f>
        <v>0</v>
      </c>
      <c r="BD874" t="b">
        <f>IF(Metadata!Q874="",FALSE,TRUE)</f>
        <v>0</v>
      </c>
      <c r="BE874" t="b">
        <f>IF(Metadata!R874="",FALSE,TRUE)</f>
        <v>0</v>
      </c>
      <c r="BF874" t="b">
        <f>OR(AND(IF(Metadata!S874="",FALSE,TRUE),OR(EXACT(Metadata!S874,"not collected"),EXACT(Metadata!S874,"not provided"),EXACT(Metadata!S874,"restricted access"))),AND(IF(Metadata!S874="",FALSE,ISNUMBER(VALUE(Metadata!S874))),Metadata!S874&gt;=-90,Metadata!S874&lt;=90))</f>
        <v>0</v>
      </c>
      <c r="BG874" t="b">
        <f>AND(IF(Metadata!T874="",FALSE,TRUE),EXACT(Metadata!T874,"Decimal degrees"))</f>
        <v>0</v>
      </c>
      <c r="BH874" t="b">
        <f>OR(AND(IF(Metadata!U874="",FALSE,TRUE),OR(EXACT(Metadata!U874,"not applicable"),EXACT(Metadata!U874,"not collected"))),IF(Metadata!U874="",FALSE,TRUE))</f>
        <v>0</v>
      </c>
      <c r="BI874" t="b">
        <f>OR(AND(IF(Metadata!V874="",FALSE,TRUE),OR(EXACT(Metadata!V874,"not collected"),EXACT(Metadata!V874,"not provided"),EXACT(Metadata!V874,"restricted access"))),AND(IF(Metadata!V874="",FALSE,ISNUMBER(VALUE(Metadata!V874))),Metadata!V874&gt;=-180,Metadata!V874&lt;=180))</f>
        <v>0</v>
      </c>
      <c r="BJ874" t="b">
        <f>AND(IF(Metadata!W874="",FALSE,TRUE),EXACT(Metadata!W874,"Decimal degrees"))</f>
        <v>0</v>
      </c>
      <c r="BK874" t="b">
        <f>IF(Metadata!X874="",FALSE,TRUE)</f>
        <v>0</v>
      </c>
      <c r="BL874" t="b">
        <f>OR(AND(IF(Metadata!Y874="",FALSE,TRUE),OR(EXACT(Metadata!Y874,"not collected"),EXACT(Metadata!Y874,"not provided"),EXACT(Metadata!Y874,"restricted access"))),AND(IF(Metadata!Y874="",FALSE,TRUE),OR(EXACT(Metadata!Y874,"TRUE"),EXACT(Metadata!Y874,"FALSE"))))</f>
        <v>0</v>
      </c>
      <c r="BM874" t="b">
        <f>OR(AND(IF(Metadata!Z874="",FALSE,TRUE),EXACT(Metadata!Z874,"not applicable")),AND(IF(Metadata!Z874="",FALSE,TRUE),OR(EXACT(Metadata!Z874,"beer"),EXACT(Metadata!Z874,"cheese"),EXACT(Metadata!Z874,"fresh water"),EXACT(Metadata!Z874,"marine sediment"),EXACT(Metadata!Z874,"sea water"),EXACT(Metadata!Z874,"sediment"),EXACT(Metadata!Z874,"soil"),EXACT(Metadata!Z874,"waste water"))))</f>
        <v>0</v>
      </c>
      <c r="BN874" t="b">
        <f>AND(IF(Metadata!AA874="",FALSE,TRUE),EXACT(Metadata!AA874,"metagenome"))</f>
        <v>0</v>
      </c>
      <c r="BO874" t="b">
        <f>AND(IF(Metadata!AB874="",FALSE,TRUE),EXACT(Metadata!AB874,"256318"))</f>
        <v>0</v>
      </c>
      <c r="BP874" t="b">
        <f>IF(Metadata!AC874="",FALSE,TRUE)</f>
        <v>0</v>
      </c>
      <c r="BQ874" t="b">
        <f>IF(Metadata!AD874="",FALSE,TRUE)</f>
        <v>0</v>
      </c>
    </row>
    <row r="875" spans="1:69" x14ac:dyDescent="0.2">
      <c r="A875" s="4" t="e">
        <f ca="1">IF(B875=" "," ",HYPERLINK(CONCATENATE("#metadata!",ADDRESS(INDEX($AJ$2:$AJ$1001,MATCH(ROWS($AH$2:AH875),$AH$2:$AH$1001,0),0),2)),INDEX($AM$2:$AM$1001,MATCH(ROWS($AH$2:AH875),$AH$2:$AH$1001,0),0)))</f>
        <v>#N/A</v>
      </c>
      <c r="B875" s="5" t="e">
        <f ca="1">IF(OR(INDEX($AI$2:$AI$1001,MATCH(ROWS($AH$2:AH875),$AH$2:$AH$1001,0),1)&gt;=100000,INDEX($AO$1005:$BQ$1005,1,MATCH(COLUMNS($AO$1006:AO1006),$AO$1006:$BQ$1006,0))&gt;=100000), " ",IF(INDEX($AO$2:$BQ$1001,MATCH(ROWS($AH$2:AH875),$AH$2:$AH$1001,0),MATCH(COLUMNS($AO$1006:AO1006),$AO$1006:$BQ$1006,0)), HYPERLINK("#",""), HYPERLINK(CONCATENATE("#Metadata!", ADDRESS(INDEX($AJ$2:$AJ$1001,MATCH(ROWS($AH$2:AH875),$AH$2:$AH$1001,0),0), INDEX($AO$1004:$BQ$1004,1,MATCH(COLUMNS($AO$1006:AO1006),$AO$1006:$BQ$1006,0)))),"Fix")))</f>
        <v>#N/A</v>
      </c>
      <c r="C875" s="5" t="e">
        <f ca="1">IF(OR(INDEX($AI$2:$AI$1001,MATCH(ROWS($AH$2:AH875),$AH$2:$AH$1001,0),1)&gt;=100000,INDEX($AO$1005:$BQ$1005,1,MATCH(COLUMNS($AO$1006:AP1006),$AO$1006:$BQ$1006,0))&gt;=100000), " ",IF(INDEX($AO$2:$BQ$1001,MATCH(ROWS($AH$2:AH875),$AH$2:$AH$1001,0),MATCH(COLUMNS($AO$1006:AP1006),$AO$1006:$BQ$1006,0)), HYPERLINK("#",""), HYPERLINK(CONCATENATE("#Metadata!", ADDRESS(INDEX($AJ$2:$AJ$1001,MATCH(ROWS($AH$2:AH875),$AH$2:$AH$1001,0),0), INDEX($AO$1004:$BQ$1004,1,MATCH(COLUMNS($AO$1006:AP1006),$AO$1006:$BQ$1006,0)))),"Fix")))</f>
        <v>#N/A</v>
      </c>
      <c r="D875" s="5" t="e">
        <f ca="1">IF(OR(INDEX($AI$2:$AI$1001,MATCH(ROWS($AH$2:AH875),$AH$2:$AH$1001,0),1)&gt;=100000,INDEX($AO$1005:$BQ$1005,1,MATCH(COLUMNS($AO$1006:AQ1006),$AO$1006:$BQ$1006,0))&gt;=100000), " ",IF(INDEX($AO$2:$BQ$1001,MATCH(ROWS($AH$2:AH875),$AH$2:$AH$1001,0),MATCH(COLUMNS($AO$1006:AQ1006),$AO$1006:$BQ$1006,0)), HYPERLINK("#",""), HYPERLINK(CONCATENATE("#Metadata!", ADDRESS(INDEX($AJ$2:$AJ$1001,MATCH(ROWS($AH$2:AH875),$AH$2:$AH$1001,0),0), INDEX($AO$1004:$BQ$1004,1,MATCH(COLUMNS($AO$1006:AQ1006),$AO$1006:$BQ$1006,0)))),"Fix")))</f>
        <v>#N/A</v>
      </c>
      <c r="E875" s="5" t="e">
        <f ca="1">IF(OR(INDEX($AI$2:$AI$1001,MATCH(ROWS($AH$2:AH875),$AH$2:$AH$1001,0),1)&gt;=100000,INDEX($AO$1005:$BQ$1005,1,MATCH(COLUMNS($AO$1006:AR1006),$AO$1006:$BQ$1006,0))&gt;=100000), " ",IF(INDEX($AO$2:$BQ$1001,MATCH(ROWS($AH$2:AH875),$AH$2:$AH$1001,0),MATCH(COLUMNS($AO$1006:AR1006),$AO$1006:$BQ$1006,0)), HYPERLINK("#",""), HYPERLINK(CONCATENATE("#Metadata!", ADDRESS(INDEX($AJ$2:$AJ$1001,MATCH(ROWS($AH$2:AH875),$AH$2:$AH$1001,0),0), INDEX($AO$1004:$BQ$1004,1,MATCH(COLUMNS($AO$1006:AR1006),$AO$1006:$BQ$1006,0)))),"Fix")))</f>
        <v>#N/A</v>
      </c>
      <c r="F875" s="5" t="e">
        <f ca="1">IF(OR(INDEX($AI$2:$AI$1001,MATCH(ROWS($AH$2:AH875),$AH$2:$AH$1001,0),1)&gt;=100000,INDEX($AO$1005:$BQ$1005,1,MATCH(COLUMNS($AO$1006:AS1006),$AO$1006:$BQ$1006,0))&gt;=100000), " ",IF(INDEX($AO$2:$BQ$1001,MATCH(ROWS($AH$2:AH875),$AH$2:$AH$1001,0),MATCH(COLUMNS($AO$1006:AS1006),$AO$1006:$BQ$1006,0)), HYPERLINK("#",""), HYPERLINK(CONCATENATE("#Metadata!", ADDRESS(INDEX($AJ$2:$AJ$1001,MATCH(ROWS($AH$2:AH875),$AH$2:$AH$1001,0),0), INDEX($AO$1004:$BQ$1004,1,MATCH(COLUMNS($AO$1006:AS1006),$AO$1006:$BQ$1006,0)))),"Fix")))</f>
        <v>#N/A</v>
      </c>
      <c r="G875" s="5" t="e">
        <f ca="1">IF(OR(INDEX($AI$2:$AI$1001,MATCH(ROWS($AH$2:AH875),$AH$2:$AH$1001,0),1)&gt;=100000,INDEX($AO$1005:$BQ$1005,1,MATCH(COLUMNS($AO$1006:AT1006),$AO$1006:$BQ$1006,0))&gt;=100000), " ",IF(INDEX($AO$2:$BQ$1001,MATCH(ROWS($AH$2:AH875),$AH$2:$AH$1001,0),MATCH(COLUMNS($AO$1006:AT1006),$AO$1006:$BQ$1006,0)), HYPERLINK("#",""), HYPERLINK(CONCATENATE("#Metadata!", ADDRESS(INDEX($AJ$2:$AJ$1001,MATCH(ROWS($AH$2:AH875),$AH$2:$AH$1001,0),0), INDEX($AO$1004:$BQ$1004,1,MATCH(COLUMNS($AO$1006:AT1006),$AO$1006:$BQ$1006,0)))),"Fix")))</f>
        <v>#N/A</v>
      </c>
      <c r="H875" s="5" t="e">
        <f ca="1">IF(OR(INDEX($AI$2:$AI$1001,MATCH(ROWS($AH$2:AH875),$AH$2:$AH$1001,0),1)&gt;=100000,INDEX($AO$1005:$BQ$1005,1,MATCH(COLUMNS($AO$1006:AU1006),$AO$1006:$BQ$1006,0))&gt;=100000), " ",IF(INDEX($AO$2:$BQ$1001,MATCH(ROWS($AH$2:AH875),$AH$2:$AH$1001,0),MATCH(COLUMNS($AO$1006:AU1006),$AO$1006:$BQ$1006,0)), HYPERLINK("#",""), HYPERLINK(CONCATENATE("#Metadata!", ADDRESS(INDEX($AJ$2:$AJ$1001,MATCH(ROWS($AH$2:AH875),$AH$2:$AH$1001,0),0), INDEX($AO$1004:$BQ$1004,1,MATCH(COLUMNS($AO$1006:AU1006),$AO$1006:$BQ$1006,0)))),"Fix")))</f>
        <v>#N/A</v>
      </c>
      <c r="I875" s="5" t="e">
        <f ca="1">IF(OR(INDEX($AI$2:$AI$1001,MATCH(ROWS($AH$2:AH875),$AH$2:$AH$1001,0),1)&gt;=100000,INDEX($AO$1005:$BQ$1005,1,MATCH(COLUMNS($AO$1006:AV1006),$AO$1006:$BQ$1006,0))&gt;=100000), " ",IF(INDEX($AO$2:$BQ$1001,MATCH(ROWS($AH$2:AH875),$AH$2:$AH$1001,0),MATCH(COLUMNS($AO$1006:AV1006),$AO$1006:$BQ$1006,0)), HYPERLINK("#",""), HYPERLINK(CONCATENATE("#Metadata!", ADDRESS(INDEX($AJ$2:$AJ$1001,MATCH(ROWS($AH$2:AH875),$AH$2:$AH$1001,0),0), INDEX($AO$1004:$BQ$1004,1,MATCH(COLUMNS($AO$1006:AV1006),$AO$1006:$BQ$1006,0)))),"Fix")))</f>
        <v>#N/A</v>
      </c>
      <c r="J875" s="5" t="e">
        <f ca="1">IF(OR(INDEX($AI$2:$AI$1001,MATCH(ROWS($AH$2:AH875),$AH$2:$AH$1001,0),1)&gt;=100000,INDEX($AO$1005:$BQ$1005,1,MATCH(COLUMNS($AO$1006:AW1006),$AO$1006:$BQ$1006,0))&gt;=100000), " ",IF(INDEX($AO$2:$BQ$1001,MATCH(ROWS($AH$2:AH875),$AH$2:$AH$1001,0),MATCH(COLUMNS($AO$1006:AW1006),$AO$1006:$BQ$1006,0)), HYPERLINK("#",""), HYPERLINK(CONCATENATE("#Metadata!", ADDRESS(INDEX($AJ$2:$AJ$1001,MATCH(ROWS($AH$2:AH875),$AH$2:$AH$1001,0),0), INDEX($AO$1004:$BQ$1004,1,MATCH(COLUMNS($AO$1006:AW1006),$AO$1006:$BQ$1006,0)))),"Fix")))</f>
        <v>#N/A</v>
      </c>
      <c r="K875" s="5" t="e">
        <f ca="1">IF(OR(INDEX($AI$2:$AI$1001,MATCH(ROWS($AH$2:AH875),$AH$2:$AH$1001,0),1)&gt;=100000,INDEX($AO$1005:$BQ$1005,1,MATCH(COLUMNS($AO$1006:AX1006),$AO$1006:$BQ$1006,0))&gt;=100000), " ",IF(INDEX($AO$2:$BQ$1001,MATCH(ROWS($AH$2:AH875),$AH$2:$AH$1001,0),MATCH(COLUMNS($AO$1006:AX1006),$AO$1006:$BQ$1006,0)), HYPERLINK("#",""), HYPERLINK(CONCATENATE("#Metadata!", ADDRESS(INDEX($AJ$2:$AJ$1001,MATCH(ROWS($AH$2:AH875),$AH$2:$AH$1001,0),0), INDEX($AO$1004:$BQ$1004,1,MATCH(COLUMNS($AO$1006:AX1006),$AO$1006:$BQ$1006,0)))),"Fix")))</f>
        <v>#N/A</v>
      </c>
      <c r="L875" s="5" t="e">
        <f ca="1">IF(OR(INDEX($AI$2:$AI$1001,MATCH(ROWS($AH$2:AH875),$AH$2:$AH$1001,0),1)&gt;=100000,INDEX($AO$1005:$BQ$1005,1,MATCH(COLUMNS($AO$1006:AY1006),$AO$1006:$BQ$1006,0))&gt;=100000), " ",IF(INDEX($AO$2:$BQ$1001,MATCH(ROWS($AH$2:AH875),$AH$2:$AH$1001,0),MATCH(COLUMNS($AO$1006:AY1006),$AO$1006:$BQ$1006,0)), HYPERLINK("#",""), HYPERLINK(CONCATENATE("#Metadata!", ADDRESS(INDEX($AJ$2:$AJ$1001,MATCH(ROWS($AH$2:AH875),$AH$2:$AH$1001,0),0), INDEX($AO$1004:$BQ$1004,1,MATCH(COLUMNS($AO$1006:AY1006),$AO$1006:$BQ$1006,0)))),"Fix")))</f>
        <v>#N/A</v>
      </c>
      <c r="M875" s="5" t="e">
        <f ca="1">IF(OR(INDEX($AI$2:$AI$1001,MATCH(ROWS($AH$2:AH875),$AH$2:$AH$1001,0),1)&gt;=100000,INDEX($AO$1005:$BQ$1005,1,MATCH(COLUMNS($AO$1006:AZ1006),$AO$1006:$BQ$1006,0))&gt;=100000), " ",IF(INDEX($AO$2:$BQ$1001,MATCH(ROWS($AH$2:AH875),$AH$2:$AH$1001,0),MATCH(COLUMNS($AO$1006:AZ1006),$AO$1006:$BQ$1006,0)), HYPERLINK("#",""), HYPERLINK(CONCATENATE("#Metadata!", ADDRESS(INDEX($AJ$2:$AJ$1001,MATCH(ROWS($AH$2:AH875),$AH$2:$AH$1001,0),0), INDEX($AO$1004:$BQ$1004,1,MATCH(COLUMNS($AO$1006:AZ1006),$AO$1006:$BQ$1006,0)))),"Fix")))</f>
        <v>#N/A</v>
      </c>
      <c r="N875" s="5" t="e">
        <f ca="1">IF(OR(INDEX($AI$2:$AI$1001,MATCH(ROWS($AH$2:AH875),$AH$2:$AH$1001,0),1)&gt;=100000,INDEX($AO$1005:$BQ$1005,1,MATCH(COLUMNS($AO$1006:BA1006),$AO$1006:$BQ$1006,0))&gt;=100000), " ",IF(INDEX($AO$2:$BQ$1001,MATCH(ROWS($AH$2:AH875),$AH$2:$AH$1001,0),MATCH(COLUMNS($AO$1006:BA1006),$AO$1006:$BQ$1006,0)), HYPERLINK("#",""), HYPERLINK(CONCATENATE("#Metadata!", ADDRESS(INDEX($AJ$2:$AJ$1001,MATCH(ROWS($AH$2:AH875),$AH$2:$AH$1001,0),0), INDEX($AO$1004:$BQ$1004,1,MATCH(COLUMNS($AO$1006:BA1006),$AO$1006:$BQ$1006,0)))),"Fix")))</f>
        <v>#N/A</v>
      </c>
      <c r="O875" s="5" t="e">
        <f ca="1">IF(OR(INDEX($AI$2:$AI$1001,MATCH(ROWS($AH$2:AH875),$AH$2:$AH$1001,0),1)&gt;=100000,INDEX($AO$1005:$BQ$1005,1,MATCH(COLUMNS($AO$1006:BB1006),$AO$1006:$BQ$1006,0))&gt;=100000), " ",IF(INDEX($AO$2:$BQ$1001,MATCH(ROWS($AH$2:AH875),$AH$2:$AH$1001,0),MATCH(COLUMNS($AO$1006:BB1006),$AO$1006:$BQ$1006,0)), HYPERLINK("#",""), HYPERLINK(CONCATENATE("#Metadata!", ADDRESS(INDEX($AJ$2:$AJ$1001,MATCH(ROWS($AH$2:AH875),$AH$2:$AH$1001,0),0), INDEX($AO$1004:$BQ$1004,1,MATCH(COLUMNS($AO$1006:BB1006),$AO$1006:$BQ$1006,0)))),"Fix")))</f>
        <v>#N/A</v>
      </c>
      <c r="P875" s="5" t="e">
        <f ca="1">IF(OR(INDEX($AI$2:$AI$1001,MATCH(ROWS($AH$2:AH875),$AH$2:$AH$1001,0),1)&gt;=100000,INDEX($AO$1005:$BQ$1005,1,MATCH(COLUMNS($AO$1006:BC1006),$AO$1006:$BQ$1006,0))&gt;=100000), " ",IF(INDEX($AO$2:$BQ$1001,MATCH(ROWS($AH$2:AH875),$AH$2:$AH$1001,0),MATCH(COLUMNS($AO$1006:BC1006),$AO$1006:$BQ$1006,0)), HYPERLINK("#",""), HYPERLINK(CONCATENATE("#Metadata!", ADDRESS(INDEX($AJ$2:$AJ$1001,MATCH(ROWS($AH$2:AH875),$AH$2:$AH$1001,0),0), INDEX($AO$1004:$BQ$1004,1,MATCH(COLUMNS($AO$1006:BC1006),$AO$1006:$BQ$1006,0)))),"Fix")))</f>
        <v>#N/A</v>
      </c>
      <c r="Q875" s="5" t="e">
        <f ca="1">IF(OR(INDEX($AI$2:$AI$1001,MATCH(ROWS($AH$2:AH875),$AH$2:$AH$1001,0),1)&gt;=100000,INDEX($AO$1005:$BQ$1005,1,MATCH(COLUMNS($AO$1006:BD1006),$AO$1006:$BQ$1006,0))&gt;=100000), " ",IF(INDEX($AO$2:$BQ$1001,MATCH(ROWS($AH$2:AH875),$AH$2:$AH$1001,0),MATCH(COLUMNS($AO$1006:BD1006),$AO$1006:$BQ$1006,0)), HYPERLINK("#",""), HYPERLINK(CONCATENATE("#Metadata!", ADDRESS(INDEX($AJ$2:$AJ$1001,MATCH(ROWS($AH$2:AH875),$AH$2:$AH$1001,0),0), INDEX($AO$1004:$BQ$1004,1,MATCH(COLUMNS($AO$1006:BD1006),$AO$1006:$BQ$1006,0)))),"Fix")))</f>
        <v>#N/A</v>
      </c>
      <c r="R875" s="5" t="e">
        <f ca="1">IF(OR(INDEX($AI$2:$AI$1001,MATCH(ROWS($AH$2:AH875),$AH$2:$AH$1001,0),1)&gt;=100000,INDEX($AO$1005:$BQ$1005,1,MATCH(COLUMNS($AO$1006:BE1006),$AO$1006:$BQ$1006,0))&gt;=100000), " ",IF(INDEX($AO$2:$BQ$1001,MATCH(ROWS($AH$2:AH875),$AH$2:$AH$1001,0),MATCH(COLUMNS($AO$1006:BE1006),$AO$1006:$BQ$1006,0)), HYPERLINK("#",""), HYPERLINK(CONCATENATE("#Metadata!", ADDRESS(INDEX($AJ$2:$AJ$1001,MATCH(ROWS($AH$2:AH875),$AH$2:$AH$1001,0),0), INDEX($AO$1004:$BQ$1004,1,MATCH(COLUMNS($AO$1006:BE1006),$AO$1006:$BQ$1006,0)))),"Fix")))</f>
        <v>#N/A</v>
      </c>
      <c r="S875" s="5" t="e">
        <f ca="1">IF(OR(INDEX($AI$2:$AI$1001,MATCH(ROWS($AH$2:AH875),$AH$2:$AH$1001,0),1)&gt;=100000,INDEX($AO$1005:$BQ$1005,1,MATCH(COLUMNS($AO$1006:BF1006),$AO$1006:$BQ$1006,0))&gt;=100000), " ",IF(INDEX($AO$2:$BQ$1001,MATCH(ROWS($AH$2:AH875),$AH$2:$AH$1001,0),MATCH(COLUMNS($AO$1006:BF1006),$AO$1006:$BQ$1006,0)), HYPERLINK("#",""), HYPERLINK(CONCATENATE("#Metadata!", ADDRESS(INDEX($AJ$2:$AJ$1001,MATCH(ROWS($AH$2:AH875),$AH$2:$AH$1001,0),0), INDEX($AO$1004:$BQ$1004,1,MATCH(COLUMNS($AO$1006:BF1006),$AO$1006:$BQ$1006,0)))),"Fix")))</f>
        <v>#N/A</v>
      </c>
      <c r="T875" s="5" t="e">
        <f ca="1">IF(OR(INDEX($AI$2:$AI$1001,MATCH(ROWS($AH$2:AH875),$AH$2:$AH$1001,0),1)&gt;=100000,INDEX($AO$1005:$BQ$1005,1,MATCH(COLUMNS($AO$1006:BG1006),$AO$1006:$BQ$1006,0))&gt;=100000), " ",IF(INDEX($AO$2:$BQ$1001,MATCH(ROWS($AH$2:AH875),$AH$2:$AH$1001,0),MATCH(COLUMNS($AO$1006:BG1006),$AO$1006:$BQ$1006,0)), HYPERLINK("#",""), HYPERLINK(CONCATENATE("#Metadata!", ADDRESS(INDEX($AJ$2:$AJ$1001,MATCH(ROWS($AH$2:AH875),$AH$2:$AH$1001,0),0), INDEX($AO$1004:$BQ$1004,1,MATCH(COLUMNS($AO$1006:BG1006),$AO$1006:$BQ$1006,0)))),"Fix")))</f>
        <v>#N/A</v>
      </c>
      <c r="U875" s="5" t="e">
        <f ca="1">IF(OR(INDEX($AI$2:$AI$1001,MATCH(ROWS($AH$2:AH875),$AH$2:$AH$1001,0),1)&gt;=100000,INDEX($AO$1005:$BQ$1005,1,MATCH(COLUMNS($AO$1006:BH1006),$AO$1006:$BQ$1006,0))&gt;=100000), " ",IF(INDEX($AO$2:$BQ$1001,MATCH(ROWS($AH$2:AH875),$AH$2:$AH$1001,0),MATCH(COLUMNS($AO$1006:BH1006),$AO$1006:$BQ$1006,0)), HYPERLINK("#",""), HYPERLINK(CONCATENATE("#Metadata!", ADDRESS(INDEX($AJ$2:$AJ$1001,MATCH(ROWS($AH$2:AH875),$AH$2:$AH$1001,0),0), INDEX($AO$1004:$BQ$1004,1,MATCH(COLUMNS($AO$1006:BH1006),$AO$1006:$BQ$1006,0)))),"Fix")))</f>
        <v>#N/A</v>
      </c>
      <c r="V875" s="5" t="e">
        <f ca="1">IF(OR(INDEX($AI$2:$AI$1001,MATCH(ROWS($AH$2:AH875),$AH$2:$AH$1001,0),1)&gt;=100000,INDEX($AO$1005:$BQ$1005,1,MATCH(COLUMNS($AO$1006:BI1006),$AO$1006:$BQ$1006,0))&gt;=100000), " ",IF(INDEX($AO$2:$BQ$1001,MATCH(ROWS($AH$2:AH875),$AH$2:$AH$1001,0),MATCH(COLUMNS($AO$1006:BI1006),$AO$1006:$BQ$1006,0)), HYPERLINK("#",""), HYPERLINK(CONCATENATE("#Metadata!", ADDRESS(INDEX($AJ$2:$AJ$1001,MATCH(ROWS($AH$2:AH875),$AH$2:$AH$1001,0),0), INDEX($AO$1004:$BQ$1004,1,MATCH(COLUMNS($AO$1006:BI1006),$AO$1006:$BQ$1006,0)))),"Fix")))</f>
        <v>#N/A</v>
      </c>
      <c r="W875" s="5" t="e">
        <f ca="1">IF(OR(INDEX($AI$2:$AI$1001,MATCH(ROWS($AH$2:AH875),$AH$2:$AH$1001,0),1)&gt;=100000,INDEX($AO$1005:$BQ$1005,1,MATCH(COLUMNS($AO$1006:BJ1006),$AO$1006:$BQ$1006,0))&gt;=100000), " ",IF(INDEX($AO$2:$BQ$1001,MATCH(ROWS($AH$2:AH875),$AH$2:$AH$1001,0),MATCH(COLUMNS($AO$1006:BJ1006),$AO$1006:$BQ$1006,0)), HYPERLINK("#",""), HYPERLINK(CONCATENATE("#Metadata!", ADDRESS(INDEX($AJ$2:$AJ$1001,MATCH(ROWS($AH$2:AH875),$AH$2:$AH$1001,0),0), INDEX($AO$1004:$BQ$1004,1,MATCH(COLUMNS($AO$1006:BJ1006),$AO$1006:$BQ$1006,0)))),"Fix")))</f>
        <v>#N/A</v>
      </c>
      <c r="X875" s="5" t="e">
        <f ca="1">IF(OR(INDEX($AI$2:$AI$1001,MATCH(ROWS($AH$2:AH875),$AH$2:$AH$1001,0),1)&gt;=100000,INDEX($AO$1005:$BQ$1005,1,MATCH(COLUMNS($AO$1006:BK1006),$AO$1006:$BQ$1006,0))&gt;=100000), " ",IF(INDEX($AO$2:$BQ$1001,MATCH(ROWS($AH$2:AH875),$AH$2:$AH$1001,0),MATCH(COLUMNS($AO$1006:BK1006),$AO$1006:$BQ$1006,0)), HYPERLINK("#",""), HYPERLINK(CONCATENATE("#Metadata!", ADDRESS(INDEX($AJ$2:$AJ$1001,MATCH(ROWS($AH$2:AH875),$AH$2:$AH$1001,0),0), INDEX($AO$1004:$BQ$1004,1,MATCH(COLUMNS($AO$1006:BK1006),$AO$1006:$BQ$1006,0)))),"Fix")))</f>
        <v>#N/A</v>
      </c>
      <c r="Y875" s="5" t="e">
        <f ca="1">IF(OR(INDEX($AI$2:$AI$1001,MATCH(ROWS($AH$2:AH875),$AH$2:$AH$1001,0),1)&gt;=100000,INDEX($AO$1005:$BQ$1005,1,MATCH(COLUMNS($AO$1006:BL1006),$AO$1006:$BQ$1006,0))&gt;=100000), " ",IF(INDEX($AO$2:$BQ$1001,MATCH(ROWS($AH$2:AH875),$AH$2:$AH$1001,0),MATCH(COLUMNS($AO$1006:BL1006),$AO$1006:$BQ$1006,0)), HYPERLINK("#",""), HYPERLINK(CONCATENATE("#Metadata!", ADDRESS(INDEX($AJ$2:$AJ$1001,MATCH(ROWS($AH$2:AH875),$AH$2:$AH$1001,0),0), INDEX($AO$1004:$BQ$1004,1,MATCH(COLUMNS($AO$1006:BL1006),$AO$1006:$BQ$1006,0)))),"Fix")))</f>
        <v>#N/A</v>
      </c>
      <c r="Z875" s="5" t="e">
        <f ca="1">IF(OR(INDEX($AI$2:$AI$1001,MATCH(ROWS($AH$2:AH875),$AH$2:$AH$1001,0),1)&gt;=100000,INDEX($AO$1005:$BQ$1005,1,MATCH(COLUMNS($AO$1006:BM1006),$AO$1006:$BQ$1006,0))&gt;=100000), " ",IF(INDEX($AO$2:$BQ$1001,MATCH(ROWS($AH$2:AH875),$AH$2:$AH$1001,0),MATCH(COLUMNS($AO$1006:BM1006),$AO$1006:$BQ$1006,0)), HYPERLINK("#",""), HYPERLINK(CONCATENATE("#Metadata!", ADDRESS(INDEX($AJ$2:$AJ$1001,MATCH(ROWS($AH$2:AH875),$AH$2:$AH$1001,0),0), INDEX($AO$1004:$BQ$1004,1,MATCH(COLUMNS($AO$1006:BM1006),$AO$1006:$BQ$1006,0)))),"Fix")))</f>
        <v>#N/A</v>
      </c>
      <c r="AA875" s="5" t="e">
        <f ca="1">IF(OR(INDEX($AI$2:$AI$1001,MATCH(ROWS($AH$2:AH875),$AH$2:$AH$1001,0),1)&gt;=100000,INDEX($AO$1005:$BQ$1005,1,MATCH(COLUMNS($AO$1006:BN1006),$AO$1006:$BQ$1006,0))&gt;=100000), " ",IF(INDEX($AO$2:$BQ$1001,MATCH(ROWS($AH$2:AH875),$AH$2:$AH$1001,0),MATCH(COLUMNS($AO$1006:BN1006),$AO$1006:$BQ$1006,0)), HYPERLINK("#",""), HYPERLINK(CONCATENATE("#Metadata!", ADDRESS(INDEX($AJ$2:$AJ$1001,MATCH(ROWS($AH$2:AH875),$AH$2:$AH$1001,0),0), INDEX($AO$1004:$BQ$1004,1,MATCH(COLUMNS($AO$1006:BN1006),$AO$1006:$BQ$1006,0)))),"Fix")))</f>
        <v>#N/A</v>
      </c>
      <c r="AB875" s="5" t="e">
        <f ca="1">IF(OR(INDEX($AI$2:$AI$1001,MATCH(ROWS($AH$2:AH875),$AH$2:$AH$1001,0),1)&gt;=100000,INDEX($AO$1005:$BQ$1005,1,MATCH(COLUMNS($AO$1006:BO1006),$AO$1006:$BQ$1006,0))&gt;=100000), " ",IF(INDEX($AO$2:$BQ$1001,MATCH(ROWS($AH$2:AH875),$AH$2:$AH$1001,0),MATCH(COLUMNS($AO$1006:BO1006),$AO$1006:$BQ$1006,0)), HYPERLINK("#",""), HYPERLINK(CONCATENATE("#Metadata!", ADDRESS(INDEX($AJ$2:$AJ$1001,MATCH(ROWS($AH$2:AH875),$AH$2:$AH$1001,0),0), INDEX($AO$1004:$BQ$1004,1,MATCH(COLUMNS($AO$1006:BO1006),$AO$1006:$BQ$1006,0)))),"Fix")))</f>
        <v>#N/A</v>
      </c>
      <c r="AC875" s="5" t="e">
        <f ca="1">IF(OR(INDEX($AI$2:$AI$1001,MATCH(ROWS($AH$2:AH875),$AH$2:$AH$1001,0),1)&gt;=100000,INDEX($AO$1005:$BQ$1005,1,MATCH(COLUMNS($AO$1006:BP1006),$AO$1006:$BQ$1006,0))&gt;=100000), " ",IF(INDEX($AO$2:$BQ$1001,MATCH(ROWS($AH$2:AH875),$AH$2:$AH$1001,0),MATCH(COLUMNS($AO$1006:BP1006),$AO$1006:$BQ$1006,0)), HYPERLINK("#",""), HYPERLINK(CONCATENATE("#Metadata!", ADDRESS(INDEX($AJ$2:$AJ$1001,MATCH(ROWS($AH$2:AH875),$AH$2:$AH$1001,0),0), INDEX($AO$1004:$BQ$1004,1,MATCH(COLUMNS($AO$1006:BP1006),$AO$1006:$BQ$1006,0)))),"Fix")))</f>
        <v>#N/A</v>
      </c>
      <c r="AD875" s="5" t="e">
        <f ca="1">IF(OR(INDEX($AI$2:$AI$1001,MATCH(ROWS($AH$2:AH875),$AH$2:$AH$1001,0),1)&gt;=100000,INDEX($AO$1005:$BQ$1005,1,MATCH(COLUMNS($AO$1006:BQ1006),$AO$1006:$BQ$1006,0))&gt;=100000), " ",IF(INDEX($AO$2:$BQ$1001,MATCH(ROWS($AH$2:AH875),$AH$2:$AH$1001,0),MATCH(COLUMNS($AO$1006:BQ1006),$AO$1006:$BQ$1006,0)), HYPERLINK("#",""), HYPERLINK(CONCATENATE("#Metadata!", ADDRESS(INDEX($AJ$2:$AJ$1001,MATCH(ROWS($AH$2:AH875),$AH$2:$AH$1001,0),0), INDEX($AO$1004:$BQ$1004,1,MATCH(COLUMNS($AO$1006:BQ1006),$AO$1006:$BQ$1006,0)))),"Fix")))</f>
        <v>#REF!</v>
      </c>
      <c r="AH875">
        <f ca="1"/>
        <v>872</v>
      </c>
      <c r="AI875">
        <v>100875</v>
      </c>
      <c r="AJ875">
        <v>875</v>
      </c>
      <c r="AK875" t="b">
        <f t="shared" si="13"/>
        <v>1</v>
      </c>
      <c r="AL875" t="b">
        <f>COUNTBLANK(Metadata!B875:AD875)=COLUMNS(Metadata!B875:AD875)</f>
        <v>1</v>
      </c>
      <c r="AM875" t="str">
        <v/>
      </c>
      <c r="AO875" t="b">
        <f ca="1">AND(IF(Metadata!B875="",FALSE,TRUE),COUNTIF(Metadata!B:B, Metadata!B875) = 1,NOT(ISERROR(SUMPRODUCT(SEARCH(MID(Metadata!B875,ROW(INDIRECT("1:"&amp;LEN(Metadata!B875))), 1),"0123456789abcdefghijklmnopqrstuvwxyzABCDEFGHIJKLMNOPQRSTUVWXYZ.")))))</f>
        <v>0</v>
      </c>
      <c r="AP875" t="b">
        <f>IF(Metadata!C875="",FALSE,TRUE)</f>
        <v>0</v>
      </c>
      <c r="AQ875" t="b">
        <f>IF(Metadata!D875="",FALSE,TRUE)</f>
        <v>0</v>
      </c>
      <c r="AR875" t="b">
        <f ca="1">OR(AND(IF(Metadata!E875="",FALSE,TRUE),OR(EXACT(Metadata!E875,"not collected"),EXACT(Metadata!E875,"not provided"),EXACT(Metadata!E875,"restricted access"))),AND(IF(Metadata!E875="",FALSE,TRUE),AND(AND(IFERROR(INT(LEFT(Metadata!E875,4))&gt;1900,FALSE),IFERROR(INT(LEFT(Metadata!E875,4))&lt;=YEAR(NOW()),FALSE)), OR(MID(Metadata!E875,5,1)="", AND(AND(MID(Metadata!E875,5,1)="-",IFERROR(INT(MID(Metadata!E875,6,1))&gt;=0,FALSE),IFERROR(INT(MID(Metadata!E875,6,1))&lt;=1,FALSE),NOT(MID(Metadata!E875,7,1)=""),IFERROR(INT(MID(Metadata!E875,6,2))&gt;=1,FALSE),IFERROR(INT(MID(Metadata!E875,6,2))&lt;=12,FALSE)), OR(MID(Metadata!E875,8,1)="", AND(AND(MID(Metadata!E875,8,1)="-",IFERROR(INT(MID(Metadata!E875,9,1))&gt;=0,FALSE),IFERROR(INT(MID(Metadata!E875,9,1))&lt;=3,FALSE),NOT(MID(Metadata!E875,10,1)=""),IFERROR(INT(MID(Metadata!E875,9,2))&gt;=1,FALSE),IFERROR(INT(MID(Metadata!E875,9,2))&lt;=31,FALSE)), OR(MID(Metadata!E875,11,1)="", AND(AND(MID(Metadata!E875,11,1)=" ",IFERROR(INT(MID(Metadata!E875,12,1))&gt;=0,FALSE),IFERROR(INT(MID(Metadata!E875,12,1))&lt;=2,FALSE),NOT(MID(Metadata!E875,13,1)=""),IFERROR(INT(MID(Metadata!E875,12,2))&gt;=0,FALSE),IFERROR(INT(MID(Metadata!E875,12,2))&lt;=23,FALSE)), OR(MID(Metadata!E875,14,1)="", AND(AND(MID(Metadata!E875,14,1)=":",IFERROR(INT(MID(Metadata!E875,15,1))&gt;=0,FALSE),IFERROR(INT(MID(Metadata!E875,15,1))&lt;=5,FALSE),NOT(MID(Metadata!E875,16,1)=""),IFERROR(INT(MID(Metadata!E875,15,2))&gt;=0,FALSE),IFERROR(INT(MID(Metadata!E875,15,2))&lt;=59,FALSE)), OR(MID(Metadata!E875,17,1)="", AND(AND(MID(Metadata!E875,17,1)=":",IFERROR(INT(MID(Metadata!E875,18,1))&gt;=0,FALSE),IFERROR(INT(MID(Metadata!E875,18,1))&lt;=5,FALSE),NOT(MID(Metadata!E875,19,1)=""),IFERROR(INT(MID(Metadata!E875,18,2))&gt;=0,FALSE),IFERROR(INT(MID(Metadata!E875,18,2))&lt;=59,FALSE)), LEN(Metadata!E875)&lt;=19)))))))))))))</f>
        <v>0</v>
      </c>
      <c r="AS875" t="b">
        <f>IF(Metadata!F875="",FALSE,TRUE)</f>
        <v>0</v>
      </c>
      <c r="AT875" t="b">
        <f>OR(AND(IF(Metadata!G875="",FALSE,TRUE),OR(EXACT(Metadata!G875,"not collected"),EXACT(Metadata!G875,"not provided"))),AND(IF(Metadata!G875="",FALSE,TRUE),OR(EXACT(Metadata!G875,"TRUE"),EXACT(Metadata!G875,"FALSE"))))</f>
        <v>0</v>
      </c>
      <c r="AU875" t="b">
        <f>OR(AND(IF(Metadata!H875="",FALSE,TRUE),OR(EXACT(Metadata!H875,"not collected"),EXACT(Metadata!H875,"not provided"),EXACT(Metadata!H875,"restricted access"))),AND(IF(Metadata!H875="",FALSE,ISNUMBER(VALUE(Metadata!H875))),Metadata!H875&gt;=-413))</f>
        <v>0</v>
      </c>
      <c r="AV875" t="b">
        <f>AND(IF(Metadata!I875="",FALSE,TRUE),EXACT(Metadata!I875,"meters"))</f>
        <v>0</v>
      </c>
      <c r="AW875" t="b">
        <f>AND(IF(Metadata!J875="",FALSE,TRUE),EXACT(Metadata!J875,"free-living"))</f>
        <v>0</v>
      </c>
      <c r="AX875" t="b">
        <f>AND(IF(Metadata!K875="",FALSE,TRUE),OR(EXACT(Metadata!K875,"saline"),EXACT(Metadata!K875,"non-saline")))</f>
        <v>0</v>
      </c>
      <c r="AY875" t="b">
        <f>AND(IF(Metadata!L875="",FALSE,TRUE),OR(EXACT(Metadata!L875,"sub-surface (non-saline)"),EXACT(Metadata!L875,"surface (non-saline)"),EXACT(Metadata!L875,"water (non-saline)"),EXACT(Metadata!L875,"soil (non-saline)"),EXACT(Metadata!L875,"aerosol (non-saline)"),EXACT(Metadata!L875,"sediment (non-saline)"),EXACT(Metadata!L875,"surface (saline)"),EXACT(Metadata!L875,"water (saline)"),EXACT(Metadata!L875,"hypersaline (saline)"),EXACT(Metadata!L875,"aerosol (saline)"),EXACT(Metadata!L875,"sediment (saline)")))</f>
        <v>0</v>
      </c>
      <c r="AZ875" t="b">
        <f>IF(Metadata!M875="",FALSE,TRUE)</f>
        <v>0</v>
      </c>
      <c r="BA875" t="b">
        <f>IF(Metadata!N875="",FALSE,TRUE)</f>
        <v>0</v>
      </c>
      <c r="BB875" t="b">
        <f>IF(Metadata!O875="",FALSE,TRUE)</f>
        <v>0</v>
      </c>
      <c r="BC875" t="b">
        <f>AND(IF(Metadata!P875="",FALSE,TRUE),OR(EXACT(Metadata!P875,"air"),EXACT(Metadata!P875,"microbial mat/biofilm"),EXACT(Metadata!P875,"misc environment"),EXACT(Metadata!P875,"sediment"),EXACT(Metadata!P875,"soil"),EXACT(Metadata!P875,"wastewater/sludge"),EXACT(Metadata!P875,"water")))</f>
        <v>0</v>
      </c>
      <c r="BD875" t="b">
        <f>IF(Metadata!Q875="",FALSE,TRUE)</f>
        <v>0</v>
      </c>
      <c r="BE875" t="b">
        <f>IF(Metadata!R875="",FALSE,TRUE)</f>
        <v>0</v>
      </c>
      <c r="BF875" t="b">
        <f>OR(AND(IF(Metadata!S875="",FALSE,TRUE),OR(EXACT(Metadata!S875,"not collected"),EXACT(Metadata!S875,"not provided"),EXACT(Metadata!S875,"restricted access"))),AND(IF(Metadata!S875="",FALSE,ISNUMBER(VALUE(Metadata!S875))),Metadata!S875&gt;=-90,Metadata!S875&lt;=90))</f>
        <v>0</v>
      </c>
      <c r="BG875" t="b">
        <f>AND(IF(Metadata!T875="",FALSE,TRUE),EXACT(Metadata!T875,"Decimal degrees"))</f>
        <v>0</v>
      </c>
      <c r="BH875" t="b">
        <f>OR(AND(IF(Metadata!U875="",FALSE,TRUE),OR(EXACT(Metadata!U875,"not applicable"),EXACT(Metadata!U875,"not collected"))),IF(Metadata!U875="",FALSE,TRUE))</f>
        <v>0</v>
      </c>
      <c r="BI875" t="b">
        <f>OR(AND(IF(Metadata!V875="",FALSE,TRUE),OR(EXACT(Metadata!V875,"not collected"),EXACT(Metadata!V875,"not provided"),EXACT(Metadata!V875,"restricted access"))),AND(IF(Metadata!V875="",FALSE,ISNUMBER(VALUE(Metadata!V875))),Metadata!V875&gt;=-180,Metadata!V875&lt;=180))</f>
        <v>0</v>
      </c>
      <c r="BJ875" t="b">
        <f>AND(IF(Metadata!W875="",FALSE,TRUE),EXACT(Metadata!W875,"Decimal degrees"))</f>
        <v>0</v>
      </c>
      <c r="BK875" t="b">
        <f>IF(Metadata!X875="",FALSE,TRUE)</f>
        <v>0</v>
      </c>
      <c r="BL875" t="b">
        <f>OR(AND(IF(Metadata!Y875="",FALSE,TRUE),OR(EXACT(Metadata!Y875,"not collected"),EXACT(Metadata!Y875,"not provided"),EXACT(Metadata!Y875,"restricted access"))),AND(IF(Metadata!Y875="",FALSE,TRUE),OR(EXACT(Metadata!Y875,"TRUE"),EXACT(Metadata!Y875,"FALSE"))))</f>
        <v>0</v>
      </c>
      <c r="BM875" t="b">
        <f>OR(AND(IF(Metadata!Z875="",FALSE,TRUE),EXACT(Metadata!Z875,"not applicable")),AND(IF(Metadata!Z875="",FALSE,TRUE),OR(EXACT(Metadata!Z875,"beer"),EXACT(Metadata!Z875,"cheese"),EXACT(Metadata!Z875,"fresh water"),EXACT(Metadata!Z875,"marine sediment"),EXACT(Metadata!Z875,"sea water"),EXACT(Metadata!Z875,"sediment"),EXACT(Metadata!Z875,"soil"),EXACT(Metadata!Z875,"waste water"))))</f>
        <v>0</v>
      </c>
      <c r="BN875" t="b">
        <f>AND(IF(Metadata!AA875="",FALSE,TRUE),EXACT(Metadata!AA875,"metagenome"))</f>
        <v>0</v>
      </c>
      <c r="BO875" t="b">
        <f>AND(IF(Metadata!AB875="",FALSE,TRUE),EXACT(Metadata!AB875,"256318"))</f>
        <v>0</v>
      </c>
      <c r="BP875" t="b">
        <f>IF(Metadata!AC875="",FALSE,TRUE)</f>
        <v>0</v>
      </c>
      <c r="BQ875" t="b">
        <f>IF(Metadata!AD875="",FALSE,TRUE)</f>
        <v>0</v>
      </c>
    </row>
    <row r="876" spans="1:69" x14ac:dyDescent="0.2">
      <c r="A876" s="4" t="e">
        <f ca="1">IF(B876=" "," ",HYPERLINK(CONCATENATE("#metadata!",ADDRESS(INDEX($AJ$2:$AJ$1001,MATCH(ROWS($AH$2:AH876),$AH$2:$AH$1001,0),0),2)),INDEX($AM$2:$AM$1001,MATCH(ROWS($AH$2:AH876),$AH$2:$AH$1001,0),0)))</f>
        <v>#N/A</v>
      </c>
      <c r="B876" s="5" t="e">
        <f ca="1">IF(OR(INDEX($AI$2:$AI$1001,MATCH(ROWS($AH$2:AH876),$AH$2:$AH$1001,0),1)&gt;=100000,INDEX($AO$1005:$BQ$1005,1,MATCH(COLUMNS($AO$1006:AO1006),$AO$1006:$BQ$1006,0))&gt;=100000), " ",IF(INDEX($AO$2:$BQ$1001,MATCH(ROWS($AH$2:AH876),$AH$2:$AH$1001,0),MATCH(COLUMNS($AO$1006:AO1006),$AO$1006:$BQ$1006,0)), HYPERLINK("#",""), HYPERLINK(CONCATENATE("#Metadata!", ADDRESS(INDEX($AJ$2:$AJ$1001,MATCH(ROWS($AH$2:AH876),$AH$2:$AH$1001,0),0), INDEX($AO$1004:$BQ$1004,1,MATCH(COLUMNS($AO$1006:AO1006),$AO$1006:$BQ$1006,0)))),"Fix")))</f>
        <v>#N/A</v>
      </c>
      <c r="C876" s="5" t="e">
        <f ca="1">IF(OR(INDEX($AI$2:$AI$1001,MATCH(ROWS($AH$2:AH876),$AH$2:$AH$1001,0),1)&gt;=100000,INDEX($AO$1005:$BQ$1005,1,MATCH(COLUMNS($AO$1006:AP1006),$AO$1006:$BQ$1006,0))&gt;=100000), " ",IF(INDEX($AO$2:$BQ$1001,MATCH(ROWS($AH$2:AH876),$AH$2:$AH$1001,0),MATCH(COLUMNS($AO$1006:AP1006),$AO$1006:$BQ$1006,0)), HYPERLINK("#",""), HYPERLINK(CONCATENATE("#Metadata!", ADDRESS(INDEX($AJ$2:$AJ$1001,MATCH(ROWS($AH$2:AH876),$AH$2:$AH$1001,0),0), INDEX($AO$1004:$BQ$1004,1,MATCH(COLUMNS($AO$1006:AP1006),$AO$1006:$BQ$1006,0)))),"Fix")))</f>
        <v>#N/A</v>
      </c>
      <c r="D876" s="5" t="e">
        <f ca="1">IF(OR(INDEX($AI$2:$AI$1001,MATCH(ROWS($AH$2:AH876),$AH$2:$AH$1001,0),1)&gt;=100000,INDEX($AO$1005:$BQ$1005,1,MATCH(COLUMNS($AO$1006:AQ1006),$AO$1006:$BQ$1006,0))&gt;=100000), " ",IF(INDEX($AO$2:$BQ$1001,MATCH(ROWS($AH$2:AH876),$AH$2:$AH$1001,0),MATCH(COLUMNS($AO$1006:AQ1006),$AO$1006:$BQ$1006,0)), HYPERLINK("#",""), HYPERLINK(CONCATENATE("#Metadata!", ADDRESS(INDEX($AJ$2:$AJ$1001,MATCH(ROWS($AH$2:AH876),$AH$2:$AH$1001,0),0), INDEX($AO$1004:$BQ$1004,1,MATCH(COLUMNS($AO$1006:AQ1006),$AO$1006:$BQ$1006,0)))),"Fix")))</f>
        <v>#N/A</v>
      </c>
      <c r="E876" s="5" t="e">
        <f ca="1">IF(OR(INDEX($AI$2:$AI$1001,MATCH(ROWS($AH$2:AH876),$AH$2:$AH$1001,0),1)&gt;=100000,INDEX($AO$1005:$BQ$1005,1,MATCH(COLUMNS($AO$1006:AR1006),$AO$1006:$BQ$1006,0))&gt;=100000), " ",IF(INDEX($AO$2:$BQ$1001,MATCH(ROWS($AH$2:AH876),$AH$2:$AH$1001,0),MATCH(COLUMNS($AO$1006:AR1006),$AO$1006:$BQ$1006,0)), HYPERLINK("#",""), HYPERLINK(CONCATENATE("#Metadata!", ADDRESS(INDEX($AJ$2:$AJ$1001,MATCH(ROWS($AH$2:AH876),$AH$2:$AH$1001,0),0), INDEX($AO$1004:$BQ$1004,1,MATCH(COLUMNS($AO$1006:AR1006),$AO$1006:$BQ$1006,0)))),"Fix")))</f>
        <v>#N/A</v>
      </c>
      <c r="F876" s="5" t="e">
        <f ca="1">IF(OR(INDEX($AI$2:$AI$1001,MATCH(ROWS($AH$2:AH876),$AH$2:$AH$1001,0),1)&gt;=100000,INDEX($AO$1005:$BQ$1005,1,MATCH(COLUMNS($AO$1006:AS1006),$AO$1006:$BQ$1006,0))&gt;=100000), " ",IF(INDEX($AO$2:$BQ$1001,MATCH(ROWS($AH$2:AH876),$AH$2:$AH$1001,0),MATCH(COLUMNS($AO$1006:AS1006),$AO$1006:$BQ$1006,0)), HYPERLINK("#",""), HYPERLINK(CONCATENATE("#Metadata!", ADDRESS(INDEX($AJ$2:$AJ$1001,MATCH(ROWS($AH$2:AH876),$AH$2:$AH$1001,0),0), INDEX($AO$1004:$BQ$1004,1,MATCH(COLUMNS($AO$1006:AS1006),$AO$1006:$BQ$1006,0)))),"Fix")))</f>
        <v>#N/A</v>
      </c>
      <c r="G876" s="5" t="e">
        <f ca="1">IF(OR(INDEX($AI$2:$AI$1001,MATCH(ROWS($AH$2:AH876),$AH$2:$AH$1001,0),1)&gt;=100000,INDEX($AO$1005:$BQ$1005,1,MATCH(COLUMNS($AO$1006:AT1006),$AO$1006:$BQ$1006,0))&gt;=100000), " ",IF(INDEX($AO$2:$BQ$1001,MATCH(ROWS($AH$2:AH876),$AH$2:$AH$1001,0),MATCH(COLUMNS($AO$1006:AT1006),$AO$1006:$BQ$1006,0)), HYPERLINK("#",""), HYPERLINK(CONCATENATE("#Metadata!", ADDRESS(INDEX($AJ$2:$AJ$1001,MATCH(ROWS($AH$2:AH876),$AH$2:$AH$1001,0),0), INDEX($AO$1004:$BQ$1004,1,MATCH(COLUMNS($AO$1006:AT1006),$AO$1006:$BQ$1006,0)))),"Fix")))</f>
        <v>#N/A</v>
      </c>
      <c r="H876" s="5" t="e">
        <f ca="1">IF(OR(INDEX($AI$2:$AI$1001,MATCH(ROWS($AH$2:AH876),$AH$2:$AH$1001,0),1)&gt;=100000,INDEX($AO$1005:$BQ$1005,1,MATCH(COLUMNS($AO$1006:AU1006),$AO$1006:$BQ$1006,0))&gt;=100000), " ",IF(INDEX($AO$2:$BQ$1001,MATCH(ROWS($AH$2:AH876),$AH$2:$AH$1001,0),MATCH(COLUMNS($AO$1006:AU1006),$AO$1006:$BQ$1006,0)), HYPERLINK("#",""), HYPERLINK(CONCATENATE("#Metadata!", ADDRESS(INDEX($AJ$2:$AJ$1001,MATCH(ROWS($AH$2:AH876),$AH$2:$AH$1001,0),0), INDEX($AO$1004:$BQ$1004,1,MATCH(COLUMNS($AO$1006:AU1006),$AO$1006:$BQ$1006,0)))),"Fix")))</f>
        <v>#N/A</v>
      </c>
      <c r="I876" s="5" t="e">
        <f ca="1">IF(OR(INDEX($AI$2:$AI$1001,MATCH(ROWS($AH$2:AH876),$AH$2:$AH$1001,0),1)&gt;=100000,INDEX($AO$1005:$BQ$1005,1,MATCH(COLUMNS($AO$1006:AV1006),$AO$1006:$BQ$1006,0))&gt;=100000), " ",IF(INDEX($AO$2:$BQ$1001,MATCH(ROWS($AH$2:AH876),$AH$2:$AH$1001,0),MATCH(COLUMNS($AO$1006:AV1006),$AO$1006:$BQ$1006,0)), HYPERLINK("#",""), HYPERLINK(CONCATENATE("#Metadata!", ADDRESS(INDEX($AJ$2:$AJ$1001,MATCH(ROWS($AH$2:AH876),$AH$2:$AH$1001,0),0), INDEX($AO$1004:$BQ$1004,1,MATCH(COLUMNS($AO$1006:AV1006),$AO$1006:$BQ$1006,0)))),"Fix")))</f>
        <v>#N/A</v>
      </c>
      <c r="J876" s="5" t="e">
        <f ca="1">IF(OR(INDEX($AI$2:$AI$1001,MATCH(ROWS($AH$2:AH876),$AH$2:$AH$1001,0),1)&gt;=100000,INDEX($AO$1005:$BQ$1005,1,MATCH(COLUMNS($AO$1006:AW1006),$AO$1006:$BQ$1006,0))&gt;=100000), " ",IF(INDEX($AO$2:$BQ$1001,MATCH(ROWS($AH$2:AH876),$AH$2:$AH$1001,0),MATCH(COLUMNS($AO$1006:AW1006),$AO$1006:$BQ$1006,0)), HYPERLINK("#",""), HYPERLINK(CONCATENATE("#Metadata!", ADDRESS(INDEX($AJ$2:$AJ$1001,MATCH(ROWS($AH$2:AH876),$AH$2:$AH$1001,0),0), INDEX($AO$1004:$BQ$1004,1,MATCH(COLUMNS($AO$1006:AW1006),$AO$1006:$BQ$1006,0)))),"Fix")))</f>
        <v>#N/A</v>
      </c>
      <c r="K876" s="5" t="e">
        <f ca="1">IF(OR(INDEX($AI$2:$AI$1001,MATCH(ROWS($AH$2:AH876),$AH$2:$AH$1001,0),1)&gt;=100000,INDEX($AO$1005:$BQ$1005,1,MATCH(COLUMNS($AO$1006:AX1006),$AO$1006:$BQ$1006,0))&gt;=100000), " ",IF(INDEX($AO$2:$BQ$1001,MATCH(ROWS($AH$2:AH876),$AH$2:$AH$1001,0),MATCH(COLUMNS($AO$1006:AX1006),$AO$1006:$BQ$1006,0)), HYPERLINK("#",""), HYPERLINK(CONCATENATE("#Metadata!", ADDRESS(INDEX($AJ$2:$AJ$1001,MATCH(ROWS($AH$2:AH876),$AH$2:$AH$1001,0),0), INDEX($AO$1004:$BQ$1004,1,MATCH(COLUMNS($AO$1006:AX1006),$AO$1006:$BQ$1006,0)))),"Fix")))</f>
        <v>#N/A</v>
      </c>
      <c r="L876" s="5" t="e">
        <f ca="1">IF(OR(INDEX($AI$2:$AI$1001,MATCH(ROWS($AH$2:AH876),$AH$2:$AH$1001,0),1)&gt;=100000,INDEX($AO$1005:$BQ$1005,1,MATCH(COLUMNS($AO$1006:AY1006),$AO$1006:$BQ$1006,0))&gt;=100000), " ",IF(INDEX($AO$2:$BQ$1001,MATCH(ROWS($AH$2:AH876),$AH$2:$AH$1001,0),MATCH(COLUMNS($AO$1006:AY1006),$AO$1006:$BQ$1006,0)), HYPERLINK("#",""), HYPERLINK(CONCATENATE("#Metadata!", ADDRESS(INDEX($AJ$2:$AJ$1001,MATCH(ROWS($AH$2:AH876),$AH$2:$AH$1001,0),0), INDEX($AO$1004:$BQ$1004,1,MATCH(COLUMNS($AO$1006:AY1006),$AO$1006:$BQ$1006,0)))),"Fix")))</f>
        <v>#N/A</v>
      </c>
      <c r="M876" s="5" t="e">
        <f ca="1">IF(OR(INDEX($AI$2:$AI$1001,MATCH(ROWS($AH$2:AH876),$AH$2:$AH$1001,0),1)&gt;=100000,INDEX($AO$1005:$BQ$1005,1,MATCH(COLUMNS($AO$1006:AZ1006),$AO$1006:$BQ$1006,0))&gt;=100000), " ",IF(INDEX($AO$2:$BQ$1001,MATCH(ROWS($AH$2:AH876),$AH$2:$AH$1001,0),MATCH(COLUMNS($AO$1006:AZ1006),$AO$1006:$BQ$1006,0)), HYPERLINK("#",""), HYPERLINK(CONCATENATE("#Metadata!", ADDRESS(INDEX($AJ$2:$AJ$1001,MATCH(ROWS($AH$2:AH876),$AH$2:$AH$1001,0),0), INDEX($AO$1004:$BQ$1004,1,MATCH(COLUMNS($AO$1006:AZ1006),$AO$1006:$BQ$1006,0)))),"Fix")))</f>
        <v>#N/A</v>
      </c>
      <c r="N876" s="5" t="e">
        <f ca="1">IF(OR(INDEX($AI$2:$AI$1001,MATCH(ROWS($AH$2:AH876),$AH$2:$AH$1001,0),1)&gt;=100000,INDEX($AO$1005:$BQ$1005,1,MATCH(COLUMNS($AO$1006:BA1006),$AO$1006:$BQ$1006,0))&gt;=100000), " ",IF(INDEX($AO$2:$BQ$1001,MATCH(ROWS($AH$2:AH876),$AH$2:$AH$1001,0),MATCH(COLUMNS($AO$1006:BA1006),$AO$1006:$BQ$1006,0)), HYPERLINK("#",""), HYPERLINK(CONCATENATE("#Metadata!", ADDRESS(INDEX($AJ$2:$AJ$1001,MATCH(ROWS($AH$2:AH876),$AH$2:$AH$1001,0),0), INDEX($AO$1004:$BQ$1004,1,MATCH(COLUMNS($AO$1006:BA1006),$AO$1006:$BQ$1006,0)))),"Fix")))</f>
        <v>#N/A</v>
      </c>
      <c r="O876" s="5" t="e">
        <f ca="1">IF(OR(INDEX($AI$2:$AI$1001,MATCH(ROWS($AH$2:AH876),$AH$2:$AH$1001,0),1)&gt;=100000,INDEX($AO$1005:$BQ$1005,1,MATCH(COLUMNS($AO$1006:BB1006),$AO$1006:$BQ$1006,0))&gt;=100000), " ",IF(INDEX($AO$2:$BQ$1001,MATCH(ROWS($AH$2:AH876),$AH$2:$AH$1001,0),MATCH(COLUMNS($AO$1006:BB1006),$AO$1006:$BQ$1006,0)), HYPERLINK("#",""), HYPERLINK(CONCATENATE("#Metadata!", ADDRESS(INDEX($AJ$2:$AJ$1001,MATCH(ROWS($AH$2:AH876),$AH$2:$AH$1001,0),0), INDEX($AO$1004:$BQ$1004,1,MATCH(COLUMNS($AO$1006:BB1006),$AO$1006:$BQ$1006,0)))),"Fix")))</f>
        <v>#N/A</v>
      </c>
      <c r="P876" s="5" t="e">
        <f ca="1">IF(OR(INDEX($AI$2:$AI$1001,MATCH(ROWS($AH$2:AH876),$AH$2:$AH$1001,0),1)&gt;=100000,INDEX($AO$1005:$BQ$1005,1,MATCH(COLUMNS($AO$1006:BC1006),$AO$1006:$BQ$1006,0))&gt;=100000), " ",IF(INDEX($AO$2:$BQ$1001,MATCH(ROWS($AH$2:AH876),$AH$2:$AH$1001,0),MATCH(COLUMNS($AO$1006:BC1006),$AO$1006:$BQ$1006,0)), HYPERLINK("#",""), HYPERLINK(CONCATENATE("#Metadata!", ADDRESS(INDEX($AJ$2:$AJ$1001,MATCH(ROWS($AH$2:AH876),$AH$2:$AH$1001,0),0), INDEX($AO$1004:$BQ$1004,1,MATCH(COLUMNS($AO$1006:BC1006),$AO$1006:$BQ$1006,0)))),"Fix")))</f>
        <v>#N/A</v>
      </c>
      <c r="Q876" s="5" t="e">
        <f ca="1">IF(OR(INDEX($AI$2:$AI$1001,MATCH(ROWS($AH$2:AH876),$AH$2:$AH$1001,0),1)&gt;=100000,INDEX($AO$1005:$BQ$1005,1,MATCH(COLUMNS($AO$1006:BD1006),$AO$1006:$BQ$1006,0))&gt;=100000), " ",IF(INDEX($AO$2:$BQ$1001,MATCH(ROWS($AH$2:AH876),$AH$2:$AH$1001,0),MATCH(COLUMNS($AO$1006:BD1006),$AO$1006:$BQ$1006,0)), HYPERLINK("#",""), HYPERLINK(CONCATENATE("#Metadata!", ADDRESS(INDEX($AJ$2:$AJ$1001,MATCH(ROWS($AH$2:AH876),$AH$2:$AH$1001,0),0), INDEX($AO$1004:$BQ$1004,1,MATCH(COLUMNS($AO$1006:BD1006),$AO$1006:$BQ$1006,0)))),"Fix")))</f>
        <v>#N/A</v>
      </c>
      <c r="R876" s="5" t="e">
        <f ca="1">IF(OR(INDEX($AI$2:$AI$1001,MATCH(ROWS($AH$2:AH876),$AH$2:$AH$1001,0),1)&gt;=100000,INDEX($AO$1005:$BQ$1005,1,MATCH(COLUMNS($AO$1006:BE1006),$AO$1006:$BQ$1006,0))&gt;=100000), " ",IF(INDEX($AO$2:$BQ$1001,MATCH(ROWS($AH$2:AH876),$AH$2:$AH$1001,0),MATCH(COLUMNS($AO$1006:BE1006),$AO$1006:$BQ$1006,0)), HYPERLINK("#",""), HYPERLINK(CONCATENATE("#Metadata!", ADDRESS(INDEX($AJ$2:$AJ$1001,MATCH(ROWS($AH$2:AH876),$AH$2:$AH$1001,0),0), INDEX($AO$1004:$BQ$1004,1,MATCH(COLUMNS($AO$1006:BE1006),$AO$1006:$BQ$1006,0)))),"Fix")))</f>
        <v>#N/A</v>
      </c>
      <c r="S876" s="5" t="e">
        <f ca="1">IF(OR(INDEX($AI$2:$AI$1001,MATCH(ROWS($AH$2:AH876),$AH$2:$AH$1001,0),1)&gt;=100000,INDEX($AO$1005:$BQ$1005,1,MATCH(COLUMNS($AO$1006:BF1006),$AO$1006:$BQ$1006,0))&gt;=100000), " ",IF(INDEX($AO$2:$BQ$1001,MATCH(ROWS($AH$2:AH876),$AH$2:$AH$1001,0),MATCH(COLUMNS($AO$1006:BF1006),$AO$1006:$BQ$1006,0)), HYPERLINK("#",""), HYPERLINK(CONCATENATE("#Metadata!", ADDRESS(INDEX($AJ$2:$AJ$1001,MATCH(ROWS($AH$2:AH876),$AH$2:$AH$1001,0),0), INDEX($AO$1004:$BQ$1004,1,MATCH(COLUMNS($AO$1006:BF1006),$AO$1006:$BQ$1006,0)))),"Fix")))</f>
        <v>#N/A</v>
      </c>
      <c r="T876" s="5" t="e">
        <f ca="1">IF(OR(INDEX($AI$2:$AI$1001,MATCH(ROWS($AH$2:AH876),$AH$2:$AH$1001,0),1)&gt;=100000,INDEX($AO$1005:$BQ$1005,1,MATCH(COLUMNS($AO$1006:BG1006),$AO$1006:$BQ$1006,0))&gt;=100000), " ",IF(INDEX($AO$2:$BQ$1001,MATCH(ROWS($AH$2:AH876),$AH$2:$AH$1001,0),MATCH(COLUMNS($AO$1006:BG1006),$AO$1006:$BQ$1006,0)), HYPERLINK("#",""), HYPERLINK(CONCATENATE("#Metadata!", ADDRESS(INDEX($AJ$2:$AJ$1001,MATCH(ROWS($AH$2:AH876),$AH$2:$AH$1001,0),0), INDEX($AO$1004:$BQ$1004,1,MATCH(COLUMNS($AO$1006:BG1006),$AO$1006:$BQ$1006,0)))),"Fix")))</f>
        <v>#N/A</v>
      </c>
      <c r="U876" s="5" t="e">
        <f ca="1">IF(OR(INDEX($AI$2:$AI$1001,MATCH(ROWS($AH$2:AH876),$AH$2:$AH$1001,0),1)&gt;=100000,INDEX($AO$1005:$BQ$1005,1,MATCH(COLUMNS($AO$1006:BH1006),$AO$1006:$BQ$1006,0))&gt;=100000), " ",IF(INDEX($AO$2:$BQ$1001,MATCH(ROWS($AH$2:AH876),$AH$2:$AH$1001,0),MATCH(COLUMNS($AO$1006:BH1006),$AO$1006:$BQ$1006,0)), HYPERLINK("#",""), HYPERLINK(CONCATENATE("#Metadata!", ADDRESS(INDEX($AJ$2:$AJ$1001,MATCH(ROWS($AH$2:AH876),$AH$2:$AH$1001,0),0), INDEX($AO$1004:$BQ$1004,1,MATCH(COLUMNS($AO$1006:BH1006),$AO$1006:$BQ$1006,0)))),"Fix")))</f>
        <v>#N/A</v>
      </c>
      <c r="V876" s="5" t="e">
        <f ca="1">IF(OR(INDEX($AI$2:$AI$1001,MATCH(ROWS($AH$2:AH876),$AH$2:$AH$1001,0),1)&gt;=100000,INDEX($AO$1005:$BQ$1005,1,MATCH(COLUMNS($AO$1006:BI1006),$AO$1006:$BQ$1006,0))&gt;=100000), " ",IF(INDEX($AO$2:$BQ$1001,MATCH(ROWS($AH$2:AH876),$AH$2:$AH$1001,0),MATCH(COLUMNS($AO$1006:BI1006),$AO$1006:$BQ$1006,0)), HYPERLINK("#",""), HYPERLINK(CONCATENATE("#Metadata!", ADDRESS(INDEX($AJ$2:$AJ$1001,MATCH(ROWS($AH$2:AH876),$AH$2:$AH$1001,0),0), INDEX($AO$1004:$BQ$1004,1,MATCH(COLUMNS($AO$1006:BI1006),$AO$1006:$BQ$1006,0)))),"Fix")))</f>
        <v>#N/A</v>
      </c>
      <c r="W876" s="5" t="e">
        <f ca="1">IF(OR(INDEX($AI$2:$AI$1001,MATCH(ROWS($AH$2:AH876),$AH$2:$AH$1001,0),1)&gt;=100000,INDEX($AO$1005:$BQ$1005,1,MATCH(COLUMNS($AO$1006:BJ1006),$AO$1006:$BQ$1006,0))&gt;=100000), " ",IF(INDEX($AO$2:$BQ$1001,MATCH(ROWS($AH$2:AH876),$AH$2:$AH$1001,0),MATCH(COLUMNS($AO$1006:BJ1006),$AO$1006:$BQ$1006,0)), HYPERLINK("#",""), HYPERLINK(CONCATENATE("#Metadata!", ADDRESS(INDEX($AJ$2:$AJ$1001,MATCH(ROWS($AH$2:AH876),$AH$2:$AH$1001,0),0), INDEX($AO$1004:$BQ$1004,1,MATCH(COLUMNS($AO$1006:BJ1006),$AO$1006:$BQ$1006,0)))),"Fix")))</f>
        <v>#N/A</v>
      </c>
      <c r="X876" s="5" t="e">
        <f ca="1">IF(OR(INDEX($AI$2:$AI$1001,MATCH(ROWS($AH$2:AH876),$AH$2:$AH$1001,0),1)&gt;=100000,INDEX($AO$1005:$BQ$1005,1,MATCH(COLUMNS($AO$1006:BK1006),$AO$1006:$BQ$1006,0))&gt;=100000), " ",IF(INDEX($AO$2:$BQ$1001,MATCH(ROWS($AH$2:AH876),$AH$2:$AH$1001,0),MATCH(COLUMNS($AO$1006:BK1006),$AO$1006:$BQ$1006,0)), HYPERLINK("#",""), HYPERLINK(CONCATENATE("#Metadata!", ADDRESS(INDEX($AJ$2:$AJ$1001,MATCH(ROWS($AH$2:AH876),$AH$2:$AH$1001,0),0), INDEX($AO$1004:$BQ$1004,1,MATCH(COLUMNS($AO$1006:BK1006),$AO$1006:$BQ$1006,0)))),"Fix")))</f>
        <v>#N/A</v>
      </c>
      <c r="Y876" s="5" t="e">
        <f ca="1">IF(OR(INDEX($AI$2:$AI$1001,MATCH(ROWS($AH$2:AH876),$AH$2:$AH$1001,0),1)&gt;=100000,INDEX($AO$1005:$BQ$1005,1,MATCH(COLUMNS($AO$1006:BL1006),$AO$1006:$BQ$1006,0))&gt;=100000), " ",IF(INDEX($AO$2:$BQ$1001,MATCH(ROWS($AH$2:AH876),$AH$2:$AH$1001,0),MATCH(COLUMNS($AO$1006:BL1006),$AO$1006:$BQ$1006,0)), HYPERLINK("#",""), HYPERLINK(CONCATENATE("#Metadata!", ADDRESS(INDEX($AJ$2:$AJ$1001,MATCH(ROWS($AH$2:AH876),$AH$2:$AH$1001,0),0), INDEX($AO$1004:$BQ$1004,1,MATCH(COLUMNS($AO$1006:BL1006),$AO$1006:$BQ$1006,0)))),"Fix")))</f>
        <v>#N/A</v>
      </c>
      <c r="Z876" s="5" t="e">
        <f ca="1">IF(OR(INDEX($AI$2:$AI$1001,MATCH(ROWS($AH$2:AH876),$AH$2:$AH$1001,0),1)&gt;=100000,INDEX($AO$1005:$BQ$1005,1,MATCH(COLUMNS($AO$1006:BM1006),$AO$1006:$BQ$1006,0))&gt;=100000), " ",IF(INDEX($AO$2:$BQ$1001,MATCH(ROWS($AH$2:AH876),$AH$2:$AH$1001,0),MATCH(COLUMNS($AO$1006:BM1006),$AO$1006:$BQ$1006,0)), HYPERLINK("#",""), HYPERLINK(CONCATENATE("#Metadata!", ADDRESS(INDEX($AJ$2:$AJ$1001,MATCH(ROWS($AH$2:AH876),$AH$2:$AH$1001,0),0), INDEX($AO$1004:$BQ$1004,1,MATCH(COLUMNS($AO$1006:BM1006),$AO$1006:$BQ$1006,0)))),"Fix")))</f>
        <v>#N/A</v>
      </c>
      <c r="AA876" s="5" t="e">
        <f ca="1">IF(OR(INDEX($AI$2:$AI$1001,MATCH(ROWS($AH$2:AH876),$AH$2:$AH$1001,0),1)&gt;=100000,INDEX($AO$1005:$BQ$1005,1,MATCH(COLUMNS($AO$1006:BN1006),$AO$1006:$BQ$1006,0))&gt;=100000), " ",IF(INDEX($AO$2:$BQ$1001,MATCH(ROWS($AH$2:AH876),$AH$2:$AH$1001,0),MATCH(COLUMNS($AO$1006:BN1006),$AO$1006:$BQ$1006,0)), HYPERLINK("#",""), HYPERLINK(CONCATENATE("#Metadata!", ADDRESS(INDEX($AJ$2:$AJ$1001,MATCH(ROWS($AH$2:AH876),$AH$2:$AH$1001,0),0), INDEX($AO$1004:$BQ$1004,1,MATCH(COLUMNS($AO$1006:BN1006),$AO$1006:$BQ$1006,0)))),"Fix")))</f>
        <v>#N/A</v>
      </c>
      <c r="AB876" s="5" t="e">
        <f ca="1">IF(OR(INDEX($AI$2:$AI$1001,MATCH(ROWS($AH$2:AH876),$AH$2:$AH$1001,0),1)&gt;=100000,INDEX($AO$1005:$BQ$1005,1,MATCH(COLUMNS($AO$1006:BO1006),$AO$1006:$BQ$1006,0))&gt;=100000), " ",IF(INDEX($AO$2:$BQ$1001,MATCH(ROWS($AH$2:AH876),$AH$2:$AH$1001,0),MATCH(COLUMNS($AO$1006:BO1006),$AO$1006:$BQ$1006,0)), HYPERLINK("#",""), HYPERLINK(CONCATENATE("#Metadata!", ADDRESS(INDEX($AJ$2:$AJ$1001,MATCH(ROWS($AH$2:AH876),$AH$2:$AH$1001,0),0), INDEX($AO$1004:$BQ$1004,1,MATCH(COLUMNS($AO$1006:BO1006),$AO$1006:$BQ$1006,0)))),"Fix")))</f>
        <v>#N/A</v>
      </c>
      <c r="AC876" s="5" t="e">
        <f ca="1">IF(OR(INDEX($AI$2:$AI$1001,MATCH(ROWS($AH$2:AH876),$AH$2:$AH$1001,0),1)&gt;=100000,INDEX($AO$1005:$BQ$1005,1,MATCH(COLUMNS($AO$1006:BP1006),$AO$1006:$BQ$1006,0))&gt;=100000), " ",IF(INDEX($AO$2:$BQ$1001,MATCH(ROWS($AH$2:AH876),$AH$2:$AH$1001,0),MATCH(COLUMNS($AO$1006:BP1006),$AO$1006:$BQ$1006,0)), HYPERLINK("#",""), HYPERLINK(CONCATENATE("#Metadata!", ADDRESS(INDEX($AJ$2:$AJ$1001,MATCH(ROWS($AH$2:AH876),$AH$2:$AH$1001,0),0), INDEX($AO$1004:$BQ$1004,1,MATCH(COLUMNS($AO$1006:BP1006),$AO$1006:$BQ$1006,0)))),"Fix")))</f>
        <v>#N/A</v>
      </c>
      <c r="AD876" s="5" t="e">
        <f ca="1">IF(OR(INDEX($AI$2:$AI$1001,MATCH(ROWS($AH$2:AH876),$AH$2:$AH$1001,0),1)&gt;=100000,INDEX($AO$1005:$BQ$1005,1,MATCH(COLUMNS($AO$1006:BQ1006),$AO$1006:$BQ$1006,0))&gt;=100000), " ",IF(INDEX($AO$2:$BQ$1001,MATCH(ROWS($AH$2:AH876),$AH$2:$AH$1001,0),MATCH(COLUMNS($AO$1006:BQ1006),$AO$1006:$BQ$1006,0)), HYPERLINK("#",""), HYPERLINK(CONCATENATE("#Metadata!", ADDRESS(INDEX($AJ$2:$AJ$1001,MATCH(ROWS($AH$2:AH876),$AH$2:$AH$1001,0),0), INDEX($AO$1004:$BQ$1004,1,MATCH(COLUMNS($AO$1006:BQ1006),$AO$1006:$BQ$1006,0)))),"Fix")))</f>
        <v>#REF!</v>
      </c>
      <c r="AH876">
        <f ca="1"/>
        <v>873</v>
      </c>
      <c r="AI876">
        <v>100876</v>
      </c>
      <c r="AJ876">
        <v>876</v>
      </c>
      <c r="AK876" t="b">
        <f t="shared" si="13"/>
        <v>1</v>
      </c>
      <c r="AL876" t="b">
        <f>COUNTBLANK(Metadata!B876:AD876)=COLUMNS(Metadata!B876:AD876)</f>
        <v>1</v>
      </c>
      <c r="AM876" t="str">
        <v/>
      </c>
      <c r="AO876" t="b">
        <f ca="1">AND(IF(Metadata!B876="",FALSE,TRUE),COUNTIF(Metadata!B:B, Metadata!B876) = 1,NOT(ISERROR(SUMPRODUCT(SEARCH(MID(Metadata!B876,ROW(INDIRECT("1:"&amp;LEN(Metadata!B876))), 1),"0123456789abcdefghijklmnopqrstuvwxyzABCDEFGHIJKLMNOPQRSTUVWXYZ.")))))</f>
        <v>0</v>
      </c>
      <c r="AP876" t="b">
        <f>IF(Metadata!C876="",FALSE,TRUE)</f>
        <v>0</v>
      </c>
      <c r="AQ876" t="b">
        <f>IF(Metadata!D876="",FALSE,TRUE)</f>
        <v>0</v>
      </c>
      <c r="AR876" t="b">
        <f ca="1">OR(AND(IF(Metadata!E876="",FALSE,TRUE),OR(EXACT(Metadata!E876,"not collected"),EXACT(Metadata!E876,"not provided"),EXACT(Metadata!E876,"restricted access"))),AND(IF(Metadata!E876="",FALSE,TRUE),AND(AND(IFERROR(INT(LEFT(Metadata!E876,4))&gt;1900,FALSE),IFERROR(INT(LEFT(Metadata!E876,4))&lt;=YEAR(NOW()),FALSE)), OR(MID(Metadata!E876,5,1)="", AND(AND(MID(Metadata!E876,5,1)="-",IFERROR(INT(MID(Metadata!E876,6,1))&gt;=0,FALSE),IFERROR(INT(MID(Metadata!E876,6,1))&lt;=1,FALSE),NOT(MID(Metadata!E876,7,1)=""),IFERROR(INT(MID(Metadata!E876,6,2))&gt;=1,FALSE),IFERROR(INT(MID(Metadata!E876,6,2))&lt;=12,FALSE)), OR(MID(Metadata!E876,8,1)="", AND(AND(MID(Metadata!E876,8,1)="-",IFERROR(INT(MID(Metadata!E876,9,1))&gt;=0,FALSE),IFERROR(INT(MID(Metadata!E876,9,1))&lt;=3,FALSE),NOT(MID(Metadata!E876,10,1)=""),IFERROR(INT(MID(Metadata!E876,9,2))&gt;=1,FALSE),IFERROR(INT(MID(Metadata!E876,9,2))&lt;=31,FALSE)), OR(MID(Metadata!E876,11,1)="", AND(AND(MID(Metadata!E876,11,1)=" ",IFERROR(INT(MID(Metadata!E876,12,1))&gt;=0,FALSE),IFERROR(INT(MID(Metadata!E876,12,1))&lt;=2,FALSE),NOT(MID(Metadata!E876,13,1)=""),IFERROR(INT(MID(Metadata!E876,12,2))&gt;=0,FALSE),IFERROR(INT(MID(Metadata!E876,12,2))&lt;=23,FALSE)), OR(MID(Metadata!E876,14,1)="", AND(AND(MID(Metadata!E876,14,1)=":",IFERROR(INT(MID(Metadata!E876,15,1))&gt;=0,FALSE),IFERROR(INT(MID(Metadata!E876,15,1))&lt;=5,FALSE),NOT(MID(Metadata!E876,16,1)=""),IFERROR(INT(MID(Metadata!E876,15,2))&gt;=0,FALSE),IFERROR(INT(MID(Metadata!E876,15,2))&lt;=59,FALSE)), OR(MID(Metadata!E876,17,1)="", AND(AND(MID(Metadata!E876,17,1)=":",IFERROR(INT(MID(Metadata!E876,18,1))&gt;=0,FALSE),IFERROR(INT(MID(Metadata!E876,18,1))&lt;=5,FALSE),NOT(MID(Metadata!E876,19,1)=""),IFERROR(INT(MID(Metadata!E876,18,2))&gt;=0,FALSE),IFERROR(INT(MID(Metadata!E876,18,2))&lt;=59,FALSE)), LEN(Metadata!E876)&lt;=19)))))))))))))</f>
        <v>0</v>
      </c>
      <c r="AS876" t="b">
        <f>IF(Metadata!F876="",FALSE,TRUE)</f>
        <v>0</v>
      </c>
      <c r="AT876" t="b">
        <f>OR(AND(IF(Metadata!G876="",FALSE,TRUE),OR(EXACT(Metadata!G876,"not collected"),EXACT(Metadata!G876,"not provided"))),AND(IF(Metadata!G876="",FALSE,TRUE),OR(EXACT(Metadata!G876,"TRUE"),EXACT(Metadata!G876,"FALSE"))))</f>
        <v>0</v>
      </c>
      <c r="AU876" t="b">
        <f>OR(AND(IF(Metadata!H876="",FALSE,TRUE),OR(EXACT(Metadata!H876,"not collected"),EXACT(Metadata!H876,"not provided"),EXACT(Metadata!H876,"restricted access"))),AND(IF(Metadata!H876="",FALSE,ISNUMBER(VALUE(Metadata!H876))),Metadata!H876&gt;=-413))</f>
        <v>0</v>
      </c>
      <c r="AV876" t="b">
        <f>AND(IF(Metadata!I876="",FALSE,TRUE),EXACT(Metadata!I876,"meters"))</f>
        <v>0</v>
      </c>
      <c r="AW876" t="b">
        <f>AND(IF(Metadata!J876="",FALSE,TRUE),EXACT(Metadata!J876,"free-living"))</f>
        <v>0</v>
      </c>
      <c r="AX876" t="b">
        <f>AND(IF(Metadata!K876="",FALSE,TRUE),OR(EXACT(Metadata!K876,"saline"),EXACT(Metadata!K876,"non-saline")))</f>
        <v>0</v>
      </c>
      <c r="AY876" t="b">
        <f>AND(IF(Metadata!L876="",FALSE,TRUE),OR(EXACT(Metadata!L876,"sub-surface (non-saline)"),EXACT(Metadata!L876,"surface (non-saline)"),EXACT(Metadata!L876,"water (non-saline)"),EXACT(Metadata!L876,"soil (non-saline)"),EXACT(Metadata!L876,"aerosol (non-saline)"),EXACT(Metadata!L876,"sediment (non-saline)"),EXACT(Metadata!L876,"surface (saline)"),EXACT(Metadata!L876,"water (saline)"),EXACT(Metadata!L876,"hypersaline (saline)"),EXACT(Metadata!L876,"aerosol (saline)"),EXACT(Metadata!L876,"sediment (saline)")))</f>
        <v>0</v>
      </c>
      <c r="AZ876" t="b">
        <f>IF(Metadata!M876="",FALSE,TRUE)</f>
        <v>0</v>
      </c>
      <c r="BA876" t="b">
        <f>IF(Metadata!N876="",FALSE,TRUE)</f>
        <v>0</v>
      </c>
      <c r="BB876" t="b">
        <f>IF(Metadata!O876="",FALSE,TRUE)</f>
        <v>0</v>
      </c>
      <c r="BC876" t="b">
        <f>AND(IF(Metadata!P876="",FALSE,TRUE),OR(EXACT(Metadata!P876,"air"),EXACT(Metadata!P876,"microbial mat/biofilm"),EXACT(Metadata!P876,"misc environment"),EXACT(Metadata!P876,"sediment"),EXACT(Metadata!P876,"soil"),EXACT(Metadata!P876,"wastewater/sludge"),EXACT(Metadata!P876,"water")))</f>
        <v>0</v>
      </c>
      <c r="BD876" t="b">
        <f>IF(Metadata!Q876="",FALSE,TRUE)</f>
        <v>0</v>
      </c>
      <c r="BE876" t="b">
        <f>IF(Metadata!R876="",FALSE,TRUE)</f>
        <v>0</v>
      </c>
      <c r="BF876" t="b">
        <f>OR(AND(IF(Metadata!S876="",FALSE,TRUE),OR(EXACT(Metadata!S876,"not collected"),EXACT(Metadata!S876,"not provided"),EXACT(Metadata!S876,"restricted access"))),AND(IF(Metadata!S876="",FALSE,ISNUMBER(VALUE(Metadata!S876))),Metadata!S876&gt;=-90,Metadata!S876&lt;=90))</f>
        <v>0</v>
      </c>
      <c r="BG876" t="b">
        <f>AND(IF(Metadata!T876="",FALSE,TRUE),EXACT(Metadata!T876,"Decimal degrees"))</f>
        <v>0</v>
      </c>
      <c r="BH876" t="b">
        <f>OR(AND(IF(Metadata!U876="",FALSE,TRUE),OR(EXACT(Metadata!U876,"not applicable"),EXACT(Metadata!U876,"not collected"))),IF(Metadata!U876="",FALSE,TRUE))</f>
        <v>0</v>
      </c>
      <c r="BI876" t="b">
        <f>OR(AND(IF(Metadata!V876="",FALSE,TRUE),OR(EXACT(Metadata!V876,"not collected"),EXACT(Metadata!V876,"not provided"),EXACT(Metadata!V876,"restricted access"))),AND(IF(Metadata!V876="",FALSE,ISNUMBER(VALUE(Metadata!V876))),Metadata!V876&gt;=-180,Metadata!V876&lt;=180))</f>
        <v>0</v>
      </c>
      <c r="BJ876" t="b">
        <f>AND(IF(Metadata!W876="",FALSE,TRUE),EXACT(Metadata!W876,"Decimal degrees"))</f>
        <v>0</v>
      </c>
      <c r="BK876" t="b">
        <f>IF(Metadata!X876="",FALSE,TRUE)</f>
        <v>0</v>
      </c>
      <c r="BL876" t="b">
        <f>OR(AND(IF(Metadata!Y876="",FALSE,TRUE),OR(EXACT(Metadata!Y876,"not collected"),EXACT(Metadata!Y876,"not provided"),EXACT(Metadata!Y876,"restricted access"))),AND(IF(Metadata!Y876="",FALSE,TRUE),OR(EXACT(Metadata!Y876,"TRUE"),EXACT(Metadata!Y876,"FALSE"))))</f>
        <v>0</v>
      </c>
      <c r="BM876" t="b">
        <f>OR(AND(IF(Metadata!Z876="",FALSE,TRUE),EXACT(Metadata!Z876,"not applicable")),AND(IF(Metadata!Z876="",FALSE,TRUE),OR(EXACT(Metadata!Z876,"beer"),EXACT(Metadata!Z876,"cheese"),EXACT(Metadata!Z876,"fresh water"),EXACT(Metadata!Z876,"marine sediment"),EXACT(Metadata!Z876,"sea water"),EXACT(Metadata!Z876,"sediment"),EXACT(Metadata!Z876,"soil"),EXACT(Metadata!Z876,"waste water"))))</f>
        <v>0</v>
      </c>
      <c r="BN876" t="b">
        <f>AND(IF(Metadata!AA876="",FALSE,TRUE),EXACT(Metadata!AA876,"metagenome"))</f>
        <v>0</v>
      </c>
      <c r="BO876" t="b">
        <f>AND(IF(Metadata!AB876="",FALSE,TRUE),EXACT(Metadata!AB876,"256318"))</f>
        <v>0</v>
      </c>
      <c r="BP876" t="b">
        <f>IF(Metadata!AC876="",FALSE,TRUE)</f>
        <v>0</v>
      </c>
      <c r="BQ876" t="b">
        <f>IF(Metadata!AD876="",FALSE,TRUE)</f>
        <v>0</v>
      </c>
    </row>
    <row r="877" spans="1:69" x14ac:dyDescent="0.2">
      <c r="A877" s="4" t="e">
        <f ca="1">IF(B877=" "," ",HYPERLINK(CONCATENATE("#metadata!",ADDRESS(INDEX($AJ$2:$AJ$1001,MATCH(ROWS($AH$2:AH877),$AH$2:$AH$1001,0),0),2)),INDEX($AM$2:$AM$1001,MATCH(ROWS($AH$2:AH877),$AH$2:$AH$1001,0),0)))</f>
        <v>#N/A</v>
      </c>
      <c r="B877" s="5" t="e">
        <f ca="1">IF(OR(INDEX($AI$2:$AI$1001,MATCH(ROWS($AH$2:AH877),$AH$2:$AH$1001,0),1)&gt;=100000,INDEX($AO$1005:$BQ$1005,1,MATCH(COLUMNS($AO$1006:AO1006),$AO$1006:$BQ$1006,0))&gt;=100000), " ",IF(INDEX($AO$2:$BQ$1001,MATCH(ROWS($AH$2:AH877),$AH$2:$AH$1001,0),MATCH(COLUMNS($AO$1006:AO1006),$AO$1006:$BQ$1006,0)), HYPERLINK("#",""), HYPERLINK(CONCATENATE("#Metadata!", ADDRESS(INDEX($AJ$2:$AJ$1001,MATCH(ROWS($AH$2:AH877),$AH$2:$AH$1001,0),0), INDEX($AO$1004:$BQ$1004,1,MATCH(COLUMNS($AO$1006:AO1006),$AO$1006:$BQ$1006,0)))),"Fix")))</f>
        <v>#N/A</v>
      </c>
      <c r="C877" s="5" t="e">
        <f ca="1">IF(OR(INDEX($AI$2:$AI$1001,MATCH(ROWS($AH$2:AH877),$AH$2:$AH$1001,0),1)&gt;=100000,INDEX($AO$1005:$BQ$1005,1,MATCH(COLUMNS($AO$1006:AP1006),$AO$1006:$BQ$1006,0))&gt;=100000), " ",IF(INDEX($AO$2:$BQ$1001,MATCH(ROWS($AH$2:AH877),$AH$2:$AH$1001,0),MATCH(COLUMNS($AO$1006:AP1006),$AO$1006:$BQ$1006,0)), HYPERLINK("#",""), HYPERLINK(CONCATENATE("#Metadata!", ADDRESS(INDEX($AJ$2:$AJ$1001,MATCH(ROWS($AH$2:AH877),$AH$2:$AH$1001,0),0), INDEX($AO$1004:$BQ$1004,1,MATCH(COLUMNS($AO$1006:AP1006),$AO$1006:$BQ$1006,0)))),"Fix")))</f>
        <v>#N/A</v>
      </c>
      <c r="D877" s="5" t="e">
        <f ca="1">IF(OR(INDEX($AI$2:$AI$1001,MATCH(ROWS($AH$2:AH877),$AH$2:$AH$1001,0),1)&gt;=100000,INDEX($AO$1005:$BQ$1005,1,MATCH(COLUMNS($AO$1006:AQ1006),$AO$1006:$BQ$1006,0))&gt;=100000), " ",IF(INDEX($AO$2:$BQ$1001,MATCH(ROWS($AH$2:AH877),$AH$2:$AH$1001,0),MATCH(COLUMNS($AO$1006:AQ1006),$AO$1006:$BQ$1006,0)), HYPERLINK("#",""), HYPERLINK(CONCATENATE("#Metadata!", ADDRESS(INDEX($AJ$2:$AJ$1001,MATCH(ROWS($AH$2:AH877),$AH$2:$AH$1001,0),0), INDEX($AO$1004:$BQ$1004,1,MATCH(COLUMNS($AO$1006:AQ1006),$AO$1006:$BQ$1006,0)))),"Fix")))</f>
        <v>#N/A</v>
      </c>
      <c r="E877" s="5" t="e">
        <f ca="1">IF(OR(INDEX($AI$2:$AI$1001,MATCH(ROWS($AH$2:AH877),$AH$2:$AH$1001,0),1)&gt;=100000,INDEX($AO$1005:$BQ$1005,1,MATCH(COLUMNS($AO$1006:AR1006),$AO$1006:$BQ$1006,0))&gt;=100000), " ",IF(INDEX($AO$2:$BQ$1001,MATCH(ROWS($AH$2:AH877),$AH$2:$AH$1001,0),MATCH(COLUMNS($AO$1006:AR1006),$AO$1006:$BQ$1006,0)), HYPERLINK("#",""), HYPERLINK(CONCATENATE("#Metadata!", ADDRESS(INDEX($AJ$2:$AJ$1001,MATCH(ROWS($AH$2:AH877),$AH$2:$AH$1001,0),0), INDEX($AO$1004:$BQ$1004,1,MATCH(COLUMNS($AO$1006:AR1006),$AO$1006:$BQ$1006,0)))),"Fix")))</f>
        <v>#N/A</v>
      </c>
      <c r="F877" s="5" t="e">
        <f ca="1">IF(OR(INDEX($AI$2:$AI$1001,MATCH(ROWS($AH$2:AH877),$AH$2:$AH$1001,0),1)&gt;=100000,INDEX($AO$1005:$BQ$1005,1,MATCH(COLUMNS($AO$1006:AS1006),$AO$1006:$BQ$1006,0))&gt;=100000), " ",IF(INDEX($AO$2:$BQ$1001,MATCH(ROWS($AH$2:AH877),$AH$2:$AH$1001,0),MATCH(COLUMNS($AO$1006:AS1006),$AO$1006:$BQ$1006,0)), HYPERLINK("#",""), HYPERLINK(CONCATENATE("#Metadata!", ADDRESS(INDEX($AJ$2:$AJ$1001,MATCH(ROWS($AH$2:AH877),$AH$2:$AH$1001,0),0), INDEX($AO$1004:$BQ$1004,1,MATCH(COLUMNS($AO$1006:AS1006),$AO$1006:$BQ$1006,0)))),"Fix")))</f>
        <v>#N/A</v>
      </c>
      <c r="G877" s="5" t="e">
        <f ca="1">IF(OR(INDEX($AI$2:$AI$1001,MATCH(ROWS($AH$2:AH877),$AH$2:$AH$1001,0),1)&gt;=100000,INDEX($AO$1005:$BQ$1005,1,MATCH(COLUMNS($AO$1006:AT1006),$AO$1006:$BQ$1006,0))&gt;=100000), " ",IF(INDEX($AO$2:$BQ$1001,MATCH(ROWS($AH$2:AH877),$AH$2:$AH$1001,0),MATCH(COLUMNS($AO$1006:AT1006),$AO$1006:$BQ$1006,0)), HYPERLINK("#",""), HYPERLINK(CONCATENATE("#Metadata!", ADDRESS(INDEX($AJ$2:$AJ$1001,MATCH(ROWS($AH$2:AH877),$AH$2:$AH$1001,0),0), INDEX($AO$1004:$BQ$1004,1,MATCH(COLUMNS($AO$1006:AT1006),$AO$1006:$BQ$1006,0)))),"Fix")))</f>
        <v>#N/A</v>
      </c>
      <c r="H877" s="5" t="e">
        <f ca="1">IF(OR(INDEX($AI$2:$AI$1001,MATCH(ROWS($AH$2:AH877),$AH$2:$AH$1001,0),1)&gt;=100000,INDEX($AO$1005:$BQ$1005,1,MATCH(COLUMNS($AO$1006:AU1006),$AO$1006:$BQ$1006,0))&gt;=100000), " ",IF(INDEX($AO$2:$BQ$1001,MATCH(ROWS($AH$2:AH877),$AH$2:$AH$1001,0),MATCH(COLUMNS($AO$1006:AU1006),$AO$1006:$BQ$1006,0)), HYPERLINK("#",""), HYPERLINK(CONCATENATE("#Metadata!", ADDRESS(INDEX($AJ$2:$AJ$1001,MATCH(ROWS($AH$2:AH877),$AH$2:$AH$1001,0),0), INDEX($AO$1004:$BQ$1004,1,MATCH(COLUMNS($AO$1006:AU1006),$AO$1006:$BQ$1006,0)))),"Fix")))</f>
        <v>#N/A</v>
      </c>
      <c r="I877" s="5" t="e">
        <f ca="1">IF(OR(INDEX($AI$2:$AI$1001,MATCH(ROWS($AH$2:AH877),$AH$2:$AH$1001,0),1)&gt;=100000,INDEX($AO$1005:$BQ$1005,1,MATCH(COLUMNS($AO$1006:AV1006),$AO$1006:$BQ$1006,0))&gt;=100000), " ",IF(INDEX($AO$2:$BQ$1001,MATCH(ROWS($AH$2:AH877),$AH$2:$AH$1001,0),MATCH(COLUMNS($AO$1006:AV1006),$AO$1006:$BQ$1006,0)), HYPERLINK("#",""), HYPERLINK(CONCATENATE("#Metadata!", ADDRESS(INDEX($AJ$2:$AJ$1001,MATCH(ROWS($AH$2:AH877),$AH$2:$AH$1001,0),0), INDEX($AO$1004:$BQ$1004,1,MATCH(COLUMNS($AO$1006:AV1006),$AO$1006:$BQ$1006,0)))),"Fix")))</f>
        <v>#N/A</v>
      </c>
      <c r="J877" s="5" t="e">
        <f ca="1">IF(OR(INDEX($AI$2:$AI$1001,MATCH(ROWS($AH$2:AH877),$AH$2:$AH$1001,0),1)&gt;=100000,INDEX($AO$1005:$BQ$1005,1,MATCH(COLUMNS($AO$1006:AW1006),$AO$1006:$BQ$1006,0))&gt;=100000), " ",IF(INDEX($AO$2:$BQ$1001,MATCH(ROWS($AH$2:AH877),$AH$2:$AH$1001,0),MATCH(COLUMNS($AO$1006:AW1006),$AO$1006:$BQ$1006,0)), HYPERLINK("#",""), HYPERLINK(CONCATENATE("#Metadata!", ADDRESS(INDEX($AJ$2:$AJ$1001,MATCH(ROWS($AH$2:AH877),$AH$2:$AH$1001,0),0), INDEX($AO$1004:$BQ$1004,1,MATCH(COLUMNS($AO$1006:AW1006),$AO$1006:$BQ$1006,0)))),"Fix")))</f>
        <v>#N/A</v>
      </c>
      <c r="K877" s="5" t="e">
        <f ca="1">IF(OR(INDEX($AI$2:$AI$1001,MATCH(ROWS($AH$2:AH877),$AH$2:$AH$1001,0),1)&gt;=100000,INDEX($AO$1005:$BQ$1005,1,MATCH(COLUMNS($AO$1006:AX1006),$AO$1006:$BQ$1006,0))&gt;=100000), " ",IF(INDEX($AO$2:$BQ$1001,MATCH(ROWS($AH$2:AH877),$AH$2:$AH$1001,0),MATCH(COLUMNS($AO$1006:AX1006),$AO$1006:$BQ$1006,0)), HYPERLINK("#",""), HYPERLINK(CONCATENATE("#Metadata!", ADDRESS(INDEX($AJ$2:$AJ$1001,MATCH(ROWS($AH$2:AH877),$AH$2:$AH$1001,0),0), INDEX($AO$1004:$BQ$1004,1,MATCH(COLUMNS($AO$1006:AX1006),$AO$1006:$BQ$1006,0)))),"Fix")))</f>
        <v>#N/A</v>
      </c>
      <c r="L877" s="5" t="e">
        <f ca="1">IF(OR(INDEX($AI$2:$AI$1001,MATCH(ROWS($AH$2:AH877),$AH$2:$AH$1001,0),1)&gt;=100000,INDEX($AO$1005:$BQ$1005,1,MATCH(COLUMNS($AO$1006:AY1006),$AO$1006:$BQ$1006,0))&gt;=100000), " ",IF(INDEX($AO$2:$BQ$1001,MATCH(ROWS($AH$2:AH877),$AH$2:$AH$1001,0),MATCH(COLUMNS($AO$1006:AY1006),$AO$1006:$BQ$1006,0)), HYPERLINK("#",""), HYPERLINK(CONCATENATE("#Metadata!", ADDRESS(INDEX($AJ$2:$AJ$1001,MATCH(ROWS($AH$2:AH877),$AH$2:$AH$1001,0),0), INDEX($AO$1004:$BQ$1004,1,MATCH(COLUMNS($AO$1006:AY1006),$AO$1006:$BQ$1006,0)))),"Fix")))</f>
        <v>#N/A</v>
      </c>
      <c r="M877" s="5" t="e">
        <f ca="1">IF(OR(INDEX($AI$2:$AI$1001,MATCH(ROWS($AH$2:AH877),$AH$2:$AH$1001,0),1)&gt;=100000,INDEX($AO$1005:$BQ$1005,1,MATCH(COLUMNS($AO$1006:AZ1006),$AO$1006:$BQ$1006,0))&gt;=100000), " ",IF(INDEX($AO$2:$BQ$1001,MATCH(ROWS($AH$2:AH877),$AH$2:$AH$1001,0),MATCH(COLUMNS($AO$1006:AZ1006),$AO$1006:$BQ$1006,0)), HYPERLINK("#",""), HYPERLINK(CONCATENATE("#Metadata!", ADDRESS(INDEX($AJ$2:$AJ$1001,MATCH(ROWS($AH$2:AH877),$AH$2:$AH$1001,0),0), INDEX($AO$1004:$BQ$1004,1,MATCH(COLUMNS($AO$1006:AZ1006),$AO$1006:$BQ$1006,0)))),"Fix")))</f>
        <v>#N/A</v>
      </c>
      <c r="N877" s="5" t="e">
        <f ca="1">IF(OR(INDEX($AI$2:$AI$1001,MATCH(ROWS($AH$2:AH877),$AH$2:$AH$1001,0),1)&gt;=100000,INDEX($AO$1005:$BQ$1005,1,MATCH(COLUMNS($AO$1006:BA1006),$AO$1006:$BQ$1006,0))&gt;=100000), " ",IF(INDEX($AO$2:$BQ$1001,MATCH(ROWS($AH$2:AH877),$AH$2:$AH$1001,0),MATCH(COLUMNS($AO$1006:BA1006),$AO$1006:$BQ$1006,0)), HYPERLINK("#",""), HYPERLINK(CONCATENATE("#Metadata!", ADDRESS(INDEX($AJ$2:$AJ$1001,MATCH(ROWS($AH$2:AH877),$AH$2:$AH$1001,0),0), INDEX($AO$1004:$BQ$1004,1,MATCH(COLUMNS($AO$1006:BA1006),$AO$1006:$BQ$1006,0)))),"Fix")))</f>
        <v>#N/A</v>
      </c>
      <c r="O877" s="5" t="e">
        <f ca="1">IF(OR(INDEX($AI$2:$AI$1001,MATCH(ROWS($AH$2:AH877),$AH$2:$AH$1001,0),1)&gt;=100000,INDEX($AO$1005:$BQ$1005,1,MATCH(COLUMNS($AO$1006:BB1006),$AO$1006:$BQ$1006,0))&gt;=100000), " ",IF(INDEX($AO$2:$BQ$1001,MATCH(ROWS($AH$2:AH877),$AH$2:$AH$1001,0),MATCH(COLUMNS($AO$1006:BB1006),$AO$1006:$BQ$1006,0)), HYPERLINK("#",""), HYPERLINK(CONCATENATE("#Metadata!", ADDRESS(INDEX($AJ$2:$AJ$1001,MATCH(ROWS($AH$2:AH877),$AH$2:$AH$1001,0),0), INDEX($AO$1004:$BQ$1004,1,MATCH(COLUMNS($AO$1006:BB1006),$AO$1006:$BQ$1006,0)))),"Fix")))</f>
        <v>#N/A</v>
      </c>
      <c r="P877" s="5" t="e">
        <f ca="1">IF(OR(INDEX($AI$2:$AI$1001,MATCH(ROWS($AH$2:AH877),$AH$2:$AH$1001,0),1)&gt;=100000,INDEX($AO$1005:$BQ$1005,1,MATCH(COLUMNS($AO$1006:BC1006),$AO$1006:$BQ$1006,0))&gt;=100000), " ",IF(INDEX($AO$2:$BQ$1001,MATCH(ROWS($AH$2:AH877),$AH$2:$AH$1001,0),MATCH(COLUMNS($AO$1006:BC1006),$AO$1006:$BQ$1006,0)), HYPERLINK("#",""), HYPERLINK(CONCATENATE("#Metadata!", ADDRESS(INDEX($AJ$2:$AJ$1001,MATCH(ROWS($AH$2:AH877),$AH$2:$AH$1001,0),0), INDEX($AO$1004:$BQ$1004,1,MATCH(COLUMNS($AO$1006:BC1006),$AO$1006:$BQ$1006,0)))),"Fix")))</f>
        <v>#N/A</v>
      </c>
      <c r="Q877" s="5" t="e">
        <f ca="1">IF(OR(INDEX($AI$2:$AI$1001,MATCH(ROWS($AH$2:AH877),$AH$2:$AH$1001,0),1)&gt;=100000,INDEX($AO$1005:$BQ$1005,1,MATCH(COLUMNS($AO$1006:BD1006),$AO$1006:$BQ$1006,0))&gt;=100000), " ",IF(INDEX($AO$2:$BQ$1001,MATCH(ROWS($AH$2:AH877),$AH$2:$AH$1001,0),MATCH(COLUMNS($AO$1006:BD1006),$AO$1006:$BQ$1006,0)), HYPERLINK("#",""), HYPERLINK(CONCATENATE("#Metadata!", ADDRESS(INDEX($AJ$2:$AJ$1001,MATCH(ROWS($AH$2:AH877),$AH$2:$AH$1001,0),0), INDEX($AO$1004:$BQ$1004,1,MATCH(COLUMNS($AO$1006:BD1006),$AO$1006:$BQ$1006,0)))),"Fix")))</f>
        <v>#N/A</v>
      </c>
      <c r="R877" s="5" t="e">
        <f ca="1">IF(OR(INDEX($AI$2:$AI$1001,MATCH(ROWS($AH$2:AH877),$AH$2:$AH$1001,0),1)&gt;=100000,INDEX($AO$1005:$BQ$1005,1,MATCH(COLUMNS($AO$1006:BE1006),$AO$1006:$BQ$1006,0))&gt;=100000), " ",IF(INDEX($AO$2:$BQ$1001,MATCH(ROWS($AH$2:AH877),$AH$2:$AH$1001,0),MATCH(COLUMNS($AO$1006:BE1006),$AO$1006:$BQ$1006,0)), HYPERLINK("#",""), HYPERLINK(CONCATENATE("#Metadata!", ADDRESS(INDEX($AJ$2:$AJ$1001,MATCH(ROWS($AH$2:AH877),$AH$2:$AH$1001,0),0), INDEX($AO$1004:$BQ$1004,1,MATCH(COLUMNS($AO$1006:BE1006),$AO$1006:$BQ$1006,0)))),"Fix")))</f>
        <v>#N/A</v>
      </c>
      <c r="S877" s="5" t="e">
        <f ca="1">IF(OR(INDEX($AI$2:$AI$1001,MATCH(ROWS($AH$2:AH877),$AH$2:$AH$1001,0),1)&gt;=100000,INDEX($AO$1005:$BQ$1005,1,MATCH(COLUMNS($AO$1006:BF1006),$AO$1006:$BQ$1006,0))&gt;=100000), " ",IF(INDEX($AO$2:$BQ$1001,MATCH(ROWS($AH$2:AH877),$AH$2:$AH$1001,0),MATCH(COLUMNS($AO$1006:BF1006),$AO$1006:$BQ$1006,0)), HYPERLINK("#",""), HYPERLINK(CONCATENATE("#Metadata!", ADDRESS(INDEX($AJ$2:$AJ$1001,MATCH(ROWS($AH$2:AH877),$AH$2:$AH$1001,0),0), INDEX($AO$1004:$BQ$1004,1,MATCH(COLUMNS($AO$1006:BF1006),$AO$1006:$BQ$1006,0)))),"Fix")))</f>
        <v>#N/A</v>
      </c>
      <c r="T877" s="5" t="e">
        <f ca="1">IF(OR(INDEX($AI$2:$AI$1001,MATCH(ROWS($AH$2:AH877),$AH$2:$AH$1001,0),1)&gt;=100000,INDEX($AO$1005:$BQ$1005,1,MATCH(COLUMNS($AO$1006:BG1006),$AO$1006:$BQ$1006,0))&gt;=100000), " ",IF(INDEX($AO$2:$BQ$1001,MATCH(ROWS($AH$2:AH877),$AH$2:$AH$1001,0),MATCH(COLUMNS($AO$1006:BG1006),$AO$1006:$BQ$1006,0)), HYPERLINK("#",""), HYPERLINK(CONCATENATE("#Metadata!", ADDRESS(INDEX($AJ$2:$AJ$1001,MATCH(ROWS($AH$2:AH877),$AH$2:$AH$1001,0),0), INDEX($AO$1004:$BQ$1004,1,MATCH(COLUMNS($AO$1006:BG1006),$AO$1006:$BQ$1006,0)))),"Fix")))</f>
        <v>#N/A</v>
      </c>
      <c r="U877" s="5" t="e">
        <f ca="1">IF(OR(INDEX($AI$2:$AI$1001,MATCH(ROWS($AH$2:AH877),$AH$2:$AH$1001,0),1)&gt;=100000,INDEX($AO$1005:$BQ$1005,1,MATCH(COLUMNS($AO$1006:BH1006),$AO$1006:$BQ$1006,0))&gt;=100000), " ",IF(INDEX($AO$2:$BQ$1001,MATCH(ROWS($AH$2:AH877),$AH$2:$AH$1001,0),MATCH(COLUMNS($AO$1006:BH1006),$AO$1006:$BQ$1006,0)), HYPERLINK("#",""), HYPERLINK(CONCATENATE("#Metadata!", ADDRESS(INDEX($AJ$2:$AJ$1001,MATCH(ROWS($AH$2:AH877),$AH$2:$AH$1001,0),0), INDEX($AO$1004:$BQ$1004,1,MATCH(COLUMNS($AO$1006:BH1006),$AO$1006:$BQ$1006,0)))),"Fix")))</f>
        <v>#N/A</v>
      </c>
      <c r="V877" s="5" t="e">
        <f ca="1">IF(OR(INDEX($AI$2:$AI$1001,MATCH(ROWS($AH$2:AH877),$AH$2:$AH$1001,0),1)&gt;=100000,INDEX($AO$1005:$BQ$1005,1,MATCH(COLUMNS($AO$1006:BI1006),$AO$1006:$BQ$1006,0))&gt;=100000), " ",IF(INDEX($AO$2:$BQ$1001,MATCH(ROWS($AH$2:AH877),$AH$2:$AH$1001,0),MATCH(COLUMNS($AO$1006:BI1006),$AO$1006:$BQ$1006,0)), HYPERLINK("#",""), HYPERLINK(CONCATENATE("#Metadata!", ADDRESS(INDEX($AJ$2:$AJ$1001,MATCH(ROWS($AH$2:AH877),$AH$2:$AH$1001,0),0), INDEX($AO$1004:$BQ$1004,1,MATCH(COLUMNS($AO$1006:BI1006),$AO$1006:$BQ$1006,0)))),"Fix")))</f>
        <v>#N/A</v>
      </c>
      <c r="W877" s="5" t="e">
        <f ca="1">IF(OR(INDEX($AI$2:$AI$1001,MATCH(ROWS($AH$2:AH877),$AH$2:$AH$1001,0),1)&gt;=100000,INDEX($AO$1005:$BQ$1005,1,MATCH(COLUMNS($AO$1006:BJ1006),$AO$1006:$BQ$1006,0))&gt;=100000), " ",IF(INDEX($AO$2:$BQ$1001,MATCH(ROWS($AH$2:AH877),$AH$2:$AH$1001,0),MATCH(COLUMNS($AO$1006:BJ1006),$AO$1006:$BQ$1006,0)), HYPERLINK("#",""), HYPERLINK(CONCATENATE("#Metadata!", ADDRESS(INDEX($AJ$2:$AJ$1001,MATCH(ROWS($AH$2:AH877),$AH$2:$AH$1001,0),0), INDEX($AO$1004:$BQ$1004,1,MATCH(COLUMNS($AO$1006:BJ1006),$AO$1006:$BQ$1006,0)))),"Fix")))</f>
        <v>#N/A</v>
      </c>
      <c r="X877" s="5" t="e">
        <f ca="1">IF(OR(INDEX($AI$2:$AI$1001,MATCH(ROWS($AH$2:AH877),$AH$2:$AH$1001,0),1)&gt;=100000,INDEX($AO$1005:$BQ$1005,1,MATCH(COLUMNS($AO$1006:BK1006),$AO$1006:$BQ$1006,0))&gt;=100000), " ",IF(INDEX($AO$2:$BQ$1001,MATCH(ROWS($AH$2:AH877),$AH$2:$AH$1001,0),MATCH(COLUMNS($AO$1006:BK1006),$AO$1006:$BQ$1006,0)), HYPERLINK("#",""), HYPERLINK(CONCATENATE("#Metadata!", ADDRESS(INDEX($AJ$2:$AJ$1001,MATCH(ROWS($AH$2:AH877),$AH$2:$AH$1001,0),0), INDEX($AO$1004:$BQ$1004,1,MATCH(COLUMNS($AO$1006:BK1006),$AO$1006:$BQ$1006,0)))),"Fix")))</f>
        <v>#N/A</v>
      </c>
      <c r="Y877" s="5" t="e">
        <f ca="1">IF(OR(INDEX($AI$2:$AI$1001,MATCH(ROWS($AH$2:AH877),$AH$2:$AH$1001,0),1)&gt;=100000,INDEX($AO$1005:$BQ$1005,1,MATCH(COLUMNS($AO$1006:BL1006),$AO$1006:$BQ$1006,0))&gt;=100000), " ",IF(INDEX($AO$2:$BQ$1001,MATCH(ROWS($AH$2:AH877),$AH$2:$AH$1001,0),MATCH(COLUMNS($AO$1006:BL1006),$AO$1006:$BQ$1006,0)), HYPERLINK("#",""), HYPERLINK(CONCATENATE("#Metadata!", ADDRESS(INDEX($AJ$2:$AJ$1001,MATCH(ROWS($AH$2:AH877),$AH$2:$AH$1001,0),0), INDEX($AO$1004:$BQ$1004,1,MATCH(COLUMNS($AO$1006:BL1006),$AO$1006:$BQ$1006,0)))),"Fix")))</f>
        <v>#N/A</v>
      </c>
      <c r="Z877" s="5" t="e">
        <f ca="1">IF(OR(INDEX($AI$2:$AI$1001,MATCH(ROWS($AH$2:AH877),$AH$2:$AH$1001,0),1)&gt;=100000,INDEX($AO$1005:$BQ$1005,1,MATCH(COLUMNS($AO$1006:BM1006),$AO$1006:$BQ$1006,0))&gt;=100000), " ",IF(INDEX($AO$2:$BQ$1001,MATCH(ROWS($AH$2:AH877),$AH$2:$AH$1001,0),MATCH(COLUMNS($AO$1006:BM1006),$AO$1006:$BQ$1006,0)), HYPERLINK("#",""), HYPERLINK(CONCATENATE("#Metadata!", ADDRESS(INDEX($AJ$2:$AJ$1001,MATCH(ROWS($AH$2:AH877),$AH$2:$AH$1001,0),0), INDEX($AO$1004:$BQ$1004,1,MATCH(COLUMNS($AO$1006:BM1006),$AO$1006:$BQ$1006,0)))),"Fix")))</f>
        <v>#N/A</v>
      </c>
      <c r="AA877" s="5" t="e">
        <f ca="1">IF(OR(INDEX($AI$2:$AI$1001,MATCH(ROWS($AH$2:AH877),$AH$2:$AH$1001,0),1)&gt;=100000,INDEX($AO$1005:$BQ$1005,1,MATCH(COLUMNS($AO$1006:BN1006),$AO$1006:$BQ$1006,0))&gt;=100000), " ",IF(INDEX($AO$2:$BQ$1001,MATCH(ROWS($AH$2:AH877),$AH$2:$AH$1001,0),MATCH(COLUMNS($AO$1006:BN1006),$AO$1006:$BQ$1006,0)), HYPERLINK("#",""), HYPERLINK(CONCATENATE("#Metadata!", ADDRESS(INDEX($AJ$2:$AJ$1001,MATCH(ROWS($AH$2:AH877),$AH$2:$AH$1001,0),0), INDEX($AO$1004:$BQ$1004,1,MATCH(COLUMNS($AO$1006:BN1006),$AO$1006:$BQ$1006,0)))),"Fix")))</f>
        <v>#N/A</v>
      </c>
      <c r="AB877" s="5" t="e">
        <f ca="1">IF(OR(INDEX($AI$2:$AI$1001,MATCH(ROWS($AH$2:AH877),$AH$2:$AH$1001,0),1)&gt;=100000,INDEX($AO$1005:$BQ$1005,1,MATCH(COLUMNS($AO$1006:BO1006),$AO$1006:$BQ$1006,0))&gt;=100000), " ",IF(INDEX($AO$2:$BQ$1001,MATCH(ROWS($AH$2:AH877),$AH$2:$AH$1001,0),MATCH(COLUMNS($AO$1006:BO1006),$AO$1006:$BQ$1006,0)), HYPERLINK("#",""), HYPERLINK(CONCATENATE("#Metadata!", ADDRESS(INDEX($AJ$2:$AJ$1001,MATCH(ROWS($AH$2:AH877),$AH$2:$AH$1001,0),0), INDEX($AO$1004:$BQ$1004,1,MATCH(COLUMNS($AO$1006:BO1006),$AO$1006:$BQ$1006,0)))),"Fix")))</f>
        <v>#N/A</v>
      </c>
      <c r="AC877" s="5" t="e">
        <f ca="1">IF(OR(INDEX($AI$2:$AI$1001,MATCH(ROWS($AH$2:AH877),$AH$2:$AH$1001,0),1)&gt;=100000,INDEX($AO$1005:$BQ$1005,1,MATCH(COLUMNS($AO$1006:BP1006),$AO$1006:$BQ$1006,0))&gt;=100000), " ",IF(INDEX($AO$2:$BQ$1001,MATCH(ROWS($AH$2:AH877),$AH$2:$AH$1001,0),MATCH(COLUMNS($AO$1006:BP1006),$AO$1006:$BQ$1006,0)), HYPERLINK("#",""), HYPERLINK(CONCATENATE("#Metadata!", ADDRESS(INDEX($AJ$2:$AJ$1001,MATCH(ROWS($AH$2:AH877),$AH$2:$AH$1001,0),0), INDEX($AO$1004:$BQ$1004,1,MATCH(COLUMNS($AO$1006:BP1006),$AO$1006:$BQ$1006,0)))),"Fix")))</f>
        <v>#N/A</v>
      </c>
      <c r="AD877" s="5" t="e">
        <f ca="1">IF(OR(INDEX($AI$2:$AI$1001,MATCH(ROWS($AH$2:AH877),$AH$2:$AH$1001,0),1)&gt;=100000,INDEX($AO$1005:$BQ$1005,1,MATCH(COLUMNS($AO$1006:BQ1006),$AO$1006:$BQ$1006,0))&gt;=100000), " ",IF(INDEX($AO$2:$BQ$1001,MATCH(ROWS($AH$2:AH877),$AH$2:$AH$1001,0),MATCH(COLUMNS($AO$1006:BQ1006),$AO$1006:$BQ$1006,0)), HYPERLINK("#",""), HYPERLINK(CONCATENATE("#Metadata!", ADDRESS(INDEX($AJ$2:$AJ$1001,MATCH(ROWS($AH$2:AH877),$AH$2:$AH$1001,0),0), INDEX($AO$1004:$BQ$1004,1,MATCH(COLUMNS($AO$1006:BQ1006),$AO$1006:$BQ$1006,0)))),"Fix")))</f>
        <v>#REF!</v>
      </c>
      <c r="AH877">
        <f ca="1"/>
        <v>874</v>
      </c>
      <c r="AI877">
        <v>100877</v>
      </c>
      <c r="AJ877">
        <v>877</v>
      </c>
      <c r="AK877" t="b">
        <f t="shared" si="13"/>
        <v>1</v>
      </c>
      <c r="AL877" t="b">
        <f>COUNTBLANK(Metadata!B877:AD877)=COLUMNS(Metadata!B877:AD877)</f>
        <v>1</v>
      </c>
      <c r="AM877" t="str">
        <v/>
      </c>
      <c r="AO877" t="b">
        <f ca="1">AND(IF(Metadata!B877="",FALSE,TRUE),COUNTIF(Metadata!B:B, Metadata!B877) = 1,NOT(ISERROR(SUMPRODUCT(SEARCH(MID(Metadata!B877,ROW(INDIRECT("1:"&amp;LEN(Metadata!B877))), 1),"0123456789abcdefghijklmnopqrstuvwxyzABCDEFGHIJKLMNOPQRSTUVWXYZ.")))))</f>
        <v>0</v>
      </c>
      <c r="AP877" t="b">
        <f>IF(Metadata!C877="",FALSE,TRUE)</f>
        <v>0</v>
      </c>
      <c r="AQ877" t="b">
        <f>IF(Metadata!D877="",FALSE,TRUE)</f>
        <v>0</v>
      </c>
      <c r="AR877" t="b">
        <f ca="1">OR(AND(IF(Metadata!E877="",FALSE,TRUE),OR(EXACT(Metadata!E877,"not collected"),EXACT(Metadata!E877,"not provided"),EXACT(Metadata!E877,"restricted access"))),AND(IF(Metadata!E877="",FALSE,TRUE),AND(AND(IFERROR(INT(LEFT(Metadata!E877,4))&gt;1900,FALSE),IFERROR(INT(LEFT(Metadata!E877,4))&lt;=YEAR(NOW()),FALSE)), OR(MID(Metadata!E877,5,1)="", AND(AND(MID(Metadata!E877,5,1)="-",IFERROR(INT(MID(Metadata!E877,6,1))&gt;=0,FALSE),IFERROR(INT(MID(Metadata!E877,6,1))&lt;=1,FALSE),NOT(MID(Metadata!E877,7,1)=""),IFERROR(INT(MID(Metadata!E877,6,2))&gt;=1,FALSE),IFERROR(INT(MID(Metadata!E877,6,2))&lt;=12,FALSE)), OR(MID(Metadata!E877,8,1)="", AND(AND(MID(Metadata!E877,8,1)="-",IFERROR(INT(MID(Metadata!E877,9,1))&gt;=0,FALSE),IFERROR(INT(MID(Metadata!E877,9,1))&lt;=3,FALSE),NOT(MID(Metadata!E877,10,1)=""),IFERROR(INT(MID(Metadata!E877,9,2))&gt;=1,FALSE),IFERROR(INT(MID(Metadata!E877,9,2))&lt;=31,FALSE)), OR(MID(Metadata!E877,11,1)="", AND(AND(MID(Metadata!E877,11,1)=" ",IFERROR(INT(MID(Metadata!E877,12,1))&gt;=0,FALSE),IFERROR(INT(MID(Metadata!E877,12,1))&lt;=2,FALSE),NOT(MID(Metadata!E877,13,1)=""),IFERROR(INT(MID(Metadata!E877,12,2))&gt;=0,FALSE),IFERROR(INT(MID(Metadata!E877,12,2))&lt;=23,FALSE)), OR(MID(Metadata!E877,14,1)="", AND(AND(MID(Metadata!E877,14,1)=":",IFERROR(INT(MID(Metadata!E877,15,1))&gt;=0,FALSE),IFERROR(INT(MID(Metadata!E877,15,1))&lt;=5,FALSE),NOT(MID(Metadata!E877,16,1)=""),IFERROR(INT(MID(Metadata!E877,15,2))&gt;=0,FALSE),IFERROR(INT(MID(Metadata!E877,15,2))&lt;=59,FALSE)), OR(MID(Metadata!E877,17,1)="", AND(AND(MID(Metadata!E877,17,1)=":",IFERROR(INT(MID(Metadata!E877,18,1))&gt;=0,FALSE),IFERROR(INT(MID(Metadata!E877,18,1))&lt;=5,FALSE),NOT(MID(Metadata!E877,19,1)=""),IFERROR(INT(MID(Metadata!E877,18,2))&gt;=0,FALSE),IFERROR(INT(MID(Metadata!E877,18,2))&lt;=59,FALSE)), LEN(Metadata!E877)&lt;=19)))))))))))))</f>
        <v>0</v>
      </c>
      <c r="AS877" t="b">
        <f>IF(Metadata!F877="",FALSE,TRUE)</f>
        <v>0</v>
      </c>
      <c r="AT877" t="b">
        <f>OR(AND(IF(Metadata!G877="",FALSE,TRUE),OR(EXACT(Metadata!G877,"not collected"),EXACT(Metadata!G877,"not provided"))),AND(IF(Metadata!G877="",FALSE,TRUE),OR(EXACT(Metadata!G877,"TRUE"),EXACT(Metadata!G877,"FALSE"))))</f>
        <v>0</v>
      </c>
      <c r="AU877" t="b">
        <f>OR(AND(IF(Metadata!H877="",FALSE,TRUE),OR(EXACT(Metadata!H877,"not collected"),EXACT(Metadata!H877,"not provided"),EXACT(Metadata!H877,"restricted access"))),AND(IF(Metadata!H877="",FALSE,ISNUMBER(VALUE(Metadata!H877))),Metadata!H877&gt;=-413))</f>
        <v>0</v>
      </c>
      <c r="AV877" t="b">
        <f>AND(IF(Metadata!I877="",FALSE,TRUE),EXACT(Metadata!I877,"meters"))</f>
        <v>0</v>
      </c>
      <c r="AW877" t="b">
        <f>AND(IF(Metadata!J877="",FALSE,TRUE),EXACT(Metadata!J877,"free-living"))</f>
        <v>0</v>
      </c>
      <c r="AX877" t="b">
        <f>AND(IF(Metadata!K877="",FALSE,TRUE),OR(EXACT(Metadata!K877,"saline"),EXACT(Metadata!K877,"non-saline")))</f>
        <v>0</v>
      </c>
      <c r="AY877" t="b">
        <f>AND(IF(Metadata!L877="",FALSE,TRUE),OR(EXACT(Metadata!L877,"sub-surface (non-saline)"),EXACT(Metadata!L877,"surface (non-saline)"),EXACT(Metadata!L877,"water (non-saline)"),EXACT(Metadata!L877,"soil (non-saline)"),EXACT(Metadata!L877,"aerosol (non-saline)"),EXACT(Metadata!L877,"sediment (non-saline)"),EXACT(Metadata!L877,"surface (saline)"),EXACT(Metadata!L877,"water (saline)"),EXACT(Metadata!L877,"hypersaline (saline)"),EXACT(Metadata!L877,"aerosol (saline)"),EXACT(Metadata!L877,"sediment (saline)")))</f>
        <v>0</v>
      </c>
      <c r="AZ877" t="b">
        <f>IF(Metadata!M877="",FALSE,TRUE)</f>
        <v>0</v>
      </c>
      <c r="BA877" t="b">
        <f>IF(Metadata!N877="",FALSE,TRUE)</f>
        <v>0</v>
      </c>
      <c r="BB877" t="b">
        <f>IF(Metadata!O877="",FALSE,TRUE)</f>
        <v>0</v>
      </c>
      <c r="BC877" t="b">
        <f>AND(IF(Metadata!P877="",FALSE,TRUE),OR(EXACT(Metadata!P877,"air"),EXACT(Metadata!P877,"microbial mat/biofilm"),EXACT(Metadata!P877,"misc environment"),EXACT(Metadata!P877,"sediment"),EXACT(Metadata!P877,"soil"),EXACT(Metadata!P877,"wastewater/sludge"),EXACT(Metadata!P877,"water")))</f>
        <v>0</v>
      </c>
      <c r="BD877" t="b">
        <f>IF(Metadata!Q877="",FALSE,TRUE)</f>
        <v>0</v>
      </c>
      <c r="BE877" t="b">
        <f>IF(Metadata!R877="",FALSE,TRUE)</f>
        <v>0</v>
      </c>
      <c r="BF877" t="b">
        <f>OR(AND(IF(Metadata!S877="",FALSE,TRUE),OR(EXACT(Metadata!S877,"not collected"),EXACT(Metadata!S877,"not provided"),EXACT(Metadata!S877,"restricted access"))),AND(IF(Metadata!S877="",FALSE,ISNUMBER(VALUE(Metadata!S877))),Metadata!S877&gt;=-90,Metadata!S877&lt;=90))</f>
        <v>0</v>
      </c>
      <c r="BG877" t="b">
        <f>AND(IF(Metadata!T877="",FALSE,TRUE),EXACT(Metadata!T877,"Decimal degrees"))</f>
        <v>0</v>
      </c>
      <c r="BH877" t="b">
        <f>OR(AND(IF(Metadata!U877="",FALSE,TRUE),OR(EXACT(Metadata!U877,"not applicable"),EXACT(Metadata!U877,"not collected"))),IF(Metadata!U877="",FALSE,TRUE))</f>
        <v>0</v>
      </c>
      <c r="BI877" t="b">
        <f>OR(AND(IF(Metadata!V877="",FALSE,TRUE),OR(EXACT(Metadata!V877,"not collected"),EXACT(Metadata!V877,"not provided"),EXACT(Metadata!V877,"restricted access"))),AND(IF(Metadata!V877="",FALSE,ISNUMBER(VALUE(Metadata!V877))),Metadata!V877&gt;=-180,Metadata!V877&lt;=180))</f>
        <v>0</v>
      </c>
      <c r="BJ877" t="b">
        <f>AND(IF(Metadata!W877="",FALSE,TRUE),EXACT(Metadata!W877,"Decimal degrees"))</f>
        <v>0</v>
      </c>
      <c r="BK877" t="b">
        <f>IF(Metadata!X877="",FALSE,TRUE)</f>
        <v>0</v>
      </c>
      <c r="BL877" t="b">
        <f>OR(AND(IF(Metadata!Y877="",FALSE,TRUE),OR(EXACT(Metadata!Y877,"not collected"),EXACT(Metadata!Y877,"not provided"),EXACT(Metadata!Y877,"restricted access"))),AND(IF(Metadata!Y877="",FALSE,TRUE),OR(EXACT(Metadata!Y877,"TRUE"),EXACT(Metadata!Y877,"FALSE"))))</f>
        <v>0</v>
      </c>
      <c r="BM877" t="b">
        <f>OR(AND(IF(Metadata!Z877="",FALSE,TRUE),EXACT(Metadata!Z877,"not applicable")),AND(IF(Metadata!Z877="",FALSE,TRUE),OR(EXACT(Metadata!Z877,"beer"),EXACT(Metadata!Z877,"cheese"),EXACT(Metadata!Z877,"fresh water"),EXACT(Metadata!Z877,"marine sediment"),EXACT(Metadata!Z877,"sea water"),EXACT(Metadata!Z877,"sediment"),EXACT(Metadata!Z877,"soil"),EXACT(Metadata!Z877,"waste water"))))</f>
        <v>0</v>
      </c>
      <c r="BN877" t="b">
        <f>AND(IF(Metadata!AA877="",FALSE,TRUE),EXACT(Metadata!AA877,"metagenome"))</f>
        <v>0</v>
      </c>
      <c r="BO877" t="b">
        <f>AND(IF(Metadata!AB877="",FALSE,TRUE),EXACT(Metadata!AB877,"256318"))</f>
        <v>0</v>
      </c>
      <c r="BP877" t="b">
        <f>IF(Metadata!AC877="",FALSE,TRUE)</f>
        <v>0</v>
      </c>
      <c r="BQ877" t="b">
        <f>IF(Metadata!AD877="",FALSE,TRUE)</f>
        <v>0</v>
      </c>
    </row>
    <row r="878" spans="1:69" x14ac:dyDescent="0.2">
      <c r="A878" s="4" t="e">
        <f ca="1">IF(B878=" "," ",HYPERLINK(CONCATENATE("#metadata!",ADDRESS(INDEX($AJ$2:$AJ$1001,MATCH(ROWS($AH$2:AH878),$AH$2:$AH$1001,0),0),2)),INDEX($AM$2:$AM$1001,MATCH(ROWS($AH$2:AH878),$AH$2:$AH$1001,0),0)))</f>
        <v>#N/A</v>
      </c>
      <c r="B878" s="5" t="e">
        <f ca="1">IF(OR(INDEX($AI$2:$AI$1001,MATCH(ROWS($AH$2:AH878),$AH$2:$AH$1001,0),1)&gt;=100000,INDEX($AO$1005:$BQ$1005,1,MATCH(COLUMNS($AO$1006:AO1006),$AO$1006:$BQ$1006,0))&gt;=100000), " ",IF(INDEX($AO$2:$BQ$1001,MATCH(ROWS($AH$2:AH878),$AH$2:$AH$1001,0),MATCH(COLUMNS($AO$1006:AO1006),$AO$1006:$BQ$1006,0)), HYPERLINK("#",""), HYPERLINK(CONCATENATE("#Metadata!", ADDRESS(INDEX($AJ$2:$AJ$1001,MATCH(ROWS($AH$2:AH878),$AH$2:$AH$1001,0),0), INDEX($AO$1004:$BQ$1004,1,MATCH(COLUMNS($AO$1006:AO1006),$AO$1006:$BQ$1006,0)))),"Fix")))</f>
        <v>#N/A</v>
      </c>
      <c r="C878" s="5" t="e">
        <f ca="1">IF(OR(INDEX($AI$2:$AI$1001,MATCH(ROWS($AH$2:AH878),$AH$2:$AH$1001,0),1)&gt;=100000,INDEX($AO$1005:$BQ$1005,1,MATCH(COLUMNS($AO$1006:AP1006),$AO$1006:$BQ$1006,0))&gt;=100000), " ",IF(INDEX($AO$2:$BQ$1001,MATCH(ROWS($AH$2:AH878),$AH$2:$AH$1001,0),MATCH(COLUMNS($AO$1006:AP1006),$AO$1006:$BQ$1006,0)), HYPERLINK("#",""), HYPERLINK(CONCATENATE("#Metadata!", ADDRESS(INDEX($AJ$2:$AJ$1001,MATCH(ROWS($AH$2:AH878),$AH$2:$AH$1001,0),0), INDEX($AO$1004:$BQ$1004,1,MATCH(COLUMNS($AO$1006:AP1006),$AO$1006:$BQ$1006,0)))),"Fix")))</f>
        <v>#N/A</v>
      </c>
      <c r="D878" s="5" t="e">
        <f ca="1">IF(OR(INDEX($AI$2:$AI$1001,MATCH(ROWS($AH$2:AH878),$AH$2:$AH$1001,0),1)&gt;=100000,INDEX($AO$1005:$BQ$1005,1,MATCH(COLUMNS($AO$1006:AQ1006),$AO$1006:$BQ$1006,0))&gt;=100000), " ",IF(INDEX($AO$2:$BQ$1001,MATCH(ROWS($AH$2:AH878),$AH$2:$AH$1001,0),MATCH(COLUMNS($AO$1006:AQ1006),$AO$1006:$BQ$1006,0)), HYPERLINK("#",""), HYPERLINK(CONCATENATE("#Metadata!", ADDRESS(INDEX($AJ$2:$AJ$1001,MATCH(ROWS($AH$2:AH878),$AH$2:$AH$1001,0),0), INDEX($AO$1004:$BQ$1004,1,MATCH(COLUMNS($AO$1006:AQ1006),$AO$1006:$BQ$1006,0)))),"Fix")))</f>
        <v>#N/A</v>
      </c>
      <c r="E878" s="5" t="e">
        <f ca="1">IF(OR(INDEX($AI$2:$AI$1001,MATCH(ROWS($AH$2:AH878),$AH$2:$AH$1001,0),1)&gt;=100000,INDEX($AO$1005:$BQ$1005,1,MATCH(COLUMNS($AO$1006:AR1006),$AO$1006:$BQ$1006,0))&gt;=100000), " ",IF(INDEX($AO$2:$BQ$1001,MATCH(ROWS($AH$2:AH878),$AH$2:$AH$1001,0),MATCH(COLUMNS($AO$1006:AR1006),$AO$1006:$BQ$1006,0)), HYPERLINK("#",""), HYPERLINK(CONCATENATE("#Metadata!", ADDRESS(INDEX($AJ$2:$AJ$1001,MATCH(ROWS($AH$2:AH878),$AH$2:$AH$1001,0),0), INDEX($AO$1004:$BQ$1004,1,MATCH(COLUMNS($AO$1006:AR1006),$AO$1006:$BQ$1006,0)))),"Fix")))</f>
        <v>#N/A</v>
      </c>
      <c r="F878" s="5" t="e">
        <f ca="1">IF(OR(INDEX($AI$2:$AI$1001,MATCH(ROWS($AH$2:AH878),$AH$2:$AH$1001,0),1)&gt;=100000,INDEX($AO$1005:$BQ$1005,1,MATCH(COLUMNS($AO$1006:AS1006),$AO$1006:$BQ$1006,0))&gt;=100000), " ",IF(INDEX($AO$2:$BQ$1001,MATCH(ROWS($AH$2:AH878),$AH$2:$AH$1001,0),MATCH(COLUMNS($AO$1006:AS1006),$AO$1006:$BQ$1006,0)), HYPERLINK("#",""), HYPERLINK(CONCATENATE("#Metadata!", ADDRESS(INDEX($AJ$2:$AJ$1001,MATCH(ROWS($AH$2:AH878),$AH$2:$AH$1001,0),0), INDEX($AO$1004:$BQ$1004,1,MATCH(COLUMNS($AO$1006:AS1006),$AO$1006:$BQ$1006,0)))),"Fix")))</f>
        <v>#N/A</v>
      </c>
      <c r="G878" s="5" t="e">
        <f ca="1">IF(OR(INDEX($AI$2:$AI$1001,MATCH(ROWS($AH$2:AH878),$AH$2:$AH$1001,0),1)&gt;=100000,INDEX($AO$1005:$BQ$1005,1,MATCH(COLUMNS($AO$1006:AT1006),$AO$1006:$BQ$1006,0))&gt;=100000), " ",IF(INDEX($AO$2:$BQ$1001,MATCH(ROWS($AH$2:AH878),$AH$2:$AH$1001,0),MATCH(COLUMNS($AO$1006:AT1006),$AO$1006:$BQ$1006,0)), HYPERLINK("#",""), HYPERLINK(CONCATENATE("#Metadata!", ADDRESS(INDEX($AJ$2:$AJ$1001,MATCH(ROWS($AH$2:AH878),$AH$2:$AH$1001,0),0), INDEX($AO$1004:$BQ$1004,1,MATCH(COLUMNS($AO$1006:AT1006),$AO$1006:$BQ$1006,0)))),"Fix")))</f>
        <v>#N/A</v>
      </c>
      <c r="H878" s="5" t="e">
        <f ca="1">IF(OR(INDEX($AI$2:$AI$1001,MATCH(ROWS($AH$2:AH878),$AH$2:$AH$1001,0),1)&gt;=100000,INDEX($AO$1005:$BQ$1005,1,MATCH(COLUMNS($AO$1006:AU1006),$AO$1006:$BQ$1006,0))&gt;=100000), " ",IF(INDEX($AO$2:$BQ$1001,MATCH(ROWS($AH$2:AH878),$AH$2:$AH$1001,0),MATCH(COLUMNS($AO$1006:AU1006),$AO$1006:$BQ$1006,0)), HYPERLINK("#",""), HYPERLINK(CONCATENATE("#Metadata!", ADDRESS(INDEX($AJ$2:$AJ$1001,MATCH(ROWS($AH$2:AH878),$AH$2:$AH$1001,0),0), INDEX($AO$1004:$BQ$1004,1,MATCH(COLUMNS($AO$1006:AU1006),$AO$1006:$BQ$1006,0)))),"Fix")))</f>
        <v>#N/A</v>
      </c>
      <c r="I878" s="5" t="e">
        <f ca="1">IF(OR(INDEX($AI$2:$AI$1001,MATCH(ROWS($AH$2:AH878),$AH$2:$AH$1001,0),1)&gt;=100000,INDEX($AO$1005:$BQ$1005,1,MATCH(COLUMNS($AO$1006:AV1006),$AO$1006:$BQ$1006,0))&gt;=100000), " ",IF(INDEX($AO$2:$BQ$1001,MATCH(ROWS($AH$2:AH878),$AH$2:$AH$1001,0),MATCH(COLUMNS($AO$1006:AV1006),$AO$1006:$BQ$1006,0)), HYPERLINK("#",""), HYPERLINK(CONCATENATE("#Metadata!", ADDRESS(INDEX($AJ$2:$AJ$1001,MATCH(ROWS($AH$2:AH878),$AH$2:$AH$1001,0),0), INDEX($AO$1004:$BQ$1004,1,MATCH(COLUMNS($AO$1006:AV1006),$AO$1006:$BQ$1006,0)))),"Fix")))</f>
        <v>#N/A</v>
      </c>
      <c r="J878" s="5" t="e">
        <f ca="1">IF(OR(INDEX($AI$2:$AI$1001,MATCH(ROWS($AH$2:AH878),$AH$2:$AH$1001,0),1)&gt;=100000,INDEX($AO$1005:$BQ$1005,1,MATCH(COLUMNS($AO$1006:AW1006),$AO$1006:$BQ$1006,0))&gt;=100000), " ",IF(INDEX($AO$2:$BQ$1001,MATCH(ROWS($AH$2:AH878),$AH$2:$AH$1001,0),MATCH(COLUMNS($AO$1006:AW1006),$AO$1006:$BQ$1006,0)), HYPERLINK("#",""), HYPERLINK(CONCATENATE("#Metadata!", ADDRESS(INDEX($AJ$2:$AJ$1001,MATCH(ROWS($AH$2:AH878),$AH$2:$AH$1001,0),0), INDEX($AO$1004:$BQ$1004,1,MATCH(COLUMNS($AO$1006:AW1006),$AO$1006:$BQ$1006,0)))),"Fix")))</f>
        <v>#N/A</v>
      </c>
      <c r="K878" s="5" t="e">
        <f ca="1">IF(OR(INDEX($AI$2:$AI$1001,MATCH(ROWS($AH$2:AH878),$AH$2:$AH$1001,0),1)&gt;=100000,INDEX($AO$1005:$BQ$1005,1,MATCH(COLUMNS($AO$1006:AX1006),$AO$1006:$BQ$1006,0))&gt;=100000), " ",IF(INDEX($AO$2:$BQ$1001,MATCH(ROWS($AH$2:AH878),$AH$2:$AH$1001,0),MATCH(COLUMNS($AO$1006:AX1006),$AO$1006:$BQ$1006,0)), HYPERLINK("#",""), HYPERLINK(CONCATENATE("#Metadata!", ADDRESS(INDEX($AJ$2:$AJ$1001,MATCH(ROWS($AH$2:AH878),$AH$2:$AH$1001,0),0), INDEX($AO$1004:$BQ$1004,1,MATCH(COLUMNS($AO$1006:AX1006),$AO$1006:$BQ$1006,0)))),"Fix")))</f>
        <v>#N/A</v>
      </c>
      <c r="L878" s="5" t="e">
        <f ca="1">IF(OR(INDEX($AI$2:$AI$1001,MATCH(ROWS($AH$2:AH878),$AH$2:$AH$1001,0),1)&gt;=100000,INDEX($AO$1005:$BQ$1005,1,MATCH(COLUMNS($AO$1006:AY1006),$AO$1006:$BQ$1006,0))&gt;=100000), " ",IF(INDEX($AO$2:$BQ$1001,MATCH(ROWS($AH$2:AH878),$AH$2:$AH$1001,0),MATCH(COLUMNS($AO$1006:AY1006),$AO$1006:$BQ$1006,0)), HYPERLINK("#",""), HYPERLINK(CONCATENATE("#Metadata!", ADDRESS(INDEX($AJ$2:$AJ$1001,MATCH(ROWS($AH$2:AH878),$AH$2:$AH$1001,0),0), INDEX($AO$1004:$BQ$1004,1,MATCH(COLUMNS($AO$1006:AY1006),$AO$1006:$BQ$1006,0)))),"Fix")))</f>
        <v>#N/A</v>
      </c>
      <c r="M878" s="5" t="e">
        <f ca="1">IF(OR(INDEX($AI$2:$AI$1001,MATCH(ROWS($AH$2:AH878),$AH$2:$AH$1001,0),1)&gt;=100000,INDEX($AO$1005:$BQ$1005,1,MATCH(COLUMNS($AO$1006:AZ1006),$AO$1006:$BQ$1006,0))&gt;=100000), " ",IF(INDEX($AO$2:$BQ$1001,MATCH(ROWS($AH$2:AH878),$AH$2:$AH$1001,0),MATCH(COLUMNS($AO$1006:AZ1006),$AO$1006:$BQ$1006,0)), HYPERLINK("#",""), HYPERLINK(CONCATENATE("#Metadata!", ADDRESS(INDEX($AJ$2:$AJ$1001,MATCH(ROWS($AH$2:AH878),$AH$2:$AH$1001,0),0), INDEX($AO$1004:$BQ$1004,1,MATCH(COLUMNS($AO$1006:AZ1006),$AO$1006:$BQ$1006,0)))),"Fix")))</f>
        <v>#N/A</v>
      </c>
      <c r="N878" s="5" t="e">
        <f ca="1">IF(OR(INDEX($AI$2:$AI$1001,MATCH(ROWS($AH$2:AH878),$AH$2:$AH$1001,0),1)&gt;=100000,INDEX($AO$1005:$BQ$1005,1,MATCH(COLUMNS($AO$1006:BA1006),$AO$1006:$BQ$1006,0))&gt;=100000), " ",IF(INDEX($AO$2:$BQ$1001,MATCH(ROWS($AH$2:AH878),$AH$2:$AH$1001,0),MATCH(COLUMNS($AO$1006:BA1006),$AO$1006:$BQ$1006,0)), HYPERLINK("#",""), HYPERLINK(CONCATENATE("#Metadata!", ADDRESS(INDEX($AJ$2:$AJ$1001,MATCH(ROWS($AH$2:AH878),$AH$2:$AH$1001,0),0), INDEX($AO$1004:$BQ$1004,1,MATCH(COLUMNS($AO$1006:BA1006),$AO$1006:$BQ$1006,0)))),"Fix")))</f>
        <v>#N/A</v>
      </c>
      <c r="O878" s="5" t="e">
        <f ca="1">IF(OR(INDEX($AI$2:$AI$1001,MATCH(ROWS($AH$2:AH878),$AH$2:$AH$1001,0),1)&gt;=100000,INDEX($AO$1005:$BQ$1005,1,MATCH(COLUMNS($AO$1006:BB1006),$AO$1006:$BQ$1006,0))&gt;=100000), " ",IF(INDEX($AO$2:$BQ$1001,MATCH(ROWS($AH$2:AH878),$AH$2:$AH$1001,0),MATCH(COLUMNS($AO$1006:BB1006),$AO$1006:$BQ$1006,0)), HYPERLINK("#",""), HYPERLINK(CONCATENATE("#Metadata!", ADDRESS(INDEX($AJ$2:$AJ$1001,MATCH(ROWS($AH$2:AH878),$AH$2:$AH$1001,0),0), INDEX($AO$1004:$BQ$1004,1,MATCH(COLUMNS($AO$1006:BB1006),$AO$1006:$BQ$1006,0)))),"Fix")))</f>
        <v>#N/A</v>
      </c>
      <c r="P878" s="5" t="e">
        <f ca="1">IF(OR(INDEX($AI$2:$AI$1001,MATCH(ROWS($AH$2:AH878),$AH$2:$AH$1001,0),1)&gt;=100000,INDEX($AO$1005:$BQ$1005,1,MATCH(COLUMNS($AO$1006:BC1006),$AO$1006:$BQ$1006,0))&gt;=100000), " ",IF(INDEX($AO$2:$BQ$1001,MATCH(ROWS($AH$2:AH878),$AH$2:$AH$1001,0),MATCH(COLUMNS($AO$1006:BC1006),$AO$1006:$BQ$1006,0)), HYPERLINK("#",""), HYPERLINK(CONCATENATE("#Metadata!", ADDRESS(INDEX($AJ$2:$AJ$1001,MATCH(ROWS($AH$2:AH878),$AH$2:$AH$1001,0),0), INDEX($AO$1004:$BQ$1004,1,MATCH(COLUMNS($AO$1006:BC1006),$AO$1006:$BQ$1006,0)))),"Fix")))</f>
        <v>#N/A</v>
      </c>
      <c r="Q878" s="5" t="e">
        <f ca="1">IF(OR(INDEX($AI$2:$AI$1001,MATCH(ROWS($AH$2:AH878),$AH$2:$AH$1001,0),1)&gt;=100000,INDEX($AO$1005:$BQ$1005,1,MATCH(COLUMNS($AO$1006:BD1006),$AO$1006:$BQ$1006,0))&gt;=100000), " ",IF(INDEX($AO$2:$BQ$1001,MATCH(ROWS($AH$2:AH878),$AH$2:$AH$1001,0),MATCH(COLUMNS($AO$1006:BD1006),$AO$1006:$BQ$1006,0)), HYPERLINK("#",""), HYPERLINK(CONCATENATE("#Metadata!", ADDRESS(INDEX($AJ$2:$AJ$1001,MATCH(ROWS($AH$2:AH878),$AH$2:$AH$1001,0),0), INDEX($AO$1004:$BQ$1004,1,MATCH(COLUMNS($AO$1006:BD1006),$AO$1006:$BQ$1006,0)))),"Fix")))</f>
        <v>#N/A</v>
      </c>
      <c r="R878" s="5" t="e">
        <f ca="1">IF(OR(INDEX($AI$2:$AI$1001,MATCH(ROWS($AH$2:AH878),$AH$2:$AH$1001,0),1)&gt;=100000,INDEX($AO$1005:$BQ$1005,1,MATCH(COLUMNS($AO$1006:BE1006),$AO$1006:$BQ$1006,0))&gt;=100000), " ",IF(INDEX($AO$2:$BQ$1001,MATCH(ROWS($AH$2:AH878),$AH$2:$AH$1001,0),MATCH(COLUMNS($AO$1006:BE1006),$AO$1006:$BQ$1006,0)), HYPERLINK("#",""), HYPERLINK(CONCATENATE("#Metadata!", ADDRESS(INDEX($AJ$2:$AJ$1001,MATCH(ROWS($AH$2:AH878),$AH$2:$AH$1001,0),0), INDEX($AO$1004:$BQ$1004,1,MATCH(COLUMNS($AO$1006:BE1006),$AO$1006:$BQ$1006,0)))),"Fix")))</f>
        <v>#N/A</v>
      </c>
      <c r="S878" s="5" t="e">
        <f ca="1">IF(OR(INDEX($AI$2:$AI$1001,MATCH(ROWS($AH$2:AH878),$AH$2:$AH$1001,0),1)&gt;=100000,INDEX($AO$1005:$BQ$1005,1,MATCH(COLUMNS($AO$1006:BF1006),$AO$1006:$BQ$1006,0))&gt;=100000), " ",IF(INDEX($AO$2:$BQ$1001,MATCH(ROWS($AH$2:AH878),$AH$2:$AH$1001,0),MATCH(COLUMNS($AO$1006:BF1006),$AO$1006:$BQ$1006,0)), HYPERLINK("#",""), HYPERLINK(CONCATENATE("#Metadata!", ADDRESS(INDEX($AJ$2:$AJ$1001,MATCH(ROWS($AH$2:AH878),$AH$2:$AH$1001,0),0), INDEX($AO$1004:$BQ$1004,1,MATCH(COLUMNS($AO$1006:BF1006),$AO$1006:$BQ$1006,0)))),"Fix")))</f>
        <v>#N/A</v>
      </c>
      <c r="T878" s="5" t="e">
        <f ca="1">IF(OR(INDEX($AI$2:$AI$1001,MATCH(ROWS($AH$2:AH878),$AH$2:$AH$1001,0),1)&gt;=100000,INDEX($AO$1005:$BQ$1005,1,MATCH(COLUMNS($AO$1006:BG1006),$AO$1006:$BQ$1006,0))&gt;=100000), " ",IF(INDEX($AO$2:$BQ$1001,MATCH(ROWS($AH$2:AH878),$AH$2:$AH$1001,0),MATCH(COLUMNS($AO$1006:BG1006),$AO$1006:$BQ$1006,0)), HYPERLINK("#",""), HYPERLINK(CONCATENATE("#Metadata!", ADDRESS(INDEX($AJ$2:$AJ$1001,MATCH(ROWS($AH$2:AH878),$AH$2:$AH$1001,0),0), INDEX($AO$1004:$BQ$1004,1,MATCH(COLUMNS($AO$1006:BG1006),$AO$1006:$BQ$1006,0)))),"Fix")))</f>
        <v>#N/A</v>
      </c>
      <c r="U878" s="5" t="e">
        <f ca="1">IF(OR(INDEX($AI$2:$AI$1001,MATCH(ROWS($AH$2:AH878),$AH$2:$AH$1001,0),1)&gt;=100000,INDEX($AO$1005:$BQ$1005,1,MATCH(COLUMNS($AO$1006:BH1006),$AO$1006:$BQ$1006,0))&gt;=100000), " ",IF(INDEX($AO$2:$BQ$1001,MATCH(ROWS($AH$2:AH878),$AH$2:$AH$1001,0),MATCH(COLUMNS($AO$1006:BH1006),$AO$1006:$BQ$1006,0)), HYPERLINK("#",""), HYPERLINK(CONCATENATE("#Metadata!", ADDRESS(INDEX($AJ$2:$AJ$1001,MATCH(ROWS($AH$2:AH878),$AH$2:$AH$1001,0),0), INDEX($AO$1004:$BQ$1004,1,MATCH(COLUMNS($AO$1006:BH1006),$AO$1006:$BQ$1006,0)))),"Fix")))</f>
        <v>#N/A</v>
      </c>
      <c r="V878" s="5" t="e">
        <f ca="1">IF(OR(INDEX($AI$2:$AI$1001,MATCH(ROWS($AH$2:AH878),$AH$2:$AH$1001,0),1)&gt;=100000,INDEX($AO$1005:$BQ$1005,1,MATCH(COLUMNS($AO$1006:BI1006),$AO$1006:$BQ$1006,0))&gt;=100000), " ",IF(INDEX($AO$2:$BQ$1001,MATCH(ROWS($AH$2:AH878),$AH$2:$AH$1001,0),MATCH(COLUMNS($AO$1006:BI1006),$AO$1006:$BQ$1006,0)), HYPERLINK("#",""), HYPERLINK(CONCATENATE("#Metadata!", ADDRESS(INDEX($AJ$2:$AJ$1001,MATCH(ROWS($AH$2:AH878),$AH$2:$AH$1001,0),0), INDEX($AO$1004:$BQ$1004,1,MATCH(COLUMNS($AO$1006:BI1006),$AO$1006:$BQ$1006,0)))),"Fix")))</f>
        <v>#N/A</v>
      </c>
      <c r="W878" s="5" t="e">
        <f ca="1">IF(OR(INDEX($AI$2:$AI$1001,MATCH(ROWS($AH$2:AH878),$AH$2:$AH$1001,0),1)&gt;=100000,INDEX($AO$1005:$BQ$1005,1,MATCH(COLUMNS($AO$1006:BJ1006),$AO$1006:$BQ$1006,0))&gt;=100000), " ",IF(INDEX($AO$2:$BQ$1001,MATCH(ROWS($AH$2:AH878),$AH$2:$AH$1001,0),MATCH(COLUMNS($AO$1006:BJ1006),$AO$1006:$BQ$1006,0)), HYPERLINK("#",""), HYPERLINK(CONCATENATE("#Metadata!", ADDRESS(INDEX($AJ$2:$AJ$1001,MATCH(ROWS($AH$2:AH878),$AH$2:$AH$1001,0),0), INDEX($AO$1004:$BQ$1004,1,MATCH(COLUMNS($AO$1006:BJ1006),$AO$1006:$BQ$1006,0)))),"Fix")))</f>
        <v>#N/A</v>
      </c>
      <c r="X878" s="5" t="e">
        <f ca="1">IF(OR(INDEX($AI$2:$AI$1001,MATCH(ROWS($AH$2:AH878),$AH$2:$AH$1001,0),1)&gt;=100000,INDEX($AO$1005:$BQ$1005,1,MATCH(COLUMNS($AO$1006:BK1006),$AO$1006:$BQ$1006,0))&gt;=100000), " ",IF(INDEX($AO$2:$BQ$1001,MATCH(ROWS($AH$2:AH878),$AH$2:$AH$1001,0),MATCH(COLUMNS($AO$1006:BK1006),$AO$1006:$BQ$1006,0)), HYPERLINK("#",""), HYPERLINK(CONCATENATE("#Metadata!", ADDRESS(INDEX($AJ$2:$AJ$1001,MATCH(ROWS($AH$2:AH878),$AH$2:$AH$1001,0),0), INDEX($AO$1004:$BQ$1004,1,MATCH(COLUMNS($AO$1006:BK1006),$AO$1006:$BQ$1006,0)))),"Fix")))</f>
        <v>#N/A</v>
      </c>
      <c r="Y878" s="5" t="e">
        <f ca="1">IF(OR(INDEX($AI$2:$AI$1001,MATCH(ROWS($AH$2:AH878),$AH$2:$AH$1001,0),1)&gt;=100000,INDEX($AO$1005:$BQ$1005,1,MATCH(COLUMNS($AO$1006:BL1006),$AO$1006:$BQ$1006,0))&gt;=100000), " ",IF(INDEX($AO$2:$BQ$1001,MATCH(ROWS($AH$2:AH878),$AH$2:$AH$1001,0),MATCH(COLUMNS($AO$1006:BL1006),$AO$1006:$BQ$1006,0)), HYPERLINK("#",""), HYPERLINK(CONCATENATE("#Metadata!", ADDRESS(INDEX($AJ$2:$AJ$1001,MATCH(ROWS($AH$2:AH878),$AH$2:$AH$1001,0),0), INDEX($AO$1004:$BQ$1004,1,MATCH(COLUMNS($AO$1006:BL1006),$AO$1006:$BQ$1006,0)))),"Fix")))</f>
        <v>#N/A</v>
      </c>
      <c r="Z878" s="5" t="e">
        <f ca="1">IF(OR(INDEX($AI$2:$AI$1001,MATCH(ROWS($AH$2:AH878),$AH$2:$AH$1001,0),1)&gt;=100000,INDEX($AO$1005:$BQ$1005,1,MATCH(COLUMNS($AO$1006:BM1006),$AO$1006:$BQ$1006,0))&gt;=100000), " ",IF(INDEX($AO$2:$BQ$1001,MATCH(ROWS($AH$2:AH878),$AH$2:$AH$1001,0),MATCH(COLUMNS($AO$1006:BM1006),$AO$1006:$BQ$1006,0)), HYPERLINK("#",""), HYPERLINK(CONCATENATE("#Metadata!", ADDRESS(INDEX($AJ$2:$AJ$1001,MATCH(ROWS($AH$2:AH878),$AH$2:$AH$1001,0),0), INDEX($AO$1004:$BQ$1004,1,MATCH(COLUMNS($AO$1006:BM1006),$AO$1006:$BQ$1006,0)))),"Fix")))</f>
        <v>#N/A</v>
      </c>
      <c r="AA878" s="5" t="e">
        <f ca="1">IF(OR(INDEX($AI$2:$AI$1001,MATCH(ROWS($AH$2:AH878),$AH$2:$AH$1001,0),1)&gt;=100000,INDEX($AO$1005:$BQ$1005,1,MATCH(COLUMNS($AO$1006:BN1006),$AO$1006:$BQ$1006,0))&gt;=100000), " ",IF(INDEX($AO$2:$BQ$1001,MATCH(ROWS($AH$2:AH878),$AH$2:$AH$1001,0),MATCH(COLUMNS($AO$1006:BN1006),$AO$1006:$BQ$1006,0)), HYPERLINK("#",""), HYPERLINK(CONCATENATE("#Metadata!", ADDRESS(INDEX($AJ$2:$AJ$1001,MATCH(ROWS($AH$2:AH878),$AH$2:$AH$1001,0),0), INDEX($AO$1004:$BQ$1004,1,MATCH(COLUMNS($AO$1006:BN1006),$AO$1006:$BQ$1006,0)))),"Fix")))</f>
        <v>#N/A</v>
      </c>
      <c r="AB878" s="5" t="e">
        <f ca="1">IF(OR(INDEX($AI$2:$AI$1001,MATCH(ROWS($AH$2:AH878),$AH$2:$AH$1001,0),1)&gt;=100000,INDEX($AO$1005:$BQ$1005,1,MATCH(COLUMNS($AO$1006:BO1006),$AO$1006:$BQ$1006,0))&gt;=100000), " ",IF(INDEX($AO$2:$BQ$1001,MATCH(ROWS($AH$2:AH878),$AH$2:$AH$1001,0),MATCH(COLUMNS($AO$1006:BO1006),$AO$1006:$BQ$1006,0)), HYPERLINK("#",""), HYPERLINK(CONCATENATE("#Metadata!", ADDRESS(INDEX($AJ$2:$AJ$1001,MATCH(ROWS($AH$2:AH878),$AH$2:$AH$1001,0),0), INDEX($AO$1004:$BQ$1004,1,MATCH(COLUMNS($AO$1006:BO1006),$AO$1006:$BQ$1006,0)))),"Fix")))</f>
        <v>#N/A</v>
      </c>
      <c r="AC878" s="5" t="e">
        <f ca="1">IF(OR(INDEX($AI$2:$AI$1001,MATCH(ROWS($AH$2:AH878),$AH$2:$AH$1001,0),1)&gt;=100000,INDEX($AO$1005:$BQ$1005,1,MATCH(COLUMNS($AO$1006:BP1006),$AO$1006:$BQ$1006,0))&gt;=100000), " ",IF(INDEX($AO$2:$BQ$1001,MATCH(ROWS($AH$2:AH878),$AH$2:$AH$1001,0),MATCH(COLUMNS($AO$1006:BP1006),$AO$1006:$BQ$1006,0)), HYPERLINK("#",""), HYPERLINK(CONCATENATE("#Metadata!", ADDRESS(INDEX($AJ$2:$AJ$1001,MATCH(ROWS($AH$2:AH878),$AH$2:$AH$1001,0),0), INDEX($AO$1004:$BQ$1004,1,MATCH(COLUMNS($AO$1006:BP1006),$AO$1006:$BQ$1006,0)))),"Fix")))</f>
        <v>#N/A</v>
      </c>
      <c r="AD878" s="5" t="e">
        <f ca="1">IF(OR(INDEX($AI$2:$AI$1001,MATCH(ROWS($AH$2:AH878),$AH$2:$AH$1001,0),1)&gt;=100000,INDEX($AO$1005:$BQ$1005,1,MATCH(COLUMNS($AO$1006:BQ1006),$AO$1006:$BQ$1006,0))&gt;=100000), " ",IF(INDEX($AO$2:$BQ$1001,MATCH(ROWS($AH$2:AH878),$AH$2:$AH$1001,0),MATCH(COLUMNS($AO$1006:BQ1006),$AO$1006:$BQ$1006,0)), HYPERLINK("#",""), HYPERLINK(CONCATENATE("#Metadata!", ADDRESS(INDEX($AJ$2:$AJ$1001,MATCH(ROWS($AH$2:AH878),$AH$2:$AH$1001,0),0), INDEX($AO$1004:$BQ$1004,1,MATCH(COLUMNS($AO$1006:BQ1006),$AO$1006:$BQ$1006,0)))),"Fix")))</f>
        <v>#REF!</v>
      </c>
      <c r="AH878">
        <f ca="1"/>
        <v>875</v>
      </c>
      <c r="AI878">
        <v>100878</v>
      </c>
      <c r="AJ878">
        <v>878</v>
      </c>
      <c r="AK878" t="b">
        <f t="shared" si="13"/>
        <v>1</v>
      </c>
      <c r="AL878" t="b">
        <f>COUNTBLANK(Metadata!B878:AD878)=COLUMNS(Metadata!B878:AD878)</f>
        <v>1</v>
      </c>
      <c r="AM878" t="str">
        <v/>
      </c>
      <c r="AO878" t="b">
        <f ca="1">AND(IF(Metadata!B878="",FALSE,TRUE),COUNTIF(Metadata!B:B, Metadata!B878) = 1,NOT(ISERROR(SUMPRODUCT(SEARCH(MID(Metadata!B878,ROW(INDIRECT("1:"&amp;LEN(Metadata!B878))), 1),"0123456789abcdefghijklmnopqrstuvwxyzABCDEFGHIJKLMNOPQRSTUVWXYZ.")))))</f>
        <v>0</v>
      </c>
      <c r="AP878" t="b">
        <f>IF(Metadata!C878="",FALSE,TRUE)</f>
        <v>0</v>
      </c>
      <c r="AQ878" t="b">
        <f>IF(Metadata!D878="",FALSE,TRUE)</f>
        <v>0</v>
      </c>
      <c r="AR878" t="b">
        <f ca="1">OR(AND(IF(Metadata!E878="",FALSE,TRUE),OR(EXACT(Metadata!E878,"not collected"),EXACT(Metadata!E878,"not provided"),EXACT(Metadata!E878,"restricted access"))),AND(IF(Metadata!E878="",FALSE,TRUE),AND(AND(IFERROR(INT(LEFT(Metadata!E878,4))&gt;1900,FALSE),IFERROR(INT(LEFT(Metadata!E878,4))&lt;=YEAR(NOW()),FALSE)), OR(MID(Metadata!E878,5,1)="", AND(AND(MID(Metadata!E878,5,1)="-",IFERROR(INT(MID(Metadata!E878,6,1))&gt;=0,FALSE),IFERROR(INT(MID(Metadata!E878,6,1))&lt;=1,FALSE),NOT(MID(Metadata!E878,7,1)=""),IFERROR(INT(MID(Metadata!E878,6,2))&gt;=1,FALSE),IFERROR(INT(MID(Metadata!E878,6,2))&lt;=12,FALSE)), OR(MID(Metadata!E878,8,1)="", AND(AND(MID(Metadata!E878,8,1)="-",IFERROR(INT(MID(Metadata!E878,9,1))&gt;=0,FALSE),IFERROR(INT(MID(Metadata!E878,9,1))&lt;=3,FALSE),NOT(MID(Metadata!E878,10,1)=""),IFERROR(INT(MID(Metadata!E878,9,2))&gt;=1,FALSE),IFERROR(INT(MID(Metadata!E878,9,2))&lt;=31,FALSE)), OR(MID(Metadata!E878,11,1)="", AND(AND(MID(Metadata!E878,11,1)=" ",IFERROR(INT(MID(Metadata!E878,12,1))&gt;=0,FALSE),IFERROR(INT(MID(Metadata!E878,12,1))&lt;=2,FALSE),NOT(MID(Metadata!E878,13,1)=""),IFERROR(INT(MID(Metadata!E878,12,2))&gt;=0,FALSE),IFERROR(INT(MID(Metadata!E878,12,2))&lt;=23,FALSE)), OR(MID(Metadata!E878,14,1)="", AND(AND(MID(Metadata!E878,14,1)=":",IFERROR(INT(MID(Metadata!E878,15,1))&gt;=0,FALSE),IFERROR(INT(MID(Metadata!E878,15,1))&lt;=5,FALSE),NOT(MID(Metadata!E878,16,1)=""),IFERROR(INT(MID(Metadata!E878,15,2))&gt;=0,FALSE),IFERROR(INT(MID(Metadata!E878,15,2))&lt;=59,FALSE)), OR(MID(Metadata!E878,17,1)="", AND(AND(MID(Metadata!E878,17,1)=":",IFERROR(INT(MID(Metadata!E878,18,1))&gt;=0,FALSE),IFERROR(INT(MID(Metadata!E878,18,1))&lt;=5,FALSE),NOT(MID(Metadata!E878,19,1)=""),IFERROR(INT(MID(Metadata!E878,18,2))&gt;=0,FALSE),IFERROR(INT(MID(Metadata!E878,18,2))&lt;=59,FALSE)), LEN(Metadata!E878)&lt;=19)))))))))))))</f>
        <v>0</v>
      </c>
      <c r="AS878" t="b">
        <f>IF(Metadata!F878="",FALSE,TRUE)</f>
        <v>0</v>
      </c>
      <c r="AT878" t="b">
        <f>OR(AND(IF(Metadata!G878="",FALSE,TRUE),OR(EXACT(Metadata!G878,"not collected"),EXACT(Metadata!G878,"not provided"))),AND(IF(Metadata!G878="",FALSE,TRUE),OR(EXACT(Metadata!G878,"TRUE"),EXACT(Metadata!G878,"FALSE"))))</f>
        <v>0</v>
      </c>
      <c r="AU878" t="b">
        <f>OR(AND(IF(Metadata!H878="",FALSE,TRUE),OR(EXACT(Metadata!H878,"not collected"),EXACT(Metadata!H878,"not provided"),EXACT(Metadata!H878,"restricted access"))),AND(IF(Metadata!H878="",FALSE,ISNUMBER(VALUE(Metadata!H878))),Metadata!H878&gt;=-413))</f>
        <v>0</v>
      </c>
      <c r="AV878" t="b">
        <f>AND(IF(Metadata!I878="",FALSE,TRUE),EXACT(Metadata!I878,"meters"))</f>
        <v>0</v>
      </c>
      <c r="AW878" t="b">
        <f>AND(IF(Metadata!J878="",FALSE,TRUE),EXACT(Metadata!J878,"free-living"))</f>
        <v>0</v>
      </c>
      <c r="AX878" t="b">
        <f>AND(IF(Metadata!K878="",FALSE,TRUE),OR(EXACT(Metadata!K878,"saline"),EXACT(Metadata!K878,"non-saline")))</f>
        <v>0</v>
      </c>
      <c r="AY878" t="b">
        <f>AND(IF(Metadata!L878="",FALSE,TRUE),OR(EXACT(Metadata!L878,"sub-surface (non-saline)"),EXACT(Metadata!L878,"surface (non-saline)"),EXACT(Metadata!L878,"water (non-saline)"),EXACT(Metadata!L878,"soil (non-saline)"),EXACT(Metadata!L878,"aerosol (non-saline)"),EXACT(Metadata!L878,"sediment (non-saline)"),EXACT(Metadata!L878,"surface (saline)"),EXACT(Metadata!L878,"water (saline)"),EXACT(Metadata!L878,"hypersaline (saline)"),EXACT(Metadata!L878,"aerosol (saline)"),EXACT(Metadata!L878,"sediment (saline)")))</f>
        <v>0</v>
      </c>
      <c r="AZ878" t="b">
        <f>IF(Metadata!M878="",FALSE,TRUE)</f>
        <v>0</v>
      </c>
      <c r="BA878" t="b">
        <f>IF(Metadata!N878="",FALSE,TRUE)</f>
        <v>0</v>
      </c>
      <c r="BB878" t="b">
        <f>IF(Metadata!O878="",FALSE,TRUE)</f>
        <v>0</v>
      </c>
      <c r="BC878" t="b">
        <f>AND(IF(Metadata!P878="",FALSE,TRUE),OR(EXACT(Metadata!P878,"air"),EXACT(Metadata!P878,"microbial mat/biofilm"),EXACT(Metadata!P878,"misc environment"),EXACT(Metadata!P878,"sediment"),EXACT(Metadata!P878,"soil"),EXACT(Metadata!P878,"wastewater/sludge"),EXACT(Metadata!P878,"water")))</f>
        <v>0</v>
      </c>
      <c r="BD878" t="b">
        <f>IF(Metadata!Q878="",FALSE,TRUE)</f>
        <v>0</v>
      </c>
      <c r="BE878" t="b">
        <f>IF(Metadata!R878="",FALSE,TRUE)</f>
        <v>0</v>
      </c>
      <c r="BF878" t="b">
        <f>OR(AND(IF(Metadata!S878="",FALSE,TRUE),OR(EXACT(Metadata!S878,"not collected"),EXACT(Metadata!S878,"not provided"),EXACT(Metadata!S878,"restricted access"))),AND(IF(Metadata!S878="",FALSE,ISNUMBER(VALUE(Metadata!S878))),Metadata!S878&gt;=-90,Metadata!S878&lt;=90))</f>
        <v>0</v>
      </c>
      <c r="BG878" t="b">
        <f>AND(IF(Metadata!T878="",FALSE,TRUE),EXACT(Metadata!T878,"Decimal degrees"))</f>
        <v>0</v>
      </c>
      <c r="BH878" t="b">
        <f>OR(AND(IF(Metadata!U878="",FALSE,TRUE),OR(EXACT(Metadata!U878,"not applicable"),EXACT(Metadata!U878,"not collected"))),IF(Metadata!U878="",FALSE,TRUE))</f>
        <v>0</v>
      </c>
      <c r="BI878" t="b">
        <f>OR(AND(IF(Metadata!V878="",FALSE,TRUE),OR(EXACT(Metadata!V878,"not collected"),EXACT(Metadata!V878,"not provided"),EXACT(Metadata!V878,"restricted access"))),AND(IF(Metadata!V878="",FALSE,ISNUMBER(VALUE(Metadata!V878))),Metadata!V878&gt;=-180,Metadata!V878&lt;=180))</f>
        <v>0</v>
      </c>
      <c r="BJ878" t="b">
        <f>AND(IF(Metadata!W878="",FALSE,TRUE),EXACT(Metadata!W878,"Decimal degrees"))</f>
        <v>0</v>
      </c>
      <c r="BK878" t="b">
        <f>IF(Metadata!X878="",FALSE,TRUE)</f>
        <v>0</v>
      </c>
      <c r="BL878" t="b">
        <f>OR(AND(IF(Metadata!Y878="",FALSE,TRUE),OR(EXACT(Metadata!Y878,"not collected"),EXACT(Metadata!Y878,"not provided"),EXACT(Metadata!Y878,"restricted access"))),AND(IF(Metadata!Y878="",FALSE,TRUE),OR(EXACT(Metadata!Y878,"TRUE"),EXACT(Metadata!Y878,"FALSE"))))</f>
        <v>0</v>
      </c>
      <c r="BM878" t="b">
        <f>OR(AND(IF(Metadata!Z878="",FALSE,TRUE),EXACT(Metadata!Z878,"not applicable")),AND(IF(Metadata!Z878="",FALSE,TRUE),OR(EXACT(Metadata!Z878,"beer"),EXACT(Metadata!Z878,"cheese"),EXACT(Metadata!Z878,"fresh water"),EXACT(Metadata!Z878,"marine sediment"),EXACT(Metadata!Z878,"sea water"),EXACT(Metadata!Z878,"sediment"),EXACT(Metadata!Z878,"soil"),EXACT(Metadata!Z878,"waste water"))))</f>
        <v>0</v>
      </c>
      <c r="BN878" t="b">
        <f>AND(IF(Metadata!AA878="",FALSE,TRUE),EXACT(Metadata!AA878,"metagenome"))</f>
        <v>0</v>
      </c>
      <c r="BO878" t="b">
        <f>AND(IF(Metadata!AB878="",FALSE,TRUE),EXACT(Metadata!AB878,"256318"))</f>
        <v>0</v>
      </c>
      <c r="BP878" t="b">
        <f>IF(Metadata!AC878="",FALSE,TRUE)</f>
        <v>0</v>
      </c>
      <c r="BQ878" t="b">
        <f>IF(Metadata!AD878="",FALSE,TRUE)</f>
        <v>0</v>
      </c>
    </row>
    <row r="879" spans="1:69" x14ac:dyDescent="0.2">
      <c r="A879" s="4" t="e">
        <f ca="1">IF(B879=" "," ",HYPERLINK(CONCATENATE("#metadata!",ADDRESS(INDEX($AJ$2:$AJ$1001,MATCH(ROWS($AH$2:AH879),$AH$2:$AH$1001,0),0),2)),INDEX($AM$2:$AM$1001,MATCH(ROWS($AH$2:AH879),$AH$2:$AH$1001,0),0)))</f>
        <v>#N/A</v>
      </c>
      <c r="B879" s="5" t="e">
        <f ca="1">IF(OR(INDEX($AI$2:$AI$1001,MATCH(ROWS($AH$2:AH879),$AH$2:$AH$1001,0),1)&gt;=100000,INDEX($AO$1005:$BQ$1005,1,MATCH(COLUMNS($AO$1006:AO1006),$AO$1006:$BQ$1006,0))&gt;=100000), " ",IF(INDEX($AO$2:$BQ$1001,MATCH(ROWS($AH$2:AH879),$AH$2:$AH$1001,0),MATCH(COLUMNS($AO$1006:AO1006),$AO$1006:$BQ$1006,0)), HYPERLINK("#",""), HYPERLINK(CONCATENATE("#Metadata!", ADDRESS(INDEX($AJ$2:$AJ$1001,MATCH(ROWS($AH$2:AH879),$AH$2:$AH$1001,0),0), INDEX($AO$1004:$BQ$1004,1,MATCH(COLUMNS($AO$1006:AO1006),$AO$1006:$BQ$1006,0)))),"Fix")))</f>
        <v>#N/A</v>
      </c>
      <c r="C879" s="5" t="e">
        <f ca="1">IF(OR(INDEX($AI$2:$AI$1001,MATCH(ROWS($AH$2:AH879),$AH$2:$AH$1001,0),1)&gt;=100000,INDEX($AO$1005:$BQ$1005,1,MATCH(COLUMNS($AO$1006:AP1006),$AO$1006:$BQ$1006,0))&gt;=100000), " ",IF(INDEX($AO$2:$BQ$1001,MATCH(ROWS($AH$2:AH879),$AH$2:$AH$1001,0),MATCH(COLUMNS($AO$1006:AP1006),$AO$1006:$BQ$1006,0)), HYPERLINK("#",""), HYPERLINK(CONCATENATE("#Metadata!", ADDRESS(INDEX($AJ$2:$AJ$1001,MATCH(ROWS($AH$2:AH879),$AH$2:$AH$1001,0),0), INDEX($AO$1004:$BQ$1004,1,MATCH(COLUMNS($AO$1006:AP1006),$AO$1006:$BQ$1006,0)))),"Fix")))</f>
        <v>#N/A</v>
      </c>
      <c r="D879" s="5" t="e">
        <f ca="1">IF(OR(INDEX($AI$2:$AI$1001,MATCH(ROWS($AH$2:AH879),$AH$2:$AH$1001,0),1)&gt;=100000,INDEX($AO$1005:$BQ$1005,1,MATCH(COLUMNS($AO$1006:AQ1006),$AO$1006:$BQ$1006,0))&gt;=100000), " ",IF(INDEX($AO$2:$BQ$1001,MATCH(ROWS($AH$2:AH879),$AH$2:$AH$1001,0),MATCH(COLUMNS($AO$1006:AQ1006),$AO$1006:$BQ$1006,0)), HYPERLINK("#",""), HYPERLINK(CONCATENATE("#Metadata!", ADDRESS(INDEX($AJ$2:$AJ$1001,MATCH(ROWS($AH$2:AH879),$AH$2:$AH$1001,0),0), INDEX($AO$1004:$BQ$1004,1,MATCH(COLUMNS($AO$1006:AQ1006),$AO$1006:$BQ$1006,0)))),"Fix")))</f>
        <v>#N/A</v>
      </c>
      <c r="E879" s="5" t="e">
        <f ca="1">IF(OR(INDEX($AI$2:$AI$1001,MATCH(ROWS($AH$2:AH879),$AH$2:$AH$1001,0),1)&gt;=100000,INDEX($AO$1005:$BQ$1005,1,MATCH(COLUMNS($AO$1006:AR1006),$AO$1006:$BQ$1006,0))&gt;=100000), " ",IF(INDEX($AO$2:$BQ$1001,MATCH(ROWS($AH$2:AH879),$AH$2:$AH$1001,0),MATCH(COLUMNS($AO$1006:AR1006),$AO$1006:$BQ$1006,0)), HYPERLINK("#",""), HYPERLINK(CONCATENATE("#Metadata!", ADDRESS(INDEX($AJ$2:$AJ$1001,MATCH(ROWS($AH$2:AH879),$AH$2:$AH$1001,0),0), INDEX($AO$1004:$BQ$1004,1,MATCH(COLUMNS($AO$1006:AR1006),$AO$1006:$BQ$1006,0)))),"Fix")))</f>
        <v>#N/A</v>
      </c>
      <c r="F879" s="5" t="e">
        <f ca="1">IF(OR(INDEX($AI$2:$AI$1001,MATCH(ROWS($AH$2:AH879),$AH$2:$AH$1001,0),1)&gt;=100000,INDEX($AO$1005:$BQ$1005,1,MATCH(COLUMNS($AO$1006:AS1006),$AO$1006:$BQ$1006,0))&gt;=100000), " ",IF(INDEX($AO$2:$BQ$1001,MATCH(ROWS($AH$2:AH879),$AH$2:$AH$1001,0),MATCH(COLUMNS($AO$1006:AS1006),$AO$1006:$BQ$1006,0)), HYPERLINK("#",""), HYPERLINK(CONCATENATE("#Metadata!", ADDRESS(INDEX($AJ$2:$AJ$1001,MATCH(ROWS($AH$2:AH879),$AH$2:$AH$1001,0),0), INDEX($AO$1004:$BQ$1004,1,MATCH(COLUMNS($AO$1006:AS1006),$AO$1006:$BQ$1006,0)))),"Fix")))</f>
        <v>#N/A</v>
      </c>
      <c r="G879" s="5" t="e">
        <f ca="1">IF(OR(INDEX($AI$2:$AI$1001,MATCH(ROWS($AH$2:AH879),$AH$2:$AH$1001,0),1)&gt;=100000,INDEX($AO$1005:$BQ$1005,1,MATCH(COLUMNS($AO$1006:AT1006),$AO$1006:$BQ$1006,0))&gt;=100000), " ",IF(INDEX($AO$2:$BQ$1001,MATCH(ROWS($AH$2:AH879),$AH$2:$AH$1001,0),MATCH(COLUMNS($AO$1006:AT1006),$AO$1006:$BQ$1006,0)), HYPERLINK("#",""), HYPERLINK(CONCATENATE("#Metadata!", ADDRESS(INDEX($AJ$2:$AJ$1001,MATCH(ROWS($AH$2:AH879),$AH$2:$AH$1001,0),0), INDEX($AO$1004:$BQ$1004,1,MATCH(COLUMNS($AO$1006:AT1006),$AO$1006:$BQ$1006,0)))),"Fix")))</f>
        <v>#N/A</v>
      </c>
      <c r="H879" s="5" t="e">
        <f ca="1">IF(OR(INDEX($AI$2:$AI$1001,MATCH(ROWS($AH$2:AH879),$AH$2:$AH$1001,0),1)&gt;=100000,INDEX($AO$1005:$BQ$1005,1,MATCH(COLUMNS($AO$1006:AU1006),$AO$1006:$BQ$1006,0))&gt;=100000), " ",IF(INDEX($AO$2:$BQ$1001,MATCH(ROWS($AH$2:AH879),$AH$2:$AH$1001,0),MATCH(COLUMNS($AO$1006:AU1006),$AO$1006:$BQ$1006,0)), HYPERLINK("#",""), HYPERLINK(CONCATENATE("#Metadata!", ADDRESS(INDEX($AJ$2:$AJ$1001,MATCH(ROWS($AH$2:AH879),$AH$2:$AH$1001,0),0), INDEX($AO$1004:$BQ$1004,1,MATCH(COLUMNS($AO$1006:AU1006),$AO$1006:$BQ$1006,0)))),"Fix")))</f>
        <v>#N/A</v>
      </c>
      <c r="I879" s="5" t="e">
        <f ca="1">IF(OR(INDEX($AI$2:$AI$1001,MATCH(ROWS($AH$2:AH879),$AH$2:$AH$1001,0),1)&gt;=100000,INDEX($AO$1005:$BQ$1005,1,MATCH(COLUMNS($AO$1006:AV1006),$AO$1006:$BQ$1006,0))&gt;=100000), " ",IF(INDEX($AO$2:$BQ$1001,MATCH(ROWS($AH$2:AH879),$AH$2:$AH$1001,0),MATCH(COLUMNS($AO$1006:AV1006),$AO$1006:$BQ$1006,0)), HYPERLINK("#",""), HYPERLINK(CONCATENATE("#Metadata!", ADDRESS(INDEX($AJ$2:$AJ$1001,MATCH(ROWS($AH$2:AH879),$AH$2:$AH$1001,0),0), INDEX($AO$1004:$BQ$1004,1,MATCH(COLUMNS($AO$1006:AV1006),$AO$1006:$BQ$1006,0)))),"Fix")))</f>
        <v>#N/A</v>
      </c>
      <c r="J879" s="5" t="e">
        <f ca="1">IF(OR(INDEX($AI$2:$AI$1001,MATCH(ROWS($AH$2:AH879),$AH$2:$AH$1001,0),1)&gt;=100000,INDEX($AO$1005:$BQ$1005,1,MATCH(COLUMNS($AO$1006:AW1006),$AO$1006:$BQ$1006,0))&gt;=100000), " ",IF(INDEX($AO$2:$BQ$1001,MATCH(ROWS($AH$2:AH879),$AH$2:$AH$1001,0),MATCH(COLUMNS($AO$1006:AW1006),$AO$1006:$BQ$1006,0)), HYPERLINK("#",""), HYPERLINK(CONCATENATE("#Metadata!", ADDRESS(INDEX($AJ$2:$AJ$1001,MATCH(ROWS($AH$2:AH879),$AH$2:$AH$1001,0),0), INDEX($AO$1004:$BQ$1004,1,MATCH(COLUMNS($AO$1006:AW1006),$AO$1006:$BQ$1006,0)))),"Fix")))</f>
        <v>#N/A</v>
      </c>
      <c r="K879" s="5" t="e">
        <f ca="1">IF(OR(INDEX($AI$2:$AI$1001,MATCH(ROWS($AH$2:AH879),$AH$2:$AH$1001,0),1)&gt;=100000,INDEX($AO$1005:$BQ$1005,1,MATCH(COLUMNS($AO$1006:AX1006),$AO$1006:$BQ$1006,0))&gt;=100000), " ",IF(INDEX($AO$2:$BQ$1001,MATCH(ROWS($AH$2:AH879),$AH$2:$AH$1001,0),MATCH(COLUMNS($AO$1006:AX1006),$AO$1006:$BQ$1006,0)), HYPERLINK("#",""), HYPERLINK(CONCATENATE("#Metadata!", ADDRESS(INDEX($AJ$2:$AJ$1001,MATCH(ROWS($AH$2:AH879),$AH$2:$AH$1001,0),0), INDEX($AO$1004:$BQ$1004,1,MATCH(COLUMNS($AO$1006:AX1006),$AO$1006:$BQ$1006,0)))),"Fix")))</f>
        <v>#N/A</v>
      </c>
      <c r="L879" s="5" t="e">
        <f ca="1">IF(OR(INDEX($AI$2:$AI$1001,MATCH(ROWS($AH$2:AH879),$AH$2:$AH$1001,0),1)&gt;=100000,INDEX($AO$1005:$BQ$1005,1,MATCH(COLUMNS($AO$1006:AY1006),$AO$1006:$BQ$1006,0))&gt;=100000), " ",IF(INDEX($AO$2:$BQ$1001,MATCH(ROWS($AH$2:AH879),$AH$2:$AH$1001,0),MATCH(COLUMNS($AO$1006:AY1006),$AO$1006:$BQ$1006,0)), HYPERLINK("#",""), HYPERLINK(CONCATENATE("#Metadata!", ADDRESS(INDEX($AJ$2:$AJ$1001,MATCH(ROWS($AH$2:AH879),$AH$2:$AH$1001,0),0), INDEX($AO$1004:$BQ$1004,1,MATCH(COLUMNS($AO$1006:AY1006),$AO$1006:$BQ$1006,0)))),"Fix")))</f>
        <v>#N/A</v>
      </c>
      <c r="M879" s="5" t="e">
        <f ca="1">IF(OR(INDEX($AI$2:$AI$1001,MATCH(ROWS($AH$2:AH879),$AH$2:$AH$1001,0),1)&gt;=100000,INDEX($AO$1005:$BQ$1005,1,MATCH(COLUMNS($AO$1006:AZ1006),$AO$1006:$BQ$1006,0))&gt;=100000), " ",IF(INDEX($AO$2:$BQ$1001,MATCH(ROWS($AH$2:AH879),$AH$2:$AH$1001,0),MATCH(COLUMNS($AO$1006:AZ1006),$AO$1006:$BQ$1006,0)), HYPERLINK("#",""), HYPERLINK(CONCATENATE("#Metadata!", ADDRESS(INDEX($AJ$2:$AJ$1001,MATCH(ROWS($AH$2:AH879),$AH$2:$AH$1001,0),0), INDEX($AO$1004:$BQ$1004,1,MATCH(COLUMNS($AO$1006:AZ1006),$AO$1006:$BQ$1006,0)))),"Fix")))</f>
        <v>#N/A</v>
      </c>
      <c r="N879" s="5" t="e">
        <f ca="1">IF(OR(INDEX($AI$2:$AI$1001,MATCH(ROWS($AH$2:AH879),$AH$2:$AH$1001,0),1)&gt;=100000,INDEX($AO$1005:$BQ$1005,1,MATCH(COLUMNS($AO$1006:BA1006),$AO$1006:$BQ$1006,0))&gt;=100000), " ",IF(INDEX($AO$2:$BQ$1001,MATCH(ROWS($AH$2:AH879),$AH$2:$AH$1001,0),MATCH(COLUMNS($AO$1006:BA1006),$AO$1006:$BQ$1006,0)), HYPERLINK("#",""), HYPERLINK(CONCATENATE("#Metadata!", ADDRESS(INDEX($AJ$2:$AJ$1001,MATCH(ROWS($AH$2:AH879),$AH$2:$AH$1001,0),0), INDEX($AO$1004:$BQ$1004,1,MATCH(COLUMNS($AO$1006:BA1006),$AO$1006:$BQ$1006,0)))),"Fix")))</f>
        <v>#N/A</v>
      </c>
      <c r="O879" s="5" t="e">
        <f ca="1">IF(OR(INDEX($AI$2:$AI$1001,MATCH(ROWS($AH$2:AH879),$AH$2:$AH$1001,0),1)&gt;=100000,INDEX($AO$1005:$BQ$1005,1,MATCH(COLUMNS($AO$1006:BB1006),$AO$1006:$BQ$1006,0))&gt;=100000), " ",IF(INDEX($AO$2:$BQ$1001,MATCH(ROWS($AH$2:AH879),$AH$2:$AH$1001,0),MATCH(COLUMNS($AO$1006:BB1006),$AO$1006:$BQ$1006,0)), HYPERLINK("#",""), HYPERLINK(CONCATENATE("#Metadata!", ADDRESS(INDEX($AJ$2:$AJ$1001,MATCH(ROWS($AH$2:AH879),$AH$2:$AH$1001,0),0), INDEX($AO$1004:$BQ$1004,1,MATCH(COLUMNS($AO$1006:BB1006),$AO$1006:$BQ$1006,0)))),"Fix")))</f>
        <v>#N/A</v>
      </c>
      <c r="P879" s="5" t="e">
        <f ca="1">IF(OR(INDEX($AI$2:$AI$1001,MATCH(ROWS($AH$2:AH879),$AH$2:$AH$1001,0),1)&gt;=100000,INDEX($AO$1005:$BQ$1005,1,MATCH(COLUMNS($AO$1006:BC1006),$AO$1006:$BQ$1006,0))&gt;=100000), " ",IF(INDEX($AO$2:$BQ$1001,MATCH(ROWS($AH$2:AH879),$AH$2:$AH$1001,0),MATCH(COLUMNS($AO$1006:BC1006),$AO$1006:$BQ$1006,0)), HYPERLINK("#",""), HYPERLINK(CONCATENATE("#Metadata!", ADDRESS(INDEX($AJ$2:$AJ$1001,MATCH(ROWS($AH$2:AH879),$AH$2:$AH$1001,0),0), INDEX($AO$1004:$BQ$1004,1,MATCH(COLUMNS($AO$1006:BC1006),$AO$1006:$BQ$1006,0)))),"Fix")))</f>
        <v>#N/A</v>
      </c>
      <c r="Q879" s="5" t="e">
        <f ca="1">IF(OR(INDEX($AI$2:$AI$1001,MATCH(ROWS($AH$2:AH879),$AH$2:$AH$1001,0),1)&gt;=100000,INDEX($AO$1005:$BQ$1005,1,MATCH(COLUMNS($AO$1006:BD1006),$AO$1006:$BQ$1006,0))&gt;=100000), " ",IF(INDEX($AO$2:$BQ$1001,MATCH(ROWS($AH$2:AH879),$AH$2:$AH$1001,0),MATCH(COLUMNS($AO$1006:BD1006),$AO$1006:$BQ$1006,0)), HYPERLINK("#",""), HYPERLINK(CONCATENATE("#Metadata!", ADDRESS(INDEX($AJ$2:$AJ$1001,MATCH(ROWS($AH$2:AH879),$AH$2:$AH$1001,0),0), INDEX($AO$1004:$BQ$1004,1,MATCH(COLUMNS($AO$1006:BD1006),$AO$1006:$BQ$1006,0)))),"Fix")))</f>
        <v>#N/A</v>
      </c>
      <c r="R879" s="5" t="e">
        <f ca="1">IF(OR(INDEX($AI$2:$AI$1001,MATCH(ROWS($AH$2:AH879),$AH$2:$AH$1001,0),1)&gt;=100000,INDEX($AO$1005:$BQ$1005,1,MATCH(COLUMNS($AO$1006:BE1006),$AO$1006:$BQ$1006,0))&gt;=100000), " ",IF(INDEX($AO$2:$BQ$1001,MATCH(ROWS($AH$2:AH879),$AH$2:$AH$1001,0),MATCH(COLUMNS($AO$1006:BE1006),$AO$1006:$BQ$1006,0)), HYPERLINK("#",""), HYPERLINK(CONCATENATE("#Metadata!", ADDRESS(INDEX($AJ$2:$AJ$1001,MATCH(ROWS($AH$2:AH879),$AH$2:$AH$1001,0),0), INDEX($AO$1004:$BQ$1004,1,MATCH(COLUMNS($AO$1006:BE1006),$AO$1006:$BQ$1006,0)))),"Fix")))</f>
        <v>#N/A</v>
      </c>
      <c r="S879" s="5" t="e">
        <f ca="1">IF(OR(INDEX($AI$2:$AI$1001,MATCH(ROWS($AH$2:AH879),$AH$2:$AH$1001,0),1)&gt;=100000,INDEX($AO$1005:$BQ$1005,1,MATCH(COLUMNS($AO$1006:BF1006),$AO$1006:$BQ$1006,0))&gt;=100000), " ",IF(INDEX($AO$2:$BQ$1001,MATCH(ROWS($AH$2:AH879),$AH$2:$AH$1001,0),MATCH(COLUMNS($AO$1006:BF1006),$AO$1006:$BQ$1006,0)), HYPERLINK("#",""), HYPERLINK(CONCATENATE("#Metadata!", ADDRESS(INDEX($AJ$2:$AJ$1001,MATCH(ROWS($AH$2:AH879),$AH$2:$AH$1001,0),0), INDEX($AO$1004:$BQ$1004,1,MATCH(COLUMNS($AO$1006:BF1006),$AO$1006:$BQ$1006,0)))),"Fix")))</f>
        <v>#N/A</v>
      </c>
      <c r="T879" s="5" t="e">
        <f ca="1">IF(OR(INDEX($AI$2:$AI$1001,MATCH(ROWS($AH$2:AH879),$AH$2:$AH$1001,0),1)&gt;=100000,INDEX($AO$1005:$BQ$1005,1,MATCH(COLUMNS($AO$1006:BG1006),$AO$1006:$BQ$1006,0))&gt;=100000), " ",IF(INDEX($AO$2:$BQ$1001,MATCH(ROWS($AH$2:AH879),$AH$2:$AH$1001,0),MATCH(COLUMNS($AO$1006:BG1006),$AO$1006:$BQ$1006,0)), HYPERLINK("#",""), HYPERLINK(CONCATENATE("#Metadata!", ADDRESS(INDEX($AJ$2:$AJ$1001,MATCH(ROWS($AH$2:AH879),$AH$2:$AH$1001,0),0), INDEX($AO$1004:$BQ$1004,1,MATCH(COLUMNS($AO$1006:BG1006),$AO$1006:$BQ$1006,0)))),"Fix")))</f>
        <v>#N/A</v>
      </c>
      <c r="U879" s="5" t="e">
        <f ca="1">IF(OR(INDEX($AI$2:$AI$1001,MATCH(ROWS($AH$2:AH879),$AH$2:$AH$1001,0),1)&gt;=100000,INDEX($AO$1005:$BQ$1005,1,MATCH(COLUMNS($AO$1006:BH1006),$AO$1006:$BQ$1006,0))&gt;=100000), " ",IF(INDEX($AO$2:$BQ$1001,MATCH(ROWS($AH$2:AH879),$AH$2:$AH$1001,0),MATCH(COLUMNS($AO$1006:BH1006),$AO$1006:$BQ$1006,0)), HYPERLINK("#",""), HYPERLINK(CONCATENATE("#Metadata!", ADDRESS(INDEX($AJ$2:$AJ$1001,MATCH(ROWS($AH$2:AH879),$AH$2:$AH$1001,0),0), INDEX($AO$1004:$BQ$1004,1,MATCH(COLUMNS($AO$1006:BH1006),$AO$1006:$BQ$1006,0)))),"Fix")))</f>
        <v>#N/A</v>
      </c>
      <c r="V879" s="5" t="e">
        <f ca="1">IF(OR(INDEX($AI$2:$AI$1001,MATCH(ROWS($AH$2:AH879),$AH$2:$AH$1001,0),1)&gt;=100000,INDEX($AO$1005:$BQ$1005,1,MATCH(COLUMNS($AO$1006:BI1006),$AO$1006:$BQ$1006,0))&gt;=100000), " ",IF(INDEX($AO$2:$BQ$1001,MATCH(ROWS($AH$2:AH879),$AH$2:$AH$1001,0),MATCH(COLUMNS($AO$1006:BI1006),$AO$1006:$BQ$1006,0)), HYPERLINK("#",""), HYPERLINK(CONCATENATE("#Metadata!", ADDRESS(INDEX($AJ$2:$AJ$1001,MATCH(ROWS($AH$2:AH879),$AH$2:$AH$1001,0),0), INDEX($AO$1004:$BQ$1004,1,MATCH(COLUMNS($AO$1006:BI1006),$AO$1006:$BQ$1006,0)))),"Fix")))</f>
        <v>#N/A</v>
      </c>
      <c r="W879" s="5" t="e">
        <f ca="1">IF(OR(INDEX($AI$2:$AI$1001,MATCH(ROWS($AH$2:AH879),$AH$2:$AH$1001,0),1)&gt;=100000,INDEX($AO$1005:$BQ$1005,1,MATCH(COLUMNS($AO$1006:BJ1006),$AO$1006:$BQ$1006,0))&gt;=100000), " ",IF(INDEX($AO$2:$BQ$1001,MATCH(ROWS($AH$2:AH879),$AH$2:$AH$1001,0),MATCH(COLUMNS($AO$1006:BJ1006),$AO$1006:$BQ$1006,0)), HYPERLINK("#",""), HYPERLINK(CONCATENATE("#Metadata!", ADDRESS(INDEX($AJ$2:$AJ$1001,MATCH(ROWS($AH$2:AH879),$AH$2:$AH$1001,0),0), INDEX($AO$1004:$BQ$1004,1,MATCH(COLUMNS($AO$1006:BJ1006),$AO$1006:$BQ$1006,0)))),"Fix")))</f>
        <v>#N/A</v>
      </c>
      <c r="X879" s="5" t="e">
        <f ca="1">IF(OR(INDEX($AI$2:$AI$1001,MATCH(ROWS($AH$2:AH879),$AH$2:$AH$1001,0),1)&gt;=100000,INDEX($AO$1005:$BQ$1005,1,MATCH(COLUMNS($AO$1006:BK1006),$AO$1006:$BQ$1006,0))&gt;=100000), " ",IF(INDEX($AO$2:$BQ$1001,MATCH(ROWS($AH$2:AH879),$AH$2:$AH$1001,0),MATCH(COLUMNS($AO$1006:BK1006),$AO$1006:$BQ$1006,0)), HYPERLINK("#",""), HYPERLINK(CONCATENATE("#Metadata!", ADDRESS(INDEX($AJ$2:$AJ$1001,MATCH(ROWS($AH$2:AH879),$AH$2:$AH$1001,0),0), INDEX($AO$1004:$BQ$1004,1,MATCH(COLUMNS($AO$1006:BK1006),$AO$1006:$BQ$1006,0)))),"Fix")))</f>
        <v>#N/A</v>
      </c>
      <c r="Y879" s="5" t="e">
        <f ca="1">IF(OR(INDEX($AI$2:$AI$1001,MATCH(ROWS($AH$2:AH879),$AH$2:$AH$1001,0),1)&gt;=100000,INDEX($AO$1005:$BQ$1005,1,MATCH(COLUMNS($AO$1006:BL1006),$AO$1006:$BQ$1006,0))&gt;=100000), " ",IF(INDEX($AO$2:$BQ$1001,MATCH(ROWS($AH$2:AH879),$AH$2:$AH$1001,0),MATCH(COLUMNS($AO$1006:BL1006),$AO$1006:$BQ$1006,0)), HYPERLINK("#",""), HYPERLINK(CONCATENATE("#Metadata!", ADDRESS(INDEX($AJ$2:$AJ$1001,MATCH(ROWS($AH$2:AH879),$AH$2:$AH$1001,0),0), INDEX($AO$1004:$BQ$1004,1,MATCH(COLUMNS($AO$1006:BL1006),$AO$1006:$BQ$1006,0)))),"Fix")))</f>
        <v>#N/A</v>
      </c>
      <c r="Z879" s="5" t="e">
        <f ca="1">IF(OR(INDEX($AI$2:$AI$1001,MATCH(ROWS($AH$2:AH879),$AH$2:$AH$1001,0),1)&gt;=100000,INDEX($AO$1005:$BQ$1005,1,MATCH(COLUMNS($AO$1006:BM1006),$AO$1006:$BQ$1006,0))&gt;=100000), " ",IF(INDEX($AO$2:$BQ$1001,MATCH(ROWS($AH$2:AH879),$AH$2:$AH$1001,0),MATCH(COLUMNS($AO$1006:BM1006),$AO$1006:$BQ$1006,0)), HYPERLINK("#",""), HYPERLINK(CONCATENATE("#Metadata!", ADDRESS(INDEX($AJ$2:$AJ$1001,MATCH(ROWS($AH$2:AH879),$AH$2:$AH$1001,0),0), INDEX($AO$1004:$BQ$1004,1,MATCH(COLUMNS($AO$1006:BM1006),$AO$1006:$BQ$1006,0)))),"Fix")))</f>
        <v>#N/A</v>
      </c>
      <c r="AA879" s="5" t="e">
        <f ca="1">IF(OR(INDEX($AI$2:$AI$1001,MATCH(ROWS($AH$2:AH879),$AH$2:$AH$1001,0),1)&gt;=100000,INDEX($AO$1005:$BQ$1005,1,MATCH(COLUMNS($AO$1006:BN1006),$AO$1006:$BQ$1006,0))&gt;=100000), " ",IF(INDEX($AO$2:$BQ$1001,MATCH(ROWS($AH$2:AH879),$AH$2:$AH$1001,0),MATCH(COLUMNS($AO$1006:BN1006),$AO$1006:$BQ$1006,0)), HYPERLINK("#",""), HYPERLINK(CONCATENATE("#Metadata!", ADDRESS(INDEX($AJ$2:$AJ$1001,MATCH(ROWS($AH$2:AH879),$AH$2:$AH$1001,0),0), INDEX($AO$1004:$BQ$1004,1,MATCH(COLUMNS($AO$1006:BN1006),$AO$1006:$BQ$1006,0)))),"Fix")))</f>
        <v>#N/A</v>
      </c>
      <c r="AB879" s="5" t="e">
        <f ca="1">IF(OR(INDEX($AI$2:$AI$1001,MATCH(ROWS($AH$2:AH879),$AH$2:$AH$1001,0),1)&gt;=100000,INDEX($AO$1005:$BQ$1005,1,MATCH(COLUMNS($AO$1006:BO1006),$AO$1006:$BQ$1006,0))&gt;=100000), " ",IF(INDEX($AO$2:$BQ$1001,MATCH(ROWS($AH$2:AH879),$AH$2:$AH$1001,0),MATCH(COLUMNS($AO$1006:BO1006),$AO$1006:$BQ$1006,0)), HYPERLINK("#",""), HYPERLINK(CONCATENATE("#Metadata!", ADDRESS(INDEX($AJ$2:$AJ$1001,MATCH(ROWS($AH$2:AH879),$AH$2:$AH$1001,0),0), INDEX($AO$1004:$BQ$1004,1,MATCH(COLUMNS($AO$1006:BO1006),$AO$1006:$BQ$1006,0)))),"Fix")))</f>
        <v>#N/A</v>
      </c>
      <c r="AC879" s="5" t="e">
        <f ca="1">IF(OR(INDEX($AI$2:$AI$1001,MATCH(ROWS($AH$2:AH879),$AH$2:$AH$1001,0),1)&gt;=100000,INDEX($AO$1005:$BQ$1005,1,MATCH(COLUMNS($AO$1006:BP1006),$AO$1006:$BQ$1006,0))&gt;=100000), " ",IF(INDEX($AO$2:$BQ$1001,MATCH(ROWS($AH$2:AH879),$AH$2:$AH$1001,0),MATCH(COLUMNS($AO$1006:BP1006),$AO$1006:$BQ$1006,0)), HYPERLINK("#",""), HYPERLINK(CONCATENATE("#Metadata!", ADDRESS(INDEX($AJ$2:$AJ$1001,MATCH(ROWS($AH$2:AH879),$AH$2:$AH$1001,0),0), INDEX($AO$1004:$BQ$1004,1,MATCH(COLUMNS($AO$1006:BP1006),$AO$1006:$BQ$1006,0)))),"Fix")))</f>
        <v>#N/A</v>
      </c>
      <c r="AD879" s="5" t="e">
        <f ca="1">IF(OR(INDEX($AI$2:$AI$1001,MATCH(ROWS($AH$2:AH879),$AH$2:$AH$1001,0),1)&gt;=100000,INDEX($AO$1005:$BQ$1005,1,MATCH(COLUMNS($AO$1006:BQ1006),$AO$1006:$BQ$1006,0))&gt;=100000), " ",IF(INDEX($AO$2:$BQ$1001,MATCH(ROWS($AH$2:AH879),$AH$2:$AH$1001,0),MATCH(COLUMNS($AO$1006:BQ1006),$AO$1006:$BQ$1006,0)), HYPERLINK("#",""), HYPERLINK(CONCATENATE("#Metadata!", ADDRESS(INDEX($AJ$2:$AJ$1001,MATCH(ROWS($AH$2:AH879),$AH$2:$AH$1001,0),0), INDEX($AO$1004:$BQ$1004,1,MATCH(COLUMNS($AO$1006:BQ1006),$AO$1006:$BQ$1006,0)))),"Fix")))</f>
        <v>#REF!</v>
      </c>
      <c r="AH879">
        <f ca="1"/>
        <v>876</v>
      </c>
      <c r="AI879">
        <v>100879</v>
      </c>
      <c r="AJ879">
        <v>879</v>
      </c>
      <c r="AK879" t="b">
        <f t="shared" si="13"/>
        <v>1</v>
      </c>
      <c r="AL879" t="b">
        <f>COUNTBLANK(Metadata!B879:AD879)=COLUMNS(Metadata!B879:AD879)</f>
        <v>1</v>
      </c>
      <c r="AM879" t="str">
        <v/>
      </c>
      <c r="AO879" t="b">
        <f ca="1">AND(IF(Metadata!B879="",FALSE,TRUE),COUNTIF(Metadata!B:B, Metadata!B879) = 1,NOT(ISERROR(SUMPRODUCT(SEARCH(MID(Metadata!B879,ROW(INDIRECT("1:"&amp;LEN(Metadata!B879))), 1),"0123456789abcdefghijklmnopqrstuvwxyzABCDEFGHIJKLMNOPQRSTUVWXYZ.")))))</f>
        <v>0</v>
      </c>
      <c r="AP879" t="b">
        <f>IF(Metadata!C879="",FALSE,TRUE)</f>
        <v>0</v>
      </c>
      <c r="AQ879" t="b">
        <f>IF(Metadata!D879="",FALSE,TRUE)</f>
        <v>0</v>
      </c>
      <c r="AR879" t="b">
        <f ca="1">OR(AND(IF(Metadata!E879="",FALSE,TRUE),OR(EXACT(Metadata!E879,"not collected"),EXACT(Metadata!E879,"not provided"),EXACT(Metadata!E879,"restricted access"))),AND(IF(Metadata!E879="",FALSE,TRUE),AND(AND(IFERROR(INT(LEFT(Metadata!E879,4))&gt;1900,FALSE),IFERROR(INT(LEFT(Metadata!E879,4))&lt;=YEAR(NOW()),FALSE)), OR(MID(Metadata!E879,5,1)="", AND(AND(MID(Metadata!E879,5,1)="-",IFERROR(INT(MID(Metadata!E879,6,1))&gt;=0,FALSE),IFERROR(INT(MID(Metadata!E879,6,1))&lt;=1,FALSE),NOT(MID(Metadata!E879,7,1)=""),IFERROR(INT(MID(Metadata!E879,6,2))&gt;=1,FALSE),IFERROR(INT(MID(Metadata!E879,6,2))&lt;=12,FALSE)), OR(MID(Metadata!E879,8,1)="", AND(AND(MID(Metadata!E879,8,1)="-",IFERROR(INT(MID(Metadata!E879,9,1))&gt;=0,FALSE),IFERROR(INT(MID(Metadata!E879,9,1))&lt;=3,FALSE),NOT(MID(Metadata!E879,10,1)=""),IFERROR(INT(MID(Metadata!E879,9,2))&gt;=1,FALSE),IFERROR(INT(MID(Metadata!E879,9,2))&lt;=31,FALSE)), OR(MID(Metadata!E879,11,1)="", AND(AND(MID(Metadata!E879,11,1)=" ",IFERROR(INT(MID(Metadata!E879,12,1))&gt;=0,FALSE),IFERROR(INT(MID(Metadata!E879,12,1))&lt;=2,FALSE),NOT(MID(Metadata!E879,13,1)=""),IFERROR(INT(MID(Metadata!E879,12,2))&gt;=0,FALSE),IFERROR(INT(MID(Metadata!E879,12,2))&lt;=23,FALSE)), OR(MID(Metadata!E879,14,1)="", AND(AND(MID(Metadata!E879,14,1)=":",IFERROR(INT(MID(Metadata!E879,15,1))&gt;=0,FALSE),IFERROR(INT(MID(Metadata!E879,15,1))&lt;=5,FALSE),NOT(MID(Metadata!E879,16,1)=""),IFERROR(INT(MID(Metadata!E879,15,2))&gt;=0,FALSE),IFERROR(INT(MID(Metadata!E879,15,2))&lt;=59,FALSE)), OR(MID(Metadata!E879,17,1)="", AND(AND(MID(Metadata!E879,17,1)=":",IFERROR(INT(MID(Metadata!E879,18,1))&gt;=0,FALSE),IFERROR(INT(MID(Metadata!E879,18,1))&lt;=5,FALSE),NOT(MID(Metadata!E879,19,1)=""),IFERROR(INT(MID(Metadata!E879,18,2))&gt;=0,FALSE),IFERROR(INT(MID(Metadata!E879,18,2))&lt;=59,FALSE)), LEN(Metadata!E879)&lt;=19)))))))))))))</f>
        <v>0</v>
      </c>
      <c r="AS879" t="b">
        <f>IF(Metadata!F879="",FALSE,TRUE)</f>
        <v>0</v>
      </c>
      <c r="AT879" t="b">
        <f>OR(AND(IF(Metadata!G879="",FALSE,TRUE),OR(EXACT(Metadata!G879,"not collected"),EXACT(Metadata!G879,"not provided"))),AND(IF(Metadata!G879="",FALSE,TRUE),OR(EXACT(Metadata!G879,"TRUE"),EXACT(Metadata!G879,"FALSE"))))</f>
        <v>0</v>
      </c>
      <c r="AU879" t="b">
        <f>OR(AND(IF(Metadata!H879="",FALSE,TRUE),OR(EXACT(Metadata!H879,"not collected"),EXACT(Metadata!H879,"not provided"),EXACT(Metadata!H879,"restricted access"))),AND(IF(Metadata!H879="",FALSE,ISNUMBER(VALUE(Metadata!H879))),Metadata!H879&gt;=-413))</f>
        <v>0</v>
      </c>
      <c r="AV879" t="b">
        <f>AND(IF(Metadata!I879="",FALSE,TRUE),EXACT(Metadata!I879,"meters"))</f>
        <v>0</v>
      </c>
      <c r="AW879" t="b">
        <f>AND(IF(Metadata!J879="",FALSE,TRUE),EXACT(Metadata!J879,"free-living"))</f>
        <v>0</v>
      </c>
      <c r="AX879" t="b">
        <f>AND(IF(Metadata!K879="",FALSE,TRUE),OR(EXACT(Metadata!K879,"saline"),EXACT(Metadata!K879,"non-saline")))</f>
        <v>0</v>
      </c>
      <c r="AY879" t="b">
        <f>AND(IF(Metadata!L879="",FALSE,TRUE),OR(EXACT(Metadata!L879,"sub-surface (non-saline)"),EXACT(Metadata!L879,"surface (non-saline)"),EXACT(Metadata!L879,"water (non-saline)"),EXACT(Metadata!L879,"soil (non-saline)"),EXACT(Metadata!L879,"aerosol (non-saline)"),EXACT(Metadata!L879,"sediment (non-saline)"),EXACT(Metadata!L879,"surface (saline)"),EXACT(Metadata!L879,"water (saline)"),EXACT(Metadata!L879,"hypersaline (saline)"),EXACT(Metadata!L879,"aerosol (saline)"),EXACT(Metadata!L879,"sediment (saline)")))</f>
        <v>0</v>
      </c>
      <c r="AZ879" t="b">
        <f>IF(Metadata!M879="",FALSE,TRUE)</f>
        <v>0</v>
      </c>
      <c r="BA879" t="b">
        <f>IF(Metadata!N879="",FALSE,TRUE)</f>
        <v>0</v>
      </c>
      <c r="BB879" t="b">
        <f>IF(Metadata!O879="",FALSE,TRUE)</f>
        <v>0</v>
      </c>
      <c r="BC879" t="b">
        <f>AND(IF(Metadata!P879="",FALSE,TRUE),OR(EXACT(Metadata!P879,"air"),EXACT(Metadata!P879,"microbial mat/biofilm"),EXACT(Metadata!P879,"misc environment"),EXACT(Metadata!P879,"sediment"),EXACT(Metadata!P879,"soil"),EXACT(Metadata!P879,"wastewater/sludge"),EXACT(Metadata!P879,"water")))</f>
        <v>0</v>
      </c>
      <c r="BD879" t="b">
        <f>IF(Metadata!Q879="",FALSE,TRUE)</f>
        <v>0</v>
      </c>
      <c r="BE879" t="b">
        <f>IF(Metadata!R879="",FALSE,TRUE)</f>
        <v>0</v>
      </c>
      <c r="BF879" t="b">
        <f>OR(AND(IF(Metadata!S879="",FALSE,TRUE),OR(EXACT(Metadata!S879,"not collected"),EXACT(Metadata!S879,"not provided"),EXACT(Metadata!S879,"restricted access"))),AND(IF(Metadata!S879="",FALSE,ISNUMBER(VALUE(Metadata!S879))),Metadata!S879&gt;=-90,Metadata!S879&lt;=90))</f>
        <v>0</v>
      </c>
      <c r="BG879" t="b">
        <f>AND(IF(Metadata!T879="",FALSE,TRUE),EXACT(Metadata!T879,"Decimal degrees"))</f>
        <v>0</v>
      </c>
      <c r="BH879" t="b">
        <f>OR(AND(IF(Metadata!U879="",FALSE,TRUE),OR(EXACT(Metadata!U879,"not applicable"),EXACT(Metadata!U879,"not collected"))),IF(Metadata!U879="",FALSE,TRUE))</f>
        <v>0</v>
      </c>
      <c r="BI879" t="b">
        <f>OR(AND(IF(Metadata!V879="",FALSE,TRUE),OR(EXACT(Metadata!V879,"not collected"),EXACT(Metadata!V879,"not provided"),EXACT(Metadata!V879,"restricted access"))),AND(IF(Metadata!V879="",FALSE,ISNUMBER(VALUE(Metadata!V879))),Metadata!V879&gt;=-180,Metadata!V879&lt;=180))</f>
        <v>0</v>
      </c>
      <c r="BJ879" t="b">
        <f>AND(IF(Metadata!W879="",FALSE,TRUE),EXACT(Metadata!W879,"Decimal degrees"))</f>
        <v>0</v>
      </c>
      <c r="BK879" t="b">
        <f>IF(Metadata!X879="",FALSE,TRUE)</f>
        <v>0</v>
      </c>
      <c r="BL879" t="b">
        <f>OR(AND(IF(Metadata!Y879="",FALSE,TRUE),OR(EXACT(Metadata!Y879,"not collected"),EXACT(Metadata!Y879,"not provided"),EXACT(Metadata!Y879,"restricted access"))),AND(IF(Metadata!Y879="",FALSE,TRUE),OR(EXACT(Metadata!Y879,"TRUE"),EXACT(Metadata!Y879,"FALSE"))))</f>
        <v>0</v>
      </c>
      <c r="BM879" t="b">
        <f>OR(AND(IF(Metadata!Z879="",FALSE,TRUE),EXACT(Metadata!Z879,"not applicable")),AND(IF(Metadata!Z879="",FALSE,TRUE),OR(EXACT(Metadata!Z879,"beer"),EXACT(Metadata!Z879,"cheese"),EXACT(Metadata!Z879,"fresh water"),EXACT(Metadata!Z879,"marine sediment"),EXACT(Metadata!Z879,"sea water"),EXACT(Metadata!Z879,"sediment"),EXACT(Metadata!Z879,"soil"),EXACT(Metadata!Z879,"waste water"))))</f>
        <v>0</v>
      </c>
      <c r="BN879" t="b">
        <f>AND(IF(Metadata!AA879="",FALSE,TRUE),EXACT(Metadata!AA879,"metagenome"))</f>
        <v>0</v>
      </c>
      <c r="BO879" t="b">
        <f>AND(IF(Metadata!AB879="",FALSE,TRUE),EXACT(Metadata!AB879,"256318"))</f>
        <v>0</v>
      </c>
      <c r="BP879" t="b">
        <f>IF(Metadata!AC879="",FALSE,TRUE)</f>
        <v>0</v>
      </c>
      <c r="BQ879" t="b">
        <f>IF(Metadata!AD879="",FALSE,TRUE)</f>
        <v>0</v>
      </c>
    </row>
    <row r="880" spans="1:69" x14ac:dyDescent="0.2">
      <c r="A880" s="4" t="e">
        <f ca="1">IF(B880=" "," ",HYPERLINK(CONCATENATE("#metadata!",ADDRESS(INDEX($AJ$2:$AJ$1001,MATCH(ROWS($AH$2:AH880),$AH$2:$AH$1001,0),0),2)),INDEX($AM$2:$AM$1001,MATCH(ROWS($AH$2:AH880),$AH$2:$AH$1001,0),0)))</f>
        <v>#N/A</v>
      </c>
      <c r="B880" s="5" t="e">
        <f ca="1">IF(OR(INDEX($AI$2:$AI$1001,MATCH(ROWS($AH$2:AH880),$AH$2:$AH$1001,0),1)&gt;=100000,INDEX($AO$1005:$BQ$1005,1,MATCH(COLUMNS($AO$1006:AO1006),$AO$1006:$BQ$1006,0))&gt;=100000), " ",IF(INDEX($AO$2:$BQ$1001,MATCH(ROWS($AH$2:AH880),$AH$2:$AH$1001,0),MATCH(COLUMNS($AO$1006:AO1006),$AO$1006:$BQ$1006,0)), HYPERLINK("#",""), HYPERLINK(CONCATENATE("#Metadata!", ADDRESS(INDEX($AJ$2:$AJ$1001,MATCH(ROWS($AH$2:AH880),$AH$2:$AH$1001,0),0), INDEX($AO$1004:$BQ$1004,1,MATCH(COLUMNS($AO$1006:AO1006),$AO$1006:$BQ$1006,0)))),"Fix")))</f>
        <v>#N/A</v>
      </c>
      <c r="C880" s="5" t="e">
        <f ca="1">IF(OR(INDEX($AI$2:$AI$1001,MATCH(ROWS($AH$2:AH880),$AH$2:$AH$1001,0),1)&gt;=100000,INDEX($AO$1005:$BQ$1005,1,MATCH(COLUMNS($AO$1006:AP1006),$AO$1006:$BQ$1006,0))&gt;=100000), " ",IF(INDEX($AO$2:$BQ$1001,MATCH(ROWS($AH$2:AH880),$AH$2:$AH$1001,0),MATCH(COLUMNS($AO$1006:AP1006),$AO$1006:$BQ$1006,0)), HYPERLINK("#",""), HYPERLINK(CONCATENATE("#Metadata!", ADDRESS(INDEX($AJ$2:$AJ$1001,MATCH(ROWS($AH$2:AH880),$AH$2:$AH$1001,0),0), INDEX($AO$1004:$BQ$1004,1,MATCH(COLUMNS($AO$1006:AP1006),$AO$1006:$BQ$1006,0)))),"Fix")))</f>
        <v>#N/A</v>
      </c>
      <c r="D880" s="5" t="e">
        <f ca="1">IF(OR(INDEX($AI$2:$AI$1001,MATCH(ROWS($AH$2:AH880),$AH$2:$AH$1001,0),1)&gt;=100000,INDEX($AO$1005:$BQ$1005,1,MATCH(COLUMNS($AO$1006:AQ1006),$AO$1006:$BQ$1006,0))&gt;=100000), " ",IF(INDEX($AO$2:$BQ$1001,MATCH(ROWS($AH$2:AH880),$AH$2:$AH$1001,0),MATCH(COLUMNS($AO$1006:AQ1006),$AO$1006:$BQ$1006,0)), HYPERLINK("#",""), HYPERLINK(CONCATENATE("#Metadata!", ADDRESS(INDEX($AJ$2:$AJ$1001,MATCH(ROWS($AH$2:AH880),$AH$2:$AH$1001,0),0), INDEX($AO$1004:$BQ$1004,1,MATCH(COLUMNS($AO$1006:AQ1006),$AO$1006:$BQ$1006,0)))),"Fix")))</f>
        <v>#N/A</v>
      </c>
      <c r="E880" s="5" t="e">
        <f ca="1">IF(OR(INDEX($AI$2:$AI$1001,MATCH(ROWS($AH$2:AH880),$AH$2:$AH$1001,0),1)&gt;=100000,INDEX($AO$1005:$BQ$1005,1,MATCH(COLUMNS($AO$1006:AR1006),$AO$1006:$BQ$1006,0))&gt;=100000), " ",IF(INDEX($AO$2:$BQ$1001,MATCH(ROWS($AH$2:AH880),$AH$2:$AH$1001,0),MATCH(COLUMNS($AO$1006:AR1006),$AO$1006:$BQ$1006,0)), HYPERLINK("#",""), HYPERLINK(CONCATENATE("#Metadata!", ADDRESS(INDEX($AJ$2:$AJ$1001,MATCH(ROWS($AH$2:AH880),$AH$2:$AH$1001,0),0), INDEX($AO$1004:$BQ$1004,1,MATCH(COLUMNS($AO$1006:AR1006),$AO$1006:$BQ$1006,0)))),"Fix")))</f>
        <v>#N/A</v>
      </c>
      <c r="F880" s="5" t="e">
        <f ca="1">IF(OR(INDEX($AI$2:$AI$1001,MATCH(ROWS($AH$2:AH880),$AH$2:$AH$1001,0),1)&gt;=100000,INDEX($AO$1005:$BQ$1005,1,MATCH(COLUMNS($AO$1006:AS1006),$AO$1006:$BQ$1006,0))&gt;=100000), " ",IF(INDEX($AO$2:$BQ$1001,MATCH(ROWS($AH$2:AH880),$AH$2:$AH$1001,0),MATCH(COLUMNS($AO$1006:AS1006),$AO$1006:$BQ$1006,0)), HYPERLINK("#",""), HYPERLINK(CONCATENATE("#Metadata!", ADDRESS(INDEX($AJ$2:$AJ$1001,MATCH(ROWS($AH$2:AH880),$AH$2:$AH$1001,0),0), INDEX($AO$1004:$BQ$1004,1,MATCH(COLUMNS($AO$1006:AS1006),$AO$1006:$BQ$1006,0)))),"Fix")))</f>
        <v>#N/A</v>
      </c>
      <c r="G880" s="5" t="e">
        <f ca="1">IF(OR(INDEX($AI$2:$AI$1001,MATCH(ROWS($AH$2:AH880),$AH$2:$AH$1001,0),1)&gt;=100000,INDEX($AO$1005:$BQ$1005,1,MATCH(COLUMNS($AO$1006:AT1006),$AO$1006:$BQ$1006,0))&gt;=100000), " ",IF(INDEX($AO$2:$BQ$1001,MATCH(ROWS($AH$2:AH880),$AH$2:$AH$1001,0),MATCH(COLUMNS($AO$1006:AT1006),$AO$1006:$BQ$1006,0)), HYPERLINK("#",""), HYPERLINK(CONCATENATE("#Metadata!", ADDRESS(INDEX($AJ$2:$AJ$1001,MATCH(ROWS($AH$2:AH880),$AH$2:$AH$1001,0),0), INDEX($AO$1004:$BQ$1004,1,MATCH(COLUMNS($AO$1006:AT1006),$AO$1006:$BQ$1006,0)))),"Fix")))</f>
        <v>#N/A</v>
      </c>
      <c r="H880" s="5" t="e">
        <f ca="1">IF(OR(INDEX($AI$2:$AI$1001,MATCH(ROWS($AH$2:AH880),$AH$2:$AH$1001,0),1)&gt;=100000,INDEX($AO$1005:$BQ$1005,1,MATCH(COLUMNS($AO$1006:AU1006),$AO$1006:$BQ$1006,0))&gt;=100000), " ",IF(INDEX($AO$2:$BQ$1001,MATCH(ROWS($AH$2:AH880),$AH$2:$AH$1001,0),MATCH(COLUMNS($AO$1006:AU1006),$AO$1006:$BQ$1006,0)), HYPERLINK("#",""), HYPERLINK(CONCATENATE("#Metadata!", ADDRESS(INDEX($AJ$2:$AJ$1001,MATCH(ROWS($AH$2:AH880),$AH$2:$AH$1001,0),0), INDEX($AO$1004:$BQ$1004,1,MATCH(COLUMNS($AO$1006:AU1006),$AO$1006:$BQ$1006,0)))),"Fix")))</f>
        <v>#N/A</v>
      </c>
      <c r="I880" s="5" t="e">
        <f ca="1">IF(OR(INDEX($AI$2:$AI$1001,MATCH(ROWS($AH$2:AH880),$AH$2:$AH$1001,0),1)&gt;=100000,INDEX($AO$1005:$BQ$1005,1,MATCH(COLUMNS($AO$1006:AV1006),$AO$1006:$BQ$1006,0))&gt;=100000), " ",IF(INDEX($AO$2:$BQ$1001,MATCH(ROWS($AH$2:AH880),$AH$2:$AH$1001,0),MATCH(COLUMNS($AO$1006:AV1006),$AO$1006:$BQ$1006,0)), HYPERLINK("#",""), HYPERLINK(CONCATENATE("#Metadata!", ADDRESS(INDEX($AJ$2:$AJ$1001,MATCH(ROWS($AH$2:AH880),$AH$2:$AH$1001,0),0), INDEX($AO$1004:$BQ$1004,1,MATCH(COLUMNS($AO$1006:AV1006),$AO$1006:$BQ$1006,0)))),"Fix")))</f>
        <v>#N/A</v>
      </c>
      <c r="J880" s="5" t="e">
        <f ca="1">IF(OR(INDEX($AI$2:$AI$1001,MATCH(ROWS($AH$2:AH880),$AH$2:$AH$1001,0),1)&gt;=100000,INDEX($AO$1005:$BQ$1005,1,MATCH(COLUMNS($AO$1006:AW1006),$AO$1006:$BQ$1006,0))&gt;=100000), " ",IF(INDEX($AO$2:$BQ$1001,MATCH(ROWS($AH$2:AH880),$AH$2:$AH$1001,0),MATCH(COLUMNS($AO$1006:AW1006),$AO$1006:$BQ$1006,0)), HYPERLINK("#",""), HYPERLINK(CONCATENATE("#Metadata!", ADDRESS(INDEX($AJ$2:$AJ$1001,MATCH(ROWS($AH$2:AH880),$AH$2:$AH$1001,0),0), INDEX($AO$1004:$BQ$1004,1,MATCH(COLUMNS($AO$1006:AW1006),$AO$1006:$BQ$1006,0)))),"Fix")))</f>
        <v>#N/A</v>
      </c>
      <c r="K880" s="5" t="e">
        <f ca="1">IF(OR(INDEX($AI$2:$AI$1001,MATCH(ROWS($AH$2:AH880),$AH$2:$AH$1001,0),1)&gt;=100000,INDEX($AO$1005:$BQ$1005,1,MATCH(COLUMNS($AO$1006:AX1006),$AO$1006:$BQ$1006,0))&gt;=100000), " ",IF(INDEX($AO$2:$BQ$1001,MATCH(ROWS($AH$2:AH880),$AH$2:$AH$1001,0),MATCH(COLUMNS($AO$1006:AX1006),$AO$1006:$BQ$1006,0)), HYPERLINK("#",""), HYPERLINK(CONCATENATE("#Metadata!", ADDRESS(INDEX($AJ$2:$AJ$1001,MATCH(ROWS($AH$2:AH880),$AH$2:$AH$1001,0),0), INDEX($AO$1004:$BQ$1004,1,MATCH(COLUMNS($AO$1006:AX1006),$AO$1006:$BQ$1006,0)))),"Fix")))</f>
        <v>#N/A</v>
      </c>
      <c r="L880" s="5" t="e">
        <f ca="1">IF(OR(INDEX($AI$2:$AI$1001,MATCH(ROWS($AH$2:AH880),$AH$2:$AH$1001,0),1)&gt;=100000,INDEX($AO$1005:$BQ$1005,1,MATCH(COLUMNS($AO$1006:AY1006),$AO$1006:$BQ$1006,0))&gt;=100000), " ",IF(INDEX($AO$2:$BQ$1001,MATCH(ROWS($AH$2:AH880),$AH$2:$AH$1001,0),MATCH(COLUMNS($AO$1006:AY1006),$AO$1006:$BQ$1006,0)), HYPERLINK("#",""), HYPERLINK(CONCATENATE("#Metadata!", ADDRESS(INDEX($AJ$2:$AJ$1001,MATCH(ROWS($AH$2:AH880),$AH$2:$AH$1001,0),0), INDEX($AO$1004:$BQ$1004,1,MATCH(COLUMNS($AO$1006:AY1006),$AO$1006:$BQ$1006,0)))),"Fix")))</f>
        <v>#N/A</v>
      </c>
      <c r="M880" s="5" t="e">
        <f ca="1">IF(OR(INDEX($AI$2:$AI$1001,MATCH(ROWS($AH$2:AH880),$AH$2:$AH$1001,0),1)&gt;=100000,INDEX($AO$1005:$BQ$1005,1,MATCH(COLUMNS($AO$1006:AZ1006),$AO$1006:$BQ$1006,0))&gt;=100000), " ",IF(INDEX($AO$2:$BQ$1001,MATCH(ROWS($AH$2:AH880),$AH$2:$AH$1001,0),MATCH(COLUMNS($AO$1006:AZ1006),$AO$1006:$BQ$1006,0)), HYPERLINK("#",""), HYPERLINK(CONCATENATE("#Metadata!", ADDRESS(INDEX($AJ$2:$AJ$1001,MATCH(ROWS($AH$2:AH880),$AH$2:$AH$1001,0),0), INDEX($AO$1004:$BQ$1004,1,MATCH(COLUMNS($AO$1006:AZ1006),$AO$1006:$BQ$1006,0)))),"Fix")))</f>
        <v>#N/A</v>
      </c>
      <c r="N880" s="5" t="e">
        <f ca="1">IF(OR(INDEX($AI$2:$AI$1001,MATCH(ROWS($AH$2:AH880),$AH$2:$AH$1001,0),1)&gt;=100000,INDEX($AO$1005:$BQ$1005,1,MATCH(COLUMNS($AO$1006:BA1006),$AO$1006:$BQ$1006,0))&gt;=100000), " ",IF(INDEX($AO$2:$BQ$1001,MATCH(ROWS($AH$2:AH880),$AH$2:$AH$1001,0),MATCH(COLUMNS($AO$1006:BA1006),$AO$1006:$BQ$1006,0)), HYPERLINK("#",""), HYPERLINK(CONCATENATE("#Metadata!", ADDRESS(INDEX($AJ$2:$AJ$1001,MATCH(ROWS($AH$2:AH880),$AH$2:$AH$1001,0),0), INDEX($AO$1004:$BQ$1004,1,MATCH(COLUMNS($AO$1006:BA1006),$AO$1006:$BQ$1006,0)))),"Fix")))</f>
        <v>#N/A</v>
      </c>
      <c r="O880" s="5" t="e">
        <f ca="1">IF(OR(INDEX($AI$2:$AI$1001,MATCH(ROWS($AH$2:AH880),$AH$2:$AH$1001,0),1)&gt;=100000,INDEX($AO$1005:$BQ$1005,1,MATCH(COLUMNS($AO$1006:BB1006),$AO$1006:$BQ$1006,0))&gt;=100000), " ",IF(INDEX($AO$2:$BQ$1001,MATCH(ROWS($AH$2:AH880),$AH$2:$AH$1001,0),MATCH(COLUMNS($AO$1006:BB1006),$AO$1006:$BQ$1006,0)), HYPERLINK("#",""), HYPERLINK(CONCATENATE("#Metadata!", ADDRESS(INDEX($AJ$2:$AJ$1001,MATCH(ROWS($AH$2:AH880),$AH$2:$AH$1001,0),0), INDEX($AO$1004:$BQ$1004,1,MATCH(COLUMNS($AO$1006:BB1006),$AO$1006:$BQ$1006,0)))),"Fix")))</f>
        <v>#N/A</v>
      </c>
      <c r="P880" s="5" t="e">
        <f ca="1">IF(OR(INDEX($AI$2:$AI$1001,MATCH(ROWS($AH$2:AH880),$AH$2:$AH$1001,0),1)&gt;=100000,INDEX($AO$1005:$BQ$1005,1,MATCH(COLUMNS($AO$1006:BC1006),$AO$1006:$BQ$1006,0))&gt;=100000), " ",IF(INDEX($AO$2:$BQ$1001,MATCH(ROWS($AH$2:AH880),$AH$2:$AH$1001,0),MATCH(COLUMNS($AO$1006:BC1006),$AO$1006:$BQ$1006,0)), HYPERLINK("#",""), HYPERLINK(CONCATENATE("#Metadata!", ADDRESS(INDEX($AJ$2:$AJ$1001,MATCH(ROWS($AH$2:AH880),$AH$2:$AH$1001,0),0), INDEX($AO$1004:$BQ$1004,1,MATCH(COLUMNS($AO$1006:BC1006),$AO$1006:$BQ$1006,0)))),"Fix")))</f>
        <v>#N/A</v>
      </c>
      <c r="Q880" s="5" t="e">
        <f ca="1">IF(OR(INDEX($AI$2:$AI$1001,MATCH(ROWS($AH$2:AH880),$AH$2:$AH$1001,0),1)&gt;=100000,INDEX($AO$1005:$BQ$1005,1,MATCH(COLUMNS($AO$1006:BD1006),$AO$1006:$BQ$1006,0))&gt;=100000), " ",IF(INDEX($AO$2:$BQ$1001,MATCH(ROWS($AH$2:AH880),$AH$2:$AH$1001,0),MATCH(COLUMNS($AO$1006:BD1006),$AO$1006:$BQ$1006,0)), HYPERLINK("#",""), HYPERLINK(CONCATENATE("#Metadata!", ADDRESS(INDEX($AJ$2:$AJ$1001,MATCH(ROWS($AH$2:AH880),$AH$2:$AH$1001,0),0), INDEX($AO$1004:$BQ$1004,1,MATCH(COLUMNS($AO$1006:BD1006),$AO$1006:$BQ$1006,0)))),"Fix")))</f>
        <v>#N/A</v>
      </c>
      <c r="R880" s="5" t="e">
        <f ca="1">IF(OR(INDEX($AI$2:$AI$1001,MATCH(ROWS($AH$2:AH880),$AH$2:$AH$1001,0),1)&gt;=100000,INDEX($AO$1005:$BQ$1005,1,MATCH(COLUMNS($AO$1006:BE1006),$AO$1006:$BQ$1006,0))&gt;=100000), " ",IF(INDEX($AO$2:$BQ$1001,MATCH(ROWS($AH$2:AH880),$AH$2:$AH$1001,0),MATCH(COLUMNS($AO$1006:BE1006),$AO$1006:$BQ$1006,0)), HYPERLINK("#",""), HYPERLINK(CONCATENATE("#Metadata!", ADDRESS(INDEX($AJ$2:$AJ$1001,MATCH(ROWS($AH$2:AH880),$AH$2:$AH$1001,0),0), INDEX($AO$1004:$BQ$1004,1,MATCH(COLUMNS($AO$1006:BE1006),$AO$1006:$BQ$1006,0)))),"Fix")))</f>
        <v>#N/A</v>
      </c>
      <c r="S880" s="5" t="e">
        <f ca="1">IF(OR(INDEX($AI$2:$AI$1001,MATCH(ROWS($AH$2:AH880),$AH$2:$AH$1001,0),1)&gt;=100000,INDEX($AO$1005:$BQ$1005,1,MATCH(COLUMNS($AO$1006:BF1006),$AO$1006:$BQ$1006,0))&gt;=100000), " ",IF(INDEX($AO$2:$BQ$1001,MATCH(ROWS($AH$2:AH880),$AH$2:$AH$1001,0),MATCH(COLUMNS($AO$1006:BF1006),$AO$1006:$BQ$1006,0)), HYPERLINK("#",""), HYPERLINK(CONCATENATE("#Metadata!", ADDRESS(INDEX($AJ$2:$AJ$1001,MATCH(ROWS($AH$2:AH880),$AH$2:$AH$1001,0),0), INDEX($AO$1004:$BQ$1004,1,MATCH(COLUMNS($AO$1006:BF1006),$AO$1006:$BQ$1006,0)))),"Fix")))</f>
        <v>#N/A</v>
      </c>
      <c r="T880" s="5" t="e">
        <f ca="1">IF(OR(INDEX($AI$2:$AI$1001,MATCH(ROWS($AH$2:AH880),$AH$2:$AH$1001,0),1)&gt;=100000,INDEX($AO$1005:$BQ$1005,1,MATCH(COLUMNS($AO$1006:BG1006),$AO$1006:$BQ$1006,0))&gt;=100000), " ",IF(INDEX($AO$2:$BQ$1001,MATCH(ROWS($AH$2:AH880),$AH$2:$AH$1001,0),MATCH(COLUMNS($AO$1006:BG1006),$AO$1006:$BQ$1006,0)), HYPERLINK("#",""), HYPERLINK(CONCATENATE("#Metadata!", ADDRESS(INDEX($AJ$2:$AJ$1001,MATCH(ROWS($AH$2:AH880),$AH$2:$AH$1001,0),0), INDEX($AO$1004:$BQ$1004,1,MATCH(COLUMNS($AO$1006:BG1006),$AO$1006:$BQ$1006,0)))),"Fix")))</f>
        <v>#N/A</v>
      </c>
      <c r="U880" s="5" t="e">
        <f ca="1">IF(OR(INDEX($AI$2:$AI$1001,MATCH(ROWS($AH$2:AH880),$AH$2:$AH$1001,0),1)&gt;=100000,INDEX($AO$1005:$BQ$1005,1,MATCH(COLUMNS($AO$1006:BH1006),$AO$1006:$BQ$1006,0))&gt;=100000), " ",IF(INDEX($AO$2:$BQ$1001,MATCH(ROWS($AH$2:AH880),$AH$2:$AH$1001,0),MATCH(COLUMNS($AO$1006:BH1006),$AO$1006:$BQ$1006,0)), HYPERLINK("#",""), HYPERLINK(CONCATENATE("#Metadata!", ADDRESS(INDEX($AJ$2:$AJ$1001,MATCH(ROWS($AH$2:AH880),$AH$2:$AH$1001,0),0), INDEX($AO$1004:$BQ$1004,1,MATCH(COLUMNS($AO$1006:BH1006),$AO$1006:$BQ$1006,0)))),"Fix")))</f>
        <v>#N/A</v>
      </c>
      <c r="V880" s="5" t="e">
        <f ca="1">IF(OR(INDEX($AI$2:$AI$1001,MATCH(ROWS($AH$2:AH880),$AH$2:$AH$1001,0),1)&gt;=100000,INDEX($AO$1005:$BQ$1005,1,MATCH(COLUMNS($AO$1006:BI1006),$AO$1006:$BQ$1006,0))&gt;=100000), " ",IF(INDEX($AO$2:$BQ$1001,MATCH(ROWS($AH$2:AH880),$AH$2:$AH$1001,0),MATCH(COLUMNS($AO$1006:BI1006),$AO$1006:$BQ$1006,0)), HYPERLINK("#",""), HYPERLINK(CONCATENATE("#Metadata!", ADDRESS(INDEX($AJ$2:$AJ$1001,MATCH(ROWS($AH$2:AH880),$AH$2:$AH$1001,0),0), INDEX($AO$1004:$BQ$1004,1,MATCH(COLUMNS($AO$1006:BI1006),$AO$1006:$BQ$1006,0)))),"Fix")))</f>
        <v>#N/A</v>
      </c>
      <c r="W880" s="5" t="e">
        <f ca="1">IF(OR(INDEX($AI$2:$AI$1001,MATCH(ROWS($AH$2:AH880),$AH$2:$AH$1001,0),1)&gt;=100000,INDEX($AO$1005:$BQ$1005,1,MATCH(COLUMNS($AO$1006:BJ1006),$AO$1006:$BQ$1006,0))&gt;=100000), " ",IF(INDEX($AO$2:$BQ$1001,MATCH(ROWS($AH$2:AH880),$AH$2:$AH$1001,0),MATCH(COLUMNS($AO$1006:BJ1006),$AO$1006:$BQ$1006,0)), HYPERLINK("#",""), HYPERLINK(CONCATENATE("#Metadata!", ADDRESS(INDEX($AJ$2:$AJ$1001,MATCH(ROWS($AH$2:AH880),$AH$2:$AH$1001,0),0), INDEX($AO$1004:$BQ$1004,1,MATCH(COLUMNS($AO$1006:BJ1006),$AO$1006:$BQ$1006,0)))),"Fix")))</f>
        <v>#N/A</v>
      </c>
      <c r="X880" s="5" t="e">
        <f ca="1">IF(OR(INDEX($AI$2:$AI$1001,MATCH(ROWS($AH$2:AH880),$AH$2:$AH$1001,0),1)&gt;=100000,INDEX($AO$1005:$BQ$1005,1,MATCH(COLUMNS($AO$1006:BK1006),$AO$1006:$BQ$1006,0))&gt;=100000), " ",IF(INDEX($AO$2:$BQ$1001,MATCH(ROWS($AH$2:AH880),$AH$2:$AH$1001,0),MATCH(COLUMNS($AO$1006:BK1006),$AO$1006:$BQ$1006,0)), HYPERLINK("#",""), HYPERLINK(CONCATENATE("#Metadata!", ADDRESS(INDEX($AJ$2:$AJ$1001,MATCH(ROWS($AH$2:AH880),$AH$2:$AH$1001,0),0), INDEX($AO$1004:$BQ$1004,1,MATCH(COLUMNS($AO$1006:BK1006),$AO$1006:$BQ$1006,0)))),"Fix")))</f>
        <v>#N/A</v>
      </c>
      <c r="Y880" s="5" t="e">
        <f ca="1">IF(OR(INDEX($AI$2:$AI$1001,MATCH(ROWS($AH$2:AH880),$AH$2:$AH$1001,0),1)&gt;=100000,INDEX($AO$1005:$BQ$1005,1,MATCH(COLUMNS($AO$1006:BL1006),$AO$1006:$BQ$1006,0))&gt;=100000), " ",IF(INDEX($AO$2:$BQ$1001,MATCH(ROWS($AH$2:AH880),$AH$2:$AH$1001,0),MATCH(COLUMNS($AO$1006:BL1006),$AO$1006:$BQ$1006,0)), HYPERLINK("#",""), HYPERLINK(CONCATENATE("#Metadata!", ADDRESS(INDEX($AJ$2:$AJ$1001,MATCH(ROWS($AH$2:AH880),$AH$2:$AH$1001,0),0), INDEX($AO$1004:$BQ$1004,1,MATCH(COLUMNS($AO$1006:BL1006),$AO$1006:$BQ$1006,0)))),"Fix")))</f>
        <v>#N/A</v>
      </c>
      <c r="Z880" s="5" t="e">
        <f ca="1">IF(OR(INDEX($AI$2:$AI$1001,MATCH(ROWS($AH$2:AH880),$AH$2:$AH$1001,0),1)&gt;=100000,INDEX($AO$1005:$BQ$1005,1,MATCH(COLUMNS($AO$1006:BM1006),$AO$1006:$BQ$1006,0))&gt;=100000), " ",IF(INDEX($AO$2:$BQ$1001,MATCH(ROWS($AH$2:AH880),$AH$2:$AH$1001,0),MATCH(COLUMNS($AO$1006:BM1006),$AO$1006:$BQ$1006,0)), HYPERLINK("#",""), HYPERLINK(CONCATENATE("#Metadata!", ADDRESS(INDEX($AJ$2:$AJ$1001,MATCH(ROWS($AH$2:AH880),$AH$2:$AH$1001,0),0), INDEX($AO$1004:$BQ$1004,1,MATCH(COLUMNS($AO$1006:BM1006),$AO$1006:$BQ$1006,0)))),"Fix")))</f>
        <v>#N/A</v>
      </c>
      <c r="AA880" s="5" t="e">
        <f ca="1">IF(OR(INDEX($AI$2:$AI$1001,MATCH(ROWS($AH$2:AH880),$AH$2:$AH$1001,0),1)&gt;=100000,INDEX($AO$1005:$BQ$1005,1,MATCH(COLUMNS($AO$1006:BN1006),$AO$1006:$BQ$1006,0))&gt;=100000), " ",IF(INDEX($AO$2:$BQ$1001,MATCH(ROWS($AH$2:AH880),$AH$2:$AH$1001,0),MATCH(COLUMNS($AO$1006:BN1006),$AO$1006:$BQ$1006,0)), HYPERLINK("#",""), HYPERLINK(CONCATENATE("#Metadata!", ADDRESS(INDEX($AJ$2:$AJ$1001,MATCH(ROWS($AH$2:AH880),$AH$2:$AH$1001,0),0), INDEX($AO$1004:$BQ$1004,1,MATCH(COLUMNS($AO$1006:BN1006),$AO$1006:$BQ$1006,0)))),"Fix")))</f>
        <v>#N/A</v>
      </c>
      <c r="AB880" s="5" t="e">
        <f ca="1">IF(OR(INDEX($AI$2:$AI$1001,MATCH(ROWS($AH$2:AH880),$AH$2:$AH$1001,0),1)&gt;=100000,INDEX($AO$1005:$BQ$1005,1,MATCH(COLUMNS($AO$1006:BO1006),$AO$1006:$BQ$1006,0))&gt;=100000), " ",IF(INDEX($AO$2:$BQ$1001,MATCH(ROWS($AH$2:AH880),$AH$2:$AH$1001,0),MATCH(COLUMNS($AO$1006:BO1006),$AO$1006:$BQ$1006,0)), HYPERLINK("#",""), HYPERLINK(CONCATENATE("#Metadata!", ADDRESS(INDEX($AJ$2:$AJ$1001,MATCH(ROWS($AH$2:AH880),$AH$2:$AH$1001,0),0), INDEX($AO$1004:$BQ$1004,1,MATCH(COLUMNS($AO$1006:BO1006),$AO$1006:$BQ$1006,0)))),"Fix")))</f>
        <v>#N/A</v>
      </c>
      <c r="AC880" s="5" t="e">
        <f ca="1">IF(OR(INDEX($AI$2:$AI$1001,MATCH(ROWS($AH$2:AH880),$AH$2:$AH$1001,0),1)&gt;=100000,INDEX($AO$1005:$BQ$1005,1,MATCH(COLUMNS($AO$1006:BP1006),$AO$1006:$BQ$1006,0))&gt;=100000), " ",IF(INDEX($AO$2:$BQ$1001,MATCH(ROWS($AH$2:AH880),$AH$2:$AH$1001,0),MATCH(COLUMNS($AO$1006:BP1006),$AO$1006:$BQ$1006,0)), HYPERLINK("#",""), HYPERLINK(CONCATENATE("#Metadata!", ADDRESS(INDEX($AJ$2:$AJ$1001,MATCH(ROWS($AH$2:AH880),$AH$2:$AH$1001,0),0), INDEX($AO$1004:$BQ$1004,1,MATCH(COLUMNS($AO$1006:BP1006),$AO$1006:$BQ$1006,0)))),"Fix")))</f>
        <v>#N/A</v>
      </c>
      <c r="AD880" s="5" t="e">
        <f ca="1">IF(OR(INDEX($AI$2:$AI$1001,MATCH(ROWS($AH$2:AH880),$AH$2:$AH$1001,0),1)&gt;=100000,INDEX($AO$1005:$BQ$1005,1,MATCH(COLUMNS($AO$1006:BQ1006),$AO$1006:$BQ$1006,0))&gt;=100000), " ",IF(INDEX($AO$2:$BQ$1001,MATCH(ROWS($AH$2:AH880),$AH$2:$AH$1001,0),MATCH(COLUMNS($AO$1006:BQ1006),$AO$1006:$BQ$1006,0)), HYPERLINK("#",""), HYPERLINK(CONCATENATE("#Metadata!", ADDRESS(INDEX($AJ$2:$AJ$1001,MATCH(ROWS($AH$2:AH880),$AH$2:$AH$1001,0),0), INDEX($AO$1004:$BQ$1004,1,MATCH(COLUMNS($AO$1006:BQ1006),$AO$1006:$BQ$1006,0)))),"Fix")))</f>
        <v>#REF!</v>
      </c>
      <c r="AH880">
        <f ca="1"/>
        <v>877</v>
      </c>
      <c r="AI880">
        <v>100880</v>
      </c>
      <c r="AJ880">
        <v>880</v>
      </c>
      <c r="AK880" t="b">
        <f t="shared" si="13"/>
        <v>1</v>
      </c>
      <c r="AL880" t="b">
        <f>COUNTBLANK(Metadata!B880:AD880)=COLUMNS(Metadata!B880:AD880)</f>
        <v>1</v>
      </c>
      <c r="AM880" t="str">
        <v/>
      </c>
      <c r="AO880" t="b">
        <f ca="1">AND(IF(Metadata!B880="",FALSE,TRUE),COUNTIF(Metadata!B:B, Metadata!B880) = 1,NOT(ISERROR(SUMPRODUCT(SEARCH(MID(Metadata!B880,ROW(INDIRECT("1:"&amp;LEN(Metadata!B880))), 1),"0123456789abcdefghijklmnopqrstuvwxyzABCDEFGHIJKLMNOPQRSTUVWXYZ.")))))</f>
        <v>0</v>
      </c>
      <c r="AP880" t="b">
        <f>IF(Metadata!C880="",FALSE,TRUE)</f>
        <v>0</v>
      </c>
      <c r="AQ880" t="b">
        <f>IF(Metadata!D880="",FALSE,TRUE)</f>
        <v>0</v>
      </c>
      <c r="AR880" t="b">
        <f ca="1">OR(AND(IF(Metadata!E880="",FALSE,TRUE),OR(EXACT(Metadata!E880,"not collected"),EXACT(Metadata!E880,"not provided"),EXACT(Metadata!E880,"restricted access"))),AND(IF(Metadata!E880="",FALSE,TRUE),AND(AND(IFERROR(INT(LEFT(Metadata!E880,4))&gt;1900,FALSE),IFERROR(INT(LEFT(Metadata!E880,4))&lt;=YEAR(NOW()),FALSE)), OR(MID(Metadata!E880,5,1)="", AND(AND(MID(Metadata!E880,5,1)="-",IFERROR(INT(MID(Metadata!E880,6,1))&gt;=0,FALSE),IFERROR(INT(MID(Metadata!E880,6,1))&lt;=1,FALSE),NOT(MID(Metadata!E880,7,1)=""),IFERROR(INT(MID(Metadata!E880,6,2))&gt;=1,FALSE),IFERROR(INT(MID(Metadata!E880,6,2))&lt;=12,FALSE)), OR(MID(Metadata!E880,8,1)="", AND(AND(MID(Metadata!E880,8,1)="-",IFERROR(INT(MID(Metadata!E880,9,1))&gt;=0,FALSE),IFERROR(INT(MID(Metadata!E880,9,1))&lt;=3,FALSE),NOT(MID(Metadata!E880,10,1)=""),IFERROR(INT(MID(Metadata!E880,9,2))&gt;=1,FALSE),IFERROR(INT(MID(Metadata!E880,9,2))&lt;=31,FALSE)), OR(MID(Metadata!E880,11,1)="", AND(AND(MID(Metadata!E880,11,1)=" ",IFERROR(INT(MID(Metadata!E880,12,1))&gt;=0,FALSE),IFERROR(INT(MID(Metadata!E880,12,1))&lt;=2,FALSE),NOT(MID(Metadata!E880,13,1)=""),IFERROR(INT(MID(Metadata!E880,12,2))&gt;=0,FALSE),IFERROR(INT(MID(Metadata!E880,12,2))&lt;=23,FALSE)), OR(MID(Metadata!E880,14,1)="", AND(AND(MID(Metadata!E880,14,1)=":",IFERROR(INT(MID(Metadata!E880,15,1))&gt;=0,FALSE),IFERROR(INT(MID(Metadata!E880,15,1))&lt;=5,FALSE),NOT(MID(Metadata!E880,16,1)=""),IFERROR(INT(MID(Metadata!E880,15,2))&gt;=0,FALSE),IFERROR(INT(MID(Metadata!E880,15,2))&lt;=59,FALSE)), OR(MID(Metadata!E880,17,1)="", AND(AND(MID(Metadata!E880,17,1)=":",IFERROR(INT(MID(Metadata!E880,18,1))&gt;=0,FALSE),IFERROR(INT(MID(Metadata!E880,18,1))&lt;=5,FALSE),NOT(MID(Metadata!E880,19,1)=""),IFERROR(INT(MID(Metadata!E880,18,2))&gt;=0,FALSE),IFERROR(INT(MID(Metadata!E880,18,2))&lt;=59,FALSE)), LEN(Metadata!E880)&lt;=19)))))))))))))</f>
        <v>0</v>
      </c>
      <c r="AS880" t="b">
        <f>IF(Metadata!F880="",FALSE,TRUE)</f>
        <v>0</v>
      </c>
      <c r="AT880" t="b">
        <f>OR(AND(IF(Metadata!G880="",FALSE,TRUE),OR(EXACT(Metadata!G880,"not collected"),EXACT(Metadata!G880,"not provided"))),AND(IF(Metadata!G880="",FALSE,TRUE),OR(EXACT(Metadata!G880,"TRUE"),EXACT(Metadata!G880,"FALSE"))))</f>
        <v>0</v>
      </c>
      <c r="AU880" t="b">
        <f>OR(AND(IF(Metadata!H880="",FALSE,TRUE),OR(EXACT(Metadata!H880,"not collected"),EXACT(Metadata!H880,"not provided"),EXACT(Metadata!H880,"restricted access"))),AND(IF(Metadata!H880="",FALSE,ISNUMBER(VALUE(Metadata!H880))),Metadata!H880&gt;=-413))</f>
        <v>0</v>
      </c>
      <c r="AV880" t="b">
        <f>AND(IF(Metadata!I880="",FALSE,TRUE),EXACT(Metadata!I880,"meters"))</f>
        <v>0</v>
      </c>
      <c r="AW880" t="b">
        <f>AND(IF(Metadata!J880="",FALSE,TRUE),EXACT(Metadata!J880,"free-living"))</f>
        <v>0</v>
      </c>
      <c r="AX880" t="b">
        <f>AND(IF(Metadata!K880="",FALSE,TRUE),OR(EXACT(Metadata!K880,"saline"),EXACT(Metadata!K880,"non-saline")))</f>
        <v>0</v>
      </c>
      <c r="AY880" t="b">
        <f>AND(IF(Metadata!L880="",FALSE,TRUE),OR(EXACT(Metadata!L880,"sub-surface (non-saline)"),EXACT(Metadata!L880,"surface (non-saline)"),EXACT(Metadata!L880,"water (non-saline)"),EXACT(Metadata!L880,"soil (non-saline)"),EXACT(Metadata!L880,"aerosol (non-saline)"),EXACT(Metadata!L880,"sediment (non-saline)"),EXACT(Metadata!L880,"surface (saline)"),EXACT(Metadata!L880,"water (saline)"),EXACT(Metadata!L880,"hypersaline (saline)"),EXACT(Metadata!L880,"aerosol (saline)"),EXACT(Metadata!L880,"sediment (saline)")))</f>
        <v>0</v>
      </c>
      <c r="AZ880" t="b">
        <f>IF(Metadata!M880="",FALSE,TRUE)</f>
        <v>0</v>
      </c>
      <c r="BA880" t="b">
        <f>IF(Metadata!N880="",FALSE,TRUE)</f>
        <v>0</v>
      </c>
      <c r="BB880" t="b">
        <f>IF(Metadata!O880="",FALSE,TRUE)</f>
        <v>0</v>
      </c>
      <c r="BC880" t="b">
        <f>AND(IF(Metadata!P880="",FALSE,TRUE),OR(EXACT(Metadata!P880,"air"),EXACT(Metadata!P880,"microbial mat/biofilm"),EXACT(Metadata!P880,"misc environment"),EXACT(Metadata!P880,"sediment"),EXACT(Metadata!P880,"soil"),EXACT(Metadata!P880,"wastewater/sludge"),EXACT(Metadata!P880,"water")))</f>
        <v>0</v>
      </c>
      <c r="BD880" t="b">
        <f>IF(Metadata!Q880="",FALSE,TRUE)</f>
        <v>0</v>
      </c>
      <c r="BE880" t="b">
        <f>IF(Metadata!R880="",FALSE,TRUE)</f>
        <v>0</v>
      </c>
      <c r="BF880" t="b">
        <f>OR(AND(IF(Metadata!S880="",FALSE,TRUE),OR(EXACT(Metadata!S880,"not collected"),EXACT(Metadata!S880,"not provided"),EXACT(Metadata!S880,"restricted access"))),AND(IF(Metadata!S880="",FALSE,ISNUMBER(VALUE(Metadata!S880))),Metadata!S880&gt;=-90,Metadata!S880&lt;=90))</f>
        <v>0</v>
      </c>
      <c r="BG880" t="b">
        <f>AND(IF(Metadata!T880="",FALSE,TRUE),EXACT(Metadata!T880,"Decimal degrees"))</f>
        <v>0</v>
      </c>
      <c r="BH880" t="b">
        <f>OR(AND(IF(Metadata!U880="",FALSE,TRUE),OR(EXACT(Metadata!U880,"not applicable"),EXACT(Metadata!U880,"not collected"))),IF(Metadata!U880="",FALSE,TRUE))</f>
        <v>0</v>
      </c>
      <c r="BI880" t="b">
        <f>OR(AND(IF(Metadata!V880="",FALSE,TRUE),OR(EXACT(Metadata!V880,"not collected"),EXACT(Metadata!V880,"not provided"),EXACT(Metadata!V880,"restricted access"))),AND(IF(Metadata!V880="",FALSE,ISNUMBER(VALUE(Metadata!V880))),Metadata!V880&gt;=-180,Metadata!V880&lt;=180))</f>
        <v>0</v>
      </c>
      <c r="BJ880" t="b">
        <f>AND(IF(Metadata!W880="",FALSE,TRUE),EXACT(Metadata!W880,"Decimal degrees"))</f>
        <v>0</v>
      </c>
      <c r="BK880" t="b">
        <f>IF(Metadata!X880="",FALSE,TRUE)</f>
        <v>0</v>
      </c>
      <c r="BL880" t="b">
        <f>OR(AND(IF(Metadata!Y880="",FALSE,TRUE),OR(EXACT(Metadata!Y880,"not collected"),EXACT(Metadata!Y880,"not provided"),EXACT(Metadata!Y880,"restricted access"))),AND(IF(Metadata!Y880="",FALSE,TRUE),OR(EXACT(Metadata!Y880,"TRUE"),EXACT(Metadata!Y880,"FALSE"))))</f>
        <v>0</v>
      </c>
      <c r="BM880" t="b">
        <f>OR(AND(IF(Metadata!Z880="",FALSE,TRUE),EXACT(Metadata!Z880,"not applicable")),AND(IF(Metadata!Z880="",FALSE,TRUE),OR(EXACT(Metadata!Z880,"beer"),EXACT(Metadata!Z880,"cheese"),EXACT(Metadata!Z880,"fresh water"),EXACT(Metadata!Z880,"marine sediment"),EXACT(Metadata!Z880,"sea water"),EXACT(Metadata!Z880,"sediment"),EXACT(Metadata!Z880,"soil"),EXACT(Metadata!Z880,"waste water"))))</f>
        <v>0</v>
      </c>
      <c r="BN880" t="b">
        <f>AND(IF(Metadata!AA880="",FALSE,TRUE),EXACT(Metadata!AA880,"metagenome"))</f>
        <v>0</v>
      </c>
      <c r="BO880" t="b">
        <f>AND(IF(Metadata!AB880="",FALSE,TRUE),EXACT(Metadata!AB880,"256318"))</f>
        <v>0</v>
      </c>
      <c r="BP880" t="b">
        <f>IF(Metadata!AC880="",FALSE,TRUE)</f>
        <v>0</v>
      </c>
      <c r="BQ880" t="b">
        <f>IF(Metadata!AD880="",FALSE,TRUE)</f>
        <v>0</v>
      </c>
    </row>
    <row r="881" spans="1:69" x14ac:dyDescent="0.2">
      <c r="A881" s="4" t="e">
        <f ca="1">IF(B881=" "," ",HYPERLINK(CONCATENATE("#metadata!",ADDRESS(INDEX($AJ$2:$AJ$1001,MATCH(ROWS($AH$2:AH881),$AH$2:$AH$1001,0),0),2)),INDEX($AM$2:$AM$1001,MATCH(ROWS($AH$2:AH881),$AH$2:$AH$1001,0),0)))</f>
        <v>#N/A</v>
      </c>
      <c r="B881" s="5" t="e">
        <f ca="1">IF(OR(INDEX($AI$2:$AI$1001,MATCH(ROWS($AH$2:AH881),$AH$2:$AH$1001,0),1)&gt;=100000,INDEX($AO$1005:$BQ$1005,1,MATCH(COLUMNS($AO$1006:AO1006),$AO$1006:$BQ$1006,0))&gt;=100000), " ",IF(INDEX($AO$2:$BQ$1001,MATCH(ROWS($AH$2:AH881),$AH$2:$AH$1001,0),MATCH(COLUMNS($AO$1006:AO1006),$AO$1006:$BQ$1006,0)), HYPERLINK("#",""), HYPERLINK(CONCATENATE("#Metadata!", ADDRESS(INDEX($AJ$2:$AJ$1001,MATCH(ROWS($AH$2:AH881),$AH$2:$AH$1001,0),0), INDEX($AO$1004:$BQ$1004,1,MATCH(COLUMNS($AO$1006:AO1006),$AO$1006:$BQ$1006,0)))),"Fix")))</f>
        <v>#N/A</v>
      </c>
      <c r="C881" s="5" t="e">
        <f ca="1">IF(OR(INDEX($AI$2:$AI$1001,MATCH(ROWS($AH$2:AH881),$AH$2:$AH$1001,0),1)&gt;=100000,INDEX($AO$1005:$BQ$1005,1,MATCH(COLUMNS($AO$1006:AP1006),$AO$1006:$BQ$1006,0))&gt;=100000), " ",IF(INDEX($AO$2:$BQ$1001,MATCH(ROWS($AH$2:AH881),$AH$2:$AH$1001,0),MATCH(COLUMNS($AO$1006:AP1006),$AO$1006:$BQ$1006,0)), HYPERLINK("#",""), HYPERLINK(CONCATENATE("#Metadata!", ADDRESS(INDEX($AJ$2:$AJ$1001,MATCH(ROWS($AH$2:AH881),$AH$2:$AH$1001,0),0), INDEX($AO$1004:$BQ$1004,1,MATCH(COLUMNS($AO$1006:AP1006),$AO$1006:$BQ$1006,0)))),"Fix")))</f>
        <v>#N/A</v>
      </c>
      <c r="D881" s="5" t="e">
        <f ca="1">IF(OR(INDEX($AI$2:$AI$1001,MATCH(ROWS($AH$2:AH881),$AH$2:$AH$1001,0),1)&gt;=100000,INDEX($AO$1005:$BQ$1005,1,MATCH(COLUMNS($AO$1006:AQ1006),$AO$1006:$BQ$1006,0))&gt;=100000), " ",IF(INDEX($AO$2:$BQ$1001,MATCH(ROWS($AH$2:AH881),$AH$2:$AH$1001,0),MATCH(COLUMNS($AO$1006:AQ1006),$AO$1006:$BQ$1006,0)), HYPERLINK("#",""), HYPERLINK(CONCATENATE("#Metadata!", ADDRESS(INDEX($AJ$2:$AJ$1001,MATCH(ROWS($AH$2:AH881),$AH$2:$AH$1001,0),0), INDEX($AO$1004:$BQ$1004,1,MATCH(COLUMNS($AO$1006:AQ1006),$AO$1006:$BQ$1006,0)))),"Fix")))</f>
        <v>#N/A</v>
      </c>
      <c r="E881" s="5" t="e">
        <f ca="1">IF(OR(INDEX($AI$2:$AI$1001,MATCH(ROWS($AH$2:AH881),$AH$2:$AH$1001,0),1)&gt;=100000,INDEX($AO$1005:$BQ$1005,1,MATCH(COLUMNS($AO$1006:AR1006),$AO$1006:$BQ$1006,0))&gt;=100000), " ",IF(INDEX($AO$2:$BQ$1001,MATCH(ROWS($AH$2:AH881),$AH$2:$AH$1001,0),MATCH(COLUMNS($AO$1006:AR1006),$AO$1006:$BQ$1006,0)), HYPERLINK("#",""), HYPERLINK(CONCATENATE("#Metadata!", ADDRESS(INDEX($AJ$2:$AJ$1001,MATCH(ROWS($AH$2:AH881),$AH$2:$AH$1001,0),0), INDEX($AO$1004:$BQ$1004,1,MATCH(COLUMNS($AO$1006:AR1006),$AO$1006:$BQ$1006,0)))),"Fix")))</f>
        <v>#N/A</v>
      </c>
      <c r="F881" s="5" t="e">
        <f ca="1">IF(OR(INDEX($AI$2:$AI$1001,MATCH(ROWS($AH$2:AH881),$AH$2:$AH$1001,0),1)&gt;=100000,INDEX($AO$1005:$BQ$1005,1,MATCH(COLUMNS($AO$1006:AS1006),$AO$1006:$BQ$1006,0))&gt;=100000), " ",IF(INDEX($AO$2:$BQ$1001,MATCH(ROWS($AH$2:AH881),$AH$2:$AH$1001,0),MATCH(COLUMNS($AO$1006:AS1006),$AO$1006:$BQ$1006,0)), HYPERLINK("#",""), HYPERLINK(CONCATENATE("#Metadata!", ADDRESS(INDEX($AJ$2:$AJ$1001,MATCH(ROWS($AH$2:AH881),$AH$2:$AH$1001,0),0), INDEX($AO$1004:$BQ$1004,1,MATCH(COLUMNS($AO$1006:AS1006),$AO$1006:$BQ$1006,0)))),"Fix")))</f>
        <v>#N/A</v>
      </c>
      <c r="G881" s="5" t="e">
        <f ca="1">IF(OR(INDEX($AI$2:$AI$1001,MATCH(ROWS($AH$2:AH881),$AH$2:$AH$1001,0),1)&gt;=100000,INDEX($AO$1005:$BQ$1005,1,MATCH(COLUMNS($AO$1006:AT1006),$AO$1006:$BQ$1006,0))&gt;=100000), " ",IF(INDEX($AO$2:$BQ$1001,MATCH(ROWS($AH$2:AH881),$AH$2:$AH$1001,0),MATCH(COLUMNS($AO$1006:AT1006),$AO$1006:$BQ$1006,0)), HYPERLINK("#",""), HYPERLINK(CONCATENATE("#Metadata!", ADDRESS(INDEX($AJ$2:$AJ$1001,MATCH(ROWS($AH$2:AH881),$AH$2:$AH$1001,0),0), INDEX($AO$1004:$BQ$1004,1,MATCH(COLUMNS($AO$1006:AT1006),$AO$1006:$BQ$1006,0)))),"Fix")))</f>
        <v>#N/A</v>
      </c>
      <c r="H881" s="5" t="e">
        <f ca="1">IF(OR(INDEX($AI$2:$AI$1001,MATCH(ROWS($AH$2:AH881),$AH$2:$AH$1001,0),1)&gt;=100000,INDEX($AO$1005:$BQ$1005,1,MATCH(COLUMNS($AO$1006:AU1006),$AO$1006:$BQ$1006,0))&gt;=100000), " ",IF(INDEX($AO$2:$BQ$1001,MATCH(ROWS($AH$2:AH881),$AH$2:$AH$1001,0),MATCH(COLUMNS($AO$1006:AU1006),$AO$1006:$BQ$1006,0)), HYPERLINK("#",""), HYPERLINK(CONCATENATE("#Metadata!", ADDRESS(INDEX($AJ$2:$AJ$1001,MATCH(ROWS($AH$2:AH881),$AH$2:$AH$1001,0),0), INDEX($AO$1004:$BQ$1004,1,MATCH(COLUMNS($AO$1006:AU1006),$AO$1006:$BQ$1006,0)))),"Fix")))</f>
        <v>#N/A</v>
      </c>
      <c r="I881" s="5" t="e">
        <f ca="1">IF(OR(INDEX($AI$2:$AI$1001,MATCH(ROWS($AH$2:AH881),$AH$2:$AH$1001,0),1)&gt;=100000,INDEX($AO$1005:$BQ$1005,1,MATCH(COLUMNS($AO$1006:AV1006),$AO$1006:$BQ$1006,0))&gt;=100000), " ",IF(INDEX($AO$2:$BQ$1001,MATCH(ROWS($AH$2:AH881),$AH$2:$AH$1001,0),MATCH(COLUMNS($AO$1006:AV1006),$AO$1006:$BQ$1006,0)), HYPERLINK("#",""), HYPERLINK(CONCATENATE("#Metadata!", ADDRESS(INDEX($AJ$2:$AJ$1001,MATCH(ROWS($AH$2:AH881),$AH$2:$AH$1001,0),0), INDEX($AO$1004:$BQ$1004,1,MATCH(COLUMNS($AO$1006:AV1006),$AO$1006:$BQ$1006,0)))),"Fix")))</f>
        <v>#N/A</v>
      </c>
      <c r="J881" s="5" t="e">
        <f ca="1">IF(OR(INDEX($AI$2:$AI$1001,MATCH(ROWS($AH$2:AH881),$AH$2:$AH$1001,0),1)&gt;=100000,INDEX($AO$1005:$BQ$1005,1,MATCH(COLUMNS($AO$1006:AW1006),$AO$1006:$BQ$1006,0))&gt;=100000), " ",IF(INDEX($AO$2:$BQ$1001,MATCH(ROWS($AH$2:AH881),$AH$2:$AH$1001,0),MATCH(COLUMNS($AO$1006:AW1006),$AO$1006:$BQ$1006,0)), HYPERLINK("#",""), HYPERLINK(CONCATENATE("#Metadata!", ADDRESS(INDEX($AJ$2:$AJ$1001,MATCH(ROWS($AH$2:AH881),$AH$2:$AH$1001,0),0), INDEX($AO$1004:$BQ$1004,1,MATCH(COLUMNS($AO$1006:AW1006),$AO$1006:$BQ$1006,0)))),"Fix")))</f>
        <v>#N/A</v>
      </c>
      <c r="K881" s="5" t="e">
        <f ca="1">IF(OR(INDEX($AI$2:$AI$1001,MATCH(ROWS($AH$2:AH881),$AH$2:$AH$1001,0),1)&gt;=100000,INDEX($AO$1005:$BQ$1005,1,MATCH(COLUMNS($AO$1006:AX1006),$AO$1006:$BQ$1006,0))&gt;=100000), " ",IF(INDEX($AO$2:$BQ$1001,MATCH(ROWS($AH$2:AH881),$AH$2:$AH$1001,0),MATCH(COLUMNS($AO$1006:AX1006),$AO$1006:$BQ$1006,0)), HYPERLINK("#",""), HYPERLINK(CONCATENATE("#Metadata!", ADDRESS(INDEX($AJ$2:$AJ$1001,MATCH(ROWS($AH$2:AH881),$AH$2:$AH$1001,0),0), INDEX($AO$1004:$BQ$1004,1,MATCH(COLUMNS($AO$1006:AX1006),$AO$1006:$BQ$1006,0)))),"Fix")))</f>
        <v>#N/A</v>
      </c>
      <c r="L881" s="5" t="e">
        <f ca="1">IF(OR(INDEX($AI$2:$AI$1001,MATCH(ROWS($AH$2:AH881),$AH$2:$AH$1001,0),1)&gt;=100000,INDEX($AO$1005:$BQ$1005,1,MATCH(COLUMNS($AO$1006:AY1006),$AO$1006:$BQ$1006,0))&gt;=100000), " ",IF(INDEX($AO$2:$BQ$1001,MATCH(ROWS($AH$2:AH881),$AH$2:$AH$1001,0),MATCH(COLUMNS($AO$1006:AY1006),$AO$1006:$BQ$1006,0)), HYPERLINK("#",""), HYPERLINK(CONCATENATE("#Metadata!", ADDRESS(INDEX($AJ$2:$AJ$1001,MATCH(ROWS($AH$2:AH881),$AH$2:$AH$1001,0),0), INDEX($AO$1004:$BQ$1004,1,MATCH(COLUMNS($AO$1006:AY1006),$AO$1006:$BQ$1006,0)))),"Fix")))</f>
        <v>#N/A</v>
      </c>
      <c r="M881" s="5" t="e">
        <f ca="1">IF(OR(INDEX($AI$2:$AI$1001,MATCH(ROWS($AH$2:AH881),$AH$2:$AH$1001,0),1)&gt;=100000,INDEX($AO$1005:$BQ$1005,1,MATCH(COLUMNS($AO$1006:AZ1006),$AO$1006:$BQ$1006,0))&gt;=100000), " ",IF(INDEX($AO$2:$BQ$1001,MATCH(ROWS($AH$2:AH881),$AH$2:$AH$1001,0),MATCH(COLUMNS($AO$1006:AZ1006),$AO$1006:$BQ$1006,0)), HYPERLINK("#",""), HYPERLINK(CONCATENATE("#Metadata!", ADDRESS(INDEX($AJ$2:$AJ$1001,MATCH(ROWS($AH$2:AH881),$AH$2:$AH$1001,0),0), INDEX($AO$1004:$BQ$1004,1,MATCH(COLUMNS($AO$1006:AZ1006),$AO$1006:$BQ$1006,0)))),"Fix")))</f>
        <v>#N/A</v>
      </c>
      <c r="N881" s="5" t="e">
        <f ca="1">IF(OR(INDEX($AI$2:$AI$1001,MATCH(ROWS($AH$2:AH881),$AH$2:$AH$1001,0),1)&gt;=100000,INDEX($AO$1005:$BQ$1005,1,MATCH(COLUMNS($AO$1006:BA1006),$AO$1006:$BQ$1006,0))&gt;=100000), " ",IF(INDEX($AO$2:$BQ$1001,MATCH(ROWS($AH$2:AH881),$AH$2:$AH$1001,0),MATCH(COLUMNS($AO$1006:BA1006),$AO$1006:$BQ$1006,0)), HYPERLINK("#",""), HYPERLINK(CONCATENATE("#Metadata!", ADDRESS(INDEX($AJ$2:$AJ$1001,MATCH(ROWS($AH$2:AH881),$AH$2:$AH$1001,0),0), INDEX($AO$1004:$BQ$1004,1,MATCH(COLUMNS($AO$1006:BA1006),$AO$1006:$BQ$1006,0)))),"Fix")))</f>
        <v>#N/A</v>
      </c>
      <c r="O881" s="5" t="e">
        <f ca="1">IF(OR(INDEX($AI$2:$AI$1001,MATCH(ROWS($AH$2:AH881),$AH$2:$AH$1001,0),1)&gt;=100000,INDEX($AO$1005:$BQ$1005,1,MATCH(COLUMNS($AO$1006:BB1006),$AO$1006:$BQ$1006,0))&gt;=100000), " ",IF(INDEX($AO$2:$BQ$1001,MATCH(ROWS($AH$2:AH881),$AH$2:$AH$1001,0),MATCH(COLUMNS($AO$1006:BB1006),$AO$1006:$BQ$1006,0)), HYPERLINK("#",""), HYPERLINK(CONCATENATE("#Metadata!", ADDRESS(INDEX($AJ$2:$AJ$1001,MATCH(ROWS($AH$2:AH881),$AH$2:$AH$1001,0),0), INDEX($AO$1004:$BQ$1004,1,MATCH(COLUMNS($AO$1006:BB1006),$AO$1006:$BQ$1006,0)))),"Fix")))</f>
        <v>#N/A</v>
      </c>
      <c r="P881" s="5" t="e">
        <f ca="1">IF(OR(INDEX($AI$2:$AI$1001,MATCH(ROWS($AH$2:AH881),$AH$2:$AH$1001,0),1)&gt;=100000,INDEX($AO$1005:$BQ$1005,1,MATCH(COLUMNS($AO$1006:BC1006),$AO$1006:$BQ$1006,0))&gt;=100000), " ",IF(INDEX($AO$2:$BQ$1001,MATCH(ROWS($AH$2:AH881),$AH$2:$AH$1001,0),MATCH(COLUMNS($AO$1006:BC1006),$AO$1006:$BQ$1006,0)), HYPERLINK("#",""), HYPERLINK(CONCATENATE("#Metadata!", ADDRESS(INDEX($AJ$2:$AJ$1001,MATCH(ROWS($AH$2:AH881),$AH$2:$AH$1001,0),0), INDEX($AO$1004:$BQ$1004,1,MATCH(COLUMNS($AO$1006:BC1006),$AO$1006:$BQ$1006,0)))),"Fix")))</f>
        <v>#N/A</v>
      </c>
      <c r="Q881" s="5" t="e">
        <f ca="1">IF(OR(INDEX($AI$2:$AI$1001,MATCH(ROWS($AH$2:AH881),$AH$2:$AH$1001,0),1)&gt;=100000,INDEX($AO$1005:$BQ$1005,1,MATCH(COLUMNS($AO$1006:BD1006),$AO$1006:$BQ$1006,0))&gt;=100000), " ",IF(INDEX($AO$2:$BQ$1001,MATCH(ROWS($AH$2:AH881),$AH$2:$AH$1001,0),MATCH(COLUMNS($AO$1006:BD1006),$AO$1006:$BQ$1006,0)), HYPERLINK("#",""), HYPERLINK(CONCATENATE("#Metadata!", ADDRESS(INDEX($AJ$2:$AJ$1001,MATCH(ROWS($AH$2:AH881),$AH$2:$AH$1001,0),0), INDEX($AO$1004:$BQ$1004,1,MATCH(COLUMNS($AO$1006:BD1006),$AO$1006:$BQ$1006,0)))),"Fix")))</f>
        <v>#N/A</v>
      </c>
      <c r="R881" s="5" t="e">
        <f ca="1">IF(OR(INDEX($AI$2:$AI$1001,MATCH(ROWS($AH$2:AH881),$AH$2:$AH$1001,0),1)&gt;=100000,INDEX($AO$1005:$BQ$1005,1,MATCH(COLUMNS($AO$1006:BE1006),$AO$1006:$BQ$1006,0))&gt;=100000), " ",IF(INDEX($AO$2:$BQ$1001,MATCH(ROWS($AH$2:AH881),$AH$2:$AH$1001,0),MATCH(COLUMNS($AO$1006:BE1006),$AO$1006:$BQ$1006,0)), HYPERLINK("#",""), HYPERLINK(CONCATENATE("#Metadata!", ADDRESS(INDEX($AJ$2:$AJ$1001,MATCH(ROWS($AH$2:AH881),$AH$2:$AH$1001,0),0), INDEX($AO$1004:$BQ$1004,1,MATCH(COLUMNS($AO$1006:BE1006),$AO$1006:$BQ$1006,0)))),"Fix")))</f>
        <v>#N/A</v>
      </c>
      <c r="S881" s="5" t="e">
        <f ca="1">IF(OR(INDEX($AI$2:$AI$1001,MATCH(ROWS($AH$2:AH881),$AH$2:$AH$1001,0),1)&gt;=100000,INDEX($AO$1005:$BQ$1005,1,MATCH(COLUMNS($AO$1006:BF1006),$AO$1006:$BQ$1006,0))&gt;=100000), " ",IF(INDEX($AO$2:$BQ$1001,MATCH(ROWS($AH$2:AH881),$AH$2:$AH$1001,0),MATCH(COLUMNS($AO$1006:BF1006),$AO$1006:$BQ$1006,0)), HYPERLINK("#",""), HYPERLINK(CONCATENATE("#Metadata!", ADDRESS(INDEX($AJ$2:$AJ$1001,MATCH(ROWS($AH$2:AH881),$AH$2:$AH$1001,0),0), INDEX($AO$1004:$BQ$1004,1,MATCH(COLUMNS($AO$1006:BF1006),$AO$1006:$BQ$1006,0)))),"Fix")))</f>
        <v>#N/A</v>
      </c>
      <c r="T881" s="5" t="e">
        <f ca="1">IF(OR(INDEX($AI$2:$AI$1001,MATCH(ROWS($AH$2:AH881),$AH$2:$AH$1001,0),1)&gt;=100000,INDEX($AO$1005:$BQ$1005,1,MATCH(COLUMNS($AO$1006:BG1006),$AO$1006:$BQ$1006,0))&gt;=100000), " ",IF(INDEX($AO$2:$BQ$1001,MATCH(ROWS($AH$2:AH881),$AH$2:$AH$1001,0),MATCH(COLUMNS($AO$1006:BG1006),$AO$1006:$BQ$1006,0)), HYPERLINK("#",""), HYPERLINK(CONCATENATE("#Metadata!", ADDRESS(INDEX($AJ$2:$AJ$1001,MATCH(ROWS($AH$2:AH881),$AH$2:$AH$1001,0),0), INDEX($AO$1004:$BQ$1004,1,MATCH(COLUMNS($AO$1006:BG1006),$AO$1006:$BQ$1006,0)))),"Fix")))</f>
        <v>#N/A</v>
      </c>
      <c r="U881" s="5" t="e">
        <f ca="1">IF(OR(INDEX($AI$2:$AI$1001,MATCH(ROWS($AH$2:AH881),$AH$2:$AH$1001,0),1)&gt;=100000,INDEX($AO$1005:$BQ$1005,1,MATCH(COLUMNS($AO$1006:BH1006),$AO$1006:$BQ$1006,0))&gt;=100000), " ",IF(INDEX($AO$2:$BQ$1001,MATCH(ROWS($AH$2:AH881),$AH$2:$AH$1001,0),MATCH(COLUMNS($AO$1006:BH1006),$AO$1006:$BQ$1006,0)), HYPERLINK("#",""), HYPERLINK(CONCATENATE("#Metadata!", ADDRESS(INDEX($AJ$2:$AJ$1001,MATCH(ROWS($AH$2:AH881),$AH$2:$AH$1001,0),0), INDEX($AO$1004:$BQ$1004,1,MATCH(COLUMNS($AO$1006:BH1006),$AO$1006:$BQ$1006,0)))),"Fix")))</f>
        <v>#N/A</v>
      </c>
      <c r="V881" s="5" t="e">
        <f ca="1">IF(OR(INDEX($AI$2:$AI$1001,MATCH(ROWS($AH$2:AH881),$AH$2:$AH$1001,0),1)&gt;=100000,INDEX($AO$1005:$BQ$1005,1,MATCH(COLUMNS($AO$1006:BI1006),$AO$1006:$BQ$1006,0))&gt;=100000), " ",IF(INDEX($AO$2:$BQ$1001,MATCH(ROWS($AH$2:AH881),$AH$2:$AH$1001,0),MATCH(COLUMNS($AO$1006:BI1006),$AO$1006:$BQ$1006,0)), HYPERLINK("#",""), HYPERLINK(CONCATENATE("#Metadata!", ADDRESS(INDEX($AJ$2:$AJ$1001,MATCH(ROWS($AH$2:AH881),$AH$2:$AH$1001,0),0), INDEX($AO$1004:$BQ$1004,1,MATCH(COLUMNS($AO$1006:BI1006),$AO$1006:$BQ$1006,0)))),"Fix")))</f>
        <v>#N/A</v>
      </c>
      <c r="W881" s="5" t="e">
        <f ca="1">IF(OR(INDEX($AI$2:$AI$1001,MATCH(ROWS($AH$2:AH881),$AH$2:$AH$1001,0),1)&gt;=100000,INDEX($AO$1005:$BQ$1005,1,MATCH(COLUMNS($AO$1006:BJ1006),$AO$1006:$BQ$1006,0))&gt;=100000), " ",IF(INDEX($AO$2:$BQ$1001,MATCH(ROWS($AH$2:AH881),$AH$2:$AH$1001,0),MATCH(COLUMNS($AO$1006:BJ1006),$AO$1006:$BQ$1006,0)), HYPERLINK("#",""), HYPERLINK(CONCATENATE("#Metadata!", ADDRESS(INDEX($AJ$2:$AJ$1001,MATCH(ROWS($AH$2:AH881),$AH$2:$AH$1001,0),0), INDEX($AO$1004:$BQ$1004,1,MATCH(COLUMNS($AO$1006:BJ1006),$AO$1006:$BQ$1006,0)))),"Fix")))</f>
        <v>#N/A</v>
      </c>
      <c r="X881" s="5" t="e">
        <f ca="1">IF(OR(INDEX($AI$2:$AI$1001,MATCH(ROWS($AH$2:AH881),$AH$2:$AH$1001,0),1)&gt;=100000,INDEX($AO$1005:$BQ$1005,1,MATCH(COLUMNS($AO$1006:BK1006),$AO$1006:$BQ$1006,0))&gt;=100000), " ",IF(INDEX($AO$2:$BQ$1001,MATCH(ROWS($AH$2:AH881),$AH$2:$AH$1001,0),MATCH(COLUMNS($AO$1006:BK1006),$AO$1006:$BQ$1006,0)), HYPERLINK("#",""), HYPERLINK(CONCATENATE("#Metadata!", ADDRESS(INDEX($AJ$2:$AJ$1001,MATCH(ROWS($AH$2:AH881),$AH$2:$AH$1001,0),0), INDEX($AO$1004:$BQ$1004,1,MATCH(COLUMNS($AO$1006:BK1006),$AO$1006:$BQ$1006,0)))),"Fix")))</f>
        <v>#N/A</v>
      </c>
      <c r="Y881" s="5" t="e">
        <f ca="1">IF(OR(INDEX($AI$2:$AI$1001,MATCH(ROWS($AH$2:AH881),$AH$2:$AH$1001,0),1)&gt;=100000,INDEX($AO$1005:$BQ$1005,1,MATCH(COLUMNS($AO$1006:BL1006),$AO$1006:$BQ$1006,0))&gt;=100000), " ",IF(INDEX($AO$2:$BQ$1001,MATCH(ROWS($AH$2:AH881),$AH$2:$AH$1001,0),MATCH(COLUMNS($AO$1006:BL1006),$AO$1006:$BQ$1006,0)), HYPERLINK("#",""), HYPERLINK(CONCATENATE("#Metadata!", ADDRESS(INDEX($AJ$2:$AJ$1001,MATCH(ROWS($AH$2:AH881),$AH$2:$AH$1001,0),0), INDEX($AO$1004:$BQ$1004,1,MATCH(COLUMNS($AO$1006:BL1006),$AO$1006:$BQ$1006,0)))),"Fix")))</f>
        <v>#N/A</v>
      </c>
      <c r="Z881" s="5" t="e">
        <f ca="1">IF(OR(INDEX($AI$2:$AI$1001,MATCH(ROWS($AH$2:AH881),$AH$2:$AH$1001,0),1)&gt;=100000,INDEX($AO$1005:$BQ$1005,1,MATCH(COLUMNS($AO$1006:BM1006),$AO$1006:$BQ$1006,0))&gt;=100000), " ",IF(INDEX($AO$2:$BQ$1001,MATCH(ROWS($AH$2:AH881),$AH$2:$AH$1001,0),MATCH(COLUMNS($AO$1006:BM1006),$AO$1006:$BQ$1006,0)), HYPERLINK("#",""), HYPERLINK(CONCATENATE("#Metadata!", ADDRESS(INDEX($AJ$2:$AJ$1001,MATCH(ROWS($AH$2:AH881),$AH$2:$AH$1001,0),0), INDEX($AO$1004:$BQ$1004,1,MATCH(COLUMNS($AO$1006:BM1006),$AO$1006:$BQ$1006,0)))),"Fix")))</f>
        <v>#N/A</v>
      </c>
      <c r="AA881" s="5" t="e">
        <f ca="1">IF(OR(INDEX($AI$2:$AI$1001,MATCH(ROWS($AH$2:AH881),$AH$2:$AH$1001,0),1)&gt;=100000,INDEX($AO$1005:$BQ$1005,1,MATCH(COLUMNS($AO$1006:BN1006),$AO$1006:$BQ$1006,0))&gt;=100000), " ",IF(INDEX($AO$2:$BQ$1001,MATCH(ROWS($AH$2:AH881),$AH$2:$AH$1001,0),MATCH(COLUMNS($AO$1006:BN1006),$AO$1006:$BQ$1006,0)), HYPERLINK("#",""), HYPERLINK(CONCATENATE("#Metadata!", ADDRESS(INDEX($AJ$2:$AJ$1001,MATCH(ROWS($AH$2:AH881),$AH$2:$AH$1001,0),0), INDEX($AO$1004:$BQ$1004,1,MATCH(COLUMNS($AO$1006:BN1006),$AO$1006:$BQ$1006,0)))),"Fix")))</f>
        <v>#N/A</v>
      </c>
      <c r="AB881" s="5" t="e">
        <f ca="1">IF(OR(INDEX($AI$2:$AI$1001,MATCH(ROWS($AH$2:AH881),$AH$2:$AH$1001,0),1)&gt;=100000,INDEX($AO$1005:$BQ$1005,1,MATCH(COLUMNS($AO$1006:BO1006),$AO$1006:$BQ$1006,0))&gt;=100000), " ",IF(INDEX($AO$2:$BQ$1001,MATCH(ROWS($AH$2:AH881),$AH$2:$AH$1001,0),MATCH(COLUMNS($AO$1006:BO1006),$AO$1006:$BQ$1006,0)), HYPERLINK("#",""), HYPERLINK(CONCATENATE("#Metadata!", ADDRESS(INDEX($AJ$2:$AJ$1001,MATCH(ROWS($AH$2:AH881),$AH$2:$AH$1001,0),0), INDEX($AO$1004:$BQ$1004,1,MATCH(COLUMNS($AO$1006:BO1006),$AO$1006:$BQ$1006,0)))),"Fix")))</f>
        <v>#N/A</v>
      </c>
      <c r="AC881" s="5" t="e">
        <f ca="1">IF(OR(INDEX($AI$2:$AI$1001,MATCH(ROWS($AH$2:AH881),$AH$2:$AH$1001,0),1)&gt;=100000,INDEX($AO$1005:$BQ$1005,1,MATCH(COLUMNS($AO$1006:BP1006),$AO$1006:$BQ$1006,0))&gt;=100000), " ",IF(INDEX($AO$2:$BQ$1001,MATCH(ROWS($AH$2:AH881),$AH$2:$AH$1001,0),MATCH(COLUMNS($AO$1006:BP1006),$AO$1006:$BQ$1006,0)), HYPERLINK("#",""), HYPERLINK(CONCATENATE("#Metadata!", ADDRESS(INDEX($AJ$2:$AJ$1001,MATCH(ROWS($AH$2:AH881),$AH$2:$AH$1001,0),0), INDEX($AO$1004:$BQ$1004,1,MATCH(COLUMNS($AO$1006:BP1006),$AO$1006:$BQ$1006,0)))),"Fix")))</f>
        <v>#N/A</v>
      </c>
      <c r="AD881" s="5" t="e">
        <f ca="1">IF(OR(INDEX($AI$2:$AI$1001,MATCH(ROWS($AH$2:AH881),$AH$2:$AH$1001,0),1)&gt;=100000,INDEX($AO$1005:$BQ$1005,1,MATCH(COLUMNS($AO$1006:BQ1006),$AO$1006:$BQ$1006,0))&gt;=100000), " ",IF(INDEX($AO$2:$BQ$1001,MATCH(ROWS($AH$2:AH881),$AH$2:$AH$1001,0),MATCH(COLUMNS($AO$1006:BQ1006),$AO$1006:$BQ$1006,0)), HYPERLINK("#",""), HYPERLINK(CONCATENATE("#Metadata!", ADDRESS(INDEX($AJ$2:$AJ$1001,MATCH(ROWS($AH$2:AH881),$AH$2:$AH$1001,0),0), INDEX($AO$1004:$BQ$1004,1,MATCH(COLUMNS($AO$1006:BQ1006),$AO$1006:$BQ$1006,0)))),"Fix")))</f>
        <v>#REF!</v>
      </c>
      <c r="AH881">
        <f ca="1"/>
        <v>878</v>
      </c>
      <c r="AI881">
        <v>100881</v>
      </c>
      <c r="AJ881">
        <v>881</v>
      </c>
      <c r="AK881" t="b">
        <f t="shared" si="13"/>
        <v>1</v>
      </c>
      <c r="AL881" t="b">
        <f>COUNTBLANK(Metadata!B881:AD881)=COLUMNS(Metadata!B881:AD881)</f>
        <v>1</v>
      </c>
      <c r="AM881" t="str">
        <v/>
      </c>
      <c r="AO881" t="b">
        <f ca="1">AND(IF(Metadata!B881="",FALSE,TRUE),COUNTIF(Metadata!B:B, Metadata!B881) = 1,NOT(ISERROR(SUMPRODUCT(SEARCH(MID(Metadata!B881,ROW(INDIRECT("1:"&amp;LEN(Metadata!B881))), 1),"0123456789abcdefghijklmnopqrstuvwxyzABCDEFGHIJKLMNOPQRSTUVWXYZ.")))))</f>
        <v>0</v>
      </c>
      <c r="AP881" t="b">
        <f>IF(Metadata!C881="",FALSE,TRUE)</f>
        <v>0</v>
      </c>
      <c r="AQ881" t="b">
        <f>IF(Metadata!D881="",FALSE,TRUE)</f>
        <v>0</v>
      </c>
      <c r="AR881" t="b">
        <f ca="1">OR(AND(IF(Metadata!E881="",FALSE,TRUE),OR(EXACT(Metadata!E881,"not collected"),EXACT(Metadata!E881,"not provided"),EXACT(Metadata!E881,"restricted access"))),AND(IF(Metadata!E881="",FALSE,TRUE),AND(AND(IFERROR(INT(LEFT(Metadata!E881,4))&gt;1900,FALSE),IFERROR(INT(LEFT(Metadata!E881,4))&lt;=YEAR(NOW()),FALSE)), OR(MID(Metadata!E881,5,1)="", AND(AND(MID(Metadata!E881,5,1)="-",IFERROR(INT(MID(Metadata!E881,6,1))&gt;=0,FALSE),IFERROR(INT(MID(Metadata!E881,6,1))&lt;=1,FALSE),NOT(MID(Metadata!E881,7,1)=""),IFERROR(INT(MID(Metadata!E881,6,2))&gt;=1,FALSE),IFERROR(INT(MID(Metadata!E881,6,2))&lt;=12,FALSE)), OR(MID(Metadata!E881,8,1)="", AND(AND(MID(Metadata!E881,8,1)="-",IFERROR(INT(MID(Metadata!E881,9,1))&gt;=0,FALSE),IFERROR(INT(MID(Metadata!E881,9,1))&lt;=3,FALSE),NOT(MID(Metadata!E881,10,1)=""),IFERROR(INT(MID(Metadata!E881,9,2))&gt;=1,FALSE),IFERROR(INT(MID(Metadata!E881,9,2))&lt;=31,FALSE)), OR(MID(Metadata!E881,11,1)="", AND(AND(MID(Metadata!E881,11,1)=" ",IFERROR(INT(MID(Metadata!E881,12,1))&gt;=0,FALSE),IFERROR(INT(MID(Metadata!E881,12,1))&lt;=2,FALSE),NOT(MID(Metadata!E881,13,1)=""),IFERROR(INT(MID(Metadata!E881,12,2))&gt;=0,FALSE),IFERROR(INT(MID(Metadata!E881,12,2))&lt;=23,FALSE)), OR(MID(Metadata!E881,14,1)="", AND(AND(MID(Metadata!E881,14,1)=":",IFERROR(INT(MID(Metadata!E881,15,1))&gt;=0,FALSE),IFERROR(INT(MID(Metadata!E881,15,1))&lt;=5,FALSE),NOT(MID(Metadata!E881,16,1)=""),IFERROR(INT(MID(Metadata!E881,15,2))&gt;=0,FALSE),IFERROR(INT(MID(Metadata!E881,15,2))&lt;=59,FALSE)), OR(MID(Metadata!E881,17,1)="", AND(AND(MID(Metadata!E881,17,1)=":",IFERROR(INT(MID(Metadata!E881,18,1))&gt;=0,FALSE),IFERROR(INT(MID(Metadata!E881,18,1))&lt;=5,FALSE),NOT(MID(Metadata!E881,19,1)=""),IFERROR(INT(MID(Metadata!E881,18,2))&gt;=0,FALSE),IFERROR(INT(MID(Metadata!E881,18,2))&lt;=59,FALSE)), LEN(Metadata!E881)&lt;=19)))))))))))))</f>
        <v>0</v>
      </c>
      <c r="AS881" t="b">
        <f>IF(Metadata!F881="",FALSE,TRUE)</f>
        <v>0</v>
      </c>
      <c r="AT881" t="b">
        <f>OR(AND(IF(Metadata!G881="",FALSE,TRUE),OR(EXACT(Metadata!G881,"not collected"),EXACT(Metadata!G881,"not provided"))),AND(IF(Metadata!G881="",FALSE,TRUE),OR(EXACT(Metadata!G881,"TRUE"),EXACT(Metadata!G881,"FALSE"))))</f>
        <v>0</v>
      </c>
      <c r="AU881" t="b">
        <f>OR(AND(IF(Metadata!H881="",FALSE,TRUE),OR(EXACT(Metadata!H881,"not collected"),EXACT(Metadata!H881,"not provided"),EXACT(Metadata!H881,"restricted access"))),AND(IF(Metadata!H881="",FALSE,ISNUMBER(VALUE(Metadata!H881))),Metadata!H881&gt;=-413))</f>
        <v>0</v>
      </c>
      <c r="AV881" t="b">
        <f>AND(IF(Metadata!I881="",FALSE,TRUE),EXACT(Metadata!I881,"meters"))</f>
        <v>0</v>
      </c>
      <c r="AW881" t="b">
        <f>AND(IF(Metadata!J881="",FALSE,TRUE),EXACT(Metadata!J881,"free-living"))</f>
        <v>0</v>
      </c>
      <c r="AX881" t="b">
        <f>AND(IF(Metadata!K881="",FALSE,TRUE),OR(EXACT(Metadata!K881,"saline"),EXACT(Metadata!K881,"non-saline")))</f>
        <v>0</v>
      </c>
      <c r="AY881" t="b">
        <f>AND(IF(Metadata!L881="",FALSE,TRUE),OR(EXACT(Metadata!L881,"sub-surface (non-saline)"),EXACT(Metadata!L881,"surface (non-saline)"),EXACT(Metadata!L881,"water (non-saline)"),EXACT(Metadata!L881,"soil (non-saline)"),EXACT(Metadata!L881,"aerosol (non-saline)"),EXACT(Metadata!L881,"sediment (non-saline)"),EXACT(Metadata!L881,"surface (saline)"),EXACT(Metadata!L881,"water (saline)"),EXACT(Metadata!L881,"hypersaline (saline)"),EXACT(Metadata!L881,"aerosol (saline)"),EXACT(Metadata!L881,"sediment (saline)")))</f>
        <v>0</v>
      </c>
      <c r="AZ881" t="b">
        <f>IF(Metadata!M881="",FALSE,TRUE)</f>
        <v>0</v>
      </c>
      <c r="BA881" t="b">
        <f>IF(Metadata!N881="",FALSE,TRUE)</f>
        <v>0</v>
      </c>
      <c r="BB881" t="b">
        <f>IF(Metadata!O881="",FALSE,TRUE)</f>
        <v>0</v>
      </c>
      <c r="BC881" t="b">
        <f>AND(IF(Metadata!P881="",FALSE,TRUE),OR(EXACT(Metadata!P881,"air"),EXACT(Metadata!P881,"microbial mat/biofilm"),EXACT(Metadata!P881,"misc environment"),EXACT(Metadata!P881,"sediment"),EXACT(Metadata!P881,"soil"),EXACT(Metadata!P881,"wastewater/sludge"),EXACT(Metadata!P881,"water")))</f>
        <v>0</v>
      </c>
      <c r="BD881" t="b">
        <f>IF(Metadata!Q881="",FALSE,TRUE)</f>
        <v>0</v>
      </c>
      <c r="BE881" t="b">
        <f>IF(Metadata!R881="",FALSE,TRUE)</f>
        <v>0</v>
      </c>
      <c r="BF881" t="b">
        <f>OR(AND(IF(Metadata!S881="",FALSE,TRUE),OR(EXACT(Metadata!S881,"not collected"),EXACT(Metadata!S881,"not provided"),EXACT(Metadata!S881,"restricted access"))),AND(IF(Metadata!S881="",FALSE,ISNUMBER(VALUE(Metadata!S881))),Metadata!S881&gt;=-90,Metadata!S881&lt;=90))</f>
        <v>0</v>
      </c>
      <c r="BG881" t="b">
        <f>AND(IF(Metadata!T881="",FALSE,TRUE),EXACT(Metadata!T881,"Decimal degrees"))</f>
        <v>0</v>
      </c>
      <c r="BH881" t="b">
        <f>OR(AND(IF(Metadata!U881="",FALSE,TRUE),OR(EXACT(Metadata!U881,"not applicable"),EXACT(Metadata!U881,"not collected"))),IF(Metadata!U881="",FALSE,TRUE))</f>
        <v>0</v>
      </c>
      <c r="BI881" t="b">
        <f>OR(AND(IF(Metadata!V881="",FALSE,TRUE),OR(EXACT(Metadata!V881,"not collected"),EXACT(Metadata!V881,"not provided"),EXACT(Metadata!V881,"restricted access"))),AND(IF(Metadata!V881="",FALSE,ISNUMBER(VALUE(Metadata!V881))),Metadata!V881&gt;=-180,Metadata!V881&lt;=180))</f>
        <v>0</v>
      </c>
      <c r="BJ881" t="b">
        <f>AND(IF(Metadata!W881="",FALSE,TRUE),EXACT(Metadata!W881,"Decimal degrees"))</f>
        <v>0</v>
      </c>
      <c r="BK881" t="b">
        <f>IF(Metadata!X881="",FALSE,TRUE)</f>
        <v>0</v>
      </c>
      <c r="BL881" t="b">
        <f>OR(AND(IF(Metadata!Y881="",FALSE,TRUE),OR(EXACT(Metadata!Y881,"not collected"),EXACT(Metadata!Y881,"not provided"),EXACT(Metadata!Y881,"restricted access"))),AND(IF(Metadata!Y881="",FALSE,TRUE),OR(EXACT(Metadata!Y881,"TRUE"),EXACT(Metadata!Y881,"FALSE"))))</f>
        <v>0</v>
      </c>
      <c r="BM881" t="b">
        <f>OR(AND(IF(Metadata!Z881="",FALSE,TRUE),EXACT(Metadata!Z881,"not applicable")),AND(IF(Metadata!Z881="",FALSE,TRUE),OR(EXACT(Metadata!Z881,"beer"),EXACT(Metadata!Z881,"cheese"),EXACT(Metadata!Z881,"fresh water"),EXACT(Metadata!Z881,"marine sediment"),EXACT(Metadata!Z881,"sea water"),EXACT(Metadata!Z881,"sediment"),EXACT(Metadata!Z881,"soil"),EXACT(Metadata!Z881,"waste water"))))</f>
        <v>0</v>
      </c>
      <c r="BN881" t="b">
        <f>AND(IF(Metadata!AA881="",FALSE,TRUE),EXACT(Metadata!AA881,"metagenome"))</f>
        <v>0</v>
      </c>
      <c r="BO881" t="b">
        <f>AND(IF(Metadata!AB881="",FALSE,TRUE),EXACT(Metadata!AB881,"256318"))</f>
        <v>0</v>
      </c>
      <c r="BP881" t="b">
        <f>IF(Metadata!AC881="",FALSE,TRUE)</f>
        <v>0</v>
      </c>
      <c r="BQ881" t="b">
        <f>IF(Metadata!AD881="",FALSE,TRUE)</f>
        <v>0</v>
      </c>
    </row>
    <row r="882" spans="1:69" x14ac:dyDescent="0.2">
      <c r="A882" s="4" t="e">
        <f ca="1">IF(B882=" "," ",HYPERLINK(CONCATENATE("#metadata!",ADDRESS(INDEX($AJ$2:$AJ$1001,MATCH(ROWS($AH$2:AH882),$AH$2:$AH$1001,0),0),2)),INDEX($AM$2:$AM$1001,MATCH(ROWS($AH$2:AH882),$AH$2:$AH$1001,0),0)))</f>
        <v>#N/A</v>
      </c>
      <c r="B882" s="5" t="e">
        <f ca="1">IF(OR(INDEX($AI$2:$AI$1001,MATCH(ROWS($AH$2:AH882),$AH$2:$AH$1001,0),1)&gt;=100000,INDEX($AO$1005:$BQ$1005,1,MATCH(COLUMNS($AO$1006:AO1006),$AO$1006:$BQ$1006,0))&gt;=100000), " ",IF(INDEX($AO$2:$BQ$1001,MATCH(ROWS($AH$2:AH882),$AH$2:$AH$1001,0),MATCH(COLUMNS($AO$1006:AO1006),$AO$1006:$BQ$1006,0)), HYPERLINK("#",""), HYPERLINK(CONCATENATE("#Metadata!", ADDRESS(INDEX($AJ$2:$AJ$1001,MATCH(ROWS($AH$2:AH882),$AH$2:$AH$1001,0),0), INDEX($AO$1004:$BQ$1004,1,MATCH(COLUMNS($AO$1006:AO1006),$AO$1006:$BQ$1006,0)))),"Fix")))</f>
        <v>#N/A</v>
      </c>
      <c r="C882" s="5" t="e">
        <f ca="1">IF(OR(INDEX($AI$2:$AI$1001,MATCH(ROWS($AH$2:AH882),$AH$2:$AH$1001,0),1)&gt;=100000,INDEX($AO$1005:$BQ$1005,1,MATCH(COLUMNS($AO$1006:AP1006),$AO$1006:$BQ$1006,0))&gt;=100000), " ",IF(INDEX($AO$2:$BQ$1001,MATCH(ROWS($AH$2:AH882),$AH$2:$AH$1001,0),MATCH(COLUMNS($AO$1006:AP1006),$AO$1006:$BQ$1006,0)), HYPERLINK("#",""), HYPERLINK(CONCATENATE("#Metadata!", ADDRESS(INDEX($AJ$2:$AJ$1001,MATCH(ROWS($AH$2:AH882),$AH$2:$AH$1001,0),0), INDEX($AO$1004:$BQ$1004,1,MATCH(COLUMNS($AO$1006:AP1006),$AO$1006:$BQ$1006,0)))),"Fix")))</f>
        <v>#N/A</v>
      </c>
      <c r="D882" s="5" t="e">
        <f ca="1">IF(OR(INDEX($AI$2:$AI$1001,MATCH(ROWS($AH$2:AH882),$AH$2:$AH$1001,0),1)&gt;=100000,INDEX($AO$1005:$BQ$1005,1,MATCH(COLUMNS($AO$1006:AQ1006),$AO$1006:$BQ$1006,0))&gt;=100000), " ",IF(INDEX($AO$2:$BQ$1001,MATCH(ROWS($AH$2:AH882),$AH$2:$AH$1001,0),MATCH(COLUMNS($AO$1006:AQ1006),$AO$1006:$BQ$1006,0)), HYPERLINK("#",""), HYPERLINK(CONCATENATE("#Metadata!", ADDRESS(INDEX($AJ$2:$AJ$1001,MATCH(ROWS($AH$2:AH882),$AH$2:$AH$1001,0),0), INDEX($AO$1004:$BQ$1004,1,MATCH(COLUMNS($AO$1006:AQ1006),$AO$1006:$BQ$1006,0)))),"Fix")))</f>
        <v>#N/A</v>
      </c>
      <c r="E882" s="5" t="e">
        <f ca="1">IF(OR(INDEX($AI$2:$AI$1001,MATCH(ROWS($AH$2:AH882),$AH$2:$AH$1001,0),1)&gt;=100000,INDEX($AO$1005:$BQ$1005,1,MATCH(COLUMNS($AO$1006:AR1006),$AO$1006:$BQ$1006,0))&gt;=100000), " ",IF(INDEX($AO$2:$BQ$1001,MATCH(ROWS($AH$2:AH882),$AH$2:$AH$1001,0),MATCH(COLUMNS($AO$1006:AR1006),$AO$1006:$BQ$1006,0)), HYPERLINK("#",""), HYPERLINK(CONCATENATE("#Metadata!", ADDRESS(INDEX($AJ$2:$AJ$1001,MATCH(ROWS($AH$2:AH882),$AH$2:$AH$1001,0),0), INDEX($AO$1004:$BQ$1004,1,MATCH(COLUMNS($AO$1006:AR1006),$AO$1006:$BQ$1006,0)))),"Fix")))</f>
        <v>#N/A</v>
      </c>
      <c r="F882" s="5" t="e">
        <f ca="1">IF(OR(INDEX($AI$2:$AI$1001,MATCH(ROWS($AH$2:AH882),$AH$2:$AH$1001,0),1)&gt;=100000,INDEX($AO$1005:$BQ$1005,1,MATCH(COLUMNS($AO$1006:AS1006),$AO$1006:$BQ$1006,0))&gt;=100000), " ",IF(INDEX($AO$2:$BQ$1001,MATCH(ROWS($AH$2:AH882),$AH$2:$AH$1001,0),MATCH(COLUMNS($AO$1006:AS1006),$AO$1006:$BQ$1006,0)), HYPERLINK("#",""), HYPERLINK(CONCATENATE("#Metadata!", ADDRESS(INDEX($AJ$2:$AJ$1001,MATCH(ROWS($AH$2:AH882),$AH$2:$AH$1001,0),0), INDEX($AO$1004:$BQ$1004,1,MATCH(COLUMNS($AO$1006:AS1006),$AO$1006:$BQ$1006,0)))),"Fix")))</f>
        <v>#N/A</v>
      </c>
      <c r="G882" s="5" t="e">
        <f ca="1">IF(OR(INDEX($AI$2:$AI$1001,MATCH(ROWS($AH$2:AH882),$AH$2:$AH$1001,0),1)&gt;=100000,INDEX($AO$1005:$BQ$1005,1,MATCH(COLUMNS($AO$1006:AT1006),$AO$1006:$BQ$1006,0))&gt;=100000), " ",IF(INDEX($AO$2:$BQ$1001,MATCH(ROWS($AH$2:AH882),$AH$2:$AH$1001,0),MATCH(COLUMNS($AO$1006:AT1006),$AO$1006:$BQ$1006,0)), HYPERLINK("#",""), HYPERLINK(CONCATENATE("#Metadata!", ADDRESS(INDEX($AJ$2:$AJ$1001,MATCH(ROWS($AH$2:AH882),$AH$2:$AH$1001,0),0), INDEX($AO$1004:$BQ$1004,1,MATCH(COLUMNS($AO$1006:AT1006),$AO$1006:$BQ$1006,0)))),"Fix")))</f>
        <v>#N/A</v>
      </c>
      <c r="H882" s="5" t="e">
        <f ca="1">IF(OR(INDEX($AI$2:$AI$1001,MATCH(ROWS($AH$2:AH882),$AH$2:$AH$1001,0),1)&gt;=100000,INDEX($AO$1005:$BQ$1005,1,MATCH(COLUMNS($AO$1006:AU1006),$AO$1006:$BQ$1006,0))&gt;=100000), " ",IF(INDEX($AO$2:$BQ$1001,MATCH(ROWS($AH$2:AH882),$AH$2:$AH$1001,0),MATCH(COLUMNS($AO$1006:AU1006),$AO$1006:$BQ$1006,0)), HYPERLINK("#",""), HYPERLINK(CONCATENATE("#Metadata!", ADDRESS(INDEX($AJ$2:$AJ$1001,MATCH(ROWS($AH$2:AH882),$AH$2:$AH$1001,0),0), INDEX($AO$1004:$BQ$1004,1,MATCH(COLUMNS($AO$1006:AU1006),$AO$1006:$BQ$1006,0)))),"Fix")))</f>
        <v>#N/A</v>
      </c>
      <c r="I882" s="5" t="e">
        <f ca="1">IF(OR(INDEX($AI$2:$AI$1001,MATCH(ROWS($AH$2:AH882),$AH$2:$AH$1001,0),1)&gt;=100000,INDEX($AO$1005:$BQ$1005,1,MATCH(COLUMNS($AO$1006:AV1006),$AO$1006:$BQ$1006,0))&gt;=100000), " ",IF(INDEX($AO$2:$BQ$1001,MATCH(ROWS($AH$2:AH882),$AH$2:$AH$1001,0),MATCH(COLUMNS($AO$1006:AV1006),$AO$1006:$BQ$1006,0)), HYPERLINK("#",""), HYPERLINK(CONCATENATE("#Metadata!", ADDRESS(INDEX($AJ$2:$AJ$1001,MATCH(ROWS($AH$2:AH882),$AH$2:$AH$1001,0),0), INDEX($AO$1004:$BQ$1004,1,MATCH(COLUMNS($AO$1006:AV1006),$AO$1006:$BQ$1006,0)))),"Fix")))</f>
        <v>#N/A</v>
      </c>
      <c r="J882" s="5" t="e">
        <f ca="1">IF(OR(INDEX($AI$2:$AI$1001,MATCH(ROWS($AH$2:AH882),$AH$2:$AH$1001,0),1)&gt;=100000,INDEX($AO$1005:$BQ$1005,1,MATCH(COLUMNS($AO$1006:AW1006),$AO$1006:$BQ$1006,0))&gt;=100000), " ",IF(INDEX($AO$2:$BQ$1001,MATCH(ROWS($AH$2:AH882),$AH$2:$AH$1001,0),MATCH(COLUMNS($AO$1006:AW1006),$AO$1006:$BQ$1006,0)), HYPERLINK("#",""), HYPERLINK(CONCATENATE("#Metadata!", ADDRESS(INDEX($AJ$2:$AJ$1001,MATCH(ROWS($AH$2:AH882),$AH$2:$AH$1001,0),0), INDEX($AO$1004:$BQ$1004,1,MATCH(COLUMNS($AO$1006:AW1006),$AO$1006:$BQ$1006,0)))),"Fix")))</f>
        <v>#N/A</v>
      </c>
      <c r="K882" s="5" t="e">
        <f ca="1">IF(OR(INDEX($AI$2:$AI$1001,MATCH(ROWS($AH$2:AH882),$AH$2:$AH$1001,0),1)&gt;=100000,INDEX($AO$1005:$BQ$1005,1,MATCH(COLUMNS($AO$1006:AX1006),$AO$1006:$BQ$1006,0))&gt;=100000), " ",IF(INDEX($AO$2:$BQ$1001,MATCH(ROWS($AH$2:AH882),$AH$2:$AH$1001,0),MATCH(COLUMNS($AO$1006:AX1006),$AO$1006:$BQ$1006,0)), HYPERLINK("#",""), HYPERLINK(CONCATENATE("#Metadata!", ADDRESS(INDEX($AJ$2:$AJ$1001,MATCH(ROWS($AH$2:AH882),$AH$2:$AH$1001,0),0), INDEX($AO$1004:$BQ$1004,1,MATCH(COLUMNS($AO$1006:AX1006),$AO$1006:$BQ$1006,0)))),"Fix")))</f>
        <v>#N/A</v>
      </c>
      <c r="L882" s="5" t="e">
        <f ca="1">IF(OR(INDEX($AI$2:$AI$1001,MATCH(ROWS($AH$2:AH882),$AH$2:$AH$1001,0),1)&gt;=100000,INDEX($AO$1005:$BQ$1005,1,MATCH(COLUMNS($AO$1006:AY1006),$AO$1006:$BQ$1006,0))&gt;=100000), " ",IF(INDEX($AO$2:$BQ$1001,MATCH(ROWS($AH$2:AH882),$AH$2:$AH$1001,0),MATCH(COLUMNS($AO$1006:AY1006),$AO$1006:$BQ$1006,0)), HYPERLINK("#",""), HYPERLINK(CONCATENATE("#Metadata!", ADDRESS(INDEX($AJ$2:$AJ$1001,MATCH(ROWS($AH$2:AH882),$AH$2:$AH$1001,0),0), INDEX($AO$1004:$BQ$1004,1,MATCH(COLUMNS($AO$1006:AY1006),$AO$1006:$BQ$1006,0)))),"Fix")))</f>
        <v>#N/A</v>
      </c>
      <c r="M882" s="5" t="e">
        <f ca="1">IF(OR(INDEX($AI$2:$AI$1001,MATCH(ROWS($AH$2:AH882),$AH$2:$AH$1001,0),1)&gt;=100000,INDEX($AO$1005:$BQ$1005,1,MATCH(COLUMNS($AO$1006:AZ1006),$AO$1006:$BQ$1006,0))&gt;=100000), " ",IF(INDEX($AO$2:$BQ$1001,MATCH(ROWS($AH$2:AH882),$AH$2:$AH$1001,0),MATCH(COLUMNS($AO$1006:AZ1006),$AO$1006:$BQ$1006,0)), HYPERLINK("#",""), HYPERLINK(CONCATENATE("#Metadata!", ADDRESS(INDEX($AJ$2:$AJ$1001,MATCH(ROWS($AH$2:AH882),$AH$2:$AH$1001,0),0), INDEX($AO$1004:$BQ$1004,1,MATCH(COLUMNS($AO$1006:AZ1006),$AO$1006:$BQ$1006,0)))),"Fix")))</f>
        <v>#N/A</v>
      </c>
      <c r="N882" s="5" t="e">
        <f ca="1">IF(OR(INDEX($AI$2:$AI$1001,MATCH(ROWS($AH$2:AH882),$AH$2:$AH$1001,0),1)&gt;=100000,INDEX($AO$1005:$BQ$1005,1,MATCH(COLUMNS($AO$1006:BA1006),$AO$1006:$BQ$1006,0))&gt;=100000), " ",IF(INDEX($AO$2:$BQ$1001,MATCH(ROWS($AH$2:AH882),$AH$2:$AH$1001,0),MATCH(COLUMNS($AO$1006:BA1006),$AO$1006:$BQ$1006,0)), HYPERLINK("#",""), HYPERLINK(CONCATENATE("#Metadata!", ADDRESS(INDEX($AJ$2:$AJ$1001,MATCH(ROWS($AH$2:AH882),$AH$2:$AH$1001,0),0), INDEX($AO$1004:$BQ$1004,1,MATCH(COLUMNS($AO$1006:BA1006),$AO$1006:$BQ$1006,0)))),"Fix")))</f>
        <v>#N/A</v>
      </c>
      <c r="O882" s="5" t="e">
        <f ca="1">IF(OR(INDEX($AI$2:$AI$1001,MATCH(ROWS($AH$2:AH882),$AH$2:$AH$1001,0),1)&gt;=100000,INDEX($AO$1005:$BQ$1005,1,MATCH(COLUMNS($AO$1006:BB1006),$AO$1006:$BQ$1006,0))&gt;=100000), " ",IF(INDEX($AO$2:$BQ$1001,MATCH(ROWS($AH$2:AH882),$AH$2:$AH$1001,0),MATCH(COLUMNS($AO$1006:BB1006),$AO$1006:$BQ$1006,0)), HYPERLINK("#",""), HYPERLINK(CONCATENATE("#Metadata!", ADDRESS(INDEX($AJ$2:$AJ$1001,MATCH(ROWS($AH$2:AH882),$AH$2:$AH$1001,0),0), INDEX($AO$1004:$BQ$1004,1,MATCH(COLUMNS($AO$1006:BB1006),$AO$1006:$BQ$1006,0)))),"Fix")))</f>
        <v>#N/A</v>
      </c>
      <c r="P882" s="5" t="e">
        <f ca="1">IF(OR(INDEX($AI$2:$AI$1001,MATCH(ROWS($AH$2:AH882),$AH$2:$AH$1001,0),1)&gt;=100000,INDEX($AO$1005:$BQ$1005,1,MATCH(COLUMNS($AO$1006:BC1006),$AO$1006:$BQ$1006,0))&gt;=100000), " ",IF(INDEX($AO$2:$BQ$1001,MATCH(ROWS($AH$2:AH882),$AH$2:$AH$1001,0),MATCH(COLUMNS($AO$1006:BC1006),$AO$1006:$BQ$1006,0)), HYPERLINK("#",""), HYPERLINK(CONCATENATE("#Metadata!", ADDRESS(INDEX($AJ$2:$AJ$1001,MATCH(ROWS($AH$2:AH882),$AH$2:$AH$1001,0),0), INDEX($AO$1004:$BQ$1004,1,MATCH(COLUMNS($AO$1006:BC1006),$AO$1006:$BQ$1006,0)))),"Fix")))</f>
        <v>#N/A</v>
      </c>
      <c r="Q882" s="5" t="e">
        <f ca="1">IF(OR(INDEX($AI$2:$AI$1001,MATCH(ROWS($AH$2:AH882),$AH$2:$AH$1001,0),1)&gt;=100000,INDEX($AO$1005:$BQ$1005,1,MATCH(COLUMNS($AO$1006:BD1006),$AO$1006:$BQ$1006,0))&gt;=100000), " ",IF(INDEX($AO$2:$BQ$1001,MATCH(ROWS($AH$2:AH882),$AH$2:$AH$1001,0),MATCH(COLUMNS($AO$1006:BD1006),$AO$1006:$BQ$1006,0)), HYPERLINK("#",""), HYPERLINK(CONCATENATE("#Metadata!", ADDRESS(INDEX($AJ$2:$AJ$1001,MATCH(ROWS($AH$2:AH882),$AH$2:$AH$1001,0),0), INDEX($AO$1004:$BQ$1004,1,MATCH(COLUMNS($AO$1006:BD1006),$AO$1006:$BQ$1006,0)))),"Fix")))</f>
        <v>#N/A</v>
      </c>
      <c r="R882" s="5" t="e">
        <f ca="1">IF(OR(INDEX($AI$2:$AI$1001,MATCH(ROWS($AH$2:AH882),$AH$2:$AH$1001,0),1)&gt;=100000,INDEX($AO$1005:$BQ$1005,1,MATCH(COLUMNS($AO$1006:BE1006),$AO$1006:$BQ$1006,0))&gt;=100000), " ",IF(INDEX($AO$2:$BQ$1001,MATCH(ROWS($AH$2:AH882),$AH$2:$AH$1001,0),MATCH(COLUMNS($AO$1006:BE1006),$AO$1006:$BQ$1006,0)), HYPERLINK("#",""), HYPERLINK(CONCATENATE("#Metadata!", ADDRESS(INDEX($AJ$2:$AJ$1001,MATCH(ROWS($AH$2:AH882),$AH$2:$AH$1001,0),0), INDEX($AO$1004:$BQ$1004,1,MATCH(COLUMNS($AO$1006:BE1006),$AO$1006:$BQ$1006,0)))),"Fix")))</f>
        <v>#N/A</v>
      </c>
      <c r="S882" s="5" t="e">
        <f ca="1">IF(OR(INDEX($AI$2:$AI$1001,MATCH(ROWS($AH$2:AH882),$AH$2:$AH$1001,0),1)&gt;=100000,INDEX($AO$1005:$BQ$1005,1,MATCH(COLUMNS($AO$1006:BF1006),$AO$1006:$BQ$1006,0))&gt;=100000), " ",IF(INDEX($AO$2:$BQ$1001,MATCH(ROWS($AH$2:AH882),$AH$2:$AH$1001,0),MATCH(COLUMNS($AO$1006:BF1006),$AO$1006:$BQ$1006,0)), HYPERLINK("#",""), HYPERLINK(CONCATENATE("#Metadata!", ADDRESS(INDEX($AJ$2:$AJ$1001,MATCH(ROWS($AH$2:AH882),$AH$2:$AH$1001,0),0), INDEX($AO$1004:$BQ$1004,1,MATCH(COLUMNS($AO$1006:BF1006),$AO$1006:$BQ$1006,0)))),"Fix")))</f>
        <v>#N/A</v>
      </c>
      <c r="T882" s="5" t="e">
        <f ca="1">IF(OR(INDEX($AI$2:$AI$1001,MATCH(ROWS($AH$2:AH882),$AH$2:$AH$1001,0),1)&gt;=100000,INDEX($AO$1005:$BQ$1005,1,MATCH(COLUMNS($AO$1006:BG1006),$AO$1006:$BQ$1006,0))&gt;=100000), " ",IF(INDEX($AO$2:$BQ$1001,MATCH(ROWS($AH$2:AH882),$AH$2:$AH$1001,0),MATCH(COLUMNS($AO$1006:BG1006),$AO$1006:$BQ$1006,0)), HYPERLINK("#",""), HYPERLINK(CONCATENATE("#Metadata!", ADDRESS(INDEX($AJ$2:$AJ$1001,MATCH(ROWS($AH$2:AH882),$AH$2:$AH$1001,0),0), INDEX($AO$1004:$BQ$1004,1,MATCH(COLUMNS($AO$1006:BG1006),$AO$1006:$BQ$1006,0)))),"Fix")))</f>
        <v>#N/A</v>
      </c>
      <c r="U882" s="5" t="e">
        <f ca="1">IF(OR(INDEX($AI$2:$AI$1001,MATCH(ROWS($AH$2:AH882),$AH$2:$AH$1001,0),1)&gt;=100000,INDEX($AO$1005:$BQ$1005,1,MATCH(COLUMNS($AO$1006:BH1006),$AO$1006:$BQ$1006,0))&gt;=100000), " ",IF(INDEX($AO$2:$BQ$1001,MATCH(ROWS($AH$2:AH882),$AH$2:$AH$1001,0),MATCH(COLUMNS($AO$1006:BH1006),$AO$1006:$BQ$1006,0)), HYPERLINK("#",""), HYPERLINK(CONCATENATE("#Metadata!", ADDRESS(INDEX($AJ$2:$AJ$1001,MATCH(ROWS($AH$2:AH882),$AH$2:$AH$1001,0),0), INDEX($AO$1004:$BQ$1004,1,MATCH(COLUMNS($AO$1006:BH1006),$AO$1006:$BQ$1006,0)))),"Fix")))</f>
        <v>#N/A</v>
      </c>
      <c r="V882" s="5" t="e">
        <f ca="1">IF(OR(INDEX($AI$2:$AI$1001,MATCH(ROWS($AH$2:AH882),$AH$2:$AH$1001,0),1)&gt;=100000,INDEX($AO$1005:$BQ$1005,1,MATCH(COLUMNS($AO$1006:BI1006),$AO$1006:$BQ$1006,0))&gt;=100000), " ",IF(INDEX($AO$2:$BQ$1001,MATCH(ROWS($AH$2:AH882),$AH$2:$AH$1001,0),MATCH(COLUMNS($AO$1006:BI1006),$AO$1006:$BQ$1006,0)), HYPERLINK("#",""), HYPERLINK(CONCATENATE("#Metadata!", ADDRESS(INDEX($AJ$2:$AJ$1001,MATCH(ROWS($AH$2:AH882),$AH$2:$AH$1001,0),0), INDEX($AO$1004:$BQ$1004,1,MATCH(COLUMNS($AO$1006:BI1006),$AO$1006:$BQ$1006,0)))),"Fix")))</f>
        <v>#N/A</v>
      </c>
      <c r="W882" s="5" t="e">
        <f ca="1">IF(OR(INDEX($AI$2:$AI$1001,MATCH(ROWS($AH$2:AH882),$AH$2:$AH$1001,0),1)&gt;=100000,INDEX($AO$1005:$BQ$1005,1,MATCH(COLUMNS($AO$1006:BJ1006),$AO$1006:$BQ$1006,0))&gt;=100000), " ",IF(INDEX($AO$2:$BQ$1001,MATCH(ROWS($AH$2:AH882),$AH$2:$AH$1001,0),MATCH(COLUMNS($AO$1006:BJ1006),$AO$1006:$BQ$1006,0)), HYPERLINK("#",""), HYPERLINK(CONCATENATE("#Metadata!", ADDRESS(INDEX($AJ$2:$AJ$1001,MATCH(ROWS($AH$2:AH882),$AH$2:$AH$1001,0),0), INDEX($AO$1004:$BQ$1004,1,MATCH(COLUMNS($AO$1006:BJ1006),$AO$1006:$BQ$1006,0)))),"Fix")))</f>
        <v>#N/A</v>
      </c>
      <c r="X882" s="5" t="e">
        <f ca="1">IF(OR(INDEX($AI$2:$AI$1001,MATCH(ROWS($AH$2:AH882),$AH$2:$AH$1001,0),1)&gt;=100000,INDEX($AO$1005:$BQ$1005,1,MATCH(COLUMNS($AO$1006:BK1006),$AO$1006:$BQ$1006,0))&gt;=100000), " ",IF(INDEX($AO$2:$BQ$1001,MATCH(ROWS($AH$2:AH882),$AH$2:$AH$1001,0),MATCH(COLUMNS($AO$1006:BK1006),$AO$1006:$BQ$1006,0)), HYPERLINK("#",""), HYPERLINK(CONCATENATE("#Metadata!", ADDRESS(INDEX($AJ$2:$AJ$1001,MATCH(ROWS($AH$2:AH882),$AH$2:$AH$1001,0),0), INDEX($AO$1004:$BQ$1004,1,MATCH(COLUMNS($AO$1006:BK1006),$AO$1006:$BQ$1006,0)))),"Fix")))</f>
        <v>#N/A</v>
      </c>
      <c r="Y882" s="5" t="e">
        <f ca="1">IF(OR(INDEX($AI$2:$AI$1001,MATCH(ROWS($AH$2:AH882),$AH$2:$AH$1001,0),1)&gt;=100000,INDEX($AO$1005:$BQ$1005,1,MATCH(COLUMNS($AO$1006:BL1006),$AO$1006:$BQ$1006,0))&gt;=100000), " ",IF(INDEX($AO$2:$BQ$1001,MATCH(ROWS($AH$2:AH882),$AH$2:$AH$1001,0),MATCH(COLUMNS($AO$1006:BL1006),$AO$1006:$BQ$1006,0)), HYPERLINK("#",""), HYPERLINK(CONCATENATE("#Metadata!", ADDRESS(INDEX($AJ$2:$AJ$1001,MATCH(ROWS($AH$2:AH882),$AH$2:$AH$1001,0),0), INDEX($AO$1004:$BQ$1004,1,MATCH(COLUMNS($AO$1006:BL1006),$AO$1006:$BQ$1006,0)))),"Fix")))</f>
        <v>#N/A</v>
      </c>
      <c r="Z882" s="5" t="e">
        <f ca="1">IF(OR(INDEX($AI$2:$AI$1001,MATCH(ROWS($AH$2:AH882),$AH$2:$AH$1001,0),1)&gt;=100000,INDEX($AO$1005:$BQ$1005,1,MATCH(COLUMNS($AO$1006:BM1006),$AO$1006:$BQ$1006,0))&gt;=100000), " ",IF(INDEX($AO$2:$BQ$1001,MATCH(ROWS($AH$2:AH882),$AH$2:$AH$1001,0),MATCH(COLUMNS($AO$1006:BM1006),$AO$1006:$BQ$1006,0)), HYPERLINK("#",""), HYPERLINK(CONCATENATE("#Metadata!", ADDRESS(INDEX($AJ$2:$AJ$1001,MATCH(ROWS($AH$2:AH882),$AH$2:$AH$1001,0),0), INDEX($AO$1004:$BQ$1004,1,MATCH(COLUMNS($AO$1006:BM1006),$AO$1006:$BQ$1006,0)))),"Fix")))</f>
        <v>#N/A</v>
      </c>
      <c r="AA882" s="5" t="e">
        <f ca="1">IF(OR(INDEX($AI$2:$AI$1001,MATCH(ROWS($AH$2:AH882),$AH$2:$AH$1001,0),1)&gt;=100000,INDEX($AO$1005:$BQ$1005,1,MATCH(COLUMNS($AO$1006:BN1006),$AO$1006:$BQ$1006,0))&gt;=100000), " ",IF(INDEX($AO$2:$BQ$1001,MATCH(ROWS($AH$2:AH882),$AH$2:$AH$1001,0),MATCH(COLUMNS($AO$1006:BN1006),$AO$1006:$BQ$1006,0)), HYPERLINK("#",""), HYPERLINK(CONCATENATE("#Metadata!", ADDRESS(INDEX($AJ$2:$AJ$1001,MATCH(ROWS($AH$2:AH882),$AH$2:$AH$1001,0),0), INDEX($AO$1004:$BQ$1004,1,MATCH(COLUMNS($AO$1006:BN1006),$AO$1006:$BQ$1006,0)))),"Fix")))</f>
        <v>#N/A</v>
      </c>
      <c r="AB882" s="5" t="e">
        <f ca="1">IF(OR(INDEX($AI$2:$AI$1001,MATCH(ROWS($AH$2:AH882),$AH$2:$AH$1001,0),1)&gt;=100000,INDEX($AO$1005:$BQ$1005,1,MATCH(COLUMNS($AO$1006:BO1006),$AO$1006:$BQ$1006,0))&gt;=100000), " ",IF(INDEX($AO$2:$BQ$1001,MATCH(ROWS($AH$2:AH882),$AH$2:$AH$1001,0),MATCH(COLUMNS($AO$1006:BO1006),$AO$1006:$BQ$1006,0)), HYPERLINK("#",""), HYPERLINK(CONCATENATE("#Metadata!", ADDRESS(INDEX($AJ$2:$AJ$1001,MATCH(ROWS($AH$2:AH882),$AH$2:$AH$1001,0),0), INDEX($AO$1004:$BQ$1004,1,MATCH(COLUMNS($AO$1006:BO1006),$AO$1006:$BQ$1006,0)))),"Fix")))</f>
        <v>#N/A</v>
      </c>
      <c r="AC882" s="5" t="e">
        <f ca="1">IF(OR(INDEX($AI$2:$AI$1001,MATCH(ROWS($AH$2:AH882),$AH$2:$AH$1001,0),1)&gt;=100000,INDEX($AO$1005:$BQ$1005,1,MATCH(COLUMNS($AO$1006:BP1006),$AO$1006:$BQ$1006,0))&gt;=100000), " ",IF(INDEX($AO$2:$BQ$1001,MATCH(ROWS($AH$2:AH882),$AH$2:$AH$1001,0),MATCH(COLUMNS($AO$1006:BP1006),$AO$1006:$BQ$1006,0)), HYPERLINK("#",""), HYPERLINK(CONCATENATE("#Metadata!", ADDRESS(INDEX($AJ$2:$AJ$1001,MATCH(ROWS($AH$2:AH882),$AH$2:$AH$1001,0),0), INDEX($AO$1004:$BQ$1004,1,MATCH(COLUMNS($AO$1006:BP1006),$AO$1006:$BQ$1006,0)))),"Fix")))</f>
        <v>#N/A</v>
      </c>
      <c r="AD882" s="5" t="e">
        <f ca="1">IF(OR(INDEX($AI$2:$AI$1001,MATCH(ROWS($AH$2:AH882),$AH$2:$AH$1001,0),1)&gt;=100000,INDEX($AO$1005:$BQ$1005,1,MATCH(COLUMNS($AO$1006:BQ1006),$AO$1006:$BQ$1006,0))&gt;=100000), " ",IF(INDEX($AO$2:$BQ$1001,MATCH(ROWS($AH$2:AH882),$AH$2:$AH$1001,0),MATCH(COLUMNS($AO$1006:BQ1006),$AO$1006:$BQ$1006,0)), HYPERLINK("#",""), HYPERLINK(CONCATENATE("#Metadata!", ADDRESS(INDEX($AJ$2:$AJ$1001,MATCH(ROWS($AH$2:AH882),$AH$2:$AH$1001,0),0), INDEX($AO$1004:$BQ$1004,1,MATCH(COLUMNS($AO$1006:BQ1006),$AO$1006:$BQ$1006,0)))),"Fix")))</f>
        <v>#REF!</v>
      </c>
      <c r="AH882">
        <f ca="1"/>
        <v>879</v>
      </c>
      <c r="AI882">
        <v>100882</v>
      </c>
      <c r="AJ882">
        <v>882</v>
      </c>
      <c r="AK882" t="b">
        <f t="shared" si="13"/>
        <v>1</v>
      </c>
      <c r="AL882" t="b">
        <f>COUNTBLANK(Metadata!B882:AD882)=COLUMNS(Metadata!B882:AD882)</f>
        <v>1</v>
      </c>
      <c r="AM882" t="str">
        <v/>
      </c>
      <c r="AO882" t="b">
        <f ca="1">AND(IF(Metadata!B882="",FALSE,TRUE),COUNTIF(Metadata!B:B, Metadata!B882) = 1,NOT(ISERROR(SUMPRODUCT(SEARCH(MID(Metadata!B882,ROW(INDIRECT("1:"&amp;LEN(Metadata!B882))), 1),"0123456789abcdefghijklmnopqrstuvwxyzABCDEFGHIJKLMNOPQRSTUVWXYZ.")))))</f>
        <v>0</v>
      </c>
      <c r="AP882" t="b">
        <f>IF(Metadata!C882="",FALSE,TRUE)</f>
        <v>0</v>
      </c>
      <c r="AQ882" t="b">
        <f>IF(Metadata!D882="",FALSE,TRUE)</f>
        <v>0</v>
      </c>
      <c r="AR882" t="b">
        <f ca="1">OR(AND(IF(Metadata!E882="",FALSE,TRUE),OR(EXACT(Metadata!E882,"not collected"),EXACT(Metadata!E882,"not provided"),EXACT(Metadata!E882,"restricted access"))),AND(IF(Metadata!E882="",FALSE,TRUE),AND(AND(IFERROR(INT(LEFT(Metadata!E882,4))&gt;1900,FALSE),IFERROR(INT(LEFT(Metadata!E882,4))&lt;=YEAR(NOW()),FALSE)), OR(MID(Metadata!E882,5,1)="", AND(AND(MID(Metadata!E882,5,1)="-",IFERROR(INT(MID(Metadata!E882,6,1))&gt;=0,FALSE),IFERROR(INT(MID(Metadata!E882,6,1))&lt;=1,FALSE),NOT(MID(Metadata!E882,7,1)=""),IFERROR(INT(MID(Metadata!E882,6,2))&gt;=1,FALSE),IFERROR(INT(MID(Metadata!E882,6,2))&lt;=12,FALSE)), OR(MID(Metadata!E882,8,1)="", AND(AND(MID(Metadata!E882,8,1)="-",IFERROR(INT(MID(Metadata!E882,9,1))&gt;=0,FALSE),IFERROR(INT(MID(Metadata!E882,9,1))&lt;=3,FALSE),NOT(MID(Metadata!E882,10,1)=""),IFERROR(INT(MID(Metadata!E882,9,2))&gt;=1,FALSE),IFERROR(INT(MID(Metadata!E882,9,2))&lt;=31,FALSE)), OR(MID(Metadata!E882,11,1)="", AND(AND(MID(Metadata!E882,11,1)=" ",IFERROR(INT(MID(Metadata!E882,12,1))&gt;=0,FALSE),IFERROR(INT(MID(Metadata!E882,12,1))&lt;=2,FALSE),NOT(MID(Metadata!E882,13,1)=""),IFERROR(INT(MID(Metadata!E882,12,2))&gt;=0,FALSE),IFERROR(INT(MID(Metadata!E882,12,2))&lt;=23,FALSE)), OR(MID(Metadata!E882,14,1)="", AND(AND(MID(Metadata!E882,14,1)=":",IFERROR(INT(MID(Metadata!E882,15,1))&gt;=0,FALSE),IFERROR(INT(MID(Metadata!E882,15,1))&lt;=5,FALSE),NOT(MID(Metadata!E882,16,1)=""),IFERROR(INT(MID(Metadata!E882,15,2))&gt;=0,FALSE),IFERROR(INT(MID(Metadata!E882,15,2))&lt;=59,FALSE)), OR(MID(Metadata!E882,17,1)="", AND(AND(MID(Metadata!E882,17,1)=":",IFERROR(INT(MID(Metadata!E882,18,1))&gt;=0,FALSE),IFERROR(INT(MID(Metadata!E882,18,1))&lt;=5,FALSE),NOT(MID(Metadata!E882,19,1)=""),IFERROR(INT(MID(Metadata!E882,18,2))&gt;=0,FALSE),IFERROR(INT(MID(Metadata!E882,18,2))&lt;=59,FALSE)), LEN(Metadata!E882)&lt;=19)))))))))))))</f>
        <v>0</v>
      </c>
      <c r="AS882" t="b">
        <f>IF(Metadata!F882="",FALSE,TRUE)</f>
        <v>0</v>
      </c>
      <c r="AT882" t="b">
        <f>OR(AND(IF(Metadata!G882="",FALSE,TRUE),OR(EXACT(Metadata!G882,"not collected"),EXACT(Metadata!G882,"not provided"))),AND(IF(Metadata!G882="",FALSE,TRUE),OR(EXACT(Metadata!G882,"TRUE"),EXACT(Metadata!G882,"FALSE"))))</f>
        <v>0</v>
      </c>
      <c r="AU882" t="b">
        <f>OR(AND(IF(Metadata!H882="",FALSE,TRUE),OR(EXACT(Metadata!H882,"not collected"),EXACT(Metadata!H882,"not provided"),EXACT(Metadata!H882,"restricted access"))),AND(IF(Metadata!H882="",FALSE,ISNUMBER(VALUE(Metadata!H882))),Metadata!H882&gt;=-413))</f>
        <v>0</v>
      </c>
      <c r="AV882" t="b">
        <f>AND(IF(Metadata!I882="",FALSE,TRUE),EXACT(Metadata!I882,"meters"))</f>
        <v>0</v>
      </c>
      <c r="AW882" t="b">
        <f>AND(IF(Metadata!J882="",FALSE,TRUE),EXACT(Metadata!J882,"free-living"))</f>
        <v>0</v>
      </c>
      <c r="AX882" t="b">
        <f>AND(IF(Metadata!K882="",FALSE,TRUE),OR(EXACT(Metadata!K882,"saline"),EXACT(Metadata!K882,"non-saline")))</f>
        <v>0</v>
      </c>
      <c r="AY882" t="b">
        <f>AND(IF(Metadata!L882="",FALSE,TRUE),OR(EXACT(Metadata!L882,"sub-surface (non-saline)"),EXACT(Metadata!L882,"surface (non-saline)"),EXACT(Metadata!L882,"water (non-saline)"),EXACT(Metadata!L882,"soil (non-saline)"),EXACT(Metadata!L882,"aerosol (non-saline)"),EXACT(Metadata!L882,"sediment (non-saline)"),EXACT(Metadata!L882,"surface (saline)"),EXACT(Metadata!L882,"water (saline)"),EXACT(Metadata!L882,"hypersaline (saline)"),EXACT(Metadata!L882,"aerosol (saline)"),EXACT(Metadata!L882,"sediment (saline)")))</f>
        <v>0</v>
      </c>
      <c r="AZ882" t="b">
        <f>IF(Metadata!M882="",FALSE,TRUE)</f>
        <v>0</v>
      </c>
      <c r="BA882" t="b">
        <f>IF(Metadata!N882="",FALSE,TRUE)</f>
        <v>0</v>
      </c>
      <c r="BB882" t="b">
        <f>IF(Metadata!O882="",FALSE,TRUE)</f>
        <v>0</v>
      </c>
      <c r="BC882" t="b">
        <f>AND(IF(Metadata!P882="",FALSE,TRUE),OR(EXACT(Metadata!P882,"air"),EXACT(Metadata!P882,"microbial mat/biofilm"),EXACT(Metadata!P882,"misc environment"),EXACT(Metadata!P882,"sediment"),EXACT(Metadata!P882,"soil"),EXACT(Metadata!P882,"wastewater/sludge"),EXACT(Metadata!P882,"water")))</f>
        <v>0</v>
      </c>
      <c r="BD882" t="b">
        <f>IF(Metadata!Q882="",FALSE,TRUE)</f>
        <v>0</v>
      </c>
      <c r="BE882" t="b">
        <f>IF(Metadata!R882="",FALSE,TRUE)</f>
        <v>0</v>
      </c>
      <c r="BF882" t="b">
        <f>OR(AND(IF(Metadata!S882="",FALSE,TRUE),OR(EXACT(Metadata!S882,"not collected"),EXACT(Metadata!S882,"not provided"),EXACT(Metadata!S882,"restricted access"))),AND(IF(Metadata!S882="",FALSE,ISNUMBER(VALUE(Metadata!S882))),Metadata!S882&gt;=-90,Metadata!S882&lt;=90))</f>
        <v>0</v>
      </c>
      <c r="BG882" t="b">
        <f>AND(IF(Metadata!T882="",FALSE,TRUE),EXACT(Metadata!T882,"Decimal degrees"))</f>
        <v>0</v>
      </c>
      <c r="BH882" t="b">
        <f>OR(AND(IF(Metadata!U882="",FALSE,TRUE),OR(EXACT(Metadata!U882,"not applicable"),EXACT(Metadata!U882,"not collected"))),IF(Metadata!U882="",FALSE,TRUE))</f>
        <v>0</v>
      </c>
      <c r="BI882" t="b">
        <f>OR(AND(IF(Metadata!V882="",FALSE,TRUE),OR(EXACT(Metadata!V882,"not collected"),EXACT(Metadata!V882,"not provided"),EXACT(Metadata!V882,"restricted access"))),AND(IF(Metadata!V882="",FALSE,ISNUMBER(VALUE(Metadata!V882))),Metadata!V882&gt;=-180,Metadata!V882&lt;=180))</f>
        <v>0</v>
      </c>
      <c r="BJ882" t="b">
        <f>AND(IF(Metadata!W882="",FALSE,TRUE),EXACT(Metadata!W882,"Decimal degrees"))</f>
        <v>0</v>
      </c>
      <c r="BK882" t="b">
        <f>IF(Metadata!X882="",FALSE,TRUE)</f>
        <v>0</v>
      </c>
      <c r="BL882" t="b">
        <f>OR(AND(IF(Metadata!Y882="",FALSE,TRUE),OR(EXACT(Metadata!Y882,"not collected"),EXACT(Metadata!Y882,"not provided"),EXACT(Metadata!Y882,"restricted access"))),AND(IF(Metadata!Y882="",FALSE,TRUE),OR(EXACT(Metadata!Y882,"TRUE"),EXACT(Metadata!Y882,"FALSE"))))</f>
        <v>0</v>
      </c>
      <c r="BM882" t="b">
        <f>OR(AND(IF(Metadata!Z882="",FALSE,TRUE),EXACT(Metadata!Z882,"not applicable")),AND(IF(Metadata!Z882="",FALSE,TRUE),OR(EXACT(Metadata!Z882,"beer"),EXACT(Metadata!Z882,"cheese"),EXACT(Metadata!Z882,"fresh water"),EXACT(Metadata!Z882,"marine sediment"),EXACT(Metadata!Z882,"sea water"),EXACT(Metadata!Z882,"sediment"),EXACT(Metadata!Z882,"soil"),EXACT(Metadata!Z882,"waste water"))))</f>
        <v>0</v>
      </c>
      <c r="BN882" t="b">
        <f>AND(IF(Metadata!AA882="",FALSE,TRUE),EXACT(Metadata!AA882,"metagenome"))</f>
        <v>0</v>
      </c>
      <c r="BO882" t="b">
        <f>AND(IF(Metadata!AB882="",FALSE,TRUE),EXACT(Metadata!AB882,"256318"))</f>
        <v>0</v>
      </c>
      <c r="BP882" t="b">
        <f>IF(Metadata!AC882="",FALSE,TRUE)</f>
        <v>0</v>
      </c>
      <c r="BQ882" t="b">
        <f>IF(Metadata!AD882="",FALSE,TRUE)</f>
        <v>0</v>
      </c>
    </row>
    <row r="883" spans="1:69" x14ac:dyDescent="0.2">
      <c r="A883" s="4" t="e">
        <f ca="1">IF(B883=" "," ",HYPERLINK(CONCATENATE("#metadata!",ADDRESS(INDEX($AJ$2:$AJ$1001,MATCH(ROWS($AH$2:AH883),$AH$2:$AH$1001,0),0),2)),INDEX($AM$2:$AM$1001,MATCH(ROWS($AH$2:AH883),$AH$2:$AH$1001,0),0)))</f>
        <v>#N/A</v>
      </c>
      <c r="B883" s="5" t="e">
        <f ca="1">IF(OR(INDEX($AI$2:$AI$1001,MATCH(ROWS($AH$2:AH883),$AH$2:$AH$1001,0),1)&gt;=100000,INDEX($AO$1005:$BQ$1005,1,MATCH(COLUMNS($AO$1006:AO1006),$AO$1006:$BQ$1006,0))&gt;=100000), " ",IF(INDEX($AO$2:$BQ$1001,MATCH(ROWS($AH$2:AH883),$AH$2:$AH$1001,0),MATCH(COLUMNS($AO$1006:AO1006),$AO$1006:$BQ$1006,0)), HYPERLINK("#",""), HYPERLINK(CONCATENATE("#Metadata!", ADDRESS(INDEX($AJ$2:$AJ$1001,MATCH(ROWS($AH$2:AH883),$AH$2:$AH$1001,0),0), INDEX($AO$1004:$BQ$1004,1,MATCH(COLUMNS($AO$1006:AO1006),$AO$1006:$BQ$1006,0)))),"Fix")))</f>
        <v>#N/A</v>
      </c>
      <c r="C883" s="5" t="e">
        <f ca="1">IF(OR(INDEX($AI$2:$AI$1001,MATCH(ROWS($AH$2:AH883),$AH$2:$AH$1001,0),1)&gt;=100000,INDEX($AO$1005:$BQ$1005,1,MATCH(COLUMNS($AO$1006:AP1006),$AO$1006:$BQ$1006,0))&gt;=100000), " ",IF(INDEX($AO$2:$BQ$1001,MATCH(ROWS($AH$2:AH883),$AH$2:$AH$1001,0),MATCH(COLUMNS($AO$1006:AP1006),$AO$1006:$BQ$1006,0)), HYPERLINK("#",""), HYPERLINK(CONCATENATE("#Metadata!", ADDRESS(INDEX($AJ$2:$AJ$1001,MATCH(ROWS($AH$2:AH883),$AH$2:$AH$1001,0),0), INDEX($AO$1004:$BQ$1004,1,MATCH(COLUMNS($AO$1006:AP1006),$AO$1006:$BQ$1006,0)))),"Fix")))</f>
        <v>#N/A</v>
      </c>
      <c r="D883" s="5" t="e">
        <f ca="1">IF(OR(INDEX($AI$2:$AI$1001,MATCH(ROWS($AH$2:AH883),$AH$2:$AH$1001,0),1)&gt;=100000,INDEX($AO$1005:$BQ$1005,1,MATCH(COLUMNS($AO$1006:AQ1006),$AO$1006:$BQ$1006,0))&gt;=100000), " ",IF(INDEX($AO$2:$BQ$1001,MATCH(ROWS($AH$2:AH883),$AH$2:$AH$1001,0),MATCH(COLUMNS($AO$1006:AQ1006),$AO$1006:$BQ$1006,0)), HYPERLINK("#",""), HYPERLINK(CONCATENATE("#Metadata!", ADDRESS(INDEX($AJ$2:$AJ$1001,MATCH(ROWS($AH$2:AH883),$AH$2:$AH$1001,0),0), INDEX($AO$1004:$BQ$1004,1,MATCH(COLUMNS($AO$1006:AQ1006),$AO$1006:$BQ$1006,0)))),"Fix")))</f>
        <v>#N/A</v>
      </c>
      <c r="E883" s="5" t="e">
        <f ca="1">IF(OR(INDEX($AI$2:$AI$1001,MATCH(ROWS($AH$2:AH883),$AH$2:$AH$1001,0),1)&gt;=100000,INDEX($AO$1005:$BQ$1005,1,MATCH(COLUMNS($AO$1006:AR1006),$AO$1006:$BQ$1006,0))&gt;=100000), " ",IF(INDEX($AO$2:$BQ$1001,MATCH(ROWS($AH$2:AH883),$AH$2:$AH$1001,0),MATCH(COLUMNS($AO$1006:AR1006),$AO$1006:$BQ$1006,0)), HYPERLINK("#",""), HYPERLINK(CONCATENATE("#Metadata!", ADDRESS(INDEX($AJ$2:$AJ$1001,MATCH(ROWS($AH$2:AH883),$AH$2:$AH$1001,0),0), INDEX($AO$1004:$BQ$1004,1,MATCH(COLUMNS($AO$1006:AR1006),$AO$1006:$BQ$1006,0)))),"Fix")))</f>
        <v>#N/A</v>
      </c>
      <c r="F883" s="5" t="e">
        <f ca="1">IF(OR(INDEX($AI$2:$AI$1001,MATCH(ROWS($AH$2:AH883),$AH$2:$AH$1001,0),1)&gt;=100000,INDEX($AO$1005:$BQ$1005,1,MATCH(COLUMNS($AO$1006:AS1006),$AO$1006:$BQ$1006,0))&gt;=100000), " ",IF(INDEX($AO$2:$BQ$1001,MATCH(ROWS($AH$2:AH883),$AH$2:$AH$1001,0),MATCH(COLUMNS($AO$1006:AS1006),$AO$1006:$BQ$1006,0)), HYPERLINK("#",""), HYPERLINK(CONCATENATE("#Metadata!", ADDRESS(INDEX($AJ$2:$AJ$1001,MATCH(ROWS($AH$2:AH883),$AH$2:$AH$1001,0),0), INDEX($AO$1004:$BQ$1004,1,MATCH(COLUMNS($AO$1006:AS1006),$AO$1006:$BQ$1006,0)))),"Fix")))</f>
        <v>#N/A</v>
      </c>
      <c r="G883" s="5" t="e">
        <f ca="1">IF(OR(INDEX($AI$2:$AI$1001,MATCH(ROWS($AH$2:AH883),$AH$2:$AH$1001,0),1)&gt;=100000,INDEX($AO$1005:$BQ$1005,1,MATCH(COLUMNS($AO$1006:AT1006),$AO$1006:$BQ$1006,0))&gt;=100000), " ",IF(INDEX($AO$2:$BQ$1001,MATCH(ROWS($AH$2:AH883),$AH$2:$AH$1001,0),MATCH(COLUMNS($AO$1006:AT1006),$AO$1006:$BQ$1006,0)), HYPERLINK("#",""), HYPERLINK(CONCATENATE("#Metadata!", ADDRESS(INDEX($AJ$2:$AJ$1001,MATCH(ROWS($AH$2:AH883),$AH$2:$AH$1001,0),0), INDEX($AO$1004:$BQ$1004,1,MATCH(COLUMNS($AO$1006:AT1006),$AO$1006:$BQ$1006,0)))),"Fix")))</f>
        <v>#N/A</v>
      </c>
      <c r="H883" s="5" t="e">
        <f ca="1">IF(OR(INDEX($AI$2:$AI$1001,MATCH(ROWS($AH$2:AH883),$AH$2:$AH$1001,0),1)&gt;=100000,INDEX($AO$1005:$BQ$1005,1,MATCH(COLUMNS($AO$1006:AU1006),$AO$1006:$BQ$1006,0))&gt;=100000), " ",IF(INDEX($AO$2:$BQ$1001,MATCH(ROWS($AH$2:AH883),$AH$2:$AH$1001,0),MATCH(COLUMNS($AO$1006:AU1006),$AO$1006:$BQ$1006,0)), HYPERLINK("#",""), HYPERLINK(CONCATENATE("#Metadata!", ADDRESS(INDEX($AJ$2:$AJ$1001,MATCH(ROWS($AH$2:AH883),$AH$2:$AH$1001,0),0), INDEX($AO$1004:$BQ$1004,1,MATCH(COLUMNS($AO$1006:AU1006),$AO$1006:$BQ$1006,0)))),"Fix")))</f>
        <v>#N/A</v>
      </c>
      <c r="I883" s="5" t="e">
        <f ca="1">IF(OR(INDEX($AI$2:$AI$1001,MATCH(ROWS($AH$2:AH883),$AH$2:$AH$1001,0),1)&gt;=100000,INDEX($AO$1005:$BQ$1005,1,MATCH(COLUMNS($AO$1006:AV1006),$AO$1006:$BQ$1006,0))&gt;=100000), " ",IF(INDEX($AO$2:$BQ$1001,MATCH(ROWS($AH$2:AH883),$AH$2:$AH$1001,0),MATCH(COLUMNS($AO$1006:AV1006),$AO$1006:$BQ$1006,0)), HYPERLINK("#",""), HYPERLINK(CONCATENATE("#Metadata!", ADDRESS(INDEX($AJ$2:$AJ$1001,MATCH(ROWS($AH$2:AH883),$AH$2:$AH$1001,0),0), INDEX($AO$1004:$BQ$1004,1,MATCH(COLUMNS($AO$1006:AV1006),$AO$1006:$BQ$1006,0)))),"Fix")))</f>
        <v>#N/A</v>
      </c>
      <c r="J883" s="5" t="e">
        <f ca="1">IF(OR(INDEX($AI$2:$AI$1001,MATCH(ROWS($AH$2:AH883),$AH$2:$AH$1001,0),1)&gt;=100000,INDEX($AO$1005:$BQ$1005,1,MATCH(COLUMNS($AO$1006:AW1006),$AO$1006:$BQ$1006,0))&gt;=100000), " ",IF(INDEX($AO$2:$BQ$1001,MATCH(ROWS($AH$2:AH883),$AH$2:$AH$1001,0),MATCH(COLUMNS($AO$1006:AW1006),$AO$1006:$BQ$1006,0)), HYPERLINK("#",""), HYPERLINK(CONCATENATE("#Metadata!", ADDRESS(INDEX($AJ$2:$AJ$1001,MATCH(ROWS($AH$2:AH883),$AH$2:$AH$1001,0),0), INDEX($AO$1004:$BQ$1004,1,MATCH(COLUMNS($AO$1006:AW1006),$AO$1006:$BQ$1006,0)))),"Fix")))</f>
        <v>#N/A</v>
      </c>
      <c r="K883" s="5" t="e">
        <f ca="1">IF(OR(INDEX($AI$2:$AI$1001,MATCH(ROWS($AH$2:AH883),$AH$2:$AH$1001,0),1)&gt;=100000,INDEX($AO$1005:$BQ$1005,1,MATCH(COLUMNS($AO$1006:AX1006),$AO$1006:$BQ$1006,0))&gt;=100000), " ",IF(INDEX($AO$2:$BQ$1001,MATCH(ROWS($AH$2:AH883),$AH$2:$AH$1001,0),MATCH(COLUMNS($AO$1006:AX1006),$AO$1006:$BQ$1006,0)), HYPERLINK("#",""), HYPERLINK(CONCATENATE("#Metadata!", ADDRESS(INDEX($AJ$2:$AJ$1001,MATCH(ROWS($AH$2:AH883),$AH$2:$AH$1001,0),0), INDEX($AO$1004:$BQ$1004,1,MATCH(COLUMNS($AO$1006:AX1006),$AO$1006:$BQ$1006,0)))),"Fix")))</f>
        <v>#N/A</v>
      </c>
      <c r="L883" s="5" t="e">
        <f ca="1">IF(OR(INDEX($AI$2:$AI$1001,MATCH(ROWS($AH$2:AH883),$AH$2:$AH$1001,0),1)&gt;=100000,INDEX($AO$1005:$BQ$1005,1,MATCH(COLUMNS($AO$1006:AY1006),$AO$1006:$BQ$1006,0))&gt;=100000), " ",IF(INDEX($AO$2:$BQ$1001,MATCH(ROWS($AH$2:AH883),$AH$2:$AH$1001,0),MATCH(COLUMNS($AO$1006:AY1006),$AO$1006:$BQ$1006,0)), HYPERLINK("#",""), HYPERLINK(CONCATENATE("#Metadata!", ADDRESS(INDEX($AJ$2:$AJ$1001,MATCH(ROWS($AH$2:AH883),$AH$2:$AH$1001,0),0), INDEX($AO$1004:$BQ$1004,1,MATCH(COLUMNS($AO$1006:AY1006),$AO$1006:$BQ$1006,0)))),"Fix")))</f>
        <v>#N/A</v>
      </c>
      <c r="M883" s="5" t="e">
        <f ca="1">IF(OR(INDEX($AI$2:$AI$1001,MATCH(ROWS($AH$2:AH883),$AH$2:$AH$1001,0),1)&gt;=100000,INDEX($AO$1005:$BQ$1005,1,MATCH(COLUMNS($AO$1006:AZ1006),$AO$1006:$BQ$1006,0))&gt;=100000), " ",IF(INDEX($AO$2:$BQ$1001,MATCH(ROWS($AH$2:AH883),$AH$2:$AH$1001,0),MATCH(COLUMNS($AO$1006:AZ1006),$AO$1006:$BQ$1006,0)), HYPERLINK("#",""), HYPERLINK(CONCATENATE("#Metadata!", ADDRESS(INDEX($AJ$2:$AJ$1001,MATCH(ROWS($AH$2:AH883),$AH$2:$AH$1001,0),0), INDEX($AO$1004:$BQ$1004,1,MATCH(COLUMNS($AO$1006:AZ1006),$AO$1006:$BQ$1006,0)))),"Fix")))</f>
        <v>#N/A</v>
      </c>
      <c r="N883" s="5" t="e">
        <f ca="1">IF(OR(INDEX($AI$2:$AI$1001,MATCH(ROWS($AH$2:AH883),$AH$2:$AH$1001,0),1)&gt;=100000,INDEX($AO$1005:$BQ$1005,1,MATCH(COLUMNS($AO$1006:BA1006),$AO$1006:$BQ$1006,0))&gt;=100000), " ",IF(INDEX($AO$2:$BQ$1001,MATCH(ROWS($AH$2:AH883),$AH$2:$AH$1001,0),MATCH(COLUMNS($AO$1006:BA1006),$AO$1006:$BQ$1006,0)), HYPERLINK("#",""), HYPERLINK(CONCATENATE("#Metadata!", ADDRESS(INDEX($AJ$2:$AJ$1001,MATCH(ROWS($AH$2:AH883),$AH$2:$AH$1001,0),0), INDEX($AO$1004:$BQ$1004,1,MATCH(COLUMNS($AO$1006:BA1006),$AO$1006:$BQ$1006,0)))),"Fix")))</f>
        <v>#N/A</v>
      </c>
      <c r="O883" s="5" t="e">
        <f ca="1">IF(OR(INDEX($AI$2:$AI$1001,MATCH(ROWS($AH$2:AH883),$AH$2:$AH$1001,0),1)&gt;=100000,INDEX($AO$1005:$BQ$1005,1,MATCH(COLUMNS($AO$1006:BB1006),$AO$1006:$BQ$1006,0))&gt;=100000), " ",IF(INDEX($AO$2:$BQ$1001,MATCH(ROWS($AH$2:AH883),$AH$2:$AH$1001,0),MATCH(COLUMNS($AO$1006:BB1006),$AO$1006:$BQ$1006,0)), HYPERLINK("#",""), HYPERLINK(CONCATENATE("#Metadata!", ADDRESS(INDEX($AJ$2:$AJ$1001,MATCH(ROWS($AH$2:AH883),$AH$2:$AH$1001,0),0), INDEX($AO$1004:$BQ$1004,1,MATCH(COLUMNS($AO$1006:BB1006),$AO$1006:$BQ$1006,0)))),"Fix")))</f>
        <v>#N/A</v>
      </c>
      <c r="P883" s="5" t="e">
        <f ca="1">IF(OR(INDEX($AI$2:$AI$1001,MATCH(ROWS($AH$2:AH883),$AH$2:$AH$1001,0),1)&gt;=100000,INDEX($AO$1005:$BQ$1005,1,MATCH(COLUMNS($AO$1006:BC1006),$AO$1006:$BQ$1006,0))&gt;=100000), " ",IF(INDEX($AO$2:$BQ$1001,MATCH(ROWS($AH$2:AH883),$AH$2:$AH$1001,0),MATCH(COLUMNS($AO$1006:BC1006),$AO$1006:$BQ$1006,0)), HYPERLINK("#",""), HYPERLINK(CONCATENATE("#Metadata!", ADDRESS(INDEX($AJ$2:$AJ$1001,MATCH(ROWS($AH$2:AH883),$AH$2:$AH$1001,0),0), INDEX($AO$1004:$BQ$1004,1,MATCH(COLUMNS($AO$1006:BC1006),$AO$1006:$BQ$1006,0)))),"Fix")))</f>
        <v>#N/A</v>
      </c>
      <c r="Q883" s="5" t="e">
        <f ca="1">IF(OR(INDEX($AI$2:$AI$1001,MATCH(ROWS($AH$2:AH883),$AH$2:$AH$1001,0),1)&gt;=100000,INDEX($AO$1005:$BQ$1005,1,MATCH(COLUMNS($AO$1006:BD1006),$AO$1006:$BQ$1006,0))&gt;=100000), " ",IF(INDEX($AO$2:$BQ$1001,MATCH(ROWS($AH$2:AH883),$AH$2:$AH$1001,0),MATCH(COLUMNS($AO$1006:BD1006),$AO$1006:$BQ$1006,0)), HYPERLINK("#",""), HYPERLINK(CONCATENATE("#Metadata!", ADDRESS(INDEX($AJ$2:$AJ$1001,MATCH(ROWS($AH$2:AH883),$AH$2:$AH$1001,0),0), INDEX($AO$1004:$BQ$1004,1,MATCH(COLUMNS($AO$1006:BD1006),$AO$1006:$BQ$1006,0)))),"Fix")))</f>
        <v>#N/A</v>
      </c>
      <c r="R883" s="5" t="e">
        <f ca="1">IF(OR(INDEX($AI$2:$AI$1001,MATCH(ROWS($AH$2:AH883),$AH$2:$AH$1001,0),1)&gt;=100000,INDEX($AO$1005:$BQ$1005,1,MATCH(COLUMNS($AO$1006:BE1006),$AO$1006:$BQ$1006,0))&gt;=100000), " ",IF(INDEX($AO$2:$BQ$1001,MATCH(ROWS($AH$2:AH883),$AH$2:$AH$1001,0),MATCH(COLUMNS($AO$1006:BE1006),$AO$1006:$BQ$1006,0)), HYPERLINK("#",""), HYPERLINK(CONCATENATE("#Metadata!", ADDRESS(INDEX($AJ$2:$AJ$1001,MATCH(ROWS($AH$2:AH883),$AH$2:$AH$1001,0),0), INDEX($AO$1004:$BQ$1004,1,MATCH(COLUMNS($AO$1006:BE1006),$AO$1006:$BQ$1006,0)))),"Fix")))</f>
        <v>#N/A</v>
      </c>
      <c r="S883" s="5" t="e">
        <f ca="1">IF(OR(INDEX($AI$2:$AI$1001,MATCH(ROWS($AH$2:AH883),$AH$2:$AH$1001,0),1)&gt;=100000,INDEX($AO$1005:$BQ$1005,1,MATCH(COLUMNS($AO$1006:BF1006),$AO$1006:$BQ$1006,0))&gt;=100000), " ",IF(INDEX($AO$2:$BQ$1001,MATCH(ROWS($AH$2:AH883),$AH$2:$AH$1001,0),MATCH(COLUMNS($AO$1006:BF1006),$AO$1006:$BQ$1006,0)), HYPERLINK("#",""), HYPERLINK(CONCATENATE("#Metadata!", ADDRESS(INDEX($AJ$2:$AJ$1001,MATCH(ROWS($AH$2:AH883),$AH$2:$AH$1001,0),0), INDEX($AO$1004:$BQ$1004,1,MATCH(COLUMNS($AO$1006:BF1006),$AO$1006:$BQ$1006,0)))),"Fix")))</f>
        <v>#N/A</v>
      </c>
      <c r="T883" s="5" t="e">
        <f ca="1">IF(OR(INDEX($AI$2:$AI$1001,MATCH(ROWS($AH$2:AH883),$AH$2:$AH$1001,0),1)&gt;=100000,INDEX($AO$1005:$BQ$1005,1,MATCH(COLUMNS($AO$1006:BG1006),$AO$1006:$BQ$1006,0))&gt;=100000), " ",IF(INDEX($AO$2:$BQ$1001,MATCH(ROWS($AH$2:AH883),$AH$2:$AH$1001,0),MATCH(COLUMNS($AO$1006:BG1006),$AO$1006:$BQ$1006,0)), HYPERLINK("#",""), HYPERLINK(CONCATENATE("#Metadata!", ADDRESS(INDEX($AJ$2:$AJ$1001,MATCH(ROWS($AH$2:AH883),$AH$2:$AH$1001,0),0), INDEX($AO$1004:$BQ$1004,1,MATCH(COLUMNS($AO$1006:BG1006),$AO$1006:$BQ$1006,0)))),"Fix")))</f>
        <v>#N/A</v>
      </c>
      <c r="U883" s="5" t="e">
        <f ca="1">IF(OR(INDEX($AI$2:$AI$1001,MATCH(ROWS($AH$2:AH883),$AH$2:$AH$1001,0),1)&gt;=100000,INDEX($AO$1005:$BQ$1005,1,MATCH(COLUMNS($AO$1006:BH1006),$AO$1006:$BQ$1006,0))&gt;=100000), " ",IF(INDEX($AO$2:$BQ$1001,MATCH(ROWS($AH$2:AH883),$AH$2:$AH$1001,0),MATCH(COLUMNS($AO$1006:BH1006),$AO$1006:$BQ$1006,0)), HYPERLINK("#",""), HYPERLINK(CONCATENATE("#Metadata!", ADDRESS(INDEX($AJ$2:$AJ$1001,MATCH(ROWS($AH$2:AH883),$AH$2:$AH$1001,0),0), INDEX($AO$1004:$BQ$1004,1,MATCH(COLUMNS($AO$1006:BH1006),$AO$1006:$BQ$1006,0)))),"Fix")))</f>
        <v>#N/A</v>
      </c>
      <c r="V883" s="5" t="e">
        <f ca="1">IF(OR(INDEX($AI$2:$AI$1001,MATCH(ROWS($AH$2:AH883),$AH$2:$AH$1001,0),1)&gt;=100000,INDEX($AO$1005:$BQ$1005,1,MATCH(COLUMNS($AO$1006:BI1006),$AO$1006:$BQ$1006,0))&gt;=100000), " ",IF(INDEX($AO$2:$BQ$1001,MATCH(ROWS($AH$2:AH883),$AH$2:$AH$1001,0),MATCH(COLUMNS($AO$1006:BI1006),$AO$1006:$BQ$1006,0)), HYPERLINK("#",""), HYPERLINK(CONCATENATE("#Metadata!", ADDRESS(INDEX($AJ$2:$AJ$1001,MATCH(ROWS($AH$2:AH883),$AH$2:$AH$1001,0),0), INDEX($AO$1004:$BQ$1004,1,MATCH(COLUMNS($AO$1006:BI1006),$AO$1006:$BQ$1006,0)))),"Fix")))</f>
        <v>#N/A</v>
      </c>
      <c r="W883" s="5" t="e">
        <f ca="1">IF(OR(INDEX($AI$2:$AI$1001,MATCH(ROWS($AH$2:AH883),$AH$2:$AH$1001,0),1)&gt;=100000,INDEX($AO$1005:$BQ$1005,1,MATCH(COLUMNS($AO$1006:BJ1006),$AO$1006:$BQ$1006,0))&gt;=100000), " ",IF(INDEX($AO$2:$BQ$1001,MATCH(ROWS($AH$2:AH883),$AH$2:$AH$1001,0),MATCH(COLUMNS($AO$1006:BJ1006),$AO$1006:$BQ$1006,0)), HYPERLINK("#",""), HYPERLINK(CONCATENATE("#Metadata!", ADDRESS(INDEX($AJ$2:$AJ$1001,MATCH(ROWS($AH$2:AH883),$AH$2:$AH$1001,0),0), INDEX($AO$1004:$BQ$1004,1,MATCH(COLUMNS($AO$1006:BJ1006),$AO$1006:$BQ$1006,0)))),"Fix")))</f>
        <v>#N/A</v>
      </c>
      <c r="X883" s="5" t="e">
        <f ca="1">IF(OR(INDEX($AI$2:$AI$1001,MATCH(ROWS($AH$2:AH883),$AH$2:$AH$1001,0),1)&gt;=100000,INDEX($AO$1005:$BQ$1005,1,MATCH(COLUMNS($AO$1006:BK1006),$AO$1006:$BQ$1006,0))&gt;=100000), " ",IF(INDEX($AO$2:$BQ$1001,MATCH(ROWS($AH$2:AH883),$AH$2:$AH$1001,0),MATCH(COLUMNS($AO$1006:BK1006),$AO$1006:$BQ$1006,0)), HYPERLINK("#",""), HYPERLINK(CONCATENATE("#Metadata!", ADDRESS(INDEX($AJ$2:$AJ$1001,MATCH(ROWS($AH$2:AH883),$AH$2:$AH$1001,0),0), INDEX($AO$1004:$BQ$1004,1,MATCH(COLUMNS($AO$1006:BK1006),$AO$1006:$BQ$1006,0)))),"Fix")))</f>
        <v>#N/A</v>
      </c>
      <c r="Y883" s="5" t="e">
        <f ca="1">IF(OR(INDEX($AI$2:$AI$1001,MATCH(ROWS($AH$2:AH883),$AH$2:$AH$1001,0),1)&gt;=100000,INDEX($AO$1005:$BQ$1005,1,MATCH(COLUMNS($AO$1006:BL1006),$AO$1006:$BQ$1006,0))&gt;=100000), " ",IF(INDEX($AO$2:$BQ$1001,MATCH(ROWS($AH$2:AH883),$AH$2:$AH$1001,0),MATCH(COLUMNS($AO$1006:BL1006),$AO$1006:$BQ$1006,0)), HYPERLINK("#",""), HYPERLINK(CONCATENATE("#Metadata!", ADDRESS(INDEX($AJ$2:$AJ$1001,MATCH(ROWS($AH$2:AH883),$AH$2:$AH$1001,0),0), INDEX($AO$1004:$BQ$1004,1,MATCH(COLUMNS($AO$1006:BL1006),$AO$1006:$BQ$1006,0)))),"Fix")))</f>
        <v>#N/A</v>
      </c>
      <c r="Z883" s="5" t="e">
        <f ca="1">IF(OR(INDEX($AI$2:$AI$1001,MATCH(ROWS($AH$2:AH883),$AH$2:$AH$1001,0),1)&gt;=100000,INDEX($AO$1005:$BQ$1005,1,MATCH(COLUMNS($AO$1006:BM1006),$AO$1006:$BQ$1006,0))&gt;=100000), " ",IF(INDEX($AO$2:$BQ$1001,MATCH(ROWS($AH$2:AH883),$AH$2:$AH$1001,0),MATCH(COLUMNS($AO$1006:BM1006),$AO$1006:$BQ$1006,0)), HYPERLINK("#",""), HYPERLINK(CONCATENATE("#Metadata!", ADDRESS(INDEX($AJ$2:$AJ$1001,MATCH(ROWS($AH$2:AH883),$AH$2:$AH$1001,0),0), INDEX($AO$1004:$BQ$1004,1,MATCH(COLUMNS($AO$1006:BM1006),$AO$1006:$BQ$1006,0)))),"Fix")))</f>
        <v>#N/A</v>
      </c>
      <c r="AA883" s="5" t="e">
        <f ca="1">IF(OR(INDEX($AI$2:$AI$1001,MATCH(ROWS($AH$2:AH883),$AH$2:$AH$1001,0),1)&gt;=100000,INDEX($AO$1005:$BQ$1005,1,MATCH(COLUMNS($AO$1006:BN1006),$AO$1006:$BQ$1006,0))&gt;=100000), " ",IF(INDEX($AO$2:$BQ$1001,MATCH(ROWS($AH$2:AH883),$AH$2:$AH$1001,0),MATCH(COLUMNS($AO$1006:BN1006),$AO$1006:$BQ$1006,0)), HYPERLINK("#",""), HYPERLINK(CONCATENATE("#Metadata!", ADDRESS(INDEX($AJ$2:$AJ$1001,MATCH(ROWS($AH$2:AH883),$AH$2:$AH$1001,0),0), INDEX($AO$1004:$BQ$1004,1,MATCH(COLUMNS($AO$1006:BN1006),$AO$1006:$BQ$1006,0)))),"Fix")))</f>
        <v>#N/A</v>
      </c>
      <c r="AB883" s="5" t="e">
        <f ca="1">IF(OR(INDEX($AI$2:$AI$1001,MATCH(ROWS($AH$2:AH883),$AH$2:$AH$1001,0),1)&gt;=100000,INDEX($AO$1005:$BQ$1005,1,MATCH(COLUMNS($AO$1006:BO1006),$AO$1006:$BQ$1006,0))&gt;=100000), " ",IF(INDEX($AO$2:$BQ$1001,MATCH(ROWS($AH$2:AH883),$AH$2:$AH$1001,0),MATCH(COLUMNS($AO$1006:BO1006),$AO$1006:$BQ$1006,0)), HYPERLINK("#",""), HYPERLINK(CONCATENATE("#Metadata!", ADDRESS(INDEX($AJ$2:$AJ$1001,MATCH(ROWS($AH$2:AH883),$AH$2:$AH$1001,0),0), INDEX($AO$1004:$BQ$1004,1,MATCH(COLUMNS($AO$1006:BO1006),$AO$1006:$BQ$1006,0)))),"Fix")))</f>
        <v>#N/A</v>
      </c>
      <c r="AC883" s="5" t="e">
        <f ca="1">IF(OR(INDEX($AI$2:$AI$1001,MATCH(ROWS($AH$2:AH883),$AH$2:$AH$1001,0),1)&gt;=100000,INDEX($AO$1005:$BQ$1005,1,MATCH(COLUMNS($AO$1006:BP1006),$AO$1006:$BQ$1006,0))&gt;=100000), " ",IF(INDEX($AO$2:$BQ$1001,MATCH(ROWS($AH$2:AH883),$AH$2:$AH$1001,0),MATCH(COLUMNS($AO$1006:BP1006),$AO$1006:$BQ$1006,0)), HYPERLINK("#",""), HYPERLINK(CONCATENATE("#Metadata!", ADDRESS(INDEX($AJ$2:$AJ$1001,MATCH(ROWS($AH$2:AH883),$AH$2:$AH$1001,0),0), INDEX($AO$1004:$BQ$1004,1,MATCH(COLUMNS($AO$1006:BP1006),$AO$1006:$BQ$1006,0)))),"Fix")))</f>
        <v>#N/A</v>
      </c>
      <c r="AD883" s="5" t="e">
        <f ca="1">IF(OR(INDEX($AI$2:$AI$1001,MATCH(ROWS($AH$2:AH883),$AH$2:$AH$1001,0),1)&gt;=100000,INDEX($AO$1005:$BQ$1005,1,MATCH(COLUMNS($AO$1006:BQ1006),$AO$1006:$BQ$1006,0))&gt;=100000), " ",IF(INDEX($AO$2:$BQ$1001,MATCH(ROWS($AH$2:AH883),$AH$2:$AH$1001,0),MATCH(COLUMNS($AO$1006:BQ1006),$AO$1006:$BQ$1006,0)), HYPERLINK("#",""), HYPERLINK(CONCATENATE("#Metadata!", ADDRESS(INDEX($AJ$2:$AJ$1001,MATCH(ROWS($AH$2:AH883),$AH$2:$AH$1001,0),0), INDEX($AO$1004:$BQ$1004,1,MATCH(COLUMNS($AO$1006:BQ1006),$AO$1006:$BQ$1006,0)))),"Fix")))</f>
        <v>#REF!</v>
      </c>
      <c r="AH883">
        <f ca="1"/>
        <v>880</v>
      </c>
      <c r="AI883">
        <v>100883</v>
      </c>
      <c r="AJ883">
        <v>883</v>
      </c>
      <c r="AK883" t="b">
        <f t="shared" si="13"/>
        <v>1</v>
      </c>
      <c r="AL883" t="b">
        <f>COUNTBLANK(Metadata!B883:AD883)=COLUMNS(Metadata!B883:AD883)</f>
        <v>1</v>
      </c>
      <c r="AM883" t="str">
        <v/>
      </c>
      <c r="AO883" t="b">
        <f ca="1">AND(IF(Metadata!B883="",FALSE,TRUE),COUNTIF(Metadata!B:B, Metadata!B883) = 1,NOT(ISERROR(SUMPRODUCT(SEARCH(MID(Metadata!B883,ROW(INDIRECT("1:"&amp;LEN(Metadata!B883))), 1),"0123456789abcdefghijklmnopqrstuvwxyzABCDEFGHIJKLMNOPQRSTUVWXYZ.")))))</f>
        <v>0</v>
      </c>
      <c r="AP883" t="b">
        <f>IF(Metadata!C883="",FALSE,TRUE)</f>
        <v>0</v>
      </c>
      <c r="AQ883" t="b">
        <f>IF(Metadata!D883="",FALSE,TRUE)</f>
        <v>0</v>
      </c>
      <c r="AR883" t="b">
        <f ca="1">OR(AND(IF(Metadata!E883="",FALSE,TRUE),OR(EXACT(Metadata!E883,"not collected"),EXACT(Metadata!E883,"not provided"),EXACT(Metadata!E883,"restricted access"))),AND(IF(Metadata!E883="",FALSE,TRUE),AND(AND(IFERROR(INT(LEFT(Metadata!E883,4))&gt;1900,FALSE),IFERROR(INT(LEFT(Metadata!E883,4))&lt;=YEAR(NOW()),FALSE)), OR(MID(Metadata!E883,5,1)="", AND(AND(MID(Metadata!E883,5,1)="-",IFERROR(INT(MID(Metadata!E883,6,1))&gt;=0,FALSE),IFERROR(INT(MID(Metadata!E883,6,1))&lt;=1,FALSE),NOT(MID(Metadata!E883,7,1)=""),IFERROR(INT(MID(Metadata!E883,6,2))&gt;=1,FALSE),IFERROR(INT(MID(Metadata!E883,6,2))&lt;=12,FALSE)), OR(MID(Metadata!E883,8,1)="", AND(AND(MID(Metadata!E883,8,1)="-",IFERROR(INT(MID(Metadata!E883,9,1))&gt;=0,FALSE),IFERROR(INT(MID(Metadata!E883,9,1))&lt;=3,FALSE),NOT(MID(Metadata!E883,10,1)=""),IFERROR(INT(MID(Metadata!E883,9,2))&gt;=1,FALSE),IFERROR(INT(MID(Metadata!E883,9,2))&lt;=31,FALSE)), OR(MID(Metadata!E883,11,1)="", AND(AND(MID(Metadata!E883,11,1)=" ",IFERROR(INT(MID(Metadata!E883,12,1))&gt;=0,FALSE),IFERROR(INT(MID(Metadata!E883,12,1))&lt;=2,FALSE),NOT(MID(Metadata!E883,13,1)=""),IFERROR(INT(MID(Metadata!E883,12,2))&gt;=0,FALSE),IFERROR(INT(MID(Metadata!E883,12,2))&lt;=23,FALSE)), OR(MID(Metadata!E883,14,1)="", AND(AND(MID(Metadata!E883,14,1)=":",IFERROR(INT(MID(Metadata!E883,15,1))&gt;=0,FALSE),IFERROR(INT(MID(Metadata!E883,15,1))&lt;=5,FALSE),NOT(MID(Metadata!E883,16,1)=""),IFERROR(INT(MID(Metadata!E883,15,2))&gt;=0,FALSE),IFERROR(INT(MID(Metadata!E883,15,2))&lt;=59,FALSE)), OR(MID(Metadata!E883,17,1)="", AND(AND(MID(Metadata!E883,17,1)=":",IFERROR(INT(MID(Metadata!E883,18,1))&gt;=0,FALSE),IFERROR(INT(MID(Metadata!E883,18,1))&lt;=5,FALSE),NOT(MID(Metadata!E883,19,1)=""),IFERROR(INT(MID(Metadata!E883,18,2))&gt;=0,FALSE),IFERROR(INT(MID(Metadata!E883,18,2))&lt;=59,FALSE)), LEN(Metadata!E883)&lt;=19)))))))))))))</f>
        <v>0</v>
      </c>
      <c r="AS883" t="b">
        <f>IF(Metadata!F883="",FALSE,TRUE)</f>
        <v>0</v>
      </c>
      <c r="AT883" t="b">
        <f>OR(AND(IF(Metadata!G883="",FALSE,TRUE),OR(EXACT(Metadata!G883,"not collected"),EXACT(Metadata!G883,"not provided"))),AND(IF(Metadata!G883="",FALSE,TRUE),OR(EXACT(Metadata!G883,"TRUE"),EXACT(Metadata!G883,"FALSE"))))</f>
        <v>0</v>
      </c>
      <c r="AU883" t="b">
        <f>OR(AND(IF(Metadata!H883="",FALSE,TRUE),OR(EXACT(Metadata!H883,"not collected"),EXACT(Metadata!H883,"not provided"),EXACT(Metadata!H883,"restricted access"))),AND(IF(Metadata!H883="",FALSE,ISNUMBER(VALUE(Metadata!H883))),Metadata!H883&gt;=-413))</f>
        <v>0</v>
      </c>
      <c r="AV883" t="b">
        <f>AND(IF(Metadata!I883="",FALSE,TRUE),EXACT(Metadata!I883,"meters"))</f>
        <v>0</v>
      </c>
      <c r="AW883" t="b">
        <f>AND(IF(Metadata!J883="",FALSE,TRUE),EXACT(Metadata!J883,"free-living"))</f>
        <v>0</v>
      </c>
      <c r="AX883" t="b">
        <f>AND(IF(Metadata!K883="",FALSE,TRUE),OR(EXACT(Metadata!K883,"saline"),EXACT(Metadata!K883,"non-saline")))</f>
        <v>0</v>
      </c>
      <c r="AY883" t="b">
        <f>AND(IF(Metadata!L883="",FALSE,TRUE),OR(EXACT(Metadata!L883,"sub-surface (non-saline)"),EXACT(Metadata!L883,"surface (non-saline)"),EXACT(Metadata!L883,"water (non-saline)"),EXACT(Metadata!L883,"soil (non-saline)"),EXACT(Metadata!L883,"aerosol (non-saline)"),EXACT(Metadata!L883,"sediment (non-saline)"),EXACT(Metadata!L883,"surface (saline)"),EXACT(Metadata!L883,"water (saline)"),EXACT(Metadata!L883,"hypersaline (saline)"),EXACT(Metadata!L883,"aerosol (saline)"),EXACT(Metadata!L883,"sediment (saline)")))</f>
        <v>0</v>
      </c>
      <c r="AZ883" t="b">
        <f>IF(Metadata!M883="",FALSE,TRUE)</f>
        <v>0</v>
      </c>
      <c r="BA883" t="b">
        <f>IF(Metadata!N883="",FALSE,TRUE)</f>
        <v>0</v>
      </c>
      <c r="BB883" t="b">
        <f>IF(Metadata!O883="",FALSE,TRUE)</f>
        <v>0</v>
      </c>
      <c r="BC883" t="b">
        <f>AND(IF(Metadata!P883="",FALSE,TRUE),OR(EXACT(Metadata!P883,"air"),EXACT(Metadata!P883,"microbial mat/biofilm"),EXACT(Metadata!P883,"misc environment"),EXACT(Metadata!P883,"sediment"),EXACT(Metadata!P883,"soil"),EXACT(Metadata!P883,"wastewater/sludge"),EXACT(Metadata!P883,"water")))</f>
        <v>0</v>
      </c>
      <c r="BD883" t="b">
        <f>IF(Metadata!Q883="",FALSE,TRUE)</f>
        <v>0</v>
      </c>
      <c r="BE883" t="b">
        <f>IF(Metadata!R883="",FALSE,TRUE)</f>
        <v>0</v>
      </c>
      <c r="BF883" t="b">
        <f>OR(AND(IF(Metadata!S883="",FALSE,TRUE),OR(EXACT(Metadata!S883,"not collected"),EXACT(Metadata!S883,"not provided"),EXACT(Metadata!S883,"restricted access"))),AND(IF(Metadata!S883="",FALSE,ISNUMBER(VALUE(Metadata!S883))),Metadata!S883&gt;=-90,Metadata!S883&lt;=90))</f>
        <v>0</v>
      </c>
      <c r="BG883" t="b">
        <f>AND(IF(Metadata!T883="",FALSE,TRUE),EXACT(Metadata!T883,"Decimal degrees"))</f>
        <v>0</v>
      </c>
      <c r="BH883" t="b">
        <f>OR(AND(IF(Metadata!U883="",FALSE,TRUE),OR(EXACT(Metadata!U883,"not applicable"),EXACT(Metadata!U883,"not collected"))),IF(Metadata!U883="",FALSE,TRUE))</f>
        <v>0</v>
      </c>
      <c r="BI883" t="b">
        <f>OR(AND(IF(Metadata!V883="",FALSE,TRUE),OR(EXACT(Metadata!V883,"not collected"),EXACT(Metadata!V883,"not provided"),EXACT(Metadata!V883,"restricted access"))),AND(IF(Metadata!V883="",FALSE,ISNUMBER(VALUE(Metadata!V883))),Metadata!V883&gt;=-180,Metadata!V883&lt;=180))</f>
        <v>0</v>
      </c>
      <c r="BJ883" t="b">
        <f>AND(IF(Metadata!W883="",FALSE,TRUE),EXACT(Metadata!W883,"Decimal degrees"))</f>
        <v>0</v>
      </c>
      <c r="BK883" t="b">
        <f>IF(Metadata!X883="",FALSE,TRUE)</f>
        <v>0</v>
      </c>
      <c r="BL883" t="b">
        <f>OR(AND(IF(Metadata!Y883="",FALSE,TRUE),OR(EXACT(Metadata!Y883,"not collected"),EXACT(Metadata!Y883,"not provided"),EXACT(Metadata!Y883,"restricted access"))),AND(IF(Metadata!Y883="",FALSE,TRUE),OR(EXACT(Metadata!Y883,"TRUE"),EXACT(Metadata!Y883,"FALSE"))))</f>
        <v>0</v>
      </c>
      <c r="BM883" t="b">
        <f>OR(AND(IF(Metadata!Z883="",FALSE,TRUE),EXACT(Metadata!Z883,"not applicable")),AND(IF(Metadata!Z883="",FALSE,TRUE),OR(EXACT(Metadata!Z883,"beer"),EXACT(Metadata!Z883,"cheese"),EXACT(Metadata!Z883,"fresh water"),EXACT(Metadata!Z883,"marine sediment"),EXACT(Metadata!Z883,"sea water"),EXACT(Metadata!Z883,"sediment"),EXACT(Metadata!Z883,"soil"),EXACT(Metadata!Z883,"waste water"))))</f>
        <v>0</v>
      </c>
      <c r="BN883" t="b">
        <f>AND(IF(Metadata!AA883="",FALSE,TRUE),EXACT(Metadata!AA883,"metagenome"))</f>
        <v>0</v>
      </c>
      <c r="BO883" t="b">
        <f>AND(IF(Metadata!AB883="",FALSE,TRUE),EXACT(Metadata!AB883,"256318"))</f>
        <v>0</v>
      </c>
      <c r="BP883" t="b">
        <f>IF(Metadata!AC883="",FALSE,TRUE)</f>
        <v>0</v>
      </c>
      <c r="BQ883" t="b">
        <f>IF(Metadata!AD883="",FALSE,TRUE)</f>
        <v>0</v>
      </c>
    </row>
    <row r="884" spans="1:69" x14ac:dyDescent="0.2">
      <c r="A884" s="4" t="e">
        <f ca="1">IF(B884=" "," ",HYPERLINK(CONCATENATE("#metadata!",ADDRESS(INDEX($AJ$2:$AJ$1001,MATCH(ROWS($AH$2:AH884),$AH$2:$AH$1001,0),0),2)),INDEX($AM$2:$AM$1001,MATCH(ROWS($AH$2:AH884),$AH$2:$AH$1001,0),0)))</f>
        <v>#N/A</v>
      </c>
      <c r="B884" s="5" t="e">
        <f ca="1">IF(OR(INDEX($AI$2:$AI$1001,MATCH(ROWS($AH$2:AH884),$AH$2:$AH$1001,0),1)&gt;=100000,INDEX($AO$1005:$BQ$1005,1,MATCH(COLUMNS($AO$1006:AO1006),$AO$1006:$BQ$1006,0))&gt;=100000), " ",IF(INDEX($AO$2:$BQ$1001,MATCH(ROWS($AH$2:AH884),$AH$2:$AH$1001,0),MATCH(COLUMNS($AO$1006:AO1006),$AO$1006:$BQ$1006,0)), HYPERLINK("#",""), HYPERLINK(CONCATENATE("#Metadata!", ADDRESS(INDEX($AJ$2:$AJ$1001,MATCH(ROWS($AH$2:AH884),$AH$2:$AH$1001,0),0), INDEX($AO$1004:$BQ$1004,1,MATCH(COLUMNS($AO$1006:AO1006),$AO$1006:$BQ$1006,0)))),"Fix")))</f>
        <v>#N/A</v>
      </c>
      <c r="C884" s="5" t="e">
        <f ca="1">IF(OR(INDEX($AI$2:$AI$1001,MATCH(ROWS($AH$2:AH884),$AH$2:$AH$1001,0),1)&gt;=100000,INDEX($AO$1005:$BQ$1005,1,MATCH(COLUMNS($AO$1006:AP1006),$AO$1006:$BQ$1006,0))&gt;=100000), " ",IF(INDEX($AO$2:$BQ$1001,MATCH(ROWS($AH$2:AH884),$AH$2:$AH$1001,0),MATCH(COLUMNS($AO$1006:AP1006),$AO$1006:$BQ$1006,0)), HYPERLINK("#",""), HYPERLINK(CONCATENATE("#Metadata!", ADDRESS(INDEX($AJ$2:$AJ$1001,MATCH(ROWS($AH$2:AH884),$AH$2:$AH$1001,0),0), INDEX($AO$1004:$BQ$1004,1,MATCH(COLUMNS($AO$1006:AP1006),$AO$1006:$BQ$1006,0)))),"Fix")))</f>
        <v>#N/A</v>
      </c>
      <c r="D884" s="5" t="e">
        <f ca="1">IF(OR(INDEX($AI$2:$AI$1001,MATCH(ROWS($AH$2:AH884),$AH$2:$AH$1001,0),1)&gt;=100000,INDEX($AO$1005:$BQ$1005,1,MATCH(COLUMNS($AO$1006:AQ1006),$AO$1006:$BQ$1006,0))&gt;=100000), " ",IF(INDEX($AO$2:$BQ$1001,MATCH(ROWS($AH$2:AH884),$AH$2:$AH$1001,0),MATCH(COLUMNS($AO$1006:AQ1006),$AO$1006:$BQ$1006,0)), HYPERLINK("#",""), HYPERLINK(CONCATENATE("#Metadata!", ADDRESS(INDEX($AJ$2:$AJ$1001,MATCH(ROWS($AH$2:AH884),$AH$2:$AH$1001,0),0), INDEX($AO$1004:$BQ$1004,1,MATCH(COLUMNS($AO$1006:AQ1006),$AO$1006:$BQ$1006,0)))),"Fix")))</f>
        <v>#N/A</v>
      </c>
      <c r="E884" s="5" t="e">
        <f ca="1">IF(OR(INDEX($AI$2:$AI$1001,MATCH(ROWS($AH$2:AH884),$AH$2:$AH$1001,0),1)&gt;=100000,INDEX($AO$1005:$BQ$1005,1,MATCH(COLUMNS($AO$1006:AR1006),$AO$1006:$BQ$1006,0))&gt;=100000), " ",IF(INDEX($AO$2:$BQ$1001,MATCH(ROWS($AH$2:AH884),$AH$2:$AH$1001,0),MATCH(COLUMNS($AO$1006:AR1006),$AO$1006:$BQ$1006,0)), HYPERLINK("#",""), HYPERLINK(CONCATENATE("#Metadata!", ADDRESS(INDEX($AJ$2:$AJ$1001,MATCH(ROWS($AH$2:AH884),$AH$2:$AH$1001,0),0), INDEX($AO$1004:$BQ$1004,1,MATCH(COLUMNS($AO$1006:AR1006),$AO$1006:$BQ$1006,0)))),"Fix")))</f>
        <v>#N/A</v>
      </c>
      <c r="F884" s="5" t="e">
        <f ca="1">IF(OR(INDEX($AI$2:$AI$1001,MATCH(ROWS($AH$2:AH884),$AH$2:$AH$1001,0),1)&gt;=100000,INDEX($AO$1005:$BQ$1005,1,MATCH(COLUMNS($AO$1006:AS1006),$AO$1006:$BQ$1006,0))&gt;=100000), " ",IF(INDEX($AO$2:$BQ$1001,MATCH(ROWS($AH$2:AH884),$AH$2:$AH$1001,0),MATCH(COLUMNS($AO$1006:AS1006),$AO$1006:$BQ$1006,0)), HYPERLINK("#",""), HYPERLINK(CONCATENATE("#Metadata!", ADDRESS(INDEX($AJ$2:$AJ$1001,MATCH(ROWS($AH$2:AH884),$AH$2:$AH$1001,0),0), INDEX($AO$1004:$BQ$1004,1,MATCH(COLUMNS($AO$1006:AS1006),$AO$1006:$BQ$1006,0)))),"Fix")))</f>
        <v>#N/A</v>
      </c>
      <c r="G884" s="5" t="e">
        <f ca="1">IF(OR(INDEX($AI$2:$AI$1001,MATCH(ROWS($AH$2:AH884),$AH$2:$AH$1001,0),1)&gt;=100000,INDEX($AO$1005:$BQ$1005,1,MATCH(COLUMNS($AO$1006:AT1006),$AO$1006:$BQ$1006,0))&gt;=100000), " ",IF(INDEX($AO$2:$BQ$1001,MATCH(ROWS($AH$2:AH884),$AH$2:$AH$1001,0),MATCH(COLUMNS($AO$1006:AT1006),$AO$1006:$BQ$1006,0)), HYPERLINK("#",""), HYPERLINK(CONCATENATE("#Metadata!", ADDRESS(INDEX($AJ$2:$AJ$1001,MATCH(ROWS($AH$2:AH884),$AH$2:$AH$1001,0),0), INDEX($AO$1004:$BQ$1004,1,MATCH(COLUMNS($AO$1006:AT1006),$AO$1006:$BQ$1006,0)))),"Fix")))</f>
        <v>#N/A</v>
      </c>
      <c r="H884" s="5" t="e">
        <f ca="1">IF(OR(INDEX($AI$2:$AI$1001,MATCH(ROWS($AH$2:AH884),$AH$2:$AH$1001,0),1)&gt;=100000,INDEX($AO$1005:$BQ$1005,1,MATCH(COLUMNS($AO$1006:AU1006),$AO$1006:$BQ$1006,0))&gt;=100000), " ",IF(INDEX($AO$2:$BQ$1001,MATCH(ROWS($AH$2:AH884),$AH$2:$AH$1001,0),MATCH(COLUMNS($AO$1006:AU1006),$AO$1006:$BQ$1006,0)), HYPERLINK("#",""), HYPERLINK(CONCATENATE("#Metadata!", ADDRESS(INDEX($AJ$2:$AJ$1001,MATCH(ROWS($AH$2:AH884),$AH$2:$AH$1001,0),0), INDEX($AO$1004:$BQ$1004,1,MATCH(COLUMNS($AO$1006:AU1006),$AO$1006:$BQ$1006,0)))),"Fix")))</f>
        <v>#N/A</v>
      </c>
      <c r="I884" s="5" t="e">
        <f ca="1">IF(OR(INDEX($AI$2:$AI$1001,MATCH(ROWS($AH$2:AH884),$AH$2:$AH$1001,0),1)&gt;=100000,INDEX($AO$1005:$BQ$1005,1,MATCH(COLUMNS($AO$1006:AV1006),$AO$1006:$BQ$1006,0))&gt;=100000), " ",IF(INDEX($AO$2:$BQ$1001,MATCH(ROWS($AH$2:AH884),$AH$2:$AH$1001,0),MATCH(COLUMNS($AO$1006:AV1006),$AO$1006:$BQ$1006,0)), HYPERLINK("#",""), HYPERLINK(CONCATENATE("#Metadata!", ADDRESS(INDEX($AJ$2:$AJ$1001,MATCH(ROWS($AH$2:AH884),$AH$2:$AH$1001,0),0), INDEX($AO$1004:$BQ$1004,1,MATCH(COLUMNS($AO$1006:AV1006),$AO$1006:$BQ$1006,0)))),"Fix")))</f>
        <v>#N/A</v>
      </c>
      <c r="J884" s="5" t="e">
        <f ca="1">IF(OR(INDEX($AI$2:$AI$1001,MATCH(ROWS($AH$2:AH884),$AH$2:$AH$1001,0),1)&gt;=100000,INDEX($AO$1005:$BQ$1005,1,MATCH(COLUMNS($AO$1006:AW1006),$AO$1006:$BQ$1006,0))&gt;=100000), " ",IF(INDEX($AO$2:$BQ$1001,MATCH(ROWS($AH$2:AH884),$AH$2:$AH$1001,0),MATCH(COLUMNS($AO$1006:AW1006),$AO$1006:$BQ$1006,0)), HYPERLINK("#",""), HYPERLINK(CONCATENATE("#Metadata!", ADDRESS(INDEX($AJ$2:$AJ$1001,MATCH(ROWS($AH$2:AH884),$AH$2:$AH$1001,0),0), INDEX($AO$1004:$BQ$1004,1,MATCH(COLUMNS($AO$1006:AW1006),$AO$1006:$BQ$1006,0)))),"Fix")))</f>
        <v>#N/A</v>
      </c>
      <c r="K884" s="5" t="e">
        <f ca="1">IF(OR(INDEX($AI$2:$AI$1001,MATCH(ROWS($AH$2:AH884),$AH$2:$AH$1001,0),1)&gt;=100000,INDEX($AO$1005:$BQ$1005,1,MATCH(COLUMNS($AO$1006:AX1006),$AO$1006:$BQ$1006,0))&gt;=100000), " ",IF(INDEX($AO$2:$BQ$1001,MATCH(ROWS($AH$2:AH884),$AH$2:$AH$1001,0),MATCH(COLUMNS($AO$1006:AX1006),$AO$1006:$BQ$1006,0)), HYPERLINK("#",""), HYPERLINK(CONCATENATE("#Metadata!", ADDRESS(INDEX($AJ$2:$AJ$1001,MATCH(ROWS($AH$2:AH884),$AH$2:$AH$1001,0),0), INDEX($AO$1004:$BQ$1004,1,MATCH(COLUMNS($AO$1006:AX1006),$AO$1006:$BQ$1006,0)))),"Fix")))</f>
        <v>#N/A</v>
      </c>
      <c r="L884" s="5" t="e">
        <f ca="1">IF(OR(INDEX($AI$2:$AI$1001,MATCH(ROWS($AH$2:AH884),$AH$2:$AH$1001,0),1)&gt;=100000,INDEX($AO$1005:$BQ$1005,1,MATCH(COLUMNS($AO$1006:AY1006),$AO$1006:$BQ$1006,0))&gt;=100000), " ",IF(INDEX($AO$2:$BQ$1001,MATCH(ROWS($AH$2:AH884),$AH$2:$AH$1001,0),MATCH(COLUMNS($AO$1006:AY1006),$AO$1006:$BQ$1006,0)), HYPERLINK("#",""), HYPERLINK(CONCATENATE("#Metadata!", ADDRESS(INDEX($AJ$2:$AJ$1001,MATCH(ROWS($AH$2:AH884),$AH$2:$AH$1001,0),0), INDEX($AO$1004:$BQ$1004,1,MATCH(COLUMNS($AO$1006:AY1006),$AO$1006:$BQ$1006,0)))),"Fix")))</f>
        <v>#N/A</v>
      </c>
      <c r="M884" s="5" t="e">
        <f ca="1">IF(OR(INDEX($AI$2:$AI$1001,MATCH(ROWS($AH$2:AH884),$AH$2:$AH$1001,0),1)&gt;=100000,INDEX($AO$1005:$BQ$1005,1,MATCH(COLUMNS($AO$1006:AZ1006),$AO$1006:$BQ$1006,0))&gt;=100000), " ",IF(INDEX($AO$2:$BQ$1001,MATCH(ROWS($AH$2:AH884),$AH$2:$AH$1001,0),MATCH(COLUMNS($AO$1006:AZ1006),$AO$1006:$BQ$1006,0)), HYPERLINK("#",""), HYPERLINK(CONCATENATE("#Metadata!", ADDRESS(INDEX($AJ$2:$AJ$1001,MATCH(ROWS($AH$2:AH884),$AH$2:$AH$1001,0),0), INDEX($AO$1004:$BQ$1004,1,MATCH(COLUMNS($AO$1006:AZ1006),$AO$1006:$BQ$1006,0)))),"Fix")))</f>
        <v>#N/A</v>
      </c>
      <c r="N884" s="5" t="e">
        <f ca="1">IF(OR(INDEX($AI$2:$AI$1001,MATCH(ROWS($AH$2:AH884),$AH$2:$AH$1001,0),1)&gt;=100000,INDEX($AO$1005:$BQ$1005,1,MATCH(COLUMNS($AO$1006:BA1006),$AO$1006:$BQ$1006,0))&gt;=100000), " ",IF(INDEX($AO$2:$BQ$1001,MATCH(ROWS($AH$2:AH884),$AH$2:$AH$1001,0),MATCH(COLUMNS($AO$1006:BA1006),$AO$1006:$BQ$1006,0)), HYPERLINK("#",""), HYPERLINK(CONCATENATE("#Metadata!", ADDRESS(INDEX($AJ$2:$AJ$1001,MATCH(ROWS($AH$2:AH884),$AH$2:$AH$1001,0),0), INDEX($AO$1004:$BQ$1004,1,MATCH(COLUMNS($AO$1006:BA1006),$AO$1006:$BQ$1006,0)))),"Fix")))</f>
        <v>#N/A</v>
      </c>
      <c r="O884" s="5" t="e">
        <f ca="1">IF(OR(INDEX($AI$2:$AI$1001,MATCH(ROWS($AH$2:AH884),$AH$2:$AH$1001,0),1)&gt;=100000,INDEX($AO$1005:$BQ$1005,1,MATCH(COLUMNS($AO$1006:BB1006),$AO$1006:$BQ$1006,0))&gt;=100000), " ",IF(INDEX($AO$2:$BQ$1001,MATCH(ROWS($AH$2:AH884),$AH$2:$AH$1001,0),MATCH(COLUMNS($AO$1006:BB1006),$AO$1006:$BQ$1006,0)), HYPERLINK("#",""), HYPERLINK(CONCATENATE("#Metadata!", ADDRESS(INDEX($AJ$2:$AJ$1001,MATCH(ROWS($AH$2:AH884),$AH$2:$AH$1001,0),0), INDEX($AO$1004:$BQ$1004,1,MATCH(COLUMNS($AO$1006:BB1006),$AO$1006:$BQ$1006,0)))),"Fix")))</f>
        <v>#N/A</v>
      </c>
      <c r="P884" s="5" t="e">
        <f ca="1">IF(OR(INDEX($AI$2:$AI$1001,MATCH(ROWS($AH$2:AH884),$AH$2:$AH$1001,0),1)&gt;=100000,INDEX($AO$1005:$BQ$1005,1,MATCH(COLUMNS($AO$1006:BC1006),$AO$1006:$BQ$1006,0))&gt;=100000), " ",IF(INDEX($AO$2:$BQ$1001,MATCH(ROWS($AH$2:AH884),$AH$2:$AH$1001,0),MATCH(COLUMNS($AO$1006:BC1006),$AO$1006:$BQ$1006,0)), HYPERLINK("#",""), HYPERLINK(CONCATENATE("#Metadata!", ADDRESS(INDEX($AJ$2:$AJ$1001,MATCH(ROWS($AH$2:AH884),$AH$2:$AH$1001,0),0), INDEX($AO$1004:$BQ$1004,1,MATCH(COLUMNS($AO$1006:BC1006),$AO$1006:$BQ$1006,0)))),"Fix")))</f>
        <v>#N/A</v>
      </c>
      <c r="Q884" s="5" t="e">
        <f ca="1">IF(OR(INDEX($AI$2:$AI$1001,MATCH(ROWS($AH$2:AH884),$AH$2:$AH$1001,0),1)&gt;=100000,INDEX($AO$1005:$BQ$1005,1,MATCH(COLUMNS($AO$1006:BD1006),$AO$1006:$BQ$1006,0))&gt;=100000), " ",IF(INDEX($AO$2:$BQ$1001,MATCH(ROWS($AH$2:AH884),$AH$2:$AH$1001,0),MATCH(COLUMNS($AO$1006:BD1006),$AO$1006:$BQ$1006,0)), HYPERLINK("#",""), HYPERLINK(CONCATENATE("#Metadata!", ADDRESS(INDEX($AJ$2:$AJ$1001,MATCH(ROWS($AH$2:AH884),$AH$2:$AH$1001,0),0), INDEX($AO$1004:$BQ$1004,1,MATCH(COLUMNS($AO$1006:BD1006),$AO$1006:$BQ$1006,0)))),"Fix")))</f>
        <v>#N/A</v>
      </c>
      <c r="R884" s="5" t="e">
        <f ca="1">IF(OR(INDEX($AI$2:$AI$1001,MATCH(ROWS($AH$2:AH884),$AH$2:$AH$1001,0),1)&gt;=100000,INDEX($AO$1005:$BQ$1005,1,MATCH(COLUMNS($AO$1006:BE1006),$AO$1006:$BQ$1006,0))&gt;=100000), " ",IF(INDEX($AO$2:$BQ$1001,MATCH(ROWS($AH$2:AH884),$AH$2:$AH$1001,0),MATCH(COLUMNS($AO$1006:BE1006),$AO$1006:$BQ$1006,0)), HYPERLINK("#",""), HYPERLINK(CONCATENATE("#Metadata!", ADDRESS(INDEX($AJ$2:$AJ$1001,MATCH(ROWS($AH$2:AH884),$AH$2:$AH$1001,0),0), INDEX($AO$1004:$BQ$1004,1,MATCH(COLUMNS($AO$1006:BE1006),$AO$1006:$BQ$1006,0)))),"Fix")))</f>
        <v>#N/A</v>
      </c>
      <c r="S884" s="5" t="e">
        <f ca="1">IF(OR(INDEX($AI$2:$AI$1001,MATCH(ROWS($AH$2:AH884),$AH$2:$AH$1001,0),1)&gt;=100000,INDEX($AO$1005:$BQ$1005,1,MATCH(COLUMNS($AO$1006:BF1006),$AO$1006:$BQ$1006,0))&gt;=100000), " ",IF(INDEX($AO$2:$BQ$1001,MATCH(ROWS($AH$2:AH884),$AH$2:$AH$1001,0),MATCH(COLUMNS($AO$1006:BF1006),$AO$1006:$BQ$1006,0)), HYPERLINK("#",""), HYPERLINK(CONCATENATE("#Metadata!", ADDRESS(INDEX($AJ$2:$AJ$1001,MATCH(ROWS($AH$2:AH884),$AH$2:$AH$1001,0),0), INDEX($AO$1004:$BQ$1004,1,MATCH(COLUMNS($AO$1006:BF1006),$AO$1006:$BQ$1006,0)))),"Fix")))</f>
        <v>#N/A</v>
      </c>
      <c r="T884" s="5" t="e">
        <f ca="1">IF(OR(INDEX($AI$2:$AI$1001,MATCH(ROWS($AH$2:AH884),$AH$2:$AH$1001,0),1)&gt;=100000,INDEX($AO$1005:$BQ$1005,1,MATCH(COLUMNS($AO$1006:BG1006),$AO$1006:$BQ$1006,0))&gt;=100000), " ",IF(INDEX($AO$2:$BQ$1001,MATCH(ROWS($AH$2:AH884),$AH$2:$AH$1001,0),MATCH(COLUMNS($AO$1006:BG1006),$AO$1006:$BQ$1006,0)), HYPERLINK("#",""), HYPERLINK(CONCATENATE("#Metadata!", ADDRESS(INDEX($AJ$2:$AJ$1001,MATCH(ROWS($AH$2:AH884),$AH$2:$AH$1001,0),0), INDEX($AO$1004:$BQ$1004,1,MATCH(COLUMNS($AO$1006:BG1006),$AO$1006:$BQ$1006,0)))),"Fix")))</f>
        <v>#N/A</v>
      </c>
      <c r="U884" s="5" t="e">
        <f ca="1">IF(OR(INDEX($AI$2:$AI$1001,MATCH(ROWS($AH$2:AH884),$AH$2:$AH$1001,0),1)&gt;=100000,INDEX($AO$1005:$BQ$1005,1,MATCH(COLUMNS($AO$1006:BH1006),$AO$1006:$BQ$1006,0))&gt;=100000), " ",IF(INDEX($AO$2:$BQ$1001,MATCH(ROWS($AH$2:AH884),$AH$2:$AH$1001,0),MATCH(COLUMNS($AO$1006:BH1006),$AO$1006:$BQ$1006,0)), HYPERLINK("#",""), HYPERLINK(CONCATENATE("#Metadata!", ADDRESS(INDEX($AJ$2:$AJ$1001,MATCH(ROWS($AH$2:AH884),$AH$2:$AH$1001,0),0), INDEX($AO$1004:$BQ$1004,1,MATCH(COLUMNS($AO$1006:BH1006),$AO$1006:$BQ$1006,0)))),"Fix")))</f>
        <v>#N/A</v>
      </c>
      <c r="V884" s="5" t="e">
        <f ca="1">IF(OR(INDEX($AI$2:$AI$1001,MATCH(ROWS($AH$2:AH884),$AH$2:$AH$1001,0),1)&gt;=100000,INDEX($AO$1005:$BQ$1005,1,MATCH(COLUMNS($AO$1006:BI1006),$AO$1006:$BQ$1006,0))&gt;=100000), " ",IF(INDEX($AO$2:$BQ$1001,MATCH(ROWS($AH$2:AH884),$AH$2:$AH$1001,0),MATCH(COLUMNS($AO$1006:BI1006),$AO$1006:$BQ$1006,0)), HYPERLINK("#",""), HYPERLINK(CONCATENATE("#Metadata!", ADDRESS(INDEX($AJ$2:$AJ$1001,MATCH(ROWS($AH$2:AH884),$AH$2:$AH$1001,0),0), INDEX($AO$1004:$BQ$1004,1,MATCH(COLUMNS($AO$1006:BI1006),$AO$1006:$BQ$1006,0)))),"Fix")))</f>
        <v>#N/A</v>
      </c>
      <c r="W884" s="5" t="e">
        <f ca="1">IF(OR(INDEX($AI$2:$AI$1001,MATCH(ROWS($AH$2:AH884),$AH$2:$AH$1001,0),1)&gt;=100000,INDEX($AO$1005:$BQ$1005,1,MATCH(COLUMNS($AO$1006:BJ1006),$AO$1006:$BQ$1006,0))&gt;=100000), " ",IF(INDEX($AO$2:$BQ$1001,MATCH(ROWS($AH$2:AH884),$AH$2:$AH$1001,0),MATCH(COLUMNS($AO$1006:BJ1006),$AO$1006:$BQ$1006,0)), HYPERLINK("#",""), HYPERLINK(CONCATENATE("#Metadata!", ADDRESS(INDEX($AJ$2:$AJ$1001,MATCH(ROWS($AH$2:AH884),$AH$2:$AH$1001,0),0), INDEX($AO$1004:$BQ$1004,1,MATCH(COLUMNS($AO$1006:BJ1006),$AO$1006:$BQ$1006,0)))),"Fix")))</f>
        <v>#N/A</v>
      </c>
      <c r="X884" s="5" t="e">
        <f ca="1">IF(OR(INDEX($AI$2:$AI$1001,MATCH(ROWS($AH$2:AH884),$AH$2:$AH$1001,0),1)&gt;=100000,INDEX($AO$1005:$BQ$1005,1,MATCH(COLUMNS($AO$1006:BK1006),$AO$1006:$BQ$1006,0))&gt;=100000), " ",IF(INDEX($AO$2:$BQ$1001,MATCH(ROWS($AH$2:AH884),$AH$2:$AH$1001,0),MATCH(COLUMNS($AO$1006:BK1006),$AO$1006:$BQ$1006,0)), HYPERLINK("#",""), HYPERLINK(CONCATENATE("#Metadata!", ADDRESS(INDEX($AJ$2:$AJ$1001,MATCH(ROWS($AH$2:AH884),$AH$2:$AH$1001,0),0), INDEX($AO$1004:$BQ$1004,1,MATCH(COLUMNS($AO$1006:BK1006),$AO$1006:$BQ$1006,0)))),"Fix")))</f>
        <v>#N/A</v>
      </c>
      <c r="Y884" s="5" t="e">
        <f ca="1">IF(OR(INDEX($AI$2:$AI$1001,MATCH(ROWS($AH$2:AH884),$AH$2:$AH$1001,0),1)&gt;=100000,INDEX($AO$1005:$BQ$1005,1,MATCH(COLUMNS($AO$1006:BL1006),$AO$1006:$BQ$1006,0))&gt;=100000), " ",IF(INDEX($AO$2:$BQ$1001,MATCH(ROWS($AH$2:AH884),$AH$2:$AH$1001,0),MATCH(COLUMNS($AO$1006:BL1006),$AO$1006:$BQ$1006,0)), HYPERLINK("#",""), HYPERLINK(CONCATENATE("#Metadata!", ADDRESS(INDEX($AJ$2:$AJ$1001,MATCH(ROWS($AH$2:AH884),$AH$2:$AH$1001,0),0), INDEX($AO$1004:$BQ$1004,1,MATCH(COLUMNS($AO$1006:BL1006),$AO$1006:$BQ$1006,0)))),"Fix")))</f>
        <v>#N/A</v>
      </c>
      <c r="Z884" s="5" t="e">
        <f ca="1">IF(OR(INDEX($AI$2:$AI$1001,MATCH(ROWS($AH$2:AH884),$AH$2:$AH$1001,0),1)&gt;=100000,INDEX($AO$1005:$BQ$1005,1,MATCH(COLUMNS($AO$1006:BM1006),$AO$1006:$BQ$1006,0))&gt;=100000), " ",IF(INDEX($AO$2:$BQ$1001,MATCH(ROWS($AH$2:AH884),$AH$2:$AH$1001,0),MATCH(COLUMNS($AO$1006:BM1006),$AO$1006:$BQ$1006,0)), HYPERLINK("#",""), HYPERLINK(CONCATENATE("#Metadata!", ADDRESS(INDEX($AJ$2:$AJ$1001,MATCH(ROWS($AH$2:AH884),$AH$2:$AH$1001,0),0), INDEX($AO$1004:$BQ$1004,1,MATCH(COLUMNS($AO$1006:BM1006),$AO$1006:$BQ$1006,0)))),"Fix")))</f>
        <v>#N/A</v>
      </c>
      <c r="AA884" s="5" t="e">
        <f ca="1">IF(OR(INDEX($AI$2:$AI$1001,MATCH(ROWS($AH$2:AH884),$AH$2:$AH$1001,0),1)&gt;=100000,INDEX($AO$1005:$BQ$1005,1,MATCH(COLUMNS($AO$1006:BN1006),$AO$1006:$BQ$1006,0))&gt;=100000), " ",IF(INDEX($AO$2:$BQ$1001,MATCH(ROWS($AH$2:AH884),$AH$2:$AH$1001,0),MATCH(COLUMNS($AO$1006:BN1006),$AO$1006:$BQ$1006,0)), HYPERLINK("#",""), HYPERLINK(CONCATENATE("#Metadata!", ADDRESS(INDEX($AJ$2:$AJ$1001,MATCH(ROWS($AH$2:AH884),$AH$2:$AH$1001,0),0), INDEX($AO$1004:$BQ$1004,1,MATCH(COLUMNS($AO$1006:BN1006),$AO$1006:$BQ$1006,0)))),"Fix")))</f>
        <v>#N/A</v>
      </c>
      <c r="AB884" s="5" t="e">
        <f ca="1">IF(OR(INDEX($AI$2:$AI$1001,MATCH(ROWS($AH$2:AH884),$AH$2:$AH$1001,0),1)&gt;=100000,INDEX($AO$1005:$BQ$1005,1,MATCH(COLUMNS($AO$1006:BO1006),$AO$1006:$BQ$1006,0))&gt;=100000), " ",IF(INDEX($AO$2:$BQ$1001,MATCH(ROWS($AH$2:AH884),$AH$2:$AH$1001,0),MATCH(COLUMNS($AO$1006:BO1006),$AO$1006:$BQ$1006,0)), HYPERLINK("#",""), HYPERLINK(CONCATENATE("#Metadata!", ADDRESS(INDEX($AJ$2:$AJ$1001,MATCH(ROWS($AH$2:AH884),$AH$2:$AH$1001,0),0), INDEX($AO$1004:$BQ$1004,1,MATCH(COLUMNS($AO$1006:BO1006),$AO$1006:$BQ$1006,0)))),"Fix")))</f>
        <v>#N/A</v>
      </c>
      <c r="AC884" s="5" t="e">
        <f ca="1">IF(OR(INDEX($AI$2:$AI$1001,MATCH(ROWS($AH$2:AH884),$AH$2:$AH$1001,0),1)&gt;=100000,INDEX($AO$1005:$BQ$1005,1,MATCH(COLUMNS($AO$1006:BP1006),$AO$1006:$BQ$1006,0))&gt;=100000), " ",IF(INDEX($AO$2:$BQ$1001,MATCH(ROWS($AH$2:AH884),$AH$2:$AH$1001,0),MATCH(COLUMNS($AO$1006:BP1006),$AO$1006:$BQ$1006,0)), HYPERLINK("#",""), HYPERLINK(CONCATENATE("#Metadata!", ADDRESS(INDEX($AJ$2:$AJ$1001,MATCH(ROWS($AH$2:AH884),$AH$2:$AH$1001,0),0), INDEX($AO$1004:$BQ$1004,1,MATCH(COLUMNS($AO$1006:BP1006),$AO$1006:$BQ$1006,0)))),"Fix")))</f>
        <v>#N/A</v>
      </c>
      <c r="AD884" s="5" t="e">
        <f ca="1">IF(OR(INDEX($AI$2:$AI$1001,MATCH(ROWS($AH$2:AH884),$AH$2:$AH$1001,0),1)&gt;=100000,INDEX($AO$1005:$BQ$1005,1,MATCH(COLUMNS($AO$1006:BQ1006),$AO$1006:$BQ$1006,0))&gt;=100000), " ",IF(INDEX($AO$2:$BQ$1001,MATCH(ROWS($AH$2:AH884),$AH$2:$AH$1001,0),MATCH(COLUMNS($AO$1006:BQ1006),$AO$1006:$BQ$1006,0)), HYPERLINK("#",""), HYPERLINK(CONCATENATE("#Metadata!", ADDRESS(INDEX($AJ$2:$AJ$1001,MATCH(ROWS($AH$2:AH884),$AH$2:$AH$1001,0),0), INDEX($AO$1004:$BQ$1004,1,MATCH(COLUMNS($AO$1006:BQ1006),$AO$1006:$BQ$1006,0)))),"Fix")))</f>
        <v>#REF!</v>
      </c>
      <c r="AH884">
        <f ca="1"/>
        <v>881</v>
      </c>
      <c r="AI884">
        <v>100884</v>
      </c>
      <c r="AJ884">
        <v>884</v>
      </c>
      <c r="AK884" t="b">
        <f t="shared" si="13"/>
        <v>1</v>
      </c>
      <c r="AL884" t="b">
        <f>COUNTBLANK(Metadata!B884:AD884)=COLUMNS(Metadata!B884:AD884)</f>
        <v>1</v>
      </c>
      <c r="AM884" t="str">
        <v/>
      </c>
      <c r="AO884" t="b">
        <f ca="1">AND(IF(Metadata!B884="",FALSE,TRUE),COUNTIF(Metadata!B:B, Metadata!B884) = 1,NOT(ISERROR(SUMPRODUCT(SEARCH(MID(Metadata!B884,ROW(INDIRECT("1:"&amp;LEN(Metadata!B884))), 1),"0123456789abcdefghijklmnopqrstuvwxyzABCDEFGHIJKLMNOPQRSTUVWXYZ.")))))</f>
        <v>0</v>
      </c>
      <c r="AP884" t="b">
        <f>IF(Metadata!C884="",FALSE,TRUE)</f>
        <v>0</v>
      </c>
      <c r="AQ884" t="b">
        <f>IF(Metadata!D884="",FALSE,TRUE)</f>
        <v>0</v>
      </c>
      <c r="AR884" t="b">
        <f ca="1">OR(AND(IF(Metadata!E884="",FALSE,TRUE),OR(EXACT(Metadata!E884,"not collected"),EXACT(Metadata!E884,"not provided"),EXACT(Metadata!E884,"restricted access"))),AND(IF(Metadata!E884="",FALSE,TRUE),AND(AND(IFERROR(INT(LEFT(Metadata!E884,4))&gt;1900,FALSE),IFERROR(INT(LEFT(Metadata!E884,4))&lt;=YEAR(NOW()),FALSE)), OR(MID(Metadata!E884,5,1)="", AND(AND(MID(Metadata!E884,5,1)="-",IFERROR(INT(MID(Metadata!E884,6,1))&gt;=0,FALSE),IFERROR(INT(MID(Metadata!E884,6,1))&lt;=1,FALSE),NOT(MID(Metadata!E884,7,1)=""),IFERROR(INT(MID(Metadata!E884,6,2))&gt;=1,FALSE),IFERROR(INT(MID(Metadata!E884,6,2))&lt;=12,FALSE)), OR(MID(Metadata!E884,8,1)="", AND(AND(MID(Metadata!E884,8,1)="-",IFERROR(INT(MID(Metadata!E884,9,1))&gt;=0,FALSE),IFERROR(INT(MID(Metadata!E884,9,1))&lt;=3,FALSE),NOT(MID(Metadata!E884,10,1)=""),IFERROR(INT(MID(Metadata!E884,9,2))&gt;=1,FALSE),IFERROR(INT(MID(Metadata!E884,9,2))&lt;=31,FALSE)), OR(MID(Metadata!E884,11,1)="", AND(AND(MID(Metadata!E884,11,1)=" ",IFERROR(INT(MID(Metadata!E884,12,1))&gt;=0,FALSE),IFERROR(INT(MID(Metadata!E884,12,1))&lt;=2,FALSE),NOT(MID(Metadata!E884,13,1)=""),IFERROR(INT(MID(Metadata!E884,12,2))&gt;=0,FALSE),IFERROR(INT(MID(Metadata!E884,12,2))&lt;=23,FALSE)), OR(MID(Metadata!E884,14,1)="", AND(AND(MID(Metadata!E884,14,1)=":",IFERROR(INT(MID(Metadata!E884,15,1))&gt;=0,FALSE),IFERROR(INT(MID(Metadata!E884,15,1))&lt;=5,FALSE),NOT(MID(Metadata!E884,16,1)=""),IFERROR(INT(MID(Metadata!E884,15,2))&gt;=0,FALSE),IFERROR(INT(MID(Metadata!E884,15,2))&lt;=59,FALSE)), OR(MID(Metadata!E884,17,1)="", AND(AND(MID(Metadata!E884,17,1)=":",IFERROR(INT(MID(Metadata!E884,18,1))&gt;=0,FALSE),IFERROR(INT(MID(Metadata!E884,18,1))&lt;=5,FALSE),NOT(MID(Metadata!E884,19,1)=""),IFERROR(INT(MID(Metadata!E884,18,2))&gt;=0,FALSE),IFERROR(INT(MID(Metadata!E884,18,2))&lt;=59,FALSE)), LEN(Metadata!E884)&lt;=19)))))))))))))</f>
        <v>0</v>
      </c>
      <c r="AS884" t="b">
        <f>IF(Metadata!F884="",FALSE,TRUE)</f>
        <v>0</v>
      </c>
      <c r="AT884" t="b">
        <f>OR(AND(IF(Metadata!G884="",FALSE,TRUE),OR(EXACT(Metadata!G884,"not collected"),EXACT(Metadata!G884,"not provided"))),AND(IF(Metadata!G884="",FALSE,TRUE),OR(EXACT(Metadata!G884,"TRUE"),EXACT(Metadata!G884,"FALSE"))))</f>
        <v>0</v>
      </c>
      <c r="AU884" t="b">
        <f>OR(AND(IF(Metadata!H884="",FALSE,TRUE),OR(EXACT(Metadata!H884,"not collected"),EXACT(Metadata!H884,"not provided"),EXACT(Metadata!H884,"restricted access"))),AND(IF(Metadata!H884="",FALSE,ISNUMBER(VALUE(Metadata!H884))),Metadata!H884&gt;=-413))</f>
        <v>0</v>
      </c>
      <c r="AV884" t="b">
        <f>AND(IF(Metadata!I884="",FALSE,TRUE),EXACT(Metadata!I884,"meters"))</f>
        <v>0</v>
      </c>
      <c r="AW884" t="b">
        <f>AND(IF(Metadata!J884="",FALSE,TRUE),EXACT(Metadata!J884,"free-living"))</f>
        <v>0</v>
      </c>
      <c r="AX884" t="b">
        <f>AND(IF(Metadata!K884="",FALSE,TRUE),OR(EXACT(Metadata!K884,"saline"),EXACT(Metadata!K884,"non-saline")))</f>
        <v>0</v>
      </c>
      <c r="AY884" t="b">
        <f>AND(IF(Metadata!L884="",FALSE,TRUE),OR(EXACT(Metadata!L884,"sub-surface (non-saline)"),EXACT(Metadata!L884,"surface (non-saline)"),EXACT(Metadata!L884,"water (non-saline)"),EXACT(Metadata!L884,"soil (non-saline)"),EXACT(Metadata!L884,"aerosol (non-saline)"),EXACT(Metadata!L884,"sediment (non-saline)"),EXACT(Metadata!L884,"surface (saline)"),EXACT(Metadata!L884,"water (saline)"),EXACT(Metadata!L884,"hypersaline (saline)"),EXACT(Metadata!L884,"aerosol (saline)"),EXACT(Metadata!L884,"sediment (saline)")))</f>
        <v>0</v>
      </c>
      <c r="AZ884" t="b">
        <f>IF(Metadata!M884="",FALSE,TRUE)</f>
        <v>0</v>
      </c>
      <c r="BA884" t="b">
        <f>IF(Metadata!N884="",FALSE,TRUE)</f>
        <v>0</v>
      </c>
      <c r="BB884" t="b">
        <f>IF(Metadata!O884="",FALSE,TRUE)</f>
        <v>0</v>
      </c>
      <c r="BC884" t="b">
        <f>AND(IF(Metadata!P884="",FALSE,TRUE),OR(EXACT(Metadata!P884,"air"),EXACT(Metadata!P884,"microbial mat/biofilm"),EXACT(Metadata!P884,"misc environment"),EXACT(Metadata!P884,"sediment"),EXACT(Metadata!P884,"soil"),EXACT(Metadata!P884,"wastewater/sludge"),EXACT(Metadata!P884,"water")))</f>
        <v>0</v>
      </c>
      <c r="BD884" t="b">
        <f>IF(Metadata!Q884="",FALSE,TRUE)</f>
        <v>0</v>
      </c>
      <c r="BE884" t="b">
        <f>IF(Metadata!R884="",FALSE,TRUE)</f>
        <v>0</v>
      </c>
      <c r="BF884" t="b">
        <f>OR(AND(IF(Metadata!S884="",FALSE,TRUE),OR(EXACT(Metadata!S884,"not collected"),EXACT(Metadata!S884,"not provided"),EXACT(Metadata!S884,"restricted access"))),AND(IF(Metadata!S884="",FALSE,ISNUMBER(VALUE(Metadata!S884))),Metadata!S884&gt;=-90,Metadata!S884&lt;=90))</f>
        <v>0</v>
      </c>
      <c r="BG884" t="b">
        <f>AND(IF(Metadata!T884="",FALSE,TRUE),EXACT(Metadata!T884,"Decimal degrees"))</f>
        <v>0</v>
      </c>
      <c r="BH884" t="b">
        <f>OR(AND(IF(Metadata!U884="",FALSE,TRUE),OR(EXACT(Metadata!U884,"not applicable"),EXACT(Metadata!U884,"not collected"))),IF(Metadata!U884="",FALSE,TRUE))</f>
        <v>0</v>
      </c>
      <c r="BI884" t="b">
        <f>OR(AND(IF(Metadata!V884="",FALSE,TRUE),OR(EXACT(Metadata!V884,"not collected"),EXACT(Metadata!V884,"not provided"),EXACT(Metadata!V884,"restricted access"))),AND(IF(Metadata!V884="",FALSE,ISNUMBER(VALUE(Metadata!V884))),Metadata!V884&gt;=-180,Metadata!V884&lt;=180))</f>
        <v>0</v>
      </c>
      <c r="BJ884" t="b">
        <f>AND(IF(Metadata!W884="",FALSE,TRUE),EXACT(Metadata!W884,"Decimal degrees"))</f>
        <v>0</v>
      </c>
      <c r="BK884" t="b">
        <f>IF(Metadata!X884="",FALSE,TRUE)</f>
        <v>0</v>
      </c>
      <c r="BL884" t="b">
        <f>OR(AND(IF(Metadata!Y884="",FALSE,TRUE),OR(EXACT(Metadata!Y884,"not collected"),EXACT(Metadata!Y884,"not provided"),EXACT(Metadata!Y884,"restricted access"))),AND(IF(Metadata!Y884="",FALSE,TRUE),OR(EXACT(Metadata!Y884,"TRUE"),EXACT(Metadata!Y884,"FALSE"))))</f>
        <v>0</v>
      </c>
      <c r="BM884" t="b">
        <f>OR(AND(IF(Metadata!Z884="",FALSE,TRUE),EXACT(Metadata!Z884,"not applicable")),AND(IF(Metadata!Z884="",FALSE,TRUE),OR(EXACT(Metadata!Z884,"beer"),EXACT(Metadata!Z884,"cheese"),EXACT(Metadata!Z884,"fresh water"),EXACT(Metadata!Z884,"marine sediment"),EXACT(Metadata!Z884,"sea water"),EXACT(Metadata!Z884,"sediment"),EXACT(Metadata!Z884,"soil"),EXACT(Metadata!Z884,"waste water"))))</f>
        <v>0</v>
      </c>
      <c r="BN884" t="b">
        <f>AND(IF(Metadata!AA884="",FALSE,TRUE),EXACT(Metadata!AA884,"metagenome"))</f>
        <v>0</v>
      </c>
      <c r="BO884" t="b">
        <f>AND(IF(Metadata!AB884="",FALSE,TRUE),EXACT(Metadata!AB884,"256318"))</f>
        <v>0</v>
      </c>
      <c r="BP884" t="b">
        <f>IF(Metadata!AC884="",FALSE,TRUE)</f>
        <v>0</v>
      </c>
      <c r="BQ884" t="b">
        <f>IF(Metadata!AD884="",FALSE,TRUE)</f>
        <v>0</v>
      </c>
    </row>
    <row r="885" spans="1:69" x14ac:dyDescent="0.2">
      <c r="A885" s="4" t="e">
        <f ca="1">IF(B885=" "," ",HYPERLINK(CONCATENATE("#metadata!",ADDRESS(INDEX($AJ$2:$AJ$1001,MATCH(ROWS($AH$2:AH885),$AH$2:$AH$1001,0),0),2)),INDEX($AM$2:$AM$1001,MATCH(ROWS($AH$2:AH885),$AH$2:$AH$1001,0),0)))</f>
        <v>#N/A</v>
      </c>
      <c r="B885" s="5" t="e">
        <f ca="1">IF(OR(INDEX($AI$2:$AI$1001,MATCH(ROWS($AH$2:AH885),$AH$2:$AH$1001,0),1)&gt;=100000,INDEX($AO$1005:$BQ$1005,1,MATCH(COLUMNS($AO$1006:AO1006),$AO$1006:$BQ$1006,0))&gt;=100000), " ",IF(INDEX($AO$2:$BQ$1001,MATCH(ROWS($AH$2:AH885),$AH$2:$AH$1001,0),MATCH(COLUMNS($AO$1006:AO1006),$AO$1006:$BQ$1006,0)), HYPERLINK("#",""), HYPERLINK(CONCATENATE("#Metadata!", ADDRESS(INDEX($AJ$2:$AJ$1001,MATCH(ROWS($AH$2:AH885),$AH$2:$AH$1001,0),0), INDEX($AO$1004:$BQ$1004,1,MATCH(COLUMNS($AO$1006:AO1006),$AO$1006:$BQ$1006,0)))),"Fix")))</f>
        <v>#N/A</v>
      </c>
      <c r="C885" s="5" t="e">
        <f ca="1">IF(OR(INDEX($AI$2:$AI$1001,MATCH(ROWS($AH$2:AH885),$AH$2:$AH$1001,0),1)&gt;=100000,INDEX($AO$1005:$BQ$1005,1,MATCH(COLUMNS($AO$1006:AP1006),$AO$1006:$BQ$1006,0))&gt;=100000), " ",IF(INDEX($AO$2:$BQ$1001,MATCH(ROWS($AH$2:AH885),$AH$2:$AH$1001,0),MATCH(COLUMNS($AO$1006:AP1006),$AO$1006:$BQ$1006,0)), HYPERLINK("#",""), HYPERLINK(CONCATENATE("#Metadata!", ADDRESS(INDEX($AJ$2:$AJ$1001,MATCH(ROWS($AH$2:AH885),$AH$2:$AH$1001,0),0), INDEX($AO$1004:$BQ$1004,1,MATCH(COLUMNS($AO$1006:AP1006),$AO$1006:$BQ$1006,0)))),"Fix")))</f>
        <v>#N/A</v>
      </c>
      <c r="D885" s="5" t="e">
        <f ca="1">IF(OR(INDEX($AI$2:$AI$1001,MATCH(ROWS($AH$2:AH885),$AH$2:$AH$1001,0),1)&gt;=100000,INDEX($AO$1005:$BQ$1005,1,MATCH(COLUMNS($AO$1006:AQ1006),$AO$1006:$BQ$1006,0))&gt;=100000), " ",IF(INDEX($AO$2:$BQ$1001,MATCH(ROWS($AH$2:AH885),$AH$2:$AH$1001,0),MATCH(COLUMNS($AO$1006:AQ1006),$AO$1006:$BQ$1006,0)), HYPERLINK("#",""), HYPERLINK(CONCATENATE("#Metadata!", ADDRESS(INDEX($AJ$2:$AJ$1001,MATCH(ROWS($AH$2:AH885),$AH$2:$AH$1001,0),0), INDEX($AO$1004:$BQ$1004,1,MATCH(COLUMNS($AO$1006:AQ1006),$AO$1006:$BQ$1006,0)))),"Fix")))</f>
        <v>#N/A</v>
      </c>
      <c r="E885" s="5" t="e">
        <f ca="1">IF(OR(INDEX($AI$2:$AI$1001,MATCH(ROWS($AH$2:AH885),$AH$2:$AH$1001,0),1)&gt;=100000,INDEX($AO$1005:$BQ$1005,1,MATCH(COLUMNS($AO$1006:AR1006),$AO$1006:$BQ$1006,0))&gt;=100000), " ",IF(INDEX($AO$2:$BQ$1001,MATCH(ROWS($AH$2:AH885),$AH$2:$AH$1001,0),MATCH(COLUMNS($AO$1006:AR1006),$AO$1006:$BQ$1006,0)), HYPERLINK("#",""), HYPERLINK(CONCATENATE("#Metadata!", ADDRESS(INDEX($AJ$2:$AJ$1001,MATCH(ROWS($AH$2:AH885),$AH$2:$AH$1001,0),0), INDEX($AO$1004:$BQ$1004,1,MATCH(COLUMNS($AO$1006:AR1006),$AO$1006:$BQ$1006,0)))),"Fix")))</f>
        <v>#N/A</v>
      </c>
      <c r="F885" s="5" t="e">
        <f ca="1">IF(OR(INDEX($AI$2:$AI$1001,MATCH(ROWS($AH$2:AH885),$AH$2:$AH$1001,0),1)&gt;=100000,INDEX($AO$1005:$BQ$1005,1,MATCH(COLUMNS($AO$1006:AS1006),$AO$1006:$BQ$1006,0))&gt;=100000), " ",IF(INDEX($AO$2:$BQ$1001,MATCH(ROWS($AH$2:AH885),$AH$2:$AH$1001,0),MATCH(COLUMNS($AO$1006:AS1006),$AO$1006:$BQ$1006,0)), HYPERLINK("#",""), HYPERLINK(CONCATENATE("#Metadata!", ADDRESS(INDEX($AJ$2:$AJ$1001,MATCH(ROWS($AH$2:AH885),$AH$2:$AH$1001,0),0), INDEX($AO$1004:$BQ$1004,1,MATCH(COLUMNS($AO$1006:AS1006),$AO$1006:$BQ$1006,0)))),"Fix")))</f>
        <v>#N/A</v>
      </c>
      <c r="G885" s="5" t="e">
        <f ca="1">IF(OR(INDEX($AI$2:$AI$1001,MATCH(ROWS($AH$2:AH885),$AH$2:$AH$1001,0),1)&gt;=100000,INDEX($AO$1005:$BQ$1005,1,MATCH(COLUMNS($AO$1006:AT1006),$AO$1006:$BQ$1006,0))&gt;=100000), " ",IF(INDEX($AO$2:$BQ$1001,MATCH(ROWS($AH$2:AH885),$AH$2:$AH$1001,0),MATCH(COLUMNS($AO$1006:AT1006),$AO$1006:$BQ$1006,0)), HYPERLINK("#",""), HYPERLINK(CONCATENATE("#Metadata!", ADDRESS(INDEX($AJ$2:$AJ$1001,MATCH(ROWS($AH$2:AH885),$AH$2:$AH$1001,0),0), INDEX($AO$1004:$BQ$1004,1,MATCH(COLUMNS($AO$1006:AT1006),$AO$1006:$BQ$1006,0)))),"Fix")))</f>
        <v>#N/A</v>
      </c>
      <c r="H885" s="5" t="e">
        <f ca="1">IF(OR(INDEX($AI$2:$AI$1001,MATCH(ROWS($AH$2:AH885),$AH$2:$AH$1001,0),1)&gt;=100000,INDEX($AO$1005:$BQ$1005,1,MATCH(COLUMNS($AO$1006:AU1006),$AO$1006:$BQ$1006,0))&gt;=100000), " ",IF(INDEX($AO$2:$BQ$1001,MATCH(ROWS($AH$2:AH885),$AH$2:$AH$1001,0),MATCH(COLUMNS($AO$1006:AU1006),$AO$1006:$BQ$1006,0)), HYPERLINK("#",""), HYPERLINK(CONCATENATE("#Metadata!", ADDRESS(INDEX($AJ$2:$AJ$1001,MATCH(ROWS($AH$2:AH885),$AH$2:$AH$1001,0),0), INDEX($AO$1004:$BQ$1004,1,MATCH(COLUMNS($AO$1006:AU1006),$AO$1006:$BQ$1006,0)))),"Fix")))</f>
        <v>#N/A</v>
      </c>
      <c r="I885" s="5" t="e">
        <f ca="1">IF(OR(INDEX($AI$2:$AI$1001,MATCH(ROWS($AH$2:AH885),$AH$2:$AH$1001,0),1)&gt;=100000,INDEX($AO$1005:$BQ$1005,1,MATCH(COLUMNS($AO$1006:AV1006),$AO$1006:$BQ$1006,0))&gt;=100000), " ",IF(INDEX($AO$2:$BQ$1001,MATCH(ROWS($AH$2:AH885),$AH$2:$AH$1001,0),MATCH(COLUMNS($AO$1006:AV1006),$AO$1006:$BQ$1006,0)), HYPERLINK("#",""), HYPERLINK(CONCATENATE("#Metadata!", ADDRESS(INDEX($AJ$2:$AJ$1001,MATCH(ROWS($AH$2:AH885),$AH$2:$AH$1001,0),0), INDEX($AO$1004:$BQ$1004,1,MATCH(COLUMNS($AO$1006:AV1006),$AO$1006:$BQ$1006,0)))),"Fix")))</f>
        <v>#N/A</v>
      </c>
      <c r="J885" s="5" t="e">
        <f ca="1">IF(OR(INDEX($AI$2:$AI$1001,MATCH(ROWS($AH$2:AH885),$AH$2:$AH$1001,0),1)&gt;=100000,INDEX($AO$1005:$BQ$1005,1,MATCH(COLUMNS($AO$1006:AW1006),$AO$1006:$BQ$1006,0))&gt;=100000), " ",IF(INDEX($AO$2:$BQ$1001,MATCH(ROWS($AH$2:AH885),$AH$2:$AH$1001,0),MATCH(COLUMNS($AO$1006:AW1006),$AO$1006:$BQ$1006,0)), HYPERLINK("#",""), HYPERLINK(CONCATENATE("#Metadata!", ADDRESS(INDEX($AJ$2:$AJ$1001,MATCH(ROWS($AH$2:AH885),$AH$2:$AH$1001,0),0), INDEX($AO$1004:$BQ$1004,1,MATCH(COLUMNS($AO$1006:AW1006),$AO$1006:$BQ$1006,0)))),"Fix")))</f>
        <v>#N/A</v>
      </c>
      <c r="K885" s="5" t="e">
        <f ca="1">IF(OR(INDEX($AI$2:$AI$1001,MATCH(ROWS($AH$2:AH885),$AH$2:$AH$1001,0),1)&gt;=100000,INDEX($AO$1005:$BQ$1005,1,MATCH(COLUMNS($AO$1006:AX1006),$AO$1006:$BQ$1006,0))&gt;=100000), " ",IF(INDEX($AO$2:$BQ$1001,MATCH(ROWS($AH$2:AH885),$AH$2:$AH$1001,0),MATCH(COLUMNS($AO$1006:AX1006),$AO$1006:$BQ$1006,0)), HYPERLINK("#",""), HYPERLINK(CONCATENATE("#Metadata!", ADDRESS(INDEX($AJ$2:$AJ$1001,MATCH(ROWS($AH$2:AH885),$AH$2:$AH$1001,0),0), INDEX($AO$1004:$BQ$1004,1,MATCH(COLUMNS($AO$1006:AX1006),$AO$1006:$BQ$1006,0)))),"Fix")))</f>
        <v>#N/A</v>
      </c>
      <c r="L885" s="5" t="e">
        <f ca="1">IF(OR(INDEX($AI$2:$AI$1001,MATCH(ROWS($AH$2:AH885),$AH$2:$AH$1001,0),1)&gt;=100000,INDEX($AO$1005:$BQ$1005,1,MATCH(COLUMNS($AO$1006:AY1006),$AO$1006:$BQ$1006,0))&gt;=100000), " ",IF(INDEX($AO$2:$BQ$1001,MATCH(ROWS($AH$2:AH885),$AH$2:$AH$1001,0),MATCH(COLUMNS($AO$1006:AY1006),$AO$1006:$BQ$1006,0)), HYPERLINK("#",""), HYPERLINK(CONCATENATE("#Metadata!", ADDRESS(INDEX($AJ$2:$AJ$1001,MATCH(ROWS($AH$2:AH885),$AH$2:$AH$1001,0),0), INDEX($AO$1004:$BQ$1004,1,MATCH(COLUMNS($AO$1006:AY1006),$AO$1006:$BQ$1006,0)))),"Fix")))</f>
        <v>#N/A</v>
      </c>
      <c r="M885" s="5" t="e">
        <f ca="1">IF(OR(INDEX($AI$2:$AI$1001,MATCH(ROWS($AH$2:AH885),$AH$2:$AH$1001,0),1)&gt;=100000,INDEX($AO$1005:$BQ$1005,1,MATCH(COLUMNS($AO$1006:AZ1006),$AO$1006:$BQ$1006,0))&gt;=100000), " ",IF(INDEX($AO$2:$BQ$1001,MATCH(ROWS($AH$2:AH885),$AH$2:$AH$1001,0),MATCH(COLUMNS($AO$1006:AZ1006),$AO$1006:$BQ$1006,0)), HYPERLINK("#",""), HYPERLINK(CONCATENATE("#Metadata!", ADDRESS(INDEX($AJ$2:$AJ$1001,MATCH(ROWS($AH$2:AH885),$AH$2:$AH$1001,0),0), INDEX($AO$1004:$BQ$1004,1,MATCH(COLUMNS($AO$1006:AZ1006),$AO$1006:$BQ$1006,0)))),"Fix")))</f>
        <v>#N/A</v>
      </c>
      <c r="N885" s="5" t="e">
        <f ca="1">IF(OR(INDEX($AI$2:$AI$1001,MATCH(ROWS($AH$2:AH885),$AH$2:$AH$1001,0),1)&gt;=100000,INDEX($AO$1005:$BQ$1005,1,MATCH(COLUMNS($AO$1006:BA1006),$AO$1006:$BQ$1006,0))&gt;=100000), " ",IF(INDEX($AO$2:$BQ$1001,MATCH(ROWS($AH$2:AH885),$AH$2:$AH$1001,0),MATCH(COLUMNS($AO$1006:BA1006),$AO$1006:$BQ$1006,0)), HYPERLINK("#",""), HYPERLINK(CONCATENATE("#Metadata!", ADDRESS(INDEX($AJ$2:$AJ$1001,MATCH(ROWS($AH$2:AH885),$AH$2:$AH$1001,0),0), INDEX($AO$1004:$BQ$1004,1,MATCH(COLUMNS($AO$1006:BA1006),$AO$1006:$BQ$1006,0)))),"Fix")))</f>
        <v>#N/A</v>
      </c>
      <c r="O885" s="5" t="e">
        <f ca="1">IF(OR(INDEX($AI$2:$AI$1001,MATCH(ROWS($AH$2:AH885),$AH$2:$AH$1001,0),1)&gt;=100000,INDEX($AO$1005:$BQ$1005,1,MATCH(COLUMNS($AO$1006:BB1006),$AO$1006:$BQ$1006,0))&gt;=100000), " ",IF(INDEX($AO$2:$BQ$1001,MATCH(ROWS($AH$2:AH885),$AH$2:$AH$1001,0),MATCH(COLUMNS($AO$1006:BB1006),$AO$1006:$BQ$1006,0)), HYPERLINK("#",""), HYPERLINK(CONCATENATE("#Metadata!", ADDRESS(INDEX($AJ$2:$AJ$1001,MATCH(ROWS($AH$2:AH885),$AH$2:$AH$1001,0),0), INDEX($AO$1004:$BQ$1004,1,MATCH(COLUMNS($AO$1006:BB1006),$AO$1006:$BQ$1006,0)))),"Fix")))</f>
        <v>#N/A</v>
      </c>
      <c r="P885" s="5" t="e">
        <f ca="1">IF(OR(INDEX($AI$2:$AI$1001,MATCH(ROWS($AH$2:AH885),$AH$2:$AH$1001,0),1)&gt;=100000,INDEX($AO$1005:$BQ$1005,1,MATCH(COLUMNS($AO$1006:BC1006),$AO$1006:$BQ$1006,0))&gt;=100000), " ",IF(INDEX($AO$2:$BQ$1001,MATCH(ROWS($AH$2:AH885),$AH$2:$AH$1001,0),MATCH(COLUMNS($AO$1006:BC1006),$AO$1006:$BQ$1006,0)), HYPERLINK("#",""), HYPERLINK(CONCATENATE("#Metadata!", ADDRESS(INDEX($AJ$2:$AJ$1001,MATCH(ROWS($AH$2:AH885),$AH$2:$AH$1001,0),0), INDEX($AO$1004:$BQ$1004,1,MATCH(COLUMNS($AO$1006:BC1006),$AO$1006:$BQ$1006,0)))),"Fix")))</f>
        <v>#N/A</v>
      </c>
      <c r="Q885" s="5" t="e">
        <f ca="1">IF(OR(INDEX($AI$2:$AI$1001,MATCH(ROWS($AH$2:AH885),$AH$2:$AH$1001,0),1)&gt;=100000,INDEX($AO$1005:$BQ$1005,1,MATCH(COLUMNS($AO$1006:BD1006),$AO$1006:$BQ$1006,0))&gt;=100000), " ",IF(INDEX($AO$2:$BQ$1001,MATCH(ROWS($AH$2:AH885),$AH$2:$AH$1001,0),MATCH(COLUMNS($AO$1006:BD1006),$AO$1006:$BQ$1006,0)), HYPERLINK("#",""), HYPERLINK(CONCATENATE("#Metadata!", ADDRESS(INDEX($AJ$2:$AJ$1001,MATCH(ROWS($AH$2:AH885),$AH$2:$AH$1001,0),0), INDEX($AO$1004:$BQ$1004,1,MATCH(COLUMNS($AO$1006:BD1006),$AO$1006:$BQ$1006,0)))),"Fix")))</f>
        <v>#N/A</v>
      </c>
      <c r="R885" s="5" t="e">
        <f ca="1">IF(OR(INDEX($AI$2:$AI$1001,MATCH(ROWS($AH$2:AH885),$AH$2:$AH$1001,0),1)&gt;=100000,INDEX($AO$1005:$BQ$1005,1,MATCH(COLUMNS($AO$1006:BE1006),$AO$1006:$BQ$1006,0))&gt;=100000), " ",IF(INDEX($AO$2:$BQ$1001,MATCH(ROWS($AH$2:AH885),$AH$2:$AH$1001,0),MATCH(COLUMNS($AO$1006:BE1006),$AO$1006:$BQ$1006,0)), HYPERLINK("#",""), HYPERLINK(CONCATENATE("#Metadata!", ADDRESS(INDEX($AJ$2:$AJ$1001,MATCH(ROWS($AH$2:AH885),$AH$2:$AH$1001,0),0), INDEX($AO$1004:$BQ$1004,1,MATCH(COLUMNS($AO$1006:BE1006),$AO$1006:$BQ$1006,0)))),"Fix")))</f>
        <v>#N/A</v>
      </c>
      <c r="S885" s="5" t="e">
        <f ca="1">IF(OR(INDEX($AI$2:$AI$1001,MATCH(ROWS($AH$2:AH885),$AH$2:$AH$1001,0),1)&gt;=100000,INDEX($AO$1005:$BQ$1005,1,MATCH(COLUMNS($AO$1006:BF1006),$AO$1006:$BQ$1006,0))&gt;=100000), " ",IF(INDEX($AO$2:$BQ$1001,MATCH(ROWS($AH$2:AH885),$AH$2:$AH$1001,0),MATCH(COLUMNS($AO$1006:BF1006),$AO$1006:$BQ$1006,0)), HYPERLINK("#",""), HYPERLINK(CONCATENATE("#Metadata!", ADDRESS(INDEX($AJ$2:$AJ$1001,MATCH(ROWS($AH$2:AH885),$AH$2:$AH$1001,0),0), INDEX($AO$1004:$BQ$1004,1,MATCH(COLUMNS($AO$1006:BF1006),$AO$1006:$BQ$1006,0)))),"Fix")))</f>
        <v>#N/A</v>
      </c>
      <c r="T885" s="5" t="e">
        <f ca="1">IF(OR(INDEX($AI$2:$AI$1001,MATCH(ROWS($AH$2:AH885),$AH$2:$AH$1001,0),1)&gt;=100000,INDEX($AO$1005:$BQ$1005,1,MATCH(COLUMNS($AO$1006:BG1006),$AO$1006:$BQ$1006,0))&gt;=100000), " ",IF(INDEX($AO$2:$BQ$1001,MATCH(ROWS($AH$2:AH885),$AH$2:$AH$1001,0),MATCH(COLUMNS($AO$1006:BG1006),$AO$1006:$BQ$1006,0)), HYPERLINK("#",""), HYPERLINK(CONCATENATE("#Metadata!", ADDRESS(INDEX($AJ$2:$AJ$1001,MATCH(ROWS($AH$2:AH885),$AH$2:$AH$1001,0),0), INDEX($AO$1004:$BQ$1004,1,MATCH(COLUMNS($AO$1006:BG1006),$AO$1006:$BQ$1006,0)))),"Fix")))</f>
        <v>#N/A</v>
      </c>
      <c r="U885" s="5" t="e">
        <f ca="1">IF(OR(INDEX($AI$2:$AI$1001,MATCH(ROWS($AH$2:AH885),$AH$2:$AH$1001,0),1)&gt;=100000,INDEX($AO$1005:$BQ$1005,1,MATCH(COLUMNS($AO$1006:BH1006),$AO$1006:$BQ$1006,0))&gt;=100000), " ",IF(INDEX($AO$2:$BQ$1001,MATCH(ROWS($AH$2:AH885),$AH$2:$AH$1001,0),MATCH(COLUMNS($AO$1006:BH1006),$AO$1006:$BQ$1006,0)), HYPERLINK("#",""), HYPERLINK(CONCATENATE("#Metadata!", ADDRESS(INDEX($AJ$2:$AJ$1001,MATCH(ROWS($AH$2:AH885),$AH$2:$AH$1001,0),0), INDEX($AO$1004:$BQ$1004,1,MATCH(COLUMNS($AO$1006:BH1006),$AO$1006:$BQ$1006,0)))),"Fix")))</f>
        <v>#N/A</v>
      </c>
      <c r="V885" s="5" t="e">
        <f ca="1">IF(OR(INDEX($AI$2:$AI$1001,MATCH(ROWS($AH$2:AH885),$AH$2:$AH$1001,0),1)&gt;=100000,INDEX($AO$1005:$BQ$1005,1,MATCH(COLUMNS($AO$1006:BI1006),$AO$1006:$BQ$1006,0))&gt;=100000), " ",IF(INDEX($AO$2:$BQ$1001,MATCH(ROWS($AH$2:AH885),$AH$2:$AH$1001,0),MATCH(COLUMNS($AO$1006:BI1006),$AO$1006:$BQ$1006,0)), HYPERLINK("#",""), HYPERLINK(CONCATENATE("#Metadata!", ADDRESS(INDEX($AJ$2:$AJ$1001,MATCH(ROWS($AH$2:AH885),$AH$2:$AH$1001,0),0), INDEX($AO$1004:$BQ$1004,1,MATCH(COLUMNS($AO$1006:BI1006),$AO$1006:$BQ$1006,0)))),"Fix")))</f>
        <v>#N/A</v>
      </c>
      <c r="W885" s="5" t="e">
        <f ca="1">IF(OR(INDEX($AI$2:$AI$1001,MATCH(ROWS($AH$2:AH885),$AH$2:$AH$1001,0),1)&gt;=100000,INDEX($AO$1005:$BQ$1005,1,MATCH(COLUMNS($AO$1006:BJ1006),$AO$1006:$BQ$1006,0))&gt;=100000), " ",IF(INDEX($AO$2:$BQ$1001,MATCH(ROWS($AH$2:AH885),$AH$2:$AH$1001,0),MATCH(COLUMNS($AO$1006:BJ1006),$AO$1006:$BQ$1006,0)), HYPERLINK("#",""), HYPERLINK(CONCATENATE("#Metadata!", ADDRESS(INDEX($AJ$2:$AJ$1001,MATCH(ROWS($AH$2:AH885),$AH$2:$AH$1001,0),0), INDEX($AO$1004:$BQ$1004,1,MATCH(COLUMNS($AO$1006:BJ1006),$AO$1006:$BQ$1006,0)))),"Fix")))</f>
        <v>#N/A</v>
      </c>
      <c r="X885" s="5" t="e">
        <f ca="1">IF(OR(INDEX($AI$2:$AI$1001,MATCH(ROWS($AH$2:AH885),$AH$2:$AH$1001,0),1)&gt;=100000,INDEX($AO$1005:$BQ$1005,1,MATCH(COLUMNS($AO$1006:BK1006),$AO$1006:$BQ$1006,0))&gt;=100000), " ",IF(INDEX($AO$2:$BQ$1001,MATCH(ROWS($AH$2:AH885),$AH$2:$AH$1001,0),MATCH(COLUMNS($AO$1006:BK1006),$AO$1006:$BQ$1006,0)), HYPERLINK("#",""), HYPERLINK(CONCATENATE("#Metadata!", ADDRESS(INDEX($AJ$2:$AJ$1001,MATCH(ROWS($AH$2:AH885),$AH$2:$AH$1001,0),0), INDEX($AO$1004:$BQ$1004,1,MATCH(COLUMNS($AO$1006:BK1006),$AO$1006:$BQ$1006,0)))),"Fix")))</f>
        <v>#N/A</v>
      </c>
      <c r="Y885" s="5" t="e">
        <f ca="1">IF(OR(INDEX($AI$2:$AI$1001,MATCH(ROWS($AH$2:AH885),$AH$2:$AH$1001,0),1)&gt;=100000,INDEX($AO$1005:$BQ$1005,1,MATCH(COLUMNS($AO$1006:BL1006),$AO$1006:$BQ$1006,0))&gt;=100000), " ",IF(INDEX($AO$2:$BQ$1001,MATCH(ROWS($AH$2:AH885),$AH$2:$AH$1001,0),MATCH(COLUMNS($AO$1006:BL1006),$AO$1006:$BQ$1006,0)), HYPERLINK("#",""), HYPERLINK(CONCATENATE("#Metadata!", ADDRESS(INDEX($AJ$2:$AJ$1001,MATCH(ROWS($AH$2:AH885),$AH$2:$AH$1001,0),0), INDEX($AO$1004:$BQ$1004,1,MATCH(COLUMNS($AO$1006:BL1006),$AO$1006:$BQ$1006,0)))),"Fix")))</f>
        <v>#N/A</v>
      </c>
      <c r="Z885" s="5" t="e">
        <f ca="1">IF(OR(INDEX($AI$2:$AI$1001,MATCH(ROWS($AH$2:AH885),$AH$2:$AH$1001,0),1)&gt;=100000,INDEX($AO$1005:$BQ$1005,1,MATCH(COLUMNS($AO$1006:BM1006),$AO$1006:$BQ$1006,0))&gt;=100000), " ",IF(INDEX($AO$2:$BQ$1001,MATCH(ROWS($AH$2:AH885),$AH$2:$AH$1001,0),MATCH(COLUMNS($AO$1006:BM1006),$AO$1006:$BQ$1006,0)), HYPERLINK("#",""), HYPERLINK(CONCATENATE("#Metadata!", ADDRESS(INDEX($AJ$2:$AJ$1001,MATCH(ROWS($AH$2:AH885),$AH$2:$AH$1001,0),0), INDEX($AO$1004:$BQ$1004,1,MATCH(COLUMNS($AO$1006:BM1006),$AO$1006:$BQ$1006,0)))),"Fix")))</f>
        <v>#N/A</v>
      </c>
      <c r="AA885" s="5" t="e">
        <f ca="1">IF(OR(INDEX($AI$2:$AI$1001,MATCH(ROWS($AH$2:AH885),$AH$2:$AH$1001,0),1)&gt;=100000,INDEX($AO$1005:$BQ$1005,1,MATCH(COLUMNS($AO$1006:BN1006),$AO$1006:$BQ$1006,0))&gt;=100000), " ",IF(INDEX($AO$2:$BQ$1001,MATCH(ROWS($AH$2:AH885),$AH$2:$AH$1001,0),MATCH(COLUMNS($AO$1006:BN1006),$AO$1006:$BQ$1006,0)), HYPERLINK("#",""), HYPERLINK(CONCATENATE("#Metadata!", ADDRESS(INDEX($AJ$2:$AJ$1001,MATCH(ROWS($AH$2:AH885),$AH$2:$AH$1001,0),0), INDEX($AO$1004:$BQ$1004,1,MATCH(COLUMNS($AO$1006:BN1006),$AO$1006:$BQ$1006,0)))),"Fix")))</f>
        <v>#N/A</v>
      </c>
      <c r="AB885" s="5" t="e">
        <f ca="1">IF(OR(INDEX($AI$2:$AI$1001,MATCH(ROWS($AH$2:AH885),$AH$2:$AH$1001,0),1)&gt;=100000,INDEX($AO$1005:$BQ$1005,1,MATCH(COLUMNS($AO$1006:BO1006),$AO$1006:$BQ$1006,0))&gt;=100000), " ",IF(INDEX($AO$2:$BQ$1001,MATCH(ROWS($AH$2:AH885),$AH$2:$AH$1001,0),MATCH(COLUMNS($AO$1006:BO1006),$AO$1006:$BQ$1006,0)), HYPERLINK("#",""), HYPERLINK(CONCATENATE("#Metadata!", ADDRESS(INDEX($AJ$2:$AJ$1001,MATCH(ROWS($AH$2:AH885),$AH$2:$AH$1001,0),0), INDEX($AO$1004:$BQ$1004,1,MATCH(COLUMNS($AO$1006:BO1006),$AO$1006:$BQ$1006,0)))),"Fix")))</f>
        <v>#N/A</v>
      </c>
      <c r="AC885" s="5" t="e">
        <f ca="1">IF(OR(INDEX($AI$2:$AI$1001,MATCH(ROWS($AH$2:AH885),$AH$2:$AH$1001,0),1)&gt;=100000,INDEX($AO$1005:$BQ$1005,1,MATCH(COLUMNS($AO$1006:BP1006),$AO$1006:$BQ$1006,0))&gt;=100000), " ",IF(INDEX($AO$2:$BQ$1001,MATCH(ROWS($AH$2:AH885),$AH$2:$AH$1001,0),MATCH(COLUMNS($AO$1006:BP1006),$AO$1006:$BQ$1006,0)), HYPERLINK("#",""), HYPERLINK(CONCATENATE("#Metadata!", ADDRESS(INDEX($AJ$2:$AJ$1001,MATCH(ROWS($AH$2:AH885),$AH$2:$AH$1001,0),0), INDEX($AO$1004:$BQ$1004,1,MATCH(COLUMNS($AO$1006:BP1006),$AO$1006:$BQ$1006,0)))),"Fix")))</f>
        <v>#N/A</v>
      </c>
      <c r="AD885" s="5" t="e">
        <f ca="1">IF(OR(INDEX($AI$2:$AI$1001,MATCH(ROWS($AH$2:AH885),$AH$2:$AH$1001,0),1)&gt;=100000,INDEX($AO$1005:$BQ$1005,1,MATCH(COLUMNS($AO$1006:BQ1006),$AO$1006:$BQ$1006,0))&gt;=100000), " ",IF(INDEX($AO$2:$BQ$1001,MATCH(ROWS($AH$2:AH885),$AH$2:$AH$1001,0),MATCH(COLUMNS($AO$1006:BQ1006),$AO$1006:$BQ$1006,0)), HYPERLINK("#",""), HYPERLINK(CONCATENATE("#Metadata!", ADDRESS(INDEX($AJ$2:$AJ$1001,MATCH(ROWS($AH$2:AH885),$AH$2:$AH$1001,0),0), INDEX($AO$1004:$BQ$1004,1,MATCH(COLUMNS($AO$1006:BQ1006),$AO$1006:$BQ$1006,0)))),"Fix")))</f>
        <v>#REF!</v>
      </c>
      <c r="AH885">
        <f ca="1"/>
        <v>882</v>
      </c>
      <c r="AI885">
        <v>100885</v>
      </c>
      <c r="AJ885">
        <v>885</v>
      </c>
      <c r="AK885" t="b">
        <f t="shared" si="13"/>
        <v>1</v>
      </c>
      <c r="AL885" t="b">
        <f>COUNTBLANK(Metadata!B885:AD885)=COLUMNS(Metadata!B885:AD885)</f>
        <v>1</v>
      </c>
      <c r="AM885" t="str">
        <v/>
      </c>
      <c r="AO885" t="b">
        <f ca="1">AND(IF(Metadata!B885="",FALSE,TRUE),COUNTIF(Metadata!B:B, Metadata!B885) = 1,NOT(ISERROR(SUMPRODUCT(SEARCH(MID(Metadata!B885,ROW(INDIRECT("1:"&amp;LEN(Metadata!B885))), 1),"0123456789abcdefghijklmnopqrstuvwxyzABCDEFGHIJKLMNOPQRSTUVWXYZ.")))))</f>
        <v>0</v>
      </c>
      <c r="AP885" t="b">
        <f>IF(Metadata!C885="",FALSE,TRUE)</f>
        <v>0</v>
      </c>
      <c r="AQ885" t="b">
        <f>IF(Metadata!D885="",FALSE,TRUE)</f>
        <v>0</v>
      </c>
      <c r="AR885" t="b">
        <f ca="1">OR(AND(IF(Metadata!E885="",FALSE,TRUE),OR(EXACT(Metadata!E885,"not collected"),EXACT(Metadata!E885,"not provided"),EXACT(Metadata!E885,"restricted access"))),AND(IF(Metadata!E885="",FALSE,TRUE),AND(AND(IFERROR(INT(LEFT(Metadata!E885,4))&gt;1900,FALSE),IFERROR(INT(LEFT(Metadata!E885,4))&lt;=YEAR(NOW()),FALSE)), OR(MID(Metadata!E885,5,1)="", AND(AND(MID(Metadata!E885,5,1)="-",IFERROR(INT(MID(Metadata!E885,6,1))&gt;=0,FALSE),IFERROR(INT(MID(Metadata!E885,6,1))&lt;=1,FALSE),NOT(MID(Metadata!E885,7,1)=""),IFERROR(INT(MID(Metadata!E885,6,2))&gt;=1,FALSE),IFERROR(INT(MID(Metadata!E885,6,2))&lt;=12,FALSE)), OR(MID(Metadata!E885,8,1)="", AND(AND(MID(Metadata!E885,8,1)="-",IFERROR(INT(MID(Metadata!E885,9,1))&gt;=0,FALSE),IFERROR(INT(MID(Metadata!E885,9,1))&lt;=3,FALSE),NOT(MID(Metadata!E885,10,1)=""),IFERROR(INT(MID(Metadata!E885,9,2))&gt;=1,FALSE),IFERROR(INT(MID(Metadata!E885,9,2))&lt;=31,FALSE)), OR(MID(Metadata!E885,11,1)="", AND(AND(MID(Metadata!E885,11,1)=" ",IFERROR(INT(MID(Metadata!E885,12,1))&gt;=0,FALSE),IFERROR(INT(MID(Metadata!E885,12,1))&lt;=2,FALSE),NOT(MID(Metadata!E885,13,1)=""),IFERROR(INT(MID(Metadata!E885,12,2))&gt;=0,FALSE),IFERROR(INT(MID(Metadata!E885,12,2))&lt;=23,FALSE)), OR(MID(Metadata!E885,14,1)="", AND(AND(MID(Metadata!E885,14,1)=":",IFERROR(INT(MID(Metadata!E885,15,1))&gt;=0,FALSE),IFERROR(INT(MID(Metadata!E885,15,1))&lt;=5,FALSE),NOT(MID(Metadata!E885,16,1)=""),IFERROR(INT(MID(Metadata!E885,15,2))&gt;=0,FALSE),IFERROR(INT(MID(Metadata!E885,15,2))&lt;=59,FALSE)), OR(MID(Metadata!E885,17,1)="", AND(AND(MID(Metadata!E885,17,1)=":",IFERROR(INT(MID(Metadata!E885,18,1))&gt;=0,FALSE),IFERROR(INT(MID(Metadata!E885,18,1))&lt;=5,FALSE),NOT(MID(Metadata!E885,19,1)=""),IFERROR(INT(MID(Metadata!E885,18,2))&gt;=0,FALSE),IFERROR(INT(MID(Metadata!E885,18,2))&lt;=59,FALSE)), LEN(Metadata!E885)&lt;=19)))))))))))))</f>
        <v>0</v>
      </c>
      <c r="AS885" t="b">
        <f>IF(Metadata!F885="",FALSE,TRUE)</f>
        <v>0</v>
      </c>
      <c r="AT885" t="b">
        <f>OR(AND(IF(Metadata!G885="",FALSE,TRUE),OR(EXACT(Metadata!G885,"not collected"),EXACT(Metadata!G885,"not provided"))),AND(IF(Metadata!G885="",FALSE,TRUE),OR(EXACT(Metadata!G885,"TRUE"),EXACT(Metadata!G885,"FALSE"))))</f>
        <v>0</v>
      </c>
      <c r="AU885" t="b">
        <f>OR(AND(IF(Metadata!H885="",FALSE,TRUE),OR(EXACT(Metadata!H885,"not collected"),EXACT(Metadata!H885,"not provided"),EXACT(Metadata!H885,"restricted access"))),AND(IF(Metadata!H885="",FALSE,ISNUMBER(VALUE(Metadata!H885))),Metadata!H885&gt;=-413))</f>
        <v>0</v>
      </c>
      <c r="AV885" t="b">
        <f>AND(IF(Metadata!I885="",FALSE,TRUE),EXACT(Metadata!I885,"meters"))</f>
        <v>0</v>
      </c>
      <c r="AW885" t="b">
        <f>AND(IF(Metadata!J885="",FALSE,TRUE),EXACT(Metadata!J885,"free-living"))</f>
        <v>0</v>
      </c>
      <c r="AX885" t="b">
        <f>AND(IF(Metadata!K885="",FALSE,TRUE),OR(EXACT(Metadata!K885,"saline"),EXACT(Metadata!K885,"non-saline")))</f>
        <v>0</v>
      </c>
      <c r="AY885" t="b">
        <f>AND(IF(Metadata!L885="",FALSE,TRUE),OR(EXACT(Metadata!L885,"sub-surface (non-saline)"),EXACT(Metadata!L885,"surface (non-saline)"),EXACT(Metadata!L885,"water (non-saline)"),EXACT(Metadata!L885,"soil (non-saline)"),EXACT(Metadata!L885,"aerosol (non-saline)"),EXACT(Metadata!L885,"sediment (non-saline)"),EXACT(Metadata!L885,"surface (saline)"),EXACT(Metadata!L885,"water (saline)"),EXACT(Metadata!L885,"hypersaline (saline)"),EXACT(Metadata!L885,"aerosol (saline)"),EXACT(Metadata!L885,"sediment (saline)")))</f>
        <v>0</v>
      </c>
      <c r="AZ885" t="b">
        <f>IF(Metadata!M885="",FALSE,TRUE)</f>
        <v>0</v>
      </c>
      <c r="BA885" t="b">
        <f>IF(Metadata!N885="",FALSE,TRUE)</f>
        <v>0</v>
      </c>
      <c r="BB885" t="b">
        <f>IF(Metadata!O885="",FALSE,TRUE)</f>
        <v>0</v>
      </c>
      <c r="BC885" t="b">
        <f>AND(IF(Metadata!P885="",FALSE,TRUE),OR(EXACT(Metadata!P885,"air"),EXACT(Metadata!P885,"microbial mat/biofilm"),EXACT(Metadata!P885,"misc environment"),EXACT(Metadata!P885,"sediment"),EXACT(Metadata!P885,"soil"),EXACT(Metadata!P885,"wastewater/sludge"),EXACT(Metadata!P885,"water")))</f>
        <v>0</v>
      </c>
      <c r="BD885" t="b">
        <f>IF(Metadata!Q885="",FALSE,TRUE)</f>
        <v>0</v>
      </c>
      <c r="BE885" t="b">
        <f>IF(Metadata!R885="",FALSE,TRUE)</f>
        <v>0</v>
      </c>
      <c r="BF885" t="b">
        <f>OR(AND(IF(Metadata!S885="",FALSE,TRUE),OR(EXACT(Metadata!S885,"not collected"),EXACT(Metadata!S885,"not provided"),EXACT(Metadata!S885,"restricted access"))),AND(IF(Metadata!S885="",FALSE,ISNUMBER(VALUE(Metadata!S885))),Metadata!S885&gt;=-90,Metadata!S885&lt;=90))</f>
        <v>0</v>
      </c>
      <c r="BG885" t="b">
        <f>AND(IF(Metadata!T885="",FALSE,TRUE),EXACT(Metadata!T885,"Decimal degrees"))</f>
        <v>0</v>
      </c>
      <c r="BH885" t="b">
        <f>OR(AND(IF(Metadata!U885="",FALSE,TRUE),OR(EXACT(Metadata!U885,"not applicable"),EXACT(Metadata!U885,"not collected"))),IF(Metadata!U885="",FALSE,TRUE))</f>
        <v>0</v>
      </c>
      <c r="BI885" t="b">
        <f>OR(AND(IF(Metadata!V885="",FALSE,TRUE),OR(EXACT(Metadata!V885,"not collected"),EXACT(Metadata!V885,"not provided"),EXACT(Metadata!V885,"restricted access"))),AND(IF(Metadata!V885="",FALSE,ISNUMBER(VALUE(Metadata!V885))),Metadata!V885&gt;=-180,Metadata!V885&lt;=180))</f>
        <v>0</v>
      </c>
      <c r="BJ885" t="b">
        <f>AND(IF(Metadata!W885="",FALSE,TRUE),EXACT(Metadata!W885,"Decimal degrees"))</f>
        <v>0</v>
      </c>
      <c r="BK885" t="b">
        <f>IF(Metadata!X885="",FALSE,TRUE)</f>
        <v>0</v>
      </c>
      <c r="BL885" t="b">
        <f>OR(AND(IF(Metadata!Y885="",FALSE,TRUE),OR(EXACT(Metadata!Y885,"not collected"),EXACT(Metadata!Y885,"not provided"),EXACT(Metadata!Y885,"restricted access"))),AND(IF(Metadata!Y885="",FALSE,TRUE),OR(EXACT(Metadata!Y885,"TRUE"),EXACT(Metadata!Y885,"FALSE"))))</f>
        <v>0</v>
      </c>
      <c r="BM885" t="b">
        <f>OR(AND(IF(Metadata!Z885="",FALSE,TRUE),EXACT(Metadata!Z885,"not applicable")),AND(IF(Metadata!Z885="",FALSE,TRUE),OR(EXACT(Metadata!Z885,"beer"),EXACT(Metadata!Z885,"cheese"),EXACT(Metadata!Z885,"fresh water"),EXACT(Metadata!Z885,"marine sediment"),EXACT(Metadata!Z885,"sea water"),EXACT(Metadata!Z885,"sediment"),EXACT(Metadata!Z885,"soil"),EXACT(Metadata!Z885,"waste water"))))</f>
        <v>0</v>
      </c>
      <c r="BN885" t="b">
        <f>AND(IF(Metadata!AA885="",FALSE,TRUE),EXACT(Metadata!AA885,"metagenome"))</f>
        <v>0</v>
      </c>
      <c r="BO885" t="b">
        <f>AND(IF(Metadata!AB885="",FALSE,TRUE),EXACT(Metadata!AB885,"256318"))</f>
        <v>0</v>
      </c>
      <c r="BP885" t="b">
        <f>IF(Metadata!AC885="",FALSE,TRUE)</f>
        <v>0</v>
      </c>
      <c r="BQ885" t="b">
        <f>IF(Metadata!AD885="",FALSE,TRUE)</f>
        <v>0</v>
      </c>
    </row>
    <row r="886" spans="1:69" x14ac:dyDescent="0.2">
      <c r="A886" s="4" t="e">
        <f ca="1">IF(B886=" "," ",HYPERLINK(CONCATENATE("#metadata!",ADDRESS(INDEX($AJ$2:$AJ$1001,MATCH(ROWS($AH$2:AH886),$AH$2:$AH$1001,0),0),2)),INDEX($AM$2:$AM$1001,MATCH(ROWS($AH$2:AH886),$AH$2:$AH$1001,0),0)))</f>
        <v>#N/A</v>
      </c>
      <c r="B886" s="5" t="e">
        <f ca="1">IF(OR(INDEX($AI$2:$AI$1001,MATCH(ROWS($AH$2:AH886),$AH$2:$AH$1001,0),1)&gt;=100000,INDEX($AO$1005:$BQ$1005,1,MATCH(COLUMNS($AO$1006:AO1006),$AO$1006:$BQ$1006,0))&gt;=100000), " ",IF(INDEX($AO$2:$BQ$1001,MATCH(ROWS($AH$2:AH886),$AH$2:$AH$1001,0),MATCH(COLUMNS($AO$1006:AO1006),$AO$1006:$BQ$1006,0)), HYPERLINK("#",""), HYPERLINK(CONCATENATE("#Metadata!", ADDRESS(INDEX($AJ$2:$AJ$1001,MATCH(ROWS($AH$2:AH886),$AH$2:$AH$1001,0),0), INDEX($AO$1004:$BQ$1004,1,MATCH(COLUMNS($AO$1006:AO1006),$AO$1006:$BQ$1006,0)))),"Fix")))</f>
        <v>#N/A</v>
      </c>
      <c r="C886" s="5" t="e">
        <f ca="1">IF(OR(INDEX($AI$2:$AI$1001,MATCH(ROWS($AH$2:AH886),$AH$2:$AH$1001,0),1)&gt;=100000,INDEX($AO$1005:$BQ$1005,1,MATCH(COLUMNS($AO$1006:AP1006),$AO$1006:$BQ$1006,0))&gt;=100000), " ",IF(INDEX($AO$2:$BQ$1001,MATCH(ROWS($AH$2:AH886),$AH$2:$AH$1001,0),MATCH(COLUMNS($AO$1006:AP1006),$AO$1006:$BQ$1006,0)), HYPERLINK("#",""), HYPERLINK(CONCATENATE("#Metadata!", ADDRESS(INDEX($AJ$2:$AJ$1001,MATCH(ROWS($AH$2:AH886),$AH$2:$AH$1001,0),0), INDEX($AO$1004:$BQ$1004,1,MATCH(COLUMNS($AO$1006:AP1006),$AO$1006:$BQ$1006,0)))),"Fix")))</f>
        <v>#N/A</v>
      </c>
      <c r="D886" s="5" t="e">
        <f ca="1">IF(OR(INDEX($AI$2:$AI$1001,MATCH(ROWS($AH$2:AH886),$AH$2:$AH$1001,0),1)&gt;=100000,INDEX($AO$1005:$BQ$1005,1,MATCH(COLUMNS($AO$1006:AQ1006),$AO$1006:$BQ$1006,0))&gt;=100000), " ",IF(INDEX($AO$2:$BQ$1001,MATCH(ROWS($AH$2:AH886),$AH$2:$AH$1001,0),MATCH(COLUMNS($AO$1006:AQ1006),$AO$1006:$BQ$1006,0)), HYPERLINK("#",""), HYPERLINK(CONCATENATE("#Metadata!", ADDRESS(INDEX($AJ$2:$AJ$1001,MATCH(ROWS($AH$2:AH886),$AH$2:$AH$1001,0),0), INDEX($AO$1004:$BQ$1004,1,MATCH(COLUMNS($AO$1006:AQ1006),$AO$1006:$BQ$1006,0)))),"Fix")))</f>
        <v>#N/A</v>
      </c>
      <c r="E886" s="5" t="e">
        <f ca="1">IF(OR(INDEX($AI$2:$AI$1001,MATCH(ROWS($AH$2:AH886),$AH$2:$AH$1001,0),1)&gt;=100000,INDEX($AO$1005:$BQ$1005,1,MATCH(COLUMNS($AO$1006:AR1006),$AO$1006:$BQ$1006,0))&gt;=100000), " ",IF(INDEX($AO$2:$BQ$1001,MATCH(ROWS($AH$2:AH886),$AH$2:$AH$1001,0),MATCH(COLUMNS($AO$1006:AR1006),$AO$1006:$BQ$1006,0)), HYPERLINK("#",""), HYPERLINK(CONCATENATE("#Metadata!", ADDRESS(INDEX($AJ$2:$AJ$1001,MATCH(ROWS($AH$2:AH886),$AH$2:$AH$1001,0),0), INDEX($AO$1004:$BQ$1004,1,MATCH(COLUMNS($AO$1006:AR1006),$AO$1006:$BQ$1006,0)))),"Fix")))</f>
        <v>#N/A</v>
      </c>
      <c r="F886" s="5" t="e">
        <f ca="1">IF(OR(INDEX($AI$2:$AI$1001,MATCH(ROWS($AH$2:AH886),$AH$2:$AH$1001,0),1)&gt;=100000,INDEX($AO$1005:$BQ$1005,1,MATCH(COLUMNS($AO$1006:AS1006),$AO$1006:$BQ$1006,0))&gt;=100000), " ",IF(INDEX($AO$2:$BQ$1001,MATCH(ROWS($AH$2:AH886),$AH$2:$AH$1001,0),MATCH(COLUMNS($AO$1006:AS1006),$AO$1006:$BQ$1006,0)), HYPERLINK("#",""), HYPERLINK(CONCATENATE("#Metadata!", ADDRESS(INDEX($AJ$2:$AJ$1001,MATCH(ROWS($AH$2:AH886),$AH$2:$AH$1001,0),0), INDEX($AO$1004:$BQ$1004,1,MATCH(COLUMNS($AO$1006:AS1006),$AO$1006:$BQ$1006,0)))),"Fix")))</f>
        <v>#N/A</v>
      </c>
      <c r="G886" s="5" t="e">
        <f ca="1">IF(OR(INDEX($AI$2:$AI$1001,MATCH(ROWS($AH$2:AH886),$AH$2:$AH$1001,0),1)&gt;=100000,INDEX($AO$1005:$BQ$1005,1,MATCH(COLUMNS($AO$1006:AT1006),$AO$1006:$BQ$1006,0))&gt;=100000), " ",IF(INDEX($AO$2:$BQ$1001,MATCH(ROWS($AH$2:AH886),$AH$2:$AH$1001,0),MATCH(COLUMNS($AO$1006:AT1006),$AO$1006:$BQ$1006,0)), HYPERLINK("#",""), HYPERLINK(CONCATENATE("#Metadata!", ADDRESS(INDEX($AJ$2:$AJ$1001,MATCH(ROWS($AH$2:AH886),$AH$2:$AH$1001,0),0), INDEX($AO$1004:$BQ$1004,1,MATCH(COLUMNS($AO$1006:AT1006),$AO$1006:$BQ$1006,0)))),"Fix")))</f>
        <v>#N/A</v>
      </c>
      <c r="H886" s="5" t="e">
        <f ca="1">IF(OR(INDEX($AI$2:$AI$1001,MATCH(ROWS($AH$2:AH886),$AH$2:$AH$1001,0),1)&gt;=100000,INDEX($AO$1005:$BQ$1005,1,MATCH(COLUMNS($AO$1006:AU1006),$AO$1006:$BQ$1006,0))&gt;=100000), " ",IF(INDEX($AO$2:$BQ$1001,MATCH(ROWS($AH$2:AH886),$AH$2:$AH$1001,0),MATCH(COLUMNS($AO$1006:AU1006),$AO$1006:$BQ$1006,0)), HYPERLINK("#",""), HYPERLINK(CONCATENATE("#Metadata!", ADDRESS(INDEX($AJ$2:$AJ$1001,MATCH(ROWS($AH$2:AH886),$AH$2:$AH$1001,0),0), INDEX($AO$1004:$BQ$1004,1,MATCH(COLUMNS($AO$1006:AU1006),$AO$1006:$BQ$1006,0)))),"Fix")))</f>
        <v>#N/A</v>
      </c>
      <c r="I886" s="5" t="e">
        <f ca="1">IF(OR(INDEX($AI$2:$AI$1001,MATCH(ROWS($AH$2:AH886),$AH$2:$AH$1001,0),1)&gt;=100000,INDEX($AO$1005:$BQ$1005,1,MATCH(COLUMNS($AO$1006:AV1006),$AO$1006:$BQ$1006,0))&gt;=100000), " ",IF(INDEX($AO$2:$BQ$1001,MATCH(ROWS($AH$2:AH886),$AH$2:$AH$1001,0),MATCH(COLUMNS($AO$1006:AV1006),$AO$1006:$BQ$1006,0)), HYPERLINK("#",""), HYPERLINK(CONCATENATE("#Metadata!", ADDRESS(INDEX($AJ$2:$AJ$1001,MATCH(ROWS($AH$2:AH886),$AH$2:$AH$1001,0),0), INDEX($AO$1004:$BQ$1004,1,MATCH(COLUMNS($AO$1006:AV1006),$AO$1006:$BQ$1006,0)))),"Fix")))</f>
        <v>#N/A</v>
      </c>
      <c r="J886" s="5" t="e">
        <f ca="1">IF(OR(INDEX($AI$2:$AI$1001,MATCH(ROWS($AH$2:AH886),$AH$2:$AH$1001,0),1)&gt;=100000,INDEX($AO$1005:$BQ$1005,1,MATCH(COLUMNS($AO$1006:AW1006),$AO$1006:$BQ$1006,0))&gt;=100000), " ",IF(INDEX($AO$2:$BQ$1001,MATCH(ROWS($AH$2:AH886),$AH$2:$AH$1001,0),MATCH(COLUMNS($AO$1006:AW1006),$AO$1006:$BQ$1006,0)), HYPERLINK("#",""), HYPERLINK(CONCATENATE("#Metadata!", ADDRESS(INDEX($AJ$2:$AJ$1001,MATCH(ROWS($AH$2:AH886),$AH$2:$AH$1001,0),0), INDEX($AO$1004:$BQ$1004,1,MATCH(COLUMNS($AO$1006:AW1006),$AO$1006:$BQ$1006,0)))),"Fix")))</f>
        <v>#N/A</v>
      </c>
      <c r="K886" s="5" t="e">
        <f ca="1">IF(OR(INDEX($AI$2:$AI$1001,MATCH(ROWS($AH$2:AH886),$AH$2:$AH$1001,0),1)&gt;=100000,INDEX($AO$1005:$BQ$1005,1,MATCH(COLUMNS($AO$1006:AX1006),$AO$1006:$BQ$1006,0))&gt;=100000), " ",IF(INDEX($AO$2:$BQ$1001,MATCH(ROWS($AH$2:AH886),$AH$2:$AH$1001,0),MATCH(COLUMNS($AO$1006:AX1006),$AO$1006:$BQ$1006,0)), HYPERLINK("#",""), HYPERLINK(CONCATENATE("#Metadata!", ADDRESS(INDEX($AJ$2:$AJ$1001,MATCH(ROWS($AH$2:AH886),$AH$2:$AH$1001,0),0), INDEX($AO$1004:$BQ$1004,1,MATCH(COLUMNS($AO$1006:AX1006),$AO$1006:$BQ$1006,0)))),"Fix")))</f>
        <v>#N/A</v>
      </c>
      <c r="L886" s="5" t="e">
        <f ca="1">IF(OR(INDEX($AI$2:$AI$1001,MATCH(ROWS($AH$2:AH886),$AH$2:$AH$1001,0),1)&gt;=100000,INDEX($AO$1005:$BQ$1005,1,MATCH(COLUMNS($AO$1006:AY1006),$AO$1006:$BQ$1006,0))&gt;=100000), " ",IF(INDEX($AO$2:$BQ$1001,MATCH(ROWS($AH$2:AH886),$AH$2:$AH$1001,0),MATCH(COLUMNS($AO$1006:AY1006),$AO$1006:$BQ$1006,0)), HYPERLINK("#",""), HYPERLINK(CONCATENATE("#Metadata!", ADDRESS(INDEX($AJ$2:$AJ$1001,MATCH(ROWS($AH$2:AH886),$AH$2:$AH$1001,0),0), INDEX($AO$1004:$BQ$1004,1,MATCH(COLUMNS($AO$1006:AY1006),$AO$1006:$BQ$1006,0)))),"Fix")))</f>
        <v>#N/A</v>
      </c>
      <c r="M886" s="5" t="e">
        <f ca="1">IF(OR(INDEX($AI$2:$AI$1001,MATCH(ROWS($AH$2:AH886),$AH$2:$AH$1001,0),1)&gt;=100000,INDEX($AO$1005:$BQ$1005,1,MATCH(COLUMNS($AO$1006:AZ1006),$AO$1006:$BQ$1006,0))&gt;=100000), " ",IF(INDEX($AO$2:$BQ$1001,MATCH(ROWS($AH$2:AH886),$AH$2:$AH$1001,0),MATCH(COLUMNS($AO$1006:AZ1006),$AO$1006:$BQ$1006,0)), HYPERLINK("#",""), HYPERLINK(CONCATENATE("#Metadata!", ADDRESS(INDEX($AJ$2:$AJ$1001,MATCH(ROWS($AH$2:AH886),$AH$2:$AH$1001,0),0), INDEX($AO$1004:$BQ$1004,1,MATCH(COLUMNS($AO$1006:AZ1006),$AO$1006:$BQ$1006,0)))),"Fix")))</f>
        <v>#N/A</v>
      </c>
      <c r="N886" s="5" t="e">
        <f ca="1">IF(OR(INDEX($AI$2:$AI$1001,MATCH(ROWS($AH$2:AH886),$AH$2:$AH$1001,0),1)&gt;=100000,INDEX($AO$1005:$BQ$1005,1,MATCH(COLUMNS($AO$1006:BA1006),$AO$1006:$BQ$1006,0))&gt;=100000), " ",IF(INDEX($AO$2:$BQ$1001,MATCH(ROWS($AH$2:AH886),$AH$2:$AH$1001,0),MATCH(COLUMNS($AO$1006:BA1006),$AO$1006:$BQ$1006,0)), HYPERLINK("#",""), HYPERLINK(CONCATENATE("#Metadata!", ADDRESS(INDEX($AJ$2:$AJ$1001,MATCH(ROWS($AH$2:AH886),$AH$2:$AH$1001,0),0), INDEX($AO$1004:$BQ$1004,1,MATCH(COLUMNS($AO$1006:BA1006),$AO$1006:$BQ$1006,0)))),"Fix")))</f>
        <v>#N/A</v>
      </c>
      <c r="O886" s="5" t="e">
        <f ca="1">IF(OR(INDEX($AI$2:$AI$1001,MATCH(ROWS($AH$2:AH886),$AH$2:$AH$1001,0),1)&gt;=100000,INDEX($AO$1005:$BQ$1005,1,MATCH(COLUMNS($AO$1006:BB1006),$AO$1006:$BQ$1006,0))&gt;=100000), " ",IF(INDEX($AO$2:$BQ$1001,MATCH(ROWS($AH$2:AH886),$AH$2:$AH$1001,0),MATCH(COLUMNS($AO$1006:BB1006),$AO$1006:$BQ$1006,0)), HYPERLINK("#",""), HYPERLINK(CONCATENATE("#Metadata!", ADDRESS(INDEX($AJ$2:$AJ$1001,MATCH(ROWS($AH$2:AH886),$AH$2:$AH$1001,0),0), INDEX($AO$1004:$BQ$1004,1,MATCH(COLUMNS($AO$1006:BB1006),$AO$1006:$BQ$1006,0)))),"Fix")))</f>
        <v>#N/A</v>
      </c>
      <c r="P886" s="5" t="e">
        <f ca="1">IF(OR(INDEX($AI$2:$AI$1001,MATCH(ROWS($AH$2:AH886),$AH$2:$AH$1001,0),1)&gt;=100000,INDEX($AO$1005:$BQ$1005,1,MATCH(COLUMNS($AO$1006:BC1006),$AO$1006:$BQ$1006,0))&gt;=100000), " ",IF(INDEX($AO$2:$BQ$1001,MATCH(ROWS($AH$2:AH886),$AH$2:$AH$1001,0),MATCH(COLUMNS($AO$1006:BC1006),$AO$1006:$BQ$1006,0)), HYPERLINK("#",""), HYPERLINK(CONCATENATE("#Metadata!", ADDRESS(INDEX($AJ$2:$AJ$1001,MATCH(ROWS($AH$2:AH886),$AH$2:$AH$1001,0),0), INDEX($AO$1004:$BQ$1004,1,MATCH(COLUMNS($AO$1006:BC1006),$AO$1006:$BQ$1006,0)))),"Fix")))</f>
        <v>#N/A</v>
      </c>
      <c r="Q886" s="5" t="e">
        <f ca="1">IF(OR(INDEX($AI$2:$AI$1001,MATCH(ROWS($AH$2:AH886),$AH$2:$AH$1001,0),1)&gt;=100000,INDEX($AO$1005:$BQ$1005,1,MATCH(COLUMNS($AO$1006:BD1006),$AO$1006:$BQ$1006,0))&gt;=100000), " ",IF(INDEX($AO$2:$BQ$1001,MATCH(ROWS($AH$2:AH886),$AH$2:$AH$1001,0),MATCH(COLUMNS($AO$1006:BD1006),$AO$1006:$BQ$1006,0)), HYPERLINK("#",""), HYPERLINK(CONCATENATE("#Metadata!", ADDRESS(INDEX($AJ$2:$AJ$1001,MATCH(ROWS($AH$2:AH886),$AH$2:$AH$1001,0),0), INDEX($AO$1004:$BQ$1004,1,MATCH(COLUMNS($AO$1006:BD1006),$AO$1006:$BQ$1006,0)))),"Fix")))</f>
        <v>#N/A</v>
      </c>
      <c r="R886" s="5" t="e">
        <f ca="1">IF(OR(INDEX($AI$2:$AI$1001,MATCH(ROWS($AH$2:AH886),$AH$2:$AH$1001,0),1)&gt;=100000,INDEX($AO$1005:$BQ$1005,1,MATCH(COLUMNS($AO$1006:BE1006),$AO$1006:$BQ$1006,0))&gt;=100000), " ",IF(INDEX($AO$2:$BQ$1001,MATCH(ROWS($AH$2:AH886),$AH$2:$AH$1001,0),MATCH(COLUMNS($AO$1006:BE1006),$AO$1006:$BQ$1006,0)), HYPERLINK("#",""), HYPERLINK(CONCATENATE("#Metadata!", ADDRESS(INDEX($AJ$2:$AJ$1001,MATCH(ROWS($AH$2:AH886),$AH$2:$AH$1001,0),0), INDEX($AO$1004:$BQ$1004,1,MATCH(COLUMNS($AO$1006:BE1006),$AO$1006:$BQ$1006,0)))),"Fix")))</f>
        <v>#N/A</v>
      </c>
      <c r="S886" s="5" t="e">
        <f ca="1">IF(OR(INDEX($AI$2:$AI$1001,MATCH(ROWS($AH$2:AH886),$AH$2:$AH$1001,0),1)&gt;=100000,INDEX($AO$1005:$BQ$1005,1,MATCH(COLUMNS($AO$1006:BF1006),$AO$1006:$BQ$1006,0))&gt;=100000), " ",IF(INDEX($AO$2:$BQ$1001,MATCH(ROWS($AH$2:AH886),$AH$2:$AH$1001,0),MATCH(COLUMNS($AO$1006:BF1006),$AO$1006:$BQ$1006,0)), HYPERLINK("#",""), HYPERLINK(CONCATENATE("#Metadata!", ADDRESS(INDEX($AJ$2:$AJ$1001,MATCH(ROWS($AH$2:AH886),$AH$2:$AH$1001,0),0), INDEX($AO$1004:$BQ$1004,1,MATCH(COLUMNS($AO$1006:BF1006),$AO$1006:$BQ$1006,0)))),"Fix")))</f>
        <v>#N/A</v>
      </c>
      <c r="T886" s="5" t="e">
        <f ca="1">IF(OR(INDEX($AI$2:$AI$1001,MATCH(ROWS($AH$2:AH886),$AH$2:$AH$1001,0),1)&gt;=100000,INDEX($AO$1005:$BQ$1005,1,MATCH(COLUMNS($AO$1006:BG1006),$AO$1006:$BQ$1006,0))&gt;=100000), " ",IF(INDEX($AO$2:$BQ$1001,MATCH(ROWS($AH$2:AH886),$AH$2:$AH$1001,0),MATCH(COLUMNS($AO$1006:BG1006),$AO$1006:$BQ$1006,0)), HYPERLINK("#",""), HYPERLINK(CONCATENATE("#Metadata!", ADDRESS(INDEX($AJ$2:$AJ$1001,MATCH(ROWS($AH$2:AH886),$AH$2:$AH$1001,0),0), INDEX($AO$1004:$BQ$1004,1,MATCH(COLUMNS($AO$1006:BG1006),$AO$1006:$BQ$1006,0)))),"Fix")))</f>
        <v>#N/A</v>
      </c>
      <c r="U886" s="5" t="e">
        <f ca="1">IF(OR(INDEX($AI$2:$AI$1001,MATCH(ROWS($AH$2:AH886),$AH$2:$AH$1001,0),1)&gt;=100000,INDEX($AO$1005:$BQ$1005,1,MATCH(COLUMNS($AO$1006:BH1006),$AO$1006:$BQ$1006,0))&gt;=100000), " ",IF(INDEX($AO$2:$BQ$1001,MATCH(ROWS($AH$2:AH886),$AH$2:$AH$1001,0),MATCH(COLUMNS($AO$1006:BH1006),$AO$1006:$BQ$1006,0)), HYPERLINK("#",""), HYPERLINK(CONCATENATE("#Metadata!", ADDRESS(INDEX($AJ$2:$AJ$1001,MATCH(ROWS($AH$2:AH886),$AH$2:$AH$1001,0),0), INDEX($AO$1004:$BQ$1004,1,MATCH(COLUMNS($AO$1006:BH1006),$AO$1006:$BQ$1006,0)))),"Fix")))</f>
        <v>#N/A</v>
      </c>
      <c r="V886" s="5" t="e">
        <f ca="1">IF(OR(INDEX($AI$2:$AI$1001,MATCH(ROWS($AH$2:AH886),$AH$2:$AH$1001,0),1)&gt;=100000,INDEX($AO$1005:$BQ$1005,1,MATCH(COLUMNS($AO$1006:BI1006),$AO$1006:$BQ$1006,0))&gt;=100000), " ",IF(INDEX($AO$2:$BQ$1001,MATCH(ROWS($AH$2:AH886),$AH$2:$AH$1001,0),MATCH(COLUMNS($AO$1006:BI1006),$AO$1006:$BQ$1006,0)), HYPERLINK("#",""), HYPERLINK(CONCATENATE("#Metadata!", ADDRESS(INDEX($AJ$2:$AJ$1001,MATCH(ROWS($AH$2:AH886),$AH$2:$AH$1001,0),0), INDEX($AO$1004:$BQ$1004,1,MATCH(COLUMNS($AO$1006:BI1006),$AO$1006:$BQ$1006,0)))),"Fix")))</f>
        <v>#N/A</v>
      </c>
      <c r="W886" s="5" t="e">
        <f ca="1">IF(OR(INDEX($AI$2:$AI$1001,MATCH(ROWS($AH$2:AH886),$AH$2:$AH$1001,0),1)&gt;=100000,INDEX($AO$1005:$BQ$1005,1,MATCH(COLUMNS($AO$1006:BJ1006),$AO$1006:$BQ$1006,0))&gt;=100000), " ",IF(INDEX($AO$2:$BQ$1001,MATCH(ROWS($AH$2:AH886),$AH$2:$AH$1001,0),MATCH(COLUMNS($AO$1006:BJ1006),$AO$1006:$BQ$1006,0)), HYPERLINK("#",""), HYPERLINK(CONCATENATE("#Metadata!", ADDRESS(INDEX($AJ$2:$AJ$1001,MATCH(ROWS($AH$2:AH886),$AH$2:$AH$1001,0),0), INDEX($AO$1004:$BQ$1004,1,MATCH(COLUMNS($AO$1006:BJ1006),$AO$1006:$BQ$1006,0)))),"Fix")))</f>
        <v>#N/A</v>
      </c>
      <c r="X886" s="5" t="e">
        <f ca="1">IF(OR(INDEX($AI$2:$AI$1001,MATCH(ROWS($AH$2:AH886),$AH$2:$AH$1001,0),1)&gt;=100000,INDEX($AO$1005:$BQ$1005,1,MATCH(COLUMNS($AO$1006:BK1006),$AO$1006:$BQ$1006,0))&gt;=100000), " ",IF(INDEX($AO$2:$BQ$1001,MATCH(ROWS($AH$2:AH886),$AH$2:$AH$1001,0),MATCH(COLUMNS($AO$1006:BK1006),$AO$1006:$BQ$1006,0)), HYPERLINK("#",""), HYPERLINK(CONCATENATE("#Metadata!", ADDRESS(INDEX($AJ$2:$AJ$1001,MATCH(ROWS($AH$2:AH886),$AH$2:$AH$1001,0),0), INDEX($AO$1004:$BQ$1004,1,MATCH(COLUMNS($AO$1006:BK1006),$AO$1006:$BQ$1006,0)))),"Fix")))</f>
        <v>#N/A</v>
      </c>
      <c r="Y886" s="5" t="e">
        <f ca="1">IF(OR(INDEX($AI$2:$AI$1001,MATCH(ROWS($AH$2:AH886),$AH$2:$AH$1001,0),1)&gt;=100000,INDEX($AO$1005:$BQ$1005,1,MATCH(COLUMNS($AO$1006:BL1006),$AO$1006:$BQ$1006,0))&gt;=100000), " ",IF(INDEX($AO$2:$BQ$1001,MATCH(ROWS($AH$2:AH886),$AH$2:$AH$1001,0),MATCH(COLUMNS($AO$1006:BL1006),$AO$1006:$BQ$1006,0)), HYPERLINK("#",""), HYPERLINK(CONCATENATE("#Metadata!", ADDRESS(INDEX($AJ$2:$AJ$1001,MATCH(ROWS($AH$2:AH886),$AH$2:$AH$1001,0),0), INDEX($AO$1004:$BQ$1004,1,MATCH(COLUMNS($AO$1006:BL1006),$AO$1006:$BQ$1006,0)))),"Fix")))</f>
        <v>#N/A</v>
      </c>
      <c r="Z886" s="5" t="e">
        <f ca="1">IF(OR(INDEX($AI$2:$AI$1001,MATCH(ROWS($AH$2:AH886),$AH$2:$AH$1001,0),1)&gt;=100000,INDEX($AO$1005:$BQ$1005,1,MATCH(COLUMNS($AO$1006:BM1006),$AO$1006:$BQ$1006,0))&gt;=100000), " ",IF(INDEX($AO$2:$BQ$1001,MATCH(ROWS($AH$2:AH886),$AH$2:$AH$1001,0),MATCH(COLUMNS($AO$1006:BM1006),$AO$1006:$BQ$1006,0)), HYPERLINK("#",""), HYPERLINK(CONCATENATE("#Metadata!", ADDRESS(INDEX($AJ$2:$AJ$1001,MATCH(ROWS($AH$2:AH886),$AH$2:$AH$1001,0),0), INDEX($AO$1004:$BQ$1004,1,MATCH(COLUMNS($AO$1006:BM1006),$AO$1006:$BQ$1006,0)))),"Fix")))</f>
        <v>#N/A</v>
      </c>
      <c r="AA886" s="5" t="e">
        <f ca="1">IF(OR(INDEX($AI$2:$AI$1001,MATCH(ROWS($AH$2:AH886),$AH$2:$AH$1001,0),1)&gt;=100000,INDEX($AO$1005:$BQ$1005,1,MATCH(COLUMNS($AO$1006:BN1006),$AO$1006:$BQ$1006,0))&gt;=100000), " ",IF(INDEX($AO$2:$BQ$1001,MATCH(ROWS($AH$2:AH886),$AH$2:$AH$1001,0),MATCH(COLUMNS($AO$1006:BN1006),$AO$1006:$BQ$1006,0)), HYPERLINK("#",""), HYPERLINK(CONCATENATE("#Metadata!", ADDRESS(INDEX($AJ$2:$AJ$1001,MATCH(ROWS($AH$2:AH886),$AH$2:$AH$1001,0),0), INDEX($AO$1004:$BQ$1004,1,MATCH(COLUMNS($AO$1006:BN1006),$AO$1006:$BQ$1006,0)))),"Fix")))</f>
        <v>#N/A</v>
      </c>
      <c r="AB886" s="5" t="e">
        <f ca="1">IF(OR(INDEX($AI$2:$AI$1001,MATCH(ROWS($AH$2:AH886),$AH$2:$AH$1001,0),1)&gt;=100000,INDEX($AO$1005:$BQ$1005,1,MATCH(COLUMNS($AO$1006:BO1006),$AO$1006:$BQ$1006,0))&gt;=100000), " ",IF(INDEX($AO$2:$BQ$1001,MATCH(ROWS($AH$2:AH886),$AH$2:$AH$1001,0),MATCH(COLUMNS($AO$1006:BO1006),$AO$1006:$BQ$1006,0)), HYPERLINK("#",""), HYPERLINK(CONCATENATE("#Metadata!", ADDRESS(INDEX($AJ$2:$AJ$1001,MATCH(ROWS($AH$2:AH886),$AH$2:$AH$1001,0),0), INDEX($AO$1004:$BQ$1004,1,MATCH(COLUMNS($AO$1006:BO1006),$AO$1006:$BQ$1006,0)))),"Fix")))</f>
        <v>#N/A</v>
      </c>
      <c r="AC886" s="5" t="e">
        <f ca="1">IF(OR(INDEX($AI$2:$AI$1001,MATCH(ROWS($AH$2:AH886),$AH$2:$AH$1001,0),1)&gt;=100000,INDEX($AO$1005:$BQ$1005,1,MATCH(COLUMNS($AO$1006:BP1006),$AO$1006:$BQ$1006,0))&gt;=100000), " ",IF(INDEX($AO$2:$BQ$1001,MATCH(ROWS($AH$2:AH886),$AH$2:$AH$1001,0),MATCH(COLUMNS($AO$1006:BP1006),$AO$1006:$BQ$1006,0)), HYPERLINK("#",""), HYPERLINK(CONCATENATE("#Metadata!", ADDRESS(INDEX($AJ$2:$AJ$1001,MATCH(ROWS($AH$2:AH886),$AH$2:$AH$1001,0),0), INDEX($AO$1004:$BQ$1004,1,MATCH(COLUMNS($AO$1006:BP1006),$AO$1006:$BQ$1006,0)))),"Fix")))</f>
        <v>#N/A</v>
      </c>
      <c r="AD886" s="5" t="e">
        <f ca="1">IF(OR(INDEX($AI$2:$AI$1001,MATCH(ROWS($AH$2:AH886),$AH$2:$AH$1001,0),1)&gt;=100000,INDEX($AO$1005:$BQ$1005,1,MATCH(COLUMNS($AO$1006:BQ1006),$AO$1006:$BQ$1006,0))&gt;=100000), " ",IF(INDEX($AO$2:$BQ$1001,MATCH(ROWS($AH$2:AH886),$AH$2:$AH$1001,0),MATCH(COLUMNS($AO$1006:BQ1006),$AO$1006:$BQ$1006,0)), HYPERLINK("#",""), HYPERLINK(CONCATENATE("#Metadata!", ADDRESS(INDEX($AJ$2:$AJ$1001,MATCH(ROWS($AH$2:AH886),$AH$2:$AH$1001,0),0), INDEX($AO$1004:$BQ$1004,1,MATCH(COLUMNS($AO$1006:BQ1006),$AO$1006:$BQ$1006,0)))),"Fix")))</f>
        <v>#REF!</v>
      </c>
      <c r="AH886">
        <f ca="1"/>
        <v>883</v>
      </c>
      <c r="AI886">
        <v>100886</v>
      </c>
      <c r="AJ886">
        <v>886</v>
      </c>
      <c r="AK886" t="b">
        <f t="shared" si="13"/>
        <v>1</v>
      </c>
      <c r="AL886" t="b">
        <f>COUNTBLANK(Metadata!B886:AD886)=COLUMNS(Metadata!B886:AD886)</f>
        <v>1</v>
      </c>
      <c r="AM886" t="str">
        <v/>
      </c>
      <c r="AO886" t="b">
        <f ca="1">AND(IF(Metadata!B886="",FALSE,TRUE),COUNTIF(Metadata!B:B, Metadata!B886) = 1,NOT(ISERROR(SUMPRODUCT(SEARCH(MID(Metadata!B886,ROW(INDIRECT("1:"&amp;LEN(Metadata!B886))), 1),"0123456789abcdefghijklmnopqrstuvwxyzABCDEFGHIJKLMNOPQRSTUVWXYZ.")))))</f>
        <v>0</v>
      </c>
      <c r="AP886" t="b">
        <f>IF(Metadata!C886="",FALSE,TRUE)</f>
        <v>0</v>
      </c>
      <c r="AQ886" t="b">
        <f>IF(Metadata!D886="",FALSE,TRUE)</f>
        <v>0</v>
      </c>
      <c r="AR886" t="b">
        <f ca="1">OR(AND(IF(Metadata!E886="",FALSE,TRUE),OR(EXACT(Metadata!E886,"not collected"),EXACT(Metadata!E886,"not provided"),EXACT(Metadata!E886,"restricted access"))),AND(IF(Metadata!E886="",FALSE,TRUE),AND(AND(IFERROR(INT(LEFT(Metadata!E886,4))&gt;1900,FALSE),IFERROR(INT(LEFT(Metadata!E886,4))&lt;=YEAR(NOW()),FALSE)), OR(MID(Metadata!E886,5,1)="", AND(AND(MID(Metadata!E886,5,1)="-",IFERROR(INT(MID(Metadata!E886,6,1))&gt;=0,FALSE),IFERROR(INT(MID(Metadata!E886,6,1))&lt;=1,FALSE),NOT(MID(Metadata!E886,7,1)=""),IFERROR(INT(MID(Metadata!E886,6,2))&gt;=1,FALSE),IFERROR(INT(MID(Metadata!E886,6,2))&lt;=12,FALSE)), OR(MID(Metadata!E886,8,1)="", AND(AND(MID(Metadata!E886,8,1)="-",IFERROR(INT(MID(Metadata!E886,9,1))&gt;=0,FALSE),IFERROR(INT(MID(Metadata!E886,9,1))&lt;=3,FALSE),NOT(MID(Metadata!E886,10,1)=""),IFERROR(INT(MID(Metadata!E886,9,2))&gt;=1,FALSE),IFERROR(INT(MID(Metadata!E886,9,2))&lt;=31,FALSE)), OR(MID(Metadata!E886,11,1)="", AND(AND(MID(Metadata!E886,11,1)=" ",IFERROR(INT(MID(Metadata!E886,12,1))&gt;=0,FALSE),IFERROR(INT(MID(Metadata!E886,12,1))&lt;=2,FALSE),NOT(MID(Metadata!E886,13,1)=""),IFERROR(INT(MID(Metadata!E886,12,2))&gt;=0,FALSE),IFERROR(INT(MID(Metadata!E886,12,2))&lt;=23,FALSE)), OR(MID(Metadata!E886,14,1)="", AND(AND(MID(Metadata!E886,14,1)=":",IFERROR(INT(MID(Metadata!E886,15,1))&gt;=0,FALSE),IFERROR(INT(MID(Metadata!E886,15,1))&lt;=5,FALSE),NOT(MID(Metadata!E886,16,1)=""),IFERROR(INT(MID(Metadata!E886,15,2))&gt;=0,FALSE),IFERROR(INT(MID(Metadata!E886,15,2))&lt;=59,FALSE)), OR(MID(Metadata!E886,17,1)="", AND(AND(MID(Metadata!E886,17,1)=":",IFERROR(INT(MID(Metadata!E886,18,1))&gt;=0,FALSE),IFERROR(INT(MID(Metadata!E886,18,1))&lt;=5,FALSE),NOT(MID(Metadata!E886,19,1)=""),IFERROR(INT(MID(Metadata!E886,18,2))&gt;=0,FALSE),IFERROR(INT(MID(Metadata!E886,18,2))&lt;=59,FALSE)), LEN(Metadata!E886)&lt;=19)))))))))))))</f>
        <v>0</v>
      </c>
      <c r="AS886" t="b">
        <f>IF(Metadata!F886="",FALSE,TRUE)</f>
        <v>0</v>
      </c>
      <c r="AT886" t="b">
        <f>OR(AND(IF(Metadata!G886="",FALSE,TRUE),OR(EXACT(Metadata!G886,"not collected"),EXACT(Metadata!G886,"not provided"))),AND(IF(Metadata!G886="",FALSE,TRUE),OR(EXACT(Metadata!G886,"TRUE"),EXACT(Metadata!G886,"FALSE"))))</f>
        <v>0</v>
      </c>
      <c r="AU886" t="b">
        <f>OR(AND(IF(Metadata!H886="",FALSE,TRUE),OR(EXACT(Metadata!H886,"not collected"),EXACT(Metadata!H886,"not provided"),EXACT(Metadata!H886,"restricted access"))),AND(IF(Metadata!H886="",FALSE,ISNUMBER(VALUE(Metadata!H886))),Metadata!H886&gt;=-413))</f>
        <v>0</v>
      </c>
      <c r="AV886" t="b">
        <f>AND(IF(Metadata!I886="",FALSE,TRUE),EXACT(Metadata!I886,"meters"))</f>
        <v>0</v>
      </c>
      <c r="AW886" t="b">
        <f>AND(IF(Metadata!J886="",FALSE,TRUE),EXACT(Metadata!J886,"free-living"))</f>
        <v>0</v>
      </c>
      <c r="AX886" t="b">
        <f>AND(IF(Metadata!K886="",FALSE,TRUE),OR(EXACT(Metadata!K886,"saline"),EXACT(Metadata!K886,"non-saline")))</f>
        <v>0</v>
      </c>
      <c r="AY886" t="b">
        <f>AND(IF(Metadata!L886="",FALSE,TRUE),OR(EXACT(Metadata!L886,"sub-surface (non-saline)"),EXACT(Metadata!L886,"surface (non-saline)"),EXACT(Metadata!L886,"water (non-saline)"),EXACT(Metadata!L886,"soil (non-saline)"),EXACT(Metadata!L886,"aerosol (non-saline)"),EXACT(Metadata!L886,"sediment (non-saline)"),EXACT(Metadata!L886,"surface (saline)"),EXACT(Metadata!L886,"water (saline)"),EXACT(Metadata!L886,"hypersaline (saline)"),EXACT(Metadata!L886,"aerosol (saline)"),EXACT(Metadata!L886,"sediment (saline)")))</f>
        <v>0</v>
      </c>
      <c r="AZ886" t="b">
        <f>IF(Metadata!M886="",FALSE,TRUE)</f>
        <v>0</v>
      </c>
      <c r="BA886" t="b">
        <f>IF(Metadata!N886="",FALSE,TRUE)</f>
        <v>0</v>
      </c>
      <c r="BB886" t="b">
        <f>IF(Metadata!O886="",FALSE,TRUE)</f>
        <v>0</v>
      </c>
      <c r="BC886" t="b">
        <f>AND(IF(Metadata!P886="",FALSE,TRUE),OR(EXACT(Metadata!P886,"air"),EXACT(Metadata!P886,"microbial mat/biofilm"),EXACT(Metadata!P886,"misc environment"),EXACT(Metadata!P886,"sediment"),EXACT(Metadata!P886,"soil"),EXACT(Metadata!P886,"wastewater/sludge"),EXACT(Metadata!P886,"water")))</f>
        <v>0</v>
      </c>
      <c r="BD886" t="b">
        <f>IF(Metadata!Q886="",FALSE,TRUE)</f>
        <v>0</v>
      </c>
      <c r="BE886" t="b">
        <f>IF(Metadata!R886="",FALSE,TRUE)</f>
        <v>0</v>
      </c>
      <c r="BF886" t="b">
        <f>OR(AND(IF(Metadata!S886="",FALSE,TRUE),OR(EXACT(Metadata!S886,"not collected"),EXACT(Metadata!S886,"not provided"),EXACT(Metadata!S886,"restricted access"))),AND(IF(Metadata!S886="",FALSE,ISNUMBER(VALUE(Metadata!S886))),Metadata!S886&gt;=-90,Metadata!S886&lt;=90))</f>
        <v>0</v>
      </c>
      <c r="BG886" t="b">
        <f>AND(IF(Metadata!T886="",FALSE,TRUE),EXACT(Metadata!T886,"Decimal degrees"))</f>
        <v>0</v>
      </c>
      <c r="BH886" t="b">
        <f>OR(AND(IF(Metadata!U886="",FALSE,TRUE),OR(EXACT(Metadata!U886,"not applicable"),EXACT(Metadata!U886,"not collected"))),IF(Metadata!U886="",FALSE,TRUE))</f>
        <v>0</v>
      </c>
      <c r="BI886" t="b">
        <f>OR(AND(IF(Metadata!V886="",FALSE,TRUE),OR(EXACT(Metadata!V886,"not collected"),EXACT(Metadata!V886,"not provided"),EXACT(Metadata!V886,"restricted access"))),AND(IF(Metadata!V886="",FALSE,ISNUMBER(VALUE(Metadata!V886))),Metadata!V886&gt;=-180,Metadata!V886&lt;=180))</f>
        <v>0</v>
      </c>
      <c r="BJ886" t="b">
        <f>AND(IF(Metadata!W886="",FALSE,TRUE),EXACT(Metadata!W886,"Decimal degrees"))</f>
        <v>0</v>
      </c>
      <c r="BK886" t="b">
        <f>IF(Metadata!X886="",FALSE,TRUE)</f>
        <v>0</v>
      </c>
      <c r="BL886" t="b">
        <f>OR(AND(IF(Metadata!Y886="",FALSE,TRUE),OR(EXACT(Metadata!Y886,"not collected"),EXACT(Metadata!Y886,"not provided"),EXACT(Metadata!Y886,"restricted access"))),AND(IF(Metadata!Y886="",FALSE,TRUE),OR(EXACT(Metadata!Y886,"TRUE"),EXACT(Metadata!Y886,"FALSE"))))</f>
        <v>0</v>
      </c>
      <c r="BM886" t="b">
        <f>OR(AND(IF(Metadata!Z886="",FALSE,TRUE),EXACT(Metadata!Z886,"not applicable")),AND(IF(Metadata!Z886="",FALSE,TRUE),OR(EXACT(Metadata!Z886,"beer"),EXACT(Metadata!Z886,"cheese"),EXACT(Metadata!Z886,"fresh water"),EXACT(Metadata!Z886,"marine sediment"),EXACT(Metadata!Z886,"sea water"),EXACT(Metadata!Z886,"sediment"),EXACT(Metadata!Z886,"soil"),EXACT(Metadata!Z886,"waste water"))))</f>
        <v>0</v>
      </c>
      <c r="BN886" t="b">
        <f>AND(IF(Metadata!AA886="",FALSE,TRUE),EXACT(Metadata!AA886,"metagenome"))</f>
        <v>0</v>
      </c>
      <c r="BO886" t="b">
        <f>AND(IF(Metadata!AB886="",FALSE,TRUE),EXACT(Metadata!AB886,"256318"))</f>
        <v>0</v>
      </c>
      <c r="BP886" t="b">
        <f>IF(Metadata!AC886="",FALSE,TRUE)</f>
        <v>0</v>
      </c>
      <c r="BQ886" t="b">
        <f>IF(Metadata!AD886="",FALSE,TRUE)</f>
        <v>0</v>
      </c>
    </row>
    <row r="887" spans="1:69" x14ac:dyDescent="0.2">
      <c r="A887" s="4" t="e">
        <f ca="1">IF(B887=" "," ",HYPERLINK(CONCATENATE("#metadata!",ADDRESS(INDEX($AJ$2:$AJ$1001,MATCH(ROWS($AH$2:AH887),$AH$2:$AH$1001,0),0),2)),INDEX($AM$2:$AM$1001,MATCH(ROWS($AH$2:AH887),$AH$2:$AH$1001,0),0)))</f>
        <v>#N/A</v>
      </c>
      <c r="B887" s="5" t="e">
        <f ca="1">IF(OR(INDEX($AI$2:$AI$1001,MATCH(ROWS($AH$2:AH887),$AH$2:$AH$1001,0),1)&gt;=100000,INDEX($AO$1005:$BQ$1005,1,MATCH(COLUMNS($AO$1006:AO1006),$AO$1006:$BQ$1006,0))&gt;=100000), " ",IF(INDEX($AO$2:$BQ$1001,MATCH(ROWS($AH$2:AH887),$AH$2:$AH$1001,0),MATCH(COLUMNS($AO$1006:AO1006),$AO$1006:$BQ$1006,0)), HYPERLINK("#",""), HYPERLINK(CONCATENATE("#Metadata!", ADDRESS(INDEX($AJ$2:$AJ$1001,MATCH(ROWS($AH$2:AH887),$AH$2:$AH$1001,0),0), INDEX($AO$1004:$BQ$1004,1,MATCH(COLUMNS($AO$1006:AO1006),$AO$1006:$BQ$1006,0)))),"Fix")))</f>
        <v>#N/A</v>
      </c>
      <c r="C887" s="5" t="e">
        <f ca="1">IF(OR(INDEX($AI$2:$AI$1001,MATCH(ROWS($AH$2:AH887),$AH$2:$AH$1001,0),1)&gt;=100000,INDEX($AO$1005:$BQ$1005,1,MATCH(COLUMNS($AO$1006:AP1006),$AO$1006:$BQ$1006,0))&gt;=100000), " ",IF(INDEX($AO$2:$BQ$1001,MATCH(ROWS($AH$2:AH887),$AH$2:$AH$1001,0),MATCH(COLUMNS($AO$1006:AP1006),$AO$1006:$BQ$1006,0)), HYPERLINK("#",""), HYPERLINK(CONCATENATE("#Metadata!", ADDRESS(INDEX($AJ$2:$AJ$1001,MATCH(ROWS($AH$2:AH887),$AH$2:$AH$1001,0),0), INDEX($AO$1004:$BQ$1004,1,MATCH(COLUMNS($AO$1006:AP1006),$AO$1006:$BQ$1006,0)))),"Fix")))</f>
        <v>#N/A</v>
      </c>
      <c r="D887" s="5" t="e">
        <f ca="1">IF(OR(INDEX($AI$2:$AI$1001,MATCH(ROWS($AH$2:AH887),$AH$2:$AH$1001,0),1)&gt;=100000,INDEX($AO$1005:$BQ$1005,1,MATCH(COLUMNS($AO$1006:AQ1006),$AO$1006:$BQ$1006,0))&gt;=100000), " ",IF(INDEX($AO$2:$BQ$1001,MATCH(ROWS($AH$2:AH887),$AH$2:$AH$1001,0),MATCH(COLUMNS($AO$1006:AQ1006),$AO$1006:$BQ$1006,0)), HYPERLINK("#",""), HYPERLINK(CONCATENATE("#Metadata!", ADDRESS(INDEX($AJ$2:$AJ$1001,MATCH(ROWS($AH$2:AH887),$AH$2:$AH$1001,0),0), INDEX($AO$1004:$BQ$1004,1,MATCH(COLUMNS($AO$1006:AQ1006),$AO$1006:$BQ$1006,0)))),"Fix")))</f>
        <v>#N/A</v>
      </c>
      <c r="E887" s="5" t="e">
        <f ca="1">IF(OR(INDEX($AI$2:$AI$1001,MATCH(ROWS($AH$2:AH887),$AH$2:$AH$1001,0),1)&gt;=100000,INDEX($AO$1005:$BQ$1005,1,MATCH(COLUMNS($AO$1006:AR1006),$AO$1006:$BQ$1006,0))&gt;=100000), " ",IF(INDEX($AO$2:$BQ$1001,MATCH(ROWS($AH$2:AH887),$AH$2:$AH$1001,0),MATCH(COLUMNS($AO$1006:AR1006),$AO$1006:$BQ$1006,0)), HYPERLINK("#",""), HYPERLINK(CONCATENATE("#Metadata!", ADDRESS(INDEX($AJ$2:$AJ$1001,MATCH(ROWS($AH$2:AH887),$AH$2:$AH$1001,0),0), INDEX($AO$1004:$BQ$1004,1,MATCH(COLUMNS($AO$1006:AR1006),$AO$1006:$BQ$1006,0)))),"Fix")))</f>
        <v>#N/A</v>
      </c>
      <c r="F887" s="5" t="e">
        <f ca="1">IF(OR(INDEX($AI$2:$AI$1001,MATCH(ROWS($AH$2:AH887),$AH$2:$AH$1001,0),1)&gt;=100000,INDEX($AO$1005:$BQ$1005,1,MATCH(COLUMNS($AO$1006:AS1006),$AO$1006:$BQ$1006,0))&gt;=100000), " ",IF(INDEX($AO$2:$BQ$1001,MATCH(ROWS($AH$2:AH887),$AH$2:$AH$1001,0),MATCH(COLUMNS($AO$1006:AS1006),$AO$1006:$BQ$1006,0)), HYPERLINK("#",""), HYPERLINK(CONCATENATE("#Metadata!", ADDRESS(INDEX($AJ$2:$AJ$1001,MATCH(ROWS($AH$2:AH887),$AH$2:$AH$1001,0),0), INDEX($AO$1004:$BQ$1004,1,MATCH(COLUMNS($AO$1006:AS1006),$AO$1006:$BQ$1006,0)))),"Fix")))</f>
        <v>#N/A</v>
      </c>
      <c r="G887" s="5" t="e">
        <f ca="1">IF(OR(INDEX($AI$2:$AI$1001,MATCH(ROWS($AH$2:AH887),$AH$2:$AH$1001,0),1)&gt;=100000,INDEX($AO$1005:$BQ$1005,1,MATCH(COLUMNS($AO$1006:AT1006),$AO$1006:$BQ$1006,0))&gt;=100000), " ",IF(INDEX($AO$2:$BQ$1001,MATCH(ROWS($AH$2:AH887),$AH$2:$AH$1001,0),MATCH(COLUMNS($AO$1006:AT1006),$AO$1006:$BQ$1006,0)), HYPERLINK("#",""), HYPERLINK(CONCATENATE("#Metadata!", ADDRESS(INDEX($AJ$2:$AJ$1001,MATCH(ROWS($AH$2:AH887),$AH$2:$AH$1001,0),0), INDEX($AO$1004:$BQ$1004,1,MATCH(COLUMNS($AO$1006:AT1006),$AO$1006:$BQ$1006,0)))),"Fix")))</f>
        <v>#N/A</v>
      </c>
      <c r="H887" s="5" t="e">
        <f ca="1">IF(OR(INDEX($AI$2:$AI$1001,MATCH(ROWS($AH$2:AH887),$AH$2:$AH$1001,0),1)&gt;=100000,INDEX($AO$1005:$BQ$1005,1,MATCH(COLUMNS($AO$1006:AU1006),$AO$1006:$BQ$1006,0))&gt;=100000), " ",IF(INDEX($AO$2:$BQ$1001,MATCH(ROWS($AH$2:AH887),$AH$2:$AH$1001,0),MATCH(COLUMNS($AO$1006:AU1006),$AO$1006:$BQ$1006,0)), HYPERLINK("#",""), HYPERLINK(CONCATENATE("#Metadata!", ADDRESS(INDEX($AJ$2:$AJ$1001,MATCH(ROWS($AH$2:AH887),$AH$2:$AH$1001,0),0), INDEX($AO$1004:$BQ$1004,1,MATCH(COLUMNS($AO$1006:AU1006),$AO$1006:$BQ$1006,0)))),"Fix")))</f>
        <v>#N/A</v>
      </c>
      <c r="I887" s="5" t="e">
        <f ca="1">IF(OR(INDEX($AI$2:$AI$1001,MATCH(ROWS($AH$2:AH887),$AH$2:$AH$1001,0),1)&gt;=100000,INDEX($AO$1005:$BQ$1005,1,MATCH(COLUMNS($AO$1006:AV1006),$AO$1006:$BQ$1006,0))&gt;=100000), " ",IF(INDEX($AO$2:$BQ$1001,MATCH(ROWS($AH$2:AH887),$AH$2:$AH$1001,0),MATCH(COLUMNS($AO$1006:AV1006),$AO$1006:$BQ$1006,0)), HYPERLINK("#",""), HYPERLINK(CONCATENATE("#Metadata!", ADDRESS(INDEX($AJ$2:$AJ$1001,MATCH(ROWS($AH$2:AH887),$AH$2:$AH$1001,0),0), INDEX($AO$1004:$BQ$1004,1,MATCH(COLUMNS($AO$1006:AV1006),$AO$1006:$BQ$1006,0)))),"Fix")))</f>
        <v>#N/A</v>
      </c>
      <c r="J887" s="5" t="e">
        <f ca="1">IF(OR(INDEX($AI$2:$AI$1001,MATCH(ROWS($AH$2:AH887),$AH$2:$AH$1001,0),1)&gt;=100000,INDEX($AO$1005:$BQ$1005,1,MATCH(COLUMNS($AO$1006:AW1006),$AO$1006:$BQ$1006,0))&gt;=100000), " ",IF(INDEX($AO$2:$BQ$1001,MATCH(ROWS($AH$2:AH887),$AH$2:$AH$1001,0),MATCH(COLUMNS($AO$1006:AW1006),$AO$1006:$BQ$1006,0)), HYPERLINK("#",""), HYPERLINK(CONCATENATE("#Metadata!", ADDRESS(INDEX($AJ$2:$AJ$1001,MATCH(ROWS($AH$2:AH887),$AH$2:$AH$1001,0),0), INDEX($AO$1004:$BQ$1004,1,MATCH(COLUMNS($AO$1006:AW1006),$AO$1006:$BQ$1006,0)))),"Fix")))</f>
        <v>#N/A</v>
      </c>
      <c r="K887" s="5" t="e">
        <f ca="1">IF(OR(INDEX($AI$2:$AI$1001,MATCH(ROWS($AH$2:AH887),$AH$2:$AH$1001,0),1)&gt;=100000,INDEX($AO$1005:$BQ$1005,1,MATCH(COLUMNS($AO$1006:AX1006),$AO$1006:$BQ$1006,0))&gt;=100000), " ",IF(INDEX($AO$2:$BQ$1001,MATCH(ROWS($AH$2:AH887),$AH$2:$AH$1001,0),MATCH(COLUMNS($AO$1006:AX1006),$AO$1006:$BQ$1006,0)), HYPERLINK("#",""), HYPERLINK(CONCATENATE("#Metadata!", ADDRESS(INDEX($AJ$2:$AJ$1001,MATCH(ROWS($AH$2:AH887),$AH$2:$AH$1001,0),0), INDEX($AO$1004:$BQ$1004,1,MATCH(COLUMNS($AO$1006:AX1006),$AO$1006:$BQ$1006,0)))),"Fix")))</f>
        <v>#N/A</v>
      </c>
      <c r="L887" s="5" t="e">
        <f ca="1">IF(OR(INDEX($AI$2:$AI$1001,MATCH(ROWS($AH$2:AH887),$AH$2:$AH$1001,0),1)&gt;=100000,INDEX($AO$1005:$BQ$1005,1,MATCH(COLUMNS($AO$1006:AY1006),$AO$1006:$BQ$1006,0))&gt;=100000), " ",IF(INDEX($AO$2:$BQ$1001,MATCH(ROWS($AH$2:AH887),$AH$2:$AH$1001,0),MATCH(COLUMNS($AO$1006:AY1006),$AO$1006:$BQ$1006,0)), HYPERLINK("#",""), HYPERLINK(CONCATENATE("#Metadata!", ADDRESS(INDEX($AJ$2:$AJ$1001,MATCH(ROWS($AH$2:AH887),$AH$2:$AH$1001,0),0), INDEX($AO$1004:$BQ$1004,1,MATCH(COLUMNS($AO$1006:AY1006),$AO$1006:$BQ$1006,0)))),"Fix")))</f>
        <v>#N/A</v>
      </c>
      <c r="M887" s="5" t="e">
        <f ca="1">IF(OR(INDEX($AI$2:$AI$1001,MATCH(ROWS($AH$2:AH887),$AH$2:$AH$1001,0),1)&gt;=100000,INDEX($AO$1005:$BQ$1005,1,MATCH(COLUMNS($AO$1006:AZ1006),$AO$1006:$BQ$1006,0))&gt;=100000), " ",IF(INDEX($AO$2:$BQ$1001,MATCH(ROWS($AH$2:AH887),$AH$2:$AH$1001,0),MATCH(COLUMNS($AO$1006:AZ1006),$AO$1006:$BQ$1006,0)), HYPERLINK("#",""), HYPERLINK(CONCATENATE("#Metadata!", ADDRESS(INDEX($AJ$2:$AJ$1001,MATCH(ROWS($AH$2:AH887),$AH$2:$AH$1001,0),0), INDEX($AO$1004:$BQ$1004,1,MATCH(COLUMNS($AO$1006:AZ1006),$AO$1006:$BQ$1006,0)))),"Fix")))</f>
        <v>#N/A</v>
      </c>
      <c r="N887" s="5" t="e">
        <f ca="1">IF(OR(INDEX($AI$2:$AI$1001,MATCH(ROWS($AH$2:AH887),$AH$2:$AH$1001,0),1)&gt;=100000,INDEX($AO$1005:$BQ$1005,1,MATCH(COLUMNS($AO$1006:BA1006),$AO$1006:$BQ$1006,0))&gt;=100000), " ",IF(INDEX($AO$2:$BQ$1001,MATCH(ROWS($AH$2:AH887),$AH$2:$AH$1001,0),MATCH(COLUMNS($AO$1006:BA1006),$AO$1006:$BQ$1006,0)), HYPERLINK("#",""), HYPERLINK(CONCATENATE("#Metadata!", ADDRESS(INDEX($AJ$2:$AJ$1001,MATCH(ROWS($AH$2:AH887),$AH$2:$AH$1001,0),0), INDEX($AO$1004:$BQ$1004,1,MATCH(COLUMNS($AO$1006:BA1006),$AO$1006:$BQ$1006,0)))),"Fix")))</f>
        <v>#N/A</v>
      </c>
      <c r="O887" s="5" t="e">
        <f ca="1">IF(OR(INDEX($AI$2:$AI$1001,MATCH(ROWS($AH$2:AH887),$AH$2:$AH$1001,0),1)&gt;=100000,INDEX($AO$1005:$BQ$1005,1,MATCH(COLUMNS($AO$1006:BB1006),$AO$1006:$BQ$1006,0))&gt;=100000), " ",IF(INDEX($AO$2:$BQ$1001,MATCH(ROWS($AH$2:AH887),$AH$2:$AH$1001,0),MATCH(COLUMNS($AO$1006:BB1006),$AO$1006:$BQ$1006,0)), HYPERLINK("#",""), HYPERLINK(CONCATENATE("#Metadata!", ADDRESS(INDEX($AJ$2:$AJ$1001,MATCH(ROWS($AH$2:AH887),$AH$2:$AH$1001,0),0), INDEX($AO$1004:$BQ$1004,1,MATCH(COLUMNS($AO$1006:BB1006),$AO$1006:$BQ$1006,0)))),"Fix")))</f>
        <v>#N/A</v>
      </c>
      <c r="P887" s="5" t="e">
        <f ca="1">IF(OR(INDEX($AI$2:$AI$1001,MATCH(ROWS($AH$2:AH887),$AH$2:$AH$1001,0),1)&gt;=100000,INDEX($AO$1005:$BQ$1005,1,MATCH(COLUMNS($AO$1006:BC1006),$AO$1006:$BQ$1006,0))&gt;=100000), " ",IF(INDEX($AO$2:$BQ$1001,MATCH(ROWS($AH$2:AH887),$AH$2:$AH$1001,0),MATCH(COLUMNS($AO$1006:BC1006),$AO$1006:$BQ$1006,0)), HYPERLINK("#",""), HYPERLINK(CONCATENATE("#Metadata!", ADDRESS(INDEX($AJ$2:$AJ$1001,MATCH(ROWS($AH$2:AH887),$AH$2:$AH$1001,0),0), INDEX($AO$1004:$BQ$1004,1,MATCH(COLUMNS($AO$1006:BC1006),$AO$1006:$BQ$1006,0)))),"Fix")))</f>
        <v>#N/A</v>
      </c>
      <c r="Q887" s="5" t="e">
        <f ca="1">IF(OR(INDEX($AI$2:$AI$1001,MATCH(ROWS($AH$2:AH887),$AH$2:$AH$1001,0),1)&gt;=100000,INDEX($AO$1005:$BQ$1005,1,MATCH(COLUMNS($AO$1006:BD1006),$AO$1006:$BQ$1006,0))&gt;=100000), " ",IF(INDEX($AO$2:$BQ$1001,MATCH(ROWS($AH$2:AH887),$AH$2:$AH$1001,0),MATCH(COLUMNS($AO$1006:BD1006),$AO$1006:$BQ$1006,0)), HYPERLINK("#",""), HYPERLINK(CONCATENATE("#Metadata!", ADDRESS(INDEX($AJ$2:$AJ$1001,MATCH(ROWS($AH$2:AH887),$AH$2:$AH$1001,0),0), INDEX($AO$1004:$BQ$1004,1,MATCH(COLUMNS($AO$1006:BD1006),$AO$1006:$BQ$1006,0)))),"Fix")))</f>
        <v>#N/A</v>
      </c>
      <c r="R887" s="5" t="e">
        <f ca="1">IF(OR(INDEX($AI$2:$AI$1001,MATCH(ROWS($AH$2:AH887),$AH$2:$AH$1001,0),1)&gt;=100000,INDEX($AO$1005:$BQ$1005,1,MATCH(COLUMNS($AO$1006:BE1006),$AO$1006:$BQ$1006,0))&gt;=100000), " ",IF(INDEX($AO$2:$BQ$1001,MATCH(ROWS($AH$2:AH887),$AH$2:$AH$1001,0),MATCH(COLUMNS($AO$1006:BE1006),$AO$1006:$BQ$1006,0)), HYPERLINK("#",""), HYPERLINK(CONCATENATE("#Metadata!", ADDRESS(INDEX($AJ$2:$AJ$1001,MATCH(ROWS($AH$2:AH887),$AH$2:$AH$1001,0),0), INDEX($AO$1004:$BQ$1004,1,MATCH(COLUMNS($AO$1006:BE1006),$AO$1006:$BQ$1006,0)))),"Fix")))</f>
        <v>#N/A</v>
      </c>
      <c r="S887" s="5" t="e">
        <f ca="1">IF(OR(INDEX($AI$2:$AI$1001,MATCH(ROWS($AH$2:AH887),$AH$2:$AH$1001,0),1)&gt;=100000,INDEX($AO$1005:$BQ$1005,1,MATCH(COLUMNS($AO$1006:BF1006),$AO$1006:$BQ$1006,0))&gt;=100000), " ",IF(INDEX($AO$2:$BQ$1001,MATCH(ROWS($AH$2:AH887),$AH$2:$AH$1001,0),MATCH(COLUMNS($AO$1006:BF1006),$AO$1006:$BQ$1006,0)), HYPERLINK("#",""), HYPERLINK(CONCATENATE("#Metadata!", ADDRESS(INDEX($AJ$2:$AJ$1001,MATCH(ROWS($AH$2:AH887),$AH$2:$AH$1001,0),0), INDEX($AO$1004:$BQ$1004,1,MATCH(COLUMNS($AO$1006:BF1006),$AO$1006:$BQ$1006,0)))),"Fix")))</f>
        <v>#N/A</v>
      </c>
      <c r="T887" s="5" t="e">
        <f ca="1">IF(OR(INDEX($AI$2:$AI$1001,MATCH(ROWS($AH$2:AH887),$AH$2:$AH$1001,0),1)&gt;=100000,INDEX($AO$1005:$BQ$1005,1,MATCH(COLUMNS($AO$1006:BG1006),$AO$1006:$BQ$1006,0))&gt;=100000), " ",IF(INDEX($AO$2:$BQ$1001,MATCH(ROWS($AH$2:AH887),$AH$2:$AH$1001,0),MATCH(COLUMNS($AO$1006:BG1006),$AO$1006:$BQ$1006,0)), HYPERLINK("#",""), HYPERLINK(CONCATENATE("#Metadata!", ADDRESS(INDEX($AJ$2:$AJ$1001,MATCH(ROWS($AH$2:AH887),$AH$2:$AH$1001,0),0), INDEX($AO$1004:$BQ$1004,1,MATCH(COLUMNS($AO$1006:BG1006),$AO$1006:$BQ$1006,0)))),"Fix")))</f>
        <v>#N/A</v>
      </c>
      <c r="U887" s="5" t="e">
        <f ca="1">IF(OR(INDEX($AI$2:$AI$1001,MATCH(ROWS($AH$2:AH887),$AH$2:$AH$1001,0),1)&gt;=100000,INDEX($AO$1005:$BQ$1005,1,MATCH(COLUMNS($AO$1006:BH1006),$AO$1006:$BQ$1006,0))&gt;=100000), " ",IF(INDEX($AO$2:$BQ$1001,MATCH(ROWS($AH$2:AH887),$AH$2:$AH$1001,0),MATCH(COLUMNS($AO$1006:BH1006),$AO$1006:$BQ$1006,0)), HYPERLINK("#",""), HYPERLINK(CONCATENATE("#Metadata!", ADDRESS(INDEX($AJ$2:$AJ$1001,MATCH(ROWS($AH$2:AH887),$AH$2:$AH$1001,0),0), INDEX($AO$1004:$BQ$1004,1,MATCH(COLUMNS($AO$1006:BH1006),$AO$1006:$BQ$1006,0)))),"Fix")))</f>
        <v>#N/A</v>
      </c>
      <c r="V887" s="5" t="e">
        <f ca="1">IF(OR(INDEX($AI$2:$AI$1001,MATCH(ROWS($AH$2:AH887),$AH$2:$AH$1001,0),1)&gt;=100000,INDEX($AO$1005:$BQ$1005,1,MATCH(COLUMNS($AO$1006:BI1006),$AO$1006:$BQ$1006,0))&gt;=100000), " ",IF(INDEX($AO$2:$BQ$1001,MATCH(ROWS($AH$2:AH887),$AH$2:$AH$1001,0),MATCH(COLUMNS($AO$1006:BI1006),$AO$1006:$BQ$1006,0)), HYPERLINK("#",""), HYPERLINK(CONCATENATE("#Metadata!", ADDRESS(INDEX($AJ$2:$AJ$1001,MATCH(ROWS($AH$2:AH887),$AH$2:$AH$1001,0),0), INDEX($AO$1004:$BQ$1004,1,MATCH(COLUMNS($AO$1006:BI1006),$AO$1006:$BQ$1006,0)))),"Fix")))</f>
        <v>#N/A</v>
      </c>
      <c r="W887" s="5" t="e">
        <f ca="1">IF(OR(INDEX($AI$2:$AI$1001,MATCH(ROWS($AH$2:AH887),$AH$2:$AH$1001,0),1)&gt;=100000,INDEX($AO$1005:$BQ$1005,1,MATCH(COLUMNS($AO$1006:BJ1006),$AO$1006:$BQ$1006,0))&gt;=100000), " ",IF(INDEX($AO$2:$BQ$1001,MATCH(ROWS($AH$2:AH887),$AH$2:$AH$1001,0),MATCH(COLUMNS($AO$1006:BJ1006),$AO$1006:$BQ$1006,0)), HYPERLINK("#",""), HYPERLINK(CONCATENATE("#Metadata!", ADDRESS(INDEX($AJ$2:$AJ$1001,MATCH(ROWS($AH$2:AH887),$AH$2:$AH$1001,0),0), INDEX($AO$1004:$BQ$1004,1,MATCH(COLUMNS($AO$1006:BJ1006),$AO$1006:$BQ$1006,0)))),"Fix")))</f>
        <v>#N/A</v>
      </c>
      <c r="X887" s="5" t="e">
        <f ca="1">IF(OR(INDEX($AI$2:$AI$1001,MATCH(ROWS($AH$2:AH887),$AH$2:$AH$1001,0),1)&gt;=100000,INDEX($AO$1005:$BQ$1005,1,MATCH(COLUMNS($AO$1006:BK1006),$AO$1006:$BQ$1006,0))&gt;=100000), " ",IF(INDEX($AO$2:$BQ$1001,MATCH(ROWS($AH$2:AH887),$AH$2:$AH$1001,0),MATCH(COLUMNS($AO$1006:BK1006),$AO$1006:$BQ$1006,0)), HYPERLINK("#",""), HYPERLINK(CONCATENATE("#Metadata!", ADDRESS(INDEX($AJ$2:$AJ$1001,MATCH(ROWS($AH$2:AH887),$AH$2:$AH$1001,0),0), INDEX($AO$1004:$BQ$1004,1,MATCH(COLUMNS($AO$1006:BK1006),$AO$1006:$BQ$1006,0)))),"Fix")))</f>
        <v>#N/A</v>
      </c>
      <c r="Y887" s="5" t="e">
        <f ca="1">IF(OR(INDEX($AI$2:$AI$1001,MATCH(ROWS($AH$2:AH887),$AH$2:$AH$1001,0),1)&gt;=100000,INDEX($AO$1005:$BQ$1005,1,MATCH(COLUMNS($AO$1006:BL1006),$AO$1006:$BQ$1006,0))&gt;=100000), " ",IF(INDEX($AO$2:$BQ$1001,MATCH(ROWS($AH$2:AH887),$AH$2:$AH$1001,0),MATCH(COLUMNS($AO$1006:BL1006),$AO$1006:$BQ$1006,0)), HYPERLINK("#",""), HYPERLINK(CONCATENATE("#Metadata!", ADDRESS(INDEX($AJ$2:$AJ$1001,MATCH(ROWS($AH$2:AH887),$AH$2:$AH$1001,0),0), INDEX($AO$1004:$BQ$1004,1,MATCH(COLUMNS($AO$1006:BL1006),$AO$1006:$BQ$1006,0)))),"Fix")))</f>
        <v>#N/A</v>
      </c>
      <c r="Z887" s="5" t="e">
        <f ca="1">IF(OR(INDEX($AI$2:$AI$1001,MATCH(ROWS($AH$2:AH887),$AH$2:$AH$1001,0),1)&gt;=100000,INDEX($AO$1005:$BQ$1005,1,MATCH(COLUMNS($AO$1006:BM1006),$AO$1006:$BQ$1006,0))&gt;=100000), " ",IF(INDEX($AO$2:$BQ$1001,MATCH(ROWS($AH$2:AH887),$AH$2:$AH$1001,0),MATCH(COLUMNS($AO$1006:BM1006),$AO$1006:$BQ$1006,0)), HYPERLINK("#",""), HYPERLINK(CONCATENATE("#Metadata!", ADDRESS(INDEX($AJ$2:$AJ$1001,MATCH(ROWS($AH$2:AH887),$AH$2:$AH$1001,0),0), INDEX($AO$1004:$BQ$1004,1,MATCH(COLUMNS($AO$1006:BM1006),$AO$1006:$BQ$1006,0)))),"Fix")))</f>
        <v>#N/A</v>
      </c>
      <c r="AA887" s="5" t="e">
        <f ca="1">IF(OR(INDEX($AI$2:$AI$1001,MATCH(ROWS($AH$2:AH887),$AH$2:$AH$1001,0),1)&gt;=100000,INDEX($AO$1005:$BQ$1005,1,MATCH(COLUMNS($AO$1006:BN1006),$AO$1006:$BQ$1006,0))&gt;=100000), " ",IF(INDEX($AO$2:$BQ$1001,MATCH(ROWS($AH$2:AH887),$AH$2:$AH$1001,0),MATCH(COLUMNS($AO$1006:BN1006),$AO$1006:$BQ$1006,0)), HYPERLINK("#",""), HYPERLINK(CONCATENATE("#Metadata!", ADDRESS(INDEX($AJ$2:$AJ$1001,MATCH(ROWS($AH$2:AH887),$AH$2:$AH$1001,0),0), INDEX($AO$1004:$BQ$1004,1,MATCH(COLUMNS($AO$1006:BN1006),$AO$1006:$BQ$1006,0)))),"Fix")))</f>
        <v>#N/A</v>
      </c>
      <c r="AB887" s="5" t="e">
        <f ca="1">IF(OR(INDEX($AI$2:$AI$1001,MATCH(ROWS($AH$2:AH887),$AH$2:$AH$1001,0),1)&gt;=100000,INDEX($AO$1005:$BQ$1005,1,MATCH(COLUMNS($AO$1006:BO1006),$AO$1006:$BQ$1006,0))&gt;=100000), " ",IF(INDEX($AO$2:$BQ$1001,MATCH(ROWS($AH$2:AH887),$AH$2:$AH$1001,0),MATCH(COLUMNS($AO$1006:BO1006),$AO$1006:$BQ$1006,0)), HYPERLINK("#",""), HYPERLINK(CONCATENATE("#Metadata!", ADDRESS(INDEX($AJ$2:$AJ$1001,MATCH(ROWS($AH$2:AH887),$AH$2:$AH$1001,0),0), INDEX($AO$1004:$BQ$1004,1,MATCH(COLUMNS($AO$1006:BO1006),$AO$1006:$BQ$1006,0)))),"Fix")))</f>
        <v>#N/A</v>
      </c>
      <c r="AC887" s="5" t="e">
        <f ca="1">IF(OR(INDEX($AI$2:$AI$1001,MATCH(ROWS($AH$2:AH887),$AH$2:$AH$1001,0),1)&gt;=100000,INDEX($AO$1005:$BQ$1005,1,MATCH(COLUMNS($AO$1006:BP1006),$AO$1006:$BQ$1006,0))&gt;=100000), " ",IF(INDEX($AO$2:$BQ$1001,MATCH(ROWS($AH$2:AH887),$AH$2:$AH$1001,0),MATCH(COLUMNS($AO$1006:BP1006),$AO$1006:$BQ$1006,0)), HYPERLINK("#",""), HYPERLINK(CONCATENATE("#Metadata!", ADDRESS(INDEX($AJ$2:$AJ$1001,MATCH(ROWS($AH$2:AH887),$AH$2:$AH$1001,0),0), INDEX($AO$1004:$BQ$1004,1,MATCH(COLUMNS($AO$1006:BP1006),$AO$1006:$BQ$1006,0)))),"Fix")))</f>
        <v>#N/A</v>
      </c>
      <c r="AD887" s="5" t="e">
        <f ca="1">IF(OR(INDEX($AI$2:$AI$1001,MATCH(ROWS($AH$2:AH887),$AH$2:$AH$1001,0),1)&gt;=100000,INDEX($AO$1005:$BQ$1005,1,MATCH(COLUMNS($AO$1006:BQ1006),$AO$1006:$BQ$1006,0))&gt;=100000), " ",IF(INDEX($AO$2:$BQ$1001,MATCH(ROWS($AH$2:AH887),$AH$2:$AH$1001,0),MATCH(COLUMNS($AO$1006:BQ1006),$AO$1006:$BQ$1006,0)), HYPERLINK("#",""), HYPERLINK(CONCATENATE("#Metadata!", ADDRESS(INDEX($AJ$2:$AJ$1001,MATCH(ROWS($AH$2:AH887),$AH$2:$AH$1001,0),0), INDEX($AO$1004:$BQ$1004,1,MATCH(COLUMNS($AO$1006:BQ1006),$AO$1006:$BQ$1006,0)))),"Fix")))</f>
        <v>#REF!</v>
      </c>
      <c r="AH887">
        <f ca="1"/>
        <v>884</v>
      </c>
      <c r="AI887">
        <v>100887</v>
      </c>
      <c r="AJ887">
        <v>887</v>
      </c>
      <c r="AK887" t="b">
        <f t="shared" si="13"/>
        <v>1</v>
      </c>
      <c r="AL887" t="b">
        <f>COUNTBLANK(Metadata!B887:AD887)=COLUMNS(Metadata!B887:AD887)</f>
        <v>1</v>
      </c>
      <c r="AM887" t="str">
        <v/>
      </c>
      <c r="AO887" t="b">
        <f ca="1">AND(IF(Metadata!B887="",FALSE,TRUE),COUNTIF(Metadata!B:B, Metadata!B887) = 1,NOT(ISERROR(SUMPRODUCT(SEARCH(MID(Metadata!B887,ROW(INDIRECT("1:"&amp;LEN(Metadata!B887))), 1),"0123456789abcdefghijklmnopqrstuvwxyzABCDEFGHIJKLMNOPQRSTUVWXYZ.")))))</f>
        <v>0</v>
      </c>
      <c r="AP887" t="b">
        <f>IF(Metadata!C887="",FALSE,TRUE)</f>
        <v>0</v>
      </c>
      <c r="AQ887" t="b">
        <f>IF(Metadata!D887="",FALSE,TRUE)</f>
        <v>0</v>
      </c>
      <c r="AR887" t="b">
        <f ca="1">OR(AND(IF(Metadata!E887="",FALSE,TRUE),OR(EXACT(Metadata!E887,"not collected"),EXACT(Metadata!E887,"not provided"),EXACT(Metadata!E887,"restricted access"))),AND(IF(Metadata!E887="",FALSE,TRUE),AND(AND(IFERROR(INT(LEFT(Metadata!E887,4))&gt;1900,FALSE),IFERROR(INT(LEFT(Metadata!E887,4))&lt;=YEAR(NOW()),FALSE)), OR(MID(Metadata!E887,5,1)="", AND(AND(MID(Metadata!E887,5,1)="-",IFERROR(INT(MID(Metadata!E887,6,1))&gt;=0,FALSE),IFERROR(INT(MID(Metadata!E887,6,1))&lt;=1,FALSE),NOT(MID(Metadata!E887,7,1)=""),IFERROR(INT(MID(Metadata!E887,6,2))&gt;=1,FALSE),IFERROR(INT(MID(Metadata!E887,6,2))&lt;=12,FALSE)), OR(MID(Metadata!E887,8,1)="", AND(AND(MID(Metadata!E887,8,1)="-",IFERROR(INT(MID(Metadata!E887,9,1))&gt;=0,FALSE),IFERROR(INT(MID(Metadata!E887,9,1))&lt;=3,FALSE),NOT(MID(Metadata!E887,10,1)=""),IFERROR(INT(MID(Metadata!E887,9,2))&gt;=1,FALSE),IFERROR(INT(MID(Metadata!E887,9,2))&lt;=31,FALSE)), OR(MID(Metadata!E887,11,1)="", AND(AND(MID(Metadata!E887,11,1)=" ",IFERROR(INT(MID(Metadata!E887,12,1))&gt;=0,FALSE),IFERROR(INT(MID(Metadata!E887,12,1))&lt;=2,FALSE),NOT(MID(Metadata!E887,13,1)=""),IFERROR(INT(MID(Metadata!E887,12,2))&gt;=0,FALSE),IFERROR(INT(MID(Metadata!E887,12,2))&lt;=23,FALSE)), OR(MID(Metadata!E887,14,1)="", AND(AND(MID(Metadata!E887,14,1)=":",IFERROR(INT(MID(Metadata!E887,15,1))&gt;=0,FALSE),IFERROR(INT(MID(Metadata!E887,15,1))&lt;=5,FALSE),NOT(MID(Metadata!E887,16,1)=""),IFERROR(INT(MID(Metadata!E887,15,2))&gt;=0,FALSE),IFERROR(INT(MID(Metadata!E887,15,2))&lt;=59,FALSE)), OR(MID(Metadata!E887,17,1)="", AND(AND(MID(Metadata!E887,17,1)=":",IFERROR(INT(MID(Metadata!E887,18,1))&gt;=0,FALSE),IFERROR(INT(MID(Metadata!E887,18,1))&lt;=5,FALSE),NOT(MID(Metadata!E887,19,1)=""),IFERROR(INT(MID(Metadata!E887,18,2))&gt;=0,FALSE),IFERROR(INT(MID(Metadata!E887,18,2))&lt;=59,FALSE)), LEN(Metadata!E887)&lt;=19)))))))))))))</f>
        <v>0</v>
      </c>
      <c r="AS887" t="b">
        <f>IF(Metadata!F887="",FALSE,TRUE)</f>
        <v>0</v>
      </c>
      <c r="AT887" t="b">
        <f>OR(AND(IF(Metadata!G887="",FALSE,TRUE),OR(EXACT(Metadata!G887,"not collected"),EXACT(Metadata!G887,"not provided"))),AND(IF(Metadata!G887="",FALSE,TRUE),OR(EXACT(Metadata!G887,"TRUE"),EXACT(Metadata!G887,"FALSE"))))</f>
        <v>0</v>
      </c>
      <c r="AU887" t="b">
        <f>OR(AND(IF(Metadata!H887="",FALSE,TRUE),OR(EXACT(Metadata!H887,"not collected"),EXACT(Metadata!H887,"not provided"),EXACT(Metadata!H887,"restricted access"))),AND(IF(Metadata!H887="",FALSE,ISNUMBER(VALUE(Metadata!H887))),Metadata!H887&gt;=-413))</f>
        <v>0</v>
      </c>
      <c r="AV887" t="b">
        <f>AND(IF(Metadata!I887="",FALSE,TRUE),EXACT(Metadata!I887,"meters"))</f>
        <v>0</v>
      </c>
      <c r="AW887" t="b">
        <f>AND(IF(Metadata!J887="",FALSE,TRUE),EXACT(Metadata!J887,"free-living"))</f>
        <v>0</v>
      </c>
      <c r="AX887" t="b">
        <f>AND(IF(Metadata!K887="",FALSE,TRUE),OR(EXACT(Metadata!K887,"saline"),EXACT(Metadata!K887,"non-saline")))</f>
        <v>0</v>
      </c>
      <c r="AY887" t="b">
        <f>AND(IF(Metadata!L887="",FALSE,TRUE),OR(EXACT(Metadata!L887,"sub-surface (non-saline)"),EXACT(Metadata!L887,"surface (non-saline)"),EXACT(Metadata!L887,"water (non-saline)"),EXACT(Metadata!L887,"soil (non-saline)"),EXACT(Metadata!L887,"aerosol (non-saline)"),EXACT(Metadata!L887,"sediment (non-saline)"),EXACT(Metadata!L887,"surface (saline)"),EXACT(Metadata!L887,"water (saline)"),EXACT(Metadata!L887,"hypersaline (saline)"),EXACT(Metadata!L887,"aerosol (saline)"),EXACT(Metadata!L887,"sediment (saline)")))</f>
        <v>0</v>
      </c>
      <c r="AZ887" t="b">
        <f>IF(Metadata!M887="",FALSE,TRUE)</f>
        <v>0</v>
      </c>
      <c r="BA887" t="b">
        <f>IF(Metadata!N887="",FALSE,TRUE)</f>
        <v>0</v>
      </c>
      <c r="BB887" t="b">
        <f>IF(Metadata!O887="",FALSE,TRUE)</f>
        <v>0</v>
      </c>
      <c r="BC887" t="b">
        <f>AND(IF(Metadata!P887="",FALSE,TRUE),OR(EXACT(Metadata!P887,"air"),EXACT(Metadata!P887,"microbial mat/biofilm"),EXACT(Metadata!P887,"misc environment"),EXACT(Metadata!P887,"sediment"),EXACT(Metadata!P887,"soil"),EXACT(Metadata!P887,"wastewater/sludge"),EXACT(Metadata!P887,"water")))</f>
        <v>0</v>
      </c>
      <c r="BD887" t="b">
        <f>IF(Metadata!Q887="",FALSE,TRUE)</f>
        <v>0</v>
      </c>
      <c r="BE887" t="b">
        <f>IF(Metadata!R887="",FALSE,TRUE)</f>
        <v>0</v>
      </c>
      <c r="BF887" t="b">
        <f>OR(AND(IF(Metadata!S887="",FALSE,TRUE),OR(EXACT(Metadata!S887,"not collected"),EXACT(Metadata!S887,"not provided"),EXACT(Metadata!S887,"restricted access"))),AND(IF(Metadata!S887="",FALSE,ISNUMBER(VALUE(Metadata!S887))),Metadata!S887&gt;=-90,Metadata!S887&lt;=90))</f>
        <v>0</v>
      </c>
      <c r="BG887" t="b">
        <f>AND(IF(Metadata!T887="",FALSE,TRUE),EXACT(Metadata!T887,"Decimal degrees"))</f>
        <v>0</v>
      </c>
      <c r="BH887" t="b">
        <f>OR(AND(IF(Metadata!U887="",FALSE,TRUE),OR(EXACT(Metadata!U887,"not applicable"),EXACT(Metadata!U887,"not collected"))),IF(Metadata!U887="",FALSE,TRUE))</f>
        <v>0</v>
      </c>
      <c r="BI887" t="b">
        <f>OR(AND(IF(Metadata!V887="",FALSE,TRUE),OR(EXACT(Metadata!V887,"not collected"),EXACT(Metadata!V887,"not provided"),EXACT(Metadata!V887,"restricted access"))),AND(IF(Metadata!V887="",FALSE,ISNUMBER(VALUE(Metadata!V887))),Metadata!V887&gt;=-180,Metadata!V887&lt;=180))</f>
        <v>0</v>
      </c>
      <c r="BJ887" t="b">
        <f>AND(IF(Metadata!W887="",FALSE,TRUE),EXACT(Metadata!W887,"Decimal degrees"))</f>
        <v>0</v>
      </c>
      <c r="BK887" t="b">
        <f>IF(Metadata!X887="",FALSE,TRUE)</f>
        <v>0</v>
      </c>
      <c r="BL887" t="b">
        <f>OR(AND(IF(Metadata!Y887="",FALSE,TRUE),OR(EXACT(Metadata!Y887,"not collected"),EXACT(Metadata!Y887,"not provided"),EXACT(Metadata!Y887,"restricted access"))),AND(IF(Metadata!Y887="",FALSE,TRUE),OR(EXACT(Metadata!Y887,"TRUE"),EXACT(Metadata!Y887,"FALSE"))))</f>
        <v>0</v>
      </c>
      <c r="BM887" t="b">
        <f>OR(AND(IF(Metadata!Z887="",FALSE,TRUE),EXACT(Metadata!Z887,"not applicable")),AND(IF(Metadata!Z887="",FALSE,TRUE),OR(EXACT(Metadata!Z887,"beer"),EXACT(Metadata!Z887,"cheese"),EXACT(Metadata!Z887,"fresh water"),EXACT(Metadata!Z887,"marine sediment"),EXACT(Metadata!Z887,"sea water"),EXACT(Metadata!Z887,"sediment"),EXACT(Metadata!Z887,"soil"),EXACT(Metadata!Z887,"waste water"))))</f>
        <v>0</v>
      </c>
      <c r="BN887" t="b">
        <f>AND(IF(Metadata!AA887="",FALSE,TRUE),EXACT(Metadata!AA887,"metagenome"))</f>
        <v>0</v>
      </c>
      <c r="BO887" t="b">
        <f>AND(IF(Metadata!AB887="",FALSE,TRUE),EXACT(Metadata!AB887,"256318"))</f>
        <v>0</v>
      </c>
      <c r="BP887" t="b">
        <f>IF(Metadata!AC887="",FALSE,TRUE)</f>
        <v>0</v>
      </c>
      <c r="BQ887" t="b">
        <f>IF(Metadata!AD887="",FALSE,TRUE)</f>
        <v>0</v>
      </c>
    </row>
    <row r="888" spans="1:69" x14ac:dyDescent="0.2">
      <c r="A888" s="4" t="e">
        <f ca="1">IF(B888=" "," ",HYPERLINK(CONCATENATE("#metadata!",ADDRESS(INDEX($AJ$2:$AJ$1001,MATCH(ROWS($AH$2:AH888),$AH$2:$AH$1001,0),0),2)),INDEX($AM$2:$AM$1001,MATCH(ROWS($AH$2:AH888),$AH$2:$AH$1001,0),0)))</f>
        <v>#N/A</v>
      </c>
      <c r="B888" s="5" t="e">
        <f ca="1">IF(OR(INDEX($AI$2:$AI$1001,MATCH(ROWS($AH$2:AH888),$AH$2:$AH$1001,0),1)&gt;=100000,INDEX($AO$1005:$BQ$1005,1,MATCH(COLUMNS($AO$1006:AO1006),$AO$1006:$BQ$1006,0))&gt;=100000), " ",IF(INDEX($AO$2:$BQ$1001,MATCH(ROWS($AH$2:AH888),$AH$2:$AH$1001,0),MATCH(COLUMNS($AO$1006:AO1006),$AO$1006:$BQ$1006,0)), HYPERLINK("#",""), HYPERLINK(CONCATENATE("#Metadata!", ADDRESS(INDEX($AJ$2:$AJ$1001,MATCH(ROWS($AH$2:AH888),$AH$2:$AH$1001,0),0), INDEX($AO$1004:$BQ$1004,1,MATCH(COLUMNS($AO$1006:AO1006),$AO$1006:$BQ$1006,0)))),"Fix")))</f>
        <v>#N/A</v>
      </c>
      <c r="C888" s="5" t="e">
        <f ca="1">IF(OR(INDEX($AI$2:$AI$1001,MATCH(ROWS($AH$2:AH888),$AH$2:$AH$1001,0),1)&gt;=100000,INDEX($AO$1005:$BQ$1005,1,MATCH(COLUMNS($AO$1006:AP1006),$AO$1006:$BQ$1006,0))&gt;=100000), " ",IF(INDEX($AO$2:$BQ$1001,MATCH(ROWS($AH$2:AH888),$AH$2:$AH$1001,0),MATCH(COLUMNS($AO$1006:AP1006),$AO$1006:$BQ$1006,0)), HYPERLINK("#",""), HYPERLINK(CONCATENATE("#Metadata!", ADDRESS(INDEX($AJ$2:$AJ$1001,MATCH(ROWS($AH$2:AH888),$AH$2:$AH$1001,0),0), INDEX($AO$1004:$BQ$1004,1,MATCH(COLUMNS($AO$1006:AP1006),$AO$1006:$BQ$1006,0)))),"Fix")))</f>
        <v>#N/A</v>
      </c>
      <c r="D888" s="5" t="e">
        <f ca="1">IF(OR(INDEX($AI$2:$AI$1001,MATCH(ROWS($AH$2:AH888),$AH$2:$AH$1001,0),1)&gt;=100000,INDEX($AO$1005:$BQ$1005,1,MATCH(COLUMNS($AO$1006:AQ1006),$AO$1006:$BQ$1006,0))&gt;=100000), " ",IF(INDEX($AO$2:$BQ$1001,MATCH(ROWS($AH$2:AH888),$AH$2:$AH$1001,0),MATCH(COLUMNS($AO$1006:AQ1006),$AO$1006:$BQ$1006,0)), HYPERLINK("#",""), HYPERLINK(CONCATENATE("#Metadata!", ADDRESS(INDEX($AJ$2:$AJ$1001,MATCH(ROWS($AH$2:AH888),$AH$2:$AH$1001,0),0), INDEX($AO$1004:$BQ$1004,1,MATCH(COLUMNS($AO$1006:AQ1006),$AO$1006:$BQ$1006,0)))),"Fix")))</f>
        <v>#N/A</v>
      </c>
      <c r="E888" s="5" t="e">
        <f ca="1">IF(OR(INDEX($AI$2:$AI$1001,MATCH(ROWS($AH$2:AH888),$AH$2:$AH$1001,0),1)&gt;=100000,INDEX($AO$1005:$BQ$1005,1,MATCH(COLUMNS($AO$1006:AR1006),$AO$1006:$BQ$1006,0))&gt;=100000), " ",IF(INDEX($AO$2:$BQ$1001,MATCH(ROWS($AH$2:AH888),$AH$2:$AH$1001,0),MATCH(COLUMNS($AO$1006:AR1006),$AO$1006:$BQ$1006,0)), HYPERLINK("#",""), HYPERLINK(CONCATENATE("#Metadata!", ADDRESS(INDEX($AJ$2:$AJ$1001,MATCH(ROWS($AH$2:AH888),$AH$2:$AH$1001,0),0), INDEX($AO$1004:$BQ$1004,1,MATCH(COLUMNS($AO$1006:AR1006),$AO$1006:$BQ$1006,0)))),"Fix")))</f>
        <v>#N/A</v>
      </c>
      <c r="F888" s="5" t="e">
        <f ca="1">IF(OR(INDEX($AI$2:$AI$1001,MATCH(ROWS($AH$2:AH888),$AH$2:$AH$1001,0),1)&gt;=100000,INDEX($AO$1005:$BQ$1005,1,MATCH(COLUMNS($AO$1006:AS1006),$AO$1006:$BQ$1006,0))&gt;=100000), " ",IF(INDEX($AO$2:$BQ$1001,MATCH(ROWS($AH$2:AH888),$AH$2:$AH$1001,0),MATCH(COLUMNS($AO$1006:AS1006),$AO$1006:$BQ$1006,0)), HYPERLINK("#",""), HYPERLINK(CONCATENATE("#Metadata!", ADDRESS(INDEX($AJ$2:$AJ$1001,MATCH(ROWS($AH$2:AH888),$AH$2:$AH$1001,0),0), INDEX($AO$1004:$BQ$1004,1,MATCH(COLUMNS($AO$1006:AS1006),$AO$1006:$BQ$1006,0)))),"Fix")))</f>
        <v>#N/A</v>
      </c>
      <c r="G888" s="5" t="e">
        <f ca="1">IF(OR(INDEX($AI$2:$AI$1001,MATCH(ROWS($AH$2:AH888),$AH$2:$AH$1001,0),1)&gt;=100000,INDEX($AO$1005:$BQ$1005,1,MATCH(COLUMNS($AO$1006:AT1006),$AO$1006:$BQ$1006,0))&gt;=100000), " ",IF(INDEX($AO$2:$BQ$1001,MATCH(ROWS($AH$2:AH888),$AH$2:$AH$1001,0),MATCH(COLUMNS($AO$1006:AT1006),$AO$1006:$BQ$1006,0)), HYPERLINK("#",""), HYPERLINK(CONCATENATE("#Metadata!", ADDRESS(INDEX($AJ$2:$AJ$1001,MATCH(ROWS($AH$2:AH888),$AH$2:$AH$1001,0),0), INDEX($AO$1004:$BQ$1004,1,MATCH(COLUMNS($AO$1006:AT1006),$AO$1006:$BQ$1006,0)))),"Fix")))</f>
        <v>#N/A</v>
      </c>
      <c r="H888" s="5" t="e">
        <f ca="1">IF(OR(INDEX($AI$2:$AI$1001,MATCH(ROWS($AH$2:AH888),$AH$2:$AH$1001,0),1)&gt;=100000,INDEX($AO$1005:$BQ$1005,1,MATCH(COLUMNS($AO$1006:AU1006),$AO$1006:$BQ$1006,0))&gt;=100000), " ",IF(INDEX($AO$2:$BQ$1001,MATCH(ROWS($AH$2:AH888),$AH$2:$AH$1001,0),MATCH(COLUMNS($AO$1006:AU1006),$AO$1006:$BQ$1006,0)), HYPERLINK("#",""), HYPERLINK(CONCATENATE("#Metadata!", ADDRESS(INDEX($AJ$2:$AJ$1001,MATCH(ROWS($AH$2:AH888),$AH$2:$AH$1001,0),0), INDEX($AO$1004:$BQ$1004,1,MATCH(COLUMNS($AO$1006:AU1006),$AO$1006:$BQ$1006,0)))),"Fix")))</f>
        <v>#N/A</v>
      </c>
      <c r="I888" s="5" t="e">
        <f ca="1">IF(OR(INDEX($AI$2:$AI$1001,MATCH(ROWS($AH$2:AH888),$AH$2:$AH$1001,0),1)&gt;=100000,INDEX($AO$1005:$BQ$1005,1,MATCH(COLUMNS($AO$1006:AV1006),$AO$1006:$BQ$1006,0))&gt;=100000), " ",IF(INDEX($AO$2:$BQ$1001,MATCH(ROWS($AH$2:AH888),$AH$2:$AH$1001,0),MATCH(COLUMNS($AO$1006:AV1006),$AO$1006:$BQ$1006,0)), HYPERLINK("#",""), HYPERLINK(CONCATENATE("#Metadata!", ADDRESS(INDEX($AJ$2:$AJ$1001,MATCH(ROWS($AH$2:AH888),$AH$2:$AH$1001,0),0), INDEX($AO$1004:$BQ$1004,1,MATCH(COLUMNS($AO$1006:AV1006),$AO$1006:$BQ$1006,0)))),"Fix")))</f>
        <v>#N/A</v>
      </c>
      <c r="J888" s="5" t="e">
        <f ca="1">IF(OR(INDEX($AI$2:$AI$1001,MATCH(ROWS($AH$2:AH888),$AH$2:$AH$1001,0),1)&gt;=100000,INDEX($AO$1005:$BQ$1005,1,MATCH(COLUMNS($AO$1006:AW1006),$AO$1006:$BQ$1006,0))&gt;=100000), " ",IF(INDEX($AO$2:$BQ$1001,MATCH(ROWS($AH$2:AH888),$AH$2:$AH$1001,0),MATCH(COLUMNS($AO$1006:AW1006),$AO$1006:$BQ$1006,0)), HYPERLINK("#",""), HYPERLINK(CONCATENATE("#Metadata!", ADDRESS(INDEX($AJ$2:$AJ$1001,MATCH(ROWS($AH$2:AH888),$AH$2:$AH$1001,0),0), INDEX($AO$1004:$BQ$1004,1,MATCH(COLUMNS($AO$1006:AW1006),$AO$1006:$BQ$1006,0)))),"Fix")))</f>
        <v>#N/A</v>
      </c>
      <c r="K888" s="5" t="e">
        <f ca="1">IF(OR(INDEX($AI$2:$AI$1001,MATCH(ROWS($AH$2:AH888),$AH$2:$AH$1001,0),1)&gt;=100000,INDEX($AO$1005:$BQ$1005,1,MATCH(COLUMNS($AO$1006:AX1006),$AO$1006:$BQ$1006,0))&gt;=100000), " ",IF(INDEX($AO$2:$BQ$1001,MATCH(ROWS($AH$2:AH888),$AH$2:$AH$1001,0),MATCH(COLUMNS($AO$1006:AX1006),$AO$1006:$BQ$1006,0)), HYPERLINK("#",""), HYPERLINK(CONCATENATE("#Metadata!", ADDRESS(INDEX($AJ$2:$AJ$1001,MATCH(ROWS($AH$2:AH888),$AH$2:$AH$1001,0),0), INDEX($AO$1004:$BQ$1004,1,MATCH(COLUMNS($AO$1006:AX1006),$AO$1006:$BQ$1006,0)))),"Fix")))</f>
        <v>#N/A</v>
      </c>
      <c r="L888" s="5" t="e">
        <f ca="1">IF(OR(INDEX($AI$2:$AI$1001,MATCH(ROWS($AH$2:AH888),$AH$2:$AH$1001,0),1)&gt;=100000,INDEX($AO$1005:$BQ$1005,1,MATCH(COLUMNS($AO$1006:AY1006),$AO$1006:$BQ$1006,0))&gt;=100000), " ",IF(INDEX($AO$2:$BQ$1001,MATCH(ROWS($AH$2:AH888),$AH$2:$AH$1001,0),MATCH(COLUMNS($AO$1006:AY1006),$AO$1006:$BQ$1006,0)), HYPERLINK("#",""), HYPERLINK(CONCATENATE("#Metadata!", ADDRESS(INDEX($AJ$2:$AJ$1001,MATCH(ROWS($AH$2:AH888),$AH$2:$AH$1001,0),0), INDEX($AO$1004:$BQ$1004,1,MATCH(COLUMNS($AO$1006:AY1006),$AO$1006:$BQ$1006,0)))),"Fix")))</f>
        <v>#N/A</v>
      </c>
      <c r="M888" s="5" t="e">
        <f ca="1">IF(OR(INDEX($AI$2:$AI$1001,MATCH(ROWS($AH$2:AH888),$AH$2:$AH$1001,0),1)&gt;=100000,INDEX($AO$1005:$BQ$1005,1,MATCH(COLUMNS($AO$1006:AZ1006),$AO$1006:$BQ$1006,0))&gt;=100000), " ",IF(INDEX($AO$2:$BQ$1001,MATCH(ROWS($AH$2:AH888),$AH$2:$AH$1001,0),MATCH(COLUMNS($AO$1006:AZ1006),$AO$1006:$BQ$1006,0)), HYPERLINK("#",""), HYPERLINK(CONCATENATE("#Metadata!", ADDRESS(INDEX($AJ$2:$AJ$1001,MATCH(ROWS($AH$2:AH888),$AH$2:$AH$1001,0),0), INDEX($AO$1004:$BQ$1004,1,MATCH(COLUMNS($AO$1006:AZ1006),$AO$1006:$BQ$1006,0)))),"Fix")))</f>
        <v>#N/A</v>
      </c>
      <c r="N888" s="5" t="e">
        <f ca="1">IF(OR(INDEX($AI$2:$AI$1001,MATCH(ROWS($AH$2:AH888),$AH$2:$AH$1001,0),1)&gt;=100000,INDEX($AO$1005:$BQ$1005,1,MATCH(COLUMNS($AO$1006:BA1006),$AO$1006:$BQ$1006,0))&gt;=100000), " ",IF(INDEX($AO$2:$BQ$1001,MATCH(ROWS($AH$2:AH888),$AH$2:$AH$1001,0),MATCH(COLUMNS($AO$1006:BA1006),$AO$1006:$BQ$1006,0)), HYPERLINK("#",""), HYPERLINK(CONCATENATE("#Metadata!", ADDRESS(INDEX($AJ$2:$AJ$1001,MATCH(ROWS($AH$2:AH888),$AH$2:$AH$1001,0),0), INDEX($AO$1004:$BQ$1004,1,MATCH(COLUMNS($AO$1006:BA1006),$AO$1006:$BQ$1006,0)))),"Fix")))</f>
        <v>#N/A</v>
      </c>
      <c r="O888" s="5" t="e">
        <f ca="1">IF(OR(INDEX($AI$2:$AI$1001,MATCH(ROWS($AH$2:AH888),$AH$2:$AH$1001,0),1)&gt;=100000,INDEX($AO$1005:$BQ$1005,1,MATCH(COLUMNS($AO$1006:BB1006),$AO$1006:$BQ$1006,0))&gt;=100000), " ",IF(INDEX($AO$2:$BQ$1001,MATCH(ROWS($AH$2:AH888),$AH$2:$AH$1001,0),MATCH(COLUMNS($AO$1006:BB1006),$AO$1006:$BQ$1006,0)), HYPERLINK("#",""), HYPERLINK(CONCATENATE("#Metadata!", ADDRESS(INDEX($AJ$2:$AJ$1001,MATCH(ROWS($AH$2:AH888),$AH$2:$AH$1001,0),0), INDEX($AO$1004:$BQ$1004,1,MATCH(COLUMNS($AO$1006:BB1006),$AO$1006:$BQ$1006,0)))),"Fix")))</f>
        <v>#N/A</v>
      </c>
      <c r="P888" s="5" t="e">
        <f ca="1">IF(OR(INDEX($AI$2:$AI$1001,MATCH(ROWS($AH$2:AH888),$AH$2:$AH$1001,0),1)&gt;=100000,INDEX($AO$1005:$BQ$1005,1,MATCH(COLUMNS($AO$1006:BC1006),$AO$1006:$BQ$1006,0))&gt;=100000), " ",IF(INDEX($AO$2:$BQ$1001,MATCH(ROWS($AH$2:AH888),$AH$2:$AH$1001,0),MATCH(COLUMNS($AO$1006:BC1006),$AO$1006:$BQ$1006,0)), HYPERLINK("#",""), HYPERLINK(CONCATENATE("#Metadata!", ADDRESS(INDEX($AJ$2:$AJ$1001,MATCH(ROWS($AH$2:AH888),$AH$2:$AH$1001,0),0), INDEX($AO$1004:$BQ$1004,1,MATCH(COLUMNS($AO$1006:BC1006),$AO$1006:$BQ$1006,0)))),"Fix")))</f>
        <v>#N/A</v>
      </c>
      <c r="Q888" s="5" t="e">
        <f ca="1">IF(OR(INDEX($AI$2:$AI$1001,MATCH(ROWS($AH$2:AH888),$AH$2:$AH$1001,0),1)&gt;=100000,INDEX($AO$1005:$BQ$1005,1,MATCH(COLUMNS($AO$1006:BD1006),$AO$1006:$BQ$1006,0))&gt;=100000), " ",IF(INDEX($AO$2:$BQ$1001,MATCH(ROWS($AH$2:AH888),$AH$2:$AH$1001,0),MATCH(COLUMNS($AO$1006:BD1006),$AO$1006:$BQ$1006,0)), HYPERLINK("#",""), HYPERLINK(CONCATENATE("#Metadata!", ADDRESS(INDEX($AJ$2:$AJ$1001,MATCH(ROWS($AH$2:AH888),$AH$2:$AH$1001,0),0), INDEX($AO$1004:$BQ$1004,1,MATCH(COLUMNS($AO$1006:BD1006),$AO$1006:$BQ$1006,0)))),"Fix")))</f>
        <v>#N/A</v>
      </c>
      <c r="R888" s="5" t="e">
        <f ca="1">IF(OR(INDEX($AI$2:$AI$1001,MATCH(ROWS($AH$2:AH888),$AH$2:$AH$1001,0),1)&gt;=100000,INDEX($AO$1005:$BQ$1005,1,MATCH(COLUMNS($AO$1006:BE1006),$AO$1006:$BQ$1006,0))&gt;=100000), " ",IF(INDEX($AO$2:$BQ$1001,MATCH(ROWS($AH$2:AH888),$AH$2:$AH$1001,0),MATCH(COLUMNS($AO$1006:BE1006),$AO$1006:$BQ$1006,0)), HYPERLINK("#",""), HYPERLINK(CONCATENATE("#Metadata!", ADDRESS(INDEX($AJ$2:$AJ$1001,MATCH(ROWS($AH$2:AH888),$AH$2:$AH$1001,0),0), INDEX($AO$1004:$BQ$1004,1,MATCH(COLUMNS($AO$1006:BE1006),$AO$1006:$BQ$1006,0)))),"Fix")))</f>
        <v>#N/A</v>
      </c>
      <c r="S888" s="5" t="e">
        <f ca="1">IF(OR(INDEX($AI$2:$AI$1001,MATCH(ROWS($AH$2:AH888),$AH$2:$AH$1001,0),1)&gt;=100000,INDEX($AO$1005:$BQ$1005,1,MATCH(COLUMNS($AO$1006:BF1006),$AO$1006:$BQ$1006,0))&gt;=100000), " ",IF(INDEX($AO$2:$BQ$1001,MATCH(ROWS($AH$2:AH888),$AH$2:$AH$1001,0),MATCH(COLUMNS($AO$1006:BF1006),$AO$1006:$BQ$1006,0)), HYPERLINK("#",""), HYPERLINK(CONCATENATE("#Metadata!", ADDRESS(INDEX($AJ$2:$AJ$1001,MATCH(ROWS($AH$2:AH888),$AH$2:$AH$1001,0),0), INDEX($AO$1004:$BQ$1004,1,MATCH(COLUMNS($AO$1006:BF1006),$AO$1006:$BQ$1006,0)))),"Fix")))</f>
        <v>#N/A</v>
      </c>
      <c r="T888" s="5" t="e">
        <f ca="1">IF(OR(INDEX($AI$2:$AI$1001,MATCH(ROWS($AH$2:AH888),$AH$2:$AH$1001,0),1)&gt;=100000,INDEX($AO$1005:$BQ$1005,1,MATCH(COLUMNS($AO$1006:BG1006),$AO$1006:$BQ$1006,0))&gt;=100000), " ",IF(INDEX($AO$2:$BQ$1001,MATCH(ROWS($AH$2:AH888),$AH$2:$AH$1001,0),MATCH(COLUMNS($AO$1006:BG1006),$AO$1006:$BQ$1006,0)), HYPERLINK("#",""), HYPERLINK(CONCATENATE("#Metadata!", ADDRESS(INDEX($AJ$2:$AJ$1001,MATCH(ROWS($AH$2:AH888),$AH$2:$AH$1001,0),0), INDEX($AO$1004:$BQ$1004,1,MATCH(COLUMNS($AO$1006:BG1006),$AO$1006:$BQ$1006,0)))),"Fix")))</f>
        <v>#N/A</v>
      </c>
      <c r="U888" s="5" t="e">
        <f ca="1">IF(OR(INDEX($AI$2:$AI$1001,MATCH(ROWS($AH$2:AH888),$AH$2:$AH$1001,0),1)&gt;=100000,INDEX($AO$1005:$BQ$1005,1,MATCH(COLUMNS($AO$1006:BH1006),$AO$1006:$BQ$1006,0))&gt;=100000), " ",IF(INDEX($AO$2:$BQ$1001,MATCH(ROWS($AH$2:AH888),$AH$2:$AH$1001,0),MATCH(COLUMNS($AO$1006:BH1006),$AO$1006:$BQ$1006,0)), HYPERLINK("#",""), HYPERLINK(CONCATENATE("#Metadata!", ADDRESS(INDEX($AJ$2:$AJ$1001,MATCH(ROWS($AH$2:AH888),$AH$2:$AH$1001,0),0), INDEX($AO$1004:$BQ$1004,1,MATCH(COLUMNS($AO$1006:BH1006),$AO$1006:$BQ$1006,0)))),"Fix")))</f>
        <v>#N/A</v>
      </c>
      <c r="V888" s="5" t="e">
        <f ca="1">IF(OR(INDEX($AI$2:$AI$1001,MATCH(ROWS($AH$2:AH888),$AH$2:$AH$1001,0),1)&gt;=100000,INDEX($AO$1005:$BQ$1005,1,MATCH(COLUMNS($AO$1006:BI1006),$AO$1006:$BQ$1006,0))&gt;=100000), " ",IF(INDEX($AO$2:$BQ$1001,MATCH(ROWS($AH$2:AH888),$AH$2:$AH$1001,0),MATCH(COLUMNS($AO$1006:BI1006),$AO$1006:$BQ$1006,0)), HYPERLINK("#",""), HYPERLINK(CONCATENATE("#Metadata!", ADDRESS(INDEX($AJ$2:$AJ$1001,MATCH(ROWS($AH$2:AH888),$AH$2:$AH$1001,0),0), INDEX($AO$1004:$BQ$1004,1,MATCH(COLUMNS($AO$1006:BI1006),$AO$1006:$BQ$1006,0)))),"Fix")))</f>
        <v>#N/A</v>
      </c>
      <c r="W888" s="5" t="e">
        <f ca="1">IF(OR(INDEX($AI$2:$AI$1001,MATCH(ROWS($AH$2:AH888),$AH$2:$AH$1001,0),1)&gt;=100000,INDEX($AO$1005:$BQ$1005,1,MATCH(COLUMNS($AO$1006:BJ1006),$AO$1006:$BQ$1006,0))&gt;=100000), " ",IF(INDEX($AO$2:$BQ$1001,MATCH(ROWS($AH$2:AH888),$AH$2:$AH$1001,0),MATCH(COLUMNS($AO$1006:BJ1006),$AO$1006:$BQ$1006,0)), HYPERLINK("#",""), HYPERLINK(CONCATENATE("#Metadata!", ADDRESS(INDEX($AJ$2:$AJ$1001,MATCH(ROWS($AH$2:AH888),$AH$2:$AH$1001,0),0), INDEX($AO$1004:$BQ$1004,1,MATCH(COLUMNS($AO$1006:BJ1006),$AO$1006:$BQ$1006,0)))),"Fix")))</f>
        <v>#N/A</v>
      </c>
      <c r="X888" s="5" t="e">
        <f ca="1">IF(OR(INDEX($AI$2:$AI$1001,MATCH(ROWS($AH$2:AH888),$AH$2:$AH$1001,0),1)&gt;=100000,INDEX($AO$1005:$BQ$1005,1,MATCH(COLUMNS($AO$1006:BK1006),$AO$1006:$BQ$1006,0))&gt;=100000), " ",IF(INDEX($AO$2:$BQ$1001,MATCH(ROWS($AH$2:AH888),$AH$2:$AH$1001,0),MATCH(COLUMNS($AO$1006:BK1006),$AO$1006:$BQ$1006,0)), HYPERLINK("#",""), HYPERLINK(CONCATENATE("#Metadata!", ADDRESS(INDEX($AJ$2:$AJ$1001,MATCH(ROWS($AH$2:AH888),$AH$2:$AH$1001,0),0), INDEX($AO$1004:$BQ$1004,1,MATCH(COLUMNS($AO$1006:BK1006),$AO$1006:$BQ$1006,0)))),"Fix")))</f>
        <v>#N/A</v>
      </c>
      <c r="Y888" s="5" t="e">
        <f ca="1">IF(OR(INDEX($AI$2:$AI$1001,MATCH(ROWS($AH$2:AH888),$AH$2:$AH$1001,0),1)&gt;=100000,INDEX($AO$1005:$BQ$1005,1,MATCH(COLUMNS($AO$1006:BL1006),$AO$1006:$BQ$1006,0))&gt;=100000), " ",IF(INDEX($AO$2:$BQ$1001,MATCH(ROWS($AH$2:AH888),$AH$2:$AH$1001,0),MATCH(COLUMNS($AO$1006:BL1006),$AO$1006:$BQ$1006,0)), HYPERLINK("#",""), HYPERLINK(CONCATENATE("#Metadata!", ADDRESS(INDEX($AJ$2:$AJ$1001,MATCH(ROWS($AH$2:AH888),$AH$2:$AH$1001,0),0), INDEX($AO$1004:$BQ$1004,1,MATCH(COLUMNS($AO$1006:BL1006),$AO$1006:$BQ$1006,0)))),"Fix")))</f>
        <v>#N/A</v>
      </c>
      <c r="Z888" s="5" t="e">
        <f ca="1">IF(OR(INDEX($AI$2:$AI$1001,MATCH(ROWS($AH$2:AH888),$AH$2:$AH$1001,0),1)&gt;=100000,INDEX($AO$1005:$BQ$1005,1,MATCH(COLUMNS($AO$1006:BM1006),$AO$1006:$BQ$1006,0))&gt;=100000), " ",IF(INDEX($AO$2:$BQ$1001,MATCH(ROWS($AH$2:AH888),$AH$2:$AH$1001,0),MATCH(COLUMNS($AO$1006:BM1006),$AO$1006:$BQ$1006,0)), HYPERLINK("#",""), HYPERLINK(CONCATENATE("#Metadata!", ADDRESS(INDEX($AJ$2:$AJ$1001,MATCH(ROWS($AH$2:AH888),$AH$2:$AH$1001,0),0), INDEX($AO$1004:$BQ$1004,1,MATCH(COLUMNS($AO$1006:BM1006),$AO$1006:$BQ$1006,0)))),"Fix")))</f>
        <v>#N/A</v>
      </c>
      <c r="AA888" s="5" t="e">
        <f ca="1">IF(OR(INDEX($AI$2:$AI$1001,MATCH(ROWS($AH$2:AH888),$AH$2:$AH$1001,0),1)&gt;=100000,INDEX($AO$1005:$BQ$1005,1,MATCH(COLUMNS($AO$1006:BN1006),$AO$1006:$BQ$1006,0))&gt;=100000), " ",IF(INDEX($AO$2:$BQ$1001,MATCH(ROWS($AH$2:AH888),$AH$2:$AH$1001,0),MATCH(COLUMNS($AO$1006:BN1006),$AO$1006:$BQ$1006,0)), HYPERLINK("#",""), HYPERLINK(CONCATENATE("#Metadata!", ADDRESS(INDEX($AJ$2:$AJ$1001,MATCH(ROWS($AH$2:AH888),$AH$2:$AH$1001,0),0), INDEX($AO$1004:$BQ$1004,1,MATCH(COLUMNS($AO$1006:BN1006),$AO$1006:$BQ$1006,0)))),"Fix")))</f>
        <v>#N/A</v>
      </c>
      <c r="AB888" s="5" t="e">
        <f ca="1">IF(OR(INDEX($AI$2:$AI$1001,MATCH(ROWS($AH$2:AH888),$AH$2:$AH$1001,0),1)&gt;=100000,INDEX($AO$1005:$BQ$1005,1,MATCH(COLUMNS($AO$1006:BO1006),$AO$1006:$BQ$1006,0))&gt;=100000), " ",IF(INDEX($AO$2:$BQ$1001,MATCH(ROWS($AH$2:AH888),$AH$2:$AH$1001,0),MATCH(COLUMNS($AO$1006:BO1006),$AO$1006:$BQ$1006,0)), HYPERLINK("#",""), HYPERLINK(CONCATENATE("#Metadata!", ADDRESS(INDEX($AJ$2:$AJ$1001,MATCH(ROWS($AH$2:AH888),$AH$2:$AH$1001,0),0), INDEX($AO$1004:$BQ$1004,1,MATCH(COLUMNS($AO$1006:BO1006),$AO$1006:$BQ$1006,0)))),"Fix")))</f>
        <v>#N/A</v>
      </c>
      <c r="AC888" s="5" t="e">
        <f ca="1">IF(OR(INDEX($AI$2:$AI$1001,MATCH(ROWS($AH$2:AH888),$AH$2:$AH$1001,0),1)&gt;=100000,INDEX($AO$1005:$BQ$1005,1,MATCH(COLUMNS($AO$1006:BP1006),$AO$1006:$BQ$1006,0))&gt;=100000), " ",IF(INDEX($AO$2:$BQ$1001,MATCH(ROWS($AH$2:AH888),$AH$2:$AH$1001,0),MATCH(COLUMNS($AO$1006:BP1006),$AO$1006:$BQ$1006,0)), HYPERLINK("#",""), HYPERLINK(CONCATENATE("#Metadata!", ADDRESS(INDEX($AJ$2:$AJ$1001,MATCH(ROWS($AH$2:AH888),$AH$2:$AH$1001,0),0), INDEX($AO$1004:$BQ$1004,1,MATCH(COLUMNS($AO$1006:BP1006),$AO$1006:$BQ$1006,0)))),"Fix")))</f>
        <v>#N/A</v>
      </c>
      <c r="AD888" s="5" t="e">
        <f ca="1">IF(OR(INDEX($AI$2:$AI$1001,MATCH(ROWS($AH$2:AH888),$AH$2:$AH$1001,0),1)&gt;=100000,INDEX($AO$1005:$BQ$1005,1,MATCH(COLUMNS($AO$1006:BQ1006),$AO$1006:$BQ$1006,0))&gt;=100000), " ",IF(INDEX($AO$2:$BQ$1001,MATCH(ROWS($AH$2:AH888),$AH$2:$AH$1001,0),MATCH(COLUMNS($AO$1006:BQ1006),$AO$1006:$BQ$1006,0)), HYPERLINK("#",""), HYPERLINK(CONCATENATE("#Metadata!", ADDRESS(INDEX($AJ$2:$AJ$1001,MATCH(ROWS($AH$2:AH888),$AH$2:$AH$1001,0),0), INDEX($AO$1004:$BQ$1004,1,MATCH(COLUMNS($AO$1006:BQ1006),$AO$1006:$BQ$1006,0)))),"Fix")))</f>
        <v>#REF!</v>
      </c>
      <c r="AH888">
        <f ca="1"/>
        <v>885</v>
      </c>
      <c r="AI888">
        <v>100888</v>
      </c>
      <c r="AJ888">
        <v>888</v>
      </c>
      <c r="AK888" t="b">
        <f t="shared" si="13"/>
        <v>1</v>
      </c>
      <c r="AL888" t="b">
        <f>COUNTBLANK(Metadata!B888:AD888)=COLUMNS(Metadata!B888:AD888)</f>
        <v>1</v>
      </c>
      <c r="AM888" t="str">
        <v/>
      </c>
      <c r="AO888" t="b">
        <f ca="1">AND(IF(Metadata!B888="",FALSE,TRUE),COUNTIF(Metadata!B:B, Metadata!B888) = 1,NOT(ISERROR(SUMPRODUCT(SEARCH(MID(Metadata!B888,ROW(INDIRECT("1:"&amp;LEN(Metadata!B888))), 1),"0123456789abcdefghijklmnopqrstuvwxyzABCDEFGHIJKLMNOPQRSTUVWXYZ.")))))</f>
        <v>0</v>
      </c>
      <c r="AP888" t="b">
        <f>IF(Metadata!C888="",FALSE,TRUE)</f>
        <v>0</v>
      </c>
      <c r="AQ888" t="b">
        <f>IF(Metadata!D888="",FALSE,TRUE)</f>
        <v>0</v>
      </c>
      <c r="AR888" t="b">
        <f ca="1">OR(AND(IF(Metadata!E888="",FALSE,TRUE),OR(EXACT(Metadata!E888,"not collected"),EXACT(Metadata!E888,"not provided"),EXACT(Metadata!E888,"restricted access"))),AND(IF(Metadata!E888="",FALSE,TRUE),AND(AND(IFERROR(INT(LEFT(Metadata!E888,4))&gt;1900,FALSE),IFERROR(INT(LEFT(Metadata!E888,4))&lt;=YEAR(NOW()),FALSE)), OR(MID(Metadata!E888,5,1)="", AND(AND(MID(Metadata!E888,5,1)="-",IFERROR(INT(MID(Metadata!E888,6,1))&gt;=0,FALSE),IFERROR(INT(MID(Metadata!E888,6,1))&lt;=1,FALSE),NOT(MID(Metadata!E888,7,1)=""),IFERROR(INT(MID(Metadata!E888,6,2))&gt;=1,FALSE),IFERROR(INT(MID(Metadata!E888,6,2))&lt;=12,FALSE)), OR(MID(Metadata!E888,8,1)="", AND(AND(MID(Metadata!E888,8,1)="-",IFERROR(INT(MID(Metadata!E888,9,1))&gt;=0,FALSE),IFERROR(INT(MID(Metadata!E888,9,1))&lt;=3,FALSE),NOT(MID(Metadata!E888,10,1)=""),IFERROR(INT(MID(Metadata!E888,9,2))&gt;=1,FALSE),IFERROR(INT(MID(Metadata!E888,9,2))&lt;=31,FALSE)), OR(MID(Metadata!E888,11,1)="", AND(AND(MID(Metadata!E888,11,1)=" ",IFERROR(INT(MID(Metadata!E888,12,1))&gt;=0,FALSE),IFERROR(INT(MID(Metadata!E888,12,1))&lt;=2,FALSE),NOT(MID(Metadata!E888,13,1)=""),IFERROR(INT(MID(Metadata!E888,12,2))&gt;=0,FALSE),IFERROR(INT(MID(Metadata!E888,12,2))&lt;=23,FALSE)), OR(MID(Metadata!E888,14,1)="", AND(AND(MID(Metadata!E888,14,1)=":",IFERROR(INT(MID(Metadata!E888,15,1))&gt;=0,FALSE),IFERROR(INT(MID(Metadata!E888,15,1))&lt;=5,FALSE),NOT(MID(Metadata!E888,16,1)=""),IFERROR(INT(MID(Metadata!E888,15,2))&gt;=0,FALSE),IFERROR(INT(MID(Metadata!E888,15,2))&lt;=59,FALSE)), OR(MID(Metadata!E888,17,1)="", AND(AND(MID(Metadata!E888,17,1)=":",IFERROR(INT(MID(Metadata!E888,18,1))&gt;=0,FALSE),IFERROR(INT(MID(Metadata!E888,18,1))&lt;=5,FALSE),NOT(MID(Metadata!E888,19,1)=""),IFERROR(INT(MID(Metadata!E888,18,2))&gt;=0,FALSE),IFERROR(INT(MID(Metadata!E888,18,2))&lt;=59,FALSE)), LEN(Metadata!E888)&lt;=19)))))))))))))</f>
        <v>0</v>
      </c>
      <c r="AS888" t="b">
        <f>IF(Metadata!F888="",FALSE,TRUE)</f>
        <v>0</v>
      </c>
      <c r="AT888" t="b">
        <f>OR(AND(IF(Metadata!G888="",FALSE,TRUE),OR(EXACT(Metadata!G888,"not collected"),EXACT(Metadata!G888,"not provided"))),AND(IF(Metadata!G888="",FALSE,TRUE),OR(EXACT(Metadata!G888,"TRUE"),EXACT(Metadata!G888,"FALSE"))))</f>
        <v>0</v>
      </c>
      <c r="AU888" t="b">
        <f>OR(AND(IF(Metadata!H888="",FALSE,TRUE),OR(EXACT(Metadata!H888,"not collected"),EXACT(Metadata!H888,"not provided"),EXACT(Metadata!H888,"restricted access"))),AND(IF(Metadata!H888="",FALSE,ISNUMBER(VALUE(Metadata!H888))),Metadata!H888&gt;=-413))</f>
        <v>0</v>
      </c>
      <c r="AV888" t="b">
        <f>AND(IF(Metadata!I888="",FALSE,TRUE),EXACT(Metadata!I888,"meters"))</f>
        <v>0</v>
      </c>
      <c r="AW888" t="b">
        <f>AND(IF(Metadata!J888="",FALSE,TRUE),EXACT(Metadata!J888,"free-living"))</f>
        <v>0</v>
      </c>
      <c r="AX888" t="b">
        <f>AND(IF(Metadata!K888="",FALSE,TRUE),OR(EXACT(Metadata!K888,"saline"),EXACT(Metadata!K888,"non-saline")))</f>
        <v>0</v>
      </c>
      <c r="AY888" t="b">
        <f>AND(IF(Metadata!L888="",FALSE,TRUE),OR(EXACT(Metadata!L888,"sub-surface (non-saline)"),EXACT(Metadata!L888,"surface (non-saline)"),EXACT(Metadata!L888,"water (non-saline)"),EXACT(Metadata!L888,"soil (non-saline)"),EXACT(Metadata!L888,"aerosol (non-saline)"),EXACT(Metadata!L888,"sediment (non-saline)"),EXACT(Metadata!L888,"surface (saline)"),EXACT(Metadata!L888,"water (saline)"),EXACT(Metadata!L888,"hypersaline (saline)"),EXACT(Metadata!L888,"aerosol (saline)"),EXACT(Metadata!L888,"sediment (saline)")))</f>
        <v>0</v>
      </c>
      <c r="AZ888" t="b">
        <f>IF(Metadata!M888="",FALSE,TRUE)</f>
        <v>0</v>
      </c>
      <c r="BA888" t="b">
        <f>IF(Metadata!N888="",FALSE,TRUE)</f>
        <v>0</v>
      </c>
      <c r="BB888" t="b">
        <f>IF(Metadata!O888="",FALSE,TRUE)</f>
        <v>0</v>
      </c>
      <c r="BC888" t="b">
        <f>AND(IF(Metadata!P888="",FALSE,TRUE),OR(EXACT(Metadata!P888,"air"),EXACT(Metadata!P888,"microbial mat/biofilm"),EXACT(Metadata!P888,"misc environment"),EXACT(Metadata!P888,"sediment"),EXACT(Metadata!P888,"soil"),EXACT(Metadata!P888,"wastewater/sludge"),EXACT(Metadata!P888,"water")))</f>
        <v>0</v>
      </c>
      <c r="BD888" t="b">
        <f>IF(Metadata!Q888="",FALSE,TRUE)</f>
        <v>0</v>
      </c>
      <c r="BE888" t="b">
        <f>IF(Metadata!R888="",FALSE,TRUE)</f>
        <v>0</v>
      </c>
      <c r="BF888" t="b">
        <f>OR(AND(IF(Metadata!S888="",FALSE,TRUE),OR(EXACT(Metadata!S888,"not collected"),EXACT(Metadata!S888,"not provided"),EXACT(Metadata!S888,"restricted access"))),AND(IF(Metadata!S888="",FALSE,ISNUMBER(VALUE(Metadata!S888))),Metadata!S888&gt;=-90,Metadata!S888&lt;=90))</f>
        <v>0</v>
      </c>
      <c r="BG888" t="b">
        <f>AND(IF(Metadata!T888="",FALSE,TRUE),EXACT(Metadata!T888,"Decimal degrees"))</f>
        <v>0</v>
      </c>
      <c r="BH888" t="b">
        <f>OR(AND(IF(Metadata!U888="",FALSE,TRUE),OR(EXACT(Metadata!U888,"not applicable"),EXACT(Metadata!U888,"not collected"))),IF(Metadata!U888="",FALSE,TRUE))</f>
        <v>0</v>
      </c>
      <c r="BI888" t="b">
        <f>OR(AND(IF(Metadata!V888="",FALSE,TRUE),OR(EXACT(Metadata!V888,"not collected"),EXACT(Metadata!V888,"not provided"),EXACT(Metadata!V888,"restricted access"))),AND(IF(Metadata!V888="",FALSE,ISNUMBER(VALUE(Metadata!V888))),Metadata!V888&gt;=-180,Metadata!V888&lt;=180))</f>
        <v>0</v>
      </c>
      <c r="BJ888" t="b">
        <f>AND(IF(Metadata!W888="",FALSE,TRUE),EXACT(Metadata!W888,"Decimal degrees"))</f>
        <v>0</v>
      </c>
      <c r="BK888" t="b">
        <f>IF(Metadata!X888="",FALSE,TRUE)</f>
        <v>0</v>
      </c>
      <c r="BL888" t="b">
        <f>OR(AND(IF(Metadata!Y888="",FALSE,TRUE),OR(EXACT(Metadata!Y888,"not collected"),EXACT(Metadata!Y888,"not provided"),EXACT(Metadata!Y888,"restricted access"))),AND(IF(Metadata!Y888="",FALSE,TRUE),OR(EXACT(Metadata!Y888,"TRUE"),EXACT(Metadata!Y888,"FALSE"))))</f>
        <v>0</v>
      </c>
      <c r="BM888" t="b">
        <f>OR(AND(IF(Metadata!Z888="",FALSE,TRUE),EXACT(Metadata!Z888,"not applicable")),AND(IF(Metadata!Z888="",FALSE,TRUE),OR(EXACT(Metadata!Z888,"beer"),EXACT(Metadata!Z888,"cheese"),EXACT(Metadata!Z888,"fresh water"),EXACT(Metadata!Z888,"marine sediment"),EXACT(Metadata!Z888,"sea water"),EXACT(Metadata!Z888,"sediment"),EXACT(Metadata!Z888,"soil"),EXACT(Metadata!Z888,"waste water"))))</f>
        <v>0</v>
      </c>
      <c r="BN888" t="b">
        <f>AND(IF(Metadata!AA888="",FALSE,TRUE),EXACT(Metadata!AA888,"metagenome"))</f>
        <v>0</v>
      </c>
      <c r="BO888" t="b">
        <f>AND(IF(Metadata!AB888="",FALSE,TRUE),EXACT(Metadata!AB888,"256318"))</f>
        <v>0</v>
      </c>
      <c r="BP888" t="b">
        <f>IF(Metadata!AC888="",FALSE,TRUE)</f>
        <v>0</v>
      </c>
      <c r="BQ888" t="b">
        <f>IF(Metadata!AD888="",FALSE,TRUE)</f>
        <v>0</v>
      </c>
    </row>
    <row r="889" spans="1:69" x14ac:dyDescent="0.2">
      <c r="A889" s="4" t="e">
        <f ca="1">IF(B889=" "," ",HYPERLINK(CONCATENATE("#metadata!",ADDRESS(INDEX($AJ$2:$AJ$1001,MATCH(ROWS($AH$2:AH889),$AH$2:$AH$1001,0),0),2)),INDEX($AM$2:$AM$1001,MATCH(ROWS($AH$2:AH889),$AH$2:$AH$1001,0),0)))</f>
        <v>#N/A</v>
      </c>
      <c r="B889" s="5" t="e">
        <f ca="1">IF(OR(INDEX($AI$2:$AI$1001,MATCH(ROWS($AH$2:AH889),$AH$2:$AH$1001,0),1)&gt;=100000,INDEX($AO$1005:$BQ$1005,1,MATCH(COLUMNS($AO$1006:AO1006),$AO$1006:$BQ$1006,0))&gt;=100000), " ",IF(INDEX($AO$2:$BQ$1001,MATCH(ROWS($AH$2:AH889),$AH$2:$AH$1001,0),MATCH(COLUMNS($AO$1006:AO1006),$AO$1006:$BQ$1006,0)), HYPERLINK("#",""), HYPERLINK(CONCATENATE("#Metadata!", ADDRESS(INDEX($AJ$2:$AJ$1001,MATCH(ROWS($AH$2:AH889),$AH$2:$AH$1001,0),0), INDEX($AO$1004:$BQ$1004,1,MATCH(COLUMNS($AO$1006:AO1006),$AO$1006:$BQ$1006,0)))),"Fix")))</f>
        <v>#N/A</v>
      </c>
      <c r="C889" s="5" t="e">
        <f ca="1">IF(OR(INDEX($AI$2:$AI$1001,MATCH(ROWS($AH$2:AH889),$AH$2:$AH$1001,0),1)&gt;=100000,INDEX($AO$1005:$BQ$1005,1,MATCH(COLUMNS($AO$1006:AP1006),$AO$1006:$BQ$1006,0))&gt;=100000), " ",IF(INDEX($AO$2:$BQ$1001,MATCH(ROWS($AH$2:AH889),$AH$2:$AH$1001,0),MATCH(COLUMNS($AO$1006:AP1006),$AO$1006:$BQ$1006,0)), HYPERLINK("#",""), HYPERLINK(CONCATENATE("#Metadata!", ADDRESS(INDEX($AJ$2:$AJ$1001,MATCH(ROWS($AH$2:AH889),$AH$2:$AH$1001,0),0), INDEX($AO$1004:$BQ$1004,1,MATCH(COLUMNS($AO$1006:AP1006),$AO$1006:$BQ$1006,0)))),"Fix")))</f>
        <v>#N/A</v>
      </c>
      <c r="D889" s="5" t="e">
        <f ca="1">IF(OR(INDEX($AI$2:$AI$1001,MATCH(ROWS($AH$2:AH889),$AH$2:$AH$1001,0),1)&gt;=100000,INDEX($AO$1005:$BQ$1005,1,MATCH(COLUMNS($AO$1006:AQ1006),$AO$1006:$BQ$1006,0))&gt;=100000), " ",IF(INDEX($AO$2:$BQ$1001,MATCH(ROWS($AH$2:AH889),$AH$2:$AH$1001,0),MATCH(COLUMNS($AO$1006:AQ1006),$AO$1006:$BQ$1006,0)), HYPERLINK("#",""), HYPERLINK(CONCATENATE("#Metadata!", ADDRESS(INDEX($AJ$2:$AJ$1001,MATCH(ROWS($AH$2:AH889),$AH$2:$AH$1001,0),0), INDEX($AO$1004:$BQ$1004,1,MATCH(COLUMNS($AO$1006:AQ1006),$AO$1006:$BQ$1006,0)))),"Fix")))</f>
        <v>#N/A</v>
      </c>
      <c r="E889" s="5" t="e">
        <f ca="1">IF(OR(INDEX($AI$2:$AI$1001,MATCH(ROWS($AH$2:AH889),$AH$2:$AH$1001,0),1)&gt;=100000,INDEX($AO$1005:$BQ$1005,1,MATCH(COLUMNS($AO$1006:AR1006),$AO$1006:$BQ$1006,0))&gt;=100000), " ",IF(INDEX($AO$2:$BQ$1001,MATCH(ROWS($AH$2:AH889),$AH$2:$AH$1001,0),MATCH(COLUMNS($AO$1006:AR1006),$AO$1006:$BQ$1006,0)), HYPERLINK("#",""), HYPERLINK(CONCATENATE("#Metadata!", ADDRESS(INDEX($AJ$2:$AJ$1001,MATCH(ROWS($AH$2:AH889),$AH$2:$AH$1001,0),0), INDEX($AO$1004:$BQ$1004,1,MATCH(COLUMNS($AO$1006:AR1006),$AO$1006:$BQ$1006,0)))),"Fix")))</f>
        <v>#N/A</v>
      </c>
      <c r="F889" s="5" t="e">
        <f ca="1">IF(OR(INDEX($AI$2:$AI$1001,MATCH(ROWS($AH$2:AH889),$AH$2:$AH$1001,0),1)&gt;=100000,INDEX($AO$1005:$BQ$1005,1,MATCH(COLUMNS($AO$1006:AS1006),$AO$1006:$BQ$1006,0))&gt;=100000), " ",IF(INDEX($AO$2:$BQ$1001,MATCH(ROWS($AH$2:AH889),$AH$2:$AH$1001,0),MATCH(COLUMNS($AO$1006:AS1006),$AO$1006:$BQ$1006,0)), HYPERLINK("#",""), HYPERLINK(CONCATENATE("#Metadata!", ADDRESS(INDEX($AJ$2:$AJ$1001,MATCH(ROWS($AH$2:AH889),$AH$2:$AH$1001,0),0), INDEX($AO$1004:$BQ$1004,1,MATCH(COLUMNS($AO$1006:AS1006),$AO$1006:$BQ$1006,0)))),"Fix")))</f>
        <v>#N/A</v>
      </c>
      <c r="G889" s="5" t="e">
        <f ca="1">IF(OR(INDEX($AI$2:$AI$1001,MATCH(ROWS($AH$2:AH889),$AH$2:$AH$1001,0),1)&gt;=100000,INDEX($AO$1005:$BQ$1005,1,MATCH(COLUMNS($AO$1006:AT1006),$AO$1006:$BQ$1006,0))&gt;=100000), " ",IF(INDEX($AO$2:$BQ$1001,MATCH(ROWS($AH$2:AH889),$AH$2:$AH$1001,0),MATCH(COLUMNS($AO$1006:AT1006),$AO$1006:$BQ$1006,0)), HYPERLINK("#",""), HYPERLINK(CONCATENATE("#Metadata!", ADDRESS(INDEX($AJ$2:$AJ$1001,MATCH(ROWS($AH$2:AH889),$AH$2:$AH$1001,0),0), INDEX($AO$1004:$BQ$1004,1,MATCH(COLUMNS($AO$1006:AT1006),$AO$1006:$BQ$1006,0)))),"Fix")))</f>
        <v>#N/A</v>
      </c>
      <c r="H889" s="5" t="e">
        <f ca="1">IF(OR(INDEX($AI$2:$AI$1001,MATCH(ROWS($AH$2:AH889),$AH$2:$AH$1001,0),1)&gt;=100000,INDEX($AO$1005:$BQ$1005,1,MATCH(COLUMNS($AO$1006:AU1006),$AO$1006:$BQ$1006,0))&gt;=100000), " ",IF(INDEX($AO$2:$BQ$1001,MATCH(ROWS($AH$2:AH889),$AH$2:$AH$1001,0),MATCH(COLUMNS($AO$1006:AU1006),$AO$1006:$BQ$1006,0)), HYPERLINK("#",""), HYPERLINK(CONCATENATE("#Metadata!", ADDRESS(INDEX($AJ$2:$AJ$1001,MATCH(ROWS($AH$2:AH889),$AH$2:$AH$1001,0),0), INDEX($AO$1004:$BQ$1004,1,MATCH(COLUMNS($AO$1006:AU1006),$AO$1006:$BQ$1006,0)))),"Fix")))</f>
        <v>#N/A</v>
      </c>
      <c r="I889" s="5" t="e">
        <f ca="1">IF(OR(INDEX($AI$2:$AI$1001,MATCH(ROWS($AH$2:AH889),$AH$2:$AH$1001,0),1)&gt;=100000,INDEX($AO$1005:$BQ$1005,1,MATCH(COLUMNS($AO$1006:AV1006),$AO$1006:$BQ$1006,0))&gt;=100000), " ",IF(INDEX($AO$2:$BQ$1001,MATCH(ROWS($AH$2:AH889),$AH$2:$AH$1001,0),MATCH(COLUMNS($AO$1006:AV1006),$AO$1006:$BQ$1006,0)), HYPERLINK("#",""), HYPERLINK(CONCATENATE("#Metadata!", ADDRESS(INDEX($AJ$2:$AJ$1001,MATCH(ROWS($AH$2:AH889),$AH$2:$AH$1001,0),0), INDEX($AO$1004:$BQ$1004,1,MATCH(COLUMNS($AO$1006:AV1006),$AO$1006:$BQ$1006,0)))),"Fix")))</f>
        <v>#N/A</v>
      </c>
      <c r="J889" s="5" t="e">
        <f ca="1">IF(OR(INDEX($AI$2:$AI$1001,MATCH(ROWS($AH$2:AH889),$AH$2:$AH$1001,0),1)&gt;=100000,INDEX($AO$1005:$BQ$1005,1,MATCH(COLUMNS($AO$1006:AW1006),$AO$1006:$BQ$1006,0))&gt;=100000), " ",IF(INDEX($AO$2:$BQ$1001,MATCH(ROWS($AH$2:AH889),$AH$2:$AH$1001,0),MATCH(COLUMNS($AO$1006:AW1006),$AO$1006:$BQ$1006,0)), HYPERLINK("#",""), HYPERLINK(CONCATENATE("#Metadata!", ADDRESS(INDEX($AJ$2:$AJ$1001,MATCH(ROWS($AH$2:AH889),$AH$2:$AH$1001,0),0), INDEX($AO$1004:$BQ$1004,1,MATCH(COLUMNS($AO$1006:AW1006),$AO$1006:$BQ$1006,0)))),"Fix")))</f>
        <v>#N/A</v>
      </c>
      <c r="K889" s="5" t="e">
        <f ca="1">IF(OR(INDEX($AI$2:$AI$1001,MATCH(ROWS($AH$2:AH889),$AH$2:$AH$1001,0),1)&gt;=100000,INDEX($AO$1005:$BQ$1005,1,MATCH(COLUMNS($AO$1006:AX1006),$AO$1006:$BQ$1006,0))&gt;=100000), " ",IF(INDEX($AO$2:$BQ$1001,MATCH(ROWS($AH$2:AH889),$AH$2:$AH$1001,0),MATCH(COLUMNS($AO$1006:AX1006),$AO$1006:$BQ$1006,0)), HYPERLINK("#",""), HYPERLINK(CONCATENATE("#Metadata!", ADDRESS(INDEX($AJ$2:$AJ$1001,MATCH(ROWS($AH$2:AH889),$AH$2:$AH$1001,0),0), INDEX($AO$1004:$BQ$1004,1,MATCH(COLUMNS($AO$1006:AX1006),$AO$1006:$BQ$1006,0)))),"Fix")))</f>
        <v>#N/A</v>
      </c>
      <c r="L889" s="5" t="e">
        <f ca="1">IF(OR(INDEX($AI$2:$AI$1001,MATCH(ROWS($AH$2:AH889),$AH$2:$AH$1001,0),1)&gt;=100000,INDEX($AO$1005:$BQ$1005,1,MATCH(COLUMNS($AO$1006:AY1006),$AO$1006:$BQ$1006,0))&gt;=100000), " ",IF(INDEX($AO$2:$BQ$1001,MATCH(ROWS($AH$2:AH889),$AH$2:$AH$1001,0),MATCH(COLUMNS($AO$1006:AY1006),$AO$1006:$BQ$1006,0)), HYPERLINK("#",""), HYPERLINK(CONCATENATE("#Metadata!", ADDRESS(INDEX($AJ$2:$AJ$1001,MATCH(ROWS($AH$2:AH889),$AH$2:$AH$1001,0),0), INDEX($AO$1004:$BQ$1004,1,MATCH(COLUMNS($AO$1006:AY1006),$AO$1006:$BQ$1006,0)))),"Fix")))</f>
        <v>#N/A</v>
      </c>
      <c r="M889" s="5" t="e">
        <f ca="1">IF(OR(INDEX($AI$2:$AI$1001,MATCH(ROWS($AH$2:AH889),$AH$2:$AH$1001,0),1)&gt;=100000,INDEX($AO$1005:$BQ$1005,1,MATCH(COLUMNS($AO$1006:AZ1006),$AO$1006:$BQ$1006,0))&gt;=100000), " ",IF(INDEX($AO$2:$BQ$1001,MATCH(ROWS($AH$2:AH889),$AH$2:$AH$1001,0),MATCH(COLUMNS($AO$1006:AZ1006),$AO$1006:$BQ$1006,0)), HYPERLINK("#",""), HYPERLINK(CONCATENATE("#Metadata!", ADDRESS(INDEX($AJ$2:$AJ$1001,MATCH(ROWS($AH$2:AH889),$AH$2:$AH$1001,0),0), INDEX($AO$1004:$BQ$1004,1,MATCH(COLUMNS($AO$1006:AZ1006),$AO$1006:$BQ$1006,0)))),"Fix")))</f>
        <v>#N/A</v>
      </c>
      <c r="N889" s="5" t="e">
        <f ca="1">IF(OR(INDEX($AI$2:$AI$1001,MATCH(ROWS($AH$2:AH889),$AH$2:$AH$1001,0),1)&gt;=100000,INDEX($AO$1005:$BQ$1005,1,MATCH(COLUMNS($AO$1006:BA1006),$AO$1006:$BQ$1006,0))&gt;=100000), " ",IF(INDEX($AO$2:$BQ$1001,MATCH(ROWS($AH$2:AH889),$AH$2:$AH$1001,0),MATCH(COLUMNS($AO$1006:BA1006),$AO$1006:$BQ$1006,0)), HYPERLINK("#",""), HYPERLINK(CONCATENATE("#Metadata!", ADDRESS(INDEX($AJ$2:$AJ$1001,MATCH(ROWS($AH$2:AH889),$AH$2:$AH$1001,0),0), INDEX($AO$1004:$BQ$1004,1,MATCH(COLUMNS($AO$1006:BA1006),$AO$1006:$BQ$1006,0)))),"Fix")))</f>
        <v>#N/A</v>
      </c>
      <c r="O889" s="5" t="e">
        <f ca="1">IF(OR(INDEX($AI$2:$AI$1001,MATCH(ROWS($AH$2:AH889),$AH$2:$AH$1001,0),1)&gt;=100000,INDEX($AO$1005:$BQ$1005,1,MATCH(COLUMNS($AO$1006:BB1006),$AO$1006:$BQ$1006,0))&gt;=100000), " ",IF(INDEX($AO$2:$BQ$1001,MATCH(ROWS($AH$2:AH889),$AH$2:$AH$1001,0),MATCH(COLUMNS($AO$1006:BB1006),$AO$1006:$BQ$1006,0)), HYPERLINK("#",""), HYPERLINK(CONCATENATE("#Metadata!", ADDRESS(INDEX($AJ$2:$AJ$1001,MATCH(ROWS($AH$2:AH889),$AH$2:$AH$1001,0),0), INDEX($AO$1004:$BQ$1004,1,MATCH(COLUMNS($AO$1006:BB1006),$AO$1006:$BQ$1006,0)))),"Fix")))</f>
        <v>#N/A</v>
      </c>
      <c r="P889" s="5" t="e">
        <f ca="1">IF(OR(INDEX($AI$2:$AI$1001,MATCH(ROWS($AH$2:AH889),$AH$2:$AH$1001,0),1)&gt;=100000,INDEX($AO$1005:$BQ$1005,1,MATCH(COLUMNS($AO$1006:BC1006),$AO$1006:$BQ$1006,0))&gt;=100000), " ",IF(INDEX($AO$2:$BQ$1001,MATCH(ROWS($AH$2:AH889),$AH$2:$AH$1001,0),MATCH(COLUMNS($AO$1006:BC1006),$AO$1006:$BQ$1006,0)), HYPERLINK("#",""), HYPERLINK(CONCATENATE("#Metadata!", ADDRESS(INDEX($AJ$2:$AJ$1001,MATCH(ROWS($AH$2:AH889),$AH$2:$AH$1001,0),0), INDEX($AO$1004:$BQ$1004,1,MATCH(COLUMNS($AO$1006:BC1006),$AO$1006:$BQ$1006,0)))),"Fix")))</f>
        <v>#N/A</v>
      </c>
      <c r="Q889" s="5" t="e">
        <f ca="1">IF(OR(INDEX($AI$2:$AI$1001,MATCH(ROWS($AH$2:AH889),$AH$2:$AH$1001,0),1)&gt;=100000,INDEX($AO$1005:$BQ$1005,1,MATCH(COLUMNS($AO$1006:BD1006),$AO$1006:$BQ$1006,0))&gt;=100000), " ",IF(INDEX($AO$2:$BQ$1001,MATCH(ROWS($AH$2:AH889),$AH$2:$AH$1001,0),MATCH(COLUMNS($AO$1006:BD1006),$AO$1006:$BQ$1006,0)), HYPERLINK("#",""), HYPERLINK(CONCATENATE("#Metadata!", ADDRESS(INDEX($AJ$2:$AJ$1001,MATCH(ROWS($AH$2:AH889),$AH$2:$AH$1001,0),0), INDEX($AO$1004:$BQ$1004,1,MATCH(COLUMNS($AO$1006:BD1006),$AO$1006:$BQ$1006,0)))),"Fix")))</f>
        <v>#N/A</v>
      </c>
      <c r="R889" s="5" t="e">
        <f ca="1">IF(OR(INDEX($AI$2:$AI$1001,MATCH(ROWS($AH$2:AH889),$AH$2:$AH$1001,0),1)&gt;=100000,INDEX($AO$1005:$BQ$1005,1,MATCH(COLUMNS($AO$1006:BE1006),$AO$1006:$BQ$1006,0))&gt;=100000), " ",IF(INDEX($AO$2:$BQ$1001,MATCH(ROWS($AH$2:AH889),$AH$2:$AH$1001,0),MATCH(COLUMNS($AO$1006:BE1006),$AO$1006:$BQ$1006,0)), HYPERLINK("#",""), HYPERLINK(CONCATENATE("#Metadata!", ADDRESS(INDEX($AJ$2:$AJ$1001,MATCH(ROWS($AH$2:AH889),$AH$2:$AH$1001,0),0), INDEX($AO$1004:$BQ$1004,1,MATCH(COLUMNS($AO$1006:BE1006),$AO$1006:$BQ$1006,0)))),"Fix")))</f>
        <v>#N/A</v>
      </c>
      <c r="S889" s="5" t="e">
        <f ca="1">IF(OR(INDEX($AI$2:$AI$1001,MATCH(ROWS($AH$2:AH889),$AH$2:$AH$1001,0),1)&gt;=100000,INDEX($AO$1005:$BQ$1005,1,MATCH(COLUMNS($AO$1006:BF1006),$AO$1006:$BQ$1006,0))&gt;=100000), " ",IF(INDEX($AO$2:$BQ$1001,MATCH(ROWS($AH$2:AH889),$AH$2:$AH$1001,0),MATCH(COLUMNS($AO$1006:BF1006),$AO$1006:$BQ$1006,0)), HYPERLINK("#",""), HYPERLINK(CONCATENATE("#Metadata!", ADDRESS(INDEX($AJ$2:$AJ$1001,MATCH(ROWS($AH$2:AH889),$AH$2:$AH$1001,0),0), INDEX($AO$1004:$BQ$1004,1,MATCH(COLUMNS($AO$1006:BF1006),$AO$1006:$BQ$1006,0)))),"Fix")))</f>
        <v>#N/A</v>
      </c>
      <c r="T889" s="5" t="e">
        <f ca="1">IF(OR(INDEX($AI$2:$AI$1001,MATCH(ROWS($AH$2:AH889),$AH$2:$AH$1001,0),1)&gt;=100000,INDEX($AO$1005:$BQ$1005,1,MATCH(COLUMNS($AO$1006:BG1006),$AO$1006:$BQ$1006,0))&gt;=100000), " ",IF(INDEX($AO$2:$BQ$1001,MATCH(ROWS($AH$2:AH889),$AH$2:$AH$1001,0),MATCH(COLUMNS($AO$1006:BG1006),$AO$1006:$BQ$1006,0)), HYPERLINK("#",""), HYPERLINK(CONCATENATE("#Metadata!", ADDRESS(INDEX($AJ$2:$AJ$1001,MATCH(ROWS($AH$2:AH889),$AH$2:$AH$1001,0),0), INDEX($AO$1004:$BQ$1004,1,MATCH(COLUMNS($AO$1006:BG1006),$AO$1006:$BQ$1006,0)))),"Fix")))</f>
        <v>#N/A</v>
      </c>
      <c r="U889" s="5" t="e">
        <f ca="1">IF(OR(INDEX($AI$2:$AI$1001,MATCH(ROWS($AH$2:AH889),$AH$2:$AH$1001,0),1)&gt;=100000,INDEX($AO$1005:$BQ$1005,1,MATCH(COLUMNS($AO$1006:BH1006),$AO$1006:$BQ$1006,0))&gt;=100000), " ",IF(INDEX($AO$2:$BQ$1001,MATCH(ROWS($AH$2:AH889),$AH$2:$AH$1001,0),MATCH(COLUMNS($AO$1006:BH1006),$AO$1006:$BQ$1006,0)), HYPERLINK("#",""), HYPERLINK(CONCATENATE("#Metadata!", ADDRESS(INDEX($AJ$2:$AJ$1001,MATCH(ROWS($AH$2:AH889),$AH$2:$AH$1001,0),0), INDEX($AO$1004:$BQ$1004,1,MATCH(COLUMNS($AO$1006:BH1006),$AO$1006:$BQ$1006,0)))),"Fix")))</f>
        <v>#N/A</v>
      </c>
      <c r="V889" s="5" t="e">
        <f ca="1">IF(OR(INDEX($AI$2:$AI$1001,MATCH(ROWS($AH$2:AH889),$AH$2:$AH$1001,0),1)&gt;=100000,INDEX($AO$1005:$BQ$1005,1,MATCH(COLUMNS($AO$1006:BI1006),$AO$1006:$BQ$1006,0))&gt;=100000), " ",IF(INDEX($AO$2:$BQ$1001,MATCH(ROWS($AH$2:AH889),$AH$2:$AH$1001,0),MATCH(COLUMNS($AO$1006:BI1006),$AO$1006:$BQ$1006,0)), HYPERLINK("#",""), HYPERLINK(CONCATENATE("#Metadata!", ADDRESS(INDEX($AJ$2:$AJ$1001,MATCH(ROWS($AH$2:AH889),$AH$2:$AH$1001,0),0), INDEX($AO$1004:$BQ$1004,1,MATCH(COLUMNS($AO$1006:BI1006),$AO$1006:$BQ$1006,0)))),"Fix")))</f>
        <v>#N/A</v>
      </c>
      <c r="W889" s="5" t="e">
        <f ca="1">IF(OR(INDEX($AI$2:$AI$1001,MATCH(ROWS($AH$2:AH889),$AH$2:$AH$1001,0),1)&gt;=100000,INDEX($AO$1005:$BQ$1005,1,MATCH(COLUMNS($AO$1006:BJ1006),$AO$1006:$BQ$1006,0))&gt;=100000), " ",IF(INDEX($AO$2:$BQ$1001,MATCH(ROWS($AH$2:AH889),$AH$2:$AH$1001,0),MATCH(COLUMNS($AO$1006:BJ1006),$AO$1006:$BQ$1006,0)), HYPERLINK("#",""), HYPERLINK(CONCATENATE("#Metadata!", ADDRESS(INDEX($AJ$2:$AJ$1001,MATCH(ROWS($AH$2:AH889),$AH$2:$AH$1001,0),0), INDEX($AO$1004:$BQ$1004,1,MATCH(COLUMNS($AO$1006:BJ1006),$AO$1006:$BQ$1006,0)))),"Fix")))</f>
        <v>#N/A</v>
      </c>
      <c r="X889" s="5" t="e">
        <f ca="1">IF(OR(INDEX($AI$2:$AI$1001,MATCH(ROWS($AH$2:AH889),$AH$2:$AH$1001,0),1)&gt;=100000,INDEX($AO$1005:$BQ$1005,1,MATCH(COLUMNS($AO$1006:BK1006),$AO$1006:$BQ$1006,0))&gt;=100000), " ",IF(INDEX($AO$2:$BQ$1001,MATCH(ROWS($AH$2:AH889),$AH$2:$AH$1001,0),MATCH(COLUMNS($AO$1006:BK1006),$AO$1006:$BQ$1006,0)), HYPERLINK("#",""), HYPERLINK(CONCATENATE("#Metadata!", ADDRESS(INDEX($AJ$2:$AJ$1001,MATCH(ROWS($AH$2:AH889),$AH$2:$AH$1001,0),0), INDEX($AO$1004:$BQ$1004,1,MATCH(COLUMNS($AO$1006:BK1006),$AO$1006:$BQ$1006,0)))),"Fix")))</f>
        <v>#N/A</v>
      </c>
      <c r="Y889" s="5" t="e">
        <f ca="1">IF(OR(INDEX($AI$2:$AI$1001,MATCH(ROWS($AH$2:AH889),$AH$2:$AH$1001,0),1)&gt;=100000,INDEX($AO$1005:$BQ$1005,1,MATCH(COLUMNS($AO$1006:BL1006),$AO$1006:$BQ$1006,0))&gt;=100000), " ",IF(INDEX($AO$2:$BQ$1001,MATCH(ROWS($AH$2:AH889),$AH$2:$AH$1001,0),MATCH(COLUMNS($AO$1006:BL1006),$AO$1006:$BQ$1006,0)), HYPERLINK("#",""), HYPERLINK(CONCATENATE("#Metadata!", ADDRESS(INDEX($AJ$2:$AJ$1001,MATCH(ROWS($AH$2:AH889),$AH$2:$AH$1001,0),0), INDEX($AO$1004:$BQ$1004,1,MATCH(COLUMNS($AO$1006:BL1006),$AO$1006:$BQ$1006,0)))),"Fix")))</f>
        <v>#N/A</v>
      </c>
      <c r="Z889" s="5" t="e">
        <f ca="1">IF(OR(INDEX($AI$2:$AI$1001,MATCH(ROWS($AH$2:AH889),$AH$2:$AH$1001,0),1)&gt;=100000,INDEX($AO$1005:$BQ$1005,1,MATCH(COLUMNS($AO$1006:BM1006),$AO$1006:$BQ$1006,0))&gt;=100000), " ",IF(INDEX($AO$2:$BQ$1001,MATCH(ROWS($AH$2:AH889),$AH$2:$AH$1001,0),MATCH(COLUMNS($AO$1006:BM1006),$AO$1006:$BQ$1006,0)), HYPERLINK("#",""), HYPERLINK(CONCATENATE("#Metadata!", ADDRESS(INDEX($AJ$2:$AJ$1001,MATCH(ROWS($AH$2:AH889),$AH$2:$AH$1001,0),0), INDEX($AO$1004:$BQ$1004,1,MATCH(COLUMNS($AO$1006:BM1006),$AO$1006:$BQ$1006,0)))),"Fix")))</f>
        <v>#N/A</v>
      </c>
      <c r="AA889" s="5" t="e">
        <f ca="1">IF(OR(INDEX($AI$2:$AI$1001,MATCH(ROWS($AH$2:AH889),$AH$2:$AH$1001,0),1)&gt;=100000,INDEX($AO$1005:$BQ$1005,1,MATCH(COLUMNS($AO$1006:BN1006),$AO$1006:$BQ$1006,0))&gt;=100000), " ",IF(INDEX($AO$2:$BQ$1001,MATCH(ROWS($AH$2:AH889),$AH$2:$AH$1001,0),MATCH(COLUMNS($AO$1006:BN1006),$AO$1006:$BQ$1006,0)), HYPERLINK("#",""), HYPERLINK(CONCATENATE("#Metadata!", ADDRESS(INDEX($AJ$2:$AJ$1001,MATCH(ROWS($AH$2:AH889),$AH$2:$AH$1001,0),0), INDEX($AO$1004:$BQ$1004,1,MATCH(COLUMNS($AO$1006:BN1006),$AO$1006:$BQ$1006,0)))),"Fix")))</f>
        <v>#N/A</v>
      </c>
      <c r="AB889" s="5" t="e">
        <f ca="1">IF(OR(INDEX($AI$2:$AI$1001,MATCH(ROWS($AH$2:AH889),$AH$2:$AH$1001,0),1)&gt;=100000,INDEX($AO$1005:$BQ$1005,1,MATCH(COLUMNS($AO$1006:BO1006),$AO$1006:$BQ$1006,0))&gt;=100000), " ",IF(INDEX($AO$2:$BQ$1001,MATCH(ROWS($AH$2:AH889),$AH$2:$AH$1001,0),MATCH(COLUMNS($AO$1006:BO1006),$AO$1006:$BQ$1006,0)), HYPERLINK("#",""), HYPERLINK(CONCATENATE("#Metadata!", ADDRESS(INDEX($AJ$2:$AJ$1001,MATCH(ROWS($AH$2:AH889),$AH$2:$AH$1001,0),0), INDEX($AO$1004:$BQ$1004,1,MATCH(COLUMNS($AO$1006:BO1006),$AO$1006:$BQ$1006,0)))),"Fix")))</f>
        <v>#N/A</v>
      </c>
      <c r="AC889" s="5" t="e">
        <f ca="1">IF(OR(INDEX($AI$2:$AI$1001,MATCH(ROWS($AH$2:AH889),$AH$2:$AH$1001,0),1)&gt;=100000,INDEX($AO$1005:$BQ$1005,1,MATCH(COLUMNS($AO$1006:BP1006),$AO$1006:$BQ$1006,0))&gt;=100000), " ",IF(INDEX($AO$2:$BQ$1001,MATCH(ROWS($AH$2:AH889),$AH$2:$AH$1001,0),MATCH(COLUMNS($AO$1006:BP1006),$AO$1006:$BQ$1006,0)), HYPERLINK("#",""), HYPERLINK(CONCATENATE("#Metadata!", ADDRESS(INDEX($AJ$2:$AJ$1001,MATCH(ROWS($AH$2:AH889),$AH$2:$AH$1001,0),0), INDEX($AO$1004:$BQ$1004,1,MATCH(COLUMNS($AO$1006:BP1006),$AO$1006:$BQ$1006,0)))),"Fix")))</f>
        <v>#N/A</v>
      </c>
      <c r="AD889" s="5" t="e">
        <f ca="1">IF(OR(INDEX($AI$2:$AI$1001,MATCH(ROWS($AH$2:AH889),$AH$2:$AH$1001,0),1)&gt;=100000,INDEX($AO$1005:$BQ$1005,1,MATCH(COLUMNS($AO$1006:BQ1006),$AO$1006:$BQ$1006,0))&gt;=100000), " ",IF(INDEX($AO$2:$BQ$1001,MATCH(ROWS($AH$2:AH889),$AH$2:$AH$1001,0),MATCH(COLUMNS($AO$1006:BQ1006),$AO$1006:$BQ$1006,0)), HYPERLINK("#",""), HYPERLINK(CONCATENATE("#Metadata!", ADDRESS(INDEX($AJ$2:$AJ$1001,MATCH(ROWS($AH$2:AH889),$AH$2:$AH$1001,0),0), INDEX($AO$1004:$BQ$1004,1,MATCH(COLUMNS($AO$1006:BQ1006),$AO$1006:$BQ$1006,0)))),"Fix")))</f>
        <v>#REF!</v>
      </c>
      <c r="AH889">
        <f ca="1"/>
        <v>886</v>
      </c>
      <c r="AI889">
        <v>100889</v>
      </c>
      <c r="AJ889">
        <v>889</v>
      </c>
      <c r="AK889" t="b">
        <f t="shared" si="13"/>
        <v>1</v>
      </c>
      <c r="AL889" t="b">
        <f>COUNTBLANK(Metadata!B889:AD889)=COLUMNS(Metadata!B889:AD889)</f>
        <v>1</v>
      </c>
      <c r="AM889" t="str">
        <v/>
      </c>
      <c r="AO889" t="b">
        <f ca="1">AND(IF(Metadata!B889="",FALSE,TRUE),COUNTIF(Metadata!B:B, Metadata!B889) = 1,NOT(ISERROR(SUMPRODUCT(SEARCH(MID(Metadata!B889,ROW(INDIRECT("1:"&amp;LEN(Metadata!B889))), 1),"0123456789abcdefghijklmnopqrstuvwxyzABCDEFGHIJKLMNOPQRSTUVWXYZ.")))))</f>
        <v>0</v>
      </c>
      <c r="AP889" t="b">
        <f>IF(Metadata!C889="",FALSE,TRUE)</f>
        <v>0</v>
      </c>
      <c r="AQ889" t="b">
        <f>IF(Metadata!D889="",FALSE,TRUE)</f>
        <v>0</v>
      </c>
      <c r="AR889" t="b">
        <f ca="1">OR(AND(IF(Metadata!E889="",FALSE,TRUE),OR(EXACT(Metadata!E889,"not collected"),EXACT(Metadata!E889,"not provided"),EXACT(Metadata!E889,"restricted access"))),AND(IF(Metadata!E889="",FALSE,TRUE),AND(AND(IFERROR(INT(LEFT(Metadata!E889,4))&gt;1900,FALSE),IFERROR(INT(LEFT(Metadata!E889,4))&lt;=YEAR(NOW()),FALSE)), OR(MID(Metadata!E889,5,1)="", AND(AND(MID(Metadata!E889,5,1)="-",IFERROR(INT(MID(Metadata!E889,6,1))&gt;=0,FALSE),IFERROR(INT(MID(Metadata!E889,6,1))&lt;=1,FALSE),NOT(MID(Metadata!E889,7,1)=""),IFERROR(INT(MID(Metadata!E889,6,2))&gt;=1,FALSE),IFERROR(INT(MID(Metadata!E889,6,2))&lt;=12,FALSE)), OR(MID(Metadata!E889,8,1)="", AND(AND(MID(Metadata!E889,8,1)="-",IFERROR(INT(MID(Metadata!E889,9,1))&gt;=0,FALSE),IFERROR(INT(MID(Metadata!E889,9,1))&lt;=3,FALSE),NOT(MID(Metadata!E889,10,1)=""),IFERROR(INT(MID(Metadata!E889,9,2))&gt;=1,FALSE),IFERROR(INT(MID(Metadata!E889,9,2))&lt;=31,FALSE)), OR(MID(Metadata!E889,11,1)="", AND(AND(MID(Metadata!E889,11,1)=" ",IFERROR(INT(MID(Metadata!E889,12,1))&gt;=0,FALSE),IFERROR(INT(MID(Metadata!E889,12,1))&lt;=2,FALSE),NOT(MID(Metadata!E889,13,1)=""),IFERROR(INT(MID(Metadata!E889,12,2))&gt;=0,FALSE),IFERROR(INT(MID(Metadata!E889,12,2))&lt;=23,FALSE)), OR(MID(Metadata!E889,14,1)="", AND(AND(MID(Metadata!E889,14,1)=":",IFERROR(INT(MID(Metadata!E889,15,1))&gt;=0,FALSE),IFERROR(INT(MID(Metadata!E889,15,1))&lt;=5,FALSE),NOT(MID(Metadata!E889,16,1)=""),IFERROR(INT(MID(Metadata!E889,15,2))&gt;=0,FALSE),IFERROR(INT(MID(Metadata!E889,15,2))&lt;=59,FALSE)), OR(MID(Metadata!E889,17,1)="", AND(AND(MID(Metadata!E889,17,1)=":",IFERROR(INT(MID(Metadata!E889,18,1))&gt;=0,FALSE),IFERROR(INT(MID(Metadata!E889,18,1))&lt;=5,FALSE),NOT(MID(Metadata!E889,19,1)=""),IFERROR(INT(MID(Metadata!E889,18,2))&gt;=0,FALSE),IFERROR(INT(MID(Metadata!E889,18,2))&lt;=59,FALSE)), LEN(Metadata!E889)&lt;=19)))))))))))))</f>
        <v>0</v>
      </c>
      <c r="AS889" t="b">
        <f>IF(Metadata!F889="",FALSE,TRUE)</f>
        <v>0</v>
      </c>
      <c r="AT889" t="b">
        <f>OR(AND(IF(Metadata!G889="",FALSE,TRUE),OR(EXACT(Metadata!G889,"not collected"),EXACT(Metadata!G889,"not provided"))),AND(IF(Metadata!G889="",FALSE,TRUE),OR(EXACT(Metadata!G889,"TRUE"),EXACT(Metadata!G889,"FALSE"))))</f>
        <v>0</v>
      </c>
      <c r="AU889" t="b">
        <f>OR(AND(IF(Metadata!H889="",FALSE,TRUE),OR(EXACT(Metadata!H889,"not collected"),EXACT(Metadata!H889,"not provided"),EXACT(Metadata!H889,"restricted access"))),AND(IF(Metadata!H889="",FALSE,ISNUMBER(VALUE(Metadata!H889))),Metadata!H889&gt;=-413))</f>
        <v>0</v>
      </c>
      <c r="AV889" t="b">
        <f>AND(IF(Metadata!I889="",FALSE,TRUE),EXACT(Metadata!I889,"meters"))</f>
        <v>0</v>
      </c>
      <c r="AW889" t="b">
        <f>AND(IF(Metadata!J889="",FALSE,TRUE),EXACT(Metadata!J889,"free-living"))</f>
        <v>0</v>
      </c>
      <c r="AX889" t="b">
        <f>AND(IF(Metadata!K889="",FALSE,TRUE),OR(EXACT(Metadata!K889,"saline"),EXACT(Metadata!K889,"non-saline")))</f>
        <v>0</v>
      </c>
      <c r="AY889" t="b">
        <f>AND(IF(Metadata!L889="",FALSE,TRUE),OR(EXACT(Metadata!L889,"sub-surface (non-saline)"),EXACT(Metadata!L889,"surface (non-saline)"),EXACT(Metadata!L889,"water (non-saline)"),EXACT(Metadata!L889,"soil (non-saline)"),EXACT(Metadata!L889,"aerosol (non-saline)"),EXACT(Metadata!L889,"sediment (non-saline)"),EXACT(Metadata!L889,"surface (saline)"),EXACT(Metadata!L889,"water (saline)"),EXACT(Metadata!L889,"hypersaline (saline)"),EXACT(Metadata!L889,"aerosol (saline)"),EXACT(Metadata!L889,"sediment (saline)")))</f>
        <v>0</v>
      </c>
      <c r="AZ889" t="b">
        <f>IF(Metadata!M889="",FALSE,TRUE)</f>
        <v>0</v>
      </c>
      <c r="BA889" t="b">
        <f>IF(Metadata!N889="",FALSE,TRUE)</f>
        <v>0</v>
      </c>
      <c r="BB889" t="b">
        <f>IF(Metadata!O889="",FALSE,TRUE)</f>
        <v>0</v>
      </c>
      <c r="BC889" t="b">
        <f>AND(IF(Metadata!P889="",FALSE,TRUE),OR(EXACT(Metadata!P889,"air"),EXACT(Metadata!P889,"microbial mat/biofilm"),EXACT(Metadata!P889,"misc environment"),EXACT(Metadata!P889,"sediment"),EXACT(Metadata!P889,"soil"),EXACT(Metadata!P889,"wastewater/sludge"),EXACT(Metadata!P889,"water")))</f>
        <v>0</v>
      </c>
      <c r="BD889" t="b">
        <f>IF(Metadata!Q889="",FALSE,TRUE)</f>
        <v>0</v>
      </c>
      <c r="BE889" t="b">
        <f>IF(Metadata!R889="",FALSE,TRUE)</f>
        <v>0</v>
      </c>
      <c r="BF889" t="b">
        <f>OR(AND(IF(Metadata!S889="",FALSE,TRUE),OR(EXACT(Metadata!S889,"not collected"),EXACT(Metadata!S889,"not provided"),EXACT(Metadata!S889,"restricted access"))),AND(IF(Metadata!S889="",FALSE,ISNUMBER(VALUE(Metadata!S889))),Metadata!S889&gt;=-90,Metadata!S889&lt;=90))</f>
        <v>0</v>
      </c>
      <c r="BG889" t="b">
        <f>AND(IF(Metadata!T889="",FALSE,TRUE),EXACT(Metadata!T889,"Decimal degrees"))</f>
        <v>0</v>
      </c>
      <c r="BH889" t="b">
        <f>OR(AND(IF(Metadata!U889="",FALSE,TRUE),OR(EXACT(Metadata!U889,"not applicable"),EXACT(Metadata!U889,"not collected"))),IF(Metadata!U889="",FALSE,TRUE))</f>
        <v>0</v>
      </c>
      <c r="BI889" t="b">
        <f>OR(AND(IF(Metadata!V889="",FALSE,TRUE),OR(EXACT(Metadata!V889,"not collected"),EXACT(Metadata!V889,"not provided"),EXACT(Metadata!V889,"restricted access"))),AND(IF(Metadata!V889="",FALSE,ISNUMBER(VALUE(Metadata!V889))),Metadata!V889&gt;=-180,Metadata!V889&lt;=180))</f>
        <v>0</v>
      </c>
      <c r="BJ889" t="b">
        <f>AND(IF(Metadata!W889="",FALSE,TRUE),EXACT(Metadata!W889,"Decimal degrees"))</f>
        <v>0</v>
      </c>
      <c r="BK889" t="b">
        <f>IF(Metadata!X889="",FALSE,TRUE)</f>
        <v>0</v>
      </c>
      <c r="BL889" t="b">
        <f>OR(AND(IF(Metadata!Y889="",FALSE,TRUE),OR(EXACT(Metadata!Y889,"not collected"),EXACT(Metadata!Y889,"not provided"),EXACT(Metadata!Y889,"restricted access"))),AND(IF(Metadata!Y889="",FALSE,TRUE),OR(EXACT(Metadata!Y889,"TRUE"),EXACT(Metadata!Y889,"FALSE"))))</f>
        <v>0</v>
      </c>
      <c r="BM889" t="b">
        <f>OR(AND(IF(Metadata!Z889="",FALSE,TRUE),EXACT(Metadata!Z889,"not applicable")),AND(IF(Metadata!Z889="",FALSE,TRUE),OR(EXACT(Metadata!Z889,"beer"),EXACT(Metadata!Z889,"cheese"),EXACT(Metadata!Z889,"fresh water"),EXACT(Metadata!Z889,"marine sediment"),EXACT(Metadata!Z889,"sea water"),EXACT(Metadata!Z889,"sediment"),EXACT(Metadata!Z889,"soil"),EXACT(Metadata!Z889,"waste water"))))</f>
        <v>0</v>
      </c>
      <c r="BN889" t="b">
        <f>AND(IF(Metadata!AA889="",FALSE,TRUE),EXACT(Metadata!AA889,"metagenome"))</f>
        <v>0</v>
      </c>
      <c r="BO889" t="b">
        <f>AND(IF(Metadata!AB889="",FALSE,TRUE),EXACT(Metadata!AB889,"256318"))</f>
        <v>0</v>
      </c>
      <c r="BP889" t="b">
        <f>IF(Metadata!AC889="",FALSE,TRUE)</f>
        <v>0</v>
      </c>
      <c r="BQ889" t="b">
        <f>IF(Metadata!AD889="",FALSE,TRUE)</f>
        <v>0</v>
      </c>
    </row>
    <row r="890" spans="1:69" x14ac:dyDescent="0.2">
      <c r="A890" s="4" t="e">
        <f ca="1">IF(B890=" "," ",HYPERLINK(CONCATENATE("#metadata!",ADDRESS(INDEX($AJ$2:$AJ$1001,MATCH(ROWS($AH$2:AH890),$AH$2:$AH$1001,0),0),2)),INDEX($AM$2:$AM$1001,MATCH(ROWS($AH$2:AH890),$AH$2:$AH$1001,0),0)))</f>
        <v>#N/A</v>
      </c>
      <c r="B890" s="5" t="e">
        <f ca="1">IF(OR(INDEX($AI$2:$AI$1001,MATCH(ROWS($AH$2:AH890),$AH$2:$AH$1001,0),1)&gt;=100000,INDEX($AO$1005:$BQ$1005,1,MATCH(COLUMNS($AO$1006:AO1006),$AO$1006:$BQ$1006,0))&gt;=100000), " ",IF(INDEX($AO$2:$BQ$1001,MATCH(ROWS($AH$2:AH890),$AH$2:$AH$1001,0),MATCH(COLUMNS($AO$1006:AO1006),$AO$1006:$BQ$1006,0)), HYPERLINK("#",""), HYPERLINK(CONCATENATE("#Metadata!", ADDRESS(INDEX($AJ$2:$AJ$1001,MATCH(ROWS($AH$2:AH890),$AH$2:$AH$1001,0),0), INDEX($AO$1004:$BQ$1004,1,MATCH(COLUMNS($AO$1006:AO1006),$AO$1006:$BQ$1006,0)))),"Fix")))</f>
        <v>#N/A</v>
      </c>
      <c r="C890" s="5" t="e">
        <f ca="1">IF(OR(INDEX($AI$2:$AI$1001,MATCH(ROWS($AH$2:AH890),$AH$2:$AH$1001,0),1)&gt;=100000,INDEX($AO$1005:$BQ$1005,1,MATCH(COLUMNS($AO$1006:AP1006),$AO$1006:$BQ$1006,0))&gt;=100000), " ",IF(INDEX($AO$2:$BQ$1001,MATCH(ROWS($AH$2:AH890),$AH$2:$AH$1001,0),MATCH(COLUMNS($AO$1006:AP1006),$AO$1006:$BQ$1006,0)), HYPERLINK("#",""), HYPERLINK(CONCATENATE("#Metadata!", ADDRESS(INDEX($AJ$2:$AJ$1001,MATCH(ROWS($AH$2:AH890),$AH$2:$AH$1001,0),0), INDEX($AO$1004:$BQ$1004,1,MATCH(COLUMNS($AO$1006:AP1006),$AO$1006:$BQ$1006,0)))),"Fix")))</f>
        <v>#N/A</v>
      </c>
      <c r="D890" s="5" t="e">
        <f ca="1">IF(OR(INDEX($AI$2:$AI$1001,MATCH(ROWS($AH$2:AH890),$AH$2:$AH$1001,0),1)&gt;=100000,INDEX($AO$1005:$BQ$1005,1,MATCH(COLUMNS($AO$1006:AQ1006),$AO$1006:$BQ$1006,0))&gt;=100000), " ",IF(INDEX($AO$2:$BQ$1001,MATCH(ROWS($AH$2:AH890),$AH$2:$AH$1001,0),MATCH(COLUMNS($AO$1006:AQ1006),$AO$1006:$BQ$1006,0)), HYPERLINK("#",""), HYPERLINK(CONCATENATE("#Metadata!", ADDRESS(INDEX($AJ$2:$AJ$1001,MATCH(ROWS($AH$2:AH890),$AH$2:$AH$1001,0),0), INDEX($AO$1004:$BQ$1004,1,MATCH(COLUMNS($AO$1006:AQ1006),$AO$1006:$BQ$1006,0)))),"Fix")))</f>
        <v>#N/A</v>
      </c>
      <c r="E890" s="5" t="e">
        <f ca="1">IF(OR(INDEX($AI$2:$AI$1001,MATCH(ROWS($AH$2:AH890),$AH$2:$AH$1001,0),1)&gt;=100000,INDEX($AO$1005:$BQ$1005,1,MATCH(COLUMNS($AO$1006:AR1006),$AO$1006:$BQ$1006,0))&gt;=100000), " ",IF(INDEX($AO$2:$BQ$1001,MATCH(ROWS($AH$2:AH890),$AH$2:$AH$1001,0),MATCH(COLUMNS($AO$1006:AR1006),$AO$1006:$BQ$1006,0)), HYPERLINK("#",""), HYPERLINK(CONCATENATE("#Metadata!", ADDRESS(INDEX($AJ$2:$AJ$1001,MATCH(ROWS($AH$2:AH890),$AH$2:$AH$1001,0),0), INDEX($AO$1004:$BQ$1004,1,MATCH(COLUMNS($AO$1006:AR1006),$AO$1006:$BQ$1006,0)))),"Fix")))</f>
        <v>#N/A</v>
      </c>
      <c r="F890" s="5" t="e">
        <f ca="1">IF(OR(INDEX($AI$2:$AI$1001,MATCH(ROWS($AH$2:AH890),$AH$2:$AH$1001,0),1)&gt;=100000,INDEX($AO$1005:$BQ$1005,1,MATCH(COLUMNS($AO$1006:AS1006),$AO$1006:$BQ$1006,0))&gt;=100000), " ",IF(INDEX($AO$2:$BQ$1001,MATCH(ROWS($AH$2:AH890),$AH$2:$AH$1001,0),MATCH(COLUMNS($AO$1006:AS1006),$AO$1006:$BQ$1006,0)), HYPERLINK("#",""), HYPERLINK(CONCATENATE("#Metadata!", ADDRESS(INDEX($AJ$2:$AJ$1001,MATCH(ROWS($AH$2:AH890),$AH$2:$AH$1001,0),0), INDEX($AO$1004:$BQ$1004,1,MATCH(COLUMNS($AO$1006:AS1006),$AO$1006:$BQ$1006,0)))),"Fix")))</f>
        <v>#N/A</v>
      </c>
      <c r="G890" s="5" t="e">
        <f ca="1">IF(OR(INDEX($AI$2:$AI$1001,MATCH(ROWS($AH$2:AH890),$AH$2:$AH$1001,0),1)&gt;=100000,INDEX($AO$1005:$BQ$1005,1,MATCH(COLUMNS($AO$1006:AT1006),$AO$1006:$BQ$1006,0))&gt;=100000), " ",IF(INDEX($AO$2:$BQ$1001,MATCH(ROWS($AH$2:AH890),$AH$2:$AH$1001,0),MATCH(COLUMNS($AO$1006:AT1006),$AO$1006:$BQ$1006,0)), HYPERLINK("#",""), HYPERLINK(CONCATENATE("#Metadata!", ADDRESS(INDEX($AJ$2:$AJ$1001,MATCH(ROWS($AH$2:AH890),$AH$2:$AH$1001,0),0), INDEX($AO$1004:$BQ$1004,1,MATCH(COLUMNS($AO$1006:AT1006),$AO$1006:$BQ$1006,0)))),"Fix")))</f>
        <v>#N/A</v>
      </c>
      <c r="H890" s="5" t="e">
        <f ca="1">IF(OR(INDEX($AI$2:$AI$1001,MATCH(ROWS($AH$2:AH890),$AH$2:$AH$1001,0),1)&gt;=100000,INDEX($AO$1005:$BQ$1005,1,MATCH(COLUMNS($AO$1006:AU1006),$AO$1006:$BQ$1006,0))&gt;=100000), " ",IF(INDEX($AO$2:$BQ$1001,MATCH(ROWS($AH$2:AH890),$AH$2:$AH$1001,0),MATCH(COLUMNS($AO$1006:AU1006),$AO$1006:$BQ$1006,0)), HYPERLINK("#",""), HYPERLINK(CONCATENATE("#Metadata!", ADDRESS(INDEX($AJ$2:$AJ$1001,MATCH(ROWS($AH$2:AH890),$AH$2:$AH$1001,0),0), INDEX($AO$1004:$BQ$1004,1,MATCH(COLUMNS($AO$1006:AU1006),$AO$1006:$BQ$1006,0)))),"Fix")))</f>
        <v>#N/A</v>
      </c>
      <c r="I890" s="5" t="e">
        <f ca="1">IF(OR(INDEX($AI$2:$AI$1001,MATCH(ROWS($AH$2:AH890),$AH$2:$AH$1001,0),1)&gt;=100000,INDEX($AO$1005:$BQ$1005,1,MATCH(COLUMNS($AO$1006:AV1006),$AO$1006:$BQ$1006,0))&gt;=100000), " ",IF(INDEX($AO$2:$BQ$1001,MATCH(ROWS($AH$2:AH890),$AH$2:$AH$1001,0),MATCH(COLUMNS($AO$1006:AV1006),$AO$1006:$BQ$1006,0)), HYPERLINK("#",""), HYPERLINK(CONCATENATE("#Metadata!", ADDRESS(INDEX($AJ$2:$AJ$1001,MATCH(ROWS($AH$2:AH890),$AH$2:$AH$1001,0),0), INDEX($AO$1004:$BQ$1004,1,MATCH(COLUMNS($AO$1006:AV1006),$AO$1006:$BQ$1006,0)))),"Fix")))</f>
        <v>#N/A</v>
      </c>
      <c r="J890" s="5" t="e">
        <f ca="1">IF(OR(INDEX($AI$2:$AI$1001,MATCH(ROWS($AH$2:AH890),$AH$2:$AH$1001,0),1)&gt;=100000,INDEX($AO$1005:$BQ$1005,1,MATCH(COLUMNS($AO$1006:AW1006),$AO$1006:$BQ$1006,0))&gt;=100000), " ",IF(INDEX($AO$2:$BQ$1001,MATCH(ROWS($AH$2:AH890),$AH$2:$AH$1001,0),MATCH(COLUMNS($AO$1006:AW1006),$AO$1006:$BQ$1006,0)), HYPERLINK("#",""), HYPERLINK(CONCATENATE("#Metadata!", ADDRESS(INDEX($AJ$2:$AJ$1001,MATCH(ROWS($AH$2:AH890),$AH$2:$AH$1001,0),0), INDEX($AO$1004:$BQ$1004,1,MATCH(COLUMNS($AO$1006:AW1006),$AO$1006:$BQ$1006,0)))),"Fix")))</f>
        <v>#N/A</v>
      </c>
      <c r="K890" s="5" t="e">
        <f ca="1">IF(OR(INDEX($AI$2:$AI$1001,MATCH(ROWS($AH$2:AH890),$AH$2:$AH$1001,0),1)&gt;=100000,INDEX($AO$1005:$BQ$1005,1,MATCH(COLUMNS($AO$1006:AX1006),$AO$1006:$BQ$1006,0))&gt;=100000), " ",IF(INDEX($AO$2:$BQ$1001,MATCH(ROWS($AH$2:AH890),$AH$2:$AH$1001,0),MATCH(COLUMNS($AO$1006:AX1006),$AO$1006:$BQ$1006,0)), HYPERLINK("#",""), HYPERLINK(CONCATENATE("#Metadata!", ADDRESS(INDEX($AJ$2:$AJ$1001,MATCH(ROWS($AH$2:AH890),$AH$2:$AH$1001,0),0), INDEX($AO$1004:$BQ$1004,1,MATCH(COLUMNS($AO$1006:AX1006),$AO$1006:$BQ$1006,0)))),"Fix")))</f>
        <v>#N/A</v>
      </c>
      <c r="L890" s="5" t="e">
        <f ca="1">IF(OR(INDEX($AI$2:$AI$1001,MATCH(ROWS($AH$2:AH890),$AH$2:$AH$1001,0),1)&gt;=100000,INDEX($AO$1005:$BQ$1005,1,MATCH(COLUMNS($AO$1006:AY1006),$AO$1006:$BQ$1006,0))&gt;=100000), " ",IF(INDEX($AO$2:$BQ$1001,MATCH(ROWS($AH$2:AH890),$AH$2:$AH$1001,0),MATCH(COLUMNS($AO$1006:AY1006),$AO$1006:$BQ$1006,0)), HYPERLINK("#",""), HYPERLINK(CONCATENATE("#Metadata!", ADDRESS(INDEX($AJ$2:$AJ$1001,MATCH(ROWS($AH$2:AH890),$AH$2:$AH$1001,0),0), INDEX($AO$1004:$BQ$1004,1,MATCH(COLUMNS($AO$1006:AY1006),$AO$1006:$BQ$1006,0)))),"Fix")))</f>
        <v>#N/A</v>
      </c>
      <c r="M890" s="5" t="e">
        <f ca="1">IF(OR(INDEX($AI$2:$AI$1001,MATCH(ROWS($AH$2:AH890),$AH$2:$AH$1001,0),1)&gt;=100000,INDEX($AO$1005:$BQ$1005,1,MATCH(COLUMNS($AO$1006:AZ1006),$AO$1006:$BQ$1006,0))&gt;=100000), " ",IF(INDEX($AO$2:$BQ$1001,MATCH(ROWS($AH$2:AH890),$AH$2:$AH$1001,0),MATCH(COLUMNS($AO$1006:AZ1006),$AO$1006:$BQ$1006,0)), HYPERLINK("#",""), HYPERLINK(CONCATENATE("#Metadata!", ADDRESS(INDEX($AJ$2:$AJ$1001,MATCH(ROWS($AH$2:AH890),$AH$2:$AH$1001,0),0), INDEX($AO$1004:$BQ$1004,1,MATCH(COLUMNS($AO$1006:AZ1006),$AO$1006:$BQ$1006,0)))),"Fix")))</f>
        <v>#N/A</v>
      </c>
      <c r="N890" s="5" t="e">
        <f ca="1">IF(OR(INDEX($AI$2:$AI$1001,MATCH(ROWS($AH$2:AH890),$AH$2:$AH$1001,0),1)&gt;=100000,INDEX($AO$1005:$BQ$1005,1,MATCH(COLUMNS($AO$1006:BA1006),$AO$1006:$BQ$1006,0))&gt;=100000), " ",IF(INDEX($AO$2:$BQ$1001,MATCH(ROWS($AH$2:AH890),$AH$2:$AH$1001,0),MATCH(COLUMNS($AO$1006:BA1006),$AO$1006:$BQ$1006,0)), HYPERLINK("#",""), HYPERLINK(CONCATENATE("#Metadata!", ADDRESS(INDEX($AJ$2:$AJ$1001,MATCH(ROWS($AH$2:AH890),$AH$2:$AH$1001,0),0), INDEX($AO$1004:$BQ$1004,1,MATCH(COLUMNS($AO$1006:BA1006),$AO$1006:$BQ$1006,0)))),"Fix")))</f>
        <v>#N/A</v>
      </c>
      <c r="O890" s="5" t="e">
        <f ca="1">IF(OR(INDEX($AI$2:$AI$1001,MATCH(ROWS($AH$2:AH890),$AH$2:$AH$1001,0),1)&gt;=100000,INDEX($AO$1005:$BQ$1005,1,MATCH(COLUMNS($AO$1006:BB1006),$AO$1006:$BQ$1006,0))&gt;=100000), " ",IF(INDEX($AO$2:$BQ$1001,MATCH(ROWS($AH$2:AH890),$AH$2:$AH$1001,0),MATCH(COLUMNS($AO$1006:BB1006),$AO$1006:$BQ$1006,0)), HYPERLINK("#",""), HYPERLINK(CONCATENATE("#Metadata!", ADDRESS(INDEX($AJ$2:$AJ$1001,MATCH(ROWS($AH$2:AH890),$AH$2:$AH$1001,0),0), INDEX($AO$1004:$BQ$1004,1,MATCH(COLUMNS($AO$1006:BB1006),$AO$1006:$BQ$1006,0)))),"Fix")))</f>
        <v>#N/A</v>
      </c>
      <c r="P890" s="5" t="e">
        <f ca="1">IF(OR(INDEX($AI$2:$AI$1001,MATCH(ROWS($AH$2:AH890),$AH$2:$AH$1001,0),1)&gt;=100000,INDEX($AO$1005:$BQ$1005,1,MATCH(COLUMNS($AO$1006:BC1006),$AO$1006:$BQ$1006,0))&gt;=100000), " ",IF(INDEX($AO$2:$BQ$1001,MATCH(ROWS($AH$2:AH890),$AH$2:$AH$1001,0),MATCH(COLUMNS($AO$1006:BC1006),$AO$1006:$BQ$1006,0)), HYPERLINK("#",""), HYPERLINK(CONCATENATE("#Metadata!", ADDRESS(INDEX($AJ$2:$AJ$1001,MATCH(ROWS($AH$2:AH890),$AH$2:$AH$1001,0),0), INDEX($AO$1004:$BQ$1004,1,MATCH(COLUMNS($AO$1006:BC1006),$AO$1006:$BQ$1006,0)))),"Fix")))</f>
        <v>#N/A</v>
      </c>
      <c r="Q890" s="5" t="e">
        <f ca="1">IF(OR(INDEX($AI$2:$AI$1001,MATCH(ROWS($AH$2:AH890),$AH$2:$AH$1001,0),1)&gt;=100000,INDEX($AO$1005:$BQ$1005,1,MATCH(COLUMNS($AO$1006:BD1006),$AO$1006:$BQ$1006,0))&gt;=100000), " ",IF(INDEX($AO$2:$BQ$1001,MATCH(ROWS($AH$2:AH890),$AH$2:$AH$1001,0),MATCH(COLUMNS($AO$1006:BD1006),$AO$1006:$BQ$1006,0)), HYPERLINK("#",""), HYPERLINK(CONCATENATE("#Metadata!", ADDRESS(INDEX($AJ$2:$AJ$1001,MATCH(ROWS($AH$2:AH890),$AH$2:$AH$1001,0),0), INDEX($AO$1004:$BQ$1004,1,MATCH(COLUMNS($AO$1006:BD1006),$AO$1006:$BQ$1006,0)))),"Fix")))</f>
        <v>#N/A</v>
      </c>
      <c r="R890" s="5" t="e">
        <f ca="1">IF(OR(INDEX($AI$2:$AI$1001,MATCH(ROWS($AH$2:AH890),$AH$2:$AH$1001,0),1)&gt;=100000,INDEX($AO$1005:$BQ$1005,1,MATCH(COLUMNS($AO$1006:BE1006),$AO$1006:$BQ$1006,0))&gt;=100000), " ",IF(INDEX($AO$2:$BQ$1001,MATCH(ROWS($AH$2:AH890),$AH$2:$AH$1001,0),MATCH(COLUMNS($AO$1006:BE1006),$AO$1006:$BQ$1006,0)), HYPERLINK("#",""), HYPERLINK(CONCATENATE("#Metadata!", ADDRESS(INDEX($AJ$2:$AJ$1001,MATCH(ROWS($AH$2:AH890),$AH$2:$AH$1001,0),0), INDEX($AO$1004:$BQ$1004,1,MATCH(COLUMNS($AO$1006:BE1006),$AO$1006:$BQ$1006,0)))),"Fix")))</f>
        <v>#N/A</v>
      </c>
      <c r="S890" s="5" t="e">
        <f ca="1">IF(OR(INDEX($AI$2:$AI$1001,MATCH(ROWS($AH$2:AH890),$AH$2:$AH$1001,0),1)&gt;=100000,INDEX($AO$1005:$BQ$1005,1,MATCH(COLUMNS($AO$1006:BF1006),$AO$1006:$BQ$1006,0))&gt;=100000), " ",IF(INDEX($AO$2:$BQ$1001,MATCH(ROWS($AH$2:AH890),$AH$2:$AH$1001,0),MATCH(COLUMNS($AO$1006:BF1006),$AO$1006:$BQ$1006,0)), HYPERLINK("#",""), HYPERLINK(CONCATENATE("#Metadata!", ADDRESS(INDEX($AJ$2:$AJ$1001,MATCH(ROWS($AH$2:AH890),$AH$2:$AH$1001,0),0), INDEX($AO$1004:$BQ$1004,1,MATCH(COLUMNS($AO$1006:BF1006),$AO$1006:$BQ$1006,0)))),"Fix")))</f>
        <v>#N/A</v>
      </c>
      <c r="T890" s="5" t="e">
        <f ca="1">IF(OR(INDEX($AI$2:$AI$1001,MATCH(ROWS($AH$2:AH890),$AH$2:$AH$1001,0),1)&gt;=100000,INDEX($AO$1005:$BQ$1005,1,MATCH(COLUMNS($AO$1006:BG1006),$AO$1006:$BQ$1006,0))&gt;=100000), " ",IF(INDEX($AO$2:$BQ$1001,MATCH(ROWS($AH$2:AH890),$AH$2:$AH$1001,0),MATCH(COLUMNS($AO$1006:BG1006),$AO$1006:$BQ$1006,0)), HYPERLINK("#",""), HYPERLINK(CONCATENATE("#Metadata!", ADDRESS(INDEX($AJ$2:$AJ$1001,MATCH(ROWS($AH$2:AH890),$AH$2:$AH$1001,0),0), INDEX($AO$1004:$BQ$1004,1,MATCH(COLUMNS($AO$1006:BG1006),$AO$1006:$BQ$1006,0)))),"Fix")))</f>
        <v>#N/A</v>
      </c>
      <c r="U890" s="5" t="e">
        <f ca="1">IF(OR(INDEX($AI$2:$AI$1001,MATCH(ROWS($AH$2:AH890),$AH$2:$AH$1001,0),1)&gt;=100000,INDEX($AO$1005:$BQ$1005,1,MATCH(COLUMNS($AO$1006:BH1006),$AO$1006:$BQ$1006,0))&gt;=100000), " ",IF(INDEX($AO$2:$BQ$1001,MATCH(ROWS($AH$2:AH890),$AH$2:$AH$1001,0),MATCH(COLUMNS($AO$1006:BH1006),$AO$1006:$BQ$1006,0)), HYPERLINK("#",""), HYPERLINK(CONCATENATE("#Metadata!", ADDRESS(INDEX($AJ$2:$AJ$1001,MATCH(ROWS($AH$2:AH890),$AH$2:$AH$1001,0),0), INDEX($AO$1004:$BQ$1004,1,MATCH(COLUMNS($AO$1006:BH1006),$AO$1006:$BQ$1006,0)))),"Fix")))</f>
        <v>#N/A</v>
      </c>
      <c r="V890" s="5" t="e">
        <f ca="1">IF(OR(INDEX($AI$2:$AI$1001,MATCH(ROWS($AH$2:AH890),$AH$2:$AH$1001,0),1)&gt;=100000,INDEX($AO$1005:$BQ$1005,1,MATCH(COLUMNS($AO$1006:BI1006),$AO$1006:$BQ$1006,0))&gt;=100000), " ",IF(INDEX($AO$2:$BQ$1001,MATCH(ROWS($AH$2:AH890),$AH$2:$AH$1001,0),MATCH(COLUMNS($AO$1006:BI1006),$AO$1006:$BQ$1006,0)), HYPERLINK("#",""), HYPERLINK(CONCATENATE("#Metadata!", ADDRESS(INDEX($AJ$2:$AJ$1001,MATCH(ROWS($AH$2:AH890),$AH$2:$AH$1001,0),0), INDEX($AO$1004:$BQ$1004,1,MATCH(COLUMNS($AO$1006:BI1006),$AO$1006:$BQ$1006,0)))),"Fix")))</f>
        <v>#N/A</v>
      </c>
      <c r="W890" s="5" t="e">
        <f ca="1">IF(OR(INDEX($AI$2:$AI$1001,MATCH(ROWS($AH$2:AH890),$AH$2:$AH$1001,0),1)&gt;=100000,INDEX($AO$1005:$BQ$1005,1,MATCH(COLUMNS($AO$1006:BJ1006),$AO$1006:$BQ$1006,0))&gt;=100000), " ",IF(INDEX($AO$2:$BQ$1001,MATCH(ROWS($AH$2:AH890),$AH$2:$AH$1001,0),MATCH(COLUMNS($AO$1006:BJ1006),$AO$1006:$BQ$1006,0)), HYPERLINK("#",""), HYPERLINK(CONCATENATE("#Metadata!", ADDRESS(INDEX($AJ$2:$AJ$1001,MATCH(ROWS($AH$2:AH890),$AH$2:$AH$1001,0),0), INDEX($AO$1004:$BQ$1004,1,MATCH(COLUMNS($AO$1006:BJ1006),$AO$1006:$BQ$1006,0)))),"Fix")))</f>
        <v>#N/A</v>
      </c>
      <c r="X890" s="5" t="e">
        <f ca="1">IF(OR(INDEX($AI$2:$AI$1001,MATCH(ROWS($AH$2:AH890),$AH$2:$AH$1001,0),1)&gt;=100000,INDEX($AO$1005:$BQ$1005,1,MATCH(COLUMNS($AO$1006:BK1006),$AO$1006:$BQ$1006,0))&gt;=100000), " ",IF(INDEX($AO$2:$BQ$1001,MATCH(ROWS($AH$2:AH890),$AH$2:$AH$1001,0),MATCH(COLUMNS($AO$1006:BK1006),$AO$1006:$BQ$1006,0)), HYPERLINK("#",""), HYPERLINK(CONCATENATE("#Metadata!", ADDRESS(INDEX($AJ$2:$AJ$1001,MATCH(ROWS($AH$2:AH890),$AH$2:$AH$1001,0),0), INDEX($AO$1004:$BQ$1004,1,MATCH(COLUMNS($AO$1006:BK1006),$AO$1006:$BQ$1006,0)))),"Fix")))</f>
        <v>#N/A</v>
      </c>
      <c r="Y890" s="5" t="e">
        <f ca="1">IF(OR(INDEX($AI$2:$AI$1001,MATCH(ROWS($AH$2:AH890),$AH$2:$AH$1001,0),1)&gt;=100000,INDEX($AO$1005:$BQ$1005,1,MATCH(COLUMNS($AO$1006:BL1006),$AO$1006:$BQ$1006,0))&gt;=100000), " ",IF(INDEX($AO$2:$BQ$1001,MATCH(ROWS($AH$2:AH890),$AH$2:$AH$1001,0),MATCH(COLUMNS($AO$1006:BL1006),$AO$1006:$BQ$1006,0)), HYPERLINK("#",""), HYPERLINK(CONCATENATE("#Metadata!", ADDRESS(INDEX($AJ$2:$AJ$1001,MATCH(ROWS($AH$2:AH890),$AH$2:$AH$1001,0),0), INDEX($AO$1004:$BQ$1004,1,MATCH(COLUMNS($AO$1006:BL1006),$AO$1006:$BQ$1006,0)))),"Fix")))</f>
        <v>#N/A</v>
      </c>
      <c r="Z890" s="5" t="e">
        <f ca="1">IF(OR(INDEX($AI$2:$AI$1001,MATCH(ROWS($AH$2:AH890),$AH$2:$AH$1001,0),1)&gt;=100000,INDEX($AO$1005:$BQ$1005,1,MATCH(COLUMNS($AO$1006:BM1006),$AO$1006:$BQ$1006,0))&gt;=100000), " ",IF(INDEX($AO$2:$BQ$1001,MATCH(ROWS($AH$2:AH890),$AH$2:$AH$1001,0),MATCH(COLUMNS($AO$1006:BM1006),$AO$1006:$BQ$1006,0)), HYPERLINK("#",""), HYPERLINK(CONCATENATE("#Metadata!", ADDRESS(INDEX($AJ$2:$AJ$1001,MATCH(ROWS($AH$2:AH890),$AH$2:$AH$1001,0),0), INDEX($AO$1004:$BQ$1004,1,MATCH(COLUMNS($AO$1006:BM1006),$AO$1006:$BQ$1006,0)))),"Fix")))</f>
        <v>#N/A</v>
      </c>
      <c r="AA890" s="5" t="e">
        <f ca="1">IF(OR(INDEX($AI$2:$AI$1001,MATCH(ROWS($AH$2:AH890),$AH$2:$AH$1001,0),1)&gt;=100000,INDEX($AO$1005:$BQ$1005,1,MATCH(COLUMNS($AO$1006:BN1006),$AO$1006:$BQ$1006,0))&gt;=100000), " ",IF(INDEX($AO$2:$BQ$1001,MATCH(ROWS($AH$2:AH890),$AH$2:$AH$1001,0),MATCH(COLUMNS($AO$1006:BN1006),$AO$1006:$BQ$1006,0)), HYPERLINK("#",""), HYPERLINK(CONCATENATE("#Metadata!", ADDRESS(INDEX($AJ$2:$AJ$1001,MATCH(ROWS($AH$2:AH890),$AH$2:$AH$1001,0),0), INDEX($AO$1004:$BQ$1004,1,MATCH(COLUMNS($AO$1006:BN1006),$AO$1006:$BQ$1006,0)))),"Fix")))</f>
        <v>#N/A</v>
      </c>
      <c r="AB890" s="5" t="e">
        <f ca="1">IF(OR(INDEX($AI$2:$AI$1001,MATCH(ROWS($AH$2:AH890),$AH$2:$AH$1001,0),1)&gt;=100000,INDEX($AO$1005:$BQ$1005,1,MATCH(COLUMNS($AO$1006:BO1006),$AO$1006:$BQ$1006,0))&gt;=100000), " ",IF(INDEX($AO$2:$BQ$1001,MATCH(ROWS($AH$2:AH890),$AH$2:$AH$1001,0),MATCH(COLUMNS($AO$1006:BO1006),$AO$1006:$BQ$1006,0)), HYPERLINK("#",""), HYPERLINK(CONCATENATE("#Metadata!", ADDRESS(INDEX($AJ$2:$AJ$1001,MATCH(ROWS($AH$2:AH890),$AH$2:$AH$1001,0),0), INDEX($AO$1004:$BQ$1004,1,MATCH(COLUMNS($AO$1006:BO1006),$AO$1006:$BQ$1006,0)))),"Fix")))</f>
        <v>#N/A</v>
      </c>
      <c r="AC890" s="5" t="e">
        <f ca="1">IF(OR(INDEX($AI$2:$AI$1001,MATCH(ROWS($AH$2:AH890),$AH$2:$AH$1001,0),1)&gt;=100000,INDEX($AO$1005:$BQ$1005,1,MATCH(COLUMNS($AO$1006:BP1006),$AO$1006:$BQ$1006,0))&gt;=100000), " ",IF(INDEX($AO$2:$BQ$1001,MATCH(ROWS($AH$2:AH890),$AH$2:$AH$1001,0),MATCH(COLUMNS($AO$1006:BP1006),$AO$1006:$BQ$1006,0)), HYPERLINK("#",""), HYPERLINK(CONCATENATE("#Metadata!", ADDRESS(INDEX($AJ$2:$AJ$1001,MATCH(ROWS($AH$2:AH890),$AH$2:$AH$1001,0),0), INDEX($AO$1004:$BQ$1004,1,MATCH(COLUMNS($AO$1006:BP1006),$AO$1006:$BQ$1006,0)))),"Fix")))</f>
        <v>#N/A</v>
      </c>
      <c r="AD890" s="5" t="e">
        <f ca="1">IF(OR(INDEX($AI$2:$AI$1001,MATCH(ROWS($AH$2:AH890),$AH$2:$AH$1001,0),1)&gt;=100000,INDEX($AO$1005:$BQ$1005,1,MATCH(COLUMNS($AO$1006:BQ1006),$AO$1006:$BQ$1006,0))&gt;=100000), " ",IF(INDEX($AO$2:$BQ$1001,MATCH(ROWS($AH$2:AH890),$AH$2:$AH$1001,0),MATCH(COLUMNS($AO$1006:BQ1006),$AO$1006:$BQ$1006,0)), HYPERLINK("#",""), HYPERLINK(CONCATENATE("#Metadata!", ADDRESS(INDEX($AJ$2:$AJ$1001,MATCH(ROWS($AH$2:AH890),$AH$2:$AH$1001,0),0), INDEX($AO$1004:$BQ$1004,1,MATCH(COLUMNS($AO$1006:BQ1006),$AO$1006:$BQ$1006,0)))),"Fix")))</f>
        <v>#REF!</v>
      </c>
      <c r="AH890">
        <f ca="1"/>
        <v>887</v>
      </c>
      <c r="AI890">
        <v>100890</v>
      </c>
      <c r="AJ890">
        <v>890</v>
      </c>
      <c r="AK890" t="b">
        <f t="shared" si="13"/>
        <v>1</v>
      </c>
      <c r="AL890" t="b">
        <f>COUNTBLANK(Metadata!B890:AD890)=COLUMNS(Metadata!B890:AD890)</f>
        <v>1</v>
      </c>
      <c r="AM890" t="str">
        <v/>
      </c>
      <c r="AO890" t="b">
        <f ca="1">AND(IF(Metadata!B890="",FALSE,TRUE),COUNTIF(Metadata!B:B, Metadata!B890) = 1,NOT(ISERROR(SUMPRODUCT(SEARCH(MID(Metadata!B890,ROW(INDIRECT("1:"&amp;LEN(Metadata!B890))), 1),"0123456789abcdefghijklmnopqrstuvwxyzABCDEFGHIJKLMNOPQRSTUVWXYZ.")))))</f>
        <v>0</v>
      </c>
      <c r="AP890" t="b">
        <f>IF(Metadata!C890="",FALSE,TRUE)</f>
        <v>0</v>
      </c>
      <c r="AQ890" t="b">
        <f>IF(Metadata!D890="",FALSE,TRUE)</f>
        <v>0</v>
      </c>
      <c r="AR890" t="b">
        <f ca="1">OR(AND(IF(Metadata!E890="",FALSE,TRUE),OR(EXACT(Metadata!E890,"not collected"),EXACT(Metadata!E890,"not provided"),EXACT(Metadata!E890,"restricted access"))),AND(IF(Metadata!E890="",FALSE,TRUE),AND(AND(IFERROR(INT(LEFT(Metadata!E890,4))&gt;1900,FALSE),IFERROR(INT(LEFT(Metadata!E890,4))&lt;=YEAR(NOW()),FALSE)), OR(MID(Metadata!E890,5,1)="", AND(AND(MID(Metadata!E890,5,1)="-",IFERROR(INT(MID(Metadata!E890,6,1))&gt;=0,FALSE),IFERROR(INT(MID(Metadata!E890,6,1))&lt;=1,FALSE),NOT(MID(Metadata!E890,7,1)=""),IFERROR(INT(MID(Metadata!E890,6,2))&gt;=1,FALSE),IFERROR(INT(MID(Metadata!E890,6,2))&lt;=12,FALSE)), OR(MID(Metadata!E890,8,1)="", AND(AND(MID(Metadata!E890,8,1)="-",IFERROR(INT(MID(Metadata!E890,9,1))&gt;=0,FALSE),IFERROR(INT(MID(Metadata!E890,9,1))&lt;=3,FALSE),NOT(MID(Metadata!E890,10,1)=""),IFERROR(INT(MID(Metadata!E890,9,2))&gt;=1,FALSE),IFERROR(INT(MID(Metadata!E890,9,2))&lt;=31,FALSE)), OR(MID(Metadata!E890,11,1)="", AND(AND(MID(Metadata!E890,11,1)=" ",IFERROR(INT(MID(Metadata!E890,12,1))&gt;=0,FALSE),IFERROR(INT(MID(Metadata!E890,12,1))&lt;=2,FALSE),NOT(MID(Metadata!E890,13,1)=""),IFERROR(INT(MID(Metadata!E890,12,2))&gt;=0,FALSE),IFERROR(INT(MID(Metadata!E890,12,2))&lt;=23,FALSE)), OR(MID(Metadata!E890,14,1)="", AND(AND(MID(Metadata!E890,14,1)=":",IFERROR(INT(MID(Metadata!E890,15,1))&gt;=0,FALSE),IFERROR(INT(MID(Metadata!E890,15,1))&lt;=5,FALSE),NOT(MID(Metadata!E890,16,1)=""),IFERROR(INT(MID(Metadata!E890,15,2))&gt;=0,FALSE),IFERROR(INT(MID(Metadata!E890,15,2))&lt;=59,FALSE)), OR(MID(Metadata!E890,17,1)="", AND(AND(MID(Metadata!E890,17,1)=":",IFERROR(INT(MID(Metadata!E890,18,1))&gt;=0,FALSE),IFERROR(INT(MID(Metadata!E890,18,1))&lt;=5,FALSE),NOT(MID(Metadata!E890,19,1)=""),IFERROR(INT(MID(Metadata!E890,18,2))&gt;=0,FALSE),IFERROR(INT(MID(Metadata!E890,18,2))&lt;=59,FALSE)), LEN(Metadata!E890)&lt;=19)))))))))))))</f>
        <v>0</v>
      </c>
      <c r="AS890" t="b">
        <f>IF(Metadata!F890="",FALSE,TRUE)</f>
        <v>0</v>
      </c>
      <c r="AT890" t="b">
        <f>OR(AND(IF(Metadata!G890="",FALSE,TRUE),OR(EXACT(Metadata!G890,"not collected"),EXACT(Metadata!G890,"not provided"))),AND(IF(Metadata!G890="",FALSE,TRUE),OR(EXACT(Metadata!G890,"TRUE"),EXACT(Metadata!G890,"FALSE"))))</f>
        <v>0</v>
      </c>
      <c r="AU890" t="b">
        <f>OR(AND(IF(Metadata!H890="",FALSE,TRUE),OR(EXACT(Metadata!H890,"not collected"),EXACT(Metadata!H890,"not provided"),EXACT(Metadata!H890,"restricted access"))),AND(IF(Metadata!H890="",FALSE,ISNUMBER(VALUE(Metadata!H890))),Metadata!H890&gt;=-413))</f>
        <v>0</v>
      </c>
      <c r="AV890" t="b">
        <f>AND(IF(Metadata!I890="",FALSE,TRUE),EXACT(Metadata!I890,"meters"))</f>
        <v>0</v>
      </c>
      <c r="AW890" t="b">
        <f>AND(IF(Metadata!J890="",FALSE,TRUE),EXACT(Metadata!J890,"free-living"))</f>
        <v>0</v>
      </c>
      <c r="AX890" t="b">
        <f>AND(IF(Metadata!K890="",FALSE,TRUE),OR(EXACT(Metadata!K890,"saline"),EXACT(Metadata!K890,"non-saline")))</f>
        <v>0</v>
      </c>
      <c r="AY890" t="b">
        <f>AND(IF(Metadata!L890="",FALSE,TRUE),OR(EXACT(Metadata!L890,"sub-surface (non-saline)"),EXACT(Metadata!L890,"surface (non-saline)"),EXACT(Metadata!L890,"water (non-saline)"),EXACT(Metadata!L890,"soil (non-saline)"),EXACT(Metadata!L890,"aerosol (non-saline)"),EXACT(Metadata!L890,"sediment (non-saline)"),EXACT(Metadata!L890,"surface (saline)"),EXACT(Metadata!L890,"water (saline)"),EXACT(Metadata!L890,"hypersaline (saline)"),EXACT(Metadata!L890,"aerosol (saline)"),EXACT(Metadata!L890,"sediment (saline)")))</f>
        <v>0</v>
      </c>
      <c r="AZ890" t="b">
        <f>IF(Metadata!M890="",FALSE,TRUE)</f>
        <v>0</v>
      </c>
      <c r="BA890" t="b">
        <f>IF(Metadata!N890="",FALSE,TRUE)</f>
        <v>0</v>
      </c>
      <c r="BB890" t="b">
        <f>IF(Metadata!O890="",FALSE,TRUE)</f>
        <v>0</v>
      </c>
      <c r="BC890" t="b">
        <f>AND(IF(Metadata!P890="",FALSE,TRUE),OR(EXACT(Metadata!P890,"air"),EXACT(Metadata!P890,"microbial mat/biofilm"),EXACT(Metadata!P890,"misc environment"),EXACT(Metadata!P890,"sediment"),EXACT(Metadata!P890,"soil"),EXACT(Metadata!P890,"wastewater/sludge"),EXACT(Metadata!P890,"water")))</f>
        <v>0</v>
      </c>
      <c r="BD890" t="b">
        <f>IF(Metadata!Q890="",FALSE,TRUE)</f>
        <v>0</v>
      </c>
      <c r="BE890" t="b">
        <f>IF(Metadata!R890="",FALSE,TRUE)</f>
        <v>0</v>
      </c>
      <c r="BF890" t="b">
        <f>OR(AND(IF(Metadata!S890="",FALSE,TRUE),OR(EXACT(Metadata!S890,"not collected"),EXACT(Metadata!S890,"not provided"),EXACT(Metadata!S890,"restricted access"))),AND(IF(Metadata!S890="",FALSE,ISNUMBER(VALUE(Metadata!S890))),Metadata!S890&gt;=-90,Metadata!S890&lt;=90))</f>
        <v>0</v>
      </c>
      <c r="BG890" t="b">
        <f>AND(IF(Metadata!T890="",FALSE,TRUE),EXACT(Metadata!T890,"Decimal degrees"))</f>
        <v>0</v>
      </c>
      <c r="BH890" t="b">
        <f>OR(AND(IF(Metadata!U890="",FALSE,TRUE),OR(EXACT(Metadata!U890,"not applicable"),EXACT(Metadata!U890,"not collected"))),IF(Metadata!U890="",FALSE,TRUE))</f>
        <v>0</v>
      </c>
      <c r="BI890" t="b">
        <f>OR(AND(IF(Metadata!V890="",FALSE,TRUE),OR(EXACT(Metadata!V890,"not collected"),EXACT(Metadata!V890,"not provided"),EXACT(Metadata!V890,"restricted access"))),AND(IF(Metadata!V890="",FALSE,ISNUMBER(VALUE(Metadata!V890))),Metadata!V890&gt;=-180,Metadata!V890&lt;=180))</f>
        <v>0</v>
      </c>
      <c r="BJ890" t="b">
        <f>AND(IF(Metadata!W890="",FALSE,TRUE),EXACT(Metadata!W890,"Decimal degrees"))</f>
        <v>0</v>
      </c>
      <c r="BK890" t="b">
        <f>IF(Metadata!X890="",FALSE,TRUE)</f>
        <v>0</v>
      </c>
      <c r="BL890" t="b">
        <f>OR(AND(IF(Metadata!Y890="",FALSE,TRUE),OR(EXACT(Metadata!Y890,"not collected"),EXACT(Metadata!Y890,"not provided"),EXACT(Metadata!Y890,"restricted access"))),AND(IF(Metadata!Y890="",FALSE,TRUE),OR(EXACT(Metadata!Y890,"TRUE"),EXACT(Metadata!Y890,"FALSE"))))</f>
        <v>0</v>
      </c>
      <c r="BM890" t="b">
        <f>OR(AND(IF(Metadata!Z890="",FALSE,TRUE),EXACT(Metadata!Z890,"not applicable")),AND(IF(Metadata!Z890="",FALSE,TRUE),OR(EXACT(Metadata!Z890,"beer"),EXACT(Metadata!Z890,"cheese"),EXACT(Metadata!Z890,"fresh water"),EXACT(Metadata!Z890,"marine sediment"),EXACT(Metadata!Z890,"sea water"),EXACT(Metadata!Z890,"sediment"),EXACT(Metadata!Z890,"soil"),EXACT(Metadata!Z890,"waste water"))))</f>
        <v>0</v>
      </c>
      <c r="BN890" t="b">
        <f>AND(IF(Metadata!AA890="",FALSE,TRUE),EXACT(Metadata!AA890,"metagenome"))</f>
        <v>0</v>
      </c>
      <c r="BO890" t="b">
        <f>AND(IF(Metadata!AB890="",FALSE,TRUE),EXACT(Metadata!AB890,"256318"))</f>
        <v>0</v>
      </c>
      <c r="BP890" t="b">
        <f>IF(Metadata!AC890="",FALSE,TRUE)</f>
        <v>0</v>
      </c>
      <c r="BQ890" t="b">
        <f>IF(Metadata!AD890="",FALSE,TRUE)</f>
        <v>0</v>
      </c>
    </row>
    <row r="891" spans="1:69" x14ac:dyDescent="0.2">
      <c r="A891" s="4" t="e">
        <f ca="1">IF(B891=" "," ",HYPERLINK(CONCATENATE("#metadata!",ADDRESS(INDEX($AJ$2:$AJ$1001,MATCH(ROWS($AH$2:AH891),$AH$2:$AH$1001,0),0),2)),INDEX($AM$2:$AM$1001,MATCH(ROWS($AH$2:AH891),$AH$2:$AH$1001,0),0)))</f>
        <v>#N/A</v>
      </c>
      <c r="B891" s="5" t="e">
        <f ca="1">IF(OR(INDEX($AI$2:$AI$1001,MATCH(ROWS($AH$2:AH891),$AH$2:$AH$1001,0),1)&gt;=100000,INDEX($AO$1005:$BQ$1005,1,MATCH(COLUMNS($AO$1006:AO1006),$AO$1006:$BQ$1006,0))&gt;=100000), " ",IF(INDEX($AO$2:$BQ$1001,MATCH(ROWS($AH$2:AH891),$AH$2:$AH$1001,0),MATCH(COLUMNS($AO$1006:AO1006),$AO$1006:$BQ$1006,0)), HYPERLINK("#",""), HYPERLINK(CONCATENATE("#Metadata!", ADDRESS(INDEX($AJ$2:$AJ$1001,MATCH(ROWS($AH$2:AH891),$AH$2:$AH$1001,0),0), INDEX($AO$1004:$BQ$1004,1,MATCH(COLUMNS($AO$1006:AO1006),$AO$1006:$BQ$1006,0)))),"Fix")))</f>
        <v>#N/A</v>
      </c>
      <c r="C891" s="5" t="e">
        <f ca="1">IF(OR(INDEX($AI$2:$AI$1001,MATCH(ROWS($AH$2:AH891),$AH$2:$AH$1001,0),1)&gt;=100000,INDEX($AO$1005:$BQ$1005,1,MATCH(COLUMNS($AO$1006:AP1006),$AO$1006:$BQ$1006,0))&gt;=100000), " ",IF(INDEX($AO$2:$BQ$1001,MATCH(ROWS($AH$2:AH891),$AH$2:$AH$1001,0),MATCH(COLUMNS($AO$1006:AP1006),$AO$1006:$BQ$1006,0)), HYPERLINK("#",""), HYPERLINK(CONCATENATE("#Metadata!", ADDRESS(INDEX($AJ$2:$AJ$1001,MATCH(ROWS($AH$2:AH891),$AH$2:$AH$1001,0),0), INDEX($AO$1004:$BQ$1004,1,MATCH(COLUMNS($AO$1006:AP1006),$AO$1006:$BQ$1006,0)))),"Fix")))</f>
        <v>#N/A</v>
      </c>
      <c r="D891" s="5" t="e">
        <f ca="1">IF(OR(INDEX($AI$2:$AI$1001,MATCH(ROWS($AH$2:AH891),$AH$2:$AH$1001,0),1)&gt;=100000,INDEX($AO$1005:$BQ$1005,1,MATCH(COLUMNS($AO$1006:AQ1006),$AO$1006:$BQ$1006,0))&gt;=100000), " ",IF(INDEX($AO$2:$BQ$1001,MATCH(ROWS($AH$2:AH891),$AH$2:$AH$1001,0),MATCH(COLUMNS($AO$1006:AQ1006),$AO$1006:$BQ$1006,0)), HYPERLINK("#",""), HYPERLINK(CONCATENATE("#Metadata!", ADDRESS(INDEX($AJ$2:$AJ$1001,MATCH(ROWS($AH$2:AH891),$AH$2:$AH$1001,0),0), INDEX($AO$1004:$BQ$1004,1,MATCH(COLUMNS($AO$1006:AQ1006),$AO$1006:$BQ$1006,0)))),"Fix")))</f>
        <v>#N/A</v>
      </c>
      <c r="E891" s="5" t="e">
        <f ca="1">IF(OR(INDEX($AI$2:$AI$1001,MATCH(ROWS($AH$2:AH891),$AH$2:$AH$1001,0),1)&gt;=100000,INDEX($AO$1005:$BQ$1005,1,MATCH(COLUMNS($AO$1006:AR1006),$AO$1006:$BQ$1006,0))&gt;=100000), " ",IF(INDEX($AO$2:$BQ$1001,MATCH(ROWS($AH$2:AH891),$AH$2:$AH$1001,0),MATCH(COLUMNS($AO$1006:AR1006),$AO$1006:$BQ$1006,0)), HYPERLINK("#",""), HYPERLINK(CONCATENATE("#Metadata!", ADDRESS(INDEX($AJ$2:$AJ$1001,MATCH(ROWS($AH$2:AH891),$AH$2:$AH$1001,0),0), INDEX($AO$1004:$BQ$1004,1,MATCH(COLUMNS($AO$1006:AR1006),$AO$1006:$BQ$1006,0)))),"Fix")))</f>
        <v>#N/A</v>
      </c>
      <c r="F891" s="5" t="e">
        <f ca="1">IF(OR(INDEX($AI$2:$AI$1001,MATCH(ROWS($AH$2:AH891),$AH$2:$AH$1001,0),1)&gt;=100000,INDEX($AO$1005:$BQ$1005,1,MATCH(COLUMNS($AO$1006:AS1006),$AO$1006:$BQ$1006,0))&gt;=100000), " ",IF(INDEX($AO$2:$BQ$1001,MATCH(ROWS($AH$2:AH891),$AH$2:$AH$1001,0),MATCH(COLUMNS($AO$1006:AS1006),$AO$1006:$BQ$1006,0)), HYPERLINK("#",""), HYPERLINK(CONCATENATE("#Metadata!", ADDRESS(INDEX($AJ$2:$AJ$1001,MATCH(ROWS($AH$2:AH891),$AH$2:$AH$1001,0),0), INDEX($AO$1004:$BQ$1004,1,MATCH(COLUMNS($AO$1006:AS1006),$AO$1006:$BQ$1006,0)))),"Fix")))</f>
        <v>#N/A</v>
      </c>
      <c r="G891" s="5" t="e">
        <f ca="1">IF(OR(INDEX($AI$2:$AI$1001,MATCH(ROWS($AH$2:AH891),$AH$2:$AH$1001,0),1)&gt;=100000,INDEX($AO$1005:$BQ$1005,1,MATCH(COLUMNS($AO$1006:AT1006),$AO$1006:$BQ$1006,0))&gt;=100000), " ",IF(INDEX($AO$2:$BQ$1001,MATCH(ROWS($AH$2:AH891),$AH$2:$AH$1001,0),MATCH(COLUMNS($AO$1006:AT1006),$AO$1006:$BQ$1006,0)), HYPERLINK("#",""), HYPERLINK(CONCATENATE("#Metadata!", ADDRESS(INDEX($AJ$2:$AJ$1001,MATCH(ROWS($AH$2:AH891),$AH$2:$AH$1001,0),0), INDEX($AO$1004:$BQ$1004,1,MATCH(COLUMNS($AO$1006:AT1006),$AO$1006:$BQ$1006,0)))),"Fix")))</f>
        <v>#N/A</v>
      </c>
      <c r="H891" s="5" t="e">
        <f ca="1">IF(OR(INDEX($AI$2:$AI$1001,MATCH(ROWS($AH$2:AH891),$AH$2:$AH$1001,0),1)&gt;=100000,INDEX($AO$1005:$BQ$1005,1,MATCH(COLUMNS($AO$1006:AU1006),$AO$1006:$BQ$1006,0))&gt;=100000), " ",IF(INDEX($AO$2:$BQ$1001,MATCH(ROWS($AH$2:AH891),$AH$2:$AH$1001,0),MATCH(COLUMNS($AO$1006:AU1006),$AO$1006:$BQ$1006,0)), HYPERLINK("#",""), HYPERLINK(CONCATENATE("#Metadata!", ADDRESS(INDEX($AJ$2:$AJ$1001,MATCH(ROWS($AH$2:AH891),$AH$2:$AH$1001,0),0), INDEX($AO$1004:$BQ$1004,1,MATCH(COLUMNS($AO$1006:AU1006),$AO$1006:$BQ$1006,0)))),"Fix")))</f>
        <v>#N/A</v>
      </c>
      <c r="I891" s="5" t="e">
        <f ca="1">IF(OR(INDEX($AI$2:$AI$1001,MATCH(ROWS($AH$2:AH891),$AH$2:$AH$1001,0),1)&gt;=100000,INDEX($AO$1005:$BQ$1005,1,MATCH(COLUMNS($AO$1006:AV1006),$AO$1006:$BQ$1006,0))&gt;=100000), " ",IF(INDEX($AO$2:$BQ$1001,MATCH(ROWS($AH$2:AH891),$AH$2:$AH$1001,0),MATCH(COLUMNS($AO$1006:AV1006),$AO$1006:$BQ$1006,0)), HYPERLINK("#",""), HYPERLINK(CONCATENATE("#Metadata!", ADDRESS(INDEX($AJ$2:$AJ$1001,MATCH(ROWS($AH$2:AH891),$AH$2:$AH$1001,0),0), INDEX($AO$1004:$BQ$1004,1,MATCH(COLUMNS($AO$1006:AV1006),$AO$1006:$BQ$1006,0)))),"Fix")))</f>
        <v>#N/A</v>
      </c>
      <c r="J891" s="5" t="e">
        <f ca="1">IF(OR(INDEX($AI$2:$AI$1001,MATCH(ROWS($AH$2:AH891),$AH$2:$AH$1001,0),1)&gt;=100000,INDEX($AO$1005:$BQ$1005,1,MATCH(COLUMNS($AO$1006:AW1006),$AO$1006:$BQ$1006,0))&gt;=100000), " ",IF(INDEX($AO$2:$BQ$1001,MATCH(ROWS($AH$2:AH891),$AH$2:$AH$1001,0),MATCH(COLUMNS($AO$1006:AW1006),$AO$1006:$BQ$1006,0)), HYPERLINK("#",""), HYPERLINK(CONCATENATE("#Metadata!", ADDRESS(INDEX($AJ$2:$AJ$1001,MATCH(ROWS($AH$2:AH891),$AH$2:$AH$1001,0),0), INDEX($AO$1004:$BQ$1004,1,MATCH(COLUMNS($AO$1006:AW1006),$AO$1006:$BQ$1006,0)))),"Fix")))</f>
        <v>#N/A</v>
      </c>
      <c r="K891" s="5" t="e">
        <f ca="1">IF(OR(INDEX($AI$2:$AI$1001,MATCH(ROWS($AH$2:AH891),$AH$2:$AH$1001,0),1)&gt;=100000,INDEX($AO$1005:$BQ$1005,1,MATCH(COLUMNS($AO$1006:AX1006),$AO$1006:$BQ$1006,0))&gt;=100000), " ",IF(INDEX($AO$2:$BQ$1001,MATCH(ROWS($AH$2:AH891),$AH$2:$AH$1001,0),MATCH(COLUMNS($AO$1006:AX1006),$AO$1006:$BQ$1006,0)), HYPERLINK("#",""), HYPERLINK(CONCATENATE("#Metadata!", ADDRESS(INDEX($AJ$2:$AJ$1001,MATCH(ROWS($AH$2:AH891),$AH$2:$AH$1001,0),0), INDEX($AO$1004:$BQ$1004,1,MATCH(COLUMNS($AO$1006:AX1006),$AO$1006:$BQ$1006,0)))),"Fix")))</f>
        <v>#N/A</v>
      </c>
      <c r="L891" s="5" t="e">
        <f ca="1">IF(OR(INDEX($AI$2:$AI$1001,MATCH(ROWS($AH$2:AH891),$AH$2:$AH$1001,0),1)&gt;=100000,INDEX($AO$1005:$BQ$1005,1,MATCH(COLUMNS($AO$1006:AY1006),$AO$1006:$BQ$1006,0))&gt;=100000), " ",IF(INDEX($AO$2:$BQ$1001,MATCH(ROWS($AH$2:AH891),$AH$2:$AH$1001,0),MATCH(COLUMNS($AO$1006:AY1006),$AO$1006:$BQ$1006,0)), HYPERLINK("#",""), HYPERLINK(CONCATENATE("#Metadata!", ADDRESS(INDEX($AJ$2:$AJ$1001,MATCH(ROWS($AH$2:AH891),$AH$2:$AH$1001,0),0), INDEX($AO$1004:$BQ$1004,1,MATCH(COLUMNS($AO$1006:AY1006),$AO$1006:$BQ$1006,0)))),"Fix")))</f>
        <v>#N/A</v>
      </c>
      <c r="M891" s="5" t="e">
        <f ca="1">IF(OR(INDEX($AI$2:$AI$1001,MATCH(ROWS($AH$2:AH891),$AH$2:$AH$1001,0),1)&gt;=100000,INDEX($AO$1005:$BQ$1005,1,MATCH(COLUMNS($AO$1006:AZ1006),$AO$1006:$BQ$1006,0))&gt;=100000), " ",IF(INDEX($AO$2:$BQ$1001,MATCH(ROWS($AH$2:AH891),$AH$2:$AH$1001,0),MATCH(COLUMNS($AO$1006:AZ1006),$AO$1006:$BQ$1006,0)), HYPERLINK("#",""), HYPERLINK(CONCATENATE("#Metadata!", ADDRESS(INDEX($AJ$2:$AJ$1001,MATCH(ROWS($AH$2:AH891),$AH$2:$AH$1001,0),0), INDEX($AO$1004:$BQ$1004,1,MATCH(COLUMNS($AO$1006:AZ1006),$AO$1006:$BQ$1006,0)))),"Fix")))</f>
        <v>#N/A</v>
      </c>
      <c r="N891" s="5" t="e">
        <f ca="1">IF(OR(INDEX($AI$2:$AI$1001,MATCH(ROWS($AH$2:AH891),$AH$2:$AH$1001,0),1)&gt;=100000,INDEX($AO$1005:$BQ$1005,1,MATCH(COLUMNS($AO$1006:BA1006),$AO$1006:$BQ$1006,0))&gt;=100000), " ",IF(INDEX($AO$2:$BQ$1001,MATCH(ROWS($AH$2:AH891),$AH$2:$AH$1001,0),MATCH(COLUMNS($AO$1006:BA1006),$AO$1006:$BQ$1006,0)), HYPERLINK("#",""), HYPERLINK(CONCATENATE("#Metadata!", ADDRESS(INDEX($AJ$2:$AJ$1001,MATCH(ROWS($AH$2:AH891),$AH$2:$AH$1001,0),0), INDEX($AO$1004:$BQ$1004,1,MATCH(COLUMNS($AO$1006:BA1006),$AO$1006:$BQ$1006,0)))),"Fix")))</f>
        <v>#N/A</v>
      </c>
      <c r="O891" s="5" t="e">
        <f ca="1">IF(OR(INDEX($AI$2:$AI$1001,MATCH(ROWS($AH$2:AH891),$AH$2:$AH$1001,0),1)&gt;=100000,INDEX($AO$1005:$BQ$1005,1,MATCH(COLUMNS($AO$1006:BB1006),$AO$1006:$BQ$1006,0))&gt;=100000), " ",IF(INDEX($AO$2:$BQ$1001,MATCH(ROWS($AH$2:AH891),$AH$2:$AH$1001,0),MATCH(COLUMNS($AO$1006:BB1006),$AO$1006:$BQ$1006,0)), HYPERLINK("#",""), HYPERLINK(CONCATENATE("#Metadata!", ADDRESS(INDEX($AJ$2:$AJ$1001,MATCH(ROWS($AH$2:AH891),$AH$2:$AH$1001,0),0), INDEX($AO$1004:$BQ$1004,1,MATCH(COLUMNS($AO$1006:BB1006),$AO$1006:$BQ$1006,0)))),"Fix")))</f>
        <v>#N/A</v>
      </c>
      <c r="P891" s="5" t="e">
        <f ca="1">IF(OR(INDEX($AI$2:$AI$1001,MATCH(ROWS($AH$2:AH891),$AH$2:$AH$1001,0),1)&gt;=100000,INDEX($AO$1005:$BQ$1005,1,MATCH(COLUMNS($AO$1006:BC1006),$AO$1006:$BQ$1006,0))&gt;=100000), " ",IF(INDEX($AO$2:$BQ$1001,MATCH(ROWS($AH$2:AH891),$AH$2:$AH$1001,0),MATCH(COLUMNS($AO$1006:BC1006),$AO$1006:$BQ$1006,0)), HYPERLINK("#",""), HYPERLINK(CONCATENATE("#Metadata!", ADDRESS(INDEX($AJ$2:$AJ$1001,MATCH(ROWS($AH$2:AH891),$AH$2:$AH$1001,0),0), INDEX($AO$1004:$BQ$1004,1,MATCH(COLUMNS($AO$1006:BC1006),$AO$1006:$BQ$1006,0)))),"Fix")))</f>
        <v>#N/A</v>
      </c>
      <c r="Q891" s="5" t="e">
        <f ca="1">IF(OR(INDEX($AI$2:$AI$1001,MATCH(ROWS($AH$2:AH891),$AH$2:$AH$1001,0),1)&gt;=100000,INDEX($AO$1005:$BQ$1005,1,MATCH(COLUMNS($AO$1006:BD1006),$AO$1006:$BQ$1006,0))&gt;=100000), " ",IF(INDEX($AO$2:$BQ$1001,MATCH(ROWS($AH$2:AH891),$AH$2:$AH$1001,0),MATCH(COLUMNS($AO$1006:BD1006),$AO$1006:$BQ$1006,0)), HYPERLINK("#",""), HYPERLINK(CONCATENATE("#Metadata!", ADDRESS(INDEX($AJ$2:$AJ$1001,MATCH(ROWS($AH$2:AH891),$AH$2:$AH$1001,0),0), INDEX($AO$1004:$BQ$1004,1,MATCH(COLUMNS($AO$1006:BD1006),$AO$1006:$BQ$1006,0)))),"Fix")))</f>
        <v>#N/A</v>
      </c>
      <c r="R891" s="5" t="e">
        <f ca="1">IF(OR(INDEX($AI$2:$AI$1001,MATCH(ROWS($AH$2:AH891),$AH$2:$AH$1001,0),1)&gt;=100000,INDEX($AO$1005:$BQ$1005,1,MATCH(COLUMNS($AO$1006:BE1006),$AO$1006:$BQ$1006,0))&gt;=100000), " ",IF(INDEX($AO$2:$BQ$1001,MATCH(ROWS($AH$2:AH891),$AH$2:$AH$1001,0),MATCH(COLUMNS($AO$1006:BE1006),$AO$1006:$BQ$1006,0)), HYPERLINK("#",""), HYPERLINK(CONCATENATE("#Metadata!", ADDRESS(INDEX($AJ$2:$AJ$1001,MATCH(ROWS($AH$2:AH891),$AH$2:$AH$1001,0),0), INDEX($AO$1004:$BQ$1004,1,MATCH(COLUMNS($AO$1006:BE1006),$AO$1006:$BQ$1006,0)))),"Fix")))</f>
        <v>#N/A</v>
      </c>
      <c r="S891" s="5" t="e">
        <f ca="1">IF(OR(INDEX($AI$2:$AI$1001,MATCH(ROWS($AH$2:AH891),$AH$2:$AH$1001,0),1)&gt;=100000,INDEX($AO$1005:$BQ$1005,1,MATCH(COLUMNS($AO$1006:BF1006),$AO$1006:$BQ$1006,0))&gt;=100000), " ",IF(INDEX($AO$2:$BQ$1001,MATCH(ROWS($AH$2:AH891),$AH$2:$AH$1001,0),MATCH(COLUMNS($AO$1006:BF1006),$AO$1006:$BQ$1006,0)), HYPERLINK("#",""), HYPERLINK(CONCATENATE("#Metadata!", ADDRESS(INDEX($AJ$2:$AJ$1001,MATCH(ROWS($AH$2:AH891),$AH$2:$AH$1001,0),0), INDEX($AO$1004:$BQ$1004,1,MATCH(COLUMNS($AO$1006:BF1006),$AO$1006:$BQ$1006,0)))),"Fix")))</f>
        <v>#N/A</v>
      </c>
      <c r="T891" s="5" t="e">
        <f ca="1">IF(OR(INDEX($AI$2:$AI$1001,MATCH(ROWS($AH$2:AH891),$AH$2:$AH$1001,0),1)&gt;=100000,INDEX($AO$1005:$BQ$1005,1,MATCH(COLUMNS($AO$1006:BG1006),$AO$1006:$BQ$1006,0))&gt;=100000), " ",IF(INDEX($AO$2:$BQ$1001,MATCH(ROWS($AH$2:AH891),$AH$2:$AH$1001,0),MATCH(COLUMNS($AO$1006:BG1006),$AO$1006:$BQ$1006,0)), HYPERLINK("#",""), HYPERLINK(CONCATENATE("#Metadata!", ADDRESS(INDEX($AJ$2:$AJ$1001,MATCH(ROWS($AH$2:AH891),$AH$2:$AH$1001,0),0), INDEX($AO$1004:$BQ$1004,1,MATCH(COLUMNS($AO$1006:BG1006),$AO$1006:$BQ$1006,0)))),"Fix")))</f>
        <v>#N/A</v>
      </c>
      <c r="U891" s="5" t="e">
        <f ca="1">IF(OR(INDEX($AI$2:$AI$1001,MATCH(ROWS($AH$2:AH891),$AH$2:$AH$1001,0),1)&gt;=100000,INDEX($AO$1005:$BQ$1005,1,MATCH(COLUMNS($AO$1006:BH1006),$AO$1006:$BQ$1006,0))&gt;=100000), " ",IF(INDEX($AO$2:$BQ$1001,MATCH(ROWS($AH$2:AH891),$AH$2:$AH$1001,0),MATCH(COLUMNS($AO$1006:BH1006),$AO$1006:$BQ$1006,0)), HYPERLINK("#",""), HYPERLINK(CONCATENATE("#Metadata!", ADDRESS(INDEX($AJ$2:$AJ$1001,MATCH(ROWS($AH$2:AH891),$AH$2:$AH$1001,0),0), INDEX($AO$1004:$BQ$1004,1,MATCH(COLUMNS($AO$1006:BH1006),$AO$1006:$BQ$1006,0)))),"Fix")))</f>
        <v>#N/A</v>
      </c>
      <c r="V891" s="5" t="e">
        <f ca="1">IF(OR(INDEX($AI$2:$AI$1001,MATCH(ROWS($AH$2:AH891),$AH$2:$AH$1001,0),1)&gt;=100000,INDEX($AO$1005:$BQ$1005,1,MATCH(COLUMNS($AO$1006:BI1006),$AO$1006:$BQ$1006,0))&gt;=100000), " ",IF(INDEX($AO$2:$BQ$1001,MATCH(ROWS($AH$2:AH891),$AH$2:$AH$1001,0),MATCH(COLUMNS($AO$1006:BI1006),$AO$1006:$BQ$1006,0)), HYPERLINK("#",""), HYPERLINK(CONCATENATE("#Metadata!", ADDRESS(INDEX($AJ$2:$AJ$1001,MATCH(ROWS($AH$2:AH891),$AH$2:$AH$1001,0),0), INDEX($AO$1004:$BQ$1004,1,MATCH(COLUMNS($AO$1006:BI1006),$AO$1006:$BQ$1006,0)))),"Fix")))</f>
        <v>#N/A</v>
      </c>
      <c r="W891" s="5" t="e">
        <f ca="1">IF(OR(INDEX($AI$2:$AI$1001,MATCH(ROWS($AH$2:AH891),$AH$2:$AH$1001,0),1)&gt;=100000,INDEX($AO$1005:$BQ$1005,1,MATCH(COLUMNS($AO$1006:BJ1006),$AO$1006:$BQ$1006,0))&gt;=100000), " ",IF(INDEX($AO$2:$BQ$1001,MATCH(ROWS($AH$2:AH891),$AH$2:$AH$1001,0),MATCH(COLUMNS($AO$1006:BJ1006),$AO$1006:$BQ$1006,0)), HYPERLINK("#",""), HYPERLINK(CONCATENATE("#Metadata!", ADDRESS(INDEX($AJ$2:$AJ$1001,MATCH(ROWS($AH$2:AH891),$AH$2:$AH$1001,0),0), INDEX($AO$1004:$BQ$1004,1,MATCH(COLUMNS($AO$1006:BJ1006),$AO$1006:$BQ$1006,0)))),"Fix")))</f>
        <v>#N/A</v>
      </c>
      <c r="X891" s="5" t="e">
        <f ca="1">IF(OR(INDEX($AI$2:$AI$1001,MATCH(ROWS($AH$2:AH891),$AH$2:$AH$1001,0),1)&gt;=100000,INDEX($AO$1005:$BQ$1005,1,MATCH(COLUMNS($AO$1006:BK1006),$AO$1006:$BQ$1006,0))&gt;=100000), " ",IF(INDEX($AO$2:$BQ$1001,MATCH(ROWS($AH$2:AH891),$AH$2:$AH$1001,0),MATCH(COLUMNS($AO$1006:BK1006),$AO$1006:$BQ$1006,0)), HYPERLINK("#",""), HYPERLINK(CONCATENATE("#Metadata!", ADDRESS(INDEX($AJ$2:$AJ$1001,MATCH(ROWS($AH$2:AH891),$AH$2:$AH$1001,0),0), INDEX($AO$1004:$BQ$1004,1,MATCH(COLUMNS($AO$1006:BK1006),$AO$1006:$BQ$1006,0)))),"Fix")))</f>
        <v>#N/A</v>
      </c>
      <c r="Y891" s="5" t="e">
        <f ca="1">IF(OR(INDEX($AI$2:$AI$1001,MATCH(ROWS($AH$2:AH891),$AH$2:$AH$1001,0),1)&gt;=100000,INDEX($AO$1005:$BQ$1005,1,MATCH(COLUMNS($AO$1006:BL1006),$AO$1006:$BQ$1006,0))&gt;=100000), " ",IF(INDEX($AO$2:$BQ$1001,MATCH(ROWS($AH$2:AH891),$AH$2:$AH$1001,0),MATCH(COLUMNS($AO$1006:BL1006),$AO$1006:$BQ$1006,0)), HYPERLINK("#",""), HYPERLINK(CONCATENATE("#Metadata!", ADDRESS(INDEX($AJ$2:$AJ$1001,MATCH(ROWS($AH$2:AH891),$AH$2:$AH$1001,0),0), INDEX($AO$1004:$BQ$1004,1,MATCH(COLUMNS($AO$1006:BL1006),$AO$1006:$BQ$1006,0)))),"Fix")))</f>
        <v>#N/A</v>
      </c>
      <c r="Z891" s="5" t="e">
        <f ca="1">IF(OR(INDEX($AI$2:$AI$1001,MATCH(ROWS($AH$2:AH891),$AH$2:$AH$1001,0),1)&gt;=100000,INDEX($AO$1005:$BQ$1005,1,MATCH(COLUMNS($AO$1006:BM1006),$AO$1006:$BQ$1006,0))&gt;=100000), " ",IF(INDEX($AO$2:$BQ$1001,MATCH(ROWS($AH$2:AH891),$AH$2:$AH$1001,0),MATCH(COLUMNS($AO$1006:BM1006),$AO$1006:$BQ$1006,0)), HYPERLINK("#",""), HYPERLINK(CONCATENATE("#Metadata!", ADDRESS(INDEX($AJ$2:$AJ$1001,MATCH(ROWS($AH$2:AH891),$AH$2:$AH$1001,0),0), INDEX($AO$1004:$BQ$1004,1,MATCH(COLUMNS($AO$1006:BM1006),$AO$1006:$BQ$1006,0)))),"Fix")))</f>
        <v>#N/A</v>
      </c>
      <c r="AA891" s="5" t="e">
        <f ca="1">IF(OR(INDEX($AI$2:$AI$1001,MATCH(ROWS($AH$2:AH891),$AH$2:$AH$1001,0),1)&gt;=100000,INDEX($AO$1005:$BQ$1005,1,MATCH(COLUMNS($AO$1006:BN1006),$AO$1006:$BQ$1006,0))&gt;=100000), " ",IF(INDEX($AO$2:$BQ$1001,MATCH(ROWS($AH$2:AH891),$AH$2:$AH$1001,0),MATCH(COLUMNS($AO$1006:BN1006),$AO$1006:$BQ$1006,0)), HYPERLINK("#",""), HYPERLINK(CONCATENATE("#Metadata!", ADDRESS(INDEX($AJ$2:$AJ$1001,MATCH(ROWS($AH$2:AH891),$AH$2:$AH$1001,0),0), INDEX($AO$1004:$BQ$1004,1,MATCH(COLUMNS($AO$1006:BN1006),$AO$1006:$BQ$1006,0)))),"Fix")))</f>
        <v>#N/A</v>
      </c>
      <c r="AB891" s="5" t="e">
        <f ca="1">IF(OR(INDEX($AI$2:$AI$1001,MATCH(ROWS($AH$2:AH891),$AH$2:$AH$1001,0),1)&gt;=100000,INDEX($AO$1005:$BQ$1005,1,MATCH(COLUMNS($AO$1006:BO1006),$AO$1006:$BQ$1006,0))&gt;=100000), " ",IF(INDEX($AO$2:$BQ$1001,MATCH(ROWS($AH$2:AH891),$AH$2:$AH$1001,0),MATCH(COLUMNS($AO$1006:BO1006),$AO$1006:$BQ$1006,0)), HYPERLINK("#",""), HYPERLINK(CONCATENATE("#Metadata!", ADDRESS(INDEX($AJ$2:$AJ$1001,MATCH(ROWS($AH$2:AH891),$AH$2:$AH$1001,0),0), INDEX($AO$1004:$BQ$1004,1,MATCH(COLUMNS($AO$1006:BO1006),$AO$1006:$BQ$1006,0)))),"Fix")))</f>
        <v>#N/A</v>
      </c>
      <c r="AC891" s="5" t="e">
        <f ca="1">IF(OR(INDEX($AI$2:$AI$1001,MATCH(ROWS($AH$2:AH891),$AH$2:$AH$1001,0),1)&gt;=100000,INDEX($AO$1005:$BQ$1005,1,MATCH(COLUMNS($AO$1006:BP1006),$AO$1006:$BQ$1006,0))&gt;=100000), " ",IF(INDEX($AO$2:$BQ$1001,MATCH(ROWS($AH$2:AH891),$AH$2:$AH$1001,0),MATCH(COLUMNS($AO$1006:BP1006),$AO$1006:$BQ$1006,0)), HYPERLINK("#",""), HYPERLINK(CONCATENATE("#Metadata!", ADDRESS(INDEX($AJ$2:$AJ$1001,MATCH(ROWS($AH$2:AH891),$AH$2:$AH$1001,0),0), INDEX($AO$1004:$BQ$1004,1,MATCH(COLUMNS($AO$1006:BP1006),$AO$1006:$BQ$1006,0)))),"Fix")))</f>
        <v>#N/A</v>
      </c>
      <c r="AD891" s="5" t="e">
        <f ca="1">IF(OR(INDEX($AI$2:$AI$1001,MATCH(ROWS($AH$2:AH891),$AH$2:$AH$1001,0),1)&gt;=100000,INDEX($AO$1005:$BQ$1005,1,MATCH(COLUMNS($AO$1006:BQ1006),$AO$1006:$BQ$1006,0))&gt;=100000), " ",IF(INDEX($AO$2:$BQ$1001,MATCH(ROWS($AH$2:AH891),$AH$2:$AH$1001,0),MATCH(COLUMNS($AO$1006:BQ1006),$AO$1006:$BQ$1006,0)), HYPERLINK("#",""), HYPERLINK(CONCATENATE("#Metadata!", ADDRESS(INDEX($AJ$2:$AJ$1001,MATCH(ROWS($AH$2:AH891),$AH$2:$AH$1001,0),0), INDEX($AO$1004:$BQ$1004,1,MATCH(COLUMNS($AO$1006:BQ1006),$AO$1006:$BQ$1006,0)))),"Fix")))</f>
        <v>#REF!</v>
      </c>
      <c r="AH891">
        <f ca="1"/>
        <v>888</v>
      </c>
      <c r="AI891">
        <v>100891</v>
      </c>
      <c r="AJ891">
        <v>891</v>
      </c>
      <c r="AK891" t="b">
        <f t="shared" si="13"/>
        <v>1</v>
      </c>
      <c r="AL891" t="b">
        <f>COUNTBLANK(Metadata!B891:AD891)=COLUMNS(Metadata!B891:AD891)</f>
        <v>1</v>
      </c>
      <c r="AM891" t="str">
        <v/>
      </c>
      <c r="AO891" t="b">
        <f ca="1">AND(IF(Metadata!B891="",FALSE,TRUE),COUNTIF(Metadata!B:B, Metadata!B891) = 1,NOT(ISERROR(SUMPRODUCT(SEARCH(MID(Metadata!B891,ROW(INDIRECT("1:"&amp;LEN(Metadata!B891))), 1),"0123456789abcdefghijklmnopqrstuvwxyzABCDEFGHIJKLMNOPQRSTUVWXYZ.")))))</f>
        <v>0</v>
      </c>
      <c r="AP891" t="b">
        <f>IF(Metadata!C891="",FALSE,TRUE)</f>
        <v>0</v>
      </c>
      <c r="AQ891" t="b">
        <f>IF(Metadata!D891="",FALSE,TRUE)</f>
        <v>0</v>
      </c>
      <c r="AR891" t="b">
        <f ca="1">OR(AND(IF(Metadata!E891="",FALSE,TRUE),OR(EXACT(Metadata!E891,"not collected"),EXACT(Metadata!E891,"not provided"),EXACT(Metadata!E891,"restricted access"))),AND(IF(Metadata!E891="",FALSE,TRUE),AND(AND(IFERROR(INT(LEFT(Metadata!E891,4))&gt;1900,FALSE),IFERROR(INT(LEFT(Metadata!E891,4))&lt;=YEAR(NOW()),FALSE)), OR(MID(Metadata!E891,5,1)="", AND(AND(MID(Metadata!E891,5,1)="-",IFERROR(INT(MID(Metadata!E891,6,1))&gt;=0,FALSE),IFERROR(INT(MID(Metadata!E891,6,1))&lt;=1,FALSE),NOT(MID(Metadata!E891,7,1)=""),IFERROR(INT(MID(Metadata!E891,6,2))&gt;=1,FALSE),IFERROR(INT(MID(Metadata!E891,6,2))&lt;=12,FALSE)), OR(MID(Metadata!E891,8,1)="", AND(AND(MID(Metadata!E891,8,1)="-",IFERROR(INT(MID(Metadata!E891,9,1))&gt;=0,FALSE),IFERROR(INT(MID(Metadata!E891,9,1))&lt;=3,FALSE),NOT(MID(Metadata!E891,10,1)=""),IFERROR(INT(MID(Metadata!E891,9,2))&gt;=1,FALSE),IFERROR(INT(MID(Metadata!E891,9,2))&lt;=31,FALSE)), OR(MID(Metadata!E891,11,1)="", AND(AND(MID(Metadata!E891,11,1)=" ",IFERROR(INT(MID(Metadata!E891,12,1))&gt;=0,FALSE),IFERROR(INT(MID(Metadata!E891,12,1))&lt;=2,FALSE),NOT(MID(Metadata!E891,13,1)=""),IFERROR(INT(MID(Metadata!E891,12,2))&gt;=0,FALSE),IFERROR(INT(MID(Metadata!E891,12,2))&lt;=23,FALSE)), OR(MID(Metadata!E891,14,1)="", AND(AND(MID(Metadata!E891,14,1)=":",IFERROR(INT(MID(Metadata!E891,15,1))&gt;=0,FALSE),IFERROR(INT(MID(Metadata!E891,15,1))&lt;=5,FALSE),NOT(MID(Metadata!E891,16,1)=""),IFERROR(INT(MID(Metadata!E891,15,2))&gt;=0,FALSE),IFERROR(INT(MID(Metadata!E891,15,2))&lt;=59,FALSE)), OR(MID(Metadata!E891,17,1)="", AND(AND(MID(Metadata!E891,17,1)=":",IFERROR(INT(MID(Metadata!E891,18,1))&gt;=0,FALSE),IFERROR(INT(MID(Metadata!E891,18,1))&lt;=5,FALSE),NOT(MID(Metadata!E891,19,1)=""),IFERROR(INT(MID(Metadata!E891,18,2))&gt;=0,FALSE),IFERROR(INT(MID(Metadata!E891,18,2))&lt;=59,FALSE)), LEN(Metadata!E891)&lt;=19)))))))))))))</f>
        <v>0</v>
      </c>
      <c r="AS891" t="b">
        <f>IF(Metadata!F891="",FALSE,TRUE)</f>
        <v>0</v>
      </c>
      <c r="AT891" t="b">
        <f>OR(AND(IF(Metadata!G891="",FALSE,TRUE),OR(EXACT(Metadata!G891,"not collected"),EXACT(Metadata!G891,"not provided"))),AND(IF(Metadata!G891="",FALSE,TRUE),OR(EXACT(Metadata!G891,"TRUE"),EXACT(Metadata!G891,"FALSE"))))</f>
        <v>0</v>
      </c>
      <c r="AU891" t="b">
        <f>OR(AND(IF(Metadata!H891="",FALSE,TRUE),OR(EXACT(Metadata!H891,"not collected"),EXACT(Metadata!H891,"not provided"),EXACT(Metadata!H891,"restricted access"))),AND(IF(Metadata!H891="",FALSE,ISNUMBER(VALUE(Metadata!H891))),Metadata!H891&gt;=-413))</f>
        <v>0</v>
      </c>
      <c r="AV891" t="b">
        <f>AND(IF(Metadata!I891="",FALSE,TRUE),EXACT(Metadata!I891,"meters"))</f>
        <v>0</v>
      </c>
      <c r="AW891" t="b">
        <f>AND(IF(Metadata!J891="",FALSE,TRUE),EXACT(Metadata!J891,"free-living"))</f>
        <v>0</v>
      </c>
      <c r="AX891" t="b">
        <f>AND(IF(Metadata!K891="",FALSE,TRUE),OR(EXACT(Metadata!K891,"saline"),EXACT(Metadata!K891,"non-saline")))</f>
        <v>0</v>
      </c>
      <c r="AY891" t="b">
        <f>AND(IF(Metadata!L891="",FALSE,TRUE),OR(EXACT(Metadata!L891,"sub-surface (non-saline)"),EXACT(Metadata!L891,"surface (non-saline)"),EXACT(Metadata!L891,"water (non-saline)"),EXACT(Metadata!L891,"soil (non-saline)"),EXACT(Metadata!L891,"aerosol (non-saline)"),EXACT(Metadata!L891,"sediment (non-saline)"),EXACT(Metadata!L891,"surface (saline)"),EXACT(Metadata!L891,"water (saline)"),EXACT(Metadata!L891,"hypersaline (saline)"),EXACT(Metadata!L891,"aerosol (saline)"),EXACT(Metadata!L891,"sediment (saline)")))</f>
        <v>0</v>
      </c>
      <c r="AZ891" t="b">
        <f>IF(Metadata!M891="",FALSE,TRUE)</f>
        <v>0</v>
      </c>
      <c r="BA891" t="b">
        <f>IF(Metadata!N891="",FALSE,TRUE)</f>
        <v>0</v>
      </c>
      <c r="BB891" t="b">
        <f>IF(Metadata!O891="",FALSE,TRUE)</f>
        <v>0</v>
      </c>
      <c r="BC891" t="b">
        <f>AND(IF(Metadata!P891="",FALSE,TRUE),OR(EXACT(Metadata!P891,"air"),EXACT(Metadata!P891,"microbial mat/biofilm"),EXACT(Metadata!P891,"misc environment"),EXACT(Metadata!P891,"sediment"),EXACT(Metadata!P891,"soil"),EXACT(Metadata!P891,"wastewater/sludge"),EXACT(Metadata!P891,"water")))</f>
        <v>0</v>
      </c>
      <c r="BD891" t="b">
        <f>IF(Metadata!Q891="",FALSE,TRUE)</f>
        <v>0</v>
      </c>
      <c r="BE891" t="b">
        <f>IF(Metadata!R891="",FALSE,TRUE)</f>
        <v>0</v>
      </c>
      <c r="BF891" t="b">
        <f>OR(AND(IF(Metadata!S891="",FALSE,TRUE),OR(EXACT(Metadata!S891,"not collected"),EXACT(Metadata!S891,"not provided"),EXACT(Metadata!S891,"restricted access"))),AND(IF(Metadata!S891="",FALSE,ISNUMBER(VALUE(Metadata!S891))),Metadata!S891&gt;=-90,Metadata!S891&lt;=90))</f>
        <v>0</v>
      </c>
      <c r="BG891" t="b">
        <f>AND(IF(Metadata!T891="",FALSE,TRUE),EXACT(Metadata!T891,"Decimal degrees"))</f>
        <v>0</v>
      </c>
      <c r="BH891" t="b">
        <f>OR(AND(IF(Metadata!U891="",FALSE,TRUE),OR(EXACT(Metadata!U891,"not applicable"),EXACT(Metadata!U891,"not collected"))),IF(Metadata!U891="",FALSE,TRUE))</f>
        <v>0</v>
      </c>
      <c r="BI891" t="b">
        <f>OR(AND(IF(Metadata!V891="",FALSE,TRUE),OR(EXACT(Metadata!V891,"not collected"),EXACT(Metadata!V891,"not provided"),EXACT(Metadata!V891,"restricted access"))),AND(IF(Metadata!V891="",FALSE,ISNUMBER(VALUE(Metadata!V891))),Metadata!V891&gt;=-180,Metadata!V891&lt;=180))</f>
        <v>0</v>
      </c>
      <c r="BJ891" t="b">
        <f>AND(IF(Metadata!W891="",FALSE,TRUE),EXACT(Metadata!W891,"Decimal degrees"))</f>
        <v>0</v>
      </c>
      <c r="BK891" t="b">
        <f>IF(Metadata!X891="",FALSE,TRUE)</f>
        <v>0</v>
      </c>
      <c r="BL891" t="b">
        <f>OR(AND(IF(Metadata!Y891="",FALSE,TRUE),OR(EXACT(Metadata!Y891,"not collected"),EXACT(Metadata!Y891,"not provided"),EXACT(Metadata!Y891,"restricted access"))),AND(IF(Metadata!Y891="",FALSE,TRUE),OR(EXACT(Metadata!Y891,"TRUE"),EXACT(Metadata!Y891,"FALSE"))))</f>
        <v>0</v>
      </c>
      <c r="BM891" t="b">
        <f>OR(AND(IF(Metadata!Z891="",FALSE,TRUE),EXACT(Metadata!Z891,"not applicable")),AND(IF(Metadata!Z891="",FALSE,TRUE),OR(EXACT(Metadata!Z891,"beer"),EXACT(Metadata!Z891,"cheese"),EXACT(Metadata!Z891,"fresh water"),EXACT(Metadata!Z891,"marine sediment"),EXACT(Metadata!Z891,"sea water"),EXACT(Metadata!Z891,"sediment"),EXACT(Metadata!Z891,"soil"),EXACT(Metadata!Z891,"waste water"))))</f>
        <v>0</v>
      </c>
      <c r="BN891" t="b">
        <f>AND(IF(Metadata!AA891="",FALSE,TRUE),EXACT(Metadata!AA891,"metagenome"))</f>
        <v>0</v>
      </c>
      <c r="BO891" t="b">
        <f>AND(IF(Metadata!AB891="",FALSE,TRUE),EXACT(Metadata!AB891,"256318"))</f>
        <v>0</v>
      </c>
      <c r="BP891" t="b">
        <f>IF(Metadata!AC891="",FALSE,TRUE)</f>
        <v>0</v>
      </c>
      <c r="BQ891" t="b">
        <f>IF(Metadata!AD891="",FALSE,TRUE)</f>
        <v>0</v>
      </c>
    </row>
    <row r="892" spans="1:69" x14ac:dyDescent="0.2">
      <c r="A892" s="4" t="e">
        <f ca="1">IF(B892=" "," ",HYPERLINK(CONCATENATE("#metadata!",ADDRESS(INDEX($AJ$2:$AJ$1001,MATCH(ROWS($AH$2:AH892),$AH$2:$AH$1001,0),0),2)),INDEX($AM$2:$AM$1001,MATCH(ROWS($AH$2:AH892),$AH$2:$AH$1001,0),0)))</f>
        <v>#N/A</v>
      </c>
      <c r="B892" s="5" t="e">
        <f ca="1">IF(OR(INDEX($AI$2:$AI$1001,MATCH(ROWS($AH$2:AH892),$AH$2:$AH$1001,0),1)&gt;=100000,INDEX($AO$1005:$BQ$1005,1,MATCH(COLUMNS($AO$1006:AO1006),$AO$1006:$BQ$1006,0))&gt;=100000), " ",IF(INDEX($AO$2:$BQ$1001,MATCH(ROWS($AH$2:AH892),$AH$2:$AH$1001,0),MATCH(COLUMNS($AO$1006:AO1006),$AO$1006:$BQ$1006,0)), HYPERLINK("#",""), HYPERLINK(CONCATENATE("#Metadata!", ADDRESS(INDEX($AJ$2:$AJ$1001,MATCH(ROWS($AH$2:AH892),$AH$2:$AH$1001,0),0), INDEX($AO$1004:$BQ$1004,1,MATCH(COLUMNS($AO$1006:AO1006),$AO$1006:$BQ$1006,0)))),"Fix")))</f>
        <v>#N/A</v>
      </c>
      <c r="C892" s="5" t="e">
        <f ca="1">IF(OR(INDEX($AI$2:$AI$1001,MATCH(ROWS($AH$2:AH892),$AH$2:$AH$1001,0),1)&gt;=100000,INDEX($AO$1005:$BQ$1005,1,MATCH(COLUMNS($AO$1006:AP1006),$AO$1006:$BQ$1006,0))&gt;=100000), " ",IF(INDEX($AO$2:$BQ$1001,MATCH(ROWS($AH$2:AH892),$AH$2:$AH$1001,0),MATCH(COLUMNS($AO$1006:AP1006),$AO$1006:$BQ$1006,0)), HYPERLINK("#",""), HYPERLINK(CONCATENATE("#Metadata!", ADDRESS(INDEX($AJ$2:$AJ$1001,MATCH(ROWS($AH$2:AH892),$AH$2:$AH$1001,0),0), INDEX($AO$1004:$BQ$1004,1,MATCH(COLUMNS($AO$1006:AP1006),$AO$1006:$BQ$1006,0)))),"Fix")))</f>
        <v>#N/A</v>
      </c>
      <c r="D892" s="5" t="e">
        <f ca="1">IF(OR(INDEX($AI$2:$AI$1001,MATCH(ROWS($AH$2:AH892),$AH$2:$AH$1001,0),1)&gt;=100000,INDEX($AO$1005:$BQ$1005,1,MATCH(COLUMNS($AO$1006:AQ1006),$AO$1006:$BQ$1006,0))&gt;=100000), " ",IF(INDEX($AO$2:$BQ$1001,MATCH(ROWS($AH$2:AH892),$AH$2:$AH$1001,0),MATCH(COLUMNS($AO$1006:AQ1006),$AO$1006:$BQ$1006,0)), HYPERLINK("#",""), HYPERLINK(CONCATENATE("#Metadata!", ADDRESS(INDEX($AJ$2:$AJ$1001,MATCH(ROWS($AH$2:AH892),$AH$2:$AH$1001,0),0), INDEX($AO$1004:$BQ$1004,1,MATCH(COLUMNS($AO$1006:AQ1006),$AO$1006:$BQ$1006,0)))),"Fix")))</f>
        <v>#N/A</v>
      </c>
      <c r="E892" s="5" t="e">
        <f ca="1">IF(OR(INDEX($AI$2:$AI$1001,MATCH(ROWS($AH$2:AH892),$AH$2:$AH$1001,0),1)&gt;=100000,INDEX($AO$1005:$BQ$1005,1,MATCH(COLUMNS($AO$1006:AR1006),$AO$1006:$BQ$1006,0))&gt;=100000), " ",IF(INDEX($AO$2:$BQ$1001,MATCH(ROWS($AH$2:AH892),$AH$2:$AH$1001,0),MATCH(COLUMNS($AO$1006:AR1006),$AO$1006:$BQ$1006,0)), HYPERLINK("#",""), HYPERLINK(CONCATENATE("#Metadata!", ADDRESS(INDEX($AJ$2:$AJ$1001,MATCH(ROWS($AH$2:AH892),$AH$2:$AH$1001,0),0), INDEX($AO$1004:$BQ$1004,1,MATCH(COLUMNS($AO$1006:AR1006),$AO$1006:$BQ$1006,0)))),"Fix")))</f>
        <v>#N/A</v>
      </c>
      <c r="F892" s="5" t="e">
        <f ca="1">IF(OR(INDEX($AI$2:$AI$1001,MATCH(ROWS($AH$2:AH892),$AH$2:$AH$1001,0),1)&gt;=100000,INDEX($AO$1005:$BQ$1005,1,MATCH(COLUMNS($AO$1006:AS1006),$AO$1006:$BQ$1006,0))&gt;=100000), " ",IF(INDEX($AO$2:$BQ$1001,MATCH(ROWS($AH$2:AH892),$AH$2:$AH$1001,0),MATCH(COLUMNS($AO$1006:AS1006),$AO$1006:$BQ$1006,0)), HYPERLINK("#",""), HYPERLINK(CONCATENATE("#Metadata!", ADDRESS(INDEX($AJ$2:$AJ$1001,MATCH(ROWS($AH$2:AH892),$AH$2:$AH$1001,0),0), INDEX($AO$1004:$BQ$1004,1,MATCH(COLUMNS($AO$1006:AS1006),$AO$1006:$BQ$1006,0)))),"Fix")))</f>
        <v>#N/A</v>
      </c>
      <c r="G892" s="5" t="e">
        <f ca="1">IF(OR(INDEX($AI$2:$AI$1001,MATCH(ROWS($AH$2:AH892),$AH$2:$AH$1001,0),1)&gt;=100000,INDEX($AO$1005:$BQ$1005,1,MATCH(COLUMNS($AO$1006:AT1006),$AO$1006:$BQ$1006,0))&gt;=100000), " ",IF(INDEX($AO$2:$BQ$1001,MATCH(ROWS($AH$2:AH892),$AH$2:$AH$1001,0),MATCH(COLUMNS($AO$1006:AT1006),$AO$1006:$BQ$1006,0)), HYPERLINK("#",""), HYPERLINK(CONCATENATE("#Metadata!", ADDRESS(INDEX($AJ$2:$AJ$1001,MATCH(ROWS($AH$2:AH892),$AH$2:$AH$1001,0),0), INDEX($AO$1004:$BQ$1004,1,MATCH(COLUMNS($AO$1006:AT1006),$AO$1006:$BQ$1006,0)))),"Fix")))</f>
        <v>#N/A</v>
      </c>
      <c r="H892" s="5" t="e">
        <f ca="1">IF(OR(INDEX($AI$2:$AI$1001,MATCH(ROWS($AH$2:AH892),$AH$2:$AH$1001,0),1)&gt;=100000,INDEX($AO$1005:$BQ$1005,1,MATCH(COLUMNS($AO$1006:AU1006),$AO$1006:$BQ$1006,0))&gt;=100000), " ",IF(INDEX($AO$2:$BQ$1001,MATCH(ROWS($AH$2:AH892),$AH$2:$AH$1001,0),MATCH(COLUMNS($AO$1006:AU1006),$AO$1006:$BQ$1006,0)), HYPERLINK("#",""), HYPERLINK(CONCATENATE("#Metadata!", ADDRESS(INDEX($AJ$2:$AJ$1001,MATCH(ROWS($AH$2:AH892),$AH$2:$AH$1001,0),0), INDEX($AO$1004:$BQ$1004,1,MATCH(COLUMNS($AO$1006:AU1006),$AO$1006:$BQ$1006,0)))),"Fix")))</f>
        <v>#N/A</v>
      </c>
      <c r="I892" s="5" t="e">
        <f ca="1">IF(OR(INDEX($AI$2:$AI$1001,MATCH(ROWS($AH$2:AH892),$AH$2:$AH$1001,0),1)&gt;=100000,INDEX($AO$1005:$BQ$1005,1,MATCH(COLUMNS($AO$1006:AV1006),$AO$1006:$BQ$1006,0))&gt;=100000), " ",IF(INDEX($AO$2:$BQ$1001,MATCH(ROWS($AH$2:AH892),$AH$2:$AH$1001,0),MATCH(COLUMNS($AO$1006:AV1006),$AO$1006:$BQ$1006,0)), HYPERLINK("#",""), HYPERLINK(CONCATENATE("#Metadata!", ADDRESS(INDEX($AJ$2:$AJ$1001,MATCH(ROWS($AH$2:AH892),$AH$2:$AH$1001,0),0), INDEX($AO$1004:$BQ$1004,1,MATCH(COLUMNS($AO$1006:AV1006),$AO$1006:$BQ$1006,0)))),"Fix")))</f>
        <v>#N/A</v>
      </c>
      <c r="J892" s="5" t="e">
        <f ca="1">IF(OR(INDEX($AI$2:$AI$1001,MATCH(ROWS($AH$2:AH892),$AH$2:$AH$1001,0),1)&gt;=100000,INDEX($AO$1005:$BQ$1005,1,MATCH(COLUMNS($AO$1006:AW1006),$AO$1006:$BQ$1006,0))&gt;=100000), " ",IF(INDEX($AO$2:$BQ$1001,MATCH(ROWS($AH$2:AH892),$AH$2:$AH$1001,0),MATCH(COLUMNS($AO$1006:AW1006),$AO$1006:$BQ$1006,0)), HYPERLINK("#",""), HYPERLINK(CONCATENATE("#Metadata!", ADDRESS(INDEX($AJ$2:$AJ$1001,MATCH(ROWS($AH$2:AH892),$AH$2:$AH$1001,0),0), INDEX($AO$1004:$BQ$1004,1,MATCH(COLUMNS($AO$1006:AW1006),$AO$1006:$BQ$1006,0)))),"Fix")))</f>
        <v>#N/A</v>
      </c>
      <c r="K892" s="5" t="e">
        <f ca="1">IF(OR(INDEX($AI$2:$AI$1001,MATCH(ROWS($AH$2:AH892),$AH$2:$AH$1001,0),1)&gt;=100000,INDEX($AO$1005:$BQ$1005,1,MATCH(COLUMNS($AO$1006:AX1006),$AO$1006:$BQ$1006,0))&gt;=100000), " ",IF(INDEX($AO$2:$BQ$1001,MATCH(ROWS($AH$2:AH892),$AH$2:$AH$1001,0),MATCH(COLUMNS($AO$1006:AX1006),$AO$1006:$BQ$1006,0)), HYPERLINK("#",""), HYPERLINK(CONCATENATE("#Metadata!", ADDRESS(INDEX($AJ$2:$AJ$1001,MATCH(ROWS($AH$2:AH892),$AH$2:$AH$1001,0),0), INDEX($AO$1004:$BQ$1004,1,MATCH(COLUMNS($AO$1006:AX1006),$AO$1006:$BQ$1006,0)))),"Fix")))</f>
        <v>#N/A</v>
      </c>
      <c r="L892" s="5" t="e">
        <f ca="1">IF(OR(INDEX($AI$2:$AI$1001,MATCH(ROWS($AH$2:AH892),$AH$2:$AH$1001,0),1)&gt;=100000,INDEX($AO$1005:$BQ$1005,1,MATCH(COLUMNS($AO$1006:AY1006),$AO$1006:$BQ$1006,0))&gt;=100000), " ",IF(INDEX($AO$2:$BQ$1001,MATCH(ROWS($AH$2:AH892),$AH$2:$AH$1001,0),MATCH(COLUMNS($AO$1006:AY1006),$AO$1006:$BQ$1006,0)), HYPERLINK("#",""), HYPERLINK(CONCATENATE("#Metadata!", ADDRESS(INDEX($AJ$2:$AJ$1001,MATCH(ROWS($AH$2:AH892),$AH$2:$AH$1001,0),0), INDEX($AO$1004:$BQ$1004,1,MATCH(COLUMNS($AO$1006:AY1006),$AO$1006:$BQ$1006,0)))),"Fix")))</f>
        <v>#N/A</v>
      </c>
      <c r="M892" s="5" t="e">
        <f ca="1">IF(OR(INDEX($AI$2:$AI$1001,MATCH(ROWS($AH$2:AH892),$AH$2:$AH$1001,0),1)&gt;=100000,INDEX($AO$1005:$BQ$1005,1,MATCH(COLUMNS($AO$1006:AZ1006),$AO$1006:$BQ$1006,0))&gt;=100000), " ",IF(INDEX($AO$2:$BQ$1001,MATCH(ROWS($AH$2:AH892),$AH$2:$AH$1001,0),MATCH(COLUMNS($AO$1006:AZ1006),$AO$1006:$BQ$1006,0)), HYPERLINK("#",""), HYPERLINK(CONCATENATE("#Metadata!", ADDRESS(INDEX($AJ$2:$AJ$1001,MATCH(ROWS($AH$2:AH892),$AH$2:$AH$1001,0),0), INDEX($AO$1004:$BQ$1004,1,MATCH(COLUMNS($AO$1006:AZ1006),$AO$1006:$BQ$1006,0)))),"Fix")))</f>
        <v>#N/A</v>
      </c>
      <c r="N892" s="5" t="e">
        <f ca="1">IF(OR(INDEX($AI$2:$AI$1001,MATCH(ROWS($AH$2:AH892),$AH$2:$AH$1001,0),1)&gt;=100000,INDEX($AO$1005:$BQ$1005,1,MATCH(COLUMNS($AO$1006:BA1006),$AO$1006:$BQ$1006,0))&gt;=100000), " ",IF(INDEX($AO$2:$BQ$1001,MATCH(ROWS($AH$2:AH892),$AH$2:$AH$1001,0),MATCH(COLUMNS($AO$1006:BA1006),$AO$1006:$BQ$1006,0)), HYPERLINK("#",""), HYPERLINK(CONCATENATE("#Metadata!", ADDRESS(INDEX($AJ$2:$AJ$1001,MATCH(ROWS($AH$2:AH892),$AH$2:$AH$1001,0),0), INDEX($AO$1004:$BQ$1004,1,MATCH(COLUMNS($AO$1006:BA1006),$AO$1006:$BQ$1006,0)))),"Fix")))</f>
        <v>#N/A</v>
      </c>
      <c r="O892" s="5" t="e">
        <f ca="1">IF(OR(INDEX($AI$2:$AI$1001,MATCH(ROWS($AH$2:AH892),$AH$2:$AH$1001,0),1)&gt;=100000,INDEX($AO$1005:$BQ$1005,1,MATCH(COLUMNS($AO$1006:BB1006),$AO$1006:$BQ$1006,0))&gt;=100000), " ",IF(INDEX($AO$2:$BQ$1001,MATCH(ROWS($AH$2:AH892),$AH$2:$AH$1001,0),MATCH(COLUMNS($AO$1006:BB1006),$AO$1006:$BQ$1006,0)), HYPERLINK("#",""), HYPERLINK(CONCATENATE("#Metadata!", ADDRESS(INDEX($AJ$2:$AJ$1001,MATCH(ROWS($AH$2:AH892),$AH$2:$AH$1001,0),0), INDEX($AO$1004:$BQ$1004,1,MATCH(COLUMNS($AO$1006:BB1006),$AO$1006:$BQ$1006,0)))),"Fix")))</f>
        <v>#N/A</v>
      </c>
      <c r="P892" s="5" t="e">
        <f ca="1">IF(OR(INDEX($AI$2:$AI$1001,MATCH(ROWS($AH$2:AH892),$AH$2:$AH$1001,0),1)&gt;=100000,INDEX($AO$1005:$BQ$1005,1,MATCH(COLUMNS($AO$1006:BC1006),$AO$1006:$BQ$1006,0))&gt;=100000), " ",IF(INDEX($AO$2:$BQ$1001,MATCH(ROWS($AH$2:AH892),$AH$2:$AH$1001,0),MATCH(COLUMNS($AO$1006:BC1006),$AO$1006:$BQ$1006,0)), HYPERLINK("#",""), HYPERLINK(CONCATENATE("#Metadata!", ADDRESS(INDEX($AJ$2:$AJ$1001,MATCH(ROWS($AH$2:AH892),$AH$2:$AH$1001,0),0), INDEX($AO$1004:$BQ$1004,1,MATCH(COLUMNS($AO$1006:BC1006),$AO$1006:$BQ$1006,0)))),"Fix")))</f>
        <v>#N/A</v>
      </c>
      <c r="Q892" s="5" t="e">
        <f ca="1">IF(OR(INDEX($AI$2:$AI$1001,MATCH(ROWS($AH$2:AH892),$AH$2:$AH$1001,0),1)&gt;=100000,INDEX($AO$1005:$BQ$1005,1,MATCH(COLUMNS($AO$1006:BD1006),$AO$1006:$BQ$1006,0))&gt;=100000), " ",IF(INDEX($AO$2:$BQ$1001,MATCH(ROWS($AH$2:AH892),$AH$2:$AH$1001,0),MATCH(COLUMNS($AO$1006:BD1006),$AO$1006:$BQ$1006,0)), HYPERLINK("#",""), HYPERLINK(CONCATENATE("#Metadata!", ADDRESS(INDEX($AJ$2:$AJ$1001,MATCH(ROWS($AH$2:AH892),$AH$2:$AH$1001,0),0), INDEX($AO$1004:$BQ$1004,1,MATCH(COLUMNS($AO$1006:BD1006),$AO$1006:$BQ$1006,0)))),"Fix")))</f>
        <v>#N/A</v>
      </c>
      <c r="R892" s="5" t="e">
        <f ca="1">IF(OR(INDEX($AI$2:$AI$1001,MATCH(ROWS($AH$2:AH892),$AH$2:$AH$1001,0),1)&gt;=100000,INDEX($AO$1005:$BQ$1005,1,MATCH(COLUMNS($AO$1006:BE1006),$AO$1006:$BQ$1006,0))&gt;=100000), " ",IF(INDEX($AO$2:$BQ$1001,MATCH(ROWS($AH$2:AH892),$AH$2:$AH$1001,0),MATCH(COLUMNS($AO$1006:BE1006),$AO$1006:$BQ$1006,0)), HYPERLINK("#",""), HYPERLINK(CONCATENATE("#Metadata!", ADDRESS(INDEX($AJ$2:$AJ$1001,MATCH(ROWS($AH$2:AH892),$AH$2:$AH$1001,0),0), INDEX($AO$1004:$BQ$1004,1,MATCH(COLUMNS($AO$1006:BE1006),$AO$1006:$BQ$1006,0)))),"Fix")))</f>
        <v>#N/A</v>
      </c>
      <c r="S892" s="5" t="e">
        <f ca="1">IF(OR(INDEX($AI$2:$AI$1001,MATCH(ROWS($AH$2:AH892),$AH$2:$AH$1001,0),1)&gt;=100000,INDEX($AO$1005:$BQ$1005,1,MATCH(COLUMNS($AO$1006:BF1006),$AO$1006:$BQ$1006,0))&gt;=100000), " ",IF(INDEX($AO$2:$BQ$1001,MATCH(ROWS($AH$2:AH892),$AH$2:$AH$1001,0),MATCH(COLUMNS($AO$1006:BF1006),$AO$1006:$BQ$1006,0)), HYPERLINK("#",""), HYPERLINK(CONCATENATE("#Metadata!", ADDRESS(INDEX($AJ$2:$AJ$1001,MATCH(ROWS($AH$2:AH892),$AH$2:$AH$1001,0),0), INDEX($AO$1004:$BQ$1004,1,MATCH(COLUMNS($AO$1006:BF1006),$AO$1006:$BQ$1006,0)))),"Fix")))</f>
        <v>#N/A</v>
      </c>
      <c r="T892" s="5" t="e">
        <f ca="1">IF(OR(INDEX($AI$2:$AI$1001,MATCH(ROWS($AH$2:AH892),$AH$2:$AH$1001,0),1)&gt;=100000,INDEX($AO$1005:$BQ$1005,1,MATCH(COLUMNS($AO$1006:BG1006),$AO$1006:$BQ$1006,0))&gt;=100000), " ",IF(INDEX($AO$2:$BQ$1001,MATCH(ROWS($AH$2:AH892),$AH$2:$AH$1001,0),MATCH(COLUMNS($AO$1006:BG1006),$AO$1006:$BQ$1006,0)), HYPERLINK("#",""), HYPERLINK(CONCATENATE("#Metadata!", ADDRESS(INDEX($AJ$2:$AJ$1001,MATCH(ROWS($AH$2:AH892),$AH$2:$AH$1001,0),0), INDEX($AO$1004:$BQ$1004,1,MATCH(COLUMNS($AO$1006:BG1006),$AO$1006:$BQ$1006,0)))),"Fix")))</f>
        <v>#N/A</v>
      </c>
      <c r="U892" s="5" t="e">
        <f ca="1">IF(OR(INDEX($AI$2:$AI$1001,MATCH(ROWS($AH$2:AH892),$AH$2:$AH$1001,0),1)&gt;=100000,INDEX($AO$1005:$BQ$1005,1,MATCH(COLUMNS($AO$1006:BH1006),$AO$1006:$BQ$1006,0))&gt;=100000), " ",IF(INDEX($AO$2:$BQ$1001,MATCH(ROWS($AH$2:AH892),$AH$2:$AH$1001,0),MATCH(COLUMNS($AO$1006:BH1006),$AO$1006:$BQ$1006,0)), HYPERLINK("#",""), HYPERLINK(CONCATENATE("#Metadata!", ADDRESS(INDEX($AJ$2:$AJ$1001,MATCH(ROWS($AH$2:AH892),$AH$2:$AH$1001,0),0), INDEX($AO$1004:$BQ$1004,1,MATCH(COLUMNS($AO$1006:BH1006),$AO$1006:$BQ$1006,0)))),"Fix")))</f>
        <v>#N/A</v>
      </c>
      <c r="V892" s="5" t="e">
        <f ca="1">IF(OR(INDEX($AI$2:$AI$1001,MATCH(ROWS($AH$2:AH892),$AH$2:$AH$1001,0),1)&gt;=100000,INDEX($AO$1005:$BQ$1005,1,MATCH(COLUMNS($AO$1006:BI1006),$AO$1006:$BQ$1006,0))&gt;=100000), " ",IF(INDEX($AO$2:$BQ$1001,MATCH(ROWS($AH$2:AH892),$AH$2:$AH$1001,0),MATCH(COLUMNS($AO$1006:BI1006),$AO$1006:$BQ$1006,0)), HYPERLINK("#",""), HYPERLINK(CONCATENATE("#Metadata!", ADDRESS(INDEX($AJ$2:$AJ$1001,MATCH(ROWS($AH$2:AH892),$AH$2:$AH$1001,0),0), INDEX($AO$1004:$BQ$1004,1,MATCH(COLUMNS($AO$1006:BI1006),$AO$1006:$BQ$1006,0)))),"Fix")))</f>
        <v>#N/A</v>
      </c>
      <c r="W892" s="5" t="e">
        <f ca="1">IF(OR(INDEX($AI$2:$AI$1001,MATCH(ROWS($AH$2:AH892),$AH$2:$AH$1001,0),1)&gt;=100000,INDEX($AO$1005:$BQ$1005,1,MATCH(COLUMNS($AO$1006:BJ1006),$AO$1006:$BQ$1006,0))&gt;=100000), " ",IF(INDEX($AO$2:$BQ$1001,MATCH(ROWS($AH$2:AH892),$AH$2:$AH$1001,0),MATCH(COLUMNS($AO$1006:BJ1006),$AO$1006:$BQ$1006,0)), HYPERLINK("#",""), HYPERLINK(CONCATENATE("#Metadata!", ADDRESS(INDEX($AJ$2:$AJ$1001,MATCH(ROWS($AH$2:AH892),$AH$2:$AH$1001,0),0), INDEX($AO$1004:$BQ$1004,1,MATCH(COLUMNS($AO$1006:BJ1006),$AO$1006:$BQ$1006,0)))),"Fix")))</f>
        <v>#N/A</v>
      </c>
      <c r="X892" s="5" t="e">
        <f ca="1">IF(OR(INDEX($AI$2:$AI$1001,MATCH(ROWS($AH$2:AH892),$AH$2:$AH$1001,0),1)&gt;=100000,INDEX($AO$1005:$BQ$1005,1,MATCH(COLUMNS($AO$1006:BK1006),$AO$1006:$BQ$1006,0))&gt;=100000), " ",IF(INDEX($AO$2:$BQ$1001,MATCH(ROWS($AH$2:AH892),$AH$2:$AH$1001,0),MATCH(COLUMNS($AO$1006:BK1006),$AO$1006:$BQ$1006,0)), HYPERLINK("#",""), HYPERLINK(CONCATENATE("#Metadata!", ADDRESS(INDEX($AJ$2:$AJ$1001,MATCH(ROWS($AH$2:AH892),$AH$2:$AH$1001,0),0), INDEX($AO$1004:$BQ$1004,1,MATCH(COLUMNS($AO$1006:BK1006),$AO$1006:$BQ$1006,0)))),"Fix")))</f>
        <v>#N/A</v>
      </c>
      <c r="Y892" s="5" t="e">
        <f ca="1">IF(OR(INDEX($AI$2:$AI$1001,MATCH(ROWS($AH$2:AH892),$AH$2:$AH$1001,0),1)&gt;=100000,INDEX($AO$1005:$BQ$1005,1,MATCH(COLUMNS($AO$1006:BL1006),$AO$1006:$BQ$1006,0))&gt;=100000), " ",IF(INDEX($AO$2:$BQ$1001,MATCH(ROWS($AH$2:AH892),$AH$2:$AH$1001,0),MATCH(COLUMNS($AO$1006:BL1006),$AO$1006:$BQ$1006,0)), HYPERLINK("#",""), HYPERLINK(CONCATENATE("#Metadata!", ADDRESS(INDEX($AJ$2:$AJ$1001,MATCH(ROWS($AH$2:AH892),$AH$2:$AH$1001,0),0), INDEX($AO$1004:$BQ$1004,1,MATCH(COLUMNS($AO$1006:BL1006),$AO$1006:$BQ$1006,0)))),"Fix")))</f>
        <v>#N/A</v>
      </c>
      <c r="Z892" s="5" t="e">
        <f ca="1">IF(OR(INDEX($AI$2:$AI$1001,MATCH(ROWS($AH$2:AH892),$AH$2:$AH$1001,0),1)&gt;=100000,INDEX($AO$1005:$BQ$1005,1,MATCH(COLUMNS($AO$1006:BM1006),$AO$1006:$BQ$1006,0))&gt;=100000), " ",IF(INDEX($AO$2:$BQ$1001,MATCH(ROWS($AH$2:AH892),$AH$2:$AH$1001,0),MATCH(COLUMNS($AO$1006:BM1006),$AO$1006:$BQ$1006,0)), HYPERLINK("#",""), HYPERLINK(CONCATENATE("#Metadata!", ADDRESS(INDEX($AJ$2:$AJ$1001,MATCH(ROWS($AH$2:AH892),$AH$2:$AH$1001,0),0), INDEX($AO$1004:$BQ$1004,1,MATCH(COLUMNS($AO$1006:BM1006),$AO$1006:$BQ$1006,0)))),"Fix")))</f>
        <v>#N/A</v>
      </c>
      <c r="AA892" s="5" t="e">
        <f ca="1">IF(OR(INDEX($AI$2:$AI$1001,MATCH(ROWS($AH$2:AH892),$AH$2:$AH$1001,0),1)&gt;=100000,INDEX($AO$1005:$BQ$1005,1,MATCH(COLUMNS($AO$1006:BN1006),$AO$1006:$BQ$1006,0))&gt;=100000), " ",IF(INDEX($AO$2:$BQ$1001,MATCH(ROWS($AH$2:AH892),$AH$2:$AH$1001,0),MATCH(COLUMNS($AO$1006:BN1006),$AO$1006:$BQ$1006,0)), HYPERLINK("#",""), HYPERLINK(CONCATENATE("#Metadata!", ADDRESS(INDEX($AJ$2:$AJ$1001,MATCH(ROWS($AH$2:AH892),$AH$2:$AH$1001,0),0), INDEX($AO$1004:$BQ$1004,1,MATCH(COLUMNS($AO$1006:BN1006),$AO$1006:$BQ$1006,0)))),"Fix")))</f>
        <v>#N/A</v>
      </c>
      <c r="AB892" s="5" t="e">
        <f ca="1">IF(OR(INDEX($AI$2:$AI$1001,MATCH(ROWS($AH$2:AH892),$AH$2:$AH$1001,0),1)&gt;=100000,INDEX($AO$1005:$BQ$1005,1,MATCH(COLUMNS($AO$1006:BO1006),$AO$1006:$BQ$1006,0))&gt;=100000), " ",IF(INDEX($AO$2:$BQ$1001,MATCH(ROWS($AH$2:AH892),$AH$2:$AH$1001,0),MATCH(COLUMNS($AO$1006:BO1006),$AO$1006:$BQ$1006,0)), HYPERLINK("#",""), HYPERLINK(CONCATENATE("#Metadata!", ADDRESS(INDEX($AJ$2:$AJ$1001,MATCH(ROWS($AH$2:AH892),$AH$2:$AH$1001,0),0), INDEX($AO$1004:$BQ$1004,1,MATCH(COLUMNS($AO$1006:BO1006),$AO$1006:$BQ$1006,0)))),"Fix")))</f>
        <v>#N/A</v>
      </c>
      <c r="AC892" s="5" t="e">
        <f ca="1">IF(OR(INDEX($AI$2:$AI$1001,MATCH(ROWS($AH$2:AH892),$AH$2:$AH$1001,0),1)&gt;=100000,INDEX($AO$1005:$BQ$1005,1,MATCH(COLUMNS($AO$1006:BP1006),$AO$1006:$BQ$1006,0))&gt;=100000), " ",IF(INDEX($AO$2:$BQ$1001,MATCH(ROWS($AH$2:AH892),$AH$2:$AH$1001,0),MATCH(COLUMNS($AO$1006:BP1006),$AO$1006:$BQ$1006,0)), HYPERLINK("#",""), HYPERLINK(CONCATENATE("#Metadata!", ADDRESS(INDEX($AJ$2:$AJ$1001,MATCH(ROWS($AH$2:AH892),$AH$2:$AH$1001,0),0), INDEX($AO$1004:$BQ$1004,1,MATCH(COLUMNS($AO$1006:BP1006),$AO$1006:$BQ$1006,0)))),"Fix")))</f>
        <v>#N/A</v>
      </c>
      <c r="AD892" s="5" t="e">
        <f ca="1">IF(OR(INDEX($AI$2:$AI$1001,MATCH(ROWS($AH$2:AH892),$AH$2:$AH$1001,0),1)&gt;=100000,INDEX($AO$1005:$BQ$1005,1,MATCH(COLUMNS($AO$1006:BQ1006),$AO$1006:$BQ$1006,0))&gt;=100000), " ",IF(INDEX($AO$2:$BQ$1001,MATCH(ROWS($AH$2:AH892),$AH$2:$AH$1001,0),MATCH(COLUMNS($AO$1006:BQ1006),$AO$1006:$BQ$1006,0)), HYPERLINK("#",""), HYPERLINK(CONCATENATE("#Metadata!", ADDRESS(INDEX($AJ$2:$AJ$1001,MATCH(ROWS($AH$2:AH892),$AH$2:$AH$1001,0),0), INDEX($AO$1004:$BQ$1004,1,MATCH(COLUMNS($AO$1006:BQ1006),$AO$1006:$BQ$1006,0)))),"Fix")))</f>
        <v>#REF!</v>
      </c>
      <c r="AH892">
        <f ca="1"/>
        <v>889</v>
      </c>
      <c r="AI892">
        <v>100892</v>
      </c>
      <c r="AJ892">
        <v>892</v>
      </c>
      <c r="AK892" t="b">
        <f t="shared" si="13"/>
        <v>1</v>
      </c>
      <c r="AL892" t="b">
        <f>COUNTBLANK(Metadata!B892:AD892)=COLUMNS(Metadata!B892:AD892)</f>
        <v>1</v>
      </c>
      <c r="AM892" t="str">
        <v/>
      </c>
      <c r="AO892" t="b">
        <f ca="1">AND(IF(Metadata!B892="",FALSE,TRUE),COUNTIF(Metadata!B:B, Metadata!B892) = 1,NOT(ISERROR(SUMPRODUCT(SEARCH(MID(Metadata!B892,ROW(INDIRECT("1:"&amp;LEN(Metadata!B892))), 1),"0123456789abcdefghijklmnopqrstuvwxyzABCDEFGHIJKLMNOPQRSTUVWXYZ.")))))</f>
        <v>0</v>
      </c>
      <c r="AP892" t="b">
        <f>IF(Metadata!C892="",FALSE,TRUE)</f>
        <v>0</v>
      </c>
      <c r="AQ892" t="b">
        <f>IF(Metadata!D892="",FALSE,TRUE)</f>
        <v>0</v>
      </c>
      <c r="AR892" t="b">
        <f ca="1">OR(AND(IF(Metadata!E892="",FALSE,TRUE),OR(EXACT(Metadata!E892,"not collected"),EXACT(Metadata!E892,"not provided"),EXACT(Metadata!E892,"restricted access"))),AND(IF(Metadata!E892="",FALSE,TRUE),AND(AND(IFERROR(INT(LEFT(Metadata!E892,4))&gt;1900,FALSE),IFERROR(INT(LEFT(Metadata!E892,4))&lt;=YEAR(NOW()),FALSE)), OR(MID(Metadata!E892,5,1)="", AND(AND(MID(Metadata!E892,5,1)="-",IFERROR(INT(MID(Metadata!E892,6,1))&gt;=0,FALSE),IFERROR(INT(MID(Metadata!E892,6,1))&lt;=1,FALSE),NOT(MID(Metadata!E892,7,1)=""),IFERROR(INT(MID(Metadata!E892,6,2))&gt;=1,FALSE),IFERROR(INT(MID(Metadata!E892,6,2))&lt;=12,FALSE)), OR(MID(Metadata!E892,8,1)="", AND(AND(MID(Metadata!E892,8,1)="-",IFERROR(INT(MID(Metadata!E892,9,1))&gt;=0,FALSE),IFERROR(INT(MID(Metadata!E892,9,1))&lt;=3,FALSE),NOT(MID(Metadata!E892,10,1)=""),IFERROR(INT(MID(Metadata!E892,9,2))&gt;=1,FALSE),IFERROR(INT(MID(Metadata!E892,9,2))&lt;=31,FALSE)), OR(MID(Metadata!E892,11,1)="", AND(AND(MID(Metadata!E892,11,1)=" ",IFERROR(INT(MID(Metadata!E892,12,1))&gt;=0,FALSE),IFERROR(INT(MID(Metadata!E892,12,1))&lt;=2,FALSE),NOT(MID(Metadata!E892,13,1)=""),IFERROR(INT(MID(Metadata!E892,12,2))&gt;=0,FALSE),IFERROR(INT(MID(Metadata!E892,12,2))&lt;=23,FALSE)), OR(MID(Metadata!E892,14,1)="", AND(AND(MID(Metadata!E892,14,1)=":",IFERROR(INT(MID(Metadata!E892,15,1))&gt;=0,FALSE),IFERROR(INT(MID(Metadata!E892,15,1))&lt;=5,FALSE),NOT(MID(Metadata!E892,16,1)=""),IFERROR(INT(MID(Metadata!E892,15,2))&gt;=0,FALSE),IFERROR(INT(MID(Metadata!E892,15,2))&lt;=59,FALSE)), OR(MID(Metadata!E892,17,1)="", AND(AND(MID(Metadata!E892,17,1)=":",IFERROR(INT(MID(Metadata!E892,18,1))&gt;=0,FALSE),IFERROR(INT(MID(Metadata!E892,18,1))&lt;=5,FALSE),NOT(MID(Metadata!E892,19,1)=""),IFERROR(INT(MID(Metadata!E892,18,2))&gt;=0,FALSE),IFERROR(INT(MID(Metadata!E892,18,2))&lt;=59,FALSE)), LEN(Metadata!E892)&lt;=19)))))))))))))</f>
        <v>0</v>
      </c>
      <c r="AS892" t="b">
        <f>IF(Metadata!F892="",FALSE,TRUE)</f>
        <v>0</v>
      </c>
      <c r="AT892" t="b">
        <f>OR(AND(IF(Metadata!G892="",FALSE,TRUE),OR(EXACT(Metadata!G892,"not collected"),EXACT(Metadata!G892,"not provided"))),AND(IF(Metadata!G892="",FALSE,TRUE),OR(EXACT(Metadata!G892,"TRUE"),EXACT(Metadata!G892,"FALSE"))))</f>
        <v>0</v>
      </c>
      <c r="AU892" t="b">
        <f>OR(AND(IF(Metadata!H892="",FALSE,TRUE),OR(EXACT(Metadata!H892,"not collected"),EXACT(Metadata!H892,"not provided"),EXACT(Metadata!H892,"restricted access"))),AND(IF(Metadata!H892="",FALSE,ISNUMBER(VALUE(Metadata!H892))),Metadata!H892&gt;=-413))</f>
        <v>0</v>
      </c>
      <c r="AV892" t="b">
        <f>AND(IF(Metadata!I892="",FALSE,TRUE),EXACT(Metadata!I892,"meters"))</f>
        <v>0</v>
      </c>
      <c r="AW892" t="b">
        <f>AND(IF(Metadata!J892="",FALSE,TRUE),EXACT(Metadata!J892,"free-living"))</f>
        <v>0</v>
      </c>
      <c r="AX892" t="b">
        <f>AND(IF(Metadata!K892="",FALSE,TRUE),OR(EXACT(Metadata!K892,"saline"),EXACT(Metadata!K892,"non-saline")))</f>
        <v>0</v>
      </c>
      <c r="AY892" t="b">
        <f>AND(IF(Metadata!L892="",FALSE,TRUE),OR(EXACT(Metadata!L892,"sub-surface (non-saline)"),EXACT(Metadata!L892,"surface (non-saline)"),EXACT(Metadata!L892,"water (non-saline)"),EXACT(Metadata!L892,"soil (non-saline)"),EXACT(Metadata!L892,"aerosol (non-saline)"),EXACT(Metadata!L892,"sediment (non-saline)"),EXACT(Metadata!L892,"surface (saline)"),EXACT(Metadata!L892,"water (saline)"),EXACT(Metadata!L892,"hypersaline (saline)"),EXACT(Metadata!L892,"aerosol (saline)"),EXACT(Metadata!L892,"sediment (saline)")))</f>
        <v>0</v>
      </c>
      <c r="AZ892" t="b">
        <f>IF(Metadata!M892="",FALSE,TRUE)</f>
        <v>0</v>
      </c>
      <c r="BA892" t="b">
        <f>IF(Metadata!N892="",FALSE,TRUE)</f>
        <v>0</v>
      </c>
      <c r="BB892" t="b">
        <f>IF(Metadata!O892="",FALSE,TRUE)</f>
        <v>0</v>
      </c>
      <c r="BC892" t="b">
        <f>AND(IF(Metadata!P892="",FALSE,TRUE),OR(EXACT(Metadata!P892,"air"),EXACT(Metadata!P892,"microbial mat/biofilm"),EXACT(Metadata!P892,"misc environment"),EXACT(Metadata!P892,"sediment"),EXACT(Metadata!P892,"soil"),EXACT(Metadata!P892,"wastewater/sludge"),EXACT(Metadata!P892,"water")))</f>
        <v>0</v>
      </c>
      <c r="BD892" t="b">
        <f>IF(Metadata!Q892="",FALSE,TRUE)</f>
        <v>0</v>
      </c>
      <c r="BE892" t="b">
        <f>IF(Metadata!R892="",FALSE,TRUE)</f>
        <v>0</v>
      </c>
      <c r="BF892" t="b">
        <f>OR(AND(IF(Metadata!S892="",FALSE,TRUE),OR(EXACT(Metadata!S892,"not collected"),EXACT(Metadata!S892,"not provided"),EXACT(Metadata!S892,"restricted access"))),AND(IF(Metadata!S892="",FALSE,ISNUMBER(VALUE(Metadata!S892))),Metadata!S892&gt;=-90,Metadata!S892&lt;=90))</f>
        <v>0</v>
      </c>
      <c r="BG892" t="b">
        <f>AND(IF(Metadata!T892="",FALSE,TRUE),EXACT(Metadata!T892,"Decimal degrees"))</f>
        <v>0</v>
      </c>
      <c r="BH892" t="b">
        <f>OR(AND(IF(Metadata!U892="",FALSE,TRUE),OR(EXACT(Metadata!U892,"not applicable"),EXACT(Metadata!U892,"not collected"))),IF(Metadata!U892="",FALSE,TRUE))</f>
        <v>0</v>
      </c>
      <c r="BI892" t="b">
        <f>OR(AND(IF(Metadata!V892="",FALSE,TRUE),OR(EXACT(Metadata!V892,"not collected"),EXACT(Metadata!V892,"not provided"),EXACT(Metadata!V892,"restricted access"))),AND(IF(Metadata!V892="",FALSE,ISNUMBER(VALUE(Metadata!V892))),Metadata!V892&gt;=-180,Metadata!V892&lt;=180))</f>
        <v>0</v>
      </c>
      <c r="BJ892" t="b">
        <f>AND(IF(Metadata!W892="",FALSE,TRUE),EXACT(Metadata!W892,"Decimal degrees"))</f>
        <v>0</v>
      </c>
      <c r="BK892" t="b">
        <f>IF(Metadata!X892="",FALSE,TRUE)</f>
        <v>0</v>
      </c>
      <c r="BL892" t="b">
        <f>OR(AND(IF(Metadata!Y892="",FALSE,TRUE),OR(EXACT(Metadata!Y892,"not collected"),EXACT(Metadata!Y892,"not provided"),EXACT(Metadata!Y892,"restricted access"))),AND(IF(Metadata!Y892="",FALSE,TRUE),OR(EXACT(Metadata!Y892,"TRUE"),EXACT(Metadata!Y892,"FALSE"))))</f>
        <v>0</v>
      </c>
      <c r="BM892" t="b">
        <f>OR(AND(IF(Metadata!Z892="",FALSE,TRUE),EXACT(Metadata!Z892,"not applicable")),AND(IF(Metadata!Z892="",FALSE,TRUE),OR(EXACT(Metadata!Z892,"beer"),EXACT(Metadata!Z892,"cheese"),EXACT(Metadata!Z892,"fresh water"),EXACT(Metadata!Z892,"marine sediment"),EXACT(Metadata!Z892,"sea water"),EXACT(Metadata!Z892,"sediment"),EXACT(Metadata!Z892,"soil"),EXACT(Metadata!Z892,"waste water"))))</f>
        <v>0</v>
      </c>
      <c r="BN892" t="b">
        <f>AND(IF(Metadata!AA892="",FALSE,TRUE),EXACT(Metadata!AA892,"metagenome"))</f>
        <v>0</v>
      </c>
      <c r="BO892" t="b">
        <f>AND(IF(Metadata!AB892="",FALSE,TRUE),EXACT(Metadata!AB892,"256318"))</f>
        <v>0</v>
      </c>
      <c r="BP892" t="b">
        <f>IF(Metadata!AC892="",FALSE,TRUE)</f>
        <v>0</v>
      </c>
      <c r="BQ892" t="b">
        <f>IF(Metadata!AD892="",FALSE,TRUE)</f>
        <v>0</v>
      </c>
    </row>
    <row r="893" spans="1:69" x14ac:dyDescent="0.2">
      <c r="A893" s="4" t="e">
        <f ca="1">IF(B893=" "," ",HYPERLINK(CONCATENATE("#metadata!",ADDRESS(INDEX($AJ$2:$AJ$1001,MATCH(ROWS($AH$2:AH893),$AH$2:$AH$1001,0),0),2)),INDEX($AM$2:$AM$1001,MATCH(ROWS($AH$2:AH893),$AH$2:$AH$1001,0),0)))</f>
        <v>#N/A</v>
      </c>
      <c r="B893" s="5" t="e">
        <f ca="1">IF(OR(INDEX($AI$2:$AI$1001,MATCH(ROWS($AH$2:AH893),$AH$2:$AH$1001,0),1)&gt;=100000,INDEX($AO$1005:$BQ$1005,1,MATCH(COLUMNS($AO$1006:AO1006),$AO$1006:$BQ$1006,0))&gt;=100000), " ",IF(INDEX($AO$2:$BQ$1001,MATCH(ROWS($AH$2:AH893),$AH$2:$AH$1001,0),MATCH(COLUMNS($AO$1006:AO1006),$AO$1006:$BQ$1006,0)), HYPERLINK("#",""), HYPERLINK(CONCATENATE("#Metadata!", ADDRESS(INDEX($AJ$2:$AJ$1001,MATCH(ROWS($AH$2:AH893),$AH$2:$AH$1001,0),0), INDEX($AO$1004:$BQ$1004,1,MATCH(COLUMNS($AO$1006:AO1006),$AO$1006:$BQ$1006,0)))),"Fix")))</f>
        <v>#N/A</v>
      </c>
      <c r="C893" s="5" t="e">
        <f ca="1">IF(OR(INDEX($AI$2:$AI$1001,MATCH(ROWS($AH$2:AH893),$AH$2:$AH$1001,0),1)&gt;=100000,INDEX($AO$1005:$BQ$1005,1,MATCH(COLUMNS($AO$1006:AP1006),$AO$1006:$BQ$1006,0))&gt;=100000), " ",IF(INDEX($AO$2:$BQ$1001,MATCH(ROWS($AH$2:AH893),$AH$2:$AH$1001,0),MATCH(COLUMNS($AO$1006:AP1006),$AO$1006:$BQ$1006,0)), HYPERLINK("#",""), HYPERLINK(CONCATENATE("#Metadata!", ADDRESS(INDEX($AJ$2:$AJ$1001,MATCH(ROWS($AH$2:AH893),$AH$2:$AH$1001,0),0), INDEX($AO$1004:$BQ$1004,1,MATCH(COLUMNS($AO$1006:AP1006),$AO$1006:$BQ$1006,0)))),"Fix")))</f>
        <v>#N/A</v>
      </c>
      <c r="D893" s="5" t="e">
        <f ca="1">IF(OR(INDEX($AI$2:$AI$1001,MATCH(ROWS($AH$2:AH893),$AH$2:$AH$1001,0),1)&gt;=100000,INDEX($AO$1005:$BQ$1005,1,MATCH(COLUMNS($AO$1006:AQ1006),$AO$1006:$BQ$1006,0))&gt;=100000), " ",IF(INDEX($AO$2:$BQ$1001,MATCH(ROWS($AH$2:AH893),$AH$2:$AH$1001,0),MATCH(COLUMNS($AO$1006:AQ1006),$AO$1006:$BQ$1006,0)), HYPERLINK("#",""), HYPERLINK(CONCATENATE("#Metadata!", ADDRESS(INDEX($AJ$2:$AJ$1001,MATCH(ROWS($AH$2:AH893),$AH$2:$AH$1001,0),0), INDEX($AO$1004:$BQ$1004,1,MATCH(COLUMNS($AO$1006:AQ1006),$AO$1006:$BQ$1006,0)))),"Fix")))</f>
        <v>#N/A</v>
      </c>
      <c r="E893" s="5" t="e">
        <f ca="1">IF(OR(INDEX($AI$2:$AI$1001,MATCH(ROWS($AH$2:AH893),$AH$2:$AH$1001,0),1)&gt;=100000,INDEX($AO$1005:$BQ$1005,1,MATCH(COLUMNS($AO$1006:AR1006),$AO$1006:$BQ$1006,0))&gt;=100000), " ",IF(INDEX($AO$2:$BQ$1001,MATCH(ROWS($AH$2:AH893),$AH$2:$AH$1001,0),MATCH(COLUMNS($AO$1006:AR1006),$AO$1006:$BQ$1006,0)), HYPERLINK("#",""), HYPERLINK(CONCATENATE("#Metadata!", ADDRESS(INDEX($AJ$2:$AJ$1001,MATCH(ROWS($AH$2:AH893),$AH$2:$AH$1001,0),0), INDEX($AO$1004:$BQ$1004,1,MATCH(COLUMNS($AO$1006:AR1006),$AO$1006:$BQ$1006,0)))),"Fix")))</f>
        <v>#N/A</v>
      </c>
      <c r="F893" s="5" t="e">
        <f ca="1">IF(OR(INDEX($AI$2:$AI$1001,MATCH(ROWS($AH$2:AH893),$AH$2:$AH$1001,0),1)&gt;=100000,INDEX($AO$1005:$BQ$1005,1,MATCH(COLUMNS($AO$1006:AS1006),$AO$1006:$BQ$1006,0))&gt;=100000), " ",IF(INDEX($AO$2:$BQ$1001,MATCH(ROWS($AH$2:AH893),$AH$2:$AH$1001,0),MATCH(COLUMNS($AO$1006:AS1006),$AO$1006:$BQ$1006,0)), HYPERLINK("#",""), HYPERLINK(CONCATENATE("#Metadata!", ADDRESS(INDEX($AJ$2:$AJ$1001,MATCH(ROWS($AH$2:AH893),$AH$2:$AH$1001,0),0), INDEX($AO$1004:$BQ$1004,1,MATCH(COLUMNS($AO$1006:AS1006),$AO$1006:$BQ$1006,0)))),"Fix")))</f>
        <v>#N/A</v>
      </c>
      <c r="G893" s="5" t="e">
        <f ca="1">IF(OR(INDEX($AI$2:$AI$1001,MATCH(ROWS($AH$2:AH893),$AH$2:$AH$1001,0),1)&gt;=100000,INDEX($AO$1005:$BQ$1005,1,MATCH(COLUMNS($AO$1006:AT1006),$AO$1006:$BQ$1006,0))&gt;=100000), " ",IF(INDEX($AO$2:$BQ$1001,MATCH(ROWS($AH$2:AH893),$AH$2:$AH$1001,0),MATCH(COLUMNS($AO$1006:AT1006),$AO$1006:$BQ$1006,0)), HYPERLINK("#",""), HYPERLINK(CONCATENATE("#Metadata!", ADDRESS(INDEX($AJ$2:$AJ$1001,MATCH(ROWS($AH$2:AH893),$AH$2:$AH$1001,0),0), INDEX($AO$1004:$BQ$1004,1,MATCH(COLUMNS($AO$1006:AT1006),$AO$1006:$BQ$1006,0)))),"Fix")))</f>
        <v>#N/A</v>
      </c>
      <c r="H893" s="5" t="e">
        <f ca="1">IF(OR(INDEX($AI$2:$AI$1001,MATCH(ROWS($AH$2:AH893),$AH$2:$AH$1001,0),1)&gt;=100000,INDEX($AO$1005:$BQ$1005,1,MATCH(COLUMNS($AO$1006:AU1006),$AO$1006:$BQ$1006,0))&gt;=100000), " ",IF(INDEX($AO$2:$BQ$1001,MATCH(ROWS($AH$2:AH893),$AH$2:$AH$1001,0),MATCH(COLUMNS($AO$1006:AU1006),$AO$1006:$BQ$1006,0)), HYPERLINK("#",""), HYPERLINK(CONCATENATE("#Metadata!", ADDRESS(INDEX($AJ$2:$AJ$1001,MATCH(ROWS($AH$2:AH893),$AH$2:$AH$1001,0),0), INDEX($AO$1004:$BQ$1004,1,MATCH(COLUMNS($AO$1006:AU1006),$AO$1006:$BQ$1006,0)))),"Fix")))</f>
        <v>#N/A</v>
      </c>
      <c r="I893" s="5" t="e">
        <f ca="1">IF(OR(INDEX($AI$2:$AI$1001,MATCH(ROWS($AH$2:AH893),$AH$2:$AH$1001,0),1)&gt;=100000,INDEX($AO$1005:$BQ$1005,1,MATCH(COLUMNS($AO$1006:AV1006),$AO$1006:$BQ$1006,0))&gt;=100000), " ",IF(INDEX($AO$2:$BQ$1001,MATCH(ROWS($AH$2:AH893),$AH$2:$AH$1001,0),MATCH(COLUMNS($AO$1006:AV1006),$AO$1006:$BQ$1006,0)), HYPERLINK("#",""), HYPERLINK(CONCATENATE("#Metadata!", ADDRESS(INDEX($AJ$2:$AJ$1001,MATCH(ROWS($AH$2:AH893),$AH$2:$AH$1001,0),0), INDEX($AO$1004:$BQ$1004,1,MATCH(COLUMNS($AO$1006:AV1006),$AO$1006:$BQ$1006,0)))),"Fix")))</f>
        <v>#N/A</v>
      </c>
      <c r="J893" s="5" t="e">
        <f ca="1">IF(OR(INDEX($AI$2:$AI$1001,MATCH(ROWS($AH$2:AH893),$AH$2:$AH$1001,0),1)&gt;=100000,INDEX($AO$1005:$BQ$1005,1,MATCH(COLUMNS($AO$1006:AW1006),$AO$1006:$BQ$1006,0))&gt;=100000), " ",IF(INDEX($AO$2:$BQ$1001,MATCH(ROWS($AH$2:AH893),$AH$2:$AH$1001,0),MATCH(COLUMNS($AO$1006:AW1006),$AO$1006:$BQ$1006,0)), HYPERLINK("#",""), HYPERLINK(CONCATENATE("#Metadata!", ADDRESS(INDEX($AJ$2:$AJ$1001,MATCH(ROWS($AH$2:AH893),$AH$2:$AH$1001,0),0), INDEX($AO$1004:$BQ$1004,1,MATCH(COLUMNS($AO$1006:AW1006),$AO$1006:$BQ$1006,0)))),"Fix")))</f>
        <v>#N/A</v>
      </c>
      <c r="K893" s="5" t="e">
        <f ca="1">IF(OR(INDEX($AI$2:$AI$1001,MATCH(ROWS($AH$2:AH893),$AH$2:$AH$1001,0),1)&gt;=100000,INDEX($AO$1005:$BQ$1005,1,MATCH(COLUMNS($AO$1006:AX1006),$AO$1006:$BQ$1006,0))&gt;=100000), " ",IF(INDEX($AO$2:$BQ$1001,MATCH(ROWS($AH$2:AH893),$AH$2:$AH$1001,0),MATCH(COLUMNS($AO$1006:AX1006),$AO$1006:$BQ$1006,0)), HYPERLINK("#",""), HYPERLINK(CONCATENATE("#Metadata!", ADDRESS(INDEX($AJ$2:$AJ$1001,MATCH(ROWS($AH$2:AH893),$AH$2:$AH$1001,0),0), INDEX($AO$1004:$BQ$1004,1,MATCH(COLUMNS($AO$1006:AX1006),$AO$1006:$BQ$1006,0)))),"Fix")))</f>
        <v>#N/A</v>
      </c>
      <c r="L893" s="5" t="e">
        <f ca="1">IF(OR(INDEX($AI$2:$AI$1001,MATCH(ROWS($AH$2:AH893),$AH$2:$AH$1001,0),1)&gt;=100000,INDEX($AO$1005:$BQ$1005,1,MATCH(COLUMNS($AO$1006:AY1006),$AO$1006:$BQ$1006,0))&gt;=100000), " ",IF(INDEX($AO$2:$BQ$1001,MATCH(ROWS($AH$2:AH893),$AH$2:$AH$1001,0),MATCH(COLUMNS($AO$1006:AY1006),$AO$1006:$BQ$1006,0)), HYPERLINK("#",""), HYPERLINK(CONCATENATE("#Metadata!", ADDRESS(INDEX($AJ$2:$AJ$1001,MATCH(ROWS($AH$2:AH893),$AH$2:$AH$1001,0),0), INDEX($AO$1004:$BQ$1004,1,MATCH(COLUMNS($AO$1006:AY1006),$AO$1006:$BQ$1006,0)))),"Fix")))</f>
        <v>#N/A</v>
      </c>
      <c r="M893" s="5" t="e">
        <f ca="1">IF(OR(INDEX($AI$2:$AI$1001,MATCH(ROWS($AH$2:AH893),$AH$2:$AH$1001,0),1)&gt;=100000,INDEX($AO$1005:$BQ$1005,1,MATCH(COLUMNS($AO$1006:AZ1006),$AO$1006:$BQ$1006,0))&gt;=100000), " ",IF(INDEX($AO$2:$BQ$1001,MATCH(ROWS($AH$2:AH893),$AH$2:$AH$1001,0),MATCH(COLUMNS($AO$1006:AZ1006),$AO$1006:$BQ$1006,0)), HYPERLINK("#",""), HYPERLINK(CONCATENATE("#Metadata!", ADDRESS(INDEX($AJ$2:$AJ$1001,MATCH(ROWS($AH$2:AH893),$AH$2:$AH$1001,0),0), INDEX($AO$1004:$BQ$1004,1,MATCH(COLUMNS($AO$1006:AZ1006),$AO$1006:$BQ$1006,0)))),"Fix")))</f>
        <v>#N/A</v>
      </c>
      <c r="N893" s="5" t="e">
        <f ca="1">IF(OR(INDEX($AI$2:$AI$1001,MATCH(ROWS($AH$2:AH893),$AH$2:$AH$1001,0),1)&gt;=100000,INDEX($AO$1005:$BQ$1005,1,MATCH(COLUMNS($AO$1006:BA1006),$AO$1006:$BQ$1006,0))&gt;=100000), " ",IF(INDEX($AO$2:$BQ$1001,MATCH(ROWS($AH$2:AH893),$AH$2:$AH$1001,0),MATCH(COLUMNS($AO$1006:BA1006),$AO$1006:$BQ$1006,0)), HYPERLINK("#",""), HYPERLINK(CONCATENATE("#Metadata!", ADDRESS(INDEX($AJ$2:$AJ$1001,MATCH(ROWS($AH$2:AH893),$AH$2:$AH$1001,0),0), INDEX($AO$1004:$BQ$1004,1,MATCH(COLUMNS($AO$1006:BA1006),$AO$1006:$BQ$1006,0)))),"Fix")))</f>
        <v>#N/A</v>
      </c>
      <c r="O893" s="5" t="e">
        <f ca="1">IF(OR(INDEX($AI$2:$AI$1001,MATCH(ROWS($AH$2:AH893),$AH$2:$AH$1001,0),1)&gt;=100000,INDEX($AO$1005:$BQ$1005,1,MATCH(COLUMNS($AO$1006:BB1006),$AO$1006:$BQ$1006,0))&gt;=100000), " ",IF(INDEX($AO$2:$BQ$1001,MATCH(ROWS($AH$2:AH893),$AH$2:$AH$1001,0),MATCH(COLUMNS($AO$1006:BB1006),$AO$1006:$BQ$1006,0)), HYPERLINK("#",""), HYPERLINK(CONCATENATE("#Metadata!", ADDRESS(INDEX($AJ$2:$AJ$1001,MATCH(ROWS($AH$2:AH893),$AH$2:$AH$1001,0),0), INDEX($AO$1004:$BQ$1004,1,MATCH(COLUMNS($AO$1006:BB1006),$AO$1006:$BQ$1006,0)))),"Fix")))</f>
        <v>#N/A</v>
      </c>
      <c r="P893" s="5" t="e">
        <f ca="1">IF(OR(INDEX($AI$2:$AI$1001,MATCH(ROWS($AH$2:AH893),$AH$2:$AH$1001,0),1)&gt;=100000,INDEX($AO$1005:$BQ$1005,1,MATCH(COLUMNS($AO$1006:BC1006),$AO$1006:$BQ$1006,0))&gt;=100000), " ",IF(INDEX($AO$2:$BQ$1001,MATCH(ROWS($AH$2:AH893),$AH$2:$AH$1001,0),MATCH(COLUMNS($AO$1006:BC1006),$AO$1006:$BQ$1006,0)), HYPERLINK("#",""), HYPERLINK(CONCATENATE("#Metadata!", ADDRESS(INDEX($AJ$2:$AJ$1001,MATCH(ROWS($AH$2:AH893),$AH$2:$AH$1001,0),0), INDEX($AO$1004:$BQ$1004,1,MATCH(COLUMNS($AO$1006:BC1006),$AO$1006:$BQ$1006,0)))),"Fix")))</f>
        <v>#N/A</v>
      </c>
      <c r="Q893" s="5" t="e">
        <f ca="1">IF(OR(INDEX($AI$2:$AI$1001,MATCH(ROWS($AH$2:AH893),$AH$2:$AH$1001,0),1)&gt;=100000,INDEX($AO$1005:$BQ$1005,1,MATCH(COLUMNS($AO$1006:BD1006),$AO$1006:$BQ$1006,0))&gt;=100000), " ",IF(INDEX($AO$2:$BQ$1001,MATCH(ROWS($AH$2:AH893),$AH$2:$AH$1001,0),MATCH(COLUMNS($AO$1006:BD1006),$AO$1006:$BQ$1006,0)), HYPERLINK("#",""), HYPERLINK(CONCATENATE("#Metadata!", ADDRESS(INDEX($AJ$2:$AJ$1001,MATCH(ROWS($AH$2:AH893),$AH$2:$AH$1001,0),0), INDEX($AO$1004:$BQ$1004,1,MATCH(COLUMNS($AO$1006:BD1006),$AO$1006:$BQ$1006,0)))),"Fix")))</f>
        <v>#N/A</v>
      </c>
      <c r="R893" s="5" t="e">
        <f ca="1">IF(OR(INDEX($AI$2:$AI$1001,MATCH(ROWS($AH$2:AH893),$AH$2:$AH$1001,0),1)&gt;=100000,INDEX($AO$1005:$BQ$1005,1,MATCH(COLUMNS($AO$1006:BE1006),$AO$1006:$BQ$1006,0))&gt;=100000), " ",IF(INDEX($AO$2:$BQ$1001,MATCH(ROWS($AH$2:AH893),$AH$2:$AH$1001,0),MATCH(COLUMNS($AO$1006:BE1006),$AO$1006:$BQ$1006,0)), HYPERLINK("#",""), HYPERLINK(CONCATENATE("#Metadata!", ADDRESS(INDEX($AJ$2:$AJ$1001,MATCH(ROWS($AH$2:AH893),$AH$2:$AH$1001,0),0), INDEX($AO$1004:$BQ$1004,1,MATCH(COLUMNS($AO$1006:BE1006),$AO$1006:$BQ$1006,0)))),"Fix")))</f>
        <v>#N/A</v>
      </c>
      <c r="S893" s="5" t="e">
        <f ca="1">IF(OR(INDEX($AI$2:$AI$1001,MATCH(ROWS($AH$2:AH893),$AH$2:$AH$1001,0),1)&gt;=100000,INDEX($AO$1005:$BQ$1005,1,MATCH(COLUMNS($AO$1006:BF1006),$AO$1006:$BQ$1006,0))&gt;=100000), " ",IF(INDEX($AO$2:$BQ$1001,MATCH(ROWS($AH$2:AH893),$AH$2:$AH$1001,0),MATCH(COLUMNS($AO$1006:BF1006),$AO$1006:$BQ$1006,0)), HYPERLINK("#",""), HYPERLINK(CONCATENATE("#Metadata!", ADDRESS(INDEX($AJ$2:$AJ$1001,MATCH(ROWS($AH$2:AH893),$AH$2:$AH$1001,0),0), INDEX($AO$1004:$BQ$1004,1,MATCH(COLUMNS($AO$1006:BF1006),$AO$1006:$BQ$1006,0)))),"Fix")))</f>
        <v>#N/A</v>
      </c>
      <c r="T893" s="5" t="e">
        <f ca="1">IF(OR(INDEX($AI$2:$AI$1001,MATCH(ROWS($AH$2:AH893),$AH$2:$AH$1001,0),1)&gt;=100000,INDEX($AO$1005:$BQ$1005,1,MATCH(COLUMNS($AO$1006:BG1006),$AO$1006:$BQ$1006,0))&gt;=100000), " ",IF(INDEX($AO$2:$BQ$1001,MATCH(ROWS($AH$2:AH893),$AH$2:$AH$1001,0),MATCH(COLUMNS($AO$1006:BG1006),$AO$1006:$BQ$1006,0)), HYPERLINK("#",""), HYPERLINK(CONCATENATE("#Metadata!", ADDRESS(INDEX($AJ$2:$AJ$1001,MATCH(ROWS($AH$2:AH893),$AH$2:$AH$1001,0),0), INDEX($AO$1004:$BQ$1004,1,MATCH(COLUMNS($AO$1006:BG1006),$AO$1006:$BQ$1006,0)))),"Fix")))</f>
        <v>#N/A</v>
      </c>
      <c r="U893" s="5" t="e">
        <f ca="1">IF(OR(INDEX($AI$2:$AI$1001,MATCH(ROWS($AH$2:AH893),$AH$2:$AH$1001,0),1)&gt;=100000,INDEX($AO$1005:$BQ$1005,1,MATCH(COLUMNS($AO$1006:BH1006),$AO$1006:$BQ$1006,0))&gt;=100000), " ",IF(INDEX($AO$2:$BQ$1001,MATCH(ROWS($AH$2:AH893),$AH$2:$AH$1001,0),MATCH(COLUMNS($AO$1006:BH1006),$AO$1006:$BQ$1006,0)), HYPERLINK("#",""), HYPERLINK(CONCATENATE("#Metadata!", ADDRESS(INDEX($AJ$2:$AJ$1001,MATCH(ROWS($AH$2:AH893),$AH$2:$AH$1001,0),0), INDEX($AO$1004:$BQ$1004,1,MATCH(COLUMNS($AO$1006:BH1006),$AO$1006:$BQ$1006,0)))),"Fix")))</f>
        <v>#N/A</v>
      </c>
      <c r="V893" s="5" t="e">
        <f ca="1">IF(OR(INDEX($AI$2:$AI$1001,MATCH(ROWS($AH$2:AH893),$AH$2:$AH$1001,0),1)&gt;=100000,INDEX($AO$1005:$BQ$1005,1,MATCH(COLUMNS($AO$1006:BI1006),$AO$1006:$BQ$1006,0))&gt;=100000), " ",IF(INDEX($AO$2:$BQ$1001,MATCH(ROWS($AH$2:AH893),$AH$2:$AH$1001,0),MATCH(COLUMNS($AO$1006:BI1006),$AO$1006:$BQ$1006,0)), HYPERLINK("#",""), HYPERLINK(CONCATENATE("#Metadata!", ADDRESS(INDEX($AJ$2:$AJ$1001,MATCH(ROWS($AH$2:AH893),$AH$2:$AH$1001,0),0), INDEX($AO$1004:$BQ$1004,1,MATCH(COLUMNS($AO$1006:BI1006),$AO$1006:$BQ$1006,0)))),"Fix")))</f>
        <v>#N/A</v>
      </c>
      <c r="W893" s="5" t="e">
        <f ca="1">IF(OR(INDEX($AI$2:$AI$1001,MATCH(ROWS($AH$2:AH893),$AH$2:$AH$1001,0),1)&gt;=100000,INDEX($AO$1005:$BQ$1005,1,MATCH(COLUMNS($AO$1006:BJ1006),$AO$1006:$BQ$1006,0))&gt;=100000), " ",IF(INDEX($AO$2:$BQ$1001,MATCH(ROWS($AH$2:AH893),$AH$2:$AH$1001,0),MATCH(COLUMNS($AO$1006:BJ1006),$AO$1006:$BQ$1006,0)), HYPERLINK("#",""), HYPERLINK(CONCATENATE("#Metadata!", ADDRESS(INDEX($AJ$2:$AJ$1001,MATCH(ROWS($AH$2:AH893),$AH$2:$AH$1001,0),0), INDEX($AO$1004:$BQ$1004,1,MATCH(COLUMNS($AO$1006:BJ1006),$AO$1006:$BQ$1006,0)))),"Fix")))</f>
        <v>#N/A</v>
      </c>
      <c r="X893" s="5" t="e">
        <f ca="1">IF(OR(INDEX($AI$2:$AI$1001,MATCH(ROWS($AH$2:AH893),$AH$2:$AH$1001,0),1)&gt;=100000,INDEX($AO$1005:$BQ$1005,1,MATCH(COLUMNS($AO$1006:BK1006),$AO$1006:$BQ$1006,0))&gt;=100000), " ",IF(INDEX($AO$2:$BQ$1001,MATCH(ROWS($AH$2:AH893),$AH$2:$AH$1001,0),MATCH(COLUMNS($AO$1006:BK1006),$AO$1006:$BQ$1006,0)), HYPERLINK("#",""), HYPERLINK(CONCATENATE("#Metadata!", ADDRESS(INDEX($AJ$2:$AJ$1001,MATCH(ROWS($AH$2:AH893),$AH$2:$AH$1001,0),0), INDEX($AO$1004:$BQ$1004,1,MATCH(COLUMNS($AO$1006:BK1006),$AO$1006:$BQ$1006,0)))),"Fix")))</f>
        <v>#N/A</v>
      </c>
      <c r="Y893" s="5" t="e">
        <f ca="1">IF(OR(INDEX($AI$2:$AI$1001,MATCH(ROWS($AH$2:AH893),$AH$2:$AH$1001,0),1)&gt;=100000,INDEX($AO$1005:$BQ$1005,1,MATCH(COLUMNS($AO$1006:BL1006),$AO$1006:$BQ$1006,0))&gt;=100000), " ",IF(INDEX($AO$2:$BQ$1001,MATCH(ROWS($AH$2:AH893),$AH$2:$AH$1001,0),MATCH(COLUMNS($AO$1006:BL1006),$AO$1006:$BQ$1006,0)), HYPERLINK("#",""), HYPERLINK(CONCATENATE("#Metadata!", ADDRESS(INDEX($AJ$2:$AJ$1001,MATCH(ROWS($AH$2:AH893),$AH$2:$AH$1001,0),0), INDEX($AO$1004:$BQ$1004,1,MATCH(COLUMNS($AO$1006:BL1006),$AO$1006:$BQ$1006,0)))),"Fix")))</f>
        <v>#N/A</v>
      </c>
      <c r="Z893" s="5" t="e">
        <f ca="1">IF(OR(INDEX($AI$2:$AI$1001,MATCH(ROWS($AH$2:AH893),$AH$2:$AH$1001,0),1)&gt;=100000,INDEX($AO$1005:$BQ$1005,1,MATCH(COLUMNS($AO$1006:BM1006),$AO$1006:$BQ$1006,0))&gt;=100000), " ",IF(INDEX($AO$2:$BQ$1001,MATCH(ROWS($AH$2:AH893),$AH$2:$AH$1001,0),MATCH(COLUMNS($AO$1006:BM1006),$AO$1006:$BQ$1006,0)), HYPERLINK("#",""), HYPERLINK(CONCATENATE("#Metadata!", ADDRESS(INDEX($AJ$2:$AJ$1001,MATCH(ROWS($AH$2:AH893),$AH$2:$AH$1001,0),0), INDEX($AO$1004:$BQ$1004,1,MATCH(COLUMNS($AO$1006:BM1006),$AO$1006:$BQ$1006,0)))),"Fix")))</f>
        <v>#N/A</v>
      </c>
      <c r="AA893" s="5" t="e">
        <f ca="1">IF(OR(INDEX($AI$2:$AI$1001,MATCH(ROWS($AH$2:AH893),$AH$2:$AH$1001,0),1)&gt;=100000,INDEX($AO$1005:$BQ$1005,1,MATCH(COLUMNS($AO$1006:BN1006),$AO$1006:$BQ$1006,0))&gt;=100000), " ",IF(INDEX($AO$2:$BQ$1001,MATCH(ROWS($AH$2:AH893),$AH$2:$AH$1001,0),MATCH(COLUMNS($AO$1006:BN1006),$AO$1006:$BQ$1006,0)), HYPERLINK("#",""), HYPERLINK(CONCATENATE("#Metadata!", ADDRESS(INDEX($AJ$2:$AJ$1001,MATCH(ROWS($AH$2:AH893),$AH$2:$AH$1001,0),0), INDEX($AO$1004:$BQ$1004,1,MATCH(COLUMNS($AO$1006:BN1006),$AO$1006:$BQ$1006,0)))),"Fix")))</f>
        <v>#N/A</v>
      </c>
      <c r="AB893" s="5" t="e">
        <f ca="1">IF(OR(INDEX($AI$2:$AI$1001,MATCH(ROWS($AH$2:AH893),$AH$2:$AH$1001,0),1)&gt;=100000,INDEX($AO$1005:$BQ$1005,1,MATCH(COLUMNS($AO$1006:BO1006),$AO$1006:$BQ$1006,0))&gt;=100000), " ",IF(INDEX($AO$2:$BQ$1001,MATCH(ROWS($AH$2:AH893),$AH$2:$AH$1001,0),MATCH(COLUMNS($AO$1006:BO1006),$AO$1006:$BQ$1006,0)), HYPERLINK("#",""), HYPERLINK(CONCATENATE("#Metadata!", ADDRESS(INDEX($AJ$2:$AJ$1001,MATCH(ROWS($AH$2:AH893),$AH$2:$AH$1001,0),0), INDEX($AO$1004:$BQ$1004,1,MATCH(COLUMNS($AO$1006:BO1006),$AO$1006:$BQ$1006,0)))),"Fix")))</f>
        <v>#N/A</v>
      </c>
      <c r="AC893" s="5" t="e">
        <f ca="1">IF(OR(INDEX($AI$2:$AI$1001,MATCH(ROWS($AH$2:AH893),$AH$2:$AH$1001,0),1)&gt;=100000,INDEX($AO$1005:$BQ$1005,1,MATCH(COLUMNS($AO$1006:BP1006),$AO$1006:$BQ$1006,0))&gt;=100000), " ",IF(INDEX($AO$2:$BQ$1001,MATCH(ROWS($AH$2:AH893),$AH$2:$AH$1001,0),MATCH(COLUMNS($AO$1006:BP1006),$AO$1006:$BQ$1006,0)), HYPERLINK("#",""), HYPERLINK(CONCATENATE("#Metadata!", ADDRESS(INDEX($AJ$2:$AJ$1001,MATCH(ROWS($AH$2:AH893),$AH$2:$AH$1001,0),0), INDEX($AO$1004:$BQ$1004,1,MATCH(COLUMNS($AO$1006:BP1006),$AO$1006:$BQ$1006,0)))),"Fix")))</f>
        <v>#N/A</v>
      </c>
      <c r="AD893" s="5" t="e">
        <f ca="1">IF(OR(INDEX($AI$2:$AI$1001,MATCH(ROWS($AH$2:AH893),$AH$2:$AH$1001,0),1)&gt;=100000,INDEX($AO$1005:$BQ$1005,1,MATCH(COLUMNS($AO$1006:BQ1006),$AO$1006:$BQ$1006,0))&gt;=100000), " ",IF(INDEX($AO$2:$BQ$1001,MATCH(ROWS($AH$2:AH893),$AH$2:$AH$1001,0),MATCH(COLUMNS($AO$1006:BQ1006),$AO$1006:$BQ$1006,0)), HYPERLINK("#",""), HYPERLINK(CONCATENATE("#Metadata!", ADDRESS(INDEX($AJ$2:$AJ$1001,MATCH(ROWS($AH$2:AH893),$AH$2:$AH$1001,0),0), INDEX($AO$1004:$BQ$1004,1,MATCH(COLUMNS($AO$1006:BQ1006),$AO$1006:$BQ$1006,0)))),"Fix")))</f>
        <v>#REF!</v>
      </c>
      <c r="AH893">
        <f ca="1"/>
        <v>890</v>
      </c>
      <c r="AI893">
        <v>100893</v>
      </c>
      <c r="AJ893">
        <v>893</v>
      </c>
      <c r="AK893" t="b">
        <f t="shared" si="13"/>
        <v>1</v>
      </c>
      <c r="AL893" t="b">
        <f>COUNTBLANK(Metadata!B893:AD893)=COLUMNS(Metadata!B893:AD893)</f>
        <v>1</v>
      </c>
      <c r="AM893" t="str">
        <v/>
      </c>
      <c r="AO893" t="b">
        <f ca="1">AND(IF(Metadata!B893="",FALSE,TRUE),COUNTIF(Metadata!B:B, Metadata!B893) = 1,NOT(ISERROR(SUMPRODUCT(SEARCH(MID(Metadata!B893,ROW(INDIRECT("1:"&amp;LEN(Metadata!B893))), 1),"0123456789abcdefghijklmnopqrstuvwxyzABCDEFGHIJKLMNOPQRSTUVWXYZ.")))))</f>
        <v>0</v>
      </c>
      <c r="AP893" t="b">
        <f>IF(Metadata!C893="",FALSE,TRUE)</f>
        <v>0</v>
      </c>
      <c r="AQ893" t="b">
        <f>IF(Metadata!D893="",FALSE,TRUE)</f>
        <v>0</v>
      </c>
      <c r="AR893" t="b">
        <f ca="1">OR(AND(IF(Metadata!E893="",FALSE,TRUE),OR(EXACT(Metadata!E893,"not collected"),EXACT(Metadata!E893,"not provided"),EXACT(Metadata!E893,"restricted access"))),AND(IF(Metadata!E893="",FALSE,TRUE),AND(AND(IFERROR(INT(LEFT(Metadata!E893,4))&gt;1900,FALSE),IFERROR(INT(LEFT(Metadata!E893,4))&lt;=YEAR(NOW()),FALSE)), OR(MID(Metadata!E893,5,1)="", AND(AND(MID(Metadata!E893,5,1)="-",IFERROR(INT(MID(Metadata!E893,6,1))&gt;=0,FALSE),IFERROR(INT(MID(Metadata!E893,6,1))&lt;=1,FALSE),NOT(MID(Metadata!E893,7,1)=""),IFERROR(INT(MID(Metadata!E893,6,2))&gt;=1,FALSE),IFERROR(INT(MID(Metadata!E893,6,2))&lt;=12,FALSE)), OR(MID(Metadata!E893,8,1)="", AND(AND(MID(Metadata!E893,8,1)="-",IFERROR(INT(MID(Metadata!E893,9,1))&gt;=0,FALSE),IFERROR(INT(MID(Metadata!E893,9,1))&lt;=3,FALSE),NOT(MID(Metadata!E893,10,1)=""),IFERROR(INT(MID(Metadata!E893,9,2))&gt;=1,FALSE),IFERROR(INT(MID(Metadata!E893,9,2))&lt;=31,FALSE)), OR(MID(Metadata!E893,11,1)="", AND(AND(MID(Metadata!E893,11,1)=" ",IFERROR(INT(MID(Metadata!E893,12,1))&gt;=0,FALSE),IFERROR(INT(MID(Metadata!E893,12,1))&lt;=2,FALSE),NOT(MID(Metadata!E893,13,1)=""),IFERROR(INT(MID(Metadata!E893,12,2))&gt;=0,FALSE),IFERROR(INT(MID(Metadata!E893,12,2))&lt;=23,FALSE)), OR(MID(Metadata!E893,14,1)="", AND(AND(MID(Metadata!E893,14,1)=":",IFERROR(INT(MID(Metadata!E893,15,1))&gt;=0,FALSE),IFERROR(INT(MID(Metadata!E893,15,1))&lt;=5,FALSE),NOT(MID(Metadata!E893,16,1)=""),IFERROR(INT(MID(Metadata!E893,15,2))&gt;=0,FALSE),IFERROR(INT(MID(Metadata!E893,15,2))&lt;=59,FALSE)), OR(MID(Metadata!E893,17,1)="", AND(AND(MID(Metadata!E893,17,1)=":",IFERROR(INT(MID(Metadata!E893,18,1))&gt;=0,FALSE),IFERROR(INT(MID(Metadata!E893,18,1))&lt;=5,FALSE),NOT(MID(Metadata!E893,19,1)=""),IFERROR(INT(MID(Metadata!E893,18,2))&gt;=0,FALSE),IFERROR(INT(MID(Metadata!E893,18,2))&lt;=59,FALSE)), LEN(Metadata!E893)&lt;=19)))))))))))))</f>
        <v>0</v>
      </c>
      <c r="AS893" t="b">
        <f>IF(Metadata!F893="",FALSE,TRUE)</f>
        <v>0</v>
      </c>
      <c r="AT893" t="b">
        <f>OR(AND(IF(Metadata!G893="",FALSE,TRUE),OR(EXACT(Metadata!G893,"not collected"),EXACT(Metadata!G893,"not provided"))),AND(IF(Metadata!G893="",FALSE,TRUE),OR(EXACT(Metadata!G893,"TRUE"),EXACT(Metadata!G893,"FALSE"))))</f>
        <v>0</v>
      </c>
      <c r="AU893" t="b">
        <f>OR(AND(IF(Metadata!H893="",FALSE,TRUE),OR(EXACT(Metadata!H893,"not collected"),EXACT(Metadata!H893,"not provided"),EXACT(Metadata!H893,"restricted access"))),AND(IF(Metadata!H893="",FALSE,ISNUMBER(VALUE(Metadata!H893))),Metadata!H893&gt;=-413))</f>
        <v>0</v>
      </c>
      <c r="AV893" t="b">
        <f>AND(IF(Metadata!I893="",FALSE,TRUE),EXACT(Metadata!I893,"meters"))</f>
        <v>0</v>
      </c>
      <c r="AW893" t="b">
        <f>AND(IF(Metadata!J893="",FALSE,TRUE),EXACT(Metadata!J893,"free-living"))</f>
        <v>0</v>
      </c>
      <c r="AX893" t="b">
        <f>AND(IF(Metadata!K893="",FALSE,TRUE),OR(EXACT(Metadata!K893,"saline"),EXACT(Metadata!K893,"non-saline")))</f>
        <v>0</v>
      </c>
      <c r="AY893" t="b">
        <f>AND(IF(Metadata!L893="",FALSE,TRUE),OR(EXACT(Metadata!L893,"sub-surface (non-saline)"),EXACT(Metadata!L893,"surface (non-saline)"),EXACT(Metadata!L893,"water (non-saline)"),EXACT(Metadata!L893,"soil (non-saline)"),EXACT(Metadata!L893,"aerosol (non-saline)"),EXACT(Metadata!L893,"sediment (non-saline)"),EXACT(Metadata!L893,"surface (saline)"),EXACT(Metadata!L893,"water (saline)"),EXACT(Metadata!L893,"hypersaline (saline)"),EXACT(Metadata!L893,"aerosol (saline)"),EXACT(Metadata!L893,"sediment (saline)")))</f>
        <v>0</v>
      </c>
      <c r="AZ893" t="b">
        <f>IF(Metadata!M893="",FALSE,TRUE)</f>
        <v>0</v>
      </c>
      <c r="BA893" t="b">
        <f>IF(Metadata!N893="",FALSE,TRUE)</f>
        <v>0</v>
      </c>
      <c r="BB893" t="b">
        <f>IF(Metadata!O893="",FALSE,TRUE)</f>
        <v>0</v>
      </c>
      <c r="BC893" t="b">
        <f>AND(IF(Metadata!P893="",FALSE,TRUE),OR(EXACT(Metadata!P893,"air"),EXACT(Metadata!P893,"microbial mat/biofilm"),EXACT(Metadata!P893,"misc environment"),EXACT(Metadata!P893,"sediment"),EXACT(Metadata!P893,"soil"),EXACT(Metadata!P893,"wastewater/sludge"),EXACT(Metadata!P893,"water")))</f>
        <v>0</v>
      </c>
      <c r="BD893" t="b">
        <f>IF(Metadata!Q893="",FALSE,TRUE)</f>
        <v>0</v>
      </c>
      <c r="BE893" t="b">
        <f>IF(Metadata!R893="",FALSE,TRUE)</f>
        <v>0</v>
      </c>
      <c r="BF893" t="b">
        <f>OR(AND(IF(Metadata!S893="",FALSE,TRUE),OR(EXACT(Metadata!S893,"not collected"),EXACT(Metadata!S893,"not provided"),EXACT(Metadata!S893,"restricted access"))),AND(IF(Metadata!S893="",FALSE,ISNUMBER(VALUE(Metadata!S893))),Metadata!S893&gt;=-90,Metadata!S893&lt;=90))</f>
        <v>0</v>
      </c>
      <c r="BG893" t="b">
        <f>AND(IF(Metadata!T893="",FALSE,TRUE),EXACT(Metadata!T893,"Decimal degrees"))</f>
        <v>0</v>
      </c>
      <c r="BH893" t="b">
        <f>OR(AND(IF(Metadata!U893="",FALSE,TRUE),OR(EXACT(Metadata!U893,"not applicable"),EXACT(Metadata!U893,"not collected"))),IF(Metadata!U893="",FALSE,TRUE))</f>
        <v>0</v>
      </c>
      <c r="BI893" t="b">
        <f>OR(AND(IF(Metadata!V893="",FALSE,TRUE),OR(EXACT(Metadata!V893,"not collected"),EXACT(Metadata!V893,"not provided"),EXACT(Metadata!V893,"restricted access"))),AND(IF(Metadata!V893="",FALSE,ISNUMBER(VALUE(Metadata!V893))),Metadata!V893&gt;=-180,Metadata!V893&lt;=180))</f>
        <v>0</v>
      </c>
      <c r="BJ893" t="b">
        <f>AND(IF(Metadata!W893="",FALSE,TRUE),EXACT(Metadata!W893,"Decimal degrees"))</f>
        <v>0</v>
      </c>
      <c r="BK893" t="b">
        <f>IF(Metadata!X893="",FALSE,TRUE)</f>
        <v>0</v>
      </c>
      <c r="BL893" t="b">
        <f>OR(AND(IF(Metadata!Y893="",FALSE,TRUE),OR(EXACT(Metadata!Y893,"not collected"),EXACT(Metadata!Y893,"not provided"),EXACT(Metadata!Y893,"restricted access"))),AND(IF(Metadata!Y893="",FALSE,TRUE),OR(EXACT(Metadata!Y893,"TRUE"),EXACT(Metadata!Y893,"FALSE"))))</f>
        <v>0</v>
      </c>
      <c r="BM893" t="b">
        <f>OR(AND(IF(Metadata!Z893="",FALSE,TRUE),EXACT(Metadata!Z893,"not applicable")),AND(IF(Metadata!Z893="",FALSE,TRUE),OR(EXACT(Metadata!Z893,"beer"),EXACT(Metadata!Z893,"cheese"),EXACT(Metadata!Z893,"fresh water"),EXACT(Metadata!Z893,"marine sediment"),EXACT(Metadata!Z893,"sea water"),EXACT(Metadata!Z893,"sediment"),EXACT(Metadata!Z893,"soil"),EXACT(Metadata!Z893,"waste water"))))</f>
        <v>0</v>
      </c>
      <c r="BN893" t="b">
        <f>AND(IF(Metadata!AA893="",FALSE,TRUE),EXACT(Metadata!AA893,"metagenome"))</f>
        <v>0</v>
      </c>
      <c r="BO893" t="b">
        <f>AND(IF(Metadata!AB893="",FALSE,TRUE),EXACT(Metadata!AB893,"256318"))</f>
        <v>0</v>
      </c>
      <c r="BP893" t="b">
        <f>IF(Metadata!AC893="",FALSE,TRUE)</f>
        <v>0</v>
      </c>
      <c r="BQ893" t="b">
        <f>IF(Metadata!AD893="",FALSE,TRUE)</f>
        <v>0</v>
      </c>
    </row>
    <row r="894" spans="1:69" x14ac:dyDescent="0.2">
      <c r="A894" s="4" t="e">
        <f ca="1">IF(B894=" "," ",HYPERLINK(CONCATENATE("#metadata!",ADDRESS(INDEX($AJ$2:$AJ$1001,MATCH(ROWS($AH$2:AH894),$AH$2:$AH$1001,0),0),2)),INDEX($AM$2:$AM$1001,MATCH(ROWS($AH$2:AH894),$AH$2:$AH$1001,0),0)))</f>
        <v>#N/A</v>
      </c>
      <c r="B894" s="5" t="e">
        <f ca="1">IF(OR(INDEX($AI$2:$AI$1001,MATCH(ROWS($AH$2:AH894),$AH$2:$AH$1001,0),1)&gt;=100000,INDEX($AO$1005:$BQ$1005,1,MATCH(COLUMNS($AO$1006:AO1006),$AO$1006:$BQ$1006,0))&gt;=100000), " ",IF(INDEX($AO$2:$BQ$1001,MATCH(ROWS($AH$2:AH894),$AH$2:$AH$1001,0),MATCH(COLUMNS($AO$1006:AO1006),$AO$1006:$BQ$1006,0)), HYPERLINK("#",""), HYPERLINK(CONCATENATE("#Metadata!", ADDRESS(INDEX($AJ$2:$AJ$1001,MATCH(ROWS($AH$2:AH894),$AH$2:$AH$1001,0),0), INDEX($AO$1004:$BQ$1004,1,MATCH(COLUMNS($AO$1006:AO1006),$AO$1006:$BQ$1006,0)))),"Fix")))</f>
        <v>#N/A</v>
      </c>
      <c r="C894" s="5" t="e">
        <f ca="1">IF(OR(INDEX($AI$2:$AI$1001,MATCH(ROWS($AH$2:AH894),$AH$2:$AH$1001,0),1)&gt;=100000,INDEX($AO$1005:$BQ$1005,1,MATCH(COLUMNS($AO$1006:AP1006),$AO$1006:$BQ$1006,0))&gt;=100000), " ",IF(INDEX($AO$2:$BQ$1001,MATCH(ROWS($AH$2:AH894),$AH$2:$AH$1001,0),MATCH(COLUMNS($AO$1006:AP1006),$AO$1006:$BQ$1006,0)), HYPERLINK("#",""), HYPERLINK(CONCATENATE("#Metadata!", ADDRESS(INDEX($AJ$2:$AJ$1001,MATCH(ROWS($AH$2:AH894),$AH$2:$AH$1001,0),0), INDEX($AO$1004:$BQ$1004,1,MATCH(COLUMNS($AO$1006:AP1006),$AO$1006:$BQ$1006,0)))),"Fix")))</f>
        <v>#N/A</v>
      </c>
      <c r="D894" s="5" t="e">
        <f ca="1">IF(OR(INDEX($AI$2:$AI$1001,MATCH(ROWS($AH$2:AH894),$AH$2:$AH$1001,0),1)&gt;=100000,INDEX($AO$1005:$BQ$1005,1,MATCH(COLUMNS($AO$1006:AQ1006),$AO$1006:$BQ$1006,0))&gt;=100000), " ",IF(INDEX($AO$2:$BQ$1001,MATCH(ROWS($AH$2:AH894),$AH$2:$AH$1001,0),MATCH(COLUMNS($AO$1006:AQ1006),$AO$1006:$BQ$1006,0)), HYPERLINK("#",""), HYPERLINK(CONCATENATE("#Metadata!", ADDRESS(INDEX($AJ$2:$AJ$1001,MATCH(ROWS($AH$2:AH894),$AH$2:$AH$1001,0),0), INDEX($AO$1004:$BQ$1004,1,MATCH(COLUMNS($AO$1006:AQ1006),$AO$1006:$BQ$1006,0)))),"Fix")))</f>
        <v>#N/A</v>
      </c>
      <c r="E894" s="5" t="e">
        <f ca="1">IF(OR(INDEX($AI$2:$AI$1001,MATCH(ROWS($AH$2:AH894),$AH$2:$AH$1001,0),1)&gt;=100000,INDEX($AO$1005:$BQ$1005,1,MATCH(COLUMNS($AO$1006:AR1006),$AO$1006:$BQ$1006,0))&gt;=100000), " ",IF(INDEX($AO$2:$BQ$1001,MATCH(ROWS($AH$2:AH894),$AH$2:$AH$1001,0),MATCH(COLUMNS($AO$1006:AR1006),$AO$1006:$BQ$1006,0)), HYPERLINK("#",""), HYPERLINK(CONCATENATE("#Metadata!", ADDRESS(INDEX($AJ$2:$AJ$1001,MATCH(ROWS($AH$2:AH894),$AH$2:$AH$1001,0),0), INDEX($AO$1004:$BQ$1004,1,MATCH(COLUMNS($AO$1006:AR1006),$AO$1006:$BQ$1006,0)))),"Fix")))</f>
        <v>#N/A</v>
      </c>
      <c r="F894" s="5" t="e">
        <f ca="1">IF(OR(INDEX($AI$2:$AI$1001,MATCH(ROWS($AH$2:AH894),$AH$2:$AH$1001,0),1)&gt;=100000,INDEX($AO$1005:$BQ$1005,1,MATCH(COLUMNS($AO$1006:AS1006),$AO$1006:$BQ$1006,0))&gt;=100000), " ",IF(INDEX($AO$2:$BQ$1001,MATCH(ROWS($AH$2:AH894),$AH$2:$AH$1001,0),MATCH(COLUMNS($AO$1006:AS1006),$AO$1006:$BQ$1006,0)), HYPERLINK("#",""), HYPERLINK(CONCATENATE("#Metadata!", ADDRESS(INDEX($AJ$2:$AJ$1001,MATCH(ROWS($AH$2:AH894),$AH$2:$AH$1001,0),0), INDEX($AO$1004:$BQ$1004,1,MATCH(COLUMNS($AO$1006:AS1006),$AO$1006:$BQ$1006,0)))),"Fix")))</f>
        <v>#N/A</v>
      </c>
      <c r="G894" s="5" t="e">
        <f ca="1">IF(OR(INDEX($AI$2:$AI$1001,MATCH(ROWS($AH$2:AH894),$AH$2:$AH$1001,0),1)&gt;=100000,INDEX($AO$1005:$BQ$1005,1,MATCH(COLUMNS($AO$1006:AT1006),$AO$1006:$BQ$1006,0))&gt;=100000), " ",IF(INDEX($AO$2:$BQ$1001,MATCH(ROWS($AH$2:AH894),$AH$2:$AH$1001,0),MATCH(COLUMNS($AO$1006:AT1006),$AO$1006:$BQ$1006,0)), HYPERLINK("#",""), HYPERLINK(CONCATENATE("#Metadata!", ADDRESS(INDEX($AJ$2:$AJ$1001,MATCH(ROWS($AH$2:AH894),$AH$2:$AH$1001,0),0), INDEX($AO$1004:$BQ$1004,1,MATCH(COLUMNS($AO$1006:AT1006),$AO$1006:$BQ$1006,0)))),"Fix")))</f>
        <v>#N/A</v>
      </c>
      <c r="H894" s="5" t="e">
        <f ca="1">IF(OR(INDEX($AI$2:$AI$1001,MATCH(ROWS($AH$2:AH894),$AH$2:$AH$1001,0),1)&gt;=100000,INDEX($AO$1005:$BQ$1005,1,MATCH(COLUMNS($AO$1006:AU1006),$AO$1006:$BQ$1006,0))&gt;=100000), " ",IF(INDEX($AO$2:$BQ$1001,MATCH(ROWS($AH$2:AH894),$AH$2:$AH$1001,0),MATCH(COLUMNS($AO$1006:AU1006),$AO$1006:$BQ$1006,0)), HYPERLINK("#",""), HYPERLINK(CONCATENATE("#Metadata!", ADDRESS(INDEX($AJ$2:$AJ$1001,MATCH(ROWS($AH$2:AH894),$AH$2:$AH$1001,0),0), INDEX($AO$1004:$BQ$1004,1,MATCH(COLUMNS($AO$1006:AU1006),$AO$1006:$BQ$1006,0)))),"Fix")))</f>
        <v>#N/A</v>
      </c>
      <c r="I894" s="5" t="e">
        <f ca="1">IF(OR(INDEX($AI$2:$AI$1001,MATCH(ROWS($AH$2:AH894),$AH$2:$AH$1001,0),1)&gt;=100000,INDEX($AO$1005:$BQ$1005,1,MATCH(COLUMNS($AO$1006:AV1006),$AO$1006:$BQ$1006,0))&gt;=100000), " ",IF(INDEX($AO$2:$BQ$1001,MATCH(ROWS($AH$2:AH894),$AH$2:$AH$1001,0),MATCH(COLUMNS($AO$1006:AV1006),$AO$1006:$BQ$1006,0)), HYPERLINK("#",""), HYPERLINK(CONCATENATE("#Metadata!", ADDRESS(INDEX($AJ$2:$AJ$1001,MATCH(ROWS($AH$2:AH894),$AH$2:$AH$1001,0),0), INDEX($AO$1004:$BQ$1004,1,MATCH(COLUMNS($AO$1006:AV1006),$AO$1006:$BQ$1006,0)))),"Fix")))</f>
        <v>#N/A</v>
      </c>
      <c r="J894" s="5" t="e">
        <f ca="1">IF(OR(INDEX($AI$2:$AI$1001,MATCH(ROWS($AH$2:AH894),$AH$2:$AH$1001,0),1)&gt;=100000,INDEX($AO$1005:$BQ$1005,1,MATCH(COLUMNS($AO$1006:AW1006),$AO$1006:$BQ$1006,0))&gt;=100000), " ",IF(INDEX($AO$2:$BQ$1001,MATCH(ROWS($AH$2:AH894),$AH$2:$AH$1001,0),MATCH(COLUMNS($AO$1006:AW1006),$AO$1006:$BQ$1006,0)), HYPERLINK("#",""), HYPERLINK(CONCATENATE("#Metadata!", ADDRESS(INDEX($AJ$2:$AJ$1001,MATCH(ROWS($AH$2:AH894),$AH$2:$AH$1001,0),0), INDEX($AO$1004:$BQ$1004,1,MATCH(COLUMNS($AO$1006:AW1006),$AO$1006:$BQ$1006,0)))),"Fix")))</f>
        <v>#N/A</v>
      </c>
      <c r="K894" s="5" t="e">
        <f ca="1">IF(OR(INDEX($AI$2:$AI$1001,MATCH(ROWS($AH$2:AH894),$AH$2:$AH$1001,0),1)&gt;=100000,INDEX($AO$1005:$BQ$1005,1,MATCH(COLUMNS($AO$1006:AX1006),$AO$1006:$BQ$1006,0))&gt;=100000), " ",IF(INDEX($AO$2:$BQ$1001,MATCH(ROWS($AH$2:AH894),$AH$2:$AH$1001,0),MATCH(COLUMNS($AO$1006:AX1006),$AO$1006:$BQ$1006,0)), HYPERLINK("#",""), HYPERLINK(CONCATENATE("#Metadata!", ADDRESS(INDEX($AJ$2:$AJ$1001,MATCH(ROWS($AH$2:AH894),$AH$2:$AH$1001,0),0), INDEX($AO$1004:$BQ$1004,1,MATCH(COLUMNS($AO$1006:AX1006),$AO$1006:$BQ$1006,0)))),"Fix")))</f>
        <v>#N/A</v>
      </c>
      <c r="L894" s="5" t="e">
        <f ca="1">IF(OR(INDEX($AI$2:$AI$1001,MATCH(ROWS($AH$2:AH894),$AH$2:$AH$1001,0),1)&gt;=100000,INDEX($AO$1005:$BQ$1005,1,MATCH(COLUMNS($AO$1006:AY1006),$AO$1006:$BQ$1006,0))&gt;=100000), " ",IF(INDEX($AO$2:$BQ$1001,MATCH(ROWS($AH$2:AH894),$AH$2:$AH$1001,0),MATCH(COLUMNS($AO$1006:AY1006),$AO$1006:$BQ$1006,0)), HYPERLINK("#",""), HYPERLINK(CONCATENATE("#Metadata!", ADDRESS(INDEX($AJ$2:$AJ$1001,MATCH(ROWS($AH$2:AH894),$AH$2:$AH$1001,0),0), INDEX($AO$1004:$BQ$1004,1,MATCH(COLUMNS($AO$1006:AY1006),$AO$1006:$BQ$1006,0)))),"Fix")))</f>
        <v>#N/A</v>
      </c>
      <c r="M894" s="5" t="e">
        <f ca="1">IF(OR(INDEX($AI$2:$AI$1001,MATCH(ROWS($AH$2:AH894),$AH$2:$AH$1001,0),1)&gt;=100000,INDEX($AO$1005:$BQ$1005,1,MATCH(COLUMNS($AO$1006:AZ1006),$AO$1006:$BQ$1006,0))&gt;=100000), " ",IF(INDEX($AO$2:$BQ$1001,MATCH(ROWS($AH$2:AH894),$AH$2:$AH$1001,0),MATCH(COLUMNS($AO$1006:AZ1006),$AO$1006:$BQ$1006,0)), HYPERLINK("#",""), HYPERLINK(CONCATENATE("#Metadata!", ADDRESS(INDEX($AJ$2:$AJ$1001,MATCH(ROWS($AH$2:AH894),$AH$2:$AH$1001,0),0), INDEX($AO$1004:$BQ$1004,1,MATCH(COLUMNS($AO$1006:AZ1006),$AO$1006:$BQ$1006,0)))),"Fix")))</f>
        <v>#N/A</v>
      </c>
      <c r="N894" s="5" t="e">
        <f ca="1">IF(OR(INDEX($AI$2:$AI$1001,MATCH(ROWS($AH$2:AH894),$AH$2:$AH$1001,0),1)&gt;=100000,INDEX($AO$1005:$BQ$1005,1,MATCH(COLUMNS($AO$1006:BA1006),$AO$1006:$BQ$1006,0))&gt;=100000), " ",IF(INDEX($AO$2:$BQ$1001,MATCH(ROWS($AH$2:AH894),$AH$2:$AH$1001,0),MATCH(COLUMNS($AO$1006:BA1006),$AO$1006:$BQ$1006,0)), HYPERLINK("#",""), HYPERLINK(CONCATENATE("#Metadata!", ADDRESS(INDEX($AJ$2:$AJ$1001,MATCH(ROWS($AH$2:AH894),$AH$2:$AH$1001,0),0), INDEX($AO$1004:$BQ$1004,1,MATCH(COLUMNS($AO$1006:BA1006),$AO$1006:$BQ$1006,0)))),"Fix")))</f>
        <v>#N/A</v>
      </c>
      <c r="O894" s="5" t="e">
        <f ca="1">IF(OR(INDEX($AI$2:$AI$1001,MATCH(ROWS($AH$2:AH894),$AH$2:$AH$1001,0),1)&gt;=100000,INDEX($AO$1005:$BQ$1005,1,MATCH(COLUMNS($AO$1006:BB1006),$AO$1006:$BQ$1006,0))&gt;=100000), " ",IF(INDEX($AO$2:$BQ$1001,MATCH(ROWS($AH$2:AH894),$AH$2:$AH$1001,0),MATCH(COLUMNS($AO$1006:BB1006),$AO$1006:$BQ$1006,0)), HYPERLINK("#",""), HYPERLINK(CONCATENATE("#Metadata!", ADDRESS(INDEX($AJ$2:$AJ$1001,MATCH(ROWS($AH$2:AH894),$AH$2:$AH$1001,0),0), INDEX($AO$1004:$BQ$1004,1,MATCH(COLUMNS($AO$1006:BB1006),$AO$1006:$BQ$1006,0)))),"Fix")))</f>
        <v>#N/A</v>
      </c>
      <c r="P894" s="5" t="e">
        <f ca="1">IF(OR(INDEX($AI$2:$AI$1001,MATCH(ROWS($AH$2:AH894),$AH$2:$AH$1001,0),1)&gt;=100000,INDEX($AO$1005:$BQ$1005,1,MATCH(COLUMNS($AO$1006:BC1006),$AO$1006:$BQ$1006,0))&gt;=100000), " ",IF(INDEX($AO$2:$BQ$1001,MATCH(ROWS($AH$2:AH894),$AH$2:$AH$1001,0),MATCH(COLUMNS($AO$1006:BC1006),$AO$1006:$BQ$1006,0)), HYPERLINK("#",""), HYPERLINK(CONCATENATE("#Metadata!", ADDRESS(INDEX($AJ$2:$AJ$1001,MATCH(ROWS($AH$2:AH894),$AH$2:$AH$1001,0),0), INDEX($AO$1004:$BQ$1004,1,MATCH(COLUMNS($AO$1006:BC1006),$AO$1006:$BQ$1006,0)))),"Fix")))</f>
        <v>#N/A</v>
      </c>
      <c r="Q894" s="5" t="e">
        <f ca="1">IF(OR(INDEX($AI$2:$AI$1001,MATCH(ROWS($AH$2:AH894),$AH$2:$AH$1001,0),1)&gt;=100000,INDEX($AO$1005:$BQ$1005,1,MATCH(COLUMNS($AO$1006:BD1006),$AO$1006:$BQ$1006,0))&gt;=100000), " ",IF(INDEX($AO$2:$BQ$1001,MATCH(ROWS($AH$2:AH894),$AH$2:$AH$1001,0),MATCH(COLUMNS($AO$1006:BD1006),$AO$1006:$BQ$1006,0)), HYPERLINK("#",""), HYPERLINK(CONCATENATE("#Metadata!", ADDRESS(INDEX($AJ$2:$AJ$1001,MATCH(ROWS($AH$2:AH894),$AH$2:$AH$1001,0),0), INDEX($AO$1004:$BQ$1004,1,MATCH(COLUMNS($AO$1006:BD1006),$AO$1006:$BQ$1006,0)))),"Fix")))</f>
        <v>#N/A</v>
      </c>
      <c r="R894" s="5" t="e">
        <f ca="1">IF(OR(INDEX($AI$2:$AI$1001,MATCH(ROWS($AH$2:AH894),$AH$2:$AH$1001,0),1)&gt;=100000,INDEX($AO$1005:$BQ$1005,1,MATCH(COLUMNS($AO$1006:BE1006),$AO$1006:$BQ$1006,0))&gt;=100000), " ",IF(INDEX($AO$2:$BQ$1001,MATCH(ROWS($AH$2:AH894),$AH$2:$AH$1001,0),MATCH(COLUMNS($AO$1006:BE1006),$AO$1006:$BQ$1006,0)), HYPERLINK("#",""), HYPERLINK(CONCATENATE("#Metadata!", ADDRESS(INDEX($AJ$2:$AJ$1001,MATCH(ROWS($AH$2:AH894),$AH$2:$AH$1001,0),0), INDEX($AO$1004:$BQ$1004,1,MATCH(COLUMNS($AO$1006:BE1006),$AO$1006:$BQ$1006,0)))),"Fix")))</f>
        <v>#N/A</v>
      </c>
      <c r="S894" s="5" t="e">
        <f ca="1">IF(OR(INDEX($AI$2:$AI$1001,MATCH(ROWS($AH$2:AH894),$AH$2:$AH$1001,0),1)&gt;=100000,INDEX($AO$1005:$BQ$1005,1,MATCH(COLUMNS($AO$1006:BF1006),$AO$1006:$BQ$1006,0))&gt;=100000), " ",IF(INDEX($AO$2:$BQ$1001,MATCH(ROWS($AH$2:AH894),$AH$2:$AH$1001,0),MATCH(COLUMNS($AO$1006:BF1006),$AO$1006:$BQ$1006,0)), HYPERLINK("#",""), HYPERLINK(CONCATENATE("#Metadata!", ADDRESS(INDEX($AJ$2:$AJ$1001,MATCH(ROWS($AH$2:AH894),$AH$2:$AH$1001,0),0), INDEX($AO$1004:$BQ$1004,1,MATCH(COLUMNS($AO$1006:BF1006),$AO$1006:$BQ$1006,0)))),"Fix")))</f>
        <v>#N/A</v>
      </c>
      <c r="T894" s="5" t="e">
        <f ca="1">IF(OR(INDEX($AI$2:$AI$1001,MATCH(ROWS($AH$2:AH894),$AH$2:$AH$1001,0),1)&gt;=100000,INDEX($AO$1005:$BQ$1005,1,MATCH(COLUMNS($AO$1006:BG1006),$AO$1006:$BQ$1006,0))&gt;=100000), " ",IF(INDEX($AO$2:$BQ$1001,MATCH(ROWS($AH$2:AH894),$AH$2:$AH$1001,0),MATCH(COLUMNS($AO$1006:BG1006),$AO$1006:$BQ$1006,0)), HYPERLINK("#",""), HYPERLINK(CONCATENATE("#Metadata!", ADDRESS(INDEX($AJ$2:$AJ$1001,MATCH(ROWS($AH$2:AH894),$AH$2:$AH$1001,0),0), INDEX($AO$1004:$BQ$1004,1,MATCH(COLUMNS($AO$1006:BG1006),$AO$1006:$BQ$1006,0)))),"Fix")))</f>
        <v>#N/A</v>
      </c>
      <c r="U894" s="5" t="e">
        <f ca="1">IF(OR(INDEX($AI$2:$AI$1001,MATCH(ROWS($AH$2:AH894),$AH$2:$AH$1001,0),1)&gt;=100000,INDEX($AO$1005:$BQ$1005,1,MATCH(COLUMNS($AO$1006:BH1006),$AO$1006:$BQ$1006,0))&gt;=100000), " ",IF(INDEX($AO$2:$BQ$1001,MATCH(ROWS($AH$2:AH894),$AH$2:$AH$1001,0),MATCH(COLUMNS($AO$1006:BH1006),$AO$1006:$BQ$1006,0)), HYPERLINK("#",""), HYPERLINK(CONCATENATE("#Metadata!", ADDRESS(INDEX($AJ$2:$AJ$1001,MATCH(ROWS($AH$2:AH894),$AH$2:$AH$1001,0),0), INDEX($AO$1004:$BQ$1004,1,MATCH(COLUMNS($AO$1006:BH1006),$AO$1006:$BQ$1006,0)))),"Fix")))</f>
        <v>#N/A</v>
      </c>
      <c r="V894" s="5" t="e">
        <f ca="1">IF(OR(INDEX($AI$2:$AI$1001,MATCH(ROWS($AH$2:AH894),$AH$2:$AH$1001,0),1)&gt;=100000,INDEX($AO$1005:$BQ$1005,1,MATCH(COLUMNS($AO$1006:BI1006),$AO$1006:$BQ$1006,0))&gt;=100000), " ",IF(INDEX($AO$2:$BQ$1001,MATCH(ROWS($AH$2:AH894),$AH$2:$AH$1001,0),MATCH(COLUMNS($AO$1006:BI1006),$AO$1006:$BQ$1006,0)), HYPERLINK("#",""), HYPERLINK(CONCATENATE("#Metadata!", ADDRESS(INDEX($AJ$2:$AJ$1001,MATCH(ROWS($AH$2:AH894),$AH$2:$AH$1001,0),0), INDEX($AO$1004:$BQ$1004,1,MATCH(COLUMNS($AO$1006:BI1006),$AO$1006:$BQ$1006,0)))),"Fix")))</f>
        <v>#N/A</v>
      </c>
      <c r="W894" s="5" t="e">
        <f ca="1">IF(OR(INDEX($AI$2:$AI$1001,MATCH(ROWS($AH$2:AH894),$AH$2:$AH$1001,0),1)&gt;=100000,INDEX($AO$1005:$BQ$1005,1,MATCH(COLUMNS($AO$1006:BJ1006),$AO$1006:$BQ$1006,0))&gt;=100000), " ",IF(INDEX($AO$2:$BQ$1001,MATCH(ROWS($AH$2:AH894),$AH$2:$AH$1001,0),MATCH(COLUMNS($AO$1006:BJ1006),$AO$1006:$BQ$1006,0)), HYPERLINK("#",""), HYPERLINK(CONCATENATE("#Metadata!", ADDRESS(INDEX($AJ$2:$AJ$1001,MATCH(ROWS($AH$2:AH894),$AH$2:$AH$1001,0),0), INDEX($AO$1004:$BQ$1004,1,MATCH(COLUMNS($AO$1006:BJ1006),$AO$1006:$BQ$1006,0)))),"Fix")))</f>
        <v>#N/A</v>
      </c>
      <c r="X894" s="5" t="e">
        <f ca="1">IF(OR(INDEX($AI$2:$AI$1001,MATCH(ROWS($AH$2:AH894),$AH$2:$AH$1001,0),1)&gt;=100000,INDEX($AO$1005:$BQ$1005,1,MATCH(COLUMNS($AO$1006:BK1006),$AO$1006:$BQ$1006,0))&gt;=100000), " ",IF(INDEX($AO$2:$BQ$1001,MATCH(ROWS($AH$2:AH894),$AH$2:$AH$1001,0),MATCH(COLUMNS($AO$1006:BK1006),$AO$1006:$BQ$1006,0)), HYPERLINK("#",""), HYPERLINK(CONCATENATE("#Metadata!", ADDRESS(INDEX($AJ$2:$AJ$1001,MATCH(ROWS($AH$2:AH894),$AH$2:$AH$1001,0),0), INDEX($AO$1004:$BQ$1004,1,MATCH(COLUMNS($AO$1006:BK1006),$AO$1006:$BQ$1006,0)))),"Fix")))</f>
        <v>#N/A</v>
      </c>
      <c r="Y894" s="5" t="e">
        <f ca="1">IF(OR(INDEX($AI$2:$AI$1001,MATCH(ROWS($AH$2:AH894),$AH$2:$AH$1001,0),1)&gt;=100000,INDEX($AO$1005:$BQ$1005,1,MATCH(COLUMNS($AO$1006:BL1006),$AO$1006:$BQ$1006,0))&gt;=100000), " ",IF(INDEX($AO$2:$BQ$1001,MATCH(ROWS($AH$2:AH894),$AH$2:$AH$1001,0),MATCH(COLUMNS($AO$1006:BL1006),$AO$1006:$BQ$1006,0)), HYPERLINK("#",""), HYPERLINK(CONCATENATE("#Metadata!", ADDRESS(INDEX($AJ$2:$AJ$1001,MATCH(ROWS($AH$2:AH894),$AH$2:$AH$1001,0),0), INDEX($AO$1004:$BQ$1004,1,MATCH(COLUMNS($AO$1006:BL1006),$AO$1006:$BQ$1006,0)))),"Fix")))</f>
        <v>#N/A</v>
      </c>
      <c r="Z894" s="5" t="e">
        <f ca="1">IF(OR(INDEX($AI$2:$AI$1001,MATCH(ROWS($AH$2:AH894),$AH$2:$AH$1001,0),1)&gt;=100000,INDEX($AO$1005:$BQ$1005,1,MATCH(COLUMNS($AO$1006:BM1006),$AO$1006:$BQ$1006,0))&gt;=100000), " ",IF(INDEX($AO$2:$BQ$1001,MATCH(ROWS($AH$2:AH894),$AH$2:$AH$1001,0),MATCH(COLUMNS($AO$1006:BM1006),$AO$1006:$BQ$1006,0)), HYPERLINK("#",""), HYPERLINK(CONCATENATE("#Metadata!", ADDRESS(INDEX($AJ$2:$AJ$1001,MATCH(ROWS($AH$2:AH894),$AH$2:$AH$1001,0),0), INDEX($AO$1004:$BQ$1004,1,MATCH(COLUMNS($AO$1006:BM1006),$AO$1006:$BQ$1006,0)))),"Fix")))</f>
        <v>#N/A</v>
      </c>
      <c r="AA894" s="5" t="e">
        <f ca="1">IF(OR(INDEX($AI$2:$AI$1001,MATCH(ROWS($AH$2:AH894),$AH$2:$AH$1001,0),1)&gt;=100000,INDEX($AO$1005:$BQ$1005,1,MATCH(COLUMNS($AO$1006:BN1006),$AO$1006:$BQ$1006,0))&gt;=100000), " ",IF(INDEX($AO$2:$BQ$1001,MATCH(ROWS($AH$2:AH894),$AH$2:$AH$1001,0),MATCH(COLUMNS($AO$1006:BN1006),$AO$1006:$BQ$1006,0)), HYPERLINK("#",""), HYPERLINK(CONCATENATE("#Metadata!", ADDRESS(INDEX($AJ$2:$AJ$1001,MATCH(ROWS($AH$2:AH894),$AH$2:$AH$1001,0),0), INDEX($AO$1004:$BQ$1004,1,MATCH(COLUMNS($AO$1006:BN1006),$AO$1006:$BQ$1006,0)))),"Fix")))</f>
        <v>#N/A</v>
      </c>
      <c r="AB894" s="5" t="e">
        <f ca="1">IF(OR(INDEX($AI$2:$AI$1001,MATCH(ROWS($AH$2:AH894),$AH$2:$AH$1001,0),1)&gt;=100000,INDEX($AO$1005:$BQ$1005,1,MATCH(COLUMNS($AO$1006:BO1006),$AO$1006:$BQ$1006,0))&gt;=100000), " ",IF(INDEX($AO$2:$BQ$1001,MATCH(ROWS($AH$2:AH894),$AH$2:$AH$1001,0),MATCH(COLUMNS($AO$1006:BO1006),$AO$1006:$BQ$1006,0)), HYPERLINK("#",""), HYPERLINK(CONCATENATE("#Metadata!", ADDRESS(INDEX($AJ$2:$AJ$1001,MATCH(ROWS($AH$2:AH894),$AH$2:$AH$1001,0),0), INDEX($AO$1004:$BQ$1004,1,MATCH(COLUMNS($AO$1006:BO1006),$AO$1006:$BQ$1006,0)))),"Fix")))</f>
        <v>#N/A</v>
      </c>
      <c r="AC894" s="5" t="e">
        <f ca="1">IF(OR(INDEX($AI$2:$AI$1001,MATCH(ROWS($AH$2:AH894),$AH$2:$AH$1001,0),1)&gt;=100000,INDEX($AO$1005:$BQ$1005,1,MATCH(COLUMNS($AO$1006:BP1006),$AO$1006:$BQ$1006,0))&gt;=100000), " ",IF(INDEX($AO$2:$BQ$1001,MATCH(ROWS($AH$2:AH894),$AH$2:$AH$1001,0),MATCH(COLUMNS($AO$1006:BP1006),$AO$1006:$BQ$1006,0)), HYPERLINK("#",""), HYPERLINK(CONCATENATE("#Metadata!", ADDRESS(INDEX($AJ$2:$AJ$1001,MATCH(ROWS($AH$2:AH894),$AH$2:$AH$1001,0),0), INDEX($AO$1004:$BQ$1004,1,MATCH(COLUMNS($AO$1006:BP1006),$AO$1006:$BQ$1006,0)))),"Fix")))</f>
        <v>#N/A</v>
      </c>
      <c r="AD894" s="5" t="e">
        <f ca="1">IF(OR(INDEX($AI$2:$AI$1001,MATCH(ROWS($AH$2:AH894),$AH$2:$AH$1001,0),1)&gt;=100000,INDEX($AO$1005:$BQ$1005,1,MATCH(COLUMNS($AO$1006:BQ1006),$AO$1006:$BQ$1006,0))&gt;=100000), " ",IF(INDEX($AO$2:$BQ$1001,MATCH(ROWS($AH$2:AH894),$AH$2:$AH$1001,0),MATCH(COLUMNS($AO$1006:BQ1006),$AO$1006:$BQ$1006,0)), HYPERLINK("#",""), HYPERLINK(CONCATENATE("#Metadata!", ADDRESS(INDEX($AJ$2:$AJ$1001,MATCH(ROWS($AH$2:AH894),$AH$2:$AH$1001,0),0), INDEX($AO$1004:$BQ$1004,1,MATCH(COLUMNS($AO$1006:BQ1006),$AO$1006:$BQ$1006,0)))),"Fix")))</f>
        <v>#REF!</v>
      </c>
      <c r="AH894">
        <f ca="1"/>
        <v>891</v>
      </c>
      <c r="AI894">
        <v>100894</v>
      </c>
      <c r="AJ894">
        <v>894</v>
      </c>
      <c r="AK894" t="b">
        <f t="shared" si="13"/>
        <v>1</v>
      </c>
      <c r="AL894" t="b">
        <f>COUNTBLANK(Metadata!B894:AD894)=COLUMNS(Metadata!B894:AD894)</f>
        <v>1</v>
      </c>
      <c r="AM894" t="str">
        <v/>
      </c>
      <c r="AO894" t="b">
        <f ca="1">AND(IF(Metadata!B894="",FALSE,TRUE),COUNTIF(Metadata!B:B, Metadata!B894) = 1,NOT(ISERROR(SUMPRODUCT(SEARCH(MID(Metadata!B894,ROW(INDIRECT("1:"&amp;LEN(Metadata!B894))), 1),"0123456789abcdefghijklmnopqrstuvwxyzABCDEFGHIJKLMNOPQRSTUVWXYZ.")))))</f>
        <v>0</v>
      </c>
      <c r="AP894" t="b">
        <f>IF(Metadata!C894="",FALSE,TRUE)</f>
        <v>0</v>
      </c>
      <c r="AQ894" t="b">
        <f>IF(Metadata!D894="",FALSE,TRUE)</f>
        <v>0</v>
      </c>
      <c r="AR894" t="b">
        <f ca="1">OR(AND(IF(Metadata!E894="",FALSE,TRUE),OR(EXACT(Metadata!E894,"not collected"),EXACT(Metadata!E894,"not provided"),EXACT(Metadata!E894,"restricted access"))),AND(IF(Metadata!E894="",FALSE,TRUE),AND(AND(IFERROR(INT(LEFT(Metadata!E894,4))&gt;1900,FALSE),IFERROR(INT(LEFT(Metadata!E894,4))&lt;=YEAR(NOW()),FALSE)), OR(MID(Metadata!E894,5,1)="", AND(AND(MID(Metadata!E894,5,1)="-",IFERROR(INT(MID(Metadata!E894,6,1))&gt;=0,FALSE),IFERROR(INT(MID(Metadata!E894,6,1))&lt;=1,FALSE),NOT(MID(Metadata!E894,7,1)=""),IFERROR(INT(MID(Metadata!E894,6,2))&gt;=1,FALSE),IFERROR(INT(MID(Metadata!E894,6,2))&lt;=12,FALSE)), OR(MID(Metadata!E894,8,1)="", AND(AND(MID(Metadata!E894,8,1)="-",IFERROR(INT(MID(Metadata!E894,9,1))&gt;=0,FALSE),IFERROR(INT(MID(Metadata!E894,9,1))&lt;=3,FALSE),NOT(MID(Metadata!E894,10,1)=""),IFERROR(INT(MID(Metadata!E894,9,2))&gt;=1,FALSE),IFERROR(INT(MID(Metadata!E894,9,2))&lt;=31,FALSE)), OR(MID(Metadata!E894,11,1)="", AND(AND(MID(Metadata!E894,11,1)=" ",IFERROR(INT(MID(Metadata!E894,12,1))&gt;=0,FALSE),IFERROR(INT(MID(Metadata!E894,12,1))&lt;=2,FALSE),NOT(MID(Metadata!E894,13,1)=""),IFERROR(INT(MID(Metadata!E894,12,2))&gt;=0,FALSE),IFERROR(INT(MID(Metadata!E894,12,2))&lt;=23,FALSE)), OR(MID(Metadata!E894,14,1)="", AND(AND(MID(Metadata!E894,14,1)=":",IFERROR(INT(MID(Metadata!E894,15,1))&gt;=0,FALSE),IFERROR(INT(MID(Metadata!E894,15,1))&lt;=5,FALSE),NOT(MID(Metadata!E894,16,1)=""),IFERROR(INT(MID(Metadata!E894,15,2))&gt;=0,FALSE),IFERROR(INT(MID(Metadata!E894,15,2))&lt;=59,FALSE)), OR(MID(Metadata!E894,17,1)="", AND(AND(MID(Metadata!E894,17,1)=":",IFERROR(INT(MID(Metadata!E894,18,1))&gt;=0,FALSE),IFERROR(INT(MID(Metadata!E894,18,1))&lt;=5,FALSE),NOT(MID(Metadata!E894,19,1)=""),IFERROR(INT(MID(Metadata!E894,18,2))&gt;=0,FALSE),IFERROR(INT(MID(Metadata!E894,18,2))&lt;=59,FALSE)), LEN(Metadata!E894)&lt;=19)))))))))))))</f>
        <v>0</v>
      </c>
      <c r="AS894" t="b">
        <f>IF(Metadata!F894="",FALSE,TRUE)</f>
        <v>0</v>
      </c>
      <c r="AT894" t="b">
        <f>OR(AND(IF(Metadata!G894="",FALSE,TRUE),OR(EXACT(Metadata!G894,"not collected"),EXACT(Metadata!G894,"not provided"))),AND(IF(Metadata!G894="",FALSE,TRUE),OR(EXACT(Metadata!G894,"TRUE"),EXACT(Metadata!G894,"FALSE"))))</f>
        <v>0</v>
      </c>
      <c r="AU894" t="b">
        <f>OR(AND(IF(Metadata!H894="",FALSE,TRUE),OR(EXACT(Metadata!H894,"not collected"),EXACT(Metadata!H894,"not provided"),EXACT(Metadata!H894,"restricted access"))),AND(IF(Metadata!H894="",FALSE,ISNUMBER(VALUE(Metadata!H894))),Metadata!H894&gt;=-413))</f>
        <v>0</v>
      </c>
      <c r="AV894" t="b">
        <f>AND(IF(Metadata!I894="",FALSE,TRUE),EXACT(Metadata!I894,"meters"))</f>
        <v>0</v>
      </c>
      <c r="AW894" t="b">
        <f>AND(IF(Metadata!J894="",FALSE,TRUE),EXACT(Metadata!J894,"free-living"))</f>
        <v>0</v>
      </c>
      <c r="AX894" t="b">
        <f>AND(IF(Metadata!K894="",FALSE,TRUE),OR(EXACT(Metadata!K894,"saline"),EXACT(Metadata!K894,"non-saline")))</f>
        <v>0</v>
      </c>
      <c r="AY894" t="b">
        <f>AND(IF(Metadata!L894="",FALSE,TRUE),OR(EXACT(Metadata!L894,"sub-surface (non-saline)"),EXACT(Metadata!L894,"surface (non-saline)"),EXACT(Metadata!L894,"water (non-saline)"),EXACT(Metadata!L894,"soil (non-saline)"),EXACT(Metadata!L894,"aerosol (non-saline)"),EXACT(Metadata!L894,"sediment (non-saline)"),EXACT(Metadata!L894,"surface (saline)"),EXACT(Metadata!L894,"water (saline)"),EXACT(Metadata!L894,"hypersaline (saline)"),EXACT(Metadata!L894,"aerosol (saline)"),EXACT(Metadata!L894,"sediment (saline)")))</f>
        <v>0</v>
      </c>
      <c r="AZ894" t="b">
        <f>IF(Metadata!M894="",FALSE,TRUE)</f>
        <v>0</v>
      </c>
      <c r="BA894" t="b">
        <f>IF(Metadata!N894="",FALSE,TRUE)</f>
        <v>0</v>
      </c>
      <c r="BB894" t="b">
        <f>IF(Metadata!O894="",FALSE,TRUE)</f>
        <v>0</v>
      </c>
      <c r="BC894" t="b">
        <f>AND(IF(Metadata!P894="",FALSE,TRUE),OR(EXACT(Metadata!P894,"air"),EXACT(Metadata!P894,"microbial mat/biofilm"),EXACT(Metadata!P894,"misc environment"),EXACT(Metadata!P894,"sediment"),EXACT(Metadata!P894,"soil"),EXACT(Metadata!P894,"wastewater/sludge"),EXACT(Metadata!P894,"water")))</f>
        <v>0</v>
      </c>
      <c r="BD894" t="b">
        <f>IF(Metadata!Q894="",FALSE,TRUE)</f>
        <v>0</v>
      </c>
      <c r="BE894" t="b">
        <f>IF(Metadata!R894="",FALSE,TRUE)</f>
        <v>0</v>
      </c>
      <c r="BF894" t="b">
        <f>OR(AND(IF(Metadata!S894="",FALSE,TRUE),OR(EXACT(Metadata!S894,"not collected"),EXACT(Metadata!S894,"not provided"),EXACT(Metadata!S894,"restricted access"))),AND(IF(Metadata!S894="",FALSE,ISNUMBER(VALUE(Metadata!S894))),Metadata!S894&gt;=-90,Metadata!S894&lt;=90))</f>
        <v>0</v>
      </c>
      <c r="BG894" t="b">
        <f>AND(IF(Metadata!T894="",FALSE,TRUE),EXACT(Metadata!T894,"Decimal degrees"))</f>
        <v>0</v>
      </c>
      <c r="BH894" t="b">
        <f>OR(AND(IF(Metadata!U894="",FALSE,TRUE),OR(EXACT(Metadata!U894,"not applicable"),EXACT(Metadata!U894,"not collected"))),IF(Metadata!U894="",FALSE,TRUE))</f>
        <v>0</v>
      </c>
      <c r="BI894" t="b">
        <f>OR(AND(IF(Metadata!V894="",FALSE,TRUE),OR(EXACT(Metadata!V894,"not collected"),EXACT(Metadata!V894,"not provided"),EXACT(Metadata!V894,"restricted access"))),AND(IF(Metadata!V894="",FALSE,ISNUMBER(VALUE(Metadata!V894))),Metadata!V894&gt;=-180,Metadata!V894&lt;=180))</f>
        <v>0</v>
      </c>
      <c r="BJ894" t="b">
        <f>AND(IF(Metadata!W894="",FALSE,TRUE),EXACT(Metadata!W894,"Decimal degrees"))</f>
        <v>0</v>
      </c>
      <c r="BK894" t="b">
        <f>IF(Metadata!X894="",FALSE,TRUE)</f>
        <v>0</v>
      </c>
      <c r="BL894" t="b">
        <f>OR(AND(IF(Metadata!Y894="",FALSE,TRUE),OR(EXACT(Metadata!Y894,"not collected"),EXACT(Metadata!Y894,"not provided"),EXACT(Metadata!Y894,"restricted access"))),AND(IF(Metadata!Y894="",FALSE,TRUE),OR(EXACT(Metadata!Y894,"TRUE"),EXACT(Metadata!Y894,"FALSE"))))</f>
        <v>0</v>
      </c>
      <c r="BM894" t="b">
        <f>OR(AND(IF(Metadata!Z894="",FALSE,TRUE),EXACT(Metadata!Z894,"not applicable")),AND(IF(Metadata!Z894="",FALSE,TRUE),OR(EXACT(Metadata!Z894,"beer"),EXACT(Metadata!Z894,"cheese"),EXACT(Metadata!Z894,"fresh water"),EXACT(Metadata!Z894,"marine sediment"),EXACT(Metadata!Z894,"sea water"),EXACT(Metadata!Z894,"sediment"),EXACT(Metadata!Z894,"soil"),EXACT(Metadata!Z894,"waste water"))))</f>
        <v>0</v>
      </c>
      <c r="BN894" t="b">
        <f>AND(IF(Metadata!AA894="",FALSE,TRUE),EXACT(Metadata!AA894,"metagenome"))</f>
        <v>0</v>
      </c>
      <c r="BO894" t="b">
        <f>AND(IF(Metadata!AB894="",FALSE,TRUE),EXACT(Metadata!AB894,"256318"))</f>
        <v>0</v>
      </c>
      <c r="BP894" t="b">
        <f>IF(Metadata!AC894="",FALSE,TRUE)</f>
        <v>0</v>
      </c>
      <c r="BQ894" t="b">
        <f>IF(Metadata!AD894="",FALSE,TRUE)</f>
        <v>0</v>
      </c>
    </row>
    <row r="895" spans="1:69" x14ac:dyDescent="0.2">
      <c r="A895" s="4" t="e">
        <f ca="1">IF(B895=" "," ",HYPERLINK(CONCATENATE("#metadata!",ADDRESS(INDEX($AJ$2:$AJ$1001,MATCH(ROWS($AH$2:AH895),$AH$2:$AH$1001,0),0),2)),INDEX($AM$2:$AM$1001,MATCH(ROWS($AH$2:AH895),$AH$2:$AH$1001,0),0)))</f>
        <v>#N/A</v>
      </c>
      <c r="B895" s="5" t="e">
        <f ca="1">IF(OR(INDEX($AI$2:$AI$1001,MATCH(ROWS($AH$2:AH895),$AH$2:$AH$1001,0),1)&gt;=100000,INDEX($AO$1005:$BQ$1005,1,MATCH(COLUMNS($AO$1006:AO1006),$AO$1006:$BQ$1006,0))&gt;=100000), " ",IF(INDEX($AO$2:$BQ$1001,MATCH(ROWS($AH$2:AH895),$AH$2:$AH$1001,0),MATCH(COLUMNS($AO$1006:AO1006),$AO$1006:$BQ$1006,0)), HYPERLINK("#",""), HYPERLINK(CONCATENATE("#Metadata!", ADDRESS(INDEX($AJ$2:$AJ$1001,MATCH(ROWS($AH$2:AH895),$AH$2:$AH$1001,0),0), INDEX($AO$1004:$BQ$1004,1,MATCH(COLUMNS($AO$1006:AO1006),$AO$1006:$BQ$1006,0)))),"Fix")))</f>
        <v>#N/A</v>
      </c>
      <c r="C895" s="5" t="e">
        <f ca="1">IF(OR(INDEX($AI$2:$AI$1001,MATCH(ROWS($AH$2:AH895),$AH$2:$AH$1001,0),1)&gt;=100000,INDEX($AO$1005:$BQ$1005,1,MATCH(COLUMNS($AO$1006:AP1006),$AO$1006:$BQ$1006,0))&gt;=100000), " ",IF(INDEX($AO$2:$BQ$1001,MATCH(ROWS($AH$2:AH895),$AH$2:$AH$1001,0),MATCH(COLUMNS($AO$1006:AP1006),$AO$1006:$BQ$1006,0)), HYPERLINK("#",""), HYPERLINK(CONCATENATE("#Metadata!", ADDRESS(INDEX($AJ$2:$AJ$1001,MATCH(ROWS($AH$2:AH895),$AH$2:$AH$1001,0),0), INDEX($AO$1004:$BQ$1004,1,MATCH(COLUMNS($AO$1006:AP1006),$AO$1006:$BQ$1006,0)))),"Fix")))</f>
        <v>#N/A</v>
      </c>
      <c r="D895" s="5" t="e">
        <f ca="1">IF(OR(INDEX($AI$2:$AI$1001,MATCH(ROWS($AH$2:AH895),$AH$2:$AH$1001,0),1)&gt;=100000,INDEX($AO$1005:$BQ$1005,1,MATCH(COLUMNS($AO$1006:AQ1006),$AO$1006:$BQ$1006,0))&gt;=100000), " ",IF(INDEX($AO$2:$BQ$1001,MATCH(ROWS($AH$2:AH895),$AH$2:$AH$1001,0),MATCH(COLUMNS($AO$1006:AQ1006),$AO$1006:$BQ$1006,0)), HYPERLINK("#",""), HYPERLINK(CONCATENATE("#Metadata!", ADDRESS(INDEX($AJ$2:$AJ$1001,MATCH(ROWS($AH$2:AH895),$AH$2:$AH$1001,0),0), INDEX($AO$1004:$BQ$1004,1,MATCH(COLUMNS($AO$1006:AQ1006),$AO$1006:$BQ$1006,0)))),"Fix")))</f>
        <v>#N/A</v>
      </c>
      <c r="E895" s="5" t="e">
        <f ca="1">IF(OR(INDEX($AI$2:$AI$1001,MATCH(ROWS($AH$2:AH895),$AH$2:$AH$1001,0),1)&gt;=100000,INDEX($AO$1005:$BQ$1005,1,MATCH(COLUMNS($AO$1006:AR1006),$AO$1006:$BQ$1006,0))&gt;=100000), " ",IF(INDEX($AO$2:$BQ$1001,MATCH(ROWS($AH$2:AH895),$AH$2:$AH$1001,0),MATCH(COLUMNS($AO$1006:AR1006),$AO$1006:$BQ$1006,0)), HYPERLINK("#",""), HYPERLINK(CONCATENATE("#Metadata!", ADDRESS(INDEX($AJ$2:$AJ$1001,MATCH(ROWS($AH$2:AH895),$AH$2:$AH$1001,0),0), INDEX($AO$1004:$BQ$1004,1,MATCH(COLUMNS($AO$1006:AR1006),$AO$1006:$BQ$1006,0)))),"Fix")))</f>
        <v>#N/A</v>
      </c>
      <c r="F895" s="5" t="e">
        <f ca="1">IF(OR(INDEX($AI$2:$AI$1001,MATCH(ROWS($AH$2:AH895),$AH$2:$AH$1001,0),1)&gt;=100000,INDEX($AO$1005:$BQ$1005,1,MATCH(COLUMNS($AO$1006:AS1006),$AO$1006:$BQ$1006,0))&gt;=100000), " ",IF(INDEX($AO$2:$BQ$1001,MATCH(ROWS($AH$2:AH895),$AH$2:$AH$1001,0),MATCH(COLUMNS($AO$1006:AS1006),$AO$1006:$BQ$1006,0)), HYPERLINK("#",""), HYPERLINK(CONCATENATE("#Metadata!", ADDRESS(INDEX($AJ$2:$AJ$1001,MATCH(ROWS($AH$2:AH895),$AH$2:$AH$1001,0),0), INDEX($AO$1004:$BQ$1004,1,MATCH(COLUMNS($AO$1006:AS1006),$AO$1006:$BQ$1006,0)))),"Fix")))</f>
        <v>#N/A</v>
      </c>
      <c r="G895" s="5" t="e">
        <f ca="1">IF(OR(INDEX($AI$2:$AI$1001,MATCH(ROWS($AH$2:AH895),$AH$2:$AH$1001,0),1)&gt;=100000,INDEX($AO$1005:$BQ$1005,1,MATCH(COLUMNS($AO$1006:AT1006),$AO$1006:$BQ$1006,0))&gt;=100000), " ",IF(INDEX($AO$2:$BQ$1001,MATCH(ROWS($AH$2:AH895),$AH$2:$AH$1001,0),MATCH(COLUMNS($AO$1006:AT1006),$AO$1006:$BQ$1006,0)), HYPERLINK("#",""), HYPERLINK(CONCATENATE("#Metadata!", ADDRESS(INDEX($AJ$2:$AJ$1001,MATCH(ROWS($AH$2:AH895),$AH$2:$AH$1001,0),0), INDEX($AO$1004:$BQ$1004,1,MATCH(COLUMNS($AO$1006:AT1006),$AO$1006:$BQ$1006,0)))),"Fix")))</f>
        <v>#N/A</v>
      </c>
      <c r="H895" s="5" t="e">
        <f ca="1">IF(OR(INDEX($AI$2:$AI$1001,MATCH(ROWS($AH$2:AH895),$AH$2:$AH$1001,0),1)&gt;=100000,INDEX($AO$1005:$BQ$1005,1,MATCH(COLUMNS($AO$1006:AU1006),$AO$1006:$BQ$1006,0))&gt;=100000), " ",IF(INDEX($AO$2:$BQ$1001,MATCH(ROWS($AH$2:AH895),$AH$2:$AH$1001,0),MATCH(COLUMNS($AO$1006:AU1006),$AO$1006:$BQ$1006,0)), HYPERLINK("#",""), HYPERLINK(CONCATENATE("#Metadata!", ADDRESS(INDEX($AJ$2:$AJ$1001,MATCH(ROWS($AH$2:AH895),$AH$2:$AH$1001,0),0), INDEX($AO$1004:$BQ$1004,1,MATCH(COLUMNS($AO$1006:AU1006),$AO$1006:$BQ$1006,0)))),"Fix")))</f>
        <v>#N/A</v>
      </c>
      <c r="I895" s="5" t="e">
        <f ca="1">IF(OR(INDEX($AI$2:$AI$1001,MATCH(ROWS($AH$2:AH895),$AH$2:$AH$1001,0),1)&gt;=100000,INDEX($AO$1005:$BQ$1005,1,MATCH(COLUMNS($AO$1006:AV1006),$AO$1006:$BQ$1006,0))&gt;=100000), " ",IF(INDEX($AO$2:$BQ$1001,MATCH(ROWS($AH$2:AH895),$AH$2:$AH$1001,0),MATCH(COLUMNS($AO$1006:AV1006),$AO$1006:$BQ$1006,0)), HYPERLINK("#",""), HYPERLINK(CONCATENATE("#Metadata!", ADDRESS(INDEX($AJ$2:$AJ$1001,MATCH(ROWS($AH$2:AH895),$AH$2:$AH$1001,0),0), INDEX($AO$1004:$BQ$1004,1,MATCH(COLUMNS($AO$1006:AV1006),$AO$1006:$BQ$1006,0)))),"Fix")))</f>
        <v>#N/A</v>
      </c>
      <c r="J895" s="5" t="e">
        <f ca="1">IF(OR(INDEX($AI$2:$AI$1001,MATCH(ROWS($AH$2:AH895),$AH$2:$AH$1001,0),1)&gt;=100000,INDEX($AO$1005:$BQ$1005,1,MATCH(COLUMNS($AO$1006:AW1006),$AO$1006:$BQ$1006,0))&gt;=100000), " ",IF(INDEX($AO$2:$BQ$1001,MATCH(ROWS($AH$2:AH895),$AH$2:$AH$1001,0),MATCH(COLUMNS($AO$1006:AW1006),$AO$1006:$BQ$1006,0)), HYPERLINK("#",""), HYPERLINK(CONCATENATE("#Metadata!", ADDRESS(INDEX($AJ$2:$AJ$1001,MATCH(ROWS($AH$2:AH895),$AH$2:$AH$1001,0),0), INDEX($AO$1004:$BQ$1004,1,MATCH(COLUMNS($AO$1006:AW1006),$AO$1006:$BQ$1006,0)))),"Fix")))</f>
        <v>#N/A</v>
      </c>
      <c r="K895" s="5" t="e">
        <f ca="1">IF(OR(INDEX($AI$2:$AI$1001,MATCH(ROWS($AH$2:AH895),$AH$2:$AH$1001,0),1)&gt;=100000,INDEX($AO$1005:$BQ$1005,1,MATCH(COLUMNS($AO$1006:AX1006),$AO$1006:$BQ$1006,0))&gt;=100000), " ",IF(INDEX($AO$2:$BQ$1001,MATCH(ROWS($AH$2:AH895),$AH$2:$AH$1001,0),MATCH(COLUMNS($AO$1006:AX1006),$AO$1006:$BQ$1006,0)), HYPERLINK("#",""), HYPERLINK(CONCATENATE("#Metadata!", ADDRESS(INDEX($AJ$2:$AJ$1001,MATCH(ROWS($AH$2:AH895),$AH$2:$AH$1001,0),0), INDEX($AO$1004:$BQ$1004,1,MATCH(COLUMNS($AO$1006:AX1006),$AO$1006:$BQ$1006,0)))),"Fix")))</f>
        <v>#N/A</v>
      </c>
      <c r="L895" s="5" t="e">
        <f ca="1">IF(OR(INDEX($AI$2:$AI$1001,MATCH(ROWS($AH$2:AH895),$AH$2:$AH$1001,0),1)&gt;=100000,INDEX($AO$1005:$BQ$1005,1,MATCH(COLUMNS($AO$1006:AY1006),$AO$1006:$BQ$1006,0))&gt;=100000), " ",IF(INDEX($AO$2:$BQ$1001,MATCH(ROWS($AH$2:AH895),$AH$2:$AH$1001,0),MATCH(COLUMNS($AO$1006:AY1006),$AO$1006:$BQ$1006,0)), HYPERLINK("#",""), HYPERLINK(CONCATENATE("#Metadata!", ADDRESS(INDEX($AJ$2:$AJ$1001,MATCH(ROWS($AH$2:AH895),$AH$2:$AH$1001,0),0), INDEX($AO$1004:$BQ$1004,1,MATCH(COLUMNS($AO$1006:AY1006),$AO$1006:$BQ$1006,0)))),"Fix")))</f>
        <v>#N/A</v>
      </c>
      <c r="M895" s="5" t="e">
        <f ca="1">IF(OR(INDEX($AI$2:$AI$1001,MATCH(ROWS($AH$2:AH895),$AH$2:$AH$1001,0),1)&gt;=100000,INDEX($AO$1005:$BQ$1005,1,MATCH(COLUMNS($AO$1006:AZ1006),$AO$1006:$BQ$1006,0))&gt;=100000), " ",IF(INDEX($AO$2:$BQ$1001,MATCH(ROWS($AH$2:AH895),$AH$2:$AH$1001,0),MATCH(COLUMNS($AO$1006:AZ1006),$AO$1006:$BQ$1006,0)), HYPERLINK("#",""), HYPERLINK(CONCATENATE("#Metadata!", ADDRESS(INDEX($AJ$2:$AJ$1001,MATCH(ROWS($AH$2:AH895),$AH$2:$AH$1001,0),0), INDEX($AO$1004:$BQ$1004,1,MATCH(COLUMNS($AO$1006:AZ1006),$AO$1006:$BQ$1006,0)))),"Fix")))</f>
        <v>#N/A</v>
      </c>
      <c r="N895" s="5" t="e">
        <f ca="1">IF(OR(INDEX($AI$2:$AI$1001,MATCH(ROWS($AH$2:AH895),$AH$2:$AH$1001,0),1)&gt;=100000,INDEX($AO$1005:$BQ$1005,1,MATCH(COLUMNS($AO$1006:BA1006),$AO$1006:$BQ$1006,0))&gt;=100000), " ",IF(INDEX($AO$2:$BQ$1001,MATCH(ROWS($AH$2:AH895),$AH$2:$AH$1001,0),MATCH(COLUMNS($AO$1006:BA1006),$AO$1006:$BQ$1006,0)), HYPERLINK("#",""), HYPERLINK(CONCATENATE("#Metadata!", ADDRESS(INDEX($AJ$2:$AJ$1001,MATCH(ROWS($AH$2:AH895),$AH$2:$AH$1001,0),0), INDEX($AO$1004:$BQ$1004,1,MATCH(COLUMNS($AO$1006:BA1006),$AO$1006:$BQ$1006,0)))),"Fix")))</f>
        <v>#N/A</v>
      </c>
      <c r="O895" s="5" t="e">
        <f ca="1">IF(OR(INDEX($AI$2:$AI$1001,MATCH(ROWS($AH$2:AH895),$AH$2:$AH$1001,0),1)&gt;=100000,INDEX($AO$1005:$BQ$1005,1,MATCH(COLUMNS($AO$1006:BB1006),$AO$1006:$BQ$1006,0))&gt;=100000), " ",IF(INDEX($AO$2:$BQ$1001,MATCH(ROWS($AH$2:AH895),$AH$2:$AH$1001,0),MATCH(COLUMNS($AO$1006:BB1006),$AO$1006:$BQ$1006,0)), HYPERLINK("#",""), HYPERLINK(CONCATENATE("#Metadata!", ADDRESS(INDEX($AJ$2:$AJ$1001,MATCH(ROWS($AH$2:AH895),$AH$2:$AH$1001,0),0), INDEX($AO$1004:$BQ$1004,1,MATCH(COLUMNS($AO$1006:BB1006),$AO$1006:$BQ$1006,0)))),"Fix")))</f>
        <v>#N/A</v>
      </c>
      <c r="P895" s="5" t="e">
        <f ca="1">IF(OR(INDEX($AI$2:$AI$1001,MATCH(ROWS($AH$2:AH895),$AH$2:$AH$1001,0),1)&gt;=100000,INDEX($AO$1005:$BQ$1005,1,MATCH(COLUMNS($AO$1006:BC1006),$AO$1006:$BQ$1006,0))&gt;=100000), " ",IF(INDEX($AO$2:$BQ$1001,MATCH(ROWS($AH$2:AH895),$AH$2:$AH$1001,0),MATCH(COLUMNS($AO$1006:BC1006),$AO$1006:$BQ$1006,0)), HYPERLINK("#",""), HYPERLINK(CONCATENATE("#Metadata!", ADDRESS(INDEX($AJ$2:$AJ$1001,MATCH(ROWS($AH$2:AH895),$AH$2:$AH$1001,0),0), INDEX($AO$1004:$BQ$1004,1,MATCH(COLUMNS($AO$1006:BC1006),$AO$1006:$BQ$1006,0)))),"Fix")))</f>
        <v>#N/A</v>
      </c>
      <c r="Q895" s="5" t="e">
        <f ca="1">IF(OR(INDEX($AI$2:$AI$1001,MATCH(ROWS($AH$2:AH895),$AH$2:$AH$1001,0),1)&gt;=100000,INDEX($AO$1005:$BQ$1005,1,MATCH(COLUMNS($AO$1006:BD1006),$AO$1006:$BQ$1006,0))&gt;=100000), " ",IF(INDEX($AO$2:$BQ$1001,MATCH(ROWS($AH$2:AH895),$AH$2:$AH$1001,0),MATCH(COLUMNS($AO$1006:BD1006),$AO$1006:$BQ$1006,0)), HYPERLINK("#",""), HYPERLINK(CONCATENATE("#Metadata!", ADDRESS(INDEX($AJ$2:$AJ$1001,MATCH(ROWS($AH$2:AH895),$AH$2:$AH$1001,0),0), INDEX($AO$1004:$BQ$1004,1,MATCH(COLUMNS($AO$1006:BD1006),$AO$1006:$BQ$1006,0)))),"Fix")))</f>
        <v>#N/A</v>
      </c>
      <c r="R895" s="5" t="e">
        <f ca="1">IF(OR(INDEX($AI$2:$AI$1001,MATCH(ROWS($AH$2:AH895),$AH$2:$AH$1001,0),1)&gt;=100000,INDEX($AO$1005:$BQ$1005,1,MATCH(COLUMNS($AO$1006:BE1006),$AO$1006:$BQ$1006,0))&gt;=100000), " ",IF(INDEX($AO$2:$BQ$1001,MATCH(ROWS($AH$2:AH895),$AH$2:$AH$1001,0),MATCH(COLUMNS($AO$1006:BE1006),$AO$1006:$BQ$1006,0)), HYPERLINK("#",""), HYPERLINK(CONCATENATE("#Metadata!", ADDRESS(INDEX($AJ$2:$AJ$1001,MATCH(ROWS($AH$2:AH895),$AH$2:$AH$1001,0),0), INDEX($AO$1004:$BQ$1004,1,MATCH(COLUMNS($AO$1006:BE1006),$AO$1006:$BQ$1006,0)))),"Fix")))</f>
        <v>#N/A</v>
      </c>
      <c r="S895" s="5" t="e">
        <f ca="1">IF(OR(INDEX($AI$2:$AI$1001,MATCH(ROWS($AH$2:AH895),$AH$2:$AH$1001,0),1)&gt;=100000,INDEX($AO$1005:$BQ$1005,1,MATCH(COLUMNS($AO$1006:BF1006),$AO$1006:$BQ$1006,0))&gt;=100000), " ",IF(INDEX($AO$2:$BQ$1001,MATCH(ROWS($AH$2:AH895),$AH$2:$AH$1001,0),MATCH(COLUMNS($AO$1006:BF1006),$AO$1006:$BQ$1006,0)), HYPERLINK("#",""), HYPERLINK(CONCATENATE("#Metadata!", ADDRESS(INDEX($AJ$2:$AJ$1001,MATCH(ROWS($AH$2:AH895),$AH$2:$AH$1001,0),0), INDEX($AO$1004:$BQ$1004,1,MATCH(COLUMNS($AO$1006:BF1006),$AO$1006:$BQ$1006,0)))),"Fix")))</f>
        <v>#N/A</v>
      </c>
      <c r="T895" s="5" t="e">
        <f ca="1">IF(OR(INDEX($AI$2:$AI$1001,MATCH(ROWS($AH$2:AH895),$AH$2:$AH$1001,0),1)&gt;=100000,INDEX($AO$1005:$BQ$1005,1,MATCH(COLUMNS($AO$1006:BG1006),$AO$1006:$BQ$1006,0))&gt;=100000), " ",IF(INDEX($AO$2:$BQ$1001,MATCH(ROWS($AH$2:AH895),$AH$2:$AH$1001,0),MATCH(COLUMNS($AO$1006:BG1006),$AO$1006:$BQ$1006,0)), HYPERLINK("#",""), HYPERLINK(CONCATENATE("#Metadata!", ADDRESS(INDEX($AJ$2:$AJ$1001,MATCH(ROWS($AH$2:AH895),$AH$2:$AH$1001,0),0), INDEX($AO$1004:$BQ$1004,1,MATCH(COLUMNS($AO$1006:BG1006),$AO$1006:$BQ$1006,0)))),"Fix")))</f>
        <v>#N/A</v>
      </c>
      <c r="U895" s="5" t="e">
        <f ca="1">IF(OR(INDEX($AI$2:$AI$1001,MATCH(ROWS($AH$2:AH895),$AH$2:$AH$1001,0),1)&gt;=100000,INDEX($AO$1005:$BQ$1005,1,MATCH(COLUMNS($AO$1006:BH1006),$AO$1006:$BQ$1006,0))&gt;=100000), " ",IF(INDEX($AO$2:$BQ$1001,MATCH(ROWS($AH$2:AH895),$AH$2:$AH$1001,0),MATCH(COLUMNS($AO$1006:BH1006),$AO$1006:$BQ$1006,0)), HYPERLINK("#",""), HYPERLINK(CONCATENATE("#Metadata!", ADDRESS(INDEX($AJ$2:$AJ$1001,MATCH(ROWS($AH$2:AH895),$AH$2:$AH$1001,0),0), INDEX($AO$1004:$BQ$1004,1,MATCH(COLUMNS($AO$1006:BH1006),$AO$1006:$BQ$1006,0)))),"Fix")))</f>
        <v>#N/A</v>
      </c>
      <c r="V895" s="5" t="e">
        <f ca="1">IF(OR(INDEX($AI$2:$AI$1001,MATCH(ROWS($AH$2:AH895),$AH$2:$AH$1001,0),1)&gt;=100000,INDEX($AO$1005:$BQ$1005,1,MATCH(COLUMNS($AO$1006:BI1006),$AO$1006:$BQ$1006,0))&gt;=100000), " ",IF(INDEX($AO$2:$BQ$1001,MATCH(ROWS($AH$2:AH895),$AH$2:$AH$1001,0),MATCH(COLUMNS($AO$1006:BI1006),$AO$1006:$BQ$1006,0)), HYPERLINK("#",""), HYPERLINK(CONCATENATE("#Metadata!", ADDRESS(INDEX($AJ$2:$AJ$1001,MATCH(ROWS($AH$2:AH895),$AH$2:$AH$1001,0),0), INDEX($AO$1004:$BQ$1004,1,MATCH(COLUMNS($AO$1006:BI1006),$AO$1006:$BQ$1006,0)))),"Fix")))</f>
        <v>#N/A</v>
      </c>
      <c r="W895" s="5" t="e">
        <f ca="1">IF(OR(INDEX($AI$2:$AI$1001,MATCH(ROWS($AH$2:AH895),$AH$2:$AH$1001,0),1)&gt;=100000,INDEX($AO$1005:$BQ$1005,1,MATCH(COLUMNS($AO$1006:BJ1006),$AO$1006:$BQ$1006,0))&gt;=100000), " ",IF(INDEX($AO$2:$BQ$1001,MATCH(ROWS($AH$2:AH895),$AH$2:$AH$1001,0),MATCH(COLUMNS($AO$1006:BJ1006),$AO$1006:$BQ$1006,0)), HYPERLINK("#",""), HYPERLINK(CONCATENATE("#Metadata!", ADDRESS(INDEX($AJ$2:$AJ$1001,MATCH(ROWS($AH$2:AH895),$AH$2:$AH$1001,0),0), INDEX($AO$1004:$BQ$1004,1,MATCH(COLUMNS($AO$1006:BJ1006),$AO$1006:$BQ$1006,0)))),"Fix")))</f>
        <v>#N/A</v>
      </c>
      <c r="X895" s="5" t="e">
        <f ca="1">IF(OR(INDEX($AI$2:$AI$1001,MATCH(ROWS($AH$2:AH895),$AH$2:$AH$1001,0),1)&gt;=100000,INDEX($AO$1005:$BQ$1005,1,MATCH(COLUMNS($AO$1006:BK1006),$AO$1006:$BQ$1006,0))&gt;=100000), " ",IF(INDEX($AO$2:$BQ$1001,MATCH(ROWS($AH$2:AH895),$AH$2:$AH$1001,0),MATCH(COLUMNS($AO$1006:BK1006),$AO$1006:$BQ$1006,0)), HYPERLINK("#",""), HYPERLINK(CONCATENATE("#Metadata!", ADDRESS(INDEX($AJ$2:$AJ$1001,MATCH(ROWS($AH$2:AH895),$AH$2:$AH$1001,0),0), INDEX($AO$1004:$BQ$1004,1,MATCH(COLUMNS($AO$1006:BK1006),$AO$1006:$BQ$1006,0)))),"Fix")))</f>
        <v>#N/A</v>
      </c>
      <c r="Y895" s="5" t="e">
        <f ca="1">IF(OR(INDEX($AI$2:$AI$1001,MATCH(ROWS($AH$2:AH895),$AH$2:$AH$1001,0),1)&gt;=100000,INDEX($AO$1005:$BQ$1005,1,MATCH(COLUMNS($AO$1006:BL1006),$AO$1006:$BQ$1006,0))&gt;=100000), " ",IF(INDEX($AO$2:$BQ$1001,MATCH(ROWS($AH$2:AH895),$AH$2:$AH$1001,0),MATCH(COLUMNS($AO$1006:BL1006),$AO$1006:$BQ$1006,0)), HYPERLINK("#",""), HYPERLINK(CONCATENATE("#Metadata!", ADDRESS(INDEX($AJ$2:$AJ$1001,MATCH(ROWS($AH$2:AH895),$AH$2:$AH$1001,0),0), INDEX($AO$1004:$BQ$1004,1,MATCH(COLUMNS($AO$1006:BL1006),$AO$1006:$BQ$1006,0)))),"Fix")))</f>
        <v>#N/A</v>
      </c>
      <c r="Z895" s="5" t="e">
        <f ca="1">IF(OR(INDEX($AI$2:$AI$1001,MATCH(ROWS($AH$2:AH895),$AH$2:$AH$1001,0),1)&gt;=100000,INDEX($AO$1005:$BQ$1005,1,MATCH(COLUMNS($AO$1006:BM1006),$AO$1006:$BQ$1006,0))&gt;=100000), " ",IF(INDEX($AO$2:$BQ$1001,MATCH(ROWS($AH$2:AH895),$AH$2:$AH$1001,0),MATCH(COLUMNS($AO$1006:BM1006),$AO$1006:$BQ$1006,0)), HYPERLINK("#",""), HYPERLINK(CONCATENATE("#Metadata!", ADDRESS(INDEX($AJ$2:$AJ$1001,MATCH(ROWS($AH$2:AH895),$AH$2:$AH$1001,0),0), INDEX($AO$1004:$BQ$1004,1,MATCH(COLUMNS($AO$1006:BM1006),$AO$1006:$BQ$1006,0)))),"Fix")))</f>
        <v>#N/A</v>
      </c>
      <c r="AA895" s="5" t="e">
        <f ca="1">IF(OR(INDEX($AI$2:$AI$1001,MATCH(ROWS($AH$2:AH895),$AH$2:$AH$1001,0),1)&gt;=100000,INDEX($AO$1005:$BQ$1005,1,MATCH(COLUMNS($AO$1006:BN1006),$AO$1006:$BQ$1006,0))&gt;=100000), " ",IF(INDEX($AO$2:$BQ$1001,MATCH(ROWS($AH$2:AH895),$AH$2:$AH$1001,0),MATCH(COLUMNS($AO$1006:BN1006),$AO$1006:$BQ$1006,0)), HYPERLINK("#",""), HYPERLINK(CONCATENATE("#Metadata!", ADDRESS(INDEX($AJ$2:$AJ$1001,MATCH(ROWS($AH$2:AH895),$AH$2:$AH$1001,0),0), INDEX($AO$1004:$BQ$1004,1,MATCH(COLUMNS($AO$1006:BN1006),$AO$1006:$BQ$1006,0)))),"Fix")))</f>
        <v>#N/A</v>
      </c>
      <c r="AB895" s="5" t="e">
        <f ca="1">IF(OR(INDEX($AI$2:$AI$1001,MATCH(ROWS($AH$2:AH895),$AH$2:$AH$1001,0),1)&gt;=100000,INDEX($AO$1005:$BQ$1005,1,MATCH(COLUMNS($AO$1006:BO1006),$AO$1006:$BQ$1006,0))&gt;=100000), " ",IF(INDEX($AO$2:$BQ$1001,MATCH(ROWS($AH$2:AH895),$AH$2:$AH$1001,0),MATCH(COLUMNS($AO$1006:BO1006),$AO$1006:$BQ$1006,0)), HYPERLINK("#",""), HYPERLINK(CONCATENATE("#Metadata!", ADDRESS(INDEX($AJ$2:$AJ$1001,MATCH(ROWS($AH$2:AH895),$AH$2:$AH$1001,0),0), INDEX($AO$1004:$BQ$1004,1,MATCH(COLUMNS($AO$1006:BO1006),$AO$1006:$BQ$1006,0)))),"Fix")))</f>
        <v>#N/A</v>
      </c>
      <c r="AC895" s="5" t="e">
        <f ca="1">IF(OR(INDEX($AI$2:$AI$1001,MATCH(ROWS($AH$2:AH895),$AH$2:$AH$1001,0),1)&gt;=100000,INDEX($AO$1005:$BQ$1005,1,MATCH(COLUMNS($AO$1006:BP1006),$AO$1006:$BQ$1006,0))&gt;=100000), " ",IF(INDEX($AO$2:$BQ$1001,MATCH(ROWS($AH$2:AH895),$AH$2:$AH$1001,0),MATCH(COLUMNS($AO$1006:BP1006),$AO$1006:$BQ$1006,0)), HYPERLINK("#",""), HYPERLINK(CONCATENATE("#Metadata!", ADDRESS(INDEX($AJ$2:$AJ$1001,MATCH(ROWS($AH$2:AH895),$AH$2:$AH$1001,0),0), INDEX($AO$1004:$BQ$1004,1,MATCH(COLUMNS($AO$1006:BP1006),$AO$1006:$BQ$1006,0)))),"Fix")))</f>
        <v>#N/A</v>
      </c>
      <c r="AD895" s="5" t="e">
        <f ca="1">IF(OR(INDEX($AI$2:$AI$1001,MATCH(ROWS($AH$2:AH895),$AH$2:$AH$1001,0),1)&gt;=100000,INDEX($AO$1005:$BQ$1005,1,MATCH(COLUMNS($AO$1006:BQ1006),$AO$1006:$BQ$1006,0))&gt;=100000), " ",IF(INDEX($AO$2:$BQ$1001,MATCH(ROWS($AH$2:AH895),$AH$2:$AH$1001,0),MATCH(COLUMNS($AO$1006:BQ1006),$AO$1006:$BQ$1006,0)), HYPERLINK("#",""), HYPERLINK(CONCATENATE("#Metadata!", ADDRESS(INDEX($AJ$2:$AJ$1001,MATCH(ROWS($AH$2:AH895),$AH$2:$AH$1001,0),0), INDEX($AO$1004:$BQ$1004,1,MATCH(COLUMNS($AO$1006:BQ1006),$AO$1006:$BQ$1006,0)))),"Fix")))</f>
        <v>#REF!</v>
      </c>
      <c r="AH895">
        <f ca="1"/>
        <v>892</v>
      </c>
      <c r="AI895">
        <v>100895</v>
      </c>
      <c r="AJ895">
        <v>895</v>
      </c>
      <c r="AK895" t="b">
        <f t="shared" si="13"/>
        <v>1</v>
      </c>
      <c r="AL895" t="b">
        <f>COUNTBLANK(Metadata!B895:AD895)=COLUMNS(Metadata!B895:AD895)</f>
        <v>1</v>
      </c>
      <c r="AM895" t="str">
        <v/>
      </c>
      <c r="AO895" t="b">
        <f ca="1">AND(IF(Metadata!B895="",FALSE,TRUE),COUNTIF(Metadata!B:B, Metadata!B895) = 1,NOT(ISERROR(SUMPRODUCT(SEARCH(MID(Metadata!B895,ROW(INDIRECT("1:"&amp;LEN(Metadata!B895))), 1),"0123456789abcdefghijklmnopqrstuvwxyzABCDEFGHIJKLMNOPQRSTUVWXYZ.")))))</f>
        <v>0</v>
      </c>
      <c r="AP895" t="b">
        <f>IF(Metadata!C895="",FALSE,TRUE)</f>
        <v>0</v>
      </c>
      <c r="AQ895" t="b">
        <f>IF(Metadata!D895="",FALSE,TRUE)</f>
        <v>0</v>
      </c>
      <c r="AR895" t="b">
        <f ca="1">OR(AND(IF(Metadata!E895="",FALSE,TRUE),OR(EXACT(Metadata!E895,"not collected"),EXACT(Metadata!E895,"not provided"),EXACT(Metadata!E895,"restricted access"))),AND(IF(Metadata!E895="",FALSE,TRUE),AND(AND(IFERROR(INT(LEFT(Metadata!E895,4))&gt;1900,FALSE),IFERROR(INT(LEFT(Metadata!E895,4))&lt;=YEAR(NOW()),FALSE)), OR(MID(Metadata!E895,5,1)="", AND(AND(MID(Metadata!E895,5,1)="-",IFERROR(INT(MID(Metadata!E895,6,1))&gt;=0,FALSE),IFERROR(INT(MID(Metadata!E895,6,1))&lt;=1,FALSE),NOT(MID(Metadata!E895,7,1)=""),IFERROR(INT(MID(Metadata!E895,6,2))&gt;=1,FALSE),IFERROR(INT(MID(Metadata!E895,6,2))&lt;=12,FALSE)), OR(MID(Metadata!E895,8,1)="", AND(AND(MID(Metadata!E895,8,1)="-",IFERROR(INT(MID(Metadata!E895,9,1))&gt;=0,FALSE),IFERROR(INT(MID(Metadata!E895,9,1))&lt;=3,FALSE),NOT(MID(Metadata!E895,10,1)=""),IFERROR(INT(MID(Metadata!E895,9,2))&gt;=1,FALSE),IFERROR(INT(MID(Metadata!E895,9,2))&lt;=31,FALSE)), OR(MID(Metadata!E895,11,1)="", AND(AND(MID(Metadata!E895,11,1)=" ",IFERROR(INT(MID(Metadata!E895,12,1))&gt;=0,FALSE),IFERROR(INT(MID(Metadata!E895,12,1))&lt;=2,FALSE),NOT(MID(Metadata!E895,13,1)=""),IFERROR(INT(MID(Metadata!E895,12,2))&gt;=0,FALSE),IFERROR(INT(MID(Metadata!E895,12,2))&lt;=23,FALSE)), OR(MID(Metadata!E895,14,1)="", AND(AND(MID(Metadata!E895,14,1)=":",IFERROR(INT(MID(Metadata!E895,15,1))&gt;=0,FALSE),IFERROR(INT(MID(Metadata!E895,15,1))&lt;=5,FALSE),NOT(MID(Metadata!E895,16,1)=""),IFERROR(INT(MID(Metadata!E895,15,2))&gt;=0,FALSE),IFERROR(INT(MID(Metadata!E895,15,2))&lt;=59,FALSE)), OR(MID(Metadata!E895,17,1)="", AND(AND(MID(Metadata!E895,17,1)=":",IFERROR(INT(MID(Metadata!E895,18,1))&gt;=0,FALSE),IFERROR(INT(MID(Metadata!E895,18,1))&lt;=5,FALSE),NOT(MID(Metadata!E895,19,1)=""),IFERROR(INT(MID(Metadata!E895,18,2))&gt;=0,FALSE),IFERROR(INT(MID(Metadata!E895,18,2))&lt;=59,FALSE)), LEN(Metadata!E895)&lt;=19)))))))))))))</f>
        <v>0</v>
      </c>
      <c r="AS895" t="b">
        <f>IF(Metadata!F895="",FALSE,TRUE)</f>
        <v>0</v>
      </c>
      <c r="AT895" t="b">
        <f>OR(AND(IF(Metadata!G895="",FALSE,TRUE),OR(EXACT(Metadata!G895,"not collected"),EXACT(Metadata!G895,"not provided"))),AND(IF(Metadata!G895="",FALSE,TRUE),OR(EXACT(Metadata!G895,"TRUE"),EXACT(Metadata!G895,"FALSE"))))</f>
        <v>0</v>
      </c>
      <c r="AU895" t="b">
        <f>OR(AND(IF(Metadata!H895="",FALSE,TRUE),OR(EXACT(Metadata!H895,"not collected"),EXACT(Metadata!H895,"not provided"),EXACT(Metadata!H895,"restricted access"))),AND(IF(Metadata!H895="",FALSE,ISNUMBER(VALUE(Metadata!H895))),Metadata!H895&gt;=-413))</f>
        <v>0</v>
      </c>
      <c r="AV895" t="b">
        <f>AND(IF(Metadata!I895="",FALSE,TRUE),EXACT(Metadata!I895,"meters"))</f>
        <v>0</v>
      </c>
      <c r="AW895" t="b">
        <f>AND(IF(Metadata!J895="",FALSE,TRUE),EXACT(Metadata!J895,"free-living"))</f>
        <v>0</v>
      </c>
      <c r="AX895" t="b">
        <f>AND(IF(Metadata!K895="",FALSE,TRUE),OR(EXACT(Metadata!K895,"saline"),EXACT(Metadata!K895,"non-saline")))</f>
        <v>0</v>
      </c>
      <c r="AY895" t="b">
        <f>AND(IF(Metadata!L895="",FALSE,TRUE),OR(EXACT(Metadata!L895,"sub-surface (non-saline)"),EXACT(Metadata!L895,"surface (non-saline)"),EXACT(Metadata!L895,"water (non-saline)"),EXACT(Metadata!L895,"soil (non-saline)"),EXACT(Metadata!L895,"aerosol (non-saline)"),EXACT(Metadata!L895,"sediment (non-saline)"),EXACT(Metadata!L895,"surface (saline)"),EXACT(Metadata!L895,"water (saline)"),EXACT(Metadata!L895,"hypersaline (saline)"),EXACT(Metadata!L895,"aerosol (saline)"),EXACT(Metadata!L895,"sediment (saline)")))</f>
        <v>0</v>
      </c>
      <c r="AZ895" t="b">
        <f>IF(Metadata!M895="",FALSE,TRUE)</f>
        <v>0</v>
      </c>
      <c r="BA895" t="b">
        <f>IF(Metadata!N895="",FALSE,TRUE)</f>
        <v>0</v>
      </c>
      <c r="BB895" t="b">
        <f>IF(Metadata!O895="",FALSE,TRUE)</f>
        <v>0</v>
      </c>
      <c r="BC895" t="b">
        <f>AND(IF(Metadata!P895="",FALSE,TRUE),OR(EXACT(Metadata!P895,"air"),EXACT(Metadata!P895,"microbial mat/biofilm"),EXACT(Metadata!P895,"misc environment"),EXACT(Metadata!P895,"sediment"),EXACT(Metadata!P895,"soil"),EXACT(Metadata!P895,"wastewater/sludge"),EXACT(Metadata!P895,"water")))</f>
        <v>0</v>
      </c>
      <c r="BD895" t="b">
        <f>IF(Metadata!Q895="",FALSE,TRUE)</f>
        <v>0</v>
      </c>
      <c r="BE895" t="b">
        <f>IF(Metadata!R895="",FALSE,TRUE)</f>
        <v>0</v>
      </c>
      <c r="BF895" t="b">
        <f>OR(AND(IF(Metadata!S895="",FALSE,TRUE),OR(EXACT(Metadata!S895,"not collected"),EXACT(Metadata!S895,"not provided"),EXACT(Metadata!S895,"restricted access"))),AND(IF(Metadata!S895="",FALSE,ISNUMBER(VALUE(Metadata!S895))),Metadata!S895&gt;=-90,Metadata!S895&lt;=90))</f>
        <v>0</v>
      </c>
      <c r="BG895" t="b">
        <f>AND(IF(Metadata!T895="",FALSE,TRUE),EXACT(Metadata!T895,"Decimal degrees"))</f>
        <v>0</v>
      </c>
      <c r="BH895" t="b">
        <f>OR(AND(IF(Metadata!U895="",FALSE,TRUE),OR(EXACT(Metadata!U895,"not applicable"),EXACT(Metadata!U895,"not collected"))),IF(Metadata!U895="",FALSE,TRUE))</f>
        <v>0</v>
      </c>
      <c r="BI895" t="b">
        <f>OR(AND(IF(Metadata!V895="",FALSE,TRUE),OR(EXACT(Metadata!V895,"not collected"),EXACT(Metadata!V895,"not provided"),EXACT(Metadata!V895,"restricted access"))),AND(IF(Metadata!V895="",FALSE,ISNUMBER(VALUE(Metadata!V895))),Metadata!V895&gt;=-180,Metadata!V895&lt;=180))</f>
        <v>0</v>
      </c>
      <c r="BJ895" t="b">
        <f>AND(IF(Metadata!W895="",FALSE,TRUE),EXACT(Metadata!W895,"Decimal degrees"))</f>
        <v>0</v>
      </c>
      <c r="BK895" t="b">
        <f>IF(Metadata!X895="",FALSE,TRUE)</f>
        <v>0</v>
      </c>
      <c r="BL895" t="b">
        <f>OR(AND(IF(Metadata!Y895="",FALSE,TRUE),OR(EXACT(Metadata!Y895,"not collected"),EXACT(Metadata!Y895,"not provided"),EXACT(Metadata!Y895,"restricted access"))),AND(IF(Metadata!Y895="",FALSE,TRUE),OR(EXACT(Metadata!Y895,"TRUE"),EXACT(Metadata!Y895,"FALSE"))))</f>
        <v>0</v>
      </c>
      <c r="BM895" t="b">
        <f>OR(AND(IF(Metadata!Z895="",FALSE,TRUE),EXACT(Metadata!Z895,"not applicable")),AND(IF(Metadata!Z895="",FALSE,TRUE),OR(EXACT(Metadata!Z895,"beer"),EXACT(Metadata!Z895,"cheese"),EXACT(Metadata!Z895,"fresh water"),EXACT(Metadata!Z895,"marine sediment"),EXACT(Metadata!Z895,"sea water"),EXACT(Metadata!Z895,"sediment"),EXACT(Metadata!Z895,"soil"),EXACT(Metadata!Z895,"waste water"))))</f>
        <v>0</v>
      </c>
      <c r="BN895" t="b">
        <f>AND(IF(Metadata!AA895="",FALSE,TRUE),EXACT(Metadata!AA895,"metagenome"))</f>
        <v>0</v>
      </c>
      <c r="BO895" t="b">
        <f>AND(IF(Metadata!AB895="",FALSE,TRUE),EXACT(Metadata!AB895,"256318"))</f>
        <v>0</v>
      </c>
      <c r="BP895" t="b">
        <f>IF(Metadata!AC895="",FALSE,TRUE)</f>
        <v>0</v>
      </c>
      <c r="BQ895" t="b">
        <f>IF(Metadata!AD895="",FALSE,TRUE)</f>
        <v>0</v>
      </c>
    </row>
    <row r="896" spans="1:69" x14ac:dyDescent="0.2">
      <c r="A896" s="4" t="e">
        <f ca="1">IF(B896=" "," ",HYPERLINK(CONCATENATE("#metadata!",ADDRESS(INDEX($AJ$2:$AJ$1001,MATCH(ROWS($AH$2:AH896),$AH$2:$AH$1001,0),0),2)),INDEX($AM$2:$AM$1001,MATCH(ROWS($AH$2:AH896),$AH$2:$AH$1001,0),0)))</f>
        <v>#N/A</v>
      </c>
      <c r="B896" s="5" t="e">
        <f ca="1">IF(OR(INDEX($AI$2:$AI$1001,MATCH(ROWS($AH$2:AH896),$AH$2:$AH$1001,0),1)&gt;=100000,INDEX($AO$1005:$BQ$1005,1,MATCH(COLUMNS($AO$1006:AO1006),$AO$1006:$BQ$1006,0))&gt;=100000), " ",IF(INDEX($AO$2:$BQ$1001,MATCH(ROWS($AH$2:AH896),$AH$2:$AH$1001,0),MATCH(COLUMNS($AO$1006:AO1006),$AO$1006:$BQ$1006,0)), HYPERLINK("#",""), HYPERLINK(CONCATENATE("#Metadata!", ADDRESS(INDEX($AJ$2:$AJ$1001,MATCH(ROWS($AH$2:AH896),$AH$2:$AH$1001,0),0), INDEX($AO$1004:$BQ$1004,1,MATCH(COLUMNS($AO$1006:AO1006),$AO$1006:$BQ$1006,0)))),"Fix")))</f>
        <v>#N/A</v>
      </c>
      <c r="C896" s="5" t="e">
        <f ca="1">IF(OR(INDEX($AI$2:$AI$1001,MATCH(ROWS($AH$2:AH896),$AH$2:$AH$1001,0),1)&gt;=100000,INDEX($AO$1005:$BQ$1005,1,MATCH(COLUMNS($AO$1006:AP1006),$AO$1006:$BQ$1006,0))&gt;=100000), " ",IF(INDEX($AO$2:$BQ$1001,MATCH(ROWS($AH$2:AH896),$AH$2:$AH$1001,0),MATCH(COLUMNS($AO$1006:AP1006),$AO$1006:$BQ$1006,0)), HYPERLINK("#",""), HYPERLINK(CONCATENATE("#Metadata!", ADDRESS(INDEX($AJ$2:$AJ$1001,MATCH(ROWS($AH$2:AH896),$AH$2:$AH$1001,0),0), INDEX($AO$1004:$BQ$1004,1,MATCH(COLUMNS($AO$1006:AP1006),$AO$1006:$BQ$1006,0)))),"Fix")))</f>
        <v>#N/A</v>
      </c>
      <c r="D896" s="5" t="e">
        <f ca="1">IF(OR(INDEX($AI$2:$AI$1001,MATCH(ROWS($AH$2:AH896),$AH$2:$AH$1001,0),1)&gt;=100000,INDEX($AO$1005:$BQ$1005,1,MATCH(COLUMNS($AO$1006:AQ1006),$AO$1006:$BQ$1006,0))&gt;=100000), " ",IF(INDEX($AO$2:$BQ$1001,MATCH(ROWS($AH$2:AH896),$AH$2:$AH$1001,0),MATCH(COLUMNS($AO$1006:AQ1006),$AO$1006:$BQ$1006,0)), HYPERLINK("#",""), HYPERLINK(CONCATENATE("#Metadata!", ADDRESS(INDEX($AJ$2:$AJ$1001,MATCH(ROWS($AH$2:AH896),$AH$2:$AH$1001,0),0), INDEX($AO$1004:$BQ$1004,1,MATCH(COLUMNS($AO$1006:AQ1006),$AO$1006:$BQ$1006,0)))),"Fix")))</f>
        <v>#N/A</v>
      </c>
      <c r="E896" s="5" t="e">
        <f ca="1">IF(OR(INDEX($AI$2:$AI$1001,MATCH(ROWS($AH$2:AH896),$AH$2:$AH$1001,0),1)&gt;=100000,INDEX($AO$1005:$BQ$1005,1,MATCH(COLUMNS($AO$1006:AR1006),$AO$1006:$BQ$1006,0))&gt;=100000), " ",IF(INDEX($AO$2:$BQ$1001,MATCH(ROWS($AH$2:AH896),$AH$2:$AH$1001,0),MATCH(COLUMNS($AO$1006:AR1006),$AO$1006:$BQ$1006,0)), HYPERLINK("#",""), HYPERLINK(CONCATENATE("#Metadata!", ADDRESS(INDEX($AJ$2:$AJ$1001,MATCH(ROWS($AH$2:AH896),$AH$2:$AH$1001,0),0), INDEX($AO$1004:$BQ$1004,1,MATCH(COLUMNS($AO$1006:AR1006),$AO$1006:$BQ$1006,0)))),"Fix")))</f>
        <v>#N/A</v>
      </c>
      <c r="F896" s="5" t="e">
        <f ca="1">IF(OR(INDEX($AI$2:$AI$1001,MATCH(ROWS($AH$2:AH896),$AH$2:$AH$1001,0),1)&gt;=100000,INDEX($AO$1005:$BQ$1005,1,MATCH(COLUMNS($AO$1006:AS1006),$AO$1006:$BQ$1006,0))&gt;=100000), " ",IF(INDEX($AO$2:$BQ$1001,MATCH(ROWS($AH$2:AH896),$AH$2:$AH$1001,0),MATCH(COLUMNS($AO$1006:AS1006),$AO$1006:$BQ$1006,0)), HYPERLINK("#",""), HYPERLINK(CONCATENATE("#Metadata!", ADDRESS(INDEX($AJ$2:$AJ$1001,MATCH(ROWS($AH$2:AH896),$AH$2:$AH$1001,0),0), INDEX($AO$1004:$BQ$1004,1,MATCH(COLUMNS($AO$1006:AS1006),$AO$1006:$BQ$1006,0)))),"Fix")))</f>
        <v>#N/A</v>
      </c>
      <c r="G896" s="5" t="e">
        <f ca="1">IF(OR(INDEX($AI$2:$AI$1001,MATCH(ROWS($AH$2:AH896),$AH$2:$AH$1001,0),1)&gt;=100000,INDEX($AO$1005:$BQ$1005,1,MATCH(COLUMNS($AO$1006:AT1006),$AO$1006:$BQ$1006,0))&gt;=100000), " ",IF(INDEX($AO$2:$BQ$1001,MATCH(ROWS($AH$2:AH896),$AH$2:$AH$1001,0),MATCH(COLUMNS($AO$1006:AT1006),$AO$1006:$BQ$1006,0)), HYPERLINK("#",""), HYPERLINK(CONCATENATE("#Metadata!", ADDRESS(INDEX($AJ$2:$AJ$1001,MATCH(ROWS($AH$2:AH896),$AH$2:$AH$1001,0),0), INDEX($AO$1004:$BQ$1004,1,MATCH(COLUMNS($AO$1006:AT1006),$AO$1006:$BQ$1006,0)))),"Fix")))</f>
        <v>#N/A</v>
      </c>
      <c r="H896" s="5" t="e">
        <f ca="1">IF(OR(INDEX($AI$2:$AI$1001,MATCH(ROWS($AH$2:AH896),$AH$2:$AH$1001,0),1)&gt;=100000,INDEX($AO$1005:$BQ$1005,1,MATCH(COLUMNS($AO$1006:AU1006),$AO$1006:$BQ$1006,0))&gt;=100000), " ",IF(INDEX($AO$2:$BQ$1001,MATCH(ROWS($AH$2:AH896),$AH$2:$AH$1001,0),MATCH(COLUMNS($AO$1006:AU1006),$AO$1006:$BQ$1006,0)), HYPERLINK("#",""), HYPERLINK(CONCATENATE("#Metadata!", ADDRESS(INDEX($AJ$2:$AJ$1001,MATCH(ROWS($AH$2:AH896),$AH$2:$AH$1001,0),0), INDEX($AO$1004:$BQ$1004,1,MATCH(COLUMNS($AO$1006:AU1006),$AO$1006:$BQ$1006,0)))),"Fix")))</f>
        <v>#N/A</v>
      </c>
      <c r="I896" s="5" t="e">
        <f ca="1">IF(OR(INDEX($AI$2:$AI$1001,MATCH(ROWS($AH$2:AH896),$AH$2:$AH$1001,0),1)&gt;=100000,INDEX($AO$1005:$BQ$1005,1,MATCH(COLUMNS($AO$1006:AV1006),$AO$1006:$BQ$1006,0))&gt;=100000), " ",IF(INDEX($AO$2:$BQ$1001,MATCH(ROWS($AH$2:AH896),$AH$2:$AH$1001,0),MATCH(COLUMNS($AO$1006:AV1006),$AO$1006:$BQ$1006,0)), HYPERLINK("#",""), HYPERLINK(CONCATENATE("#Metadata!", ADDRESS(INDEX($AJ$2:$AJ$1001,MATCH(ROWS($AH$2:AH896),$AH$2:$AH$1001,0),0), INDEX($AO$1004:$BQ$1004,1,MATCH(COLUMNS($AO$1006:AV1006),$AO$1006:$BQ$1006,0)))),"Fix")))</f>
        <v>#N/A</v>
      </c>
      <c r="J896" s="5" t="e">
        <f ca="1">IF(OR(INDEX($AI$2:$AI$1001,MATCH(ROWS($AH$2:AH896),$AH$2:$AH$1001,0),1)&gt;=100000,INDEX($AO$1005:$BQ$1005,1,MATCH(COLUMNS($AO$1006:AW1006),$AO$1006:$BQ$1006,0))&gt;=100000), " ",IF(INDEX($AO$2:$BQ$1001,MATCH(ROWS($AH$2:AH896),$AH$2:$AH$1001,0),MATCH(COLUMNS($AO$1006:AW1006),$AO$1006:$BQ$1006,0)), HYPERLINK("#",""), HYPERLINK(CONCATENATE("#Metadata!", ADDRESS(INDEX($AJ$2:$AJ$1001,MATCH(ROWS($AH$2:AH896),$AH$2:$AH$1001,0),0), INDEX($AO$1004:$BQ$1004,1,MATCH(COLUMNS($AO$1006:AW1006),$AO$1006:$BQ$1006,0)))),"Fix")))</f>
        <v>#N/A</v>
      </c>
      <c r="K896" s="5" t="e">
        <f ca="1">IF(OR(INDEX($AI$2:$AI$1001,MATCH(ROWS($AH$2:AH896),$AH$2:$AH$1001,0),1)&gt;=100000,INDEX($AO$1005:$BQ$1005,1,MATCH(COLUMNS($AO$1006:AX1006),$AO$1006:$BQ$1006,0))&gt;=100000), " ",IF(INDEX($AO$2:$BQ$1001,MATCH(ROWS($AH$2:AH896),$AH$2:$AH$1001,0),MATCH(COLUMNS($AO$1006:AX1006),$AO$1006:$BQ$1006,0)), HYPERLINK("#",""), HYPERLINK(CONCATENATE("#Metadata!", ADDRESS(INDEX($AJ$2:$AJ$1001,MATCH(ROWS($AH$2:AH896),$AH$2:$AH$1001,0),0), INDEX($AO$1004:$BQ$1004,1,MATCH(COLUMNS($AO$1006:AX1006),$AO$1006:$BQ$1006,0)))),"Fix")))</f>
        <v>#N/A</v>
      </c>
      <c r="L896" s="5" t="e">
        <f ca="1">IF(OR(INDEX($AI$2:$AI$1001,MATCH(ROWS($AH$2:AH896),$AH$2:$AH$1001,0),1)&gt;=100000,INDEX($AO$1005:$BQ$1005,1,MATCH(COLUMNS($AO$1006:AY1006),$AO$1006:$BQ$1006,0))&gt;=100000), " ",IF(INDEX($AO$2:$BQ$1001,MATCH(ROWS($AH$2:AH896),$AH$2:$AH$1001,0),MATCH(COLUMNS($AO$1006:AY1006),$AO$1006:$BQ$1006,0)), HYPERLINK("#",""), HYPERLINK(CONCATENATE("#Metadata!", ADDRESS(INDEX($AJ$2:$AJ$1001,MATCH(ROWS($AH$2:AH896),$AH$2:$AH$1001,0),0), INDEX($AO$1004:$BQ$1004,1,MATCH(COLUMNS($AO$1006:AY1006),$AO$1006:$BQ$1006,0)))),"Fix")))</f>
        <v>#N/A</v>
      </c>
      <c r="M896" s="5" t="e">
        <f ca="1">IF(OR(INDEX($AI$2:$AI$1001,MATCH(ROWS($AH$2:AH896),$AH$2:$AH$1001,0),1)&gt;=100000,INDEX($AO$1005:$BQ$1005,1,MATCH(COLUMNS($AO$1006:AZ1006),$AO$1006:$BQ$1006,0))&gt;=100000), " ",IF(INDEX($AO$2:$BQ$1001,MATCH(ROWS($AH$2:AH896),$AH$2:$AH$1001,0),MATCH(COLUMNS($AO$1006:AZ1006),$AO$1006:$BQ$1006,0)), HYPERLINK("#",""), HYPERLINK(CONCATENATE("#Metadata!", ADDRESS(INDEX($AJ$2:$AJ$1001,MATCH(ROWS($AH$2:AH896),$AH$2:$AH$1001,0),0), INDEX($AO$1004:$BQ$1004,1,MATCH(COLUMNS($AO$1006:AZ1006),$AO$1006:$BQ$1006,0)))),"Fix")))</f>
        <v>#N/A</v>
      </c>
      <c r="N896" s="5" t="e">
        <f ca="1">IF(OR(INDEX($AI$2:$AI$1001,MATCH(ROWS($AH$2:AH896),$AH$2:$AH$1001,0),1)&gt;=100000,INDEX($AO$1005:$BQ$1005,1,MATCH(COLUMNS($AO$1006:BA1006),$AO$1006:$BQ$1006,0))&gt;=100000), " ",IF(INDEX($AO$2:$BQ$1001,MATCH(ROWS($AH$2:AH896),$AH$2:$AH$1001,0),MATCH(COLUMNS($AO$1006:BA1006),$AO$1006:$BQ$1006,0)), HYPERLINK("#",""), HYPERLINK(CONCATENATE("#Metadata!", ADDRESS(INDEX($AJ$2:$AJ$1001,MATCH(ROWS($AH$2:AH896),$AH$2:$AH$1001,0),0), INDEX($AO$1004:$BQ$1004,1,MATCH(COLUMNS($AO$1006:BA1006),$AO$1006:$BQ$1006,0)))),"Fix")))</f>
        <v>#N/A</v>
      </c>
      <c r="O896" s="5" t="e">
        <f ca="1">IF(OR(INDEX($AI$2:$AI$1001,MATCH(ROWS($AH$2:AH896),$AH$2:$AH$1001,0),1)&gt;=100000,INDEX($AO$1005:$BQ$1005,1,MATCH(COLUMNS($AO$1006:BB1006),$AO$1006:$BQ$1006,0))&gt;=100000), " ",IF(INDEX($AO$2:$BQ$1001,MATCH(ROWS($AH$2:AH896),$AH$2:$AH$1001,0),MATCH(COLUMNS($AO$1006:BB1006),$AO$1006:$BQ$1006,0)), HYPERLINK("#",""), HYPERLINK(CONCATENATE("#Metadata!", ADDRESS(INDEX($AJ$2:$AJ$1001,MATCH(ROWS($AH$2:AH896),$AH$2:$AH$1001,0),0), INDEX($AO$1004:$BQ$1004,1,MATCH(COLUMNS($AO$1006:BB1006),$AO$1006:$BQ$1006,0)))),"Fix")))</f>
        <v>#N/A</v>
      </c>
      <c r="P896" s="5" t="e">
        <f ca="1">IF(OR(INDEX($AI$2:$AI$1001,MATCH(ROWS($AH$2:AH896),$AH$2:$AH$1001,0),1)&gt;=100000,INDEX($AO$1005:$BQ$1005,1,MATCH(COLUMNS($AO$1006:BC1006),$AO$1006:$BQ$1006,0))&gt;=100000), " ",IF(INDEX($AO$2:$BQ$1001,MATCH(ROWS($AH$2:AH896),$AH$2:$AH$1001,0),MATCH(COLUMNS($AO$1006:BC1006),$AO$1006:$BQ$1006,0)), HYPERLINK("#",""), HYPERLINK(CONCATENATE("#Metadata!", ADDRESS(INDEX($AJ$2:$AJ$1001,MATCH(ROWS($AH$2:AH896),$AH$2:$AH$1001,0),0), INDEX($AO$1004:$BQ$1004,1,MATCH(COLUMNS($AO$1006:BC1006),$AO$1006:$BQ$1006,0)))),"Fix")))</f>
        <v>#N/A</v>
      </c>
      <c r="Q896" s="5" t="e">
        <f ca="1">IF(OR(INDEX($AI$2:$AI$1001,MATCH(ROWS($AH$2:AH896),$AH$2:$AH$1001,0),1)&gt;=100000,INDEX($AO$1005:$BQ$1005,1,MATCH(COLUMNS($AO$1006:BD1006),$AO$1006:$BQ$1006,0))&gt;=100000), " ",IF(INDEX($AO$2:$BQ$1001,MATCH(ROWS($AH$2:AH896),$AH$2:$AH$1001,0),MATCH(COLUMNS($AO$1006:BD1006),$AO$1006:$BQ$1006,0)), HYPERLINK("#",""), HYPERLINK(CONCATENATE("#Metadata!", ADDRESS(INDEX($AJ$2:$AJ$1001,MATCH(ROWS($AH$2:AH896),$AH$2:$AH$1001,0),0), INDEX($AO$1004:$BQ$1004,1,MATCH(COLUMNS($AO$1006:BD1006),$AO$1006:$BQ$1006,0)))),"Fix")))</f>
        <v>#N/A</v>
      </c>
      <c r="R896" s="5" t="e">
        <f ca="1">IF(OR(INDEX($AI$2:$AI$1001,MATCH(ROWS($AH$2:AH896),$AH$2:$AH$1001,0),1)&gt;=100000,INDEX($AO$1005:$BQ$1005,1,MATCH(COLUMNS($AO$1006:BE1006),$AO$1006:$BQ$1006,0))&gt;=100000), " ",IF(INDEX($AO$2:$BQ$1001,MATCH(ROWS($AH$2:AH896),$AH$2:$AH$1001,0),MATCH(COLUMNS($AO$1006:BE1006),$AO$1006:$BQ$1006,0)), HYPERLINK("#",""), HYPERLINK(CONCATENATE("#Metadata!", ADDRESS(INDEX($AJ$2:$AJ$1001,MATCH(ROWS($AH$2:AH896),$AH$2:$AH$1001,0),0), INDEX($AO$1004:$BQ$1004,1,MATCH(COLUMNS($AO$1006:BE1006),$AO$1006:$BQ$1006,0)))),"Fix")))</f>
        <v>#N/A</v>
      </c>
      <c r="S896" s="5" t="e">
        <f ca="1">IF(OR(INDEX($AI$2:$AI$1001,MATCH(ROWS($AH$2:AH896),$AH$2:$AH$1001,0),1)&gt;=100000,INDEX($AO$1005:$BQ$1005,1,MATCH(COLUMNS($AO$1006:BF1006),$AO$1006:$BQ$1006,0))&gt;=100000), " ",IF(INDEX($AO$2:$BQ$1001,MATCH(ROWS($AH$2:AH896),$AH$2:$AH$1001,0),MATCH(COLUMNS($AO$1006:BF1006),$AO$1006:$BQ$1006,0)), HYPERLINK("#",""), HYPERLINK(CONCATENATE("#Metadata!", ADDRESS(INDEX($AJ$2:$AJ$1001,MATCH(ROWS($AH$2:AH896),$AH$2:$AH$1001,0),0), INDEX($AO$1004:$BQ$1004,1,MATCH(COLUMNS($AO$1006:BF1006),$AO$1006:$BQ$1006,0)))),"Fix")))</f>
        <v>#N/A</v>
      </c>
      <c r="T896" s="5" t="e">
        <f ca="1">IF(OR(INDEX($AI$2:$AI$1001,MATCH(ROWS($AH$2:AH896),$AH$2:$AH$1001,0),1)&gt;=100000,INDEX($AO$1005:$BQ$1005,1,MATCH(COLUMNS($AO$1006:BG1006),$AO$1006:$BQ$1006,0))&gt;=100000), " ",IF(INDEX($AO$2:$BQ$1001,MATCH(ROWS($AH$2:AH896),$AH$2:$AH$1001,0),MATCH(COLUMNS($AO$1006:BG1006),$AO$1006:$BQ$1006,0)), HYPERLINK("#",""), HYPERLINK(CONCATENATE("#Metadata!", ADDRESS(INDEX($AJ$2:$AJ$1001,MATCH(ROWS($AH$2:AH896),$AH$2:$AH$1001,0),0), INDEX($AO$1004:$BQ$1004,1,MATCH(COLUMNS($AO$1006:BG1006),$AO$1006:$BQ$1006,0)))),"Fix")))</f>
        <v>#N/A</v>
      </c>
      <c r="U896" s="5" t="e">
        <f ca="1">IF(OR(INDEX($AI$2:$AI$1001,MATCH(ROWS($AH$2:AH896),$AH$2:$AH$1001,0),1)&gt;=100000,INDEX($AO$1005:$BQ$1005,1,MATCH(COLUMNS($AO$1006:BH1006),$AO$1006:$BQ$1006,0))&gt;=100000), " ",IF(INDEX($AO$2:$BQ$1001,MATCH(ROWS($AH$2:AH896),$AH$2:$AH$1001,0),MATCH(COLUMNS($AO$1006:BH1006),$AO$1006:$BQ$1006,0)), HYPERLINK("#",""), HYPERLINK(CONCATENATE("#Metadata!", ADDRESS(INDEX($AJ$2:$AJ$1001,MATCH(ROWS($AH$2:AH896),$AH$2:$AH$1001,0),0), INDEX($AO$1004:$BQ$1004,1,MATCH(COLUMNS($AO$1006:BH1006),$AO$1006:$BQ$1006,0)))),"Fix")))</f>
        <v>#N/A</v>
      </c>
      <c r="V896" s="5" t="e">
        <f ca="1">IF(OR(INDEX($AI$2:$AI$1001,MATCH(ROWS($AH$2:AH896),$AH$2:$AH$1001,0),1)&gt;=100000,INDEX($AO$1005:$BQ$1005,1,MATCH(COLUMNS($AO$1006:BI1006),$AO$1006:$BQ$1006,0))&gt;=100000), " ",IF(INDEX($AO$2:$BQ$1001,MATCH(ROWS($AH$2:AH896),$AH$2:$AH$1001,0),MATCH(COLUMNS($AO$1006:BI1006),$AO$1006:$BQ$1006,0)), HYPERLINK("#",""), HYPERLINK(CONCATENATE("#Metadata!", ADDRESS(INDEX($AJ$2:$AJ$1001,MATCH(ROWS($AH$2:AH896),$AH$2:$AH$1001,0),0), INDEX($AO$1004:$BQ$1004,1,MATCH(COLUMNS($AO$1006:BI1006),$AO$1006:$BQ$1006,0)))),"Fix")))</f>
        <v>#N/A</v>
      </c>
      <c r="W896" s="5" t="e">
        <f ca="1">IF(OR(INDEX($AI$2:$AI$1001,MATCH(ROWS($AH$2:AH896),$AH$2:$AH$1001,0),1)&gt;=100000,INDEX($AO$1005:$BQ$1005,1,MATCH(COLUMNS($AO$1006:BJ1006),$AO$1006:$BQ$1006,0))&gt;=100000), " ",IF(INDEX($AO$2:$BQ$1001,MATCH(ROWS($AH$2:AH896),$AH$2:$AH$1001,0),MATCH(COLUMNS($AO$1006:BJ1006),$AO$1006:$BQ$1006,0)), HYPERLINK("#",""), HYPERLINK(CONCATENATE("#Metadata!", ADDRESS(INDEX($AJ$2:$AJ$1001,MATCH(ROWS($AH$2:AH896),$AH$2:$AH$1001,0),0), INDEX($AO$1004:$BQ$1004,1,MATCH(COLUMNS($AO$1006:BJ1006),$AO$1006:$BQ$1006,0)))),"Fix")))</f>
        <v>#N/A</v>
      </c>
      <c r="X896" s="5" t="e">
        <f ca="1">IF(OR(INDEX($AI$2:$AI$1001,MATCH(ROWS($AH$2:AH896),$AH$2:$AH$1001,0),1)&gt;=100000,INDEX($AO$1005:$BQ$1005,1,MATCH(COLUMNS($AO$1006:BK1006),$AO$1006:$BQ$1006,0))&gt;=100000), " ",IF(INDEX($AO$2:$BQ$1001,MATCH(ROWS($AH$2:AH896),$AH$2:$AH$1001,0),MATCH(COLUMNS($AO$1006:BK1006),$AO$1006:$BQ$1006,0)), HYPERLINK("#",""), HYPERLINK(CONCATENATE("#Metadata!", ADDRESS(INDEX($AJ$2:$AJ$1001,MATCH(ROWS($AH$2:AH896),$AH$2:$AH$1001,0),0), INDEX($AO$1004:$BQ$1004,1,MATCH(COLUMNS($AO$1006:BK1006),$AO$1006:$BQ$1006,0)))),"Fix")))</f>
        <v>#N/A</v>
      </c>
      <c r="Y896" s="5" t="e">
        <f ca="1">IF(OR(INDEX($AI$2:$AI$1001,MATCH(ROWS($AH$2:AH896),$AH$2:$AH$1001,0),1)&gt;=100000,INDEX($AO$1005:$BQ$1005,1,MATCH(COLUMNS($AO$1006:BL1006),$AO$1006:$BQ$1006,0))&gt;=100000), " ",IF(INDEX($AO$2:$BQ$1001,MATCH(ROWS($AH$2:AH896),$AH$2:$AH$1001,0),MATCH(COLUMNS($AO$1006:BL1006),$AO$1006:$BQ$1006,0)), HYPERLINK("#",""), HYPERLINK(CONCATENATE("#Metadata!", ADDRESS(INDEX($AJ$2:$AJ$1001,MATCH(ROWS($AH$2:AH896),$AH$2:$AH$1001,0),0), INDEX($AO$1004:$BQ$1004,1,MATCH(COLUMNS($AO$1006:BL1006),$AO$1006:$BQ$1006,0)))),"Fix")))</f>
        <v>#N/A</v>
      </c>
      <c r="Z896" s="5" t="e">
        <f ca="1">IF(OR(INDEX($AI$2:$AI$1001,MATCH(ROWS($AH$2:AH896),$AH$2:$AH$1001,0),1)&gt;=100000,INDEX($AO$1005:$BQ$1005,1,MATCH(COLUMNS($AO$1006:BM1006),$AO$1006:$BQ$1006,0))&gt;=100000), " ",IF(INDEX($AO$2:$BQ$1001,MATCH(ROWS($AH$2:AH896),$AH$2:$AH$1001,0),MATCH(COLUMNS($AO$1006:BM1006),$AO$1006:$BQ$1006,0)), HYPERLINK("#",""), HYPERLINK(CONCATENATE("#Metadata!", ADDRESS(INDEX($AJ$2:$AJ$1001,MATCH(ROWS($AH$2:AH896),$AH$2:$AH$1001,0),0), INDEX($AO$1004:$BQ$1004,1,MATCH(COLUMNS($AO$1006:BM1006),$AO$1006:$BQ$1006,0)))),"Fix")))</f>
        <v>#N/A</v>
      </c>
      <c r="AA896" s="5" t="e">
        <f ca="1">IF(OR(INDEX($AI$2:$AI$1001,MATCH(ROWS($AH$2:AH896),$AH$2:$AH$1001,0),1)&gt;=100000,INDEX($AO$1005:$BQ$1005,1,MATCH(COLUMNS($AO$1006:BN1006),$AO$1006:$BQ$1006,0))&gt;=100000), " ",IF(INDEX($AO$2:$BQ$1001,MATCH(ROWS($AH$2:AH896),$AH$2:$AH$1001,0),MATCH(COLUMNS($AO$1006:BN1006),$AO$1006:$BQ$1006,0)), HYPERLINK("#",""), HYPERLINK(CONCATENATE("#Metadata!", ADDRESS(INDEX($AJ$2:$AJ$1001,MATCH(ROWS($AH$2:AH896),$AH$2:$AH$1001,0),0), INDEX($AO$1004:$BQ$1004,1,MATCH(COLUMNS($AO$1006:BN1006),$AO$1006:$BQ$1006,0)))),"Fix")))</f>
        <v>#N/A</v>
      </c>
      <c r="AB896" s="5" t="e">
        <f ca="1">IF(OR(INDEX($AI$2:$AI$1001,MATCH(ROWS($AH$2:AH896),$AH$2:$AH$1001,0),1)&gt;=100000,INDEX($AO$1005:$BQ$1005,1,MATCH(COLUMNS($AO$1006:BO1006),$AO$1006:$BQ$1006,0))&gt;=100000), " ",IF(INDEX($AO$2:$BQ$1001,MATCH(ROWS($AH$2:AH896),$AH$2:$AH$1001,0),MATCH(COLUMNS($AO$1006:BO1006),$AO$1006:$BQ$1006,0)), HYPERLINK("#",""), HYPERLINK(CONCATENATE("#Metadata!", ADDRESS(INDEX($AJ$2:$AJ$1001,MATCH(ROWS($AH$2:AH896),$AH$2:$AH$1001,0),0), INDEX($AO$1004:$BQ$1004,1,MATCH(COLUMNS($AO$1006:BO1006),$AO$1006:$BQ$1006,0)))),"Fix")))</f>
        <v>#N/A</v>
      </c>
      <c r="AC896" s="5" t="e">
        <f ca="1">IF(OR(INDEX($AI$2:$AI$1001,MATCH(ROWS($AH$2:AH896),$AH$2:$AH$1001,0),1)&gt;=100000,INDEX($AO$1005:$BQ$1005,1,MATCH(COLUMNS($AO$1006:BP1006),$AO$1006:$BQ$1006,0))&gt;=100000), " ",IF(INDEX($AO$2:$BQ$1001,MATCH(ROWS($AH$2:AH896),$AH$2:$AH$1001,0),MATCH(COLUMNS($AO$1006:BP1006),$AO$1006:$BQ$1006,0)), HYPERLINK("#",""), HYPERLINK(CONCATENATE("#Metadata!", ADDRESS(INDEX($AJ$2:$AJ$1001,MATCH(ROWS($AH$2:AH896),$AH$2:$AH$1001,0),0), INDEX($AO$1004:$BQ$1004,1,MATCH(COLUMNS($AO$1006:BP1006),$AO$1006:$BQ$1006,0)))),"Fix")))</f>
        <v>#N/A</v>
      </c>
      <c r="AD896" s="5" t="e">
        <f ca="1">IF(OR(INDEX($AI$2:$AI$1001,MATCH(ROWS($AH$2:AH896),$AH$2:$AH$1001,0),1)&gt;=100000,INDEX($AO$1005:$BQ$1005,1,MATCH(COLUMNS($AO$1006:BQ1006),$AO$1006:$BQ$1006,0))&gt;=100000), " ",IF(INDEX($AO$2:$BQ$1001,MATCH(ROWS($AH$2:AH896),$AH$2:$AH$1001,0),MATCH(COLUMNS($AO$1006:BQ1006),$AO$1006:$BQ$1006,0)), HYPERLINK("#",""), HYPERLINK(CONCATENATE("#Metadata!", ADDRESS(INDEX($AJ$2:$AJ$1001,MATCH(ROWS($AH$2:AH896),$AH$2:$AH$1001,0),0), INDEX($AO$1004:$BQ$1004,1,MATCH(COLUMNS($AO$1006:BQ1006),$AO$1006:$BQ$1006,0)))),"Fix")))</f>
        <v>#REF!</v>
      </c>
      <c r="AH896">
        <f ca="1"/>
        <v>893</v>
      </c>
      <c r="AI896">
        <v>100896</v>
      </c>
      <c r="AJ896">
        <v>896</v>
      </c>
      <c r="AK896" t="b">
        <f t="shared" si="13"/>
        <v>1</v>
      </c>
      <c r="AL896" t="b">
        <f>COUNTBLANK(Metadata!B896:AD896)=COLUMNS(Metadata!B896:AD896)</f>
        <v>1</v>
      </c>
      <c r="AM896" t="str">
        <v/>
      </c>
      <c r="AO896" t="b">
        <f ca="1">AND(IF(Metadata!B896="",FALSE,TRUE),COUNTIF(Metadata!B:B, Metadata!B896) = 1,NOT(ISERROR(SUMPRODUCT(SEARCH(MID(Metadata!B896,ROW(INDIRECT("1:"&amp;LEN(Metadata!B896))), 1),"0123456789abcdefghijklmnopqrstuvwxyzABCDEFGHIJKLMNOPQRSTUVWXYZ.")))))</f>
        <v>0</v>
      </c>
      <c r="AP896" t="b">
        <f>IF(Metadata!C896="",FALSE,TRUE)</f>
        <v>0</v>
      </c>
      <c r="AQ896" t="b">
        <f>IF(Metadata!D896="",FALSE,TRUE)</f>
        <v>0</v>
      </c>
      <c r="AR896" t="b">
        <f ca="1">OR(AND(IF(Metadata!E896="",FALSE,TRUE),OR(EXACT(Metadata!E896,"not collected"),EXACT(Metadata!E896,"not provided"),EXACT(Metadata!E896,"restricted access"))),AND(IF(Metadata!E896="",FALSE,TRUE),AND(AND(IFERROR(INT(LEFT(Metadata!E896,4))&gt;1900,FALSE),IFERROR(INT(LEFT(Metadata!E896,4))&lt;=YEAR(NOW()),FALSE)), OR(MID(Metadata!E896,5,1)="", AND(AND(MID(Metadata!E896,5,1)="-",IFERROR(INT(MID(Metadata!E896,6,1))&gt;=0,FALSE),IFERROR(INT(MID(Metadata!E896,6,1))&lt;=1,FALSE),NOT(MID(Metadata!E896,7,1)=""),IFERROR(INT(MID(Metadata!E896,6,2))&gt;=1,FALSE),IFERROR(INT(MID(Metadata!E896,6,2))&lt;=12,FALSE)), OR(MID(Metadata!E896,8,1)="", AND(AND(MID(Metadata!E896,8,1)="-",IFERROR(INT(MID(Metadata!E896,9,1))&gt;=0,FALSE),IFERROR(INT(MID(Metadata!E896,9,1))&lt;=3,FALSE),NOT(MID(Metadata!E896,10,1)=""),IFERROR(INT(MID(Metadata!E896,9,2))&gt;=1,FALSE),IFERROR(INT(MID(Metadata!E896,9,2))&lt;=31,FALSE)), OR(MID(Metadata!E896,11,1)="", AND(AND(MID(Metadata!E896,11,1)=" ",IFERROR(INT(MID(Metadata!E896,12,1))&gt;=0,FALSE),IFERROR(INT(MID(Metadata!E896,12,1))&lt;=2,FALSE),NOT(MID(Metadata!E896,13,1)=""),IFERROR(INT(MID(Metadata!E896,12,2))&gt;=0,FALSE),IFERROR(INT(MID(Metadata!E896,12,2))&lt;=23,FALSE)), OR(MID(Metadata!E896,14,1)="", AND(AND(MID(Metadata!E896,14,1)=":",IFERROR(INT(MID(Metadata!E896,15,1))&gt;=0,FALSE),IFERROR(INT(MID(Metadata!E896,15,1))&lt;=5,FALSE),NOT(MID(Metadata!E896,16,1)=""),IFERROR(INT(MID(Metadata!E896,15,2))&gt;=0,FALSE),IFERROR(INT(MID(Metadata!E896,15,2))&lt;=59,FALSE)), OR(MID(Metadata!E896,17,1)="", AND(AND(MID(Metadata!E896,17,1)=":",IFERROR(INT(MID(Metadata!E896,18,1))&gt;=0,FALSE),IFERROR(INT(MID(Metadata!E896,18,1))&lt;=5,FALSE),NOT(MID(Metadata!E896,19,1)=""),IFERROR(INT(MID(Metadata!E896,18,2))&gt;=0,FALSE),IFERROR(INT(MID(Metadata!E896,18,2))&lt;=59,FALSE)), LEN(Metadata!E896)&lt;=19)))))))))))))</f>
        <v>0</v>
      </c>
      <c r="AS896" t="b">
        <f>IF(Metadata!F896="",FALSE,TRUE)</f>
        <v>0</v>
      </c>
      <c r="AT896" t="b">
        <f>OR(AND(IF(Metadata!G896="",FALSE,TRUE),OR(EXACT(Metadata!G896,"not collected"),EXACT(Metadata!G896,"not provided"))),AND(IF(Metadata!G896="",FALSE,TRUE),OR(EXACT(Metadata!G896,"TRUE"),EXACT(Metadata!G896,"FALSE"))))</f>
        <v>0</v>
      </c>
      <c r="AU896" t="b">
        <f>OR(AND(IF(Metadata!H896="",FALSE,TRUE),OR(EXACT(Metadata!H896,"not collected"),EXACT(Metadata!H896,"not provided"),EXACT(Metadata!H896,"restricted access"))),AND(IF(Metadata!H896="",FALSE,ISNUMBER(VALUE(Metadata!H896))),Metadata!H896&gt;=-413))</f>
        <v>0</v>
      </c>
      <c r="AV896" t="b">
        <f>AND(IF(Metadata!I896="",FALSE,TRUE),EXACT(Metadata!I896,"meters"))</f>
        <v>0</v>
      </c>
      <c r="AW896" t="b">
        <f>AND(IF(Metadata!J896="",FALSE,TRUE),EXACT(Metadata!J896,"free-living"))</f>
        <v>0</v>
      </c>
      <c r="AX896" t="b">
        <f>AND(IF(Metadata!K896="",FALSE,TRUE),OR(EXACT(Metadata!K896,"saline"),EXACT(Metadata!K896,"non-saline")))</f>
        <v>0</v>
      </c>
      <c r="AY896" t="b">
        <f>AND(IF(Metadata!L896="",FALSE,TRUE),OR(EXACT(Metadata!L896,"sub-surface (non-saline)"),EXACT(Metadata!L896,"surface (non-saline)"),EXACT(Metadata!L896,"water (non-saline)"),EXACT(Metadata!L896,"soil (non-saline)"),EXACT(Metadata!L896,"aerosol (non-saline)"),EXACT(Metadata!L896,"sediment (non-saline)"),EXACT(Metadata!L896,"surface (saline)"),EXACT(Metadata!L896,"water (saline)"),EXACT(Metadata!L896,"hypersaline (saline)"),EXACT(Metadata!L896,"aerosol (saline)"),EXACT(Metadata!L896,"sediment (saline)")))</f>
        <v>0</v>
      </c>
      <c r="AZ896" t="b">
        <f>IF(Metadata!M896="",FALSE,TRUE)</f>
        <v>0</v>
      </c>
      <c r="BA896" t="b">
        <f>IF(Metadata!N896="",FALSE,TRUE)</f>
        <v>0</v>
      </c>
      <c r="BB896" t="b">
        <f>IF(Metadata!O896="",FALSE,TRUE)</f>
        <v>0</v>
      </c>
      <c r="BC896" t="b">
        <f>AND(IF(Metadata!P896="",FALSE,TRUE),OR(EXACT(Metadata!P896,"air"),EXACT(Metadata!P896,"microbial mat/biofilm"),EXACT(Metadata!P896,"misc environment"),EXACT(Metadata!P896,"sediment"),EXACT(Metadata!P896,"soil"),EXACT(Metadata!P896,"wastewater/sludge"),EXACT(Metadata!P896,"water")))</f>
        <v>0</v>
      </c>
      <c r="BD896" t="b">
        <f>IF(Metadata!Q896="",FALSE,TRUE)</f>
        <v>0</v>
      </c>
      <c r="BE896" t="b">
        <f>IF(Metadata!R896="",FALSE,TRUE)</f>
        <v>0</v>
      </c>
      <c r="BF896" t="b">
        <f>OR(AND(IF(Metadata!S896="",FALSE,TRUE),OR(EXACT(Metadata!S896,"not collected"),EXACT(Metadata!S896,"not provided"),EXACT(Metadata!S896,"restricted access"))),AND(IF(Metadata!S896="",FALSE,ISNUMBER(VALUE(Metadata!S896))),Metadata!S896&gt;=-90,Metadata!S896&lt;=90))</f>
        <v>0</v>
      </c>
      <c r="BG896" t="b">
        <f>AND(IF(Metadata!T896="",FALSE,TRUE),EXACT(Metadata!T896,"Decimal degrees"))</f>
        <v>0</v>
      </c>
      <c r="BH896" t="b">
        <f>OR(AND(IF(Metadata!U896="",FALSE,TRUE),OR(EXACT(Metadata!U896,"not applicable"),EXACT(Metadata!U896,"not collected"))),IF(Metadata!U896="",FALSE,TRUE))</f>
        <v>0</v>
      </c>
      <c r="BI896" t="b">
        <f>OR(AND(IF(Metadata!V896="",FALSE,TRUE),OR(EXACT(Metadata!V896,"not collected"),EXACT(Metadata!V896,"not provided"),EXACT(Metadata!V896,"restricted access"))),AND(IF(Metadata!V896="",FALSE,ISNUMBER(VALUE(Metadata!V896))),Metadata!V896&gt;=-180,Metadata!V896&lt;=180))</f>
        <v>0</v>
      </c>
      <c r="BJ896" t="b">
        <f>AND(IF(Metadata!W896="",FALSE,TRUE),EXACT(Metadata!W896,"Decimal degrees"))</f>
        <v>0</v>
      </c>
      <c r="BK896" t="b">
        <f>IF(Metadata!X896="",FALSE,TRUE)</f>
        <v>0</v>
      </c>
      <c r="BL896" t="b">
        <f>OR(AND(IF(Metadata!Y896="",FALSE,TRUE),OR(EXACT(Metadata!Y896,"not collected"),EXACT(Metadata!Y896,"not provided"),EXACT(Metadata!Y896,"restricted access"))),AND(IF(Metadata!Y896="",FALSE,TRUE),OR(EXACT(Metadata!Y896,"TRUE"),EXACT(Metadata!Y896,"FALSE"))))</f>
        <v>0</v>
      </c>
      <c r="BM896" t="b">
        <f>OR(AND(IF(Metadata!Z896="",FALSE,TRUE),EXACT(Metadata!Z896,"not applicable")),AND(IF(Metadata!Z896="",FALSE,TRUE),OR(EXACT(Metadata!Z896,"beer"),EXACT(Metadata!Z896,"cheese"),EXACT(Metadata!Z896,"fresh water"),EXACT(Metadata!Z896,"marine sediment"),EXACT(Metadata!Z896,"sea water"),EXACT(Metadata!Z896,"sediment"),EXACT(Metadata!Z896,"soil"),EXACT(Metadata!Z896,"waste water"))))</f>
        <v>0</v>
      </c>
      <c r="BN896" t="b">
        <f>AND(IF(Metadata!AA896="",FALSE,TRUE),EXACT(Metadata!AA896,"metagenome"))</f>
        <v>0</v>
      </c>
      <c r="BO896" t="b">
        <f>AND(IF(Metadata!AB896="",FALSE,TRUE),EXACT(Metadata!AB896,"256318"))</f>
        <v>0</v>
      </c>
      <c r="BP896" t="b">
        <f>IF(Metadata!AC896="",FALSE,TRUE)</f>
        <v>0</v>
      </c>
      <c r="BQ896" t="b">
        <f>IF(Metadata!AD896="",FALSE,TRUE)</f>
        <v>0</v>
      </c>
    </row>
    <row r="897" spans="1:69" x14ac:dyDescent="0.2">
      <c r="A897" s="4" t="e">
        <f ca="1">IF(B897=" "," ",HYPERLINK(CONCATENATE("#metadata!",ADDRESS(INDEX($AJ$2:$AJ$1001,MATCH(ROWS($AH$2:AH897),$AH$2:$AH$1001,0),0),2)),INDEX($AM$2:$AM$1001,MATCH(ROWS($AH$2:AH897),$AH$2:$AH$1001,0),0)))</f>
        <v>#N/A</v>
      </c>
      <c r="B897" s="5" t="e">
        <f ca="1">IF(OR(INDEX($AI$2:$AI$1001,MATCH(ROWS($AH$2:AH897),$AH$2:$AH$1001,0),1)&gt;=100000,INDEX($AO$1005:$BQ$1005,1,MATCH(COLUMNS($AO$1006:AO1006),$AO$1006:$BQ$1006,0))&gt;=100000), " ",IF(INDEX($AO$2:$BQ$1001,MATCH(ROWS($AH$2:AH897),$AH$2:$AH$1001,0),MATCH(COLUMNS($AO$1006:AO1006),$AO$1006:$BQ$1006,0)), HYPERLINK("#",""), HYPERLINK(CONCATENATE("#Metadata!", ADDRESS(INDEX($AJ$2:$AJ$1001,MATCH(ROWS($AH$2:AH897),$AH$2:$AH$1001,0),0), INDEX($AO$1004:$BQ$1004,1,MATCH(COLUMNS($AO$1006:AO1006),$AO$1006:$BQ$1006,0)))),"Fix")))</f>
        <v>#N/A</v>
      </c>
      <c r="C897" s="5" t="e">
        <f ca="1">IF(OR(INDEX($AI$2:$AI$1001,MATCH(ROWS($AH$2:AH897),$AH$2:$AH$1001,0),1)&gt;=100000,INDEX($AO$1005:$BQ$1005,1,MATCH(COLUMNS($AO$1006:AP1006),$AO$1006:$BQ$1006,0))&gt;=100000), " ",IF(INDEX($AO$2:$BQ$1001,MATCH(ROWS($AH$2:AH897),$AH$2:$AH$1001,0),MATCH(COLUMNS($AO$1006:AP1006),$AO$1006:$BQ$1006,0)), HYPERLINK("#",""), HYPERLINK(CONCATENATE("#Metadata!", ADDRESS(INDEX($AJ$2:$AJ$1001,MATCH(ROWS($AH$2:AH897),$AH$2:$AH$1001,0),0), INDEX($AO$1004:$BQ$1004,1,MATCH(COLUMNS($AO$1006:AP1006),$AO$1006:$BQ$1006,0)))),"Fix")))</f>
        <v>#N/A</v>
      </c>
      <c r="D897" s="5" t="e">
        <f ca="1">IF(OR(INDEX($AI$2:$AI$1001,MATCH(ROWS($AH$2:AH897),$AH$2:$AH$1001,0),1)&gt;=100000,INDEX($AO$1005:$BQ$1005,1,MATCH(COLUMNS($AO$1006:AQ1006),$AO$1006:$BQ$1006,0))&gt;=100000), " ",IF(INDEX($AO$2:$BQ$1001,MATCH(ROWS($AH$2:AH897),$AH$2:$AH$1001,0),MATCH(COLUMNS($AO$1006:AQ1006),$AO$1006:$BQ$1006,0)), HYPERLINK("#",""), HYPERLINK(CONCATENATE("#Metadata!", ADDRESS(INDEX($AJ$2:$AJ$1001,MATCH(ROWS($AH$2:AH897),$AH$2:$AH$1001,0),0), INDEX($AO$1004:$BQ$1004,1,MATCH(COLUMNS($AO$1006:AQ1006),$AO$1006:$BQ$1006,0)))),"Fix")))</f>
        <v>#N/A</v>
      </c>
      <c r="E897" s="5" t="e">
        <f ca="1">IF(OR(INDEX($AI$2:$AI$1001,MATCH(ROWS($AH$2:AH897),$AH$2:$AH$1001,0),1)&gt;=100000,INDEX($AO$1005:$BQ$1005,1,MATCH(COLUMNS($AO$1006:AR1006),$AO$1006:$BQ$1006,0))&gt;=100000), " ",IF(INDEX($AO$2:$BQ$1001,MATCH(ROWS($AH$2:AH897),$AH$2:$AH$1001,0),MATCH(COLUMNS($AO$1006:AR1006),$AO$1006:$BQ$1006,0)), HYPERLINK("#",""), HYPERLINK(CONCATENATE("#Metadata!", ADDRESS(INDEX($AJ$2:$AJ$1001,MATCH(ROWS($AH$2:AH897),$AH$2:$AH$1001,0),0), INDEX($AO$1004:$BQ$1004,1,MATCH(COLUMNS($AO$1006:AR1006),$AO$1006:$BQ$1006,0)))),"Fix")))</f>
        <v>#N/A</v>
      </c>
      <c r="F897" s="5" t="e">
        <f ca="1">IF(OR(INDEX($AI$2:$AI$1001,MATCH(ROWS($AH$2:AH897),$AH$2:$AH$1001,0),1)&gt;=100000,INDEX($AO$1005:$BQ$1005,1,MATCH(COLUMNS($AO$1006:AS1006),$AO$1006:$BQ$1006,0))&gt;=100000), " ",IF(INDEX($AO$2:$BQ$1001,MATCH(ROWS($AH$2:AH897),$AH$2:$AH$1001,0),MATCH(COLUMNS($AO$1006:AS1006),$AO$1006:$BQ$1006,0)), HYPERLINK("#",""), HYPERLINK(CONCATENATE("#Metadata!", ADDRESS(INDEX($AJ$2:$AJ$1001,MATCH(ROWS($AH$2:AH897),$AH$2:$AH$1001,0),0), INDEX($AO$1004:$BQ$1004,1,MATCH(COLUMNS($AO$1006:AS1006),$AO$1006:$BQ$1006,0)))),"Fix")))</f>
        <v>#N/A</v>
      </c>
      <c r="G897" s="5" t="e">
        <f ca="1">IF(OR(INDEX($AI$2:$AI$1001,MATCH(ROWS($AH$2:AH897),$AH$2:$AH$1001,0),1)&gt;=100000,INDEX($AO$1005:$BQ$1005,1,MATCH(COLUMNS($AO$1006:AT1006),$AO$1006:$BQ$1006,0))&gt;=100000), " ",IF(INDEX($AO$2:$BQ$1001,MATCH(ROWS($AH$2:AH897),$AH$2:$AH$1001,0),MATCH(COLUMNS($AO$1006:AT1006),$AO$1006:$BQ$1006,0)), HYPERLINK("#",""), HYPERLINK(CONCATENATE("#Metadata!", ADDRESS(INDEX($AJ$2:$AJ$1001,MATCH(ROWS($AH$2:AH897),$AH$2:$AH$1001,0),0), INDEX($AO$1004:$BQ$1004,1,MATCH(COLUMNS($AO$1006:AT1006),$AO$1006:$BQ$1006,0)))),"Fix")))</f>
        <v>#N/A</v>
      </c>
      <c r="H897" s="5" t="e">
        <f ca="1">IF(OR(INDEX($AI$2:$AI$1001,MATCH(ROWS($AH$2:AH897),$AH$2:$AH$1001,0),1)&gt;=100000,INDEX($AO$1005:$BQ$1005,1,MATCH(COLUMNS($AO$1006:AU1006),$AO$1006:$BQ$1006,0))&gt;=100000), " ",IF(INDEX($AO$2:$BQ$1001,MATCH(ROWS($AH$2:AH897),$AH$2:$AH$1001,0),MATCH(COLUMNS($AO$1006:AU1006),$AO$1006:$BQ$1006,0)), HYPERLINK("#",""), HYPERLINK(CONCATENATE("#Metadata!", ADDRESS(INDEX($AJ$2:$AJ$1001,MATCH(ROWS($AH$2:AH897),$AH$2:$AH$1001,0),0), INDEX($AO$1004:$BQ$1004,1,MATCH(COLUMNS($AO$1006:AU1006),$AO$1006:$BQ$1006,0)))),"Fix")))</f>
        <v>#N/A</v>
      </c>
      <c r="I897" s="5" t="e">
        <f ca="1">IF(OR(INDEX($AI$2:$AI$1001,MATCH(ROWS($AH$2:AH897),$AH$2:$AH$1001,0),1)&gt;=100000,INDEX($AO$1005:$BQ$1005,1,MATCH(COLUMNS($AO$1006:AV1006),$AO$1006:$BQ$1006,0))&gt;=100000), " ",IF(INDEX($AO$2:$BQ$1001,MATCH(ROWS($AH$2:AH897),$AH$2:$AH$1001,0),MATCH(COLUMNS($AO$1006:AV1006),$AO$1006:$BQ$1006,0)), HYPERLINK("#",""), HYPERLINK(CONCATENATE("#Metadata!", ADDRESS(INDEX($AJ$2:$AJ$1001,MATCH(ROWS($AH$2:AH897),$AH$2:$AH$1001,0),0), INDEX($AO$1004:$BQ$1004,1,MATCH(COLUMNS($AO$1006:AV1006),$AO$1006:$BQ$1006,0)))),"Fix")))</f>
        <v>#N/A</v>
      </c>
      <c r="J897" s="5" t="e">
        <f ca="1">IF(OR(INDEX($AI$2:$AI$1001,MATCH(ROWS($AH$2:AH897),$AH$2:$AH$1001,0),1)&gt;=100000,INDEX($AO$1005:$BQ$1005,1,MATCH(COLUMNS($AO$1006:AW1006),$AO$1006:$BQ$1006,0))&gt;=100000), " ",IF(INDEX($AO$2:$BQ$1001,MATCH(ROWS($AH$2:AH897),$AH$2:$AH$1001,0),MATCH(COLUMNS($AO$1006:AW1006),$AO$1006:$BQ$1006,0)), HYPERLINK("#",""), HYPERLINK(CONCATENATE("#Metadata!", ADDRESS(INDEX($AJ$2:$AJ$1001,MATCH(ROWS($AH$2:AH897),$AH$2:$AH$1001,0),0), INDEX($AO$1004:$BQ$1004,1,MATCH(COLUMNS($AO$1006:AW1006),$AO$1006:$BQ$1006,0)))),"Fix")))</f>
        <v>#N/A</v>
      </c>
      <c r="K897" s="5" t="e">
        <f ca="1">IF(OR(INDEX($AI$2:$AI$1001,MATCH(ROWS($AH$2:AH897),$AH$2:$AH$1001,0),1)&gt;=100000,INDEX($AO$1005:$BQ$1005,1,MATCH(COLUMNS($AO$1006:AX1006),$AO$1006:$BQ$1006,0))&gt;=100000), " ",IF(INDEX($AO$2:$BQ$1001,MATCH(ROWS($AH$2:AH897),$AH$2:$AH$1001,0),MATCH(COLUMNS($AO$1006:AX1006),$AO$1006:$BQ$1006,0)), HYPERLINK("#",""), HYPERLINK(CONCATENATE("#Metadata!", ADDRESS(INDEX($AJ$2:$AJ$1001,MATCH(ROWS($AH$2:AH897),$AH$2:$AH$1001,0),0), INDEX($AO$1004:$BQ$1004,1,MATCH(COLUMNS($AO$1006:AX1006),$AO$1006:$BQ$1006,0)))),"Fix")))</f>
        <v>#N/A</v>
      </c>
      <c r="L897" s="5" t="e">
        <f ca="1">IF(OR(INDEX($AI$2:$AI$1001,MATCH(ROWS($AH$2:AH897),$AH$2:$AH$1001,0),1)&gt;=100000,INDEX($AO$1005:$BQ$1005,1,MATCH(COLUMNS($AO$1006:AY1006),$AO$1006:$BQ$1006,0))&gt;=100000), " ",IF(INDEX($AO$2:$BQ$1001,MATCH(ROWS($AH$2:AH897),$AH$2:$AH$1001,0),MATCH(COLUMNS($AO$1006:AY1006),$AO$1006:$BQ$1006,0)), HYPERLINK("#",""), HYPERLINK(CONCATENATE("#Metadata!", ADDRESS(INDEX($AJ$2:$AJ$1001,MATCH(ROWS($AH$2:AH897),$AH$2:$AH$1001,0),0), INDEX($AO$1004:$BQ$1004,1,MATCH(COLUMNS($AO$1006:AY1006),$AO$1006:$BQ$1006,0)))),"Fix")))</f>
        <v>#N/A</v>
      </c>
      <c r="M897" s="5" t="e">
        <f ca="1">IF(OR(INDEX($AI$2:$AI$1001,MATCH(ROWS($AH$2:AH897),$AH$2:$AH$1001,0),1)&gt;=100000,INDEX($AO$1005:$BQ$1005,1,MATCH(COLUMNS($AO$1006:AZ1006),$AO$1006:$BQ$1006,0))&gt;=100000), " ",IF(INDEX($AO$2:$BQ$1001,MATCH(ROWS($AH$2:AH897),$AH$2:$AH$1001,0),MATCH(COLUMNS($AO$1006:AZ1006),$AO$1006:$BQ$1006,0)), HYPERLINK("#",""), HYPERLINK(CONCATENATE("#Metadata!", ADDRESS(INDEX($AJ$2:$AJ$1001,MATCH(ROWS($AH$2:AH897),$AH$2:$AH$1001,0),0), INDEX($AO$1004:$BQ$1004,1,MATCH(COLUMNS($AO$1006:AZ1006),$AO$1006:$BQ$1006,0)))),"Fix")))</f>
        <v>#N/A</v>
      </c>
      <c r="N897" s="5" t="e">
        <f ca="1">IF(OR(INDEX($AI$2:$AI$1001,MATCH(ROWS($AH$2:AH897),$AH$2:$AH$1001,0),1)&gt;=100000,INDEX($AO$1005:$BQ$1005,1,MATCH(COLUMNS($AO$1006:BA1006),$AO$1006:$BQ$1006,0))&gt;=100000), " ",IF(INDEX($AO$2:$BQ$1001,MATCH(ROWS($AH$2:AH897),$AH$2:$AH$1001,0),MATCH(COLUMNS($AO$1006:BA1006),$AO$1006:$BQ$1006,0)), HYPERLINK("#",""), HYPERLINK(CONCATENATE("#Metadata!", ADDRESS(INDEX($AJ$2:$AJ$1001,MATCH(ROWS($AH$2:AH897),$AH$2:$AH$1001,0),0), INDEX($AO$1004:$BQ$1004,1,MATCH(COLUMNS($AO$1006:BA1006),$AO$1006:$BQ$1006,0)))),"Fix")))</f>
        <v>#N/A</v>
      </c>
      <c r="O897" s="5" t="e">
        <f ca="1">IF(OR(INDEX($AI$2:$AI$1001,MATCH(ROWS($AH$2:AH897),$AH$2:$AH$1001,0),1)&gt;=100000,INDEX($AO$1005:$BQ$1005,1,MATCH(COLUMNS($AO$1006:BB1006),$AO$1006:$BQ$1006,0))&gt;=100000), " ",IF(INDEX($AO$2:$BQ$1001,MATCH(ROWS($AH$2:AH897),$AH$2:$AH$1001,0),MATCH(COLUMNS($AO$1006:BB1006),$AO$1006:$BQ$1006,0)), HYPERLINK("#",""), HYPERLINK(CONCATENATE("#Metadata!", ADDRESS(INDEX($AJ$2:$AJ$1001,MATCH(ROWS($AH$2:AH897),$AH$2:$AH$1001,0),0), INDEX($AO$1004:$BQ$1004,1,MATCH(COLUMNS($AO$1006:BB1006),$AO$1006:$BQ$1006,0)))),"Fix")))</f>
        <v>#N/A</v>
      </c>
      <c r="P897" s="5" t="e">
        <f ca="1">IF(OR(INDEX($AI$2:$AI$1001,MATCH(ROWS($AH$2:AH897),$AH$2:$AH$1001,0),1)&gt;=100000,INDEX($AO$1005:$BQ$1005,1,MATCH(COLUMNS($AO$1006:BC1006),$AO$1006:$BQ$1006,0))&gt;=100000), " ",IF(INDEX($AO$2:$BQ$1001,MATCH(ROWS($AH$2:AH897),$AH$2:$AH$1001,0),MATCH(COLUMNS($AO$1006:BC1006),$AO$1006:$BQ$1006,0)), HYPERLINK("#",""), HYPERLINK(CONCATENATE("#Metadata!", ADDRESS(INDEX($AJ$2:$AJ$1001,MATCH(ROWS($AH$2:AH897),$AH$2:$AH$1001,0),0), INDEX($AO$1004:$BQ$1004,1,MATCH(COLUMNS($AO$1006:BC1006),$AO$1006:$BQ$1006,0)))),"Fix")))</f>
        <v>#N/A</v>
      </c>
      <c r="Q897" s="5" t="e">
        <f ca="1">IF(OR(INDEX($AI$2:$AI$1001,MATCH(ROWS($AH$2:AH897),$AH$2:$AH$1001,0),1)&gt;=100000,INDEX($AO$1005:$BQ$1005,1,MATCH(COLUMNS($AO$1006:BD1006),$AO$1006:$BQ$1006,0))&gt;=100000), " ",IF(INDEX($AO$2:$BQ$1001,MATCH(ROWS($AH$2:AH897),$AH$2:$AH$1001,0),MATCH(COLUMNS($AO$1006:BD1006),$AO$1006:$BQ$1006,0)), HYPERLINK("#",""), HYPERLINK(CONCATENATE("#Metadata!", ADDRESS(INDEX($AJ$2:$AJ$1001,MATCH(ROWS($AH$2:AH897),$AH$2:$AH$1001,0),0), INDEX($AO$1004:$BQ$1004,1,MATCH(COLUMNS($AO$1006:BD1006),$AO$1006:$BQ$1006,0)))),"Fix")))</f>
        <v>#N/A</v>
      </c>
      <c r="R897" s="5" t="e">
        <f ca="1">IF(OR(INDEX($AI$2:$AI$1001,MATCH(ROWS($AH$2:AH897),$AH$2:$AH$1001,0),1)&gt;=100000,INDEX($AO$1005:$BQ$1005,1,MATCH(COLUMNS($AO$1006:BE1006),$AO$1006:$BQ$1006,0))&gt;=100000), " ",IF(INDEX($AO$2:$BQ$1001,MATCH(ROWS($AH$2:AH897),$AH$2:$AH$1001,0),MATCH(COLUMNS($AO$1006:BE1006),$AO$1006:$BQ$1006,0)), HYPERLINK("#",""), HYPERLINK(CONCATENATE("#Metadata!", ADDRESS(INDEX($AJ$2:$AJ$1001,MATCH(ROWS($AH$2:AH897),$AH$2:$AH$1001,0),0), INDEX($AO$1004:$BQ$1004,1,MATCH(COLUMNS($AO$1006:BE1006),$AO$1006:$BQ$1006,0)))),"Fix")))</f>
        <v>#N/A</v>
      </c>
      <c r="S897" s="5" t="e">
        <f ca="1">IF(OR(INDEX($AI$2:$AI$1001,MATCH(ROWS($AH$2:AH897),$AH$2:$AH$1001,0),1)&gt;=100000,INDEX($AO$1005:$BQ$1005,1,MATCH(COLUMNS($AO$1006:BF1006),$AO$1006:$BQ$1006,0))&gt;=100000), " ",IF(INDEX($AO$2:$BQ$1001,MATCH(ROWS($AH$2:AH897),$AH$2:$AH$1001,0),MATCH(COLUMNS($AO$1006:BF1006),$AO$1006:$BQ$1006,0)), HYPERLINK("#",""), HYPERLINK(CONCATENATE("#Metadata!", ADDRESS(INDEX($AJ$2:$AJ$1001,MATCH(ROWS($AH$2:AH897),$AH$2:$AH$1001,0),0), INDEX($AO$1004:$BQ$1004,1,MATCH(COLUMNS($AO$1006:BF1006),$AO$1006:$BQ$1006,0)))),"Fix")))</f>
        <v>#N/A</v>
      </c>
      <c r="T897" s="5" t="e">
        <f ca="1">IF(OR(INDEX($AI$2:$AI$1001,MATCH(ROWS($AH$2:AH897),$AH$2:$AH$1001,0),1)&gt;=100000,INDEX($AO$1005:$BQ$1005,1,MATCH(COLUMNS($AO$1006:BG1006),$AO$1006:$BQ$1006,0))&gt;=100000), " ",IF(INDEX($AO$2:$BQ$1001,MATCH(ROWS($AH$2:AH897),$AH$2:$AH$1001,0),MATCH(COLUMNS($AO$1006:BG1006),$AO$1006:$BQ$1006,0)), HYPERLINK("#",""), HYPERLINK(CONCATENATE("#Metadata!", ADDRESS(INDEX($AJ$2:$AJ$1001,MATCH(ROWS($AH$2:AH897),$AH$2:$AH$1001,0),0), INDEX($AO$1004:$BQ$1004,1,MATCH(COLUMNS($AO$1006:BG1006),$AO$1006:$BQ$1006,0)))),"Fix")))</f>
        <v>#N/A</v>
      </c>
      <c r="U897" s="5" t="e">
        <f ca="1">IF(OR(INDEX($AI$2:$AI$1001,MATCH(ROWS($AH$2:AH897),$AH$2:$AH$1001,0),1)&gt;=100000,INDEX($AO$1005:$BQ$1005,1,MATCH(COLUMNS($AO$1006:BH1006),$AO$1006:$BQ$1006,0))&gt;=100000), " ",IF(INDEX($AO$2:$BQ$1001,MATCH(ROWS($AH$2:AH897),$AH$2:$AH$1001,0),MATCH(COLUMNS($AO$1006:BH1006),$AO$1006:$BQ$1006,0)), HYPERLINK("#",""), HYPERLINK(CONCATENATE("#Metadata!", ADDRESS(INDEX($AJ$2:$AJ$1001,MATCH(ROWS($AH$2:AH897),$AH$2:$AH$1001,0),0), INDEX($AO$1004:$BQ$1004,1,MATCH(COLUMNS($AO$1006:BH1006),$AO$1006:$BQ$1006,0)))),"Fix")))</f>
        <v>#N/A</v>
      </c>
      <c r="V897" s="5" t="e">
        <f ca="1">IF(OR(INDEX($AI$2:$AI$1001,MATCH(ROWS($AH$2:AH897),$AH$2:$AH$1001,0),1)&gt;=100000,INDEX($AO$1005:$BQ$1005,1,MATCH(COLUMNS($AO$1006:BI1006),$AO$1006:$BQ$1006,0))&gt;=100000), " ",IF(INDEX($AO$2:$BQ$1001,MATCH(ROWS($AH$2:AH897),$AH$2:$AH$1001,0),MATCH(COLUMNS($AO$1006:BI1006),$AO$1006:$BQ$1006,0)), HYPERLINK("#",""), HYPERLINK(CONCATENATE("#Metadata!", ADDRESS(INDEX($AJ$2:$AJ$1001,MATCH(ROWS($AH$2:AH897),$AH$2:$AH$1001,0),0), INDEX($AO$1004:$BQ$1004,1,MATCH(COLUMNS($AO$1006:BI1006),$AO$1006:$BQ$1006,0)))),"Fix")))</f>
        <v>#N/A</v>
      </c>
      <c r="W897" s="5" t="e">
        <f ca="1">IF(OR(INDEX($AI$2:$AI$1001,MATCH(ROWS($AH$2:AH897),$AH$2:$AH$1001,0),1)&gt;=100000,INDEX($AO$1005:$BQ$1005,1,MATCH(COLUMNS($AO$1006:BJ1006),$AO$1006:$BQ$1006,0))&gt;=100000), " ",IF(INDEX($AO$2:$BQ$1001,MATCH(ROWS($AH$2:AH897),$AH$2:$AH$1001,0),MATCH(COLUMNS($AO$1006:BJ1006),$AO$1006:$BQ$1006,0)), HYPERLINK("#",""), HYPERLINK(CONCATENATE("#Metadata!", ADDRESS(INDEX($AJ$2:$AJ$1001,MATCH(ROWS($AH$2:AH897),$AH$2:$AH$1001,0),0), INDEX($AO$1004:$BQ$1004,1,MATCH(COLUMNS($AO$1006:BJ1006),$AO$1006:$BQ$1006,0)))),"Fix")))</f>
        <v>#N/A</v>
      </c>
      <c r="X897" s="5" t="e">
        <f ca="1">IF(OR(INDEX($AI$2:$AI$1001,MATCH(ROWS($AH$2:AH897),$AH$2:$AH$1001,0),1)&gt;=100000,INDEX($AO$1005:$BQ$1005,1,MATCH(COLUMNS($AO$1006:BK1006),$AO$1006:$BQ$1006,0))&gt;=100000), " ",IF(INDEX($AO$2:$BQ$1001,MATCH(ROWS($AH$2:AH897),$AH$2:$AH$1001,0),MATCH(COLUMNS($AO$1006:BK1006),$AO$1006:$BQ$1006,0)), HYPERLINK("#",""), HYPERLINK(CONCATENATE("#Metadata!", ADDRESS(INDEX($AJ$2:$AJ$1001,MATCH(ROWS($AH$2:AH897),$AH$2:$AH$1001,0),0), INDEX($AO$1004:$BQ$1004,1,MATCH(COLUMNS($AO$1006:BK1006),$AO$1006:$BQ$1006,0)))),"Fix")))</f>
        <v>#N/A</v>
      </c>
      <c r="Y897" s="5" t="e">
        <f ca="1">IF(OR(INDEX($AI$2:$AI$1001,MATCH(ROWS($AH$2:AH897),$AH$2:$AH$1001,0),1)&gt;=100000,INDEX($AO$1005:$BQ$1005,1,MATCH(COLUMNS($AO$1006:BL1006),$AO$1006:$BQ$1006,0))&gt;=100000), " ",IF(INDEX($AO$2:$BQ$1001,MATCH(ROWS($AH$2:AH897),$AH$2:$AH$1001,0),MATCH(COLUMNS($AO$1006:BL1006),$AO$1006:$BQ$1006,0)), HYPERLINK("#",""), HYPERLINK(CONCATENATE("#Metadata!", ADDRESS(INDEX($AJ$2:$AJ$1001,MATCH(ROWS($AH$2:AH897),$AH$2:$AH$1001,0),0), INDEX($AO$1004:$BQ$1004,1,MATCH(COLUMNS($AO$1006:BL1006),$AO$1006:$BQ$1006,0)))),"Fix")))</f>
        <v>#N/A</v>
      </c>
      <c r="Z897" s="5" t="e">
        <f ca="1">IF(OR(INDEX($AI$2:$AI$1001,MATCH(ROWS($AH$2:AH897),$AH$2:$AH$1001,0),1)&gt;=100000,INDEX($AO$1005:$BQ$1005,1,MATCH(COLUMNS($AO$1006:BM1006),$AO$1006:$BQ$1006,0))&gt;=100000), " ",IF(INDEX($AO$2:$BQ$1001,MATCH(ROWS($AH$2:AH897),$AH$2:$AH$1001,0),MATCH(COLUMNS($AO$1006:BM1006),$AO$1006:$BQ$1006,0)), HYPERLINK("#",""), HYPERLINK(CONCATENATE("#Metadata!", ADDRESS(INDEX($AJ$2:$AJ$1001,MATCH(ROWS($AH$2:AH897),$AH$2:$AH$1001,0),0), INDEX($AO$1004:$BQ$1004,1,MATCH(COLUMNS($AO$1006:BM1006),$AO$1006:$BQ$1006,0)))),"Fix")))</f>
        <v>#N/A</v>
      </c>
      <c r="AA897" s="5" t="e">
        <f ca="1">IF(OR(INDEX($AI$2:$AI$1001,MATCH(ROWS($AH$2:AH897),$AH$2:$AH$1001,0),1)&gt;=100000,INDEX($AO$1005:$BQ$1005,1,MATCH(COLUMNS($AO$1006:BN1006),$AO$1006:$BQ$1006,0))&gt;=100000), " ",IF(INDEX($AO$2:$BQ$1001,MATCH(ROWS($AH$2:AH897),$AH$2:$AH$1001,0),MATCH(COLUMNS($AO$1006:BN1006),$AO$1006:$BQ$1006,0)), HYPERLINK("#",""), HYPERLINK(CONCATENATE("#Metadata!", ADDRESS(INDEX($AJ$2:$AJ$1001,MATCH(ROWS($AH$2:AH897),$AH$2:$AH$1001,0),0), INDEX($AO$1004:$BQ$1004,1,MATCH(COLUMNS($AO$1006:BN1006),$AO$1006:$BQ$1006,0)))),"Fix")))</f>
        <v>#N/A</v>
      </c>
      <c r="AB897" s="5" t="e">
        <f ca="1">IF(OR(INDEX($AI$2:$AI$1001,MATCH(ROWS($AH$2:AH897),$AH$2:$AH$1001,0),1)&gt;=100000,INDEX($AO$1005:$BQ$1005,1,MATCH(COLUMNS($AO$1006:BO1006),$AO$1006:$BQ$1006,0))&gt;=100000), " ",IF(INDEX($AO$2:$BQ$1001,MATCH(ROWS($AH$2:AH897),$AH$2:$AH$1001,0),MATCH(COLUMNS($AO$1006:BO1006),$AO$1006:$BQ$1006,0)), HYPERLINK("#",""), HYPERLINK(CONCATENATE("#Metadata!", ADDRESS(INDEX($AJ$2:$AJ$1001,MATCH(ROWS($AH$2:AH897),$AH$2:$AH$1001,0),0), INDEX($AO$1004:$BQ$1004,1,MATCH(COLUMNS($AO$1006:BO1006),$AO$1006:$BQ$1006,0)))),"Fix")))</f>
        <v>#N/A</v>
      </c>
      <c r="AC897" s="5" t="e">
        <f ca="1">IF(OR(INDEX($AI$2:$AI$1001,MATCH(ROWS($AH$2:AH897),$AH$2:$AH$1001,0),1)&gt;=100000,INDEX($AO$1005:$BQ$1005,1,MATCH(COLUMNS($AO$1006:BP1006),$AO$1006:$BQ$1006,0))&gt;=100000), " ",IF(INDEX($AO$2:$BQ$1001,MATCH(ROWS($AH$2:AH897),$AH$2:$AH$1001,0),MATCH(COLUMNS($AO$1006:BP1006),$AO$1006:$BQ$1006,0)), HYPERLINK("#",""), HYPERLINK(CONCATENATE("#Metadata!", ADDRESS(INDEX($AJ$2:$AJ$1001,MATCH(ROWS($AH$2:AH897),$AH$2:$AH$1001,0),0), INDEX($AO$1004:$BQ$1004,1,MATCH(COLUMNS($AO$1006:BP1006),$AO$1006:$BQ$1006,0)))),"Fix")))</f>
        <v>#N/A</v>
      </c>
      <c r="AD897" s="5" t="e">
        <f ca="1">IF(OR(INDEX($AI$2:$AI$1001,MATCH(ROWS($AH$2:AH897),$AH$2:$AH$1001,0),1)&gt;=100000,INDEX($AO$1005:$BQ$1005,1,MATCH(COLUMNS($AO$1006:BQ1006),$AO$1006:$BQ$1006,0))&gt;=100000), " ",IF(INDEX($AO$2:$BQ$1001,MATCH(ROWS($AH$2:AH897),$AH$2:$AH$1001,0),MATCH(COLUMNS($AO$1006:BQ1006),$AO$1006:$BQ$1006,0)), HYPERLINK("#",""), HYPERLINK(CONCATENATE("#Metadata!", ADDRESS(INDEX($AJ$2:$AJ$1001,MATCH(ROWS($AH$2:AH897),$AH$2:$AH$1001,0),0), INDEX($AO$1004:$BQ$1004,1,MATCH(COLUMNS($AO$1006:BQ1006),$AO$1006:$BQ$1006,0)))),"Fix")))</f>
        <v>#REF!</v>
      </c>
      <c r="AH897">
        <f ca="1"/>
        <v>894</v>
      </c>
      <c r="AI897">
        <v>100897</v>
      </c>
      <c r="AJ897">
        <v>897</v>
      </c>
      <c r="AK897" t="b">
        <f t="shared" si="13"/>
        <v>1</v>
      </c>
      <c r="AL897" t="b">
        <f>COUNTBLANK(Metadata!B897:AD897)=COLUMNS(Metadata!B897:AD897)</f>
        <v>1</v>
      </c>
      <c r="AM897" t="str">
        <v/>
      </c>
      <c r="AO897" t="b">
        <f ca="1">AND(IF(Metadata!B897="",FALSE,TRUE),COUNTIF(Metadata!B:B, Metadata!B897) = 1,NOT(ISERROR(SUMPRODUCT(SEARCH(MID(Metadata!B897,ROW(INDIRECT("1:"&amp;LEN(Metadata!B897))), 1),"0123456789abcdefghijklmnopqrstuvwxyzABCDEFGHIJKLMNOPQRSTUVWXYZ.")))))</f>
        <v>0</v>
      </c>
      <c r="AP897" t="b">
        <f>IF(Metadata!C897="",FALSE,TRUE)</f>
        <v>0</v>
      </c>
      <c r="AQ897" t="b">
        <f>IF(Metadata!D897="",FALSE,TRUE)</f>
        <v>0</v>
      </c>
      <c r="AR897" t="b">
        <f ca="1">OR(AND(IF(Metadata!E897="",FALSE,TRUE),OR(EXACT(Metadata!E897,"not collected"),EXACT(Metadata!E897,"not provided"),EXACT(Metadata!E897,"restricted access"))),AND(IF(Metadata!E897="",FALSE,TRUE),AND(AND(IFERROR(INT(LEFT(Metadata!E897,4))&gt;1900,FALSE),IFERROR(INT(LEFT(Metadata!E897,4))&lt;=YEAR(NOW()),FALSE)), OR(MID(Metadata!E897,5,1)="", AND(AND(MID(Metadata!E897,5,1)="-",IFERROR(INT(MID(Metadata!E897,6,1))&gt;=0,FALSE),IFERROR(INT(MID(Metadata!E897,6,1))&lt;=1,FALSE),NOT(MID(Metadata!E897,7,1)=""),IFERROR(INT(MID(Metadata!E897,6,2))&gt;=1,FALSE),IFERROR(INT(MID(Metadata!E897,6,2))&lt;=12,FALSE)), OR(MID(Metadata!E897,8,1)="", AND(AND(MID(Metadata!E897,8,1)="-",IFERROR(INT(MID(Metadata!E897,9,1))&gt;=0,FALSE),IFERROR(INT(MID(Metadata!E897,9,1))&lt;=3,FALSE),NOT(MID(Metadata!E897,10,1)=""),IFERROR(INT(MID(Metadata!E897,9,2))&gt;=1,FALSE),IFERROR(INT(MID(Metadata!E897,9,2))&lt;=31,FALSE)), OR(MID(Metadata!E897,11,1)="", AND(AND(MID(Metadata!E897,11,1)=" ",IFERROR(INT(MID(Metadata!E897,12,1))&gt;=0,FALSE),IFERROR(INT(MID(Metadata!E897,12,1))&lt;=2,FALSE),NOT(MID(Metadata!E897,13,1)=""),IFERROR(INT(MID(Metadata!E897,12,2))&gt;=0,FALSE),IFERROR(INT(MID(Metadata!E897,12,2))&lt;=23,FALSE)), OR(MID(Metadata!E897,14,1)="", AND(AND(MID(Metadata!E897,14,1)=":",IFERROR(INT(MID(Metadata!E897,15,1))&gt;=0,FALSE),IFERROR(INT(MID(Metadata!E897,15,1))&lt;=5,FALSE),NOT(MID(Metadata!E897,16,1)=""),IFERROR(INT(MID(Metadata!E897,15,2))&gt;=0,FALSE),IFERROR(INT(MID(Metadata!E897,15,2))&lt;=59,FALSE)), OR(MID(Metadata!E897,17,1)="", AND(AND(MID(Metadata!E897,17,1)=":",IFERROR(INT(MID(Metadata!E897,18,1))&gt;=0,FALSE),IFERROR(INT(MID(Metadata!E897,18,1))&lt;=5,FALSE),NOT(MID(Metadata!E897,19,1)=""),IFERROR(INT(MID(Metadata!E897,18,2))&gt;=0,FALSE),IFERROR(INT(MID(Metadata!E897,18,2))&lt;=59,FALSE)), LEN(Metadata!E897)&lt;=19)))))))))))))</f>
        <v>0</v>
      </c>
      <c r="AS897" t="b">
        <f>IF(Metadata!F897="",FALSE,TRUE)</f>
        <v>0</v>
      </c>
      <c r="AT897" t="b">
        <f>OR(AND(IF(Metadata!G897="",FALSE,TRUE),OR(EXACT(Metadata!G897,"not collected"),EXACT(Metadata!G897,"not provided"))),AND(IF(Metadata!G897="",FALSE,TRUE),OR(EXACT(Metadata!G897,"TRUE"),EXACT(Metadata!G897,"FALSE"))))</f>
        <v>0</v>
      </c>
      <c r="AU897" t="b">
        <f>OR(AND(IF(Metadata!H897="",FALSE,TRUE),OR(EXACT(Metadata!H897,"not collected"),EXACT(Metadata!H897,"not provided"),EXACT(Metadata!H897,"restricted access"))),AND(IF(Metadata!H897="",FALSE,ISNUMBER(VALUE(Metadata!H897))),Metadata!H897&gt;=-413))</f>
        <v>0</v>
      </c>
      <c r="AV897" t="b">
        <f>AND(IF(Metadata!I897="",FALSE,TRUE),EXACT(Metadata!I897,"meters"))</f>
        <v>0</v>
      </c>
      <c r="AW897" t="b">
        <f>AND(IF(Metadata!J897="",FALSE,TRUE),EXACT(Metadata!J897,"free-living"))</f>
        <v>0</v>
      </c>
      <c r="AX897" t="b">
        <f>AND(IF(Metadata!K897="",FALSE,TRUE),OR(EXACT(Metadata!K897,"saline"),EXACT(Metadata!K897,"non-saline")))</f>
        <v>0</v>
      </c>
      <c r="AY897" t="b">
        <f>AND(IF(Metadata!L897="",FALSE,TRUE),OR(EXACT(Metadata!L897,"sub-surface (non-saline)"),EXACT(Metadata!L897,"surface (non-saline)"),EXACT(Metadata!L897,"water (non-saline)"),EXACT(Metadata!L897,"soil (non-saline)"),EXACT(Metadata!L897,"aerosol (non-saline)"),EXACT(Metadata!L897,"sediment (non-saline)"),EXACT(Metadata!L897,"surface (saline)"),EXACT(Metadata!L897,"water (saline)"),EXACT(Metadata!L897,"hypersaline (saline)"),EXACT(Metadata!L897,"aerosol (saline)"),EXACT(Metadata!L897,"sediment (saline)")))</f>
        <v>0</v>
      </c>
      <c r="AZ897" t="b">
        <f>IF(Metadata!M897="",FALSE,TRUE)</f>
        <v>0</v>
      </c>
      <c r="BA897" t="b">
        <f>IF(Metadata!N897="",FALSE,TRUE)</f>
        <v>0</v>
      </c>
      <c r="BB897" t="b">
        <f>IF(Metadata!O897="",FALSE,TRUE)</f>
        <v>0</v>
      </c>
      <c r="BC897" t="b">
        <f>AND(IF(Metadata!P897="",FALSE,TRUE),OR(EXACT(Metadata!P897,"air"),EXACT(Metadata!P897,"microbial mat/biofilm"),EXACT(Metadata!P897,"misc environment"),EXACT(Metadata!P897,"sediment"),EXACT(Metadata!P897,"soil"),EXACT(Metadata!P897,"wastewater/sludge"),EXACT(Metadata!P897,"water")))</f>
        <v>0</v>
      </c>
      <c r="BD897" t="b">
        <f>IF(Metadata!Q897="",FALSE,TRUE)</f>
        <v>0</v>
      </c>
      <c r="BE897" t="b">
        <f>IF(Metadata!R897="",FALSE,TRUE)</f>
        <v>0</v>
      </c>
      <c r="BF897" t="b">
        <f>OR(AND(IF(Metadata!S897="",FALSE,TRUE),OR(EXACT(Metadata!S897,"not collected"),EXACT(Metadata!S897,"not provided"),EXACT(Metadata!S897,"restricted access"))),AND(IF(Metadata!S897="",FALSE,ISNUMBER(VALUE(Metadata!S897))),Metadata!S897&gt;=-90,Metadata!S897&lt;=90))</f>
        <v>0</v>
      </c>
      <c r="BG897" t="b">
        <f>AND(IF(Metadata!T897="",FALSE,TRUE),EXACT(Metadata!T897,"Decimal degrees"))</f>
        <v>0</v>
      </c>
      <c r="BH897" t="b">
        <f>OR(AND(IF(Metadata!U897="",FALSE,TRUE),OR(EXACT(Metadata!U897,"not applicable"),EXACT(Metadata!U897,"not collected"))),IF(Metadata!U897="",FALSE,TRUE))</f>
        <v>0</v>
      </c>
      <c r="BI897" t="b">
        <f>OR(AND(IF(Metadata!V897="",FALSE,TRUE),OR(EXACT(Metadata!V897,"not collected"),EXACT(Metadata!V897,"not provided"),EXACT(Metadata!V897,"restricted access"))),AND(IF(Metadata!V897="",FALSE,ISNUMBER(VALUE(Metadata!V897))),Metadata!V897&gt;=-180,Metadata!V897&lt;=180))</f>
        <v>0</v>
      </c>
      <c r="BJ897" t="b">
        <f>AND(IF(Metadata!W897="",FALSE,TRUE),EXACT(Metadata!W897,"Decimal degrees"))</f>
        <v>0</v>
      </c>
      <c r="BK897" t="b">
        <f>IF(Metadata!X897="",FALSE,TRUE)</f>
        <v>0</v>
      </c>
      <c r="BL897" t="b">
        <f>OR(AND(IF(Metadata!Y897="",FALSE,TRUE),OR(EXACT(Metadata!Y897,"not collected"),EXACT(Metadata!Y897,"not provided"),EXACT(Metadata!Y897,"restricted access"))),AND(IF(Metadata!Y897="",FALSE,TRUE),OR(EXACT(Metadata!Y897,"TRUE"),EXACT(Metadata!Y897,"FALSE"))))</f>
        <v>0</v>
      </c>
      <c r="BM897" t="b">
        <f>OR(AND(IF(Metadata!Z897="",FALSE,TRUE),EXACT(Metadata!Z897,"not applicable")),AND(IF(Metadata!Z897="",FALSE,TRUE),OR(EXACT(Metadata!Z897,"beer"),EXACT(Metadata!Z897,"cheese"),EXACT(Metadata!Z897,"fresh water"),EXACT(Metadata!Z897,"marine sediment"),EXACT(Metadata!Z897,"sea water"),EXACT(Metadata!Z897,"sediment"),EXACT(Metadata!Z897,"soil"),EXACT(Metadata!Z897,"waste water"))))</f>
        <v>0</v>
      </c>
      <c r="BN897" t="b">
        <f>AND(IF(Metadata!AA897="",FALSE,TRUE),EXACT(Metadata!AA897,"metagenome"))</f>
        <v>0</v>
      </c>
      <c r="BO897" t="b">
        <f>AND(IF(Metadata!AB897="",FALSE,TRUE),EXACT(Metadata!AB897,"256318"))</f>
        <v>0</v>
      </c>
      <c r="BP897" t="b">
        <f>IF(Metadata!AC897="",FALSE,TRUE)</f>
        <v>0</v>
      </c>
      <c r="BQ897" t="b">
        <f>IF(Metadata!AD897="",FALSE,TRUE)</f>
        <v>0</v>
      </c>
    </row>
    <row r="898" spans="1:69" x14ac:dyDescent="0.2">
      <c r="A898" s="4" t="e">
        <f ca="1">IF(B898=" "," ",HYPERLINK(CONCATENATE("#metadata!",ADDRESS(INDEX($AJ$2:$AJ$1001,MATCH(ROWS($AH$2:AH898),$AH$2:$AH$1001,0),0),2)),INDEX($AM$2:$AM$1001,MATCH(ROWS($AH$2:AH898),$AH$2:$AH$1001,0),0)))</f>
        <v>#N/A</v>
      </c>
      <c r="B898" s="5" t="e">
        <f ca="1">IF(OR(INDEX($AI$2:$AI$1001,MATCH(ROWS($AH$2:AH898),$AH$2:$AH$1001,0),1)&gt;=100000,INDEX($AO$1005:$BQ$1005,1,MATCH(COLUMNS($AO$1006:AO1006),$AO$1006:$BQ$1006,0))&gt;=100000), " ",IF(INDEX($AO$2:$BQ$1001,MATCH(ROWS($AH$2:AH898),$AH$2:$AH$1001,0),MATCH(COLUMNS($AO$1006:AO1006),$AO$1006:$BQ$1006,0)), HYPERLINK("#",""), HYPERLINK(CONCATENATE("#Metadata!", ADDRESS(INDEX($AJ$2:$AJ$1001,MATCH(ROWS($AH$2:AH898),$AH$2:$AH$1001,0),0), INDEX($AO$1004:$BQ$1004,1,MATCH(COLUMNS($AO$1006:AO1006),$AO$1006:$BQ$1006,0)))),"Fix")))</f>
        <v>#N/A</v>
      </c>
      <c r="C898" s="5" t="e">
        <f ca="1">IF(OR(INDEX($AI$2:$AI$1001,MATCH(ROWS($AH$2:AH898),$AH$2:$AH$1001,0),1)&gt;=100000,INDEX($AO$1005:$BQ$1005,1,MATCH(COLUMNS($AO$1006:AP1006),$AO$1006:$BQ$1006,0))&gt;=100000), " ",IF(INDEX($AO$2:$BQ$1001,MATCH(ROWS($AH$2:AH898),$AH$2:$AH$1001,0),MATCH(COLUMNS($AO$1006:AP1006),$AO$1006:$BQ$1006,0)), HYPERLINK("#",""), HYPERLINK(CONCATENATE("#Metadata!", ADDRESS(INDEX($AJ$2:$AJ$1001,MATCH(ROWS($AH$2:AH898),$AH$2:$AH$1001,0),0), INDEX($AO$1004:$BQ$1004,1,MATCH(COLUMNS($AO$1006:AP1006),$AO$1006:$BQ$1006,0)))),"Fix")))</f>
        <v>#N/A</v>
      </c>
      <c r="D898" s="5" t="e">
        <f ca="1">IF(OR(INDEX($AI$2:$AI$1001,MATCH(ROWS($AH$2:AH898),$AH$2:$AH$1001,0),1)&gt;=100000,INDEX($AO$1005:$BQ$1005,1,MATCH(COLUMNS($AO$1006:AQ1006),$AO$1006:$BQ$1006,0))&gt;=100000), " ",IF(INDEX($AO$2:$BQ$1001,MATCH(ROWS($AH$2:AH898),$AH$2:$AH$1001,0),MATCH(COLUMNS($AO$1006:AQ1006),$AO$1006:$BQ$1006,0)), HYPERLINK("#",""), HYPERLINK(CONCATENATE("#Metadata!", ADDRESS(INDEX($AJ$2:$AJ$1001,MATCH(ROWS($AH$2:AH898),$AH$2:$AH$1001,0),0), INDEX($AO$1004:$BQ$1004,1,MATCH(COLUMNS($AO$1006:AQ1006),$AO$1006:$BQ$1006,0)))),"Fix")))</f>
        <v>#N/A</v>
      </c>
      <c r="E898" s="5" t="e">
        <f ca="1">IF(OR(INDEX($AI$2:$AI$1001,MATCH(ROWS($AH$2:AH898),$AH$2:$AH$1001,0),1)&gt;=100000,INDEX($AO$1005:$BQ$1005,1,MATCH(COLUMNS($AO$1006:AR1006),$AO$1006:$BQ$1006,0))&gt;=100000), " ",IF(INDEX($AO$2:$BQ$1001,MATCH(ROWS($AH$2:AH898),$AH$2:$AH$1001,0),MATCH(COLUMNS($AO$1006:AR1006),$AO$1006:$BQ$1006,0)), HYPERLINK("#",""), HYPERLINK(CONCATENATE("#Metadata!", ADDRESS(INDEX($AJ$2:$AJ$1001,MATCH(ROWS($AH$2:AH898),$AH$2:$AH$1001,0),0), INDEX($AO$1004:$BQ$1004,1,MATCH(COLUMNS($AO$1006:AR1006),$AO$1006:$BQ$1006,0)))),"Fix")))</f>
        <v>#N/A</v>
      </c>
      <c r="F898" s="5" t="e">
        <f ca="1">IF(OR(INDEX($AI$2:$AI$1001,MATCH(ROWS($AH$2:AH898),$AH$2:$AH$1001,0),1)&gt;=100000,INDEX($AO$1005:$BQ$1005,1,MATCH(COLUMNS($AO$1006:AS1006),$AO$1006:$BQ$1006,0))&gt;=100000), " ",IF(INDEX($AO$2:$BQ$1001,MATCH(ROWS($AH$2:AH898),$AH$2:$AH$1001,0),MATCH(COLUMNS($AO$1006:AS1006),$AO$1006:$BQ$1006,0)), HYPERLINK("#",""), HYPERLINK(CONCATENATE("#Metadata!", ADDRESS(INDEX($AJ$2:$AJ$1001,MATCH(ROWS($AH$2:AH898),$AH$2:$AH$1001,0),0), INDEX($AO$1004:$BQ$1004,1,MATCH(COLUMNS($AO$1006:AS1006),$AO$1006:$BQ$1006,0)))),"Fix")))</f>
        <v>#N/A</v>
      </c>
      <c r="G898" s="5" t="e">
        <f ca="1">IF(OR(INDEX($AI$2:$AI$1001,MATCH(ROWS($AH$2:AH898),$AH$2:$AH$1001,0),1)&gt;=100000,INDEX($AO$1005:$BQ$1005,1,MATCH(COLUMNS($AO$1006:AT1006),$AO$1006:$BQ$1006,0))&gt;=100000), " ",IF(INDEX($AO$2:$BQ$1001,MATCH(ROWS($AH$2:AH898),$AH$2:$AH$1001,0),MATCH(COLUMNS($AO$1006:AT1006),$AO$1006:$BQ$1006,0)), HYPERLINK("#",""), HYPERLINK(CONCATENATE("#Metadata!", ADDRESS(INDEX($AJ$2:$AJ$1001,MATCH(ROWS($AH$2:AH898),$AH$2:$AH$1001,0),0), INDEX($AO$1004:$BQ$1004,1,MATCH(COLUMNS($AO$1006:AT1006),$AO$1006:$BQ$1006,0)))),"Fix")))</f>
        <v>#N/A</v>
      </c>
      <c r="H898" s="5" t="e">
        <f ca="1">IF(OR(INDEX($AI$2:$AI$1001,MATCH(ROWS($AH$2:AH898),$AH$2:$AH$1001,0),1)&gt;=100000,INDEX($AO$1005:$BQ$1005,1,MATCH(COLUMNS($AO$1006:AU1006),$AO$1006:$BQ$1006,0))&gt;=100000), " ",IF(INDEX($AO$2:$BQ$1001,MATCH(ROWS($AH$2:AH898),$AH$2:$AH$1001,0),MATCH(COLUMNS($AO$1006:AU1006),$AO$1006:$BQ$1006,0)), HYPERLINK("#",""), HYPERLINK(CONCATENATE("#Metadata!", ADDRESS(INDEX($AJ$2:$AJ$1001,MATCH(ROWS($AH$2:AH898),$AH$2:$AH$1001,0),0), INDEX($AO$1004:$BQ$1004,1,MATCH(COLUMNS($AO$1006:AU1006),$AO$1006:$BQ$1006,0)))),"Fix")))</f>
        <v>#N/A</v>
      </c>
      <c r="I898" s="5" t="e">
        <f ca="1">IF(OR(INDEX($AI$2:$AI$1001,MATCH(ROWS($AH$2:AH898),$AH$2:$AH$1001,0),1)&gt;=100000,INDEX($AO$1005:$BQ$1005,1,MATCH(COLUMNS($AO$1006:AV1006),$AO$1006:$BQ$1006,0))&gt;=100000), " ",IF(INDEX($AO$2:$BQ$1001,MATCH(ROWS($AH$2:AH898),$AH$2:$AH$1001,0),MATCH(COLUMNS($AO$1006:AV1006),$AO$1006:$BQ$1006,0)), HYPERLINK("#",""), HYPERLINK(CONCATENATE("#Metadata!", ADDRESS(INDEX($AJ$2:$AJ$1001,MATCH(ROWS($AH$2:AH898),$AH$2:$AH$1001,0),0), INDEX($AO$1004:$BQ$1004,1,MATCH(COLUMNS($AO$1006:AV1006),$AO$1006:$BQ$1006,0)))),"Fix")))</f>
        <v>#N/A</v>
      </c>
      <c r="J898" s="5" t="e">
        <f ca="1">IF(OR(INDEX($AI$2:$AI$1001,MATCH(ROWS($AH$2:AH898),$AH$2:$AH$1001,0),1)&gt;=100000,INDEX($AO$1005:$BQ$1005,1,MATCH(COLUMNS($AO$1006:AW1006),$AO$1006:$BQ$1006,0))&gt;=100000), " ",IF(INDEX($AO$2:$BQ$1001,MATCH(ROWS($AH$2:AH898),$AH$2:$AH$1001,0),MATCH(COLUMNS($AO$1006:AW1006),$AO$1006:$BQ$1006,0)), HYPERLINK("#",""), HYPERLINK(CONCATENATE("#Metadata!", ADDRESS(INDEX($AJ$2:$AJ$1001,MATCH(ROWS($AH$2:AH898),$AH$2:$AH$1001,0),0), INDEX($AO$1004:$BQ$1004,1,MATCH(COLUMNS($AO$1006:AW1006),$AO$1006:$BQ$1006,0)))),"Fix")))</f>
        <v>#N/A</v>
      </c>
      <c r="K898" s="5" t="e">
        <f ca="1">IF(OR(INDEX($AI$2:$AI$1001,MATCH(ROWS($AH$2:AH898),$AH$2:$AH$1001,0),1)&gt;=100000,INDEX($AO$1005:$BQ$1005,1,MATCH(COLUMNS($AO$1006:AX1006),$AO$1006:$BQ$1006,0))&gt;=100000), " ",IF(INDEX($AO$2:$BQ$1001,MATCH(ROWS($AH$2:AH898),$AH$2:$AH$1001,0),MATCH(COLUMNS($AO$1006:AX1006),$AO$1006:$BQ$1006,0)), HYPERLINK("#",""), HYPERLINK(CONCATENATE("#Metadata!", ADDRESS(INDEX($AJ$2:$AJ$1001,MATCH(ROWS($AH$2:AH898),$AH$2:$AH$1001,0),0), INDEX($AO$1004:$BQ$1004,1,MATCH(COLUMNS($AO$1006:AX1006),$AO$1006:$BQ$1006,0)))),"Fix")))</f>
        <v>#N/A</v>
      </c>
      <c r="L898" s="5" t="e">
        <f ca="1">IF(OR(INDEX($AI$2:$AI$1001,MATCH(ROWS($AH$2:AH898),$AH$2:$AH$1001,0),1)&gt;=100000,INDEX($AO$1005:$BQ$1005,1,MATCH(COLUMNS($AO$1006:AY1006),$AO$1006:$BQ$1006,0))&gt;=100000), " ",IF(INDEX($AO$2:$BQ$1001,MATCH(ROWS($AH$2:AH898),$AH$2:$AH$1001,0),MATCH(COLUMNS($AO$1006:AY1006),$AO$1006:$BQ$1006,0)), HYPERLINK("#",""), HYPERLINK(CONCATENATE("#Metadata!", ADDRESS(INDEX($AJ$2:$AJ$1001,MATCH(ROWS($AH$2:AH898),$AH$2:$AH$1001,0),0), INDEX($AO$1004:$BQ$1004,1,MATCH(COLUMNS($AO$1006:AY1006),$AO$1006:$BQ$1006,0)))),"Fix")))</f>
        <v>#N/A</v>
      </c>
      <c r="M898" s="5" t="e">
        <f ca="1">IF(OR(INDEX($AI$2:$AI$1001,MATCH(ROWS($AH$2:AH898),$AH$2:$AH$1001,0),1)&gt;=100000,INDEX($AO$1005:$BQ$1005,1,MATCH(COLUMNS($AO$1006:AZ1006),$AO$1006:$BQ$1006,0))&gt;=100000), " ",IF(INDEX($AO$2:$BQ$1001,MATCH(ROWS($AH$2:AH898),$AH$2:$AH$1001,0),MATCH(COLUMNS($AO$1006:AZ1006),$AO$1006:$BQ$1006,0)), HYPERLINK("#",""), HYPERLINK(CONCATENATE("#Metadata!", ADDRESS(INDEX($AJ$2:$AJ$1001,MATCH(ROWS($AH$2:AH898),$AH$2:$AH$1001,0),0), INDEX($AO$1004:$BQ$1004,1,MATCH(COLUMNS($AO$1006:AZ1006),$AO$1006:$BQ$1006,0)))),"Fix")))</f>
        <v>#N/A</v>
      </c>
      <c r="N898" s="5" t="e">
        <f ca="1">IF(OR(INDEX($AI$2:$AI$1001,MATCH(ROWS($AH$2:AH898),$AH$2:$AH$1001,0),1)&gt;=100000,INDEX($AO$1005:$BQ$1005,1,MATCH(COLUMNS($AO$1006:BA1006),$AO$1006:$BQ$1006,0))&gt;=100000), " ",IF(INDEX($AO$2:$BQ$1001,MATCH(ROWS($AH$2:AH898),$AH$2:$AH$1001,0),MATCH(COLUMNS($AO$1006:BA1006),$AO$1006:$BQ$1006,0)), HYPERLINK("#",""), HYPERLINK(CONCATENATE("#Metadata!", ADDRESS(INDEX($AJ$2:$AJ$1001,MATCH(ROWS($AH$2:AH898),$AH$2:$AH$1001,0),0), INDEX($AO$1004:$BQ$1004,1,MATCH(COLUMNS($AO$1006:BA1006),$AO$1006:$BQ$1006,0)))),"Fix")))</f>
        <v>#N/A</v>
      </c>
      <c r="O898" s="5" t="e">
        <f ca="1">IF(OR(INDEX($AI$2:$AI$1001,MATCH(ROWS($AH$2:AH898),$AH$2:$AH$1001,0),1)&gt;=100000,INDEX($AO$1005:$BQ$1005,1,MATCH(COLUMNS($AO$1006:BB1006),$AO$1006:$BQ$1006,0))&gt;=100000), " ",IF(INDEX($AO$2:$BQ$1001,MATCH(ROWS($AH$2:AH898),$AH$2:$AH$1001,0),MATCH(COLUMNS($AO$1006:BB1006),$AO$1006:$BQ$1006,0)), HYPERLINK("#",""), HYPERLINK(CONCATENATE("#Metadata!", ADDRESS(INDEX($AJ$2:$AJ$1001,MATCH(ROWS($AH$2:AH898),$AH$2:$AH$1001,0),0), INDEX($AO$1004:$BQ$1004,1,MATCH(COLUMNS($AO$1006:BB1006),$AO$1006:$BQ$1006,0)))),"Fix")))</f>
        <v>#N/A</v>
      </c>
      <c r="P898" s="5" t="e">
        <f ca="1">IF(OR(INDEX($AI$2:$AI$1001,MATCH(ROWS($AH$2:AH898),$AH$2:$AH$1001,0),1)&gt;=100000,INDEX($AO$1005:$BQ$1005,1,MATCH(COLUMNS($AO$1006:BC1006),$AO$1006:$BQ$1006,0))&gt;=100000), " ",IF(INDEX($AO$2:$BQ$1001,MATCH(ROWS($AH$2:AH898),$AH$2:$AH$1001,0),MATCH(COLUMNS($AO$1006:BC1006),$AO$1006:$BQ$1006,0)), HYPERLINK("#",""), HYPERLINK(CONCATENATE("#Metadata!", ADDRESS(INDEX($AJ$2:$AJ$1001,MATCH(ROWS($AH$2:AH898),$AH$2:$AH$1001,0),0), INDEX($AO$1004:$BQ$1004,1,MATCH(COLUMNS($AO$1006:BC1006),$AO$1006:$BQ$1006,0)))),"Fix")))</f>
        <v>#N/A</v>
      </c>
      <c r="Q898" s="5" t="e">
        <f ca="1">IF(OR(INDEX($AI$2:$AI$1001,MATCH(ROWS($AH$2:AH898),$AH$2:$AH$1001,0),1)&gt;=100000,INDEX($AO$1005:$BQ$1005,1,MATCH(COLUMNS($AO$1006:BD1006),$AO$1006:$BQ$1006,0))&gt;=100000), " ",IF(INDEX($AO$2:$BQ$1001,MATCH(ROWS($AH$2:AH898),$AH$2:$AH$1001,0),MATCH(COLUMNS($AO$1006:BD1006),$AO$1006:$BQ$1006,0)), HYPERLINK("#",""), HYPERLINK(CONCATENATE("#Metadata!", ADDRESS(INDEX($AJ$2:$AJ$1001,MATCH(ROWS($AH$2:AH898),$AH$2:$AH$1001,0),0), INDEX($AO$1004:$BQ$1004,1,MATCH(COLUMNS($AO$1006:BD1006),$AO$1006:$BQ$1006,0)))),"Fix")))</f>
        <v>#N/A</v>
      </c>
      <c r="R898" s="5" t="e">
        <f ca="1">IF(OR(INDEX($AI$2:$AI$1001,MATCH(ROWS($AH$2:AH898),$AH$2:$AH$1001,0),1)&gt;=100000,INDEX($AO$1005:$BQ$1005,1,MATCH(COLUMNS($AO$1006:BE1006),$AO$1006:$BQ$1006,0))&gt;=100000), " ",IF(INDEX($AO$2:$BQ$1001,MATCH(ROWS($AH$2:AH898),$AH$2:$AH$1001,0),MATCH(COLUMNS($AO$1006:BE1006),$AO$1006:$BQ$1006,0)), HYPERLINK("#",""), HYPERLINK(CONCATENATE("#Metadata!", ADDRESS(INDEX($AJ$2:$AJ$1001,MATCH(ROWS($AH$2:AH898),$AH$2:$AH$1001,0),0), INDEX($AO$1004:$BQ$1004,1,MATCH(COLUMNS($AO$1006:BE1006),$AO$1006:$BQ$1006,0)))),"Fix")))</f>
        <v>#N/A</v>
      </c>
      <c r="S898" s="5" t="e">
        <f ca="1">IF(OR(INDEX($AI$2:$AI$1001,MATCH(ROWS($AH$2:AH898),$AH$2:$AH$1001,0),1)&gt;=100000,INDEX($AO$1005:$BQ$1005,1,MATCH(COLUMNS($AO$1006:BF1006),$AO$1006:$BQ$1006,0))&gt;=100000), " ",IF(INDEX($AO$2:$BQ$1001,MATCH(ROWS($AH$2:AH898),$AH$2:$AH$1001,0),MATCH(COLUMNS($AO$1006:BF1006),$AO$1006:$BQ$1006,0)), HYPERLINK("#",""), HYPERLINK(CONCATENATE("#Metadata!", ADDRESS(INDEX($AJ$2:$AJ$1001,MATCH(ROWS($AH$2:AH898),$AH$2:$AH$1001,0),0), INDEX($AO$1004:$BQ$1004,1,MATCH(COLUMNS($AO$1006:BF1006),$AO$1006:$BQ$1006,0)))),"Fix")))</f>
        <v>#N/A</v>
      </c>
      <c r="T898" s="5" t="e">
        <f ca="1">IF(OR(INDEX($AI$2:$AI$1001,MATCH(ROWS($AH$2:AH898),$AH$2:$AH$1001,0),1)&gt;=100000,INDEX($AO$1005:$BQ$1005,1,MATCH(COLUMNS($AO$1006:BG1006),$AO$1006:$BQ$1006,0))&gt;=100000), " ",IF(INDEX($AO$2:$BQ$1001,MATCH(ROWS($AH$2:AH898),$AH$2:$AH$1001,0),MATCH(COLUMNS($AO$1006:BG1006),$AO$1006:$BQ$1006,0)), HYPERLINK("#",""), HYPERLINK(CONCATENATE("#Metadata!", ADDRESS(INDEX($AJ$2:$AJ$1001,MATCH(ROWS($AH$2:AH898),$AH$2:$AH$1001,0),0), INDEX($AO$1004:$BQ$1004,1,MATCH(COLUMNS($AO$1006:BG1006),$AO$1006:$BQ$1006,0)))),"Fix")))</f>
        <v>#N/A</v>
      </c>
      <c r="U898" s="5" t="e">
        <f ca="1">IF(OR(INDEX($AI$2:$AI$1001,MATCH(ROWS($AH$2:AH898),$AH$2:$AH$1001,0),1)&gt;=100000,INDEX($AO$1005:$BQ$1005,1,MATCH(COLUMNS($AO$1006:BH1006),$AO$1006:$BQ$1006,0))&gt;=100000), " ",IF(INDEX($AO$2:$BQ$1001,MATCH(ROWS($AH$2:AH898),$AH$2:$AH$1001,0),MATCH(COLUMNS($AO$1006:BH1006),$AO$1006:$BQ$1006,0)), HYPERLINK("#",""), HYPERLINK(CONCATENATE("#Metadata!", ADDRESS(INDEX($AJ$2:$AJ$1001,MATCH(ROWS($AH$2:AH898),$AH$2:$AH$1001,0),0), INDEX($AO$1004:$BQ$1004,1,MATCH(COLUMNS($AO$1006:BH1006),$AO$1006:$BQ$1006,0)))),"Fix")))</f>
        <v>#N/A</v>
      </c>
      <c r="V898" s="5" t="e">
        <f ca="1">IF(OR(INDEX($AI$2:$AI$1001,MATCH(ROWS($AH$2:AH898),$AH$2:$AH$1001,0),1)&gt;=100000,INDEX($AO$1005:$BQ$1005,1,MATCH(COLUMNS($AO$1006:BI1006),$AO$1006:$BQ$1006,0))&gt;=100000), " ",IF(INDEX($AO$2:$BQ$1001,MATCH(ROWS($AH$2:AH898),$AH$2:$AH$1001,0),MATCH(COLUMNS($AO$1006:BI1006),$AO$1006:$BQ$1006,0)), HYPERLINK("#",""), HYPERLINK(CONCATENATE("#Metadata!", ADDRESS(INDEX($AJ$2:$AJ$1001,MATCH(ROWS($AH$2:AH898),$AH$2:$AH$1001,0),0), INDEX($AO$1004:$BQ$1004,1,MATCH(COLUMNS($AO$1006:BI1006),$AO$1006:$BQ$1006,0)))),"Fix")))</f>
        <v>#N/A</v>
      </c>
      <c r="W898" s="5" t="e">
        <f ca="1">IF(OR(INDEX($AI$2:$AI$1001,MATCH(ROWS($AH$2:AH898),$AH$2:$AH$1001,0),1)&gt;=100000,INDEX($AO$1005:$BQ$1005,1,MATCH(COLUMNS($AO$1006:BJ1006),$AO$1006:$BQ$1006,0))&gt;=100000), " ",IF(INDEX($AO$2:$BQ$1001,MATCH(ROWS($AH$2:AH898),$AH$2:$AH$1001,0),MATCH(COLUMNS($AO$1006:BJ1006),$AO$1006:$BQ$1006,0)), HYPERLINK("#",""), HYPERLINK(CONCATENATE("#Metadata!", ADDRESS(INDEX($AJ$2:$AJ$1001,MATCH(ROWS($AH$2:AH898),$AH$2:$AH$1001,0),0), INDEX($AO$1004:$BQ$1004,1,MATCH(COLUMNS($AO$1006:BJ1006),$AO$1006:$BQ$1006,0)))),"Fix")))</f>
        <v>#N/A</v>
      </c>
      <c r="X898" s="5" t="e">
        <f ca="1">IF(OR(INDEX($AI$2:$AI$1001,MATCH(ROWS($AH$2:AH898),$AH$2:$AH$1001,0),1)&gt;=100000,INDEX($AO$1005:$BQ$1005,1,MATCH(COLUMNS($AO$1006:BK1006),$AO$1006:$BQ$1006,0))&gt;=100000), " ",IF(INDEX($AO$2:$BQ$1001,MATCH(ROWS($AH$2:AH898),$AH$2:$AH$1001,0),MATCH(COLUMNS($AO$1006:BK1006),$AO$1006:$BQ$1006,0)), HYPERLINK("#",""), HYPERLINK(CONCATENATE("#Metadata!", ADDRESS(INDEX($AJ$2:$AJ$1001,MATCH(ROWS($AH$2:AH898),$AH$2:$AH$1001,0),0), INDEX($AO$1004:$BQ$1004,1,MATCH(COLUMNS($AO$1006:BK1006),$AO$1006:$BQ$1006,0)))),"Fix")))</f>
        <v>#N/A</v>
      </c>
      <c r="Y898" s="5" t="e">
        <f ca="1">IF(OR(INDEX($AI$2:$AI$1001,MATCH(ROWS($AH$2:AH898),$AH$2:$AH$1001,0),1)&gt;=100000,INDEX($AO$1005:$BQ$1005,1,MATCH(COLUMNS($AO$1006:BL1006),$AO$1006:$BQ$1006,0))&gt;=100000), " ",IF(INDEX($AO$2:$BQ$1001,MATCH(ROWS($AH$2:AH898),$AH$2:$AH$1001,0),MATCH(COLUMNS($AO$1006:BL1006),$AO$1006:$BQ$1006,0)), HYPERLINK("#",""), HYPERLINK(CONCATENATE("#Metadata!", ADDRESS(INDEX($AJ$2:$AJ$1001,MATCH(ROWS($AH$2:AH898),$AH$2:$AH$1001,0),0), INDEX($AO$1004:$BQ$1004,1,MATCH(COLUMNS($AO$1006:BL1006),$AO$1006:$BQ$1006,0)))),"Fix")))</f>
        <v>#N/A</v>
      </c>
      <c r="Z898" s="5" t="e">
        <f ca="1">IF(OR(INDEX($AI$2:$AI$1001,MATCH(ROWS($AH$2:AH898),$AH$2:$AH$1001,0),1)&gt;=100000,INDEX($AO$1005:$BQ$1005,1,MATCH(COLUMNS($AO$1006:BM1006),$AO$1006:$BQ$1006,0))&gt;=100000), " ",IF(INDEX($AO$2:$BQ$1001,MATCH(ROWS($AH$2:AH898),$AH$2:$AH$1001,0),MATCH(COLUMNS($AO$1006:BM1006),$AO$1006:$BQ$1006,0)), HYPERLINK("#",""), HYPERLINK(CONCATENATE("#Metadata!", ADDRESS(INDEX($AJ$2:$AJ$1001,MATCH(ROWS($AH$2:AH898),$AH$2:$AH$1001,0),0), INDEX($AO$1004:$BQ$1004,1,MATCH(COLUMNS($AO$1006:BM1006),$AO$1006:$BQ$1006,0)))),"Fix")))</f>
        <v>#N/A</v>
      </c>
      <c r="AA898" s="5" t="e">
        <f ca="1">IF(OR(INDEX($AI$2:$AI$1001,MATCH(ROWS($AH$2:AH898),$AH$2:$AH$1001,0),1)&gt;=100000,INDEX($AO$1005:$BQ$1005,1,MATCH(COLUMNS($AO$1006:BN1006),$AO$1006:$BQ$1006,0))&gt;=100000), " ",IF(INDEX($AO$2:$BQ$1001,MATCH(ROWS($AH$2:AH898),$AH$2:$AH$1001,0),MATCH(COLUMNS($AO$1006:BN1006),$AO$1006:$BQ$1006,0)), HYPERLINK("#",""), HYPERLINK(CONCATENATE("#Metadata!", ADDRESS(INDEX($AJ$2:$AJ$1001,MATCH(ROWS($AH$2:AH898),$AH$2:$AH$1001,0),0), INDEX($AO$1004:$BQ$1004,1,MATCH(COLUMNS($AO$1006:BN1006),$AO$1006:$BQ$1006,0)))),"Fix")))</f>
        <v>#N/A</v>
      </c>
      <c r="AB898" s="5" t="e">
        <f ca="1">IF(OR(INDEX($AI$2:$AI$1001,MATCH(ROWS($AH$2:AH898),$AH$2:$AH$1001,0),1)&gt;=100000,INDEX($AO$1005:$BQ$1005,1,MATCH(COLUMNS($AO$1006:BO1006),$AO$1006:$BQ$1006,0))&gt;=100000), " ",IF(INDEX($AO$2:$BQ$1001,MATCH(ROWS($AH$2:AH898),$AH$2:$AH$1001,0),MATCH(COLUMNS($AO$1006:BO1006),$AO$1006:$BQ$1006,0)), HYPERLINK("#",""), HYPERLINK(CONCATENATE("#Metadata!", ADDRESS(INDEX($AJ$2:$AJ$1001,MATCH(ROWS($AH$2:AH898),$AH$2:$AH$1001,0),0), INDEX($AO$1004:$BQ$1004,1,MATCH(COLUMNS($AO$1006:BO1006),$AO$1006:$BQ$1006,0)))),"Fix")))</f>
        <v>#N/A</v>
      </c>
      <c r="AC898" s="5" t="e">
        <f ca="1">IF(OR(INDEX($AI$2:$AI$1001,MATCH(ROWS($AH$2:AH898),$AH$2:$AH$1001,0),1)&gt;=100000,INDEX($AO$1005:$BQ$1005,1,MATCH(COLUMNS($AO$1006:BP1006),$AO$1006:$BQ$1006,0))&gt;=100000), " ",IF(INDEX($AO$2:$BQ$1001,MATCH(ROWS($AH$2:AH898),$AH$2:$AH$1001,0),MATCH(COLUMNS($AO$1006:BP1006),$AO$1006:$BQ$1006,0)), HYPERLINK("#",""), HYPERLINK(CONCATENATE("#Metadata!", ADDRESS(INDEX($AJ$2:$AJ$1001,MATCH(ROWS($AH$2:AH898),$AH$2:$AH$1001,0),0), INDEX($AO$1004:$BQ$1004,1,MATCH(COLUMNS($AO$1006:BP1006),$AO$1006:$BQ$1006,0)))),"Fix")))</f>
        <v>#N/A</v>
      </c>
      <c r="AD898" s="5" t="e">
        <f ca="1">IF(OR(INDEX($AI$2:$AI$1001,MATCH(ROWS($AH$2:AH898),$AH$2:$AH$1001,0),1)&gt;=100000,INDEX($AO$1005:$BQ$1005,1,MATCH(COLUMNS($AO$1006:BQ1006),$AO$1006:$BQ$1006,0))&gt;=100000), " ",IF(INDEX($AO$2:$BQ$1001,MATCH(ROWS($AH$2:AH898),$AH$2:$AH$1001,0),MATCH(COLUMNS($AO$1006:BQ1006),$AO$1006:$BQ$1006,0)), HYPERLINK("#",""), HYPERLINK(CONCATENATE("#Metadata!", ADDRESS(INDEX($AJ$2:$AJ$1001,MATCH(ROWS($AH$2:AH898),$AH$2:$AH$1001,0),0), INDEX($AO$1004:$BQ$1004,1,MATCH(COLUMNS($AO$1006:BQ1006),$AO$1006:$BQ$1006,0)))),"Fix")))</f>
        <v>#REF!</v>
      </c>
      <c r="AH898">
        <f ca="1"/>
        <v>895</v>
      </c>
      <c r="AI898">
        <v>100898</v>
      </c>
      <c r="AJ898">
        <v>898</v>
      </c>
      <c r="AK898" t="b">
        <f t="shared" ref="AK898:AK961" si="14">IF(AL898,TRUE,AND(AO898:BQ898))</f>
        <v>1</v>
      </c>
      <c r="AL898" t="b">
        <f>COUNTBLANK(Metadata!B898:AD898)=COLUMNS(Metadata!B898:AD898)</f>
        <v>1</v>
      </c>
      <c r="AM898" t="str">
        <v/>
      </c>
      <c r="AO898" t="b">
        <f ca="1">AND(IF(Metadata!B898="",FALSE,TRUE),COUNTIF(Metadata!B:B, Metadata!B898) = 1,NOT(ISERROR(SUMPRODUCT(SEARCH(MID(Metadata!B898,ROW(INDIRECT("1:"&amp;LEN(Metadata!B898))), 1),"0123456789abcdefghijklmnopqrstuvwxyzABCDEFGHIJKLMNOPQRSTUVWXYZ.")))))</f>
        <v>0</v>
      </c>
      <c r="AP898" t="b">
        <f>IF(Metadata!C898="",FALSE,TRUE)</f>
        <v>0</v>
      </c>
      <c r="AQ898" t="b">
        <f>IF(Metadata!D898="",FALSE,TRUE)</f>
        <v>0</v>
      </c>
      <c r="AR898" t="b">
        <f ca="1">OR(AND(IF(Metadata!E898="",FALSE,TRUE),OR(EXACT(Metadata!E898,"not collected"),EXACT(Metadata!E898,"not provided"),EXACT(Metadata!E898,"restricted access"))),AND(IF(Metadata!E898="",FALSE,TRUE),AND(AND(IFERROR(INT(LEFT(Metadata!E898,4))&gt;1900,FALSE),IFERROR(INT(LEFT(Metadata!E898,4))&lt;=YEAR(NOW()),FALSE)), OR(MID(Metadata!E898,5,1)="", AND(AND(MID(Metadata!E898,5,1)="-",IFERROR(INT(MID(Metadata!E898,6,1))&gt;=0,FALSE),IFERROR(INT(MID(Metadata!E898,6,1))&lt;=1,FALSE),NOT(MID(Metadata!E898,7,1)=""),IFERROR(INT(MID(Metadata!E898,6,2))&gt;=1,FALSE),IFERROR(INT(MID(Metadata!E898,6,2))&lt;=12,FALSE)), OR(MID(Metadata!E898,8,1)="", AND(AND(MID(Metadata!E898,8,1)="-",IFERROR(INT(MID(Metadata!E898,9,1))&gt;=0,FALSE),IFERROR(INT(MID(Metadata!E898,9,1))&lt;=3,FALSE),NOT(MID(Metadata!E898,10,1)=""),IFERROR(INT(MID(Metadata!E898,9,2))&gt;=1,FALSE),IFERROR(INT(MID(Metadata!E898,9,2))&lt;=31,FALSE)), OR(MID(Metadata!E898,11,1)="", AND(AND(MID(Metadata!E898,11,1)=" ",IFERROR(INT(MID(Metadata!E898,12,1))&gt;=0,FALSE),IFERROR(INT(MID(Metadata!E898,12,1))&lt;=2,FALSE),NOT(MID(Metadata!E898,13,1)=""),IFERROR(INT(MID(Metadata!E898,12,2))&gt;=0,FALSE),IFERROR(INT(MID(Metadata!E898,12,2))&lt;=23,FALSE)), OR(MID(Metadata!E898,14,1)="", AND(AND(MID(Metadata!E898,14,1)=":",IFERROR(INT(MID(Metadata!E898,15,1))&gt;=0,FALSE),IFERROR(INT(MID(Metadata!E898,15,1))&lt;=5,FALSE),NOT(MID(Metadata!E898,16,1)=""),IFERROR(INT(MID(Metadata!E898,15,2))&gt;=0,FALSE),IFERROR(INT(MID(Metadata!E898,15,2))&lt;=59,FALSE)), OR(MID(Metadata!E898,17,1)="", AND(AND(MID(Metadata!E898,17,1)=":",IFERROR(INT(MID(Metadata!E898,18,1))&gt;=0,FALSE),IFERROR(INT(MID(Metadata!E898,18,1))&lt;=5,FALSE),NOT(MID(Metadata!E898,19,1)=""),IFERROR(INT(MID(Metadata!E898,18,2))&gt;=0,FALSE),IFERROR(INT(MID(Metadata!E898,18,2))&lt;=59,FALSE)), LEN(Metadata!E898)&lt;=19)))))))))))))</f>
        <v>0</v>
      </c>
      <c r="AS898" t="b">
        <f>IF(Metadata!F898="",FALSE,TRUE)</f>
        <v>0</v>
      </c>
      <c r="AT898" t="b">
        <f>OR(AND(IF(Metadata!G898="",FALSE,TRUE),OR(EXACT(Metadata!G898,"not collected"),EXACT(Metadata!G898,"not provided"))),AND(IF(Metadata!G898="",FALSE,TRUE),OR(EXACT(Metadata!G898,"TRUE"),EXACT(Metadata!G898,"FALSE"))))</f>
        <v>0</v>
      </c>
      <c r="AU898" t="b">
        <f>OR(AND(IF(Metadata!H898="",FALSE,TRUE),OR(EXACT(Metadata!H898,"not collected"),EXACT(Metadata!H898,"not provided"),EXACT(Metadata!H898,"restricted access"))),AND(IF(Metadata!H898="",FALSE,ISNUMBER(VALUE(Metadata!H898))),Metadata!H898&gt;=-413))</f>
        <v>0</v>
      </c>
      <c r="AV898" t="b">
        <f>AND(IF(Metadata!I898="",FALSE,TRUE),EXACT(Metadata!I898,"meters"))</f>
        <v>0</v>
      </c>
      <c r="AW898" t="b">
        <f>AND(IF(Metadata!J898="",FALSE,TRUE),EXACT(Metadata!J898,"free-living"))</f>
        <v>0</v>
      </c>
      <c r="AX898" t="b">
        <f>AND(IF(Metadata!K898="",FALSE,TRUE),OR(EXACT(Metadata!K898,"saline"),EXACT(Metadata!K898,"non-saline")))</f>
        <v>0</v>
      </c>
      <c r="AY898" t="b">
        <f>AND(IF(Metadata!L898="",FALSE,TRUE),OR(EXACT(Metadata!L898,"sub-surface (non-saline)"),EXACT(Metadata!L898,"surface (non-saline)"),EXACT(Metadata!L898,"water (non-saline)"),EXACT(Metadata!L898,"soil (non-saline)"),EXACT(Metadata!L898,"aerosol (non-saline)"),EXACT(Metadata!L898,"sediment (non-saline)"),EXACT(Metadata!L898,"surface (saline)"),EXACT(Metadata!L898,"water (saline)"),EXACT(Metadata!L898,"hypersaline (saline)"),EXACT(Metadata!L898,"aerosol (saline)"),EXACT(Metadata!L898,"sediment (saline)")))</f>
        <v>0</v>
      </c>
      <c r="AZ898" t="b">
        <f>IF(Metadata!M898="",FALSE,TRUE)</f>
        <v>0</v>
      </c>
      <c r="BA898" t="b">
        <f>IF(Metadata!N898="",FALSE,TRUE)</f>
        <v>0</v>
      </c>
      <c r="BB898" t="b">
        <f>IF(Metadata!O898="",FALSE,TRUE)</f>
        <v>0</v>
      </c>
      <c r="BC898" t="b">
        <f>AND(IF(Metadata!P898="",FALSE,TRUE),OR(EXACT(Metadata!P898,"air"),EXACT(Metadata!P898,"microbial mat/biofilm"),EXACT(Metadata!P898,"misc environment"),EXACT(Metadata!P898,"sediment"),EXACT(Metadata!P898,"soil"),EXACT(Metadata!P898,"wastewater/sludge"),EXACT(Metadata!P898,"water")))</f>
        <v>0</v>
      </c>
      <c r="BD898" t="b">
        <f>IF(Metadata!Q898="",FALSE,TRUE)</f>
        <v>0</v>
      </c>
      <c r="BE898" t="b">
        <f>IF(Metadata!R898="",FALSE,TRUE)</f>
        <v>0</v>
      </c>
      <c r="BF898" t="b">
        <f>OR(AND(IF(Metadata!S898="",FALSE,TRUE),OR(EXACT(Metadata!S898,"not collected"),EXACT(Metadata!S898,"not provided"),EXACT(Metadata!S898,"restricted access"))),AND(IF(Metadata!S898="",FALSE,ISNUMBER(VALUE(Metadata!S898))),Metadata!S898&gt;=-90,Metadata!S898&lt;=90))</f>
        <v>0</v>
      </c>
      <c r="BG898" t="b">
        <f>AND(IF(Metadata!T898="",FALSE,TRUE),EXACT(Metadata!T898,"Decimal degrees"))</f>
        <v>0</v>
      </c>
      <c r="BH898" t="b">
        <f>OR(AND(IF(Metadata!U898="",FALSE,TRUE),OR(EXACT(Metadata!U898,"not applicable"),EXACT(Metadata!U898,"not collected"))),IF(Metadata!U898="",FALSE,TRUE))</f>
        <v>0</v>
      </c>
      <c r="BI898" t="b">
        <f>OR(AND(IF(Metadata!V898="",FALSE,TRUE),OR(EXACT(Metadata!V898,"not collected"),EXACT(Metadata!V898,"not provided"),EXACT(Metadata!V898,"restricted access"))),AND(IF(Metadata!V898="",FALSE,ISNUMBER(VALUE(Metadata!V898))),Metadata!V898&gt;=-180,Metadata!V898&lt;=180))</f>
        <v>0</v>
      </c>
      <c r="BJ898" t="b">
        <f>AND(IF(Metadata!W898="",FALSE,TRUE),EXACT(Metadata!W898,"Decimal degrees"))</f>
        <v>0</v>
      </c>
      <c r="BK898" t="b">
        <f>IF(Metadata!X898="",FALSE,TRUE)</f>
        <v>0</v>
      </c>
      <c r="BL898" t="b">
        <f>OR(AND(IF(Metadata!Y898="",FALSE,TRUE),OR(EXACT(Metadata!Y898,"not collected"),EXACT(Metadata!Y898,"not provided"),EXACT(Metadata!Y898,"restricted access"))),AND(IF(Metadata!Y898="",FALSE,TRUE),OR(EXACT(Metadata!Y898,"TRUE"),EXACT(Metadata!Y898,"FALSE"))))</f>
        <v>0</v>
      </c>
      <c r="BM898" t="b">
        <f>OR(AND(IF(Metadata!Z898="",FALSE,TRUE),EXACT(Metadata!Z898,"not applicable")),AND(IF(Metadata!Z898="",FALSE,TRUE),OR(EXACT(Metadata!Z898,"beer"),EXACT(Metadata!Z898,"cheese"),EXACT(Metadata!Z898,"fresh water"),EXACT(Metadata!Z898,"marine sediment"),EXACT(Metadata!Z898,"sea water"),EXACT(Metadata!Z898,"sediment"),EXACT(Metadata!Z898,"soil"),EXACT(Metadata!Z898,"waste water"))))</f>
        <v>0</v>
      </c>
      <c r="BN898" t="b">
        <f>AND(IF(Metadata!AA898="",FALSE,TRUE),EXACT(Metadata!AA898,"metagenome"))</f>
        <v>0</v>
      </c>
      <c r="BO898" t="b">
        <f>AND(IF(Metadata!AB898="",FALSE,TRUE),EXACT(Metadata!AB898,"256318"))</f>
        <v>0</v>
      </c>
      <c r="BP898" t="b">
        <f>IF(Metadata!AC898="",FALSE,TRUE)</f>
        <v>0</v>
      </c>
      <c r="BQ898" t="b">
        <f>IF(Metadata!AD898="",FALSE,TRUE)</f>
        <v>0</v>
      </c>
    </row>
    <row r="899" spans="1:69" x14ac:dyDescent="0.2">
      <c r="A899" s="4" t="e">
        <f ca="1">IF(B899=" "," ",HYPERLINK(CONCATENATE("#metadata!",ADDRESS(INDEX($AJ$2:$AJ$1001,MATCH(ROWS($AH$2:AH899),$AH$2:$AH$1001,0),0),2)),INDEX($AM$2:$AM$1001,MATCH(ROWS($AH$2:AH899),$AH$2:$AH$1001,0),0)))</f>
        <v>#N/A</v>
      </c>
      <c r="B899" s="5" t="e">
        <f ca="1">IF(OR(INDEX($AI$2:$AI$1001,MATCH(ROWS($AH$2:AH899),$AH$2:$AH$1001,0),1)&gt;=100000,INDEX($AO$1005:$BQ$1005,1,MATCH(COLUMNS($AO$1006:AO1006),$AO$1006:$BQ$1006,0))&gt;=100000), " ",IF(INDEX($AO$2:$BQ$1001,MATCH(ROWS($AH$2:AH899),$AH$2:$AH$1001,0),MATCH(COLUMNS($AO$1006:AO1006),$AO$1006:$BQ$1006,0)), HYPERLINK("#",""), HYPERLINK(CONCATENATE("#Metadata!", ADDRESS(INDEX($AJ$2:$AJ$1001,MATCH(ROWS($AH$2:AH899),$AH$2:$AH$1001,0),0), INDEX($AO$1004:$BQ$1004,1,MATCH(COLUMNS($AO$1006:AO1006),$AO$1006:$BQ$1006,0)))),"Fix")))</f>
        <v>#N/A</v>
      </c>
      <c r="C899" s="5" t="e">
        <f ca="1">IF(OR(INDEX($AI$2:$AI$1001,MATCH(ROWS($AH$2:AH899),$AH$2:$AH$1001,0),1)&gt;=100000,INDEX($AO$1005:$BQ$1005,1,MATCH(COLUMNS($AO$1006:AP1006),$AO$1006:$BQ$1006,0))&gt;=100000), " ",IF(INDEX($AO$2:$BQ$1001,MATCH(ROWS($AH$2:AH899),$AH$2:$AH$1001,0),MATCH(COLUMNS($AO$1006:AP1006),$AO$1006:$BQ$1006,0)), HYPERLINK("#",""), HYPERLINK(CONCATENATE("#Metadata!", ADDRESS(INDEX($AJ$2:$AJ$1001,MATCH(ROWS($AH$2:AH899),$AH$2:$AH$1001,0),0), INDEX($AO$1004:$BQ$1004,1,MATCH(COLUMNS($AO$1006:AP1006),$AO$1006:$BQ$1006,0)))),"Fix")))</f>
        <v>#N/A</v>
      </c>
      <c r="D899" s="5" t="e">
        <f ca="1">IF(OR(INDEX($AI$2:$AI$1001,MATCH(ROWS($AH$2:AH899),$AH$2:$AH$1001,0),1)&gt;=100000,INDEX($AO$1005:$BQ$1005,1,MATCH(COLUMNS($AO$1006:AQ1006),$AO$1006:$BQ$1006,0))&gt;=100000), " ",IF(INDEX($AO$2:$BQ$1001,MATCH(ROWS($AH$2:AH899),$AH$2:$AH$1001,0),MATCH(COLUMNS($AO$1006:AQ1006),$AO$1006:$BQ$1006,0)), HYPERLINK("#",""), HYPERLINK(CONCATENATE("#Metadata!", ADDRESS(INDEX($AJ$2:$AJ$1001,MATCH(ROWS($AH$2:AH899),$AH$2:$AH$1001,0),0), INDEX($AO$1004:$BQ$1004,1,MATCH(COLUMNS($AO$1006:AQ1006),$AO$1006:$BQ$1006,0)))),"Fix")))</f>
        <v>#N/A</v>
      </c>
      <c r="E899" s="5" t="e">
        <f ca="1">IF(OR(INDEX($AI$2:$AI$1001,MATCH(ROWS($AH$2:AH899),$AH$2:$AH$1001,0),1)&gt;=100000,INDEX($AO$1005:$BQ$1005,1,MATCH(COLUMNS($AO$1006:AR1006),$AO$1006:$BQ$1006,0))&gt;=100000), " ",IF(INDEX($AO$2:$BQ$1001,MATCH(ROWS($AH$2:AH899),$AH$2:$AH$1001,0),MATCH(COLUMNS($AO$1006:AR1006),$AO$1006:$BQ$1006,0)), HYPERLINK("#",""), HYPERLINK(CONCATENATE("#Metadata!", ADDRESS(INDEX($AJ$2:$AJ$1001,MATCH(ROWS($AH$2:AH899),$AH$2:$AH$1001,0),0), INDEX($AO$1004:$BQ$1004,1,MATCH(COLUMNS($AO$1006:AR1006),$AO$1006:$BQ$1006,0)))),"Fix")))</f>
        <v>#N/A</v>
      </c>
      <c r="F899" s="5" t="e">
        <f ca="1">IF(OR(INDEX($AI$2:$AI$1001,MATCH(ROWS($AH$2:AH899),$AH$2:$AH$1001,0),1)&gt;=100000,INDEX($AO$1005:$BQ$1005,1,MATCH(COLUMNS($AO$1006:AS1006),$AO$1006:$BQ$1006,0))&gt;=100000), " ",IF(INDEX($AO$2:$BQ$1001,MATCH(ROWS($AH$2:AH899),$AH$2:$AH$1001,0),MATCH(COLUMNS($AO$1006:AS1006),$AO$1006:$BQ$1006,0)), HYPERLINK("#",""), HYPERLINK(CONCATENATE("#Metadata!", ADDRESS(INDEX($AJ$2:$AJ$1001,MATCH(ROWS($AH$2:AH899),$AH$2:$AH$1001,0),0), INDEX($AO$1004:$BQ$1004,1,MATCH(COLUMNS($AO$1006:AS1006),$AO$1006:$BQ$1006,0)))),"Fix")))</f>
        <v>#N/A</v>
      </c>
      <c r="G899" s="5" t="e">
        <f ca="1">IF(OR(INDEX($AI$2:$AI$1001,MATCH(ROWS($AH$2:AH899),$AH$2:$AH$1001,0),1)&gt;=100000,INDEX($AO$1005:$BQ$1005,1,MATCH(COLUMNS($AO$1006:AT1006),$AO$1006:$BQ$1006,0))&gt;=100000), " ",IF(INDEX($AO$2:$BQ$1001,MATCH(ROWS($AH$2:AH899),$AH$2:$AH$1001,0),MATCH(COLUMNS($AO$1006:AT1006),$AO$1006:$BQ$1006,0)), HYPERLINK("#",""), HYPERLINK(CONCATENATE("#Metadata!", ADDRESS(INDEX($AJ$2:$AJ$1001,MATCH(ROWS($AH$2:AH899),$AH$2:$AH$1001,0),0), INDEX($AO$1004:$BQ$1004,1,MATCH(COLUMNS($AO$1006:AT1006),$AO$1006:$BQ$1006,0)))),"Fix")))</f>
        <v>#N/A</v>
      </c>
      <c r="H899" s="5" t="e">
        <f ca="1">IF(OR(INDEX($AI$2:$AI$1001,MATCH(ROWS($AH$2:AH899),$AH$2:$AH$1001,0),1)&gt;=100000,INDEX($AO$1005:$BQ$1005,1,MATCH(COLUMNS($AO$1006:AU1006),$AO$1006:$BQ$1006,0))&gt;=100000), " ",IF(INDEX($AO$2:$BQ$1001,MATCH(ROWS($AH$2:AH899),$AH$2:$AH$1001,0),MATCH(COLUMNS($AO$1006:AU1006),$AO$1006:$BQ$1006,0)), HYPERLINK("#",""), HYPERLINK(CONCATENATE("#Metadata!", ADDRESS(INDEX($AJ$2:$AJ$1001,MATCH(ROWS($AH$2:AH899),$AH$2:$AH$1001,0),0), INDEX($AO$1004:$BQ$1004,1,MATCH(COLUMNS($AO$1006:AU1006),$AO$1006:$BQ$1006,0)))),"Fix")))</f>
        <v>#N/A</v>
      </c>
      <c r="I899" s="5" t="e">
        <f ca="1">IF(OR(INDEX($AI$2:$AI$1001,MATCH(ROWS($AH$2:AH899),$AH$2:$AH$1001,0),1)&gt;=100000,INDEX($AO$1005:$BQ$1005,1,MATCH(COLUMNS($AO$1006:AV1006),$AO$1006:$BQ$1006,0))&gt;=100000), " ",IF(INDEX($AO$2:$BQ$1001,MATCH(ROWS($AH$2:AH899),$AH$2:$AH$1001,0),MATCH(COLUMNS($AO$1006:AV1006),$AO$1006:$BQ$1006,0)), HYPERLINK("#",""), HYPERLINK(CONCATENATE("#Metadata!", ADDRESS(INDEX($AJ$2:$AJ$1001,MATCH(ROWS($AH$2:AH899),$AH$2:$AH$1001,0),0), INDEX($AO$1004:$BQ$1004,1,MATCH(COLUMNS($AO$1006:AV1006),$AO$1006:$BQ$1006,0)))),"Fix")))</f>
        <v>#N/A</v>
      </c>
      <c r="J899" s="5" t="e">
        <f ca="1">IF(OR(INDEX($AI$2:$AI$1001,MATCH(ROWS($AH$2:AH899),$AH$2:$AH$1001,0),1)&gt;=100000,INDEX($AO$1005:$BQ$1005,1,MATCH(COLUMNS($AO$1006:AW1006),$AO$1006:$BQ$1006,0))&gt;=100000), " ",IF(INDEX($AO$2:$BQ$1001,MATCH(ROWS($AH$2:AH899),$AH$2:$AH$1001,0),MATCH(COLUMNS($AO$1006:AW1006),$AO$1006:$BQ$1006,0)), HYPERLINK("#",""), HYPERLINK(CONCATENATE("#Metadata!", ADDRESS(INDEX($AJ$2:$AJ$1001,MATCH(ROWS($AH$2:AH899),$AH$2:$AH$1001,0),0), INDEX($AO$1004:$BQ$1004,1,MATCH(COLUMNS($AO$1006:AW1006),$AO$1006:$BQ$1006,0)))),"Fix")))</f>
        <v>#N/A</v>
      </c>
      <c r="K899" s="5" t="e">
        <f ca="1">IF(OR(INDEX($AI$2:$AI$1001,MATCH(ROWS($AH$2:AH899),$AH$2:$AH$1001,0),1)&gt;=100000,INDEX($AO$1005:$BQ$1005,1,MATCH(COLUMNS($AO$1006:AX1006),$AO$1006:$BQ$1006,0))&gt;=100000), " ",IF(INDEX($AO$2:$BQ$1001,MATCH(ROWS($AH$2:AH899),$AH$2:$AH$1001,0),MATCH(COLUMNS($AO$1006:AX1006),$AO$1006:$BQ$1006,0)), HYPERLINK("#",""), HYPERLINK(CONCATENATE("#Metadata!", ADDRESS(INDEX($AJ$2:$AJ$1001,MATCH(ROWS($AH$2:AH899),$AH$2:$AH$1001,0),0), INDEX($AO$1004:$BQ$1004,1,MATCH(COLUMNS($AO$1006:AX1006),$AO$1006:$BQ$1006,0)))),"Fix")))</f>
        <v>#N/A</v>
      </c>
      <c r="L899" s="5" t="e">
        <f ca="1">IF(OR(INDEX($AI$2:$AI$1001,MATCH(ROWS($AH$2:AH899),$AH$2:$AH$1001,0),1)&gt;=100000,INDEX($AO$1005:$BQ$1005,1,MATCH(COLUMNS($AO$1006:AY1006),$AO$1006:$BQ$1006,0))&gt;=100000), " ",IF(INDEX($AO$2:$BQ$1001,MATCH(ROWS($AH$2:AH899),$AH$2:$AH$1001,0),MATCH(COLUMNS($AO$1006:AY1006),$AO$1006:$BQ$1006,0)), HYPERLINK("#",""), HYPERLINK(CONCATENATE("#Metadata!", ADDRESS(INDEX($AJ$2:$AJ$1001,MATCH(ROWS($AH$2:AH899),$AH$2:$AH$1001,0),0), INDEX($AO$1004:$BQ$1004,1,MATCH(COLUMNS($AO$1006:AY1006),$AO$1006:$BQ$1006,0)))),"Fix")))</f>
        <v>#N/A</v>
      </c>
      <c r="M899" s="5" t="e">
        <f ca="1">IF(OR(INDEX($AI$2:$AI$1001,MATCH(ROWS($AH$2:AH899),$AH$2:$AH$1001,0),1)&gt;=100000,INDEX($AO$1005:$BQ$1005,1,MATCH(COLUMNS($AO$1006:AZ1006),$AO$1006:$BQ$1006,0))&gt;=100000), " ",IF(INDEX($AO$2:$BQ$1001,MATCH(ROWS($AH$2:AH899),$AH$2:$AH$1001,0),MATCH(COLUMNS($AO$1006:AZ1006),$AO$1006:$BQ$1006,0)), HYPERLINK("#",""), HYPERLINK(CONCATENATE("#Metadata!", ADDRESS(INDEX($AJ$2:$AJ$1001,MATCH(ROWS($AH$2:AH899),$AH$2:$AH$1001,0),0), INDEX($AO$1004:$BQ$1004,1,MATCH(COLUMNS($AO$1006:AZ1006),$AO$1006:$BQ$1006,0)))),"Fix")))</f>
        <v>#N/A</v>
      </c>
      <c r="N899" s="5" t="e">
        <f ca="1">IF(OR(INDEX($AI$2:$AI$1001,MATCH(ROWS($AH$2:AH899),$AH$2:$AH$1001,0),1)&gt;=100000,INDEX($AO$1005:$BQ$1005,1,MATCH(COLUMNS($AO$1006:BA1006),$AO$1006:$BQ$1006,0))&gt;=100000), " ",IF(INDEX($AO$2:$BQ$1001,MATCH(ROWS($AH$2:AH899),$AH$2:$AH$1001,0),MATCH(COLUMNS($AO$1006:BA1006),$AO$1006:$BQ$1006,0)), HYPERLINK("#",""), HYPERLINK(CONCATENATE("#Metadata!", ADDRESS(INDEX($AJ$2:$AJ$1001,MATCH(ROWS($AH$2:AH899),$AH$2:$AH$1001,0),0), INDEX($AO$1004:$BQ$1004,1,MATCH(COLUMNS($AO$1006:BA1006),$AO$1006:$BQ$1006,0)))),"Fix")))</f>
        <v>#N/A</v>
      </c>
      <c r="O899" s="5" t="e">
        <f ca="1">IF(OR(INDEX($AI$2:$AI$1001,MATCH(ROWS($AH$2:AH899),$AH$2:$AH$1001,0),1)&gt;=100000,INDEX($AO$1005:$BQ$1005,1,MATCH(COLUMNS($AO$1006:BB1006),$AO$1006:$BQ$1006,0))&gt;=100000), " ",IF(INDEX($AO$2:$BQ$1001,MATCH(ROWS($AH$2:AH899),$AH$2:$AH$1001,0),MATCH(COLUMNS($AO$1006:BB1006),$AO$1006:$BQ$1006,0)), HYPERLINK("#",""), HYPERLINK(CONCATENATE("#Metadata!", ADDRESS(INDEX($AJ$2:$AJ$1001,MATCH(ROWS($AH$2:AH899),$AH$2:$AH$1001,0),0), INDEX($AO$1004:$BQ$1004,1,MATCH(COLUMNS($AO$1006:BB1006),$AO$1006:$BQ$1006,0)))),"Fix")))</f>
        <v>#N/A</v>
      </c>
      <c r="P899" s="5" t="e">
        <f ca="1">IF(OR(INDEX($AI$2:$AI$1001,MATCH(ROWS($AH$2:AH899),$AH$2:$AH$1001,0),1)&gt;=100000,INDEX($AO$1005:$BQ$1005,1,MATCH(COLUMNS($AO$1006:BC1006),$AO$1006:$BQ$1006,0))&gt;=100000), " ",IF(INDEX($AO$2:$BQ$1001,MATCH(ROWS($AH$2:AH899),$AH$2:$AH$1001,0),MATCH(COLUMNS($AO$1006:BC1006),$AO$1006:$BQ$1006,0)), HYPERLINK("#",""), HYPERLINK(CONCATENATE("#Metadata!", ADDRESS(INDEX($AJ$2:$AJ$1001,MATCH(ROWS($AH$2:AH899),$AH$2:$AH$1001,0),0), INDEX($AO$1004:$BQ$1004,1,MATCH(COLUMNS($AO$1006:BC1006),$AO$1006:$BQ$1006,0)))),"Fix")))</f>
        <v>#N/A</v>
      </c>
      <c r="Q899" s="5" t="e">
        <f ca="1">IF(OR(INDEX($AI$2:$AI$1001,MATCH(ROWS($AH$2:AH899),$AH$2:$AH$1001,0),1)&gt;=100000,INDEX($AO$1005:$BQ$1005,1,MATCH(COLUMNS($AO$1006:BD1006),$AO$1006:$BQ$1006,0))&gt;=100000), " ",IF(INDEX($AO$2:$BQ$1001,MATCH(ROWS($AH$2:AH899),$AH$2:$AH$1001,0),MATCH(COLUMNS($AO$1006:BD1006),$AO$1006:$BQ$1006,0)), HYPERLINK("#",""), HYPERLINK(CONCATENATE("#Metadata!", ADDRESS(INDEX($AJ$2:$AJ$1001,MATCH(ROWS($AH$2:AH899),$AH$2:$AH$1001,0),0), INDEX($AO$1004:$BQ$1004,1,MATCH(COLUMNS($AO$1006:BD1006),$AO$1006:$BQ$1006,0)))),"Fix")))</f>
        <v>#N/A</v>
      </c>
      <c r="R899" s="5" t="e">
        <f ca="1">IF(OR(INDEX($AI$2:$AI$1001,MATCH(ROWS($AH$2:AH899),$AH$2:$AH$1001,0),1)&gt;=100000,INDEX($AO$1005:$BQ$1005,1,MATCH(COLUMNS($AO$1006:BE1006),$AO$1006:$BQ$1006,0))&gt;=100000), " ",IF(INDEX($AO$2:$BQ$1001,MATCH(ROWS($AH$2:AH899),$AH$2:$AH$1001,0),MATCH(COLUMNS($AO$1006:BE1006),$AO$1006:$BQ$1006,0)), HYPERLINK("#",""), HYPERLINK(CONCATENATE("#Metadata!", ADDRESS(INDEX($AJ$2:$AJ$1001,MATCH(ROWS($AH$2:AH899),$AH$2:$AH$1001,0),0), INDEX($AO$1004:$BQ$1004,1,MATCH(COLUMNS($AO$1006:BE1006),$AO$1006:$BQ$1006,0)))),"Fix")))</f>
        <v>#N/A</v>
      </c>
      <c r="S899" s="5" t="e">
        <f ca="1">IF(OR(INDEX($AI$2:$AI$1001,MATCH(ROWS($AH$2:AH899),$AH$2:$AH$1001,0),1)&gt;=100000,INDEX($AO$1005:$BQ$1005,1,MATCH(COLUMNS($AO$1006:BF1006),$AO$1006:$BQ$1006,0))&gt;=100000), " ",IF(INDEX($AO$2:$BQ$1001,MATCH(ROWS($AH$2:AH899),$AH$2:$AH$1001,0),MATCH(COLUMNS($AO$1006:BF1006),$AO$1006:$BQ$1006,0)), HYPERLINK("#",""), HYPERLINK(CONCATENATE("#Metadata!", ADDRESS(INDEX($AJ$2:$AJ$1001,MATCH(ROWS($AH$2:AH899),$AH$2:$AH$1001,0),0), INDEX($AO$1004:$BQ$1004,1,MATCH(COLUMNS($AO$1006:BF1006),$AO$1006:$BQ$1006,0)))),"Fix")))</f>
        <v>#N/A</v>
      </c>
      <c r="T899" s="5" t="e">
        <f ca="1">IF(OR(INDEX($AI$2:$AI$1001,MATCH(ROWS($AH$2:AH899),$AH$2:$AH$1001,0),1)&gt;=100000,INDEX($AO$1005:$BQ$1005,1,MATCH(COLUMNS($AO$1006:BG1006),$AO$1006:$BQ$1006,0))&gt;=100000), " ",IF(INDEX($AO$2:$BQ$1001,MATCH(ROWS($AH$2:AH899),$AH$2:$AH$1001,0),MATCH(COLUMNS($AO$1006:BG1006),$AO$1006:$BQ$1006,0)), HYPERLINK("#",""), HYPERLINK(CONCATENATE("#Metadata!", ADDRESS(INDEX($AJ$2:$AJ$1001,MATCH(ROWS($AH$2:AH899),$AH$2:$AH$1001,0),0), INDEX($AO$1004:$BQ$1004,1,MATCH(COLUMNS($AO$1006:BG1006),$AO$1006:$BQ$1006,0)))),"Fix")))</f>
        <v>#N/A</v>
      </c>
      <c r="U899" s="5" t="e">
        <f ca="1">IF(OR(INDEX($AI$2:$AI$1001,MATCH(ROWS($AH$2:AH899),$AH$2:$AH$1001,0),1)&gt;=100000,INDEX($AO$1005:$BQ$1005,1,MATCH(COLUMNS($AO$1006:BH1006),$AO$1006:$BQ$1006,0))&gt;=100000), " ",IF(INDEX($AO$2:$BQ$1001,MATCH(ROWS($AH$2:AH899),$AH$2:$AH$1001,0),MATCH(COLUMNS($AO$1006:BH1006),$AO$1006:$BQ$1006,0)), HYPERLINK("#",""), HYPERLINK(CONCATENATE("#Metadata!", ADDRESS(INDEX($AJ$2:$AJ$1001,MATCH(ROWS($AH$2:AH899),$AH$2:$AH$1001,0),0), INDEX($AO$1004:$BQ$1004,1,MATCH(COLUMNS($AO$1006:BH1006),$AO$1006:$BQ$1006,0)))),"Fix")))</f>
        <v>#N/A</v>
      </c>
      <c r="V899" s="5" t="e">
        <f ca="1">IF(OR(INDEX($AI$2:$AI$1001,MATCH(ROWS($AH$2:AH899),$AH$2:$AH$1001,0),1)&gt;=100000,INDEX($AO$1005:$BQ$1005,1,MATCH(COLUMNS($AO$1006:BI1006),$AO$1006:$BQ$1006,0))&gt;=100000), " ",IF(INDEX($AO$2:$BQ$1001,MATCH(ROWS($AH$2:AH899),$AH$2:$AH$1001,0),MATCH(COLUMNS($AO$1006:BI1006),$AO$1006:$BQ$1006,0)), HYPERLINK("#",""), HYPERLINK(CONCATENATE("#Metadata!", ADDRESS(INDEX($AJ$2:$AJ$1001,MATCH(ROWS($AH$2:AH899),$AH$2:$AH$1001,0),0), INDEX($AO$1004:$BQ$1004,1,MATCH(COLUMNS($AO$1006:BI1006),$AO$1006:$BQ$1006,0)))),"Fix")))</f>
        <v>#N/A</v>
      </c>
      <c r="W899" s="5" t="e">
        <f ca="1">IF(OR(INDEX($AI$2:$AI$1001,MATCH(ROWS($AH$2:AH899),$AH$2:$AH$1001,0),1)&gt;=100000,INDEX($AO$1005:$BQ$1005,1,MATCH(COLUMNS($AO$1006:BJ1006),$AO$1006:$BQ$1006,0))&gt;=100000), " ",IF(INDEX($AO$2:$BQ$1001,MATCH(ROWS($AH$2:AH899),$AH$2:$AH$1001,0),MATCH(COLUMNS($AO$1006:BJ1006),$AO$1006:$BQ$1006,0)), HYPERLINK("#",""), HYPERLINK(CONCATENATE("#Metadata!", ADDRESS(INDEX($AJ$2:$AJ$1001,MATCH(ROWS($AH$2:AH899),$AH$2:$AH$1001,0),0), INDEX($AO$1004:$BQ$1004,1,MATCH(COLUMNS($AO$1006:BJ1006),$AO$1006:$BQ$1006,0)))),"Fix")))</f>
        <v>#N/A</v>
      </c>
      <c r="X899" s="5" t="e">
        <f ca="1">IF(OR(INDEX($AI$2:$AI$1001,MATCH(ROWS($AH$2:AH899),$AH$2:$AH$1001,0),1)&gt;=100000,INDEX($AO$1005:$BQ$1005,1,MATCH(COLUMNS($AO$1006:BK1006),$AO$1006:$BQ$1006,0))&gt;=100000), " ",IF(INDEX($AO$2:$BQ$1001,MATCH(ROWS($AH$2:AH899),$AH$2:$AH$1001,0),MATCH(COLUMNS($AO$1006:BK1006),$AO$1006:$BQ$1006,0)), HYPERLINK("#",""), HYPERLINK(CONCATENATE("#Metadata!", ADDRESS(INDEX($AJ$2:$AJ$1001,MATCH(ROWS($AH$2:AH899),$AH$2:$AH$1001,0),0), INDEX($AO$1004:$BQ$1004,1,MATCH(COLUMNS($AO$1006:BK1006),$AO$1006:$BQ$1006,0)))),"Fix")))</f>
        <v>#N/A</v>
      </c>
      <c r="Y899" s="5" t="e">
        <f ca="1">IF(OR(INDEX($AI$2:$AI$1001,MATCH(ROWS($AH$2:AH899),$AH$2:$AH$1001,0),1)&gt;=100000,INDEX($AO$1005:$BQ$1005,1,MATCH(COLUMNS($AO$1006:BL1006),$AO$1006:$BQ$1006,0))&gt;=100000), " ",IF(INDEX($AO$2:$BQ$1001,MATCH(ROWS($AH$2:AH899),$AH$2:$AH$1001,0),MATCH(COLUMNS($AO$1006:BL1006),$AO$1006:$BQ$1006,0)), HYPERLINK("#",""), HYPERLINK(CONCATENATE("#Metadata!", ADDRESS(INDEX($AJ$2:$AJ$1001,MATCH(ROWS($AH$2:AH899),$AH$2:$AH$1001,0),0), INDEX($AO$1004:$BQ$1004,1,MATCH(COLUMNS($AO$1006:BL1006),$AO$1006:$BQ$1006,0)))),"Fix")))</f>
        <v>#N/A</v>
      </c>
      <c r="Z899" s="5" t="e">
        <f ca="1">IF(OR(INDEX($AI$2:$AI$1001,MATCH(ROWS($AH$2:AH899),$AH$2:$AH$1001,0),1)&gt;=100000,INDEX($AO$1005:$BQ$1005,1,MATCH(COLUMNS($AO$1006:BM1006),$AO$1006:$BQ$1006,0))&gt;=100000), " ",IF(INDEX($AO$2:$BQ$1001,MATCH(ROWS($AH$2:AH899),$AH$2:$AH$1001,0),MATCH(COLUMNS($AO$1006:BM1006),$AO$1006:$BQ$1006,0)), HYPERLINK("#",""), HYPERLINK(CONCATENATE("#Metadata!", ADDRESS(INDEX($AJ$2:$AJ$1001,MATCH(ROWS($AH$2:AH899),$AH$2:$AH$1001,0),0), INDEX($AO$1004:$BQ$1004,1,MATCH(COLUMNS($AO$1006:BM1006),$AO$1006:$BQ$1006,0)))),"Fix")))</f>
        <v>#N/A</v>
      </c>
      <c r="AA899" s="5" t="e">
        <f ca="1">IF(OR(INDEX($AI$2:$AI$1001,MATCH(ROWS($AH$2:AH899),$AH$2:$AH$1001,0),1)&gt;=100000,INDEX($AO$1005:$BQ$1005,1,MATCH(COLUMNS($AO$1006:BN1006),$AO$1006:$BQ$1006,0))&gt;=100000), " ",IF(INDEX($AO$2:$BQ$1001,MATCH(ROWS($AH$2:AH899),$AH$2:$AH$1001,0),MATCH(COLUMNS($AO$1006:BN1006),$AO$1006:$BQ$1006,0)), HYPERLINK("#",""), HYPERLINK(CONCATENATE("#Metadata!", ADDRESS(INDEX($AJ$2:$AJ$1001,MATCH(ROWS($AH$2:AH899),$AH$2:$AH$1001,0),0), INDEX($AO$1004:$BQ$1004,1,MATCH(COLUMNS($AO$1006:BN1006),$AO$1006:$BQ$1006,0)))),"Fix")))</f>
        <v>#N/A</v>
      </c>
      <c r="AB899" s="5" t="e">
        <f ca="1">IF(OR(INDEX($AI$2:$AI$1001,MATCH(ROWS($AH$2:AH899),$AH$2:$AH$1001,0),1)&gt;=100000,INDEX($AO$1005:$BQ$1005,1,MATCH(COLUMNS($AO$1006:BO1006),$AO$1006:$BQ$1006,0))&gt;=100000), " ",IF(INDEX($AO$2:$BQ$1001,MATCH(ROWS($AH$2:AH899),$AH$2:$AH$1001,0),MATCH(COLUMNS($AO$1006:BO1006),$AO$1006:$BQ$1006,0)), HYPERLINK("#",""), HYPERLINK(CONCATENATE("#Metadata!", ADDRESS(INDEX($AJ$2:$AJ$1001,MATCH(ROWS($AH$2:AH899),$AH$2:$AH$1001,0),0), INDEX($AO$1004:$BQ$1004,1,MATCH(COLUMNS($AO$1006:BO1006),$AO$1006:$BQ$1006,0)))),"Fix")))</f>
        <v>#N/A</v>
      </c>
      <c r="AC899" s="5" t="e">
        <f ca="1">IF(OR(INDEX($AI$2:$AI$1001,MATCH(ROWS($AH$2:AH899),$AH$2:$AH$1001,0),1)&gt;=100000,INDEX($AO$1005:$BQ$1005,1,MATCH(COLUMNS($AO$1006:BP1006),$AO$1006:$BQ$1006,0))&gt;=100000), " ",IF(INDEX($AO$2:$BQ$1001,MATCH(ROWS($AH$2:AH899),$AH$2:$AH$1001,0),MATCH(COLUMNS($AO$1006:BP1006),$AO$1006:$BQ$1006,0)), HYPERLINK("#",""), HYPERLINK(CONCATENATE("#Metadata!", ADDRESS(INDEX($AJ$2:$AJ$1001,MATCH(ROWS($AH$2:AH899),$AH$2:$AH$1001,0),0), INDEX($AO$1004:$BQ$1004,1,MATCH(COLUMNS($AO$1006:BP1006),$AO$1006:$BQ$1006,0)))),"Fix")))</f>
        <v>#N/A</v>
      </c>
      <c r="AD899" s="5" t="e">
        <f ca="1">IF(OR(INDEX($AI$2:$AI$1001,MATCH(ROWS($AH$2:AH899),$AH$2:$AH$1001,0),1)&gt;=100000,INDEX($AO$1005:$BQ$1005,1,MATCH(COLUMNS($AO$1006:BQ1006),$AO$1006:$BQ$1006,0))&gt;=100000), " ",IF(INDEX($AO$2:$BQ$1001,MATCH(ROWS($AH$2:AH899),$AH$2:$AH$1001,0),MATCH(COLUMNS($AO$1006:BQ1006),$AO$1006:$BQ$1006,0)), HYPERLINK("#",""), HYPERLINK(CONCATENATE("#Metadata!", ADDRESS(INDEX($AJ$2:$AJ$1001,MATCH(ROWS($AH$2:AH899),$AH$2:$AH$1001,0),0), INDEX($AO$1004:$BQ$1004,1,MATCH(COLUMNS($AO$1006:BQ1006),$AO$1006:$BQ$1006,0)))),"Fix")))</f>
        <v>#REF!</v>
      </c>
      <c r="AH899">
        <f ca="1"/>
        <v>896</v>
      </c>
      <c r="AI899">
        <v>100899</v>
      </c>
      <c r="AJ899">
        <v>899</v>
      </c>
      <c r="AK899" t="b">
        <f t="shared" si="14"/>
        <v>1</v>
      </c>
      <c r="AL899" t="b">
        <f>COUNTBLANK(Metadata!B899:AD899)=COLUMNS(Metadata!B899:AD899)</f>
        <v>1</v>
      </c>
      <c r="AM899" t="str">
        <v/>
      </c>
      <c r="AO899" t="b">
        <f ca="1">AND(IF(Metadata!B899="",FALSE,TRUE),COUNTIF(Metadata!B:B, Metadata!B899) = 1,NOT(ISERROR(SUMPRODUCT(SEARCH(MID(Metadata!B899,ROW(INDIRECT("1:"&amp;LEN(Metadata!B899))), 1),"0123456789abcdefghijklmnopqrstuvwxyzABCDEFGHIJKLMNOPQRSTUVWXYZ.")))))</f>
        <v>0</v>
      </c>
      <c r="AP899" t="b">
        <f>IF(Metadata!C899="",FALSE,TRUE)</f>
        <v>0</v>
      </c>
      <c r="AQ899" t="b">
        <f>IF(Metadata!D899="",FALSE,TRUE)</f>
        <v>0</v>
      </c>
      <c r="AR899" t="b">
        <f ca="1">OR(AND(IF(Metadata!E899="",FALSE,TRUE),OR(EXACT(Metadata!E899,"not collected"),EXACT(Metadata!E899,"not provided"),EXACT(Metadata!E899,"restricted access"))),AND(IF(Metadata!E899="",FALSE,TRUE),AND(AND(IFERROR(INT(LEFT(Metadata!E899,4))&gt;1900,FALSE),IFERROR(INT(LEFT(Metadata!E899,4))&lt;=YEAR(NOW()),FALSE)), OR(MID(Metadata!E899,5,1)="", AND(AND(MID(Metadata!E899,5,1)="-",IFERROR(INT(MID(Metadata!E899,6,1))&gt;=0,FALSE),IFERROR(INT(MID(Metadata!E899,6,1))&lt;=1,FALSE),NOT(MID(Metadata!E899,7,1)=""),IFERROR(INT(MID(Metadata!E899,6,2))&gt;=1,FALSE),IFERROR(INT(MID(Metadata!E899,6,2))&lt;=12,FALSE)), OR(MID(Metadata!E899,8,1)="", AND(AND(MID(Metadata!E899,8,1)="-",IFERROR(INT(MID(Metadata!E899,9,1))&gt;=0,FALSE),IFERROR(INT(MID(Metadata!E899,9,1))&lt;=3,FALSE),NOT(MID(Metadata!E899,10,1)=""),IFERROR(INT(MID(Metadata!E899,9,2))&gt;=1,FALSE),IFERROR(INT(MID(Metadata!E899,9,2))&lt;=31,FALSE)), OR(MID(Metadata!E899,11,1)="", AND(AND(MID(Metadata!E899,11,1)=" ",IFERROR(INT(MID(Metadata!E899,12,1))&gt;=0,FALSE),IFERROR(INT(MID(Metadata!E899,12,1))&lt;=2,FALSE),NOT(MID(Metadata!E899,13,1)=""),IFERROR(INT(MID(Metadata!E899,12,2))&gt;=0,FALSE),IFERROR(INT(MID(Metadata!E899,12,2))&lt;=23,FALSE)), OR(MID(Metadata!E899,14,1)="", AND(AND(MID(Metadata!E899,14,1)=":",IFERROR(INT(MID(Metadata!E899,15,1))&gt;=0,FALSE),IFERROR(INT(MID(Metadata!E899,15,1))&lt;=5,FALSE),NOT(MID(Metadata!E899,16,1)=""),IFERROR(INT(MID(Metadata!E899,15,2))&gt;=0,FALSE),IFERROR(INT(MID(Metadata!E899,15,2))&lt;=59,FALSE)), OR(MID(Metadata!E899,17,1)="", AND(AND(MID(Metadata!E899,17,1)=":",IFERROR(INT(MID(Metadata!E899,18,1))&gt;=0,FALSE),IFERROR(INT(MID(Metadata!E899,18,1))&lt;=5,FALSE),NOT(MID(Metadata!E899,19,1)=""),IFERROR(INT(MID(Metadata!E899,18,2))&gt;=0,FALSE),IFERROR(INT(MID(Metadata!E899,18,2))&lt;=59,FALSE)), LEN(Metadata!E899)&lt;=19)))))))))))))</f>
        <v>0</v>
      </c>
      <c r="AS899" t="b">
        <f>IF(Metadata!F899="",FALSE,TRUE)</f>
        <v>0</v>
      </c>
      <c r="AT899" t="b">
        <f>OR(AND(IF(Metadata!G899="",FALSE,TRUE),OR(EXACT(Metadata!G899,"not collected"),EXACT(Metadata!G899,"not provided"))),AND(IF(Metadata!G899="",FALSE,TRUE),OR(EXACT(Metadata!G899,"TRUE"),EXACT(Metadata!G899,"FALSE"))))</f>
        <v>0</v>
      </c>
      <c r="AU899" t="b">
        <f>OR(AND(IF(Metadata!H899="",FALSE,TRUE),OR(EXACT(Metadata!H899,"not collected"),EXACT(Metadata!H899,"not provided"),EXACT(Metadata!H899,"restricted access"))),AND(IF(Metadata!H899="",FALSE,ISNUMBER(VALUE(Metadata!H899))),Metadata!H899&gt;=-413))</f>
        <v>0</v>
      </c>
      <c r="AV899" t="b">
        <f>AND(IF(Metadata!I899="",FALSE,TRUE),EXACT(Metadata!I899,"meters"))</f>
        <v>0</v>
      </c>
      <c r="AW899" t="b">
        <f>AND(IF(Metadata!J899="",FALSE,TRUE),EXACT(Metadata!J899,"free-living"))</f>
        <v>0</v>
      </c>
      <c r="AX899" t="b">
        <f>AND(IF(Metadata!K899="",FALSE,TRUE),OR(EXACT(Metadata!K899,"saline"),EXACT(Metadata!K899,"non-saline")))</f>
        <v>0</v>
      </c>
      <c r="AY899" t="b">
        <f>AND(IF(Metadata!L899="",FALSE,TRUE),OR(EXACT(Metadata!L899,"sub-surface (non-saline)"),EXACT(Metadata!L899,"surface (non-saline)"),EXACT(Metadata!L899,"water (non-saline)"),EXACT(Metadata!L899,"soil (non-saline)"),EXACT(Metadata!L899,"aerosol (non-saline)"),EXACT(Metadata!L899,"sediment (non-saline)"),EXACT(Metadata!L899,"surface (saline)"),EXACT(Metadata!L899,"water (saline)"),EXACT(Metadata!L899,"hypersaline (saline)"),EXACT(Metadata!L899,"aerosol (saline)"),EXACT(Metadata!L899,"sediment (saline)")))</f>
        <v>0</v>
      </c>
      <c r="AZ899" t="b">
        <f>IF(Metadata!M899="",FALSE,TRUE)</f>
        <v>0</v>
      </c>
      <c r="BA899" t="b">
        <f>IF(Metadata!N899="",FALSE,TRUE)</f>
        <v>0</v>
      </c>
      <c r="BB899" t="b">
        <f>IF(Metadata!O899="",FALSE,TRUE)</f>
        <v>0</v>
      </c>
      <c r="BC899" t="b">
        <f>AND(IF(Metadata!P899="",FALSE,TRUE),OR(EXACT(Metadata!P899,"air"),EXACT(Metadata!P899,"microbial mat/biofilm"),EXACT(Metadata!P899,"misc environment"),EXACT(Metadata!P899,"sediment"),EXACT(Metadata!P899,"soil"),EXACT(Metadata!P899,"wastewater/sludge"),EXACT(Metadata!P899,"water")))</f>
        <v>0</v>
      </c>
      <c r="BD899" t="b">
        <f>IF(Metadata!Q899="",FALSE,TRUE)</f>
        <v>0</v>
      </c>
      <c r="BE899" t="b">
        <f>IF(Metadata!R899="",FALSE,TRUE)</f>
        <v>0</v>
      </c>
      <c r="BF899" t="b">
        <f>OR(AND(IF(Metadata!S899="",FALSE,TRUE),OR(EXACT(Metadata!S899,"not collected"),EXACT(Metadata!S899,"not provided"),EXACT(Metadata!S899,"restricted access"))),AND(IF(Metadata!S899="",FALSE,ISNUMBER(VALUE(Metadata!S899))),Metadata!S899&gt;=-90,Metadata!S899&lt;=90))</f>
        <v>0</v>
      </c>
      <c r="BG899" t="b">
        <f>AND(IF(Metadata!T899="",FALSE,TRUE),EXACT(Metadata!T899,"Decimal degrees"))</f>
        <v>0</v>
      </c>
      <c r="BH899" t="b">
        <f>OR(AND(IF(Metadata!U899="",FALSE,TRUE),OR(EXACT(Metadata!U899,"not applicable"),EXACT(Metadata!U899,"not collected"))),IF(Metadata!U899="",FALSE,TRUE))</f>
        <v>0</v>
      </c>
      <c r="BI899" t="b">
        <f>OR(AND(IF(Metadata!V899="",FALSE,TRUE),OR(EXACT(Metadata!V899,"not collected"),EXACT(Metadata!V899,"not provided"),EXACT(Metadata!V899,"restricted access"))),AND(IF(Metadata!V899="",FALSE,ISNUMBER(VALUE(Metadata!V899))),Metadata!V899&gt;=-180,Metadata!V899&lt;=180))</f>
        <v>0</v>
      </c>
      <c r="BJ899" t="b">
        <f>AND(IF(Metadata!W899="",FALSE,TRUE),EXACT(Metadata!W899,"Decimal degrees"))</f>
        <v>0</v>
      </c>
      <c r="BK899" t="b">
        <f>IF(Metadata!X899="",FALSE,TRUE)</f>
        <v>0</v>
      </c>
      <c r="BL899" t="b">
        <f>OR(AND(IF(Metadata!Y899="",FALSE,TRUE),OR(EXACT(Metadata!Y899,"not collected"),EXACT(Metadata!Y899,"not provided"),EXACT(Metadata!Y899,"restricted access"))),AND(IF(Metadata!Y899="",FALSE,TRUE),OR(EXACT(Metadata!Y899,"TRUE"),EXACT(Metadata!Y899,"FALSE"))))</f>
        <v>0</v>
      </c>
      <c r="BM899" t="b">
        <f>OR(AND(IF(Metadata!Z899="",FALSE,TRUE),EXACT(Metadata!Z899,"not applicable")),AND(IF(Metadata!Z899="",FALSE,TRUE),OR(EXACT(Metadata!Z899,"beer"),EXACT(Metadata!Z899,"cheese"),EXACT(Metadata!Z899,"fresh water"),EXACT(Metadata!Z899,"marine sediment"),EXACT(Metadata!Z899,"sea water"),EXACT(Metadata!Z899,"sediment"),EXACT(Metadata!Z899,"soil"),EXACT(Metadata!Z899,"waste water"))))</f>
        <v>0</v>
      </c>
      <c r="BN899" t="b">
        <f>AND(IF(Metadata!AA899="",FALSE,TRUE),EXACT(Metadata!AA899,"metagenome"))</f>
        <v>0</v>
      </c>
      <c r="BO899" t="b">
        <f>AND(IF(Metadata!AB899="",FALSE,TRUE),EXACT(Metadata!AB899,"256318"))</f>
        <v>0</v>
      </c>
      <c r="BP899" t="b">
        <f>IF(Metadata!AC899="",FALSE,TRUE)</f>
        <v>0</v>
      </c>
      <c r="BQ899" t="b">
        <f>IF(Metadata!AD899="",FALSE,TRUE)</f>
        <v>0</v>
      </c>
    </row>
    <row r="900" spans="1:69" x14ac:dyDescent="0.2">
      <c r="A900" s="4" t="e">
        <f ca="1">IF(B900=" "," ",HYPERLINK(CONCATENATE("#metadata!",ADDRESS(INDEX($AJ$2:$AJ$1001,MATCH(ROWS($AH$2:AH900),$AH$2:$AH$1001,0),0),2)),INDEX($AM$2:$AM$1001,MATCH(ROWS($AH$2:AH900),$AH$2:$AH$1001,0),0)))</f>
        <v>#N/A</v>
      </c>
      <c r="B900" s="5" t="e">
        <f ca="1">IF(OR(INDEX($AI$2:$AI$1001,MATCH(ROWS($AH$2:AH900),$AH$2:$AH$1001,0),1)&gt;=100000,INDEX($AO$1005:$BQ$1005,1,MATCH(COLUMNS($AO$1006:AO1006),$AO$1006:$BQ$1006,0))&gt;=100000), " ",IF(INDEX($AO$2:$BQ$1001,MATCH(ROWS($AH$2:AH900),$AH$2:$AH$1001,0),MATCH(COLUMNS($AO$1006:AO1006),$AO$1006:$BQ$1006,0)), HYPERLINK("#",""), HYPERLINK(CONCATENATE("#Metadata!", ADDRESS(INDEX($AJ$2:$AJ$1001,MATCH(ROWS($AH$2:AH900),$AH$2:$AH$1001,0),0), INDEX($AO$1004:$BQ$1004,1,MATCH(COLUMNS($AO$1006:AO1006),$AO$1006:$BQ$1006,0)))),"Fix")))</f>
        <v>#N/A</v>
      </c>
      <c r="C900" s="5" t="e">
        <f ca="1">IF(OR(INDEX($AI$2:$AI$1001,MATCH(ROWS($AH$2:AH900),$AH$2:$AH$1001,0),1)&gt;=100000,INDEX($AO$1005:$BQ$1005,1,MATCH(COLUMNS($AO$1006:AP1006),$AO$1006:$BQ$1006,0))&gt;=100000), " ",IF(INDEX($AO$2:$BQ$1001,MATCH(ROWS($AH$2:AH900),$AH$2:$AH$1001,0),MATCH(COLUMNS($AO$1006:AP1006),$AO$1006:$BQ$1006,0)), HYPERLINK("#",""), HYPERLINK(CONCATENATE("#Metadata!", ADDRESS(INDEX($AJ$2:$AJ$1001,MATCH(ROWS($AH$2:AH900),$AH$2:$AH$1001,0),0), INDEX($AO$1004:$BQ$1004,1,MATCH(COLUMNS($AO$1006:AP1006),$AO$1006:$BQ$1006,0)))),"Fix")))</f>
        <v>#N/A</v>
      </c>
      <c r="D900" s="5" t="e">
        <f ca="1">IF(OR(INDEX($AI$2:$AI$1001,MATCH(ROWS($AH$2:AH900),$AH$2:$AH$1001,0),1)&gt;=100000,INDEX($AO$1005:$BQ$1005,1,MATCH(COLUMNS($AO$1006:AQ1006),$AO$1006:$BQ$1006,0))&gt;=100000), " ",IF(INDEX($AO$2:$BQ$1001,MATCH(ROWS($AH$2:AH900),$AH$2:$AH$1001,0),MATCH(COLUMNS($AO$1006:AQ1006),$AO$1006:$BQ$1006,0)), HYPERLINK("#",""), HYPERLINK(CONCATENATE("#Metadata!", ADDRESS(INDEX($AJ$2:$AJ$1001,MATCH(ROWS($AH$2:AH900),$AH$2:$AH$1001,0),0), INDEX($AO$1004:$BQ$1004,1,MATCH(COLUMNS($AO$1006:AQ1006),$AO$1006:$BQ$1006,0)))),"Fix")))</f>
        <v>#N/A</v>
      </c>
      <c r="E900" s="5" t="e">
        <f ca="1">IF(OR(INDEX($AI$2:$AI$1001,MATCH(ROWS($AH$2:AH900),$AH$2:$AH$1001,0),1)&gt;=100000,INDEX($AO$1005:$BQ$1005,1,MATCH(COLUMNS($AO$1006:AR1006),$AO$1006:$BQ$1006,0))&gt;=100000), " ",IF(INDEX($AO$2:$BQ$1001,MATCH(ROWS($AH$2:AH900),$AH$2:$AH$1001,0),MATCH(COLUMNS($AO$1006:AR1006),$AO$1006:$BQ$1006,0)), HYPERLINK("#",""), HYPERLINK(CONCATENATE("#Metadata!", ADDRESS(INDEX($AJ$2:$AJ$1001,MATCH(ROWS($AH$2:AH900),$AH$2:$AH$1001,0),0), INDEX($AO$1004:$BQ$1004,1,MATCH(COLUMNS($AO$1006:AR1006),$AO$1006:$BQ$1006,0)))),"Fix")))</f>
        <v>#N/A</v>
      </c>
      <c r="F900" s="5" t="e">
        <f ca="1">IF(OR(INDEX($AI$2:$AI$1001,MATCH(ROWS($AH$2:AH900),$AH$2:$AH$1001,0),1)&gt;=100000,INDEX($AO$1005:$BQ$1005,1,MATCH(COLUMNS($AO$1006:AS1006),$AO$1006:$BQ$1006,0))&gt;=100000), " ",IF(INDEX($AO$2:$BQ$1001,MATCH(ROWS($AH$2:AH900),$AH$2:$AH$1001,0),MATCH(COLUMNS($AO$1006:AS1006),$AO$1006:$BQ$1006,0)), HYPERLINK("#",""), HYPERLINK(CONCATENATE("#Metadata!", ADDRESS(INDEX($AJ$2:$AJ$1001,MATCH(ROWS($AH$2:AH900),$AH$2:$AH$1001,0),0), INDEX($AO$1004:$BQ$1004,1,MATCH(COLUMNS($AO$1006:AS1006),$AO$1006:$BQ$1006,0)))),"Fix")))</f>
        <v>#N/A</v>
      </c>
      <c r="G900" s="5" t="e">
        <f ca="1">IF(OR(INDEX($AI$2:$AI$1001,MATCH(ROWS($AH$2:AH900),$AH$2:$AH$1001,0),1)&gt;=100000,INDEX($AO$1005:$BQ$1005,1,MATCH(COLUMNS($AO$1006:AT1006),$AO$1006:$BQ$1006,0))&gt;=100000), " ",IF(INDEX($AO$2:$BQ$1001,MATCH(ROWS($AH$2:AH900),$AH$2:$AH$1001,0),MATCH(COLUMNS($AO$1006:AT1006),$AO$1006:$BQ$1006,0)), HYPERLINK("#",""), HYPERLINK(CONCATENATE("#Metadata!", ADDRESS(INDEX($AJ$2:$AJ$1001,MATCH(ROWS($AH$2:AH900),$AH$2:$AH$1001,0),0), INDEX($AO$1004:$BQ$1004,1,MATCH(COLUMNS($AO$1006:AT1006),$AO$1006:$BQ$1006,0)))),"Fix")))</f>
        <v>#N/A</v>
      </c>
      <c r="H900" s="5" t="e">
        <f ca="1">IF(OR(INDEX($AI$2:$AI$1001,MATCH(ROWS($AH$2:AH900),$AH$2:$AH$1001,0),1)&gt;=100000,INDEX($AO$1005:$BQ$1005,1,MATCH(COLUMNS($AO$1006:AU1006),$AO$1006:$BQ$1006,0))&gt;=100000), " ",IF(INDEX($AO$2:$BQ$1001,MATCH(ROWS($AH$2:AH900),$AH$2:$AH$1001,0),MATCH(COLUMNS($AO$1006:AU1006),$AO$1006:$BQ$1006,0)), HYPERLINK("#",""), HYPERLINK(CONCATENATE("#Metadata!", ADDRESS(INDEX($AJ$2:$AJ$1001,MATCH(ROWS($AH$2:AH900),$AH$2:$AH$1001,0),0), INDEX($AO$1004:$BQ$1004,1,MATCH(COLUMNS($AO$1006:AU1006),$AO$1006:$BQ$1006,0)))),"Fix")))</f>
        <v>#N/A</v>
      </c>
      <c r="I900" s="5" t="e">
        <f ca="1">IF(OR(INDEX($AI$2:$AI$1001,MATCH(ROWS($AH$2:AH900),$AH$2:$AH$1001,0),1)&gt;=100000,INDEX($AO$1005:$BQ$1005,1,MATCH(COLUMNS($AO$1006:AV1006),$AO$1006:$BQ$1006,0))&gt;=100000), " ",IF(INDEX($AO$2:$BQ$1001,MATCH(ROWS($AH$2:AH900),$AH$2:$AH$1001,0),MATCH(COLUMNS($AO$1006:AV1006),$AO$1006:$BQ$1006,0)), HYPERLINK("#",""), HYPERLINK(CONCATENATE("#Metadata!", ADDRESS(INDEX($AJ$2:$AJ$1001,MATCH(ROWS($AH$2:AH900),$AH$2:$AH$1001,0),0), INDEX($AO$1004:$BQ$1004,1,MATCH(COLUMNS($AO$1006:AV1006),$AO$1006:$BQ$1006,0)))),"Fix")))</f>
        <v>#N/A</v>
      </c>
      <c r="J900" s="5" t="e">
        <f ca="1">IF(OR(INDEX($AI$2:$AI$1001,MATCH(ROWS($AH$2:AH900),$AH$2:$AH$1001,0),1)&gt;=100000,INDEX($AO$1005:$BQ$1005,1,MATCH(COLUMNS($AO$1006:AW1006),$AO$1006:$BQ$1006,0))&gt;=100000), " ",IF(INDEX($AO$2:$BQ$1001,MATCH(ROWS($AH$2:AH900),$AH$2:$AH$1001,0),MATCH(COLUMNS($AO$1006:AW1006),$AO$1006:$BQ$1006,0)), HYPERLINK("#",""), HYPERLINK(CONCATENATE("#Metadata!", ADDRESS(INDEX($AJ$2:$AJ$1001,MATCH(ROWS($AH$2:AH900),$AH$2:$AH$1001,0),0), INDEX($AO$1004:$BQ$1004,1,MATCH(COLUMNS($AO$1006:AW1006),$AO$1006:$BQ$1006,0)))),"Fix")))</f>
        <v>#N/A</v>
      </c>
      <c r="K900" s="5" t="e">
        <f ca="1">IF(OR(INDEX($AI$2:$AI$1001,MATCH(ROWS($AH$2:AH900),$AH$2:$AH$1001,0),1)&gt;=100000,INDEX($AO$1005:$BQ$1005,1,MATCH(COLUMNS($AO$1006:AX1006),$AO$1006:$BQ$1006,0))&gt;=100000), " ",IF(INDEX($AO$2:$BQ$1001,MATCH(ROWS($AH$2:AH900),$AH$2:$AH$1001,0),MATCH(COLUMNS($AO$1006:AX1006),$AO$1006:$BQ$1006,0)), HYPERLINK("#",""), HYPERLINK(CONCATENATE("#Metadata!", ADDRESS(INDEX($AJ$2:$AJ$1001,MATCH(ROWS($AH$2:AH900),$AH$2:$AH$1001,0),0), INDEX($AO$1004:$BQ$1004,1,MATCH(COLUMNS($AO$1006:AX1006),$AO$1006:$BQ$1006,0)))),"Fix")))</f>
        <v>#N/A</v>
      </c>
      <c r="L900" s="5" t="e">
        <f ca="1">IF(OR(INDEX($AI$2:$AI$1001,MATCH(ROWS($AH$2:AH900),$AH$2:$AH$1001,0),1)&gt;=100000,INDEX($AO$1005:$BQ$1005,1,MATCH(COLUMNS($AO$1006:AY1006),$AO$1006:$BQ$1006,0))&gt;=100000), " ",IF(INDEX($AO$2:$BQ$1001,MATCH(ROWS($AH$2:AH900),$AH$2:$AH$1001,0),MATCH(COLUMNS($AO$1006:AY1006),$AO$1006:$BQ$1006,0)), HYPERLINK("#",""), HYPERLINK(CONCATENATE("#Metadata!", ADDRESS(INDEX($AJ$2:$AJ$1001,MATCH(ROWS($AH$2:AH900),$AH$2:$AH$1001,0),0), INDEX($AO$1004:$BQ$1004,1,MATCH(COLUMNS($AO$1006:AY1006),$AO$1006:$BQ$1006,0)))),"Fix")))</f>
        <v>#N/A</v>
      </c>
      <c r="M900" s="5" t="e">
        <f ca="1">IF(OR(INDEX($AI$2:$AI$1001,MATCH(ROWS($AH$2:AH900),$AH$2:$AH$1001,0),1)&gt;=100000,INDEX($AO$1005:$BQ$1005,1,MATCH(COLUMNS($AO$1006:AZ1006),$AO$1006:$BQ$1006,0))&gt;=100000), " ",IF(INDEX($AO$2:$BQ$1001,MATCH(ROWS($AH$2:AH900),$AH$2:$AH$1001,0),MATCH(COLUMNS($AO$1006:AZ1006),$AO$1006:$BQ$1006,0)), HYPERLINK("#",""), HYPERLINK(CONCATENATE("#Metadata!", ADDRESS(INDEX($AJ$2:$AJ$1001,MATCH(ROWS($AH$2:AH900),$AH$2:$AH$1001,0),0), INDEX($AO$1004:$BQ$1004,1,MATCH(COLUMNS($AO$1006:AZ1006),$AO$1006:$BQ$1006,0)))),"Fix")))</f>
        <v>#N/A</v>
      </c>
      <c r="N900" s="5" t="e">
        <f ca="1">IF(OR(INDEX($AI$2:$AI$1001,MATCH(ROWS($AH$2:AH900),$AH$2:$AH$1001,0),1)&gt;=100000,INDEX($AO$1005:$BQ$1005,1,MATCH(COLUMNS($AO$1006:BA1006),$AO$1006:$BQ$1006,0))&gt;=100000), " ",IF(INDEX($AO$2:$BQ$1001,MATCH(ROWS($AH$2:AH900),$AH$2:$AH$1001,0),MATCH(COLUMNS($AO$1006:BA1006),$AO$1006:$BQ$1006,0)), HYPERLINK("#",""), HYPERLINK(CONCATENATE("#Metadata!", ADDRESS(INDEX($AJ$2:$AJ$1001,MATCH(ROWS($AH$2:AH900),$AH$2:$AH$1001,0),0), INDEX($AO$1004:$BQ$1004,1,MATCH(COLUMNS($AO$1006:BA1006),$AO$1006:$BQ$1006,0)))),"Fix")))</f>
        <v>#N/A</v>
      </c>
      <c r="O900" s="5" t="e">
        <f ca="1">IF(OR(INDEX($AI$2:$AI$1001,MATCH(ROWS($AH$2:AH900),$AH$2:$AH$1001,0),1)&gt;=100000,INDEX($AO$1005:$BQ$1005,1,MATCH(COLUMNS($AO$1006:BB1006),$AO$1006:$BQ$1006,0))&gt;=100000), " ",IF(INDEX($AO$2:$BQ$1001,MATCH(ROWS($AH$2:AH900),$AH$2:$AH$1001,0),MATCH(COLUMNS($AO$1006:BB1006),$AO$1006:$BQ$1006,0)), HYPERLINK("#",""), HYPERLINK(CONCATENATE("#Metadata!", ADDRESS(INDEX($AJ$2:$AJ$1001,MATCH(ROWS($AH$2:AH900),$AH$2:$AH$1001,0),0), INDEX($AO$1004:$BQ$1004,1,MATCH(COLUMNS($AO$1006:BB1006),$AO$1006:$BQ$1006,0)))),"Fix")))</f>
        <v>#N/A</v>
      </c>
      <c r="P900" s="5" t="e">
        <f ca="1">IF(OR(INDEX($AI$2:$AI$1001,MATCH(ROWS($AH$2:AH900),$AH$2:$AH$1001,0),1)&gt;=100000,INDEX($AO$1005:$BQ$1005,1,MATCH(COLUMNS($AO$1006:BC1006),$AO$1006:$BQ$1006,0))&gt;=100000), " ",IF(INDEX($AO$2:$BQ$1001,MATCH(ROWS($AH$2:AH900),$AH$2:$AH$1001,0),MATCH(COLUMNS($AO$1006:BC1006),$AO$1006:$BQ$1006,0)), HYPERLINK("#",""), HYPERLINK(CONCATENATE("#Metadata!", ADDRESS(INDEX($AJ$2:$AJ$1001,MATCH(ROWS($AH$2:AH900),$AH$2:$AH$1001,0),0), INDEX($AO$1004:$BQ$1004,1,MATCH(COLUMNS($AO$1006:BC1006),$AO$1006:$BQ$1006,0)))),"Fix")))</f>
        <v>#N/A</v>
      </c>
      <c r="Q900" s="5" t="e">
        <f ca="1">IF(OR(INDEX($AI$2:$AI$1001,MATCH(ROWS($AH$2:AH900),$AH$2:$AH$1001,0),1)&gt;=100000,INDEX($AO$1005:$BQ$1005,1,MATCH(COLUMNS($AO$1006:BD1006),$AO$1006:$BQ$1006,0))&gt;=100000), " ",IF(INDEX($AO$2:$BQ$1001,MATCH(ROWS($AH$2:AH900),$AH$2:$AH$1001,0),MATCH(COLUMNS($AO$1006:BD1006),$AO$1006:$BQ$1006,0)), HYPERLINK("#",""), HYPERLINK(CONCATENATE("#Metadata!", ADDRESS(INDEX($AJ$2:$AJ$1001,MATCH(ROWS($AH$2:AH900),$AH$2:$AH$1001,0),0), INDEX($AO$1004:$BQ$1004,1,MATCH(COLUMNS($AO$1006:BD1006),$AO$1006:$BQ$1006,0)))),"Fix")))</f>
        <v>#N/A</v>
      </c>
      <c r="R900" s="5" t="e">
        <f ca="1">IF(OR(INDEX($AI$2:$AI$1001,MATCH(ROWS($AH$2:AH900),$AH$2:$AH$1001,0),1)&gt;=100000,INDEX($AO$1005:$BQ$1005,1,MATCH(COLUMNS($AO$1006:BE1006),$AO$1006:$BQ$1006,0))&gt;=100000), " ",IF(INDEX($AO$2:$BQ$1001,MATCH(ROWS($AH$2:AH900),$AH$2:$AH$1001,0),MATCH(COLUMNS($AO$1006:BE1006),$AO$1006:$BQ$1006,0)), HYPERLINK("#",""), HYPERLINK(CONCATENATE("#Metadata!", ADDRESS(INDEX($AJ$2:$AJ$1001,MATCH(ROWS($AH$2:AH900),$AH$2:$AH$1001,0),0), INDEX($AO$1004:$BQ$1004,1,MATCH(COLUMNS($AO$1006:BE1006),$AO$1006:$BQ$1006,0)))),"Fix")))</f>
        <v>#N/A</v>
      </c>
      <c r="S900" s="5" t="e">
        <f ca="1">IF(OR(INDEX($AI$2:$AI$1001,MATCH(ROWS($AH$2:AH900),$AH$2:$AH$1001,0),1)&gt;=100000,INDEX($AO$1005:$BQ$1005,1,MATCH(COLUMNS($AO$1006:BF1006),$AO$1006:$BQ$1006,0))&gt;=100000), " ",IF(INDEX($AO$2:$BQ$1001,MATCH(ROWS($AH$2:AH900),$AH$2:$AH$1001,0),MATCH(COLUMNS($AO$1006:BF1006),$AO$1006:$BQ$1006,0)), HYPERLINK("#",""), HYPERLINK(CONCATENATE("#Metadata!", ADDRESS(INDEX($AJ$2:$AJ$1001,MATCH(ROWS($AH$2:AH900),$AH$2:$AH$1001,0),0), INDEX($AO$1004:$BQ$1004,1,MATCH(COLUMNS($AO$1006:BF1006),$AO$1006:$BQ$1006,0)))),"Fix")))</f>
        <v>#N/A</v>
      </c>
      <c r="T900" s="5" t="e">
        <f ca="1">IF(OR(INDEX($AI$2:$AI$1001,MATCH(ROWS($AH$2:AH900),$AH$2:$AH$1001,0),1)&gt;=100000,INDEX($AO$1005:$BQ$1005,1,MATCH(COLUMNS($AO$1006:BG1006),$AO$1006:$BQ$1006,0))&gt;=100000), " ",IF(INDEX($AO$2:$BQ$1001,MATCH(ROWS($AH$2:AH900),$AH$2:$AH$1001,0),MATCH(COLUMNS($AO$1006:BG1006),$AO$1006:$BQ$1006,0)), HYPERLINK("#",""), HYPERLINK(CONCATENATE("#Metadata!", ADDRESS(INDEX($AJ$2:$AJ$1001,MATCH(ROWS($AH$2:AH900),$AH$2:$AH$1001,0),0), INDEX($AO$1004:$BQ$1004,1,MATCH(COLUMNS($AO$1006:BG1006),$AO$1006:$BQ$1006,0)))),"Fix")))</f>
        <v>#N/A</v>
      </c>
      <c r="U900" s="5" t="e">
        <f ca="1">IF(OR(INDEX($AI$2:$AI$1001,MATCH(ROWS($AH$2:AH900),$AH$2:$AH$1001,0),1)&gt;=100000,INDEX($AO$1005:$BQ$1005,1,MATCH(COLUMNS($AO$1006:BH1006),$AO$1006:$BQ$1006,0))&gt;=100000), " ",IF(INDEX($AO$2:$BQ$1001,MATCH(ROWS($AH$2:AH900),$AH$2:$AH$1001,0),MATCH(COLUMNS($AO$1006:BH1006),$AO$1006:$BQ$1006,0)), HYPERLINK("#",""), HYPERLINK(CONCATENATE("#Metadata!", ADDRESS(INDEX($AJ$2:$AJ$1001,MATCH(ROWS($AH$2:AH900),$AH$2:$AH$1001,0),0), INDEX($AO$1004:$BQ$1004,1,MATCH(COLUMNS($AO$1006:BH1006),$AO$1006:$BQ$1006,0)))),"Fix")))</f>
        <v>#N/A</v>
      </c>
      <c r="V900" s="5" t="e">
        <f ca="1">IF(OR(INDEX($AI$2:$AI$1001,MATCH(ROWS($AH$2:AH900),$AH$2:$AH$1001,0),1)&gt;=100000,INDEX($AO$1005:$BQ$1005,1,MATCH(COLUMNS($AO$1006:BI1006),$AO$1006:$BQ$1006,0))&gt;=100000), " ",IF(INDEX($AO$2:$BQ$1001,MATCH(ROWS($AH$2:AH900),$AH$2:$AH$1001,0),MATCH(COLUMNS($AO$1006:BI1006),$AO$1006:$BQ$1006,0)), HYPERLINK("#",""), HYPERLINK(CONCATENATE("#Metadata!", ADDRESS(INDEX($AJ$2:$AJ$1001,MATCH(ROWS($AH$2:AH900),$AH$2:$AH$1001,0),0), INDEX($AO$1004:$BQ$1004,1,MATCH(COLUMNS($AO$1006:BI1006),$AO$1006:$BQ$1006,0)))),"Fix")))</f>
        <v>#N/A</v>
      </c>
      <c r="W900" s="5" t="e">
        <f ca="1">IF(OR(INDEX($AI$2:$AI$1001,MATCH(ROWS($AH$2:AH900),$AH$2:$AH$1001,0),1)&gt;=100000,INDEX($AO$1005:$BQ$1005,1,MATCH(COLUMNS($AO$1006:BJ1006),$AO$1006:$BQ$1006,0))&gt;=100000), " ",IF(INDEX($AO$2:$BQ$1001,MATCH(ROWS($AH$2:AH900),$AH$2:$AH$1001,0),MATCH(COLUMNS($AO$1006:BJ1006),$AO$1006:$BQ$1006,0)), HYPERLINK("#",""), HYPERLINK(CONCATENATE("#Metadata!", ADDRESS(INDEX($AJ$2:$AJ$1001,MATCH(ROWS($AH$2:AH900),$AH$2:$AH$1001,0),0), INDEX($AO$1004:$BQ$1004,1,MATCH(COLUMNS($AO$1006:BJ1006),$AO$1006:$BQ$1006,0)))),"Fix")))</f>
        <v>#N/A</v>
      </c>
      <c r="X900" s="5" t="e">
        <f ca="1">IF(OR(INDEX($AI$2:$AI$1001,MATCH(ROWS($AH$2:AH900),$AH$2:$AH$1001,0),1)&gt;=100000,INDEX($AO$1005:$BQ$1005,1,MATCH(COLUMNS($AO$1006:BK1006),$AO$1006:$BQ$1006,0))&gt;=100000), " ",IF(INDEX($AO$2:$BQ$1001,MATCH(ROWS($AH$2:AH900),$AH$2:$AH$1001,0),MATCH(COLUMNS($AO$1006:BK1006),$AO$1006:$BQ$1006,0)), HYPERLINK("#",""), HYPERLINK(CONCATENATE("#Metadata!", ADDRESS(INDEX($AJ$2:$AJ$1001,MATCH(ROWS($AH$2:AH900),$AH$2:$AH$1001,0),0), INDEX($AO$1004:$BQ$1004,1,MATCH(COLUMNS($AO$1006:BK1006),$AO$1006:$BQ$1006,0)))),"Fix")))</f>
        <v>#N/A</v>
      </c>
      <c r="Y900" s="5" t="e">
        <f ca="1">IF(OR(INDEX($AI$2:$AI$1001,MATCH(ROWS($AH$2:AH900),$AH$2:$AH$1001,0),1)&gt;=100000,INDEX($AO$1005:$BQ$1005,1,MATCH(COLUMNS($AO$1006:BL1006),$AO$1006:$BQ$1006,0))&gt;=100000), " ",IF(INDEX($AO$2:$BQ$1001,MATCH(ROWS($AH$2:AH900),$AH$2:$AH$1001,0),MATCH(COLUMNS($AO$1006:BL1006),$AO$1006:$BQ$1006,0)), HYPERLINK("#",""), HYPERLINK(CONCATENATE("#Metadata!", ADDRESS(INDEX($AJ$2:$AJ$1001,MATCH(ROWS($AH$2:AH900),$AH$2:$AH$1001,0),0), INDEX($AO$1004:$BQ$1004,1,MATCH(COLUMNS($AO$1006:BL1006),$AO$1006:$BQ$1006,0)))),"Fix")))</f>
        <v>#N/A</v>
      </c>
      <c r="Z900" s="5" t="e">
        <f ca="1">IF(OR(INDEX($AI$2:$AI$1001,MATCH(ROWS($AH$2:AH900),$AH$2:$AH$1001,0),1)&gt;=100000,INDEX($AO$1005:$BQ$1005,1,MATCH(COLUMNS($AO$1006:BM1006),$AO$1006:$BQ$1006,0))&gt;=100000), " ",IF(INDEX($AO$2:$BQ$1001,MATCH(ROWS($AH$2:AH900),$AH$2:$AH$1001,0),MATCH(COLUMNS($AO$1006:BM1006),$AO$1006:$BQ$1006,0)), HYPERLINK("#",""), HYPERLINK(CONCATENATE("#Metadata!", ADDRESS(INDEX($AJ$2:$AJ$1001,MATCH(ROWS($AH$2:AH900),$AH$2:$AH$1001,0),0), INDEX($AO$1004:$BQ$1004,1,MATCH(COLUMNS($AO$1006:BM1006),$AO$1006:$BQ$1006,0)))),"Fix")))</f>
        <v>#N/A</v>
      </c>
      <c r="AA900" s="5" t="e">
        <f ca="1">IF(OR(INDEX($AI$2:$AI$1001,MATCH(ROWS($AH$2:AH900),$AH$2:$AH$1001,0),1)&gt;=100000,INDEX($AO$1005:$BQ$1005,1,MATCH(COLUMNS($AO$1006:BN1006),$AO$1006:$BQ$1006,0))&gt;=100000), " ",IF(INDEX($AO$2:$BQ$1001,MATCH(ROWS($AH$2:AH900),$AH$2:$AH$1001,0),MATCH(COLUMNS($AO$1006:BN1006),$AO$1006:$BQ$1006,0)), HYPERLINK("#",""), HYPERLINK(CONCATENATE("#Metadata!", ADDRESS(INDEX($AJ$2:$AJ$1001,MATCH(ROWS($AH$2:AH900),$AH$2:$AH$1001,0),0), INDEX($AO$1004:$BQ$1004,1,MATCH(COLUMNS($AO$1006:BN1006),$AO$1006:$BQ$1006,0)))),"Fix")))</f>
        <v>#N/A</v>
      </c>
      <c r="AB900" s="5" t="e">
        <f ca="1">IF(OR(INDEX($AI$2:$AI$1001,MATCH(ROWS($AH$2:AH900),$AH$2:$AH$1001,0),1)&gt;=100000,INDEX($AO$1005:$BQ$1005,1,MATCH(COLUMNS($AO$1006:BO1006),$AO$1006:$BQ$1006,0))&gt;=100000), " ",IF(INDEX($AO$2:$BQ$1001,MATCH(ROWS($AH$2:AH900),$AH$2:$AH$1001,0),MATCH(COLUMNS($AO$1006:BO1006),$AO$1006:$BQ$1006,0)), HYPERLINK("#",""), HYPERLINK(CONCATENATE("#Metadata!", ADDRESS(INDEX($AJ$2:$AJ$1001,MATCH(ROWS($AH$2:AH900),$AH$2:$AH$1001,0),0), INDEX($AO$1004:$BQ$1004,1,MATCH(COLUMNS($AO$1006:BO1006),$AO$1006:$BQ$1006,0)))),"Fix")))</f>
        <v>#N/A</v>
      </c>
      <c r="AC900" s="5" t="e">
        <f ca="1">IF(OR(INDEX($AI$2:$AI$1001,MATCH(ROWS($AH$2:AH900),$AH$2:$AH$1001,0),1)&gt;=100000,INDEX($AO$1005:$BQ$1005,1,MATCH(COLUMNS($AO$1006:BP1006),$AO$1006:$BQ$1006,0))&gt;=100000), " ",IF(INDEX($AO$2:$BQ$1001,MATCH(ROWS($AH$2:AH900),$AH$2:$AH$1001,0),MATCH(COLUMNS($AO$1006:BP1006),$AO$1006:$BQ$1006,0)), HYPERLINK("#",""), HYPERLINK(CONCATENATE("#Metadata!", ADDRESS(INDEX($AJ$2:$AJ$1001,MATCH(ROWS($AH$2:AH900),$AH$2:$AH$1001,0),0), INDEX($AO$1004:$BQ$1004,1,MATCH(COLUMNS($AO$1006:BP1006),$AO$1006:$BQ$1006,0)))),"Fix")))</f>
        <v>#N/A</v>
      </c>
      <c r="AD900" s="5" t="e">
        <f ca="1">IF(OR(INDEX($AI$2:$AI$1001,MATCH(ROWS($AH$2:AH900),$AH$2:$AH$1001,0),1)&gt;=100000,INDEX($AO$1005:$BQ$1005,1,MATCH(COLUMNS($AO$1006:BQ1006),$AO$1006:$BQ$1006,0))&gt;=100000), " ",IF(INDEX($AO$2:$BQ$1001,MATCH(ROWS($AH$2:AH900),$AH$2:$AH$1001,0),MATCH(COLUMNS($AO$1006:BQ1006),$AO$1006:$BQ$1006,0)), HYPERLINK("#",""), HYPERLINK(CONCATENATE("#Metadata!", ADDRESS(INDEX($AJ$2:$AJ$1001,MATCH(ROWS($AH$2:AH900),$AH$2:$AH$1001,0),0), INDEX($AO$1004:$BQ$1004,1,MATCH(COLUMNS($AO$1006:BQ1006),$AO$1006:$BQ$1006,0)))),"Fix")))</f>
        <v>#REF!</v>
      </c>
      <c r="AH900">
        <f ca="1"/>
        <v>897</v>
      </c>
      <c r="AI900">
        <v>100900</v>
      </c>
      <c r="AJ900">
        <v>900</v>
      </c>
      <c r="AK900" t="b">
        <f t="shared" si="14"/>
        <v>1</v>
      </c>
      <c r="AL900" t="b">
        <f>COUNTBLANK(Metadata!B900:AD900)=COLUMNS(Metadata!B900:AD900)</f>
        <v>1</v>
      </c>
      <c r="AM900" t="str">
        <v/>
      </c>
      <c r="AO900" t="b">
        <f ca="1">AND(IF(Metadata!B900="",FALSE,TRUE),COUNTIF(Metadata!B:B, Metadata!B900) = 1,NOT(ISERROR(SUMPRODUCT(SEARCH(MID(Metadata!B900,ROW(INDIRECT("1:"&amp;LEN(Metadata!B900))), 1),"0123456789abcdefghijklmnopqrstuvwxyzABCDEFGHIJKLMNOPQRSTUVWXYZ.")))))</f>
        <v>0</v>
      </c>
      <c r="AP900" t="b">
        <f>IF(Metadata!C900="",FALSE,TRUE)</f>
        <v>0</v>
      </c>
      <c r="AQ900" t="b">
        <f>IF(Metadata!D900="",FALSE,TRUE)</f>
        <v>0</v>
      </c>
      <c r="AR900" t="b">
        <f ca="1">OR(AND(IF(Metadata!E900="",FALSE,TRUE),OR(EXACT(Metadata!E900,"not collected"),EXACT(Metadata!E900,"not provided"),EXACT(Metadata!E900,"restricted access"))),AND(IF(Metadata!E900="",FALSE,TRUE),AND(AND(IFERROR(INT(LEFT(Metadata!E900,4))&gt;1900,FALSE),IFERROR(INT(LEFT(Metadata!E900,4))&lt;=YEAR(NOW()),FALSE)), OR(MID(Metadata!E900,5,1)="", AND(AND(MID(Metadata!E900,5,1)="-",IFERROR(INT(MID(Metadata!E900,6,1))&gt;=0,FALSE),IFERROR(INT(MID(Metadata!E900,6,1))&lt;=1,FALSE),NOT(MID(Metadata!E900,7,1)=""),IFERROR(INT(MID(Metadata!E900,6,2))&gt;=1,FALSE),IFERROR(INT(MID(Metadata!E900,6,2))&lt;=12,FALSE)), OR(MID(Metadata!E900,8,1)="", AND(AND(MID(Metadata!E900,8,1)="-",IFERROR(INT(MID(Metadata!E900,9,1))&gt;=0,FALSE),IFERROR(INT(MID(Metadata!E900,9,1))&lt;=3,FALSE),NOT(MID(Metadata!E900,10,1)=""),IFERROR(INT(MID(Metadata!E900,9,2))&gt;=1,FALSE),IFERROR(INT(MID(Metadata!E900,9,2))&lt;=31,FALSE)), OR(MID(Metadata!E900,11,1)="", AND(AND(MID(Metadata!E900,11,1)=" ",IFERROR(INT(MID(Metadata!E900,12,1))&gt;=0,FALSE),IFERROR(INT(MID(Metadata!E900,12,1))&lt;=2,FALSE),NOT(MID(Metadata!E900,13,1)=""),IFERROR(INT(MID(Metadata!E900,12,2))&gt;=0,FALSE),IFERROR(INT(MID(Metadata!E900,12,2))&lt;=23,FALSE)), OR(MID(Metadata!E900,14,1)="", AND(AND(MID(Metadata!E900,14,1)=":",IFERROR(INT(MID(Metadata!E900,15,1))&gt;=0,FALSE),IFERROR(INT(MID(Metadata!E900,15,1))&lt;=5,FALSE),NOT(MID(Metadata!E900,16,1)=""),IFERROR(INT(MID(Metadata!E900,15,2))&gt;=0,FALSE),IFERROR(INT(MID(Metadata!E900,15,2))&lt;=59,FALSE)), OR(MID(Metadata!E900,17,1)="", AND(AND(MID(Metadata!E900,17,1)=":",IFERROR(INT(MID(Metadata!E900,18,1))&gt;=0,FALSE),IFERROR(INT(MID(Metadata!E900,18,1))&lt;=5,FALSE),NOT(MID(Metadata!E900,19,1)=""),IFERROR(INT(MID(Metadata!E900,18,2))&gt;=0,FALSE),IFERROR(INT(MID(Metadata!E900,18,2))&lt;=59,FALSE)), LEN(Metadata!E900)&lt;=19)))))))))))))</f>
        <v>0</v>
      </c>
      <c r="AS900" t="b">
        <f>IF(Metadata!F900="",FALSE,TRUE)</f>
        <v>0</v>
      </c>
      <c r="AT900" t="b">
        <f>OR(AND(IF(Metadata!G900="",FALSE,TRUE),OR(EXACT(Metadata!G900,"not collected"),EXACT(Metadata!G900,"not provided"))),AND(IF(Metadata!G900="",FALSE,TRUE),OR(EXACT(Metadata!G900,"TRUE"),EXACT(Metadata!G900,"FALSE"))))</f>
        <v>0</v>
      </c>
      <c r="AU900" t="b">
        <f>OR(AND(IF(Metadata!H900="",FALSE,TRUE),OR(EXACT(Metadata!H900,"not collected"),EXACT(Metadata!H900,"not provided"),EXACT(Metadata!H900,"restricted access"))),AND(IF(Metadata!H900="",FALSE,ISNUMBER(VALUE(Metadata!H900))),Metadata!H900&gt;=-413))</f>
        <v>0</v>
      </c>
      <c r="AV900" t="b">
        <f>AND(IF(Metadata!I900="",FALSE,TRUE),EXACT(Metadata!I900,"meters"))</f>
        <v>0</v>
      </c>
      <c r="AW900" t="b">
        <f>AND(IF(Metadata!J900="",FALSE,TRUE),EXACT(Metadata!J900,"free-living"))</f>
        <v>0</v>
      </c>
      <c r="AX900" t="b">
        <f>AND(IF(Metadata!K900="",FALSE,TRUE),OR(EXACT(Metadata!K900,"saline"),EXACT(Metadata!K900,"non-saline")))</f>
        <v>0</v>
      </c>
      <c r="AY900" t="b">
        <f>AND(IF(Metadata!L900="",FALSE,TRUE),OR(EXACT(Metadata!L900,"sub-surface (non-saline)"),EXACT(Metadata!L900,"surface (non-saline)"),EXACT(Metadata!L900,"water (non-saline)"),EXACT(Metadata!L900,"soil (non-saline)"),EXACT(Metadata!L900,"aerosol (non-saline)"),EXACT(Metadata!L900,"sediment (non-saline)"),EXACT(Metadata!L900,"surface (saline)"),EXACT(Metadata!L900,"water (saline)"),EXACT(Metadata!L900,"hypersaline (saline)"),EXACT(Metadata!L900,"aerosol (saline)"),EXACT(Metadata!L900,"sediment (saline)")))</f>
        <v>0</v>
      </c>
      <c r="AZ900" t="b">
        <f>IF(Metadata!M900="",FALSE,TRUE)</f>
        <v>0</v>
      </c>
      <c r="BA900" t="b">
        <f>IF(Metadata!N900="",FALSE,TRUE)</f>
        <v>0</v>
      </c>
      <c r="BB900" t="b">
        <f>IF(Metadata!O900="",FALSE,TRUE)</f>
        <v>0</v>
      </c>
      <c r="BC900" t="b">
        <f>AND(IF(Metadata!P900="",FALSE,TRUE),OR(EXACT(Metadata!P900,"air"),EXACT(Metadata!P900,"microbial mat/biofilm"),EXACT(Metadata!P900,"misc environment"),EXACT(Metadata!P900,"sediment"),EXACT(Metadata!P900,"soil"),EXACT(Metadata!P900,"wastewater/sludge"),EXACT(Metadata!P900,"water")))</f>
        <v>0</v>
      </c>
      <c r="BD900" t="b">
        <f>IF(Metadata!Q900="",FALSE,TRUE)</f>
        <v>0</v>
      </c>
      <c r="BE900" t="b">
        <f>IF(Metadata!R900="",FALSE,TRUE)</f>
        <v>0</v>
      </c>
      <c r="BF900" t="b">
        <f>OR(AND(IF(Metadata!S900="",FALSE,TRUE),OR(EXACT(Metadata!S900,"not collected"),EXACT(Metadata!S900,"not provided"),EXACT(Metadata!S900,"restricted access"))),AND(IF(Metadata!S900="",FALSE,ISNUMBER(VALUE(Metadata!S900))),Metadata!S900&gt;=-90,Metadata!S900&lt;=90))</f>
        <v>0</v>
      </c>
      <c r="BG900" t="b">
        <f>AND(IF(Metadata!T900="",FALSE,TRUE),EXACT(Metadata!T900,"Decimal degrees"))</f>
        <v>0</v>
      </c>
      <c r="BH900" t="b">
        <f>OR(AND(IF(Metadata!U900="",FALSE,TRUE),OR(EXACT(Metadata!U900,"not applicable"),EXACT(Metadata!U900,"not collected"))),IF(Metadata!U900="",FALSE,TRUE))</f>
        <v>0</v>
      </c>
      <c r="BI900" t="b">
        <f>OR(AND(IF(Metadata!V900="",FALSE,TRUE),OR(EXACT(Metadata!V900,"not collected"),EXACT(Metadata!V900,"not provided"),EXACT(Metadata!V900,"restricted access"))),AND(IF(Metadata!V900="",FALSE,ISNUMBER(VALUE(Metadata!V900))),Metadata!V900&gt;=-180,Metadata!V900&lt;=180))</f>
        <v>0</v>
      </c>
      <c r="BJ900" t="b">
        <f>AND(IF(Metadata!W900="",FALSE,TRUE),EXACT(Metadata!W900,"Decimal degrees"))</f>
        <v>0</v>
      </c>
      <c r="BK900" t="b">
        <f>IF(Metadata!X900="",FALSE,TRUE)</f>
        <v>0</v>
      </c>
      <c r="BL900" t="b">
        <f>OR(AND(IF(Metadata!Y900="",FALSE,TRUE),OR(EXACT(Metadata!Y900,"not collected"),EXACT(Metadata!Y900,"not provided"),EXACT(Metadata!Y900,"restricted access"))),AND(IF(Metadata!Y900="",FALSE,TRUE),OR(EXACT(Metadata!Y900,"TRUE"),EXACT(Metadata!Y900,"FALSE"))))</f>
        <v>0</v>
      </c>
      <c r="BM900" t="b">
        <f>OR(AND(IF(Metadata!Z900="",FALSE,TRUE),EXACT(Metadata!Z900,"not applicable")),AND(IF(Metadata!Z900="",FALSE,TRUE),OR(EXACT(Metadata!Z900,"beer"),EXACT(Metadata!Z900,"cheese"),EXACT(Metadata!Z900,"fresh water"),EXACT(Metadata!Z900,"marine sediment"),EXACT(Metadata!Z900,"sea water"),EXACT(Metadata!Z900,"sediment"),EXACT(Metadata!Z900,"soil"),EXACT(Metadata!Z900,"waste water"))))</f>
        <v>0</v>
      </c>
      <c r="BN900" t="b">
        <f>AND(IF(Metadata!AA900="",FALSE,TRUE),EXACT(Metadata!AA900,"metagenome"))</f>
        <v>0</v>
      </c>
      <c r="BO900" t="b">
        <f>AND(IF(Metadata!AB900="",FALSE,TRUE),EXACT(Metadata!AB900,"256318"))</f>
        <v>0</v>
      </c>
      <c r="BP900" t="b">
        <f>IF(Metadata!AC900="",FALSE,TRUE)</f>
        <v>0</v>
      </c>
      <c r="BQ900" t="b">
        <f>IF(Metadata!AD900="",FALSE,TRUE)</f>
        <v>0</v>
      </c>
    </row>
    <row r="901" spans="1:69" x14ac:dyDescent="0.2">
      <c r="A901" s="4" t="e">
        <f ca="1">IF(B901=" "," ",HYPERLINK(CONCATENATE("#metadata!",ADDRESS(INDEX($AJ$2:$AJ$1001,MATCH(ROWS($AH$2:AH901),$AH$2:$AH$1001,0),0),2)),INDEX($AM$2:$AM$1001,MATCH(ROWS($AH$2:AH901),$AH$2:$AH$1001,0),0)))</f>
        <v>#N/A</v>
      </c>
      <c r="B901" s="5" t="e">
        <f ca="1">IF(OR(INDEX($AI$2:$AI$1001,MATCH(ROWS($AH$2:AH901),$AH$2:$AH$1001,0),1)&gt;=100000,INDEX($AO$1005:$BQ$1005,1,MATCH(COLUMNS($AO$1006:AO1006),$AO$1006:$BQ$1006,0))&gt;=100000), " ",IF(INDEX($AO$2:$BQ$1001,MATCH(ROWS($AH$2:AH901),$AH$2:$AH$1001,0),MATCH(COLUMNS($AO$1006:AO1006),$AO$1006:$BQ$1006,0)), HYPERLINK("#",""), HYPERLINK(CONCATENATE("#Metadata!", ADDRESS(INDEX($AJ$2:$AJ$1001,MATCH(ROWS($AH$2:AH901),$AH$2:$AH$1001,0),0), INDEX($AO$1004:$BQ$1004,1,MATCH(COLUMNS($AO$1006:AO1006),$AO$1006:$BQ$1006,0)))),"Fix")))</f>
        <v>#N/A</v>
      </c>
      <c r="C901" s="5" t="e">
        <f ca="1">IF(OR(INDEX($AI$2:$AI$1001,MATCH(ROWS($AH$2:AH901),$AH$2:$AH$1001,0),1)&gt;=100000,INDEX($AO$1005:$BQ$1005,1,MATCH(COLUMNS($AO$1006:AP1006),$AO$1006:$BQ$1006,0))&gt;=100000), " ",IF(INDEX($AO$2:$BQ$1001,MATCH(ROWS($AH$2:AH901),$AH$2:$AH$1001,0),MATCH(COLUMNS($AO$1006:AP1006),$AO$1006:$BQ$1006,0)), HYPERLINK("#",""), HYPERLINK(CONCATENATE("#Metadata!", ADDRESS(INDEX($AJ$2:$AJ$1001,MATCH(ROWS($AH$2:AH901),$AH$2:$AH$1001,0),0), INDEX($AO$1004:$BQ$1004,1,MATCH(COLUMNS($AO$1006:AP1006),$AO$1006:$BQ$1006,0)))),"Fix")))</f>
        <v>#N/A</v>
      </c>
      <c r="D901" s="5" t="e">
        <f ca="1">IF(OR(INDEX($AI$2:$AI$1001,MATCH(ROWS($AH$2:AH901),$AH$2:$AH$1001,0),1)&gt;=100000,INDEX($AO$1005:$BQ$1005,1,MATCH(COLUMNS($AO$1006:AQ1006),$AO$1006:$BQ$1006,0))&gt;=100000), " ",IF(INDEX($AO$2:$BQ$1001,MATCH(ROWS($AH$2:AH901),$AH$2:$AH$1001,0),MATCH(COLUMNS($AO$1006:AQ1006),$AO$1006:$BQ$1006,0)), HYPERLINK("#",""), HYPERLINK(CONCATENATE("#Metadata!", ADDRESS(INDEX($AJ$2:$AJ$1001,MATCH(ROWS($AH$2:AH901),$AH$2:$AH$1001,0),0), INDEX($AO$1004:$BQ$1004,1,MATCH(COLUMNS($AO$1006:AQ1006),$AO$1006:$BQ$1006,0)))),"Fix")))</f>
        <v>#N/A</v>
      </c>
      <c r="E901" s="5" t="e">
        <f ca="1">IF(OR(INDEX($AI$2:$AI$1001,MATCH(ROWS($AH$2:AH901),$AH$2:$AH$1001,0),1)&gt;=100000,INDEX($AO$1005:$BQ$1005,1,MATCH(COLUMNS($AO$1006:AR1006),$AO$1006:$BQ$1006,0))&gt;=100000), " ",IF(INDEX($AO$2:$BQ$1001,MATCH(ROWS($AH$2:AH901),$AH$2:$AH$1001,0),MATCH(COLUMNS($AO$1006:AR1006),$AO$1006:$BQ$1006,0)), HYPERLINK("#",""), HYPERLINK(CONCATENATE("#Metadata!", ADDRESS(INDEX($AJ$2:$AJ$1001,MATCH(ROWS($AH$2:AH901),$AH$2:$AH$1001,0),0), INDEX($AO$1004:$BQ$1004,1,MATCH(COLUMNS($AO$1006:AR1006),$AO$1006:$BQ$1006,0)))),"Fix")))</f>
        <v>#N/A</v>
      </c>
      <c r="F901" s="5" t="e">
        <f ca="1">IF(OR(INDEX($AI$2:$AI$1001,MATCH(ROWS($AH$2:AH901),$AH$2:$AH$1001,0),1)&gt;=100000,INDEX($AO$1005:$BQ$1005,1,MATCH(COLUMNS($AO$1006:AS1006),$AO$1006:$BQ$1006,0))&gt;=100000), " ",IF(INDEX($AO$2:$BQ$1001,MATCH(ROWS($AH$2:AH901),$AH$2:$AH$1001,0),MATCH(COLUMNS($AO$1006:AS1006),$AO$1006:$BQ$1006,0)), HYPERLINK("#",""), HYPERLINK(CONCATENATE("#Metadata!", ADDRESS(INDEX($AJ$2:$AJ$1001,MATCH(ROWS($AH$2:AH901),$AH$2:$AH$1001,0),0), INDEX($AO$1004:$BQ$1004,1,MATCH(COLUMNS($AO$1006:AS1006),$AO$1006:$BQ$1006,0)))),"Fix")))</f>
        <v>#N/A</v>
      </c>
      <c r="G901" s="5" t="e">
        <f ca="1">IF(OR(INDEX($AI$2:$AI$1001,MATCH(ROWS($AH$2:AH901),$AH$2:$AH$1001,0),1)&gt;=100000,INDEX($AO$1005:$BQ$1005,1,MATCH(COLUMNS($AO$1006:AT1006),$AO$1006:$BQ$1006,0))&gt;=100000), " ",IF(INDEX($AO$2:$BQ$1001,MATCH(ROWS($AH$2:AH901),$AH$2:$AH$1001,0),MATCH(COLUMNS($AO$1006:AT1006),$AO$1006:$BQ$1006,0)), HYPERLINK("#",""), HYPERLINK(CONCATENATE("#Metadata!", ADDRESS(INDEX($AJ$2:$AJ$1001,MATCH(ROWS($AH$2:AH901),$AH$2:$AH$1001,0),0), INDEX($AO$1004:$BQ$1004,1,MATCH(COLUMNS($AO$1006:AT1006),$AO$1006:$BQ$1006,0)))),"Fix")))</f>
        <v>#N/A</v>
      </c>
      <c r="H901" s="5" t="e">
        <f ca="1">IF(OR(INDEX($AI$2:$AI$1001,MATCH(ROWS($AH$2:AH901),$AH$2:$AH$1001,0),1)&gt;=100000,INDEX($AO$1005:$BQ$1005,1,MATCH(COLUMNS($AO$1006:AU1006),$AO$1006:$BQ$1006,0))&gt;=100000), " ",IF(INDEX($AO$2:$BQ$1001,MATCH(ROWS($AH$2:AH901),$AH$2:$AH$1001,0),MATCH(COLUMNS($AO$1006:AU1006),$AO$1006:$BQ$1006,0)), HYPERLINK("#",""), HYPERLINK(CONCATENATE("#Metadata!", ADDRESS(INDEX($AJ$2:$AJ$1001,MATCH(ROWS($AH$2:AH901),$AH$2:$AH$1001,0),0), INDEX($AO$1004:$BQ$1004,1,MATCH(COLUMNS($AO$1006:AU1006),$AO$1006:$BQ$1006,0)))),"Fix")))</f>
        <v>#N/A</v>
      </c>
      <c r="I901" s="5" t="e">
        <f ca="1">IF(OR(INDEX($AI$2:$AI$1001,MATCH(ROWS($AH$2:AH901),$AH$2:$AH$1001,0),1)&gt;=100000,INDEX($AO$1005:$BQ$1005,1,MATCH(COLUMNS($AO$1006:AV1006),$AO$1006:$BQ$1006,0))&gt;=100000), " ",IF(INDEX($AO$2:$BQ$1001,MATCH(ROWS($AH$2:AH901),$AH$2:$AH$1001,0),MATCH(COLUMNS($AO$1006:AV1006),$AO$1006:$BQ$1006,0)), HYPERLINK("#",""), HYPERLINK(CONCATENATE("#Metadata!", ADDRESS(INDEX($AJ$2:$AJ$1001,MATCH(ROWS($AH$2:AH901),$AH$2:$AH$1001,0),0), INDEX($AO$1004:$BQ$1004,1,MATCH(COLUMNS($AO$1006:AV1006),$AO$1006:$BQ$1006,0)))),"Fix")))</f>
        <v>#N/A</v>
      </c>
      <c r="J901" s="5" t="e">
        <f ca="1">IF(OR(INDEX($AI$2:$AI$1001,MATCH(ROWS($AH$2:AH901),$AH$2:$AH$1001,0),1)&gt;=100000,INDEX($AO$1005:$BQ$1005,1,MATCH(COLUMNS($AO$1006:AW1006),$AO$1006:$BQ$1006,0))&gt;=100000), " ",IF(INDEX($AO$2:$BQ$1001,MATCH(ROWS($AH$2:AH901),$AH$2:$AH$1001,0),MATCH(COLUMNS($AO$1006:AW1006),$AO$1006:$BQ$1006,0)), HYPERLINK("#",""), HYPERLINK(CONCATENATE("#Metadata!", ADDRESS(INDEX($AJ$2:$AJ$1001,MATCH(ROWS($AH$2:AH901),$AH$2:$AH$1001,0),0), INDEX($AO$1004:$BQ$1004,1,MATCH(COLUMNS($AO$1006:AW1006),$AO$1006:$BQ$1006,0)))),"Fix")))</f>
        <v>#N/A</v>
      </c>
      <c r="K901" s="5" t="e">
        <f ca="1">IF(OR(INDEX($AI$2:$AI$1001,MATCH(ROWS($AH$2:AH901),$AH$2:$AH$1001,0),1)&gt;=100000,INDEX($AO$1005:$BQ$1005,1,MATCH(COLUMNS($AO$1006:AX1006),$AO$1006:$BQ$1006,0))&gt;=100000), " ",IF(INDEX($AO$2:$BQ$1001,MATCH(ROWS($AH$2:AH901),$AH$2:$AH$1001,0),MATCH(COLUMNS($AO$1006:AX1006),$AO$1006:$BQ$1006,0)), HYPERLINK("#",""), HYPERLINK(CONCATENATE("#Metadata!", ADDRESS(INDEX($AJ$2:$AJ$1001,MATCH(ROWS($AH$2:AH901),$AH$2:$AH$1001,0),0), INDEX($AO$1004:$BQ$1004,1,MATCH(COLUMNS($AO$1006:AX1006),$AO$1006:$BQ$1006,0)))),"Fix")))</f>
        <v>#N/A</v>
      </c>
      <c r="L901" s="5" t="e">
        <f ca="1">IF(OR(INDEX($AI$2:$AI$1001,MATCH(ROWS($AH$2:AH901),$AH$2:$AH$1001,0),1)&gt;=100000,INDEX($AO$1005:$BQ$1005,1,MATCH(COLUMNS($AO$1006:AY1006),$AO$1006:$BQ$1006,0))&gt;=100000), " ",IF(INDEX($AO$2:$BQ$1001,MATCH(ROWS($AH$2:AH901),$AH$2:$AH$1001,0),MATCH(COLUMNS($AO$1006:AY1006),$AO$1006:$BQ$1006,0)), HYPERLINK("#",""), HYPERLINK(CONCATENATE("#Metadata!", ADDRESS(INDEX($AJ$2:$AJ$1001,MATCH(ROWS($AH$2:AH901),$AH$2:$AH$1001,0),0), INDEX($AO$1004:$BQ$1004,1,MATCH(COLUMNS($AO$1006:AY1006),$AO$1006:$BQ$1006,0)))),"Fix")))</f>
        <v>#N/A</v>
      </c>
      <c r="M901" s="5" t="e">
        <f ca="1">IF(OR(INDEX($AI$2:$AI$1001,MATCH(ROWS($AH$2:AH901),$AH$2:$AH$1001,0),1)&gt;=100000,INDEX($AO$1005:$BQ$1005,1,MATCH(COLUMNS($AO$1006:AZ1006),$AO$1006:$BQ$1006,0))&gt;=100000), " ",IF(INDEX($AO$2:$BQ$1001,MATCH(ROWS($AH$2:AH901),$AH$2:$AH$1001,0),MATCH(COLUMNS($AO$1006:AZ1006),$AO$1006:$BQ$1006,0)), HYPERLINK("#",""), HYPERLINK(CONCATENATE("#Metadata!", ADDRESS(INDEX($AJ$2:$AJ$1001,MATCH(ROWS($AH$2:AH901),$AH$2:$AH$1001,0),0), INDEX($AO$1004:$BQ$1004,1,MATCH(COLUMNS($AO$1006:AZ1006),$AO$1006:$BQ$1006,0)))),"Fix")))</f>
        <v>#N/A</v>
      </c>
      <c r="N901" s="5" t="e">
        <f ca="1">IF(OR(INDEX($AI$2:$AI$1001,MATCH(ROWS($AH$2:AH901),$AH$2:$AH$1001,0),1)&gt;=100000,INDEX($AO$1005:$BQ$1005,1,MATCH(COLUMNS($AO$1006:BA1006),$AO$1006:$BQ$1006,0))&gt;=100000), " ",IF(INDEX($AO$2:$BQ$1001,MATCH(ROWS($AH$2:AH901),$AH$2:$AH$1001,0),MATCH(COLUMNS($AO$1006:BA1006),$AO$1006:$BQ$1006,0)), HYPERLINK("#",""), HYPERLINK(CONCATENATE("#Metadata!", ADDRESS(INDEX($AJ$2:$AJ$1001,MATCH(ROWS($AH$2:AH901),$AH$2:$AH$1001,0),0), INDEX($AO$1004:$BQ$1004,1,MATCH(COLUMNS($AO$1006:BA1006),$AO$1006:$BQ$1006,0)))),"Fix")))</f>
        <v>#N/A</v>
      </c>
      <c r="O901" s="5" t="e">
        <f ca="1">IF(OR(INDEX($AI$2:$AI$1001,MATCH(ROWS($AH$2:AH901),$AH$2:$AH$1001,0),1)&gt;=100000,INDEX($AO$1005:$BQ$1005,1,MATCH(COLUMNS($AO$1006:BB1006),$AO$1006:$BQ$1006,0))&gt;=100000), " ",IF(INDEX($AO$2:$BQ$1001,MATCH(ROWS($AH$2:AH901),$AH$2:$AH$1001,0),MATCH(COLUMNS($AO$1006:BB1006),$AO$1006:$BQ$1006,0)), HYPERLINK("#",""), HYPERLINK(CONCATENATE("#Metadata!", ADDRESS(INDEX($AJ$2:$AJ$1001,MATCH(ROWS($AH$2:AH901),$AH$2:$AH$1001,0),0), INDEX($AO$1004:$BQ$1004,1,MATCH(COLUMNS($AO$1006:BB1006),$AO$1006:$BQ$1006,0)))),"Fix")))</f>
        <v>#N/A</v>
      </c>
      <c r="P901" s="5" t="e">
        <f ca="1">IF(OR(INDEX($AI$2:$AI$1001,MATCH(ROWS($AH$2:AH901),$AH$2:$AH$1001,0),1)&gt;=100000,INDEX($AO$1005:$BQ$1005,1,MATCH(COLUMNS($AO$1006:BC1006),$AO$1006:$BQ$1006,0))&gt;=100000), " ",IF(INDEX($AO$2:$BQ$1001,MATCH(ROWS($AH$2:AH901),$AH$2:$AH$1001,0),MATCH(COLUMNS($AO$1006:BC1006),$AO$1006:$BQ$1006,0)), HYPERLINK("#",""), HYPERLINK(CONCATENATE("#Metadata!", ADDRESS(INDEX($AJ$2:$AJ$1001,MATCH(ROWS($AH$2:AH901),$AH$2:$AH$1001,0),0), INDEX($AO$1004:$BQ$1004,1,MATCH(COLUMNS($AO$1006:BC1006),$AO$1006:$BQ$1006,0)))),"Fix")))</f>
        <v>#N/A</v>
      </c>
      <c r="Q901" s="5" t="e">
        <f ca="1">IF(OR(INDEX($AI$2:$AI$1001,MATCH(ROWS($AH$2:AH901),$AH$2:$AH$1001,0),1)&gt;=100000,INDEX($AO$1005:$BQ$1005,1,MATCH(COLUMNS($AO$1006:BD1006),$AO$1006:$BQ$1006,0))&gt;=100000), " ",IF(INDEX($AO$2:$BQ$1001,MATCH(ROWS($AH$2:AH901),$AH$2:$AH$1001,0),MATCH(COLUMNS($AO$1006:BD1006),$AO$1006:$BQ$1006,0)), HYPERLINK("#",""), HYPERLINK(CONCATENATE("#Metadata!", ADDRESS(INDEX($AJ$2:$AJ$1001,MATCH(ROWS($AH$2:AH901),$AH$2:$AH$1001,0),0), INDEX($AO$1004:$BQ$1004,1,MATCH(COLUMNS($AO$1006:BD1006),$AO$1006:$BQ$1006,0)))),"Fix")))</f>
        <v>#N/A</v>
      </c>
      <c r="R901" s="5" t="e">
        <f ca="1">IF(OR(INDEX($AI$2:$AI$1001,MATCH(ROWS($AH$2:AH901),$AH$2:$AH$1001,0),1)&gt;=100000,INDEX($AO$1005:$BQ$1005,1,MATCH(COLUMNS($AO$1006:BE1006),$AO$1006:$BQ$1006,0))&gt;=100000), " ",IF(INDEX($AO$2:$BQ$1001,MATCH(ROWS($AH$2:AH901),$AH$2:$AH$1001,0),MATCH(COLUMNS($AO$1006:BE1006),$AO$1006:$BQ$1006,0)), HYPERLINK("#",""), HYPERLINK(CONCATENATE("#Metadata!", ADDRESS(INDEX($AJ$2:$AJ$1001,MATCH(ROWS($AH$2:AH901),$AH$2:$AH$1001,0),0), INDEX($AO$1004:$BQ$1004,1,MATCH(COLUMNS($AO$1006:BE1006),$AO$1006:$BQ$1006,0)))),"Fix")))</f>
        <v>#N/A</v>
      </c>
      <c r="S901" s="5" t="e">
        <f ca="1">IF(OR(INDEX($AI$2:$AI$1001,MATCH(ROWS($AH$2:AH901),$AH$2:$AH$1001,0),1)&gt;=100000,INDEX($AO$1005:$BQ$1005,1,MATCH(COLUMNS($AO$1006:BF1006),$AO$1006:$BQ$1006,0))&gt;=100000), " ",IF(INDEX($AO$2:$BQ$1001,MATCH(ROWS($AH$2:AH901),$AH$2:$AH$1001,0),MATCH(COLUMNS($AO$1006:BF1006),$AO$1006:$BQ$1006,0)), HYPERLINK("#",""), HYPERLINK(CONCATENATE("#Metadata!", ADDRESS(INDEX($AJ$2:$AJ$1001,MATCH(ROWS($AH$2:AH901),$AH$2:$AH$1001,0),0), INDEX($AO$1004:$BQ$1004,1,MATCH(COLUMNS($AO$1006:BF1006),$AO$1006:$BQ$1006,0)))),"Fix")))</f>
        <v>#N/A</v>
      </c>
      <c r="T901" s="5" t="e">
        <f ca="1">IF(OR(INDEX($AI$2:$AI$1001,MATCH(ROWS($AH$2:AH901),$AH$2:$AH$1001,0),1)&gt;=100000,INDEX($AO$1005:$BQ$1005,1,MATCH(COLUMNS($AO$1006:BG1006),$AO$1006:$BQ$1006,0))&gt;=100000), " ",IF(INDEX($AO$2:$BQ$1001,MATCH(ROWS($AH$2:AH901),$AH$2:$AH$1001,0),MATCH(COLUMNS($AO$1006:BG1006),$AO$1006:$BQ$1006,0)), HYPERLINK("#",""), HYPERLINK(CONCATENATE("#Metadata!", ADDRESS(INDEX($AJ$2:$AJ$1001,MATCH(ROWS($AH$2:AH901),$AH$2:$AH$1001,0),0), INDEX($AO$1004:$BQ$1004,1,MATCH(COLUMNS($AO$1006:BG1006),$AO$1006:$BQ$1006,0)))),"Fix")))</f>
        <v>#N/A</v>
      </c>
      <c r="U901" s="5" t="e">
        <f ca="1">IF(OR(INDEX($AI$2:$AI$1001,MATCH(ROWS($AH$2:AH901),$AH$2:$AH$1001,0),1)&gt;=100000,INDEX($AO$1005:$BQ$1005,1,MATCH(COLUMNS($AO$1006:BH1006),$AO$1006:$BQ$1006,0))&gt;=100000), " ",IF(INDEX($AO$2:$BQ$1001,MATCH(ROWS($AH$2:AH901),$AH$2:$AH$1001,0),MATCH(COLUMNS($AO$1006:BH1006),$AO$1006:$BQ$1006,0)), HYPERLINK("#",""), HYPERLINK(CONCATENATE("#Metadata!", ADDRESS(INDEX($AJ$2:$AJ$1001,MATCH(ROWS($AH$2:AH901),$AH$2:$AH$1001,0),0), INDEX($AO$1004:$BQ$1004,1,MATCH(COLUMNS($AO$1006:BH1006),$AO$1006:$BQ$1006,0)))),"Fix")))</f>
        <v>#N/A</v>
      </c>
      <c r="V901" s="5" t="e">
        <f ca="1">IF(OR(INDEX($AI$2:$AI$1001,MATCH(ROWS($AH$2:AH901),$AH$2:$AH$1001,0),1)&gt;=100000,INDEX($AO$1005:$BQ$1005,1,MATCH(COLUMNS($AO$1006:BI1006),$AO$1006:$BQ$1006,0))&gt;=100000), " ",IF(INDEX($AO$2:$BQ$1001,MATCH(ROWS($AH$2:AH901),$AH$2:$AH$1001,0),MATCH(COLUMNS($AO$1006:BI1006),$AO$1006:$BQ$1006,0)), HYPERLINK("#",""), HYPERLINK(CONCATENATE("#Metadata!", ADDRESS(INDEX($AJ$2:$AJ$1001,MATCH(ROWS($AH$2:AH901),$AH$2:$AH$1001,0),0), INDEX($AO$1004:$BQ$1004,1,MATCH(COLUMNS($AO$1006:BI1006),$AO$1006:$BQ$1006,0)))),"Fix")))</f>
        <v>#N/A</v>
      </c>
      <c r="W901" s="5" t="e">
        <f ca="1">IF(OR(INDEX($AI$2:$AI$1001,MATCH(ROWS($AH$2:AH901),$AH$2:$AH$1001,0),1)&gt;=100000,INDEX($AO$1005:$BQ$1005,1,MATCH(COLUMNS($AO$1006:BJ1006),$AO$1006:$BQ$1006,0))&gt;=100000), " ",IF(INDEX($AO$2:$BQ$1001,MATCH(ROWS($AH$2:AH901),$AH$2:$AH$1001,0),MATCH(COLUMNS($AO$1006:BJ1006),$AO$1006:$BQ$1006,0)), HYPERLINK("#",""), HYPERLINK(CONCATENATE("#Metadata!", ADDRESS(INDEX($AJ$2:$AJ$1001,MATCH(ROWS($AH$2:AH901),$AH$2:$AH$1001,0),0), INDEX($AO$1004:$BQ$1004,1,MATCH(COLUMNS($AO$1006:BJ1006),$AO$1006:$BQ$1006,0)))),"Fix")))</f>
        <v>#N/A</v>
      </c>
      <c r="X901" s="5" t="e">
        <f ca="1">IF(OR(INDEX($AI$2:$AI$1001,MATCH(ROWS($AH$2:AH901),$AH$2:$AH$1001,0),1)&gt;=100000,INDEX($AO$1005:$BQ$1005,1,MATCH(COLUMNS($AO$1006:BK1006),$AO$1006:$BQ$1006,0))&gt;=100000), " ",IF(INDEX($AO$2:$BQ$1001,MATCH(ROWS($AH$2:AH901),$AH$2:$AH$1001,0),MATCH(COLUMNS($AO$1006:BK1006),$AO$1006:$BQ$1006,0)), HYPERLINK("#",""), HYPERLINK(CONCATENATE("#Metadata!", ADDRESS(INDEX($AJ$2:$AJ$1001,MATCH(ROWS($AH$2:AH901),$AH$2:$AH$1001,0),0), INDEX($AO$1004:$BQ$1004,1,MATCH(COLUMNS($AO$1006:BK1006),$AO$1006:$BQ$1006,0)))),"Fix")))</f>
        <v>#N/A</v>
      </c>
      <c r="Y901" s="5" t="e">
        <f ca="1">IF(OR(INDEX($AI$2:$AI$1001,MATCH(ROWS($AH$2:AH901),$AH$2:$AH$1001,0),1)&gt;=100000,INDEX($AO$1005:$BQ$1005,1,MATCH(COLUMNS($AO$1006:BL1006),$AO$1006:$BQ$1006,0))&gt;=100000), " ",IF(INDEX($AO$2:$BQ$1001,MATCH(ROWS($AH$2:AH901),$AH$2:$AH$1001,0),MATCH(COLUMNS($AO$1006:BL1006),$AO$1006:$BQ$1006,0)), HYPERLINK("#",""), HYPERLINK(CONCATENATE("#Metadata!", ADDRESS(INDEX($AJ$2:$AJ$1001,MATCH(ROWS($AH$2:AH901),$AH$2:$AH$1001,0),0), INDEX($AO$1004:$BQ$1004,1,MATCH(COLUMNS($AO$1006:BL1006),$AO$1006:$BQ$1006,0)))),"Fix")))</f>
        <v>#N/A</v>
      </c>
      <c r="Z901" s="5" t="e">
        <f ca="1">IF(OR(INDEX($AI$2:$AI$1001,MATCH(ROWS($AH$2:AH901),$AH$2:$AH$1001,0),1)&gt;=100000,INDEX($AO$1005:$BQ$1005,1,MATCH(COLUMNS($AO$1006:BM1006),$AO$1006:$BQ$1006,0))&gt;=100000), " ",IF(INDEX($AO$2:$BQ$1001,MATCH(ROWS($AH$2:AH901),$AH$2:$AH$1001,0),MATCH(COLUMNS($AO$1006:BM1006),$AO$1006:$BQ$1006,0)), HYPERLINK("#",""), HYPERLINK(CONCATENATE("#Metadata!", ADDRESS(INDEX($AJ$2:$AJ$1001,MATCH(ROWS($AH$2:AH901),$AH$2:$AH$1001,0),0), INDEX($AO$1004:$BQ$1004,1,MATCH(COLUMNS($AO$1006:BM1006),$AO$1006:$BQ$1006,0)))),"Fix")))</f>
        <v>#N/A</v>
      </c>
      <c r="AA901" s="5" t="e">
        <f ca="1">IF(OR(INDEX($AI$2:$AI$1001,MATCH(ROWS($AH$2:AH901),$AH$2:$AH$1001,0),1)&gt;=100000,INDEX($AO$1005:$BQ$1005,1,MATCH(COLUMNS($AO$1006:BN1006),$AO$1006:$BQ$1006,0))&gt;=100000), " ",IF(INDEX($AO$2:$BQ$1001,MATCH(ROWS($AH$2:AH901),$AH$2:$AH$1001,0),MATCH(COLUMNS($AO$1006:BN1006),$AO$1006:$BQ$1006,0)), HYPERLINK("#",""), HYPERLINK(CONCATENATE("#Metadata!", ADDRESS(INDEX($AJ$2:$AJ$1001,MATCH(ROWS($AH$2:AH901),$AH$2:$AH$1001,0),0), INDEX($AO$1004:$BQ$1004,1,MATCH(COLUMNS($AO$1006:BN1006),$AO$1006:$BQ$1006,0)))),"Fix")))</f>
        <v>#N/A</v>
      </c>
      <c r="AB901" s="5" t="e">
        <f ca="1">IF(OR(INDEX($AI$2:$AI$1001,MATCH(ROWS($AH$2:AH901),$AH$2:$AH$1001,0),1)&gt;=100000,INDEX($AO$1005:$BQ$1005,1,MATCH(COLUMNS($AO$1006:BO1006),$AO$1006:$BQ$1006,0))&gt;=100000), " ",IF(INDEX($AO$2:$BQ$1001,MATCH(ROWS($AH$2:AH901),$AH$2:$AH$1001,0),MATCH(COLUMNS($AO$1006:BO1006),$AO$1006:$BQ$1006,0)), HYPERLINK("#",""), HYPERLINK(CONCATENATE("#Metadata!", ADDRESS(INDEX($AJ$2:$AJ$1001,MATCH(ROWS($AH$2:AH901),$AH$2:$AH$1001,0),0), INDEX($AO$1004:$BQ$1004,1,MATCH(COLUMNS($AO$1006:BO1006),$AO$1006:$BQ$1006,0)))),"Fix")))</f>
        <v>#N/A</v>
      </c>
      <c r="AC901" s="5" t="e">
        <f ca="1">IF(OR(INDEX($AI$2:$AI$1001,MATCH(ROWS($AH$2:AH901),$AH$2:$AH$1001,0),1)&gt;=100000,INDEX($AO$1005:$BQ$1005,1,MATCH(COLUMNS($AO$1006:BP1006),$AO$1006:$BQ$1006,0))&gt;=100000), " ",IF(INDEX($AO$2:$BQ$1001,MATCH(ROWS($AH$2:AH901),$AH$2:$AH$1001,0),MATCH(COLUMNS($AO$1006:BP1006),$AO$1006:$BQ$1006,0)), HYPERLINK("#",""), HYPERLINK(CONCATENATE("#Metadata!", ADDRESS(INDEX($AJ$2:$AJ$1001,MATCH(ROWS($AH$2:AH901),$AH$2:$AH$1001,0),0), INDEX($AO$1004:$BQ$1004,1,MATCH(COLUMNS($AO$1006:BP1006),$AO$1006:$BQ$1006,0)))),"Fix")))</f>
        <v>#N/A</v>
      </c>
      <c r="AD901" s="5" t="e">
        <f ca="1">IF(OR(INDEX($AI$2:$AI$1001,MATCH(ROWS($AH$2:AH901),$AH$2:$AH$1001,0),1)&gt;=100000,INDEX($AO$1005:$BQ$1005,1,MATCH(COLUMNS($AO$1006:BQ1006),$AO$1006:$BQ$1006,0))&gt;=100000), " ",IF(INDEX($AO$2:$BQ$1001,MATCH(ROWS($AH$2:AH901),$AH$2:$AH$1001,0),MATCH(COLUMNS($AO$1006:BQ1006),$AO$1006:$BQ$1006,0)), HYPERLINK("#",""), HYPERLINK(CONCATENATE("#Metadata!", ADDRESS(INDEX($AJ$2:$AJ$1001,MATCH(ROWS($AH$2:AH901),$AH$2:$AH$1001,0),0), INDEX($AO$1004:$BQ$1004,1,MATCH(COLUMNS($AO$1006:BQ1006),$AO$1006:$BQ$1006,0)))),"Fix")))</f>
        <v>#REF!</v>
      </c>
      <c r="AH901">
        <f ca="1"/>
        <v>898</v>
      </c>
      <c r="AI901">
        <v>100901</v>
      </c>
      <c r="AJ901">
        <v>901</v>
      </c>
      <c r="AK901" t="b">
        <f t="shared" si="14"/>
        <v>1</v>
      </c>
      <c r="AL901" t="b">
        <f>COUNTBLANK(Metadata!B901:AD901)=COLUMNS(Metadata!B901:AD901)</f>
        <v>1</v>
      </c>
      <c r="AM901" t="str">
        <v/>
      </c>
      <c r="AO901" t="b">
        <f ca="1">AND(IF(Metadata!B901="",FALSE,TRUE),COUNTIF(Metadata!B:B, Metadata!B901) = 1,NOT(ISERROR(SUMPRODUCT(SEARCH(MID(Metadata!B901,ROW(INDIRECT("1:"&amp;LEN(Metadata!B901))), 1),"0123456789abcdefghijklmnopqrstuvwxyzABCDEFGHIJKLMNOPQRSTUVWXYZ.")))))</f>
        <v>0</v>
      </c>
      <c r="AP901" t="b">
        <f>IF(Metadata!C901="",FALSE,TRUE)</f>
        <v>0</v>
      </c>
      <c r="AQ901" t="b">
        <f>IF(Metadata!D901="",FALSE,TRUE)</f>
        <v>0</v>
      </c>
      <c r="AR901" t="b">
        <f ca="1">OR(AND(IF(Metadata!E901="",FALSE,TRUE),OR(EXACT(Metadata!E901,"not collected"),EXACT(Metadata!E901,"not provided"),EXACT(Metadata!E901,"restricted access"))),AND(IF(Metadata!E901="",FALSE,TRUE),AND(AND(IFERROR(INT(LEFT(Metadata!E901,4))&gt;1900,FALSE),IFERROR(INT(LEFT(Metadata!E901,4))&lt;=YEAR(NOW()),FALSE)), OR(MID(Metadata!E901,5,1)="", AND(AND(MID(Metadata!E901,5,1)="-",IFERROR(INT(MID(Metadata!E901,6,1))&gt;=0,FALSE),IFERROR(INT(MID(Metadata!E901,6,1))&lt;=1,FALSE),NOT(MID(Metadata!E901,7,1)=""),IFERROR(INT(MID(Metadata!E901,6,2))&gt;=1,FALSE),IFERROR(INT(MID(Metadata!E901,6,2))&lt;=12,FALSE)), OR(MID(Metadata!E901,8,1)="", AND(AND(MID(Metadata!E901,8,1)="-",IFERROR(INT(MID(Metadata!E901,9,1))&gt;=0,FALSE),IFERROR(INT(MID(Metadata!E901,9,1))&lt;=3,FALSE),NOT(MID(Metadata!E901,10,1)=""),IFERROR(INT(MID(Metadata!E901,9,2))&gt;=1,FALSE),IFERROR(INT(MID(Metadata!E901,9,2))&lt;=31,FALSE)), OR(MID(Metadata!E901,11,1)="", AND(AND(MID(Metadata!E901,11,1)=" ",IFERROR(INT(MID(Metadata!E901,12,1))&gt;=0,FALSE),IFERROR(INT(MID(Metadata!E901,12,1))&lt;=2,FALSE),NOT(MID(Metadata!E901,13,1)=""),IFERROR(INT(MID(Metadata!E901,12,2))&gt;=0,FALSE),IFERROR(INT(MID(Metadata!E901,12,2))&lt;=23,FALSE)), OR(MID(Metadata!E901,14,1)="", AND(AND(MID(Metadata!E901,14,1)=":",IFERROR(INT(MID(Metadata!E901,15,1))&gt;=0,FALSE),IFERROR(INT(MID(Metadata!E901,15,1))&lt;=5,FALSE),NOT(MID(Metadata!E901,16,1)=""),IFERROR(INT(MID(Metadata!E901,15,2))&gt;=0,FALSE),IFERROR(INT(MID(Metadata!E901,15,2))&lt;=59,FALSE)), OR(MID(Metadata!E901,17,1)="", AND(AND(MID(Metadata!E901,17,1)=":",IFERROR(INT(MID(Metadata!E901,18,1))&gt;=0,FALSE),IFERROR(INT(MID(Metadata!E901,18,1))&lt;=5,FALSE),NOT(MID(Metadata!E901,19,1)=""),IFERROR(INT(MID(Metadata!E901,18,2))&gt;=0,FALSE),IFERROR(INT(MID(Metadata!E901,18,2))&lt;=59,FALSE)), LEN(Metadata!E901)&lt;=19)))))))))))))</f>
        <v>0</v>
      </c>
      <c r="AS901" t="b">
        <f>IF(Metadata!F901="",FALSE,TRUE)</f>
        <v>0</v>
      </c>
      <c r="AT901" t="b">
        <f>OR(AND(IF(Metadata!G901="",FALSE,TRUE),OR(EXACT(Metadata!G901,"not collected"),EXACT(Metadata!G901,"not provided"))),AND(IF(Metadata!G901="",FALSE,TRUE),OR(EXACT(Metadata!G901,"TRUE"),EXACT(Metadata!G901,"FALSE"))))</f>
        <v>0</v>
      </c>
      <c r="AU901" t="b">
        <f>OR(AND(IF(Metadata!H901="",FALSE,TRUE),OR(EXACT(Metadata!H901,"not collected"),EXACT(Metadata!H901,"not provided"),EXACT(Metadata!H901,"restricted access"))),AND(IF(Metadata!H901="",FALSE,ISNUMBER(VALUE(Metadata!H901))),Metadata!H901&gt;=-413))</f>
        <v>0</v>
      </c>
      <c r="AV901" t="b">
        <f>AND(IF(Metadata!I901="",FALSE,TRUE),EXACT(Metadata!I901,"meters"))</f>
        <v>0</v>
      </c>
      <c r="AW901" t="b">
        <f>AND(IF(Metadata!J901="",FALSE,TRUE),EXACT(Metadata!J901,"free-living"))</f>
        <v>0</v>
      </c>
      <c r="AX901" t="b">
        <f>AND(IF(Metadata!K901="",FALSE,TRUE),OR(EXACT(Metadata!K901,"saline"),EXACT(Metadata!K901,"non-saline")))</f>
        <v>0</v>
      </c>
      <c r="AY901" t="b">
        <f>AND(IF(Metadata!L901="",FALSE,TRUE),OR(EXACT(Metadata!L901,"sub-surface (non-saline)"),EXACT(Metadata!L901,"surface (non-saline)"),EXACT(Metadata!L901,"water (non-saline)"),EXACT(Metadata!L901,"soil (non-saline)"),EXACT(Metadata!L901,"aerosol (non-saline)"),EXACT(Metadata!L901,"sediment (non-saline)"),EXACT(Metadata!L901,"surface (saline)"),EXACT(Metadata!L901,"water (saline)"),EXACT(Metadata!L901,"hypersaline (saline)"),EXACT(Metadata!L901,"aerosol (saline)"),EXACT(Metadata!L901,"sediment (saline)")))</f>
        <v>0</v>
      </c>
      <c r="AZ901" t="b">
        <f>IF(Metadata!M901="",FALSE,TRUE)</f>
        <v>0</v>
      </c>
      <c r="BA901" t="b">
        <f>IF(Metadata!N901="",FALSE,TRUE)</f>
        <v>0</v>
      </c>
      <c r="BB901" t="b">
        <f>IF(Metadata!O901="",FALSE,TRUE)</f>
        <v>0</v>
      </c>
      <c r="BC901" t="b">
        <f>AND(IF(Metadata!P901="",FALSE,TRUE),OR(EXACT(Metadata!P901,"air"),EXACT(Metadata!P901,"microbial mat/biofilm"),EXACT(Metadata!P901,"misc environment"),EXACT(Metadata!P901,"sediment"),EXACT(Metadata!P901,"soil"),EXACT(Metadata!P901,"wastewater/sludge"),EXACT(Metadata!P901,"water")))</f>
        <v>0</v>
      </c>
      <c r="BD901" t="b">
        <f>IF(Metadata!Q901="",FALSE,TRUE)</f>
        <v>0</v>
      </c>
      <c r="BE901" t="b">
        <f>IF(Metadata!R901="",FALSE,TRUE)</f>
        <v>0</v>
      </c>
      <c r="BF901" t="b">
        <f>OR(AND(IF(Metadata!S901="",FALSE,TRUE),OR(EXACT(Metadata!S901,"not collected"),EXACT(Metadata!S901,"not provided"),EXACT(Metadata!S901,"restricted access"))),AND(IF(Metadata!S901="",FALSE,ISNUMBER(VALUE(Metadata!S901))),Metadata!S901&gt;=-90,Metadata!S901&lt;=90))</f>
        <v>0</v>
      </c>
      <c r="BG901" t="b">
        <f>AND(IF(Metadata!T901="",FALSE,TRUE),EXACT(Metadata!T901,"Decimal degrees"))</f>
        <v>0</v>
      </c>
      <c r="BH901" t="b">
        <f>OR(AND(IF(Metadata!U901="",FALSE,TRUE),OR(EXACT(Metadata!U901,"not applicable"),EXACT(Metadata!U901,"not collected"))),IF(Metadata!U901="",FALSE,TRUE))</f>
        <v>0</v>
      </c>
      <c r="BI901" t="b">
        <f>OR(AND(IF(Metadata!V901="",FALSE,TRUE),OR(EXACT(Metadata!V901,"not collected"),EXACT(Metadata!V901,"not provided"),EXACT(Metadata!V901,"restricted access"))),AND(IF(Metadata!V901="",FALSE,ISNUMBER(VALUE(Metadata!V901))),Metadata!V901&gt;=-180,Metadata!V901&lt;=180))</f>
        <v>0</v>
      </c>
      <c r="BJ901" t="b">
        <f>AND(IF(Metadata!W901="",FALSE,TRUE),EXACT(Metadata!W901,"Decimal degrees"))</f>
        <v>0</v>
      </c>
      <c r="BK901" t="b">
        <f>IF(Metadata!X901="",FALSE,TRUE)</f>
        <v>0</v>
      </c>
      <c r="BL901" t="b">
        <f>OR(AND(IF(Metadata!Y901="",FALSE,TRUE),OR(EXACT(Metadata!Y901,"not collected"),EXACT(Metadata!Y901,"not provided"),EXACT(Metadata!Y901,"restricted access"))),AND(IF(Metadata!Y901="",FALSE,TRUE),OR(EXACT(Metadata!Y901,"TRUE"),EXACT(Metadata!Y901,"FALSE"))))</f>
        <v>0</v>
      </c>
      <c r="BM901" t="b">
        <f>OR(AND(IF(Metadata!Z901="",FALSE,TRUE),EXACT(Metadata!Z901,"not applicable")),AND(IF(Metadata!Z901="",FALSE,TRUE),OR(EXACT(Metadata!Z901,"beer"),EXACT(Metadata!Z901,"cheese"),EXACT(Metadata!Z901,"fresh water"),EXACT(Metadata!Z901,"marine sediment"),EXACT(Metadata!Z901,"sea water"),EXACT(Metadata!Z901,"sediment"),EXACT(Metadata!Z901,"soil"),EXACT(Metadata!Z901,"waste water"))))</f>
        <v>0</v>
      </c>
      <c r="BN901" t="b">
        <f>AND(IF(Metadata!AA901="",FALSE,TRUE),EXACT(Metadata!AA901,"metagenome"))</f>
        <v>0</v>
      </c>
      <c r="BO901" t="b">
        <f>AND(IF(Metadata!AB901="",FALSE,TRUE),EXACT(Metadata!AB901,"256318"))</f>
        <v>0</v>
      </c>
      <c r="BP901" t="b">
        <f>IF(Metadata!AC901="",FALSE,TRUE)</f>
        <v>0</v>
      </c>
      <c r="BQ901" t="b">
        <f>IF(Metadata!AD901="",FALSE,TRUE)</f>
        <v>0</v>
      </c>
    </row>
    <row r="902" spans="1:69" x14ac:dyDescent="0.2">
      <c r="A902" s="4" t="e">
        <f ca="1">IF(B902=" "," ",HYPERLINK(CONCATENATE("#metadata!",ADDRESS(INDEX($AJ$2:$AJ$1001,MATCH(ROWS($AH$2:AH902),$AH$2:$AH$1001,0),0),2)),INDEX($AM$2:$AM$1001,MATCH(ROWS($AH$2:AH902),$AH$2:$AH$1001,0),0)))</f>
        <v>#N/A</v>
      </c>
      <c r="B902" s="5" t="e">
        <f ca="1">IF(OR(INDEX($AI$2:$AI$1001,MATCH(ROWS($AH$2:AH902),$AH$2:$AH$1001,0),1)&gt;=100000,INDEX($AO$1005:$BQ$1005,1,MATCH(COLUMNS($AO$1006:AO1006),$AO$1006:$BQ$1006,0))&gt;=100000), " ",IF(INDEX($AO$2:$BQ$1001,MATCH(ROWS($AH$2:AH902),$AH$2:$AH$1001,0),MATCH(COLUMNS($AO$1006:AO1006),$AO$1006:$BQ$1006,0)), HYPERLINK("#",""), HYPERLINK(CONCATENATE("#Metadata!", ADDRESS(INDEX($AJ$2:$AJ$1001,MATCH(ROWS($AH$2:AH902),$AH$2:$AH$1001,0),0), INDEX($AO$1004:$BQ$1004,1,MATCH(COLUMNS($AO$1006:AO1006),$AO$1006:$BQ$1006,0)))),"Fix")))</f>
        <v>#N/A</v>
      </c>
      <c r="C902" s="5" t="e">
        <f ca="1">IF(OR(INDEX($AI$2:$AI$1001,MATCH(ROWS($AH$2:AH902),$AH$2:$AH$1001,0),1)&gt;=100000,INDEX($AO$1005:$BQ$1005,1,MATCH(COLUMNS($AO$1006:AP1006),$AO$1006:$BQ$1006,0))&gt;=100000), " ",IF(INDEX($AO$2:$BQ$1001,MATCH(ROWS($AH$2:AH902),$AH$2:$AH$1001,0),MATCH(COLUMNS($AO$1006:AP1006),$AO$1006:$BQ$1006,0)), HYPERLINK("#",""), HYPERLINK(CONCATENATE("#Metadata!", ADDRESS(INDEX($AJ$2:$AJ$1001,MATCH(ROWS($AH$2:AH902),$AH$2:$AH$1001,0),0), INDEX($AO$1004:$BQ$1004,1,MATCH(COLUMNS($AO$1006:AP1006),$AO$1006:$BQ$1006,0)))),"Fix")))</f>
        <v>#N/A</v>
      </c>
      <c r="D902" s="5" t="e">
        <f ca="1">IF(OR(INDEX($AI$2:$AI$1001,MATCH(ROWS($AH$2:AH902),$AH$2:$AH$1001,0),1)&gt;=100000,INDEX($AO$1005:$BQ$1005,1,MATCH(COLUMNS($AO$1006:AQ1006),$AO$1006:$BQ$1006,0))&gt;=100000), " ",IF(INDEX($AO$2:$BQ$1001,MATCH(ROWS($AH$2:AH902),$AH$2:$AH$1001,0),MATCH(COLUMNS($AO$1006:AQ1006),$AO$1006:$BQ$1006,0)), HYPERLINK("#",""), HYPERLINK(CONCATENATE("#Metadata!", ADDRESS(INDEX($AJ$2:$AJ$1001,MATCH(ROWS($AH$2:AH902),$AH$2:$AH$1001,0),0), INDEX($AO$1004:$BQ$1004,1,MATCH(COLUMNS($AO$1006:AQ1006),$AO$1006:$BQ$1006,0)))),"Fix")))</f>
        <v>#N/A</v>
      </c>
      <c r="E902" s="5" t="e">
        <f ca="1">IF(OR(INDEX($AI$2:$AI$1001,MATCH(ROWS($AH$2:AH902),$AH$2:$AH$1001,0),1)&gt;=100000,INDEX($AO$1005:$BQ$1005,1,MATCH(COLUMNS($AO$1006:AR1006),$AO$1006:$BQ$1006,0))&gt;=100000), " ",IF(INDEX($AO$2:$BQ$1001,MATCH(ROWS($AH$2:AH902),$AH$2:$AH$1001,0),MATCH(COLUMNS($AO$1006:AR1006),$AO$1006:$BQ$1006,0)), HYPERLINK("#",""), HYPERLINK(CONCATENATE("#Metadata!", ADDRESS(INDEX($AJ$2:$AJ$1001,MATCH(ROWS($AH$2:AH902),$AH$2:$AH$1001,0),0), INDEX($AO$1004:$BQ$1004,1,MATCH(COLUMNS($AO$1006:AR1006),$AO$1006:$BQ$1006,0)))),"Fix")))</f>
        <v>#N/A</v>
      </c>
      <c r="F902" s="5" t="e">
        <f ca="1">IF(OR(INDEX($AI$2:$AI$1001,MATCH(ROWS($AH$2:AH902),$AH$2:$AH$1001,0),1)&gt;=100000,INDEX($AO$1005:$BQ$1005,1,MATCH(COLUMNS($AO$1006:AS1006),$AO$1006:$BQ$1006,0))&gt;=100000), " ",IF(INDEX($AO$2:$BQ$1001,MATCH(ROWS($AH$2:AH902),$AH$2:$AH$1001,0),MATCH(COLUMNS($AO$1006:AS1006),$AO$1006:$BQ$1006,0)), HYPERLINK("#",""), HYPERLINK(CONCATENATE("#Metadata!", ADDRESS(INDEX($AJ$2:$AJ$1001,MATCH(ROWS($AH$2:AH902),$AH$2:$AH$1001,0),0), INDEX($AO$1004:$BQ$1004,1,MATCH(COLUMNS($AO$1006:AS1006),$AO$1006:$BQ$1006,0)))),"Fix")))</f>
        <v>#N/A</v>
      </c>
      <c r="G902" s="5" t="e">
        <f ca="1">IF(OR(INDEX($AI$2:$AI$1001,MATCH(ROWS($AH$2:AH902),$AH$2:$AH$1001,0),1)&gt;=100000,INDEX($AO$1005:$BQ$1005,1,MATCH(COLUMNS($AO$1006:AT1006),$AO$1006:$BQ$1006,0))&gt;=100000), " ",IF(INDEX($AO$2:$BQ$1001,MATCH(ROWS($AH$2:AH902),$AH$2:$AH$1001,0),MATCH(COLUMNS($AO$1006:AT1006),$AO$1006:$BQ$1006,0)), HYPERLINK("#",""), HYPERLINK(CONCATENATE("#Metadata!", ADDRESS(INDEX($AJ$2:$AJ$1001,MATCH(ROWS($AH$2:AH902),$AH$2:$AH$1001,0),0), INDEX($AO$1004:$BQ$1004,1,MATCH(COLUMNS($AO$1006:AT1006),$AO$1006:$BQ$1006,0)))),"Fix")))</f>
        <v>#N/A</v>
      </c>
      <c r="H902" s="5" t="e">
        <f ca="1">IF(OR(INDEX($AI$2:$AI$1001,MATCH(ROWS($AH$2:AH902),$AH$2:$AH$1001,0),1)&gt;=100000,INDEX($AO$1005:$BQ$1005,1,MATCH(COLUMNS($AO$1006:AU1006),$AO$1006:$BQ$1006,0))&gt;=100000), " ",IF(INDEX($AO$2:$BQ$1001,MATCH(ROWS($AH$2:AH902),$AH$2:$AH$1001,0),MATCH(COLUMNS($AO$1006:AU1006),$AO$1006:$BQ$1006,0)), HYPERLINK("#",""), HYPERLINK(CONCATENATE("#Metadata!", ADDRESS(INDEX($AJ$2:$AJ$1001,MATCH(ROWS($AH$2:AH902),$AH$2:$AH$1001,0),0), INDEX($AO$1004:$BQ$1004,1,MATCH(COLUMNS($AO$1006:AU1006),$AO$1006:$BQ$1006,0)))),"Fix")))</f>
        <v>#N/A</v>
      </c>
      <c r="I902" s="5" t="e">
        <f ca="1">IF(OR(INDEX($AI$2:$AI$1001,MATCH(ROWS($AH$2:AH902),$AH$2:$AH$1001,0),1)&gt;=100000,INDEX($AO$1005:$BQ$1005,1,MATCH(COLUMNS($AO$1006:AV1006),$AO$1006:$BQ$1006,0))&gt;=100000), " ",IF(INDEX($AO$2:$BQ$1001,MATCH(ROWS($AH$2:AH902),$AH$2:$AH$1001,0),MATCH(COLUMNS($AO$1006:AV1006),$AO$1006:$BQ$1006,0)), HYPERLINK("#",""), HYPERLINK(CONCATENATE("#Metadata!", ADDRESS(INDEX($AJ$2:$AJ$1001,MATCH(ROWS($AH$2:AH902),$AH$2:$AH$1001,0),0), INDEX($AO$1004:$BQ$1004,1,MATCH(COLUMNS($AO$1006:AV1006),$AO$1006:$BQ$1006,0)))),"Fix")))</f>
        <v>#N/A</v>
      </c>
      <c r="J902" s="5" t="e">
        <f ca="1">IF(OR(INDEX($AI$2:$AI$1001,MATCH(ROWS($AH$2:AH902),$AH$2:$AH$1001,0),1)&gt;=100000,INDEX($AO$1005:$BQ$1005,1,MATCH(COLUMNS($AO$1006:AW1006),$AO$1006:$BQ$1006,0))&gt;=100000), " ",IF(INDEX($AO$2:$BQ$1001,MATCH(ROWS($AH$2:AH902),$AH$2:$AH$1001,0),MATCH(COLUMNS($AO$1006:AW1006),$AO$1006:$BQ$1006,0)), HYPERLINK("#",""), HYPERLINK(CONCATENATE("#Metadata!", ADDRESS(INDEX($AJ$2:$AJ$1001,MATCH(ROWS($AH$2:AH902),$AH$2:$AH$1001,0),0), INDEX($AO$1004:$BQ$1004,1,MATCH(COLUMNS($AO$1006:AW1006),$AO$1006:$BQ$1006,0)))),"Fix")))</f>
        <v>#N/A</v>
      </c>
      <c r="K902" s="5" t="e">
        <f ca="1">IF(OR(INDEX($AI$2:$AI$1001,MATCH(ROWS($AH$2:AH902),$AH$2:$AH$1001,0),1)&gt;=100000,INDEX($AO$1005:$BQ$1005,1,MATCH(COLUMNS($AO$1006:AX1006),$AO$1006:$BQ$1006,0))&gt;=100000), " ",IF(INDEX($AO$2:$BQ$1001,MATCH(ROWS($AH$2:AH902),$AH$2:$AH$1001,0),MATCH(COLUMNS($AO$1006:AX1006),$AO$1006:$BQ$1006,0)), HYPERLINK("#",""), HYPERLINK(CONCATENATE("#Metadata!", ADDRESS(INDEX($AJ$2:$AJ$1001,MATCH(ROWS($AH$2:AH902),$AH$2:$AH$1001,0),0), INDEX($AO$1004:$BQ$1004,1,MATCH(COLUMNS($AO$1006:AX1006),$AO$1006:$BQ$1006,0)))),"Fix")))</f>
        <v>#N/A</v>
      </c>
      <c r="L902" s="5" t="e">
        <f ca="1">IF(OR(INDEX($AI$2:$AI$1001,MATCH(ROWS($AH$2:AH902),$AH$2:$AH$1001,0),1)&gt;=100000,INDEX($AO$1005:$BQ$1005,1,MATCH(COLUMNS($AO$1006:AY1006),$AO$1006:$BQ$1006,0))&gt;=100000), " ",IF(INDEX($AO$2:$BQ$1001,MATCH(ROWS($AH$2:AH902),$AH$2:$AH$1001,0),MATCH(COLUMNS($AO$1006:AY1006),$AO$1006:$BQ$1006,0)), HYPERLINK("#",""), HYPERLINK(CONCATENATE("#Metadata!", ADDRESS(INDEX($AJ$2:$AJ$1001,MATCH(ROWS($AH$2:AH902),$AH$2:$AH$1001,0),0), INDEX($AO$1004:$BQ$1004,1,MATCH(COLUMNS($AO$1006:AY1006),$AO$1006:$BQ$1006,0)))),"Fix")))</f>
        <v>#N/A</v>
      </c>
      <c r="M902" s="5" t="e">
        <f ca="1">IF(OR(INDEX($AI$2:$AI$1001,MATCH(ROWS($AH$2:AH902),$AH$2:$AH$1001,0),1)&gt;=100000,INDEX($AO$1005:$BQ$1005,1,MATCH(COLUMNS($AO$1006:AZ1006),$AO$1006:$BQ$1006,0))&gt;=100000), " ",IF(INDEX($AO$2:$BQ$1001,MATCH(ROWS($AH$2:AH902),$AH$2:$AH$1001,0),MATCH(COLUMNS($AO$1006:AZ1006),$AO$1006:$BQ$1006,0)), HYPERLINK("#",""), HYPERLINK(CONCATENATE("#Metadata!", ADDRESS(INDEX($AJ$2:$AJ$1001,MATCH(ROWS($AH$2:AH902),$AH$2:$AH$1001,0),0), INDEX($AO$1004:$BQ$1004,1,MATCH(COLUMNS($AO$1006:AZ1006),$AO$1006:$BQ$1006,0)))),"Fix")))</f>
        <v>#N/A</v>
      </c>
      <c r="N902" s="5" t="e">
        <f ca="1">IF(OR(INDEX($AI$2:$AI$1001,MATCH(ROWS($AH$2:AH902),$AH$2:$AH$1001,0),1)&gt;=100000,INDEX($AO$1005:$BQ$1005,1,MATCH(COLUMNS($AO$1006:BA1006),$AO$1006:$BQ$1006,0))&gt;=100000), " ",IF(INDEX($AO$2:$BQ$1001,MATCH(ROWS($AH$2:AH902),$AH$2:$AH$1001,0),MATCH(COLUMNS($AO$1006:BA1006),$AO$1006:$BQ$1006,0)), HYPERLINK("#",""), HYPERLINK(CONCATENATE("#Metadata!", ADDRESS(INDEX($AJ$2:$AJ$1001,MATCH(ROWS($AH$2:AH902),$AH$2:$AH$1001,0),0), INDEX($AO$1004:$BQ$1004,1,MATCH(COLUMNS($AO$1006:BA1006),$AO$1006:$BQ$1006,0)))),"Fix")))</f>
        <v>#N/A</v>
      </c>
      <c r="O902" s="5" t="e">
        <f ca="1">IF(OR(INDEX($AI$2:$AI$1001,MATCH(ROWS($AH$2:AH902),$AH$2:$AH$1001,0),1)&gt;=100000,INDEX($AO$1005:$BQ$1005,1,MATCH(COLUMNS($AO$1006:BB1006),$AO$1006:$BQ$1006,0))&gt;=100000), " ",IF(INDEX($AO$2:$BQ$1001,MATCH(ROWS($AH$2:AH902),$AH$2:$AH$1001,0),MATCH(COLUMNS($AO$1006:BB1006),$AO$1006:$BQ$1006,0)), HYPERLINK("#",""), HYPERLINK(CONCATENATE("#Metadata!", ADDRESS(INDEX($AJ$2:$AJ$1001,MATCH(ROWS($AH$2:AH902),$AH$2:$AH$1001,0),0), INDEX($AO$1004:$BQ$1004,1,MATCH(COLUMNS($AO$1006:BB1006),$AO$1006:$BQ$1006,0)))),"Fix")))</f>
        <v>#N/A</v>
      </c>
      <c r="P902" s="5" t="e">
        <f ca="1">IF(OR(INDEX($AI$2:$AI$1001,MATCH(ROWS($AH$2:AH902),$AH$2:$AH$1001,0),1)&gt;=100000,INDEX($AO$1005:$BQ$1005,1,MATCH(COLUMNS($AO$1006:BC1006),$AO$1006:$BQ$1006,0))&gt;=100000), " ",IF(INDEX($AO$2:$BQ$1001,MATCH(ROWS($AH$2:AH902),$AH$2:$AH$1001,0),MATCH(COLUMNS($AO$1006:BC1006),$AO$1006:$BQ$1006,0)), HYPERLINK("#",""), HYPERLINK(CONCATENATE("#Metadata!", ADDRESS(INDEX($AJ$2:$AJ$1001,MATCH(ROWS($AH$2:AH902),$AH$2:$AH$1001,0),0), INDEX($AO$1004:$BQ$1004,1,MATCH(COLUMNS($AO$1006:BC1006),$AO$1006:$BQ$1006,0)))),"Fix")))</f>
        <v>#N/A</v>
      </c>
      <c r="Q902" s="5" t="e">
        <f ca="1">IF(OR(INDEX($AI$2:$AI$1001,MATCH(ROWS($AH$2:AH902),$AH$2:$AH$1001,0),1)&gt;=100000,INDEX($AO$1005:$BQ$1005,1,MATCH(COLUMNS($AO$1006:BD1006),$AO$1006:$BQ$1006,0))&gt;=100000), " ",IF(INDEX($AO$2:$BQ$1001,MATCH(ROWS($AH$2:AH902),$AH$2:$AH$1001,0),MATCH(COLUMNS($AO$1006:BD1006),$AO$1006:$BQ$1006,0)), HYPERLINK("#",""), HYPERLINK(CONCATENATE("#Metadata!", ADDRESS(INDEX($AJ$2:$AJ$1001,MATCH(ROWS($AH$2:AH902),$AH$2:$AH$1001,0),0), INDEX($AO$1004:$BQ$1004,1,MATCH(COLUMNS($AO$1006:BD1006),$AO$1006:$BQ$1006,0)))),"Fix")))</f>
        <v>#N/A</v>
      </c>
      <c r="R902" s="5" t="e">
        <f ca="1">IF(OR(INDEX($AI$2:$AI$1001,MATCH(ROWS($AH$2:AH902),$AH$2:$AH$1001,0),1)&gt;=100000,INDEX($AO$1005:$BQ$1005,1,MATCH(COLUMNS($AO$1006:BE1006),$AO$1006:$BQ$1006,0))&gt;=100000), " ",IF(INDEX($AO$2:$BQ$1001,MATCH(ROWS($AH$2:AH902),$AH$2:$AH$1001,0),MATCH(COLUMNS($AO$1006:BE1006),$AO$1006:$BQ$1006,0)), HYPERLINK("#",""), HYPERLINK(CONCATENATE("#Metadata!", ADDRESS(INDEX($AJ$2:$AJ$1001,MATCH(ROWS($AH$2:AH902),$AH$2:$AH$1001,0),0), INDEX($AO$1004:$BQ$1004,1,MATCH(COLUMNS($AO$1006:BE1006),$AO$1006:$BQ$1006,0)))),"Fix")))</f>
        <v>#N/A</v>
      </c>
      <c r="S902" s="5" t="e">
        <f ca="1">IF(OR(INDEX($AI$2:$AI$1001,MATCH(ROWS($AH$2:AH902),$AH$2:$AH$1001,0),1)&gt;=100000,INDEX($AO$1005:$BQ$1005,1,MATCH(COLUMNS($AO$1006:BF1006),$AO$1006:$BQ$1006,0))&gt;=100000), " ",IF(INDEX($AO$2:$BQ$1001,MATCH(ROWS($AH$2:AH902),$AH$2:$AH$1001,0),MATCH(COLUMNS($AO$1006:BF1006),$AO$1006:$BQ$1006,0)), HYPERLINK("#",""), HYPERLINK(CONCATENATE("#Metadata!", ADDRESS(INDEX($AJ$2:$AJ$1001,MATCH(ROWS($AH$2:AH902),$AH$2:$AH$1001,0),0), INDEX($AO$1004:$BQ$1004,1,MATCH(COLUMNS($AO$1006:BF1006),$AO$1006:$BQ$1006,0)))),"Fix")))</f>
        <v>#N/A</v>
      </c>
      <c r="T902" s="5" t="e">
        <f ca="1">IF(OR(INDEX($AI$2:$AI$1001,MATCH(ROWS($AH$2:AH902),$AH$2:$AH$1001,0),1)&gt;=100000,INDEX($AO$1005:$BQ$1005,1,MATCH(COLUMNS($AO$1006:BG1006),$AO$1006:$BQ$1006,0))&gt;=100000), " ",IF(INDEX($AO$2:$BQ$1001,MATCH(ROWS($AH$2:AH902),$AH$2:$AH$1001,0),MATCH(COLUMNS($AO$1006:BG1006),$AO$1006:$BQ$1006,0)), HYPERLINK("#",""), HYPERLINK(CONCATENATE("#Metadata!", ADDRESS(INDEX($AJ$2:$AJ$1001,MATCH(ROWS($AH$2:AH902),$AH$2:$AH$1001,0),0), INDEX($AO$1004:$BQ$1004,1,MATCH(COLUMNS($AO$1006:BG1006),$AO$1006:$BQ$1006,0)))),"Fix")))</f>
        <v>#N/A</v>
      </c>
      <c r="U902" s="5" t="e">
        <f ca="1">IF(OR(INDEX($AI$2:$AI$1001,MATCH(ROWS($AH$2:AH902),$AH$2:$AH$1001,0),1)&gt;=100000,INDEX($AO$1005:$BQ$1005,1,MATCH(COLUMNS($AO$1006:BH1006),$AO$1006:$BQ$1006,0))&gt;=100000), " ",IF(INDEX($AO$2:$BQ$1001,MATCH(ROWS($AH$2:AH902),$AH$2:$AH$1001,0),MATCH(COLUMNS($AO$1006:BH1006),$AO$1006:$BQ$1006,0)), HYPERLINK("#",""), HYPERLINK(CONCATENATE("#Metadata!", ADDRESS(INDEX($AJ$2:$AJ$1001,MATCH(ROWS($AH$2:AH902),$AH$2:$AH$1001,0),0), INDEX($AO$1004:$BQ$1004,1,MATCH(COLUMNS($AO$1006:BH1006),$AO$1006:$BQ$1006,0)))),"Fix")))</f>
        <v>#N/A</v>
      </c>
      <c r="V902" s="5" t="e">
        <f ca="1">IF(OR(INDEX($AI$2:$AI$1001,MATCH(ROWS($AH$2:AH902),$AH$2:$AH$1001,0),1)&gt;=100000,INDEX($AO$1005:$BQ$1005,1,MATCH(COLUMNS($AO$1006:BI1006),$AO$1006:$BQ$1006,0))&gt;=100000), " ",IF(INDEX($AO$2:$BQ$1001,MATCH(ROWS($AH$2:AH902),$AH$2:$AH$1001,0),MATCH(COLUMNS($AO$1006:BI1006),$AO$1006:$BQ$1006,0)), HYPERLINK("#",""), HYPERLINK(CONCATENATE("#Metadata!", ADDRESS(INDEX($AJ$2:$AJ$1001,MATCH(ROWS($AH$2:AH902),$AH$2:$AH$1001,0),0), INDEX($AO$1004:$BQ$1004,1,MATCH(COLUMNS($AO$1006:BI1006),$AO$1006:$BQ$1006,0)))),"Fix")))</f>
        <v>#N/A</v>
      </c>
      <c r="W902" s="5" t="e">
        <f ca="1">IF(OR(INDEX($AI$2:$AI$1001,MATCH(ROWS($AH$2:AH902),$AH$2:$AH$1001,0),1)&gt;=100000,INDEX($AO$1005:$BQ$1005,1,MATCH(COLUMNS($AO$1006:BJ1006),$AO$1006:$BQ$1006,0))&gt;=100000), " ",IF(INDEX($AO$2:$BQ$1001,MATCH(ROWS($AH$2:AH902),$AH$2:$AH$1001,0),MATCH(COLUMNS($AO$1006:BJ1006),$AO$1006:$BQ$1006,0)), HYPERLINK("#",""), HYPERLINK(CONCATENATE("#Metadata!", ADDRESS(INDEX($AJ$2:$AJ$1001,MATCH(ROWS($AH$2:AH902),$AH$2:$AH$1001,0),0), INDEX($AO$1004:$BQ$1004,1,MATCH(COLUMNS($AO$1006:BJ1006),$AO$1006:$BQ$1006,0)))),"Fix")))</f>
        <v>#N/A</v>
      </c>
      <c r="X902" s="5" t="e">
        <f ca="1">IF(OR(INDEX($AI$2:$AI$1001,MATCH(ROWS($AH$2:AH902),$AH$2:$AH$1001,0),1)&gt;=100000,INDEX($AO$1005:$BQ$1005,1,MATCH(COLUMNS($AO$1006:BK1006),$AO$1006:$BQ$1006,0))&gt;=100000), " ",IF(INDEX($AO$2:$BQ$1001,MATCH(ROWS($AH$2:AH902),$AH$2:$AH$1001,0),MATCH(COLUMNS($AO$1006:BK1006),$AO$1006:$BQ$1006,0)), HYPERLINK("#",""), HYPERLINK(CONCATENATE("#Metadata!", ADDRESS(INDEX($AJ$2:$AJ$1001,MATCH(ROWS($AH$2:AH902),$AH$2:$AH$1001,0),0), INDEX($AO$1004:$BQ$1004,1,MATCH(COLUMNS($AO$1006:BK1006),$AO$1006:$BQ$1006,0)))),"Fix")))</f>
        <v>#N/A</v>
      </c>
      <c r="Y902" s="5" t="e">
        <f ca="1">IF(OR(INDEX($AI$2:$AI$1001,MATCH(ROWS($AH$2:AH902),$AH$2:$AH$1001,0),1)&gt;=100000,INDEX($AO$1005:$BQ$1005,1,MATCH(COLUMNS($AO$1006:BL1006),$AO$1006:$BQ$1006,0))&gt;=100000), " ",IF(INDEX($AO$2:$BQ$1001,MATCH(ROWS($AH$2:AH902),$AH$2:$AH$1001,0),MATCH(COLUMNS($AO$1006:BL1006),$AO$1006:$BQ$1006,0)), HYPERLINK("#",""), HYPERLINK(CONCATENATE("#Metadata!", ADDRESS(INDEX($AJ$2:$AJ$1001,MATCH(ROWS($AH$2:AH902),$AH$2:$AH$1001,0),0), INDEX($AO$1004:$BQ$1004,1,MATCH(COLUMNS($AO$1006:BL1006),$AO$1006:$BQ$1006,0)))),"Fix")))</f>
        <v>#N/A</v>
      </c>
      <c r="Z902" s="5" t="e">
        <f ca="1">IF(OR(INDEX($AI$2:$AI$1001,MATCH(ROWS($AH$2:AH902),$AH$2:$AH$1001,0),1)&gt;=100000,INDEX($AO$1005:$BQ$1005,1,MATCH(COLUMNS($AO$1006:BM1006),$AO$1006:$BQ$1006,0))&gt;=100000), " ",IF(INDEX($AO$2:$BQ$1001,MATCH(ROWS($AH$2:AH902),$AH$2:$AH$1001,0),MATCH(COLUMNS($AO$1006:BM1006),$AO$1006:$BQ$1006,0)), HYPERLINK("#",""), HYPERLINK(CONCATENATE("#Metadata!", ADDRESS(INDEX($AJ$2:$AJ$1001,MATCH(ROWS($AH$2:AH902),$AH$2:$AH$1001,0),0), INDEX($AO$1004:$BQ$1004,1,MATCH(COLUMNS($AO$1006:BM1006),$AO$1006:$BQ$1006,0)))),"Fix")))</f>
        <v>#N/A</v>
      </c>
      <c r="AA902" s="5" t="e">
        <f ca="1">IF(OR(INDEX($AI$2:$AI$1001,MATCH(ROWS($AH$2:AH902),$AH$2:$AH$1001,0),1)&gt;=100000,INDEX($AO$1005:$BQ$1005,1,MATCH(COLUMNS($AO$1006:BN1006),$AO$1006:$BQ$1006,0))&gt;=100000), " ",IF(INDEX($AO$2:$BQ$1001,MATCH(ROWS($AH$2:AH902),$AH$2:$AH$1001,0),MATCH(COLUMNS($AO$1006:BN1006),$AO$1006:$BQ$1006,0)), HYPERLINK("#",""), HYPERLINK(CONCATENATE("#Metadata!", ADDRESS(INDEX($AJ$2:$AJ$1001,MATCH(ROWS($AH$2:AH902),$AH$2:$AH$1001,0),0), INDEX($AO$1004:$BQ$1004,1,MATCH(COLUMNS($AO$1006:BN1006),$AO$1006:$BQ$1006,0)))),"Fix")))</f>
        <v>#N/A</v>
      </c>
      <c r="AB902" s="5" t="e">
        <f ca="1">IF(OR(INDEX($AI$2:$AI$1001,MATCH(ROWS($AH$2:AH902),$AH$2:$AH$1001,0),1)&gt;=100000,INDEX($AO$1005:$BQ$1005,1,MATCH(COLUMNS($AO$1006:BO1006),$AO$1006:$BQ$1006,0))&gt;=100000), " ",IF(INDEX($AO$2:$BQ$1001,MATCH(ROWS($AH$2:AH902),$AH$2:$AH$1001,0),MATCH(COLUMNS($AO$1006:BO1006),$AO$1006:$BQ$1006,0)), HYPERLINK("#",""), HYPERLINK(CONCATENATE("#Metadata!", ADDRESS(INDEX($AJ$2:$AJ$1001,MATCH(ROWS($AH$2:AH902),$AH$2:$AH$1001,0),0), INDEX($AO$1004:$BQ$1004,1,MATCH(COLUMNS($AO$1006:BO1006),$AO$1006:$BQ$1006,0)))),"Fix")))</f>
        <v>#N/A</v>
      </c>
      <c r="AC902" s="5" t="e">
        <f ca="1">IF(OR(INDEX($AI$2:$AI$1001,MATCH(ROWS($AH$2:AH902),$AH$2:$AH$1001,0),1)&gt;=100000,INDEX($AO$1005:$BQ$1005,1,MATCH(COLUMNS($AO$1006:BP1006),$AO$1006:$BQ$1006,0))&gt;=100000), " ",IF(INDEX($AO$2:$BQ$1001,MATCH(ROWS($AH$2:AH902),$AH$2:$AH$1001,0),MATCH(COLUMNS($AO$1006:BP1006),$AO$1006:$BQ$1006,0)), HYPERLINK("#",""), HYPERLINK(CONCATENATE("#Metadata!", ADDRESS(INDEX($AJ$2:$AJ$1001,MATCH(ROWS($AH$2:AH902),$AH$2:$AH$1001,0),0), INDEX($AO$1004:$BQ$1004,1,MATCH(COLUMNS($AO$1006:BP1006),$AO$1006:$BQ$1006,0)))),"Fix")))</f>
        <v>#N/A</v>
      </c>
      <c r="AD902" s="5" t="e">
        <f ca="1">IF(OR(INDEX($AI$2:$AI$1001,MATCH(ROWS($AH$2:AH902),$AH$2:$AH$1001,0),1)&gt;=100000,INDEX($AO$1005:$BQ$1005,1,MATCH(COLUMNS($AO$1006:BQ1006),$AO$1006:$BQ$1006,0))&gt;=100000), " ",IF(INDEX($AO$2:$BQ$1001,MATCH(ROWS($AH$2:AH902),$AH$2:$AH$1001,0),MATCH(COLUMNS($AO$1006:BQ1006),$AO$1006:$BQ$1006,0)), HYPERLINK("#",""), HYPERLINK(CONCATENATE("#Metadata!", ADDRESS(INDEX($AJ$2:$AJ$1001,MATCH(ROWS($AH$2:AH902),$AH$2:$AH$1001,0),0), INDEX($AO$1004:$BQ$1004,1,MATCH(COLUMNS($AO$1006:BQ1006),$AO$1006:$BQ$1006,0)))),"Fix")))</f>
        <v>#REF!</v>
      </c>
      <c r="AH902">
        <f ca="1"/>
        <v>899</v>
      </c>
      <c r="AI902">
        <v>100902</v>
      </c>
      <c r="AJ902">
        <v>902</v>
      </c>
      <c r="AK902" t="b">
        <f t="shared" si="14"/>
        <v>1</v>
      </c>
      <c r="AL902" t="b">
        <f>COUNTBLANK(Metadata!B902:AD902)=COLUMNS(Metadata!B902:AD902)</f>
        <v>1</v>
      </c>
      <c r="AM902" t="str">
        <v/>
      </c>
      <c r="AO902" t="b">
        <f ca="1">AND(IF(Metadata!B902="",FALSE,TRUE),COUNTIF(Metadata!B:B, Metadata!B902) = 1,NOT(ISERROR(SUMPRODUCT(SEARCH(MID(Metadata!B902,ROW(INDIRECT("1:"&amp;LEN(Metadata!B902))), 1),"0123456789abcdefghijklmnopqrstuvwxyzABCDEFGHIJKLMNOPQRSTUVWXYZ.")))))</f>
        <v>0</v>
      </c>
      <c r="AP902" t="b">
        <f>IF(Metadata!C902="",FALSE,TRUE)</f>
        <v>0</v>
      </c>
      <c r="AQ902" t="b">
        <f>IF(Metadata!D902="",FALSE,TRUE)</f>
        <v>0</v>
      </c>
      <c r="AR902" t="b">
        <f ca="1">OR(AND(IF(Metadata!E902="",FALSE,TRUE),OR(EXACT(Metadata!E902,"not collected"),EXACT(Metadata!E902,"not provided"),EXACT(Metadata!E902,"restricted access"))),AND(IF(Metadata!E902="",FALSE,TRUE),AND(AND(IFERROR(INT(LEFT(Metadata!E902,4))&gt;1900,FALSE),IFERROR(INT(LEFT(Metadata!E902,4))&lt;=YEAR(NOW()),FALSE)), OR(MID(Metadata!E902,5,1)="", AND(AND(MID(Metadata!E902,5,1)="-",IFERROR(INT(MID(Metadata!E902,6,1))&gt;=0,FALSE),IFERROR(INT(MID(Metadata!E902,6,1))&lt;=1,FALSE),NOT(MID(Metadata!E902,7,1)=""),IFERROR(INT(MID(Metadata!E902,6,2))&gt;=1,FALSE),IFERROR(INT(MID(Metadata!E902,6,2))&lt;=12,FALSE)), OR(MID(Metadata!E902,8,1)="", AND(AND(MID(Metadata!E902,8,1)="-",IFERROR(INT(MID(Metadata!E902,9,1))&gt;=0,FALSE),IFERROR(INT(MID(Metadata!E902,9,1))&lt;=3,FALSE),NOT(MID(Metadata!E902,10,1)=""),IFERROR(INT(MID(Metadata!E902,9,2))&gt;=1,FALSE),IFERROR(INT(MID(Metadata!E902,9,2))&lt;=31,FALSE)), OR(MID(Metadata!E902,11,1)="", AND(AND(MID(Metadata!E902,11,1)=" ",IFERROR(INT(MID(Metadata!E902,12,1))&gt;=0,FALSE),IFERROR(INT(MID(Metadata!E902,12,1))&lt;=2,FALSE),NOT(MID(Metadata!E902,13,1)=""),IFERROR(INT(MID(Metadata!E902,12,2))&gt;=0,FALSE),IFERROR(INT(MID(Metadata!E902,12,2))&lt;=23,FALSE)), OR(MID(Metadata!E902,14,1)="", AND(AND(MID(Metadata!E902,14,1)=":",IFERROR(INT(MID(Metadata!E902,15,1))&gt;=0,FALSE),IFERROR(INT(MID(Metadata!E902,15,1))&lt;=5,FALSE),NOT(MID(Metadata!E902,16,1)=""),IFERROR(INT(MID(Metadata!E902,15,2))&gt;=0,FALSE),IFERROR(INT(MID(Metadata!E902,15,2))&lt;=59,FALSE)), OR(MID(Metadata!E902,17,1)="", AND(AND(MID(Metadata!E902,17,1)=":",IFERROR(INT(MID(Metadata!E902,18,1))&gt;=0,FALSE),IFERROR(INT(MID(Metadata!E902,18,1))&lt;=5,FALSE),NOT(MID(Metadata!E902,19,1)=""),IFERROR(INT(MID(Metadata!E902,18,2))&gt;=0,FALSE),IFERROR(INT(MID(Metadata!E902,18,2))&lt;=59,FALSE)), LEN(Metadata!E902)&lt;=19)))))))))))))</f>
        <v>0</v>
      </c>
      <c r="AS902" t="b">
        <f>IF(Metadata!F902="",FALSE,TRUE)</f>
        <v>0</v>
      </c>
      <c r="AT902" t="b">
        <f>OR(AND(IF(Metadata!G902="",FALSE,TRUE),OR(EXACT(Metadata!G902,"not collected"),EXACT(Metadata!G902,"not provided"))),AND(IF(Metadata!G902="",FALSE,TRUE),OR(EXACT(Metadata!G902,"TRUE"),EXACT(Metadata!G902,"FALSE"))))</f>
        <v>0</v>
      </c>
      <c r="AU902" t="b">
        <f>OR(AND(IF(Metadata!H902="",FALSE,TRUE),OR(EXACT(Metadata!H902,"not collected"),EXACT(Metadata!H902,"not provided"),EXACT(Metadata!H902,"restricted access"))),AND(IF(Metadata!H902="",FALSE,ISNUMBER(VALUE(Metadata!H902))),Metadata!H902&gt;=-413))</f>
        <v>0</v>
      </c>
      <c r="AV902" t="b">
        <f>AND(IF(Metadata!I902="",FALSE,TRUE),EXACT(Metadata!I902,"meters"))</f>
        <v>0</v>
      </c>
      <c r="AW902" t="b">
        <f>AND(IF(Metadata!J902="",FALSE,TRUE),EXACT(Metadata!J902,"free-living"))</f>
        <v>0</v>
      </c>
      <c r="AX902" t="b">
        <f>AND(IF(Metadata!K902="",FALSE,TRUE),OR(EXACT(Metadata!K902,"saline"),EXACT(Metadata!K902,"non-saline")))</f>
        <v>0</v>
      </c>
      <c r="AY902" t="b">
        <f>AND(IF(Metadata!L902="",FALSE,TRUE),OR(EXACT(Metadata!L902,"sub-surface (non-saline)"),EXACT(Metadata!L902,"surface (non-saline)"),EXACT(Metadata!L902,"water (non-saline)"),EXACT(Metadata!L902,"soil (non-saline)"),EXACT(Metadata!L902,"aerosol (non-saline)"),EXACT(Metadata!L902,"sediment (non-saline)"),EXACT(Metadata!L902,"surface (saline)"),EXACT(Metadata!L902,"water (saline)"),EXACT(Metadata!L902,"hypersaline (saline)"),EXACT(Metadata!L902,"aerosol (saline)"),EXACT(Metadata!L902,"sediment (saline)")))</f>
        <v>0</v>
      </c>
      <c r="AZ902" t="b">
        <f>IF(Metadata!M902="",FALSE,TRUE)</f>
        <v>0</v>
      </c>
      <c r="BA902" t="b">
        <f>IF(Metadata!N902="",FALSE,TRUE)</f>
        <v>0</v>
      </c>
      <c r="BB902" t="b">
        <f>IF(Metadata!O902="",FALSE,TRUE)</f>
        <v>0</v>
      </c>
      <c r="BC902" t="b">
        <f>AND(IF(Metadata!P902="",FALSE,TRUE),OR(EXACT(Metadata!P902,"air"),EXACT(Metadata!P902,"microbial mat/biofilm"),EXACT(Metadata!P902,"misc environment"),EXACT(Metadata!P902,"sediment"),EXACT(Metadata!P902,"soil"),EXACT(Metadata!P902,"wastewater/sludge"),EXACT(Metadata!P902,"water")))</f>
        <v>0</v>
      </c>
      <c r="BD902" t="b">
        <f>IF(Metadata!Q902="",FALSE,TRUE)</f>
        <v>0</v>
      </c>
      <c r="BE902" t="b">
        <f>IF(Metadata!R902="",FALSE,TRUE)</f>
        <v>0</v>
      </c>
      <c r="BF902" t="b">
        <f>OR(AND(IF(Metadata!S902="",FALSE,TRUE),OR(EXACT(Metadata!S902,"not collected"),EXACT(Metadata!S902,"not provided"),EXACT(Metadata!S902,"restricted access"))),AND(IF(Metadata!S902="",FALSE,ISNUMBER(VALUE(Metadata!S902))),Metadata!S902&gt;=-90,Metadata!S902&lt;=90))</f>
        <v>0</v>
      </c>
      <c r="BG902" t="b">
        <f>AND(IF(Metadata!T902="",FALSE,TRUE),EXACT(Metadata!T902,"Decimal degrees"))</f>
        <v>0</v>
      </c>
      <c r="BH902" t="b">
        <f>OR(AND(IF(Metadata!U902="",FALSE,TRUE),OR(EXACT(Metadata!U902,"not applicable"),EXACT(Metadata!U902,"not collected"))),IF(Metadata!U902="",FALSE,TRUE))</f>
        <v>0</v>
      </c>
      <c r="BI902" t="b">
        <f>OR(AND(IF(Metadata!V902="",FALSE,TRUE),OR(EXACT(Metadata!V902,"not collected"),EXACT(Metadata!V902,"not provided"),EXACT(Metadata!V902,"restricted access"))),AND(IF(Metadata!V902="",FALSE,ISNUMBER(VALUE(Metadata!V902))),Metadata!V902&gt;=-180,Metadata!V902&lt;=180))</f>
        <v>0</v>
      </c>
      <c r="BJ902" t="b">
        <f>AND(IF(Metadata!W902="",FALSE,TRUE),EXACT(Metadata!W902,"Decimal degrees"))</f>
        <v>0</v>
      </c>
      <c r="BK902" t="b">
        <f>IF(Metadata!X902="",FALSE,TRUE)</f>
        <v>0</v>
      </c>
      <c r="BL902" t="b">
        <f>OR(AND(IF(Metadata!Y902="",FALSE,TRUE),OR(EXACT(Metadata!Y902,"not collected"),EXACT(Metadata!Y902,"not provided"),EXACT(Metadata!Y902,"restricted access"))),AND(IF(Metadata!Y902="",FALSE,TRUE),OR(EXACT(Metadata!Y902,"TRUE"),EXACT(Metadata!Y902,"FALSE"))))</f>
        <v>0</v>
      </c>
      <c r="BM902" t="b">
        <f>OR(AND(IF(Metadata!Z902="",FALSE,TRUE),EXACT(Metadata!Z902,"not applicable")),AND(IF(Metadata!Z902="",FALSE,TRUE),OR(EXACT(Metadata!Z902,"beer"),EXACT(Metadata!Z902,"cheese"),EXACT(Metadata!Z902,"fresh water"),EXACT(Metadata!Z902,"marine sediment"),EXACT(Metadata!Z902,"sea water"),EXACT(Metadata!Z902,"sediment"),EXACT(Metadata!Z902,"soil"),EXACT(Metadata!Z902,"waste water"))))</f>
        <v>0</v>
      </c>
      <c r="BN902" t="b">
        <f>AND(IF(Metadata!AA902="",FALSE,TRUE),EXACT(Metadata!AA902,"metagenome"))</f>
        <v>0</v>
      </c>
      <c r="BO902" t="b">
        <f>AND(IF(Metadata!AB902="",FALSE,TRUE),EXACT(Metadata!AB902,"256318"))</f>
        <v>0</v>
      </c>
      <c r="BP902" t="b">
        <f>IF(Metadata!AC902="",FALSE,TRUE)</f>
        <v>0</v>
      </c>
      <c r="BQ902" t="b">
        <f>IF(Metadata!AD902="",FALSE,TRUE)</f>
        <v>0</v>
      </c>
    </row>
    <row r="903" spans="1:69" x14ac:dyDescent="0.2">
      <c r="A903" s="4" t="e">
        <f ca="1">IF(B903=" "," ",HYPERLINK(CONCATENATE("#metadata!",ADDRESS(INDEX($AJ$2:$AJ$1001,MATCH(ROWS($AH$2:AH903),$AH$2:$AH$1001,0),0),2)),INDEX($AM$2:$AM$1001,MATCH(ROWS($AH$2:AH903),$AH$2:$AH$1001,0),0)))</f>
        <v>#N/A</v>
      </c>
      <c r="B903" s="5" t="e">
        <f ca="1">IF(OR(INDEX($AI$2:$AI$1001,MATCH(ROWS($AH$2:AH903),$AH$2:$AH$1001,0),1)&gt;=100000,INDEX($AO$1005:$BQ$1005,1,MATCH(COLUMNS($AO$1006:AO1006),$AO$1006:$BQ$1006,0))&gt;=100000), " ",IF(INDEX($AO$2:$BQ$1001,MATCH(ROWS($AH$2:AH903),$AH$2:$AH$1001,0),MATCH(COLUMNS($AO$1006:AO1006),$AO$1006:$BQ$1006,0)), HYPERLINK("#",""), HYPERLINK(CONCATENATE("#Metadata!", ADDRESS(INDEX($AJ$2:$AJ$1001,MATCH(ROWS($AH$2:AH903),$AH$2:$AH$1001,0),0), INDEX($AO$1004:$BQ$1004,1,MATCH(COLUMNS($AO$1006:AO1006),$AO$1006:$BQ$1006,0)))),"Fix")))</f>
        <v>#N/A</v>
      </c>
      <c r="C903" s="5" t="e">
        <f ca="1">IF(OR(INDEX($AI$2:$AI$1001,MATCH(ROWS($AH$2:AH903),$AH$2:$AH$1001,0),1)&gt;=100000,INDEX($AO$1005:$BQ$1005,1,MATCH(COLUMNS($AO$1006:AP1006),$AO$1006:$BQ$1006,0))&gt;=100000), " ",IF(INDEX($AO$2:$BQ$1001,MATCH(ROWS($AH$2:AH903),$AH$2:$AH$1001,0),MATCH(COLUMNS($AO$1006:AP1006),$AO$1006:$BQ$1006,0)), HYPERLINK("#",""), HYPERLINK(CONCATENATE("#Metadata!", ADDRESS(INDEX($AJ$2:$AJ$1001,MATCH(ROWS($AH$2:AH903),$AH$2:$AH$1001,0),0), INDEX($AO$1004:$BQ$1004,1,MATCH(COLUMNS($AO$1006:AP1006),$AO$1006:$BQ$1006,0)))),"Fix")))</f>
        <v>#N/A</v>
      </c>
      <c r="D903" s="5" t="e">
        <f ca="1">IF(OR(INDEX($AI$2:$AI$1001,MATCH(ROWS($AH$2:AH903),$AH$2:$AH$1001,0),1)&gt;=100000,INDEX($AO$1005:$BQ$1005,1,MATCH(COLUMNS($AO$1006:AQ1006),$AO$1006:$BQ$1006,0))&gt;=100000), " ",IF(INDEX($AO$2:$BQ$1001,MATCH(ROWS($AH$2:AH903),$AH$2:$AH$1001,0),MATCH(COLUMNS($AO$1006:AQ1006),$AO$1006:$BQ$1006,0)), HYPERLINK("#",""), HYPERLINK(CONCATENATE("#Metadata!", ADDRESS(INDEX($AJ$2:$AJ$1001,MATCH(ROWS($AH$2:AH903),$AH$2:$AH$1001,0),0), INDEX($AO$1004:$BQ$1004,1,MATCH(COLUMNS($AO$1006:AQ1006),$AO$1006:$BQ$1006,0)))),"Fix")))</f>
        <v>#N/A</v>
      </c>
      <c r="E903" s="5" t="e">
        <f ca="1">IF(OR(INDEX($AI$2:$AI$1001,MATCH(ROWS($AH$2:AH903),$AH$2:$AH$1001,0),1)&gt;=100000,INDEX($AO$1005:$BQ$1005,1,MATCH(COLUMNS($AO$1006:AR1006),$AO$1006:$BQ$1006,0))&gt;=100000), " ",IF(INDEX($AO$2:$BQ$1001,MATCH(ROWS($AH$2:AH903),$AH$2:$AH$1001,0),MATCH(COLUMNS($AO$1006:AR1006),$AO$1006:$BQ$1006,0)), HYPERLINK("#",""), HYPERLINK(CONCATENATE("#Metadata!", ADDRESS(INDEX($AJ$2:$AJ$1001,MATCH(ROWS($AH$2:AH903),$AH$2:$AH$1001,0),0), INDEX($AO$1004:$BQ$1004,1,MATCH(COLUMNS($AO$1006:AR1006),$AO$1006:$BQ$1006,0)))),"Fix")))</f>
        <v>#N/A</v>
      </c>
      <c r="F903" s="5" t="e">
        <f ca="1">IF(OR(INDEX($AI$2:$AI$1001,MATCH(ROWS($AH$2:AH903),$AH$2:$AH$1001,0),1)&gt;=100000,INDEX($AO$1005:$BQ$1005,1,MATCH(COLUMNS($AO$1006:AS1006),$AO$1006:$BQ$1006,0))&gt;=100000), " ",IF(INDEX($AO$2:$BQ$1001,MATCH(ROWS($AH$2:AH903),$AH$2:$AH$1001,0),MATCH(COLUMNS($AO$1006:AS1006),$AO$1006:$BQ$1006,0)), HYPERLINK("#",""), HYPERLINK(CONCATENATE("#Metadata!", ADDRESS(INDEX($AJ$2:$AJ$1001,MATCH(ROWS($AH$2:AH903),$AH$2:$AH$1001,0),0), INDEX($AO$1004:$BQ$1004,1,MATCH(COLUMNS($AO$1006:AS1006),$AO$1006:$BQ$1006,0)))),"Fix")))</f>
        <v>#N/A</v>
      </c>
      <c r="G903" s="5" t="e">
        <f ca="1">IF(OR(INDEX($AI$2:$AI$1001,MATCH(ROWS($AH$2:AH903),$AH$2:$AH$1001,0),1)&gt;=100000,INDEX($AO$1005:$BQ$1005,1,MATCH(COLUMNS($AO$1006:AT1006),$AO$1006:$BQ$1006,0))&gt;=100000), " ",IF(INDEX($AO$2:$BQ$1001,MATCH(ROWS($AH$2:AH903),$AH$2:$AH$1001,0),MATCH(COLUMNS($AO$1006:AT1006),$AO$1006:$BQ$1006,0)), HYPERLINK("#",""), HYPERLINK(CONCATENATE("#Metadata!", ADDRESS(INDEX($AJ$2:$AJ$1001,MATCH(ROWS($AH$2:AH903),$AH$2:$AH$1001,0),0), INDEX($AO$1004:$BQ$1004,1,MATCH(COLUMNS($AO$1006:AT1006),$AO$1006:$BQ$1006,0)))),"Fix")))</f>
        <v>#N/A</v>
      </c>
      <c r="H903" s="5" t="e">
        <f ca="1">IF(OR(INDEX($AI$2:$AI$1001,MATCH(ROWS($AH$2:AH903),$AH$2:$AH$1001,0),1)&gt;=100000,INDEX($AO$1005:$BQ$1005,1,MATCH(COLUMNS($AO$1006:AU1006),$AO$1006:$BQ$1006,0))&gt;=100000), " ",IF(INDEX($AO$2:$BQ$1001,MATCH(ROWS($AH$2:AH903),$AH$2:$AH$1001,0),MATCH(COLUMNS($AO$1006:AU1006),$AO$1006:$BQ$1006,0)), HYPERLINK("#",""), HYPERLINK(CONCATENATE("#Metadata!", ADDRESS(INDEX($AJ$2:$AJ$1001,MATCH(ROWS($AH$2:AH903),$AH$2:$AH$1001,0),0), INDEX($AO$1004:$BQ$1004,1,MATCH(COLUMNS($AO$1006:AU1006),$AO$1006:$BQ$1006,0)))),"Fix")))</f>
        <v>#N/A</v>
      </c>
      <c r="I903" s="5" t="e">
        <f ca="1">IF(OR(INDEX($AI$2:$AI$1001,MATCH(ROWS($AH$2:AH903),$AH$2:$AH$1001,0),1)&gt;=100000,INDEX($AO$1005:$BQ$1005,1,MATCH(COLUMNS($AO$1006:AV1006),$AO$1006:$BQ$1006,0))&gt;=100000), " ",IF(INDEX($AO$2:$BQ$1001,MATCH(ROWS($AH$2:AH903),$AH$2:$AH$1001,0),MATCH(COLUMNS($AO$1006:AV1006),$AO$1006:$BQ$1006,0)), HYPERLINK("#",""), HYPERLINK(CONCATENATE("#Metadata!", ADDRESS(INDEX($AJ$2:$AJ$1001,MATCH(ROWS($AH$2:AH903),$AH$2:$AH$1001,0),0), INDEX($AO$1004:$BQ$1004,1,MATCH(COLUMNS($AO$1006:AV1006),$AO$1006:$BQ$1006,0)))),"Fix")))</f>
        <v>#N/A</v>
      </c>
      <c r="J903" s="5" t="e">
        <f ca="1">IF(OR(INDEX($AI$2:$AI$1001,MATCH(ROWS($AH$2:AH903),$AH$2:$AH$1001,0),1)&gt;=100000,INDEX($AO$1005:$BQ$1005,1,MATCH(COLUMNS($AO$1006:AW1006),$AO$1006:$BQ$1006,0))&gt;=100000), " ",IF(INDEX($AO$2:$BQ$1001,MATCH(ROWS($AH$2:AH903),$AH$2:$AH$1001,0),MATCH(COLUMNS($AO$1006:AW1006),$AO$1006:$BQ$1006,0)), HYPERLINK("#",""), HYPERLINK(CONCATENATE("#Metadata!", ADDRESS(INDEX($AJ$2:$AJ$1001,MATCH(ROWS($AH$2:AH903),$AH$2:$AH$1001,0),0), INDEX($AO$1004:$BQ$1004,1,MATCH(COLUMNS($AO$1006:AW1006),$AO$1006:$BQ$1006,0)))),"Fix")))</f>
        <v>#N/A</v>
      </c>
      <c r="K903" s="5" t="e">
        <f ca="1">IF(OR(INDEX($AI$2:$AI$1001,MATCH(ROWS($AH$2:AH903),$AH$2:$AH$1001,0),1)&gt;=100000,INDEX($AO$1005:$BQ$1005,1,MATCH(COLUMNS($AO$1006:AX1006),$AO$1006:$BQ$1006,0))&gt;=100000), " ",IF(INDEX($AO$2:$BQ$1001,MATCH(ROWS($AH$2:AH903),$AH$2:$AH$1001,0),MATCH(COLUMNS($AO$1006:AX1006),$AO$1006:$BQ$1006,0)), HYPERLINK("#",""), HYPERLINK(CONCATENATE("#Metadata!", ADDRESS(INDEX($AJ$2:$AJ$1001,MATCH(ROWS($AH$2:AH903),$AH$2:$AH$1001,0),0), INDEX($AO$1004:$BQ$1004,1,MATCH(COLUMNS($AO$1006:AX1006),$AO$1006:$BQ$1006,0)))),"Fix")))</f>
        <v>#N/A</v>
      </c>
      <c r="L903" s="5" t="e">
        <f ca="1">IF(OR(INDEX($AI$2:$AI$1001,MATCH(ROWS($AH$2:AH903),$AH$2:$AH$1001,0),1)&gt;=100000,INDEX($AO$1005:$BQ$1005,1,MATCH(COLUMNS($AO$1006:AY1006),$AO$1006:$BQ$1006,0))&gt;=100000), " ",IF(INDEX($AO$2:$BQ$1001,MATCH(ROWS($AH$2:AH903),$AH$2:$AH$1001,0),MATCH(COLUMNS($AO$1006:AY1006),$AO$1006:$BQ$1006,0)), HYPERLINK("#",""), HYPERLINK(CONCATENATE("#Metadata!", ADDRESS(INDEX($AJ$2:$AJ$1001,MATCH(ROWS($AH$2:AH903),$AH$2:$AH$1001,0),0), INDEX($AO$1004:$BQ$1004,1,MATCH(COLUMNS($AO$1006:AY1006),$AO$1006:$BQ$1006,0)))),"Fix")))</f>
        <v>#N/A</v>
      </c>
      <c r="M903" s="5" t="e">
        <f ca="1">IF(OR(INDEX($AI$2:$AI$1001,MATCH(ROWS($AH$2:AH903),$AH$2:$AH$1001,0),1)&gt;=100000,INDEX($AO$1005:$BQ$1005,1,MATCH(COLUMNS($AO$1006:AZ1006),$AO$1006:$BQ$1006,0))&gt;=100000), " ",IF(INDEX($AO$2:$BQ$1001,MATCH(ROWS($AH$2:AH903),$AH$2:$AH$1001,0),MATCH(COLUMNS($AO$1006:AZ1006),$AO$1006:$BQ$1006,0)), HYPERLINK("#",""), HYPERLINK(CONCATENATE("#Metadata!", ADDRESS(INDEX($AJ$2:$AJ$1001,MATCH(ROWS($AH$2:AH903),$AH$2:$AH$1001,0),0), INDEX($AO$1004:$BQ$1004,1,MATCH(COLUMNS($AO$1006:AZ1006),$AO$1006:$BQ$1006,0)))),"Fix")))</f>
        <v>#N/A</v>
      </c>
      <c r="N903" s="5" t="e">
        <f ca="1">IF(OR(INDEX($AI$2:$AI$1001,MATCH(ROWS($AH$2:AH903),$AH$2:$AH$1001,0),1)&gt;=100000,INDEX($AO$1005:$BQ$1005,1,MATCH(COLUMNS($AO$1006:BA1006),$AO$1006:$BQ$1006,0))&gt;=100000), " ",IF(INDEX($AO$2:$BQ$1001,MATCH(ROWS($AH$2:AH903),$AH$2:$AH$1001,0),MATCH(COLUMNS($AO$1006:BA1006),$AO$1006:$BQ$1006,0)), HYPERLINK("#",""), HYPERLINK(CONCATENATE("#Metadata!", ADDRESS(INDEX($AJ$2:$AJ$1001,MATCH(ROWS($AH$2:AH903),$AH$2:$AH$1001,0),0), INDEX($AO$1004:$BQ$1004,1,MATCH(COLUMNS($AO$1006:BA1006),$AO$1006:$BQ$1006,0)))),"Fix")))</f>
        <v>#N/A</v>
      </c>
      <c r="O903" s="5" t="e">
        <f ca="1">IF(OR(INDEX($AI$2:$AI$1001,MATCH(ROWS($AH$2:AH903),$AH$2:$AH$1001,0),1)&gt;=100000,INDEX($AO$1005:$BQ$1005,1,MATCH(COLUMNS($AO$1006:BB1006),$AO$1006:$BQ$1006,0))&gt;=100000), " ",IF(INDEX($AO$2:$BQ$1001,MATCH(ROWS($AH$2:AH903),$AH$2:$AH$1001,0),MATCH(COLUMNS($AO$1006:BB1006),$AO$1006:$BQ$1006,0)), HYPERLINK("#",""), HYPERLINK(CONCATENATE("#Metadata!", ADDRESS(INDEX($AJ$2:$AJ$1001,MATCH(ROWS($AH$2:AH903),$AH$2:$AH$1001,0),0), INDEX($AO$1004:$BQ$1004,1,MATCH(COLUMNS($AO$1006:BB1006),$AO$1006:$BQ$1006,0)))),"Fix")))</f>
        <v>#N/A</v>
      </c>
      <c r="P903" s="5" t="e">
        <f ca="1">IF(OR(INDEX($AI$2:$AI$1001,MATCH(ROWS($AH$2:AH903),$AH$2:$AH$1001,0),1)&gt;=100000,INDEX($AO$1005:$BQ$1005,1,MATCH(COLUMNS($AO$1006:BC1006),$AO$1006:$BQ$1006,0))&gt;=100000), " ",IF(INDEX($AO$2:$BQ$1001,MATCH(ROWS($AH$2:AH903),$AH$2:$AH$1001,0),MATCH(COLUMNS($AO$1006:BC1006),$AO$1006:$BQ$1006,0)), HYPERLINK("#",""), HYPERLINK(CONCATENATE("#Metadata!", ADDRESS(INDEX($AJ$2:$AJ$1001,MATCH(ROWS($AH$2:AH903),$AH$2:$AH$1001,0),0), INDEX($AO$1004:$BQ$1004,1,MATCH(COLUMNS($AO$1006:BC1006),$AO$1006:$BQ$1006,0)))),"Fix")))</f>
        <v>#N/A</v>
      </c>
      <c r="Q903" s="5" t="e">
        <f ca="1">IF(OR(INDEX($AI$2:$AI$1001,MATCH(ROWS($AH$2:AH903),$AH$2:$AH$1001,0),1)&gt;=100000,INDEX($AO$1005:$BQ$1005,1,MATCH(COLUMNS($AO$1006:BD1006),$AO$1006:$BQ$1006,0))&gt;=100000), " ",IF(INDEX($AO$2:$BQ$1001,MATCH(ROWS($AH$2:AH903),$AH$2:$AH$1001,0),MATCH(COLUMNS($AO$1006:BD1006),$AO$1006:$BQ$1006,0)), HYPERLINK("#",""), HYPERLINK(CONCATENATE("#Metadata!", ADDRESS(INDEX($AJ$2:$AJ$1001,MATCH(ROWS($AH$2:AH903),$AH$2:$AH$1001,0),0), INDEX($AO$1004:$BQ$1004,1,MATCH(COLUMNS($AO$1006:BD1006),$AO$1006:$BQ$1006,0)))),"Fix")))</f>
        <v>#N/A</v>
      </c>
      <c r="R903" s="5" t="e">
        <f ca="1">IF(OR(INDEX($AI$2:$AI$1001,MATCH(ROWS($AH$2:AH903),$AH$2:$AH$1001,0),1)&gt;=100000,INDEX($AO$1005:$BQ$1005,1,MATCH(COLUMNS($AO$1006:BE1006),$AO$1006:$BQ$1006,0))&gt;=100000), " ",IF(INDEX($AO$2:$BQ$1001,MATCH(ROWS($AH$2:AH903),$AH$2:$AH$1001,0),MATCH(COLUMNS($AO$1006:BE1006),$AO$1006:$BQ$1006,0)), HYPERLINK("#",""), HYPERLINK(CONCATENATE("#Metadata!", ADDRESS(INDEX($AJ$2:$AJ$1001,MATCH(ROWS($AH$2:AH903),$AH$2:$AH$1001,0),0), INDEX($AO$1004:$BQ$1004,1,MATCH(COLUMNS($AO$1006:BE1006),$AO$1006:$BQ$1006,0)))),"Fix")))</f>
        <v>#N/A</v>
      </c>
      <c r="S903" s="5" t="e">
        <f ca="1">IF(OR(INDEX($AI$2:$AI$1001,MATCH(ROWS($AH$2:AH903),$AH$2:$AH$1001,0),1)&gt;=100000,INDEX($AO$1005:$BQ$1005,1,MATCH(COLUMNS($AO$1006:BF1006),$AO$1006:$BQ$1006,0))&gt;=100000), " ",IF(INDEX($AO$2:$BQ$1001,MATCH(ROWS($AH$2:AH903),$AH$2:$AH$1001,0),MATCH(COLUMNS($AO$1006:BF1006),$AO$1006:$BQ$1006,0)), HYPERLINK("#",""), HYPERLINK(CONCATENATE("#Metadata!", ADDRESS(INDEX($AJ$2:$AJ$1001,MATCH(ROWS($AH$2:AH903),$AH$2:$AH$1001,0),0), INDEX($AO$1004:$BQ$1004,1,MATCH(COLUMNS($AO$1006:BF1006),$AO$1006:$BQ$1006,0)))),"Fix")))</f>
        <v>#N/A</v>
      </c>
      <c r="T903" s="5" t="e">
        <f ca="1">IF(OR(INDEX($AI$2:$AI$1001,MATCH(ROWS($AH$2:AH903),$AH$2:$AH$1001,0),1)&gt;=100000,INDEX($AO$1005:$BQ$1005,1,MATCH(COLUMNS($AO$1006:BG1006),$AO$1006:$BQ$1006,0))&gt;=100000), " ",IF(INDEX($AO$2:$BQ$1001,MATCH(ROWS($AH$2:AH903),$AH$2:$AH$1001,0),MATCH(COLUMNS($AO$1006:BG1006),$AO$1006:$BQ$1006,0)), HYPERLINK("#",""), HYPERLINK(CONCATENATE("#Metadata!", ADDRESS(INDEX($AJ$2:$AJ$1001,MATCH(ROWS($AH$2:AH903),$AH$2:$AH$1001,0),0), INDEX($AO$1004:$BQ$1004,1,MATCH(COLUMNS($AO$1006:BG1006),$AO$1006:$BQ$1006,0)))),"Fix")))</f>
        <v>#N/A</v>
      </c>
      <c r="U903" s="5" t="e">
        <f ca="1">IF(OR(INDEX($AI$2:$AI$1001,MATCH(ROWS($AH$2:AH903),$AH$2:$AH$1001,0),1)&gt;=100000,INDEX($AO$1005:$BQ$1005,1,MATCH(COLUMNS($AO$1006:BH1006),$AO$1006:$BQ$1006,0))&gt;=100000), " ",IF(INDEX($AO$2:$BQ$1001,MATCH(ROWS($AH$2:AH903),$AH$2:$AH$1001,0),MATCH(COLUMNS($AO$1006:BH1006),$AO$1006:$BQ$1006,0)), HYPERLINK("#",""), HYPERLINK(CONCATENATE("#Metadata!", ADDRESS(INDEX($AJ$2:$AJ$1001,MATCH(ROWS($AH$2:AH903),$AH$2:$AH$1001,0),0), INDEX($AO$1004:$BQ$1004,1,MATCH(COLUMNS($AO$1006:BH1006),$AO$1006:$BQ$1006,0)))),"Fix")))</f>
        <v>#N/A</v>
      </c>
      <c r="V903" s="5" t="e">
        <f ca="1">IF(OR(INDEX($AI$2:$AI$1001,MATCH(ROWS($AH$2:AH903),$AH$2:$AH$1001,0),1)&gt;=100000,INDEX($AO$1005:$BQ$1005,1,MATCH(COLUMNS($AO$1006:BI1006),$AO$1006:$BQ$1006,0))&gt;=100000), " ",IF(INDEX($AO$2:$BQ$1001,MATCH(ROWS($AH$2:AH903),$AH$2:$AH$1001,0),MATCH(COLUMNS($AO$1006:BI1006),$AO$1006:$BQ$1006,0)), HYPERLINK("#",""), HYPERLINK(CONCATENATE("#Metadata!", ADDRESS(INDEX($AJ$2:$AJ$1001,MATCH(ROWS($AH$2:AH903),$AH$2:$AH$1001,0),0), INDEX($AO$1004:$BQ$1004,1,MATCH(COLUMNS($AO$1006:BI1006),$AO$1006:$BQ$1006,0)))),"Fix")))</f>
        <v>#N/A</v>
      </c>
      <c r="W903" s="5" t="e">
        <f ca="1">IF(OR(INDEX($AI$2:$AI$1001,MATCH(ROWS($AH$2:AH903),$AH$2:$AH$1001,0),1)&gt;=100000,INDEX($AO$1005:$BQ$1005,1,MATCH(COLUMNS($AO$1006:BJ1006),$AO$1006:$BQ$1006,0))&gt;=100000), " ",IF(INDEX($AO$2:$BQ$1001,MATCH(ROWS($AH$2:AH903),$AH$2:$AH$1001,0),MATCH(COLUMNS($AO$1006:BJ1006),$AO$1006:$BQ$1006,0)), HYPERLINK("#",""), HYPERLINK(CONCATENATE("#Metadata!", ADDRESS(INDEX($AJ$2:$AJ$1001,MATCH(ROWS($AH$2:AH903),$AH$2:$AH$1001,0),0), INDEX($AO$1004:$BQ$1004,1,MATCH(COLUMNS($AO$1006:BJ1006),$AO$1006:$BQ$1006,0)))),"Fix")))</f>
        <v>#N/A</v>
      </c>
      <c r="X903" s="5" t="e">
        <f ca="1">IF(OR(INDEX($AI$2:$AI$1001,MATCH(ROWS($AH$2:AH903),$AH$2:$AH$1001,0),1)&gt;=100000,INDEX($AO$1005:$BQ$1005,1,MATCH(COLUMNS($AO$1006:BK1006),$AO$1006:$BQ$1006,0))&gt;=100000), " ",IF(INDEX($AO$2:$BQ$1001,MATCH(ROWS($AH$2:AH903),$AH$2:$AH$1001,0),MATCH(COLUMNS($AO$1006:BK1006),$AO$1006:$BQ$1006,0)), HYPERLINK("#",""), HYPERLINK(CONCATENATE("#Metadata!", ADDRESS(INDEX($AJ$2:$AJ$1001,MATCH(ROWS($AH$2:AH903),$AH$2:$AH$1001,0),0), INDEX($AO$1004:$BQ$1004,1,MATCH(COLUMNS($AO$1006:BK1006),$AO$1006:$BQ$1006,0)))),"Fix")))</f>
        <v>#N/A</v>
      </c>
      <c r="Y903" s="5" t="e">
        <f ca="1">IF(OR(INDEX($AI$2:$AI$1001,MATCH(ROWS($AH$2:AH903),$AH$2:$AH$1001,0),1)&gt;=100000,INDEX($AO$1005:$BQ$1005,1,MATCH(COLUMNS($AO$1006:BL1006),$AO$1006:$BQ$1006,0))&gt;=100000), " ",IF(INDEX($AO$2:$BQ$1001,MATCH(ROWS($AH$2:AH903),$AH$2:$AH$1001,0),MATCH(COLUMNS($AO$1006:BL1006),$AO$1006:$BQ$1006,0)), HYPERLINK("#",""), HYPERLINK(CONCATENATE("#Metadata!", ADDRESS(INDEX($AJ$2:$AJ$1001,MATCH(ROWS($AH$2:AH903),$AH$2:$AH$1001,0),0), INDEX($AO$1004:$BQ$1004,1,MATCH(COLUMNS($AO$1006:BL1006),$AO$1006:$BQ$1006,0)))),"Fix")))</f>
        <v>#N/A</v>
      </c>
      <c r="Z903" s="5" t="e">
        <f ca="1">IF(OR(INDEX($AI$2:$AI$1001,MATCH(ROWS($AH$2:AH903),$AH$2:$AH$1001,0),1)&gt;=100000,INDEX($AO$1005:$BQ$1005,1,MATCH(COLUMNS($AO$1006:BM1006),$AO$1006:$BQ$1006,0))&gt;=100000), " ",IF(INDEX($AO$2:$BQ$1001,MATCH(ROWS($AH$2:AH903),$AH$2:$AH$1001,0),MATCH(COLUMNS($AO$1006:BM1006),$AO$1006:$BQ$1006,0)), HYPERLINK("#",""), HYPERLINK(CONCATENATE("#Metadata!", ADDRESS(INDEX($AJ$2:$AJ$1001,MATCH(ROWS($AH$2:AH903),$AH$2:$AH$1001,0),0), INDEX($AO$1004:$BQ$1004,1,MATCH(COLUMNS($AO$1006:BM1006),$AO$1006:$BQ$1006,0)))),"Fix")))</f>
        <v>#N/A</v>
      </c>
      <c r="AA903" s="5" t="e">
        <f ca="1">IF(OR(INDEX($AI$2:$AI$1001,MATCH(ROWS($AH$2:AH903),$AH$2:$AH$1001,0),1)&gt;=100000,INDEX($AO$1005:$BQ$1005,1,MATCH(COLUMNS($AO$1006:BN1006),$AO$1006:$BQ$1006,0))&gt;=100000), " ",IF(INDEX($AO$2:$BQ$1001,MATCH(ROWS($AH$2:AH903),$AH$2:$AH$1001,0),MATCH(COLUMNS($AO$1006:BN1006),$AO$1006:$BQ$1006,0)), HYPERLINK("#",""), HYPERLINK(CONCATENATE("#Metadata!", ADDRESS(INDEX($AJ$2:$AJ$1001,MATCH(ROWS($AH$2:AH903),$AH$2:$AH$1001,0),0), INDEX($AO$1004:$BQ$1004,1,MATCH(COLUMNS($AO$1006:BN1006),$AO$1006:$BQ$1006,0)))),"Fix")))</f>
        <v>#N/A</v>
      </c>
      <c r="AB903" s="5" t="e">
        <f ca="1">IF(OR(INDEX($AI$2:$AI$1001,MATCH(ROWS($AH$2:AH903),$AH$2:$AH$1001,0),1)&gt;=100000,INDEX($AO$1005:$BQ$1005,1,MATCH(COLUMNS($AO$1006:BO1006),$AO$1006:$BQ$1006,0))&gt;=100000), " ",IF(INDEX($AO$2:$BQ$1001,MATCH(ROWS($AH$2:AH903),$AH$2:$AH$1001,0),MATCH(COLUMNS($AO$1006:BO1006),$AO$1006:$BQ$1006,0)), HYPERLINK("#",""), HYPERLINK(CONCATENATE("#Metadata!", ADDRESS(INDEX($AJ$2:$AJ$1001,MATCH(ROWS($AH$2:AH903),$AH$2:$AH$1001,0),0), INDEX($AO$1004:$BQ$1004,1,MATCH(COLUMNS($AO$1006:BO1006),$AO$1006:$BQ$1006,0)))),"Fix")))</f>
        <v>#N/A</v>
      </c>
      <c r="AC903" s="5" t="e">
        <f ca="1">IF(OR(INDEX($AI$2:$AI$1001,MATCH(ROWS($AH$2:AH903),$AH$2:$AH$1001,0),1)&gt;=100000,INDEX($AO$1005:$BQ$1005,1,MATCH(COLUMNS($AO$1006:BP1006),$AO$1006:$BQ$1006,0))&gt;=100000), " ",IF(INDEX($AO$2:$BQ$1001,MATCH(ROWS($AH$2:AH903),$AH$2:$AH$1001,0),MATCH(COLUMNS($AO$1006:BP1006),$AO$1006:$BQ$1006,0)), HYPERLINK("#",""), HYPERLINK(CONCATENATE("#Metadata!", ADDRESS(INDEX($AJ$2:$AJ$1001,MATCH(ROWS($AH$2:AH903),$AH$2:$AH$1001,0),0), INDEX($AO$1004:$BQ$1004,1,MATCH(COLUMNS($AO$1006:BP1006),$AO$1006:$BQ$1006,0)))),"Fix")))</f>
        <v>#N/A</v>
      </c>
      <c r="AD903" s="5" t="e">
        <f ca="1">IF(OR(INDEX($AI$2:$AI$1001,MATCH(ROWS($AH$2:AH903),$AH$2:$AH$1001,0),1)&gt;=100000,INDEX($AO$1005:$BQ$1005,1,MATCH(COLUMNS($AO$1006:BQ1006),$AO$1006:$BQ$1006,0))&gt;=100000), " ",IF(INDEX($AO$2:$BQ$1001,MATCH(ROWS($AH$2:AH903),$AH$2:$AH$1001,0),MATCH(COLUMNS($AO$1006:BQ1006),$AO$1006:$BQ$1006,0)), HYPERLINK("#",""), HYPERLINK(CONCATENATE("#Metadata!", ADDRESS(INDEX($AJ$2:$AJ$1001,MATCH(ROWS($AH$2:AH903),$AH$2:$AH$1001,0),0), INDEX($AO$1004:$BQ$1004,1,MATCH(COLUMNS($AO$1006:BQ1006),$AO$1006:$BQ$1006,0)))),"Fix")))</f>
        <v>#REF!</v>
      </c>
      <c r="AH903">
        <f ca="1"/>
        <v>900</v>
      </c>
      <c r="AI903">
        <v>100903</v>
      </c>
      <c r="AJ903">
        <v>903</v>
      </c>
      <c r="AK903" t="b">
        <f t="shared" si="14"/>
        <v>1</v>
      </c>
      <c r="AL903" t="b">
        <f>COUNTBLANK(Metadata!B903:AD903)=COLUMNS(Metadata!B903:AD903)</f>
        <v>1</v>
      </c>
      <c r="AM903" t="str">
        <v/>
      </c>
      <c r="AO903" t="b">
        <f ca="1">AND(IF(Metadata!B903="",FALSE,TRUE),COUNTIF(Metadata!B:B, Metadata!B903) = 1,NOT(ISERROR(SUMPRODUCT(SEARCH(MID(Metadata!B903,ROW(INDIRECT("1:"&amp;LEN(Metadata!B903))), 1),"0123456789abcdefghijklmnopqrstuvwxyzABCDEFGHIJKLMNOPQRSTUVWXYZ.")))))</f>
        <v>0</v>
      </c>
      <c r="AP903" t="b">
        <f>IF(Metadata!C903="",FALSE,TRUE)</f>
        <v>0</v>
      </c>
      <c r="AQ903" t="b">
        <f>IF(Metadata!D903="",FALSE,TRUE)</f>
        <v>0</v>
      </c>
      <c r="AR903" t="b">
        <f ca="1">OR(AND(IF(Metadata!E903="",FALSE,TRUE),OR(EXACT(Metadata!E903,"not collected"),EXACT(Metadata!E903,"not provided"),EXACT(Metadata!E903,"restricted access"))),AND(IF(Metadata!E903="",FALSE,TRUE),AND(AND(IFERROR(INT(LEFT(Metadata!E903,4))&gt;1900,FALSE),IFERROR(INT(LEFT(Metadata!E903,4))&lt;=YEAR(NOW()),FALSE)), OR(MID(Metadata!E903,5,1)="", AND(AND(MID(Metadata!E903,5,1)="-",IFERROR(INT(MID(Metadata!E903,6,1))&gt;=0,FALSE),IFERROR(INT(MID(Metadata!E903,6,1))&lt;=1,FALSE),NOT(MID(Metadata!E903,7,1)=""),IFERROR(INT(MID(Metadata!E903,6,2))&gt;=1,FALSE),IFERROR(INT(MID(Metadata!E903,6,2))&lt;=12,FALSE)), OR(MID(Metadata!E903,8,1)="", AND(AND(MID(Metadata!E903,8,1)="-",IFERROR(INT(MID(Metadata!E903,9,1))&gt;=0,FALSE),IFERROR(INT(MID(Metadata!E903,9,1))&lt;=3,FALSE),NOT(MID(Metadata!E903,10,1)=""),IFERROR(INT(MID(Metadata!E903,9,2))&gt;=1,FALSE),IFERROR(INT(MID(Metadata!E903,9,2))&lt;=31,FALSE)), OR(MID(Metadata!E903,11,1)="", AND(AND(MID(Metadata!E903,11,1)=" ",IFERROR(INT(MID(Metadata!E903,12,1))&gt;=0,FALSE),IFERROR(INT(MID(Metadata!E903,12,1))&lt;=2,FALSE),NOT(MID(Metadata!E903,13,1)=""),IFERROR(INT(MID(Metadata!E903,12,2))&gt;=0,FALSE),IFERROR(INT(MID(Metadata!E903,12,2))&lt;=23,FALSE)), OR(MID(Metadata!E903,14,1)="", AND(AND(MID(Metadata!E903,14,1)=":",IFERROR(INT(MID(Metadata!E903,15,1))&gt;=0,FALSE),IFERROR(INT(MID(Metadata!E903,15,1))&lt;=5,FALSE),NOT(MID(Metadata!E903,16,1)=""),IFERROR(INT(MID(Metadata!E903,15,2))&gt;=0,FALSE),IFERROR(INT(MID(Metadata!E903,15,2))&lt;=59,FALSE)), OR(MID(Metadata!E903,17,1)="", AND(AND(MID(Metadata!E903,17,1)=":",IFERROR(INT(MID(Metadata!E903,18,1))&gt;=0,FALSE),IFERROR(INT(MID(Metadata!E903,18,1))&lt;=5,FALSE),NOT(MID(Metadata!E903,19,1)=""),IFERROR(INT(MID(Metadata!E903,18,2))&gt;=0,FALSE),IFERROR(INT(MID(Metadata!E903,18,2))&lt;=59,FALSE)), LEN(Metadata!E903)&lt;=19)))))))))))))</f>
        <v>0</v>
      </c>
      <c r="AS903" t="b">
        <f>IF(Metadata!F903="",FALSE,TRUE)</f>
        <v>0</v>
      </c>
      <c r="AT903" t="b">
        <f>OR(AND(IF(Metadata!G903="",FALSE,TRUE),OR(EXACT(Metadata!G903,"not collected"),EXACT(Metadata!G903,"not provided"))),AND(IF(Metadata!G903="",FALSE,TRUE),OR(EXACT(Metadata!G903,"TRUE"),EXACT(Metadata!G903,"FALSE"))))</f>
        <v>0</v>
      </c>
      <c r="AU903" t="b">
        <f>OR(AND(IF(Metadata!H903="",FALSE,TRUE),OR(EXACT(Metadata!H903,"not collected"),EXACT(Metadata!H903,"not provided"),EXACT(Metadata!H903,"restricted access"))),AND(IF(Metadata!H903="",FALSE,ISNUMBER(VALUE(Metadata!H903))),Metadata!H903&gt;=-413))</f>
        <v>0</v>
      </c>
      <c r="AV903" t="b">
        <f>AND(IF(Metadata!I903="",FALSE,TRUE),EXACT(Metadata!I903,"meters"))</f>
        <v>0</v>
      </c>
      <c r="AW903" t="b">
        <f>AND(IF(Metadata!J903="",FALSE,TRUE),EXACT(Metadata!J903,"free-living"))</f>
        <v>0</v>
      </c>
      <c r="AX903" t="b">
        <f>AND(IF(Metadata!K903="",FALSE,TRUE),OR(EXACT(Metadata!K903,"saline"),EXACT(Metadata!K903,"non-saline")))</f>
        <v>0</v>
      </c>
      <c r="AY903" t="b">
        <f>AND(IF(Metadata!L903="",FALSE,TRUE),OR(EXACT(Metadata!L903,"sub-surface (non-saline)"),EXACT(Metadata!L903,"surface (non-saline)"),EXACT(Metadata!L903,"water (non-saline)"),EXACT(Metadata!L903,"soil (non-saline)"),EXACT(Metadata!L903,"aerosol (non-saline)"),EXACT(Metadata!L903,"sediment (non-saline)"),EXACT(Metadata!L903,"surface (saline)"),EXACT(Metadata!L903,"water (saline)"),EXACT(Metadata!L903,"hypersaline (saline)"),EXACT(Metadata!L903,"aerosol (saline)"),EXACT(Metadata!L903,"sediment (saline)")))</f>
        <v>0</v>
      </c>
      <c r="AZ903" t="b">
        <f>IF(Metadata!M903="",FALSE,TRUE)</f>
        <v>0</v>
      </c>
      <c r="BA903" t="b">
        <f>IF(Metadata!N903="",FALSE,TRUE)</f>
        <v>0</v>
      </c>
      <c r="BB903" t="b">
        <f>IF(Metadata!O903="",FALSE,TRUE)</f>
        <v>0</v>
      </c>
      <c r="BC903" t="b">
        <f>AND(IF(Metadata!P903="",FALSE,TRUE),OR(EXACT(Metadata!P903,"air"),EXACT(Metadata!P903,"microbial mat/biofilm"),EXACT(Metadata!P903,"misc environment"),EXACT(Metadata!P903,"sediment"),EXACT(Metadata!P903,"soil"),EXACT(Metadata!P903,"wastewater/sludge"),EXACT(Metadata!P903,"water")))</f>
        <v>0</v>
      </c>
      <c r="BD903" t="b">
        <f>IF(Metadata!Q903="",FALSE,TRUE)</f>
        <v>0</v>
      </c>
      <c r="BE903" t="b">
        <f>IF(Metadata!R903="",FALSE,TRUE)</f>
        <v>0</v>
      </c>
      <c r="BF903" t="b">
        <f>OR(AND(IF(Metadata!S903="",FALSE,TRUE),OR(EXACT(Metadata!S903,"not collected"),EXACT(Metadata!S903,"not provided"),EXACT(Metadata!S903,"restricted access"))),AND(IF(Metadata!S903="",FALSE,ISNUMBER(VALUE(Metadata!S903))),Metadata!S903&gt;=-90,Metadata!S903&lt;=90))</f>
        <v>0</v>
      </c>
      <c r="BG903" t="b">
        <f>AND(IF(Metadata!T903="",FALSE,TRUE),EXACT(Metadata!T903,"Decimal degrees"))</f>
        <v>0</v>
      </c>
      <c r="BH903" t="b">
        <f>OR(AND(IF(Metadata!U903="",FALSE,TRUE),OR(EXACT(Metadata!U903,"not applicable"),EXACT(Metadata!U903,"not collected"))),IF(Metadata!U903="",FALSE,TRUE))</f>
        <v>0</v>
      </c>
      <c r="BI903" t="b">
        <f>OR(AND(IF(Metadata!V903="",FALSE,TRUE),OR(EXACT(Metadata!V903,"not collected"),EXACT(Metadata!V903,"not provided"),EXACT(Metadata!V903,"restricted access"))),AND(IF(Metadata!V903="",FALSE,ISNUMBER(VALUE(Metadata!V903))),Metadata!V903&gt;=-180,Metadata!V903&lt;=180))</f>
        <v>0</v>
      </c>
      <c r="BJ903" t="b">
        <f>AND(IF(Metadata!W903="",FALSE,TRUE),EXACT(Metadata!W903,"Decimal degrees"))</f>
        <v>0</v>
      </c>
      <c r="BK903" t="b">
        <f>IF(Metadata!X903="",FALSE,TRUE)</f>
        <v>0</v>
      </c>
      <c r="BL903" t="b">
        <f>OR(AND(IF(Metadata!Y903="",FALSE,TRUE),OR(EXACT(Metadata!Y903,"not collected"),EXACT(Metadata!Y903,"not provided"),EXACT(Metadata!Y903,"restricted access"))),AND(IF(Metadata!Y903="",FALSE,TRUE),OR(EXACT(Metadata!Y903,"TRUE"),EXACT(Metadata!Y903,"FALSE"))))</f>
        <v>0</v>
      </c>
      <c r="BM903" t="b">
        <f>OR(AND(IF(Metadata!Z903="",FALSE,TRUE),EXACT(Metadata!Z903,"not applicable")),AND(IF(Metadata!Z903="",FALSE,TRUE),OR(EXACT(Metadata!Z903,"beer"),EXACT(Metadata!Z903,"cheese"),EXACT(Metadata!Z903,"fresh water"),EXACT(Metadata!Z903,"marine sediment"),EXACT(Metadata!Z903,"sea water"),EXACT(Metadata!Z903,"sediment"),EXACT(Metadata!Z903,"soil"),EXACT(Metadata!Z903,"waste water"))))</f>
        <v>0</v>
      </c>
      <c r="BN903" t="b">
        <f>AND(IF(Metadata!AA903="",FALSE,TRUE),EXACT(Metadata!AA903,"metagenome"))</f>
        <v>0</v>
      </c>
      <c r="BO903" t="b">
        <f>AND(IF(Metadata!AB903="",FALSE,TRUE),EXACT(Metadata!AB903,"256318"))</f>
        <v>0</v>
      </c>
      <c r="BP903" t="b">
        <f>IF(Metadata!AC903="",FALSE,TRUE)</f>
        <v>0</v>
      </c>
      <c r="BQ903" t="b">
        <f>IF(Metadata!AD903="",FALSE,TRUE)</f>
        <v>0</v>
      </c>
    </row>
    <row r="904" spans="1:69" x14ac:dyDescent="0.2">
      <c r="A904" s="4" t="e">
        <f ca="1">IF(B904=" "," ",HYPERLINK(CONCATENATE("#metadata!",ADDRESS(INDEX($AJ$2:$AJ$1001,MATCH(ROWS($AH$2:AH904),$AH$2:$AH$1001,0),0),2)),INDEX($AM$2:$AM$1001,MATCH(ROWS($AH$2:AH904),$AH$2:$AH$1001,0),0)))</f>
        <v>#N/A</v>
      </c>
      <c r="B904" s="5" t="e">
        <f ca="1">IF(OR(INDEX($AI$2:$AI$1001,MATCH(ROWS($AH$2:AH904),$AH$2:$AH$1001,0),1)&gt;=100000,INDEX($AO$1005:$BQ$1005,1,MATCH(COLUMNS($AO$1006:AO1006),$AO$1006:$BQ$1006,0))&gt;=100000), " ",IF(INDEX($AO$2:$BQ$1001,MATCH(ROWS($AH$2:AH904),$AH$2:$AH$1001,0),MATCH(COLUMNS($AO$1006:AO1006),$AO$1006:$BQ$1006,0)), HYPERLINK("#",""), HYPERLINK(CONCATENATE("#Metadata!", ADDRESS(INDEX($AJ$2:$AJ$1001,MATCH(ROWS($AH$2:AH904),$AH$2:$AH$1001,0),0), INDEX($AO$1004:$BQ$1004,1,MATCH(COLUMNS($AO$1006:AO1006),$AO$1006:$BQ$1006,0)))),"Fix")))</f>
        <v>#N/A</v>
      </c>
      <c r="C904" s="5" t="e">
        <f ca="1">IF(OR(INDEX($AI$2:$AI$1001,MATCH(ROWS($AH$2:AH904),$AH$2:$AH$1001,0),1)&gt;=100000,INDEX($AO$1005:$BQ$1005,1,MATCH(COLUMNS($AO$1006:AP1006),$AO$1006:$BQ$1006,0))&gt;=100000), " ",IF(INDEX($AO$2:$BQ$1001,MATCH(ROWS($AH$2:AH904),$AH$2:$AH$1001,0),MATCH(COLUMNS($AO$1006:AP1006),$AO$1006:$BQ$1006,0)), HYPERLINK("#",""), HYPERLINK(CONCATENATE("#Metadata!", ADDRESS(INDEX($AJ$2:$AJ$1001,MATCH(ROWS($AH$2:AH904),$AH$2:$AH$1001,0),0), INDEX($AO$1004:$BQ$1004,1,MATCH(COLUMNS($AO$1006:AP1006),$AO$1006:$BQ$1006,0)))),"Fix")))</f>
        <v>#N/A</v>
      </c>
      <c r="D904" s="5" t="e">
        <f ca="1">IF(OR(INDEX($AI$2:$AI$1001,MATCH(ROWS($AH$2:AH904),$AH$2:$AH$1001,0),1)&gt;=100000,INDEX($AO$1005:$BQ$1005,1,MATCH(COLUMNS($AO$1006:AQ1006),$AO$1006:$BQ$1006,0))&gt;=100000), " ",IF(INDEX($AO$2:$BQ$1001,MATCH(ROWS($AH$2:AH904),$AH$2:$AH$1001,0),MATCH(COLUMNS($AO$1006:AQ1006),$AO$1006:$BQ$1006,0)), HYPERLINK("#",""), HYPERLINK(CONCATENATE("#Metadata!", ADDRESS(INDEX($AJ$2:$AJ$1001,MATCH(ROWS($AH$2:AH904),$AH$2:$AH$1001,0),0), INDEX($AO$1004:$BQ$1004,1,MATCH(COLUMNS($AO$1006:AQ1006),$AO$1006:$BQ$1006,0)))),"Fix")))</f>
        <v>#N/A</v>
      </c>
      <c r="E904" s="5" t="e">
        <f ca="1">IF(OR(INDEX($AI$2:$AI$1001,MATCH(ROWS($AH$2:AH904),$AH$2:$AH$1001,0),1)&gt;=100000,INDEX($AO$1005:$BQ$1005,1,MATCH(COLUMNS($AO$1006:AR1006),$AO$1006:$BQ$1006,0))&gt;=100000), " ",IF(INDEX($AO$2:$BQ$1001,MATCH(ROWS($AH$2:AH904),$AH$2:$AH$1001,0),MATCH(COLUMNS($AO$1006:AR1006),$AO$1006:$BQ$1006,0)), HYPERLINK("#",""), HYPERLINK(CONCATENATE("#Metadata!", ADDRESS(INDEX($AJ$2:$AJ$1001,MATCH(ROWS($AH$2:AH904),$AH$2:$AH$1001,0),0), INDEX($AO$1004:$BQ$1004,1,MATCH(COLUMNS($AO$1006:AR1006),$AO$1006:$BQ$1006,0)))),"Fix")))</f>
        <v>#N/A</v>
      </c>
      <c r="F904" s="5" t="e">
        <f ca="1">IF(OR(INDEX($AI$2:$AI$1001,MATCH(ROWS($AH$2:AH904),$AH$2:$AH$1001,0),1)&gt;=100000,INDEX($AO$1005:$BQ$1005,1,MATCH(COLUMNS($AO$1006:AS1006),$AO$1006:$BQ$1006,0))&gt;=100000), " ",IF(INDEX($AO$2:$BQ$1001,MATCH(ROWS($AH$2:AH904),$AH$2:$AH$1001,0),MATCH(COLUMNS($AO$1006:AS1006),$AO$1006:$BQ$1006,0)), HYPERLINK("#",""), HYPERLINK(CONCATENATE("#Metadata!", ADDRESS(INDEX($AJ$2:$AJ$1001,MATCH(ROWS($AH$2:AH904),$AH$2:$AH$1001,0),0), INDEX($AO$1004:$BQ$1004,1,MATCH(COLUMNS($AO$1006:AS1006),$AO$1006:$BQ$1006,0)))),"Fix")))</f>
        <v>#N/A</v>
      </c>
      <c r="G904" s="5" t="e">
        <f ca="1">IF(OR(INDEX($AI$2:$AI$1001,MATCH(ROWS($AH$2:AH904),$AH$2:$AH$1001,0),1)&gt;=100000,INDEX($AO$1005:$BQ$1005,1,MATCH(COLUMNS($AO$1006:AT1006),$AO$1006:$BQ$1006,0))&gt;=100000), " ",IF(INDEX($AO$2:$BQ$1001,MATCH(ROWS($AH$2:AH904),$AH$2:$AH$1001,0),MATCH(COLUMNS($AO$1006:AT1006),$AO$1006:$BQ$1006,0)), HYPERLINK("#",""), HYPERLINK(CONCATENATE("#Metadata!", ADDRESS(INDEX($AJ$2:$AJ$1001,MATCH(ROWS($AH$2:AH904),$AH$2:$AH$1001,0),0), INDEX($AO$1004:$BQ$1004,1,MATCH(COLUMNS($AO$1006:AT1006),$AO$1006:$BQ$1006,0)))),"Fix")))</f>
        <v>#N/A</v>
      </c>
      <c r="H904" s="5" t="e">
        <f ca="1">IF(OR(INDEX($AI$2:$AI$1001,MATCH(ROWS($AH$2:AH904),$AH$2:$AH$1001,0),1)&gt;=100000,INDEX($AO$1005:$BQ$1005,1,MATCH(COLUMNS($AO$1006:AU1006),$AO$1006:$BQ$1006,0))&gt;=100000), " ",IF(INDEX($AO$2:$BQ$1001,MATCH(ROWS($AH$2:AH904),$AH$2:$AH$1001,0),MATCH(COLUMNS($AO$1006:AU1006),$AO$1006:$BQ$1006,0)), HYPERLINK("#",""), HYPERLINK(CONCATENATE("#Metadata!", ADDRESS(INDEX($AJ$2:$AJ$1001,MATCH(ROWS($AH$2:AH904),$AH$2:$AH$1001,0),0), INDEX($AO$1004:$BQ$1004,1,MATCH(COLUMNS($AO$1006:AU1006),$AO$1006:$BQ$1006,0)))),"Fix")))</f>
        <v>#N/A</v>
      </c>
      <c r="I904" s="5" t="e">
        <f ca="1">IF(OR(INDEX($AI$2:$AI$1001,MATCH(ROWS($AH$2:AH904),$AH$2:$AH$1001,0),1)&gt;=100000,INDEX($AO$1005:$BQ$1005,1,MATCH(COLUMNS($AO$1006:AV1006),$AO$1006:$BQ$1006,0))&gt;=100000), " ",IF(INDEX($AO$2:$BQ$1001,MATCH(ROWS($AH$2:AH904),$AH$2:$AH$1001,0),MATCH(COLUMNS($AO$1006:AV1006),$AO$1006:$BQ$1006,0)), HYPERLINK("#",""), HYPERLINK(CONCATENATE("#Metadata!", ADDRESS(INDEX($AJ$2:$AJ$1001,MATCH(ROWS($AH$2:AH904),$AH$2:$AH$1001,0),0), INDEX($AO$1004:$BQ$1004,1,MATCH(COLUMNS($AO$1006:AV1006),$AO$1006:$BQ$1006,0)))),"Fix")))</f>
        <v>#N/A</v>
      </c>
      <c r="J904" s="5" t="e">
        <f ca="1">IF(OR(INDEX($AI$2:$AI$1001,MATCH(ROWS($AH$2:AH904),$AH$2:$AH$1001,0),1)&gt;=100000,INDEX($AO$1005:$BQ$1005,1,MATCH(COLUMNS($AO$1006:AW1006),$AO$1006:$BQ$1006,0))&gt;=100000), " ",IF(INDEX($AO$2:$BQ$1001,MATCH(ROWS($AH$2:AH904),$AH$2:$AH$1001,0),MATCH(COLUMNS($AO$1006:AW1006),$AO$1006:$BQ$1006,0)), HYPERLINK("#",""), HYPERLINK(CONCATENATE("#Metadata!", ADDRESS(INDEX($AJ$2:$AJ$1001,MATCH(ROWS($AH$2:AH904),$AH$2:$AH$1001,0),0), INDEX($AO$1004:$BQ$1004,1,MATCH(COLUMNS($AO$1006:AW1006),$AO$1006:$BQ$1006,0)))),"Fix")))</f>
        <v>#N/A</v>
      </c>
      <c r="K904" s="5" t="e">
        <f ca="1">IF(OR(INDEX($AI$2:$AI$1001,MATCH(ROWS($AH$2:AH904),$AH$2:$AH$1001,0),1)&gt;=100000,INDEX($AO$1005:$BQ$1005,1,MATCH(COLUMNS($AO$1006:AX1006),$AO$1006:$BQ$1006,0))&gt;=100000), " ",IF(INDEX($AO$2:$BQ$1001,MATCH(ROWS($AH$2:AH904),$AH$2:$AH$1001,0),MATCH(COLUMNS($AO$1006:AX1006),$AO$1006:$BQ$1006,0)), HYPERLINK("#",""), HYPERLINK(CONCATENATE("#Metadata!", ADDRESS(INDEX($AJ$2:$AJ$1001,MATCH(ROWS($AH$2:AH904),$AH$2:$AH$1001,0),0), INDEX($AO$1004:$BQ$1004,1,MATCH(COLUMNS($AO$1006:AX1006),$AO$1006:$BQ$1006,0)))),"Fix")))</f>
        <v>#N/A</v>
      </c>
      <c r="L904" s="5" t="e">
        <f ca="1">IF(OR(INDEX($AI$2:$AI$1001,MATCH(ROWS($AH$2:AH904),$AH$2:$AH$1001,0),1)&gt;=100000,INDEX($AO$1005:$BQ$1005,1,MATCH(COLUMNS($AO$1006:AY1006),$AO$1006:$BQ$1006,0))&gt;=100000), " ",IF(INDEX($AO$2:$BQ$1001,MATCH(ROWS($AH$2:AH904),$AH$2:$AH$1001,0),MATCH(COLUMNS($AO$1006:AY1006),$AO$1006:$BQ$1006,0)), HYPERLINK("#",""), HYPERLINK(CONCATENATE("#Metadata!", ADDRESS(INDEX($AJ$2:$AJ$1001,MATCH(ROWS($AH$2:AH904),$AH$2:$AH$1001,0),0), INDEX($AO$1004:$BQ$1004,1,MATCH(COLUMNS($AO$1006:AY1006),$AO$1006:$BQ$1006,0)))),"Fix")))</f>
        <v>#N/A</v>
      </c>
      <c r="M904" s="5" t="e">
        <f ca="1">IF(OR(INDEX($AI$2:$AI$1001,MATCH(ROWS($AH$2:AH904),$AH$2:$AH$1001,0),1)&gt;=100000,INDEX($AO$1005:$BQ$1005,1,MATCH(COLUMNS($AO$1006:AZ1006),$AO$1006:$BQ$1006,0))&gt;=100000), " ",IF(INDEX($AO$2:$BQ$1001,MATCH(ROWS($AH$2:AH904),$AH$2:$AH$1001,0),MATCH(COLUMNS($AO$1006:AZ1006),$AO$1006:$BQ$1006,0)), HYPERLINK("#",""), HYPERLINK(CONCATENATE("#Metadata!", ADDRESS(INDEX($AJ$2:$AJ$1001,MATCH(ROWS($AH$2:AH904),$AH$2:$AH$1001,0),0), INDEX($AO$1004:$BQ$1004,1,MATCH(COLUMNS($AO$1006:AZ1006),$AO$1006:$BQ$1006,0)))),"Fix")))</f>
        <v>#N/A</v>
      </c>
      <c r="N904" s="5" t="e">
        <f ca="1">IF(OR(INDEX($AI$2:$AI$1001,MATCH(ROWS($AH$2:AH904),$AH$2:$AH$1001,0),1)&gt;=100000,INDEX($AO$1005:$BQ$1005,1,MATCH(COLUMNS($AO$1006:BA1006),$AO$1006:$BQ$1006,0))&gt;=100000), " ",IF(INDEX($AO$2:$BQ$1001,MATCH(ROWS($AH$2:AH904),$AH$2:$AH$1001,0),MATCH(COLUMNS($AO$1006:BA1006),$AO$1006:$BQ$1006,0)), HYPERLINK("#",""), HYPERLINK(CONCATENATE("#Metadata!", ADDRESS(INDEX($AJ$2:$AJ$1001,MATCH(ROWS($AH$2:AH904),$AH$2:$AH$1001,0),0), INDEX($AO$1004:$BQ$1004,1,MATCH(COLUMNS($AO$1006:BA1006),$AO$1006:$BQ$1006,0)))),"Fix")))</f>
        <v>#N/A</v>
      </c>
      <c r="O904" s="5" t="e">
        <f ca="1">IF(OR(INDEX($AI$2:$AI$1001,MATCH(ROWS($AH$2:AH904),$AH$2:$AH$1001,0),1)&gt;=100000,INDEX($AO$1005:$BQ$1005,1,MATCH(COLUMNS($AO$1006:BB1006),$AO$1006:$BQ$1006,0))&gt;=100000), " ",IF(INDEX($AO$2:$BQ$1001,MATCH(ROWS($AH$2:AH904),$AH$2:$AH$1001,0),MATCH(COLUMNS($AO$1006:BB1006),$AO$1006:$BQ$1006,0)), HYPERLINK("#",""), HYPERLINK(CONCATENATE("#Metadata!", ADDRESS(INDEX($AJ$2:$AJ$1001,MATCH(ROWS($AH$2:AH904),$AH$2:$AH$1001,0),0), INDEX($AO$1004:$BQ$1004,1,MATCH(COLUMNS($AO$1006:BB1006),$AO$1006:$BQ$1006,0)))),"Fix")))</f>
        <v>#N/A</v>
      </c>
      <c r="P904" s="5" t="e">
        <f ca="1">IF(OR(INDEX($AI$2:$AI$1001,MATCH(ROWS($AH$2:AH904),$AH$2:$AH$1001,0),1)&gt;=100000,INDEX($AO$1005:$BQ$1005,1,MATCH(COLUMNS($AO$1006:BC1006),$AO$1006:$BQ$1006,0))&gt;=100000), " ",IF(INDEX($AO$2:$BQ$1001,MATCH(ROWS($AH$2:AH904),$AH$2:$AH$1001,0),MATCH(COLUMNS($AO$1006:BC1006),$AO$1006:$BQ$1006,0)), HYPERLINK("#",""), HYPERLINK(CONCATENATE("#Metadata!", ADDRESS(INDEX($AJ$2:$AJ$1001,MATCH(ROWS($AH$2:AH904),$AH$2:$AH$1001,0),0), INDEX($AO$1004:$BQ$1004,1,MATCH(COLUMNS($AO$1006:BC1006),$AO$1006:$BQ$1006,0)))),"Fix")))</f>
        <v>#N/A</v>
      </c>
      <c r="Q904" s="5" t="e">
        <f ca="1">IF(OR(INDEX($AI$2:$AI$1001,MATCH(ROWS($AH$2:AH904),$AH$2:$AH$1001,0),1)&gt;=100000,INDEX($AO$1005:$BQ$1005,1,MATCH(COLUMNS($AO$1006:BD1006),$AO$1006:$BQ$1006,0))&gt;=100000), " ",IF(INDEX($AO$2:$BQ$1001,MATCH(ROWS($AH$2:AH904),$AH$2:$AH$1001,0),MATCH(COLUMNS($AO$1006:BD1006),$AO$1006:$BQ$1006,0)), HYPERLINK("#",""), HYPERLINK(CONCATENATE("#Metadata!", ADDRESS(INDEX($AJ$2:$AJ$1001,MATCH(ROWS($AH$2:AH904),$AH$2:$AH$1001,0),0), INDEX($AO$1004:$BQ$1004,1,MATCH(COLUMNS($AO$1006:BD1006),$AO$1006:$BQ$1006,0)))),"Fix")))</f>
        <v>#N/A</v>
      </c>
      <c r="R904" s="5" t="e">
        <f ca="1">IF(OR(INDEX($AI$2:$AI$1001,MATCH(ROWS($AH$2:AH904),$AH$2:$AH$1001,0),1)&gt;=100000,INDEX($AO$1005:$BQ$1005,1,MATCH(COLUMNS($AO$1006:BE1006),$AO$1006:$BQ$1006,0))&gt;=100000), " ",IF(INDEX($AO$2:$BQ$1001,MATCH(ROWS($AH$2:AH904),$AH$2:$AH$1001,0),MATCH(COLUMNS($AO$1006:BE1006),$AO$1006:$BQ$1006,0)), HYPERLINK("#",""), HYPERLINK(CONCATENATE("#Metadata!", ADDRESS(INDEX($AJ$2:$AJ$1001,MATCH(ROWS($AH$2:AH904),$AH$2:$AH$1001,0),0), INDEX($AO$1004:$BQ$1004,1,MATCH(COLUMNS($AO$1006:BE1006),$AO$1006:$BQ$1006,0)))),"Fix")))</f>
        <v>#N/A</v>
      </c>
      <c r="S904" s="5" t="e">
        <f ca="1">IF(OR(INDEX($AI$2:$AI$1001,MATCH(ROWS($AH$2:AH904),$AH$2:$AH$1001,0),1)&gt;=100000,INDEX($AO$1005:$BQ$1005,1,MATCH(COLUMNS($AO$1006:BF1006),$AO$1006:$BQ$1006,0))&gt;=100000), " ",IF(INDEX($AO$2:$BQ$1001,MATCH(ROWS($AH$2:AH904),$AH$2:$AH$1001,0),MATCH(COLUMNS($AO$1006:BF1006),$AO$1006:$BQ$1006,0)), HYPERLINK("#",""), HYPERLINK(CONCATENATE("#Metadata!", ADDRESS(INDEX($AJ$2:$AJ$1001,MATCH(ROWS($AH$2:AH904),$AH$2:$AH$1001,0),0), INDEX($AO$1004:$BQ$1004,1,MATCH(COLUMNS($AO$1006:BF1006),$AO$1006:$BQ$1006,0)))),"Fix")))</f>
        <v>#N/A</v>
      </c>
      <c r="T904" s="5" t="e">
        <f ca="1">IF(OR(INDEX($AI$2:$AI$1001,MATCH(ROWS($AH$2:AH904),$AH$2:$AH$1001,0),1)&gt;=100000,INDEX($AO$1005:$BQ$1005,1,MATCH(COLUMNS($AO$1006:BG1006),$AO$1006:$BQ$1006,0))&gt;=100000), " ",IF(INDEX($AO$2:$BQ$1001,MATCH(ROWS($AH$2:AH904),$AH$2:$AH$1001,0),MATCH(COLUMNS($AO$1006:BG1006),$AO$1006:$BQ$1006,0)), HYPERLINK("#",""), HYPERLINK(CONCATENATE("#Metadata!", ADDRESS(INDEX($AJ$2:$AJ$1001,MATCH(ROWS($AH$2:AH904),$AH$2:$AH$1001,0),0), INDEX($AO$1004:$BQ$1004,1,MATCH(COLUMNS($AO$1006:BG1006),$AO$1006:$BQ$1006,0)))),"Fix")))</f>
        <v>#N/A</v>
      </c>
      <c r="U904" s="5" t="e">
        <f ca="1">IF(OR(INDEX($AI$2:$AI$1001,MATCH(ROWS($AH$2:AH904),$AH$2:$AH$1001,0),1)&gt;=100000,INDEX($AO$1005:$BQ$1005,1,MATCH(COLUMNS($AO$1006:BH1006),$AO$1006:$BQ$1006,0))&gt;=100000), " ",IF(INDEX($AO$2:$BQ$1001,MATCH(ROWS($AH$2:AH904),$AH$2:$AH$1001,0),MATCH(COLUMNS($AO$1006:BH1006),$AO$1006:$BQ$1006,0)), HYPERLINK("#",""), HYPERLINK(CONCATENATE("#Metadata!", ADDRESS(INDEX($AJ$2:$AJ$1001,MATCH(ROWS($AH$2:AH904),$AH$2:$AH$1001,0),0), INDEX($AO$1004:$BQ$1004,1,MATCH(COLUMNS($AO$1006:BH1006),$AO$1006:$BQ$1006,0)))),"Fix")))</f>
        <v>#N/A</v>
      </c>
      <c r="V904" s="5" t="e">
        <f ca="1">IF(OR(INDEX($AI$2:$AI$1001,MATCH(ROWS($AH$2:AH904),$AH$2:$AH$1001,0),1)&gt;=100000,INDEX($AO$1005:$BQ$1005,1,MATCH(COLUMNS($AO$1006:BI1006),$AO$1006:$BQ$1006,0))&gt;=100000), " ",IF(INDEX($AO$2:$BQ$1001,MATCH(ROWS($AH$2:AH904),$AH$2:$AH$1001,0),MATCH(COLUMNS($AO$1006:BI1006),$AO$1006:$BQ$1006,0)), HYPERLINK("#",""), HYPERLINK(CONCATENATE("#Metadata!", ADDRESS(INDEX($AJ$2:$AJ$1001,MATCH(ROWS($AH$2:AH904),$AH$2:$AH$1001,0),0), INDEX($AO$1004:$BQ$1004,1,MATCH(COLUMNS($AO$1006:BI1006),$AO$1006:$BQ$1006,0)))),"Fix")))</f>
        <v>#N/A</v>
      </c>
      <c r="W904" s="5" t="e">
        <f ca="1">IF(OR(INDEX($AI$2:$AI$1001,MATCH(ROWS($AH$2:AH904),$AH$2:$AH$1001,0),1)&gt;=100000,INDEX($AO$1005:$BQ$1005,1,MATCH(COLUMNS($AO$1006:BJ1006),$AO$1006:$BQ$1006,0))&gt;=100000), " ",IF(INDEX($AO$2:$BQ$1001,MATCH(ROWS($AH$2:AH904),$AH$2:$AH$1001,0),MATCH(COLUMNS($AO$1006:BJ1006),$AO$1006:$BQ$1006,0)), HYPERLINK("#",""), HYPERLINK(CONCATENATE("#Metadata!", ADDRESS(INDEX($AJ$2:$AJ$1001,MATCH(ROWS($AH$2:AH904),$AH$2:$AH$1001,0),0), INDEX($AO$1004:$BQ$1004,1,MATCH(COLUMNS($AO$1006:BJ1006),$AO$1006:$BQ$1006,0)))),"Fix")))</f>
        <v>#N/A</v>
      </c>
      <c r="X904" s="5" t="e">
        <f ca="1">IF(OR(INDEX($AI$2:$AI$1001,MATCH(ROWS($AH$2:AH904),$AH$2:$AH$1001,0),1)&gt;=100000,INDEX($AO$1005:$BQ$1005,1,MATCH(COLUMNS($AO$1006:BK1006),$AO$1006:$BQ$1006,0))&gt;=100000), " ",IF(INDEX($AO$2:$BQ$1001,MATCH(ROWS($AH$2:AH904),$AH$2:$AH$1001,0),MATCH(COLUMNS($AO$1006:BK1006),$AO$1006:$BQ$1006,0)), HYPERLINK("#",""), HYPERLINK(CONCATENATE("#Metadata!", ADDRESS(INDEX($AJ$2:$AJ$1001,MATCH(ROWS($AH$2:AH904),$AH$2:$AH$1001,0),0), INDEX($AO$1004:$BQ$1004,1,MATCH(COLUMNS($AO$1006:BK1006),$AO$1006:$BQ$1006,0)))),"Fix")))</f>
        <v>#N/A</v>
      </c>
      <c r="Y904" s="5" t="e">
        <f ca="1">IF(OR(INDEX($AI$2:$AI$1001,MATCH(ROWS($AH$2:AH904),$AH$2:$AH$1001,0),1)&gt;=100000,INDEX($AO$1005:$BQ$1005,1,MATCH(COLUMNS($AO$1006:BL1006),$AO$1006:$BQ$1006,0))&gt;=100000), " ",IF(INDEX($AO$2:$BQ$1001,MATCH(ROWS($AH$2:AH904),$AH$2:$AH$1001,0),MATCH(COLUMNS($AO$1006:BL1006),$AO$1006:$BQ$1006,0)), HYPERLINK("#",""), HYPERLINK(CONCATENATE("#Metadata!", ADDRESS(INDEX($AJ$2:$AJ$1001,MATCH(ROWS($AH$2:AH904),$AH$2:$AH$1001,0),0), INDEX($AO$1004:$BQ$1004,1,MATCH(COLUMNS($AO$1006:BL1006),$AO$1006:$BQ$1006,0)))),"Fix")))</f>
        <v>#N/A</v>
      </c>
      <c r="Z904" s="5" t="e">
        <f ca="1">IF(OR(INDEX($AI$2:$AI$1001,MATCH(ROWS($AH$2:AH904),$AH$2:$AH$1001,0),1)&gt;=100000,INDEX($AO$1005:$BQ$1005,1,MATCH(COLUMNS($AO$1006:BM1006),$AO$1006:$BQ$1006,0))&gt;=100000), " ",IF(INDEX($AO$2:$BQ$1001,MATCH(ROWS($AH$2:AH904),$AH$2:$AH$1001,0),MATCH(COLUMNS($AO$1006:BM1006),$AO$1006:$BQ$1006,0)), HYPERLINK("#",""), HYPERLINK(CONCATENATE("#Metadata!", ADDRESS(INDEX($AJ$2:$AJ$1001,MATCH(ROWS($AH$2:AH904),$AH$2:$AH$1001,0),0), INDEX($AO$1004:$BQ$1004,1,MATCH(COLUMNS($AO$1006:BM1006),$AO$1006:$BQ$1006,0)))),"Fix")))</f>
        <v>#N/A</v>
      </c>
      <c r="AA904" s="5" t="e">
        <f ca="1">IF(OR(INDEX($AI$2:$AI$1001,MATCH(ROWS($AH$2:AH904),$AH$2:$AH$1001,0),1)&gt;=100000,INDEX($AO$1005:$BQ$1005,1,MATCH(COLUMNS($AO$1006:BN1006),$AO$1006:$BQ$1006,0))&gt;=100000), " ",IF(INDEX($AO$2:$BQ$1001,MATCH(ROWS($AH$2:AH904),$AH$2:$AH$1001,0),MATCH(COLUMNS($AO$1006:BN1006),$AO$1006:$BQ$1006,0)), HYPERLINK("#",""), HYPERLINK(CONCATENATE("#Metadata!", ADDRESS(INDEX($AJ$2:$AJ$1001,MATCH(ROWS($AH$2:AH904),$AH$2:$AH$1001,0),0), INDEX($AO$1004:$BQ$1004,1,MATCH(COLUMNS($AO$1006:BN1006),$AO$1006:$BQ$1006,0)))),"Fix")))</f>
        <v>#N/A</v>
      </c>
      <c r="AB904" s="5" t="e">
        <f ca="1">IF(OR(INDEX($AI$2:$AI$1001,MATCH(ROWS($AH$2:AH904),$AH$2:$AH$1001,0),1)&gt;=100000,INDEX($AO$1005:$BQ$1005,1,MATCH(COLUMNS($AO$1006:BO1006),$AO$1006:$BQ$1006,0))&gt;=100000), " ",IF(INDEX($AO$2:$BQ$1001,MATCH(ROWS($AH$2:AH904),$AH$2:$AH$1001,0),MATCH(COLUMNS($AO$1006:BO1006),$AO$1006:$BQ$1006,0)), HYPERLINK("#",""), HYPERLINK(CONCATENATE("#Metadata!", ADDRESS(INDEX($AJ$2:$AJ$1001,MATCH(ROWS($AH$2:AH904),$AH$2:$AH$1001,0),0), INDEX($AO$1004:$BQ$1004,1,MATCH(COLUMNS($AO$1006:BO1006),$AO$1006:$BQ$1006,0)))),"Fix")))</f>
        <v>#N/A</v>
      </c>
      <c r="AC904" s="5" t="e">
        <f ca="1">IF(OR(INDEX($AI$2:$AI$1001,MATCH(ROWS($AH$2:AH904),$AH$2:$AH$1001,0),1)&gt;=100000,INDEX($AO$1005:$BQ$1005,1,MATCH(COLUMNS($AO$1006:BP1006),$AO$1006:$BQ$1006,0))&gt;=100000), " ",IF(INDEX($AO$2:$BQ$1001,MATCH(ROWS($AH$2:AH904),$AH$2:$AH$1001,0),MATCH(COLUMNS($AO$1006:BP1006),$AO$1006:$BQ$1006,0)), HYPERLINK("#",""), HYPERLINK(CONCATENATE("#Metadata!", ADDRESS(INDEX($AJ$2:$AJ$1001,MATCH(ROWS($AH$2:AH904),$AH$2:$AH$1001,0),0), INDEX($AO$1004:$BQ$1004,1,MATCH(COLUMNS($AO$1006:BP1006),$AO$1006:$BQ$1006,0)))),"Fix")))</f>
        <v>#N/A</v>
      </c>
      <c r="AD904" s="5" t="e">
        <f ca="1">IF(OR(INDEX($AI$2:$AI$1001,MATCH(ROWS($AH$2:AH904),$AH$2:$AH$1001,0),1)&gt;=100000,INDEX($AO$1005:$BQ$1005,1,MATCH(COLUMNS($AO$1006:BQ1006),$AO$1006:$BQ$1006,0))&gt;=100000), " ",IF(INDEX($AO$2:$BQ$1001,MATCH(ROWS($AH$2:AH904),$AH$2:$AH$1001,0),MATCH(COLUMNS($AO$1006:BQ1006),$AO$1006:$BQ$1006,0)), HYPERLINK("#",""), HYPERLINK(CONCATENATE("#Metadata!", ADDRESS(INDEX($AJ$2:$AJ$1001,MATCH(ROWS($AH$2:AH904),$AH$2:$AH$1001,0),0), INDEX($AO$1004:$BQ$1004,1,MATCH(COLUMNS($AO$1006:BQ1006),$AO$1006:$BQ$1006,0)))),"Fix")))</f>
        <v>#REF!</v>
      </c>
      <c r="AH904">
        <f ca="1"/>
        <v>901</v>
      </c>
      <c r="AI904">
        <v>100904</v>
      </c>
      <c r="AJ904">
        <v>904</v>
      </c>
      <c r="AK904" t="b">
        <f t="shared" si="14"/>
        <v>1</v>
      </c>
      <c r="AL904" t="b">
        <f>COUNTBLANK(Metadata!B904:AD904)=COLUMNS(Metadata!B904:AD904)</f>
        <v>1</v>
      </c>
      <c r="AM904" t="str">
        <v/>
      </c>
      <c r="AO904" t="b">
        <f ca="1">AND(IF(Metadata!B904="",FALSE,TRUE),COUNTIF(Metadata!B:B, Metadata!B904) = 1,NOT(ISERROR(SUMPRODUCT(SEARCH(MID(Metadata!B904,ROW(INDIRECT("1:"&amp;LEN(Metadata!B904))), 1),"0123456789abcdefghijklmnopqrstuvwxyzABCDEFGHIJKLMNOPQRSTUVWXYZ.")))))</f>
        <v>0</v>
      </c>
      <c r="AP904" t="b">
        <f>IF(Metadata!C904="",FALSE,TRUE)</f>
        <v>0</v>
      </c>
      <c r="AQ904" t="b">
        <f>IF(Metadata!D904="",FALSE,TRUE)</f>
        <v>0</v>
      </c>
      <c r="AR904" t="b">
        <f ca="1">OR(AND(IF(Metadata!E904="",FALSE,TRUE),OR(EXACT(Metadata!E904,"not collected"),EXACT(Metadata!E904,"not provided"),EXACT(Metadata!E904,"restricted access"))),AND(IF(Metadata!E904="",FALSE,TRUE),AND(AND(IFERROR(INT(LEFT(Metadata!E904,4))&gt;1900,FALSE),IFERROR(INT(LEFT(Metadata!E904,4))&lt;=YEAR(NOW()),FALSE)), OR(MID(Metadata!E904,5,1)="", AND(AND(MID(Metadata!E904,5,1)="-",IFERROR(INT(MID(Metadata!E904,6,1))&gt;=0,FALSE),IFERROR(INT(MID(Metadata!E904,6,1))&lt;=1,FALSE),NOT(MID(Metadata!E904,7,1)=""),IFERROR(INT(MID(Metadata!E904,6,2))&gt;=1,FALSE),IFERROR(INT(MID(Metadata!E904,6,2))&lt;=12,FALSE)), OR(MID(Metadata!E904,8,1)="", AND(AND(MID(Metadata!E904,8,1)="-",IFERROR(INT(MID(Metadata!E904,9,1))&gt;=0,FALSE),IFERROR(INT(MID(Metadata!E904,9,1))&lt;=3,FALSE),NOT(MID(Metadata!E904,10,1)=""),IFERROR(INT(MID(Metadata!E904,9,2))&gt;=1,FALSE),IFERROR(INT(MID(Metadata!E904,9,2))&lt;=31,FALSE)), OR(MID(Metadata!E904,11,1)="", AND(AND(MID(Metadata!E904,11,1)=" ",IFERROR(INT(MID(Metadata!E904,12,1))&gt;=0,FALSE),IFERROR(INT(MID(Metadata!E904,12,1))&lt;=2,FALSE),NOT(MID(Metadata!E904,13,1)=""),IFERROR(INT(MID(Metadata!E904,12,2))&gt;=0,FALSE),IFERROR(INT(MID(Metadata!E904,12,2))&lt;=23,FALSE)), OR(MID(Metadata!E904,14,1)="", AND(AND(MID(Metadata!E904,14,1)=":",IFERROR(INT(MID(Metadata!E904,15,1))&gt;=0,FALSE),IFERROR(INT(MID(Metadata!E904,15,1))&lt;=5,FALSE),NOT(MID(Metadata!E904,16,1)=""),IFERROR(INT(MID(Metadata!E904,15,2))&gt;=0,FALSE),IFERROR(INT(MID(Metadata!E904,15,2))&lt;=59,FALSE)), OR(MID(Metadata!E904,17,1)="", AND(AND(MID(Metadata!E904,17,1)=":",IFERROR(INT(MID(Metadata!E904,18,1))&gt;=0,FALSE),IFERROR(INT(MID(Metadata!E904,18,1))&lt;=5,FALSE),NOT(MID(Metadata!E904,19,1)=""),IFERROR(INT(MID(Metadata!E904,18,2))&gt;=0,FALSE),IFERROR(INT(MID(Metadata!E904,18,2))&lt;=59,FALSE)), LEN(Metadata!E904)&lt;=19)))))))))))))</f>
        <v>0</v>
      </c>
      <c r="AS904" t="b">
        <f>IF(Metadata!F904="",FALSE,TRUE)</f>
        <v>0</v>
      </c>
      <c r="AT904" t="b">
        <f>OR(AND(IF(Metadata!G904="",FALSE,TRUE),OR(EXACT(Metadata!G904,"not collected"),EXACT(Metadata!G904,"not provided"))),AND(IF(Metadata!G904="",FALSE,TRUE),OR(EXACT(Metadata!G904,"TRUE"),EXACT(Metadata!G904,"FALSE"))))</f>
        <v>0</v>
      </c>
      <c r="AU904" t="b">
        <f>OR(AND(IF(Metadata!H904="",FALSE,TRUE),OR(EXACT(Metadata!H904,"not collected"),EXACT(Metadata!H904,"not provided"),EXACT(Metadata!H904,"restricted access"))),AND(IF(Metadata!H904="",FALSE,ISNUMBER(VALUE(Metadata!H904))),Metadata!H904&gt;=-413))</f>
        <v>0</v>
      </c>
      <c r="AV904" t="b">
        <f>AND(IF(Metadata!I904="",FALSE,TRUE),EXACT(Metadata!I904,"meters"))</f>
        <v>0</v>
      </c>
      <c r="AW904" t="b">
        <f>AND(IF(Metadata!J904="",FALSE,TRUE),EXACT(Metadata!J904,"free-living"))</f>
        <v>0</v>
      </c>
      <c r="AX904" t="b">
        <f>AND(IF(Metadata!K904="",FALSE,TRUE),OR(EXACT(Metadata!K904,"saline"),EXACT(Metadata!K904,"non-saline")))</f>
        <v>0</v>
      </c>
      <c r="AY904" t="b">
        <f>AND(IF(Metadata!L904="",FALSE,TRUE),OR(EXACT(Metadata!L904,"sub-surface (non-saline)"),EXACT(Metadata!L904,"surface (non-saline)"),EXACT(Metadata!L904,"water (non-saline)"),EXACT(Metadata!L904,"soil (non-saline)"),EXACT(Metadata!L904,"aerosol (non-saline)"),EXACT(Metadata!L904,"sediment (non-saline)"),EXACT(Metadata!L904,"surface (saline)"),EXACT(Metadata!L904,"water (saline)"),EXACT(Metadata!L904,"hypersaline (saline)"),EXACT(Metadata!L904,"aerosol (saline)"),EXACT(Metadata!L904,"sediment (saline)")))</f>
        <v>0</v>
      </c>
      <c r="AZ904" t="b">
        <f>IF(Metadata!M904="",FALSE,TRUE)</f>
        <v>0</v>
      </c>
      <c r="BA904" t="b">
        <f>IF(Metadata!N904="",FALSE,TRUE)</f>
        <v>0</v>
      </c>
      <c r="BB904" t="b">
        <f>IF(Metadata!O904="",FALSE,TRUE)</f>
        <v>0</v>
      </c>
      <c r="BC904" t="b">
        <f>AND(IF(Metadata!P904="",FALSE,TRUE),OR(EXACT(Metadata!P904,"air"),EXACT(Metadata!P904,"microbial mat/biofilm"),EXACT(Metadata!P904,"misc environment"),EXACT(Metadata!P904,"sediment"),EXACT(Metadata!P904,"soil"),EXACT(Metadata!P904,"wastewater/sludge"),EXACT(Metadata!P904,"water")))</f>
        <v>0</v>
      </c>
      <c r="BD904" t="b">
        <f>IF(Metadata!Q904="",FALSE,TRUE)</f>
        <v>0</v>
      </c>
      <c r="BE904" t="b">
        <f>IF(Metadata!R904="",FALSE,TRUE)</f>
        <v>0</v>
      </c>
      <c r="BF904" t="b">
        <f>OR(AND(IF(Metadata!S904="",FALSE,TRUE),OR(EXACT(Metadata!S904,"not collected"),EXACT(Metadata!S904,"not provided"),EXACT(Metadata!S904,"restricted access"))),AND(IF(Metadata!S904="",FALSE,ISNUMBER(VALUE(Metadata!S904))),Metadata!S904&gt;=-90,Metadata!S904&lt;=90))</f>
        <v>0</v>
      </c>
      <c r="BG904" t="b">
        <f>AND(IF(Metadata!T904="",FALSE,TRUE),EXACT(Metadata!T904,"Decimal degrees"))</f>
        <v>0</v>
      </c>
      <c r="BH904" t="b">
        <f>OR(AND(IF(Metadata!U904="",FALSE,TRUE),OR(EXACT(Metadata!U904,"not applicable"),EXACT(Metadata!U904,"not collected"))),IF(Metadata!U904="",FALSE,TRUE))</f>
        <v>0</v>
      </c>
      <c r="BI904" t="b">
        <f>OR(AND(IF(Metadata!V904="",FALSE,TRUE),OR(EXACT(Metadata!V904,"not collected"),EXACT(Metadata!V904,"not provided"),EXACT(Metadata!V904,"restricted access"))),AND(IF(Metadata!V904="",FALSE,ISNUMBER(VALUE(Metadata!V904))),Metadata!V904&gt;=-180,Metadata!V904&lt;=180))</f>
        <v>0</v>
      </c>
      <c r="BJ904" t="b">
        <f>AND(IF(Metadata!W904="",FALSE,TRUE),EXACT(Metadata!W904,"Decimal degrees"))</f>
        <v>0</v>
      </c>
      <c r="BK904" t="b">
        <f>IF(Metadata!X904="",FALSE,TRUE)</f>
        <v>0</v>
      </c>
      <c r="BL904" t="b">
        <f>OR(AND(IF(Metadata!Y904="",FALSE,TRUE),OR(EXACT(Metadata!Y904,"not collected"),EXACT(Metadata!Y904,"not provided"),EXACT(Metadata!Y904,"restricted access"))),AND(IF(Metadata!Y904="",FALSE,TRUE),OR(EXACT(Metadata!Y904,"TRUE"),EXACT(Metadata!Y904,"FALSE"))))</f>
        <v>0</v>
      </c>
      <c r="BM904" t="b">
        <f>OR(AND(IF(Metadata!Z904="",FALSE,TRUE),EXACT(Metadata!Z904,"not applicable")),AND(IF(Metadata!Z904="",FALSE,TRUE),OR(EXACT(Metadata!Z904,"beer"),EXACT(Metadata!Z904,"cheese"),EXACT(Metadata!Z904,"fresh water"),EXACT(Metadata!Z904,"marine sediment"),EXACT(Metadata!Z904,"sea water"),EXACT(Metadata!Z904,"sediment"),EXACT(Metadata!Z904,"soil"),EXACT(Metadata!Z904,"waste water"))))</f>
        <v>0</v>
      </c>
      <c r="BN904" t="b">
        <f>AND(IF(Metadata!AA904="",FALSE,TRUE),EXACT(Metadata!AA904,"metagenome"))</f>
        <v>0</v>
      </c>
      <c r="BO904" t="b">
        <f>AND(IF(Metadata!AB904="",FALSE,TRUE),EXACT(Metadata!AB904,"256318"))</f>
        <v>0</v>
      </c>
      <c r="BP904" t="b">
        <f>IF(Metadata!AC904="",FALSE,TRUE)</f>
        <v>0</v>
      </c>
      <c r="BQ904" t="b">
        <f>IF(Metadata!AD904="",FALSE,TRUE)</f>
        <v>0</v>
      </c>
    </row>
    <row r="905" spans="1:69" x14ac:dyDescent="0.2">
      <c r="A905" s="4" t="e">
        <f ca="1">IF(B905=" "," ",HYPERLINK(CONCATENATE("#metadata!",ADDRESS(INDEX($AJ$2:$AJ$1001,MATCH(ROWS($AH$2:AH905),$AH$2:$AH$1001,0),0),2)),INDEX($AM$2:$AM$1001,MATCH(ROWS($AH$2:AH905),$AH$2:$AH$1001,0),0)))</f>
        <v>#N/A</v>
      </c>
      <c r="B905" s="5" t="e">
        <f ca="1">IF(OR(INDEX($AI$2:$AI$1001,MATCH(ROWS($AH$2:AH905),$AH$2:$AH$1001,0),1)&gt;=100000,INDEX($AO$1005:$BQ$1005,1,MATCH(COLUMNS($AO$1006:AO1006),$AO$1006:$BQ$1006,0))&gt;=100000), " ",IF(INDEX($AO$2:$BQ$1001,MATCH(ROWS($AH$2:AH905),$AH$2:$AH$1001,0),MATCH(COLUMNS($AO$1006:AO1006),$AO$1006:$BQ$1006,0)), HYPERLINK("#",""), HYPERLINK(CONCATENATE("#Metadata!", ADDRESS(INDEX($AJ$2:$AJ$1001,MATCH(ROWS($AH$2:AH905),$AH$2:$AH$1001,0),0), INDEX($AO$1004:$BQ$1004,1,MATCH(COLUMNS($AO$1006:AO1006),$AO$1006:$BQ$1006,0)))),"Fix")))</f>
        <v>#N/A</v>
      </c>
      <c r="C905" s="5" t="e">
        <f ca="1">IF(OR(INDEX($AI$2:$AI$1001,MATCH(ROWS($AH$2:AH905),$AH$2:$AH$1001,0),1)&gt;=100000,INDEX($AO$1005:$BQ$1005,1,MATCH(COLUMNS($AO$1006:AP1006),$AO$1006:$BQ$1006,0))&gt;=100000), " ",IF(INDEX($AO$2:$BQ$1001,MATCH(ROWS($AH$2:AH905),$AH$2:$AH$1001,0),MATCH(COLUMNS($AO$1006:AP1006),$AO$1006:$BQ$1006,0)), HYPERLINK("#",""), HYPERLINK(CONCATENATE("#Metadata!", ADDRESS(INDEX($AJ$2:$AJ$1001,MATCH(ROWS($AH$2:AH905),$AH$2:$AH$1001,0),0), INDEX($AO$1004:$BQ$1004,1,MATCH(COLUMNS($AO$1006:AP1006),$AO$1006:$BQ$1006,0)))),"Fix")))</f>
        <v>#N/A</v>
      </c>
      <c r="D905" s="5" t="e">
        <f ca="1">IF(OR(INDEX($AI$2:$AI$1001,MATCH(ROWS($AH$2:AH905),$AH$2:$AH$1001,0),1)&gt;=100000,INDEX($AO$1005:$BQ$1005,1,MATCH(COLUMNS($AO$1006:AQ1006),$AO$1006:$BQ$1006,0))&gt;=100000), " ",IF(INDEX($AO$2:$BQ$1001,MATCH(ROWS($AH$2:AH905),$AH$2:$AH$1001,0),MATCH(COLUMNS($AO$1006:AQ1006),$AO$1006:$BQ$1006,0)), HYPERLINK("#",""), HYPERLINK(CONCATENATE("#Metadata!", ADDRESS(INDEX($AJ$2:$AJ$1001,MATCH(ROWS($AH$2:AH905),$AH$2:$AH$1001,0),0), INDEX($AO$1004:$BQ$1004,1,MATCH(COLUMNS($AO$1006:AQ1006),$AO$1006:$BQ$1006,0)))),"Fix")))</f>
        <v>#N/A</v>
      </c>
      <c r="E905" s="5" t="e">
        <f ca="1">IF(OR(INDEX($AI$2:$AI$1001,MATCH(ROWS($AH$2:AH905),$AH$2:$AH$1001,0),1)&gt;=100000,INDEX($AO$1005:$BQ$1005,1,MATCH(COLUMNS($AO$1006:AR1006),$AO$1006:$BQ$1006,0))&gt;=100000), " ",IF(INDEX($AO$2:$BQ$1001,MATCH(ROWS($AH$2:AH905),$AH$2:$AH$1001,0),MATCH(COLUMNS($AO$1006:AR1006),$AO$1006:$BQ$1006,0)), HYPERLINK("#",""), HYPERLINK(CONCATENATE("#Metadata!", ADDRESS(INDEX($AJ$2:$AJ$1001,MATCH(ROWS($AH$2:AH905),$AH$2:$AH$1001,0),0), INDEX($AO$1004:$BQ$1004,1,MATCH(COLUMNS($AO$1006:AR1006),$AO$1006:$BQ$1006,0)))),"Fix")))</f>
        <v>#N/A</v>
      </c>
      <c r="F905" s="5" t="e">
        <f ca="1">IF(OR(INDEX($AI$2:$AI$1001,MATCH(ROWS($AH$2:AH905),$AH$2:$AH$1001,0),1)&gt;=100000,INDEX($AO$1005:$BQ$1005,1,MATCH(COLUMNS($AO$1006:AS1006),$AO$1006:$BQ$1006,0))&gt;=100000), " ",IF(INDEX($AO$2:$BQ$1001,MATCH(ROWS($AH$2:AH905),$AH$2:$AH$1001,0),MATCH(COLUMNS($AO$1006:AS1006),$AO$1006:$BQ$1006,0)), HYPERLINK("#",""), HYPERLINK(CONCATENATE("#Metadata!", ADDRESS(INDEX($AJ$2:$AJ$1001,MATCH(ROWS($AH$2:AH905),$AH$2:$AH$1001,0),0), INDEX($AO$1004:$BQ$1004,1,MATCH(COLUMNS($AO$1006:AS1006),$AO$1006:$BQ$1006,0)))),"Fix")))</f>
        <v>#N/A</v>
      </c>
      <c r="G905" s="5" t="e">
        <f ca="1">IF(OR(INDEX($AI$2:$AI$1001,MATCH(ROWS($AH$2:AH905),$AH$2:$AH$1001,0),1)&gt;=100000,INDEX($AO$1005:$BQ$1005,1,MATCH(COLUMNS($AO$1006:AT1006),$AO$1006:$BQ$1006,0))&gt;=100000), " ",IF(INDEX($AO$2:$BQ$1001,MATCH(ROWS($AH$2:AH905),$AH$2:$AH$1001,0),MATCH(COLUMNS($AO$1006:AT1006),$AO$1006:$BQ$1006,0)), HYPERLINK("#",""), HYPERLINK(CONCATENATE("#Metadata!", ADDRESS(INDEX($AJ$2:$AJ$1001,MATCH(ROWS($AH$2:AH905),$AH$2:$AH$1001,0),0), INDEX($AO$1004:$BQ$1004,1,MATCH(COLUMNS($AO$1006:AT1006),$AO$1006:$BQ$1006,0)))),"Fix")))</f>
        <v>#N/A</v>
      </c>
      <c r="H905" s="5" t="e">
        <f ca="1">IF(OR(INDEX($AI$2:$AI$1001,MATCH(ROWS($AH$2:AH905),$AH$2:$AH$1001,0),1)&gt;=100000,INDEX($AO$1005:$BQ$1005,1,MATCH(COLUMNS($AO$1006:AU1006),$AO$1006:$BQ$1006,0))&gt;=100000), " ",IF(INDEX($AO$2:$BQ$1001,MATCH(ROWS($AH$2:AH905),$AH$2:$AH$1001,0),MATCH(COLUMNS($AO$1006:AU1006),$AO$1006:$BQ$1006,0)), HYPERLINK("#",""), HYPERLINK(CONCATENATE("#Metadata!", ADDRESS(INDEX($AJ$2:$AJ$1001,MATCH(ROWS($AH$2:AH905),$AH$2:$AH$1001,0),0), INDEX($AO$1004:$BQ$1004,1,MATCH(COLUMNS($AO$1006:AU1006),$AO$1006:$BQ$1006,0)))),"Fix")))</f>
        <v>#N/A</v>
      </c>
      <c r="I905" s="5" t="e">
        <f ca="1">IF(OR(INDEX($AI$2:$AI$1001,MATCH(ROWS($AH$2:AH905),$AH$2:$AH$1001,0),1)&gt;=100000,INDEX($AO$1005:$BQ$1005,1,MATCH(COLUMNS($AO$1006:AV1006),$AO$1006:$BQ$1006,0))&gt;=100000), " ",IF(INDEX($AO$2:$BQ$1001,MATCH(ROWS($AH$2:AH905),$AH$2:$AH$1001,0),MATCH(COLUMNS($AO$1006:AV1006),$AO$1006:$BQ$1006,0)), HYPERLINK("#",""), HYPERLINK(CONCATENATE("#Metadata!", ADDRESS(INDEX($AJ$2:$AJ$1001,MATCH(ROWS($AH$2:AH905),$AH$2:$AH$1001,0),0), INDEX($AO$1004:$BQ$1004,1,MATCH(COLUMNS($AO$1006:AV1006),$AO$1006:$BQ$1006,0)))),"Fix")))</f>
        <v>#N/A</v>
      </c>
      <c r="J905" s="5" t="e">
        <f ca="1">IF(OR(INDEX($AI$2:$AI$1001,MATCH(ROWS($AH$2:AH905),$AH$2:$AH$1001,0),1)&gt;=100000,INDEX($AO$1005:$BQ$1005,1,MATCH(COLUMNS($AO$1006:AW1006),$AO$1006:$BQ$1006,0))&gt;=100000), " ",IF(INDEX($AO$2:$BQ$1001,MATCH(ROWS($AH$2:AH905),$AH$2:$AH$1001,0),MATCH(COLUMNS($AO$1006:AW1006),$AO$1006:$BQ$1006,0)), HYPERLINK("#",""), HYPERLINK(CONCATENATE("#Metadata!", ADDRESS(INDEX($AJ$2:$AJ$1001,MATCH(ROWS($AH$2:AH905),$AH$2:$AH$1001,0),0), INDEX($AO$1004:$BQ$1004,1,MATCH(COLUMNS($AO$1006:AW1006),$AO$1006:$BQ$1006,0)))),"Fix")))</f>
        <v>#N/A</v>
      </c>
      <c r="K905" s="5" t="e">
        <f ca="1">IF(OR(INDEX($AI$2:$AI$1001,MATCH(ROWS($AH$2:AH905),$AH$2:$AH$1001,0),1)&gt;=100000,INDEX($AO$1005:$BQ$1005,1,MATCH(COLUMNS($AO$1006:AX1006),$AO$1006:$BQ$1006,0))&gt;=100000), " ",IF(INDEX($AO$2:$BQ$1001,MATCH(ROWS($AH$2:AH905),$AH$2:$AH$1001,0),MATCH(COLUMNS($AO$1006:AX1006),$AO$1006:$BQ$1006,0)), HYPERLINK("#",""), HYPERLINK(CONCATENATE("#Metadata!", ADDRESS(INDEX($AJ$2:$AJ$1001,MATCH(ROWS($AH$2:AH905),$AH$2:$AH$1001,0),0), INDEX($AO$1004:$BQ$1004,1,MATCH(COLUMNS($AO$1006:AX1006),$AO$1006:$BQ$1006,0)))),"Fix")))</f>
        <v>#N/A</v>
      </c>
      <c r="L905" s="5" t="e">
        <f ca="1">IF(OR(INDEX($AI$2:$AI$1001,MATCH(ROWS($AH$2:AH905),$AH$2:$AH$1001,0),1)&gt;=100000,INDEX($AO$1005:$BQ$1005,1,MATCH(COLUMNS($AO$1006:AY1006),$AO$1006:$BQ$1006,0))&gt;=100000), " ",IF(INDEX($AO$2:$BQ$1001,MATCH(ROWS($AH$2:AH905),$AH$2:$AH$1001,0),MATCH(COLUMNS($AO$1006:AY1006),$AO$1006:$BQ$1006,0)), HYPERLINK("#",""), HYPERLINK(CONCATENATE("#Metadata!", ADDRESS(INDEX($AJ$2:$AJ$1001,MATCH(ROWS($AH$2:AH905),$AH$2:$AH$1001,0),0), INDEX($AO$1004:$BQ$1004,1,MATCH(COLUMNS($AO$1006:AY1006),$AO$1006:$BQ$1006,0)))),"Fix")))</f>
        <v>#N/A</v>
      </c>
      <c r="M905" s="5" t="e">
        <f ca="1">IF(OR(INDEX($AI$2:$AI$1001,MATCH(ROWS($AH$2:AH905),$AH$2:$AH$1001,0),1)&gt;=100000,INDEX($AO$1005:$BQ$1005,1,MATCH(COLUMNS($AO$1006:AZ1006),$AO$1006:$BQ$1006,0))&gt;=100000), " ",IF(INDEX($AO$2:$BQ$1001,MATCH(ROWS($AH$2:AH905),$AH$2:$AH$1001,0),MATCH(COLUMNS($AO$1006:AZ1006),$AO$1006:$BQ$1006,0)), HYPERLINK("#",""), HYPERLINK(CONCATENATE("#Metadata!", ADDRESS(INDEX($AJ$2:$AJ$1001,MATCH(ROWS($AH$2:AH905),$AH$2:$AH$1001,0),0), INDEX($AO$1004:$BQ$1004,1,MATCH(COLUMNS($AO$1006:AZ1006),$AO$1006:$BQ$1006,0)))),"Fix")))</f>
        <v>#N/A</v>
      </c>
      <c r="N905" s="5" t="e">
        <f ca="1">IF(OR(INDEX($AI$2:$AI$1001,MATCH(ROWS($AH$2:AH905),$AH$2:$AH$1001,0),1)&gt;=100000,INDEX($AO$1005:$BQ$1005,1,MATCH(COLUMNS($AO$1006:BA1006),$AO$1006:$BQ$1006,0))&gt;=100000), " ",IF(INDEX($AO$2:$BQ$1001,MATCH(ROWS($AH$2:AH905),$AH$2:$AH$1001,0),MATCH(COLUMNS($AO$1006:BA1006),$AO$1006:$BQ$1006,0)), HYPERLINK("#",""), HYPERLINK(CONCATENATE("#Metadata!", ADDRESS(INDEX($AJ$2:$AJ$1001,MATCH(ROWS($AH$2:AH905),$AH$2:$AH$1001,0),0), INDEX($AO$1004:$BQ$1004,1,MATCH(COLUMNS($AO$1006:BA1006),$AO$1006:$BQ$1006,0)))),"Fix")))</f>
        <v>#N/A</v>
      </c>
      <c r="O905" s="5" t="e">
        <f ca="1">IF(OR(INDEX($AI$2:$AI$1001,MATCH(ROWS($AH$2:AH905),$AH$2:$AH$1001,0),1)&gt;=100000,INDEX($AO$1005:$BQ$1005,1,MATCH(COLUMNS($AO$1006:BB1006),$AO$1006:$BQ$1006,0))&gt;=100000), " ",IF(INDEX($AO$2:$BQ$1001,MATCH(ROWS($AH$2:AH905),$AH$2:$AH$1001,0),MATCH(COLUMNS($AO$1006:BB1006),$AO$1006:$BQ$1006,0)), HYPERLINK("#",""), HYPERLINK(CONCATENATE("#Metadata!", ADDRESS(INDEX($AJ$2:$AJ$1001,MATCH(ROWS($AH$2:AH905),$AH$2:$AH$1001,0),0), INDEX($AO$1004:$BQ$1004,1,MATCH(COLUMNS($AO$1006:BB1006),$AO$1006:$BQ$1006,0)))),"Fix")))</f>
        <v>#N/A</v>
      </c>
      <c r="P905" s="5" t="e">
        <f ca="1">IF(OR(INDEX($AI$2:$AI$1001,MATCH(ROWS($AH$2:AH905),$AH$2:$AH$1001,0),1)&gt;=100000,INDEX($AO$1005:$BQ$1005,1,MATCH(COLUMNS($AO$1006:BC1006),$AO$1006:$BQ$1006,0))&gt;=100000), " ",IF(INDEX($AO$2:$BQ$1001,MATCH(ROWS($AH$2:AH905),$AH$2:$AH$1001,0),MATCH(COLUMNS($AO$1006:BC1006),$AO$1006:$BQ$1006,0)), HYPERLINK("#",""), HYPERLINK(CONCATENATE("#Metadata!", ADDRESS(INDEX($AJ$2:$AJ$1001,MATCH(ROWS($AH$2:AH905),$AH$2:$AH$1001,0),0), INDEX($AO$1004:$BQ$1004,1,MATCH(COLUMNS($AO$1006:BC1006),$AO$1006:$BQ$1006,0)))),"Fix")))</f>
        <v>#N/A</v>
      </c>
      <c r="Q905" s="5" t="e">
        <f ca="1">IF(OR(INDEX($AI$2:$AI$1001,MATCH(ROWS($AH$2:AH905),$AH$2:$AH$1001,0),1)&gt;=100000,INDEX($AO$1005:$BQ$1005,1,MATCH(COLUMNS($AO$1006:BD1006),$AO$1006:$BQ$1006,0))&gt;=100000), " ",IF(INDEX($AO$2:$BQ$1001,MATCH(ROWS($AH$2:AH905),$AH$2:$AH$1001,0),MATCH(COLUMNS($AO$1006:BD1006),$AO$1006:$BQ$1006,0)), HYPERLINK("#",""), HYPERLINK(CONCATENATE("#Metadata!", ADDRESS(INDEX($AJ$2:$AJ$1001,MATCH(ROWS($AH$2:AH905),$AH$2:$AH$1001,0),0), INDEX($AO$1004:$BQ$1004,1,MATCH(COLUMNS($AO$1006:BD1006),$AO$1006:$BQ$1006,0)))),"Fix")))</f>
        <v>#N/A</v>
      </c>
      <c r="R905" s="5" t="e">
        <f ca="1">IF(OR(INDEX($AI$2:$AI$1001,MATCH(ROWS($AH$2:AH905),$AH$2:$AH$1001,0),1)&gt;=100000,INDEX($AO$1005:$BQ$1005,1,MATCH(COLUMNS($AO$1006:BE1006),$AO$1006:$BQ$1006,0))&gt;=100000), " ",IF(INDEX($AO$2:$BQ$1001,MATCH(ROWS($AH$2:AH905),$AH$2:$AH$1001,0),MATCH(COLUMNS($AO$1006:BE1006),$AO$1006:$BQ$1006,0)), HYPERLINK("#",""), HYPERLINK(CONCATENATE("#Metadata!", ADDRESS(INDEX($AJ$2:$AJ$1001,MATCH(ROWS($AH$2:AH905),$AH$2:$AH$1001,0),0), INDEX($AO$1004:$BQ$1004,1,MATCH(COLUMNS($AO$1006:BE1006),$AO$1006:$BQ$1006,0)))),"Fix")))</f>
        <v>#N/A</v>
      </c>
      <c r="S905" s="5" t="e">
        <f ca="1">IF(OR(INDEX($AI$2:$AI$1001,MATCH(ROWS($AH$2:AH905),$AH$2:$AH$1001,0),1)&gt;=100000,INDEX($AO$1005:$BQ$1005,1,MATCH(COLUMNS($AO$1006:BF1006),$AO$1006:$BQ$1006,0))&gt;=100000), " ",IF(INDEX($AO$2:$BQ$1001,MATCH(ROWS($AH$2:AH905),$AH$2:$AH$1001,0),MATCH(COLUMNS($AO$1006:BF1006),$AO$1006:$BQ$1006,0)), HYPERLINK("#",""), HYPERLINK(CONCATENATE("#Metadata!", ADDRESS(INDEX($AJ$2:$AJ$1001,MATCH(ROWS($AH$2:AH905),$AH$2:$AH$1001,0),0), INDEX($AO$1004:$BQ$1004,1,MATCH(COLUMNS($AO$1006:BF1006),$AO$1006:$BQ$1006,0)))),"Fix")))</f>
        <v>#N/A</v>
      </c>
      <c r="T905" s="5" t="e">
        <f ca="1">IF(OR(INDEX($AI$2:$AI$1001,MATCH(ROWS($AH$2:AH905),$AH$2:$AH$1001,0),1)&gt;=100000,INDEX($AO$1005:$BQ$1005,1,MATCH(COLUMNS($AO$1006:BG1006),$AO$1006:$BQ$1006,0))&gt;=100000), " ",IF(INDEX($AO$2:$BQ$1001,MATCH(ROWS($AH$2:AH905),$AH$2:$AH$1001,0),MATCH(COLUMNS($AO$1006:BG1006),$AO$1006:$BQ$1006,0)), HYPERLINK("#",""), HYPERLINK(CONCATENATE("#Metadata!", ADDRESS(INDEX($AJ$2:$AJ$1001,MATCH(ROWS($AH$2:AH905),$AH$2:$AH$1001,0),0), INDEX($AO$1004:$BQ$1004,1,MATCH(COLUMNS($AO$1006:BG1006),$AO$1006:$BQ$1006,0)))),"Fix")))</f>
        <v>#N/A</v>
      </c>
      <c r="U905" s="5" t="e">
        <f ca="1">IF(OR(INDEX($AI$2:$AI$1001,MATCH(ROWS($AH$2:AH905),$AH$2:$AH$1001,0),1)&gt;=100000,INDEX($AO$1005:$BQ$1005,1,MATCH(COLUMNS($AO$1006:BH1006),$AO$1006:$BQ$1006,0))&gt;=100000), " ",IF(INDEX($AO$2:$BQ$1001,MATCH(ROWS($AH$2:AH905),$AH$2:$AH$1001,0),MATCH(COLUMNS($AO$1006:BH1006),$AO$1006:$BQ$1006,0)), HYPERLINK("#",""), HYPERLINK(CONCATENATE("#Metadata!", ADDRESS(INDEX($AJ$2:$AJ$1001,MATCH(ROWS($AH$2:AH905),$AH$2:$AH$1001,0),0), INDEX($AO$1004:$BQ$1004,1,MATCH(COLUMNS($AO$1006:BH1006),$AO$1006:$BQ$1006,0)))),"Fix")))</f>
        <v>#N/A</v>
      </c>
      <c r="V905" s="5" t="e">
        <f ca="1">IF(OR(INDEX($AI$2:$AI$1001,MATCH(ROWS($AH$2:AH905),$AH$2:$AH$1001,0),1)&gt;=100000,INDEX($AO$1005:$BQ$1005,1,MATCH(COLUMNS($AO$1006:BI1006),$AO$1006:$BQ$1006,0))&gt;=100000), " ",IF(INDEX($AO$2:$BQ$1001,MATCH(ROWS($AH$2:AH905),$AH$2:$AH$1001,0),MATCH(COLUMNS($AO$1006:BI1006),$AO$1006:$BQ$1006,0)), HYPERLINK("#",""), HYPERLINK(CONCATENATE("#Metadata!", ADDRESS(INDEX($AJ$2:$AJ$1001,MATCH(ROWS($AH$2:AH905),$AH$2:$AH$1001,0),0), INDEX($AO$1004:$BQ$1004,1,MATCH(COLUMNS($AO$1006:BI1006),$AO$1006:$BQ$1006,0)))),"Fix")))</f>
        <v>#N/A</v>
      </c>
      <c r="W905" s="5" t="e">
        <f ca="1">IF(OR(INDEX($AI$2:$AI$1001,MATCH(ROWS($AH$2:AH905),$AH$2:$AH$1001,0),1)&gt;=100000,INDEX($AO$1005:$BQ$1005,1,MATCH(COLUMNS($AO$1006:BJ1006),$AO$1006:$BQ$1006,0))&gt;=100000), " ",IF(INDEX($AO$2:$BQ$1001,MATCH(ROWS($AH$2:AH905),$AH$2:$AH$1001,0),MATCH(COLUMNS($AO$1006:BJ1006),$AO$1006:$BQ$1006,0)), HYPERLINK("#",""), HYPERLINK(CONCATENATE("#Metadata!", ADDRESS(INDEX($AJ$2:$AJ$1001,MATCH(ROWS($AH$2:AH905),$AH$2:$AH$1001,0),0), INDEX($AO$1004:$BQ$1004,1,MATCH(COLUMNS($AO$1006:BJ1006),$AO$1006:$BQ$1006,0)))),"Fix")))</f>
        <v>#N/A</v>
      </c>
      <c r="X905" s="5" t="e">
        <f ca="1">IF(OR(INDEX($AI$2:$AI$1001,MATCH(ROWS($AH$2:AH905),$AH$2:$AH$1001,0),1)&gt;=100000,INDEX($AO$1005:$BQ$1005,1,MATCH(COLUMNS($AO$1006:BK1006),$AO$1006:$BQ$1006,0))&gt;=100000), " ",IF(INDEX($AO$2:$BQ$1001,MATCH(ROWS($AH$2:AH905),$AH$2:$AH$1001,0),MATCH(COLUMNS($AO$1006:BK1006),$AO$1006:$BQ$1006,0)), HYPERLINK("#",""), HYPERLINK(CONCATENATE("#Metadata!", ADDRESS(INDEX($AJ$2:$AJ$1001,MATCH(ROWS($AH$2:AH905),$AH$2:$AH$1001,0),0), INDEX($AO$1004:$BQ$1004,1,MATCH(COLUMNS($AO$1006:BK1006),$AO$1006:$BQ$1006,0)))),"Fix")))</f>
        <v>#N/A</v>
      </c>
      <c r="Y905" s="5" t="e">
        <f ca="1">IF(OR(INDEX($AI$2:$AI$1001,MATCH(ROWS($AH$2:AH905),$AH$2:$AH$1001,0),1)&gt;=100000,INDEX($AO$1005:$BQ$1005,1,MATCH(COLUMNS($AO$1006:BL1006),$AO$1006:$BQ$1006,0))&gt;=100000), " ",IF(INDEX($AO$2:$BQ$1001,MATCH(ROWS($AH$2:AH905),$AH$2:$AH$1001,0),MATCH(COLUMNS($AO$1006:BL1006),$AO$1006:$BQ$1006,0)), HYPERLINK("#",""), HYPERLINK(CONCATENATE("#Metadata!", ADDRESS(INDEX($AJ$2:$AJ$1001,MATCH(ROWS($AH$2:AH905),$AH$2:$AH$1001,0),0), INDEX($AO$1004:$BQ$1004,1,MATCH(COLUMNS($AO$1006:BL1006),$AO$1006:$BQ$1006,0)))),"Fix")))</f>
        <v>#N/A</v>
      </c>
      <c r="Z905" s="5" t="e">
        <f ca="1">IF(OR(INDEX($AI$2:$AI$1001,MATCH(ROWS($AH$2:AH905),$AH$2:$AH$1001,0),1)&gt;=100000,INDEX($AO$1005:$BQ$1005,1,MATCH(COLUMNS($AO$1006:BM1006),$AO$1006:$BQ$1006,0))&gt;=100000), " ",IF(INDEX($AO$2:$BQ$1001,MATCH(ROWS($AH$2:AH905),$AH$2:$AH$1001,0),MATCH(COLUMNS($AO$1006:BM1006),$AO$1006:$BQ$1006,0)), HYPERLINK("#",""), HYPERLINK(CONCATENATE("#Metadata!", ADDRESS(INDEX($AJ$2:$AJ$1001,MATCH(ROWS($AH$2:AH905),$AH$2:$AH$1001,0),0), INDEX($AO$1004:$BQ$1004,1,MATCH(COLUMNS($AO$1006:BM1006),$AO$1006:$BQ$1006,0)))),"Fix")))</f>
        <v>#N/A</v>
      </c>
      <c r="AA905" s="5" t="e">
        <f ca="1">IF(OR(INDEX($AI$2:$AI$1001,MATCH(ROWS($AH$2:AH905),$AH$2:$AH$1001,0),1)&gt;=100000,INDEX($AO$1005:$BQ$1005,1,MATCH(COLUMNS($AO$1006:BN1006),$AO$1006:$BQ$1006,0))&gt;=100000), " ",IF(INDEX($AO$2:$BQ$1001,MATCH(ROWS($AH$2:AH905),$AH$2:$AH$1001,0),MATCH(COLUMNS($AO$1006:BN1006),$AO$1006:$BQ$1006,0)), HYPERLINK("#",""), HYPERLINK(CONCATENATE("#Metadata!", ADDRESS(INDEX($AJ$2:$AJ$1001,MATCH(ROWS($AH$2:AH905),$AH$2:$AH$1001,0),0), INDEX($AO$1004:$BQ$1004,1,MATCH(COLUMNS($AO$1006:BN1006),$AO$1006:$BQ$1006,0)))),"Fix")))</f>
        <v>#N/A</v>
      </c>
      <c r="AB905" s="5" t="e">
        <f ca="1">IF(OR(INDEX($AI$2:$AI$1001,MATCH(ROWS($AH$2:AH905),$AH$2:$AH$1001,0),1)&gt;=100000,INDEX($AO$1005:$BQ$1005,1,MATCH(COLUMNS($AO$1006:BO1006),$AO$1006:$BQ$1006,0))&gt;=100000), " ",IF(INDEX($AO$2:$BQ$1001,MATCH(ROWS($AH$2:AH905),$AH$2:$AH$1001,0),MATCH(COLUMNS($AO$1006:BO1006),$AO$1006:$BQ$1006,0)), HYPERLINK("#",""), HYPERLINK(CONCATENATE("#Metadata!", ADDRESS(INDEX($AJ$2:$AJ$1001,MATCH(ROWS($AH$2:AH905),$AH$2:$AH$1001,0),0), INDEX($AO$1004:$BQ$1004,1,MATCH(COLUMNS($AO$1006:BO1006),$AO$1006:$BQ$1006,0)))),"Fix")))</f>
        <v>#N/A</v>
      </c>
      <c r="AC905" s="5" t="e">
        <f ca="1">IF(OR(INDEX($AI$2:$AI$1001,MATCH(ROWS($AH$2:AH905),$AH$2:$AH$1001,0),1)&gt;=100000,INDEX($AO$1005:$BQ$1005,1,MATCH(COLUMNS($AO$1006:BP1006),$AO$1006:$BQ$1006,0))&gt;=100000), " ",IF(INDEX($AO$2:$BQ$1001,MATCH(ROWS($AH$2:AH905),$AH$2:$AH$1001,0),MATCH(COLUMNS($AO$1006:BP1006),$AO$1006:$BQ$1006,0)), HYPERLINK("#",""), HYPERLINK(CONCATENATE("#Metadata!", ADDRESS(INDEX($AJ$2:$AJ$1001,MATCH(ROWS($AH$2:AH905),$AH$2:$AH$1001,0),0), INDEX($AO$1004:$BQ$1004,1,MATCH(COLUMNS($AO$1006:BP1006),$AO$1006:$BQ$1006,0)))),"Fix")))</f>
        <v>#N/A</v>
      </c>
      <c r="AD905" s="5" t="e">
        <f ca="1">IF(OR(INDEX($AI$2:$AI$1001,MATCH(ROWS($AH$2:AH905),$AH$2:$AH$1001,0),1)&gt;=100000,INDEX($AO$1005:$BQ$1005,1,MATCH(COLUMNS($AO$1006:BQ1006),$AO$1006:$BQ$1006,0))&gt;=100000), " ",IF(INDEX($AO$2:$BQ$1001,MATCH(ROWS($AH$2:AH905),$AH$2:$AH$1001,0),MATCH(COLUMNS($AO$1006:BQ1006),$AO$1006:$BQ$1006,0)), HYPERLINK("#",""), HYPERLINK(CONCATENATE("#Metadata!", ADDRESS(INDEX($AJ$2:$AJ$1001,MATCH(ROWS($AH$2:AH905),$AH$2:$AH$1001,0),0), INDEX($AO$1004:$BQ$1004,1,MATCH(COLUMNS($AO$1006:BQ1006),$AO$1006:$BQ$1006,0)))),"Fix")))</f>
        <v>#REF!</v>
      </c>
      <c r="AH905">
        <f ca="1"/>
        <v>902</v>
      </c>
      <c r="AI905">
        <v>100905</v>
      </c>
      <c r="AJ905">
        <v>905</v>
      </c>
      <c r="AK905" t="b">
        <f t="shared" si="14"/>
        <v>1</v>
      </c>
      <c r="AL905" t="b">
        <f>COUNTBLANK(Metadata!B905:AD905)=COLUMNS(Metadata!B905:AD905)</f>
        <v>1</v>
      </c>
      <c r="AM905" t="str">
        <v/>
      </c>
      <c r="AO905" t="b">
        <f ca="1">AND(IF(Metadata!B905="",FALSE,TRUE),COUNTIF(Metadata!B:B, Metadata!B905) = 1,NOT(ISERROR(SUMPRODUCT(SEARCH(MID(Metadata!B905,ROW(INDIRECT("1:"&amp;LEN(Metadata!B905))), 1),"0123456789abcdefghijklmnopqrstuvwxyzABCDEFGHIJKLMNOPQRSTUVWXYZ.")))))</f>
        <v>0</v>
      </c>
      <c r="AP905" t="b">
        <f>IF(Metadata!C905="",FALSE,TRUE)</f>
        <v>0</v>
      </c>
      <c r="AQ905" t="b">
        <f>IF(Metadata!D905="",FALSE,TRUE)</f>
        <v>0</v>
      </c>
      <c r="AR905" t="b">
        <f ca="1">OR(AND(IF(Metadata!E905="",FALSE,TRUE),OR(EXACT(Metadata!E905,"not collected"),EXACT(Metadata!E905,"not provided"),EXACT(Metadata!E905,"restricted access"))),AND(IF(Metadata!E905="",FALSE,TRUE),AND(AND(IFERROR(INT(LEFT(Metadata!E905,4))&gt;1900,FALSE),IFERROR(INT(LEFT(Metadata!E905,4))&lt;=YEAR(NOW()),FALSE)), OR(MID(Metadata!E905,5,1)="", AND(AND(MID(Metadata!E905,5,1)="-",IFERROR(INT(MID(Metadata!E905,6,1))&gt;=0,FALSE),IFERROR(INT(MID(Metadata!E905,6,1))&lt;=1,FALSE),NOT(MID(Metadata!E905,7,1)=""),IFERROR(INT(MID(Metadata!E905,6,2))&gt;=1,FALSE),IFERROR(INT(MID(Metadata!E905,6,2))&lt;=12,FALSE)), OR(MID(Metadata!E905,8,1)="", AND(AND(MID(Metadata!E905,8,1)="-",IFERROR(INT(MID(Metadata!E905,9,1))&gt;=0,FALSE),IFERROR(INT(MID(Metadata!E905,9,1))&lt;=3,FALSE),NOT(MID(Metadata!E905,10,1)=""),IFERROR(INT(MID(Metadata!E905,9,2))&gt;=1,FALSE),IFERROR(INT(MID(Metadata!E905,9,2))&lt;=31,FALSE)), OR(MID(Metadata!E905,11,1)="", AND(AND(MID(Metadata!E905,11,1)=" ",IFERROR(INT(MID(Metadata!E905,12,1))&gt;=0,FALSE),IFERROR(INT(MID(Metadata!E905,12,1))&lt;=2,FALSE),NOT(MID(Metadata!E905,13,1)=""),IFERROR(INT(MID(Metadata!E905,12,2))&gt;=0,FALSE),IFERROR(INT(MID(Metadata!E905,12,2))&lt;=23,FALSE)), OR(MID(Metadata!E905,14,1)="", AND(AND(MID(Metadata!E905,14,1)=":",IFERROR(INT(MID(Metadata!E905,15,1))&gt;=0,FALSE),IFERROR(INT(MID(Metadata!E905,15,1))&lt;=5,FALSE),NOT(MID(Metadata!E905,16,1)=""),IFERROR(INT(MID(Metadata!E905,15,2))&gt;=0,FALSE),IFERROR(INT(MID(Metadata!E905,15,2))&lt;=59,FALSE)), OR(MID(Metadata!E905,17,1)="", AND(AND(MID(Metadata!E905,17,1)=":",IFERROR(INT(MID(Metadata!E905,18,1))&gt;=0,FALSE),IFERROR(INT(MID(Metadata!E905,18,1))&lt;=5,FALSE),NOT(MID(Metadata!E905,19,1)=""),IFERROR(INT(MID(Metadata!E905,18,2))&gt;=0,FALSE),IFERROR(INT(MID(Metadata!E905,18,2))&lt;=59,FALSE)), LEN(Metadata!E905)&lt;=19)))))))))))))</f>
        <v>0</v>
      </c>
      <c r="AS905" t="b">
        <f>IF(Metadata!F905="",FALSE,TRUE)</f>
        <v>0</v>
      </c>
      <c r="AT905" t="b">
        <f>OR(AND(IF(Metadata!G905="",FALSE,TRUE),OR(EXACT(Metadata!G905,"not collected"),EXACT(Metadata!G905,"not provided"))),AND(IF(Metadata!G905="",FALSE,TRUE),OR(EXACT(Metadata!G905,"TRUE"),EXACT(Metadata!G905,"FALSE"))))</f>
        <v>0</v>
      </c>
      <c r="AU905" t="b">
        <f>OR(AND(IF(Metadata!H905="",FALSE,TRUE),OR(EXACT(Metadata!H905,"not collected"),EXACT(Metadata!H905,"not provided"),EXACT(Metadata!H905,"restricted access"))),AND(IF(Metadata!H905="",FALSE,ISNUMBER(VALUE(Metadata!H905))),Metadata!H905&gt;=-413))</f>
        <v>0</v>
      </c>
      <c r="AV905" t="b">
        <f>AND(IF(Metadata!I905="",FALSE,TRUE),EXACT(Metadata!I905,"meters"))</f>
        <v>0</v>
      </c>
      <c r="AW905" t="b">
        <f>AND(IF(Metadata!J905="",FALSE,TRUE),EXACT(Metadata!J905,"free-living"))</f>
        <v>0</v>
      </c>
      <c r="AX905" t="b">
        <f>AND(IF(Metadata!K905="",FALSE,TRUE),OR(EXACT(Metadata!K905,"saline"),EXACT(Metadata!K905,"non-saline")))</f>
        <v>0</v>
      </c>
      <c r="AY905" t="b">
        <f>AND(IF(Metadata!L905="",FALSE,TRUE),OR(EXACT(Metadata!L905,"sub-surface (non-saline)"),EXACT(Metadata!L905,"surface (non-saline)"),EXACT(Metadata!L905,"water (non-saline)"),EXACT(Metadata!L905,"soil (non-saline)"),EXACT(Metadata!L905,"aerosol (non-saline)"),EXACT(Metadata!L905,"sediment (non-saline)"),EXACT(Metadata!L905,"surface (saline)"),EXACT(Metadata!L905,"water (saline)"),EXACT(Metadata!L905,"hypersaline (saline)"),EXACT(Metadata!L905,"aerosol (saline)"),EXACT(Metadata!L905,"sediment (saline)")))</f>
        <v>0</v>
      </c>
      <c r="AZ905" t="b">
        <f>IF(Metadata!M905="",FALSE,TRUE)</f>
        <v>0</v>
      </c>
      <c r="BA905" t="b">
        <f>IF(Metadata!N905="",FALSE,TRUE)</f>
        <v>0</v>
      </c>
      <c r="BB905" t="b">
        <f>IF(Metadata!O905="",FALSE,TRUE)</f>
        <v>0</v>
      </c>
      <c r="BC905" t="b">
        <f>AND(IF(Metadata!P905="",FALSE,TRUE),OR(EXACT(Metadata!P905,"air"),EXACT(Metadata!P905,"microbial mat/biofilm"),EXACT(Metadata!P905,"misc environment"),EXACT(Metadata!P905,"sediment"),EXACT(Metadata!P905,"soil"),EXACT(Metadata!P905,"wastewater/sludge"),EXACT(Metadata!P905,"water")))</f>
        <v>0</v>
      </c>
      <c r="BD905" t="b">
        <f>IF(Metadata!Q905="",FALSE,TRUE)</f>
        <v>0</v>
      </c>
      <c r="BE905" t="b">
        <f>IF(Metadata!R905="",FALSE,TRUE)</f>
        <v>0</v>
      </c>
      <c r="BF905" t="b">
        <f>OR(AND(IF(Metadata!S905="",FALSE,TRUE),OR(EXACT(Metadata!S905,"not collected"),EXACT(Metadata!S905,"not provided"),EXACT(Metadata!S905,"restricted access"))),AND(IF(Metadata!S905="",FALSE,ISNUMBER(VALUE(Metadata!S905))),Metadata!S905&gt;=-90,Metadata!S905&lt;=90))</f>
        <v>0</v>
      </c>
      <c r="BG905" t="b">
        <f>AND(IF(Metadata!T905="",FALSE,TRUE),EXACT(Metadata!T905,"Decimal degrees"))</f>
        <v>0</v>
      </c>
      <c r="BH905" t="b">
        <f>OR(AND(IF(Metadata!U905="",FALSE,TRUE),OR(EXACT(Metadata!U905,"not applicable"),EXACT(Metadata!U905,"not collected"))),IF(Metadata!U905="",FALSE,TRUE))</f>
        <v>0</v>
      </c>
      <c r="BI905" t="b">
        <f>OR(AND(IF(Metadata!V905="",FALSE,TRUE),OR(EXACT(Metadata!V905,"not collected"),EXACT(Metadata!V905,"not provided"),EXACT(Metadata!V905,"restricted access"))),AND(IF(Metadata!V905="",FALSE,ISNUMBER(VALUE(Metadata!V905))),Metadata!V905&gt;=-180,Metadata!V905&lt;=180))</f>
        <v>0</v>
      </c>
      <c r="BJ905" t="b">
        <f>AND(IF(Metadata!W905="",FALSE,TRUE),EXACT(Metadata!W905,"Decimal degrees"))</f>
        <v>0</v>
      </c>
      <c r="BK905" t="b">
        <f>IF(Metadata!X905="",FALSE,TRUE)</f>
        <v>0</v>
      </c>
      <c r="BL905" t="b">
        <f>OR(AND(IF(Metadata!Y905="",FALSE,TRUE),OR(EXACT(Metadata!Y905,"not collected"),EXACT(Metadata!Y905,"not provided"),EXACT(Metadata!Y905,"restricted access"))),AND(IF(Metadata!Y905="",FALSE,TRUE),OR(EXACT(Metadata!Y905,"TRUE"),EXACT(Metadata!Y905,"FALSE"))))</f>
        <v>0</v>
      </c>
      <c r="BM905" t="b">
        <f>OR(AND(IF(Metadata!Z905="",FALSE,TRUE),EXACT(Metadata!Z905,"not applicable")),AND(IF(Metadata!Z905="",FALSE,TRUE),OR(EXACT(Metadata!Z905,"beer"),EXACT(Metadata!Z905,"cheese"),EXACT(Metadata!Z905,"fresh water"),EXACT(Metadata!Z905,"marine sediment"),EXACT(Metadata!Z905,"sea water"),EXACT(Metadata!Z905,"sediment"),EXACT(Metadata!Z905,"soil"),EXACT(Metadata!Z905,"waste water"))))</f>
        <v>0</v>
      </c>
      <c r="BN905" t="b">
        <f>AND(IF(Metadata!AA905="",FALSE,TRUE),EXACT(Metadata!AA905,"metagenome"))</f>
        <v>0</v>
      </c>
      <c r="BO905" t="b">
        <f>AND(IF(Metadata!AB905="",FALSE,TRUE),EXACT(Metadata!AB905,"256318"))</f>
        <v>0</v>
      </c>
      <c r="BP905" t="b">
        <f>IF(Metadata!AC905="",FALSE,TRUE)</f>
        <v>0</v>
      </c>
      <c r="BQ905" t="b">
        <f>IF(Metadata!AD905="",FALSE,TRUE)</f>
        <v>0</v>
      </c>
    </row>
    <row r="906" spans="1:69" x14ac:dyDescent="0.2">
      <c r="A906" s="4" t="e">
        <f ca="1">IF(B906=" "," ",HYPERLINK(CONCATENATE("#metadata!",ADDRESS(INDEX($AJ$2:$AJ$1001,MATCH(ROWS($AH$2:AH906),$AH$2:$AH$1001,0),0),2)),INDEX($AM$2:$AM$1001,MATCH(ROWS($AH$2:AH906),$AH$2:$AH$1001,0),0)))</f>
        <v>#N/A</v>
      </c>
      <c r="B906" s="5" t="e">
        <f ca="1">IF(OR(INDEX($AI$2:$AI$1001,MATCH(ROWS($AH$2:AH906),$AH$2:$AH$1001,0),1)&gt;=100000,INDEX($AO$1005:$BQ$1005,1,MATCH(COLUMNS($AO$1006:AO1006),$AO$1006:$BQ$1006,0))&gt;=100000), " ",IF(INDEX($AO$2:$BQ$1001,MATCH(ROWS($AH$2:AH906),$AH$2:$AH$1001,0),MATCH(COLUMNS($AO$1006:AO1006),$AO$1006:$BQ$1006,0)), HYPERLINK("#",""), HYPERLINK(CONCATENATE("#Metadata!", ADDRESS(INDEX($AJ$2:$AJ$1001,MATCH(ROWS($AH$2:AH906),$AH$2:$AH$1001,0),0), INDEX($AO$1004:$BQ$1004,1,MATCH(COLUMNS($AO$1006:AO1006),$AO$1006:$BQ$1006,0)))),"Fix")))</f>
        <v>#N/A</v>
      </c>
      <c r="C906" s="5" t="e">
        <f ca="1">IF(OR(INDEX($AI$2:$AI$1001,MATCH(ROWS($AH$2:AH906),$AH$2:$AH$1001,0),1)&gt;=100000,INDEX($AO$1005:$BQ$1005,1,MATCH(COLUMNS($AO$1006:AP1006),$AO$1006:$BQ$1006,0))&gt;=100000), " ",IF(INDEX($AO$2:$BQ$1001,MATCH(ROWS($AH$2:AH906),$AH$2:$AH$1001,0),MATCH(COLUMNS($AO$1006:AP1006),$AO$1006:$BQ$1006,0)), HYPERLINK("#",""), HYPERLINK(CONCATENATE("#Metadata!", ADDRESS(INDEX($AJ$2:$AJ$1001,MATCH(ROWS($AH$2:AH906),$AH$2:$AH$1001,0),0), INDEX($AO$1004:$BQ$1004,1,MATCH(COLUMNS($AO$1006:AP1006),$AO$1006:$BQ$1006,0)))),"Fix")))</f>
        <v>#N/A</v>
      </c>
      <c r="D906" s="5" t="e">
        <f ca="1">IF(OR(INDEX($AI$2:$AI$1001,MATCH(ROWS($AH$2:AH906),$AH$2:$AH$1001,0),1)&gt;=100000,INDEX($AO$1005:$BQ$1005,1,MATCH(COLUMNS($AO$1006:AQ1006),$AO$1006:$BQ$1006,0))&gt;=100000), " ",IF(INDEX($AO$2:$BQ$1001,MATCH(ROWS($AH$2:AH906),$AH$2:$AH$1001,0),MATCH(COLUMNS($AO$1006:AQ1006),$AO$1006:$BQ$1006,0)), HYPERLINK("#",""), HYPERLINK(CONCATENATE("#Metadata!", ADDRESS(INDEX($AJ$2:$AJ$1001,MATCH(ROWS($AH$2:AH906),$AH$2:$AH$1001,0),0), INDEX($AO$1004:$BQ$1004,1,MATCH(COLUMNS($AO$1006:AQ1006),$AO$1006:$BQ$1006,0)))),"Fix")))</f>
        <v>#N/A</v>
      </c>
      <c r="E906" s="5" t="e">
        <f ca="1">IF(OR(INDEX($AI$2:$AI$1001,MATCH(ROWS($AH$2:AH906),$AH$2:$AH$1001,0),1)&gt;=100000,INDEX($AO$1005:$BQ$1005,1,MATCH(COLUMNS($AO$1006:AR1006),$AO$1006:$BQ$1006,0))&gt;=100000), " ",IF(INDEX($AO$2:$BQ$1001,MATCH(ROWS($AH$2:AH906),$AH$2:$AH$1001,0),MATCH(COLUMNS($AO$1006:AR1006),$AO$1006:$BQ$1006,0)), HYPERLINK("#",""), HYPERLINK(CONCATENATE("#Metadata!", ADDRESS(INDEX($AJ$2:$AJ$1001,MATCH(ROWS($AH$2:AH906),$AH$2:$AH$1001,0),0), INDEX($AO$1004:$BQ$1004,1,MATCH(COLUMNS($AO$1006:AR1006),$AO$1006:$BQ$1006,0)))),"Fix")))</f>
        <v>#N/A</v>
      </c>
      <c r="F906" s="5" t="e">
        <f ca="1">IF(OR(INDEX($AI$2:$AI$1001,MATCH(ROWS($AH$2:AH906),$AH$2:$AH$1001,0),1)&gt;=100000,INDEX($AO$1005:$BQ$1005,1,MATCH(COLUMNS($AO$1006:AS1006),$AO$1006:$BQ$1006,0))&gt;=100000), " ",IF(INDEX($AO$2:$BQ$1001,MATCH(ROWS($AH$2:AH906),$AH$2:$AH$1001,0),MATCH(COLUMNS($AO$1006:AS1006),$AO$1006:$BQ$1006,0)), HYPERLINK("#",""), HYPERLINK(CONCATENATE("#Metadata!", ADDRESS(INDEX($AJ$2:$AJ$1001,MATCH(ROWS($AH$2:AH906),$AH$2:$AH$1001,0),0), INDEX($AO$1004:$BQ$1004,1,MATCH(COLUMNS($AO$1006:AS1006),$AO$1006:$BQ$1006,0)))),"Fix")))</f>
        <v>#N/A</v>
      </c>
      <c r="G906" s="5" t="e">
        <f ca="1">IF(OR(INDEX($AI$2:$AI$1001,MATCH(ROWS($AH$2:AH906),$AH$2:$AH$1001,0),1)&gt;=100000,INDEX($AO$1005:$BQ$1005,1,MATCH(COLUMNS($AO$1006:AT1006),$AO$1006:$BQ$1006,0))&gt;=100000), " ",IF(INDEX($AO$2:$BQ$1001,MATCH(ROWS($AH$2:AH906),$AH$2:$AH$1001,0),MATCH(COLUMNS($AO$1006:AT1006),$AO$1006:$BQ$1006,0)), HYPERLINK("#",""), HYPERLINK(CONCATENATE("#Metadata!", ADDRESS(INDEX($AJ$2:$AJ$1001,MATCH(ROWS($AH$2:AH906),$AH$2:$AH$1001,0),0), INDEX($AO$1004:$BQ$1004,1,MATCH(COLUMNS($AO$1006:AT1006),$AO$1006:$BQ$1006,0)))),"Fix")))</f>
        <v>#N/A</v>
      </c>
      <c r="H906" s="5" t="e">
        <f ca="1">IF(OR(INDEX($AI$2:$AI$1001,MATCH(ROWS($AH$2:AH906),$AH$2:$AH$1001,0),1)&gt;=100000,INDEX($AO$1005:$BQ$1005,1,MATCH(COLUMNS($AO$1006:AU1006),$AO$1006:$BQ$1006,0))&gt;=100000), " ",IF(INDEX($AO$2:$BQ$1001,MATCH(ROWS($AH$2:AH906),$AH$2:$AH$1001,0),MATCH(COLUMNS($AO$1006:AU1006),$AO$1006:$BQ$1006,0)), HYPERLINK("#",""), HYPERLINK(CONCATENATE("#Metadata!", ADDRESS(INDEX($AJ$2:$AJ$1001,MATCH(ROWS($AH$2:AH906),$AH$2:$AH$1001,0),0), INDEX($AO$1004:$BQ$1004,1,MATCH(COLUMNS($AO$1006:AU1006),$AO$1006:$BQ$1006,0)))),"Fix")))</f>
        <v>#N/A</v>
      </c>
      <c r="I906" s="5" t="e">
        <f ca="1">IF(OR(INDEX($AI$2:$AI$1001,MATCH(ROWS($AH$2:AH906),$AH$2:$AH$1001,0),1)&gt;=100000,INDEX($AO$1005:$BQ$1005,1,MATCH(COLUMNS($AO$1006:AV1006),$AO$1006:$BQ$1006,0))&gt;=100000), " ",IF(INDEX($AO$2:$BQ$1001,MATCH(ROWS($AH$2:AH906),$AH$2:$AH$1001,0),MATCH(COLUMNS($AO$1006:AV1006),$AO$1006:$BQ$1006,0)), HYPERLINK("#",""), HYPERLINK(CONCATENATE("#Metadata!", ADDRESS(INDEX($AJ$2:$AJ$1001,MATCH(ROWS($AH$2:AH906),$AH$2:$AH$1001,0),0), INDEX($AO$1004:$BQ$1004,1,MATCH(COLUMNS($AO$1006:AV1006),$AO$1006:$BQ$1006,0)))),"Fix")))</f>
        <v>#N/A</v>
      </c>
      <c r="J906" s="5" t="e">
        <f ca="1">IF(OR(INDEX($AI$2:$AI$1001,MATCH(ROWS($AH$2:AH906),$AH$2:$AH$1001,0),1)&gt;=100000,INDEX($AO$1005:$BQ$1005,1,MATCH(COLUMNS($AO$1006:AW1006),$AO$1006:$BQ$1006,0))&gt;=100000), " ",IF(INDEX($AO$2:$BQ$1001,MATCH(ROWS($AH$2:AH906),$AH$2:$AH$1001,0),MATCH(COLUMNS($AO$1006:AW1006),$AO$1006:$BQ$1006,0)), HYPERLINK("#",""), HYPERLINK(CONCATENATE("#Metadata!", ADDRESS(INDEX($AJ$2:$AJ$1001,MATCH(ROWS($AH$2:AH906),$AH$2:$AH$1001,0),0), INDEX($AO$1004:$BQ$1004,1,MATCH(COLUMNS($AO$1006:AW1006),$AO$1006:$BQ$1006,0)))),"Fix")))</f>
        <v>#N/A</v>
      </c>
      <c r="K906" s="5" t="e">
        <f ca="1">IF(OR(INDEX($AI$2:$AI$1001,MATCH(ROWS($AH$2:AH906),$AH$2:$AH$1001,0),1)&gt;=100000,INDEX($AO$1005:$BQ$1005,1,MATCH(COLUMNS($AO$1006:AX1006),$AO$1006:$BQ$1006,0))&gt;=100000), " ",IF(INDEX($AO$2:$BQ$1001,MATCH(ROWS($AH$2:AH906),$AH$2:$AH$1001,0),MATCH(COLUMNS($AO$1006:AX1006),$AO$1006:$BQ$1006,0)), HYPERLINK("#",""), HYPERLINK(CONCATENATE("#Metadata!", ADDRESS(INDEX($AJ$2:$AJ$1001,MATCH(ROWS($AH$2:AH906),$AH$2:$AH$1001,0),0), INDEX($AO$1004:$BQ$1004,1,MATCH(COLUMNS($AO$1006:AX1006),$AO$1006:$BQ$1006,0)))),"Fix")))</f>
        <v>#N/A</v>
      </c>
      <c r="L906" s="5" t="e">
        <f ca="1">IF(OR(INDEX($AI$2:$AI$1001,MATCH(ROWS($AH$2:AH906),$AH$2:$AH$1001,0),1)&gt;=100000,INDEX($AO$1005:$BQ$1005,1,MATCH(COLUMNS($AO$1006:AY1006),$AO$1006:$BQ$1006,0))&gt;=100000), " ",IF(INDEX($AO$2:$BQ$1001,MATCH(ROWS($AH$2:AH906),$AH$2:$AH$1001,0),MATCH(COLUMNS($AO$1006:AY1006),$AO$1006:$BQ$1006,0)), HYPERLINK("#",""), HYPERLINK(CONCATENATE("#Metadata!", ADDRESS(INDEX($AJ$2:$AJ$1001,MATCH(ROWS($AH$2:AH906),$AH$2:$AH$1001,0),0), INDEX($AO$1004:$BQ$1004,1,MATCH(COLUMNS($AO$1006:AY1006),$AO$1006:$BQ$1006,0)))),"Fix")))</f>
        <v>#N/A</v>
      </c>
      <c r="M906" s="5" t="e">
        <f ca="1">IF(OR(INDEX($AI$2:$AI$1001,MATCH(ROWS($AH$2:AH906),$AH$2:$AH$1001,0),1)&gt;=100000,INDEX($AO$1005:$BQ$1005,1,MATCH(COLUMNS($AO$1006:AZ1006),$AO$1006:$BQ$1006,0))&gt;=100000), " ",IF(INDEX($AO$2:$BQ$1001,MATCH(ROWS($AH$2:AH906),$AH$2:$AH$1001,0),MATCH(COLUMNS($AO$1006:AZ1006),$AO$1006:$BQ$1006,0)), HYPERLINK("#",""), HYPERLINK(CONCATENATE("#Metadata!", ADDRESS(INDEX($AJ$2:$AJ$1001,MATCH(ROWS($AH$2:AH906),$AH$2:$AH$1001,0),0), INDEX($AO$1004:$BQ$1004,1,MATCH(COLUMNS($AO$1006:AZ1006),$AO$1006:$BQ$1006,0)))),"Fix")))</f>
        <v>#N/A</v>
      </c>
      <c r="N906" s="5" t="e">
        <f ca="1">IF(OR(INDEX($AI$2:$AI$1001,MATCH(ROWS($AH$2:AH906),$AH$2:$AH$1001,0),1)&gt;=100000,INDEX($AO$1005:$BQ$1005,1,MATCH(COLUMNS($AO$1006:BA1006),$AO$1006:$BQ$1006,0))&gt;=100000), " ",IF(INDEX($AO$2:$BQ$1001,MATCH(ROWS($AH$2:AH906),$AH$2:$AH$1001,0),MATCH(COLUMNS($AO$1006:BA1006),$AO$1006:$BQ$1006,0)), HYPERLINK("#",""), HYPERLINK(CONCATENATE("#Metadata!", ADDRESS(INDEX($AJ$2:$AJ$1001,MATCH(ROWS($AH$2:AH906),$AH$2:$AH$1001,0),0), INDEX($AO$1004:$BQ$1004,1,MATCH(COLUMNS($AO$1006:BA1006),$AO$1006:$BQ$1006,0)))),"Fix")))</f>
        <v>#N/A</v>
      </c>
      <c r="O906" s="5" t="e">
        <f ca="1">IF(OR(INDEX($AI$2:$AI$1001,MATCH(ROWS($AH$2:AH906),$AH$2:$AH$1001,0),1)&gt;=100000,INDEX($AO$1005:$BQ$1005,1,MATCH(COLUMNS($AO$1006:BB1006),$AO$1006:$BQ$1006,0))&gt;=100000), " ",IF(INDEX($AO$2:$BQ$1001,MATCH(ROWS($AH$2:AH906),$AH$2:$AH$1001,0),MATCH(COLUMNS($AO$1006:BB1006),$AO$1006:$BQ$1006,0)), HYPERLINK("#",""), HYPERLINK(CONCATENATE("#Metadata!", ADDRESS(INDEX($AJ$2:$AJ$1001,MATCH(ROWS($AH$2:AH906),$AH$2:$AH$1001,0),0), INDEX($AO$1004:$BQ$1004,1,MATCH(COLUMNS($AO$1006:BB1006),$AO$1006:$BQ$1006,0)))),"Fix")))</f>
        <v>#N/A</v>
      </c>
      <c r="P906" s="5" t="e">
        <f ca="1">IF(OR(INDEX($AI$2:$AI$1001,MATCH(ROWS($AH$2:AH906),$AH$2:$AH$1001,0),1)&gt;=100000,INDEX($AO$1005:$BQ$1005,1,MATCH(COLUMNS($AO$1006:BC1006),$AO$1006:$BQ$1006,0))&gt;=100000), " ",IF(INDEX($AO$2:$BQ$1001,MATCH(ROWS($AH$2:AH906),$AH$2:$AH$1001,0),MATCH(COLUMNS($AO$1006:BC1006),$AO$1006:$BQ$1006,0)), HYPERLINK("#",""), HYPERLINK(CONCATENATE("#Metadata!", ADDRESS(INDEX($AJ$2:$AJ$1001,MATCH(ROWS($AH$2:AH906),$AH$2:$AH$1001,0),0), INDEX($AO$1004:$BQ$1004,1,MATCH(COLUMNS($AO$1006:BC1006),$AO$1006:$BQ$1006,0)))),"Fix")))</f>
        <v>#N/A</v>
      </c>
      <c r="Q906" s="5" t="e">
        <f ca="1">IF(OR(INDEX($AI$2:$AI$1001,MATCH(ROWS($AH$2:AH906),$AH$2:$AH$1001,0),1)&gt;=100000,INDEX($AO$1005:$BQ$1005,1,MATCH(COLUMNS($AO$1006:BD1006),$AO$1006:$BQ$1006,0))&gt;=100000), " ",IF(INDEX($AO$2:$BQ$1001,MATCH(ROWS($AH$2:AH906),$AH$2:$AH$1001,0),MATCH(COLUMNS($AO$1006:BD1006),$AO$1006:$BQ$1006,0)), HYPERLINK("#",""), HYPERLINK(CONCATENATE("#Metadata!", ADDRESS(INDEX($AJ$2:$AJ$1001,MATCH(ROWS($AH$2:AH906),$AH$2:$AH$1001,0),0), INDEX($AO$1004:$BQ$1004,1,MATCH(COLUMNS($AO$1006:BD1006),$AO$1006:$BQ$1006,0)))),"Fix")))</f>
        <v>#N/A</v>
      </c>
      <c r="R906" s="5" t="e">
        <f ca="1">IF(OR(INDEX($AI$2:$AI$1001,MATCH(ROWS($AH$2:AH906),$AH$2:$AH$1001,0),1)&gt;=100000,INDEX($AO$1005:$BQ$1005,1,MATCH(COLUMNS($AO$1006:BE1006),$AO$1006:$BQ$1006,0))&gt;=100000), " ",IF(INDEX($AO$2:$BQ$1001,MATCH(ROWS($AH$2:AH906),$AH$2:$AH$1001,0),MATCH(COLUMNS($AO$1006:BE1006),$AO$1006:$BQ$1006,0)), HYPERLINK("#",""), HYPERLINK(CONCATENATE("#Metadata!", ADDRESS(INDEX($AJ$2:$AJ$1001,MATCH(ROWS($AH$2:AH906),$AH$2:$AH$1001,0),0), INDEX($AO$1004:$BQ$1004,1,MATCH(COLUMNS($AO$1006:BE1006),$AO$1006:$BQ$1006,0)))),"Fix")))</f>
        <v>#N/A</v>
      </c>
      <c r="S906" s="5" t="e">
        <f ca="1">IF(OR(INDEX($AI$2:$AI$1001,MATCH(ROWS($AH$2:AH906),$AH$2:$AH$1001,0),1)&gt;=100000,INDEX($AO$1005:$BQ$1005,1,MATCH(COLUMNS($AO$1006:BF1006),$AO$1006:$BQ$1006,0))&gt;=100000), " ",IF(INDEX($AO$2:$BQ$1001,MATCH(ROWS($AH$2:AH906),$AH$2:$AH$1001,0),MATCH(COLUMNS($AO$1006:BF1006),$AO$1006:$BQ$1006,0)), HYPERLINK("#",""), HYPERLINK(CONCATENATE("#Metadata!", ADDRESS(INDEX($AJ$2:$AJ$1001,MATCH(ROWS($AH$2:AH906),$AH$2:$AH$1001,0),0), INDEX($AO$1004:$BQ$1004,1,MATCH(COLUMNS($AO$1006:BF1006),$AO$1006:$BQ$1006,0)))),"Fix")))</f>
        <v>#N/A</v>
      </c>
      <c r="T906" s="5" t="e">
        <f ca="1">IF(OR(INDEX($AI$2:$AI$1001,MATCH(ROWS($AH$2:AH906),$AH$2:$AH$1001,0),1)&gt;=100000,INDEX($AO$1005:$BQ$1005,1,MATCH(COLUMNS($AO$1006:BG1006),$AO$1006:$BQ$1006,0))&gt;=100000), " ",IF(INDEX($AO$2:$BQ$1001,MATCH(ROWS($AH$2:AH906),$AH$2:$AH$1001,0),MATCH(COLUMNS($AO$1006:BG1006),$AO$1006:$BQ$1006,0)), HYPERLINK("#",""), HYPERLINK(CONCATENATE("#Metadata!", ADDRESS(INDEX($AJ$2:$AJ$1001,MATCH(ROWS($AH$2:AH906),$AH$2:$AH$1001,0),0), INDEX($AO$1004:$BQ$1004,1,MATCH(COLUMNS($AO$1006:BG1006),$AO$1006:$BQ$1006,0)))),"Fix")))</f>
        <v>#N/A</v>
      </c>
      <c r="U906" s="5" t="e">
        <f ca="1">IF(OR(INDEX($AI$2:$AI$1001,MATCH(ROWS($AH$2:AH906),$AH$2:$AH$1001,0),1)&gt;=100000,INDEX($AO$1005:$BQ$1005,1,MATCH(COLUMNS($AO$1006:BH1006),$AO$1006:$BQ$1006,0))&gt;=100000), " ",IF(INDEX($AO$2:$BQ$1001,MATCH(ROWS($AH$2:AH906),$AH$2:$AH$1001,0),MATCH(COLUMNS($AO$1006:BH1006),$AO$1006:$BQ$1006,0)), HYPERLINK("#",""), HYPERLINK(CONCATENATE("#Metadata!", ADDRESS(INDEX($AJ$2:$AJ$1001,MATCH(ROWS($AH$2:AH906),$AH$2:$AH$1001,0),0), INDEX($AO$1004:$BQ$1004,1,MATCH(COLUMNS($AO$1006:BH1006),$AO$1006:$BQ$1006,0)))),"Fix")))</f>
        <v>#N/A</v>
      </c>
      <c r="V906" s="5" t="e">
        <f ca="1">IF(OR(INDEX($AI$2:$AI$1001,MATCH(ROWS($AH$2:AH906),$AH$2:$AH$1001,0),1)&gt;=100000,INDEX($AO$1005:$BQ$1005,1,MATCH(COLUMNS($AO$1006:BI1006),$AO$1006:$BQ$1006,0))&gt;=100000), " ",IF(INDEX($AO$2:$BQ$1001,MATCH(ROWS($AH$2:AH906),$AH$2:$AH$1001,0),MATCH(COLUMNS($AO$1006:BI1006),$AO$1006:$BQ$1006,0)), HYPERLINK("#",""), HYPERLINK(CONCATENATE("#Metadata!", ADDRESS(INDEX($AJ$2:$AJ$1001,MATCH(ROWS($AH$2:AH906),$AH$2:$AH$1001,0),0), INDEX($AO$1004:$BQ$1004,1,MATCH(COLUMNS($AO$1006:BI1006),$AO$1006:$BQ$1006,0)))),"Fix")))</f>
        <v>#N/A</v>
      </c>
      <c r="W906" s="5" t="e">
        <f ca="1">IF(OR(INDEX($AI$2:$AI$1001,MATCH(ROWS($AH$2:AH906),$AH$2:$AH$1001,0),1)&gt;=100000,INDEX($AO$1005:$BQ$1005,1,MATCH(COLUMNS($AO$1006:BJ1006),$AO$1006:$BQ$1006,0))&gt;=100000), " ",IF(INDEX($AO$2:$BQ$1001,MATCH(ROWS($AH$2:AH906),$AH$2:$AH$1001,0),MATCH(COLUMNS($AO$1006:BJ1006),$AO$1006:$BQ$1006,0)), HYPERLINK("#",""), HYPERLINK(CONCATENATE("#Metadata!", ADDRESS(INDEX($AJ$2:$AJ$1001,MATCH(ROWS($AH$2:AH906),$AH$2:$AH$1001,0),0), INDEX($AO$1004:$BQ$1004,1,MATCH(COLUMNS($AO$1006:BJ1006),$AO$1006:$BQ$1006,0)))),"Fix")))</f>
        <v>#N/A</v>
      </c>
      <c r="X906" s="5" t="e">
        <f ca="1">IF(OR(INDEX($AI$2:$AI$1001,MATCH(ROWS($AH$2:AH906),$AH$2:$AH$1001,0),1)&gt;=100000,INDEX($AO$1005:$BQ$1005,1,MATCH(COLUMNS($AO$1006:BK1006),$AO$1006:$BQ$1006,0))&gt;=100000), " ",IF(INDEX($AO$2:$BQ$1001,MATCH(ROWS($AH$2:AH906),$AH$2:$AH$1001,0),MATCH(COLUMNS($AO$1006:BK1006),$AO$1006:$BQ$1006,0)), HYPERLINK("#",""), HYPERLINK(CONCATENATE("#Metadata!", ADDRESS(INDEX($AJ$2:$AJ$1001,MATCH(ROWS($AH$2:AH906),$AH$2:$AH$1001,0),0), INDEX($AO$1004:$BQ$1004,1,MATCH(COLUMNS($AO$1006:BK1006),$AO$1006:$BQ$1006,0)))),"Fix")))</f>
        <v>#N/A</v>
      </c>
      <c r="Y906" s="5" t="e">
        <f ca="1">IF(OR(INDEX($AI$2:$AI$1001,MATCH(ROWS($AH$2:AH906),$AH$2:$AH$1001,0),1)&gt;=100000,INDEX($AO$1005:$BQ$1005,1,MATCH(COLUMNS($AO$1006:BL1006),$AO$1006:$BQ$1006,0))&gt;=100000), " ",IF(INDEX($AO$2:$BQ$1001,MATCH(ROWS($AH$2:AH906),$AH$2:$AH$1001,0),MATCH(COLUMNS($AO$1006:BL1006),$AO$1006:$BQ$1006,0)), HYPERLINK("#",""), HYPERLINK(CONCATENATE("#Metadata!", ADDRESS(INDEX($AJ$2:$AJ$1001,MATCH(ROWS($AH$2:AH906),$AH$2:$AH$1001,0),0), INDEX($AO$1004:$BQ$1004,1,MATCH(COLUMNS($AO$1006:BL1006),$AO$1006:$BQ$1006,0)))),"Fix")))</f>
        <v>#N/A</v>
      </c>
      <c r="Z906" s="5" t="e">
        <f ca="1">IF(OR(INDEX($AI$2:$AI$1001,MATCH(ROWS($AH$2:AH906),$AH$2:$AH$1001,0),1)&gt;=100000,INDEX($AO$1005:$BQ$1005,1,MATCH(COLUMNS($AO$1006:BM1006),$AO$1006:$BQ$1006,0))&gt;=100000), " ",IF(INDEX($AO$2:$BQ$1001,MATCH(ROWS($AH$2:AH906),$AH$2:$AH$1001,0),MATCH(COLUMNS($AO$1006:BM1006),$AO$1006:$BQ$1006,0)), HYPERLINK("#",""), HYPERLINK(CONCATENATE("#Metadata!", ADDRESS(INDEX($AJ$2:$AJ$1001,MATCH(ROWS($AH$2:AH906),$AH$2:$AH$1001,0),0), INDEX($AO$1004:$BQ$1004,1,MATCH(COLUMNS($AO$1006:BM1006),$AO$1006:$BQ$1006,0)))),"Fix")))</f>
        <v>#N/A</v>
      </c>
      <c r="AA906" s="5" t="e">
        <f ca="1">IF(OR(INDEX($AI$2:$AI$1001,MATCH(ROWS($AH$2:AH906),$AH$2:$AH$1001,0),1)&gt;=100000,INDEX($AO$1005:$BQ$1005,1,MATCH(COLUMNS($AO$1006:BN1006),$AO$1006:$BQ$1006,0))&gt;=100000), " ",IF(INDEX($AO$2:$BQ$1001,MATCH(ROWS($AH$2:AH906),$AH$2:$AH$1001,0),MATCH(COLUMNS($AO$1006:BN1006),$AO$1006:$BQ$1006,0)), HYPERLINK("#",""), HYPERLINK(CONCATENATE("#Metadata!", ADDRESS(INDEX($AJ$2:$AJ$1001,MATCH(ROWS($AH$2:AH906),$AH$2:$AH$1001,0),0), INDEX($AO$1004:$BQ$1004,1,MATCH(COLUMNS($AO$1006:BN1006),$AO$1006:$BQ$1006,0)))),"Fix")))</f>
        <v>#N/A</v>
      </c>
      <c r="AB906" s="5" t="e">
        <f ca="1">IF(OR(INDEX($AI$2:$AI$1001,MATCH(ROWS($AH$2:AH906),$AH$2:$AH$1001,0),1)&gt;=100000,INDEX($AO$1005:$BQ$1005,1,MATCH(COLUMNS($AO$1006:BO1006),$AO$1006:$BQ$1006,0))&gt;=100000), " ",IF(INDEX($AO$2:$BQ$1001,MATCH(ROWS($AH$2:AH906),$AH$2:$AH$1001,0),MATCH(COLUMNS($AO$1006:BO1006),$AO$1006:$BQ$1006,0)), HYPERLINK("#",""), HYPERLINK(CONCATENATE("#Metadata!", ADDRESS(INDEX($AJ$2:$AJ$1001,MATCH(ROWS($AH$2:AH906),$AH$2:$AH$1001,0),0), INDEX($AO$1004:$BQ$1004,1,MATCH(COLUMNS($AO$1006:BO1006),$AO$1006:$BQ$1006,0)))),"Fix")))</f>
        <v>#N/A</v>
      </c>
      <c r="AC906" s="5" t="e">
        <f ca="1">IF(OR(INDEX($AI$2:$AI$1001,MATCH(ROWS($AH$2:AH906),$AH$2:$AH$1001,0),1)&gt;=100000,INDEX($AO$1005:$BQ$1005,1,MATCH(COLUMNS($AO$1006:BP1006),$AO$1006:$BQ$1006,0))&gt;=100000), " ",IF(INDEX($AO$2:$BQ$1001,MATCH(ROWS($AH$2:AH906),$AH$2:$AH$1001,0),MATCH(COLUMNS($AO$1006:BP1006),$AO$1006:$BQ$1006,0)), HYPERLINK("#",""), HYPERLINK(CONCATENATE("#Metadata!", ADDRESS(INDEX($AJ$2:$AJ$1001,MATCH(ROWS($AH$2:AH906),$AH$2:$AH$1001,0),0), INDEX($AO$1004:$BQ$1004,1,MATCH(COLUMNS($AO$1006:BP1006),$AO$1006:$BQ$1006,0)))),"Fix")))</f>
        <v>#N/A</v>
      </c>
      <c r="AD906" s="5" t="e">
        <f ca="1">IF(OR(INDEX($AI$2:$AI$1001,MATCH(ROWS($AH$2:AH906),$AH$2:$AH$1001,0),1)&gt;=100000,INDEX($AO$1005:$BQ$1005,1,MATCH(COLUMNS($AO$1006:BQ1006),$AO$1006:$BQ$1006,0))&gt;=100000), " ",IF(INDEX($AO$2:$BQ$1001,MATCH(ROWS($AH$2:AH906),$AH$2:$AH$1001,0),MATCH(COLUMNS($AO$1006:BQ1006),$AO$1006:$BQ$1006,0)), HYPERLINK("#",""), HYPERLINK(CONCATENATE("#Metadata!", ADDRESS(INDEX($AJ$2:$AJ$1001,MATCH(ROWS($AH$2:AH906),$AH$2:$AH$1001,0),0), INDEX($AO$1004:$BQ$1004,1,MATCH(COLUMNS($AO$1006:BQ1006),$AO$1006:$BQ$1006,0)))),"Fix")))</f>
        <v>#REF!</v>
      </c>
      <c r="AH906">
        <f ca="1"/>
        <v>903</v>
      </c>
      <c r="AI906">
        <v>100906</v>
      </c>
      <c r="AJ906">
        <v>906</v>
      </c>
      <c r="AK906" t="b">
        <f t="shared" si="14"/>
        <v>1</v>
      </c>
      <c r="AL906" t="b">
        <f>COUNTBLANK(Metadata!B906:AD906)=COLUMNS(Metadata!B906:AD906)</f>
        <v>1</v>
      </c>
      <c r="AM906" t="str">
        <v/>
      </c>
      <c r="AO906" t="b">
        <f ca="1">AND(IF(Metadata!B906="",FALSE,TRUE),COUNTIF(Metadata!B:B, Metadata!B906) = 1,NOT(ISERROR(SUMPRODUCT(SEARCH(MID(Metadata!B906,ROW(INDIRECT("1:"&amp;LEN(Metadata!B906))), 1),"0123456789abcdefghijklmnopqrstuvwxyzABCDEFGHIJKLMNOPQRSTUVWXYZ.")))))</f>
        <v>0</v>
      </c>
      <c r="AP906" t="b">
        <f>IF(Metadata!C906="",FALSE,TRUE)</f>
        <v>0</v>
      </c>
      <c r="AQ906" t="b">
        <f>IF(Metadata!D906="",FALSE,TRUE)</f>
        <v>0</v>
      </c>
      <c r="AR906" t="b">
        <f ca="1">OR(AND(IF(Metadata!E906="",FALSE,TRUE),OR(EXACT(Metadata!E906,"not collected"),EXACT(Metadata!E906,"not provided"),EXACT(Metadata!E906,"restricted access"))),AND(IF(Metadata!E906="",FALSE,TRUE),AND(AND(IFERROR(INT(LEFT(Metadata!E906,4))&gt;1900,FALSE),IFERROR(INT(LEFT(Metadata!E906,4))&lt;=YEAR(NOW()),FALSE)), OR(MID(Metadata!E906,5,1)="", AND(AND(MID(Metadata!E906,5,1)="-",IFERROR(INT(MID(Metadata!E906,6,1))&gt;=0,FALSE),IFERROR(INT(MID(Metadata!E906,6,1))&lt;=1,FALSE),NOT(MID(Metadata!E906,7,1)=""),IFERROR(INT(MID(Metadata!E906,6,2))&gt;=1,FALSE),IFERROR(INT(MID(Metadata!E906,6,2))&lt;=12,FALSE)), OR(MID(Metadata!E906,8,1)="", AND(AND(MID(Metadata!E906,8,1)="-",IFERROR(INT(MID(Metadata!E906,9,1))&gt;=0,FALSE),IFERROR(INT(MID(Metadata!E906,9,1))&lt;=3,FALSE),NOT(MID(Metadata!E906,10,1)=""),IFERROR(INT(MID(Metadata!E906,9,2))&gt;=1,FALSE),IFERROR(INT(MID(Metadata!E906,9,2))&lt;=31,FALSE)), OR(MID(Metadata!E906,11,1)="", AND(AND(MID(Metadata!E906,11,1)=" ",IFERROR(INT(MID(Metadata!E906,12,1))&gt;=0,FALSE),IFERROR(INT(MID(Metadata!E906,12,1))&lt;=2,FALSE),NOT(MID(Metadata!E906,13,1)=""),IFERROR(INT(MID(Metadata!E906,12,2))&gt;=0,FALSE),IFERROR(INT(MID(Metadata!E906,12,2))&lt;=23,FALSE)), OR(MID(Metadata!E906,14,1)="", AND(AND(MID(Metadata!E906,14,1)=":",IFERROR(INT(MID(Metadata!E906,15,1))&gt;=0,FALSE),IFERROR(INT(MID(Metadata!E906,15,1))&lt;=5,FALSE),NOT(MID(Metadata!E906,16,1)=""),IFERROR(INT(MID(Metadata!E906,15,2))&gt;=0,FALSE),IFERROR(INT(MID(Metadata!E906,15,2))&lt;=59,FALSE)), OR(MID(Metadata!E906,17,1)="", AND(AND(MID(Metadata!E906,17,1)=":",IFERROR(INT(MID(Metadata!E906,18,1))&gt;=0,FALSE),IFERROR(INT(MID(Metadata!E906,18,1))&lt;=5,FALSE),NOT(MID(Metadata!E906,19,1)=""),IFERROR(INT(MID(Metadata!E906,18,2))&gt;=0,FALSE),IFERROR(INT(MID(Metadata!E906,18,2))&lt;=59,FALSE)), LEN(Metadata!E906)&lt;=19)))))))))))))</f>
        <v>0</v>
      </c>
      <c r="AS906" t="b">
        <f>IF(Metadata!F906="",FALSE,TRUE)</f>
        <v>0</v>
      </c>
      <c r="AT906" t="b">
        <f>OR(AND(IF(Metadata!G906="",FALSE,TRUE),OR(EXACT(Metadata!G906,"not collected"),EXACT(Metadata!G906,"not provided"))),AND(IF(Metadata!G906="",FALSE,TRUE),OR(EXACT(Metadata!G906,"TRUE"),EXACT(Metadata!G906,"FALSE"))))</f>
        <v>0</v>
      </c>
      <c r="AU906" t="b">
        <f>OR(AND(IF(Metadata!H906="",FALSE,TRUE),OR(EXACT(Metadata!H906,"not collected"),EXACT(Metadata!H906,"not provided"),EXACT(Metadata!H906,"restricted access"))),AND(IF(Metadata!H906="",FALSE,ISNUMBER(VALUE(Metadata!H906))),Metadata!H906&gt;=-413))</f>
        <v>0</v>
      </c>
      <c r="AV906" t="b">
        <f>AND(IF(Metadata!I906="",FALSE,TRUE),EXACT(Metadata!I906,"meters"))</f>
        <v>0</v>
      </c>
      <c r="AW906" t="b">
        <f>AND(IF(Metadata!J906="",FALSE,TRUE),EXACT(Metadata!J906,"free-living"))</f>
        <v>0</v>
      </c>
      <c r="AX906" t="b">
        <f>AND(IF(Metadata!K906="",FALSE,TRUE),OR(EXACT(Metadata!K906,"saline"),EXACT(Metadata!K906,"non-saline")))</f>
        <v>0</v>
      </c>
      <c r="AY906" t="b">
        <f>AND(IF(Metadata!L906="",FALSE,TRUE),OR(EXACT(Metadata!L906,"sub-surface (non-saline)"),EXACT(Metadata!L906,"surface (non-saline)"),EXACT(Metadata!L906,"water (non-saline)"),EXACT(Metadata!L906,"soil (non-saline)"),EXACT(Metadata!L906,"aerosol (non-saline)"),EXACT(Metadata!L906,"sediment (non-saline)"),EXACT(Metadata!L906,"surface (saline)"),EXACT(Metadata!L906,"water (saline)"),EXACT(Metadata!L906,"hypersaline (saline)"),EXACT(Metadata!L906,"aerosol (saline)"),EXACT(Metadata!L906,"sediment (saline)")))</f>
        <v>0</v>
      </c>
      <c r="AZ906" t="b">
        <f>IF(Metadata!M906="",FALSE,TRUE)</f>
        <v>0</v>
      </c>
      <c r="BA906" t="b">
        <f>IF(Metadata!N906="",FALSE,TRUE)</f>
        <v>0</v>
      </c>
      <c r="BB906" t="b">
        <f>IF(Metadata!O906="",FALSE,TRUE)</f>
        <v>0</v>
      </c>
      <c r="BC906" t="b">
        <f>AND(IF(Metadata!P906="",FALSE,TRUE),OR(EXACT(Metadata!P906,"air"),EXACT(Metadata!P906,"microbial mat/biofilm"),EXACT(Metadata!P906,"misc environment"),EXACT(Metadata!P906,"sediment"),EXACT(Metadata!P906,"soil"),EXACT(Metadata!P906,"wastewater/sludge"),EXACT(Metadata!P906,"water")))</f>
        <v>0</v>
      </c>
      <c r="BD906" t="b">
        <f>IF(Metadata!Q906="",FALSE,TRUE)</f>
        <v>0</v>
      </c>
      <c r="BE906" t="b">
        <f>IF(Metadata!R906="",FALSE,TRUE)</f>
        <v>0</v>
      </c>
      <c r="BF906" t="b">
        <f>OR(AND(IF(Metadata!S906="",FALSE,TRUE),OR(EXACT(Metadata!S906,"not collected"),EXACT(Metadata!S906,"not provided"),EXACT(Metadata!S906,"restricted access"))),AND(IF(Metadata!S906="",FALSE,ISNUMBER(VALUE(Metadata!S906))),Metadata!S906&gt;=-90,Metadata!S906&lt;=90))</f>
        <v>0</v>
      </c>
      <c r="BG906" t="b">
        <f>AND(IF(Metadata!T906="",FALSE,TRUE),EXACT(Metadata!T906,"Decimal degrees"))</f>
        <v>0</v>
      </c>
      <c r="BH906" t="b">
        <f>OR(AND(IF(Metadata!U906="",FALSE,TRUE),OR(EXACT(Metadata!U906,"not applicable"),EXACT(Metadata!U906,"not collected"))),IF(Metadata!U906="",FALSE,TRUE))</f>
        <v>0</v>
      </c>
      <c r="BI906" t="b">
        <f>OR(AND(IF(Metadata!V906="",FALSE,TRUE),OR(EXACT(Metadata!V906,"not collected"),EXACT(Metadata!V906,"not provided"),EXACT(Metadata!V906,"restricted access"))),AND(IF(Metadata!V906="",FALSE,ISNUMBER(VALUE(Metadata!V906))),Metadata!V906&gt;=-180,Metadata!V906&lt;=180))</f>
        <v>0</v>
      </c>
      <c r="BJ906" t="b">
        <f>AND(IF(Metadata!W906="",FALSE,TRUE),EXACT(Metadata!W906,"Decimal degrees"))</f>
        <v>0</v>
      </c>
      <c r="BK906" t="b">
        <f>IF(Metadata!X906="",FALSE,TRUE)</f>
        <v>0</v>
      </c>
      <c r="BL906" t="b">
        <f>OR(AND(IF(Metadata!Y906="",FALSE,TRUE),OR(EXACT(Metadata!Y906,"not collected"),EXACT(Metadata!Y906,"not provided"),EXACT(Metadata!Y906,"restricted access"))),AND(IF(Metadata!Y906="",FALSE,TRUE),OR(EXACT(Metadata!Y906,"TRUE"),EXACT(Metadata!Y906,"FALSE"))))</f>
        <v>0</v>
      </c>
      <c r="BM906" t="b">
        <f>OR(AND(IF(Metadata!Z906="",FALSE,TRUE),EXACT(Metadata!Z906,"not applicable")),AND(IF(Metadata!Z906="",FALSE,TRUE),OR(EXACT(Metadata!Z906,"beer"),EXACT(Metadata!Z906,"cheese"),EXACT(Metadata!Z906,"fresh water"),EXACT(Metadata!Z906,"marine sediment"),EXACT(Metadata!Z906,"sea water"),EXACT(Metadata!Z906,"sediment"),EXACT(Metadata!Z906,"soil"),EXACT(Metadata!Z906,"waste water"))))</f>
        <v>0</v>
      </c>
      <c r="BN906" t="b">
        <f>AND(IF(Metadata!AA906="",FALSE,TRUE),EXACT(Metadata!AA906,"metagenome"))</f>
        <v>0</v>
      </c>
      <c r="BO906" t="b">
        <f>AND(IF(Metadata!AB906="",FALSE,TRUE),EXACT(Metadata!AB906,"256318"))</f>
        <v>0</v>
      </c>
      <c r="BP906" t="b">
        <f>IF(Metadata!AC906="",FALSE,TRUE)</f>
        <v>0</v>
      </c>
      <c r="BQ906" t="b">
        <f>IF(Metadata!AD906="",FALSE,TRUE)</f>
        <v>0</v>
      </c>
    </row>
    <row r="907" spans="1:69" x14ac:dyDescent="0.2">
      <c r="A907" s="4" t="e">
        <f ca="1">IF(B907=" "," ",HYPERLINK(CONCATENATE("#metadata!",ADDRESS(INDEX($AJ$2:$AJ$1001,MATCH(ROWS($AH$2:AH907),$AH$2:$AH$1001,0),0),2)),INDEX($AM$2:$AM$1001,MATCH(ROWS($AH$2:AH907),$AH$2:$AH$1001,0),0)))</f>
        <v>#N/A</v>
      </c>
      <c r="B907" s="5" t="e">
        <f ca="1">IF(OR(INDEX($AI$2:$AI$1001,MATCH(ROWS($AH$2:AH907),$AH$2:$AH$1001,0),1)&gt;=100000,INDEX($AO$1005:$BQ$1005,1,MATCH(COLUMNS($AO$1006:AO1006),$AO$1006:$BQ$1006,0))&gt;=100000), " ",IF(INDEX($AO$2:$BQ$1001,MATCH(ROWS($AH$2:AH907),$AH$2:$AH$1001,0),MATCH(COLUMNS($AO$1006:AO1006),$AO$1006:$BQ$1006,0)), HYPERLINK("#",""), HYPERLINK(CONCATENATE("#Metadata!", ADDRESS(INDEX($AJ$2:$AJ$1001,MATCH(ROWS($AH$2:AH907),$AH$2:$AH$1001,0),0), INDEX($AO$1004:$BQ$1004,1,MATCH(COLUMNS($AO$1006:AO1006),$AO$1006:$BQ$1006,0)))),"Fix")))</f>
        <v>#N/A</v>
      </c>
      <c r="C907" s="5" t="e">
        <f ca="1">IF(OR(INDEX($AI$2:$AI$1001,MATCH(ROWS($AH$2:AH907),$AH$2:$AH$1001,0),1)&gt;=100000,INDEX($AO$1005:$BQ$1005,1,MATCH(COLUMNS($AO$1006:AP1006),$AO$1006:$BQ$1006,0))&gt;=100000), " ",IF(INDEX($AO$2:$BQ$1001,MATCH(ROWS($AH$2:AH907),$AH$2:$AH$1001,0),MATCH(COLUMNS($AO$1006:AP1006),$AO$1006:$BQ$1006,0)), HYPERLINK("#",""), HYPERLINK(CONCATENATE("#Metadata!", ADDRESS(INDEX($AJ$2:$AJ$1001,MATCH(ROWS($AH$2:AH907),$AH$2:$AH$1001,0),0), INDEX($AO$1004:$BQ$1004,1,MATCH(COLUMNS($AO$1006:AP1006),$AO$1006:$BQ$1006,0)))),"Fix")))</f>
        <v>#N/A</v>
      </c>
      <c r="D907" s="5" t="e">
        <f ca="1">IF(OR(INDEX($AI$2:$AI$1001,MATCH(ROWS($AH$2:AH907),$AH$2:$AH$1001,0),1)&gt;=100000,INDEX($AO$1005:$BQ$1005,1,MATCH(COLUMNS($AO$1006:AQ1006),$AO$1006:$BQ$1006,0))&gt;=100000), " ",IF(INDEX($AO$2:$BQ$1001,MATCH(ROWS($AH$2:AH907),$AH$2:$AH$1001,0),MATCH(COLUMNS($AO$1006:AQ1006),$AO$1006:$BQ$1006,0)), HYPERLINK("#",""), HYPERLINK(CONCATENATE("#Metadata!", ADDRESS(INDEX($AJ$2:$AJ$1001,MATCH(ROWS($AH$2:AH907),$AH$2:$AH$1001,0),0), INDEX($AO$1004:$BQ$1004,1,MATCH(COLUMNS($AO$1006:AQ1006),$AO$1006:$BQ$1006,0)))),"Fix")))</f>
        <v>#N/A</v>
      </c>
      <c r="E907" s="5" t="e">
        <f ca="1">IF(OR(INDEX($AI$2:$AI$1001,MATCH(ROWS($AH$2:AH907),$AH$2:$AH$1001,0),1)&gt;=100000,INDEX($AO$1005:$BQ$1005,1,MATCH(COLUMNS($AO$1006:AR1006),$AO$1006:$BQ$1006,0))&gt;=100000), " ",IF(INDEX($AO$2:$BQ$1001,MATCH(ROWS($AH$2:AH907),$AH$2:$AH$1001,0),MATCH(COLUMNS($AO$1006:AR1006),$AO$1006:$BQ$1006,0)), HYPERLINK("#",""), HYPERLINK(CONCATENATE("#Metadata!", ADDRESS(INDEX($AJ$2:$AJ$1001,MATCH(ROWS($AH$2:AH907),$AH$2:$AH$1001,0),0), INDEX($AO$1004:$BQ$1004,1,MATCH(COLUMNS($AO$1006:AR1006),$AO$1006:$BQ$1006,0)))),"Fix")))</f>
        <v>#N/A</v>
      </c>
      <c r="F907" s="5" t="e">
        <f ca="1">IF(OR(INDEX($AI$2:$AI$1001,MATCH(ROWS($AH$2:AH907),$AH$2:$AH$1001,0),1)&gt;=100000,INDEX($AO$1005:$BQ$1005,1,MATCH(COLUMNS($AO$1006:AS1006),$AO$1006:$BQ$1006,0))&gt;=100000), " ",IF(INDEX($AO$2:$BQ$1001,MATCH(ROWS($AH$2:AH907),$AH$2:$AH$1001,0),MATCH(COLUMNS($AO$1006:AS1006),$AO$1006:$BQ$1006,0)), HYPERLINK("#",""), HYPERLINK(CONCATENATE("#Metadata!", ADDRESS(INDEX($AJ$2:$AJ$1001,MATCH(ROWS($AH$2:AH907),$AH$2:$AH$1001,0),0), INDEX($AO$1004:$BQ$1004,1,MATCH(COLUMNS($AO$1006:AS1006),$AO$1006:$BQ$1006,0)))),"Fix")))</f>
        <v>#N/A</v>
      </c>
      <c r="G907" s="5" t="e">
        <f ca="1">IF(OR(INDEX($AI$2:$AI$1001,MATCH(ROWS($AH$2:AH907),$AH$2:$AH$1001,0),1)&gt;=100000,INDEX($AO$1005:$BQ$1005,1,MATCH(COLUMNS($AO$1006:AT1006),$AO$1006:$BQ$1006,0))&gt;=100000), " ",IF(INDEX($AO$2:$BQ$1001,MATCH(ROWS($AH$2:AH907),$AH$2:$AH$1001,0),MATCH(COLUMNS($AO$1006:AT1006),$AO$1006:$BQ$1006,0)), HYPERLINK("#",""), HYPERLINK(CONCATENATE("#Metadata!", ADDRESS(INDEX($AJ$2:$AJ$1001,MATCH(ROWS($AH$2:AH907),$AH$2:$AH$1001,0),0), INDEX($AO$1004:$BQ$1004,1,MATCH(COLUMNS($AO$1006:AT1006),$AO$1006:$BQ$1006,0)))),"Fix")))</f>
        <v>#N/A</v>
      </c>
      <c r="H907" s="5" t="e">
        <f ca="1">IF(OR(INDEX($AI$2:$AI$1001,MATCH(ROWS($AH$2:AH907),$AH$2:$AH$1001,0),1)&gt;=100000,INDEX($AO$1005:$BQ$1005,1,MATCH(COLUMNS($AO$1006:AU1006),$AO$1006:$BQ$1006,0))&gt;=100000), " ",IF(INDEX($AO$2:$BQ$1001,MATCH(ROWS($AH$2:AH907),$AH$2:$AH$1001,0),MATCH(COLUMNS($AO$1006:AU1006),$AO$1006:$BQ$1006,0)), HYPERLINK("#",""), HYPERLINK(CONCATENATE("#Metadata!", ADDRESS(INDEX($AJ$2:$AJ$1001,MATCH(ROWS($AH$2:AH907),$AH$2:$AH$1001,0),0), INDEX($AO$1004:$BQ$1004,1,MATCH(COLUMNS($AO$1006:AU1006),$AO$1006:$BQ$1006,0)))),"Fix")))</f>
        <v>#N/A</v>
      </c>
      <c r="I907" s="5" t="e">
        <f ca="1">IF(OR(INDEX($AI$2:$AI$1001,MATCH(ROWS($AH$2:AH907),$AH$2:$AH$1001,0),1)&gt;=100000,INDEX($AO$1005:$BQ$1005,1,MATCH(COLUMNS($AO$1006:AV1006),$AO$1006:$BQ$1006,0))&gt;=100000), " ",IF(INDEX($AO$2:$BQ$1001,MATCH(ROWS($AH$2:AH907),$AH$2:$AH$1001,0),MATCH(COLUMNS($AO$1006:AV1006),$AO$1006:$BQ$1006,0)), HYPERLINK("#",""), HYPERLINK(CONCATENATE("#Metadata!", ADDRESS(INDEX($AJ$2:$AJ$1001,MATCH(ROWS($AH$2:AH907),$AH$2:$AH$1001,0),0), INDEX($AO$1004:$BQ$1004,1,MATCH(COLUMNS($AO$1006:AV1006),$AO$1006:$BQ$1006,0)))),"Fix")))</f>
        <v>#N/A</v>
      </c>
      <c r="J907" s="5" t="e">
        <f ca="1">IF(OR(INDEX($AI$2:$AI$1001,MATCH(ROWS($AH$2:AH907),$AH$2:$AH$1001,0),1)&gt;=100000,INDEX($AO$1005:$BQ$1005,1,MATCH(COLUMNS($AO$1006:AW1006),$AO$1006:$BQ$1006,0))&gt;=100000), " ",IF(INDEX($AO$2:$BQ$1001,MATCH(ROWS($AH$2:AH907),$AH$2:$AH$1001,0),MATCH(COLUMNS($AO$1006:AW1006),$AO$1006:$BQ$1006,0)), HYPERLINK("#",""), HYPERLINK(CONCATENATE("#Metadata!", ADDRESS(INDEX($AJ$2:$AJ$1001,MATCH(ROWS($AH$2:AH907),$AH$2:$AH$1001,0),0), INDEX($AO$1004:$BQ$1004,1,MATCH(COLUMNS($AO$1006:AW1006),$AO$1006:$BQ$1006,0)))),"Fix")))</f>
        <v>#N/A</v>
      </c>
      <c r="K907" s="5" t="e">
        <f ca="1">IF(OR(INDEX($AI$2:$AI$1001,MATCH(ROWS($AH$2:AH907),$AH$2:$AH$1001,0),1)&gt;=100000,INDEX($AO$1005:$BQ$1005,1,MATCH(COLUMNS($AO$1006:AX1006),$AO$1006:$BQ$1006,0))&gt;=100000), " ",IF(INDEX($AO$2:$BQ$1001,MATCH(ROWS($AH$2:AH907),$AH$2:$AH$1001,0),MATCH(COLUMNS($AO$1006:AX1006),$AO$1006:$BQ$1006,0)), HYPERLINK("#",""), HYPERLINK(CONCATENATE("#Metadata!", ADDRESS(INDEX($AJ$2:$AJ$1001,MATCH(ROWS($AH$2:AH907),$AH$2:$AH$1001,0),0), INDEX($AO$1004:$BQ$1004,1,MATCH(COLUMNS($AO$1006:AX1006),$AO$1006:$BQ$1006,0)))),"Fix")))</f>
        <v>#N/A</v>
      </c>
      <c r="L907" s="5" t="e">
        <f ca="1">IF(OR(INDEX($AI$2:$AI$1001,MATCH(ROWS($AH$2:AH907),$AH$2:$AH$1001,0),1)&gt;=100000,INDEX($AO$1005:$BQ$1005,1,MATCH(COLUMNS($AO$1006:AY1006),$AO$1006:$BQ$1006,0))&gt;=100000), " ",IF(INDEX($AO$2:$BQ$1001,MATCH(ROWS($AH$2:AH907),$AH$2:$AH$1001,0),MATCH(COLUMNS($AO$1006:AY1006),$AO$1006:$BQ$1006,0)), HYPERLINK("#",""), HYPERLINK(CONCATENATE("#Metadata!", ADDRESS(INDEX($AJ$2:$AJ$1001,MATCH(ROWS($AH$2:AH907),$AH$2:$AH$1001,0),0), INDEX($AO$1004:$BQ$1004,1,MATCH(COLUMNS($AO$1006:AY1006),$AO$1006:$BQ$1006,0)))),"Fix")))</f>
        <v>#N/A</v>
      </c>
      <c r="M907" s="5" t="e">
        <f ca="1">IF(OR(INDEX($AI$2:$AI$1001,MATCH(ROWS($AH$2:AH907),$AH$2:$AH$1001,0),1)&gt;=100000,INDEX($AO$1005:$BQ$1005,1,MATCH(COLUMNS($AO$1006:AZ1006),$AO$1006:$BQ$1006,0))&gt;=100000), " ",IF(INDEX($AO$2:$BQ$1001,MATCH(ROWS($AH$2:AH907),$AH$2:$AH$1001,0),MATCH(COLUMNS($AO$1006:AZ1006),$AO$1006:$BQ$1006,0)), HYPERLINK("#",""), HYPERLINK(CONCATENATE("#Metadata!", ADDRESS(INDEX($AJ$2:$AJ$1001,MATCH(ROWS($AH$2:AH907),$AH$2:$AH$1001,0),0), INDEX($AO$1004:$BQ$1004,1,MATCH(COLUMNS($AO$1006:AZ1006),$AO$1006:$BQ$1006,0)))),"Fix")))</f>
        <v>#N/A</v>
      </c>
      <c r="N907" s="5" t="e">
        <f ca="1">IF(OR(INDEX($AI$2:$AI$1001,MATCH(ROWS($AH$2:AH907),$AH$2:$AH$1001,0),1)&gt;=100000,INDEX($AO$1005:$BQ$1005,1,MATCH(COLUMNS($AO$1006:BA1006),$AO$1006:$BQ$1006,0))&gt;=100000), " ",IF(INDEX($AO$2:$BQ$1001,MATCH(ROWS($AH$2:AH907),$AH$2:$AH$1001,0),MATCH(COLUMNS($AO$1006:BA1006),$AO$1006:$BQ$1006,0)), HYPERLINK("#",""), HYPERLINK(CONCATENATE("#Metadata!", ADDRESS(INDEX($AJ$2:$AJ$1001,MATCH(ROWS($AH$2:AH907),$AH$2:$AH$1001,0),0), INDEX($AO$1004:$BQ$1004,1,MATCH(COLUMNS($AO$1006:BA1006),$AO$1006:$BQ$1006,0)))),"Fix")))</f>
        <v>#N/A</v>
      </c>
      <c r="O907" s="5" t="e">
        <f ca="1">IF(OR(INDEX($AI$2:$AI$1001,MATCH(ROWS($AH$2:AH907),$AH$2:$AH$1001,0),1)&gt;=100000,INDEX($AO$1005:$BQ$1005,1,MATCH(COLUMNS($AO$1006:BB1006),$AO$1006:$BQ$1006,0))&gt;=100000), " ",IF(INDEX($AO$2:$BQ$1001,MATCH(ROWS($AH$2:AH907),$AH$2:$AH$1001,0),MATCH(COLUMNS($AO$1006:BB1006),$AO$1006:$BQ$1006,0)), HYPERLINK("#",""), HYPERLINK(CONCATENATE("#Metadata!", ADDRESS(INDEX($AJ$2:$AJ$1001,MATCH(ROWS($AH$2:AH907),$AH$2:$AH$1001,0),0), INDEX($AO$1004:$BQ$1004,1,MATCH(COLUMNS($AO$1006:BB1006),$AO$1006:$BQ$1006,0)))),"Fix")))</f>
        <v>#N/A</v>
      </c>
      <c r="P907" s="5" t="e">
        <f ca="1">IF(OR(INDEX($AI$2:$AI$1001,MATCH(ROWS($AH$2:AH907),$AH$2:$AH$1001,0),1)&gt;=100000,INDEX($AO$1005:$BQ$1005,1,MATCH(COLUMNS($AO$1006:BC1006),$AO$1006:$BQ$1006,0))&gt;=100000), " ",IF(INDEX($AO$2:$BQ$1001,MATCH(ROWS($AH$2:AH907),$AH$2:$AH$1001,0),MATCH(COLUMNS($AO$1006:BC1006),$AO$1006:$BQ$1006,0)), HYPERLINK("#",""), HYPERLINK(CONCATENATE("#Metadata!", ADDRESS(INDEX($AJ$2:$AJ$1001,MATCH(ROWS($AH$2:AH907),$AH$2:$AH$1001,0),0), INDEX($AO$1004:$BQ$1004,1,MATCH(COLUMNS($AO$1006:BC1006),$AO$1006:$BQ$1006,0)))),"Fix")))</f>
        <v>#N/A</v>
      </c>
      <c r="Q907" s="5" t="e">
        <f ca="1">IF(OR(INDEX($AI$2:$AI$1001,MATCH(ROWS($AH$2:AH907),$AH$2:$AH$1001,0),1)&gt;=100000,INDEX($AO$1005:$BQ$1005,1,MATCH(COLUMNS($AO$1006:BD1006),$AO$1006:$BQ$1006,0))&gt;=100000), " ",IF(INDEX($AO$2:$BQ$1001,MATCH(ROWS($AH$2:AH907),$AH$2:$AH$1001,0),MATCH(COLUMNS($AO$1006:BD1006),$AO$1006:$BQ$1006,0)), HYPERLINK("#",""), HYPERLINK(CONCATENATE("#Metadata!", ADDRESS(INDEX($AJ$2:$AJ$1001,MATCH(ROWS($AH$2:AH907),$AH$2:$AH$1001,0),0), INDEX($AO$1004:$BQ$1004,1,MATCH(COLUMNS($AO$1006:BD1006),$AO$1006:$BQ$1006,0)))),"Fix")))</f>
        <v>#N/A</v>
      </c>
      <c r="R907" s="5" t="e">
        <f ca="1">IF(OR(INDEX($AI$2:$AI$1001,MATCH(ROWS($AH$2:AH907),$AH$2:$AH$1001,0),1)&gt;=100000,INDEX($AO$1005:$BQ$1005,1,MATCH(COLUMNS($AO$1006:BE1006),$AO$1006:$BQ$1006,0))&gt;=100000), " ",IF(INDEX($AO$2:$BQ$1001,MATCH(ROWS($AH$2:AH907),$AH$2:$AH$1001,0),MATCH(COLUMNS($AO$1006:BE1006),$AO$1006:$BQ$1006,0)), HYPERLINK("#",""), HYPERLINK(CONCATENATE("#Metadata!", ADDRESS(INDEX($AJ$2:$AJ$1001,MATCH(ROWS($AH$2:AH907),$AH$2:$AH$1001,0),0), INDEX($AO$1004:$BQ$1004,1,MATCH(COLUMNS($AO$1006:BE1006),$AO$1006:$BQ$1006,0)))),"Fix")))</f>
        <v>#N/A</v>
      </c>
      <c r="S907" s="5" t="e">
        <f ca="1">IF(OR(INDEX($AI$2:$AI$1001,MATCH(ROWS($AH$2:AH907),$AH$2:$AH$1001,0),1)&gt;=100000,INDEX($AO$1005:$BQ$1005,1,MATCH(COLUMNS($AO$1006:BF1006),$AO$1006:$BQ$1006,0))&gt;=100000), " ",IF(INDEX($AO$2:$BQ$1001,MATCH(ROWS($AH$2:AH907),$AH$2:$AH$1001,0),MATCH(COLUMNS($AO$1006:BF1006),$AO$1006:$BQ$1006,0)), HYPERLINK("#",""), HYPERLINK(CONCATENATE("#Metadata!", ADDRESS(INDEX($AJ$2:$AJ$1001,MATCH(ROWS($AH$2:AH907),$AH$2:$AH$1001,0),0), INDEX($AO$1004:$BQ$1004,1,MATCH(COLUMNS($AO$1006:BF1006),$AO$1006:$BQ$1006,0)))),"Fix")))</f>
        <v>#N/A</v>
      </c>
      <c r="T907" s="5" t="e">
        <f ca="1">IF(OR(INDEX($AI$2:$AI$1001,MATCH(ROWS($AH$2:AH907),$AH$2:$AH$1001,0),1)&gt;=100000,INDEX($AO$1005:$BQ$1005,1,MATCH(COLUMNS($AO$1006:BG1006),$AO$1006:$BQ$1006,0))&gt;=100000), " ",IF(INDEX($AO$2:$BQ$1001,MATCH(ROWS($AH$2:AH907),$AH$2:$AH$1001,0),MATCH(COLUMNS($AO$1006:BG1006),$AO$1006:$BQ$1006,0)), HYPERLINK("#",""), HYPERLINK(CONCATENATE("#Metadata!", ADDRESS(INDEX($AJ$2:$AJ$1001,MATCH(ROWS($AH$2:AH907),$AH$2:$AH$1001,0),0), INDEX($AO$1004:$BQ$1004,1,MATCH(COLUMNS($AO$1006:BG1006),$AO$1006:$BQ$1006,0)))),"Fix")))</f>
        <v>#N/A</v>
      </c>
      <c r="U907" s="5" t="e">
        <f ca="1">IF(OR(INDEX($AI$2:$AI$1001,MATCH(ROWS($AH$2:AH907),$AH$2:$AH$1001,0),1)&gt;=100000,INDEX($AO$1005:$BQ$1005,1,MATCH(COLUMNS($AO$1006:BH1006),$AO$1006:$BQ$1006,0))&gt;=100000), " ",IF(INDEX($AO$2:$BQ$1001,MATCH(ROWS($AH$2:AH907),$AH$2:$AH$1001,0),MATCH(COLUMNS($AO$1006:BH1006),$AO$1006:$BQ$1006,0)), HYPERLINK("#",""), HYPERLINK(CONCATENATE("#Metadata!", ADDRESS(INDEX($AJ$2:$AJ$1001,MATCH(ROWS($AH$2:AH907),$AH$2:$AH$1001,0),0), INDEX($AO$1004:$BQ$1004,1,MATCH(COLUMNS($AO$1006:BH1006),$AO$1006:$BQ$1006,0)))),"Fix")))</f>
        <v>#N/A</v>
      </c>
      <c r="V907" s="5" t="e">
        <f ca="1">IF(OR(INDEX($AI$2:$AI$1001,MATCH(ROWS($AH$2:AH907),$AH$2:$AH$1001,0),1)&gt;=100000,INDEX($AO$1005:$BQ$1005,1,MATCH(COLUMNS($AO$1006:BI1006),$AO$1006:$BQ$1006,0))&gt;=100000), " ",IF(INDEX($AO$2:$BQ$1001,MATCH(ROWS($AH$2:AH907),$AH$2:$AH$1001,0),MATCH(COLUMNS($AO$1006:BI1006),$AO$1006:$BQ$1006,0)), HYPERLINK("#",""), HYPERLINK(CONCATENATE("#Metadata!", ADDRESS(INDEX($AJ$2:$AJ$1001,MATCH(ROWS($AH$2:AH907),$AH$2:$AH$1001,0),0), INDEX($AO$1004:$BQ$1004,1,MATCH(COLUMNS($AO$1006:BI1006),$AO$1006:$BQ$1006,0)))),"Fix")))</f>
        <v>#N/A</v>
      </c>
      <c r="W907" s="5" t="e">
        <f ca="1">IF(OR(INDEX($AI$2:$AI$1001,MATCH(ROWS($AH$2:AH907),$AH$2:$AH$1001,0),1)&gt;=100000,INDEX($AO$1005:$BQ$1005,1,MATCH(COLUMNS($AO$1006:BJ1006),$AO$1006:$BQ$1006,0))&gt;=100000), " ",IF(INDEX($AO$2:$BQ$1001,MATCH(ROWS($AH$2:AH907),$AH$2:$AH$1001,0),MATCH(COLUMNS($AO$1006:BJ1006),$AO$1006:$BQ$1006,0)), HYPERLINK("#",""), HYPERLINK(CONCATENATE("#Metadata!", ADDRESS(INDEX($AJ$2:$AJ$1001,MATCH(ROWS($AH$2:AH907),$AH$2:$AH$1001,0),0), INDEX($AO$1004:$BQ$1004,1,MATCH(COLUMNS($AO$1006:BJ1006),$AO$1006:$BQ$1006,0)))),"Fix")))</f>
        <v>#N/A</v>
      </c>
      <c r="X907" s="5" t="e">
        <f ca="1">IF(OR(INDEX($AI$2:$AI$1001,MATCH(ROWS($AH$2:AH907),$AH$2:$AH$1001,0),1)&gt;=100000,INDEX($AO$1005:$BQ$1005,1,MATCH(COLUMNS($AO$1006:BK1006),$AO$1006:$BQ$1006,0))&gt;=100000), " ",IF(INDEX($AO$2:$BQ$1001,MATCH(ROWS($AH$2:AH907),$AH$2:$AH$1001,0),MATCH(COLUMNS($AO$1006:BK1006),$AO$1006:$BQ$1006,0)), HYPERLINK("#",""), HYPERLINK(CONCATENATE("#Metadata!", ADDRESS(INDEX($AJ$2:$AJ$1001,MATCH(ROWS($AH$2:AH907),$AH$2:$AH$1001,0),0), INDEX($AO$1004:$BQ$1004,1,MATCH(COLUMNS($AO$1006:BK1006),$AO$1006:$BQ$1006,0)))),"Fix")))</f>
        <v>#N/A</v>
      </c>
      <c r="Y907" s="5" t="e">
        <f ca="1">IF(OR(INDEX($AI$2:$AI$1001,MATCH(ROWS($AH$2:AH907),$AH$2:$AH$1001,0),1)&gt;=100000,INDEX($AO$1005:$BQ$1005,1,MATCH(COLUMNS($AO$1006:BL1006),$AO$1006:$BQ$1006,0))&gt;=100000), " ",IF(INDEX($AO$2:$BQ$1001,MATCH(ROWS($AH$2:AH907),$AH$2:$AH$1001,0),MATCH(COLUMNS($AO$1006:BL1006),$AO$1006:$BQ$1006,0)), HYPERLINK("#",""), HYPERLINK(CONCATENATE("#Metadata!", ADDRESS(INDEX($AJ$2:$AJ$1001,MATCH(ROWS($AH$2:AH907),$AH$2:$AH$1001,0),0), INDEX($AO$1004:$BQ$1004,1,MATCH(COLUMNS($AO$1006:BL1006),$AO$1006:$BQ$1006,0)))),"Fix")))</f>
        <v>#N/A</v>
      </c>
      <c r="Z907" s="5" t="e">
        <f ca="1">IF(OR(INDEX($AI$2:$AI$1001,MATCH(ROWS($AH$2:AH907),$AH$2:$AH$1001,0),1)&gt;=100000,INDEX($AO$1005:$BQ$1005,1,MATCH(COLUMNS($AO$1006:BM1006),$AO$1006:$BQ$1006,0))&gt;=100000), " ",IF(INDEX($AO$2:$BQ$1001,MATCH(ROWS($AH$2:AH907),$AH$2:$AH$1001,0),MATCH(COLUMNS($AO$1006:BM1006),$AO$1006:$BQ$1006,0)), HYPERLINK("#",""), HYPERLINK(CONCATENATE("#Metadata!", ADDRESS(INDEX($AJ$2:$AJ$1001,MATCH(ROWS($AH$2:AH907),$AH$2:$AH$1001,0),0), INDEX($AO$1004:$BQ$1004,1,MATCH(COLUMNS($AO$1006:BM1006),$AO$1006:$BQ$1006,0)))),"Fix")))</f>
        <v>#N/A</v>
      </c>
      <c r="AA907" s="5" t="e">
        <f ca="1">IF(OR(INDEX($AI$2:$AI$1001,MATCH(ROWS($AH$2:AH907),$AH$2:$AH$1001,0),1)&gt;=100000,INDEX($AO$1005:$BQ$1005,1,MATCH(COLUMNS($AO$1006:BN1006),$AO$1006:$BQ$1006,0))&gt;=100000), " ",IF(INDEX($AO$2:$BQ$1001,MATCH(ROWS($AH$2:AH907),$AH$2:$AH$1001,0),MATCH(COLUMNS($AO$1006:BN1006),$AO$1006:$BQ$1006,0)), HYPERLINK("#",""), HYPERLINK(CONCATENATE("#Metadata!", ADDRESS(INDEX($AJ$2:$AJ$1001,MATCH(ROWS($AH$2:AH907),$AH$2:$AH$1001,0),0), INDEX($AO$1004:$BQ$1004,1,MATCH(COLUMNS($AO$1006:BN1006),$AO$1006:$BQ$1006,0)))),"Fix")))</f>
        <v>#N/A</v>
      </c>
      <c r="AB907" s="5" t="e">
        <f ca="1">IF(OR(INDEX($AI$2:$AI$1001,MATCH(ROWS($AH$2:AH907),$AH$2:$AH$1001,0),1)&gt;=100000,INDEX($AO$1005:$BQ$1005,1,MATCH(COLUMNS($AO$1006:BO1006),$AO$1006:$BQ$1006,0))&gt;=100000), " ",IF(INDEX($AO$2:$BQ$1001,MATCH(ROWS($AH$2:AH907),$AH$2:$AH$1001,0),MATCH(COLUMNS($AO$1006:BO1006),$AO$1006:$BQ$1006,0)), HYPERLINK("#",""), HYPERLINK(CONCATENATE("#Metadata!", ADDRESS(INDEX($AJ$2:$AJ$1001,MATCH(ROWS($AH$2:AH907),$AH$2:$AH$1001,0),0), INDEX($AO$1004:$BQ$1004,1,MATCH(COLUMNS($AO$1006:BO1006),$AO$1006:$BQ$1006,0)))),"Fix")))</f>
        <v>#N/A</v>
      </c>
      <c r="AC907" s="5" t="e">
        <f ca="1">IF(OR(INDEX($AI$2:$AI$1001,MATCH(ROWS($AH$2:AH907),$AH$2:$AH$1001,0),1)&gt;=100000,INDEX($AO$1005:$BQ$1005,1,MATCH(COLUMNS($AO$1006:BP1006),$AO$1006:$BQ$1006,0))&gt;=100000), " ",IF(INDEX($AO$2:$BQ$1001,MATCH(ROWS($AH$2:AH907),$AH$2:$AH$1001,0),MATCH(COLUMNS($AO$1006:BP1006),$AO$1006:$BQ$1006,0)), HYPERLINK("#",""), HYPERLINK(CONCATENATE("#Metadata!", ADDRESS(INDEX($AJ$2:$AJ$1001,MATCH(ROWS($AH$2:AH907),$AH$2:$AH$1001,0),0), INDEX($AO$1004:$BQ$1004,1,MATCH(COLUMNS($AO$1006:BP1006),$AO$1006:$BQ$1006,0)))),"Fix")))</f>
        <v>#N/A</v>
      </c>
      <c r="AD907" s="5" t="e">
        <f ca="1">IF(OR(INDEX($AI$2:$AI$1001,MATCH(ROWS($AH$2:AH907),$AH$2:$AH$1001,0),1)&gt;=100000,INDEX($AO$1005:$BQ$1005,1,MATCH(COLUMNS($AO$1006:BQ1006),$AO$1006:$BQ$1006,0))&gt;=100000), " ",IF(INDEX($AO$2:$BQ$1001,MATCH(ROWS($AH$2:AH907),$AH$2:$AH$1001,0),MATCH(COLUMNS($AO$1006:BQ1006),$AO$1006:$BQ$1006,0)), HYPERLINK("#",""), HYPERLINK(CONCATENATE("#Metadata!", ADDRESS(INDEX($AJ$2:$AJ$1001,MATCH(ROWS($AH$2:AH907),$AH$2:$AH$1001,0),0), INDEX($AO$1004:$BQ$1004,1,MATCH(COLUMNS($AO$1006:BQ1006),$AO$1006:$BQ$1006,0)))),"Fix")))</f>
        <v>#REF!</v>
      </c>
      <c r="AH907">
        <f ca="1"/>
        <v>904</v>
      </c>
      <c r="AI907">
        <v>100907</v>
      </c>
      <c r="AJ907">
        <v>907</v>
      </c>
      <c r="AK907" t="b">
        <f t="shared" si="14"/>
        <v>1</v>
      </c>
      <c r="AL907" t="b">
        <f>COUNTBLANK(Metadata!B907:AD907)=COLUMNS(Metadata!B907:AD907)</f>
        <v>1</v>
      </c>
      <c r="AM907" t="str">
        <v/>
      </c>
      <c r="AO907" t="b">
        <f ca="1">AND(IF(Metadata!B907="",FALSE,TRUE),COUNTIF(Metadata!B:B, Metadata!B907) = 1,NOT(ISERROR(SUMPRODUCT(SEARCH(MID(Metadata!B907,ROW(INDIRECT("1:"&amp;LEN(Metadata!B907))), 1),"0123456789abcdefghijklmnopqrstuvwxyzABCDEFGHIJKLMNOPQRSTUVWXYZ.")))))</f>
        <v>0</v>
      </c>
      <c r="AP907" t="b">
        <f>IF(Metadata!C907="",FALSE,TRUE)</f>
        <v>0</v>
      </c>
      <c r="AQ907" t="b">
        <f>IF(Metadata!D907="",FALSE,TRUE)</f>
        <v>0</v>
      </c>
      <c r="AR907" t="b">
        <f ca="1">OR(AND(IF(Metadata!E907="",FALSE,TRUE),OR(EXACT(Metadata!E907,"not collected"),EXACT(Metadata!E907,"not provided"),EXACT(Metadata!E907,"restricted access"))),AND(IF(Metadata!E907="",FALSE,TRUE),AND(AND(IFERROR(INT(LEFT(Metadata!E907,4))&gt;1900,FALSE),IFERROR(INT(LEFT(Metadata!E907,4))&lt;=YEAR(NOW()),FALSE)), OR(MID(Metadata!E907,5,1)="", AND(AND(MID(Metadata!E907,5,1)="-",IFERROR(INT(MID(Metadata!E907,6,1))&gt;=0,FALSE),IFERROR(INT(MID(Metadata!E907,6,1))&lt;=1,FALSE),NOT(MID(Metadata!E907,7,1)=""),IFERROR(INT(MID(Metadata!E907,6,2))&gt;=1,FALSE),IFERROR(INT(MID(Metadata!E907,6,2))&lt;=12,FALSE)), OR(MID(Metadata!E907,8,1)="", AND(AND(MID(Metadata!E907,8,1)="-",IFERROR(INT(MID(Metadata!E907,9,1))&gt;=0,FALSE),IFERROR(INT(MID(Metadata!E907,9,1))&lt;=3,FALSE),NOT(MID(Metadata!E907,10,1)=""),IFERROR(INT(MID(Metadata!E907,9,2))&gt;=1,FALSE),IFERROR(INT(MID(Metadata!E907,9,2))&lt;=31,FALSE)), OR(MID(Metadata!E907,11,1)="", AND(AND(MID(Metadata!E907,11,1)=" ",IFERROR(INT(MID(Metadata!E907,12,1))&gt;=0,FALSE),IFERROR(INT(MID(Metadata!E907,12,1))&lt;=2,FALSE),NOT(MID(Metadata!E907,13,1)=""),IFERROR(INT(MID(Metadata!E907,12,2))&gt;=0,FALSE),IFERROR(INT(MID(Metadata!E907,12,2))&lt;=23,FALSE)), OR(MID(Metadata!E907,14,1)="", AND(AND(MID(Metadata!E907,14,1)=":",IFERROR(INT(MID(Metadata!E907,15,1))&gt;=0,FALSE),IFERROR(INT(MID(Metadata!E907,15,1))&lt;=5,FALSE),NOT(MID(Metadata!E907,16,1)=""),IFERROR(INT(MID(Metadata!E907,15,2))&gt;=0,FALSE),IFERROR(INT(MID(Metadata!E907,15,2))&lt;=59,FALSE)), OR(MID(Metadata!E907,17,1)="", AND(AND(MID(Metadata!E907,17,1)=":",IFERROR(INT(MID(Metadata!E907,18,1))&gt;=0,FALSE),IFERROR(INT(MID(Metadata!E907,18,1))&lt;=5,FALSE),NOT(MID(Metadata!E907,19,1)=""),IFERROR(INT(MID(Metadata!E907,18,2))&gt;=0,FALSE),IFERROR(INT(MID(Metadata!E907,18,2))&lt;=59,FALSE)), LEN(Metadata!E907)&lt;=19)))))))))))))</f>
        <v>0</v>
      </c>
      <c r="AS907" t="b">
        <f>IF(Metadata!F907="",FALSE,TRUE)</f>
        <v>0</v>
      </c>
      <c r="AT907" t="b">
        <f>OR(AND(IF(Metadata!G907="",FALSE,TRUE),OR(EXACT(Metadata!G907,"not collected"),EXACT(Metadata!G907,"not provided"))),AND(IF(Metadata!G907="",FALSE,TRUE),OR(EXACT(Metadata!G907,"TRUE"),EXACT(Metadata!G907,"FALSE"))))</f>
        <v>0</v>
      </c>
      <c r="AU907" t="b">
        <f>OR(AND(IF(Metadata!H907="",FALSE,TRUE),OR(EXACT(Metadata!H907,"not collected"),EXACT(Metadata!H907,"not provided"),EXACT(Metadata!H907,"restricted access"))),AND(IF(Metadata!H907="",FALSE,ISNUMBER(VALUE(Metadata!H907))),Metadata!H907&gt;=-413))</f>
        <v>0</v>
      </c>
      <c r="AV907" t="b">
        <f>AND(IF(Metadata!I907="",FALSE,TRUE),EXACT(Metadata!I907,"meters"))</f>
        <v>0</v>
      </c>
      <c r="AW907" t="b">
        <f>AND(IF(Metadata!J907="",FALSE,TRUE),EXACT(Metadata!J907,"free-living"))</f>
        <v>0</v>
      </c>
      <c r="AX907" t="b">
        <f>AND(IF(Metadata!K907="",FALSE,TRUE),OR(EXACT(Metadata!K907,"saline"),EXACT(Metadata!K907,"non-saline")))</f>
        <v>0</v>
      </c>
      <c r="AY907" t="b">
        <f>AND(IF(Metadata!L907="",FALSE,TRUE),OR(EXACT(Metadata!L907,"sub-surface (non-saline)"),EXACT(Metadata!L907,"surface (non-saline)"),EXACT(Metadata!L907,"water (non-saline)"),EXACT(Metadata!L907,"soil (non-saline)"),EXACT(Metadata!L907,"aerosol (non-saline)"),EXACT(Metadata!L907,"sediment (non-saline)"),EXACT(Metadata!L907,"surface (saline)"),EXACT(Metadata!L907,"water (saline)"),EXACT(Metadata!L907,"hypersaline (saline)"),EXACT(Metadata!L907,"aerosol (saline)"),EXACT(Metadata!L907,"sediment (saline)")))</f>
        <v>0</v>
      </c>
      <c r="AZ907" t="b">
        <f>IF(Metadata!M907="",FALSE,TRUE)</f>
        <v>0</v>
      </c>
      <c r="BA907" t="b">
        <f>IF(Metadata!N907="",FALSE,TRUE)</f>
        <v>0</v>
      </c>
      <c r="BB907" t="b">
        <f>IF(Metadata!O907="",FALSE,TRUE)</f>
        <v>0</v>
      </c>
      <c r="BC907" t="b">
        <f>AND(IF(Metadata!P907="",FALSE,TRUE),OR(EXACT(Metadata!P907,"air"),EXACT(Metadata!P907,"microbial mat/biofilm"),EXACT(Metadata!P907,"misc environment"),EXACT(Metadata!P907,"sediment"),EXACT(Metadata!P907,"soil"),EXACT(Metadata!P907,"wastewater/sludge"),EXACT(Metadata!P907,"water")))</f>
        <v>0</v>
      </c>
      <c r="BD907" t="b">
        <f>IF(Metadata!Q907="",FALSE,TRUE)</f>
        <v>0</v>
      </c>
      <c r="BE907" t="b">
        <f>IF(Metadata!R907="",FALSE,TRUE)</f>
        <v>0</v>
      </c>
      <c r="BF907" t="b">
        <f>OR(AND(IF(Metadata!S907="",FALSE,TRUE),OR(EXACT(Metadata!S907,"not collected"),EXACT(Metadata!S907,"not provided"),EXACT(Metadata!S907,"restricted access"))),AND(IF(Metadata!S907="",FALSE,ISNUMBER(VALUE(Metadata!S907))),Metadata!S907&gt;=-90,Metadata!S907&lt;=90))</f>
        <v>0</v>
      </c>
      <c r="BG907" t="b">
        <f>AND(IF(Metadata!T907="",FALSE,TRUE),EXACT(Metadata!T907,"Decimal degrees"))</f>
        <v>0</v>
      </c>
      <c r="BH907" t="b">
        <f>OR(AND(IF(Metadata!U907="",FALSE,TRUE),OR(EXACT(Metadata!U907,"not applicable"),EXACT(Metadata!U907,"not collected"))),IF(Metadata!U907="",FALSE,TRUE))</f>
        <v>0</v>
      </c>
      <c r="BI907" t="b">
        <f>OR(AND(IF(Metadata!V907="",FALSE,TRUE),OR(EXACT(Metadata!V907,"not collected"),EXACT(Metadata!V907,"not provided"),EXACT(Metadata!V907,"restricted access"))),AND(IF(Metadata!V907="",FALSE,ISNUMBER(VALUE(Metadata!V907))),Metadata!V907&gt;=-180,Metadata!V907&lt;=180))</f>
        <v>0</v>
      </c>
      <c r="BJ907" t="b">
        <f>AND(IF(Metadata!W907="",FALSE,TRUE),EXACT(Metadata!W907,"Decimal degrees"))</f>
        <v>0</v>
      </c>
      <c r="BK907" t="b">
        <f>IF(Metadata!X907="",FALSE,TRUE)</f>
        <v>0</v>
      </c>
      <c r="BL907" t="b">
        <f>OR(AND(IF(Metadata!Y907="",FALSE,TRUE),OR(EXACT(Metadata!Y907,"not collected"),EXACT(Metadata!Y907,"not provided"),EXACT(Metadata!Y907,"restricted access"))),AND(IF(Metadata!Y907="",FALSE,TRUE),OR(EXACT(Metadata!Y907,"TRUE"),EXACT(Metadata!Y907,"FALSE"))))</f>
        <v>0</v>
      </c>
      <c r="BM907" t="b">
        <f>OR(AND(IF(Metadata!Z907="",FALSE,TRUE),EXACT(Metadata!Z907,"not applicable")),AND(IF(Metadata!Z907="",FALSE,TRUE),OR(EXACT(Metadata!Z907,"beer"),EXACT(Metadata!Z907,"cheese"),EXACT(Metadata!Z907,"fresh water"),EXACT(Metadata!Z907,"marine sediment"),EXACT(Metadata!Z907,"sea water"),EXACT(Metadata!Z907,"sediment"),EXACT(Metadata!Z907,"soil"),EXACT(Metadata!Z907,"waste water"))))</f>
        <v>0</v>
      </c>
      <c r="BN907" t="b">
        <f>AND(IF(Metadata!AA907="",FALSE,TRUE),EXACT(Metadata!AA907,"metagenome"))</f>
        <v>0</v>
      </c>
      <c r="BO907" t="b">
        <f>AND(IF(Metadata!AB907="",FALSE,TRUE),EXACT(Metadata!AB907,"256318"))</f>
        <v>0</v>
      </c>
      <c r="BP907" t="b">
        <f>IF(Metadata!AC907="",FALSE,TRUE)</f>
        <v>0</v>
      </c>
      <c r="BQ907" t="b">
        <f>IF(Metadata!AD907="",FALSE,TRUE)</f>
        <v>0</v>
      </c>
    </row>
    <row r="908" spans="1:69" x14ac:dyDescent="0.2">
      <c r="A908" s="4" t="e">
        <f ca="1">IF(B908=" "," ",HYPERLINK(CONCATENATE("#metadata!",ADDRESS(INDEX($AJ$2:$AJ$1001,MATCH(ROWS($AH$2:AH908),$AH$2:$AH$1001,0),0),2)),INDEX($AM$2:$AM$1001,MATCH(ROWS($AH$2:AH908),$AH$2:$AH$1001,0),0)))</f>
        <v>#N/A</v>
      </c>
      <c r="B908" s="5" t="e">
        <f ca="1">IF(OR(INDEX($AI$2:$AI$1001,MATCH(ROWS($AH$2:AH908),$AH$2:$AH$1001,0),1)&gt;=100000,INDEX($AO$1005:$BQ$1005,1,MATCH(COLUMNS($AO$1006:AO1006),$AO$1006:$BQ$1006,0))&gt;=100000), " ",IF(INDEX($AO$2:$BQ$1001,MATCH(ROWS($AH$2:AH908),$AH$2:$AH$1001,0),MATCH(COLUMNS($AO$1006:AO1006),$AO$1006:$BQ$1006,0)), HYPERLINK("#",""), HYPERLINK(CONCATENATE("#Metadata!", ADDRESS(INDEX($AJ$2:$AJ$1001,MATCH(ROWS($AH$2:AH908),$AH$2:$AH$1001,0),0), INDEX($AO$1004:$BQ$1004,1,MATCH(COLUMNS($AO$1006:AO1006),$AO$1006:$BQ$1006,0)))),"Fix")))</f>
        <v>#N/A</v>
      </c>
      <c r="C908" s="5" t="e">
        <f ca="1">IF(OR(INDEX($AI$2:$AI$1001,MATCH(ROWS($AH$2:AH908),$AH$2:$AH$1001,0),1)&gt;=100000,INDEX($AO$1005:$BQ$1005,1,MATCH(COLUMNS($AO$1006:AP1006),$AO$1006:$BQ$1006,0))&gt;=100000), " ",IF(INDEX($AO$2:$BQ$1001,MATCH(ROWS($AH$2:AH908),$AH$2:$AH$1001,0),MATCH(COLUMNS($AO$1006:AP1006),$AO$1006:$BQ$1006,0)), HYPERLINK("#",""), HYPERLINK(CONCATENATE("#Metadata!", ADDRESS(INDEX($AJ$2:$AJ$1001,MATCH(ROWS($AH$2:AH908),$AH$2:$AH$1001,0),0), INDEX($AO$1004:$BQ$1004,1,MATCH(COLUMNS($AO$1006:AP1006),$AO$1006:$BQ$1006,0)))),"Fix")))</f>
        <v>#N/A</v>
      </c>
      <c r="D908" s="5" t="e">
        <f ca="1">IF(OR(INDEX($AI$2:$AI$1001,MATCH(ROWS($AH$2:AH908),$AH$2:$AH$1001,0),1)&gt;=100000,INDEX($AO$1005:$BQ$1005,1,MATCH(COLUMNS($AO$1006:AQ1006),$AO$1006:$BQ$1006,0))&gt;=100000), " ",IF(INDEX($AO$2:$BQ$1001,MATCH(ROWS($AH$2:AH908),$AH$2:$AH$1001,0),MATCH(COLUMNS($AO$1006:AQ1006),$AO$1006:$BQ$1006,0)), HYPERLINK("#",""), HYPERLINK(CONCATENATE("#Metadata!", ADDRESS(INDEX($AJ$2:$AJ$1001,MATCH(ROWS($AH$2:AH908),$AH$2:$AH$1001,0),0), INDEX($AO$1004:$BQ$1004,1,MATCH(COLUMNS($AO$1006:AQ1006),$AO$1006:$BQ$1006,0)))),"Fix")))</f>
        <v>#N/A</v>
      </c>
      <c r="E908" s="5" t="e">
        <f ca="1">IF(OR(INDEX($AI$2:$AI$1001,MATCH(ROWS($AH$2:AH908),$AH$2:$AH$1001,0),1)&gt;=100000,INDEX($AO$1005:$BQ$1005,1,MATCH(COLUMNS($AO$1006:AR1006),$AO$1006:$BQ$1006,0))&gt;=100000), " ",IF(INDEX($AO$2:$BQ$1001,MATCH(ROWS($AH$2:AH908),$AH$2:$AH$1001,0),MATCH(COLUMNS($AO$1006:AR1006),$AO$1006:$BQ$1006,0)), HYPERLINK("#",""), HYPERLINK(CONCATENATE("#Metadata!", ADDRESS(INDEX($AJ$2:$AJ$1001,MATCH(ROWS($AH$2:AH908),$AH$2:$AH$1001,0),0), INDEX($AO$1004:$BQ$1004,1,MATCH(COLUMNS($AO$1006:AR1006),$AO$1006:$BQ$1006,0)))),"Fix")))</f>
        <v>#N/A</v>
      </c>
      <c r="F908" s="5" t="e">
        <f ca="1">IF(OR(INDEX($AI$2:$AI$1001,MATCH(ROWS($AH$2:AH908),$AH$2:$AH$1001,0),1)&gt;=100000,INDEX($AO$1005:$BQ$1005,1,MATCH(COLUMNS($AO$1006:AS1006),$AO$1006:$BQ$1006,0))&gt;=100000), " ",IF(INDEX($AO$2:$BQ$1001,MATCH(ROWS($AH$2:AH908),$AH$2:$AH$1001,0),MATCH(COLUMNS($AO$1006:AS1006),$AO$1006:$BQ$1006,0)), HYPERLINK("#",""), HYPERLINK(CONCATENATE("#Metadata!", ADDRESS(INDEX($AJ$2:$AJ$1001,MATCH(ROWS($AH$2:AH908),$AH$2:$AH$1001,0),0), INDEX($AO$1004:$BQ$1004,1,MATCH(COLUMNS($AO$1006:AS1006),$AO$1006:$BQ$1006,0)))),"Fix")))</f>
        <v>#N/A</v>
      </c>
      <c r="G908" s="5" t="e">
        <f ca="1">IF(OR(INDEX($AI$2:$AI$1001,MATCH(ROWS($AH$2:AH908),$AH$2:$AH$1001,0),1)&gt;=100000,INDEX($AO$1005:$BQ$1005,1,MATCH(COLUMNS($AO$1006:AT1006),$AO$1006:$BQ$1006,0))&gt;=100000), " ",IF(INDEX($AO$2:$BQ$1001,MATCH(ROWS($AH$2:AH908),$AH$2:$AH$1001,0),MATCH(COLUMNS($AO$1006:AT1006),$AO$1006:$BQ$1006,0)), HYPERLINK("#",""), HYPERLINK(CONCATENATE("#Metadata!", ADDRESS(INDEX($AJ$2:$AJ$1001,MATCH(ROWS($AH$2:AH908),$AH$2:$AH$1001,0),0), INDEX($AO$1004:$BQ$1004,1,MATCH(COLUMNS($AO$1006:AT1006),$AO$1006:$BQ$1006,0)))),"Fix")))</f>
        <v>#N/A</v>
      </c>
      <c r="H908" s="5" t="e">
        <f ca="1">IF(OR(INDEX($AI$2:$AI$1001,MATCH(ROWS($AH$2:AH908),$AH$2:$AH$1001,0),1)&gt;=100000,INDEX($AO$1005:$BQ$1005,1,MATCH(COLUMNS($AO$1006:AU1006),$AO$1006:$BQ$1006,0))&gt;=100000), " ",IF(INDEX($AO$2:$BQ$1001,MATCH(ROWS($AH$2:AH908),$AH$2:$AH$1001,0),MATCH(COLUMNS($AO$1006:AU1006),$AO$1006:$BQ$1006,0)), HYPERLINK("#",""), HYPERLINK(CONCATENATE("#Metadata!", ADDRESS(INDEX($AJ$2:$AJ$1001,MATCH(ROWS($AH$2:AH908),$AH$2:$AH$1001,0),0), INDEX($AO$1004:$BQ$1004,1,MATCH(COLUMNS($AO$1006:AU1006),$AO$1006:$BQ$1006,0)))),"Fix")))</f>
        <v>#N/A</v>
      </c>
      <c r="I908" s="5" t="e">
        <f ca="1">IF(OR(INDEX($AI$2:$AI$1001,MATCH(ROWS($AH$2:AH908),$AH$2:$AH$1001,0),1)&gt;=100000,INDEX($AO$1005:$BQ$1005,1,MATCH(COLUMNS($AO$1006:AV1006),$AO$1006:$BQ$1006,0))&gt;=100000), " ",IF(INDEX($AO$2:$BQ$1001,MATCH(ROWS($AH$2:AH908),$AH$2:$AH$1001,0),MATCH(COLUMNS($AO$1006:AV1006),$AO$1006:$BQ$1006,0)), HYPERLINK("#",""), HYPERLINK(CONCATENATE("#Metadata!", ADDRESS(INDEX($AJ$2:$AJ$1001,MATCH(ROWS($AH$2:AH908),$AH$2:$AH$1001,0),0), INDEX($AO$1004:$BQ$1004,1,MATCH(COLUMNS($AO$1006:AV1006),$AO$1006:$BQ$1006,0)))),"Fix")))</f>
        <v>#N/A</v>
      </c>
      <c r="J908" s="5" t="e">
        <f ca="1">IF(OR(INDEX($AI$2:$AI$1001,MATCH(ROWS($AH$2:AH908),$AH$2:$AH$1001,0),1)&gt;=100000,INDEX($AO$1005:$BQ$1005,1,MATCH(COLUMNS($AO$1006:AW1006),$AO$1006:$BQ$1006,0))&gt;=100000), " ",IF(INDEX($AO$2:$BQ$1001,MATCH(ROWS($AH$2:AH908),$AH$2:$AH$1001,0),MATCH(COLUMNS($AO$1006:AW1006),$AO$1006:$BQ$1006,0)), HYPERLINK("#",""), HYPERLINK(CONCATENATE("#Metadata!", ADDRESS(INDEX($AJ$2:$AJ$1001,MATCH(ROWS($AH$2:AH908),$AH$2:$AH$1001,0),0), INDEX($AO$1004:$BQ$1004,1,MATCH(COLUMNS($AO$1006:AW1006),$AO$1006:$BQ$1006,0)))),"Fix")))</f>
        <v>#N/A</v>
      </c>
      <c r="K908" s="5" t="e">
        <f ca="1">IF(OR(INDEX($AI$2:$AI$1001,MATCH(ROWS($AH$2:AH908),$AH$2:$AH$1001,0),1)&gt;=100000,INDEX($AO$1005:$BQ$1005,1,MATCH(COLUMNS($AO$1006:AX1006),$AO$1006:$BQ$1006,0))&gt;=100000), " ",IF(INDEX($AO$2:$BQ$1001,MATCH(ROWS($AH$2:AH908),$AH$2:$AH$1001,0),MATCH(COLUMNS($AO$1006:AX1006),$AO$1006:$BQ$1006,0)), HYPERLINK("#",""), HYPERLINK(CONCATENATE("#Metadata!", ADDRESS(INDEX($AJ$2:$AJ$1001,MATCH(ROWS($AH$2:AH908),$AH$2:$AH$1001,0),0), INDEX($AO$1004:$BQ$1004,1,MATCH(COLUMNS($AO$1006:AX1006),$AO$1006:$BQ$1006,0)))),"Fix")))</f>
        <v>#N/A</v>
      </c>
      <c r="L908" s="5" t="e">
        <f ca="1">IF(OR(INDEX($AI$2:$AI$1001,MATCH(ROWS($AH$2:AH908),$AH$2:$AH$1001,0),1)&gt;=100000,INDEX($AO$1005:$BQ$1005,1,MATCH(COLUMNS($AO$1006:AY1006),$AO$1006:$BQ$1006,0))&gt;=100000), " ",IF(INDEX($AO$2:$BQ$1001,MATCH(ROWS($AH$2:AH908),$AH$2:$AH$1001,0),MATCH(COLUMNS($AO$1006:AY1006),$AO$1006:$BQ$1006,0)), HYPERLINK("#",""), HYPERLINK(CONCATENATE("#Metadata!", ADDRESS(INDEX($AJ$2:$AJ$1001,MATCH(ROWS($AH$2:AH908),$AH$2:$AH$1001,0),0), INDEX($AO$1004:$BQ$1004,1,MATCH(COLUMNS($AO$1006:AY1006),$AO$1006:$BQ$1006,0)))),"Fix")))</f>
        <v>#N/A</v>
      </c>
      <c r="M908" s="5" t="e">
        <f ca="1">IF(OR(INDEX($AI$2:$AI$1001,MATCH(ROWS($AH$2:AH908),$AH$2:$AH$1001,0),1)&gt;=100000,INDEX($AO$1005:$BQ$1005,1,MATCH(COLUMNS($AO$1006:AZ1006),$AO$1006:$BQ$1006,0))&gt;=100000), " ",IF(INDEX($AO$2:$BQ$1001,MATCH(ROWS($AH$2:AH908),$AH$2:$AH$1001,0),MATCH(COLUMNS($AO$1006:AZ1006),$AO$1006:$BQ$1006,0)), HYPERLINK("#",""), HYPERLINK(CONCATENATE("#Metadata!", ADDRESS(INDEX($AJ$2:$AJ$1001,MATCH(ROWS($AH$2:AH908),$AH$2:$AH$1001,0),0), INDEX($AO$1004:$BQ$1004,1,MATCH(COLUMNS($AO$1006:AZ1006),$AO$1006:$BQ$1006,0)))),"Fix")))</f>
        <v>#N/A</v>
      </c>
      <c r="N908" s="5" t="e">
        <f ca="1">IF(OR(INDEX($AI$2:$AI$1001,MATCH(ROWS($AH$2:AH908),$AH$2:$AH$1001,0),1)&gt;=100000,INDEX($AO$1005:$BQ$1005,1,MATCH(COLUMNS($AO$1006:BA1006),$AO$1006:$BQ$1006,0))&gt;=100000), " ",IF(INDEX($AO$2:$BQ$1001,MATCH(ROWS($AH$2:AH908),$AH$2:$AH$1001,0),MATCH(COLUMNS($AO$1006:BA1006),$AO$1006:$BQ$1006,0)), HYPERLINK("#",""), HYPERLINK(CONCATENATE("#Metadata!", ADDRESS(INDEX($AJ$2:$AJ$1001,MATCH(ROWS($AH$2:AH908),$AH$2:$AH$1001,0),0), INDEX($AO$1004:$BQ$1004,1,MATCH(COLUMNS($AO$1006:BA1006),$AO$1006:$BQ$1006,0)))),"Fix")))</f>
        <v>#N/A</v>
      </c>
      <c r="O908" s="5" t="e">
        <f ca="1">IF(OR(INDEX($AI$2:$AI$1001,MATCH(ROWS($AH$2:AH908),$AH$2:$AH$1001,0),1)&gt;=100000,INDEX($AO$1005:$BQ$1005,1,MATCH(COLUMNS($AO$1006:BB1006),$AO$1006:$BQ$1006,0))&gt;=100000), " ",IF(INDEX($AO$2:$BQ$1001,MATCH(ROWS($AH$2:AH908),$AH$2:$AH$1001,0),MATCH(COLUMNS($AO$1006:BB1006),$AO$1006:$BQ$1006,0)), HYPERLINK("#",""), HYPERLINK(CONCATENATE("#Metadata!", ADDRESS(INDEX($AJ$2:$AJ$1001,MATCH(ROWS($AH$2:AH908),$AH$2:$AH$1001,0),0), INDEX($AO$1004:$BQ$1004,1,MATCH(COLUMNS($AO$1006:BB1006),$AO$1006:$BQ$1006,0)))),"Fix")))</f>
        <v>#N/A</v>
      </c>
      <c r="P908" s="5" t="e">
        <f ca="1">IF(OR(INDEX($AI$2:$AI$1001,MATCH(ROWS($AH$2:AH908),$AH$2:$AH$1001,0),1)&gt;=100000,INDEX($AO$1005:$BQ$1005,1,MATCH(COLUMNS($AO$1006:BC1006),$AO$1006:$BQ$1006,0))&gt;=100000), " ",IF(INDEX($AO$2:$BQ$1001,MATCH(ROWS($AH$2:AH908),$AH$2:$AH$1001,0),MATCH(COLUMNS($AO$1006:BC1006),$AO$1006:$BQ$1006,0)), HYPERLINK("#",""), HYPERLINK(CONCATENATE("#Metadata!", ADDRESS(INDEX($AJ$2:$AJ$1001,MATCH(ROWS($AH$2:AH908),$AH$2:$AH$1001,0),0), INDEX($AO$1004:$BQ$1004,1,MATCH(COLUMNS($AO$1006:BC1006),$AO$1006:$BQ$1006,0)))),"Fix")))</f>
        <v>#N/A</v>
      </c>
      <c r="Q908" s="5" t="e">
        <f ca="1">IF(OR(INDEX($AI$2:$AI$1001,MATCH(ROWS($AH$2:AH908),$AH$2:$AH$1001,0),1)&gt;=100000,INDEX($AO$1005:$BQ$1005,1,MATCH(COLUMNS($AO$1006:BD1006),$AO$1006:$BQ$1006,0))&gt;=100000), " ",IF(INDEX($AO$2:$BQ$1001,MATCH(ROWS($AH$2:AH908),$AH$2:$AH$1001,0),MATCH(COLUMNS($AO$1006:BD1006),$AO$1006:$BQ$1006,0)), HYPERLINK("#",""), HYPERLINK(CONCATENATE("#Metadata!", ADDRESS(INDEX($AJ$2:$AJ$1001,MATCH(ROWS($AH$2:AH908),$AH$2:$AH$1001,0),0), INDEX($AO$1004:$BQ$1004,1,MATCH(COLUMNS($AO$1006:BD1006),$AO$1006:$BQ$1006,0)))),"Fix")))</f>
        <v>#N/A</v>
      </c>
      <c r="R908" s="5" t="e">
        <f ca="1">IF(OR(INDEX($AI$2:$AI$1001,MATCH(ROWS($AH$2:AH908),$AH$2:$AH$1001,0),1)&gt;=100000,INDEX($AO$1005:$BQ$1005,1,MATCH(COLUMNS($AO$1006:BE1006),$AO$1006:$BQ$1006,0))&gt;=100000), " ",IF(INDEX($AO$2:$BQ$1001,MATCH(ROWS($AH$2:AH908),$AH$2:$AH$1001,0),MATCH(COLUMNS($AO$1006:BE1006),$AO$1006:$BQ$1006,0)), HYPERLINK("#",""), HYPERLINK(CONCATENATE("#Metadata!", ADDRESS(INDEX($AJ$2:$AJ$1001,MATCH(ROWS($AH$2:AH908),$AH$2:$AH$1001,0),0), INDEX($AO$1004:$BQ$1004,1,MATCH(COLUMNS($AO$1006:BE1006),$AO$1006:$BQ$1006,0)))),"Fix")))</f>
        <v>#N/A</v>
      </c>
      <c r="S908" s="5" t="e">
        <f ca="1">IF(OR(INDEX($AI$2:$AI$1001,MATCH(ROWS($AH$2:AH908),$AH$2:$AH$1001,0),1)&gt;=100000,INDEX($AO$1005:$BQ$1005,1,MATCH(COLUMNS($AO$1006:BF1006),$AO$1006:$BQ$1006,0))&gt;=100000), " ",IF(INDEX($AO$2:$BQ$1001,MATCH(ROWS($AH$2:AH908),$AH$2:$AH$1001,0),MATCH(COLUMNS($AO$1006:BF1006),$AO$1006:$BQ$1006,0)), HYPERLINK("#",""), HYPERLINK(CONCATENATE("#Metadata!", ADDRESS(INDEX($AJ$2:$AJ$1001,MATCH(ROWS($AH$2:AH908),$AH$2:$AH$1001,0),0), INDEX($AO$1004:$BQ$1004,1,MATCH(COLUMNS($AO$1006:BF1006),$AO$1006:$BQ$1006,0)))),"Fix")))</f>
        <v>#N/A</v>
      </c>
      <c r="T908" s="5" t="e">
        <f ca="1">IF(OR(INDEX($AI$2:$AI$1001,MATCH(ROWS($AH$2:AH908),$AH$2:$AH$1001,0),1)&gt;=100000,INDEX($AO$1005:$BQ$1005,1,MATCH(COLUMNS($AO$1006:BG1006),$AO$1006:$BQ$1006,0))&gt;=100000), " ",IF(INDEX($AO$2:$BQ$1001,MATCH(ROWS($AH$2:AH908),$AH$2:$AH$1001,0),MATCH(COLUMNS($AO$1006:BG1006),$AO$1006:$BQ$1006,0)), HYPERLINK("#",""), HYPERLINK(CONCATENATE("#Metadata!", ADDRESS(INDEX($AJ$2:$AJ$1001,MATCH(ROWS($AH$2:AH908),$AH$2:$AH$1001,0),0), INDEX($AO$1004:$BQ$1004,1,MATCH(COLUMNS($AO$1006:BG1006),$AO$1006:$BQ$1006,0)))),"Fix")))</f>
        <v>#N/A</v>
      </c>
      <c r="U908" s="5" t="e">
        <f ca="1">IF(OR(INDEX($AI$2:$AI$1001,MATCH(ROWS($AH$2:AH908),$AH$2:$AH$1001,0),1)&gt;=100000,INDEX($AO$1005:$BQ$1005,1,MATCH(COLUMNS($AO$1006:BH1006),$AO$1006:$BQ$1006,0))&gt;=100000), " ",IF(INDEX($AO$2:$BQ$1001,MATCH(ROWS($AH$2:AH908),$AH$2:$AH$1001,0),MATCH(COLUMNS($AO$1006:BH1006),$AO$1006:$BQ$1006,0)), HYPERLINK("#",""), HYPERLINK(CONCATENATE("#Metadata!", ADDRESS(INDEX($AJ$2:$AJ$1001,MATCH(ROWS($AH$2:AH908),$AH$2:$AH$1001,0),0), INDEX($AO$1004:$BQ$1004,1,MATCH(COLUMNS($AO$1006:BH1006),$AO$1006:$BQ$1006,0)))),"Fix")))</f>
        <v>#N/A</v>
      </c>
      <c r="V908" s="5" t="e">
        <f ca="1">IF(OR(INDEX($AI$2:$AI$1001,MATCH(ROWS($AH$2:AH908),$AH$2:$AH$1001,0),1)&gt;=100000,INDEX($AO$1005:$BQ$1005,1,MATCH(COLUMNS($AO$1006:BI1006),$AO$1006:$BQ$1006,0))&gt;=100000), " ",IF(INDEX($AO$2:$BQ$1001,MATCH(ROWS($AH$2:AH908),$AH$2:$AH$1001,0),MATCH(COLUMNS($AO$1006:BI1006),$AO$1006:$BQ$1006,0)), HYPERLINK("#",""), HYPERLINK(CONCATENATE("#Metadata!", ADDRESS(INDEX($AJ$2:$AJ$1001,MATCH(ROWS($AH$2:AH908),$AH$2:$AH$1001,0),0), INDEX($AO$1004:$BQ$1004,1,MATCH(COLUMNS($AO$1006:BI1006),$AO$1006:$BQ$1006,0)))),"Fix")))</f>
        <v>#N/A</v>
      </c>
      <c r="W908" s="5" t="e">
        <f ca="1">IF(OR(INDEX($AI$2:$AI$1001,MATCH(ROWS($AH$2:AH908),$AH$2:$AH$1001,0),1)&gt;=100000,INDEX($AO$1005:$BQ$1005,1,MATCH(COLUMNS($AO$1006:BJ1006),$AO$1006:$BQ$1006,0))&gt;=100000), " ",IF(INDEX($AO$2:$BQ$1001,MATCH(ROWS($AH$2:AH908),$AH$2:$AH$1001,0),MATCH(COLUMNS($AO$1006:BJ1006),$AO$1006:$BQ$1006,0)), HYPERLINK("#",""), HYPERLINK(CONCATENATE("#Metadata!", ADDRESS(INDEX($AJ$2:$AJ$1001,MATCH(ROWS($AH$2:AH908),$AH$2:$AH$1001,0),0), INDEX($AO$1004:$BQ$1004,1,MATCH(COLUMNS($AO$1006:BJ1006),$AO$1006:$BQ$1006,0)))),"Fix")))</f>
        <v>#N/A</v>
      </c>
      <c r="X908" s="5" t="e">
        <f ca="1">IF(OR(INDEX($AI$2:$AI$1001,MATCH(ROWS($AH$2:AH908),$AH$2:$AH$1001,0),1)&gt;=100000,INDEX($AO$1005:$BQ$1005,1,MATCH(COLUMNS($AO$1006:BK1006),$AO$1006:$BQ$1006,0))&gt;=100000), " ",IF(INDEX($AO$2:$BQ$1001,MATCH(ROWS($AH$2:AH908),$AH$2:$AH$1001,0),MATCH(COLUMNS($AO$1006:BK1006),$AO$1006:$BQ$1006,0)), HYPERLINK("#",""), HYPERLINK(CONCATENATE("#Metadata!", ADDRESS(INDEX($AJ$2:$AJ$1001,MATCH(ROWS($AH$2:AH908),$AH$2:$AH$1001,0),0), INDEX($AO$1004:$BQ$1004,1,MATCH(COLUMNS($AO$1006:BK1006),$AO$1006:$BQ$1006,0)))),"Fix")))</f>
        <v>#N/A</v>
      </c>
      <c r="Y908" s="5" t="e">
        <f ca="1">IF(OR(INDEX($AI$2:$AI$1001,MATCH(ROWS($AH$2:AH908),$AH$2:$AH$1001,0),1)&gt;=100000,INDEX($AO$1005:$BQ$1005,1,MATCH(COLUMNS($AO$1006:BL1006),$AO$1006:$BQ$1006,0))&gt;=100000), " ",IF(INDEX($AO$2:$BQ$1001,MATCH(ROWS($AH$2:AH908),$AH$2:$AH$1001,0),MATCH(COLUMNS($AO$1006:BL1006),$AO$1006:$BQ$1006,0)), HYPERLINK("#",""), HYPERLINK(CONCATENATE("#Metadata!", ADDRESS(INDEX($AJ$2:$AJ$1001,MATCH(ROWS($AH$2:AH908),$AH$2:$AH$1001,0),0), INDEX($AO$1004:$BQ$1004,1,MATCH(COLUMNS($AO$1006:BL1006),$AO$1006:$BQ$1006,0)))),"Fix")))</f>
        <v>#N/A</v>
      </c>
      <c r="Z908" s="5" t="e">
        <f ca="1">IF(OR(INDEX($AI$2:$AI$1001,MATCH(ROWS($AH$2:AH908),$AH$2:$AH$1001,0),1)&gt;=100000,INDEX($AO$1005:$BQ$1005,1,MATCH(COLUMNS($AO$1006:BM1006),$AO$1006:$BQ$1006,0))&gt;=100000), " ",IF(INDEX($AO$2:$BQ$1001,MATCH(ROWS($AH$2:AH908),$AH$2:$AH$1001,0),MATCH(COLUMNS($AO$1006:BM1006),$AO$1006:$BQ$1006,0)), HYPERLINK("#",""), HYPERLINK(CONCATENATE("#Metadata!", ADDRESS(INDEX($AJ$2:$AJ$1001,MATCH(ROWS($AH$2:AH908),$AH$2:$AH$1001,0),0), INDEX($AO$1004:$BQ$1004,1,MATCH(COLUMNS($AO$1006:BM1006),$AO$1006:$BQ$1006,0)))),"Fix")))</f>
        <v>#N/A</v>
      </c>
      <c r="AA908" s="5" t="e">
        <f ca="1">IF(OR(INDEX($AI$2:$AI$1001,MATCH(ROWS($AH$2:AH908),$AH$2:$AH$1001,0),1)&gt;=100000,INDEX($AO$1005:$BQ$1005,1,MATCH(COLUMNS($AO$1006:BN1006),$AO$1006:$BQ$1006,0))&gt;=100000), " ",IF(INDEX($AO$2:$BQ$1001,MATCH(ROWS($AH$2:AH908),$AH$2:$AH$1001,0),MATCH(COLUMNS($AO$1006:BN1006),$AO$1006:$BQ$1006,0)), HYPERLINK("#",""), HYPERLINK(CONCATENATE("#Metadata!", ADDRESS(INDEX($AJ$2:$AJ$1001,MATCH(ROWS($AH$2:AH908),$AH$2:$AH$1001,0),0), INDEX($AO$1004:$BQ$1004,1,MATCH(COLUMNS($AO$1006:BN1006),$AO$1006:$BQ$1006,0)))),"Fix")))</f>
        <v>#N/A</v>
      </c>
      <c r="AB908" s="5" t="e">
        <f ca="1">IF(OR(INDEX($AI$2:$AI$1001,MATCH(ROWS($AH$2:AH908),$AH$2:$AH$1001,0),1)&gt;=100000,INDEX($AO$1005:$BQ$1005,1,MATCH(COLUMNS($AO$1006:BO1006),$AO$1006:$BQ$1006,0))&gt;=100000), " ",IF(INDEX($AO$2:$BQ$1001,MATCH(ROWS($AH$2:AH908),$AH$2:$AH$1001,0),MATCH(COLUMNS($AO$1006:BO1006),$AO$1006:$BQ$1006,0)), HYPERLINK("#",""), HYPERLINK(CONCATENATE("#Metadata!", ADDRESS(INDEX($AJ$2:$AJ$1001,MATCH(ROWS($AH$2:AH908),$AH$2:$AH$1001,0),0), INDEX($AO$1004:$BQ$1004,1,MATCH(COLUMNS($AO$1006:BO1006),$AO$1006:$BQ$1006,0)))),"Fix")))</f>
        <v>#N/A</v>
      </c>
      <c r="AC908" s="5" t="e">
        <f ca="1">IF(OR(INDEX($AI$2:$AI$1001,MATCH(ROWS($AH$2:AH908),$AH$2:$AH$1001,0),1)&gt;=100000,INDEX($AO$1005:$BQ$1005,1,MATCH(COLUMNS($AO$1006:BP1006),$AO$1006:$BQ$1006,0))&gt;=100000), " ",IF(INDEX($AO$2:$BQ$1001,MATCH(ROWS($AH$2:AH908),$AH$2:$AH$1001,0),MATCH(COLUMNS($AO$1006:BP1006),$AO$1006:$BQ$1006,0)), HYPERLINK("#",""), HYPERLINK(CONCATENATE("#Metadata!", ADDRESS(INDEX($AJ$2:$AJ$1001,MATCH(ROWS($AH$2:AH908),$AH$2:$AH$1001,0),0), INDEX($AO$1004:$BQ$1004,1,MATCH(COLUMNS($AO$1006:BP1006),$AO$1006:$BQ$1006,0)))),"Fix")))</f>
        <v>#N/A</v>
      </c>
      <c r="AD908" s="5" t="e">
        <f ca="1">IF(OR(INDEX($AI$2:$AI$1001,MATCH(ROWS($AH$2:AH908),$AH$2:$AH$1001,0),1)&gt;=100000,INDEX($AO$1005:$BQ$1005,1,MATCH(COLUMNS($AO$1006:BQ1006),$AO$1006:$BQ$1006,0))&gt;=100000), " ",IF(INDEX($AO$2:$BQ$1001,MATCH(ROWS($AH$2:AH908),$AH$2:$AH$1001,0),MATCH(COLUMNS($AO$1006:BQ1006),$AO$1006:$BQ$1006,0)), HYPERLINK("#",""), HYPERLINK(CONCATENATE("#Metadata!", ADDRESS(INDEX($AJ$2:$AJ$1001,MATCH(ROWS($AH$2:AH908),$AH$2:$AH$1001,0),0), INDEX($AO$1004:$BQ$1004,1,MATCH(COLUMNS($AO$1006:BQ1006),$AO$1006:$BQ$1006,0)))),"Fix")))</f>
        <v>#REF!</v>
      </c>
      <c r="AH908">
        <f ca="1"/>
        <v>905</v>
      </c>
      <c r="AI908">
        <v>100908</v>
      </c>
      <c r="AJ908">
        <v>908</v>
      </c>
      <c r="AK908" t="b">
        <f t="shared" si="14"/>
        <v>1</v>
      </c>
      <c r="AL908" t="b">
        <f>COUNTBLANK(Metadata!B908:AD908)=COLUMNS(Metadata!B908:AD908)</f>
        <v>1</v>
      </c>
      <c r="AM908" t="str">
        <v/>
      </c>
      <c r="AO908" t="b">
        <f ca="1">AND(IF(Metadata!B908="",FALSE,TRUE),COUNTIF(Metadata!B:B, Metadata!B908) = 1,NOT(ISERROR(SUMPRODUCT(SEARCH(MID(Metadata!B908,ROW(INDIRECT("1:"&amp;LEN(Metadata!B908))), 1),"0123456789abcdefghijklmnopqrstuvwxyzABCDEFGHIJKLMNOPQRSTUVWXYZ.")))))</f>
        <v>0</v>
      </c>
      <c r="AP908" t="b">
        <f>IF(Metadata!C908="",FALSE,TRUE)</f>
        <v>0</v>
      </c>
      <c r="AQ908" t="b">
        <f>IF(Metadata!D908="",FALSE,TRUE)</f>
        <v>0</v>
      </c>
      <c r="AR908" t="b">
        <f ca="1">OR(AND(IF(Metadata!E908="",FALSE,TRUE),OR(EXACT(Metadata!E908,"not collected"),EXACT(Metadata!E908,"not provided"),EXACT(Metadata!E908,"restricted access"))),AND(IF(Metadata!E908="",FALSE,TRUE),AND(AND(IFERROR(INT(LEFT(Metadata!E908,4))&gt;1900,FALSE),IFERROR(INT(LEFT(Metadata!E908,4))&lt;=YEAR(NOW()),FALSE)), OR(MID(Metadata!E908,5,1)="", AND(AND(MID(Metadata!E908,5,1)="-",IFERROR(INT(MID(Metadata!E908,6,1))&gt;=0,FALSE),IFERROR(INT(MID(Metadata!E908,6,1))&lt;=1,FALSE),NOT(MID(Metadata!E908,7,1)=""),IFERROR(INT(MID(Metadata!E908,6,2))&gt;=1,FALSE),IFERROR(INT(MID(Metadata!E908,6,2))&lt;=12,FALSE)), OR(MID(Metadata!E908,8,1)="", AND(AND(MID(Metadata!E908,8,1)="-",IFERROR(INT(MID(Metadata!E908,9,1))&gt;=0,FALSE),IFERROR(INT(MID(Metadata!E908,9,1))&lt;=3,FALSE),NOT(MID(Metadata!E908,10,1)=""),IFERROR(INT(MID(Metadata!E908,9,2))&gt;=1,FALSE),IFERROR(INT(MID(Metadata!E908,9,2))&lt;=31,FALSE)), OR(MID(Metadata!E908,11,1)="", AND(AND(MID(Metadata!E908,11,1)=" ",IFERROR(INT(MID(Metadata!E908,12,1))&gt;=0,FALSE),IFERROR(INT(MID(Metadata!E908,12,1))&lt;=2,FALSE),NOT(MID(Metadata!E908,13,1)=""),IFERROR(INT(MID(Metadata!E908,12,2))&gt;=0,FALSE),IFERROR(INT(MID(Metadata!E908,12,2))&lt;=23,FALSE)), OR(MID(Metadata!E908,14,1)="", AND(AND(MID(Metadata!E908,14,1)=":",IFERROR(INT(MID(Metadata!E908,15,1))&gt;=0,FALSE),IFERROR(INT(MID(Metadata!E908,15,1))&lt;=5,FALSE),NOT(MID(Metadata!E908,16,1)=""),IFERROR(INT(MID(Metadata!E908,15,2))&gt;=0,FALSE),IFERROR(INT(MID(Metadata!E908,15,2))&lt;=59,FALSE)), OR(MID(Metadata!E908,17,1)="", AND(AND(MID(Metadata!E908,17,1)=":",IFERROR(INT(MID(Metadata!E908,18,1))&gt;=0,FALSE),IFERROR(INT(MID(Metadata!E908,18,1))&lt;=5,FALSE),NOT(MID(Metadata!E908,19,1)=""),IFERROR(INT(MID(Metadata!E908,18,2))&gt;=0,FALSE),IFERROR(INT(MID(Metadata!E908,18,2))&lt;=59,FALSE)), LEN(Metadata!E908)&lt;=19)))))))))))))</f>
        <v>0</v>
      </c>
      <c r="AS908" t="b">
        <f>IF(Metadata!F908="",FALSE,TRUE)</f>
        <v>0</v>
      </c>
      <c r="AT908" t="b">
        <f>OR(AND(IF(Metadata!G908="",FALSE,TRUE),OR(EXACT(Metadata!G908,"not collected"),EXACT(Metadata!G908,"not provided"))),AND(IF(Metadata!G908="",FALSE,TRUE),OR(EXACT(Metadata!G908,"TRUE"),EXACT(Metadata!G908,"FALSE"))))</f>
        <v>0</v>
      </c>
      <c r="AU908" t="b">
        <f>OR(AND(IF(Metadata!H908="",FALSE,TRUE),OR(EXACT(Metadata!H908,"not collected"),EXACT(Metadata!H908,"not provided"),EXACT(Metadata!H908,"restricted access"))),AND(IF(Metadata!H908="",FALSE,ISNUMBER(VALUE(Metadata!H908))),Metadata!H908&gt;=-413))</f>
        <v>0</v>
      </c>
      <c r="AV908" t="b">
        <f>AND(IF(Metadata!I908="",FALSE,TRUE),EXACT(Metadata!I908,"meters"))</f>
        <v>0</v>
      </c>
      <c r="AW908" t="b">
        <f>AND(IF(Metadata!J908="",FALSE,TRUE),EXACT(Metadata!J908,"free-living"))</f>
        <v>0</v>
      </c>
      <c r="AX908" t="b">
        <f>AND(IF(Metadata!K908="",FALSE,TRUE),OR(EXACT(Metadata!K908,"saline"),EXACT(Metadata!K908,"non-saline")))</f>
        <v>0</v>
      </c>
      <c r="AY908" t="b">
        <f>AND(IF(Metadata!L908="",FALSE,TRUE),OR(EXACT(Metadata!L908,"sub-surface (non-saline)"),EXACT(Metadata!L908,"surface (non-saline)"),EXACT(Metadata!L908,"water (non-saline)"),EXACT(Metadata!L908,"soil (non-saline)"),EXACT(Metadata!L908,"aerosol (non-saline)"),EXACT(Metadata!L908,"sediment (non-saline)"),EXACT(Metadata!L908,"surface (saline)"),EXACT(Metadata!L908,"water (saline)"),EXACT(Metadata!L908,"hypersaline (saline)"),EXACT(Metadata!L908,"aerosol (saline)"),EXACT(Metadata!L908,"sediment (saline)")))</f>
        <v>0</v>
      </c>
      <c r="AZ908" t="b">
        <f>IF(Metadata!M908="",FALSE,TRUE)</f>
        <v>0</v>
      </c>
      <c r="BA908" t="b">
        <f>IF(Metadata!N908="",FALSE,TRUE)</f>
        <v>0</v>
      </c>
      <c r="BB908" t="b">
        <f>IF(Metadata!O908="",FALSE,TRUE)</f>
        <v>0</v>
      </c>
      <c r="BC908" t="b">
        <f>AND(IF(Metadata!P908="",FALSE,TRUE),OR(EXACT(Metadata!P908,"air"),EXACT(Metadata!P908,"microbial mat/biofilm"),EXACT(Metadata!P908,"misc environment"),EXACT(Metadata!P908,"sediment"),EXACT(Metadata!P908,"soil"),EXACT(Metadata!P908,"wastewater/sludge"),EXACT(Metadata!P908,"water")))</f>
        <v>0</v>
      </c>
      <c r="BD908" t="b">
        <f>IF(Metadata!Q908="",FALSE,TRUE)</f>
        <v>0</v>
      </c>
      <c r="BE908" t="b">
        <f>IF(Metadata!R908="",FALSE,TRUE)</f>
        <v>0</v>
      </c>
      <c r="BF908" t="b">
        <f>OR(AND(IF(Metadata!S908="",FALSE,TRUE),OR(EXACT(Metadata!S908,"not collected"),EXACT(Metadata!S908,"not provided"),EXACT(Metadata!S908,"restricted access"))),AND(IF(Metadata!S908="",FALSE,ISNUMBER(VALUE(Metadata!S908))),Metadata!S908&gt;=-90,Metadata!S908&lt;=90))</f>
        <v>0</v>
      </c>
      <c r="BG908" t="b">
        <f>AND(IF(Metadata!T908="",FALSE,TRUE),EXACT(Metadata!T908,"Decimal degrees"))</f>
        <v>0</v>
      </c>
      <c r="BH908" t="b">
        <f>OR(AND(IF(Metadata!U908="",FALSE,TRUE),OR(EXACT(Metadata!U908,"not applicable"),EXACT(Metadata!U908,"not collected"))),IF(Metadata!U908="",FALSE,TRUE))</f>
        <v>0</v>
      </c>
      <c r="BI908" t="b">
        <f>OR(AND(IF(Metadata!V908="",FALSE,TRUE),OR(EXACT(Metadata!V908,"not collected"),EXACT(Metadata!V908,"not provided"),EXACT(Metadata!V908,"restricted access"))),AND(IF(Metadata!V908="",FALSE,ISNUMBER(VALUE(Metadata!V908))),Metadata!V908&gt;=-180,Metadata!V908&lt;=180))</f>
        <v>0</v>
      </c>
      <c r="BJ908" t="b">
        <f>AND(IF(Metadata!W908="",FALSE,TRUE),EXACT(Metadata!W908,"Decimal degrees"))</f>
        <v>0</v>
      </c>
      <c r="BK908" t="b">
        <f>IF(Metadata!X908="",FALSE,TRUE)</f>
        <v>0</v>
      </c>
      <c r="BL908" t="b">
        <f>OR(AND(IF(Metadata!Y908="",FALSE,TRUE),OR(EXACT(Metadata!Y908,"not collected"),EXACT(Metadata!Y908,"not provided"),EXACT(Metadata!Y908,"restricted access"))),AND(IF(Metadata!Y908="",FALSE,TRUE),OR(EXACT(Metadata!Y908,"TRUE"),EXACT(Metadata!Y908,"FALSE"))))</f>
        <v>0</v>
      </c>
      <c r="BM908" t="b">
        <f>OR(AND(IF(Metadata!Z908="",FALSE,TRUE),EXACT(Metadata!Z908,"not applicable")),AND(IF(Metadata!Z908="",FALSE,TRUE),OR(EXACT(Metadata!Z908,"beer"),EXACT(Metadata!Z908,"cheese"),EXACT(Metadata!Z908,"fresh water"),EXACT(Metadata!Z908,"marine sediment"),EXACT(Metadata!Z908,"sea water"),EXACT(Metadata!Z908,"sediment"),EXACT(Metadata!Z908,"soil"),EXACT(Metadata!Z908,"waste water"))))</f>
        <v>0</v>
      </c>
      <c r="BN908" t="b">
        <f>AND(IF(Metadata!AA908="",FALSE,TRUE),EXACT(Metadata!AA908,"metagenome"))</f>
        <v>0</v>
      </c>
      <c r="BO908" t="b">
        <f>AND(IF(Metadata!AB908="",FALSE,TRUE),EXACT(Metadata!AB908,"256318"))</f>
        <v>0</v>
      </c>
      <c r="BP908" t="b">
        <f>IF(Metadata!AC908="",FALSE,TRUE)</f>
        <v>0</v>
      </c>
      <c r="BQ908" t="b">
        <f>IF(Metadata!AD908="",FALSE,TRUE)</f>
        <v>0</v>
      </c>
    </row>
    <row r="909" spans="1:69" x14ac:dyDescent="0.2">
      <c r="A909" s="4" t="e">
        <f ca="1">IF(B909=" "," ",HYPERLINK(CONCATENATE("#metadata!",ADDRESS(INDEX($AJ$2:$AJ$1001,MATCH(ROWS($AH$2:AH909),$AH$2:$AH$1001,0),0),2)),INDEX($AM$2:$AM$1001,MATCH(ROWS($AH$2:AH909),$AH$2:$AH$1001,0),0)))</f>
        <v>#N/A</v>
      </c>
      <c r="B909" s="5" t="e">
        <f ca="1">IF(OR(INDEX($AI$2:$AI$1001,MATCH(ROWS($AH$2:AH909),$AH$2:$AH$1001,0),1)&gt;=100000,INDEX($AO$1005:$BQ$1005,1,MATCH(COLUMNS($AO$1006:AO1006),$AO$1006:$BQ$1006,0))&gt;=100000), " ",IF(INDEX($AO$2:$BQ$1001,MATCH(ROWS($AH$2:AH909),$AH$2:$AH$1001,0),MATCH(COLUMNS($AO$1006:AO1006),$AO$1006:$BQ$1006,0)), HYPERLINK("#",""), HYPERLINK(CONCATENATE("#Metadata!", ADDRESS(INDEX($AJ$2:$AJ$1001,MATCH(ROWS($AH$2:AH909),$AH$2:$AH$1001,0),0), INDEX($AO$1004:$BQ$1004,1,MATCH(COLUMNS($AO$1006:AO1006),$AO$1006:$BQ$1006,0)))),"Fix")))</f>
        <v>#N/A</v>
      </c>
      <c r="C909" s="5" t="e">
        <f ca="1">IF(OR(INDEX($AI$2:$AI$1001,MATCH(ROWS($AH$2:AH909),$AH$2:$AH$1001,0),1)&gt;=100000,INDEX($AO$1005:$BQ$1005,1,MATCH(COLUMNS($AO$1006:AP1006),$AO$1006:$BQ$1006,0))&gt;=100000), " ",IF(INDEX($AO$2:$BQ$1001,MATCH(ROWS($AH$2:AH909),$AH$2:$AH$1001,0),MATCH(COLUMNS($AO$1006:AP1006),$AO$1006:$BQ$1006,0)), HYPERLINK("#",""), HYPERLINK(CONCATENATE("#Metadata!", ADDRESS(INDEX($AJ$2:$AJ$1001,MATCH(ROWS($AH$2:AH909),$AH$2:$AH$1001,0),0), INDEX($AO$1004:$BQ$1004,1,MATCH(COLUMNS($AO$1006:AP1006),$AO$1006:$BQ$1006,0)))),"Fix")))</f>
        <v>#N/A</v>
      </c>
      <c r="D909" s="5" t="e">
        <f ca="1">IF(OR(INDEX($AI$2:$AI$1001,MATCH(ROWS($AH$2:AH909),$AH$2:$AH$1001,0),1)&gt;=100000,INDEX($AO$1005:$BQ$1005,1,MATCH(COLUMNS($AO$1006:AQ1006),$AO$1006:$BQ$1006,0))&gt;=100000), " ",IF(INDEX($AO$2:$BQ$1001,MATCH(ROWS($AH$2:AH909),$AH$2:$AH$1001,0),MATCH(COLUMNS($AO$1006:AQ1006),$AO$1006:$BQ$1006,0)), HYPERLINK("#",""), HYPERLINK(CONCATENATE("#Metadata!", ADDRESS(INDEX($AJ$2:$AJ$1001,MATCH(ROWS($AH$2:AH909),$AH$2:$AH$1001,0),0), INDEX($AO$1004:$BQ$1004,1,MATCH(COLUMNS($AO$1006:AQ1006),$AO$1006:$BQ$1006,0)))),"Fix")))</f>
        <v>#N/A</v>
      </c>
      <c r="E909" s="5" t="e">
        <f ca="1">IF(OR(INDEX($AI$2:$AI$1001,MATCH(ROWS($AH$2:AH909),$AH$2:$AH$1001,0),1)&gt;=100000,INDEX($AO$1005:$BQ$1005,1,MATCH(COLUMNS($AO$1006:AR1006),$AO$1006:$BQ$1006,0))&gt;=100000), " ",IF(INDEX($AO$2:$BQ$1001,MATCH(ROWS($AH$2:AH909),$AH$2:$AH$1001,0),MATCH(COLUMNS($AO$1006:AR1006),$AO$1006:$BQ$1006,0)), HYPERLINK("#",""), HYPERLINK(CONCATENATE("#Metadata!", ADDRESS(INDEX($AJ$2:$AJ$1001,MATCH(ROWS($AH$2:AH909),$AH$2:$AH$1001,0),0), INDEX($AO$1004:$BQ$1004,1,MATCH(COLUMNS($AO$1006:AR1006),$AO$1006:$BQ$1006,0)))),"Fix")))</f>
        <v>#N/A</v>
      </c>
      <c r="F909" s="5" t="e">
        <f ca="1">IF(OR(INDEX($AI$2:$AI$1001,MATCH(ROWS($AH$2:AH909),$AH$2:$AH$1001,0),1)&gt;=100000,INDEX($AO$1005:$BQ$1005,1,MATCH(COLUMNS($AO$1006:AS1006),$AO$1006:$BQ$1006,0))&gt;=100000), " ",IF(INDEX($AO$2:$BQ$1001,MATCH(ROWS($AH$2:AH909),$AH$2:$AH$1001,0),MATCH(COLUMNS($AO$1006:AS1006),$AO$1006:$BQ$1006,0)), HYPERLINK("#",""), HYPERLINK(CONCATENATE("#Metadata!", ADDRESS(INDEX($AJ$2:$AJ$1001,MATCH(ROWS($AH$2:AH909),$AH$2:$AH$1001,0),0), INDEX($AO$1004:$BQ$1004,1,MATCH(COLUMNS($AO$1006:AS1006),$AO$1006:$BQ$1006,0)))),"Fix")))</f>
        <v>#N/A</v>
      </c>
      <c r="G909" s="5" t="e">
        <f ca="1">IF(OR(INDEX($AI$2:$AI$1001,MATCH(ROWS($AH$2:AH909),$AH$2:$AH$1001,0),1)&gt;=100000,INDEX($AO$1005:$BQ$1005,1,MATCH(COLUMNS($AO$1006:AT1006),$AO$1006:$BQ$1006,0))&gt;=100000), " ",IF(INDEX($AO$2:$BQ$1001,MATCH(ROWS($AH$2:AH909),$AH$2:$AH$1001,0),MATCH(COLUMNS($AO$1006:AT1006),$AO$1006:$BQ$1006,0)), HYPERLINK("#",""), HYPERLINK(CONCATENATE("#Metadata!", ADDRESS(INDEX($AJ$2:$AJ$1001,MATCH(ROWS($AH$2:AH909),$AH$2:$AH$1001,0),0), INDEX($AO$1004:$BQ$1004,1,MATCH(COLUMNS($AO$1006:AT1006),$AO$1006:$BQ$1006,0)))),"Fix")))</f>
        <v>#N/A</v>
      </c>
      <c r="H909" s="5" t="e">
        <f ca="1">IF(OR(INDEX($AI$2:$AI$1001,MATCH(ROWS($AH$2:AH909),$AH$2:$AH$1001,0),1)&gt;=100000,INDEX($AO$1005:$BQ$1005,1,MATCH(COLUMNS($AO$1006:AU1006),$AO$1006:$BQ$1006,0))&gt;=100000), " ",IF(INDEX($AO$2:$BQ$1001,MATCH(ROWS($AH$2:AH909),$AH$2:$AH$1001,0),MATCH(COLUMNS($AO$1006:AU1006),$AO$1006:$BQ$1006,0)), HYPERLINK("#",""), HYPERLINK(CONCATENATE("#Metadata!", ADDRESS(INDEX($AJ$2:$AJ$1001,MATCH(ROWS($AH$2:AH909),$AH$2:$AH$1001,0),0), INDEX($AO$1004:$BQ$1004,1,MATCH(COLUMNS($AO$1006:AU1006),$AO$1006:$BQ$1006,0)))),"Fix")))</f>
        <v>#N/A</v>
      </c>
      <c r="I909" s="5" t="e">
        <f ca="1">IF(OR(INDEX($AI$2:$AI$1001,MATCH(ROWS($AH$2:AH909),$AH$2:$AH$1001,0),1)&gt;=100000,INDEX($AO$1005:$BQ$1005,1,MATCH(COLUMNS($AO$1006:AV1006),$AO$1006:$BQ$1006,0))&gt;=100000), " ",IF(INDEX($AO$2:$BQ$1001,MATCH(ROWS($AH$2:AH909),$AH$2:$AH$1001,0),MATCH(COLUMNS($AO$1006:AV1006),$AO$1006:$BQ$1006,0)), HYPERLINK("#",""), HYPERLINK(CONCATENATE("#Metadata!", ADDRESS(INDEX($AJ$2:$AJ$1001,MATCH(ROWS($AH$2:AH909),$AH$2:$AH$1001,0),0), INDEX($AO$1004:$BQ$1004,1,MATCH(COLUMNS($AO$1006:AV1006),$AO$1006:$BQ$1006,0)))),"Fix")))</f>
        <v>#N/A</v>
      </c>
      <c r="J909" s="5" t="e">
        <f ca="1">IF(OR(INDEX($AI$2:$AI$1001,MATCH(ROWS($AH$2:AH909),$AH$2:$AH$1001,0),1)&gt;=100000,INDEX($AO$1005:$BQ$1005,1,MATCH(COLUMNS($AO$1006:AW1006),$AO$1006:$BQ$1006,0))&gt;=100000), " ",IF(INDEX($AO$2:$BQ$1001,MATCH(ROWS($AH$2:AH909),$AH$2:$AH$1001,0),MATCH(COLUMNS($AO$1006:AW1006),$AO$1006:$BQ$1006,0)), HYPERLINK("#",""), HYPERLINK(CONCATENATE("#Metadata!", ADDRESS(INDEX($AJ$2:$AJ$1001,MATCH(ROWS($AH$2:AH909),$AH$2:$AH$1001,0),0), INDEX($AO$1004:$BQ$1004,1,MATCH(COLUMNS($AO$1006:AW1006),$AO$1006:$BQ$1006,0)))),"Fix")))</f>
        <v>#N/A</v>
      </c>
      <c r="K909" s="5" t="e">
        <f ca="1">IF(OR(INDEX($AI$2:$AI$1001,MATCH(ROWS($AH$2:AH909),$AH$2:$AH$1001,0),1)&gt;=100000,INDEX($AO$1005:$BQ$1005,1,MATCH(COLUMNS($AO$1006:AX1006),$AO$1006:$BQ$1006,0))&gt;=100000), " ",IF(INDEX($AO$2:$BQ$1001,MATCH(ROWS($AH$2:AH909),$AH$2:$AH$1001,0),MATCH(COLUMNS($AO$1006:AX1006),$AO$1006:$BQ$1006,0)), HYPERLINK("#",""), HYPERLINK(CONCATENATE("#Metadata!", ADDRESS(INDEX($AJ$2:$AJ$1001,MATCH(ROWS($AH$2:AH909),$AH$2:$AH$1001,0),0), INDEX($AO$1004:$BQ$1004,1,MATCH(COLUMNS($AO$1006:AX1006),$AO$1006:$BQ$1006,0)))),"Fix")))</f>
        <v>#N/A</v>
      </c>
      <c r="L909" s="5" t="e">
        <f ca="1">IF(OR(INDEX($AI$2:$AI$1001,MATCH(ROWS($AH$2:AH909),$AH$2:$AH$1001,0),1)&gt;=100000,INDEX($AO$1005:$BQ$1005,1,MATCH(COLUMNS($AO$1006:AY1006),$AO$1006:$BQ$1006,0))&gt;=100000), " ",IF(INDEX($AO$2:$BQ$1001,MATCH(ROWS($AH$2:AH909),$AH$2:$AH$1001,0),MATCH(COLUMNS($AO$1006:AY1006),$AO$1006:$BQ$1006,0)), HYPERLINK("#",""), HYPERLINK(CONCATENATE("#Metadata!", ADDRESS(INDEX($AJ$2:$AJ$1001,MATCH(ROWS($AH$2:AH909),$AH$2:$AH$1001,0),0), INDEX($AO$1004:$BQ$1004,1,MATCH(COLUMNS($AO$1006:AY1006),$AO$1006:$BQ$1006,0)))),"Fix")))</f>
        <v>#N/A</v>
      </c>
      <c r="M909" s="5" t="e">
        <f ca="1">IF(OR(INDEX($AI$2:$AI$1001,MATCH(ROWS($AH$2:AH909),$AH$2:$AH$1001,0),1)&gt;=100000,INDEX($AO$1005:$BQ$1005,1,MATCH(COLUMNS($AO$1006:AZ1006),$AO$1006:$BQ$1006,0))&gt;=100000), " ",IF(INDEX($AO$2:$BQ$1001,MATCH(ROWS($AH$2:AH909),$AH$2:$AH$1001,0),MATCH(COLUMNS($AO$1006:AZ1006),$AO$1006:$BQ$1006,0)), HYPERLINK("#",""), HYPERLINK(CONCATENATE("#Metadata!", ADDRESS(INDEX($AJ$2:$AJ$1001,MATCH(ROWS($AH$2:AH909),$AH$2:$AH$1001,0),0), INDEX($AO$1004:$BQ$1004,1,MATCH(COLUMNS($AO$1006:AZ1006),$AO$1006:$BQ$1006,0)))),"Fix")))</f>
        <v>#N/A</v>
      </c>
      <c r="N909" s="5" t="e">
        <f ca="1">IF(OR(INDEX($AI$2:$AI$1001,MATCH(ROWS($AH$2:AH909),$AH$2:$AH$1001,0),1)&gt;=100000,INDEX($AO$1005:$BQ$1005,1,MATCH(COLUMNS($AO$1006:BA1006),$AO$1006:$BQ$1006,0))&gt;=100000), " ",IF(INDEX($AO$2:$BQ$1001,MATCH(ROWS($AH$2:AH909),$AH$2:$AH$1001,0),MATCH(COLUMNS($AO$1006:BA1006),$AO$1006:$BQ$1006,0)), HYPERLINK("#",""), HYPERLINK(CONCATENATE("#Metadata!", ADDRESS(INDEX($AJ$2:$AJ$1001,MATCH(ROWS($AH$2:AH909),$AH$2:$AH$1001,0),0), INDEX($AO$1004:$BQ$1004,1,MATCH(COLUMNS($AO$1006:BA1006),$AO$1006:$BQ$1006,0)))),"Fix")))</f>
        <v>#N/A</v>
      </c>
      <c r="O909" s="5" t="e">
        <f ca="1">IF(OR(INDEX($AI$2:$AI$1001,MATCH(ROWS($AH$2:AH909),$AH$2:$AH$1001,0),1)&gt;=100000,INDEX($AO$1005:$BQ$1005,1,MATCH(COLUMNS($AO$1006:BB1006),$AO$1006:$BQ$1006,0))&gt;=100000), " ",IF(INDEX($AO$2:$BQ$1001,MATCH(ROWS($AH$2:AH909),$AH$2:$AH$1001,0),MATCH(COLUMNS($AO$1006:BB1006),$AO$1006:$BQ$1006,0)), HYPERLINK("#",""), HYPERLINK(CONCATENATE("#Metadata!", ADDRESS(INDEX($AJ$2:$AJ$1001,MATCH(ROWS($AH$2:AH909),$AH$2:$AH$1001,0),0), INDEX($AO$1004:$BQ$1004,1,MATCH(COLUMNS($AO$1006:BB1006),$AO$1006:$BQ$1006,0)))),"Fix")))</f>
        <v>#N/A</v>
      </c>
      <c r="P909" s="5" t="e">
        <f ca="1">IF(OR(INDEX($AI$2:$AI$1001,MATCH(ROWS($AH$2:AH909),$AH$2:$AH$1001,0),1)&gt;=100000,INDEX($AO$1005:$BQ$1005,1,MATCH(COLUMNS($AO$1006:BC1006),$AO$1006:$BQ$1006,0))&gt;=100000), " ",IF(INDEX($AO$2:$BQ$1001,MATCH(ROWS($AH$2:AH909),$AH$2:$AH$1001,0),MATCH(COLUMNS($AO$1006:BC1006),$AO$1006:$BQ$1006,0)), HYPERLINK("#",""), HYPERLINK(CONCATENATE("#Metadata!", ADDRESS(INDEX($AJ$2:$AJ$1001,MATCH(ROWS($AH$2:AH909),$AH$2:$AH$1001,0),0), INDEX($AO$1004:$BQ$1004,1,MATCH(COLUMNS($AO$1006:BC1006),$AO$1006:$BQ$1006,0)))),"Fix")))</f>
        <v>#N/A</v>
      </c>
      <c r="Q909" s="5" t="e">
        <f ca="1">IF(OR(INDEX($AI$2:$AI$1001,MATCH(ROWS($AH$2:AH909),$AH$2:$AH$1001,0),1)&gt;=100000,INDEX($AO$1005:$BQ$1005,1,MATCH(COLUMNS($AO$1006:BD1006),$AO$1006:$BQ$1006,0))&gt;=100000), " ",IF(INDEX($AO$2:$BQ$1001,MATCH(ROWS($AH$2:AH909),$AH$2:$AH$1001,0),MATCH(COLUMNS($AO$1006:BD1006),$AO$1006:$BQ$1006,0)), HYPERLINK("#",""), HYPERLINK(CONCATENATE("#Metadata!", ADDRESS(INDEX($AJ$2:$AJ$1001,MATCH(ROWS($AH$2:AH909),$AH$2:$AH$1001,0),0), INDEX($AO$1004:$BQ$1004,1,MATCH(COLUMNS($AO$1006:BD1006),$AO$1006:$BQ$1006,0)))),"Fix")))</f>
        <v>#N/A</v>
      </c>
      <c r="R909" s="5" t="e">
        <f ca="1">IF(OR(INDEX($AI$2:$AI$1001,MATCH(ROWS($AH$2:AH909),$AH$2:$AH$1001,0),1)&gt;=100000,INDEX($AO$1005:$BQ$1005,1,MATCH(COLUMNS($AO$1006:BE1006),$AO$1006:$BQ$1006,0))&gt;=100000), " ",IF(INDEX($AO$2:$BQ$1001,MATCH(ROWS($AH$2:AH909),$AH$2:$AH$1001,0),MATCH(COLUMNS($AO$1006:BE1006),$AO$1006:$BQ$1006,0)), HYPERLINK("#",""), HYPERLINK(CONCATENATE("#Metadata!", ADDRESS(INDEX($AJ$2:$AJ$1001,MATCH(ROWS($AH$2:AH909),$AH$2:$AH$1001,0),0), INDEX($AO$1004:$BQ$1004,1,MATCH(COLUMNS($AO$1006:BE1006),$AO$1006:$BQ$1006,0)))),"Fix")))</f>
        <v>#N/A</v>
      </c>
      <c r="S909" s="5" t="e">
        <f ca="1">IF(OR(INDEX($AI$2:$AI$1001,MATCH(ROWS($AH$2:AH909),$AH$2:$AH$1001,0),1)&gt;=100000,INDEX($AO$1005:$BQ$1005,1,MATCH(COLUMNS($AO$1006:BF1006),$AO$1006:$BQ$1006,0))&gt;=100000), " ",IF(INDEX($AO$2:$BQ$1001,MATCH(ROWS($AH$2:AH909),$AH$2:$AH$1001,0),MATCH(COLUMNS($AO$1006:BF1006),$AO$1006:$BQ$1006,0)), HYPERLINK("#",""), HYPERLINK(CONCATENATE("#Metadata!", ADDRESS(INDEX($AJ$2:$AJ$1001,MATCH(ROWS($AH$2:AH909),$AH$2:$AH$1001,0),0), INDEX($AO$1004:$BQ$1004,1,MATCH(COLUMNS($AO$1006:BF1006),$AO$1006:$BQ$1006,0)))),"Fix")))</f>
        <v>#N/A</v>
      </c>
      <c r="T909" s="5" t="e">
        <f ca="1">IF(OR(INDEX($AI$2:$AI$1001,MATCH(ROWS($AH$2:AH909),$AH$2:$AH$1001,0),1)&gt;=100000,INDEX($AO$1005:$BQ$1005,1,MATCH(COLUMNS($AO$1006:BG1006),$AO$1006:$BQ$1006,0))&gt;=100000), " ",IF(INDEX($AO$2:$BQ$1001,MATCH(ROWS($AH$2:AH909),$AH$2:$AH$1001,0),MATCH(COLUMNS($AO$1006:BG1006),$AO$1006:$BQ$1006,0)), HYPERLINK("#",""), HYPERLINK(CONCATENATE("#Metadata!", ADDRESS(INDEX($AJ$2:$AJ$1001,MATCH(ROWS($AH$2:AH909),$AH$2:$AH$1001,0),0), INDEX($AO$1004:$BQ$1004,1,MATCH(COLUMNS($AO$1006:BG1006),$AO$1006:$BQ$1006,0)))),"Fix")))</f>
        <v>#N/A</v>
      </c>
      <c r="U909" s="5" t="e">
        <f ca="1">IF(OR(INDEX($AI$2:$AI$1001,MATCH(ROWS($AH$2:AH909),$AH$2:$AH$1001,0),1)&gt;=100000,INDEX($AO$1005:$BQ$1005,1,MATCH(COLUMNS($AO$1006:BH1006),$AO$1006:$BQ$1006,0))&gt;=100000), " ",IF(INDEX($AO$2:$BQ$1001,MATCH(ROWS($AH$2:AH909),$AH$2:$AH$1001,0),MATCH(COLUMNS($AO$1006:BH1006),$AO$1006:$BQ$1006,0)), HYPERLINK("#",""), HYPERLINK(CONCATENATE("#Metadata!", ADDRESS(INDEX($AJ$2:$AJ$1001,MATCH(ROWS($AH$2:AH909),$AH$2:$AH$1001,0),0), INDEX($AO$1004:$BQ$1004,1,MATCH(COLUMNS($AO$1006:BH1006),$AO$1006:$BQ$1006,0)))),"Fix")))</f>
        <v>#N/A</v>
      </c>
      <c r="V909" s="5" t="e">
        <f ca="1">IF(OR(INDEX($AI$2:$AI$1001,MATCH(ROWS($AH$2:AH909),$AH$2:$AH$1001,0),1)&gt;=100000,INDEX($AO$1005:$BQ$1005,1,MATCH(COLUMNS($AO$1006:BI1006),$AO$1006:$BQ$1006,0))&gt;=100000), " ",IF(INDEX($AO$2:$BQ$1001,MATCH(ROWS($AH$2:AH909),$AH$2:$AH$1001,0),MATCH(COLUMNS($AO$1006:BI1006),$AO$1006:$BQ$1006,0)), HYPERLINK("#",""), HYPERLINK(CONCATENATE("#Metadata!", ADDRESS(INDEX($AJ$2:$AJ$1001,MATCH(ROWS($AH$2:AH909),$AH$2:$AH$1001,0),0), INDEX($AO$1004:$BQ$1004,1,MATCH(COLUMNS($AO$1006:BI1006),$AO$1006:$BQ$1006,0)))),"Fix")))</f>
        <v>#N/A</v>
      </c>
      <c r="W909" s="5" t="e">
        <f ca="1">IF(OR(INDEX($AI$2:$AI$1001,MATCH(ROWS($AH$2:AH909),$AH$2:$AH$1001,0),1)&gt;=100000,INDEX($AO$1005:$BQ$1005,1,MATCH(COLUMNS($AO$1006:BJ1006),$AO$1006:$BQ$1006,0))&gt;=100000), " ",IF(INDEX($AO$2:$BQ$1001,MATCH(ROWS($AH$2:AH909),$AH$2:$AH$1001,0),MATCH(COLUMNS($AO$1006:BJ1006),$AO$1006:$BQ$1006,0)), HYPERLINK("#",""), HYPERLINK(CONCATENATE("#Metadata!", ADDRESS(INDEX($AJ$2:$AJ$1001,MATCH(ROWS($AH$2:AH909),$AH$2:$AH$1001,0),0), INDEX($AO$1004:$BQ$1004,1,MATCH(COLUMNS($AO$1006:BJ1006),$AO$1006:$BQ$1006,0)))),"Fix")))</f>
        <v>#N/A</v>
      </c>
      <c r="X909" s="5" t="e">
        <f ca="1">IF(OR(INDEX($AI$2:$AI$1001,MATCH(ROWS($AH$2:AH909),$AH$2:$AH$1001,0),1)&gt;=100000,INDEX($AO$1005:$BQ$1005,1,MATCH(COLUMNS($AO$1006:BK1006),$AO$1006:$BQ$1006,0))&gt;=100000), " ",IF(INDEX($AO$2:$BQ$1001,MATCH(ROWS($AH$2:AH909),$AH$2:$AH$1001,0),MATCH(COLUMNS($AO$1006:BK1006),$AO$1006:$BQ$1006,0)), HYPERLINK("#",""), HYPERLINK(CONCATENATE("#Metadata!", ADDRESS(INDEX($AJ$2:$AJ$1001,MATCH(ROWS($AH$2:AH909),$AH$2:$AH$1001,0),0), INDEX($AO$1004:$BQ$1004,1,MATCH(COLUMNS($AO$1006:BK1006),$AO$1006:$BQ$1006,0)))),"Fix")))</f>
        <v>#N/A</v>
      </c>
      <c r="Y909" s="5" t="e">
        <f ca="1">IF(OR(INDEX($AI$2:$AI$1001,MATCH(ROWS($AH$2:AH909),$AH$2:$AH$1001,0),1)&gt;=100000,INDEX($AO$1005:$BQ$1005,1,MATCH(COLUMNS($AO$1006:BL1006),$AO$1006:$BQ$1006,0))&gt;=100000), " ",IF(INDEX($AO$2:$BQ$1001,MATCH(ROWS($AH$2:AH909),$AH$2:$AH$1001,0),MATCH(COLUMNS($AO$1006:BL1006),$AO$1006:$BQ$1006,0)), HYPERLINK("#",""), HYPERLINK(CONCATENATE("#Metadata!", ADDRESS(INDEX($AJ$2:$AJ$1001,MATCH(ROWS($AH$2:AH909),$AH$2:$AH$1001,0),0), INDEX($AO$1004:$BQ$1004,1,MATCH(COLUMNS($AO$1006:BL1006),$AO$1006:$BQ$1006,0)))),"Fix")))</f>
        <v>#N/A</v>
      </c>
      <c r="Z909" s="5" t="e">
        <f ca="1">IF(OR(INDEX($AI$2:$AI$1001,MATCH(ROWS($AH$2:AH909),$AH$2:$AH$1001,0),1)&gt;=100000,INDEX($AO$1005:$BQ$1005,1,MATCH(COLUMNS($AO$1006:BM1006),$AO$1006:$BQ$1006,0))&gt;=100000), " ",IF(INDEX($AO$2:$BQ$1001,MATCH(ROWS($AH$2:AH909),$AH$2:$AH$1001,0),MATCH(COLUMNS($AO$1006:BM1006),$AO$1006:$BQ$1006,0)), HYPERLINK("#",""), HYPERLINK(CONCATENATE("#Metadata!", ADDRESS(INDEX($AJ$2:$AJ$1001,MATCH(ROWS($AH$2:AH909),$AH$2:$AH$1001,0),0), INDEX($AO$1004:$BQ$1004,1,MATCH(COLUMNS($AO$1006:BM1006),$AO$1006:$BQ$1006,0)))),"Fix")))</f>
        <v>#N/A</v>
      </c>
      <c r="AA909" s="5" t="e">
        <f ca="1">IF(OR(INDEX($AI$2:$AI$1001,MATCH(ROWS($AH$2:AH909),$AH$2:$AH$1001,0),1)&gt;=100000,INDEX($AO$1005:$BQ$1005,1,MATCH(COLUMNS($AO$1006:BN1006),$AO$1006:$BQ$1006,0))&gt;=100000), " ",IF(INDEX($AO$2:$BQ$1001,MATCH(ROWS($AH$2:AH909),$AH$2:$AH$1001,0),MATCH(COLUMNS($AO$1006:BN1006),$AO$1006:$BQ$1006,0)), HYPERLINK("#",""), HYPERLINK(CONCATENATE("#Metadata!", ADDRESS(INDEX($AJ$2:$AJ$1001,MATCH(ROWS($AH$2:AH909),$AH$2:$AH$1001,0),0), INDEX($AO$1004:$BQ$1004,1,MATCH(COLUMNS($AO$1006:BN1006),$AO$1006:$BQ$1006,0)))),"Fix")))</f>
        <v>#N/A</v>
      </c>
      <c r="AB909" s="5" t="e">
        <f ca="1">IF(OR(INDEX($AI$2:$AI$1001,MATCH(ROWS($AH$2:AH909),$AH$2:$AH$1001,0),1)&gt;=100000,INDEX($AO$1005:$BQ$1005,1,MATCH(COLUMNS($AO$1006:BO1006),$AO$1006:$BQ$1006,0))&gt;=100000), " ",IF(INDEX($AO$2:$BQ$1001,MATCH(ROWS($AH$2:AH909),$AH$2:$AH$1001,0),MATCH(COLUMNS($AO$1006:BO1006),$AO$1006:$BQ$1006,0)), HYPERLINK("#",""), HYPERLINK(CONCATENATE("#Metadata!", ADDRESS(INDEX($AJ$2:$AJ$1001,MATCH(ROWS($AH$2:AH909),$AH$2:$AH$1001,0),0), INDEX($AO$1004:$BQ$1004,1,MATCH(COLUMNS($AO$1006:BO1006),$AO$1006:$BQ$1006,0)))),"Fix")))</f>
        <v>#N/A</v>
      </c>
      <c r="AC909" s="5" t="e">
        <f ca="1">IF(OR(INDEX($AI$2:$AI$1001,MATCH(ROWS($AH$2:AH909),$AH$2:$AH$1001,0),1)&gt;=100000,INDEX($AO$1005:$BQ$1005,1,MATCH(COLUMNS($AO$1006:BP1006),$AO$1006:$BQ$1006,0))&gt;=100000), " ",IF(INDEX($AO$2:$BQ$1001,MATCH(ROWS($AH$2:AH909),$AH$2:$AH$1001,0),MATCH(COLUMNS($AO$1006:BP1006),$AO$1006:$BQ$1006,0)), HYPERLINK("#",""), HYPERLINK(CONCATENATE("#Metadata!", ADDRESS(INDEX($AJ$2:$AJ$1001,MATCH(ROWS($AH$2:AH909),$AH$2:$AH$1001,0),0), INDEX($AO$1004:$BQ$1004,1,MATCH(COLUMNS($AO$1006:BP1006),$AO$1006:$BQ$1006,0)))),"Fix")))</f>
        <v>#N/A</v>
      </c>
      <c r="AD909" s="5" t="e">
        <f ca="1">IF(OR(INDEX($AI$2:$AI$1001,MATCH(ROWS($AH$2:AH909),$AH$2:$AH$1001,0),1)&gt;=100000,INDEX($AO$1005:$BQ$1005,1,MATCH(COLUMNS($AO$1006:BQ1006),$AO$1006:$BQ$1006,0))&gt;=100000), " ",IF(INDEX($AO$2:$BQ$1001,MATCH(ROWS($AH$2:AH909),$AH$2:$AH$1001,0),MATCH(COLUMNS($AO$1006:BQ1006),$AO$1006:$BQ$1006,0)), HYPERLINK("#",""), HYPERLINK(CONCATENATE("#Metadata!", ADDRESS(INDEX($AJ$2:$AJ$1001,MATCH(ROWS($AH$2:AH909),$AH$2:$AH$1001,0),0), INDEX($AO$1004:$BQ$1004,1,MATCH(COLUMNS($AO$1006:BQ1006),$AO$1006:$BQ$1006,0)))),"Fix")))</f>
        <v>#REF!</v>
      </c>
      <c r="AH909">
        <f ca="1"/>
        <v>906</v>
      </c>
      <c r="AI909">
        <v>100909</v>
      </c>
      <c r="AJ909">
        <v>909</v>
      </c>
      <c r="AK909" t="b">
        <f t="shared" si="14"/>
        <v>1</v>
      </c>
      <c r="AL909" t="b">
        <f>COUNTBLANK(Metadata!B909:AD909)=COLUMNS(Metadata!B909:AD909)</f>
        <v>1</v>
      </c>
      <c r="AM909" t="str">
        <v/>
      </c>
      <c r="AO909" t="b">
        <f ca="1">AND(IF(Metadata!B909="",FALSE,TRUE),COUNTIF(Metadata!B:B, Metadata!B909) = 1,NOT(ISERROR(SUMPRODUCT(SEARCH(MID(Metadata!B909,ROW(INDIRECT("1:"&amp;LEN(Metadata!B909))), 1),"0123456789abcdefghijklmnopqrstuvwxyzABCDEFGHIJKLMNOPQRSTUVWXYZ.")))))</f>
        <v>0</v>
      </c>
      <c r="AP909" t="b">
        <f>IF(Metadata!C909="",FALSE,TRUE)</f>
        <v>0</v>
      </c>
      <c r="AQ909" t="b">
        <f>IF(Metadata!D909="",FALSE,TRUE)</f>
        <v>0</v>
      </c>
      <c r="AR909" t="b">
        <f ca="1">OR(AND(IF(Metadata!E909="",FALSE,TRUE),OR(EXACT(Metadata!E909,"not collected"),EXACT(Metadata!E909,"not provided"),EXACT(Metadata!E909,"restricted access"))),AND(IF(Metadata!E909="",FALSE,TRUE),AND(AND(IFERROR(INT(LEFT(Metadata!E909,4))&gt;1900,FALSE),IFERROR(INT(LEFT(Metadata!E909,4))&lt;=YEAR(NOW()),FALSE)), OR(MID(Metadata!E909,5,1)="", AND(AND(MID(Metadata!E909,5,1)="-",IFERROR(INT(MID(Metadata!E909,6,1))&gt;=0,FALSE),IFERROR(INT(MID(Metadata!E909,6,1))&lt;=1,FALSE),NOT(MID(Metadata!E909,7,1)=""),IFERROR(INT(MID(Metadata!E909,6,2))&gt;=1,FALSE),IFERROR(INT(MID(Metadata!E909,6,2))&lt;=12,FALSE)), OR(MID(Metadata!E909,8,1)="", AND(AND(MID(Metadata!E909,8,1)="-",IFERROR(INT(MID(Metadata!E909,9,1))&gt;=0,FALSE),IFERROR(INT(MID(Metadata!E909,9,1))&lt;=3,FALSE),NOT(MID(Metadata!E909,10,1)=""),IFERROR(INT(MID(Metadata!E909,9,2))&gt;=1,FALSE),IFERROR(INT(MID(Metadata!E909,9,2))&lt;=31,FALSE)), OR(MID(Metadata!E909,11,1)="", AND(AND(MID(Metadata!E909,11,1)=" ",IFERROR(INT(MID(Metadata!E909,12,1))&gt;=0,FALSE),IFERROR(INT(MID(Metadata!E909,12,1))&lt;=2,FALSE),NOT(MID(Metadata!E909,13,1)=""),IFERROR(INT(MID(Metadata!E909,12,2))&gt;=0,FALSE),IFERROR(INT(MID(Metadata!E909,12,2))&lt;=23,FALSE)), OR(MID(Metadata!E909,14,1)="", AND(AND(MID(Metadata!E909,14,1)=":",IFERROR(INT(MID(Metadata!E909,15,1))&gt;=0,FALSE),IFERROR(INT(MID(Metadata!E909,15,1))&lt;=5,FALSE),NOT(MID(Metadata!E909,16,1)=""),IFERROR(INT(MID(Metadata!E909,15,2))&gt;=0,FALSE),IFERROR(INT(MID(Metadata!E909,15,2))&lt;=59,FALSE)), OR(MID(Metadata!E909,17,1)="", AND(AND(MID(Metadata!E909,17,1)=":",IFERROR(INT(MID(Metadata!E909,18,1))&gt;=0,FALSE),IFERROR(INT(MID(Metadata!E909,18,1))&lt;=5,FALSE),NOT(MID(Metadata!E909,19,1)=""),IFERROR(INT(MID(Metadata!E909,18,2))&gt;=0,FALSE),IFERROR(INT(MID(Metadata!E909,18,2))&lt;=59,FALSE)), LEN(Metadata!E909)&lt;=19)))))))))))))</f>
        <v>0</v>
      </c>
      <c r="AS909" t="b">
        <f>IF(Metadata!F909="",FALSE,TRUE)</f>
        <v>0</v>
      </c>
      <c r="AT909" t="b">
        <f>OR(AND(IF(Metadata!G909="",FALSE,TRUE),OR(EXACT(Metadata!G909,"not collected"),EXACT(Metadata!G909,"not provided"))),AND(IF(Metadata!G909="",FALSE,TRUE),OR(EXACT(Metadata!G909,"TRUE"),EXACT(Metadata!G909,"FALSE"))))</f>
        <v>0</v>
      </c>
      <c r="AU909" t="b">
        <f>OR(AND(IF(Metadata!H909="",FALSE,TRUE),OR(EXACT(Metadata!H909,"not collected"),EXACT(Metadata!H909,"not provided"),EXACT(Metadata!H909,"restricted access"))),AND(IF(Metadata!H909="",FALSE,ISNUMBER(VALUE(Metadata!H909))),Metadata!H909&gt;=-413))</f>
        <v>0</v>
      </c>
      <c r="AV909" t="b">
        <f>AND(IF(Metadata!I909="",FALSE,TRUE),EXACT(Metadata!I909,"meters"))</f>
        <v>0</v>
      </c>
      <c r="AW909" t="b">
        <f>AND(IF(Metadata!J909="",FALSE,TRUE),EXACT(Metadata!J909,"free-living"))</f>
        <v>0</v>
      </c>
      <c r="AX909" t="b">
        <f>AND(IF(Metadata!K909="",FALSE,TRUE),OR(EXACT(Metadata!K909,"saline"),EXACT(Metadata!K909,"non-saline")))</f>
        <v>0</v>
      </c>
      <c r="AY909" t="b">
        <f>AND(IF(Metadata!L909="",FALSE,TRUE),OR(EXACT(Metadata!L909,"sub-surface (non-saline)"),EXACT(Metadata!L909,"surface (non-saline)"),EXACT(Metadata!L909,"water (non-saline)"),EXACT(Metadata!L909,"soil (non-saline)"),EXACT(Metadata!L909,"aerosol (non-saline)"),EXACT(Metadata!L909,"sediment (non-saline)"),EXACT(Metadata!L909,"surface (saline)"),EXACT(Metadata!L909,"water (saline)"),EXACT(Metadata!L909,"hypersaline (saline)"),EXACT(Metadata!L909,"aerosol (saline)"),EXACT(Metadata!L909,"sediment (saline)")))</f>
        <v>0</v>
      </c>
      <c r="AZ909" t="b">
        <f>IF(Metadata!M909="",FALSE,TRUE)</f>
        <v>0</v>
      </c>
      <c r="BA909" t="b">
        <f>IF(Metadata!N909="",FALSE,TRUE)</f>
        <v>0</v>
      </c>
      <c r="BB909" t="b">
        <f>IF(Metadata!O909="",FALSE,TRUE)</f>
        <v>0</v>
      </c>
      <c r="BC909" t="b">
        <f>AND(IF(Metadata!P909="",FALSE,TRUE),OR(EXACT(Metadata!P909,"air"),EXACT(Metadata!P909,"microbial mat/biofilm"),EXACT(Metadata!P909,"misc environment"),EXACT(Metadata!P909,"sediment"),EXACT(Metadata!P909,"soil"),EXACT(Metadata!P909,"wastewater/sludge"),EXACT(Metadata!P909,"water")))</f>
        <v>0</v>
      </c>
      <c r="BD909" t="b">
        <f>IF(Metadata!Q909="",FALSE,TRUE)</f>
        <v>0</v>
      </c>
      <c r="BE909" t="b">
        <f>IF(Metadata!R909="",FALSE,TRUE)</f>
        <v>0</v>
      </c>
      <c r="BF909" t="b">
        <f>OR(AND(IF(Metadata!S909="",FALSE,TRUE),OR(EXACT(Metadata!S909,"not collected"),EXACT(Metadata!S909,"not provided"),EXACT(Metadata!S909,"restricted access"))),AND(IF(Metadata!S909="",FALSE,ISNUMBER(VALUE(Metadata!S909))),Metadata!S909&gt;=-90,Metadata!S909&lt;=90))</f>
        <v>0</v>
      </c>
      <c r="BG909" t="b">
        <f>AND(IF(Metadata!T909="",FALSE,TRUE),EXACT(Metadata!T909,"Decimal degrees"))</f>
        <v>0</v>
      </c>
      <c r="BH909" t="b">
        <f>OR(AND(IF(Metadata!U909="",FALSE,TRUE),OR(EXACT(Metadata!U909,"not applicable"),EXACT(Metadata!U909,"not collected"))),IF(Metadata!U909="",FALSE,TRUE))</f>
        <v>0</v>
      </c>
      <c r="BI909" t="b">
        <f>OR(AND(IF(Metadata!V909="",FALSE,TRUE),OR(EXACT(Metadata!V909,"not collected"),EXACT(Metadata!V909,"not provided"),EXACT(Metadata!V909,"restricted access"))),AND(IF(Metadata!V909="",FALSE,ISNUMBER(VALUE(Metadata!V909))),Metadata!V909&gt;=-180,Metadata!V909&lt;=180))</f>
        <v>0</v>
      </c>
      <c r="BJ909" t="b">
        <f>AND(IF(Metadata!W909="",FALSE,TRUE),EXACT(Metadata!W909,"Decimal degrees"))</f>
        <v>0</v>
      </c>
      <c r="BK909" t="b">
        <f>IF(Metadata!X909="",FALSE,TRUE)</f>
        <v>0</v>
      </c>
      <c r="BL909" t="b">
        <f>OR(AND(IF(Metadata!Y909="",FALSE,TRUE),OR(EXACT(Metadata!Y909,"not collected"),EXACT(Metadata!Y909,"not provided"),EXACT(Metadata!Y909,"restricted access"))),AND(IF(Metadata!Y909="",FALSE,TRUE),OR(EXACT(Metadata!Y909,"TRUE"),EXACT(Metadata!Y909,"FALSE"))))</f>
        <v>0</v>
      </c>
      <c r="BM909" t="b">
        <f>OR(AND(IF(Metadata!Z909="",FALSE,TRUE),EXACT(Metadata!Z909,"not applicable")),AND(IF(Metadata!Z909="",FALSE,TRUE),OR(EXACT(Metadata!Z909,"beer"),EXACT(Metadata!Z909,"cheese"),EXACT(Metadata!Z909,"fresh water"),EXACT(Metadata!Z909,"marine sediment"),EXACT(Metadata!Z909,"sea water"),EXACT(Metadata!Z909,"sediment"),EXACT(Metadata!Z909,"soil"),EXACT(Metadata!Z909,"waste water"))))</f>
        <v>0</v>
      </c>
      <c r="BN909" t="b">
        <f>AND(IF(Metadata!AA909="",FALSE,TRUE),EXACT(Metadata!AA909,"metagenome"))</f>
        <v>0</v>
      </c>
      <c r="BO909" t="b">
        <f>AND(IF(Metadata!AB909="",FALSE,TRUE),EXACT(Metadata!AB909,"256318"))</f>
        <v>0</v>
      </c>
      <c r="BP909" t="b">
        <f>IF(Metadata!AC909="",FALSE,TRUE)</f>
        <v>0</v>
      </c>
      <c r="BQ909" t="b">
        <f>IF(Metadata!AD909="",FALSE,TRUE)</f>
        <v>0</v>
      </c>
    </row>
    <row r="910" spans="1:69" x14ac:dyDescent="0.2">
      <c r="A910" s="4" t="e">
        <f ca="1">IF(B910=" "," ",HYPERLINK(CONCATENATE("#metadata!",ADDRESS(INDEX($AJ$2:$AJ$1001,MATCH(ROWS($AH$2:AH910),$AH$2:$AH$1001,0),0),2)),INDEX($AM$2:$AM$1001,MATCH(ROWS($AH$2:AH910),$AH$2:$AH$1001,0),0)))</f>
        <v>#N/A</v>
      </c>
      <c r="B910" s="5" t="e">
        <f ca="1">IF(OR(INDEX($AI$2:$AI$1001,MATCH(ROWS($AH$2:AH910),$AH$2:$AH$1001,0),1)&gt;=100000,INDEX($AO$1005:$BQ$1005,1,MATCH(COLUMNS($AO$1006:AO1006),$AO$1006:$BQ$1006,0))&gt;=100000), " ",IF(INDEX($AO$2:$BQ$1001,MATCH(ROWS($AH$2:AH910),$AH$2:$AH$1001,0),MATCH(COLUMNS($AO$1006:AO1006),$AO$1006:$BQ$1006,0)), HYPERLINK("#",""), HYPERLINK(CONCATENATE("#Metadata!", ADDRESS(INDEX($AJ$2:$AJ$1001,MATCH(ROWS($AH$2:AH910),$AH$2:$AH$1001,0),0), INDEX($AO$1004:$BQ$1004,1,MATCH(COLUMNS($AO$1006:AO1006),$AO$1006:$BQ$1006,0)))),"Fix")))</f>
        <v>#N/A</v>
      </c>
      <c r="C910" s="5" t="e">
        <f ca="1">IF(OR(INDEX($AI$2:$AI$1001,MATCH(ROWS($AH$2:AH910),$AH$2:$AH$1001,0),1)&gt;=100000,INDEX($AO$1005:$BQ$1005,1,MATCH(COLUMNS($AO$1006:AP1006),$AO$1006:$BQ$1006,0))&gt;=100000), " ",IF(INDEX($AO$2:$BQ$1001,MATCH(ROWS($AH$2:AH910),$AH$2:$AH$1001,0),MATCH(COLUMNS($AO$1006:AP1006),$AO$1006:$BQ$1006,0)), HYPERLINK("#",""), HYPERLINK(CONCATENATE("#Metadata!", ADDRESS(INDEX($AJ$2:$AJ$1001,MATCH(ROWS($AH$2:AH910),$AH$2:$AH$1001,0),0), INDEX($AO$1004:$BQ$1004,1,MATCH(COLUMNS($AO$1006:AP1006),$AO$1006:$BQ$1006,0)))),"Fix")))</f>
        <v>#N/A</v>
      </c>
      <c r="D910" s="5" t="e">
        <f ca="1">IF(OR(INDEX($AI$2:$AI$1001,MATCH(ROWS($AH$2:AH910),$AH$2:$AH$1001,0),1)&gt;=100000,INDEX($AO$1005:$BQ$1005,1,MATCH(COLUMNS($AO$1006:AQ1006),$AO$1006:$BQ$1006,0))&gt;=100000), " ",IF(INDEX($AO$2:$BQ$1001,MATCH(ROWS($AH$2:AH910),$AH$2:$AH$1001,0),MATCH(COLUMNS($AO$1006:AQ1006),$AO$1006:$BQ$1006,0)), HYPERLINK("#",""), HYPERLINK(CONCATENATE("#Metadata!", ADDRESS(INDEX($AJ$2:$AJ$1001,MATCH(ROWS($AH$2:AH910),$AH$2:$AH$1001,0),0), INDEX($AO$1004:$BQ$1004,1,MATCH(COLUMNS($AO$1006:AQ1006),$AO$1006:$BQ$1006,0)))),"Fix")))</f>
        <v>#N/A</v>
      </c>
      <c r="E910" s="5" t="e">
        <f ca="1">IF(OR(INDEX($AI$2:$AI$1001,MATCH(ROWS($AH$2:AH910),$AH$2:$AH$1001,0),1)&gt;=100000,INDEX($AO$1005:$BQ$1005,1,MATCH(COLUMNS($AO$1006:AR1006),$AO$1006:$BQ$1006,0))&gt;=100000), " ",IF(INDEX($AO$2:$BQ$1001,MATCH(ROWS($AH$2:AH910),$AH$2:$AH$1001,0),MATCH(COLUMNS($AO$1006:AR1006),$AO$1006:$BQ$1006,0)), HYPERLINK("#",""), HYPERLINK(CONCATENATE("#Metadata!", ADDRESS(INDEX($AJ$2:$AJ$1001,MATCH(ROWS($AH$2:AH910),$AH$2:$AH$1001,0),0), INDEX($AO$1004:$BQ$1004,1,MATCH(COLUMNS($AO$1006:AR1006),$AO$1006:$BQ$1006,0)))),"Fix")))</f>
        <v>#N/A</v>
      </c>
      <c r="F910" s="5" t="e">
        <f ca="1">IF(OR(INDEX($AI$2:$AI$1001,MATCH(ROWS($AH$2:AH910),$AH$2:$AH$1001,0),1)&gt;=100000,INDEX($AO$1005:$BQ$1005,1,MATCH(COLUMNS($AO$1006:AS1006),$AO$1006:$BQ$1006,0))&gt;=100000), " ",IF(INDEX($AO$2:$BQ$1001,MATCH(ROWS($AH$2:AH910),$AH$2:$AH$1001,0),MATCH(COLUMNS($AO$1006:AS1006),$AO$1006:$BQ$1006,0)), HYPERLINK("#",""), HYPERLINK(CONCATENATE("#Metadata!", ADDRESS(INDEX($AJ$2:$AJ$1001,MATCH(ROWS($AH$2:AH910),$AH$2:$AH$1001,0),0), INDEX($AO$1004:$BQ$1004,1,MATCH(COLUMNS($AO$1006:AS1006),$AO$1006:$BQ$1006,0)))),"Fix")))</f>
        <v>#N/A</v>
      </c>
      <c r="G910" s="5" t="e">
        <f ca="1">IF(OR(INDEX($AI$2:$AI$1001,MATCH(ROWS($AH$2:AH910),$AH$2:$AH$1001,0),1)&gt;=100000,INDEX($AO$1005:$BQ$1005,1,MATCH(COLUMNS($AO$1006:AT1006),$AO$1006:$BQ$1006,0))&gt;=100000), " ",IF(INDEX($AO$2:$BQ$1001,MATCH(ROWS($AH$2:AH910),$AH$2:$AH$1001,0),MATCH(COLUMNS($AO$1006:AT1006),$AO$1006:$BQ$1006,0)), HYPERLINK("#",""), HYPERLINK(CONCATENATE("#Metadata!", ADDRESS(INDEX($AJ$2:$AJ$1001,MATCH(ROWS($AH$2:AH910),$AH$2:$AH$1001,0),0), INDEX($AO$1004:$BQ$1004,1,MATCH(COLUMNS($AO$1006:AT1006),$AO$1006:$BQ$1006,0)))),"Fix")))</f>
        <v>#N/A</v>
      </c>
      <c r="H910" s="5" t="e">
        <f ca="1">IF(OR(INDEX($AI$2:$AI$1001,MATCH(ROWS($AH$2:AH910),$AH$2:$AH$1001,0),1)&gt;=100000,INDEX($AO$1005:$BQ$1005,1,MATCH(COLUMNS($AO$1006:AU1006),$AO$1006:$BQ$1006,0))&gt;=100000), " ",IF(INDEX($AO$2:$BQ$1001,MATCH(ROWS($AH$2:AH910),$AH$2:$AH$1001,0),MATCH(COLUMNS($AO$1006:AU1006),$AO$1006:$BQ$1006,0)), HYPERLINK("#",""), HYPERLINK(CONCATENATE("#Metadata!", ADDRESS(INDEX($AJ$2:$AJ$1001,MATCH(ROWS($AH$2:AH910),$AH$2:$AH$1001,0),0), INDEX($AO$1004:$BQ$1004,1,MATCH(COLUMNS($AO$1006:AU1006),$AO$1006:$BQ$1006,0)))),"Fix")))</f>
        <v>#N/A</v>
      </c>
      <c r="I910" s="5" t="e">
        <f ca="1">IF(OR(INDEX($AI$2:$AI$1001,MATCH(ROWS($AH$2:AH910),$AH$2:$AH$1001,0),1)&gt;=100000,INDEX($AO$1005:$BQ$1005,1,MATCH(COLUMNS($AO$1006:AV1006),$AO$1006:$BQ$1006,0))&gt;=100000), " ",IF(INDEX($AO$2:$BQ$1001,MATCH(ROWS($AH$2:AH910),$AH$2:$AH$1001,0),MATCH(COLUMNS($AO$1006:AV1006),$AO$1006:$BQ$1006,0)), HYPERLINK("#",""), HYPERLINK(CONCATENATE("#Metadata!", ADDRESS(INDEX($AJ$2:$AJ$1001,MATCH(ROWS($AH$2:AH910),$AH$2:$AH$1001,0),0), INDEX($AO$1004:$BQ$1004,1,MATCH(COLUMNS($AO$1006:AV1006),$AO$1006:$BQ$1006,0)))),"Fix")))</f>
        <v>#N/A</v>
      </c>
      <c r="J910" s="5" t="e">
        <f ca="1">IF(OR(INDEX($AI$2:$AI$1001,MATCH(ROWS($AH$2:AH910),$AH$2:$AH$1001,0),1)&gt;=100000,INDEX($AO$1005:$BQ$1005,1,MATCH(COLUMNS($AO$1006:AW1006),$AO$1006:$BQ$1006,0))&gt;=100000), " ",IF(INDEX($AO$2:$BQ$1001,MATCH(ROWS($AH$2:AH910),$AH$2:$AH$1001,0),MATCH(COLUMNS($AO$1006:AW1006),$AO$1006:$BQ$1006,0)), HYPERLINK("#",""), HYPERLINK(CONCATENATE("#Metadata!", ADDRESS(INDEX($AJ$2:$AJ$1001,MATCH(ROWS($AH$2:AH910),$AH$2:$AH$1001,0),0), INDEX($AO$1004:$BQ$1004,1,MATCH(COLUMNS($AO$1006:AW1006),$AO$1006:$BQ$1006,0)))),"Fix")))</f>
        <v>#N/A</v>
      </c>
      <c r="K910" s="5" t="e">
        <f ca="1">IF(OR(INDEX($AI$2:$AI$1001,MATCH(ROWS($AH$2:AH910),$AH$2:$AH$1001,0),1)&gt;=100000,INDEX($AO$1005:$BQ$1005,1,MATCH(COLUMNS($AO$1006:AX1006),$AO$1006:$BQ$1006,0))&gt;=100000), " ",IF(INDEX($AO$2:$BQ$1001,MATCH(ROWS($AH$2:AH910),$AH$2:$AH$1001,0),MATCH(COLUMNS($AO$1006:AX1006),$AO$1006:$BQ$1006,0)), HYPERLINK("#",""), HYPERLINK(CONCATENATE("#Metadata!", ADDRESS(INDEX($AJ$2:$AJ$1001,MATCH(ROWS($AH$2:AH910),$AH$2:$AH$1001,0),0), INDEX($AO$1004:$BQ$1004,1,MATCH(COLUMNS($AO$1006:AX1006),$AO$1006:$BQ$1006,0)))),"Fix")))</f>
        <v>#N/A</v>
      </c>
      <c r="L910" s="5" t="e">
        <f ca="1">IF(OR(INDEX($AI$2:$AI$1001,MATCH(ROWS($AH$2:AH910),$AH$2:$AH$1001,0),1)&gt;=100000,INDEX($AO$1005:$BQ$1005,1,MATCH(COLUMNS($AO$1006:AY1006),$AO$1006:$BQ$1006,0))&gt;=100000), " ",IF(INDEX($AO$2:$BQ$1001,MATCH(ROWS($AH$2:AH910),$AH$2:$AH$1001,0),MATCH(COLUMNS($AO$1006:AY1006),$AO$1006:$BQ$1006,0)), HYPERLINK("#",""), HYPERLINK(CONCATENATE("#Metadata!", ADDRESS(INDEX($AJ$2:$AJ$1001,MATCH(ROWS($AH$2:AH910),$AH$2:$AH$1001,0),0), INDEX($AO$1004:$BQ$1004,1,MATCH(COLUMNS($AO$1006:AY1006),$AO$1006:$BQ$1006,0)))),"Fix")))</f>
        <v>#N/A</v>
      </c>
      <c r="M910" s="5" t="e">
        <f ca="1">IF(OR(INDEX($AI$2:$AI$1001,MATCH(ROWS($AH$2:AH910),$AH$2:$AH$1001,0),1)&gt;=100000,INDEX($AO$1005:$BQ$1005,1,MATCH(COLUMNS($AO$1006:AZ1006),$AO$1006:$BQ$1006,0))&gt;=100000), " ",IF(INDEX($AO$2:$BQ$1001,MATCH(ROWS($AH$2:AH910),$AH$2:$AH$1001,0),MATCH(COLUMNS($AO$1006:AZ1006),$AO$1006:$BQ$1006,0)), HYPERLINK("#",""), HYPERLINK(CONCATENATE("#Metadata!", ADDRESS(INDEX($AJ$2:$AJ$1001,MATCH(ROWS($AH$2:AH910),$AH$2:$AH$1001,0),0), INDEX($AO$1004:$BQ$1004,1,MATCH(COLUMNS($AO$1006:AZ1006),$AO$1006:$BQ$1006,0)))),"Fix")))</f>
        <v>#N/A</v>
      </c>
      <c r="N910" s="5" t="e">
        <f ca="1">IF(OR(INDEX($AI$2:$AI$1001,MATCH(ROWS($AH$2:AH910),$AH$2:$AH$1001,0),1)&gt;=100000,INDEX($AO$1005:$BQ$1005,1,MATCH(COLUMNS($AO$1006:BA1006),$AO$1006:$BQ$1006,0))&gt;=100000), " ",IF(INDEX($AO$2:$BQ$1001,MATCH(ROWS($AH$2:AH910),$AH$2:$AH$1001,0),MATCH(COLUMNS($AO$1006:BA1006),$AO$1006:$BQ$1006,0)), HYPERLINK("#",""), HYPERLINK(CONCATENATE("#Metadata!", ADDRESS(INDEX($AJ$2:$AJ$1001,MATCH(ROWS($AH$2:AH910),$AH$2:$AH$1001,0),0), INDEX($AO$1004:$BQ$1004,1,MATCH(COLUMNS($AO$1006:BA1006),$AO$1006:$BQ$1006,0)))),"Fix")))</f>
        <v>#N/A</v>
      </c>
      <c r="O910" s="5" t="e">
        <f ca="1">IF(OR(INDEX($AI$2:$AI$1001,MATCH(ROWS($AH$2:AH910),$AH$2:$AH$1001,0),1)&gt;=100000,INDEX($AO$1005:$BQ$1005,1,MATCH(COLUMNS($AO$1006:BB1006),$AO$1006:$BQ$1006,0))&gt;=100000), " ",IF(INDEX($AO$2:$BQ$1001,MATCH(ROWS($AH$2:AH910),$AH$2:$AH$1001,0),MATCH(COLUMNS($AO$1006:BB1006),$AO$1006:$BQ$1006,0)), HYPERLINK("#",""), HYPERLINK(CONCATENATE("#Metadata!", ADDRESS(INDEX($AJ$2:$AJ$1001,MATCH(ROWS($AH$2:AH910),$AH$2:$AH$1001,0),0), INDEX($AO$1004:$BQ$1004,1,MATCH(COLUMNS($AO$1006:BB1006),$AO$1006:$BQ$1006,0)))),"Fix")))</f>
        <v>#N/A</v>
      </c>
      <c r="P910" s="5" t="e">
        <f ca="1">IF(OR(INDEX($AI$2:$AI$1001,MATCH(ROWS($AH$2:AH910),$AH$2:$AH$1001,0),1)&gt;=100000,INDEX($AO$1005:$BQ$1005,1,MATCH(COLUMNS($AO$1006:BC1006),$AO$1006:$BQ$1006,0))&gt;=100000), " ",IF(INDEX($AO$2:$BQ$1001,MATCH(ROWS($AH$2:AH910),$AH$2:$AH$1001,0),MATCH(COLUMNS($AO$1006:BC1006),$AO$1006:$BQ$1006,0)), HYPERLINK("#",""), HYPERLINK(CONCATENATE("#Metadata!", ADDRESS(INDEX($AJ$2:$AJ$1001,MATCH(ROWS($AH$2:AH910),$AH$2:$AH$1001,0),0), INDEX($AO$1004:$BQ$1004,1,MATCH(COLUMNS($AO$1006:BC1006),$AO$1006:$BQ$1006,0)))),"Fix")))</f>
        <v>#N/A</v>
      </c>
      <c r="Q910" s="5" t="e">
        <f ca="1">IF(OR(INDEX($AI$2:$AI$1001,MATCH(ROWS($AH$2:AH910),$AH$2:$AH$1001,0),1)&gt;=100000,INDEX($AO$1005:$BQ$1005,1,MATCH(COLUMNS($AO$1006:BD1006),$AO$1006:$BQ$1006,0))&gt;=100000), " ",IF(INDEX($AO$2:$BQ$1001,MATCH(ROWS($AH$2:AH910),$AH$2:$AH$1001,0),MATCH(COLUMNS($AO$1006:BD1006),$AO$1006:$BQ$1006,0)), HYPERLINK("#",""), HYPERLINK(CONCATENATE("#Metadata!", ADDRESS(INDEX($AJ$2:$AJ$1001,MATCH(ROWS($AH$2:AH910),$AH$2:$AH$1001,0),0), INDEX($AO$1004:$BQ$1004,1,MATCH(COLUMNS($AO$1006:BD1006),$AO$1006:$BQ$1006,0)))),"Fix")))</f>
        <v>#N/A</v>
      </c>
      <c r="R910" s="5" t="e">
        <f ca="1">IF(OR(INDEX($AI$2:$AI$1001,MATCH(ROWS($AH$2:AH910),$AH$2:$AH$1001,0),1)&gt;=100000,INDEX($AO$1005:$BQ$1005,1,MATCH(COLUMNS($AO$1006:BE1006),$AO$1006:$BQ$1006,0))&gt;=100000), " ",IF(INDEX($AO$2:$BQ$1001,MATCH(ROWS($AH$2:AH910),$AH$2:$AH$1001,0),MATCH(COLUMNS($AO$1006:BE1006),$AO$1006:$BQ$1006,0)), HYPERLINK("#",""), HYPERLINK(CONCATENATE("#Metadata!", ADDRESS(INDEX($AJ$2:$AJ$1001,MATCH(ROWS($AH$2:AH910),$AH$2:$AH$1001,0),0), INDEX($AO$1004:$BQ$1004,1,MATCH(COLUMNS($AO$1006:BE1006),$AO$1006:$BQ$1006,0)))),"Fix")))</f>
        <v>#N/A</v>
      </c>
      <c r="S910" s="5" t="e">
        <f ca="1">IF(OR(INDEX($AI$2:$AI$1001,MATCH(ROWS($AH$2:AH910),$AH$2:$AH$1001,0),1)&gt;=100000,INDEX($AO$1005:$BQ$1005,1,MATCH(COLUMNS($AO$1006:BF1006),$AO$1006:$BQ$1006,0))&gt;=100000), " ",IF(INDEX($AO$2:$BQ$1001,MATCH(ROWS($AH$2:AH910),$AH$2:$AH$1001,0),MATCH(COLUMNS($AO$1006:BF1006),$AO$1006:$BQ$1006,0)), HYPERLINK("#",""), HYPERLINK(CONCATENATE("#Metadata!", ADDRESS(INDEX($AJ$2:$AJ$1001,MATCH(ROWS($AH$2:AH910),$AH$2:$AH$1001,0),0), INDEX($AO$1004:$BQ$1004,1,MATCH(COLUMNS($AO$1006:BF1006),$AO$1006:$BQ$1006,0)))),"Fix")))</f>
        <v>#N/A</v>
      </c>
      <c r="T910" s="5" t="e">
        <f ca="1">IF(OR(INDEX($AI$2:$AI$1001,MATCH(ROWS($AH$2:AH910),$AH$2:$AH$1001,0),1)&gt;=100000,INDEX($AO$1005:$BQ$1005,1,MATCH(COLUMNS($AO$1006:BG1006),$AO$1006:$BQ$1006,0))&gt;=100000), " ",IF(INDEX($AO$2:$BQ$1001,MATCH(ROWS($AH$2:AH910),$AH$2:$AH$1001,0),MATCH(COLUMNS($AO$1006:BG1006),$AO$1006:$BQ$1006,0)), HYPERLINK("#",""), HYPERLINK(CONCATENATE("#Metadata!", ADDRESS(INDEX($AJ$2:$AJ$1001,MATCH(ROWS($AH$2:AH910),$AH$2:$AH$1001,0),0), INDEX($AO$1004:$BQ$1004,1,MATCH(COLUMNS($AO$1006:BG1006),$AO$1006:$BQ$1006,0)))),"Fix")))</f>
        <v>#N/A</v>
      </c>
      <c r="U910" s="5" t="e">
        <f ca="1">IF(OR(INDEX($AI$2:$AI$1001,MATCH(ROWS($AH$2:AH910),$AH$2:$AH$1001,0),1)&gt;=100000,INDEX($AO$1005:$BQ$1005,1,MATCH(COLUMNS($AO$1006:BH1006),$AO$1006:$BQ$1006,0))&gt;=100000), " ",IF(INDEX($AO$2:$BQ$1001,MATCH(ROWS($AH$2:AH910),$AH$2:$AH$1001,0),MATCH(COLUMNS($AO$1006:BH1006),$AO$1006:$BQ$1006,0)), HYPERLINK("#",""), HYPERLINK(CONCATENATE("#Metadata!", ADDRESS(INDEX($AJ$2:$AJ$1001,MATCH(ROWS($AH$2:AH910),$AH$2:$AH$1001,0),0), INDEX($AO$1004:$BQ$1004,1,MATCH(COLUMNS($AO$1006:BH1006),$AO$1006:$BQ$1006,0)))),"Fix")))</f>
        <v>#N/A</v>
      </c>
      <c r="V910" s="5" t="e">
        <f ca="1">IF(OR(INDEX($AI$2:$AI$1001,MATCH(ROWS($AH$2:AH910),$AH$2:$AH$1001,0),1)&gt;=100000,INDEX($AO$1005:$BQ$1005,1,MATCH(COLUMNS($AO$1006:BI1006),$AO$1006:$BQ$1006,0))&gt;=100000), " ",IF(INDEX($AO$2:$BQ$1001,MATCH(ROWS($AH$2:AH910),$AH$2:$AH$1001,0),MATCH(COLUMNS($AO$1006:BI1006),$AO$1006:$BQ$1006,0)), HYPERLINK("#",""), HYPERLINK(CONCATENATE("#Metadata!", ADDRESS(INDEX($AJ$2:$AJ$1001,MATCH(ROWS($AH$2:AH910),$AH$2:$AH$1001,0),0), INDEX($AO$1004:$BQ$1004,1,MATCH(COLUMNS($AO$1006:BI1006),$AO$1006:$BQ$1006,0)))),"Fix")))</f>
        <v>#N/A</v>
      </c>
      <c r="W910" s="5" t="e">
        <f ca="1">IF(OR(INDEX($AI$2:$AI$1001,MATCH(ROWS($AH$2:AH910),$AH$2:$AH$1001,0),1)&gt;=100000,INDEX($AO$1005:$BQ$1005,1,MATCH(COLUMNS($AO$1006:BJ1006),$AO$1006:$BQ$1006,0))&gt;=100000), " ",IF(INDEX($AO$2:$BQ$1001,MATCH(ROWS($AH$2:AH910),$AH$2:$AH$1001,0),MATCH(COLUMNS($AO$1006:BJ1006),$AO$1006:$BQ$1006,0)), HYPERLINK("#",""), HYPERLINK(CONCATENATE("#Metadata!", ADDRESS(INDEX($AJ$2:$AJ$1001,MATCH(ROWS($AH$2:AH910),$AH$2:$AH$1001,0),0), INDEX($AO$1004:$BQ$1004,1,MATCH(COLUMNS($AO$1006:BJ1006),$AO$1006:$BQ$1006,0)))),"Fix")))</f>
        <v>#N/A</v>
      </c>
      <c r="X910" s="5" t="e">
        <f ca="1">IF(OR(INDEX($AI$2:$AI$1001,MATCH(ROWS($AH$2:AH910),$AH$2:$AH$1001,0),1)&gt;=100000,INDEX($AO$1005:$BQ$1005,1,MATCH(COLUMNS($AO$1006:BK1006),$AO$1006:$BQ$1006,0))&gt;=100000), " ",IF(INDEX($AO$2:$BQ$1001,MATCH(ROWS($AH$2:AH910),$AH$2:$AH$1001,0),MATCH(COLUMNS($AO$1006:BK1006),$AO$1006:$BQ$1006,0)), HYPERLINK("#",""), HYPERLINK(CONCATENATE("#Metadata!", ADDRESS(INDEX($AJ$2:$AJ$1001,MATCH(ROWS($AH$2:AH910),$AH$2:$AH$1001,0),0), INDEX($AO$1004:$BQ$1004,1,MATCH(COLUMNS($AO$1006:BK1006),$AO$1006:$BQ$1006,0)))),"Fix")))</f>
        <v>#N/A</v>
      </c>
      <c r="Y910" s="5" t="e">
        <f ca="1">IF(OR(INDEX($AI$2:$AI$1001,MATCH(ROWS($AH$2:AH910),$AH$2:$AH$1001,0),1)&gt;=100000,INDEX($AO$1005:$BQ$1005,1,MATCH(COLUMNS($AO$1006:BL1006),$AO$1006:$BQ$1006,0))&gt;=100000), " ",IF(INDEX($AO$2:$BQ$1001,MATCH(ROWS($AH$2:AH910),$AH$2:$AH$1001,0),MATCH(COLUMNS($AO$1006:BL1006),$AO$1006:$BQ$1006,0)), HYPERLINK("#",""), HYPERLINK(CONCATENATE("#Metadata!", ADDRESS(INDEX($AJ$2:$AJ$1001,MATCH(ROWS($AH$2:AH910),$AH$2:$AH$1001,0),0), INDEX($AO$1004:$BQ$1004,1,MATCH(COLUMNS($AO$1006:BL1006),$AO$1006:$BQ$1006,0)))),"Fix")))</f>
        <v>#N/A</v>
      </c>
      <c r="Z910" s="5" t="e">
        <f ca="1">IF(OR(INDEX($AI$2:$AI$1001,MATCH(ROWS($AH$2:AH910),$AH$2:$AH$1001,0),1)&gt;=100000,INDEX($AO$1005:$BQ$1005,1,MATCH(COLUMNS($AO$1006:BM1006),$AO$1006:$BQ$1006,0))&gt;=100000), " ",IF(INDEX($AO$2:$BQ$1001,MATCH(ROWS($AH$2:AH910),$AH$2:$AH$1001,0),MATCH(COLUMNS($AO$1006:BM1006),$AO$1006:$BQ$1006,0)), HYPERLINK("#",""), HYPERLINK(CONCATENATE("#Metadata!", ADDRESS(INDEX($AJ$2:$AJ$1001,MATCH(ROWS($AH$2:AH910),$AH$2:$AH$1001,0),0), INDEX($AO$1004:$BQ$1004,1,MATCH(COLUMNS($AO$1006:BM1006),$AO$1006:$BQ$1006,0)))),"Fix")))</f>
        <v>#N/A</v>
      </c>
      <c r="AA910" s="5" t="e">
        <f ca="1">IF(OR(INDEX($AI$2:$AI$1001,MATCH(ROWS($AH$2:AH910),$AH$2:$AH$1001,0),1)&gt;=100000,INDEX($AO$1005:$BQ$1005,1,MATCH(COLUMNS($AO$1006:BN1006),$AO$1006:$BQ$1006,0))&gt;=100000), " ",IF(INDEX($AO$2:$BQ$1001,MATCH(ROWS($AH$2:AH910),$AH$2:$AH$1001,0),MATCH(COLUMNS($AO$1006:BN1006),$AO$1006:$BQ$1006,0)), HYPERLINK("#",""), HYPERLINK(CONCATENATE("#Metadata!", ADDRESS(INDEX($AJ$2:$AJ$1001,MATCH(ROWS($AH$2:AH910),$AH$2:$AH$1001,0),0), INDEX($AO$1004:$BQ$1004,1,MATCH(COLUMNS($AO$1006:BN1006),$AO$1006:$BQ$1006,0)))),"Fix")))</f>
        <v>#N/A</v>
      </c>
      <c r="AB910" s="5" t="e">
        <f ca="1">IF(OR(INDEX($AI$2:$AI$1001,MATCH(ROWS($AH$2:AH910),$AH$2:$AH$1001,0),1)&gt;=100000,INDEX($AO$1005:$BQ$1005,1,MATCH(COLUMNS($AO$1006:BO1006),$AO$1006:$BQ$1006,0))&gt;=100000), " ",IF(INDEX($AO$2:$BQ$1001,MATCH(ROWS($AH$2:AH910),$AH$2:$AH$1001,0),MATCH(COLUMNS($AO$1006:BO1006),$AO$1006:$BQ$1006,0)), HYPERLINK("#",""), HYPERLINK(CONCATENATE("#Metadata!", ADDRESS(INDEX($AJ$2:$AJ$1001,MATCH(ROWS($AH$2:AH910),$AH$2:$AH$1001,0),0), INDEX($AO$1004:$BQ$1004,1,MATCH(COLUMNS($AO$1006:BO1006),$AO$1006:$BQ$1006,0)))),"Fix")))</f>
        <v>#N/A</v>
      </c>
      <c r="AC910" s="5" t="e">
        <f ca="1">IF(OR(INDEX($AI$2:$AI$1001,MATCH(ROWS($AH$2:AH910),$AH$2:$AH$1001,0),1)&gt;=100000,INDEX($AO$1005:$BQ$1005,1,MATCH(COLUMNS($AO$1006:BP1006),$AO$1006:$BQ$1006,0))&gt;=100000), " ",IF(INDEX($AO$2:$BQ$1001,MATCH(ROWS($AH$2:AH910),$AH$2:$AH$1001,0),MATCH(COLUMNS($AO$1006:BP1006),$AO$1006:$BQ$1006,0)), HYPERLINK("#",""), HYPERLINK(CONCATENATE("#Metadata!", ADDRESS(INDEX($AJ$2:$AJ$1001,MATCH(ROWS($AH$2:AH910),$AH$2:$AH$1001,0),0), INDEX($AO$1004:$BQ$1004,1,MATCH(COLUMNS($AO$1006:BP1006),$AO$1006:$BQ$1006,0)))),"Fix")))</f>
        <v>#N/A</v>
      </c>
      <c r="AD910" s="5" t="e">
        <f ca="1">IF(OR(INDEX($AI$2:$AI$1001,MATCH(ROWS($AH$2:AH910),$AH$2:$AH$1001,0),1)&gt;=100000,INDEX($AO$1005:$BQ$1005,1,MATCH(COLUMNS($AO$1006:BQ1006),$AO$1006:$BQ$1006,0))&gt;=100000), " ",IF(INDEX($AO$2:$BQ$1001,MATCH(ROWS($AH$2:AH910),$AH$2:$AH$1001,0),MATCH(COLUMNS($AO$1006:BQ1006),$AO$1006:$BQ$1006,0)), HYPERLINK("#",""), HYPERLINK(CONCATENATE("#Metadata!", ADDRESS(INDEX($AJ$2:$AJ$1001,MATCH(ROWS($AH$2:AH910),$AH$2:$AH$1001,0),0), INDEX($AO$1004:$BQ$1004,1,MATCH(COLUMNS($AO$1006:BQ1006),$AO$1006:$BQ$1006,0)))),"Fix")))</f>
        <v>#REF!</v>
      </c>
      <c r="AH910">
        <f ca="1"/>
        <v>907</v>
      </c>
      <c r="AI910">
        <v>100910</v>
      </c>
      <c r="AJ910">
        <v>910</v>
      </c>
      <c r="AK910" t="b">
        <f t="shared" si="14"/>
        <v>1</v>
      </c>
      <c r="AL910" t="b">
        <f>COUNTBLANK(Metadata!B910:AD910)=COLUMNS(Metadata!B910:AD910)</f>
        <v>1</v>
      </c>
      <c r="AM910" t="str">
        <v/>
      </c>
      <c r="AO910" t="b">
        <f ca="1">AND(IF(Metadata!B910="",FALSE,TRUE),COUNTIF(Metadata!B:B, Metadata!B910) = 1,NOT(ISERROR(SUMPRODUCT(SEARCH(MID(Metadata!B910,ROW(INDIRECT("1:"&amp;LEN(Metadata!B910))), 1),"0123456789abcdefghijklmnopqrstuvwxyzABCDEFGHIJKLMNOPQRSTUVWXYZ.")))))</f>
        <v>0</v>
      </c>
      <c r="AP910" t="b">
        <f>IF(Metadata!C910="",FALSE,TRUE)</f>
        <v>0</v>
      </c>
      <c r="AQ910" t="b">
        <f>IF(Metadata!D910="",FALSE,TRUE)</f>
        <v>0</v>
      </c>
      <c r="AR910" t="b">
        <f ca="1">OR(AND(IF(Metadata!E910="",FALSE,TRUE),OR(EXACT(Metadata!E910,"not collected"),EXACT(Metadata!E910,"not provided"),EXACT(Metadata!E910,"restricted access"))),AND(IF(Metadata!E910="",FALSE,TRUE),AND(AND(IFERROR(INT(LEFT(Metadata!E910,4))&gt;1900,FALSE),IFERROR(INT(LEFT(Metadata!E910,4))&lt;=YEAR(NOW()),FALSE)), OR(MID(Metadata!E910,5,1)="", AND(AND(MID(Metadata!E910,5,1)="-",IFERROR(INT(MID(Metadata!E910,6,1))&gt;=0,FALSE),IFERROR(INT(MID(Metadata!E910,6,1))&lt;=1,FALSE),NOT(MID(Metadata!E910,7,1)=""),IFERROR(INT(MID(Metadata!E910,6,2))&gt;=1,FALSE),IFERROR(INT(MID(Metadata!E910,6,2))&lt;=12,FALSE)), OR(MID(Metadata!E910,8,1)="", AND(AND(MID(Metadata!E910,8,1)="-",IFERROR(INT(MID(Metadata!E910,9,1))&gt;=0,FALSE),IFERROR(INT(MID(Metadata!E910,9,1))&lt;=3,FALSE),NOT(MID(Metadata!E910,10,1)=""),IFERROR(INT(MID(Metadata!E910,9,2))&gt;=1,FALSE),IFERROR(INT(MID(Metadata!E910,9,2))&lt;=31,FALSE)), OR(MID(Metadata!E910,11,1)="", AND(AND(MID(Metadata!E910,11,1)=" ",IFERROR(INT(MID(Metadata!E910,12,1))&gt;=0,FALSE),IFERROR(INT(MID(Metadata!E910,12,1))&lt;=2,FALSE),NOT(MID(Metadata!E910,13,1)=""),IFERROR(INT(MID(Metadata!E910,12,2))&gt;=0,FALSE),IFERROR(INT(MID(Metadata!E910,12,2))&lt;=23,FALSE)), OR(MID(Metadata!E910,14,1)="", AND(AND(MID(Metadata!E910,14,1)=":",IFERROR(INT(MID(Metadata!E910,15,1))&gt;=0,FALSE),IFERROR(INT(MID(Metadata!E910,15,1))&lt;=5,FALSE),NOT(MID(Metadata!E910,16,1)=""),IFERROR(INT(MID(Metadata!E910,15,2))&gt;=0,FALSE),IFERROR(INT(MID(Metadata!E910,15,2))&lt;=59,FALSE)), OR(MID(Metadata!E910,17,1)="", AND(AND(MID(Metadata!E910,17,1)=":",IFERROR(INT(MID(Metadata!E910,18,1))&gt;=0,FALSE),IFERROR(INT(MID(Metadata!E910,18,1))&lt;=5,FALSE),NOT(MID(Metadata!E910,19,1)=""),IFERROR(INT(MID(Metadata!E910,18,2))&gt;=0,FALSE),IFERROR(INT(MID(Metadata!E910,18,2))&lt;=59,FALSE)), LEN(Metadata!E910)&lt;=19)))))))))))))</f>
        <v>0</v>
      </c>
      <c r="AS910" t="b">
        <f>IF(Metadata!F910="",FALSE,TRUE)</f>
        <v>0</v>
      </c>
      <c r="AT910" t="b">
        <f>OR(AND(IF(Metadata!G910="",FALSE,TRUE),OR(EXACT(Metadata!G910,"not collected"),EXACT(Metadata!G910,"not provided"))),AND(IF(Metadata!G910="",FALSE,TRUE),OR(EXACT(Metadata!G910,"TRUE"),EXACT(Metadata!G910,"FALSE"))))</f>
        <v>0</v>
      </c>
      <c r="AU910" t="b">
        <f>OR(AND(IF(Metadata!H910="",FALSE,TRUE),OR(EXACT(Metadata!H910,"not collected"),EXACT(Metadata!H910,"not provided"),EXACT(Metadata!H910,"restricted access"))),AND(IF(Metadata!H910="",FALSE,ISNUMBER(VALUE(Metadata!H910))),Metadata!H910&gt;=-413))</f>
        <v>0</v>
      </c>
      <c r="AV910" t="b">
        <f>AND(IF(Metadata!I910="",FALSE,TRUE),EXACT(Metadata!I910,"meters"))</f>
        <v>0</v>
      </c>
      <c r="AW910" t="b">
        <f>AND(IF(Metadata!J910="",FALSE,TRUE),EXACT(Metadata!J910,"free-living"))</f>
        <v>0</v>
      </c>
      <c r="AX910" t="b">
        <f>AND(IF(Metadata!K910="",FALSE,TRUE),OR(EXACT(Metadata!K910,"saline"),EXACT(Metadata!K910,"non-saline")))</f>
        <v>0</v>
      </c>
      <c r="AY910" t="b">
        <f>AND(IF(Metadata!L910="",FALSE,TRUE),OR(EXACT(Metadata!L910,"sub-surface (non-saline)"),EXACT(Metadata!L910,"surface (non-saline)"),EXACT(Metadata!L910,"water (non-saline)"),EXACT(Metadata!L910,"soil (non-saline)"),EXACT(Metadata!L910,"aerosol (non-saline)"),EXACT(Metadata!L910,"sediment (non-saline)"),EXACT(Metadata!L910,"surface (saline)"),EXACT(Metadata!L910,"water (saline)"),EXACT(Metadata!L910,"hypersaline (saline)"),EXACT(Metadata!L910,"aerosol (saline)"),EXACT(Metadata!L910,"sediment (saline)")))</f>
        <v>0</v>
      </c>
      <c r="AZ910" t="b">
        <f>IF(Metadata!M910="",FALSE,TRUE)</f>
        <v>0</v>
      </c>
      <c r="BA910" t="b">
        <f>IF(Metadata!N910="",FALSE,TRUE)</f>
        <v>0</v>
      </c>
      <c r="BB910" t="b">
        <f>IF(Metadata!O910="",FALSE,TRUE)</f>
        <v>0</v>
      </c>
      <c r="BC910" t="b">
        <f>AND(IF(Metadata!P910="",FALSE,TRUE),OR(EXACT(Metadata!P910,"air"),EXACT(Metadata!P910,"microbial mat/biofilm"),EXACT(Metadata!P910,"misc environment"),EXACT(Metadata!P910,"sediment"),EXACT(Metadata!P910,"soil"),EXACT(Metadata!P910,"wastewater/sludge"),EXACT(Metadata!P910,"water")))</f>
        <v>0</v>
      </c>
      <c r="BD910" t="b">
        <f>IF(Metadata!Q910="",FALSE,TRUE)</f>
        <v>0</v>
      </c>
      <c r="BE910" t="b">
        <f>IF(Metadata!R910="",FALSE,TRUE)</f>
        <v>0</v>
      </c>
      <c r="BF910" t="b">
        <f>OR(AND(IF(Metadata!S910="",FALSE,TRUE),OR(EXACT(Metadata!S910,"not collected"),EXACT(Metadata!S910,"not provided"),EXACT(Metadata!S910,"restricted access"))),AND(IF(Metadata!S910="",FALSE,ISNUMBER(VALUE(Metadata!S910))),Metadata!S910&gt;=-90,Metadata!S910&lt;=90))</f>
        <v>0</v>
      </c>
      <c r="BG910" t="b">
        <f>AND(IF(Metadata!T910="",FALSE,TRUE),EXACT(Metadata!T910,"Decimal degrees"))</f>
        <v>0</v>
      </c>
      <c r="BH910" t="b">
        <f>OR(AND(IF(Metadata!U910="",FALSE,TRUE),OR(EXACT(Metadata!U910,"not applicable"),EXACT(Metadata!U910,"not collected"))),IF(Metadata!U910="",FALSE,TRUE))</f>
        <v>0</v>
      </c>
      <c r="BI910" t="b">
        <f>OR(AND(IF(Metadata!V910="",FALSE,TRUE),OR(EXACT(Metadata!V910,"not collected"),EXACT(Metadata!V910,"not provided"),EXACT(Metadata!V910,"restricted access"))),AND(IF(Metadata!V910="",FALSE,ISNUMBER(VALUE(Metadata!V910))),Metadata!V910&gt;=-180,Metadata!V910&lt;=180))</f>
        <v>0</v>
      </c>
      <c r="BJ910" t="b">
        <f>AND(IF(Metadata!W910="",FALSE,TRUE),EXACT(Metadata!W910,"Decimal degrees"))</f>
        <v>0</v>
      </c>
      <c r="BK910" t="b">
        <f>IF(Metadata!X910="",FALSE,TRUE)</f>
        <v>0</v>
      </c>
      <c r="BL910" t="b">
        <f>OR(AND(IF(Metadata!Y910="",FALSE,TRUE),OR(EXACT(Metadata!Y910,"not collected"),EXACT(Metadata!Y910,"not provided"),EXACT(Metadata!Y910,"restricted access"))),AND(IF(Metadata!Y910="",FALSE,TRUE),OR(EXACT(Metadata!Y910,"TRUE"),EXACT(Metadata!Y910,"FALSE"))))</f>
        <v>0</v>
      </c>
      <c r="BM910" t="b">
        <f>OR(AND(IF(Metadata!Z910="",FALSE,TRUE),EXACT(Metadata!Z910,"not applicable")),AND(IF(Metadata!Z910="",FALSE,TRUE),OR(EXACT(Metadata!Z910,"beer"),EXACT(Metadata!Z910,"cheese"),EXACT(Metadata!Z910,"fresh water"),EXACT(Metadata!Z910,"marine sediment"),EXACT(Metadata!Z910,"sea water"),EXACT(Metadata!Z910,"sediment"),EXACT(Metadata!Z910,"soil"),EXACT(Metadata!Z910,"waste water"))))</f>
        <v>0</v>
      </c>
      <c r="BN910" t="b">
        <f>AND(IF(Metadata!AA910="",FALSE,TRUE),EXACT(Metadata!AA910,"metagenome"))</f>
        <v>0</v>
      </c>
      <c r="BO910" t="b">
        <f>AND(IF(Metadata!AB910="",FALSE,TRUE),EXACT(Metadata!AB910,"256318"))</f>
        <v>0</v>
      </c>
      <c r="BP910" t="b">
        <f>IF(Metadata!AC910="",FALSE,TRUE)</f>
        <v>0</v>
      </c>
      <c r="BQ910" t="b">
        <f>IF(Metadata!AD910="",FALSE,TRUE)</f>
        <v>0</v>
      </c>
    </row>
    <row r="911" spans="1:69" x14ac:dyDescent="0.2">
      <c r="A911" s="4" t="e">
        <f ca="1">IF(B911=" "," ",HYPERLINK(CONCATENATE("#metadata!",ADDRESS(INDEX($AJ$2:$AJ$1001,MATCH(ROWS($AH$2:AH911),$AH$2:$AH$1001,0),0),2)),INDEX($AM$2:$AM$1001,MATCH(ROWS($AH$2:AH911),$AH$2:$AH$1001,0),0)))</f>
        <v>#N/A</v>
      </c>
      <c r="B911" s="5" t="e">
        <f ca="1">IF(OR(INDEX($AI$2:$AI$1001,MATCH(ROWS($AH$2:AH911),$AH$2:$AH$1001,0),1)&gt;=100000,INDEX($AO$1005:$BQ$1005,1,MATCH(COLUMNS($AO$1006:AO1006),$AO$1006:$BQ$1006,0))&gt;=100000), " ",IF(INDEX($AO$2:$BQ$1001,MATCH(ROWS($AH$2:AH911),$AH$2:$AH$1001,0),MATCH(COLUMNS($AO$1006:AO1006),$AO$1006:$BQ$1006,0)), HYPERLINK("#",""), HYPERLINK(CONCATENATE("#Metadata!", ADDRESS(INDEX($AJ$2:$AJ$1001,MATCH(ROWS($AH$2:AH911),$AH$2:$AH$1001,0),0), INDEX($AO$1004:$BQ$1004,1,MATCH(COLUMNS($AO$1006:AO1006),$AO$1006:$BQ$1006,0)))),"Fix")))</f>
        <v>#N/A</v>
      </c>
      <c r="C911" s="5" t="e">
        <f ca="1">IF(OR(INDEX($AI$2:$AI$1001,MATCH(ROWS($AH$2:AH911),$AH$2:$AH$1001,0),1)&gt;=100000,INDEX($AO$1005:$BQ$1005,1,MATCH(COLUMNS($AO$1006:AP1006),$AO$1006:$BQ$1006,0))&gt;=100000), " ",IF(INDEX($AO$2:$BQ$1001,MATCH(ROWS($AH$2:AH911),$AH$2:$AH$1001,0),MATCH(COLUMNS($AO$1006:AP1006),$AO$1006:$BQ$1006,0)), HYPERLINK("#",""), HYPERLINK(CONCATENATE("#Metadata!", ADDRESS(INDEX($AJ$2:$AJ$1001,MATCH(ROWS($AH$2:AH911),$AH$2:$AH$1001,0),0), INDEX($AO$1004:$BQ$1004,1,MATCH(COLUMNS($AO$1006:AP1006),$AO$1006:$BQ$1006,0)))),"Fix")))</f>
        <v>#N/A</v>
      </c>
      <c r="D911" s="5" t="e">
        <f ca="1">IF(OR(INDEX($AI$2:$AI$1001,MATCH(ROWS($AH$2:AH911),$AH$2:$AH$1001,0),1)&gt;=100000,INDEX($AO$1005:$BQ$1005,1,MATCH(COLUMNS($AO$1006:AQ1006),$AO$1006:$BQ$1006,0))&gt;=100000), " ",IF(INDEX($AO$2:$BQ$1001,MATCH(ROWS($AH$2:AH911),$AH$2:$AH$1001,0),MATCH(COLUMNS($AO$1006:AQ1006),$AO$1006:$BQ$1006,0)), HYPERLINK("#",""), HYPERLINK(CONCATENATE("#Metadata!", ADDRESS(INDEX($AJ$2:$AJ$1001,MATCH(ROWS($AH$2:AH911),$AH$2:$AH$1001,0),0), INDEX($AO$1004:$BQ$1004,1,MATCH(COLUMNS($AO$1006:AQ1006),$AO$1006:$BQ$1006,0)))),"Fix")))</f>
        <v>#N/A</v>
      </c>
      <c r="E911" s="5" t="e">
        <f ca="1">IF(OR(INDEX($AI$2:$AI$1001,MATCH(ROWS($AH$2:AH911),$AH$2:$AH$1001,0),1)&gt;=100000,INDEX($AO$1005:$BQ$1005,1,MATCH(COLUMNS($AO$1006:AR1006),$AO$1006:$BQ$1006,0))&gt;=100000), " ",IF(INDEX($AO$2:$BQ$1001,MATCH(ROWS($AH$2:AH911),$AH$2:$AH$1001,0),MATCH(COLUMNS($AO$1006:AR1006),$AO$1006:$BQ$1006,0)), HYPERLINK("#",""), HYPERLINK(CONCATENATE("#Metadata!", ADDRESS(INDEX($AJ$2:$AJ$1001,MATCH(ROWS($AH$2:AH911),$AH$2:$AH$1001,0),0), INDEX($AO$1004:$BQ$1004,1,MATCH(COLUMNS($AO$1006:AR1006),$AO$1006:$BQ$1006,0)))),"Fix")))</f>
        <v>#N/A</v>
      </c>
      <c r="F911" s="5" t="e">
        <f ca="1">IF(OR(INDEX($AI$2:$AI$1001,MATCH(ROWS($AH$2:AH911),$AH$2:$AH$1001,0),1)&gt;=100000,INDEX($AO$1005:$BQ$1005,1,MATCH(COLUMNS($AO$1006:AS1006),$AO$1006:$BQ$1006,0))&gt;=100000), " ",IF(INDEX($AO$2:$BQ$1001,MATCH(ROWS($AH$2:AH911),$AH$2:$AH$1001,0),MATCH(COLUMNS($AO$1006:AS1006),$AO$1006:$BQ$1006,0)), HYPERLINK("#",""), HYPERLINK(CONCATENATE("#Metadata!", ADDRESS(INDEX($AJ$2:$AJ$1001,MATCH(ROWS($AH$2:AH911),$AH$2:$AH$1001,0),0), INDEX($AO$1004:$BQ$1004,1,MATCH(COLUMNS($AO$1006:AS1006),$AO$1006:$BQ$1006,0)))),"Fix")))</f>
        <v>#N/A</v>
      </c>
      <c r="G911" s="5" t="e">
        <f ca="1">IF(OR(INDEX($AI$2:$AI$1001,MATCH(ROWS($AH$2:AH911),$AH$2:$AH$1001,0),1)&gt;=100000,INDEX($AO$1005:$BQ$1005,1,MATCH(COLUMNS($AO$1006:AT1006),$AO$1006:$BQ$1006,0))&gt;=100000), " ",IF(INDEX($AO$2:$BQ$1001,MATCH(ROWS($AH$2:AH911),$AH$2:$AH$1001,0),MATCH(COLUMNS($AO$1006:AT1006),$AO$1006:$BQ$1006,0)), HYPERLINK("#",""), HYPERLINK(CONCATENATE("#Metadata!", ADDRESS(INDEX($AJ$2:$AJ$1001,MATCH(ROWS($AH$2:AH911),$AH$2:$AH$1001,0),0), INDEX($AO$1004:$BQ$1004,1,MATCH(COLUMNS($AO$1006:AT1006),$AO$1006:$BQ$1006,0)))),"Fix")))</f>
        <v>#N/A</v>
      </c>
      <c r="H911" s="5" t="e">
        <f ca="1">IF(OR(INDEX($AI$2:$AI$1001,MATCH(ROWS($AH$2:AH911),$AH$2:$AH$1001,0),1)&gt;=100000,INDEX($AO$1005:$BQ$1005,1,MATCH(COLUMNS($AO$1006:AU1006),$AO$1006:$BQ$1006,0))&gt;=100000), " ",IF(INDEX($AO$2:$BQ$1001,MATCH(ROWS($AH$2:AH911),$AH$2:$AH$1001,0),MATCH(COLUMNS($AO$1006:AU1006),$AO$1006:$BQ$1006,0)), HYPERLINK("#",""), HYPERLINK(CONCATENATE("#Metadata!", ADDRESS(INDEX($AJ$2:$AJ$1001,MATCH(ROWS($AH$2:AH911),$AH$2:$AH$1001,0),0), INDEX($AO$1004:$BQ$1004,1,MATCH(COLUMNS($AO$1006:AU1006),$AO$1006:$BQ$1006,0)))),"Fix")))</f>
        <v>#N/A</v>
      </c>
      <c r="I911" s="5" t="e">
        <f ca="1">IF(OR(INDEX($AI$2:$AI$1001,MATCH(ROWS($AH$2:AH911),$AH$2:$AH$1001,0),1)&gt;=100000,INDEX($AO$1005:$BQ$1005,1,MATCH(COLUMNS($AO$1006:AV1006),$AO$1006:$BQ$1006,0))&gt;=100000), " ",IF(INDEX($AO$2:$BQ$1001,MATCH(ROWS($AH$2:AH911),$AH$2:$AH$1001,0),MATCH(COLUMNS($AO$1006:AV1006),$AO$1006:$BQ$1006,0)), HYPERLINK("#",""), HYPERLINK(CONCATENATE("#Metadata!", ADDRESS(INDEX($AJ$2:$AJ$1001,MATCH(ROWS($AH$2:AH911),$AH$2:$AH$1001,0),0), INDEX($AO$1004:$BQ$1004,1,MATCH(COLUMNS($AO$1006:AV1006),$AO$1006:$BQ$1006,0)))),"Fix")))</f>
        <v>#N/A</v>
      </c>
      <c r="J911" s="5" t="e">
        <f ca="1">IF(OR(INDEX($AI$2:$AI$1001,MATCH(ROWS($AH$2:AH911),$AH$2:$AH$1001,0),1)&gt;=100000,INDEX($AO$1005:$BQ$1005,1,MATCH(COLUMNS($AO$1006:AW1006),$AO$1006:$BQ$1006,0))&gt;=100000), " ",IF(INDEX($AO$2:$BQ$1001,MATCH(ROWS($AH$2:AH911),$AH$2:$AH$1001,0),MATCH(COLUMNS($AO$1006:AW1006),$AO$1006:$BQ$1006,0)), HYPERLINK("#",""), HYPERLINK(CONCATENATE("#Metadata!", ADDRESS(INDEX($AJ$2:$AJ$1001,MATCH(ROWS($AH$2:AH911),$AH$2:$AH$1001,0),0), INDEX($AO$1004:$BQ$1004,1,MATCH(COLUMNS($AO$1006:AW1006),$AO$1006:$BQ$1006,0)))),"Fix")))</f>
        <v>#N/A</v>
      </c>
      <c r="K911" s="5" t="e">
        <f ca="1">IF(OR(INDEX($AI$2:$AI$1001,MATCH(ROWS($AH$2:AH911),$AH$2:$AH$1001,0),1)&gt;=100000,INDEX($AO$1005:$BQ$1005,1,MATCH(COLUMNS($AO$1006:AX1006),$AO$1006:$BQ$1006,0))&gt;=100000), " ",IF(INDEX($AO$2:$BQ$1001,MATCH(ROWS($AH$2:AH911),$AH$2:$AH$1001,0),MATCH(COLUMNS($AO$1006:AX1006),$AO$1006:$BQ$1006,0)), HYPERLINK("#",""), HYPERLINK(CONCATENATE("#Metadata!", ADDRESS(INDEX($AJ$2:$AJ$1001,MATCH(ROWS($AH$2:AH911),$AH$2:$AH$1001,0),0), INDEX($AO$1004:$BQ$1004,1,MATCH(COLUMNS($AO$1006:AX1006),$AO$1006:$BQ$1006,0)))),"Fix")))</f>
        <v>#N/A</v>
      </c>
      <c r="L911" s="5" t="e">
        <f ca="1">IF(OR(INDEX($AI$2:$AI$1001,MATCH(ROWS($AH$2:AH911),$AH$2:$AH$1001,0),1)&gt;=100000,INDEX($AO$1005:$BQ$1005,1,MATCH(COLUMNS($AO$1006:AY1006),$AO$1006:$BQ$1006,0))&gt;=100000), " ",IF(INDEX($AO$2:$BQ$1001,MATCH(ROWS($AH$2:AH911),$AH$2:$AH$1001,0),MATCH(COLUMNS($AO$1006:AY1006),$AO$1006:$BQ$1006,0)), HYPERLINK("#",""), HYPERLINK(CONCATENATE("#Metadata!", ADDRESS(INDEX($AJ$2:$AJ$1001,MATCH(ROWS($AH$2:AH911),$AH$2:$AH$1001,0),0), INDEX($AO$1004:$BQ$1004,1,MATCH(COLUMNS($AO$1006:AY1006),$AO$1006:$BQ$1006,0)))),"Fix")))</f>
        <v>#N/A</v>
      </c>
      <c r="M911" s="5" t="e">
        <f ca="1">IF(OR(INDEX($AI$2:$AI$1001,MATCH(ROWS($AH$2:AH911),$AH$2:$AH$1001,0),1)&gt;=100000,INDEX($AO$1005:$BQ$1005,1,MATCH(COLUMNS($AO$1006:AZ1006),$AO$1006:$BQ$1006,0))&gt;=100000), " ",IF(INDEX($AO$2:$BQ$1001,MATCH(ROWS($AH$2:AH911),$AH$2:$AH$1001,0),MATCH(COLUMNS($AO$1006:AZ1006),$AO$1006:$BQ$1006,0)), HYPERLINK("#",""), HYPERLINK(CONCATENATE("#Metadata!", ADDRESS(INDEX($AJ$2:$AJ$1001,MATCH(ROWS($AH$2:AH911),$AH$2:$AH$1001,0),0), INDEX($AO$1004:$BQ$1004,1,MATCH(COLUMNS($AO$1006:AZ1006),$AO$1006:$BQ$1006,0)))),"Fix")))</f>
        <v>#N/A</v>
      </c>
      <c r="N911" s="5" t="e">
        <f ca="1">IF(OR(INDEX($AI$2:$AI$1001,MATCH(ROWS($AH$2:AH911),$AH$2:$AH$1001,0),1)&gt;=100000,INDEX($AO$1005:$BQ$1005,1,MATCH(COLUMNS($AO$1006:BA1006),$AO$1006:$BQ$1006,0))&gt;=100000), " ",IF(INDEX($AO$2:$BQ$1001,MATCH(ROWS($AH$2:AH911),$AH$2:$AH$1001,0),MATCH(COLUMNS($AO$1006:BA1006),$AO$1006:$BQ$1006,0)), HYPERLINK("#",""), HYPERLINK(CONCATENATE("#Metadata!", ADDRESS(INDEX($AJ$2:$AJ$1001,MATCH(ROWS($AH$2:AH911),$AH$2:$AH$1001,0),0), INDEX($AO$1004:$BQ$1004,1,MATCH(COLUMNS($AO$1006:BA1006),$AO$1006:$BQ$1006,0)))),"Fix")))</f>
        <v>#N/A</v>
      </c>
      <c r="O911" s="5" t="e">
        <f ca="1">IF(OR(INDEX($AI$2:$AI$1001,MATCH(ROWS($AH$2:AH911),$AH$2:$AH$1001,0),1)&gt;=100000,INDEX($AO$1005:$BQ$1005,1,MATCH(COLUMNS($AO$1006:BB1006),$AO$1006:$BQ$1006,0))&gt;=100000), " ",IF(INDEX($AO$2:$BQ$1001,MATCH(ROWS($AH$2:AH911),$AH$2:$AH$1001,0),MATCH(COLUMNS($AO$1006:BB1006),$AO$1006:$BQ$1006,0)), HYPERLINK("#",""), HYPERLINK(CONCATENATE("#Metadata!", ADDRESS(INDEX($AJ$2:$AJ$1001,MATCH(ROWS($AH$2:AH911),$AH$2:$AH$1001,0),0), INDEX($AO$1004:$BQ$1004,1,MATCH(COLUMNS($AO$1006:BB1006),$AO$1006:$BQ$1006,0)))),"Fix")))</f>
        <v>#N/A</v>
      </c>
      <c r="P911" s="5" t="e">
        <f ca="1">IF(OR(INDEX($AI$2:$AI$1001,MATCH(ROWS($AH$2:AH911),$AH$2:$AH$1001,0),1)&gt;=100000,INDEX($AO$1005:$BQ$1005,1,MATCH(COLUMNS($AO$1006:BC1006),$AO$1006:$BQ$1006,0))&gt;=100000), " ",IF(INDEX($AO$2:$BQ$1001,MATCH(ROWS($AH$2:AH911),$AH$2:$AH$1001,0),MATCH(COLUMNS($AO$1006:BC1006),$AO$1006:$BQ$1006,0)), HYPERLINK("#",""), HYPERLINK(CONCATENATE("#Metadata!", ADDRESS(INDEX($AJ$2:$AJ$1001,MATCH(ROWS($AH$2:AH911),$AH$2:$AH$1001,0),0), INDEX($AO$1004:$BQ$1004,1,MATCH(COLUMNS($AO$1006:BC1006),$AO$1006:$BQ$1006,0)))),"Fix")))</f>
        <v>#N/A</v>
      </c>
      <c r="Q911" s="5" t="e">
        <f ca="1">IF(OR(INDEX($AI$2:$AI$1001,MATCH(ROWS($AH$2:AH911),$AH$2:$AH$1001,0),1)&gt;=100000,INDEX($AO$1005:$BQ$1005,1,MATCH(COLUMNS($AO$1006:BD1006),$AO$1006:$BQ$1006,0))&gt;=100000), " ",IF(INDEX($AO$2:$BQ$1001,MATCH(ROWS($AH$2:AH911),$AH$2:$AH$1001,0),MATCH(COLUMNS($AO$1006:BD1006),$AO$1006:$BQ$1006,0)), HYPERLINK("#",""), HYPERLINK(CONCATENATE("#Metadata!", ADDRESS(INDEX($AJ$2:$AJ$1001,MATCH(ROWS($AH$2:AH911),$AH$2:$AH$1001,0),0), INDEX($AO$1004:$BQ$1004,1,MATCH(COLUMNS($AO$1006:BD1006),$AO$1006:$BQ$1006,0)))),"Fix")))</f>
        <v>#N/A</v>
      </c>
      <c r="R911" s="5" t="e">
        <f ca="1">IF(OR(INDEX($AI$2:$AI$1001,MATCH(ROWS($AH$2:AH911),$AH$2:$AH$1001,0),1)&gt;=100000,INDEX($AO$1005:$BQ$1005,1,MATCH(COLUMNS($AO$1006:BE1006),$AO$1006:$BQ$1006,0))&gt;=100000), " ",IF(INDEX($AO$2:$BQ$1001,MATCH(ROWS($AH$2:AH911),$AH$2:$AH$1001,0),MATCH(COLUMNS($AO$1006:BE1006),$AO$1006:$BQ$1006,0)), HYPERLINK("#",""), HYPERLINK(CONCATENATE("#Metadata!", ADDRESS(INDEX($AJ$2:$AJ$1001,MATCH(ROWS($AH$2:AH911),$AH$2:$AH$1001,0),0), INDEX($AO$1004:$BQ$1004,1,MATCH(COLUMNS($AO$1006:BE1006),$AO$1006:$BQ$1006,0)))),"Fix")))</f>
        <v>#N/A</v>
      </c>
      <c r="S911" s="5" t="e">
        <f ca="1">IF(OR(INDEX($AI$2:$AI$1001,MATCH(ROWS($AH$2:AH911),$AH$2:$AH$1001,0),1)&gt;=100000,INDEX($AO$1005:$BQ$1005,1,MATCH(COLUMNS($AO$1006:BF1006),$AO$1006:$BQ$1006,0))&gt;=100000), " ",IF(INDEX($AO$2:$BQ$1001,MATCH(ROWS($AH$2:AH911),$AH$2:$AH$1001,0),MATCH(COLUMNS($AO$1006:BF1006),$AO$1006:$BQ$1006,0)), HYPERLINK("#",""), HYPERLINK(CONCATENATE("#Metadata!", ADDRESS(INDEX($AJ$2:$AJ$1001,MATCH(ROWS($AH$2:AH911),$AH$2:$AH$1001,0),0), INDEX($AO$1004:$BQ$1004,1,MATCH(COLUMNS($AO$1006:BF1006),$AO$1006:$BQ$1006,0)))),"Fix")))</f>
        <v>#N/A</v>
      </c>
      <c r="T911" s="5" t="e">
        <f ca="1">IF(OR(INDEX($AI$2:$AI$1001,MATCH(ROWS($AH$2:AH911),$AH$2:$AH$1001,0),1)&gt;=100000,INDEX($AO$1005:$BQ$1005,1,MATCH(COLUMNS($AO$1006:BG1006),$AO$1006:$BQ$1006,0))&gt;=100000), " ",IF(INDEX($AO$2:$BQ$1001,MATCH(ROWS($AH$2:AH911),$AH$2:$AH$1001,0),MATCH(COLUMNS($AO$1006:BG1006),$AO$1006:$BQ$1006,0)), HYPERLINK("#",""), HYPERLINK(CONCATENATE("#Metadata!", ADDRESS(INDEX($AJ$2:$AJ$1001,MATCH(ROWS($AH$2:AH911),$AH$2:$AH$1001,0),0), INDEX($AO$1004:$BQ$1004,1,MATCH(COLUMNS($AO$1006:BG1006),$AO$1006:$BQ$1006,0)))),"Fix")))</f>
        <v>#N/A</v>
      </c>
      <c r="U911" s="5" t="e">
        <f ca="1">IF(OR(INDEX($AI$2:$AI$1001,MATCH(ROWS($AH$2:AH911),$AH$2:$AH$1001,0),1)&gt;=100000,INDEX($AO$1005:$BQ$1005,1,MATCH(COLUMNS($AO$1006:BH1006),$AO$1006:$BQ$1006,0))&gt;=100000), " ",IF(INDEX($AO$2:$BQ$1001,MATCH(ROWS($AH$2:AH911),$AH$2:$AH$1001,0),MATCH(COLUMNS($AO$1006:BH1006),$AO$1006:$BQ$1006,0)), HYPERLINK("#",""), HYPERLINK(CONCATENATE("#Metadata!", ADDRESS(INDEX($AJ$2:$AJ$1001,MATCH(ROWS($AH$2:AH911),$AH$2:$AH$1001,0),0), INDEX($AO$1004:$BQ$1004,1,MATCH(COLUMNS($AO$1006:BH1006),$AO$1006:$BQ$1006,0)))),"Fix")))</f>
        <v>#N/A</v>
      </c>
      <c r="V911" s="5" t="e">
        <f ca="1">IF(OR(INDEX($AI$2:$AI$1001,MATCH(ROWS($AH$2:AH911),$AH$2:$AH$1001,0),1)&gt;=100000,INDEX($AO$1005:$BQ$1005,1,MATCH(COLUMNS($AO$1006:BI1006),$AO$1006:$BQ$1006,0))&gt;=100000), " ",IF(INDEX($AO$2:$BQ$1001,MATCH(ROWS($AH$2:AH911),$AH$2:$AH$1001,0),MATCH(COLUMNS($AO$1006:BI1006),$AO$1006:$BQ$1006,0)), HYPERLINK("#",""), HYPERLINK(CONCATENATE("#Metadata!", ADDRESS(INDEX($AJ$2:$AJ$1001,MATCH(ROWS($AH$2:AH911),$AH$2:$AH$1001,0),0), INDEX($AO$1004:$BQ$1004,1,MATCH(COLUMNS($AO$1006:BI1006),$AO$1006:$BQ$1006,0)))),"Fix")))</f>
        <v>#N/A</v>
      </c>
      <c r="W911" s="5" t="e">
        <f ca="1">IF(OR(INDEX($AI$2:$AI$1001,MATCH(ROWS($AH$2:AH911),$AH$2:$AH$1001,0),1)&gt;=100000,INDEX($AO$1005:$BQ$1005,1,MATCH(COLUMNS($AO$1006:BJ1006),$AO$1006:$BQ$1006,0))&gt;=100000), " ",IF(INDEX($AO$2:$BQ$1001,MATCH(ROWS($AH$2:AH911),$AH$2:$AH$1001,0),MATCH(COLUMNS($AO$1006:BJ1006),$AO$1006:$BQ$1006,0)), HYPERLINK("#",""), HYPERLINK(CONCATENATE("#Metadata!", ADDRESS(INDEX($AJ$2:$AJ$1001,MATCH(ROWS($AH$2:AH911),$AH$2:$AH$1001,0),0), INDEX($AO$1004:$BQ$1004,1,MATCH(COLUMNS($AO$1006:BJ1006),$AO$1006:$BQ$1006,0)))),"Fix")))</f>
        <v>#N/A</v>
      </c>
      <c r="X911" s="5" t="e">
        <f ca="1">IF(OR(INDEX($AI$2:$AI$1001,MATCH(ROWS($AH$2:AH911),$AH$2:$AH$1001,0),1)&gt;=100000,INDEX($AO$1005:$BQ$1005,1,MATCH(COLUMNS($AO$1006:BK1006),$AO$1006:$BQ$1006,0))&gt;=100000), " ",IF(INDEX($AO$2:$BQ$1001,MATCH(ROWS($AH$2:AH911),$AH$2:$AH$1001,0),MATCH(COLUMNS($AO$1006:BK1006),$AO$1006:$BQ$1006,0)), HYPERLINK("#",""), HYPERLINK(CONCATENATE("#Metadata!", ADDRESS(INDEX($AJ$2:$AJ$1001,MATCH(ROWS($AH$2:AH911),$AH$2:$AH$1001,0),0), INDEX($AO$1004:$BQ$1004,1,MATCH(COLUMNS($AO$1006:BK1006),$AO$1006:$BQ$1006,0)))),"Fix")))</f>
        <v>#N/A</v>
      </c>
      <c r="Y911" s="5" t="e">
        <f ca="1">IF(OR(INDEX($AI$2:$AI$1001,MATCH(ROWS($AH$2:AH911),$AH$2:$AH$1001,0),1)&gt;=100000,INDEX($AO$1005:$BQ$1005,1,MATCH(COLUMNS($AO$1006:BL1006),$AO$1006:$BQ$1006,0))&gt;=100000), " ",IF(INDEX($AO$2:$BQ$1001,MATCH(ROWS($AH$2:AH911),$AH$2:$AH$1001,0),MATCH(COLUMNS($AO$1006:BL1006),$AO$1006:$BQ$1006,0)), HYPERLINK("#",""), HYPERLINK(CONCATENATE("#Metadata!", ADDRESS(INDEX($AJ$2:$AJ$1001,MATCH(ROWS($AH$2:AH911),$AH$2:$AH$1001,0),0), INDEX($AO$1004:$BQ$1004,1,MATCH(COLUMNS($AO$1006:BL1006),$AO$1006:$BQ$1006,0)))),"Fix")))</f>
        <v>#N/A</v>
      </c>
      <c r="Z911" s="5" t="e">
        <f ca="1">IF(OR(INDEX($AI$2:$AI$1001,MATCH(ROWS($AH$2:AH911),$AH$2:$AH$1001,0),1)&gt;=100000,INDEX($AO$1005:$BQ$1005,1,MATCH(COLUMNS($AO$1006:BM1006),$AO$1006:$BQ$1006,0))&gt;=100000), " ",IF(INDEX($AO$2:$BQ$1001,MATCH(ROWS($AH$2:AH911),$AH$2:$AH$1001,0),MATCH(COLUMNS($AO$1006:BM1006),$AO$1006:$BQ$1006,0)), HYPERLINK("#",""), HYPERLINK(CONCATENATE("#Metadata!", ADDRESS(INDEX($AJ$2:$AJ$1001,MATCH(ROWS($AH$2:AH911),$AH$2:$AH$1001,0),0), INDEX($AO$1004:$BQ$1004,1,MATCH(COLUMNS($AO$1006:BM1006),$AO$1006:$BQ$1006,0)))),"Fix")))</f>
        <v>#N/A</v>
      </c>
      <c r="AA911" s="5" t="e">
        <f ca="1">IF(OR(INDEX($AI$2:$AI$1001,MATCH(ROWS($AH$2:AH911),$AH$2:$AH$1001,0),1)&gt;=100000,INDEX($AO$1005:$BQ$1005,1,MATCH(COLUMNS($AO$1006:BN1006),$AO$1006:$BQ$1006,0))&gt;=100000), " ",IF(INDEX($AO$2:$BQ$1001,MATCH(ROWS($AH$2:AH911),$AH$2:$AH$1001,0),MATCH(COLUMNS($AO$1006:BN1006),$AO$1006:$BQ$1006,0)), HYPERLINK("#",""), HYPERLINK(CONCATENATE("#Metadata!", ADDRESS(INDEX($AJ$2:$AJ$1001,MATCH(ROWS($AH$2:AH911),$AH$2:$AH$1001,0),0), INDEX($AO$1004:$BQ$1004,1,MATCH(COLUMNS($AO$1006:BN1006),$AO$1006:$BQ$1006,0)))),"Fix")))</f>
        <v>#N/A</v>
      </c>
      <c r="AB911" s="5" t="e">
        <f ca="1">IF(OR(INDEX($AI$2:$AI$1001,MATCH(ROWS($AH$2:AH911),$AH$2:$AH$1001,0),1)&gt;=100000,INDEX($AO$1005:$BQ$1005,1,MATCH(COLUMNS($AO$1006:BO1006),$AO$1006:$BQ$1006,0))&gt;=100000), " ",IF(INDEX($AO$2:$BQ$1001,MATCH(ROWS($AH$2:AH911),$AH$2:$AH$1001,0),MATCH(COLUMNS($AO$1006:BO1006),$AO$1006:$BQ$1006,0)), HYPERLINK("#",""), HYPERLINK(CONCATENATE("#Metadata!", ADDRESS(INDEX($AJ$2:$AJ$1001,MATCH(ROWS($AH$2:AH911),$AH$2:$AH$1001,0),0), INDEX($AO$1004:$BQ$1004,1,MATCH(COLUMNS($AO$1006:BO1006),$AO$1006:$BQ$1006,0)))),"Fix")))</f>
        <v>#N/A</v>
      </c>
      <c r="AC911" s="5" t="e">
        <f ca="1">IF(OR(INDEX($AI$2:$AI$1001,MATCH(ROWS($AH$2:AH911),$AH$2:$AH$1001,0),1)&gt;=100000,INDEX($AO$1005:$BQ$1005,1,MATCH(COLUMNS($AO$1006:BP1006),$AO$1006:$BQ$1006,0))&gt;=100000), " ",IF(INDEX($AO$2:$BQ$1001,MATCH(ROWS($AH$2:AH911),$AH$2:$AH$1001,0),MATCH(COLUMNS($AO$1006:BP1006),$AO$1006:$BQ$1006,0)), HYPERLINK("#",""), HYPERLINK(CONCATENATE("#Metadata!", ADDRESS(INDEX($AJ$2:$AJ$1001,MATCH(ROWS($AH$2:AH911),$AH$2:$AH$1001,0),0), INDEX($AO$1004:$BQ$1004,1,MATCH(COLUMNS($AO$1006:BP1006),$AO$1006:$BQ$1006,0)))),"Fix")))</f>
        <v>#N/A</v>
      </c>
      <c r="AD911" s="5" t="e">
        <f ca="1">IF(OR(INDEX($AI$2:$AI$1001,MATCH(ROWS($AH$2:AH911),$AH$2:$AH$1001,0),1)&gt;=100000,INDEX($AO$1005:$BQ$1005,1,MATCH(COLUMNS($AO$1006:BQ1006),$AO$1006:$BQ$1006,0))&gt;=100000), " ",IF(INDEX($AO$2:$BQ$1001,MATCH(ROWS($AH$2:AH911),$AH$2:$AH$1001,0),MATCH(COLUMNS($AO$1006:BQ1006),$AO$1006:$BQ$1006,0)), HYPERLINK("#",""), HYPERLINK(CONCATENATE("#Metadata!", ADDRESS(INDEX($AJ$2:$AJ$1001,MATCH(ROWS($AH$2:AH911),$AH$2:$AH$1001,0),0), INDEX($AO$1004:$BQ$1004,1,MATCH(COLUMNS($AO$1006:BQ1006),$AO$1006:$BQ$1006,0)))),"Fix")))</f>
        <v>#REF!</v>
      </c>
      <c r="AH911">
        <f ca="1"/>
        <v>908</v>
      </c>
      <c r="AI911">
        <v>100911</v>
      </c>
      <c r="AJ911">
        <v>911</v>
      </c>
      <c r="AK911" t="b">
        <f t="shared" si="14"/>
        <v>1</v>
      </c>
      <c r="AL911" t="b">
        <f>COUNTBLANK(Metadata!B911:AD911)=COLUMNS(Metadata!B911:AD911)</f>
        <v>1</v>
      </c>
      <c r="AM911" t="str">
        <v/>
      </c>
      <c r="AO911" t="b">
        <f ca="1">AND(IF(Metadata!B911="",FALSE,TRUE),COUNTIF(Metadata!B:B, Metadata!B911) = 1,NOT(ISERROR(SUMPRODUCT(SEARCH(MID(Metadata!B911,ROW(INDIRECT("1:"&amp;LEN(Metadata!B911))), 1),"0123456789abcdefghijklmnopqrstuvwxyzABCDEFGHIJKLMNOPQRSTUVWXYZ.")))))</f>
        <v>0</v>
      </c>
      <c r="AP911" t="b">
        <f>IF(Metadata!C911="",FALSE,TRUE)</f>
        <v>0</v>
      </c>
      <c r="AQ911" t="b">
        <f>IF(Metadata!D911="",FALSE,TRUE)</f>
        <v>0</v>
      </c>
      <c r="AR911" t="b">
        <f ca="1">OR(AND(IF(Metadata!E911="",FALSE,TRUE),OR(EXACT(Metadata!E911,"not collected"),EXACT(Metadata!E911,"not provided"),EXACT(Metadata!E911,"restricted access"))),AND(IF(Metadata!E911="",FALSE,TRUE),AND(AND(IFERROR(INT(LEFT(Metadata!E911,4))&gt;1900,FALSE),IFERROR(INT(LEFT(Metadata!E911,4))&lt;=YEAR(NOW()),FALSE)), OR(MID(Metadata!E911,5,1)="", AND(AND(MID(Metadata!E911,5,1)="-",IFERROR(INT(MID(Metadata!E911,6,1))&gt;=0,FALSE),IFERROR(INT(MID(Metadata!E911,6,1))&lt;=1,FALSE),NOT(MID(Metadata!E911,7,1)=""),IFERROR(INT(MID(Metadata!E911,6,2))&gt;=1,FALSE),IFERROR(INT(MID(Metadata!E911,6,2))&lt;=12,FALSE)), OR(MID(Metadata!E911,8,1)="", AND(AND(MID(Metadata!E911,8,1)="-",IFERROR(INT(MID(Metadata!E911,9,1))&gt;=0,FALSE),IFERROR(INT(MID(Metadata!E911,9,1))&lt;=3,FALSE),NOT(MID(Metadata!E911,10,1)=""),IFERROR(INT(MID(Metadata!E911,9,2))&gt;=1,FALSE),IFERROR(INT(MID(Metadata!E911,9,2))&lt;=31,FALSE)), OR(MID(Metadata!E911,11,1)="", AND(AND(MID(Metadata!E911,11,1)=" ",IFERROR(INT(MID(Metadata!E911,12,1))&gt;=0,FALSE),IFERROR(INT(MID(Metadata!E911,12,1))&lt;=2,FALSE),NOT(MID(Metadata!E911,13,1)=""),IFERROR(INT(MID(Metadata!E911,12,2))&gt;=0,FALSE),IFERROR(INT(MID(Metadata!E911,12,2))&lt;=23,FALSE)), OR(MID(Metadata!E911,14,1)="", AND(AND(MID(Metadata!E911,14,1)=":",IFERROR(INT(MID(Metadata!E911,15,1))&gt;=0,FALSE),IFERROR(INT(MID(Metadata!E911,15,1))&lt;=5,FALSE),NOT(MID(Metadata!E911,16,1)=""),IFERROR(INT(MID(Metadata!E911,15,2))&gt;=0,FALSE),IFERROR(INT(MID(Metadata!E911,15,2))&lt;=59,FALSE)), OR(MID(Metadata!E911,17,1)="", AND(AND(MID(Metadata!E911,17,1)=":",IFERROR(INT(MID(Metadata!E911,18,1))&gt;=0,FALSE),IFERROR(INT(MID(Metadata!E911,18,1))&lt;=5,FALSE),NOT(MID(Metadata!E911,19,1)=""),IFERROR(INT(MID(Metadata!E911,18,2))&gt;=0,FALSE),IFERROR(INT(MID(Metadata!E911,18,2))&lt;=59,FALSE)), LEN(Metadata!E911)&lt;=19)))))))))))))</f>
        <v>0</v>
      </c>
      <c r="AS911" t="b">
        <f>IF(Metadata!F911="",FALSE,TRUE)</f>
        <v>0</v>
      </c>
      <c r="AT911" t="b">
        <f>OR(AND(IF(Metadata!G911="",FALSE,TRUE),OR(EXACT(Metadata!G911,"not collected"),EXACT(Metadata!G911,"not provided"))),AND(IF(Metadata!G911="",FALSE,TRUE),OR(EXACT(Metadata!G911,"TRUE"),EXACT(Metadata!G911,"FALSE"))))</f>
        <v>0</v>
      </c>
      <c r="AU911" t="b">
        <f>OR(AND(IF(Metadata!H911="",FALSE,TRUE),OR(EXACT(Metadata!H911,"not collected"),EXACT(Metadata!H911,"not provided"),EXACT(Metadata!H911,"restricted access"))),AND(IF(Metadata!H911="",FALSE,ISNUMBER(VALUE(Metadata!H911))),Metadata!H911&gt;=-413))</f>
        <v>0</v>
      </c>
      <c r="AV911" t="b">
        <f>AND(IF(Metadata!I911="",FALSE,TRUE),EXACT(Metadata!I911,"meters"))</f>
        <v>0</v>
      </c>
      <c r="AW911" t="b">
        <f>AND(IF(Metadata!J911="",FALSE,TRUE),EXACT(Metadata!J911,"free-living"))</f>
        <v>0</v>
      </c>
      <c r="AX911" t="b">
        <f>AND(IF(Metadata!K911="",FALSE,TRUE),OR(EXACT(Metadata!K911,"saline"),EXACT(Metadata!K911,"non-saline")))</f>
        <v>0</v>
      </c>
      <c r="AY911" t="b">
        <f>AND(IF(Metadata!L911="",FALSE,TRUE),OR(EXACT(Metadata!L911,"sub-surface (non-saline)"),EXACT(Metadata!L911,"surface (non-saline)"),EXACT(Metadata!L911,"water (non-saline)"),EXACT(Metadata!L911,"soil (non-saline)"),EXACT(Metadata!L911,"aerosol (non-saline)"),EXACT(Metadata!L911,"sediment (non-saline)"),EXACT(Metadata!L911,"surface (saline)"),EXACT(Metadata!L911,"water (saline)"),EXACT(Metadata!L911,"hypersaline (saline)"),EXACT(Metadata!L911,"aerosol (saline)"),EXACT(Metadata!L911,"sediment (saline)")))</f>
        <v>0</v>
      </c>
      <c r="AZ911" t="b">
        <f>IF(Metadata!M911="",FALSE,TRUE)</f>
        <v>0</v>
      </c>
      <c r="BA911" t="b">
        <f>IF(Metadata!N911="",FALSE,TRUE)</f>
        <v>0</v>
      </c>
      <c r="BB911" t="b">
        <f>IF(Metadata!O911="",FALSE,TRUE)</f>
        <v>0</v>
      </c>
      <c r="BC911" t="b">
        <f>AND(IF(Metadata!P911="",FALSE,TRUE),OR(EXACT(Metadata!P911,"air"),EXACT(Metadata!P911,"microbial mat/biofilm"),EXACT(Metadata!P911,"misc environment"),EXACT(Metadata!P911,"sediment"),EXACT(Metadata!P911,"soil"),EXACT(Metadata!P911,"wastewater/sludge"),EXACT(Metadata!P911,"water")))</f>
        <v>0</v>
      </c>
      <c r="BD911" t="b">
        <f>IF(Metadata!Q911="",FALSE,TRUE)</f>
        <v>0</v>
      </c>
      <c r="BE911" t="b">
        <f>IF(Metadata!R911="",FALSE,TRUE)</f>
        <v>0</v>
      </c>
      <c r="BF911" t="b">
        <f>OR(AND(IF(Metadata!S911="",FALSE,TRUE),OR(EXACT(Metadata!S911,"not collected"),EXACT(Metadata!S911,"not provided"),EXACT(Metadata!S911,"restricted access"))),AND(IF(Metadata!S911="",FALSE,ISNUMBER(VALUE(Metadata!S911))),Metadata!S911&gt;=-90,Metadata!S911&lt;=90))</f>
        <v>0</v>
      </c>
      <c r="BG911" t="b">
        <f>AND(IF(Metadata!T911="",FALSE,TRUE),EXACT(Metadata!T911,"Decimal degrees"))</f>
        <v>0</v>
      </c>
      <c r="BH911" t="b">
        <f>OR(AND(IF(Metadata!U911="",FALSE,TRUE),OR(EXACT(Metadata!U911,"not applicable"),EXACT(Metadata!U911,"not collected"))),IF(Metadata!U911="",FALSE,TRUE))</f>
        <v>0</v>
      </c>
      <c r="BI911" t="b">
        <f>OR(AND(IF(Metadata!V911="",FALSE,TRUE),OR(EXACT(Metadata!V911,"not collected"),EXACT(Metadata!V911,"not provided"),EXACT(Metadata!V911,"restricted access"))),AND(IF(Metadata!V911="",FALSE,ISNUMBER(VALUE(Metadata!V911))),Metadata!V911&gt;=-180,Metadata!V911&lt;=180))</f>
        <v>0</v>
      </c>
      <c r="BJ911" t="b">
        <f>AND(IF(Metadata!W911="",FALSE,TRUE),EXACT(Metadata!W911,"Decimal degrees"))</f>
        <v>0</v>
      </c>
      <c r="BK911" t="b">
        <f>IF(Metadata!X911="",FALSE,TRUE)</f>
        <v>0</v>
      </c>
      <c r="BL911" t="b">
        <f>OR(AND(IF(Metadata!Y911="",FALSE,TRUE),OR(EXACT(Metadata!Y911,"not collected"),EXACT(Metadata!Y911,"not provided"),EXACT(Metadata!Y911,"restricted access"))),AND(IF(Metadata!Y911="",FALSE,TRUE),OR(EXACT(Metadata!Y911,"TRUE"),EXACT(Metadata!Y911,"FALSE"))))</f>
        <v>0</v>
      </c>
      <c r="BM911" t="b">
        <f>OR(AND(IF(Metadata!Z911="",FALSE,TRUE),EXACT(Metadata!Z911,"not applicable")),AND(IF(Metadata!Z911="",FALSE,TRUE),OR(EXACT(Metadata!Z911,"beer"),EXACT(Metadata!Z911,"cheese"),EXACT(Metadata!Z911,"fresh water"),EXACT(Metadata!Z911,"marine sediment"),EXACT(Metadata!Z911,"sea water"),EXACT(Metadata!Z911,"sediment"),EXACT(Metadata!Z911,"soil"),EXACT(Metadata!Z911,"waste water"))))</f>
        <v>0</v>
      </c>
      <c r="BN911" t="b">
        <f>AND(IF(Metadata!AA911="",FALSE,TRUE),EXACT(Metadata!AA911,"metagenome"))</f>
        <v>0</v>
      </c>
      <c r="BO911" t="b">
        <f>AND(IF(Metadata!AB911="",FALSE,TRUE),EXACT(Metadata!AB911,"256318"))</f>
        <v>0</v>
      </c>
      <c r="BP911" t="b">
        <f>IF(Metadata!AC911="",FALSE,TRUE)</f>
        <v>0</v>
      </c>
      <c r="BQ911" t="b">
        <f>IF(Metadata!AD911="",FALSE,TRUE)</f>
        <v>0</v>
      </c>
    </row>
    <row r="912" spans="1:69" x14ac:dyDescent="0.2">
      <c r="A912" s="4" t="e">
        <f ca="1">IF(B912=" "," ",HYPERLINK(CONCATENATE("#metadata!",ADDRESS(INDEX($AJ$2:$AJ$1001,MATCH(ROWS($AH$2:AH912),$AH$2:$AH$1001,0),0),2)),INDEX($AM$2:$AM$1001,MATCH(ROWS($AH$2:AH912),$AH$2:$AH$1001,0),0)))</f>
        <v>#N/A</v>
      </c>
      <c r="B912" s="5" t="e">
        <f ca="1">IF(OR(INDEX($AI$2:$AI$1001,MATCH(ROWS($AH$2:AH912),$AH$2:$AH$1001,0),1)&gt;=100000,INDEX($AO$1005:$BQ$1005,1,MATCH(COLUMNS($AO$1006:AO1006),$AO$1006:$BQ$1006,0))&gt;=100000), " ",IF(INDEX($AO$2:$BQ$1001,MATCH(ROWS($AH$2:AH912),$AH$2:$AH$1001,0),MATCH(COLUMNS($AO$1006:AO1006),$AO$1006:$BQ$1006,0)), HYPERLINK("#",""), HYPERLINK(CONCATENATE("#Metadata!", ADDRESS(INDEX($AJ$2:$AJ$1001,MATCH(ROWS($AH$2:AH912),$AH$2:$AH$1001,0),0), INDEX($AO$1004:$BQ$1004,1,MATCH(COLUMNS($AO$1006:AO1006),$AO$1006:$BQ$1006,0)))),"Fix")))</f>
        <v>#N/A</v>
      </c>
      <c r="C912" s="5" t="e">
        <f ca="1">IF(OR(INDEX($AI$2:$AI$1001,MATCH(ROWS($AH$2:AH912),$AH$2:$AH$1001,0),1)&gt;=100000,INDEX($AO$1005:$BQ$1005,1,MATCH(COLUMNS($AO$1006:AP1006),$AO$1006:$BQ$1006,0))&gt;=100000), " ",IF(INDEX($AO$2:$BQ$1001,MATCH(ROWS($AH$2:AH912),$AH$2:$AH$1001,0),MATCH(COLUMNS($AO$1006:AP1006),$AO$1006:$BQ$1006,0)), HYPERLINK("#",""), HYPERLINK(CONCATENATE("#Metadata!", ADDRESS(INDEX($AJ$2:$AJ$1001,MATCH(ROWS($AH$2:AH912),$AH$2:$AH$1001,0),0), INDEX($AO$1004:$BQ$1004,1,MATCH(COLUMNS($AO$1006:AP1006),$AO$1006:$BQ$1006,0)))),"Fix")))</f>
        <v>#N/A</v>
      </c>
      <c r="D912" s="5" t="e">
        <f ca="1">IF(OR(INDEX($AI$2:$AI$1001,MATCH(ROWS($AH$2:AH912),$AH$2:$AH$1001,0),1)&gt;=100000,INDEX($AO$1005:$BQ$1005,1,MATCH(COLUMNS($AO$1006:AQ1006),$AO$1006:$BQ$1006,0))&gt;=100000), " ",IF(INDEX($AO$2:$BQ$1001,MATCH(ROWS($AH$2:AH912),$AH$2:$AH$1001,0),MATCH(COLUMNS($AO$1006:AQ1006),$AO$1006:$BQ$1006,0)), HYPERLINK("#",""), HYPERLINK(CONCATENATE("#Metadata!", ADDRESS(INDEX($AJ$2:$AJ$1001,MATCH(ROWS($AH$2:AH912),$AH$2:$AH$1001,0),0), INDEX($AO$1004:$BQ$1004,1,MATCH(COLUMNS($AO$1006:AQ1006),$AO$1006:$BQ$1006,0)))),"Fix")))</f>
        <v>#N/A</v>
      </c>
      <c r="E912" s="5" t="e">
        <f ca="1">IF(OR(INDEX($AI$2:$AI$1001,MATCH(ROWS($AH$2:AH912),$AH$2:$AH$1001,0),1)&gt;=100000,INDEX($AO$1005:$BQ$1005,1,MATCH(COLUMNS($AO$1006:AR1006),$AO$1006:$BQ$1006,0))&gt;=100000), " ",IF(INDEX($AO$2:$BQ$1001,MATCH(ROWS($AH$2:AH912),$AH$2:$AH$1001,0),MATCH(COLUMNS($AO$1006:AR1006),$AO$1006:$BQ$1006,0)), HYPERLINK("#",""), HYPERLINK(CONCATENATE("#Metadata!", ADDRESS(INDEX($AJ$2:$AJ$1001,MATCH(ROWS($AH$2:AH912),$AH$2:$AH$1001,0),0), INDEX($AO$1004:$BQ$1004,1,MATCH(COLUMNS($AO$1006:AR1006),$AO$1006:$BQ$1006,0)))),"Fix")))</f>
        <v>#N/A</v>
      </c>
      <c r="F912" s="5" t="e">
        <f ca="1">IF(OR(INDEX($AI$2:$AI$1001,MATCH(ROWS($AH$2:AH912),$AH$2:$AH$1001,0),1)&gt;=100000,INDEX($AO$1005:$BQ$1005,1,MATCH(COLUMNS($AO$1006:AS1006),$AO$1006:$BQ$1006,0))&gt;=100000), " ",IF(INDEX($AO$2:$BQ$1001,MATCH(ROWS($AH$2:AH912),$AH$2:$AH$1001,0),MATCH(COLUMNS($AO$1006:AS1006),$AO$1006:$BQ$1006,0)), HYPERLINK("#",""), HYPERLINK(CONCATENATE("#Metadata!", ADDRESS(INDEX($AJ$2:$AJ$1001,MATCH(ROWS($AH$2:AH912),$AH$2:$AH$1001,0),0), INDEX($AO$1004:$BQ$1004,1,MATCH(COLUMNS($AO$1006:AS1006),$AO$1006:$BQ$1006,0)))),"Fix")))</f>
        <v>#N/A</v>
      </c>
      <c r="G912" s="5" t="e">
        <f ca="1">IF(OR(INDEX($AI$2:$AI$1001,MATCH(ROWS($AH$2:AH912),$AH$2:$AH$1001,0),1)&gt;=100000,INDEX($AO$1005:$BQ$1005,1,MATCH(COLUMNS($AO$1006:AT1006),$AO$1006:$BQ$1006,0))&gt;=100000), " ",IF(INDEX($AO$2:$BQ$1001,MATCH(ROWS($AH$2:AH912),$AH$2:$AH$1001,0),MATCH(COLUMNS($AO$1006:AT1006),$AO$1006:$BQ$1006,0)), HYPERLINK("#",""), HYPERLINK(CONCATENATE("#Metadata!", ADDRESS(INDEX($AJ$2:$AJ$1001,MATCH(ROWS($AH$2:AH912),$AH$2:$AH$1001,0),0), INDEX($AO$1004:$BQ$1004,1,MATCH(COLUMNS($AO$1006:AT1006),$AO$1006:$BQ$1006,0)))),"Fix")))</f>
        <v>#N/A</v>
      </c>
      <c r="H912" s="5" t="e">
        <f ca="1">IF(OR(INDEX($AI$2:$AI$1001,MATCH(ROWS($AH$2:AH912),$AH$2:$AH$1001,0),1)&gt;=100000,INDEX($AO$1005:$BQ$1005,1,MATCH(COLUMNS($AO$1006:AU1006),$AO$1006:$BQ$1006,0))&gt;=100000), " ",IF(INDEX($AO$2:$BQ$1001,MATCH(ROWS($AH$2:AH912),$AH$2:$AH$1001,0),MATCH(COLUMNS($AO$1006:AU1006),$AO$1006:$BQ$1006,0)), HYPERLINK("#",""), HYPERLINK(CONCATENATE("#Metadata!", ADDRESS(INDEX($AJ$2:$AJ$1001,MATCH(ROWS($AH$2:AH912),$AH$2:$AH$1001,0),0), INDEX($AO$1004:$BQ$1004,1,MATCH(COLUMNS($AO$1006:AU1006),$AO$1006:$BQ$1006,0)))),"Fix")))</f>
        <v>#N/A</v>
      </c>
      <c r="I912" s="5" t="e">
        <f ca="1">IF(OR(INDEX($AI$2:$AI$1001,MATCH(ROWS($AH$2:AH912),$AH$2:$AH$1001,0),1)&gt;=100000,INDEX($AO$1005:$BQ$1005,1,MATCH(COLUMNS($AO$1006:AV1006),$AO$1006:$BQ$1006,0))&gt;=100000), " ",IF(INDEX($AO$2:$BQ$1001,MATCH(ROWS($AH$2:AH912),$AH$2:$AH$1001,0),MATCH(COLUMNS($AO$1006:AV1006),$AO$1006:$BQ$1006,0)), HYPERLINK("#",""), HYPERLINK(CONCATENATE("#Metadata!", ADDRESS(INDEX($AJ$2:$AJ$1001,MATCH(ROWS($AH$2:AH912),$AH$2:$AH$1001,0),0), INDEX($AO$1004:$BQ$1004,1,MATCH(COLUMNS($AO$1006:AV1006),$AO$1006:$BQ$1006,0)))),"Fix")))</f>
        <v>#N/A</v>
      </c>
      <c r="J912" s="5" t="e">
        <f ca="1">IF(OR(INDEX($AI$2:$AI$1001,MATCH(ROWS($AH$2:AH912),$AH$2:$AH$1001,0),1)&gt;=100000,INDEX($AO$1005:$BQ$1005,1,MATCH(COLUMNS($AO$1006:AW1006),$AO$1006:$BQ$1006,0))&gt;=100000), " ",IF(INDEX($AO$2:$BQ$1001,MATCH(ROWS($AH$2:AH912),$AH$2:$AH$1001,0),MATCH(COLUMNS($AO$1006:AW1006),$AO$1006:$BQ$1006,0)), HYPERLINK("#",""), HYPERLINK(CONCATENATE("#Metadata!", ADDRESS(INDEX($AJ$2:$AJ$1001,MATCH(ROWS($AH$2:AH912),$AH$2:$AH$1001,0),0), INDEX($AO$1004:$BQ$1004,1,MATCH(COLUMNS($AO$1006:AW1006),$AO$1006:$BQ$1006,0)))),"Fix")))</f>
        <v>#N/A</v>
      </c>
      <c r="K912" s="5" t="e">
        <f ca="1">IF(OR(INDEX($AI$2:$AI$1001,MATCH(ROWS($AH$2:AH912),$AH$2:$AH$1001,0),1)&gt;=100000,INDEX($AO$1005:$BQ$1005,1,MATCH(COLUMNS($AO$1006:AX1006),$AO$1006:$BQ$1006,0))&gt;=100000), " ",IF(INDEX($AO$2:$BQ$1001,MATCH(ROWS($AH$2:AH912),$AH$2:$AH$1001,0),MATCH(COLUMNS($AO$1006:AX1006),$AO$1006:$BQ$1006,0)), HYPERLINK("#",""), HYPERLINK(CONCATENATE("#Metadata!", ADDRESS(INDEX($AJ$2:$AJ$1001,MATCH(ROWS($AH$2:AH912),$AH$2:$AH$1001,0),0), INDEX($AO$1004:$BQ$1004,1,MATCH(COLUMNS($AO$1006:AX1006),$AO$1006:$BQ$1006,0)))),"Fix")))</f>
        <v>#N/A</v>
      </c>
      <c r="L912" s="5" t="e">
        <f ca="1">IF(OR(INDEX($AI$2:$AI$1001,MATCH(ROWS($AH$2:AH912),$AH$2:$AH$1001,0),1)&gt;=100000,INDEX($AO$1005:$BQ$1005,1,MATCH(COLUMNS($AO$1006:AY1006),$AO$1006:$BQ$1006,0))&gt;=100000), " ",IF(INDEX($AO$2:$BQ$1001,MATCH(ROWS($AH$2:AH912),$AH$2:$AH$1001,0),MATCH(COLUMNS($AO$1006:AY1006),$AO$1006:$BQ$1006,0)), HYPERLINK("#",""), HYPERLINK(CONCATENATE("#Metadata!", ADDRESS(INDEX($AJ$2:$AJ$1001,MATCH(ROWS($AH$2:AH912),$AH$2:$AH$1001,0),0), INDEX($AO$1004:$BQ$1004,1,MATCH(COLUMNS($AO$1006:AY1006),$AO$1006:$BQ$1006,0)))),"Fix")))</f>
        <v>#N/A</v>
      </c>
      <c r="M912" s="5" t="e">
        <f ca="1">IF(OR(INDEX($AI$2:$AI$1001,MATCH(ROWS($AH$2:AH912),$AH$2:$AH$1001,0),1)&gt;=100000,INDEX($AO$1005:$BQ$1005,1,MATCH(COLUMNS($AO$1006:AZ1006),$AO$1006:$BQ$1006,0))&gt;=100000), " ",IF(INDEX($AO$2:$BQ$1001,MATCH(ROWS($AH$2:AH912),$AH$2:$AH$1001,0),MATCH(COLUMNS($AO$1006:AZ1006),$AO$1006:$BQ$1006,0)), HYPERLINK("#",""), HYPERLINK(CONCATENATE("#Metadata!", ADDRESS(INDEX($AJ$2:$AJ$1001,MATCH(ROWS($AH$2:AH912),$AH$2:$AH$1001,0),0), INDEX($AO$1004:$BQ$1004,1,MATCH(COLUMNS($AO$1006:AZ1006),$AO$1006:$BQ$1006,0)))),"Fix")))</f>
        <v>#N/A</v>
      </c>
      <c r="N912" s="5" t="e">
        <f ca="1">IF(OR(INDEX($AI$2:$AI$1001,MATCH(ROWS($AH$2:AH912),$AH$2:$AH$1001,0),1)&gt;=100000,INDEX($AO$1005:$BQ$1005,1,MATCH(COLUMNS($AO$1006:BA1006),$AO$1006:$BQ$1006,0))&gt;=100000), " ",IF(INDEX($AO$2:$BQ$1001,MATCH(ROWS($AH$2:AH912),$AH$2:$AH$1001,0),MATCH(COLUMNS($AO$1006:BA1006),$AO$1006:$BQ$1006,0)), HYPERLINK("#",""), HYPERLINK(CONCATENATE("#Metadata!", ADDRESS(INDEX($AJ$2:$AJ$1001,MATCH(ROWS($AH$2:AH912),$AH$2:$AH$1001,0),0), INDEX($AO$1004:$BQ$1004,1,MATCH(COLUMNS($AO$1006:BA1006),$AO$1006:$BQ$1006,0)))),"Fix")))</f>
        <v>#N/A</v>
      </c>
      <c r="O912" s="5" t="e">
        <f ca="1">IF(OR(INDEX($AI$2:$AI$1001,MATCH(ROWS($AH$2:AH912),$AH$2:$AH$1001,0),1)&gt;=100000,INDEX($AO$1005:$BQ$1005,1,MATCH(COLUMNS($AO$1006:BB1006),$AO$1006:$BQ$1006,0))&gt;=100000), " ",IF(INDEX($AO$2:$BQ$1001,MATCH(ROWS($AH$2:AH912),$AH$2:$AH$1001,0),MATCH(COLUMNS($AO$1006:BB1006),$AO$1006:$BQ$1006,0)), HYPERLINK("#",""), HYPERLINK(CONCATENATE("#Metadata!", ADDRESS(INDEX($AJ$2:$AJ$1001,MATCH(ROWS($AH$2:AH912),$AH$2:$AH$1001,0),0), INDEX($AO$1004:$BQ$1004,1,MATCH(COLUMNS($AO$1006:BB1006),$AO$1006:$BQ$1006,0)))),"Fix")))</f>
        <v>#N/A</v>
      </c>
      <c r="P912" s="5" t="e">
        <f ca="1">IF(OR(INDEX($AI$2:$AI$1001,MATCH(ROWS($AH$2:AH912),$AH$2:$AH$1001,0),1)&gt;=100000,INDEX($AO$1005:$BQ$1005,1,MATCH(COLUMNS($AO$1006:BC1006),$AO$1006:$BQ$1006,0))&gt;=100000), " ",IF(INDEX($AO$2:$BQ$1001,MATCH(ROWS($AH$2:AH912),$AH$2:$AH$1001,0),MATCH(COLUMNS($AO$1006:BC1006),$AO$1006:$BQ$1006,0)), HYPERLINK("#",""), HYPERLINK(CONCATENATE("#Metadata!", ADDRESS(INDEX($AJ$2:$AJ$1001,MATCH(ROWS($AH$2:AH912),$AH$2:$AH$1001,0),0), INDEX($AO$1004:$BQ$1004,1,MATCH(COLUMNS($AO$1006:BC1006),$AO$1006:$BQ$1006,0)))),"Fix")))</f>
        <v>#N/A</v>
      </c>
      <c r="Q912" s="5" t="e">
        <f ca="1">IF(OR(INDEX($AI$2:$AI$1001,MATCH(ROWS($AH$2:AH912),$AH$2:$AH$1001,0),1)&gt;=100000,INDEX($AO$1005:$BQ$1005,1,MATCH(COLUMNS($AO$1006:BD1006),$AO$1006:$BQ$1006,0))&gt;=100000), " ",IF(INDEX($AO$2:$BQ$1001,MATCH(ROWS($AH$2:AH912),$AH$2:$AH$1001,0),MATCH(COLUMNS($AO$1006:BD1006),$AO$1006:$BQ$1006,0)), HYPERLINK("#",""), HYPERLINK(CONCATENATE("#Metadata!", ADDRESS(INDEX($AJ$2:$AJ$1001,MATCH(ROWS($AH$2:AH912),$AH$2:$AH$1001,0),0), INDEX($AO$1004:$BQ$1004,1,MATCH(COLUMNS($AO$1006:BD1006),$AO$1006:$BQ$1006,0)))),"Fix")))</f>
        <v>#N/A</v>
      </c>
      <c r="R912" s="5" t="e">
        <f ca="1">IF(OR(INDEX($AI$2:$AI$1001,MATCH(ROWS($AH$2:AH912),$AH$2:$AH$1001,0),1)&gt;=100000,INDEX($AO$1005:$BQ$1005,1,MATCH(COLUMNS($AO$1006:BE1006),$AO$1006:$BQ$1006,0))&gt;=100000), " ",IF(INDEX($AO$2:$BQ$1001,MATCH(ROWS($AH$2:AH912),$AH$2:$AH$1001,0),MATCH(COLUMNS($AO$1006:BE1006),$AO$1006:$BQ$1006,0)), HYPERLINK("#",""), HYPERLINK(CONCATENATE("#Metadata!", ADDRESS(INDEX($AJ$2:$AJ$1001,MATCH(ROWS($AH$2:AH912),$AH$2:$AH$1001,0),0), INDEX($AO$1004:$BQ$1004,1,MATCH(COLUMNS($AO$1006:BE1006),$AO$1006:$BQ$1006,0)))),"Fix")))</f>
        <v>#N/A</v>
      </c>
      <c r="S912" s="5" t="e">
        <f ca="1">IF(OR(INDEX($AI$2:$AI$1001,MATCH(ROWS($AH$2:AH912),$AH$2:$AH$1001,0),1)&gt;=100000,INDEX($AO$1005:$BQ$1005,1,MATCH(COLUMNS($AO$1006:BF1006),$AO$1006:$BQ$1006,0))&gt;=100000), " ",IF(INDEX($AO$2:$BQ$1001,MATCH(ROWS($AH$2:AH912),$AH$2:$AH$1001,0),MATCH(COLUMNS($AO$1006:BF1006),$AO$1006:$BQ$1006,0)), HYPERLINK("#",""), HYPERLINK(CONCATENATE("#Metadata!", ADDRESS(INDEX($AJ$2:$AJ$1001,MATCH(ROWS($AH$2:AH912),$AH$2:$AH$1001,0),0), INDEX($AO$1004:$BQ$1004,1,MATCH(COLUMNS($AO$1006:BF1006),$AO$1006:$BQ$1006,0)))),"Fix")))</f>
        <v>#N/A</v>
      </c>
      <c r="T912" s="5" t="e">
        <f ca="1">IF(OR(INDEX($AI$2:$AI$1001,MATCH(ROWS($AH$2:AH912),$AH$2:$AH$1001,0),1)&gt;=100000,INDEX($AO$1005:$BQ$1005,1,MATCH(COLUMNS($AO$1006:BG1006),$AO$1006:$BQ$1006,0))&gt;=100000), " ",IF(INDEX($AO$2:$BQ$1001,MATCH(ROWS($AH$2:AH912),$AH$2:$AH$1001,0),MATCH(COLUMNS($AO$1006:BG1006),$AO$1006:$BQ$1006,0)), HYPERLINK("#",""), HYPERLINK(CONCATENATE("#Metadata!", ADDRESS(INDEX($AJ$2:$AJ$1001,MATCH(ROWS($AH$2:AH912),$AH$2:$AH$1001,0),0), INDEX($AO$1004:$BQ$1004,1,MATCH(COLUMNS($AO$1006:BG1006),$AO$1006:$BQ$1006,0)))),"Fix")))</f>
        <v>#N/A</v>
      </c>
      <c r="U912" s="5" t="e">
        <f ca="1">IF(OR(INDEX($AI$2:$AI$1001,MATCH(ROWS($AH$2:AH912),$AH$2:$AH$1001,0),1)&gt;=100000,INDEX($AO$1005:$BQ$1005,1,MATCH(COLUMNS($AO$1006:BH1006),$AO$1006:$BQ$1006,0))&gt;=100000), " ",IF(INDEX($AO$2:$BQ$1001,MATCH(ROWS($AH$2:AH912),$AH$2:$AH$1001,0),MATCH(COLUMNS($AO$1006:BH1006),$AO$1006:$BQ$1006,0)), HYPERLINK("#",""), HYPERLINK(CONCATENATE("#Metadata!", ADDRESS(INDEX($AJ$2:$AJ$1001,MATCH(ROWS($AH$2:AH912),$AH$2:$AH$1001,0),0), INDEX($AO$1004:$BQ$1004,1,MATCH(COLUMNS($AO$1006:BH1006),$AO$1006:$BQ$1006,0)))),"Fix")))</f>
        <v>#N/A</v>
      </c>
      <c r="V912" s="5" t="e">
        <f ca="1">IF(OR(INDEX($AI$2:$AI$1001,MATCH(ROWS($AH$2:AH912),$AH$2:$AH$1001,0),1)&gt;=100000,INDEX($AO$1005:$BQ$1005,1,MATCH(COLUMNS($AO$1006:BI1006),$AO$1006:$BQ$1006,0))&gt;=100000), " ",IF(INDEX($AO$2:$BQ$1001,MATCH(ROWS($AH$2:AH912),$AH$2:$AH$1001,0),MATCH(COLUMNS($AO$1006:BI1006),$AO$1006:$BQ$1006,0)), HYPERLINK("#",""), HYPERLINK(CONCATENATE("#Metadata!", ADDRESS(INDEX($AJ$2:$AJ$1001,MATCH(ROWS($AH$2:AH912),$AH$2:$AH$1001,0),0), INDEX($AO$1004:$BQ$1004,1,MATCH(COLUMNS($AO$1006:BI1006),$AO$1006:$BQ$1006,0)))),"Fix")))</f>
        <v>#N/A</v>
      </c>
      <c r="W912" s="5" t="e">
        <f ca="1">IF(OR(INDEX($AI$2:$AI$1001,MATCH(ROWS($AH$2:AH912),$AH$2:$AH$1001,0),1)&gt;=100000,INDEX($AO$1005:$BQ$1005,1,MATCH(COLUMNS($AO$1006:BJ1006),$AO$1006:$BQ$1006,0))&gt;=100000), " ",IF(INDEX($AO$2:$BQ$1001,MATCH(ROWS($AH$2:AH912),$AH$2:$AH$1001,0),MATCH(COLUMNS($AO$1006:BJ1006),$AO$1006:$BQ$1006,0)), HYPERLINK("#",""), HYPERLINK(CONCATENATE("#Metadata!", ADDRESS(INDEX($AJ$2:$AJ$1001,MATCH(ROWS($AH$2:AH912),$AH$2:$AH$1001,0),0), INDEX($AO$1004:$BQ$1004,1,MATCH(COLUMNS($AO$1006:BJ1006),$AO$1006:$BQ$1006,0)))),"Fix")))</f>
        <v>#N/A</v>
      </c>
      <c r="X912" s="5" t="e">
        <f ca="1">IF(OR(INDEX($AI$2:$AI$1001,MATCH(ROWS($AH$2:AH912),$AH$2:$AH$1001,0),1)&gt;=100000,INDEX($AO$1005:$BQ$1005,1,MATCH(COLUMNS($AO$1006:BK1006),$AO$1006:$BQ$1006,0))&gt;=100000), " ",IF(INDEX($AO$2:$BQ$1001,MATCH(ROWS($AH$2:AH912),$AH$2:$AH$1001,0),MATCH(COLUMNS($AO$1006:BK1006),$AO$1006:$BQ$1006,0)), HYPERLINK("#",""), HYPERLINK(CONCATENATE("#Metadata!", ADDRESS(INDEX($AJ$2:$AJ$1001,MATCH(ROWS($AH$2:AH912),$AH$2:$AH$1001,0),0), INDEX($AO$1004:$BQ$1004,1,MATCH(COLUMNS($AO$1006:BK1006),$AO$1006:$BQ$1006,0)))),"Fix")))</f>
        <v>#N/A</v>
      </c>
      <c r="Y912" s="5" t="e">
        <f ca="1">IF(OR(INDEX($AI$2:$AI$1001,MATCH(ROWS($AH$2:AH912),$AH$2:$AH$1001,0),1)&gt;=100000,INDEX($AO$1005:$BQ$1005,1,MATCH(COLUMNS($AO$1006:BL1006),$AO$1006:$BQ$1006,0))&gt;=100000), " ",IF(INDEX($AO$2:$BQ$1001,MATCH(ROWS($AH$2:AH912),$AH$2:$AH$1001,0),MATCH(COLUMNS($AO$1006:BL1006),$AO$1006:$BQ$1006,0)), HYPERLINK("#",""), HYPERLINK(CONCATENATE("#Metadata!", ADDRESS(INDEX($AJ$2:$AJ$1001,MATCH(ROWS($AH$2:AH912),$AH$2:$AH$1001,0),0), INDEX($AO$1004:$BQ$1004,1,MATCH(COLUMNS($AO$1006:BL1006),$AO$1006:$BQ$1006,0)))),"Fix")))</f>
        <v>#N/A</v>
      </c>
      <c r="Z912" s="5" t="e">
        <f ca="1">IF(OR(INDEX($AI$2:$AI$1001,MATCH(ROWS($AH$2:AH912),$AH$2:$AH$1001,0),1)&gt;=100000,INDEX($AO$1005:$BQ$1005,1,MATCH(COLUMNS($AO$1006:BM1006),$AO$1006:$BQ$1006,0))&gt;=100000), " ",IF(INDEX($AO$2:$BQ$1001,MATCH(ROWS($AH$2:AH912),$AH$2:$AH$1001,0),MATCH(COLUMNS($AO$1006:BM1006),$AO$1006:$BQ$1006,0)), HYPERLINK("#",""), HYPERLINK(CONCATENATE("#Metadata!", ADDRESS(INDEX($AJ$2:$AJ$1001,MATCH(ROWS($AH$2:AH912),$AH$2:$AH$1001,0),0), INDEX($AO$1004:$BQ$1004,1,MATCH(COLUMNS($AO$1006:BM1006),$AO$1006:$BQ$1006,0)))),"Fix")))</f>
        <v>#N/A</v>
      </c>
      <c r="AA912" s="5" t="e">
        <f ca="1">IF(OR(INDEX($AI$2:$AI$1001,MATCH(ROWS($AH$2:AH912),$AH$2:$AH$1001,0),1)&gt;=100000,INDEX($AO$1005:$BQ$1005,1,MATCH(COLUMNS($AO$1006:BN1006),$AO$1006:$BQ$1006,0))&gt;=100000), " ",IF(INDEX($AO$2:$BQ$1001,MATCH(ROWS($AH$2:AH912),$AH$2:$AH$1001,0),MATCH(COLUMNS($AO$1006:BN1006),$AO$1006:$BQ$1006,0)), HYPERLINK("#",""), HYPERLINK(CONCATENATE("#Metadata!", ADDRESS(INDEX($AJ$2:$AJ$1001,MATCH(ROWS($AH$2:AH912),$AH$2:$AH$1001,0),0), INDEX($AO$1004:$BQ$1004,1,MATCH(COLUMNS($AO$1006:BN1006),$AO$1006:$BQ$1006,0)))),"Fix")))</f>
        <v>#N/A</v>
      </c>
      <c r="AB912" s="5" t="e">
        <f ca="1">IF(OR(INDEX($AI$2:$AI$1001,MATCH(ROWS($AH$2:AH912),$AH$2:$AH$1001,0),1)&gt;=100000,INDEX($AO$1005:$BQ$1005,1,MATCH(COLUMNS($AO$1006:BO1006),$AO$1006:$BQ$1006,0))&gt;=100000), " ",IF(INDEX($AO$2:$BQ$1001,MATCH(ROWS($AH$2:AH912),$AH$2:$AH$1001,0),MATCH(COLUMNS($AO$1006:BO1006),$AO$1006:$BQ$1006,0)), HYPERLINK("#",""), HYPERLINK(CONCATENATE("#Metadata!", ADDRESS(INDEX($AJ$2:$AJ$1001,MATCH(ROWS($AH$2:AH912),$AH$2:$AH$1001,0),0), INDEX($AO$1004:$BQ$1004,1,MATCH(COLUMNS($AO$1006:BO1006),$AO$1006:$BQ$1006,0)))),"Fix")))</f>
        <v>#N/A</v>
      </c>
      <c r="AC912" s="5" t="e">
        <f ca="1">IF(OR(INDEX($AI$2:$AI$1001,MATCH(ROWS($AH$2:AH912),$AH$2:$AH$1001,0),1)&gt;=100000,INDEX($AO$1005:$BQ$1005,1,MATCH(COLUMNS($AO$1006:BP1006),$AO$1006:$BQ$1006,0))&gt;=100000), " ",IF(INDEX($AO$2:$BQ$1001,MATCH(ROWS($AH$2:AH912),$AH$2:$AH$1001,0),MATCH(COLUMNS($AO$1006:BP1006),$AO$1006:$BQ$1006,0)), HYPERLINK("#",""), HYPERLINK(CONCATENATE("#Metadata!", ADDRESS(INDEX($AJ$2:$AJ$1001,MATCH(ROWS($AH$2:AH912),$AH$2:$AH$1001,0),0), INDEX($AO$1004:$BQ$1004,1,MATCH(COLUMNS($AO$1006:BP1006),$AO$1006:$BQ$1006,0)))),"Fix")))</f>
        <v>#N/A</v>
      </c>
      <c r="AD912" s="5" t="e">
        <f ca="1">IF(OR(INDEX($AI$2:$AI$1001,MATCH(ROWS($AH$2:AH912),$AH$2:$AH$1001,0),1)&gt;=100000,INDEX($AO$1005:$BQ$1005,1,MATCH(COLUMNS($AO$1006:BQ1006),$AO$1006:$BQ$1006,0))&gt;=100000), " ",IF(INDEX($AO$2:$BQ$1001,MATCH(ROWS($AH$2:AH912),$AH$2:$AH$1001,0),MATCH(COLUMNS($AO$1006:BQ1006),$AO$1006:$BQ$1006,0)), HYPERLINK("#",""), HYPERLINK(CONCATENATE("#Metadata!", ADDRESS(INDEX($AJ$2:$AJ$1001,MATCH(ROWS($AH$2:AH912),$AH$2:$AH$1001,0),0), INDEX($AO$1004:$BQ$1004,1,MATCH(COLUMNS($AO$1006:BQ1006),$AO$1006:$BQ$1006,0)))),"Fix")))</f>
        <v>#REF!</v>
      </c>
      <c r="AH912">
        <f ca="1"/>
        <v>909</v>
      </c>
      <c r="AI912">
        <v>100912</v>
      </c>
      <c r="AJ912">
        <v>912</v>
      </c>
      <c r="AK912" t="b">
        <f t="shared" si="14"/>
        <v>1</v>
      </c>
      <c r="AL912" t="b">
        <f>COUNTBLANK(Metadata!B912:AD912)=COLUMNS(Metadata!B912:AD912)</f>
        <v>1</v>
      </c>
      <c r="AM912" t="str">
        <v/>
      </c>
      <c r="AO912" t="b">
        <f ca="1">AND(IF(Metadata!B912="",FALSE,TRUE),COUNTIF(Metadata!B:B, Metadata!B912) = 1,NOT(ISERROR(SUMPRODUCT(SEARCH(MID(Metadata!B912,ROW(INDIRECT("1:"&amp;LEN(Metadata!B912))), 1),"0123456789abcdefghijklmnopqrstuvwxyzABCDEFGHIJKLMNOPQRSTUVWXYZ.")))))</f>
        <v>0</v>
      </c>
      <c r="AP912" t="b">
        <f>IF(Metadata!C912="",FALSE,TRUE)</f>
        <v>0</v>
      </c>
      <c r="AQ912" t="b">
        <f>IF(Metadata!D912="",FALSE,TRUE)</f>
        <v>0</v>
      </c>
      <c r="AR912" t="b">
        <f ca="1">OR(AND(IF(Metadata!E912="",FALSE,TRUE),OR(EXACT(Metadata!E912,"not collected"),EXACT(Metadata!E912,"not provided"),EXACT(Metadata!E912,"restricted access"))),AND(IF(Metadata!E912="",FALSE,TRUE),AND(AND(IFERROR(INT(LEFT(Metadata!E912,4))&gt;1900,FALSE),IFERROR(INT(LEFT(Metadata!E912,4))&lt;=YEAR(NOW()),FALSE)), OR(MID(Metadata!E912,5,1)="", AND(AND(MID(Metadata!E912,5,1)="-",IFERROR(INT(MID(Metadata!E912,6,1))&gt;=0,FALSE),IFERROR(INT(MID(Metadata!E912,6,1))&lt;=1,FALSE),NOT(MID(Metadata!E912,7,1)=""),IFERROR(INT(MID(Metadata!E912,6,2))&gt;=1,FALSE),IFERROR(INT(MID(Metadata!E912,6,2))&lt;=12,FALSE)), OR(MID(Metadata!E912,8,1)="", AND(AND(MID(Metadata!E912,8,1)="-",IFERROR(INT(MID(Metadata!E912,9,1))&gt;=0,FALSE),IFERROR(INT(MID(Metadata!E912,9,1))&lt;=3,FALSE),NOT(MID(Metadata!E912,10,1)=""),IFERROR(INT(MID(Metadata!E912,9,2))&gt;=1,FALSE),IFERROR(INT(MID(Metadata!E912,9,2))&lt;=31,FALSE)), OR(MID(Metadata!E912,11,1)="", AND(AND(MID(Metadata!E912,11,1)=" ",IFERROR(INT(MID(Metadata!E912,12,1))&gt;=0,FALSE),IFERROR(INT(MID(Metadata!E912,12,1))&lt;=2,FALSE),NOT(MID(Metadata!E912,13,1)=""),IFERROR(INT(MID(Metadata!E912,12,2))&gt;=0,FALSE),IFERROR(INT(MID(Metadata!E912,12,2))&lt;=23,FALSE)), OR(MID(Metadata!E912,14,1)="", AND(AND(MID(Metadata!E912,14,1)=":",IFERROR(INT(MID(Metadata!E912,15,1))&gt;=0,FALSE),IFERROR(INT(MID(Metadata!E912,15,1))&lt;=5,FALSE),NOT(MID(Metadata!E912,16,1)=""),IFERROR(INT(MID(Metadata!E912,15,2))&gt;=0,FALSE),IFERROR(INT(MID(Metadata!E912,15,2))&lt;=59,FALSE)), OR(MID(Metadata!E912,17,1)="", AND(AND(MID(Metadata!E912,17,1)=":",IFERROR(INT(MID(Metadata!E912,18,1))&gt;=0,FALSE),IFERROR(INT(MID(Metadata!E912,18,1))&lt;=5,FALSE),NOT(MID(Metadata!E912,19,1)=""),IFERROR(INT(MID(Metadata!E912,18,2))&gt;=0,FALSE),IFERROR(INT(MID(Metadata!E912,18,2))&lt;=59,FALSE)), LEN(Metadata!E912)&lt;=19)))))))))))))</f>
        <v>0</v>
      </c>
      <c r="AS912" t="b">
        <f>IF(Metadata!F912="",FALSE,TRUE)</f>
        <v>0</v>
      </c>
      <c r="AT912" t="b">
        <f>OR(AND(IF(Metadata!G912="",FALSE,TRUE),OR(EXACT(Metadata!G912,"not collected"),EXACT(Metadata!G912,"not provided"))),AND(IF(Metadata!G912="",FALSE,TRUE),OR(EXACT(Metadata!G912,"TRUE"),EXACT(Metadata!G912,"FALSE"))))</f>
        <v>0</v>
      </c>
      <c r="AU912" t="b">
        <f>OR(AND(IF(Metadata!H912="",FALSE,TRUE),OR(EXACT(Metadata!H912,"not collected"),EXACT(Metadata!H912,"not provided"),EXACT(Metadata!H912,"restricted access"))),AND(IF(Metadata!H912="",FALSE,ISNUMBER(VALUE(Metadata!H912))),Metadata!H912&gt;=-413))</f>
        <v>0</v>
      </c>
      <c r="AV912" t="b">
        <f>AND(IF(Metadata!I912="",FALSE,TRUE),EXACT(Metadata!I912,"meters"))</f>
        <v>0</v>
      </c>
      <c r="AW912" t="b">
        <f>AND(IF(Metadata!J912="",FALSE,TRUE),EXACT(Metadata!J912,"free-living"))</f>
        <v>0</v>
      </c>
      <c r="AX912" t="b">
        <f>AND(IF(Metadata!K912="",FALSE,TRUE),OR(EXACT(Metadata!K912,"saline"),EXACT(Metadata!K912,"non-saline")))</f>
        <v>0</v>
      </c>
      <c r="AY912" t="b">
        <f>AND(IF(Metadata!L912="",FALSE,TRUE),OR(EXACT(Metadata!L912,"sub-surface (non-saline)"),EXACT(Metadata!L912,"surface (non-saline)"),EXACT(Metadata!L912,"water (non-saline)"),EXACT(Metadata!L912,"soil (non-saline)"),EXACT(Metadata!L912,"aerosol (non-saline)"),EXACT(Metadata!L912,"sediment (non-saline)"),EXACT(Metadata!L912,"surface (saline)"),EXACT(Metadata!L912,"water (saline)"),EXACT(Metadata!L912,"hypersaline (saline)"),EXACT(Metadata!L912,"aerosol (saline)"),EXACT(Metadata!L912,"sediment (saline)")))</f>
        <v>0</v>
      </c>
      <c r="AZ912" t="b">
        <f>IF(Metadata!M912="",FALSE,TRUE)</f>
        <v>0</v>
      </c>
      <c r="BA912" t="b">
        <f>IF(Metadata!N912="",FALSE,TRUE)</f>
        <v>0</v>
      </c>
      <c r="BB912" t="b">
        <f>IF(Metadata!O912="",FALSE,TRUE)</f>
        <v>0</v>
      </c>
      <c r="BC912" t="b">
        <f>AND(IF(Metadata!P912="",FALSE,TRUE),OR(EXACT(Metadata!P912,"air"),EXACT(Metadata!P912,"microbial mat/biofilm"),EXACT(Metadata!P912,"misc environment"),EXACT(Metadata!P912,"sediment"),EXACT(Metadata!P912,"soil"),EXACT(Metadata!P912,"wastewater/sludge"),EXACT(Metadata!P912,"water")))</f>
        <v>0</v>
      </c>
      <c r="BD912" t="b">
        <f>IF(Metadata!Q912="",FALSE,TRUE)</f>
        <v>0</v>
      </c>
      <c r="BE912" t="b">
        <f>IF(Metadata!R912="",FALSE,TRUE)</f>
        <v>0</v>
      </c>
      <c r="BF912" t="b">
        <f>OR(AND(IF(Metadata!S912="",FALSE,TRUE),OR(EXACT(Metadata!S912,"not collected"),EXACT(Metadata!S912,"not provided"),EXACT(Metadata!S912,"restricted access"))),AND(IF(Metadata!S912="",FALSE,ISNUMBER(VALUE(Metadata!S912))),Metadata!S912&gt;=-90,Metadata!S912&lt;=90))</f>
        <v>0</v>
      </c>
      <c r="BG912" t="b">
        <f>AND(IF(Metadata!T912="",FALSE,TRUE),EXACT(Metadata!T912,"Decimal degrees"))</f>
        <v>0</v>
      </c>
      <c r="BH912" t="b">
        <f>OR(AND(IF(Metadata!U912="",FALSE,TRUE),OR(EXACT(Metadata!U912,"not applicable"),EXACT(Metadata!U912,"not collected"))),IF(Metadata!U912="",FALSE,TRUE))</f>
        <v>0</v>
      </c>
      <c r="BI912" t="b">
        <f>OR(AND(IF(Metadata!V912="",FALSE,TRUE),OR(EXACT(Metadata!V912,"not collected"),EXACT(Metadata!V912,"not provided"),EXACT(Metadata!V912,"restricted access"))),AND(IF(Metadata!V912="",FALSE,ISNUMBER(VALUE(Metadata!V912))),Metadata!V912&gt;=-180,Metadata!V912&lt;=180))</f>
        <v>0</v>
      </c>
      <c r="BJ912" t="b">
        <f>AND(IF(Metadata!W912="",FALSE,TRUE),EXACT(Metadata!W912,"Decimal degrees"))</f>
        <v>0</v>
      </c>
      <c r="BK912" t="b">
        <f>IF(Metadata!X912="",FALSE,TRUE)</f>
        <v>0</v>
      </c>
      <c r="BL912" t="b">
        <f>OR(AND(IF(Metadata!Y912="",FALSE,TRUE),OR(EXACT(Metadata!Y912,"not collected"),EXACT(Metadata!Y912,"not provided"),EXACT(Metadata!Y912,"restricted access"))),AND(IF(Metadata!Y912="",FALSE,TRUE),OR(EXACT(Metadata!Y912,"TRUE"),EXACT(Metadata!Y912,"FALSE"))))</f>
        <v>0</v>
      </c>
      <c r="BM912" t="b">
        <f>OR(AND(IF(Metadata!Z912="",FALSE,TRUE),EXACT(Metadata!Z912,"not applicable")),AND(IF(Metadata!Z912="",FALSE,TRUE),OR(EXACT(Metadata!Z912,"beer"),EXACT(Metadata!Z912,"cheese"),EXACT(Metadata!Z912,"fresh water"),EXACT(Metadata!Z912,"marine sediment"),EXACT(Metadata!Z912,"sea water"),EXACT(Metadata!Z912,"sediment"),EXACT(Metadata!Z912,"soil"),EXACT(Metadata!Z912,"waste water"))))</f>
        <v>0</v>
      </c>
      <c r="BN912" t="b">
        <f>AND(IF(Metadata!AA912="",FALSE,TRUE),EXACT(Metadata!AA912,"metagenome"))</f>
        <v>0</v>
      </c>
      <c r="BO912" t="b">
        <f>AND(IF(Metadata!AB912="",FALSE,TRUE),EXACT(Metadata!AB912,"256318"))</f>
        <v>0</v>
      </c>
      <c r="BP912" t="b">
        <f>IF(Metadata!AC912="",FALSE,TRUE)</f>
        <v>0</v>
      </c>
      <c r="BQ912" t="b">
        <f>IF(Metadata!AD912="",FALSE,TRUE)</f>
        <v>0</v>
      </c>
    </row>
    <row r="913" spans="1:69" x14ac:dyDescent="0.2">
      <c r="A913" s="4" t="e">
        <f ca="1">IF(B913=" "," ",HYPERLINK(CONCATENATE("#metadata!",ADDRESS(INDEX($AJ$2:$AJ$1001,MATCH(ROWS($AH$2:AH913),$AH$2:$AH$1001,0),0),2)),INDEX($AM$2:$AM$1001,MATCH(ROWS($AH$2:AH913),$AH$2:$AH$1001,0),0)))</f>
        <v>#N/A</v>
      </c>
      <c r="B913" s="5" t="e">
        <f ca="1">IF(OR(INDEX($AI$2:$AI$1001,MATCH(ROWS($AH$2:AH913),$AH$2:$AH$1001,0),1)&gt;=100000,INDEX($AO$1005:$BQ$1005,1,MATCH(COLUMNS($AO$1006:AO1006),$AO$1006:$BQ$1006,0))&gt;=100000), " ",IF(INDEX($AO$2:$BQ$1001,MATCH(ROWS($AH$2:AH913),$AH$2:$AH$1001,0),MATCH(COLUMNS($AO$1006:AO1006),$AO$1006:$BQ$1006,0)), HYPERLINK("#",""), HYPERLINK(CONCATENATE("#Metadata!", ADDRESS(INDEX($AJ$2:$AJ$1001,MATCH(ROWS($AH$2:AH913),$AH$2:$AH$1001,0),0), INDEX($AO$1004:$BQ$1004,1,MATCH(COLUMNS($AO$1006:AO1006),$AO$1006:$BQ$1006,0)))),"Fix")))</f>
        <v>#N/A</v>
      </c>
      <c r="C913" s="5" t="e">
        <f ca="1">IF(OR(INDEX($AI$2:$AI$1001,MATCH(ROWS($AH$2:AH913),$AH$2:$AH$1001,0),1)&gt;=100000,INDEX($AO$1005:$BQ$1005,1,MATCH(COLUMNS($AO$1006:AP1006),$AO$1006:$BQ$1006,0))&gt;=100000), " ",IF(INDEX($AO$2:$BQ$1001,MATCH(ROWS($AH$2:AH913),$AH$2:$AH$1001,0),MATCH(COLUMNS($AO$1006:AP1006),$AO$1006:$BQ$1006,0)), HYPERLINK("#",""), HYPERLINK(CONCATENATE("#Metadata!", ADDRESS(INDEX($AJ$2:$AJ$1001,MATCH(ROWS($AH$2:AH913),$AH$2:$AH$1001,0),0), INDEX($AO$1004:$BQ$1004,1,MATCH(COLUMNS($AO$1006:AP1006),$AO$1006:$BQ$1006,0)))),"Fix")))</f>
        <v>#N/A</v>
      </c>
      <c r="D913" s="5" t="e">
        <f ca="1">IF(OR(INDEX($AI$2:$AI$1001,MATCH(ROWS($AH$2:AH913),$AH$2:$AH$1001,0),1)&gt;=100000,INDEX($AO$1005:$BQ$1005,1,MATCH(COLUMNS($AO$1006:AQ1006),$AO$1006:$BQ$1006,0))&gt;=100000), " ",IF(INDEX($AO$2:$BQ$1001,MATCH(ROWS($AH$2:AH913),$AH$2:$AH$1001,0),MATCH(COLUMNS($AO$1006:AQ1006),$AO$1006:$BQ$1006,0)), HYPERLINK("#",""), HYPERLINK(CONCATENATE("#Metadata!", ADDRESS(INDEX($AJ$2:$AJ$1001,MATCH(ROWS($AH$2:AH913),$AH$2:$AH$1001,0),0), INDEX($AO$1004:$BQ$1004,1,MATCH(COLUMNS($AO$1006:AQ1006),$AO$1006:$BQ$1006,0)))),"Fix")))</f>
        <v>#N/A</v>
      </c>
      <c r="E913" s="5" t="e">
        <f ca="1">IF(OR(INDEX($AI$2:$AI$1001,MATCH(ROWS($AH$2:AH913),$AH$2:$AH$1001,0),1)&gt;=100000,INDEX($AO$1005:$BQ$1005,1,MATCH(COLUMNS($AO$1006:AR1006),$AO$1006:$BQ$1006,0))&gt;=100000), " ",IF(INDEX($AO$2:$BQ$1001,MATCH(ROWS($AH$2:AH913),$AH$2:$AH$1001,0),MATCH(COLUMNS($AO$1006:AR1006),$AO$1006:$BQ$1006,0)), HYPERLINK("#",""), HYPERLINK(CONCATENATE("#Metadata!", ADDRESS(INDEX($AJ$2:$AJ$1001,MATCH(ROWS($AH$2:AH913),$AH$2:$AH$1001,0),0), INDEX($AO$1004:$BQ$1004,1,MATCH(COLUMNS($AO$1006:AR1006),$AO$1006:$BQ$1006,0)))),"Fix")))</f>
        <v>#N/A</v>
      </c>
      <c r="F913" s="5" t="e">
        <f ca="1">IF(OR(INDEX($AI$2:$AI$1001,MATCH(ROWS($AH$2:AH913),$AH$2:$AH$1001,0),1)&gt;=100000,INDEX($AO$1005:$BQ$1005,1,MATCH(COLUMNS($AO$1006:AS1006),$AO$1006:$BQ$1006,0))&gt;=100000), " ",IF(INDEX($AO$2:$BQ$1001,MATCH(ROWS($AH$2:AH913),$AH$2:$AH$1001,0),MATCH(COLUMNS($AO$1006:AS1006),$AO$1006:$BQ$1006,0)), HYPERLINK("#",""), HYPERLINK(CONCATENATE("#Metadata!", ADDRESS(INDEX($AJ$2:$AJ$1001,MATCH(ROWS($AH$2:AH913),$AH$2:$AH$1001,0),0), INDEX($AO$1004:$BQ$1004,1,MATCH(COLUMNS($AO$1006:AS1006),$AO$1006:$BQ$1006,0)))),"Fix")))</f>
        <v>#N/A</v>
      </c>
      <c r="G913" s="5" t="e">
        <f ca="1">IF(OR(INDEX($AI$2:$AI$1001,MATCH(ROWS($AH$2:AH913),$AH$2:$AH$1001,0),1)&gt;=100000,INDEX($AO$1005:$BQ$1005,1,MATCH(COLUMNS($AO$1006:AT1006),$AO$1006:$BQ$1006,0))&gt;=100000), " ",IF(INDEX($AO$2:$BQ$1001,MATCH(ROWS($AH$2:AH913),$AH$2:$AH$1001,0),MATCH(COLUMNS($AO$1006:AT1006),$AO$1006:$BQ$1006,0)), HYPERLINK("#",""), HYPERLINK(CONCATENATE("#Metadata!", ADDRESS(INDEX($AJ$2:$AJ$1001,MATCH(ROWS($AH$2:AH913),$AH$2:$AH$1001,0),0), INDEX($AO$1004:$BQ$1004,1,MATCH(COLUMNS($AO$1006:AT1006),$AO$1006:$BQ$1006,0)))),"Fix")))</f>
        <v>#N/A</v>
      </c>
      <c r="H913" s="5" t="e">
        <f ca="1">IF(OR(INDEX($AI$2:$AI$1001,MATCH(ROWS($AH$2:AH913),$AH$2:$AH$1001,0),1)&gt;=100000,INDEX($AO$1005:$BQ$1005,1,MATCH(COLUMNS($AO$1006:AU1006),$AO$1006:$BQ$1006,0))&gt;=100000), " ",IF(INDEX($AO$2:$BQ$1001,MATCH(ROWS($AH$2:AH913),$AH$2:$AH$1001,0),MATCH(COLUMNS($AO$1006:AU1006),$AO$1006:$BQ$1006,0)), HYPERLINK("#",""), HYPERLINK(CONCATENATE("#Metadata!", ADDRESS(INDEX($AJ$2:$AJ$1001,MATCH(ROWS($AH$2:AH913),$AH$2:$AH$1001,0),0), INDEX($AO$1004:$BQ$1004,1,MATCH(COLUMNS($AO$1006:AU1006),$AO$1006:$BQ$1006,0)))),"Fix")))</f>
        <v>#N/A</v>
      </c>
      <c r="I913" s="5" t="e">
        <f ca="1">IF(OR(INDEX($AI$2:$AI$1001,MATCH(ROWS($AH$2:AH913),$AH$2:$AH$1001,0),1)&gt;=100000,INDEX($AO$1005:$BQ$1005,1,MATCH(COLUMNS($AO$1006:AV1006),$AO$1006:$BQ$1006,0))&gt;=100000), " ",IF(INDEX($AO$2:$BQ$1001,MATCH(ROWS($AH$2:AH913),$AH$2:$AH$1001,0),MATCH(COLUMNS($AO$1006:AV1006),$AO$1006:$BQ$1006,0)), HYPERLINK("#",""), HYPERLINK(CONCATENATE("#Metadata!", ADDRESS(INDEX($AJ$2:$AJ$1001,MATCH(ROWS($AH$2:AH913),$AH$2:$AH$1001,0),0), INDEX($AO$1004:$BQ$1004,1,MATCH(COLUMNS($AO$1006:AV1006),$AO$1006:$BQ$1006,0)))),"Fix")))</f>
        <v>#N/A</v>
      </c>
      <c r="J913" s="5" t="e">
        <f ca="1">IF(OR(INDEX($AI$2:$AI$1001,MATCH(ROWS($AH$2:AH913),$AH$2:$AH$1001,0),1)&gt;=100000,INDEX($AO$1005:$BQ$1005,1,MATCH(COLUMNS($AO$1006:AW1006),$AO$1006:$BQ$1006,0))&gt;=100000), " ",IF(INDEX($AO$2:$BQ$1001,MATCH(ROWS($AH$2:AH913),$AH$2:$AH$1001,0),MATCH(COLUMNS($AO$1006:AW1006),$AO$1006:$BQ$1006,0)), HYPERLINK("#",""), HYPERLINK(CONCATENATE("#Metadata!", ADDRESS(INDEX($AJ$2:$AJ$1001,MATCH(ROWS($AH$2:AH913),$AH$2:$AH$1001,0),0), INDEX($AO$1004:$BQ$1004,1,MATCH(COLUMNS($AO$1006:AW1006),$AO$1006:$BQ$1006,0)))),"Fix")))</f>
        <v>#N/A</v>
      </c>
      <c r="K913" s="5" t="e">
        <f ca="1">IF(OR(INDEX($AI$2:$AI$1001,MATCH(ROWS($AH$2:AH913),$AH$2:$AH$1001,0),1)&gt;=100000,INDEX($AO$1005:$BQ$1005,1,MATCH(COLUMNS($AO$1006:AX1006),$AO$1006:$BQ$1006,0))&gt;=100000), " ",IF(INDEX($AO$2:$BQ$1001,MATCH(ROWS($AH$2:AH913),$AH$2:$AH$1001,0),MATCH(COLUMNS($AO$1006:AX1006),$AO$1006:$BQ$1006,0)), HYPERLINK("#",""), HYPERLINK(CONCATENATE("#Metadata!", ADDRESS(INDEX($AJ$2:$AJ$1001,MATCH(ROWS($AH$2:AH913),$AH$2:$AH$1001,0),0), INDEX($AO$1004:$BQ$1004,1,MATCH(COLUMNS($AO$1006:AX1006),$AO$1006:$BQ$1006,0)))),"Fix")))</f>
        <v>#N/A</v>
      </c>
      <c r="L913" s="5" t="e">
        <f ca="1">IF(OR(INDEX($AI$2:$AI$1001,MATCH(ROWS($AH$2:AH913),$AH$2:$AH$1001,0),1)&gt;=100000,INDEX($AO$1005:$BQ$1005,1,MATCH(COLUMNS($AO$1006:AY1006),$AO$1006:$BQ$1006,0))&gt;=100000), " ",IF(INDEX($AO$2:$BQ$1001,MATCH(ROWS($AH$2:AH913),$AH$2:$AH$1001,0),MATCH(COLUMNS($AO$1006:AY1006),$AO$1006:$BQ$1006,0)), HYPERLINK("#",""), HYPERLINK(CONCATENATE("#Metadata!", ADDRESS(INDEX($AJ$2:$AJ$1001,MATCH(ROWS($AH$2:AH913),$AH$2:$AH$1001,0),0), INDEX($AO$1004:$BQ$1004,1,MATCH(COLUMNS($AO$1006:AY1006),$AO$1006:$BQ$1006,0)))),"Fix")))</f>
        <v>#N/A</v>
      </c>
      <c r="M913" s="5" t="e">
        <f ca="1">IF(OR(INDEX($AI$2:$AI$1001,MATCH(ROWS($AH$2:AH913),$AH$2:$AH$1001,0),1)&gt;=100000,INDEX($AO$1005:$BQ$1005,1,MATCH(COLUMNS($AO$1006:AZ1006),$AO$1006:$BQ$1006,0))&gt;=100000), " ",IF(INDEX($AO$2:$BQ$1001,MATCH(ROWS($AH$2:AH913),$AH$2:$AH$1001,0),MATCH(COLUMNS($AO$1006:AZ1006),$AO$1006:$BQ$1006,0)), HYPERLINK("#",""), HYPERLINK(CONCATENATE("#Metadata!", ADDRESS(INDEX($AJ$2:$AJ$1001,MATCH(ROWS($AH$2:AH913),$AH$2:$AH$1001,0),0), INDEX($AO$1004:$BQ$1004,1,MATCH(COLUMNS($AO$1006:AZ1006),$AO$1006:$BQ$1006,0)))),"Fix")))</f>
        <v>#N/A</v>
      </c>
      <c r="N913" s="5" t="e">
        <f ca="1">IF(OR(INDEX($AI$2:$AI$1001,MATCH(ROWS($AH$2:AH913),$AH$2:$AH$1001,0),1)&gt;=100000,INDEX($AO$1005:$BQ$1005,1,MATCH(COLUMNS($AO$1006:BA1006),$AO$1006:$BQ$1006,0))&gt;=100000), " ",IF(INDEX($AO$2:$BQ$1001,MATCH(ROWS($AH$2:AH913),$AH$2:$AH$1001,0),MATCH(COLUMNS($AO$1006:BA1006),$AO$1006:$BQ$1006,0)), HYPERLINK("#",""), HYPERLINK(CONCATENATE("#Metadata!", ADDRESS(INDEX($AJ$2:$AJ$1001,MATCH(ROWS($AH$2:AH913),$AH$2:$AH$1001,0),0), INDEX($AO$1004:$BQ$1004,1,MATCH(COLUMNS($AO$1006:BA1006),$AO$1006:$BQ$1006,0)))),"Fix")))</f>
        <v>#N/A</v>
      </c>
      <c r="O913" s="5" t="e">
        <f ca="1">IF(OR(INDEX($AI$2:$AI$1001,MATCH(ROWS($AH$2:AH913),$AH$2:$AH$1001,0),1)&gt;=100000,INDEX($AO$1005:$BQ$1005,1,MATCH(COLUMNS($AO$1006:BB1006),$AO$1006:$BQ$1006,0))&gt;=100000), " ",IF(INDEX($AO$2:$BQ$1001,MATCH(ROWS($AH$2:AH913),$AH$2:$AH$1001,0),MATCH(COLUMNS($AO$1006:BB1006),$AO$1006:$BQ$1006,0)), HYPERLINK("#",""), HYPERLINK(CONCATENATE("#Metadata!", ADDRESS(INDEX($AJ$2:$AJ$1001,MATCH(ROWS($AH$2:AH913),$AH$2:$AH$1001,0),0), INDEX($AO$1004:$BQ$1004,1,MATCH(COLUMNS($AO$1006:BB1006),$AO$1006:$BQ$1006,0)))),"Fix")))</f>
        <v>#N/A</v>
      </c>
      <c r="P913" s="5" t="e">
        <f ca="1">IF(OR(INDEX($AI$2:$AI$1001,MATCH(ROWS($AH$2:AH913),$AH$2:$AH$1001,0),1)&gt;=100000,INDEX($AO$1005:$BQ$1005,1,MATCH(COLUMNS($AO$1006:BC1006),$AO$1006:$BQ$1006,0))&gt;=100000), " ",IF(INDEX($AO$2:$BQ$1001,MATCH(ROWS($AH$2:AH913),$AH$2:$AH$1001,0),MATCH(COLUMNS($AO$1006:BC1006),$AO$1006:$BQ$1006,0)), HYPERLINK("#",""), HYPERLINK(CONCATENATE("#Metadata!", ADDRESS(INDEX($AJ$2:$AJ$1001,MATCH(ROWS($AH$2:AH913),$AH$2:$AH$1001,0),0), INDEX($AO$1004:$BQ$1004,1,MATCH(COLUMNS($AO$1006:BC1006),$AO$1006:$BQ$1006,0)))),"Fix")))</f>
        <v>#N/A</v>
      </c>
      <c r="Q913" s="5" t="e">
        <f ca="1">IF(OR(INDEX($AI$2:$AI$1001,MATCH(ROWS($AH$2:AH913),$AH$2:$AH$1001,0),1)&gt;=100000,INDEX($AO$1005:$BQ$1005,1,MATCH(COLUMNS($AO$1006:BD1006),$AO$1006:$BQ$1006,0))&gt;=100000), " ",IF(INDEX($AO$2:$BQ$1001,MATCH(ROWS($AH$2:AH913),$AH$2:$AH$1001,0),MATCH(COLUMNS($AO$1006:BD1006),$AO$1006:$BQ$1006,0)), HYPERLINK("#",""), HYPERLINK(CONCATENATE("#Metadata!", ADDRESS(INDEX($AJ$2:$AJ$1001,MATCH(ROWS($AH$2:AH913),$AH$2:$AH$1001,0),0), INDEX($AO$1004:$BQ$1004,1,MATCH(COLUMNS($AO$1006:BD1006),$AO$1006:$BQ$1006,0)))),"Fix")))</f>
        <v>#N/A</v>
      </c>
      <c r="R913" s="5" t="e">
        <f ca="1">IF(OR(INDEX($AI$2:$AI$1001,MATCH(ROWS($AH$2:AH913),$AH$2:$AH$1001,0),1)&gt;=100000,INDEX($AO$1005:$BQ$1005,1,MATCH(COLUMNS($AO$1006:BE1006),$AO$1006:$BQ$1006,0))&gt;=100000), " ",IF(INDEX($AO$2:$BQ$1001,MATCH(ROWS($AH$2:AH913),$AH$2:$AH$1001,0),MATCH(COLUMNS($AO$1006:BE1006),$AO$1006:$BQ$1006,0)), HYPERLINK("#",""), HYPERLINK(CONCATENATE("#Metadata!", ADDRESS(INDEX($AJ$2:$AJ$1001,MATCH(ROWS($AH$2:AH913),$AH$2:$AH$1001,0),0), INDEX($AO$1004:$BQ$1004,1,MATCH(COLUMNS($AO$1006:BE1006),$AO$1006:$BQ$1006,0)))),"Fix")))</f>
        <v>#N/A</v>
      </c>
      <c r="S913" s="5" t="e">
        <f ca="1">IF(OR(INDEX($AI$2:$AI$1001,MATCH(ROWS($AH$2:AH913),$AH$2:$AH$1001,0),1)&gt;=100000,INDEX($AO$1005:$BQ$1005,1,MATCH(COLUMNS($AO$1006:BF1006),$AO$1006:$BQ$1006,0))&gt;=100000), " ",IF(INDEX($AO$2:$BQ$1001,MATCH(ROWS($AH$2:AH913),$AH$2:$AH$1001,0),MATCH(COLUMNS($AO$1006:BF1006),$AO$1006:$BQ$1006,0)), HYPERLINK("#",""), HYPERLINK(CONCATENATE("#Metadata!", ADDRESS(INDEX($AJ$2:$AJ$1001,MATCH(ROWS($AH$2:AH913),$AH$2:$AH$1001,0),0), INDEX($AO$1004:$BQ$1004,1,MATCH(COLUMNS($AO$1006:BF1006),$AO$1006:$BQ$1006,0)))),"Fix")))</f>
        <v>#N/A</v>
      </c>
      <c r="T913" s="5" t="e">
        <f ca="1">IF(OR(INDEX($AI$2:$AI$1001,MATCH(ROWS($AH$2:AH913),$AH$2:$AH$1001,0),1)&gt;=100000,INDEX($AO$1005:$BQ$1005,1,MATCH(COLUMNS($AO$1006:BG1006),$AO$1006:$BQ$1006,0))&gt;=100000), " ",IF(INDEX($AO$2:$BQ$1001,MATCH(ROWS($AH$2:AH913),$AH$2:$AH$1001,0),MATCH(COLUMNS($AO$1006:BG1006),$AO$1006:$BQ$1006,0)), HYPERLINK("#",""), HYPERLINK(CONCATENATE("#Metadata!", ADDRESS(INDEX($AJ$2:$AJ$1001,MATCH(ROWS($AH$2:AH913),$AH$2:$AH$1001,0),0), INDEX($AO$1004:$BQ$1004,1,MATCH(COLUMNS($AO$1006:BG1006),$AO$1006:$BQ$1006,0)))),"Fix")))</f>
        <v>#N/A</v>
      </c>
      <c r="U913" s="5" t="e">
        <f ca="1">IF(OR(INDEX($AI$2:$AI$1001,MATCH(ROWS($AH$2:AH913),$AH$2:$AH$1001,0),1)&gt;=100000,INDEX($AO$1005:$BQ$1005,1,MATCH(COLUMNS($AO$1006:BH1006),$AO$1006:$BQ$1006,0))&gt;=100000), " ",IF(INDEX($AO$2:$BQ$1001,MATCH(ROWS($AH$2:AH913),$AH$2:$AH$1001,0),MATCH(COLUMNS($AO$1006:BH1006),$AO$1006:$BQ$1006,0)), HYPERLINK("#",""), HYPERLINK(CONCATENATE("#Metadata!", ADDRESS(INDEX($AJ$2:$AJ$1001,MATCH(ROWS($AH$2:AH913),$AH$2:$AH$1001,0),0), INDEX($AO$1004:$BQ$1004,1,MATCH(COLUMNS($AO$1006:BH1006),$AO$1006:$BQ$1006,0)))),"Fix")))</f>
        <v>#N/A</v>
      </c>
      <c r="V913" s="5" t="e">
        <f ca="1">IF(OR(INDEX($AI$2:$AI$1001,MATCH(ROWS($AH$2:AH913),$AH$2:$AH$1001,0),1)&gt;=100000,INDEX($AO$1005:$BQ$1005,1,MATCH(COLUMNS($AO$1006:BI1006),$AO$1006:$BQ$1006,0))&gt;=100000), " ",IF(INDEX($AO$2:$BQ$1001,MATCH(ROWS($AH$2:AH913),$AH$2:$AH$1001,0),MATCH(COLUMNS($AO$1006:BI1006),$AO$1006:$BQ$1006,0)), HYPERLINK("#",""), HYPERLINK(CONCATENATE("#Metadata!", ADDRESS(INDEX($AJ$2:$AJ$1001,MATCH(ROWS($AH$2:AH913),$AH$2:$AH$1001,0),0), INDEX($AO$1004:$BQ$1004,1,MATCH(COLUMNS($AO$1006:BI1006),$AO$1006:$BQ$1006,0)))),"Fix")))</f>
        <v>#N/A</v>
      </c>
      <c r="W913" s="5" t="e">
        <f ca="1">IF(OR(INDEX($AI$2:$AI$1001,MATCH(ROWS($AH$2:AH913),$AH$2:$AH$1001,0),1)&gt;=100000,INDEX($AO$1005:$BQ$1005,1,MATCH(COLUMNS($AO$1006:BJ1006),$AO$1006:$BQ$1006,0))&gt;=100000), " ",IF(INDEX($AO$2:$BQ$1001,MATCH(ROWS($AH$2:AH913),$AH$2:$AH$1001,0),MATCH(COLUMNS($AO$1006:BJ1006),$AO$1006:$BQ$1006,0)), HYPERLINK("#",""), HYPERLINK(CONCATENATE("#Metadata!", ADDRESS(INDEX($AJ$2:$AJ$1001,MATCH(ROWS($AH$2:AH913),$AH$2:$AH$1001,0),0), INDEX($AO$1004:$BQ$1004,1,MATCH(COLUMNS($AO$1006:BJ1006),$AO$1006:$BQ$1006,0)))),"Fix")))</f>
        <v>#N/A</v>
      </c>
      <c r="X913" s="5" t="e">
        <f ca="1">IF(OR(INDEX($AI$2:$AI$1001,MATCH(ROWS($AH$2:AH913),$AH$2:$AH$1001,0),1)&gt;=100000,INDEX($AO$1005:$BQ$1005,1,MATCH(COLUMNS($AO$1006:BK1006),$AO$1006:$BQ$1006,0))&gt;=100000), " ",IF(INDEX($AO$2:$BQ$1001,MATCH(ROWS($AH$2:AH913),$AH$2:$AH$1001,0),MATCH(COLUMNS($AO$1006:BK1006),$AO$1006:$BQ$1006,0)), HYPERLINK("#",""), HYPERLINK(CONCATENATE("#Metadata!", ADDRESS(INDEX($AJ$2:$AJ$1001,MATCH(ROWS($AH$2:AH913),$AH$2:$AH$1001,0),0), INDEX($AO$1004:$BQ$1004,1,MATCH(COLUMNS($AO$1006:BK1006),$AO$1006:$BQ$1006,0)))),"Fix")))</f>
        <v>#N/A</v>
      </c>
      <c r="Y913" s="5" t="e">
        <f ca="1">IF(OR(INDEX($AI$2:$AI$1001,MATCH(ROWS($AH$2:AH913),$AH$2:$AH$1001,0),1)&gt;=100000,INDEX($AO$1005:$BQ$1005,1,MATCH(COLUMNS($AO$1006:BL1006),$AO$1006:$BQ$1006,0))&gt;=100000), " ",IF(INDEX($AO$2:$BQ$1001,MATCH(ROWS($AH$2:AH913),$AH$2:$AH$1001,0),MATCH(COLUMNS($AO$1006:BL1006),$AO$1006:$BQ$1006,0)), HYPERLINK("#",""), HYPERLINK(CONCATENATE("#Metadata!", ADDRESS(INDEX($AJ$2:$AJ$1001,MATCH(ROWS($AH$2:AH913),$AH$2:$AH$1001,0),0), INDEX($AO$1004:$BQ$1004,1,MATCH(COLUMNS($AO$1006:BL1006),$AO$1006:$BQ$1006,0)))),"Fix")))</f>
        <v>#N/A</v>
      </c>
      <c r="Z913" s="5" t="e">
        <f ca="1">IF(OR(INDEX($AI$2:$AI$1001,MATCH(ROWS($AH$2:AH913),$AH$2:$AH$1001,0),1)&gt;=100000,INDEX($AO$1005:$BQ$1005,1,MATCH(COLUMNS($AO$1006:BM1006),$AO$1006:$BQ$1006,0))&gt;=100000), " ",IF(INDEX($AO$2:$BQ$1001,MATCH(ROWS($AH$2:AH913),$AH$2:$AH$1001,0),MATCH(COLUMNS($AO$1006:BM1006),$AO$1006:$BQ$1006,0)), HYPERLINK("#",""), HYPERLINK(CONCATENATE("#Metadata!", ADDRESS(INDEX($AJ$2:$AJ$1001,MATCH(ROWS($AH$2:AH913),$AH$2:$AH$1001,0),0), INDEX($AO$1004:$BQ$1004,1,MATCH(COLUMNS($AO$1006:BM1006),$AO$1006:$BQ$1006,0)))),"Fix")))</f>
        <v>#N/A</v>
      </c>
      <c r="AA913" s="5" t="e">
        <f ca="1">IF(OR(INDEX($AI$2:$AI$1001,MATCH(ROWS($AH$2:AH913),$AH$2:$AH$1001,0),1)&gt;=100000,INDEX($AO$1005:$BQ$1005,1,MATCH(COLUMNS($AO$1006:BN1006),$AO$1006:$BQ$1006,0))&gt;=100000), " ",IF(INDEX($AO$2:$BQ$1001,MATCH(ROWS($AH$2:AH913),$AH$2:$AH$1001,0),MATCH(COLUMNS($AO$1006:BN1006),$AO$1006:$BQ$1006,0)), HYPERLINK("#",""), HYPERLINK(CONCATENATE("#Metadata!", ADDRESS(INDEX($AJ$2:$AJ$1001,MATCH(ROWS($AH$2:AH913),$AH$2:$AH$1001,0),0), INDEX($AO$1004:$BQ$1004,1,MATCH(COLUMNS($AO$1006:BN1006),$AO$1006:$BQ$1006,0)))),"Fix")))</f>
        <v>#N/A</v>
      </c>
      <c r="AB913" s="5" t="e">
        <f ca="1">IF(OR(INDEX($AI$2:$AI$1001,MATCH(ROWS($AH$2:AH913),$AH$2:$AH$1001,0),1)&gt;=100000,INDEX($AO$1005:$BQ$1005,1,MATCH(COLUMNS($AO$1006:BO1006),$AO$1006:$BQ$1006,0))&gt;=100000), " ",IF(INDEX($AO$2:$BQ$1001,MATCH(ROWS($AH$2:AH913),$AH$2:$AH$1001,0),MATCH(COLUMNS($AO$1006:BO1006),$AO$1006:$BQ$1006,0)), HYPERLINK("#",""), HYPERLINK(CONCATENATE("#Metadata!", ADDRESS(INDEX($AJ$2:$AJ$1001,MATCH(ROWS($AH$2:AH913),$AH$2:$AH$1001,0),0), INDEX($AO$1004:$BQ$1004,1,MATCH(COLUMNS($AO$1006:BO1006),$AO$1006:$BQ$1006,0)))),"Fix")))</f>
        <v>#N/A</v>
      </c>
      <c r="AC913" s="5" t="e">
        <f ca="1">IF(OR(INDEX($AI$2:$AI$1001,MATCH(ROWS($AH$2:AH913),$AH$2:$AH$1001,0),1)&gt;=100000,INDEX($AO$1005:$BQ$1005,1,MATCH(COLUMNS($AO$1006:BP1006),$AO$1006:$BQ$1006,0))&gt;=100000), " ",IF(INDEX($AO$2:$BQ$1001,MATCH(ROWS($AH$2:AH913),$AH$2:$AH$1001,0),MATCH(COLUMNS($AO$1006:BP1006),$AO$1006:$BQ$1006,0)), HYPERLINK("#",""), HYPERLINK(CONCATENATE("#Metadata!", ADDRESS(INDEX($AJ$2:$AJ$1001,MATCH(ROWS($AH$2:AH913),$AH$2:$AH$1001,0),0), INDEX($AO$1004:$BQ$1004,1,MATCH(COLUMNS($AO$1006:BP1006),$AO$1006:$BQ$1006,0)))),"Fix")))</f>
        <v>#N/A</v>
      </c>
      <c r="AD913" s="5" t="e">
        <f ca="1">IF(OR(INDEX($AI$2:$AI$1001,MATCH(ROWS($AH$2:AH913),$AH$2:$AH$1001,0),1)&gt;=100000,INDEX($AO$1005:$BQ$1005,1,MATCH(COLUMNS($AO$1006:BQ1006),$AO$1006:$BQ$1006,0))&gt;=100000), " ",IF(INDEX($AO$2:$BQ$1001,MATCH(ROWS($AH$2:AH913),$AH$2:$AH$1001,0),MATCH(COLUMNS($AO$1006:BQ1006),$AO$1006:$BQ$1006,0)), HYPERLINK("#",""), HYPERLINK(CONCATENATE("#Metadata!", ADDRESS(INDEX($AJ$2:$AJ$1001,MATCH(ROWS($AH$2:AH913),$AH$2:$AH$1001,0),0), INDEX($AO$1004:$BQ$1004,1,MATCH(COLUMNS($AO$1006:BQ1006),$AO$1006:$BQ$1006,0)))),"Fix")))</f>
        <v>#REF!</v>
      </c>
      <c r="AH913">
        <f ca="1"/>
        <v>910</v>
      </c>
      <c r="AI913">
        <v>100913</v>
      </c>
      <c r="AJ913">
        <v>913</v>
      </c>
      <c r="AK913" t="b">
        <f t="shared" si="14"/>
        <v>1</v>
      </c>
      <c r="AL913" t="b">
        <f>COUNTBLANK(Metadata!B913:AD913)=COLUMNS(Metadata!B913:AD913)</f>
        <v>1</v>
      </c>
      <c r="AM913" t="str">
        <v/>
      </c>
      <c r="AO913" t="b">
        <f ca="1">AND(IF(Metadata!B913="",FALSE,TRUE),COUNTIF(Metadata!B:B, Metadata!B913) = 1,NOT(ISERROR(SUMPRODUCT(SEARCH(MID(Metadata!B913,ROW(INDIRECT("1:"&amp;LEN(Metadata!B913))), 1),"0123456789abcdefghijklmnopqrstuvwxyzABCDEFGHIJKLMNOPQRSTUVWXYZ.")))))</f>
        <v>0</v>
      </c>
      <c r="AP913" t="b">
        <f>IF(Metadata!C913="",FALSE,TRUE)</f>
        <v>0</v>
      </c>
      <c r="AQ913" t="b">
        <f>IF(Metadata!D913="",FALSE,TRUE)</f>
        <v>0</v>
      </c>
      <c r="AR913" t="b">
        <f ca="1">OR(AND(IF(Metadata!E913="",FALSE,TRUE),OR(EXACT(Metadata!E913,"not collected"),EXACT(Metadata!E913,"not provided"),EXACT(Metadata!E913,"restricted access"))),AND(IF(Metadata!E913="",FALSE,TRUE),AND(AND(IFERROR(INT(LEFT(Metadata!E913,4))&gt;1900,FALSE),IFERROR(INT(LEFT(Metadata!E913,4))&lt;=YEAR(NOW()),FALSE)), OR(MID(Metadata!E913,5,1)="", AND(AND(MID(Metadata!E913,5,1)="-",IFERROR(INT(MID(Metadata!E913,6,1))&gt;=0,FALSE),IFERROR(INT(MID(Metadata!E913,6,1))&lt;=1,FALSE),NOT(MID(Metadata!E913,7,1)=""),IFERROR(INT(MID(Metadata!E913,6,2))&gt;=1,FALSE),IFERROR(INT(MID(Metadata!E913,6,2))&lt;=12,FALSE)), OR(MID(Metadata!E913,8,1)="", AND(AND(MID(Metadata!E913,8,1)="-",IFERROR(INT(MID(Metadata!E913,9,1))&gt;=0,FALSE),IFERROR(INT(MID(Metadata!E913,9,1))&lt;=3,FALSE),NOT(MID(Metadata!E913,10,1)=""),IFERROR(INT(MID(Metadata!E913,9,2))&gt;=1,FALSE),IFERROR(INT(MID(Metadata!E913,9,2))&lt;=31,FALSE)), OR(MID(Metadata!E913,11,1)="", AND(AND(MID(Metadata!E913,11,1)=" ",IFERROR(INT(MID(Metadata!E913,12,1))&gt;=0,FALSE),IFERROR(INT(MID(Metadata!E913,12,1))&lt;=2,FALSE),NOT(MID(Metadata!E913,13,1)=""),IFERROR(INT(MID(Metadata!E913,12,2))&gt;=0,FALSE),IFERROR(INT(MID(Metadata!E913,12,2))&lt;=23,FALSE)), OR(MID(Metadata!E913,14,1)="", AND(AND(MID(Metadata!E913,14,1)=":",IFERROR(INT(MID(Metadata!E913,15,1))&gt;=0,FALSE),IFERROR(INT(MID(Metadata!E913,15,1))&lt;=5,FALSE),NOT(MID(Metadata!E913,16,1)=""),IFERROR(INT(MID(Metadata!E913,15,2))&gt;=0,FALSE),IFERROR(INT(MID(Metadata!E913,15,2))&lt;=59,FALSE)), OR(MID(Metadata!E913,17,1)="", AND(AND(MID(Metadata!E913,17,1)=":",IFERROR(INT(MID(Metadata!E913,18,1))&gt;=0,FALSE),IFERROR(INT(MID(Metadata!E913,18,1))&lt;=5,FALSE),NOT(MID(Metadata!E913,19,1)=""),IFERROR(INT(MID(Metadata!E913,18,2))&gt;=0,FALSE),IFERROR(INT(MID(Metadata!E913,18,2))&lt;=59,FALSE)), LEN(Metadata!E913)&lt;=19)))))))))))))</f>
        <v>0</v>
      </c>
      <c r="AS913" t="b">
        <f>IF(Metadata!F913="",FALSE,TRUE)</f>
        <v>0</v>
      </c>
      <c r="AT913" t="b">
        <f>OR(AND(IF(Metadata!G913="",FALSE,TRUE),OR(EXACT(Metadata!G913,"not collected"),EXACT(Metadata!G913,"not provided"))),AND(IF(Metadata!G913="",FALSE,TRUE),OR(EXACT(Metadata!G913,"TRUE"),EXACT(Metadata!G913,"FALSE"))))</f>
        <v>0</v>
      </c>
      <c r="AU913" t="b">
        <f>OR(AND(IF(Metadata!H913="",FALSE,TRUE),OR(EXACT(Metadata!H913,"not collected"),EXACT(Metadata!H913,"not provided"),EXACT(Metadata!H913,"restricted access"))),AND(IF(Metadata!H913="",FALSE,ISNUMBER(VALUE(Metadata!H913))),Metadata!H913&gt;=-413))</f>
        <v>0</v>
      </c>
      <c r="AV913" t="b">
        <f>AND(IF(Metadata!I913="",FALSE,TRUE),EXACT(Metadata!I913,"meters"))</f>
        <v>0</v>
      </c>
      <c r="AW913" t="b">
        <f>AND(IF(Metadata!J913="",FALSE,TRUE),EXACT(Metadata!J913,"free-living"))</f>
        <v>0</v>
      </c>
      <c r="AX913" t="b">
        <f>AND(IF(Metadata!K913="",FALSE,TRUE),OR(EXACT(Metadata!K913,"saline"),EXACT(Metadata!K913,"non-saline")))</f>
        <v>0</v>
      </c>
      <c r="AY913" t="b">
        <f>AND(IF(Metadata!L913="",FALSE,TRUE),OR(EXACT(Metadata!L913,"sub-surface (non-saline)"),EXACT(Metadata!L913,"surface (non-saline)"),EXACT(Metadata!L913,"water (non-saline)"),EXACT(Metadata!L913,"soil (non-saline)"),EXACT(Metadata!L913,"aerosol (non-saline)"),EXACT(Metadata!L913,"sediment (non-saline)"),EXACT(Metadata!L913,"surface (saline)"),EXACT(Metadata!L913,"water (saline)"),EXACT(Metadata!L913,"hypersaline (saline)"),EXACT(Metadata!L913,"aerosol (saline)"),EXACT(Metadata!L913,"sediment (saline)")))</f>
        <v>0</v>
      </c>
      <c r="AZ913" t="b">
        <f>IF(Metadata!M913="",FALSE,TRUE)</f>
        <v>0</v>
      </c>
      <c r="BA913" t="b">
        <f>IF(Metadata!N913="",FALSE,TRUE)</f>
        <v>0</v>
      </c>
      <c r="BB913" t="b">
        <f>IF(Metadata!O913="",FALSE,TRUE)</f>
        <v>0</v>
      </c>
      <c r="BC913" t="b">
        <f>AND(IF(Metadata!P913="",FALSE,TRUE),OR(EXACT(Metadata!P913,"air"),EXACT(Metadata!P913,"microbial mat/biofilm"),EXACT(Metadata!P913,"misc environment"),EXACT(Metadata!P913,"sediment"),EXACT(Metadata!P913,"soil"),EXACT(Metadata!P913,"wastewater/sludge"),EXACT(Metadata!P913,"water")))</f>
        <v>0</v>
      </c>
      <c r="BD913" t="b">
        <f>IF(Metadata!Q913="",FALSE,TRUE)</f>
        <v>0</v>
      </c>
      <c r="BE913" t="b">
        <f>IF(Metadata!R913="",FALSE,TRUE)</f>
        <v>0</v>
      </c>
      <c r="BF913" t="b">
        <f>OR(AND(IF(Metadata!S913="",FALSE,TRUE),OR(EXACT(Metadata!S913,"not collected"),EXACT(Metadata!S913,"not provided"),EXACT(Metadata!S913,"restricted access"))),AND(IF(Metadata!S913="",FALSE,ISNUMBER(VALUE(Metadata!S913))),Metadata!S913&gt;=-90,Metadata!S913&lt;=90))</f>
        <v>0</v>
      </c>
      <c r="BG913" t="b">
        <f>AND(IF(Metadata!T913="",FALSE,TRUE),EXACT(Metadata!T913,"Decimal degrees"))</f>
        <v>0</v>
      </c>
      <c r="BH913" t="b">
        <f>OR(AND(IF(Metadata!U913="",FALSE,TRUE),OR(EXACT(Metadata!U913,"not applicable"),EXACT(Metadata!U913,"not collected"))),IF(Metadata!U913="",FALSE,TRUE))</f>
        <v>0</v>
      </c>
      <c r="BI913" t="b">
        <f>OR(AND(IF(Metadata!V913="",FALSE,TRUE),OR(EXACT(Metadata!V913,"not collected"),EXACT(Metadata!V913,"not provided"),EXACT(Metadata!V913,"restricted access"))),AND(IF(Metadata!V913="",FALSE,ISNUMBER(VALUE(Metadata!V913))),Metadata!V913&gt;=-180,Metadata!V913&lt;=180))</f>
        <v>0</v>
      </c>
      <c r="BJ913" t="b">
        <f>AND(IF(Metadata!W913="",FALSE,TRUE),EXACT(Metadata!W913,"Decimal degrees"))</f>
        <v>0</v>
      </c>
      <c r="BK913" t="b">
        <f>IF(Metadata!X913="",FALSE,TRUE)</f>
        <v>0</v>
      </c>
      <c r="BL913" t="b">
        <f>OR(AND(IF(Metadata!Y913="",FALSE,TRUE),OR(EXACT(Metadata!Y913,"not collected"),EXACT(Metadata!Y913,"not provided"),EXACT(Metadata!Y913,"restricted access"))),AND(IF(Metadata!Y913="",FALSE,TRUE),OR(EXACT(Metadata!Y913,"TRUE"),EXACT(Metadata!Y913,"FALSE"))))</f>
        <v>0</v>
      </c>
      <c r="BM913" t="b">
        <f>OR(AND(IF(Metadata!Z913="",FALSE,TRUE),EXACT(Metadata!Z913,"not applicable")),AND(IF(Metadata!Z913="",FALSE,TRUE),OR(EXACT(Metadata!Z913,"beer"),EXACT(Metadata!Z913,"cheese"),EXACT(Metadata!Z913,"fresh water"),EXACT(Metadata!Z913,"marine sediment"),EXACT(Metadata!Z913,"sea water"),EXACT(Metadata!Z913,"sediment"),EXACT(Metadata!Z913,"soil"),EXACT(Metadata!Z913,"waste water"))))</f>
        <v>0</v>
      </c>
      <c r="BN913" t="b">
        <f>AND(IF(Metadata!AA913="",FALSE,TRUE),EXACT(Metadata!AA913,"metagenome"))</f>
        <v>0</v>
      </c>
      <c r="BO913" t="b">
        <f>AND(IF(Metadata!AB913="",FALSE,TRUE),EXACT(Metadata!AB913,"256318"))</f>
        <v>0</v>
      </c>
      <c r="BP913" t="b">
        <f>IF(Metadata!AC913="",FALSE,TRUE)</f>
        <v>0</v>
      </c>
      <c r="BQ913" t="b">
        <f>IF(Metadata!AD913="",FALSE,TRUE)</f>
        <v>0</v>
      </c>
    </row>
    <row r="914" spans="1:69" x14ac:dyDescent="0.2">
      <c r="A914" s="4" t="e">
        <f ca="1">IF(B914=" "," ",HYPERLINK(CONCATENATE("#metadata!",ADDRESS(INDEX($AJ$2:$AJ$1001,MATCH(ROWS($AH$2:AH914),$AH$2:$AH$1001,0),0),2)),INDEX($AM$2:$AM$1001,MATCH(ROWS($AH$2:AH914),$AH$2:$AH$1001,0),0)))</f>
        <v>#N/A</v>
      </c>
      <c r="B914" s="5" t="e">
        <f ca="1">IF(OR(INDEX($AI$2:$AI$1001,MATCH(ROWS($AH$2:AH914),$AH$2:$AH$1001,0),1)&gt;=100000,INDEX($AO$1005:$BQ$1005,1,MATCH(COLUMNS($AO$1006:AO1006),$AO$1006:$BQ$1006,0))&gt;=100000), " ",IF(INDEX($AO$2:$BQ$1001,MATCH(ROWS($AH$2:AH914),$AH$2:$AH$1001,0),MATCH(COLUMNS($AO$1006:AO1006),$AO$1006:$BQ$1006,0)), HYPERLINK("#",""), HYPERLINK(CONCATENATE("#Metadata!", ADDRESS(INDEX($AJ$2:$AJ$1001,MATCH(ROWS($AH$2:AH914),$AH$2:$AH$1001,0),0), INDEX($AO$1004:$BQ$1004,1,MATCH(COLUMNS($AO$1006:AO1006),$AO$1006:$BQ$1006,0)))),"Fix")))</f>
        <v>#N/A</v>
      </c>
      <c r="C914" s="5" t="e">
        <f ca="1">IF(OR(INDEX($AI$2:$AI$1001,MATCH(ROWS($AH$2:AH914),$AH$2:$AH$1001,0),1)&gt;=100000,INDEX($AO$1005:$BQ$1005,1,MATCH(COLUMNS($AO$1006:AP1006),$AO$1006:$BQ$1006,0))&gt;=100000), " ",IF(INDEX($AO$2:$BQ$1001,MATCH(ROWS($AH$2:AH914),$AH$2:$AH$1001,0),MATCH(COLUMNS($AO$1006:AP1006),$AO$1006:$BQ$1006,0)), HYPERLINK("#",""), HYPERLINK(CONCATENATE("#Metadata!", ADDRESS(INDEX($AJ$2:$AJ$1001,MATCH(ROWS($AH$2:AH914),$AH$2:$AH$1001,0),0), INDEX($AO$1004:$BQ$1004,1,MATCH(COLUMNS($AO$1006:AP1006),$AO$1006:$BQ$1006,0)))),"Fix")))</f>
        <v>#N/A</v>
      </c>
      <c r="D914" s="5" t="e">
        <f ca="1">IF(OR(INDEX($AI$2:$AI$1001,MATCH(ROWS($AH$2:AH914),$AH$2:$AH$1001,0),1)&gt;=100000,INDEX($AO$1005:$BQ$1005,1,MATCH(COLUMNS($AO$1006:AQ1006),$AO$1006:$BQ$1006,0))&gt;=100000), " ",IF(INDEX($AO$2:$BQ$1001,MATCH(ROWS($AH$2:AH914),$AH$2:$AH$1001,0),MATCH(COLUMNS($AO$1006:AQ1006),$AO$1006:$BQ$1006,0)), HYPERLINK("#",""), HYPERLINK(CONCATENATE("#Metadata!", ADDRESS(INDEX($AJ$2:$AJ$1001,MATCH(ROWS($AH$2:AH914),$AH$2:$AH$1001,0),0), INDEX($AO$1004:$BQ$1004,1,MATCH(COLUMNS($AO$1006:AQ1006),$AO$1006:$BQ$1006,0)))),"Fix")))</f>
        <v>#N/A</v>
      </c>
      <c r="E914" s="5" t="e">
        <f ca="1">IF(OR(INDEX($AI$2:$AI$1001,MATCH(ROWS($AH$2:AH914),$AH$2:$AH$1001,0),1)&gt;=100000,INDEX($AO$1005:$BQ$1005,1,MATCH(COLUMNS($AO$1006:AR1006),$AO$1006:$BQ$1006,0))&gt;=100000), " ",IF(INDEX($AO$2:$BQ$1001,MATCH(ROWS($AH$2:AH914),$AH$2:$AH$1001,0),MATCH(COLUMNS($AO$1006:AR1006),$AO$1006:$BQ$1006,0)), HYPERLINK("#",""), HYPERLINK(CONCATENATE("#Metadata!", ADDRESS(INDEX($AJ$2:$AJ$1001,MATCH(ROWS($AH$2:AH914),$AH$2:$AH$1001,0),0), INDEX($AO$1004:$BQ$1004,1,MATCH(COLUMNS($AO$1006:AR1006),$AO$1006:$BQ$1006,0)))),"Fix")))</f>
        <v>#N/A</v>
      </c>
      <c r="F914" s="5" t="e">
        <f ca="1">IF(OR(INDEX($AI$2:$AI$1001,MATCH(ROWS($AH$2:AH914),$AH$2:$AH$1001,0),1)&gt;=100000,INDEX($AO$1005:$BQ$1005,1,MATCH(COLUMNS($AO$1006:AS1006),$AO$1006:$BQ$1006,0))&gt;=100000), " ",IF(INDEX($AO$2:$BQ$1001,MATCH(ROWS($AH$2:AH914),$AH$2:$AH$1001,0),MATCH(COLUMNS($AO$1006:AS1006),$AO$1006:$BQ$1006,0)), HYPERLINK("#",""), HYPERLINK(CONCATENATE("#Metadata!", ADDRESS(INDEX($AJ$2:$AJ$1001,MATCH(ROWS($AH$2:AH914),$AH$2:$AH$1001,0),0), INDEX($AO$1004:$BQ$1004,1,MATCH(COLUMNS($AO$1006:AS1006),$AO$1006:$BQ$1006,0)))),"Fix")))</f>
        <v>#N/A</v>
      </c>
      <c r="G914" s="5" t="e">
        <f ca="1">IF(OR(INDEX($AI$2:$AI$1001,MATCH(ROWS($AH$2:AH914),$AH$2:$AH$1001,0),1)&gt;=100000,INDEX($AO$1005:$BQ$1005,1,MATCH(COLUMNS($AO$1006:AT1006),$AO$1006:$BQ$1006,0))&gt;=100000), " ",IF(INDEX($AO$2:$BQ$1001,MATCH(ROWS($AH$2:AH914),$AH$2:$AH$1001,0),MATCH(COLUMNS($AO$1006:AT1006),$AO$1006:$BQ$1006,0)), HYPERLINK("#",""), HYPERLINK(CONCATENATE("#Metadata!", ADDRESS(INDEX($AJ$2:$AJ$1001,MATCH(ROWS($AH$2:AH914),$AH$2:$AH$1001,0),0), INDEX($AO$1004:$BQ$1004,1,MATCH(COLUMNS($AO$1006:AT1006),$AO$1006:$BQ$1006,0)))),"Fix")))</f>
        <v>#N/A</v>
      </c>
      <c r="H914" s="5" t="e">
        <f ca="1">IF(OR(INDEX($AI$2:$AI$1001,MATCH(ROWS($AH$2:AH914),$AH$2:$AH$1001,0),1)&gt;=100000,INDEX($AO$1005:$BQ$1005,1,MATCH(COLUMNS($AO$1006:AU1006),$AO$1006:$BQ$1006,0))&gt;=100000), " ",IF(INDEX($AO$2:$BQ$1001,MATCH(ROWS($AH$2:AH914),$AH$2:$AH$1001,0),MATCH(COLUMNS($AO$1006:AU1006),$AO$1006:$BQ$1006,0)), HYPERLINK("#",""), HYPERLINK(CONCATENATE("#Metadata!", ADDRESS(INDEX($AJ$2:$AJ$1001,MATCH(ROWS($AH$2:AH914),$AH$2:$AH$1001,0),0), INDEX($AO$1004:$BQ$1004,1,MATCH(COLUMNS($AO$1006:AU1006),$AO$1006:$BQ$1006,0)))),"Fix")))</f>
        <v>#N/A</v>
      </c>
      <c r="I914" s="5" t="e">
        <f ca="1">IF(OR(INDEX($AI$2:$AI$1001,MATCH(ROWS($AH$2:AH914),$AH$2:$AH$1001,0),1)&gt;=100000,INDEX($AO$1005:$BQ$1005,1,MATCH(COLUMNS($AO$1006:AV1006),$AO$1006:$BQ$1006,0))&gt;=100000), " ",IF(INDEX($AO$2:$BQ$1001,MATCH(ROWS($AH$2:AH914),$AH$2:$AH$1001,0),MATCH(COLUMNS($AO$1006:AV1006),$AO$1006:$BQ$1006,0)), HYPERLINK("#",""), HYPERLINK(CONCATENATE("#Metadata!", ADDRESS(INDEX($AJ$2:$AJ$1001,MATCH(ROWS($AH$2:AH914),$AH$2:$AH$1001,0),0), INDEX($AO$1004:$BQ$1004,1,MATCH(COLUMNS($AO$1006:AV1006),$AO$1006:$BQ$1006,0)))),"Fix")))</f>
        <v>#N/A</v>
      </c>
      <c r="J914" s="5" t="e">
        <f ca="1">IF(OR(INDEX($AI$2:$AI$1001,MATCH(ROWS($AH$2:AH914),$AH$2:$AH$1001,0),1)&gt;=100000,INDEX($AO$1005:$BQ$1005,1,MATCH(COLUMNS($AO$1006:AW1006),$AO$1006:$BQ$1006,0))&gt;=100000), " ",IF(INDEX($AO$2:$BQ$1001,MATCH(ROWS($AH$2:AH914),$AH$2:$AH$1001,0),MATCH(COLUMNS($AO$1006:AW1006),$AO$1006:$BQ$1006,0)), HYPERLINK("#",""), HYPERLINK(CONCATENATE("#Metadata!", ADDRESS(INDEX($AJ$2:$AJ$1001,MATCH(ROWS($AH$2:AH914),$AH$2:$AH$1001,0),0), INDEX($AO$1004:$BQ$1004,1,MATCH(COLUMNS($AO$1006:AW1006),$AO$1006:$BQ$1006,0)))),"Fix")))</f>
        <v>#N/A</v>
      </c>
      <c r="K914" s="5" t="e">
        <f ca="1">IF(OR(INDEX($AI$2:$AI$1001,MATCH(ROWS($AH$2:AH914),$AH$2:$AH$1001,0),1)&gt;=100000,INDEX($AO$1005:$BQ$1005,1,MATCH(COLUMNS($AO$1006:AX1006),$AO$1006:$BQ$1006,0))&gt;=100000), " ",IF(INDEX($AO$2:$BQ$1001,MATCH(ROWS($AH$2:AH914),$AH$2:$AH$1001,0),MATCH(COLUMNS($AO$1006:AX1006),$AO$1006:$BQ$1006,0)), HYPERLINK("#",""), HYPERLINK(CONCATENATE("#Metadata!", ADDRESS(INDEX($AJ$2:$AJ$1001,MATCH(ROWS($AH$2:AH914),$AH$2:$AH$1001,0),0), INDEX($AO$1004:$BQ$1004,1,MATCH(COLUMNS($AO$1006:AX1006),$AO$1006:$BQ$1006,0)))),"Fix")))</f>
        <v>#N/A</v>
      </c>
      <c r="L914" s="5" t="e">
        <f ca="1">IF(OR(INDEX($AI$2:$AI$1001,MATCH(ROWS($AH$2:AH914),$AH$2:$AH$1001,0),1)&gt;=100000,INDEX($AO$1005:$BQ$1005,1,MATCH(COLUMNS($AO$1006:AY1006),$AO$1006:$BQ$1006,0))&gt;=100000), " ",IF(INDEX($AO$2:$BQ$1001,MATCH(ROWS($AH$2:AH914),$AH$2:$AH$1001,0),MATCH(COLUMNS($AO$1006:AY1006),$AO$1006:$BQ$1006,0)), HYPERLINK("#",""), HYPERLINK(CONCATENATE("#Metadata!", ADDRESS(INDEX($AJ$2:$AJ$1001,MATCH(ROWS($AH$2:AH914),$AH$2:$AH$1001,0),0), INDEX($AO$1004:$BQ$1004,1,MATCH(COLUMNS($AO$1006:AY1006),$AO$1006:$BQ$1006,0)))),"Fix")))</f>
        <v>#N/A</v>
      </c>
      <c r="M914" s="5" t="e">
        <f ca="1">IF(OR(INDEX($AI$2:$AI$1001,MATCH(ROWS($AH$2:AH914),$AH$2:$AH$1001,0),1)&gt;=100000,INDEX($AO$1005:$BQ$1005,1,MATCH(COLUMNS($AO$1006:AZ1006),$AO$1006:$BQ$1006,0))&gt;=100000), " ",IF(INDEX($AO$2:$BQ$1001,MATCH(ROWS($AH$2:AH914),$AH$2:$AH$1001,0),MATCH(COLUMNS($AO$1006:AZ1006),$AO$1006:$BQ$1006,0)), HYPERLINK("#",""), HYPERLINK(CONCATENATE("#Metadata!", ADDRESS(INDEX($AJ$2:$AJ$1001,MATCH(ROWS($AH$2:AH914),$AH$2:$AH$1001,0),0), INDEX($AO$1004:$BQ$1004,1,MATCH(COLUMNS($AO$1006:AZ1006),$AO$1006:$BQ$1006,0)))),"Fix")))</f>
        <v>#N/A</v>
      </c>
      <c r="N914" s="5" t="e">
        <f ca="1">IF(OR(INDEX($AI$2:$AI$1001,MATCH(ROWS($AH$2:AH914),$AH$2:$AH$1001,0),1)&gt;=100000,INDEX($AO$1005:$BQ$1005,1,MATCH(COLUMNS($AO$1006:BA1006),$AO$1006:$BQ$1006,0))&gt;=100000), " ",IF(INDEX($AO$2:$BQ$1001,MATCH(ROWS($AH$2:AH914),$AH$2:$AH$1001,0),MATCH(COLUMNS($AO$1006:BA1006),$AO$1006:$BQ$1006,0)), HYPERLINK("#",""), HYPERLINK(CONCATENATE("#Metadata!", ADDRESS(INDEX($AJ$2:$AJ$1001,MATCH(ROWS($AH$2:AH914),$AH$2:$AH$1001,0),0), INDEX($AO$1004:$BQ$1004,1,MATCH(COLUMNS($AO$1006:BA1006),$AO$1006:$BQ$1006,0)))),"Fix")))</f>
        <v>#N/A</v>
      </c>
      <c r="O914" s="5" t="e">
        <f ca="1">IF(OR(INDEX($AI$2:$AI$1001,MATCH(ROWS($AH$2:AH914),$AH$2:$AH$1001,0),1)&gt;=100000,INDEX($AO$1005:$BQ$1005,1,MATCH(COLUMNS($AO$1006:BB1006),$AO$1006:$BQ$1006,0))&gt;=100000), " ",IF(INDEX($AO$2:$BQ$1001,MATCH(ROWS($AH$2:AH914),$AH$2:$AH$1001,0),MATCH(COLUMNS($AO$1006:BB1006),$AO$1006:$BQ$1006,0)), HYPERLINK("#",""), HYPERLINK(CONCATENATE("#Metadata!", ADDRESS(INDEX($AJ$2:$AJ$1001,MATCH(ROWS($AH$2:AH914),$AH$2:$AH$1001,0),0), INDEX($AO$1004:$BQ$1004,1,MATCH(COLUMNS($AO$1006:BB1006),$AO$1006:$BQ$1006,0)))),"Fix")))</f>
        <v>#N/A</v>
      </c>
      <c r="P914" s="5" t="e">
        <f ca="1">IF(OR(INDEX($AI$2:$AI$1001,MATCH(ROWS($AH$2:AH914),$AH$2:$AH$1001,0),1)&gt;=100000,INDEX($AO$1005:$BQ$1005,1,MATCH(COLUMNS($AO$1006:BC1006),$AO$1006:$BQ$1006,0))&gt;=100000), " ",IF(INDEX($AO$2:$BQ$1001,MATCH(ROWS($AH$2:AH914),$AH$2:$AH$1001,0),MATCH(COLUMNS($AO$1006:BC1006),$AO$1006:$BQ$1006,0)), HYPERLINK("#",""), HYPERLINK(CONCATENATE("#Metadata!", ADDRESS(INDEX($AJ$2:$AJ$1001,MATCH(ROWS($AH$2:AH914),$AH$2:$AH$1001,0),0), INDEX($AO$1004:$BQ$1004,1,MATCH(COLUMNS($AO$1006:BC1006),$AO$1006:$BQ$1006,0)))),"Fix")))</f>
        <v>#N/A</v>
      </c>
      <c r="Q914" s="5" t="e">
        <f ca="1">IF(OR(INDEX($AI$2:$AI$1001,MATCH(ROWS($AH$2:AH914),$AH$2:$AH$1001,0),1)&gt;=100000,INDEX($AO$1005:$BQ$1005,1,MATCH(COLUMNS($AO$1006:BD1006),$AO$1006:$BQ$1006,0))&gt;=100000), " ",IF(INDEX($AO$2:$BQ$1001,MATCH(ROWS($AH$2:AH914),$AH$2:$AH$1001,0),MATCH(COLUMNS($AO$1006:BD1006),$AO$1006:$BQ$1006,0)), HYPERLINK("#",""), HYPERLINK(CONCATENATE("#Metadata!", ADDRESS(INDEX($AJ$2:$AJ$1001,MATCH(ROWS($AH$2:AH914),$AH$2:$AH$1001,0),0), INDEX($AO$1004:$BQ$1004,1,MATCH(COLUMNS($AO$1006:BD1006),$AO$1006:$BQ$1006,0)))),"Fix")))</f>
        <v>#N/A</v>
      </c>
      <c r="R914" s="5" t="e">
        <f ca="1">IF(OR(INDEX($AI$2:$AI$1001,MATCH(ROWS($AH$2:AH914),$AH$2:$AH$1001,0),1)&gt;=100000,INDEX($AO$1005:$BQ$1005,1,MATCH(COLUMNS($AO$1006:BE1006),$AO$1006:$BQ$1006,0))&gt;=100000), " ",IF(INDEX($AO$2:$BQ$1001,MATCH(ROWS($AH$2:AH914),$AH$2:$AH$1001,0),MATCH(COLUMNS($AO$1006:BE1006),$AO$1006:$BQ$1006,0)), HYPERLINK("#",""), HYPERLINK(CONCATENATE("#Metadata!", ADDRESS(INDEX($AJ$2:$AJ$1001,MATCH(ROWS($AH$2:AH914),$AH$2:$AH$1001,0),0), INDEX($AO$1004:$BQ$1004,1,MATCH(COLUMNS($AO$1006:BE1006),$AO$1006:$BQ$1006,0)))),"Fix")))</f>
        <v>#N/A</v>
      </c>
      <c r="S914" s="5" t="e">
        <f ca="1">IF(OR(INDEX($AI$2:$AI$1001,MATCH(ROWS($AH$2:AH914),$AH$2:$AH$1001,0),1)&gt;=100000,INDEX($AO$1005:$BQ$1005,1,MATCH(COLUMNS($AO$1006:BF1006),$AO$1006:$BQ$1006,0))&gt;=100000), " ",IF(INDEX($AO$2:$BQ$1001,MATCH(ROWS($AH$2:AH914),$AH$2:$AH$1001,0),MATCH(COLUMNS($AO$1006:BF1006),$AO$1006:$BQ$1006,0)), HYPERLINK("#",""), HYPERLINK(CONCATENATE("#Metadata!", ADDRESS(INDEX($AJ$2:$AJ$1001,MATCH(ROWS($AH$2:AH914),$AH$2:$AH$1001,0),0), INDEX($AO$1004:$BQ$1004,1,MATCH(COLUMNS($AO$1006:BF1006),$AO$1006:$BQ$1006,0)))),"Fix")))</f>
        <v>#N/A</v>
      </c>
      <c r="T914" s="5" t="e">
        <f ca="1">IF(OR(INDEX($AI$2:$AI$1001,MATCH(ROWS($AH$2:AH914),$AH$2:$AH$1001,0),1)&gt;=100000,INDEX($AO$1005:$BQ$1005,1,MATCH(COLUMNS($AO$1006:BG1006),$AO$1006:$BQ$1006,0))&gt;=100000), " ",IF(INDEX($AO$2:$BQ$1001,MATCH(ROWS($AH$2:AH914),$AH$2:$AH$1001,0),MATCH(COLUMNS($AO$1006:BG1006),$AO$1006:$BQ$1006,0)), HYPERLINK("#",""), HYPERLINK(CONCATENATE("#Metadata!", ADDRESS(INDEX($AJ$2:$AJ$1001,MATCH(ROWS($AH$2:AH914),$AH$2:$AH$1001,0),0), INDEX($AO$1004:$BQ$1004,1,MATCH(COLUMNS($AO$1006:BG1006),$AO$1006:$BQ$1006,0)))),"Fix")))</f>
        <v>#N/A</v>
      </c>
      <c r="U914" s="5" t="e">
        <f ca="1">IF(OR(INDEX($AI$2:$AI$1001,MATCH(ROWS($AH$2:AH914),$AH$2:$AH$1001,0),1)&gt;=100000,INDEX($AO$1005:$BQ$1005,1,MATCH(COLUMNS($AO$1006:BH1006),$AO$1006:$BQ$1006,0))&gt;=100000), " ",IF(INDEX($AO$2:$BQ$1001,MATCH(ROWS($AH$2:AH914),$AH$2:$AH$1001,0),MATCH(COLUMNS($AO$1006:BH1006),$AO$1006:$BQ$1006,0)), HYPERLINK("#",""), HYPERLINK(CONCATENATE("#Metadata!", ADDRESS(INDEX($AJ$2:$AJ$1001,MATCH(ROWS($AH$2:AH914),$AH$2:$AH$1001,0),0), INDEX($AO$1004:$BQ$1004,1,MATCH(COLUMNS($AO$1006:BH1006),$AO$1006:$BQ$1006,0)))),"Fix")))</f>
        <v>#N/A</v>
      </c>
      <c r="V914" s="5" t="e">
        <f ca="1">IF(OR(INDEX($AI$2:$AI$1001,MATCH(ROWS($AH$2:AH914),$AH$2:$AH$1001,0),1)&gt;=100000,INDEX($AO$1005:$BQ$1005,1,MATCH(COLUMNS($AO$1006:BI1006),$AO$1006:$BQ$1006,0))&gt;=100000), " ",IF(INDEX($AO$2:$BQ$1001,MATCH(ROWS($AH$2:AH914),$AH$2:$AH$1001,0),MATCH(COLUMNS($AO$1006:BI1006),$AO$1006:$BQ$1006,0)), HYPERLINK("#",""), HYPERLINK(CONCATENATE("#Metadata!", ADDRESS(INDEX($AJ$2:$AJ$1001,MATCH(ROWS($AH$2:AH914),$AH$2:$AH$1001,0),0), INDEX($AO$1004:$BQ$1004,1,MATCH(COLUMNS($AO$1006:BI1006),$AO$1006:$BQ$1006,0)))),"Fix")))</f>
        <v>#N/A</v>
      </c>
      <c r="W914" s="5" t="e">
        <f ca="1">IF(OR(INDEX($AI$2:$AI$1001,MATCH(ROWS($AH$2:AH914),$AH$2:$AH$1001,0),1)&gt;=100000,INDEX($AO$1005:$BQ$1005,1,MATCH(COLUMNS($AO$1006:BJ1006),$AO$1006:$BQ$1006,0))&gt;=100000), " ",IF(INDEX($AO$2:$BQ$1001,MATCH(ROWS($AH$2:AH914),$AH$2:$AH$1001,0),MATCH(COLUMNS($AO$1006:BJ1006),$AO$1006:$BQ$1006,0)), HYPERLINK("#",""), HYPERLINK(CONCATENATE("#Metadata!", ADDRESS(INDEX($AJ$2:$AJ$1001,MATCH(ROWS($AH$2:AH914),$AH$2:$AH$1001,0),0), INDEX($AO$1004:$BQ$1004,1,MATCH(COLUMNS($AO$1006:BJ1006),$AO$1006:$BQ$1006,0)))),"Fix")))</f>
        <v>#N/A</v>
      </c>
      <c r="X914" s="5" t="e">
        <f ca="1">IF(OR(INDEX($AI$2:$AI$1001,MATCH(ROWS($AH$2:AH914),$AH$2:$AH$1001,0),1)&gt;=100000,INDEX($AO$1005:$BQ$1005,1,MATCH(COLUMNS($AO$1006:BK1006),$AO$1006:$BQ$1006,0))&gt;=100000), " ",IF(INDEX($AO$2:$BQ$1001,MATCH(ROWS($AH$2:AH914),$AH$2:$AH$1001,0),MATCH(COLUMNS($AO$1006:BK1006),$AO$1006:$BQ$1006,0)), HYPERLINK("#",""), HYPERLINK(CONCATENATE("#Metadata!", ADDRESS(INDEX($AJ$2:$AJ$1001,MATCH(ROWS($AH$2:AH914),$AH$2:$AH$1001,0),0), INDEX($AO$1004:$BQ$1004,1,MATCH(COLUMNS($AO$1006:BK1006),$AO$1006:$BQ$1006,0)))),"Fix")))</f>
        <v>#N/A</v>
      </c>
      <c r="Y914" s="5" t="e">
        <f ca="1">IF(OR(INDEX($AI$2:$AI$1001,MATCH(ROWS($AH$2:AH914),$AH$2:$AH$1001,0),1)&gt;=100000,INDEX($AO$1005:$BQ$1005,1,MATCH(COLUMNS($AO$1006:BL1006),$AO$1006:$BQ$1006,0))&gt;=100000), " ",IF(INDEX($AO$2:$BQ$1001,MATCH(ROWS($AH$2:AH914),$AH$2:$AH$1001,0),MATCH(COLUMNS($AO$1006:BL1006),$AO$1006:$BQ$1006,0)), HYPERLINK("#",""), HYPERLINK(CONCATENATE("#Metadata!", ADDRESS(INDEX($AJ$2:$AJ$1001,MATCH(ROWS($AH$2:AH914),$AH$2:$AH$1001,0),0), INDEX($AO$1004:$BQ$1004,1,MATCH(COLUMNS($AO$1006:BL1006),$AO$1006:$BQ$1006,0)))),"Fix")))</f>
        <v>#N/A</v>
      </c>
      <c r="Z914" s="5" t="e">
        <f ca="1">IF(OR(INDEX($AI$2:$AI$1001,MATCH(ROWS($AH$2:AH914),$AH$2:$AH$1001,0),1)&gt;=100000,INDEX($AO$1005:$BQ$1005,1,MATCH(COLUMNS($AO$1006:BM1006),$AO$1006:$BQ$1006,0))&gt;=100000), " ",IF(INDEX($AO$2:$BQ$1001,MATCH(ROWS($AH$2:AH914),$AH$2:$AH$1001,0),MATCH(COLUMNS($AO$1006:BM1006),$AO$1006:$BQ$1006,0)), HYPERLINK("#",""), HYPERLINK(CONCATENATE("#Metadata!", ADDRESS(INDEX($AJ$2:$AJ$1001,MATCH(ROWS($AH$2:AH914),$AH$2:$AH$1001,0),0), INDEX($AO$1004:$BQ$1004,1,MATCH(COLUMNS($AO$1006:BM1006),$AO$1006:$BQ$1006,0)))),"Fix")))</f>
        <v>#N/A</v>
      </c>
      <c r="AA914" s="5" t="e">
        <f ca="1">IF(OR(INDEX($AI$2:$AI$1001,MATCH(ROWS($AH$2:AH914),$AH$2:$AH$1001,0),1)&gt;=100000,INDEX($AO$1005:$BQ$1005,1,MATCH(COLUMNS($AO$1006:BN1006),$AO$1006:$BQ$1006,0))&gt;=100000), " ",IF(INDEX($AO$2:$BQ$1001,MATCH(ROWS($AH$2:AH914),$AH$2:$AH$1001,0),MATCH(COLUMNS($AO$1006:BN1006),$AO$1006:$BQ$1006,0)), HYPERLINK("#",""), HYPERLINK(CONCATENATE("#Metadata!", ADDRESS(INDEX($AJ$2:$AJ$1001,MATCH(ROWS($AH$2:AH914),$AH$2:$AH$1001,0),0), INDEX($AO$1004:$BQ$1004,1,MATCH(COLUMNS($AO$1006:BN1006),$AO$1006:$BQ$1006,0)))),"Fix")))</f>
        <v>#N/A</v>
      </c>
      <c r="AB914" s="5" t="e">
        <f ca="1">IF(OR(INDEX($AI$2:$AI$1001,MATCH(ROWS($AH$2:AH914),$AH$2:$AH$1001,0),1)&gt;=100000,INDEX($AO$1005:$BQ$1005,1,MATCH(COLUMNS($AO$1006:BO1006),$AO$1006:$BQ$1006,0))&gt;=100000), " ",IF(INDEX($AO$2:$BQ$1001,MATCH(ROWS($AH$2:AH914),$AH$2:$AH$1001,0),MATCH(COLUMNS($AO$1006:BO1006),$AO$1006:$BQ$1006,0)), HYPERLINK("#",""), HYPERLINK(CONCATENATE("#Metadata!", ADDRESS(INDEX($AJ$2:$AJ$1001,MATCH(ROWS($AH$2:AH914),$AH$2:$AH$1001,0),0), INDEX($AO$1004:$BQ$1004,1,MATCH(COLUMNS($AO$1006:BO1006),$AO$1006:$BQ$1006,0)))),"Fix")))</f>
        <v>#N/A</v>
      </c>
      <c r="AC914" s="5" t="e">
        <f ca="1">IF(OR(INDEX($AI$2:$AI$1001,MATCH(ROWS($AH$2:AH914),$AH$2:$AH$1001,0),1)&gt;=100000,INDEX($AO$1005:$BQ$1005,1,MATCH(COLUMNS($AO$1006:BP1006),$AO$1006:$BQ$1006,0))&gt;=100000), " ",IF(INDEX($AO$2:$BQ$1001,MATCH(ROWS($AH$2:AH914),$AH$2:$AH$1001,0),MATCH(COLUMNS($AO$1006:BP1006),$AO$1006:$BQ$1006,0)), HYPERLINK("#",""), HYPERLINK(CONCATENATE("#Metadata!", ADDRESS(INDEX($AJ$2:$AJ$1001,MATCH(ROWS($AH$2:AH914),$AH$2:$AH$1001,0),0), INDEX($AO$1004:$BQ$1004,1,MATCH(COLUMNS($AO$1006:BP1006),$AO$1006:$BQ$1006,0)))),"Fix")))</f>
        <v>#N/A</v>
      </c>
      <c r="AD914" s="5" t="e">
        <f ca="1">IF(OR(INDEX($AI$2:$AI$1001,MATCH(ROWS($AH$2:AH914),$AH$2:$AH$1001,0),1)&gt;=100000,INDEX($AO$1005:$BQ$1005,1,MATCH(COLUMNS($AO$1006:BQ1006),$AO$1006:$BQ$1006,0))&gt;=100000), " ",IF(INDEX($AO$2:$BQ$1001,MATCH(ROWS($AH$2:AH914),$AH$2:$AH$1001,0),MATCH(COLUMNS($AO$1006:BQ1006),$AO$1006:$BQ$1006,0)), HYPERLINK("#",""), HYPERLINK(CONCATENATE("#Metadata!", ADDRESS(INDEX($AJ$2:$AJ$1001,MATCH(ROWS($AH$2:AH914),$AH$2:$AH$1001,0),0), INDEX($AO$1004:$BQ$1004,1,MATCH(COLUMNS($AO$1006:BQ1006),$AO$1006:$BQ$1006,0)))),"Fix")))</f>
        <v>#REF!</v>
      </c>
      <c r="AH914">
        <f ca="1"/>
        <v>911</v>
      </c>
      <c r="AI914">
        <v>100914</v>
      </c>
      <c r="AJ914">
        <v>914</v>
      </c>
      <c r="AK914" t="b">
        <f t="shared" si="14"/>
        <v>1</v>
      </c>
      <c r="AL914" t="b">
        <f>COUNTBLANK(Metadata!B914:AD914)=COLUMNS(Metadata!B914:AD914)</f>
        <v>1</v>
      </c>
      <c r="AM914" t="str">
        <v/>
      </c>
      <c r="AO914" t="b">
        <f ca="1">AND(IF(Metadata!B914="",FALSE,TRUE),COUNTIF(Metadata!B:B, Metadata!B914) = 1,NOT(ISERROR(SUMPRODUCT(SEARCH(MID(Metadata!B914,ROW(INDIRECT("1:"&amp;LEN(Metadata!B914))), 1),"0123456789abcdefghijklmnopqrstuvwxyzABCDEFGHIJKLMNOPQRSTUVWXYZ.")))))</f>
        <v>0</v>
      </c>
      <c r="AP914" t="b">
        <f>IF(Metadata!C914="",FALSE,TRUE)</f>
        <v>0</v>
      </c>
      <c r="AQ914" t="b">
        <f>IF(Metadata!D914="",FALSE,TRUE)</f>
        <v>0</v>
      </c>
      <c r="AR914" t="b">
        <f ca="1">OR(AND(IF(Metadata!E914="",FALSE,TRUE),OR(EXACT(Metadata!E914,"not collected"),EXACT(Metadata!E914,"not provided"),EXACT(Metadata!E914,"restricted access"))),AND(IF(Metadata!E914="",FALSE,TRUE),AND(AND(IFERROR(INT(LEFT(Metadata!E914,4))&gt;1900,FALSE),IFERROR(INT(LEFT(Metadata!E914,4))&lt;=YEAR(NOW()),FALSE)), OR(MID(Metadata!E914,5,1)="", AND(AND(MID(Metadata!E914,5,1)="-",IFERROR(INT(MID(Metadata!E914,6,1))&gt;=0,FALSE),IFERROR(INT(MID(Metadata!E914,6,1))&lt;=1,FALSE),NOT(MID(Metadata!E914,7,1)=""),IFERROR(INT(MID(Metadata!E914,6,2))&gt;=1,FALSE),IFERROR(INT(MID(Metadata!E914,6,2))&lt;=12,FALSE)), OR(MID(Metadata!E914,8,1)="", AND(AND(MID(Metadata!E914,8,1)="-",IFERROR(INT(MID(Metadata!E914,9,1))&gt;=0,FALSE),IFERROR(INT(MID(Metadata!E914,9,1))&lt;=3,FALSE),NOT(MID(Metadata!E914,10,1)=""),IFERROR(INT(MID(Metadata!E914,9,2))&gt;=1,FALSE),IFERROR(INT(MID(Metadata!E914,9,2))&lt;=31,FALSE)), OR(MID(Metadata!E914,11,1)="", AND(AND(MID(Metadata!E914,11,1)=" ",IFERROR(INT(MID(Metadata!E914,12,1))&gt;=0,FALSE),IFERROR(INT(MID(Metadata!E914,12,1))&lt;=2,FALSE),NOT(MID(Metadata!E914,13,1)=""),IFERROR(INT(MID(Metadata!E914,12,2))&gt;=0,FALSE),IFERROR(INT(MID(Metadata!E914,12,2))&lt;=23,FALSE)), OR(MID(Metadata!E914,14,1)="", AND(AND(MID(Metadata!E914,14,1)=":",IFERROR(INT(MID(Metadata!E914,15,1))&gt;=0,FALSE),IFERROR(INT(MID(Metadata!E914,15,1))&lt;=5,FALSE),NOT(MID(Metadata!E914,16,1)=""),IFERROR(INT(MID(Metadata!E914,15,2))&gt;=0,FALSE),IFERROR(INT(MID(Metadata!E914,15,2))&lt;=59,FALSE)), OR(MID(Metadata!E914,17,1)="", AND(AND(MID(Metadata!E914,17,1)=":",IFERROR(INT(MID(Metadata!E914,18,1))&gt;=0,FALSE),IFERROR(INT(MID(Metadata!E914,18,1))&lt;=5,FALSE),NOT(MID(Metadata!E914,19,1)=""),IFERROR(INT(MID(Metadata!E914,18,2))&gt;=0,FALSE),IFERROR(INT(MID(Metadata!E914,18,2))&lt;=59,FALSE)), LEN(Metadata!E914)&lt;=19)))))))))))))</f>
        <v>0</v>
      </c>
      <c r="AS914" t="b">
        <f>IF(Metadata!F914="",FALSE,TRUE)</f>
        <v>0</v>
      </c>
      <c r="AT914" t="b">
        <f>OR(AND(IF(Metadata!G914="",FALSE,TRUE),OR(EXACT(Metadata!G914,"not collected"),EXACT(Metadata!G914,"not provided"))),AND(IF(Metadata!G914="",FALSE,TRUE),OR(EXACT(Metadata!G914,"TRUE"),EXACT(Metadata!G914,"FALSE"))))</f>
        <v>0</v>
      </c>
      <c r="AU914" t="b">
        <f>OR(AND(IF(Metadata!H914="",FALSE,TRUE),OR(EXACT(Metadata!H914,"not collected"),EXACT(Metadata!H914,"not provided"),EXACT(Metadata!H914,"restricted access"))),AND(IF(Metadata!H914="",FALSE,ISNUMBER(VALUE(Metadata!H914))),Metadata!H914&gt;=-413))</f>
        <v>0</v>
      </c>
      <c r="AV914" t="b">
        <f>AND(IF(Metadata!I914="",FALSE,TRUE),EXACT(Metadata!I914,"meters"))</f>
        <v>0</v>
      </c>
      <c r="AW914" t="b">
        <f>AND(IF(Metadata!J914="",FALSE,TRUE),EXACT(Metadata!J914,"free-living"))</f>
        <v>0</v>
      </c>
      <c r="AX914" t="b">
        <f>AND(IF(Metadata!K914="",FALSE,TRUE),OR(EXACT(Metadata!K914,"saline"),EXACT(Metadata!K914,"non-saline")))</f>
        <v>0</v>
      </c>
      <c r="AY914" t="b">
        <f>AND(IF(Metadata!L914="",FALSE,TRUE),OR(EXACT(Metadata!L914,"sub-surface (non-saline)"),EXACT(Metadata!L914,"surface (non-saline)"),EXACT(Metadata!L914,"water (non-saline)"),EXACT(Metadata!L914,"soil (non-saline)"),EXACT(Metadata!L914,"aerosol (non-saline)"),EXACT(Metadata!L914,"sediment (non-saline)"),EXACT(Metadata!L914,"surface (saline)"),EXACT(Metadata!L914,"water (saline)"),EXACT(Metadata!L914,"hypersaline (saline)"),EXACT(Metadata!L914,"aerosol (saline)"),EXACT(Metadata!L914,"sediment (saline)")))</f>
        <v>0</v>
      </c>
      <c r="AZ914" t="b">
        <f>IF(Metadata!M914="",FALSE,TRUE)</f>
        <v>0</v>
      </c>
      <c r="BA914" t="b">
        <f>IF(Metadata!N914="",FALSE,TRUE)</f>
        <v>0</v>
      </c>
      <c r="BB914" t="b">
        <f>IF(Metadata!O914="",FALSE,TRUE)</f>
        <v>0</v>
      </c>
      <c r="BC914" t="b">
        <f>AND(IF(Metadata!P914="",FALSE,TRUE),OR(EXACT(Metadata!P914,"air"),EXACT(Metadata!P914,"microbial mat/biofilm"),EXACT(Metadata!P914,"misc environment"),EXACT(Metadata!P914,"sediment"),EXACT(Metadata!P914,"soil"),EXACT(Metadata!P914,"wastewater/sludge"),EXACT(Metadata!P914,"water")))</f>
        <v>0</v>
      </c>
      <c r="BD914" t="b">
        <f>IF(Metadata!Q914="",FALSE,TRUE)</f>
        <v>0</v>
      </c>
      <c r="BE914" t="b">
        <f>IF(Metadata!R914="",FALSE,TRUE)</f>
        <v>0</v>
      </c>
      <c r="BF914" t="b">
        <f>OR(AND(IF(Metadata!S914="",FALSE,TRUE),OR(EXACT(Metadata!S914,"not collected"),EXACT(Metadata!S914,"not provided"),EXACT(Metadata!S914,"restricted access"))),AND(IF(Metadata!S914="",FALSE,ISNUMBER(VALUE(Metadata!S914))),Metadata!S914&gt;=-90,Metadata!S914&lt;=90))</f>
        <v>0</v>
      </c>
      <c r="BG914" t="b">
        <f>AND(IF(Metadata!T914="",FALSE,TRUE),EXACT(Metadata!T914,"Decimal degrees"))</f>
        <v>0</v>
      </c>
      <c r="BH914" t="b">
        <f>OR(AND(IF(Metadata!U914="",FALSE,TRUE),OR(EXACT(Metadata!U914,"not applicable"),EXACT(Metadata!U914,"not collected"))),IF(Metadata!U914="",FALSE,TRUE))</f>
        <v>0</v>
      </c>
      <c r="BI914" t="b">
        <f>OR(AND(IF(Metadata!V914="",FALSE,TRUE),OR(EXACT(Metadata!V914,"not collected"),EXACT(Metadata!V914,"not provided"),EXACT(Metadata!V914,"restricted access"))),AND(IF(Metadata!V914="",FALSE,ISNUMBER(VALUE(Metadata!V914))),Metadata!V914&gt;=-180,Metadata!V914&lt;=180))</f>
        <v>0</v>
      </c>
      <c r="BJ914" t="b">
        <f>AND(IF(Metadata!W914="",FALSE,TRUE),EXACT(Metadata!W914,"Decimal degrees"))</f>
        <v>0</v>
      </c>
      <c r="BK914" t="b">
        <f>IF(Metadata!X914="",FALSE,TRUE)</f>
        <v>0</v>
      </c>
      <c r="BL914" t="b">
        <f>OR(AND(IF(Metadata!Y914="",FALSE,TRUE),OR(EXACT(Metadata!Y914,"not collected"),EXACT(Metadata!Y914,"not provided"),EXACT(Metadata!Y914,"restricted access"))),AND(IF(Metadata!Y914="",FALSE,TRUE),OR(EXACT(Metadata!Y914,"TRUE"),EXACT(Metadata!Y914,"FALSE"))))</f>
        <v>0</v>
      </c>
      <c r="BM914" t="b">
        <f>OR(AND(IF(Metadata!Z914="",FALSE,TRUE),EXACT(Metadata!Z914,"not applicable")),AND(IF(Metadata!Z914="",FALSE,TRUE),OR(EXACT(Metadata!Z914,"beer"),EXACT(Metadata!Z914,"cheese"),EXACT(Metadata!Z914,"fresh water"),EXACT(Metadata!Z914,"marine sediment"),EXACT(Metadata!Z914,"sea water"),EXACT(Metadata!Z914,"sediment"),EXACT(Metadata!Z914,"soil"),EXACT(Metadata!Z914,"waste water"))))</f>
        <v>0</v>
      </c>
      <c r="BN914" t="b">
        <f>AND(IF(Metadata!AA914="",FALSE,TRUE),EXACT(Metadata!AA914,"metagenome"))</f>
        <v>0</v>
      </c>
      <c r="BO914" t="b">
        <f>AND(IF(Metadata!AB914="",FALSE,TRUE),EXACT(Metadata!AB914,"256318"))</f>
        <v>0</v>
      </c>
      <c r="BP914" t="b">
        <f>IF(Metadata!AC914="",FALSE,TRUE)</f>
        <v>0</v>
      </c>
      <c r="BQ914" t="b">
        <f>IF(Metadata!AD914="",FALSE,TRUE)</f>
        <v>0</v>
      </c>
    </row>
    <row r="915" spans="1:69" x14ac:dyDescent="0.2">
      <c r="A915" s="4" t="e">
        <f ca="1">IF(B915=" "," ",HYPERLINK(CONCATENATE("#metadata!",ADDRESS(INDEX($AJ$2:$AJ$1001,MATCH(ROWS($AH$2:AH915),$AH$2:$AH$1001,0),0),2)),INDEX($AM$2:$AM$1001,MATCH(ROWS($AH$2:AH915),$AH$2:$AH$1001,0),0)))</f>
        <v>#N/A</v>
      </c>
      <c r="B915" s="5" t="e">
        <f ca="1">IF(OR(INDEX($AI$2:$AI$1001,MATCH(ROWS($AH$2:AH915),$AH$2:$AH$1001,0),1)&gt;=100000,INDEX($AO$1005:$BQ$1005,1,MATCH(COLUMNS($AO$1006:AO1006),$AO$1006:$BQ$1006,0))&gt;=100000), " ",IF(INDEX($AO$2:$BQ$1001,MATCH(ROWS($AH$2:AH915),$AH$2:$AH$1001,0),MATCH(COLUMNS($AO$1006:AO1006),$AO$1006:$BQ$1006,0)), HYPERLINK("#",""), HYPERLINK(CONCATENATE("#Metadata!", ADDRESS(INDEX($AJ$2:$AJ$1001,MATCH(ROWS($AH$2:AH915),$AH$2:$AH$1001,0),0), INDEX($AO$1004:$BQ$1004,1,MATCH(COLUMNS($AO$1006:AO1006),$AO$1006:$BQ$1006,0)))),"Fix")))</f>
        <v>#N/A</v>
      </c>
      <c r="C915" s="5" t="e">
        <f ca="1">IF(OR(INDEX($AI$2:$AI$1001,MATCH(ROWS($AH$2:AH915),$AH$2:$AH$1001,0),1)&gt;=100000,INDEX($AO$1005:$BQ$1005,1,MATCH(COLUMNS($AO$1006:AP1006),$AO$1006:$BQ$1006,0))&gt;=100000), " ",IF(INDEX($AO$2:$BQ$1001,MATCH(ROWS($AH$2:AH915),$AH$2:$AH$1001,0),MATCH(COLUMNS($AO$1006:AP1006),$AO$1006:$BQ$1006,0)), HYPERLINK("#",""), HYPERLINK(CONCATENATE("#Metadata!", ADDRESS(INDEX($AJ$2:$AJ$1001,MATCH(ROWS($AH$2:AH915),$AH$2:$AH$1001,0),0), INDEX($AO$1004:$BQ$1004,1,MATCH(COLUMNS($AO$1006:AP1006),$AO$1006:$BQ$1006,0)))),"Fix")))</f>
        <v>#N/A</v>
      </c>
      <c r="D915" s="5" t="e">
        <f ca="1">IF(OR(INDEX($AI$2:$AI$1001,MATCH(ROWS($AH$2:AH915),$AH$2:$AH$1001,0),1)&gt;=100000,INDEX($AO$1005:$BQ$1005,1,MATCH(COLUMNS($AO$1006:AQ1006),$AO$1006:$BQ$1006,0))&gt;=100000), " ",IF(INDEX($AO$2:$BQ$1001,MATCH(ROWS($AH$2:AH915),$AH$2:$AH$1001,0),MATCH(COLUMNS($AO$1006:AQ1006),$AO$1006:$BQ$1006,0)), HYPERLINK("#",""), HYPERLINK(CONCATENATE("#Metadata!", ADDRESS(INDEX($AJ$2:$AJ$1001,MATCH(ROWS($AH$2:AH915),$AH$2:$AH$1001,0),0), INDEX($AO$1004:$BQ$1004,1,MATCH(COLUMNS($AO$1006:AQ1006),$AO$1006:$BQ$1006,0)))),"Fix")))</f>
        <v>#N/A</v>
      </c>
      <c r="E915" s="5" t="e">
        <f ca="1">IF(OR(INDEX($AI$2:$AI$1001,MATCH(ROWS($AH$2:AH915),$AH$2:$AH$1001,0),1)&gt;=100000,INDEX($AO$1005:$BQ$1005,1,MATCH(COLUMNS($AO$1006:AR1006),$AO$1006:$BQ$1006,0))&gt;=100000), " ",IF(INDEX($AO$2:$BQ$1001,MATCH(ROWS($AH$2:AH915),$AH$2:$AH$1001,0),MATCH(COLUMNS($AO$1006:AR1006),$AO$1006:$BQ$1006,0)), HYPERLINK("#",""), HYPERLINK(CONCATENATE("#Metadata!", ADDRESS(INDEX($AJ$2:$AJ$1001,MATCH(ROWS($AH$2:AH915),$AH$2:$AH$1001,0),0), INDEX($AO$1004:$BQ$1004,1,MATCH(COLUMNS($AO$1006:AR1006),$AO$1006:$BQ$1006,0)))),"Fix")))</f>
        <v>#N/A</v>
      </c>
      <c r="F915" s="5" t="e">
        <f ca="1">IF(OR(INDEX($AI$2:$AI$1001,MATCH(ROWS($AH$2:AH915),$AH$2:$AH$1001,0),1)&gt;=100000,INDEX($AO$1005:$BQ$1005,1,MATCH(COLUMNS($AO$1006:AS1006),$AO$1006:$BQ$1006,0))&gt;=100000), " ",IF(INDEX($AO$2:$BQ$1001,MATCH(ROWS($AH$2:AH915),$AH$2:$AH$1001,0),MATCH(COLUMNS($AO$1006:AS1006),$AO$1006:$BQ$1006,0)), HYPERLINK("#",""), HYPERLINK(CONCATENATE("#Metadata!", ADDRESS(INDEX($AJ$2:$AJ$1001,MATCH(ROWS($AH$2:AH915),$AH$2:$AH$1001,0),0), INDEX($AO$1004:$BQ$1004,1,MATCH(COLUMNS($AO$1006:AS1006),$AO$1006:$BQ$1006,0)))),"Fix")))</f>
        <v>#N/A</v>
      </c>
      <c r="G915" s="5" t="e">
        <f ca="1">IF(OR(INDEX($AI$2:$AI$1001,MATCH(ROWS($AH$2:AH915),$AH$2:$AH$1001,0),1)&gt;=100000,INDEX($AO$1005:$BQ$1005,1,MATCH(COLUMNS($AO$1006:AT1006),$AO$1006:$BQ$1006,0))&gt;=100000), " ",IF(INDEX($AO$2:$BQ$1001,MATCH(ROWS($AH$2:AH915),$AH$2:$AH$1001,0),MATCH(COLUMNS($AO$1006:AT1006),$AO$1006:$BQ$1006,0)), HYPERLINK("#",""), HYPERLINK(CONCATENATE("#Metadata!", ADDRESS(INDEX($AJ$2:$AJ$1001,MATCH(ROWS($AH$2:AH915),$AH$2:$AH$1001,0),0), INDEX($AO$1004:$BQ$1004,1,MATCH(COLUMNS($AO$1006:AT1006),$AO$1006:$BQ$1006,0)))),"Fix")))</f>
        <v>#N/A</v>
      </c>
      <c r="H915" s="5" t="e">
        <f ca="1">IF(OR(INDEX($AI$2:$AI$1001,MATCH(ROWS($AH$2:AH915),$AH$2:$AH$1001,0),1)&gt;=100000,INDEX($AO$1005:$BQ$1005,1,MATCH(COLUMNS($AO$1006:AU1006),$AO$1006:$BQ$1006,0))&gt;=100000), " ",IF(INDEX($AO$2:$BQ$1001,MATCH(ROWS($AH$2:AH915),$AH$2:$AH$1001,0),MATCH(COLUMNS($AO$1006:AU1006),$AO$1006:$BQ$1006,0)), HYPERLINK("#",""), HYPERLINK(CONCATENATE("#Metadata!", ADDRESS(INDEX($AJ$2:$AJ$1001,MATCH(ROWS($AH$2:AH915),$AH$2:$AH$1001,0),0), INDEX($AO$1004:$BQ$1004,1,MATCH(COLUMNS($AO$1006:AU1006),$AO$1006:$BQ$1006,0)))),"Fix")))</f>
        <v>#N/A</v>
      </c>
      <c r="I915" s="5" t="e">
        <f ca="1">IF(OR(INDEX($AI$2:$AI$1001,MATCH(ROWS($AH$2:AH915),$AH$2:$AH$1001,0),1)&gt;=100000,INDEX($AO$1005:$BQ$1005,1,MATCH(COLUMNS($AO$1006:AV1006),$AO$1006:$BQ$1006,0))&gt;=100000), " ",IF(INDEX($AO$2:$BQ$1001,MATCH(ROWS($AH$2:AH915),$AH$2:$AH$1001,0),MATCH(COLUMNS($AO$1006:AV1006),$AO$1006:$BQ$1006,0)), HYPERLINK("#",""), HYPERLINK(CONCATENATE("#Metadata!", ADDRESS(INDEX($AJ$2:$AJ$1001,MATCH(ROWS($AH$2:AH915),$AH$2:$AH$1001,0),0), INDEX($AO$1004:$BQ$1004,1,MATCH(COLUMNS($AO$1006:AV1006),$AO$1006:$BQ$1006,0)))),"Fix")))</f>
        <v>#N/A</v>
      </c>
      <c r="J915" s="5" t="e">
        <f ca="1">IF(OR(INDEX($AI$2:$AI$1001,MATCH(ROWS($AH$2:AH915),$AH$2:$AH$1001,0),1)&gt;=100000,INDEX($AO$1005:$BQ$1005,1,MATCH(COLUMNS($AO$1006:AW1006),$AO$1006:$BQ$1006,0))&gt;=100000), " ",IF(INDEX($AO$2:$BQ$1001,MATCH(ROWS($AH$2:AH915),$AH$2:$AH$1001,0),MATCH(COLUMNS($AO$1006:AW1006),$AO$1006:$BQ$1006,0)), HYPERLINK("#",""), HYPERLINK(CONCATENATE("#Metadata!", ADDRESS(INDEX($AJ$2:$AJ$1001,MATCH(ROWS($AH$2:AH915),$AH$2:$AH$1001,0),0), INDEX($AO$1004:$BQ$1004,1,MATCH(COLUMNS($AO$1006:AW1006),$AO$1006:$BQ$1006,0)))),"Fix")))</f>
        <v>#N/A</v>
      </c>
      <c r="K915" s="5" t="e">
        <f ca="1">IF(OR(INDEX($AI$2:$AI$1001,MATCH(ROWS($AH$2:AH915),$AH$2:$AH$1001,0),1)&gt;=100000,INDEX($AO$1005:$BQ$1005,1,MATCH(COLUMNS($AO$1006:AX1006),$AO$1006:$BQ$1006,0))&gt;=100000), " ",IF(INDEX($AO$2:$BQ$1001,MATCH(ROWS($AH$2:AH915),$AH$2:$AH$1001,0),MATCH(COLUMNS($AO$1006:AX1006),$AO$1006:$BQ$1006,0)), HYPERLINK("#",""), HYPERLINK(CONCATENATE("#Metadata!", ADDRESS(INDEX($AJ$2:$AJ$1001,MATCH(ROWS($AH$2:AH915),$AH$2:$AH$1001,0),0), INDEX($AO$1004:$BQ$1004,1,MATCH(COLUMNS($AO$1006:AX1006),$AO$1006:$BQ$1006,0)))),"Fix")))</f>
        <v>#N/A</v>
      </c>
      <c r="L915" s="5" t="e">
        <f ca="1">IF(OR(INDEX($AI$2:$AI$1001,MATCH(ROWS($AH$2:AH915),$AH$2:$AH$1001,0),1)&gt;=100000,INDEX($AO$1005:$BQ$1005,1,MATCH(COLUMNS($AO$1006:AY1006),$AO$1006:$BQ$1006,0))&gt;=100000), " ",IF(INDEX($AO$2:$BQ$1001,MATCH(ROWS($AH$2:AH915),$AH$2:$AH$1001,0),MATCH(COLUMNS($AO$1006:AY1006),$AO$1006:$BQ$1006,0)), HYPERLINK("#",""), HYPERLINK(CONCATENATE("#Metadata!", ADDRESS(INDEX($AJ$2:$AJ$1001,MATCH(ROWS($AH$2:AH915),$AH$2:$AH$1001,0),0), INDEX($AO$1004:$BQ$1004,1,MATCH(COLUMNS($AO$1006:AY1006),$AO$1006:$BQ$1006,0)))),"Fix")))</f>
        <v>#N/A</v>
      </c>
      <c r="M915" s="5" t="e">
        <f ca="1">IF(OR(INDEX($AI$2:$AI$1001,MATCH(ROWS($AH$2:AH915),$AH$2:$AH$1001,0),1)&gt;=100000,INDEX($AO$1005:$BQ$1005,1,MATCH(COLUMNS($AO$1006:AZ1006),$AO$1006:$BQ$1006,0))&gt;=100000), " ",IF(INDEX($AO$2:$BQ$1001,MATCH(ROWS($AH$2:AH915),$AH$2:$AH$1001,0),MATCH(COLUMNS($AO$1006:AZ1006),$AO$1006:$BQ$1006,0)), HYPERLINK("#",""), HYPERLINK(CONCATENATE("#Metadata!", ADDRESS(INDEX($AJ$2:$AJ$1001,MATCH(ROWS($AH$2:AH915),$AH$2:$AH$1001,0),0), INDEX($AO$1004:$BQ$1004,1,MATCH(COLUMNS($AO$1006:AZ1006),$AO$1006:$BQ$1006,0)))),"Fix")))</f>
        <v>#N/A</v>
      </c>
      <c r="N915" s="5" t="e">
        <f ca="1">IF(OR(INDEX($AI$2:$AI$1001,MATCH(ROWS($AH$2:AH915),$AH$2:$AH$1001,0),1)&gt;=100000,INDEX($AO$1005:$BQ$1005,1,MATCH(COLUMNS($AO$1006:BA1006),$AO$1006:$BQ$1006,0))&gt;=100000), " ",IF(INDEX($AO$2:$BQ$1001,MATCH(ROWS($AH$2:AH915),$AH$2:$AH$1001,0),MATCH(COLUMNS($AO$1006:BA1006),$AO$1006:$BQ$1006,0)), HYPERLINK("#",""), HYPERLINK(CONCATENATE("#Metadata!", ADDRESS(INDEX($AJ$2:$AJ$1001,MATCH(ROWS($AH$2:AH915),$AH$2:$AH$1001,0),0), INDEX($AO$1004:$BQ$1004,1,MATCH(COLUMNS($AO$1006:BA1006),$AO$1006:$BQ$1006,0)))),"Fix")))</f>
        <v>#N/A</v>
      </c>
      <c r="O915" s="5" t="e">
        <f ca="1">IF(OR(INDEX($AI$2:$AI$1001,MATCH(ROWS($AH$2:AH915),$AH$2:$AH$1001,0),1)&gt;=100000,INDEX($AO$1005:$BQ$1005,1,MATCH(COLUMNS($AO$1006:BB1006),$AO$1006:$BQ$1006,0))&gt;=100000), " ",IF(INDEX($AO$2:$BQ$1001,MATCH(ROWS($AH$2:AH915),$AH$2:$AH$1001,0),MATCH(COLUMNS($AO$1006:BB1006),$AO$1006:$BQ$1006,0)), HYPERLINK("#",""), HYPERLINK(CONCATENATE("#Metadata!", ADDRESS(INDEX($AJ$2:$AJ$1001,MATCH(ROWS($AH$2:AH915),$AH$2:$AH$1001,0),0), INDEX($AO$1004:$BQ$1004,1,MATCH(COLUMNS($AO$1006:BB1006),$AO$1006:$BQ$1006,0)))),"Fix")))</f>
        <v>#N/A</v>
      </c>
      <c r="P915" s="5" t="e">
        <f ca="1">IF(OR(INDEX($AI$2:$AI$1001,MATCH(ROWS($AH$2:AH915),$AH$2:$AH$1001,0),1)&gt;=100000,INDEX($AO$1005:$BQ$1005,1,MATCH(COLUMNS($AO$1006:BC1006),$AO$1006:$BQ$1006,0))&gt;=100000), " ",IF(INDEX($AO$2:$BQ$1001,MATCH(ROWS($AH$2:AH915),$AH$2:$AH$1001,0),MATCH(COLUMNS($AO$1006:BC1006),$AO$1006:$BQ$1006,0)), HYPERLINK("#",""), HYPERLINK(CONCATENATE("#Metadata!", ADDRESS(INDEX($AJ$2:$AJ$1001,MATCH(ROWS($AH$2:AH915),$AH$2:$AH$1001,0),0), INDEX($AO$1004:$BQ$1004,1,MATCH(COLUMNS($AO$1006:BC1006),$AO$1006:$BQ$1006,0)))),"Fix")))</f>
        <v>#N/A</v>
      </c>
      <c r="Q915" s="5" t="e">
        <f ca="1">IF(OR(INDEX($AI$2:$AI$1001,MATCH(ROWS($AH$2:AH915),$AH$2:$AH$1001,0),1)&gt;=100000,INDEX($AO$1005:$BQ$1005,1,MATCH(COLUMNS($AO$1006:BD1006),$AO$1006:$BQ$1006,0))&gt;=100000), " ",IF(INDEX($AO$2:$BQ$1001,MATCH(ROWS($AH$2:AH915),$AH$2:$AH$1001,0),MATCH(COLUMNS($AO$1006:BD1006),$AO$1006:$BQ$1006,0)), HYPERLINK("#",""), HYPERLINK(CONCATENATE("#Metadata!", ADDRESS(INDEX($AJ$2:$AJ$1001,MATCH(ROWS($AH$2:AH915),$AH$2:$AH$1001,0),0), INDEX($AO$1004:$BQ$1004,1,MATCH(COLUMNS($AO$1006:BD1006),$AO$1006:$BQ$1006,0)))),"Fix")))</f>
        <v>#N/A</v>
      </c>
      <c r="R915" s="5" t="e">
        <f ca="1">IF(OR(INDEX($AI$2:$AI$1001,MATCH(ROWS($AH$2:AH915),$AH$2:$AH$1001,0),1)&gt;=100000,INDEX($AO$1005:$BQ$1005,1,MATCH(COLUMNS($AO$1006:BE1006),$AO$1006:$BQ$1006,0))&gt;=100000), " ",IF(INDEX($AO$2:$BQ$1001,MATCH(ROWS($AH$2:AH915),$AH$2:$AH$1001,0),MATCH(COLUMNS($AO$1006:BE1006),$AO$1006:$BQ$1006,0)), HYPERLINK("#",""), HYPERLINK(CONCATENATE("#Metadata!", ADDRESS(INDEX($AJ$2:$AJ$1001,MATCH(ROWS($AH$2:AH915),$AH$2:$AH$1001,0),0), INDEX($AO$1004:$BQ$1004,1,MATCH(COLUMNS($AO$1006:BE1006),$AO$1006:$BQ$1006,0)))),"Fix")))</f>
        <v>#N/A</v>
      </c>
      <c r="S915" s="5" t="e">
        <f ca="1">IF(OR(INDEX($AI$2:$AI$1001,MATCH(ROWS($AH$2:AH915),$AH$2:$AH$1001,0),1)&gt;=100000,INDEX($AO$1005:$BQ$1005,1,MATCH(COLUMNS($AO$1006:BF1006),$AO$1006:$BQ$1006,0))&gt;=100000), " ",IF(INDEX($AO$2:$BQ$1001,MATCH(ROWS($AH$2:AH915),$AH$2:$AH$1001,0),MATCH(COLUMNS($AO$1006:BF1006),$AO$1006:$BQ$1006,0)), HYPERLINK("#",""), HYPERLINK(CONCATENATE("#Metadata!", ADDRESS(INDEX($AJ$2:$AJ$1001,MATCH(ROWS($AH$2:AH915),$AH$2:$AH$1001,0),0), INDEX($AO$1004:$BQ$1004,1,MATCH(COLUMNS($AO$1006:BF1006),$AO$1006:$BQ$1006,0)))),"Fix")))</f>
        <v>#N/A</v>
      </c>
      <c r="T915" s="5" t="e">
        <f ca="1">IF(OR(INDEX($AI$2:$AI$1001,MATCH(ROWS($AH$2:AH915),$AH$2:$AH$1001,0),1)&gt;=100000,INDEX($AO$1005:$BQ$1005,1,MATCH(COLUMNS($AO$1006:BG1006),$AO$1006:$BQ$1006,0))&gt;=100000), " ",IF(INDEX($AO$2:$BQ$1001,MATCH(ROWS($AH$2:AH915),$AH$2:$AH$1001,0),MATCH(COLUMNS($AO$1006:BG1006),$AO$1006:$BQ$1006,0)), HYPERLINK("#",""), HYPERLINK(CONCATENATE("#Metadata!", ADDRESS(INDEX($AJ$2:$AJ$1001,MATCH(ROWS($AH$2:AH915),$AH$2:$AH$1001,0),0), INDEX($AO$1004:$BQ$1004,1,MATCH(COLUMNS($AO$1006:BG1006),$AO$1006:$BQ$1006,0)))),"Fix")))</f>
        <v>#N/A</v>
      </c>
      <c r="U915" s="5" t="e">
        <f ca="1">IF(OR(INDEX($AI$2:$AI$1001,MATCH(ROWS($AH$2:AH915),$AH$2:$AH$1001,0),1)&gt;=100000,INDEX($AO$1005:$BQ$1005,1,MATCH(COLUMNS($AO$1006:BH1006),$AO$1006:$BQ$1006,0))&gt;=100000), " ",IF(INDEX($AO$2:$BQ$1001,MATCH(ROWS($AH$2:AH915),$AH$2:$AH$1001,0),MATCH(COLUMNS($AO$1006:BH1006),$AO$1006:$BQ$1006,0)), HYPERLINK("#",""), HYPERLINK(CONCATENATE("#Metadata!", ADDRESS(INDEX($AJ$2:$AJ$1001,MATCH(ROWS($AH$2:AH915),$AH$2:$AH$1001,0),0), INDEX($AO$1004:$BQ$1004,1,MATCH(COLUMNS($AO$1006:BH1006),$AO$1006:$BQ$1006,0)))),"Fix")))</f>
        <v>#N/A</v>
      </c>
      <c r="V915" s="5" t="e">
        <f ca="1">IF(OR(INDEX($AI$2:$AI$1001,MATCH(ROWS($AH$2:AH915),$AH$2:$AH$1001,0),1)&gt;=100000,INDEX($AO$1005:$BQ$1005,1,MATCH(COLUMNS($AO$1006:BI1006),$AO$1006:$BQ$1006,0))&gt;=100000), " ",IF(INDEX($AO$2:$BQ$1001,MATCH(ROWS($AH$2:AH915),$AH$2:$AH$1001,0),MATCH(COLUMNS($AO$1006:BI1006),$AO$1006:$BQ$1006,0)), HYPERLINK("#",""), HYPERLINK(CONCATENATE("#Metadata!", ADDRESS(INDEX($AJ$2:$AJ$1001,MATCH(ROWS($AH$2:AH915),$AH$2:$AH$1001,0),0), INDEX($AO$1004:$BQ$1004,1,MATCH(COLUMNS($AO$1006:BI1006),$AO$1006:$BQ$1006,0)))),"Fix")))</f>
        <v>#N/A</v>
      </c>
      <c r="W915" s="5" t="e">
        <f ca="1">IF(OR(INDEX($AI$2:$AI$1001,MATCH(ROWS($AH$2:AH915),$AH$2:$AH$1001,0),1)&gt;=100000,INDEX($AO$1005:$BQ$1005,1,MATCH(COLUMNS($AO$1006:BJ1006),$AO$1006:$BQ$1006,0))&gt;=100000), " ",IF(INDEX($AO$2:$BQ$1001,MATCH(ROWS($AH$2:AH915),$AH$2:$AH$1001,0),MATCH(COLUMNS($AO$1006:BJ1006),$AO$1006:$BQ$1006,0)), HYPERLINK("#",""), HYPERLINK(CONCATENATE("#Metadata!", ADDRESS(INDEX($AJ$2:$AJ$1001,MATCH(ROWS($AH$2:AH915),$AH$2:$AH$1001,0),0), INDEX($AO$1004:$BQ$1004,1,MATCH(COLUMNS($AO$1006:BJ1006),$AO$1006:$BQ$1006,0)))),"Fix")))</f>
        <v>#N/A</v>
      </c>
      <c r="X915" s="5" t="e">
        <f ca="1">IF(OR(INDEX($AI$2:$AI$1001,MATCH(ROWS($AH$2:AH915),$AH$2:$AH$1001,0),1)&gt;=100000,INDEX($AO$1005:$BQ$1005,1,MATCH(COLUMNS($AO$1006:BK1006),$AO$1006:$BQ$1006,0))&gt;=100000), " ",IF(INDEX($AO$2:$BQ$1001,MATCH(ROWS($AH$2:AH915),$AH$2:$AH$1001,0),MATCH(COLUMNS($AO$1006:BK1006),$AO$1006:$BQ$1006,0)), HYPERLINK("#",""), HYPERLINK(CONCATENATE("#Metadata!", ADDRESS(INDEX($AJ$2:$AJ$1001,MATCH(ROWS($AH$2:AH915),$AH$2:$AH$1001,0),0), INDEX($AO$1004:$BQ$1004,1,MATCH(COLUMNS($AO$1006:BK1006),$AO$1006:$BQ$1006,0)))),"Fix")))</f>
        <v>#N/A</v>
      </c>
      <c r="Y915" s="5" t="e">
        <f ca="1">IF(OR(INDEX($AI$2:$AI$1001,MATCH(ROWS($AH$2:AH915),$AH$2:$AH$1001,0),1)&gt;=100000,INDEX($AO$1005:$BQ$1005,1,MATCH(COLUMNS($AO$1006:BL1006),$AO$1006:$BQ$1006,0))&gt;=100000), " ",IF(INDEX($AO$2:$BQ$1001,MATCH(ROWS($AH$2:AH915),$AH$2:$AH$1001,0),MATCH(COLUMNS($AO$1006:BL1006),$AO$1006:$BQ$1006,0)), HYPERLINK("#",""), HYPERLINK(CONCATENATE("#Metadata!", ADDRESS(INDEX($AJ$2:$AJ$1001,MATCH(ROWS($AH$2:AH915),$AH$2:$AH$1001,0),0), INDEX($AO$1004:$BQ$1004,1,MATCH(COLUMNS($AO$1006:BL1006),$AO$1006:$BQ$1006,0)))),"Fix")))</f>
        <v>#N/A</v>
      </c>
      <c r="Z915" s="5" t="e">
        <f ca="1">IF(OR(INDEX($AI$2:$AI$1001,MATCH(ROWS($AH$2:AH915),$AH$2:$AH$1001,0),1)&gt;=100000,INDEX($AO$1005:$BQ$1005,1,MATCH(COLUMNS($AO$1006:BM1006),$AO$1006:$BQ$1006,0))&gt;=100000), " ",IF(INDEX($AO$2:$BQ$1001,MATCH(ROWS($AH$2:AH915),$AH$2:$AH$1001,0),MATCH(COLUMNS($AO$1006:BM1006),$AO$1006:$BQ$1006,0)), HYPERLINK("#",""), HYPERLINK(CONCATENATE("#Metadata!", ADDRESS(INDEX($AJ$2:$AJ$1001,MATCH(ROWS($AH$2:AH915),$AH$2:$AH$1001,0),0), INDEX($AO$1004:$BQ$1004,1,MATCH(COLUMNS($AO$1006:BM1006),$AO$1006:$BQ$1006,0)))),"Fix")))</f>
        <v>#N/A</v>
      </c>
      <c r="AA915" s="5" t="e">
        <f ca="1">IF(OR(INDEX($AI$2:$AI$1001,MATCH(ROWS($AH$2:AH915),$AH$2:$AH$1001,0),1)&gt;=100000,INDEX($AO$1005:$BQ$1005,1,MATCH(COLUMNS($AO$1006:BN1006),$AO$1006:$BQ$1006,0))&gt;=100000), " ",IF(INDEX($AO$2:$BQ$1001,MATCH(ROWS($AH$2:AH915),$AH$2:$AH$1001,0),MATCH(COLUMNS($AO$1006:BN1006),$AO$1006:$BQ$1006,0)), HYPERLINK("#",""), HYPERLINK(CONCATENATE("#Metadata!", ADDRESS(INDEX($AJ$2:$AJ$1001,MATCH(ROWS($AH$2:AH915),$AH$2:$AH$1001,0),0), INDEX($AO$1004:$BQ$1004,1,MATCH(COLUMNS($AO$1006:BN1006),$AO$1006:$BQ$1006,0)))),"Fix")))</f>
        <v>#N/A</v>
      </c>
      <c r="AB915" s="5" t="e">
        <f ca="1">IF(OR(INDEX($AI$2:$AI$1001,MATCH(ROWS($AH$2:AH915),$AH$2:$AH$1001,0),1)&gt;=100000,INDEX($AO$1005:$BQ$1005,1,MATCH(COLUMNS($AO$1006:BO1006),$AO$1006:$BQ$1006,0))&gt;=100000), " ",IF(INDEX($AO$2:$BQ$1001,MATCH(ROWS($AH$2:AH915),$AH$2:$AH$1001,0),MATCH(COLUMNS($AO$1006:BO1006),$AO$1006:$BQ$1006,0)), HYPERLINK("#",""), HYPERLINK(CONCATENATE("#Metadata!", ADDRESS(INDEX($AJ$2:$AJ$1001,MATCH(ROWS($AH$2:AH915),$AH$2:$AH$1001,0),0), INDEX($AO$1004:$BQ$1004,1,MATCH(COLUMNS($AO$1006:BO1006),$AO$1006:$BQ$1006,0)))),"Fix")))</f>
        <v>#N/A</v>
      </c>
      <c r="AC915" s="5" t="e">
        <f ca="1">IF(OR(INDEX($AI$2:$AI$1001,MATCH(ROWS($AH$2:AH915),$AH$2:$AH$1001,0),1)&gt;=100000,INDEX($AO$1005:$BQ$1005,1,MATCH(COLUMNS($AO$1006:BP1006),$AO$1006:$BQ$1006,0))&gt;=100000), " ",IF(INDEX($AO$2:$BQ$1001,MATCH(ROWS($AH$2:AH915),$AH$2:$AH$1001,0),MATCH(COLUMNS($AO$1006:BP1006),$AO$1006:$BQ$1006,0)), HYPERLINK("#",""), HYPERLINK(CONCATENATE("#Metadata!", ADDRESS(INDEX($AJ$2:$AJ$1001,MATCH(ROWS($AH$2:AH915),$AH$2:$AH$1001,0),0), INDEX($AO$1004:$BQ$1004,1,MATCH(COLUMNS($AO$1006:BP1006),$AO$1006:$BQ$1006,0)))),"Fix")))</f>
        <v>#N/A</v>
      </c>
      <c r="AD915" s="5" t="e">
        <f ca="1">IF(OR(INDEX($AI$2:$AI$1001,MATCH(ROWS($AH$2:AH915),$AH$2:$AH$1001,0),1)&gt;=100000,INDEX($AO$1005:$BQ$1005,1,MATCH(COLUMNS($AO$1006:BQ1006),$AO$1006:$BQ$1006,0))&gt;=100000), " ",IF(INDEX($AO$2:$BQ$1001,MATCH(ROWS($AH$2:AH915),$AH$2:$AH$1001,0),MATCH(COLUMNS($AO$1006:BQ1006),$AO$1006:$BQ$1006,0)), HYPERLINK("#",""), HYPERLINK(CONCATENATE("#Metadata!", ADDRESS(INDEX($AJ$2:$AJ$1001,MATCH(ROWS($AH$2:AH915),$AH$2:$AH$1001,0),0), INDEX($AO$1004:$BQ$1004,1,MATCH(COLUMNS($AO$1006:BQ1006),$AO$1006:$BQ$1006,0)))),"Fix")))</f>
        <v>#REF!</v>
      </c>
      <c r="AH915">
        <f ca="1"/>
        <v>912</v>
      </c>
      <c r="AI915">
        <v>100915</v>
      </c>
      <c r="AJ915">
        <v>915</v>
      </c>
      <c r="AK915" t="b">
        <f t="shared" si="14"/>
        <v>1</v>
      </c>
      <c r="AL915" t="b">
        <f>COUNTBLANK(Metadata!B915:AD915)=COLUMNS(Metadata!B915:AD915)</f>
        <v>1</v>
      </c>
      <c r="AM915" t="str">
        <v/>
      </c>
      <c r="AO915" t="b">
        <f ca="1">AND(IF(Metadata!B915="",FALSE,TRUE),COUNTIF(Metadata!B:B, Metadata!B915) = 1,NOT(ISERROR(SUMPRODUCT(SEARCH(MID(Metadata!B915,ROW(INDIRECT("1:"&amp;LEN(Metadata!B915))), 1),"0123456789abcdefghijklmnopqrstuvwxyzABCDEFGHIJKLMNOPQRSTUVWXYZ.")))))</f>
        <v>0</v>
      </c>
      <c r="AP915" t="b">
        <f>IF(Metadata!C915="",FALSE,TRUE)</f>
        <v>0</v>
      </c>
      <c r="AQ915" t="b">
        <f>IF(Metadata!D915="",FALSE,TRUE)</f>
        <v>0</v>
      </c>
      <c r="AR915" t="b">
        <f ca="1">OR(AND(IF(Metadata!E915="",FALSE,TRUE),OR(EXACT(Metadata!E915,"not collected"),EXACT(Metadata!E915,"not provided"),EXACT(Metadata!E915,"restricted access"))),AND(IF(Metadata!E915="",FALSE,TRUE),AND(AND(IFERROR(INT(LEFT(Metadata!E915,4))&gt;1900,FALSE),IFERROR(INT(LEFT(Metadata!E915,4))&lt;=YEAR(NOW()),FALSE)), OR(MID(Metadata!E915,5,1)="", AND(AND(MID(Metadata!E915,5,1)="-",IFERROR(INT(MID(Metadata!E915,6,1))&gt;=0,FALSE),IFERROR(INT(MID(Metadata!E915,6,1))&lt;=1,FALSE),NOT(MID(Metadata!E915,7,1)=""),IFERROR(INT(MID(Metadata!E915,6,2))&gt;=1,FALSE),IFERROR(INT(MID(Metadata!E915,6,2))&lt;=12,FALSE)), OR(MID(Metadata!E915,8,1)="", AND(AND(MID(Metadata!E915,8,1)="-",IFERROR(INT(MID(Metadata!E915,9,1))&gt;=0,FALSE),IFERROR(INT(MID(Metadata!E915,9,1))&lt;=3,FALSE),NOT(MID(Metadata!E915,10,1)=""),IFERROR(INT(MID(Metadata!E915,9,2))&gt;=1,FALSE),IFERROR(INT(MID(Metadata!E915,9,2))&lt;=31,FALSE)), OR(MID(Metadata!E915,11,1)="", AND(AND(MID(Metadata!E915,11,1)=" ",IFERROR(INT(MID(Metadata!E915,12,1))&gt;=0,FALSE),IFERROR(INT(MID(Metadata!E915,12,1))&lt;=2,FALSE),NOT(MID(Metadata!E915,13,1)=""),IFERROR(INT(MID(Metadata!E915,12,2))&gt;=0,FALSE),IFERROR(INT(MID(Metadata!E915,12,2))&lt;=23,FALSE)), OR(MID(Metadata!E915,14,1)="", AND(AND(MID(Metadata!E915,14,1)=":",IFERROR(INT(MID(Metadata!E915,15,1))&gt;=0,FALSE),IFERROR(INT(MID(Metadata!E915,15,1))&lt;=5,FALSE),NOT(MID(Metadata!E915,16,1)=""),IFERROR(INT(MID(Metadata!E915,15,2))&gt;=0,FALSE),IFERROR(INT(MID(Metadata!E915,15,2))&lt;=59,FALSE)), OR(MID(Metadata!E915,17,1)="", AND(AND(MID(Metadata!E915,17,1)=":",IFERROR(INT(MID(Metadata!E915,18,1))&gt;=0,FALSE),IFERROR(INT(MID(Metadata!E915,18,1))&lt;=5,FALSE),NOT(MID(Metadata!E915,19,1)=""),IFERROR(INT(MID(Metadata!E915,18,2))&gt;=0,FALSE),IFERROR(INT(MID(Metadata!E915,18,2))&lt;=59,FALSE)), LEN(Metadata!E915)&lt;=19)))))))))))))</f>
        <v>0</v>
      </c>
      <c r="AS915" t="b">
        <f>IF(Metadata!F915="",FALSE,TRUE)</f>
        <v>0</v>
      </c>
      <c r="AT915" t="b">
        <f>OR(AND(IF(Metadata!G915="",FALSE,TRUE),OR(EXACT(Metadata!G915,"not collected"),EXACT(Metadata!G915,"not provided"))),AND(IF(Metadata!G915="",FALSE,TRUE),OR(EXACT(Metadata!G915,"TRUE"),EXACT(Metadata!G915,"FALSE"))))</f>
        <v>0</v>
      </c>
      <c r="AU915" t="b">
        <f>OR(AND(IF(Metadata!H915="",FALSE,TRUE),OR(EXACT(Metadata!H915,"not collected"),EXACT(Metadata!H915,"not provided"),EXACT(Metadata!H915,"restricted access"))),AND(IF(Metadata!H915="",FALSE,ISNUMBER(VALUE(Metadata!H915))),Metadata!H915&gt;=-413))</f>
        <v>0</v>
      </c>
      <c r="AV915" t="b">
        <f>AND(IF(Metadata!I915="",FALSE,TRUE),EXACT(Metadata!I915,"meters"))</f>
        <v>0</v>
      </c>
      <c r="AW915" t="b">
        <f>AND(IF(Metadata!J915="",FALSE,TRUE),EXACT(Metadata!J915,"free-living"))</f>
        <v>0</v>
      </c>
      <c r="AX915" t="b">
        <f>AND(IF(Metadata!K915="",FALSE,TRUE),OR(EXACT(Metadata!K915,"saline"),EXACT(Metadata!K915,"non-saline")))</f>
        <v>0</v>
      </c>
      <c r="AY915" t="b">
        <f>AND(IF(Metadata!L915="",FALSE,TRUE),OR(EXACT(Metadata!L915,"sub-surface (non-saline)"),EXACT(Metadata!L915,"surface (non-saline)"),EXACT(Metadata!L915,"water (non-saline)"),EXACT(Metadata!L915,"soil (non-saline)"),EXACT(Metadata!L915,"aerosol (non-saline)"),EXACT(Metadata!L915,"sediment (non-saline)"),EXACT(Metadata!L915,"surface (saline)"),EXACT(Metadata!L915,"water (saline)"),EXACT(Metadata!L915,"hypersaline (saline)"),EXACT(Metadata!L915,"aerosol (saline)"),EXACT(Metadata!L915,"sediment (saline)")))</f>
        <v>0</v>
      </c>
      <c r="AZ915" t="b">
        <f>IF(Metadata!M915="",FALSE,TRUE)</f>
        <v>0</v>
      </c>
      <c r="BA915" t="b">
        <f>IF(Metadata!N915="",FALSE,TRUE)</f>
        <v>0</v>
      </c>
      <c r="BB915" t="b">
        <f>IF(Metadata!O915="",FALSE,TRUE)</f>
        <v>0</v>
      </c>
      <c r="BC915" t="b">
        <f>AND(IF(Metadata!P915="",FALSE,TRUE),OR(EXACT(Metadata!P915,"air"),EXACT(Metadata!P915,"microbial mat/biofilm"),EXACT(Metadata!P915,"misc environment"),EXACT(Metadata!P915,"sediment"),EXACT(Metadata!P915,"soil"),EXACT(Metadata!P915,"wastewater/sludge"),EXACT(Metadata!P915,"water")))</f>
        <v>0</v>
      </c>
      <c r="BD915" t="b">
        <f>IF(Metadata!Q915="",FALSE,TRUE)</f>
        <v>0</v>
      </c>
      <c r="BE915" t="b">
        <f>IF(Metadata!R915="",FALSE,TRUE)</f>
        <v>0</v>
      </c>
      <c r="BF915" t="b">
        <f>OR(AND(IF(Metadata!S915="",FALSE,TRUE),OR(EXACT(Metadata!S915,"not collected"),EXACT(Metadata!S915,"not provided"),EXACT(Metadata!S915,"restricted access"))),AND(IF(Metadata!S915="",FALSE,ISNUMBER(VALUE(Metadata!S915))),Metadata!S915&gt;=-90,Metadata!S915&lt;=90))</f>
        <v>0</v>
      </c>
      <c r="BG915" t="b">
        <f>AND(IF(Metadata!T915="",FALSE,TRUE),EXACT(Metadata!T915,"Decimal degrees"))</f>
        <v>0</v>
      </c>
      <c r="BH915" t="b">
        <f>OR(AND(IF(Metadata!U915="",FALSE,TRUE),OR(EXACT(Metadata!U915,"not applicable"),EXACT(Metadata!U915,"not collected"))),IF(Metadata!U915="",FALSE,TRUE))</f>
        <v>0</v>
      </c>
      <c r="BI915" t="b">
        <f>OR(AND(IF(Metadata!V915="",FALSE,TRUE),OR(EXACT(Metadata!V915,"not collected"),EXACT(Metadata!V915,"not provided"),EXACT(Metadata!V915,"restricted access"))),AND(IF(Metadata!V915="",FALSE,ISNUMBER(VALUE(Metadata!V915))),Metadata!V915&gt;=-180,Metadata!V915&lt;=180))</f>
        <v>0</v>
      </c>
      <c r="BJ915" t="b">
        <f>AND(IF(Metadata!W915="",FALSE,TRUE),EXACT(Metadata!W915,"Decimal degrees"))</f>
        <v>0</v>
      </c>
      <c r="BK915" t="b">
        <f>IF(Metadata!X915="",FALSE,TRUE)</f>
        <v>0</v>
      </c>
      <c r="BL915" t="b">
        <f>OR(AND(IF(Metadata!Y915="",FALSE,TRUE),OR(EXACT(Metadata!Y915,"not collected"),EXACT(Metadata!Y915,"not provided"),EXACT(Metadata!Y915,"restricted access"))),AND(IF(Metadata!Y915="",FALSE,TRUE),OR(EXACT(Metadata!Y915,"TRUE"),EXACT(Metadata!Y915,"FALSE"))))</f>
        <v>0</v>
      </c>
      <c r="BM915" t="b">
        <f>OR(AND(IF(Metadata!Z915="",FALSE,TRUE),EXACT(Metadata!Z915,"not applicable")),AND(IF(Metadata!Z915="",FALSE,TRUE),OR(EXACT(Metadata!Z915,"beer"),EXACT(Metadata!Z915,"cheese"),EXACT(Metadata!Z915,"fresh water"),EXACT(Metadata!Z915,"marine sediment"),EXACT(Metadata!Z915,"sea water"),EXACT(Metadata!Z915,"sediment"),EXACT(Metadata!Z915,"soil"),EXACT(Metadata!Z915,"waste water"))))</f>
        <v>0</v>
      </c>
      <c r="BN915" t="b">
        <f>AND(IF(Metadata!AA915="",FALSE,TRUE),EXACT(Metadata!AA915,"metagenome"))</f>
        <v>0</v>
      </c>
      <c r="BO915" t="b">
        <f>AND(IF(Metadata!AB915="",FALSE,TRUE),EXACT(Metadata!AB915,"256318"))</f>
        <v>0</v>
      </c>
      <c r="BP915" t="b">
        <f>IF(Metadata!AC915="",FALSE,TRUE)</f>
        <v>0</v>
      </c>
      <c r="BQ915" t="b">
        <f>IF(Metadata!AD915="",FALSE,TRUE)</f>
        <v>0</v>
      </c>
    </row>
    <row r="916" spans="1:69" x14ac:dyDescent="0.2">
      <c r="A916" s="4" t="e">
        <f ca="1">IF(B916=" "," ",HYPERLINK(CONCATENATE("#metadata!",ADDRESS(INDEX($AJ$2:$AJ$1001,MATCH(ROWS($AH$2:AH916),$AH$2:$AH$1001,0),0),2)),INDEX($AM$2:$AM$1001,MATCH(ROWS($AH$2:AH916),$AH$2:$AH$1001,0),0)))</f>
        <v>#N/A</v>
      </c>
      <c r="B916" s="5" t="e">
        <f ca="1">IF(OR(INDEX($AI$2:$AI$1001,MATCH(ROWS($AH$2:AH916),$AH$2:$AH$1001,0),1)&gt;=100000,INDEX($AO$1005:$BQ$1005,1,MATCH(COLUMNS($AO$1006:AO1006),$AO$1006:$BQ$1006,0))&gt;=100000), " ",IF(INDEX($AO$2:$BQ$1001,MATCH(ROWS($AH$2:AH916),$AH$2:$AH$1001,0),MATCH(COLUMNS($AO$1006:AO1006),$AO$1006:$BQ$1006,0)), HYPERLINK("#",""), HYPERLINK(CONCATENATE("#Metadata!", ADDRESS(INDEX($AJ$2:$AJ$1001,MATCH(ROWS($AH$2:AH916),$AH$2:$AH$1001,0),0), INDEX($AO$1004:$BQ$1004,1,MATCH(COLUMNS($AO$1006:AO1006),$AO$1006:$BQ$1006,0)))),"Fix")))</f>
        <v>#N/A</v>
      </c>
      <c r="C916" s="5" t="e">
        <f ca="1">IF(OR(INDEX($AI$2:$AI$1001,MATCH(ROWS($AH$2:AH916),$AH$2:$AH$1001,0),1)&gt;=100000,INDEX($AO$1005:$BQ$1005,1,MATCH(COLUMNS($AO$1006:AP1006),$AO$1006:$BQ$1006,0))&gt;=100000), " ",IF(INDEX($AO$2:$BQ$1001,MATCH(ROWS($AH$2:AH916),$AH$2:$AH$1001,0),MATCH(COLUMNS($AO$1006:AP1006),$AO$1006:$BQ$1006,0)), HYPERLINK("#",""), HYPERLINK(CONCATENATE("#Metadata!", ADDRESS(INDEX($AJ$2:$AJ$1001,MATCH(ROWS($AH$2:AH916),$AH$2:$AH$1001,0),0), INDEX($AO$1004:$BQ$1004,1,MATCH(COLUMNS($AO$1006:AP1006),$AO$1006:$BQ$1006,0)))),"Fix")))</f>
        <v>#N/A</v>
      </c>
      <c r="D916" s="5" t="e">
        <f ca="1">IF(OR(INDEX($AI$2:$AI$1001,MATCH(ROWS($AH$2:AH916),$AH$2:$AH$1001,0),1)&gt;=100000,INDEX($AO$1005:$BQ$1005,1,MATCH(COLUMNS($AO$1006:AQ1006),$AO$1006:$BQ$1006,0))&gt;=100000), " ",IF(INDEX($AO$2:$BQ$1001,MATCH(ROWS($AH$2:AH916),$AH$2:$AH$1001,0),MATCH(COLUMNS($AO$1006:AQ1006),$AO$1006:$BQ$1006,0)), HYPERLINK("#",""), HYPERLINK(CONCATENATE("#Metadata!", ADDRESS(INDEX($AJ$2:$AJ$1001,MATCH(ROWS($AH$2:AH916),$AH$2:$AH$1001,0),0), INDEX($AO$1004:$BQ$1004,1,MATCH(COLUMNS($AO$1006:AQ1006),$AO$1006:$BQ$1006,0)))),"Fix")))</f>
        <v>#N/A</v>
      </c>
      <c r="E916" s="5" t="e">
        <f ca="1">IF(OR(INDEX($AI$2:$AI$1001,MATCH(ROWS($AH$2:AH916),$AH$2:$AH$1001,0),1)&gt;=100000,INDEX($AO$1005:$BQ$1005,1,MATCH(COLUMNS($AO$1006:AR1006),$AO$1006:$BQ$1006,0))&gt;=100000), " ",IF(INDEX($AO$2:$BQ$1001,MATCH(ROWS($AH$2:AH916),$AH$2:$AH$1001,0),MATCH(COLUMNS($AO$1006:AR1006),$AO$1006:$BQ$1006,0)), HYPERLINK("#",""), HYPERLINK(CONCATENATE("#Metadata!", ADDRESS(INDEX($AJ$2:$AJ$1001,MATCH(ROWS($AH$2:AH916),$AH$2:$AH$1001,0),0), INDEX($AO$1004:$BQ$1004,1,MATCH(COLUMNS($AO$1006:AR1006),$AO$1006:$BQ$1006,0)))),"Fix")))</f>
        <v>#N/A</v>
      </c>
      <c r="F916" s="5" t="e">
        <f ca="1">IF(OR(INDEX($AI$2:$AI$1001,MATCH(ROWS($AH$2:AH916),$AH$2:$AH$1001,0),1)&gt;=100000,INDEX($AO$1005:$BQ$1005,1,MATCH(COLUMNS($AO$1006:AS1006),$AO$1006:$BQ$1006,0))&gt;=100000), " ",IF(INDEX($AO$2:$BQ$1001,MATCH(ROWS($AH$2:AH916),$AH$2:$AH$1001,0),MATCH(COLUMNS($AO$1006:AS1006),$AO$1006:$BQ$1006,0)), HYPERLINK("#",""), HYPERLINK(CONCATENATE("#Metadata!", ADDRESS(INDEX($AJ$2:$AJ$1001,MATCH(ROWS($AH$2:AH916),$AH$2:$AH$1001,0),0), INDEX($AO$1004:$BQ$1004,1,MATCH(COLUMNS($AO$1006:AS1006),$AO$1006:$BQ$1006,0)))),"Fix")))</f>
        <v>#N/A</v>
      </c>
      <c r="G916" s="5" t="e">
        <f ca="1">IF(OR(INDEX($AI$2:$AI$1001,MATCH(ROWS($AH$2:AH916),$AH$2:$AH$1001,0),1)&gt;=100000,INDEX($AO$1005:$BQ$1005,1,MATCH(COLUMNS($AO$1006:AT1006),$AO$1006:$BQ$1006,0))&gt;=100000), " ",IF(INDEX($AO$2:$BQ$1001,MATCH(ROWS($AH$2:AH916),$AH$2:$AH$1001,0),MATCH(COLUMNS($AO$1006:AT1006),$AO$1006:$BQ$1006,0)), HYPERLINK("#",""), HYPERLINK(CONCATENATE("#Metadata!", ADDRESS(INDEX($AJ$2:$AJ$1001,MATCH(ROWS($AH$2:AH916),$AH$2:$AH$1001,0),0), INDEX($AO$1004:$BQ$1004,1,MATCH(COLUMNS($AO$1006:AT1006),$AO$1006:$BQ$1006,0)))),"Fix")))</f>
        <v>#N/A</v>
      </c>
      <c r="H916" s="5" t="e">
        <f ca="1">IF(OR(INDEX($AI$2:$AI$1001,MATCH(ROWS($AH$2:AH916),$AH$2:$AH$1001,0),1)&gt;=100000,INDEX($AO$1005:$BQ$1005,1,MATCH(COLUMNS($AO$1006:AU1006),$AO$1006:$BQ$1006,0))&gt;=100000), " ",IF(INDEX($AO$2:$BQ$1001,MATCH(ROWS($AH$2:AH916),$AH$2:$AH$1001,0),MATCH(COLUMNS($AO$1006:AU1006),$AO$1006:$BQ$1006,0)), HYPERLINK("#",""), HYPERLINK(CONCATENATE("#Metadata!", ADDRESS(INDEX($AJ$2:$AJ$1001,MATCH(ROWS($AH$2:AH916),$AH$2:$AH$1001,0),0), INDEX($AO$1004:$BQ$1004,1,MATCH(COLUMNS($AO$1006:AU1006),$AO$1006:$BQ$1006,0)))),"Fix")))</f>
        <v>#N/A</v>
      </c>
      <c r="I916" s="5" t="e">
        <f ca="1">IF(OR(INDEX($AI$2:$AI$1001,MATCH(ROWS($AH$2:AH916),$AH$2:$AH$1001,0),1)&gt;=100000,INDEX($AO$1005:$BQ$1005,1,MATCH(COLUMNS($AO$1006:AV1006),$AO$1006:$BQ$1006,0))&gt;=100000), " ",IF(INDEX($AO$2:$BQ$1001,MATCH(ROWS($AH$2:AH916),$AH$2:$AH$1001,0),MATCH(COLUMNS($AO$1006:AV1006),$AO$1006:$BQ$1006,0)), HYPERLINK("#",""), HYPERLINK(CONCATENATE("#Metadata!", ADDRESS(INDEX($AJ$2:$AJ$1001,MATCH(ROWS($AH$2:AH916),$AH$2:$AH$1001,0),0), INDEX($AO$1004:$BQ$1004,1,MATCH(COLUMNS($AO$1006:AV1006),$AO$1006:$BQ$1006,0)))),"Fix")))</f>
        <v>#N/A</v>
      </c>
      <c r="J916" s="5" t="e">
        <f ca="1">IF(OR(INDEX($AI$2:$AI$1001,MATCH(ROWS($AH$2:AH916),$AH$2:$AH$1001,0),1)&gt;=100000,INDEX($AO$1005:$BQ$1005,1,MATCH(COLUMNS($AO$1006:AW1006),$AO$1006:$BQ$1006,0))&gt;=100000), " ",IF(INDEX($AO$2:$BQ$1001,MATCH(ROWS($AH$2:AH916),$AH$2:$AH$1001,0),MATCH(COLUMNS($AO$1006:AW1006),$AO$1006:$BQ$1006,0)), HYPERLINK("#",""), HYPERLINK(CONCATENATE("#Metadata!", ADDRESS(INDEX($AJ$2:$AJ$1001,MATCH(ROWS($AH$2:AH916),$AH$2:$AH$1001,0),0), INDEX($AO$1004:$BQ$1004,1,MATCH(COLUMNS($AO$1006:AW1006),$AO$1006:$BQ$1006,0)))),"Fix")))</f>
        <v>#N/A</v>
      </c>
      <c r="K916" s="5" t="e">
        <f ca="1">IF(OR(INDEX($AI$2:$AI$1001,MATCH(ROWS($AH$2:AH916),$AH$2:$AH$1001,0),1)&gt;=100000,INDEX($AO$1005:$BQ$1005,1,MATCH(COLUMNS($AO$1006:AX1006),$AO$1006:$BQ$1006,0))&gt;=100000), " ",IF(INDEX($AO$2:$BQ$1001,MATCH(ROWS($AH$2:AH916),$AH$2:$AH$1001,0),MATCH(COLUMNS($AO$1006:AX1006),$AO$1006:$BQ$1006,0)), HYPERLINK("#",""), HYPERLINK(CONCATENATE("#Metadata!", ADDRESS(INDEX($AJ$2:$AJ$1001,MATCH(ROWS($AH$2:AH916),$AH$2:$AH$1001,0),0), INDEX($AO$1004:$BQ$1004,1,MATCH(COLUMNS($AO$1006:AX1006),$AO$1006:$BQ$1006,0)))),"Fix")))</f>
        <v>#N/A</v>
      </c>
      <c r="L916" s="5" t="e">
        <f ca="1">IF(OR(INDEX($AI$2:$AI$1001,MATCH(ROWS($AH$2:AH916),$AH$2:$AH$1001,0),1)&gt;=100000,INDEX($AO$1005:$BQ$1005,1,MATCH(COLUMNS($AO$1006:AY1006),$AO$1006:$BQ$1006,0))&gt;=100000), " ",IF(INDEX($AO$2:$BQ$1001,MATCH(ROWS($AH$2:AH916),$AH$2:$AH$1001,0),MATCH(COLUMNS($AO$1006:AY1006),$AO$1006:$BQ$1006,0)), HYPERLINK("#",""), HYPERLINK(CONCATENATE("#Metadata!", ADDRESS(INDEX($AJ$2:$AJ$1001,MATCH(ROWS($AH$2:AH916),$AH$2:$AH$1001,0),0), INDEX($AO$1004:$BQ$1004,1,MATCH(COLUMNS($AO$1006:AY1006),$AO$1006:$BQ$1006,0)))),"Fix")))</f>
        <v>#N/A</v>
      </c>
      <c r="M916" s="5" t="e">
        <f ca="1">IF(OR(INDEX($AI$2:$AI$1001,MATCH(ROWS($AH$2:AH916),$AH$2:$AH$1001,0),1)&gt;=100000,INDEX($AO$1005:$BQ$1005,1,MATCH(COLUMNS($AO$1006:AZ1006),$AO$1006:$BQ$1006,0))&gt;=100000), " ",IF(INDEX($AO$2:$BQ$1001,MATCH(ROWS($AH$2:AH916),$AH$2:$AH$1001,0),MATCH(COLUMNS($AO$1006:AZ1006),$AO$1006:$BQ$1006,0)), HYPERLINK("#",""), HYPERLINK(CONCATENATE("#Metadata!", ADDRESS(INDEX($AJ$2:$AJ$1001,MATCH(ROWS($AH$2:AH916),$AH$2:$AH$1001,0),0), INDEX($AO$1004:$BQ$1004,1,MATCH(COLUMNS($AO$1006:AZ1006),$AO$1006:$BQ$1006,0)))),"Fix")))</f>
        <v>#N/A</v>
      </c>
      <c r="N916" s="5" t="e">
        <f ca="1">IF(OR(INDEX($AI$2:$AI$1001,MATCH(ROWS($AH$2:AH916),$AH$2:$AH$1001,0),1)&gt;=100000,INDEX($AO$1005:$BQ$1005,1,MATCH(COLUMNS($AO$1006:BA1006),$AO$1006:$BQ$1006,0))&gt;=100000), " ",IF(INDEX($AO$2:$BQ$1001,MATCH(ROWS($AH$2:AH916),$AH$2:$AH$1001,0),MATCH(COLUMNS($AO$1006:BA1006),$AO$1006:$BQ$1006,0)), HYPERLINK("#",""), HYPERLINK(CONCATENATE("#Metadata!", ADDRESS(INDEX($AJ$2:$AJ$1001,MATCH(ROWS($AH$2:AH916),$AH$2:$AH$1001,0),0), INDEX($AO$1004:$BQ$1004,1,MATCH(COLUMNS($AO$1006:BA1006),$AO$1006:$BQ$1006,0)))),"Fix")))</f>
        <v>#N/A</v>
      </c>
      <c r="O916" s="5" t="e">
        <f ca="1">IF(OR(INDEX($AI$2:$AI$1001,MATCH(ROWS($AH$2:AH916),$AH$2:$AH$1001,0),1)&gt;=100000,INDEX($AO$1005:$BQ$1005,1,MATCH(COLUMNS($AO$1006:BB1006),$AO$1006:$BQ$1006,0))&gt;=100000), " ",IF(INDEX($AO$2:$BQ$1001,MATCH(ROWS($AH$2:AH916),$AH$2:$AH$1001,0),MATCH(COLUMNS($AO$1006:BB1006),$AO$1006:$BQ$1006,0)), HYPERLINK("#",""), HYPERLINK(CONCATENATE("#Metadata!", ADDRESS(INDEX($AJ$2:$AJ$1001,MATCH(ROWS($AH$2:AH916),$AH$2:$AH$1001,0),0), INDEX($AO$1004:$BQ$1004,1,MATCH(COLUMNS($AO$1006:BB1006),$AO$1006:$BQ$1006,0)))),"Fix")))</f>
        <v>#N/A</v>
      </c>
      <c r="P916" s="5" t="e">
        <f ca="1">IF(OR(INDEX($AI$2:$AI$1001,MATCH(ROWS($AH$2:AH916),$AH$2:$AH$1001,0),1)&gt;=100000,INDEX($AO$1005:$BQ$1005,1,MATCH(COLUMNS($AO$1006:BC1006),$AO$1006:$BQ$1006,0))&gt;=100000), " ",IF(INDEX($AO$2:$BQ$1001,MATCH(ROWS($AH$2:AH916),$AH$2:$AH$1001,0),MATCH(COLUMNS($AO$1006:BC1006),$AO$1006:$BQ$1006,0)), HYPERLINK("#",""), HYPERLINK(CONCATENATE("#Metadata!", ADDRESS(INDEX($AJ$2:$AJ$1001,MATCH(ROWS($AH$2:AH916),$AH$2:$AH$1001,0),0), INDEX($AO$1004:$BQ$1004,1,MATCH(COLUMNS($AO$1006:BC1006),$AO$1006:$BQ$1006,0)))),"Fix")))</f>
        <v>#N/A</v>
      </c>
      <c r="Q916" s="5" t="e">
        <f ca="1">IF(OR(INDEX($AI$2:$AI$1001,MATCH(ROWS($AH$2:AH916),$AH$2:$AH$1001,0),1)&gt;=100000,INDEX($AO$1005:$BQ$1005,1,MATCH(COLUMNS($AO$1006:BD1006),$AO$1006:$BQ$1006,0))&gt;=100000), " ",IF(INDEX($AO$2:$BQ$1001,MATCH(ROWS($AH$2:AH916),$AH$2:$AH$1001,0),MATCH(COLUMNS($AO$1006:BD1006),$AO$1006:$BQ$1006,0)), HYPERLINK("#",""), HYPERLINK(CONCATENATE("#Metadata!", ADDRESS(INDEX($AJ$2:$AJ$1001,MATCH(ROWS($AH$2:AH916),$AH$2:$AH$1001,0),0), INDEX($AO$1004:$BQ$1004,1,MATCH(COLUMNS($AO$1006:BD1006),$AO$1006:$BQ$1006,0)))),"Fix")))</f>
        <v>#N/A</v>
      </c>
      <c r="R916" s="5" t="e">
        <f ca="1">IF(OR(INDEX($AI$2:$AI$1001,MATCH(ROWS($AH$2:AH916),$AH$2:$AH$1001,0),1)&gt;=100000,INDEX($AO$1005:$BQ$1005,1,MATCH(COLUMNS($AO$1006:BE1006),$AO$1006:$BQ$1006,0))&gt;=100000), " ",IF(INDEX($AO$2:$BQ$1001,MATCH(ROWS($AH$2:AH916),$AH$2:$AH$1001,0),MATCH(COLUMNS($AO$1006:BE1006),$AO$1006:$BQ$1006,0)), HYPERLINK("#",""), HYPERLINK(CONCATENATE("#Metadata!", ADDRESS(INDEX($AJ$2:$AJ$1001,MATCH(ROWS($AH$2:AH916),$AH$2:$AH$1001,0),0), INDEX($AO$1004:$BQ$1004,1,MATCH(COLUMNS($AO$1006:BE1006),$AO$1006:$BQ$1006,0)))),"Fix")))</f>
        <v>#N/A</v>
      </c>
      <c r="S916" s="5" t="e">
        <f ca="1">IF(OR(INDEX($AI$2:$AI$1001,MATCH(ROWS($AH$2:AH916),$AH$2:$AH$1001,0),1)&gt;=100000,INDEX($AO$1005:$BQ$1005,1,MATCH(COLUMNS($AO$1006:BF1006),$AO$1006:$BQ$1006,0))&gt;=100000), " ",IF(INDEX($AO$2:$BQ$1001,MATCH(ROWS($AH$2:AH916),$AH$2:$AH$1001,0),MATCH(COLUMNS($AO$1006:BF1006),$AO$1006:$BQ$1006,0)), HYPERLINK("#",""), HYPERLINK(CONCATENATE("#Metadata!", ADDRESS(INDEX($AJ$2:$AJ$1001,MATCH(ROWS($AH$2:AH916),$AH$2:$AH$1001,0),0), INDEX($AO$1004:$BQ$1004,1,MATCH(COLUMNS($AO$1006:BF1006),$AO$1006:$BQ$1006,0)))),"Fix")))</f>
        <v>#N/A</v>
      </c>
      <c r="T916" s="5" t="e">
        <f ca="1">IF(OR(INDEX($AI$2:$AI$1001,MATCH(ROWS($AH$2:AH916),$AH$2:$AH$1001,0),1)&gt;=100000,INDEX($AO$1005:$BQ$1005,1,MATCH(COLUMNS($AO$1006:BG1006),$AO$1006:$BQ$1006,0))&gt;=100000), " ",IF(INDEX($AO$2:$BQ$1001,MATCH(ROWS($AH$2:AH916),$AH$2:$AH$1001,0),MATCH(COLUMNS($AO$1006:BG1006),$AO$1006:$BQ$1006,0)), HYPERLINK("#",""), HYPERLINK(CONCATENATE("#Metadata!", ADDRESS(INDEX($AJ$2:$AJ$1001,MATCH(ROWS($AH$2:AH916),$AH$2:$AH$1001,0),0), INDEX($AO$1004:$BQ$1004,1,MATCH(COLUMNS($AO$1006:BG1006),$AO$1006:$BQ$1006,0)))),"Fix")))</f>
        <v>#N/A</v>
      </c>
      <c r="U916" s="5" t="e">
        <f ca="1">IF(OR(INDEX($AI$2:$AI$1001,MATCH(ROWS($AH$2:AH916),$AH$2:$AH$1001,0),1)&gt;=100000,INDEX($AO$1005:$BQ$1005,1,MATCH(COLUMNS($AO$1006:BH1006),$AO$1006:$BQ$1006,0))&gt;=100000), " ",IF(INDEX($AO$2:$BQ$1001,MATCH(ROWS($AH$2:AH916),$AH$2:$AH$1001,0),MATCH(COLUMNS($AO$1006:BH1006),$AO$1006:$BQ$1006,0)), HYPERLINK("#",""), HYPERLINK(CONCATENATE("#Metadata!", ADDRESS(INDEX($AJ$2:$AJ$1001,MATCH(ROWS($AH$2:AH916),$AH$2:$AH$1001,0),0), INDEX($AO$1004:$BQ$1004,1,MATCH(COLUMNS($AO$1006:BH1006),$AO$1006:$BQ$1006,0)))),"Fix")))</f>
        <v>#N/A</v>
      </c>
      <c r="V916" s="5" t="e">
        <f ca="1">IF(OR(INDEX($AI$2:$AI$1001,MATCH(ROWS($AH$2:AH916),$AH$2:$AH$1001,0),1)&gt;=100000,INDEX($AO$1005:$BQ$1005,1,MATCH(COLUMNS($AO$1006:BI1006),$AO$1006:$BQ$1006,0))&gt;=100000), " ",IF(INDEX($AO$2:$BQ$1001,MATCH(ROWS($AH$2:AH916),$AH$2:$AH$1001,0),MATCH(COLUMNS($AO$1006:BI1006),$AO$1006:$BQ$1006,0)), HYPERLINK("#",""), HYPERLINK(CONCATENATE("#Metadata!", ADDRESS(INDEX($AJ$2:$AJ$1001,MATCH(ROWS($AH$2:AH916),$AH$2:$AH$1001,0),0), INDEX($AO$1004:$BQ$1004,1,MATCH(COLUMNS($AO$1006:BI1006),$AO$1006:$BQ$1006,0)))),"Fix")))</f>
        <v>#N/A</v>
      </c>
      <c r="W916" s="5" t="e">
        <f ca="1">IF(OR(INDEX($AI$2:$AI$1001,MATCH(ROWS($AH$2:AH916),$AH$2:$AH$1001,0),1)&gt;=100000,INDEX($AO$1005:$BQ$1005,1,MATCH(COLUMNS($AO$1006:BJ1006),$AO$1006:$BQ$1006,0))&gt;=100000), " ",IF(INDEX($AO$2:$BQ$1001,MATCH(ROWS($AH$2:AH916),$AH$2:$AH$1001,0),MATCH(COLUMNS($AO$1006:BJ1006),$AO$1006:$BQ$1006,0)), HYPERLINK("#",""), HYPERLINK(CONCATENATE("#Metadata!", ADDRESS(INDEX($AJ$2:$AJ$1001,MATCH(ROWS($AH$2:AH916),$AH$2:$AH$1001,0),0), INDEX($AO$1004:$BQ$1004,1,MATCH(COLUMNS($AO$1006:BJ1006),$AO$1006:$BQ$1006,0)))),"Fix")))</f>
        <v>#N/A</v>
      </c>
      <c r="X916" s="5" t="e">
        <f ca="1">IF(OR(INDEX($AI$2:$AI$1001,MATCH(ROWS($AH$2:AH916),$AH$2:$AH$1001,0),1)&gt;=100000,INDEX($AO$1005:$BQ$1005,1,MATCH(COLUMNS($AO$1006:BK1006),$AO$1006:$BQ$1006,0))&gt;=100000), " ",IF(INDEX($AO$2:$BQ$1001,MATCH(ROWS($AH$2:AH916),$AH$2:$AH$1001,0),MATCH(COLUMNS($AO$1006:BK1006),$AO$1006:$BQ$1006,0)), HYPERLINK("#",""), HYPERLINK(CONCATENATE("#Metadata!", ADDRESS(INDEX($AJ$2:$AJ$1001,MATCH(ROWS($AH$2:AH916),$AH$2:$AH$1001,0),0), INDEX($AO$1004:$BQ$1004,1,MATCH(COLUMNS($AO$1006:BK1006),$AO$1006:$BQ$1006,0)))),"Fix")))</f>
        <v>#N/A</v>
      </c>
      <c r="Y916" s="5" t="e">
        <f ca="1">IF(OR(INDEX($AI$2:$AI$1001,MATCH(ROWS($AH$2:AH916),$AH$2:$AH$1001,0),1)&gt;=100000,INDEX($AO$1005:$BQ$1005,1,MATCH(COLUMNS($AO$1006:BL1006),$AO$1006:$BQ$1006,0))&gt;=100000), " ",IF(INDEX($AO$2:$BQ$1001,MATCH(ROWS($AH$2:AH916),$AH$2:$AH$1001,0),MATCH(COLUMNS($AO$1006:BL1006),$AO$1006:$BQ$1006,0)), HYPERLINK("#",""), HYPERLINK(CONCATENATE("#Metadata!", ADDRESS(INDEX($AJ$2:$AJ$1001,MATCH(ROWS($AH$2:AH916),$AH$2:$AH$1001,0),0), INDEX($AO$1004:$BQ$1004,1,MATCH(COLUMNS($AO$1006:BL1006),$AO$1006:$BQ$1006,0)))),"Fix")))</f>
        <v>#N/A</v>
      </c>
      <c r="Z916" s="5" t="e">
        <f ca="1">IF(OR(INDEX($AI$2:$AI$1001,MATCH(ROWS($AH$2:AH916),$AH$2:$AH$1001,0),1)&gt;=100000,INDEX($AO$1005:$BQ$1005,1,MATCH(COLUMNS($AO$1006:BM1006),$AO$1006:$BQ$1006,0))&gt;=100000), " ",IF(INDEX($AO$2:$BQ$1001,MATCH(ROWS($AH$2:AH916),$AH$2:$AH$1001,0),MATCH(COLUMNS($AO$1006:BM1006),$AO$1006:$BQ$1006,0)), HYPERLINK("#",""), HYPERLINK(CONCATENATE("#Metadata!", ADDRESS(INDEX($AJ$2:$AJ$1001,MATCH(ROWS($AH$2:AH916),$AH$2:$AH$1001,0),0), INDEX($AO$1004:$BQ$1004,1,MATCH(COLUMNS($AO$1006:BM1006),$AO$1006:$BQ$1006,0)))),"Fix")))</f>
        <v>#N/A</v>
      </c>
      <c r="AA916" s="5" t="e">
        <f ca="1">IF(OR(INDEX($AI$2:$AI$1001,MATCH(ROWS($AH$2:AH916),$AH$2:$AH$1001,0),1)&gt;=100000,INDEX($AO$1005:$BQ$1005,1,MATCH(COLUMNS($AO$1006:BN1006),$AO$1006:$BQ$1006,0))&gt;=100000), " ",IF(INDEX($AO$2:$BQ$1001,MATCH(ROWS($AH$2:AH916),$AH$2:$AH$1001,0),MATCH(COLUMNS($AO$1006:BN1006),$AO$1006:$BQ$1006,0)), HYPERLINK("#",""), HYPERLINK(CONCATENATE("#Metadata!", ADDRESS(INDEX($AJ$2:$AJ$1001,MATCH(ROWS($AH$2:AH916),$AH$2:$AH$1001,0),0), INDEX($AO$1004:$BQ$1004,1,MATCH(COLUMNS($AO$1006:BN1006),$AO$1006:$BQ$1006,0)))),"Fix")))</f>
        <v>#N/A</v>
      </c>
      <c r="AB916" s="5" t="e">
        <f ca="1">IF(OR(INDEX($AI$2:$AI$1001,MATCH(ROWS($AH$2:AH916),$AH$2:$AH$1001,0),1)&gt;=100000,INDEX($AO$1005:$BQ$1005,1,MATCH(COLUMNS($AO$1006:BO1006),$AO$1006:$BQ$1006,0))&gt;=100000), " ",IF(INDEX($AO$2:$BQ$1001,MATCH(ROWS($AH$2:AH916),$AH$2:$AH$1001,0),MATCH(COLUMNS($AO$1006:BO1006),$AO$1006:$BQ$1006,0)), HYPERLINK("#",""), HYPERLINK(CONCATENATE("#Metadata!", ADDRESS(INDEX($AJ$2:$AJ$1001,MATCH(ROWS($AH$2:AH916),$AH$2:$AH$1001,0),0), INDEX($AO$1004:$BQ$1004,1,MATCH(COLUMNS($AO$1006:BO1006),$AO$1006:$BQ$1006,0)))),"Fix")))</f>
        <v>#N/A</v>
      </c>
      <c r="AC916" s="5" t="e">
        <f ca="1">IF(OR(INDEX($AI$2:$AI$1001,MATCH(ROWS($AH$2:AH916),$AH$2:$AH$1001,0),1)&gt;=100000,INDEX($AO$1005:$BQ$1005,1,MATCH(COLUMNS($AO$1006:BP1006),$AO$1006:$BQ$1006,0))&gt;=100000), " ",IF(INDEX($AO$2:$BQ$1001,MATCH(ROWS($AH$2:AH916),$AH$2:$AH$1001,0),MATCH(COLUMNS($AO$1006:BP1006),$AO$1006:$BQ$1006,0)), HYPERLINK("#",""), HYPERLINK(CONCATENATE("#Metadata!", ADDRESS(INDEX($AJ$2:$AJ$1001,MATCH(ROWS($AH$2:AH916),$AH$2:$AH$1001,0),0), INDEX($AO$1004:$BQ$1004,1,MATCH(COLUMNS($AO$1006:BP1006),$AO$1006:$BQ$1006,0)))),"Fix")))</f>
        <v>#N/A</v>
      </c>
      <c r="AD916" s="5" t="e">
        <f ca="1">IF(OR(INDEX($AI$2:$AI$1001,MATCH(ROWS($AH$2:AH916),$AH$2:$AH$1001,0),1)&gt;=100000,INDEX($AO$1005:$BQ$1005,1,MATCH(COLUMNS($AO$1006:BQ1006),$AO$1006:$BQ$1006,0))&gt;=100000), " ",IF(INDEX($AO$2:$BQ$1001,MATCH(ROWS($AH$2:AH916),$AH$2:$AH$1001,0),MATCH(COLUMNS($AO$1006:BQ1006),$AO$1006:$BQ$1006,0)), HYPERLINK("#",""), HYPERLINK(CONCATENATE("#Metadata!", ADDRESS(INDEX($AJ$2:$AJ$1001,MATCH(ROWS($AH$2:AH916),$AH$2:$AH$1001,0),0), INDEX($AO$1004:$BQ$1004,1,MATCH(COLUMNS($AO$1006:BQ1006),$AO$1006:$BQ$1006,0)))),"Fix")))</f>
        <v>#REF!</v>
      </c>
      <c r="AH916">
        <f ca="1"/>
        <v>913</v>
      </c>
      <c r="AI916">
        <v>100916</v>
      </c>
      <c r="AJ916">
        <v>916</v>
      </c>
      <c r="AK916" t="b">
        <f t="shared" si="14"/>
        <v>1</v>
      </c>
      <c r="AL916" t="b">
        <f>COUNTBLANK(Metadata!B916:AD916)=COLUMNS(Metadata!B916:AD916)</f>
        <v>1</v>
      </c>
      <c r="AM916" t="str">
        <v/>
      </c>
      <c r="AO916" t="b">
        <f ca="1">AND(IF(Metadata!B916="",FALSE,TRUE),COUNTIF(Metadata!B:B, Metadata!B916) = 1,NOT(ISERROR(SUMPRODUCT(SEARCH(MID(Metadata!B916,ROW(INDIRECT("1:"&amp;LEN(Metadata!B916))), 1),"0123456789abcdefghijklmnopqrstuvwxyzABCDEFGHIJKLMNOPQRSTUVWXYZ.")))))</f>
        <v>0</v>
      </c>
      <c r="AP916" t="b">
        <f>IF(Metadata!C916="",FALSE,TRUE)</f>
        <v>0</v>
      </c>
      <c r="AQ916" t="b">
        <f>IF(Metadata!D916="",FALSE,TRUE)</f>
        <v>0</v>
      </c>
      <c r="AR916" t="b">
        <f ca="1">OR(AND(IF(Metadata!E916="",FALSE,TRUE),OR(EXACT(Metadata!E916,"not collected"),EXACT(Metadata!E916,"not provided"),EXACT(Metadata!E916,"restricted access"))),AND(IF(Metadata!E916="",FALSE,TRUE),AND(AND(IFERROR(INT(LEFT(Metadata!E916,4))&gt;1900,FALSE),IFERROR(INT(LEFT(Metadata!E916,4))&lt;=YEAR(NOW()),FALSE)), OR(MID(Metadata!E916,5,1)="", AND(AND(MID(Metadata!E916,5,1)="-",IFERROR(INT(MID(Metadata!E916,6,1))&gt;=0,FALSE),IFERROR(INT(MID(Metadata!E916,6,1))&lt;=1,FALSE),NOT(MID(Metadata!E916,7,1)=""),IFERROR(INT(MID(Metadata!E916,6,2))&gt;=1,FALSE),IFERROR(INT(MID(Metadata!E916,6,2))&lt;=12,FALSE)), OR(MID(Metadata!E916,8,1)="", AND(AND(MID(Metadata!E916,8,1)="-",IFERROR(INT(MID(Metadata!E916,9,1))&gt;=0,FALSE),IFERROR(INT(MID(Metadata!E916,9,1))&lt;=3,FALSE),NOT(MID(Metadata!E916,10,1)=""),IFERROR(INT(MID(Metadata!E916,9,2))&gt;=1,FALSE),IFERROR(INT(MID(Metadata!E916,9,2))&lt;=31,FALSE)), OR(MID(Metadata!E916,11,1)="", AND(AND(MID(Metadata!E916,11,1)=" ",IFERROR(INT(MID(Metadata!E916,12,1))&gt;=0,FALSE),IFERROR(INT(MID(Metadata!E916,12,1))&lt;=2,FALSE),NOT(MID(Metadata!E916,13,1)=""),IFERROR(INT(MID(Metadata!E916,12,2))&gt;=0,FALSE),IFERROR(INT(MID(Metadata!E916,12,2))&lt;=23,FALSE)), OR(MID(Metadata!E916,14,1)="", AND(AND(MID(Metadata!E916,14,1)=":",IFERROR(INT(MID(Metadata!E916,15,1))&gt;=0,FALSE),IFERROR(INT(MID(Metadata!E916,15,1))&lt;=5,FALSE),NOT(MID(Metadata!E916,16,1)=""),IFERROR(INT(MID(Metadata!E916,15,2))&gt;=0,FALSE),IFERROR(INT(MID(Metadata!E916,15,2))&lt;=59,FALSE)), OR(MID(Metadata!E916,17,1)="", AND(AND(MID(Metadata!E916,17,1)=":",IFERROR(INT(MID(Metadata!E916,18,1))&gt;=0,FALSE),IFERROR(INT(MID(Metadata!E916,18,1))&lt;=5,FALSE),NOT(MID(Metadata!E916,19,1)=""),IFERROR(INT(MID(Metadata!E916,18,2))&gt;=0,FALSE),IFERROR(INT(MID(Metadata!E916,18,2))&lt;=59,FALSE)), LEN(Metadata!E916)&lt;=19)))))))))))))</f>
        <v>0</v>
      </c>
      <c r="AS916" t="b">
        <f>IF(Metadata!F916="",FALSE,TRUE)</f>
        <v>0</v>
      </c>
      <c r="AT916" t="b">
        <f>OR(AND(IF(Metadata!G916="",FALSE,TRUE),OR(EXACT(Metadata!G916,"not collected"),EXACT(Metadata!G916,"not provided"))),AND(IF(Metadata!G916="",FALSE,TRUE),OR(EXACT(Metadata!G916,"TRUE"),EXACT(Metadata!G916,"FALSE"))))</f>
        <v>0</v>
      </c>
      <c r="AU916" t="b">
        <f>OR(AND(IF(Metadata!H916="",FALSE,TRUE),OR(EXACT(Metadata!H916,"not collected"),EXACT(Metadata!H916,"not provided"),EXACT(Metadata!H916,"restricted access"))),AND(IF(Metadata!H916="",FALSE,ISNUMBER(VALUE(Metadata!H916))),Metadata!H916&gt;=-413))</f>
        <v>0</v>
      </c>
      <c r="AV916" t="b">
        <f>AND(IF(Metadata!I916="",FALSE,TRUE),EXACT(Metadata!I916,"meters"))</f>
        <v>0</v>
      </c>
      <c r="AW916" t="b">
        <f>AND(IF(Metadata!J916="",FALSE,TRUE),EXACT(Metadata!J916,"free-living"))</f>
        <v>0</v>
      </c>
      <c r="AX916" t="b">
        <f>AND(IF(Metadata!K916="",FALSE,TRUE),OR(EXACT(Metadata!K916,"saline"),EXACT(Metadata!K916,"non-saline")))</f>
        <v>0</v>
      </c>
      <c r="AY916" t="b">
        <f>AND(IF(Metadata!L916="",FALSE,TRUE),OR(EXACT(Metadata!L916,"sub-surface (non-saline)"),EXACT(Metadata!L916,"surface (non-saline)"),EXACT(Metadata!L916,"water (non-saline)"),EXACT(Metadata!L916,"soil (non-saline)"),EXACT(Metadata!L916,"aerosol (non-saline)"),EXACT(Metadata!L916,"sediment (non-saline)"),EXACT(Metadata!L916,"surface (saline)"),EXACT(Metadata!L916,"water (saline)"),EXACT(Metadata!L916,"hypersaline (saline)"),EXACT(Metadata!L916,"aerosol (saline)"),EXACT(Metadata!L916,"sediment (saline)")))</f>
        <v>0</v>
      </c>
      <c r="AZ916" t="b">
        <f>IF(Metadata!M916="",FALSE,TRUE)</f>
        <v>0</v>
      </c>
      <c r="BA916" t="b">
        <f>IF(Metadata!N916="",FALSE,TRUE)</f>
        <v>0</v>
      </c>
      <c r="BB916" t="b">
        <f>IF(Metadata!O916="",FALSE,TRUE)</f>
        <v>0</v>
      </c>
      <c r="BC916" t="b">
        <f>AND(IF(Metadata!P916="",FALSE,TRUE),OR(EXACT(Metadata!P916,"air"),EXACT(Metadata!P916,"microbial mat/biofilm"),EXACT(Metadata!P916,"misc environment"),EXACT(Metadata!P916,"sediment"),EXACT(Metadata!P916,"soil"),EXACT(Metadata!P916,"wastewater/sludge"),EXACT(Metadata!P916,"water")))</f>
        <v>0</v>
      </c>
      <c r="BD916" t="b">
        <f>IF(Metadata!Q916="",FALSE,TRUE)</f>
        <v>0</v>
      </c>
      <c r="BE916" t="b">
        <f>IF(Metadata!R916="",FALSE,TRUE)</f>
        <v>0</v>
      </c>
      <c r="BF916" t="b">
        <f>OR(AND(IF(Metadata!S916="",FALSE,TRUE),OR(EXACT(Metadata!S916,"not collected"),EXACT(Metadata!S916,"not provided"),EXACT(Metadata!S916,"restricted access"))),AND(IF(Metadata!S916="",FALSE,ISNUMBER(VALUE(Metadata!S916))),Metadata!S916&gt;=-90,Metadata!S916&lt;=90))</f>
        <v>0</v>
      </c>
      <c r="BG916" t="b">
        <f>AND(IF(Metadata!T916="",FALSE,TRUE),EXACT(Metadata!T916,"Decimal degrees"))</f>
        <v>0</v>
      </c>
      <c r="BH916" t="b">
        <f>OR(AND(IF(Metadata!U916="",FALSE,TRUE),OR(EXACT(Metadata!U916,"not applicable"),EXACT(Metadata!U916,"not collected"))),IF(Metadata!U916="",FALSE,TRUE))</f>
        <v>0</v>
      </c>
      <c r="BI916" t="b">
        <f>OR(AND(IF(Metadata!V916="",FALSE,TRUE),OR(EXACT(Metadata!V916,"not collected"),EXACT(Metadata!V916,"not provided"),EXACT(Metadata!V916,"restricted access"))),AND(IF(Metadata!V916="",FALSE,ISNUMBER(VALUE(Metadata!V916))),Metadata!V916&gt;=-180,Metadata!V916&lt;=180))</f>
        <v>0</v>
      </c>
      <c r="BJ916" t="b">
        <f>AND(IF(Metadata!W916="",FALSE,TRUE),EXACT(Metadata!W916,"Decimal degrees"))</f>
        <v>0</v>
      </c>
      <c r="BK916" t="b">
        <f>IF(Metadata!X916="",FALSE,TRUE)</f>
        <v>0</v>
      </c>
      <c r="BL916" t="b">
        <f>OR(AND(IF(Metadata!Y916="",FALSE,TRUE),OR(EXACT(Metadata!Y916,"not collected"),EXACT(Metadata!Y916,"not provided"),EXACT(Metadata!Y916,"restricted access"))),AND(IF(Metadata!Y916="",FALSE,TRUE),OR(EXACT(Metadata!Y916,"TRUE"),EXACT(Metadata!Y916,"FALSE"))))</f>
        <v>0</v>
      </c>
      <c r="BM916" t="b">
        <f>OR(AND(IF(Metadata!Z916="",FALSE,TRUE),EXACT(Metadata!Z916,"not applicable")),AND(IF(Metadata!Z916="",FALSE,TRUE),OR(EXACT(Metadata!Z916,"beer"),EXACT(Metadata!Z916,"cheese"),EXACT(Metadata!Z916,"fresh water"),EXACT(Metadata!Z916,"marine sediment"),EXACT(Metadata!Z916,"sea water"),EXACT(Metadata!Z916,"sediment"),EXACT(Metadata!Z916,"soil"),EXACT(Metadata!Z916,"waste water"))))</f>
        <v>0</v>
      </c>
      <c r="BN916" t="b">
        <f>AND(IF(Metadata!AA916="",FALSE,TRUE),EXACT(Metadata!AA916,"metagenome"))</f>
        <v>0</v>
      </c>
      <c r="BO916" t="b">
        <f>AND(IF(Metadata!AB916="",FALSE,TRUE),EXACT(Metadata!AB916,"256318"))</f>
        <v>0</v>
      </c>
      <c r="BP916" t="b">
        <f>IF(Metadata!AC916="",FALSE,TRUE)</f>
        <v>0</v>
      </c>
      <c r="BQ916" t="b">
        <f>IF(Metadata!AD916="",FALSE,TRUE)</f>
        <v>0</v>
      </c>
    </row>
    <row r="917" spans="1:69" x14ac:dyDescent="0.2">
      <c r="A917" s="4" t="e">
        <f ca="1">IF(B917=" "," ",HYPERLINK(CONCATENATE("#metadata!",ADDRESS(INDEX($AJ$2:$AJ$1001,MATCH(ROWS($AH$2:AH917),$AH$2:$AH$1001,0),0),2)),INDEX($AM$2:$AM$1001,MATCH(ROWS($AH$2:AH917),$AH$2:$AH$1001,0),0)))</f>
        <v>#N/A</v>
      </c>
      <c r="B917" s="5" t="e">
        <f ca="1">IF(OR(INDEX($AI$2:$AI$1001,MATCH(ROWS($AH$2:AH917),$AH$2:$AH$1001,0),1)&gt;=100000,INDEX($AO$1005:$BQ$1005,1,MATCH(COLUMNS($AO$1006:AO1006),$AO$1006:$BQ$1006,0))&gt;=100000), " ",IF(INDEX($AO$2:$BQ$1001,MATCH(ROWS($AH$2:AH917),$AH$2:$AH$1001,0),MATCH(COLUMNS($AO$1006:AO1006),$AO$1006:$BQ$1006,0)), HYPERLINK("#",""), HYPERLINK(CONCATENATE("#Metadata!", ADDRESS(INDEX($AJ$2:$AJ$1001,MATCH(ROWS($AH$2:AH917),$AH$2:$AH$1001,0),0), INDEX($AO$1004:$BQ$1004,1,MATCH(COLUMNS($AO$1006:AO1006),$AO$1006:$BQ$1006,0)))),"Fix")))</f>
        <v>#N/A</v>
      </c>
      <c r="C917" s="5" t="e">
        <f ca="1">IF(OR(INDEX($AI$2:$AI$1001,MATCH(ROWS($AH$2:AH917),$AH$2:$AH$1001,0),1)&gt;=100000,INDEX($AO$1005:$BQ$1005,1,MATCH(COLUMNS($AO$1006:AP1006),$AO$1006:$BQ$1006,0))&gt;=100000), " ",IF(INDEX($AO$2:$BQ$1001,MATCH(ROWS($AH$2:AH917),$AH$2:$AH$1001,0),MATCH(COLUMNS($AO$1006:AP1006),$AO$1006:$BQ$1006,0)), HYPERLINK("#",""), HYPERLINK(CONCATENATE("#Metadata!", ADDRESS(INDEX($AJ$2:$AJ$1001,MATCH(ROWS($AH$2:AH917),$AH$2:$AH$1001,0),0), INDEX($AO$1004:$BQ$1004,1,MATCH(COLUMNS($AO$1006:AP1006),$AO$1006:$BQ$1006,0)))),"Fix")))</f>
        <v>#N/A</v>
      </c>
      <c r="D917" s="5" t="e">
        <f ca="1">IF(OR(INDEX($AI$2:$AI$1001,MATCH(ROWS($AH$2:AH917),$AH$2:$AH$1001,0),1)&gt;=100000,INDEX($AO$1005:$BQ$1005,1,MATCH(COLUMNS($AO$1006:AQ1006),$AO$1006:$BQ$1006,0))&gt;=100000), " ",IF(INDEX($AO$2:$BQ$1001,MATCH(ROWS($AH$2:AH917),$AH$2:$AH$1001,0),MATCH(COLUMNS($AO$1006:AQ1006),$AO$1006:$BQ$1006,0)), HYPERLINK("#",""), HYPERLINK(CONCATENATE("#Metadata!", ADDRESS(INDEX($AJ$2:$AJ$1001,MATCH(ROWS($AH$2:AH917),$AH$2:$AH$1001,0),0), INDEX($AO$1004:$BQ$1004,1,MATCH(COLUMNS($AO$1006:AQ1006),$AO$1006:$BQ$1006,0)))),"Fix")))</f>
        <v>#N/A</v>
      </c>
      <c r="E917" s="5" t="e">
        <f ca="1">IF(OR(INDEX($AI$2:$AI$1001,MATCH(ROWS($AH$2:AH917),$AH$2:$AH$1001,0),1)&gt;=100000,INDEX($AO$1005:$BQ$1005,1,MATCH(COLUMNS($AO$1006:AR1006),$AO$1006:$BQ$1006,0))&gt;=100000), " ",IF(INDEX($AO$2:$BQ$1001,MATCH(ROWS($AH$2:AH917),$AH$2:$AH$1001,0),MATCH(COLUMNS($AO$1006:AR1006),$AO$1006:$BQ$1006,0)), HYPERLINK("#",""), HYPERLINK(CONCATENATE("#Metadata!", ADDRESS(INDEX($AJ$2:$AJ$1001,MATCH(ROWS($AH$2:AH917),$AH$2:$AH$1001,0),0), INDEX($AO$1004:$BQ$1004,1,MATCH(COLUMNS($AO$1006:AR1006),$AO$1006:$BQ$1006,0)))),"Fix")))</f>
        <v>#N/A</v>
      </c>
      <c r="F917" s="5" t="e">
        <f ca="1">IF(OR(INDEX($AI$2:$AI$1001,MATCH(ROWS($AH$2:AH917),$AH$2:$AH$1001,0),1)&gt;=100000,INDEX($AO$1005:$BQ$1005,1,MATCH(COLUMNS($AO$1006:AS1006),$AO$1006:$BQ$1006,0))&gt;=100000), " ",IF(INDEX($AO$2:$BQ$1001,MATCH(ROWS($AH$2:AH917),$AH$2:$AH$1001,0),MATCH(COLUMNS($AO$1006:AS1006),$AO$1006:$BQ$1006,0)), HYPERLINK("#",""), HYPERLINK(CONCATENATE("#Metadata!", ADDRESS(INDEX($AJ$2:$AJ$1001,MATCH(ROWS($AH$2:AH917),$AH$2:$AH$1001,0),0), INDEX($AO$1004:$BQ$1004,1,MATCH(COLUMNS($AO$1006:AS1006),$AO$1006:$BQ$1006,0)))),"Fix")))</f>
        <v>#N/A</v>
      </c>
      <c r="G917" s="5" t="e">
        <f ca="1">IF(OR(INDEX($AI$2:$AI$1001,MATCH(ROWS($AH$2:AH917),$AH$2:$AH$1001,0),1)&gt;=100000,INDEX($AO$1005:$BQ$1005,1,MATCH(COLUMNS($AO$1006:AT1006),$AO$1006:$BQ$1006,0))&gt;=100000), " ",IF(INDEX($AO$2:$BQ$1001,MATCH(ROWS($AH$2:AH917),$AH$2:$AH$1001,0),MATCH(COLUMNS($AO$1006:AT1006),$AO$1006:$BQ$1006,0)), HYPERLINK("#",""), HYPERLINK(CONCATENATE("#Metadata!", ADDRESS(INDEX($AJ$2:$AJ$1001,MATCH(ROWS($AH$2:AH917),$AH$2:$AH$1001,0),0), INDEX($AO$1004:$BQ$1004,1,MATCH(COLUMNS($AO$1006:AT1006),$AO$1006:$BQ$1006,0)))),"Fix")))</f>
        <v>#N/A</v>
      </c>
      <c r="H917" s="5" t="e">
        <f ca="1">IF(OR(INDEX($AI$2:$AI$1001,MATCH(ROWS($AH$2:AH917),$AH$2:$AH$1001,0),1)&gt;=100000,INDEX($AO$1005:$BQ$1005,1,MATCH(COLUMNS($AO$1006:AU1006),$AO$1006:$BQ$1006,0))&gt;=100000), " ",IF(INDEX($AO$2:$BQ$1001,MATCH(ROWS($AH$2:AH917),$AH$2:$AH$1001,0),MATCH(COLUMNS($AO$1006:AU1006),$AO$1006:$BQ$1006,0)), HYPERLINK("#",""), HYPERLINK(CONCATENATE("#Metadata!", ADDRESS(INDEX($AJ$2:$AJ$1001,MATCH(ROWS($AH$2:AH917),$AH$2:$AH$1001,0),0), INDEX($AO$1004:$BQ$1004,1,MATCH(COLUMNS($AO$1006:AU1006),$AO$1006:$BQ$1006,0)))),"Fix")))</f>
        <v>#N/A</v>
      </c>
      <c r="I917" s="5" t="e">
        <f ca="1">IF(OR(INDEX($AI$2:$AI$1001,MATCH(ROWS($AH$2:AH917),$AH$2:$AH$1001,0),1)&gt;=100000,INDEX($AO$1005:$BQ$1005,1,MATCH(COLUMNS($AO$1006:AV1006),$AO$1006:$BQ$1006,0))&gt;=100000), " ",IF(INDEX($AO$2:$BQ$1001,MATCH(ROWS($AH$2:AH917),$AH$2:$AH$1001,0),MATCH(COLUMNS($AO$1006:AV1006),$AO$1006:$BQ$1006,0)), HYPERLINK("#",""), HYPERLINK(CONCATENATE("#Metadata!", ADDRESS(INDEX($AJ$2:$AJ$1001,MATCH(ROWS($AH$2:AH917),$AH$2:$AH$1001,0),0), INDEX($AO$1004:$BQ$1004,1,MATCH(COLUMNS($AO$1006:AV1006),$AO$1006:$BQ$1006,0)))),"Fix")))</f>
        <v>#N/A</v>
      </c>
      <c r="J917" s="5" t="e">
        <f ca="1">IF(OR(INDEX($AI$2:$AI$1001,MATCH(ROWS($AH$2:AH917),$AH$2:$AH$1001,0),1)&gt;=100000,INDEX($AO$1005:$BQ$1005,1,MATCH(COLUMNS($AO$1006:AW1006),$AO$1006:$BQ$1006,0))&gt;=100000), " ",IF(INDEX($AO$2:$BQ$1001,MATCH(ROWS($AH$2:AH917),$AH$2:$AH$1001,0),MATCH(COLUMNS($AO$1006:AW1006),$AO$1006:$BQ$1006,0)), HYPERLINK("#",""), HYPERLINK(CONCATENATE("#Metadata!", ADDRESS(INDEX($AJ$2:$AJ$1001,MATCH(ROWS($AH$2:AH917),$AH$2:$AH$1001,0),0), INDEX($AO$1004:$BQ$1004,1,MATCH(COLUMNS($AO$1006:AW1006),$AO$1006:$BQ$1006,0)))),"Fix")))</f>
        <v>#N/A</v>
      </c>
      <c r="K917" s="5" t="e">
        <f ca="1">IF(OR(INDEX($AI$2:$AI$1001,MATCH(ROWS($AH$2:AH917),$AH$2:$AH$1001,0),1)&gt;=100000,INDEX($AO$1005:$BQ$1005,1,MATCH(COLUMNS($AO$1006:AX1006),$AO$1006:$BQ$1006,0))&gt;=100000), " ",IF(INDEX($AO$2:$BQ$1001,MATCH(ROWS($AH$2:AH917),$AH$2:$AH$1001,0),MATCH(COLUMNS($AO$1006:AX1006),$AO$1006:$BQ$1006,0)), HYPERLINK("#",""), HYPERLINK(CONCATENATE("#Metadata!", ADDRESS(INDEX($AJ$2:$AJ$1001,MATCH(ROWS($AH$2:AH917),$AH$2:$AH$1001,0),0), INDEX($AO$1004:$BQ$1004,1,MATCH(COLUMNS($AO$1006:AX1006),$AO$1006:$BQ$1006,0)))),"Fix")))</f>
        <v>#N/A</v>
      </c>
      <c r="L917" s="5" t="e">
        <f ca="1">IF(OR(INDEX($AI$2:$AI$1001,MATCH(ROWS($AH$2:AH917),$AH$2:$AH$1001,0),1)&gt;=100000,INDEX($AO$1005:$BQ$1005,1,MATCH(COLUMNS($AO$1006:AY1006),$AO$1006:$BQ$1006,0))&gt;=100000), " ",IF(INDEX($AO$2:$BQ$1001,MATCH(ROWS($AH$2:AH917),$AH$2:$AH$1001,0),MATCH(COLUMNS($AO$1006:AY1006),$AO$1006:$BQ$1006,0)), HYPERLINK("#",""), HYPERLINK(CONCATENATE("#Metadata!", ADDRESS(INDEX($AJ$2:$AJ$1001,MATCH(ROWS($AH$2:AH917),$AH$2:$AH$1001,0),0), INDEX($AO$1004:$BQ$1004,1,MATCH(COLUMNS($AO$1006:AY1006),$AO$1006:$BQ$1006,0)))),"Fix")))</f>
        <v>#N/A</v>
      </c>
      <c r="M917" s="5" t="e">
        <f ca="1">IF(OR(INDEX($AI$2:$AI$1001,MATCH(ROWS($AH$2:AH917),$AH$2:$AH$1001,0),1)&gt;=100000,INDEX($AO$1005:$BQ$1005,1,MATCH(COLUMNS($AO$1006:AZ1006),$AO$1006:$BQ$1006,0))&gt;=100000), " ",IF(INDEX($AO$2:$BQ$1001,MATCH(ROWS($AH$2:AH917),$AH$2:$AH$1001,0),MATCH(COLUMNS($AO$1006:AZ1006),$AO$1006:$BQ$1006,0)), HYPERLINK("#",""), HYPERLINK(CONCATENATE("#Metadata!", ADDRESS(INDEX($AJ$2:$AJ$1001,MATCH(ROWS($AH$2:AH917),$AH$2:$AH$1001,0),0), INDEX($AO$1004:$BQ$1004,1,MATCH(COLUMNS($AO$1006:AZ1006),$AO$1006:$BQ$1006,0)))),"Fix")))</f>
        <v>#N/A</v>
      </c>
      <c r="N917" s="5" t="e">
        <f ca="1">IF(OR(INDEX($AI$2:$AI$1001,MATCH(ROWS($AH$2:AH917),$AH$2:$AH$1001,0),1)&gt;=100000,INDEX($AO$1005:$BQ$1005,1,MATCH(COLUMNS($AO$1006:BA1006),$AO$1006:$BQ$1006,0))&gt;=100000), " ",IF(INDEX($AO$2:$BQ$1001,MATCH(ROWS($AH$2:AH917),$AH$2:$AH$1001,0),MATCH(COLUMNS($AO$1006:BA1006),$AO$1006:$BQ$1006,0)), HYPERLINK("#",""), HYPERLINK(CONCATENATE("#Metadata!", ADDRESS(INDEX($AJ$2:$AJ$1001,MATCH(ROWS($AH$2:AH917),$AH$2:$AH$1001,0),0), INDEX($AO$1004:$BQ$1004,1,MATCH(COLUMNS($AO$1006:BA1006),$AO$1006:$BQ$1006,0)))),"Fix")))</f>
        <v>#N/A</v>
      </c>
      <c r="O917" s="5" t="e">
        <f ca="1">IF(OR(INDEX($AI$2:$AI$1001,MATCH(ROWS($AH$2:AH917),$AH$2:$AH$1001,0),1)&gt;=100000,INDEX($AO$1005:$BQ$1005,1,MATCH(COLUMNS($AO$1006:BB1006),$AO$1006:$BQ$1006,0))&gt;=100000), " ",IF(INDEX($AO$2:$BQ$1001,MATCH(ROWS($AH$2:AH917),$AH$2:$AH$1001,0),MATCH(COLUMNS($AO$1006:BB1006),$AO$1006:$BQ$1006,0)), HYPERLINK("#",""), HYPERLINK(CONCATENATE("#Metadata!", ADDRESS(INDEX($AJ$2:$AJ$1001,MATCH(ROWS($AH$2:AH917),$AH$2:$AH$1001,0),0), INDEX($AO$1004:$BQ$1004,1,MATCH(COLUMNS($AO$1006:BB1006),$AO$1006:$BQ$1006,0)))),"Fix")))</f>
        <v>#N/A</v>
      </c>
      <c r="P917" s="5" t="e">
        <f ca="1">IF(OR(INDEX($AI$2:$AI$1001,MATCH(ROWS($AH$2:AH917),$AH$2:$AH$1001,0),1)&gt;=100000,INDEX($AO$1005:$BQ$1005,1,MATCH(COLUMNS($AO$1006:BC1006),$AO$1006:$BQ$1006,0))&gt;=100000), " ",IF(INDEX($AO$2:$BQ$1001,MATCH(ROWS($AH$2:AH917),$AH$2:$AH$1001,0),MATCH(COLUMNS($AO$1006:BC1006),$AO$1006:$BQ$1006,0)), HYPERLINK("#",""), HYPERLINK(CONCATENATE("#Metadata!", ADDRESS(INDEX($AJ$2:$AJ$1001,MATCH(ROWS($AH$2:AH917),$AH$2:$AH$1001,0),0), INDEX($AO$1004:$BQ$1004,1,MATCH(COLUMNS($AO$1006:BC1006),$AO$1006:$BQ$1006,0)))),"Fix")))</f>
        <v>#N/A</v>
      </c>
      <c r="Q917" s="5" t="e">
        <f ca="1">IF(OR(INDEX($AI$2:$AI$1001,MATCH(ROWS($AH$2:AH917),$AH$2:$AH$1001,0),1)&gt;=100000,INDEX($AO$1005:$BQ$1005,1,MATCH(COLUMNS($AO$1006:BD1006),$AO$1006:$BQ$1006,0))&gt;=100000), " ",IF(INDEX($AO$2:$BQ$1001,MATCH(ROWS($AH$2:AH917),$AH$2:$AH$1001,0),MATCH(COLUMNS($AO$1006:BD1006),$AO$1006:$BQ$1006,0)), HYPERLINK("#",""), HYPERLINK(CONCATENATE("#Metadata!", ADDRESS(INDEX($AJ$2:$AJ$1001,MATCH(ROWS($AH$2:AH917),$AH$2:$AH$1001,0),0), INDEX($AO$1004:$BQ$1004,1,MATCH(COLUMNS($AO$1006:BD1006),$AO$1006:$BQ$1006,0)))),"Fix")))</f>
        <v>#N/A</v>
      </c>
      <c r="R917" s="5" t="e">
        <f ca="1">IF(OR(INDEX($AI$2:$AI$1001,MATCH(ROWS($AH$2:AH917),$AH$2:$AH$1001,0),1)&gt;=100000,INDEX($AO$1005:$BQ$1005,1,MATCH(COLUMNS($AO$1006:BE1006),$AO$1006:$BQ$1006,0))&gt;=100000), " ",IF(INDEX($AO$2:$BQ$1001,MATCH(ROWS($AH$2:AH917),$AH$2:$AH$1001,0),MATCH(COLUMNS($AO$1006:BE1006),$AO$1006:$BQ$1006,0)), HYPERLINK("#",""), HYPERLINK(CONCATENATE("#Metadata!", ADDRESS(INDEX($AJ$2:$AJ$1001,MATCH(ROWS($AH$2:AH917),$AH$2:$AH$1001,0),0), INDEX($AO$1004:$BQ$1004,1,MATCH(COLUMNS($AO$1006:BE1006),$AO$1006:$BQ$1006,0)))),"Fix")))</f>
        <v>#N/A</v>
      </c>
      <c r="S917" s="5" t="e">
        <f ca="1">IF(OR(INDEX($AI$2:$AI$1001,MATCH(ROWS($AH$2:AH917),$AH$2:$AH$1001,0),1)&gt;=100000,INDEX($AO$1005:$BQ$1005,1,MATCH(COLUMNS($AO$1006:BF1006),$AO$1006:$BQ$1006,0))&gt;=100000), " ",IF(INDEX($AO$2:$BQ$1001,MATCH(ROWS($AH$2:AH917),$AH$2:$AH$1001,0),MATCH(COLUMNS($AO$1006:BF1006),$AO$1006:$BQ$1006,0)), HYPERLINK("#",""), HYPERLINK(CONCATENATE("#Metadata!", ADDRESS(INDEX($AJ$2:$AJ$1001,MATCH(ROWS($AH$2:AH917),$AH$2:$AH$1001,0),0), INDEX($AO$1004:$BQ$1004,1,MATCH(COLUMNS($AO$1006:BF1006),$AO$1006:$BQ$1006,0)))),"Fix")))</f>
        <v>#N/A</v>
      </c>
      <c r="T917" s="5" t="e">
        <f ca="1">IF(OR(INDEX($AI$2:$AI$1001,MATCH(ROWS($AH$2:AH917),$AH$2:$AH$1001,0),1)&gt;=100000,INDEX($AO$1005:$BQ$1005,1,MATCH(COLUMNS($AO$1006:BG1006),$AO$1006:$BQ$1006,0))&gt;=100000), " ",IF(INDEX($AO$2:$BQ$1001,MATCH(ROWS($AH$2:AH917),$AH$2:$AH$1001,0),MATCH(COLUMNS($AO$1006:BG1006),$AO$1006:$BQ$1006,0)), HYPERLINK("#",""), HYPERLINK(CONCATENATE("#Metadata!", ADDRESS(INDEX($AJ$2:$AJ$1001,MATCH(ROWS($AH$2:AH917),$AH$2:$AH$1001,0),0), INDEX($AO$1004:$BQ$1004,1,MATCH(COLUMNS($AO$1006:BG1006),$AO$1006:$BQ$1006,0)))),"Fix")))</f>
        <v>#N/A</v>
      </c>
      <c r="U917" s="5" t="e">
        <f ca="1">IF(OR(INDEX($AI$2:$AI$1001,MATCH(ROWS($AH$2:AH917),$AH$2:$AH$1001,0),1)&gt;=100000,INDEX($AO$1005:$BQ$1005,1,MATCH(COLUMNS($AO$1006:BH1006),$AO$1006:$BQ$1006,0))&gt;=100000), " ",IF(INDEX($AO$2:$BQ$1001,MATCH(ROWS($AH$2:AH917),$AH$2:$AH$1001,0),MATCH(COLUMNS($AO$1006:BH1006),$AO$1006:$BQ$1006,0)), HYPERLINK("#",""), HYPERLINK(CONCATENATE("#Metadata!", ADDRESS(INDEX($AJ$2:$AJ$1001,MATCH(ROWS($AH$2:AH917),$AH$2:$AH$1001,0),0), INDEX($AO$1004:$BQ$1004,1,MATCH(COLUMNS($AO$1006:BH1006),$AO$1006:$BQ$1006,0)))),"Fix")))</f>
        <v>#N/A</v>
      </c>
      <c r="V917" s="5" t="e">
        <f ca="1">IF(OR(INDEX($AI$2:$AI$1001,MATCH(ROWS($AH$2:AH917),$AH$2:$AH$1001,0),1)&gt;=100000,INDEX($AO$1005:$BQ$1005,1,MATCH(COLUMNS($AO$1006:BI1006),$AO$1006:$BQ$1006,0))&gt;=100000), " ",IF(INDEX($AO$2:$BQ$1001,MATCH(ROWS($AH$2:AH917),$AH$2:$AH$1001,0),MATCH(COLUMNS($AO$1006:BI1006),$AO$1006:$BQ$1006,0)), HYPERLINK("#",""), HYPERLINK(CONCATENATE("#Metadata!", ADDRESS(INDEX($AJ$2:$AJ$1001,MATCH(ROWS($AH$2:AH917),$AH$2:$AH$1001,0),0), INDEX($AO$1004:$BQ$1004,1,MATCH(COLUMNS($AO$1006:BI1006),$AO$1006:$BQ$1006,0)))),"Fix")))</f>
        <v>#N/A</v>
      </c>
      <c r="W917" s="5" t="e">
        <f ca="1">IF(OR(INDEX($AI$2:$AI$1001,MATCH(ROWS($AH$2:AH917),$AH$2:$AH$1001,0),1)&gt;=100000,INDEX($AO$1005:$BQ$1005,1,MATCH(COLUMNS($AO$1006:BJ1006),$AO$1006:$BQ$1006,0))&gt;=100000), " ",IF(INDEX($AO$2:$BQ$1001,MATCH(ROWS($AH$2:AH917),$AH$2:$AH$1001,0),MATCH(COLUMNS($AO$1006:BJ1006),$AO$1006:$BQ$1006,0)), HYPERLINK("#",""), HYPERLINK(CONCATENATE("#Metadata!", ADDRESS(INDEX($AJ$2:$AJ$1001,MATCH(ROWS($AH$2:AH917),$AH$2:$AH$1001,0),0), INDEX($AO$1004:$BQ$1004,1,MATCH(COLUMNS($AO$1006:BJ1006),$AO$1006:$BQ$1006,0)))),"Fix")))</f>
        <v>#N/A</v>
      </c>
      <c r="X917" s="5" t="e">
        <f ca="1">IF(OR(INDEX($AI$2:$AI$1001,MATCH(ROWS($AH$2:AH917),$AH$2:$AH$1001,0),1)&gt;=100000,INDEX($AO$1005:$BQ$1005,1,MATCH(COLUMNS($AO$1006:BK1006),$AO$1006:$BQ$1006,0))&gt;=100000), " ",IF(INDEX($AO$2:$BQ$1001,MATCH(ROWS($AH$2:AH917),$AH$2:$AH$1001,0),MATCH(COLUMNS($AO$1006:BK1006),$AO$1006:$BQ$1006,0)), HYPERLINK("#",""), HYPERLINK(CONCATENATE("#Metadata!", ADDRESS(INDEX($AJ$2:$AJ$1001,MATCH(ROWS($AH$2:AH917),$AH$2:$AH$1001,0),0), INDEX($AO$1004:$BQ$1004,1,MATCH(COLUMNS($AO$1006:BK1006),$AO$1006:$BQ$1006,0)))),"Fix")))</f>
        <v>#N/A</v>
      </c>
      <c r="Y917" s="5" t="e">
        <f ca="1">IF(OR(INDEX($AI$2:$AI$1001,MATCH(ROWS($AH$2:AH917),$AH$2:$AH$1001,0),1)&gt;=100000,INDEX($AO$1005:$BQ$1005,1,MATCH(COLUMNS($AO$1006:BL1006),$AO$1006:$BQ$1006,0))&gt;=100000), " ",IF(INDEX($AO$2:$BQ$1001,MATCH(ROWS($AH$2:AH917),$AH$2:$AH$1001,0),MATCH(COLUMNS($AO$1006:BL1006),$AO$1006:$BQ$1006,0)), HYPERLINK("#",""), HYPERLINK(CONCATENATE("#Metadata!", ADDRESS(INDEX($AJ$2:$AJ$1001,MATCH(ROWS($AH$2:AH917),$AH$2:$AH$1001,0),0), INDEX($AO$1004:$BQ$1004,1,MATCH(COLUMNS($AO$1006:BL1006),$AO$1006:$BQ$1006,0)))),"Fix")))</f>
        <v>#N/A</v>
      </c>
      <c r="Z917" s="5" t="e">
        <f ca="1">IF(OR(INDEX($AI$2:$AI$1001,MATCH(ROWS($AH$2:AH917),$AH$2:$AH$1001,0),1)&gt;=100000,INDEX($AO$1005:$BQ$1005,1,MATCH(COLUMNS($AO$1006:BM1006),$AO$1006:$BQ$1006,0))&gt;=100000), " ",IF(INDEX($AO$2:$BQ$1001,MATCH(ROWS($AH$2:AH917),$AH$2:$AH$1001,0),MATCH(COLUMNS($AO$1006:BM1006),$AO$1006:$BQ$1006,0)), HYPERLINK("#",""), HYPERLINK(CONCATENATE("#Metadata!", ADDRESS(INDEX($AJ$2:$AJ$1001,MATCH(ROWS($AH$2:AH917),$AH$2:$AH$1001,0),0), INDEX($AO$1004:$BQ$1004,1,MATCH(COLUMNS($AO$1006:BM1006),$AO$1006:$BQ$1006,0)))),"Fix")))</f>
        <v>#N/A</v>
      </c>
      <c r="AA917" s="5" t="e">
        <f ca="1">IF(OR(INDEX($AI$2:$AI$1001,MATCH(ROWS($AH$2:AH917),$AH$2:$AH$1001,0),1)&gt;=100000,INDEX($AO$1005:$BQ$1005,1,MATCH(COLUMNS($AO$1006:BN1006),$AO$1006:$BQ$1006,0))&gt;=100000), " ",IF(INDEX($AO$2:$BQ$1001,MATCH(ROWS($AH$2:AH917),$AH$2:$AH$1001,0),MATCH(COLUMNS($AO$1006:BN1006),$AO$1006:$BQ$1006,0)), HYPERLINK("#",""), HYPERLINK(CONCATENATE("#Metadata!", ADDRESS(INDEX($AJ$2:$AJ$1001,MATCH(ROWS($AH$2:AH917),$AH$2:$AH$1001,0),0), INDEX($AO$1004:$BQ$1004,1,MATCH(COLUMNS($AO$1006:BN1006),$AO$1006:$BQ$1006,0)))),"Fix")))</f>
        <v>#N/A</v>
      </c>
      <c r="AB917" s="5" t="e">
        <f ca="1">IF(OR(INDEX($AI$2:$AI$1001,MATCH(ROWS($AH$2:AH917),$AH$2:$AH$1001,0),1)&gt;=100000,INDEX($AO$1005:$BQ$1005,1,MATCH(COLUMNS($AO$1006:BO1006),$AO$1006:$BQ$1006,0))&gt;=100000), " ",IF(INDEX($AO$2:$BQ$1001,MATCH(ROWS($AH$2:AH917),$AH$2:$AH$1001,0),MATCH(COLUMNS($AO$1006:BO1006),$AO$1006:$BQ$1006,0)), HYPERLINK("#",""), HYPERLINK(CONCATENATE("#Metadata!", ADDRESS(INDEX($AJ$2:$AJ$1001,MATCH(ROWS($AH$2:AH917),$AH$2:$AH$1001,0),0), INDEX($AO$1004:$BQ$1004,1,MATCH(COLUMNS($AO$1006:BO1006),$AO$1006:$BQ$1006,0)))),"Fix")))</f>
        <v>#N/A</v>
      </c>
      <c r="AC917" s="5" t="e">
        <f ca="1">IF(OR(INDEX($AI$2:$AI$1001,MATCH(ROWS($AH$2:AH917),$AH$2:$AH$1001,0),1)&gt;=100000,INDEX($AO$1005:$BQ$1005,1,MATCH(COLUMNS($AO$1006:BP1006),$AO$1006:$BQ$1006,0))&gt;=100000), " ",IF(INDEX($AO$2:$BQ$1001,MATCH(ROWS($AH$2:AH917),$AH$2:$AH$1001,0),MATCH(COLUMNS($AO$1006:BP1006),$AO$1006:$BQ$1006,0)), HYPERLINK("#",""), HYPERLINK(CONCATENATE("#Metadata!", ADDRESS(INDEX($AJ$2:$AJ$1001,MATCH(ROWS($AH$2:AH917),$AH$2:$AH$1001,0),0), INDEX($AO$1004:$BQ$1004,1,MATCH(COLUMNS($AO$1006:BP1006),$AO$1006:$BQ$1006,0)))),"Fix")))</f>
        <v>#N/A</v>
      </c>
      <c r="AD917" s="5" t="e">
        <f ca="1">IF(OR(INDEX($AI$2:$AI$1001,MATCH(ROWS($AH$2:AH917),$AH$2:$AH$1001,0),1)&gt;=100000,INDEX($AO$1005:$BQ$1005,1,MATCH(COLUMNS($AO$1006:BQ1006),$AO$1006:$BQ$1006,0))&gt;=100000), " ",IF(INDEX($AO$2:$BQ$1001,MATCH(ROWS($AH$2:AH917),$AH$2:$AH$1001,0),MATCH(COLUMNS($AO$1006:BQ1006),$AO$1006:$BQ$1006,0)), HYPERLINK("#",""), HYPERLINK(CONCATENATE("#Metadata!", ADDRESS(INDEX($AJ$2:$AJ$1001,MATCH(ROWS($AH$2:AH917),$AH$2:$AH$1001,0),0), INDEX($AO$1004:$BQ$1004,1,MATCH(COLUMNS($AO$1006:BQ1006),$AO$1006:$BQ$1006,0)))),"Fix")))</f>
        <v>#REF!</v>
      </c>
      <c r="AH917">
        <f ca="1"/>
        <v>914</v>
      </c>
      <c r="AI917">
        <v>100917</v>
      </c>
      <c r="AJ917">
        <v>917</v>
      </c>
      <c r="AK917" t="b">
        <f t="shared" si="14"/>
        <v>1</v>
      </c>
      <c r="AL917" t="b">
        <f>COUNTBLANK(Metadata!B917:AD917)=COLUMNS(Metadata!B917:AD917)</f>
        <v>1</v>
      </c>
      <c r="AM917" t="str">
        <v/>
      </c>
      <c r="AO917" t="b">
        <f ca="1">AND(IF(Metadata!B917="",FALSE,TRUE),COUNTIF(Metadata!B:B, Metadata!B917) = 1,NOT(ISERROR(SUMPRODUCT(SEARCH(MID(Metadata!B917,ROW(INDIRECT("1:"&amp;LEN(Metadata!B917))), 1),"0123456789abcdefghijklmnopqrstuvwxyzABCDEFGHIJKLMNOPQRSTUVWXYZ.")))))</f>
        <v>0</v>
      </c>
      <c r="AP917" t="b">
        <f>IF(Metadata!C917="",FALSE,TRUE)</f>
        <v>0</v>
      </c>
      <c r="AQ917" t="b">
        <f>IF(Metadata!D917="",FALSE,TRUE)</f>
        <v>0</v>
      </c>
      <c r="AR917" t="b">
        <f ca="1">OR(AND(IF(Metadata!E917="",FALSE,TRUE),OR(EXACT(Metadata!E917,"not collected"),EXACT(Metadata!E917,"not provided"),EXACT(Metadata!E917,"restricted access"))),AND(IF(Metadata!E917="",FALSE,TRUE),AND(AND(IFERROR(INT(LEFT(Metadata!E917,4))&gt;1900,FALSE),IFERROR(INT(LEFT(Metadata!E917,4))&lt;=YEAR(NOW()),FALSE)), OR(MID(Metadata!E917,5,1)="", AND(AND(MID(Metadata!E917,5,1)="-",IFERROR(INT(MID(Metadata!E917,6,1))&gt;=0,FALSE),IFERROR(INT(MID(Metadata!E917,6,1))&lt;=1,FALSE),NOT(MID(Metadata!E917,7,1)=""),IFERROR(INT(MID(Metadata!E917,6,2))&gt;=1,FALSE),IFERROR(INT(MID(Metadata!E917,6,2))&lt;=12,FALSE)), OR(MID(Metadata!E917,8,1)="", AND(AND(MID(Metadata!E917,8,1)="-",IFERROR(INT(MID(Metadata!E917,9,1))&gt;=0,FALSE),IFERROR(INT(MID(Metadata!E917,9,1))&lt;=3,FALSE),NOT(MID(Metadata!E917,10,1)=""),IFERROR(INT(MID(Metadata!E917,9,2))&gt;=1,FALSE),IFERROR(INT(MID(Metadata!E917,9,2))&lt;=31,FALSE)), OR(MID(Metadata!E917,11,1)="", AND(AND(MID(Metadata!E917,11,1)=" ",IFERROR(INT(MID(Metadata!E917,12,1))&gt;=0,FALSE),IFERROR(INT(MID(Metadata!E917,12,1))&lt;=2,FALSE),NOT(MID(Metadata!E917,13,1)=""),IFERROR(INT(MID(Metadata!E917,12,2))&gt;=0,FALSE),IFERROR(INT(MID(Metadata!E917,12,2))&lt;=23,FALSE)), OR(MID(Metadata!E917,14,1)="", AND(AND(MID(Metadata!E917,14,1)=":",IFERROR(INT(MID(Metadata!E917,15,1))&gt;=0,FALSE),IFERROR(INT(MID(Metadata!E917,15,1))&lt;=5,FALSE),NOT(MID(Metadata!E917,16,1)=""),IFERROR(INT(MID(Metadata!E917,15,2))&gt;=0,FALSE),IFERROR(INT(MID(Metadata!E917,15,2))&lt;=59,FALSE)), OR(MID(Metadata!E917,17,1)="", AND(AND(MID(Metadata!E917,17,1)=":",IFERROR(INT(MID(Metadata!E917,18,1))&gt;=0,FALSE),IFERROR(INT(MID(Metadata!E917,18,1))&lt;=5,FALSE),NOT(MID(Metadata!E917,19,1)=""),IFERROR(INT(MID(Metadata!E917,18,2))&gt;=0,FALSE),IFERROR(INT(MID(Metadata!E917,18,2))&lt;=59,FALSE)), LEN(Metadata!E917)&lt;=19)))))))))))))</f>
        <v>0</v>
      </c>
      <c r="AS917" t="b">
        <f>IF(Metadata!F917="",FALSE,TRUE)</f>
        <v>0</v>
      </c>
      <c r="AT917" t="b">
        <f>OR(AND(IF(Metadata!G917="",FALSE,TRUE),OR(EXACT(Metadata!G917,"not collected"),EXACT(Metadata!G917,"not provided"))),AND(IF(Metadata!G917="",FALSE,TRUE),OR(EXACT(Metadata!G917,"TRUE"),EXACT(Metadata!G917,"FALSE"))))</f>
        <v>0</v>
      </c>
      <c r="AU917" t="b">
        <f>OR(AND(IF(Metadata!H917="",FALSE,TRUE),OR(EXACT(Metadata!H917,"not collected"),EXACT(Metadata!H917,"not provided"),EXACT(Metadata!H917,"restricted access"))),AND(IF(Metadata!H917="",FALSE,ISNUMBER(VALUE(Metadata!H917))),Metadata!H917&gt;=-413))</f>
        <v>0</v>
      </c>
      <c r="AV917" t="b">
        <f>AND(IF(Metadata!I917="",FALSE,TRUE),EXACT(Metadata!I917,"meters"))</f>
        <v>0</v>
      </c>
      <c r="AW917" t="b">
        <f>AND(IF(Metadata!J917="",FALSE,TRUE),EXACT(Metadata!J917,"free-living"))</f>
        <v>0</v>
      </c>
      <c r="AX917" t="b">
        <f>AND(IF(Metadata!K917="",FALSE,TRUE),OR(EXACT(Metadata!K917,"saline"),EXACT(Metadata!K917,"non-saline")))</f>
        <v>0</v>
      </c>
      <c r="AY917" t="b">
        <f>AND(IF(Metadata!L917="",FALSE,TRUE),OR(EXACT(Metadata!L917,"sub-surface (non-saline)"),EXACT(Metadata!L917,"surface (non-saline)"),EXACT(Metadata!L917,"water (non-saline)"),EXACT(Metadata!L917,"soil (non-saline)"),EXACT(Metadata!L917,"aerosol (non-saline)"),EXACT(Metadata!L917,"sediment (non-saline)"),EXACT(Metadata!L917,"surface (saline)"),EXACT(Metadata!L917,"water (saline)"),EXACT(Metadata!L917,"hypersaline (saline)"),EXACT(Metadata!L917,"aerosol (saline)"),EXACT(Metadata!L917,"sediment (saline)")))</f>
        <v>0</v>
      </c>
      <c r="AZ917" t="b">
        <f>IF(Metadata!M917="",FALSE,TRUE)</f>
        <v>0</v>
      </c>
      <c r="BA917" t="b">
        <f>IF(Metadata!N917="",FALSE,TRUE)</f>
        <v>0</v>
      </c>
      <c r="BB917" t="b">
        <f>IF(Metadata!O917="",FALSE,TRUE)</f>
        <v>0</v>
      </c>
      <c r="BC917" t="b">
        <f>AND(IF(Metadata!P917="",FALSE,TRUE),OR(EXACT(Metadata!P917,"air"),EXACT(Metadata!P917,"microbial mat/biofilm"),EXACT(Metadata!P917,"misc environment"),EXACT(Metadata!P917,"sediment"),EXACT(Metadata!P917,"soil"),EXACT(Metadata!P917,"wastewater/sludge"),EXACT(Metadata!P917,"water")))</f>
        <v>0</v>
      </c>
      <c r="BD917" t="b">
        <f>IF(Metadata!Q917="",FALSE,TRUE)</f>
        <v>0</v>
      </c>
      <c r="BE917" t="b">
        <f>IF(Metadata!R917="",FALSE,TRUE)</f>
        <v>0</v>
      </c>
      <c r="BF917" t="b">
        <f>OR(AND(IF(Metadata!S917="",FALSE,TRUE),OR(EXACT(Metadata!S917,"not collected"),EXACT(Metadata!S917,"not provided"),EXACT(Metadata!S917,"restricted access"))),AND(IF(Metadata!S917="",FALSE,ISNUMBER(VALUE(Metadata!S917))),Metadata!S917&gt;=-90,Metadata!S917&lt;=90))</f>
        <v>0</v>
      </c>
      <c r="BG917" t="b">
        <f>AND(IF(Metadata!T917="",FALSE,TRUE),EXACT(Metadata!T917,"Decimal degrees"))</f>
        <v>0</v>
      </c>
      <c r="BH917" t="b">
        <f>OR(AND(IF(Metadata!U917="",FALSE,TRUE),OR(EXACT(Metadata!U917,"not applicable"),EXACT(Metadata!U917,"not collected"))),IF(Metadata!U917="",FALSE,TRUE))</f>
        <v>0</v>
      </c>
      <c r="BI917" t="b">
        <f>OR(AND(IF(Metadata!V917="",FALSE,TRUE),OR(EXACT(Metadata!V917,"not collected"),EXACT(Metadata!V917,"not provided"),EXACT(Metadata!V917,"restricted access"))),AND(IF(Metadata!V917="",FALSE,ISNUMBER(VALUE(Metadata!V917))),Metadata!V917&gt;=-180,Metadata!V917&lt;=180))</f>
        <v>0</v>
      </c>
      <c r="BJ917" t="b">
        <f>AND(IF(Metadata!W917="",FALSE,TRUE),EXACT(Metadata!W917,"Decimal degrees"))</f>
        <v>0</v>
      </c>
      <c r="BK917" t="b">
        <f>IF(Metadata!X917="",FALSE,TRUE)</f>
        <v>0</v>
      </c>
      <c r="BL917" t="b">
        <f>OR(AND(IF(Metadata!Y917="",FALSE,TRUE),OR(EXACT(Metadata!Y917,"not collected"),EXACT(Metadata!Y917,"not provided"),EXACT(Metadata!Y917,"restricted access"))),AND(IF(Metadata!Y917="",FALSE,TRUE),OR(EXACT(Metadata!Y917,"TRUE"),EXACT(Metadata!Y917,"FALSE"))))</f>
        <v>0</v>
      </c>
      <c r="BM917" t="b">
        <f>OR(AND(IF(Metadata!Z917="",FALSE,TRUE),EXACT(Metadata!Z917,"not applicable")),AND(IF(Metadata!Z917="",FALSE,TRUE),OR(EXACT(Metadata!Z917,"beer"),EXACT(Metadata!Z917,"cheese"),EXACT(Metadata!Z917,"fresh water"),EXACT(Metadata!Z917,"marine sediment"),EXACT(Metadata!Z917,"sea water"),EXACT(Metadata!Z917,"sediment"),EXACT(Metadata!Z917,"soil"),EXACT(Metadata!Z917,"waste water"))))</f>
        <v>0</v>
      </c>
      <c r="BN917" t="b">
        <f>AND(IF(Metadata!AA917="",FALSE,TRUE),EXACT(Metadata!AA917,"metagenome"))</f>
        <v>0</v>
      </c>
      <c r="BO917" t="b">
        <f>AND(IF(Metadata!AB917="",FALSE,TRUE),EXACT(Metadata!AB917,"256318"))</f>
        <v>0</v>
      </c>
      <c r="BP917" t="b">
        <f>IF(Metadata!AC917="",FALSE,TRUE)</f>
        <v>0</v>
      </c>
      <c r="BQ917" t="b">
        <f>IF(Metadata!AD917="",FALSE,TRUE)</f>
        <v>0</v>
      </c>
    </row>
    <row r="918" spans="1:69" x14ac:dyDescent="0.2">
      <c r="A918" s="4" t="e">
        <f ca="1">IF(B918=" "," ",HYPERLINK(CONCATENATE("#metadata!",ADDRESS(INDEX($AJ$2:$AJ$1001,MATCH(ROWS($AH$2:AH918),$AH$2:$AH$1001,0),0),2)),INDEX($AM$2:$AM$1001,MATCH(ROWS($AH$2:AH918),$AH$2:$AH$1001,0),0)))</f>
        <v>#N/A</v>
      </c>
      <c r="B918" s="5" t="e">
        <f ca="1">IF(OR(INDEX($AI$2:$AI$1001,MATCH(ROWS($AH$2:AH918),$AH$2:$AH$1001,0),1)&gt;=100000,INDEX($AO$1005:$BQ$1005,1,MATCH(COLUMNS($AO$1006:AO1006),$AO$1006:$BQ$1006,0))&gt;=100000), " ",IF(INDEX($AO$2:$BQ$1001,MATCH(ROWS($AH$2:AH918),$AH$2:$AH$1001,0),MATCH(COLUMNS($AO$1006:AO1006),$AO$1006:$BQ$1006,0)), HYPERLINK("#",""), HYPERLINK(CONCATENATE("#Metadata!", ADDRESS(INDEX($AJ$2:$AJ$1001,MATCH(ROWS($AH$2:AH918),$AH$2:$AH$1001,0),0), INDEX($AO$1004:$BQ$1004,1,MATCH(COLUMNS($AO$1006:AO1006),$AO$1006:$BQ$1006,0)))),"Fix")))</f>
        <v>#N/A</v>
      </c>
      <c r="C918" s="5" t="e">
        <f ca="1">IF(OR(INDEX($AI$2:$AI$1001,MATCH(ROWS($AH$2:AH918),$AH$2:$AH$1001,0),1)&gt;=100000,INDEX($AO$1005:$BQ$1005,1,MATCH(COLUMNS($AO$1006:AP1006),$AO$1006:$BQ$1006,0))&gt;=100000), " ",IF(INDEX($AO$2:$BQ$1001,MATCH(ROWS($AH$2:AH918),$AH$2:$AH$1001,0),MATCH(COLUMNS($AO$1006:AP1006),$AO$1006:$BQ$1006,0)), HYPERLINK("#",""), HYPERLINK(CONCATENATE("#Metadata!", ADDRESS(INDEX($AJ$2:$AJ$1001,MATCH(ROWS($AH$2:AH918),$AH$2:$AH$1001,0),0), INDEX($AO$1004:$BQ$1004,1,MATCH(COLUMNS($AO$1006:AP1006),$AO$1006:$BQ$1006,0)))),"Fix")))</f>
        <v>#N/A</v>
      </c>
      <c r="D918" s="5" t="e">
        <f ca="1">IF(OR(INDEX($AI$2:$AI$1001,MATCH(ROWS($AH$2:AH918),$AH$2:$AH$1001,0),1)&gt;=100000,INDEX($AO$1005:$BQ$1005,1,MATCH(COLUMNS($AO$1006:AQ1006),$AO$1006:$BQ$1006,0))&gt;=100000), " ",IF(INDEX($AO$2:$BQ$1001,MATCH(ROWS($AH$2:AH918),$AH$2:$AH$1001,0),MATCH(COLUMNS($AO$1006:AQ1006),$AO$1006:$BQ$1006,0)), HYPERLINK("#",""), HYPERLINK(CONCATENATE("#Metadata!", ADDRESS(INDEX($AJ$2:$AJ$1001,MATCH(ROWS($AH$2:AH918),$AH$2:$AH$1001,0),0), INDEX($AO$1004:$BQ$1004,1,MATCH(COLUMNS($AO$1006:AQ1006),$AO$1006:$BQ$1006,0)))),"Fix")))</f>
        <v>#N/A</v>
      </c>
      <c r="E918" s="5" t="e">
        <f ca="1">IF(OR(INDEX($AI$2:$AI$1001,MATCH(ROWS($AH$2:AH918),$AH$2:$AH$1001,0),1)&gt;=100000,INDEX($AO$1005:$BQ$1005,1,MATCH(COLUMNS($AO$1006:AR1006),$AO$1006:$BQ$1006,0))&gt;=100000), " ",IF(INDEX($AO$2:$BQ$1001,MATCH(ROWS($AH$2:AH918),$AH$2:$AH$1001,0),MATCH(COLUMNS($AO$1006:AR1006),$AO$1006:$BQ$1006,0)), HYPERLINK("#",""), HYPERLINK(CONCATENATE("#Metadata!", ADDRESS(INDEX($AJ$2:$AJ$1001,MATCH(ROWS($AH$2:AH918),$AH$2:$AH$1001,0),0), INDEX($AO$1004:$BQ$1004,1,MATCH(COLUMNS($AO$1006:AR1006),$AO$1006:$BQ$1006,0)))),"Fix")))</f>
        <v>#N/A</v>
      </c>
      <c r="F918" s="5" t="e">
        <f ca="1">IF(OR(INDEX($AI$2:$AI$1001,MATCH(ROWS($AH$2:AH918),$AH$2:$AH$1001,0),1)&gt;=100000,INDEX($AO$1005:$BQ$1005,1,MATCH(COLUMNS($AO$1006:AS1006),$AO$1006:$BQ$1006,0))&gt;=100000), " ",IF(INDEX($AO$2:$BQ$1001,MATCH(ROWS($AH$2:AH918),$AH$2:$AH$1001,0),MATCH(COLUMNS($AO$1006:AS1006),$AO$1006:$BQ$1006,0)), HYPERLINK("#",""), HYPERLINK(CONCATENATE("#Metadata!", ADDRESS(INDEX($AJ$2:$AJ$1001,MATCH(ROWS($AH$2:AH918),$AH$2:$AH$1001,0),0), INDEX($AO$1004:$BQ$1004,1,MATCH(COLUMNS($AO$1006:AS1006),$AO$1006:$BQ$1006,0)))),"Fix")))</f>
        <v>#N/A</v>
      </c>
      <c r="G918" s="5" t="e">
        <f ca="1">IF(OR(INDEX($AI$2:$AI$1001,MATCH(ROWS($AH$2:AH918),$AH$2:$AH$1001,0),1)&gt;=100000,INDEX($AO$1005:$BQ$1005,1,MATCH(COLUMNS($AO$1006:AT1006),$AO$1006:$BQ$1006,0))&gt;=100000), " ",IF(INDEX($AO$2:$BQ$1001,MATCH(ROWS($AH$2:AH918),$AH$2:$AH$1001,0),MATCH(COLUMNS($AO$1006:AT1006),$AO$1006:$BQ$1006,0)), HYPERLINK("#",""), HYPERLINK(CONCATENATE("#Metadata!", ADDRESS(INDEX($AJ$2:$AJ$1001,MATCH(ROWS($AH$2:AH918),$AH$2:$AH$1001,0),0), INDEX($AO$1004:$BQ$1004,1,MATCH(COLUMNS($AO$1006:AT1006),$AO$1006:$BQ$1006,0)))),"Fix")))</f>
        <v>#N/A</v>
      </c>
      <c r="H918" s="5" t="e">
        <f ca="1">IF(OR(INDEX($AI$2:$AI$1001,MATCH(ROWS($AH$2:AH918),$AH$2:$AH$1001,0),1)&gt;=100000,INDEX($AO$1005:$BQ$1005,1,MATCH(COLUMNS($AO$1006:AU1006),$AO$1006:$BQ$1006,0))&gt;=100000), " ",IF(INDEX($AO$2:$BQ$1001,MATCH(ROWS($AH$2:AH918),$AH$2:$AH$1001,0),MATCH(COLUMNS($AO$1006:AU1006),$AO$1006:$BQ$1006,0)), HYPERLINK("#",""), HYPERLINK(CONCATENATE("#Metadata!", ADDRESS(INDEX($AJ$2:$AJ$1001,MATCH(ROWS($AH$2:AH918),$AH$2:$AH$1001,0),0), INDEX($AO$1004:$BQ$1004,1,MATCH(COLUMNS($AO$1006:AU1006),$AO$1006:$BQ$1006,0)))),"Fix")))</f>
        <v>#N/A</v>
      </c>
      <c r="I918" s="5" t="e">
        <f ca="1">IF(OR(INDEX($AI$2:$AI$1001,MATCH(ROWS($AH$2:AH918),$AH$2:$AH$1001,0),1)&gt;=100000,INDEX($AO$1005:$BQ$1005,1,MATCH(COLUMNS($AO$1006:AV1006),$AO$1006:$BQ$1006,0))&gt;=100000), " ",IF(INDEX($AO$2:$BQ$1001,MATCH(ROWS($AH$2:AH918),$AH$2:$AH$1001,0),MATCH(COLUMNS($AO$1006:AV1006),$AO$1006:$BQ$1006,0)), HYPERLINK("#",""), HYPERLINK(CONCATENATE("#Metadata!", ADDRESS(INDEX($AJ$2:$AJ$1001,MATCH(ROWS($AH$2:AH918),$AH$2:$AH$1001,0),0), INDEX($AO$1004:$BQ$1004,1,MATCH(COLUMNS($AO$1006:AV1006),$AO$1006:$BQ$1006,0)))),"Fix")))</f>
        <v>#N/A</v>
      </c>
      <c r="J918" s="5" t="e">
        <f ca="1">IF(OR(INDEX($AI$2:$AI$1001,MATCH(ROWS($AH$2:AH918),$AH$2:$AH$1001,0),1)&gt;=100000,INDEX($AO$1005:$BQ$1005,1,MATCH(COLUMNS($AO$1006:AW1006),$AO$1006:$BQ$1006,0))&gt;=100000), " ",IF(INDEX($AO$2:$BQ$1001,MATCH(ROWS($AH$2:AH918),$AH$2:$AH$1001,0),MATCH(COLUMNS($AO$1006:AW1006),$AO$1006:$BQ$1006,0)), HYPERLINK("#",""), HYPERLINK(CONCATENATE("#Metadata!", ADDRESS(INDEX($AJ$2:$AJ$1001,MATCH(ROWS($AH$2:AH918),$AH$2:$AH$1001,0),0), INDEX($AO$1004:$BQ$1004,1,MATCH(COLUMNS($AO$1006:AW1006),$AO$1006:$BQ$1006,0)))),"Fix")))</f>
        <v>#N/A</v>
      </c>
      <c r="K918" s="5" t="e">
        <f ca="1">IF(OR(INDEX($AI$2:$AI$1001,MATCH(ROWS($AH$2:AH918),$AH$2:$AH$1001,0),1)&gt;=100000,INDEX($AO$1005:$BQ$1005,1,MATCH(COLUMNS($AO$1006:AX1006),$AO$1006:$BQ$1006,0))&gt;=100000), " ",IF(INDEX($AO$2:$BQ$1001,MATCH(ROWS($AH$2:AH918),$AH$2:$AH$1001,0),MATCH(COLUMNS($AO$1006:AX1006),$AO$1006:$BQ$1006,0)), HYPERLINK("#",""), HYPERLINK(CONCATENATE("#Metadata!", ADDRESS(INDEX($AJ$2:$AJ$1001,MATCH(ROWS($AH$2:AH918),$AH$2:$AH$1001,0),0), INDEX($AO$1004:$BQ$1004,1,MATCH(COLUMNS($AO$1006:AX1006),$AO$1006:$BQ$1006,0)))),"Fix")))</f>
        <v>#N/A</v>
      </c>
      <c r="L918" s="5" t="e">
        <f ca="1">IF(OR(INDEX($AI$2:$AI$1001,MATCH(ROWS($AH$2:AH918),$AH$2:$AH$1001,0),1)&gt;=100000,INDEX($AO$1005:$BQ$1005,1,MATCH(COLUMNS($AO$1006:AY1006),$AO$1006:$BQ$1006,0))&gt;=100000), " ",IF(INDEX($AO$2:$BQ$1001,MATCH(ROWS($AH$2:AH918),$AH$2:$AH$1001,0),MATCH(COLUMNS($AO$1006:AY1006),$AO$1006:$BQ$1006,0)), HYPERLINK("#",""), HYPERLINK(CONCATENATE("#Metadata!", ADDRESS(INDEX($AJ$2:$AJ$1001,MATCH(ROWS($AH$2:AH918),$AH$2:$AH$1001,0),0), INDEX($AO$1004:$BQ$1004,1,MATCH(COLUMNS($AO$1006:AY1006),$AO$1006:$BQ$1006,0)))),"Fix")))</f>
        <v>#N/A</v>
      </c>
      <c r="M918" s="5" t="e">
        <f ca="1">IF(OR(INDEX($AI$2:$AI$1001,MATCH(ROWS($AH$2:AH918),$AH$2:$AH$1001,0),1)&gt;=100000,INDEX($AO$1005:$BQ$1005,1,MATCH(COLUMNS($AO$1006:AZ1006),$AO$1006:$BQ$1006,0))&gt;=100000), " ",IF(INDEX($AO$2:$BQ$1001,MATCH(ROWS($AH$2:AH918),$AH$2:$AH$1001,0),MATCH(COLUMNS($AO$1006:AZ1006),$AO$1006:$BQ$1006,0)), HYPERLINK("#",""), HYPERLINK(CONCATENATE("#Metadata!", ADDRESS(INDEX($AJ$2:$AJ$1001,MATCH(ROWS($AH$2:AH918),$AH$2:$AH$1001,0),0), INDEX($AO$1004:$BQ$1004,1,MATCH(COLUMNS($AO$1006:AZ1006),$AO$1006:$BQ$1006,0)))),"Fix")))</f>
        <v>#N/A</v>
      </c>
      <c r="N918" s="5" t="e">
        <f ca="1">IF(OR(INDEX($AI$2:$AI$1001,MATCH(ROWS($AH$2:AH918),$AH$2:$AH$1001,0),1)&gt;=100000,INDEX($AO$1005:$BQ$1005,1,MATCH(COLUMNS($AO$1006:BA1006),$AO$1006:$BQ$1006,0))&gt;=100000), " ",IF(INDEX($AO$2:$BQ$1001,MATCH(ROWS($AH$2:AH918),$AH$2:$AH$1001,0),MATCH(COLUMNS($AO$1006:BA1006),$AO$1006:$BQ$1006,0)), HYPERLINK("#",""), HYPERLINK(CONCATENATE("#Metadata!", ADDRESS(INDEX($AJ$2:$AJ$1001,MATCH(ROWS($AH$2:AH918),$AH$2:$AH$1001,0),0), INDEX($AO$1004:$BQ$1004,1,MATCH(COLUMNS($AO$1006:BA1006),$AO$1006:$BQ$1006,0)))),"Fix")))</f>
        <v>#N/A</v>
      </c>
      <c r="O918" s="5" t="e">
        <f ca="1">IF(OR(INDEX($AI$2:$AI$1001,MATCH(ROWS($AH$2:AH918),$AH$2:$AH$1001,0),1)&gt;=100000,INDEX($AO$1005:$BQ$1005,1,MATCH(COLUMNS($AO$1006:BB1006),$AO$1006:$BQ$1006,0))&gt;=100000), " ",IF(INDEX($AO$2:$BQ$1001,MATCH(ROWS($AH$2:AH918),$AH$2:$AH$1001,0),MATCH(COLUMNS($AO$1006:BB1006),$AO$1006:$BQ$1006,0)), HYPERLINK("#",""), HYPERLINK(CONCATENATE("#Metadata!", ADDRESS(INDEX($AJ$2:$AJ$1001,MATCH(ROWS($AH$2:AH918),$AH$2:$AH$1001,0),0), INDEX($AO$1004:$BQ$1004,1,MATCH(COLUMNS($AO$1006:BB1006),$AO$1006:$BQ$1006,0)))),"Fix")))</f>
        <v>#N/A</v>
      </c>
      <c r="P918" s="5" t="e">
        <f ca="1">IF(OR(INDEX($AI$2:$AI$1001,MATCH(ROWS($AH$2:AH918),$AH$2:$AH$1001,0),1)&gt;=100000,INDEX($AO$1005:$BQ$1005,1,MATCH(COLUMNS($AO$1006:BC1006),$AO$1006:$BQ$1006,0))&gt;=100000), " ",IF(INDEX($AO$2:$BQ$1001,MATCH(ROWS($AH$2:AH918),$AH$2:$AH$1001,0),MATCH(COLUMNS($AO$1006:BC1006),$AO$1006:$BQ$1006,0)), HYPERLINK("#",""), HYPERLINK(CONCATENATE("#Metadata!", ADDRESS(INDEX($AJ$2:$AJ$1001,MATCH(ROWS($AH$2:AH918),$AH$2:$AH$1001,0),0), INDEX($AO$1004:$BQ$1004,1,MATCH(COLUMNS($AO$1006:BC1006),$AO$1006:$BQ$1006,0)))),"Fix")))</f>
        <v>#N/A</v>
      </c>
      <c r="Q918" s="5" t="e">
        <f ca="1">IF(OR(INDEX($AI$2:$AI$1001,MATCH(ROWS($AH$2:AH918),$AH$2:$AH$1001,0),1)&gt;=100000,INDEX($AO$1005:$BQ$1005,1,MATCH(COLUMNS($AO$1006:BD1006),$AO$1006:$BQ$1006,0))&gt;=100000), " ",IF(INDEX($AO$2:$BQ$1001,MATCH(ROWS($AH$2:AH918),$AH$2:$AH$1001,0),MATCH(COLUMNS($AO$1006:BD1006),$AO$1006:$BQ$1006,0)), HYPERLINK("#",""), HYPERLINK(CONCATENATE("#Metadata!", ADDRESS(INDEX($AJ$2:$AJ$1001,MATCH(ROWS($AH$2:AH918),$AH$2:$AH$1001,0),0), INDEX($AO$1004:$BQ$1004,1,MATCH(COLUMNS($AO$1006:BD1006),$AO$1006:$BQ$1006,0)))),"Fix")))</f>
        <v>#N/A</v>
      </c>
      <c r="R918" s="5" t="e">
        <f ca="1">IF(OR(INDEX($AI$2:$AI$1001,MATCH(ROWS($AH$2:AH918),$AH$2:$AH$1001,0),1)&gt;=100000,INDEX($AO$1005:$BQ$1005,1,MATCH(COLUMNS($AO$1006:BE1006),$AO$1006:$BQ$1006,0))&gt;=100000), " ",IF(INDEX($AO$2:$BQ$1001,MATCH(ROWS($AH$2:AH918),$AH$2:$AH$1001,0),MATCH(COLUMNS($AO$1006:BE1006),$AO$1006:$BQ$1006,0)), HYPERLINK("#",""), HYPERLINK(CONCATENATE("#Metadata!", ADDRESS(INDEX($AJ$2:$AJ$1001,MATCH(ROWS($AH$2:AH918),$AH$2:$AH$1001,0),0), INDEX($AO$1004:$BQ$1004,1,MATCH(COLUMNS($AO$1006:BE1006),$AO$1006:$BQ$1006,0)))),"Fix")))</f>
        <v>#N/A</v>
      </c>
      <c r="S918" s="5" t="e">
        <f ca="1">IF(OR(INDEX($AI$2:$AI$1001,MATCH(ROWS($AH$2:AH918),$AH$2:$AH$1001,0),1)&gt;=100000,INDEX($AO$1005:$BQ$1005,1,MATCH(COLUMNS($AO$1006:BF1006),$AO$1006:$BQ$1006,0))&gt;=100000), " ",IF(INDEX($AO$2:$BQ$1001,MATCH(ROWS($AH$2:AH918),$AH$2:$AH$1001,0),MATCH(COLUMNS($AO$1006:BF1006),$AO$1006:$BQ$1006,0)), HYPERLINK("#",""), HYPERLINK(CONCATENATE("#Metadata!", ADDRESS(INDEX($AJ$2:$AJ$1001,MATCH(ROWS($AH$2:AH918),$AH$2:$AH$1001,0),0), INDEX($AO$1004:$BQ$1004,1,MATCH(COLUMNS($AO$1006:BF1006),$AO$1006:$BQ$1006,0)))),"Fix")))</f>
        <v>#N/A</v>
      </c>
      <c r="T918" s="5" t="e">
        <f ca="1">IF(OR(INDEX($AI$2:$AI$1001,MATCH(ROWS($AH$2:AH918),$AH$2:$AH$1001,0),1)&gt;=100000,INDEX($AO$1005:$BQ$1005,1,MATCH(COLUMNS($AO$1006:BG1006),$AO$1006:$BQ$1006,0))&gt;=100000), " ",IF(INDEX($AO$2:$BQ$1001,MATCH(ROWS($AH$2:AH918),$AH$2:$AH$1001,0),MATCH(COLUMNS($AO$1006:BG1006),$AO$1006:$BQ$1006,0)), HYPERLINK("#",""), HYPERLINK(CONCATENATE("#Metadata!", ADDRESS(INDEX($AJ$2:$AJ$1001,MATCH(ROWS($AH$2:AH918),$AH$2:$AH$1001,0),0), INDEX($AO$1004:$BQ$1004,1,MATCH(COLUMNS($AO$1006:BG1006),$AO$1006:$BQ$1006,0)))),"Fix")))</f>
        <v>#N/A</v>
      </c>
      <c r="U918" s="5" t="e">
        <f ca="1">IF(OR(INDEX($AI$2:$AI$1001,MATCH(ROWS($AH$2:AH918),$AH$2:$AH$1001,0),1)&gt;=100000,INDEX($AO$1005:$BQ$1005,1,MATCH(COLUMNS($AO$1006:BH1006),$AO$1006:$BQ$1006,0))&gt;=100000), " ",IF(INDEX($AO$2:$BQ$1001,MATCH(ROWS($AH$2:AH918),$AH$2:$AH$1001,0),MATCH(COLUMNS($AO$1006:BH1006),$AO$1006:$BQ$1006,0)), HYPERLINK("#",""), HYPERLINK(CONCATENATE("#Metadata!", ADDRESS(INDEX($AJ$2:$AJ$1001,MATCH(ROWS($AH$2:AH918),$AH$2:$AH$1001,0),0), INDEX($AO$1004:$BQ$1004,1,MATCH(COLUMNS($AO$1006:BH1006),$AO$1006:$BQ$1006,0)))),"Fix")))</f>
        <v>#N/A</v>
      </c>
      <c r="V918" s="5" t="e">
        <f ca="1">IF(OR(INDEX($AI$2:$AI$1001,MATCH(ROWS($AH$2:AH918),$AH$2:$AH$1001,0),1)&gt;=100000,INDEX($AO$1005:$BQ$1005,1,MATCH(COLUMNS($AO$1006:BI1006),$AO$1006:$BQ$1006,0))&gt;=100000), " ",IF(INDEX($AO$2:$BQ$1001,MATCH(ROWS($AH$2:AH918),$AH$2:$AH$1001,0),MATCH(COLUMNS($AO$1006:BI1006),$AO$1006:$BQ$1006,0)), HYPERLINK("#",""), HYPERLINK(CONCATENATE("#Metadata!", ADDRESS(INDEX($AJ$2:$AJ$1001,MATCH(ROWS($AH$2:AH918),$AH$2:$AH$1001,0),0), INDEX($AO$1004:$BQ$1004,1,MATCH(COLUMNS($AO$1006:BI1006),$AO$1006:$BQ$1006,0)))),"Fix")))</f>
        <v>#N/A</v>
      </c>
      <c r="W918" s="5" t="e">
        <f ca="1">IF(OR(INDEX($AI$2:$AI$1001,MATCH(ROWS($AH$2:AH918),$AH$2:$AH$1001,0),1)&gt;=100000,INDEX($AO$1005:$BQ$1005,1,MATCH(COLUMNS($AO$1006:BJ1006),$AO$1006:$BQ$1006,0))&gt;=100000), " ",IF(INDEX($AO$2:$BQ$1001,MATCH(ROWS($AH$2:AH918),$AH$2:$AH$1001,0),MATCH(COLUMNS($AO$1006:BJ1006),$AO$1006:$BQ$1006,0)), HYPERLINK("#",""), HYPERLINK(CONCATENATE("#Metadata!", ADDRESS(INDEX($AJ$2:$AJ$1001,MATCH(ROWS($AH$2:AH918),$AH$2:$AH$1001,0),0), INDEX($AO$1004:$BQ$1004,1,MATCH(COLUMNS($AO$1006:BJ1006),$AO$1006:$BQ$1006,0)))),"Fix")))</f>
        <v>#N/A</v>
      </c>
      <c r="X918" s="5" t="e">
        <f ca="1">IF(OR(INDEX($AI$2:$AI$1001,MATCH(ROWS($AH$2:AH918),$AH$2:$AH$1001,0),1)&gt;=100000,INDEX($AO$1005:$BQ$1005,1,MATCH(COLUMNS($AO$1006:BK1006),$AO$1006:$BQ$1006,0))&gt;=100000), " ",IF(INDEX($AO$2:$BQ$1001,MATCH(ROWS($AH$2:AH918),$AH$2:$AH$1001,0),MATCH(COLUMNS($AO$1006:BK1006),$AO$1006:$BQ$1006,0)), HYPERLINK("#",""), HYPERLINK(CONCATENATE("#Metadata!", ADDRESS(INDEX($AJ$2:$AJ$1001,MATCH(ROWS($AH$2:AH918),$AH$2:$AH$1001,0),0), INDEX($AO$1004:$BQ$1004,1,MATCH(COLUMNS($AO$1006:BK1006),$AO$1006:$BQ$1006,0)))),"Fix")))</f>
        <v>#N/A</v>
      </c>
      <c r="Y918" s="5" t="e">
        <f ca="1">IF(OR(INDEX($AI$2:$AI$1001,MATCH(ROWS($AH$2:AH918),$AH$2:$AH$1001,0),1)&gt;=100000,INDEX($AO$1005:$BQ$1005,1,MATCH(COLUMNS($AO$1006:BL1006),$AO$1006:$BQ$1006,0))&gt;=100000), " ",IF(INDEX($AO$2:$BQ$1001,MATCH(ROWS($AH$2:AH918),$AH$2:$AH$1001,0),MATCH(COLUMNS($AO$1006:BL1006),$AO$1006:$BQ$1006,0)), HYPERLINK("#",""), HYPERLINK(CONCATENATE("#Metadata!", ADDRESS(INDEX($AJ$2:$AJ$1001,MATCH(ROWS($AH$2:AH918),$AH$2:$AH$1001,0),0), INDEX($AO$1004:$BQ$1004,1,MATCH(COLUMNS($AO$1006:BL1006),$AO$1006:$BQ$1006,0)))),"Fix")))</f>
        <v>#N/A</v>
      </c>
      <c r="Z918" s="5" t="e">
        <f ca="1">IF(OR(INDEX($AI$2:$AI$1001,MATCH(ROWS($AH$2:AH918),$AH$2:$AH$1001,0),1)&gt;=100000,INDEX($AO$1005:$BQ$1005,1,MATCH(COLUMNS($AO$1006:BM1006),$AO$1006:$BQ$1006,0))&gt;=100000), " ",IF(INDEX($AO$2:$BQ$1001,MATCH(ROWS($AH$2:AH918),$AH$2:$AH$1001,0),MATCH(COLUMNS($AO$1006:BM1006),$AO$1006:$BQ$1006,0)), HYPERLINK("#",""), HYPERLINK(CONCATENATE("#Metadata!", ADDRESS(INDEX($AJ$2:$AJ$1001,MATCH(ROWS($AH$2:AH918),$AH$2:$AH$1001,0),0), INDEX($AO$1004:$BQ$1004,1,MATCH(COLUMNS($AO$1006:BM1006),$AO$1006:$BQ$1006,0)))),"Fix")))</f>
        <v>#N/A</v>
      </c>
      <c r="AA918" s="5" t="e">
        <f ca="1">IF(OR(INDEX($AI$2:$AI$1001,MATCH(ROWS($AH$2:AH918),$AH$2:$AH$1001,0),1)&gt;=100000,INDEX($AO$1005:$BQ$1005,1,MATCH(COLUMNS($AO$1006:BN1006),$AO$1006:$BQ$1006,0))&gt;=100000), " ",IF(INDEX($AO$2:$BQ$1001,MATCH(ROWS($AH$2:AH918),$AH$2:$AH$1001,0),MATCH(COLUMNS($AO$1006:BN1006),$AO$1006:$BQ$1006,0)), HYPERLINK("#",""), HYPERLINK(CONCATENATE("#Metadata!", ADDRESS(INDEX($AJ$2:$AJ$1001,MATCH(ROWS($AH$2:AH918),$AH$2:$AH$1001,0),0), INDEX($AO$1004:$BQ$1004,1,MATCH(COLUMNS($AO$1006:BN1006),$AO$1006:$BQ$1006,0)))),"Fix")))</f>
        <v>#N/A</v>
      </c>
      <c r="AB918" s="5" t="e">
        <f ca="1">IF(OR(INDEX($AI$2:$AI$1001,MATCH(ROWS($AH$2:AH918),$AH$2:$AH$1001,0),1)&gt;=100000,INDEX($AO$1005:$BQ$1005,1,MATCH(COLUMNS($AO$1006:BO1006),$AO$1006:$BQ$1006,0))&gt;=100000), " ",IF(INDEX($AO$2:$BQ$1001,MATCH(ROWS($AH$2:AH918),$AH$2:$AH$1001,0),MATCH(COLUMNS($AO$1006:BO1006),$AO$1006:$BQ$1006,0)), HYPERLINK("#",""), HYPERLINK(CONCATENATE("#Metadata!", ADDRESS(INDEX($AJ$2:$AJ$1001,MATCH(ROWS($AH$2:AH918),$AH$2:$AH$1001,0),0), INDEX($AO$1004:$BQ$1004,1,MATCH(COLUMNS($AO$1006:BO1006),$AO$1006:$BQ$1006,0)))),"Fix")))</f>
        <v>#N/A</v>
      </c>
      <c r="AC918" s="5" t="e">
        <f ca="1">IF(OR(INDEX($AI$2:$AI$1001,MATCH(ROWS($AH$2:AH918),$AH$2:$AH$1001,0),1)&gt;=100000,INDEX($AO$1005:$BQ$1005,1,MATCH(COLUMNS($AO$1006:BP1006),$AO$1006:$BQ$1006,0))&gt;=100000), " ",IF(INDEX($AO$2:$BQ$1001,MATCH(ROWS($AH$2:AH918),$AH$2:$AH$1001,0),MATCH(COLUMNS($AO$1006:BP1006),$AO$1006:$BQ$1006,0)), HYPERLINK("#",""), HYPERLINK(CONCATENATE("#Metadata!", ADDRESS(INDEX($AJ$2:$AJ$1001,MATCH(ROWS($AH$2:AH918),$AH$2:$AH$1001,0),0), INDEX($AO$1004:$BQ$1004,1,MATCH(COLUMNS($AO$1006:BP1006),$AO$1006:$BQ$1006,0)))),"Fix")))</f>
        <v>#N/A</v>
      </c>
      <c r="AD918" s="5" t="e">
        <f ca="1">IF(OR(INDEX($AI$2:$AI$1001,MATCH(ROWS($AH$2:AH918),$AH$2:$AH$1001,0),1)&gt;=100000,INDEX($AO$1005:$BQ$1005,1,MATCH(COLUMNS($AO$1006:BQ1006),$AO$1006:$BQ$1006,0))&gt;=100000), " ",IF(INDEX($AO$2:$BQ$1001,MATCH(ROWS($AH$2:AH918),$AH$2:$AH$1001,0),MATCH(COLUMNS($AO$1006:BQ1006),$AO$1006:$BQ$1006,0)), HYPERLINK("#",""), HYPERLINK(CONCATENATE("#Metadata!", ADDRESS(INDEX($AJ$2:$AJ$1001,MATCH(ROWS($AH$2:AH918),$AH$2:$AH$1001,0),0), INDEX($AO$1004:$BQ$1004,1,MATCH(COLUMNS($AO$1006:BQ1006),$AO$1006:$BQ$1006,0)))),"Fix")))</f>
        <v>#REF!</v>
      </c>
      <c r="AH918">
        <f ca="1"/>
        <v>915</v>
      </c>
      <c r="AI918">
        <v>100918</v>
      </c>
      <c r="AJ918">
        <v>918</v>
      </c>
      <c r="AK918" t="b">
        <f t="shared" si="14"/>
        <v>1</v>
      </c>
      <c r="AL918" t="b">
        <f>COUNTBLANK(Metadata!B918:AD918)=COLUMNS(Metadata!B918:AD918)</f>
        <v>1</v>
      </c>
      <c r="AM918" t="str">
        <v/>
      </c>
      <c r="AO918" t="b">
        <f ca="1">AND(IF(Metadata!B918="",FALSE,TRUE),COUNTIF(Metadata!B:B, Metadata!B918) = 1,NOT(ISERROR(SUMPRODUCT(SEARCH(MID(Metadata!B918,ROW(INDIRECT("1:"&amp;LEN(Metadata!B918))), 1),"0123456789abcdefghijklmnopqrstuvwxyzABCDEFGHIJKLMNOPQRSTUVWXYZ.")))))</f>
        <v>0</v>
      </c>
      <c r="AP918" t="b">
        <f>IF(Metadata!C918="",FALSE,TRUE)</f>
        <v>0</v>
      </c>
      <c r="AQ918" t="b">
        <f>IF(Metadata!D918="",FALSE,TRUE)</f>
        <v>0</v>
      </c>
      <c r="AR918" t="b">
        <f ca="1">OR(AND(IF(Metadata!E918="",FALSE,TRUE),OR(EXACT(Metadata!E918,"not collected"),EXACT(Metadata!E918,"not provided"),EXACT(Metadata!E918,"restricted access"))),AND(IF(Metadata!E918="",FALSE,TRUE),AND(AND(IFERROR(INT(LEFT(Metadata!E918,4))&gt;1900,FALSE),IFERROR(INT(LEFT(Metadata!E918,4))&lt;=YEAR(NOW()),FALSE)), OR(MID(Metadata!E918,5,1)="", AND(AND(MID(Metadata!E918,5,1)="-",IFERROR(INT(MID(Metadata!E918,6,1))&gt;=0,FALSE),IFERROR(INT(MID(Metadata!E918,6,1))&lt;=1,FALSE),NOT(MID(Metadata!E918,7,1)=""),IFERROR(INT(MID(Metadata!E918,6,2))&gt;=1,FALSE),IFERROR(INT(MID(Metadata!E918,6,2))&lt;=12,FALSE)), OR(MID(Metadata!E918,8,1)="", AND(AND(MID(Metadata!E918,8,1)="-",IFERROR(INT(MID(Metadata!E918,9,1))&gt;=0,FALSE),IFERROR(INT(MID(Metadata!E918,9,1))&lt;=3,FALSE),NOT(MID(Metadata!E918,10,1)=""),IFERROR(INT(MID(Metadata!E918,9,2))&gt;=1,FALSE),IFERROR(INT(MID(Metadata!E918,9,2))&lt;=31,FALSE)), OR(MID(Metadata!E918,11,1)="", AND(AND(MID(Metadata!E918,11,1)=" ",IFERROR(INT(MID(Metadata!E918,12,1))&gt;=0,FALSE),IFERROR(INT(MID(Metadata!E918,12,1))&lt;=2,FALSE),NOT(MID(Metadata!E918,13,1)=""),IFERROR(INT(MID(Metadata!E918,12,2))&gt;=0,FALSE),IFERROR(INT(MID(Metadata!E918,12,2))&lt;=23,FALSE)), OR(MID(Metadata!E918,14,1)="", AND(AND(MID(Metadata!E918,14,1)=":",IFERROR(INT(MID(Metadata!E918,15,1))&gt;=0,FALSE),IFERROR(INT(MID(Metadata!E918,15,1))&lt;=5,FALSE),NOT(MID(Metadata!E918,16,1)=""),IFERROR(INT(MID(Metadata!E918,15,2))&gt;=0,FALSE),IFERROR(INT(MID(Metadata!E918,15,2))&lt;=59,FALSE)), OR(MID(Metadata!E918,17,1)="", AND(AND(MID(Metadata!E918,17,1)=":",IFERROR(INT(MID(Metadata!E918,18,1))&gt;=0,FALSE),IFERROR(INT(MID(Metadata!E918,18,1))&lt;=5,FALSE),NOT(MID(Metadata!E918,19,1)=""),IFERROR(INT(MID(Metadata!E918,18,2))&gt;=0,FALSE),IFERROR(INT(MID(Metadata!E918,18,2))&lt;=59,FALSE)), LEN(Metadata!E918)&lt;=19)))))))))))))</f>
        <v>0</v>
      </c>
      <c r="AS918" t="b">
        <f>IF(Metadata!F918="",FALSE,TRUE)</f>
        <v>0</v>
      </c>
      <c r="AT918" t="b">
        <f>OR(AND(IF(Metadata!G918="",FALSE,TRUE),OR(EXACT(Metadata!G918,"not collected"),EXACT(Metadata!G918,"not provided"))),AND(IF(Metadata!G918="",FALSE,TRUE),OR(EXACT(Metadata!G918,"TRUE"),EXACT(Metadata!G918,"FALSE"))))</f>
        <v>0</v>
      </c>
      <c r="AU918" t="b">
        <f>OR(AND(IF(Metadata!H918="",FALSE,TRUE),OR(EXACT(Metadata!H918,"not collected"),EXACT(Metadata!H918,"not provided"),EXACT(Metadata!H918,"restricted access"))),AND(IF(Metadata!H918="",FALSE,ISNUMBER(VALUE(Metadata!H918))),Metadata!H918&gt;=-413))</f>
        <v>0</v>
      </c>
      <c r="AV918" t="b">
        <f>AND(IF(Metadata!I918="",FALSE,TRUE),EXACT(Metadata!I918,"meters"))</f>
        <v>0</v>
      </c>
      <c r="AW918" t="b">
        <f>AND(IF(Metadata!J918="",FALSE,TRUE),EXACT(Metadata!J918,"free-living"))</f>
        <v>0</v>
      </c>
      <c r="AX918" t="b">
        <f>AND(IF(Metadata!K918="",FALSE,TRUE),OR(EXACT(Metadata!K918,"saline"),EXACT(Metadata!K918,"non-saline")))</f>
        <v>0</v>
      </c>
      <c r="AY918" t="b">
        <f>AND(IF(Metadata!L918="",FALSE,TRUE),OR(EXACT(Metadata!L918,"sub-surface (non-saline)"),EXACT(Metadata!L918,"surface (non-saline)"),EXACT(Metadata!L918,"water (non-saline)"),EXACT(Metadata!L918,"soil (non-saline)"),EXACT(Metadata!L918,"aerosol (non-saline)"),EXACT(Metadata!L918,"sediment (non-saline)"),EXACT(Metadata!L918,"surface (saline)"),EXACT(Metadata!L918,"water (saline)"),EXACT(Metadata!L918,"hypersaline (saline)"),EXACT(Metadata!L918,"aerosol (saline)"),EXACT(Metadata!L918,"sediment (saline)")))</f>
        <v>0</v>
      </c>
      <c r="AZ918" t="b">
        <f>IF(Metadata!M918="",FALSE,TRUE)</f>
        <v>0</v>
      </c>
      <c r="BA918" t="b">
        <f>IF(Metadata!N918="",FALSE,TRUE)</f>
        <v>0</v>
      </c>
      <c r="BB918" t="b">
        <f>IF(Metadata!O918="",FALSE,TRUE)</f>
        <v>0</v>
      </c>
      <c r="BC918" t="b">
        <f>AND(IF(Metadata!P918="",FALSE,TRUE),OR(EXACT(Metadata!P918,"air"),EXACT(Metadata!P918,"microbial mat/biofilm"),EXACT(Metadata!P918,"misc environment"),EXACT(Metadata!P918,"sediment"),EXACT(Metadata!P918,"soil"),EXACT(Metadata!P918,"wastewater/sludge"),EXACT(Metadata!P918,"water")))</f>
        <v>0</v>
      </c>
      <c r="BD918" t="b">
        <f>IF(Metadata!Q918="",FALSE,TRUE)</f>
        <v>0</v>
      </c>
      <c r="BE918" t="b">
        <f>IF(Metadata!R918="",FALSE,TRUE)</f>
        <v>0</v>
      </c>
      <c r="BF918" t="b">
        <f>OR(AND(IF(Metadata!S918="",FALSE,TRUE),OR(EXACT(Metadata!S918,"not collected"),EXACT(Metadata!S918,"not provided"),EXACT(Metadata!S918,"restricted access"))),AND(IF(Metadata!S918="",FALSE,ISNUMBER(VALUE(Metadata!S918))),Metadata!S918&gt;=-90,Metadata!S918&lt;=90))</f>
        <v>0</v>
      </c>
      <c r="BG918" t="b">
        <f>AND(IF(Metadata!T918="",FALSE,TRUE),EXACT(Metadata!T918,"Decimal degrees"))</f>
        <v>0</v>
      </c>
      <c r="BH918" t="b">
        <f>OR(AND(IF(Metadata!U918="",FALSE,TRUE),OR(EXACT(Metadata!U918,"not applicable"),EXACT(Metadata!U918,"not collected"))),IF(Metadata!U918="",FALSE,TRUE))</f>
        <v>0</v>
      </c>
      <c r="BI918" t="b">
        <f>OR(AND(IF(Metadata!V918="",FALSE,TRUE),OR(EXACT(Metadata!V918,"not collected"),EXACT(Metadata!V918,"not provided"),EXACT(Metadata!V918,"restricted access"))),AND(IF(Metadata!V918="",FALSE,ISNUMBER(VALUE(Metadata!V918))),Metadata!V918&gt;=-180,Metadata!V918&lt;=180))</f>
        <v>0</v>
      </c>
      <c r="BJ918" t="b">
        <f>AND(IF(Metadata!W918="",FALSE,TRUE),EXACT(Metadata!W918,"Decimal degrees"))</f>
        <v>0</v>
      </c>
      <c r="BK918" t="b">
        <f>IF(Metadata!X918="",FALSE,TRUE)</f>
        <v>0</v>
      </c>
      <c r="BL918" t="b">
        <f>OR(AND(IF(Metadata!Y918="",FALSE,TRUE),OR(EXACT(Metadata!Y918,"not collected"),EXACT(Metadata!Y918,"not provided"),EXACT(Metadata!Y918,"restricted access"))),AND(IF(Metadata!Y918="",FALSE,TRUE),OR(EXACT(Metadata!Y918,"TRUE"),EXACT(Metadata!Y918,"FALSE"))))</f>
        <v>0</v>
      </c>
      <c r="BM918" t="b">
        <f>OR(AND(IF(Metadata!Z918="",FALSE,TRUE),EXACT(Metadata!Z918,"not applicable")),AND(IF(Metadata!Z918="",FALSE,TRUE),OR(EXACT(Metadata!Z918,"beer"),EXACT(Metadata!Z918,"cheese"),EXACT(Metadata!Z918,"fresh water"),EXACT(Metadata!Z918,"marine sediment"),EXACT(Metadata!Z918,"sea water"),EXACT(Metadata!Z918,"sediment"),EXACT(Metadata!Z918,"soil"),EXACT(Metadata!Z918,"waste water"))))</f>
        <v>0</v>
      </c>
      <c r="BN918" t="b">
        <f>AND(IF(Metadata!AA918="",FALSE,TRUE),EXACT(Metadata!AA918,"metagenome"))</f>
        <v>0</v>
      </c>
      <c r="BO918" t="b">
        <f>AND(IF(Metadata!AB918="",FALSE,TRUE),EXACT(Metadata!AB918,"256318"))</f>
        <v>0</v>
      </c>
      <c r="BP918" t="b">
        <f>IF(Metadata!AC918="",FALSE,TRUE)</f>
        <v>0</v>
      </c>
      <c r="BQ918" t="b">
        <f>IF(Metadata!AD918="",FALSE,TRUE)</f>
        <v>0</v>
      </c>
    </row>
    <row r="919" spans="1:69" x14ac:dyDescent="0.2">
      <c r="A919" s="4" t="e">
        <f ca="1">IF(B919=" "," ",HYPERLINK(CONCATENATE("#metadata!",ADDRESS(INDEX($AJ$2:$AJ$1001,MATCH(ROWS($AH$2:AH919),$AH$2:$AH$1001,0),0),2)),INDEX($AM$2:$AM$1001,MATCH(ROWS($AH$2:AH919),$AH$2:$AH$1001,0),0)))</f>
        <v>#N/A</v>
      </c>
      <c r="B919" s="5" t="e">
        <f ca="1">IF(OR(INDEX($AI$2:$AI$1001,MATCH(ROWS($AH$2:AH919),$AH$2:$AH$1001,0),1)&gt;=100000,INDEX($AO$1005:$BQ$1005,1,MATCH(COLUMNS($AO$1006:AO1006),$AO$1006:$BQ$1006,0))&gt;=100000), " ",IF(INDEX($AO$2:$BQ$1001,MATCH(ROWS($AH$2:AH919),$AH$2:$AH$1001,0),MATCH(COLUMNS($AO$1006:AO1006),$AO$1006:$BQ$1006,0)), HYPERLINK("#",""), HYPERLINK(CONCATENATE("#Metadata!", ADDRESS(INDEX($AJ$2:$AJ$1001,MATCH(ROWS($AH$2:AH919),$AH$2:$AH$1001,0),0), INDEX($AO$1004:$BQ$1004,1,MATCH(COLUMNS($AO$1006:AO1006),$AO$1006:$BQ$1006,0)))),"Fix")))</f>
        <v>#N/A</v>
      </c>
      <c r="C919" s="5" t="e">
        <f ca="1">IF(OR(INDEX($AI$2:$AI$1001,MATCH(ROWS($AH$2:AH919),$AH$2:$AH$1001,0),1)&gt;=100000,INDEX($AO$1005:$BQ$1005,1,MATCH(COLUMNS($AO$1006:AP1006),$AO$1006:$BQ$1006,0))&gt;=100000), " ",IF(INDEX($AO$2:$BQ$1001,MATCH(ROWS($AH$2:AH919),$AH$2:$AH$1001,0),MATCH(COLUMNS($AO$1006:AP1006),$AO$1006:$BQ$1006,0)), HYPERLINK("#",""), HYPERLINK(CONCATENATE("#Metadata!", ADDRESS(INDEX($AJ$2:$AJ$1001,MATCH(ROWS($AH$2:AH919),$AH$2:$AH$1001,0),0), INDEX($AO$1004:$BQ$1004,1,MATCH(COLUMNS($AO$1006:AP1006),$AO$1006:$BQ$1006,0)))),"Fix")))</f>
        <v>#N/A</v>
      </c>
      <c r="D919" s="5" t="e">
        <f ca="1">IF(OR(INDEX($AI$2:$AI$1001,MATCH(ROWS($AH$2:AH919),$AH$2:$AH$1001,0),1)&gt;=100000,INDEX($AO$1005:$BQ$1005,1,MATCH(COLUMNS($AO$1006:AQ1006),$AO$1006:$BQ$1006,0))&gt;=100000), " ",IF(INDEX($AO$2:$BQ$1001,MATCH(ROWS($AH$2:AH919),$AH$2:$AH$1001,0),MATCH(COLUMNS($AO$1006:AQ1006),$AO$1006:$BQ$1006,0)), HYPERLINK("#",""), HYPERLINK(CONCATENATE("#Metadata!", ADDRESS(INDEX($AJ$2:$AJ$1001,MATCH(ROWS($AH$2:AH919),$AH$2:$AH$1001,0),0), INDEX($AO$1004:$BQ$1004,1,MATCH(COLUMNS($AO$1006:AQ1006),$AO$1006:$BQ$1006,0)))),"Fix")))</f>
        <v>#N/A</v>
      </c>
      <c r="E919" s="5" t="e">
        <f ca="1">IF(OR(INDEX($AI$2:$AI$1001,MATCH(ROWS($AH$2:AH919),$AH$2:$AH$1001,0),1)&gt;=100000,INDEX($AO$1005:$BQ$1005,1,MATCH(COLUMNS($AO$1006:AR1006),$AO$1006:$BQ$1006,0))&gt;=100000), " ",IF(INDEX($AO$2:$BQ$1001,MATCH(ROWS($AH$2:AH919),$AH$2:$AH$1001,0),MATCH(COLUMNS($AO$1006:AR1006),$AO$1006:$BQ$1006,0)), HYPERLINK("#",""), HYPERLINK(CONCATENATE("#Metadata!", ADDRESS(INDEX($AJ$2:$AJ$1001,MATCH(ROWS($AH$2:AH919),$AH$2:$AH$1001,0),0), INDEX($AO$1004:$BQ$1004,1,MATCH(COLUMNS($AO$1006:AR1006),$AO$1006:$BQ$1006,0)))),"Fix")))</f>
        <v>#N/A</v>
      </c>
      <c r="F919" s="5" t="e">
        <f ca="1">IF(OR(INDEX($AI$2:$AI$1001,MATCH(ROWS($AH$2:AH919),$AH$2:$AH$1001,0),1)&gt;=100000,INDEX($AO$1005:$BQ$1005,1,MATCH(COLUMNS($AO$1006:AS1006),$AO$1006:$BQ$1006,0))&gt;=100000), " ",IF(INDEX($AO$2:$BQ$1001,MATCH(ROWS($AH$2:AH919),$AH$2:$AH$1001,0),MATCH(COLUMNS($AO$1006:AS1006),$AO$1006:$BQ$1006,0)), HYPERLINK("#",""), HYPERLINK(CONCATENATE("#Metadata!", ADDRESS(INDEX($AJ$2:$AJ$1001,MATCH(ROWS($AH$2:AH919),$AH$2:$AH$1001,0),0), INDEX($AO$1004:$BQ$1004,1,MATCH(COLUMNS($AO$1006:AS1006),$AO$1006:$BQ$1006,0)))),"Fix")))</f>
        <v>#N/A</v>
      </c>
      <c r="G919" s="5" t="e">
        <f ca="1">IF(OR(INDEX($AI$2:$AI$1001,MATCH(ROWS($AH$2:AH919),$AH$2:$AH$1001,0),1)&gt;=100000,INDEX($AO$1005:$BQ$1005,1,MATCH(COLUMNS($AO$1006:AT1006),$AO$1006:$BQ$1006,0))&gt;=100000), " ",IF(INDEX($AO$2:$BQ$1001,MATCH(ROWS($AH$2:AH919),$AH$2:$AH$1001,0),MATCH(COLUMNS($AO$1006:AT1006),$AO$1006:$BQ$1006,0)), HYPERLINK("#",""), HYPERLINK(CONCATENATE("#Metadata!", ADDRESS(INDEX($AJ$2:$AJ$1001,MATCH(ROWS($AH$2:AH919),$AH$2:$AH$1001,0),0), INDEX($AO$1004:$BQ$1004,1,MATCH(COLUMNS($AO$1006:AT1006),$AO$1006:$BQ$1006,0)))),"Fix")))</f>
        <v>#N/A</v>
      </c>
      <c r="H919" s="5" t="e">
        <f ca="1">IF(OR(INDEX($AI$2:$AI$1001,MATCH(ROWS($AH$2:AH919),$AH$2:$AH$1001,0),1)&gt;=100000,INDEX($AO$1005:$BQ$1005,1,MATCH(COLUMNS($AO$1006:AU1006),$AO$1006:$BQ$1006,0))&gt;=100000), " ",IF(INDEX($AO$2:$BQ$1001,MATCH(ROWS($AH$2:AH919),$AH$2:$AH$1001,0),MATCH(COLUMNS($AO$1006:AU1006),$AO$1006:$BQ$1006,0)), HYPERLINK("#",""), HYPERLINK(CONCATENATE("#Metadata!", ADDRESS(INDEX($AJ$2:$AJ$1001,MATCH(ROWS($AH$2:AH919),$AH$2:$AH$1001,0),0), INDEX($AO$1004:$BQ$1004,1,MATCH(COLUMNS($AO$1006:AU1006),$AO$1006:$BQ$1006,0)))),"Fix")))</f>
        <v>#N/A</v>
      </c>
      <c r="I919" s="5" t="e">
        <f ca="1">IF(OR(INDEX($AI$2:$AI$1001,MATCH(ROWS($AH$2:AH919),$AH$2:$AH$1001,0),1)&gt;=100000,INDEX($AO$1005:$BQ$1005,1,MATCH(COLUMNS($AO$1006:AV1006),$AO$1006:$BQ$1006,0))&gt;=100000), " ",IF(INDEX($AO$2:$BQ$1001,MATCH(ROWS($AH$2:AH919),$AH$2:$AH$1001,0),MATCH(COLUMNS($AO$1006:AV1006),$AO$1006:$BQ$1006,0)), HYPERLINK("#",""), HYPERLINK(CONCATENATE("#Metadata!", ADDRESS(INDEX($AJ$2:$AJ$1001,MATCH(ROWS($AH$2:AH919),$AH$2:$AH$1001,0),0), INDEX($AO$1004:$BQ$1004,1,MATCH(COLUMNS($AO$1006:AV1006),$AO$1006:$BQ$1006,0)))),"Fix")))</f>
        <v>#N/A</v>
      </c>
      <c r="J919" s="5" t="e">
        <f ca="1">IF(OR(INDEX($AI$2:$AI$1001,MATCH(ROWS($AH$2:AH919),$AH$2:$AH$1001,0),1)&gt;=100000,INDEX($AO$1005:$BQ$1005,1,MATCH(COLUMNS($AO$1006:AW1006),$AO$1006:$BQ$1006,0))&gt;=100000), " ",IF(INDEX($AO$2:$BQ$1001,MATCH(ROWS($AH$2:AH919),$AH$2:$AH$1001,0),MATCH(COLUMNS($AO$1006:AW1006),$AO$1006:$BQ$1006,0)), HYPERLINK("#",""), HYPERLINK(CONCATENATE("#Metadata!", ADDRESS(INDEX($AJ$2:$AJ$1001,MATCH(ROWS($AH$2:AH919),$AH$2:$AH$1001,0),0), INDEX($AO$1004:$BQ$1004,1,MATCH(COLUMNS($AO$1006:AW1006),$AO$1006:$BQ$1006,0)))),"Fix")))</f>
        <v>#N/A</v>
      </c>
      <c r="K919" s="5" t="e">
        <f ca="1">IF(OR(INDEX($AI$2:$AI$1001,MATCH(ROWS($AH$2:AH919),$AH$2:$AH$1001,0),1)&gt;=100000,INDEX($AO$1005:$BQ$1005,1,MATCH(COLUMNS($AO$1006:AX1006),$AO$1006:$BQ$1006,0))&gt;=100000), " ",IF(INDEX($AO$2:$BQ$1001,MATCH(ROWS($AH$2:AH919),$AH$2:$AH$1001,0),MATCH(COLUMNS($AO$1006:AX1006),$AO$1006:$BQ$1006,0)), HYPERLINK("#",""), HYPERLINK(CONCATENATE("#Metadata!", ADDRESS(INDEX($AJ$2:$AJ$1001,MATCH(ROWS($AH$2:AH919),$AH$2:$AH$1001,0),0), INDEX($AO$1004:$BQ$1004,1,MATCH(COLUMNS($AO$1006:AX1006),$AO$1006:$BQ$1006,0)))),"Fix")))</f>
        <v>#N/A</v>
      </c>
      <c r="L919" s="5" t="e">
        <f ca="1">IF(OR(INDEX($AI$2:$AI$1001,MATCH(ROWS($AH$2:AH919),$AH$2:$AH$1001,0),1)&gt;=100000,INDEX($AO$1005:$BQ$1005,1,MATCH(COLUMNS($AO$1006:AY1006),$AO$1006:$BQ$1006,0))&gt;=100000), " ",IF(INDEX($AO$2:$BQ$1001,MATCH(ROWS($AH$2:AH919),$AH$2:$AH$1001,0),MATCH(COLUMNS($AO$1006:AY1006),$AO$1006:$BQ$1006,0)), HYPERLINK("#",""), HYPERLINK(CONCATENATE("#Metadata!", ADDRESS(INDEX($AJ$2:$AJ$1001,MATCH(ROWS($AH$2:AH919),$AH$2:$AH$1001,0),0), INDEX($AO$1004:$BQ$1004,1,MATCH(COLUMNS($AO$1006:AY1006),$AO$1006:$BQ$1006,0)))),"Fix")))</f>
        <v>#N/A</v>
      </c>
      <c r="M919" s="5" t="e">
        <f ca="1">IF(OR(INDEX($AI$2:$AI$1001,MATCH(ROWS($AH$2:AH919),$AH$2:$AH$1001,0),1)&gt;=100000,INDEX($AO$1005:$BQ$1005,1,MATCH(COLUMNS($AO$1006:AZ1006),$AO$1006:$BQ$1006,0))&gt;=100000), " ",IF(INDEX($AO$2:$BQ$1001,MATCH(ROWS($AH$2:AH919),$AH$2:$AH$1001,0),MATCH(COLUMNS($AO$1006:AZ1006),$AO$1006:$BQ$1006,0)), HYPERLINK("#",""), HYPERLINK(CONCATENATE("#Metadata!", ADDRESS(INDEX($AJ$2:$AJ$1001,MATCH(ROWS($AH$2:AH919),$AH$2:$AH$1001,0),0), INDEX($AO$1004:$BQ$1004,1,MATCH(COLUMNS($AO$1006:AZ1006),$AO$1006:$BQ$1006,0)))),"Fix")))</f>
        <v>#N/A</v>
      </c>
      <c r="N919" s="5" t="e">
        <f ca="1">IF(OR(INDEX($AI$2:$AI$1001,MATCH(ROWS($AH$2:AH919),$AH$2:$AH$1001,0),1)&gt;=100000,INDEX($AO$1005:$BQ$1005,1,MATCH(COLUMNS($AO$1006:BA1006),$AO$1006:$BQ$1006,0))&gt;=100000), " ",IF(INDEX($AO$2:$BQ$1001,MATCH(ROWS($AH$2:AH919),$AH$2:$AH$1001,0),MATCH(COLUMNS($AO$1006:BA1006),$AO$1006:$BQ$1006,0)), HYPERLINK("#",""), HYPERLINK(CONCATENATE("#Metadata!", ADDRESS(INDEX($AJ$2:$AJ$1001,MATCH(ROWS($AH$2:AH919),$AH$2:$AH$1001,0),0), INDEX($AO$1004:$BQ$1004,1,MATCH(COLUMNS($AO$1006:BA1006),$AO$1006:$BQ$1006,0)))),"Fix")))</f>
        <v>#N/A</v>
      </c>
      <c r="O919" s="5" t="e">
        <f ca="1">IF(OR(INDEX($AI$2:$AI$1001,MATCH(ROWS($AH$2:AH919),$AH$2:$AH$1001,0),1)&gt;=100000,INDEX($AO$1005:$BQ$1005,1,MATCH(COLUMNS($AO$1006:BB1006),$AO$1006:$BQ$1006,0))&gt;=100000), " ",IF(INDEX($AO$2:$BQ$1001,MATCH(ROWS($AH$2:AH919),$AH$2:$AH$1001,0),MATCH(COLUMNS($AO$1006:BB1006),$AO$1006:$BQ$1006,0)), HYPERLINK("#",""), HYPERLINK(CONCATENATE("#Metadata!", ADDRESS(INDEX($AJ$2:$AJ$1001,MATCH(ROWS($AH$2:AH919),$AH$2:$AH$1001,0),0), INDEX($AO$1004:$BQ$1004,1,MATCH(COLUMNS($AO$1006:BB1006),$AO$1006:$BQ$1006,0)))),"Fix")))</f>
        <v>#N/A</v>
      </c>
      <c r="P919" s="5" t="e">
        <f ca="1">IF(OR(INDEX($AI$2:$AI$1001,MATCH(ROWS($AH$2:AH919),$AH$2:$AH$1001,0),1)&gt;=100000,INDEX($AO$1005:$BQ$1005,1,MATCH(COLUMNS($AO$1006:BC1006),$AO$1006:$BQ$1006,0))&gt;=100000), " ",IF(INDEX($AO$2:$BQ$1001,MATCH(ROWS($AH$2:AH919),$AH$2:$AH$1001,0),MATCH(COLUMNS($AO$1006:BC1006),$AO$1006:$BQ$1006,0)), HYPERLINK("#",""), HYPERLINK(CONCATENATE("#Metadata!", ADDRESS(INDEX($AJ$2:$AJ$1001,MATCH(ROWS($AH$2:AH919),$AH$2:$AH$1001,0),0), INDEX($AO$1004:$BQ$1004,1,MATCH(COLUMNS($AO$1006:BC1006),$AO$1006:$BQ$1006,0)))),"Fix")))</f>
        <v>#N/A</v>
      </c>
      <c r="Q919" s="5" t="e">
        <f ca="1">IF(OR(INDEX($AI$2:$AI$1001,MATCH(ROWS($AH$2:AH919),$AH$2:$AH$1001,0),1)&gt;=100000,INDEX($AO$1005:$BQ$1005,1,MATCH(COLUMNS($AO$1006:BD1006),$AO$1006:$BQ$1006,0))&gt;=100000), " ",IF(INDEX($AO$2:$BQ$1001,MATCH(ROWS($AH$2:AH919),$AH$2:$AH$1001,0),MATCH(COLUMNS($AO$1006:BD1006),$AO$1006:$BQ$1006,0)), HYPERLINK("#",""), HYPERLINK(CONCATENATE("#Metadata!", ADDRESS(INDEX($AJ$2:$AJ$1001,MATCH(ROWS($AH$2:AH919),$AH$2:$AH$1001,0),0), INDEX($AO$1004:$BQ$1004,1,MATCH(COLUMNS($AO$1006:BD1006),$AO$1006:$BQ$1006,0)))),"Fix")))</f>
        <v>#N/A</v>
      </c>
      <c r="R919" s="5" t="e">
        <f ca="1">IF(OR(INDEX($AI$2:$AI$1001,MATCH(ROWS($AH$2:AH919),$AH$2:$AH$1001,0),1)&gt;=100000,INDEX($AO$1005:$BQ$1005,1,MATCH(COLUMNS($AO$1006:BE1006),$AO$1006:$BQ$1006,0))&gt;=100000), " ",IF(INDEX($AO$2:$BQ$1001,MATCH(ROWS($AH$2:AH919),$AH$2:$AH$1001,0),MATCH(COLUMNS($AO$1006:BE1006),$AO$1006:$BQ$1006,0)), HYPERLINK("#",""), HYPERLINK(CONCATENATE("#Metadata!", ADDRESS(INDEX($AJ$2:$AJ$1001,MATCH(ROWS($AH$2:AH919),$AH$2:$AH$1001,0),0), INDEX($AO$1004:$BQ$1004,1,MATCH(COLUMNS($AO$1006:BE1006),$AO$1006:$BQ$1006,0)))),"Fix")))</f>
        <v>#N/A</v>
      </c>
      <c r="S919" s="5" t="e">
        <f ca="1">IF(OR(INDEX($AI$2:$AI$1001,MATCH(ROWS($AH$2:AH919),$AH$2:$AH$1001,0),1)&gt;=100000,INDEX($AO$1005:$BQ$1005,1,MATCH(COLUMNS($AO$1006:BF1006),$AO$1006:$BQ$1006,0))&gt;=100000), " ",IF(INDEX($AO$2:$BQ$1001,MATCH(ROWS($AH$2:AH919),$AH$2:$AH$1001,0),MATCH(COLUMNS($AO$1006:BF1006),$AO$1006:$BQ$1006,0)), HYPERLINK("#",""), HYPERLINK(CONCATENATE("#Metadata!", ADDRESS(INDEX($AJ$2:$AJ$1001,MATCH(ROWS($AH$2:AH919),$AH$2:$AH$1001,0),0), INDEX($AO$1004:$BQ$1004,1,MATCH(COLUMNS($AO$1006:BF1006),$AO$1006:$BQ$1006,0)))),"Fix")))</f>
        <v>#N/A</v>
      </c>
      <c r="T919" s="5" t="e">
        <f ca="1">IF(OR(INDEX($AI$2:$AI$1001,MATCH(ROWS($AH$2:AH919),$AH$2:$AH$1001,0),1)&gt;=100000,INDEX($AO$1005:$BQ$1005,1,MATCH(COLUMNS($AO$1006:BG1006),$AO$1006:$BQ$1006,0))&gt;=100000), " ",IF(INDEX($AO$2:$BQ$1001,MATCH(ROWS($AH$2:AH919),$AH$2:$AH$1001,0),MATCH(COLUMNS($AO$1006:BG1006),$AO$1006:$BQ$1006,0)), HYPERLINK("#",""), HYPERLINK(CONCATENATE("#Metadata!", ADDRESS(INDEX($AJ$2:$AJ$1001,MATCH(ROWS($AH$2:AH919),$AH$2:$AH$1001,0),0), INDEX($AO$1004:$BQ$1004,1,MATCH(COLUMNS($AO$1006:BG1006),$AO$1006:$BQ$1006,0)))),"Fix")))</f>
        <v>#N/A</v>
      </c>
      <c r="U919" s="5" t="e">
        <f ca="1">IF(OR(INDEX($AI$2:$AI$1001,MATCH(ROWS($AH$2:AH919),$AH$2:$AH$1001,0),1)&gt;=100000,INDEX($AO$1005:$BQ$1005,1,MATCH(COLUMNS($AO$1006:BH1006),$AO$1006:$BQ$1006,0))&gt;=100000), " ",IF(INDEX($AO$2:$BQ$1001,MATCH(ROWS($AH$2:AH919),$AH$2:$AH$1001,0),MATCH(COLUMNS($AO$1006:BH1006),$AO$1006:$BQ$1006,0)), HYPERLINK("#",""), HYPERLINK(CONCATENATE("#Metadata!", ADDRESS(INDEX($AJ$2:$AJ$1001,MATCH(ROWS($AH$2:AH919),$AH$2:$AH$1001,0),0), INDEX($AO$1004:$BQ$1004,1,MATCH(COLUMNS($AO$1006:BH1006),$AO$1006:$BQ$1006,0)))),"Fix")))</f>
        <v>#N/A</v>
      </c>
      <c r="V919" s="5" t="e">
        <f ca="1">IF(OR(INDEX($AI$2:$AI$1001,MATCH(ROWS($AH$2:AH919),$AH$2:$AH$1001,0),1)&gt;=100000,INDEX($AO$1005:$BQ$1005,1,MATCH(COLUMNS($AO$1006:BI1006),$AO$1006:$BQ$1006,0))&gt;=100000), " ",IF(INDEX($AO$2:$BQ$1001,MATCH(ROWS($AH$2:AH919),$AH$2:$AH$1001,0),MATCH(COLUMNS($AO$1006:BI1006),$AO$1006:$BQ$1006,0)), HYPERLINK("#",""), HYPERLINK(CONCATENATE("#Metadata!", ADDRESS(INDEX($AJ$2:$AJ$1001,MATCH(ROWS($AH$2:AH919),$AH$2:$AH$1001,0),0), INDEX($AO$1004:$BQ$1004,1,MATCH(COLUMNS($AO$1006:BI1006),$AO$1006:$BQ$1006,0)))),"Fix")))</f>
        <v>#N/A</v>
      </c>
      <c r="W919" s="5" t="e">
        <f ca="1">IF(OR(INDEX($AI$2:$AI$1001,MATCH(ROWS($AH$2:AH919),$AH$2:$AH$1001,0),1)&gt;=100000,INDEX($AO$1005:$BQ$1005,1,MATCH(COLUMNS($AO$1006:BJ1006),$AO$1006:$BQ$1006,0))&gt;=100000), " ",IF(INDEX($AO$2:$BQ$1001,MATCH(ROWS($AH$2:AH919),$AH$2:$AH$1001,0),MATCH(COLUMNS($AO$1006:BJ1006),$AO$1006:$BQ$1006,0)), HYPERLINK("#",""), HYPERLINK(CONCATENATE("#Metadata!", ADDRESS(INDEX($AJ$2:$AJ$1001,MATCH(ROWS($AH$2:AH919),$AH$2:$AH$1001,0),0), INDEX($AO$1004:$BQ$1004,1,MATCH(COLUMNS($AO$1006:BJ1006),$AO$1006:$BQ$1006,0)))),"Fix")))</f>
        <v>#N/A</v>
      </c>
      <c r="X919" s="5" t="e">
        <f ca="1">IF(OR(INDEX($AI$2:$AI$1001,MATCH(ROWS($AH$2:AH919),$AH$2:$AH$1001,0),1)&gt;=100000,INDEX($AO$1005:$BQ$1005,1,MATCH(COLUMNS($AO$1006:BK1006),$AO$1006:$BQ$1006,0))&gt;=100000), " ",IF(INDEX($AO$2:$BQ$1001,MATCH(ROWS($AH$2:AH919),$AH$2:$AH$1001,0),MATCH(COLUMNS($AO$1006:BK1006),$AO$1006:$BQ$1006,0)), HYPERLINK("#",""), HYPERLINK(CONCATENATE("#Metadata!", ADDRESS(INDEX($AJ$2:$AJ$1001,MATCH(ROWS($AH$2:AH919),$AH$2:$AH$1001,0),0), INDEX($AO$1004:$BQ$1004,1,MATCH(COLUMNS($AO$1006:BK1006),$AO$1006:$BQ$1006,0)))),"Fix")))</f>
        <v>#N/A</v>
      </c>
      <c r="Y919" s="5" t="e">
        <f ca="1">IF(OR(INDEX($AI$2:$AI$1001,MATCH(ROWS($AH$2:AH919),$AH$2:$AH$1001,0),1)&gt;=100000,INDEX($AO$1005:$BQ$1005,1,MATCH(COLUMNS($AO$1006:BL1006),$AO$1006:$BQ$1006,0))&gt;=100000), " ",IF(INDEX($AO$2:$BQ$1001,MATCH(ROWS($AH$2:AH919),$AH$2:$AH$1001,0),MATCH(COLUMNS($AO$1006:BL1006),$AO$1006:$BQ$1006,0)), HYPERLINK("#",""), HYPERLINK(CONCATENATE("#Metadata!", ADDRESS(INDEX($AJ$2:$AJ$1001,MATCH(ROWS($AH$2:AH919),$AH$2:$AH$1001,0),0), INDEX($AO$1004:$BQ$1004,1,MATCH(COLUMNS($AO$1006:BL1006),$AO$1006:$BQ$1006,0)))),"Fix")))</f>
        <v>#N/A</v>
      </c>
      <c r="Z919" s="5" t="e">
        <f ca="1">IF(OR(INDEX($AI$2:$AI$1001,MATCH(ROWS($AH$2:AH919),$AH$2:$AH$1001,0),1)&gt;=100000,INDEX($AO$1005:$BQ$1005,1,MATCH(COLUMNS($AO$1006:BM1006),$AO$1006:$BQ$1006,0))&gt;=100000), " ",IF(INDEX($AO$2:$BQ$1001,MATCH(ROWS($AH$2:AH919),$AH$2:$AH$1001,0),MATCH(COLUMNS($AO$1006:BM1006),$AO$1006:$BQ$1006,0)), HYPERLINK("#",""), HYPERLINK(CONCATENATE("#Metadata!", ADDRESS(INDEX($AJ$2:$AJ$1001,MATCH(ROWS($AH$2:AH919),$AH$2:$AH$1001,0),0), INDEX($AO$1004:$BQ$1004,1,MATCH(COLUMNS($AO$1006:BM1006),$AO$1006:$BQ$1006,0)))),"Fix")))</f>
        <v>#N/A</v>
      </c>
      <c r="AA919" s="5" t="e">
        <f ca="1">IF(OR(INDEX($AI$2:$AI$1001,MATCH(ROWS($AH$2:AH919),$AH$2:$AH$1001,0),1)&gt;=100000,INDEX($AO$1005:$BQ$1005,1,MATCH(COLUMNS($AO$1006:BN1006),$AO$1006:$BQ$1006,0))&gt;=100000), " ",IF(INDEX($AO$2:$BQ$1001,MATCH(ROWS($AH$2:AH919),$AH$2:$AH$1001,0),MATCH(COLUMNS($AO$1006:BN1006),$AO$1006:$BQ$1006,0)), HYPERLINK("#",""), HYPERLINK(CONCATENATE("#Metadata!", ADDRESS(INDEX($AJ$2:$AJ$1001,MATCH(ROWS($AH$2:AH919),$AH$2:$AH$1001,0),0), INDEX($AO$1004:$BQ$1004,1,MATCH(COLUMNS($AO$1006:BN1006),$AO$1006:$BQ$1006,0)))),"Fix")))</f>
        <v>#N/A</v>
      </c>
      <c r="AB919" s="5" t="e">
        <f ca="1">IF(OR(INDEX($AI$2:$AI$1001,MATCH(ROWS($AH$2:AH919),$AH$2:$AH$1001,0),1)&gt;=100000,INDEX($AO$1005:$BQ$1005,1,MATCH(COLUMNS($AO$1006:BO1006),$AO$1006:$BQ$1006,0))&gt;=100000), " ",IF(INDEX($AO$2:$BQ$1001,MATCH(ROWS($AH$2:AH919),$AH$2:$AH$1001,0),MATCH(COLUMNS($AO$1006:BO1006),$AO$1006:$BQ$1006,0)), HYPERLINK("#",""), HYPERLINK(CONCATENATE("#Metadata!", ADDRESS(INDEX($AJ$2:$AJ$1001,MATCH(ROWS($AH$2:AH919),$AH$2:$AH$1001,0),0), INDEX($AO$1004:$BQ$1004,1,MATCH(COLUMNS($AO$1006:BO1006),$AO$1006:$BQ$1006,0)))),"Fix")))</f>
        <v>#N/A</v>
      </c>
      <c r="AC919" s="5" t="e">
        <f ca="1">IF(OR(INDEX($AI$2:$AI$1001,MATCH(ROWS($AH$2:AH919),$AH$2:$AH$1001,0),1)&gt;=100000,INDEX($AO$1005:$BQ$1005,1,MATCH(COLUMNS($AO$1006:BP1006),$AO$1006:$BQ$1006,0))&gt;=100000), " ",IF(INDEX($AO$2:$BQ$1001,MATCH(ROWS($AH$2:AH919),$AH$2:$AH$1001,0),MATCH(COLUMNS($AO$1006:BP1006),$AO$1006:$BQ$1006,0)), HYPERLINK("#",""), HYPERLINK(CONCATENATE("#Metadata!", ADDRESS(INDEX($AJ$2:$AJ$1001,MATCH(ROWS($AH$2:AH919),$AH$2:$AH$1001,0),0), INDEX($AO$1004:$BQ$1004,1,MATCH(COLUMNS($AO$1006:BP1006),$AO$1006:$BQ$1006,0)))),"Fix")))</f>
        <v>#N/A</v>
      </c>
      <c r="AD919" s="5" t="e">
        <f ca="1">IF(OR(INDEX($AI$2:$AI$1001,MATCH(ROWS($AH$2:AH919),$AH$2:$AH$1001,0),1)&gt;=100000,INDEX($AO$1005:$BQ$1005,1,MATCH(COLUMNS($AO$1006:BQ1006),$AO$1006:$BQ$1006,0))&gt;=100000), " ",IF(INDEX($AO$2:$BQ$1001,MATCH(ROWS($AH$2:AH919),$AH$2:$AH$1001,0),MATCH(COLUMNS($AO$1006:BQ1006),$AO$1006:$BQ$1006,0)), HYPERLINK("#",""), HYPERLINK(CONCATENATE("#Metadata!", ADDRESS(INDEX($AJ$2:$AJ$1001,MATCH(ROWS($AH$2:AH919),$AH$2:$AH$1001,0),0), INDEX($AO$1004:$BQ$1004,1,MATCH(COLUMNS($AO$1006:BQ1006),$AO$1006:$BQ$1006,0)))),"Fix")))</f>
        <v>#REF!</v>
      </c>
      <c r="AH919">
        <f ca="1"/>
        <v>916</v>
      </c>
      <c r="AI919">
        <v>100919</v>
      </c>
      <c r="AJ919">
        <v>919</v>
      </c>
      <c r="AK919" t="b">
        <f t="shared" si="14"/>
        <v>1</v>
      </c>
      <c r="AL919" t="b">
        <f>COUNTBLANK(Metadata!B919:AD919)=COLUMNS(Metadata!B919:AD919)</f>
        <v>1</v>
      </c>
      <c r="AM919" t="str">
        <v/>
      </c>
      <c r="AO919" t="b">
        <f ca="1">AND(IF(Metadata!B919="",FALSE,TRUE),COUNTIF(Metadata!B:B, Metadata!B919) = 1,NOT(ISERROR(SUMPRODUCT(SEARCH(MID(Metadata!B919,ROW(INDIRECT("1:"&amp;LEN(Metadata!B919))), 1),"0123456789abcdefghijklmnopqrstuvwxyzABCDEFGHIJKLMNOPQRSTUVWXYZ.")))))</f>
        <v>0</v>
      </c>
      <c r="AP919" t="b">
        <f>IF(Metadata!C919="",FALSE,TRUE)</f>
        <v>0</v>
      </c>
      <c r="AQ919" t="b">
        <f>IF(Metadata!D919="",FALSE,TRUE)</f>
        <v>0</v>
      </c>
      <c r="AR919" t="b">
        <f ca="1">OR(AND(IF(Metadata!E919="",FALSE,TRUE),OR(EXACT(Metadata!E919,"not collected"),EXACT(Metadata!E919,"not provided"),EXACT(Metadata!E919,"restricted access"))),AND(IF(Metadata!E919="",FALSE,TRUE),AND(AND(IFERROR(INT(LEFT(Metadata!E919,4))&gt;1900,FALSE),IFERROR(INT(LEFT(Metadata!E919,4))&lt;=YEAR(NOW()),FALSE)), OR(MID(Metadata!E919,5,1)="", AND(AND(MID(Metadata!E919,5,1)="-",IFERROR(INT(MID(Metadata!E919,6,1))&gt;=0,FALSE),IFERROR(INT(MID(Metadata!E919,6,1))&lt;=1,FALSE),NOT(MID(Metadata!E919,7,1)=""),IFERROR(INT(MID(Metadata!E919,6,2))&gt;=1,FALSE),IFERROR(INT(MID(Metadata!E919,6,2))&lt;=12,FALSE)), OR(MID(Metadata!E919,8,1)="", AND(AND(MID(Metadata!E919,8,1)="-",IFERROR(INT(MID(Metadata!E919,9,1))&gt;=0,FALSE),IFERROR(INT(MID(Metadata!E919,9,1))&lt;=3,FALSE),NOT(MID(Metadata!E919,10,1)=""),IFERROR(INT(MID(Metadata!E919,9,2))&gt;=1,FALSE),IFERROR(INT(MID(Metadata!E919,9,2))&lt;=31,FALSE)), OR(MID(Metadata!E919,11,1)="", AND(AND(MID(Metadata!E919,11,1)=" ",IFERROR(INT(MID(Metadata!E919,12,1))&gt;=0,FALSE),IFERROR(INT(MID(Metadata!E919,12,1))&lt;=2,FALSE),NOT(MID(Metadata!E919,13,1)=""),IFERROR(INT(MID(Metadata!E919,12,2))&gt;=0,FALSE),IFERROR(INT(MID(Metadata!E919,12,2))&lt;=23,FALSE)), OR(MID(Metadata!E919,14,1)="", AND(AND(MID(Metadata!E919,14,1)=":",IFERROR(INT(MID(Metadata!E919,15,1))&gt;=0,FALSE),IFERROR(INT(MID(Metadata!E919,15,1))&lt;=5,FALSE),NOT(MID(Metadata!E919,16,1)=""),IFERROR(INT(MID(Metadata!E919,15,2))&gt;=0,FALSE),IFERROR(INT(MID(Metadata!E919,15,2))&lt;=59,FALSE)), OR(MID(Metadata!E919,17,1)="", AND(AND(MID(Metadata!E919,17,1)=":",IFERROR(INT(MID(Metadata!E919,18,1))&gt;=0,FALSE),IFERROR(INT(MID(Metadata!E919,18,1))&lt;=5,FALSE),NOT(MID(Metadata!E919,19,1)=""),IFERROR(INT(MID(Metadata!E919,18,2))&gt;=0,FALSE),IFERROR(INT(MID(Metadata!E919,18,2))&lt;=59,FALSE)), LEN(Metadata!E919)&lt;=19)))))))))))))</f>
        <v>0</v>
      </c>
      <c r="AS919" t="b">
        <f>IF(Metadata!F919="",FALSE,TRUE)</f>
        <v>0</v>
      </c>
      <c r="AT919" t="b">
        <f>OR(AND(IF(Metadata!G919="",FALSE,TRUE),OR(EXACT(Metadata!G919,"not collected"),EXACT(Metadata!G919,"not provided"))),AND(IF(Metadata!G919="",FALSE,TRUE),OR(EXACT(Metadata!G919,"TRUE"),EXACT(Metadata!G919,"FALSE"))))</f>
        <v>0</v>
      </c>
      <c r="AU919" t="b">
        <f>OR(AND(IF(Metadata!H919="",FALSE,TRUE),OR(EXACT(Metadata!H919,"not collected"),EXACT(Metadata!H919,"not provided"),EXACT(Metadata!H919,"restricted access"))),AND(IF(Metadata!H919="",FALSE,ISNUMBER(VALUE(Metadata!H919))),Metadata!H919&gt;=-413))</f>
        <v>0</v>
      </c>
      <c r="AV919" t="b">
        <f>AND(IF(Metadata!I919="",FALSE,TRUE),EXACT(Metadata!I919,"meters"))</f>
        <v>0</v>
      </c>
      <c r="AW919" t="b">
        <f>AND(IF(Metadata!J919="",FALSE,TRUE),EXACT(Metadata!J919,"free-living"))</f>
        <v>0</v>
      </c>
      <c r="AX919" t="b">
        <f>AND(IF(Metadata!K919="",FALSE,TRUE),OR(EXACT(Metadata!K919,"saline"),EXACT(Metadata!K919,"non-saline")))</f>
        <v>0</v>
      </c>
      <c r="AY919" t="b">
        <f>AND(IF(Metadata!L919="",FALSE,TRUE),OR(EXACT(Metadata!L919,"sub-surface (non-saline)"),EXACT(Metadata!L919,"surface (non-saline)"),EXACT(Metadata!L919,"water (non-saline)"),EXACT(Metadata!L919,"soil (non-saline)"),EXACT(Metadata!L919,"aerosol (non-saline)"),EXACT(Metadata!L919,"sediment (non-saline)"),EXACT(Metadata!L919,"surface (saline)"),EXACT(Metadata!L919,"water (saline)"),EXACT(Metadata!L919,"hypersaline (saline)"),EXACT(Metadata!L919,"aerosol (saline)"),EXACT(Metadata!L919,"sediment (saline)")))</f>
        <v>0</v>
      </c>
      <c r="AZ919" t="b">
        <f>IF(Metadata!M919="",FALSE,TRUE)</f>
        <v>0</v>
      </c>
      <c r="BA919" t="b">
        <f>IF(Metadata!N919="",FALSE,TRUE)</f>
        <v>0</v>
      </c>
      <c r="BB919" t="b">
        <f>IF(Metadata!O919="",FALSE,TRUE)</f>
        <v>0</v>
      </c>
      <c r="BC919" t="b">
        <f>AND(IF(Metadata!P919="",FALSE,TRUE),OR(EXACT(Metadata!P919,"air"),EXACT(Metadata!P919,"microbial mat/biofilm"),EXACT(Metadata!P919,"misc environment"),EXACT(Metadata!P919,"sediment"),EXACT(Metadata!P919,"soil"),EXACT(Metadata!P919,"wastewater/sludge"),EXACT(Metadata!P919,"water")))</f>
        <v>0</v>
      </c>
      <c r="BD919" t="b">
        <f>IF(Metadata!Q919="",FALSE,TRUE)</f>
        <v>0</v>
      </c>
      <c r="BE919" t="b">
        <f>IF(Metadata!R919="",FALSE,TRUE)</f>
        <v>0</v>
      </c>
      <c r="BF919" t="b">
        <f>OR(AND(IF(Metadata!S919="",FALSE,TRUE),OR(EXACT(Metadata!S919,"not collected"),EXACT(Metadata!S919,"not provided"),EXACT(Metadata!S919,"restricted access"))),AND(IF(Metadata!S919="",FALSE,ISNUMBER(VALUE(Metadata!S919))),Metadata!S919&gt;=-90,Metadata!S919&lt;=90))</f>
        <v>0</v>
      </c>
      <c r="BG919" t="b">
        <f>AND(IF(Metadata!T919="",FALSE,TRUE),EXACT(Metadata!T919,"Decimal degrees"))</f>
        <v>0</v>
      </c>
      <c r="BH919" t="b">
        <f>OR(AND(IF(Metadata!U919="",FALSE,TRUE),OR(EXACT(Metadata!U919,"not applicable"),EXACT(Metadata!U919,"not collected"))),IF(Metadata!U919="",FALSE,TRUE))</f>
        <v>0</v>
      </c>
      <c r="BI919" t="b">
        <f>OR(AND(IF(Metadata!V919="",FALSE,TRUE),OR(EXACT(Metadata!V919,"not collected"),EXACT(Metadata!V919,"not provided"),EXACT(Metadata!V919,"restricted access"))),AND(IF(Metadata!V919="",FALSE,ISNUMBER(VALUE(Metadata!V919))),Metadata!V919&gt;=-180,Metadata!V919&lt;=180))</f>
        <v>0</v>
      </c>
      <c r="BJ919" t="b">
        <f>AND(IF(Metadata!W919="",FALSE,TRUE),EXACT(Metadata!W919,"Decimal degrees"))</f>
        <v>0</v>
      </c>
      <c r="BK919" t="b">
        <f>IF(Metadata!X919="",FALSE,TRUE)</f>
        <v>0</v>
      </c>
      <c r="BL919" t="b">
        <f>OR(AND(IF(Metadata!Y919="",FALSE,TRUE),OR(EXACT(Metadata!Y919,"not collected"),EXACT(Metadata!Y919,"not provided"),EXACT(Metadata!Y919,"restricted access"))),AND(IF(Metadata!Y919="",FALSE,TRUE),OR(EXACT(Metadata!Y919,"TRUE"),EXACT(Metadata!Y919,"FALSE"))))</f>
        <v>0</v>
      </c>
      <c r="BM919" t="b">
        <f>OR(AND(IF(Metadata!Z919="",FALSE,TRUE),EXACT(Metadata!Z919,"not applicable")),AND(IF(Metadata!Z919="",FALSE,TRUE),OR(EXACT(Metadata!Z919,"beer"),EXACT(Metadata!Z919,"cheese"),EXACT(Metadata!Z919,"fresh water"),EXACT(Metadata!Z919,"marine sediment"),EXACT(Metadata!Z919,"sea water"),EXACT(Metadata!Z919,"sediment"),EXACT(Metadata!Z919,"soil"),EXACT(Metadata!Z919,"waste water"))))</f>
        <v>0</v>
      </c>
      <c r="BN919" t="b">
        <f>AND(IF(Metadata!AA919="",FALSE,TRUE),EXACT(Metadata!AA919,"metagenome"))</f>
        <v>0</v>
      </c>
      <c r="BO919" t="b">
        <f>AND(IF(Metadata!AB919="",FALSE,TRUE),EXACT(Metadata!AB919,"256318"))</f>
        <v>0</v>
      </c>
      <c r="BP919" t="b">
        <f>IF(Metadata!AC919="",FALSE,TRUE)</f>
        <v>0</v>
      </c>
      <c r="BQ919" t="b">
        <f>IF(Metadata!AD919="",FALSE,TRUE)</f>
        <v>0</v>
      </c>
    </row>
    <row r="920" spans="1:69" x14ac:dyDescent="0.2">
      <c r="A920" s="4" t="e">
        <f ca="1">IF(B920=" "," ",HYPERLINK(CONCATENATE("#metadata!",ADDRESS(INDEX($AJ$2:$AJ$1001,MATCH(ROWS($AH$2:AH920),$AH$2:$AH$1001,0),0),2)),INDEX($AM$2:$AM$1001,MATCH(ROWS($AH$2:AH920),$AH$2:$AH$1001,0),0)))</f>
        <v>#N/A</v>
      </c>
      <c r="B920" s="5" t="e">
        <f ca="1">IF(OR(INDEX($AI$2:$AI$1001,MATCH(ROWS($AH$2:AH920),$AH$2:$AH$1001,0),1)&gt;=100000,INDEX($AO$1005:$BQ$1005,1,MATCH(COLUMNS($AO$1006:AO1006),$AO$1006:$BQ$1006,0))&gt;=100000), " ",IF(INDEX($AO$2:$BQ$1001,MATCH(ROWS($AH$2:AH920),$AH$2:$AH$1001,0),MATCH(COLUMNS($AO$1006:AO1006),$AO$1006:$BQ$1006,0)), HYPERLINK("#",""), HYPERLINK(CONCATENATE("#Metadata!", ADDRESS(INDEX($AJ$2:$AJ$1001,MATCH(ROWS($AH$2:AH920),$AH$2:$AH$1001,0),0), INDEX($AO$1004:$BQ$1004,1,MATCH(COLUMNS($AO$1006:AO1006),$AO$1006:$BQ$1006,0)))),"Fix")))</f>
        <v>#N/A</v>
      </c>
      <c r="C920" s="5" t="e">
        <f ca="1">IF(OR(INDEX($AI$2:$AI$1001,MATCH(ROWS($AH$2:AH920),$AH$2:$AH$1001,0),1)&gt;=100000,INDEX($AO$1005:$BQ$1005,1,MATCH(COLUMNS($AO$1006:AP1006),$AO$1006:$BQ$1006,0))&gt;=100000), " ",IF(INDEX($AO$2:$BQ$1001,MATCH(ROWS($AH$2:AH920),$AH$2:$AH$1001,0),MATCH(COLUMNS($AO$1006:AP1006),$AO$1006:$BQ$1006,0)), HYPERLINK("#",""), HYPERLINK(CONCATENATE("#Metadata!", ADDRESS(INDEX($AJ$2:$AJ$1001,MATCH(ROWS($AH$2:AH920),$AH$2:$AH$1001,0),0), INDEX($AO$1004:$BQ$1004,1,MATCH(COLUMNS($AO$1006:AP1006),$AO$1006:$BQ$1006,0)))),"Fix")))</f>
        <v>#N/A</v>
      </c>
      <c r="D920" s="5" t="e">
        <f ca="1">IF(OR(INDEX($AI$2:$AI$1001,MATCH(ROWS($AH$2:AH920),$AH$2:$AH$1001,0),1)&gt;=100000,INDEX($AO$1005:$BQ$1005,1,MATCH(COLUMNS($AO$1006:AQ1006),$AO$1006:$BQ$1006,0))&gt;=100000), " ",IF(INDEX($AO$2:$BQ$1001,MATCH(ROWS($AH$2:AH920),$AH$2:$AH$1001,0),MATCH(COLUMNS($AO$1006:AQ1006),$AO$1006:$BQ$1006,0)), HYPERLINK("#",""), HYPERLINK(CONCATENATE("#Metadata!", ADDRESS(INDEX($AJ$2:$AJ$1001,MATCH(ROWS($AH$2:AH920),$AH$2:$AH$1001,0),0), INDEX($AO$1004:$BQ$1004,1,MATCH(COLUMNS($AO$1006:AQ1006),$AO$1006:$BQ$1006,0)))),"Fix")))</f>
        <v>#N/A</v>
      </c>
      <c r="E920" s="5" t="e">
        <f ca="1">IF(OR(INDEX($AI$2:$AI$1001,MATCH(ROWS($AH$2:AH920),$AH$2:$AH$1001,0),1)&gt;=100000,INDEX($AO$1005:$BQ$1005,1,MATCH(COLUMNS($AO$1006:AR1006),$AO$1006:$BQ$1006,0))&gt;=100000), " ",IF(INDEX($AO$2:$BQ$1001,MATCH(ROWS($AH$2:AH920),$AH$2:$AH$1001,0),MATCH(COLUMNS($AO$1006:AR1006),$AO$1006:$BQ$1006,0)), HYPERLINK("#",""), HYPERLINK(CONCATENATE("#Metadata!", ADDRESS(INDEX($AJ$2:$AJ$1001,MATCH(ROWS($AH$2:AH920),$AH$2:$AH$1001,0),0), INDEX($AO$1004:$BQ$1004,1,MATCH(COLUMNS($AO$1006:AR1006),$AO$1006:$BQ$1006,0)))),"Fix")))</f>
        <v>#N/A</v>
      </c>
      <c r="F920" s="5" t="e">
        <f ca="1">IF(OR(INDEX($AI$2:$AI$1001,MATCH(ROWS($AH$2:AH920),$AH$2:$AH$1001,0),1)&gt;=100000,INDEX($AO$1005:$BQ$1005,1,MATCH(COLUMNS($AO$1006:AS1006),$AO$1006:$BQ$1006,0))&gt;=100000), " ",IF(INDEX($AO$2:$BQ$1001,MATCH(ROWS($AH$2:AH920),$AH$2:$AH$1001,0),MATCH(COLUMNS($AO$1006:AS1006),$AO$1006:$BQ$1006,0)), HYPERLINK("#",""), HYPERLINK(CONCATENATE("#Metadata!", ADDRESS(INDEX($AJ$2:$AJ$1001,MATCH(ROWS($AH$2:AH920),$AH$2:$AH$1001,0),0), INDEX($AO$1004:$BQ$1004,1,MATCH(COLUMNS($AO$1006:AS1006),$AO$1006:$BQ$1006,0)))),"Fix")))</f>
        <v>#N/A</v>
      </c>
      <c r="G920" s="5" t="e">
        <f ca="1">IF(OR(INDEX($AI$2:$AI$1001,MATCH(ROWS($AH$2:AH920),$AH$2:$AH$1001,0),1)&gt;=100000,INDEX($AO$1005:$BQ$1005,1,MATCH(COLUMNS($AO$1006:AT1006),$AO$1006:$BQ$1006,0))&gt;=100000), " ",IF(INDEX($AO$2:$BQ$1001,MATCH(ROWS($AH$2:AH920),$AH$2:$AH$1001,0),MATCH(COLUMNS($AO$1006:AT1006),$AO$1006:$BQ$1006,0)), HYPERLINK("#",""), HYPERLINK(CONCATENATE("#Metadata!", ADDRESS(INDEX($AJ$2:$AJ$1001,MATCH(ROWS($AH$2:AH920),$AH$2:$AH$1001,0),0), INDEX($AO$1004:$BQ$1004,1,MATCH(COLUMNS($AO$1006:AT1006),$AO$1006:$BQ$1006,0)))),"Fix")))</f>
        <v>#N/A</v>
      </c>
      <c r="H920" s="5" t="e">
        <f ca="1">IF(OR(INDEX($AI$2:$AI$1001,MATCH(ROWS($AH$2:AH920),$AH$2:$AH$1001,0),1)&gt;=100000,INDEX($AO$1005:$BQ$1005,1,MATCH(COLUMNS($AO$1006:AU1006),$AO$1006:$BQ$1006,0))&gt;=100000), " ",IF(INDEX($AO$2:$BQ$1001,MATCH(ROWS($AH$2:AH920),$AH$2:$AH$1001,0),MATCH(COLUMNS($AO$1006:AU1006),$AO$1006:$BQ$1006,0)), HYPERLINK("#",""), HYPERLINK(CONCATENATE("#Metadata!", ADDRESS(INDEX($AJ$2:$AJ$1001,MATCH(ROWS($AH$2:AH920),$AH$2:$AH$1001,0),0), INDEX($AO$1004:$BQ$1004,1,MATCH(COLUMNS($AO$1006:AU1006),$AO$1006:$BQ$1006,0)))),"Fix")))</f>
        <v>#N/A</v>
      </c>
      <c r="I920" s="5" t="e">
        <f ca="1">IF(OR(INDEX($AI$2:$AI$1001,MATCH(ROWS($AH$2:AH920),$AH$2:$AH$1001,0),1)&gt;=100000,INDEX($AO$1005:$BQ$1005,1,MATCH(COLUMNS($AO$1006:AV1006),$AO$1006:$BQ$1006,0))&gt;=100000), " ",IF(INDEX($AO$2:$BQ$1001,MATCH(ROWS($AH$2:AH920),$AH$2:$AH$1001,0),MATCH(COLUMNS($AO$1006:AV1006),$AO$1006:$BQ$1006,0)), HYPERLINK("#",""), HYPERLINK(CONCATENATE("#Metadata!", ADDRESS(INDEX($AJ$2:$AJ$1001,MATCH(ROWS($AH$2:AH920),$AH$2:$AH$1001,0),0), INDEX($AO$1004:$BQ$1004,1,MATCH(COLUMNS($AO$1006:AV1006),$AO$1006:$BQ$1006,0)))),"Fix")))</f>
        <v>#N/A</v>
      </c>
      <c r="J920" s="5" t="e">
        <f ca="1">IF(OR(INDEX($AI$2:$AI$1001,MATCH(ROWS($AH$2:AH920),$AH$2:$AH$1001,0),1)&gt;=100000,INDEX($AO$1005:$BQ$1005,1,MATCH(COLUMNS($AO$1006:AW1006),$AO$1006:$BQ$1006,0))&gt;=100000), " ",IF(INDEX($AO$2:$BQ$1001,MATCH(ROWS($AH$2:AH920),$AH$2:$AH$1001,0),MATCH(COLUMNS($AO$1006:AW1006),$AO$1006:$BQ$1006,0)), HYPERLINK("#",""), HYPERLINK(CONCATENATE("#Metadata!", ADDRESS(INDEX($AJ$2:$AJ$1001,MATCH(ROWS($AH$2:AH920),$AH$2:$AH$1001,0),0), INDEX($AO$1004:$BQ$1004,1,MATCH(COLUMNS($AO$1006:AW1006),$AO$1006:$BQ$1006,0)))),"Fix")))</f>
        <v>#N/A</v>
      </c>
      <c r="K920" s="5" t="e">
        <f ca="1">IF(OR(INDEX($AI$2:$AI$1001,MATCH(ROWS($AH$2:AH920),$AH$2:$AH$1001,0),1)&gt;=100000,INDEX($AO$1005:$BQ$1005,1,MATCH(COLUMNS($AO$1006:AX1006),$AO$1006:$BQ$1006,0))&gt;=100000), " ",IF(INDEX($AO$2:$BQ$1001,MATCH(ROWS($AH$2:AH920),$AH$2:$AH$1001,0),MATCH(COLUMNS($AO$1006:AX1006),$AO$1006:$BQ$1006,0)), HYPERLINK("#",""), HYPERLINK(CONCATENATE("#Metadata!", ADDRESS(INDEX($AJ$2:$AJ$1001,MATCH(ROWS($AH$2:AH920),$AH$2:$AH$1001,0),0), INDEX($AO$1004:$BQ$1004,1,MATCH(COLUMNS($AO$1006:AX1006),$AO$1006:$BQ$1006,0)))),"Fix")))</f>
        <v>#N/A</v>
      </c>
      <c r="L920" s="5" t="e">
        <f ca="1">IF(OR(INDEX($AI$2:$AI$1001,MATCH(ROWS($AH$2:AH920),$AH$2:$AH$1001,0),1)&gt;=100000,INDEX($AO$1005:$BQ$1005,1,MATCH(COLUMNS($AO$1006:AY1006),$AO$1006:$BQ$1006,0))&gt;=100000), " ",IF(INDEX($AO$2:$BQ$1001,MATCH(ROWS($AH$2:AH920),$AH$2:$AH$1001,0),MATCH(COLUMNS($AO$1006:AY1006),$AO$1006:$BQ$1006,0)), HYPERLINK("#",""), HYPERLINK(CONCATENATE("#Metadata!", ADDRESS(INDEX($AJ$2:$AJ$1001,MATCH(ROWS($AH$2:AH920),$AH$2:$AH$1001,0),0), INDEX($AO$1004:$BQ$1004,1,MATCH(COLUMNS($AO$1006:AY1006),$AO$1006:$BQ$1006,0)))),"Fix")))</f>
        <v>#N/A</v>
      </c>
      <c r="M920" s="5" t="e">
        <f ca="1">IF(OR(INDEX($AI$2:$AI$1001,MATCH(ROWS($AH$2:AH920),$AH$2:$AH$1001,0),1)&gt;=100000,INDEX($AO$1005:$BQ$1005,1,MATCH(COLUMNS($AO$1006:AZ1006),$AO$1006:$BQ$1006,0))&gt;=100000), " ",IF(INDEX($AO$2:$BQ$1001,MATCH(ROWS($AH$2:AH920),$AH$2:$AH$1001,0),MATCH(COLUMNS($AO$1006:AZ1006),$AO$1006:$BQ$1006,0)), HYPERLINK("#",""), HYPERLINK(CONCATENATE("#Metadata!", ADDRESS(INDEX($AJ$2:$AJ$1001,MATCH(ROWS($AH$2:AH920),$AH$2:$AH$1001,0),0), INDEX($AO$1004:$BQ$1004,1,MATCH(COLUMNS($AO$1006:AZ1006),$AO$1006:$BQ$1006,0)))),"Fix")))</f>
        <v>#N/A</v>
      </c>
      <c r="N920" s="5" t="e">
        <f ca="1">IF(OR(INDEX($AI$2:$AI$1001,MATCH(ROWS($AH$2:AH920),$AH$2:$AH$1001,0),1)&gt;=100000,INDEX($AO$1005:$BQ$1005,1,MATCH(COLUMNS($AO$1006:BA1006),$AO$1006:$BQ$1006,0))&gt;=100000), " ",IF(INDEX($AO$2:$BQ$1001,MATCH(ROWS($AH$2:AH920),$AH$2:$AH$1001,0),MATCH(COLUMNS($AO$1006:BA1006),$AO$1006:$BQ$1006,0)), HYPERLINK("#",""), HYPERLINK(CONCATENATE("#Metadata!", ADDRESS(INDEX($AJ$2:$AJ$1001,MATCH(ROWS($AH$2:AH920),$AH$2:$AH$1001,0),0), INDEX($AO$1004:$BQ$1004,1,MATCH(COLUMNS($AO$1006:BA1006),$AO$1006:$BQ$1006,0)))),"Fix")))</f>
        <v>#N/A</v>
      </c>
      <c r="O920" s="5" t="e">
        <f ca="1">IF(OR(INDEX($AI$2:$AI$1001,MATCH(ROWS($AH$2:AH920),$AH$2:$AH$1001,0),1)&gt;=100000,INDEX($AO$1005:$BQ$1005,1,MATCH(COLUMNS($AO$1006:BB1006),$AO$1006:$BQ$1006,0))&gt;=100000), " ",IF(INDEX($AO$2:$BQ$1001,MATCH(ROWS($AH$2:AH920),$AH$2:$AH$1001,0),MATCH(COLUMNS($AO$1006:BB1006),$AO$1006:$BQ$1006,0)), HYPERLINK("#",""), HYPERLINK(CONCATENATE("#Metadata!", ADDRESS(INDEX($AJ$2:$AJ$1001,MATCH(ROWS($AH$2:AH920),$AH$2:$AH$1001,0),0), INDEX($AO$1004:$BQ$1004,1,MATCH(COLUMNS($AO$1006:BB1006),$AO$1006:$BQ$1006,0)))),"Fix")))</f>
        <v>#N/A</v>
      </c>
      <c r="P920" s="5" t="e">
        <f ca="1">IF(OR(INDEX($AI$2:$AI$1001,MATCH(ROWS($AH$2:AH920),$AH$2:$AH$1001,0),1)&gt;=100000,INDEX($AO$1005:$BQ$1005,1,MATCH(COLUMNS($AO$1006:BC1006),$AO$1006:$BQ$1006,0))&gt;=100000), " ",IF(INDEX($AO$2:$BQ$1001,MATCH(ROWS($AH$2:AH920),$AH$2:$AH$1001,0),MATCH(COLUMNS($AO$1006:BC1006),$AO$1006:$BQ$1006,0)), HYPERLINK("#",""), HYPERLINK(CONCATENATE("#Metadata!", ADDRESS(INDEX($AJ$2:$AJ$1001,MATCH(ROWS($AH$2:AH920),$AH$2:$AH$1001,0),0), INDEX($AO$1004:$BQ$1004,1,MATCH(COLUMNS($AO$1006:BC1006),$AO$1006:$BQ$1006,0)))),"Fix")))</f>
        <v>#N/A</v>
      </c>
      <c r="Q920" s="5" t="e">
        <f ca="1">IF(OR(INDEX($AI$2:$AI$1001,MATCH(ROWS($AH$2:AH920),$AH$2:$AH$1001,0),1)&gt;=100000,INDEX($AO$1005:$BQ$1005,1,MATCH(COLUMNS($AO$1006:BD1006),$AO$1006:$BQ$1006,0))&gt;=100000), " ",IF(INDEX($AO$2:$BQ$1001,MATCH(ROWS($AH$2:AH920),$AH$2:$AH$1001,0),MATCH(COLUMNS($AO$1006:BD1006),$AO$1006:$BQ$1006,0)), HYPERLINK("#",""), HYPERLINK(CONCATENATE("#Metadata!", ADDRESS(INDEX($AJ$2:$AJ$1001,MATCH(ROWS($AH$2:AH920),$AH$2:$AH$1001,0),0), INDEX($AO$1004:$BQ$1004,1,MATCH(COLUMNS($AO$1006:BD1006),$AO$1006:$BQ$1006,0)))),"Fix")))</f>
        <v>#N/A</v>
      </c>
      <c r="R920" s="5" t="e">
        <f ca="1">IF(OR(INDEX($AI$2:$AI$1001,MATCH(ROWS($AH$2:AH920),$AH$2:$AH$1001,0),1)&gt;=100000,INDEX($AO$1005:$BQ$1005,1,MATCH(COLUMNS($AO$1006:BE1006),$AO$1006:$BQ$1006,0))&gt;=100000), " ",IF(INDEX($AO$2:$BQ$1001,MATCH(ROWS($AH$2:AH920),$AH$2:$AH$1001,0),MATCH(COLUMNS($AO$1006:BE1006),$AO$1006:$BQ$1006,0)), HYPERLINK("#",""), HYPERLINK(CONCATENATE("#Metadata!", ADDRESS(INDEX($AJ$2:$AJ$1001,MATCH(ROWS($AH$2:AH920),$AH$2:$AH$1001,0),0), INDEX($AO$1004:$BQ$1004,1,MATCH(COLUMNS($AO$1006:BE1006),$AO$1006:$BQ$1006,0)))),"Fix")))</f>
        <v>#N/A</v>
      </c>
      <c r="S920" s="5" t="e">
        <f ca="1">IF(OR(INDEX($AI$2:$AI$1001,MATCH(ROWS($AH$2:AH920),$AH$2:$AH$1001,0),1)&gt;=100000,INDEX($AO$1005:$BQ$1005,1,MATCH(COLUMNS($AO$1006:BF1006),$AO$1006:$BQ$1006,0))&gt;=100000), " ",IF(INDEX($AO$2:$BQ$1001,MATCH(ROWS($AH$2:AH920),$AH$2:$AH$1001,0),MATCH(COLUMNS($AO$1006:BF1006),$AO$1006:$BQ$1006,0)), HYPERLINK("#",""), HYPERLINK(CONCATENATE("#Metadata!", ADDRESS(INDEX($AJ$2:$AJ$1001,MATCH(ROWS($AH$2:AH920),$AH$2:$AH$1001,0),0), INDEX($AO$1004:$BQ$1004,1,MATCH(COLUMNS($AO$1006:BF1006),$AO$1006:$BQ$1006,0)))),"Fix")))</f>
        <v>#N/A</v>
      </c>
      <c r="T920" s="5" t="e">
        <f ca="1">IF(OR(INDEX($AI$2:$AI$1001,MATCH(ROWS($AH$2:AH920),$AH$2:$AH$1001,0),1)&gt;=100000,INDEX($AO$1005:$BQ$1005,1,MATCH(COLUMNS($AO$1006:BG1006),$AO$1006:$BQ$1006,0))&gt;=100000), " ",IF(INDEX($AO$2:$BQ$1001,MATCH(ROWS($AH$2:AH920),$AH$2:$AH$1001,0),MATCH(COLUMNS($AO$1006:BG1006),$AO$1006:$BQ$1006,0)), HYPERLINK("#",""), HYPERLINK(CONCATENATE("#Metadata!", ADDRESS(INDEX($AJ$2:$AJ$1001,MATCH(ROWS($AH$2:AH920),$AH$2:$AH$1001,0),0), INDEX($AO$1004:$BQ$1004,1,MATCH(COLUMNS($AO$1006:BG1006),$AO$1006:$BQ$1006,0)))),"Fix")))</f>
        <v>#N/A</v>
      </c>
      <c r="U920" s="5" t="e">
        <f ca="1">IF(OR(INDEX($AI$2:$AI$1001,MATCH(ROWS($AH$2:AH920),$AH$2:$AH$1001,0),1)&gt;=100000,INDEX($AO$1005:$BQ$1005,1,MATCH(COLUMNS($AO$1006:BH1006),$AO$1006:$BQ$1006,0))&gt;=100000), " ",IF(INDEX($AO$2:$BQ$1001,MATCH(ROWS($AH$2:AH920),$AH$2:$AH$1001,0),MATCH(COLUMNS($AO$1006:BH1006),$AO$1006:$BQ$1006,0)), HYPERLINK("#",""), HYPERLINK(CONCATENATE("#Metadata!", ADDRESS(INDEX($AJ$2:$AJ$1001,MATCH(ROWS($AH$2:AH920),$AH$2:$AH$1001,0),0), INDEX($AO$1004:$BQ$1004,1,MATCH(COLUMNS($AO$1006:BH1006),$AO$1006:$BQ$1006,0)))),"Fix")))</f>
        <v>#N/A</v>
      </c>
      <c r="V920" s="5" t="e">
        <f ca="1">IF(OR(INDEX($AI$2:$AI$1001,MATCH(ROWS($AH$2:AH920),$AH$2:$AH$1001,0),1)&gt;=100000,INDEX($AO$1005:$BQ$1005,1,MATCH(COLUMNS($AO$1006:BI1006),$AO$1006:$BQ$1006,0))&gt;=100000), " ",IF(INDEX($AO$2:$BQ$1001,MATCH(ROWS($AH$2:AH920),$AH$2:$AH$1001,0),MATCH(COLUMNS($AO$1006:BI1006),$AO$1006:$BQ$1006,0)), HYPERLINK("#",""), HYPERLINK(CONCATENATE("#Metadata!", ADDRESS(INDEX($AJ$2:$AJ$1001,MATCH(ROWS($AH$2:AH920),$AH$2:$AH$1001,0),0), INDEX($AO$1004:$BQ$1004,1,MATCH(COLUMNS($AO$1006:BI1006),$AO$1006:$BQ$1006,0)))),"Fix")))</f>
        <v>#N/A</v>
      </c>
      <c r="W920" s="5" t="e">
        <f ca="1">IF(OR(INDEX($AI$2:$AI$1001,MATCH(ROWS($AH$2:AH920),$AH$2:$AH$1001,0),1)&gt;=100000,INDEX($AO$1005:$BQ$1005,1,MATCH(COLUMNS($AO$1006:BJ1006),$AO$1006:$BQ$1006,0))&gt;=100000), " ",IF(INDEX($AO$2:$BQ$1001,MATCH(ROWS($AH$2:AH920),$AH$2:$AH$1001,0),MATCH(COLUMNS($AO$1006:BJ1006),$AO$1006:$BQ$1006,0)), HYPERLINK("#",""), HYPERLINK(CONCATENATE("#Metadata!", ADDRESS(INDEX($AJ$2:$AJ$1001,MATCH(ROWS($AH$2:AH920),$AH$2:$AH$1001,0),0), INDEX($AO$1004:$BQ$1004,1,MATCH(COLUMNS($AO$1006:BJ1006),$AO$1006:$BQ$1006,0)))),"Fix")))</f>
        <v>#N/A</v>
      </c>
      <c r="X920" s="5" t="e">
        <f ca="1">IF(OR(INDEX($AI$2:$AI$1001,MATCH(ROWS($AH$2:AH920),$AH$2:$AH$1001,0),1)&gt;=100000,INDEX($AO$1005:$BQ$1005,1,MATCH(COLUMNS($AO$1006:BK1006),$AO$1006:$BQ$1006,0))&gt;=100000), " ",IF(INDEX($AO$2:$BQ$1001,MATCH(ROWS($AH$2:AH920),$AH$2:$AH$1001,0),MATCH(COLUMNS($AO$1006:BK1006),$AO$1006:$BQ$1006,0)), HYPERLINK("#",""), HYPERLINK(CONCATENATE("#Metadata!", ADDRESS(INDEX($AJ$2:$AJ$1001,MATCH(ROWS($AH$2:AH920),$AH$2:$AH$1001,0),0), INDEX($AO$1004:$BQ$1004,1,MATCH(COLUMNS($AO$1006:BK1006),$AO$1006:$BQ$1006,0)))),"Fix")))</f>
        <v>#N/A</v>
      </c>
      <c r="Y920" s="5" t="e">
        <f ca="1">IF(OR(INDEX($AI$2:$AI$1001,MATCH(ROWS($AH$2:AH920),$AH$2:$AH$1001,0),1)&gt;=100000,INDEX($AO$1005:$BQ$1005,1,MATCH(COLUMNS($AO$1006:BL1006),$AO$1006:$BQ$1006,0))&gt;=100000), " ",IF(INDEX($AO$2:$BQ$1001,MATCH(ROWS($AH$2:AH920),$AH$2:$AH$1001,0),MATCH(COLUMNS($AO$1006:BL1006),$AO$1006:$BQ$1006,0)), HYPERLINK("#",""), HYPERLINK(CONCATENATE("#Metadata!", ADDRESS(INDEX($AJ$2:$AJ$1001,MATCH(ROWS($AH$2:AH920),$AH$2:$AH$1001,0),0), INDEX($AO$1004:$BQ$1004,1,MATCH(COLUMNS($AO$1006:BL1006),$AO$1006:$BQ$1006,0)))),"Fix")))</f>
        <v>#N/A</v>
      </c>
      <c r="Z920" s="5" t="e">
        <f ca="1">IF(OR(INDEX($AI$2:$AI$1001,MATCH(ROWS($AH$2:AH920),$AH$2:$AH$1001,0),1)&gt;=100000,INDEX($AO$1005:$BQ$1005,1,MATCH(COLUMNS($AO$1006:BM1006),$AO$1006:$BQ$1006,0))&gt;=100000), " ",IF(INDEX($AO$2:$BQ$1001,MATCH(ROWS($AH$2:AH920),$AH$2:$AH$1001,0),MATCH(COLUMNS($AO$1006:BM1006),$AO$1006:$BQ$1006,0)), HYPERLINK("#",""), HYPERLINK(CONCATENATE("#Metadata!", ADDRESS(INDEX($AJ$2:$AJ$1001,MATCH(ROWS($AH$2:AH920),$AH$2:$AH$1001,0),0), INDEX($AO$1004:$BQ$1004,1,MATCH(COLUMNS($AO$1006:BM1006),$AO$1006:$BQ$1006,0)))),"Fix")))</f>
        <v>#N/A</v>
      </c>
      <c r="AA920" s="5" t="e">
        <f ca="1">IF(OR(INDEX($AI$2:$AI$1001,MATCH(ROWS($AH$2:AH920),$AH$2:$AH$1001,0),1)&gt;=100000,INDEX($AO$1005:$BQ$1005,1,MATCH(COLUMNS($AO$1006:BN1006),$AO$1006:$BQ$1006,0))&gt;=100000), " ",IF(INDEX($AO$2:$BQ$1001,MATCH(ROWS($AH$2:AH920),$AH$2:$AH$1001,0),MATCH(COLUMNS($AO$1006:BN1006),$AO$1006:$BQ$1006,0)), HYPERLINK("#",""), HYPERLINK(CONCATENATE("#Metadata!", ADDRESS(INDEX($AJ$2:$AJ$1001,MATCH(ROWS($AH$2:AH920),$AH$2:$AH$1001,0),0), INDEX($AO$1004:$BQ$1004,1,MATCH(COLUMNS($AO$1006:BN1006),$AO$1006:$BQ$1006,0)))),"Fix")))</f>
        <v>#N/A</v>
      </c>
      <c r="AB920" s="5" t="e">
        <f ca="1">IF(OR(INDEX($AI$2:$AI$1001,MATCH(ROWS($AH$2:AH920),$AH$2:$AH$1001,0),1)&gt;=100000,INDEX($AO$1005:$BQ$1005,1,MATCH(COLUMNS($AO$1006:BO1006),$AO$1006:$BQ$1006,0))&gt;=100000), " ",IF(INDEX($AO$2:$BQ$1001,MATCH(ROWS($AH$2:AH920),$AH$2:$AH$1001,0),MATCH(COLUMNS($AO$1006:BO1006),$AO$1006:$BQ$1006,0)), HYPERLINK("#",""), HYPERLINK(CONCATENATE("#Metadata!", ADDRESS(INDEX($AJ$2:$AJ$1001,MATCH(ROWS($AH$2:AH920),$AH$2:$AH$1001,0),0), INDEX($AO$1004:$BQ$1004,1,MATCH(COLUMNS($AO$1006:BO1006),$AO$1006:$BQ$1006,0)))),"Fix")))</f>
        <v>#N/A</v>
      </c>
      <c r="AC920" s="5" t="e">
        <f ca="1">IF(OR(INDEX($AI$2:$AI$1001,MATCH(ROWS($AH$2:AH920),$AH$2:$AH$1001,0),1)&gt;=100000,INDEX($AO$1005:$BQ$1005,1,MATCH(COLUMNS($AO$1006:BP1006),$AO$1006:$BQ$1006,0))&gt;=100000), " ",IF(INDEX($AO$2:$BQ$1001,MATCH(ROWS($AH$2:AH920),$AH$2:$AH$1001,0),MATCH(COLUMNS($AO$1006:BP1006),$AO$1006:$BQ$1006,0)), HYPERLINK("#",""), HYPERLINK(CONCATENATE("#Metadata!", ADDRESS(INDEX($AJ$2:$AJ$1001,MATCH(ROWS($AH$2:AH920),$AH$2:$AH$1001,0),0), INDEX($AO$1004:$BQ$1004,1,MATCH(COLUMNS($AO$1006:BP1006),$AO$1006:$BQ$1006,0)))),"Fix")))</f>
        <v>#N/A</v>
      </c>
      <c r="AD920" s="5" t="e">
        <f ca="1">IF(OR(INDEX($AI$2:$AI$1001,MATCH(ROWS($AH$2:AH920),$AH$2:$AH$1001,0),1)&gt;=100000,INDEX($AO$1005:$BQ$1005,1,MATCH(COLUMNS($AO$1006:BQ1006),$AO$1006:$BQ$1006,0))&gt;=100000), " ",IF(INDEX($AO$2:$BQ$1001,MATCH(ROWS($AH$2:AH920),$AH$2:$AH$1001,0),MATCH(COLUMNS($AO$1006:BQ1006),$AO$1006:$BQ$1006,0)), HYPERLINK("#",""), HYPERLINK(CONCATENATE("#Metadata!", ADDRESS(INDEX($AJ$2:$AJ$1001,MATCH(ROWS($AH$2:AH920),$AH$2:$AH$1001,0),0), INDEX($AO$1004:$BQ$1004,1,MATCH(COLUMNS($AO$1006:BQ1006),$AO$1006:$BQ$1006,0)))),"Fix")))</f>
        <v>#REF!</v>
      </c>
      <c r="AH920">
        <f ca="1"/>
        <v>917</v>
      </c>
      <c r="AI920">
        <v>100920</v>
      </c>
      <c r="AJ920">
        <v>920</v>
      </c>
      <c r="AK920" t="b">
        <f t="shared" si="14"/>
        <v>1</v>
      </c>
      <c r="AL920" t="b">
        <f>COUNTBLANK(Metadata!B920:AD920)=COLUMNS(Metadata!B920:AD920)</f>
        <v>1</v>
      </c>
      <c r="AM920" t="str">
        <v/>
      </c>
      <c r="AO920" t="b">
        <f ca="1">AND(IF(Metadata!B920="",FALSE,TRUE),COUNTIF(Metadata!B:B, Metadata!B920) = 1,NOT(ISERROR(SUMPRODUCT(SEARCH(MID(Metadata!B920,ROW(INDIRECT("1:"&amp;LEN(Metadata!B920))), 1),"0123456789abcdefghijklmnopqrstuvwxyzABCDEFGHIJKLMNOPQRSTUVWXYZ.")))))</f>
        <v>0</v>
      </c>
      <c r="AP920" t="b">
        <f>IF(Metadata!C920="",FALSE,TRUE)</f>
        <v>0</v>
      </c>
      <c r="AQ920" t="b">
        <f>IF(Metadata!D920="",FALSE,TRUE)</f>
        <v>0</v>
      </c>
      <c r="AR920" t="b">
        <f ca="1">OR(AND(IF(Metadata!E920="",FALSE,TRUE),OR(EXACT(Metadata!E920,"not collected"),EXACT(Metadata!E920,"not provided"),EXACT(Metadata!E920,"restricted access"))),AND(IF(Metadata!E920="",FALSE,TRUE),AND(AND(IFERROR(INT(LEFT(Metadata!E920,4))&gt;1900,FALSE),IFERROR(INT(LEFT(Metadata!E920,4))&lt;=YEAR(NOW()),FALSE)), OR(MID(Metadata!E920,5,1)="", AND(AND(MID(Metadata!E920,5,1)="-",IFERROR(INT(MID(Metadata!E920,6,1))&gt;=0,FALSE),IFERROR(INT(MID(Metadata!E920,6,1))&lt;=1,FALSE),NOT(MID(Metadata!E920,7,1)=""),IFERROR(INT(MID(Metadata!E920,6,2))&gt;=1,FALSE),IFERROR(INT(MID(Metadata!E920,6,2))&lt;=12,FALSE)), OR(MID(Metadata!E920,8,1)="", AND(AND(MID(Metadata!E920,8,1)="-",IFERROR(INT(MID(Metadata!E920,9,1))&gt;=0,FALSE),IFERROR(INT(MID(Metadata!E920,9,1))&lt;=3,FALSE),NOT(MID(Metadata!E920,10,1)=""),IFERROR(INT(MID(Metadata!E920,9,2))&gt;=1,FALSE),IFERROR(INT(MID(Metadata!E920,9,2))&lt;=31,FALSE)), OR(MID(Metadata!E920,11,1)="", AND(AND(MID(Metadata!E920,11,1)=" ",IFERROR(INT(MID(Metadata!E920,12,1))&gt;=0,FALSE),IFERROR(INT(MID(Metadata!E920,12,1))&lt;=2,FALSE),NOT(MID(Metadata!E920,13,1)=""),IFERROR(INT(MID(Metadata!E920,12,2))&gt;=0,FALSE),IFERROR(INT(MID(Metadata!E920,12,2))&lt;=23,FALSE)), OR(MID(Metadata!E920,14,1)="", AND(AND(MID(Metadata!E920,14,1)=":",IFERROR(INT(MID(Metadata!E920,15,1))&gt;=0,FALSE),IFERROR(INT(MID(Metadata!E920,15,1))&lt;=5,FALSE),NOT(MID(Metadata!E920,16,1)=""),IFERROR(INT(MID(Metadata!E920,15,2))&gt;=0,FALSE),IFERROR(INT(MID(Metadata!E920,15,2))&lt;=59,FALSE)), OR(MID(Metadata!E920,17,1)="", AND(AND(MID(Metadata!E920,17,1)=":",IFERROR(INT(MID(Metadata!E920,18,1))&gt;=0,FALSE),IFERROR(INT(MID(Metadata!E920,18,1))&lt;=5,FALSE),NOT(MID(Metadata!E920,19,1)=""),IFERROR(INT(MID(Metadata!E920,18,2))&gt;=0,FALSE),IFERROR(INT(MID(Metadata!E920,18,2))&lt;=59,FALSE)), LEN(Metadata!E920)&lt;=19)))))))))))))</f>
        <v>0</v>
      </c>
      <c r="AS920" t="b">
        <f>IF(Metadata!F920="",FALSE,TRUE)</f>
        <v>0</v>
      </c>
      <c r="AT920" t="b">
        <f>OR(AND(IF(Metadata!G920="",FALSE,TRUE),OR(EXACT(Metadata!G920,"not collected"),EXACT(Metadata!G920,"not provided"))),AND(IF(Metadata!G920="",FALSE,TRUE),OR(EXACT(Metadata!G920,"TRUE"),EXACT(Metadata!G920,"FALSE"))))</f>
        <v>0</v>
      </c>
      <c r="AU920" t="b">
        <f>OR(AND(IF(Metadata!H920="",FALSE,TRUE),OR(EXACT(Metadata!H920,"not collected"),EXACT(Metadata!H920,"not provided"),EXACT(Metadata!H920,"restricted access"))),AND(IF(Metadata!H920="",FALSE,ISNUMBER(VALUE(Metadata!H920))),Metadata!H920&gt;=-413))</f>
        <v>0</v>
      </c>
      <c r="AV920" t="b">
        <f>AND(IF(Metadata!I920="",FALSE,TRUE),EXACT(Metadata!I920,"meters"))</f>
        <v>0</v>
      </c>
      <c r="AW920" t="b">
        <f>AND(IF(Metadata!J920="",FALSE,TRUE),EXACT(Metadata!J920,"free-living"))</f>
        <v>0</v>
      </c>
      <c r="AX920" t="b">
        <f>AND(IF(Metadata!K920="",FALSE,TRUE),OR(EXACT(Metadata!K920,"saline"),EXACT(Metadata!K920,"non-saline")))</f>
        <v>0</v>
      </c>
      <c r="AY920" t="b">
        <f>AND(IF(Metadata!L920="",FALSE,TRUE),OR(EXACT(Metadata!L920,"sub-surface (non-saline)"),EXACT(Metadata!L920,"surface (non-saline)"),EXACT(Metadata!L920,"water (non-saline)"),EXACT(Metadata!L920,"soil (non-saline)"),EXACT(Metadata!L920,"aerosol (non-saline)"),EXACT(Metadata!L920,"sediment (non-saline)"),EXACT(Metadata!L920,"surface (saline)"),EXACT(Metadata!L920,"water (saline)"),EXACT(Metadata!L920,"hypersaline (saline)"),EXACT(Metadata!L920,"aerosol (saline)"),EXACT(Metadata!L920,"sediment (saline)")))</f>
        <v>0</v>
      </c>
      <c r="AZ920" t="b">
        <f>IF(Metadata!M920="",FALSE,TRUE)</f>
        <v>0</v>
      </c>
      <c r="BA920" t="b">
        <f>IF(Metadata!N920="",FALSE,TRUE)</f>
        <v>0</v>
      </c>
      <c r="BB920" t="b">
        <f>IF(Metadata!O920="",FALSE,TRUE)</f>
        <v>0</v>
      </c>
      <c r="BC920" t="b">
        <f>AND(IF(Metadata!P920="",FALSE,TRUE),OR(EXACT(Metadata!P920,"air"),EXACT(Metadata!P920,"microbial mat/biofilm"),EXACT(Metadata!P920,"misc environment"),EXACT(Metadata!P920,"sediment"),EXACT(Metadata!P920,"soil"),EXACT(Metadata!P920,"wastewater/sludge"),EXACT(Metadata!P920,"water")))</f>
        <v>0</v>
      </c>
      <c r="BD920" t="b">
        <f>IF(Metadata!Q920="",FALSE,TRUE)</f>
        <v>0</v>
      </c>
      <c r="BE920" t="b">
        <f>IF(Metadata!R920="",FALSE,TRUE)</f>
        <v>0</v>
      </c>
      <c r="BF920" t="b">
        <f>OR(AND(IF(Metadata!S920="",FALSE,TRUE),OR(EXACT(Metadata!S920,"not collected"),EXACT(Metadata!S920,"not provided"),EXACT(Metadata!S920,"restricted access"))),AND(IF(Metadata!S920="",FALSE,ISNUMBER(VALUE(Metadata!S920))),Metadata!S920&gt;=-90,Metadata!S920&lt;=90))</f>
        <v>0</v>
      </c>
      <c r="BG920" t="b">
        <f>AND(IF(Metadata!T920="",FALSE,TRUE),EXACT(Metadata!T920,"Decimal degrees"))</f>
        <v>0</v>
      </c>
      <c r="BH920" t="b">
        <f>OR(AND(IF(Metadata!U920="",FALSE,TRUE),OR(EXACT(Metadata!U920,"not applicable"),EXACT(Metadata!U920,"not collected"))),IF(Metadata!U920="",FALSE,TRUE))</f>
        <v>0</v>
      </c>
      <c r="BI920" t="b">
        <f>OR(AND(IF(Metadata!V920="",FALSE,TRUE),OR(EXACT(Metadata!V920,"not collected"),EXACT(Metadata!V920,"not provided"),EXACT(Metadata!V920,"restricted access"))),AND(IF(Metadata!V920="",FALSE,ISNUMBER(VALUE(Metadata!V920))),Metadata!V920&gt;=-180,Metadata!V920&lt;=180))</f>
        <v>0</v>
      </c>
      <c r="BJ920" t="b">
        <f>AND(IF(Metadata!W920="",FALSE,TRUE),EXACT(Metadata!W920,"Decimal degrees"))</f>
        <v>0</v>
      </c>
      <c r="BK920" t="b">
        <f>IF(Metadata!X920="",FALSE,TRUE)</f>
        <v>0</v>
      </c>
      <c r="BL920" t="b">
        <f>OR(AND(IF(Metadata!Y920="",FALSE,TRUE),OR(EXACT(Metadata!Y920,"not collected"),EXACT(Metadata!Y920,"not provided"),EXACT(Metadata!Y920,"restricted access"))),AND(IF(Metadata!Y920="",FALSE,TRUE),OR(EXACT(Metadata!Y920,"TRUE"),EXACT(Metadata!Y920,"FALSE"))))</f>
        <v>0</v>
      </c>
      <c r="BM920" t="b">
        <f>OR(AND(IF(Metadata!Z920="",FALSE,TRUE),EXACT(Metadata!Z920,"not applicable")),AND(IF(Metadata!Z920="",FALSE,TRUE),OR(EXACT(Metadata!Z920,"beer"),EXACT(Metadata!Z920,"cheese"),EXACT(Metadata!Z920,"fresh water"),EXACT(Metadata!Z920,"marine sediment"),EXACT(Metadata!Z920,"sea water"),EXACT(Metadata!Z920,"sediment"),EXACT(Metadata!Z920,"soil"),EXACT(Metadata!Z920,"waste water"))))</f>
        <v>0</v>
      </c>
      <c r="BN920" t="b">
        <f>AND(IF(Metadata!AA920="",FALSE,TRUE),EXACT(Metadata!AA920,"metagenome"))</f>
        <v>0</v>
      </c>
      <c r="BO920" t="b">
        <f>AND(IF(Metadata!AB920="",FALSE,TRUE),EXACT(Metadata!AB920,"256318"))</f>
        <v>0</v>
      </c>
      <c r="BP920" t="b">
        <f>IF(Metadata!AC920="",FALSE,TRUE)</f>
        <v>0</v>
      </c>
      <c r="BQ920" t="b">
        <f>IF(Metadata!AD920="",FALSE,TRUE)</f>
        <v>0</v>
      </c>
    </row>
    <row r="921" spans="1:69" x14ac:dyDescent="0.2">
      <c r="A921" s="4" t="e">
        <f ca="1">IF(B921=" "," ",HYPERLINK(CONCATENATE("#metadata!",ADDRESS(INDEX($AJ$2:$AJ$1001,MATCH(ROWS($AH$2:AH921),$AH$2:$AH$1001,0),0),2)),INDEX($AM$2:$AM$1001,MATCH(ROWS($AH$2:AH921),$AH$2:$AH$1001,0),0)))</f>
        <v>#N/A</v>
      </c>
      <c r="B921" s="5" t="e">
        <f ca="1">IF(OR(INDEX($AI$2:$AI$1001,MATCH(ROWS($AH$2:AH921),$AH$2:$AH$1001,0),1)&gt;=100000,INDEX($AO$1005:$BQ$1005,1,MATCH(COLUMNS($AO$1006:AO1006),$AO$1006:$BQ$1006,0))&gt;=100000), " ",IF(INDEX($AO$2:$BQ$1001,MATCH(ROWS($AH$2:AH921),$AH$2:$AH$1001,0),MATCH(COLUMNS($AO$1006:AO1006),$AO$1006:$BQ$1006,0)), HYPERLINK("#",""), HYPERLINK(CONCATENATE("#Metadata!", ADDRESS(INDEX($AJ$2:$AJ$1001,MATCH(ROWS($AH$2:AH921),$AH$2:$AH$1001,0),0), INDEX($AO$1004:$BQ$1004,1,MATCH(COLUMNS($AO$1006:AO1006),$AO$1006:$BQ$1006,0)))),"Fix")))</f>
        <v>#N/A</v>
      </c>
      <c r="C921" s="5" t="e">
        <f ca="1">IF(OR(INDEX($AI$2:$AI$1001,MATCH(ROWS($AH$2:AH921),$AH$2:$AH$1001,0),1)&gt;=100000,INDEX($AO$1005:$BQ$1005,1,MATCH(COLUMNS($AO$1006:AP1006),$AO$1006:$BQ$1006,0))&gt;=100000), " ",IF(INDEX($AO$2:$BQ$1001,MATCH(ROWS($AH$2:AH921),$AH$2:$AH$1001,0),MATCH(COLUMNS($AO$1006:AP1006),$AO$1006:$BQ$1006,0)), HYPERLINK("#",""), HYPERLINK(CONCATENATE("#Metadata!", ADDRESS(INDEX($AJ$2:$AJ$1001,MATCH(ROWS($AH$2:AH921),$AH$2:$AH$1001,0),0), INDEX($AO$1004:$BQ$1004,1,MATCH(COLUMNS($AO$1006:AP1006),$AO$1006:$BQ$1006,0)))),"Fix")))</f>
        <v>#N/A</v>
      </c>
      <c r="D921" s="5" t="e">
        <f ca="1">IF(OR(INDEX($AI$2:$AI$1001,MATCH(ROWS($AH$2:AH921),$AH$2:$AH$1001,0),1)&gt;=100000,INDEX($AO$1005:$BQ$1005,1,MATCH(COLUMNS($AO$1006:AQ1006),$AO$1006:$BQ$1006,0))&gt;=100000), " ",IF(INDEX($AO$2:$BQ$1001,MATCH(ROWS($AH$2:AH921),$AH$2:$AH$1001,0),MATCH(COLUMNS($AO$1006:AQ1006),$AO$1006:$BQ$1006,0)), HYPERLINK("#",""), HYPERLINK(CONCATENATE("#Metadata!", ADDRESS(INDEX($AJ$2:$AJ$1001,MATCH(ROWS($AH$2:AH921),$AH$2:$AH$1001,0),0), INDEX($AO$1004:$BQ$1004,1,MATCH(COLUMNS($AO$1006:AQ1006),$AO$1006:$BQ$1006,0)))),"Fix")))</f>
        <v>#N/A</v>
      </c>
      <c r="E921" s="5" t="e">
        <f ca="1">IF(OR(INDEX($AI$2:$AI$1001,MATCH(ROWS($AH$2:AH921),$AH$2:$AH$1001,0),1)&gt;=100000,INDEX($AO$1005:$BQ$1005,1,MATCH(COLUMNS($AO$1006:AR1006),$AO$1006:$BQ$1006,0))&gt;=100000), " ",IF(INDEX($AO$2:$BQ$1001,MATCH(ROWS($AH$2:AH921),$AH$2:$AH$1001,0),MATCH(COLUMNS($AO$1006:AR1006),$AO$1006:$BQ$1006,0)), HYPERLINK("#",""), HYPERLINK(CONCATENATE("#Metadata!", ADDRESS(INDEX($AJ$2:$AJ$1001,MATCH(ROWS($AH$2:AH921),$AH$2:$AH$1001,0),0), INDEX($AO$1004:$BQ$1004,1,MATCH(COLUMNS($AO$1006:AR1006),$AO$1006:$BQ$1006,0)))),"Fix")))</f>
        <v>#N/A</v>
      </c>
      <c r="F921" s="5" t="e">
        <f ca="1">IF(OR(INDEX($AI$2:$AI$1001,MATCH(ROWS($AH$2:AH921),$AH$2:$AH$1001,0),1)&gt;=100000,INDEX($AO$1005:$BQ$1005,1,MATCH(COLUMNS($AO$1006:AS1006),$AO$1006:$BQ$1006,0))&gt;=100000), " ",IF(INDEX($AO$2:$BQ$1001,MATCH(ROWS($AH$2:AH921),$AH$2:$AH$1001,0),MATCH(COLUMNS($AO$1006:AS1006),$AO$1006:$BQ$1006,0)), HYPERLINK("#",""), HYPERLINK(CONCATENATE("#Metadata!", ADDRESS(INDEX($AJ$2:$AJ$1001,MATCH(ROWS($AH$2:AH921),$AH$2:$AH$1001,0),0), INDEX($AO$1004:$BQ$1004,1,MATCH(COLUMNS($AO$1006:AS1006),$AO$1006:$BQ$1006,0)))),"Fix")))</f>
        <v>#N/A</v>
      </c>
      <c r="G921" s="5" t="e">
        <f ca="1">IF(OR(INDEX($AI$2:$AI$1001,MATCH(ROWS($AH$2:AH921),$AH$2:$AH$1001,0),1)&gt;=100000,INDEX($AO$1005:$BQ$1005,1,MATCH(COLUMNS($AO$1006:AT1006),$AO$1006:$BQ$1006,0))&gt;=100000), " ",IF(INDEX($AO$2:$BQ$1001,MATCH(ROWS($AH$2:AH921),$AH$2:$AH$1001,0),MATCH(COLUMNS($AO$1006:AT1006),$AO$1006:$BQ$1006,0)), HYPERLINK("#",""), HYPERLINK(CONCATENATE("#Metadata!", ADDRESS(INDEX($AJ$2:$AJ$1001,MATCH(ROWS($AH$2:AH921),$AH$2:$AH$1001,0),0), INDEX($AO$1004:$BQ$1004,1,MATCH(COLUMNS($AO$1006:AT1006),$AO$1006:$BQ$1006,0)))),"Fix")))</f>
        <v>#N/A</v>
      </c>
      <c r="H921" s="5" t="e">
        <f ca="1">IF(OR(INDEX($AI$2:$AI$1001,MATCH(ROWS($AH$2:AH921),$AH$2:$AH$1001,0),1)&gt;=100000,INDEX($AO$1005:$BQ$1005,1,MATCH(COLUMNS($AO$1006:AU1006),$AO$1006:$BQ$1006,0))&gt;=100000), " ",IF(INDEX($AO$2:$BQ$1001,MATCH(ROWS($AH$2:AH921),$AH$2:$AH$1001,0),MATCH(COLUMNS($AO$1006:AU1006),$AO$1006:$BQ$1006,0)), HYPERLINK("#",""), HYPERLINK(CONCATENATE("#Metadata!", ADDRESS(INDEX($AJ$2:$AJ$1001,MATCH(ROWS($AH$2:AH921),$AH$2:$AH$1001,0),0), INDEX($AO$1004:$BQ$1004,1,MATCH(COLUMNS($AO$1006:AU1006),$AO$1006:$BQ$1006,0)))),"Fix")))</f>
        <v>#N/A</v>
      </c>
      <c r="I921" s="5" t="e">
        <f ca="1">IF(OR(INDEX($AI$2:$AI$1001,MATCH(ROWS($AH$2:AH921),$AH$2:$AH$1001,0),1)&gt;=100000,INDEX($AO$1005:$BQ$1005,1,MATCH(COLUMNS($AO$1006:AV1006),$AO$1006:$BQ$1006,0))&gt;=100000), " ",IF(INDEX($AO$2:$BQ$1001,MATCH(ROWS($AH$2:AH921),$AH$2:$AH$1001,0),MATCH(COLUMNS($AO$1006:AV1006),$AO$1006:$BQ$1006,0)), HYPERLINK("#",""), HYPERLINK(CONCATENATE("#Metadata!", ADDRESS(INDEX($AJ$2:$AJ$1001,MATCH(ROWS($AH$2:AH921),$AH$2:$AH$1001,0),0), INDEX($AO$1004:$BQ$1004,1,MATCH(COLUMNS($AO$1006:AV1006),$AO$1006:$BQ$1006,0)))),"Fix")))</f>
        <v>#N/A</v>
      </c>
      <c r="J921" s="5" t="e">
        <f ca="1">IF(OR(INDEX($AI$2:$AI$1001,MATCH(ROWS($AH$2:AH921),$AH$2:$AH$1001,0),1)&gt;=100000,INDEX($AO$1005:$BQ$1005,1,MATCH(COLUMNS($AO$1006:AW1006),$AO$1006:$BQ$1006,0))&gt;=100000), " ",IF(INDEX($AO$2:$BQ$1001,MATCH(ROWS($AH$2:AH921),$AH$2:$AH$1001,0),MATCH(COLUMNS($AO$1006:AW1006),$AO$1006:$BQ$1006,0)), HYPERLINK("#",""), HYPERLINK(CONCATENATE("#Metadata!", ADDRESS(INDEX($AJ$2:$AJ$1001,MATCH(ROWS($AH$2:AH921),$AH$2:$AH$1001,0),0), INDEX($AO$1004:$BQ$1004,1,MATCH(COLUMNS($AO$1006:AW1006),$AO$1006:$BQ$1006,0)))),"Fix")))</f>
        <v>#N/A</v>
      </c>
      <c r="K921" s="5" t="e">
        <f ca="1">IF(OR(INDEX($AI$2:$AI$1001,MATCH(ROWS($AH$2:AH921),$AH$2:$AH$1001,0),1)&gt;=100000,INDEX($AO$1005:$BQ$1005,1,MATCH(COLUMNS($AO$1006:AX1006),$AO$1006:$BQ$1006,0))&gt;=100000), " ",IF(INDEX($AO$2:$BQ$1001,MATCH(ROWS($AH$2:AH921),$AH$2:$AH$1001,0),MATCH(COLUMNS($AO$1006:AX1006),$AO$1006:$BQ$1006,0)), HYPERLINK("#",""), HYPERLINK(CONCATENATE("#Metadata!", ADDRESS(INDEX($AJ$2:$AJ$1001,MATCH(ROWS($AH$2:AH921),$AH$2:$AH$1001,0),0), INDEX($AO$1004:$BQ$1004,1,MATCH(COLUMNS($AO$1006:AX1006),$AO$1006:$BQ$1006,0)))),"Fix")))</f>
        <v>#N/A</v>
      </c>
      <c r="L921" s="5" t="e">
        <f ca="1">IF(OR(INDEX($AI$2:$AI$1001,MATCH(ROWS($AH$2:AH921),$AH$2:$AH$1001,0),1)&gt;=100000,INDEX($AO$1005:$BQ$1005,1,MATCH(COLUMNS($AO$1006:AY1006),$AO$1006:$BQ$1006,0))&gt;=100000), " ",IF(INDEX($AO$2:$BQ$1001,MATCH(ROWS($AH$2:AH921),$AH$2:$AH$1001,0),MATCH(COLUMNS($AO$1006:AY1006),$AO$1006:$BQ$1006,0)), HYPERLINK("#",""), HYPERLINK(CONCATENATE("#Metadata!", ADDRESS(INDEX($AJ$2:$AJ$1001,MATCH(ROWS($AH$2:AH921),$AH$2:$AH$1001,0),0), INDEX($AO$1004:$BQ$1004,1,MATCH(COLUMNS($AO$1006:AY1006),$AO$1006:$BQ$1006,0)))),"Fix")))</f>
        <v>#N/A</v>
      </c>
      <c r="M921" s="5" t="e">
        <f ca="1">IF(OR(INDEX($AI$2:$AI$1001,MATCH(ROWS($AH$2:AH921),$AH$2:$AH$1001,0),1)&gt;=100000,INDEX($AO$1005:$BQ$1005,1,MATCH(COLUMNS($AO$1006:AZ1006),$AO$1006:$BQ$1006,0))&gt;=100000), " ",IF(INDEX($AO$2:$BQ$1001,MATCH(ROWS($AH$2:AH921),$AH$2:$AH$1001,0),MATCH(COLUMNS($AO$1006:AZ1006),$AO$1006:$BQ$1006,0)), HYPERLINK("#",""), HYPERLINK(CONCATENATE("#Metadata!", ADDRESS(INDEX($AJ$2:$AJ$1001,MATCH(ROWS($AH$2:AH921),$AH$2:$AH$1001,0),0), INDEX($AO$1004:$BQ$1004,1,MATCH(COLUMNS($AO$1006:AZ1006),$AO$1006:$BQ$1006,0)))),"Fix")))</f>
        <v>#N/A</v>
      </c>
      <c r="N921" s="5" t="e">
        <f ca="1">IF(OR(INDEX($AI$2:$AI$1001,MATCH(ROWS($AH$2:AH921),$AH$2:$AH$1001,0),1)&gt;=100000,INDEX($AO$1005:$BQ$1005,1,MATCH(COLUMNS($AO$1006:BA1006),$AO$1006:$BQ$1006,0))&gt;=100000), " ",IF(INDEX($AO$2:$BQ$1001,MATCH(ROWS($AH$2:AH921),$AH$2:$AH$1001,0),MATCH(COLUMNS($AO$1006:BA1006),$AO$1006:$BQ$1006,0)), HYPERLINK("#",""), HYPERLINK(CONCATENATE("#Metadata!", ADDRESS(INDEX($AJ$2:$AJ$1001,MATCH(ROWS($AH$2:AH921),$AH$2:$AH$1001,0),0), INDEX($AO$1004:$BQ$1004,1,MATCH(COLUMNS($AO$1006:BA1006),$AO$1006:$BQ$1006,0)))),"Fix")))</f>
        <v>#N/A</v>
      </c>
      <c r="O921" s="5" t="e">
        <f ca="1">IF(OR(INDEX($AI$2:$AI$1001,MATCH(ROWS($AH$2:AH921),$AH$2:$AH$1001,0),1)&gt;=100000,INDEX($AO$1005:$BQ$1005,1,MATCH(COLUMNS($AO$1006:BB1006),$AO$1006:$BQ$1006,0))&gt;=100000), " ",IF(INDEX($AO$2:$BQ$1001,MATCH(ROWS($AH$2:AH921),$AH$2:$AH$1001,0),MATCH(COLUMNS($AO$1006:BB1006),$AO$1006:$BQ$1006,0)), HYPERLINK("#",""), HYPERLINK(CONCATENATE("#Metadata!", ADDRESS(INDEX($AJ$2:$AJ$1001,MATCH(ROWS($AH$2:AH921),$AH$2:$AH$1001,0),0), INDEX($AO$1004:$BQ$1004,1,MATCH(COLUMNS($AO$1006:BB1006),$AO$1006:$BQ$1006,0)))),"Fix")))</f>
        <v>#N/A</v>
      </c>
      <c r="P921" s="5" t="e">
        <f ca="1">IF(OR(INDEX($AI$2:$AI$1001,MATCH(ROWS($AH$2:AH921),$AH$2:$AH$1001,0),1)&gt;=100000,INDEX($AO$1005:$BQ$1005,1,MATCH(COLUMNS($AO$1006:BC1006),$AO$1006:$BQ$1006,0))&gt;=100000), " ",IF(INDEX($AO$2:$BQ$1001,MATCH(ROWS($AH$2:AH921),$AH$2:$AH$1001,0),MATCH(COLUMNS($AO$1006:BC1006),$AO$1006:$BQ$1006,0)), HYPERLINK("#",""), HYPERLINK(CONCATENATE("#Metadata!", ADDRESS(INDEX($AJ$2:$AJ$1001,MATCH(ROWS($AH$2:AH921),$AH$2:$AH$1001,0),0), INDEX($AO$1004:$BQ$1004,1,MATCH(COLUMNS($AO$1006:BC1006),$AO$1006:$BQ$1006,0)))),"Fix")))</f>
        <v>#N/A</v>
      </c>
      <c r="Q921" s="5" t="e">
        <f ca="1">IF(OR(INDEX($AI$2:$AI$1001,MATCH(ROWS($AH$2:AH921),$AH$2:$AH$1001,0),1)&gt;=100000,INDEX($AO$1005:$BQ$1005,1,MATCH(COLUMNS($AO$1006:BD1006),$AO$1006:$BQ$1006,0))&gt;=100000), " ",IF(INDEX($AO$2:$BQ$1001,MATCH(ROWS($AH$2:AH921),$AH$2:$AH$1001,0),MATCH(COLUMNS($AO$1006:BD1006),$AO$1006:$BQ$1006,0)), HYPERLINK("#",""), HYPERLINK(CONCATENATE("#Metadata!", ADDRESS(INDEX($AJ$2:$AJ$1001,MATCH(ROWS($AH$2:AH921),$AH$2:$AH$1001,0),0), INDEX($AO$1004:$BQ$1004,1,MATCH(COLUMNS($AO$1006:BD1006),$AO$1006:$BQ$1006,0)))),"Fix")))</f>
        <v>#N/A</v>
      </c>
      <c r="R921" s="5" t="e">
        <f ca="1">IF(OR(INDEX($AI$2:$AI$1001,MATCH(ROWS($AH$2:AH921),$AH$2:$AH$1001,0),1)&gt;=100000,INDEX($AO$1005:$BQ$1005,1,MATCH(COLUMNS($AO$1006:BE1006),$AO$1006:$BQ$1006,0))&gt;=100000), " ",IF(INDEX($AO$2:$BQ$1001,MATCH(ROWS($AH$2:AH921),$AH$2:$AH$1001,0),MATCH(COLUMNS($AO$1006:BE1006),$AO$1006:$BQ$1006,0)), HYPERLINK("#",""), HYPERLINK(CONCATENATE("#Metadata!", ADDRESS(INDEX($AJ$2:$AJ$1001,MATCH(ROWS($AH$2:AH921),$AH$2:$AH$1001,0),0), INDEX($AO$1004:$BQ$1004,1,MATCH(COLUMNS($AO$1006:BE1006),$AO$1006:$BQ$1006,0)))),"Fix")))</f>
        <v>#N/A</v>
      </c>
      <c r="S921" s="5" t="e">
        <f ca="1">IF(OR(INDEX($AI$2:$AI$1001,MATCH(ROWS($AH$2:AH921),$AH$2:$AH$1001,0),1)&gt;=100000,INDEX($AO$1005:$BQ$1005,1,MATCH(COLUMNS($AO$1006:BF1006),$AO$1006:$BQ$1006,0))&gt;=100000), " ",IF(INDEX($AO$2:$BQ$1001,MATCH(ROWS($AH$2:AH921),$AH$2:$AH$1001,0),MATCH(COLUMNS($AO$1006:BF1006),$AO$1006:$BQ$1006,0)), HYPERLINK("#",""), HYPERLINK(CONCATENATE("#Metadata!", ADDRESS(INDEX($AJ$2:$AJ$1001,MATCH(ROWS($AH$2:AH921),$AH$2:$AH$1001,0),0), INDEX($AO$1004:$BQ$1004,1,MATCH(COLUMNS($AO$1006:BF1006),$AO$1006:$BQ$1006,0)))),"Fix")))</f>
        <v>#N/A</v>
      </c>
      <c r="T921" s="5" t="e">
        <f ca="1">IF(OR(INDEX($AI$2:$AI$1001,MATCH(ROWS($AH$2:AH921),$AH$2:$AH$1001,0),1)&gt;=100000,INDEX($AO$1005:$BQ$1005,1,MATCH(COLUMNS($AO$1006:BG1006),$AO$1006:$BQ$1006,0))&gt;=100000), " ",IF(INDEX($AO$2:$BQ$1001,MATCH(ROWS($AH$2:AH921),$AH$2:$AH$1001,0),MATCH(COLUMNS($AO$1006:BG1006),$AO$1006:$BQ$1006,0)), HYPERLINK("#",""), HYPERLINK(CONCATENATE("#Metadata!", ADDRESS(INDEX($AJ$2:$AJ$1001,MATCH(ROWS($AH$2:AH921),$AH$2:$AH$1001,0),0), INDEX($AO$1004:$BQ$1004,1,MATCH(COLUMNS($AO$1006:BG1006),$AO$1006:$BQ$1006,0)))),"Fix")))</f>
        <v>#N/A</v>
      </c>
      <c r="U921" s="5" t="e">
        <f ca="1">IF(OR(INDEX($AI$2:$AI$1001,MATCH(ROWS($AH$2:AH921),$AH$2:$AH$1001,0),1)&gt;=100000,INDEX($AO$1005:$BQ$1005,1,MATCH(COLUMNS($AO$1006:BH1006),$AO$1006:$BQ$1006,0))&gt;=100000), " ",IF(INDEX($AO$2:$BQ$1001,MATCH(ROWS($AH$2:AH921),$AH$2:$AH$1001,0),MATCH(COLUMNS($AO$1006:BH1006),$AO$1006:$BQ$1006,0)), HYPERLINK("#",""), HYPERLINK(CONCATENATE("#Metadata!", ADDRESS(INDEX($AJ$2:$AJ$1001,MATCH(ROWS($AH$2:AH921),$AH$2:$AH$1001,0),0), INDEX($AO$1004:$BQ$1004,1,MATCH(COLUMNS($AO$1006:BH1006),$AO$1006:$BQ$1006,0)))),"Fix")))</f>
        <v>#N/A</v>
      </c>
      <c r="V921" s="5" t="e">
        <f ca="1">IF(OR(INDEX($AI$2:$AI$1001,MATCH(ROWS($AH$2:AH921),$AH$2:$AH$1001,0),1)&gt;=100000,INDEX($AO$1005:$BQ$1005,1,MATCH(COLUMNS($AO$1006:BI1006),$AO$1006:$BQ$1006,0))&gt;=100000), " ",IF(INDEX($AO$2:$BQ$1001,MATCH(ROWS($AH$2:AH921),$AH$2:$AH$1001,0),MATCH(COLUMNS($AO$1006:BI1006),$AO$1006:$BQ$1006,0)), HYPERLINK("#",""), HYPERLINK(CONCATENATE("#Metadata!", ADDRESS(INDEX($AJ$2:$AJ$1001,MATCH(ROWS($AH$2:AH921),$AH$2:$AH$1001,0),0), INDEX($AO$1004:$BQ$1004,1,MATCH(COLUMNS($AO$1006:BI1006),$AO$1006:$BQ$1006,0)))),"Fix")))</f>
        <v>#N/A</v>
      </c>
      <c r="W921" s="5" t="e">
        <f ca="1">IF(OR(INDEX($AI$2:$AI$1001,MATCH(ROWS($AH$2:AH921),$AH$2:$AH$1001,0),1)&gt;=100000,INDEX($AO$1005:$BQ$1005,1,MATCH(COLUMNS($AO$1006:BJ1006),$AO$1006:$BQ$1006,0))&gt;=100000), " ",IF(INDEX($AO$2:$BQ$1001,MATCH(ROWS($AH$2:AH921),$AH$2:$AH$1001,0),MATCH(COLUMNS($AO$1006:BJ1006),$AO$1006:$BQ$1006,0)), HYPERLINK("#",""), HYPERLINK(CONCATENATE("#Metadata!", ADDRESS(INDEX($AJ$2:$AJ$1001,MATCH(ROWS($AH$2:AH921),$AH$2:$AH$1001,0),0), INDEX($AO$1004:$BQ$1004,1,MATCH(COLUMNS($AO$1006:BJ1006),$AO$1006:$BQ$1006,0)))),"Fix")))</f>
        <v>#N/A</v>
      </c>
      <c r="X921" s="5" t="e">
        <f ca="1">IF(OR(INDEX($AI$2:$AI$1001,MATCH(ROWS($AH$2:AH921),$AH$2:$AH$1001,0),1)&gt;=100000,INDEX($AO$1005:$BQ$1005,1,MATCH(COLUMNS($AO$1006:BK1006),$AO$1006:$BQ$1006,0))&gt;=100000), " ",IF(INDEX($AO$2:$BQ$1001,MATCH(ROWS($AH$2:AH921),$AH$2:$AH$1001,0),MATCH(COLUMNS($AO$1006:BK1006),$AO$1006:$BQ$1006,0)), HYPERLINK("#",""), HYPERLINK(CONCATENATE("#Metadata!", ADDRESS(INDEX($AJ$2:$AJ$1001,MATCH(ROWS($AH$2:AH921),$AH$2:$AH$1001,0),0), INDEX($AO$1004:$BQ$1004,1,MATCH(COLUMNS($AO$1006:BK1006),$AO$1006:$BQ$1006,0)))),"Fix")))</f>
        <v>#N/A</v>
      </c>
      <c r="Y921" s="5" t="e">
        <f ca="1">IF(OR(INDEX($AI$2:$AI$1001,MATCH(ROWS($AH$2:AH921),$AH$2:$AH$1001,0),1)&gt;=100000,INDEX($AO$1005:$BQ$1005,1,MATCH(COLUMNS($AO$1006:BL1006),$AO$1006:$BQ$1006,0))&gt;=100000), " ",IF(INDEX($AO$2:$BQ$1001,MATCH(ROWS($AH$2:AH921),$AH$2:$AH$1001,0),MATCH(COLUMNS($AO$1006:BL1006),$AO$1006:$BQ$1006,0)), HYPERLINK("#",""), HYPERLINK(CONCATENATE("#Metadata!", ADDRESS(INDEX($AJ$2:$AJ$1001,MATCH(ROWS($AH$2:AH921),$AH$2:$AH$1001,0),0), INDEX($AO$1004:$BQ$1004,1,MATCH(COLUMNS($AO$1006:BL1006),$AO$1006:$BQ$1006,0)))),"Fix")))</f>
        <v>#N/A</v>
      </c>
      <c r="Z921" s="5" t="e">
        <f ca="1">IF(OR(INDEX($AI$2:$AI$1001,MATCH(ROWS($AH$2:AH921),$AH$2:$AH$1001,0),1)&gt;=100000,INDEX($AO$1005:$BQ$1005,1,MATCH(COLUMNS($AO$1006:BM1006),$AO$1006:$BQ$1006,0))&gt;=100000), " ",IF(INDEX($AO$2:$BQ$1001,MATCH(ROWS($AH$2:AH921),$AH$2:$AH$1001,0),MATCH(COLUMNS($AO$1006:BM1006),$AO$1006:$BQ$1006,0)), HYPERLINK("#",""), HYPERLINK(CONCATENATE("#Metadata!", ADDRESS(INDEX($AJ$2:$AJ$1001,MATCH(ROWS($AH$2:AH921),$AH$2:$AH$1001,0),0), INDEX($AO$1004:$BQ$1004,1,MATCH(COLUMNS($AO$1006:BM1006),$AO$1006:$BQ$1006,0)))),"Fix")))</f>
        <v>#N/A</v>
      </c>
      <c r="AA921" s="5" t="e">
        <f ca="1">IF(OR(INDEX($AI$2:$AI$1001,MATCH(ROWS($AH$2:AH921),$AH$2:$AH$1001,0),1)&gt;=100000,INDEX($AO$1005:$BQ$1005,1,MATCH(COLUMNS($AO$1006:BN1006),$AO$1006:$BQ$1006,0))&gt;=100000), " ",IF(INDEX($AO$2:$BQ$1001,MATCH(ROWS($AH$2:AH921),$AH$2:$AH$1001,0),MATCH(COLUMNS($AO$1006:BN1006),$AO$1006:$BQ$1006,0)), HYPERLINK("#",""), HYPERLINK(CONCATENATE("#Metadata!", ADDRESS(INDEX($AJ$2:$AJ$1001,MATCH(ROWS($AH$2:AH921),$AH$2:$AH$1001,0),0), INDEX($AO$1004:$BQ$1004,1,MATCH(COLUMNS($AO$1006:BN1006),$AO$1006:$BQ$1006,0)))),"Fix")))</f>
        <v>#N/A</v>
      </c>
      <c r="AB921" s="5" t="e">
        <f ca="1">IF(OR(INDEX($AI$2:$AI$1001,MATCH(ROWS($AH$2:AH921),$AH$2:$AH$1001,0),1)&gt;=100000,INDEX($AO$1005:$BQ$1005,1,MATCH(COLUMNS($AO$1006:BO1006),$AO$1006:$BQ$1006,0))&gt;=100000), " ",IF(INDEX($AO$2:$BQ$1001,MATCH(ROWS($AH$2:AH921),$AH$2:$AH$1001,0),MATCH(COLUMNS($AO$1006:BO1006),$AO$1006:$BQ$1006,0)), HYPERLINK("#",""), HYPERLINK(CONCATENATE("#Metadata!", ADDRESS(INDEX($AJ$2:$AJ$1001,MATCH(ROWS($AH$2:AH921),$AH$2:$AH$1001,0),0), INDEX($AO$1004:$BQ$1004,1,MATCH(COLUMNS($AO$1006:BO1006),$AO$1006:$BQ$1006,0)))),"Fix")))</f>
        <v>#N/A</v>
      </c>
      <c r="AC921" s="5" t="e">
        <f ca="1">IF(OR(INDEX($AI$2:$AI$1001,MATCH(ROWS($AH$2:AH921),$AH$2:$AH$1001,0),1)&gt;=100000,INDEX($AO$1005:$BQ$1005,1,MATCH(COLUMNS($AO$1006:BP1006),$AO$1006:$BQ$1006,0))&gt;=100000), " ",IF(INDEX($AO$2:$BQ$1001,MATCH(ROWS($AH$2:AH921),$AH$2:$AH$1001,0),MATCH(COLUMNS($AO$1006:BP1006),$AO$1006:$BQ$1006,0)), HYPERLINK("#",""), HYPERLINK(CONCATENATE("#Metadata!", ADDRESS(INDEX($AJ$2:$AJ$1001,MATCH(ROWS($AH$2:AH921),$AH$2:$AH$1001,0),0), INDEX($AO$1004:$BQ$1004,1,MATCH(COLUMNS($AO$1006:BP1006),$AO$1006:$BQ$1006,0)))),"Fix")))</f>
        <v>#N/A</v>
      </c>
      <c r="AD921" s="5" t="e">
        <f ca="1">IF(OR(INDEX($AI$2:$AI$1001,MATCH(ROWS($AH$2:AH921),$AH$2:$AH$1001,0),1)&gt;=100000,INDEX($AO$1005:$BQ$1005,1,MATCH(COLUMNS($AO$1006:BQ1006),$AO$1006:$BQ$1006,0))&gt;=100000), " ",IF(INDEX($AO$2:$BQ$1001,MATCH(ROWS($AH$2:AH921),$AH$2:$AH$1001,0),MATCH(COLUMNS($AO$1006:BQ1006),$AO$1006:$BQ$1006,0)), HYPERLINK("#",""), HYPERLINK(CONCATENATE("#Metadata!", ADDRESS(INDEX($AJ$2:$AJ$1001,MATCH(ROWS($AH$2:AH921),$AH$2:$AH$1001,0),0), INDEX($AO$1004:$BQ$1004,1,MATCH(COLUMNS($AO$1006:BQ1006),$AO$1006:$BQ$1006,0)))),"Fix")))</f>
        <v>#REF!</v>
      </c>
      <c r="AH921">
        <f ca="1"/>
        <v>918</v>
      </c>
      <c r="AI921">
        <v>100921</v>
      </c>
      <c r="AJ921">
        <v>921</v>
      </c>
      <c r="AK921" t="b">
        <f t="shared" si="14"/>
        <v>1</v>
      </c>
      <c r="AL921" t="b">
        <f>COUNTBLANK(Metadata!B921:AD921)=COLUMNS(Metadata!B921:AD921)</f>
        <v>1</v>
      </c>
      <c r="AM921" t="str">
        <v/>
      </c>
      <c r="AO921" t="b">
        <f ca="1">AND(IF(Metadata!B921="",FALSE,TRUE),COUNTIF(Metadata!B:B, Metadata!B921) = 1,NOT(ISERROR(SUMPRODUCT(SEARCH(MID(Metadata!B921,ROW(INDIRECT("1:"&amp;LEN(Metadata!B921))), 1),"0123456789abcdefghijklmnopqrstuvwxyzABCDEFGHIJKLMNOPQRSTUVWXYZ.")))))</f>
        <v>0</v>
      </c>
      <c r="AP921" t="b">
        <f>IF(Metadata!C921="",FALSE,TRUE)</f>
        <v>0</v>
      </c>
      <c r="AQ921" t="b">
        <f>IF(Metadata!D921="",FALSE,TRUE)</f>
        <v>0</v>
      </c>
      <c r="AR921" t="b">
        <f ca="1">OR(AND(IF(Metadata!E921="",FALSE,TRUE),OR(EXACT(Metadata!E921,"not collected"),EXACT(Metadata!E921,"not provided"),EXACT(Metadata!E921,"restricted access"))),AND(IF(Metadata!E921="",FALSE,TRUE),AND(AND(IFERROR(INT(LEFT(Metadata!E921,4))&gt;1900,FALSE),IFERROR(INT(LEFT(Metadata!E921,4))&lt;=YEAR(NOW()),FALSE)), OR(MID(Metadata!E921,5,1)="", AND(AND(MID(Metadata!E921,5,1)="-",IFERROR(INT(MID(Metadata!E921,6,1))&gt;=0,FALSE),IFERROR(INT(MID(Metadata!E921,6,1))&lt;=1,FALSE),NOT(MID(Metadata!E921,7,1)=""),IFERROR(INT(MID(Metadata!E921,6,2))&gt;=1,FALSE),IFERROR(INT(MID(Metadata!E921,6,2))&lt;=12,FALSE)), OR(MID(Metadata!E921,8,1)="", AND(AND(MID(Metadata!E921,8,1)="-",IFERROR(INT(MID(Metadata!E921,9,1))&gt;=0,FALSE),IFERROR(INT(MID(Metadata!E921,9,1))&lt;=3,FALSE),NOT(MID(Metadata!E921,10,1)=""),IFERROR(INT(MID(Metadata!E921,9,2))&gt;=1,FALSE),IFERROR(INT(MID(Metadata!E921,9,2))&lt;=31,FALSE)), OR(MID(Metadata!E921,11,1)="", AND(AND(MID(Metadata!E921,11,1)=" ",IFERROR(INT(MID(Metadata!E921,12,1))&gt;=0,FALSE),IFERROR(INT(MID(Metadata!E921,12,1))&lt;=2,FALSE),NOT(MID(Metadata!E921,13,1)=""),IFERROR(INT(MID(Metadata!E921,12,2))&gt;=0,FALSE),IFERROR(INT(MID(Metadata!E921,12,2))&lt;=23,FALSE)), OR(MID(Metadata!E921,14,1)="", AND(AND(MID(Metadata!E921,14,1)=":",IFERROR(INT(MID(Metadata!E921,15,1))&gt;=0,FALSE),IFERROR(INT(MID(Metadata!E921,15,1))&lt;=5,FALSE),NOT(MID(Metadata!E921,16,1)=""),IFERROR(INT(MID(Metadata!E921,15,2))&gt;=0,FALSE),IFERROR(INT(MID(Metadata!E921,15,2))&lt;=59,FALSE)), OR(MID(Metadata!E921,17,1)="", AND(AND(MID(Metadata!E921,17,1)=":",IFERROR(INT(MID(Metadata!E921,18,1))&gt;=0,FALSE),IFERROR(INT(MID(Metadata!E921,18,1))&lt;=5,FALSE),NOT(MID(Metadata!E921,19,1)=""),IFERROR(INT(MID(Metadata!E921,18,2))&gt;=0,FALSE),IFERROR(INT(MID(Metadata!E921,18,2))&lt;=59,FALSE)), LEN(Metadata!E921)&lt;=19)))))))))))))</f>
        <v>0</v>
      </c>
      <c r="AS921" t="b">
        <f>IF(Metadata!F921="",FALSE,TRUE)</f>
        <v>0</v>
      </c>
      <c r="AT921" t="b">
        <f>OR(AND(IF(Metadata!G921="",FALSE,TRUE),OR(EXACT(Metadata!G921,"not collected"),EXACT(Metadata!G921,"not provided"))),AND(IF(Metadata!G921="",FALSE,TRUE),OR(EXACT(Metadata!G921,"TRUE"),EXACT(Metadata!G921,"FALSE"))))</f>
        <v>0</v>
      </c>
      <c r="AU921" t="b">
        <f>OR(AND(IF(Metadata!H921="",FALSE,TRUE),OR(EXACT(Metadata!H921,"not collected"),EXACT(Metadata!H921,"not provided"),EXACT(Metadata!H921,"restricted access"))),AND(IF(Metadata!H921="",FALSE,ISNUMBER(VALUE(Metadata!H921))),Metadata!H921&gt;=-413))</f>
        <v>0</v>
      </c>
      <c r="AV921" t="b">
        <f>AND(IF(Metadata!I921="",FALSE,TRUE),EXACT(Metadata!I921,"meters"))</f>
        <v>0</v>
      </c>
      <c r="AW921" t="b">
        <f>AND(IF(Metadata!J921="",FALSE,TRUE),EXACT(Metadata!J921,"free-living"))</f>
        <v>0</v>
      </c>
      <c r="AX921" t="b">
        <f>AND(IF(Metadata!K921="",FALSE,TRUE),OR(EXACT(Metadata!K921,"saline"),EXACT(Metadata!K921,"non-saline")))</f>
        <v>0</v>
      </c>
      <c r="AY921" t="b">
        <f>AND(IF(Metadata!L921="",FALSE,TRUE),OR(EXACT(Metadata!L921,"sub-surface (non-saline)"),EXACT(Metadata!L921,"surface (non-saline)"),EXACT(Metadata!L921,"water (non-saline)"),EXACT(Metadata!L921,"soil (non-saline)"),EXACT(Metadata!L921,"aerosol (non-saline)"),EXACT(Metadata!L921,"sediment (non-saline)"),EXACT(Metadata!L921,"surface (saline)"),EXACT(Metadata!L921,"water (saline)"),EXACT(Metadata!L921,"hypersaline (saline)"),EXACT(Metadata!L921,"aerosol (saline)"),EXACT(Metadata!L921,"sediment (saline)")))</f>
        <v>0</v>
      </c>
      <c r="AZ921" t="b">
        <f>IF(Metadata!M921="",FALSE,TRUE)</f>
        <v>0</v>
      </c>
      <c r="BA921" t="b">
        <f>IF(Metadata!N921="",FALSE,TRUE)</f>
        <v>0</v>
      </c>
      <c r="BB921" t="b">
        <f>IF(Metadata!O921="",FALSE,TRUE)</f>
        <v>0</v>
      </c>
      <c r="BC921" t="b">
        <f>AND(IF(Metadata!P921="",FALSE,TRUE),OR(EXACT(Metadata!P921,"air"),EXACT(Metadata!P921,"microbial mat/biofilm"),EXACT(Metadata!P921,"misc environment"),EXACT(Metadata!P921,"sediment"),EXACT(Metadata!P921,"soil"),EXACT(Metadata!P921,"wastewater/sludge"),EXACT(Metadata!P921,"water")))</f>
        <v>0</v>
      </c>
      <c r="BD921" t="b">
        <f>IF(Metadata!Q921="",FALSE,TRUE)</f>
        <v>0</v>
      </c>
      <c r="BE921" t="b">
        <f>IF(Metadata!R921="",FALSE,TRUE)</f>
        <v>0</v>
      </c>
      <c r="BF921" t="b">
        <f>OR(AND(IF(Metadata!S921="",FALSE,TRUE),OR(EXACT(Metadata!S921,"not collected"),EXACT(Metadata!S921,"not provided"),EXACT(Metadata!S921,"restricted access"))),AND(IF(Metadata!S921="",FALSE,ISNUMBER(VALUE(Metadata!S921))),Metadata!S921&gt;=-90,Metadata!S921&lt;=90))</f>
        <v>0</v>
      </c>
      <c r="BG921" t="b">
        <f>AND(IF(Metadata!T921="",FALSE,TRUE),EXACT(Metadata!T921,"Decimal degrees"))</f>
        <v>0</v>
      </c>
      <c r="BH921" t="b">
        <f>OR(AND(IF(Metadata!U921="",FALSE,TRUE),OR(EXACT(Metadata!U921,"not applicable"),EXACT(Metadata!U921,"not collected"))),IF(Metadata!U921="",FALSE,TRUE))</f>
        <v>0</v>
      </c>
      <c r="BI921" t="b">
        <f>OR(AND(IF(Metadata!V921="",FALSE,TRUE),OR(EXACT(Metadata!V921,"not collected"),EXACT(Metadata!V921,"not provided"),EXACT(Metadata!V921,"restricted access"))),AND(IF(Metadata!V921="",FALSE,ISNUMBER(VALUE(Metadata!V921))),Metadata!V921&gt;=-180,Metadata!V921&lt;=180))</f>
        <v>0</v>
      </c>
      <c r="BJ921" t="b">
        <f>AND(IF(Metadata!W921="",FALSE,TRUE),EXACT(Metadata!W921,"Decimal degrees"))</f>
        <v>0</v>
      </c>
      <c r="BK921" t="b">
        <f>IF(Metadata!X921="",FALSE,TRUE)</f>
        <v>0</v>
      </c>
      <c r="BL921" t="b">
        <f>OR(AND(IF(Metadata!Y921="",FALSE,TRUE),OR(EXACT(Metadata!Y921,"not collected"),EXACT(Metadata!Y921,"not provided"),EXACT(Metadata!Y921,"restricted access"))),AND(IF(Metadata!Y921="",FALSE,TRUE),OR(EXACT(Metadata!Y921,"TRUE"),EXACT(Metadata!Y921,"FALSE"))))</f>
        <v>0</v>
      </c>
      <c r="BM921" t="b">
        <f>OR(AND(IF(Metadata!Z921="",FALSE,TRUE),EXACT(Metadata!Z921,"not applicable")),AND(IF(Metadata!Z921="",FALSE,TRUE),OR(EXACT(Metadata!Z921,"beer"),EXACT(Metadata!Z921,"cheese"),EXACT(Metadata!Z921,"fresh water"),EXACT(Metadata!Z921,"marine sediment"),EXACT(Metadata!Z921,"sea water"),EXACT(Metadata!Z921,"sediment"),EXACT(Metadata!Z921,"soil"),EXACT(Metadata!Z921,"waste water"))))</f>
        <v>0</v>
      </c>
      <c r="BN921" t="b">
        <f>AND(IF(Metadata!AA921="",FALSE,TRUE),EXACT(Metadata!AA921,"metagenome"))</f>
        <v>0</v>
      </c>
      <c r="BO921" t="b">
        <f>AND(IF(Metadata!AB921="",FALSE,TRUE),EXACT(Metadata!AB921,"256318"))</f>
        <v>0</v>
      </c>
      <c r="BP921" t="b">
        <f>IF(Metadata!AC921="",FALSE,TRUE)</f>
        <v>0</v>
      </c>
      <c r="BQ921" t="b">
        <f>IF(Metadata!AD921="",FALSE,TRUE)</f>
        <v>0</v>
      </c>
    </row>
    <row r="922" spans="1:69" x14ac:dyDescent="0.2">
      <c r="A922" s="4" t="e">
        <f ca="1">IF(B922=" "," ",HYPERLINK(CONCATENATE("#metadata!",ADDRESS(INDEX($AJ$2:$AJ$1001,MATCH(ROWS($AH$2:AH922),$AH$2:$AH$1001,0),0),2)),INDEX($AM$2:$AM$1001,MATCH(ROWS($AH$2:AH922),$AH$2:$AH$1001,0),0)))</f>
        <v>#N/A</v>
      </c>
      <c r="B922" s="5" t="e">
        <f ca="1">IF(OR(INDEX($AI$2:$AI$1001,MATCH(ROWS($AH$2:AH922),$AH$2:$AH$1001,0),1)&gt;=100000,INDEX($AO$1005:$BQ$1005,1,MATCH(COLUMNS($AO$1006:AO1006),$AO$1006:$BQ$1006,0))&gt;=100000), " ",IF(INDEX($AO$2:$BQ$1001,MATCH(ROWS($AH$2:AH922),$AH$2:$AH$1001,0),MATCH(COLUMNS($AO$1006:AO1006),$AO$1006:$BQ$1006,0)), HYPERLINK("#",""), HYPERLINK(CONCATENATE("#Metadata!", ADDRESS(INDEX($AJ$2:$AJ$1001,MATCH(ROWS($AH$2:AH922),$AH$2:$AH$1001,0),0), INDEX($AO$1004:$BQ$1004,1,MATCH(COLUMNS($AO$1006:AO1006),$AO$1006:$BQ$1006,0)))),"Fix")))</f>
        <v>#N/A</v>
      </c>
      <c r="C922" s="5" t="e">
        <f ca="1">IF(OR(INDEX($AI$2:$AI$1001,MATCH(ROWS($AH$2:AH922),$AH$2:$AH$1001,0),1)&gt;=100000,INDEX($AO$1005:$BQ$1005,1,MATCH(COLUMNS($AO$1006:AP1006),$AO$1006:$BQ$1006,0))&gt;=100000), " ",IF(INDEX($AO$2:$BQ$1001,MATCH(ROWS($AH$2:AH922),$AH$2:$AH$1001,0),MATCH(COLUMNS($AO$1006:AP1006),$AO$1006:$BQ$1006,0)), HYPERLINK("#",""), HYPERLINK(CONCATENATE("#Metadata!", ADDRESS(INDEX($AJ$2:$AJ$1001,MATCH(ROWS($AH$2:AH922),$AH$2:$AH$1001,0),0), INDEX($AO$1004:$BQ$1004,1,MATCH(COLUMNS($AO$1006:AP1006),$AO$1006:$BQ$1006,0)))),"Fix")))</f>
        <v>#N/A</v>
      </c>
      <c r="D922" s="5" t="e">
        <f ca="1">IF(OR(INDEX($AI$2:$AI$1001,MATCH(ROWS($AH$2:AH922),$AH$2:$AH$1001,0),1)&gt;=100000,INDEX($AO$1005:$BQ$1005,1,MATCH(COLUMNS($AO$1006:AQ1006),$AO$1006:$BQ$1006,0))&gt;=100000), " ",IF(INDEX($AO$2:$BQ$1001,MATCH(ROWS($AH$2:AH922),$AH$2:$AH$1001,0),MATCH(COLUMNS($AO$1006:AQ1006),$AO$1006:$BQ$1006,0)), HYPERLINK("#",""), HYPERLINK(CONCATENATE("#Metadata!", ADDRESS(INDEX($AJ$2:$AJ$1001,MATCH(ROWS($AH$2:AH922),$AH$2:$AH$1001,0),0), INDEX($AO$1004:$BQ$1004,1,MATCH(COLUMNS($AO$1006:AQ1006),$AO$1006:$BQ$1006,0)))),"Fix")))</f>
        <v>#N/A</v>
      </c>
      <c r="E922" s="5" t="e">
        <f ca="1">IF(OR(INDEX($AI$2:$AI$1001,MATCH(ROWS($AH$2:AH922),$AH$2:$AH$1001,0),1)&gt;=100000,INDEX($AO$1005:$BQ$1005,1,MATCH(COLUMNS($AO$1006:AR1006),$AO$1006:$BQ$1006,0))&gt;=100000), " ",IF(INDEX($AO$2:$BQ$1001,MATCH(ROWS($AH$2:AH922),$AH$2:$AH$1001,0),MATCH(COLUMNS($AO$1006:AR1006),$AO$1006:$BQ$1006,0)), HYPERLINK("#",""), HYPERLINK(CONCATENATE("#Metadata!", ADDRESS(INDEX($AJ$2:$AJ$1001,MATCH(ROWS($AH$2:AH922),$AH$2:$AH$1001,0),0), INDEX($AO$1004:$BQ$1004,1,MATCH(COLUMNS($AO$1006:AR1006),$AO$1006:$BQ$1006,0)))),"Fix")))</f>
        <v>#N/A</v>
      </c>
      <c r="F922" s="5" t="e">
        <f ca="1">IF(OR(INDEX($AI$2:$AI$1001,MATCH(ROWS($AH$2:AH922),$AH$2:$AH$1001,0),1)&gt;=100000,INDEX($AO$1005:$BQ$1005,1,MATCH(COLUMNS($AO$1006:AS1006),$AO$1006:$BQ$1006,0))&gt;=100000), " ",IF(INDEX($AO$2:$BQ$1001,MATCH(ROWS($AH$2:AH922),$AH$2:$AH$1001,0),MATCH(COLUMNS($AO$1006:AS1006),$AO$1006:$BQ$1006,0)), HYPERLINK("#",""), HYPERLINK(CONCATENATE("#Metadata!", ADDRESS(INDEX($AJ$2:$AJ$1001,MATCH(ROWS($AH$2:AH922),$AH$2:$AH$1001,0),0), INDEX($AO$1004:$BQ$1004,1,MATCH(COLUMNS($AO$1006:AS1006),$AO$1006:$BQ$1006,0)))),"Fix")))</f>
        <v>#N/A</v>
      </c>
      <c r="G922" s="5" t="e">
        <f ca="1">IF(OR(INDEX($AI$2:$AI$1001,MATCH(ROWS($AH$2:AH922),$AH$2:$AH$1001,0),1)&gt;=100000,INDEX($AO$1005:$BQ$1005,1,MATCH(COLUMNS($AO$1006:AT1006),$AO$1006:$BQ$1006,0))&gt;=100000), " ",IF(INDEX($AO$2:$BQ$1001,MATCH(ROWS($AH$2:AH922),$AH$2:$AH$1001,0),MATCH(COLUMNS($AO$1006:AT1006),$AO$1006:$BQ$1006,0)), HYPERLINK("#",""), HYPERLINK(CONCATENATE("#Metadata!", ADDRESS(INDEX($AJ$2:$AJ$1001,MATCH(ROWS($AH$2:AH922),$AH$2:$AH$1001,0),0), INDEX($AO$1004:$BQ$1004,1,MATCH(COLUMNS($AO$1006:AT1006),$AO$1006:$BQ$1006,0)))),"Fix")))</f>
        <v>#N/A</v>
      </c>
      <c r="H922" s="5" t="e">
        <f ca="1">IF(OR(INDEX($AI$2:$AI$1001,MATCH(ROWS($AH$2:AH922),$AH$2:$AH$1001,0),1)&gt;=100000,INDEX($AO$1005:$BQ$1005,1,MATCH(COLUMNS($AO$1006:AU1006),$AO$1006:$BQ$1006,0))&gt;=100000), " ",IF(INDEX($AO$2:$BQ$1001,MATCH(ROWS($AH$2:AH922),$AH$2:$AH$1001,0),MATCH(COLUMNS($AO$1006:AU1006),$AO$1006:$BQ$1006,0)), HYPERLINK("#",""), HYPERLINK(CONCATENATE("#Metadata!", ADDRESS(INDEX($AJ$2:$AJ$1001,MATCH(ROWS($AH$2:AH922),$AH$2:$AH$1001,0),0), INDEX($AO$1004:$BQ$1004,1,MATCH(COLUMNS($AO$1006:AU1006),$AO$1006:$BQ$1006,0)))),"Fix")))</f>
        <v>#N/A</v>
      </c>
      <c r="I922" s="5" t="e">
        <f ca="1">IF(OR(INDEX($AI$2:$AI$1001,MATCH(ROWS($AH$2:AH922),$AH$2:$AH$1001,0),1)&gt;=100000,INDEX($AO$1005:$BQ$1005,1,MATCH(COLUMNS($AO$1006:AV1006),$AO$1006:$BQ$1006,0))&gt;=100000), " ",IF(INDEX($AO$2:$BQ$1001,MATCH(ROWS($AH$2:AH922),$AH$2:$AH$1001,0),MATCH(COLUMNS($AO$1006:AV1006),$AO$1006:$BQ$1006,0)), HYPERLINK("#",""), HYPERLINK(CONCATENATE("#Metadata!", ADDRESS(INDEX($AJ$2:$AJ$1001,MATCH(ROWS($AH$2:AH922),$AH$2:$AH$1001,0),0), INDEX($AO$1004:$BQ$1004,1,MATCH(COLUMNS($AO$1006:AV1006),$AO$1006:$BQ$1006,0)))),"Fix")))</f>
        <v>#N/A</v>
      </c>
      <c r="J922" s="5" t="e">
        <f ca="1">IF(OR(INDEX($AI$2:$AI$1001,MATCH(ROWS($AH$2:AH922),$AH$2:$AH$1001,0),1)&gt;=100000,INDEX($AO$1005:$BQ$1005,1,MATCH(COLUMNS($AO$1006:AW1006),$AO$1006:$BQ$1006,0))&gt;=100000), " ",IF(INDEX($AO$2:$BQ$1001,MATCH(ROWS($AH$2:AH922),$AH$2:$AH$1001,0),MATCH(COLUMNS($AO$1006:AW1006),$AO$1006:$BQ$1006,0)), HYPERLINK("#",""), HYPERLINK(CONCATENATE("#Metadata!", ADDRESS(INDEX($AJ$2:$AJ$1001,MATCH(ROWS($AH$2:AH922),$AH$2:$AH$1001,0),0), INDEX($AO$1004:$BQ$1004,1,MATCH(COLUMNS($AO$1006:AW1006),$AO$1006:$BQ$1006,0)))),"Fix")))</f>
        <v>#N/A</v>
      </c>
      <c r="K922" s="5" t="e">
        <f ca="1">IF(OR(INDEX($AI$2:$AI$1001,MATCH(ROWS($AH$2:AH922),$AH$2:$AH$1001,0),1)&gt;=100000,INDEX($AO$1005:$BQ$1005,1,MATCH(COLUMNS($AO$1006:AX1006),$AO$1006:$BQ$1006,0))&gt;=100000), " ",IF(INDEX($AO$2:$BQ$1001,MATCH(ROWS($AH$2:AH922),$AH$2:$AH$1001,0),MATCH(COLUMNS($AO$1006:AX1006),$AO$1006:$BQ$1006,0)), HYPERLINK("#",""), HYPERLINK(CONCATENATE("#Metadata!", ADDRESS(INDEX($AJ$2:$AJ$1001,MATCH(ROWS($AH$2:AH922),$AH$2:$AH$1001,0),0), INDEX($AO$1004:$BQ$1004,1,MATCH(COLUMNS($AO$1006:AX1006),$AO$1006:$BQ$1006,0)))),"Fix")))</f>
        <v>#N/A</v>
      </c>
      <c r="L922" s="5" t="e">
        <f ca="1">IF(OR(INDEX($AI$2:$AI$1001,MATCH(ROWS($AH$2:AH922),$AH$2:$AH$1001,0),1)&gt;=100000,INDEX($AO$1005:$BQ$1005,1,MATCH(COLUMNS($AO$1006:AY1006),$AO$1006:$BQ$1006,0))&gt;=100000), " ",IF(INDEX($AO$2:$BQ$1001,MATCH(ROWS($AH$2:AH922),$AH$2:$AH$1001,0),MATCH(COLUMNS($AO$1006:AY1006),$AO$1006:$BQ$1006,0)), HYPERLINK("#",""), HYPERLINK(CONCATENATE("#Metadata!", ADDRESS(INDEX($AJ$2:$AJ$1001,MATCH(ROWS($AH$2:AH922),$AH$2:$AH$1001,0),0), INDEX($AO$1004:$BQ$1004,1,MATCH(COLUMNS($AO$1006:AY1006),$AO$1006:$BQ$1006,0)))),"Fix")))</f>
        <v>#N/A</v>
      </c>
      <c r="M922" s="5" t="e">
        <f ca="1">IF(OR(INDEX($AI$2:$AI$1001,MATCH(ROWS($AH$2:AH922),$AH$2:$AH$1001,0),1)&gt;=100000,INDEX($AO$1005:$BQ$1005,1,MATCH(COLUMNS($AO$1006:AZ1006),$AO$1006:$BQ$1006,0))&gt;=100000), " ",IF(INDEX($AO$2:$BQ$1001,MATCH(ROWS($AH$2:AH922),$AH$2:$AH$1001,0),MATCH(COLUMNS($AO$1006:AZ1006),$AO$1006:$BQ$1006,0)), HYPERLINK("#",""), HYPERLINK(CONCATENATE("#Metadata!", ADDRESS(INDEX($AJ$2:$AJ$1001,MATCH(ROWS($AH$2:AH922),$AH$2:$AH$1001,0),0), INDEX($AO$1004:$BQ$1004,1,MATCH(COLUMNS($AO$1006:AZ1006),$AO$1006:$BQ$1006,0)))),"Fix")))</f>
        <v>#N/A</v>
      </c>
      <c r="N922" s="5" t="e">
        <f ca="1">IF(OR(INDEX($AI$2:$AI$1001,MATCH(ROWS($AH$2:AH922),$AH$2:$AH$1001,0),1)&gt;=100000,INDEX($AO$1005:$BQ$1005,1,MATCH(COLUMNS($AO$1006:BA1006),$AO$1006:$BQ$1006,0))&gt;=100000), " ",IF(INDEX($AO$2:$BQ$1001,MATCH(ROWS($AH$2:AH922),$AH$2:$AH$1001,0),MATCH(COLUMNS($AO$1006:BA1006),$AO$1006:$BQ$1006,0)), HYPERLINK("#",""), HYPERLINK(CONCATENATE("#Metadata!", ADDRESS(INDEX($AJ$2:$AJ$1001,MATCH(ROWS($AH$2:AH922),$AH$2:$AH$1001,0),0), INDEX($AO$1004:$BQ$1004,1,MATCH(COLUMNS($AO$1006:BA1006),$AO$1006:$BQ$1006,0)))),"Fix")))</f>
        <v>#N/A</v>
      </c>
      <c r="O922" s="5" t="e">
        <f ca="1">IF(OR(INDEX($AI$2:$AI$1001,MATCH(ROWS($AH$2:AH922),$AH$2:$AH$1001,0),1)&gt;=100000,INDEX($AO$1005:$BQ$1005,1,MATCH(COLUMNS($AO$1006:BB1006),$AO$1006:$BQ$1006,0))&gt;=100000), " ",IF(INDEX($AO$2:$BQ$1001,MATCH(ROWS($AH$2:AH922),$AH$2:$AH$1001,0),MATCH(COLUMNS($AO$1006:BB1006),$AO$1006:$BQ$1006,0)), HYPERLINK("#",""), HYPERLINK(CONCATENATE("#Metadata!", ADDRESS(INDEX($AJ$2:$AJ$1001,MATCH(ROWS($AH$2:AH922),$AH$2:$AH$1001,0),0), INDEX($AO$1004:$BQ$1004,1,MATCH(COLUMNS($AO$1006:BB1006),$AO$1006:$BQ$1006,0)))),"Fix")))</f>
        <v>#N/A</v>
      </c>
      <c r="P922" s="5" t="e">
        <f ca="1">IF(OR(INDEX($AI$2:$AI$1001,MATCH(ROWS($AH$2:AH922),$AH$2:$AH$1001,0),1)&gt;=100000,INDEX($AO$1005:$BQ$1005,1,MATCH(COLUMNS($AO$1006:BC1006),$AO$1006:$BQ$1006,0))&gt;=100000), " ",IF(INDEX($AO$2:$BQ$1001,MATCH(ROWS($AH$2:AH922),$AH$2:$AH$1001,0),MATCH(COLUMNS($AO$1006:BC1006),$AO$1006:$BQ$1006,0)), HYPERLINK("#",""), HYPERLINK(CONCATENATE("#Metadata!", ADDRESS(INDEX($AJ$2:$AJ$1001,MATCH(ROWS($AH$2:AH922),$AH$2:$AH$1001,0),0), INDEX($AO$1004:$BQ$1004,1,MATCH(COLUMNS($AO$1006:BC1006),$AO$1006:$BQ$1006,0)))),"Fix")))</f>
        <v>#N/A</v>
      </c>
      <c r="Q922" s="5" t="e">
        <f ca="1">IF(OR(INDEX($AI$2:$AI$1001,MATCH(ROWS($AH$2:AH922),$AH$2:$AH$1001,0),1)&gt;=100000,INDEX($AO$1005:$BQ$1005,1,MATCH(COLUMNS($AO$1006:BD1006),$AO$1006:$BQ$1006,0))&gt;=100000), " ",IF(INDEX($AO$2:$BQ$1001,MATCH(ROWS($AH$2:AH922),$AH$2:$AH$1001,0),MATCH(COLUMNS($AO$1006:BD1006),$AO$1006:$BQ$1006,0)), HYPERLINK("#",""), HYPERLINK(CONCATENATE("#Metadata!", ADDRESS(INDEX($AJ$2:$AJ$1001,MATCH(ROWS($AH$2:AH922),$AH$2:$AH$1001,0),0), INDEX($AO$1004:$BQ$1004,1,MATCH(COLUMNS($AO$1006:BD1006),$AO$1006:$BQ$1006,0)))),"Fix")))</f>
        <v>#N/A</v>
      </c>
      <c r="R922" s="5" t="e">
        <f ca="1">IF(OR(INDEX($AI$2:$AI$1001,MATCH(ROWS($AH$2:AH922),$AH$2:$AH$1001,0),1)&gt;=100000,INDEX($AO$1005:$BQ$1005,1,MATCH(COLUMNS($AO$1006:BE1006),$AO$1006:$BQ$1006,0))&gt;=100000), " ",IF(INDEX($AO$2:$BQ$1001,MATCH(ROWS($AH$2:AH922),$AH$2:$AH$1001,0),MATCH(COLUMNS($AO$1006:BE1006),$AO$1006:$BQ$1006,0)), HYPERLINK("#",""), HYPERLINK(CONCATENATE("#Metadata!", ADDRESS(INDEX($AJ$2:$AJ$1001,MATCH(ROWS($AH$2:AH922),$AH$2:$AH$1001,0),0), INDEX($AO$1004:$BQ$1004,1,MATCH(COLUMNS($AO$1006:BE1006),$AO$1006:$BQ$1006,0)))),"Fix")))</f>
        <v>#N/A</v>
      </c>
      <c r="S922" s="5" t="e">
        <f ca="1">IF(OR(INDEX($AI$2:$AI$1001,MATCH(ROWS($AH$2:AH922),$AH$2:$AH$1001,0),1)&gt;=100000,INDEX($AO$1005:$BQ$1005,1,MATCH(COLUMNS($AO$1006:BF1006),$AO$1006:$BQ$1006,0))&gt;=100000), " ",IF(INDEX($AO$2:$BQ$1001,MATCH(ROWS($AH$2:AH922),$AH$2:$AH$1001,0),MATCH(COLUMNS($AO$1006:BF1006),$AO$1006:$BQ$1006,0)), HYPERLINK("#",""), HYPERLINK(CONCATENATE("#Metadata!", ADDRESS(INDEX($AJ$2:$AJ$1001,MATCH(ROWS($AH$2:AH922),$AH$2:$AH$1001,0),0), INDEX($AO$1004:$BQ$1004,1,MATCH(COLUMNS($AO$1006:BF1006),$AO$1006:$BQ$1006,0)))),"Fix")))</f>
        <v>#N/A</v>
      </c>
      <c r="T922" s="5" t="e">
        <f ca="1">IF(OR(INDEX($AI$2:$AI$1001,MATCH(ROWS($AH$2:AH922),$AH$2:$AH$1001,0),1)&gt;=100000,INDEX($AO$1005:$BQ$1005,1,MATCH(COLUMNS($AO$1006:BG1006),$AO$1006:$BQ$1006,0))&gt;=100000), " ",IF(INDEX($AO$2:$BQ$1001,MATCH(ROWS($AH$2:AH922),$AH$2:$AH$1001,0),MATCH(COLUMNS($AO$1006:BG1006),$AO$1006:$BQ$1006,0)), HYPERLINK("#",""), HYPERLINK(CONCATENATE("#Metadata!", ADDRESS(INDEX($AJ$2:$AJ$1001,MATCH(ROWS($AH$2:AH922),$AH$2:$AH$1001,0),0), INDEX($AO$1004:$BQ$1004,1,MATCH(COLUMNS($AO$1006:BG1006),$AO$1006:$BQ$1006,0)))),"Fix")))</f>
        <v>#N/A</v>
      </c>
      <c r="U922" s="5" t="e">
        <f ca="1">IF(OR(INDEX($AI$2:$AI$1001,MATCH(ROWS($AH$2:AH922),$AH$2:$AH$1001,0),1)&gt;=100000,INDEX($AO$1005:$BQ$1005,1,MATCH(COLUMNS($AO$1006:BH1006),$AO$1006:$BQ$1006,0))&gt;=100000), " ",IF(INDEX($AO$2:$BQ$1001,MATCH(ROWS($AH$2:AH922),$AH$2:$AH$1001,0),MATCH(COLUMNS($AO$1006:BH1006),$AO$1006:$BQ$1006,0)), HYPERLINK("#",""), HYPERLINK(CONCATENATE("#Metadata!", ADDRESS(INDEX($AJ$2:$AJ$1001,MATCH(ROWS($AH$2:AH922),$AH$2:$AH$1001,0),0), INDEX($AO$1004:$BQ$1004,1,MATCH(COLUMNS($AO$1006:BH1006),$AO$1006:$BQ$1006,0)))),"Fix")))</f>
        <v>#N/A</v>
      </c>
      <c r="V922" s="5" t="e">
        <f ca="1">IF(OR(INDEX($AI$2:$AI$1001,MATCH(ROWS($AH$2:AH922),$AH$2:$AH$1001,0),1)&gt;=100000,INDEX($AO$1005:$BQ$1005,1,MATCH(COLUMNS($AO$1006:BI1006),$AO$1006:$BQ$1006,0))&gt;=100000), " ",IF(INDEX($AO$2:$BQ$1001,MATCH(ROWS($AH$2:AH922),$AH$2:$AH$1001,0),MATCH(COLUMNS($AO$1006:BI1006),$AO$1006:$BQ$1006,0)), HYPERLINK("#",""), HYPERLINK(CONCATENATE("#Metadata!", ADDRESS(INDEX($AJ$2:$AJ$1001,MATCH(ROWS($AH$2:AH922),$AH$2:$AH$1001,0),0), INDEX($AO$1004:$BQ$1004,1,MATCH(COLUMNS($AO$1006:BI1006),$AO$1006:$BQ$1006,0)))),"Fix")))</f>
        <v>#N/A</v>
      </c>
      <c r="W922" s="5" t="e">
        <f ca="1">IF(OR(INDEX($AI$2:$AI$1001,MATCH(ROWS($AH$2:AH922),$AH$2:$AH$1001,0),1)&gt;=100000,INDEX($AO$1005:$BQ$1005,1,MATCH(COLUMNS($AO$1006:BJ1006),$AO$1006:$BQ$1006,0))&gt;=100000), " ",IF(INDEX($AO$2:$BQ$1001,MATCH(ROWS($AH$2:AH922),$AH$2:$AH$1001,0),MATCH(COLUMNS($AO$1006:BJ1006),$AO$1006:$BQ$1006,0)), HYPERLINK("#",""), HYPERLINK(CONCATENATE("#Metadata!", ADDRESS(INDEX($AJ$2:$AJ$1001,MATCH(ROWS($AH$2:AH922),$AH$2:$AH$1001,0),0), INDEX($AO$1004:$BQ$1004,1,MATCH(COLUMNS($AO$1006:BJ1006),$AO$1006:$BQ$1006,0)))),"Fix")))</f>
        <v>#N/A</v>
      </c>
      <c r="X922" s="5" t="e">
        <f ca="1">IF(OR(INDEX($AI$2:$AI$1001,MATCH(ROWS($AH$2:AH922),$AH$2:$AH$1001,0),1)&gt;=100000,INDEX($AO$1005:$BQ$1005,1,MATCH(COLUMNS($AO$1006:BK1006),$AO$1006:$BQ$1006,0))&gt;=100000), " ",IF(INDEX($AO$2:$BQ$1001,MATCH(ROWS($AH$2:AH922),$AH$2:$AH$1001,0),MATCH(COLUMNS($AO$1006:BK1006),$AO$1006:$BQ$1006,0)), HYPERLINK("#",""), HYPERLINK(CONCATENATE("#Metadata!", ADDRESS(INDEX($AJ$2:$AJ$1001,MATCH(ROWS($AH$2:AH922),$AH$2:$AH$1001,0),0), INDEX($AO$1004:$BQ$1004,1,MATCH(COLUMNS($AO$1006:BK1006),$AO$1006:$BQ$1006,0)))),"Fix")))</f>
        <v>#N/A</v>
      </c>
      <c r="Y922" s="5" t="e">
        <f ca="1">IF(OR(INDEX($AI$2:$AI$1001,MATCH(ROWS($AH$2:AH922),$AH$2:$AH$1001,0),1)&gt;=100000,INDEX($AO$1005:$BQ$1005,1,MATCH(COLUMNS($AO$1006:BL1006),$AO$1006:$BQ$1006,0))&gt;=100000), " ",IF(INDEX($AO$2:$BQ$1001,MATCH(ROWS($AH$2:AH922),$AH$2:$AH$1001,0),MATCH(COLUMNS($AO$1006:BL1006),$AO$1006:$BQ$1006,0)), HYPERLINK("#",""), HYPERLINK(CONCATENATE("#Metadata!", ADDRESS(INDEX($AJ$2:$AJ$1001,MATCH(ROWS($AH$2:AH922),$AH$2:$AH$1001,0),0), INDEX($AO$1004:$BQ$1004,1,MATCH(COLUMNS($AO$1006:BL1006),$AO$1006:$BQ$1006,0)))),"Fix")))</f>
        <v>#N/A</v>
      </c>
      <c r="Z922" s="5" t="e">
        <f ca="1">IF(OR(INDEX($AI$2:$AI$1001,MATCH(ROWS($AH$2:AH922),$AH$2:$AH$1001,0),1)&gt;=100000,INDEX($AO$1005:$BQ$1005,1,MATCH(COLUMNS($AO$1006:BM1006),$AO$1006:$BQ$1006,0))&gt;=100000), " ",IF(INDEX($AO$2:$BQ$1001,MATCH(ROWS($AH$2:AH922),$AH$2:$AH$1001,0),MATCH(COLUMNS($AO$1006:BM1006),$AO$1006:$BQ$1006,0)), HYPERLINK("#",""), HYPERLINK(CONCATENATE("#Metadata!", ADDRESS(INDEX($AJ$2:$AJ$1001,MATCH(ROWS($AH$2:AH922),$AH$2:$AH$1001,0),0), INDEX($AO$1004:$BQ$1004,1,MATCH(COLUMNS($AO$1006:BM1006),$AO$1006:$BQ$1006,0)))),"Fix")))</f>
        <v>#N/A</v>
      </c>
      <c r="AA922" s="5" t="e">
        <f ca="1">IF(OR(INDEX($AI$2:$AI$1001,MATCH(ROWS($AH$2:AH922),$AH$2:$AH$1001,0),1)&gt;=100000,INDEX($AO$1005:$BQ$1005,1,MATCH(COLUMNS($AO$1006:BN1006),$AO$1006:$BQ$1006,0))&gt;=100000), " ",IF(INDEX($AO$2:$BQ$1001,MATCH(ROWS($AH$2:AH922),$AH$2:$AH$1001,0),MATCH(COLUMNS($AO$1006:BN1006),$AO$1006:$BQ$1006,0)), HYPERLINK("#",""), HYPERLINK(CONCATENATE("#Metadata!", ADDRESS(INDEX($AJ$2:$AJ$1001,MATCH(ROWS($AH$2:AH922),$AH$2:$AH$1001,0),0), INDEX($AO$1004:$BQ$1004,1,MATCH(COLUMNS($AO$1006:BN1006),$AO$1006:$BQ$1006,0)))),"Fix")))</f>
        <v>#N/A</v>
      </c>
      <c r="AB922" s="5" t="e">
        <f ca="1">IF(OR(INDEX($AI$2:$AI$1001,MATCH(ROWS($AH$2:AH922),$AH$2:$AH$1001,0),1)&gt;=100000,INDEX($AO$1005:$BQ$1005,1,MATCH(COLUMNS($AO$1006:BO1006),$AO$1006:$BQ$1006,0))&gt;=100000), " ",IF(INDEX($AO$2:$BQ$1001,MATCH(ROWS($AH$2:AH922),$AH$2:$AH$1001,0),MATCH(COLUMNS($AO$1006:BO1006),$AO$1006:$BQ$1006,0)), HYPERLINK("#",""), HYPERLINK(CONCATENATE("#Metadata!", ADDRESS(INDEX($AJ$2:$AJ$1001,MATCH(ROWS($AH$2:AH922),$AH$2:$AH$1001,0),0), INDEX($AO$1004:$BQ$1004,1,MATCH(COLUMNS($AO$1006:BO1006),$AO$1006:$BQ$1006,0)))),"Fix")))</f>
        <v>#N/A</v>
      </c>
      <c r="AC922" s="5" t="e">
        <f ca="1">IF(OR(INDEX($AI$2:$AI$1001,MATCH(ROWS($AH$2:AH922),$AH$2:$AH$1001,0),1)&gt;=100000,INDEX($AO$1005:$BQ$1005,1,MATCH(COLUMNS($AO$1006:BP1006),$AO$1006:$BQ$1006,0))&gt;=100000), " ",IF(INDEX($AO$2:$BQ$1001,MATCH(ROWS($AH$2:AH922),$AH$2:$AH$1001,0),MATCH(COLUMNS($AO$1006:BP1006),$AO$1006:$BQ$1006,0)), HYPERLINK("#",""), HYPERLINK(CONCATENATE("#Metadata!", ADDRESS(INDEX($AJ$2:$AJ$1001,MATCH(ROWS($AH$2:AH922),$AH$2:$AH$1001,0),0), INDEX($AO$1004:$BQ$1004,1,MATCH(COLUMNS($AO$1006:BP1006),$AO$1006:$BQ$1006,0)))),"Fix")))</f>
        <v>#N/A</v>
      </c>
      <c r="AD922" s="5" t="e">
        <f ca="1">IF(OR(INDEX($AI$2:$AI$1001,MATCH(ROWS($AH$2:AH922),$AH$2:$AH$1001,0),1)&gt;=100000,INDEX($AO$1005:$BQ$1005,1,MATCH(COLUMNS($AO$1006:BQ1006),$AO$1006:$BQ$1006,0))&gt;=100000), " ",IF(INDEX($AO$2:$BQ$1001,MATCH(ROWS($AH$2:AH922),$AH$2:$AH$1001,0),MATCH(COLUMNS($AO$1006:BQ1006),$AO$1006:$BQ$1006,0)), HYPERLINK("#",""), HYPERLINK(CONCATENATE("#Metadata!", ADDRESS(INDEX($AJ$2:$AJ$1001,MATCH(ROWS($AH$2:AH922),$AH$2:$AH$1001,0),0), INDEX($AO$1004:$BQ$1004,1,MATCH(COLUMNS($AO$1006:BQ1006),$AO$1006:$BQ$1006,0)))),"Fix")))</f>
        <v>#REF!</v>
      </c>
      <c r="AH922">
        <f ca="1"/>
        <v>919</v>
      </c>
      <c r="AI922">
        <v>100922</v>
      </c>
      <c r="AJ922">
        <v>922</v>
      </c>
      <c r="AK922" t="b">
        <f t="shared" si="14"/>
        <v>1</v>
      </c>
      <c r="AL922" t="b">
        <f>COUNTBLANK(Metadata!B922:AD922)=COLUMNS(Metadata!B922:AD922)</f>
        <v>1</v>
      </c>
      <c r="AM922" t="str">
        <v/>
      </c>
      <c r="AO922" t="b">
        <f ca="1">AND(IF(Metadata!B922="",FALSE,TRUE),COUNTIF(Metadata!B:B, Metadata!B922) = 1,NOT(ISERROR(SUMPRODUCT(SEARCH(MID(Metadata!B922,ROW(INDIRECT("1:"&amp;LEN(Metadata!B922))), 1),"0123456789abcdefghijklmnopqrstuvwxyzABCDEFGHIJKLMNOPQRSTUVWXYZ.")))))</f>
        <v>0</v>
      </c>
      <c r="AP922" t="b">
        <f>IF(Metadata!C922="",FALSE,TRUE)</f>
        <v>0</v>
      </c>
      <c r="AQ922" t="b">
        <f>IF(Metadata!D922="",FALSE,TRUE)</f>
        <v>0</v>
      </c>
      <c r="AR922" t="b">
        <f ca="1">OR(AND(IF(Metadata!E922="",FALSE,TRUE),OR(EXACT(Metadata!E922,"not collected"),EXACT(Metadata!E922,"not provided"),EXACT(Metadata!E922,"restricted access"))),AND(IF(Metadata!E922="",FALSE,TRUE),AND(AND(IFERROR(INT(LEFT(Metadata!E922,4))&gt;1900,FALSE),IFERROR(INT(LEFT(Metadata!E922,4))&lt;=YEAR(NOW()),FALSE)), OR(MID(Metadata!E922,5,1)="", AND(AND(MID(Metadata!E922,5,1)="-",IFERROR(INT(MID(Metadata!E922,6,1))&gt;=0,FALSE),IFERROR(INT(MID(Metadata!E922,6,1))&lt;=1,FALSE),NOT(MID(Metadata!E922,7,1)=""),IFERROR(INT(MID(Metadata!E922,6,2))&gt;=1,FALSE),IFERROR(INT(MID(Metadata!E922,6,2))&lt;=12,FALSE)), OR(MID(Metadata!E922,8,1)="", AND(AND(MID(Metadata!E922,8,1)="-",IFERROR(INT(MID(Metadata!E922,9,1))&gt;=0,FALSE),IFERROR(INT(MID(Metadata!E922,9,1))&lt;=3,FALSE),NOT(MID(Metadata!E922,10,1)=""),IFERROR(INT(MID(Metadata!E922,9,2))&gt;=1,FALSE),IFERROR(INT(MID(Metadata!E922,9,2))&lt;=31,FALSE)), OR(MID(Metadata!E922,11,1)="", AND(AND(MID(Metadata!E922,11,1)=" ",IFERROR(INT(MID(Metadata!E922,12,1))&gt;=0,FALSE),IFERROR(INT(MID(Metadata!E922,12,1))&lt;=2,FALSE),NOT(MID(Metadata!E922,13,1)=""),IFERROR(INT(MID(Metadata!E922,12,2))&gt;=0,FALSE),IFERROR(INT(MID(Metadata!E922,12,2))&lt;=23,FALSE)), OR(MID(Metadata!E922,14,1)="", AND(AND(MID(Metadata!E922,14,1)=":",IFERROR(INT(MID(Metadata!E922,15,1))&gt;=0,FALSE),IFERROR(INT(MID(Metadata!E922,15,1))&lt;=5,FALSE),NOT(MID(Metadata!E922,16,1)=""),IFERROR(INT(MID(Metadata!E922,15,2))&gt;=0,FALSE),IFERROR(INT(MID(Metadata!E922,15,2))&lt;=59,FALSE)), OR(MID(Metadata!E922,17,1)="", AND(AND(MID(Metadata!E922,17,1)=":",IFERROR(INT(MID(Metadata!E922,18,1))&gt;=0,FALSE),IFERROR(INT(MID(Metadata!E922,18,1))&lt;=5,FALSE),NOT(MID(Metadata!E922,19,1)=""),IFERROR(INT(MID(Metadata!E922,18,2))&gt;=0,FALSE),IFERROR(INT(MID(Metadata!E922,18,2))&lt;=59,FALSE)), LEN(Metadata!E922)&lt;=19)))))))))))))</f>
        <v>0</v>
      </c>
      <c r="AS922" t="b">
        <f>IF(Metadata!F922="",FALSE,TRUE)</f>
        <v>0</v>
      </c>
      <c r="AT922" t="b">
        <f>OR(AND(IF(Metadata!G922="",FALSE,TRUE),OR(EXACT(Metadata!G922,"not collected"),EXACT(Metadata!G922,"not provided"))),AND(IF(Metadata!G922="",FALSE,TRUE),OR(EXACT(Metadata!G922,"TRUE"),EXACT(Metadata!G922,"FALSE"))))</f>
        <v>0</v>
      </c>
      <c r="AU922" t="b">
        <f>OR(AND(IF(Metadata!H922="",FALSE,TRUE),OR(EXACT(Metadata!H922,"not collected"),EXACT(Metadata!H922,"not provided"),EXACT(Metadata!H922,"restricted access"))),AND(IF(Metadata!H922="",FALSE,ISNUMBER(VALUE(Metadata!H922))),Metadata!H922&gt;=-413))</f>
        <v>0</v>
      </c>
      <c r="AV922" t="b">
        <f>AND(IF(Metadata!I922="",FALSE,TRUE),EXACT(Metadata!I922,"meters"))</f>
        <v>0</v>
      </c>
      <c r="AW922" t="b">
        <f>AND(IF(Metadata!J922="",FALSE,TRUE),EXACT(Metadata!J922,"free-living"))</f>
        <v>0</v>
      </c>
      <c r="AX922" t="b">
        <f>AND(IF(Metadata!K922="",FALSE,TRUE),OR(EXACT(Metadata!K922,"saline"),EXACT(Metadata!K922,"non-saline")))</f>
        <v>0</v>
      </c>
      <c r="AY922" t="b">
        <f>AND(IF(Metadata!L922="",FALSE,TRUE),OR(EXACT(Metadata!L922,"sub-surface (non-saline)"),EXACT(Metadata!L922,"surface (non-saline)"),EXACT(Metadata!L922,"water (non-saline)"),EXACT(Metadata!L922,"soil (non-saline)"),EXACT(Metadata!L922,"aerosol (non-saline)"),EXACT(Metadata!L922,"sediment (non-saline)"),EXACT(Metadata!L922,"surface (saline)"),EXACT(Metadata!L922,"water (saline)"),EXACT(Metadata!L922,"hypersaline (saline)"),EXACT(Metadata!L922,"aerosol (saline)"),EXACT(Metadata!L922,"sediment (saline)")))</f>
        <v>0</v>
      </c>
      <c r="AZ922" t="b">
        <f>IF(Metadata!M922="",FALSE,TRUE)</f>
        <v>0</v>
      </c>
      <c r="BA922" t="b">
        <f>IF(Metadata!N922="",FALSE,TRUE)</f>
        <v>0</v>
      </c>
      <c r="BB922" t="b">
        <f>IF(Metadata!O922="",FALSE,TRUE)</f>
        <v>0</v>
      </c>
      <c r="BC922" t="b">
        <f>AND(IF(Metadata!P922="",FALSE,TRUE),OR(EXACT(Metadata!P922,"air"),EXACT(Metadata!P922,"microbial mat/biofilm"),EXACT(Metadata!P922,"misc environment"),EXACT(Metadata!P922,"sediment"),EXACT(Metadata!P922,"soil"),EXACT(Metadata!P922,"wastewater/sludge"),EXACT(Metadata!P922,"water")))</f>
        <v>0</v>
      </c>
      <c r="BD922" t="b">
        <f>IF(Metadata!Q922="",FALSE,TRUE)</f>
        <v>0</v>
      </c>
      <c r="BE922" t="b">
        <f>IF(Metadata!R922="",FALSE,TRUE)</f>
        <v>0</v>
      </c>
      <c r="BF922" t="b">
        <f>OR(AND(IF(Metadata!S922="",FALSE,TRUE),OR(EXACT(Metadata!S922,"not collected"),EXACT(Metadata!S922,"not provided"),EXACT(Metadata!S922,"restricted access"))),AND(IF(Metadata!S922="",FALSE,ISNUMBER(VALUE(Metadata!S922))),Metadata!S922&gt;=-90,Metadata!S922&lt;=90))</f>
        <v>0</v>
      </c>
      <c r="BG922" t="b">
        <f>AND(IF(Metadata!T922="",FALSE,TRUE),EXACT(Metadata!T922,"Decimal degrees"))</f>
        <v>0</v>
      </c>
      <c r="BH922" t="b">
        <f>OR(AND(IF(Metadata!U922="",FALSE,TRUE),OR(EXACT(Metadata!U922,"not applicable"),EXACT(Metadata!U922,"not collected"))),IF(Metadata!U922="",FALSE,TRUE))</f>
        <v>0</v>
      </c>
      <c r="BI922" t="b">
        <f>OR(AND(IF(Metadata!V922="",FALSE,TRUE),OR(EXACT(Metadata!V922,"not collected"),EXACT(Metadata!V922,"not provided"),EXACT(Metadata!V922,"restricted access"))),AND(IF(Metadata!V922="",FALSE,ISNUMBER(VALUE(Metadata!V922))),Metadata!V922&gt;=-180,Metadata!V922&lt;=180))</f>
        <v>0</v>
      </c>
      <c r="BJ922" t="b">
        <f>AND(IF(Metadata!W922="",FALSE,TRUE),EXACT(Metadata!W922,"Decimal degrees"))</f>
        <v>0</v>
      </c>
      <c r="BK922" t="b">
        <f>IF(Metadata!X922="",FALSE,TRUE)</f>
        <v>0</v>
      </c>
      <c r="BL922" t="b">
        <f>OR(AND(IF(Metadata!Y922="",FALSE,TRUE),OR(EXACT(Metadata!Y922,"not collected"),EXACT(Metadata!Y922,"not provided"),EXACT(Metadata!Y922,"restricted access"))),AND(IF(Metadata!Y922="",FALSE,TRUE),OR(EXACT(Metadata!Y922,"TRUE"),EXACT(Metadata!Y922,"FALSE"))))</f>
        <v>0</v>
      </c>
      <c r="BM922" t="b">
        <f>OR(AND(IF(Metadata!Z922="",FALSE,TRUE),EXACT(Metadata!Z922,"not applicable")),AND(IF(Metadata!Z922="",FALSE,TRUE),OR(EXACT(Metadata!Z922,"beer"),EXACT(Metadata!Z922,"cheese"),EXACT(Metadata!Z922,"fresh water"),EXACT(Metadata!Z922,"marine sediment"),EXACT(Metadata!Z922,"sea water"),EXACT(Metadata!Z922,"sediment"),EXACT(Metadata!Z922,"soil"),EXACT(Metadata!Z922,"waste water"))))</f>
        <v>0</v>
      </c>
      <c r="BN922" t="b">
        <f>AND(IF(Metadata!AA922="",FALSE,TRUE),EXACT(Metadata!AA922,"metagenome"))</f>
        <v>0</v>
      </c>
      <c r="BO922" t="b">
        <f>AND(IF(Metadata!AB922="",FALSE,TRUE),EXACT(Metadata!AB922,"256318"))</f>
        <v>0</v>
      </c>
      <c r="BP922" t="b">
        <f>IF(Metadata!AC922="",FALSE,TRUE)</f>
        <v>0</v>
      </c>
      <c r="BQ922" t="b">
        <f>IF(Metadata!AD922="",FALSE,TRUE)</f>
        <v>0</v>
      </c>
    </row>
    <row r="923" spans="1:69" x14ac:dyDescent="0.2">
      <c r="A923" s="4" t="e">
        <f ca="1">IF(B923=" "," ",HYPERLINK(CONCATENATE("#metadata!",ADDRESS(INDEX($AJ$2:$AJ$1001,MATCH(ROWS($AH$2:AH923),$AH$2:$AH$1001,0),0),2)),INDEX($AM$2:$AM$1001,MATCH(ROWS($AH$2:AH923),$AH$2:$AH$1001,0),0)))</f>
        <v>#N/A</v>
      </c>
      <c r="B923" s="5" t="e">
        <f ca="1">IF(OR(INDEX($AI$2:$AI$1001,MATCH(ROWS($AH$2:AH923),$AH$2:$AH$1001,0),1)&gt;=100000,INDEX($AO$1005:$BQ$1005,1,MATCH(COLUMNS($AO$1006:AO1006),$AO$1006:$BQ$1006,0))&gt;=100000), " ",IF(INDEX($AO$2:$BQ$1001,MATCH(ROWS($AH$2:AH923),$AH$2:$AH$1001,0),MATCH(COLUMNS($AO$1006:AO1006),$AO$1006:$BQ$1006,0)), HYPERLINK("#",""), HYPERLINK(CONCATENATE("#Metadata!", ADDRESS(INDEX($AJ$2:$AJ$1001,MATCH(ROWS($AH$2:AH923),$AH$2:$AH$1001,0),0), INDEX($AO$1004:$BQ$1004,1,MATCH(COLUMNS($AO$1006:AO1006),$AO$1006:$BQ$1006,0)))),"Fix")))</f>
        <v>#N/A</v>
      </c>
      <c r="C923" s="5" t="e">
        <f ca="1">IF(OR(INDEX($AI$2:$AI$1001,MATCH(ROWS($AH$2:AH923),$AH$2:$AH$1001,0),1)&gt;=100000,INDEX($AO$1005:$BQ$1005,1,MATCH(COLUMNS($AO$1006:AP1006),$AO$1006:$BQ$1006,0))&gt;=100000), " ",IF(INDEX($AO$2:$BQ$1001,MATCH(ROWS($AH$2:AH923),$AH$2:$AH$1001,0),MATCH(COLUMNS($AO$1006:AP1006),$AO$1006:$BQ$1006,0)), HYPERLINK("#",""), HYPERLINK(CONCATENATE("#Metadata!", ADDRESS(INDEX($AJ$2:$AJ$1001,MATCH(ROWS($AH$2:AH923),$AH$2:$AH$1001,0),0), INDEX($AO$1004:$BQ$1004,1,MATCH(COLUMNS($AO$1006:AP1006),$AO$1006:$BQ$1006,0)))),"Fix")))</f>
        <v>#N/A</v>
      </c>
      <c r="D923" s="5" t="e">
        <f ca="1">IF(OR(INDEX($AI$2:$AI$1001,MATCH(ROWS($AH$2:AH923),$AH$2:$AH$1001,0),1)&gt;=100000,INDEX($AO$1005:$BQ$1005,1,MATCH(COLUMNS($AO$1006:AQ1006),$AO$1006:$BQ$1006,0))&gt;=100000), " ",IF(INDEX($AO$2:$BQ$1001,MATCH(ROWS($AH$2:AH923),$AH$2:$AH$1001,0),MATCH(COLUMNS($AO$1006:AQ1006),$AO$1006:$BQ$1006,0)), HYPERLINK("#",""), HYPERLINK(CONCATENATE("#Metadata!", ADDRESS(INDEX($AJ$2:$AJ$1001,MATCH(ROWS($AH$2:AH923),$AH$2:$AH$1001,0),0), INDEX($AO$1004:$BQ$1004,1,MATCH(COLUMNS($AO$1006:AQ1006),$AO$1006:$BQ$1006,0)))),"Fix")))</f>
        <v>#N/A</v>
      </c>
      <c r="E923" s="5" t="e">
        <f ca="1">IF(OR(INDEX($AI$2:$AI$1001,MATCH(ROWS($AH$2:AH923),$AH$2:$AH$1001,0),1)&gt;=100000,INDEX($AO$1005:$BQ$1005,1,MATCH(COLUMNS($AO$1006:AR1006),$AO$1006:$BQ$1006,0))&gt;=100000), " ",IF(INDEX($AO$2:$BQ$1001,MATCH(ROWS($AH$2:AH923),$AH$2:$AH$1001,0),MATCH(COLUMNS($AO$1006:AR1006),$AO$1006:$BQ$1006,0)), HYPERLINK("#",""), HYPERLINK(CONCATENATE("#Metadata!", ADDRESS(INDEX($AJ$2:$AJ$1001,MATCH(ROWS($AH$2:AH923),$AH$2:$AH$1001,0),0), INDEX($AO$1004:$BQ$1004,1,MATCH(COLUMNS($AO$1006:AR1006),$AO$1006:$BQ$1006,0)))),"Fix")))</f>
        <v>#N/A</v>
      </c>
      <c r="F923" s="5" t="e">
        <f ca="1">IF(OR(INDEX($AI$2:$AI$1001,MATCH(ROWS($AH$2:AH923),$AH$2:$AH$1001,0),1)&gt;=100000,INDEX($AO$1005:$BQ$1005,1,MATCH(COLUMNS($AO$1006:AS1006),$AO$1006:$BQ$1006,0))&gt;=100000), " ",IF(INDEX($AO$2:$BQ$1001,MATCH(ROWS($AH$2:AH923),$AH$2:$AH$1001,0),MATCH(COLUMNS($AO$1006:AS1006),$AO$1006:$BQ$1006,0)), HYPERLINK("#",""), HYPERLINK(CONCATENATE("#Metadata!", ADDRESS(INDEX($AJ$2:$AJ$1001,MATCH(ROWS($AH$2:AH923),$AH$2:$AH$1001,0),0), INDEX($AO$1004:$BQ$1004,1,MATCH(COLUMNS($AO$1006:AS1006),$AO$1006:$BQ$1006,0)))),"Fix")))</f>
        <v>#N/A</v>
      </c>
      <c r="G923" s="5" t="e">
        <f ca="1">IF(OR(INDEX($AI$2:$AI$1001,MATCH(ROWS($AH$2:AH923),$AH$2:$AH$1001,0),1)&gt;=100000,INDEX($AO$1005:$BQ$1005,1,MATCH(COLUMNS($AO$1006:AT1006),$AO$1006:$BQ$1006,0))&gt;=100000), " ",IF(INDEX($AO$2:$BQ$1001,MATCH(ROWS($AH$2:AH923),$AH$2:$AH$1001,0),MATCH(COLUMNS($AO$1006:AT1006),$AO$1006:$BQ$1006,0)), HYPERLINK("#",""), HYPERLINK(CONCATENATE("#Metadata!", ADDRESS(INDEX($AJ$2:$AJ$1001,MATCH(ROWS($AH$2:AH923),$AH$2:$AH$1001,0),0), INDEX($AO$1004:$BQ$1004,1,MATCH(COLUMNS($AO$1006:AT1006),$AO$1006:$BQ$1006,0)))),"Fix")))</f>
        <v>#N/A</v>
      </c>
      <c r="H923" s="5" t="e">
        <f ca="1">IF(OR(INDEX($AI$2:$AI$1001,MATCH(ROWS($AH$2:AH923),$AH$2:$AH$1001,0),1)&gt;=100000,INDEX($AO$1005:$BQ$1005,1,MATCH(COLUMNS($AO$1006:AU1006),$AO$1006:$BQ$1006,0))&gt;=100000), " ",IF(INDEX($AO$2:$BQ$1001,MATCH(ROWS($AH$2:AH923),$AH$2:$AH$1001,0),MATCH(COLUMNS($AO$1006:AU1006),$AO$1006:$BQ$1006,0)), HYPERLINK("#",""), HYPERLINK(CONCATENATE("#Metadata!", ADDRESS(INDEX($AJ$2:$AJ$1001,MATCH(ROWS($AH$2:AH923),$AH$2:$AH$1001,0),0), INDEX($AO$1004:$BQ$1004,1,MATCH(COLUMNS($AO$1006:AU1006),$AO$1006:$BQ$1006,0)))),"Fix")))</f>
        <v>#N/A</v>
      </c>
      <c r="I923" s="5" t="e">
        <f ca="1">IF(OR(INDEX($AI$2:$AI$1001,MATCH(ROWS($AH$2:AH923),$AH$2:$AH$1001,0),1)&gt;=100000,INDEX($AO$1005:$BQ$1005,1,MATCH(COLUMNS($AO$1006:AV1006),$AO$1006:$BQ$1006,0))&gt;=100000), " ",IF(INDEX($AO$2:$BQ$1001,MATCH(ROWS($AH$2:AH923),$AH$2:$AH$1001,0),MATCH(COLUMNS($AO$1006:AV1006),$AO$1006:$BQ$1006,0)), HYPERLINK("#",""), HYPERLINK(CONCATENATE("#Metadata!", ADDRESS(INDEX($AJ$2:$AJ$1001,MATCH(ROWS($AH$2:AH923),$AH$2:$AH$1001,0),0), INDEX($AO$1004:$BQ$1004,1,MATCH(COLUMNS($AO$1006:AV1006),$AO$1006:$BQ$1006,0)))),"Fix")))</f>
        <v>#N/A</v>
      </c>
      <c r="J923" s="5" t="e">
        <f ca="1">IF(OR(INDEX($AI$2:$AI$1001,MATCH(ROWS($AH$2:AH923),$AH$2:$AH$1001,0),1)&gt;=100000,INDEX($AO$1005:$BQ$1005,1,MATCH(COLUMNS($AO$1006:AW1006),$AO$1006:$BQ$1006,0))&gt;=100000), " ",IF(INDEX($AO$2:$BQ$1001,MATCH(ROWS($AH$2:AH923),$AH$2:$AH$1001,0),MATCH(COLUMNS($AO$1006:AW1006),$AO$1006:$BQ$1006,0)), HYPERLINK("#",""), HYPERLINK(CONCATENATE("#Metadata!", ADDRESS(INDEX($AJ$2:$AJ$1001,MATCH(ROWS($AH$2:AH923),$AH$2:$AH$1001,0),0), INDEX($AO$1004:$BQ$1004,1,MATCH(COLUMNS($AO$1006:AW1006),$AO$1006:$BQ$1006,0)))),"Fix")))</f>
        <v>#N/A</v>
      </c>
      <c r="K923" s="5" t="e">
        <f ca="1">IF(OR(INDEX($AI$2:$AI$1001,MATCH(ROWS($AH$2:AH923),$AH$2:$AH$1001,0),1)&gt;=100000,INDEX($AO$1005:$BQ$1005,1,MATCH(COLUMNS($AO$1006:AX1006),$AO$1006:$BQ$1006,0))&gt;=100000), " ",IF(INDEX($AO$2:$BQ$1001,MATCH(ROWS($AH$2:AH923),$AH$2:$AH$1001,0),MATCH(COLUMNS($AO$1006:AX1006),$AO$1006:$BQ$1006,0)), HYPERLINK("#",""), HYPERLINK(CONCATENATE("#Metadata!", ADDRESS(INDEX($AJ$2:$AJ$1001,MATCH(ROWS($AH$2:AH923),$AH$2:$AH$1001,0),0), INDEX($AO$1004:$BQ$1004,1,MATCH(COLUMNS($AO$1006:AX1006),$AO$1006:$BQ$1006,0)))),"Fix")))</f>
        <v>#N/A</v>
      </c>
      <c r="L923" s="5" t="e">
        <f ca="1">IF(OR(INDEX($AI$2:$AI$1001,MATCH(ROWS($AH$2:AH923),$AH$2:$AH$1001,0),1)&gt;=100000,INDEX($AO$1005:$BQ$1005,1,MATCH(COLUMNS($AO$1006:AY1006),$AO$1006:$BQ$1006,0))&gt;=100000), " ",IF(INDEX($AO$2:$BQ$1001,MATCH(ROWS($AH$2:AH923),$AH$2:$AH$1001,0),MATCH(COLUMNS($AO$1006:AY1006),$AO$1006:$BQ$1006,0)), HYPERLINK("#",""), HYPERLINK(CONCATENATE("#Metadata!", ADDRESS(INDEX($AJ$2:$AJ$1001,MATCH(ROWS($AH$2:AH923),$AH$2:$AH$1001,0),0), INDEX($AO$1004:$BQ$1004,1,MATCH(COLUMNS($AO$1006:AY1006),$AO$1006:$BQ$1006,0)))),"Fix")))</f>
        <v>#N/A</v>
      </c>
      <c r="M923" s="5" t="e">
        <f ca="1">IF(OR(INDEX($AI$2:$AI$1001,MATCH(ROWS($AH$2:AH923),$AH$2:$AH$1001,0),1)&gt;=100000,INDEX($AO$1005:$BQ$1005,1,MATCH(COLUMNS($AO$1006:AZ1006),$AO$1006:$BQ$1006,0))&gt;=100000), " ",IF(INDEX($AO$2:$BQ$1001,MATCH(ROWS($AH$2:AH923),$AH$2:$AH$1001,0),MATCH(COLUMNS($AO$1006:AZ1006),$AO$1006:$BQ$1006,0)), HYPERLINK("#",""), HYPERLINK(CONCATENATE("#Metadata!", ADDRESS(INDEX($AJ$2:$AJ$1001,MATCH(ROWS($AH$2:AH923),$AH$2:$AH$1001,0),0), INDEX($AO$1004:$BQ$1004,1,MATCH(COLUMNS($AO$1006:AZ1006),$AO$1006:$BQ$1006,0)))),"Fix")))</f>
        <v>#N/A</v>
      </c>
      <c r="N923" s="5" t="e">
        <f ca="1">IF(OR(INDEX($AI$2:$AI$1001,MATCH(ROWS($AH$2:AH923),$AH$2:$AH$1001,0),1)&gt;=100000,INDEX($AO$1005:$BQ$1005,1,MATCH(COLUMNS($AO$1006:BA1006),$AO$1006:$BQ$1006,0))&gt;=100000), " ",IF(INDEX($AO$2:$BQ$1001,MATCH(ROWS($AH$2:AH923),$AH$2:$AH$1001,0),MATCH(COLUMNS($AO$1006:BA1006),$AO$1006:$BQ$1006,0)), HYPERLINK("#",""), HYPERLINK(CONCATENATE("#Metadata!", ADDRESS(INDEX($AJ$2:$AJ$1001,MATCH(ROWS($AH$2:AH923),$AH$2:$AH$1001,0),0), INDEX($AO$1004:$BQ$1004,1,MATCH(COLUMNS($AO$1006:BA1006),$AO$1006:$BQ$1006,0)))),"Fix")))</f>
        <v>#N/A</v>
      </c>
      <c r="O923" s="5" t="e">
        <f ca="1">IF(OR(INDEX($AI$2:$AI$1001,MATCH(ROWS($AH$2:AH923),$AH$2:$AH$1001,0),1)&gt;=100000,INDEX($AO$1005:$BQ$1005,1,MATCH(COLUMNS($AO$1006:BB1006),$AO$1006:$BQ$1006,0))&gt;=100000), " ",IF(INDEX($AO$2:$BQ$1001,MATCH(ROWS($AH$2:AH923),$AH$2:$AH$1001,0),MATCH(COLUMNS($AO$1006:BB1006),$AO$1006:$BQ$1006,0)), HYPERLINK("#",""), HYPERLINK(CONCATENATE("#Metadata!", ADDRESS(INDEX($AJ$2:$AJ$1001,MATCH(ROWS($AH$2:AH923),$AH$2:$AH$1001,0),0), INDEX($AO$1004:$BQ$1004,1,MATCH(COLUMNS($AO$1006:BB1006),$AO$1006:$BQ$1006,0)))),"Fix")))</f>
        <v>#N/A</v>
      </c>
      <c r="P923" s="5" t="e">
        <f ca="1">IF(OR(INDEX($AI$2:$AI$1001,MATCH(ROWS($AH$2:AH923),$AH$2:$AH$1001,0),1)&gt;=100000,INDEX($AO$1005:$BQ$1005,1,MATCH(COLUMNS($AO$1006:BC1006),$AO$1006:$BQ$1006,0))&gt;=100000), " ",IF(INDEX($AO$2:$BQ$1001,MATCH(ROWS($AH$2:AH923),$AH$2:$AH$1001,0),MATCH(COLUMNS($AO$1006:BC1006),$AO$1006:$BQ$1006,0)), HYPERLINK("#",""), HYPERLINK(CONCATENATE("#Metadata!", ADDRESS(INDEX($AJ$2:$AJ$1001,MATCH(ROWS($AH$2:AH923),$AH$2:$AH$1001,0),0), INDEX($AO$1004:$BQ$1004,1,MATCH(COLUMNS($AO$1006:BC1006),$AO$1006:$BQ$1006,0)))),"Fix")))</f>
        <v>#N/A</v>
      </c>
      <c r="Q923" s="5" t="e">
        <f ca="1">IF(OR(INDEX($AI$2:$AI$1001,MATCH(ROWS($AH$2:AH923),$AH$2:$AH$1001,0),1)&gt;=100000,INDEX($AO$1005:$BQ$1005,1,MATCH(COLUMNS($AO$1006:BD1006),$AO$1006:$BQ$1006,0))&gt;=100000), " ",IF(INDEX($AO$2:$BQ$1001,MATCH(ROWS($AH$2:AH923),$AH$2:$AH$1001,0),MATCH(COLUMNS($AO$1006:BD1006),$AO$1006:$BQ$1006,0)), HYPERLINK("#",""), HYPERLINK(CONCATENATE("#Metadata!", ADDRESS(INDEX($AJ$2:$AJ$1001,MATCH(ROWS($AH$2:AH923),$AH$2:$AH$1001,0),0), INDEX($AO$1004:$BQ$1004,1,MATCH(COLUMNS($AO$1006:BD1006),$AO$1006:$BQ$1006,0)))),"Fix")))</f>
        <v>#N/A</v>
      </c>
      <c r="R923" s="5" t="e">
        <f ca="1">IF(OR(INDEX($AI$2:$AI$1001,MATCH(ROWS($AH$2:AH923),$AH$2:$AH$1001,0),1)&gt;=100000,INDEX($AO$1005:$BQ$1005,1,MATCH(COLUMNS($AO$1006:BE1006),$AO$1006:$BQ$1006,0))&gt;=100000), " ",IF(INDEX($AO$2:$BQ$1001,MATCH(ROWS($AH$2:AH923),$AH$2:$AH$1001,0),MATCH(COLUMNS($AO$1006:BE1006),$AO$1006:$BQ$1006,0)), HYPERLINK("#",""), HYPERLINK(CONCATENATE("#Metadata!", ADDRESS(INDEX($AJ$2:$AJ$1001,MATCH(ROWS($AH$2:AH923),$AH$2:$AH$1001,0),0), INDEX($AO$1004:$BQ$1004,1,MATCH(COLUMNS($AO$1006:BE1006),$AO$1006:$BQ$1006,0)))),"Fix")))</f>
        <v>#N/A</v>
      </c>
      <c r="S923" s="5" t="e">
        <f ca="1">IF(OR(INDEX($AI$2:$AI$1001,MATCH(ROWS($AH$2:AH923),$AH$2:$AH$1001,0),1)&gt;=100000,INDEX($AO$1005:$BQ$1005,1,MATCH(COLUMNS($AO$1006:BF1006),$AO$1006:$BQ$1006,0))&gt;=100000), " ",IF(INDEX($AO$2:$BQ$1001,MATCH(ROWS($AH$2:AH923),$AH$2:$AH$1001,0),MATCH(COLUMNS($AO$1006:BF1006),$AO$1006:$BQ$1006,0)), HYPERLINK("#",""), HYPERLINK(CONCATENATE("#Metadata!", ADDRESS(INDEX($AJ$2:$AJ$1001,MATCH(ROWS($AH$2:AH923),$AH$2:$AH$1001,0),0), INDEX($AO$1004:$BQ$1004,1,MATCH(COLUMNS($AO$1006:BF1006),$AO$1006:$BQ$1006,0)))),"Fix")))</f>
        <v>#N/A</v>
      </c>
      <c r="T923" s="5" t="e">
        <f ca="1">IF(OR(INDEX($AI$2:$AI$1001,MATCH(ROWS($AH$2:AH923),$AH$2:$AH$1001,0),1)&gt;=100000,INDEX($AO$1005:$BQ$1005,1,MATCH(COLUMNS($AO$1006:BG1006),$AO$1006:$BQ$1006,0))&gt;=100000), " ",IF(INDEX($AO$2:$BQ$1001,MATCH(ROWS($AH$2:AH923),$AH$2:$AH$1001,0),MATCH(COLUMNS($AO$1006:BG1006),$AO$1006:$BQ$1006,0)), HYPERLINK("#",""), HYPERLINK(CONCATENATE("#Metadata!", ADDRESS(INDEX($AJ$2:$AJ$1001,MATCH(ROWS($AH$2:AH923),$AH$2:$AH$1001,0),0), INDEX($AO$1004:$BQ$1004,1,MATCH(COLUMNS($AO$1006:BG1006),$AO$1006:$BQ$1006,0)))),"Fix")))</f>
        <v>#N/A</v>
      </c>
      <c r="U923" s="5" t="e">
        <f ca="1">IF(OR(INDEX($AI$2:$AI$1001,MATCH(ROWS($AH$2:AH923),$AH$2:$AH$1001,0),1)&gt;=100000,INDEX($AO$1005:$BQ$1005,1,MATCH(COLUMNS($AO$1006:BH1006),$AO$1006:$BQ$1006,0))&gt;=100000), " ",IF(INDEX($AO$2:$BQ$1001,MATCH(ROWS($AH$2:AH923),$AH$2:$AH$1001,0),MATCH(COLUMNS($AO$1006:BH1006),$AO$1006:$BQ$1006,0)), HYPERLINK("#",""), HYPERLINK(CONCATENATE("#Metadata!", ADDRESS(INDEX($AJ$2:$AJ$1001,MATCH(ROWS($AH$2:AH923),$AH$2:$AH$1001,0),0), INDEX($AO$1004:$BQ$1004,1,MATCH(COLUMNS($AO$1006:BH1006),$AO$1006:$BQ$1006,0)))),"Fix")))</f>
        <v>#N/A</v>
      </c>
      <c r="V923" s="5" t="e">
        <f ca="1">IF(OR(INDEX($AI$2:$AI$1001,MATCH(ROWS($AH$2:AH923),$AH$2:$AH$1001,0),1)&gt;=100000,INDEX($AO$1005:$BQ$1005,1,MATCH(COLUMNS($AO$1006:BI1006),$AO$1006:$BQ$1006,0))&gt;=100000), " ",IF(INDEX($AO$2:$BQ$1001,MATCH(ROWS($AH$2:AH923),$AH$2:$AH$1001,0),MATCH(COLUMNS($AO$1006:BI1006),$AO$1006:$BQ$1006,0)), HYPERLINK("#",""), HYPERLINK(CONCATENATE("#Metadata!", ADDRESS(INDEX($AJ$2:$AJ$1001,MATCH(ROWS($AH$2:AH923),$AH$2:$AH$1001,0),0), INDEX($AO$1004:$BQ$1004,1,MATCH(COLUMNS($AO$1006:BI1006),$AO$1006:$BQ$1006,0)))),"Fix")))</f>
        <v>#N/A</v>
      </c>
      <c r="W923" s="5" t="e">
        <f ca="1">IF(OR(INDEX($AI$2:$AI$1001,MATCH(ROWS($AH$2:AH923),$AH$2:$AH$1001,0),1)&gt;=100000,INDEX($AO$1005:$BQ$1005,1,MATCH(COLUMNS($AO$1006:BJ1006),$AO$1006:$BQ$1006,0))&gt;=100000), " ",IF(INDEX($AO$2:$BQ$1001,MATCH(ROWS($AH$2:AH923),$AH$2:$AH$1001,0),MATCH(COLUMNS($AO$1006:BJ1006),$AO$1006:$BQ$1006,0)), HYPERLINK("#",""), HYPERLINK(CONCATENATE("#Metadata!", ADDRESS(INDEX($AJ$2:$AJ$1001,MATCH(ROWS($AH$2:AH923),$AH$2:$AH$1001,0),0), INDEX($AO$1004:$BQ$1004,1,MATCH(COLUMNS($AO$1006:BJ1006),$AO$1006:$BQ$1006,0)))),"Fix")))</f>
        <v>#N/A</v>
      </c>
      <c r="X923" s="5" t="e">
        <f ca="1">IF(OR(INDEX($AI$2:$AI$1001,MATCH(ROWS($AH$2:AH923),$AH$2:$AH$1001,0),1)&gt;=100000,INDEX($AO$1005:$BQ$1005,1,MATCH(COLUMNS($AO$1006:BK1006),$AO$1006:$BQ$1006,0))&gt;=100000), " ",IF(INDEX($AO$2:$BQ$1001,MATCH(ROWS($AH$2:AH923),$AH$2:$AH$1001,0),MATCH(COLUMNS($AO$1006:BK1006),$AO$1006:$BQ$1006,0)), HYPERLINK("#",""), HYPERLINK(CONCATENATE("#Metadata!", ADDRESS(INDEX($AJ$2:$AJ$1001,MATCH(ROWS($AH$2:AH923),$AH$2:$AH$1001,0),0), INDEX($AO$1004:$BQ$1004,1,MATCH(COLUMNS($AO$1006:BK1006),$AO$1006:$BQ$1006,0)))),"Fix")))</f>
        <v>#N/A</v>
      </c>
      <c r="Y923" s="5" t="e">
        <f ca="1">IF(OR(INDEX($AI$2:$AI$1001,MATCH(ROWS($AH$2:AH923),$AH$2:$AH$1001,0),1)&gt;=100000,INDEX($AO$1005:$BQ$1005,1,MATCH(COLUMNS($AO$1006:BL1006),$AO$1006:$BQ$1006,0))&gt;=100000), " ",IF(INDEX($AO$2:$BQ$1001,MATCH(ROWS($AH$2:AH923),$AH$2:$AH$1001,0),MATCH(COLUMNS($AO$1006:BL1006),$AO$1006:$BQ$1006,0)), HYPERLINK("#",""), HYPERLINK(CONCATENATE("#Metadata!", ADDRESS(INDEX($AJ$2:$AJ$1001,MATCH(ROWS($AH$2:AH923),$AH$2:$AH$1001,0),0), INDEX($AO$1004:$BQ$1004,1,MATCH(COLUMNS($AO$1006:BL1006),$AO$1006:$BQ$1006,0)))),"Fix")))</f>
        <v>#N/A</v>
      </c>
      <c r="Z923" s="5" t="e">
        <f ca="1">IF(OR(INDEX($AI$2:$AI$1001,MATCH(ROWS($AH$2:AH923),$AH$2:$AH$1001,0),1)&gt;=100000,INDEX($AO$1005:$BQ$1005,1,MATCH(COLUMNS($AO$1006:BM1006),$AO$1006:$BQ$1006,0))&gt;=100000), " ",IF(INDEX($AO$2:$BQ$1001,MATCH(ROWS($AH$2:AH923),$AH$2:$AH$1001,0),MATCH(COLUMNS($AO$1006:BM1006),$AO$1006:$BQ$1006,0)), HYPERLINK("#",""), HYPERLINK(CONCATENATE("#Metadata!", ADDRESS(INDEX($AJ$2:$AJ$1001,MATCH(ROWS($AH$2:AH923),$AH$2:$AH$1001,0),0), INDEX($AO$1004:$BQ$1004,1,MATCH(COLUMNS($AO$1006:BM1006),$AO$1006:$BQ$1006,0)))),"Fix")))</f>
        <v>#N/A</v>
      </c>
      <c r="AA923" s="5" t="e">
        <f ca="1">IF(OR(INDEX($AI$2:$AI$1001,MATCH(ROWS($AH$2:AH923),$AH$2:$AH$1001,0),1)&gt;=100000,INDEX($AO$1005:$BQ$1005,1,MATCH(COLUMNS($AO$1006:BN1006),$AO$1006:$BQ$1006,0))&gt;=100000), " ",IF(INDEX($AO$2:$BQ$1001,MATCH(ROWS($AH$2:AH923),$AH$2:$AH$1001,0),MATCH(COLUMNS($AO$1006:BN1006),$AO$1006:$BQ$1006,0)), HYPERLINK("#",""), HYPERLINK(CONCATENATE("#Metadata!", ADDRESS(INDEX($AJ$2:$AJ$1001,MATCH(ROWS($AH$2:AH923),$AH$2:$AH$1001,0),0), INDEX($AO$1004:$BQ$1004,1,MATCH(COLUMNS($AO$1006:BN1006),$AO$1006:$BQ$1006,0)))),"Fix")))</f>
        <v>#N/A</v>
      </c>
      <c r="AB923" s="5" t="e">
        <f ca="1">IF(OR(INDEX($AI$2:$AI$1001,MATCH(ROWS($AH$2:AH923),$AH$2:$AH$1001,0),1)&gt;=100000,INDEX($AO$1005:$BQ$1005,1,MATCH(COLUMNS($AO$1006:BO1006),$AO$1006:$BQ$1006,0))&gt;=100000), " ",IF(INDEX($AO$2:$BQ$1001,MATCH(ROWS($AH$2:AH923),$AH$2:$AH$1001,0),MATCH(COLUMNS($AO$1006:BO1006),$AO$1006:$BQ$1006,0)), HYPERLINK("#",""), HYPERLINK(CONCATENATE("#Metadata!", ADDRESS(INDEX($AJ$2:$AJ$1001,MATCH(ROWS($AH$2:AH923),$AH$2:$AH$1001,0),0), INDEX($AO$1004:$BQ$1004,1,MATCH(COLUMNS($AO$1006:BO1006),$AO$1006:$BQ$1006,0)))),"Fix")))</f>
        <v>#N/A</v>
      </c>
      <c r="AC923" s="5" t="e">
        <f ca="1">IF(OR(INDEX($AI$2:$AI$1001,MATCH(ROWS($AH$2:AH923),$AH$2:$AH$1001,0),1)&gt;=100000,INDEX($AO$1005:$BQ$1005,1,MATCH(COLUMNS($AO$1006:BP1006),$AO$1006:$BQ$1006,0))&gt;=100000), " ",IF(INDEX($AO$2:$BQ$1001,MATCH(ROWS($AH$2:AH923),$AH$2:$AH$1001,0),MATCH(COLUMNS($AO$1006:BP1006),$AO$1006:$BQ$1006,0)), HYPERLINK("#",""), HYPERLINK(CONCATENATE("#Metadata!", ADDRESS(INDEX($AJ$2:$AJ$1001,MATCH(ROWS($AH$2:AH923),$AH$2:$AH$1001,0),0), INDEX($AO$1004:$BQ$1004,1,MATCH(COLUMNS($AO$1006:BP1006),$AO$1006:$BQ$1006,0)))),"Fix")))</f>
        <v>#N/A</v>
      </c>
      <c r="AD923" s="5" t="e">
        <f ca="1">IF(OR(INDEX($AI$2:$AI$1001,MATCH(ROWS($AH$2:AH923),$AH$2:$AH$1001,0),1)&gt;=100000,INDEX($AO$1005:$BQ$1005,1,MATCH(COLUMNS($AO$1006:BQ1006),$AO$1006:$BQ$1006,0))&gt;=100000), " ",IF(INDEX($AO$2:$BQ$1001,MATCH(ROWS($AH$2:AH923),$AH$2:$AH$1001,0),MATCH(COLUMNS($AO$1006:BQ1006),$AO$1006:$BQ$1006,0)), HYPERLINK("#",""), HYPERLINK(CONCATENATE("#Metadata!", ADDRESS(INDEX($AJ$2:$AJ$1001,MATCH(ROWS($AH$2:AH923),$AH$2:$AH$1001,0),0), INDEX($AO$1004:$BQ$1004,1,MATCH(COLUMNS($AO$1006:BQ1006),$AO$1006:$BQ$1006,0)))),"Fix")))</f>
        <v>#REF!</v>
      </c>
      <c r="AH923">
        <f ca="1"/>
        <v>920</v>
      </c>
      <c r="AI923">
        <v>100923</v>
      </c>
      <c r="AJ923">
        <v>923</v>
      </c>
      <c r="AK923" t="b">
        <f t="shared" si="14"/>
        <v>1</v>
      </c>
      <c r="AL923" t="b">
        <f>COUNTBLANK(Metadata!B923:AD923)=COLUMNS(Metadata!B923:AD923)</f>
        <v>1</v>
      </c>
      <c r="AM923" t="str">
        <v/>
      </c>
      <c r="AO923" t="b">
        <f ca="1">AND(IF(Metadata!B923="",FALSE,TRUE),COUNTIF(Metadata!B:B, Metadata!B923) = 1,NOT(ISERROR(SUMPRODUCT(SEARCH(MID(Metadata!B923,ROW(INDIRECT("1:"&amp;LEN(Metadata!B923))), 1),"0123456789abcdefghijklmnopqrstuvwxyzABCDEFGHIJKLMNOPQRSTUVWXYZ.")))))</f>
        <v>0</v>
      </c>
      <c r="AP923" t="b">
        <f>IF(Metadata!C923="",FALSE,TRUE)</f>
        <v>0</v>
      </c>
      <c r="AQ923" t="b">
        <f>IF(Metadata!D923="",FALSE,TRUE)</f>
        <v>0</v>
      </c>
      <c r="AR923" t="b">
        <f ca="1">OR(AND(IF(Metadata!E923="",FALSE,TRUE),OR(EXACT(Metadata!E923,"not collected"),EXACT(Metadata!E923,"not provided"),EXACT(Metadata!E923,"restricted access"))),AND(IF(Metadata!E923="",FALSE,TRUE),AND(AND(IFERROR(INT(LEFT(Metadata!E923,4))&gt;1900,FALSE),IFERROR(INT(LEFT(Metadata!E923,4))&lt;=YEAR(NOW()),FALSE)), OR(MID(Metadata!E923,5,1)="", AND(AND(MID(Metadata!E923,5,1)="-",IFERROR(INT(MID(Metadata!E923,6,1))&gt;=0,FALSE),IFERROR(INT(MID(Metadata!E923,6,1))&lt;=1,FALSE),NOT(MID(Metadata!E923,7,1)=""),IFERROR(INT(MID(Metadata!E923,6,2))&gt;=1,FALSE),IFERROR(INT(MID(Metadata!E923,6,2))&lt;=12,FALSE)), OR(MID(Metadata!E923,8,1)="", AND(AND(MID(Metadata!E923,8,1)="-",IFERROR(INT(MID(Metadata!E923,9,1))&gt;=0,FALSE),IFERROR(INT(MID(Metadata!E923,9,1))&lt;=3,FALSE),NOT(MID(Metadata!E923,10,1)=""),IFERROR(INT(MID(Metadata!E923,9,2))&gt;=1,FALSE),IFERROR(INT(MID(Metadata!E923,9,2))&lt;=31,FALSE)), OR(MID(Metadata!E923,11,1)="", AND(AND(MID(Metadata!E923,11,1)=" ",IFERROR(INT(MID(Metadata!E923,12,1))&gt;=0,FALSE),IFERROR(INT(MID(Metadata!E923,12,1))&lt;=2,FALSE),NOT(MID(Metadata!E923,13,1)=""),IFERROR(INT(MID(Metadata!E923,12,2))&gt;=0,FALSE),IFERROR(INT(MID(Metadata!E923,12,2))&lt;=23,FALSE)), OR(MID(Metadata!E923,14,1)="", AND(AND(MID(Metadata!E923,14,1)=":",IFERROR(INT(MID(Metadata!E923,15,1))&gt;=0,FALSE),IFERROR(INT(MID(Metadata!E923,15,1))&lt;=5,FALSE),NOT(MID(Metadata!E923,16,1)=""),IFERROR(INT(MID(Metadata!E923,15,2))&gt;=0,FALSE),IFERROR(INT(MID(Metadata!E923,15,2))&lt;=59,FALSE)), OR(MID(Metadata!E923,17,1)="", AND(AND(MID(Metadata!E923,17,1)=":",IFERROR(INT(MID(Metadata!E923,18,1))&gt;=0,FALSE),IFERROR(INT(MID(Metadata!E923,18,1))&lt;=5,FALSE),NOT(MID(Metadata!E923,19,1)=""),IFERROR(INT(MID(Metadata!E923,18,2))&gt;=0,FALSE),IFERROR(INT(MID(Metadata!E923,18,2))&lt;=59,FALSE)), LEN(Metadata!E923)&lt;=19)))))))))))))</f>
        <v>0</v>
      </c>
      <c r="AS923" t="b">
        <f>IF(Metadata!F923="",FALSE,TRUE)</f>
        <v>0</v>
      </c>
      <c r="AT923" t="b">
        <f>OR(AND(IF(Metadata!G923="",FALSE,TRUE),OR(EXACT(Metadata!G923,"not collected"),EXACT(Metadata!G923,"not provided"))),AND(IF(Metadata!G923="",FALSE,TRUE),OR(EXACT(Metadata!G923,"TRUE"),EXACT(Metadata!G923,"FALSE"))))</f>
        <v>0</v>
      </c>
      <c r="AU923" t="b">
        <f>OR(AND(IF(Metadata!H923="",FALSE,TRUE),OR(EXACT(Metadata!H923,"not collected"),EXACT(Metadata!H923,"not provided"),EXACT(Metadata!H923,"restricted access"))),AND(IF(Metadata!H923="",FALSE,ISNUMBER(VALUE(Metadata!H923))),Metadata!H923&gt;=-413))</f>
        <v>0</v>
      </c>
      <c r="AV923" t="b">
        <f>AND(IF(Metadata!I923="",FALSE,TRUE),EXACT(Metadata!I923,"meters"))</f>
        <v>0</v>
      </c>
      <c r="AW923" t="b">
        <f>AND(IF(Metadata!J923="",FALSE,TRUE),EXACT(Metadata!J923,"free-living"))</f>
        <v>0</v>
      </c>
      <c r="AX923" t="b">
        <f>AND(IF(Metadata!K923="",FALSE,TRUE),OR(EXACT(Metadata!K923,"saline"),EXACT(Metadata!K923,"non-saline")))</f>
        <v>0</v>
      </c>
      <c r="AY923" t="b">
        <f>AND(IF(Metadata!L923="",FALSE,TRUE),OR(EXACT(Metadata!L923,"sub-surface (non-saline)"),EXACT(Metadata!L923,"surface (non-saline)"),EXACT(Metadata!L923,"water (non-saline)"),EXACT(Metadata!L923,"soil (non-saline)"),EXACT(Metadata!L923,"aerosol (non-saline)"),EXACT(Metadata!L923,"sediment (non-saline)"),EXACT(Metadata!L923,"surface (saline)"),EXACT(Metadata!L923,"water (saline)"),EXACT(Metadata!L923,"hypersaline (saline)"),EXACT(Metadata!L923,"aerosol (saline)"),EXACT(Metadata!L923,"sediment (saline)")))</f>
        <v>0</v>
      </c>
      <c r="AZ923" t="b">
        <f>IF(Metadata!M923="",FALSE,TRUE)</f>
        <v>0</v>
      </c>
      <c r="BA923" t="b">
        <f>IF(Metadata!N923="",FALSE,TRUE)</f>
        <v>0</v>
      </c>
      <c r="BB923" t="b">
        <f>IF(Metadata!O923="",FALSE,TRUE)</f>
        <v>0</v>
      </c>
      <c r="BC923" t="b">
        <f>AND(IF(Metadata!P923="",FALSE,TRUE),OR(EXACT(Metadata!P923,"air"),EXACT(Metadata!P923,"microbial mat/biofilm"),EXACT(Metadata!P923,"misc environment"),EXACT(Metadata!P923,"sediment"),EXACT(Metadata!P923,"soil"),EXACT(Metadata!P923,"wastewater/sludge"),EXACT(Metadata!P923,"water")))</f>
        <v>0</v>
      </c>
      <c r="BD923" t="b">
        <f>IF(Metadata!Q923="",FALSE,TRUE)</f>
        <v>0</v>
      </c>
      <c r="BE923" t="b">
        <f>IF(Metadata!R923="",FALSE,TRUE)</f>
        <v>0</v>
      </c>
      <c r="BF923" t="b">
        <f>OR(AND(IF(Metadata!S923="",FALSE,TRUE),OR(EXACT(Metadata!S923,"not collected"),EXACT(Metadata!S923,"not provided"),EXACT(Metadata!S923,"restricted access"))),AND(IF(Metadata!S923="",FALSE,ISNUMBER(VALUE(Metadata!S923))),Metadata!S923&gt;=-90,Metadata!S923&lt;=90))</f>
        <v>0</v>
      </c>
      <c r="BG923" t="b">
        <f>AND(IF(Metadata!T923="",FALSE,TRUE),EXACT(Metadata!T923,"Decimal degrees"))</f>
        <v>0</v>
      </c>
      <c r="BH923" t="b">
        <f>OR(AND(IF(Metadata!U923="",FALSE,TRUE),OR(EXACT(Metadata!U923,"not applicable"),EXACT(Metadata!U923,"not collected"))),IF(Metadata!U923="",FALSE,TRUE))</f>
        <v>0</v>
      </c>
      <c r="BI923" t="b">
        <f>OR(AND(IF(Metadata!V923="",FALSE,TRUE),OR(EXACT(Metadata!V923,"not collected"),EXACT(Metadata!V923,"not provided"),EXACT(Metadata!V923,"restricted access"))),AND(IF(Metadata!V923="",FALSE,ISNUMBER(VALUE(Metadata!V923))),Metadata!V923&gt;=-180,Metadata!V923&lt;=180))</f>
        <v>0</v>
      </c>
      <c r="BJ923" t="b">
        <f>AND(IF(Metadata!W923="",FALSE,TRUE),EXACT(Metadata!W923,"Decimal degrees"))</f>
        <v>0</v>
      </c>
      <c r="BK923" t="b">
        <f>IF(Metadata!X923="",FALSE,TRUE)</f>
        <v>0</v>
      </c>
      <c r="BL923" t="b">
        <f>OR(AND(IF(Metadata!Y923="",FALSE,TRUE),OR(EXACT(Metadata!Y923,"not collected"),EXACT(Metadata!Y923,"not provided"),EXACT(Metadata!Y923,"restricted access"))),AND(IF(Metadata!Y923="",FALSE,TRUE),OR(EXACT(Metadata!Y923,"TRUE"),EXACT(Metadata!Y923,"FALSE"))))</f>
        <v>0</v>
      </c>
      <c r="BM923" t="b">
        <f>OR(AND(IF(Metadata!Z923="",FALSE,TRUE),EXACT(Metadata!Z923,"not applicable")),AND(IF(Metadata!Z923="",FALSE,TRUE),OR(EXACT(Metadata!Z923,"beer"),EXACT(Metadata!Z923,"cheese"),EXACT(Metadata!Z923,"fresh water"),EXACT(Metadata!Z923,"marine sediment"),EXACT(Metadata!Z923,"sea water"),EXACT(Metadata!Z923,"sediment"),EXACT(Metadata!Z923,"soil"),EXACT(Metadata!Z923,"waste water"))))</f>
        <v>0</v>
      </c>
      <c r="BN923" t="b">
        <f>AND(IF(Metadata!AA923="",FALSE,TRUE),EXACT(Metadata!AA923,"metagenome"))</f>
        <v>0</v>
      </c>
      <c r="BO923" t="b">
        <f>AND(IF(Metadata!AB923="",FALSE,TRUE),EXACT(Metadata!AB923,"256318"))</f>
        <v>0</v>
      </c>
      <c r="BP923" t="b">
        <f>IF(Metadata!AC923="",FALSE,TRUE)</f>
        <v>0</v>
      </c>
      <c r="BQ923" t="b">
        <f>IF(Metadata!AD923="",FALSE,TRUE)</f>
        <v>0</v>
      </c>
    </row>
    <row r="924" spans="1:69" x14ac:dyDescent="0.2">
      <c r="A924" s="4" t="e">
        <f ca="1">IF(B924=" "," ",HYPERLINK(CONCATENATE("#metadata!",ADDRESS(INDEX($AJ$2:$AJ$1001,MATCH(ROWS($AH$2:AH924),$AH$2:$AH$1001,0),0),2)),INDEX($AM$2:$AM$1001,MATCH(ROWS($AH$2:AH924),$AH$2:$AH$1001,0),0)))</f>
        <v>#N/A</v>
      </c>
      <c r="B924" s="5" t="e">
        <f ca="1">IF(OR(INDEX($AI$2:$AI$1001,MATCH(ROWS($AH$2:AH924),$AH$2:$AH$1001,0),1)&gt;=100000,INDEX($AO$1005:$BQ$1005,1,MATCH(COLUMNS($AO$1006:AO1006),$AO$1006:$BQ$1006,0))&gt;=100000), " ",IF(INDEX($AO$2:$BQ$1001,MATCH(ROWS($AH$2:AH924),$AH$2:$AH$1001,0),MATCH(COLUMNS($AO$1006:AO1006),$AO$1006:$BQ$1006,0)), HYPERLINK("#",""), HYPERLINK(CONCATENATE("#Metadata!", ADDRESS(INDEX($AJ$2:$AJ$1001,MATCH(ROWS($AH$2:AH924),$AH$2:$AH$1001,0),0), INDEX($AO$1004:$BQ$1004,1,MATCH(COLUMNS($AO$1006:AO1006),$AO$1006:$BQ$1006,0)))),"Fix")))</f>
        <v>#N/A</v>
      </c>
      <c r="C924" s="5" t="e">
        <f ca="1">IF(OR(INDEX($AI$2:$AI$1001,MATCH(ROWS($AH$2:AH924),$AH$2:$AH$1001,0),1)&gt;=100000,INDEX($AO$1005:$BQ$1005,1,MATCH(COLUMNS($AO$1006:AP1006),$AO$1006:$BQ$1006,0))&gt;=100000), " ",IF(INDEX($AO$2:$BQ$1001,MATCH(ROWS($AH$2:AH924),$AH$2:$AH$1001,0),MATCH(COLUMNS($AO$1006:AP1006),$AO$1006:$BQ$1006,0)), HYPERLINK("#",""), HYPERLINK(CONCATENATE("#Metadata!", ADDRESS(INDEX($AJ$2:$AJ$1001,MATCH(ROWS($AH$2:AH924),$AH$2:$AH$1001,0),0), INDEX($AO$1004:$BQ$1004,1,MATCH(COLUMNS($AO$1006:AP1006),$AO$1006:$BQ$1006,0)))),"Fix")))</f>
        <v>#N/A</v>
      </c>
      <c r="D924" s="5" t="e">
        <f ca="1">IF(OR(INDEX($AI$2:$AI$1001,MATCH(ROWS($AH$2:AH924),$AH$2:$AH$1001,0),1)&gt;=100000,INDEX($AO$1005:$BQ$1005,1,MATCH(COLUMNS($AO$1006:AQ1006),$AO$1006:$BQ$1006,0))&gt;=100000), " ",IF(INDEX($AO$2:$BQ$1001,MATCH(ROWS($AH$2:AH924),$AH$2:$AH$1001,0),MATCH(COLUMNS($AO$1006:AQ1006),$AO$1006:$BQ$1006,0)), HYPERLINK("#",""), HYPERLINK(CONCATENATE("#Metadata!", ADDRESS(INDEX($AJ$2:$AJ$1001,MATCH(ROWS($AH$2:AH924),$AH$2:$AH$1001,0),0), INDEX($AO$1004:$BQ$1004,1,MATCH(COLUMNS($AO$1006:AQ1006),$AO$1006:$BQ$1006,0)))),"Fix")))</f>
        <v>#N/A</v>
      </c>
      <c r="E924" s="5" t="e">
        <f ca="1">IF(OR(INDEX($AI$2:$AI$1001,MATCH(ROWS($AH$2:AH924),$AH$2:$AH$1001,0),1)&gt;=100000,INDEX($AO$1005:$BQ$1005,1,MATCH(COLUMNS($AO$1006:AR1006),$AO$1006:$BQ$1006,0))&gt;=100000), " ",IF(INDEX($AO$2:$BQ$1001,MATCH(ROWS($AH$2:AH924),$AH$2:$AH$1001,0),MATCH(COLUMNS($AO$1006:AR1006),$AO$1006:$BQ$1006,0)), HYPERLINK("#",""), HYPERLINK(CONCATENATE("#Metadata!", ADDRESS(INDEX($AJ$2:$AJ$1001,MATCH(ROWS($AH$2:AH924),$AH$2:$AH$1001,0),0), INDEX($AO$1004:$BQ$1004,1,MATCH(COLUMNS($AO$1006:AR1006),$AO$1006:$BQ$1006,0)))),"Fix")))</f>
        <v>#N/A</v>
      </c>
      <c r="F924" s="5" t="e">
        <f ca="1">IF(OR(INDEX($AI$2:$AI$1001,MATCH(ROWS($AH$2:AH924),$AH$2:$AH$1001,0),1)&gt;=100000,INDEX($AO$1005:$BQ$1005,1,MATCH(COLUMNS($AO$1006:AS1006),$AO$1006:$BQ$1006,0))&gt;=100000), " ",IF(INDEX($AO$2:$BQ$1001,MATCH(ROWS($AH$2:AH924),$AH$2:$AH$1001,0),MATCH(COLUMNS($AO$1006:AS1006),$AO$1006:$BQ$1006,0)), HYPERLINK("#",""), HYPERLINK(CONCATENATE("#Metadata!", ADDRESS(INDEX($AJ$2:$AJ$1001,MATCH(ROWS($AH$2:AH924),$AH$2:$AH$1001,0),0), INDEX($AO$1004:$BQ$1004,1,MATCH(COLUMNS($AO$1006:AS1006),$AO$1006:$BQ$1006,0)))),"Fix")))</f>
        <v>#N/A</v>
      </c>
      <c r="G924" s="5" t="e">
        <f ca="1">IF(OR(INDEX($AI$2:$AI$1001,MATCH(ROWS($AH$2:AH924),$AH$2:$AH$1001,0),1)&gt;=100000,INDEX($AO$1005:$BQ$1005,1,MATCH(COLUMNS($AO$1006:AT1006),$AO$1006:$BQ$1006,0))&gt;=100000), " ",IF(INDEX($AO$2:$BQ$1001,MATCH(ROWS($AH$2:AH924),$AH$2:$AH$1001,0),MATCH(COLUMNS($AO$1006:AT1006),$AO$1006:$BQ$1006,0)), HYPERLINK("#",""), HYPERLINK(CONCATENATE("#Metadata!", ADDRESS(INDEX($AJ$2:$AJ$1001,MATCH(ROWS($AH$2:AH924),$AH$2:$AH$1001,0),0), INDEX($AO$1004:$BQ$1004,1,MATCH(COLUMNS($AO$1006:AT1006),$AO$1006:$BQ$1006,0)))),"Fix")))</f>
        <v>#N/A</v>
      </c>
      <c r="H924" s="5" t="e">
        <f ca="1">IF(OR(INDEX($AI$2:$AI$1001,MATCH(ROWS($AH$2:AH924),$AH$2:$AH$1001,0),1)&gt;=100000,INDEX($AO$1005:$BQ$1005,1,MATCH(COLUMNS($AO$1006:AU1006),$AO$1006:$BQ$1006,0))&gt;=100000), " ",IF(INDEX($AO$2:$BQ$1001,MATCH(ROWS($AH$2:AH924),$AH$2:$AH$1001,0),MATCH(COLUMNS($AO$1006:AU1006),$AO$1006:$BQ$1006,0)), HYPERLINK("#",""), HYPERLINK(CONCATENATE("#Metadata!", ADDRESS(INDEX($AJ$2:$AJ$1001,MATCH(ROWS($AH$2:AH924),$AH$2:$AH$1001,0),0), INDEX($AO$1004:$BQ$1004,1,MATCH(COLUMNS($AO$1006:AU1006),$AO$1006:$BQ$1006,0)))),"Fix")))</f>
        <v>#N/A</v>
      </c>
      <c r="I924" s="5" t="e">
        <f ca="1">IF(OR(INDEX($AI$2:$AI$1001,MATCH(ROWS($AH$2:AH924),$AH$2:$AH$1001,0),1)&gt;=100000,INDEX($AO$1005:$BQ$1005,1,MATCH(COLUMNS($AO$1006:AV1006),$AO$1006:$BQ$1006,0))&gt;=100000), " ",IF(INDEX($AO$2:$BQ$1001,MATCH(ROWS($AH$2:AH924),$AH$2:$AH$1001,0),MATCH(COLUMNS($AO$1006:AV1006),$AO$1006:$BQ$1006,0)), HYPERLINK("#",""), HYPERLINK(CONCATENATE("#Metadata!", ADDRESS(INDEX($AJ$2:$AJ$1001,MATCH(ROWS($AH$2:AH924),$AH$2:$AH$1001,0),0), INDEX($AO$1004:$BQ$1004,1,MATCH(COLUMNS($AO$1006:AV1006),$AO$1006:$BQ$1006,0)))),"Fix")))</f>
        <v>#N/A</v>
      </c>
      <c r="J924" s="5" t="e">
        <f ca="1">IF(OR(INDEX($AI$2:$AI$1001,MATCH(ROWS($AH$2:AH924),$AH$2:$AH$1001,0),1)&gt;=100000,INDEX($AO$1005:$BQ$1005,1,MATCH(COLUMNS($AO$1006:AW1006),$AO$1006:$BQ$1006,0))&gt;=100000), " ",IF(INDEX($AO$2:$BQ$1001,MATCH(ROWS($AH$2:AH924),$AH$2:$AH$1001,0),MATCH(COLUMNS($AO$1006:AW1006),$AO$1006:$BQ$1006,0)), HYPERLINK("#",""), HYPERLINK(CONCATENATE("#Metadata!", ADDRESS(INDEX($AJ$2:$AJ$1001,MATCH(ROWS($AH$2:AH924),$AH$2:$AH$1001,0),0), INDEX($AO$1004:$BQ$1004,1,MATCH(COLUMNS($AO$1006:AW1006),$AO$1006:$BQ$1006,0)))),"Fix")))</f>
        <v>#N/A</v>
      </c>
      <c r="K924" s="5" t="e">
        <f ca="1">IF(OR(INDEX($AI$2:$AI$1001,MATCH(ROWS($AH$2:AH924),$AH$2:$AH$1001,0),1)&gt;=100000,INDEX($AO$1005:$BQ$1005,1,MATCH(COLUMNS($AO$1006:AX1006),$AO$1006:$BQ$1006,0))&gt;=100000), " ",IF(INDEX($AO$2:$BQ$1001,MATCH(ROWS($AH$2:AH924),$AH$2:$AH$1001,0),MATCH(COLUMNS($AO$1006:AX1006),$AO$1006:$BQ$1006,0)), HYPERLINK("#",""), HYPERLINK(CONCATENATE("#Metadata!", ADDRESS(INDEX($AJ$2:$AJ$1001,MATCH(ROWS($AH$2:AH924),$AH$2:$AH$1001,0),0), INDEX($AO$1004:$BQ$1004,1,MATCH(COLUMNS($AO$1006:AX1006),$AO$1006:$BQ$1006,0)))),"Fix")))</f>
        <v>#N/A</v>
      </c>
      <c r="L924" s="5" t="e">
        <f ca="1">IF(OR(INDEX($AI$2:$AI$1001,MATCH(ROWS($AH$2:AH924),$AH$2:$AH$1001,0),1)&gt;=100000,INDEX($AO$1005:$BQ$1005,1,MATCH(COLUMNS($AO$1006:AY1006),$AO$1006:$BQ$1006,0))&gt;=100000), " ",IF(INDEX($AO$2:$BQ$1001,MATCH(ROWS($AH$2:AH924),$AH$2:$AH$1001,0),MATCH(COLUMNS($AO$1006:AY1006),$AO$1006:$BQ$1006,0)), HYPERLINK("#",""), HYPERLINK(CONCATENATE("#Metadata!", ADDRESS(INDEX($AJ$2:$AJ$1001,MATCH(ROWS($AH$2:AH924),$AH$2:$AH$1001,0),0), INDEX($AO$1004:$BQ$1004,1,MATCH(COLUMNS($AO$1006:AY1006),$AO$1006:$BQ$1006,0)))),"Fix")))</f>
        <v>#N/A</v>
      </c>
      <c r="M924" s="5" t="e">
        <f ca="1">IF(OR(INDEX($AI$2:$AI$1001,MATCH(ROWS($AH$2:AH924),$AH$2:$AH$1001,0),1)&gt;=100000,INDEX($AO$1005:$BQ$1005,1,MATCH(COLUMNS($AO$1006:AZ1006),$AO$1006:$BQ$1006,0))&gt;=100000), " ",IF(INDEX($AO$2:$BQ$1001,MATCH(ROWS($AH$2:AH924),$AH$2:$AH$1001,0),MATCH(COLUMNS($AO$1006:AZ1006),$AO$1006:$BQ$1006,0)), HYPERLINK("#",""), HYPERLINK(CONCATENATE("#Metadata!", ADDRESS(INDEX($AJ$2:$AJ$1001,MATCH(ROWS($AH$2:AH924),$AH$2:$AH$1001,0),0), INDEX($AO$1004:$BQ$1004,1,MATCH(COLUMNS($AO$1006:AZ1006),$AO$1006:$BQ$1006,0)))),"Fix")))</f>
        <v>#N/A</v>
      </c>
      <c r="N924" s="5" t="e">
        <f ca="1">IF(OR(INDEX($AI$2:$AI$1001,MATCH(ROWS($AH$2:AH924),$AH$2:$AH$1001,0),1)&gt;=100000,INDEX($AO$1005:$BQ$1005,1,MATCH(COLUMNS($AO$1006:BA1006),$AO$1006:$BQ$1006,0))&gt;=100000), " ",IF(INDEX($AO$2:$BQ$1001,MATCH(ROWS($AH$2:AH924),$AH$2:$AH$1001,0),MATCH(COLUMNS($AO$1006:BA1006),$AO$1006:$BQ$1006,0)), HYPERLINK("#",""), HYPERLINK(CONCATENATE("#Metadata!", ADDRESS(INDEX($AJ$2:$AJ$1001,MATCH(ROWS($AH$2:AH924),$AH$2:$AH$1001,0),0), INDEX($AO$1004:$BQ$1004,1,MATCH(COLUMNS($AO$1006:BA1006),$AO$1006:$BQ$1006,0)))),"Fix")))</f>
        <v>#N/A</v>
      </c>
      <c r="O924" s="5" t="e">
        <f ca="1">IF(OR(INDEX($AI$2:$AI$1001,MATCH(ROWS($AH$2:AH924),$AH$2:$AH$1001,0),1)&gt;=100000,INDEX($AO$1005:$BQ$1005,1,MATCH(COLUMNS($AO$1006:BB1006),$AO$1006:$BQ$1006,0))&gt;=100000), " ",IF(INDEX($AO$2:$BQ$1001,MATCH(ROWS($AH$2:AH924),$AH$2:$AH$1001,0),MATCH(COLUMNS($AO$1006:BB1006),$AO$1006:$BQ$1006,0)), HYPERLINK("#",""), HYPERLINK(CONCATENATE("#Metadata!", ADDRESS(INDEX($AJ$2:$AJ$1001,MATCH(ROWS($AH$2:AH924),$AH$2:$AH$1001,0),0), INDEX($AO$1004:$BQ$1004,1,MATCH(COLUMNS($AO$1006:BB1006),$AO$1006:$BQ$1006,0)))),"Fix")))</f>
        <v>#N/A</v>
      </c>
      <c r="P924" s="5" t="e">
        <f ca="1">IF(OR(INDEX($AI$2:$AI$1001,MATCH(ROWS($AH$2:AH924),$AH$2:$AH$1001,0),1)&gt;=100000,INDEX($AO$1005:$BQ$1005,1,MATCH(COLUMNS($AO$1006:BC1006),$AO$1006:$BQ$1006,0))&gt;=100000), " ",IF(INDEX($AO$2:$BQ$1001,MATCH(ROWS($AH$2:AH924),$AH$2:$AH$1001,0),MATCH(COLUMNS($AO$1006:BC1006),$AO$1006:$BQ$1006,0)), HYPERLINK("#",""), HYPERLINK(CONCATENATE("#Metadata!", ADDRESS(INDEX($AJ$2:$AJ$1001,MATCH(ROWS($AH$2:AH924),$AH$2:$AH$1001,0),0), INDEX($AO$1004:$BQ$1004,1,MATCH(COLUMNS($AO$1006:BC1006),$AO$1006:$BQ$1006,0)))),"Fix")))</f>
        <v>#N/A</v>
      </c>
      <c r="Q924" s="5" t="e">
        <f ca="1">IF(OR(INDEX($AI$2:$AI$1001,MATCH(ROWS($AH$2:AH924),$AH$2:$AH$1001,0),1)&gt;=100000,INDEX($AO$1005:$BQ$1005,1,MATCH(COLUMNS($AO$1006:BD1006),$AO$1006:$BQ$1006,0))&gt;=100000), " ",IF(INDEX($AO$2:$BQ$1001,MATCH(ROWS($AH$2:AH924),$AH$2:$AH$1001,0),MATCH(COLUMNS($AO$1006:BD1006),$AO$1006:$BQ$1006,0)), HYPERLINK("#",""), HYPERLINK(CONCATENATE("#Metadata!", ADDRESS(INDEX($AJ$2:$AJ$1001,MATCH(ROWS($AH$2:AH924),$AH$2:$AH$1001,0),0), INDEX($AO$1004:$BQ$1004,1,MATCH(COLUMNS($AO$1006:BD1006),$AO$1006:$BQ$1006,0)))),"Fix")))</f>
        <v>#N/A</v>
      </c>
      <c r="R924" s="5" t="e">
        <f ca="1">IF(OR(INDEX($AI$2:$AI$1001,MATCH(ROWS($AH$2:AH924),$AH$2:$AH$1001,0),1)&gt;=100000,INDEX($AO$1005:$BQ$1005,1,MATCH(COLUMNS($AO$1006:BE1006),$AO$1006:$BQ$1006,0))&gt;=100000), " ",IF(INDEX($AO$2:$BQ$1001,MATCH(ROWS($AH$2:AH924),$AH$2:$AH$1001,0),MATCH(COLUMNS($AO$1006:BE1006),$AO$1006:$BQ$1006,0)), HYPERLINK("#",""), HYPERLINK(CONCATENATE("#Metadata!", ADDRESS(INDEX($AJ$2:$AJ$1001,MATCH(ROWS($AH$2:AH924),$AH$2:$AH$1001,0),0), INDEX($AO$1004:$BQ$1004,1,MATCH(COLUMNS($AO$1006:BE1006),$AO$1006:$BQ$1006,0)))),"Fix")))</f>
        <v>#N/A</v>
      </c>
      <c r="S924" s="5" t="e">
        <f ca="1">IF(OR(INDEX($AI$2:$AI$1001,MATCH(ROWS($AH$2:AH924),$AH$2:$AH$1001,0),1)&gt;=100000,INDEX($AO$1005:$BQ$1005,1,MATCH(COLUMNS($AO$1006:BF1006),$AO$1006:$BQ$1006,0))&gt;=100000), " ",IF(INDEX($AO$2:$BQ$1001,MATCH(ROWS($AH$2:AH924),$AH$2:$AH$1001,0),MATCH(COLUMNS($AO$1006:BF1006),$AO$1006:$BQ$1006,0)), HYPERLINK("#",""), HYPERLINK(CONCATENATE("#Metadata!", ADDRESS(INDEX($AJ$2:$AJ$1001,MATCH(ROWS($AH$2:AH924),$AH$2:$AH$1001,0),0), INDEX($AO$1004:$BQ$1004,1,MATCH(COLUMNS($AO$1006:BF1006),$AO$1006:$BQ$1006,0)))),"Fix")))</f>
        <v>#N/A</v>
      </c>
      <c r="T924" s="5" t="e">
        <f ca="1">IF(OR(INDEX($AI$2:$AI$1001,MATCH(ROWS($AH$2:AH924),$AH$2:$AH$1001,0),1)&gt;=100000,INDEX($AO$1005:$BQ$1005,1,MATCH(COLUMNS($AO$1006:BG1006),$AO$1006:$BQ$1006,0))&gt;=100000), " ",IF(INDEX($AO$2:$BQ$1001,MATCH(ROWS($AH$2:AH924),$AH$2:$AH$1001,0),MATCH(COLUMNS($AO$1006:BG1006),$AO$1006:$BQ$1006,0)), HYPERLINK("#",""), HYPERLINK(CONCATENATE("#Metadata!", ADDRESS(INDEX($AJ$2:$AJ$1001,MATCH(ROWS($AH$2:AH924),$AH$2:$AH$1001,0),0), INDEX($AO$1004:$BQ$1004,1,MATCH(COLUMNS($AO$1006:BG1006),$AO$1006:$BQ$1006,0)))),"Fix")))</f>
        <v>#N/A</v>
      </c>
      <c r="U924" s="5" t="e">
        <f ca="1">IF(OR(INDEX($AI$2:$AI$1001,MATCH(ROWS($AH$2:AH924),$AH$2:$AH$1001,0),1)&gt;=100000,INDEX($AO$1005:$BQ$1005,1,MATCH(COLUMNS($AO$1006:BH1006),$AO$1006:$BQ$1006,0))&gt;=100000), " ",IF(INDEX($AO$2:$BQ$1001,MATCH(ROWS($AH$2:AH924),$AH$2:$AH$1001,0),MATCH(COLUMNS($AO$1006:BH1006),$AO$1006:$BQ$1006,0)), HYPERLINK("#",""), HYPERLINK(CONCATENATE("#Metadata!", ADDRESS(INDEX($AJ$2:$AJ$1001,MATCH(ROWS($AH$2:AH924),$AH$2:$AH$1001,0),0), INDEX($AO$1004:$BQ$1004,1,MATCH(COLUMNS($AO$1006:BH1006),$AO$1006:$BQ$1006,0)))),"Fix")))</f>
        <v>#N/A</v>
      </c>
      <c r="V924" s="5" t="e">
        <f ca="1">IF(OR(INDEX($AI$2:$AI$1001,MATCH(ROWS($AH$2:AH924),$AH$2:$AH$1001,0),1)&gt;=100000,INDEX($AO$1005:$BQ$1005,1,MATCH(COLUMNS($AO$1006:BI1006),$AO$1006:$BQ$1006,0))&gt;=100000), " ",IF(INDEX($AO$2:$BQ$1001,MATCH(ROWS($AH$2:AH924),$AH$2:$AH$1001,0),MATCH(COLUMNS($AO$1006:BI1006),$AO$1006:$BQ$1006,0)), HYPERLINK("#",""), HYPERLINK(CONCATENATE("#Metadata!", ADDRESS(INDEX($AJ$2:$AJ$1001,MATCH(ROWS($AH$2:AH924),$AH$2:$AH$1001,0),0), INDEX($AO$1004:$BQ$1004,1,MATCH(COLUMNS($AO$1006:BI1006),$AO$1006:$BQ$1006,0)))),"Fix")))</f>
        <v>#N/A</v>
      </c>
      <c r="W924" s="5" t="e">
        <f ca="1">IF(OR(INDEX($AI$2:$AI$1001,MATCH(ROWS($AH$2:AH924),$AH$2:$AH$1001,0),1)&gt;=100000,INDEX($AO$1005:$BQ$1005,1,MATCH(COLUMNS($AO$1006:BJ1006),$AO$1006:$BQ$1006,0))&gt;=100000), " ",IF(INDEX($AO$2:$BQ$1001,MATCH(ROWS($AH$2:AH924),$AH$2:$AH$1001,0),MATCH(COLUMNS($AO$1006:BJ1006),$AO$1006:$BQ$1006,0)), HYPERLINK("#",""), HYPERLINK(CONCATENATE("#Metadata!", ADDRESS(INDEX($AJ$2:$AJ$1001,MATCH(ROWS($AH$2:AH924),$AH$2:$AH$1001,0),0), INDEX($AO$1004:$BQ$1004,1,MATCH(COLUMNS($AO$1006:BJ1006),$AO$1006:$BQ$1006,0)))),"Fix")))</f>
        <v>#N/A</v>
      </c>
      <c r="X924" s="5" t="e">
        <f ca="1">IF(OR(INDEX($AI$2:$AI$1001,MATCH(ROWS($AH$2:AH924),$AH$2:$AH$1001,0),1)&gt;=100000,INDEX($AO$1005:$BQ$1005,1,MATCH(COLUMNS($AO$1006:BK1006),$AO$1006:$BQ$1006,0))&gt;=100000), " ",IF(INDEX($AO$2:$BQ$1001,MATCH(ROWS($AH$2:AH924),$AH$2:$AH$1001,0),MATCH(COLUMNS($AO$1006:BK1006),$AO$1006:$BQ$1006,0)), HYPERLINK("#",""), HYPERLINK(CONCATENATE("#Metadata!", ADDRESS(INDEX($AJ$2:$AJ$1001,MATCH(ROWS($AH$2:AH924),$AH$2:$AH$1001,0),0), INDEX($AO$1004:$BQ$1004,1,MATCH(COLUMNS($AO$1006:BK1006),$AO$1006:$BQ$1006,0)))),"Fix")))</f>
        <v>#N/A</v>
      </c>
      <c r="Y924" s="5" t="e">
        <f ca="1">IF(OR(INDEX($AI$2:$AI$1001,MATCH(ROWS($AH$2:AH924),$AH$2:$AH$1001,0),1)&gt;=100000,INDEX($AO$1005:$BQ$1005,1,MATCH(COLUMNS($AO$1006:BL1006),$AO$1006:$BQ$1006,0))&gt;=100000), " ",IF(INDEX($AO$2:$BQ$1001,MATCH(ROWS($AH$2:AH924),$AH$2:$AH$1001,0),MATCH(COLUMNS($AO$1006:BL1006),$AO$1006:$BQ$1006,0)), HYPERLINK("#",""), HYPERLINK(CONCATENATE("#Metadata!", ADDRESS(INDEX($AJ$2:$AJ$1001,MATCH(ROWS($AH$2:AH924),$AH$2:$AH$1001,0),0), INDEX($AO$1004:$BQ$1004,1,MATCH(COLUMNS($AO$1006:BL1006),$AO$1006:$BQ$1006,0)))),"Fix")))</f>
        <v>#N/A</v>
      </c>
      <c r="Z924" s="5" t="e">
        <f ca="1">IF(OR(INDEX($AI$2:$AI$1001,MATCH(ROWS($AH$2:AH924),$AH$2:$AH$1001,0),1)&gt;=100000,INDEX($AO$1005:$BQ$1005,1,MATCH(COLUMNS($AO$1006:BM1006),$AO$1006:$BQ$1006,0))&gt;=100000), " ",IF(INDEX($AO$2:$BQ$1001,MATCH(ROWS($AH$2:AH924),$AH$2:$AH$1001,0),MATCH(COLUMNS($AO$1006:BM1006),$AO$1006:$BQ$1006,0)), HYPERLINK("#",""), HYPERLINK(CONCATENATE("#Metadata!", ADDRESS(INDEX($AJ$2:$AJ$1001,MATCH(ROWS($AH$2:AH924),$AH$2:$AH$1001,0),0), INDEX($AO$1004:$BQ$1004,1,MATCH(COLUMNS($AO$1006:BM1006),$AO$1006:$BQ$1006,0)))),"Fix")))</f>
        <v>#N/A</v>
      </c>
      <c r="AA924" s="5" t="e">
        <f ca="1">IF(OR(INDEX($AI$2:$AI$1001,MATCH(ROWS($AH$2:AH924),$AH$2:$AH$1001,0),1)&gt;=100000,INDEX($AO$1005:$BQ$1005,1,MATCH(COLUMNS($AO$1006:BN1006),$AO$1006:$BQ$1006,0))&gt;=100000), " ",IF(INDEX($AO$2:$BQ$1001,MATCH(ROWS($AH$2:AH924),$AH$2:$AH$1001,0),MATCH(COLUMNS($AO$1006:BN1006),$AO$1006:$BQ$1006,0)), HYPERLINK("#",""), HYPERLINK(CONCATENATE("#Metadata!", ADDRESS(INDEX($AJ$2:$AJ$1001,MATCH(ROWS($AH$2:AH924),$AH$2:$AH$1001,0),0), INDEX($AO$1004:$BQ$1004,1,MATCH(COLUMNS($AO$1006:BN1006),$AO$1006:$BQ$1006,0)))),"Fix")))</f>
        <v>#N/A</v>
      </c>
      <c r="AB924" s="5" t="e">
        <f ca="1">IF(OR(INDEX($AI$2:$AI$1001,MATCH(ROWS($AH$2:AH924),$AH$2:$AH$1001,0),1)&gt;=100000,INDEX($AO$1005:$BQ$1005,1,MATCH(COLUMNS($AO$1006:BO1006),$AO$1006:$BQ$1006,0))&gt;=100000), " ",IF(INDEX($AO$2:$BQ$1001,MATCH(ROWS($AH$2:AH924),$AH$2:$AH$1001,0),MATCH(COLUMNS($AO$1006:BO1006),$AO$1006:$BQ$1006,0)), HYPERLINK("#",""), HYPERLINK(CONCATENATE("#Metadata!", ADDRESS(INDEX($AJ$2:$AJ$1001,MATCH(ROWS($AH$2:AH924),$AH$2:$AH$1001,0),0), INDEX($AO$1004:$BQ$1004,1,MATCH(COLUMNS($AO$1006:BO1006),$AO$1006:$BQ$1006,0)))),"Fix")))</f>
        <v>#N/A</v>
      </c>
      <c r="AC924" s="5" t="e">
        <f ca="1">IF(OR(INDEX($AI$2:$AI$1001,MATCH(ROWS($AH$2:AH924),$AH$2:$AH$1001,0),1)&gt;=100000,INDEX($AO$1005:$BQ$1005,1,MATCH(COLUMNS($AO$1006:BP1006),$AO$1006:$BQ$1006,0))&gt;=100000), " ",IF(INDEX($AO$2:$BQ$1001,MATCH(ROWS($AH$2:AH924),$AH$2:$AH$1001,0),MATCH(COLUMNS($AO$1006:BP1006),$AO$1006:$BQ$1006,0)), HYPERLINK("#",""), HYPERLINK(CONCATENATE("#Metadata!", ADDRESS(INDEX($AJ$2:$AJ$1001,MATCH(ROWS($AH$2:AH924),$AH$2:$AH$1001,0),0), INDEX($AO$1004:$BQ$1004,1,MATCH(COLUMNS($AO$1006:BP1006),$AO$1006:$BQ$1006,0)))),"Fix")))</f>
        <v>#N/A</v>
      </c>
      <c r="AD924" s="5" t="e">
        <f ca="1">IF(OR(INDEX($AI$2:$AI$1001,MATCH(ROWS($AH$2:AH924),$AH$2:$AH$1001,0),1)&gt;=100000,INDEX($AO$1005:$BQ$1005,1,MATCH(COLUMNS($AO$1006:BQ1006),$AO$1006:$BQ$1006,0))&gt;=100000), " ",IF(INDEX($AO$2:$BQ$1001,MATCH(ROWS($AH$2:AH924),$AH$2:$AH$1001,0),MATCH(COLUMNS($AO$1006:BQ1006),$AO$1006:$BQ$1006,0)), HYPERLINK("#",""), HYPERLINK(CONCATENATE("#Metadata!", ADDRESS(INDEX($AJ$2:$AJ$1001,MATCH(ROWS($AH$2:AH924),$AH$2:$AH$1001,0),0), INDEX($AO$1004:$BQ$1004,1,MATCH(COLUMNS($AO$1006:BQ1006),$AO$1006:$BQ$1006,0)))),"Fix")))</f>
        <v>#REF!</v>
      </c>
      <c r="AH924">
        <f ca="1"/>
        <v>921</v>
      </c>
      <c r="AI924">
        <v>100924</v>
      </c>
      <c r="AJ924">
        <v>924</v>
      </c>
      <c r="AK924" t="b">
        <f t="shared" si="14"/>
        <v>1</v>
      </c>
      <c r="AL924" t="b">
        <f>COUNTBLANK(Metadata!B924:AD924)=COLUMNS(Metadata!B924:AD924)</f>
        <v>1</v>
      </c>
      <c r="AM924" t="str">
        <v/>
      </c>
      <c r="AO924" t="b">
        <f ca="1">AND(IF(Metadata!B924="",FALSE,TRUE),COUNTIF(Metadata!B:B, Metadata!B924) = 1,NOT(ISERROR(SUMPRODUCT(SEARCH(MID(Metadata!B924,ROW(INDIRECT("1:"&amp;LEN(Metadata!B924))), 1),"0123456789abcdefghijklmnopqrstuvwxyzABCDEFGHIJKLMNOPQRSTUVWXYZ.")))))</f>
        <v>0</v>
      </c>
      <c r="AP924" t="b">
        <f>IF(Metadata!C924="",FALSE,TRUE)</f>
        <v>0</v>
      </c>
      <c r="AQ924" t="b">
        <f>IF(Metadata!D924="",FALSE,TRUE)</f>
        <v>0</v>
      </c>
      <c r="AR924" t="b">
        <f ca="1">OR(AND(IF(Metadata!E924="",FALSE,TRUE),OR(EXACT(Metadata!E924,"not collected"),EXACT(Metadata!E924,"not provided"),EXACT(Metadata!E924,"restricted access"))),AND(IF(Metadata!E924="",FALSE,TRUE),AND(AND(IFERROR(INT(LEFT(Metadata!E924,4))&gt;1900,FALSE),IFERROR(INT(LEFT(Metadata!E924,4))&lt;=YEAR(NOW()),FALSE)), OR(MID(Metadata!E924,5,1)="", AND(AND(MID(Metadata!E924,5,1)="-",IFERROR(INT(MID(Metadata!E924,6,1))&gt;=0,FALSE),IFERROR(INT(MID(Metadata!E924,6,1))&lt;=1,FALSE),NOT(MID(Metadata!E924,7,1)=""),IFERROR(INT(MID(Metadata!E924,6,2))&gt;=1,FALSE),IFERROR(INT(MID(Metadata!E924,6,2))&lt;=12,FALSE)), OR(MID(Metadata!E924,8,1)="", AND(AND(MID(Metadata!E924,8,1)="-",IFERROR(INT(MID(Metadata!E924,9,1))&gt;=0,FALSE),IFERROR(INT(MID(Metadata!E924,9,1))&lt;=3,FALSE),NOT(MID(Metadata!E924,10,1)=""),IFERROR(INT(MID(Metadata!E924,9,2))&gt;=1,FALSE),IFERROR(INT(MID(Metadata!E924,9,2))&lt;=31,FALSE)), OR(MID(Metadata!E924,11,1)="", AND(AND(MID(Metadata!E924,11,1)=" ",IFERROR(INT(MID(Metadata!E924,12,1))&gt;=0,FALSE),IFERROR(INT(MID(Metadata!E924,12,1))&lt;=2,FALSE),NOT(MID(Metadata!E924,13,1)=""),IFERROR(INT(MID(Metadata!E924,12,2))&gt;=0,FALSE),IFERROR(INT(MID(Metadata!E924,12,2))&lt;=23,FALSE)), OR(MID(Metadata!E924,14,1)="", AND(AND(MID(Metadata!E924,14,1)=":",IFERROR(INT(MID(Metadata!E924,15,1))&gt;=0,FALSE),IFERROR(INT(MID(Metadata!E924,15,1))&lt;=5,FALSE),NOT(MID(Metadata!E924,16,1)=""),IFERROR(INT(MID(Metadata!E924,15,2))&gt;=0,FALSE),IFERROR(INT(MID(Metadata!E924,15,2))&lt;=59,FALSE)), OR(MID(Metadata!E924,17,1)="", AND(AND(MID(Metadata!E924,17,1)=":",IFERROR(INT(MID(Metadata!E924,18,1))&gt;=0,FALSE),IFERROR(INT(MID(Metadata!E924,18,1))&lt;=5,FALSE),NOT(MID(Metadata!E924,19,1)=""),IFERROR(INT(MID(Metadata!E924,18,2))&gt;=0,FALSE),IFERROR(INT(MID(Metadata!E924,18,2))&lt;=59,FALSE)), LEN(Metadata!E924)&lt;=19)))))))))))))</f>
        <v>0</v>
      </c>
      <c r="AS924" t="b">
        <f>IF(Metadata!F924="",FALSE,TRUE)</f>
        <v>0</v>
      </c>
      <c r="AT924" t="b">
        <f>OR(AND(IF(Metadata!G924="",FALSE,TRUE),OR(EXACT(Metadata!G924,"not collected"),EXACT(Metadata!G924,"not provided"))),AND(IF(Metadata!G924="",FALSE,TRUE),OR(EXACT(Metadata!G924,"TRUE"),EXACT(Metadata!G924,"FALSE"))))</f>
        <v>0</v>
      </c>
      <c r="AU924" t="b">
        <f>OR(AND(IF(Metadata!H924="",FALSE,TRUE),OR(EXACT(Metadata!H924,"not collected"),EXACT(Metadata!H924,"not provided"),EXACT(Metadata!H924,"restricted access"))),AND(IF(Metadata!H924="",FALSE,ISNUMBER(VALUE(Metadata!H924))),Metadata!H924&gt;=-413))</f>
        <v>0</v>
      </c>
      <c r="AV924" t="b">
        <f>AND(IF(Metadata!I924="",FALSE,TRUE),EXACT(Metadata!I924,"meters"))</f>
        <v>0</v>
      </c>
      <c r="AW924" t="b">
        <f>AND(IF(Metadata!J924="",FALSE,TRUE),EXACT(Metadata!J924,"free-living"))</f>
        <v>0</v>
      </c>
      <c r="AX924" t="b">
        <f>AND(IF(Metadata!K924="",FALSE,TRUE),OR(EXACT(Metadata!K924,"saline"),EXACT(Metadata!K924,"non-saline")))</f>
        <v>0</v>
      </c>
      <c r="AY924" t="b">
        <f>AND(IF(Metadata!L924="",FALSE,TRUE),OR(EXACT(Metadata!L924,"sub-surface (non-saline)"),EXACT(Metadata!L924,"surface (non-saline)"),EXACT(Metadata!L924,"water (non-saline)"),EXACT(Metadata!L924,"soil (non-saline)"),EXACT(Metadata!L924,"aerosol (non-saline)"),EXACT(Metadata!L924,"sediment (non-saline)"),EXACT(Metadata!L924,"surface (saline)"),EXACT(Metadata!L924,"water (saline)"),EXACT(Metadata!L924,"hypersaline (saline)"),EXACT(Metadata!L924,"aerosol (saline)"),EXACT(Metadata!L924,"sediment (saline)")))</f>
        <v>0</v>
      </c>
      <c r="AZ924" t="b">
        <f>IF(Metadata!M924="",FALSE,TRUE)</f>
        <v>0</v>
      </c>
      <c r="BA924" t="b">
        <f>IF(Metadata!N924="",FALSE,TRUE)</f>
        <v>0</v>
      </c>
      <c r="BB924" t="b">
        <f>IF(Metadata!O924="",FALSE,TRUE)</f>
        <v>0</v>
      </c>
      <c r="BC924" t="b">
        <f>AND(IF(Metadata!P924="",FALSE,TRUE),OR(EXACT(Metadata!P924,"air"),EXACT(Metadata!P924,"microbial mat/biofilm"),EXACT(Metadata!P924,"misc environment"),EXACT(Metadata!P924,"sediment"),EXACT(Metadata!P924,"soil"),EXACT(Metadata!P924,"wastewater/sludge"),EXACT(Metadata!P924,"water")))</f>
        <v>0</v>
      </c>
      <c r="BD924" t="b">
        <f>IF(Metadata!Q924="",FALSE,TRUE)</f>
        <v>0</v>
      </c>
      <c r="BE924" t="b">
        <f>IF(Metadata!R924="",FALSE,TRUE)</f>
        <v>0</v>
      </c>
      <c r="BF924" t="b">
        <f>OR(AND(IF(Metadata!S924="",FALSE,TRUE),OR(EXACT(Metadata!S924,"not collected"),EXACT(Metadata!S924,"not provided"),EXACT(Metadata!S924,"restricted access"))),AND(IF(Metadata!S924="",FALSE,ISNUMBER(VALUE(Metadata!S924))),Metadata!S924&gt;=-90,Metadata!S924&lt;=90))</f>
        <v>0</v>
      </c>
      <c r="BG924" t="b">
        <f>AND(IF(Metadata!T924="",FALSE,TRUE),EXACT(Metadata!T924,"Decimal degrees"))</f>
        <v>0</v>
      </c>
      <c r="BH924" t="b">
        <f>OR(AND(IF(Metadata!U924="",FALSE,TRUE),OR(EXACT(Metadata!U924,"not applicable"),EXACT(Metadata!U924,"not collected"))),IF(Metadata!U924="",FALSE,TRUE))</f>
        <v>0</v>
      </c>
      <c r="BI924" t="b">
        <f>OR(AND(IF(Metadata!V924="",FALSE,TRUE),OR(EXACT(Metadata!V924,"not collected"),EXACT(Metadata!V924,"not provided"),EXACT(Metadata!V924,"restricted access"))),AND(IF(Metadata!V924="",FALSE,ISNUMBER(VALUE(Metadata!V924))),Metadata!V924&gt;=-180,Metadata!V924&lt;=180))</f>
        <v>0</v>
      </c>
      <c r="BJ924" t="b">
        <f>AND(IF(Metadata!W924="",FALSE,TRUE),EXACT(Metadata!W924,"Decimal degrees"))</f>
        <v>0</v>
      </c>
      <c r="BK924" t="b">
        <f>IF(Metadata!X924="",FALSE,TRUE)</f>
        <v>0</v>
      </c>
      <c r="BL924" t="b">
        <f>OR(AND(IF(Metadata!Y924="",FALSE,TRUE),OR(EXACT(Metadata!Y924,"not collected"),EXACT(Metadata!Y924,"not provided"),EXACT(Metadata!Y924,"restricted access"))),AND(IF(Metadata!Y924="",FALSE,TRUE),OR(EXACT(Metadata!Y924,"TRUE"),EXACT(Metadata!Y924,"FALSE"))))</f>
        <v>0</v>
      </c>
      <c r="BM924" t="b">
        <f>OR(AND(IF(Metadata!Z924="",FALSE,TRUE),EXACT(Metadata!Z924,"not applicable")),AND(IF(Metadata!Z924="",FALSE,TRUE),OR(EXACT(Metadata!Z924,"beer"),EXACT(Metadata!Z924,"cheese"),EXACT(Metadata!Z924,"fresh water"),EXACT(Metadata!Z924,"marine sediment"),EXACT(Metadata!Z924,"sea water"),EXACT(Metadata!Z924,"sediment"),EXACT(Metadata!Z924,"soil"),EXACT(Metadata!Z924,"waste water"))))</f>
        <v>0</v>
      </c>
      <c r="BN924" t="b">
        <f>AND(IF(Metadata!AA924="",FALSE,TRUE),EXACT(Metadata!AA924,"metagenome"))</f>
        <v>0</v>
      </c>
      <c r="BO924" t="b">
        <f>AND(IF(Metadata!AB924="",FALSE,TRUE),EXACT(Metadata!AB924,"256318"))</f>
        <v>0</v>
      </c>
      <c r="BP924" t="b">
        <f>IF(Metadata!AC924="",FALSE,TRUE)</f>
        <v>0</v>
      </c>
      <c r="BQ924" t="b">
        <f>IF(Metadata!AD924="",FALSE,TRUE)</f>
        <v>0</v>
      </c>
    </row>
    <row r="925" spans="1:69" x14ac:dyDescent="0.2">
      <c r="A925" s="4" t="e">
        <f ca="1">IF(B925=" "," ",HYPERLINK(CONCATENATE("#metadata!",ADDRESS(INDEX($AJ$2:$AJ$1001,MATCH(ROWS($AH$2:AH925),$AH$2:$AH$1001,0),0),2)),INDEX($AM$2:$AM$1001,MATCH(ROWS($AH$2:AH925),$AH$2:$AH$1001,0),0)))</f>
        <v>#N/A</v>
      </c>
      <c r="B925" s="5" t="e">
        <f ca="1">IF(OR(INDEX($AI$2:$AI$1001,MATCH(ROWS($AH$2:AH925),$AH$2:$AH$1001,0),1)&gt;=100000,INDEX($AO$1005:$BQ$1005,1,MATCH(COLUMNS($AO$1006:AO1006),$AO$1006:$BQ$1006,0))&gt;=100000), " ",IF(INDEX($AO$2:$BQ$1001,MATCH(ROWS($AH$2:AH925),$AH$2:$AH$1001,0),MATCH(COLUMNS($AO$1006:AO1006),$AO$1006:$BQ$1006,0)), HYPERLINK("#",""), HYPERLINK(CONCATENATE("#Metadata!", ADDRESS(INDEX($AJ$2:$AJ$1001,MATCH(ROWS($AH$2:AH925),$AH$2:$AH$1001,0),0), INDEX($AO$1004:$BQ$1004,1,MATCH(COLUMNS($AO$1006:AO1006),$AO$1006:$BQ$1006,0)))),"Fix")))</f>
        <v>#N/A</v>
      </c>
      <c r="C925" s="5" t="e">
        <f ca="1">IF(OR(INDEX($AI$2:$AI$1001,MATCH(ROWS($AH$2:AH925),$AH$2:$AH$1001,0),1)&gt;=100000,INDEX($AO$1005:$BQ$1005,1,MATCH(COLUMNS($AO$1006:AP1006),$AO$1006:$BQ$1006,0))&gt;=100000), " ",IF(INDEX($AO$2:$BQ$1001,MATCH(ROWS($AH$2:AH925),$AH$2:$AH$1001,0),MATCH(COLUMNS($AO$1006:AP1006),$AO$1006:$BQ$1006,0)), HYPERLINK("#",""), HYPERLINK(CONCATENATE("#Metadata!", ADDRESS(INDEX($AJ$2:$AJ$1001,MATCH(ROWS($AH$2:AH925),$AH$2:$AH$1001,0),0), INDEX($AO$1004:$BQ$1004,1,MATCH(COLUMNS($AO$1006:AP1006),$AO$1006:$BQ$1006,0)))),"Fix")))</f>
        <v>#N/A</v>
      </c>
      <c r="D925" s="5" t="e">
        <f ca="1">IF(OR(INDEX($AI$2:$AI$1001,MATCH(ROWS($AH$2:AH925),$AH$2:$AH$1001,0),1)&gt;=100000,INDEX($AO$1005:$BQ$1005,1,MATCH(COLUMNS($AO$1006:AQ1006),$AO$1006:$BQ$1006,0))&gt;=100000), " ",IF(INDEX($AO$2:$BQ$1001,MATCH(ROWS($AH$2:AH925),$AH$2:$AH$1001,0),MATCH(COLUMNS($AO$1006:AQ1006),$AO$1006:$BQ$1006,0)), HYPERLINK("#",""), HYPERLINK(CONCATENATE("#Metadata!", ADDRESS(INDEX($AJ$2:$AJ$1001,MATCH(ROWS($AH$2:AH925),$AH$2:$AH$1001,0),0), INDEX($AO$1004:$BQ$1004,1,MATCH(COLUMNS($AO$1006:AQ1006),$AO$1006:$BQ$1006,0)))),"Fix")))</f>
        <v>#N/A</v>
      </c>
      <c r="E925" s="5" t="e">
        <f ca="1">IF(OR(INDEX($AI$2:$AI$1001,MATCH(ROWS($AH$2:AH925),$AH$2:$AH$1001,0),1)&gt;=100000,INDEX($AO$1005:$BQ$1005,1,MATCH(COLUMNS($AO$1006:AR1006),$AO$1006:$BQ$1006,0))&gt;=100000), " ",IF(INDEX($AO$2:$BQ$1001,MATCH(ROWS($AH$2:AH925),$AH$2:$AH$1001,0),MATCH(COLUMNS($AO$1006:AR1006),$AO$1006:$BQ$1006,0)), HYPERLINK("#",""), HYPERLINK(CONCATENATE("#Metadata!", ADDRESS(INDEX($AJ$2:$AJ$1001,MATCH(ROWS($AH$2:AH925),$AH$2:$AH$1001,0),0), INDEX($AO$1004:$BQ$1004,1,MATCH(COLUMNS($AO$1006:AR1006),$AO$1006:$BQ$1006,0)))),"Fix")))</f>
        <v>#N/A</v>
      </c>
      <c r="F925" s="5" t="e">
        <f ca="1">IF(OR(INDEX($AI$2:$AI$1001,MATCH(ROWS($AH$2:AH925),$AH$2:$AH$1001,0),1)&gt;=100000,INDEX($AO$1005:$BQ$1005,1,MATCH(COLUMNS($AO$1006:AS1006),$AO$1006:$BQ$1006,0))&gt;=100000), " ",IF(INDEX($AO$2:$BQ$1001,MATCH(ROWS($AH$2:AH925),$AH$2:$AH$1001,0),MATCH(COLUMNS($AO$1006:AS1006),$AO$1006:$BQ$1006,0)), HYPERLINK("#",""), HYPERLINK(CONCATENATE("#Metadata!", ADDRESS(INDEX($AJ$2:$AJ$1001,MATCH(ROWS($AH$2:AH925),$AH$2:$AH$1001,0),0), INDEX($AO$1004:$BQ$1004,1,MATCH(COLUMNS($AO$1006:AS1006),$AO$1006:$BQ$1006,0)))),"Fix")))</f>
        <v>#N/A</v>
      </c>
      <c r="G925" s="5" t="e">
        <f ca="1">IF(OR(INDEX($AI$2:$AI$1001,MATCH(ROWS($AH$2:AH925),$AH$2:$AH$1001,0),1)&gt;=100000,INDEX($AO$1005:$BQ$1005,1,MATCH(COLUMNS($AO$1006:AT1006),$AO$1006:$BQ$1006,0))&gt;=100000), " ",IF(INDEX($AO$2:$BQ$1001,MATCH(ROWS($AH$2:AH925),$AH$2:$AH$1001,0),MATCH(COLUMNS($AO$1006:AT1006),$AO$1006:$BQ$1006,0)), HYPERLINK("#",""), HYPERLINK(CONCATENATE("#Metadata!", ADDRESS(INDEX($AJ$2:$AJ$1001,MATCH(ROWS($AH$2:AH925),$AH$2:$AH$1001,0),0), INDEX($AO$1004:$BQ$1004,1,MATCH(COLUMNS($AO$1006:AT1006),$AO$1006:$BQ$1006,0)))),"Fix")))</f>
        <v>#N/A</v>
      </c>
      <c r="H925" s="5" t="e">
        <f ca="1">IF(OR(INDEX($AI$2:$AI$1001,MATCH(ROWS($AH$2:AH925),$AH$2:$AH$1001,0),1)&gt;=100000,INDEX($AO$1005:$BQ$1005,1,MATCH(COLUMNS($AO$1006:AU1006),$AO$1006:$BQ$1006,0))&gt;=100000), " ",IF(INDEX($AO$2:$BQ$1001,MATCH(ROWS($AH$2:AH925),$AH$2:$AH$1001,0),MATCH(COLUMNS($AO$1006:AU1006),$AO$1006:$BQ$1006,0)), HYPERLINK("#",""), HYPERLINK(CONCATENATE("#Metadata!", ADDRESS(INDEX($AJ$2:$AJ$1001,MATCH(ROWS($AH$2:AH925),$AH$2:$AH$1001,0),0), INDEX($AO$1004:$BQ$1004,1,MATCH(COLUMNS($AO$1006:AU1006),$AO$1006:$BQ$1006,0)))),"Fix")))</f>
        <v>#N/A</v>
      </c>
      <c r="I925" s="5" t="e">
        <f ca="1">IF(OR(INDEX($AI$2:$AI$1001,MATCH(ROWS($AH$2:AH925),$AH$2:$AH$1001,0),1)&gt;=100000,INDEX($AO$1005:$BQ$1005,1,MATCH(COLUMNS($AO$1006:AV1006),$AO$1006:$BQ$1006,0))&gt;=100000), " ",IF(INDEX($AO$2:$BQ$1001,MATCH(ROWS($AH$2:AH925),$AH$2:$AH$1001,0),MATCH(COLUMNS($AO$1006:AV1006),$AO$1006:$BQ$1006,0)), HYPERLINK("#",""), HYPERLINK(CONCATENATE("#Metadata!", ADDRESS(INDEX($AJ$2:$AJ$1001,MATCH(ROWS($AH$2:AH925),$AH$2:$AH$1001,0),0), INDEX($AO$1004:$BQ$1004,1,MATCH(COLUMNS($AO$1006:AV1006),$AO$1006:$BQ$1006,0)))),"Fix")))</f>
        <v>#N/A</v>
      </c>
      <c r="J925" s="5" t="e">
        <f ca="1">IF(OR(INDEX($AI$2:$AI$1001,MATCH(ROWS($AH$2:AH925),$AH$2:$AH$1001,0),1)&gt;=100000,INDEX($AO$1005:$BQ$1005,1,MATCH(COLUMNS($AO$1006:AW1006),$AO$1006:$BQ$1006,0))&gt;=100000), " ",IF(INDEX($AO$2:$BQ$1001,MATCH(ROWS($AH$2:AH925),$AH$2:$AH$1001,0),MATCH(COLUMNS($AO$1006:AW1006),$AO$1006:$BQ$1006,0)), HYPERLINK("#",""), HYPERLINK(CONCATENATE("#Metadata!", ADDRESS(INDEX($AJ$2:$AJ$1001,MATCH(ROWS($AH$2:AH925),$AH$2:$AH$1001,0),0), INDEX($AO$1004:$BQ$1004,1,MATCH(COLUMNS($AO$1006:AW1006),$AO$1006:$BQ$1006,0)))),"Fix")))</f>
        <v>#N/A</v>
      </c>
      <c r="K925" s="5" t="e">
        <f ca="1">IF(OR(INDEX($AI$2:$AI$1001,MATCH(ROWS($AH$2:AH925),$AH$2:$AH$1001,0),1)&gt;=100000,INDEX($AO$1005:$BQ$1005,1,MATCH(COLUMNS($AO$1006:AX1006),$AO$1006:$BQ$1006,0))&gt;=100000), " ",IF(INDEX($AO$2:$BQ$1001,MATCH(ROWS($AH$2:AH925),$AH$2:$AH$1001,0),MATCH(COLUMNS($AO$1006:AX1006),$AO$1006:$BQ$1006,0)), HYPERLINK("#",""), HYPERLINK(CONCATENATE("#Metadata!", ADDRESS(INDEX($AJ$2:$AJ$1001,MATCH(ROWS($AH$2:AH925),$AH$2:$AH$1001,0),0), INDEX($AO$1004:$BQ$1004,1,MATCH(COLUMNS($AO$1006:AX1006),$AO$1006:$BQ$1006,0)))),"Fix")))</f>
        <v>#N/A</v>
      </c>
      <c r="L925" s="5" t="e">
        <f ca="1">IF(OR(INDEX($AI$2:$AI$1001,MATCH(ROWS($AH$2:AH925),$AH$2:$AH$1001,0),1)&gt;=100000,INDEX($AO$1005:$BQ$1005,1,MATCH(COLUMNS($AO$1006:AY1006),$AO$1006:$BQ$1006,0))&gt;=100000), " ",IF(INDEX($AO$2:$BQ$1001,MATCH(ROWS($AH$2:AH925),$AH$2:$AH$1001,0),MATCH(COLUMNS($AO$1006:AY1006),$AO$1006:$BQ$1006,0)), HYPERLINK("#",""), HYPERLINK(CONCATENATE("#Metadata!", ADDRESS(INDEX($AJ$2:$AJ$1001,MATCH(ROWS($AH$2:AH925),$AH$2:$AH$1001,0),0), INDEX($AO$1004:$BQ$1004,1,MATCH(COLUMNS($AO$1006:AY1006),$AO$1006:$BQ$1006,0)))),"Fix")))</f>
        <v>#N/A</v>
      </c>
      <c r="M925" s="5" t="e">
        <f ca="1">IF(OR(INDEX($AI$2:$AI$1001,MATCH(ROWS($AH$2:AH925),$AH$2:$AH$1001,0),1)&gt;=100000,INDEX($AO$1005:$BQ$1005,1,MATCH(COLUMNS($AO$1006:AZ1006),$AO$1006:$BQ$1006,0))&gt;=100000), " ",IF(INDEX($AO$2:$BQ$1001,MATCH(ROWS($AH$2:AH925),$AH$2:$AH$1001,0),MATCH(COLUMNS($AO$1006:AZ1006),$AO$1006:$BQ$1006,0)), HYPERLINK("#",""), HYPERLINK(CONCATENATE("#Metadata!", ADDRESS(INDEX($AJ$2:$AJ$1001,MATCH(ROWS($AH$2:AH925),$AH$2:$AH$1001,0),0), INDEX($AO$1004:$BQ$1004,1,MATCH(COLUMNS($AO$1006:AZ1006),$AO$1006:$BQ$1006,0)))),"Fix")))</f>
        <v>#N/A</v>
      </c>
      <c r="N925" s="5" t="e">
        <f ca="1">IF(OR(INDEX($AI$2:$AI$1001,MATCH(ROWS($AH$2:AH925),$AH$2:$AH$1001,0),1)&gt;=100000,INDEX($AO$1005:$BQ$1005,1,MATCH(COLUMNS($AO$1006:BA1006),$AO$1006:$BQ$1006,0))&gt;=100000), " ",IF(INDEX($AO$2:$BQ$1001,MATCH(ROWS($AH$2:AH925),$AH$2:$AH$1001,0),MATCH(COLUMNS($AO$1006:BA1006),$AO$1006:$BQ$1006,0)), HYPERLINK("#",""), HYPERLINK(CONCATENATE("#Metadata!", ADDRESS(INDEX($AJ$2:$AJ$1001,MATCH(ROWS($AH$2:AH925),$AH$2:$AH$1001,0),0), INDEX($AO$1004:$BQ$1004,1,MATCH(COLUMNS($AO$1006:BA1006),$AO$1006:$BQ$1006,0)))),"Fix")))</f>
        <v>#N/A</v>
      </c>
      <c r="O925" s="5" t="e">
        <f ca="1">IF(OR(INDEX($AI$2:$AI$1001,MATCH(ROWS($AH$2:AH925),$AH$2:$AH$1001,0),1)&gt;=100000,INDEX($AO$1005:$BQ$1005,1,MATCH(COLUMNS($AO$1006:BB1006),$AO$1006:$BQ$1006,0))&gt;=100000), " ",IF(INDEX($AO$2:$BQ$1001,MATCH(ROWS($AH$2:AH925),$AH$2:$AH$1001,0),MATCH(COLUMNS($AO$1006:BB1006),$AO$1006:$BQ$1006,0)), HYPERLINK("#",""), HYPERLINK(CONCATENATE("#Metadata!", ADDRESS(INDEX($AJ$2:$AJ$1001,MATCH(ROWS($AH$2:AH925),$AH$2:$AH$1001,0),0), INDEX($AO$1004:$BQ$1004,1,MATCH(COLUMNS($AO$1006:BB1006),$AO$1006:$BQ$1006,0)))),"Fix")))</f>
        <v>#N/A</v>
      </c>
      <c r="P925" s="5" t="e">
        <f ca="1">IF(OR(INDEX($AI$2:$AI$1001,MATCH(ROWS($AH$2:AH925),$AH$2:$AH$1001,0),1)&gt;=100000,INDEX($AO$1005:$BQ$1005,1,MATCH(COLUMNS($AO$1006:BC1006),$AO$1006:$BQ$1006,0))&gt;=100000), " ",IF(INDEX($AO$2:$BQ$1001,MATCH(ROWS($AH$2:AH925),$AH$2:$AH$1001,0),MATCH(COLUMNS($AO$1006:BC1006),$AO$1006:$BQ$1006,0)), HYPERLINK("#",""), HYPERLINK(CONCATENATE("#Metadata!", ADDRESS(INDEX($AJ$2:$AJ$1001,MATCH(ROWS($AH$2:AH925),$AH$2:$AH$1001,0),0), INDEX($AO$1004:$BQ$1004,1,MATCH(COLUMNS($AO$1006:BC1006),$AO$1006:$BQ$1006,0)))),"Fix")))</f>
        <v>#N/A</v>
      </c>
      <c r="Q925" s="5" t="e">
        <f ca="1">IF(OR(INDEX($AI$2:$AI$1001,MATCH(ROWS($AH$2:AH925),$AH$2:$AH$1001,0),1)&gt;=100000,INDEX($AO$1005:$BQ$1005,1,MATCH(COLUMNS($AO$1006:BD1006),$AO$1006:$BQ$1006,0))&gt;=100000), " ",IF(INDEX($AO$2:$BQ$1001,MATCH(ROWS($AH$2:AH925),$AH$2:$AH$1001,0),MATCH(COLUMNS($AO$1006:BD1006),$AO$1006:$BQ$1006,0)), HYPERLINK("#",""), HYPERLINK(CONCATENATE("#Metadata!", ADDRESS(INDEX($AJ$2:$AJ$1001,MATCH(ROWS($AH$2:AH925),$AH$2:$AH$1001,0),0), INDEX($AO$1004:$BQ$1004,1,MATCH(COLUMNS($AO$1006:BD1006),$AO$1006:$BQ$1006,0)))),"Fix")))</f>
        <v>#N/A</v>
      </c>
      <c r="R925" s="5" t="e">
        <f ca="1">IF(OR(INDEX($AI$2:$AI$1001,MATCH(ROWS($AH$2:AH925),$AH$2:$AH$1001,0),1)&gt;=100000,INDEX($AO$1005:$BQ$1005,1,MATCH(COLUMNS($AO$1006:BE1006),$AO$1006:$BQ$1006,0))&gt;=100000), " ",IF(INDEX($AO$2:$BQ$1001,MATCH(ROWS($AH$2:AH925),$AH$2:$AH$1001,0),MATCH(COLUMNS($AO$1006:BE1006),$AO$1006:$BQ$1006,0)), HYPERLINK("#",""), HYPERLINK(CONCATENATE("#Metadata!", ADDRESS(INDEX($AJ$2:$AJ$1001,MATCH(ROWS($AH$2:AH925),$AH$2:$AH$1001,0),0), INDEX($AO$1004:$BQ$1004,1,MATCH(COLUMNS($AO$1006:BE1006),$AO$1006:$BQ$1006,0)))),"Fix")))</f>
        <v>#N/A</v>
      </c>
      <c r="S925" s="5" t="e">
        <f ca="1">IF(OR(INDEX($AI$2:$AI$1001,MATCH(ROWS($AH$2:AH925),$AH$2:$AH$1001,0),1)&gt;=100000,INDEX($AO$1005:$BQ$1005,1,MATCH(COLUMNS($AO$1006:BF1006),$AO$1006:$BQ$1006,0))&gt;=100000), " ",IF(INDEX($AO$2:$BQ$1001,MATCH(ROWS($AH$2:AH925),$AH$2:$AH$1001,0),MATCH(COLUMNS($AO$1006:BF1006),$AO$1006:$BQ$1006,0)), HYPERLINK("#",""), HYPERLINK(CONCATENATE("#Metadata!", ADDRESS(INDEX($AJ$2:$AJ$1001,MATCH(ROWS($AH$2:AH925),$AH$2:$AH$1001,0),0), INDEX($AO$1004:$BQ$1004,1,MATCH(COLUMNS($AO$1006:BF1006),$AO$1006:$BQ$1006,0)))),"Fix")))</f>
        <v>#N/A</v>
      </c>
      <c r="T925" s="5" t="e">
        <f ca="1">IF(OR(INDEX($AI$2:$AI$1001,MATCH(ROWS($AH$2:AH925),$AH$2:$AH$1001,0),1)&gt;=100000,INDEX($AO$1005:$BQ$1005,1,MATCH(COLUMNS($AO$1006:BG1006),$AO$1006:$BQ$1006,0))&gt;=100000), " ",IF(INDEX($AO$2:$BQ$1001,MATCH(ROWS($AH$2:AH925),$AH$2:$AH$1001,0),MATCH(COLUMNS($AO$1006:BG1006),$AO$1006:$BQ$1006,0)), HYPERLINK("#",""), HYPERLINK(CONCATENATE("#Metadata!", ADDRESS(INDEX($AJ$2:$AJ$1001,MATCH(ROWS($AH$2:AH925),$AH$2:$AH$1001,0),0), INDEX($AO$1004:$BQ$1004,1,MATCH(COLUMNS($AO$1006:BG1006),$AO$1006:$BQ$1006,0)))),"Fix")))</f>
        <v>#N/A</v>
      </c>
      <c r="U925" s="5" t="e">
        <f ca="1">IF(OR(INDEX($AI$2:$AI$1001,MATCH(ROWS($AH$2:AH925),$AH$2:$AH$1001,0),1)&gt;=100000,INDEX($AO$1005:$BQ$1005,1,MATCH(COLUMNS($AO$1006:BH1006),$AO$1006:$BQ$1006,0))&gt;=100000), " ",IF(INDEX($AO$2:$BQ$1001,MATCH(ROWS($AH$2:AH925),$AH$2:$AH$1001,0),MATCH(COLUMNS($AO$1006:BH1006),$AO$1006:$BQ$1006,0)), HYPERLINK("#",""), HYPERLINK(CONCATENATE("#Metadata!", ADDRESS(INDEX($AJ$2:$AJ$1001,MATCH(ROWS($AH$2:AH925),$AH$2:$AH$1001,0),0), INDEX($AO$1004:$BQ$1004,1,MATCH(COLUMNS($AO$1006:BH1006),$AO$1006:$BQ$1006,0)))),"Fix")))</f>
        <v>#N/A</v>
      </c>
      <c r="V925" s="5" t="e">
        <f ca="1">IF(OR(INDEX($AI$2:$AI$1001,MATCH(ROWS($AH$2:AH925),$AH$2:$AH$1001,0),1)&gt;=100000,INDEX($AO$1005:$BQ$1005,1,MATCH(COLUMNS($AO$1006:BI1006),$AO$1006:$BQ$1006,0))&gt;=100000), " ",IF(INDEX($AO$2:$BQ$1001,MATCH(ROWS($AH$2:AH925),$AH$2:$AH$1001,0),MATCH(COLUMNS($AO$1006:BI1006),$AO$1006:$BQ$1006,0)), HYPERLINK("#",""), HYPERLINK(CONCATENATE("#Metadata!", ADDRESS(INDEX($AJ$2:$AJ$1001,MATCH(ROWS($AH$2:AH925),$AH$2:$AH$1001,0),0), INDEX($AO$1004:$BQ$1004,1,MATCH(COLUMNS($AO$1006:BI1006),$AO$1006:$BQ$1006,0)))),"Fix")))</f>
        <v>#N/A</v>
      </c>
      <c r="W925" s="5" t="e">
        <f ca="1">IF(OR(INDEX($AI$2:$AI$1001,MATCH(ROWS($AH$2:AH925),$AH$2:$AH$1001,0),1)&gt;=100000,INDEX($AO$1005:$BQ$1005,1,MATCH(COLUMNS($AO$1006:BJ1006),$AO$1006:$BQ$1006,0))&gt;=100000), " ",IF(INDEX($AO$2:$BQ$1001,MATCH(ROWS($AH$2:AH925),$AH$2:$AH$1001,0),MATCH(COLUMNS($AO$1006:BJ1006),$AO$1006:$BQ$1006,0)), HYPERLINK("#",""), HYPERLINK(CONCATENATE("#Metadata!", ADDRESS(INDEX($AJ$2:$AJ$1001,MATCH(ROWS($AH$2:AH925),$AH$2:$AH$1001,0),0), INDEX($AO$1004:$BQ$1004,1,MATCH(COLUMNS($AO$1006:BJ1006),$AO$1006:$BQ$1006,0)))),"Fix")))</f>
        <v>#N/A</v>
      </c>
      <c r="X925" s="5" t="e">
        <f ca="1">IF(OR(INDEX($AI$2:$AI$1001,MATCH(ROWS($AH$2:AH925),$AH$2:$AH$1001,0),1)&gt;=100000,INDEX($AO$1005:$BQ$1005,1,MATCH(COLUMNS($AO$1006:BK1006),$AO$1006:$BQ$1006,0))&gt;=100000), " ",IF(INDEX($AO$2:$BQ$1001,MATCH(ROWS($AH$2:AH925),$AH$2:$AH$1001,0),MATCH(COLUMNS($AO$1006:BK1006),$AO$1006:$BQ$1006,0)), HYPERLINK("#",""), HYPERLINK(CONCATENATE("#Metadata!", ADDRESS(INDEX($AJ$2:$AJ$1001,MATCH(ROWS($AH$2:AH925),$AH$2:$AH$1001,0),0), INDEX($AO$1004:$BQ$1004,1,MATCH(COLUMNS($AO$1006:BK1006),$AO$1006:$BQ$1006,0)))),"Fix")))</f>
        <v>#N/A</v>
      </c>
      <c r="Y925" s="5" t="e">
        <f ca="1">IF(OR(INDEX($AI$2:$AI$1001,MATCH(ROWS($AH$2:AH925),$AH$2:$AH$1001,0),1)&gt;=100000,INDEX($AO$1005:$BQ$1005,1,MATCH(COLUMNS($AO$1006:BL1006),$AO$1006:$BQ$1006,0))&gt;=100000), " ",IF(INDEX($AO$2:$BQ$1001,MATCH(ROWS($AH$2:AH925),$AH$2:$AH$1001,0),MATCH(COLUMNS($AO$1006:BL1006),$AO$1006:$BQ$1006,0)), HYPERLINK("#",""), HYPERLINK(CONCATENATE("#Metadata!", ADDRESS(INDEX($AJ$2:$AJ$1001,MATCH(ROWS($AH$2:AH925),$AH$2:$AH$1001,0),0), INDEX($AO$1004:$BQ$1004,1,MATCH(COLUMNS($AO$1006:BL1006),$AO$1006:$BQ$1006,0)))),"Fix")))</f>
        <v>#N/A</v>
      </c>
      <c r="Z925" s="5" t="e">
        <f ca="1">IF(OR(INDEX($AI$2:$AI$1001,MATCH(ROWS($AH$2:AH925),$AH$2:$AH$1001,0),1)&gt;=100000,INDEX($AO$1005:$BQ$1005,1,MATCH(COLUMNS($AO$1006:BM1006),$AO$1006:$BQ$1006,0))&gt;=100000), " ",IF(INDEX($AO$2:$BQ$1001,MATCH(ROWS($AH$2:AH925),$AH$2:$AH$1001,0),MATCH(COLUMNS($AO$1006:BM1006),$AO$1006:$BQ$1006,0)), HYPERLINK("#",""), HYPERLINK(CONCATENATE("#Metadata!", ADDRESS(INDEX($AJ$2:$AJ$1001,MATCH(ROWS($AH$2:AH925),$AH$2:$AH$1001,0),0), INDEX($AO$1004:$BQ$1004,1,MATCH(COLUMNS($AO$1006:BM1006),$AO$1006:$BQ$1006,0)))),"Fix")))</f>
        <v>#N/A</v>
      </c>
      <c r="AA925" s="5" t="e">
        <f ca="1">IF(OR(INDEX($AI$2:$AI$1001,MATCH(ROWS($AH$2:AH925),$AH$2:$AH$1001,0),1)&gt;=100000,INDEX($AO$1005:$BQ$1005,1,MATCH(COLUMNS($AO$1006:BN1006),$AO$1006:$BQ$1006,0))&gt;=100000), " ",IF(INDEX($AO$2:$BQ$1001,MATCH(ROWS($AH$2:AH925),$AH$2:$AH$1001,0),MATCH(COLUMNS($AO$1006:BN1006),$AO$1006:$BQ$1006,0)), HYPERLINK("#",""), HYPERLINK(CONCATENATE("#Metadata!", ADDRESS(INDEX($AJ$2:$AJ$1001,MATCH(ROWS($AH$2:AH925),$AH$2:$AH$1001,0),0), INDEX($AO$1004:$BQ$1004,1,MATCH(COLUMNS($AO$1006:BN1006),$AO$1006:$BQ$1006,0)))),"Fix")))</f>
        <v>#N/A</v>
      </c>
      <c r="AB925" s="5" t="e">
        <f ca="1">IF(OR(INDEX($AI$2:$AI$1001,MATCH(ROWS($AH$2:AH925),$AH$2:$AH$1001,0),1)&gt;=100000,INDEX($AO$1005:$BQ$1005,1,MATCH(COLUMNS($AO$1006:BO1006),$AO$1006:$BQ$1006,0))&gt;=100000), " ",IF(INDEX($AO$2:$BQ$1001,MATCH(ROWS($AH$2:AH925),$AH$2:$AH$1001,0),MATCH(COLUMNS($AO$1006:BO1006),$AO$1006:$BQ$1006,0)), HYPERLINK("#",""), HYPERLINK(CONCATENATE("#Metadata!", ADDRESS(INDEX($AJ$2:$AJ$1001,MATCH(ROWS($AH$2:AH925),$AH$2:$AH$1001,0),0), INDEX($AO$1004:$BQ$1004,1,MATCH(COLUMNS($AO$1006:BO1006),$AO$1006:$BQ$1006,0)))),"Fix")))</f>
        <v>#N/A</v>
      </c>
      <c r="AC925" s="5" t="e">
        <f ca="1">IF(OR(INDEX($AI$2:$AI$1001,MATCH(ROWS($AH$2:AH925),$AH$2:$AH$1001,0),1)&gt;=100000,INDEX($AO$1005:$BQ$1005,1,MATCH(COLUMNS($AO$1006:BP1006),$AO$1006:$BQ$1006,0))&gt;=100000), " ",IF(INDEX($AO$2:$BQ$1001,MATCH(ROWS($AH$2:AH925),$AH$2:$AH$1001,0),MATCH(COLUMNS($AO$1006:BP1006),$AO$1006:$BQ$1006,0)), HYPERLINK("#",""), HYPERLINK(CONCATENATE("#Metadata!", ADDRESS(INDEX($AJ$2:$AJ$1001,MATCH(ROWS($AH$2:AH925),$AH$2:$AH$1001,0),0), INDEX($AO$1004:$BQ$1004,1,MATCH(COLUMNS($AO$1006:BP1006),$AO$1006:$BQ$1006,0)))),"Fix")))</f>
        <v>#N/A</v>
      </c>
      <c r="AD925" s="5" t="e">
        <f ca="1">IF(OR(INDEX($AI$2:$AI$1001,MATCH(ROWS($AH$2:AH925),$AH$2:$AH$1001,0),1)&gt;=100000,INDEX($AO$1005:$BQ$1005,1,MATCH(COLUMNS($AO$1006:BQ1006),$AO$1006:$BQ$1006,0))&gt;=100000), " ",IF(INDEX($AO$2:$BQ$1001,MATCH(ROWS($AH$2:AH925),$AH$2:$AH$1001,0),MATCH(COLUMNS($AO$1006:BQ1006),$AO$1006:$BQ$1006,0)), HYPERLINK("#",""), HYPERLINK(CONCATENATE("#Metadata!", ADDRESS(INDEX($AJ$2:$AJ$1001,MATCH(ROWS($AH$2:AH925),$AH$2:$AH$1001,0),0), INDEX($AO$1004:$BQ$1004,1,MATCH(COLUMNS($AO$1006:BQ1006),$AO$1006:$BQ$1006,0)))),"Fix")))</f>
        <v>#REF!</v>
      </c>
      <c r="AH925">
        <f ca="1"/>
        <v>922</v>
      </c>
      <c r="AI925">
        <v>100925</v>
      </c>
      <c r="AJ925">
        <v>925</v>
      </c>
      <c r="AK925" t="b">
        <f t="shared" si="14"/>
        <v>1</v>
      </c>
      <c r="AL925" t="b">
        <f>COUNTBLANK(Metadata!B925:AD925)=COLUMNS(Metadata!B925:AD925)</f>
        <v>1</v>
      </c>
      <c r="AM925" t="str">
        <v/>
      </c>
      <c r="AO925" t="b">
        <f ca="1">AND(IF(Metadata!B925="",FALSE,TRUE),COUNTIF(Metadata!B:B, Metadata!B925) = 1,NOT(ISERROR(SUMPRODUCT(SEARCH(MID(Metadata!B925,ROW(INDIRECT("1:"&amp;LEN(Metadata!B925))), 1),"0123456789abcdefghijklmnopqrstuvwxyzABCDEFGHIJKLMNOPQRSTUVWXYZ.")))))</f>
        <v>0</v>
      </c>
      <c r="AP925" t="b">
        <f>IF(Metadata!C925="",FALSE,TRUE)</f>
        <v>0</v>
      </c>
      <c r="AQ925" t="b">
        <f>IF(Metadata!D925="",FALSE,TRUE)</f>
        <v>0</v>
      </c>
      <c r="AR925" t="b">
        <f ca="1">OR(AND(IF(Metadata!E925="",FALSE,TRUE),OR(EXACT(Metadata!E925,"not collected"),EXACT(Metadata!E925,"not provided"),EXACT(Metadata!E925,"restricted access"))),AND(IF(Metadata!E925="",FALSE,TRUE),AND(AND(IFERROR(INT(LEFT(Metadata!E925,4))&gt;1900,FALSE),IFERROR(INT(LEFT(Metadata!E925,4))&lt;=YEAR(NOW()),FALSE)), OR(MID(Metadata!E925,5,1)="", AND(AND(MID(Metadata!E925,5,1)="-",IFERROR(INT(MID(Metadata!E925,6,1))&gt;=0,FALSE),IFERROR(INT(MID(Metadata!E925,6,1))&lt;=1,FALSE),NOT(MID(Metadata!E925,7,1)=""),IFERROR(INT(MID(Metadata!E925,6,2))&gt;=1,FALSE),IFERROR(INT(MID(Metadata!E925,6,2))&lt;=12,FALSE)), OR(MID(Metadata!E925,8,1)="", AND(AND(MID(Metadata!E925,8,1)="-",IFERROR(INT(MID(Metadata!E925,9,1))&gt;=0,FALSE),IFERROR(INT(MID(Metadata!E925,9,1))&lt;=3,FALSE),NOT(MID(Metadata!E925,10,1)=""),IFERROR(INT(MID(Metadata!E925,9,2))&gt;=1,FALSE),IFERROR(INT(MID(Metadata!E925,9,2))&lt;=31,FALSE)), OR(MID(Metadata!E925,11,1)="", AND(AND(MID(Metadata!E925,11,1)=" ",IFERROR(INT(MID(Metadata!E925,12,1))&gt;=0,FALSE),IFERROR(INT(MID(Metadata!E925,12,1))&lt;=2,FALSE),NOT(MID(Metadata!E925,13,1)=""),IFERROR(INT(MID(Metadata!E925,12,2))&gt;=0,FALSE),IFERROR(INT(MID(Metadata!E925,12,2))&lt;=23,FALSE)), OR(MID(Metadata!E925,14,1)="", AND(AND(MID(Metadata!E925,14,1)=":",IFERROR(INT(MID(Metadata!E925,15,1))&gt;=0,FALSE),IFERROR(INT(MID(Metadata!E925,15,1))&lt;=5,FALSE),NOT(MID(Metadata!E925,16,1)=""),IFERROR(INT(MID(Metadata!E925,15,2))&gt;=0,FALSE),IFERROR(INT(MID(Metadata!E925,15,2))&lt;=59,FALSE)), OR(MID(Metadata!E925,17,1)="", AND(AND(MID(Metadata!E925,17,1)=":",IFERROR(INT(MID(Metadata!E925,18,1))&gt;=0,FALSE),IFERROR(INT(MID(Metadata!E925,18,1))&lt;=5,FALSE),NOT(MID(Metadata!E925,19,1)=""),IFERROR(INT(MID(Metadata!E925,18,2))&gt;=0,FALSE),IFERROR(INT(MID(Metadata!E925,18,2))&lt;=59,FALSE)), LEN(Metadata!E925)&lt;=19)))))))))))))</f>
        <v>0</v>
      </c>
      <c r="AS925" t="b">
        <f>IF(Metadata!F925="",FALSE,TRUE)</f>
        <v>0</v>
      </c>
      <c r="AT925" t="b">
        <f>OR(AND(IF(Metadata!G925="",FALSE,TRUE),OR(EXACT(Metadata!G925,"not collected"),EXACT(Metadata!G925,"not provided"))),AND(IF(Metadata!G925="",FALSE,TRUE),OR(EXACT(Metadata!G925,"TRUE"),EXACT(Metadata!G925,"FALSE"))))</f>
        <v>0</v>
      </c>
      <c r="AU925" t="b">
        <f>OR(AND(IF(Metadata!H925="",FALSE,TRUE),OR(EXACT(Metadata!H925,"not collected"),EXACT(Metadata!H925,"not provided"),EXACT(Metadata!H925,"restricted access"))),AND(IF(Metadata!H925="",FALSE,ISNUMBER(VALUE(Metadata!H925))),Metadata!H925&gt;=-413))</f>
        <v>0</v>
      </c>
      <c r="AV925" t="b">
        <f>AND(IF(Metadata!I925="",FALSE,TRUE),EXACT(Metadata!I925,"meters"))</f>
        <v>0</v>
      </c>
      <c r="AW925" t="b">
        <f>AND(IF(Metadata!J925="",FALSE,TRUE),EXACT(Metadata!J925,"free-living"))</f>
        <v>0</v>
      </c>
      <c r="AX925" t="b">
        <f>AND(IF(Metadata!K925="",FALSE,TRUE),OR(EXACT(Metadata!K925,"saline"),EXACT(Metadata!K925,"non-saline")))</f>
        <v>0</v>
      </c>
      <c r="AY925" t="b">
        <f>AND(IF(Metadata!L925="",FALSE,TRUE),OR(EXACT(Metadata!L925,"sub-surface (non-saline)"),EXACT(Metadata!L925,"surface (non-saline)"),EXACT(Metadata!L925,"water (non-saline)"),EXACT(Metadata!L925,"soil (non-saline)"),EXACT(Metadata!L925,"aerosol (non-saline)"),EXACT(Metadata!L925,"sediment (non-saline)"),EXACT(Metadata!L925,"surface (saline)"),EXACT(Metadata!L925,"water (saline)"),EXACT(Metadata!L925,"hypersaline (saline)"),EXACT(Metadata!L925,"aerosol (saline)"),EXACT(Metadata!L925,"sediment (saline)")))</f>
        <v>0</v>
      </c>
      <c r="AZ925" t="b">
        <f>IF(Metadata!M925="",FALSE,TRUE)</f>
        <v>0</v>
      </c>
      <c r="BA925" t="b">
        <f>IF(Metadata!N925="",FALSE,TRUE)</f>
        <v>0</v>
      </c>
      <c r="BB925" t="b">
        <f>IF(Metadata!O925="",FALSE,TRUE)</f>
        <v>0</v>
      </c>
      <c r="BC925" t="b">
        <f>AND(IF(Metadata!P925="",FALSE,TRUE),OR(EXACT(Metadata!P925,"air"),EXACT(Metadata!P925,"microbial mat/biofilm"),EXACT(Metadata!P925,"misc environment"),EXACT(Metadata!P925,"sediment"),EXACT(Metadata!P925,"soil"),EXACT(Metadata!P925,"wastewater/sludge"),EXACT(Metadata!P925,"water")))</f>
        <v>0</v>
      </c>
      <c r="BD925" t="b">
        <f>IF(Metadata!Q925="",FALSE,TRUE)</f>
        <v>0</v>
      </c>
      <c r="BE925" t="b">
        <f>IF(Metadata!R925="",FALSE,TRUE)</f>
        <v>0</v>
      </c>
      <c r="BF925" t="b">
        <f>OR(AND(IF(Metadata!S925="",FALSE,TRUE),OR(EXACT(Metadata!S925,"not collected"),EXACT(Metadata!S925,"not provided"),EXACT(Metadata!S925,"restricted access"))),AND(IF(Metadata!S925="",FALSE,ISNUMBER(VALUE(Metadata!S925))),Metadata!S925&gt;=-90,Metadata!S925&lt;=90))</f>
        <v>0</v>
      </c>
      <c r="BG925" t="b">
        <f>AND(IF(Metadata!T925="",FALSE,TRUE),EXACT(Metadata!T925,"Decimal degrees"))</f>
        <v>0</v>
      </c>
      <c r="BH925" t="b">
        <f>OR(AND(IF(Metadata!U925="",FALSE,TRUE),OR(EXACT(Metadata!U925,"not applicable"),EXACT(Metadata!U925,"not collected"))),IF(Metadata!U925="",FALSE,TRUE))</f>
        <v>0</v>
      </c>
      <c r="BI925" t="b">
        <f>OR(AND(IF(Metadata!V925="",FALSE,TRUE),OR(EXACT(Metadata!V925,"not collected"),EXACT(Metadata!V925,"not provided"),EXACT(Metadata!V925,"restricted access"))),AND(IF(Metadata!V925="",FALSE,ISNUMBER(VALUE(Metadata!V925))),Metadata!V925&gt;=-180,Metadata!V925&lt;=180))</f>
        <v>0</v>
      </c>
      <c r="BJ925" t="b">
        <f>AND(IF(Metadata!W925="",FALSE,TRUE),EXACT(Metadata!W925,"Decimal degrees"))</f>
        <v>0</v>
      </c>
      <c r="BK925" t="b">
        <f>IF(Metadata!X925="",FALSE,TRUE)</f>
        <v>0</v>
      </c>
      <c r="BL925" t="b">
        <f>OR(AND(IF(Metadata!Y925="",FALSE,TRUE),OR(EXACT(Metadata!Y925,"not collected"),EXACT(Metadata!Y925,"not provided"),EXACT(Metadata!Y925,"restricted access"))),AND(IF(Metadata!Y925="",FALSE,TRUE),OR(EXACT(Metadata!Y925,"TRUE"),EXACT(Metadata!Y925,"FALSE"))))</f>
        <v>0</v>
      </c>
      <c r="BM925" t="b">
        <f>OR(AND(IF(Metadata!Z925="",FALSE,TRUE),EXACT(Metadata!Z925,"not applicable")),AND(IF(Metadata!Z925="",FALSE,TRUE),OR(EXACT(Metadata!Z925,"beer"),EXACT(Metadata!Z925,"cheese"),EXACT(Metadata!Z925,"fresh water"),EXACT(Metadata!Z925,"marine sediment"),EXACT(Metadata!Z925,"sea water"),EXACT(Metadata!Z925,"sediment"),EXACT(Metadata!Z925,"soil"),EXACT(Metadata!Z925,"waste water"))))</f>
        <v>0</v>
      </c>
      <c r="BN925" t="b">
        <f>AND(IF(Metadata!AA925="",FALSE,TRUE),EXACT(Metadata!AA925,"metagenome"))</f>
        <v>0</v>
      </c>
      <c r="BO925" t="b">
        <f>AND(IF(Metadata!AB925="",FALSE,TRUE),EXACT(Metadata!AB925,"256318"))</f>
        <v>0</v>
      </c>
      <c r="BP925" t="b">
        <f>IF(Metadata!AC925="",FALSE,TRUE)</f>
        <v>0</v>
      </c>
      <c r="BQ925" t="b">
        <f>IF(Metadata!AD925="",FALSE,TRUE)</f>
        <v>0</v>
      </c>
    </row>
    <row r="926" spans="1:69" x14ac:dyDescent="0.2">
      <c r="A926" s="4" t="e">
        <f ca="1">IF(B926=" "," ",HYPERLINK(CONCATENATE("#metadata!",ADDRESS(INDEX($AJ$2:$AJ$1001,MATCH(ROWS($AH$2:AH926),$AH$2:$AH$1001,0),0),2)),INDEX($AM$2:$AM$1001,MATCH(ROWS($AH$2:AH926),$AH$2:$AH$1001,0),0)))</f>
        <v>#N/A</v>
      </c>
      <c r="B926" s="5" t="e">
        <f ca="1">IF(OR(INDEX($AI$2:$AI$1001,MATCH(ROWS($AH$2:AH926),$AH$2:$AH$1001,0),1)&gt;=100000,INDEX($AO$1005:$BQ$1005,1,MATCH(COLUMNS($AO$1006:AO1006),$AO$1006:$BQ$1006,0))&gt;=100000), " ",IF(INDEX($AO$2:$BQ$1001,MATCH(ROWS($AH$2:AH926),$AH$2:$AH$1001,0),MATCH(COLUMNS($AO$1006:AO1006),$AO$1006:$BQ$1006,0)), HYPERLINK("#",""), HYPERLINK(CONCATENATE("#Metadata!", ADDRESS(INDEX($AJ$2:$AJ$1001,MATCH(ROWS($AH$2:AH926),$AH$2:$AH$1001,0),0), INDEX($AO$1004:$BQ$1004,1,MATCH(COLUMNS($AO$1006:AO1006),$AO$1006:$BQ$1006,0)))),"Fix")))</f>
        <v>#N/A</v>
      </c>
      <c r="C926" s="5" t="e">
        <f ca="1">IF(OR(INDEX($AI$2:$AI$1001,MATCH(ROWS($AH$2:AH926),$AH$2:$AH$1001,0),1)&gt;=100000,INDEX($AO$1005:$BQ$1005,1,MATCH(COLUMNS($AO$1006:AP1006),$AO$1006:$BQ$1006,0))&gt;=100000), " ",IF(INDEX($AO$2:$BQ$1001,MATCH(ROWS($AH$2:AH926),$AH$2:$AH$1001,0),MATCH(COLUMNS($AO$1006:AP1006),$AO$1006:$BQ$1006,0)), HYPERLINK("#",""), HYPERLINK(CONCATENATE("#Metadata!", ADDRESS(INDEX($AJ$2:$AJ$1001,MATCH(ROWS($AH$2:AH926),$AH$2:$AH$1001,0),0), INDEX($AO$1004:$BQ$1004,1,MATCH(COLUMNS($AO$1006:AP1006),$AO$1006:$BQ$1006,0)))),"Fix")))</f>
        <v>#N/A</v>
      </c>
      <c r="D926" s="5" t="e">
        <f ca="1">IF(OR(INDEX($AI$2:$AI$1001,MATCH(ROWS($AH$2:AH926),$AH$2:$AH$1001,0),1)&gt;=100000,INDEX($AO$1005:$BQ$1005,1,MATCH(COLUMNS($AO$1006:AQ1006),$AO$1006:$BQ$1006,0))&gt;=100000), " ",IF(INDEX($AO$2:$BQ$1001,MATCH(ROWS($AH$2:AH926),$AH$2:$AH$1001,0),MATCH(COLUMNS($AO$1006:AQ1006),$AO$1006:$BQ$1006,0)), HYPERLINK("#",""), HYPERLINK(CONCATENATE("#Metadata!", ADDRESS(INDEX($AJ$2:$AJ$1001,MATCH(ROWS($AH$2:AH926),$AH$2:$AH$1001,0),0), INDEX($AO$1004:$BQ$1004,1,MATCH(COLUMNS($AO$1006:AQ1006),$AO$1006:$BQ$1006,0)))),"Fix")))</f>
        <v>#N/A</v>
      </c>
      <c r="E926" s="5" t="e">
        <f ca="1">IF(OR(INDEX($AI$2:$AI$1001,MATCH(ROWS($AH$2:AH926),$AH$2:$AH$1001,0),1)&gt;=100000,INDEX($AO$1005:$BQ$1005,1,MATCH(COLUMNS($AO$1006:AR1006),$AO$1006:$BQ$1006,0))&gt;=100000), " ",IF(INDEX($AO$2:$BQ$1001,MATCH(ROWS($AH$2:AH926),$AH$2:$AH$1001,0),MATCH(COLUMNS($AO$1006:AR1006),$AO$1006:$BQ$1006,0)), HYPERLINK("#",""), HYPERLINK(CONCATENATE("#Metadata!", ADDRESS(INDEX($AJ$2:$AJ$1001,MATCH(ROWS($AH$2:AH926),$AH$2:$AH$1001,0),0), INDEX($AO$1004:$BQ$1004,1,MATCH(COLUMNS($AO$1006:AR1006),$AO$1006:$BQ$1006,0)))),"Fix")))</f>
        <v>#N/A</v>
      </c>
      <c r="F926" s="5" t="e">
        <f ca="1">IF(OR(INDEX($AI$2:$AI$1001,MATCH(ROWS($AH$2:AH926),$AH$2:$AH$1001,0),1)&gt;=100000,INDEX($AO$1005:$BQ$1005,1,MATCH(COLUMNS($AO$1006:AS1006),$AO$1006:$BQ$1006,0))&gt;=100000), " ",IF(INDEX($AO$2:$BQ$1001,MATCH(ROWS($AH$2:AH926),$AH$2:$AH$1001,0),MATCH(COLUMNS($AO$1006:AS1006),$AO$1006:$BQ$1006,0)), HYPERLINK("#",""), HYPERLINK(CONCATENATE("#Metadata!", ADDRESS(INDEX($AJ$2:$AJ$1001,MATCH(ROWS($AH$2:AH926),$AH$2:$AH$1001,0),0), INDEX($AO$1004:$BQ$1004,1,MATCH(COLUMNS($AO$1006:AS1006),$AO$1006:$BQ$1006,0)))),"Fix")))</f>
        <v>#N/A</v>
      </c>
      <c r="G926" s="5" t="e">
        <f ca="1">IF(OR(INDEX($AI$2:$AI$1001,MATCH(ROWS($AH$2:AH926),$AH$2:$AH$1001,0),1)&gt;=100000,INDEX($AO$1005:$BQ$1005,1,MATCH(COLUMNS($AO$1006:AT1006),$AO$1006:$BQ$1006,0))&gt;=100000), " ",IF(INDEX($AO$2:$BQ$1001,MATCH(ROWS($AH$2:AH926),$AH$2:$AH$1001,0),MATCH(COLUMNS($AO$1006:AT1006),$AO$1006:$BQ$1006,0)), HYPERLINK("#",""), HYPERLINK(CONCATENATE("#Metadata!", ADDRESS(INDEX($AJ$2:$AJ$1001,MATCH(ROWS($AH$2:AH926),$AH$2:$AH$1001,0),0), INDEX($AO$1004:$BQ$1004,1,MATCH(COLUMNS($AO$1006:AT1006),$AO$1006:$BQ$1006,0)))),"Fix")))</f>
        <v>#N/A</v>
      </c>
      <c r="H926" s="5" t="e">
        <f ca="1">IF(OR(INDEX($AI$2:$AI$1001,MATCH(ROWS($AH$2:AH926),$AH$2:$AH$1001,0),1)&gt;=100000,INDEX($AO$1005:$BQ$1005,1,MATCH(COLUMNS($AO$1006:AU1006),$AO$1006:$BQ$1006,0))&gt;=100000), " ",IF(INDEX($AO$2:$BQ$1001,MATCH(ROWS($AH$2:AH926),$AH$2:$AH$1001,0),MATCH(COLUMNS($AO$1006:AU1006),$AO$1006:$BQ$1006,0)), HYPERLINK("#",""), HYPERLINK(CONCATENATE("#Metadata!", ADDRESS(INDEX($AJ$2:$AJ$1001,MATCH(ROWS($AH$2:AH926),$AH$2:$AH$1001,0),0), INDEX($AO$1004:$BQ$1004,1,MATCH(COLUMNS($AO$1006:AU1006),$AO$1006:$BQ$1006,0)))),"Fix")))</f>
        <v>#N/A</v>
      </c>
      <c r="I926" s="5" t="e">
        <f ca="1">IF(OR(INDEX($AI$2:$AI$1001,MATCH(ROWS($AH$2:AH926),$AH$2:$AH$1001,0),1)&gt;=100000,INDEX($AO$1005:$BQ$1005,1,MATCH(COLUMNS($AO$1006:AV1006),$AO$1006:$BQ$1006,0))&gt;=100000), " ",IF(INDEX($AO$2:$BQ$1001,MATCH(ROWS($AH$2:AH926),$AH$2:$AH$1001,0),MATCH(COLUMNS($AO$1006:AV1006),$AO$1006:$BQ$1006,0)), HYPERLINK("#",""), HYPERLINK(CONCATENATE("#Metadata!", ADDRESS(INDEX($AJ$2:$AJ$1001,MATCH(ROWS($AH$2:AH926),$AH$2:$AH$1001,0),0), INDEX($AO$1004:$BQ$1004,1,MATCH(COLUMNS($AO$1006:AV1006),$AO$1006:$BQ$1006,0)))),"Fix")))</f>
        <v>#N/A</v>
      </c>
      <c r="J926" s="5" t="e">
        <f ca="1">IF(OR(INDEX($AI$2:$AI$1001,MATCH(ROWS($AH$2:AH926),$AH$2:$AH$1001,0),1)&gt;=100000,INDEX($AO$1005:$BQ$1005,1,MATCH(COLUMNS($AO$1006:AW1006),$AO$1006:$BQ$1006,0))&gt;=100000), " ",IF(INDEX($AO$2:$BQ$1001,MATCH(ROWS($AH$2:AH926),$AH$2:$AH$1001,0),MATCH(COLUMNS($AO$1006:AW1006),$AO$1006:$BQ$1006,0)), HYPERLINK("#",""), HYPERLINK(CONCATENATE("#Metadata!", ADDRESS(INDEX($AJ$2:$AJ$1001,MATCH(ROWS($AH$2:AH926),$AH$2:$AH$1001,0),0), INDEX($AO$1004:$BQ$1004,1,MATCH(COLUMNS($AO$1006:AW1006),$AO$1006:$BQ$1006,0)))),"Fix")))</f>
        <v>#N/A</v>
      </c>
      <c r="K926" s="5" t="e">
        <f ca="1">IF(OR(INDEX($AI$2:$AI$1001,MATCH(ROWS($AH$2:AH926),$AH$2:$AH$1001,0),1)&gt;=100000,INDEX($AO$1005:$BQ$1005,1,MATCH(COLUMNS($AO$1006:AX1006),$AO$1006:$BQ$1006,0))&gt;=100000), " ",IF(INDEX($AO$2:$BQ$1001,MATCH(ROWS($AH$2:AH926),$AH$2:$AH$1001,0),MATCH(COLUMNS($AO$1006:AX1006),$AO$1006:$BQ$1006,0)), HYPERLINK("#",""), HYPERLINK(CONCATENATE("#Metadata!", ADDRESS(INDEX($AJ$2:$AJ$1001,MATCH(ROWS($AH$2:AH926),$AH$2:$AH$1001,0),0), INDEX($AO$1004:$BQ$1004,1,MATCH(COLUMNS($AO$1006:AX1006),$AO$1006:$BQ$1006,0)))),"Fix")))</f>
        <v>#N/A</v>
      </c>
      <c r="L926" s="5" t="e">
        <f ca="1">IF(OR(INDEX($AI$2:$AI$1001,MATCH(ROWS($AH$2:AH926),$AH$2:$AH$1001,0),1)&gt;=100000,INDEX($AO$1005:$BQ$1005,1,MATCH(COLUMNS($AO$1006:AY1006),$AO$1006:$BQ$1006,0))&gt;=100000), " ",IF(INDEX($AO$2:$BQ$1001,MATCH(ROWS($AH$2:AH926),$AH$2:$AH$1001,0),MATCH(COLUMNS($AO$1006:AY1006),$AO$1006:$BQ$1006,0)), HYPERLINK("#",""), HYPERLINK(CONCATENATE("#Metadata!", ADDRESS(INDEX($AJ$2:$AJ$1001,MATCH(ROWS($AH$2:AH926),$AH$2:$AH$1001,0),0), INDEX($AO$1004:$BQ$1004,1,MATCH(COLUMNS($AO$1006:AY1006),$AO$1006:$BQ$1006,0)))),"Fix")))</f>
        <v>#N/A</v>
      </c>
      <c r="M926" s="5" t="e">
        <f ca="1">IF(OR(INDEX($AI$2:$AI$1001,MATCH(ROWS($AH$2:AH926),$AH$2:$AH$1001,0),1)&gt;=100000,INDEX($AO$1005:$BQ$1005,1,MATCH(COLUMNS($AO$1006:AZ1006),$AO$1006:$BQ$1006,0))&gt;=100000), " ",IF(INDEX($AO$2:$BQ$1001,MATCH(ROWS($AH$2:AH926),$AH$2:$AH$1001,0),MATCH(COLUMNS($AO$1006:AZ1006),$AO$1006:$BQ$1006,0)), HYPERLINK("#",""), HYPERLINK(CONCATENATE("#Metadata!", ADDRESS(INDEX($AJ$2:$AJ$1001,MATCH(ROWS($AH$2:AH926),$AH$2:$AH$1001,0),0), INDEX($AO$1004:$BQ$1004,1,MATCH(COLUMNS($AO$1006:AZ1006),$AO$1006:$BQ$1006,0)))),"Fix")))</f>
        <v>#N/A</v>
      </c>
      <c r="N926" s="5" t="e">
        <f ca="1">IF(OR(INDEX($AI$2:$AI$1001,MATCH(ROWS($AH$2:AH926),$AH$2:$AH$1001,0),1)&gt;=100000,INDEX($AO$1005:$BQ$1005,1,MATCH(COLUMNS($AO$1006:BA1006),$AO$1006:$BQ$1006,0))&gt;=100000), " ",IF(INDEX($AO$2:$BQ$1001,MATCH(ROWS($AH$2:AH926),$AH$2:$AH$1001,0),MATCH(COLUMNS($AO$1006:BA1006),$AO$1006:$BQ$1006,0)), HYPERLINK("#",""), HYPERLINK(CONCATENATE("#Metadata!", ADDRESS(INDEX($AJ$2:$AJ$1001,MATCH(ROWS($AH$2:AH926),$AH$2:$AH$1001,0),0), INDEX($AO$1004:$BQ$1004,1,MATCH(COLUMNS($AO$1006:BA1006),$AO$1006:$BQ$1006,0)))),"Fix")))</f>
        <v>#N/A</v>
      </c>
      <c r="O926" s="5" t="e">
        <f ca="1">IF(OR(INDEX($AI$2:$AI$1001,MATCH(ROWS($AH$2:AH926),$AH$2:$AH$1001,0),1)&gt;=100000,INDEX($AO$1005:$BQ$1005,1,MATCH(COLUMNS($AO$1006:BB1006),$AO$1006:$BQ$1006,0))&gt;=100000), " ",IF(INDEX($AO$2:$BQ$1001,MATCH(ROWS($AH$2:AH926),$AH$2:$AH$1001,0),MATCH(COLUMNS($AO$1006:BB1006),$AO$1006:$BQ$1006,0)), HYPERLINK("#",""), HYPERLINK(CONCATENATE("#Metadata!", ADDRESS(INDEX($AJ$2:$AJ$1001,MATCH(ROWS($AH$2:AH926),$AH$2:$AH$1001,0),0), INDEX($AO$1004:$BQ$1004,1,MATCH(COLUMNS($AO$1006:BB1006),$AO$1006:$BQ$1006,0)))),"Fix")))</f>
        <v>#N/A</v>
      </c>
      <c r="P926" s="5" t="e">
        <f ca="1">IF(OR(INDEX($AI$2:$AI$1001,MATCH(ROWS($AH$2:AH926),$AH$2:$AH$1001,0),1)&gt;=100000,INDEX($AO$1005:$BQ$1005,1,MATCH(COLUMNS($AO$1006:BC1006),$AO$1006:$BQ$1006,0))&gt;=100000), " ",IF(INDEX($AO$2:$BQ$1001,MATCH(ROWS($AH$2:AH926),$AH$2:$AH$1001,0),MATCH(COLUMNS($AO$1006:BC1006),$AO$1006:$BQ$1006,0)), HYPERLINK("#",""), HYPERLINK(CONCATENATE("#Metadata!", ADDRESS(INDEX($AJ$2:$AJ$1001,MATCH(ROWS($AH$2:AH926),$AH$2:$AH$1001,0),0), INDEX($AO$1004:$BQ$1004,1,MATCH(COLUMNS($AO$1006:BC1006),$AO$1006:$BQ$1006,0)))),"Fix")))</f>
        <v>#N/A</v>
      </c>
      <c r="Q926" s="5" t="e">
        <f ca="1">IF(OR(INDEX($AI$2:$AI$1001,MATCH(ROWS($AH$2:AH926),$AH$2:$AH$1001,0),1)&gt;=100000,INDEX($AO$1005:$BQ$1005,1,MATCH(COLUMNS($AO$1006:BD1006),$AO$1006:$BQ$1006,0))&gt;=100000), " ",IF(INDEX($AO$2:$BQ$1001,MATCH(ROWS($AH$2:AH926),$AH$2:$AH$1001,0),MATCH(COLUMNS($AO$1006:BD1006),$AO$1006:$BQ$1006,0)), HYPERLINK("#",""), HYPERLINK(CONCATENATE("#Metadata!", ADDRESS(INDEX($AJ$2:$AJ$1001,MATCH(ROWS($AH$2:AH926),$AH$2:$AH$1001,0),0), INDEX($AO$1004:$BQ$1004,1,MATCH(COLUMNS($AO$1006:BD1006),$AO$1006:$BQ$1006,0)))),"Fix")))</f>
        <v>#N/A</v>
      </c>
      <c r="R926" s="5" t="e">
        <f ca="1">IF(OR(INDEX($AI$2:$AI$1001,MATCH(ROWS($AH$2:AH926),$AH$2:$AH$1001,0),1)&gt;=100000,INDEX($AO$1005:$BQ$1005,1,MATCH(COLUMNS($AO$1006:BE1006),$AO$1006:$BQ$1006,0))&gt;=100000), " ",IF(INDEX($AO$2:$BQ$1001,MATCH(ROWS($AH$2:AH926),$AH$2:$AH$1001,0),MATCH(COLUMNS($AO$1006:BE1006),$AO$1006:$BQ$1006,0)), HYPERLINK("#",""), HYPERLINK(CONCATENATE("#Metadata!", ADDRESS(INDEX($AJ$2:$AJ$1001,MATCH(ROWS($AH$2:AH926),$AH$2:$AH$1001,0),0), INDEX($AO$1004:$BQ$1004,1,MATCH(COLUMNS($AO$1006:BE1006),$AO$1006:$BQ$1006,0)))),"Fix")))</f>
        <v>#N/A</v>
      </c>
      <c r="S926" s="5" t="e">
        <f ca="1">IF(OR(INDEX($AI$2:$AI$1001,MATCH(ROWS($AH$2:AH926),$AH$2:$AH$1001,0),1)&gt;=100000,INDEX($AO$1005:$BQ$1005,1,MATCH(COLUMNS($AO$1006:BF1006),$AO$1006:$BQ$1006,0))&gt;=100000), " ",IF(INDEX($AO$2:$BQ$1001,MATCH(ROWS($AH$2:AH926),$AH$2:$AH$1001,0),MATCH(COLUMNS($AO$1006:BF1006),$AO$1006:$BQ$1006,0)), HYPERLINK("#",""), HYPERLINK(CONCATENATE("#Metadata!", ADDRESS(INDEX($AJ$2:$AJ$1001,MATCH(ROWS($AH$2:AH926),$AH$2:$AH$1001,0),0), INDEX($AO$1004:$BQ$1004,1,MATCH(COLUMNS($AO$1006:BF1006),$AO$1006:$BQ$1006,0)))),"Fix")))</f>
        <v>#N/A</v>
      </c>
      <c r="T926" s="5" t="e">
        <f ca="1">IF(OR(INDEX($AI$2:$AI$1001,MATCH(ROWS($AH$2:AH926),$AH$2:$AH$1001,0),1)&gt;=100000,INDEX($AO$1005:$BQ$1005,1,MATCH(COLUMNS($AO$1006:BG1006),$AO$1006:$BQ$1006,0))&gt;=100000), " ",IF(INDEX($AO$2:$BQ$1001,MATCH(ROWS($AH$2:AH926),$AH$2:$AH$1001,0),MATCH(COLUMNS($AO$1006:BG1006),$AO$1006:$BQ$1006,0)), HYPERLINK("#",""), HYPERLINK(CONCATENATE("#Metadata!", ADDRESS(INDEX($AJ$2:$AJ$1001,MATCH(ROWS($AH$2:AH926),$AH$2:$AH$1001,0),0), INDEX($AO$1004:$BQ$1004,1,MATCH(COLUMNS($AO$1006:BG1006),$AO$1006:$BQ$1006,0)))),"Fix")))</f>
        <v>#N/A</v>
      </c>
      <c r="U926" s="5" t="e">
        <f ca="1">IF(OR(INDEX($AI$2:$AI$1001,MATCH(ROWS($AH$2:AH926),$AH$2:$AH$1001,0),1)&gt;=100000,INDEX($AO$1005:$BQ$1005,1,MATCH(COLUMNS($AO$1006:BH1006),$AO$1006:$BQ$1006,0))&gt;=100000), " ",IF(INDEX($AO$2:$BQ$1001,MATCH(ROWS($AH$2:AH926),$AH$2:$AH$1001,0),MATCH(COLUMNS($AO$1006:BH1006),$AO$1006:$BQ$1006,0)), HYPERLINK("#",""), HYPERLINK(CONCATENATE("#Metadata!", ADDRESS(INDEX($AJ$2:$AJ$1001,MATCH(ROWS($AH$2:AH926),$AH$2:$AH$1001,0),0), INDEX($AO$1004:$BQ$1004,1,MATCH(COLUMNS($AO$1006:BH1006),$AO$1006:$BQ$1006,0)))),"Fix")))</f>
        <v>#N/A</v>
      </c>
      <c r="V926" s="5" t="e">
        <f ca="1">IF(OR(INDEX($AI$2:$AI$1001,MATCH(ROWS($AH$2:AH926),$AH$2:$AH$1001,0),1)&gt;=100000,INDEX($AO$1005:$BQ$1005,1,MATCH(COLUMNS($AO$1006:BI1006),$AO$1006:$BQ$1006,0))&gt;=100000), " ",IF(INDEX($AO$2:$BQ$1001,MATCH(ROWS($AH$2:AH926),$AH$2:$AH$1001,0),MATCH(COLUMNS($AO$1006:BI1006),$AO$1006:$BQ$1006,0)), HYPERLINK("#",""), HYPERLINK(CONCATENATE("#Metadata!", ADDRESS(INDEX($AJ$2:$AJ$1001,MATCH(ROWS($AH$2:AH926),$AH$2:$AH$1001,0),0), INDEX($AO$1004:$BQ$1004,1,MATCH(COLUMNS($AO$1006:BI1006),$AO$1006:$BQ$1006,0)))),"Fix")))</f>
        <v>#N/A</v>
      </c>
      <c r="W926" s="5" t="e">
        <f ca="1">IF(OR(INDEX($AI$2:$AI$1001,MATCH(ROWS($AH$2:AH926),$AH$2:$AH$1001,0),1)&gt;=100000,INDEX($AO$1005:$BQ$1005,1,MATCH(COLUMNS($AO$1006:BJ1006),$AO$1006:$BQ$1006,0))&gt;=100000), " ",IF(INDEX($AO$2:$BQ$1001,MATCH(ROWS($AH$2:AH926),$AH$2:$AH$1001,0),MATCH(COLUMNS($AO$1006:BJ1006),$AO$1006:$BQ$1006,0)), HYPERLINK("#",""), HYPERLINK(CONCATENATE("#Metadata!", ADDRESS(INDEX($AJ$2:$AJ$1001,MATCH(ROWS($AH$2:AH926),$AH$2:$AH$1001,0),0), INDEX($AO$1004:$BQ$1004,1,MATCH(COLUMNS($AO$1006:BJ1006),$AO$1006:$BQ$1006,0)))),"Fix")))</f>
        <v>#N/A</v>
      </c>
      <c r="X926" s="5" t="e">
        <f ca="1">IF(OR(INDEX($AI$2:$AI$1001,MATCH(ROWS($AH$2:AH926),$AH$2:$AH$1001,0),1)&gt;=100000,INDEX($AO$1005:$BQ$1005,1,MATCH(COLUMNS($AO$1006:BK1006),$AO$1006:$BQ$1006,0))&gt;=100000), " ",IF(INDEX($AO$2:$BQ$1001,MATCH(ROWS($AH$2:AH926),$AH$2:$AH$1001,0),MATCH(COLUMNS($AO$1006:BK1006),$AO$1006:$BQ$1006,0)), HYPERLINK("#",""), HYPERLINK(CONCATENATE("#Metadata!", ADDRESS(INDEX($AJ$2:$AJ$1001,MATCH(ROWS($AH$2:AH926),$AH$2:$AH$1001,0),0), INDEX($AO$1004:$BQ$1004,1,MATCH(COLUMNS($AO$1006:BK1006),$AO$1006:$BQ$1006,0)))),"Fix")))</f>
        <v>#N/A</v>
      </c>
      <c r="Y926" s="5" t="e">
        <f ca="1">IF(OR(INDEX($AI$2:$AI$1001,MATCH(ROWS($AH$2:AH926),$AH$2:$AH$1001,0),1)&gt;=100000,INDEX($AO$1005:$BQ$1005,1,MATCH(COLUMNS($AO$1006:BL1006),$AO$1006:$BQ$1006,0))&gt;=100000), " ",IF(INDEX($AO$2:$BQ$1001,MATCH(ROWS($AH$2:AH926),$AH$2:$AH$1001,0),MATCH(COLUMNS($AO$1006:BL1006),$AO$1006:$BQ$1006,0)), HYPERLINK("#",""), HYPERLINK(CONCATENATE("#Metadata!", ADDRESS(INDEX($AJ$2:$AJ$1001,MATCH(ROWS($AH$2:AH926),$AH$2:$AH$1001,0),0), INDEX($AO$1004:$BQ$1004,1,MATCH(COLUMNS($AO$1006:BL1006),$AO$1006:$BQ$1006,0)))),"Fix")))</f>
        <v>#N/A</v>
      </c>
      <c r="Z926" s="5" t="e">
        <f ca="1">IF(OR(INDEX($AI$2:$AI$1001,MATCH(ROWS($AH$2:AH926),$AH$2:$AH$1001,0),1)&gt;=100000,INDEX($AO$1005:$BQ$1005,1,MATCH(COLUMNS($AO$1006:BM1006),$AO$1006:$BQ$1006,0))&gt;=100000), " ",IF(INDEX($AO$2:$BQ$1001,MATCH(ROWS($AH$2:AH926),$AH$2:$AH$1001,0),MATCH(COLUMNS($AO$1006:BM1006),$AO$1006:$BQ$1006,0)), HYPERLINK("#",""), HYPERLINK(CONCATENATE("#Metadata!", ADDRESS(INDEX($AJ$2:$AJ$1001,MATCH(ROWS($AH$2:AH926),$AH$2:$AH$1001,0),0), INDEX($AO$1004:$BQ$1004,1,MATCH(COLUMNS($AO$1006:BM1006),$AO$1006:$BQ$1006,0)))),"Fix")))</f>
        <v>#N/A</v>
      </c>
      <c r="AA926" s="5" t="e">
        <f ca="1">IF(OR(INDEX($AI$2:$AI$1001,MATCH(ROWS($AH$2:AH926),$AH$2:$AH$1001,0),1)&gt;=100000,INDEX($AO$1005:$BQ$1005,1,MATCH(COLUMNS($AO$1006:BN1006),$AO$1006:$BQ$1006,0))&gt;=100000), " ",IF(INDEX($AO$2:$BQ$1001,MATCH(ROWS($AH$2:AH926),$AH$2:$AH$1001,0),MATCH(COLUMNS($AO$1006:BN1006),$AO$1006:$BQ$1006,0)), HYPERLINK("#",""), HYPERLINK(CONCATENATE("#Metadata!", ADDRESS(INDEX($AJ$2:$AJ$1001,MATCH(ROWS($AH$2:AH926),$AH$2:$AH$1001,0),0), INDEX($AO$1004:$BQ$1004,1,MATCH(COLUMNS($AO$1006:BN1006),$AO$1006:$BQ$1006,0)))),"Fix")))</f>
        <v>#N/A</v>
      </c>
      <c r="AB926" s="5" t="e">
        <f ca="1">IF(OR(INDEX($AI$2:$AI$1001,MATCH(ROWS($AH$2:AH926),$AH$2:$AH$1001,0),1)&gt;=100000,INDEX($AO$1005:$BQ$1005,1,MATCH(COLUMNS($AO$1006:BO1006),$AO$1006:$BQ$1006,0))&gt;=100000), " ",IF(INDEX($AO$2:$BQ$1001,MATCH(ROWS($AH$2:AH926),$AH$2:$AH$1001,0),MATCH(COLUMNS($AO$1006:BO1006),$AO$1006:$BQ$1006,0)), HYPERLINK("#",""), HYPERLINK(CONCATENATE("#Metadata!", ADDRESS(INDEX($AJ$2:$AJ$1001,MATCH(ROWS($AH$2:AH926),$AH$2:$AH$1001,0),0), INDEX($AO$1004:$BQ$1004,1,MATCH(COLUMNS($AO$1006:BO1006),$AO$1006:$BQ$1006,0)))),"Fix")))</f>
        <v>#N/A</v>
      </c>
      <c r="AC926" s="5" t="e">
        <f ca="1">IF(OR(INDEX($AI$2:$AI$1001,MATCH(ROWS($AH$2:AH926),$AH$2:$AH$1001,0),1)&gt;=100000,INDEX($AO$1005:$BQ$1005,1,MATCH(COLUMNS($AO$1006:BP1006),$AO$1006:$BQ$1006,0))&gt;=100000), " ",IF(INDEX($AO$2:$BQ$1001,MATCH(ROWS($AH$2:AH926),$AH$2:$AH$1001,0),MATCH(COLUMNS($AO$1006:BP1006),$AO$1006:$BQ$1006,0)), HYPERLINK("#",""), HYPERLINK(CONCATENATE("#Metadata!", ADDRESS(INDEX($AJ$2:$AJ$1001,MATCH(ROWS($AH$2:AH926),$AH$2:$AH$1001,0),0), INDEX($AO$1004:$BQ$1004,1,MATCH(COLUMNS($AO$1006:BP1006),$AO$1006:$BQ$1006,0)))),"Fix")))</f>
        <v>#N/A</v>
      </c>
      <c r="AD926" s="5" t="e">
        <f ca="1">IF(OR(INDEX($AI$2:$AI$1001,MATCH(ROWS($AH$2:AH926),$AH$2:$AH$1001,0),1)&gt;=100000,INDEX($AO$1005:$BQ$1005,1,MATCH(COLUMNS($AO$1006:BQ1006),$AO$1006:$BQ$1006,0))&gt;=100000), " ",IF(INDEX($AO$2:$BQ$1001,MATCH(ROWS($AH$2:AH926),$AH$2:$AH$1001,0),MATCH(COLUMNS($AO$1006:BQ1006),$AO$1006:$BQ$1006,0)), HYPERLINK("#",""), HYPERLINK(CONCATENATE("#Metadata!", ADDRESS(INDEX($AJ$2:$AJ$1001,MATCH(ROWS($AH$2:AH926),$AH$2:$AH$1001,0),0), INDEX($AO$1004:$BQ$1004,1,MATCH(COLUMNS($AO$1006:BQ1006),$AO$1006:$BQ$1006,0)))),"Fix")))</f>
        <v>#REF!</v>
      </c>
      <c r="AH926">
        <f ca="1"/>
        <v>923</v>
      </c>
      <c r="AI926">
        <v>100926</v>
      </c>
      <c r="AJ926">
        <v>926</v>
      </c>
      <c r="AK926" t="b">
        <f t="shared" si="14"/>
        <v>1</v>
      </c>
      <c r="AL926" t="b">
        <f>COUNTBLANK(Metadata!B926:AD926)=COLUMNS(Metadata!B926:AD926)</f>
        <v>1</v>
      </c>
      <c r="AM926" t="str">
        <v/>
      </c>
      <c r="AO926" t="b">
        <f ca="1">AND(IF(Metadata!B926="",FALSE,TRUE),COUNTIF(Metadata!B:B, Metadata!B926) = 1,NOT(ISERROR(SUMPRODUCT(SEARCH(MID(Metadata!B926,ROW(INDIRECT("1:"&amp;LEN(Metadata!B926))), 1),"0123456789abcdefghijklmnopqrstuvwxyzABCDEFGHIJKLMNOPQRSTUVWXYZ.")))))</f>
        <v>0</v>
      </c>
      <c r="AP926" t="b">
        <f>IF(Metadata!C926="",FALSE,TRUE)</f>
        <v>0</v>
      </c>
      <c r="AQ926" t="b">
        <f>IF(Metadata!D926="",FALSE,TRUE)</f>
        <v>0</v>
      </c>
      <c r="AR926" t="b">
        <f ca="1">OR(AND(IF(Metadata!E926="",FALSE,TRUE),OR(EXACT(Metadata!E926,"not collected"),EXACT(Metadata!E926,"not provided"),EXACT(Metadata!E926,"restricted access"))),AND(IF(Metadata!E926="",FALSE,TRUE),AND(AND(IFERROR(INT(LEFT(Metadata!E926,4))&gt;1900,FALSE),IFERROR(INT(LEFT(Metadata!E926,4))&lt;=YEAR(NOW()),FALSE)), OR(MID(Metadata!E926,5,1)="", AND(AND(MID(Metadata!E926,5,1)="-",IFERROR(INT(MID(Metadata!E926,6,1))&gt;=0,FALSE),IFERROR(INT(MID(Metadata!E926,6,1))&lt;=1,FALSE),NOT(MID(Metadata!E926,7,1)=""),IFERROR(INT(MID(Metadata!E926,6,2))&gt;=1,FALSE),IFERROR(INT(MID(Metadata!E926,6,2))&lt;=12,FALSE)), OR(MID(Metadata!E926,8,1)="", AND(AND(MID(Metadata!E926,8,1)="-",IFERROR(INT(MID(Metadata!E926,9,1))&gt;=0,FALSE),IFERROR(INT(MID(Metadata!E926,9,1))&lt;=3,FALSE),NOT(MID(Metadata!E926,10,1)=""),IFERROR(INT(MID(Metadata!E926,9,2))&gt;=1,FALSE),IFERROR(INT(MID(Metadata!E926,9,2))&lt;=31,FALSE)), OR(MID(Metadata!E926,11,1)="", AND(AND(MID(Metadata!E926,11,1)=" ",IFERROR(INT(MID(Metadata!E926,12,1))&gt;=0,FALSE),IFERROR(INT(MID(Metadata!E926,12,1))&lt;=2,FALSE),NOT(MID(Metadata!E926,13,1)=""),IFERROR(INT(MID(Metadata!E926,12,2))&gt;=0,FALSE),IFERROR(INT(MID(Metadata!E926,12,2))&lt;=23,FALSE)), OR(MID(Metadata!E926,14,1)="", AND(AND(MID(Metadata!E926,14,1)=":",IFERROR(INT(MID(Metadata!E926,15,1))&gt;=0,FALSE),IFERROR(INT(MID(Metadata!E926,15,1))&lt;=5,FALSE),NOT(MID(Metadata!E926,16,1)=""),IFERROR(INT(MID(Metadata!E926,15,2))&gt;=0,FALSE),IFERROR(INT(MID(Metadata!E926,15,2))&lt;=59,FALSE)), OR(MID(Metadata!E926,17,1)="", AND(AND(MID(Metadata!E926,17,1)=":",IFERROR(INT(MID(Metadata!E926,18,1))&gt;=0,FALSE),IFERROR(INT(MID(Metadata!E926,18,1))&lt;=5,FALSE),NOT(MID(Metadata!E926,19,1)=""),IFERROR(INT(MID(Metadata!E926,18,2))&gt;=0,FALSE),IFERROR(INT(MID(Metadata!E926,18,2))&lt;=59,FALSE)), LEN(Metadata!E926)&lt;=19)))))))))))))</f>
        <v>0</v>
      </c>
      <c r="AS926" t="b">
        <f>IF(Metadata!F926="",FALSE,TRUE)</f>
        <v>0</v>
      </c>
      <c r="AT926" t="b">
        <f>OR(AND(IF(Metadata!G926="",FALSE,TRUE),OR(EXACT(Metadata!G926,"not collected"),EXACT(Metadata!G926,"not provided"))),AND(IF(Metadata!G926="",FALSE,TRUE),OR(EXACT(Metadata!G926,"TRUE"),EXACT(Metadata!G926,"FALSE"))))</f>
        <v>0</v>
      </c>
      <c r="AU926" t="b">
        <f>OR(AND(IF(Metadata!H926="",FALSE,TRUE),OR(EXACT(Metadata!H926,"not collected"),EXACT(Metadata!H926,"not provided"),EXACT(Metadata!H926,"restricted access"))),AND(IF(Metadata!H926="",FALSE,ISNUMBER(VALUE(Metadata!H926))),Metadata!H926&gt;=-413))</f>
        <v>0</v>
      </c>
      <c r="AV926" t="b">
        <f>AND(IF(Metadata!I926="",FALSE,TRUE),EXACT(Metadata!I926,"meters"))</f>
        <v>0</v>
      </c>
      <c r="AW926" t="b">
        <f>AND(IF(Metadata!J926="",FALSE,TRUE),EXACT(Metadata!J926,"free-living"))</f>
        <v>0</v>
      </c>
      <c r="AX926" t="b">
        <f>AND(IF(Metadata!K926="",FALSE,TRUE),OR(EXACT(Metadata!K926,"saline"),EXACT(Metadata!K926,"non-saline")))</f>
        <v>0</v>
      </c>
      <c r="AY926" t="b">
        <f>AND(IF(Metadata!L926="",FALSE,TRUE),OR(EXACT(Metadata!L926,"sub-surface (non-saline)"),EXACT(Metadata!L926,"surface (non-saline)"),EXACT(Metadata!L926,"water (non-saline)"),EXACT(Metadata!L926,"soil (non-saline)"),EXACT(Metadata!L926,"aerosol (non-saline)"),EXACT(Metadata!L926,"sediment (non-saline)"),EXACT(Metadata!L926,"surface (saline)"),EXACT(Metadata!L926,"water (saline)"),EXACT(Metadata!L926,"hypersaline (saline)"),EXACT(Metadata!L926,"aerosol (saline)"),EXACT(Metadata!L926,"sediment (saline)")))</f>
        <v>0</v>
      </c>
      <c r="AZ926" t="b">
        <f>IF(Metadata!M926="",FALSE,TRUE)</f>
        <v>0</v>
      </c>
      <c r="BA926" t="b">
        <f>IF(Metadata!N926="",FALSE,TRUE)</f>
        <v>0</v>
      </c>
      <c r="BB926" t="b">
        <f>IF(Metadata!O926="",FALSE,TRUE)</f>
        <v>0</v>
      </c>
      <c r="BC926" t="b">
        <f>AND(IF(Metadata!P926="",FALSE,TRUE),OR(EXACT(Metadata!P926,"air"),EXACT(Metadata!P926,"microbial mat/biofilm"),EXACT(Metadata!P926,"misc environment"),EXACT(Metadata!P926,"sediment"),EXACT(Metadata!P926,"soil"),EXACT(Metadata!P926,"wastewater/sludge"),EXACT(Metadata!P926,"water")))</f>
        <v>0</v>
      </c>
      <c r="BD926" t="b">
        <f>IF(Metadata!Q926="",FALSE,TRUE)</f>
        <v>0</v>
      </c>
      <c r="BE926" t="b">
        <f>IF(Metadata!R926="",FALSE,TRUE)</f>
        <v>0</v>
      </c>
      <c r="BF926" t="b">
        <f>OR(AND(IF(Metadata!S926="",FALSE,TRUE),OR(EXACT(Metadata!S926,"not collected"),EXACT(Metadata!S926,"not provided"),EXACT(Metadata!S926,"restricted access"))),AND(IF(Metadata!S926="",FALSE,ISNUMBER(VALUE(Metadata!S926))),Metadata!S926&gt;=-90,Metadata!S926&lt;=90))</f>
        <v>0</v>
      </c>
      <c r="BG926" t="b">
        <f>AND(IF(Metadata!T926="",FALSE,TRUE),EXACT(Metadata!T926,"Decimal degrees"))</f>
        <v>0</v>
      </c>
      <c r="BH926" t="b">
        <f>OR(AND(IF(Metadata!U926="",FALSE,TRUE),OR(EXACT(Metadata!U926,"not applicable"),EXACT(Metadata!U926,"not collected"))),IF(Metadata!U926="",FALSE,TRUE))</f>
        <v>0</v>
      </c>
      <c r="BI926" t="b">
        <f>OR(AND(IF(Metadata!V926="",FALSE,TRUE),OR(EXACT(Metadata!V926,"not collected"),EXACT(Metadata!V926,"not provided"),EXACT(Metadata!V926,"restricted access"))),AND(IF(Metadata!V926="",FALSE,ISNUMBER(VALUE(Metadata!V926))),Metadata!V926&gt;=-180,Metadata!V926&lt;=180))</f>
        <v>0</v>
      </c>
      <c r="BJ926" t="b">
        <f>AND(IF(Metadata!W926="",FALSE,TRUE),EXACT(Metadata!W926,"Decimal degrees"))</f>
        <v>0</v>
      </c>
      <c r="BK926" t="b">
        <f>IF(Metadata!X926="",FALSE,TRUE)</f>
        <v>0</v>
      </c>
      <c r="BL926" t="b">
        <f>OR(AND(IF(Metadata!Y926="",FALSE,TRUE),OR(EXACT(Metadata!Y926,"not collected"),EXACT(Metadata!Y926,"not provided"),EXACT(Metadata!Y926,"restricted access"))),AND(IF(Metadata!Y926="",FALSE,TRUE),OR(EXACT(Metadata!Y926,"TRUE"),EXACT(Metadata!Y926,"FALSE"))))</f>
        <v>0</v>
      </c>
      <c r="BM926" t="b">
        <f>OR(AND(IF(Metadata!Z926="",FALSE,TRUE),EXACT(Metadata!Z926,"not applicable")),AND(IF(Metadata!Z926="",FALSE,TRUE),OR(EXACT(Metadata!Z926,"beer"),EXACT(Metadata!Z926,"cheese"),EXACT(Metadata!Z926,"fresh water"),EXACT(Metadata!Z926,"marine sediment"),EXACT(Metadata!Z926,"sea water"),EXACT(Metadata!Z926,"sediment"),EXACT(Metadata!Z926,"soil"),EXACT(Metadata!Z926,"waste water"))))</f>
        <v>0</v>
      </c>
      <c r="BN926" t="b">
        <f>AND(IF(Metadata!AA926="",FALSE,TRUE),EXACT(Metadata!AA926,"metagenome"))</f>
        <v>0</v>
      </c>
      <c r="BO926" t="b">
        <f>AND(IF(Metadata!AB926="",FALSE,TRUE),EXACT(Metadata!AB926,"256318"))</f>
        <v>0</v>
      </c>
      <c r="BP926" t="b">
        <f>IF(Metadata!AC926="",FALSE,TRUE)</f>
        <v>0</v>
      </c>
      <c r="BQ926" t="b">
        <f>IF(Metadata!AD926="",FALSE,TRUE)</f>
        <v>0</v>
      </c>
    </row>
    <row r="927" spans="1:69" x14ac:dyDescent="0.2">
      <c r="A927" s="4" t="e">
        <f ca="1">IF(B927=" "," ",HYPERLINK(CONCATENATE("#metadata!",ADDRESS(INDEX($AJ$2:$AJ$1001,MATCH(ROWS($AH$2:AH927),$AH$2:$AH$1001,0),0),2)),INDEX($AM$2:$AM$1001,MATCH(ROWS($AH$2:AH927),$AH$2:$AH$1001,0),0)))</f>
        <v>#N/A</v>
      </c>
      <c r="B927" s="5" t="e">
        <f ca="1">IF(OR(INDEX($AI$2:$AI$1001,MATCH(ROWS($AH$2:AH927),$AH$2:$AH$1001,0),1)&gt;=100000,INDEX($AO$1005:$BQ$1005,1,MATCH(COLUMNS($AO$1006:AO1006),$AO$1006:$BQ$1006,0))&gt;=100000), " ",IF(INDEX($AO$2:$BQ$1001,MATCH(ROWS($AH$2:AH927),$AH$2:$AH$1001,0),MATCH(COLUMNS($AO$1006:AO1006),$AO$1006:$BQ$1006,0)), HYPERLINK("#",""), HYPERLINK(CONCATENATE("#Metadata!", ADDRESS(INDEX($AJ$2:$AJ$1001,MATCH(ROWS($AH$2:AH927),$AH$2:$AH$1001,0),0), INDEX($AO$1004:$BQ$1004,1,MATCH(COLUMNS($AO$1006:AO1006),$AO$1006:$BQ$1006,0)))),"Fix")))</f>
        <v>#N/A</v>
      </c>
      <c r="C927" s="5" t="e">
        <f ca="1">IF(OR(INDEX($AI$2:$AI$1001,MATCH(ROWS($AH$2:AH927),$AH$2:$AH$1001,0),1)&gt;=100000,INDEX($AO$1005:$BQ$1005,1,MATCH(COLUMNS($AO$1006:AP1006),$AO$1006:$BQ$1006,0))&gt;=100000), " ",IF(INDEX($AO$2:$BQ$1001,MATCH(ROWS($AH$2:AH927),$AH$2:$AH$1001,0),MATCH(COLUMNS($AO$1006:AP1006),$AO$1006:$BQ$1006,0)), HYPERLINK("#",""), HYPERLINK(CONCATENATE("#Metadata!", ADDRESS(INDEX($AJ$2:$AJ$1001,MATCH(ROWS($AH$2:AH927),$AH$2:$AH$1001,0),0), INDEX($AO$1004:$BQ$1004,1,MATCH(COLUMNS($AO$1006:AP1006),$AO$1006:$BQ$1006,0)))),"Fix")))</f>
        <v>#N/A</v>
      </c>
      <c r="D927" s="5" t="e">
        <f ca="1">IF(OR(INDEX($AI$2:$AI$1001,MATCH(ROWS($AH$2:AH927),$AH$2:$AH$1001,0),1)&gt;=100000,INDEX($AO$1005:$BQ$1005,1,MATCH(COLUMNS($AO$1006:AQ1006),$AO$1006:$BQ$1006,0))&gt;=100000), " ",IF(INDEX($AO$2:$BQ$1001,MATCH(ROWS($AH$2:AH927),$AH$2:$AH$1001,0),MATCH(COLUMNS($AO$1006:AQ1006),$AO$1006:$BQ$1006,0)), HYPERLINK("#",""), HYPERLINK(CONCATENATE("#Metadata!", ADDRESS(INDEX($AJ$2:$AJ$1001,MATCH(ROWS($AH$2:AH927),$AH$2:$AH$1001,0),0), INDEX($AO$1004:$BQ$1004,1,MATCH(COLUMNS($AO$1006:AQ1006),$AO$1006:$BQ$1006,0)))),"Fix")))</f>
        <v>#N/A</v>
      </c>
      <c r="E927" s="5" t="e">
        <f ca="1">IF(OR(INDEX($AI$2:$AI$1001,MATCH(ROWS($AH$2:AH927),$AH$2:$AH$1001,0),1)&gt;=100000,INDEX($AO$1005:$BQ$1005,1,MATCH(COLUMNS($AO$1006:AR1006),$AO$1006:$BQ$1006,0))&gt;=100000), " ",IF(INDEX($AO$2:$BQ$1001,MATCH(ROWS($AH$2:AH927),$AH$2:$AH$1001,0),MATCH(COLUMNS($AO$1006:AR1006),$AO$1006:$BQ$1006,0)), HYPERLINK("#",""), HYPERLINK(CONCATENATE("#Metadata!", ADDRESS(INDEX($AJ$2:$AJ$1001,MATCH(ROWS($AH$2:AH927),$AH$2:$AH$1001,0),0), INDEX($AO$1004:$BQ$1004,1,MATCH(COLUMNS($AO$1006:AR1006),$AO$1006:$BQ$1006,0)))),"Fix")))</f>
        <v>#N/A</v>
      </c>
      <c r="F927" s="5" t="e">
        <f ca="1">IF(OR(INDEX($AI$2:$AI$1001,MATCH(ROWS($AH$2:AH927),$AH$2:$AH$1001,0),1)&gt;=100000,INDEX($AO$1005:$BQ$1005,1,MATCH(COLUMNS($AO$1006:AS1006),$AO$1006:$BQ$1006,0))&gt;=100000), " ",IF(INDEX($AO$2:$BQ$1001,MATCH(ROWS($AH$2:AH927),$AH$2:$AH$1001,0),MATCH(COLUMNS($AO$1006:AS1006),$AO$1006:$BQ$1006,0)), HYPERLINK("#",""), HYPERLINK(CONCATENATE("#Metadata!", ADDRESS(INDEX($AJ$2:$AJ$1001,MATCH(ROWS($AH$2:AH927),$AH$2:$AH$1001,0),0), INDEX($AO$1004:$BQ$1004,1,MATCH(COLUMNS($AO$1006:AS1006),$AO$1006:$BQ$1006,0)))),"Fix")))</f>
        <v>#N/A</v>
      </c>
      <c r="G927" s="5" t="e">
        <f ca="1">IF(OR(INDEX($AI$2:$AI$1001,MATCH(ROWS($AH$2:AH927),$AH$2:$AH$1001,0),1)&gt;=100000,INDEX($AO$1005:$BQ$1005,1,MATCH(COLUMNS($AO$1006:AT1006),$AO$1006:$BQ$1006,0))&gt;=100000), " ",IF(INDEX($AO$2:$BQ$1001,MATCH(ROWS($AH$2:AH927),$AH$2:$AH$1001,0),MATCH(COLUMNS($AO$1006:AT1006),$AO$1006:$BQ$1006,0)), HYPERLINK("#",""), HYPERLINK(CONCATENATE("#Metadata!", ADDRESS(INDEX($AJ$2:$AJ$1001,MATCH(ROWS($AH$2:AH927),$AH$2:$AH$1001,0),0), INDEX($AO$1004:$BQ$1004,1,MATCH(COLUMNS($AO$1006:AT1006),$AO$1006:$BQ$1006,0)))),"Fix")))</f>
        <v>#N/A</v>
      </c>
      <c r="H927" s="5" t="e">
        <f ca="1">IF(OR(INDEX($AI$2:$AI$1001,MATCH(ROWS($AH$2:AH927),$AH$2:$AH$1001,0),1)&gt;=100000,INDEX($AO$1005:$BQ$1005,1,MATCH(COLUMNS($AO$1006:AU1006),$AO$1006:$BQ$1006,0))&gt;=100000), " ",IF(INDEX($AO$2:$BQ$1001,MATCH(ROWS($AH$2:AH927),$AH$2:$AH$1001,0),MATCH(COLUMNS($AO$1006:AU1006),$AO$1006:$BQ$1006,0)), HYPERLINK("#",""), HYPERLINK(CONCATENATE("#Metadata!", ADDRESS(INDEX($AJ$2:$AJ$1001,MATCH(ROWS($AH$2:AH927),$AH$2:$AH$1001,0),0), INDEX($AO$1004:$BQ$1004,1,MATCH(COLUMNS($AO$1006:AU1006),$AO$1006:$BQ$1006,0)))),"Fix")))</f>
        <v>#N/A</v>
      </c>
      <c r="I927" s="5" t="e">
        <f ca="1">IF(OR(INDEX($AI$2:$AI$1001,MATCH(ROWS($AH$2:AH927),$AH$2:$AH$1001,0),1)&gt;=100000,INDEX($AO$1005:$BQ$1005,1,MATCH(COLUMNS($AO$1006:AV1006),$AO$1006:$BQ$1006,0))&gt;=100000), " ",IF(INDEX($AO$2:$BQ$1001,MATCH(ROWS($AH$2:AH927),$AH$2:$AH$1001,0),MATCH(COLUMNS($AO$1006:AV1006),$AO$1006:$BQ$1006,0)), HYPERLINK("#",""), HYPERLINK(CONCATENATE("#Metadata!", ADDRESS(INDEX($AJ$2:$AJ$1001,MATCH(ROWS($AH$2:AH927),$AH$2:$AH$1001,0),0), INDEX($AO$1004:$BQ$1004,1,MATCH(COLUMNS($AO$1006:AV1006),$AO$1006:$BQ$1006,0)))),"Fix")))</f>
        <v>#N/A</v>
      </c>
      <c r="J927" s="5" t="e">
        <f ca="1">IF(OR(INDEX($AI$2:$AI$1001,MATCH(ROWS($AH$2:AH927),$AH$2:$AH$1001,0),1)&gt;=100000,INDEX($AO$1005:$BQ$1005,1,MATCH(COLUMNS($AO$1006:AW1006),$AO$1006:$BQ$1006,0))&gt;=100000), " ",IF(INDEX($AO$2:$BQ$1001,MATCH(ROWS($AH$2:AH927),$AH$2:$AH$1001,0),MATCH(COLUMNS($AO$1006:AW1006),$AO$1006:$BQ$1006,0)), HYPERLINK("#",""), HYPERLINK(CONCATENATE("#Metadata!", ADDRESS(INDEX($AJ$2:$AJ$1001,MATCH(ROWS($AH$2:AH927),$AH$2:$AH$1001,0),0), INDEX($AO$1004:$BQ$1004,1,MATCH(COLUMNS($AO$1006:AW1006),$AO$1006:$BQ$1006,0)))),"Fix")))</f>
        <v>#N/A</v>
      </c>
      <c r="K927" s="5" t="e">
        <f ca="1">IF(OR(INDEX($AI$2:$AI$1001,MATCH(ROWS($AH$2:AH927),$AH$2:$AH$1001,0),1)&gt;=100000,INDEX($AO$1005:$BQ$1005,1,MATCH(COLUMNS($AO$1006:AX1006),$AO$1006:$BQ$1006,0))&gt;=100000), " ",IF(INDEX($AO$2:$BQ$1001,MATCH(ROWS($AH$2:AH927),$AH$2:$AH$1001,0),MATCH(COLUMNS($AO$1006:AX1006),$AO$1006:$BQ$1006,0)), HYPERLINK("#",""), HYPERLINK(CONCATENATE("#Metadata!", ADDRESS(INDEX($AJ$2:$AJ$1001,MATCH(ROWS($AH$2:AH927),$AH$2:$AH$1001,0),0), INDEX($AO$1004:$BQ$1004,1,MATCH(COLUMNS($AO$1006:AX1006),$AO$1006:$BQ$1006,0)))),"Fix")))</f>
        <v>#N/A</v>
      </c>
      <c r="L927" s="5" t="e">
        <f ca="1">IF(OR(INDEX($AI$2:$AI$1001,MATCH(ROWS($AH$2:AH927),$AH$2:$AH$1001,0),1)&gt;=100000,INDEX($AO$1005:$BQ$1005,1,MATCH(COLUMNS($AO$1006:AY1006),$AO$1006:$BQ$1006,0))&gt;=100000), " ",IF(INDEX($AO$2:$BQ$1001,MATCH(ROWS($AH$2:AH927),$AH$2:$AH$1001,0),MATCH(COLUMNS($AO$1006:AY1006),$AO$1006:$BQ$1006,0)), HYPERLINK("#",""), HYPERLINK(CONCATENATE("#Metadata!", ADDRESS(INDEX($AJ$2:$AJ$1001,MATCH(ROWS($AH$2:AH927),$AH$2:$AH$1001,0),0), INDEX($AO$1004:$BQ$1004,1,MATCH(COLUMNS($AO$1006:AY1006),$AO$1006:$BQ$1006,0)))),"Fix")))</f>
        <v>#N/A</v>
      </c>
      <c r="M927" s="5" t="e">
        <f ca="1">IF(OR(INDEX($AI$2:$AI$1001,MATCH(ROWS($AH$2:AH927),$AH$2:$AH$1001,0),1)&gt;=100000,INDEX($AO$1005:$BQ$1005,1,MATCH(COLUMNS($AO$1006:AZ1006),$AO$1006:$BQ$1006,0))&gt;=100000), " ",IF(INDEX($AO$2:$BQ$1001,MATCH(ROWS($AH$2:AH927),$AH$2:$AH$1001,0),MATCH(COLUMNS($AO$1006:AZ1006),$AO$1006:$BQ$1006,0)), HYPERLINK("#",""), HYPERLINK(CONCATENATE("#Metadata!", ADDRESS(INDEX($AJ$2:$AJ$1001,MATCH(ROWS($AH$2:AH927),$AH$2:$AH$1001,0),0), INDEX($AO$1004:$BQ$1004,1,MATCH(COLUMNS($AO$1006:AZ1006),$AO$1006:$BQ$1006,0)))),"Fix")))</f>
        <v>#N/A</v>
      </c>
      <c r="N927" s="5" t="e">
        <f ca="1">IF(OR(INDEX($AI$2:$AI$1001,MATCH(ROWS($AH$2:AH927),$AH$2:$AH$1001,0),1)&gt;=100000,INDEX($AO$1005:$BQ$1005,1,MATCH(COLUMNS($AO$1006:BA1006),$AO$1006:$BQ$1006,0))&gt;=100000), " ",IF(INDEX($AO$2:$BQ$1001,MATCH(ROWS($AH$2:AH927),$AH$2:$AH$1001,0),MATCH(COLUMNS($AO$1006:BA1006),$AO$1006:$BQ$1006,0)), HYPERLINK("#",""), HYPERLINK(CONCATENATE("#Metadata!", ADDRESS(INDEX($AJ$2:$AJ$1001,MATCH(ROWS($AH$2:AH927),$AH$2:$AH$1001,0),0), INDEX($AO$1004:$BQ$1004,1,MATCH(COLUMNS($AO$1006:BA1006),$AO$1006:$BQ$1006,0)))),"Fix")))</f>
        <v>#N/A</v>
      </c>
      <c r="O927" s="5" t="e">
        <f ca="1">IF(OR(INDEX($AI$2:$AI$1001,MATCH(ROWS($AH$2:AH927),$AH$2:$AH$1001,0),1)&gt;=100000,INDEX($AO$1005:$BQ$1005,1,MATCH(COLUMNS($AO$1006:BB1006),$AO$1006:$BQ$1006,0))&gt;=100000), " ",IF(INDEX($AO$2:$BQ$1001,MATCH(ROWS($AH$2:AH927),$AH$2:$AH$1001,0),MATCH(COLUMNS($AO$1006:BB1006),$AO$1006:$BQ$1006,0)), HYPERLINK("#",""), HYPERLINK(CONCATENATE("#Metadata!", ADDRESS(INDEX($AJ$2:$AJ$1001,MATCH(ROWS($AH$2:AH927),$AH$2:$AH$1001,0),0), INDEX($AO$1004:$BQ$1004,1,MATCH(COLUMNS($AO$1006:BB1006),$AO$1006:$BQ$1006,0)))),"Fix")))</f>
        <v>#N/A</v>
      </c>
      <c r="P927" s="5" t="e">
        <f ca="1">IF(OR(INDEX($AI$2:$AI$1001,MATCH(ROWS($AH$2:AH927),$AH$2:$AH$1001,0),1)&gt;=100000,INDEX($AO$1005:$BQ$1005,1,MATCH(COLUMNS($AO$1006:BC1006),$AO$1006:$BQ$1006,0))&gt;=100000), " ",IF(INDEX($AO$2:$BQ$1001,MATCH(ROWS($AH$2:AH927),$AH$2:$AH$1001,0),MATCH(COLUMNS($AO$1006:BC1006),$AO$1006:$BQ$1006,0)), HYPERLINK("#",""), HYPERLINK(CONCATENATE("#Metadata!", ADDRESS(INDEX($AJ$2:$AJ$1001,MATCH(ROWS($AH$2:AH927),$AH$2:$AH$1001,0),0), INDEX($AO$1004:$BQ$1004,1,MATCH(COLUMNS($AO$1006:BC1006),$AO$1006:$BQ$1006,0)))),"Fix")))</f>
        <v>#N/A</v>
      </c>
      <c r="Q927" s="5" t="e">
        <f ca="1">IF(OR(INDEX($AI$2:$AI$1001,MATCH(ROWS($AH$2:AH927),$AH$2:$AH$1001,0),1)&gt;=100000,INDEX($AO$1005:$BQ$1005,1,MATCH(COLUMNS($AO$1006:BD1006),$AO$1006:$BQ$1006,0))&gt;=100000), " ",IF(INDEX($AO$2:$BQ$1001,MATCH(ROWS($AH$2:AH927),$AH$2:$AH$1001,0),MATCH(COLUMNS($AO$1006:BD1006),$AO$1006:$BQ$1006,0)), HYPERLINK("#",""), HYPERLINK(CONCATENATE("#Metadata!", ADDRESS(INDEX($AJ$2:$AJ$1001,MATCH(ROWS($AH$2:AH927),$AH$2:$AH$1001,0),0), INDEX($AO$1004:$BQ$1004,1,MATCH(COLUMNS($AO$1006:BD1006),$AO$1006:$BQ$1006,0)))),"Fix")))</f>
        <v>#N/A</v>
      </c>
      <c r="R927" s="5" t="e">
        <f ca="1">IF(OR(INDEX($AI$2:$AI$1001,MATCH(ROWS($AH$2:AH927),$AH$2:$AH$1001,0),1)&gt;=100000,INDEX($AO$1005:$BQ$1005,1,MATCH(COLUMNS($AO$1006:BE1006),$AO$1006:$BQ$1006,0))&gt;=100000), " ",IF(INDEX($AO$2:$BQ$1001,MATCH(ROWS($AH$2:AH927),$AH$2:$AH$1001,0),MATCH(COLUMNS($AO$1006:BE1006),$AO$1006:$BQ$1006,0)), HYPERLINK("#",""), HYPERLINK(CONCATENATE("#Metadata!", ADDRESS(INDEX($AJ$2:$AJ$1001,MATCH(ROWS($AH$2:AH927),$AH$2:$AH$1001,0),0), INDEX($AO$1004:$BQ$1004,1,MATCH(COLUMNS($AO$1006:BE1006),$AO$1006:$BQ$1006,0)))),"Fix")))</f>
        <v>#N/A</v>
      </c>
      <c r="S927" s="5" t="e">
        <f ca="1">IF(OR(INDEX($AI$2:$AI$1001,MATCH(ROWS($AH$2:AH927),$AH$2:$AH$1001,0),1)&gt;=100000,INDEX($AO$1005:$BQ$1005,1,MATCH(COLUMNS($AO$1006:BF1006),$AO$1006:$BQ$1006,0))&gt;=100000), " ",IF(INDEX($AO$2:$BQ$1001,MATCH(ROWS($AH$2:AH927),$AH$2:$AH$1001,0),MATCH(COLUMNS($AO$1006:BF1006),$AO$1006:$BQ$1006,0)), HYPERLINK("#",""), HYPERLINK(CONCATENATE("#Metadata!", ADDRESS(INDEX($AJ$2:$AJ$1001,MATCH(ROWS($AH$2:AH927),$AH$2:$AH$1001,0),0), INDEX($AO$1004:$BQ$1004,1,MATCH(COLUMNS($AO$1006:BF1006),$AO$1006:$BQ$1006,0)))),"Fix")))</f>
        <v>#N/A</v>
      </c>
      <c r="T927" s="5" t="e">
        <f ca="1">IF(OR(INDEX($AI$2:$AI$1001,MATCH(ROWS($AH$2:AH927),$AH$2:$AH$1001,0),1)&gt;=100000,INDEX($AO$1005:$BQ$1005,1,MATCH(COLUMNS($AO$1006:BG1006),$AO$1006:$BQ$1006,0))&gt;=100000), " ",IF(INDEX($AO$2:$BQ$1001,MATCH(ROWS($AH$2:AH927),$AH$2:$AH$1001,0),MATCH(COLUMNS($AO$1006:BG1006),$AO$1006:$BQ$1006,0)), HYPERLINK("#",""), HYPERLINK(CONCATENATE("#Metadata!", ADDRESS(INDEX($AJ$2:$AJ$1001,MATCH(ROWS($AH$2:AH927),$AH$2:$AH$1001,0),0), INDEX($AO$1004:$BQ$1004,1,MATCH(COLUMNS($AO$1006:BG1006),$AO$1006:$BQ$1006,0)))),"Fix")))</f>
        <v>#N/A</v>
      </c>
      <c r="U927" s="5" t="e">
        <f ca="1">IF(OR(INDEX($AI$2:$AI$1001,MATCH(ROWS($AH$2:AH927),$AH$2:$AH$1001,0),1)&gt;=100000,INDEX($AO$1005:$BQ$1005,1,MATCH(COLUMNS($AO$1006:BH1006),$AO$1006:$BQ$1006,0))&gt;=100000), " ",IF(INDEX($AO$2:$BQ$1001,MATCH(ROWS($AH$2:AH927),$AH$2:$AH$1001,0),MATCH(COLUMNS($AO$1006:BH1006),$AO$1006:$BQ$1006,0)), HYPERLINK("#",""), HYPERLINK(CONCATENATE("#Metadata!", ADDRESS(INDEX($AJ$2:$AJ$1001,MATCH(ROWS($AH$2:AH927),$AH$2:$AH$1001,0),0), INDEX($AO$1004:$BQ$1004,1,MATCH(COLUMNS($AO$1006:BH1006),$AO$1006:$BQ$1006,0)))),"Fix")))</f>
        <v>#N/A</v>
      </c>
      <c r="V927" s="5" t="e">
        <f ca="1">IF(OR(INDEX($AI$2:$AI$1001,MATCH(ROWS($AH$2:AH927),$AH$2:$AH$1001,0),1)&gt;=100000,INDEX($AO$1005:$BQ$1005,1,MATCH(COLUMNS($AO$1006:BI1006),$AO$1006:$BQ$1006,0))&gt;=100000), " ",IF(INDEX($AO$2:$BQ$1001,MATCH(ROWS($AH$2:AH927),$AH$2:$AH$1001,0),MATCH(COLUMNS($AO$1006:BI1006),$AO$1006:$BQ$1006,0)), HYPERLINK("#",""), HYPERLINK(CONCATENATE("#Metadata!", ADDRESS(INDEX($AJ$2:$AJ$1001,MATCH(ROWS($AH$2:AH927),$AH$2:$AH$1001,0),0), INDEX($AO$1004:$BQ$1004,1,MATCH(COLUMNS($AO$1006:BI1006),$AO$1006:$BQ$1006,0)))),"Fix")))</f>
        <v>#N/A</v>
      </c>
      <c r="W927" s="5" t="e">
        <f ca="1">IF(OR(INDEX($AI$2:$AI$1001,MATCH(ROWS($AH$2:AH927),$AH$2:$AH$1001,0),1)&gt;=100000,INDEX($AO$1005:$BQ$1005,1,MATCH(COLUMNS($AO$1006:BJ1006),$AO$1006:$BQ$1006,0))&gt;=100000), " ",IF(INDEX($AO$2:$BQ$1001,MATCH(ROWS($AH$2:AH927),$AH$2:$AH$1001,0),MATCH(COLUMNS($AO$1006:BJ1006),$AO$1006:$BQ$1006,0)), HYPERLINK("#",""), HYPERLINK(CONCATENATE("#Metadata!", ADDRESS(INDEX($AJ$2:$AJ$1001,MATCH(ROWS($AH$2:AH927),$AH$2:$AH$1001,0),0), INDEX($AO$1004:$BQ$1004,1,MATCH(COLUMNS($AO$1006:BJ1006),$AO$1006:$BQ$1006,0)))),"Fix")))</f>
        <v>#N/A</v>
      </c>
      <c r="X927" s="5" t="e">
        <f ca="1">IF(OR(INDEX($AI$2:$AI$1001,MATCH(ROWS($AH$2:AH927),$AH$2:$AH$1001,0),1)&gt;=100000,INDEX($AO$1005:$BQ$1005,1,MATCH(COLUMNS($AO$1006:BK1006),$AO$1006:$BQ$1006,0))&gt;=100000), " ",IF(INDEX($AO$2:$BQ$1001,MATCH(ROWS($AH$2:AH927),$AH$2:$AH$1001,0),MATCH(COLUMNS($AO$1006:BK1006),$AO$1006:$BQ$1006,0)), HYPERLINK("#",""), HYPERLINK(CONCATENATE("#Metadata!", ADDRESS(INDEX($AJ$2:$AJ$1001,MATCH(ROWS($AH$2:AH927),$AH$2:$AH$1001,0),0), INDEX($AO$1004:$BQ$1004,1,MATCH(COLUMNS($AO$1006:BK1006),$AO$1006:$BQ$1006,0)))),"Fix")))</f>
        <v>#N/A</v>
      </c>
      <c r="Y927" s="5" t="e">
        <f ca="1">IF(OR(INDEX($AI$2:$AI$1001,MATCH(ROWS($AH$2:AH927),$AH$2:$AH$1001,0),1)&gt;=100000,INDEX($AO$1005:$BQ$1005,1,MATCH(COLUMNS($AO$1006:BL1006),$AO$1006:$BQ$1006,0))&gt;=100000), " ",IF(INDEX($AO$2:$BQ$1001,MATCH(ROWS($AH$2:AH927),$AH$2:$AH$1001,0),MATCH(COLUMNS($AO$1006:BL1006),$AO$1006:$BQ$1006,0)), HYPERLINK("#",""), HYPERLINK(CONCATENATE("#Metadata!", ADDRESS(INDEX($AJ$2:$AJ$1001,MATCH(ROWS($AH$2:AH927),$AH$2:$AH$1001,0),0), INDEX($AO$1004:$BQ$1004,1,MATCH(COLUMNS($AO$1006:BL1006),$AO$1006:$BQ$1006,0)))),"Fix")))</f>
        <v>#N/A</v>
      </c>
      <c r="Z927" s="5" t="e">
        <f ca="1">IF(OR(INDEX($AI$2:$AI$1001,MATCH(ROWS($AH$2:AH927),$AH$2:$AH$1001,0),1)&gt;=100000,INDEX($AO$1005:$BQ$1005,1,MATCH(COLUMNS($AO$1006:BM1006),$AO$1006:$BQ$1006,0))&gt;=100000), " ",IF(INDEX($AO$2:$BQ$1001,MATCH(ROWS($AH$2:AH927),$AH$2:$AH$1001,0),MATCH(COLUMNS($AO$1006:BM1006),$AO$1006:$BQ$1006,0)), HYPERLINK("#",""), HYPERLINK(CONCATENATE("#Metadata!", ADDRESS(INDEX($AJ$2:$AJ$1001,MATCH(ROWS($AH$2:AH927),$AH$2:$AH$1001,0),0), INDEX($AO$1004:$BQ$1004,1,MATCH(COLUMNS($AO$1006:BM1006),$AO$1006:$BQ$1006,0)))),"Fix")))</f>
        <v>#N/A</v>
      </c>
      <c r="AA927" s="5" t="e">
        <f ca="1">IF(OR(INDEX($AI$2:$AI$1001,MATCH(ROWS($AH$2:AH927),$AH$2:$AH$1001,0),1)&gt;=100000,INDEX($AO$1005:$BQ$1005,1,MATCH(COLUMNS($AO$1006:BN1006),$AO$1006:$BQ$1006,0))&gt;=100000), " ",IF(INDEX($AO$2:$BQ$1001,MATCH(ROWS($AH$2:AH927),$AH$2:$AH$1001,0),MATCH(COLUMNS($AO$1006:BN1006),$AO$1006:$BQ$1006,0)), HYPERLINK("#",""), HYPERLINK(CONCATENATE("#Metadata!", ADDRESS(INDEX($AJ$2:$AJ$1001,MATCH(ROWS($AH$2:AH927),$AH$2:$AH$1001,0),0), INDEX($AO$1004:$BQ$1004,1,MATCH(COLUMNS($AO$1006:BN1006),$AO$1006:$BQ$1006,0)))),"Fix")))</f>
        <v>#N/A</v>
      </c>
      <c r="AB927" s="5" t="e">
        <f ca="1">IF(OR(INDEX($AI$2:$AI$1001,MATCH(ROWS($AH$2:AH927),$AH$2:$AH$1001,0),1)&gt;=100000,INDEX($AO$1005:$BQ$1005,1,MATCH(COLUMNS($AO$1006:BO1006),$AO$1006:$BQ$1006,0))&gt;=100000), " ",IF(INDEX($AO$2:$BQ$1001,MATCH(ROWS($AH$2:AH927),$AH$2:$AH$1001,0),MATCH(COLUMNS($AO$1006:BO1006),$AO$1006:$BQ$1006,0)), HYPERLINK("#",""), HYPERLINK(CONCATENATE("#Metadata!", ADDRESS(INDEX($AJ$2:$AJ$1001,MATCH(ROWS($AH$2:AH927),$AH$2:$AH$1001,0),0), INDEX($AO$1004:$BQ$1004,1,MATCH(COLUMNS($AO$1006:BO1006),$AO$1006:$BQ$1006,0)))),"Fix")))</f>
        <v>#N/A</v>
      </c>
      <c r="AC927" s="5" t="e">
        <f ca="1">IF(OR(INDEX($AI$2:$AI$1001,MATCH(ROWS($AH$2:AH927),$AH$2:$AH$1001,0),1)&gt;=100000,INDEX($AO$1005:$BQ$1005,1,MATCH(COLUMNS($AO$1006:BP1006),$AO$1006:$BQ$1006,0))&gt;=100000), " ",IF(INDEX($AO$2:$BQ$1001,MATCH(ROWS($AH$2:AH927),$AH$2:$AH$1001,0),MATCH(COLUMNS($AO$1006:BP1006),$AO$1006:$BQ$1006,0)), HYPERLINK("#",""), HYPERLINK(CONCATENATE("#Metadata!", ADDRESS(INDEX($AJ$2:$AJ$1001,MATCH(ROWS($AH$2:AH927),$AH$2:$AH$1001,0),0), INDEX($AO$1004:$BQ$1004,1,MATCH(COLUMNS($AO$1006:BP1006),$AO$1006:$BQ$1006,0)))),"Fix")))</f>
        <v>#N/A</v>
      </c>
      <c r="AD927" s="5" t="e">
        <f ca="1">IF(OR(INDEX($AI$2:$AI$1001,MATCH(ROWS($AH$2:AH927),$AH$2:$AH$1001,0),1)&gt;=100000,INDEX($AO$1005:$BQ$1005,1,MATCH(COLUMNS($AO$1006:BQ1006),$AO$1006:$BQ$1006,0))&gt;=100000), " ",IF(INDEX($AO$2:$BQ$1001,MATCH(ROWS($AH$2:AH927),$AH$2:$AH$1001,0),MATCH(COLUMNS($AO$1006:BQ1006),$AO$1006:$BQ$1006,0)), HYPERLINK("#",""), HYPERLINK(CONCATENATE("#Metadata!", ADDRESS(INDEX($AJ$2:$AJ$1001,MATCH(ROWS($AH$2:AH927),$AH$2:$AH$1001,0),0), INDEX($AO$1004:$BQ$1004,1,MATCH(COLUMNS($AO$1006:BQ1006),$AO$1006:$BQ$1006,0)))),"Fix")))</f>
        <v>#REF!</v>
      </c>
      <c r="AH927">
        <f ca="1"/>
        <v>924</v>
      </c>
      <c r="AI927">
        <v>100927</v>
      </c>
      <c r="AJ927">
        <v>927</v>
      </c>
      <c r="AK927" t="b">
        <f t="shared" si="14"/>
        <v>1</v>
      </c>
      <c r="AL927" t="b">
        <f>COUNTBLANK(Metadata!B927:AD927)=COLUMNS(Metadata!B927:AD927)</f>
        <v>1</v>
      </c>
      <c r="AM927" t="str">
        <v/>
      </c>
      <c r="AO927" t="b">
        <f ca="1">AND(IF(Metadata!B927="",FALSE,TRUE),COUNTIF(Metadata!B:B, Metadata!B927) = 1,NOT(ISERROR(SUMPRODUCT(SEARCH(MID(Metadata!B927,ROW(INDIRECT("1:"&amp;LEN(Metadata!B927))), 1),"0123456789abcdefghijklmnopqrstuvwxyzABCDEFGHIJKLMNOPQRSTUVWXYZ.")))))</f>
        <v>0</v>
      </c>
      <c r="AP927" t="b">
        <f>IF(Metadata!C927="",FALSE,TRUE)</f>
        <v>0</v>
      </c>
      <c r="AQ927" t="b">
        <f>IF(Metadata!D927="",FALSE,TRUE)</f>
        <v>0</v>
      </c>
      <c r="AR927" t="b">
        <f ca="1">OR(AND(IF(Metadata!E927="",FALSE,TRUE),OR(EXACT(Metadata!E927,"not collected"),EXACT(Metadata!E927,"not provided"),EXACT(Metadata!E927,"restricted access"))),AND(IF(Metadata!E927="",FALSE,TRUE),AND(AND(IFERROR(INT(LEFT(Metadata!E927,4))&gt;1900,FALSE),IFERROR(INT(LEFT(Metadata!E927,4))&lt;=YEAR(NOW()),FALSE)), OR(MID(Metadata!E927,5,1)="", AND(AND(MID(Metadata!E927,5,1)="-",IFERROR(INT(MID(Metadata!E927,6,1))&gt;=0,FALSE),IFERROR(INT(MID(Metadata!E927,6,1))&lt;=1,FALSE),NOT(MID(Metadata!E927,7,1)=""),IFERROR(INT(MID(Metadata!E927,6,2))&gt;=1,FALSE),IFERROR(INT(MID(Metadata!E927,6,2))&lt;=12,FALSE)), OR(MID(Metadata!E927,8,1)="", AND(AND(MID(Metadata!E927,8,1)="-",IFERROR(INT(MID(Metadata!E927,9,1))&gt;=0,FALSE),IFERROR(INT(MID(Metadata!E927,9,1))&lt;=3,FALSE),NOT(MID(Metadata!E927,10,1)=""),IFERROR(INT(MID(Metadata!E927,9,2))&gt;=1,FALSE),IFERROR(INT(MID(Metadata!E927,9,2))&lt;=31,FALSE)), OR(MID(Metadata!E927,11,1)="", AND(AND(MID(Metadata!E927,11,1)=" ",IFERROR(INT(MID(Metadata!E927,12,1))&gt;=0,FALSE),IFERROR(INT(MID(Metadata!E927,12,1))&lt;=2,FALSE),NOT(MID(Metadata!E927,13,1)=""),IFERROR(INT(MID(Metadata!E927,12,2))&gt;=0,FALSE),IFERROR(INT(MID(Metadata!E927,12,2))&lt;=23,FALSE)), OR(MID(Metadata!E927,14,1)="", AND(AND(MID(Metadata!E927,14,1)=":",IFERROR(INT(MID(Metadata!E927,15,1))&gt;=0,FALSE),IFERROR(INT(MID(Metadata!E927,15,1))&lt;=5,FALSE),NOT(MID(Metadata!E927,16,1)=""),IFERROR(INT(MID(Metadata!E927,15,2))&gt;=0,FALSE),IFERROR(INT(MID(Metadata!E927,15,2))&lt;=59,FALSE)), OR(MID(Metadata!E927,17,1)="", AND(AND(MID(Metadata!E927,17,1)=":",IFERROR(INT(MID(Metadata!E927,18,1))&gt;=0,FALSE),IFERROR(INT(MID(Metadata!E927,18,1))&lt;=5,FALSE),NOT(MID(Metadata!E927,19,1)=""),IFERROR(INT(MID(Metadata!E927,18,2))&gt;=0,FALSE),IFERROR(INT(MID(Metadata!E927,18,2))&lt;=59,FALSE)), LEN(Metadata!E927)&lt;=19)))))))))))))</f>
        <v>0</v>
      </c>
      <c r="AS927" t="b">
        <f>IF(Metadata!F927="",FALSE,TRUE)</f>
        <v>0</v>
      </c>
      <c r="AT927" t="b">
        <f>OR(AND(IF(Metadata!G927="",FALSE,TRUE),OR(EXACT(Metadata!G927,"not collected"),EXACT(Metadata!G927,"not provided"))),AND(IF(Metadata!G927="",FALSE,TRUE),OR(EXACT(Metadata!G927,"TRUE"),EXACT(Metadata!G927,"FALSE"))))</f>
        <v>0</v>
      </c>
      <c r="AU927" t="b">
        <f>OR(AND(IF(Metadata!H927="",FALSE,TRUE),OR(EXACT(Metadata!H927,"not collected"),EXACT(Metadata!H927,"not provided"),EXACT(Metadata!H927,"restricted access"))),AND(IF(Metadata!H927="",FALSE,ISNUMBER(VALUE(Metadata!H927))),Metadata!H927&gt;=-413))</f>
        <v>0</v>
      </c>
      <c r="AV927" t="b">
        <f>AND(IF(Metadata!I927="",FALSE,TRUE),EXACT(Metadata!I927,"meters"))</f>
        <v>0</v>
      </c>
      <c r="AW927" t="b">
        <f>AND(IF(Metadata!J927="",FALSE,TRUE),EXACT(Metadata!J927,"free-living"))</f>
        <v>0</v>
      </c>
      <c r="AX927" t="b">
        <f>AND(IF(Metadata!K927="",FALSE,TRUE),OR(EXACT(Metadata!K927,"saline"),EXACT(Metadata!K927,"non-saline")))</f>
        <v>0</v>
      </c>
      <c r="AY927" t="b">
        <f>AND(IF(Metadata!L927="",FALSE,TRUE),OR(EXACT(Metadata!L927,"sub-surface (non-saline)"),EXACT(Metadata!L927,"surface (non-saline)"),EXACT(Metadata!L927,"water (non-saline)"),EXACT(Metadata!L927,"soil (non-saline)"),EXACT(Metadata!L927,"aerosol (non-saline)"),EXACT(Metadata!L927,"sediment (non-saline)"),EXACT(Metadata!L927,"surface (saline)"),EXACT(Metadata!L927,"water (saline)"),EXACT(Metadata!L927,"hypersaline (saline)"),EXACT(Metadata!L927,"aerosol (saline)"),EXACT(Metadata!L927,"sediment (saline)")))</f>
        <v>0</v>
      </c>
      <c r="AZ927" t="b">
        <f>IF(Metadata!M927="",FALSE,TRUE)</f>
        <v>0</v>
      </c>
      <c r="BA927" t="b">
        <f>IF(Metadata!N927="",FALSE,TRUE)</f>
        <v>0</v>
      </c>
      <c r="BB927" t="b">
        <f>IF(Metadata!O927="",FALSE,TRUE)</f>
        <v>0</v>
      </c>
      <c r="BC927" t="b">
        <f>AND(IF(Metadata!P927="",FALSE,TRUE),OR(EXACT(Metadata!P927,"air"),EXACT(Metadata!P927,"microbial mat/biofilm"),EXACT(Metadata!P927,"misc environment"),EXACT(Metadata!P927,"sediment"),EXACT(Metadata!P927,"soil"),EXACT(Metadata!P927,"wastewater/sludge"),EXACT(Metadata!P927,"water")))</f>
        <v>0</v>
      </c>
      <c r="BD927" t="b">
        <f>IF(Metadata!Q927="",FALSE,TRUE)</f>
        <v>0</v>
      </c>
      <c r="BE927" t="b">
        <f>IF(Metadata!R927="",FALSE,TRUE)</f>
        <v>0</v>
      </c>
      <c r="BF927" t="b">
        <f>OR(AND(IF(Metadata!S927="",FALSE,TRUE),OR(EXACT(Metadata!S927,"not collected"),EXACT(Metadata!S927,"not provided"),EXACT(Metadata!S927,"restricted access"))),AND(IF(Metadata!S927="",FALSE,ISNUMBER(VALUE(Metadata!S927))),Metadata!S927&gt;=-90,Metadata!S927&lt;=90))</f>
        <v>0</v>
      </c>
      <c r="BG927" t="b">
        <f>AND(IF(Metadata!T927="",FALSE,TRUE),EXACT(Metadata!T927,"Decimal degrees"))</f>
        <v>0</v>
      </c>
      <c r="BH927" t="b">
        <f>OR(AND(IF(Metadata!U927="",FALSE,TRUE),OR(EXACT(Metadata!U927,"not applicable"),EXACT(Metadata!U927,"not collected"))),IF(Metadata!U927="",FALSE,TRUE))</f>
        <v>0</v>
      </c>
      <c r="BI927" t="b">
        <f>OR(AND(IF(Metadata!V927="",FALSE,TRUE),OR(EXACT(Metadata!V927,"not collected"),EXACT(Metadata!V927,"not provided"),EXACT(Metadata!V927,"restricted access"))),AND(IF(Metadata!V927="",FALSE,ISNUMBER(VALUE(Metadata!V927))),Metadata!V927&gt;=-180,Metadata!V927&lt;=180))</f>
        <v>0</v>
      </c>
      <c r="BJ927" t="b">
        <f>AND(IF(Metadata!W927="",FALSE,TRUE),EXACT(Metadata!W927,"Decimal degrees"))</f>
        <v>0</v>
      </c>
      <c r="BK927" t="b">
        <f>IF(Metadata!X927="",FALSE,TRUE)</f>
        <v>0</v>
      </c>
      <c r="BL927" t="b">
        <f>OR(AND(IF(Metadata!Y927="",FALSE,TRUE),OR(EXACT(Metadata!Y927,"not collected"),EXACT(Metadata!Y927,"not provided"),EXACT(Metadata!Y927,"restricted access"))),AND(IF(Metadata!Y927="",FALSE,TRUE),OR(EXACT(Metadata!Y927,"TRUE"),EXACT(Metadata!Y927,"FALSE"))))</f>
        <v>0</v>
      </c>
      <c r="BM927" t="b">
        <f>OR(AND(IF(Metadata!Z927="",FALSE,TRUE),EXACT(Metadata!Z927,"not applicable")),AND(IF(Metadata!Z927="",FALSE,TRUE),OR(EXACT(Metadata!Z927,"beer"),EXACT(Metadata!Z927,"cheese"),EXACT(Metadata!Z927,"fresh water"),EXACT(Metadata!Z927,"marine sediment"),EXACT(Metadata!Z927,"sea water"),EXACT(Metadata!Z927,"sediment"),EXACT(Metadata!Z927,"soil"),EXACT(Metadata!Z927,"waste water"))))</f>
        <v>0</v>
      </c>
      <c r="BN927" t="b">
        <f>AND(IF(Metadata!AA927="",FALSE,TRUE),EXACT(Metadata!AA927,"metagenome"))</f>
        <v>0</v>
      </c>
      <c r="BO927" t="b">
        <f>AND(IF(Metadata!AB927="",FALSE,TRUE),EXACT(Metadata!AB927,"256318"))</f>
        <v>0</v>
      </c>
      <c r="BP927" t="b">
        <f>IF(Metadata!AC927="",FALSE,TRUE)</f>
        <v>0</v>
      </c>
      <c r="BQ927" t="b">
        <f>IF(Metadata!AD927="",FALSE,TRUE)</f>
        <v>0</v>
      </c>
    </row>
    <row r="928" spans="1:69" x14ac:dyDescent="0.2">
      <c r="A928" s="4" t="e">
        <f ca="1">IF(B928=" "," ",HYPERLINK(CONCATENATE("#metadata!",ADDRESS(INDEX($AJ$2:$AJ$1001,MATCH(ROWS($AH$2:AH928),$AH$2:$AH$1001,0),0),2)),INDEX($AM$2:$AM$1001,MATCH(ROWS($AH$2:AH928),$AH$2:$AH$1001,0),0)))</f>
        <v>#N/A</v>
      </c>
      <c r="B928" s="5" t="e">
        <f ca="1">IF(OR(INDEX($AI$2:$AI$1001,MATCH(ROWS($AH$2:AH928),$AH$2:$AH$1001,0),1)&gt;=100000,INDEX($AO$1005:$BQ$1005,1,MATCH(COLUMNS($AO$1006:AO1006),$AO$1006:$BQ$1006,0))&gt;=100000), " ",IF(INDEX($AO$2:$BQ$1001,MATCH(ROWS($AH$2:AH928),$AH$2:$AH$1001,0),MATCH(COLUMNS($AO$1006:AO1006),$AO$1006:$BQ$1006,0)), HYPERLINK("#",""), HYPERLINK(CONCATENATE("#Metadata!", ADDRESS(INDEX($AJ$2:$AJ$1001,MATCH(ROWS($AH$2:AH928),$AH$2:$AH$1001,0),0), INDEX($AO$1004:$BQ$1004,1,MATCH(COLUMNS($AO$1006:AO1006),$AO$1006:$BQ$1006,0)))),"Fix")))</f>
        <v>#N/A</v>
      </c>
      <c r="C928" s="5" t="e">
        <f ca="1">IF(OR(INDEX($AI$2:$AI$1001,MATCH(ROWS($AH$2:AH928),$AH$2:$AH$1001,0),1)&gt;=100000,INDEX($AO$1005:$BQ$1005,1,MATCH(COLUMNS($AO$1006:AP1006),$AO$1006:$BQ$1006,0))&gt;=100000), " ",IF(INDEX($AO$2:$BQ$1001,MATCH(ROWS($AH$2:AH928),$AH$2:$AH$1001,0),MATCH(COLUMNS($AO$1006:AP1006),$AO$1006:$BQ$1006,0)), HYPERLINK("#",""), HYPERLINK(CONCATENATE("#Metadata!", ADDRESS(INDEX($AJ$2:$AJ$1001,MATCH(ROWS($AH$2:AH928),$AH$2:$AH$1001,0),0), INDEX($AO$1004:$BQ$1004,1,MATCH(COLUMNS($AO$1006:AP1006),$AO$1006:$BQ$1006,0)))),"Fix")))</f>
        <v>#N/A</v>
      </c>
      <c r="D928" s="5" t="e">
        <f ca="1">IF(OR(INDEX($AI$2:$AI$1001,MATCH(ROWS($AH$2:AH928),$AH$2:$AH$1001,0),1)&gt;=100000,INDEX($AO$1005:$BQ$1005,1,MATCH(COLUMNS($AO$1006:AQ1006),$AO$1006:$BQ$1006,0))&gt;=100000), " ",IF(INDEX($AO$2:$BQ$1001,MATCH(ROWS($AH$2:AH928),$AH$2:$AH$1001,0),MATCH(COLUMNS($AO$1006:AQ1006),$AO$1006:$BQ$1006,0)), HYPERLINK("#",""), HYPERLINK(CONCATENATE("#Metadata!", ADDRESS(INDEX($AJ$2:$AJ$1001,MATCH(ROWS($AH$2:AH928),$AH$2:$AH$1001,0),0), INDEX($AO$1004:$BQ$1004,1,MATCH(COLUMNS($AO$1006:AQ1006),$AO$1006:$BQ$1006,0)))),"Fix")))</f>
        <v>#N/A</v>
      </c>
      <c r="E928" s="5" t="e">
        <f ca="1">IF(OR(INDEX($AI$2:$AI$1001,MATCH(ROWS($AH$2:AH928),$AH$2:$AH$1001,0),1)&gt;=100000,INDEX($AO$1005:$BQ$1005,1,MATCH(COLUMNS($AO$1006:AR1006),$AO$1006:$BQ$1006,0))&gt;=100000), " ",IF(INDEX($AO$2:$BQ$1001,MATCH(ROWS($AH$2:AH928),$AH$2:$AH$1001,0),MATCH(COLUMNS($AO$1006:AR1006),$AO$1006:$BQ$1006,0)), HYPERLINK("#",""), HYPERLINK(CONCATENATE("#Metadata!", ADDRESS(INDEX($AJ$2:$AJ$1001,MATCH(ROWS($AH$2:AH928),$AH$2:$AH$1001,0),0), INDEX($AO$1004:$BQ$1004,1,MATCH(COLUMNS($AO$1006:AR1006),$AO$1006:$BQ$1006,0)))),"Fix")))</f>
        <v>#N/A</v>
      </c>
      <c r="F928" s="5" t="e">
        <f ca="1">IF(OR(INDEX($AI$2:$AI$1001,MATCH(ROWS($AH$2:AH928),$AH$2:$AH$1001,0),1)&gt;=100000,INDEX($AO$1005:$BQ$1005,1,MATCH(COLUMNS($AO$1006:AS1006),$AO$1006:$BQ$1006,0))&gt;=100000), " ",IF(INDEX($AO$2:$BQ$1001,MATCH(ROWS($AH$2:AH928),$AH$2:$AH$1001,0),MATCH(COLUMNS($AO$1006:AS1006),$AO$1006:$BQ$1006,0)), HYPERLINK("#",""), HYPERLINK(CONCATENATE("#Metadata!", ADDRESS(INDEX($AJ$2:$AJ$1001,MATCH(ROWS($AH$2:AH928),$AH$2:$AH$1001,0),0), INDEX($AO$1004:$BQ$1004,1,MATCH(COLUMNS($AO$1006:AS1006),$AO$1006:$BQ$1006,0)))),"Fix")))</f>
        <v>#N/A</v>
      </c>
      <c r="G928" s="5" t="e">
        <f ca="1">IF(OR(INDEX($AI$2:$AI$1001,MATCH(ROWS($AH$2:AH928),$AH$2:$AH$1001,0),1)&gt;=100000,INDEX($AO$1005:$BQ$1005,1,MATCH(COLUMNS($AO$1006:AT1006),$AO$1006:$BQ$1006,0))&gt;=100000), " ",IF(INDEX($AO$2:$BQ$1001,MATCH(ROWS($AH$2:AH928),$AH$2:$AH$1001,0),MATCH(COLUMNS($AO$1006:AT1006),$AO$1006:$BQ$1006,0)), HYPERLINK("#",""), HYPERLINK(CONCATENATE("#Metadata!", ADDRESS(INDEX($AJ$2:$AJ$1001,MATCH(ROWS($AH$2:AH928),$AH$2:$AH$1001,0),0), INDEX($AO$1004:$BQ$1004,1,MATCH(COLUMNS($AO$1006:AT1006),$AO$1006:$BQ$1006,0)))),"Fix")))</f>
        <v>#N/A</v>
      </c>
      <c r="H928" s="5" t="e">
        <f ca="1">IF(OR(INDEX($AI$2:$AI$1001,MATCH(ROWS($AH$2:AH928),$AH$2:$AH$1001,0),1)&gt;=100000,INDEX($AO$1005:$BQ$1005,1,MATCH(COLUMNS($AO$1006:AU1006),$AO$1006:$BQ$1006,0))&gt;=100000), " ",IF(INDEX($AO$2:$BQ$1001,MATCH(ROWS($AH$2:AH928),$AH$2:$AH$1001,0),MATCH(COLUMNS($AO$1006:AU1006),$AO$1006:$BQ$1006,0)), HYPERLINK("#",""), HYPERLINK(CONCATENATE("#Metadata!", ADDRESS(INDEX($AJ$2:$AJ$1001,MATCH(ROWS($AH$2:AH928),$AH$2:$AH$1001,0),0), INDEX($AO$1004:$BQ$1004,1,MATCH(COLUMNS($AO$1006:AU1006),$AO$1006:$BQ$1006,0)))),"Fix")))</f>
        <v>#N/A</v>
      </c>
      <c r="I928" s="5" t="e">
        <f ca="1">IF(OR(INDEX($AI$2:$AI$1001,MATCH(ROWS($AH$2:AH928),$AH$2:$AH$1001,0),1)&gt;=100000,INDEX($AO$1005:$BQ$1005,1,MATCH(COLUMNS($AO$1006:AV1006),$AO$1006:$BQ$1006,0))&gt;=100000), " ",IF(INDEX($AO$2:$BQ$1001,MATCH(ROWS($AH$2:AH928),$AH$2:$AH$1001,0),MATCH(COLUMNS($AO$1006:AV1006),$AO$1006:$BQ$1006,0)), HYPERLINK("#",""), HYPERLINK(CONCATENATE("#Metadata!", ADDRESS(INDEX($AJ$2:$AJ$1001,MATCH(ROWS($AH$2:AH928),$AH$2:$AH$1001,0),0), INDEX($AO$1004:$BQ$1004,1,MATCH(COLUMNS($AO$1006:AV1006),$AO$1006:$BQ$1006,0)))),"Fix")))</f>
        <v>#N/A</v>
      </c>
      <c r="J928" s="5" t="e">
        <f ca="1">IF(OR(INDEX($AI$2:$AI$1001,MATCH(ROWS($AH$2:AH928),$AH$2:$AH$1001,0),1)&gt;=100000,INDEX($AO$1005:$BQ$1005,1,MATCH(COLUMNS($AO$1006:AW1006),$AO$1006:$BQ$1006,0))&gt;=100000), " ",IF(INDEX($AO$2:$BQ$1001,MATCH(ROWS($AH$2:AH928),$AH$2:$AH$1001,0),MATCH(COLUMNS($AO$1006:AW1006),$AO$1006:$BQ$1006,0)), HYPERLINK("#",""), HYPERLINK(CONCATENATE("#Metadata!", ADDRESS(INDEX($AJ$2:$AJ$1001,MATCH(ROWS($AH$2:AH928),$AH$2:$AH$1001,0),0), INDEX($AO$1004:$BQ$1004,1,MATCH(COLUMNS($AO$1006:AW1006),$AO$1006:$BQ$1006,0)))),"Fix")))</f>
        <v>#N/A</v>
      </c>
      <c r="K928" s="5" t="e">
        <f ca="1">IF(OR(INDEX($AI$2:$AI$1001,MATCH(ROWS($AH$2:AH928),$AH$2:$AH$1001,0),1)&gt;=100000,INDEX($AO$1005:$BQ$1005,1,MATCH(COLUMNS($AO$1006:AX1006),$AO$1006:$BQ$1006,0))&gt;=100000), " ",IF(INDEX($AO$2:$BQ$1001,MATCH(ROWS($AH$2:AH928),$AH$2:$AH$1001,0),MATCH(COLUMNS($AO$1006:AX1006),$AO$1006:$BQ$1006,0)), HYPERLINK("#",""), HYPERLINK(CONCATENATE("#Metadata!", ADDRESS(INDEX($AJ$2:$AJ$1001,MATCH(ROWS($AH$2:AH928),$AH$2:$AH$1001,0),0), INDEX($AO$1004:$BQ$1004,1,MATCH(COLUMNS($AO$1006:AX1006),$AO$1006:$BQ$1006,0)))),"Fix")))</f>
        <v>#N/A</v>
      </c>
      <c r="L928" s="5" t="e">
        <f ca="1">IF(OR(INDEX($AI$2:$AI$1001,MATCH(ROWS($AH$2:AH928),$AH$2:$AH$1001,0),1)&gt;=100000,INDEX($AO$1005:$BQ$1005,1,MATCH(COLUMNS($AO$1006:AY1006),$AO$1006:$BQ$1006,0))&gt;=100000), " ",IF(INDEX($AO$2:$BQ$1001,MATCH(ROWS($AH$2:AH928),$AH$2:$AH$1001,0),MATCH(COLUMNS($AO$1006:AY1006),$AO$1006:$BQ$1006,0)), HYPERLINK("#",""), HYPERLINK(CONCATENATE("#Metadata!", ADDRESS(INDEX($AJ$2:$AJ$1001,MATCH(ROWS($AH$2:AH928),$AH$2:$AH$1001,0),0), INDEX($AO$1004:$BQ$1004,1,MATCH(COLUMNS($AO$1006:AY1006),$AO$1006:$BQ$1006,0)))),"Fix")))</f>
        <v>#N/A</v>
      </c>
      <c r="M928" s="5" t="e">
        <f ca="1">IF(OR(INDEX($AI$2:$AI$1001,MATCH(ROWS($AH$2:AH928),$AH$2:$AH$1001,0),1)&gt;=100000,INDEX($AO$1005:$BQ$1005,1,MATCH(COLUMNS($AO$1006:AZ1006),$AO$1006:$BQ$1006,0))&gt;=100000), " ",IF(INDEX($AO$2:$BQ$1001,MATCH(ROWS($AH$2:AH928),$AH$2:$AH$1001,0),MATCH(COLUMNS($AO$1006:AZ1006),$AO$1006:$BQ$1006,0)), HYPERLINK("#",""), HYPERLINK(CONCATENATE("#Metadata!", ADDRESS(INDEX($AJ$2:$AJ$1001,MATCH(ROWS($AH$2:AH928),$AH$2:$AH$1001,0),0), INDEX($AO$1004:$BQ$1004,1,MATCH(COLUMNS($AO$1006:AZ1006),$AO$1006:$BQ$1006,0)))),"Fix")))</f>
        <v>#N/A</v>
      </c>
      <c r="N928" s="5" t="e">
        <f ca="1">IF(OR(INDEX($AI$2:$AI$1001,MATCH(ROWS($AH$2:AH928),$AH$2:$AH$1001,0),1)&gt;=100000,INDEX($AO$1005:$BQ$1005,1,MATCH(COLUMNS($AO$1006:BA1006),$AO$1006:$BQ$1006,0))&gt;=100000), " ",IF(INDEX($AO$2:$BQ$1001,MATCH(ROWS($AH$2:AH928),$AH$2:$AH$1001,0),MATCH(COLUMNS($AO$1006:BA1006),$AO$1006:$BQ$1006,0)), HYPERLINK("#",""), HYPERLINK(CONCATENATE("#Metadata!", ADDRESS(INDEX($AJ$2:$AJ$1001,MATCH(ROWS($AH$2:AH928),$AH$2:$AH$1001,0),0), INDEX($AO$1004:$BQ$1004,1,MATCH(COLUMNS($AO$1006:BA1006),$AO$1006:$BQ$1006,0)))),"Fix")))</f>
        <v>#N/A</v>
      </c>
      <c r="O928" s="5" t="e">
        <f ca="1">IF(OR(INDEX($AI$2:$AI$1001,MATCH(ROWS($AH$2:AH928),$AH$2:$AH$1001,0),1)&gt;=100000,INDEX($AO$1005:$BQ$1005,1,MATCH(COLUMNS($AO$1006:BB1006),$AO$1006:$BQ$1006,0))&gt;=100000), " ",IF(INDEX($AO$2:$BQ$1001,MATCH(ROWS($AH$2:AH928),$AH$2:$AH$1001,0),MATCH(COLUMNS($AO$1006:BB1006),$AO$1006:$BQ$1006,0)), HYPERLINK("#",""), HYPERLINK(CONCATENATE("#Metadata!", ADDRESS(INDEX($AJ$2:$AJ$1001,MATCH(ROWS($AH$2:AH928),$AH$2:$AH$1001,0),0), INDEX($AO$1004:$BQ$1004,1,MATCH(COLUMNS($AO$1006:BB1006),$AO$1006:$BQ$1006,0)))),"Fix")))</f>
        <v>#N/A</v>
      </c>
      <c r="P928" s="5" t="e">
        <f ca="1">IF(OR(INDEX($AI$2:$AI$1001,MATCH(ROWS($AH$2:AH928),$AH$2:$AH$1001,0),1)&gt;=100000,INDEX($AO$1005:$BQ$1005,1,MATCH(COLUMNS($AO$1006:BC1006),$AO$1006:$BQ$1006,0))&gt;=100000), " ",IF(INDEX($AO$2:$BQ$1001,MATCH(ROWS($AH$2:AH928),$AH$2:$AH$1001,0),MATCH(COLUMNS($AO$1006:BC1006),$AO$1006:$BQ$1006,0)), HYPERLINK("#",""), HYPERLINK(CONCATENATE("#Metadata!", ADDRESS(INDEX($AJ$2:$AJ$1001,MATCH(ROWS($AH$2:AH928),$AH$2:$AH$1001,0),0), INDEX($AO$1004:$BQ$1004,1,MATCH(COLUMNS($AO$1006:BC1006),$AO$1006:$BQ$1006,0)))),"Fix")))</f>
        <v>#N/A</v>
      </c>
      <c r="Q928" s="5" t="e">
        <f ca="1">IF(OR(INDEX($AI$2:$AI$1001,MATCH(ROWS($AH$2:AH928),$AH$2:$AH$1001,0),1)&gt;=100000,INDEX($AO$1005:$BQ$1005,1,MATCH(COLUMNS($AO$1006:BD1006),$AO$1006:$BQ$1006,0))&gt;=100000), " ",IF(INDEX($AO$2:$BQ$1001,MATCH(ROWS($AH$2:AH928),$AH$2:$AH$1001,0),MATCH(COLUMNS($AO$1006:BD1006),$AO$1006:$BQ$1006,0)), HYPERLINK("#",""), HYPERLINK(CONCATENATE("#Metadata!", ADDRESS(INDEX($AJ$2:$AJ$1001,MATCH(ROWS($AH$2:AH928),$AH$2:$AH$1001,0),0), INDEX($AO$1004:$BQ$1004,1,MATCH(COLUMNS($AO$1006:BD1006),$AO$1006:$BQ$1006,0)))),"Fix")))</f>
        <v>#N/A</v>
      </c>
      <c r="R928" s="5" t="e">
        <f ca="1">IF(OR(INDEX($AI$2:$AI$1001,MATCH(ROWS($AH$2:AH928),$AH$2:$AH$1001,0),1)&gt;=100000,INDEX($AO$1005:$BQ$1005,1,MATCH(COLUMNS($AO$1006:BE1006),$AO$1006:$BQ$1006,0))&gt;=100000), " ",IF(INDEX($AO$2:$BQ$1001,MATCH(ROWS($AH$2:AH928),$AH$2:$AH$1001,0),MATCH(COLUMNS($AO$1006:BE1006),$AO$1006:$BQ$1006,0)), HYPERLINK("#",""), HYPERLINK(CONCATENATE("#Metadata!", ADDRESS(INDEX($AJ$2:$AJ$1001,MATCH(ROWS($AH$2:AH928),$AH$2:$AH$1001,0),0), INDEX($AO$1004:$BQ$1004,1,MATCH(COLUMNS($AO$1006:BE1006),$AO$1006:$BQ$1006,0)))),"Fix")))</f>
        <v>#N/A</v>
      </c>
      <c r="S928" s="5" t="e">
        <f ca="1">IF(OR(INDEX($AI$2:$AI$1001,MATCH(ROWS($AH$2:AH928),$AH$2:$AH$1001,0),1)&gt;=100000,INDEX($AO$1005:$BQ$1005,1,MATCH(COLUMNS($AO$1006:BF1006),$AO$1006:$BQ$1006,0))&gt;=100000), " ",IF(INDEX($AO$2:$BQ$1001,MATCH(ROWS($AH$2:AH928),$AH$2:$AH$1001,0),MATCH(COLUMNS($AO$1006:BF1006),$AO$1006:$BQ$1006,0)), HYPERLINK("#",""), HYPERLINK(CONCATENATE("#Metadata!", ADDRESS(INDEX($AJ$2:$AJ$1001,MATCH(ROWS($AH$2:AH928),$AH$2:$AH$1001,0),0), INDEX($AO$1004:$BQ$1004,1,MATCH(COLUMNS($AO$1006:BF1006),$AO$1006:$BQ$1006,0)))),"Fix")))</f>
        <v>#N/A</v>
      </c>
      <c r="T928" s="5" t="e">
        <f ca="1">IF(OR(INDEX($AI$2:$AI$1001,MATCH(ROWS($AH$2:AH928),$AH$2:$AH$1001,0),1)&gt;=100000,INDEX($AO$1005:$BQ$1005,1,MATCH(COLUMNS($AO$1006:BG1006),$AO$1006:$BQ$1006,0))&gt;=100000), " ",IF(INDEX($AO$2:$BQ$1001,MATCH(ROWS($AH$2:AH928),$AH$2:$AH$1001,0),MATCH(COLUMNS($AO$1006:BG1006),$AO$1006:$BQ$1006,0)), HYPERLINK("#",""), HYPERLINK(CONCATENATE("#Metadata!", ADDRESS(INDEX($AJ$2:$AJ$1001,MATCH(ROWS($AH$2:AH928),$AH$2:$AH$1001,0),0), INDEX($AO$1004:$BQ$1004,1,MATCH(COLUMNS($AO$1006:BG1006),$AO$1006:$BQ$1006,0)))),"Fix")))</f>
        <v>#N/A</v>
      </c>
      <c r="U928" s="5" t="e">
        <f ca="1">IF(OR(INDEX($AI$2:$AI$1001,MATCH(ROWS($AH$2:AH928),$AH$2:$AH$1001,0),1)&gt;=100000,INDEX($AO$1005:$BQ$1005,1,MATCH(COLUMNS($AO$1006:BH1006),$AO$1006:$BQ$1006,0))&gt;=100000), " ",IF(INDEX($AO$2:$BQ$1001,MATCH(ROWS($AH$2:AH928),$AH$2:$AH$1001,0),MATCH(COLUMNS($AO$1006:BH1006),$AO$1006:$BQ$1006,0)), HYPERLINK("#",""), HYPERLINK(CONCATENATE("#Metadata!", ADDRESS(INDEX($AJ$2:$AJ$1001,MATCH(ROWS($AH$2:AH928),$AH$2:$AH$1001,0),0), INDEX($AO$1004:$BQ$1004,1,MATCH(COLUMNS($AO$1006:BH1006),$AO$1006:$BQ$1006,0)))),"Fix")))</f>
        <v>#N/A</v>
      </c>
      <c r="V928" s="5" t="e">
        <f ca="1">IF(OR(INDEX($AI$2:$AI$1001,MATCH(ROWS($AH$2:AH928),$AH$2:$AH$1001,0),1)&gt;=100000,INDEX($AO$1005:$BQ$1005,1,MATCH(COLUMNS($AO$1006:BI1006),$AO$1006:$BQ$1006,0))&gt;=100000), " ",IF(INDEX($AO$2:$BQ$1001,MATCH(ROWS($AH$2:AH928),$AH$2:$AH$1001,0),MATCH(COLUMNS($AO$1006:BI1006),$AO$1006:$BQ$1006,0)), HYPERLINK("#",""), HYPERLINK(CONCATENATE("#Metadata!", ADDRESS(INDEX($AJ$2:$AJ$1001,MATCH(ROWS($AH$2:AH928),$AH$2:$AH$1001,0),0), INDEX($AO$1004:$BQ$1004,1,MATCH(COLUMNS($AO$1006:BI1006),$AO$1006:$BQ$1006,0)))),"Fix")))</f>
        <v>#N/A</v>
      </c>
      <c r="W928" s="5" t="e">
        <f ca="1">IF(OR(INDEX($AI$2:$AI$1001,MATCH(ROWS($AH$2:AH928),$AH$2:$AH$1001,0),1)&gt;=100000,INDEX($AO$1005:$BQ$1005,1,MATCH(COLUMNS($AO$1006:BJ1006),$AO$1006:$BQ$1006,0))&gt;=100000), " ",IF(INDEX($AO$2:$BQ$1001,MATCH(ROWS($AH$2:AH928),$AH$2:$AH$1001,0),MATCH(COLUMNS($AO$1006:BJ1006),$AO$1006:$BQ$1006,0)), HYPERLINK("#",""), HYPERLINK(CONCATENATE("#Metadata!", ADDRESS(INDEX($AJ$2:$AJ$1001,MATCH(ROWS($AH$2:AH928),$AH$2:$AH$1001,0),0), INDEX($AO$1004:$BQ$1004,1,MATCH(COLUMNS($AO$1006:BJ1006),$AO$1006:$BQ$1006,0)))),"Fix")))</f>
        <v>#N/A</v>
      </c>
      <c r="X928" s="5" t="e">
        <f ca="1">IF(OR(INDEX($AI$2:$AI$1001,MATCH(ROWS($AH$2:AH928),$AH$2:$AH$1001,0),1)&gt;=100000,INDEX($AO$1005:$BQ$1005,1,MATCH(COLUMNS($AO$1006:BK1006),$AO$1006:$BQ$1006,0))&gt;=100000), " ",IF(INDEX($AO$2:$BQ$1001,MATCH(ROWS($AH$2:AH928),$AH$2:$AH$1001,0),MATCH(COLUMNS($AO$1006:BK1006),$AO$1006:$BQ$1006,0)), HYPERLINK("#",""), HYPERLINK(CONCATENATE("#Metadata!", ADDRESS(INDEX($AJ$2:$AJ$1001,MATCH(ROWS($AH$2:AH928),$AH$2:$AH$1001,0),0), INDEX($AO$1004:$BQ$1004,1,MATCH(COLUMNS($AO$1006:BK1006),$AO$1006:$BQ$1006,0)))),"Fix")))</f>
        <v>#N/A</v>
      </c>
      <c r="Y928" s="5" t="e">
        <f ca="1">IF(OR(INDEX($AI$2:$AI$1001,MATCH(ROWS($AH$2:AH928),$AH$2:$AH$1001,0),1)&gt;=100000,INDEX($AO$1005:$BQ$1005,1,MATCH(COLUMNS($AO$1006:BL1006),$AO$1006:$BQ$1006,0))&gt;=100000), " ",IF(INDEX($AO$2:$BQ$1001,MATCH(ROWS($AH$2:AH928),$AH$2:$AH$1001,0),MATCH(COLUMNS($AO$1006:BL1006),$AO$1006:$BQ$1006,0)), HYPERLINK("#",""), HYPERLINK(CONCATENATE("#Metadata!", ADDRESS(INDEX($AJ$2:$AJ$1001,MATCH(ROWS($AH$2:AH928),$AH$2:$AH$1001,0),0), INDEX($AO$1004:$BQ$1004,1,MATCH(COLUMNS($AO$1006:BL1006),$AO$1006:$BQ$1006,0)))),"Fix")))</f>
        <v>#N/A</v>
      </c>
      <c r="Z928" s="5" t="e">
        <f ca="1">IF(OR(INDEX($AI$2:$AI$1001,MATCH(ROWS($AH$2:AH928),$AH$2:$AH$1001,0),1)&gt;=100000,INDEX($AO$1005:$BQ$1005,1,MATCH(COLUMNS($AO$1006:BM1006),$AO$1006:$BQ$1006,0))&gt;=100000), " ",IF(INDEX($AO$2:$BQ$1001,MATCH(ROWS($AH$2:AH928),$AH$2:$AH$1001,0),MATCH(COLUMNS($AO$1006:BM1006),$AO$1006:$BQ$1006,0)), HYPERLINK("#",""), HYPERLINK(CONCATENATE("#Metadata!", ADDRESS(INDEX($AJ$2:$AJ$1001,MATCH(ROWS($AH$2:AH928),$AH$2:$AH$1001,0),0), INDEX($AO$1004:$BQ$1004,1,MATCH(COLUMNS($AO$1006:BM1006),$AO$1006:$BQ$1006,0)))),"Fix")))</f>
        <v>#N/A</v>
      </c>
      <c r="AA928" s="5" t="e">
        <f ca="1">IF(OR(INDEX($AI$2:$AI$1001,MATCH(ROWS($AH$2:AH928),$AH$2:$AH$1001,0),1)&gt;=100000,INDEX($AO$1005:$BQ$1005,1,MATCH(COLUMNS($AO$1006:BN1006),$AO$1006:$BQ$1006,0))&gt;=100000), " ",IF(INDEX($AO$2:$BQ$1001,MATCH(ROWS($AH$2:AH928),$AH$2:$AH$1001,0),MATCH(COLUMNS($AO$1006:BN1006),$AO$1006:$BQ$1006,0)), HYPERLINK("#",""), HYPERLINK(CONCATENATE("#Metadata!", ADDRESS(INDEX($AJ$2:$AJ$1001,MATCH(ROWS($AH$2:AH928),$AH$2:$AH$1001,0),0), INDEX($AO$1004:$BQ$1004,1,MATCH(COLUMNS($AO$1006:BN1006),$AO$1006:$BQ$1006,0)))),"Fix")))</f>
        <v>#N/A</v>
      </c>
      <c r="AB928" s="5" t="e">
        <f ca="1">IF(OR(INDEX($AI$2:$AI$1001,MATCH(ROWS($AH$2:AH928),$AH$2:$AH$1001,0),1)&gt;=100000,INDEX($AO$1005:$BQ$1005,1,MATCH(COLUMNS($AO$1006:BO1006),$AO$1006:$BQ$1006,0))&gt;=100000), " ",IF(INDEX($AO$2:$BQ$1001,MATCH(ROWS($AH$2:AH928),$AH$2:$AH$1001,0),MATCH(COLUMNS($AO$1006:BO1006),$AO$1006:$BQ$1006,0)), HYPERLINK("#",""), HYPERLINK(CONCATENATE("#Metadata!", ADDRESS(INDEX($AJ$2:$AJ$1001,MATCH(ROWS($AH$2:AH928),$AH$2:$AH$1001,0),0), INDEX($AO$1004:$BQ$1004,1,MATCH(COLUMNS($AO$1006:BO1006),$AO$1006:$BQ$1006,0)))),"Fix")))</f>
        <v>#N/A</v>
      </c>
      <c r="AC928" s="5" t="e">
        <f ca="1">IF(OR(INDEX($AI$2:$AI$1001,MATCH(ROWS($AH$2:AH928),$AH$2:$AH$1001,0),1)&gt;=100000,INDEX($AO$1005:$BQ$1005,1,MATCH(COLUMNS($AO$1006:BP1006),$AO$1006:$BQ$1006,0))&gt;=100000), " ",IF(INDEX($AO$2:$BQ$1001,MATCH(ROWS($AH$2:AH928),$AH$2:$AH$1001,0),MATCH(COLUMNS($AO$1006:BP1006),$AO$1006:$BQ$1006,0)), HYPERLINK("#",""), HYPERLINK(CONCATENATE("#Metadata!", ADDRESS(INDEX($AJ$2:$AJ$1001,MATCH(ROWS($AH$2:AH928),$AH$2:$AH$1001,0),0), INDEX($AO$1004:$BQ$1004,1,MATCH(COLUMNS($AO$1006:BP1006),$AO$1006:$BQ$1006,0)))),"Fix")))</f>
        <v>#N/A</v>
      </c>
      <c r="AD928" s="5" t="e">
        <f ca="1">IF(OR(INDEX($AI$2:$AI$1001,MATCH(ROWS($AH$2:AH928),$AH$2:$AH$1001,0),1)&gt;=100000,INDEX($AO$1005:$BQ$1005,1,MATCH(COLUMNS($AO$1006:BQ1006),$AO$1006:$BQ$1006,0))&gt;=100000), " ",IF(INDEX($AO$2:$BQ$1001,MATCH(ROWS($AH$2:AH928),$AH$2:$AH$1001,0),MATCH(COLUMNS($AO$1006:BQ1006),$AO$1006:$BQ$1006,0)), HYPERLINK("#",""), HYPERLINK(CONCATENATE("#Metadata!", ADDRESS(INDEX($AJ$2:$AJ$1001,MATCH(ROWS($AH$2:AH928),$AH$2:$AH$1001,0),0), INDEX($AO$1004:$BQ$1004,1,MATCH(COLUMNS($AO$1006:BQ1006),$AO$1006:$BQ$1006,0)))),"Fix")))</f>
        <v>#REF!</v>
      </c>
      <c r="AH928">
        <f ca="1"/>
        <v>925</v>
      </c>
      <c r="AI928">
        <v>100928</v>
      </c>
      <c r="AJ928">
        <v>928</v>
      </c>
      <c r="AK928" t="b">
        <f t="shared" si="14"/>
        <v>1</v>
      </c>
      <c r="AL928" t="b">
        <f>COUNTBLANK(Metadata!B928:AD928)=COLUMNS(Metadata!B928:AD928)</f>
        <v>1</v>
      </c>
      <c r="AM928" t="str">
        <v/>
      </c>
      <c r="AO928" t="b">
        <f ca="1">AND(IF(Metadata!B928="",FALSE,TRUE),COUNTIF(Metadata!B:B, Metadata!B928) = 1,NOT(ISERROR(SUMPRODUCT(SEARCH(MID(Metadata!B928,ROW(INDIRECT("1:"&amp;LEN(Metadata!B928))), 1),"0123456789abcdefghijklmnopqrstuvwxyzABCDEFGHIJKLMNOPQRSTUVWXYZ.")))))</f>
        <v>0</v>
      </c>
      <c r="AP928" t="b">
        <f>IF(Metadata!C928="",FALSE,TRUE)</f>
        <v>0</v>
      </c>
      <c r="AQ928" t="b">
        <f>IF(Metadata!D928="",FALSE,TRUE)</f>
        <v>0</v>
      </c>
      <c r="AR928" t="b">
        <f ca="1">OR(AND(IF(Metadata!E928="",FALSE,TRUE),OR(EXACT(Metadata!E928,"not collected"),EXACT(Metadata!E928,"not provided"),EXACT(Metadata!E928,"restricted access"))),AND(IF(Metadata!E928="",FALSE,TRUE),AND(AND(IFERROR(INT(LEFT(Metadata!E928,4))&gt;1900,FALSE),IFERROR(INT(LEFT(Metadata!E928,4))&lt;=YEAR(NOW()),FALSE)), OR(MID(Metadata!E928,5,1)="", AND(AND(MID(Metadata!E928,5,1)="-",IFERROR(INT(MID(Metadata!E928,6,1))&gt;=0,FALSE),IFERROR(INT(MID(Metadata!E928,6,1))&lt;=1,FALSE),NOT(MID(Metadata!E928,7,1)=""),IFERROR(INT(MID(Metadata!E928,6,2))&gt;=1,FALSE),IFERROR(INT(MID(Metadata!E928,6,2))&lt;=12,FALSE)), OR(MID(Metadata!E928,8,1)="", AND(AND(MID(Metadata!E928,8,1)="-",IFERROR(INT(MID(Metadata!E928,9,1))&gt;=0,FALSE),IFERROR(INT(MID(Metadata!E928,9,1))&lt;=3,FALSE),NOT(MID(Metadata!E928,10,1)=""),IFERROR(INT(MID(Metadata!E928,9,2))&gt;=1,FALSE),IFERROR(INT(MID(Metadata!E928,9,2))&lt;=31,FALSE)), OR(MID(Metadata!E928,11,1)="", AND(AND(MID(Metadata!E928,11,1)=" ",IFERROR(INT(MID(Metadata!E928,12,1))&gt;=0,FALSE),IFERROR(INT(MID(Metadata!E928,12,1))&lt;=2,FALSE),NOT(MID(Metadata!E928,13,1)=""),IFERROR(INT(MID(Metadata!E928,12,2))&gt;=0,FALSE),IFERROR(INT(MID(Metadata!E928,12,2))&lt;=23,FALSE)), OR(MID(Metadata!E928,14,1)="", AND(AND(MID(Metadata!E928,14,1)=":",IFERROR(INT(MID(Metadata!E928,15,1))&gt;=0,FALSE),IFERROR(INT(MID(Metadata!E928,15,1))&lt;=5,FALSE),NOT(MID(Metadata!E928,16,1)=""),IFERROR(INT(MID(Metadata!E928,15,2))&gt;=0,FALSE),IFERROR(INT(MID(Metadata!E928,15,2))&lt;=59,FALSE)), OR(MID(Metadata!E928,17,1)="", AND(AND(MID(Metadata!E928,17,1)=":",IFERROR(INT(MID(Metadata!E928,18,1))&gt;=0,FALSE),IFERROR(INT(MID(Metadata!E928,18,1))&lt;=5,FALSE),NOT(MID(Metadata!E928,19,1)=""),IFERROR(INT(MID(Metadata!E928,18,2))&gt;=0,FALSE),IFERROR(INT(MID(Metadata!E928,18,2))&lt;=59,FALSE)), LEN(Metadata!E928)&lt;=19)))))))))))))</f>
        <v>0</v>
      </c>
      <c r="AS928" t="b">
        <f>IF(Metadata!F928="",FALSE,TRUE)</f>
        <v>0</v>
      </c>
      <c r="AT928" t="b">
        <f>OR(AND(IF(Metadata!G928="",FALSE,TRUE),OR(EXACT(Metadata!G928,"not collected"),EXACT(Metadata!G928,"not provided"))),AND(IF(Metadata!G928="",FALSE,TRUE),OR(EXACT(Metadata!G928,"TRUE"),EXACT(Metadata!G928,"FALSE"))))</f>
        <v>0</v>
      </c>
      <c r="AU928" t="b">
        <f>OR(AND(IF(Metadata!H928="",FALSE,TRUE),OR(EXACT(Metadata!H928,"not collected"),EXACT(Metadata!H928,"not provided"),EXACT(Metadata!H928,"restricted access"))),AND(IF(Metadata!H928="",FALSE,ISNUMBER(VALUE(Metadata!H928))),Metadata!H928&gt;=-413))</f>
        <v>0</v>
      </c>
      <c r="AV928" t="b">
        <f>AND(IF(Metadata!I928="",FALSE,TRUE),EXACT(Metadata!I928,"meters"))</f>
        <v>0</v>
      </c>
      <c r="AW928" t="b">
        <f>AND(IF(Metadata!J928="",FALSE,TRUE),EXACT(Metadata!J928,"free-living"))</f>
        <v>0</v>
      </c>
      <c r="AX928" t="b">
        <f>AND(IF(Metadata!K928="",FALSE,TRUE),OR(EXACT(Metadata!K928,"saline"),EXACT(Metadata!K928,"non-saline")))</f>
        <v>0</v>
      </c>
      <c r="AY928" t="b">
        <f>AND(IF(Metadata!L928="",FALSE,TRUE),OR(EXACT(Metadata!L928,"sub-surface (non-saline)"),EXACT(Metadata!L928,"surface (non-saline)"),EXACT(Metadata!L928,"water (non-saline)"),EXACT(Metadata!L928,"soil (non-saline)"),EXACT(Metadata!L928,"aerosol (non-saline)"),EXACT(Metadata!L928,"sediment (non-saline)"),EXACT(Metadata!L928,"surface (saline)"),EXACT(Metadata!L928,"water (saline)"),EXACT(Metadata!L928,"hypersaline (saline)"),EXACT(Metadata!L928,"aerosol (saline)"),EXACT(Metadata!L928,"sediment (saline)")))</f>
        <v>0</v>
      </c>
      <c r="AZ928" t="b">
        <f>IF(Metadata!M928="",FALSE,TRUE)</f>
        <v>0</v>
      </c>
      <c r="BA928" t="b">
        <f>IF(Metadata!N928="",FALSE,TRUE)</f>
        <v>0</v>
      </c>
      <c r="BB928" t="b">
        <f>IF(Metadata!O928="",FALSE,TRUE)</f>
        <v>0</v>
      </c>
      <c r="BC928" t="b">
        <f>AND(IF(Metadata!P928="",FALSE,TRUE),OR(EXACT(Metadata!P928,"air"),EXACT(Metadata!P928,"microbial mat/biofilm"),EXACT(Metadata!P928,"misc environment"),EXACT(Metadata!P928,"sediment"),EXACT(Metadata!P928,"soil"),EXACT(Metadata!P928,"wastewater/sludge"),EXACT(Metadata!P928,"water")))</f>
        <v>0</v>
      </c>
      <c r="BD928" t="b">
        <f>IF(Metadata!Q928="",FALSE,TRUE)</f>
        <v>0</v>
      </c>
      <c r="BE928" t="b">
        <f>IF(Metadata!R928="",FALSE,TRUE)</f>
        <v>0</v>
      </c>
      <c r="BF928" t="b">
        <f>OR(AND(IF(Metadata!S928="",FALSE,TRUE),OR(EXACT(Metadata!S928,"not collected"),EXACT(Metadata!S928,"not provided"),EXACT(Metadata!S928,"restricted access"))),AND(IF(Metadata!S928="",FALSE,ISNUMBER(VALUE(Metadata!S928))),Metadata!S928&gt;=-90,Metadata!S928&lt;=90))</f>
        <v>0</v>
      </c>
      <c r="BG928" t="b">
        <f>AND(IF(Metadata!T928="",FALSE,TRUE),EXACT(Metadata!T928,"Decimal degrees"))</f>
        <v>0</v>
      </c>
      <c r="BH928" t="b">
        <f>OR(AND(IF(Metadata!U928="",FALSE,TRUE),OR(EXACT(Metadata!U928,"not applicable"),EXACT(Metadata!U928,"not collected"))),IF(Metadata!U928="",FALSE,TRUE))</f>
        <v>0</v>
      </c>
      <c r="BI928" t="b">
        <f>OR(AND(IF(Metadata!V928="",FALSE,TRUE),OR(EXACT(Metadata!V928,"not collected"),EXACT(Metadata!V928,"not provided"),EXACT(Metadata!V928,"restricted access"))),AND(IF(Metadata!V928="",FALSE,ISNUMBER(VALUE(Metadata!V928))),Metadata!V928&gt;=-180,Metadata!V928&lt;=180))</f>
        <v>0</v>
      </c>
      <c r="BJ928" t="b">
        <f>AND(IF(Metadata!W928="",FALSE,TRUE),EXACT(Metadata!W928,"Decimal degrees"))</f>
        <v>0</v>
      </c>
      <c r="BK928" t="b">
        <f>IF(Metadata!X928="",FALSE,TRUE)</f>
        <v>0</v>
      </c>
      <c r="BL928" t="b">
        <f>OR(AND(IF(Metadata!Y928="",FALSE,TRUE),OR(EXACT(Metadata!Y928,"not collected"),EXACT(Metadata!Y928,"not provided"),EXACT(Metadata!Y928,"restricted access"))),AND(IF(Metadata!Y928="",FALSE,TRUE),OR(EXACT(Metadata!Y928,"TRUE"),EXACT(Metadata!Y928,"FALSE"))))</f>
        <v>0</v>
      </c>
      <c r="BM928" t="b">
        <f>OR(AND(IF(Metadata!Z928="",FALSE,TRUE),EXACT(Metadata!Z928,"not applicable")),AND(IF(Metadata!Z928="",FALSE,TRUE),OR(EXACT(Metadata!Z928,"beer"),EXACT(Metadata!Z928,"cheese"),EXACT(Metadata!Z928,"fresh water"),EXACT(Metadata!Z928,"marine sediment"),EXACT(Metadata!Z928,"sea water"),EXACT(Metadata!Z928,"sediment"),EXACT(Metadata!Z928,"soil"),EXACT(Metadata!Z928,"waste water"))))</f>
        <v>0</v>
      </c>
      <c r="BN928" t="b">
        <f>AND(IF(Metadata!AA928="",FALSE,TRUE),EXACT(Metadata!AA928,"metagenome"))</f>
        <v>0</v>
      </c>
      <c r="BO928" t="b">
        <f>AND(IF(Metadata!AB928="",FALSE,TRUE),EXACT(Metadata!AB928,"256318"))</f>
        <v>0</v>
      </c>
      <c r="BP928" t="b">
        <f>IF(Metadata!AC928="",FALSE,TRUE)</f>
        <v>0</v>
      </c>
      <c r="BQ928" t="b">
        <f>IF(Metadata!AD928="",FALSE,TRUE)</f>
        <v>0</v>
      </c>
    </row>
    <row r="929" spans="1:69" x14ac:dyDescent="0.2">
      <c r="A929" s="4" t="e">
        <f ca="1">IF(B929=" "," ",HYPERLINK(CONCATENATE("#metadata!",ADDRESS(INDEX($AJ$2:$AJ$1001,MATCH(ROWS($AH$2:AH929),$AH$2:$AH$1001,0),0),2)),INDEX($AM$2:$AM$1001,MATCH(ROWS($AH$2:AH929),$AH$2:$AH$1001,0),0)))</f>
        <v>#N/A</v>
      </c>
      <c r="B929" s="5" t="e">
        <f ca="1">IF(OR(INDEX($AI$2:$AI$1001,MATCH(ROWS($AH$2:AH929),$AH$2:$AH$1001,0),1)&gt;=100000,INDEX($AO$1005:$BQ$1005,1,MATCH(COLUMNS($AO$1006:AO1006),$AO$1006:$BQ$1006,0))&gt;=100000), " ",IF(INDEX($AO$2:$BQ$1001,MATCH(ROWS($AH$2:AH929),$AH$2:$AH$1001,0),MATCH(COLUMNS($AO$1006:AO1006),$AO$1006:$BQ$1006,0)), HYPERLINK("#",""), HYPERLINK(CONCATENATE("#Metadata!", ADDRESS(INDEX($AJ$2:$AJ$1001,MATCH(ROWS($AH$2:AH929),$AH$2:$AH$1001,0),0), INDEX($AO$1004:$BQ$1004,1,MATCH(COLUMNS($AO$1006:AO1006),$AO$1006:$BQ$1006,0)))),"Fix")))</f>
        <v>#N/A</v>
      </c>
      <c r="C929" s="5" t="e">
        <f ca="1">IF(OR(INDEX($AI$2:$AI$1001,MATCH(ROWS($AH$2:AH929),$AH$2:$AH$1001,0),1)&gt;=100000,INDEX($AO$1005:$BQ$1005,1,MATCH(COLUMNS($AO$1006:AP1006),$AO$1006:$BQ$1006,0))&gt;=100000), " ",IF(INDEX($AO$2:$BQ$1001,MATCH(ROWS($AH$2:AH929),$AH$2:$AH$1001,0),MATCH(COLUMNS($AO$1006:AP1006),$AO$1006:$BQ$1006,0)), HYPERLINK("#",""), HYPERLINK(CONCATENATE("#Metadata!", ADDRESS(INDEX($AJ$2:$AJ$1001,MATCH(ROWS($AH$2:AH929),$AH$2:$AH$1001,0),0), INDEX($AO$1004:$BQ$1004,1,MATCH(COLUMNS($AO$1006:AP1006),$AO$1006:$BQ$1006,0)))),"Fix")))</f>
        <v>#N/A</v>
      </c>
      <c r="D929" s="5" t="e">
        <f ca="1">IF(OR(INDEX($AI$2:$AI$1001,MATCH(ROWS($AH$2:AH929),$AH$2:$AH$1001,0),1)&gt;=100000,INDEX($AO$1005:$BQ$1005,1,MATCH(COLUMNS($AO$1006:AQ1006),$AO$1006:$BQ$1006,0))&gt;=100000), " ",IF(INDEX($AO$2:$BQ$1001,MATCH(ROWS($AH$2:AH929),$AH$2:$AH$1001,0),MATCH(COLUMNS($AO$1006:AQ1006),$AO$1006:$BQ$1006,0)), HYPERLINK("#",""), HYPERLINK(CONCATENATE("#Metadata!", ADDRESS(INDEX($AJ$2:$AJ$1001,MATCH(ROWS($AH$2:AH929),$AH$2:$AH$1001,0),0), INDEX($AO$1004:$BQ$1004,1,MATCH(COLUMNS($AO$1006:AQ1006),$AO$1006:$BQ$1006,0)))),"Fix")))</f>
        <v>#N/A</v>
      </c>
      <c r="E929" s="5" t="e">
        <f ca="1">IF(OR(INDEX($AI$2:$AI$1001,MATCH(ROWS($AH$2:AH929),$AH$2:$AH$1001,0),1)&gt;=100000,INDEX($AO$1005:$BQ$1005,1,MATCH(COLUMNS($AO$1006:AR1006),$AO$1006:$BQ$1006,0))&gt;=100000), " ",IF(INDEX($AO$2:$BQ$1001,MATCH(ROWS($AH$2:AH929),$AH$2:$AH$1001,0),MATCH(COLUMNS($AO$1006:AR1006),$AO$1006:$BQ$1006,0)), HYPERLINK("#",""), HYPERLINK(CONCATENATE("#Metadata!", ADDRESS(INDEX($AJ$2:$AJ$1001,MATCH(ROWS($AH$2:AH929),$AH$2:$AH$1001,0),0), INDEX($AO$1004:$BQ$1004,1,MATCH(COLUMNS($AO$1006:AR1006),$AO$1006:$BQ$1006,0)))),"Fix")))</f>
        <v>#N/A</v>
      </c>
      <c r="F929" s="5" t="e">
        <f ca="1">IF(OR(INDEX($AI$2:$AI$1001,MATCH(ROWS($AH$2:AH929),$AH$2:$AH$1001,0),1)&gt;=100000,INDEX($AO$1005:$BQ$1005,1,MATCH(COLUMNS($AO$1006:AS1006),$AO$1006:$BQ$1006,0))&gt;=100000), " ",IF(INDEX($AO$2:$BQ$1001,MATCH(ROWS($AH$2:AH929),$AH$2:$AH$1001,0),MATCH(COLUMNS($AO$1006:AS1006),$AO$1006:$BQ$1006,0)), HYPERLINK("#",""), HYPERLINK(CONCATENATE("#Metadata!", ADDRESS(INDEX($AJ$2:$AJ$1001,MATCH(ROWS($AH$2:AH929),$AH$2:$AH$1001,0),0), INDEX($AO$1004:$BQ$1004,1,MATCH(COLUMNS($AO$1006:AS1006),$AO$1006:$BQ$1006,0)))),"Fix")))</f>
        <v>#N/A</v>
      </c>
      <c r="G929" s="5" t="e">
        <f ca="1">IF(OR(INDEX($AI$2:$AI$1001,MATCH(ROWS($AH$2:AH929),$AH$2:$AH$1001,0),1)&gt;=100000,INDEX($AO$1005:$BQ$1005,1,MATCH(COLUMNS($AO$1006:AT1006),$AO$1006:$BQ$1006,0))&gt;=100000), " ",IF(INDEX($AO$2:$BQ$1001,MATCH(ROWS($AH$2:AH929),$AH$2:$AH$1001,0),MATCH(COLUMNS($AO$1006:AT1006),$AO$1006:$BQ$1006,0)), HYPERLINK("#",""), HYPERLINK(CONCATENATE("#Metadata!", ADDRESS(INDEX($AJ$2:$AJ$1001,MATCH(ROWS($AH$2:AH929),$AH$2:$AH$1001,0),0), INDEX($AO$1004:$BQ$1004,1,MATCH(COLUMNS($AO$1006:AT1006),$AO$1006:$BQ$1006,0)))),"Fix")))</f>
        <v>#N/A</v>
      </c>
      <c r="H929" s="5" t="e">
        <f ca="1">IF(OR(INDEX($AI$2:$AI$1001,MATCH(ROWS($AH$2:AH929),$AH$2:$AH$1001,0),1)&gt;=100000,INDEX($AO$1005:$BQ$1005,1,MATCH(COLUMNS($AO$1006:AU1006),$AO$1006:$BQ$1006,0))&gt;=100000), " ",IF(INDEX($AO$2:$BQ$1001,MATCH(ROWS($AH$2:AH929),$AH$2:$AH$1001,0),MATCH(COLUMNS($AO$1006:AU1006),$AO$1006:$BQ$1006,0)), HYPERLINK("#",""), HYPERLINK(CONCATENATE("#Metadata!", ADDRESS(INDEX($AJ$2:$AJ$1001,MATCH(ROWS($AH$2:AH929),$AH$2:$AH$1001,0),0), INDEX($AO$1004:$BQ$1004,1,MATCH(COLUMNS($AO$1006:AU1006),$AO$1006:$BQ$1006,0)))),"Fix")))</f>
        <v>#N/A</v>
      </c>
      <c r="I929" s="5" t="e">
        <f ca="1">IF(OR(INDEX($AI$2:$AI$1001,MATCH(ROWS($AH$2:AH929),$AH$2:$AH$1001,0),1)&gt;=100000,INDEX($AO$1005:$BQ$1005,1,MATCH(COLUMNS($AO$1006:AV1006),$AO$1006:$BQ$1006,0))&gt;=100000), " ",IF(INDEX($AO$2:$BQ$1001,MATCH(ROWS($AH$2:AH929),$AH$2:$AH$1001,0),MATCH(COLUMNS($AO$1006:AV1006),$AO$1006:$BQ$1006,0)), HYPERLINK("#",""), HYPERLINK(CONCATENATE("#Metadata!", ADDRESS(INDEX($AJ$2:$AJ$1001,MATCH(ROWS($AH$2:AH929),$AH$2:$AH$1001,0),0), INDEX($AO$1004:$BQ$1004,1,MATCH(COLUMNS($AO$1006:AV1006),$AO$1006:$BQ$1006,0)))),"Fix")))</f>
        <v>#N/A</v>
      </c>
      <c r="J929" s="5" t="e">
        <f ca="1">IF(OR(INDEX($AI$2:$AI$1001,MATCH(ROWS($AH$2:AH929),$AH$2:$AH$1001,0),1)&gt;=100000,INDEX($AO$1005:$BQ$1005,1,MATCH(COLUMNS($AO$1006:AW1006),$AO$1006:$BQ$1006,0))&gt;=100000), " ",IF(INDEX($AO$2:$BQ$1001,MATCH(ROWS($AH$2:AH929),$AH$2:$AH$1001,0),MATCH(COLUMNS($AO$1006:AW1006),$AO$1006:$BQ$1006,0)), HYPERLINK("#",""), HYPERLINK(CONCATENATE("#Metadata!", ADDRESS(INDEX($AJ$2:$AJ$1001,MATCH(ROWS($AH$2:AH929),$AH$2:$AH$1001,0),0), INDEX($AO$1004:$BQ$1004,1,MATCH(COLUMNS($AO$1006:AW1006),$AO$1006:$BQ$1006,0)))),"Fix")))</f>
        <v>#N/A</v>
      </c>
      <c r="K929" s="5" t="e">
        <f ca="1">IF(OR(INDEX($AI$2:$AI$1001,MATCH(ROWS($AH$2:AH929),$AH$2:$AH$1001,0),1)&gt;=100000,INDEX($AO$1005:$BQ$1005,1,MATCH(COLUMNS($AO$1006:AX1006),$AO$1006:$BQ$1006,0))&gt;=100000), " ",IF(INDEX($AO$2:$BQ$1001,MATCH(ROWS($AH$2:AH929),$AH$2:$AH$1001,0),MATCH(COLUMNS($AO$1006:AX1006),$AO$1006:$BQ$1006,0)), HYPERLINK("#",""), HYPERLINK(CONCATENATE("#Metadata!", ADDRESS(INDEX($AJ$2:$AJ$1001,MATCH(ROWS($AH$2:AH929),$AH$2:$AH$1001,0),0), INDEX($AO$1004:$BQ$1004,1,MATCH(COLUMNS($AO$1006:AX1006),$AO$1006:$BQ$1006,0)))),"Fix")))</f>
        <v>#N/A</v>
      </c>
      <c r="L929" s="5" t="e">
        <f ca="1">IF(OR(INDEX($AI$2:$AI$1001,MATCH(ROWS($AH$2:AH929),$AH$2:$AH$1001,0),1)&gt;=100000,INDEX($AO$1005:$BQ$1005,1,MATCH(COLUMNS($AO$1006:AY1006),$AO$1006:$BQ$1006,0))&gt;=100000), " ",IF(INDEX($AO$2:$BQ$1001,MATCH(ROWS($AH$2:AH929),$AH$2:$AH$1001,0),MATCH(COLUMNS($AO$1006:AY1006),$AO$1006:$BQ$1006,0)), HYPERLINK("#",""), HYPERLINK(CONCATENATE("#Metadata!", ADDRESS(INDEX($AJ$2:$AJ$1001,MATCH(ROWS($AH$2:AH929),$AH$2:$AH$1001,0),0), INDEX($AO$1004:$BQ$1004,1,MATCH(COLUMNS($AO$1006:AY1006),$AO$1006:$BQ$1006,0)))),"Fix")))</f>
        <v>#N/A</v>
      </c>
      <c r="M929" s="5" t="e">
        <f ca="1">IF(OR(INDEX($AI$2:$AI$1001,MATCH(ROWS($AH$2:AH929),$AH$2:$AH$1001,0),1)&gt;=100000,INDEX($AO$1005:$BQ$1005,1,MATCH(COLUMNS($AO$1006:AZ1006),$AO$1006:$BQ$1006,0))&gt;=100000), " ",IF(INDEX($AO$2:$BQ$1001,MATCH(ROWS($AH$2:AH929),$AH$2:$AH$1001,0),MATCH(COLUMNS($AO$1006:AZ1006),$AO$1006:$BQ$1006,0)), HYPERLINK("#",""), HYPERLINK(CONCATENATE("#Metadata!", ADDRESS(INDEX($AJ$2:$AJ$1001,MATCH(ROWS($AH$2:AH929),$AH$2:$AH$1001,0),0), INDEX($AO$1004:$BQ$1004,1,MATCH(COLUMNS($AO$1006:AZ1006),$AO$1006:$BQ$1006,0)))),"Fix")))</f>
        <v>#N/A</v>
      </c>
      <c r="N929" s="5" t="e">
        <f ca="1">IF(OR(INDEX($AI$2:$AI$1001,MATCH(ROWS($AH$2:AH929),$AH$2:$AH$1001,0),1)&gt;=100000,INDEX($AO$1005:$BQ$1005,1,MATCH(COLUMNS($AO$1006:BA1006),$AO$1006:$BQ$1006,0))&gt;=100000), " ",IF(INDEX($AO$2:$BQ$1001,MATCH(ROWS($AH$2:AH929),$AH$2:$AH$1001,0),MATCH(COLUMNS($AO$1006:BA1006),$AO$1006:$BQ$1006,0)), HYPERLINK("#",""), HYPERLINK(CONCATENATE("#Metadata!", ADDRESS(INDEX($AJ$2:$AJ$1001,MATCH(ROWS($AH$2:AH929),$AH$2:$AH$1001,0),0), INDEX($AO$1004:$BQ$1004,1,MATCH(COLUMNS($AO$1006:BA1006),$AO$1006:$BQ$1006,0)))),"Fix")))</f>
        <v>#N/A</v>
      </c>
      <c r="O929" s="5" t="e">
        <f ca="1">IF(OR(INDEX($AI$2:$AI$1001,MATCH(ROWS($AH$2:AH929),$AH$2:$AH$1001,0),1)&gt;=100000,INDEX($AO$1005:$BQ$1005,1,MATCH(COLUMNS($AO$1006:BB1006),$AO$1006:$BQ$1006,0))&gt;=100000), " ",IF(INDEX($AO$2:$BQ$1001,MATCH(ROWS($AH$2:AH929),$AH$2:$AH$1001,0),MATCH(COLUMNS($AO$1006:BB1006),$AO$1006:$BQ$1006,0)), HYPERLINK("#",""), HYPERLINK(CONCATENATE("#Metadata!", ADDRESS(INDEX($AJ$2:$AJ$1001,MATCH(ROWS($AH$2:AH929),$AH$2:$AH$1001,0),0), INDEX($AO$1004:$BQ$1004,1,MATCH(COLUMNS($AO$1006:BB1006),$AO$1006:$BQ$1006,0)))),"Fix")))</f>
        <v>#N/A</v>
      </c>
      <c r="P929" s="5" t="e">
        <f ca="1">IF(OR(INDEX($AI$2:$AI$1001,MATCH(ROWS($AH$2:AH929),$AH$2:$AH$1001,0),1)&gt;=100000,INDEX($AO$1005:$BQ$1005,1,MATCH(COLUMNS($AO$1006:BC1006),$AO$1006:$BQ$1006,0))&gt;=100000), " ",IF(INDEX($AO$2:$BQ$1001,MATCH(ROWS($AH$2:AH929),$AH$2:$AH$1001,0),MATCH(COLUMNS($AO$1006:BC1006),$AO$1006:$BQ$1006,0)), HYPERLINK("#",""), HYPERLINK(CONCATENATE("#Metadata!", ADDRESS(INDEX($AJ$2:$AJ$1001,MATCH(ROWS($AH$2:AH929),$AH$2:$AH$1001,0),0), INDEX($AO$1004:$BQ$1004,1,MATCH(COLUMNS($AO$1006:BC1006),$AO$1006:$BQ$1006,0)))),"Fix")))</f>
        <v>#N/A</v>
      </c>
      <c r="Q929" s="5" t="e">
        <f ca="1">IF(OR(INDEX($AI$2:$AI$1001,MATCH(ROWS($AH$2:AH929),$AH$2:$AH$1001,0),1)&gt;=100000,INDEX($AO$1005:$BQ$1005,1,MATCH(COLUMNS($AO$1006:BD1006),$AO$1006:$BQ$1006,0))&gt;=100000), " ",IF(INDEX($AO$2:$BQ$1001,MATCH(ROWS($AH$2:AH929),$AH$2:$AH$1001,0),MATCH(COLUMNS($AO$1006:BD1006),$AO$1006:$BQ$1006,0)), HYPERLINK("#",""), HYPERLINK(CONCATENATE("#Metadata!", ADDRESS(INDEX($AJ$2:$AJ$1001,MATCH(ROWS($AH$2:AH929),$AH$2:$AH$1001,0),0), INDEX($AO$1004:$BQ$1004,1,MATCH(COLUMNS($AO$1006:BD1006),$AO$1006:$BQ$1006,0)))),"Fix")))</f>
        <v>#N/A</v>
      </c>
      <c r="R929" s="5" t="e">
        <f ca="1">IF(OR(INDEX($AI$2:$AI$1001,MATCH(ROWS($AH$2:AH929),$AH$2:$AH$1001,0),1)&gt;=100000,INDEX($AO$1005:$BQ$1005,1,MATCH(COLUMNS($AO$1006:BE1006),$AO$1006:$BQ$1006,0))&gt;=100000), " ",IF(INDEX($AO$2:$BQ$1001,MATCH(ROWS($AH$2:AH929),$AH$2:$AH$1001,0),MATCH(COLUMNS($AO$1006:BE1006),$AO$1006:$BQ$1006,0)), HYPERLINK("#",""), HYPERLINK(CONCATENATE("#Metadata!", ADDRESS(INDEX($AJ$2:$AJ$1001,MATCH(ROWS($AH$2:AH929),$AH$2:$AH$1001,0),0), INDEX($AO$1004:$BQ$1004,1,MATCH(COLUMNS($AO$1006:BE1006),$AO$1006:$BQ$1006,0)))),"Fix")))</f>
        <v>#N/A</v>
      </c>
      <c r="S929" s="5" t="e">
        <f ca="1">IF(OR(INDEX($AI$2:$AI$1001,MATCH(ROWS($AH$2:AH929),$AH$2:$AH$1001,0),1)&gt;=100000,INDEX($AO$1005:$BQ$1005,1,MATCH(COLUMNS($AO$1006:BF1006),$AO$1006:$BQ$1006,0))&gt;=100000), " ",IF(INDEX($AO$2:$BQ$1001,MATCH(ROWS($AH$2:AH929),$AH$2:$AH$1001,0),MATCH(COLUMNS($AO$1006:BF1006),$AO$1006:$BQ$1006,0)), HYPERLINK("#",""), HYPERLINK(CONCATENATE("#Metadata!", ADDRESS(INDEX($AJ$2:$AJ$1001,MATCH(ROWS($AH$2:AH929),$AH$2:$AH$1001,0),0), INDEX($AO$1004:$BQ$1004,1,MATCH(COLUMNS($AO$1006:BF1006),$AO$1006:$BQ$1006,0)))),"Fix")))</f>
        <v>#N/A</v>
      </c>
      <c r="T929" s="5" t="e">
        <f ca="1">IF(OR(INDEX($AI$2:$AI$1001,MATCH(ROWS($AH$2:AH929),$AH$2:$AH$1001,0),1)&gt;=100000,INDEX($AO$1005:$BQ$1005,1,MATCH(COLUMNS($AO$1006:BG1006),$AO$1006:$BQ$1006,0))&gt;=100000), " ",IF(INDEX($AO$2:$BQ$1001,MATCH(ROWS($AH$2:AH929),$AH$2:$AH$1001,0),MATCH(COLUMNS($AO$1006:BG1006),$AO$1006:$BQ$1006,0)), HYPERLINK("#",""), HYPERLINK(CONCATENATE("#Metadata!", ADDRESS(INDEX($AJ$2:$AJ$1001,MATCH(ROWS($AH$2:AH929),$AH$2:$AH$1001,0),0), INDEX($AO$1004:$BQ$1004,1,MATCH(COLUMNS($AO$1006:BG1006),$AO$1006:$BQ$1006,0)))),"Fix")))</f>
        <v>#N/A</v>
      </c>
      <c r="U929" s="5" t="e">
        <f ca="1">IF(OR(INDEX($AI$2:$AI$1001,MATCH(ROWS($AH$2:AH929),$AH$2:$AH$1001,0),1)&gt;=100000,INDEX($AO$1005:$BQ$1005,1,MATCH(COLUMNS($AO$1006:BH1006),$AO$1006:$BQ$1006,0))&gt;=100000), " ",IF(INDEX($AO$2:$BQ$1001,MATCH(ROWS($AH$2:AH929),$AH$2:$AH$1001,0),MATCH(COLUMNS($AO$1006:BH1006),$AO$1006:$BQ$1006,0)), HYPERLINK("#",""), HYPERLINK(CONCATENATE("#Metadata!", ADDRESS(INDEX($AJ$2:$AJ$1001,MATCH(ROWS($AH$2:AH929),$AH$2:$AH$1001,0),0), INDEX($AO$1004:$BQ$1004,1,MATCH(COLUMNS($AO$1006:BH1006),$AO$1006:$BQ$1006,0)))),"Fix")))</f>
        <v>#N/A</v>
      </c>
      <c r="V929" s="5" t="e">
        <f ca="1">IF(OR(INDEX($AI$2:$AI$1001,MATCH(ROWS($AH$2:AH929),$AH$2:$AH$1001,0),1)&gt;=100000,INDEX($AO$1005:$BQ$1005,1,MATCH(COLUMNS($AO$1006:BI1006),$AO$1006:$BQ$1006,0))&gt;=100000), " ",IF(INDEX($AO$2:$BQ$1001,MATCH(ROWS($AH$2:AH929),$AH$2:$AH$1001,0),MATCH(COLUMNS($AO$1006:BI1006),$AO$1006:$BQ$1006,0)), HYPERLINK("#",""), HYPERLINK(CONCATENATE("#Metadata!", ADDRESS(INDEX($AJ$2:$AJ$1001,MATCH(ROWS($AH$2:AH929),$AH$2:$AH$1001,0),0), INDEX($AO$1004:$BQ$1004,1,MATCH(COLUMNS($AO$1006:BI1006),$AO$1006:$BQ$1006,0)))),"Fix")))</f>
        <v>#N/A</v>
      </c>
      <c r="W929" s="5" t="e">
        <f ca="1">IF(OR(INDEX($AI$2:$AI$1001,MATCH(ROWS($AH$2:AH929),$AH$2:$AH$1001,0),1)&gt;=100000,INDEX($AO$1005:$BQ$1005,1,MATCH(COLUMNS($AO$1006:BJ1006),$AO$1006:$BQ$1006,0))&gt;=100000), " ",IF(INDEX($AO$2:$BQ$1001,MATCH(ROWS($AH$2:AH929),$AH$2:$AH$1001,0),MATCH(COLUMNS($AO$1006:BJ1006),$AO$1006:$BQ$1006,0)), HYPERLINK("#",""), HYPERLINK(CONCATENATE("#Metadata!", ADDRESS(INDEX($AJ$2:$AJ$1001,MATCH(ROWS($AH$2:AH929),$AH$2:$AH$1001,0),0), INDEX($AO$1004:$BQ$1004,1,MATCH(COLUMNS($AO$1006:BJ1006),$AO$1006:$BQ$1006,0)))),"Fix")))</f>
        <v>#N/A</v>
      </c>
      <c r="X929" s="5" t="e">
        <f ca="1">IF(OR(INDEX($AI$2:$AI$1001,MATCH(ROWS($AH$2:AH929),$AH$2:$AH$1001,0),1)&gt;=100000,INDEX($AO$1005:$BQ$1005,1,MATCH(COLUMNS($AO$1006:BK1006),$AO$1006:$BQ$1006,0))&gt;=100000), " ",IF(INDEX($AO$2:$BQ$1001,MATCH(ROWS($AH$2:AH929),$AH$2:$AH$1001,0),MATCH(COLUMNS($AO$1006:BK1006),$AO$1006:$BQ$1006,0)), HYPERLINK("#",""), HYPERLINK(CONCATENATE("#Metadata!", ADDRESS(INDEX($AJ$2:$AJ$1001,MATCH(ROWS($AH$2:AH929),$AH$2:$AH$1001,0),0), INDEX($AO$1004:$BQ$1004,1,MATCH(COLUMNS($AO$1006:BK1006),$AO$1006:$BQ$1006,0)))),"Fix")))</f>
        <v>#N/A</v>
      </c>
      <c r="Y929" s="5" t="e">
        <f ca="1">IF(OR(INDEX($AI$2:$AI$1001,MATCH(ROWS($AH$2:AH929),$AH$2:$AH$1001,0),1)&gt;=100000,INDEX($AO$1005:$BQ$1005,1,MATCH(COLUMNS($AO$1006:BL1006),$AO$1006:$BQ$1006,0))&gt;=100000), " ",IF(INDEX($AO$2:$BQ$1001,MATCH(ROWS($AH$2:AH929),$AH$2:$AH$1001,0),MATCH(COLUMNS($AO$1006:BL1006),$AO$1006:$BQ$1006,0)), HYPERLINK("#",""), HYPERLINK(CONCATENATE("#Metadata!", ADDRESS(INDEX($AJ$2:$AJ$1001,MATCH(ROWS($AH$2:AH929),$AH$2:$AH$1001,0),0), INDEX($AO$1004:$BQ$1004,1,MATCH(COLUMNS($AO$1006:BL1006),$AO$1006:$BQ$1006,0)))),"Fix")))</f>
        <v>#N/A</v>
      </c>
      <c r="Z929" s="5" t="e">
        <f ca="1">IF(OR(INDEX($AI$2:$AI$1001,MATCH(ROWS($AH$2:AH929),$AH$2:$AH$1001,0),1)&gt;=100000,INDEX($AO$1005:$BQ$1005,1,MATCH(COLUMNS($AO$1006:BM1006),$AO$1006:$BQ$1006,0))&gt;=100000), " ",IF(INDEX($AO$2:$BQ$1001,MATCH(ROWS($AH$2:AH929),$AH$2:$AH$1001,0),MATCH(COLUMNS($AO$1006:BM1006),$AO$1006:$BQ$1006,0)), HYPERLINK("#",""), HYPERLINK(CONCATENATE("#Metadata!", ADDRESS(INDEX($AJ$2:$AJ$1001,MATCH(ROWS($AH$2:AH929),$AH$2:$AH$1001,0),0), INDEX($AO$1004:$BQ$1004,1,MATCH(COLUMNS($AO$1006:BM1006),$AO$1006:$BQ$1006,0)))),"Fix")))</f>
        <v>#N/A</v>
      </c>
      <c r="AA929" s="5" t="e">
        <f ca="1">IF(OR(INDEX($AI$2:$AI$1001,MATCH(ROWS($AH$2:AH929),$AH$2:$AH$1001,0),1)&gt;=100000,INDEX($AO$1005:$BQ$1005,1,MATCH(COLUMNS($AO$1006:BN1006),$AO$1006:$BQ$1006,0))&gt;=100000), " ",IF(INDEX($AO$2:$BQ$1001,MATCH(ROWS($AH$2:AH929),$AH$2:$AH$1001,0),MATCH(COLUMNS($AO$1006:BN1006),$AO$1006:$BQ$1006,0)), HYPERLINK("#",""), HYPERLINK(CONCATENATE("#Metadata!", ADDRESS(INDEX($AJ$2:$AJ$1001,MATCH(ROWS($AH$2:AH929),$AH$2:$AH$1001,0),0), INDEX($AO$1004:$BQ$1004,1,MATCH(COLUMNS($AO$1006:BN1006),$AO$1006:$BQ$1006,0)))),"Fix")))</f>
        <v>#N/A</v>
      </c>
      <c r="AB929" s="5" t="e">
        <f ca="1">IF(OR(INDEX($AI$2:$AI$1001,MATCH(ROWS($AH$2:AH929),$AH$2:$AH$1001,0),1)&gt;=100000,INDEX($AO$1005:$BQ$1005,1,MATCH(COLUMNS($AO$1006:BO1006),$AO$1006:$BQ$1006,0))&gt;=100000), " ",IF(INDEX($AO$2:$BQ$1001,MATCH(ROWS($AH$2:AH929),$AH$2:$AH$1001,0),MATCH(COLUMNS($AO$1006:BO1006),$AO$1006:$BQ$1006,0)), HYPERLINK("#",""), HYPERLINK(CONCATENATE("#Metadata!", ADDRESS(INDEX($AJ$2:$AJ$1001,MATCH(ROWS($AH$2:AH929),$AH$2:$AH$1001,0),0), INDEX($AO$1004:$BQ$1004,1,MATCH(COLUMNS($AO$1006:BO1006),$AO$1006:$BQ$1006,0)))),"Fix")))</f>
        <v>#N/A</v>
      </c>
      <c r="AC929" s="5" t="e">
        <f ca="1">IF(OR(INDEX($AI$2:$AI$1001,MATCH(ROWS($AH$2:AH929),$AH$2:$AH$1001,0),1)&gt;=100000,INDEX($AO$1005:$BQ$1005,1,MATCH(COLUMNS($AO$1006:BP1006),$AO$1006:$BQ$1006,0))&gt;=100000), " ",IF(INDEX($AO$2:$BQ$1001,MATCH(ROWS($AH$2:AH929),$AH$2:$AH$1001,0),MATCH(COLUMNS($AO$1006:BP1006),$AO$1006:$BQ$1006,0)), HYPERLINK("#",""), HYPERLINK(CONCATENATE("#Metadata!", ADDRESS(INDEX($AJ$2:$AJ$1001,MATCH(ROWS($AH$2:AH929),$AH$2:$AH$1001,0),0), INDEX($AO$1004:$BQ$1004,1,MATCH(COLUMNS($AO$1006:BP1006),$AO$1006:$BQ$1006,0)))),"Fix")))</f>
        <v>#N/A</v>
      </c>
      <c r="AD929" s="5" t="e">
        <f ca="1">IF(OR(INDEX($AI$2:$AI$1001,MATCH(ROWS($AH$2:AH929),$AH$2:$AH$1001,0),1)&gt;=100000,INDEX($AO$1005:$BQ$1005,1,MATCH(COLUMNS($AO$1006:BQ1006),$AO$1006:$BQ$1006,0))&gt;=100000), " ",IF(INDEX($AO$2:$BQ$1001,MATCH(ROWS($AH$2:AH929),$AH$2:$AH$1001,0),MATCH(COLUMNS($AO$1006:BQ1006),$AO$1006:$BQ$1006,0)), HYPERLINK("#",""), HYPERLINK(CONCATENATE("#Metadata!", ADDRESS(INDEX($AJ$2:$AJ$1001,MATCH(ROWS($AH$2:AH929),$AH$2:$AH$1001,0),0), INDEX($AO$1004:$BQ$1004,1,MATCH(COLUMNS($AO$1006:BQ1006),$AO$1006:$BQ$1006,0)))),"Fix")))</f>
        <v>#REF!</v>
      </c>
      <c r="AH929">
        <f ca="1"/>
        <v>926</v>
      </c>
      <c r="AI929">
        <v>100929</v>
      </c>
      <c r="AJ929">
        <v>929</v>
      </c>
      <c r="AK929" t="b">
        <f t="shared" si="14"/>
        <v>1</v>
      </c>
      <c r="AL929" t="b">
        <f>COUNTBLANK(Metadata!B929:AD929)=COLUMNS(Metadata!B929:AD929)</f>
        <v>1</v>
      </c>
      <c r="AM929" t="str">
        <v/>
      </c>
      <c r="AO929" t="b">
        <f ca="1">AND(IF(Metadata!B929="",FALSE,TRUE),COUNTIF(Metadata!B:B, Metadata!B929) = 1,NOT(ISERROR(SUMPRODUCT(SEARCH(MID(Metadata!B929,ROW(INDIRECT("1:"&amp;LEN(Metadata!B929))), 1),"0123456789abcdefghijklmnopqrstuvwxyzABCDEFGHIJKLMNOPQRSTUVWXYZ.")))))</f>
        <v>0</v>
      </c>
      <c r="AP929" t="b">
        <f>IF(Metadata!C929="",FALSE,TRUE)</f>
        <v>0</v>
      </c>
      <c r="AQ929" t="b">
        <f>IF(Metadata!D929="",FALSE,TRUE)</f>
        <v>0</v>
      </c>
      <c r="AR929" t="b">
        <f ca="1">OR(AND(IF(Metadata!E929="",FALSE,TRUE),OR(EXACT(Metadata!E929,"not collected"),EXACT(Metadata!E929,"not provided"),EXACT(Metadata!E929,"restricted access"))),AND(IF(Metadata!E929="",FALSE,TRUE),AND(AND(IFERROR(INT(LEFT(Metadata!E929,4))&gt;1900,FALSE),IFERROR(INT(LEFT(Metadata!E929,4))&lt;=YEAR(NOW()),FALSE)), OR(MID(Metadata!E929,5,1)="", AND(AND(MID(Metadata!E929,5,1)="-",IFERROR(INT(MID(Metadata!E929,6,1))&gt;=0,FALSE),IFERROR(INT(MID(Metadata!E929,6,1))&lt;=1,FALSE),NOT(MID(Metadata!E929,7,1)=""),IFERROR(INT(MID(Metadata!E929,6,2))&gt;=1,FALSE),IFERROR(INT(MID(Metadata!E929,6,2))&lt;=12,FALSE)), OR(MID(Metadata!E929,8,1)="", AND(AND(MID(Metadata!E929,8,1)="-",IFERROR(INT(MID(Metadata!E929,9,1))&gt;=0,FALSE),IFERROR(INT(MID(Metadata!E929,9,1))&lt;=3,FALSE),NOT(MID(Metadata!E929,10,1)=""),IFERROR(INT(MID(Metadata!E929,9,2))&gt;=1,FALSE),IFERROR(INT(MID(Metadata!E929,9,2))&lt;=31,FALSE)), OR(MID(Metadata!E929,11,1)="", AND(AND(MID(Metadata!E929,11,1)=" ",IFERROR(INT(MID(Metadata!E929,12,1))&gt;=0,FALSE),IFERROR(INT(MID(Metadata!E929,12,1))&lt;=2,FALSE),NOT(MID(Metadata!E929,13,1)=""),IFERROR(INT(MID(Metadata!E929,12,2))&gt;=0,FALSE),IFERROR(INT(MID(Metadata!E929,12,2))&lt;=23,FALSE)), OR(MID(Metadata!E929,14,1)="", AND(AND(MID(Metadata!E929,14,1)=":",IFERROR(INT(MID(Metadata!E929,15,1))&gt;=0,FALSE),IFERROR(INT(MID(Metadata!E929,15,1))&lt;=5,FALSE),NOT(MID(Metadata!E929,16,1)=""),IFERROR(INT(MID(Metadata!E929,15,2))&gt;=0,FALSE),IFERROR(INT(MID(Metadata!E929,15,2))&lt;=59,FALSE)), OR(MID(Metadata!E929,17,1)="", AND(AND(MID(Metadata!E929,17,1)=":",IFERROR(INT(MID(Metadata!E929,18,1))&gt;=0,FALSE),IFERROR(INT(MID(Metadata!E929,18,1))&lt;=5,FALSE),NOT(MID(Metadata!E929,19,1)=""),IFERROR(INT(MID(Metadata!E929,18,2))&gt;=0,FALSE),IFERROR(INT(MID(Metadata!E929,18,2))&lt;=59,FALSE)), LEN(Metadata!E929)&lt;=19)))))))))))))</f>
        <v>0</v>
      </c>
      <c r="AS929" t="b">
        <f>IF(Metadata!F929="",FALSE,TRUE)</f>
        <v>0</v>
      </c>
      <c r="AT929" t="b">
        <f>OR(AND(IF(Metadata!G929="",FALSE,TRUE),OR(EXACT(Metadata!G929,"not collected"),EXACT(Metadata!G929,"not provided"))),AND(IF(Metadata!G929="",FALSE,TRUE),OR(EXACT(Metadata!G929,"TRUE"),EXACT(Metadata!G929,"FALSE"))))</f>
        <v>0</v>
      </c>
      <c r="AU929" t="b">
        <f>OR(AND(IF(Metadata!H929="",FALSE,TRUE),OR(EXACT(Metadata!H929,"not collected"),EXACT(Metadata!H929,"not provided"),EXACT(Metadata!H929,"restricted access"))),AND(IF(Metadata!H929="",FALSE,ISNUMBER(VALUE(Metadata!H929))),Metadata!H929&gt;=-413))</f>
        <v>0</v>
      </c>
      <c r="AV929" t="b">
        <f>AND(IF(Metadata!I929="",FALSE,TRUE),EXACT(Metadata!I929,"meters"))</f>
        <v>0</v>
      </c>
      <c r="AW929" t="b">
        <f>AND(IF(Metadata!J929="",FALSE,TRUE),EXACT(Metadata!J929,"free-living"))</f>
        <v>0</v>
      </c>
      <c r="AX929" t="b">
        <f>AND(IF(Metadata!K929="",FALSE,TRUE),OR(EXACT(Metadata!K929,"saline"),EXACT(Metadata!K929,"non-saline")))</f>
        <v>0</v>
      </c>
      <c r="AY929" t="b">
        <f>AND(IF(Metadata!L929="",FALSE,TRUE),OR(EXACT(Metadata!L929,"sub-surface (non-saline)"),EXACT(Metadata!L929,"surface (non-saline)"),EXACT(Metadata!L929,"water (non-saline)"),EXACT(Metadata!L929,"soil (non-saline)"),EXACT(Metadata!L929,"aerosol (non-saline)"),EXACT(Metadata!L929,"sediment (non-saline)"),EXACT(Metadata!L929,"surface (saline)"),EXACT(Metadata!L929,"water (saline)"),EXACT(Metadata!L929,"hypersaline (saline)"),EXACT(Metadata!L929,"aerosol (saline)"),EXACT(Metadata!L929,"sediment (saline)")))</f>
        <v>0</v>
      </c>
      <c r="AZ929" t="b">
        <f>IF(Metadata!M929="",FALSE,TRUE)</f>
        <v>0</v>
      </c>
      <c r="BA929" t="b">
        <f>IF(Metadata!N929="",FALSE,TRUE)</f>
        <v>0</v>
      </c>
      <c r="BB929" t="b">
        <f>IF(Metadata!O929="",FALSE,TRUE)</f>
        <v>0</v>
      </c>
      <c r="BC929" t="b">
        <f>AND(IF(Metadata!P929="",FALSE,TRUE),OR(EXACT(Metadata!P929,"air"),EXACT(Metadata!P929,"microbial mat/biofilm"),EXACT(Metadata!P929,"misc environment"),EXACT(Metadata!P929,"sediment"),EXACT(Metadata!P929,"soil"),EXACT(Metadata!P929,"wastewater/sludge"),EXACT(Metadata!P929,"water")))</f>
        <v>0</v>
      </c>
      <c r="BD929" t="b">
        <f>IF(Metadata!Q929="",FALSE,TRUE)</f>
        <v>0</v>
      </c>
      <c r="BE929" t="b">
        <f>IF(Metadata!R929="",FALSE,TRUE)</f>
        <v>0</v>
      </c>
      <c r="BF929" t="b">
        <f>OR(AND(IF(Metadata!S929="",FALSE,TRUE),OR(EXACT(Metadata!S929,"not collected"),EXACT(Metadata!S929,"not provided"),EXACT(Metadata!S929,"restricted access"))),AND(IF(Metadata!S929="",FALSE,ISNUMBER(VALUE(Metadata!S929))),Metadata!S929&gt;=-90,Metadata!S929&lt;=90))</f>
        <v>0</v>
      </c>
      <c r="BG929" t="b">
        <f>AND(IF(Metadata!T929="",FALSE,TRUE),EXACT(Metadata!T929,"Decimal degrees"))</f>
        <v>0</v>
      </c>
      <c r="BH929" t="b">
        <f>OR(AND(IF(Metadata!U929="",FALSE,TRUE),OR(EXACT(Metadata!U929,"not applicable"),EXACT(Metadata!U929,"not collected"))),IF(Metadata!U929="",FALSE,TRUE))</f>
        <v>0</v>
      </c>
      <c r="BI929" t="b">
        <f>OR(AND(IF(Metadata!V929="",FALSE,TRUE),OR(EXACT(Metadata!V929,"not collected"),EXACT(Metadata!V929,"not provided"),EXACT(Metadata!V929,"restricted access"))),AND(IF(Metadata!V929="",FALSE,ISNUMBER(VALUE(Metadata!V929))),Metadata!V929&gt;=-180,Metadata!V929&lt;=180))</f>
        <v>0</v>
      </c>
      <c r="BJ929" t="b">
        <f>AND(IF(Metadata!W929="",FALSE,TRUE),EXACT(Metadata!W929,"Decimal degrees"))</f>
        <v>0</v>
      </c>
      <c r="BK929" t="b">
        <f>IF(Metadata!X929="",FALSE,TRUE)</f>
        <v>0</v>
      </c>
      <c r="BL929" t="b">
        <f>OR(AND(IF(Metadata!Y929="",FALSE,TRUE),OR(EXACT(Metadata!Y929,"not collected"),EXACT(Metadata!Y929,"not provided"),EXACT(Metadata!Y929,"restricted access"))),AND(IF(Metadata!Y929="",FALSE,TRUE),OR(EXACT(Metadata!Y929,"TRUE"),EXACT(Metadata!Y929,"FALSE"))))</f>
        <v>0</v>
      </c>
      <c r="BM929" t="b">
        <f>OR(AND(IF(Metadata!Z929="",FALSE,TRUE),EXACT(Metadata!Z929,"not applicable")),AND(IF(Metadata!Z929="",FALSE,TRUE),OR(EXACT(Metadata!Z929,"beer"),EXACT(Metadata!Z929,"cheese"),EXACT(Metadata!Z929,"fresh water"),EXACT(Metadata!Z929,"marine sediment"),EXACT(Metadata!Z929,"sea water"),EXACT(Metadata!Z929,"sediment"),EXACT(Metadata!Z929,"soil"),EXACT(Metadata!Z929,"waste water"))))</f>
        <v>0</v>
      </c>
      <c r="BN929" t="b">
        <f>AND(IF(Metadata!AA929="",FALSE,TRUE),EXACT(Metadata!AA929,"metagenome"))</f>
        <v>0</v>
      </c>
      <c r="BO929" t="b">
        <f>AND(IF(Metadata!AB929="",FALSE,TRUE),EXACT(Metadata!AB929,"256318"))</f>
        <v>0</v>
      </c>
      <c r="BP929" t="b">
        <f>IF(Metadata!AC929="",FALSE,TRUE)</f>
        <v>0</v>
      </c>
      <c r="BQ929" t="b">
        <f>IF(Metadata!AD929="",FALSE,TRUE)</f>
        <v>0</v>
      </c>
    </row>
    <row r="930" spans="1:69" x14ac:dyDescent="0.2">
      <c r="A930" s="4" t="e">
        <f ca="1">IF(B930=" "," ",HYPERLINK(CONCATENATE("#metadata!",ADDRESS(INDEX($AJ$2:$AJ$1001,MATCH(ROWS($AH$2:AH930),$AH$2:$AH$1001,0),0),2)),INDEX($AM$2:$AM$1001,MATCH(ROWS($AH$2:AH930),$AH$2:$AH$1001,0),0)))</f>
        <v>#N/A</v>
      </c>
      <c r="B930" s="5" t="e">
        <f ca="1">IF(OR(INDEX($AI$2:$AI$1001,MATCH(ROWS($AH$2:AH930),$AH$2:$AH$1001,0),1)&gt;=100000,INDEX($AO$1005:$BQ$1005,1,MATCH(COLUMNS($AO$1006:AO1006),$AO$1006:$BQ$1006,0))&gt;=100000), " ",IF(INDEX($AO$2:$BQ$1001,MATCH(ROWS($AH$2:AH930),$AH$2:$AH$1001,0),MATCH(COLUMNS($AO$1006:AO1006),$AO$1006:$BQ$1006,0)), HYPERLINK("#",""), HYPERLINK(CONCATENATE("#Metadata!", ADDRESS(INDEX($AJ$2:$AJ$1001,MATCH(ROWS($AH$2:AH930),$AH$2:$AH$1001,0),0), INDEX($AO$1004:$BQ$1004,1,MATCH(COLUMNS($AO$1006:AO1006),$AO$1006:$BQ$1006,0)))),"Fix")))</f>
        <v>#N/A</v>
      </c>
      <c r="C930" s="5" t="e">
        <f ca="1">IF(OR(INDEX($AI$2:$AI$1001,MATCH(ROWS($AH$2:AH930),$AH$2:$AH$1001,0),1)&gt;=100000,INDEX($AO$1005:$BQ$1005,1,MATCH(COLUMNS($AO$1006:AP1006),$AO$1006:$BQ$1006,0))&gt;=100000), " ",IF(INDEX($AO$2:$BQ$1001,MATCH(ROWS($AH$2:AH930),$AH$2:$AH$1001,0),MATCH(COLUMNS($AO$1006:AP1006),$AO$1006:$BQ$1006,0)), HYPERLINK("#",""), HYPERLINK(CONCATENATE("#Metadata!", ADDRESS(INDEX($AJ$2:$AJ$1001,MATCH(ROWS($AH$2:AH930),$AH$2:$AH$1001,0),0), INDEX($AO$1004:$BQ$1004,1,MATCH(COLUMNS($AO$1006:AP1006),$AO$1006:$BQ$1006,0)))),"Fix")))</f>
        <v>#N/A</v>
      </c>
      <c r="D930" s="5" t="e">
        <f ca="1">IF(OR(INDEX($AI$2:$AI$1001,MATCH(ROWS($AH$2:AH930),$AH$2:$AH$1001,0),1)&gt;=100000,INDEX($AO$1005:$BQ$1005,1,MATCH(COLUMNS($AO$1006:AQ1006),$AO$1006:$BQ$1006,0))&gt;=100000), " ",IF(INDEX($AO$2:$BQ$1001,MATCH(ROWS($AH$2:AH930),$AH$2:$AH$1001,0),MATCH(COLUMNS($AO$1006:AQ1006),$AO$1006:$BQ$1006,0)), HYPERLINK("#",""), HYPERLINK(CONCATENATE("#Metadata!", ADDRESS(INDEX($AJ$2:$AJ$1001,MATCH(ROWS($AH$2:AH930),$AH$2:$AH$1001,0),0), INDEX($AO$1004:$BQ$1004,1,MATCH(COLUMNS($AO$1006:AQ1006),$AO$1006:$BQ$1006,0)))),"Fix")))</f>
        <v>#N/A</v>
      </c>
      <c r="E930" s="5" t="e">
        <f ca="1">IF(OR(INDEX($AI$2:$AI$1001,MATCH(ROWS($AH$2:AH930),$AH$2:$AH$1001,0),1)&gt;=100000,INDEX($AO$1005:$BQ$1005,1,MATCH(COLUMNS($AO$1006:AR1006),$AO$1006:$BQ$1006,0))&gt;=100000), " ",IF(INDEX($AO$2:$BQ$1001,MATCH(ROWS($AH$2:AH930),$AH$2:$AH$1001,0),MATCH(COLUMNS($AO$1006:AR1006),$AO$1006:$BQ$1006,0)), HYPERLINK("#",""), HYPERLINK(CONCATENATE("#Metadata!", ADDRESS(INDEX($AJ$2:$AJ$1001,MATCH(ROWS($AH$2:AH930),$AH$2:$AH$1001,0),0), INDEX($AO$1004:$BQ$1004,1,MATCH(COLUMNS($AO$1006:AR1006),$AO$1006:$BQ$1006,0)))),"Fix")))</f>
        <v>#N/A</v>
      </c>
      <c r="F930" s="5" t="e">
        <f ca="1">IF(OR(INDEX($AI$2:$AI$1001,MATCH(ROWS($AH$2:AH930),$AH$2:$AH$1001,0),1)&gt;=100000,INDEX($AO$1005:$BQ$1005,1,MATCH(COLUMNS($AO$1006:AS1006),$AO$1006:$BQ$1006,0))&gt;=100000), " ",IF(INDEX($AO$2:$BQ$1001,MATCH(ROWS($AH$2:AH930),$AH$2:$AH$1001,0),MATCH(COLUMNS($AO$1006:AS1006),$AO$1006:$BQ$1006,0)), HYPERLINK("#",""), HYPERLINK(CONCATENATE("#Metadata!", ADDRESS(INDEX($AJ$2:$AJ$1001,MATCH(ROWS($AH$2:AH930),$AH$2:$AH$1001,0),0), INDEX($AO$1004:$BQ$1004,1,MATCH(COLUMNS($AO$1006:AS1006),$AO$1006:$BQ$1006,0)))),"Fix")))</f>
        <v>#N/A</v>
      </c>
      <c r="G930" s="5" t="e">
        <f ca="1">IF(OR(INDEX($AI$2:$AI$1001,MATCH(ROWS($AH$2:AH930),$AH$2:$AH$1001,0),1)&gt;=100000,INDEX($AO$1005:$BQ$1005,1,MATCH(COLUMNS($AO$1006:AT1006),$AO$1006:$BQ$1006,0))&gt;=100000), " ",IF(INDEX($AO$2:$BQ$1001,MATCH(ROWS($AH$2:AH930),$AH$2:$AH$1001,0),MATCH(COLUMNS($AO$1006:AT1006),$AO$1006:$BQ$1006,0)), HYPERLINK("#",""), HYPERLINK(CONCATENATE("#Metadata!", ADDRESS(INDEX($AJ$2:$AJ$1001,MATCH(ROWS($AH$2:AH930),$AH$2:$AH$1001,0),0), INDEX($AO$1004:$BQ$1004,1,MATCH(COLUMNS($AO$1006:AT1006),$AO$1006:$BQ$1006,0)))),"Fix")))</f>
        <v>#N/A</v>
      </c>
      <c r="H930" s="5" t="e">
        <f ca="1">IF(OR(INDEX($AI$2:$AI$1001,MATCH(ROWS($AH$2:AH930),$AH$2:$AH$1001,0),1)&gt;=100000,INDEX($AO$1005:$BQ$1005,1,MATCH(COLUMNS($AO$1006:AU1006),$AO$1006:$BQ$1006,0))&gt;=100000), " ",IF(INDEX($AO$2:$BQ$1001,MATCH(ROWS($AH$2:AH930),$AH$2:$AH$1001,0),MATCH(COLUMNS($AO$1006:AU1006),$AO$1006:$BQ$1006,0)), HYPERLINK("#",""), HYPERLINK(CONCATENATE("#Metadata!", ADDRESS(INDEX($AJ$2:$AJ$1001,MATCH(ROWS($AH$2:AH930),$AH$2:$AH$1001,0),0), INDEX($AO$1004:$BQ$1004,1,MATCH(COLUMNS($AO$1006:AU1006),$AO$1006:$BQ$1006,0)))),"Fix")))</f>
        <v>#N/A</v>
      </c>
      <c r="I930" s="5" t="e">
        <f ca="1">IF(OR(INDEX($AI$2:$AI$1001,MATCH(ROWS($AH$2:AH930),$AH$2:$AH$1001,0),1)&gt;=100000,INDEX($AO$1005:$BQ$1005,1,MATCH(COLUMNS($AO$1006:AV1006),$AO$1006:$BQ$1006,0))&gt;=100000), " ",IF(INDEX($AO$2:$BQ$1001,MATCH(ROWS($AH$2:AH930),$AH$2:$AH$1001,0),MATCH(COLUMNS($AO$1006:AV1006),$AO$1006:$BQ$1006,0)), HYPERLINK("#",""), HYPERLINK(CONCATENATE("#Metadata!", ADDRESS(INDEX($AJ$2:$AJ$1001,MATCH(ROWS($AH$2:AH930),$AH$2:$AH$1001,0),0), INDEX($AO$1004:$BQ$1004,1,MATCH(COLUMNS($AO$1006:AV1006),$AO$1006:$BQ$1006,0)))),"Fix")))</f>
        <v>#N/A</v>
      </c>
      <c r="J930" s="5" t="e">
        <f ca="1">IF(OR(INDEX($AI$2:$AI$1001,MATCH(ROWS($AH$2:AH930),$AH$2:$AH$1001,0),1)&gt;=100000,INDEX($AO$1005:$BQ$1005,1,MATCH(COLUMNS($AO$1006:AW1006),$AO$1006:$BQ$1006,0))&gt;=100000), " ",IF(INDEX($AO$2:$BQ$1001,MATCH(ROWS($AH$2:AH930),$AH$2:$AH$1001,0),MATCH(COLUMNS($AO$1006:AW1006),$AO$1006:$BQ$1006,0)), HYPERLINK("#",""), HYPERLINK(CONCATENATE("#Metadata!", ADDRESS(INDEX($AJ$2:$AJ$1001,MATCH(ROWS($AH$2:AH930),$AH$2:$AH$1001,0),0), INDEX($AO$1004:$BQ$1004,1,MATCH(COLUMNS($AO$1006:AW1006),$AO$1006:$BQ$1006,0)))),"Fix")))</f>
        <v>#N/A</v>
      </c>
      <c r="K930" s="5" t="e">
        <f ca="1">IF(OR(INDEX($AI$2:$AI$1001,MATCH(ROWS($AH$2:AH930),$AH$2:$AH$1001,0),1)&gt;=100000,INDEX($AO$1005:$BQ$1005,1,MATCH(COLUMNS($AO$1006:AX1006),$AO$1006:$BQ$1006,0))&gt;=100000), " ",IF(INDEX($AO$2:$BQ$1001,MATCH(ROWS($AH$2:AH930),$AH$2:$AH$1001,0),MATCH(COLUMNS($AO$1006:AX1006),$AO$1006:$BQ$1006,0)), HYPERLINK("#",""), HYPERLINK(CONCATENATE("#Metadata!", ADDRESS(INDEX($AJ$2:$AJ$1001,MATCH(ROWS($AH$2:AH930),$AH$2:$AH$1001,0),0), INDEX($AO$1004:$BQ$1004,1,MATCH(COLUMNS($AO$1006:AX1006),$AO$1006:$BQ$1006,0)))),"Fix")))</f>
        <v>#N/A</v>
      </c>
      <c r="L930" s="5" t="e">
        <f ca="1">IF(OR(INDEX($AI$2:$AI$1001,MATCH(ROWS($AH$2:AH930),$AH$2:$AH$1001,0),1)&gt;=100000,INDEX($AO$1005:$BQ$1005,1,MATCH(COLUMNS($AO$1006:AY1006),$AO$1006:$BQ$1006,0))&gt;=100000), " ",IF(INDEX($AO$2:$BQ$1001,MATCH(ROWS($AH$2:AH930),$AH$2:$AH$1001,0),MATCH(COLUMNS($AO$1006:AY1006),$AO$1006:$BQ$1006,0)), HYPERLINK("#",""), HYPERLINK(CONCATENATE("#Metadata!", ADDRESS(INDEX($AJ$2:$AJ$1001,MATCH(ROWS($AH$2:AH930),$AH$2:$AH$1001,0),0), INDEX($AO$1004:$BQ$1004,1,MATCH(COLUMNS($AO$1006:AY1006),$AO$1006:$BQ$1006,0)))),"Fix")))</f>
        <v>#N/A</v>
      </c>
      <c r="M930" s="5" t="e">
        <f ca="1">IF(OR(INDEX($AI$2:$AI$1001,MATCH(ROWS($AH$2:AH930),$AH$2:$AH$1001,0),1)&gt;=100000,INDEX($AO$1005:$BQ$1005,1,MATCH(COLUMNS($AO$1006:AZ1006),$AO$1006:$BQ$1006,0))&gt;=100000), " ",IF(INDEX($AO$2:$BQ$1001,MATCH(ROWS($AH$2:AH930),$AH$2:$AH$1001,0),MATCH(COLUMNS($AO$1006:AZ1006),$AO$1006:$BQ$1006,0)), HYPERLINK("#",""), HYPERLINK(CONCATENATE("#Metadata!", ADDRESS(INDEX($AJ$2:$AJ$1001,MATCH(ROWS($AH$2:AH930),$AH$2:$AH$1001,0),0), INDEX($AO$1004:$BQ$1004,1,MATCH(COLUMNS($AO$1006:AZ1006),$AO$1006:$BQ$1006,0)))),"Fix")))</f>
        <v>#N/A</v>
      </c>
      <c r="N930" s="5" t="e">
        <f ca="1">IF(OR(INDEX($AI$2:$AI$1001,MATCH(ROWS($AH$2:AH930),$AH$2:$AH$1001,0),1)&gt;=100000,INDEX($AO$1005:$BQ$1005,1,MATCH(COLUMNS($AO$1006:BA1006),$AO$1006:$BQ$1006,0))&gt;=100000), " ",IF(INDEX($AO$2:$BQ$1001,MATCH(ROWS($AH$2:AH930),$AH$2:$AH$1001,0),MATCH(COLUMNS($AO$1006:BA1006),$AO$1006:$BQ$1006,0)), HYPERLINK("#",""), HYPERLINK(CONCATENATE("#Metadata!", ADDRESS(INDEX($AJ$2:$AJ$1001,MATCH(ROWS($AH$2:AH930),$AH$2:$AH$1001,0),0), INDEX($AO$1004:$BQ$1004,1,MATCH(COLUMNS($AO$1006:BA1006),$AO$1006:$BQ$1006,0)))),"Fix")))</f>
        <v>#N/A</v>
      </c>
      <c r="O930" s="5" t="e">
        <f ca="1">IF(OR(INDEX($AI$2:$AI$1001,MATCH(ROWS($AH$2:AH930),$AH$2:$AH$1001,0),1)&gt;=100000,INDEX($AO$1005:$BQ$1005,1,MATCH(COLUMNS($AO$1006:BB1006),$AO$1006:$BQ$1006,0))&gt;=100000), " ",IF(INDEX($AO$2:$BQ$1001,MATCH(ROWS($AH$2:AH930),$AH$2:$AH$1001,0),MATCH(COLUMNS($AO$1006:BB1006),$AO$1006:$BQ$1006,0)), HYPERLINK("#",""), HYPERLINK(CONCATENATE("#Metadata!", ADDRESS(INDEX($AJ$2:$AJ$1001,MATCH(ROWS($AH$2:AH930),$AH$2:$AH$1001,0),0), INDEX($AO$1004:$BQ$1004,1,MATCH(COLUMNS($AO$1006:BB1006),$AO$1006:$BQ$1006,0)))),"Fix")))</f>
        <v>#N/A</v>
      </c>
      <c r="P930" s="5" t="e">
        <f ca="1">IF(OR(INDEX($AI$2:$AI$1001,MATCH(ROWS($AH$2:AH930),$AH$2:$AH$1001,0),1)&gt;=100000,INDEX($AO$1005:$BQ$1005,1,MATCH(COLUMNS($AO$1006:BC1006),$AO$1006:$BQ$1006,0))&gt;=100000), " ",IF(INDEX($AO$2:$BQ$1001,MATCH(ROWS($AH$2:AH930),$AH$2:$AH$1001,0),MATCH(COLUMNS($AO$1006:BC1006),$AO$1006:$BQ$1006,0)), HYPERLINK("#",""), HYPERLINK(CONCATENATE("#Metadata!", ADDRESS(INDEX($AJ$2:$AJ$1001,MATCH(ROWS($AH$2:AH930),$AH$2:$AH$1001,0),0), INDEX($AO$1004:$BQ$1004,1,MATCH(COLUMNS($AO$1006:BC1006),$AO$1006:$BQ$1006,0)))),"Fix")))</f>
        <v>#N/A</v>
      </c>
      <c r="Q930" s="5" t="e">
        <f ca="1">IF(OR(INDEX($AI$2:$AI$1001,MATCH(ROWS($AH$2:AH930),$AH$2:$AH$1001,0),1)&gt;=100000,INDEX($AO$1005:$BQ$1005,1,MATCH(COLUMNS($AO$1006:BD1006),$AO$1006:$BQ$1006,0))&gt;=100000), " ",IF(INDEX($AO$2:$BQ$1001,MATCH(ROWS($AH$2:AH930),$AH$2:$AH$1001,0),MATCH(COLUMNS($AO$1006:BD1006),$AO$1006:$BQ$1006,0)), HYPERLINK("#",""), HYPERLINK(CONCATENATE("#Metadata!", ADDRESS(INDEX($AJ$2:$AJ$1001,MATCH(ROWS($AH$2:AH930),$AH$2:$AH$1001,0),0), INDEX($AO$1004:$BQ$1004,1,MATCH(COLUMNS($AO$1006:BD1006),$AO$1006:$BQ$1006,0)))),"Fix")))</f>
        <v>#N/A</v>
      </c>
      <c r="R930" s="5" t="e">
        <f ca="1">IF(OR(INDEX($AI$2:$AI$1001,MATCH(ROWS($AH$2:AH930),$AH$2:$AH$1001,0),1)&gt;=100000,INDEX($AO$1005:$BQ$1005,1,MATCH(COLUMNS($AO$1006:BE1006),$AO$1006:$BQ$1006,0))&gt;=100000), " ",IF(INDEX($AO$2:$BQ$1001,MATCH(ROWS($AH$2:AH930),$AH$2:$AH$1001,0),MATCH(COLUMNS($AO$1006:BE1006),$AO$1006:$BQ$1006,0)), HYPERLINK("#",""), HYPERLINK(CONCATENATE("#Metadata!", ADDRESS(INDEX($AJ$2:$AJ$1001,MATCH(ROWS($AH$2:AH930),$AH$2:$AH$1001,0),0), INDEX($AO$1004:$BQ$1004,1,MATCH(COLUMNS($AO$1006:BE1006),$AO$1006:$BQ$1006,0)))),"Fix")))</f>
        <v>#N/A</v>
      </c>
      <c r="S930" s="5" t="e">
        <f ca="1">IF(OR(INDEX($AI$2:$AI$1001,MATCH(ROWS($AH$2:AH930),$AH$2:$AH$1001,0),1)&gt;=100000,INDEX($AO$1005:$BQ$1005,1,MATCH(COLUMNS($AO$1006:BF1006),$AO$1006:$BQ$1006,0))&gt;=100000), " ",IF(INDEX($AO$2:$BQ$1001,MATCH(ROWS($AH$2:AH930),$AH$2:$AH$1001,0),MATCH(COLUMNS($AO$1006:BF1006),$AO$1006:$BQ$1006,0)), HYPERLINK("#",""), HYPERLINK(CONCATENATE("#Metadata!", ADDRESS(INDEX($AJ$2:$AJ$1001,MATCH(ROWS($AH$2:AH930),$AH$2:$AH$1001,0),0), INDEX($AO$1004:$BQ$1004,1,MATCH(COLUMNS($AO$1006:BF1006),$AO$1006:$BQ$1006,0)))),"Fix")))</f>
        <v>#N/A</v>
      </c>
      <c r="T930" s="5" t="e">
        <f ca="1">IF(OR(INDEX($AI$2:$AI$1001,MATCH(ROWS($AH$2:AH930),$AH$2:$AH$1001,0),1)&gt;=100000,INDEX($AO$1005:$BQ$1005,1,MATCH(COLUMNS($AO$1006:BG1006),$AO$1006:$BQ$1006,0))&gt;=100000), " ",IF(INDEX($AO$2:$BQ$1001,MATCH(ROWS($AH$2:AH930),$AH$2:$AH$1001,0),MATCH(COLUMNS($AO$1006:BG1006),$AO$1006:$BQ$1006,0)), HYPERLINK("#",""), HYPERLINK(CONCATENATE("#Metadata!", ADDRESS(INDEX($AJ$2:$AJ$1001,MATCH(ROWS($AH$2:AH930),$AH$2:$AH$1001,0),0), INDEX($AO$1004:$BQ$1004,1,MATCH(COLUMNS($AO$1006:BG1006),$AO$1006:$BQ$1006,0)))),"Fix")))</f>
        <v>#N/A</v>
      </c>
      <c r="U930" s="5" t="e">
        <f ca="1">IF(OR(INDEX($AI$2:$AI$1001,MATCH(ROWS($AH$2:AH930),$AH$2:$AH$1001,0),1)&gt;=100000,INDEX($AO$1005:$BQ$1005,1,MATCH(COLUMNS($AO$1006:BH1006),$AO$1006:$BQ$1006,0))&gt;=100000), " ",IF(INDEX($AO$2:$BQ$1001,MATCH(ROWS($AH$2:AH930),$AH$2:$AH$1001,0),MATCH(COLUMNS($AO$1006:BH1006),$AO$1006:$BQ$1006,0)), HYPERLINK("#",""), HYPERLINK(CONCATENATE("#Metadata!", ADDRESS(INDEX($AJ$2:$AJ$1001,MATCH(ROWS($AH$2:AH930),$AH$2:$AH$1001,0),0), INDEX($AO$1004:$BQ$1004,1,MATCH(COLUMNS($AO$1006:BH1006),$AO$1006:$BQ$1006,0)))),"Fix")))</f>
        <v>#N/A</v>
      </c>
      <c r="V930" s="5" t="e">
        <f ca="1">IF(OR(INDEX($AI$2:$AI$1001,MATCH(ROWS($AH$2:AH930),$AH$2:$AH$1001,0),1)&gt;=100000,INDEX($AO$1005:$BQ$1005,1,MATCH(COLUMNS($AO$1006:BI1006),$AO$1006:$BQ$1006,0))&gt;=100000), " ",IF(INDEX($AO$2:$BQ$1001,MATCH(ROWS($AH$2:AH930),$AH$2:$AH$1001,0),MATCH(COLUMNS($AO$1006:BI1006),$AO$1006:$BQ$1006,0)), HYPERLINK("#",""), HYPERLINK(CONCATENATE("#Metadata!", ADDRESS(INDEX($AJ$2:$AJ$1001,MATCH(ROWS($AH$2:AH930),$AH$2:$AH$1001,0),0), INDEX($AO$1004:$BQ$1004,1,MATCH(COLUMNS($AO$1006:BI1006),$AO$1006:$BQ$1006,0)))),"Fix")))</f>
        <v>#N/A</v>
      </c>
      <c r="W930" s="5" t="e">
        <f ca="1">IF(OR(INDEX($AI$2:$AI$1001,MATCH(ROWS($AH$2:AH930),$AH$2:$AH$1001,0),1)&gt;=100000,INDEX($AO$1005:$BQ$1005,1,MATCH(COLUMNS($AO$1006:BJ1006),$AO$1006:$BQ$1006,0))&gt;=100000), " ",IF(INDEX($AO$2:$BQ$1001,MATCH(ROWS($AH$2:AH930),$AH$2:$AH$1001,0),MATCH(COLUMNS($AO$1006:BJ1006),$AO$1006:$BQ$1006,0)), HYPERLINK("#",""), HYPERLINK(CONCATENATE("#Metadata!", ADDRESS(INDEX($AJ$2:$AJ$1001,MATCH(ROWS($AH$2:AH930),$AH$2:$AH$1001,0),0), INDEX($AO$1004:$BQ$1004,1,MATCH(COLUMNS($AO$1006:BJ1006),$AO$1006:$BQ$1006,0)))),"Fix")))</f>
        <v>#N/A</v>
      </c>
      <c r="X930" s="5" t="e">
        <f ca="1">IF(OR(INDEX($AI$2:$AI$1001,MATCH(ROWS($AH$2:AH930),$AH$2:$AH$1001,0),1)&gt;=100000,INDEX($AO$1005:$BQ$1005,1,MATCH(COLUMNS($AO$1006:BK1006),$AO$1006:$BQ$1006,0))&gt;=100000), " ",IF(INDEX($AO$2:$BQ$1001,MATCH(ROWS($AH$2:AH930),$AH$2:$AH$1001,0),MATCH(COLUMNS($AO$1006:BK1006),$AO$1006:$BQ$1006,0)), HYPERLINK("#",""), HYPERLINK(CONCATENATE("#Metadata!", ADDRESS(INDEX($AJ$2:$AJ$1001,MATCH(ROWS($AH$2:AH930),$AH$2:$AH$1001,0),0), INDEX($AO$1004:$BQ$1004,1,MATCH(COLUMNS($AO$1006:BK1006),$AO$1006:$BQ$1006,0)))),"Fix")))</f>
        <v>#N/A</v>
      </c>
      <c r="Y930" s="5" t="e">
        <f ca="1">IF(OR(INDEX($AI$2:$AI$1001,MATCH(ROWS($AH$2:AH930),$AH$2:$AH$1001,0),1)&gt;=100000,INDEX($AO$1005:$BQ$1005,1,MATCH(COLUMNS($AO$1006:BL1006),$AO$1006:$BQ$1006,0))&gt;=100000), " ",IF(INDEX($AO$2:$BQ$1001,MATCH(ROWS($AH$2:AH930),$AH$2:$AH$1001,0),MATCH(COLUMNS($AO$1006:BL1006),$AO$1006:$BQ$1006,0)), HYPERLINK("#",""), HYPERLINK(CONCATENATE("#Metadata!", ADDRESS(INDEX($AJ$2:$AJ$1001,MATCH(ROWS($AH$2:AH930),$AH$2:$AH$1001,0),0), INDEX($AO$1004:$BQ$1004,1,MATCH(COLUMNS($AO$1006:BL1006),$AO$1006:$BQ$1006,0)))),"Fix")))</f>
        <v>#N/A</v>
      </c>
      <c r="Z930" s="5" t="e">
        <f ca="1">IF(OR(INDEX($AI$2:$AI$1001,MATCH(ROWS($AH$2:AH930),$AH$2:$AH$1001,0),1)&gt;=100000,INDEX($AO$1005:$BQ$1005,1,MATCH(COLUMNS($AO$1006:BM1006),$AO$1006:$BQ$1006,0))&gt;=100000), " ",IF(INDEX($AO$2:$BQ$1001,MATCH(ROWS($AH$2:AH930),$AH$2:$AH$1001,0),MATCH(COLUMNS($AO$1006:BM1006),$AO$1006:$BQ$1006,0)), HYPERLINK("#",""), HYPERLINK(CONCATENATE("#Metadata!", ADDRESS(INDEX($AJ$2:$AJ$1001,MATCH(ROWS($AH$2:AH930),$AH$2:$AH$1001,0),0), INDEX($AO$1004:$BQ$1004,1,MATCH(COLUMNS($AO$1006:BM1006),$AO$1006:$BQ$1006,0)))),"Fix")))</f>
        <v>#N/A</v>
      </c>
      <c r="AA930" s="5" t="e">
        <f ca="1">IF(OR(INDEX($AI$2:$AI$1001,MATCH(ROWS($AH$2:AH930),$AH$2:$AH$1001,0),1)&gt;=100000,INDEX($AO$1005:$BQ$1005,1,MATCH(COLUMNS($AO$1006:BN1006),$AO$1006:$BQ$1006,0))&gt;=100000), " ",IF(INDEX($AO$2:$BQ$1001,MATCH(ROWS($AH$2:AH930),$AH$2:$AH$1001,0),MATCH(COLUMNS($AO$1006:BN1006),$AO$1006:$BQ$1006,0)), HYPERLINK("#",""), HYPERLINK(CONCATENATE("#Metadata!", ADDRESS(INDEX($AJ$2:$AJ$1001,MATCH(ROWS($AH$2:AH930),$AH$2:$AH$1001,0),0), INDEX($AO$1004:$BQ$1004,1,MATCH(COLUMNS($AO$1006:BN1006),$AO$1006:$BQ$1006,0)))),"Fix")))</f>
        <v>#N/A</v>
      </c>
      <c r="AB930" s="5" t="e">
        <f ca="1">IF(OR(INDEX($AI$2:$AI$1001,MATCH(ROWS($AH$2:AH930),$AH$2:$AH$1001,0),1)&gt;=100000,INDEX($AO$1005:$BQ$1005,1,MATCH(COLUMNS($AO$1006:BO1006),$AO$1006:$BQ$1006,0))&gt;=100000), " ",IF(INDEX($AO$2:$BQ$1001,MATCH(ROWS($AH$2:AH930),$AH$2:$AH$1001,0),MATCH(COLUMNS($AO$1006:BO1006),$AO$1006:$BQ$1006,0)), HYPERLINK("#",""), HYPERLINK(CONCATENATE("#Metadata!", ADDRESS(INDEX($AJ$2:$AJ$1001,MATCH(ROWS($AH$2:AH930),$AH$2:$AH$1001,0),0), INDEX($AO$1004:$BQ$1004,1,MATCH(COLUMNS($AO$1006:BO1006),$AO$1006:$BQ$1006,0)))),"Fix")))</f>
        <v>#N/A</v>
      </c>
      <c r="AC930" s="5" t="e">
        <f ca="1">IF(OR(INDEX($AI$2:$AI$1001,MATCH(ROWS($AH$2:AH930),$AH$2:$AH$1001,0),1)&gt;=100000,INDEX($AO$1005:$BQ$1005,1,MATCH(COLUMNS($AO$1006:BP1006),$AO$1006:$BQ$1006,0))&gt;=100000), " ",IF(INDEX($AO$2:$BQ$1001,MATCH(ROWS($AH$2:AH930),$AH$2:$AH$1001,0),MATCH(COLUMNS($AO$1006:BP1006),$AO$1006:$BQ$1006,0)), HYPERLINK("#",""), HYPERLINK(CONCATENATE("#Metadata!", ADDRESS(INDEX($AJ$2:$AJ$1001,MATCH(ROWS($AH$2:AH930),$AH$2:$AH$1001,0),0), INDEX($AO$1004:$BQ$1004,1,MATCH(COLUMNS($AO$1006:BP1006),$AO$1006:$BQ$1006,0)))),"Fix")))</f>
        <v>#N/A</v>
      </c>
      <c r="AD930" s="5" t="e">
        <f ca="1">IF(OR(INDEX($AI$2:$AI$1001,MATCH(ROWS($AH$2:AH930),$AH$2:$AH$1001,0),1)&gt;=100000,INDEX($AO$1005:$BQ$1005,1,MATCH(COLUMNS($AO$1006:BQ1006),$AO$1006:$BQ$1006,0))&gt;=100000), " ",IF(INDEX($AO$2:$BQ$1001,MATCH(ROWS($AH$2:AH930),$AH$2:$AH$1001,0),MATCH(COLUMNS($AO$1006:BQ1006),$AO$1006:$BQ$1006,0)), HYPERLINK("#",""), HYPERLINK(CONCATENATE("#Metadata!", ADDRESS(INDEX($AJ$2:$AJ$1001,MATCH(ROWS($AH$2:AH930),$AH$2:$AH$1001,0),0), INDEX($AO$1004:$BQ$1004,1,MATCH(COLUMNS($AO$1006:BQ1006),$AO$1006:$BQ$1006,0)))),"Fix")))</f>
        <v>#REF!</v>
      </c>
      <c r="AH930">
        <f ca="1"/>
        <v>927</v>
      </c>
      <c r="AI930">
        <v>100930</v>
      </c>
      <c r="AJ930">
        <v>930</v>
      </c>
      <c r="AK930" t="b">
        <f t="shared" si="14"/>
        <v>1</v>
      </c>
      <c r="AL930" t="b">
        <f>COUNTBLANK(Metadata!B930:AD930)=COLUMNS(Metadata!B930:AD930)</f>
        <v>1</v>
      </c>
      <c r="AM930" t="str">
        <v/>
      </c>
      <c r="AO930" t="b">
        <f ca="1">AND(IF(Metadata!B930="",FALSE,TRUE),COUNTIF(Metadata!B:B, Metadata!B930) = 1,NOT(ISERROR(SUMPRODUCT(SEARCH(MID(Metadata!B930,ROW(INDIRECT("1:"&amp;LEN(Metadata!B930))), 1),"0123456789abcdefghijklmnopqrstuvwxyzABCDEFGHIJKLMNOPQRSTUVWXYZ.")))))</f>
        <v>0</v>
      </c>
      <c r="AP930" t="b">
        <f>IF(Metadata!C930="",FALSE,TRUE)</f>
        <v>0</v>
      </c>
      <c r="AQ930" t="b">
        <f>IF(Metadata!D930="",FALSE,TRUE)</f>
        <v>0</v>
      </c>
      <c r="AR930" t="b">
        <f ca="1">OR(AND(IF(Metadata!E930="",FALSE,TRUE),OR(EXACT(Metadata!E930,"not collected"),EXACT(Metadata!E930,"not provided"),EXACT(Metadata!E930,"restricted access"))),AND(IF(Metadata!E930="",FALSE,TRUE),AND(AND(IFERROR(INT(LEFT(Metadata!E930,4))&gt;1900,FALSE),IFERROR(INT(LEFT(Metadata!E930,4))&lt;=YEAR(NOW()),FALSE)), OR(MID(Metadata!E930,5,1)="", AND(AND(MID(Metadata!E930,5,1)="-",IFERROR(INT(MID(Metadata!E930,6,1))&gt;=0,FALSE),IFERROR(INT(MID(Metadata!E930,6,1))&lt;=1,FALSE),NOT(MID(Metadata!E930,7,1)=""),IFERROR(INT(MID(Metadata!E930,6,2))&gt;=1,FALSE),IFERROR(INT(MID(Metadata!E930,6,2))&lt;=12,FALSE)), OR(MID(Metadata!E930,8,1)="", AND(AND(MID(Metadata!E930,8,1)="-",IFERROR(INT(MID(Metadata!E930,9,1))&gt;=0,FALSE),IFERROR(INT(MID(Metadata!E930,9,1))&lt;=3,FALSE),NOT(MID(Metadata!E930,10,1)=""),IFERROR(INT(MID(Metadata!E930,9,2))&gt;=1,FALSE),IFERROR(INT(MID(Metadata!E930,9,2))&lt;=31,FALSE)), OR(MID(Metadata!E930,11,1)="", AND(AND(MID(Metadata!E930,11,1)=" ",IFERROR(INT(MID(Metadata!E930,12,1))&gt;=0,FALSE),IFERROR(INT(MID(Metadata!E930,12,1))&lt;=2,FALSE),NOT(MID(Metadata!E930,13,1)=""),IFERROR(INT(MID(Metadata!E930,12,2))&gt;=0,FALSE),IFERROR(INT(MID(Metadata!E930,12,2))&lt;=23,FALSE)), OR(MID(Metadata!E930,14,1)="", AND(AND(MID(Metadata!E930,14,1)=":",IFERROR(INT(MID(Metadata!E930,15,1))&gt;=0,FALSE),IFERROR(INT(MID(Metadata!E930,15,1))&lt;=5,FALSE),NOT(MID(Metadata!E930,16,1)=""),IFERROR(INT(MID(Metadata!E930,15,2))&gt;=0,FALSE),IFERROR(INT(MID(Metadata!E930,15,2))&lt;=59,FALSE)), OR(MID(Metadata!E930,17,1)="", AND(AND(MID(Metadata!E930,17,1)=":",IFERROR(INT(MID(Metadata!E930,18,1))&gt;=0,FALSE),IFERROR(INT(MID(Metadata!E930,18,1))&lt;=5,FALSE),NOT(MID(Metadata!E930,19,1)=""),IFERROR(INT(MID(Metadata!E930,18,2))&gt;=0,FALSE),IFERROR(INT(MID(Metadata!E930,18,2))&lt;=59,FALSE)), LEN(Metadata!E930)&lt;=19)))))))))))))</f>
        <v>0</v>
      </c>
      <c r="AS930" t="b">
        <f>IF(Metadata!F930="",FALSE,TRUE)</f>
        <v>0</v>
      </c>
      <c r="AT930" t="b">
        <f>OR(AND(IF(Metadata!G930="",FALSE,TRUE),OR(EXACT(Metadata!G930,"not collected"),EXACT(Metadata!G930,"not provided"))),AND(IF(Metadata!G930="",FALSE,TRUE),OR(EXACT(Metadata!G930,"TRUE"),EXACT(Metadata!G930,"FALSE"))))</f>
        <v>0</v>
      </c>
      <c r="AU930" t="b">
        <f>OR(AND(IF(Metadata!H930="",FALSE,TRUE),OR(EXACT(Metadata!H930,"not collected"),EXACT(Metadata!H930,"not provided"),EXACT(Metadata!H930,"restricted access"))),AND(IF(Metadata!H930="",FALSE,ISNUMBER(VALUE(Metadata!H930))),Metadata!H930&gt;=-413))</f>
        <v>0</v>
      </c>
      <c r="AV930" t="b">
        <f>AND(IF(Metadata!I930="",FALSE,TRUE),EXACT(Metadata!I930,"meters"))</f>
        <v>0</v>
      </c>
      <c r="AW930" t="b">
        <f>AND(IF(Metadata!J930="",FALSE,TRUE),EXACT(Metadata!J930,"free-living"))</f>
        <v>0</v>
      </c>
      <c r="AX930" t="b">
        <f>AND(IF(Metadata!K930="",FALSE,TRUE),OR(EXACT(Metadata!K930,"saline"),EXACT(Metadata!K930,"non-saline")))</f>
        <v>0</v>
      </c>
      <c r="AY930" t="b">
        <f>AND(IF(Metadata!L930="",FALSE,TRUE),OR(EXACT(Metadata!L930,"sub-surface (non-saline)"),EXACT(Metadata!L930,"surface (non-saline)"),EXACT(Metadata!L930,"water (non-saline)"),EXACT(Metadata!L930,"soil (non-saline)"),EXACT(Metadata!L930,"aerosol (non-saline)"),EXACT(Metadata!L930,"sediment (non-saline)"),EXACT(Metadata!L930,"surface (saline)"),EXACT(Metadata!L930,"water (saline)"),EXACT(Metadata!L930,"hypersaline (saline)"),EXACT(Metadata!L930,"aerosol (saline)"),EXACT(Metadata!L930,"sediment (saline)")))</f>
        <v>0</v>
      </c>
      <c r="AZ930" t="b">
        <f>IF(Metadata!M930="",FALSE,TRUE)</f>
        <v>0</v>
      </c>
      <c r="BA930" t="b">
        <f>IF(Metadata!N930="",FALSE,TRUE)</f>
        <v>0</v>
      </c>
      <c r="BB930" t="b">
        <f>IF(Metadata!O930="",FALSE,TRUE)</f>
        <v>0</v>
      </c>
      <c r="BC930" t="b">
        <f>AND(IF(Metadata!P930="",FALSE,TRUE),OR(EXACT(Metadata!P930,"air"),EXACT(Metadata!P930,"microbial mat/biofilm"),EXACT(Metadata!P930,"misc environment"),EXACT(Metadata!P930,"sediment"),EXACT(Metadata!P930,"soil"),EXACT(Metadata!P930,"wastewater/sludge"),EXACT(Metadata!P930,"water")))</f>
        <v>0</v>
      </c>
      <c r="BD930" t="b">
        <f>IF(Metadata!Q930="",FALSE,TRUE)</f>
        <v>0</v>
      </c>
      <c r="BE930" t="b">
        <f>IF(Metadata!R930="",FALSE,TRUE)</f>
        <v>0</v>
      </c>
      <c r="BF930" t="b">
        <f>OR(AND(IF(Metadata!S930="",FALSE,TRUE),OR(EXACT(Metadata!S930,"not collected"),EXACT(Metadata!S930,"not provided"),EXACT(Metadata!S930,"restricted access"))),AND(IF(Metadata!S930="",FALSE,ISNUMBER(VALUE(Metadata!S930))),Metadata!S930&gt;=-90,Metadata!S930&lt;=90))</f>
        <v>0</v>
      </c>
      <c r="BG930" t="b">
        <f>AND(IF(Metadata!T930="",FALSE,TRUE),EXACT(Metadata!T930,"Decimal degrees"))</f>
        <v>0</v>
      </c>
      <c r="BH930" t="b">
        <f>OR(AND(IF(Metadata!U930="",FALSE,TRUE),OR(EXACT(Metadata!U930,"not applicable"),EXACT(Metadata!U930,"not collected"))),IF(Metadata!U930="",FALSE,TRUE))</f>
        <v>0</v>
      </c>
      <c r="BI930" t="b">
        <f>OR(AND(IF(Metadata!V930="",FALSE,TRUE),OR(EXACT(Metadata!V930,"not collected"),EXACT(Metadata!V930,"not provided"),EXACT(Metadata!V930,"restricted access"))),AND(IF(Metadata!V930="",FALSE,ISNUMBER(VALUE(Metadata!V930))),Metadata!V930&gt;=-180,Metadata!V930&lt;=180))</f>
        <v>0</v>
      </c>
      <c r="BJ930" t="b">
        <f>AND(IF(Metadata!W930="",FALSE,TRUE),EXACT(Metadata!W930,"Decimal degrees"))</f>
        <v>0</v>
      </c>
      <c r="BK930" t="b">
        <f>IF(Metadata!X930="",FALSE,TRUE)</f>
        <v>0</v>
      </c>
      <c r="BL930" t="b">
        <f>OR(AND(IF(Metadata!Y930="",FALSE,TRUE),OR(EXACT(Metadata!Y930,"not collected"),EXACT(Metadata!Y930,"not provided"),EXACT(Metadata!Y930,"restricted access"))),AND(IF(Metadata!Y930="",FALSE,TRUE),OR(EXACT(Metadata!Y930,"TRUE"),EXACT(Metadata!Y930,"FALSE"))))</f>
        <v>0</v>
      </c>
      <c r="BM930" t="b">
        <f>OR(AND(IF(Metadata!Z930="",FALSE,TRUE),EXACT(Metadata!Z930,"not applicable")),AND(IF(Metadata!Z930="",FALSE,TRUE),OR(EXACT(Metadata!Z930,"beer"),EXACT(Metadata!Z930,"cheese"),EXACT(Metadata!Z930,"fresh water"),EXACT(Metadata!Z930,"marine sediment"),EXACT(Metadata!Z930,"sea water"),EXACT(Metadata!Z930,"sediment"),EXACT(Metadata!Z930,"soil"),EXACT(Metadata!Z930,"waste water"))))</f>
        <v>0</v>
      </c>
      <c r="BN930" t="b">
        <f>AND(IF(Metadata!AA930="",FALSE,TRUE),EXACT(Metadata!AA930,"metagenome"))</f>
        <v>0</v>
      </c>
      <c r="BO930" t="b">
        <f>AND(IF(Metadata!AB930="",FALSE,TRUE),EXACT(Metadata!AB930,"256318"))</f>
        <v>0</v>
      </c>
      <c r="BP930" t="b">
        <f>IF(Metadata!AC930="",FALSE,TRUE)</f>
        <v>0</v>
      </c>
      <c r="BQ930" t="b">
        <f>IF(Metadata!AD930="",FALSE,TRUE)</f>
        <v>0</v>
      </c>
    </row>
    <row r="931" spans="1:69" x14ac:dyDescent="0.2">
      <c r="A931" s="4" t="e">
        <f ca="1">IF(B931=" "," ",HYPERLINK(CONCATENATE("#metadata!",ADDRESS(INDEX($AJ$2:$AJ$1001,MATCH(ROWS($AH$2:AH931),$AH$2:$AH$1001,0),0),2)),INDEX($AM$2:$AM$1001,MATCH(ROWS($AH$2:AH931),$AH$2:$AH$1001,0),0)))</f>
        <v>#N/A</v>
      </c>
      <c r="B931" s="5" t="e">
        <f ca="1">IF(OR(INDEX($AI$2:$AI$1001,MATCH(ROWS($AH$2:AH931),$AH$2:$AH$1001,0),1)&gt;=100000,INDEX($AO$1005:$BQ$1005,1,MATCH(COLUMNS($AO$1006:AO1006),$AO$1006:$BQ$1006,0))&gt;=100000), " ",IF(INDEX($AO$2:$BQ$1001,MATCH(ROWS($AH$2:AH931),$AH$2:$AH$1001,0),MATCH(COLUMNS($AO$1006:AO1006),$AO$1006:$BQ$1006,0)), HYPERLINK("#",""), HYPERLINK(CONCATENATE("#Metadata!", ADDRESS(INDEX($AJ$2:$AJ$1001,MATCH(ROWS($AH$2:AH931),$AH$2:$AH$1001,0),0), INDEX($AO$1004:$BQ$1004,1,MATCH(COLUMNS($AO$1006:AO1006),$AO$1006:$BQ$1006,0)))),"Fix")))</f>
        <v>#N/A</v>
      </c>
      <c r="C931" s="5" t="e">
        <f ca="1">IF(OR(INDEX($AI$2:$AI$1001,MATCH(ROWS($AH$2:AH931),$AH$2:$AH$1001,0),1)&gt;=100000,INDEX($AO$1005:$BQ$1005,1,MATCH(COLUMNS($AO$1006:AP1006),$AO$1006:$BQ$1006,0))&gt;=100000), " ",IF(INDEX($AO$2:$BQ$1001,MATCH(ROWS($AH$2:AH931),$AH$2:$AH$1001,0),MATCH(COLUMNS($AO$1006:AP1006),$AO$1006:$BQ$1006,0)), HYPERLINK("#",""), HYPERLINK(CONCATENATE("#Metadata!", ADDRESS(INDEX($AJ$2:$AJ$1001,MATCH(ROWS($AH$2:AH931),$AH$2:$AH$1001,0),0), INDEX($AO$1004:$BQ$1004,1,MATCH(COLUMNS($AO$1006:AP1006),$AO$1006:$BQ$1006,0)))),"Fix")))</f>
        <v>#N/A</v>
      </c>
      <c r="D931" s="5" t="e">
        <f ca="1">IF(OR(INDEX($AI$2:$AI$1001,MATCH(ROWS($AH$2:AH931),$AH$2:$AH$1001,0),1)&gt;=100000,INDEX($AO$1005:$BQ$1005,1,MATCH(COLUMNS($AO$1006:AQ1006),$AO$1006:$BQ$1006,0))&gt;=100000), " ",IF(INDEX($AO$2:$BQ$1001,MATCH(ROWS($AH$2:AH931),$AH$2:$AH$1001,0),MATCH(COLUMNS($AO$1006:AQ1006),$AO$1006:$BQ$1006,0)), HYPERLINK("#",""), HYPERLINK(CONCATENATE("#Metadata!", ADDRESS(INDEX($AJ$2:$AJ$1001,MATCH(ROWS($AH$2:AH931),$AH$2:$AH$1001,0),0), INDEX($AO$1004:$BQ$1004,1,MATCH(COLUMNS($AO$1006:AQ1006),$AO$1006:$BQ$1006,0)))),"Fix")))</f>
        <v>#N/A</v>
      </c>
      <c r="E931" s="5" t="e">
        <f ca="1">IF(OR(INDEX($AI$2:$AI$1001,MATCH(ROWS($AH$2:AH931),$AH$2:$AH$1001,0),1)&gt;=100000,INDEX($AO$1005:$BQ$1005,1,MATCH(COLUMNS($AO$1006:AR1006),$AO$1006:$BQ$1006,0))&gt;=100000), " ",IF(INDEX($AO$2:$BQ$1001,MATCH(ROWS($AH$2:AH931),$AH$2:$AH$1001,0),MATCH(COLUMNS($AO$1006:AR1006),$AO$1006:$BQ$1006,0)), HYPERLINK("#",""), HYPERLINK(CONCATENATE("#Metadata!", ADDRESS(INDEX($AJ$2:$AJ$1001,MATCH(ROWS($AH$2:AH931),$AH$2:$AH$1001,0),0), INDEX($AO$1004:$BQ$1004,1,MATCH(COLUMNS($AO$1006:AR1006),$AO$1006:$BQ$1006,0)))),"Fix")))</f>
        <v>#N/A</v>
      </c>
      <c r="F931" s="5" t="e">
        <f ca="1">IF(OR(INDEX($AI$2:$AI$1001,MATCH(ROWS($AH$2:AH931),$AH$2:$AH$1001,0),1)&gt;=100000,INDEX($AO$1005:$BQ$1005,1,MATCH(COLUMNS($AO$1006:AS1006),$AO$1006:$BQ$1006,0))&gt;=100000), " ",IF(INDEX($AO$2:$BQ$1001,MATCH(ROWS($AH$2:AH931),$AH$2:$AH$1001,0),MATCH(COLUMNS($AO$1006:AS1006),$AO$1006:$BQ$1006,0)), HYPERLINK("#",""), HYPERLINK(CONCATENATE("#Metadata!", ADDRESS(INDEX($AJ$2:$AJ$1001,MATCH(ROWS($AH$2:AH931),$AH$2:$AH$1001,0),0), INDEX($AO$1004:$BQ$1004,1,MATCH(COLUMNS($AO$1006:AS1006),$AO$1006:$BQ$1006,0)))),"Fix")))</f>
        <v>#N/A</v>
      </c>
      <c r="G931" s="5" t="e">
        <f ca="1">IF(OR(INDEX($AI$2:$AI$1001,MATCH(ROWS($AH$2:AH931),$AH$2:$AH$1001,0),1)&gt;=100000,INDEX($AO$1005:$BQ$1005,1,MATCH(COLUMNS($AO$1006:AT1006),$AO$1006:$BQ$1006,0))&gt;=100000), " ",IF(INDEX($AO$2:$BQ$1001,MATCH(ROWS($AH$2:AH931),$AH$2:$AH$1001,0),MATCH(COLUMNS($AO$1006:AT1006),$AO$1006:$BQ$1006,0)), HYPERLINK("#",""), HYPERLINK(CONCATENATE("#Metadata!", ADDRESS(INDEX($AJ$2:$AJ$1001,MATCH(ROWS($AH$2:AH931),$AH$2:$AH$1001,0),0), INDEX($AO$1004:$BQ$1004,1,MATCH(COLUMNS($AO$1006:AT1006),$AO$1006:$BQ$1006,0)))),"Fix")))</f>
        <v>#N/A</v>
      </c>
      <c r="H931" s="5" t="e">
        <f ca="1">IF(OR(INDEX($AI$2:$AI$1001,MATCH(ROWS($AH$2:AH931),$AH$2:$AH$1001,0),1)&gt;=100000,INDEX($AO$1005:$BQ$1005,1,MATCH(COLUMNS($AO$1006:AU1006),$AO$1006:$BQ$1006,0))&gt;=100000), " ",IF(INDEX($AO$2:$BQ$1001,MATCH(ROWS($AH$2:AH931),$AH$2:$AH$1001,0),MATCH(COLUMNS($AO$1006:AU1006),$AO$1006:$BQ$1006,0)), HYPERLINK("#",""), HYPERLINK(CONCATENATE("#Metadata!", ADDRESS(INDEX($AJ$2:$AJ$1001,MATCH(ROWS($AH$2:AH931),$AH$2:$AH$1001,0),0), INDEX($AO$1004:$BQ$1004,1,MATCH(COLUMNS($AO$1006:AU1006),$AO$1006:$BQ$1006,0)))),"Fix")))</f>
        <v>#N/A</v>
      </c>
      <c r="I931" s="5" t="e">
        <f ca="1">IF(OR(INDEX($AI$2:$AI$1001,MATCH(ROWS($AH$2:AH931),$AH$2:$AH$1001,0),1)&gt;=100000,INDEX($AO$1005:$BQ$1005,1,MATCH(COLUMNS($AO$1006:AV1006),$AO$1006:$BQ$1006,0))&gt;=100000), " ",IF(INDEX($AO$2:$BQ$1001,MATCH(ROWS($AH$2:AH931),$AH$2:$AH$1001,0),MATCH(COLUMNS($AO$1006:AV1006),$AO$1006:$BQ$1006,0)), HYPERLINK("#",""), HYPERLINK(CONCATENATE("#Metadata!", ADDRESS(INDEX($AJ$2:$AJ$1001,MATCH(ROWS($AH$2:AH931),$AH$2:$AH$1001,0),0), INDEX($AO$1004:$BQ$1004,1,MATCH(COLUMNS($AO$1006:AV1006),$AO$1006:$BQ$1006,0)))),"Fix")))</f>
        <v>#N/A</v>
      </c>
      <c r="J931" s="5" t="e">
        <f ca="1">IF(OR(INDEX($AI$2:$AI$1001,MATCH(ROWS($AH$2:AH931),$AH$2:$AH$1001,0),1)&gt;=100000,INDEX($AO$1005:$BQ$1005,1,MATCH(COLUMNS($AO$1006:AW1006),$AO$1006:$BQ$1006,0))&gt;=100000), " ",IF(INDEX($AO$2:$BQ$1001,MATCH(ROWS($AH$2:AH931),$AH$2:$AH$1001,0),MATCH(COLUMNS($AO$1006:AW1006),$AO$1006:$BQ$1006,0)), HYPERLINK("#",""), HYPERLINK(CONCATENATE("#Metadata!", ADDRESS(INDEX($AJ$2:$AJ$1001,MATCH(ROWS($AH$2:AH931),$AH$2:$AH$1001,0),0), INDEX($AO$1004:$BQ$1004,1,MATCH(COLUMNS($AO$1006:AW1006),$AO$1006:$BQ$1006,0)))),"Fix")))</f>
        <v>#N/A</v>
      </c>
      <c r="K931" s="5" t="e">
        <f ca="1">IF(OR(INDEX($AI$2:$AI$1001,MATCH(ROWS($AH$2:AH931),$AH$2:$AH$1001,0),1)&gt;=100000,INDEX($AO$1005:$BQ$1005,1,MATCH(COLUMNS($AO$1006:AX1006),$AO$1006:$BQ$1006,0))&gt;=100000), " ",IF(INDEX($AO$2:$BQ$1001,MATCH(ROWS($AH$2:AH931),$AH$2:$AH$1001,0),MATCH(COLUMNS($AO$1006:AX1006),$AO$1006:$BQ$1006,0)), HYPERLINK("#",""), HYPERLINK(CONCATENATE("#Metadata!", ADDRESS(INDEX($AJ$2:$AJ$1001,MATCH(ROWS($AH$2:AH931),$AH$2:$AH$1001,0),0), INDEX($AO$1004:$BQ$1004,1,MATCH(COLUMNS($AO$1006:AX1006),$AO$1006:$BQ$1006,0)))),"Fix")))</f>
        <v>#N/A</v>
      </c>
      <c r="L931" s="5" t="e">
        <f ca="1">IF(OR(INDEX($AI$2:$AI$1001,MATCH(ROWS($AH$2:AH931),$AH$2:$AH$1001,0),1)&gt;=100000,INDEX($AO$1005:$BQ$1005,1,MATCH(COLUMNS($AO$1006:AY1006),$AO$1006:$BQ$1006,0))&gt;=100000), " ",IF(INDEX($AO$2:$BQ$1001,MATCH(ROWS($AH$2:AH931),$AH$2:$AH$1001,0),MATCH(COLUMNS($AO$1006:AY1006),$AO$1006:$BQ$1006,0)), HYPERLINK("#",""), HYPERLINK(CONCATENATE("#Metadata!", ADDRESS(INDEX($AJ$2:$AJ$1001,MATCH(ROWS($AH$2:AH931),$AH$2:$AH$1001,0),0), INDEX($AO$1004:$BQ$1004,1,MATCH(COLUMNS($AO$1006:AY1006),$AO$1006:$BQ$1006,0)))),"Fix")))</f>
        <v>#N/A</v>
      </c>
      <c r="M931" s="5" t="e">
        <f ca="1">IF(OR(INDEX($AI$2:$AI$1001,MATCH(ROWS($AH$2:AH931),$AH$2:$AH$1001,0),1)&gt;=100000,INDEX($AO$1005:$BQ$1005,1,MATCH(COLUMNS($AO$1006:AZ1006),$AO$1006:$BQ$1006,0))&gt;=100000), " ",IF(INDEX($AO$2:$BQ$1001,MATCH(ROWS($AH$2:AH931),$AH$2:$AH$1001,0),MATCH(COLUMNS($AO$1006:AZ1006),$AO$1006:$BQ$1006,0)), HYPERLINK("#",""), HYPERLINK(CONCATENATE("#Metadata!", ADDRESS(INDEX($AJ$2:$AJ$1001,MATCH(ROWS($AH$2:AH931),$AH$2:$AH$1001,0),0), INDEX($AO$1004:$BQ$1004,1,MATCH(COLUMNS($AO$1006:AZ1006),$AO$1006:$BQ$1006,0)))),"Fix")))</f>
        <v>#N/A</v>
      </c>
      <c r="N931" s="5" t="e">
        <f ca="1">IF(OR(INDEX($AI$2:$AI$1001,MATCH(ROWS($AH$2:AH931),$AH$2:$AH$1001,0),1)&gt;=100000,INDEX($AO$1005:$BQ$1005,1,MATCH(COLUMNS($AO$1006:BA1006),$AO$1006:$BQ$1006,0))&gt;=100000), " ",IF(INDEX($AO$2:$BQ$1001,MATCH(ROWS($AH$2:AH931),$AH$2:$AH$1001,0),MATCH(COLUMNS($AO$1006:BA1006),$AO$1006:$BQ$1006,0)), HYPERLINK("#",""), HYPERLINK(CONCATENATE("#Metadata!", ADDRESS(INDEX($AJ$2:$AJ$1001,MATCH(ROWS($AH$2:AH931),$AH$2:$AH$1001,0),0), INDEX($AO$1004:$BQ$1004,1,MATCH(COLUMNS($AO$1006:BA1006),$AO$1006:$BQ$1006,0)))),"Fix")))</f>
        <v>#N/A</v>
      </c>
      <c r="O931" s="5" t="e">
        <f ca="1">IF(OR(INDEX($AI$2:$AI$1001,MATCH(ROWS($AH$2:AH931),$AH$2:$AH$1001,0),1)&gt;=100000,INDEX($AO$1005:$BQ$1005,1,MATCH(COLUMNS($AO$1006:BB1006),$AO$1006:$BQ$1006,0))&gt;=100000), " ",IF(INDEX($AO$2:$BQ$1001,MATCH(ROWS($AH$2:AH931),$AH$2:$AH$1001,0),MATCH(COLUMNS($AO$1006:BB1006),$AO$1006:$BQ$1006,0)), HYPERLINK("#",""), HYPERLINK(CONCATENATE("#Metadata!", ADDRESS(INDEX($AJ$2:$AJ$1001,MATCH(ROWS($AH$2:AH931),$AH$2:$AH$1001,0),0), INDEX($AO$1004:$BQ$1004,1,MATCH(COLUMNS($AO$1006:BB1006),$AO$1006:$BQ$1006,0)))),"Fix")))</f>
        <v>#N/A</v>
      </c>
      <c r="P931" s="5" t="e">
        <f ca="1">IF(OR(INDEX($AI$2:$AI$1001,MATCH(ROWS($AH$2:AH931),$AH$2:$AH$1001,0),1)&gt;=100000,INDEX($AO$1005:$BQ$1005,1,MATCH(COLUMNS($AO$1006:BC1006),$AO$1006:$BQ$1006,0))&gt;=100000), " ",IF(INDEX($AO$2:$BQ$1001,MATCH(ROWS($AH$2:AH931),$AH$2:$AH$1001,0),MATCH(COLUMNS($AO$1006:BC1006),$AO$1006:$BQ$1006,0)), HYPERLINK("#",""), HYPERLINK(CONCATENATE("#Metadata!", ADDRESS(INDEX($AJ$2:$AJ$1001,MATCH(ROWS($AH$2:AH931),$AH$2:$AH$1001,0),0), INDEX($AO$1004:$BQ$1004,1,MATCH(COLUMNS($AO$1006:BC1006),$AO$1006:$BQ$1006,0)))),"Fix")))</f>
        <v>#N/A</v>
      </c>
      <c r="Q931" s="5" t="e">
        <f ca="1">IF(OR(INDEX($AI$2:$AI$1001,MATCH(ROWS($AH$2:AH931),$AH$2:$AH$1001,0),1)&gt;=100000,INDEX($AO$1005:$BQ$1005,1,MATCH(COLUMNS($AO$1006:BD1006),$AO$1006:$BQ$1006,0))&gt;=100000), " ",IF(INDEX($AO$2:$BQ$1001,MATCH(ROWS($AH$2:AH931),$AH$2:$AH$1001,0),MATCH(COLUMNS($AO$1006:BD1006),$AO$1006:$BQ$1006,0)), HYPERLINK("#",""), HYPERLINK(CONCATENATE("#Metadata!", ADDRESS(INDEX($AJ$2:$AJ$1001,MATCH(ROWS($AH$2:AH931),$AH$2:$AH$1001,0),0), INDEX($AO$1004:$BQ$1004,1,MATCH(COLUMNS($AO$1006:BD1006),$AO$1006:$BQ$1006,0)))),"Fix")))</f>
        <v>#N/A</v>
      </c>
      <c r="R931" s="5" t="e">
        <f ca="1">IF(OR(INDEX($AI$2:$AI$1001,MATCH(ROWS($AH$2:AH931),$AH$2:$AH$1001,0),1)&gt;=100000,INDEX($AO$1005:$BQ$1005,1,MATCH(COLUMNS($AO$1006:BE1006),$AO$1006:$BQ$1006,0))&gt;=100000), " ",IF(INDEX($AO$2:$BQ$1001,MATCH(ROWS($AH$2:AH931),$AH$2:$AH$1001,0),MATCH(COLUMNS($AO$1006:BE1006),$AO$1006:$BQ$1006,0)), HYPERLINK("#",""), HYPERLINK(CONCATENATE("#Metadata!", ADDRESS(INDEX($AJ$2:$AJ$1001,MATCH(ROWS($AH$2:AH931),$AH$2:$AH$1001,0),0), INDEX($AO$1004:$BQ$1004,1,MATCH(COLUMNS($AO$1006:BE1006),$AO$1006:$BQ$1006,0)))),"Fix")))</f>
        <v>#N/A</v>
      </c>
      <c r="S931" s="5" t="e">
        <f ca="1">IF(OR(INDEX($AI$2:$AI$1001,MATCH(ROWS($AH$2:AH931),$AH$2:$AH$1001,0),1)&gt;=100000,INDEX($AO$1005:$BQ$1005,1,MATCH(COLUMNS($AO$1006:BF1006),$AO$1006:$BQ$1006,0))&gt;=100000), " ",IF(INDEX($AO$2:$BQ$1001,MATCH(ROWS($AH$2:AH931),$AH$2:$AH$1001,0),MATCH(COLUMNS($AO$1006:BF1006),$AO$1006:$BQ$1006,0)), HYPERLINK("#",""), HYPERLINK(CONCATENATE("#Metadata!", ADDRESS(INDEX($AJ$2:$AJ$1001,MATCH(ROWS($AH$2:AH931),$AH$2:$AH$1001,0),0), INDEX($AO$1004:$BQ$1004,1,MATCH(COLUMNS($AO$1006:BF1006),$AO$1006:$BQ$1006,0)))),"Fix")))</f>
        <v>#N/A</v>
      </c>
      <c r="T931" s="5" t="e">
        <f ca="1">IF(OR(INDEX($AI$2:$AI$1001,MATCH(ROWS($AH$2:AH931),$AH$2:$AH$1001,0),1)&gt;=100000,INDEX($AO$1005:$BQ$1005,1,MATCH(COLUMNS($AO$1006:BG1006),$AO$1006:$BQ$1006,0))&gt;=100000), " ",IF(INDEX($AO$2:$BQ$1001,MATCH(ROWS($AH$2:AH931),$AH$2:$AH$1001,0),MATCH(COLUMNS($AO$1006:BG1006),$AO$1006:$BQ$1006,0)), HYPERLINK("#",""), HYPERLINK(CONCATENATE("#Metadata!", ADDRESS(INDEX($AJ$2:$AJ$1001,MATCH(ROWS($AH$2:AH931),$AH$2:$AH$1001,0),0), INDEX($AO$1004:$BQ$1004,1,MATCH(COLUMNS($AO$1006:BG1006),$AO$1006:$BQ$1006,0)))),"Fix")))</f>
        <v>#N/A</v>
      </c>
      <c r="U931" s="5" t="e">
        <f ca="1">IF(OR(INDEX($AI$2:$AI$1001,MATCH(ROWS($AH$2:AH931),$AH$2:$AH$1001,0),1)&gt;=100000,INDEX($AO$1005:$BQ$1005,1,MATCH(COLUMNS($AO$1006:BH1006),$AO$1006:$BQ$1006,0))&gt;=100000), " ",IF(INDEX($AO$2:$BQ$1001,MATCH(ROWS($AH$2:AH931),$AH$2:$AH$1001,0),MATCH(COLUMNS($AO$1006:BH1006),$AO$1006:$BQ$1006,0)), HYPERLINK("#",""), HYPERLINK(CONCATENATE("#Metadata!", ADDRESS(INDEX($AJ$2:$AJ$1001,MATCH(ROWS($AH$2:AH931),$AH$2:$AH$1001,0),0), INDEX($AO$1004:$BQ$1004,1,MATCH(COLUMNS($AO$1006:BH1006),$AO$1006:$BQ$1006,0)))),"Fix")))</f>
        <v>#N/A</v>
      </c>
      <c r="V931" s="5" t="e">
        <f ca="1">IF(OR(INDEX($AI$2:$AI$1001,MATCH(ROWS($AH$2:AH931),$AH$2:$AH$1001,0),1)&gt;=100000,INDEX($AO$1005:$BQ$1005,1,MATCH(COLUMNS($AO$1006:BI1006),$AO$1006:$BQ$1006,0))&gt;=100000), " ",IF(INDEX($AO$2:$BQ$1001,MATCH(ROWS($AH$2:AH931),$AH$2:$AH$1001,0),MATCH(COLUMNS($AO$1006:BI1006),$AO$1006:$BQ$1006,0)), HYPERLINK("#",""), HYPERLINK(CONCATENATE("#Metadata!", ADDRESS(INDEX($AJ$2:$AJ$1001,MATCH(ROWS($AH$2:AH931),$AH$2:$AH$1001,0),0), INDEX($AO$1004:$BQ$1004,1,MATCH(COLUMNS($AO$1006:BI1006),$AO$1006:$BQ$1006,0)))),"Fix")))</f>
        <v>#N/A</v>
      </c>
      <c r="W931" s="5" t="e">
        <f ca="1">IF(OR(INDEX($AI$2:$AI$1001,MATCH(ROWS($AH$2:AH931),$AH$2:$AH$1001,0),1)&gt;=100000,INDEX($AO$1005:$BQ$1005,1,MATCH(COLUMNS($AO$1006:BJ1006),$AO$1006:$BQ$1006,0))&gt;=100000), " ",IF(INDEX($AO$2:$BQ$1001,MATCH(ROWS($AH$2:AH931),$AH$2:$AH$1001,0),MATCH(COLUMNS($AO$1006:BJ1006),$AO$1006:$BQ$1006,0)), HYPERLINK("#",""), HYPERLINK(CONCATENATE("#Metadata!", ADDRESS(INDEX($AJ$2:$AJ$1001,MATCH(ROWS($AH$2:AH931),$AH$2:$AH$1001,0),0), INDEX($AO$1004:$BQ$1004,1,MATCH(COLUMNS($AO$1006:BJ1006),$AO$1006:$BQ$1006,0)))),"Fix")))</f>
        <v>#N/A</v>
      </c>
      <c r="X931" s="5" t="e">
        <f ca="1">IF(OR(INDEX($AI$2:$AI$1001,MATCH(ROWS($AH$2:AH931),$AH$2:$AH$1001,0),1)&gt;=100000,INDEX($AO$1005:$BQ$1005,1,MATCH(COLUMNS($AO$1006:BK1006),$AO$1006:$BQ$1006,0))&gt;=100000), " ",IF(INDEX($AO$2:$BQ$1001,MATCH(ROWS($AH$2:AH931),$AH$2:$AH$1001,0),MATCH(COLUMNS($AO$1006:BK1006),$AO$1006:$BQ$1006,0)), HYPERLINK("#",""), HYPERLINK(CONCATENATE("#Metadata!", ADDRESS(INDEX($AJ$2:$AJ$1001,MATCH(ROWS($AH$2:AH931),$AH$2:$AH$1001,0),0), INDEX($AO$1004:$BQ$1004,1,MATCH(COLUMNS($AO$1006:BK1006),$AO$1006:$BQ$1006,0)))),"Fix")))</f>
        <v>#N/A</v>
      </c>
      <c r="Y931" s="5" t="e">
        <f ca="1">IF(OR(INDEX($AI$2:$AI$1001,MATCH(ROWS($AH$2:AH931),$AH$2:$AH$1001,0),1)&gt;=100000,INDEX($AO$1005:$BQ$1005,1,MATCH(COLUMNS($AO$1006:BL1006),$AO$1006:$BQ$1006,0))&gt;=100000), " ",IF(INDEX($AO$2:$BQ$1001,MATCH(ROWS($AH$2:AH931),$AH$2:$AH$1001,0),MATCH(COLUMNS($AO$1006:BL1006),$AO$1006:$BQ$1006,0)), HYPERLINK("#",""), HYPERLINK(CONCATENATE("#Metadata!", ADDRESS(INDEX($AJ$2:$AJ$1001,MATCH(ROWS($AH$2:AH931),$AH$2:$AH$1001,0),0), INDEX($AO$1004:$BQ$1004,1,MATCH(COLUMNS($AO$1006:BL1006),$AO$1006:$BQ$1006,0)))),"Fix")))</f>
        <v>#N/A</v>
      </c>
      <c r="Z931" s="5" t="e">
        <f ca="1">IF(OR(INDEX($AI$2:$AI$1001,MATCH(ROWS($AH$2:AH931),$AH$2:$AH$1001,0),1)&gt;=100000,INDEX($AO$1005:$BQ$1005,1,MATCH(COLUMNS($AO$1006:BM1006),$AO$1006:$BQ$1006,0))&gt;=100000), " ",IF(INDEX($AO$2:$BQ$1001,MATCH(ROWS($AH$2:AH931),$AH$2:$AH$1001,0),MATCH(COLUMNS($AO$1006:BM1006),$AO$1006:$BQ$1006,0)), HYPERLINK("#",""), HYPERLINK(CONCATENATE("#Metadata!", ADDRESS(INDEX($AJ$2:$AJ$1001,MATCH(ROWS($AH$2:AH931),$AH$2:$AH$1001,0),0), INDEX($AO$1004:$BQ$1004,1,MATCH(COLUMNS($AO$1006:BM1006),$AO$1006:$BQ$1006,0)))),"Fix")))</f>
        <v>#N/A</v>
      </c>
      <c r="AA931" s="5" t="e">
        <f ca="1">IF(OR(INDEX($AI$2:$AI$1001,MATCH(ROWS($AH$2:AH931),$AH$2:$AH$1001,0),1)&gt;=100000,INDEX($AO$1005:$BQ$1005,1,MATCH(COLUMNS($AO$1006:BN1006),$AO$1006:$BQ$1006,0))&gt;=100000), " ",IF(INDEX($AO$2:$BQ$1001,MATCH(ROWS($AH$2:AH931),$AH$2:$AH$1001,0),MATCH(COLUMNS($AO$1006:BN1006),$AO$1006:$BQ$1006,0)), HYPERLINK("#",""), HYPERLINK(CONCATENATE("#Metadata!", ADDRESS(INDEX($AJ$2:$AJ$1001,MATCH(ROWS($AH$2:AH931),$AH$2:$AH$1001,0),0), INDEX($AO$1004:$BQ$1004,1,MATCH(COLUMNS($AO$1006:BN1006),$AO$1006:$BQ$1006,0)))),"Fix")))</f>
        <v>#N/A</v>
      </c>
      <c r="AB931" s="5" t="e">
        <f ca="1">IF(OR(INDEX($AI$2:$AI$1001,MATCH(ROWS($AH$2:AH931),$AH$2:$AH$1001,0),1)&gt;=100000,INDEX($AO$1005:$BQ$1005,1,MATCH(COLUMNS($AO$1006:BO1006),$AO$1006:$BQ$1006,0))&gt;=100000), " ",IF(INDEX($AO$2:$BQ$1001,MATCH(ROWS($AH$2:AH931),$AH$2:$AH$1001,0),MATCH(COLUMNS($AO$1006:BO1006),$AO$1006:$BQ$1006,0)), HYPERLINK("#",""), HYPERLINK(CONCATENATE("#Metadata!", ADDRESS(INDEX($AJ$2:$AJ$1001,MATCH(ROWS($AH$2:AH931),$AH$2:$AH$1001,0),0), INDEX($AO$1004:$BQ$1004,1,MATCH(COLUMNS($AO$1006:BO1006),$AO$1006:$BQ$1006,0)))),"Fix")))</f>
        <v>#N/A</v>
      </c>
      <c r="AC931" s="5" t="e">
        <f ca="1">IF(OR(INDEX($AI$2:$AI$1001,MATCH(ROWS($AH$2:AH931),$AH$2:$AH$1001,0),1)&gt;=100000,INDEX($AO$1005:$BQ$1005,1,MATCH(COLUMNS($AO$1006:BP1006),$AO$1006:$BQ$1006,0))&gt;=100000), " ",IF(INDEX($AO$2:$BQ$1001,MATCH(ROWS($AH$2:AH931),$AH$2:$AH$1001,0),MATCH(COLUMNS($AO$1006:BP1006),$AO$1006:$BQ$1006,0)), HYPERLINK("#",""), HYPERLINK(CONCATENATE("#Metadata!", ADDRESS(INDEX($AJ$2:$AJ$1001,MATCH(ROWS($AH$2:AH931),$AH$2:$AH$1001,0),0), INDEX($AO$1004:$BQ$1004,1,MATCH(COLUMNS($AO$1006:BP1006),$AO$1006:$BQ$1006,0)))),"Fix")))</f>
        <v>#N/A</v>
      </c>
      <c r="AD931" s="5" t="e">
        <f ca="1">IF(OR(INDEX($AI$2:$AI$1001,MATCH(ROWS($AH$2:AH931),$AH$2:$AH$1001,0),1)&gt;=100000,INDEX($AO$1005:$BQ$1005,1,MATCH(COLUMNS($AO$1006:BQ1006),$AO$1006:$BQ$1006,0))&gt;=100000), " ",IF(INDEX($AO$2:$BQ$1001,MATCH(ROWS($AH$2:AH931),$AH$2:$AH$1001,0),MATCH(COLUMNS($AO$1006:BQ1006),$AO$1006:$BQ$1006,0)), HYPERLINK("#",""), HYPERLINK(CONCATENATE("#Metadata!", ADDRESS(INDEX($AJ$2:$AJ$1001,MATCH(ROWS($AH$2:AH931),$AH$2:$AH$1001,0),0), INDEX($AO$1004:$BQ$1004,1,MATCH(COLUMNS($AO$1006:BQ1006),$AO$1006:$BQ$1006,0)))),"Fix")))</f>
        <v>#REF!</v>
      </c>
      <c r="AH931">
        <f ca="1"/>
        <v>928</v>
      </c>
      <c r="AI931">
        <v>100931</v>
      </c>
      <c r="AJ931">
        <v>931</v>
      </c>
      <c r="AK931" t="b">
        <f t="shared" si="14"/>
        <v>1</v>
      </c>
      <c r="AL931" t="b">
        <f>COUNTBLANK(Metadata!B931:AD931)=COLUMNS(Metadata!B931:AD931)</f>
        <v>1</v>
      </c>
      <c r="AM931" t="str">
        <v/>
      </c>
      <c r="AO931" t="b">
        <f ca="1">AND(IF(Metadata!B931="",FALSE,TRUE),COUNTIF(Metadata!B:B, Metadata!B931) = 1,NOT(ISERROR(SUMPRODUCT(SEARCH(MID(Metadata!B931,ROW(INDIRECT("1:"&amp;LEN(Metadata!B931))), 1),"0123456789abcdefghijklmnopqrstuvwxyzABCDEFGHIJKLMNOPQRSTUVWXYZ.")))))</f>
        <v>0</v>
      </c>
      <c r="AP931" t="b">
        <f>IF(Metadata!C931="",FALSE,TRUE)</f>
        <v>0</v>
      </c>
      <c r="AQ931" t="b">
        <f>IF(Metadata!D931="",FALSE,TRUE)</f>
        <v>0</v>
      </c>
      <c r="AR931" t="b">
        <f ca="1">OR(AND(IF(Metadata!E931="",FALSE,TRUE),OR(EXACT(Metadata!E931,"not collected"),EXACT(Metadata!E931,"not provided"),EXACT(Metadata!E931,"restricted access"))),AND(IF(Metadata!E931="",FALSE,TRUE),AND(AND(IFERROR(INT(LEFT(Metadata!E931,4))&gt;1900,FALSE),IFERROR(INT(LEFT(Metadata!E931,4))&lt;=YEAR(NOW()),FALSE)), OR(MID(Metadata!E931,5,1)="", AND(AND(MID(Metadata!E931,5,1)="-",IFERROR(INT(MID(Metadata!E931,6,1))&gt;=0,FALSE),IFERROR(INT(MID(Metadata!E931,6,1))&lt;=1,FALSE),NOT(MID(Metadata!E931,7,1)=""),IFERROR(INT(MID(Metadata!E931,6,2))&gt;=1,FALSE),IFERROR(INT(MID(Metadata!E931,6,2))&lt;=12,FALSE)), OR(MID(Metadata!E931,8,1)="", AND(AND(MID(Metadata!E931,8,1)="-",IFERROR(INT(MID(Metadata!E931,9,1))&gt;=0,FALSE),IFERROR(INT(MID(Metadata!E931,9,1))&lt;=3,FALSE),NOT(MID(Metadata!E931,10,1)=""),IFERROR(INT(MID(Metadata!E931,9,2))&gt;=1,FALSE),IFERROR(INT(MID(Metadata!E931,9,2))&lt;=31,FALSE)), OR(MID(Metadata!E931,11,1)="", AND(AND(MID(Metadata!E931,11,1)=" ",IFERROR(INT(MID(Metadata!E931,12,1))&gt;=0,FALSE),IFERROR(INT(MID(Metadata!E931,12,1))&lt;=2,FALSE),NOT(MID(Metadata!E931,13,1)=""),IFERROR(INT(MID(Metadata!E931,12,2))&gt;=0,FALSE),IFERROR(INT(MID(Metadata!E931,12,2))&lt;=23,FALSE)), OR(MID(Metadata!E931,14,1)="", AND(AND(MID(Metadata!E931,14,1)=":",IFERROR(INT(MID(Metadata!E931,15,1))&gt;=0,FALSE),IFERROR(INT(MID(Metadata!E931,15,1))&lt;=5,FALSE),NOT(MID(Metadata!E931,16,1)=""),IFERROR(INT(MID(Metadata!E931,15,2))&gt;=0,FALSE),IFERROR(INT(MID(Metadata!E931,15,2))&lt;=59,FALSE)), OR(MID(Metadata!E931,17,1)="", AND(AND(MID(Metadata!E931,17,1)=":",IFERROR(INT(MID(Metadata!E931,18,1))&gt;=0,FALSE),IFERROR(INT(MID(Metadata!E931,18,1))&lt;=5,FALSE),NOT(MID(Metadata!E931,19,1)=""),IFERROR(INT(MID(Metadata!E931,18,2))&gt;=0,FALSE),IFERROR(INT(MID(Metadata!E931,18,2))&lt;=59,FALSE)), LEN(Metadata!E931)&lt;=19)))))))))))))</f>
        <v>0</v>
      </c>
      <c r="AS931" t="b">
        <f>IF(Metadata!F931="",FALSE,TRUE)</f>
        <v>0</v>
      </c>
      <c r="AT931" t="b">
        <f>OR(AND(IF(Metadata!G931="",FALSE,TRUE),OR(EXACT(Metadata!G931,"not collected"),EXACT(Metadata!G931,"not provided"))),AND(IF(Metadata!G931="",FALSE,TRUE),OR(EXACT(Metadata!G931,"TRUE"),EXACT(Metadata!G931,"FALSE"))))</f>
        <v>0</v>
      </c>
      <c r="AU931" t="b">
        <f>OR(AND(IF(Metadata!H931="",FALSE,TRUE),OR(EXACT(Metadata!H931,"not collected"),EXACT(Metadata!H931,"not provided"),EXACT(Metadata!H931,"restricted access"))),AND(IF(Metadata!H931="",FALSE,ISNUMBER(VALUE(Metadata!H931))),Metadata!H931&gt;=-413))</f>
        <v>0</v>
      </c>
      <c r="AV931" t="b">
        <f>AND(IF(Metadata!I931="",FALSE,TRUE),EXACT(Metadata!I931,"meters"))</f>
        <v>0</v>
      </c>
      <c r="AW931" t="b">
        <f>AND(IF(Metadata!J931="",FALSE,TRUE),EXACT(Metadata!J931,"free-living"))</f>
        <v>0</v>
      </c>
      <c r="AX931" t="b">
        <f>AND(IF(Metadata!K931="",FALSE,TRUE),OR(EXACT(Metadata!K931,"saline"),EXACT(Metadata!K931,"non-saline")))</f>
        <v>0</v>
      </c>
      <c r="AY931" t="b">
        <f>AND(IF(Metadata!L931="",FALSE,TRUE),OR(EXACT(Metadata!L931,"sub-surface (non-saline)"),EXACT(Metadata!L931,"surface (non-saline)"),EXACT(Metadata!L931,"water (non-saline)"),EXACT(Metadata!L931,"soil (non-saline)"),EXACT(Metadata!L931,"aerosol (non-saline)"),EXACT(Metadata!L931,"sediment (non-saline)"),EXACT(Metadata!L931,"surface (saline)"),EXACT(Metadata!L931,"water (saline)"),EXACT(Metadata!L931,"hypersaline (saline)"),EXACT(Metadata!L931,"aerosol (saline)"),EXACT(Metadata!L931,"sediment (saline)")))</f>
        <v>0</v>
      </c>
      <c r="AZ931" t="b">
        <f>IF(Metadata!M931="",FALSE,TRUE)</f>
        <v>0</v>
      </c>
      <c r="BA931" t="b">
        <f>IF(Metadata!N931="",FALSE,TRUE)</f>
        <v>0</v>
      </c>
      <c r="BB931" t="b">
        <f>IF(Metadata!O931="",FALSE,TRUE)</f>
        <v>0</v>
      </c>
      <c r="BC931" t="b">
        <f>AND(IF(Metadata!P931="",FALSE,TRUE),OR(EXACT(Metadata!P931,"air"),EXACT(Metadata!P931,"microbial mat/biofilm"),EXACT(Metadata!P931,"misc environment"),EXACT(Metadata!P931,"sediment"),EXACT(Metadata!P931,"soil"),EXACT(Metadata!P931,"wastewater/sludge"),EXACT(Metadata!P931,"water")))</f>
        <v>0</v>
      </c>
      <c r="BD931" t="b">
        <f>IF(Metadata!Q931="",FALSE,TRUE)</f>
        <v>0</v>
      </c>
      <c r="BE931" t="b">
        <f>IF(Metadata!R931="",FALSE,TRUE)</f>
        <v>0</v>
      </c>
      <c r="BF931" t="b">
        <f>OR(AND(IF(Metadata!S931="",FALSE,TRUE),OR(EXACT(Metadata!S931,"not collected"),EXACT(Metadata!S931,"not provided"),EXACT(Metadata!S931,"restricted access"))),AND(IF(Metadata!S931="",FALSE,ISNUMBER(VALUE(Metadata!S931))),Metadata!S931&gt;=-90,Metadata!S931&lt;=90))</f>
        <v>0</v>
      </c>
      <c r="BG931" t="b">
        <f>AND(IF(Metadata!T931="",FALSE,TRUE),EXACT(Metadata!T931,"Decimal degrees"))</f>
        <v>0</v>
      </c>
      <c r="BH931" t="b">
        <f>OR(AND(IF(Metadata!U931="",FALSE,TRUE),OR(EXACT(Metadata!U931,"not applicable"),EXACT(Metadata!U931,"not collected"))),IF(Metadata!U931="",FALSE,TRUE))</f>
        <v>0</v>
      </c>
      <c r="BI931" t="b">
        <f>OR(AND(IF(Metadata!V931="",FALSE,TRUE),OR(EXACT(Metadata!V931,"not collected"),EXACT(Metadata!V931,"not provided"),EXACT(Metadata!V931,"restricted access"))),AND(IF(Metadata!V931="",FALSE,ISNUMBER(VALUE(Metadata!V931))),Metadata!V931&gt;=-180,Metadata!V931&lt;=180))</f>
        <v>0</v>
      </c>
      <c r="BJ931" t="b">
        <f>AND(IF(Metadata!W931="",FALSE,TRUE),EXACT(Metadata!W931,"Decimal degrees"))</f>
        <v>0</v>
      </c>
      <c r="BK931" t="b">
        <f>IF(Metadata!X931="",FALSE,TRUE)</f>
        <v>0</v>
      </c>
      <c r="BL931" t="b">
        <f>OR(AND(IF(Metadata!Y931="",FALSE,TRUE),OR(EXACT(Metadata!Y931,"not collected"),EXACT(Metadata!Y931,"not provided"),EXACT(Metadata!Y931,"restricted access"))),AND(IF(Metadata!Y931="",FALSE,TRUE),OR(EXACT(Metadata!Y931,"TRUE"),EXACT(Metadata!Y931,"FALSE"))))</f>
        <v>0</v>
      </c>
      <c r="BM931" t="b">
        <f>OR(AND(IF(Metadata!Z931="",FALSE,TRUE),EXACT(Metadata!Z931,"not applicable")),AND(IF(Metadata!Z931="",FALSE,TRUE),OR(EXACT(Metadata!Z931,"beer"),EXACT(Metadata!Z931,"cheese"),EXACT(Metadata!Z931,"fresh water"),EXACT(Metadata!Z931,"marine sediment"),EXACT(Metadata!Z931,"sea water"),EXACT(Metadata!Z931,"sediment"),EXACT(Metadata!Z931,"soil"),EXACT(Metadata!Z931,"waste water"))))</f>
        <v>0</v>
      </c>
      <c r="BN931" t="b">
        <f>AND(IF(Metadata!AA931="",FALSE,TRUE),EXACT(Metadata!AA931,"metagenome"))</f>
        <v>0</v>
      </c>
      <c r="BO931" t="b">
        <f>AND(IF(Metadata!AB931="",FALSE,TRUE),EXACT(Metadata!AB931,"256318"))</f>
        <v>0</v>
      </c>
      <c r="BP931" t="b">
        <f>IF(Metadata!AC931="",FALSE,TRUE)</f>
        <v>0</v>
      </c>
      <c r="BQ931" t="b">
        <f>IF(Metadata!AD931="",FALSE,TRUE)</f>
        <v>0</v>
      </c>
    </row>
    <row r="932" spans="1:69" x14ac:dyDescent="0.2">
      <c r="A932" s="4" t="e">
        <f ca="1">IF(B932=" "," ",HYPERLINK(CONCATENATE("#metadata!",ADDRESS(INDEX($AJ$2:$AJ$1001,MATCH(ROWS($AH$2:AH932),$AH$2:$AH$1001,0),0),2)),INDEX($AM$2:$AM$1001,MATCH(ROWS($AH$2:AH932),$AH$2:$AH$1001,0),0)))</f>
        <v>#N/A</v>
      </c>
      <c r="B932" s="5" t="e">
        <f ca="1">IF(OR(INDEX($AI$2:$AI$1001,MATCH(ROWS($AH$2:AH932),$AH$2:$AH$1001,0),1)&gt;=100000,INDEX($AO$1005:$BQ$1005,1,MATCH(COLUMNS($AO$1006:AO1006),$AO$1006:$BQ$1006,0))&gt;=100000), " ",IF(INDEX($AO$2:$BQ$1001,MATCH(ROWS($AH$2:AH932),$AH$2:$AH$1001,0),MATCH(COLUMNS($AO$1006:AO1006),$AO$1006:$BQ$1006,0)), HYPERLINK("#",""), HYPERLINK(CONCATENATE("#Metadata!", ADDRESS(INDEX($AJ$2:$AJ$1001,MATCH(ROWS($AH$2:AH932),$AH$2:$AH$1001,0),0), INDEX($AO$1004:$BQ$1004,1,MATCH(COLUMNS($AO$1006:AO1006),$AO$1006:$BQ$1006,0)))),"Fix")))</f>
        <v>#N/A</v>
      </c>
      <c r="C932" s="5" t="e">
        <f ca="1">IF(OR(INDEX($AI$2:$AI$1001,MATCH(ROWS($AH$2:AH932),$AH$2:$AH$1001,0),1)&gt;=100000,INDEX($AO$1005:$BQ$1005,1,MATCH(COLUMNS($AO$1006:AP1006),$AO$1006:$BQ$1006,0))&gt;=100000), " ",IF(INDEX($AO$2:$BQ$1001,MATCH(ROWS($AH$2:AH932),$AH$2:$AH$1001,0),MATCH(COLUMNS($AO$1006:AP1006),$AO$1006:$BQ$1006,0)), HYPERLINK("#",""), HYPERLINK(CONCATENATE("#Metadata!", ADDRESS(INDEX($AJ$2:$AJ$1001,MATCH(ROWS($AH$2:AH932),$AH$2:$AH$1001,0),0), INDEX($AO$1004:$BQ$1004,1,MATCH(COLUMNS($AO$1006:AP1006),$AO$1006:$BQ$1006,0)))),"Fix")))</f>
        <v>#N/A</v>
      </c>
      <c r="D932" s="5" t="e">
        <f ca="1">IF(OR(INDEX($AI$2:$AI$1001,MATCH(ROWS($AH$2:AH932),$AH$2:$AH$1001,0),1)&gt;=100000,INDEX($AO$1005:$BQ$1005,1,MATCH(COLUMNS($AO$1006:AQ1006),$AO$1006:$BQ$1006,0))&gt;=100000), " ",IF(INDEX($AO$2:$BQ$1001,MATCH(ROWS($AH$2:AH932),$AH$2:$AH$1001,0),MATCH(COLUMNS($AO$1006:AQ1006),$AO$1006:$BQ$1006,0)), HYPERLINK("#",""), HYPERLINK(CONCATENATE("#Metadata!", ADDRESS(INDEX($AJ$2:$AJ$1001,MATCH(ROWS($AH$2:AH932),$AH$2:$AH$1001,0),0), INDEX($AO$1004:$BQ$1004,1,MATCH(COLUMNS($AO$1006:AQ1006),$AO$1006:$BQ$1006,0)))),"Fix")))</f>
        <v>#N/A</v>
      </c>
      <c r="E932" s="5" t="e">
        <f ca="1">IF(OR(INDEX($AI$2:$AI$1001,MATCH(ROWS($AH$2:AH932),$AH$2:$AH$1001,0),1)&gt;=100000,INDEX($AO$1005:$BQ$1005,1,MATCH(COLUMNS($AO$1006:AR1006),$AO$1006:$BQ$1006,0))&gt;=100000), " ",IF(INDEX($AO$2:$BQ$1001,MATCH(ROWS($AH$2:AH932),$AH$2:$AH$1001,0),MATCH(COLUMNS($AO$1006:AR1006),$AO$1006:$BQ$1006,0)), HYPERLINK("#",""), HYPERLINK(CONCATENATE("#Metadata!", ADDRESS(INDEX($AJ$2:$AJ$1001,MATCH(ROWS($AH$2:AH932),$AH$2:$AH$1001,0),0), INDEX($AO$1004:$BQ$1004,1,MATCH(COLUMNS($AO$1006:AR1006),$AO$1006:$BQ$1006,0)))),"Fix")))</f>
        <v>#N/A</v>
      </c>
      <c r="F932" s="5" t="e">
        <f ca="1">IF(OR(INDEX($AI$2:$AI$1001,MATCH(ROWS($AH$2:AH932),$AH$2:$AH$1001,0),1)&gt;=100000,INDEX($AO$1005:$BQ$1005,1,MATCH(COLUMNS($AO$1006:AS1006),$AO$1006:$BQ$1006,0))&gt;=100000), " ",IF(INDEX($AO$2:$BQ$1001,MATCH(ROWS($AH$2:AH932),$AH$2:$AH$1001,0),MATCH(COLUMNS($AO$1006:AS1006),$AO$1006:$BQ$1006,0)), HYPERLINK("#",""), HYPERLINK(CONCATENATE("#Metadata!", ADDRESS(INDEX($AJ$2:$AJ$1001,MATCH(ROWS($AH$2:AH932),$AH$2:$AH$1001,0),0), INDEX($AO$1004:$BQ$1004,1,MATCH(COLUMNS($AO$1006:AS1006),$AO$1006:$BQ$1006,0)))),"Fix")))</f>
        <v>#N/A</v>
      </c>
      <c r="G932" s="5" t="e">
        <f ca="1">IF(OR(INDEX($AI$2:$AI$1001,MATCH(ROWS($AH$2:AH932),$AH$2:$AH$1001,0),1)&gt;=100000,INDEX($AO$1005:$BQ$1005,1,MATCH(COLUMNS($AO$1006:AT1006),$AO$1006:$BQ$1006,0))&gt;=100000), " ",IF(INDEX($AO$2:$BQ$1001,MATCH(ROWS($AH$2:AH932),$AH$2:$AH$1001,0),MATCH(COLUMNS($AO$1006:AT1006),$AO$1006:$BQ$1006,0)), HYPERLINK("#",""), HYPERLINK(CONCATENATE("#Metadata!", ADDRESS(INDEX($AJ$2:$AJ$1001,MATCH(ROWS($AH$2:AH932),$AH$2:$AH$1001,0),0), INDEX($AO$1004:$BQ$1004,1,MATCH(COLUMNS($AO$1006:AT1006),$AO$1006:$BQ$1006,0)))),"Fix")))</f>
        <v>#N/A</v>
      </c>
      <c r="H932" s="5" t="e">
        <f ca="1">IF(OR(INDEX($AI$2:$AI$1001,MATCH(ROWS($AH$2:AH932),$AH$2:$AH$1001,0),1)&gt;=100000,INDEX($AO$1005:$BQ$1005,1,MATCH(COLUMNS($AO$1006:AU1006),$AO$1006:$BQ$1006,0))&gt;=100000), " ",IF(INDEX($AO$2:$BQ$1001,MATCH(ROWS($AH$2:AH932),$AH$2:$AH$1001,0),MATCH(COLUMNS($AO$1006:AU1006),$AO$1006:$BQ$1006,0)), HYPERLINK("#",""), HYPERLINK(CONCATENATE("#Metadata!", ADDRESS(INDEX($AJ$2:$AJ$1001,MATCH(ROWS($AH$2:AH932),$AH$2:$AH$1001,0),0), INDEX($AO$1004:$BQ$1004,1,MATCH(COLUMNS($AO$1006:AU1006),$AO$1006:$BQ$1006,0)))),"Fix")))</f>
        <v>#N/A</v>
      </c>
      <c r="I932" s="5" t="e">
        <f ca="1">IF(OR(INDEX($AI$2:$AI$1001,MATCH(ROWS($AH$2:AH932),$AH$2:$AH$1001,0),1)&gt;=100000,INDEX($AO$1005:$BQ$1005,1,MATCH(COLUMNS($AO$1006:AV1006),$AO$1006:$BQ$1006,0))&gt;=100000), " ",IF(INDEX($AO$2:$BQ$1001,MATCH(ROWS($AH$2:AH932),$AH$2:$AH$1001,0),MATCH(COLUMNS($AO$1006:AV1006),$AO$1006:$BQ$1006,0)), HYPERLINK("#",""), HYPERLINK(CONCATENATE("#Metadata!", ADDRESS(INDEX($AJ$2:$AJ$1001,MATCH(ROWS($AH$2:AH932),$AH$2:$AH$1001,0),0), INDEX($AO$1004:$BQ$1004,1,MATCH(COLUMNS($AO$1006:AV1006),$AO$1006:$BQ$1006,0)))),"Fix")))</f>
        <v>#N/A</v>
      </c>
      <c r="J932" s="5" t="e">
        <f ca="1">IF(OR(INDEX($AI$2:$AI$1001,MATCH(ROWS($AH$2:AH932),$AH$2:$AH$1001,0),1)&gt;=100000,INDEX($AO$1005:$BQ$1005,1,MATCH(COLUMNS($AO$1006:AW1006),$AO$1006:$BQ$1006,0))&gt;=100000), " ",IF(INDEX($AO$2:$BQ$1001,MATCH(ROWS($AH$2:AH932),$AH$2:$AH$1001,0),MATCH(COLUMNS($AO$1006:AW1006),$AO$1006:$BQ$1006,0)), HYPERLINK("#",""), HYPERLINK(CONCATENATE("#Metadata!", ADDRESS(INDEX($AJ$2:$AJ$1001,MATCH(ROWS($AH$2:AH932),$AH$2:$AH$1001,0),0), INDEX($AO$1004:$BQ$1004,1,MATCH(COLUMNS($AO$1006:AW1006),$AO$1006:$BQ$1006,0)))),"Fix")))</f>
        <v>#N/A</v>
      </c>
      <c r="K932" s="5" t="e">
        <f ca="1">IF(OR(INDEX($AI$2:$AI$1001,MATCH(ROWS($AH$2:AH932),$AH$2:$AH$1001,0),1)&gt;=100000,INDEX($AO$1005:$BQ$1005,1,MATCH(COLUMNS($AO$1006:AX1006),$AO$1006:$BQ$1006,0))&gt;=100000), " ",IF(INDEX($AO$2:$BQ$1001,MATCH(ROWS($AH$2:AH932),$AH$2:$AH$1001,0),MATCH(COLUMNS($AO$1006:AX1006),$AO$1006:$BQ$1006,0)), HYPERLINK("#",""), HYPERLINK(CONCATENATE("#Metadata!", ADDRESS(INDEX($AJ$2:$AJ$1001,MATCH(ROWS($AH$2:AH932),$AH$2:$AH$1001,0),0), INDEX($AO$1004:$BQ$1004,1,MATCH(COLUMNS($AO$1006:AX1006),$AO$1006:$BQ$1006,0)))),"Fix")))</f>
        <v>#N/A</v>
      </c>
      <c r="L932" s="5" t="e">
        <f ca="1">IF(OR(INDEX($AI$2:$AI$1001,MATCH(ROWS($AH$2:AH932),$AH$2:$AH$1001,0),1)&gt;=100000,INDEX($AO$1005:$BQ$1005,1,MATCH(COLUMNS($AO$1006:AY1006),$AO$1006:$BQ$1006,0))&gt;=100000), " ",IF(INDEX($AO$2:$BQ$1001,MATCH(ROWS($AH$2:AH932),$AH$2:$AH$1001,0),MATCH(COLUMNS($AO$1006:AY1006),$AO$1006:$BQ$1006,0)), HYPERLINK("#",""), HYPERLINK(CONCATENATE("#Metadata!", ADDRESS(INDEX($AJ$2:$AJ$1001,MATCH(ROWS($AH$2:AH932),$AH$2:$AH$1001,0),0), INDEX($AO$1004:$BQ$1004,1,MATCH(COLUMNS($AO$1006:AY1006),$AO$1006:$BQ$1006,0)))),"Fix")))</f>
        <v>#N/A</v>
      </c>
      <c r="M932" s="5" t="e">
        <f ca="1">IF(OR(INDEX($AI$2:$AI$1001,MATCH(ROWS($AH$2:AH932),$AH$2:$AH$1001,0),1)&gt;=100000,INDEX($AO$1005:$BQ$1005,1,MATCH(COLUMNS($AO$1006:AZ1006),$AO$1006:$BQ$1006,0))&gt;=100000), " ",IF(INDEX($AO$2:$BQ$1001,MATCH(ROWS($AH$2:AH932),$AH$2:$AH$1001,0),MATCH(COLUMNS($AO$1006:AZ1006),$AO$1006:$BQ$1006,0)), HYPERLINK("#",""), HYPERLINK(CONCATENATE("#Metadata!", ADDRESS(INDEX($AJ$2:$AJ$1001,MATCH(ROWS($AH$2:AH932),$AH$2:$AH$1001,0),0), INDEX($AO$1004:$BQ$1004,1,MATCH(COLUMNS($AO$1006:AZ1006),$AO$1006:$BQ$1006,0)))),"Fix")))</f>
        <v>#N/A</v>
      </c>
      <c r="N932" s="5" t="e">
        <f ca="1">IF(OR(INDEX($AI$2:$AI$1001,MATCH(ROWS($AH$2:AH932),$AH$2:$AH$1001,0),1)&gt;=100000,INDEX($AO$1005:$BQ$1005,1,MATCH(COLUMNS($AO$1006:BA1006),$AO$1006:$BQ$1006,0))&gt;=100000), " ",IF(INDEX($AO$2:$BQ$1001,MATCH(ROWS($AH$2:AH932),$AH$2:$AH$1001,0),MATCH(COLUMNS($AO$1006:BA1006),$AO$1006:$BQ$1006,0)), HYPERLINK("#",""), HYPERLINK(CONCATENATE("#Metadata!", ADDRESS(INDEX($AJ$2:$AJ$1001,MATCH(ROWS($AH$2:AH932),$AH$2:$AH$1001,0),0), INDEX($AO$1004:$BQ$1004,1,MATCH(COLUMNS($AO$1006:BA1006),$AO$1006:$BQ$1006,0)))),"Fix")))</f>
        <v>#N/A</v>
      </c>
      <c r="O932" s="5" t="e">
        <f ca="1">IF(OR(INDEX($AI$2:$AI$1001,MATCH(ROWS($AH$2:AH932),$AH$2:$AH$1001,0),1)&gt;=100000,INDEX($AO$1005:$BQ$1005,1,MATCH(COLUMNS($AO$1006:BB1006),$AO$1006:$BQ$1006,0))&gt;=100000), " ",IF(INDEX($AO$2:$BQ$1001,MATCH(ROWS($AH$2:AH932),$AH$2:$AH$1001,0),MATCH(COLUMNS($AO$1006:BB1006),$AO$1006:$BQ$1006,0)), HYPERLINK("#",""), HYPERLINK(CONCATENATE("#Metadata!", ADDRESS(INDEX($AJ$2:$AJ$1001,MATCH(ROWS($AH$2:AH932),$AH$2:$AH$1001,0),0), INDEX($AO$1004:$BQ$1004,1,MATCH(COLUMNS($AO$1006:BB1006),$AO$1006:$BQ$1006,0)))),"Fix")))</f>
        <v>#N/A</v>
      </c>
      <c r="P932" s="5" t="e">
        <f ca="1">IF(OR(INDEX($AI$2:$AI$1001,MATCH(ROWS($AH$2:AH932),$AH$2:$AH$1001,0),1)&gt;=100000,INDEX($AO$1005:$BQ$1005,1,MATCH(COLUMNS($AO$1006:BC1006),$AO$1006:$BQ$1006,0))&gt;=100000), " ",IF(INDEX($AO$2:$BQ$1001,MATCH(ROWS($AH$2:AH932),$AH$2:$AH$1001,0),MATCH(COLUMNS($AO$1006:BC1006),$AO$1006:$BQ$1006,0)), HYPERLINK("#",""), HYPERLINK(CONCATENATE("#Metadata!", ADDRESS(INDEX($AJ$2:$AJ$1001,MATCH(ROWS($AH$2:AH932),$AH$2:$AH$1001,0),0), INDEX($AO$1004:$BQ$1004,1,MATCH(COLUMNS($AO$1006:BC1006),$AO$1006:$BQ$1006,0)))),"Fix")))</f>
        <v>#N/A</v>
      </c>
      <c r="Q932" s="5" t="e">
        <f ca="1">IF(OR(INDEX($AI$2:$AI$1001,MATCH(ROWS($AH$2:AH932),$AH$2:$AH$1001,0),1)&gt;=100000,INDEX($AO$1005:$BQ$1005,1,MATCH(COLUMNS($AO$1006:BD1006),$AO$1006:$BQ$1006,0))&gt;=100000), " ",IF(INDEX($AO$2:$BQ$1001,MATCH(ROWS($AH$2:AH932),$AH$2:$AH$1001,0),MATCH(COLUMNS($AO$1006:BD1006),$AO$1006:$BQ$1006,0)), HYPERLINK("#",""), HYPERLINK(CONCATENATE("#Metadata!", ADDRESS(INDEX($AJ$2:$AJ$1001,MATCH(ROWS($AH$2:AH932),$AH$2:$AH$1001,0),0), INDEX($AO$1004:$BQ$1004,1,MATCH(COLUMNS($AO$1006:BD1006),$AO$1006:$BQ$1006,0)))),"Fix")))</f>
        <v>#N/A</v>
      </c>
      <c r="R932" s="5" t="e">
        <f ca="1">IF(OR(INDEX($AI$2:$AI$1001,MATCH(ROWS($AH$2:AH932),$AH$2:$AH$1001,0),1)&gt;=100000,INDEX($AO$1005:$BQ$1005,1,MATCH(COLUMNS($AO$1006:BE1006),$AO$1006:$BQ$1006,0))&gt;=100000), " ",IF(INDEX($AO$2:$BQ$1001,MATCH(ROWS($AH$2:AH932),$AH$2:$AH$1001,0),MATCH(COLUMNS($AO$1006:BE1006),$AO$1006:$BQ$1006,0)), HYPERLINK("#",""), HYPERLINK(CONCATENATE("#Metadata!", ADDRESS(INDEX($AJ$2:$AJ$1001,MATCH(ROWS($AH$2:AH932),$AH$2:$AH$1001,0),0), INDEX($AO$1004:$BQ$1004,1,MATCH(COLUMNS($AO$1006:BE1006),$AO$1006:$BQ$1006,0)))),"Fix")))</f>
        <v>#N/A</v>
      </c>
      <c r="S932" s="5" t="e">
        <f ca="1">IF(OR(INDEX($AI$2:$AI$1001,MATCH(ROWS($AH$2:AH932),$AH$2:$AH$1001,0),1)&gt;=100000,INDEX($AO$1005:$BQ$1005,1,MATCH(COLUMNS($AO$1006:BF1006),$AO$1006:$BQ$1006,0))&gt;=100000), " ",IF(INDEX($AO$2:$BQ$1001,MATCH(ROWS($AH$2:AH932),$AH$2:$AH$1001,0),MATCH(COLUMNS($AO$1006:BF1006),$AO$1006:$BQ$1006,0)), HYPERLINK("#",""), HYPERLINK(CONCATENATE("#Metadata!", ADDRESS(INDEX($AJ$2:$AJ$1001,MATCH(ROWS($AH$2:AH932),$AH$2:$AH$1001,0),0), INDEX($AO$1004:$BQ$1004,1,MATCH(COLUMNS($AO$1006:BF1006),$AO$1006:$BQ$1006,0)))),"Fix")))</f>
        <v>#N/A</v>
      </c>
      <c r="T932" s="5" t="e">
        <f ca="1">IF(OR(INDEX($AI$2:$AI$1001,MATCH(ROWS($AH$2:AH932),$AH$2:$AH$1001,0),1)&gt;=100000,INDEX($AO$1005:$BQ$1005,1,MATCH(COLUMNS($AO$1006:BG1006),$AO$1006:$BQ$1006,0))&gt;=100000), " ",IF(INDEX($AO$2:$BQ$1001,MATCH(ROWS($AH$2:AH932),$AH$2:$AH$1001,0),MATCH(COLUMNS($AO$1006:BG1006),$AO$1006:$BQ$1006,0)), HYPERLINK("#",""), HYPERLINK(CONCATENATE("#Metadata!", ADDRESS(INDEX($AJ$2:$AJ$1001,MATCH(ROWS($AH$2:AH932),$AH$2:$AH$1001,0),0), INDEX($AO$1004:$BQ$1004,1,MATCH(COLUMNS($AO$1006:BG1006),$AO$1006:$BQ$1006,0)))),"Fix")))</f>
        <v>#N/A</v>
      </c>
      <c r="U932" s="5" t="e">
        <f ca="1">IF(OR(INDEX($AI$2:$AI$1001,MATCH(ROWS($AH$2:AH932),$AH$2:$AH$1001,0),1)&gt;=100000,INDEX($AO$1005:$BQ$1005,1,MATCH(COLUMNS($AO$1006:BH1006),$AO$1006:$BQ$1006,0))&gt;=100000), " ",IF(INDEX($AO$2:$BQ$1001,MATCH(ROWS($AH$2:AH932),$AH$2:$AH$1001,0),MATCH(COLUMNS($AO$1006:BH1006),$AO$1006:$BQ$1006,0)), HYPERLINK("#",""), HYPERLINK(CONCATENATE("#Metadata!", ADDRESS(INDEX($AJ$2:$AJ$1001,MATCH(ROWS($AH$2:AH932),$AH$2:$AH$1001,0),0), INDEX($AO$1004:$BQ$1004,1,MATCH(COLUMNS($AO$1006:BH1006),$AO$1006:$BQ$1006,0)))),"Fix")))</f>
        <v>#N/A</v>
      </c>
      <c r="V932" s="5" t="e">
        <f ca="1">IF(OR(INDEX($AI$2:$AI$1001,MATCH(ROWS($AH$2:AH932),$AH$2:$AH$1001,0),1)&gt;=100000,INDEX($AO$1005:$BQ$1005,1,MATCH(COLUMNS($AO$1006:BI1006),$AO$1006:$BQ$1006,0))&gt;=100000), " ",IF(INDEX($AO$2:$BQ$1001,MATCH(ROWS($AH$2:AH932),$AH$2:$AH$1001,0),MATCH(COLUMNS($AO$1006:BI1006),$AO$1006:$BQ$1006,0)), HYPERLINK("#",""), HYPERLINK(CONCATENATE("#Metadata!", ADDRESS(INDEX($AJ$2:$AJ$1001,MATCH(ROWS($AH$2:AH932),$AH$2:$AH$1001,0),0), INDEX($AO$1004:$BQ$1004,1,MATCH(COLUMNS($AO$1006:BI1006),$AO$1006:$BQ$1006,0)))),"Fix")))</f>
        <v>#N/A</v>
      </c>
      <c r="W932" s="5" t="e">
        <f ca="1">IF(OR(INDEX($AI$2:$AI$1001,MATCH(ROWS($AH$2:AH932),$AH$2:$AH$1001,0),1)&gt;=100000,INDEX($AO$1005:$BQ$1005,1,MATCH(COLUMNS($AO$1006:BJ1006),$AO$1006:$BQ$1006,0))&gt;=100000), " ",IF(INDEX($AO$2:$BQ$1001,MATCH(ROWS($AH$2:AH932),$AH$2:$AH$1001,0),MATCH(COLUMNS($AO$1006:BJ1006),$AO$1006:$BQ$1006,0)), HYPERLINK("#",""), HYPERLINK(CONCATENATE("#Metadata!", ADDRESS(INDEX($AJ$2:$AJ$1001,MATCH(ROWS($AH$2:AH932),$AH$2:$AH$1001,0),0), INDEX($AO$1004:$BQ$1004,1,MATCH(COLUMNS($AO$1006:BJ1006),$AO$1006:$BQ$1006,0)))),"Fix")))</f>
        <v>#N/A</v>
      </c>
      <c r="X932" s="5" t="e">
        <f ca="1">IF(OR(INDEX($AI$2:$AI$1001,MATCH(ROWS($AH$2:AH932),$AH$2:$AH$1001,0),1)&gt;=100000,INDEX($AO$1005:$BQ$1005,1,MATCH(COLUMNS($AO$1006:BK1006),$AO$1006:$BQ$1006,0))&gt;=100000), " ",IF(INDEX($AO$2:$BQ$1001,MATCH(ROWS($AH$2:AH932),$AH$2:$AH$1001,0),MATCH(COLUMNS($AO$1006:BK1006),$AO$1006:$BQ$1006,0)), HYPERLINK("#",""), HYPERLINK(CONCATENATE("#Metadata!", ADDRESS(INDEX($AJ$2:$AJ$1001,MATCH(ROWS($AH$2:AH932),$AH$2:$AH$1001,0),0), INDEX($AO$1004:$BQ$1004,1,MATCH(COLUMNS($AO$1006:BK1006),$AO$1006:$BQ$1006,0)))),"Fix")))</f>
        <v>#N/A</v>
      </c>
      <c r="Y932" s="5" t="e">
        <f ca="1">IF(OR(INDEX($AI$2:$AI$1001,MATCH(ROWS($AH$2:AH932),$AH$2:$AH$1001,0),1)&gt;=100000,INDEX($AO$1005:$BQ$1005,1,MATCH(COLUMNS($AO$1006:BL1006),$AO$1006:$BQ$1006,0))&gt;=100000), " ",IF(INDEX($AO$2:$BQ$1001,MATCH(ROWS($AH$2:AH932),$AH$2:$AH$1001,0),MATCH(COLUMNS($AO$1006:BL1006),$AO$1006:$BQ$1006,0)), HYPERLINK("#",""), HYPERLINK(CONCATENATE("#Metadata!", ADDRESS(INDEX($AJ$2:$AJ$1001,MATCH(ROWS($AH$2:AH932),$AH$2:$AH$1001,0),0), INDEX($AO$1004:$BQ$1004,1,MATCH(COLUMNS($AO$1006:BL1006),$AO$1006:$BQ$1006,0)))),"Fix")))</f>
        <v>#N/A</v>
      </c>
      <c r="Z932" s="5" t="e">
        <f ca="1">IF(OR(INDEX($AI$2:$AI$1001,MATCH(ROWS($AH$2:AH932),$AH$2:$AH$1001,0),1)&gt;=100000,INDEX($AO$1005:$BQ$1005,1,MATCH(COLUMNS($AO$1006:BM1006),$AO$1006:$BQ$1006,0))&gt;=100000), " ",IF(INDEX($AO$2:$BQ$1001,MATCH(ROWS($AH$2:AH932),$AH$2:$AH$1001,0),MATCH(COLUMNS($AO$1006:BM1006),$AO$1006:$BQ$1006,0)), HYPERLINK("#",""), HYPERLINK(CONCATENATE("#Metadata!", ADDRESS(INDEX($AJ$2:$AJ$1001,MATCH(ROWS($AH$2:AH932),$AH$2:$AH$1001,0),0), INDEX($AO$1004:$BQ$1004,1,MATCH(COLUMNS($AO$1006:BM1006),$AO$1006:$BQ$1006,0)))),"Fix")))</f>
        <v>#N/A</v>
      </c>
      <c r="AA932" s="5" t="e">
        <f ca="1">IF(OR(INDEX($AI$2:$AI$1001,MATCH(ROWS($AH$2:AH932),$AH$2:$AH$1001,0),1)&gt;=100000,INDEX($AO$1005:$BQ$1005,1,MATCH(COLUMNS($AO$1006:BN1006),$AO$1006:$BQ$1006,0))&gt;=100000), " ",IF(INDEX($AO$2:$BQ$1001,MATCH(ROWS($AH$2:AH932),$AH$2:$AH$1001,0),MATCH(COLUMNS($AO$1006:BN1006),$AO$1006:$BQ$1006,0)), HYPERLINK("#",""), HYPERLINK(CONCATENATE("#Metadata!", ADDRESS(INDEX($AJ$2:$AJ$1001,MATCH(ROWS($AH$2:AH932),$AH$2:$AH$1001,0),0), INDEX($AO$1004:$BQ$1004,1,MATCH(COLUMNS($AO$1006:BN1006),$AO$1006:$BQ$1006,0)))),"Fix")))</f>
        <v>#N/A</v>
      </c>
      <c r="AB932" s="5" t="e">
        <f ca="1">IF(OR(INDEX($AI$2:$AI$1001,MATCH(ROWS($AH$2:AH932),$AH$2:$AH$1001,0),1)&gt;=100000,INDEX($AO$1005:$BQ$1005,1,MATCH(COLUMNS($AO$1006:BO1006),$AO$1006:$BQ$1006,0))&gt;=100000), " ",IF(INDEX($AO$2:$BQ$1001,MATCH(ROWS($AH$2:AH932),$AH$2:$AH$1001,0),MATCH(COLUMNS($AO$1006:BO1006),$AO$1006:$BQ$1006,0)), HYPERLINK("#",""), HYPERLINK(CONCATENATE("#Metadata!", ADDRESS(INDEX($AJ$2:$AJ$1001,MATCH(ROWS($AH$2:AH932),$AH$2:$AH$1001,0),0), INDEX($AO$1004:$BQ$1004,1,MATCH(COLUMNS($AO$1006:BO1006),$AO$1006:$BQ$1006,0)))),"Fix")))</f>
        <v>#N/A</v>
      </c>
      <c r="AC932" s="5" t="e">
        <f ca="1">IF(OR(INDEX($AI$2:$AI$1001,MATCH(ROWS($AH$2:AH932),$AH$2:$AH$1001,0),1)&gt;=100000,INDEX($AO$1005:$BQ$1005,1,MATCH(COLUMNS($AO$1006:BP1006),$AO$1006:$BQ$1006,0))&gt;=100000), " ",IF(INDEX($AO$2:$BQ$1001,MATCH(ROWS($AH$2:AH932),$AH$2:$AH$1001,0),MATCH(COLUMNS($AO$1006:BP1006),$AO$1006:$BQ$1006,0)), HYPERLINK("#",""), HYPERLINK(CONCATENATE("#Metadata!", ADDRESS(INDEX($AJ$2:$AJ$1001,MATCH(ROWS($AH$2:AH932),$AH$2:$AH$1001,0),0), INDEX($AO$1004:$BQ$1004,1,MATCH(COLUMNS($AO$1006:BP1006),$AO$1006:$BQ$1006,0)))),"Fix")))</f>
        <v>#N/A</v>
      </c>
      <c r="AD932" s="5" t="e">
        <f ca="1">IF(OR(INDEX($AI$2:$AI$1001,MATCH(ROWS($AH$2:AH932),$AH$2:$AH$1001,0),1)&gt;=100000,INDEX($AO$1005:$BQ$1005,1,MATCH(COLUMNS($AO$1006:BQ1006),$AO$1006:$BQ$1006,0))&gt;=100000), " ",IF(INDEX($AO$2:$BQ$1001,MATCH(ROWS($AH$2:AH932),$AH$2:$AH$1001,0),MATCH(COLUMNS($AO$1006:BQ1006),$AO$1006:$BQ$1006,0)), HYPERLINK("#",""), HYPERLINK(CONCATENATE("#Metadata!", ADDRESS(INDEX($AJ$2:$AJ$1001,MATCH(ROWS($AH$2:AH932),$AH$2:$AH$1001,0),0), INDEX($AO$1004:$BQ$1004,1,MATCH(COLUMNS($AO$1006:BQ1006),$AO$1006:$BQ$1006,0)))),"Fix")))</f>
        <v>#REF!</v>
      </c>
      <c r="AH932">
        <f ca="1"/>
        <v>929</v>
      </c>
      <c r="AI932">
        <v>100932</v>
      </c>
      <c r="AJ932">
        <v>932</v>
      </c>
      <c r="AK932" t="b">
        <f t="shared" si="14"/>
        <v>1</v>
      </c>
      <c r="AL932" t="b">
        <f>COUNTBLANK(Metadata!B932:AD932)=COLUMNS(Metadata!B932:AD932)</f>
        <v>1</v>
      </c>
      <c r="AM932" t="str">
        <v/>
      </c>
      <c r="AO932" t="b">
        <f ca="1">AND(IF(Metadata!B932="",FALSE,TRUE),COUNTIF(Metadata!B:B, Metadata!B932) = 1,NOT(ISERROR(SUMPRODUCT(SEARCH(MID(Metadata!B932,ROW(INDIRECT("1:"&amp;LEN(Metadata!B932))), 1),"0123456789abcdefghijklmnopqrstuvwxyzABCDEFGHIJKLMNOPQRSTUVWXYZ.")))))</f>
        <v>0</v>
      </c>
      <c r="AP932" t="b">
        <f>IF(Metadata!C932="",FALSE,TRUE)</f>
        <v>0</v>
      </c>
      <c r="AQ932" t="b">
        <f>IF(Metadata!D932="",FALSE,TRUE)</f>
        <v>0</v>
      </c>
      <c r="AR932" t="b">
        <f ca="1">OR(AND(IF(Metadata!E932="",FALSE,TRUE),OR(EXACT(Metadata!E932,"not collected"),EXACT(Metadata!E932,"not provided"),EXACT(Metadata!E932,"restricted access"))),AND(IF(Metadata!E932="",FALSE,TRUE),AND(AND(IFERROR(INT(LEFT(Metadata!E932,4))&gt;1900,FALSE),IFERROR(INT(LEFT(Metadata!E932,4))&lt;=YEAR(NOW()),FALSE)), OR(MID(Metadata!E932,5,1)="", AND(AND(MID(Metadata!E932,5,1)="-",IFERROR(INT(MID(Metadata!E932,6,1))&gt;=0,FALSE),IFERROR(INT(MID(Metadata!E932,6,1))&lt;=1,FALSE),NOT(MID(Metadata!E932,7,1)=""),IFERROR(INT(MID(Metadata!E932,6,2))&gt;=1,FALSE),IFERROR(INT(MID(Metadata!E932,6,2))&lt;=12,FALSE)), OR(MID(Metadata!E932,8,1)="", AND(AND(MID(Metadata!E932,8,1)="-",IFERROR(INT(MID(Metadata!E932,9,1))&gt;=0,FALSE),IFERROR(INT(MID(Metadata!E932,9,1))&lt;=3,FALSE),NOT(MID(Metadata!E932,10,1)=""),IFERROR(INT(MID(Metadata!E932,9,2))&gt;=1,FALSE),IFERROR(INT(MID(Metadata!E932,9,2))&lt;=31,FALSE)), OR(MID(Metadata!E932,11,1)="", AND(AND(MID(Metadata!E932,11,1)=" ",IFERROR(INT(MID(Metadata!E932,12,1))&gt;=0,FALSE),IFERROR(INT(MID(Metadata!E932,12,1))&lt;=2,FALSE),NOT(MID(Metadata!E932,13,1)=""),IFERROR(INT(MID(Metadata!E932,12,2))&gt;=0,FALSE),IFERROR(INT(MID(Metadata!E932,12,2))&lt;=23,FALSE)), OR(MID(Metadata!E932,14,1)="", AND(AND(MID(Metadata!E932,14,1)=":",IFERROR(INT(MID(Metadata!E932,15,1))&gt;=0,FALSE),IFERROR(INT(MID(Metadata!E932,15,1))&lt;=5,FALSE),NOT(MID(Metadata!E932,16,1)=""),IFERROR(INT(MID(Metadata!E932,15,2))&gt;=0,FALSE),IFERROR(INT(MID(Metadata!E932,15,2))&lt;=59,FALSE)), OR(MID(Metadata!E932,17,1)="", AND(AND(MID(Metadata!E932,17,1)=":",IFERROR(INT(MID(Metadata!E932,18,1))&gt;=0,FALSE),IFERROR(INT(MID(Metadata!E932,18,1))&lt;=5,FALSE),NOT(MID(Metadata!E932,19,1)=""),IFERROR(INT(MID(Metadata!E932,18,2))&gt;=0,FALSE),IFERROR(INT(MID(Metadata!E932,18,2))&lt;=59,FALSE)), LEN(Metadata!E932)&lt;=19)))))))))))))</f>
        <v>0</v>
      </c>
      <c r="AS932" t="b">
        <f>IF(Metadata!F932="",FALSE,TRUE)</f>
        <v>0</v>
      </c>
      <c r="AT932" t="b">
        <f>OR(AND(IF(Metadata!G932="",FALSE,TRUE),OR(EXACT(Metadata!G932,"not collected"),EXACT(Metadata!G932,"not provided"))),AND(IF(Metadata!G932="",FALSE,TRUE),OR(EXACT(Metadata!G932,"TRUE"),EXACT(Metadata!G932,"FALSE"))))</f>
        <v>0</v>
      </c>
      <c r="AU932" t="b">
        <f>OR(AND(IF(Metadata!H932="",FALSE,TRUE),OR(EXACT(Metadata!H932,"not collected"),EXACT(Metadata!H932,"not provided"),EXACT(Metadata!H932,"restricted access"))),AND(IF(Metadata!H932="",FALSE,ISNUMBER(VALUE(Metadata!H932))),Metadata!H932&gt;=-413))</f>
        <v>0</v>
      </c>
      <c r="AV932" t="b">
        <f>AND(IF(Metadata!I932="",FALSE,TRUE),EXACT(Metadata!I932,"meters"))</f>
        <v>0</v>
      </c>
      <c r="AW932" t="b">
        <f>AND(IF(Metadata!J932="",FALSE,TRUE),EXACT(Metadata!J932,"free-living"))</f>
        <v>0</v>
      </c>
      <c r="AX932" t="b">
        <f>AND(IF(Metadata!K932="",FALSE,TRUE),OR(EXACT(Metadata!K932,"saline"),EXACT(Metadata!K932,"non-saline")))</f>
        <v>0</v>
      </c>
      <c r="AY932" t="b">
        <f>AND(IF(Metadata!L932="",FALSE,TRUE),OR(EXACT(Metadata!L932,"sub-surface (non-saline)"),EXACT(Metadata!L932,"surface (non-saline)"),EXACT(Metadata!L932,"water (non-saline)"),EXACT(Metadata!L932,"soil (non-saline)"),EXACT(Metadata!L932,"aerosol (non-saline)"),EXACT(Metadata!L932,"sediment (non-saline)"),EXACT(Metadata!L932,"surface (saline)"),EXACT(Metadata!L932,"water (saline)"),EXACT(Metadata!L932,"hypersaline (saline)"),EXACT(Metadata!L932,"aerosol (saline)"),EXACT(Metadata!L932,"sediment (saline)")))</f>
        <v>0</v>
      </c>
      <c r="AZ932" t="b">
        <f>IF(Metadata!M932="",FALSE,TRUE)</f>
        <v>0</v>
      </c>
      <c r="BA932" t="b">
        <f>IF(Metadata!N932="",FALSE,TRUE)</f>
        <v>0</v>
      </c>
      <c r="BB932" t="b">
        <f>IF(Metadata!O932="",FALSE,TRUE)</f>
        <v>0</v>
      </c>
      <c r="BC932" t="b">
        <f>AND(IF(Metadata!P932="",FALSE,TRUE),OR(EXACT(Metadata!P932,"air"),EXACT(Metadata!P932,"microbial mat/biofilm"),EXACT(Metadata!P932,"misc environment"),EXACT(Metadata!P932,"sediment"),EXACT(Metadata!P932,"soil"),EXACT(Metadata!P932,"wastewater/sludge"),EXACT(Metadata!P932,"water")))</f>
        <v>0</v>
      </c>
      <c r="BD932" t="b">
        <f>IF(Metadata!Q932="",FALSE,TRUE)</f>
        <v>0</v>
      </c>
      <c r="BE932" t="b">
        <f>IF(Metadata!R932="",FALSE,TRUE)</f>
        <v>0</v>
      </c>
      <c r="BF932" t="b">
        <f>OR(AND(IF(Metadata!S932="",FALSE,TRUE),OR(EXACT(Metadata!S932,"not collected"),EXACT(Metadata!S932,"not provided"),EXACT(Metadata!S932,"restricted access"))),AND(IF(Metadata!S932="",FALSE,ISNUMBER(VALUE(Metadata!S932))),Metadata!S932&gt;=-90,Metadata!S932&lt;=90))</f>
        <v>0</v>
      </c>
      <c r="BG932" t="b">
        <f>AND(IF(Metadata!T932="",FALSE,TRUE),EXACT(Metadata!T932,"Decimal degrees"))</f>
        <v>0</v>
      </c>
      <c r="BH932" t="b">
        <f>OR(AND(IF(Metadata!U932="",FALSE,TRUE),OR(EXACT(Metadata!U932,"not applicable"),EXACT(Metadata!U932,"not collected"))),IF(Metadata!U932="",FALSE,TRUE))</f>
        <v>0</v>
      </c>
      <c r="BI932" t="b">
        <f>OR(AND(IF(Metadata!V932="",FALSE,TRUE),OR(EXACT(Metadata!V932,"not collected"),EXACT(Metadata!V932,"not provided"),EXACT(Metadata!V932,"restricted access"))),AND(IF(Metadata!V932="",FALSE,ISNUMBER(VALUE(Metadata!V932))),Metadata!V932&gt;=-180,Metadata!V932&lt;=180))</f>
        <v>0</v>
      </c>
      <c r="BJ932" t="b">
        <f>AND(IF(Metadata!W932="",FALSE,TRUE),EXACT(Metadata!W932,"Decimal degrees"))</f>
        <v>0</v>
      </c>
      <c r="BK932" t="b">
        <f>IF(Metadata!X932="",FALSE,TRUE)</f>
        <v>0</v>
      </c>
      <c r="BL932" t="b">
        <f>OR(AND(IF(Metadata!Y932="",FALSE,TRUE),OR(EXACT(Metadata!Y932,"not collected"),EXACT(Metadata!Y932,"not provided"),EXACT(Metadata!Y932,"restricted access"))),AND(IF(Metadata!Y932="",FALSE,TRUE),OR(EXACT(Metadata!Y932,"TRUE"),EXACT(Metadata!Y932,"FALSE"))))</f>
        <v>0</v>
      </c>
      <c r="BM932" t="b">
        <f>OR(AND(IF(Metadata!Z932="",FALSE,TRUE),EXACT(Metadata!Z932,"not applicable")),AND(IF(Metadata!Z932="",FALSE,TRUE),OR(EXACT(Metadata!Z932,"beer"),EXACT(Metadata!Z932,"cheese"),EXACT(Metadata!Z932,"fresh water"),EXACT(Metadata!Z932,"marine sediment"),EXACT(Metadata!Z932,"sea water"),EXACT(Metadata!Z932,"sediment"),EXACT(Metadata!Z932,"soil"),EXACT(Metadata!Z932,"waste water"))))</f>
        <v>0</v>
      </c>
      <c r="BN932" t="b">
        <f>AND(IF(Metadata!AA932="",FALSE,TRUE),EXACT(Metadata!AA932,"metagenome"))</f>
        <v>0</v>
      </c>
      <c r="BO932" t="b">
        <f>AND(IF(Metadata!AB932="",FALSE,TRUE),EXACT(Metadata!AB932,"256318"))</f>
        <v>0</v>
      </c>
      <c r="BP932" t="b">
        <f>IF(Metadata!AC932="",FALSE,TRUE)</f>
        <v>0</v>
      </c>
      <c r="BQ932" t="b">
        <f>IF(Metadata!AD932="",FALSE,TRUE)</f>
        <v>0</v>
      </c>
    </row>
    <row r="933" spans="1:69" x14ac:dyDescent="0.2">
      <c r="A933" s="4" t="e">
        <f ca="1">IF(B933=" "," ",HYPERLINK(CONCATENATE("#metadata!",ADDRESS(INDEX($AJ$2:$AJ$1001,MATCH(ROWS($AH$2:AH933),$AH$2:$AH$1001,0),0),2)),INDEX($AM$2:$AM$1001,MATCH(ROWS($AH$2:AH933),$AH$2:$AH$1001,0),0)))</f>
        <v>#N/A</v>
      </c>
      <c r="B933" s="5" t="e">
        <f ca="1">IF(OR(INDEX($AI$2:$AI$1001,MATCH(ROWS($AH$2:AH933),$AH$2:$AH$1001,0),1)&gt;=100000,INDEX($AO$1005:$BQ$1005,1,MATCH(COLUMNS($AO$1006:AO1006),$AO$1006:$BQ$1006,0))&gt;=100000), " ",IF(INDEX($AO$2:$BQ$1001,MATCH(ROWS($AH$2:AH933),$AH$2:$AH$1001,0),MATCH(COLUMNS($AO$1006:AO1006),$AO$1006:$BQ$1006,0)), HYPERLINK("#",""), HYPERLINK(CONCATENATE("#Metadata!", ADDRESS(INDEX($AJ$2:$AJ$1001,MATCH(ROWS($AH$2:AH933),$AH$2:$AH$1001,0),0), INDEX($AO$1004:$BQ$1004,1,MATCH(COLUMNS($AO$1006:AO1006),$AO$1006:$BQ$1006,0)))),"Fix")))</f>
        <v>#N/A</v>
      </c>
      <c r="C933" s="5" t="e">
        <f ca="1">IF(OR(INDEX($AI$2:$AI$1001,MATCH(ROWS($AH$2:AH933),$AH$2:$AH$1001,0),1)&gt;=100000,INDEX($AO$1005:$BQ$1005,1,MATCH(COLUMNS($AO$1006:AP1006),$AO$1006:$BQ$1006,0))&gt;=100000), " ",IF(INDEX($AO$2:$BQ$1001,MATCH(ROWS($AH$2:AH933),$AH$2:$AH$1001,0),MATCH(COLUMNS($AO$1006:AP1006),$AO$1006:$BQ$1006,0)), HYPERLINK("#",""), HYPERLINK(CONCATENATE("#Metadata!", ADDRESS(INDEX($AJ$2:$AJ$1001,MATCH(ROWS($AH$2:AH933),$AH$2:$AH$1001,0),0), INDEX($AO$1004:$BQ$1004,1,MATCH(COLUMNS($AO$1006:AP1006),$AO$1006:$BQ$1006,0)))),"Fix")))</f>
        <v>#N/A</v>
      </c>
      <c r="D933" s="5" t="e">
        <f ca="1">IF(OR(INDEX($AI$2:$AI$1001,MATCH(ROWS($AH$2:AH933),$AH$2:$AH$1001,0),1)&gt;=100000,INDEX($AO$1005:$BQ$1005,1,MATCH(COLUMNS($AO$1006:AQ1006),$AO$1006:$BQ$1006,0))&gt;=100000), " ",IF(INDEX($AO$2:$BQ$1001,MATCH(ROWS($AH$2:AH933),$AH$2:$AH$1001,0),MATCH(COLUMNS($AO$1006:AQ1006),$AO$1006:$BQ$1006,0)), HYPERLINK("#",""), HYPERLINK(CONCATENATE("#Metadata!", ADDRESS(INDEX($AJ$2:$AJ$1001,MATCH(ROWS($AH$2:AH933),$AH$2:$AH$1001,0),0), INDEX($AO$1004:$BQ$1004,1,MATCH(COLUMNS($AO$1006:AQ1006),$AO$1006:$BQ$1006,0)))),"Fix")))</f>
        <v>#N/A</v>
      </c>
      <c r="E933" s="5" t="e">
        <f ca="1">IF(OR(INDEX($AI$2:$AI$1001,MATCH(ROWS($AH$2:AH933),$AH$2:$AH$1001,0),1)&gt;=100000,INDEX($AO$1005:$BQ$1005,1,MATCH(COLUMNS($AO$1006:AR1006),$AO$1006:$BQ$1006,0))&gt;=100000), " ",IF(INDEX($AO$2:$BQ$1001,MATCH(ROWS($AH$2:AH933),$AH$2:$AH$1001,0),MATCH(COLUMNS($AO$1006:AR1006),$AO$1006:$BQ$1006,0)), HYPERLINK("#",""), HYPERLINK(CONCATENATE("#Metadata!", ADDRESS(INDEX($AJ$2:$AJ$1001,MATCH(ROWS($AH$2:AH933),$AH$2:$AH$1001,0),0), INDEX($AO$1004:$BQ$1004,1,MATCH(COLUMNS($AO$1006:AR1006),$AO$1006:$BQ$1006,0)))),"Fix")))</f>
        <v>#N/A</v>
      </c>
      <c r="F933" s="5" t="e">
        <f ca="1">IF(OR(INDEX($AI$2:$AI$1001,MATCH(ROWS($AH$2:AH933),$AH$2:$AH$1001,0),1)&gt;=100000,INDEX($AO$1005:$BQ$1005,1,MATCH(COLUMNS($AO$1006:AS1006),$AO$1006:$BQ$1006,0))&gt;=100000), " ",IF(INDEX($AO$2:$BQ$1001,MATCH(ROWS($AH$2:AH933),$AH$2:$AH$1001,0),MATCH(COLUMNS($AO$1006:AS1006),$AO$1006:$BQ$1006,0)), HYPERLINK("#",""), HYPERLINK(CONCATENATE("#Metadata!", ADDRESS(INDEX($AJ$2:$AJ$1001,MATCH(ROWS($AH$2:AH933),$AH$2:$AH$1001,0),0), INDEX($AO$1004:$BQ$1004,1,MATCH(COLUMNS($AO$1006:AS1006),$AO$1006:$BQ$1006,0)))),"Fix")))</f>
        <v>#N/A</v>
      </c>
      <c r="G933" s="5" t="e">
        <f ca="1">IF(OR(INDEX($AI$2:$AI$1001,MATCH(ROWS($AH$2:AH933),$AH$2:$AH$1001,0),1)&gt;=100000,INDEX($AO$1005:$BQ$1005,1,MATCH(COLUMNS($AO$1006:AT1006),$AO$1006:$BQ$1006,0))&gt;=100000), " ",IF(INDEX($AO$2:$BQ$1001,MATCH(ROWS($AH$2:AH933),$AH$2:$AH$1001,0),MATCH(COLUMNS($AO$1006:AT1006),$AO$1006:$BQ$1006,0)), HYPERLINK("#",""), HYPERLINK(CONCATENATE("#Metadata!", ADDRESS(INDEX($AJ$2:$AJ$1001,MATCH(ROWS($AH$2:AH933),$AH$2:$AH$1001,0),0), INDEX($AO$1004:$BQ$1004,1,MATCH(COLUMNS($AO$1006:AT1006),$AO$1006:$BQ$1006,0)))),"Fix")))</f>
        <v>#N/A</v>
      </c>
      <c r="H933" s="5" t="e">
        <f ca="1">IF(OR(INDEX($AI$2:$AI$1001,MATCH(ROWS($AH$2:AH933),$AH$2:$AH$1001,0),1)&gt;=100000,INDEX($AO$1005:$BQ$1005,1,MATCH(COLUMNS($AO$1006:AU1006),$AO$1006:$BQ$1006,0))&gt;=100000), " ",IF(INDEX($AO$2:$BQ$1001,MATCH(ROWS($AH$2:AH933),$AH$2:$AH$1001,0),MATCH(COLUMNS($AO$1006:AU1006),$AO$1006:$BQ$1006,0)), HYPERLINK("#",""), HYPERLINK(CONCATENATE("#Metadata!", ADDRESS(INDEX($AJ$2:$AJ$1001,MATCH(ROWS($AH$2:AH933),$AH$2:$AH$1001,0),0), INDEX($AO$1004:$BQ$1004,1,MATCH(COLUMNS($AO$1006:AU1006),$AO$1006:$BQ$1006,0)))),"Fix")))</f>
        <v>#N/A</v>
      </c>
      <c r="I933" s="5" t="e">
        <f ca="1">IF(OR(INDEX($AI$2:$AI$1001,MATCH(ROWS($AH$2:AH933),$AH$2:$AH$1001,0),1)&gt;=100000,INDEX($AO$1005:$BQ$1005,1,MATCH(COLUMNS($AO$1006:AV1006),$AO$1006:$BQ$1006,0))&gt;=100000), " ",IF(INDEX($AO$2:$BQ$1001,MATCH(ROWS($AH$2:AH933),$AH$2:$AH$1001,0),MATCH(COLUMNS($AO$1006:AV1006),$AO$1006:$BQ$1006,0)), HYPERLINK("#",""), HYPERLINK(CONCATENATE("#Metadata!", ADDRESS(INDEX($AJ$2:$AJ$1001,MATCH(ROWS($AH$2:AH933),$AH$2:$AH$1001,0),0), INDEX($AO$1004:$BQ$1004,1,MATCH(COLUMNS($AO$1006:AV1006),$AO$1006:$BQ$1006,0)))),"Fix")))</f>
        <v>#N/A</v>
      </c>
      <c r="J933" s="5" t="e">
        <f ca="1">IF(OR(INDEX($AI$2:$AI$1001,MATCH(ROWS($AH$2:AH933),$AH$2:$AH$1001,0),1)&gt;=100000,INDEX($AO$1005:$BQ$1005,1,MATCH(COLUMNS($AO$1006:AW1006),$AO$1006:$BQ$1006,0))&gt;=100000), " ",IF(INDEX($AO$2:$BQ$1001,MATCH(ROWS($AH$2:AH933),$AH$2:$AH$1001,0),MATCH(COLUMNS($AO$1006:AW1006),$AO$1006:$BQ$1006,0)), HYPERLINK("#",""), HYPERLINK(CONCATENATE("#Metadata!", ADDRESS(INDEX($AJ$2:$AJ$1001,MATCH(ROWS($AH$2:AH933),$AH$2:$AH$1001,0),0), INDEX($AO$1004:$BQ$1004,1,MATCH(COLUMNS($AO$1006:AW1006),$AO$1006:$BQ$1006,0)))),"Fix")))</f>
        <v>#N/A</v>
      </c>
      <c r="K933" s="5" t="e">
        <f ca="1">IF(OR(INDEX($AI$2:$AI$1001,MATCH(ROWS($AH$2:AH933),$AH$2:$AH$1001,0),1)&gt;=100000,INDEX($AO$1005:$BQ$1005,1,MATCH(COLUMNS($AO$1006:AX1006),$AO$1006:$BQ$1006,0))&gt;=100000), " ",IF(INDEX($AO$2:$BQ$1001,MATCH(ROWS($AH$2:AH933),$AH$2:$AH$1001,0),MATCH(COLUMNS($AO$1006:AX1006),$AO$1006:$BQ$1006,0)), HYPERLINK("#",""), HYPERLINK(CONCATENATE("#Metadata!", ADDRESS(INDEX($AJ$2:$AJ$1001,MATCH(ROWS($AH$2:AH933),$AH$2:$AH$1001,0),0), INDEX($AO$1004:$BQ$1004,1,MATCH(COLUMNS($AO$1006:AX1006),$AO$1006:$BQ$1006,0)))),"Fix")))</f>
        <v>#N/A</v>
      </c>
      <c r="L933" s="5" t="e">
        <f ca="1">IF(OR(INDEX($AI$2:$AI$1001,MATCH(ROWS($AH$2:AH933),$AH$2:$AH$1001,0),1)&gt;=100000,INDEX($AO$1005:$BQ$1005,1,MATCH(COLUMNS($AO$1006:AY1006),$AO$1006:$BQ$1006,0))&gt;=100000), " ",IF(INDEX($AO$2:$BQ$1001,MATCH(ROWS($AH$2:AH933),$AH$2:$AH$1001,0),MATCH(COLUMNS($AO$1006:AY1006),$AO$1006:$BQ$1006,0)), HYPERLINK("#",""), HYPERLINK(CONCATENATE("#Metadata!", ADDRESS(INDEX($AJ$2:$AJ$1001,MATCH(ROWS($AH$2:AH933),$AH$2:$AH$1001,0),0), INDEX($AO$1004:$BQ$1004,1,MATCH(COLUMNS($AO$1006:AY1006),$AO$1006:$BQ$1006,0)))),"Fix")))</f>
        <v>#N/A</v>
      </c>
      <c r="M933" s="5" t="e">
        <f ca="1">IF(OR(INDEX($AI$2:$AI$1001,MATCH(ROWS($AH$2:AH933),$AH$2:$AH$1001,0),1)&gt;=100000,INDEX($AO$1005:$BQ$1005,1,MATCH(COLUMNS($AO$1006:AZ1006),$AO$1006:$BQ$1006,0))&gt;=100000), " ",IF(INDEX($AO$2:$BQ$1001,MATCH(ROWS($AH$2:AH933),$AH$2:$AH$1001,0),MATCH(COLUMNS($AO$1006:AZ1006),$AO$1006:$BQ$1006,0)), HYPERLINK("#",""), HYPERLINK(CONCATENATE("#Metadata!", ADDRESS(INDEX($AJ$2:$AJ$1001,MATCH(ROWS($AH$2:AH933),$AH$2:$AH$1001,0),0), INDEX($AO$1004:$BQ$1004,1,MATCH(COLUMNS($AO$1006:AZ1006),$AO$1006:$BQ$1006,0)))),"Fix")))</f>
        <v>#N/A</v>
      </c>
      <c r="N933" s="5" t="e">
        <f ca="1">IF(OR(INDEX($AI$2:$AI$1001,MATCH(ROWS($AH$2:AH933),$AH$2:$AH$1001,0),1)&gt;=100000,INDEX($AO$1005:$BQ$1005,1,MATCH(COLUMNS($AO$1006:BA1006),$AO$1006:$BQ$1006,0))&gt;=100000), " ",IF(INDEX($AO$2:$BQ$1001,MATCH(ROWS($AH$2:AH933),$AH$2:$AH$1001,0),MATCH(COLUMNS($AO$1006:BA1006),$AO$1006:$BQ$1006,0)), HYPERLINK("#",""), HYPERLINK(CONCATENATE("#Metadata!", ADDRESS(INDEX($AJ$2:$AJ$1001,MATCH(ROWS($AH$2:AH933),$AH$2:$AH$1001,0),0), INDEX($AO$1004:$BQ$1004,1,MATCH(COLUMNS($AO$1006:BA1006),$AO$1006:$BQ$1006,0)))),"Fix")))</f>
        <v>#N/A</v>
      </c>
      <c r="O933" s="5" t="e">
        <f ca="1">IF(OR(INDEX($AI$2:$AI$1001,MATCH(ROWS($AH$2:AH933),$AH$2:$AH$1001,0),1)&gt;=100000,INDEX($AO$1005:$BQ$1005,1,MATCH(COLUMNS($AO$1006:BB1006),$AO$1006:$BQ$1006,0))&gt;=100000), " ",IF(INDEX($AO$2:$BQ$1001,MATCH(ROWS($AH$2:AH933),$AH$2:$AH$1001,0),MATCH(COLUMNS($AO$1006:BB1006),$AO$1006:$BQ$1006,0)), HYPERLINK("#",""), HYPERLINK(CONCATENATE("#Metadata!", ADDRESS(INDEX($AJ$2:$AJ$1001,MATCH(ROWS($AH$2:AH933),$AH$2:$AH$1001,0),0), INDEX($AO$1004:$BQ$1004,1,MATCH(COLUMNS($AO$1006:BB1006),$AO$1006:$BQ$1006,0)))),"Fix")))</f>
        <v>#N/A</v>
      </c>
      <c r="P933" s="5" t="e">
        <f ca="1">IF(OR(INDEX($AI$2:$AI$1001,MATCH(ROWS($AH$2:AH933),$AH$2:$AH$1001,0),1)&gt;=100000,INDEX($AO$1005:$BQ$1005,1,MATCH(COLUMNS($AO$1006:BC1006),$AO$1006:$BQ$1006,0))&gt;=100000), " ",IF(INDEX($AO$2:$BQ$1001,MATCH(ROWS($AH$2:AH933),$AH$2:$AH$1001,0),MATCH(COLUMNS($AO$1006:BC1006),$AO$1006:$BQ$1006,0)), HYPERLINK("#",""), HYPERLINK(CONCATENATE("#Metadata!", ADDRESS(INDEX($AJ$2:$AJ$1001,MATCH(ROWS($AH$2:AH933),$AH$2:$AH$1001,0),0), INDEX($AO$1004:$BQ$1004,1,MATCH(COLUMNS($AO$1006:BC1006),$AO$1006:$BQ$1006,0)))),"Fix")))</f>
        <v>#N/A</v>
      </c>
      <c r="Q933" s="5" t="e">
        <f ca="1">IF(OR(INDEX($AI$2:$AI$1001,MATCH(ROWS($AH$2:AH933),$AH$2:$AH$1001,0),1)&gt;=100000,INDEX($AO$1005:$BQ$1005,1,MATCH(COLUMNS($AO$1006:BD1006),$AO$1006:$BQ$1006,0))&gt;=100000), " ",IF(INDEX($AO$2:$BQ$1001,MATCH(ROWS($AH$2:AH933),$AH$2:$AH$1001,0),MATCH(COLUMNS($AO$1006:BD1006),$AO$1006:$BQ$1006,0)), HYPERLINK("#",""), HYPERLINK(CONCATENATE("#Metadata!", ADDRESS(INDEX($AJ$2:$AJ$1001,MATCH(ROWS($AH$2:AH933),$AH$2:$AH$1001,0),0), INDEX($AO$1004:$BQ$1004,1,MATCH(COLUMNS($AO$1006:BD1006),$AO$1006:$BQ$1006,0)))),"Fix")))</f>
        <v>#N/A</v>
      </c>
      <c r="R933" s="5" t="e">
        <f ca="1">IF(OR(INDEX($AI$2:$AI$1001,MATCH(ROWS($AH$2:AH933),$AH$2:$AH$1001,0),1)&gt;=100000,INDEX($AO$1005:$BQ$1005,1,MATCH(COLUMNS($AO$1006:BE1006),$AO$1006:$BQ$1006,0))&gt;=100000), " ",IF(INDEX($AO$2:$BQ$1001,MATCH(ROWS($AH$2:AH933),$AH$2:$AH$1001,0),MATCH(COLUMNS($AO$1006:BE1006),$AO$1006:$BQ$1006,0)), HYPERLINK("#",""), HYPERLINK(CONCATENATE("#Metadata!", ADDRESS(INDEX($AJ$2:$AJ$1001,MATCH(ROWS($AH$2:AH933),$AH$2:$AH$1001,0),0), INDEX($AO$1004:$BQ$1004,1,MATCH(COLUMNS($AO$1006:BE1006),$AO$1006:$BQ$1006,0)))),"Fix")))</f>
        <v>#N/A</v>
      </c>
      <c r="S933" s="5" t="e">
        <f ca="1">IF(OR(INDEX($AI$2:$AI$1001,MATCH(ROWS($AH$2:AH933),$AH$2:$AH$1001,0),1)&gt;=100000,INDEX($AO$1005:$BQ$1005,1,MATCH(COLUMNS($AO$1006:BF1006),$AO$1006:$BQ$1006,0))&gt;=100000), " ",IF(INDEX($AO$2:$BQ$1001,MATCH(ROWS($AH$2:AH933),$AH$2:$AH$1001,0),MATCH(COLUMNS($AO$1006:BF1006),$AO$1006:$BQ$1006,0)), HYPERLINK("#",""), HYPERLINK(CONCATENATE("#Metadata!", ADDRESS(INDEX($AJ$2:$AJ$1001,MATCH(ROWS($AH$2:AH933),$AH$2:$AH$1001,0),0), INDEX($AO$1004:$BQ$1004,1,MATCH(COLUMNS($AO$1006:BF1006),$AO$1006:$BQ$1006,0)))),"Fix")))</f>
        <v>#N/A</v>
      </c>
      <c r="T933" s="5" t="e">
        <f ca="1">IF(OR(INDEX($AI$2:$AI$1001,MATCH(ROWS($AH$2:AH933),$AH$2:$AH$1001,0),1)&gt;=100000,INDEX($AO$1005:$BQ$1005,1,MATCH(COLUMNS($AO$1006:BG1006),$AO$1006:$BQ$1006,0))&gt;=100000), " ",IF(INDEX($AO$2:$BQ$1001,MATCH(ROWS($AH$2:AH933),$AH$2:$AH$1001,0),MATCH(COLUMNS($AO$1006:BG1006),$AO$1006:$BQ$1006,0)), HYPERLINK("#",""), HYPERLINK(CONCATENATE("#Metadata!", ADDRESS(INDEX($AJ$2:$AJ$1001,MATCH(ROWS($AH$2:AH933),$AH$2:$AH$1001,0),0), INDEX($AO$1004:$BQ$1004,1,MATCH(COLUMNS($AO$1006:BG1006),$AO$1006:$BQ$1006,0)))),"Fix")))</f>
        <v>#N/A</v>
      </c>
      <c r="U933" s="5" t="e">
        <f ca="1">IF(OR(INDEX($AI$2:$AI$1001,MATCH(ROWS($AH$2:AH933),$AH$2:$AH$1001,0),1)&gt;=100000,INDEX($AO$1005:$BQ$1005,1,MATCH(COLUMNS($AO$1006:BH1006),$AO$1006:$BQ$1006,0))&gt;=100000), " ",IF(INDEX($AO$2:$BQ$1001,MATCH(ROWS($AH$2:AH933),$AH$2:$AH$1001,0),MATCH(COLUMNS($AO$1006:BH1006),$AO$1006:$BQ$1006,0)), HYPERLINK("#",""), HYPERLINK(CONCATENATE("#Metadata!", ADDRESS(INDEX($AJ$2:$AJ$1001,MATCH(ROWS($AH$2:AH933),$AH$2:$AH$1001,0),0), INDEX($AO$1004:$BQ$1004,1,MATCH(COLUMNS($AO$1006:BH1006),$AO$1006:$BQ$1006,0)))),"Fix")))</f>
        <v>#N/A</v>
      </c>
      <c r="V933" s="5" t="e">
        <f ca="1">IF(OR(INDEX($AI$2:$AI$1001,MATCH(ROWS($AH$2:AH933),$AH$2:$AH$1001,0),1)&gt;=100000,INDEX($AO$1005:$BQ$1005,1,MATCH(COLUMNS($AO$1006:BI1006),$AO$1006:$BQ$1006,0))&gt;=100000), " ",IF(INDEX($AO$2:$BQ$1001,MATCH(ROWS($AH$2:AH933),$AH$2:$AH$1001,0),MATCH(COLUMNS($AO$1006:BI1006),$AO$1006:$BQ$1006,0)), HYPERLINK("#",""), HYPERLINK(CONCATENATE("#Metadata!", ADDRESS(INDEX($AJ$2:$AJ$1001,MATCH(ROWS($AH$2:AH933),$AH$2:$AH$1001,0),0), INDEX($AO$1004:$BQ$1004,1,MATCH(COLUMNS($AO$1006:BI1006),$AO$1006:$BQ$1006,0)))),"Fix")))</f>
        <v>#N/A</v>
      </c>
      <c r="W933" s="5" t="e">
        <f ca="1">IF(OR(INDEX($AI$2:$AI$1001,MATCH(ROWS($AH$2:AH933),$AH$2:$AH$1001,0),1)&gt;=100000,INDEX($AO$1005:$BQ$1005,1,MATCH(COLUMNS($AO$1006:BJ1006),$AO$1006:$BQ$1006,0))&gt;=100000), " ",IF(INDEX($AO$2:$BQ$1001,MATCH(ROWS($AH$2:AH933),$AH$2:$AH$1001,0),MATCH(COLUMNS($AO$1006:BJ1006),$AO$1006:$BQ$1006,0)), HYPERLINK("#",""), HYPERLINK(CONCATENATE("#Metadata!", ADDRESS(INDEX($AJ$2:$AJ$1001,MATCH(ROWS($AH$2:AH933),$AH$2:$AH$1001,0),0), INDEX($AO$1004:$BQ$1004,1,MATCH(COLUMNS($AO$1006:BJ1006),$AO$1006:$BQ$1006,0)))),"Fix")))</f>
        <v>#N/A</v>
      </c>
      <c r="X933" s="5" t="e">
        <f ca="1">IF(OR(INDEX($AI$2:$AI$1001,MATCH(ROWS($AH$2:AH933),$AH$2:$AH$1001,0),1)&gt;=100000,INDEX($AO$1005:$BQ$1005,1,MATCH(COLUMNS($AO$1006:BK1006),$AO$1006:$BQ$1006,0))&gt;=100000), " ",IF(INDEX($AO$2:$BQ$1001,MATCH(ROWS($AH$2:AH933),$AH$2:$AH$1001,0),MATCH(COLUMNS($AO$1006:BK1006),$AO$1006:$BQ$1006,0)), HYPERLINK("#",""), HYPERLINK(CONCATENATE("#Metadata!", ADDRESS(INDEX($AJ$2:$AJ$1001,MATCH(ROWS($AH$2:AH933),$AH$2:$AH$1001,0),0), INDEX($AO$1004:$BQ$1004,1,MATCH(COLUMNS($AO$1006:BK1006),$AO$1006:$BQ$1006,0)))),"Fix")))</f>
        <v>#N/A</v>
      </c>
      <c r="Y933" s="5" t="e">
        <f ca="1">IF(OR(INDEX($AI$2:$AI$1001,MATCH(ROWS($AH$2:AH933),$AH$2:$AH$1001,0),1)&gt;=100000,INDEX($AO$1005:$BQ$1005,1,MATCH(COLUMNS($AO$1006:BL1006),$AO$1006:$BQ$1006,0))&gt;=100000), " ",IF(INDEX($AO$2:$BQ$1001,MATCH(ROWS($AH$2:AH933),$AH$2:$AH$1001,0),MATCH(COLUMNS($AO$1006:BL1006),$AO$1006:$BQ$1006,0)), HYPERLINK("#",""), HYPERLINK(CONCATENATE("#Metadata!", ADDRESS(INDEX($AJ$2:$AJ$1001,MATCH(ROWS($AH$2:AH933),$AH$2:$AH$1001,0),0), INDEX($AO$1004:$BQ$1004,1,MATCH(COLUMNS($AO$1006:BL1006),$AO$1006:$BQ$1006,0)))),"Fix")))</f>
        <v>#N/A</v>
      </c>
      <c r="Z933" s="5" t="e">
        <f ca="1">IF(OR(INDEX($AI$2:$AI$1001,MATCH(ROWS($AH$2:AH933),$AH$2:$AH$1001,0),1)&gt;=100000,INDEX($AO$1005:$BQ$1005,1,MATCH(COLUMNS($AO$1006:BM1006),$AO$1006:$BQ$1006,0))&gt;=100000), " ",IF(INDEX($AO$2:$BQ$1001,MATCH(ROWS($AH$2:AH933),$AH$2:$AH$1001,0),MATCH(COLUMNS($AO$1006:BM1006),$AO$1006:$BQ$1006,0)), HYPERLINK("#",""), HYPERLINK(CONCATENATE("#Metadata!", ADDRESS(INDEX($AJ$2:$AJ$1001,MATCH(ROWS($AH$2:AH933),$AH$2:$AH$1001,0),0), INDEX($AO$1004:$BQ$1004,1,MATCH(COLUMNS($AO$1006:BM1006),$AO$1006:$BQ$1006,0)))),"Fix")))</f>
        <v>#N/A</v>
      </c>
      <c r="AA933" s="5" t="e">
        <f ca="1">IF(OR(INDEX($AI$2:$AI$1001,MATCH(ROWS($AH$2:AH933),$AH$2:$AH$1001,0),1)&gt;=100000,INDEX($AO$1005:$BQ$1005,1,MATCH(COLUMNS($AO$1006:BN1006),$AO$1006:$BQ$1006,0))&gt;=100000), " ",IF(INDEX($AO$2:$BQ$1001,MATCH(ROWS($AH$2:AH933),$AH$2:$AH$1001,0),MATCH(COLUMNS($AO$1006:BN1006),$AO$1006:$BQ$1006,0)), HYPERLINK("#",""), HYPERLINK(CONCATENATE("#Metadata!", ADDRESS(INDEX($AJ$2:$AJ$1001,MATCH(ROWS($AH$2:AH933),$AH$2:$AH$1001,0),0), INDEX($AO$1004:$BQ$1004,1,MATCH(COLUMNS($AO$1006:BN1006),$AO$1006:$BQ$1006,0)))),"Fix")))</f>
        <v>#N/A</v>
      </c>
      <c r="AB933" s="5" t="e">
        <f ca="1">IF(OR(INDEX($AI$2:$AI$1001,MATCH(ROWS($AH$2:AH933),$AH$2:$AH$1001,0),1)&gt;=100000,INDEX($AO$1005:$BQ$1005,1,MATCH(COLUMNS($AO$1006:BO1006),$AO$1006:$BQ$1006,0))&gt;=100000), " ",IF(INDEX($AO$2:$BQ$1001,MATCH(ROWS($AH$2:AH933),$AH$2:$AH$1001,0),MATCH(COLUMNS($AO$1006:BO1006),$AO$1006:$BQ$1006,0)), HYPERLINK("#",""), HYPERLINK(CONCATENATE("#Metadata!", ADDRESS(INDEX($AJ$2:$AJ$1001,MATCH(ROWS($AH$2:AH933),$AH$2:$AH$1001,0),0), INDEX($AO$1004:$BQ$1004,1,MATCH(COLUMNS($AO$1006:BO1006),$AO$1006:$BQ$1006,0)))),"Fix")))</f>
        <v>#N/A</v>
      </c>
      <c r="AC933" s="5" t="e">
        <f ca="1">IF(OR(INDEX($AI$2:$AI$1001,MATCH(ROWS($AH$2:AH933),$AH$2:$AH$1001,0),1)&gt;=100000,INDEX($AO$1005:$BQ$1005,1,MATCH(COLUMNS($AO$1006:BP1006),$AO$1006:$BQ$1006,0))&gt;=100000), " ",IF(INDEX($AO$2:$BQ$1001,MATCH(ROWS($AH$2:AH933),$AH$2:$AH$1001,0),MATCH(COLUMNS($AO$1006:BP1006),$AO$1006:$BQ$1006,0)), HYPERLINK("#",""), HYPERLINK(CONCATENATE("#Metadata!", ADDRESS(INDEX($AJ$2:$AJ$1001,MATCH(ROWS($AH$2:AH933),$AH$2:$AH$1001,0),0), INDEX($AO$1004:$BQ$1004,1,MATCH(COLUMNS($AO$1006:BP1006),$AO$1006:$BQ$1006,0)))),"Fix")))</f>
        <v>#N/A</v>
      </c>
      <c r="AD933" s="5" t="e">
        <f ca="1">IF(OR(INDEX($AI$2:$AI$1001,MATCH(ROWS($AH$2:AH933),$AH$2:$AH$1001,0),1)&gt;=100000,INDEX($AO$1005:$BQ$1005,1,MATCH(COLUMNS($AO$1006:BQ1006),$AO$1006:$BQ$1006,0))&gt;=100000), " ",IF(INDEX($AO$2:$BQ$1001,MATCH(ROWS($AH$2:AH933),$AH$2:$AH$1001,0),MATCH(COLUMNS($AO$1006:BQ1006),$AO$1006:$BQ$1006,0)), HYPERLINK("#",""), HYPERLINK(CONCATENATE("#Metadata!", ADDRESS(INDEX($AJ$2:$AJ$1001,MATCH(ROWS($AH$2:AH933),$AH$2:$AH$1001,0),0), INDEX($AO$1004:$BQ$1004,1,MATCH(COLUMNS($AO$1006:BQ1006),$AO$1006:$BQ$1006,0)))),"Fix")))</f>
        <v>#REF!</v>
      </c>
      <c r="AH933">
        <f ca="1"/>
        <v>930</v>
      </c>
      <c r="AI933">
        <v>100933</v>
      </c>
      <c r="AJ933">
        <v>933</v>
      </c>
      <c r="AK933" t="b">
        <f t="shared" si="14"/>
        <v>1</v>
      </c>
      <c r="AL933" t="b">
        <f>COUNTBLANK(Metadata!B933:AD933)=COLUMNS(Metadata!B933:AD933)</f>
        <v>1</v>
      </c>
      <c r="AM933" t="str">
        <v/>
      </c>
      <c r="AO933" t="b">
        <f ca="1">AND(IF(Metadata!B933="",FALSE,TRUE),COUNTIF(Metadata!B:B, Metadata!B933) = 1,NOT(ISERROR(SUMPRODUCT(SEARCH(MID(Metadata!B933,ROW(INDIRECT("1:"&amp;LEN(Metadata!B933))), 1),"0123456789abcdefghijklmnopqrstuvwxyzABCDEFGHIJKLMNOPQRSTUVWXYZ.")))))</f>
        <v>0</v>
      </c>
      <c r="AP933" t="b">
        <f>IF(Metadata!C933="",FALSE,TRUE)</f>
        <v>0</v>
      </c>
      <c r="AQ933" t="b">
        <f>IF(Metadata!D933="",FALSE,TRUE)</f>
        <v>0</v>
      </c>
      <c r="AR933" t="b">
        <f ca="1">OR(AND(IF(Metadata!E933="",FALSE,TRUE),OR(EXACT(Metadata!E933,"not collected"),EXACT(Metadata!E933,"not provided"),EXACT(Metadata!E933,"restricted access"))),AND(IF(Metadata!E933="",FALSE,TRUE),AND(AND(IFERROR(INT(LEFT(Metadata!E933,4))&gt;1900,FALSE),IFERROR(INT(LEFT(Metadata!E933,4))&lt;=YEAR(NOW()),FALSE)), OR(MID(Metadata!E933,5,1)="", AND(AND(MID(Metadata!E933,5,1)="-",IFERROR(INT(MID(Metadata!E933,6,1))&gt;=0,FALSE),IFERROR(INT(MID(Metadata!E933,6,1))&lt;=1,FALSE),NOT(MID(Metadata!E933,7,1)=""),IFERROR(INT(MID(Metadata!E933,6,2))&gt;=1,FALSE),IFERROR(INT(MID(Metadata!E933,6,2))&lt;=12,FALSE)), OR(MID(Metadata!E933,8,1)="", AND(AND(MID(Metadata!E933,8,1)="-",IFERROR(INT(MID(Metadata!E933,9,1))&gt;=0,FALSE),IFERROR(INT(MID(Metadata!E933,9,1))&lt;=3,FALSE),NOT(MID(Metadata!E933,10,1)=""),IFERROR(INT(MID(Metadata!E933,9,2))&gt;=1,FALSE),IFERROR(INT(MID(Metadata!E933,9,2))&lt;=31,FALSE)), OR(MID(Metadata!E933,11,1)="", AND(AND(MID(Metadata!E933,11,1)=" ",IFERROR(INT(MID(Metadata!E933,12,1))&gt;=0,FALSE),IFERROR(INT(MID(Metadata!E933,12,1))&lt;=2,FALSE),NOT(MID(Metadata!E933,13,1)=""),IFERROR(INT(MID(Metadata!E933,12,2))&gt;=0,FALSE),IFERROR(INT(MID(Metadata!E933,12,2))&lt;=23,FALSE)), OR(MID(Metadata!E933,14,1)="", AND(AND(MID(Metadata!E933,14,1)=":",IFERROR(INT(MID(Metadata!E933,15,1))&gt;=0,FALSE),IFERROR(INT(MID(Metadata!E933,15,1))&lt;=5,FALSE),NOT(MID(Metadata!E933,16,1)=""),IFERROR(INT(MID(Metadata!E933,15,2))&gt;=0,FALSE),IFERROR(INT(MID(Metadata!E933,15,2))&lt;=59,FALSE)), OR(MID(Metadata!E933,17,1)="", AND(AND(MID(Metadata!E933,17,1)=":",IFERROR(INT(MID(Metadata!E933,18,1))&gt;=0,FALSE),IFERROR(INT(MID(Metadata!E933,18,1))&lt;=5,FALSE),NOT(MID(Metadata!E933,19,1)=""),IFERROR(INT(MID(Metadata!E933,18,2))&gt;=0,FALSE),IFERROR(INT(MID(Metadata!E933,18,2))&lt;=59,FALSE)), LEN(Metadata!E933)&lt;=19)))))))))))))</f>
        <v>0</v>
      </c>
      <c r="AS933" t="b">
        <f>IF(Metadata!F933="",FALSE,TRUE)</f>
        <v>0</v>
      </c>
      <c r="AT933" t="b">
        <f>OR(AND(IF(Metadata!G933="",FALSE,TRUE),OR(EXACT(Metadata!G933,"not collected"),EXACT(Metadata!G933,"not provided"))),AND(IF(Metadata!G933="",FALSE,TRUE),OR(EXACT(Metadata!G933,"TRUE"),EXACT(Metadata!G933,"FALSE"))))</f>
        <v>0</v>
      </c>
      <c r="AU933" t="b">
        <f>OR(AND(IF(Metadata!H933="",FALSE,TRUE),OR(EXACT(Metadata!H933,"not collected"),EXACT(Metadata!H933,"not provided"),EXACT(Metadata!H933,"restricted access"))),AND(IF(Metadata!H933="",FALSE,ISNUMBER(VALUE(Metadata!H933))),Metadata!H933&gt;=-413))</f>
        <v>0</v>
      </c>
      <c r="AV933" t="b">
        <f>AND(IF(Metadata!I933="",FALSE,TRUE),EXACT(Metadata!I933,"meters"))</f>
        <v>0</v>
      </c>
      <c r="AW933" t="b">
        <f>AND(IF(Metadata!J933="",FALSE,TRUE),EXACT(Metadata!J933,"free-living"))</f>
        <v>0</v>
      </c>
      <c r="AX933" t="b">
        <f>AND(IF(Metadata!K933="",FALSE,TRUE),OR(EXACT(Metadata!K933,"saline"),EXACT(Metadata!K933,"non-saline")))</f>
        <v>0</v>
      </c>
      <c r="AY933" t="b">
        <f>AND(IF(Metadata!L933="",FALSE,TRUE),OR(EXACT(Metadata!L933,"sub-surface (non-saline)"),EXACT(Metadata!L933,"surface (non-saline)"),EXACT(Metadata!L933,"water (non-saline)"),EXACT(Metadata!L933,"soil (non-saline)"),EXACT(Metadata!L933,"aerosol (non-saline)"),EXACT(Metadata!L933,"sediment (non-saline)"),EXACT(Metadata!L933,"surface (saline)"),EXACT(Metadata!L933,"water (saline)"),EXACT(Metadata!L933,"hypersaline (saline)"),EXACT(Metadata!L933,"aerosol (saline)"),EXACT(Metadata!L933,"sediment (saline)")))</f>
        <v>0</v>
      </c>
      <c r="AZ933" t="b">
        <f>IF(Metadata!M933="",FALSE,TRUE)</f>
        <v>0</v>
      </c>
      <c r="BA933" t="b">
        <f>IF(Metadata!N933="",FALSE,TRUE)</f>
        <v>0</v>
      </c>
      <c r="BB933" t="b">
        <f>IF(Metadata!O933="",FALSE,TRUE)</f>
        <v>0</v>
      </c>
      <c r="BC933" t="b">
        <f>AND(IF(Metadata!P933="",FALSE,TRUE),OR(EXACT(Metadata!P933,"air"),EXACT(Metadata!P933,"microbial mat/biofilm"),EXACT(Metadata!P933,"misc environment"),EXACT(Metadata!P933,"sediment"),EXACT(Metadata!P933,"soil"),EXACT(Metadata!P933,"wastewater/sludge"),EXACT(Metadata!P933,"water")))</f>
        <v>0</v>
      </c>
      <c r="BD933" t="b">
        <f>IF(Metadata!Q933="",FALSE,TRUE)</f>
        <v>0</v>
      </c>
      <c r="BE933" t="b">
        <f>IF(Metadata!R933="",FALSE,TRUE)</f>
        <v>0</v>
      </c>
      <c r="BF933" t="b">
        <f>OR(AND(IF(Metadata!S933="",FALSE,TRUE),OR(EXACT(Metadata!S933,"not collected"),EXACT(Metadata!S933,"not provided"),EXACT(Metadata!S933,"restricted access"))),AND(IF(Metadata!S933="",FALSE,ISNUMBER(VALUE(Metadata!S933))),Metadata!S933&gt;=-90,Metadata!S933&lt;=90))</f>
        <v>0</v>
      </c>
      <c r="BG933" t="b">
        <f>AND(IF(Metadata!T933="",FALSE,TRUE),EXACT(Metadata!T933,"Decimal degrees"))</f>
        <v>0</v>
      </c>
      <c r="BH933" t="b">
        <f>OR(AND(IF(Metadata!U933="",FALSE,TRUE),OR(EXACT(Metadata!U933,"not applicable"),EXACT(Metadata!U933,"not collected"))),IF(Metadata!U933="",FALSE,TRUE))</f>
        <v>0</v>
      </c>
      <c r="BI933" t="b">
        <f>OR(AND(IF(Metadata!V933="",FALSE,TRUE),OR(EXACT(Metadata!V933,"not collected"),EXACT(Metadata!V933,"not provided"),EXACT(Metadata!V933,"restricted access"))),AND(IF(Metadata!V933="",FALSE,ISNUMBER(VALUE(Metadata!V933))),Metadata!V933&gt;=-180,Metadata!V933&lt;=180))</f>
        <v>0</v>
      </c>
      <c r="BJ933" t="b">
        <f>AND(IF(Metadata!W933="",FALSE,TRUE),EXACT(Metadata!W933,"Decimal degrees"))</f>
        <v>0</v>
      </c>
      <c r="BK933" t="b">
        <f>IF(Metadata!X933="",FALSE,TRUE)</f>
        <v>0</v>
      </c>
      <c r="BL933" t="b">
        <f>OR(AND(IF(Metadata!Y933="",FALSE,TRUE),OR(EXACT(Metadata!Y933,"not collected"),EXACT(Metadata!Y933,"not provided"),EXACT(Metadata!Y933,"restricted access"))),AND(IF(Metadata!Y933="",FALSE,TRUE),OR(EXACT(Metadata!Y933,"TRUE"),EXACT(Metadata!Y933,"FALSE"))))</f>
        <v>0</v>
      </c>
      <c r="BM933" t="b">
        <f>OR(AND(IF(Metadata!Z933="",FALSE,TRUE),EXACT(Metadata!Z933,"not applicable")),AND(IF(Metadata!Z933="",FALSE,TRUE),OR(EXACT(Metadata!Z933,"beer"),EXACT(Metadata!Z933,"cheese"),EXACT(Metadata!Z933,"fresh water"),EXACT(Metadata!Z933,"marine sediment"),EXACT(Metadata!Z933,"sea water"),EXACT(Metadata!Z933,"sediment"),EXACT(Metadata!Z933,"soil"),EXACT(Metadata!Z933,"waste water"))))</f>
        <v>0</v>
      </c>
      <c r="BN933" t="b">
        <f>AND(IF(Metadata!AA933="",FALSE,TRUE),EXACT(Metadata!AA933,"metagenome"))</f>
        <v>0</v>
      </c>
      <c r="BO933" t="b">
        <f>AND(IF(Metadata!AB933="",FALSE,TRUE),EXACT(Metadata!AB933,"256318"))</f>
        <v>0</v>
      </c>
      <c r="BP933" t="b">
        <f>IF(Metadata!AC933="",FALSE,TRUE)</f>
        <v>0</v>
      </c>
      <c r="BQ933" t="b">
        <f>IF(Metadata!AD933="",FALSE,TRUE)</f>
        <v>0</v>
      </c>
    </row>
    <row r="934" spans="1:69" x14ac:dyDescent="0.2">
      <c r="A934" s="4" t="e">
        <f ca="1">IF(B934=" "," ",HYPERLINK(CONCATENATE("#metadata!",ADDRESS(INDEX($AJ$2:$AJ$1001,MATCH(ROWS($AH$2:AH934),$AH$2:$AH$1001,0),0),2)),INDEX($AM$2:$AM$1001,MATCH(ROWS($AH$2:AH934),$AH$2:$AH$1001,0),0)))</f>
        <v>#N/A</v>
      </c>
      <c r="B934" s="5" t="e">
        <f ca="1">IF(OR(INDEX($AI$2:$AI$1001,MATCH(ROWS($AH$2:AH934),$AH$2:$AH$1001,0),1)&gt;=100000,INDEX($AO$1005:$BQ$1005,1,MATCH(COLUMNS($AO$1006:AO1006),$AO$1006:$BQ$1006,0))&gt;=100000), " ",IF(INDEX($AO$2:$BQ$1001,MATCH(ROWS($AH$2:AH934),$AH$2:$AH$1001,0),MATCH(COLUMNS($AO$1006:AO1006),$AO$1006:$BQ$1006,0)), HYPERLINK("#",""), HYPERLINK(CONCATENATE("#Metadata!", ADDRESS(INDEX($AJ$2:$AJ$1001,MATCH(ROWS($AH$2:AH934),$AH$2:$AH$1001,0),0), INDEX($AO$1004:$BQ$1004,1,MATCH(COLUMNS($AO$1006:AO1006),$AO$1006:$BQ$1006,0)))),"Fix")))</f>
        <v>#N/A</v>
      </c>
      <c r="C934" s="5" t="e">
        <f ca="1">IF(OR(INDEX($AI$2:$AI$1001,MATCH(ROWS($AH$2:AH934),$AH$2:$AH$1001,0),1)&gt;=100000,INDEX($AO$1005:$BQ$1005,1,MATCH(COLUMNS($AO$1006:AP1006),$AO$1006:$BQ$1006,0))&gt;=100000), " ",IF(INDEX($AO$2:$BQ$1001,MATCH(ROWS($AH$2:AH934),$AH$2:$AH$1001,0),MATCH(COLUMNS($AO$1006:AP1006),$AO$1006:$BQ$1006,0)), HYPERLINK("#",""), HYPERLINK(CONCATENATE("#Metadata!", ADDRESS(INDEX($AJ$2:$AJ$1001,MATCH(ROWS($AH$2:AH934),$AH$2:$AH$1001,0),0), INDEX($AO$1004:$BQ$1004,1,MATCH(COLUMNS($AO$1006:AP1006),$AO$1006:$BQ$1006,0)))),"Fix")))</f>
        <v>#N/A</v>
      </c>
      <c r="D934" s="5" t="e">
        <f ca="1">IF(OR(INDEX($AI$2:$AI$1001,MATCH(ROWS($AH$2:AH934),$AH$2:$AH$1001,0),1)&gt;=100000,INDEX($AO$1005:$BQ$1005,1,MATCH(COLUMNS($AO$1006:AQ1006),$AO$1006:$BQ$1006,0))&gt;=100000), " ",IF(INDEX($AO$2:$BQ$1001,MATCH(ROWS($AH$2:AH934),$AH$2:$AH$1001,0),MATCH(COLUMNS($AO$1006:AQ1006),$AO$1006:$BQ$1006,0)), HYPERLINK("#",""), HYPERLINK(CONCATENATE("#Metadata!", ADDRESS(INDEX($AJ$2:$AJ$1001,MATCH(ROWS($AH$2:AH934),$AH$2:$AH$1001,0),0), INDEX($AO$1004:$BQ$1004,1,MATCH(COLUMNS($AO$1006:AQ1006),$AO$1006:$BQ$1006,0)))),"Fix")))</f>
        <v>#N/A</v>
      </c>
      <c r="E934" s="5" t="e">
        <f ca="1">IF(OR(INDEX($AI$2:$AI$1001,MATCH(ROWS($AH$2:AH934),$AH$2:$AH$1001,0),1)&gt;=100000,INDEX($AO$1005:$BQ$1005,1,MATCH(COLUMNS($AO$1006:AR1006),$AO$1006:$BQ$1006,0))&gt;=100000), " ",IF(INDEX($AO$2:$BQ$1001,MATCH(ROWS($AH$2:AH934),$AH$2:$AH$1001,0),MATCH(COLUMNS($AO$1006:AR1006),$AO$1006:$BQ$1006,0)), HYPERLINK("#",""), HYPERLINK(CONCATENATE("#Metadata!", ADDRESS(INDEX($AJ$2:$AJ$1001,MATCH(ROWS($AH$2:AH934),$AH$2:$AH$1001,0),0), INDEX($AO$1004:$BQ$1004,1,MATCH(COLUMNS($AO$1006:AR1006),$AO$1006:$BQ$1006,0)))),"Fix")))</f>
        <v>#N/A</v>
      </c>
      <c r="F934" s="5" t="e">
        <f ca="1">IF(OR(INDEX($AI$2:$AI$1001,MATCH(ROWS($AH$2:AH934),$AH$2:$AH$1001,0),1)&gt;=100000,INDEX($AO$1005:$BQ$1005,1,MATCH(COLUMNS($AO$1006:AS1006),$AO$1006:$BQ$1006,0))&gt;=100000), " ",IF(INDEX($AO$2:$BQ$1001,MATCH(ROWS($AH$2:AH934),$AH$2:$AH$1001,0),MATCH(COLUMNS($AO$1006:AS1006),$AO$1006:$BQ$1006,0)), HYPERLINK("#",""), HYPERLINK(CONCATENATE("#Metadata!", ADDRESS(INDEX($AJ$2:$AJ$1001,MATCH(ROWS($AH$2:AH934),$AH$2:$AH$1001,0),0), INDEX($AO$1004:$BQ$1004,1,MATCH(COLUMNS($AO$1006:AS1006),$AO$1006:$BQ$1006,0)))),"Fix")))</f>
        <v>#N/A</v>
      </c>
      <c r="G934" s="5" t="e">
        <f ca="1">IF(OR(INDEX($AI$2:$AI$1001,MATCH(ROWS($AH$2:AH934),$AH$2:$AH$1001,0),1)&gt;=100000,INDEX($AO$1005:$BQ$1005,1,MATCH(COLUMNS($AO$1006:AT1006),$AO$1006:$BQ$1006,0))&gt;=100000), " ",IF(INDEX($AO$2:$BQ$1001,MATCH(ROWS($AH$2:AH934),$AH$2:$AH$1001,0),MATCH(COLUMNS($AO$1006:AT1006),$AO$1006:$BQ$1006,0)), HYPERLINK("#",""), HYPERLINK(CONCATENATE("#Metadata!", ADDRESS(INDEX($AJ$2:$AJ$1001,MATCH(ROWS($AH$2:AH934),$AH$2:$AH$1001,0),0), INDEX($AO$1004:$BQ$1004,1,MATCH(COLUMNS($AO$1006:AT1006),$AO$1006:$BQ$1006,0)))),"Fix")))</f>
        <v>#N/A</v>
      </c>
      <c r="H934" s="5" t="e">
        <f ca="1">IF(OR(INDEX($AI$2:$AI$1001,MATCH(ROWS($AH$2:AH934),$AH$2:$AH$1001,0),1)&gt;=100000,INDEX($AO$1005:$BQ$1005,1,MATCH(COLUMNS($AO$1006:AU1006),$AO$1006:$BQ$1006,0))&gt;=100000), " ",IF(INDEX($AO$2:$BQ$1001,MATCH(ROWS($AH$2:AH934),$AH$2:$AH$1001,0),MATCH(COLUMNS($AO$1006:AU1006),$AO$1006:$BQ$1006,0)), HYPERLINK("#",""), HYPERLINK(CONCATENATE("#Metadata!", ADDRESS(INDEX($AJ$2:$AJ$1001,MATCH(ROWS($AH$2:AH934),$AH$2:$AH$1001,0),0), INDEX($AO$1004:$BQ$1004,1,MATCH(COLUMNS($AO$1006:AU1006),$AO$1006:$BQ$1006,0)))),"Fix")))</f>
        <v>#N/A</v>
      </c>
      <c r="I934" s="5" t="e">
        <f ca="1">IF(OR(INDEX($AI$2:$AI$1001,MATCH(ROWS($AH$2:AH934),$AH$2:$AH$1001,0),1)&gt;=100000,INDEX($AO$1005:$BQ$1005,1,MATCH(COLUMNS($AO$1006:AV1006),$AO$1006:$BQ$1006,0))&gt;=100000), " ",IF(INDEX($AO$2:$BQ$1001,MATCH(ROWS($AH$2:AH934),$AH$2:$AH$1001,0),MATCH(COLUMNS($AO$1006:AV1006),$AO$1006:$BQ$1006,0)), HYPERLINK("#",""), HYPERLINK(CONCATENATE("#Metadata!", ADDRESS(INDEX($AJ$2:$AJ$1001,MATCH(ROWS($AH$2:AH934),$AH$2:$AH$1001,0),0), INDEX($AO$1004:$BQ$1004,1,MATCH(COLUMNS($AO$1006:AV1006),$AO$1006:$BQ$1006,0)))),"Fix")))</f>
        <v>#N/A</v>
      </c>
      <c r="J934" s="5" t="e">
        <f ca="1">IF(OR(INDEX($AI$2:$AI$1001,MATCH(ROWS($AH$2:AH934),$AH$2:$AH$1001,0),1)&gt;=100000,INDEX($AO$1005:$BQ$1005,1,MATCH(COLUMNS($AO$1006:AW1006),$AO$1006:$BQ$1006,0))&gt;=100000), " ",IF(INDEX($AO$2:$BQ$1001,MATCH(ROWS($AH$2:AH934),$AH$2:$AH$1001,0),MATCH(COLUMNS($AO$1006:AW1006),$AO$1006:$BQ$1006,0)), HYPERLINK("#",""), HYPERLINK(CONCATENATE("#Metadata!", ADDRESS(INDEX($AJ$2:$AJ$1001,MATCH(ROWS($AH$2:AH934),$AH$2:$AH$1001,0),0), INDEX($AO$1004:$BQ$1004,1,MATCH(COLUMNS($AO$1006:AW1006),$AO$1006:$BQ$1006,0)))),"Fix")))</f>
        <v>#N/A</v>
      </c>
      <c r="K934" s="5" t="e">
        <f ca="1">IF(OR(INDEX($AI$2:$AI$1001,MATCH(ROWS($AH$2:AH934),$AH$2:$AH$1001,0),1)&gt;=100000,INDEX($AO$1005:$BQ$1005,1,MATCH(COLUMNS($AO$1006:AX1006),$AO$1006:$BQ$1006,0))&gt;=100000), " ",IF(INDEX($AO$2:$BQ$1001,MATCH(ROWS($AH$2:AH934),$AH$2:$AH$1001,0),MATCH(COLUMNS($AO$1006:AX1006),$AO$1006:$BQ$1006,0)), HYPERLINK("#",""), HYPERLINK(CONCATENATE("#Metadata!", ADDRESS(INDEX($AJ$2:$AJ$1001,MATCH(ROWS($AH$2:AH934),$AH$2:$AH$1001,0),0), INDEX($AO$1004:$BQ$1004,1,MATCH(COLUMNS($AO$1006:AX1006),$AO$1006:$BQ$1006,0)))),"Fix")))</f>
        <v>#N/A</v>
      </c>
      <c r="L934" s="5" t="e">
        <f ca="1">IF(OR(INDEX($AI$2:$AI$1001,MATCH(ROWS($AH$2:AH934),$AH$2:$AH$1001,0),1)&gt;=100000,INDEX($AO$1005:$BQ$1005,1,MATCH(COLUMNS($AO$1006:AY1006),$AO$1006:$BQ$1006,0))&gt;=100000), " ",IF(INDEX($AO$2:$BQ$1001,MATCH(ROWS($AH$2:AH934),$AH$2:$AH$1001,0),MATCH(COLUMNS($AO$1006:AY1006),$AO$1006:$BQ$1006,0)), HYPERLINK("#",""), HYPERLINK(CONCATENATE("#Metadata!", ADDRESS(INDEX($AJ$2:$AJ$1001,MATCH(ROWS($AH$2:AH934),$AH$2:$AH$1001,0),0), INDEX($AO$1004:$BQ$1004,1,MATCH(COLUMNS($AO$1006:AY1006),$AO$1006:$BQ$1006,0)))),"Fix")))</f>
        <v>#N/A</v>
      </c>
      <c r="M934" s="5" t="e">
        <f ca="1">IF(OR(INDEX($AI$2:$AI$1001,MATCH(ROWS($AH$2:AH934),$AH$2:$AH$1001,0),1)&gt;=100000,INDEX($AO$1005:$BQ$1005,1,MATCH(COLUMNS($AO$1006:AZ1006),$AO$1006:$BQ$1006,0))&gt;=100000), " ",IF(INDEX($AO$2:$BQ$1001,MATCH(ROWS($AH$2:AH934),$AH$2:$AH$1001,0),MATCH(COLUMNS($AO$1006:AZ1006),$AO$1006:$BQ$1006,0)), HYPERLINK("#",""), HYPERLINK(CONCATENATE("#Metadata!", ADDRESS(INDEX($AJ$2:$AJ$1001,MATCH(ROWS($AH$2:AH934),$AH$2:$AH$1001,0),0), INDEX($AO$1004:$BQ$1004,1,MATCH(COLUMNS($AO$1006:AZ1006),$AO$1006:$BQ$1006,0)))),"Fix")))</f>
        <v>#N/A</v>
      </c>
      <c r="N934" s="5" t="e">
        <f ca="1">IF(OR(INDEX($AI$2:$AI$1001,MATCH(ROWS($AH$2:AH934),$AH$2:$AH$1001,0),1)&gt;=100000,INDEX($AO$1005:$BQ$1005,1,MATCH(COLUMNS($AO$1006:BA1006),$AO$1006:$BQ$1006,0))&gt;=100000), " ",IF(INDEX($AO$2:$BQ$1001,MATCH(ROWS($AH$2:AH934),$AH$2:$AH$1001,0),MATCH(COLUMNS($AO$1006:BA1006),$AO$1006:$BQ$1006,0)), HYPERLINK("#",""), HYPERLINK(CONCATENATE("#Metadata!", ADDRESS(INDEX($AJ$2:$AJ$1001,MATCH(ROWS($AH$2:AH934),$AH$2:$AH$1001,0),0), INDEX($AO$1004:$BQ$1004,1,MATCH(COLUMNS($AO$1006:BA1006),$AO$1006:$BQ$1006,0)))),"Fix")))</f>
        <v>#N/A</v>
      </c>
      <c r="O934" s="5" t="e">
        <f ca="1">IF(OR(INDEX($AI$2:$AI$1001,MATCH(ROWS($AH$2:AH934),$AH$2:$AH$1001,0),1)&gt;=100000,INDEX($AO$1005:$BQ$1005,1,MATCH(COLUMNS($AO$1006:BB1006),$AO$1006:$BQ$1006,0))&gt;=100000), " ",IF(INDEX($AO$2:$BQ$1001,MATCH(ROWS($AH$2:AH934),$AH$2:$AH$1001,0),MATCH(COLUMNS($AO$1006:BB1006),$AO$1006:$BQ$1006,0)), HYPERLINK("#",""), HYPERLINK(CONCATENATE("#Metadata!", ADDRESS(INDEX($AJ$2:$AJ$1001,MATCH(ROWS($AH$2:AH934),$AH$2:$AH$1001,0),0), INDEX($AO$1004:$BQ$1004,1,MATCH(COLUMNS($AO$1006:BB1006),$AO$1006:$BQ$1006,0)))),"Fix")))</f>
        <v>#N/A</v>
      </c>
      <c r="P934" s="5" t="e">
        <f ca="1">IF(OR(INDEX($AI$2:$AI$1001,MATCH(ROWS($AH$2:AH934),$AH$2:$AH$1001,0),1)&gt;=100000,INDEX($AO$1005:$BQ$1005,1,MATCH(COLUMNS($AO$1006:BC1006),$AO$1006:$BQ$1006,0))&gt;=100000), " ",IF(INDEX($AO$2:$BQ$1001,MATCH(ROWS($AH$2:AH934),$AH$2:$AH$1001,0),MATCH(COLUMNS($AO$1006:BC1006),$AO$1006:$BQ$1006,0)), HYPERLINK("#",""), HYPERLINK(CONCATENATE("#Metadata!", ADDRESS(INDEX($AJ$2:$AJ$1001,MATCH(ROWS($AH$2:AH934),$AH$2:$AH$1001,0),0), INDEX($AO$1004:$BQ$1004,1,MATCH(COLUMNS($AO$1006:BC1006),$AO$1006:$BQ$1006,0)))),"Fix")))</f>
        <v>#N/A</v>
      </c>
      <c r="Q934" s="5" t="e">
        <f ca="1">IF(OR(INDEX($AI$2:$AI$1001,MATCH(ROWS($AH$2:AH934),$AH$2:$AH$1001,0),1)&gt;=100000,INDEX($AO$1005:$BQ$1005,1,MATCH(COLUMNS($AO$1006:BD1006),$AO$1006:$BQ$1006,0))&gt;=100000), " ",IF(INDEX($AO$2:$BQ$1001,MATCH(ROWS($AH$2:AH934),$AH$2:$AH$1001,0),MATCH(COLUMNS($AO$1006:BD1006),$AO$1006:$BQ$1006,0)), HYPERLINK("#",""), HYPERLINK(CONCATENATE("#Metadata!", ADDRESS(INDEX($AJ$2:$AJ$1001,MATCH(ROWS($AH$2:AH934),$AH$2:$AH$1001,0),0), INDEX($AO$1004:$BQ$1004,1,MATCH(COLUMNS($AO$1006:BD1006),$AO$1006:$BQ$1006,0)))),"Fix")))</f>
        <v>#N/A</v>
      </c>
      <c r="R934" s="5" t="e">
        <f ca="1">IF(OR(INDEX($AI$2:$AI$1001,MATCH(ROWS($AH$2:AH934),$AH$2:$AH$1001,0),1)&gt;=100000,INDEX($AO$1005:$BQ$1005,1,MATCH(COLUMNS($AO$1006:BE1006),$AO$1006:$BQ$1006,0))&gt;=100000), " ",IF(INDEX($AO$2:$BQ$1001,MATCH(ROWS($AH$2:AH934),$AH$2:$AH$1001,0),MATCH(COLUMNS($AO$1006:BE1006),$AO$1006:$BQ$1006,0)), HYPERLINK("#",""), HYPERLINK(CONCATENATE("#Metadata!", ADDRESS(INDEX($AJ$2:$AJ$1001,MATCH(ROWS($AH$2:AH934),$AH$2:$AH$1001,0),0), INDEX($AO$1004:$BQ$1004,1,MATCH(COLUMNS($AO$1006:BE1006),$AO$1006:$BQ$1006,0)))),"Fix")))</f>
        <v>#N/A</v>
      </c>
      <c r="S934" s="5" t="e">
        <f ca="1">IF(OR(INDEX($AI$2:$AI$1001,MATCH(ROWS($AH$2:AH934),$AH$2:$AH$1001,0),1)&gt;=100000,INDEX($AO$1005:$BQ$1005,1,MATCH(COLUMNS($AO$1006:BF1006),$AO$1006:$BQ$1006,0))&gt;=100000), " ",IF(INDEX($AO$2:$BQ$1001,MATCH(ROWS($AH$2:AH934),$AH$2:$AH$1001,0),MATCH(COLUMNS($AO$1006:BF1006),$AO$1006:$BQ$1006,0)), HYPERLINK("#",""), HYPERLINK(CONCATENATE("#Metadata!", ADDRESS(INDEX($AJ$2:$AJ$1001,MATCH(ROWS($AH$2:AH934),$AH$2:$AH$1001,0),0), INDEX($AO$1004:$BQ$1004,1,MATCH(COLUMNS($AO$1006:BF1006),$AO$1006:$BQ$1006,0)))),"Fix")))</f>
        <v>#N/A</v>
      </c>
      <c r="T934" s="5" t="e">
        <f ca="1">IF(OR(INDEX($AI$2:$AI$1001,MATCH(ROWS($AH$2:AH934),$AH$2:$AH$1001,0),1)&gt;=100000,INDEX($AO$1005:$BQ$1005,1,MATCH(COLUMNS($AO$1006:BG1006),$AO$1006:$BQ$1006,0))&gt;=100000), " ",IF(INDEX($AO$2:$BQ$1001,MATCH(ROWS($AH$2:AH934),$AH$2:$AH$1001,0),MATCH(COLUMNS($AO$1006:BG1006),$AO$1006:$BQ$1006,0)), HYPERLINK("#",""), HYPERLINK(CONCATENATE("#Metadata!", ADDRESS(INDEX($AJ$2:$AJ$1001,MATCH(ROWS($AH$2:AH934),$AH$2:$AH$1001,0),0), INDEX($AO$1004:$BQ$1004,1,MATCH(COLUMNS($AO$1006:BG1006),$AO$1006:$BQ$1006,0)))),"Fix")))</f>
        <v>#N/A</v>
      </c>
      <c r="U934" s="5" t="e">
        <f ca="1">IF(OR(INDEX($AI$2:$AI$1001,MATCH(ROWS($AH$2:AH934),$AH$2:$AH$1001,0),1)&gt;=100000,INDEX($AO$1005:$BQ$1005,1,MATCH(COLUMNS($AO$1006:BH1006),$AO$1006:$BQ$1006,0))&gt;=100000), " ",IF(INDEX($AO$2:$BQ$1001,MATCH(ROWS($AH$2:AH934),$AH$2:$AH$1001,0),MATCH(COLUMNS($AO$1006:BH1006),$AO$1006:$BQ$1006,0)), HYPERLINK("#",""), HYPERLINK(CONCATENATE("#Metadata!", ADDRESS(INDEX($AJ$2:$AJ$1001,MATCH(ROWS($AH$2:AH934),$AH$2:$AH$1001,0),0), INDEX($AO$1004:$BQ$1004,1,MATCH(COLUMNS($AO$1006:BH1006),$AO$1006:$BQ$1006,0)))),"Fix")))</f>
        <v>#N/A</v>
      </c>
      <c r="V934" s="5" t="e">
        <f ca="1">IF(OR(INDEX($AI$2:$AI$1001,MATCH(ROWS($AH$2:AH934),$AH$2:$AH$1001,0),1)&gt;=100000,INDEX($AO$1005:$BQ$1005,1,MATCH(COLUMNS($AO$1006:BI1006),$AO$1006:$BQ$1006,0))&gt;=100000), " ",IF(INDEX($AO$2:$BQ$1001,MATCH(ROWS($AH$2:AH934),$AH$2:$AH$1001,0),MATCH(COLUMNS($AO$1006:BI1006),$AO$1006:$BQ$1006,0)), HYPERLINK("#",""), HYPERLINK(CONCATENATE("#Metadata!", ADDRESS(INDEX($AJ$2:$AJ$1001,MATCH(ROWS($AH$2:AH934),$AH$2:$AH$1001,0),0), INDEX($AO$1004:$BQ$1004,1,MATCH(COLUMNS($AO$1006:BI1006),$AO$1006:$BQ$1006,0)))),"Fix")))</f>
        <v>#N/A</v>
      </c>
      <c r="W934" s="5" t="e">
        <f ca="1">IF(OR(INDEX($AI$2:$AI$1001,MATCH(ROWS($AH$2:AH934),$AH$2:$AH$1001,0),1)&gt;=100000,INDEX($AO$1005:$BQ$1005,1,MATCH(COLUMNS($AO$1006:BJ1006),$AO$1006:$BQ$1006,0))&gt;=100000), " ",IF(INDEX($AO$2:$BQ$1001,MATCH(ROWS($AH$2:AH934),$AH$2:$AH$1001,0),MATCH(COLUMNS($AO$1006:BJ1006),$AO$1006:$BQ$1006,0)), HYPERLINK("#",""), HYPERLINK(CONCATENATE("#Metadata!", ADDRESS(INDEX($AJ$2:$AJ$1001,MATCH(ROWS($AH$2:AH934),$AH$2:$AH$1001,0),0), INDEX($AO$1004:$BQ$1004,1,MATCH(COLUMNS($AO$1006:BJ1006),$AO$1006:$BQ$1006,0)))),"Fix")))</f>
        <v>#N/A</v>
      </c>
      <c r="X934" s="5" t="e">
        <f ca="1">IF(OR(INDEX($AI$2:$AI$1001,MATCH(ROWS($AH$2:AH934),$AH$2:$AH$1001,0),1)&gt;=100000,INDEX($AO$1005:$BQ$1005,1,MATCH(COLUMNS($AO$1006:BK1006),$AO$1006:$BQ$1006,0))&gt;=100000), " ",IF(INDEX($AO$2:$BQ$1001,MATCH(ROWS($AH$2:AH934),$AH$2:$AH$1001,0),MATCH(COLUMNS($AO$1006:BK1006),$AO$1006:$BQ$1006,0)), HYPERLINK("#",""), HYPERLINK(CONCATENATE("#Metadata!", ADDRESS(INDEX($AJ$2:$AJ$1001,MATCH(ROWS($AH$2:AH934),$AH$2:$AH$1001,0),0), INDEX($AO$1004:$BQ$1004,1,MATCH(COLUMNS($AO$1006:BK1006),$AO$1006:$BQ$1006,0)))),"Fix")))</f>
        <v>#N/A</v>
      </c>
      <c r="Y934" s="5" t="e">
        <f ca="1">IF(OR(INDEX($AI$2:$AI$1001,MATCH(ROWS($AH$2:AH934),$AH$2:$AH$1001,0),1)&gt;=100000,INDEX($AO$1005:$BQ$1005,1,MATCH(COLUMNS($AO$1006:BL1006),$AO$1006:$BQ$1006,0))&gt;=100000), " ",IF(INDEX($AO$2:$BQ$1001,MATCH(ROWS($AH$2:AH934),$AH$2:$AH$1001,0),MATCH(COLUMNS($AO$1006:BL1006),$AO$1006:$BQ$1006,0)), HYPERLINK("#",""), HYPERLINK(CONCATENATE("#Metadata!", ADDRESS(INDEX($AJ$2:$AJ$1001,MATCH(ROWS($AH$2:AH934),$AH$2:$AH$1001,0),0), INDEX($AO$1004:$BQ$1004,1,MATCH(COLUMNS($AO$1006:BL1006),$AO$1006:$BQ$1006,0)))),"Fix")))</f>
        <v>#N/A</v>
      </c>
      <c r="Z934" s="5" t="e">
        <f ca="1">IF(OR(INDEX($AI$2:$AI$1001,MATCH(ROWS($AH$2:AH934),$AH$2:$AH$1001,0),1)&gt;=100000,INDEX($AO$1005:$BQ$1005,1,MATCH(COLUMNS($AO$1006:BM1006),$AO$1006:$BQ$1006,0))&gt;=100000), " ",IF(INDEX($AO$2:$BQ$1001,MATCH(ROWS($AH$2:AH934),$AH$2:$AH$1001,0),MATCH(COLUMNS($AO$1006:BM1006),$AO$1006:$BQ$1006,0)), HYPERLINK("#",""), HYPERLINK(CONCATENATE("#Metadata!", ADDRESS(INDEX($AJ$2:$AJ$1001,MATCH(ROWS($AH$2:AH934),$AH$2:$AH$1001,0),0), INDEX($AO$1004:$BQ$1004,1,MATCH(COLUMNS($AO$1006:BM1006),$AO$1006:$BQ$1006,0)))),"Fix")))</f>
        <v>#N/A</v>
      </c>
      <c r="AA934" s="5" t="e">
        <f ca="1">IF(OR(INDEX($AI$2:$AI$1001,MATCH(ROWS($AH$2:AH934),$AH$2:$AH$1001,0),1)&gt;=100000,INDEX($AO$1005:$BQ$1005,1,MATCH(COLUMNS($AO$1006:BN1006),$AO$1006:$BQ$1006,0))&gt;=100000), " ",IF(INDEX($AO$2:$BQ$1001,MATCH(ROWS($AH$2:AH934),$AH$2:$AH$1001,0),MATCH(COLUMNS($AO$1006:BN1006),$AO$1006:$BQ$1006,0)), HYPERLINK("#",""), HYPERLINK(CONCATENATE("#Metadata!", ADDRESS(INDEX($AJ$2:$AJ$1001,MATCH(ROWS($AH$2:AH934),$AH$2:$AH$1001,0),0), INDEX($AO$1004:$BQ$1004,1,MATCH(COLUMNS($AO$1006:BN1006),$AO$1006:$BQ$1006,0)))),"Fix")))</f>
        <v>#N/A</v>
      </c>
      <c r="AB934" s="5" t="e">
        <f ca="1">IF(OR(INDEX($AI$2:$AI$1001,MATCH(ROWS($AH$2:AH934),$AH$2:$AH$1001,0),1)&gt;=100000,INDEX($AO$1005:$BQ$1005,1,MATCH(COLUMNS($AO$1006:BO1006),$AO$1006:$BQ$1006,0))&gt;=100000), " ",IF(INDEX($AO$2:$BQ$1001,MATCH(ROWS($AH$2:AH934),$AH$2:$AH$1001,0),MATCH(COLUMNS($AO$1006:BO1006),$AO$1006:$BQ$1006,0)), HYPERLINK("#",""), HYPERLINK(CONCATENATE("#Metadata!", ADDRESS(INDEX($AJ$2:$AJ$1001,MATCH(ROWS($AH$2:AH934),$AH$2:$AH$1001,0),0), INDEX($AO$1004:$BQ$1004,1,MATCH(COLUMNS($AO$1006:BO1006),$AO$1006:$BQ$1006,0)))),"Fix")))</f>
        <v>#N/A</v>
      </c>
      <c r="AC934" s="5" t="e">
        <f ca="1">IF(OR(INDEX($AI$2:$AI$1001,MATCH(ROWS($AH$2:AH934),$AH$2:$AH$1001,0),1)&gt;=100000,INDEX($AO$1005:$BQ$1005,1,MATCH(COLUMNS($AO$1006:BP1006),$AO$1006:$BQ$1006,0))&gt;=100000), " ",IF(INDEX($AO$2:$BQ$1001,MATCH(ROWS($AH$2:AH934),$AH$2:$AH$1001,0),MATCH(COLUMNS($AO$1006:BP1006),$AO$1006:$BQ$1006,0)), HYPERLINK("#",""), HYPERLINK(CONCATENATE("#Metadata!", ADDRESS(INDEX($AJ$2:$AJ$1001,MATCH(ROWS($AH$2:AH934),$AH$2:$AH$1001,0),0), INDEX($AO$1004:$BQ$1004,1,MATCH(COLUMNS($AO$1006:BP1006),$AO$1006:$BQ$1006,0)))),"Fix")))</f>
        <v>#N/A</v>
      </c>
      <c r="AD934" s="5" t="e">
        <f ca="1">IF(OR(INDEX($AI$2:$AI$1001,MATCH(ROWS($AH$2:AH934),$AH$2:$AH$1001,0),1)&gt;=100000,INDEX($AO$1005:$BQ$1005,1,MATCH(COLUMNS($AO$1006:BQ1006),$AO$1006:$BQ$1006,0))&gt;=100000), " ",IF(INDEX($AO$2:$BQ$1001,MATCH(ROWS($AH$2:AH934),$AH$2:$AH$1001,0),MATCH(COLUMNS($AO$1006:BQ1006),$AO$1006:$BQ$1006,0)), HYPERLINK("#",""), HYPERLINK(CONCATENATE("#Metadata!", ADDRESS(INDEX($AJ$2:$AJ$1001,MATCH(ROWS($AH$2:AH934),$AH$2:$AH$1001,0),0), INDEX($AO$1004:$BQ$1004,1,MATCH(COLUMNS($AO$1006:BQ1006),$AO$1006:$BQ$1006,0)))),"Fix")))</f>
        <v>#REF!</v>
      </c>
      <c r="AH934">
        <f ca="1"/>
        <v>931</v>
      </c>
      <c r="AI934">
        <v>100934</v>
      </c>
      <c r="AJ934">
        <v>934</v>
      </c>
      <c r="AK934" t="b">
        <f t="shared" si="14"/>
        <v>1</v>
      </c>
      <c r="AL934" t="b">
        <f>COUNTBLANK(Metadata!B934:AD934)=COLUMNS(Metadata!B934:AD934)</f>
        <v>1</v>
      </c>
      <c r="AM934" t="str">
        <v/>
      </c>
      <c r="AO934" t="b">
        <f ca="1">AND(IF(Metadata!B934="",FALSE,TRUE),COUNTIF(Metadata!B:B, Metadata!B934) = 1,NOT(ISERROR(SUMPRODUCT(SEARCH(MID(Metadata!B934,ROW(INDIRECT("1:"&amp;LEN(Metadata!B934))), 1),"0123456789abcdefghijklmnopqrstuvwxyzABCDEFGHIJKLMNOPQRSTUVWXYZ.")))))</f>
        <v>0</v>
      </c>
      <c r="AP934" t="b">
        <f>IF(Metadata!C934="",FALSE,TRUE)</f>
        <v>0</v>
      </c>
      <c r="AQ934" t="b">
        <f>IF(Metadata!D934="",FALSE,TRUE)</f>
        <v>0</v>
      </c>
      <c r="AR934" t="b">
        <f ca="1">OR(AND(IF(Metadata!E934="",FALSE,TRUE),OR(EXACT(Metadata!E934,"not collected"),EXACT(Metadata!E934,"not provided"),EXACT(Metadata!E934,"restricted access"))),AND(IF(Metadata!E934="",FALSE,TRUE),AND(AND(IFERROR(INT(LEFT(Metadata!E934,4))&gt;1900,FALSE),IFERROR(INT(LEFT(Metadata!E934,4))&lt;=YEAR(NOW()),FALSE)), OR(MID(Metadata!E934,5,1)="", AND(AND(MID(Metadata!E934,5,1)="-",IFERROR(INT(MID(Metadata!E934,6,1))&gt;=0,FALSE),IFERROR(INT(MID(Metadata!E934,6,1))&lt;=1,FALSE),NOT(MID(Metadata!E934,7,1)=""),IFERROR(INT(MID(Metadata!E934,6,2))&gt;=1,FALSE),IFERROR(INT(MID(Metadata!E934,6,2))&lt;=12,FALSE)), OR(MID(Metadata!E934,8,1)="", AND(AND(MID(Metadata!E934,8,1)="-",IFERROR(INT(MID(Metadata!E934,9,1))&gt;=0,FALSE),IFERROR(INT(MID(Metadata!E934,9,1))&lt;=3,FALSE),NOT(MID(Metadata!E934,10,1)=""),IFERROR(INT(MID(Metadata!E934,9,2))&gt;=1,FALSE),IFERROR(INT(MID(Metadata!E934,9,2))&lt;=31,FALSE)), OR(MID(Metadata!E934,11,1)="", AND(AND(MID(Metadata!E934,11,1)=" ",IFERROR(INT(MID(Metadata!E934,12,1))&gt;=0,FALSE),IFERROR(INT(MID(Metadata!E934,12,1))&lt;=2,FALSE),NOT(MID(Metadata!E934,13,1)=""),IFERROR(INT(MID(Metadata!E934,12,2))&gt;=0,FALSE),IFERROR(INT(MID(Metadata!E934,12,2))&lt;=23,FALSE)), OR(MID(Metadata!E934,14,1)="", AND(AND(MID(Metadata!E934,14,1)=":",IFERROR(INT(MID(Metadata!E934,15,1))&gt;=0,FALSE),IFERROR(INT(MID(Metadata!E934,15,1))&lt;=5,FALSE),NOT(MID(Metadata!E934,16,1)=""),IFERROR(INT(MID(Metadata!E934,15,2))&gt;=0,FALSE),IFERROR(INT(MID(Metadata!E934,15,2))&lt;=59,FALSE)), OR(MID(Metadata!E934,17,1)="", AND(AND(MID(Metadata!E934,17,1)=":",IFERROR(INT(MID(Metadata!E934,18,1))&gt;=0,FALSE),IFERROR(INT(MID(Metadata!E934,18,1))&lt;=5,FALSE),NOT(MID(Metadata!E934,19,1)=""),IFERROR(INT(MID(Metadata!E934,18,2))&gt;=0,FALSE),IFERROR(INT(MID(Metadata!E934,18,2))&lt;=59,FALSE)), LEN(Metadata!E934)&lt;=19)))))))))))))</f>
        <v>0</v>
      </c>
      <c r="AS934" t="b">
        <f>IF(Metadata!F934="",FALSE,TRUE)</f>
        <v>0</v>
      </c>
      <c r="AT934" t="b">
        <f>OR(AND(IF(Metadata!G934="",FALSE,TRUE),OR(EXACT(Metadata!G934,"not collected"),EXACT(Metadata!G934,"not provided"))),AND(IF(Metadata!G934="",FALSE,TRUE),OR(EXACT(Metadata!G934,"TRUE"),EXACT(Metadata!G934,"FALSE"))))</f>
        <v>0</v>
      </c>
      <c r="AU934" t="b">
        <f>OR(AND(IF(Metadata!H934="",FALSE,TRUE),OR(EXACT(Metadata!H934,"not collected"),EXACT(Metadata!H934,"not provided"),EXACT(Metadata!H934,"restricted access"))),AND(IF(Metadata!H934="",FALSE,ISNUMBER(VALUE(Metadata!H934))),Metadata!H934&gt;=-413))</f>
        <v>0</v>
      </c>
      <c r="AV934" t="b">
        <f>AND(IF(Metadata!I934="",FALSE,TRUE),EXACT(Metadata!I934,"meters"))</f>
        <v>0</v>
      </c>
      <c r="AW934" t="b">
        <f>AND(IF(Metadata!J934="",FALSE,TRUE),EXACT(Metadata!J934,"free-living"))</f>
        <v>0</v>
      </c>
      <c r="AX934" t="b">
        <f>AND(IF(Metadata!K934="",FALSE,TRUE),OR(EXACT(Metadata!K934,"saline"),EXACT(Metadata!K934,"non-saline")))</f>
        <v>0</v>
      </c>
      <c r="AY934" t="b">
        <f>AND(IF(Metadata!L934="",FALSE,TRUE),OR(EXACT(Metadata!L934,"sub-surface (non-saline)"),EXACT(Metadata!L934,"surface (non-saline)"),EXACT(Metadata!L934,"water (non-saline)"),EXACT(Metadata!L934,"soil (non-saline)"),EXACT(Metadata!L934,"aerosol (non-saline)"),EXACT(Metadata!L934,"sediment (non-saline)"),EXACT(Metadata!L934,"surface (saline)"),EXACT(Metadata!L934,"water (saline)"),EXACT(Metadata!L934,"hypersaline (saline)"),EXACT(Metadata!L934,"aerosol (saline)"),EXACT(Metadata!L934,"sediment (saline)")))</f>
        <v>0</v>
      </c>
      <c r="AZ934" t="b">
        <f>IF(Metadata!M934="",FALSE,TRUE)</f>
        <v>0</v>
      </c>
      <c r="BA934" t="b">
        <f>IF(Metadata!N934="",FALSE,TRUE)</f>
        <v>0</v>
      </c>
      <c r="BB934" t="b">
        <f>IF(Metadata!O934="",FALSE,TRUE)</f>
        <v>0</v>
      </c>
      <c r="BC934" t="b">
        <f>AND(IF(Metadata!P934="",FALSE,TRUE),OR(EXACT(Metadata!P934,"air"),EXACT(Metadata!P934,"microbial mat/biofilm"),EXACT(Metadata!P934,"misc environment"),EXACT(Metadata!P934,"sediment"),EXACT(Metadata!P934,"soil"),EXACT(Metadata!P934,"wastewater/sludge"),EXACT(Metadata!P934,"water")))</f>
        <v>0</v>
      </c>
      <c r="BD934" t="b">
        <f>IF(Metadata!Q934="",FALSE,TRUE)</f>
        <v>0</v>
      </c>
      <c r="BE934" t="b">
        <f>IF(Metadata!R934="",FALSE,TRUE)</f>
        <v>0</v>
      </c>
      <c r="BF934" t="b">
        <f>OR(AND(IF(Metadata!S934="",FALSE,TRUE),OR(EXACT(Metadata!S934,"not collected"),EXACT(Metadata!S934,"not provided"),EXACT(Metadata!S934,"restricted access"))),AND(IF(Metadata!S934="",FALSE,ISNUMBER(VALUE(Metadata!S934))),Metadata!S934&gt;=-90,Metadata!S934&lt;=90))</f>
        <v>0</v>
      </c>
      <c r="BG934" t="b">
        <f>AND(IF(Metadata!T934="",FALSE,TRUE),EXACT(Metadata!T934,"Decimal degrees"))</f>
        <v>0</v>
      </c>
      <c r="BH934" t="b">
        <f>OR(AND(IF(Metadata!U934="",FALSE,TRUE),OR(EXACT(Metadata!U934,"not applicable"),EXACT(Metadata!U934,"not collected"))),IF(Metadata!U934="",FALSE,TRUE))</f>
        <v>0</v>
      </c>
      <c r="BI934" t="b">
        <f>OR(AND(IF(Metadata!V934="",FALSE,TRUE),OR(EXACT(Metadata!V934,"not collected"),EXACT(Metadata!V934,"not provided"),EXACT(Metadata!V934,"restricted access"))),AND(IF(Metadata!V934="",FALSE,ISNUMBER(VALUE(Metadata!V934))),Metadata!V934&gt;=-180,Metadata!V934&lt;=180))</f>
        <v>0</v>
      </c>
      <c r="BJ934" t="b">
        <f>AND(IF(Metadata!W934="",FALSE,TRUE),EXACT(Metadata!W934,"Decimal degrees"))</f>
        <v>0</v>
      </c>
      <c r="BK934" t="b">
        <f>IF(Metadata!X934="",FALSE,TRUE)</f>
        <v>0</v>
      </c>
      <c r="BL934" t="b">
        <f>OR(AND(IF(Metadata!Y934="",FALSE,TRUE),OR(EXACT(Metadata!Y934,"not collected"),EXACT(Metadata!Y934,"not provided"),EXACT(Metadata!Y934,"restricted access"))),AND(IF(Metadata!Y934="",FALSE,TRUE),OR(EXACT(Metadata!Y934,"TRUE"),EXACT(Metadata!Y934,"FALSE"))))</f>
        <v>0</v>
      </c>
      <c r="BM934" t="b">
        <f>OR(AND(IF(Metadata!Z934="",FALSE,TRUE),EXACT(Metadata!Z934,"not applicable")),AND(IF(Metadata!Z934="",FALSE,TRUE),OR(EXACT(Metadata!Z934,"beer"),EXACT(Metadata!Z934,"cheese"),EXACT(Metadata!Z934,"fresh water"),EXACT(Metadata!Z934,"marine sediment"),EXACT(Metadata!Z934,"sea water"),EXACT(Metadata!Z934,"sediment"),EXACT(Metadata!Z934,"soil"),EXACT(Metadata!Z934,"waste water"))))</f>
        <v>0</v>
      </c>
      <c r="BN934" t="b">
        <f>AND(IF(Metadata!AA934="",FALSE,TRUE),EXACT(Metadata!AA934,"metagenome"))</f>
        <v>0</v>
      </c>
      <c r="BO934" t="b">
        <f>AND(IF(Metadata!AB934="",FALSE,TRUE),EXACT(Metadata!AB934,"256318"))</f>
        <v>0</v>
      </c>
      <c r="BP934" t="b">
        <f>IF(Metadata!AC934="",FALSE,TRUE)</f>
        <v>0</v>
      </c>
      <c r="BQ934" t="b">
        <f>IF(Metadata!AD934="",FALSE,TRUE)</f>
        <v>0</v>
      </c>
    </row>
    <row r="935" spans="1:69" x14ac:dyDescent="0.2">
      <c r="A935" s="4" t="e">
        <f ca="1">IF(B935=" "," ",HYPERLINK(CONCATENATE("#metadata!",ADDRESS(INDEX($AJ$2:$AJ$1001,MATCH(ROWS($AH$2:AH935),$AH$2:$AH$1001,0),0),2)),INDEX($AM$2:$AM$1001,MATCH(ROWS($AH$2:AH935),$AH$2:$AH$1001,0),0)))</f>
        <v>#N/A</v>
      </c>
      <c r="B935" s="5" t="e">
        <f ca="1">IF(OR(INDEX($AI$2:$AI$1001,MATCH(ROWS($AH$2:AH935),$AH$2:$AH$1001,0),1)&gt;=100000,INDEX($AO$1005:$BQ$1005,1,MATCH(COLUMNS($AO$1006:AO1006),$AO$1006:$BQ$1006,0))&gt;=100000), " ",IF(INDEX($AO$2:$BQ$1001,MATCH(ROWS($AH$2:AH935),$AH$2:$AH$1001,0),MATCH(COLUMNS($AO$1006:AO1006),$AO$1006:$BQ$1006,0)), HYPERLINK("#",""), HYPERLINK(CONCATENATE("#Metadata!", ADDRESS(INDEX($AJ$2:$AJ$1001,MATCH(ROWS($AH$2:AH935),$AH$2:$AH$1001,0),0), INDEX($AO$1004:$BQ$1004,1,MATCH(COLUMNS($AO$1006:AO1006),$AO$1006:$BQ$1006,0)))),"Fix")))</f>
        <v>#N/A</v>
      </c>
      <c r="C935" s="5" t="e">
        <f ca="1">IF(OR(INDEX($AI$2:$AI$1001,MATCH(ROWS($AH$2:AH935),$AH$2:$AH$1001,0),1)&gt;=100000,INDEX($AO$1005:$BQ$1005,1,MATCH(COLUMNS($AO$1006:AP1006),$AO$1006:$BQ$1006,0))&gt;=100000), " ",IF(INDEX($AO$2:$BQ$1001,MATCH(ROWS($AH$2:AH935),$AH$2:$AH$1001,0),MATCH(COLUMNS($AO$1006:AP1006),$AO$1006:$BQ$1006,0)), HYPERLINK("#",""), HYPERLINK(CONCATENATE("#Metadata!", ADDRESS(INDEX($AJ$2:$AJ$1001,MATCH(ROWS($AH$2:AH935),$AH$2:$AH$1001,0),0), INDEX($AO$1004:$BQ$1004,1,MATCH(COLUMNS($AO$1006:AP1006),$AO$1006:$BQ$1006,0)))),"Fix")))</f>
        <v>#N/A</v>
      </c>
      <c r="D935" s="5" t="e">
        <f ca="1">IF(OR(INDEX($AI$2:$AI$1001,MATCH(ROWS($AH$2:AH935),$AH$2:$AH$1001,0),1)&gt;=100000,INDEX($AO$1005:$BQ$1005,1,MATCH(COLUMNS($AO$1006:AQ1006),$AO$1006:$BQ$1006,0))&gt;=100000), " ",IF(INDEX($AO$2:$BQ$1001,MATCH(ROWS($AH$2:AH935),$AH$2:$AH$1001,0),MATCH(COLUMNS($AO$1006:AQ1006),$AO$1006:$BQ$1006,0)), HYPERLINK("#",""), HYPERLINK(CONCATENATE("#Metadata!", ADDRESS(INDEX($AJ$2:$AJ$1001,MATCH(ROWS($AH$2:AH935),$AH$2:$AH$1001,0),0), INDEX($AO$1004:$BQ$1004,1,MATCH(COLUMNS($AO$1006:AQ1006),$AO$1006:$BQ$1006,0)))),"Fix")))</f>
        <v>#N/A</v>
      </c>
      <c r="E935" s="5" t="e">
        <f ca="1">IF(OR(INDEX($AI$2:$AI$1001,MATCH(ROWS($AH$2:AH935),$AH$2:$AH$1001,0),1)&gt;=100000,INDEX($AO$1005:$BQ$1005,1,MATCH(COLUMNS($AO$1006:AR1006),$AO$1006:$BQ$1006,0))&gt;=100000), " ",IF(INDEX($AO$2:$BQ$1001,MATCH(ROWS($AH$2:AH935),$AH$2:$AH$1001,0),MATCH(COLUMNS($AO$1006:AR1006),$AO$1006:$BQ$1006,0)), HYPERLINK("#",""), HYPERLINK(CONCATENATE("#Metadata!", ADDRESS(INDEX($AJ$2:$AJ$1001,MATCH(ROWS($AH$2:AH935),$AH$2:$AH$1001,0),0), INDEX($AO$1004:$BQ$1004,1,MATCH(COLUMNS($AO$1006:AR1006),$AO$1006:$BQ$1006,0)))),"Fix")))</f>
        <v>#N/A</v>
      </c>
      <c r="F935" s="5" t="e">
        <f ca="1">IF(OR(INDEX($AI$2:$AI$1001,MATCH(ROWS($AH$2:AH935),$AH$2:$AH$1001,0),1)&gt;=100000,INDEX($AO$1005:$BQ$1005,1,MATCH(COLUMNS($AO$1006:AS1006),$AO$1006:$BQ$1006,0))&gt;=100000), " ",IF(INDEX($AO$2:$BQ$1001,MATCH(ROWS($AH$2:AH935),$AH$2:$AH$1001,0),MATCH(COLUMNS($AO$1006:AS1006),$AO$1006:$BQ$1006,0)), HYPERLINK("#",""), HYPERLINK(CONCATENATE("#Metadata!", ADDRESS(INDEX($AJ$2:$AJ$1001,MATCH(ROWS($AH$2:AH935),$AH$2:$AH$1001,0),0), INDEX($AO$1004:$BQ$1004,1,MATCH(COLUMNS($AO$1006:AS1006),$AO$1006:$BQ$1006,0)))),"Fix")))</f>
        <v>#N/A</v>
      </c>
      <c r="G935" s="5" t="e">
        <f ca="1">IF(OR(INDEX($AI$2:$AI$1001,MATCH(ROWS($AH$2:AH935),$AH$2:$AH$1001,0),1)&gt;=100000,INDEX($AO$1005:$BQ$1005,1,MATCH(COLUMNS($AO$1006:AT1006),$AO$1006:$BQ$1006,0))&gt;=100000), " ",IF(INDEX($AO$2:$BQ$1001,MATCH(ROWS($AH$2:AH935),$AH$2:$AH$1001,0),MATCH(COLUMNS($AO$1006:AT1006),$AO$1006:$BQ$1006,0)), HYPERLINK("#",""), HYPERLINK(CONCATENATE("#Metadata!", ADDRESS(INDEX($AJ$2:$AJ$1001,MATCH(ROWS($AH$2:AH935),$AH$2:$AH$1001,0),0), INDEX($AO$1004:$BQ$1004,1,MATCH(COLUMNS($AO$1006:AT1006),$AO$1006:$BQ$1006,0)))),"Fix")))</f>
        <v>#N/A</v>
      </c>
      <c r="H935" s="5" t="e">
        <f ca="1">IF(OR(INDEX($AI$2:$AI$1001,MATCH(ROWS($AH$2:AH935),$AH$2:$AH$1001,0),1)&gt;=100000,INDEX($AO$1005:$BQ$1005,1,MATCH(COLUMNS($AO$1006:AU1006),$AO$1006:$BQ$1006,0))&gt;=100000), " ",IF(INDEX($AO$2:$BQ$1001,MATCH(ROWS($AH$2:AH935),$AH$2:$AH$1001,0),MATCH(COLUMNS($AO$1006:AU1006),$AO$1006:$BQ$1006,0)), HYPERLINK("#",""), HYPERLINK(CONCATENATE("#Metadata!", ADDRESS(INDEX($AJ$2:$AJ$1001,MATCH(ROWS($AH$2:AH935),$AH$2:$AH$1001,0),0), INDEX($AO$1004:$BQ$1004,1,MATCH(COLUMNS($AO$1006:AU1006),$AO$1006:$BQ$1006,0)))),"Fix")))</f>
        <v>#N/A</v>
      </c>
      <c r="I935" s="5" t="e">
        <f ca="1">IF(OR(INDEX($AI$2:$AI$1001,MATCH(ROWS($AH$2:AH935),$AH$2:$AH$1001,0),1)&gt;=100000,INDEX($AO$1005:$BQ$1005,1,MATCH(COLUMNS($AO$1006:AV1006),$AO$1006:$BQ$1006,0))&gt;=100000), " ",IF(INDEX($AO$2:$BQ$1001,MATCH(ROWS($AH$2:AH935),$AH$2:$AH$1001,0),MATCH(COLUMNS($AO$1006:AV1006),$AO$1006:$BQ$1006,0)), HYPERLINK("#",""), HYPERLINK(CONCATENATE("#Metadata!", ADDRESS(INDEX($AJ$2:$AJ$1001,MATCH(ROWS($AH$2:AH935),$AH$2:$AH$1001,0),0), INDEX($AO$1004:$BQ$1004,1,MATCH(COLUMNS($AO$1006:AV1006),$AO$1006:$BQ$1006,0)))),"Fix")))</f>
        <v>#N/A</v>
      </c>
      <c r="J935" s="5" t="e">
        <f ca="1">IF(OR(INDEX($AI$2:$AI$1001,MATCH(ROWS($AH$2:AH935),$AH$2:$AH$1001,0),1)&gt;=100000,INDEX($AO$1005:$BQ$1005,1,MATCH(COLUMNS($AO$1006:AW1006),$AO$1006:$BQ$1006,0))&gt;=100000), " ",IF(INDEX($AO$2:$BQ$1001,MATCH(ROWS($AH$2:AH935),$AH$2:$AH$1001,0),MATCH(COLUMNS($AO$1006:AW1006),$AO$1006:$BQ$1006,0)), HYPERLINK("#",""), HYPERLINK(CONCATENATE("#Metadata!", ADDRESS(INDEX($AJ$2:$AJ$1001,MATCH(ROWS($AH$2:AH935),$AH$2:$AH$1001,0),0), INDEX($AO$1004:$BQ$1004,1,MATCH(COLUMNS($AO$1006:AW1006),$AO$1006:$BQ$1006,0)))),"Fix")))</f>
        <v>#N/A</v>
      </c>
      <c r="K935" s="5" t="e">
        <f ca="1">IF(OR(INDEX($AI$2:$AI$1001,MATCH(ROWS($AH$2:AH935),$AH$2:$AH$1001,0),1)&gt;=100000,INDEX($AO$1005:$BQ$1005,1,MATCH(COLUMNS($AO$1006:AX1006),$AO$1006:$BQ$1006,0))&gt;=100000), " ",IF(INDEX($AO$2:$BQ$1001,MATCH(ROWS($AH$2:AH935),$AH$2:$AH$1001,0),MATCH(COLUMNS($AO$1006:AX1006),$AO$1006:$BQ$1006,0)), HYPERLINK("#",""), HYPERLINK(CONCATENATE("#Metadata!", ADDRESS(INDEX($AJ$2:$AJ$1001,MATCH(ROWS($AH$2:AH935),$AH$2:$AH$1001,0),0), INDEX($AO$1004:$BQ$1004,1,MATCH(COLUMNS($AO$1006:AX1006),$AO$1006:$BQ$1006,0)))),"Fix")))</f>
        <v>#N/A</v>
      </c>
      <c r="L935" s="5" t="e">
        <f ca="1">IF(OR(INDEX($AI$2:$AI$1001,MATCH(ROWS($AH$2:AH935),$AH$2:$AH$1001,0),1)&gt;=100000,INDEX($AO$1005:$BQ$1005,1,MATCH(COLUMNS($AO$1006:AY1006),$AO$1006:$BQ$1006,0))&gt;=100000), " ",IF(INDEX($AO$2:$BQ$1001,MATCH(ROWS($AH$2:AH935),$AH$2:$AH$1001,0),MATCH(COLUMNS($AO$1006:AY1006),$AO$1006:$BQ$1006,0)), HYPERLINK("#",""), HYPERLINK(CONCATENATE("#Metadata!", ADDRESS(INDEX($AJ$2:$AJ$1001,MATCH(ROWS($AH$2:AH935),$AH$2:$AH$1001,0),0), INDEX($AO$1004:$BQ$1004,1,MATCH(COLUMNS($AO$1006:AY1006),$AO$1006:$BQ$1006,0)))),"Fix")))</f>
        <v>#N/A</v>
      </c>
      <c r="M935" s="5" t="e">
        <f ca="1">IF(OR(INDEX($AI$2:$AI$1001,MATCH(ROWS($AH$2:AH935),$AH$2:$AH$1001,0),1)&gt;=100000,INDEX($AO$1005:$BQ$1005,1,MATCH(COLUMNS($AO$1006:AZ1006),$AO$1006:$BQ$1006,0))&gt;=100000), " ",IF(INDEX($AO$2:$BQ$1001,MATCH(ROWS($AH$2:AH935),$AH$2:$AH$1001,0),MATCH(COLUMNS($AO$1006:AZ1006),$AO$1006:$BQ$1006,0)), HYPERLINK("#",""), HYPERLINK(CONCATENATE("#Metadata!", ADDRESS(INDEX($AJ$2:$AJ$1001,MATCH(ROWS($AH$2:AH935),$AH$2:$AH$1001,0),0), INDEX($AO$1004:$BQ$1004,1,MATCH(COLUMNS($AO$1006:AZ1006),$AO$1006:$BQ$1006,0)))),"Fix")))</f>
        <v>#N/A</v>
      </c>
      <c r="N935" s="5" t="e">
        <f ca="1">IF(OR(INDEX($AI$2:$AI$1001,MATCH(ROWS($AH$2:AH935),$AH$2:$AH$1001,0),1)&gt;=100000,INDEX($AO$1005:$BQ$1005,1,MATCH(COLUMNS($AO$1006:BA1006),$AO$1006:$BQ$1006,0))&gt;=100000), " ",IF(INDEX($AO$2:$BQ$1001,MATCH(ROWS($AH$2:AH935),$AH$2:$AH$1001,0),MATCH(COLUMNS($AO$1006:BA1006),$AO$1006:$BQ$1006,0)), HYPERLINK("#",""), HYPERLINK(CONCATENATE("#Metadata!", ADDRESS(INDEX($AJ$2:$AJ$1001,MATCH(ROWS($AH$2:AH935),$AH$2:$AH$1001,0),0), INDEX($AO$1004:$BQ$1004,1,MATCH(COLUMNS($AO$1006:BA1006),$AO$1006:$BQ$1006,0)))),"Fix")))</f>
        <v>#N/A</v>
      </c>
      <c r="O935" s="5" t="e">
        <f ca="1">IF(OR(INDEX($AI$2:$AI$1001,MATCH(ROWS($AH$2:AH935),$AH$2:$AH$1001,0),1)&gt;=100000,INDEX($AO$1005:$BQ$1005,1,MATCH(COLUMNS($AO$1006:BB1006),$AO$1006:$BQ$1006,0))&gt;=100000), " ",IF(INDEX($AO$2:$BQ$1001,MATCH(ROWS($AH$2:AH935),$AH$2:$AH$1001,0),MATCH(COLUMNS($AO$1006:BB1006),$AO$1006:$BQ$1006,0)), HYPERLINK("#",""), HYPERLINK(CONCATENATE("#Metadata!", ADDRESS(INDEX($AJ$2:$AJ$1001,MATCH(ROWS($AH$2:AH935),$AH$2:$AH$1001,0),0), INDEX($AO$1004:$BQ$1004,1,MATCH(COLUMNS($AO$1006:BB1006),$AO$1006:$BQ$1006,0)))),"Fix")))</f>
        <v>#N/A</v>
      </c>
      <c r="P935" s="5" t="e">
        <f ca="1">IF(OR(INDEX($AI$2:$AI$1001,MATCH(ROWS($AH$2:AH935),$AH$2:$AH$1001,0),1)&gt;=100000,INDEX($AO$1005:$BQ$1005,1,MATCH(COLUMNS($AO$1006:BC1006),$AO$1006:$BQ$1006,0))&gt;=100000), " ",IF(INDEX($AO$2:$BQ$1001,MATCH(ROWS($AH$2:AH935),$AH$2:$AH$1001,0),MATCH(COLUMNS($AO$1006:BC1006),$AO$1006:$BQ$1006,0)), HYPERLINK("#",""), HYPERLINK(CONCATENATE("#Metadata!", ADDRESS(INDEX($AJ$2:$AJ$1001,MATCH(ROWS($AH$2:AH935),$AH$2:$AH$1001,0),0), INDEX($AO$1004:$BQ$1004,1,MATCH(COLUMNS($AO$1006:BC1006),$AO$1006:$BQ$1006,0)))),"Fix")))</f>
        <v>#N/A</v>
      </c>
      <c r="Q935" s="5" t="e">
        <f ca="1">IF(OR(INDEX($AI$2:$AI$1001,MATCH(ROWS($AH$2:AH935),$AH$2:$AH$1001,0),1)&gt;=100000,INDEX($AO$1005:$BQ$1005,1,MATCH(COLUMNS($AO$1006:BD1006),$AO$1006:$BQ$1006,0))&gt;=100000), " ",IF(INDEX($AO$2:$BQ$1001,MATCH(ROWS($AH$2:AH935),$AH$2:$AH$1001,0),MATCH(COLUMNS($AO$1006:BD1006),$AO$1006:$BQ$1006,0)), HYPERLINK("#",""), HYPERLINK(CONCATENATE("#Metadata!", ADDRESS(INDEX($AJ$2:$AJ$1001,MATCH(ROWS($AH$2:AH935),$AH$2:$AH$1001,0),0), INDEX($AO$1004:$BQ$1004,1,MATCH(COLUMNS($AO$1006:BD1006),$AO$1006:$BQ$1006,0)))),"Fix")))</f>
        <v>#N/A</v>
      </c>
      <c r="R935" s="5" t="e">
        <f ca="1">IF(OR(INDEX($AI$2:$AI$1001,MATCH(ROWS($AH$2:AH935),$AH$2:$AH$1001,0),1)&gt;=100000,INDEX($AO$1005:$BQ$1005,1,MATCH(COLUMNS($AO$1006:BE1006),$AO$1006:$BQ$1006,0))&gt;=100000), " ",IF(INDEX($AO$2:$BQ$1001,MATCH(ROWS($AH$2:AH935),$AH$2:$AH$1001,0),MATCH(COLUMNS($AO$1006:BE1006),$AO$1006:$BQ$1006,0)), HYPERLINK("#",""), HYPERLINK(CONCATENATE("#Metadata!", ADDRESS(INDEX($AJ$2:$AJ$1001,MATCH(ROWS($AH$2:AH935),$AH$2:$AH$1001,0),0), INDEX($AO$1004:$BQ$1004,1,MATCH(COLUMNS($AO$1006:BE1006),$AO$1006:$BQ$1006,0)))),"Fix")))</f>
        <v>#N/A</v>
      </c>
      <c r="S935" s="5" t="e">
        <f ca="1">IF(OR(INDEX($AI$2:$AI$1001,MATCH(ROWS($AH$2:AH935),$AH$2:$AH$1001,0),1)&gt;=100000,INDEX($AO$1005:$BQ$1005,1,MATCH(COLUMNS($AO$1006:BF1006),$AO$1006:$BQ$1006,0))&gt;=100000), " ",IF(INDEX($AO$2:$BQ$1001,MATCH(ROWS($AH$2:AH935),$AH$2:$AH$1001,0),MATCH(COLUMNS($AO$1006:BF1006),$AO$1006:$BQ$1006,0)), HYPERLINK("#",""), HYPERLINK(CONCATENATE("#Metadata!", ADDRESS(INDEX($AJ$2:$AJ$1001,MATCH(ROWS($AH$2:AH935),$AH$2:$AH$1001,0),0), INDEX($AO$1004:$BQ$1004,1,MATCH(COLUMNS($AO$1006:BF1006),$AO$1006:$BQ$1006,0)))),"Fix")))</f>
        <v>#N/A</v>
      </c>
      <c r="T935" s="5" t="e">
        <f ca="1">IF(OR(INDEX($AI$2:$AI$1001,MATCH(ROWS($AH$2:AH935),$AH$2:$AH$1001,0),1)&gt;=100000,INDEX($AO$1005:$BQ$1005,1,MATCH(COLUMNS($AO$1006:BG1006),$AO$1006:$BQ$1006,0))&gt;=100000), " ",IF(INDEX($AO$2:$BQ$1001,MATCH(ROWS($AH$2:AH935),$AH$2:$AH$1001,0),MATCH(COLUMNS($AO$1006:BG1006),$AO$1006:$BQ$1006,0)), HYPERLINK("#",""), HYPERLINK(CONCATENATE("#Metadata!", ADDRESS(INDEX($AJ$2:$AJ$1001,MATCH(ROWS($AH$2:AH935),$AH$2:$AH$1001,0),0), INDEX($AO$1004:$BQ$1004,1,MATCH(COLUMNS($AO$1006:BG1006),$AO$1006:$BQ$1006,0)))),"Fix")))</f>
        <v>#N/A</v>
      </c>
      <c r="U935" s="5" t="e">
        <f ca="1">IF(OR(INDEX($AI$2:$AI$1001,MATCH(ROWS($AH$2:AH935),$AH$2:$AH$1001,0),1)&gt;=100000,INDEX($AO$1005:$BQ$1005,1,MATCH(COLUMNS($AO$1006:BH1006),$AO$1006:$BQ$1006,0))&gt;=100000), " ",IF(INDEX($AO$2:$BQ$1001,MATCH(ROWS($AH$2:AH935),$AH$2:$AH$1001,0),MATCH(COLUMNS($AO$1006:BH1006),$AO$1006:$BQ$1006,0)), HYPERLINK("#",""), HYPERLINK(CONCATENATE("#Metadata!", ADDRESS(INDEX($AJ$2:$AJ$1001,MATCH(ROWS($AH$2:AH935),$AH$2:$AH$1001,0),0), INDEX($AO$1004:$BQ$1004,1,MATCH(COLUMNS($AO$1006:BH1006),$AO$1006:$BQ$1006,0)))),"Fix")))</f>
        <v>#N/A</v>
      </c>
      <c r="V935" s="5" t="e">
        <f ca="1">IF(OR(INDEX($AI$2:$AI$1001,MATCH(ROWS($AH$2:AH935),$AH$2:$AH$1001,0),1)&gt;=100000,INDEX($AO$1005:$BQ$1005,1,MATCH(COLUMNS($AO$1006:BI1006),$AO$1006:$BQ$1006,0))&gt;=100000), " ",IF(INDEX($AO$2:$BQ$1001,MATCH(ROWS($AH$2:AH935),$AH$2:$AH$1001,0),MATCH(COLUMNS($AO$1006:BI1006),$AO$1006:$BQ$1006,0)), HYPERLINK("#",""), HYPERLINK(CONCATENATE("#Metadata!", ADDRESS(INDEX($AJ$2:$AJ$1001,MATCH(ROWS($AH$2:AH935),$AH$2:$AH$1001,0),0), INDEX($AO$1004:$BQ$1004,1,MATCH(COLUMNS($AO$1006:BI1006),$AO$1006:$BQ$1006,0)))),"Fix")))</f>
        <v>#N/A</v>
      </c>
      <c r="W935" s="5" t="e">
        <f ca="1">IF(OR(INDEX($AI$2:$AI$1001,MATCH(ROWS($AH$2:AH935),$AH$2:$AH$1001,0),1)&gt;=100000,INDEX($AO$1005:$BQ$1005,1,MATCH(COLUMNS($AO$1006:BJ1006),$AO$1006:$BQ$1006,0))&gt;=100000), " ",IF(INDEX($AO$2:$BQ$1001,MATCH(ROWS($AH$2:AH935),$AH$2:$AH$1001,0),MATCH(COLUMNS($AO$1006:BJ1006),$AO$1006:$BQ$1006,0)), HYPERLINK("#",""), HYPERLINK(CONCATENATE("#Metadata!", ADDRESS(INDEX($AJ$2:$AJ$1001,MATCH(ROWS($AH$2:AH935),$AH$2:$AH$1001,0),0), INDEX($AO$1004:$BQ$1004,1,MATCH(COLUMNS($AO$1006:BJ1006),$AO$1006:$BQ$1006,0)))),"Fix")))</f>
        <v>#N/A</v>
      </c>
      <c r="X935" s="5" t="e">
        <f ca="1">IF(OR(INDEX($AI$2:$AI$1001,MATCH(ROWS($AH$2:AH935),$AH$2:$AH$1001,0),1)&gt;=100000,INDEX($AO$1005:$BQ$1005,1,MATCH(COLUMNS($AO$1006:BK1006),$AO$1006:$BQ$1006,0))&gt;=100000), " ",IF(INDEX($AO$2:$BQ$1001,MATCH(ROWS($AH$2:AH935),$AH$2:$AH$1001,0),MATCH(COLUMNS($AO$1006:BK1006),$AO$1006:$BQ$1006,0)), HYPERLINK("#",""), HYPERLINK(CONCATENATE("#Metadata!", ADDRESS(INDEX($AJ$2:$AJ$1001,MATCH(ROWS($AH$2:AH935),$AH$2:$AH$1001,0),0), INDEX($AO$1004:$BQ$1004,1,MATCH(COLUMNS($AO$1006:BK1006),$AO$1006:$BQ$1006,0)))),"Fix")))</f>
        <v>#N/A</v>
      </c>
      <c r="Y935" s="5" t="e">
        <f ca="1">IF(OR(INDEX($AI$2:$AI$1001,MATCH(ROWS($AH$2:AH935),$AH$2:$AH$1001,0),1)&gt;=100000,INDEX($AO$1005:$BQ$1005,1,MATCH(COLUMNS($AO$1006:BL1006),$AO$1006:$BQ$1006,0))&gt;=100000), " ",IF(INDEX($AO$2:$BQ$1001,MATCH(ROWS($AH$2:AH935),$AH$2:$AH$1001,0),MATCH(COLUMNS($AO$1006:BL1006),$AO$1006:$BQ$1006,0)), HYPERLINK("#",""), HYPERLINK(CONCATENATE("#Metadata!", ADDRESS(INDEX($AJ$2:$AJ$1001,MATCH(ROWS($AH$2:AH935),$AH$2:$AH$1001,0),0), INDEX($AO$1004:$BQ$1004,1,MATCH(COLUMNS($AO$1006:BL1006),$AO$1006:$BQ$1006,0)))),"Fix")))</f>
        <v>#N/A</v>
      </c>
      <c r="Z935" s="5" t="e">
        <f ca="1">IF(OR(INDEX($AI$2:$AI$1001,MATCH(ROWS($AH$2:AH935),$AH$2:$AH$1001,0),1)&gt;=100000,INDEX($AO$1005:$BQ$1005,1,MATCH(COLUMNS($AO$1006:BM1006),$AO$1006:$BQ$1006,0))&gt;=100000), " ",IF(INDEX($AO$2:$BQ$1001,MATCH(ROWS($AH$2:AH935),$AH$2:$AH$1001,0),MATCH(COLUMNS($AO$1006:BM1006),$AO$1006:$BQ$1006,0)), HYPERLINK("#",""), HYPERLINK(CONCATENATE("#Metadata!", ADDRESS(INDEX($AJ$2:$AJ$1001,MATCH(ROWS($AH$2:AH935),$AH$2:$AH$1001,0),0), INDEX($AO$1004:$BQ$1004,1,MATCH(COLUMNS($AO$1006:BM1006),$AO$1006:$BQ$1006,0)))),"Fix")))</f>
        <v>#N/A</v>
      </c>
      <c r="AA935" s="5" t="e">
        <f ca="1">IF(OR(INDEX($AI$2:$AI$1001,MATCH(ROWS($AH$2:AH935),$AH$2:$AH$1001,0),1)&gt;=100000,INDEX($AO$1005:$BQ$1005,1,MATCH(COLUMNS($AO$1006:BN1006),$AO$1006:$BQ$1006,0))&gt;=100000), " ",IF(INDEX($AO$2:$BQ$1001,MATCH(ROWS($AH$2:AH935),$AH$2:$AH$1001,0),MATCH(COLUMNS($AO$1006:BN1006),$AO$1006:$BQ$1006,0)), HYPERLINK("#",""), HYPERLINK(CONCATENATE("#Metadata!", ADDRESS(INDEX($AJ$2:$AJ$1001,MATCH(ROWS($AH$2:AH935),$AH$2:$AH$1001,0),0), INDEX($AO$1004:$BQ$1004,1,MATCH(COLUMNS($AO$1006:BN1006),$AO$1006:$BQ$1006,0)))),"Fix")))</f>
        <v>#N/A</v>
      </c>
      <c r="AB935" s="5" t="e">
        <f ca="1">IF(OR(INDEX($AI$2:$AI$1001,MATCH(ROWS($AH$2:AH935),$AH$2:$AH$1001,0),1)&gt;=100000,INDEX($AO$1005:$BQ$1005,1,MATCH(COLUMNS($AO$1006:BO1006),$AO$1006:$BQ$1006,0))&gt;=100000), " ",IF(INDEX($AO$2:$BQ$1001,MATCH(ROWS($AH$2:AH935),$AH$2:$AH$1001,0),MATCH(COLUMNS($AO$1006:BO1006),$AO$1006:$BQ$1006,0)), HYPERLINK("#",""), HYPERLINK(CONCATENATE("#Metadata!", ADDRESS(INDEX($AJ$2:$AJ$1001,MATCH(ROWS($AH$2:AH935),$AH$2:$AH$1001,0),0), INDEX($AO$1004:$BQ$1004,1,MATCH(COLUMNS($AO$1006:BO1006),$AO$1006:$BQ$1006,0)))),"Fix")))</f>
        <v>#N/A</v>
      </c>
      <c r="AC935" s="5" t="e">
        <f ca="1">IF(OR(INDEX($AI$2:$AI$1001,MATCH(ROWS($AH$2:AH935),$AH$2:$AH$1001,0),1)&gt;=100000,INDEX($AO$1005:$BQ$1005,1,MATCH(COLUMNS($AO$1006:BP1006),$AO$1006:$BQ$1006,0))&gt;=100000), " ",IF(INDEX($AO$2:$BQ$1001,MATCH(ROWS($AH$2:AH935),$AH$2:$AH$1001,0),MATCH(COLUMNS($AO$1006:BP1006),$AO$1006:$BQ$1006,0)), HYPERLINK("#",""), HYPERLINK(CONCATENATE("#Metadata!", ADDRESS(INDEX($AJ$2:$AJ$1001,MATCH(ROWS($AH$2:AH935),$AH$2:$AH$1001,0),0), INDEX($AO$1004:$BQ$1004,1,MATCH(COLUMNS($AO$1006:BP1006),$AO$1006:$BQ$1006,0)))),"Fix")))</f>
        <v>#N/A</v>
      </c>
      <c r="AD935" s="5" t="e">
        <f ca="1">IF(OR(INDEX($AI$2:$AI$1001,MATCH(ROWS($AH$2:AH935),$AH$2:$AH$1001,0),1)&gt;=100000,INDEX($AO$1005:$BQ$1005,1,MATCH(COLUMNS($AO$1006:BQ1006),$AO$1006:$BQ$1006,0))&gt;=100000), " ",IF(INDEX($AO$2:$BQ$1001,MATCH(ROWS($AH$2:AH935),$AH$2:$AH$1001,0),MATCH(COLUMNS($AO$1006:BQ1006),$AO$1006:$BQ$1006,0)), HYPERLINK("#",""), HYPERLINK(CONCATENATE("#Metadata!", ADDRESS(INDEX($AJ$2:$AJ$1001,MATCH(ROWS($AH$2:AH935),$AH$2:$AH$1001,0),0), INDEX($AO$1004:$BQ$1004,1,MATCH(COLUMNS($AO$1006:BQ1006),$AO$1006:$BQ$1006,0)))),"Fix")))</f>
        <v>#REF!</v>
      </c>
      <c r="AH935">
        <f ca="1"/>
        <v>932</v>
      </c>
      <c r="AI935">
        <v>100935</v>
      </c>
      <c r="AJ935">
        <v>935</v>
      </c>
      <c r="AK935" t="b">
        <f t="shared" si="14"/>
        <v>1</v>
      </c>
      <c r="AL935" t="b">
        <f>COUNTBLANK(Metadata!B935:AD935)=COLUMNS(Metadata!B935:AD935)</f>
        <v>1</v>
      </c>
      <c r="AM935" t="str">
        <v/>
      </c>
      <c r="AO935" t="b">
        <f ca="1">AND(IF(Metadata!B935="",FALSE,TRUE),COUNTIF(Metadata!B:B, Metadata!B935) = 1,NOT(ISERROR(SUMPRODUCT(SEARCH(MID(Metadata!B935,ROW(INDIRECT("1:"&amp;LEN(Metadata!B935))), 1),"0123456789abcdefghijklmnopqrstuvwxyzABCDEFGHIJKLMNOPQRSTUVWXYZ.")))))</f>
        <v>0</v>
      </c>
      <c r="AP935" t="b">
        <f>IF(Metadata!C935="",FALSE,TRUE)</f>
        <v>0</v>
      </c>
      <c r="AQ935" t="b">
        <f>IF(Metadata!D935="",FALSE,TRUE)</f>
        <v>0</v>
      </c>
      <c r="AR935" t="b">
        <f ca="1">OR(AND(IF(Metadata!E935="",FALSE,TRUE),OR(EXACT(Metadata!E935,"not collected"),EXACT(Metadata!E935,"not provided"),EXACT(Metadata!E935,"restricted access"))),AND(IF(Metadata!E935="",FALSE,TRUE),AND(AND(IFERROR(INT(LEFT(Metadata!E935,4))&gt;1900,FALSE),IFERROR(INT(LEFT(Metadata!E935,4))&lt;=YEAR(NOW()),FALSE)), OR(MID(Metadata!E935,5,1)="", AND(AND(MID(Metadata!E935,5,1)="-",IFERROR(INT(MID(Metadata!E935,6,1))&gt;=0,FALSE),IFERROR(INT(MID(Metadata!E935,6,1))&lt;=1,FALSE),NOT(MID(Metadata!E935,7,1)=""),IFERROR(INT(MID(Metadata!E935,6,2))&gt;=1,FALSE),IFERROR(INT(MID(Metadata!E935,6,2))&lt;=12,FALSE)), OR(MID(Metadata!E935,8,1)="", AND(AND(MID(Metadata!E935,8,1)="-",IFERROR(INT(MID(Metadata!E935,9,1))&gt;=0,FALSE),IFERROR(INT(MID(Metadata!E935,9,1))&lt;=3,FALSE),NOT(MID(Metadata!E935,10,1)=""),IFERROR(INT(MID(Metadata!E935,9,2))&gt;=1,FALSE),IFERROR(INT(MID(Metadata!E935,9,2))&lt;=31,FALSE)), OR(MID(Metadata!E935,11,1)="", AND(AND(MID(Metadata!E935,11,1)=" ",IFERROR(INT(MID(Metadata!E935,12,1))&gt;=0,FALSE),IFERROR(INT(MID(Metadata!E935,12,1))&lt;=2,FALSE),NOT(MID(Metadata!E935,13,1)=""),IFERROR(INT(MID(Metadata!E935,12,2))&gt;=0,FALSE),IFERROR(INT(MID(Metadata!E935,12,2))&lt;=23,FALSE)), OR(MID(Metadata!E935,14,1)="", AND(AND(MID(Metadata!E935,14,1)=":",IFERROR(INT(MID(Metadata!E935,15,1))&gt;=0,FALSE),IFERROR(INT(MID(Metadata!E935,15,1))&lt;=5,FALSE),NOT(MID(Metadata!E935,16,1)=""),IFERROR(INT(MID(Metadata!E935,15,2))&gt;=0,FALSE),IFERROR(INT(MID(Metadata!E935,15,2))&lt;=59,FALSE)), OR(MID(Metadata!E935,17,1)="", AND(AND(MID(Metadata!E935,17,1)=":",IFERROR(INT(MID(Metadata!E935,18,1))&gt;=0,FALSE),IFERROR(INT(MID(Metadata!E935,18,1))&lt;=5,FALSE),NOT(MID(Metadata!E935,19,1)=""),IFERROR(INT(MID(Metadata!E935,18,2))&gt;=0,FALSE),IFERROR(INT(MID(Metadata!E935,18,2))&lt;=59,FALSE)), LEN(Metadata!E935)&lt;=19)))))))))))))</f>
        <v>0</v>
      </c>
      <c r="AS935" t="b">
        <f>IF(Metadata!F935="",FALSE,TRUE)</f>
        <v>0</v>
      </c>
      <c r="AT935" t="b">
        <f>OR(AND(IF(Metadata!G935="",FALSE,TRUE),OR(EXACT(Metadata!G935,"not collected"),EXACT(Metadata!G935,"not provided"))),AND(IF(Metadata!G935="",FALSE,TRUE),OR(EXACT(Metadata!G935,"TRUE"),EXACT(Metadata!G935,"FALSE"))))</f>
        <v>0</v>
      </c>
      <c r="AU935" t="b">
        <f>OR(AND(IF(Metadata!H935="",FALSE,TRUE),OR(EXACT(Metadata!H935,"not collected"),EXACT(Metadata!H935,"not provided"),EXACT(Metadata!H935,"restricted access"))),AND(IF(Metadata!H935="",FALSE,ISNUMBER(VALUE(Metadata!H935))),Metadata!H935&gt;=-413))</f>
        <v>0</v>
      </c>
      <c r="AV935" t="b">
        <f>AND(IF(Metadata!I935="",FALSE,TRUE),EXACT(Metadata!I935,"meters"))</f>
        <v>0</v>
      </c>
      <c r="AW935" t="b">
        <f>AND(IF(Metadata!J935="",FALSE,TRUE),EXACT(Metadata!J935,"free-living"))</f>
        <v>0</v>
      </c>
      <c r="AX935" t="b">
        <f>AND(IF(Metadata!K935="",FALSE,TRUE),OR(EXACT(Metadata!K935,"saline"),EXACT(Metadata!K935,"non-saline")))</f>
        <v>0</v>
      </c>
      <c r="AY935" t="b">
        <f>AND(IF(Metadata!L935="",FALSE,TRUE),OR(EXACT(Metadata!L935,"sub-surface (non-saline)"),EXACT(Metadata!L935,"surface (non-saline)"),EXACT(Metadata!L935,"water (non-saline)"),EXACT(Metadata!L935,"soil (non-saline)"),EXACT(Metadata!L935,"aerosol (non-saline)"),EXACT(Metadata!L935,"sediment (non-saline)"),EXACT(Metadata!L935,"surface (saline)"),EXACT(Metadata!L935,"water (saline)"),EXACT(Metadata!L935,"hypersaline (saline)"),EXACT(Metadata!L935,"aerosol (saline)"),EXACT(Metadata!L935,"sediment (saline)")))</f>
        <v>0</v>
      </c>
      <c r="AZ935" t="b">
        <f>IF(Metadata!M935="",FALSE,TRUE)</f>
        <v>0</v>
      </c>
      <c r="BA935" t="b">
        <f>IF(Metadata!N935="",FALSE,TRUE)</f>
        <v>0</v>
      </c>
      <c r="BB935" t="b">
        <f>IF(Metadata!O935="",FALSE,TRUE)</f>
        <v>0</v>
      </c>
      <c r="BC935" t="b">
        <f>AND(IF(Metadata!P935="",FALSE,TRUE),OR(EXACT(Metadata!P935,"air"),EXACT(Metadata!P935,"microbial mat/biofilm"),EXACT(Metadata!P935,"misc environment"),EXACT(Metadata!P935,"sediment"),EXACT(Metadata!P935,"soil"),EXACT(Metadata!P935,"wastewater/sludge"),EXACT(Metadata!P935,"water")))</f>
        <v>0</v>
      </c>
      <c r="BD935" t="b">
        <f>IF(Metadata!Q935="",FALSE,TRUE)</f>
        <v>0</v>
      </c>
      <c r="BE935" t="b">
        <f>IF(Metadata!R935="",FALSE,TRUE)</f>
        <v>0</v>
      </c>
      <c r="BF935" t="b">
        <f>OR(AND(IF(Metadata!S935="",FALSE,TRUE),OR(EXACT(Metadata!S935,"not collected"),EXACT(Metadata!S935,"not provided"),EXACT(Metadata!S935,"restricted access"))),AND(IF(Metadata!S935="",FALSE,ISNUMBER(VALUE(Metadata!S935))),Metadata!S935&gt;=-90,Metadata!S935&lt;=90))</f>
        <v>0</v>
      </c>
      <c r="BG935" t="b">
        <f>AND(IF(Metadata!T935="",FALSE,TRUE),EXACT(Metadata!T935,"Decimal degrees"))</f>
        <v>0</v>
      </c>
      <c r="BH935" t="b">
        <f>OR(AND(IF(Metadata!U935="",FALSE,TRUE),OR(EXACT(Metadata!U935,"not applicable"),EXACT(Metadata!U935,"not collected"))),IF(Metadata!U935="",FALSE,TRUE))</f>
        <v>0</v>
      </c>
      <c r="BI935" t="b">
        <f>OR(AND(IF(Metadata!V935="",FALSE,TRUE),OR(EXACT(Metadata!V935,"not collected"),EXACT(Metadata!V935,"not provided"),EXACT(Metadata!V935,"restricted access"))),AND(IF(Metadata!V935="",FALSE,ISNUMBER(VALUE(Metadata!V935))),Metadata!V935&gt;=-180,Metadata!V935&lt;=180))</f>
        <v>0</v>
      </c>
      <c r="BJ935" t="b">
        <f>AND(IF(Metadata!W935="",FALSE,TRUE),EXACT(Metadata!W935,"Decimal degrees"))</f>
        <v>0</v>
      </c>
      <c r="BK935" t="b">
        <f>IF(Metadata!X935="",FALSE,TRUE)</f>
        <v>0</v>
      </c>
      <c r="BL935" t="b">
        <f>OR(AND(IF(Metadata!Y935="",FALSE,TRUE),OR(EXACT(Metadata!Y935,"not collected"),EXACT(Metadata!Y935,"not provided"),EXACT(Metadata!Y935,"restricted access"))),AND(IF(Metadata!Y935="",FALSE,TRUE),OR(EXACT(Metadata!Y935,"TRUE"),EXACT(Metadata!Y935,"FALSE"))))</f>
        <v>0</v>
      </c>
      <c r="BM935" t="b">
        <f>OR(AND(IF(Metadata!Z935="",FALSE,TRUE),EXACT(Metadata!Z935,"not applicable")),AND(IF(Metadata!Z935="",FALSE,TRUE),OR(EXACT(Metadata!Z935,"beer"),EXACT(Metadata!Z935,"cheese"),EXACT(Metadata!Z935,"fresh water"),EXACT(Metadata!Z935,"marine sediment"),EXACT(Metadata!Z935,"sea water"),EXACT(Metadata!Z935,"sediment"),EXACT(Metadata!Z935,"soil"),EXACT(Metadata!Z935,"waste water"))))</f>
        <v>0</v>
      </c>
      <c r="BN935" t="b">
        <f>AND(IF(Metadata!AA935="",FALSE,TRUE),EXACT(Metadata!AA935,"metagenome"))</f>
        <v>0</v>
      </c>
      <c r="BO935" t="b">
        <f>AND(IF(Metadata!AB935="",FALSE,TRUE),EXACT(Metadata!AB935,"256318"))</f>
        <v>0</v>
      </c>
      <c r="BP935" t="b">
        <f>IF(Metadata!AC935="",FALSE,TRUE)</f>
        <v>0</v>
      </c>
      <c r="BQ935" t="b">
        <f>IF(Metadata!AD935="",FALSE,TRUE)</f>
        <v>0</v>
      </c>
    </row>
    <row r="936" spans="1:69" x14ac:dyDescent="0.2">
      <c r="A936" s="4" t="e">
        <f ca="1">IF(B936=" "," ",HYPERLINK(CONCATENATE("#metadata!",ADDRESS(INDEX($AJ$2:$AJ$1001,MATCH(ROWS($AH$2:AH936),$AH$2:$AH$1001,0),0),2)),INDEX($AM$2:$AM$1001,MATCH(ROWS($AH$2:AH936),$AH$2:$AH$1001,0),0)))</f>
        <v>#N/A</v>
      </c>
      <c r="B936" s="5" t="e">
        <f ca="1">IF(OR(INDEX($AI$2:$AI$1001,MATCH(ROWS($AH$2:AH936),$AH$2:$AH$1001,0),1)&gt;=100000,INDEX($AO$1005:$BQ$1005,1,MATCH(COLUMNS($AO$1006:AO1006),$AO$1006:$BQ$1006,0))&gt;=100000), " ",IF(INDEX($AO$2:$BQ$1001,MATCH(ROWS($AH$2:AH936),$AH$2:$AH$1001,0),MATCH(COLUMNS($AO$1006:AO1006),$AO$1006:$BQ$1006,0)), HYPERLINK("#",""), HYPERLINK(CONCATENATE("#Metadata!", ADDRESS(INDEX($AJ$2:$AJ$1001,MATCH(ROWS($AH$2:AH936),$AH$2:$AH$1001,0),0), INDEX($AO$1004:$BQ$1004,1,MATCH(COLUMNS($AO$1006:AO1006),$AO$1006:$BQ$1006,0)))),"Fix")))</f>
        <v>#N/A</v>
      </c>
      <c r="C936" s="5" t="e">
        <f ca="1">IF(OR(INDEX($AI$2:$AI$1001,MATCH(ROWS($AH$2:AH936),$AH$2:$AH$1001,0),1)&gt;=100000,INDEX($AO$1005:$BQ$1005,1,MATCH(COLUMNS($AO$1006:AP1006),$AO$1006:$BQ$1006,0))&gt;=100000), " ",IF(INDEX($AO$2:$BQ$1001,MATCH(ROWS($AH$2:AH936),$AH$2:$AH$1001,0),MATCH(COLUMNS($AO$1006:AP1006),$AO$1006:$BQ$1006,0)), HYPERLINK("#",""), HYPERLINK(CONCATENATE("#Metadata!", ADDRESS(INDEX($AJ$2:$AJ$1001,MATCH(ROWS($AH$2:AH936),$AH$2:$AH$1001,0),0), INDEX($AO$1004:$BQ$1004,1,MATCH(COLUMNS($AO$1006:AP1006),$AO$1006:$BQ$1006,0)))),"Fix")))</f>
        <v>#N/A</v>
      </c>
      <c r="D936" s="5" t="e">
        <f ca="1">IF(OR(INDEX($AI$2:$AI$1001,MATCH(ROWS($AH$2:AH936),$AH$2:$AH$1001,0),1)&gt;=100000,INDEX($AO$1005:$BQ$1005,1,MATCH(COLUMNS($AO$1006:AQ1006),$AO$1006:$BQ$1006,0))&gt;=100000), " ",IF(INDEX($AO$2:$BQ$1001,MATCH(ROWS($AH$2:AH936),$AH$2:$AH$1001,0),MATCH(COLUMNS($AO$1006:AQ1006),$AO$1006:$BQ$1006,0)), HYPERLINK("#",""), HYPERLINK(CONCATENATE("#Metadata!", ADDRESS(INDEX($AJ$2:$AJ$1001,MATCH(ROWS($AH$2:AH936),$AH$2:$AH$1001,0),0), INDEX($AO$1004:$BQ$1004,1,MATCH(COLUMNS($AO$1006:AQ1006),$AO$1006:$BQ$1006,0)))),"Fix")))</f>
        <v>#N/A</v>
      </c>
      <c r="E936" s="5" t="e">
        <f ca="1">IF(OR(INDEX($AI$2:$AI$1001,MATCH(ROWS($AH$2:AH936),$AH$2:$AH$1001,0),1)&gt;=100000,INDEX($AO$1005:$BQ$1005,1,MATCH(COLUMNS($AO$1006:AR1006),$AO$1006:$BQ$1006,0))&gt;=100000), " ",IF(INDEX($AO$2:$BQ$1001,MATCH(ROWS($AH$2:AH936),$AH$2:$AH$1001,0),MATCH(COLUMNS($AO$1006:AR1006),$AO$1006:$BQ$1006,0)), HYPERLINK("#",""), HYPERLINK(CONCATENATE("#Metadata!", ADDRESS(INDEX($AJ$2:$AJ$1001,MATCH(ROWS($AH$2:AH936),$AH$2:$AH$1001,0),0), INDEX($AO$1004:$BQ$1004,1,MATCH(COLUMNS($AO$1006:AR1006),$AO$1006:$BQ$1006,0)))),"Fix")))</f>
        <v>#N/A</v>
      </c>
      <c r="F936" s="5" t="e">
        <f ca="1">IF(OR(INDEX($AI$2:$AI$1001,MATCH(ROWS($AH$2:AH936),$AH$2:$AH$1001,0),1)&gt;=100000,INDEX($AO$1005:$BQ$1005,1,MATCH(COLUMNS($AO$1006:AS1006),$AO$1006:$BQ$1006,0))&gt;=100000), " ",IF(INDEX($AO$2:$BQ$1001,MATCH(ROWS($AH$2:AH936),$AH$2:$AH$1001,0),MATCH(COLUMNS($AO$1006:AS1006),$AO$1006:$BQ$1006,0)), HYPERLINK("#",""), HYPERLINK(CONCATENATE("#Metadata!", ADDRESS(INDEX($AJ$2:$AJ$1001,MATCH(ROWS($AH$2:AH936),$AH$2:$AH$1001,0),0), INDEX($AO$1004:$BQ$1004,1,MATCH(COLUMNS($AO$1006:AS1006),$AO$1006:$BQ$1006,0)))),"Fix")))</f>
        <v>#N/A</v>
      </c>
      <c r="G936" s="5" t="e">
        <f ca="1">IF(OR(INDEX($AI$2:$AI$1001,MATCH(ROWS($AH$2:AH936),$AH$2:$AH$1001,0),1)&gt;=100000,INDEX($AO$1005:$BQ$1005,1,MATCH(COLUMNS($AO$1006:AT1006),$AO$1006:$BQ$1006,0))&gt;=100000), " ",IF(INDEX($AO$2:$BQ$1001,MATCH(ROWS($AH$2:AH936),$AH$2:$AH$1001,0),MATCH(COLUMNS($AO$1006:AT1006),$AO$1006:$BQ$1006,0)), HYPERLINK("#",""), HYPERLINK(CONCATENATE("#Metadata!", ADDRESS(INDEX($AJ$2:$AJ$1001,MATCH(ROWS($AH$2:AH936),$AH$2:$AH$1001,0),0), INDEX($AO$1004:$BQ$1004,1,MATCH(COLUMNS($AO$1006:AT1006),$AO$1006:$BQ$1006,0)))),"Fix")))</f>
        <v>#N/A</v>
      </c>
      <c r="H936" s="5" t="e">
        <f ca="1">IF(OR(INDEX($AI$2:$AI$1001,MATCH(ROWS($AH$2:AH936),$AH$2:$AH$1001,0),1)&gt;=100000,INDEX($AO$1005:$BQ$1005,1,MATCH(COLUMNS($AO$1006:AU1006),$AO$1006:$BQ$1006,0))&gt;=100000), " ",IF(INDEX($AO$2:$BQ$1001,MATCH(ROWS($AH$2:AH936),$AH$2:$AH$1001,0),MATCH(COLUMNS($AO$1006:AU1006),$AO$1006:$BQ$1006,0)), HYPERLINK("#",""), HYPERLINK(CONCATENATE("#Metadata!", ADDRESS(INDEX($AJ$2:$AJ$1001,MATCH(ROWS($AH$2:AH936),$AH$2:$AH$1001,0),0), INDEX($AO$1004:$BQ$1004,1,MATCH(COLUMNS($AO$1006:AU1006),$AO$1006:$BQ$1006,0)))),"Fix")))</f>
        <v>#N/A</v>
      </c>
      <c r="I936" s="5" t="e">
        <f ca="1">IF(OR(INDEX($AI$2:$AI$1001,MATCH(ROWS($AH$2:AH936),$AH$2:$AH$1001,0),1)&gt;=100000,INDEX($AO$1005:$BQ$1005,1,MATCH(COLUMNS($AO$1006:AV1006),$AO$1006:$BQ$1006,0))&gt;=100000), " ",IF(INDEX($AO$2:$BQ$1001,MATCH(ROWS($AH$2:AH936),$AH$2:$AH$1001,0),MATCH(COLUMNS($AO$1006:AV1006),$AO$1006:$BQ$1006,0)), HYPERLINK("#",""), HYPERLINK(CONCATENATE("#Metadata!", ADDRESS(INDEX($AJ$2:$AJ$1001,MATCH(ROWS($AH$2:AH936),$AH$2:$AH$1001,0),0), INDEX($AO$1004:$BQ$1004,1,MATCH(COLUMNS($AO$1006:AV1006),$AO$1006:$BQ$1006,0)))),"Fix")))</f>
        <v>#N/A</v>
      </c>
      <c r="J936" s="5" t="e">
        <f ca="1">IF(OR(INDEX($AI$2:$AI$1001,MATCH(ROWS($AH$2:AH936),$AH$2:$AH$1001,0),1)&gt;=100000,INDEX($AO$1005:$BQ$1005,1,MATCH(COLUMNS($AO$1006:AW1006),$AO$1006:$BQ$1006,0))&gt;=100000), " ",IF(INDEX($AO$2:$BQ$1001,MATCH(ROWS($AH$2:AH936),$AH$2:$AH$1001,0),MATCH(COLUMNS($AO$1006:AW1006),$AO$1006:$BQ$1006,0)), HYPERLINK("#",""), HYPERLINK(CONCATENATE("#Metadata!", ADDRESS(INDEX($AJ$2:$AJ$1001,MATCH(ROWS($AH$2:AH936),$AH$2:$AH$1001,0),0), INDEX($AO$1004:$BQ$1004,1,MATCH(COLUMNS($AO$1006:AW1006),$AO$1006:$BQ$1006,0)))),"Fix")))</f>
        <v>#N/A</v>
      </c>
      <c r="K936" s="5" t="e">
        <f ca="1">IF(OR(INDEX($AI$2:$AI$1001,MATCH(ROWS($AH$2:AH936),$AH$2:$AH$1001,0),1)&gt;=100000,INDEX($AO$1005:$BQ$1005,1,MATCH(COLUMNS($AO$1006:AX1006),$AO$1006:$BQ$1006,0))&gt;=100000), " ",IF(INDEX($AO$2:$BQ$1001,MATCH(ROWS($AH$2:AH936),$AH$2:$AH$1001,0),MATCH(COLUMNS($AO$1006:AX1006),$AO$1006:$BQ$1006,0)), HYPERLINK("#",""), HYPERLINK(CONCATENATE("#Metadata!", ADDRESS(INDEX($AJ$2:$AJ$1001,MATCH(ROWS($AH$2:AH936),$AH$2:$AH$1001,0),0), INDEX($AO$1004:$BQ$1004,1,MATCH(COLUMNS($AO$1006:AX1006),$AO$1006:$BQ$1006,0)))),"Fix")))</f>
        <v>#N/A</v>
      </c>
      <c r="L936" s="5" t="e">
        <f ca="1">IF(OR(INDEX($AI$2:$AI$1001,MATCH(ROWS($AH$2:AH936),$AH$2:$AH$1001,0),1)&gt;=100000,INDEX($AO$1005:$BQ$1005,1,MATCH(COLUMNS($AO$1006:AY1006),$AO$1006:$BQ$1006,0))&gt;=100000), " ",IF(INDEX($AO$2:$BQ$1001,MATCH(ROWS($AH$2:AH936),$AH$2:$AH$1001,0),MATCH(COLUMNS($AO$1006:AY1006),$AO$1006:$BQ$1006,0)), HYPERLINK("#",""), HYPERLINK(CONCATENATE("#Metadata!", ADDRESS(INDEX($AJ$2:$AJ$1001,MATCH(ROWS($AH$2:AH936),$AH$2:$AH$1001,0),0), INDEX($AO$1004:$BQ$1004,1,MATCH(COLUMNS($AO$1006:AY1006),$AO$1006:$BQ$1006,0)))),"Fix")))</f>
        <v>#N/A</v>
      </c>
      <c r="M936" s="5" t="e">
        <f ca="1">IF(OR(INDEX($AI$2:$AI$1001,MATCH(ROWS($AH$2:AH936),$AH$2:$AH$1001,0),1)&gt;=100000,INDEX($AO$1005:$BQ$1005,1,MATCH(COLUMNS($AO$1006:AZ1006),$AO$1006:$BQ$1006,0))&gt;=100000), " ",IF(INDEX($AO$2:$BQ$1001,MATCH(ROWS($AH$2:AH936),$AH$2:$AH$1001,0),MATCH(COLUMNS($AO$1006:AZ1006),$AO$1006:$BQ$1006,0)), HYPERLINK("#",""), HYPERLINK(CONCATENATE("#Metadata!", ADDRESS(INDEX($AJ$2:$AJ$1001,MATCH(ROWS($AH$2:AH936),$AH$2:$AH$1001,0),0), INDEX($AO$1004:$BQ$1004,1,MATCH(COLUMNS($AO$1006:AZ1006),$AO$1006:$BQ$1006,0)))),"Fix")))</f>
        <v>#N/A</v>
      </c>
      <c r="N936" s="5" t="e">
        <f ca="1">IF(OR(INDEX($AI$2:$AI$1001,MATCH(ROWS($AH$2:AH936),$AH$2:$AH$1001,0),1)&gt;=100000,INDEX($AO$1005:$BQ$1005,1,MATCH(COLUMNS($AO$1006:BA1006),$AO$1006:$BQ$1006,0))&gt;=100000), " ",IF(INDEX($AO$2:$BQ$1001,MATCH(ROWS($AH$2:AH936),$AH$2:$AH$1001,0),MATCH(COLUMNS($AO$1006:BA1006),$AO$1006:$BQ$1006,0)), HYPERLINK("#",""), HYPERLINK(CONCATENATE("#Metadata!", ADDRESS(INDEX($AJ$2:$AJ$1001,MATCH(ROWS($AH$2:AH936),$AH$2:$AH$1001,0),0), INDEX($AO$1004:$BQ$1004,1,MATCH(COLUMNS($AO$1006:BA1006),$AO$1006:$BQ$1006,0)))),"Fix")))</f>
        <v>#N/A</v>
      </c>
      <c r="O936" s="5" t="e">
        <f ca="1">IF(OR(INDEX($AI$2:$AI$1001,MATCH(ROWS($AH$2:AH936),$AH$2:$AH$1001,0),1)&gt;=100000,INDEX($AO$1005:$BQ$1005,1,MATCH(COLUMNS($AO$1006:BB1006),$AO$1006:$BQ$1006,0))&gt;=100000), " ",IF(INDEX($AO$2:$BQ$1001,MATCH(ROWS($AH$2:AH936),$AH$2:$AH$1001,0),MATCH(COLUMNS($AO$1006:BB1006),$AO$1006:$BQ$1006,0)), HYPERLINK("#",""), HYPERLINK(CONCATENATE("#Metadata!", ADDRESS(INDEX($AJ$2:$AJ$1001,MATCH(ROWS($AH$2:AH936),$AH$2:$AH$1001,0),0), INDEX($AO$1004:$BQ$1004,1,MATCH(COLUMNS($AO$1006:BB1006),$AO$1006:$BQ$1006,0)))),"Fix")))</f>
        <v>#N/A</v>
      </c>
      <c r="P936" s="5" t="e">
        <f ca="1">IF(OR(INDEX($AI$2:$AI$1001,MATCH(ROWS($AH$2:AH936),$AH$2:$AH$1001,0),1)&gt;=100000,INDEX($AO$1005:$BQ$1005,1,MATCH(COLUMNS($AO$1006:BC1006),$AO$1006:$BQ$1006,0))&gt;=100000), " ",IF(INDEX($AO$2:$BQ$1001,MATCH(ROWS($AH$2:AH936),$AH$2:$AH$1001,0),MATCH(COLUMNS($AO$1006:BC1006),$AO$1006:$BQ$1006,0)), HYPERLINK("#",""), HYPERLINK(CONCATENATE("#Metadata!", ADDRESS(INDEX($AJ$2:$AJ$1001,MATCH(ROWS($AH$2:AH936),$AH$2:$AH$1001,0),0), INDEX($AO$1004:$BQ$1004,1,MATCH(COLUMNS($AO$1006:BC1006),$AO$1006:$BQ$1006,0)))),"Fix")))</f>
        <v>#N/A</v>
      </c>
      <c r="Q936" s="5" t="e">
        <f ca="1">IF(OR(INDEX($AI$2:$AI$1001,MATCH(ROWS($AH$2:AH936),$AH$2:$AH$1001,0),1)&gt;=100000,INDEX($AO$1005:$BQ$1005,1,MATCH(COLUMNS($AO$1006:BD1006),$AO$1006:$BQ$1006,0))&gt;=100000), " ",IF(INDEX($AO$2:$BQ$1001,MATCH(ROWS($AH$2:AH936),$AH$2:$AH$1001,0),MATCH(COLUMNS($AO$1006:BD1006),$AO$1006:$BQ$1006,0)), HYPERLINK("#",""), HYPERLINK(CONCATENATE("#Metadata!", ADDRESS(INDEX($AJ$2:$AJ$1001,MATCH(ROWS($AH$2:AH936),$AH$2:$AH$1001,0),0), INDEX($AO$1004:$BQ$1004,1,MATCH(COLUMNS($AO$1006:BD1006),$AO$1006:$BQ$1006,0)))),"Fix")))</f>
        <v>#N/A</v>
      </c>
      <c r="R936" s="5" t="e">
        <f ca="1">IF(OR(INDEX($AI$2:$AI$1001,MATCH(ROWS($AH$2:AH936),$AH$2:$AH$1001,0),1)&gt;=100000,INDEX($AO$1005:$BQ$1005,1,MATCH(COLUMNS($AO$1006:BE1006),$AO$1006:$BQ$1006,0))&gt;=100000), " ",IF(INDEX($AO$2:$BQ$1001,MATCH(ROWS($AH$2:AH936),$AH$2:$AH$1001,0),MATCH(COLUMNS($AO$1006:BE1006),$AO$1006:$BQ$1006,0)), HYPERLINK("#",""), HYPERLINK(CONCATENATE("#Metadata!", ADDRESS(INDEX($AJ$2:$AJ$1001,MATCH(ROWS($AH$2:AH936),$AH$2:$AH$1001,0),0), INDEX($AO$1004:$BQ$1004,1,MATCH(COLUMNS($AO$1006:BE1006),$AO$1006:$BQ$1006,0)))),"Fix")))</f>
        <v>#N/A</v>
      </c>
      <c r="S936" s="5" t="e">
        <f ca="1">IF(OR(INDEX($AI$2:$AI$1001,MATCH(ROWS($AH$2:AH936),$AH$2:$AH$1001,0),1)&gt;=100000,INDEX($AO$1005:$BQ$1005,1,MATCH(COLUMNS($AO$1006:BF1006),$AO$1006:$BQ$1006,0))&gt;=100000), " ",IF(INDEX($AO$2:$BQ$1001,MATCH(ROWS($AH$2:AH936),$AH$2:$AH$1001,0),MATCH(COLUMNS($AO$1006:BF1006),$AO$1006:$BQ$1006,0)), HYPERLINK("#",""), HYPERLINK(CONCATENATE("#Metadata!", ADDRESS(INDEX($AJ$2:$AJ$1001,MATCH(ROWS($AH$2:AH936),$AH$2:$AH$1001,0),0), INDEX($AO$1004:$BQ$1004,1,MATCH(COLUMNS($AO$1006:BF1006),$AO$1006:$BQ$1006,0)))),"Fix")))</f>
        <v>#N/A</v>
      </c>
      <c r="T936" s="5" t="e">
        <f ca="1">IF(OR(INDEX($AI$2:$AI$1001,MATCH(ROWS($AH$2:AH936),$AH$2:$AH$1001,0),1)&gt;=100000,INDEX($AO$1005:$BQ$1005,1,MATCH(COLUMNS($AO$1006:BG1006),$AO$1006:$BQ$1006,0))&gt;=100000), " ",IF(INDEX($AO$2:$BQ$1001,MATCH(ROWS($AH$2:AH936),$AH$2:$AH$1001,0),MATCH(COLUMNS($AO$1006:BG1006),$AO$1006:$BQ$1006,0)), HYPERLINK("#",""), HYPERLINK(CONCATENATE("#Metadata!", ADDRESS(INDEX($AJ$2:$AJ$1001,MATCH(ROWS($AH$2:AH936),$AH$2:$AH$1001,0),0), INDEX($AO$1004:$BQ$1004,1,MATCH(COLUMNS($AO$1006:BG1006),$AO$1006:$BQ$1006,0)))),"Fix")))</f>
        <v>#N/A</v>
      </c>
      <c r="U936" s="5" t="e">
        <f ca="1">IF(OR(INDEX($AI$2:$AI$1001,MATCH(ROWS($AH$2:AH936),$AH$2:$AH$1001,0),1)&gt;=100000,INDEX($AO$1005:$BQ$1005,1,MATCH(COLUMNS($AO$1006:BH1006),$AO$1006:$BQ$1006,0))&gt;=100000), " ",IF(INDEX($AO$2:$BQ$1001,MATCH(ROWS($AH$2:AH936),$AH$2:$AH$1001,0),MATCH(COLUMNS($AO$1006:BH1006),$AO$1006:$BQ$1006,0)), HYPERLINK("#",""), HYPERLINK(CONCATENATE("#Metadata!", ADDRESS(INDEX($AJ$2:$AJ$1001,MATCH(ROWS($AH$2:AH936),$AH$2:$AH$1001,0),0), INDEX($AO$1004:$BQ$1004,1,MATCH(COLUMNS($AO$1006:BH1006),$AO$1006:$BQ$1006,0)))),"Fix")))</f>
        <v>#N/A</v>
      </c>
      <c r="V936" s="5" t="e">
        <f ca="1">IF(OR(INDEX($AI$2:$AI$1001,MATCH(ROWS($AH$2:AH936),$AH$2:$AH$1001,0),1)&gt;=100000,INDEX($AO$1005:$BQ$1005,1,MATCH(COLUMNS($AO$1006:BI1006),$AO$1006:$BQ$1006,0))&gt;=100000), " ",IF(INDEX($AO$2:$BQ$1001,MATCH(ROWS($AH$2:AH936),$AH$2:$AH$1001,0),MATCH(COLUMNS($AO$1006:BI1006),$AO$1006:$BQ$1006,0)), HYPERLINK("#",""), HYPERLINK(CONCATENATE("#Metadata!", ADDRESS(INDEX($AJ$2:$AJ$1001,MATCH(ROWS($AH$2:AH936),$AH$2:$AH$1001,0),0), INDEX($AO$1004:$BQ$1004,1,MATCH(COLUMNS($AO$1006:BI1006),$AO$1006:$BQ$1006,0)))),"Fix")))</f>
        <v>#N/A</v>
      </c>
      <c r="W936" s="5" t="e">
        <f ca="1">IF(OR(INDEX($AI$2:$AI$1001,MATCH(ROWS($AH$2:AH936),$AH$2:$AH$1001,0),1)&gt;=100000,INDEX($AO$1005:$BQ$1005,1,MATCH(COLUMNS($AO$1006:BJ1006),$AO$1006:$BQ$1006,0))&gt;=100000), " ",IF(INDEX($AO$2:$BQ$1001,MATCH(ROWS($AH$2:AH936),$AH$2:$AH$1001,0),MATCH(COLUMNS($AO$1006:BJ1006),$AO$1006:$BQ$1006,0)), HYPERLINK("#",""), HYPERLINK(CONCATENATE("#Metadata!", ADDRESS(INDEX($AJ$2:$AJ$1001,MATCH(ROWS($AH$2:AH936),$AH$2:$AH$1001,0),0), INDEX($AO$1004:$BQ$1004,1,MATCH(COLUMNS($AO$1006:BJ1006),$AO$1006:$BQ$1006,0)))),"Fix")))</f>
        <v>#N/A</v>
      </c>
      <c r="X936" s="5" t="e">
        <f ca="1">IF(OR(INDEX($AI$2:$AI$1001,MATCH(ROWS($AH$2:AH936),$AH$2:$AH$1001,0),1)&gt;=100000,INDEX($AO$1005:$BQ$1005,1,MATCH(COLUMNS($AO$1006:BK1006),$AO$1006:$BQ$1006,0))&gt;=100000), " ",IF(INDEX($AO$2:$BQ$1001,MATCH(ROWS($AH$2:AH936),$AH$2:$AH$1001,0),MATCH(COLUMNS($AO$1006:BK1006),$AO$1006:$BQ$1006,0)), HYPERLINK("#",""), HYPERLINK(CONCATENATE("#Metadata!", ADDRESS(INDEX($AJ$2:$AJ$1001,MATCH(ROWS($AH$2:AH936),$AH$2:$AH$1001,0),0), INDEX($AO$1004:$BQ$1004,1,MATCH(COLUMNS($AO$1006:BK1006),$AO$1006:$BQ$1006,0)))),"Fix")))</f>
        <v>#N/A</v>
      </c>
      <c r="Y936" s="5" t="e">
        <f ca="1">IF(OR(INDEX($AI$2:$AI$1001,MATCH(ROWS($AH$2:AH936),$AH$2:$AH$1001,0),1)&gt;=100000,INDEX($AO$1005:$BQ$1005,1,MATCH(COLUMNS($AO$1006:BL1006),$AO$1006:$BQ$1006,0))&gt;=100000), " ",IF(INDEX($AO$2:$BQ$1001,MATCH(ROWS($AH$2:AH936),$AH$2:$AH$1001,0),MATCH(COLUMNS($AO$1006:BL1006),$AO$1006:$BQ$1006,0)), HYPERLINK("#",""), HYPERLINK(CONCATENATE("#Metadata!", ADDRESS(INDEX($AJ$2:$AJ$1001,MATCH(ROWS($AH$2:AH936),$AH$2:$AH$1001,0),0), INDEX($AO$1004:$BQ$1004,1,MATCH(COLUMNS($AO$1006:BL1006),$AO$1006:$BQ$1006,0)))),"Fix")))</f>
        <v>#N/A</v>
      </c>
      <c r="Z936" s="5" t="e">
        <f ca="1">IF(OR(INDEX($AI$2:$AI$1001,MATCH(ROWS($AH$2:AH936),$AH$2:$AH$1001,0),1)&gt;=100000,INDEX($AO$1005:$BQ$1005,1,MATCH(COLUMNS($AO$1006:BM1006),$AO$1006:$BQ$1006,0))&gt;=100000), " ",IF(INDEX($AO$2:$BQ$1001,MATCH(ROWS($AH$2:AH936),$AH$2:$AH$1001,0),MATCH(COLUMNS($AO$1006:BM1006),$AO$1006:$BQ$1006,0)), HYPERLINK("#",""), HYPERLINK(CONCATENATE("#Metadata!", ADDRESS(INDEX($AJ$2:$AJ$1001,MATCH(ROWS($AH$2:AH936),$AH$2:$AH$1001,0),0), INDEX($AO$1004:$BQ$1004,1,MATCH(COLUMNS($AO$1006:BM1006),$AO$1006:$BQ$1006,0)))),"Fix")))</f>
        <v>#N/A</v>
      </c>
      <c r="AA936" s="5" t="e">
        <f ca="1">IF(OR(INDEX($AI$2:$AI$1001,MATCH(ROWS($AH$2:AH936),$AH$2:$AH$1001,0),1)&gt;=100000,INDEX($AO$1005:$BQ$1005,1,MATCH(COLUMNS($AO$1006:BN1006),$AO$1006:$BQ$1006,0))&gt;=100000), " ",IF(INDEX($AO$2:$BQ$1001,MATCH(ROWS($AH$2:AH936),$AH$2:$AH$1001,0),MATCH(COLUMNS($AO$1006:BN1006),$AO$1006:$BQ$1006,0)), HYPERLINK("#",""), HYPERLINK(CONCATENATE("#Metadata!", ADDRESS(INDEX($AJ$2:$AJ$1001,MATCH(ROWS($AH$2:AH936),$AH$2:$AH$1001,0),0), INDEX($AO$1004:$BQ$1004,1,MATCH(COLUMNS($AO$1006:BN1006),$AO$1006:$BQ$1006,0)))),"Fix")))</f>
        <v>#N/A</v>
      </c>
      <c r="AB936" s="5" t="e">
        <f ca="1">IF(OR(INDEX($AI$2:$AI$1001,MATCH(ROWS($AH$2:AH936),$AH$2:$AH$1001,0),1)&gt;=100000,INDEX($AO$1005:$BQ$1005,1,MATCH(COLUMNS($AO$1006:BO1006),$AO$1006:$BQ$1006,0))&gt;=100000), " ",IF(INDEX($AO$2:$BQ$1001,MATCH(ROWS($AH$2:AH936),$AH$2:$AH$1001,0),MATCH(COLUMNS($AO$1006:BO1006),$AO$1006:$BQ$1006,0)), HYPERLINK("#",""), HYPERLINK(CONCATENATE("#Metadata!", ADDRESS(INDEX($AJ$2:$AJ$1001,MATCH(ROWS($AH$2:AH936),$AH$2:$AH$1001,0),0), INDEX($AO$1004:$BQ$1004,1,MATCH(COLUMNS($AO$1006:BO1006),$AO$1006:$BQ$1006,0)))),"Fix")))</f>
        <v>#N/A</v>
      </c>
      <c r="AC936" s="5" t="e">
        <f ca="1">IF(OR(INDEX($AI$2:$AI$1001,MATCH(ROWS($AH$2:AH936),$AH$2:$AH$1001,0),1)&gt;=100000,INDEX($AO$1005:$BQ$1005,1,MATCH(COLUMNS($AO$1006:BP1006),$AO$1006:$BQ$1006,0))&gt;=100000), " ",IF(INDEX($AO$2:$BQ$1001,MATCH(ROWS($AH$2:AH936),$AH$2:$AH$1001,0),MATCH(COLUMNS($AO$1006:BP1006),$AO$1006:$BQ$1006,0)), HYPERLINK("#",""), HYPERLINK(CONCATENATE("#Metadata!", ADDRESS(INDEX($AJ$2:$AJ$1001,MATCH(ROWS($AH$2:AH936),$AH$2:$AH$1001,0),0), INDEX($AO$1004:$BQ$1004,1,MATCH(COLUMNS($AO$1006:BP1006),$AO$1006:$BQ$1006,0)))),"Fix")))</f>
        <v>#N/A</v>
      </c>
      <c r="AD936" s="5" t="e">
        <f ca="1">IF(OR(INDEX($AI$2:$AI$1001,MATCH(ROWS($AH$2:AH936),$AH$2:$AH$1001,0),1)&gt;=100000,INDEX($AO$1005:$BQ$1005,1,MATCH(COLUMNS($AO$1006:BQ1006),$AO$1006:$BQ$1006,0))&gt;=100000), " ",IF(INDEX($AO$2:$BQ$1001,MATCH(ROWS($AH$2:AH936),$AH$2:$AH$1001,0),MATCH(COLUMNS($AO$1006:BQ1006),$AO$1006:$BQ$1006,0)), HYPERLINK("#",""), HYPERLINK(CONCATENATE("#Metadata!", ADDRESS(INDEX($AJ$2:$AJ$1001,MATCH(ROWS($AH$2:AH936),$AH$2:$AH$1001,0),0), INDEX($AO$1004:$BQ$1004,1,MATCH(COLUMNS($AO$1006:BQ1006),$AO$1006:$BQ$1006,0)))),"Fix")))</f>
        <v>#REF!</v>
      </c>
      <c r="AH936">
        <f ca="1"/>
        <v>933</v>
      </c>
      <c r="AI936">
        <v>100936</v>
      </c>
      <c r="AJ936">
        <v>936</v>
      </c>
      <c r="AK936" t="b">
        <f t="shared" si="14"/>
        <v>1</v>
      </c>
      <c r="AL936" t="b">
        <f>COUNTBLANK(Metadata!B936:AD936)=COLUMNS(Metadata!B936:AD936)</f>
        <v>1</v>
      </c>
      <c r="AM936" t="str">
        <v/>
      </c>
      <c r="AO936" t="b">
        <f ca="1">AND(IF(Metadata!B936="",FALSE,TRUE),COUNTIF(Metadata!B:B, Metadata!B936) = 1,NOT(ISERROR(SUMPRODUCT(SEARCH(MID(Metadata!B936,ROW(INDIRECT("1:"&amp;LEN(Metadata!B936))), 1),"0123456789abcdefghijklmnopqrstuvwxyzABCDEFGHIJKLMNOPQRSTUVWXYZ.")))))</f>
        <v>0</v>
      </c>
      <c r="AP936" t="b">
        <f>IF(Metadata!C936="",FALSE,TRUE)</f>
        <v>0</v>
      </c>
      <c r="AQ936" t="b">
        <f>IF(Metadata!D936="",FALSE,TRUE)</f>
        <v>0</v>
      </c>
      <c r="AR936" t="b">
        <f ca="1">OR(AND(IF(Metadata!E936="",FALSE,TRUE),OR(EXACT(Metadata!E936,"not collected"),EXACT(Metadata!E936,"not provided"),EXACT(Metadata!E936,"restricted access"))),AND(IF(Metadata!E936="",FALSE,TRUE),AND(AND(IFERROR(INT(LEFT(Metadata!E936,4))&gt;1900,FALSE),IFERROR(INT(LEFT(Metadata!E936,4))&lt;=YEAR(NOW()),FALSE)), OR(MID(Metadata!E936,5,1)="", AND(AND(MID(Metadata!E936,5,1)="-",IFERROR(INT(MID(Metadata!E936,6,1))&gt;=0,FALSE),IFERROR(INT(MID(Metadata!E936,6,1))&lt;=1,FALSE),NOT(MID(Metadata!E936,7,1)=""),IFERROR(INT(MID(Metadata!E936,6,2))&gt;=1,FALSE),IFERROR(INT(MID(Metadata!E936,6,2))&lt;=12,FALSE)), OR(MID(Metadata!E936,8,1)="", AND(AND(MID(Metadata!E936,8,1)="-",IFERROR(INT(MID(Metadata!E936,9,1))&gt;=0,FALSE),IFERROR(INT(MID(Metadata!E936,9,1))&lt;=3,FALSE),NOT(MID(Metadata!E936,10,1)=""),IFERROR(INT(MID(Metadata!E936,9,2))&gt;=1,FALSE),IFERROR(INT(MID(Metadata!E936,9,2))&lt;=31,FALSE)), OR(MID(Metadata!E936,11,1)="", AND(AND(MID(Metadata!E936,11,1)=" ",IFERROR(INT(MID(Metadata!E936,12,1))&gt;=0,FALSE),IFERROR(INT(MID(Metadata!E936,12,1))&lt;=2,FALSE),NOT(MID(Metadata!E936,13,1)=""),IFERROR(INT(MID(Metadata!E936,12,2))&gt;=0,FALSE),IFERROR(INT(MID(Metadata!E936,12,2))&lt;=23,FALSE)), OR(MID(Metadata!E936,14,1)="", AND(AND(MID(Metadata!E936,14,1)=":",IFERROR(INT(MID(Metadata!E936,15,1))&gt;=0,FALSE),IFERROR(INT(MID(Metadata!E936,15,1))&lt;=5,FALSE),NOT(MID(Metadata!E936,16,1)=""),IFERROR(INT(MID(Metadata!E936,15,2))&gt;=0,FALSE),IFERROR(INT(MID(Metadata!E936,15,2))&lt;=59,FALSE)), OR(MID(Metadata!E936,17,1)="", AND(AND(MID(Metadata!E936,17,1)=":",IFERROR(INT(MID(Metadata!E936,18,1))&gt;=0,FALSE),IFERROR(INT(MID(Metadata!E936,18,1))&lt;=5,FALSE),NOT(MID(Metadata!E936,19,1)=""),IFERROR(INT(MID(Metadata!E936,18,2))&gt;=0,FALSE),IFERROR(INT(MID(Metadata!E936,18,2))&lt;=59,FALSE)), LEN(Metadata!E936)&lt;=19)))))))))))))</f>
        <v>0</v>
      </c>
      <c r="AS936" t="b">
        <f>IF(Metadata!F936="",FALSE,TRUE)</f>
        <v>0</v>
      </c>
      <c r="AT936" t="b">
        <f>OR(AND(IF(Metadata!G936="",FALSE,TRUE),OR(EXACT(Metadata!G936,"not collected"),EXACT(Metadata!G936,"not provided"))),AND(IF(Metadata!G936="",FALSE,TRUE),OR(EXACT(Metadata!G936,"TRUE"),EXACT(Metadata!G936,"FALSE"))))</f>
        <v>0</v>
      </c>
      <c r="AU936" t="b">
        <f>OR(AND(IF(Metadata!H936="",FALSE,TRUE),OR(EXACT(Metadata!H936,"not collected"),EXACT(Metadata!H936,"not provided"),EXACT(Metadata!H936,"restricted access"))),AND(IF(Metadata!H936="",FALSE,ISNUMBER(VALUE(Metadata!H936))),Metadata!H936&gt;=-413))</f>
        <v>0</v>
      </c>
      <c r="AV936" t="b">
        <f>AND(IF(Metadata!I936="",FALSE,TRUE),EXACT(Metadata!I936,"meters"))</f>
        <v>0</v>
      </c>
      <c r="AW936" t="b">
        <f>AND(IF(Metadata!J936="",FALSE,TRUE),EXACT(Metadata!J936,"free-living"))</f>
        <v>0</v>
      </c>
      <c r="AX936" t="b">
        <f>AND(IF(Metadata!K936="",FALSE,TRUE),OR(EXACT(Metadata!K936,"saline"),EXACT(Metadata!K936,"non-saline")))</f>
        <v>0</v>
      </c>
      <c r="AY936" t="b">
        <f>AND(IF(Metadata!L936="",FALSE,TRUE),OR(EXACT(Metadata!L936,"sub-surface (non-saline)"),EXACT(Metadata!L936,"surface (non-saline)"),EXACT(Metadata!L936,"water (non-saline)"),EXACT(Metadata!L936,"soil (non-saline)"),EXACT(Metadata!L936,"aerosol (non-saline)"),EXACT(Metadata!L936,"sediment (non-saline)"),EXACT(Metadata!L936,"surface (saline)"),EXACT(Metadata!L936,"water (saline)"),EXACT(Metadata!L936,"hypersaline (saline)"),EXACT(Metadata!L936,"aerosol (saline)"),EXACT(Metadata!L936,"sediment (saline)")))</f>
        <v>0</v>
      </c>
      <c r="AZ936" t="b">
        <f>IF(Metadata!M936="",FALSE,TRUE)</f>
        <v>0</v>
      </c>
      <c r="BA936" t="b">
        <f>IF(Metadata!N936="",FALSE,TRUE)</f>
        <v>0</v>
      </c>
      <c r="BB936" t="b">
        <f>IF(Metadata!O936="",FALSE,TRUE)</f>
        <v>0</v>
      </c>
      <c r="BC936" t="b">
        <f>AND(IF(Metadata!P936="",FALSE,TRUE),OR(EXACT(Metadata!P936,"air"),EXACT(Metadata!P936,"microbial mat/biofilm"),EXACT(Metadata!P936,"misc environment"),EXACT(Metadata!P936,"sediment"),EXACT(Metadata!P936,"soil"),EXACT(Metadata!P936,"wastewater/sludge"),EXACT(Metadata!P936,"water")))</f>
        <v>0</v>
      </c>
      <c r="BD936" t="b">
        <f>IF(Metadata!Q936="",FALSE,TRUE)</f>
        <v>0</v>
      </c>
      <c r="BE936" t="b">
        <f>IF(Metadata!R936="",FALSE,TRUE)</f>
        <v>0</v>
      </c>
      <c r="BF936" t="b">
        <f>OR(AND(IF(Metadata!S936="",FALSE,TRUE),OR(EXACT(Metadata!S936,"not collected"),EXACT(Metadata!S936,"not provided"),EXACT(Metadata!S936,"restricted access"))),AND(IF(Metadata!S936="",FALSE,ISNUMBER(VALUE(Metadata!S936))),Metadata!S936&gt;=-90,Metadata!S936&lt;=90))</f>
        <v>0</v>
      </c>
      <c r="BG936" t="b">
        <f>AND(IF(Metadata!T936="",FALSE,TRUE),EXACT(Metadata!T936,"Decimal degrees"))</f>
        <v>0</v>
      </c>
      <c r="BH936" t="b">
        <f>OR(AND(IF(Metadata!U936="",FALSE,TRUE),OR(EXACT(Metadata!U936,"not applicable"),EXACT(Metadata!U936,"not collected"))),IF(Metadata!U936="",FALSE,TRUE))</f>
        <v>0</v>
      </c>
      <c r="BI936" t="b">
        <f>OR(AND(IF(Metadata!V936="",FALSE,TRUE),OR(EXACT(Metadata!V936,"not collected"),EXACT(Metadata!V936,"not provided"),EXACT(Metadata!V936,"restricted access"))),AND(IF(Metadata!V936="",FALSE,ISNUMBER(VALUE(Metadata!V936))),Metadata!V936&gt;=-180,Metadata!V936&lt;=180))</f>
        <v>0</v>
      </c>
      <c r="BJ936" t="b">
        <f>AND(IF(Metadata!W936="",FALSE,TRUE),EXACT(Metadata!W936,"Decimal degrees"))</f>
        <v>0</v>
      </c>
      <c r="BK936" t="b">
        <f>IF(Metadata!X936="",FALSE,TRUE)</f>
        <v>0</v>
      </c>
      <c r="BL936" t="b">
        <f>OR(AND(IF(Metadata!Y936="",FALSE,TRUE),OR(EXACT(Metadata!Y936,"not collected"),EXACT(Metadata!Y936,"not provided"),EXACT(Metadata!Y936,"restricted access"))),AND(IF(Metadata!Y936="",FALSE,TRUE),OR(EXACT(Metadata!Y936,"TRUE"),EXACT(Metadata!Y936,"FALSE"))))</f>
        <v>0</v>
      </c>
      <c r="BM936" t="b">
        <f>OR(AND(IF(Metadata!Z936="",FALSE,TRUE),EXACT(Metadata!Z936,"not applicable")),AND(IF(Metadata!Z936="",FALSE,TRUE),OR(EXACT(Metadata!Z936,"beer"),EXACT(Metadata!Z936,"cheese"),EXACT(Metadata!Z936,"fresh water"),EXACT(Metadata!Z936,"marine sediment"),EXACT(Metadata!Z936,"sea water"),EXACT(Metadata!Z936,"sediment"),EXACT(Metadata!Z936,"soil"),EXACT(Metadata!Z936,"waste water"))))</f>
        <v>0</v>
      </c>
      <c r="BN936" t="b">
        <f>AND(IF(Metadata!AA936="",FALSE,TRUE),EXACT(Metadata!AA936,"metagenome"))</f>
        <v>0</v>
      </c>
      <c r="BO936" t="b">
        <f>AND(IF(Metadata!AB936="",FALSE,TRUE),EXACT(Metadata!AB936,"256318"))</f>
        <v>0</v>
      </c>
      <c r="BP936" t="b">
        <f>IF(Metadata!AC936="",FALSE,TRUE)</f>
        <v>0</v>
      </c>
      <c r="BQ936" t="b">
        <f>IF(Metadata!AD936="",FALSE,TRUE)</f>
        <v>0</v>
      </c>
    </row>
    <row r="937" spans="1:69" x14ac:dyDescent="0.2">
      <c r="A937" s="4" t="e">
        <f ca="1">IF(B937=" "," ",HYPERLINK(CONCATENATE("#metadata!",ADDRESS(INDEX($AJ$2:$AJ$1001,MATCH(ROWS($AH$2:AH937),$AH$2:$AH$1001,0),0),2)),INDEX($AM$2:$AM$1001,MATCH(ROWS($AH$2:AH937),$AH$2:$AH$1001,0),0)))</f>
        <v>#N/A</v>
      </c>
      <c r="B937" s="5" t="e">
        <f ca="1">IF(OR(INDEX($AI$2:$AI$1001,MATCH(ROWS($AH$2:AH937),$AH$2:$AH$1001,0),1)&gt;=100000,INDEX($AO$1005:$BQ$1005,1,MATCH(COLUMNS($AO$1006:AO1006),$AO$1006:$BQ$1006,0))&gt;=100000), " ",IF(INDEX($AO$2:$BQ$1001,MATCH(ROWS($AH$2:AH937),$AH$2:$AH$1001,0),MATCH(COLUMNS($AO$1006:AO1006),$AO$1006:$BQ$1006,0)), HYPERLINK("#",""), HYPERLINK(CONCATENATE("#Metadata!", ADDRESS(INDEX($AJ$2:$AJ$1001,MATCH(ROWS($AH$2:AH937),$AH$2:$AH$1001,0),0), INDEX($AO$1004:$BQ$1004,1,MATCH(COLUMNS($AO$1006:AO1006),$AO$1006:$BQ$1006,0)))),"Fix")))</f>
        <v>#N/A</v>
      </c>
      <c r="C937" s="5" t="e">
        <f ca="1">IF(OR(INDEX($AI$2:$AI$1001,MATCH(ROWS($AH$2:AH937),$AH$2:$AH$1001,0),1)&gt;=100000,INDEX($AO$1005:$BQ$1005,1,MATCH(COLUMNS($AO$1006:AP1006),$AO$1006:$BQ$1006,0))&gt;=100000), " ",IF(INDEX($AO$2:$BQ$1001,MATCH(ROWS($AH$2:AH937),$AH$2:$AH$1001,0),MATCH(COLUMNS($AO$1006:AP1006),$AO$1006:$BQ$1006,0)), HYPERLINK("#",""), HYPERLINK(CONCATENATE("#Metadata!", ADDRESS(INDEX($AJ$2:$AJ$1001,MATCH(ROWS($AH$2:AH937),$AH$2:$AH$1001,0),0), INDEX($AO$1004:$BQ$1004,1,MATCH(COLUMNS($AO$1006:AP1006),$AO$1006:$BQ$1006,0)))),"Fix")))</f>
        <v>#N/A</v>
      </c>
      <c r="D937" s="5" t="e">
        <f ca="1">IF(OR(INDEX($AI$2:$AI$1001,MATCH(ROWS($AH$2:AH937),$AH$2:$AH$1001,0),1)&gt;=100000,INDEX($AO$1005:$BQ$1005,1,MATCH(COLUMNS($AO$1006:AQ1006),$AO$1006:$BQ$1006,0))&gt;=100000), " ",IF(INDEX($AO$2:$BQ$1001,MATCH(ROWS($AH$2:AH937),$AH$2:$AH$1001,0),MATCH(COLUMNS($AO$1006:AQ1006),$AO$1006:$BQ$1006,0)), HYPERLINK("#",""), HYPERLINK(CONCATENATE("#Metadata!", ADDRESS(INDEX($AJ$2:$AJ$1001,MATCH(ROWS($AH$2:AH937),$AH$2:$AH$1001,0),0), INDEX($AO$1004:$BQ$1004,1,MATCH(COLUMNS($AO$1006:AQ1006),$AO$1006:$BQ$1006,0)))),"Fix")))</f>
        <v>#N/A</v>
      </c>
      <c r="E937" s="5" t="e">
        <f ca="1">IF(OR(INDEX($AI$2:$AI$1001,MATCH(ROWS($AH$2:AH937),$AH$2:$AH$1001,0),1)&gt;=100000,INDEX($AO$1005:$BQ$1005,1,MATCH(COLUMNS($AO$1006:AR1006),$AO$1006:$BQ$1006,0))&gt;=100000), " ",IF(INDEX($AO$2:$BQ$1001,MATCH(ROWS($AH$2:AH937),$AH$2:$AH$1001,0),MATCH(COLUMNS($AO$1006:AR1006),$AO$1006:$BQ$1006,0)), HYPERLINK("#",""), HYPERLINK(CONCATENATE("#Metadata!", ADDRESS(INDEX($AJ$2:$AJ$1001,MATCH(ROWS($AH$2:AH937),$AH$2:$AH$1001,0),0), INDEX($AO$1004:$BQ$1004,1,MATCH(COLUMNS($AO$1006:AR1006),$AO$1006:$BQ$1006,0)))),"Fix")))</f>
        <v>#N/A</v>
      </c>
      <c r="F937" s="5" t="e">
        <f ca="1">IF(OR(INDEX($AI$2:$AI$1001,MATCH(ROWS($AH$2:AH937),$AH$2:$AH$1001,0),1)&gt;=100000,INDEX($AO$1005:$BQ$1005,1,MATCH(COLUMNS($AO$1006:AS1006),$AO$1006:$BQ$1006,0))&gt;=100000), " ",IF(INDEX($AO$2:$BQ$1001,MATCH(ROWS($AH$2:AH937),$AH$2:$AH$1001,0),MATCH(COLUMNS($AO$1006:AS1006),$AO$1006:$BQ$1006,0)), HYPERLINK("#",""), HYPERLINK(CONCATENATE("#Metadata!", ADDRESS(INDEX($AJ$2:$AJ$1001,MATCH(ROWS($AH$2:AH937),$AH$2:$AH$1001,0),0), INDEX($AO$1004:$BQ$1004,1,MATCH(COLUMNS($AO$1006:AS1006),$AO$1006:$BQ$1006,0)))),"Fix")))</f>
        <v>#N/A</v>
      </c>
      <c r="G937" s="5" t="e">
        <f ca="1">IF(OR(INDEX($AI$2:$AI$1001,MATCH(ROWS($AH$2:AH937),$AH$2:$AH$1001,0),1)&gt;=100000,INDEX($AO$1005:$BQ$1005,1,MATCH(COLUMNS($AO$1006:AT1006),$AO$1006:$BQ$1006,0))&gt;=100000), " ",IF(INDEX($AO$2:$BQ$1001,MATCH(ROWS($AH$2:AH937),$AH$2:$AH$1001,0),MATCH(COLUMNS($AO$1006:AT1006),$AO$1006:$BQ$1006,0)), HYPERLINK("#",""), HYPERLINK(CONCATENATE("#Metadata!", ADDRESS(INDEX($AJ$2:$AJ$1001,MATCH(ROWS($AH$2:AH937),$AH$2:$AH$1001,0),0), INDEX($AO$1004:$BQ$1004,1,MATCH(COLUMNS($AO$1006:AT1006),$AO$1006:$BQ$1006,0)))),"Fix")))</f>
        <v>#N/A</v>
      </c>
      <c r="H937" s="5" t="e">
        <f ca="1">IF(OR(INDEX($AI$2:$AI$1001,MATCH(ROWS($AH$2:AH937),$AH$2:$AH$1001,0),1)&gt;=100000,INDEX($AO$1005:$BQ$1005,1,MATCH(COLUMNS($AO$1006:AU1006),$AO$1006:$BQ$1006,0))&gt;=100000), " ",IF(INDEX($AO$2:$BQ$1001,MATCH(ROWS($AH$2:AH937),$AH$2:$AH$1001,0),MATCH(COLUMNS($AO$1006:AU1006),$AO$1006:$BQ$1006,0)), HYPERLINK("#",""), HYPERLINK(CONCATENATE("#Metadata!", ADDRESS(INDEX($AJ$2:$AJ$1001,MATCH(ROWS($AH$2:AH937),$AH$2:$AH$1001,0),0), INDEX($AO$1004:$BQ$1004,1,MATCH(COLUMNS($AO$1006:AU1006),$AO$1006:$BQ$1006,0)))),"Fix")))</f>
        <v>#N/A</v>
      </c>
      <c r="I937" s="5" t="e">
        <f ca="1">IF(OR(INDEX($AI$2:$AI$1001,MATCH(ROWS($AH$2:AH937),$AH$2:$AH$1001,0),1)&gt;=100000,INDEX($AO$1005:$BQ$1005,1,MATCH(COLUMNS($AO$1006:AV1006),$AO$1006:$BQ$1006,0))&gt;=100000), " ",IF(INDEX($AO$2:$BQ$1001,MATCH(ROWS($AH$2:AH937),$AH$2:$AH$1001,0),MATCH(COLUMNS($AO$1006:AV1006),$AO$1006:$BQ$1006,0)), HYPERLINK("#",""), HYPERLINK(CONCATENATE("#Metadata!", ADDRESS(INDEX($AJ$2:$AJ$1001,MATCH(ROWS($AH$2:AH937),$AH$2:$AH$1001,0),0), INDEX($AO$1004:$BQ$1004,1,MATCH(COLUMNS($AO$1006:AV1006),$AO$1006:$BQ$1006,0)))),"Fix")))</f>
        <v>#N/A</v>
      </c>
      <c r="J937" s="5" t="e">
        <f ca="1">IF(OR(INDEX($AI$2:$AI$1001,MATCH(ROWS($AH$2:AH937),$AH$2:$AH$1001,0),1)&gt;=100000,INDEX($AO$1005:$BQ$1005,1,MATCH(COLUMNS($AO$1006:AW1006),$AO$1006:$BQ$1006,0))&gt;=100000), " ",IF(INDEX($AO$2:$BQ$1001,MATCH(ROWS($AH$2:AH937),$AH$2:$AH$1001,0),MATCH(COLUMNS($AO$1006:AW1006),$AO$1006:$BQ$1006,0)), HYPERLINK("#",""), HYPERLINK(CONCATENATE("#Metadata!", ADDRESS(INDEX($AJ$2:$AJ$1001,MATCH(ROWS($AH$2:AH937),$AH$2:$AH$1001,0),0), INDEX($AO$1004:$BQ$1004,1,MATCH(COLUMNS($AO$1006:AW1006),$AO$1006:$BQ$1006,0)))),"Fix")))</f>
        <v>#N/A</v>
      </c>
      <c r="K937" s="5" t="e">
        <f ca="1">IF(OR(INDEX($AI$2:$AI$1001,MATCH(ROWS($AH$2:AH937),$AH$2:$AH$1001,0),1)&gt;=100000,INDEX($AO$1005:$BQ$1005,1,MATCH(COLUMNS($AO$1006:AX1006),$AO$1006:$BQ$1006,0))&gt;=100000), " ",IF(INDEX($AO$2:$BQ$1001,MATCH(ROWS($AH$2:AH937),$AH$2:$AH$1001,0),MATCH(COLUMNS($AO$1006:AX1006),$AO$1006:$BQ$1006,0)), HYPERLINK("#",""), HYPERLINK(CONCATENATE("#Metadata!", ADDRESS(INDEX($AJ$2:$AJ$1001,MATCH(ROWS($AH$2:AH937),$AH$2:$AH$1001,0),0), INDEX($AO$1004:$BQ$1004,1,MATCH(COLUMNS($AO$1006:AX1006),$AO$1006:$BQ$1006,0)))),"Fix")))</f>
        <v>#N/A</v>
      </c>
      <c r="L937" s="5" t="e">
        <f ca="1">IF(OR(INDEX($AI$2:$AI$1001,MATCH(ROWS($AH$2:AH937),$AH$2:$AH$1001,0),1)&gt;=100000,INDEX($AO$1005:$BQ$1005,1,MATCH(COLUMNS($AO$1006:AY1006),$AO$1006:$BQ$1006,0))&gt;=100000), " ",IF(INDEX($AO$2:$BQ$1001,MATCH(ROWS($AH$2:AH937),$AH$2:$AH$1001,0),MATCH(COLUMNS($AO$1006:AY1006),$AO$1006:$BQ$1006,0)), HYPERLINK("#",""), HYPERLINK(CONCATENATE("#Metadata!", ADDRESS(INDEX($AJ$2:$AJ$1001,MATCH(ROWS($AH$2:AH937),$AH$2:$AH$1001,0),0), INDEX($AO$1004:$BQ$1004,1,MATCH(COLUMNS($AO$1006:AY1006),$AO$1006:$BQ$1006,0)))),"Fix")))</f>
        <v>#N/A</v>
      </c>
      <c r="M937" s="5" t="e">
        <f ca="1">IF(OR(INDEX($AI$2:$AI$1001,MATCH(ROWS($AH$2:AH937),$AH$2:$AH$1001,0),1)&gt;=100000,INDEX($AO$1005:$BQ$1005,1,MATCH(COLUMNS($AO$1006:AZ1006),$AO$1006:$BQ$1006,0))&gt;=100000), " ",IF(INDEX($AO$2:$BQ$1001,MATCH(ROWS($AH$2:AH937),$AH$2:$AH$1001,0),MATCH(COLUMNS($AO$1006:AZ1006),$AO$1006:$BQ$1006,0)), HYPERLINK("#",""), HYPERLINK(CONCATENATE("#Metadata!", ADDRESS(INDEX($AJ$2:$AJ$1001,MATCH(ROWS($AH$2:AH937),$AH$2:$AH$1001,0),0), INDEX($AO$1004:$BQ$1004,1,MATCH(COLUMNS($AO$1006:AZ1006),$AO$1006:$BQ$1006,0)))),"Fix")))</f>
        <v>#N/A</v>
      </c>
      <c r="N937" s="5" t="e">
        <f ca="1">IF(OR(INDEX($AI$2:$AI$1001,MATCH(ROWS($AH$2:AH937),$AH$2:$AH$1001,0),1)&gt;=100000,INDEX($AO$1005:$BQ$1005,1,MATCH(COLUMNS($AO$1006:BA1006),$AO$1006:$BQ$1006,0))&gt;=100000), " ",IF(INDEX($AO$2:$BQ$1001,MATCH(ROWS($AH$2:AH937),$AH$2:$AH$1001,0),MATCH(COLUMNS($AO$1006:BA1006),$AO$1006:$BQ$1006,0)), HYPERLINK("#",""), HYPERLINK(CONCATENATE("#Metadata!", ADDRESS(INDEX($AJ$2:$AJ$1001,MATCH(ROWS($AH$2:AH937),$AH$2:$AH$1001,0),0), INDEX($AO$1004:$BQ$1004,1,MATCH(COLUMNS($AO$1006:BA1006),$AO$1006:$BQ$1006,0)))),"Fix")))</f>
        <v>#N/A</v>
      </c>
      <c r="O937" s="5" t="e">
        <f ca="1">IF(OR(INDEX($AI$2:$AI$1001,MATCH(ROWS($AH$2:AH937),$AH$2:$AH$1001,0),1)&gt;=100000,INDEX($AO$1005:$BQ$1005,1,MATCH(COLUMNS($AO$1006:BB1006),$AO$1006:$BQ$1006,0))&gt;=100000), " ",IF(INDEX($AO$2:$BQ$1001,MATCH(ROWS($AH$2:AH937),$AH$2:$AH$1001,0),MATCH(COLUMNS($AO$1006:BB1006),$AO$1006:$BQ$1006,0)), HYPERLINK("#",""), HYPERLINK(CONCATENATE("#Metadata!", ADDRESS(INDEX($AJ$2:$AJ$1001,MATCH(ROWS($AH$2:AH937),$AH$2:$AH$1001,0),0), INDEX($AO$1004:$BQ$1004,1,MATCH(COLUMNS($AO$1006:BB1006),$AO$1006:$BQ$1006,0)))),"Fix")))</f>
        <v>#N/A</v>
      </c>
      <c r="P937" s="5" t="e">
        <f ca="1">IF(OR(INDEX($AI$2:$AI$1001,MATCH(ROWS($AH$2:AH937),$AH$2:$AH$1001,0),1)&gt;=100000,INDEX($AO$1005:$BQ$1005,1,MATCH(COLUMNS($AO$1006:BC1006),$AO$1006:$BQ$1006,0))&gt;=100000), " ",IF(INDEX($AO$2:$BQ$1001,MATCH(ROWS($AH$2:AH937),$AH$2:$AH$1001,0),MATCH(COLUMNS($AO$1006:BC1006),$AO$1006:$BQ$1006,0)), HYPERLINK("#",""), HYPERLINK(CONCATENATE("#Metadata!", ADDRESS(INDEX($AJ$2:$AJ$1001,MATCH(ROWS($AH$2:AH937),$AH$2:$AH$1001,0),0), INDEX($AO$1004:$BQ$1004,1,MATCH(COLUMNS($AO$1006:BC1006),$AO$1006:$BQ$1006,0)))),"Fix")))</f>
        <v>#N/A</v>
      </c>
      <c r="Q937" s="5" t="e">
        <f ca="1">IF(OR(INDEX($AI$2:$AI$1001,MATCH(ROWS($AH$2:AH937),$AH$2:$AH$1001,0),1)&gt;=100000,INDEX($AO$1005:$BQ$1005,1,MATCH(COLUMNS($AO$1006:BD1006),$AO$1006:$BQ$1006,0))&gt;=100000), " ",IF(INDEX($AO$2:$BQ$1001,MATCH(ROWS($AH$2:AH937),$AH$2:$AH$1001,0),MATCH(COLUMNS($AO$1006:BD1006),$AO$1006:$BQ$1006,0)), HYPERLINK("#",""), HYPERLINK(CONCATENATE("#Metadata!", ADDRESS(INDEX($AJ$2:$AJ$1001,MATCH(ROWS($AH$2:AH937),$AH$2:$AH$1001,0),0), INDEX($AO$1004:$BQ$1004,1,MATCH(COLUMNS($AO$1006:BD1006),$AO$1006:$BQ$1006,0)))),"Fix")))</f>
        <v>#N/A</v>
      </c>
      <c r="R937" s="5" t="e">
        <f ca="1">IF(OR(INDEX($AI$2:$AI$1001,MATCH(ROWS($AH$2:AH937),$AH$2:$AH$1001,0),1)&gt;=100000,INDEX($AO$1005:$BQ$1005,1,MATCH(COLUMNS($AO$1006:BE1006),$AO$1006:$BQ$1006,0))&gt;=100000), " ",IF(INDEX($AO$2:$BQ$1001,MATCH(ROWS($AH$2:AH937),$AH$2:$AH$1001,0),MATCH(COLUMNS($AO$1006:BE1006),$AO$1006:$BQ$1006,0)), HYPERLINK("#",""), HYPERLINK(CONCATENATE("#Metadata!", ADDRESS(INDEX($AJ$2:$AJ$1001,MATCH(ROWS($AH$2:AH937),$AH$2:$AH$1001,0),0), INDEX($AO$1004:$BQ$1004,1,MATCH(COLUMNS($AO$1006:BE1006),$AO$1006:$BQ$1006,0)))),"Fix")))</f>
        <v>#N/A</v>
      </c>
      <c r="S937" s="5" t="e">
        <f ca="1">IF(OR(INDEX($AI$2:$AI$1001,MATCH(ROWS($AH$2:AH937),$AH$2:$AH$1001,0),1)&gt;=100000,INDEX($AO$1005:$BQ$1005,1,MATCH(COLUMNS($AO$1006:BF1006),$AO$1006:$BQ$1006,0))&gt;=100000), " ",IF(INDEX($AO$2:$BQ$1001,MATCH(ROWS($AH$2:AH937),$AH$2:$AH$1001,0),MATCH(COLUMNS($AO$1006:BF1006),$AO$1006:$BQ$1006,0)), HYPERLINK("#",""), HYPERLINK(CONCATENATE("#Metadata!", ADDRESS(INDEX($AJ$2:$AJ$1001,MATCH(ROWS($AH$2:AH937),$AH$2:$AH$1001,0),0), INDEX($AO$1004:$BQ$1004,1,MATCH(COLUMNS($AO$1006:BF1006),$AO$1006:$BQ$1006,0)))),"Fix")))</f>
        <v>#N/A</v>
      </c>
      <c r="T937" s="5" t="e">
        <f ca="1">IF(OR(INDEX($AI$2:$AI$1001,MATCH(ROWS($AH$2:AH937),$AH$2:$AH$1001,0),1)&gt;=100000,INDEX($AO$1005:$BQ$1005,1,MATCH(COLUMNS($AO$1006:BG1006),$AO$1006:$BQ$1006,0))&gt;=100000), " ",IF(INDEX($AO$2:$BQ$1001,MATCH(ROWS($AH$2:AH937),$AH$2:$AH$1001,0),MATCH(COLUMNS($AO$1006:BG1006),$AO$1006:$BQ$1006,0)), HYPERLINK("#",""), HYPERLINK(CONCATENATE("#Metadata!", ADDRESS(INDEX($AJ$2:$AJ$1001,MATCH(ROWS($AH$2:AH937),$AH$2:$AH$1001,0),0), INDEX($AO$1004:$BQ$1004,1,MATCH(COLUMNS($AO$1006:BG1006),$AO$1006:$BQ$1006,0)))),"Fix")))</f>
        <v>#N/A</v>
      </c>
      <c r="U937" s="5" t="e">
        <f ca="1">IF(OR(INDEX($AI$2:$AI$1001,MATCH(ROWS($AH$2:AH937),$AH$2:$AH$1001,0),1)&gt;=100000,INDEX($AO$1005:$BQ$1005,1,MATCH(COLUMNS($AO$1006:BH1006),$AO$1006:$BQ$1006,0))&gt;=100000), " ",IF(INDEX($AO$2:$BQ$1001,MATCH(ROWS($AH$2:AH937),$AH$2:$AH$1001,0),MATCH(COLUMNS($AO$1006:BH1006),$AO$1006:$BQ$1006,0)), HYPERLINK("#",""), HYPERLINK(CONCATENATE("#Metadata!", ADDRESS(INDEX($AJ$2:$AJ$1001,MATCH(ROWS($AH$2:AH937),$AH$2:$AH$1001,0),0), INDEX($AO$1004:$BQ$1004,1,MATCH(COLUMNS($AO$1006:BH1006),$AO$1006:$BQ$1006,0)))),"Fix")))</f>
        <v>#N/A</v>
      </c>
      <c r="V937" s="5" t="e">
        <f ca="1">IF(OR(INDEX($AI$2:$AI$1001,MATCH(ROWS($AH$2:AH937),$AH$2:$AH$1001,0),1)&gt;=100000,INDEX($AO$1005:$BQ$1005,1,MATCH(COLUMNS($AO$1006:BI1006),$AO$1006:$BQ$1006,0))&gt;=100000), " ",IF(INDEX($AO$2:$BQ$1001,MATCH(ROWS($AH$2:AH937),$AH$2:$AH$1001,0),MATCH(COLUMNS($AO$1006:BI1006),$AO$1006:$BQ$1006,0)), HYPERLINK("#",""), HYPERLINK(CONCATENATE("#Metadata!", ADDRESS(INDEX($AJ$2:$AJ$1001,MATCH(ROWS($AH$2:AH937),$AH$2:$AH$1001,0),0), INDEX($AO$1004:$BQ$1004,1,MATCH(COLUMNS($AO$1006:BI1006),$AO$1006:$BQ$1006,0)))),"Fix")))</f>
        <v>#N/A</v>
      </c>
      <c r="W937" s="5" t="e">
        <f ca="1">IF(OR(INDEX($AI$2:$AI$1001,MATCH(ROWS($AH$2:AH937),$AH$2:$AH$1001,0),1)&gt;=100000,INDEX($AO$1005:$BQ$1005,1,MATCH(COLUMNS($AO$1006:BJ1006),$AO$1006:$BQ$1006,0))&gt;=100000), " ",IF(INDEX($AO$2:$BQ$1001,MATCH(ROWS($AH$2:AH937),$AH$2:$AH$1001,0),MATCH(COLUMNS($AO$1006:BJ1006),$AO$1006:$BQ$1006,0)), HYPERLINK("#",""), HYPERLINK(CONCATENATE("#Metadata!", ADDRESS(INDEX($AJ$2:$AJ$1001,MATCH(ROWS($AH$2:AH937),$AH$2:$AH$1001,0),0), INDEX($AO$1004:$BQ$1004,1,MATCH(COLUMNS($AO$1006:BJ1006),$AO$1006:$BQ$1006,0)))),"Fix")))</f>
        <v>#N/A</v>
      </c>
      <c r="X937" s="5" t="e">
        <f ca="1">IF(OR(INDEX($AI$2:$AI$1001,MATCH(ROWS($AH$2:AH937),$AH$2:$AH$1001,0),1)&gt;=100000,INDEX($AO$1005:$BQ$1005,1,MATCH(COLUMNS($AO$1006:BK1006),$AO$1006:$BQ$1006,0))&gt;=100000), " ",IF(INDEX($AO$2:$BQ$1001,MATCH(ROWS($AH$2:AH937),$AH$2:$AH$1001,0),MATCH(COLUMNS($AO$1006:BK1006),$AO$1006:$BQ$1006,0)), HYPERLINK("#",""), HYPERLINK(CONCATENATE("#Metadata!", ADDRESS(INDEX($AJ$2:$AJ$1001,MATCH(ROWS($AH$2:AH937),$AH$2:$AH$1001,0),0), INDEX($AO$1004:$BQ$1004,1,MATCH(COLUMNS($AO$1006:BK1006),$AO$1006:$BQ$1006,0)))),"Fix")))</f>
        <v>#N/A</v>
      </c>
      <c r="Y937" s="5" t="e">
        <f ca="1">IF(OR(INDEX($AI$2:$AI$1001,MATCH(ROWS($AH$2:AH937),$AH$2:$AH$1001,0),1)&gt;=100000,INDEX($AO$1005:$BQ$1005,1,MATCH(COLUMNS($AO$1006:BL1006),$AO$1006:$BQ$1006,0))&gt;=100000), " ",IF(INDEX($AO$2:$BQ$1001,MATCH(ROWS($AH$2:AH937),$AH$2:$AH$1001,0),MATCH(COLUMNS($AO$1006:BL1006),$AO$1006:$BQ$1006,0)), HYPERLINK("#",""), HYPERLINK(CONCATENATE("#Metadata!", ADDRESS(INDEX($AJ$2:$AJ$1001,MATCH(ROWS($AH$2:AH937),$AH$2:$AH$1001,0),0), INDEX($AO$1004:$BQ$1004,1,MATCH(COLUMNS($AO$1006:BL1006),$AO$1006:$BQ$1006,0)))),"Fix")))</f>
        <v>#N/A</v>
      </c>
      <c r="Z937" s="5" t="e">
        <f ca="1">IF(OR(INDEX($AI$2:$AI$1001,MATCH(ROWS($AH$2:AH937),$AH$2:$AH$1001,0),1)&gt;=100000,INDEX($AO$1005:$BQ$1005,1,MATCH(COLUMNS($AO$1006:BM1006),$AO$1006:$BQ$1006,0))&gt;=100000), " ",IF(INDEX($AO$2:$BQ$1001,MATCH(ROWS($AH$2:AH937),$AH$2:$AH$1001,0),MATCH(COLUMNS($AO$1006:BM1006),$AO$1006:$BQ$1006,0)), HYPERLINK("#",""), HYPERLINK(CONCATENATE("#Metadata!", ADDRESS(INDEX($AJ$2:$AJ$1001,MATCH(ROWS($AH$2:AH937),$AH$2:$AH$1001,0),0), INDEX($AO$1004:$BQ$1004,1,MATCH(COLUMNS($AO$1006:BM1006),$AO$1006:$BQ$1006,0)))),"Fix")))</f>
        <v>#N/A</v>
      </c>
      <c r="AA937" s="5" t="e">
        <f ca="1">IF(OR(INDEX($AI$2:$AI$1001,MATCH(ROWS($AH$2:AH937),$AH$2:$AH$1001,0),1)&gt;=100000,INDEX($AO$1005:$BQ$1005,1,MATCH(COLUMNS($AO$1006:BN1006),$AO$1006:$BQ$1006,0))&gt;=100000), " ",IF(INDEX($AO$2:$BQ$1001,MATCH(ROWS($AH$2:AH937),$AH$2:$AH$1001,0),MATCH(COLUMNS($AO$1006:BN1006),$AO$1006:$BQ$1006,0)), HYPERLINK("#",""), HYPERLINK(CONCATENATE("#Metadata!", ADDRESS(INDEX($AJ$2:$AJ$1001,MATCH(ROWS($AH$2:AH937),$AH$2:$AH$1001,0),0), INDEX($AO$1004:$BQ$1004,1,MATCH(COLUMNS($AO$1006:BN1006),$AO$1006:$BQ$1006,0)))),"Fix")))</f>
        <v>#N/A</v>
      </c>
      <c r="AB937" s="5" t="e">
        <f ca="1">IF(OR(INDEX($AI$2:$AI$1001,MATCH(ROWS($AH$2:AH937),$AH$2:$AH$1001,0),1)&gt;=100000,INDEX($AO$1005:$BQ$1005,1,MATCH(COLUMNS($AO$1006:BO1006),$AO$1006:$BQ$1006,0))&gt;=100000), " ",IF(INDEX($AO$2:$BQ$1001,MATCH(ROWS($AH$2:AH937),$AH$2:$AH$1001,0),MATCH(COLUMNS($AO$1006:BO1006),$AO$1006:$BQ$1006,0)), HYPERLINK("#",""), HYPERLINK(CONCATENATE("#Metadata!", ADDRESS(INDEX($AJ$2:$AJ$1001,MATCH(ROWS($AH$2:AH937),$AH$2:$AH$1001,0),0), INDEX($AO$1004:$BQ$1004,1,MATCH(COLUMNS($AO$1006:BO1006),$AO$1006:$BQ$1006,0)))),"Fix")))</f>
        <v>#N/A</v>
      </c>
      <c r="AC937" s="5" t="e">
        <f ca="1">IF(OR(INDEX($AI$2:$AI$1001,MATCH(ROWS($AH$2:AH937),$AH$2:$AH$1001,0),1)&gt;=100000,INDEX($AO$1005:$BQ$1005,1,MATCH(COLUMNS($AO$1006:BP1006),$AO$1006:$BQ$1006,0))&gt;=100000), " ",IF(INDEX($AO$2:$BQ$1001,MATCH(ROWS($AH$2:AH937),$AH$2:$AH$1001,0),MATCH(COLUMNS($AO$1006:BP1006),$AO$1006:$BQ$1006,0)), HYPERLINK("#",""), HYPERLINK(CONCATENATE("#Metadata!", ADDRESS(INDEX($AJ$2:$AJ$1001,MATCH(ROWS($AH$2:AH937),$AH$2:$AH$1001,0),0), INDEX($AO$1004:$BQ$1004,1,MATCH(COLUMNS($AO$1006:BP1006),$AO$1006:$BQ$1006,0)))),"Fix")))</f>
        <v>#N/A</v>
      </c>
      <c r="AD937" s="5" t="e">
        <f ca="1">IF(OR(INDEX($AI$2:$AI$1001,MATCH(ROWS($AH$2:AH937),$AH$2:$AH$1001,0),1)&gt;=100000,INDEX($AO$1005:$BQ$1005,1,MATCH(COLUMNS($AO$1006:BQ1006),$AO$1006:$BQ$1006,0))&gt;=100000), " ",IF(INDEX($AO$2:$BQ$1001,MATCH(ROWS($AH$2:AH937),$AH$2:$AH$1001,0),MATCH(COLUMNS($AO$1006:BQ1006),$AO$1006:$BQ$1006,0)), HYPERLINK("#",""), HYPERLINK(CONCATENATE("#Metadata!", ADDRESS(INDEX($AJ$2:$AJ$1001,MATCH(ROWS($AH$2:AH937),$AH$2:$AH$1001,0),0), INDEX($AO$1004:$BQ$1004,1,MATCH(COLUMNS($AO$1006:BQ1006),$AO$1006:$BQ$1006,0)))),"Fix")))</f>
        <v>#REF!</v>
      </c>
      <c r="AH937">
        <f ca="1"/>
        <v>934</v>
      </c>
      <c r="AI937">
        <v>100937</v>
      </c>
      <c r="AJ937">
        <v>937</v>
      </c>
      <c r="AK937" t="b">
        <f t="shared" si="14"/>
        <v>1</v>
      </c>
      <c r="AL937" t="b">
        <f>COUNTBLANK(Metadata!B937:AD937)=COLUMNS(Metadata!B937:AD937)</f>
        <v>1</v>
      </c>
      <c r="AM937" t="str">
        <v/>
      </c>
      <c r="AO937" t="b">
        <f ca="1">AND(IF(Metadata!B937="",FALSE,TRUE),COUNTIF(Metadata!B:B, Metadata!B937) = 1,NOT(ISERROR(SUMPRODUCT(SEARCH(MID(Metadata!B937,ROW(INDIRECT("1:"&amp;LEN(Metadata!B937))), 1),"0123456789abcdefghijklmnopqrstuvwxyzABCDEFGHIJKLMNOPQRSTUVWXYZ.")))))</f>
        <v>0</v>
      </c>
      <c r="AP937" t="b">
        <f>IF(Metadata!C937="",FALSE,TRUE)</f>
        <v>0</v>
      </c>
      <c r="AQ937" t="b">
        <f>IF(Metadata!D937="",FALSE,TRUE)</f>
        <v>0</v>
      </c>
      <c r="AR937" t="b">
        <f ca="1">OR(AND(IF(Metadata!E937="",FALSE,TRUE),OR(EXACT(Metadata!E937,"not collected"),EXACT(Metadata!E937,"not provided"),EXACT(Metadata!E937,"restricted access"))),AND(IF(Metadata!E937="",FALSE,TRUE),AND(AND(IFERROR(INT(LEFT(Metadata!E937,4))&gt;1900,FALSE),IFERROR(INT(LEFT(Metadata!E937,4))&lt;=YEAR(NOW()),FALSE)), OR(MID(Metadata!E937,5,1)="", AND(AND(MID(Metadata!E937,5,1)="-",IFERROR(INT(MID(Metadata!E937,6,1))&gt;=0,FALSE),IFERROR(INT(MID(Metadata!E937,6,1))&lt;=1,FALSE),NOT(MID(Metadata!E937,7,1)=""),IFERROR(INT(MID(Metadata!E937,6,2))&gt;=1,FALSE),IFERROR(INT(MID(Metadata!E937,6,2))&lt;=12,FALSE)), OR(MID(Metadata!E937,8,1)="", AND(AND(MID(Metadata!E937,8,1)="-",IFERROR(INT(MID(Metadata!E937,9,1))&gt;=0,FALSE),IFERROR(INT(MID(Metadata!E937,9,1))&lt;=3,FALSE),NOT(MID(Metadata!E937,10,1)=""),IFERROR(INT(MID(Metadata!E937,9,2))&gt;=1,FALSE),IFERROR(INT(MID(Metadata!E937,9,2))&lt;=31,FALSE)), OR(MID(Metadata!E937,11,1)="", AND(AND(MID(Metadata!E937,11,1)=" ",IFERROR(INT(MID(Metadata!E937,12,1))&gt;=0,FALSE),IFERROR(INT(MID(Metadata!E937,12,1))&lt;=2,FALSE),NOT(MID(Metadata!E937,13,1)=""),IFERROR(INT(MID(Metadata!E937,12,2))&gt;=0,FALSE),IFERROR(INT(MID(Metadata!E937,12,2))&lt;=23,FALSE)), OR(MID(Metadata!E937,14,1)="", AND(AND(MID(Metadata!E937,14,1)=":",IFERROR(INT(MID(Metadata!E937,15,1))&gt;=0,FALSE),IFERROR(INT(MID(Metadata!E937,15,1))&lt;=5,FALSE),NOT(MID(Metadata!E937,16,1)=""),IFERROR(INT(MID(Metadata!E937,15,2))&gt;=0,FALSE),IFERROR(INT(MID(Metadata!E937,15,2))&lt;=59,FALSE)), OR(MID(Metadata!E937,17,1)="", AND(AND(MID(Metadata!E937,17,1)=":",IFERROR(INT(MID(Metadata!E937,18,1))&gt;=0,FALSE),IFERROR(INT(MID(Metadata!E937,18,1))&lt;=5,FALSE),NOT(MID(Metadata!E937,19,1)=""),IFERROR(INT(MID(Metadata!E937,18,2))&gt;=0,FALSE),IFERROR(INT(MID(Metadata!E937,18,2))&lt;=59,FALSE)), LEN(Metadata!E937)&lt;=19)))))))))))))</f>
        <v>0</v>
      </c>
      <c r="AS937" t="b">
        <f>IF(Metadata!F937="",FALSE,TRUE)</f>
        <v>0</v>
      </c>
      <c r="AT937" t="b">
        <f>OR(AND(IF(Metadata!G937="",FALSE,TRUE),OR(EXACT(Metadata!G937,"not collected"),EXACT(Metadata!G937,"not provided"))),AND(IF(Metadata!G937="",FALSE,TRUE),OR(EXACT(Metadata!G937,"TRUE"),EXACT(Metadata!G937,"FALSE"))))</f>
        <v>0</v>
      </c>
      <c r="AU937" t="b">
        <f>OR(AND(IF(Metadata!H937="",FALSE,TRUE),OR(EXACT(Metadata!H937,"not collected"),EXACT(Metadata!H937,"not provided"),EXACT(Metadata!H937,"restricted access"))),AND(IF(Metadata!H937="",FALSE,ISNUMBER(VALUE(Metadata!H937))),Metadata!H937&gt;=-413))</f>
        <v>0</v>
      </c>
      <c r="AV937" t="b">
        <f>AND(IF(Metadata!I937="",FALSE,TRUE),EXACT(Metadata!I937,"meters"))</f>
        <v>0</v>
      </c>
      <c r="AW937" t="b">
        <f>AND(IF(Metadata!J937="",FALSE,TRUE),EXACT(Metadata!J937,"free-living"))</f>
        <v>0</v>
      </c>
      <c r="AX937" t="b">
        <f>AND(IF(Metadata!K937="",FALSE,TRUE),OR(EXACT(Metadata!K937,"saline"),EXACT(Metadata!K937,"non-saline")))</f>
        <v>0</v>
      </c>
      <c r="AY937" t="b">
        <f>AND(IF(Metadata!L937="",FALSE,TRUE),OR(EXACT(Metadata!L937,"sub-surface (non-saline)"),EXACT(Metadata!L937,"surface (non-saline)"),EXACT(Metadata!L937,"water (non-saline)"),EXACT(Metadata!L937,"soil (non-saline)"),EXACT(Metadata!L937,"aerosol (non-saline)"),EXACT(Metadata!L937,"sediment (non-saline)"),EXACT(Metadata!L937,"surface (saline)"),EXACT(Metadata!L937,"water (saline)"),EXACT(Metadata!L937,"hypersaline (saline)"),EXACT(Metadata!L937,"aerosol (saline)"),EXACT(Metadata!L937,"sediment (saline)")))</f>
        <v>0</v>
      </c>
      <c r="AZ937" t="b">
        <f>IF(Metadata!M937="",FALSE,TRUE)</f>
        <v>0</v>
      </c>
      <c r="BA937" t="b">
        <f>IF(Metadata!N937="",FALSE,TRUE)</f>
        <v>0</v>
      </c>
      <c r="BB937" t="b">
        <f>IF(Metadata!O937="",FALSE,TRUE)</f>
        <v>0</v>
      </c>
      <c r="BC937" t="b">
        <f>AND(IF(Metadata!P937="",FALSE,TRUE),OR(EXACT(Metadata!P937,"air"),EXACT(Metadata!P937,"microbial mat/biofilm"),EXACT(Metadata!P937,"misc environment"),EXACT(Metadata!P937,"sediment"),EXACT(Metadata!P937,"soil"),EXACT(Metadata!P937,"wastewater/sludge"),EXACT(Metadata!P937,"water")))</f>
        <v>0</v>
      </c>
      <c r="BD937" t="b">
        <f>IF(Metadata!Q937="",FALSE,TRUE)</f>
        <v>0</v>
      </c>
      <c r="BE937" t="b">
        <f>IF(Metadata!R937="",FALSE,TRUE)</f>
        <v>0</v>
      </c>
      <c r="BF937" t="b">
        <f>OR(AND(IF(Metadata!S937="",FALSE,TRUE),OR(EXACT(Metadata!S937,"not collected"),EXACT(Metadata!S937,"not provided"),EXACT(Metadata!S937,"restricted access"))),AND(IF(Metadata!S937="",FALSE,ISNUMBER(VALUE(Metadata!S937))),Metadata!S937&gt;=-90,Metadata!S937&lt;=90))</f>
        <v>0</v>
      </c>
      <c r="BG937" t="b">
        <f>AND(IF(Metadata!T937="",FALSE,TRUE),EXACT(Metadata!T937,"Decimal degrees"))</f>
        <v>0</v>
      </c>
      <c r="BH937" t="b">
        <f>OR(AND(IF(Metadata!U937="",FALSE,TRUE),OR(EXACT(Metadata!U937,"not applicable"),EXACT(Metadata!U937,"not collected"))),IF(Metadata!U937="",FALSE,TRUE))</f>
        <v>0</v>
      </c>
      <c r="BI937" t="b">
        <f>OR(AND(IF(Metadata!V937="",FALSE,TRUE),OR(EXACT(Metadata!V937,"not collected"),EXACT(Metadata!V937,"not provided"),EXACT(Metadata!V937,"restricted access"))),AND(IF(Metadata!V937="",FALSE,ISNUMBER(VALUE(Metadata!V937))),Metadata!V937&gt;=-180,Metadata!V937&lt;=180))</f>
        <v>0</v>
      </c>
      <c r="BJ937" t="b">
        <f>AND(IF(Metadata!W937="",FALSE,TRUE),EXACT(Metadata!W937,"Decimal degrees"))</f>
        <v>0</v>
      </c>
      <c r="BK937" t="b">
        <f>IF(Metadata!X937="",FALSE,TRUE)</f>
        <v>0</v>
      </c>
      <c r="BL937" t="b">
        <f>OR(AND(IF(Metadata!Y937="",FALSE,TRUE),OR(EXACT(Metadata!Y937,"not collected"),EXACT(Metadata!Y937,"not provided"),EXACT(Metadata!Y937,"restricted access"))),AND(IF(Metadata!Y937="",FALSE,TRUE),OR(EXACT(Metadata!Y937,"TRUE"),EXACT(Metadata!Y937,"FALSE"))))</f>
        <v>0</v>
      </c>
      <c r="BM937" t="b">
        <f>OR(AND(IF(Metadata!Z937="",FALSE,TRUE),EXACT(Metadata!Z937,"not applicable")),AND(IF(Metadata!Z937="",FALSE,TRUE),OR(EXACT(Metadata!Z937,"beer"),EXACT(Metadata!Z937,"cheese"),EXACT(Metadata!Z937,"fresh water"),EXACT(Metadata!Z937,"marine sediment"),EXACT(Metadata!Z937,"sea water"),EXACT(Metadata!Z937,"sediment"),EXACT(Metadata!Z937,"soil"),EXACT(Metadata!Z937,"waste water"))))</f>
        <v>0</v>
      </c>
      <c r="BN937" t="b">
        <f>AND(IF(Metadata!AA937="",FALSE,TRUE),EXACT(Metadata!AA937,"metagenome"))</f>
        <v>0</v>
      </c>
      <c r="BO937" t="b">
        <f>AND(IF(Metadata!AB937="",FALSE,TRUE),EXACT(Metadata!AB937,"256318"))</f>
        <v>0</v>
      </c>
      <c r="BP937" t="b">
        <f>IF(Metadata!AC937="",FALSE,TRUE)</f>
        <v>0</v>
      </c>
      <c r="BQ937" t="b">
        <f>IF(Metadata!AD937="",FALSE,TRUE)</f>
        <v>0</v>
      </c>
    </row>
    <row r="938" spans="1:69" x14ac:dyDescent="0.2">
      <c r="A938" s="4" t="e">
        <f ca="1">IF(B938=" "," ",HYPERLINK(CONCATENATE("#metadata!",ADDRESS(INDEX($AJ$2:$AJ$1001,MATCH(ROWS($AH$2:AH938),$AH$2:$AH$1001,0),0),2)),INDEX($AM$2:$AM$1001,MATCH(ROWS($AH$2:AH938),$AH$2:$AH$1001,0),0)))</f>
        <v>#N/A</v>
      </c>
      <c r="B938" s="5" t="e">
        <f ca="1">IF(OR(INDEX($AI$2:$AI$1001,MATCH(ROWS($AH$2:AH938),$AH$2:$AH$1001,0),1)&gt;=100000,INDEX($AO$1005:$BQ$1005,1,MATCH(COLUMNS($AO$1006:AO1006),$AO$1006:$BQ$1006,0))&gt;=100000), " ",IF(INDEX($AO$2:$BQ$1001,MATCH(ROWS($AH$2:AH938),$AH$2:$AH$1001,0),MATCH(COLUMNS($AO$1006:AO1006),$AO$1006:$BQ$1006,0)), HYPERLINK("#",""), HYPERLINK(CONCATENATE("#Metadata!", ADDRESS(INDEX($AJ$2:$AJ$1001,MATCH(ROWS($AH$2:AH938),$AH$2:$AH$1001,0),0), INDEX($AO$1004:$BQ$1004,1,MATCH(COLUMNS($AO$1006:AO1006),$AO$1006:$BQ$1006,0)))),"Fix")))</f>
        <v>#N/A</v>
      </c>
      <c r="C938" s="5" t="e">
        <f ca="1">IF(OR(INDEX($AI$2:$AI$1001,MATCH(ROWS($AH$2:AH938),$AH$2:$AH$1001,0),1)&gt;=100000,INDEX($AO$1005:$BQ$1005,1,MATCH(COLUMNS($AO$1006:AP1006),$AO$1006:$BQ$1006,0))&gt;=100000), " ",IF(INDEX($AO$2:$BQ$1001,MATCH(ROWS($AH$2:AH938),$AH$2:$AH$1001,0),MATCH(COLUMNS($AO$1006:AP1006),$AO$1006:$BQ$1006,0)), HYPERLINK("#",""), HYPERLINK(CONCATENATE("#Metadata!", ADDRESS(INDEX($AJ$2:$AJ$1001,MATCH(ROWS($AH$2:AH938),$AH$2:$AH$1001,0),0), INDEX($AO$1004:$BQ$1004,1,MATCH(COLUMNS($AO$1006:AP1006),$AO$1006:$BQ$1006,0)))),"Fix")))</f>
        <v>#N/A</v>
      </c>
      <c r="D938" s="5" t="e">
        <f ca="1">IF(OR(INDEX($AI$2:$AI$1001,MATCH(ROWS($AH$2:AH938),$AH$2:$AH$1001,0),1)&gt;=100000,INDEX($AO$1005:$BQ$1005,1,MATCH(COLUMNS($AO$1006:AQ1006),$AO$1006:$BQ$1006,0))&gt;=100000), " ",IF(INDEX($AO$2:$BQ$1001,MATCH(ROWS($AH$2:AH938),$AH$2:$AH$1001,0),MATCH(COLUMNS($AO$1006:AQ1006),$AO$1006:$BQ$1006,0)), HYPERLINK("#",""), HYPERLINK(CONCATENATE("#Metadata!", ADDRESS(INDEX($AJ$2:$AJ$1001,MATCH(ROWS($AH$2:AH938),$AH$2:$AH$1001,0),0), INDEX($AO$1004:$BQ$1004,1,MATCH(COLUMNS($AO$1006:AQ1006),$AO$1006:$BQ$1006,0)))),"Fix")))</f>
        <v>#N/A</v>
      </c>
      <c r="E938" s="5" t="e">
        <f ca="1">IF(OR(INDEX($AI$2:$AI$1001,MATCH(ROWS($AH$2:AH938),$AH$2:$AH$1001,0),1)&gt;=100000,INDEX($AO$1005:$BQ$1005,1,MATCH(COLUMNS($AO$1006:AR1006),$AO$1006:$BQ$1006,0))&gt;=100000), " ",IF(INDEX($AO$2:$BQ$1001,MATCH(ROWS($AH$2:AH938),$AH$2:$AH$1001,0),MATCH(COLUMNS($AO$1006:AR1006),$AO$1006:$BQ$1006,0)), HYPERLINK("#",""), HYPERLINK(CONCATENATE("#Metadata!", ADDRESS(INDEX($AJ$2:$AJ$1001,MATCH(ROWS($AH$2:AH938),$AH$2:$AH$1001,0),0), INDEX($AO$1004:$BQ$1004,1,MATCH(COLUMNS($AO$1006:AR1006),$AO$1006:$BQ$1006,0)))),"Fix")))</f>
        <v>#N/A</v>
      </c>
      <c r="F938" s="5" t="e">
        <f ca="1">IF(OR(INDEX($AI$2:$AI$1001,MATCH(ROWS($AH$2:AH938),$AH$2:$AH$1001,0),1)&gt;=100000,INDEX($AO$1005:$BQ$1005,1,MATCH(COLUMNS($AO$1006:AS1006),$AO$1006:$BQ$1006,0))&gt;=100000), " ",IF(INDEX($AO$2:$BQ$1001,MATCH(ROWS($AH$2:AH938),$AH$2:$AH$1001,0),MATCH(COLUMNS($AO$1006:AS1006),$AO$1006:$BQ$1006,0)), HYPERLINK("#",""), HYPERLINK(CONCATENATE("#Metadata!", ADDRESS(INDEX($AJ$2:$AJ$1001,MATCH(ROWS($AH$2:AH938),$AH$2:$AH$1001,0),0), INDEX($AO$1004:$BQ$1004,1,MATCH(COLUMNS($AO$1006:AS1006),$AO$1006:$BQ$1006,0)))),"Fix")))</f>
        <v>#N/A</v>
      </c>
      <c r="G938" s="5" t="e">
        <f ca="1">IF(OR(INDEX($AI$2:$AI$1001,MATCH(ROWS($AH$2:AH938),$AH$2:$AH$1001,0),1)&gt;=100000,INDEX($AO$1005:$BQ$1005,1,MATCH(COLUMNS($AO$1006:AT1006),$AO$1006:$BQ$1006,0))&gt;=100000), " ",IF(INDEX($AO$2:$BQ$1001,MATCH(ROWS($AH$2:AH938),$AH$2:$AH$1001,0),MATCH(COLUMNS($AO$1006:AT1006),$AO$1006:$BQ$1006,0)), HYPERLINK("#",""), HYPERLINK(CONCATENATE("#Metadata!", ADDRESS(INDEX($AJ$2:$AJ$1001,MATCH(ROWS($AH$2:AH938),$AH$2:$AH$1001,0),0), INDEX($AO$1004:$BQ$1004,1,MATCH(COLUMNS($AO$1006:AT1006),$AO$1006:$BQ$1006,0)))),"Fix")))</f>
        <v>#N/A</v>
      </c>
      <c r="H938" s="5" t="e">
        <f ca="1">IF(OR(INDEX($AI$2:$AI$1001,MATCH(ROWS($AH$2:AH938),$AH$2:$AH$1001,0),1)&gt;=100000,INDEX($AO$1005:$BQ$1005,1,MATCH(COLUMNS($AO$1006:AU1006),$AO$1006:$BQ$1006,0))&gt;=100000), " ",IF(INDEX($AO$2:$BQ$1001,MATCH(ROWS($AH$2:AH938),$AH$2:$AH$1001,0),MATCH(COLUMNS($AO$1006:AU1006),$AO$1006:$BQ$1006,0)), HYPERLINK("#",""), HYPERLINK(CONCATENATE("#Metadata!", ADDRESS(INDEX($AJ$2:$AJ$1001,MATCH(ROWS($AH$2:AH938),$AH$2:$AH$1001,0),0), INDEX($AO$1004:$BQ$1004,1,MATCH(COLUMNS($AO$1006:AU1006),$AO$1006:$BQ$1006,0)))),"Fix")))</f>
        <v>#N/A</v>
      </c>
      <c r="I938" s="5" t="e">
        <f ca="1">IF(OR(INDEX($AI$2:$AI$1001,MATCH(ROWS($AH$2:AH938),$AH$2:$AH$1001,0),1)&gt;=100000,INDEX($AO$1005:$BQ$1005,1,MATCH(COLUMNS($AO$1006:AV1006),$AO$1006:$BQ$1006,0))&gt;=100000), " ",IF(INDEX($AO$2:$BQ$1001,MATCH(ROWS($AH$2:AH938),$AH$2:$AH$1001,0),MATCH(COLUMNS($AO$1006:AV1006),$AO$1006:$BQ$1006,0)), HYPERLINK("#",""), HYPERLINK(CONCATENATE("#Metadata!", ADDRESS(INDEX($AJ$2:$AJ$1001,MATCH(ROWS($AH$2:AH938),$AH$2:$AH$1001,0),0), INDEX($AO$1004:$BQ$1004,1,MATCH(COLUMNS($AO$1006:AV1006),$AO$1006:$BQ$1006,0)))),"Fix")))</f>
        <v>#N/A</v>
      </c>
      <c r="J938" s="5" t="e">
        <f ca="1">IF(OR(INDEX($AI$2:$AI$1001,MATCH(ROWS($AH$2:AH938),$AH$2:$AH$1001,0),1)&gt;=100000,INDEX($AO$1005:$BQ$1005,1,MATCH(COLUMNS($AO$1006:AW1006),$AO$1006:$BQ$1006,0))&gt;=100000), " ",IF(INDEX($AO$2:$BQ$1001,MATCH(ROWS($AH$2:AH938),$AH$2:$AH$1001,0),MATCH(COLUMNS($AO$1006:AW1006),$AO$1006:$BQ$1006,0)), HYPERLINK("#",""), HYPERLINK(CONCATENATE("#Metadata!", ADDRESS(INDEX($AJ$2:$AJ$1001,MATCH(ROWS($AH$2:AH938),$AH$2:$AH$1001,0),0), INDEX($AO$1004:$BQ$1004,1,MATCH(COLUMNS($AO$1006:AW1006),$AO$1006:$BQ$1006,0)))),"Fix")))</f>
        <v>#N/A</v>
      </c>
      <c r="K938" s="5" t="e">
        <f ca="1">IF(OR(INDEX($AI$2:$AI$1001,MATCH(ROWS($AH$2:AH938),$AH$2:$AH$1001,0),1)&gt;=100000,INDEX($AO$1005:$BQ$1005,1,MATCH(COLUMNS($AO$1006:AX1006),$AO$1006:$BQ$1006,0))&gt;=100000), " ",IF(INDEX($AO$2:$BQ$1001,MATCH(ROWS($AH$2:AH938),$AH$2:$AH$1001,0),MATCH(COLUMNS($AO$1006:AX1006),$AO$1006:$BQ$1006,0)), HYPERLINK("#",""), HYPERLINK(CONCATENATE("#Metadata!", ADDRESS(INDEX($AJ$2:$AJ$1001,MATCH(ROWS($AH$2:AH938),$AH$2:$AH$1001,0),0), INDEX($AO$1004:$BQ$1004,1,MATCH(COLUMNS($AO$1006:AX1006),$AO$1006:$BQ$1006,0)))),"Fix")))</f>
        <v>#N/A</v>
      </c>
      <c r="L938" s="5" t="e">
        <f ca="1">IF(OR(INDEX($AI$2:$AI$1001,MATCH(ROWS($AH$2:AH938),$AH$2:$AH$1001,0),1)&gt;=100000,INDEX($AO$1005:$BQ$1005,1,MATCH(COLUMNS($AO$1006:AY1006),$AO$1006:$BQ$1006,0))&gt;=100000), " ",IF(INDEX($AO$2:$BQ$1001,MATCH(ROWS($AH$2:AH938),$AH$2:$AH$1001,0),MATCH(COLUMNS($AO$1006:AY1006),$AO$1006:$BQ$1006,0)), HYPERLINK("#",""), HYPERLINK(CONCATENATE("#Metadata!", ADDRESS(INDEX($AJ$2:$AJ$1001,MATCH(ROWS($AH$2:AH938),$AH$2:$AH$1001,0),0), INDEX($AO$1004:$BQ$1004,1,MATCH(COLUMNS($AO$1006:AY1006),$AO$1006:$BQ$1006,0)))),"Fix")))</f>
        <v>#N/A</v>
      </c>
      <c r="M938" s="5" t="e">
        <f ca="1">IF(OR(INDEX($AI$2:$AI$1001,MATCH(ROWS($AH$2:AH938),$AH$2:$AH$1001,0),1)&gt;=100000,INDEX($AO$1005:$BQ$1005,1,MATCH(COLUMNS($AO$1006:AZ1006),$AO$1006:$BQ$1006,0))&gt;=100000), " ",IF(INDEX($AO$2:$BQ$1001,MATCH(ROWS($AH$2:AH938),$AH$2:$AH$1001,0),MATCH(COLUMNS($AO$1006:AZ1006),$AO$1006:$BQ$1006,0)), HYPERLINK("#",""), HYPERLINK(CONCATENATE("#Metadata!", ADDRESS(INDEX($AJ$2:$AJ$1001,MATCH(ROWS($AH$2:AH938),$AH$2:$AH$1001,0),0), INDEX($AO$1004:$BQ$1004,1,MATCH(COLUMNS($AO$1006:AZ1006),$AO$1006:$BQ$1006,0)))),"Fix")))</f>
        <v>#N/A</v>
      </c>
      <c r="N938" s="5" t="e">
        <f ca="1">IF(OR(INDEX($AI$2:$AI$1001,MATCH(ROWS($AH$2:AH938),$AH$2:$AH$1001,0),1)&gt;=100000,INDEX($AO$1005:$BQ$1005,1,MATCH(COLUMNS($AO$1006:BA1006),$AO$1006:$BQ$1006,0))&gt;=100000), " ",IF(INDEX($AO$2:$BQ$1001,MATCH(ROWS($AH$2:AH938),$AH$2:$AH$1001,0),MATCH(COLUMNS($AO$1006:BA1006),$AO$1006:$BQ$1006,0)), HYPERLINK("#",""), HYPERLINK(CONCATENATE("#Metadata!", ADDRESS(INDEX($AJ$2:$AJ$1001,MATCH(ROWS($AH$2:AH938),$AH$2:$AH$1001,0),0), INDEX($AO$1004:$BQ$1004,1,MATCH(COLUMNS($AO$1006:BA1006),$AO$1006:$BQ$1006,0)))),"Fix")))</f>
        <v>#N/A</v>
      </c>
      <c r="O938" s="5" t="e">
        <f ca="1">IF(OR(INDEX($AI$2:$AI$1001,MATCH(ROWS($AH$2:AH938),$AH$2:$AH$1001,0),1)&gt;=100000,INDEX($AO$1005:$BQ$1005,1,MATCH(COLUMNS($AO$1006:BB1006),$AO$1006:$BQ$1006,0))&gt;=100000), " ",IF(INDEX($AO$2:$BQ$1001,MATCH(ROWS($AH$2:AH938),$AH$2:$AH$1001,0),MATCH(COLUMNS($AO$1006:BB1006),$AO$1006:$BQ$1006,0)), HYPERLINK("#",""), HYPERLINK(CONCATENATE("#Metadata!", ADDRESS(INDEX($AJ$2:$AJ$1001,MATCH(ROWS($AH$2:AH938),$AH$2:$AH$1001,0),0), INDEX($AO$1004:$BQ$1004,1,MATCH(COLUMNS($AO$1006:BB1006),$AO$1006:$BQ$1006,0)))),"Fix")))</f>
        <v>#N/A</v>
      </c>
      <c r="P938" s="5" t="e">
        <f ca="1">IF(OR(INDEX($AI$2:$AI$1001,MATCH(ROWS($AH$2:AH938),$AH$2:$AH$1001,0),1)&gt;=100000,INDEX($AO$1005:$BQ$1005,1,MATCH(COLUMNS($AO$1006:BC1006),$AO$1006:$BQ$1006,0))&gt;=100000), " ",IF(INDEX($AO$2:$BQ$1001,MATCH(ROWS($AH$2:AH938),$AH$2:$AH$1001,0),MATCH(COLUMNS($AO$1006:BC1006),$AO$1006:$BQ$1006,0)), HYPERLINK("#",""), HYPERLINK(CONCATENATE("#Metadata!", ADDRESS(INDEX($AJ$2:$AJ$1001,MATCH(ROWS($AH$2:AH938),$AH$2:$AH$1001,0),0), INDEX($AO$1004:$BQ$1004,1,MATCH(COLUMNS($AO$1006:BC1006),$AO$1006:$BQ$1006,0)))),"Fix")))</f>
        <v>#N/A</v>
      </c>
      <c r="Q938" s="5" t="e">
        <f ca="1">IF(OR(INDEX($AI$2:$AI$1001,MATCH(ROWS($AH$2:AH938),$AH$2:$AH$1001,0),1)&gt;=100000,INDEX($AO$1005:$BQ$1005,1,MATCH(COLUMNS($AO$1006:BD1006),$AO$1006:$BQ$1006,0))&gt;=100000), " ",IF(INDEX($AO$2:$BQ$1001,MATCH(ROWS($AH$2:AH938),$AH$2:$AH$1001,0),MATCH(COLUMNS($AO$1006:BD1006),$AO$1006:$BQ$1006,0)), HYPERLINK("#",""), HYPERLINK(CONCATENATE("#Metadata!", ADDRESS(INDEX($AJ$2:$AJ$1001,MATCH(ROWS($AH$2:AH938),$AH$2:$AH$1001,0),0), INDEX($AO$1004:$BQ$1004,1,MATCH(COLUMNS($AO$1006:BD1006),$AO$1006:$BQ$1006,0)))),"Fix")))</f>
        <v>#N/A</v>
      </c>
      <c r="R938" s="5" t="e">
        <f ca="1">IF(OR(INDEX($AI$2:$AI$1001,MATCH(ROWS($AH$2:AH938),$AH$2:$AH$1001,0),1)&gt;=100000,INDEX($AO$1005:$BQ$1005,1,MATCH(COLUMNS($AO$1006:BE1006),$AO$1006:$BQ$1006,0))&gt;=100000), " ",IF(INDEX($AO$2:$BQ$1001,MATCH(ROWS($AH$2:AH938),$AH$2:$AH$1001,0),MATCH(COLUMNS($AO$1006:BE1006),$AO$1006:$BQ$1006,0)), HYPERLINK("#",""), HYPERLINK(CONCATENATE("#Metadata!", ADDRESS(INDEX($AJ$2:$AJ$1001,MATCH(ROWS($AH$2:AH938),$AH$2:$AH$1001,0),0), INDEX($AO$1004:$BQ$1004,1,MATCH(COLUMNS($AO$1006:BE1006),$AO$1006:$BQ$1006,0)))),"Fix")))</f>
        <v>#N/A</v>
      </c>
      <c r="S938" s="5" t="e">
        <f ca="1">IF(OR(INDEX($AI$2:$AI$1001,MATCH(ROWS($AH$2:AH938),$AH$2:$AH$1001,0),1)&gt;=100000,INDEX($AO$1005:$BQ$1005,1,MATCH(COLUMNS($AO$1006:BF1006),$AO$1006:$BQ$1006,0))&gt;=100000), " ",IF(INDEX($AO$2:$BQ$1001,MATCH(ROWS($AH$2:AH938),$AH$2:$AH$1001,0),MATCH(COLUMNS($AO$1006:BF1006),$AO$1006:$BQ$1006,0)), HYPERLINK("#",""), HYPERLINK(CONCATENATE("#Metadata!", ADDRESS(INDEX($AJ$2:$AJ$1001,MATCH(ROWS($AH$2:AH938),$AH$2:$AH$1001,0),0), INDEX($AO$1004:$BQ$1004,1,MATCH(COLUMNS($AO$1006:BF1006),$AO$1006:$BQ$1006,0)))),"Fix")))</f>
        <v>#N/A</v>
      </c>
      <c r="T938" s="5" t="e">
        <f ca="1">IF(OR(INDEX($AI$2:$AI$1001,MATCH(ROWS($AH$2:AH938),$AH$2:$AH$1001,0),1)&gt;=100000,INDEX($AO$1005:$BQ$1005,1,MATCH(COLUMNS($AO$1006:BG1006),$AO$1006:$BQ$1006,0))&gt;=100000), " ",IF(INDEX($AO$2:$BQ$1001,MATCH(ROWS($AH$2:AH938),$AH$2:$AH$1001,0),MATCH(COLUMNS($AO$1006:BG1006),$AO$1006:$BQ$1006,0)), HYPERLINK("#",""), HYPERLINK(CONCATENATE("#Metadata!", ADDRESS(INDEX($AJ$2:$AJ$1001,MATCH(ROWS($AH$2:AH938),$AH$2:$AH$1001,0),0), INDEX($AO$1004:$BQ$1004,1,MATCH(COLUMNS($AO$1006:BG1006),$AO$1006:$BQ$1006,0)))),"Fix")))</f>
        <v>#N/A</v>
      </c>
      <c r="U938" s="5" t="e">
        <f ca="1">IF(OR(INDEX($AI$2:$AI$1001,MATCH(ROWS($AH$2:AH938),$AH$2:$AH$1001,0),1)&gt;=100000,INDEX($AO$1005:$BQ$1005,1,MATCH(COLUMNS($AO$1006:BH1006),$AO$1006:$BQ$1006,0))&gt;=100000), " ",IF(INDEX($AO$2:$BQ$1001,MATCH(ROWS($AH$2:AH938),$AH$2:$AH$1001,0),MATCH(COLUMNS($AO$1006:BH1006),$AO$1006:$BQ$1006,0)), HYPERLINK("#",""), HYPERLINK(CONCATENATE("#Metadata!", ADDRESS(INDEX($AJ$2:$AJ$1001,MATCH(ROWS($AH$2:AH938),$AH$2:$AH$1001,0),0), INDEX($AO$1004:$BQ$1004,1,MATCH(COLUMNS($AO$1006:BH1006),$AO$1006:$BQ$1006,0)))),"Fix")))</f>
        <v>#N/A</v>
      </c>
      <c r="V938" s="5" t="e">
        <f ca="1">IF(OR(INDEX($AI$2:$AI$1001,MATCH(ROWS($AH$2:AH938),$AH$2:$AH$1001,0),1)&gt;=100000,INDEX($AO$1005:$BQ$1005,1,MATCH(COLUMNS($AO$1006:BI1006),$AO$1006:$BQ$1006,0))&gt;=100000), " ",IF(INDEX($AO$2:$BQ$1001,MATCH(ROWS($AH$2:AH938),$AH$2:$AH$1001,0),MATCH(COLUMNS($AO$1006:BI1006),$AO$1006:$BQ$1006,0)), HYPERLINK("#",""), HYPERLINK(CONCATENATE("#Metadata!", ADDRESS(INDEX($AJ$2:$AJ$1001,MATCH(ROWS($AH$2:AH938),$AH$2:$AH$1001,0),0), INDEX($AO$1004:$BQ$1004,1,MATCH(COLUMNS($AO$1006:BI1006),$AO$1006:$BQ$1006,0)))),"Fix")))</f>
        <v>#N/A</v>
      </c>
      <c r="W938" s="5" t="e">
        <f ca="1">IF(OR(INDEX($AI$2:$AI$1001,MATCH(ROWS($AH$2:AH938),$AH$2:$AH$1001,0),1)&gt;=100000,INDEX($AO$1005:$BQ$1005,1,MATCH(COLUMNS($AO$1006:BJ1006),$AO$1006:$BQ$1006,0))&gt;=100000), " ",IF(INDEX($AO$2:$BQ$1001,MATCH(ROWS($AH$2:AH938),$AH$2:$AH$1001,0),MATCH(COLUMNS($AO$1006:BJ1006),$AO$1006:$BQ$1006,0)), HYPERLINK("#",""), HYPERLINK(CONCATENATE("#Metadata!", ADDRESS(INDEX($AJ$2:$AJ$1001,MATCH(ROWS($AH$2:AH938),$AH$2:$AH$1001,0),0), INDEX($AO$1004:$BQ$1004,1,MATCH(COLUMNS($AO$1006:BJ1006),$AO$1006:$BQ$1006,0)))),"Fix")))</f>
        <v>#N/A</v>
      </c>
      <c r="X938" s="5" t="e">
        <f ca="1">IF(OR(INDEX($AI$2:$AI$1001,MATCH(ROWS($AH$2:AH938),$AH$2:$AH$1001,0),1)&gt;=100000,INDEX($AO$1005:$BQ$1005,1,MATCH(COLUMNS($AO$1006:BK1006),$AO$1006:$BQ$1006,0))&gt;=100000), " ",IF(INDEX($AO$2:$BQ$1001,MATCH(ROWS($AH$2:AH938),$AH$2:$AH$1001,0),MATCH(COLUMNS($AO$1006:BK1006),$AO$1006:$BQ$1006,0)), HYPERLINK("#",""), HYPERLINK(CONCATENATE("#Metadata!", ADDRESS(INDEX($AJ$2:$AJ$1001,MATCH(ROWS($AH$2:AH938),$AH$2:$AH$1001,0),0), INDEX($AO$1004:$BQ$1004,1,MATCH(COLUMNS($AO$1006:BK1006),$AO$1006:$BQ$1006,0)))),"Fix")))</f>
        <v>#N/A</v>
      </c>
      <c r="Y938" s="5" t="e">
        <f ca="1">IF(OR(INDEX($AI$2:$AI$1001,MATCH(ROWS($AH$2:AH938),$AH$2:$AH$1001,0),1)&gt;=100000,INDEX($AO$1005:$BQ$1005,1,MATCH(COLUMNS($AO$1006:BL1006),$AO$1006:$BQ$1006,0))&gt;=100000), " ",IF(INDEX($AO$2:$BQ$1001,MATCH(ROWS($AH$2:AH938),$AH$2:$AH$1001,0),MATCH(COLUMNS($AO$1006:BL1006),$AO$1006:$BQ$1006,0)), HYPERLINK("#",""), HYPERLINK(CONCATENATE("#Metadata!", ADDRESS(INDEX($AJ$2:$AJ$1001,MATCH(ROWS($AH$2:AH938),$AH$2:$AH$1001,0),0), INDEX($AO$1004:$BQ$1004,1,MATCH(COLUMNS($AO$1006:BL1006),$AO$1006:$BQ$1006,0)))),"Fix")))</f>
        <v>#N/A</v>
      </c>
      <c r="Z938" s="5" t="e">
        <f ca="1">IF(OR(INDEX($AI$2:$AI$1001,MATCH(ROWS($AH$2:AH938),$AH$2:$AH$1001,0),1)&gt;=100000,INDEX($AO$1005:$BQ$1005,1,MATCH(COLUMNS($AO$1006:BM1006),$AO$1006:$BQ$1006,0))&gt;=100000), " ",IF(INDEX($AO$2:$BQ$1001,MATCH(ROWS($AH$2:AH938),$AH$2:$AH$1001,0),MATCH(COLUMNS($AO$1006:BM1006),$AO$1006:$BQ$1006,0)), HYPERLINK("#",""), HYPERLINK(CONCATENATE("#Metadata!", ADDRESS(INDEX($AJ$2:$AJ$1001,MATCH(ROWS($AH$2:AH938),$AH$2:$AH$1001,0),0), INDEX($AO$1004:$BQ$1004,1,MATCH(COLUMNS($AO$1006:BM1006),$AO$1006:$BQ$1006,0)))),"Fix")))</f>
        <v>#N/A</v>
      </c>
      <c r="AA938" s="5" t="e">
        <f ca="1">IF(OR(INDEX($AI$2:$AI$1001,MATCH(ROWS($AH$2:AH938),$AH$2:$AH$1001,0),1)&gt;=100000,INDEX($AO$1005:$BQ$1005,1,MATCH(COLUMNS($AO$1006:BN1006),$AO$1006:$BQ$1006,0))&gt;=100000), " ",IF(INDEX($AO$2:$BQ$1001,MATCH(ROWS($AH$2:AH938),$AH$2:$AH$1001,0),MATCH(COLUMNS($AO$1006:BN1006),$AO$1006:$BQ$1006,0)), HYPERLINK("#",""), HYPERLINK(CONCATENATE("#Metadata!", ADDRESS(INDEX($AJ$2:$AJ$1001,MATCH(ROWS($AH$2:AH938),$AH$2:$AH$1001,0),0), INDEX($AO$1004:$BQ$1004,1,MATCH(COLUMNS($AO$1006:BN1006),$AO$1006:$BQ$1006,0)))),"Fix")))</f>
        <v>#N/A</v>
      </c>
      <c r="AB938" s="5" t="e">
        <f ca="1">IF(OR(INDEX($AI$2:$AI$1001,MATCH(ROWS($AH$2:AH938),$AH$2:$AH$1001,0),1)&gt;=100000,INDEX($AO$1005:$BQ$1005,1,MATCH(COLUMNS($AO$1006:BO1006),$AO$1006:$BQ$1006,0))&gt;=100000), " ",IF(INDEX($AO$2:$BQ$1001,MATCH(ROWS($AH$2:AH938),$AH$2:$AH$1001,0),MATCH(COLUMNS($AO$1006:BO1006),$AO$1006:$BQ$1006,0)), HYPERLINK("#",""), HYPERLINK(CONCATENATE("#Metadata!", ADDRESS(INDEX($AJ$2:$AJ$1001,MATCH(ROWS($AH$2:AH938),$AH$2:$AH$1001,0),0), INDEX($AO$1004:$BQ$1004,1,MATCH(COLUMNS($AO$1006:BO1006),$AO$1006:$BQ$1006,0)))),"Fix")))</f>
        <v>#N/A</v>
      </c>
      <c r="AC938" s="5" t="e">
        <f ca="1">IF(OR(INDEX($AI$2:$AI$1001,MATCH(ROWS($AH$2:AH938),$AH$2:$AH$1001,0),1)&gt;=100000,INDEX($AO$1005:$BQ$1005,1,MATCH(COLUMNS($AO$1006:BP1006),$AO$1006:$BQ$1006,0))&gt;=100000), " ",IF(INDEX($AO$2:$BQ$1001,MATCH(ROWS($AH$2:AH938),$AH$2:$AH$1001,0),MATCH(COLUMNS($AO$1006:BP1006),$AO$1006:$BQ$1006,0)), HYPERLINK("#",""), HYPERLINK(CONCATENATE("#Metadata!", ADDRESS(INDEX($AJ$2:$AJ$1001,MATCH(ROWS($AH$2:AH938),$AH$2:$AH$1001,0),0), INDEX($AO$1004:$BQ$1004,1,MATCH(COLUMNS($AO$1006:BP1006),$AO$1006:$BQ$1006,0)))),"Fix")))</f>
        <v>#N/A</v>
      </c>
      <c r="AD938" s="5" t="e">
        <f ca="1">IF(OR(INDEX($AI$2:$AI$1001,MATCH(ROWS($AH$2:AH938),$AH$2:$AH$1001,0),1)&gt;=100000,INDEX($AO$1005:$BQ$1005,1,MATCH(COLUMNS($AO$1006:BQ1006),$AO$1006:$BQ$1006,0))&gt;=100000), " ",IF(INDEX($AO$2:$BQ$1001,MATCH(ROWS($AH$2:AH938),$AH$2:$AH$1001,0),MATCH(COLUMNS($AO$1006:BQ1006),$AO$1006:$BQ$1006,0)), HYPERLINK("#",""), HYPERLINK(CONCATENATE("#Metadata!", ADDRESS(INDEX($AJ$2:$AJ$1001,MATCH(ROWS($AH$2:AH938),$AH$2:$AH$1001,0),0), INDEX($AO$1004:$BQ$1004,1,MATCH(COLUMNS($AO$1006:BQ1006),$AO$1006:$BQ$1006,0)))),"Fix")))</f>
        <v>#REF!</v>
      </c>
      <c r="AH938">
        <f ca="1"/>
        <v>935</v>
      </c>
      <c r="AI938">
        <v>100938</v>
      </c>
      <c r="AJ938">
        <v>938</v>
      </c>
      <c r="AK938" t="b">
        <f t="shared" si="14"/>
        <v>1</v>
      </c>
      <c r="AL938" t="b">
        <f>COUNTBLANK(Metadata!B938:AD938)=COLUMNS(Metadata!B938:AD938)</f>
        <v>1</v>
      </c>
      <c r="AM938" t="str">
        <v/>
      </c>
      <c r="AO938" t="b">
        <f ca="1">AND(IF(Metadata!B938="",FALSE,TRUE),COUNTIF(Metadata!B:B, Metadata!B938) = 1,NOT(ISERROR(SUMPRODUCT(SEARCH(MID(Metadata!B938,ROW(INDIRECT("1:"&amp;LEN(Metadata!B938))), 1),"0123456789abcdefghijklmnopqrstuvwxyzABCDEFGHIJKLMNOPQRSTUVWXYZ.")))))</f>
        <v>0</v>
      </c>
      <c r="AP938" t="b">
        <f>IF(Metadata!C938="",FALSE,TRUE)</f>
        <v>0</v>
      </c>
      <c r="AQ938" t="b">
        <f>IF(Metadata!D938="",FALSE,TRUE)</f>
        <v>0</v>
      </c>
      <c r="AR938" t="b">
        <f ca="1">OR(AND(IF(Metadata!E938="",FALSE,TRUE),OR(EXACT(Metadata!E938,"not collected"),EXACT(Metadata!E938,"not provided"),EXACT(Metadata!E938,"restricted access"))),AND(IF(Metadata!E938="",FALSE,TRUE),AND(AND(IFERROR(INT(LEFT(Metadata!E938,4))&gt;1900,FALSE),IFERROR(INT(LEFT(Metadata!E938,4))&lt;=YEAR(NOW()),FALSE)), OR(MID(Metadata!E938,5,1)="", AND(AND(MID(Metadata!E938,5,1)="-",IFERROR(INT(MID(Metadata!E938,6,1))&gt;=0,FALSE),IFERROR(INT(MID(Metadata!E938,6,1))&lt;=1,FALSE),NOT(MID(Metadata!E938,7,1)=""),IFERROR(INT(MID(Metadata!E938,6,2))&gt;=1,FALSE),IFERROR(INT(MID(Metadata!E938,6,2))&lt;=12,FALSE)), OR(MID(Metadata!E938,8,1)="", AND(AND(MID(Metadata!E938,8,1)="-",IFERROR(INT(MID(Metadata!E938,9,1))&gt;=0,FALSE),IFERROR(INT(MID(Metadata!E938,9,1))&lt;=3,FALSE),NOT(MID(Metadata!E938,10,1)=""),IFERROR(INT(MID(Metadata!E938,9,2))&gt;=1,FALSE),IFERROR(INT(MID(Metadata!E938,9,2))&lt;=31,FALSE)), OR(MID(Metadata!E938,11,1)="", AND(AND(MID(Metadata!E938,11,1)=" ",IFERROR(INT(MID(Metadata!E938,12,1))&gt;=0,FALSE),IFERROR(INT(MID(Metadata!E938,12,1))&lt;=2,FALSE),NOT(MID(Metadata!E938,13,1)=""),IFERROR(INT(MID(Metadata!E938,12,2))&gt;=0,FALSE),IFERROR(INT(MID(Metadata!E938,12,2))&lt;=23,FALSE)), OR(MID(Metadata!E938,14,1)="", AND(AND(MID(Metadata!E938,14,1)=":",IFERROR(INT(MID(Metadata!E938,15,1))&gt;=0,FALSE),IFERROR(INT(MID(Metadata!E938,15,1))&lt;=5,FALSE),NOT(MID(Metadata!E938,16,1)=""),IFERROR(INT(MID(Metadata!E938,15,2))&gt;=0,FALSE),IFERROR(INT(MID(Metadata!E938,15,2))&lt;=59,FALSE)), OR(MID(Metadata!E938,17,1)="", AND(AND(MID(Metadata!E938,17,1)=":",IFERROR(INT(MID(Metadata!E938,18,1))&gt;=0,FALSE),IFERROR(INT(MID(Metadata!E938,18,1))&lt;=5,FALSE),NOT(MID(Metadata!E938,19,1)=""),IFERROR(INT(MID(Metadata!E938,18,2))&gt;=0,FALSE),IFERROR(INT(MID(Metadata!E938,18,2))&lt;=59,FALSE)), LEN(Metadata!E938)&lt;=19)))))))))))))</f>
        <v>0</v>
      </c>
      <c r="AS938" t="b">
        <f>IF(Metadata!F938="",FALSE,TRUE)</f>
        <v>0</v>
      </c>
      <c r="AT938" t="b">
        <f>OR(AND(IF(Metadata!G938="",FALSE,TRUE),OR(EXACT(Metadata!G938,"not collected"),EXACT(Metadata!G938,"not provided"))),AND(IF(Metadata!G938="",FALSE,TRUE),OR(EXACT(Metadata!G938,"TRUE"),EXACT(Metadata!G938,"FALSE"))))</f>
        <v>0</v>
      </c>
      <c r="AU938" t="b">
        <f>OR(AND(IF(Metadata!H938="",FALSE,TRUE),OR(EXACT(Metadata!H938,"not collected"),EXACT(Metadata!H938,"not provided"),EXACT(Metadata!H938,"restricted access"))),AND(IF(Metadata!H938="",FALSE,ISNUMBER(VALUE(Metadata!H938))),Metadata!H938&gt;=-413))</f>
        <v>0</v>
      </c>
      <c r="AV938" t="b">
        <f>AND(IF(Metadata!I938="",FALSE,TRUE),EXACT(Metadata!I938,"meters"))</f>
        <v>0</v>
      </c>
      <c r="AW938" t="b">
        <f>AND(IF(Metadata!J938="",FALSE,TRUE),EXACT(Metadata!J938,"free-living"))</f>
        <v>0</v>
      </c>
      <c r="AX938" t="b">
        <f>AND(IF(Metadata!K938="",FALSE,TRUE),OR(EXACT(Metadata!K938,"saline"),EXACT(Metadata!K938,"non-saline")))</f>
        <v>0</v>
      </c>
      <c r="AY938" t="b">
        <f>AND(IF(Metadata!L938="",FALSE,TRUE),OR(EXACT(Metadata!L938,"sub-surface (non-saline)"),EXACT(Metadata!L938,"surface (non-saline)"),EXACT(Metadata!L938,"water (non-saline)"),EXACT(Metadata!L938,"soil (non-saline)"),EXACT(Metadata!L938,"aerosol (non-saline)"),EXACT(Metadata!L938,"sediment (non-saline)"),EXACT(Metadata!L938,"surface (saline)"),EXACT(Metadata!L938,"water (saline)"),EXACT(Metadata!L938,"hypersaline (saline)"),EXACT(Metadata!L938,"aerosol (saline)"),EXACT(Metadata!L938,"sediment (saline)")))</f>
        <v>0</v>
      </c>
      <c r="AZ938" t="b">
        <f>IF(Metadata!M938="",FALSE,TRUE)</f>
        <v>0</v>
      </c>
      <c r="BA938" t="b">
        <f>IF(Metadata!N938="",FALSE,TRUE)</f>
        <v>0</v>
      </c>
      <c r="BB938" t="b">
        <f>IF(Metadata!O938="",FALSE,TRUE)</f>
        <v>0</v>
      </c>
      <c r="BC938" t="b">
        <f>AND(IF(Metadata!P938="",FALSE,TRUE),OR(EXACT(Metadata!P938,"air"),EXACT(Metadata!P938,"microbial mat/biofilm"),EXACT(Metadata!P938,"misc environment"),EXACT(Metadata!P938,"sediment"),EXACT(Metadata!P938,"soil"),EXACT(Metadata!P938,"wastewater/sludge"),EXACT(Metadata!P938,"water")))</f>
        <v>0</v>
      </c>
      <c r="BD938" t="b">
        <f>IF(Metadata!Q938="",FALSE,TRUE)</f>
        <v>0</v>
      </c>
      <c r="BE938" t="b">
        <f>IF(Metadata!R938="",FALSE,TRUE)</f>
        <v>0</v>
      </c>
      <c r="BF938" t="b">
        <f>OR(AND(IF(Metadata!S938="",FALSE,TRUE),OR(EXACT(Metadata!S938,"not collected"),EXACT(Metadata!S938,"not provided"),EXACT(Metadata!S938,"restricted access"))),AND(IF(Metadata!S938="",FALSE,ISNUMBER(VALUE(Metadata!S938))),Metadata!S938&gt;=-90,Metadata!S938&lt;=90))</f>
        <v>0</v>
      </c>
      <c r="BG938" t="b">
        <f>AND(IF(Metadata!T938="",FALSE,TRUE),EXACT(Metadata!T938,"Decimal degrees"))</f>
        <v>0</v>
      </c>
      <c r="BH938" t="b">
        <f>OR(AND(IF(Metadata!U938="",FALSE,TRUE),OR(EXACT(Metadata!U938,"not applicable"),EXACT(Metadata!U938,"not collected"))),IF(Metadata!U938="",FALSE,TRUE))</f>
        <v>0</v>
      </c>
      <c r="BI938" t="b">
        <f>OR(AND(IF(Metadata!V938="",FALSE,TRUE),OR(EXACT(Metadata!V938,"not collected"),EXACT(Metadata!V938,"not provided"),EXACT(Metadata!V938,"restricted access"))),AND(IF(Metadata!V938="",FALSE,ISNUMBER(VALUE(Metadata!V938))),Metadata!V938&gt;=-180,Metadata!V938&lt;=180))</f>
        <v>0</v>
      </c>
      <c r="BJ938" t="b">
        <f>AND(IF(Metadata!W938="",FALSE,TRUE),EXACT(Metadata!W938,"Decimal degrees"))</f>
        <v>0</v>
      </c>
      <c r="BK938" t="b">
        <f>IF(Metadata!X938="",FALSE,TRUE)</f>
        <v>0</v>
      </c>
      <c r="BL938" t="b">
        <f>OR(AND(IF(Metadata!Y938="",FALSE,TRUE),OR(EXACT(Metadata!Y938,"not collected"),EXACT(Metadata!Y938,"not provided"),EXACT(Metadata!Y938,"restricted access"))),AND(IF(Metadata!Y938="",FALSE,TRUE),OR(EXACT(Metadata!Y938,"TRUE"),EXACT(Metadata!Y938,"FALSE"))))</f>
        <v>0</v>
      </c>
      <c r="BM938" t="b">
        <f>OR(AND(IF(Metadata!Z938="",FALSE,TRUE),EXACT(Metadata!Z938,"not applicable")),AND(IF(Metadata!Z938="",FALSE,TRUE),OR(EXACT(Metadata!Z938,"beer"),EXACT(Metadata!Z938,"cheese"),EXACT(Metadata!Z938,"fresh water"),EXACT(Metadata!Z938,"marine sediment"),EXACT(Metadata!Z938,"sea water"),EXACT(Metadata!Z938,"sediment"),EXACT(Metadata!Z938,"soil"),EXACT(Metadata!Z938,"waste water"))))</f>
        <v>0</v>
      </c>
      <c r="BN938" t="b">
        <f>AND(IF(Metadata!AA938="",FALSE,TRUE),EXACT(Metadata!AA938,"metagenome"))</f>
        <v>0</v>
      </c>
      <c r="BO938" t="b">
        <f>AND(IF(Metadata!AB938="",FALSE,TRUE),EXACT(Metadata!AB938,"256318"))</f>
        <v>0</v>
      </c>
      <c r="BP938" t="b">
        <f>IF(Metadata!AC938="",FALSE,TRUE)</f>
        <v>0</v>
      </c>
      <c r="BQ938" t="b">
        <f>IF(Metadata!AD938="",FALSE,TRUE)</f>
        <v>0</v>
      </c>
    </row>
    <row r="939" spans="1:69" x14ac:dyDescent="0.2">
      <c r="A939" s="4" t="e">
        <f ca="1">IF(B939=" "," ",HYPERLINK(CONCATENATE("#metadata!",ADDRESS(INDEX($AJ$2:$AJ$1001,MATCH(ROWS($AH$2:AH939),$AH$2:$AH$1001,0),0),2)),INDEX($AM$2:$AM$1001,MATCH(ROWS($AH$2:AH939),$AH$2:$AH$1001,0),0)))</f>
        <v>#N/A</v>
      </c>
      <c r="B939" s="5" t="e">
        <f ca="1">IF(OR(INDEX($AI$2:$AI$1001,MATCH(ROWS($AH$2:AH939),$AH$2:$AH$1001,0),1)&gt;=100000,INDEX($AO$1005:$BQ$1005,1,MATCH(COLUMNS($AO$1006:AO1006),$AO$1006:$BQ$1006,0))&gt;=100000), " ",IF(INDEX($AO$2:$BQ$1001,MATCH(ROWS($AH$2:AH939),$AH$2:$AH$1001,0),MATCH(COLUMNS($AO$1006:AO1006),$AO$1006:$BQ$1006,0)), HYPERLINK("#",""), HYPERLINK(CONCATENATE("#Metadata!", ADDRESS(INDEX($AJ$2:$AJ$1001,MATCH(ROWS($AH$2:AH939),$AH$2:$AH$1001,0),0), INDEX($AO$1004:$BQ$1004,1,MATCH(COLUMNS($AO$1006:AO1006),$AO$1006:$BQ$1006,0)))),"Fix")))</f>
        <v>#N/A</v>
      </c>
      <c r="C939" s="5" t="e">
        <f ca="1">IF(OR(INDEX($AI$2:$AI$1001,MATCH(ROWS($AH$2:AH939),$AH$2:$AH$1001,0),1)&gt;=100000,INDEX($AO$1005:$BQ$1005,1,MATCH(COLUMNS($AO$1006:AP1006),$AO$1006:$BQ$1006,0))&gt;=100000), " ",IF(INDEX($AO$2:$BQ$1001,MATCH(ROWS($AH$2:AH939),$AH$2:$AH$1001,0),MATCH(COLUMNS($AO$1006:AP1006),$AO$1006:$BQ$1006,0)), HYPERLINK("#",""), HYPERLINK(CONCATENATE("#Metadata!", ADDRESS(INDEX($AJ$2:$AJ$1001,MATCH(ROWS($AH$2:AH939),$AH$2:$AH$1001,0),0), INDEX($AO$1004:$BQ$1004,1,MATCH(COLUMNS($AO$1006:AP1006),$AO$1006:$BQ$1006,0)))),"Fix")))</f>
        <v>#N/A</v>
      </c>
      <c r="D939" s="5" t="e">
        <f ca="1">IF(OR(INDEX($AI$2:$AI$1001,MATCH(ROWS($AH$2:AH939),$AH$2:$AH$1001,0),1)&gt;=100000,INDEX($AO$1005:$BQ$1005,1,MATCH(COLUMNS($AO$1006:AQ1006),$AO$1006:$BQ$1006,0))&gt;=100000), " ",IF(INDEX($AO$2:$BQ$1001,MATCH(ROWS($AH$2:AH939),$AH$2:$AH$1001,0),MATCH(COLUMNS($AO$1006:AQ1006),$AO$1006:$BQ$1006,0)), HYPERLINK("#",""), HYPERLINK(CONCATENATE("#Metadata!", ADDRESS(INDEX($AJ$2:$AJ$1001,MATCH(ROWS($AH$2:AH939),$AH$2:$AH$1001,0),0), INDEX($AO$1004:$BQ$1004,1,MATCH(COLUMNS($AO$1006:AQ1006),$AO$1006:$BQ$1006,0)))),"Fix")))</f>
        <v>#N/A</v>
      </c>
      <c r="E939" s="5" t="e">
        <f ca="1">IF(OR(INDEX($AI$2:$AI$1001,MATCH(ROWS($AH$2:AH939),$AH$2:$AH$1001,0),1)&gt;=100000,INDEX($AO$1005:$BQ$1005,1,MATCH(COLUMNS($AO$1006:AR1006),$AO$1006:$BQ$1006,0))&gt;=100000), " ",IF(INDEX($AO$2:$BQ$1001,MATCH(ROWS($AH$2:AH939),$AH$2:$AH$1001,0),MATCH(COLUMNS($AO$1006:AR1006),$AO$1006:$BQ$1006,0)), HYPERLINK("#",""), HYPERLINK(CONCATENATE("#Metadata!", ADDRESS(INDEX($AJ$2:$AJ$1001,MATCH(ROWS($AH$2:AH939),$AH$2:$AH$1001,0),0), INDEX($AO$1004:$BQ$1004,1,MATCH(COLUMNS($AO$1006:AR1006),$AO$1006:$BQ$1006,0)))),"Fix")))</f>
        <v>#N/A</v>
      </c>
      <c r="F939" s="5" t="e">
        <f ca="1">IF(OR(INDEX($AI$2:$AI$1001,MATCH(ROWS($AH$2:AH939),$AH$2:$AH$1001,0),1)&gt;=100000,INDEX($AO$1005:$BQ$1005,1,MATCH(COLUMNS($AO$1006:AS1006),$AO$1006:$BQ$1006,0))&gt;=100000), " ",IF(INDEX($AO$2:$BQ$1001,MATCH(ROWS($AH$2:AH939),$AH$2:$AH$1001,0),MATCH(COLUMNS($AO$1006:AS1006),$AO$1006:$BQ$1006,0)), HYPERLINK("#",""), HYPERLINK(CONCATENATE("#Metadata!", ADDRESS(INDEX($AJ$2:$AJ$1001,MATCH(ROWS($AH$2:AH939),$AH$2:$AH$1001,0),0), INDEX($AO$1004:$BQ$1004,1,MATCH(COLUMNS($AO$1006:AS1006),$AO$1006:$BQ$1006,0)))),"Fix")))</f>
        <v>#N/A</v>
      </c>
      <c r="G939" s="5" t="e">
        <f ca="1">IF(OR(INDEX($AI$2:$AI$1001,MATCH(ROWS($AH$2:AH939),$AH$2:$AH$1001,0),1)&gt;=100000,INDEX($AO$1005:$BQ$1005,1,MATCH(COLUMNS($AO$1006:AT1006),$AO$1006:$BQ$1006,0))&gt;=100000), " ",IF(INDEX($AO$2:$BQ$1001,MATCH(ROWS($AH$2:AH939),$AH$2:$AH$1001,0),MATCH(COLUMNS($AO$1006:AT1006),$AO$1006:$BQ$1006,0)), HYPERLINK("#",""), HYPERLINK(CONCATENATE("#Metadata!", ADDRESS(INDEX($AJ$2:$AJ$1001,MATCH(ROWS($AH$2:AH939),$AH$2:$AH$1001,0),0), INDEX($AO$1004:$BQ$1004,1,MATCH(COLUMNS($AO$1006:AT1006),$AO$1006:$BQ$1006,0)))),"Fix")))</f>
        <v>#N/A</v>
      </c>
      <c r="H939" s="5" t="e">
        <f ca="1">IF(OR(INDEX($AI$2:$AI$1001,MATCH(ROWS($AH$2:AH939),$AH$2:$AH$1001,0),1)&gt;=100000,INDEX($AO$1005:$BQ$1005,1,MATCH(COLUMNS($AO$1006:AU1006),$AO$1006:$BQ$1006,0))&gt;=100000), " ",IF(INDEX($AO$2:$BQ$1001,MATCH(ROWS($AH$2:AH939),$AH$2:$AH$1001,0),MATCH(COLUMNS($AO$1006:AU1006),$AO$1006:$BQ$1006,0)), HYPERLINK("#",""), HYPERLINK(CONCATENATE("#Metadata!", ADDRESS(INDEX($AJ$2:$AJ$1001,MATCH(ROWS($AH$2:AH939),$AH$2:$AH$1001,0),0), INDEX($AO$1004:$BQ$1004,1,MATCH(COLUMNS($AO$1006:AU1006),$AO$1006:$BQ$1006,0)))),"Fix")))</f>
        <v>#N/A</v>
      </c>
      <c r="I939" s="5" t="e">
        <f ca="1">IF(OR(INDEX($AI$2:$AI$1001,MATCH(ROWS($AH$2:AH939),$AH$2:$AH$1001,0),1)&gt;=100000,INDEX($AO$1005:$BQ$1005,1,MATCH(COLUMNS($AO$1006:AV1006),$AO$1006:$BQ$1006,0))&gt;=100000), " ",IF(INDEX($AO$2:$BQ$1001,MATCH(ROWS($AH$2:AH939),$AH$2:$AH$1001,0),MATCH(COLUMNS($AO$1006:AV1006),$AO$1006:$BQ$1006,0)), HYPERLINK("#",""), HYPERLINK(CONCATENATE("#Metadata!", ADDRESS(INDEX($AJ$2:$AJ$1001,MATCH(ROWS($AH$2:AH939),$AH$2:$AH$1001,0),0), INDEX($AO$1004:$BQ$1004,1,MATCH(COLUMNS($AO$1006:AV1006),$AO$1006:$BQ$1006,0)))),"Fix")))</f>
        <v>#N/A</v>
      </c>
      <c r="J939" s="5" t="e">
        <f ca="1">IF(OR(INDEX($AI$2:$AI$1001,MATCH(ROWS($AH$2:AH939),$AH$2:$AH$1001,0),1)&gt;=100000,INDEX($AO$1005:$BQ$1005,1,MATCH(COLUMNS($AO$1006:AW1006),$AO$1006:$BQ$1006,0))&gt;=100000), " ",IF(INDEX($AO$2:$BQ$1001,MATCH(ROWS($AH$2:AH939),$AH$2:$AH$1001,0),MATCH(COLUMNS($AO$1006:AW1006),$AO$1006:$BQ$1006,0)), HYPERLINK("#",""), HYPERLINK(CONCATENATE("#Metadata!", ADDRESS(INDEX($AJ$2:$AJ$1001,MATCH(ROWS($AH$2:AH939),$AH$2:$AH$1001,0),0), INDEX($AO$1004:$BQ$1004,1,MATCH(COLUMNS($AO$1006:AW1006),$AO$1006:$BQ$1006,0)))),"Fix")))</f>
        <v>#N/A</v>
      </c>
      <c r="K939" s="5" t="e">
        <f ca="1">IF(OR(INDEX($AI$2:$AI$1001,MATCH(ROWS($AH$2:AH939),$AH$2:$AH$1001,0),1)&gt;=100000,INDEX($AO$1005:$BQ$1005,1,MATCH(COLUMNS($AO$1006:AX1006),$AO$1006:$BQ$1006,0))&gt;=100000), " ",IF(INDEX($AO$2:$BQ$1001,MATCH(ROWS($AH$2:AH939),$AH$2:$AH$1001,0),MATCH(COLUMNS($AO$1006:AX1006),$AO$1006:$BQ$1006,0)), HYPERLINK("#",""), HYPERLINK(CONCATENATE("#Metadata!", ADDRESS(INDEX($AJ$2:$AJ$1001,MATCH(ROWS($AH$2:AH939),$AH$2:$AH$1001,0),0), INDEX($AO$1004:$BQ$1004,1,MATCH(COLUMNS($AO$1006:AX1006),$AO$1006:$BQ$1006,0)))),"Fix")))</f>
        <v>#N/A</v>
      </c>
      <c r="L939" s="5" t="e">
        <f ca="1">IF(OR(INDEX($AI$2:$AI$1001,MATCH(ROWS($AH$2:AH939),$AH$2:$AH$1001,0),1)&gt;=100000,INDEX($AO$1005:$BQ$1005,1,MATCH(COLUMNS($AO$1006:AY1006),$AO$1006:$BQ$1006,0))&gt;=100000), " ",IF(INDEX($AO$2:$BQ$1001,MATCH(ROWS($AH$2:AH939),$AH$2:$AH$1001,0),MATCH(COLUMNS($AO$1006:AY1006),$AO$1006:$BQ$1006,0)), HYPERLINK("#",""), HYPERLINK(CONCATENATE("#Metadata!", ADDRESS(INDEX($AJ$2:$AJ$1001,MATCH(ROWS($AH$2:AH939),$AH$2:$AH$1001,0),0), INDEX($AO$1004:$BQ$1004,1,MATCH(COLUMNS($AO$1006:AY1006),$AO$1006:$BQ$1006,0)))),"Fix")))</f>
        <v>#N/A</v>
      </c>
      <c r="M939" s="5" t="e">
        <f ca="1">IF(OR(INDEX($AI$2:$AI$1001,MATCH(ROWS($AH$2:AH939),$AH$2:$AH$1001,0),1)&gt;=100000,INDEX($AO$1005:$BQ$1005,1,MATCH(COLUMNS($AO$1006:AZ1006),$AO$1006:$BQ$1006,0))&gt;=100000), " ",IF(INDEX($AO$2:$BQ$1001,MATCH(ROWS($AH$2:AH939),$AH$2:$AH$1001,0),MATCH(COLUMNS($AO$1006:AZ1006),$AO$1006:$BQ$1006,0)), HYPERLINK("#",""), HYPERLINK(CONCATENATE("#Metadata!", ADDRESS(INDEX($AJ$2:$AJ$1001,MATCH(ROWS($AH$2:AH939),$AH$2:$AH$1001,0),0), INDEX($AO$1004:$BQ$1004,1,MATCH(COLUMNS($AO$1006:AZ1006),$AO$1006:$BQ$1006,0)))),"Fix")))</f>
        <v>#N/A</v>
      </c>
      <c r="N939" s="5" t="e">
        <f ca="1">IF(OR(INDEX($AI$2:$AI$1001,MATCH(ROWS($AH$2:AH939),$AH$2:$AH$1001,0),1)&gt;=100000,INDEX($AO$1005:$BQ$1005,1,MATCH(COLUMNS($AO$1006:BA1006),$AO$1006:$BQ$1006,0))&gt;=100000), " ",IF(INDEX($AO$2:$BQ$1001,MATCH(ROWS($AH$2:AH939),$AH$2:$AH$1001,0),MATCH(COLUMNS($AO$1006:BA1006),$AO$1006:$BQ$1006,0)), HYPERLINK("#",""), HYPERLINK(CONCATENATE("#Metadata!", ADDRESS(INDEX($AJ$2:$AJ$1001,MATCH(ROWS($AH$2:AH939),$AH$2:$AH$1001,0),0), INDEX($AO$1004:$BQ$1004,1,MATCH(COLUMNS($AO$1006:BA1006),$AO$1006:$BQ$1006,0)))),"Fix")))</f>
        <v>#N/A</v>
      </c>
      <c r="O939" s="5" t="e">
        <f ca="1">IF(OR(INDEX($AI$2:$AI$1001,MATCH(ROWS($AH$2:AH939),$AH$2:$AH$1001,0),1)&gt;=100000,INDEX($AO$1005:$BQ$1005,1,MATCH(COLUMNS($AO$1006:BB1006),$AO$1006:$BQ$1006,0))&gt;=100000), " ",IF(INDEX($AO$2:$BQ$1001,MATCH(ROWS($AH$2:AH939),$AH$2:$AH$1001,0),MATCH(COLUMNS($AO$1006:BB1006),$AO$1006:$BQ$1006,0)), HYPERLINK("#",""), HYPERLINK(CONCATENATE("#Metadata!", ADDRESS(INDEX($AJ$2:$AJ$1001,MATCH(ROWS($AH$2:AH939),$AH$2:$AH$1001,0),0), INDEX($AO$1004:$BQ$1004,1,MATCH(COLUMNS($AO$1006:BB1006),$AO$1006:$BQ$1006,0)))),"Fix")))</f>
        <v>#N/A</v>
      </c>
      <c r="P939" s="5" t="e">
        <f ca="1">IF(OR(INDEX($AI$2:$AI$1001,MATCH(ROWS($AH$2:AH939),$AH$2:$AH$1001,0),1)&gt;=100000,INDEX($AO$1005:$BQ$1005,1,MATCH(COLUMNS($AO$1006:BC1006),$AO$1006:$BQ$1006,0))&gt;=100000), " ",IF(INDEX($AO$2:$BQ$1001,MATCH(ROWS($AH$2:AH939),$AH$2:$AH$1001,0),MATCH(COLUMNS($AO$1006:BC1006),$AO$1006:$BQ$1006,0)), HYPERLINK("#",""), HYPERLINK(CONCATENATE("#Metadata!", ADDRESS(INDEX($AJ$2:$AJ$1001,MATCH(ROWS($AH$2:AH939),$AH$2:$AH$1001,0),0), INDEX($AO$1004:$BQ$1004,1,MATCH(COLUMNS($AO$1006:BC1006),$AO$1006:$BQ$1006,0)))),"Fix")))</f>
        <v>#N/A</v>
      </c>
      <c r="Q939" s="5" t="e">
        <f ca="1">IF(OR(INDEX($AI$2:$AI$1001,MATCH(ROWS($AH$2:AH939),$AH$2:$AH$1001,0),1)&gt;=100000,INDEX($AO$1005:$BQ$1005,1,MATCH(COLUMNS($AO$1006:BD1006),$AO$1006:$BQ$1006,0))&gt;=100000), " ",IF(INDEX($AO$2:$BQ$1001,MATCH(ROWS($AH$2:AH939),$AH$2:$AH$1001,0),MATCH(COLUMNS($AO$1006:BD1006),$AO$1006:$BQ$1006,0)), HYPERLINK("#",""), HYPERLINK(CONCATENATE("#Metadata!", ADDRESS(INDEX($AJ$2:$AJ$1001,MATCH(ROWS($AH$2:AH939),$AH$2:$AH$1001,0),0), INDEX($AO$1004:$BQ$1004,1,MATCH(COLUMNS($AO$1006:BD1006),$AO$1006:$BQ$1006,0)))),"Fix")))</f>
        <v>#N/A</v>
      </c>
      <c r="R939" s="5" t="e">
        <f ca="1">IF(OR(INDEX($AI$2:$AI$1001,MATCH(ROWS($AH$2:AH939),$AH$2:$AH$1001,0),1)&gt;=100000,INDEX($AO$1005:$BQ$1005,1,MATCH(COLUMNS($AO$1006:BE1006),$AO$1006:$BQ$1006,0))&gt;=100000), " ",IF(INDEX($AO$2:$BQ$1001,MATCH(ROWS($AH$2:AH939),$AH$2:$AH$1001,0),MATCH(COLUMNS($AO$1006:BE1006),$AO$1006:$BQ$1006,0)), HYPERLINK("#",""), HYPERLINK(CONCATENATE("#Metadata!", ADDRESS(INDEX($AJ$2:$AJ$1001,MATCH(ROWS($AH$2:AH939),$AH$2:$AH$1001,0),0), INDEX($AO$1004:$BQ$1004,1,MATCH(COLUMNS($AO$1006:BE1006),$AO$1006:$BQ$1006,0)))),"Fix")))</f>
        <v>#N/A</v>
      </c>
      <c r="S939" s="5" t="e">
        <f ca="1">IF(OR(INDEX($AI$2:$AI$1001,MATCH(ROWS($AH$2:AH939),$AH$2:$AH$1001,0),1)&gt;=100000,INDEX($AO$1005:$BQ$1005,1,MATCH(COLUMNS($AO$1006:BF1006),$AO$1006:$BQ$1006,0))&gt;=100000), " ",IF(INDEX($AO$2:$BQ$1001,MATCH(ROWS($AH$2:AH939),$AH$2:$AH$1001,0),MATCH(COLUMNS($AO$1006:BF1006),$AO$1006:$BQ$1006,0)), HYPERLINK("#",""), HYPERLINK(CONCATENATE("#Metadata!", ADDRESS(INDEX($AJ$2:$AJ$1001,MATCH(ROWS($AH$2:AH939),$AH$2:$AH$1001,0),0), INDEX($AO$1004:$BQ$1004,1,MATCH(COLUMNS($AO$1006:BF1006),$AO$1006:$BQ$1006,0)))),"Fix")))</f>
        <v>#N/A</v>
      </c>
      <c r="T939" s="5" t="e">
        <f ca="1">IF(OR(INDEX($AI$2:$AI$1001,MATCH(ROWS($AH$2:AH939),$AH$2:$AH$1001,0),1)&gt;=100000,INDEX($AO$1005:$BQ$1005,1,MATCH(COLUMNS($AO$1006:BG1006),$AO$1006:$BQ$1006,0))&gt;=100000), " ",IF(INDEX($AO$2:$BQ$1001,MATCH(ROWS($AH$2:AH939),$AH$2:$AH$1001,0),MATCH(COLUMNS($AO$1006:BG1006),$AO$1006:$BQ$1006,0)), HYPERLINK("#",""), HYPERLINK(CONCATENATE("#Metadata!", ADDRESS(INDEX($AJ$2:$AJ$1001,MATCH(ROWS($AH$2:AH939),$AH$2:$AH$1001,0),0), INDEX($AO$1004:$BQ$1004,1,MATCH(COLUMNS($AO$1006:BG1006),$AO$1006:$BQ$1006,0)))),"Fix")))</f>
        <v>#N/A</v>
      </c>
      <c r="U939" s="5" t="e">
        <f ca="1">IF(OR(INDEX($AI$2:$AI$1001,MATCH(ROWS($AH$2:AH939),$AH$2:$AH$1001,0),1)&gt;=100000,INDEX($AO$1005:$BQ$1005,1,MATCH(COLUMNS($AO$1006:BH1006),$AO$1006:$BQ$1006,0))&gt;=100000), " ",IF(INDEX($AO$2:$BQ$1001,MATCH(ROWS($AH$2:AH939),$AH$2:$AH$1001,0),MATCH(COLUMNS($AO$1006:BH1006),$AO$1006:$BQ$1006,0)), HYPERLINK("#",""), HYPERLINK(CONCATENATE("#Metadata!", ADDRESS(INDEX($AJ$2:$AJ$1001,MATCH(ROWS($AH$2:AH939),$AH$2:$AH$1001,0),0), INDEX($AO$1004:$BQ$1004,1,MATCH(COLUMNS($AO$1006:BH1006),$AO$1006:$BQ$1006,0)))),"Fix")))</f>
        <v>#N/A</v>
      </c>
      <c r="V939" s="5" t="e">
        <f ca="1">IF(OR(INDEX($AI$2:$AI$1001,MATCH(ROWS($AH$2:AH939),$AH$2:$AH$1001,0),1)&gt;=100000,INDEX($AO$1005:$BQ$1005,1,MATCH(COLUMNS($AO$1006:BI1006),$AO$1006:$BQ$1006,0))&gt;=100000), " ",IF(INDEX($AO$2:$BQ$1001,MATCH(ROWS($AH$2:AH939),$AH$2:$AH$1001,0),MATCH(COLUMNS($AO$1006:BI1006),$AO$1006:$BQ$1006,0)), HYPERLINK("#",""), HYPERLINK(CONCATENATE("#Metadata!", ADDRESS(INDEX($AJ$2:$AJ$1001,MATCH(ROWS($AH$2:AH939),$AH$2:$AH$1001,0),0), INDEX($AO$1004:$BQ$1004,1,MATCH(COLUMNS($AO$1006:BI1006),$AO$1006:$BQ$1006,0)))),"Fix")))</f>
        <v>#N/A</v>
      </c>
      <c r="W939" s="5" t="e">
        <f ca="1">IF(OR(INDEX($AI$2:$AI$1001,MATCH(ROWS($AH$2:AH939),$AH$2:$AH$1001,0),1)&gt;=100000,INDEX($AO$1005:$BQ$1005,1,MATCH(COLUMNS($AO$1006:BJ1006),$AO$1006:$BQ$1006,0))&gt;=100000), " ",IF(INDEX($AO$2:$BQ$1001,MATCH(ROWS($AH$2:AH939),$AH$2:$AH$1001,0),MATCH(COLUMNS($AO$1006:BJ1006),$AO$1006:$BQ$1006,0)), HYPERLINK("#",""), HYPERLINK(CONCATENATE("#Metadata!", ADDRESS(INDEX($AJ$2:$AJ$1001,MATCH(ROWS($AH$2:AH939),$AH$2:$AH$1001,0),0), INDEX($AO$1004:$BQ$1004,1,MATCH(COLUMNS($AO$1006:BJ1006),$AO$1006:$BQ$1006,0)))),"Fix")))</f>
        <v>#N/A</v>
      </c>
      <c r="X939" s="5" t="e">
        <f ca="1">IF(OR(INDEX($AI$2:$AI$1001,MATCH(ROWS($AH$2:AH939),$AH$2:$AH$1001,0),1)&gt;=100000,INDEX($AO$1005:$BQ$1005,1,MATCH(COLUMNS($AO$1006:BK1006),$AO$1006:$BQ$1006,0))&gt;=100000), " ",IF(INDEX($AO$2:$BQ$1001,MATCH(ROWS($AH$2:AH939),$AH$2:$AH$1001,0),MATCH(COLUMNS($AO$1006:BK1006),$AO$1006:$BQ$1006,0)), HYPERLINK("#",""), HYPERLINK(CONCATENATE("#Metadata!", ADDRESS(INDEX($AJ$2:$AJ$1001,MATCH(ROWS($AH$2:AH939),$AH$2:$AH$1001,0),0), INDEX($AO$1004:$BQ$1004,1,MATCH(COLUMNS($AO$1006:BK1006),$AO$1006:$BQ$1006,0)))),"Fix")))</f>
        <v>#N/A</v>
      </c>
      <c r="Y939" s="5" t="e">
        <f ca="1">IF(OR(INDEX($AI$2:$AI$1001,MATCH(ROWS($AH$2:AH939),$AH$2:$AH$1001,0),1)&gt;=100000,INDEX($AO$1005:$BQ$1005,1,MATCH(COLUMNS($AO$1006:BL1006),$AO$1006:$BQ$1006,0))&gt;=100000), " ",IF(INDEX($AO$2:$BQ$1001,MATCH(ROWS($AH$2:AH939),$AH$2:$AH$1001,0),MATCH(COLUMNS($AO$1006:BL1006),$AO$1006:$BQ$1006,0)), HYPERLINK("#",""), HYPERLINK(CONCATENATE("#Metadata!", ADDRESS(INDEX($AJ$2:$AJ$1001,MATCH(ROWS($AH$2:AH939),$AH$2:$AH$1001,0),0), INDEX($AO$1004:$BQ$1004,1,MATCH(COLUMNS($AO$1006:BL1006),$AO$1006:$BQ$1006,0)))),"Fix")))</f>
        <v>#N/A</v>
      </c>
      <c r="Z939" s="5" t="e">
        <f ca="1">IF(OR(INDEX($AI$2:$AI$1001,MATCH(ROWS($AH$2:AH939),$AH$2:$AH$1001,0),1)&gt;=100000,INDEX($AO$1005:$BQ$1005,1,MATCH(COLUMNS($AO$1006:BM1006),$AO$1006:$BQ$1006,0))&gt;=100000), " ",IF(INDEX($AO$2:$BQ$1001,MATCH(ROWS($AH$2:AH939),$AH$2:$AH$1001,0),MATCH(COLUMNS($AO$1006:BM1006),$AO$1006:$BQ$1006,0)), HYPERLINK("#",""), HYPERLINK(CONCATENATE("#Metadata!", ADDRESS(INDEX($AJ$2:$AJ$1001,MATCH(ROWS($AH$2:AH939),$AH$2:$AH$1001,0),0), INDEX($AO$1004:$BQ$1004,1,MATCH(COLUMNS($AO$1006:BM1006),$AO$1006:$BQ$1006,0)))),"Fix")))</f>
        <v>#N/A</v>
      </c>
      <c r="AA939" s="5" t="e">
        <f ca="1">IF(OR(INDEX($AI$2:$AI$1001,MATCH(ROWS($AH$2:AH939),$AH$2:$AH$1001,0),1)&gt;=100000,INDEX($AO$1005:$BQ$1005,1,MATCH(COLUMNS($AO$1006:BN1006),$AO$1006:$BQ$1006,0))&gt;=100000), " ",IF(INDEX($AO$2:$BQ$1001,MATCH(ROWS($AH$2:AH939),$AH$2:$AH$1001,0),MATCH(COLUMNS($AO$1006:BN1006),$AO$1006:$BQ$1006,0)), HYPERLINK("#",""), HYPERLINK(CONCATENATE("#Metadata!", ADDRESS(INDEX($AJ$2:$AJ$1001,MATCH(ROWS($AH$2:AH939),$AH$2:$AH$1001,0),0), INDEX($AO$1004:$BQ$1004,1,MATCH(COLUMNS($AO$1006:BN1006),$AO$1006:$BQ$1006,0)))),"Fix")))</f>
        <v>#N/A</v>
      </c>
      <c r="AB939" s="5" t="e">
        <f ca="1">IF(OR(INDEX($AI$2:$AI$1001,MATCH(ROWS($AH$2:AH939),$AH$2:$AH$1001,0),1)&gt;=100000,INDEX($AO$1005:$BQ$1005,1,MATCH(COLUMNS($AO$1006:BO1006),$AO$1006:$BQ$1006,0))&gt;=100000), " ",IF(INDEX($AO$2:$BQ$1001,MATCH(ROWS($AH$2:AH939),$AH$2:$AH$1001,0),MATCH(COLUMNS($AO$1006:BO1006),$AO$1006:$BQ$1006,0)), HYPERLINK("#",""), HYPERLINK(CONCATENATE("#Metadata!", ADDRESS(INDEX($AJ$2:$AJ$1001,MATCH(ROWS($AH$2:AH939),$AH$2:$AH$1001,0),0), INDEX($AO$1004:$BQ$1004,1,MATCH(COLUMNS($AO$1006:BO1006),$AO$1006:$BQ$1006,0)))),"Fix")))</f>
        <v>#N/A</v>
      </c>
      <c r="AC939" s="5" t="e">
        <f ca="1">IF(OR(INDEX($AI$2:$AI$1001,MATCH(ROWS($AH$2:AH939),$AH$2:$AH$1001,0),1)&gt;=100000,INDEX($AO$1005:$BQ$1005,1,MATCH(COLUMNS($AO$1006:BP1006),$AO$1006:$BQ$1006,0))&gt;=100000), " ",IF(INDEX($AO$2:$BQ$1001,MATCH(ROWS($AH$2:AH939),$AH$2:$AH$1001,0),MATCH(COLUMNS($AO$1006:BP1006),$AO$1006:$BQ$1006,0)), HYPERLINK("#",""), HYPERLINK(CONCATENATE("#Metadata!", ADDRESS(INDEX($AJ$2:$AJ$1001,MATCH(ROWS($AH$2:AH939),$AH$2:$AH$1001,0),0), INDEX($AO$1004:$BQ$1004,1,MATCH(COLUMNS($AO$1006:BP1006),$AO$1006:$BQ$1006,0)))),"Fix")))</f>
        <v>#N/A</v>
      </c>
      <c r="AD939" s="5" t="e">
        <f ca="1">IF(OR(INDEX($AI$2:$AI$1001,MATCH(ROWS($AH$2:AH939),$AH$2:$AH$1001,0),1)&gt;=100000,INDEX($AO$1005:$BQ$1005,1,MATCH(COLUMNS($AO$1006:BQ1006),$AO$1006:$BQ$1006,0))&gt;=100000), " ",IF(INDEX($AO$2:$BQ$1001,MATCH(ROWS($AH$2:AH939),$AH$2:$AH$1001,0),MATCH(COLUMNS($AO$1006:BQ1006),$AO$1006:$BQ$1006,0)), HYPERLINK("#",""), HYPERLINK(CONCATENATE("#Metadata!", ADDRESS(INDEX($AJ$2:$AJ$1001,MATCH(ROWS($AH$2:AH939),$AH$2:$AH$1001,0),0), INDEX($AO$1004:$BQ$1004,1,MATCH(COLUMNS($AO$1006:BQ1006),$AO$1006:$BQ$1006,0)))),"Fix")))</f>
        <v>#REF!</v>
      </c>
      <c r="AH939">
        <f ca="1"/>
        <v>936</v>
      </c>
      <c r="AI939">
        <v>100939</v>
      </c>
      <c r="AJ939">
        <v>939</v>
      </c>
      <c r="AK939" t="b">
        <f t="shared" si="14"/>
        <v>1</v>
      </c>
      <c r="AL939" t="b">
        <f>COUNTBLANK(Metadata!B939:AD939)=COLUMNS(Metadata!B939:AD939)</f>
        <v>1</v>
      </c>
      <c r="AM939" t="str">
        <v/>
      </c>
      <c r="AO939" t="b">
        <f ca="1">AND(IF(Metadata!B939="",FALSE,TRUE),COUNTIF(Metadata!B:B, Metadata!B939) = 1,NOT(ISERROR(SUMPRODUCT(SEARCH(MID(Metadata!B939,ROW(INDIRECT("1:"&amp;LEN(Metadata!B939))), 1),"0123456789abcdefghijklmnopqrstuvwxyzABCDEFGHIJKLMNOPQRSTUVWXYZ.")))))</f>
        <v>0</v>
      </c>
      <c r="AP939" t="b">
        <f>IF(Metadata!C939="",FALSE,TRUE)</f>
        <v>0</v>
      </c>
      <c r="AQ939" t="b">
        <f>IF(Metadata!D939="",FALSE,TRUE)</f>
        <v>0</v>
      </c>
      <c r="AR939" t="b">
        <f ca="1">OR(AND(IF(Metadata!E939="",FALSE,TRUE),OR(EXACT(Metadata!E939,"not collected"),EXACT(Metadata!E939,"not provided"),EXACT(Metadata!E939,"restricted access"))),AND(IF(Metadata!E939="",FALSE,TRUE),AND(AND(IFERROR(INT(LEFT(Metadata!E939,4))&gt;1900,FALSE),IFERROR(INT(LEFT(Metadata!E939,4))&lt;=YEAR(NOW()),FALSE)), OR(MID(Metadata!E939,5,1)="", AND(AND(MID(Metadata!E939,5,1)="-",IFERROR(INT(MID(Metadata!E939,6,1))&gt;=0,FALSE),IFERROR(INT(MID(Metadata!E939,6,1))&lt;=1,FALSE),NOT(MID(Metadata!E939,7,1)=""),IFERROR(INT(MID(Metadata!E939,6,2))&gt;=1,FALSE),IFERROR(INT(MID(Metadata!E939,6,2))&lt;=12,FALSE)), OR(MID(Metadata!E939,8,1)="", AND(AND(MID(Metadata!E939,8,1)="-",IFERROR(INT(MID(Metadata!E939,9,1))&gt;=0,FALSE),IFERROR(INT(MID(Metadata!E939,9,1))&lt;=3,FALSE),NOT(MID(Metadata!E939,10,1)=""),IFERROR(INT(MID(Metadata!E939,9,2))&gt;=1,FALSE),IFERROR(INT(MID(Metadata!E939,9,2))&lt;=31,FALSE)), OR(MID(Metadata!E939,11,1)="", AND(AND(MID(Metadata!E939,11,1)=" ",IFERROR(INT(MID(Metadata!E939,12,1))&gt;=0,FALSE),IFERROR(INT(MID(Metadata!E939,12,1))&lt;=2,FALSE),NOT(MID(Metadata!E939,13,1)=""),IFERROR(INT(MID(Metadata!E939,12,2))&gt;=0,FALSE),IFERROR(INT(MID(Metadata!E939,12,2))&lt;=23,FALSE)), OR(MID(Metadata!E939,14,1)="", AND(AND(MID(Metadata!E939,14,1)=":",IFERROR(INT(MID(Metadata!E939,15,1))&gt;=0,FALSE),IFERROR(INT(MID(Metadata!E939,15,1))&lt;=5,FALSE),NOT(MID(Metadata!E939,16,1)=""),IFERROR(INT(MID(Metadata!E939,15,2))&gt;=0,FALSE),IFERROR(INT(MID(Metadata!E939,15,2))&lt;=59,FALSE)), OR(MID(Metadata!E939,17,1)="", AND(AND(MID(Metadata!E939,17,1)=":",IFERROR(INT(MID(Metadata!E939,18,1))&gt;=0,FALSE),IFERROR(INT(MID(Metadata!E939,18,1))&lt;=5,FALSE),NOT(MID(Metadata!E939,19,1)=""),IFERROR(INT(MID(Metadata!E939,18,2))&gt;=0,FALSE),IFERROR(INT(MID(Metadata!E939,18,2))&lt;=59,FALSE)), LEN(Metadata!E939)&lt;=19)))))))))))))</f>
        <v>0</v>
      </c>
      <c r="AS939" t="b">
        <f>IF(Metadata!F939="",FALSE,TRUE)</f>
        <v>0</v>
      </c>
      <c r="AT939" t="b">
        <f>OR(AND(IF(Metadata!G939="",FALSE,TRUE),OR(EXACT(Metadata!G939,"not collected"),EXACT(Metadata!G939,"not provided"))),AND(IF(Metadata!G939="",FALSE,TRUE),OR(EXACT(Metadata!G939,"TRUE"),EXACT(Metadata!G939,"FALSE"))))</f>
        <v>0</v>
      </c>
      <c r="AU939" t="b">
        <f>OR(AND(IF(Metadata!H939="",FALSE,TRUE),OR(EXACT(Metadata!H939,"not collected"),EXACT(Metadata!H939,"not provided"),EXACT(Metadata!H939,"restricted access"))),AND(IF(Metadata!H939="",FALSE,ISNUMBER(VALUE(Metadata!H939))),Metadata!H939&gt;=-413))</f>
        <v>0</v>
      </c>
      <c r="AV939" t="b">
        <f>AND(IF(Metadata!I939="",FALSE,TRUE),EXACT(Metadata!I939,"meters"))</f>
        <v>0</v>
      </c>
      <c r="AW939" t="b">
        <f>AND(IF(Metadata!J939="",FALSE,TRUE),EXACT(Metadata!J939,"free-living"))</f>
        <v>0</v>
      </c>
      <c r="AX939" t="b">
        <f>AND(IF(Metadata!K939="",FALSE,TRUE),OR(EXACT(Metadata!K939,"saline"),EXACT(Metadata!K939,"non-saline")))</f>
        <v>0</v>
      </c>
      <c r="AY939" t="b">
        <f>AND(IF(Metadata!L939="",FALSE,TRUE),OR(EXACT(Metadata!L939,"sub-surface (non-saline)"),EXACT(Metadata!L939,"surface (non-saline)"),EXACT(Metadata!L939,"water (non-saline)"),EXACT(Metadata!L939,"soil (non-saline)"),EXACT(Metadata!L939,"aerosol (non-saline)"),EXACT(Metadata!L939,"sediment (non-saline)"),EXACT(Metadata!L939,"surface (saline)"),EXACT(Metadata!L939,"water (saline)"),EXACT(Metadata!L939,"hypersaline (saline)"),EXACT(Metadata!L939,"aerosol (saline)"),EXACT(Metadata!L939,"sediment (saline)")))</f>
        <v>0</v>
      </c>
      <c r="AZ939" t="b">
        <f>IF(Metadata!M939="",FALSE,TRUE)</f>
        <v>0</v>
      </c>
      <c r="BA939" t="b">
        <f>IF(Metadata!N939="",FALSE,TRUE)</f>
        <v>0</v>
      </c>
      <c r="BB939" t="b">
        <f>IF(Metadata!O939="",FALSE,TRUE)</f>
        <v>0</v>
      </c>
      <c r="BC939" t="b">
        <f>AND(IF(Metadata!P939="",FALSE,TRUE),OR(EXACT(Metadata!P939,"air"),EXACT(Metadata!P939,"microbial mat/biofilm"),EXACT(Metadata!P939,"misc environment"),EXACT(Metadata!P939,"sediment"),EXACT(Metadata!P939,"soil"),EXACT(Metadata!P939,"wastewater/sludge"),EXACT(Metadata!P939,"water")))</f>
        <v>0</v>
      </c>
      <c r="BD939" t="b">
        <f>IF(Metadata!Q939="",FALSE,TRUE)</f>
        <v>0</v>
      </c>
      <c r="BE939" t="b">
        <f>IF(Metadata!R939="",FALSE,TRUE)</f>
        <v>0</v>
      </c>
      <c r="BF939" t="b">
        <f>OR(AND(IF(Metadata!S939="",FALSE,TRUE),OR(EXACT(Metadata!S939,"not collected"),EXACT(Metadata!S939,"not provided"),EXACT(Metadata!S939,"restricted access"))),AND(IF(Metadata!S939="",FALSE,ISNUMBER(VALUE(Metadata!S939))),Metadata!S939&gt;=-90,Metadata!S939&lt;=90))</f>
        <v>0</v>
      </c>
      <c r="BG939" t="b">
        <f>AND(IF(Metadata!T939="",FALSE,TRUE),EXACT(Metadata!T939,"Decimal degrees"))</f>
        <v>0</v>
      </c>
      <c r="BH939" t="b">
        <f>OR(AND(IF(Metadata!U939="",FALSE,TRUE),OR(EXACT(Metadata!U939,"not applicable"),EXACT(Metadata!U939,"not collected"))),IF(Metadata!U939="",FALSE,TRUE))</f>
        <v>0</v>
      </c>
      <c r="BI939" t="b">
        <f>OR(AND(IF(Metadata!V939="",FALSE,TRUE),OR(EXACT(Metadata!V939,"not collected"),EXACT(Metadata!V939,"not provided"),EXACT(Metadata!V939,"restricted access"))),AND(IF(Metadata!V939="",FALSE,ISNUMBER(VALUE(Metadata!V939))),Metadata!V939&gt;=-180,Metadata!V939&lt;=180))</f>
        <v>0</v>
      </c>
      <c r="BJ939" t="b">
        <f>AND(IF(Metadata!W939="",FALSE,TRUE),EXACT(Metadata!W939,"Decimal degrees"))</f>
        <v>0</v>
      </c>
      <c r="BK939" t="b">
        <f>IF(Metadata!X939="",FALSE,TRUE)</f>
        <v>0</v>
      </c>
      <c r="BL939" t="b">
        <f>OR(AND(IF(Metadata!Y939="",FALSE,TRUE),OR(EXACT(Metadata!Y939,"not collected"),EXACT(Metadata!Y939,"not provided"),EXACT(Metadata!Y939,"restricted access"))),AND(IF(Metadata!Y939="",FALSE,TRUE),OR(EXACT(Metadata!Y939,"TRUE"),EXACT(Metadata!Y939,"FALSE"))))</f>
        <v>0</v>
      </c>
      <c r="BM939" t="b">
        <f>OR(AND(IF(Metadata!Z939="",FALSE,TRUE),EXACT(Metadata!Z939,"not applicable")),AND(IF(Metadata!Z939="",FALSE,TRUE),OR(EXACT(Metadata!Z939,"beer"),EXACT(Metadata!Z939,"cheese"),EXACT(Metadata!Z939,"fresh water"),EXACT(Metadata!Z939,"marine sediment"),EXACT(Metadata!Z939,"sea water"),EXACT(Metadata!Z939,"sediment"),EXACT(Metadata!Z939,"soil"),EXACT(Metadata!Z939,"waste water"))))</f>
        <v>0</v>
      </c>
      <c r="BN939" t="b">
        <f>AND(IF(Metadata!AA939="",FALSE,TRUE),EXACT(Metadata!AA939,"metagenome"))</f>
        <v>0</v>
      </c>
      <c r="BO939" t="b">
        <f>AND(IF(Metadata!AB939="",FALSE,TRUE),EXACT(Metadata!AB939,"256318"))</f>
        <v>0</v>
      </c>
      <c r="BP939" t="b">
        <f>IF(Metadata!AC939="",FALSE,TRUE)</f>
        <v>0</v>
      </c>
      <c r="BQ939" t="b">
        <f>IF(Metadata!AD939="",FALSE,TRUE)</f>
        <v>0</v>
      </c>
    </row>
    <row r="940" spans="1:69" x14ac:dyDescent="0.2">
      <c r="A940" s="4" t="e">
        <f ca="1">IF(B940=" "," ",HYPERLINK(CONCATENATE("#metadata!",ADDRESS(INDEX($AJ$2:$AJ$1001,MATCH(ROWS($AH$2:AH940),$AH$2:$AH$1001,0),0),2)),INDEX($AM$2:$AM$1001,MATCH(ROWS($AH$2:AH940),$AH$2:$AH$1001,0),0)))</f>
        <v>#N/A</v>
      </c>
      <c r="B940" s="5" t="e">
        <f ca="1">IF(OR(INDEX($AI$2:$AI$1001,MATCH(ROWS($AH$2:AH940),$AH$2:$AH$1001,0),1)&gt;=100000,INDEX($AO$1005:$BQ$1005,1,MATCH(COLUMNS($AO$1006:AO1006),$AO$1006:$BQ$1006,0))&gt;=100000), " ",IF(INDEX($AO$2:$BQ$1001,MATCH(ROWS($AH$2:AH940),$AH$2:$AH$1001,0),MATCH(COLUMNS($AO$1006:AO1006),$AO$1006:$BQ$1006,0)), HYPERLINK("#",""), HYPERLINK(CONCATENATE("#Metadata!", ADDRESS(INDEX($AJ$2:$AJ$1001,MATCH(ROWS($AH$2:AH940),$AH$2:$AH$1001,0),0), INDEX($AO$1004:$BQ$1004,1,MATCH(COLUMNS($AO$1006:AO1006),$AO$1006:$BQ$1006,0)))),"Fix")))</f>
        <v>#N/A</v>
      </c>
      <c r="C940" s="5" t="e">
        <f ca="1">IF(OR(INDEX($AI$2:$AI$1001,MATCH(ROWS($AH$2:AH940),$AH$2:$AH$1001,0),1)&gt;=100000,INDEX($AO$1005:$BQ$1005,1,MATCH(COLUMNS($AO$1006:AP1006),$AO$1006:$BQ$1006,0))&gt;=100000), " ",IF(INDEX($AO$2:$BQ$1001,MATCH(ROWS($AH$2:AH940),$AH$2:$AH$1001,0),MATCH(COLUMNS($AO$1006:AP1006),$AO$1006:$BQ$1006,0)), HYPERLINK("#",""), HYPERLINK(CONCATENATE("#Metadata!", ADDRESS(INDEX($AJ$2:$AJ$1001,MATCH(ROWS($AH$2:AH940),$AH$2:$AH$1001,0),0), INDEX($AO$1004:$BQ$1004,1,MATCH(COLUMNS($AO$1006:AP1006),$AO$1006:$BQ$1006,0)))),"Fix")))</f>
        <v>#N/A</v>
      </c>
      <c r="D940" s="5" t="e">
        <f ca="1">IF(OR(INDEX($AI$2:$AI$1001,MATCH(ROWS($AH$2:AH940),$AH$2:$AH$1001,0),1)&gt;=100000,INDEX($AO$1005:$BQ$1005,1,MATCH(COLUMNS($AO$1006:AQ1006),$AO$1006:$BQ$1006,0))&gt;=100000), " ",IF(INDEX($AO$2:$BQ$1001,MATCH(ROWS($AH$2:AH940),$AH$2:$AH$1001,0),MATCH(COLUMNS($AO$1006:AQ1006),$AO$1006:$BQ$1006,0)), HYPERLINK("#",""), HYPERLINK(CONCATENATE("#Metadata!", ADDRESS(INDEX($AJ$2:$AJ$1001,MATCH(ROWS($AH$2:AH940),$AH$2:$AH$1001,0),0), INDEX($AO$1004:$BQ$1004,1,MATCH(COLUMNS($AO$1006:AQ1006),$AO$1006:$BQ$1006,0)))),"Fix")))</f>
        <v>#N/A</v>
      </c>
      <c r="E940" s="5" t="e">
        <f ca="1">IF(OR(INDEX($AI$2:$AI$1001,MATCH(ROWS($AH$2:AH940),$AH$2:$AH$1001,0),1)&gt;=100000,INDEX($AO$1005:$BQ$1005,1,MATCH(COLUMNS($AO$1006:AR1006),$AO$1006:$BQ$1006,0))&gt;=100000), " ",IF(INDEX($AO$2:$BQ$1001,MATCH(ROWS($AH$2:AH940),$AH$2:$AH$1001,0),MATCH(COLUMNS($AO$1006:AR1006),$AO$1006:$BQ$1006,0)), HYPERLINK("#",""), HYPERLINK(CONCATENATE("#Metadata!", ADDRESS(INDEX($AJ$2:$AJ$1001,MATCH(ROWS($AH$2:AH940),$AH$2:$AH$1001,0),0), INDEX($AO$1004:$BQ$1004,1,MATCH(COLUMNS($AO$1006:AR1006),$AO$1006:$BQ$1006,0)))),"Fix")))</f>
        <v>#N/A</v>
      </c>
      <c r="F940" s="5" t="e">
        <f ca="1">IF(OR(INDEX($AI$2:$AI$1001,MATCH(ROWS($AH$2:AH940),$AH$2:$AH$1001,0),1)&gt;=100000,INDEX($AO$1005:$BQ$1005,1,MATCH(COLUMNS($AO$1006:AS1006),$AO$1006:$BQ$1006,0))&gt;=100000), " ",IF(INDEX($AO$2:$BQ$1001,MATCH(ROWS($AH$2:AH940),$AH$2:$AH$1001,0),MATCH(COLUMNS($AO$1006:AS1006),$AO$1006:$BQ$1006,0)), HYPERLINK("#",""), HYPERLINK(CONCATENATE("#Metadata!", ADDRESS(INDEX($AJ$2:$AJ$1001,MATCH(ROWS($AH$2:AH940),$AH$2:$AH$1001,0),0), INDEX($AO$1004:$BQ$1004,1,MATCH(COLUMNS($AO$1006:AS1006),$AO$1006:$BQ$1006,0)))),"Fix")))</f>
        <v>#N/A</v>
      </c>
      <c r="G940" s="5" t="e">
        <f ca="1">IF(OR(INDEX($AI$2:$AI$1001,MATCH(ROWS($AH$2:AH940),$AH$2:$AH$1001,0),1)&gt;=100000,INDEX($AO$1005:$BQ$1005,1,MATCH(COLUMNS($AO$1006:AT1006),$AO$1006:$BQ$1006,0))&gt;=100000), " ",IF(INDEX($AO$2:$BQ$1001,MATCH(ROWS($AH$2:AH940),$AH$2:$AH$1001,0),MATCH(COLUMNS($AO$1006:AT1006),$AO$1006:$BQ$1006,0)), HYPERLINK("#",""), HYPERLINK(CONCATENATE("#Metadata!", ADDRESS(INDEX($AJ$2:$AJ$1001,MATCH(ROWS($AH$2:AH940),$AH$2:$AH$1001,0),0), INDEX($AO$1004:$BQ$1004,1,MATCH(COLUMNS($AO$1006:AT1006),$AO$1006:$BQ$1006,0)))),"Fix")))</f>
        <v>#N/A</v>
      </c>
      <c r="H940" s="5" t="e">
        <f ca="1">IF(OR(INDEX($AI$2:$AI$1001,MATCH(ROWS($AH$2:AH940),$AH$2:$AH$1001,0),1)&gt;=100000,INDEX($AO$1005:$BQ$1005,1,MATCH(COLUMNS($AO$1006:AU1006),$AO$1006:$BQ$1006,0))&gt;=100000), " ",IF(INDEX($AO$2:$BQ$1001,MATCH(ROWS($AH$2:AH940),$AH$2:$AH$1001,0),MATCH(COLUMNS($AO$1006:AU1006),$AO$1006:$BQ$1006,0)), HYPERLINK("#",""), HYPERLINK(CONCATENATE("#Metadata!", ADDRESS(INDEX($AJ$2:$AJ$1001,MATCH(ROWS($AH$2:AH940),$AH$2:$AH$1001,0),0), INDEX($AO$1004:$BQ$1004,1,MATCH(COLUMNS($AO$1006:AU1006),$AO$1006:$BQ$1006,0)))),"Fix")))</f>
        <v>#N/A</v>
      </c>
      <c r="I940" s="5" t="e">
        <f ca="1">IF(OR(INDEX($AI$2:$AI$1001,MATCH(ROWS($AH$2:AH940),$AH$2:$AH$1001,0),1)&gt;=100000,INDEX($AO$1005:$BQ$1005,1,MATCH(COLUMNS($AO$1006:AV1006),$AO$1006:$BQ$1006,0))&gt;=100000), " ",IF(INDEX($AO$2:$BQ$1001,MATCH(ROWS($AH$2:AH940),$AH$2:$AH$1001,0),MATCH(COLUMNS($AO$1006:AV1006),$AO$1006:$BQ$1006,0)), HYPERLINK("#",""), HYPERLINK(CONCATENATE("#Metadata!", ADDRESS(INDEX($AJ$2:$AJ$1001,MATCH(ROWS($AH$2:AH940),$AH$2:$AH$1001,0),0), INDEX($AO$1004:$BQ$1004,1,MATCH(COLUMNS($AO$1006:AV1006),$AO$1006:$BQ$1006,0)))),"Fix")))</f>
        <v>#N/A</v>
      </c>
      <c r="J940" s="5" t="e">
        <f ca="1">IF(OR(INDEX($AI$2:$AI$1001,MATCH(ROWS($AH$2:AH940),$AH$2:$AH$1001,0),1)&gt;=100000,INDEX($AO$1005:$BQ$1005,1,MATCH(COLUMNS($AO$1006:AW1006),$AO$1006:$BQ$1006,0))&gt;=100000), " ",IF(INDEX($AO$2:$BQ$1001,MATCH(ROWS($AH$2:AH940),$AH$2:$AH$1001,0),MATCH(COLUMNS($AO$1006:AW1006),$AO$1006:$BQ$1006,0)), HYPERLINK("#",""), HYPERLINK(CONCATENATE("#Metadata!", ADDRESS(INDEX($AJ$2:$AJ$1001,MATCH(ROWS($AH$2:AH940),$AH$2:$AH$1001,0),0), INDEX($AO$1004:$BQ$1004,1,MATCH(COLUMNS($AO$1006:AW1006),$AO$1006:$BQ$1006,0)))),"Fix")))</f>
        <v>#N/A</v>
      </c>
      <c r="K940" s="5" t="e">
        <f ca="1">IF(OR(INDEX($AI$2:$AI$1001,MATCH(ROWS($AH$2:AH940),$AH$2:$AH$1001,0),1)&gt;=100000,INDEX($AO$1005:$BQ$1005,1,MATCH(COLUMNS($AO$1006:AX1006),$AO$1006:$BQ$1006,0))&gt;=100000), " ",IF(INDEX($AO$2:$BQ$1001,MATCH(ROWS($AH$2:AH940),$AH$2:$AH$1001,0),MATCH(COLUMNS($AO$1006:AX1006),$AO$1006:$BQ$1006,0)), HYPERLINK("#",""), HYPERLINK(CONCATENATE("#Metadata!", ADDRESS(INDEX($AJ$2:$AJ$1001,MATCH(ROWS($AH$2:AH940),$AH$2:$AH$1001,0),0), INDEX($AO$1004:$BQ$1004,1,MATCH(COLUMNS($AO$1006:AX1006),$AO$1006:$BQ$1006,0)))),"Fix")))</f>
        <v>#N/A</v>
      </c>
      <c r="L940" s="5" t="e">
        <f ca="1">IF(OR(INDEX($AI$2:$AI$1001,MATCH(ROWS($AH$2:AH940),$AH$2:$AH$1001,0),1)&gt;=100000,INDEX($AO$1005:$BQ$1005,1,MATCH(COLUMNS($AO$1006:AY1006),$AO$1006:$BQ$1006,0))&gt;=100000), " ",IF(INDEX($AO$2:$BQ$1001,MATCH(ROWS($AH$2:AH940),$AH$2:$AH$1001,0),MATCH(COLUMNS($AO$1006:AY1006),$AO$1006:$BQ$1006,0)), HYPERLINK("#",""), HYPERLINK(CONCATENATE("#Metadata!", ADDRESS(INDEX($AJ$2:$AJ$1001,MATCH(ROWS($AH$2:AH940),$AH$2:$AH$1001,0),0), INDEX($AO$1004:$BQ$1004,1,MATCH(COLUMNS($AO$1006:AY1006),$AO$1006:$BQ$1006,0)))),"Fix")))</f>
        <v>#N/A</v>
      </c>
      <c r="M940" s="5" t="e">
        <f ca="1">IF(OR(INDEX($AI$2:$AI$1001,MATCH(ROWS($AH$2:AH940),$AH$2:$AH$1001,0),1)&gt;=100000,INDEX($AO$1005:$BQ$1005,1,MATCH(COLUMNS($AO$1006:AZ1006),$AO$1006:$BQ$1006,0))&gt;=100000), " ",IF(INDEX($AO$2:$BQ$1001,MATCH(ROWS($AH$2:AH940),$AH$2:$AH$1001,0),MATCH(COLUMNS($AO$1006:AZ1006),$AO$1006:$BQ$1006,0)), HYPERLINK("#",""), HYPERLINK(CONCATENATE("#Metadata!", ADDRESS(INDEX($AJ$2:$AJ$1001,MATCH(ROWS($AH$2:AH940),$AH$2:$AH$1001,0),0), INDEX($AO$1004:$BQ$1004,1,MATCH(COLUMNS($AO$1006:AZ1006),$AO$1006:$BQ$1006,0)))),"Fix")))</f>
        <v>#N/A</v>
      </c>
      <c r="N940" s="5" t="e">
        <f ca="1">IF(OR(INDEX($AI$2:$AI$1001,MATCH(ROWS($AH$2:AH940),$AH$2:$AH$1001,0),1)&gt;=100000,INDEX($AO$1005:$BQ$1005,1,MATCH(COLUMNS($AO$1006:BA1006),$AO$1006:$BQ$1006,0))&gt;=100000), " ",IF(INDEX($AO$2:$BQ$1001,MATCH(ROWS($AH$2:AH940),$AH$2:$AH$1001,0),MATCH(COLUMNS($AO$1006:BA1006),$AO$1006:$BQ$1006,0)), HYPERLINK("#",""), HYPERLINK(CONCATENATE("#Metadata!", ADDRESS(INDEX($AJ$2:$AJ$1001,MATCH(ROWS($AH$2:AH940),$AH$2:$AH$1001,0),0), INDEX($AO$1004:$BQ$1004,1,MATCH(COLUMNS($AO$1006:BA1006),$AO$1006:$BQ$1006,0)))),"Fix")))</f>
        <v>#N/A</v>
      </c>
      <c r="O940" s="5" t="e">
        <f ca="1">IF(OR(INDEX($AI$2:$AI$1001,MATCH(ROWS($AH$2:AH940),$AH$2:$AH$1001,0),1)&gt;=100000,INDEX($AO$1005:$BQ$1005,1,MATCH(COLUMNS($AO$1006:BB1006),$AO$1006:$BQ$1006,0))&gt;=100000), " ",IF(INDEX($AO$2:$BQ$1001,MATCH(ROWS($AH$2:AH940),$AH$2:$AH$1001,0),MATCH(COLUMNS($AO$1006:BB1006),$AO$1006:$BQ$1006,0)), HYPERLINK("#",""), HYPERLINK(CONCATENATE("#Metadata!", ADDRESS(INDEX($AJ$2:$AJ$1001,MATCH(ROWS($AH$2:AH940),$AH$2:$AH$1001,0),0), INDEX($AO$1004:$BQ$1004,1,MATCH(COLUMNS($AO$1006:BB1006),$AO$1006:$BQ$1006,0)))),"Fix")))</f>
        <v>#N/A</v>
      </c>
      <c r="P940" s="5" t="e">
        <f ca="1">IF(OR(INDEX($AI$2:$AI$1001,MATCH(ROWS($AH$2:AH940),$AH$2:$AH$1001,0),1)&gt;=100000,INDEX($AO$1005:$BQ$1005,1,MATCH(COLUMNS($AO$1006:BC1006),$AO$1006:$BQ$1006,0))&gt;=100000), " ",IF(INDEX($AO$2:$BQ$1001,MATCH(ROWS($AH$2:AH940),$AH$2:$AH$1001,0),MATCH(COLUMNS($AO$1006:BC1006),$AO$1006:$BQ$1006,0)), HYPERLINK("#",""), HYPERLINK(CONCATENATE("#Metadata!", ADDRESS(INDEX($AJ$2:$AJ$1001,MATCH(ROWS($AH$2:AH940),$AH$2:$AH$1001,0),0), INDEX($AO$1004:$BQ$1004,1,MATCH(COLUMNS($AO$1006:BC1006),$AO$1006:$BQ$1006,0)))),"Fix")))</f>
        <v>#N/A</v>
      </c>
      <c r="Q940" s="5" t="e">
        <f ca="1">IF(OR(INDEX($AI$2:$AI$1001,MATCH(ROWS($AH$2:AH940),$AH$2:$AH$1001,0),1)&gt;=100000,INDEX($AO$1005:$BQ$1005,1,MATCH(COLUMNS($AO$1006:BD1006),$AO$1006:$BQ$1006,0))&gt;=100000), " ",IF(INDEX($AO$2:$BQ$1001,MATCH(ROWS($AH$2:AH940),$AH$2:$AH$1001,0),MATCH(COLUMNS($AO$1006:BD1006),$AO$1006:$BQ$1006,0)), HYPERLINK("#",""), HYPERLINK(CONCATENATE("#Metadata!", ADDRESS(INDEX($AJ$2:$AJ$1001,MATCH(ROWS($AH$2:AH940),$AH$2:$AH$1001,0),0), INDEX($AO$1004:$BQ$1004,1,MATCH(COLUMNS($AO$1006:BD1006),$AO$1006:$BQ$1006,0)))),"Fix")))</f>
        <v>#N/A</v>
      </c>
      <c r="R940" s="5" t="e">
        <f ca="1">IF(OR(INDEX($AI$2:$AI$1001,MATCH(ROWS($AH$2:AH940),$AH$2:$AH$1001,0),1)&gt;=100000,INDEX($AO$1005:$BQ$1005,1,MATCH(COLUMNS($AO$1006:BE1006),$AO$1006:$BQ$1006,0))&gt;=100000), " ",IF(INDEX($AO$2:$BQ$1001,MATCH(ROWS($AH$2:AH940),$AH$2:$AH$1001,0),MATCH(COLUMNS($AO$1006:BE1006),$AO$1006:$BQ$1006,0)), HYPERLINK("#",""), HYPERLINK(CONCATENATE("#Metadata!", ADDRESS(INDEX($AJ$2:$AJ$1001,MATCH(ROWS($AH$2:AH940),$AH$2:$AH$1001,0),0), INDEX($AO$1004:$BQ$1004,1,MATCH(COLUMNS($AO$1006:BE1006),$AO$1006:$BQ$1006,0)))),"Fix")))</f>
        <v>#N/A</v>
      </c>
      <c r="S940" s="5" t="e">
        <f ca="1">IF(OR(INDEX($AI$2:$AI$1001,MATCH(ROWS($AH$2:AH940),$AH$2:$AH$1001,0),1)&gt;=100000,INDEX($AO$1005:$BQ$1005,1,MATCH(COLUMNS($AO$1006:BF1006),$AO$1006:$BQ$1006,0))&gt;=100000), " ",IF(INDEX($AO$2:$BQ$1001,MATCH(ROWS($AH$2:AH940),$AH$2:$AH$1001,0),MATCH(COLUMNS($AO$1006:BF1006),$AO$1006:$BQ$1006,0)), HYPERLINK("#",""), HYPERLINK(CONCATENATE("#Metadata!", ADDRESS(INDEX($AJ$2:$AJ$1001,MATCH(ROWS($AH$2:AH940),$AH$2:$AH$1001,0),0), INDEX($AO$1004:$BQ$1004,1,MATCH(COLUMNS($AO$1006:BF1006),$AO$1006:$BQ$1006,0)))),"Fix")))</f>
        <v>#N/A</v>
      </c>
      <c r="T940" s="5" t="e">
        <f ca="1">IF(OR(INDEX($AI$2:$AI$1001,MATCH(ROWS($AH$2:AH940),$AH$2:$AH$1001,0),1)&gt;=100000,INDEX($AO$1005:$BQ$1005,1,MATCH(COLUMNS($AO$1006:BG1006),$AO$1006:$BQ$1006,0))&gt;=100000), " ",IF(INDEX($AO$2:$BQ$1001,MATCH(ROWS($AH$2:AH940),$AH$2:$AH$1001,0),MATCH(COLUMNS($AO$1006:BG1006),$AO$1006:$BQ$1006,0)), HYPERLINK("#",""), HYPERLINK(CONCATENATE("#Metadata!", ADDRESS(INDEX($AJ$2:$AJ$1001,MATCH(ROWS($AH$2:AH940),$AH$2:$AH$1001,0),0), INDEX($AO$1004:$BQ$1004,1,MATCH(COLUMNS($AO$1006:BG1006),$AO$1006:$BQ$1006,0)))),"Fix")))</f>
        <v>#N/A</v>
      </c>
      <c r="U940" s="5" t="e">
        <f ca="1">IF(OR(INDEX($AI$2:$AI$1001,MATCH(ROWS($AH$2:AH940),$AH$2:$AH$1001,0),1)&gt;=100000,INDEX($AO$1005:$BQ$1005,1,MATCH(COLUMNS($AO$1006:BH1006),$AO$1006:$BQ$1006,0))&gt;=100000), " ",IF(INDEX($AO$2:$BQ$1001,MATCH(ROWS($AH$2:AH940),$AH$2:$AH$1001,0),MATCH(COLUMNS($AO$1006:BH1006),$AO$1006:$BQ$1006,0)), HYPERLINK("#",""), HYPERLINK(CONCATENATE("#Metadata!", ADDRESS(INDEX($AJ$2:$AJ$1001,MATCH(ROWS($AH$2:AH940),$AH$2:$AH$1001,0),0), INDEX($AO$1004:$BQ$1004,1,MATCH(COLUMNS($AO$1006:BH1006),$AO$1006:$BQ$1006,0)))),"Fix")))</f>
        <v>#N/A</v>
      </c>
      <c r="V940" s="5" t="e">
        <f ca="1">IF(OR(INDEX($AI$2:$AI$1001,MATCH(ROWS($AH$2:AH940),$AH$2:$AH$1001,0),1)&gt;=100000,INDEX($AO$1005:$BQ$1005,1,MATCH(COLUMNS($AO$1006:BI1006),$AO$1006:$BQ$1006,0))&gt;=100000), " ",IF(INDEX($AO$2:$BQ$1001,MATCH(ROWS($AH$2:AH940),$AH$2:$AH$1001,0),MATCH(COLUMNS($AO$1006:BI1006),$AO$1006:$BQ$1006,0)), HYPERLINK("#",""), HYPERLINK(CONCATENATE("#Metadata!", ADDRESS(INDEX($AJ$2:$AJ$1001,MATCH(ROWS($AH$2:AH940),$AH$2:$AH$1001,0),0), INDEX($AO$1004:$BQ$1004,1,MATCH(COLUMNS($AO$1006:BI1006),$AO$1006:$BQ$1006,0)))),"Fix")))</f>
        <v>#N/A</v>
      </c>
      <c r="W940" s="5" t="e">
        <f ca="1">IF(OR(INDEX($AI$2:$AI$1001,MATCH(ROWS($AH$2:AH940),$AH$2:$AH$1001,0),1)&gt;=100000,INDEX($AO$1005:$BQ$1005,1,MATCH(COLUMNS($AO$1006:BJ1006),$AO$1006:$BQ$1006,0))&gt;=100000), " ",IF(INDEX($AO$2:$BQ$1001,MATCH(ROWS($AH$2:AH940),$AH$2:$AH$1001,0),MATCH(COLUMNS($AO$1006:BJ1006),$AO$1006:$BQ$1006,0)), HYPERLINK("#",""), HYPERLINK(CONCATENATE("#Metadata!", ADDRESS(INDEX($AJ$2:$AJ$1001,MATCH(ROWS($AH$2:AH940),$AH$2:$AH$1001,0),0), INDEX($AO$1004:$BQ$1004,1,MATCH(COLUMNS($AO$1006:BJ1006),$AO$1006:$BQ$1006,0)))),"Fix")))</f>
        <v>#N/A</v>
      </c>
      <c r="X940" s="5" t="e">
        <f ca="1">IF(OR(INDEX($AI$2:$AI$1001,MATCH(ROWS($AH$2:AH940),$AH$2:$AH$1001,0),1)&gt;=100000,INDEX($AO$1005:$BQ$1005,1,MATCH(COLUMNS($AO$1006:BK1006),$AO$1006:$BQ$1006,0))&gt;=100000), " ",IF(INDEX($AO$2:$BQ$1001,MATCH(ROWS($AH$2:AH940),$AH$2:$AH$1001,0),MATCH(COLUMNS($AO$1006:BK1006),$AO$1006:$BQ$1006,0)), HYPERLINK("#",""), HYPERLINK(CONCATENATE("#Metadata!", ADDRESS(INDEX($AJ$2:$AJ$1001,MATCH(ROWS($AH$2:AH940),$AH$2:$AH$1001,0),0), INDEX($AO$1004:$BQ$1004,1,MATCH(COLUMNS($AO$1006:BK1006),$AO$1006:$BQ$1006,0)))),"Fix")))</f>
        <v>#N/A</v>
      </c>
      <c r="Y940" s="5" t="e">
        <f ca="1">IF(OR(INDEX($AI$2:$AI$1001,MATCH(ROWS($AH$2:AH940),$AH$2:$AH$1001,0),1)&gt;=100000,INDEX($AO$1005:$BQ$1005,1,MATCH(COLUMNS($AO$1006:BL1006),$AO$1006:$BQ$1006,0))&gt;=100000), " ",IF(INDEX($AO$2:$BQ$1001,MATCH(ROWS($AH$2:AH940),$AH$2:$AH$1001,0),MATCH(COLUMNS($AO$1006:BL1006),$AO$1006:$BQ$1006,0)), HYPERLINK("#",""), HYPERLINK(CONCATENATE("#Metadata!", ADDRESS(INDEX($AJ$2:$AJ$1001,MATCH(ROWS($AH$2:AH940),$AH$2:$AH$1001,0),0), INDEX($AO$1004:$BQ$1004,1,MATCH(COLUMNS($AO$1006:BL1006),$AO$1006:$BQ$1006,0)))),"Fix")))</f>
        <v>#N/A</v>
      </c>
      <c r="Z940" s="5" t="e">
        <f ca="1">IF(OR(INDEX($AI$2:$AI$1001,MATCH(ROWS($AH$2:AH940),$AH$2:$AH$1001,0),1)&gt;=100000,INDEX($AO$1005:$BQ$1005,1,MATCH(COLUMNS($AO$1006:BM1006),$AO$1006:$BQ$1006,0))&gt;=100000), " ",IF(INDEX($AO$2:$BQ$1001,MATCH(ROWS($AH$2:AH940),$AH$2:$AH$1001,0),MATCH(COLUMNS($AO$1006:BM1006),$AO$1006:$BQ$1006,0)), HYPERLINK("#",""), HYPERLINK(CONCATENATE("#Metadata!", ADDRESS(INDEX($AJ$2:$AJ$1001,MATCH(ROWS($AH$2:AH940),$AH$2:$AH$1001,0),0), INDEX($AO$1004:$BQ$1004,1,MATCH(COLUMNS($AO$1006:BM1006),$AO$1006:$BQ$1006,0)))),"Fix")))</f>
        <v>#N/A</v>
      </c>
      <c r="AA940" s="5" t="e">
        <f ca="1">IF(OR(INDEX($AI$2:$AI$1001,MATCH(ROWS($AH$2:AH940),$AH$2:$AH$1001,0),1)&gt;=100000,INDEX($AO$1005:$BQ$1005,1,MATCH(COLUMNS($AO$1006:BN1006),$AO$1006:$BQ$1006,0))&gt;=100000), " ",IF(INDEX($AO$2:$BQ$1001,MATCH(ROWS($AH$2:AH940),$AH$2:$AH$1001,0),MATCH(COLUMNS($AO$1006:BN1006),$AO$1006:$BQ$1006,0)), HYPERLINK("#",""), HYPERLINK(CONCATENATE("#Metadata!", ADDRESS(INDEX($AJ$2:$AJ$1001,MATCH(ROWS($AH$2:AH940),$AH$2:$AH$1001,0),0), INDEX($AO$1004:$BQ$1004,1,MATCH(COLUMNS($AO$1006:BN1006),$AO$1006:$BQ$1006,0)))),"Fix")))</f>
        <v>#N/A</v>
      </c>
      <c r="AB940" s="5" t="e">
        <f ca="1">IF(OR(INDEX($AI$2:$AI$1001,MATCH(ROWS($AH$2:AH940),$AH$2:$AH$1001,0),1)&gt;=100000,INDEX($AO$1005:$BQ$1005,1,MATCH(COLUMNS($AO$1006:BO1006),$AO$1006:$BQ$1006,0))&gt;=100000), " ",IF(INDEX($AO$2:$BQ$1001,MATCH(ROWS($AH$2:AH940),$AH$2:$AH$1001,0),MATCH(COLUMNS($AO$1006:BO1006),$AO$1006:$BQ$1006,0)), HYPERLINK("#",""), HYPERLINK(CONCATENATE("#Metadata!", ADDRESS(INDEX($AJ$2:$AJ$1001,MATCH(ROWS($AH$2:AH940),$AH$2:$AH$1001,0),0), INDEX($AO$1004:$BQ$1004,1,MATCH(COLUMNS($AO$1006:BO1006),$AO$1006:$BQ$1006,0)))),"Fix")))</f>
        <v>#N/A</v>
      </c>
      <c r="AC940" s="5" t="e">
        <f ca="1">IF(OR(INDEX($AI$2:$AI$1001,MATCH(ROWS($AH$2:AH940),$AH$2:$AH$1001,0),1)&gt;=100000,INDEX($AO$1005:$BQ$1005,1,MATCH(COLUMNS($AO$1006:BP1006),$AO$1006:$BQ$1006,0))&gt;=100000), " ",IF(INDEX($AO$2:$BQ$1001,MATCH(ROWS($AH$2:AH940),$AH$2:$AH$1001,0),MATCH(COLUMNS($AO$1006:BP1006),$AO$1006:$BQ$1006,0)), HYPERLINK("#",""), HYPERLINK(CONCATENATE("#Metadata!", ADDRESS(INDEX($AJ$2:$AJ$1001,MATCH(ROWS($AH$2:AH940),$AH$2:$AH$1001,0),0), INDEX($AO$1004:$BQ$1004,1,MATCH(COLUMNS($AO$1006:BP1006),$AO$1006:$BQ$1006,0)))),"Fix")))</f>
        <v>#N/A</v>
      </c>
      <c r="AD940" s="5" t="e">
        <f ca="1">IF(OR(INDEX($AI$2:$AI$1001,MATCH(ROWS($AH$2:AH940),$AH$2:$AH$1001,0),1)&gt;=100000,INDEX($AO$1005:$BQ$1005,1,MATCH(COLUMNS($AO$1006:BQ1006),$AO$1006:$BQ$1006,0))&gt;=100000), " ",IF(INDEX($AO$2:$BQ$1001,MATCH(ROWS($AH$2:AH940),$AH$2:$AH$1001,0),MATCH(COLUMNS($AO$1006:BQ1006),$AO$1006:$BQ$1006,0)), HYPERLINK("#",""), HYPERLINK(CONCATENATE("#Metadata!", ADDRESS(INDEX($AJ$2:$AJ$1001,MATCH(ROWS($AH$2:AH940),$AH$2:$AH$1001,0),0), INDEX($AO$1004:$BQ$1004,1,MATCH(COLUMNS($AO$1006:BQ1006),$AO$1006:$BQ$1006,0)))),"Fix")))</f>
        <v>#REF!</v>
      </c>
      <c r="AH940">
        <f ca="1"/>
        <v>937</v>
      </c>
      <c r="AI940">
        <v>100940</v>
      </c>
      <c r="AJ940">
        <v>940</v>
      </c>
      <c r="AK940" t="b">
        <f t="shared" si="14"/>
        <v>1</v>
      </c>
      <c r="AL940" t="b">
        <f>COUNTBLANK(Metadata!B940:AD940)=COLUMNS(Metadata!B940:AD940)</f>
        <v>1</v>
      </c>
      <c r="AM940" t="str">
        <v/>
      </c>
      <c r="AO940" t="b">
        <f ca="1">AND(IF(Metadata!B940="",FALSE,TRUE),COUNTIF(Metadata!B:B, Metadata!B940) = 1,NOT(ISERROR(SUMPRODUCT(SEARCH(MID(Metadata!B940,ROW(INDIRECT("1:"&amp;LEN(Metadata!B940))), 1),"0123456789abcdefghijklmnopqrstuvwxyzABCDEFGHIJKLMNOPQRSTUVWXYZ.")))))</f>
        <v>0</v>
      </c>
      <c r="AP940" t="b">
        <f>IF(Metadata!C940="",FALSE,TRUE)</f>
        <v>0</v>
      </c>
      <c r="AQ940" t="b">
        <f>IF(Metadata!D940="",FALSE,TRUE)</f>
        <v>0</v>
      </c>
      <c r="AR940" t="b">
        <f ca="1">OR(AND(IF(Metadata!E940="",FALSE,TRUE),OR(EXACT(Metadata!E940,"not collected"),EXACT(Metadata!E940,"not provided"),EXACT(Metadata!E940,"restricted access"))),AND(IF(Metadata!E940="",FALSE,TRUE),AND(AND(IFERROR(INT(LEFT(Metadata!E940,4))&gt;1900,FALSE),IFERROR(INT(LEFT(Metadata!E940,4))&lt;=YEAR(NOW()),FALSE)), OR(MID(Metadata!E940,5,1)="", AND(AND(MID(Metadata!E940,5,1)="-",IFERROR(INT(MID(Metadata!E940,6,1))&gt;=0,FALSE),IFERROR(INT(MID(Metadata!E940,6,1))&lt;=1,FALSE),NOT(MID(Metadata!E940,7,1)=""),IFERROR(INT(MID(Metadata!E940,6,2))&gt;=1,FALSE),IFERROR(INT(MID(Metadata!E940,6,2))&lt;=12,FALSE)), OR(MID(Metadata!E940,8,1)="", AND(AND(MID(Metadata!E940,8,1)="-",IFERROR(INT(MID(Metadata!E940,9,1))&gt;=0,FALSE),IFERROR(INT(MID(Metadata!E940,9,1))&lt;=3,FALSE),NOT(MID(Metadata!E940,10,1)=""),IFERROR(INT(MID(Metadata!E940,9,2))&gt;=1,FALSE),IFERROR(INT(MID(Metadata!E940,9,2))&lt;=31,FALSE)), OR(MID(Metadata!E940,11,1)="", AND(AND(MID(Metadata!E940,11,1)=" ",IFERROR(INT(MID(Metadata!E940,12,1))&gt;=0,FALSE),IFERROR(INT(MID(Metadata!E940,12,1))&lt;=2,FALSE),NOT(MID(Metadata!E940,13,1)=""),IFERROR(INT(MID(Metadata!E940,12,2))&gt;=0,FALSE),IFERROR(INT(MID(Metadata!E940,12,2))&lt;=23,FALSE)), OR(MID(Metadata!E940,14,1)="", AND(AND(MID(Metadata!E940,14,1)=":",IFERROR(INT(MID(Metadata!E940,15,1))&gt;=0,FALSE),IFERROR(INT(MID(Metadata!E940,15,1))&lt;=5,FALSE),NOT(MID(Metadata!E940,16,1)=""),IFERROR(INT(MID(Metadata!E940,15,2))&gt;=0,FALSE),IFERROR(INT(MID(Metadata!E940,15,2))&lt;=59,FALSE)), OR(MID(Metadata!E940,17,1)="", AND(AND(MID(Metadata!E940,17,1)=":",IFERROR(INT(MID(Metadata!E940,18,1))&gt;=0,FALSE),IFERROR(INT(MID(Metadata!E940,18,1))&lt;=5,FALSE),NOT(MID(Metadata!E940,19,1)=""),IFERROR(INT(MID(Metadata!E940,18,2))&gt;=0,FALSE),IFERROR(INT(MID(Metadata!E940,18,2))&lt;=59,FALSE)), LEN(Metadata!E940)&lt;=19)))))))))))))</f>
        <v>0</v>
      </c>
      <c r="AS940" t="b">
        <f>IF(Metadata!F940="",FALSE,TRUE)</f>
        <v>0</v>
      </c>
      <c r="AT940" t="b">
        <f>OR(AND(IF(Metadata!G940="",FALSE,TRUE),OR(EXACT(Metadata!G940,"not collected"),EXACT(Metadata!G940,"not provided"))),AND(IF(Metadata!G940="",FALSE,TRUE),OR(EXACT(Metadata!G940,"TRUE"),EXACT(Metadata!G940,"FALSE"))))</f>
        <v>0</v>
      </c>
      <c r="AU940" t="b">
        <f>OR(AND(IF(Metadata!H940="",FALSE,TRUE),OR(EXACT(Metadata!H940,"not collected"),EXACT(Metadata!H940,"not provided"),EXACT(Metadata!H940,"restricted access"))),AND(IF(Metadata!H940="",FALSE,ISNUMBER(VALUE(Metadata!H940))),Metadata!H940&gt;=-413))</f>
        <v>0</v>
      </c>
      <c r="AV940" t="b">
        <f>AND(IF(Metadata!I940="",FALSE,TRUE),EXACT(Metadata!I940,"meters"))</f>
        <v>0</v>
      </c>
      <c r="AW940" t="b">
        <f>AND(IF(Metadata!J940="",FALSE,TRUE),EXACT(Metadata!J940,"free-living"))</f>
        <v>0</v>
      </c>
      <c r="AX940" t="b">
        <f>AND(IF(Metadata!K940="",FALSE,TRUE),OR(EXACT(Metadata!K940,"saline"),EXACT(Metadata!K940,"non-saline")))</f>
        <v>0</v>
      </c>
      <c r="AY940" t="b">
        <f>AND(IF(Metadata!L940="",FALSE,TRUE),OR(EXACT(Metadata!L940,"sub-surface (non-saline)"),EXACT(Metadata!L940,"surface (non-saline)"),EXACT(Metadata!L940,"water (non-saline)"),EXACT(Metadata!L940,"soil (non-saline)"),EXACT(Metadata!L940,"aerosol (non-saline)"),EXACT(Metadata!L940,"sediment (non-saline)"),EXACT(Metadata!L940,"surface (saline)"),EXACT(Metadata!L940,"water (saline)"),EXACT(Metadata!L940,"hypersaline (saline)"),EXACT(Metadata!L940,"aerosol (saline)"),EXACT(Metadata!L940,"sediment (saline)")))</f>
        <v>0</v>
      </c>
      <c r="AZ940" t="b">
        <f>IF(Metadata!M940="",FALSE,TRUE)</f>
        <v>0</v>
      </c>
      <c r="BA940" t="b">
        <f>IF(Metadata!N940="",FALSE,TRUE)</f>
        <v>0</v>
      </c>
      <c r="BB940" t="b">
        <f>IF(Metadata!O940="",FALSE,TRUE)</f>
        <v>0</v>
      </c>
      <c r="BC940" t="b">
        <f>AND(IF(Metadata!P940="",FALSE,TRUE),OR(EXACT(Metadata!P940,"air"),EXACT(Metadata!P940,"microbial mat/biofilm"),EXACT(Metadata!P940,"misc environment"),EXACT(Metadata!P940,"sediment"),EXACT(Metadata!P940,"soil"),EXACT(Metadata!P940,"wastewater/sludge"),EXACT(Metadata!P940,"water")))</f>
        <v>0</v>
      </c>
      <c r="BD940" t="b">
        <f>IF(Metadata!Q940="",FALSE,TRUE)</f>
        <v>0</v>
      </c>
      <c r="BE940" t="b">
        <f>IF(Metadata!R940="",FALSE,TRUE)</f>
        <v>0</v>
      </c>
      <c r="BF940" t="b">
        <f>OR(AND(IF(Metadata!S940="",FALSE,TRUE),OR(EXACT(Metadata!S940,"not collected"),EXACT(Metadata!S940,"not provided"),EXACT(Metadata!S940,"restricted access"))),AND(IF(Metadata!S940="",FALSE,ISNUMBER(VALUE(Metadata!S940))),Metadata!S940&gt;=-90,Metadata!S940&lt;=90))</f>
        <v>0</v>
      </c>
      <c r="BG940" t="b">
        <f>AND(IF(Metadata!T940="",FALSE,TRUE),EXACT(Metadata!T940,"Decimal degrees"))</f>
        <v>0</v>
      </c>
      <c r="BH940" t="b">
        <f>OR(AND(IF(Metadata!U940="",FALSE,TRUE),OR(EXACT(Metadata!U940,"not applicable"),EXACT(Metadata!U940,"not collected"))),IF(Metadata!U940="",FALSE,TRUE))</f>
        <v>0</v>
      </c>
      <c r="BI940" t="b">
        <f>OR(AND(IF(Metadata!V940="",FALSE,TRUE),OR(EXACT(Metadata!V940,"not collected"),EXACT(Metadata!V940,"not provided"),EXACT(Metadata!V940,"restricted access"))),AND(IF(Metadata!V940="",FALSE,ISNUMBER(VALUE(Metadata!V940))),Metadata!V940&gt;=-180,Metadata!V940&lt;=180))</f>
        <v>0</v>
      </c>
      <c r="BJ940" t="b">
        <f>AND(IF(Metadata!W940="",FALSE,TRUE),EXACT(Metadata!W940,"Decimal degrees"))</f>
        <v>0</v>
      </c>
      <c r="BK940" t="b">
        <f>IF(Metadata!X940="",FALSE,TRUE)</f>
        <v>0</v>
      </c>
      <c r="BL940" t="b">
        <f>OR(AND(IF(Metadata!Y940="",FALSE,TRUE),OR(EXACT(Metadata!Y940,"not collected"),EXACT(Metadata!Y940,"not provided"),EXACT(Metadata!Y940,"restricted access"))),AND(IF(Metadata!Y940="",FALSE,TRUE),OR(EXACT(Metadata!Y940,"TRUE"),EXACT(Metadata!Y940,"FALSE"))))</f>
        <v>0</v>
      </c>
      <c r="BM940" t="b">
        <f>OR(AND(IF(Metadata!Z940="",FALSE,TRUE),EXACT(Metadata!Z940,"not applicable")),AND(IF(Metadata!Z940="",FALSE,TRUE),OR(EXACT(Metadata!Z940,"beer"),EXACT(Metadata!Z940,"cheese"),EXACT(Metadata!Z940,"fresh water"),EXACT(Metadata!Z940,"marine sediment"),EXACT(Metadata!Z940,"sea water"),EXACT(Metadata!Z940,"sediment"),EXACT(Metadata!Z940,"soil"),EXACT(Metadata!Z940,"waste water"))))</f>
        <v>0</v>
      </c>
      <c r="BN940" t="b">
        <f>AND(IF(Metadata!AA940="",FALSE,TRUE),EXACT(Metadata!AA940,"metagenome"))</f>
        <v>0</v>
      </c>
      <c r="BO940" t="b">
        <f>AND(IF(Metadata!AB940="",FALSE,TRUE),EXACT(Metadata!AB940,"256318"))</f>
        <v>0</v>
      </c>
      <c r="BP940" t="b">
        <f>IF(Metadata!AC940="",FALSE,TRUE)</f>
        <v>0</v>
      </c>
      <c r="BQ940" t="b">
        <f>IF(Metadata!AD940="",FALSE,TRUE)</f>
        <v>0</v>
      </c>
    </row>
    <row r="941" spans="1:69" x14ac:dyDescent="0.2">
      <c r="A941" s="4" t="e">
        <f ca="1">IF(B941=" "," ",HYPERLINK(CONCATENATE("#metadata!",ADDRESS(INDEX($AJ$2:$AJ$1001,MATCH(ROWS($AH$2:AH941),$AH$2:$AH$1001,0),0),2)),INDEX($AM$2:$AM$1001,MATCH(ROWS($AH$2:AH941),$AH$2:$AH$1001,0),0)))</f>
        <v>#N/A</v>
      </c>
      <c r="B941" s="5" t="e">
        <f ca="1">IF(OR(INDEX($AI$2:$AI$1001,MATCH(ROWS($AH$2:AH941),$AH$2:$AH$1001,0),1)&gt;=100000,INDEX($AO$1005:$BQ$1005,1,MATCH(COLUMNS($AO$1006:AO1006),$AO$1006:$BQ$1006,0))&gt;=100000), " ",IF(INDEX($AO$2:$BQ$1001,MATCH(ROWS($AH$2:AH941),$AH$2:$AH$1001,0),MATCH(COLUMNS($AO$1006:AO1006),$AO$1006:$BQ$1006,0)), HYPERLINK("#",""), HYPERLINK(CONCATENATE("#Metadata!", ADDRESS(INDEX($AJ$2:$AJ$1001,MATCH(ROWS($AH$2:AH941),$AH$2:$AH$1001,0),0), INDEX($AO$1004:$BQ$1004,1,MATCH(COLUMNS($AO$1006:AO1006),$AO$1006:$BQ$1006,0)))),"Fix")))</f>
        <v>#N/A</v>
      </c>
      <c r="C941" s="5" t="e">
        <f ca="1">IF(OR(INDEX($AI$2:$AI$1001,MATCH(ROWS($AH$2:AH941),$AH$2:$AH$1001,0),1)&gt;=100000,INDEX($AO$1005:$BQ$1005,1,MATCH(COLUMNS($AO$1006:AP1006),$AO$1006:$BQ$1006,0))&gt;=100000), " ",IF(INDEX($AO$2:$BQ$1001,MATCH(ROWS($AH$2:AH941),$AH$2:$AH$1001,0),MATCH(COLUMNS($AO$1006:AP1006),$AO$1006:$BQ$1006,0)), HYPERLINK("#",""), HYPERLINK(CONCATENATE("#Metadata!", ADDRESS(INDEX($AJ$2:$AJ$1001,MATCH(ROWS($AH$2:AH941),$AH$2:$AH$1001,0),0), INDEX($AO$1004:$BQ$1004,1,MATCH(COLUMNS($AO$1006:AP1006),$AO$1006:$BQ$1006,0)))),"Fix")))</f>
        <v>#N/A</v>
      </c>
      <c r="D941" s="5" t="e">
        <f ca="1">IF(OR(INDEX($AI$2:$AI$1001,MATCH(ROWS($AH$2:AH941),$AH$2:$AH$1001,0),1)&gt;=100000,INDEX($AO$1005:$BQ$1005,1,MATCH(COLUMNS($AO$1006:AQ1006),$AO$1006:$BQ$1006,0))&gt;=100000), " ",IF(INDEX($AO$2:$BQ$1001,MATCH(ROWS($AH$2:AH941),$AH$2:$AH$1001,0),MATCH(COLUMNS($AO$1006:AQ1006),$AO$1006:$BQ$1006,0)), HYPERLINK("#",""), HYPERLINK(CONCATENATE("#Metadata!", ADDRESS(INDEX($AJ$2:$AJ$1001,MATCH(ROWS($AH$2:AH941),$AH$2:$AH$1001,0),0), INDEX($AO$1004:$BQ$1004,1,MATCH(COLUMNS($AO$1006:AQ1006),$AO$1006:$BQ$1006,0)))),"Fix")))</f>
        <v>#N/A</v>
      </c>
      <c r="E941" s="5" t="e">
        <f ca="1">IF(OR(INDEX($AI$2:$AI$1001,MATCH(ROWS($AH$2:AH941),$AH$2:$AH$1001,0),1)&gt;=100000,INDEX($AO$1005:$BQ$1005,1,MATCH(COLUMNS($AO$1006:AR1006),$AO$1006:$BQ$1006,0))&gt;=100000), " ",IF(INDEX($AO$2:$BQ$1001,MATCH(ROWS($AH$2:AH941),$AH$2:$AH$1001,0),MATCH(COLUMNS($AO$1006:AR1006),$AO$1006:$BQ$1006,0)), HYPERLINK("#",""), HYPERLINK(CONCATENATE("#Metadata!", ADDRESS(INDEX($AJ$2:$AJ$1001,MATCH(ROWS($AH$2:AH941),$AH$2:$AH$1001,0),0), INDEX($AO$1004:$BQ$1004,1,MATCH(COLUMNS($AO$1006:AR1006),$AO$1006:$BQ$1006,0)))),"Fix")))</f>
        <v>#N/A</v>
      </c>
      <c r="F941" s="5" t="e">
        <f ca="1">IF(OR(INDEX($AI$2:$AI$1001,MATCH(ROWS($AH$2:AH941),$AH$2:$AH$1001,0),1)&gt;=100000,INDEX($AO$1005:$BQ$1005,1,MATCH(COLUMNS($AO$1006:AS1006),$AO$1006:$BQ$1006,0))&gt;=100000), " ",IF(INDEX($AO$2:$BQ$1001,MATCH(ROWS($AH$2:AH941),$AH$2:$AH$1001,0),MATCH(COLUMNS($AO$1006:AS1006),$AO$1006:$BQ$1006,0)), HYPERLINK("#",""), HYPERLINK(CONCATENATE("#Metadata!", ADDRESS(INDEX($AJ$2:$AJ$1001,MATCH(ROWS($AH$2:AH941),$AH$2:$AH$1001,0),0), INDEX($AO$1004:$BQ$1004,1,MATCH(COLUMNS($AO$1006:AS1006),$AO$1006:$BQ$1006,0)))),"Fix")))</f>
        <v>#N/A</v>
      </c>
      <c r="G941" s="5" t="e">
        <f ca="1">IF(OR(INDEX($AI$2:$AI$1001,MATCH(ROWS($AH$2:AH941),$AH$2:$AH$1001,0),1)&gt;=100000,INDEX($AO$1005:$BQ$1005,1,MATCH(COLUMNS($AO$1006:AT1006),$AO$1006:$BQ$1006,0))&gt;=100000), " ",IF(INDEX($AO$2:$BQ$1001,MATCH(ROWS($AH$2:AH941),$AH$2:$AH$1001,0),MATCH(COLUMNS($AO$1006:AT1006),$AO$1006:$BQ$1006,0)), HYPERLINK("#",""), HYPERLINK(CONCATENATE("#Metadata!", ADDRESS(INDEX($AJ$2:$AJ$1001,MATCH(ROWS($AH$2:AH941),$AH$2:$AH$1001,0),0), INDEX($AO$1004:$BQ$1004,1,MATCH(COLUMNS($AO$1006:AT1006),$AO$1006:$BQ$1006,0)))),"Fix")))</f>
        <v>#N/A</v>
      </c>
      <c r="H941" s="5" t="e">
        <f ca="1">IF(OR(INDEX($AI$2:$AI$1001,MATCH(ROWS($AH$2:AH941),$AH$2:$AH$1001,0),1)&gt;=100000,INDEX($AO$1005:$BQ$1005,1,MATCH(COLUMNS($AO$1006:AU1006),$AO$1006:$BQ$1006,0))&gt;=100000), " ",IF(INDEX($AO$2:$BQ$1001,MATCH(ROWS($AH$2:AH941),$AH$2:$AH$1001,0),MATCH(COLUMNS($AO$1006:AU1006),$AO$1006:$BQ$1006,0)), HYPERLINK("#",""), HYPERLINK(CONCATENATE("#Metadata!", ADDRESS(INDEX($AJ$2:$AJ$1001,MATCH(ROWS($AH$2:AH941),$AH$2:$AH$1001,0),0), INDEX($AO$1004:$BQ$1004,1,MATCH(COLUMNS($AO$1006:AU1006),$AO$1006:$BQ$1006,0)))),"Fix")))</f>
        <v>#N/A</v>
      </c>
      <c r="I941" s="5" t="e">
        <f ca="1">IF(OR(INDEX($AI$2:$AI$1001,MATCH(ROWS($AH$2:AH941),$AH$2:$AH$1001,0),1)&gt;=100000,INDEX($AO$1005:$BQ$1005,1,MATCH(COLUMNS($AO$1006:AV1006),$AO$1006:$BQ$1006,0))&gt;=100000), " ",IF(INDEX($AO$2:$BQ$1001,MATCH(ROWS($AH$2:AH941),$AH$2:$AH$1001,0),MATCH(COLUMNS($AO$1006:AV1006),$AO$1006:$BQ$1006,0)), HYPERLINK("#",""), HYPERLINK(CONCATENATE("#Metadata!", ADDRESS(INDEX($AJ$2:$AJ$1001,MATCH(ROWS($AH$2:AH941),$AH$2:$AH$1001,0),0), INDEX($AO$1004:$BQ$1004,1,MATCH(COLUMNS($AO$1006:AV1006),$AO$1006:$BQ$1006,0)))),"Fix")))</f>
        <v>#N/A</v>
      </c>
      <c r="J941" s="5" t="e">
        <f ca="1">IF(OR(INDEX($AI$2:$AI$1001,MATCH(ROWS($AH$2:AH941),$AH$2:$AH$1001,0),1)&gt;=100000,INDEX($AO$1005:$BQ$1005,1,MATCH(COLUMNS($AO$1006:AW1006),$AO$1006:$BQ$1006,0))&gt;=100000), " ",IF(INDEX($AO$2:$BQ$1001,MATCH(ROWS($AH$2:AH941),$AH$2:$AH$1001,0),MATCH(COLUMNS($AO$1006:AW1006),$AO$1006:$BQ$1006,0)), HYPERLINK("#",""), HYPERLINK(CONCATENATE("#Metadata!", ADDRESS(INDEX($AJ$2:$AJ$1001,MATCH(ROWS($AH$2:AH941),$AH$2:$AH$1001,0),0), INDEX($AO$1004:$BQ$1004,1,MATCH(COLUMNS($AO$1006:AW1006),$AO$1006:$BQ$1006,0)))),"Fix")))</f>
        <v>#N/A</v>
      </c>
      <c r="K941" s="5" t="e">
        <f ca="1">IF(OR(INDEX($AI$2:$AI$1001,MATCH(ROWS($AH$2:AH941),$AH$2:$AH$1001,0),1)&gt;=100000,INDEX($AO$1005:$BQ$1005,1,MATCH(COLUMNS($AO$1006:AX1006),$AO$1006:$BQ$1006,0))&gt;=100000), " ",IF(INDEX($AO$2:$BQ$1001,MATCH(ROWS($AH$2:AH941),$AH$2:$AH$1001,0),MATCH(COLUMNS($AO$1006:AX1006),$AO$1006:$BQ$1006,0)), HYPERLINK("#",""), HYPERLINK(CONCATENATE("#Metadata!", ADDRESS(INDEX($AJ$2:$AJ$1001,MATCH(ROWS($AH$2:AH941),$AH$2:$AH$1001,0),0), INDEX($AO$1004:$BQ$1004,1,MATCH(COLUMNS($AO$1006:AX1006),$AO$1006:$BQ$1006,0)))),"Fix")))</f>
        <v>#N/A</v>
      </c>
      <c r="L941" s="5" t="e">
        <f ca="1">IF(OR(INDEX($AI$2:$AI$1001,MATCH(ROWS($AH$2:AH941),$AH$2:$AH$1001,0),1)&gt;=100000,INDEX($AO$1005:$BQ$1005,1,MATCH(COLUMNS($AO$1006:AY1006),$AO$1006:$BQ$1006,0))&gt;=100000), " ",IF(INDEX($AO$2:$BQ$1001,MATCH(ROWS($AH$2:AH941),$AH$2:$AH$1001,0),MATCH(COLUMNS($AO$1006:AY1006),$AO$1006:$BQ$1006,0)), HYPERLINK("#",""), HYPERLINK(CONCATENATE("#Metadata!", ADDRESS(INDEX($AJ$2:$AJ$1001,MATCH(ROWS($AH$2:AH941),$AH$2:$AH$1001,0),0), INDEX($AO$1004:$BQ$1004,1,MATCH(COLUMNS($AO$1006:AY1006),$AO$1006:$BQ$1006,0)))),"Fix")))</f>
        <v>#N/A</v>
      </c>
      <c r="M941" s="5" t="e">
        <f ca="1">IF(OR(INDEX($AI$2:$AI$1001,MATCH(ROWS($AH$2:AH941),$AH$2:$AH$1001,0),1)&gt;=100000,INDEX($AO$1005:$BQ$1005,1,MATCH(COLUMNS($AO$1006:AZ1006),$AO$1006:$BQ$1006,0))&gt;=100000), " ",IF(INDEX($AO$2:$BQ$1001,MATCH(ROWS($AH$2:AH941),$AH$2:$AH$1001,0),MATCH(COLUMNS($AO$1006:AZ1006),$AO$1006:$BQ$1006,0)), HYPERLINK("#",""), HYPERLINK(CONCATENATE("#Metadata!", ADDRESS(INDEX($AJ$2:$AJ$1001,MATCH(ROWS($AH$2:AH941),$AH$2:$AH$1001,0),0), INDEX($AO$1004:$BQ$1004,1,MATCH(COLUMNS($AO$1006:AZ1006),$AO$1006:$BQ$1006,0)))),"Fix")))</f>
        <v>#N/A</v>
      </c>
      <c r="N941" s="5" t="e">
        <f ca="1">IF(OR(INDEX($AI$2:$AI$1001,MATCH(ROWS($AH$2:AH941),$AH$2:$AH$1001,0),1)&gt;=100000,INDEX($AO$1005:$BQ$1005,1,MATCH(COLUMNS($AO$1006:BA1006),$AO$1006:$BQ$1006,0))&gt;=100000), " ",IF(INDEX($AO$2:$BQ$1001,MATCH(ROWS($AH$2:AH941),$AH$2:$AH$1001,0),MATCH(COLUMNS($AO$1006:BA1006),$AO$1006:$BQ$1006,0)), HYPERLINK("#",""), HYPERLINK(CONCATENATE("#Metadata!", ADDRESS(INDEX($AJ$2:$AJ$1001,MATCH(ROWS($AH$2:AH941),$AH$2:$AH$1001,0),0), INDEX($AO$1004:$BQ$1004,1,MATCH(COLUMNS($AO$1006:BA1006),$AO$1006:$BQ$1006,0)))),"Fix")))</f>
        <v>#N/A</v>
      </c>
      <c r="O941" s="5" t="e">
        <f ca="1">IF(OR(INDEX($AI$2:$AI$1001,MATCH(ROWS($AH$2:AH941),$AH$2:$AH$1001,0),1)&gt;=100000,INDEX($AO$1005:$BQ$1005,1,MATCH(COLUMNS($AO$1006:BB1006),$AO$1006:$BQ$1006,0))&gt;=100000), " ",IF(INDEX($AO$2:$BQ$1001,MATCH(ROWS($AH$2:AH941),$AH$2:$AH$1001,0),MATCH(COLUMNS($AO$1006:BB1006),$AO$1006:$BQ$1006,0)), HYPERLINK("#",""), HYPERLINK(CONCATENATE("#Metadata!", ADDRESS(INDEX($AJ$2:$AJ$1001,MATCH(ROWS($AH$2:AH941),$AH$2:$AH$1001,0),0), INDEX($AO$1004:$BQ$1004,1,MATCH(COLUMNS($AO$1006:BB1006),$AO$1006:$BQ$1006,0)))),"Fix")))</f>
        <v>#N/A</v>
      </c>
      <c r="P941" s="5" t="e">
        <f ca="1">IF(OR(INDEX($AI$2:$AI$1001,MATCH(ROWS($AH$2:AH941),$AH$2:$AH$1001,0),1)&gt;=100000,INDEX($AO$1005:$BQ$1005,1,MATCH(COLUMNS($AO$1006:BC1006),$AO$1006:$BQ$1006,0))&gt;=100000), " ",IF(INDEX($AO$2:$BQ$1001,MATCH(ROWS($AH$2:AH941),$AH$2:$AH$1001,0),MATCH(COLUMNS($AO$1006:BC1006),$AO$1006:$BQ$1006,0)), HYPERLINK("#",""), HYPERLINK(CONCATENATE("#Metadata!", ADDRESS(INDEX($AJ$2:$AJ$1001,MATCH(ROWS($AH$2:AH941),$AH$2:$AH$1001,0),0), INDEX($AO$1004:$BQ$1004,1,MATCH(COLUMNS($AO$1006:BC1006),$AO$1006:$BQ$1006,0)))),"Fix")))</f>
        <v>#N/A</v>
      </c>
      <c r="Q941" s="5" t="e">
        <f ca="1">IF(OR(INDEX($AI$2:$AI$1001,MATCH(ROWS($AH$2:AH941),$AH$2:$AH$1001,0),1)&gt;=100000,INDEX($AO$1005:$BQ$1005,1,MATCH(COLUMNS($AO$1006:BD1006),$AO$1006:$BQ$1006,0))&gt;=100000), " ",IF(INDEX($AO$2:$BQ$1001,MATCH(ROWS($AH$2:AH941),$AH$2:$AH$1001,0),MATCH(COLUMNS($AO$1006:BD1006),$AO$1006:$BQ$1006,0)), HYPERLINK("#",""), HYPERLINK(CONCATENATE("#Metadata!", ADDRESS(INDEX($AJ$2:$AJ$1001,MATCH(ROWS($AH$2:AH941),$AH$2:$AH$1001,0),0), INDEX($AO$1004:$BQ$1004,1,MATCH(COLUMNS($AO$1006:BD1006),$AO$1006:$BQ$1006,0)))),"Fix")))</f>
        <v>#N/A</v>
      </c>
      <c r="R941" s="5" t="e">
        <f ca="1">IF(OR(INDEX($AI$2:$AI$1001,MATCH(ROWS($AH$2:AH941),$AH$2:$AH$1001,0),1)&gt;=100000,INDEX($AO$1005:$BQ$1005,1,MATCH(COLUMNS($AO$1006:BE1006),$AO$1006:$BQ$1006,0))&gt;=100000), " ",IF(INDEX($AO$2:$BQ$1001,MATCH(ROWS($AH$2:AH941),$AH$2:$AH$1001,0),MATCH(COLUMNS($AO$1006:BE1006),$AO$1006:$BQ$1006,0)), HYPERLINK("#",""), HYPERLINK(CONCATENATE("#Metadata!", ADDRESS(INDEX($AJ$2:$AJ$1001,MATCH(ROWS($AH$2:AH941),$AH$2:$AH$1001,0),0), INDEX($AO$1004:$BQ$1004,1,MATCH(COLUMNS($AO$1006:BE1006),$AO$1006:$BQ$1006,0)))),"Fix")))</f>
        <v>#N/A</v>
      </c>
      <c r="S941" s="5" t="e">
        <f ca="1">IF(OR(INDEX($AI$2:$AI$1001,MATCH(ROWS($AH$2:AH941),$AH$2:$AH$1001,0),1)&gt;=100000,INDEX($AO$1005:$BQ$1005,1,MATCH(COLUMNS($AO$1006:BF1006),$AO$1006:$BQ$1006,0))&gt;=100000), " ",IF(INDEX($AO$2:$BQ$1001,MATCH(ROWS($AH$2:AH941),$AH$2:$AH$1001,0),MATCH(COLUMNS($AO$1006:BF1006),$AO$1006:$BQ$1006,0)), HYPERLINK("#",""), HYPERLINK(CONCATENATE("#Metadata!", ADDRESS(INDEX($AJ$2:$AJ$1001,MATCH(ROWS($AH$2:AH941),$AH$2:$AH$1001,0),0), INDEX($AO$1004:$BQ$1004,1,MATCH(COLUMNS($AO$1006:BF1006),$AO$1006:$BQ$1006,0)))),"Fix")))</f>
        <v>#N/A</v>
      </c>
      <c r="T941" s="5" t="e">
        <f ca="1">IF(OR(INDEX($AI$2:$AI$1001,MATCH(ROWS($AH$2:AH941),$AH$2:$AH$1001,0),1)&gt;=100000,INDEX($AO$1005:$BQ$1005,1,MATCH(COLUMNS($AO$1006:BG1006),$AO$1006:$BQ$1006,0))&gt;=100000), " ",IF(INDEX($AO$2:$BQ$1001,MATCH(ROWS($AH$2:AH941),$AH$2:$AH$1001,0),MATCH(COLUMNS($AO$1006:BG1006),$AO$1006:$BQ$1006,0)), HYPERLINK("#",""), HYPERLINK(CONCATENATE("#Metadata!", ADDRESS(INDEX($AJ$2:$AJ$1001,MATCH(ROWS($AH$2:AH941),$AH$2:$AH$1001,0),0), INDEX($AO$1004:$BQ$1004,1,MATCH(COLUMNS($AO$1006:BG1006),$AO$1006:$BQ$1006,0)))),"Fix")))</f>
        <v>#N/A</v>
      </c>
      <c r="U941" s="5" t="e">
        <f ca="1">IF(OR(INDEX($AI$2:$AI$1001,MATCH(ROWS($AH$2:AH941),$AH$2:$AH$1001,0),1)&gt;=100000,INDEX($AO$1005:$BQ$1005,1,MATCH(COLUMNS($AO$1006:BH1006),$AO$1006:$BQ$1006,0))&gt;=100000), " ",IF(INDEX($AO$2:$BQ$1001,MATCH(ROWS($AH$2:AH941),$AH$2:$AH$1001,0),MATCH(COLUMNS($AO$1006:BH1006),$AO$1006:$BQ$1006,0)), HYPERLINK("#",""), HYPERLINK(CONCATENATE("#Metadata!", ADDRESS(INDEX($AJ$2:$AJ$1001,MATCH(ROWS($AH$2:AH941),$AH$2:$AH$1001,0),0), INDEX($AO$1004:$BQ$1004,1,MATCH(COLUMNS($AO$1006:BH1006),$AO$1006:$BQ$1006,0)))),"Fix")))</f>
        <v>#N/A</v>
      </c>
      <c r="V941" s="5" t="e">
        <f ca="1">IF(OR(INDEX($AI$2:$AI$1001,MATCH(ROWS($AH$2:AH941),$AH$2:$AH$1001,0),1)&gt;=100000,INDEX($AO$1005:$BQ$1005,1,MATCH(COLUMNS($AO$1006:BI1006),$AO$1006:$BQ$1006,0))&gt;=100000), " ",IF(INDEX($AO$2:$BQ$1001,MATCH(ROWS($AH$2:AH941),$AH$2:$AH$1001,0),MATCH(COLUMNS($AO$1006:BI1006),$AO$1006:$BQ$1006,0)), HYPERLINK("#",""), HYPERLINK(CONCATENATE("#Metadata!", ADDRESS(INDEX($AJ$2:$AJ$1001,MATCH(ROWS($AH$2:AH941),$AH$2:$AH$1001,0),0), INDEX($AO$1004:$BQ$1004,1,MATCH(COLUMNS($AO$1006:BI1006),$AO$1006:$BQ$1006,0)))),"Fix")))</f>
        <v>#N/A</v>
      </c>
      <c r="W941" s="5" t="e">
        <f ca="1">IF(OR(INDEX($AI$2:$AI$1001,MATCH(ROWS($AH$2:AH941),$AH$2:$AH$1001,0),1)&gt;=100000,INDEX($AO$1005:$BQ$1005,1,MATCH(COLUMNS($AO$1006:BJ1006),$AO$1006:$BQ$1006,0))&gt;=100000), " ",IF(INDEX($AO$2:$BQ$1001,MATCH(ROWS($AH$2:AH941),$AH$2:$AH$1001,0),MATCH(COLUMNS($AO$1006:BJ1006),$AO$1006:$BQ$1006,0)), HYPERLINK("#",""), HYPERLINK(CONCATENATE("#Metadata!", ADDRESS(INDEX($AJ$2:$AJ$1001,MATCH(ROWS($AH$2:AH941),$AH$2:$AH$1001,0),0), INDEX($AO$1004:$BQ$1004,1,MATCH(COLUMNS($AO$1006:BJ1006),$AO$1006:$BQ$1006,0)))),"Fix")))</f>
        <v>#N/A</v>
      </c>
      <c r="X941" s="5" t="e">
        <f ca="1">IF(OR(INDEX($AI$2:$AI$1001,MATCH(ROWS($AH$2:AH941),$AH$2:$AH$1001,0),1)&gt;=100000,INDEX($AO$1005:$BQ$1005,1,MATCH(COLUMNS($AO$1006:BK1006),$AO$1006:$BQ$1006,0))&gt;=100000), " ",IF(INDEX($AO$2:$BQ$1001,MATCH(ROWS($AH$2:AH941),$AH$2:$AH$1001,0),MATCH(COLUMNS($AO$1006:BK1006),$AO$1006:$BQ$1006,0)), HYPERLINK("#",""), HYPERLINK(CONCATENATE("#Metadata!", ADDRESS(INDEX($AJ$2:$AJ$1001,MATCH(ROWS($AH$2:AH941),$AH$2:$AH$1001,0),0), INDEX($AO$1004:$BQ$1004,1,MATCH(COLUMNS($AO$1006:BK1006),$AO$1006:$BQ$1006,0)))),"Fix")))</f>
        <v>#N/A</v>
      </c>
      <c r="Y941" s="5" t="e">
        <f ca="1">IF(OR(INDEX($AI$2:$AI$1001,MATCH(ROWS($AH$2:AH941),$AH$2:$AH$1001,0),1)&gt;=100000,INDEX($AO$1005:$BQ$1005,1,MATCH(COLUMNS($AO$1006:BL1006),$AO$1006:$BQ$1006,0))&gt;=100000), " ",IF(INDEX($AO$2:$BQ$1001,MATCH(ROWS($AH$2:AH941),$AH$2:$AH$1001,0),MATCH(COLUMNS($AO$1006:BL1006),$AO$1006:$BQ$1006,0)), HYPERLINK("#",""), HYPERLINK(CONCATENATE("#Metadata!", ADDRESS(INDEX($AJ$2:$AJ$1001,MATCH(ROWS($AH$2:AH941),$AH$2:$AH$1001,0),0), INDEX($AO$1004:$BQ$1004,1,MATCH(COLUMNS($AO$1006:BL1006),$AO$1006:$BQ$1006,0)))),"Fix")))</f>
        <v>#N/A</v>
      </c>
      <c r="Z941" s="5" t="e">
        <f ca="1">IF(OR(INDEX($AI$2:$AI$1001,MATCH(ROWS($AH$2:AH941),$AH$2:$AH$1001,0),1)&gt;=100000,INDEX($AO$1005:$BQ$1005,1,MATCH(COLUMNS($AO$1006:BM1006),$AO$1006:$BQ$1006,0))&gt;=100000), " ",IF(INDEX($AO$2:$BQ$1001,MATCH(ROWS($AH$2:AH941),$AH$2:$AH$1001,0),MATCH(COLUMNS($AO$1006:BM1006),$AO$1006:$BQ$1006,0)), HYPERLINK("#",""), HYPERLINK(CONCATENATE("#Metadata!", ADDRESS(INDEX($AJ$2:$AJ$1001,MATCH(ROWS($AH$2:AH941),$AH$2:$AH$1001,0),0), INDEX($AO$1004:$BQ$1004,1,MATCH(COLUMNS($AO$1006:BM1006),$AO$1006:$BQ$1006,0)))),"Fix")))</f>
        <v>#N/A</v>
      </c>
      <c r="AA941" s="5" t="e">
        <f ca="1">IF(OR(INDEX($AI$2:$AI$1001,MATCH(ROWS($AH$2:AH941),$AH$2:$AH$1001,0),1)&gt;=100000,INDEX($AO$1005:$BQ$1005,1,MATCH(COLUMNS($AO$1006:BN1006),$AO$1006:$BQ$1006,0))&gt;=100000), " ",IF(INDEX($AO$2:$BQ$1001,MATCH(ROWS($AH$2:AH941),$AH$2:$AH$1001,0),MATCH(COLUMNS($AO$1006:BN1006),$AO$1006:$BQ$1006,0)), HYPERLINK("#",""), HYPERLINK(CONCATENATE("#Metadata!", ADDRESS(INDEX($AJ$2:$AJ$1001,MATCH(ROWS($AH$2:AH941),$AH$2:$AH$1001,0),0), INDEX($AO$1004:$BQ$1004,1,MATCH(COLUMNS($AO$1006:BN1006),$AO$1006:$BQ$1006,0)))),"Fix")))</f>
        <v>#N/A</v>
      </c>
      <c r="AB941" s="5" t="e">
        <f ca="1">IF(OR(INDEX($AI$2:$AI$1001,MATCH(ROWS($AH$2:AH941),$AH$2:$AH$1001,0),1)&gt;=100000,INDEX($AO$1005:$BQ$1005,1,MATCH(COLUMNS($AO$1006:BO1006),$AO$1006:$BQ$1006,0))&gt;=100000), " ",IF(INDEX($AO$2:$BQ$1001,MATCH(ROWS($AH$2:AH941),$AH$2:$AH$1001,0),MATCH(COLUMNS($AO$1006:BO1006),$AO$1006:$BQ$1006,0)), HYPERLINK("#",""), HYPERLINK(CONCATENATE("#Metadata!", ADDRESS(INDEX($AJ$2:$AJ$1001,MATCH(ROWS($AH$2:AH941),$AH$2:$AH$1001,0),0), INDEX($AO$1004:$BQ$1004,1,MATCH(COLUMNS($AO$1006:BO1006),$AO$1006:$BQ$1006,0)))),"Fix")))</f>
        <v>#N/A</v>
      </c>
      <c r="AC941" s="5" t="e">
        <f ca="1">IF(OR(INDEX($AI$2:$AI$1001,MATCH(ROWS($AH$2:AH941),$AH$2:$AH$1001,0),1)&gt;=100000,INDEX($AO$1005:$BQ$1005,1,MATCH(COLUMNS($AO$1006:BP1006),$AO$1006:$BQ$1006,0))&gt;=100000), " ",IF(INDEX($AO$2:$BQ$1001,MATCH(ROWS($AH$2:AH941),$AH$2:$AH$1001,0),MATCH(COLUMNS($AO$1006:BP1006),$AO$1006:$BQ$1006,0)), HYPERLINK("#",""), HYPERLINK(CONCATENATE("#Metadata!", ADDRESS(INDEX($AJ$2:$AJ$1001,MATCH(ROWS($AH$2:AH941),$AH$2:$AH$1001,0),0), INDEX($AO$1004:$BQ$1004,1,MATCH(COLUMNS($AO$1006:BP1006),$AO$1006:$BQ$1006,0)))),"Fix")))</f>
        <v>#N/A</v>
      </c>
      <c r="AD941" s="5" t="e">
        <f ca="1">IF(OR(INDEX($AI$2:$AI$1001,MATCH(ROWS($AH$2:AH941),$AH$2:$AH$1001,0),1)&gt;=100000,INDEX($AO$1005:$BQ$1005,1,MATCH(COLUMNS($AO$1006:BQ1006),$AO$1006:$BQ$1006,0))&gt;=100000), " ",IF(INDEX($AO$2:$BQ$1001,MATCH(ROWS($AH$2:AH941),$AH$2:$AH$1001,0),MATCH(COLUMNS($AO$1006:BQ1006),$AO$1006:$BQ$1006,0)), HYPERLINK("#",""), HYPERLINK(CONCATENATE("#Metadata!", ADDRESS(INDEX($AJ$2:$AJ$1001,MATCH(ROWS($AH$2:AH941),$AH$2:$AH$1001,0),0), INDEX($AO$1004:$BQ$1004,1,MATCH(COLUMNS($AO$1006:BQ1006),$AO$1006:$BQ$1006,0)))),"Fix")))</f>
        <v>#REF!</v>
      </c>
      <c r="AH941">
        <f ca="1"/>
        <v>938</v>
      </c>
      <c r="AI941">
        <v>100941</v>
      </c>
      <c r="AJ941">
        <v>941</v>
      </c>
      <c r="AK941" t="b">
        <f t="shared" si="14"/>
        <v>1</v>
      </c>
      <c r="AL941" t="b">
        <f>COUNTBLANK(Metadata!B941:AD941)=COLUMNS(Metadata!B941:AD941)</f>
        <v>1</v>
      </c>
      <c r="AM941" t="str">
        <v/>
      </c>
      <c r="AO941" t="b">
        <f ca="1">AND(IF(Metadata!B941="",FALSE,TRUE),COUNTIF(Metadata!B:B, Metadata!B941) = 1,NOT(ISERROR(SUMPRODUCT(SEARCH(MID(Metadata!B941,ROW(INDIRECT("1:"&amp;LEN(Metadata!B941))), 1),"0123456789abcdefghijklmnopqrstuvwxyzABCDEFGHIJKLMNOPQRSTUVWXYZ.")))))</f>
        <v>0</v>
      </c>
      <c r="AP941" t="b">
        <f>IF(Metadata!C941="",FALSE,TRUE)</f>
        <v>0</v>
      </c>
      <c r="AQ941" t="b">
        <f>IF(Metadata!D941="",FALSE,TRUE)</f>
        <v>0</v>
      </c>
      <c r="AR941" t="b">
        <f ca="1">OR(AND(IF(Metadata!E941="",FALSE,TRUE),OR(EXACT(Metadata!E941,"not collected"),EXACT(Metadata!E941,"not provided"),EXACT(Metadata!E941,"restricted access"))),AND(IF(Metadata!E941="",FALSE,TRUE),AND(AND(IFERROR(INT(LEFT(Metadata!E941,4))&gt;1900,FALSE),IFERROR(INT(LEFT(Metadata!E941,4))&lt;=YEAR(NOW()),FALSE)), OR(MID(Metadata!E941,5,1)="", AND(AND(MID(Metadata!E941,5,1)="-",IFERROR(INT(MID(Metadata!E941,6,1))&gt;=0,FALSE),IFERROR(INT(MID(Metadata!E941,6,1))&lt;=1,FALSE),NOT(MID(Metadata!E941,7,1)=""),IFERROR(INT(MID(Metadata!E941,6,2))&gt;=1,FALSE),IFERROR(INT(MID(Metadata!E941,6,2))&lt;=12,FALSE)), OR(MID(Metadata!E941,8,1)="", AND(AND(MID(Metadata!E941,8,1)="-",IFERROR(INT(MID(Metadata!E941,9,1))&gt;=0,FALSE),IFERROR(INT(MID(Metadata!E941,9,1))&lt;=3,FALSE),NOT(MID(Metadata!E941,10,1)=""),IFERROR(INT(MID(Metadata!E941,9,2))&gt;=1,FALSE),IFERROR(INT(MID(Metadata!E941,9,2))&lt;=31,FALSE)), OR(MID(Metadata!E941,11,1)="", AND(AND(MID(Metadata!E941,11,1)=" ",IFERROR(INT(MID(Metadata!E941,12,1))&gt;=0,FALSE),IFERROR(INT(MID(Metadata!E941,12,1))&lt;=2,FALSE),NOT(MID(Metadata!E941,13,1)=""),IFERROR(INT(MID(Metadata!E941,12,2))&gt;=0,FALSE),IFERROR(INT(MID(Metadata!E941,12,2))&lt;=23,FALSE)), OR(MID(Metadata!E941,14,1)="", AND(AND(MID(Metadata!E941,14,1)=":",IFERROR(INT(MID(Metadata!E941,15,1))&gt;=0,FALSE),IFERROR(INT(MID(Metadata!E941,15,1))&lt;=5,FALSE),NOT(MID(Metadata!E941,16,1)=""),IFERROR(INT(MID(Metadata!E941,15,2))&gt;=0,FALSE),IFERROR(INT(MID(Metadata!E941,15,2))&lt;=59,FALSE)), OR(MID(Metadata!E941,17,1)="", AND(AND(MID(Metadata!E941,17,1)=":",IFERROR(INT(MID(Metadata!E941,18,1))&gt;=0,FALSE),IFERROR(INT(MID(Metadata!E941,18,1))&lt;=5,FALSE),NOT(MID(Metadata!E941,19,1)=""),IFERROR(INT(MID(Metadata!E941,18,2))&gt;=0,FALSE),IFERROR(INT(MID(Metadata!E941,18,2))&lt;=59,FALSE)), LEN(Metadata!E941)&lt;=19)))))))))))))</f>
        <v>0</v>
      </c>
      <c r="AS941" t="b">
        <f>IF(Metadata!F941="",FALSE,TRUE)</f>
        <v>0</v>
      </c>
      <c r="AT941" t="b">
        <f>OR(AND(IF(Metadata!G941="",FALSE,TRUE),OR(EXACT(Metadata!G941,"not collected"),EXACT(Metadata!G941,"not provided"))),AND(IF(Metadata!G941="",FALSE,TRUE),OR(EXACT(Metadata!G941,"TRUE"),EXACT(Metadata!G941,"FALSE"))))</f>
        <v>0</v>
      </c>
      <c r="AU941" t="b">
        <f>OR(AND(IF(Metadata!H941="",FALSE,TRUE),OR(EXACT(Metadata!H941,"not collected"),EXACT(Metadata!H941,"not provided"),EXACT(Metadata!H941,"restricted access"))),AND(IF(Metadata!H941="",FALSE,ISNUMBER(VALUE(Metadata!H941))),Metadata!H941&gt;=-413))</f>
        <v>0</v>
      </c>
      <c r="AV941" t="b">
        <f>AND(IF(Metadata!I941="",FALSE,TRUE),EXACT(Metadata!I941,"meters"))</f>
        <v>0</v>
      </c>
      <c r="AW941" t="b">
        <f>AND(IF(Metadata!J941="",FALSE,TRUE),EXACT(Metadata!J941,"free-living"))</f>
        <v>0</v>
      </c>
      <c r="AX941" t="b">
        <f>AND(IF(Metadata!K941="",FALSE,TRUE),OR(EXACT(Metadata!K941,"saline"),EXACT(Metadata!K941,"non-saline")))</f>
        <v>0</v>
      </c>
      <c r="AY941" t="b">
        <f>AND(IF(Metadata!L941="",FALSE,TRUE),OR(EXACT(Metadata!L941,"sub-surface (non-saline)"),EXACT(Metadata!L941,"surface (non-saline)"),EXACT(Metadata!L941,"water (non-saline)"),EXACT(Metadata!L941,"soil (non-saline)"),EXACT(Metadata!L941,"aerosol (non-saline)"),EXACT(Metadata!L941,"sediment (non-saline)"),EXACT(Metadata!L941,"surface (saline)"),EXACT(Metadata!L941,"water (saline)"),EXACT(Metadata!L941,"hypersaline (saline)"),EXACT(Metadata!L941,"aerosol (saline)"),EXACT(Metadata!L941,"sediment (saline)")))</f>
        <v>0</v>
      </c>
      <c r="AZ941" t="b">
        <f>IF(Metadata!M941="",FALSE,TRUE)</f>
        <v>0</v>
      </c>
      <c r="BA941" t="b">
        <f>IF(Metadata!N941="",FALSE,TRUE)</f>
        <v>0</v>
      </c>
      <c r="BB941" t="b">
        <f>IF(Metadata!O941="",FALSE,TRUE)</f>
        <v>0</v>
      </c>
      <c r="BC941" t="b">
        <f>AND(IF(Metadata!P941="",FALSE,TRUE),OR(EXACT(Metadata!P941,"air"),EXACT(Metadata!P941,"microbial mat/biofilm"),EXACT(Metadata!P941,"misc environment"),EXACT(Metadata!P941,"sediment"),EXACT(Metadata!P941,"soil"),EXACT(Metadata!P941,"wastewater/sludge"),EXACT(Metadata!P941,"water")))</f>
        <v>0</v>
      </c>
      <c r="BD941" t="b">
        <f>IF(Metadata!Q941="",FALSE,TRUE)</f>
        <v>0</v>
      </c>
      <c r="BE941" t="b">
        <f>IF(Metadata!R941="",FALSE,TRUE)</f>
        <v>0</v>
      </c>
      <c r="BF941" t="b">
        <f>OR(AND(IF(Metadata!S941="",FALSE,TRUE),OR(EXACT(Metadata!S941,"not collected"),EXACT(Metadata!S941,"not provided"),EXACT(Metadata!S941,"restricted access"))),AND(IF(Metadata!S941="",FALSE,ISNUMBER(VALUE(Metadata!S941))),Metadata!S941&gt;=-90,Metadata!S941&lt;=90))</f>
        <v>0</v>
      </c>
      <c r="BG941" t="b">
        <f>AND(IF(Metadata!T941="",FALSE,TRUE),EXACT(Metadata!T941,"Decimal degrees"))</f>
        <v>0</v>
      </c>
      <c r="BH941" t="b">
        <f>OR(AND(IF(Metadata!U941="",FALSE,TRUE),OR(EXACT(Metadata!U941,"not applicable"),EXACT(Metadata!U941,"not collected"))),IF(Metadata!U941="",FALSE,TRUE))</f>
        <v>0</v>
      </c>
      <c r="BI941" t="b">
        <f>OR(AND(IF(Metadata!V941="",FALSE,TRUE),OR(EXACT(Metadata!V941,"not collected"),EXACT(Metadata!V941,"not provided"),EXACT(Metadata!V941,"restricted access"))),AND(IF(Metadata!V941="",FALSE,ISNUMBER(VALUE(Metadata!V941))),Metadata!V941&gt;=-180,Metadata!V941&lt;=180))</f>
        <v>0</v>
      </c>
      <c r="BJ941" t="b">
        <f>AND(IF(Metadata!W941="",FALSE,TRUE),EXACT(Metadata!W941,"Decimal degrees"))</f>
        <v>0</v>
      </c>
      <c r="BK941" t="b">
        <f>IF(Metadata!X941="",FALSE,TRUE)</f>
        <v>0</v>
      </c>
      <c r="BL941" t="b">
        <f>OR(AND(IF(Metadata!Y941="",FALSE,TRUE),OR(EXACT(Metadata!Y941,"not collected"),EXACT(Metadata!Y941,"not provided"),EXACT(Metadata!Y941,"restricted access"))),AND(IF(Metadata!Y941="",FALSE,TRUE),OR(EXACT(Metadata!Y941,"TRUE"),EXACT(Metadata!Y941,"FALSE"))))</f>
        <v>0</v>
      </c>
      <c r="BM941" t="b">
        <f>OR(AND(IF(Metadata!Z941="",FALSE,TRUE),EXACT(Metadata!Z941,"not applicable")),AND(IF(Metadata!Z941="",FALSE,TRUE),OR(EXACT(Metadata!Z941,"beer"),EXACT(Metadata!Z941,"cheese"),EXACT(Metadata!Z941,"fresh water"),EXACT(Metadata!Z941,"marine sediment"),EXACT(Metadata!Z941,"sea water"),EXACT(Metadata!Z941,"sediment"),EXACT(Metadata!Z941,"soil"),EXACT(Metadata!Z941,"waste water"))))</f>
        <v>0</v>
      </c>
      <c r="BN941" t="b">
        <f>AND(IF(Metadata!AA941="",FALSE,TRUE),EXACT(Metadata!AA941,"metagenome"))</f>
        <v>0</v>
      </c>
      <c r="BO941" t="b">
        <f>AND(IF(Metadata!AB941="",FALSE,TRUE),EXACT(Metadata!AB941,"256318"))</f>
        <v>0</v>
      </c>
      <c r="BP941" t="b">
        <f>IF(Metadata!AC941="",FALSE,TRUE)</f>
        <v>0</v>
      </c>
      <c r="BQ941" t="b">
        <f>IF(Metadata!AD941="",FALSE,TRUE)</f>
        <v>0</v>
      </c>
    </row>
    <row r="942" spans="1:69" x14ac:dyDescent="0.2">
      <c r="A942" s="4" t="e">
        <f ca="1">IF(B942=" "," ",HYPERLINK(CONCATENATE("#metadata!",ADDRESS(INDEX($AJ$2:$AJ$1001,MATCH(ROWS($AH$2:AH942),$AH$2:$AH$1001,0),0),2)),INDEX($AM$2:$AM$1001,MATCH(ROWS($AH$2:AH942),$AH$2:$AH$1001,0),0)))</f>
        <v>#N/A</v>
      </c>
      <c r="B942" s="5" t="e">
        <f ca="1">IF(OR(INDEX($AI$2:$AI$1001,MATCH(ROWS($AH$2:AH942),$AH$2:$AH$1001,0),1)&gt;=100000,INDEX($AO$1005:$BQ$1005,1,MATCH(COLUMNS($AO$1006:AO1006),$AO$1006:$BQ$1006,0))&gt;=100000), " ",IF(INDEX($AO$2:$BQ$1001,MATCH(ROWS($AH$2:AH942),$AH$2:$AH$1001,0),MATCH(COLUMNS($AO$1006:AO1006),$AO$1006:$BQ$1006,0)), HYPERLINK("#",""), HYPERLINK(CONCATENATE("#Metadata!", ADDRESS(INDEX($AJ$2:$AJ$1001,MATCH(ROWS($AH$2:AH942),$AH$2:$AH$1001,0),0), INDEX($AO$1004:$BQ$1004,1,MATCH(COLUMNS($AO$1006:AO1006),$AO$1006:$BQ$1006,0)))),"Fix")))</f>
        <v>#N/A</v>
      </c>
      <c r="C942" s="5" t="e">
        <f ca="1">IF(OR(INDEX($AI$2:$AI$1001,MATCH(ROWS($AH$2:AH942),$AH$2:$AH$1001,0),1)&gt;=100000,INDEX($AO$1005:$BQ$1005,1,MATCH(COLUMNS($AO$1006:AP1006),$AO$1006:$BQ$1006,0))&gt;=100000), " ",IF(INDEX($AO$2:$BQ$1001,MATCH(ROWS($AH$2:AH942),$AH$2:$AH$1001,0),MATCH(COLUMNS($AO$1006:AP1006),$AO$1006:$BQ$1006,0)), HYPERLINK("#",""), HYPERLINK(CONCATENATE("#Metadata!", ADDRESS(INDEX($AJ$2:$AJ$1001,MATCH(ROWS($AH$2:AH942),$AH$2:$AH$1001,0),0), INDEX($AO$1004:$BQ$1004,1,MATCH(COLUMNS($AO$1006:AP1006),$AO$1006:$BQ$1006,0)))),"Fix")))</f>
        <v>#N/A</v>
      </c>
      <c r="D942" s="5" t="e">
        <f ca="1">IF(OR(INDEX($AI$2:$AI$1001,MATCH(ROWS($AH$2:AH942),$AH$2:$AH$1001,0),1)&gt;=100000,INDEX($AO$1005:$BQ$1005,1,MATCH(COLUMNS($AO$1006:AQ1006),$AO$1006:$BQ$1006,0))&gt;=100000), " ",IF(INDEX($AO$2:$BQ$1001,MATCH(ROWS($AH$2:AH942),$AH$2:$AH$1001,0),MATCH(COLUMNS($AO$1006:AQ1006),$AO$1006:$BQ$1006,0)), HYPERLINK("#",""), HYPERLINK(CONCATENATE("#Metadata!", ADDRESS(INDEX($AJ$2:$AJ$1001,MATCH(ROWS($AH$2:AH942),$AH$2:$AH$1001,0),0), INDEX($AO$1004:$BQ$1004,1,MATCH(COLUMNS($AO$1006:AQ1006),$AO$1006:$BQ$1006,0)))),"Fix")))</f>
        <v>#N/A</v>
      </c>
      <c r="E942" s="5" t="e">
        <f ca="1">IF(OR(INDEX($AI$2:$AI$1001,MATCH(ROWS($AH$2:AH942),$AH$2:$AH$1001,0),1)&gt;=100000,INDEX($AO$1005:$BQ$1005,1,MATCH(COLUMNS($AO$1006:AR1006),$AO$1006:$BQ$1006,0))&gt;=100000), " ",IF(INDEX($AO$2:$BQ$1001,MATCH(ROWS($AH$2:AH942),$AH$2:$AH$1001,0),MATCH(COLUMNS($AO$1006:AR1006),$AO$1006:$BQ$1006,0)), HYPERLINK("#",""), HYPERLINK(CONCATENATE("#Metadata!", ADDRESS(INDEX($AJ$2:$AJ$1001,MATCH(ROWS($AH$2:AH942),$AH$2:$AH$1001,0),0), INDEX($AO$1004:$BQ$1004,1,MATCH(COLUMNS($AO$1006:AR1006),$AO$1006:$BQ$1006,0)))),"Fix")))</f>
        <v>#N/A</v>
      </c>
      <c r="F942" s="5" t="e">
        <f ca="1">IF(OR(INDEX($AI$2:$AI$1001,MATCH(ROWS($AH$2:AH942),$AH$2:$AH$1001,0),1)&gt;=100000,INDEX($AO$1005:$BQ$1005,1,MATCH(COLUMNS($AO$1006:AS1006),$AO$1006:$BQ$1006,0))&gt;=100000), " ",IF(INDEX($AO$2:$BQ$1001,MATCH(ROWS($AH$2:AH942),$AH$2:$AH$1001,0),MATCH(COLUMNS($AO$1006:AS1006),$AO$1006:$BQ$1006,0)), HYPERLINK("#",""), HYPERLINK(CONCATENATE("#Metadata!", ADDRESS(INDEX($AJ$2:$AJ$1001,MATCH(ROWS($AH$2:AH942),$AH$2:$AH$1001,0),0), INDEX($AO$1004:$BQ$1004,1,MATCH(COLUMNS($AO$1006:AS1006),$AO$1006:$BQ$1006,0)))),"Fix")))</f>
        <v>#N/A</v>
      </c>
      <c r="G942" s="5" t="e">
        <f ca="1">IF(OR(INDEX($AI$2:$AI$1001,MATCH(ROWS($AH$2:AH942),$AH$2:$AH$1001,0),1)&gt;=100000,INDEX($AO$1005:$BQ$1005,1,MATCH(COLUMNS($AO$1006:AT1006),$AO$1006:$BQ$1006,0))&gt;=100000), " ",IF(INDEX($AO$2:$BQ$1001,MATCH(ROWS($AH$2:AH942),$AH$2:$AH$1001,0),MATCH(COLUMNS($AO$1006:AT1006),$AO$1006:$BQ$1006,0)), HYPERLINK("#",""), HYPERLINK(CONCATENATE("#Metadata!", ADDRESS(INDEX($AJ$2:$AJ$1001,MATCH(ROWS($AH$2:AH942),$AH$2:$AH$1001,0),0), INDEX($AO$1004:$BQ$1004,1,MATCH(COLUMNS($AO$1006:AT1006),$AO$1006:$BQ$1006,0)))),"Fix")))</f>
        <v>#N/A</v>
      </c>
      <c r="H942" s="5" t="e">
        <f ca="1">IF(OR(INDEX($AI$2:$AI$1001,MATCH(ROWS($AH$2:AH942),$AH$2:$AH$1001,0),1)&gt;=100000,INDEX($AO$1005:$BQ$1005,1,MATCH(COLUMNS($AO$1006:AU1006),$AO$1006:$BQ$1006,0))&gt;=100000), " ",IF(INDEX($AO$2:$BQ$1001,MATCH(ROWS($AH$2:AH942),$AH$2:$AH$1001,0),MATCH(COLUMNS($AO$1006:AU1006),$AO$1006:$BQ$1006,0)), HYPERLINK("#",""), HYPERLINK(CONCATENATE("#Metadata!", ADDRESS(INDEX($AJ$2:$AJ$1001,MATCH(ROWS($AH$2:AH942),$AH$2:$AH$1001,0),0), INDEX($AO$1004:$BQ$1004,1,MATCH(COLUMNS($AO$1006:AU1006),$AO$1006:$BQ$1006,0)))),"Fix")))</f>
        <v>#N/A</v>
      </c>
      <c r="I942" s="5" t="e">
        <f ca="1">IF(OR(INDEX($AI$2:$AI$1001,MATCH(ROWS($AH$2:AH942),$AH$2:$AH$1001,0),1)&gt;=100000,INDEX($AO$1005:$BQ$1005,1,MATCH(COLUMNS($AO$1006:AV1006),$AO$1006:$BQ$1006,0))&gt;=100000), " ",IF(INDEX($AO$2:$BQ$1001,MATCH(ROWS($AH$2:AH942),$AH$2:$AH$1001,0),MATCH(COLUMNS($AO$1006:AV1006),$AO$1006:$BQ$1006,0)), HYPERLINK("#",""), HYPERLINK(CONCATENATE("#Metadata!", ADDRESS(INDEX($AJ$2:$AJ$1001,MATCH(ROWS($AH$2:AH942),$AH$2:$AH$1001,0),0), INDEX($AO$1004:$BQ$1004,1,MATCH(COLUMNS($AO$1006:AV1006),$AO$1006:$BQ$1006,0)))),"Fix")))</f>
        <v>#N/A</v>
      </c>
      <c r="J942" s="5" t="e">
        <f ca="1">IF(OR(INDEX($AI$2:$AI$1001,MATCH(ROWS($AH$2:AH942),$AH$2:$AH$1001,0),1)&gt;=100000,INDEX($AO$1005:$BQ$1005,1,MATCH(COLUMNS($AO$1006:AW1006),$AO$1006:$BQ$1006,0))&gt;=100000), " ",IF(INDEX($AO$2:$BQ$1001,MATCH(ROWS($AH$2:AH942),$AH$2:$AH$1001,0),MATCH(COLUMNS($AO$1006:AW1006),$AO$1006:$BQ$1006,0)), HYPERLINK("#",""), HYPERLINK(CONCATENATE("#Metadata!", ADDRESS(INDEX($AJ$2:$AJ$1001,MATCH(ROWS($AH$2:AH942),$AH$2:$AH$1001,0),0), INDEX($AO$1004:$BQ$1004,1,MATCH(COLUMNS($AO$1006:AW1006),$AO$1006:$BQ$1006,0)))),"Fix")))</f>
        <v>#N/A</v>
      </c>
      <c r="K942" s="5" t="e">
        <f ca="1">IF(OR(INDEX($AI$2:$AI$1001,MATCH(ROWS($AH$2:AH942),$AH$2:$AH$1001,0),1)&gt;=100000,INDEX($AO$1005:$BQ$1005,1,MATCH(COLUMNS($AO$1006:AX1006),$AO$1006:$BQ$1006,0))&gt;=100000), " ",IF(INDEX($AO$2:$BQ$1001,MATCH(ROWS($AH$2:AH942),$AH$2:$AH$1001,0),MATCH(COLUMNS($AO$1006:AX1006),$AO$1006:$BQ$1006,0)), HYPERLINK("#",""), HYPERLINK(CONCATENATE("#Metadata!", ADDRESS(INDEX($AJ$2:$AJ$1001,MATCH(ROWS($AH$2:AH942),$AH$2:$AH$1001,0),0), INDEX($AO$1004:$BQ$1004,1,MATCH(COLUMNS($AO$1006:AX1006),$AO$1006:$BQ$1006,0)))),"Fix")))</f>
        <v>#N/A</v>
      </c>
      <c r="L942" s="5" t="e">
        <f ca="1">IF(OR(INDEX($AI$2:$AI$1001,MATCH(ROWS($AH$2:AH942),$AH$2:$AH$1001,0),1)&gt;=100000,INDEX($AO$1005:$BQ$1005,1,MATCH(COLUMNS($AO$1006:AY1006),$AO$1006:$BQ$1006,0))&gt;=100000), " ",IF(INDEX($AO$2:$BQ$1001,MATCH(ROWS($AH$2:AH942),$AH$2:$AH$1001,0),MATCH(COLUMNS($AO$1006:AY1006),$AO$1006:$BQ$1006,0)), HYPERLINK("#",""), HYPERLINK(CONCATENATE("#Metadata!", ADDRESS(INDEX($AJ$2:$AJ$1001,MATCH(ROWS($AH$2:AH942),$AH$2:$AH$1001,0),0), INDEX($AO$1004:$BQ$1004,1,MATCH(COLUMNS($AO$1006:AY1006),$AO$1006:$BQ$1006,0)))),"Fix")))</f>
        <v>#N/A</v>
      </c>
      <c r="M942" s="5" t="e">
        <f ca="1">IF(OR(INDEX($AI$2:$AI$1001,MATCH(ROWS($AH$2:AH942),$AH$2:$AH$1001,0),1)&gt;=100000,INDEX($AO$1005:$BQ$1005,1,MATCH(COLUMNS($AO$1006:AZ1006),$AO$1006:$BQ$1006,0))&gt;=100000), " ",IF(INDEX($AO$2:$BQ$1001,MATCH(ROWS($AH$2:AH942),$AH$2:$AH$1001,0),MATCH(COLUMNS($AO$1006:AZ1006),$AO$1006:$BQ$1006,0)), HYPERLINK("#",""), HYPERLINK(CONCATENATE("#Metadata!", ADDRESS(INDEX($AJ$2:$AJ$1001,MATCH(ROWS($AH$2:AH942),$AH$2:$AH$1001,0),0), INDEX($AO$1004:$BQ$1004,1,MATCH(COLUMNS($AO$1006:AZ1006),$AO$1006:$BQ$1006,0)))),"Fix")))</f>
        <v>#N/A</v>
      </c>
      <c r="N942" s="5" t="e">
        <f ca="1">IF(OR(INDEX($AI$2:$AI$1001,MATCH(ROWS($AH$2:AH942),$AH$2:$AH$1001,0),1)&gt;=100000,INDEX($AO$1005:$BQ$1005,1,MATCH(COLUMNS($AO$1006:BA1006),$AO$1006:$BQ$1006,0))&gt;=100000), " ",IF(INDEX($AO$2:$BQ$1001,MATCH(ROWS($AH$2:AH942),$AH$2:$AH$1001,0),MATCH(COLUMNS($AO$1006:BA1006),$AO$1006:$BQ$1006,0)), HYPERLINK("#",""), HYPERLINK(CONCATENATE("#Metadata!", ADDRESS(INDEX($AJ$2:$AJ$1001,MATCH(ROWS($AH$2:AH942),$AH$2:$AH$1001,0),0), INDEX($AO$1004:$BQ$1004,1,MATCH(COLUMNS($AO$1006:BA1006),$AO$1006:$BQ$1006,0)))),"Fix")))</f>
        <v>#N/A</v>
      </c>
      <c r="O942" s="5" t="e">
        <f ca="1">IF(OR(INDEX($AI$2:$AI$1001,MATCH(ROWS($AH$2:AH942),$AH$2:$AH$1001,0),1)&gt;=100000,INDEX($AO$1005:$BQ$1005,1,MATCH(COLUMNS($AO$1006:BB1006),$AO$1006:$BQ$1006,0))&gt;=100000), " ",IF(INDEX($AO$2:$BQ$1001,MATCH(ROWS($AH$2:AH942),$AH$2:$AH$1001,0),MATCH(COLUMNS($AO$1006:BB1006),$AO$1006:$BQ$1006,0)), HYPERLINK("#",""), HYPERLINK(CONCATENATE("#Metadata!", ADDRESS(INDEX($AJ$2:$AJ$1001,MATCH(ROWS($AH$2:AH942),$AH$2:$AH$1001,0),0), INDEX($AO$1004:$BQ$1004,1,MATCH(COLUMNS($AO$1006:BB1006),$AO$1006:$BQ$1006,0)))),"Fix")))</f>
        <v>#N/A</v>
      </c>
      <c r="P942" s="5" t="e">
        <f ca="1">IF(OR(INDEX($AI$2:$AI$1001,MATCH(ROWS($AH$2:AH942),$AH$2:$AH$1001,0),1)&gt;=100000,INDEX($AO$1005:$BQ$1005,1,MATCH(COLUMNS($AO$1006:BC1006),$AO$1006:$BQ$1006,0))&gt;=100000), " ",IF(INDEX($AO$2:$BQ$1001,MATCH(ROWS($AH$2:AH942),$AH$2:$AH$1001,0),MATCH(COLUMNS($AO$1006:BC1006),$AO$1006:$BQ$1006,0)), HYPERLINK("#",""), HYPERLINK(CONCATENATE("#Metadata!", ADDRESS(INDEX($AJ$2:$AJ$1001,MATCH(ROWS($AH$2:AH942),$AH$2:$AH$1001,0),0), INDEX($AO$1004:$BQ$1004,1,MATCH(COLUMNS($AO$1006:BC1006),$AO$1006:$BQ$1006,0)))),"Fix")))</f>
        <v>#N/A</v>
      </c>
      <c r="Q942" s="5" t="e">
        <f ca="1">IF(OR(INDEX($AI$2:$AI$1001,MATCH(ROWS($AH$2:AH942),$AH$2:$AH$1001,0),1)&gt;=100000,INDEX($AO$1005:$BQ$1005,1,MATCH(COLUMNS($AO$1006:BD1006),$AO$1006:$BQ$1006,0))&gt;=100000), " ",IF(INDEX($AO$2:$BQ$1001,MATCH(ROWS($AH$2:AH942),$AH$2:$AH$1001,0),MATCH(COLUMNS($AO$1006:BD1006),$AO$1006:$BQ$1006,0)), HYPERLINK("#",""), HYPERLINK(CONCATENATE("#Metadata!", ADDRESS(INDEX($AJ$2:$AJ$1001,MATCH(ROWS($AH$2:AH942),$AH$2:$AH$1001,0),0), INDEX($AO$1004:$BQ$1004,1,MATCH(COLUMNS($AO$1006:BD1006),$AO$1006:$BQ$1006,0)))),"Fix")))</f>
        <v>#N/A</v>
      </c>
      <c r="R942" s="5" t="e">
        <f ca="1">IF(OR(INDEX($AI$2:$AI$1001,MATCH(ROWS($AH$2:AH942),$AH$2:$AH$1001,0),1)&gt;=100000,INDEX($AO$1005:$BQ$1005,1,MATCH(COLUMNS($AO$1006:BE1006),$AO$1006:$BQ$1006,0))&gt;=100000), " ",IF(INDEX($AO$2:$BQ$1001,MATCH(ROWS($AH$2:AH942),$AH$2:$AH$1001,0),MATCH(COLUMNS($AO$1006:BE1006),$AO$1006:$BQ$1006,0)), HYPERLINK("#",""), HYPERLINK(CONCATENATE("#Metadata!", ADDRESS(INDEX($AJ$2:$AJ$1001,MATCH(ROWS($AH$2:AH942),$AH$2:$AH$1001,0),0), INDEX($AO$1004:$BQ$1004,1,MATCH(COLUMNS($AO$1006:BE1006),$AO$1006:$BQ$1006,0)))),"Fix")))</f>
        <v>#N/A</v>
      </c>
      <c r="S942" s="5" t="e">
        <f ca="1">IF(OR(INDEX($AI$2:$AI$1001,MATCH(ROWS($AH$2:AH942),$AH$2:$AH$1001,0),1)&gt;=100000,INDEX($AO$1005:$BQ$1005,1,MATCH(COLUMNS($AO$1006:BF1006),$AO$1006:$BQ$1006,0))&gt;=100000), " ",IF(INDEX($AO$2:$BQ$1001,MATCH(ROWS($AH$2:AH942),$AH$2:$AH$1001,0),MATCH(COLUMNS($AO$1006:BF1006),$AO$1006:$BQ$1006,0)), HYPERLINK("#",""), HYPERLINK(CONCATENATE("#Metadata!", ADDRESS(INDEX($AJ$2:$AJ$1001,MATCH(ROWS($AH$2:AH942),$AH$2:$AH$1001,0),0), INDEX($AO$1004:$BQ$1004,1,MATCH(COLUMNS($AO$1006:BF1006),$AO$1006:$BQ$1006,0)))),"Fix")))</f>
        <v>#N/A</v>
      </c>
      <c r="T942" s="5" t="e">
        <f ca="1">IF(OR(INDEX($AI$2:$AI$1001,MATCH(ROWS($AH$2:AH942),$AH$2:$AH$1001,0),1)&gt;=100000,INDEX($AO$1005:$BQ$1005,1,MATCH(COLUMNS($AO$1006:BG1006),$AO$1006:$BQ$1006,0))&gt;=100000), " ",IF(INDEX($AO$2:$BQ$1001,MATCH(ROWS($AH$2:AH942),$AH$2:$AH$1001,0),MATCH(COLUMNS($AO$1006:BG1006),$AO$1006:$BQ$1006,0)), HYPERLINK("#",""), HYPERLINK(CONCATENATE("#Metadata!", ADDRESS(INDEX($AJ$2:$AJ$1001,MATCH(ROWS($AH$2:AH942),$AH$2:$AH$1001,0),0), INDEX($AO$1004:$BQ$1004,1,MATCH(COLUMNS($AO$1006:BG1006),$AO$1006:$BQ$1006,0)))),"Fix")))</f>
        <v>#N/A</v>
      </c>
      <c r="U942" s="5" t="e">
        <f ca="1">IF(OR(INDEX($AI$2:$AI$1001,MATCH(ROWS($AH$2:AH942),$AH$2:$AH$1001,0),1)&gt;=100000,INDEX($AO$1005:$BQ$1005,1,MATCH(COLUMNS($AO$1006:BH1006),$AO$1006:$BQ$1006,0))&gt;=100000), " ",IF(INDEX($AO$2:$BQ$1001,MATCH(ROWS($AH$2:AH942),$AH$2:$AH$1001,0),MATCH(COLUMNS($AO$1006:BH1006),$AO$1006:$BQ$1006,0)), HYPERLINK("#",""), HYPERLINK(CONCATENATE("#Metadata!", ADDRESS(INDEX($AJ$2:$AJ$1001,MATCH(ROWS($AH$2:AH942),$AH$2:$AH$1001,0),0), INDEX($AO$1004:$BQ$1004,1,MATCH(COLUMNS($AO$1006:BH1006),$AO$1006:$BQ$1006,0)))),"Fix")))</f>
        <v>#N/A</v>
      </c>
      <c r="V942" s="5" t="e">
        <f ca="1">IF(OR(INDEX($AI$2:$AI$1001,MATCH(ROWS($AH$2:AH942),$AH$2:$AH$1001,0),1)&gt;=100000,INDEX($AO$1005:$BQ$1005,1,MATCH(COLUMNS($AO$1006:BI1006),$AO$1006:$BQ$1006,0))&gt;=100000), " ",IF(INDEX($AO$2:$BQ$1001,MATCH(ROWS($AH$2:AH942),$AH$2:$AH$1001,0),MATCH(COLUMNS($AO$1006:BI1006),$AO$1006:$BQ$1006,0)), HYPERLINK("#",""), HYPERLINK(CONCATENATE("#Metadata!", ADDRESS(INDEX($AJ$2:$AJ$1001,MATCH(ROWS($AH$2:AH942),$AH$2:$AH$1001,0),0), INDEX($AO$1004:$BQ$1004,1,MATCH(COLUMNS($AO$1006:BI1006),$AO$1006:$BQ$1006,0)))),"Fix")))</f>
        <v>#N/A</v>
      </c>
      <c r="W942" s="5" t="e">
        <f ca="1">IF(OR(INDEX($AI$2:$AI$1001,MATCH(ROWS($AH$2:AH942),$AH$2:$AH$1001,0),1)&gt;=100000,INDEX($AO$1005:$BQ$1005,1,MATCH(COLUMNS($AO$1006:BJ1006),$AO$1006:$BQ$1006,0))&gt;=100000), " ",IF(INDEX($AO$2:$BQ$1001,MATCH(ROWS($AH$2:AH942),$AH$2:$AH$1001,0),MATCH(COLUMNS($AO$1006:BJ1006),$AO$1006:$BQ$1006,0)), HYPERLINK("#",""), HYPERLINK(CONCATENATE("#Metadata!", ADDRESS(INDEX($AJ$2:$AJ$1001,MATCH(ROWS($AH$2:AH942),$AH$2:$AH$1001,0),0), INDEX($AO$1004:$BQ$1004,1,MATCH(COLUMNS($AO$1006:BJ1006),$AO$1006:$BQ$1006,0)))),"Fix")))</f>
        <v>#N/A</v>
      </c>
      <c r="X942" s="5" t="e">
        <f ca="1">IF(OR(INDEX($AI$2:$AI$1001,MATCH(ROWS($AH$2:AH942),$AH$2:$AH$1001,0),1)&gt;=100000,INDEX($AO$1005:$BQ$1005,1,MATCH(COLUMNS($AO$1006:BK1006),$AO$1006:$BQ$1006,0))&gt;=100000), " ",IF(INDEX($AO$2:$BQ$1001,MATCH(ROWS($AH$2:AH942),$AH$2:$AH$1001,0),MATCH(COLUMNS($AO$1006:BK1006),$AO$1006:$BQ$1006,0)), HYPERLINK("#",""), HYPERLINK(CONCATENATE("#Metadata!", ADDRESS(INDEX($AJ$2:$AJ$1001,MATCH(ROWS($AH$2:AH942),$AH$2:$AH$1001,0),0), INDEX($AO$1004:$BQ$1004,1,MATCH(COLUMNS($AO$1006:BK1006),$AO$1006:$BQ$1006,0)))),"Fix")))</f>
        <v>#N/A</v>
      </c>
      <c r="Y942" s="5" t="e">
        <f ca="1">IF(OR(INDEX($AI$2:$AI$1001,MATCH(ROWS($AH$2:AH942),$AH$2:$AH$1001,0),1)&gt;=100000,INDEX($AO$1005:$BQ$1005,1,MATCH(COLUMNS($AO$1006:BL1006),$AO$1006:$BQ$1006,0))&gt;=100000), " ",IF(INDEX($AO$2:$BQ$1001,MATCH(ROWS($AH$2:AH942),$AH$2:$AH$1001,0),MATCH(COLUMNS($AO$1006:BL1006),$AO$1006:$BQ$1006,0)), HYPERLINK("#",""), HYPERLINK(CONCATENATE("#Metadata!", ADDRESS(INDEX($AJ$2:$AJ$1001,MATCH(ROWS($AH$2:AH942),$AH$2:$AH$1001,0),0), INDEX($AO$1004:$BQ$1004,1,MATCH(COLUMNS($AO$1006:BL1006),$AO$1006:$BQ$1006,0)))),"Fix")))</f>
        <v>#N/A</v>
      </c>
      <c r="Z942" s="5" t="e">
        <f ca="1">IF(OR(INDEX($AI$2:$AI$1001,MATCH(ROWS($AH$2:AH942),$AH$2:$AH$1001,0),1)&gt;=100000,INDEX($AO$1005:$BQ$1005,1,MATCH(COLUMNS($AO$1006:BM1006),$AO$1006:$BQ$1006,0))&gt;=100000), " ",IF(INDEX($AO$2:$BQ$1001,MATCH(ROWS($AH$2:AH942),$AH$2:$AH$1001,0),MATCH(COLUMNS($AO$1006:BM1006),$AO$1006:$BQ$1006,0)), HYPERLINK("#",""), HYPERLINK(CONCATENATE("#Metadata!", ADDRESS(INDEX($AJ$2:$AJ$1001,MATCH(ROWS($AH$2:AH942),$AH$2:$AH$1001,0),0), INDEX($AO$1004:$BQ$1004,1,MATCH(COLUMNS($AO$1006:BM1006),$AO$1006:$BQ$1006,0)))),"Fix")))</f>
        <v>#N/A</v>
      </c>
      <c r="AA942" s="5" t="e">
        <f ca="1">IF(OR(INDEX($AI$2:$AI$1001,MATCH(ROWS($AH$2:AH942),$AH$2:$AH$1001,0),1)&gt;=100000,INDEX($AO$1005:$BQ$1005,1,MATCH(COLUMNS($AO$1006:BN1006),$AO$1006:$BQ$1006,0))&gt;=100000), " ",IF(INDEX($AO$2:$BQ$1001,MATCH(ROWS($AH$2:AH942),$AH$2:$AH$1001,0),MATCH(COLUMNS($AO$1006:BN1006),$AO$1006:$BQ$1006,0)), HYPERLINK("#",""), HYPERLINK(CONCATENATE("#Metadata!", ADDRESS(INDEX($AJ$2:$AJ$1001,MATCH(ROWS($AH$2:AH942),$AH$2:$AH$1001,0),0), INDEX($AO$1004:$BQ$1004,1,MATCH(COLUMNS($AO$1006:BN1006),$AO$1006:$BQ$1006,0)))),"Fix")))</f>
        <v>#N/A</v>
      </c>
      <c r="AB942" s="5" t="e">
        <f ca="1">IF(OR(INDEX($AI$2:$AI$1001,MATCH(ROWS($AH$2:AH942),$AH$2:$AH$1001,0),1)&gt;=100000,INDEX($AO$1005:$BQ$1005,1,MATCH(COLUMNS($AO$1006:BO1006),$AO$1006:$BQ$1006,0))&gt;=100000), " ",IF(INDEX($AO$2:$BQ$1001,MATCH(ROWS($AH$2:AH942),$AH$2:$AH$1001,0),MATCH(COLUMNS($AO$1006:BO1006),$AO$1006:$BQ$1006,0)), HYPERLINK("#",""), HYPERLINK(CONCATENATE("#Metadata!", ADDRESS(INDEX($AJ$2:$AJ$1001,MATCH(ROWS($AH$2:AH942),$AH$2:$AH$1001,0),0), INDEX($AO$1004:$BQ$1004,1,MATCH(COLUMNS($AO$1006:BO1006),$AO$1006:$BQ$1006,0)))),"Fix")))</f>
        <v>#N/A</v>
      </c>
      <c r="AC942" s="5" t="e">
        <f ca="1">IF(OR(INDEX($AI$2:$AI$1001,MATCH(ROWS($AH$2:AH942),$AH$2:$AH$1001,0),1)&gt;=100000,INDEX($AO$1005:$BQ$1005,1,MATCH(COLUMNS($AO$1006:BP1006),$AO$1006:$BQ$1006,0))&gt;=100000), " ",IF(INDEX($AO$2:$BQ$1001,MATCH(ROWS($AH$2:AH942),$AH$2:$AH$1001,0),MATCH(COLUMNS($AO$1006:BP1006),$AO$1006:$BQ$1006,0)), HYPERLINK("#",""), HYPERLINK(CONCATENATE("#Metadata!", ADDRESS(INDEX($AJ$2:$AJ$1001,MATCH(ROWS($AH$2:AH942),$AH$2:$AH$1001,0),0), INDEX($AO$1004:$BQ$1004,1,MATCH(COLUMNS($AO$1006:BP1006),$AO$1006:$BQ$1006,0)))),"Fix")))</f>
        <v>#N/A</v>
      </c>
      <c r="AD942" s="5" t="e">
        <f ca="1">IF(OR(INDEX($AI$2:$AI$1001,MATCH(ROWS($AH$2:AH942),$AH$2:$AH$1001,0),1)&gt;=100000,INDEX($AO$1005:$BQ$1005,1,MATCH(COLUMNS($AO$1006:BQ1006),$AO$1006:$BQ$1006,0))&gt;=100000), " ",IF(INDEX($AO$2:$BQ$1001,MATCH(ROWS($AH$2:AH942),$AH$2:$AH$1001,0),MATCH(COLUMNS($AO$1006:BQ1006),$AO$1006:$BQ$1006,0)), HYPERLINK("#",""), HYPERLINK(CONCATENATE("#Metadata!", ADDRESS(INDEX($AJ$2:$AJ$1001,MATCH(ROWS($AH$2:AH942),$AH$2:$AH$1001,0),0), INDEX($AO$1004:$BQ$1004,1,MATCH(COLUMNS($AO$1006:BQ1006),$AO$1006:$BQ$1006,0)))),"Fix")))</f>
        <v>#REF!</v>
      </c>
      <c r="AH942">
        <f ca="1"/>
        <v>939</v>
      </c>
      <c r="AI942">
        <v>100942</v>
      </c>
      <c r="AJ942">
        <v>942</v>
      </c>
      <c r="AK942" t="b">
        <f t="shared" si="14"/>
        <v>1</v>
      </c>
      <c r="AL942" t="b">
        <f>COUNTBLANK(Metadata!B942:AD942)=COLUMNS(Metadata!B942:AD942)</f>
        <v>1</v>
      </c>
      <c r="AM942" t="str">
        <v/>
      </c>
      <c r="AO942" t="b">
        <f ca="1">AND(IF(Metadata!B942="",FALSE,TRUE),COUNTIF(Metadata!B:B, Metadata!B942) = 1,NOT(ISERROR(SUMPRODUCT(SEARCH(MID(Metadata!B942,ROW(INDIRECT("1:"&amp;LEN(Metadata!B942))), 1),"0123456789abcdefghijklmnopqrstuvwxyzABCDEFGHIJKLMNOPQRSTUVWXYZ.")))))</f>
        <v>0</v>
      </c>
      <c r="AP942" t="b">
        <f>IF(Metadata!C942="",FALSE,TRUE)</f>
        <v>0</v>
      </c>
      <c r="AQ942" t="b">
        <f>IF(Metadata!D942="",FALSE,TRUE)</f>
        <v>0</v>
      </c>
      <c r="AR942" t="b">
        <f ca="1">OR(AND(IF(Metadata!E942="",FALSE,TRUE),OR(EXACT(Metadata!E942,"not collected"),EXACT(Metadata!E942,"not provided"),EXACT(Metadata!E942,"restricted access"))),AND(IF(Metadata!E942="",FALSE,TRUE),AND(AND(IFERROR(INT(LEFT(Metadata!E942,4))&gt;1900,FALSE),IFERROR(INT(LEFT(Metadata!E942,4))&lt;=YEAR(NOW()),FALSE)), OR(MID(Metadata!E942,5,1)="", AND(AND(MID(Metadata!E942,5,1)="-",IFERROR(INT(MID(Metadata!E942,6,1))&gt;=0,FALSE),IFERROR(INT(MID(Metadata!E942,6,1))&lt;=1,FALSE),NOT(MID(Metadata!E942,7,1)=""),IFERROR(INT(MID(Metadata!E942,6,2))&gt;=1,FALSE),IFERROR(INT(MID(Metadata!E942,6,2))&lt;=12,FALSE)), OR(MID(Metadata!E942,8,1)="", AND(AND(MID(Metadata!E942,8,1)="-",IFERROR(INT(MID(Metadata!E942,9,1))&gt;=0,FALSE),IFERROR(INT(MID(Metadata!E942,9,1))&lt;=3,FALSE),NOT(MID(Metadata!E942,10,1)=""),IFERROR(INT(MID(Metadata!E942,9,2))&gt;=1,FALSE),IFERROR(INT(MID(Metadata!E942,9,2))&lt;=31,FALSE)), OR(MID(Metadata!E942,11,1)="", AND(AND(MID(Metadata!E942,11,1)=" ",IFERROR(INT(MID(Metadata!E942,12,1))&gt;=0,FALSE),IFERROR(INT(MID(Metadata!E942,12,1))&lt;=2,FALSE),NOT(MID(Metadata!E942,13,1)=""),IFERROR(INT(MID(Metadata!E942,12,2))&gt;=0,FALSE),IFERROR(INT(MID(Metadata!E942,12,2))&lt;=23,FALSE)), OR(MID(Metadata!E942,14,1)="", AND(AND(MID(Metadata!E942,14,1)=":",IFERROR(INT(MID(Metadata!E942,15,1))&gt;=0,FALSE),IFERROR(INT(MID(Metadata!E942,15,1))&lt;=5,FALSE),NOT(MID(Metadata!E942,16,1)=""),IFERROR(INT(MID(Metadata!E942,15,2))&gt;=0,FALSE),IFERROR(INT(MID(Metadata!E942,15,2))&lt;=59,FALSE)), OR(MID(Metadata!E942,17,1)="", AND(AND(MID(Metadata!E942,17,1)=":",IFERROR(INT(MID(Metadata!E942,18,1))&gt;=0,FALSE),IFERROR(INT(MID(Metadata!E942,18,1))&lt;=5,FALSE),NOT(MID(Metadata!E942,19,1)=""),IFERROR(INT(MID(Metadata!E942,18,2))&gt;=0,FALSE),IFERROR(INT(MID(Metadata!E942,18,2))&lt;=59,FALSE)), LEN(Metadata!E942)&lt;=19)))))))))))))</f>
        <v>0</v>
      </c>
      <c r="AS942" t="b">
        <f>IF(Metadata!F942="",FALSE,TRUE)</f>
        <v>0</v>
      </c>
      <c r="AT942" t="b">
        <f>OR(AND(IF(Metadata!G942="",FALSE,TRUE),OR(EXACT(Metadata!G942,"not collected"),EXACT(Metadata!G942,"not provided"))),AND(IF(Metadata!G942="",FALSE,TRUE),OR(EXACT(Metadata!G942,"TRUE"),EXACT(Metadata!G942,"FALSE"))))</f>
        <v>0</v>
      </c>
      <c r="AU942" t="b">
        <f>OR(AND(IF(Metadata!H942="",FALSE,TRUE),OR(EXACT(Metadata!H942,"not collected"),EXACT(Metadata!H942,"not provided"),EXACT(Metadata!H942,"restricted access"))),AND(IF(Metadata!H942="",FALSE,ISNUMBER(VALUE(Metadata!H942))),Metadata!H942&gt;=-413))</f>
        <v>0</v>
      </c>
      <c r="AV942" t="b">
        <f>AND(IF(Metadata!I942="",FALSE,TRUE),EXACT(Metadata!I942,"meters"))</f>
        <v>0</v>
      </c>
      <c r="AW942" t="b">
        <f>AND(IF(Metadata!J942="",FALSE,TRUE),EXACT(Metadata!J942,"free-living"))</f>
        <v>0</v>
      </c>
      <c r="AX942" t="b">
        <f>AND(IF(Metadata!K942="",FALSE,TRUE),OR(EXACT(Metadata!K942,"saline"),EXACT(Metadata!K942,"non-saline")))</f>
        <v>0</v>
      </c>
      <c r="AY942" t="b">
        <f>AND(IF(Metadata!L942="",FALSE,TRUE),OR(EXACT(Metadata!L942,"sub-surface (non-saline)"),EXACT(Metadata!L942,"surface (non-saline)"),EXACT(Metadata!L942,"water (non-saline)"),EXACT(Metadata!L942,"soil (non-saline)"),EXACT(Metadata!L942,"aerosol (non-saline)"),EXACT(Metadata!L942,"sediment (non-saline)"),EXACT(Metadata!L942,"surface (saline)"),EXACT(Metadata!L942,"water (saline)"),EXACT(Metadata!L942,"hypersaline (saline)"),EXACT(Metadata!L942,"aerosol (saline)"),EXACT(Metadata!L942,"sediment (saline)")))</f>
        <v>0</v>
      </c>
      <c r="AZ942" t="b">
        <f>IF(Metadata!M942="",FALSE,TRUE)</f>
        <v>0</v>
      </c>
      <c r="BA942" t="b">
        <f>IF(Metadata!N942="",FALSE,TRUE)</f>
        <v>0</v>
      </c>
      <c r="BB942" t="b">
        <f>IF(Metadata!O942="",FALSE,TRUE)</f>
        <v>0</v>
      </c>
      <c r="BC942" t="b">
        <f>AND(IF(Metadata!P942="",FALSE,TRUE),OR(EXACT(Metadata!P942,"air"),EXACT(Metadata!P942,"microbial mat/biofilm"),EXACT(Metadata!P942,"misc environment"),EXACT(Metadata!P942,"sediment"),EXACT(Metadata!P942,"soil"),EXACT(Metadata!P942,"wastewater/sludge"),EXACT(Metadata!P942,"water")))</f>
        <v>0</v>
      </c>
      <c r="BD942" t="b">
        <f>IF(Metadata!Q942="",FALSE,TRUE)</f>
        <v>0</v>
      </c>
      <c r="BE942" t="b">
        <f>IF(Metadata!R942="",FALSE,TRUE)</f>
        <v>0</v>
      </c>
      <c r="BF942" t="b">
        <f>OR(AND(IF(Metadata!S942="",FALSE,TRUE),OR(EXACT(Metadata!S942,"not collected"),EXACT(Metadata!S942,"not provided"),EXACT(Metadata!S942,"restricted access"))),AND(IF(Metadata!S942="",FALSE,ISNUMBER(VALUE(Metadata!S942))),Metadata!S942&gt;=-90,Metadata!S942&lt;=90))</f>
        <v>0</v>
      </c>
      <c r="BG942" t="b">
        <f>AND(IF(Metadata!T942="",FALSE,TRUE),EXACT(Metadata!T942,"Decimal degrees"))</f>
        <v>0</v>
      </c>
      <c r="BH942" t="b">
        <f>OR(AND(IF(Metadata!U942="",FALSE,TRUE),OR(EXACT(Metadata!U942,"not applicable"),EXACT(Metadata!U942,"not collected"))),IF(Metadata!U942="",FALSE,TRUE))</f>
        <v>0</v>
      </c>
      <c r="BI942" t="b">
        <f>OR(AND(IF(Metadata!V942="",FALSE,TRUE),OR(EXACT(Metadata!V942,"not collected"),EXACT(Metadata!V942,"not provided"),EXACT(Metadata!V942,"restricted access"))),AND(IF(Metadata!V942="",FALSE,ISNUMBER(VALUE(Metadata!V942))),Metadata!V942&gt;=-180,Metadata!V942&lt;=180))</f>
        <v>0</v>
      </c>
      <c r="BJ942" t="b">
        <f>AND(IF(Metadata!W942="",FALSE,TRUE),EXACT(Metadata!W942,"Decimal degrees"))</f>
        <v>0</v>
      </c>
      <c r="BK942" t="b">
        <f>IF(Metadata!X942="",FALSE,TRUE)</f>
        <v>0</v>
      </c>
      <c r="BL942" t="b">
        <f>OR(AND(IF(Metadata!Y942="",FALSE,TRUE),OR(EXACT(Metadata!Y942,"not collected"),EXACT(Metadata!Y942,"not provided"),EXACT(Metadata!Y942,"restricted access"))),AND(IF(Metadata!Y942="",FALSE,TRUE),OR(EXACT(Metadata!Y942,"TRUE"),EXACT(Metadata!Y942,"FALSE"))))</f>
        <v>0</v>
      </c>
      <c r="BM942" t="b">
        <f>OR(AND(IF(Metadata!Z942="",FALSE,TRUE),EXACT(Metadata!Z942,"not applicable")),AND(IF(Metadata!Z942="",FALSE,TRUE),OR(EXACT(Metadata!Z942,"beer"),EXACT(Metadata!Z942,"cheese"),EXACT(Metadata!Z942,"fresh water"),EXACT(Metadata!Z942,"marine sediment"),EXACT(Metadata!Z942,"sea water"),EXACT(Metadata!Z942,"sediment"),EXACT(Metadata!Z942,"soil"),EXACT(Metadata!Z942,"waste water"))))</f>
        <v>0</v>
      </c>
      <c r="BN942" t="b">
        <f>AND(IF(Metadata!AA942="",FALSE,TRUE),EXACT(Metadata!AA942,"metagenome"))</f>
        <v>0</v>
      </c>
      <c r="BO942" t="b">
        <f>AND(IF(Metadata!AB942="",FALSE,TRUE),EXACT(Metadata!AB942,"256318"))</f>
        <v>0</v>
      </c>
      <c r="BP942" t="b">
        <f>IF(Metadata!AC942="",FALSE,TRUE)</f>
        <v>0</v>
      </c>
      <c r="BQ942" t="b">
        <f>IF(Metadata!AD942="",FALSE,TRUE)</f>
        <v>0</v>
      </c>
    </row>
    <row r="943" spans="1:69" x14ac:dyDescent="0.2">
      <c r="A943" s="4" t="e">
        <f ca="1">IF(B943=" "," ",HYPERLINK(CONCATENATE("#metadata!",ADDRESS(INDEX($AJ$2:$AJ$1001,MATCH(ROWS($AH$2:AH943),$AH$2:$AH$1001,0),0),2)),INDEX($AM$2:$AM$1001,MATCH(ROWS($AH$2:AH943),$AH$2:$AH$1001,0),0)))</f>
        <v>#N/A</v>
      </c>
      <c r="B943" s="5" t="e">
        <f ca="1">IF(OR(INDEX($AI$2:$AI$1001,MATCH(ROWS($AH$2:AH943),$AH$2:$AH$1001,0),1)&gt;=100000,INDEX($AO$1005:$BQ$1005,1,MATCH(COLUMNS($AO$1006:AO1006),$AO$1006:$BQ$1006,0))&gt;=100000), " ",IF(INDEX($AO$2:$BQ$1001,MATCH(ROWS($AH$2:AH943),$AH$2:$AH$1001,0),MATCH(COLUMNS($AO$1006:AO1006),$AO$1006:$BQ$1006,0)), HYPERLINK("#",""), HYPERLINK(CONCATENATE("#Metadata!", ADDRESS(INDEX($AJ$2:$AJ$1001,MATCH(ROWS($AH$2:AH943),$AH$2:$AH$1001,0),0), INDEX($AO$1004:$BQ$1004,1,MATCH(COLUMNS($AO$1006:AO1006),$AO$1006:$BQ$1006,0)))),"Fix")))</f>
        <v>#N/A</v>
      </c>
      <c r="C943" s="5" t="e">
        <f ca="1">IF(OR(INDEX($AI$2:$AI$1001,MATCH(ROWS($AH$2:AH943),$AH$2:$AH$1001,0),1)&gt;=100000,INDEX($AO$1005:$BQ$1005,1,MATCH(COLUMNS($AO$1006:AP1006),$AO$1006:$BQ$1006,0))&gt;=100000), " ",IF(INDEX($AO$2:$BQ$1001,MATCH(ROWS($AH$2:AH943),$AH$2:$AH$1001,0),MATCH(COLUMNS($AO$1006:AP1006),$AO$1006:$BQ$1006,0)), HYPERLINK("#",""), HYPERLINK(CONCATENATE("#Metadata!", ADDRESS(INDEX($AJ$2:$AJ$1001,MATCH(ROWS($AH$2:AH943),$AH$2:$AH$1001,0),0), INDEX($AO$1004:$BQ$1004,1,MATCH(COLUMNS($AO$1006:AP1006),$AO$1006:$BQ$1006,0)))),"Fix")))</f>
        <v>#N/A</v>
      </c>
      <c r="D943" s="5" t="e">
        <f ca="1">IF(OR(INDEX($AI$2:$AI$1001,MATCH(ROWS($AH$2:AH943),$AH$2:$AH$1001,0),1)&gt;=100000,INDEX($AO$1005:$BQ$1005,1,MATCH(COLUMNS($AO$1006:AQ1006),$AO$1006:$BQ$1006,0))&gt;=100000), " ",IF(INDEX($AO$2:$BQ$1001,MATCH(ROWS($AH$2:AH943),$AH$2:$AH$1001,0),MATCH(COLUMNS($AO$1006:AQ1006),$AO$1006:$BQ$1006,0)), HYPERLINK("#",""), HYPERLINK(CONCATENATE("#Metadata!", ADDRESS(INDEX($AJ$2:$AJ$1001,MATCH(ROWS($AH$2:AH943),$AH$2:$AH$1001,0),0), INDEX($AO$1004:$BQ$1004,1,MATCH(COLUMNS($AO$1006:AQ1006),$AO$1006:$BQ$1006,0)))),"Fix")))</f>
        <v>#N/A</v>
      </c>
      <c r="E943" s="5" t="e">
        <f ca="1">IF(OR(INDEX($AI$2:$AI$1001,MATCH(ROWS($AH$2:AH943),$AH$2:$AH$1001,0),1)&gt;=100000,INDEX($AO$1005:$BQ$1005,1,MATCH(COLUMNS($AO$1006:AR1006),$AO$1006:$BQ$1006,0))&gt;=100000), " ",IF(INDEX($AO$2:$BQ$1001,MATCH(ROWS($AH$2:AH943),$AH$2:$AH$1001,0),MATCH(COLUMNS($AO$1006:AR1006),$AO$1006:$BQ$1006,0)), HYPERLINK("#",""), HYPERLINK(CONCATENATE("#Metadata!", ADDRESS(INDEX($AJ$2:$AJ$1001,MATCH(ROWS($AH$2:AH943),$AH$2:$AH$1001,0),0), INDEX($AO$1004:$BQ$1004,1,MATCH(COLUMNS($AO$1006:AR1006),$AO$1006:$BQ$1006,0)))),"Fix")))</f>
        <v>#N/A</v>
      </c>
      <c r="F943" s="5" t="e">
        <f ca="1">IF(OR(INDEX($AI$2:$AI$1001,MATCH(ROWS($AH$2:AH943),$AH$2:$AH$1001,0),1)&gt;=100000,INDEX($AO$1005:$BQ$1005,1,MATCH(COLUMNS($AO$1006:AS1006),$AO$1006:$BQ$1006,0))&gt;=100000), " ",IF(INDEX($AO$2:$BQ$1001,MATCH(ROWS($AH$2:AH943),$AH$2:$AH$1001,0),MATCH(COLUMNS($AO$1006:AS1006),$AO$1006:$BQ$1006,0)), HYPERLINK("#",""), HYPERLINK(CONCATENATE("#Metadata!", ADDRESS(INDEX($AJ$2:$AJ$1001,MATCH(ROWS($AH$2:AH943),$AH$2:$AH$1001,0),0), INDEX($AO$1004:$BQ$1004,1,MATCH(COLUMNS($AO$1006:AS1006),$AO$1006:$BQ$1006,0)))),"Fix")))</f>
        <v>#N/A</v>
      </c>
      <c r="G943" s="5" t="e">
        <f ca="1">IF(OR(INDEX($AI$2:$AI$1001,MATCH(ROWS($AH$2:AH943),$AH$2:$AH$1001,0),1)&gt;=100000,INDEX($AO$1005:$BQ$1005,1,MATCH(COLUMNS($AO$1006:AT1006),$AO$1006:$BQ$1006,0))&gt;=100000), " ",IF(INDEX($AO$2:$BQ$1001,MATCH(ROWS($AH$2:AH943),$AH$2:$AH$1001,0),MATCH(COLUMNS($AO$1006:AT1006),$AO$1006:$BQ$1006,0)), HYPERLINK("#",""), HYPERLINK(CONCATENATE("#Metadata!", ADDRESS(INDEX($AJ$2:$AJ$1001,MATCH(ROWS($AH$2:AH943),$AH$2:$AH$1001,0),0), INDEX($AO$1004:$BQ$1004,1,MATCH(COLUMNS($AO$1006:AT1006),$AO$1006:$BQ$1006,0)))),"Fix")))</f>
        <v>#N/A</v>
      </c>
      <c r="H943" s="5" t="e">
        <f ca="1">IF(OR(INDEX($AI$2:$AI$1001,MATCH(ROWS($AH$2:AH943),$AH$2:$AH$1001,0),1)&gt;=100000,INDEX($AO$1005:$BQ$1005,1,MATCH(COLUMNS($AO$1006:AU1006),$AO$1006:$BQ$1006,0))&gt;=100000), " ",IF(INDEX($AO$2:$BQ$1001,MATCH(ROWS($AH$2:AH943),$AH$2:$AH$1001,0),MATCH(COLUMNS($AO$1006:AU1006),$AO$1006:$BQ$1006,0)), HYPERLINK("#",""), HYPERLINK(CONCATENATE("#Metadata!", ADDRESS(INDEX($AJ$2:$AJ$1001,MATCH(ROWS($AH$2:AH943),$AH$2:$AH$1001,0),0), INDEX($AO$1004:$BQ$1004,1,MATCH(COLUMNS($AO$1006:AU1006),$AO$1006:$BQ$1006,0)))),"Fix")))</f>
        <v>#N/A</v>
      </c>
      <c r="I943" s="5" t="e">
        <f ca="1">IF(OR(INDEX($AI$2:$AI$1001,MATCH(ROWS($AH$2:AH943),$AH$2:$AH$1001,0),1)&gt;=100000,INDEX($AO$1005:$BQ$1005,1,MATCH(COLUMNS($AO$1006:AV1006),$AO$1006:$BQ$1006,0))&gt;=100000), " ",IF(INDEX($AO$2:$BQ$1001,MATCH(ROWS($AH$2:AH943),$AH$2:$AH$1001,0),MATCH(COLUMNS($AO$1006:AV1006),$AO$1006:$BQ$1006,0)), HYPERLINK("#",""), HYPERLINK(CONCATENATE("#Metadata!", ADDRESS(INDEX($AJ$2:$AJ$1001,MATCH(ROWS($AH$2:AH943),$AH$2:$AH$1001,0),0), INDEX($AO$1004:$BQ$1004,1,MATCH(COLUMNS($AO$1006:AV1006),$AO$1006:$BQ$1006,0)))),"Fix")))</f>
        <v>#N/A</v>
      </c>
      <c r="J943" s="5" t="e">
        <f ca="1">IF(OR(INDEX($AI$2:$AI$1001,MATCH(ROWS($AH$2:AH943),$AH$2:$AH$1001,0),1)&gt;=100000,INDEX($AO$1005:$BQ$1005,1,MATCH(COLUMNS($AO$1006:AW1006),$AO$1006:$BQ$1006,0))&gt;=100000), " ",IF(INDEX($AO$2:$BQ$1001,MATCH(ROWS($AH$2:AH943),$AH$2:$AH$1001,0),MATCH(COLUMNS($AO$1006:AW1006),$AO$1006:$BQ$1006,0)), HYPERLINK("#",""), HYPERLINK(CONCATENATE("#Metadata!", ADDRESS(INDEX($AJ$2:$AJ$1001,MATCH(ROWS($AH$2:AH943),$AH$2:$AH$1001,0),0), INDEX($AO$1004:$BQ$1004,1,MATCH(COLUMNS($AO$1006:AW1006),$AO$1006:$BQ$1006,0)))),"Fix")))</f>
        <v>#N/A</v>
      </c>
      <c r="K943" s="5" t="e">
        <f ca="1">IF(OR(INDEX($AI$2:$AI$1001,MATCH(ROWS($AH$2:AH943),$AH$2:$AH$1001,0),1)&gt;=100000,INDEX($AO$1005:$BQ$1005,1,MATCH(COLUMNS($AO$1006:AX1006),$AO$1006:$BQ$1006,0))&gt;=100000), " ",IF(INDEX($AO$2:$BQ$1001,MATCH(ROWS($AH$2:AH943),$AH$2:$AH$1001,0),MATCH(COLUMNS($AO$1006:AX1006),$AO$1006:$BQ$1006,0)), HYPERLINK("#",""), HYPERLINK(CONCATENATE("#Metadata!", ADDRESS(INDEX($AJ$2:$AJ$1001,MATCH(ROWS($AH$2:AH943),$AH$2:$AH$1001,0),0), INDEX($AO$1004:$BQ$1004,1,MATCH(COLUMNS($AO$1006:AX1006),$AO$1006:$BQ$1006,0)))),"Fix")))</f>
        <v>#N/A</v>
      </c>
      <c r="L943" s="5" t="e">
        <f ca="1">IF(OR(INDEX($AI$2:$AI$1001,MATCH(ROWS($AH$2:AH943),$AH$2:$AH$1001,0),1)&gt;=100000,INDEX($AO$1005:$BQ$1005,1,MATCH(COLUMNS($AO$1006:AY1006),$AO$1006:$BQ$1006,0))&gt;=100000), " ",IF(INDEX($AO$2:$BQ$1001,MATCH(ROWS($AH$2:AH943),$AH$2:$AH$1001,0),MATCH(COLUMNS($AO$1006:AY1006),$AO$1006:$BQ$1006,0)), HYPERLINK("#",""), HYPERLINK(CONCATENATE("#Metadata!", ADDRESS(INDEX($AJ$2:$AJ$1001,MATCH(ROWS($AH$2:AH943),$AH$2:$AH$1001,0),0), INDEX($AO$1004:$BQ$1004,1,MATCH(COLUMNS($AO$1006:AY1006),$AO$1006:$BQ$1006,0)))),"Fix")))</f>
        <v>#N/A</v>
      </c>
      <c r="M943" s="5" t="e">
        <f ca="1">IF(OR(INDEX($AI$2:$AI$1001,MATCH(ROWS($AH$2:AH943),$AH$2:$AH$1001,0),1)&gt;=100000,INDEX($AO$1005:$BQ$1005,1,MATCH(COLUMNS($AO$1006:AZ1006),$AO$1006:$BQ$1006,0))&gt;=100000), " ",IF(INDEX($AO$2:$BQ$1001,MATCH(ROWS($AH$2:AH943),$AH$2:$AH$1001,0),MATCH(COLUMNS($AO$1006:AZ1006),$AO$1006:$BQ$1006,0)), HYPERLINK("#",""), HYPERLINK(CONCATENATE("#Metadata!", ADDRESS(INDEX($AJ$2:$AJ$1001,MATCH(ROWS($AH$2:AH943),$AH$2:$AH$1001,0),0), INDEX($AO$1004:$BQ$1004,1,MATCH(COLUMNS($AO$1006:AZ1006),$AO$1006:$BQ$1006,0)))),"Fix")))</f>
        <v>#N/A</v>
      </c>
      <c r="N943" s="5" t="e">
        <f ca="1">IF(OR(INDEX($AI$2:$AI$1001,MATCH(ROWS($AH$2:AH943),$AH$2:$AH$1001,0),1)&gt;=100000,INDEX($AO$1005:$BQ$1005,1,MATCH(COLUMNS($AO$1006:BA1006),$AO$1006:$BQ$1006,0))&gt;=100000), " ",IF(INDEX($AO$2:$BQ$1001,MATCH(ROWS($AH$2:AH943),$AH$2:$AH$1001,0),MATCH(COLUMNS($AO$1006:BA1006),$AO$1006:$BQ$1006,0)), HYPERLINK("#",""), HYPERLINK(CONCATENATE("#Metadata!", ADDRESS(INDEX($AJ$2:$AJ$1001,MATCH(ROWS($AH$2:AH943),$AH$2:$AH$1001,0),0), INDEX($AO$1004:$BQ$1004,1,MATCH(COLUMNS($AO$1006:BA1006),$AO$1006:$BQ$1006,0)))),"Fix")))</f>
        <v>#N/A</v>
      </c>
      <c r="O943" s="5" t="e">
        <f ca="1">IF(OR(INDEX($AI$2:$AI$1001,MATCH(ROWS($AH$2:AH943),$AH$2:$AH$1001,0),1)&gt;=100000,INDEX($AO$1005:$BQ$1005,1,MATCH(COLUMNS($AO$1006:BB1006),$AO$1006:$BQ$1006,0))&gt;=100000), " ",IF(INDEX($AO$2:$BQ$1001,MATCH(ROWS($AH$2:AH943),$AH$2:$AH$1001,0),MATCH(COLUMNS($AO$1006:BB1006),$AO$1006:$BQ$1006,0)), HYPERLINK("#",""), HYPERLINK(CONCATENATE("#Metadata!", ADDRESS(INDEX($AJ$2:$AJ$1001,MATCH(ROWS($AH$2:AH943),$AH$2:$AH$1001,0),0), INDEX($AO$1004:$BQ$1004,1,MATCH(COLUMNS($AO$1006:BB1006),$AO$1006:$BQ$1006,0)))),"Fix")))</f>
        <v>#N/A</v>
      </c>
      <c r="P943" s="5" t="e">
        <f ca="1">IF(OR(INDEX($AI$2:$AI$1001,MATCH(ROWS($AH$2:AH943),$AH$2:$AH$1001,0),1)&gt;=100000,INDEX($AO$1005:$BQ$1005,1,MATCH(COLUMNS($AO$1006:BC1006),$AO$1006:$BQ$1006,0))&gt;=100000), " ",IF(INDEX($AO$2:$BQ$1001,MATCH(ROWS($AH$2:AH943),$AH$2:$AH$1001,0),MATCH(COLUMNS($AO$1006:BC1006),$AO$1006:$BQ$1006,0)), HYPERLINK("#",""), HYPERLINK(CONCATENATE("#Metadata!", ADDRESS(INDEX($AJ$2:$AJ$1001,MATCH(ROWS($AH$2:AH943),$AH$2:$AH$1001,0),0), INDEX($AO$1004:$BQ$1004,1,MATCH(COLUMNS($AO$1006:BC1006),$AO$1006:$BQ$1006,0)))),"Fix")))</f>
        <v>#N/A</v>
      </c>
      <c r="Q943" s="5" t="e">
        <f ca="1">IF(OR(INDEX($AI$2:$AI$1001,MATCH(ROWS($AH$2:AH943),$AH$2:$AH$1001,0),1)&gt;=100000,INDEX($AO$1005:$BQ$1005,1,MATCH(COLUMNS($AO$1006:BD1006),$AO$1006:$BQ$1006,0))&gt;=100000), " ",IF(INDEX($AO$2:$BQ$1001,MATCH(ROWS($AH$2:AH943),$AH$2:$AH$1001,0),MATCH(COLUMNS($AO$1006:BD1006),$AO$1006:$BQ$1006,0)), HYPERLINK("#",""), HYPERLINK(CONCATENATE("#Metadata!", ADDRESS(INDEX($AJ$2:$AJ$1001,MATCH(ROWS($AH$2:AH943),$AH$2:$AH$1001,0),0), INDEX($AO$1004:$BQ$1004,1,MATCH(COLUMNS($AO$1006:BD1006),$AO$1006:$BQ$1006,0)))),"Fix")))</f>
        <v>#N/A</v>
      </c>
      <c r="R943" s="5" t="e">
        <f ca="1">IF(OR(INDEX($AI$2:$AI$1001,MATCH(ROWS($AH$2:AH943),$AH$2:$AH$1001,0),1)&gt;=100000,INDEX($AO$1005:$BQ$1005,1,MATCH(COLUMNS($AO$1006:BE1006),$AO$1006:$BQ$1006,0))&gt;=100000), " ",IF(INDEX($AO$2:$BQ$1001,MATCH(ROWS($AH$2:AH943),$AH$2:$AH$1001,0),MATCH(COLUMNS($AO$1006:BE1006),$AO$1006:$BQ$1006,0)), HYPERLINK("#",""), HYPERLINK(CONCATENATE("#Metadata!", ADDRESS(INDEX($AJ$2:$AJ$1001,MATCH(ROWS($AH$2:AH943),$AH$2:$AH$1001,0),0), INDEX($AO$1004:$BQ$1004,1,MATCH(COLUMNS($AO$1006:BE1006),$AO$1006:$BQ$1006,0)))),"Fix")))</f>
        <v>#N/A</v>
      </c>
      <c r="S943" s="5" t="e">
        <f ca="1">IF(OR(INDEX($AI$2:$AI$1001,MATCH(ROWS($AH$2:AH943),$AH$2:$AH$1001,0),1)&gt;=100000,INDEX($AO$1005:$BQ$1005,1,MATCH(COLUMNS($AO$1006:BF1006),$AO$1006:$BQ$1006,0))&gt;=100000), " ",IF(INDEX($AO$2:$BQ$1001,MATCH(ROWS($AH$2:AH943),$AH$2:$AH$1001,0),MATCH(COLUMNS($AO$1006:BF1006),$AO$1006:$BQ$1006,0)), HYPERLINK("#",""), HYPERLINK(CONCATENATE("#Metadata!", ADDRESS(INDEX($AJ$2:$AJ$1001,MATCH(ROWS($AH$2:AH943),$AH$2:$AH$1001,0),0), INDEX($AO$1004:$BQ$1004,1,MATCH(COLUMNS($AO$1006:BF1006),$AO$1006:$BQ$1006,0)))),"Fix")))</f>
        <v>#N/A</v>
      </c>
      <c r="T943" s="5" t="e">
        <f ca="1">IF(OR(INDEX($AI$2:$AI$1001,MATCH(ROWS($AH$2:AH943),$AH$2:$AH$1001,0),1)&gt;=100000,INDEX($AO$1005:$BQ$1005,1,MATCH(COLUMNS($AO$1006:BG1006),$AO$1006:$BQ$1006,0))&gt;=100000), " ",IF(INDEX($AO$2:$BQ$1001,MATCH(ROWS($AH$2:AH943),$AH$2:$AH$1001,0),MATCH(COLUMNS($AO$1006:BG1006),$AO$1006:$BQ$1006,0)), HYPERLINK("#",""), HYPERLINK(CONCATENATE("#Metadata!", ADDRESS(INDEX($AJ$2:$AJ$1001,MATCH(ROWS($AH$2:AH943),$AH$2:$AH$1001,0),0), INDEX($AO$1004:$BQ$1004,1,MATCH(COLUMNS($AO$1006:BG1006),$AO$1006:$BQ$1006,0)))),"Fix")))</f>
        <v>#N/A</v>
      </c>
      <c r="U943" s="5" t="e">
        <f ca="1">IF(OR(INDEX($AI$2:$AI$1001,MATCH(ROWS($AH$2:AH943),$AH$2:$AH$1001,0),1)&gt;=100000,INDEX($AO$1005:$BQ$1005,1,MATCH(COLUMNS($AO$1006:BH1006),$AO$1006:$BQ$1006,0))&gt;=100000), " ",IF(INDEX($AO$2:$BQ$1001,MATCH(ROWS($AH$2:AH943),$AH$2:$AH$1001,0),MATCH(COLUMNS($AO$1006:BH1006),$AO$1006:$BQ$1006,0)), HYPERLINK("#",""), HYPERLINK(CONCATENATE("#Metadata!", ADDRESS(INDEX($AJ$2:$AJ$1001,MATCH(ROWS($AH$2:AH943),$AH$2:$AH$1001,0),0), INDEX($AO$1004:$BQ$1004,1,MATCH(COLUMNS($AO$1006:BH1006),$AO$1006:$BQ$1006,0)))),"Fix")))</f>
        <v>#N/A</v>
      </c>
      <c r="V943" s="5" t="e">
        <f ca="1">IF(OR(INDEX($AI$2:$AI$1001,MATCH(ROWS($AH$2:AH943),$AH$2:$AH$1001,0),1)&gt;=100000,INDEX($AO$1005:$BQ$1005,1,MATCH(COLUMNS($AO$1006:BI1006),$AO$1006:$BQ$1006,0))&gt;=100000), " ",IF(INDEX($AO$2:$BQ$1001,MATCH(ROWS($AH$2:AH943),$AH$2:$AH$1001,0),MATCH(COLUMNS($AO$1006:BI1006),$AO$1006:$BQ$1006,0)), HYPERLINK("#",""), HYPERLINK(CONCATENATE("#Metadata!", ADDRESS(INDEX($AJ$2:$AJ$1001,MATCH(ROWS($AH$2:AH943),$AH$2:$AH$1001,0),0), INDEX($AO$1004:$BQ$1004,1,MATCH(COLUMNS($AO$1006:BI1006),$AO$1006:$BQ$1006,0)))),"Fix")))</f>
        <v>#N/A</v>
      </c>
      <c r="W943" s="5" t="e">
        <f ca="1">IF(OR(INDEX($AI$2:$AI$1001,MATCH(ROWS($AH$2:AH943),$AH$2:$AH$1001,0),1)&gt;=100000,INDEX($AO$1005:$BQ$1005,1,MATCH(COLUMNS($AO$1006:BJ1006),$AO$1006:$BQ$1006,0))&gt;=100000), " ",IF(INDEX($AO$2:$BQ$1001,MATCH(ROWS($AH$2:AH943),$AH$2:$AH$1001,0),MATCH(COLUMNS($AO$1006:BJ1006),$AO$1006:$BQ$1006,0)), HYPERLINK("#",""), HYPERLINK(CONCATENATE("#Metadata!", ADDRESS(INDEX($AJ$2:$AJ$1001,MATCH(ROWS($AH$2:AH943),$AH$2:$AH$1001,0),0), INDEX($AO$1004:$BQ$1004,1,MATCH(COLUMNS($AO$1006:BJ1006),$AO$1006:$BQ$1006,0)))),"Fix")))</f>
        <v>#N/A</v>
      </c>
      <c r="X943" s="5" t="e">
        <f ca="1">IF(OR(INDEX($AI$2:$AI$1001,MATCH(ROWS($AH$2:AH943),$AH$2:$AH$1001,0),1)&gt;=100000,INDEX($AO$1005:$BQ$1005,1,MATCH(COLUMNS($AO$1006:BK1006),$AO$1006:$BQ$1006,0))&gt;=100000), " ",IF(INDEX($AO$2:$BQ$1001,MATCH(ROWS($AH$2:AH943),$AH$2:$AH$1001,0),MATCH(COLUMNS($AO$1006:BK1006),$AO$1006:$BQ$1006,0)), HYPERLINK("#",""), HYPERLINK(CONCATENATE("#Metadata!", ADDRESS(INDEX($AJ$2:$AJ$1001,MATCH(ROWS($AH$2:AH943),$AH$2:$AH$1001,0),0), INDEX($AO$1004:$BQ$1004,1,MATCH(COLUMNS($AO$1006:BK1006),$AO$1006:$BQ$1006,0)))),"Fix")))</f>
        <v>#N/A</v>
      </c>
      <c r="Y943" s="5" t="e">
        <f ca="1">IF(OR(INDEX($AI$2:$AI$1001,MATCH(ROWS($AH$2:AH943),$AH$2:$AH$1001,0),1)&gt;=100000,INDEX($AO$1005:$BQ$1005,1,MATCH(COLUMNS($AO$1006:BL1006),$AO$1006:$BQ$1006,0))&gt;=100000), " ",IF(INDEX($AO$2:$BQ$1001,MATCH(ROWS($AH$2:AH943),$AH$2:$AH$1001,0),MATCH(COLUMNS($AO$1006:BL1006),$AO$1006:$BQ$1006,0)), HYPERLINK("#",""), HYPERLINK(CONCATENATE("#Metadata!", ADDRESS(INDEX($AJ$2:$AJ$1001,MATCH(ROWS($AH$2:AH943),$AH$2:$AH$1001,0),0), INDEX($AO$1004:$BQ$1004,1,MATCH(COLUMNS($AO$1006:BL1006),$AO$1006:$BQ$1006,0)))),"Fix")))</f>
        <v>#N/A</v>
      </c>
      <c r="Z943" s="5" t="e">
        <f ca="1">IF(OR(INDEX($AI$2:$AI$1001,MATCH(ROWS($AH$2:AH943),$AH$2:$AH$1001,0),1)&gt;=100000,INDEX($AO$1005:$BQ$1005,1,MATCH(COLUMNS($AO$1006:BM1006),$AO$1006:$BQ$1006,0))&gt;=100000), " ",IF(INDEX($AO$2:$BQ$1001,MATCH(ROWS($AH$2:AH943),$AH$2:$AH$1001,0),MATCH(COLUMNS($AO$1006:BM1006),$AO$1006:$BQ$1006,0)), HYPERLINK("#",""), HYPERLINK(CONCATENATE("#Metadata!", ADDRESS(INDEX($AJ$2:$AJ$1001,MATCH(ROWS($AH$2:AH943),$AH$2:$AH$1001,0),0), INDEX($AO$1004:$BQ$1004,1,MATCH(COLUMNS($AO$1006:BM1006),$AO$1006:$BQ$1006,0)))),"Fix")))</f>
        <v>#N/A</v>
      </c>
      <c r="AA943" s="5" t="e">
        <f ca="1">IF(OR(INDEX($AI$2:$AI$1001,MATCH(ROWS($AH$2:AH943),$AH$2:$AH$1001,0),1)&gt;=100000,INDEX($AO$1005:$BQ$1005,1,MATCH(COLUMNS($AO$1006:BN1006),$AO$1006:$BQ$1006,0))&gt;=100000), " ",IF(INDEX($AO$2:$BQ$1001,MATCH(ROWS($AH$2:AH943),$AH$2:$AH$1001,0),MATCH(COLUMNS($AO$1006:BN1006),$AO$1006:$BQ$1006,0)), HYPERLINK("#",""), HYPERLINK(CONCATENATE("#Metadata!", ADDRESS(INDEX($AJ$2:$AJ$1001,MATCH(ROWS($AH$2:AH943),$AH$2:$AH$1001,0),0), INDEX($AO$1004:$BQ$1004,1,MATCH(COLUMNS($AO$1006:BN1006),$AO$1006:$BQ$1006,0)))),"Fix")))</f>
        <v>#N/A</v>
      </c>
      <c r="AB943" s="5" t="e">
        <f ca="1">IF(OR(INDEX($AI$2:$AI$1001,MATCH(ROWS($AH$2:AH943),$AH$2:$AH$1001,0),1)&gt;=100000,INDEX($AO$1005:$BQ$1005,1,MATCH(COLUMNS($AO$1006:BO1006),$AO$1006:$BQ$1006,0))&gt;=100000), " ",IF(INDEX($AO$2:$BQ$1001,MATCH(ROWS($AH$2:AH943),$AH$2:$AH$1001,0),MATCH(COLUMNS($AO$1006:BO1006),$AO$1006:$BQ$1006,0)), HYPERLINK("#",""), HYPERLINK(CONCATENATE("#Metadata!", ADDRESS(INDEX($AJ$2:$AJ$1001,MATCH(ROWS($AH$2:AH943),$AH$2:$AH$1001,0),0), INDEX($AO$1004:$BQ$1004,1,MATCH(COLUMNS($AO$1006:BO1006),$AO$1006:$BQ$1006,0)))),"Fix")))</f>
        <v>#N/A</v>
      </c>
      <c r="AC943" s="5" t="e">
        <f ca="1">IF(OR(INDEX($AI$2:$AI$1001,MATCH(ROWS($AH$2:AH943),$AH$2:$AH$1001,0),1)&gt;=100000,INDEX($AO$1005:$BQ$1005,1,MATCH(COLUMNS($AO$1006:BP1006),$AO$1006:$BQ$1006,0))&gt;=100000), " ",IF(INDEX($AO$2:$BQ$1001,MATCH(ROWS($AH$2:AH943),$AH$2:$AH$1001,0),MATCH(COLUMNS($AO$1006:BP1006),$AO$1006:$BQ$1006,0)), HYPERLINK("#",""), HYPERLINK(CONCATENATE("#Metadata!", ADDRESS(INDEX($AJ$2:$AJ$1001,MATCH(ROWS($AH$2:AH943),$AH$2:$AH$1001,0),0), INDEX($AO$1004:$BQ$1004,1,MATCH(COLUMNS($AO$1006:BP1006),$AO$1006:$BQ$1006,0)))),"Fix")))</f>
        <v>#N/A</v>
      </c>
      <c r="AD943" s="5" t="e">
        <f ca="1">IF(OR(INDEX($AI$2:$AI$1001,MATCH(ROWS($AH$2:AH943),$AH$2:$AH$1001,0),1)&gt;=100000,INDEX($AO$1005:$BQ$1005,1,MATCH(COLUMNS($AO$1006:BQ1006),$AO$1006:$BQ$1006,0))&gt;=100000), " ",IF(INDEX($AO$2:$BQ$1001,MATCH(ROWS($AH$2:AH943),$AH$2:$AH$1001,0),MATCH(COLUMNS($AO$1006:BQ1006),$AO$1006:$BQ$1006,0)), HYPERLINK("#",""), HYPERLINK(CONCATENATE("#Metadata!", ADDRESS(INDEX($AJ$2:$AJ$1001,MATCH(ROWS($AH$2:AH943),$AH$2:$AH$1001,0),0), INDEX($AO$1004:$BQ$1004,1,MATCH(COLUMNS($AO$1006:BQ1006),$AO$1006:$BQ$1006,0)))),"Fix")))</f>
        <v>#REF!</v>
      </c>
      <c r="AH943">
        <f ca="1"/>
        <v>940</v>
      </c>
      <c r="AI943">
        <v>100943</v>
      </c>
      <c r="AJ943">
        <v>943</v>
      </c>
      <c r="AK943" t="b">
        <f t="shared" si="14"/>
        <v>1</v>
      </c>
      <c r="AL943" t="b">
        <f>COUNTBLANK(Metadata!B943:AD943)=COLUMNS(Metadata!B943:AD943)</f>
        <v>1</v>
      </c>
      <c r="AM943" t="str">
        <v/>
      </c>
      <c r="AO943" t="b">
        <f ca="1">AND(IF(Metadata!B943="",FALSE,TRUE),COUNTIF(Metadata!B:B, Metadata!B943) = 1,NOT(ISERROR(SUMPRODUCT(SEARCH(MID(Metadata!B943,ROW(INDIRECT("1:"&amp;LEN(Metadata!B943))), 1),"0123456789abcdefghijklmnopqrstuvwxyzABCDEFGHIJKLMNOPQRSTUVWXYZ.")))))</f>
        <v>0</v>
      </c>
      <c r="AP943" t="b">
        <f>IF(Metadata!C943="",FALSE,TRUE)</f>
        <v>0</v>
      </c>
      <c r="AQ943" t="b">
        <f>IF(Metadata!D943="",FALSE,TRUE)</f>
        <v>0</v>
      </c>
      <c r="AR943" t="b">
        <f ca="1">OR(AND(IF(Metadata!E943="",FALSE,TRUE),OR(EXACT(Metadata!E943,"not collected"),EXACT(Metadata!E943,"not provided"),EXACT(Metadata!E943,"restricted access"))),AND(IF(Metadata!E943="",FALSE,TRUE),AND(AND(IFERROR(INT(LEFT(Metadata!E943,4))&gt;1900,FALSE),IFERROR(INT(LEFT(Metadata!E943,4))&lt;=YEAR(NOW()),FALSE)), OR(MID(Metadata!E943,5,1)="", AND(AND(MID(Metadata!E943,5,1)="-",IFERROR(INT(MID(Metadata!E943,6,1))&gt;=0,FALSE),IFERROR(INT(MID(Metadata!E943,6,1))&lt;=1,FALSE),NOT(MID(Metadata!E943,7,1)=""),IFERROR(INT(MID(Metadata!E943,6,2))&gt;=1,FALSE),IFERROR(INT(MID(Metadata!E943,6,2))&lt;=12,FALSE)), OR(MID(Metadata!E943,8,1)="", AND(AND(MID(Metadata!E943,8,1)="-",IFERROR(INT(MID(Metadata!E943,9,1))&gt;=0,FALSE),IFERROR(INT(MID(Metadata!E943,9,1))&lt;=3,FALSE),NOT(MID(Metadata!E943,10,1)=""),IFERROR(INT(MID(Metadata!E943,9,2))&gt;=1,FALSE),IFERROR(INT(MID(Metadata!E943,9,2))&lt;=31,FALSE)), OR(MID(Metadata!E943,11,1)="", AND(AND(MID(Metadata!E943,11,1)=" ",IFERROR(INT(MID(Metadata!E943,12,1))&gt;=0,FALSE),IFERROR(INT(MID(Metadata!E943,12,1))&lt;=2,FALSE),NOT(MID(Metadata!E943,13,1)=""),IFERROR(INT(MID(Metadata!E943,12,2))&gt;=0,FALSE),IFERROR(INT(MID(Metadata!E943,12,2))&lt;=23,FALSE)), OR(MID(Metadata!E943,14,1)="", AND(AND(MID(Metadata!E943,14,1)=":",IFERROR(INT(MID(Metadata!E943,15,1))&gt;=0,FALSE),IFERROR(INT(MID(Metadata!E943,15,1))&lt;=5,FALSE),NOT(MID(Metadata!E943,16,1)=""),IFERROR(INT(MID(Metadata!E943,15,2))&gt;=0,FALSE),IFERROR(INT(MID(Metadata!E943,15,2))&lt;=59,FALSE)), OR(MID(Metadata!E943,17,1)="", AND(AND(MID(Metadata!E943,17,1)=":",IFERROR(INT(MID(Metadata!E943,18,1))&gt;=0,FALSE),IFERROR(INT(MID(Metadata!E943,18,1))&lt;=5,FALSE),NOT(MID(Metadata!E943,19,1)=""),IFERROR(INT(MID(Metadata!E943,18,2))&gt;=0,FALSE),IFERROR(INT(MID(Metadata!E943,18,2))&lt;=59,FALSE)), LEN(Metadata!E943)&lt;=19)))))))))))))</f>
        <v>0</v>
      </c>
      <c r="AS943" t="b">
        <f>IF(Metadata!F943="",FALSE,TRUE)</f>
        <v>0</v>
      </c>
      <c r="AT943" t="b">
        <f>OR(AND(IF(Metadata!G943="",FALSE,TRUE),OR(EXACT(Metadata!G943,"not collected"),EXACT(Metadata!G943,"not provided"))),AND(IF(Metadata!G943="",FALSE,TRUE),OR(EXACT(Metadata!G943,"TRUE"),EXACT(Metadata!G943,"FALSE"))))</f>
        <v>0</v>
      </c>
      <c r="AU943" t="b">
        <f>OR(AND(IF(Metadata!H943="",FALSE,TRUE),OR(EXACT(Metadata!H943,"not collected"),EXACT(Metadata!H943,"not provided"),EXACT(Metadata!H943,"restricted access"))),AND(IF(Metadata!H943="",FALSE,ISNUMBER(VALUE(Metadata!H943))),Metadata!H943&gt;=-413))</f>
        <v>0</v>
      </c>
      <c r="AV943" t="b">
        <f>AND(IF(Metadata!I943="",FALSE,TRUE),EXACT(Metadata!I943,"meters"))</f>
        <v>0</v>
      </c>
      <c r="AW943" t="b">
        <f>AND(IF(Metadata!J943="",FALSE,TRUE),EXACT(Metadata!J943,"free-living"))</f>
        <v>0</v>
      </c>
      <c r="AX943" t="b">
        <f>AND(IF(Metadata!K943="",FALSE,TRUE),OR(EXACT(Metadata!K943,"saline"),EXACT(Metadata!K943,"non-saline")))</f>
        <v>0</v>
      </c>
      <c r="AY943" t="b">
        <f>AND(IF(Metadata!L943="",FALSE,TRUE),OR(EXACT(Metadata!L943,"sub-surface (non-saline)"),EXACT(Metadata!L943,"surface (non-saline)"),EXACT(Metadata!L943,"water (non-saline)"),EXACT(Metadata!L943,"soil (non-saline)"),EXACT(Metadata!L943,"aerosol (non-saline)"),EXACT(Metadata!L943,"sediment (non-saline)"),EXACT(Metadata!L943,"surface (saline)"),EXACT(Metadata!L943,"water (saline)"),EXACT(Metadata!L943,"hypersaline (saline)"),EXACT(Metadata!L943,"aerosol (saline)"),EXACT(Metadata!L943,"sediment (saline)")))</f>
        <v>0</v>
      </c>
      <c r="AZ943" t="b">
        <f>IF(Metadata!M943="",FALSE,TRUE)</f>
        <v>0</v>
      </c>
      <c r="BA943" t="b">
        <f>IF(Metadata!N943="",FALSE,TRUE)</f>
        <v>0</v>
      </c>
      <c r="BB943" t="b">
        <f>IF(Metadata!O943="",FALSE,TRUE)</f>
        <v>0</v>
      </c>
      <c r="BC943" t="b">
        <f>AND(IF(Metadata!P943="",FALSE,TRUE),OR(EXACT(Metadata!P943,"air"),EXACT(Metadata!P943,"microbial mat/biofilm"),EXACT(Metadata!P943,"misc environment"),EXACT(Metadata!P943,"sediment"),EXACT(Metadata!P943,"soil"),EXACT(Metadata!P943,"wastewater/sludge"),EXACT(Metadata!P943,"water")))</f>
        <v>0</v>
      </c>
      <c r="BD943" t="b">
        <f>IF(Metadata!Q943="",FALSE,TRUE)</f>
        <v>0</v>
      </c>
      <c r="BE943" t="b">
        <f>IF(Metadata!R943="",FALSE,TRUE)</f>
        <v>0</v>
      </c>
      <c r="BF943" t="b">
        <f>OR(AND(IF(Metadata!S943="",FALSE,TRUE),OR(EXACT(Metadata!S943,"not collected"),EXACT(Metadata!S943,"not provided"),EXACT(Metadata!S943,"restricted access"))),AND(IF(Metadata!S943="",FALSE,ISNUMBER(VALUE(Metadata!S943))),Metadata!S943&gt;=-90,Metadata!S943&lt;=90))</f>
        <v>0</v>
      </c>
      <c r="BG943" t="b">
        <f>AND(IF(Metadata!T943="",FALSE,TRUE),EXACT(Metadata!T943,"Decimal degrees"))</f>
        <v>0</v>
      </c>
      <c r="BH943" t="b">
        <f>OR(AND(IF(Metadata!U943="",FALSE,TRUE),OR(EXACT(Metadata!U943,"not applicable"),EXACT(Metadata!U943,"not collected"))),IF(Metadata!U943="",FALSE,TRUE))</f>
        <v>0</v>
      </c>
      <c r="BI943" t="b">
        <f>OR(AND(IF(Metadata!V943="",FALSE,TRUE),OR(EXACT(Metadata!V943,"not collected"),EXACT(Metadata!V943,"not provided"),EXACT(Metadata!V943,"restricted access"))),AND(IF(Metadata!V943="",FALSE,ISNUMBER(VALUE(Metadata!V943))),Metadata!V943&gt;=-180,Metadata!V943&lt;=180))</f>
        <v>0</v>
      </c>
      <c r="BJ943" t="b">
        <f>AND(IF(Metadata!W943="",FALSE,TRUE),EXACT(Metadata!W943,"Decimal degrees"))</f>
        <v>0</v>
      </c>
      <c r="BK943" t="b">
        <f>IF(Metadata!X943="",FALSE,TRUE)</f>
        <v>0</v>
      </c>
      <c r="BL943" t="b">
        <f>OR(AND(IF(Metadata!Y943="",FALSE,TRUE),OR(EXACT(Metadata!Y943,"not collected"),EXACT(Metadata!Y943,"not provided"),EXACT(Metadata!Y943,"restricted access"))),AND(IF(Metadata!Y943="",FALSE,TRUE),OR(EXACT(Metadata!Y943,"TRUE"),EXACT(Metadata!Y943,"FALSE"))))</f>
        <v>0</v>
      </c>
      <c r="BM943" t="b">
        <f>OR(AND(IF(Metadata!Z943="",FALSE,TRUE),EXACT(Metadata!Z943,"not applicable")),AND(IF(Metadata!Z943="",FALSE,TRUE),OR(EXACT(Metadata!Z943,"beer"),EXACT(Metadata!Z943,"cheese"),EXACT(Metadata!Z943,"fresh water"),EXACT(Metadata!Z943,"marine sediment"),EXACT(Metadata!Z943,"sea water"),EXACT(Metadata!Z943,"sediment"),EXACT(Metadata!Z943,"soil"),EXACT(Metadata!Z943,"waste water"))))</f>
        <v>0</v>
      </c>
      <c r="BN943" t="b">
        <f>AND(IF(Metadata!AA943="",FALSE,TRUE),EXACT(Metadata!AA943,"metagenome"))</f>
        <v>0</v>
      </c>
      <c r="BO943" t="b">
        <f>AND(IF(Metadata!AB943="",FALSE,TRUE),EXACT(Metadata!AB943,"256318"))</f>
        <v>0</v>
      </c>
      <c r="BP943" t="b">
        <f>IF(Metadata!AC943="",FALSE,TRUE)</f>
        <v>0</v>
      </c>
      <c r="BQ943" t="b">
        <f>IF(Metadata!AD943="",FALSE,TRUE)</f>
        <v>0</v>
      </c>
    </row>
    <row r="944" spans="1:69" x14ac:dyDescent="0.2">
      <c r="A944" s="4" t="e">
        <f ca="1">IF(B944=" "," ",HYPERLINK(CONCATENATE("#metadata!",ADDRESS(INDEX($AJ$2:$AJ$1001,MATCH(ROWS($AH$2:AH944),$AH$2:$AH$1001,0),0),2)),INDEX($AM$2:$AM$1001,MATCH(ROWS($AH$2:AH944),$AH$2:$AH$1001,0),0)))</f>
        <v>#N/A</v>
      </c>
      <c r="B944" s="5" t="e">
        <f ca="1">IF(OR(INDEX($AI$2:$AI$1001,MATCH(ROWS($AH$2:AH944),$AH$2:$AH$1001,0),1)&gt;=100000,INDEX($AO$1005:$BQ$1005,1,MATCH(COLUMNS($AO$1006:AO1006),$AO$1006:$BQ$1006,0))&gt;=100000), " ",IF(INDEX($AO$2:$BQ$1001,MATCH(ROWS($AH$2:AH944),$AH$2:$AH$1001,0),MATCH(COLUMNS($AO$1006:AO1006),$AO$1006:$BQ$1006,0)), HYPERLINK("#",""), HYPERLINK(CONCATENATE("#Metadata!", ADDRESS(INDEX($AJ$2:$AJ$1001,MATCH(ROWS($AH$2:AH944),$AH$2:$AH$1001,0),0), INDEX($AO$1004:$BQ$1004,1,MATCH(COLUMNS($AO$1006:AO1006),$AO$1006:$BQ$1006,0)))),"Fix")))</f>
        <v>#N/A</v>
      </c>
      <c r="C944" s="5" t="e">
        <f ca="1">IF(OR(INDEX($AI$2:$AI$1001,MATCH(ROWS($AH$2:AH944),$AH$2:$AH$1001,0),1)&gt;=100000,INDEX($AO$1005:$BQ$1005,1,MATCH(COLUMNS($AO$1006:AP1006),$AO$1006:$BQ$1006,0))&gt;=100000), " ",IF(INDEX($AO$2:$BQ$1001,MATCH(ROWS($AH$2:AH944),$AH$2:$AH$1001,0),MATCH(COLUMNS($AO$1006:AP1006),$AO$1006:$BQ$1006,0)), HYPERLINK("#",""), HYPERLINK(CONCATENATE("#Metadata!", ADDRESS(INDEX($AJ$2:$AJ$1001,MATCH(ROWS($AH$2:AH944),$AH$2:$AH$1001,0),0), INDEX($AO$1004:$BQ$1004,1,MATCH(COLUMNS($AO$1006:AP1006),$AO$1006:$BQ$1006,0)))),"Fix")))</f>
        <v>#N/A</v>
      </c>
      <c r="D944" s="5" t="e">
        <f ca="1">IF(OR(INDEX($AI$2:$AI$1001,MATCH(ROWS($AH$2:AH944),$AH$2:$AH$1001,0),1)&gt;=100000,INDEX($AO$1005:$BQ$1005,1,MATCH(COLUMNS($AO$1006:AQ1006),$AO$1006:$BQ$1006,0))&gt;=100000), " ",IF(INDEX($AO$2:$BQ$1001,MATCH(ROWS($AH$2:AH944),$AH$2:$AH$1001,0),MATCH(COLUMNS($AO$1006:AQ1006),$AO$1006:$BQ$1006,0)), HYPERLINK("#",""), HYPERLINK(CONCATENATE("#Metadata!", ADDRESS(INDEX($AJ$2:$AJ$1001,MATCH(ROWS($AH$2:AH944),$AH$2:$AH$1001,0),0), INDEX($AO$1004:$BQ$1004,1,MATCH(COLUMNS($AO$1006:AQ1006),$AO$1006:$BQ$1006,0)))),"Fix")))</f>
        <v>#N/A</v>
      </c>
      <c r="E944" s="5" t="e">
        <f ca="1">IF(OR(INDEX($AI$2:$AI$1001,MATCH(ROWS($AH$2:AH944),$AH$2:$AH$1001,0),1)&gt;=100000,INDEX($AO$1005:$BQ$1005,1,MATCH(COLUMNS($AO$1006:AR1006),$AO$1006:$BQ$1006,0))&gt;=100000), " ",IF(INDEX($AO$2:$BQ$1001,MATCH(ROWS($AH$2:AH944),$AH$2:$AH$1001,0),MATCH(COLUMNS($AO$1006:AR1006),$AO$1006:$BQ$1006,0)), HYPERLINK("#",""), HYPERLINK(CONCATENATE("#Metadata!", ADDRESS(INDEX($AJ$2:$AJ$1001,MATCH(ROWS($AH$2:AH944),$AH$2:$AH$1001,0),0), INDEX($AO$1004:$BQ$1004,1,MATCH(COLUMNS($AO$1006:AR1006),$AO$1006:$BQ$1006,0)))),"Fix")))</f>
        <v>#N/A</v>
      </c>
      <c r="F944" s="5" t="e">
        <f ca="1">IF(OR(INDEX($AI$2:$AI$1001,MATCH(ROWS($AH$2:AH944),$AH$2:$AH$1001,0),1)&gt;=100000,INDEX($AO$1005:$BQ$1005,1,MATCH(COLUMNS($AO$1006:AS1006),$AO$1006:$BQ$1006,0))&gt;=100000), " ",IF(INDEX($AO$2:$BQ$1001,MATCH(ROWS($AH$2:AH944),$AH$2:$AH$1001,0),MATCH(COLUMNS($AO$1006:AS1006),$AO$1006:$BQ$1006,0)), HYPERLINK("#",""), HYPERLINK(CONCATENATE("#Metadata!", ADDRESS(INDEX($AJ$2:$AJ$1001,MATCH(ROWS($AH$2:AH944),$AH$2:$AH$1001,0),0), INDEX($AO$1004:$BQ$1004,1,MATCH(COLUMNS($AO$1006:AS1006),$AO$1006:$BQ$1006,0)))),"Fix")))</f>
        <v>#N/A</v>
      </c>
      <c r="G944" s="5" t="e">
        <f ca="1">IF(OR(INDEX($AI$2:$AI$1001,MATCH(ROWS($AH$2:AH944),$AH$2:$AH$1001,0),1)&gt;=100000,INDEX($AO$1005:$BQ$1005,1,MATCH(COLUMNS($AO$1006:AT1006),$AO$1006:$BQ$1006,0))&gt;=100000), " ",IF(INDEX($AO$2:$BQ$1001,MATCH(ROWS($AH$2:AH944),$AH$2:$AH$1001,0),MATCH(COLUMNS($AO$1006:AT1006),$AO$1006:$BQ$1006,0)), HYPERLINK("#",""), HYPERLINK(CONCATENATE("#Metadata!", ADDRESS(INDEX($AJ$2:$AJ$1001,MATCH(ROWS($AH$2:AH944),$AH$2:$AH$1001,0),0), INDEX($AO$1004:$BQ$1004,1,MATCH(COLUMNS($AO$1006:AT1006),$AO$1006:$BQ$1006,0)))),"Fix")))</f>
        <v>#N/A</v>
      </c>
      <c r="H944" s="5" t="e">
        <f ca="1">IF(OR(INDEX($AI$2:$AI$1001,MATCH(ROWS($AH$2:AH944),$AH$2:$AH$1001,0),1)&gt;=100000,INDEX($AO$1005:$BQ$1005,1,MATCH(COLUMNS($AO$1006:AU1006),$AO$1006:$BQ$1006,0))&gt;=100000), " ",IF(INDEX($AO$2:$BQ$1001,MATCH(ROWS($AH$2:AH944),$AH$2:$AH$1001,0),MATCH(COLUMNS($AO$1006:AU1006),$AO$1006:$BQ$1006,0)), HYPERLINK("#",""), HYPERLINK(CONCATENATE("#Metadata!", ADDRESS(INDEX($AJ$2:$AJ$1001,MATCH(ROWS($AH$2:AH944),$AH$2:$AH$1001,0),0), INDEX($AO$1004:$BQ$1004,1,MATCH(COLUMNS($AO$1006:AU1006),$AO$1006:$BQ$1006,0)))),"Fix")))</f>
        <v>#N/A</v>
      </c>
      <c r="I944" s="5" t="e">
        <f ca="1">IF(OR(INDEX($AI$2:$AI$1001,MATCH(ROWS($AH$2:AH944),$AH$2:$AH$1001,0),1)&gt;=100000,INDEX($AO$1005:$BQ$1005,1,MATCH(COLUMNS($AO$1006:AV1006),$AO$1006:$BQ$1006,0))&gt;=100000), " ",IF(INDEX($AO$2:$BQ$1001,MATCH(ROWS($AH$2:AH944),$AH$2:$AH$1001,0),MATCH(COLUMNS($AO$1006:AV1006),$AO$1006:$BQ$1006,0)), HYPERLINK("#",""), HYPERLINK(CONCATENATE("#Metadata!", ADDRESS(INDEX($AJ$2:$AJ$1001,MATCH(ROWS($AH$2:AH944),$AH$2:$AH$1001,0),0), INDEX($AO$1004:$BQ$1004,1,MATCH(COLUMNS($AO$1006:AV1006),$AO$1006:$BQ$1006,0)))),"Fix")))</f>
        <v>#N/A</v>
      </c>
      <c r="J944" s="5" t="e">
        <f ca="1">IF(OR(INDEX($AI$2:$AI$1001,MATCH(ROWS($AH$2:AH944),$AH$2:$AH$1001,0),1)&gt;=100000,INDEX($AO$1005:$BQ$1005,1,MATCH(COLUMNS($AO$1006:AW1006),$AO$1006:$BQ$1006,0))&gt;=100000), " ",IF(INDEX($AO$2:$BQ$1001,MATCH(ROWS($AH$2:AH944),$AH$2:$AH$1001,0),MATCH(COLUMNS($AO$1006:AW1006),$AO$1006:$BQ$1006,0)), HYPERLINK("#",""), HYPERLINK(CONCATENATE("#Metadata!", ADDRESS(INDEX($AJ$2:$AJ$1001,MATCH(ROWS($AH$2:AH944),$AH$2:$AH$1001,0),0), INDEX($AO$1004:$BQ$1004,1,MATCH(COLUMNS($AO$1006:AW1006),$AO$1006:$BQ$1006,0)))),"Fix")))</f>
        <v>#N/A</v>
      </c>
      <c r="K944" s="5" t="e">
        <f ca="1">IF(OR(INDEX($AI$2:$AI$1001,MATCH(ROWS($AH$2:AH944),$AH$2:$AH$1001,0),1)&gt;=100000,INDEX($AO$1005:$BQ$1005,1,MATCH(COLUMNS($AO$1006:AX1006),$AO$1006:$BQ$1006,0))&gt;=100000), " ",IF(INDEX($AO$2:$BQ$1001,MATCH(ROWS($AH$2:AH944),$AH$2:$AH$1001,0),MATCH(COLUMNS($AO$1006:AX1006),$AO$1006:$BQ$1006,0)), HYPERLINK("#",""), HYPERLINK(CONCATENATE("#Metadata!", ADDRESS(INDEX($AJ$2:$AJ$1001,MATCH(ROWS($AH$2:AH944),$AH$2:$AH$1001,0),0), INDEX($AO$1004:$BQ$1004,1,MATCH(COLUMNS($AO$1006:AX1006),$AO$1006:$BQ$1006,0)))),"Fix")))</f>
        <v>#N/A</v>
      </c>
      <c r="L944" s="5" t="e">
        <f ca="1">IF(OR(INDEX($AI$2:$AI$1001,MATCH(ROWS($AH$2:AH944),$AH$2:$AH$1001,0),1)&gt;=100000,INDEX($AO$1005:$BQ$1005,1,MATCH(COLUMNS($AO$1006:AY1006),$AO$1006:$BQ$1006,0))&gt;=100000), " ",IF(INDEX($AO$2:$BQ$1001,MATCH(ROWS($AH$2:AH944),$AH$2:$AH$1001,0),MATCH(COLUMNS($AO$1006:AY1006),$AO$1006:$BQ$1006,0)), HYPERLINK("#",""), HYPERLINK(CONCATENATE("#Metadata!", ADDRESS(INDEX($AJ$2:$AJ$1001,MATCH(ROWS($AH$2:AH944),$AH$2:$AH$1001,0),0), INDEX($AO$1004:$BQ$1004,1,MATCH(COLUMNS($AO$1006:AY1006),$AO$1006:$BQ$1006,0)))),"Fix")))</f>
        <v>#N/A</v>
      </c>
      <c r="M944" s="5" t="e">
        <f ca="1">IF(OR(INDEX($AI$2:$AI$1001,MATCH(ROWS($AH$2:AH944),$AH$2:$AH$1001,0),1)&gt;=100000,INDEX($AO$1005:$BQ$1005,1,MATCH(COLUMNS($AO$1006:AZ1006),$AO$1006:$BQ$1006,0))&gt;=100000), " ",IF(INDEX($AO$2:$BQ$1001,MATCH(ROWS($AH$2:AH944),$AH$2:$AH$1001,0),MATCH(COLUMNS($AO$1006:AZ1006),$AO$1006:$BQ$1006,0)), HYPERLINK("#",""), HYPERLINK(CONCATENATE("#Metadata!", ADDRESS(INDEX($AJ$2:$AJ$1001,MATCH(ROWS($AH$2:AH944),$AH$2:$AH$1001,0),0), INDEX($AO$1004:$BQ$1004,1,MATCH(COLUMNS($AO$1006:AZ1006),$AO$1006:$BQ$1006,0)))),"Fix")))</f>
        <v>#N/A</v>
      </c>
      <c r="N944" s="5" t="e">
        <f ca="1">IF(OR(INDEX($AI$2:$AI$1001,MATCH(ROWS($AH$2:AH944),$AH$2:$AH$1001,0),1)&gt;=100000,INDEX($AO$1005:$BQ$1005,1,MATCH(COLUMNS($AO$1006:BA1006),$AO$1006:$BQ$1006,0))&gt;=100000), " ",IF(INDEX($AO$2:$BQ$1001,MATCH(ROWS($AH$2:AH944),$AH$2:$AH$1001,0),MATCH(COLUMNS($AO$1006:BA1006),$AO$1006:$BQ$1006,0)), HYPERLINK("#",""), HYPERLINK(CONCATENATE("#Metadata!", ADDRESS(INDEX($AJ$2:$AJ$1001,MATCH(ROWS($AH$2:AH944),$AH$2:$AH$1001,0),0), INDEX($AO$1004:$BQ$1004,1,MATCH(COLUMNS($AO$1006:BA1006),$AO$1006:$BQ$1006,0)))),"Fix")))</f>
        <v>#N/A</v>
      </c>
      <c r="O944" s="5" t="e">
        <f ca="1">IF(OR(INDEX($AI$2:$AI$1001,MATCH(ROWS($AH$2:AH944),$AH$2:$AH$1001,0),1)&gt;=100000,INDEX($AO$1005:$BQ$1005,1,MATCH(COLUMNS($AO$1006:BB1006),$AO$1006:$BQ$1006,0))&gt;=100000), " ",IF(INDEX($AO$2:$BQ$1001,MATCH(ROWS($AH$2:AH944),$AH$2:$AH$1001,0),MATCH(COLUMNS($AO$1006:BB1006),$AO$1006:$BQ$1006,0)), HYPERLINK("#",""), HYPERLINK(CONCATENATE("#Metadata!", ADDRESS(INDEX($AJ$2:$AJ$1001,MATCH(ROWS($AH$2:AH944),$AH$2:$AH$1001,0),0), INDEX($AO$1004:$BQ$1004,1,MATCH(COLUMNS($AO$1006:BB1006),$AO$1006:$BQ$1006,0)))),"Fix")))</f>
        <v>#N/A</v>
      </c>
      <c r="P944" s="5" t="e">
        <f ca="1">IF(OR(INDEX($AI$2:$AI$1001,MATCH(ROWS($AH$2:AH944),$AH$2:$AH$1001,0),1)&gt;=100000,INDEX($AO$1005:$BQ$1005,1,MATCH(COLUMNS($AO$1006:BC1006),$AO$1006:$BQ$1006,0))&gt;=100000), " ",IF(INDEX($AO$2:$BQ$1001,MATCH(ROWS($AH$2:AH944),$AH$2:$AH$1001,0),MATCH(COLUMNS($AO$1006:BC1006),$AO$1006:$BQ$1006,0)), HYPERLINK("#",""), HYPERLINK(CONCATENATE("#Metadata!", ADDRESS(INDEX($AJ$2:$AJ$1001,MATCH(ROWS($AH$2:AH944),$AH$2:$AH$1001,0),0), INDEX($AO$1004:$BQ$1004,1,MATCH(COLUMNS($AO$1006:BC1006),$AO$1006:$BQ$1006,0)))),"Fix")))</f>
        <v>#N/A</v>
      </c>
      <c r="Q944" s="5" t="e">
        <f ca="1">IF(OR(INDEX($AI$2:$AI$1001,MATCH(ROWS($AH$2:AH944),$AH$2:$AH$1001,0),1)&gt;=100000,INDEX($AO$1005:$BQ$1005,1,MATCH(COLUMNS($AO$1006:BD1006),$AO$1006:$BQ$1006,0))&gt;=100000), " ",IF(INDEX($AO$2:$BQ$1001,MATCH(ROWS($AH$2:AH944),$AH$2:$AH$1001,0),MATCH(COLUMNS($AO$1006:BD1006),$AO$1006:$BQ$1006,0)), HYPERLINK("#",""), HYPERLINK(CONCATENATE("#Metadata!", ADDRESS(INDEX($AJ$2:$AJ$1001,MATCH(ROWS($AH$2:AH944),$AH$2:$AH$1001,0),0), INDEX($AO$1004:$BQ$1004,1,MATCH(COLUMNS($AO$1006:BD1006),$AO$1006:$BQ$1006,0)))),"Fix")))</f>
        <v>#N/A</v>
      </c>
      <c r="R944" s="5" t="e">
        <f ca="1">IF(OR(INDEX($AI$2:$AI$1001,MATCH(ROWS($AH$2:AH944),$AH$2:$AH$1001,0),1)&gt;=100000,INDEX($AO$1005:$BQ$1005,1,MATCH(COLUMNS($AO$1006:BE1006),$AO$1006:$BQ$1006,0))&gt;=100000), " ",IF(INDEX($AO$2:$BQ$1001,MATCH(ROWS($AH$2:AH944),$AH$2:$AH$1001,0),MATCH(COLUMNS($AO$1006:BE1006),$AO$1006:$BQ$1006,0)), HYPERLINK("#",""), HYPERLINK(CONCATENATE("#Metadata!", ADDRESS(INDEX($AJ$2:$AJ$1001,MATCH(ROWS($AH$2:AH944),$AH$2:$AH$1001,0),0), INDEX($AO$1004:$BQ$1004,1,MATCH(COLUMNS($AO$1006:BE1006),$AO$1006:$BQ$1006,0)))),"Fix")))</f>
        <v>#N/A</v>
      </c>
      <c r="S944" s="5" t="e">
        <f ca="1">IF(OR(INDEX($AI$2:$AI$1001,MATCH(ROWS($AH$2:AH944),$AH$2:$AH$1001,0),1)&gt;=100000,INDEX($AO$1005:$BQ$1005,1,MATCH(COLUMNS($AO$1006:BF1006),$AO$1006:$BQ$1006,0))&gt;=100000), " ",IF(INDEX($AO$2:$BQ$1001,MATCH(ROWS($AH$2:AH944),$AH$2:$AH$1001,0),MATCH(COLUMNS($AO$1006:BF1006),$AO$1006:$BQ$1006,0)), HYPERLINK("#",""), HYPERLINK(CONCATENATE("#Metadata!", ADDRESS(INDEX($AJ$2:$AJ$1001,MATCH(ROWS($AH$2:AH944),$AH$2:$AH$1001,0),0), INDEX($AO$1004:$BQ$1004,1,MATCH(COLUMNS($AO$1006:BF1006),$AO$1006:$BQ$1006,0)))),"Fix")))</f>
        <v>#N/A</v>
      </c>
      <c r="T944" s="5" t="e">
        <f ca="1">IF(OR(INDEX($AI$2:$AI$1001,MATCH(ROWS($AH$2:AH944),$AH$2:$AH$1001,0),1)&gt;=100000,INDEX($AO$1005:$BQ$1005,1,MATCH(COLUMNS($AO$1006:BG1006),$AO$1006:$BQ$1006,0))&gt;=100000), " ",IF(INDEX($AO$2:$BQ$1001,MATCH(ROWS($AH$2:AH944),$AH$2:$AH$1001,0),MATCH(COLUMNS($AO$1006:BG1006),$AO$1006:$BQ$1006,0)), HYPERLINK("#",""), HYPERLINK(CONCATENATE("#Metadata!", ADDRESS(INDEX($AJ$2:$AJ$1001,MATCH(ROWS($AH$2:AH944),$AH$2:$AH$1001,0),0), INDEX($AO$1004:$BQ$1004,1,MATCH(COLUMNS($AO$1006:BG1006),$AO$1006:$BQ$1006,0)))),"Fix")))</f>
        <v>#N/A</v>
      </c>
      <c r="U944" s="5" t="e">
        <f ca="1">IF(OR(INDEX($AI$2:$AI$1001,MATCH(ROWS($AH$2:AH944),$AH$2:$AH$1001,0),1)&gt;=100000,INDEX($AO$1005:$BQ$1005,1,MATCH(COLUMNS($AO$1006:BH1006),$AO$1006:$BQ$1006,0))&gt;=100000), " ",IF(INDEX($AO$2:$BQ$1001,MATCH(ROWS($AH$2:AH944),$AH$2:$AH$1001,0),MATCH(COLUMNS($AO$1006:BH1006),$AO$1006:$BQ$1006,0)), HYPERLINK("#",""), HYPERLINK(CONCATENATE("#Metadata!", ADDRESS(INDEX($AJ$2:$AJ$1001,MATCH(ROWS($AH$2:AH944),$AH$2:$AH$1001,0),0), INDEX($AO$1004:$BQ$1004,1,MATCH(COLUMNS($AO$1006:BH1006),$AO$1006:$BQ$1006,0)))),"Fix")))</f>
        <v>#N/A</v>
      </c>
      <c r="V944" s="5" t="e">
        <f ca="1">IF(OR(INDEX($AI$2:$AI$1001,MATCH(ROWS($AH$2:AH944),$AH$2:$AH$1001,0),1)&gt;=100000,INDEX($AO$1005:$BQ$1005,1,MATCH(COLUMNS($AO$1006:BI1006),$AO$1006:$BQ$1006,0))&gt;=100000), " ",IF(INDEX($AO$2:$BQ$1001,MATCH(ROWS($AH$2:AH944),$AH$2:$AH$1001,0),MATCH(COLUMNS($AO$1006:BI1006),$AO$1006:$BQ$1006,0)), HYPERLINK("#",""), HYPERLINK(CONCATENATE("#Metadata!", ADDRESS(INDEX($AJ$2:$AJ$1001,MATCH(ROWS($AH$2:AH944),$AH$2:$AH$1001,0),0), INDEX($AO$1004:$BQ$1004,1,MATCH(COLUMNS($AO$1006:BI1006),$AO$1006:$BQ$1006,0)))),"Fix")))</f>
        <v>#N/A</v>
      </c>
      <c r="W944" s="5" t="e">
        <f ca="1">IF(OR(INDEX($AI$2:$AI$1001,MATCH(ROWS($AH$2:AH944),$AH$2:$AH$1001,0),1)&gt;=100000,INDEX($AO$1005:$BQ$1005,1,MATCH(COLUMNS($AO$1006:BJ1006),$AO$1006:$BQ$1006,0))&gt;=100000), " ",IF(INDEX($AO$2:$BQ$1001,MATCH(ROWS($AH$2:AH944),$AH$2:$AH$1001,0),MATCH(COLUMNS($AO$1006:BJ1006),$AO$1006:$BQ$1006,0)), HYPERLINK("#",""), HYPERLINK(CONCATENATE("#Metadata!", ADDRESS(INDEX($AJ$2:$AJ$1001,MATCH(ROWS($AH$2:AH944),$AH$2:$AH$1001,0),0), INDEX($AO$1004:$BQ$1004,1,MATCH(COLUMNS($AO$1006:BJ1006),$AO$1006:$BQ$1006,0)))),"Fix")))</f>
        <v>#N/A</v>
      </c>
      <c r="X944" s="5" t="e">
        <f ca="1">IF(OR(INDEX($AI$2:$AI$1001,MATCH(ROWS($AH$2:AH944),$AH$2:$AH$1001,0),1)&gt;=100000,INDEX($AO$1005:$BQ$1005,1,MATCH(COLUMNS($AO$1006:BK1006),$AO$1006:$BQ$1006,0))&gt;=100000), " ",IF(INDEX($AO$2:$BQ$1001,MATCH(ROWS($AH$2:AH944),$AH$2:$AH$1001,0),MATCH(COLUMNS($AO$1006:BK1006),$AO$1006:$BQ$1006,0)), HYPERLINK("#",""), HYPERLINK(CONCATENATE("#Metadata!", ADDRESS(INDEX($AJ$2:$AJ$1001,MATCH(ROWS($AH$2:AH944),$AH$2:$AH$1001,0),0), INDEX($AO$1004:$BQ$1004,1,MATCH(COLUMNS($AO$1006:BK1006),$AO$1006:$BQ$1006,0)))),"Fix")))</f>
        <v>#N/A</v>
      </c>
      <c r="Y944" s="5" t="e">
        <f ca="1">IF(OR(INDEX($AI$2:$AI$1001,MATCH(ROWS($AH$2:AH944),$AH$2:$AH$1001,0),1)&gt;=100000,INDEX($AO$1005:$BQ$1005,1,MATCH(COLUMNS($AO$1006:BL1006),$AO$1006:$BQ$1006,0))&gt;=100000), " ",IF(INDEX($AO$2:$BQ$1001,MATCH(ROWS($AH$2:AH944),$AH$2:$AH$1001,0),MATCH(COLUMNS($AO$1006:BL1006),$AO$1006:$BQ$1006,0)), HYPERLINK("#",""), HYPERLINK(CONCATENATE("#Metadata!", ADDRESS(INDEX($AJ$2:$AJ$1001,MATCH(ROWS($AH$2:AH944),$AH$2:$AH$1001,0),0), INDEX($AO$1004:$BQ$1004,1,MATCH(COLUMNS($AO$1006:BL1006),$AO$1006:$BQ$1006,0)))),"Fix")))</f>
        <v>#N/A</v>
      </c>
      <c r="Z944" s="5" t="e">
        <f ca="1">IF(OR(INDEX($AI$2:$AI$1001,MATCH(ROWS($AH$2:AH944),$AH$2:$AH$1001,0),1)&gt;=100000,INDEX($AO$1005:$BQ$1005,1,MATCH(COLUMNS($AO$1006:BM1006),$AO$1006:$BQ$1006,0))&gt;=100000), " ",IF(INDEX($AO$2:$BQ$1001,MATCH(ROWS($AH$2:AH944),$AH$2:$AH$1001,0),MATCH(COLUMNS($AO$1006:BM1006),$AO$1006:$BQ$1006,0)), HYPERLINK("#",""), HYPERLINK(CONCATENATE("#Metadata!", ADDRESS(INDEX($AJ$2:$AJ$1001,MATCH(ROWS($AH$2:AH944),$AH$2:$AH$1001,0),0), INDEX($AO$1004:$BQ$1004,1,MATCH(COLUMNS($AO$1006:BM1006),$AO$1006:$BQ$1006,0)))),"Fix")))</f>
        <v>#N/A</v>
      </c>
      <c r="AA944" s="5" t="e">
        <f ca="1">IF(OR(INDEX($AI$2:$AI$1001,MATCH(ROWS($AH$2:AH944),$AH$2:$AH$1001,0),1)&gt;=100000,INDEX($AO$1005:$BQ$1005,1,MATCH(COLUMNS($AO$1006:BN1006),$AO$1006:$BQ$1006,0))&gt;=100000), " ",IF(INDEX($AO$2:$BQ$1001,MATCH(ROWS($AH$2:AH944),$AH$2:$AH$1001,0),MATCH(COLUMNS($AO$1006:BN1006),$AO$1006:$BQ$1006,0)), HYPERLINK("#",""), HYPERLINK(CONCATENATE("#Metadata!", ADDRESS(INDEX($AJ$2:$AJ$1001,MATCH(ROWS($AH$2:AH944),$AH$2:$AH$1001,0),0), INDEX($AO$1004:$BQ$1004,1,MATCH(COLUMNS($AO$1006:BN1006),$AO$1006:$BQ$1006,0)))),"Fix")))</f>
        <v>#N/A</v>
      </c>
      <c r="AB944" s="5" t="e">
        <f ca="1">IF(OR(INDEX($AI$2:$AI$1001,MATCH(ROWS($AH$2:AH944),$AH$2:$AH$1001,0),1)&gt;=100000,INDEX($AO$1005:$BQ$1005,1,MATCH(COLUMNS($AO$1006:BO1006),$AO$1006:$BQ$1006,0))&gt;=100000), " ",IF(INDEX($AO$2:$BQ$1001,MATCH(ROWS($AH$2:AH944),$AH$2:$AH$1001,0),MATCH(COLUMNS($AO$1006:BO1006),$AO$1006:$BQ$1006,0)), HYPERLINK("#",""), HYPERLINK(CONCATENATE("#Metadata!", ADDRESS(INDEX($AJ$2:$AJ$1001,MATCH(ROWS($AH$2:AH944),$AH$2:$AH$1001,0),0), INDEX($AO$1004:$BQ$1004,1,MATCH(COLUMNS($AO$1006:BO1006),$AO$1006:$BQ$1006,0)))),"Fix")))</f>
        <v>#N/A</v>
      </c>
      <c r="AC944" s="5" t="e">
        <f ca="1">IF(OR(INDEX($AI$2:$AI$1001,MATCH(ROWS($AH$2:AH944),$AH$2:$AH$1001,0),1)&gt;=100000,INDEX($AO$1005:$BQ$1005,1,MATCH(COLUMNS($AO$1006:BP1006),$AO$1006:$BQ$1006,0))&gt;=100000), " ",IF(INDEX($AO$2:$BQ$1001,MATCH(ROWS($AH$2:AH944),$AH$2:$AH$1001,0),MATCH(COLUMNS($AO$1006:BP1006),$AO$1006:$BQ$1006,0)), HYPERLINK("#",""), HYPERLINK(CONCATENATE("#Metadata!", ADDRESS(INDEX($AJ$2:$AJ$1001,MATCH(ROWS($AH$2:AH944),$AH$2:$AH$1001,0),0), INDEX($AO$1004:$BQ$1004,1,MATCH(COLUMNS($AO$1006:BP1006),$AO$1006:$BQ$1006,0)))),"Fix")))</f>
        <v>#N/A</v>
      </c>
      <c r="AD944" s="5" t="e">
        <f ca="1">IF(OR(INDEX($AI$2:$AI$1001,MATCH(ROWS($AH$2:AH944),$AH$2:$AH$1001,0),1)&gt;=100000,INDEX($AO$1005:$BQ$1005,1,MATCH(COLUMNS($AO$1006:BQ1006),$AO$1006:$BQ$1006,0))&gt;=100000), " ",IF(INDEX($AO$2:$BQ$1001,MATCH(ROWS($AH$2:AH944),$AH$2:$AH$1001,0),MATCH(COLUMNS($AO$1006:BQ1006),$AO$1006:$BQ$1006,0)), HYPERLINK("#",""), HYPERLINK(CONCATENATE("#Metadata!", ADDRESS(INDEX($AJ$2:$AJ$1001,MATCH(ROWS($AH$2:AH944),$AH$2:$AH$1001,0),0), INDEX($AO$1004:$BQ$1004,1,MATCH(COLUMNS($AO$1006:BQ1006),$AO$1006:$BQ$1006,0)))),"Fix")))</f>
        <v>#REF!</v>
      </c>
      <c r="AH944">
        <f ca="1"/>
        <v>941</v>
      </c>
      <c r="AI944">
        <v>100944</v>
      </c>
      <c r="AJ944">
        <v>944</v>
      </c>
      <c r="AK944" t="b">
        <f t="shared" si="14"/>
        <v>1</v>
      </c>
      <c r="AL944" t="b">
        <f>COUNTBLANK(Metadata!B944:AD944)=COLUMNS(Metadata!B944:AD944)</f>
        <v>1</v>
      </c>
      <c r="AM944" t="str">
        <v/>
      </c>
      <c r="AO944" t="b">
        <f ca="1">AND(IF(Metadata!B944="",FALSE,TRUE),COUNTIF(Metadata!B:B, Metadata!B944) = 1,NOT(ISERROR(SUMPRODUCT(SEARCH(MID(Metadata!B944,ROW(INDIRECT("1:"&amp;LEN(Metadata!B944))), 1),"0123456789abcdefghijklmnopqrstuvwxyzABCDEFGHIJKLMNOPQRSTUVWXYZ.")))))</f>
        <v>0</v>
      </c>
      <c r="AP944" t="b">
        <f>IF(Metadata!C944="",FALSE,TRUE)</f>
        <v>0</v>
      </c>
      <c r="AQ944" t="b">
        <f>IF(Metadata!D944="",FALSE,TRUE)</f>
        <v>0</v>
      </c>
      <c r="AR944" t="b">
        <f ca="1">OR(AND(IF(Metadata!E944="",FALSE,TRUE),OR(EXACT(Metadata!E944,"not collected"),EXACT(Metadata!E944,"not provided"),EXACT(Metadata!E944,"restricted access"))),AND(IF(Metadata!E944="",FALSE,TRUE),AND(AND(IFERROR(INT(LEFT(Metadata!E944,4))&gt;1900,FALSE),IFERROR(INT(LEFT(Metadata!E944,4))&lt;=YEAR(NOW()),FALSE)), OR(MID(Metadata!E944,5,1)="", AND(AND(MID(Metadata!E944,5,1)="-",IFERROR(INT(MID(Metadata!E944,6,1))&gt;=0,FALSE),IFERROR(INT(MID(Metadata!E944,6,1))&lt;=1,FALSE),NOT(MID(Metadata!E944,7,1)=""),IFERROR(INT(MID(Metadata!E944,6,2))&gt;=1,FALSE),IFERROR(INT(MID(Metadata!E944,6,2))&lt;=12,FALSE)), OR(MID(Metadata!E944,8,1)="", AND(AND(MID(Metadata!E944,8,1)="-",IFERROR(INT(MID(Metadata!E944,9,1))&gt;=0,FALSE),IFERROR(INT(MID(Metadata!E944,9,1))&lt;=3,FALSE),NOT(MID(Metadata!E944,10,1)=""),IFERROR(INT(MID(Metadata!E944,9,2))&gt;=1,FALSE),IFERROR(INT(MID(Metadata!E944,9,2))&lt;=31,FALSE)), OR(MID(Metadata!E944,11,1)="", AND(AND(MID(Metadata!E944,11,1)=" ",IFERROR(INT(MID(Metadata!E944,12,1))&gt;=0,FALSE),IFERROR(INT(MID(Metadata!E944,12,1))&lt;=2,FALSE),NOT(MID(Metadata!E944,13,1)=""),IFERROR(INT(MID(Metadata!E944,12,2))&gt;=0,FALSE),IFERROR(INT(MID(Metadata!E944,12,2))&lt;=23,FALSE)), OR(MID(Metadata!E944,14,1)="", AND(AND(MID(Metadata!E944,14,1)=":",IFERROR(INT(MID(Metadata!E944,15,1))&gt;=0,FALSE),IFERROR(INT(MID(Metadata!E944,15,1))&lt;=5,FALSE),NOT(MID(Metadata!E944,16,1)=""),IFERROR(INT(MID(Metadata!E944,15,2))&gt;=0,FALSE),IFERROR(INT(MID(Metadata!E944,15,2))&lt;=59,FALSE)), OR(MID(Metadata!E944,17,1)="", AND(AND(MID(Metadata!E944,17,1)=":",IFERROR(INT(MID(Metadata!E944,18,1))&gt;=0,FALSE),IFERROR(INT(MID(Metadata!E944,18,1))&lt;=5,FALSE),NOT(MID(Metadata!E944,19,1)=""),IFERROR(INT(MID(Metadata!E944,18,2))&gt;=0,FALSE),IFERROR(INT(MID(Metadata!E944,18,2))&lt;=59,FALSE)), LEN(Metadata!E944)&lt;=19)))))))))))))</f>
        <v>0</v>
      </c>
      <c r="AS944" t="b">
        <f>IF(Metadata!F944="",FALSE,TRUE)</f>
        <v>0</v>
      </c>
      <c r="AT944" t="b">
        <f>OR(AND(IF(Metadata!G944="",FALSE,TRUE),OR(EXACT(Metadata!G944,"not collected"),EXACT(Metadata!G944,"not provided"))),AND(IF(Metadata!G944="",FALSE,TRUE),OR(EXACT(Metadata!G944,"TRUE"),EXACT(Metadata!G944,"FALSE"))))</f>
        <v>0</v>
      </c>
      <c r="AU944" t="b">
        <f>OR(AND(IF(Metadata!H944="",FALSE,TRUE),OR(EXACT(Metadata!H944,"not collected"),EXACT(Metadata!H944,"not provided"),EXACT(Metadata!H944,"restricted access"))),AND(IF(Metadata!H944="",FALSE,ISNUMBER(VALUE(Metadata!H944))),Metadata!H944&gt;=-413))</f>
        <v>0</v>
      </c>
      <c r="AV944" t="b">
        <f>AND(IF(Metadata!I944="",FALSE,TRUE),EXACT(Metadata!I944,"meters"))</f>
        <v>0</v>
      </c>
      <c r="AW944" t="b">
        <f>AND(IF(Metadata!J944="",FALSE,TRUE),EXACT(Metadata!J944,"free-living"))</f>
        <v>0</v>
      </c>
      <c r="AX944" t="b">
        <f>AND(IF(Metadata!K944="",FALSE,TRUE),OR(EXACT(Metadata!K944,"saline"),EXACT(Metadata!K944,"non-saline")))</f>
        <v>0</v>
      </c>
      <c r="AY944" t="b">
        <f>AND(IF(Metadata!L944="",FALSE,TRUE),OR(EXACT(Metadata!L944,"sub-surface (non-saline)"),EXACT(Metadata!L944,"surface (non-saline)"),EXACT(Metadata!L944,"water (non-saline)"),EXACT(Metadata!L944,"soil (non-saline)"),EXACT(Metadata!L944,"aerosol (non-saline)"),EXACT(Metadata!L944,"sediment (non-saline)"),EXACT(Metadata!L944,"surface (saline)"),EXACT(Metadata!L944,"water (saline)"),EXACT(Metadata!L944,"hypersaline (saline)"),EXACT(Metadata!L944,"aerosol (saline)"),EXACT(Metadata!L944,"sediment (saline)")))</f>
        <v>0</v>
      </c>
      <c r="AZ944" t="b">
        <f>IF(Metadata!M944="",FALSE,TRUE)</f>
        <v>0</v>
      </c>
      <c r="BA944" t="b">
        <f>IF(Metadata!N944="",FALSE,TRUE)</f>
        <v>0</v>
      </c>
      <c r="BB944" t="b">
        <f>IF(Metadata!O944="",FALSE,TRUE)</f>
        <v>0</v>
      </c>
      <c r="BC944" t="b">
        <f>AND(IF(Metadata!P944="",FALSE,TRUE),OR(EXACT(Metadata!P944,"air"),EXACT(Metadata!P944,"microbial mat/biofilm"),EXACT(Metadata!P944,"misc environment"),EXACT(Metadata!P944,"sediment"),EXACT(Metadata!P944,"soil"),EXACT(Metadata!P944,"wastewater/sludge"),EXACT(Metadata!P944,"water")))</f>
        <v>0</v>
      </c>
      <c r="BD944" t="b">
        <f>IF(Metadata!Q944="",FALSE,TRUE)</f>
        <v>0</v>
      </c>
      <c r="BE944" t="b">
        <f>IF(Metadata!R944="",FALSE,TRUE)</f>
        <v>0</v>
      </c>
      <c r="BF944" t="b">
        <f>OR(AND(IF(Metadata!S944="",FALSE,TRUE),OR(EXACT(Metadata!S944,"not collected"),EXACT(Metadata!S944,"not provided"),EXACT(Metadata!S944,"restricted access"))),AND(IF(Metadata!S944="",FALSE,ISNUMBER(VALUE(Metadata!S944))),Metadata!S944&gt;=-90,Metadata!S944&lt;=90))</f>
        <v>0</v>
      </c>
      <c r="BG944" t="b">
        <f>AND(IF(Metadata!T944="",FALSE,TRUE),EXACT(Metadata!T944,"Decimal degrees"))</f>
        <v>0</v>
      </c>
      <c r="BH944" t="b">
        <f>OR(AND(IF(Metadata!U944="",FALSE,TRUE),OR(EXACT(Metadata!U944,"not applicable"),EXACT(Metadata!U944,"not collected"))),IF(Metadata!U944="",FALSE,TRUE))</f>
        <v>0</v>
      </c>
      <c r="BI944" t="b">
        <f>OR(AND(IF(Metadata!V944="",FALSE,TRUE),OR(EXACT(Metadata!V944,"not collected"),EXACT(Metadata!V944,"not provided"),EXACT(Metadata!V944,"restricted access"))),AND(IF(Metadata!V944="",FALSE,ISNUMBER(VALUE(Metadata!V944))),Metadata!V944&gt;=-180,Metadata!V944&lt;=180))</f>
        <v>0</v>
      </c>
      <c r="BJ944" t="b">
        <f>AND(IF(Metadata!W944="",FALSE,TRUE),EXACT(Metadata!W944,"Decimal degrees"))</f>
        <v>0</v>
      </c>
      <c r="BK944" t="b">
        <f>IF(Metadata!X944="",FALSE,TRUE)</f>
        <v>0</v>
      </c>
      <c r="BL944" t="b">
        <f>OR(AND(IF(Metadata!Y944="",FALSE,TRUE),OR(EXACT(Metadata!Y944,"not collected"),EXACT(Metadata!Y944,"not provided"),EXACT(Metadata!Y944,"restricted access"))),AND(IF(Metadata!Y944="",FALSE,TRUE),OR(EXACT(Metadata!Y944,"TRUE"),EXACT(Metadata!Y944,"FALSE"))))</f>
        <v>0</v>
      </c>
      <c r="BM944" t="b">
        <f>OR(AND(IF(Metadata!Z944="",FALSE,TRUE),EXACT(Metadata!Z944,"not applicable")),AND(IF(Metadata!Z944="",FALSE,TRUE),OR(EXACT(Metadata!Z944,"beer"),EXACT(Metadata!Z944,"cheese"),EXACT(Metadata!Z944,"fresh water"),EXACT(Metadata!Z944,"marine sediment"),EXACT(Metadata!Z944,"sea water"),EXACT(Metadata!Z944,"sediment"),EXACT(Metadata!Z944,"soil"),EXACT(Metadata!Z944,"waste water"))))</f>
        <v>0</v>
      </c>
      <c r="BN944" t="b">
        <f>AND(IF(Metadata!AA944="",FALSE,TRUE),EXACT(Metadata!AA944,"metagenome"))</f>
        <v>0</v>
      </c>
      <c r="BO944" t="b">
        <f>AND(IF(Metadata!AB944="",FALSE,TRUE),EXACT(Metadata!AB944,"256318"))</f>
        <v>0</v>
      </c>
      <c r="BP944" t="b">
        <f>IF(Metadata!AC944="",FALSE,TRUE)</f>
        <v>0</v>
      </c>
      <c r="BQ944" t="b">
        <f>IF(Metadata!AD944="",FALSE,TRUE)</f>
        <v>0</v>
      </c>
    </row>
    <row r="945" spans="1:69" x14ac:dyDescent="0.2">
      <c r="A945" s="4" t="e">
        <f ca="1">IF(B945=" "," ",HYPERLINK(CONCATENATE("#metadata!",ADDRESS(INDEX($AJ$2:$AJ$1001,MATCH(ROWS($AH$2:AH945),$AH$2:$AH$1001,0),0),2)),INDEX($AM$2:$AM$1001,MATCH(ROWS($AH$2:AH945),$AH$2:$AH$1001,0),0)))</f>
        <v>#N/A</v>
      </c>
      <c r="B945" s="5" t="e">
        <f ca="1">IF(OR(INDEX($AI$2:$AI$1001,MATCH(ROWS($AH$2:AH945),$AH$2:$AH$1001,0),1)&gt;=100000,INDEX($AO$1005:$BQ$1005,1,MATCH(COLUMNS($AO$1006:AO1006),$AO$1006:$BQ$1006,0))&gt;=100000), " ",IF(INDEX($AO$2:$BQ$1001,MATCH(ROWS($AH$2:AH945),$AH$2:$AH$1001,0),MATCH(COLUMNS($AO$1006:AO1006),$AO$1006:$BQ$1006,0)), HYPERLINK("#",""), HYPERLINK(CONCATENATE("#Metadata!", ADDRESS(INDEX($AJ$2:$AJ$1001,MATCH(ROWS($AH$2:AH945),$AH$2:$AH$1001,0),0), INDEX($AO$1004:$BQ$1004,1,MATCH(COLUMNS($AO$1006:AO1006),$AO$1006:$BQ$1006,0)))),"Fix")))</f>
        <v>#N/A</v>
      </c>
      <c r="C945" s="5" t="e">
        <f ca="1">IF(OR(INDEX($AI$2:$AI$1001,MATCH(ROWS($AH$2:AH945),$AH$2:$AH$1001,0),1)&gt;=100000,INDEX($AO$1005:$BQ$1005,1,MATCH(COLUMNS($AO$1006:AP1006),$AO$1006:$BQ$1006,0))&gt;=100000), " ",IF(INDEX($AO$2:$BQ$1001,MATCH(ROWS($AH$2:AH945),$AH$2:$AH$1001,0),MATCH(COLUMNS($AO$1006:AP1006),$AO$1006:$BQ$1006,0)), HYPERLINK("#",""), HYPERLINK(CONCATENATE("#Metadata!", ADDRESS(INDEX($AJ$2:$AJ$1001,MATCH(ROWS($AH$2:AH945),$AH$2:$AH$1001,0),0), INDEX($AO$1004:$BQ$1004,1,MATCH(COLUMNS($AO$1006:AP1006),$AO$1006:$BQ$1006,0)))),"Fix")))</f>
        <v>#N/A</v>
      </c>
      <c r="D945" s="5" t="e">
        <f ca="1">IF(OR(INDEX($AI$2:$AI$1001,MATCH(ROWS($AH$2:AH945),$AH$2:$AH$1001,0),1)&gt;=100000,INDEX($AO$1005:$BQ$1005,1,MATCH(COLUMNS($AO$1006:AQ1006),$AO$1006:$BQ$1006,0))&gt;=100000), " ",IF(INDEX($AO$2:$BQ$1001,MATCH(ROWS($AH$2:AH945),$AH$2:$AH$1001,0),MATCH(COLUMNS($AO$1006:AQ1006),$AO$1006:$BQ$1006,0)), HYPERLINK("#",""), HYPERLINK(CONCATENATE("#Metadata!", ADDRESS(INDEX($AJ$2:$AJ$1001,MATCH(ROWS($AH$2:AH945),$AH$2:$AH$1001,0),0), INDEX($AO$1004:$BQ$1004,1,MATCH(COLUMNS($AO$1006:AQ1006),$AO$1006:$BQ$1006,0)))),"Fix")))</f>
        <v>#N/A</v>
      </c>
      <c r="E945" s="5" t="e">
        <f ca="1">IF(OR(INDEX($AI$2:$AI$1001,MATCH(ROWS($AH$2:AH945),$AH$2:$AH$1001,0),1)&gt;=100000,INDEX($AO$1005:$BQ$1005,1,MATCH(COLUMNS($AO$1006:AR1006),$AO$1006:$BQ$1006,0))&gt;=100000), " ",IF(INDEX($AO$2:$BQ$1001,MATCH(ROWS($AH$2:AH945),$AH$2:$AH$1001,0),MATCH(COLUMNS($AO$1006:AR1006),$AO$1006:$BQ$1006,0)), HYPERLINK("#",""), HYPERLINK(CONCATENATE("#Metadata!", ADDRESS(INDEX($AJ$2:$AJ$1001,MATCH(ROWS($AH$2:AH945),$AH$2:$AH$1001,0),0), INDEX($AO$1004:$BQ$1004,1,MATCH(COLUMNS($AO$1006:AR1006),$AO$1006:$BQ$1006,0)))),"Fix")))</f>
        <v>#N/A</v>
      </c>
      <c r="F945" s="5" t="e">
        <f ca="1">IF(OR(INDEX($AI$2:$AI$1001,MATCH(ROWS($AH$2:AH945),$AH$2:$AH$1001,0),1)&gt;=100000,INDEX($AO$1005:$BQ$1005,1,MATCH(COLUMNS($AO$1006:AS1006),$AO$1006:$BQ$1006,0))&gt;=100000), " ",IF(INDEX($AO$2:$BQ$1001,MATCH(ROWS($AH$2:AH945),$AH$2:$AH$1001,0),MATCH(COLUMNS($AO$1006:AS1006),$AO$1006:$BQ$1006,0)), HYPERLINK("#",""), HYPERLINK(CONCATENATE("#Metadata!", ADDRESS(INDEX($AJ$2:$AJ$1001,MATCH(ROWS($AH$2:AH945),$AH$2:$AH$1001,0),0), INDEX($AO$1004:$BQ$1004,1,MATCH(COLUMNS($AO$1006:AS1006),$AO$1006:$BQ$1006,0)))),"Fix")))</f>
        <v>#N/A</v>
      </c>
      <c r="G945" s="5" t="e">
        <f ca="1">IF(OR(INDEX($AI$2:$AI$1001,MATCH(ROWS($AH$2:AH945),$AH$2:$AH$1001,0),1)&gt;=100000,INDEX($AO$1005:$BQ$1005,1,MATCH(COLUMNS($AO$1006:AT1006),$AO$1006:$BQ$1006,0))&gt;=100000), " ",IF(INDEX($AO$2:$BQ$1001,MATCH(ROWS($AH$2:AH945),$AH$2:$AH$1001,0),MATCH(COLUMNS($AO$1006:AT1006),$AO$1006:$BQ$1006,0)), HYPERLINK("#",""), HYPERLINK(CONCATENATE("#Metadata!", ADDRESS(INDEX($AJ$2:$AJ$1001,MATCH(ROWS($AH$2:AH945),$AH$2:$AH$1001,0),0), INDEX($AO$1004:$BQ$1004,1,MATCH(COLUMNS($AO$1006:AT1006),$AO$1006:$BQ$1006,0)))),"Fix")))</f>
        <v>#N/A</v>
      </c>
      <c r="H945" s="5" t="e">
        <f ca="1">IF(OR(INDEX($AI$2:$AI$1001,MATCH(ROWS($AH$2:AH945),$AH$2:$AH$1001,0),1)&gt;=100000,INDEX($AO$1005:$BQ$1005,1,MATCH(COLUMNS($AO$1006:AU1006),$AO$1006:$BQ$1006,0))&gt;=100000), " ",IF(INDEX($AO$2:$BQ$1001,MATCH(ROWS($AH$2:AH945),$AH$2:$AH$1001,0),MATCH(COLUMNS($AO$1006:AU1006),$AO$1006:$BQ$1006,0)), HYPERLINK("#",""), HYPERLINK(CONCATENATE("#Metadata!", ADDRESS(INDEX($AJ$2:$AJ$1001,MATCH(ROWS($AH$2:AH945),$AH$2:$AH$1001,0),0), INDEX($AO$1004:$BQ$1004,1,MATCH(COLUMNS($AO$1006:AU1006),$AO$1006:$BQ$1006,0)))),"Fix")))</f>
        <v>#N/A</v>
      </c>
      <c r="I945" s="5" t="e">
        <f ca="1">IF(OR(INDEX($AI$2:$AI$1001,MATCH(ROWS($AH$2:AH945),$AH$2:$AH$1001,0),1)&gt;=100000,INDEX($AO$1005:$BQ$1005,1,MATCH(COLUMNS($AO$1006:AV1006),$AO$1006:$BQ$1006,0))&gt;=100000), " ",IF(INDEX($AO$2:$BQ$1001,MATCH(ROWS($AH$2:AH945),$AH$2:$AH$1001,0),MATCH(COLUMNS($AO$1006:AV1006),$AO$1006:$BQ$1006,0)), HYPERLINK("#",""), HYPERLINK(CONCATENATE("#Metadata!", ADDRESS(INDEX($AJ$2:$AJ$1001,MATCH(ROWS($AH$2:AH945),$AH$2:$AH$1001,0),0), INDEX($AO$1004:$BQ$1004,1,MATCH(COLUMNS($AO$1006:AV1006),$AO$1006:$BQ$1006,0)))),"Fix")))</f>
        <v>#N/A</v>
      </c>
      <c r="J945" s="5" t="e">
        <f ca="1">IF(OR(INDEX($AI$2:$AI$1001,MATCH(ROWS($AH$2:AH945),$AH$2:$AH$1001,0),1)&gt;=100000,INDEX($AO$1005:$BQ$1005,1,MATCH(COLUMNS($AO$1006:AW1006),$AO$1006:$BQ$1006,0))&gt;=100000), " ",IF(INDEX($AO$2:$BQ$1001,MATCH(ROWS($AH$2:AH945),$AH$2:$AH$1001,0),MATCH(COLUMNS($AO$1006:AW1006),$AO$1006:$BQ$1006,0)), HYPERLINK("#",""), HYPERLINK(CONCATENATE("#Metadata!", ADDRESS(INDEX($AJ$2:$AJ$1001,MATCH(ROWS($AH$2:AH945),$AH$2:$AH$1001,0),0), INDEX($AO$1004:$BQ$1004,1,MATCH(COLUMNS($AO$1006:AW1006),$AO$1006:$BQ$1006,0)))),"Fix")))</f>
        <v>#N/A</v>
      </c>
      <c r="K945" s="5" t="e">
        <f ca="1">IF(OR(INDEX($AI$2:$AI$1001,MATCH(ROWS($AH$2:AH945),$AH$2:$AH$1001,0),1)&gt;=100000,INDEX($AO$1005:$BQ$1005,1,MATCH(COLUMNS($AO$1006:AX1006),$AO$1006:$BQ$1006,0))&gt;=100000), " ",IF(INDEX($AO$2:$BQ$1001,MATCH(ROWS($AH$2:AH945),$AH$2:$AH$1001,0),MATCH(COLUMNS($AO$1006:AX1006),$AO$1006:$BQ$1006,0)), HYPERLINK("#",""), HYPERLINK(CONCATENATE("#Metadata!", ADDRESS(INDEX($AJ$2:$AJ$1001,MATCH(ROWS($AH$2:AH945),$AH$2:$AH$1001,0),0), INDEX($AO$1004:$BQ$1004,1,MATCH(COLUMNS($AO$1006:AX1006),$AO$1006:$BQ$1006,0)))),"Fix")))</f>
        <v>#N/A</v>
      </c>
      <c r="L945" s="5" t="e">
        <f ca="1">IF(OR(INDEX($AI$2:$AI$1001,MATCH(ROWS($AH$2:AH945),$AH$2:$AH$1001,0),1)&gt;=100000,INDEX($AO$1005:$BQ$1005,1,MATCH(COLUMNS($AO$1006:AY1006),$AO$1006:$BQ$1006,0))&gt;=100000), " ",IF(INDEX($AO$2:$BQ$1001,MATCH(ROWS($AH$2:AH945),$AH$2:$AH$1001,0),MATCH(COLUMNS($AO$1006:AY1006),$AO$1006:$BQ$1006,0)), HYPERLINK("#",""), HYPERLINK(CONCATENATE("#Metadata!", ADDRESS(INDEX($AJ$2:$AJ$1001,MATCH(ROWS($AH$2:AH945),$AH$2:$AH$1001,0),0), INDEX($AO$1004:$BQ$1004,1,MATCH(COLUMNS($AO$1006:AY1006),$AO$1006:$BQ$1006,0)))),"Fix")))</f>
        <v>#N/A</v>
      </c>
      <c r="M945" s="5" t="e">
        <f ca="1">IF(OR(INDEX($AI$2:$AI$1001,MATCH(ROWS($AH$2:AH945),$AH$2:$AH$1001,0),1)&gt;=100000,INDEX($AO$1005:$BQ$1005,1,MATCH(COLUMNS($AO$1006:AZ1006),$AO$1006:$BQ$1006,0))&gt;=100000), " ",IF(INDEX($AO$2:$BQ$1001,MATCH(ROWS($AH$2:AH945),$AH$2:$AH$1001,0),MATCH(COLUMNS($AO$1006:AZ1006),$AO$1006:$BQ$1006,0)), HYPERLINK("#",""), HYPERLINK(CONCATENATE("#Metadata!", ADDRESS(INDEX($AJ$2:$AJ$1001,MATCH(ROWS($AH$2:AH945),$AH$2:$AH$1001,0),0), INDEX($AO$1004:$BQ$1004,1,MATCH(COLUMNS($AO$1006:AZ1006),$AO$1006:$BQ$1006,0)))),"Fix")))</f>
        <v>#N/A</v>
      </c>
      <c r="N945" s="5" t="e">
        <f ca="1">IF(OR(INDEX($AI$2:$AI$1001,MATCH(ROWS($AH$2:AH945),$AH$2:$AH$1001,0),1)&gt;=100000,INDEX($AO$1005:$BQ$1005,1,MATCH(COLUMNS($AO$1006:BA1006),$AO$1006:$BQ$1006,0))&gt;=100000), " ",IF(INDEX($AO$2:$BQ$1001,MATCH(ROWS($AH$2:AH945),$AH$2:$AH$1001,0),MATCH(COLUMNS($AO$1006:BA1006),$AO$1006:$BQ$1006,0)), HYPERLINK("#",""), HYPERLINK(CONCATENATE("#Metadata!", ADDRESS(INDEX($AJ$2:$AJ$1001,MATCH(ROWS($AH$2:AH945),$AH$2:$AH$1001,0),0), INDEX($AO$1004:$BQ$1004,1,MATCH(COLUMNS($AO$1006:BA1006),$AO$1006:$BQ$1006,0)))),"Fix")))</f>
        <v>#N/A</v>
      </c>
      <c r="O945" s="5" t="e">
        <f ca="1">IF(OR(INDEX($AI$2:$AI$1001,MATCH(ROWS($AH$2:AH945),$AH$2:$AH$1001,0),1)&gt;=100000,INDEX($AO$1005:$BQ$1005,1,MATCH(COLUMNS($AO$1006:BB1006),$AO$1006:$BQ$1006,0))&gt;=100000), " ",IF(INDEX($AO$2:$BQ$1001,MATCH(ROWS($AH$2:AH945),$AH$2:$AH$1001,0),MATCH(COLUMNS($AO$1006:BB1006),$AO$1006:$BQ$1006,0)), HYPERLINK("#",""), HYPERLINK(CONCATENATE("#Metadata!", ADDRESS(INDEX($AJ$2:$AJ$1001,MATCH(ROWS($AH$2:AH945),$AH$2:$AH$1001,0),0), INDEX($AO$1004:$BQ$1004,1,MATCH(COLUMNS($AO$1006:BB1006),$AO$1006:$BQ$1006,0)))),"Fix")))</f>
        <v>#N/A</v>
      </c>
      <c r="P945" s="5" t="e">
        <f ca="1">IF(OR(INDEX($AI$2:$AI$1001,MATCH(ROWS($AH$2:AH945),$AH$2:$AH$1001,0),1)&gt;=100000,INDEX($AO$1005:$BQ$1005,1,MATCH(COLUMNS($AO$1006:BC1006),$AO$1006:$BQ$1006,0))&gt;=100000), " ",IF(INDEX($AO$2:$BQ$1001,MATCH(ROWS($AH$2:AH945),$AH$2:$AH$1001,0),MATCH(COLUMNS($AO$1006:BC1006),$AO$1006:$BQ$1006,0)), HYPERLINK("#",""), HYPERLINK(CONCATENATE("#Metadata!", ADDRESS(INDEX($AJ$2:$AJ$1001,MATCH(ROWS($AH$2:AH945),$AH$2:$AH$1001,0),0), INDEX($AO$1004:$BQ$1004,1,MATCH(COLUMNS($AO$1006:BC1006),$AO$1006:$BQ$1006,0)))),"Fix")))</f>
        <v>#N/A</v>
      </c>
      <c r="Q945" s="5" t="e">
        <f ca="1">IF(OR(INDEX($AI$2:$AI$1001,MATCH(ROWS($AH$2:AH945),$AH$2:$AH$1001,0),1)&gt;=100000,INDEX($AO$1005:$BQ$1005,1,MATCH(COLUMNS($AO$1006:BD1006),$AO$1006:$BQ$1006,0))&gt;=100000), " ",IF(INDEX($AO$2:$BQ$1001,MATCH(ROWS($AH$2:AH945),$AH$2:$AH$1001,0),MATCH(COLUMNS($AO$1006:BD1006),$AO$1006:$BQ$1006,0)), HYPERLINK("#",""), HYPERLINK(CONCATENATE("#Metadata!", ADDRESS(INDEX($AJ$2:$AJ$1001,MATCH(ROWS($AH$2:AH945),$AH$2:$AH$1001,0),0), INDEX($AO$1004:$BQ$1004,1,MATCH(COLUMNS($AO$1006:BD1006),$AO$1006:$BQ$1006,0)))),"Fix")))</f>
        <v>#N/A</v>
      </c>
      <c r="R945" s="5" t="e">
        <f ca="1">IF(OR(INDEX($AI$2:$AI$1001,MATCH(ROWS($AH$2:AH945),$AH$2:$AH$1001,0),1)&gt;=100000,INDEX($AO$1005:$BQ$1005,1,MATCH(COLUMNS($AO$1006:BE1006),$AO$1006:$BQ$1006,0))&gt;=100000), " ",IF(INDEX($AO$2:$BQ$1001,MATCH(ROWS($AH$2:AH945),$AH$2:$AH$1001,0),MATCH(COLUMNS($AO$1006:BE1006),$AO$1006:$BQ$1006,0)), HYPERLINK("#",""), HYPERLINK(CONCATENATE("#Metadata!", ADDRESS(INDEX($AJ$2:$AJ$1001,MATCH(ROWS($AH$2:AH945),$AH$2:$AH$1001,0),0), INDEX($AO$1004:$BQ$1004,1,MATCH(COLUMNS($AO$1006:BE1006),$AO$1006:$BQ$1006,0)))),"Fix")))</f>
        <v>#N/A</v>
      </c>
      <c r="S945" s="5" t="e">
        <f ca="1">IF(OR(INDEX($AI$2:$AI$1001,MATCH(ROWS($AH$2:AH945),$AH$2:$AH$1001,0),1)&gt;=100000,INDEX($AO$1005:$BQ$1005,1,MATCH(COLUMNS($AO$1006:BF1006),$AO$1006:$BQ$1006,0))&gt;=100000), " ",IF(INDEX($AO$2:$BQ$1001,MATCH(ROWS($AH$2:AH945),$AH$2:$AH$1001,0),MATCH(COLUMNS($AO$1006:BF1006),$AO$1006:$BQ$1006,0)), HYPERLINK("#",""), HYPERLINK(CONCATENATE("#Metadata!", ADDRESS(INDEX($AJ$2:$AJ$1001,MATCH(ROWS($AH$2:AH945),$AH$2:$AH$1001,0),0), INDEX($AO$1004:$BQ$1004,1,MATCH(COLUMNS($AO$1006:BF1006),$AO$1006:$BQ$1006,0)))),"Fix")))</f>
        <v>#N/A</v>
      </c>
      <c r="T945" s="5" t="e">
        <f ca="1">IF(OR(INDEX($AI$2:$AI$1001,MATCH(ROWS($AH$2:AH945),$AH$2:$AH$1001,0),1)&gt;=100000,INDEX($AO$1005:$BQ$1005,1,MATCH(COLUMNS($AO$1006:BG1006),$AO$1006:$BQ$1006,0))&gt;=100000), " ",IF(INDEX($AO$2:$BQ$1001,MATCH(ROWS($AH$2:AH945),$AH$2:$AH$1001,0),MATCH(COLUMNS($AO$1006:BG1006),$AO$1006:$BQ$1006,0)), HYPERLINK("#",""), HYPERLINK(CONCATENATE("#Metadata!", ADDRESS(INDEX($AJ$2:$AJ$1001,MATCH(ROWS($AH$2:AH945),$AH$2:$AH$1001,0),0), INDEX($AO$1004:$BQ$1004,1,MATCH(COLUMNS($AO$1006:BG1006),$AO$1006:$BQ$1006,0)))),"Fix")))</f>
        <v>#N/A</v>
      </c>
      <c r="U945" s="5" t="e">
        <f ca="1">IF(OR(INDEX($AI$2:$AI$1001,MATCH(ROWS($AH$2:AH945),$AH$2:$AH$1001,0),1)&gt;=100000,INDEX($AO$1005:$BQ$1005,1,MATCH(COLUMNS($AO$1006:BH1006),$AO$1006:$BQ$1006,0))&gt;=100000), " ",IF(INDEX($AO$2:$BQ$1001,MATCH(ROWS($AH$2:AH945),$AH$2:$AH$1001,0),MATCH(COLUMNS($AO$1006:BH1006),$AO$1006:$BQ$1006,0)), HYPERLINK("#",""), HYPERLINK(CONCATENATE("#Metadata!", ADDRESS(INDEX($AJ$2:$AJ$1001,MATCH(ROWS($AH$2:AH945),$AH$2:$AH$1001,0),0), INDEX($AO$1004:$BQ$1004,1,MATCH(COLUMNS($AO$1006:BH1006),$AO$1006:$BQ$1006,0)))),"Fix")))</f>
        <v>#N/A</v>
      </c>
      <c r="V945" s="5" t="e">
        <f ca="1">IF(OR(INDEX($AI$2:$AI$1001,MATCH(ROWS($AH$2:AH945),$AH$2:$AH$1001,0),1)&gt;=100000,INDEX($AO$1005:$BQ$1005,1,MATCH(COLUMNS($AO$1006:BI1006),$AO$1006:$BQ$1006,0))&gt;=100000), " ",IF(INDEX($AO$2:$BQ$1001,MATCH(ROWS($AH$2:AH945),$AH$2:$AH$1001,0),MATCH(COLUMNS($AO$1006:BI1006),$AO$1006:$BQ$1006,0)), HYPERLINK("#",""), HYPERLINK(CONCATENATE("#Metadata!", ADDRESS(INDEX($AJ$2:$AJ$1001,MATCH(ROWS($AH$2:AH945),$AH$2:$AH$1001,0),0), INDEX($AO$1004:$BQ$1004,1,MATCH(COLUMNS($AO$1006:BI1006),$AO$1006:$BQ$1006,0)))),"Fix")))</f>
        <v>#N/A</v>
      </c>
      <c r="W945" s="5" t="e">
        <f ca="1">IF(OR(INDEX($AI$2:$AI$1001,MATCH(ROWS($AH$2:AH945),$AH$2:$AH$1001,0),1)&gt;=100000,INDEX($AO$1005:$BQ$1005,1,MATCH(COLUMNS($AO$1006:BJ1006),$AO$1006:$BQ$1006,0))&gt;=100000), " ",IF(INDEX($AO$2:$BQ$1001,MATCH(ROWS($AH$2:AH945),$AH$2:$AH$1001,0),MATCH(COLUMNS($AO$1006:BJ1006),$AO$1006:$BQ$1006,0)), HYPERLINK("#",""), HYPERLINK(CONCATENATE("#Metadata!", ADDRESS(INDEX($AJ$2:$AJ$1001,MATCH(ROWS($AH$2:AH945),$AH$2:$AH$1001,0),0), INDEX($AO$1004:$BQ$1004,1,MATCH(COLUMNS($AO$1006:BJ1006),$AO$1006:$BQ$1006,0)))),"Fix")))</f>
        <v>#N/A</v>
      </c>
      <c r="X945" s="5" t="e">
        <f ca="1">IF(OR(INDEX($AI$2:$AI$1001,MATCH(ROWS($AH$2:AH945),$AH$2:$AH$1001,0),1)&gt;=100000,INDEX($AO$1005:$BQ$1005,1,MATCH(COLUMNS($AO$1006:BK1006),$AO$1006:$BQ$1006,0))&gt;=100000), " ",IF(INDEX($AO$2:$BQ$1001,MATCH(ROWS($AH$2:AH945),$AH$2:$AH$1001,0),MATCH(COLUMNS($AO$1006:BK1006),$AO$1006:$BQ$1006,0)), HYPERLINK("#",""), HYPERLINK(CONCATENATE("#Metadata!", ADDRESS(INDEX($AJ$2:$AJ$1001,MATCH(ROWS($AH$2:AH945),$AH$2:$AH$1001,0),0), INDEX($AO$1004:$BQ$1004,1,MATCH(COLUMNS($AO$1006:BK1006),$AO$1006:$BQ$1006,0)))),"Fix")))</f>
        <v>#N/A</v>
      </c>
      <c r="Y945" s="5" t="e">
        <f ca="1">IF(OR(INDEX($AI$2:$AI$1001,MATCH(ROWS($AH$2:AH945),$AH$2:$AH$1001,0),1)&gt;=100000,INDEX($AO$1005:$BQ$1005,1,MATCH(COLUMNS($AO$1006:BL1006),$AO$1006:$BQ$1006,0))&gt;=100000), " ",IF(INDEX($AO$2:$BQ$1001,MATCH(ROWS($AH$2:AH945),$AH$2:$AH$1001,0),MATCH(COLUMNS($AO$1006:BL1006),$AO$1006:$BQ$1006,0)), HYPERLINK("#",""), HYPERLINK(CONCATENATE("#Metadata!", ADDRESS(INDEX($AJ$2:$AJ$1001,MATCH(ROWS($AH$2:AH945),$AH$2:$AH$1001,0),0), INDEX($AO$1004:$BQ$1004,1,MATCH(COLUMNS($AO$1006:BL1006),$AO$1006:$BQ$1006,0)))),"Fix")))</f>
        <v>#N/A</v>
      </c>
      <c r="Z945" s="5" t="e">
        <f ca="1">IF(OR(INDEX($AI$2:$AI$1001,MATCH(ROWS($AH$2:AH945),$AH$2:$AH$1001,0),1)&gt;=100000,INDEX($AO$1005:$BQ$1005,1,MATCH(COLUMNS($AO$1006:BM1006),$AO$1006:$BQ$1006,0))&gt;=100000), " ",IF(INDEX($AO$2:$BQ$1001,MATCH(ROWS($AH$2:AH945),$AH$2:$AH$1001,0),MATCH(COLUMNS($AO$1006:BM1006),$AO$1006:$BQ$1006,0)), HYPERLINK("#",""), HYPERLINK(CONCATENATE("#Metadata!", ADDRESS(INDEX($AJ$2:$AJ$1001,MATCH(ROWS($AH$2:AH945),$AH$2:$AH$1001,0),0), INDEX($AO$1004:$BQ$1004,1,MATCH(COLUMNS($AO$1006:BM1006),$AO$1006:$BQ$1006,0)))),"Fix")))</f>
        <v>#N/A</v>
      </c>
      <c r="AA945" s="5" t="e">
        <f ca="1">IF(OR(INDEX($AI$2:$AI$1001,MATCH(ROWS($AH$2:AH945),$AH$2:$AH$1001,0),1)&gt;=100000,INDEX($AO$1005:$BQ$1005,1,MATCH(COLUMNS($AO$1006:BN1006),$AO$1006:$BQ$1006,0))&gt;=100000), " ",IF(INDEX($AO$2:$BQ$1001,MATCH(ROWS($AH$2:AH945),$AH$2:$AH$1001,0),MATCH(COLUMNS($AO$1006:BN1006),$AO$1006:$BQ$1006,0)), HYPERLINK("#",""), HYPERLINK(CONCATENATE("#Metadata!", ADDRESS(INDEX($AJ$2:$AJ$1001,MATCH(ROWS($AH$2:AH945),$AH$2:$AH$1001,0),0), INDEX($AO$1004:$BQ$1004,1,MATCH(COLUMNS($AO$1006:BN1006),$AO$1006:$BQ$1006,0)))),"Fix")))</f>
        <v>#N/A</v>
      </c>
      <c r="AB945" s="5" t="e">
        <f ca="1">IF(OR(INDEX($AI$2:$AI$1001,MATCH(ROWS($AH$2:AH945),$AH$2:$AH$1001,0),1)&gt;=100000,INDEX($AO$1005:$BQ$1005,1,MATCH(COLUMNS($AO$1006:BO1006),$AO$1006:$BQ$1006,0))&gt;=100000), " ",IF(INDEX($AO$2:$BQ$1001,MATCH(ROWS($AH$2:AH945),$AH$2:$AH$1001,0),MATCH(COLUMNS($AO$1006:BO1006),$AO$1006:$BQ$1006,0)), HYPERLINK("#",""), HYPERLINK(CONCATENATE("#Metadata!", ADDRESS(INDEX($AJ$2:$AJ$1001,MATCH(ROWS($AH$2:AH945),$AH$2:$AH$1001,0),0), INDEX($AO$1004:$BQ$1004,1,MATCH(COLUMNS($AO$1006:BO1006),$AO$1006:$BQ$1006,0)))),"Fix")))</f>
        <v>#N/A</v>
      </c>
      <c r="AC945" s="5" t="e">
        <f ca="1">IF(OR(INDEX($AI$2:$AI$1001,MATCH(ROWS($AH$2:AH945),$AH$2:$AH$1001,0),1)&gt;=100000,INDEX($AO$1005:$BQ$1005,1,MATCH(COLUMNS($AO$1006:BP1006),$AO$1006:$BQ$1006,0))&gt;=100000), " ",IF(INDEX($AO$2:$BQ$1001,MATCH(ROWS($AH$2:AH945),$AH$2:$AH$1001,0),MATCH(COLUMNS($AO$1006:BP1006),$AO$1006:$BQ$1006,0)), HYPERLINK("#",""), HYPERLINK(CONCATENATE("#Metadata!", ADDRESS(INDEX($AJ$2:$AJ$1001,MATCH(ROWS($AH$2:AH945),$AH$2:$AH$1001,0),0), INDEX($AO$1004:$BQ$1004,1,MATCH(COLUMNS($AO$1006:BP1006),$AO$1006:$BQ$1006,0)))),"Fix")))</f>
        <v>#N/A</v>
      </c>
      <c r="AD945" s="5" t="e">
        <f ca="1">IF(OR(INDEX($AI$2:$AI$1001,MATCH(ROWS($AH$2:AH945),$AH$2:$AH$1001,0),1)&gt;=100000,INDEX($AO$1005:$BQ$1005,1,MATCH(COLUMNS($AO$1006:BQ1006),$AO$1006:$BQ$1006,0))&gt;=100000), " ",IF(INDEX($AO$2:$BQ$1001,MATCH(ROWS($AH$2:AH945),$AH$2:$AH$1001,0),MATCH(COLUMNS($AO$1006:BQ1006),$AO$1006:$BQ$1006,0)), HYPERLINK("#",""), HYPERLINK(CONCATENATE("#Metadata!", ADDRESS(INDEX($AJ$2:$AJ$1001,MATCH(ROWS($AH$2:AH945),$AH$2:$AH$1001,0),0), INDEX($AO$1004:$BQ$1004,1,MATCH(COLUMNS($AO$1006:BQ1006),$AO$1006:$BQ$1006,0)))),"Fix")))</f>
        <v>#REF!</v>
      </c>
      <c r="AH945">
        <f ca="1"/>
        <v>942</v>
      </c>
      <c r="AI945">
        <v>100945</v>
      </c>
      <c r="AJ945">
        <v>945</v>
      </c>
      <c r="AK945" t="b">
        <f t="shared" si="14"/>
        <v>1</v>
      </c>
      <c r="AL945" t="b">
        <f>COUNTBLANK(Metadata!B945:AD945)=COLUMNS(Metadata!B945:AD945)</f>
        <v>1</v>
      </c>
      <c r="AM945" t="str">
        <v/>
      </c>
      <c r="AO945" t="b">
        <f ca="1">AND(IF(Metadata!B945="",FALSE,TRUE),COUNTIF(Metadata!B:B, Metadata!B945) = 1,NOT(ISERROR(SUMPRODUCT(SEARCH(MID(Metadata!B945,ROW(INDIRECT("1:"&amp;LEN(Metadata!B945))), 1),"0123456789abcdefghijklmnopqrstuvwxyzABCDEFGHIJKLMNOPQRSTUVWXYZ.")))))</f>
        <v>0</v>
      </c>
      <c r="AP945" t="b">
        <f>IF(Metadata!C945="",FALSE,TRUE)</f>
        <v>0</v>
      </c>
      <c r="AQ945" t="b">
        <f>IF(Metadata!D945="",FALSE,TRUE)</f>
        <v>0</v>
      </c>
      <c r="AR945" t="b">
        <f ca="1">OR(AND(IF(Metadata!E945="",FALSE,TRUE),OR(EXACT(Metadata!E945,"not collected"),EXACT(Metadata!E945,"not provided"),EXACT(Metadata!E945,"restricted access"))),AND(IF(Metadata!E945="",FALSE,TRUE),AND(AND(IFERROR(INT(LEFT(Metadata!E945,4))&gt;1900,FALSE),IFERROR(INT(LEFT(Metadata!E945,4))&lt;=YEAR(NOW()),FALSE)), OR(MID(Metadata!E945,5,1)="", AND(AND(MID(Metadata!E945,5,1)="-",IFERROR(INT(MID(Metadata!E945,6,1))&gt;=0,FALSE),IFERROR(INT(MID(Metadata!E945,6,1))&lt;=1,FALSE),NOT(MID(Metadata!E945,7,1)=""),IFERROR(INT(MID(Metadata!E945,6,2))&gt;=1,FALSE),IFERROR(INT(MID(Metadata!E945,6,2))&lt;=12,FALSE)), OR(MID(Metadata!E945,8,1)="", AND(AND(MID(Metadata!E945,8,1)="-",IFERROR(INT(MID(Metadata!E945,9,1))&gt;=0,FALSE),IFERROR(INT(MID(Metadata!E945,9,1))&lt;=3,FALSE),NOT(MID(Metadata!E945,10,1)=""),IFERROR(INT(MID(Metadata!E945,9,2))&gt;=1,FALSE),IFERROR(INT(MID(Metadata!E945,9,2))&lt;=31,FALSE)), OR(MID(Metadata!E945,11,1)="", AND(AND(MID(Metadata!E945,11,1)=" ",IFERROR(INT(MID(Metadata!E945,12,1))&gt;=0,FALSE),IFERROR(INT(MID(Metadata!E945,12,1))&lt;=2,FALSE),NOT(MID(Metadata!E945,13,1)=""),IFERROR(INT(MID(Metadata!E945,12,2))&gt;=0,FALSE),IFERROR(INT(MID(Metadata!E945,12,2))&lt;=23,FALSE)), OR(MID(Metadata!E945,14,1)="", AND(AND(MID(Metadata!E945,14,1)=":",IFERROR(INT(MID(Metadata!E945,15,1))&gt;=0,FALSE),IFERROR(INT(MID(Metadata!E945,15,1))&lt;=5,FALSE),NOT(MID(Metadata!E945,16,1)=""),IFERROR(INT(MID(Metadata!E945,15,2))&gt;=0,FALSE),IFERROR(INT(MID(Metadata!E945,15,2))&lt;=59,FALSE)), OR(MID(Metadata!E945,17,1)="", AND(AND(MID(Metadata!E945,17,1)=":",IFERROR(INT(MID(Metadata!E945,18,1))&gt;=0,FALSE),IFERROR(INT(MID(Metadata!E945,18,1))&lt;=5,FALSE),NOT(MID(Metadata!E945,19,1)=""),IFERROR(INT(MID(Metadata!E945,18,2))&gt;=0,FALSE),IFERROR(INT(MID(Metadata!E945,18,2))&lt;=59,FALSE)), LEN(Metadata!E945)&lt;=19)))))))))))))</f>
        <v>0</v>
      </c>
      <c r="AS945" t="b">
        <f>IF(Metadata!F945="",FALSE,TRUE)</f>
        <v>0</v>
      </c>
      <c r="AT945" t="b">
        <f>OR(AND(IF(Metadata!G945="",FALSE,TRUE),OR(EXACT(Metadata!G945,"not collected"),EXACT(Metadata!G945,"not provided"))),AND(IF(Metadata!G945="",FALSE,TRUE),OR(EXACT(Metadata!G945,"TRUE"),EXACT(Metadata!G945,"FALSE"))))</f>
        <v>0</v>
      </c>
      <c r="AU945" t="b">
        <f>OR(AND(IF(Metadata!H945="",FALSE,TRUE),OR(EXACT(Metadata!H945,"not collected"),EXACT(Metadata!H945,"not provided"),EXACT(Metadata!H945,"restricted access"))),AND(IF(Metadata!H945="",FALSE,ISNUMBER(VALUE(Metadata!H945))),Metadata!H945&gt;=-413))</f>
        <v>0</v>
      </c>
      <c r="AV945" t="b">
        <f>AND(IF(Metadata!I945="",FALSE,TRUE),EXACT(Metadata!I945,"meters"))</f>
        <v>0</v>
      </c>
      <c r="AW945" t="b">
        <f>AND(IF(Metadata!J945="",FALSE,TRUE),EXACT(Metadata!J945,"free-living"))</f>
        <v>0</v>
      </c>
      <c r="AX945" t="b">
        <f>AND(IF(Metadata!K945="",FALSE,TRUE),OR(EXACT(Metadata!K945,"saline"),EXACT(Metadata!K945,"non-saline")))</f>
        <v>0</v>
      </c>
      <c r="AY945" t="b">
        <f>AND(IF(Metadata!L945="",FALSE,TRUE),OR(EXACT(Metadata!L945,"sub-surface (non-saline)"),EXACT(Metadata!L945,"surface (non-saline)"),EXACT(Metadata!L945,"water (non-saline)"),EXACT(Metadata!L945,"soil (non-saline)"),EXACT(Metadata!L945,"aerosol (non-saline)"),EXACT(Metadata!L945,"sediment (non-saline)"),EXACT(Metadata!L945,"surface (saline)"),EXACT(Metadata!L945,"water (saline)"),EXACT(Metadata!L945,"hypersaline (saline)"),EXACT(Metadata!L945,"aerosol (saline)"),EXACT(Metadata!L945,"sediment (saline)")))</f>
        <v>0</v>
      </c>
      <c r="AZ945" t="b">
        <f>IF(Metadata!M945="",FALSE,TRUE)</f>
        <v>0</v>
      </c>
      <c r="BA945" t="b">
        <f>IF(Metadata!N945="",FALSE,TRUE)</f>
        <v>0</v>
      </c>
      <c r="BB945" t="b">
        <f>IF(Metadata!O945="",FALSE,TRUE)</f>
        <v>0</v>
      </c>
      <c r="BC945" t="b">
        <f>AND(IF(Metadata!P945="",FALSE,TRUE),OR(EXACT(Metadata!P945,"air"),EXACT(Metadata!P945,"microbial mat/biofilm"),EXACT(Metadata!P945,"misc environment"),EXACT(Metadata!P945,"sediment"),EXACT(Metadata!P945,"soil"),EXACT(Metadata!P945,"wastewater/sludge"),EXACT(Metadata!P945,"water")))</f>
        <v>0</v>
      </c>
      <c r="BD945" t="b">
        <f>IF(Metadata!Q945="",FALSE,TRUE)</f>
        <v>0</v>
      </c>
      <c r="BE945" t="b">
        <f>IF(Metadata!R945="",FALSE,TRUE)</f>
        <v>0</v>
      </c>
      <c r="BF945" t="b">
        <f>OR(AND(IF(Metadata!S945="",FALSE,TRUE),OR(EXACT(Metadata!S945,"not collected"),EXACT(Metadata!S945,"not provided"),EXACT(Metadata!S945,"restricted access"))),AND(IF(Metadata!S945="",FALSE,ISNUMBER(VALUE(Metadata!S945))),Metadata!S945&gt;=-90,Metadata!S945&lt;=90))</f>
        <v>0</v>
      </c>
      <c r="BG945" t="b">
        <f>AND(IF(Metadata!T945="",FALSE,TRUE),EXACT(Metadata!T945,"Decimal degrees"))</f>
        <v>0</v>
      </c>
      <c r="BH945" t="b">
        <f>OR(AND(IF(Metadata!U945="",FALSE,TRUE),OR(EXACT(Metadata!U945,"not applicable"),EXACT(Metadata!U945,"not collected"))),IF(Metadata!U945="",FALSE,TRUE))</f>
        <v>0</v>
      </c>
      <c r="BI945" t="b">
        <f>OR(AND(IF(Metadata!V945="",FALSE,TRUE),OR(EXACT(Metadata!V945,"not collected"),EXACT(Metadata!V945,"not provided"),EXACT(Metadata!V945,"restricted access"))),AND(IF(Metadata!V945="",FALSE,ISNUMBER(VALUE(Metadata!V945))),Metadata!V945&gt;=-180,Metadata!V945&lt;=180))</f>
        <v>0</v>
      </c>
      <c r="BJ945" t="b">
        <f>AND(IF(Metadata!W945="",FALSE,TRUE),EXACT(Metadata!W945,"Decimal degrees"))</f>
        <v>0</v>
      </c>
      <c r="BK945" t="b">
        <f>IF(Metadata!X945="",FALSE,TRUE)</f>
        <v>0</v>
      </c>
      <c r="BL945" t="b">
        <f>OR(AND(IF(Metadata!Y945="",FALSE,TRUE),OR(EXACT(Metadata!Y945,"not collected"),EXACT(Metadata!Y945,"not provided"),EXACT(Metadata!Y945,"restricted access"))),AND(IF(Metadata!Y945="",FALSE,TRUE),OR(EXACT(Metadata!Y945,"TRUE"),EXACT(Metadata!Y945,"FALSE"))))</f>
        <v>0</v>
      </c>
      <c r="BM945" t="b">
        <f>OR(AND(IF(Metadata!Z945="",FALSE,TRUE),EXACT(Metadata!Z945,"not applicable")),AND(IF(Metadata!Z945="",FALSE,TRUE),OR(EXACT(Metadata!Z945,"beer"),EXACT(Metadata!Z945,"cheese"),EXACT(Metadata!Z945,"fresh water"),EXACT(Metadata!Z945,"marine sediment"),EXACT(Metadata!Z945,"sea water"),EXACT(Metadata!Z945,"sediment"),EXACT(Metadata!Z945,"soil"),EXACT(Metadata!Z945,"waste water"))))</f>
        <v>0</v>
      </c>
      <c r="BN945" t="b">
        <f>AND(IF(Metadata!AA945="",FALSE,TRUE),EXACT(Metadata!AA945,"metagenome"))</f>
        <v>0</v>
      </c>
      <c r="BO945" t="b">
        <f>AND(IF(Metadata!AB945="",FALSE,TRUE),EXACT(Metadata!AB945,"256318"))</f>
        <v>0</v>
      </c>
      <c r="BP945" t="b">
        <f>IF(Metadata!AC945="",FALSE,TRUE)</f>
        <v>0</v>
      </c>
      <c r="BQ945" t="b">
        <f>IF(Metadata!AD945="",FALSE,TRUE)</f>
        <v>0</v>
      </c>
    </row>
    <row r="946" spans="1:69" x14ac:dyDescent="0.2">
      <c r="A946" s="4" t="e">
        <f ca="1">IF(B946=" "," ",HYPERLINK(CONCATENATE("#metadata!",ADDRESS(INDEX($AJ$2:$AJ$1001,MATCH(ROWS($AH$2:AH946),$AH$2:$AH$1001,0),0),2)),INDEX($AM$2:$AM$1001,MATCH(ROWS($AH$2:AH946),$AH$2:$AH$1001,0),0)))</f>
        <v>#N/A</v>
      </c>
      <c r="B946" s="5" t="e">
        <f ca="1">IF(OR(INDEX($AI$2:$AI$1001,MATCH(ROWS($AH$2:AH946),$AH$2:$AH$1001,0),1)&gt;=100000,INDEX($AO$1005:$BQ$1005,1,MATCH(COLUMNS($AO$1006:AO1006),$AO$1006:$BQ$1006,0))&gt;=100000), " ",IF(INDEX($AO$2:$BQ$1001,MATCH(ROWS($AH$2:AH946),$AH$2:$AH$1001,0),MATCH(COLUMNS($AO$1006:AO1006),$AO$1006:$BQ$1006,0)), HYPERLINK("#",""), HYPERLINK(CONCATENATE("#Metadata!", ADDRESS(INDEX($AJ$2:$AJ$1001,MATCH(ROWS($AH$2:AH946),$AH$2:$AH$1001,0),0), INDEX($AO$1004:$BQ$1004,1,MATCH(COLUMNS($AO$1006:AO1006),$AO$1006:$BQ$1006,0)))),"Fix")))</f>
        <v>#N/A</v>
      </c>
      <c r="C946" s="5" t="e">
        <f ca="1">IF(OR(INDEX($AI$2:$AI$1001,MATCH(ROWS($AH$2:AH946),$AH$2:$AH$1001,0),1)&gt;=100000,INDEX($AO$1005:$BQ$1005,1,MATCH(COLUMNS($AO$1006:AP1006),$AO$1006:$BQ$1006,0))&gt;=100000), " ",IF(INDEX($AO$2:$BQ$1001,MATCH(ROWS($AH$2:AH946),$AH$2:$AH$1001,0),MATCH(COLUMNS($AO$1006:AP1006),$AO$1006:$BQ$1006,0)), HYPERLINK("#",""), HYPERLINK(CONCATENATE("#Metadata!", ADDRESS(INDEX($AJ$2:$AJ$1001,MATCH(ROWS($AH$2:AH946),$AH$2:$AH$1001,0),0), INDEX($AO$1004:$BQ$1004,1,MATCH(COLUMNS($AO$1006:AP1006),$AO$1006:$BQ$1006,0)))),"Fix")))</f>
        <v>#N/A</v>
      </c>
      <c r="D946" s="5" t="e">
        <f ca="1">IF(OR(INDEX($AI$2:$AI$1001,MATCH(ROWS($AH$2:AH946),$AH$2:$AH$1001,0),1)&gt;=100000,INDEX($AO$1005:$BQ$1005,1,MATCH(COLUMNS($AO$1006:AQ1006),$AO$1006:$BQ$1006,0))&gt;=100000), " ",IF(INDEX($AO$2:$BQ$1001,MATCH(ROWS($AH$2:AH946),$AH$2:$AH$1001,0),MATCH(COLUMNS($AO$1006:AQ1006),$AO$1006:$BQ$1006,0)), HYPERLINK("#",""), HYPERLINK(CONCATENATE("#Metadata!", ADDRESS(INDEX($AJ$2:$AJ$1001,MATCH(ROWS($AH$2:AH946),$AH$2:$AH$1001,0),0), INDEX($AO$1004:$BQ$1004,1,MATCH(COLUMNS($AO$1006:AQ1006),$AO$1006:$BQ$1006,0)))),"Fix")))</f>
        <v>#N/A</v>
      </c>
      <c r="E946" s="5" t="e">
        <f ca="1">IF(OR(INDEX($AI$2:$AI$1001,MATCH(ROWS($AH$2:AH946),$AH$2:$AH$1001,0),1)&gt;=100000,INDEX($AO$1005:$BQ$1005,1,MATCH(COLUMNS($AO$1006:AR1006),$AO$1006:$BQ$1006,0))&gt;=100000), " ",IF(INDEX($AO$2:$BQ$1001,MATCH(ROWS($AH$2:AH946),$AH$2:$AH$1001,0),MATCH(COLUMNS($AO$1006:AR1006),$AO$1006:$BQ$1006,0)), HYPERLINK("#",""), HYPERLINK(CONCATENATE("#Metadata!", ADDRESS(INDEX($AJ$2:$AJ$1001,MATCH(ROWS($AH$2:AH946),$AH$2:$AH$1001,0),0), INDEX($AO$1004:$BQ$1004,1,MATCH(COLUMNS($AO$1006:AR1006),$AO$1006:$BQ$1006,0)))),"Fix")))</f>
        <v>#N/A</v>
      </c>
      <c r="F946" s="5" t="e">
        <f ca="1">IF(OR(INDEX($AI$2:$AI$1001,MATCH(ROWS($AH$2:AH946),$AH$2:$AH$1001,0),1)&gt;=100000,INDEX($AO$1005:$BQ$1005,1,MATCH(COLUMNS($AO$1006:AS1006),$AO$1006:$BQ$1006,0))&gt;=100000), " ",IF(INDEX($AO$2:$BQ$1001,MATCH(ROWS($AH$2:AH946),$AH$2:$AH$1001,0),MATCH(COLUMNS($AO$1006:AS1006),$AO$1006:$BQ$1006,0)), HYPERLINK("#",""), HYPERLINK(CONCATENATE("#Metadata!", ADDRESS(INDEX($AJ$2:$AJ$1001,MATCH(ROWS($AH$2:AH946),$AH$2:$AH$1001,0),0), INDEX($AO$1004:$BQ$1004,1,MATCH(COLUMNS($AO$1006:AS1006),$AO$1006:$BQ$1006,0)))),"Fix")))</f>
        <v>#N/A</v>
      </c>
      <c r="G946" s="5" t="e">
        <f ca="1">IF(OR(INDEX($AI$2:$AI$1001,MATCH(ROWS($AH$2:AH946),$AH$2:$AH$1001,0),1)&gt;=100000,INDEX($AO$1005:$BQ$1005,1,MATCH(COLUMNS($AO$1006:AT1006),$AO$1006:$BQ$1006,0))&gt;=100000), " ",IF(INDEX($AO$2:$BQ$1001,MATCH(ROWS($AH$2:AH946),$AH$2:$AH$1001,0),MATCH(COLUMNS($AO$1006:AT1006),$AO$1006:$BQ$1006,0)), HYPERLINK("#",""), HYPERLINK(CONCATENATE("#Metadata!", ADDRESS(INDEX($AJ$2:$AJ$1001,MATCH(ROWS($AH$2:AH946),$AH$2:$AH$1001,0),0), INDEX($AO$1004:$BQ$1004,1,MATCH(COLUMNS($AO$1006:AT1006),$AO$1006:$BQ$1006,0)))),"Fix")))</f>
        <v>#N/A</v>
      </c>
      <c r="H946" s="5" t="e">
        <f ca="1">IF(OR(INDEX($AI$2:$AI$1001,MATCH(ROWS($AH$2:AH946),$AH$2:$AH$1001,0),1)&gt;=100000,INDEX($AO$1005:$BQ$1005,1,MATCH(COLUMNS($AO$1006:AU1006),$AO$1006:$BQ$1006,0))&gt;=100000), " ",IF(INDEX($AO$2:$BQ$1001,MATCH(ROWS($AH$2:AH946),$AH$2:$AH$1001,0),MATCH(COLUMNS($AO$1006:AU1006),$AO$1006:$BQ$1006,0)), HYPERLINK("#",""), HYPERLINK(CONCATENATE("#Metadata!", ADDRESS(INDEX($AJ$2:$AJ$1001,MATCH(ROWS($AH$2:AH946),$AH$2:$AH$1001,0),0), INDEX($AO$1004:$BQ$1004,1,MATCH(COLUMNS($AO$1006:AU1006),$AO$1006:$BQ$1006,0)))),"Fix")))</f>
        <v>#N/A</v>
      </c>
      <c r="I946" s="5" t="e">
        <f ca="1">IF(OR(INDEX($AI$2:$AI$1001,MATCH(ROWS($AH$2:AH946),$AH$2:$AH$1001,0),1)&gt;=100000,INDEX($AO$1005:$BQ$1005,1,MATCH(COLUMNS($AO$1006:AV1006),$AO$1006:$BQ$1006,0))&gt;=100000), " ",IF(INDEX($AO$2:$BQ$1001,MATCH(ROWS($AH$2:AH946),$AH$2:$AH$1001,0),MATCH(COLUMNS($AO$1006:AV1006),$AO$1006:$BQ$1006,0)), HYPERLINK("#",""), HYPERLINK(CONCATENATE("#Metadata!", ADDRESS(INDEX($AJ$2:$AJ$1001,MATCH(ROWS($AH$2:AH946),$AH$2:$AH$1001,0),0), INDEX($AO$1004:$BQ$1004,1,MATCH(COLUMNS($AO$1006:AV1006),$AO$1006:$BQ$1006,0)))),"Fix")))</f>
        <v>#N/A</v>
      </c>
      <c r="J946" s="5" t="e">
        <f ca="1">IF(OR(INDEX($AI$2:$AI$1001,MATCH(ROWS($AH$2:AH946),$AH$2:$AH$1001,0),1)&gt;=100000,INDEX($AO$1005:$BQ$1005,1,MATCH(COLUMNS($AO$1006:AW1006),$AO$1006:$BQ$1006,0))&gt;=100000), " ",IF(INDEX($AO$2:$BQ$1001,MATCH(ROWS($AH$2:AH946),$AH$2:$AH$1001,0),MATCH(COLUMNS($AO$1006:AW1006),$AO$1006:$BQ$1006,0)), HYPERLINK("#",""), HYPERLINK(CONCATENATE("#Metadata!", ADDRESS(INDEX($AJ$2:$AJ$1001,MATCH(ROWS($AH$2:AH946),$AH$2:$AH$1001,0),0), INDEX($AO$1004:$BQ$1004,1,MATCH(COLUMNS($AO$1006:AW1006),$AO$1006:$BQ$1006,0)))),"Fix")))</f>
        <v>#N/A</v>
      </c>
      <c r="K946" s="5" t="e">
        <f ca="1">IF(OR(INDEX($AI$2:$AI$1001,MATCH(ROWS($AH$2:AH946),$AH$2:$AH$1001,0),1)&gt;=100000,INDEX($AO$1005:$BQ$1005,1,MATCH(COLUMNS($AO$1006:AX1006),$AO$1006:$BQ$1006,0))&gt;=100000), " ",IF(INDEX($AO$2:$BQ$1001,MATCH(ROWS($AH$2:AH946),$AH$2:$AH$1001,0),MATCH(COLUMNS($AO$1006:AX1006),$AO$1006:$BQ$1006,0)), HYPERLINK("#",""), HYPERLINK(CONCATENATE("#Metadata!", ADDRESS(INDEX($AJ$2:$AJ$1001,MATCH(ROWS($AH$2:AH946),$AH$2:$AH$1001,0),0), INDEX($AO$1004:$BQ$1004,1,MATCH(COLUMNS($AO$1006:AX1006),$AO$1006:$BQ$1006,0)))),"Fix")))</f>
        <v>#N/A</v>
      </c>
      <c r="L946" s="5" t="e">
        <f ca="1">IF(OR(INDEX($AI$2:$AI$1001,MATCH(ROWS($AH$2:AH946),$AH$2:$AH$1001,0),1)&gt;=100000,INDEX($AO$1005:$BQ$1005,1,MATCH(COLUMNS($AO$1006:AY1006),$AO$1006:$BQ$1006,0))&gt;=100000), " ",IF(INDEX($AO$2:$BQ$1001,MATCH(ROWS($AH$2:AH946),$AH$2:$AH$1001,0),MATCH(COLUMNS($AO$1006:AY1006),$AO$1006:$BQ$1006,0)), HYPERLINK("#",""), HYPERLINK(CONCATENATE("#Metadata!", ADDRESS(INDEX($AJ$2:$AJ$1001,MATCH(ROWS($AH$2:AH946),$AH$2:$AH$1001,0),0), INDEX($AO$1004:$BQ$1004,1,MATCH(COLUMNS($AO$1006:AY1006),$AO$1006:$BQ$1006,0)))),"Fix")))</f>
        <v>#N/A</v>
      </c>
      <c r="M946" s="5" t="e">
        <f ca="1">IF(OR(INDEX($AI$2:$AI$1001,MATCH(ROWS($AH$2:AH946),$AH$2:$AH$1001,0),1)&gt;=100000,INDEX($AO$1005:$BQ$1005,1,MATCH(COLUMNS($AO$1006:AZ1006),$AO$1006:$BQ$1006,0))&gt;=100000), " ",IF(INDEX($AO$2:$BQ$1001,MATCH(ROWS($AH$2:AH946),$AH$2:$AH$1001,0),MATCH(COLUMNS($AO$1006:AZ1006),$AO$1006:$BQ$1006,0)), HYPERLINK("#",""), HYPERLINK(CONCATENATE("#Metadata!", ADDRESS(INDEX($AJ$2:$AJ$1001,MATCH(ROWS($AH$2:AH946),$AH$2:$AH$1001,0),0), INDEX($AO$1004:$BQ$1004,1,MATCH(COLUMNS($AO$1006:AZ1006),$AO$1006:$BQ$1006,0)))),"Fix")))</f>
        <v>#N/A</v>
      </c>
      <c r="N946" s="5" t="e">
        <f ca="1">IF(OR(INDEX($AI$2:$AI$1001,MATCH(ROWS($AH$2:AH946),$AH$2:$AH$1001,0),1)&gt;=100000,INDEX($AO$1005:$BQ$1005,1,MATCH(COLUMNS($AO$1006:BA1006),$AO$1006:$BQ$1006,0))&gt;=100000), " ",IF(INDEX($AO$2:$BQ$1001,MATCH(ROWS($AH$2:AH946),$AH$2:$AH$1001,0),MATCH(COLUMNS($AO$1006:BA1006),$AO$1006:$BQ$1006,0)), HYPERLINK("#",""), HYPERLINK(CONCATENATE("#Metadata!", ADDRESS(INDEX($AJ$2:$AJ$1001,MATCH(ROWS($AH$2:AH946),$AH$2:$AH$1001,0),0), INDEX($AO$1004:$BQ$1004,1,MATCH(COLUMNS($AO$1006:BA1006),$AO$1006:$BQ$1006,0)))),"Fix")))</f>
        <v>#N/A</v>
      </c>
      <c r="O946" s="5" t="e">
        <f ca="1">IF(OR(INDEX($AI$2:$AI$1001,MATCH(ROWS($AH$2:AH946),$AH$2:$AH$1001,0),1)&gt;=100000,INDEX($AO$1005:$BQ$1005,1,MATCH(COLUMNS($AO$1006:BB1006),$AO$1006:$BQ$1006,0))&gt;=100000), " ",IF(INDEX($AO$2:$BQ$1001,MATCH(ROWS($AH$2:AH946),$AH$2:$AH$1001,0),MATCH(COLUMNS($AO$1006:BB1006),$AO$1006:$BQ$1006,0)), HYPERLINK("#",""), HYPERLINK(CONCATENATE("#Metadata!", ADDRESS(INDEX($AJ$2:$AJ$1001,MATCH(ROWS($AH$2:AH946),$AH$2:$AH$1001,0),0), INDEX($AO$1004:$BQ$1004,1,MATCH(COLUMNS($AO$1006:BB1006),$AO$1006:$BQ$1006,0)))),"Fix")))</f>
        <v>#N/A</v>
      </c>
      <c r="P946" s="5" t="e">
        <f ca="1">IF(OR(INDEX($AI$2:$AI$1001,MATCH(ROWS($AH$2:AH946),$AH$2:$AH$1001,0),1)&gt;=100000,INDEX($AO$1005:$BQ$1005,1,MATCH(COLUMNS($AO$1006:BC1006),$AO$1006:$BQ$1006,0))&gt;=100000), " ",IF(INDEX($AO$2:$BQ$1001,MATCH(ROWS($AH$2:AH946),$AH$2:$AH$1001,0),MATCH(COLUMNS($AO$1006:BC1006),$AO$1006:$BQ$1006,0)), HYPERLINK("#",""), HYPERLINK(CONCATENATE("#Metadata!", ADDRESS(INDEX($AJ$2:$AJ$1001,MATCH(ROWS($AH$2:AH946),$AH$2:$AH$1001,0),0), INDEX($AO$1004:$BQ$1004,1,MATCH(COLUMNS($AO$1006:BC1006),$AO$1006:$BQ$1006,0)))),"Fix")))</f>
        <v>#N/A</v>
      </c>
      <c r="Q946" s="5" t="e">
        <f ca="1">IF(OR(INDEX($AI$2:$AI$1001,MATCH(ROWS($AH$2:AH946),$AH$2:$AH$1001,0),1)&gt;=100000,INDEX($AO$1005:$BQ$1005,1,MATCH(COLUMNS($AO$1006:BD1006),$AO$1006:$BQ$1006,0))&gt;=100000), " ",IF(INDEX($AO$2:$BQ$1001,MATCH(ROWS($AH$2:AH946),$AH$2:$AH$1001,0),MATCH(COLUMNS($AO$1006:BD1006),$AO$1006:$BQ$1006,0)), HYPERLINK("#",""), HYPERLINK(CONCATENATE("#Metadata!", ADDRESS(INDEX($AJ$2:$AJ$1001,MATCH(ROWS($AH$2:AH946),$AH$2:$AH$1001,0),0), INDEX($AO$1004:$BQ$1004,1,MATCH(COLUMNS($AO$1006:BD1006),$AO$1006:$BQ$1006,0)))),"Fix")))</f>
        <v>#N/A</v>
      </c>
      <c r="R946" s="5" t="e">
        <f ca="1">IF(OR(INDEX($AI$2:$AI$1001,MATCH(ROWS($AH$2:AH946),$AH$2:$AH$1001,0),1)&gt;=100000,INDEX($AO$1005:$BQ$1005,1,MATCH(COLUMNS($AO$1006:BE1006),$AO$1006:$BQ$1006,0))&gt;=100000), " ",IF(INDEX($AO$2:$BQ$1001,MATCH(ROWS($AH$2:AH946),$AH$2:$AH$1001,0),MATCH(COLUMNS($AO$1006:BE1006),$AO$1006:$BQ$1006,0)), HYPERLINK("#",""), HYPERLINK(CONCATENATE("#Metadata!", ADDRESS(INDEX($AJ$2:$AJ$1001,MATCH(ROWS($AH$2:AH946),$AH$2:$AH$1001,0),0), INDEX($AO$1004:$BQ$1004,1,MATCH(COLUMNS($AO$1006:BE1006),$AO$1006:$BQ$1006,0)))),"Fix")))</f>
        <v>#N/A</v>
      </c>
      <c r="S946" s="5" t="e">
        <f ca="1">IF(OR(INDEX($AI$2:$AI$1001,MATCH(ROWS($AH$2:AH946),$AH$2:$AH$1001,0),1)&gt;=100000,INDEX($AO$1005:$BQ$1005,1,MATCH(COLUMNS($AO$1006:BF1006),$AO$1006:$BQ$1006,0))&gt;=100000), " ",IF(INDEX($AO$2:$BQ$1001,MATCH(ROWS($AH$2:AH946),$AH$2:$AH$1001,0),MATCH(COLUMNS($AO$1006:BF1006),$AO$1006:$BQ$1006,0)), HYPERLINK("#",""), HYPERLINK(CONCATENATE("#Metadata!", ADDRESS(INDEX($AJ$2:$AJ$1001,MATCH(ROWS($AH$2:AH946),$AH$2:$AH$1001,0),0), INDEX($AO$1004:$BQ$1004,1,MATCH(COLUMNS($AO$1006:BF1006),$AO$1006:$BQ$1006,0)))),"Fix")))</f>
        <v>#N/A</v>
      </c>
      <c r="T946" s="5" t="e">
        <f ca="1">IF(OR(INDEX($AI$2:$AI$1001,MATCH(ROWS($AH$2:AH946),$AH$2:$AH$1001,0),1)&gt;=100000,INDEX($AO$1005:$BQ$1005,1,MATCH(COLUMNS($AO$1006:BG1006),$AO$1006:$BQ$1006,0))&gt;=100000), " ",IF(INDEX($AO$2:$BQ$1001,MATCH(ROWS($AH$2:AH946),$AH$2:$AH$1001,0),MATCH(COLUMNS($AO$1006:BG1006),$AO$1006:$BQ$1006,0)), HYPERLINK("#",""), HYPERLINK(CONCATENATE("#Metadata!", ADDRESS(INDEX($AJ$2:$AJ$1001,MATCH(ROWS($AH$2:AH946),$AH$2:$AH$1001,0),0), INDEX($AO$1004:$BQ$1004,1,MATCH(COLUMNS($AO$1006:BG1006),$AO$1006:$BQ$1006,0)))),"Fix")))</f>
        <v>#N/A</v>
      </c>
      <c r="U946" s="5" t="e">
        <f ca="1">IF(OR(INDEX($AI$2:$AI$1001,MATCH(ROWS($AH$2:AH946),$AH$2:$AH$1001,0),1)&gt;=100000,INDEX($AO$1005:$BQ$1005,1,MATCH(COLUMNS($AO$1006:BH1006),$AO$1006:$BQ$1006,0))&gt;=100000), " ",IF(INDEX($AO$2:$BQ$1001,MATCH(ROWS($AH$2:AH946),$AH$2:$AH$1001,0),MATCH(COLUMNS($AO$1006:BH1006),$AO$1006:$BQ$1006,0)), HYPERLINK("#",""), HYPERLINK(CONCATENATE("#Metadata!", ADDRESS(INDEX($AJ$2:$AJ$1001,MATCH(ROWS($AH$2:AH946),$AH$2:$AH$1001,0),0), INDEX($AO$1004:$BQ$1004,1,MATCH(COLUMNS($AO$1006:BH1006),$AO$1006:$BQ$1006,0)))),"Fix")))</f>
        <v>#N/A</v>
      </c>
      <c r="V946" s="5" t="e">
        <f ca="1">IF(OR(INDEX($AI$2:$AI$1001,MATCH(ROWS($AH$2:AH946),$AH$2:$AH$1001,0),1)&gt;=100000,INDEX($AO$1005:$BQ$1005,1,MATCH(COLUMNS($AO$1006:BI1006),$AO$1006:$BQ$1006,0))&gt;=100000), " ",IF(INDEX($AO$2:$BQ$1001,MATCH(ROWS($AH$2:AH946),$AH$2:$AH$1001,0),MATCH(COLUMNS($AO$1006:BI1006),$AO$1006:$BQ$1006,0)), HYPERLINK("#",""), HYPERLINK(CONCATENATE("#Metadata!", ADDRESS(INDEX($AJ$2:$AJ$1001,MATCH(ROWS($AH$2:AH946),$AH$2:$AH$1001,0),0), INDEX($AO$1004:$BQ$1004,1,MATCH(COLUMNS($AO$1006:BI1006),$AO$1006:$BQ$1006,0)))),"Fix")))</f>
        <v>#N/A</v>
      </c>
      <c r="W946" s="5" t="e">
        <f ca="1">IF(OR(INDEX($AI$2:$AI$1001,MATCH(ROWS($AH$2:AH946),$AH$2:$AH$1001,0),1)&gt;=100000,INDEX($AO$1005:$BQ$1005,1,MATCH(COLUMNS($AO$1006:BJ1006),$AO$1006:$BQ$1006,0))&gt;=100000), " ",IF(INDEX($AO$2:$BQ$1001,MATCH(ROWS($AH$2:AH946),$AH$2:$AH$1001,0),MATCH(COLUMNS($AO$1006:BJ1006),$AO$1006:$BQ$1006,0)), HYPERLINK("#",""), HYPERLINK(CONCATENATE("#Metadata!", ADDRESS(INDEX($AJ$2:$AJ$1001,MATCH(ROWS($AH$2:AH946),$AH$2:$AH$1001,0),0), INDEX($AO$1004:$BQ$1004,1,MATCH(COLUMNS($AO$1006:BJ1006),$AO$1006:$BQ$1006,0)))),"Fix")))</f>
        <v>#N/A</v>
      </c>
      <c r="X946" s="5" t="e">
        <f ca="1">IF(OR(INDEX($AI$2:$AI$1001,MATCH(ROWS($AH$2:AH946),$AH$2:$AH$1001,0),1)&gt;=100000,INDEX($AO$1005:$BQ$1005,1,MATCH(COLUMNS($AO$1006:BK1006),$AO$1006:$BQ$1006,0))&gt;=100000), " ",IF(INDEX($AO$2:$BQ$1001,MATCH(ROWS($AH$2:AH946),$AH$2:$AH$1001,0),MATCH(COLUMNS($AO$1006:BK1006),$AO$1006:$BQ$1006,0)), HYPERLINK("#",""), HYPERLINK(CONCATENATE("#Metadata!", ADDRESS(INDEX($AJ$2:$AJ$1001,MATCH(ROWS($AH$2:AH946),$AH$2:$AH$1001,0),0), INDEX($AO$1004:$BQ$1004,1,MATCH(COLUMNS($AO$1006:BK1006),$AO$1006:$BQ$1006,0)))),"Fix")))</f>
        <v>#N/A</v>
      </c>
      <c r="Y946" s="5" t="e">
        <f ca="1">IF(OR(INDEX($AI$2:$AI$1001,MATCH(ROWS($AH$2:AH946),$AH$2:$AH$1001,0),1)&gt;=100000,INDEX($AO$1005:$BQ$1005,1,MATCH(COLUMNS($AO$1006:BL1006),$AO$1006:$BQ$1006,0))&gt;=100000), " ",IF(INDEX($AO$2:$BQ$1001,MATCH(ROWS($AH$2:AH946),$AH$2:$AH$1001,0),MATCH(COLUMNS($AO$1006:BL1006),$AO$1006:$BQ$1006,0)), HYPERLINK("#",""), HYPERLINK(CONCATENATE("#Metadata!", ADDRESS(INDEX($AJ$2:$AJ$1001,MATCH(ROWS($AH$2:AH946),$AH$2:$AH$1001,0),0), INDEX($AO$1004:$BQ$1004,1,MATCH(COLUMNS($AO$1006:BL1006),$AO$1006:$BQ$1006,0)))),"Fix")))</f>
        <v>#N/A</v>
      </c>
      <c r="Z946" s="5" t="e">
        <f ca="1">IF(OR(INDEX($AI$2:$AI$1001,MATCH(ROWS($AH$2:AH946),$AH$2:$AH$1001,0),1)&gt;=100000,INDEX($AO$1005:$BQ$1005,1,MATCH(COLUMNS($AO$1006:BM1006),$AO$1006:$BQ$1006,0))&gt;=100000), " ",IF(INDEX($AO$2:$BQ$1001,MATCH(ROWS($AH$2:AH946),$AH$2:$AH$1001,0),MATCH(COLUMNS($AO$1006:BM1006),$AO$1006:$BQ$1006,0)), HYPERLINK("#",""), HYPERLINK(CONCATENATE("#Metadata!", ADDRESS(INDEX($AJ$2:$AJ$1001,MATCH(ROWS($AH$2:AH946),$AH$2:$AH$1001,0),0), INDEX($AO$1004:$BQ$1004,1,MATCH(COLUMNS($AO$1006:BM1006),$AO$1006:$BQ$1006,0)))),"Fix")))</f>
        <v>#N/A</v>
      </c>
      <c r="AA946" s="5" t="e">
        <f ca="1">IF(OR(INDEX($AI$2:$AI$1001,MATCH(ROWS($AH$2:AH946),$AH$2:$AH$1001,0),1)&gt;=100000,INDEX($AO$1005:$BQ$1005,1,MATCH(COLUMNS($AO$1006:BN1006),$AO$1006:$BQ$1006,0))&gt;=100000), " ",IF(INDEX($AO$2:$BQ$1001,MATCH(ROWS($AH$2:AH946),$AH$2:$AH$1001,0),MATCH(COLUMNS($AO$1006:BN1006),$AO$1006:$BQ$1006,0)), HYPERLINK("#",""), HYPERLINK(CONCATENATE("#Metadata!", ADDRESS(INDEX($AJ$2:$AJ$1001,MATCH(ROWS($AH$2:AH946),$AH$2:$AH$1001,0),0), INDEX($AO$1004:$BQ$1004,1,MATCH(COLUMNS($AO$1006:BN1006),$AO$1006:$BQ$1006,0)))),"Fix")))</f>
        <v>#N/A</v>
      </c>
      <c r="AB946" s="5" t="e">
        <f ca="1">IF(OR(INDEX($AI$2:$AI$1001,MATCH(ROWS($AH$2:AH946),$AH$2:$AH$1001,0),1)&gt;=100000,INDEX($AO$1005:$BQ$1005,1,MATCH(COLUMNS($AO$1006:BO1006),$AO$1006:$BQ$1006,0))&gt;=100000), " ",IF(INDEX($AO$2:$BQ$1001,MATCH(ROWS($AH$2:AH946),$AH$2:$AH$1001,0),MATCH(COLUMNS($AO$1006:BO1006),$AO$1006:$BQ$1006,0)), HYPERLINK("#",""), HYPERLINK(CONCATENATE("#Metadata!", ADDRESS(INDEX($AJ$2:$AJ$1001,MATCH(ROWS($AH$2:AH946),$AH$2:$AH$1001,0),0), INDEX($AO$1004:$BQ$1004,1,MATCH(COLUMNS($AO$1006:BO1006),$AO$1006:$BQ$1006,0)))),"Fix")))</f>
        <v>#N/A</v>
      </c>
      <c r="AC946" s="5" t="e">
        <f ca="1">IF(OR(INDEX($AI$2:$AI$1001,MATCH(ROWS($AH$2:AH946),$AH$2:$AH$1001,0),1)&gt;=100000,INDEX($AO$1005:$BQ$1005,1,MATCH(COLUMNS($AO$1006:BP1006),$AO$1006:$BQ$1006,0))&gt;=100000), " ",IF(INDEX($AO$2:$BQ$1001,MATCH(ROWS($AH$2:AH946),$AH$2:$AH$1001,0),MATCH(COLUMNS($AO$1006:BP1006),$AO$1006:$BQ$1006,0)), HYPERLINK("#",""), HYPERLINK(CONCATENATE("#Metadata!", ADDRESS(INDEX($AJ$2:$AJ$1001,MATCH(ROWS($AH$2:AH946),$AH$2:$AH$1001,0),0), INDEX($AO$1004:$BQ$1004,1,MATCH(COLUMNS($AO$1006:BP1006),$AO$1006:$BQ$1006,0)))),"Fix")))</f>
        <v>#N/A</v>
      </c>
      <c r="AD946" s="5" t="e">
        <f ca="1">IF(OR(INDEX($AI$2:$AI$1001,MATCH(ROWS($AH$2:AH946),$AH$2:$AH$1001,0),1)&gt;=100000,INDEX($AO$1005:$BQ$1005,1,MATCH(COLUMNS($AO$1006:BQ1006),$AO$1006:$BQ$1006,0))&gt;=100000), " ",IF(INDEX($AO$2:$BQ$1001,MATCH(ROWS($AH$2:AH946),$AH$2:$AH$1001,0),MATCH(COLUMNS($AO$1006:BQ1006),$AO$1006:$BQ$1006,0)), HYPERLINK("#",""), HYPERLINK(CONCATENATE("#Metadata!", ADDRESS(INDEX($AJ$2:$AJ$1001,MATCH(ROWS($AH$2:AH946),$AH$2:$AH$1001,0),0), INDEX($AO$1004:$BQ$1004,1,MATCH(COLUMNS($AO$1006:BQ1006),$AO$1006:$BQ$1006,0)))),"Fix")))</f>
        <v>#REF!</v>
      </c>
      <c r="AH946">
        <f ca="1"/>
        <v>943</v>
      </c>
      <c r="AI946">
        <v>100946</v>
      </c>
      <c r="AJ946">
        <v>946</v>
      </c>
      <c r="AK946" t="b">
        <f t="shared" si="14"/>
        <v>1</v>
      </c>
      <c r="AL946" t="b">
        <f>COUNTBLANK(Metadata!B946:AD946)=COLUMNS(Metadata!B946:AD946)</f>
        <v>1</v>
      </c>
      <c r="AM946" t="str">
        <v/>
      </c>
      <c r="AO946" t="b">
        <f ca="1">AND(IF(Metadata!B946="",FALSE,TRUE),COUNTIF(Metadata!B:B, Metadata!B946) = 1,NOT(ISERROR(SUMPRODUCT(SEARCH(MID(Metadata!B946,ROW(INDIRECT("1:"&amp;LEN(Metadata!B946))), 1),"0123456789abcdefghijklmnopqrstuvwxyzABCDEFGHIJKLMNOPQRSTUVWXYZ.")))))</f>
        <v>0</v>
      </c>
      <c r="AP946" t="b">
        <f>IF(Metadata!C946="",FALSE,TRUE)</f>
        <v>0</v>
      </c>
      <c r="AQ946" t="b">
        <f>IF(Metadata!D946="",FALSE,TRUE)</f>
        <v>0</v>
      </c>
      <c r="AR946" t="b">
        <f ca="1">OR(AND(IF(Metadata!E946="",FALSE,TRUE),OR(EXACT(Metadata!E946,"not collected"),EXACT(Metadata!E946,"not provided"),EXACT(Metadata!E946,"restricted access"))),AND(IF(Metadata!E946="",FALSE,TRUE),AND(AND(IFERROR(INT(LEFT(Metadata!E946,4))&gt;1900,FALSE),IFERROR(INT(LEFT(Metadata!E946,4))&lt;=YEAR(NOW()),FALSE)), OR(MID(Metadata!E946,5,1)="", AND(AND(MID(Metadata!E946,5,1)="-",IFERROR(INT(MID(Metadata!E946,6,1))&gt;=0,FALSE),IFERROR(INT(MID(Metadata!E946,6,1))&lt;=1,FALSE),NOT(MID(Metadata!E946,7,1)=""),IFERROR(INT(MID(Metadata!E946,6,2))&gt;=1,FALSE),IFERROR(INT(MID(Metadata!E946,6,2))&lt;=12,FALSE)), OR(MID(Metadata!E946,8,1)="", AND(AND(MID(Metadata!E946,8,1)="-",IFERROR(INT(MID(Metadata!E946,9,1))&gt;=0,FALSE),IFERROR(INT(MID(Metadata!E946,9,1))&lt;=3,FALSE),NOT(MID(Metadata!E946,10,1)=""),IFERROR(INT(MID(Metadata!E946,9,2))&gt;=1,FALSE),IFERROR(INT(MID(Metadata!E946,9,2))&lt;=31,FALSE)), OR(MID(Metadata!E946,11,1)="", AND(AND(MID(Metadata!E946,11,1)=" ",IFERROR(INT(MID(Metadata!E946,12,1))&gt;=0,FALSE),IFERROR(INT(MID(Metadata!E946,12,1))&lt;=2,FALSE),NOT(MID(Metadata!E946,13,1)=""),IFERROR(INT(MID(Metadata!E946,12,2))&gt;=0,FALSE),IFERROR(INT(MID(Metadata!E946,12,2))&lt;=23,FALSE)), OR(MID(Metadata!E946,14,1)="", AND(AND(MID(Metadata!E946,14,1)=":",IFERROR(INT(MID(Metadata!E946,15,1))&gt;=0,FALSE),IFERROR(INT(MID(Metadata!E946,15,1))&lt;=5,FALSE),NOT(MID(Metadata!E946,16,1)=""),IFERROR(INT(MID(Metadata!E946,15,2))&gt;=0,FALSE),IFERROR(INT(MID(Metadata!E946,15,2))&lt;=59,FALSE)), OR(MID(Metadata!E946,17,1)="", AND(AND(MID(Metadata!E946,17,1)=":",IFERROR(INT(MID(Metadata!E946,18,1))&gt;=0,FALSE),IFERROR(INT(MID(Metadata!E946,18,1))&lt;=5,FALSE),NOT(MID(Metadata!E946,19,1)=""),IFERROR(INT(MID(Metadata!E946,18,2))&gt;=0,FALSE),IFERROR(INT(MID(Metadata!E946,18,2))&lt;=59,FALSE)), LEN(Metadata!E946)&lt;=19)))))))))))))</f>
        <v>0</v>
      </c>
      <c r="AS946" t="b">
        <f>IF(Metadata!F946="",FALSE,TRUE)</f>
        <v>0</v>
      </c>
      <c r="AT946" t="b">
        <f>OR(AND(IF(Metadata!G946="",FALSE,TRUE),OR(EXACT(Metadata!G946,"not collected"),EXACT(Metadata!G946,"not provided"))),AND(IF(Metadata!G946="",FALSE,TRUE),OR(EXACT(Metadata!G946,"TRUE"),EXACT(Metadata!G946,"FALSE"))))</f>
        <v>0</v>
      </c>
      <c r="AU946" t="b">
        <f>OR(AND(IF(Metadata!H946="",FALSE,TRUE),OR(EXACT(Metadata!H946,"not collected"),EXACT(Metadata!H946,"not provided"),EXACT(Metadata!H946,"restricted access"))),AND(IF(Metadata!H946="",FALSE,ISNUMBER(VALUE(Metadata!H946))),Metadata!H946&gt;=-413))</f>
        <v>0</v>
      </c>
      <c r="AV946" t="b">
        <f>AND(IF(Metadata!I946="",FALSE,TRUE),EXACT(Metadata!I946,"meters"))</f>
        <v>0</v>
      </c>
      <c r="AW946" t="b">
        <f>AND(IF(Metadata!J946="",FALSE,TRUE),EXACT(Metadata!J946,"free-living"))</f>
        <v>0</v>
      </c>
      <c r="AX946" t="b">
        <f>AND(IF(Metadata!K946="",FALSE,TRUE),OR(EXACT(Metadata!K946,"saline"),EXACT(Metadata!K946,"non-saline")))</f>
        <v>0</v>
      </c>
      <c r="AY946" t="b">
        <f>AND(IF(Metadata!L946="",FALSE,TRUE),OR(EXACT(Metadata!L946,"sub-surface (non-saline)"),EXACT(Metadata!L946,"surface (non-saline)"),EXACT(Metadata!L946,"water (non-saline)"),EXACT(Metadata!L946,"soil (non-saline)"),EXACT(Metadata!L946,"aerosol (non-saline)"),EXACT(Metadata!L946,"sediment (non-saline)"),EXACT(Metadata!L946,"surface (saline)"),EXACT(Metadata!L946,"water (saline)"),EXACT(Metadata!L946,"hypersaline (saline)"),EXACT(Metadata!L946,"aerosol (saline)"),EXACT(Metadata!L946,"sediment (saline)")))</f>
        <v>0</v>
      </c>
      <c r="AZ946" t="b">
        <f>IF(Metadata!M946="",FALSE,TRUE)</f>
        <v>0</v>
      </c>
      <c r="BA946" t="b">
        <f>IF(Metadata!N946="",FALSE,TRUE)</f>
        <v>0</v>
      </c>
      <c r="BB946" t="b">
        <f>IF(Metadata!O946="",FALSE,TRUE)</f>
        <v>0</v>
      </c>
      <c r="BC946" t="b">
        <f>AND(IF(Metadata!P946="",FALSE,TRUE),OR(EXACT(Metadata!P946,"air"),EXACT(Metadata!P946,"microbial mat/biofilm"),EXACT(Metadata!P946,"misc environment"),EXACT(Metadata!P946,"sediment"),EXACT(Metadata!P946,"soil"),EXACT(Metadata!P946,"wastewater/sludge"),EXACT(Metadata!P946,"water")))</f>
        <v>0</v>
      </c>
      <c r="BD946" t="b">
        <f>IF(Metadata!Q946="",FALSE,TRUE)</f>
        <v>0</v>
      </c>
      <c r="BE946" t="b">
        <f>IF(Metadata!R946="",FALSE,TRUE)</f>
        <v>0</v>
      </c>
      <c r="BF946" t="b">
        <f>OR(AND(IF(Metadata!S946="",FALSE,TRUE),OR(EXACT(Metadata!S946,"not collected"),EXACT(Metadata!S946,"not provided"),EXACT(Metadata!S946,"restricted access"))),AND(IF(Metadata!S946="",FALSE,ISNUMBER(VALUE(Metadata!S946))),Metadata!S946&gt;=-90,Metadata!S946&lt;=90))</f>
        <v>0</v>
      </c>
      <c r="BG946" t="b">
        <f>AND(IF(Metadata!T946="",FALSE,TRUE),EXACT(Metadata!T946,"Decimal degrees"))</f>
        <v>0</v>
      </c>
      <c r="BH946" t="b">
        <f>OR(AND(IF(Metadata!U946="",FALSE,TRUE),OR(EXACT(Metadata!U946,"not applicable"),EXACT(Metadata!U946,"not collected"))),IF(Metadata!U946="",FALSE,TRUE))</f>
        <v>0</v>
      </c>
      <c r="BI946" t="b">
        <f>OR(AND(IF(Metadata!V946="",FALSE,TRUE),OR(EXACT(Metadata!V946,"not collected"),EXACT(Metadata!V946,"not provided"),EXACT(Metadata!V946,"restricted access"))),AND(IF(Metadata!V946="",FALSE,ISNUMBER(VALUE(Metadata!V946))),Metadata!V946&gt;=-180,Metadata!V946&lt;=180))</f>
        <v>0</v>
      </c>
      <c r="BJ946" t="b">
        <f>AND(IF(Metadata!W946="",FALSE,TRUE),EXACT(Metadata!W946,"Decimal degrees"))</f>
        <v>0</v>
      </c>
      <c r="BK946" t="b">
        <f>IF(Metadata!X946="",FALSE,TRUE)</f>
        <v>0</v>
      </c>
      <c r="BL946" t="b">
        <f>OR(AND(IF(Metadata!Y946="",FALSE,TRUE),OR(EXACT(Metadata!Y946,"not collected"),EXACT(Metadata!Y946,"not provided"),EXACT(Metadata!Y946,"restricted access"))),AND(IF(Metadata!Y946="",FALSE,TRUE),OR(EXACT(Metadata!Y946,"TRUE"),EXACT(Metadata!Y946,"FALSE"))))</f>
        <v>0</v>
      </c>
      <c r="BM946" t="b">
        <f>OR(AND(IF(Metadata!Z946="",FALSE,TRUE),EXACT(Metadata!Z946,"not applicable")),AND(IF(Metadata!Z946="",FALSE,TRUE),OR(EXACT(Metadata!Z946,"beer"),EXACT(Metadata!Z946,"cheese"),EXACT(Metadata!Z946,"fresh water"),EXACT(Metadata!Z946,"marine sediment"),EXACT(Metadata!Z946,"sea water"),EXACT(Metadata!Z946,"sediment"),EXACT(Metadata!Z946,"soil"),EXACT(Metadata!Z946,"waste water"))))</f>
        <v>0</v>
      </c>
      <c r="BN946" t="b">
        <f>AND(IF(Metadata!AA946="",FALSE,TRUE),EXACT(Metadata!AA946,"metagenome"))</f>
        <v>0</v>
      </c>
      <c r="BO946" t="b">
        <f>AND(IF(Metadata!AB946="",FALSE,TRUE),EXACT(Metadata!AB946,"256318"))</f>
        <v>0</v>
      </c>
      <c r="BP946" t="b">
        <f>IF(Metadata!AC946="",FALSE,TRUE)</f>
        <v>0</v>
      </c>
      <c r="BQ946" t="b">
        <f>IF(Metadata!AD946="",FALSE,TRUE)</f>
        <v>0</v>
      </c>
    </row>
    <row r="947" spans="1:69" x14ac:dyDescent="0.2">
      <c r="A947" s="4" t="e">
        <f ca="1">IF(B947=" "," ",HYPERLINK(CONCATENATE("#metadata!",ADDRESS(INDEX($AJ$2:$AJ$1001,MATCH(ROWS($AH$2:AH947),$AH$2:$AH$1001,0),0),2)),INDEX($AM$2:$AM$1001,MATCH(ROWS($AH$2:AH947),$AH$2:$AH$1001,0),0)))</f>
        <v>#N/A</v>
      </c>
      <c r="B947" s="5" t="e">
        <f ca="1">IF(OR(INDEX($AI$2:$AI$1001,MATCH(ROWS($AH$2:AH947),$AH$2:$AH$1001,0),1)&gt;=100000,INDEX($AO$1005:$BQ$1005,1,MATCH(COLUMNS($AO$1006:AO1006),$AO$1006:$BQ$1006,0))&gt;=100000), " ",IF(INDEX($AO$2:$BQ$1001,MATCH(ROWS($AH$2:AH947),$AH$2:$AH$1001,0),MATCH(COLUMNS($AO$1006:AO1006),$AO$1006:$BQ$1006,0)), HYPERLINK("#",""), HYPERLINK(CONCATENATE("#Metadata!", ADDRESS(INDEX($AJ$2:$AJ$1001,MATCH(ROWS($AH$2:AH947),$AH$2:$AH$1001,0),0), INDEX($AO$1004:$BQ$1004,1,MATCH(COLUMNS($AO$1006:AO1006),$AO$1006:$BQ$1006,0)))),"Fix")))</f>
        <v>#N/A</v>
      </c>
      <c r="C947" s="5" t="e">
        <f ca="1">IF(OR(INDEX($AI$2:$AI$1001,MATCH(ROWS($AH$2:AH947),$AH$2:$AH$1001,0),1)&gt;=100000,INDEX($AO$1005:$BQ$1005,1,MATCH(COLUMNS($AO$1006:AP1006),$AO$1006:$BQ$1006,0))&gt;=100000), " ",IF(INDEX($AO$2:$BQ$1001,MATCH(ROWS($AH$2:AH947),$AH$2:$AH$1001,0),MATCH(COLUMNS($AO$1006:AP1006),$AO$1006:$BQ$1006,0)), HYPERLINK("#",""), HYPERLINK(CONCATENATE("#Metadata!", ADDRESS(INDEX($AJ$2:$AJ$1001,MATCH(ROWS($AH$2:AH947),$AH$2:$AH$1001,0),0), INDEX($AO$1004:$BQ$1004,1,MATCH(COLUMNS($AO$1006:AP1006),$AO$1006:$BQ$1006,0)))),"Fix")))</f>
        <v>#N/A</v>
      </c>
      <c r="D947" s="5" t="e">
        <f ca="1">IF(OR(INDEX($AI$2:$AI$1001,MATCH(ROWS($AH$2:AH947),$AH$2:$AH$1001,0),1)&gt;=100000,INDEX($AO$1005:$BQ$1005,1,MATCH(COLUMNS($AO$1006:AQ1006),$AO$1006:$BQ$1006,0))&gt;=100000), " ",IF(INDEX($AO$2:$BQ$1001,MATCH(ROWS($AH$2:AH947),$AH$2:$AH$1001,0),MATCH(COLUMNS($AO$1006:AQ1006),$AO$1006:$BQ$1006,0)), HYPERLINK("#",""), HYPERLINK(CONCATENATE("#Metadata!", ADDRESS(INDEX($AJ$2:$AJ$1001,MATCH(ROWS($AH$2:AH947),$AH$2:$AH$1001,0),0), INDEX($AO$1004:$BQ$1004,1,MATCH(COLUMNS($AO$1006:AQ1006),$AO$1006:$BQ$1006,0)))),"Fix")))</f>
        <v>#N/A</v>
      </c>
      <c r="E947" s="5" t="e">
        <f ca="1">IF(OR(INDEX($AI$2:$AI$1001,MATCH(ROWS($AH$2:AH947),$AH$2:$AH$1001,0),1)&gt;=100000,INDEX($AO$1005:$BQ$1005,1,MATCH(COLUMNS($AO$1006:AR1006),$AO$1006:$BQ$1006,0))&gt;=100000), " ",IF(INDEX($AO$2:$BQ$1001,MATCH(ROWS($AH$2:AH947),$AH$2:$AH$1001,0),MATCH(COLUMNS($AO$1006:AR1006),$AO$1006:$BQ$1006,0)), HYPERLINK("#",""), HYPERLINK(CONCATENATE("#Metadata!", ADDRESS(INDEX($AJ$2:$AJ$1001,MATCH(ROWS($AH$2:AH947),$AH$2:$AH$1001,0),0), INDEX($AO$1004:$BQ$1004,1,MATCH(COLUMNS($AO$1006:AR1006),$AO$1006:$BQ$1006,0)))),"Fix")))</f>
        <v>#N/A</v>
      </c>
      <c r="F947" s="5" t="e">
        <f ca="1">IF(OR(INDEX($AI$2:$AI$1001,MATCH(ROWS($AH$2:AH947),$AH$2:$AH$1001,0),1)&gt;=100000,INDEX($AO$1005:$BQ$1005,1,MATCH(COLUMNS($AO$1006:AS1006),$AO$1006:$BQ$1006,0))&gt;=100000), " ",IF(INDEX($AO$2:$BQ$1001,MATCH(ROWS($AH$2:AH947),$AH$2:$AH$1001,0),MATCH(COLUMNS($AO$1006:AS1006),$AO$1006:$BQ$1006,0)), HYPERLINK("#",""), HYPERLINK(CONCATENATE("#Metadata!", ADDRESS(INDEX($AJ$2:$AJ$1001,MATCH(ROWS($AH$2:AH947),$AH$2:$AH$1001,0),0), INDEX($AO$1004:$BQ$1004,1,MATCH(COLUMNS($AO$1006:AS1006),$AO$1006:$BQ$1006,0)))),"Fix")))</f>
        <v>#N/A</v>
      </c>
      <c r="G947" s="5" t="e">
        <f ca="1">IF(OR(INDEX($AI$2:$AI$1001,MATCH(ROWS($AH$2:AH947),$AH$2:$AH$1001,0),1)&gt;=100000,INDEX($AO$1005:$BQ$1005,1,MATCH(COLUMNS($AO$1006:AT1006),$AO$1006:$BQ$1006,0))&gt;=100000), " ",IF(INDEX($AO$2:$BQ$1001,MATCH(ROWS($AH$2:AH947),$AH$2:$AH$1001,0),MATCH(COLUMNS($AO$1006:AT1006),$AO$1006:$BQ$1006,0)), HYPERLINK("#",""), HYPERLINK(CONCATENATE("#Metadata!", ADDRESS(INDEX($AJ$2:$AJ$1001,MATCH(ROWS($AH$2:AH947),$AH$2:$AH$1001,0),0), INDEX($AO$1004:$BQ$1004,1,MATCH(COLUMNS($AO$1006:AT1006),$AO$1006:$BQ$1006,0)))),"Fix")))</f>
        <v>#N/A</v>
      </c>
      <c r="H947" s="5" t="e">
        <f ca="1">IF(OR(INDEX($AI$2:$AI$1001,MATCH(ROWS($AH$2:AH947),$AH$2:$AH$1001,0),1)&gt;=100000,INDEX($AO$1005:$BQ$1005,1,MATCH(COLUMNS($AO$1006:AU1006),$AO$1006:$BQ$1006,0))&gt;=100000), " ",IF(INDEX($AO$2:$BQ$1001,MATCH(ROWS($AH$2:AH947),$AH$2:$AH$1001,0),MATCH(COLUMNS($AO$1006:AU1006),$AO$1006:$BQ$1006,0)), HYPERLINK("#",""), HYPERLINK(CONCATENATE("#Metadata!", ADDRESS(INDEX($AJ$2:$AJ$1001,MATCH(ROWS($AH$2:AH947),$AH$2:$AH$1001,0),0), INDEX($AO$1004:$BQ$1004,1,MATCH(COLUMNS($AO$1006:AU1006),$AO$1006:$BQ$1006,0)))),"Fix")))</f>
        <v>#N/A</v>
      </c>
      <c r="I947" s="5" t="e">
        <f ca="1">IF(OR(INDEX($AI$2:$AI$1001,MATCH(ROWS($AH$2:AH947),$AH$2:$AH$1001,0),1)&gt;=100000,INDEX($AO$1005:$BQ$1005,1,MATCH(COLUMNS($AO$1006:AV1006),$AO$1006:$BQ$1006,0))&gt;=100000), " ",IF(INDEX($AO$2:$BQ$1001,MATCH(ROWS($AH$2:AH947),$AH$2:$AH$1001,0),MATCH(COLUMNS($AO$1006:AV1006),$AO$1006:$BQ$1006,0)), HYPERLINK("#",""), HYPERLINK(CONCATENATE("#Metadata!", ADDRESS(INDEX($AJ$2:$AJ$1001,MATCH(ROWS($AH$2:AH947),$AH$2:$AH$1001,0),0), INDEX($AO$1004:$BQ$1004,1,MATCH(COLUMNS($AO$1006:AV1006),$AO$1006:$BQ$1006,0)))),"Fix")))</f>
        <v>#N/A</v>
      </c>
      <c r="J947" s="5" t="e">
        <f ca="1">IF(OR(INDEX($AI$2:$AI$1001,MATCH(ROWS($AH$2:AH947),$AH$2:$AH$1001,0),1)&gt;=100000,INDEX($AO$1005:$BQ$1005,1,MATCH(COLUMNS($AO$1006:AW1006),$AO$1006:$BQ$1006,0))&gt;=100000), " ",IF(INDEX($AO$2:$BQ$1001,MATCH(ROWS($AH$2:AH947),$AH$2:$AH$1001,0),MATCH(COLUMNS($AO$1006:AW1006),$AO$1006:$BQ$1006,0)), HYPERLINK("#",""), HYPERLINK(CONCATENATE("#Metadata!", ADDRESS(INDEX($AJ$2:$AJ$1001,MATCH(ROWS($AH$2:AH947),$AH$2:$AH$1001,0),0), INDEX($AO$1004:$BQ$1004,1,MATCH(COLUMNS($AO$1006:AW1006),$AO$1006:$BQ$1006,0)))),"Fix")))</f>
        <v>#N/A</v>
      </c>
      <c r="K947" s="5" t="e">
        <f ca="1">IF(OR(INDEX($AI$2:$AI$1001,MATCH(ROWS($AH$2:AH947),$AH$2:$AH$1001,0),1)&gt;=100000,INDEX($AO$1005:$BQ$1005,1,MATCH(COLUMNS($AO$1006:AX1006),$AO$1006:$BQ$1006,0))&gt;=100000), " ",IF(INDEX($AO$2:$BQ$1001,MATCH(ROWS($AH$2:AH947),$AH$2:$AH$1001,0),MATCH(COLUMNS($AO$1006:AX1006),$AO$1006:$BQ$1006,0)), HYPERLINK("#",""), HYPERLINK(CONCATENATE("#Metadata!", ADDRESS(INDEX($AJ$2:$AJ$1001,MATCH(ROWS($AH$2:AH947),$AH$2:$AH$1001,0),0), INDEX($AO$1004:$BQ$1004,1,MATCH(COLUMNS($AO$1006:AX1006),$AO$1006:$BQ$1006,0)))),"Fix")))</f>
        <v>#N/A</v>
      </c>
      <c r="L947" s="5" t="e">
        <f ca="1">IF(OR(INDEX($AI$2:$AI$1001,MATCH(ROWS($AH$2:AH947),$AH$2:$AH$1001,0),1)&gt;=100000,INDEX($AO$1005:$BQ$1005,1,MATCH(COLUMNS($AO$1006:AY1006),$AO$1006:$BQ$1006,0))&gt;=100000), " ",IF(INDEX($AO$2:$BQ$1001,MATCH(ROWS($AH$2:AH947),$AH$2:$AH$1001,0),MATCH(COLUMNS($AO$1006:AY1006),$AO$1006:$BQ$1006,0)), HYPERLINK("#",""), HYPERLINK(CONCATENATE("#Metadata!", ADDRESS(INDEX($AJ$2:$AJ$1001,MATCH(ROWS($AH$2:AH947),$AH$2:$AH$1001,0),0), INDEX($AO$1004:$BQ$1004,1,MATCH(COLUMNS($AO$1006:AY1006),$AO$1006:$BQ$1006,0)))),"Fix")))</f>
        <v>#N/A</v>
      </c>
      <c r="M947" s="5" t="e">
        <f ca="1">IF(OR(INDEX($AI$2:$AI$1001,MATCH(ROWS($AH$2:AH947),$AH$2:$AH$1001,0),1)&gt;=100000,INDEX($AO$1005:$BQ$1005,1,MATCH(COLUMNS($AO$1006:AZ1006),$AO$1006:$BQ$1006,0))&gt;=100000), " ",IF(INDEX($AO$2:$BQ$1001,MATCH(ROWS($AH$2:AH947),$AH$2:$AH$1001,0),MATCH(COLUMNS($AO$1006:AZ1006),$AO$1006:$BQ$1006,0)), HYPERLINK("#",""), HYPERLINK(CONCATENATE("#Metadata!", ADDRESS(INDEX($AJ$2:$AJ$1001,MATCH(ROWS($AH$2:AH947),$AH$2:$AH$1001,0),0), INDEX($AO$1004:$BQ$1004,1,MATCH(COLUMNS($AO$1006:AZ1006),$AO$1006:$BQ$1006,0)))),"Fix")))</f>
        <v>#N/A</v>
      </c>
      <c r="N947" s="5" t="e">
        <f ca="1">IF(OR(INDEX($AI$2:$AI$1001,MATCH(ROWS($AH$2:AH947),$AH$2:$AH$1001,0),1)&gt;=100000,INDEX($AO$1005:$BQ$1005,1,MATCH(COLUMNS($AO$1006:BA1006),$AO$1006:$BQ$1006,0))&gt;=100000), " ",IF(INDEX($AO$2:$BQ$1001,MATCH(ROWS($AH$2:AH947),$AH$2:$AH$1001,0),MATCH(COLUMNS($AO$1006:BA1006),$AO$1006:$BQ$1006,0)), HYPERLINK("#",""), HYPERLINK(CONCATENATE("#Metadata!", ADDRESS(INDEX($AJ$2:$AJ$1001,MATCH(ROWS($AH$2:AH947),$AH$2:$AH$1001,0),0), INDEX($AO$1004:$BQ$1004,1,MATCH(COLUMNS($AO$1006:BA1006),$AO$1006:$BQ$1006,0)))),"Fix")))</f>
        <v>#N/A</v>
      </c>
      <c r="O947" s="5" t="e">
        <f ca="1">IF(OR(INDEX($AI$2:$AI$1001,MATCH(ROWS($AH$2:AH947),$AH$2:$AH$1001,0),1)&gt;=100000,INDEX($AO$1005:$BQ$1005,1,MATCH(COLUMNS($AO$1006:BB1006),$AO$1006:$BQ$1006,0))&gt;=100000), " ",IF(INDEX($AO$2:$BQ$1001,MATCH(ROWS($AH$2:AH947),$AH$2:$AH$1001,0),MATCH(COLUMNS($AO$1006:BB1006),$AO$1006:$BQ$1006,0)), HYPERLINK("#",""), HYPERLINK(CONCATENATE("#Metadata!", ADDRESS(INDEX($AJ$2:$AJ$1001,MATCH(ROWS($AH$2:AH947),$AH$2:$AH$1001,0),0), INDEX($AO$1004:$BQ$1004,1,MATCH(COLUMNS($AO$1006:BB1006),$AO$1006:$BQ$1006,0)))),"Fix")))</f>
        <v>#N/A</v>
      </c>
      <c r="P947" s="5" t="e">
        <f ca="1">IF(OR(INDEX($AI$2:$AI$1001,MATCH(ROWS($AH$2:AH947),$AH$2:$AH$1001,0),1)&gt;=100000,INDEX($AO$1005:$BQ$1005,1,MATCH(COLUMNS($AO$1006:BC1006),$AO$1006:$BQ$1006,0))&gt;=100000), " ",IF(INDEX($AO$2:$BQ$1001,MATCH(ROWS($AH$2:AH947),$AH$2:$AH$1001,0),MATCH(COLUMNS($AO$1006:BC1006),$AO$1006:$BQ$1006,0)), HYPERLINK("#",""), HYPERLINK(CONCATENATE("#Metadata!", ADDRESS(INDEX($AJ$2:$AJ$1001,MATCH(ROWS($AH$2:AH947),$AH$2:$AH$1001,0),0), INDEX($AO$1004:$BQ$1004,1,MATCH(COLUMNS($AO$1006:BC1006),$AO$1006:$BQ$1006,0)))),"Fix")))</f>
        <v>#N/A</v>
      </c>
      <c r="Q947" s="5" t="e">
        <f ca="1">IF(OR(INDEX($AI$2:$AI$1001,MATCH(ROWS($AH$2:AH947),$AH$2:$AH$1001,0),1)&gt;=100000,INDEX($AO$1005:$BQ$1005,1,MATCH(COLUMNS($AO$1006:BD1006),$AO$1006:$BQ$1006,0))&gt;=100000), " ",IF(INDEX($AO$2:$BQ$1001,MATCH(ROWS($AH$2:AH947),$AH$2:$AH$1001,0),MATCH(COLUMNS($AO$1006:BD1006),$AO$1006:$BQ$1006,0)), HYPERLINK("#",""), HYPERLINK(CONCATENATE("#Metadata!", ADDRESS(INDEX($AJ$2:$AJ$1001,MATCH(ROWS($AH$2:AH947),$AH$2:$AH$1001,0),0), INDEX($AO$1004:$BQ$1004,1,MATCH(COLUMNS($AO$1006:BD1006),$AO$1006:$BQ$1006,0)))),"Fix")))</f>
        <v>#N/A</v>
      </c>
      <c r="R947" s="5" t="e">
        <f ca="1">IF(OR(INDEX($AI$2:$AI$1001,MATCH(ROWS($AH$2:AH947),$AH$2:$AH$1001,0),1)&gt;=100000,INDEX($AO$1005:$BQ$1005,1,MATCH(COLUMNS($AO$1006:BE1006),$AO$1006:$BQ$1006,0))&gt;=100000), " ",IF(INDEX($AO$2:$BQ$1001,MATCH(ROWS($AH$2:AH947),$AH$2:$AH$1001,0),MATCH(COLUMNS($AO$1006:BE1006),$AO$1006:$BQ$1006,0)), HYPERLINK("#",""), HYPERLINK(CONCATENATE("#Metadata!", ADDRESS(INDEX($AJ$2:$AJ$1001,MATCH(ROWS($AH$2:AH947),$AH$2:$AH$1001,0),0), INDEX($AO$1004:$BQ$1004,1,MATCH(COLUMNS($AO$1006:BE1006),$AO$1006:$BQ$1006,0)))),"Fix")))</f>
        <v>#N/A</v>
      </c>
      <c r="S947" s="5" t="e">
        <f ca="1">IF(OR(INDEX($AI$2:$AI$1001,MATCH(ROWS($AH$2:AH947),$AH$2:$AH$1001,0),1)&gt;=100000,INDEX($AO$1005:$BQ$1005,1,MATCH(COLUMNS($AO$1006:BF1006),$AO$1006:$BQ$1006,0))&gt;=100000), " ",IF(INDEX($AO$2:$BQ$1001,MATCH(ROWS($AH$2:AH947),$AH$2:$AH$1001,0),MATCH(COLUMNS($AO$1006:BF1006),$AO$1006:$BQ$1006,0)), HYPERLINK("#",""), HYPERLINK(CONCATENATE("#Metadata!", ADDRESS(INDEX($AJ$2:$AJ$1001,MATCH(ROWS($AH$2:AH947),$AH$2:$AH$1001,0),0), INDEX($AO$1004:$BQ$1004,1,MATCH(COLUMNS($AO$1006:BF1006),$AO$1006:$BQ$1006,0)))),"Fix")))</f>
        <v>#N/A</v>
      </c>
      <c r="T947" s="5" t="e">
        <f ca="1">IF(OR(INDEX($AI$2:$AI$1001,MATCH(ROWS($AH$2:AH947),$AH$2:$AH$1001,0),1)&gt;=100000,INDEX($AO$1005:$BQ$1005,1,MATCH(COLUMNS($AO$1006:BG1006),$AO$1006:$BQ$1006,0))&gt;=100000), " ",IF(INDEX($AO$2:$BQ$1001,MATCH(ROWS($AH$2:AH947),$AH$2:$AH$1001,0),MATCH(COLUMNS($AO$1006:BG1006),$AO$1006:$BQ$1006,0)), HYPERLINK("#",""), HYPERLINK(CONCATENATE("#Metadata!", ADDRESS(INDEX($AJ$2:$AJ$1001,MATCH(ROWS($AH$2:AH947),$AH$2:$AH$1001,0),0), INDEX($AO$1004:$BQ$1004,1,MATCH(COLUMNS($AO$1006:BG1006),$AO$1006:$BQ$1006,0)))),"Fix")))</f>
        <v>#N/A</v>
      </c>
      <c r="U947" s="5" t="e">
        <f ca="1">IF(OR(INDEX($AI$2:$AI$1001,MATCH(ROWS($AH$2:AH947),$AH$2:$AH$1001,0),1)&gt;=100000,INDEX($AO$1005:$BQ$1005,1,MATCH(COLUMNS($AO$1006:BH1006),$AO$1006:$BQ$1006,0))&gt;=100000), " ",IF(INDEX($AO$2:$BQ$1001,MATCH(ROWS($AH$2:AH947),$AH$2:$AH$1001,0),MATCH(COLUMNS($AO$1006:BH1006),$AO$1006:$BQ$1006,0)), HYPERLINK("#",""), HYPERLINK(CONCATENATE("#Metadata!", ADDRESS(INDEX($AJ$2:$AJ$1001,MATCH(ROWS($AH$2:AH947),$AH$2:$AH$1001,0),0), INDEX($AO$1004:$BQ$1004,1,MATCH(COLUMNS($AO$1006:BH1006),$AO$1006:$BQ$1006,0)))),"Fix")))</f>
        <v>#N/A</v>
      </c>
      <c r="V947" s="5" t="e">
        <f ca="1">IF(OR(INDEX($AI$2:$AI$1001,MATCH(ROWS($AH$2:AH947),$AH$2:$AH$1001,0),1)&gt;=100000,INDEX($AO$1005:$BQ$1005,1,MATCH(COLUMNS($AO$1006:BI1006),$AO$1006:$BQ$1006,0))&gt;=100000), " ",IF(INDEX($AO$2:$BQ$1001,MATCH(ROWS($AH$2:AH947),$AH$2:$AH$1001,0),MATCH(COLUMNS($AO$1006:BI1006),$AO$1006:$BQ$1006,0)), HYPERLINK("#",""), HYPERLINK(CONCATENATE("#Metadata!", ADDRESS(INDEX($AJ$2:$AJ$1001,MATCH(ROWS($AH$2:AH947),$AH$2:$AH$1001,0),0), INDEX($AO$1004:$BQ$1004,1,MATCH(COLUMNS($AO$1006:BI1006),$AO$1006:$BQ$1006,0)))),"Fix")))</f>
        <v>#N/A</v>
      </c>
      <c r="W947" s="5" t="e">
        <f ca="1">IF(OR(INDEX($AI$2:$AI$1001,MATCH(ROWS($AH$2:AH947),$AH$2:$AH$1001,0),1)&gt;=100000,INDEX($AO$1005:$BQ$1005,1,MATCH(COLUMNS($AO$1006:BJ1006),$AO$1006:$BQ$1006,0))&gt;=100000), " ",IF(INDEX($AO$2:$BQ$1001,MATCH(ROWS($AH$2:AH947),$AH$2:$AH$1001,0),MATCH(COLUMNS($AO$1006:BJ1006),$AO$1006:$BQ$1006,0)), HYPERLINK("#",""), HYPERLINK(CONCATENATE("#Metadata!", ADDRESS(INDEX($AJ$2:$AJ$1001,MATCH(ROWS($AH$2:AH947),$AH$2:$AH$1001,0),0), INDEX($AO$1004:$BQ$1004,1,MATCH(COLUMNS($AO$1006:BJ1006),$AO$1006:$BQ$1006,0)))),"Fix")))</f>
        <v>#N/A</v>
      </c>
      <c r="X947" s="5" t="e">
        <f ca="1">IF(OR(INDEX($AI$2:$AI$1001,MATCH(ROWS($AH$2:AH947),$AH$2:$AH$1001,0),1)&gt;=100000,INDEX($AO$1005:$BQ$1005,1,MATCH(COLUMNS($AO$1006:BK1006),$AO$1006:$BQ$1006,0))&gt;=100000), " ",IF(INDEX($AO$2:$BQ$1001,MATCH(ROWS($AH$2:AH947),$AH$2:$AH$1001,0),MATCH(COLUMNS($AO$1006:BK1006),$AO$1006:$BQ$1006,0)), HYPERLINK("#",""), HYPERLINK(CONCATENATE("#Metadata!", ADDRESS(INDEX($AJ$2:$AJ$1001,MATCH(ROWS($AH$2:AH947),$AH$2:$AH$1001,0),0), INDEX($AO$1004:$BQ$1004,1,MATCH(COLUMNS($AO$1006:BK1006),$AO$1006:$BQ$1006,0)))),"Fix")))</f>
        <v>#N/A</v>
      </c>
      <c r="Y947" s="5" t="e">
        <f ca="1">IF(OR(INDEX($AI$2:$AI$1001,MATCH(ROWS($AH$2:AH947),$AH$2:$AH$1001,0),1)&gt;=100000,INDEX($AO$1005:$BQ$1005,1,MATCH(COLUMNS($AO$1006:BL1006),$AO$1006:$BQ$1006,0))&gt;=100000), " ",IF(INDEX($AO$2:$BQ$1001,MATCH(ROWS($AH$2:AH947),$AH$2:$AH$1001,0),MATCH(COLUMNS($AO$1006:BL1006),$AO$1006:$BQ$1006,0)), HYPERLINK("#",""), HYPERLINK(CONCATENATE("#Metadata!", ADDRESS(INDEX($AJ$2:$AJ$1001,MATCH(ROWS($AH$2:AH947),$AH$2:$AH$1001,0),0), INDEX($AO$1004:$BQ$1004,1,MATCH(COLUMNS($AO$1006:BL1006),$AO$1006:$BQ$1006,0)))),"Fix")))</f>
        <v>#N/A</v>
      </c>
      <c r="Z947" s="5" t="e">
        <f ca="1">IF(OR(INDEX($AI$2:$AI$1001,MATCH(ROWS($AH$2:AH947),$AH$2:$AH$1001,0),1)&gt;=100000,INDEX($AO$1005:$BQ$1005,1,MATCH(COLUMNS($AO$1006:BM1006),$AO$1006:$BQ$1006,0))&gt;=100000), " ",IF(INDEX($AO$2:$BQ$1001,MATCH(ROWS($AH$2:AH947),$AH$2:$AH$1001,0),MATCH(COLUMNS($AO$1006:BM1006),$AO$1006:$BQ$1006,0)), HYPERLINK("#",""), HYPERLINK(CONCATENATE("#Metadata!", ADDRESS(INDEX($AJ$2:$AJ$1001,MATCH(ROWS($AH$2:AH947),$AH$2:$AH$1001,0),0), INDEX($AO$1004:$BQ$1004,1,MATCH(COLUMNS($AO$1006:BM1006),$AO$1006:$BQ$1006,0)))),"Fix")))</f>
        <v>#N/A</v>
      </c>
      <c r="AA947" s="5" t="e">
        <f ca="1">IF(OR(INDEX($AI$2:$AI$1001,MATCH(ROWS($AH$2:AH947),$AH$2:$AH$1001,0),1)&gt;=100000,INDEX($AO$1005:$BQ$1005,1,MATCH(COLUMNS($AO$1006:BN1006),$AO$1006:$BQ$1006,0))&gt;=100000), " ",IF(INDEX($AO$2:$BQ$1001,MATCH(ROWS($AH$2:AH947),$AH$2:$AH$1001,0),MATCH(COLUMNS($AO$1006:BN1006),$AO$1006:$BQ$1006,0)), HYPERLINK("#",""), HYPERLINK(CONCATENATE("#Metadata!", ADDRESS(INDEX($AJ$2:$AJ$1001,MATCH(ROWS($AH$2:AH947),$AH$2:$AH$1001,0),0), INDEX($AO$1004:$BQ$1004,1,MATCH(COLUMNS($AO$1006:BN1006),$AO$1006:$BQ$1006,0)))),"Fix")))</f>
        <v>#N/A</v>
      </c>
      <c r="AB947" s="5" t="e">
        <f ca="1">IF(OR(INDEX($AI$2:$AI$1001,MATCH(ROWS($AH$2:AH947),$AH$2:$AH$1001,0),1)&gt;=100000,INDEX($AO$1005:$BQ$1005,1,MATCH(COLUMNS($AO$1006:BO1006),$AO$1006:$BQ$1006,0))&gt;=100000), " ",IF(INDEX($AO$2:$BQ$1001,MATCH(ROWS($AH$2:AH947),$AH$2:$AH$1001,0),MATCH(COLUMNS($AO$1006:BO1006),$AO$1006:$BQ$1006,0)), HYPERLINK("#",""), HYPERLINK(CONCATENATE("#Metadata!", ADDRESS(INDEX($AJ$2:$AJ$1001,MATCH(ROWS($AH$2:AH947),$AH$2:$AH$1001,0),0), INDEX($AO$1004:$BQ$1004,1,MATCH(COLUMNS($AO$1006:BO1006),$AO$1006:$BQ$1006,0)))),"Fix")))</f>
        <v>#N/A</v>
      </c>
      <c r="AC947" s="5" t="e">
        <f ca="1">IF(OR(INDEX($AI$2:$AI$1001,MATCH(ROWS($AH$2:AH947),$AH$2:$AH$1001,0),1)&gt;=100000,INDEX($AO$1005:$BQ$1005,1,MATCH(COLUMNS($AO$1006:BP1006),$AO$1006:$BQ$1006,0))&gt;=100000), " ",IF(INDEX($AO$2:$BQ$1001,MATCH(ROWS($AH$2:AH947),$AH$2:$AH$1001,0),MATCH(COLUMNS($AO$1006:BP1006),$AO$1006:$BQ$1006,0)), HYPERLINK("#",""), HYPERLINK(CONCATENATE("#Metadata!", ADDRESS(INDEX($AJ$2:$AJ$1001,MATCH(ROWS($AH$2:AH947),$AH$2:$AH$1001,0),0), INDEX($AO$1004:$BQ$1004,1,MATCH(COLUMNS($AO$1006:BP1006),$AO$1006:$BQ$1006,0)))),"Fix")))</f>
        <v>#N/A</v>
      </c>
      <c r="AD947" s="5" t="e">
        <f ca="1">IF(OR(INDEX($AI$2:$AI$1001,MATCH(ROWS($AH$2:AH947),$AH$2:$AH$1001,0),1)&gt;=100000,INDEX($AO$1005:$BQ$1005,1,MATCH(COLUMNS($AO$1006:BQ1006),$AO$1006:$BQ$1006,0))&gt;=100000), " ",IF(INDEX($AO$2:$BQ$1001,MATCH(ROWS($AH$2:AH947),$AH$2:$AH$1001,0),MATCH(COLUMNS($AO$1006:BQ1006),$AO$1006:$BQ$1006,0)), HYPERLINK("#",""), HYPERLINK(CONCATENATE("#Metadata!", ADDRESS(INDEX($AJ$2:$AJ$1001,MATCH(ROWS($AH$2:AH947),$AH$2:$AH$1001,0),0), INDEX($AO$1004:$BQ$1004,1,MATCH(COLUMNS($AO$1006:BQ1006),$AO$1006:$BQ$1006,0)))),"Fix")))</f>
        <v>#REF!</v>
      </c>
      <c r="AH947">
        <f ca="1"/>
        <v>944</v>
      </c>
      <c r="AI947">
        <v>100947</v>
      </c>
      <c r="AJ947">
        <v>947</v>
      </c>
      <c r="AK947" t="b">
        <f t="shared" si="14"/>
        <v>1</v>
      </c>
      <c r="AL947" t="b">
        <f>COUNTBLANK(Metadata!B947:AD947)=COLUMNS(Metadata!B947:AD947)</f>
        <v>1</v>
      </c>
      <c r="AM947" t="str">
        <v/>
      </c>
      <c r="AO947" t="b">
        <f ca="1">AND(IF(Metadata!B947="",FALSE,TRUE),COUNTIF(Metadata!B:B, Metadata!B947) = 1,NOT(ISERROR(SUMPRODUCT(SEARCH(MID(Metadata!B947,ROW(INDIRECT("1:"&amp;LEN(Metadata!B947))), 1),"0123456789abcdefghijklmnopqrstuvwxyzABCDEFGHIJKLMNOPQRSTUVWXYZ.")))))</f>
        <v>0</v>
      </c>
      <c r="AP947" t="b">
        <f>IF(Metadata!C947="",FALSE,TRUE)</f>
        <v>0</v>
      </c>
      <c r="AQ947" t="b">
        <f>IF(Metadata!D947="",FALSE,TRUE)</f>
        <v>0</v>
      </c>
      <c r="AR947" t="b">
        <f ca="1">OR(AND(IF(Metadata!E947="",FALSE,TRUE),OR(EXACT(Metadata!E947,"not collected"),EXACT(Metadata!E947,"not provided"),EXACT(Metadata!E947,"restricted access"))),AND(IF(Metadata!E947="",FALSE,TRUE),AND(AND(IFERROR(INT(LEFT(Metadata!E947,4))&gt;1900,FALSE),IFERROR(INT(LEFT(Metadata!E947,4))&lt;=YEAR(NOW()),FALSE)), OR(MID(Metadata!E947,5,1)="", AND(AND(MID(Metadata!E947,5,1)="-",IFERROR(INT(MID(Metadata!E947,6,1))&gt;=0,FALSE),IFERROR(INT(MID(Metadata!E947,6,1))&lt;=1,FALSE),NOT(MID(Metadata!E947,7,1)=""),IFERROR(INT(MID(Metadata!E947,6,2))&gt;=1,FALSE),IFERROR(INT(MID(Metadata!E947,6,2))&lt;=12,FALSE)), OR(MID(Metadata!E947,8,1)="", AND(AND(MID(Metadata!E947,8,1)="-",IFERROR(INT(MID(Metadata!E947,9,1))&gt;=0,FALSE),IFERROR(INT(MID(Metadata!E947,9,1))&lt;=3,FALSE),NOT(MID(Metadata!E947,10,1)=""),IFERROR(INT(MID(Metadata!E947,9,2))&gt;=1,FALSE),IFERROR(INT(MID(Metadata!E947,9,2))&lt;=31,FALSE)), OR(MID(Metadata!E947,11,1)="", AND(AND(MID(Metadata!E947,11,1)=" ",IFERROR(INT(MID(Metadata!E947,12,1))&gt;=0,FALSE),IFERROR(INT(MID(Metadata!E947,12,1))&lt;=2,FALSE),NOT(MID(Metadata!E947,13,1)=""),IFERROR(INT(MID(Metadata!E947,12,2))&gt;=0,FALSE),IFERROR(INT(MID(Metadata!E947,12,2))&lt;=23,FALSE)), OR(MID(Metadata!E947,14,1)="", AND(AND(MID(Metadata!E947,14,1)=":",IFERROR(INT(MID(Metadata!E947,15,1))&gt;=0,FALSE),IFERROR(INT(MID(Metadata!E947,15,1))&lt;=5,FALSE),NOT(MID(Metadata!E947,16,1)=""),IFERROR(INT(MID(Metadata!E947,15,2))&gt;=0,FALSE),IFERROR(INT(MID(Metadata!E947,15,2))&lt;=59,FALSE)), OR(MID(Metadata!E947,17,1)="", AND(AND(MID(Metadata!E947,17,1)=":",IFERROR(INT(MID(Metadata!E947,18,1))&gt;=0,FALSE),IFERROR(INT(MID(Metadata!E947,18,1))&lt;=5,FALSE),NOT(MID(Metadata!E947,19,1)=""),IFERROR(INT(MID(Metadata!E947,18,2))&gt;=0,FALSE),IFERROR(INT(MID(Metadata!E947,18,2))&lt;=59,FALSE)), LEN(Metadata!E947)&lt;=19)))))))))))))</f>
        <v>0</v>
      </c>
      <c r="AS947" t="b">
        <f>IF(Metadata!F947="",FALSE,TRUE)</f>
        <v>0</v>
      </c>
      <c r="AT947" t="b">
        <f>OR(AND(IF(Metadata!G947="",FALSE,TRUE),OR(EXACT(Metadata!G947,"not collected"),EXACT(Metadata!G947,"not provided"))),AND(IF(Metadata!G947="",FALSE,TRUE),OR(EXACT(Metadata!G947,"TRUE"),EXACT(Metadata!G947,"FALSE"))))</f>
        <v>0</v>
      </c>
      <c r="AU947" t="b">
        <f>OR(AND(IF(Metadata!H947="",FALSE,TRUE),OR(EXACT(Metadata!H947,"not collected"),EXACT(Metadata!H947,"not provided"),EXACT(Metadata!H947,"restricted access"))),AND(IF(Metadata!H947="",FALSE,ISNUMBER(VALUE(Metadata!H947))),Metadata!H947&gt;=-413))</f>
        <v>0</v>
      </c>
      <c r="AV947" t="b">
        <f>AND(IF(Metadata!I947="",FALSE,TRUE),EXACT(Metadata!I947,"meters"))</f>
        <v>0</v>
      </c>
      <c r="AW947" t="b">
        <f>AND(IF(Metadata!J947="",FALSE,TRUE),EXACT(Metadata!J947,"free-living"))</f>
        <v>0</v>
      </c>
      <c r="AX947" t="b">
        <f>AND(IF(Metadata!K947="",FALSE,TRUE),OR(EXACT(Metadata!K947,"saline"),EXACT(Metadata!K947,"non-saline")))</f>
        <v>0</v>
      </c>
      <c r="AY947" t="b">
        <f>AND(IF(Metadata!L947="",FALSE,TRUE),OR(EXACT(Metadata!L947,"sub-surface (non-saline)"),EXACT(Metadata!L947,"surface (non-saline)"),EXACT(Metadata!L947,"water (non-saline)"),EXACT(Metadata!L947,"soil (non-saline)"),EXACT(Metadata!L947,"aerosol (non-saline)"),EXACT(Metadata!L947,"sediment (non-saline)"),EXACT(Metadata!L947,"surface (saline)"),EXACT(Metadata!L947,"water (saline)"),EXACT(Metadata!L947,"hypersaline (saline)"),EXACT(Metadata!L947,"aerosol (saline)"),EXACT(Metadata!L947,"sediment (saline)")))</f>
        <v>0</v>
      </c>
      <c r="AZ947" t="b">
        <f>IF(Metadata!M947="",FALSE,TRUE)</f>
        <v>0</v>
      </c>
      <c r="BA947" t="b">
        <f>IF(Metadata!N947="",FALSE,TRUE)</f>
        <v>0</v>
      </c>
      <c r="BB947" t="b">
        <f>IF(Metadata!O947="",FALSE,TRUE)</f>
        <v>0</v>
      </c>
      <c r="BC947" t="b">
        <f>AND(IF(Metadata!P947="",FALSE,TRUE),OR(EXACT(Metadata!P947,"air"),EXACT(Metadata!P947,"microbial mat/biofilm"),EXACT(Metadata!P947,"misc environment"),EXACT(Metadata!P947,"sediment"),EXACT(Metadata!P947,"soil"),EXACT(Metadata!P947,"wastewater/sludge"),EXACT(Metadata!P947,"water")))</f>
        <v>0</v>
      </c>
      <c r="BD947" t="b">
        <f>IF(Metadata!Q947="",FALSE,TRUE)</f>
        <v>0</v>
      </c>
      <c r="BE947" t="b">
        <f>IF(Metadata!R947="",FALSE,TRUE)</f>
        <v>0</v>
      </c>
      <c r="BF947" t="b">
        <f>OR(AND(IF(Metadata!S947="",FALSE,TRUE),OR(EXACT(Metadata!S947,"not collected"),EXACT(Metadata!S947,"not provided"),EXACT(Metadata!S947,"restricted access"))),AND(IF(Metadata!S947="",FALSE,ISNUMBER(VALUE(Metadata!S947))),Metadata!S947&gt;=-90,Metadata!S947&lt;=90))</f>
        <v>0</v>
      </c>
      <c r="BG947" t="b">
        <f>AND(IF(Metadata!T947="",FALSE,TRUE),EXACT(Metadata!T947,"Decimal degrees"))</f>
        <v>0</v>
      </c>
      <c r="BH947" t="b">
        <f>OR(AND(IF(Metadata!U947="",FALSE,TRUE),OR(EXACT(Metadata!U947,"not applicable"),EXACT(Metadata!U947,"not collected"))),IF(Metadata!U947="",FALSE,TRUE))</f>
        <v>0</v>
      </c>
      <c r="BI947" t="b">
        <f>OR(AND(IF(Metadata!V947="",FALSE,TRUE),OR(EXACT(Metadata!V947,"not collected"),EXACT(Metadata!V947,"not provided"),EXACT(Metadata!V947,"restricted access"))),AND(IF(Metadata!V947="",FALSE,ISNUMBER(VALUE(Metadata!V947))),Metadata!V947&gt;=-180,Metadata!V947&lt;=180))</f>
        <v>0</v>
      </c>
      <c r="BJ947" t="b">
        <f>AND(IF(Metadata!W947="",FALSE,TRUE),EXACT(Metadata!W947,"Decimal degrees"))</f>
        <v>0</v>
      </c>
      <c r="BK947" t="b">
        <f>IF(Metadata!X947="",FALSE,TRUE)</f>
        <v>0</v>
      </c>
      <c r="BL947" t="b">
        <f>OR(AND(IF(Metadata!Y947="",FALSE,TRUE),OR(EXACT(Metadata!Y947,"not collected"),EXACT(Metadata!Y947,"not provided"),EXACT(Metadata!Y947,"restricted access"))),AND(IF(Metadata!Y947="",FALSE,TRUE),OR(EXACT(Metadata!Y947,"TRUE"),EXACT(Metadata!Y947,"FALSE"))))</f>
        <v>0</v>
      </c>
      <c r="BM947" t="b">
        <f>OR(AND(IF(Metadata!Z947="",FALSE,TRUE),EXACT(Metadata!Z947,"not applicable")),AND(IF(Metadata!Z947="",FALSE,TRUE),OR(EXACT(Metadata!Z947,"beer"),EXACT(Metadata!Z947,"cheese"),EXACT(Metadata!Z947,"fresh water"),EXACT(Metadata!Z947,"marine sediment"),EXACT(Metadata!Z947,"sea water"),EXACT(Metadata!Z947,"sediment"),EXACT(Metadata!Z947,"soil"),EXACT(Metadata!Z947,"waste water"))))</f>
        <v>0</v>
      </c>
      <c r="BN947" t="b">
        <f>AND(IF(Metadata!AA947="",FALSE,TRUE),EXACT(Metadata!AA947,"metagenome"))</f>
        <v>0</v>
      </c>
      <c r="BO947" t="b">
        <f>AND(IF(Metadata!AB947="",FALSE,TRUE),EXACT(Metadata!AB947,"256318"))</f>
        <v>0</v>
      </c>
      <c r="BP947" t="b">
        <f>IF(Metadata!AC947="",FALSE,TRUE)</f>
        <v>0</v>
      </c>
      <c r="BQ947" t="b">
        <f>IF(Metadata!AD947="",FALSE,TRUE)</f>
        <v>0</v>
      </c>
    </row>
    <row r="948" spans="1:69" x14ac:dyDescent="0.2">
      <c r="A948" s="4" t="e">
        <f ca="1">IF(B948=" "," ",HYPERLINK(CONCATENATE("#metadata!",ADDRESS(INDEX($AJ$2:$AJ$1001,MATCH(ROWS($AH$2:AH948),$AH$2:$AH$1001,0),0),2)),INDEX($AM$2:$AM$1001,MATCH(ROWS($AH$2:AH948),$AH$2:$AH$1001,0),0)))</f>
        <v>#N/A</v>
      </c>
      <c r="B948" s="5" t="e">
        <f ca="1">IF(OR(INDEX($AI$2:$AI$1001,MATCH(ROWS($AH$2:AH948),$AH$2:$AH$1001,0),1)&gt;=100000,INDEX($AO$1005:$BQ$1005,1,MATCH(COLUMNS($AO$1006:AO1006),$AO$1006:$BQ$1006,0))&gt;=100000), " ",IF(INDEX($AO$2:$BQ$1001,MATCH(ROWS($AH$2:AH948),$AH$2:$AH$1001,0),MATCH(COLUMNS($AO$1006:AO1006),$AO$1006:$BQ$1006,0)), HYPERLINK("#",""), HYPERLINK(CONCATENATE("#Metadata!", ADDRESS(INDEX($AJ$2:$AJ$1001,MATCH(ROWS($AH$2:AH948),$AH$2:$AH$1001,0),0), INDEX($AO$1004:$BQ$1004,1,MATCH(COLUMNS($AO$1006:AO1006),$AO$1006:$BQ$1006,0)))),"Fix")))</f>
        <v>#N/A</v>
      </c>
      <c r="C948" s="5" t="e">
        <f ca="1">IF(OR(INDEX($AI$2:$AI$1001,MATCH(ROWS($AH$2:AH948),$AH$2:$AH$1001,0),1)&gt;=100000,INDEX($AO$1005:$BQ$1005,1,MATCH(COLUMNS($AO$1006:AP1006),$AO$1006:$BQ$1006,0))&gt;=100000), " ",IF(INDEX($AO$2:$BQ$1001,MATCH(ROWS($AH$2:AH948),$AH$2:$AH$1001,0),MATCH(COLUMNS($AO$1006:AP1006),$AO$1006:$BQ$1006,0)), HYPERLINK("#",""), HYPERLINK(CONCATENATE("#Metadata!", ADDRESS(INDEX($AJ$2:$AJ$1001,MATCH(ROWS($AH$2:AH948),$AH$2:$AH$1001,0),0), INDEX($AO$1004:$BQ$1004,1,MATCH(COLUMNS($AO$1006:AP1006),$AO$1006:$BQ$1006,0)))),"Fix")))</f>
        <v>#N/A</v>
      </c>
      <c r="D948" s="5" t="e">
        <f ca="1">IF(OR(INDEX($AI$2:$AI$1001,MATCH(ROWS($AH$2:AH948),$AH$2:$AH$1001,0),1)&gt;=100000,INDEX($AO$1005:$BQ$1005,1,MATCH(COLUMNS($AO$1006:AQ1006),$AO$1006:$BQ$1006,0))&gt;=100000), " ",IF(INDEX($AO$2:$BQ$1001,MATCH(ROWS($AH$2:AH948),$AH$2:$AH$1001,0),MATCH(COLUMNS($AO$1006:AQ1006),$AO$1006:$BQ$1006,0)), HYPERLINK("#",""), HYPERLINK(CONCATENATE("#Metadata!", ADDRESS(INDEX($AJ$2:$AJ$1001,MATCH(ROWS($AH$2:AH948),$AH$2:$AH$1001,0),0), INDEX($AO$1004:$BQ$1004,1,MATCH(COLUMNS($AO$1006:AQ1006),$AO$1006:$BQ$1006,0)))),"Fix")))</f>
        <v>#N/A</v>
      </c>
      <c r="E948" s="5" t="e">
        <f ca="1">IF(OR(INDEX($AI$2:$AI$1001,MATCH(ROWS($AH$2:AH948),$AH$2:$AH$1001,0),1)&gt;=100000,INDEX($AO$1005:$BQ$1005,1,MATCH(COLUMNS($AO$1006:AR1006),$AO$1006:$BQ$1006,0))&gt;=100000), " ",IF(INDEX($AO$2:$BQ$1001,MATCH(ROWS($AH$2:AH948),$AH$2:$AH$1001,0),MATCH(COLUMNS($AO$1006:AR1006),$AO$1006:$BQ$1006,0)), HYPERLINK("#",""), HYPERLINK(CONCATENATE("#Metadata!", ADDRESS(INDEX($AJ$2:$AJ$1001,MATCH(ROWS($AH$2:AH948),$AH$2:$AH$1001,0),0), INDEX($AO$1004:$BQ$1004,1,MATCH(COLUMNS($AO$1006:AR1006),$AO$1006:$BQ$1006,0)))),"Fix")))</f>
        <v>#N/A</v>
      </c>
      <c r="F948" s="5" t="e">
        <f ca="1">IF(OR(INDEX($AI$2:$AI$1001,MATCH(ROWS($AH$2:AH948),$AH$2:$AH$1001,0),1)&gt;=100000,INDEX($AO$1005:$BQ$1005,1,MATCH(COLUMNS($AO$1006:AS1006),$AO$1006:$BQ$1006,0))&gt;=100000), " ",IF(INDEX($AO$2:$BQ$1001,MATCH(ROWS($AH$2:AH948),$AH$2:$AH$1001,0),MATCH(COLUMNS($AO$1006:AS1006),$AO$1006:$BQ$1006,0)), HYPERLINK("#",""), HYPERLINK(CONCATENATE("#Metadata!", ADDRESS(INDEX($AJ$2:$AJ$1001,MATCH(ROWS($AH$2:AH948),$AH$2:$AH$1001,0),0), INDEX($AO$1004:$BQ$1004,1,MATCH(COLUMNS($AO$1006:AS1006),$AO$1006:$BQ$1006,0)))),"Fix")))</f>
        <v>#N/A</v>
      </c>
      <c r="G948" s="5" t="e">
        <f ca="1">IF(OR(INDEX($AI$2:$AI$1001,MATCH(ROWS($AH$2:AH948),$AH$2:$AH$1001,0),1)&gt;=100000,INDEX($AO$1005:$BQ$1005,1,MATCH(COLUMNS($AO$1006:AT1006),$AO$1006:$BQ$1006,0))&gt;=100000), " ",IF(INDEX($AO$2:$BQ$1001,MATCH(ROWS($AH$2:AH948),$AH$2:$AH$1001,0),MATCH(COLUMNS($AO$1006:AT1006),$AO$1006:$BQ$1006,0)), HYPERLINK("#",""), HYPERLINK(CONCATENATE("#Metadata!", ADDRESS(INDEX($AJ$2:$AJ$1001,MATCH(ROWS($AH$2:AH948),$AH$2:$AH$1001,0),0), INDEX($AO$1004:$BQ$1004,1,MATCH(COLUMNS($AO$1006:AT1006),$AO$1006:$BQ$1006,0)))),"Fix")))</f>
        <v>#N/A</v>
      </c>
      <c r="H948" s="5" t="e">
        <f ca="1">IF(OR(INDEX($AI$2:$AI$1001,MATCH(ROWS($AH$2:AH948),$AH$2:$AH$1001,0),1)&gt;=100000,INDEX($AO$1005:$BQ$1005,1,MATCH(COLUMNS($AO$1006:AU1006),$AO$1006:$BQ$1006,0))&gt;=100000), " ",IF(INDEX($AO$2:$BQ$1001,MATCH(ROWS($AH$2:AH948),$AH$2:$AH$1001,0),MATCH(COLUMNS($AO$1006:AU1006),$AO$1006:$BQ$1006,0)), HYPERLINK("#",""), HYPERLINK(CONCATENATE("#Metadata!", ADDRESS(INDEX($AJ$2:$AJ$1001,MATCH(ROWS($AH$2:AH948),$AH$2:$AH$1001,0),0), INDEX($AO$1004:$BQ$1004,1,MATCH(COLUMNS($AO$1006:AU1006),$AO$1006:$BQ$1006,0)))),"Fix")))</f>
        <v>#N/A</v>
      </c>
      <c r="I948" s="5" t="e">
        <f ca="1">IF(OR(INDEX($AI$2:$AI$1001,MATCH(ROWS($AH$2:AH948),$AH$2:$AH$1001,0),1)&gt;=100000,INDEX($AO$1005:$BQ$1005,1,MATCH(COLUMNS($AO$1006:AV1006),$AO$1006:$BQ$1006,0))&gt;=100000), " ",IF(INDEX($AO$2:$BQ$1001,MATCH(ROWS($AH$2:AH948),$AH$2:$AH$1001,0),MATCH(COLUMNS($AO$1006:AV1006),$AO$1006:$BQ$1006,0)), HYPERLINK("#",""), HYPERLINK(CONCATENATE("#Metadata!", ADDRESS(INDEX($AJ$2:$AJ$1001,MATCH(ROWS($AH$2:AH948),$AH$2:$AH$1001,0),0), INDEX($AO$1004:$BQ$1004,1,MATCH(COLUMNS($AO$1006:AV1006),$AO$1006:$BQ$1006,0)))),"Fix")))</f>
        <v>#N/A</v>
      </c>
      <c r="J948" s="5" t="e">
        <f ca="1">IF(OR(INDEX($AI$2:$AI$1001,MATCH(ROWS($AH$2:AH948),$AH$2:$AH$1001,0),1)&gt;=100000,INDEX($AO$1005:$BQ$1005,1,MATCH(COLUMNS($AO$1006:AW1006),$AO$1006:$BQ$1006,0))&gt;=100000), " ",IF(INDEX($AO$2:$BQ$1001,MATCH(ROWS($AH$2:AH948),$AH$2:$AH$1001,0),MATCH(COLUMNS($AO$1006:AW1006),$AO$1006:$BQ$1006,0)), HYPERLINK("#",""), HYPERLINK(CONCATENATE("#Metadata!", ADDRESS(INDEX($AJ$2:$AJ$1001,MATCH(ROWS($AH$2:AH948),$AH$2:$AH$1001,0),0), INDEX($AO$1004:$BQ$1004,1,MATCH(COLUMNS($AO$1006:AW1006),$AO$1006:$BQ$1006,0)))),"Fix")))</f>
        <v>#N/A</v>
      </c>
      <c r="K948" s="5" t="e">
        <f ca="1">IF(OR(INDEX($AI$2:$AI$1001,MATCH(ROWS($AH$2:AH948),$AH$2:$AH$1001,0),1)&gt;=100000,INDEX($AO$1005:$BQ$1005,1,MATCH(COLUMNS($AO$1006:AX1006),$AO$1006:$BQ$1006,0))&gt;=100000), " ",IF(INDEX($AO$2:$BQ$1001,MATCH(ROWS($AH$2:AH948),$AH$2:$AH$1001,0),MATCH(COLUMNS($AO$1006:AX1006),$AO$1006:$BQ$1006,0)), HYPERLINK("#",""), HYPERLINK(CONCATENATE("#Metadata!", ADDRESS(INDEX($AJ$2:$AJ$1001,MATCH(ROWS($AH$2:AH948),$AH$2:$AH$1001,0),0), INDEX($AO$1004:$BQ$1004,1,MATCH(COLUMNS($AO$1006:AX1006),$AO$1006:$BQ$1006,0)))),"Fix")))</f>
        <v>#N/A</v>
      </c>
      <c r="L948" s="5" t="e">
        <f ca="1">IF(OR(INDEX($AI$2:$AI$1001,MATCH(ROWS($AH$2:AH948),$AH$2:$AH$1001,0),1)&gt;=100000,INDEX($AO$1005:$BQ$1005,1,MATCH(COLUMNS($AO$1006:AY1006),$AO$1006:$BQ$1006,0))&gt;=100000), " ",IF(INDEX($AO$2:$BQ$1001,MATCH(ROWS($AH$2:AH948),$AH$2:$AH$1001,0),MATCH(COLUMNS($AO$1006:AY1006),$AO$1006:$BQ$1006,0)), HYPERLINK("#",""), HYPERLINK(CONCATENATE("#Metadata!", ADDRESS(INDEX($AJ$2:$AJ$1001,MATCH(ROWS($AH$2:AH948),$AH$2:$AH$1001,0),0), INDEX($AO$1004:$BQ$1004,1,MATCH(COLUMNS($AO$1006:AY1006),$AO$1006:$BQ$1006,0)))),"Fix")))</f>
        <v>#N/A</v>
      </c>
      <c r="M948" s="5" t="e">
        <f ca="1">IF(OR(INDEX($AI$2:$AI$1001,MATCH(ROWS($AH$2:AH948),$AH$2:$AH$1001,0),1)&gt;=100000,INDEX($AO$1005:$BQ$1005,1,MATCH(COLUMNS($AO$1006:AZ1006),$AO$1006:$BQ$1006,0))&gt;=100000), " ",IF(INDEX($AO$2:$BQ$1001,MATCH(ROWS($AH$2:AH948),$AH$2:$AH$1001,0),MATCH(COLUMNS($AO$1006:AZ1006),$AO$1006:$BQ$1006,0)), HYPERLINK("#",""), HYPERLINK(CONCATENATE("#Metadata!", ADDRESS(INDEX($AJ$2:$AJ$1001,MATCH(ROWS($AH$2:AH948),$AH$2:$AH$1001,0),0), INDEX($AO$1004:$BQ$1004,1,MATCH(COLUMNS($AO$1006:AZ1006),$AO$1006:$BQ$1006,0)))),"Fix")))</f>
        <v>#N/A</v>
      </c>
      <c r="N948" s="5" t="e">
        <f ca="1">IF(OR(INDEX($AI$2:$AI$1001,MATCH(ROWS($AH$2:AH948),$AH$2:$AH$1001,0),1)&gt;=100000,INDEX($AO$1005:$BQ$1005,1,MATCH(COLUMNS($AO$1006:BA1006),$AO$1006:$BQ$1006,0))&gt;=100000), " ",IF(INDEX($AO$2:$BQ$1001,MATCH(ROWS($AH$2:AH948),$AH$2:$AH$1001,0),MATCH(COLUMNS($AO$1006:BA1006),$AO$1006:$BQ$1006,0)), HYPERLINK("#",""), HYPERLINK(CONCATENATE("#Metadata!", ADDRESS(INDEX($AJ$2:$AJ$1001,MATCH(ROWS($AH$2:AH948),$AH$2:$AH$1001,0),0), INDEX($AO$1004:$BQ$1004,1,MATCH(COLUMNS($AO$1006:BA1006),$AO$1006:$BQ$1006,0)))),"Fix")))</f>
        <v>#N/A</v>
      </c>
      <c r="O948" s="5" t="e">
        <f ca="1">IF(OR(INDEX($AI$2:$AI$1001,MATCH(ROWS($AH$2:AH948),$AH$2:$AH$1001,0),1)&gt;=100000,INDEX($AO$1005:$BQ$1005,1,MATCH(COLUMNS($AO$1006:BB1006),$AO$1006:$BQ$1006,0))&gt;=100000), " ",IF(INDEX($AO$2:$BQ$1001,MATCH(ROWS($AH$2:AH948),$AH$2:$AH$1001,0),MATCH(COLUMNS($AO$1006:BB1006),$AO$1006:$BQ$1006,0)), HYPERLINK("#",""), HYPERLINK(CONCATENATE("#Metadata!", ADDRESS(INDEX($AJ$2:$AJ$1001,MATCH(ROWS($AH$2:AH948),$AH$2:$AH$1001,0),0), INDEX($AO$1004:$BQ$1004,1,MATCH(COLUMNS($AO$1006:BB1006),$AO$1006:$BQ$1006,0)))),"Fix")))</f>
        <v>#N/A</v>
      </c>
      <c r="P948" s="5" t="e">
        <f ca="1">IF(OR(INDEX($AI$2:$AI$1001,MATCH(ROWS($AH$2:AH948),$AH$2:$AH$1001,0),1)&gt;=100000,INDEX($AO$1005:$BQ$1005,1,MATCH(COLUMNS($AO$1006:BC1006),$AO$1006:$BQ$1006,0))&gt;=100000), " ",IF(INDEX($AO$2:$BQ$1001,MATCH(ROWS($AH$2:AH948),$AH$2:$AH$1001,0),MATCH(COLUMNS($AO$1006:BC1006),$AO$1006:$BQ$1006,0)), HYPERLINK("#",""), HYPERLINK(CONCATENATE("#Metadata!", ADDRESS(INDEX($AJ$2:$AJ$1001,MATCH(ROWS($AH$2:AH948),$AH$2:$AH$1001,0),0), INDEX($AO$1004:$BQ$1004,1,MATCH(COLUMNS($AO$1006:BC1006),$AO$1006:$BQ$1006,0)))),"Fix")))</f>
        <v>#N/A</v>
      </c>
      <c r="Q948" s="5" t="e">
        <f ca="1">IF(OR(INDEX($AI$2:$AI$1001,MATCH(ROWS($AH$2:AH948),$AH$2:$AH$1001,0),1)&gt;=100000,INDEX($AO$1005:$BQ$1005,1,MATCH(COLUMNS($AO$1006:BD1006),$AO$1006:$BQ$1006,0))&gt;=100000), " ",IF(INDEX($AO$2:$BQ$1001,MATCH(ROWS($AH$2:AH948),$AH$2:$AH$1001,0),MATCH(COLUMNS($AO$1006:BD1006),$AO$1006:$BQ$1006,0)), HYPERLINK("#",""), HYPERLINK(CONCATENATE("#Metadata!", ADDRESS(INDEX($AJ$2:$AJ$1001,MATCH(ROWS($AH$2:AH948),$AH$2:$AH$1001,0),0), INDEX($AO$1004:$BQ$1004,1,MATCH(COLUMNS($AO$1006:BD1006),$AO$1006:$BQ$1006,0)))),"Fix")))</f>
        <v>#N/A</v>
      </c>
      <c r="R948" s="5" t="e">
        <f ca="1">IF(OR(INDEX($AI$2:$AI$1001,MATCH(ROWS($AH$2:AH948),$AH$2:$AH$1001,0),1)&gt;=100000,INDEX($AO$1005:$BQ$1005,1,MATCH(COLUMNS($AO$1006:BE1006),$AO$1006:$BQ$1006,0))&gt;=100000), " ",IF(INDEX($AO$2:$BQ$1001,MATCH(ROWS($AH$2:AH948),$AH$2:$AH$1001,0),MATCH(COLUMNS($AO$1006:BE1006),$AO$1006:$BQ$1006,0)), HYPERLINK("#",""), HYPERLINK(CONCATENATE("#Metadata!", ADDRESS(INDEX($AJ$2:$AJ$1001,MATCH(ROWS($AH$2:AH948),$AH$2:$AH$1001,0),0), INDEX($AO$1004:$BQ$1004,1,MATCH(COLUMNS($AO$1006:BE1006),$AO$1006:$BQ$1006,0)))),"Fix")))</f>
        <v>#N/A</v>
      </c>
      <c r="S948" s="5" t="e">
        <f ca="1">IF(OR(INDEX($AI$2:$AI$1001,MATCH(ROWS($AH$2:AH948),$AH$2:$AH$1001,0),1)&gt;=100000,INDEX($AO$1005:$BQ$1005,1,MATCH(COLUMNS($AO$1006:BF1006),$AO$1006:$BQ$1006,0))&gt;=100000), " ",IF(INDEX($AO$2:$BQ$1001,MATCH(ROWS($AH$2:AH948),$AH$2:$AH$1001,0),MATCH(COLUMNS($AO$1006:BF1006),$AO$1006:$BQ$1006,0)), HYPERLINK("#",""), HYPERLINK(CONCATENATE("#Metadata!", ADDRESS(INDEX($AJ$2:$AJ$1001,MATCH(ROWS($AH$2:AH948),$AH$2:$AH$1001,0),0), INDEX($AO$1004:$BQ$1004,1,MATCH(COLUMNS($AO$1006:BF1006),$AO$1006:$BQ$1006,0)))),"Fix")))</f>
        <v>#N/A</v>
      </c>
      <c r="T948" s="5" t="e">
        <f ca="1">IF(OR(INDEX($AI$2:$AI$1001,MATCH(ROWS($AH$2:AH948),$AH$2:$AH$1001,0),1)&gt;=100000,INDEX($AO$1005:$BQ$1005,1,MATCH(COLUMNS($AO$1006:BG1006),$AO$1006:$BQ$1006,0))&gt;=100000), " ",IF(INDEX($AO$2:$BQ$1001,MATCH(ROWS($AH$2:AH948),$AH$2:$AH$1001,0),MATCH(COLUMNS($AO$1006:BG1006),$AO$1006:$BQ$1006,0)), HYPERLINK("#",""), HYPERLINK(CONCATENATE("#Metadata!", ADDRESS(INDEX($AJ$2:$AJ$1001,MATCH(ROWS($AH$2:AH948),$AH$2:$AH$1001,0),0), INDEX($AO$1004:$BQ$1004,1,MATCH(COLUMNS($AO$1006:BG1006),$AO$1006:$BQ$1006,0)))),"Fix")))</f>
        <v>#N/A</v>
      </c>
      <c r="U948" s="5" t="e">
        <f ca="1">IF(OR(INDEX($AI$2:$AI$1001,MATCH(ROWS($AH$2:AH948),$AH$2:$AH$1001,0),1)&gt;=100000,INDEX($AO$1005:$BQ$1005,1,MATCH(COLUMNS($AO$1006:BH1006),$AO$1006:$BQ$1006,0))&gt;=100000), " ",IF(INDEX($AO$2:$BQ$1001,MATCH(ROWS($AH$2:AH948),$AH$2:$AH$1001,0),MATCH(COLUMNS($AO$1006:BH1006),$AO$1006:$BQ$1006,0)), HYPERLINK("#",""), HYPERLINK(CONCATENATE("#Metadata!", ADDRESS(INDEX($AJ$2:$AJ$1001,MATCH(ROWS($AH$2:AH948),$AH$2:$AH$1001,0),0), INDEX($AO$1004:$BQ$1004,1,MATCH(COLUMNS($AO$1006:BH1006),$AO$1006:$BQ$1006,0)))),"Fix")))</f>
        <v>#N/A</v>
      </c>
      <c r="V948" s="5" t="e">
        <f ca="1">IF(OR(INDEX($AI$2:$AI$1001,MATCH(ROWS($AH$2:AH948),$AH$2:$AH$1001,0),1)&gt;=100000,INDEX($AO$1005:$BQ$1005,1,MATCH(COLUMNS($AO$1006:BI1006),$AO$1006:$BQ$1006,0))&gt;=100000), " ",IF(INDEX($AO$2:$BQ$1001,MATCH(ROWS($AH$2:AH948),$AH$2:$AH$1001,0),MATCH(COLUMNS($AO$1006:BI1006),$AO$1006:$BQ$1006,0)), HYPERLINK("#",""), HYPERLINK(CONCATENATE("#Metadata!", ADDRESS(INDEX($AJ$2:$AJ$1001,MATCH(ROWS($AH$2:AH948),$AH$2:$AH$1001,0),0), INDEX($AO$1004:$BQ$1004,1,MATCH(COLUMNS($AO$1006:BI1006),$AO$1006:$BQ$1006,0)))),"Fix")))</f>
        <v>#N/A</v>
      </c>
      <c r="W948" s="5" t="e">
        <f ca="1">IF(OR(INDEX($AI$2:$AI$1001,MATCH(ROWS($AH$2:AH948),$AH$2:$AH$1001,0),1)&gt;=100000,INDEX($AO$1005:$BQ$1005,1,MATCH(COLUMNS($AO$1006:BJ1006),$AO$1006:$BQ$1006,0))&gt;=100000), " ",IF(INDEX($AO$2:$BQ$1001,MATCH(ROWS($AH$2:AH948),$AH$2:$AH$1001,0),MATCH(COLUMNS($AO$1006:BJ1006),$AO$1006:$BQ$1006,0)), HYPERLINK("#",""), HYPERLINK(CONCATENATE("#Metadata!", ADDRESS(INDEX($AJ$2:$AJ$1001,MATCH(ROWS($AH$2:AH948),$AH$2:$AH$1001,0),0), INDEX($AO$1004:$BQ$1004,1,MATCH(COLUMNS($AO$1006:BJ1006),$AO$1006:$BQ$1006,0)))),"Fix")))</f>
        <v>#N/A</v>
      </c>
      <c r="X948" s="5" t="e">
        <f ca="1">IF(OR(INDEX($AI$2:$AI$1001,MATCH(ROWS($AH$2:AH948),$AH$2:$AH$1001,0),1)&gt;=100000,INDEX($AO$1005:$BQ$1005,1,MATCH(COLUMNS($AO$1006:BK1006),$AO$1006:$BQ$1006,0))&gt;=100000), " ",IF(INDEX($AO$2:$BQ$1001,MATCH(ROWS($AH$2:AH948),$AH$2:$AH$1001,0),MATCH(COLUMNS($AO$1006:BK1006),$AO$1006:$BQ$1006,0)), HYPERLINK("#",""), HYPERLINK(CONCATENATE("#Metadata!", ADDRESS(INDEX($AJ$2:$AJ$1001,MATCH(ROWS($AH$2:AH948),$AH$2:$AH$1001,0),0), INDEX($AO$1004:$BQ$1004,1,MATCH(COLUMNS($AO$1006:BK1006),$AO$1006:$BQ$1006,0)))),"Fix")))</f>
        <v>#N/A</v>
      </c>
      <c r="Y948" s="5" t="e">
        <f ca="1">IF(OR(INDEX($AI$2:$AI$1001,MATCH(ROWS($AH$2:AH948),$AH$2:$AH$1001,0),1)&gt;=100000,INDEX($AO$1005:$BQ$1005,1,MATCH(COLUMNS($AO$1006:BL1006),$AO$1006:$BQ$1006,0))&gt;=100000), " ",IF(INDEX($AO$2:$BQ$1001,MATCH(ROWS($AH$2:AH948),$AH$2:$AH$1001,0),MATCH(COLUMNS($AO$1006:BL1006),$AO$1006:$BQ$1006,0)), HYPERLINK("#",""), HYPERLINK(CONCATENATE("#Metadata!", ADDRESS(INDEX($AJ$2:$AJ$1001,MATCH(ROWS($AH$2:AH948),$AH$2:$AH$1001,0),0), INDEX($AO$1004:$BQ$1004,1,MATCH(COLUMNS($AO$1006:BL1006),$AO$1006:$BQ$1006,0)))),"Fix")))</f>
        <v>#N/A</v>
      </c>
      <c r="Z948" s="5" t="e">
        <f ca="1">IF(OR(INDEX($AI$2:$AI$1001,MATCH(ROWS($AH$2:AH948),$AH$2:$AH$1001,0),1)&gt;=100000,INDEX($AO$1005:$BQ$1005,1,MATCH(COLUMNS($AO$1006:BM1006),$AO$1006:$BQ$1006,0))&gt;=100000), " ",IF(INDEX($AO$2:$BQ$1001,MATCH(ROWS($AH$2:AH948),$AH$2:$AH$1001,0),MATCH(COLUMNS($AO$1006:BM1006),$AO$1006:$BQ$1006,0)), HYPERLINK("#",""), HYPERLINK(CONCATENATE("#Metadata!", ADDRESS(INDEX($AJ$2:$AJ$1001,MATCH(ROWS($AH$2:AH948),$AH$2:$AH$1001,0),0), INDEX($AO$1004:$BQ$1004,1,MATCH(COLUMNS($AO$1006:BM1006),$AO$1006:$BQ$1006,0)))),"Fix")))</f>
        <v>#N/A</v>
      </c>
      <c r="AA948" s="5" t="e">
        <f ca="1">IF(OR(INDEX($AI$2:$AI$1001,MATCH(ROWS($AH$2:AH948),$AH$2:$AH$1001,0),1)&gt;=100000,INDEX($AO$1005:$BQ$1005,1,MATCH(COLUMNS($AO$1006:BN1006),$AO$1006:$BQ$1006,0))&gt;=100000), " ",IF(INDEX($AO$2:$BQ$1001,MATCH(ROWS($AH$2:AH948),$AH$2:$AH$1001,0),MATCH(COLUMNS($AO$1006:BN1006),$AO$1006:$BQ$1006,0)), HYPERLINK("#",""), HYPERLINK(CONCATENATE("#Metadata!", ADDRESS(INDEX($AJ$2:$AJ$1001,MATCH(ROWS($AH$2:AH948),$AH$2:$AH$1001,0),0), INDEX($AO$1004:$BQ$1004,1,MATCH(COLUMNS($AO$1006:BN1006),$AO$1006:$BQ$1006,0)))),"Fix")))</f>
        <v>#N/A</v>
      </c>
      <c r="AB948" s="5" t="e">
        <f ca="1">IF(OR(INDEX($AI$2:$AI$1001,MATCH(ROWS($AH$2:AH948),$AH$2:$AH$1001,0),1)&gt;=100000,INDEX($AO$1005:$BQ$1005,1,MATCH(COLUMNS($AO$1006:BO1006),$AO$1006:$BQ$1006,0))&gt;=100000), " ",IF(INDEX($AO$2:$BQ$1001,MATCH(ROWS($AH$2:AH948),$AH$2:$AH$1001,0),MATCH(COLUMNS($AO$1006:BO1006),$AO$1006:$BQ$1006,0)), HYPERLINK("#",""), HYPERLINK(CONCATENATE("#Metadata!", ADDRESS(INDEX($AJ$2:$AJ$1001,MATCH(ROWS($AH$2:AH948),$AH$2:$AH$1001,0),0), INDEX($AO$1004:$BQ$1004,1,MATCH(COLUMNS($AO$1006:BO1006),$AO$1006:$BQ$1006,0)))),"Fix")))</f>
        <v>#N/A</v>
      </c>
      <c r="AC948" s="5" t="e">
        <f ca="1">IF(OR(INDEX($AI$2:$AI$1001,MATCH(ROWS($AH$2:AH948),$AH$2:$AH$1001,0),1)&gt;=100000,INDEX($AO$1005:$BQ$1005,1,MATCH(COLUMNS($AO$1006:BP1006),$AO$1006:$BQ$1006,0))&gt;=100000), " ",IF(INDEX($AO$2:$BQ$1001,MATCH(ROWS($AH$2:AH948),$AH$2:$AH$1001,0),MATCH(COLUMNS($AO$1006:BP1006),$AO$1006:$BQ$1006,0)), HYPERLINK("#",""), HYPERLINK(CONCATENATE("#Metadata!", ADDRESS(INDEX($AJ$2:$AJ$1001,MATCH(ROWS($AH$2:AH948),$AH$2:$AH$1001,0),0), INDEX($AO$1004:$BQ$1004,1,MATCH(COLUMNS($AO$1006:BP1006),$AO$1006:$BQ$1006,0)))),"Fix")))</f>
        <v>#N/A</v>
      </c>
      <c r="AD948" s="5" t="e">
        <f ca="1">IF(OR(INDEX($AI$2:$AI$1001,MATCH(ROWS($AH$2:AH948),$AH$2:$AH$1001,0),1)&gt;=100000,INDEX($AO$1005:$BQ$1005,1,MATCH(COLUMNS($AO$1006:BQ1006),$AO$1006:$BQ$1006,0))&gt;=100000), " ",IF(INDEX($AO$2:$BQ$1001,MATCH(ROWS($AH$2:AH948),$AH$2:$AH$1001,0),MATCH(COLUMNS($AO$1006:BQ1006),$AO$1006:$BQ$1006,0)), HYPERLINK("#",""), HYPERLINK(CONCATENATE("#Metadata!", ADDRESS(INDEX($AJ$2:$AJ$1001,MATCH(ROWS($AH$2:AH948),$AH$2:$AH$1001,0),0), INDEX($AO$1004:$BQ$1004,1,MATCH(COLUMNS($AO$1006:BQ1006),$AO$1006:$BQ$1006,0)))),"Fix")))</f>
        <v>#REF!</v>
      </c>
      <c r="AH948">
        <f ca="1"/>
        <v>945</v>
      </c>
      <c r="AI948">
        <v>100948</v>
      </c>
      <c r="AJ948">
        <v>948</v>
      </c>
      <c r="AK948" t="b">
        <f t="shared" si="14"/>
        <v>1</v>
      </c>
      <c r="AL948" t="b">
        <f>COUNTBLANK(Metadata!B948:AD948)=COLUMNS(Metadata!B948:AD948)</f>
        <v>1</v>
      </c>
      <c r="AM948" t="str">
        <v/>
      </c>
      <c r="AO948" t="b">
        <f ca="1">AND(IF(Metadata!B948="",FALSE,TRUE),COUNTIF(Metadata!B:B, Metadata!B948) = 1,NOT(ISERROR(SUMPRODUCT(SEARCH(MID(Metadata!B948,ROW(INDIRECT("1:"&amp;LEN(Metadata!B948))), 1),"0123456789abcdefghijklmnopqrstuvwxyzABCDEFGHIJKLMNOPQRSTUVWXYZ.")))))</f>
        <v>0</v>
      </c>
      <c r="AP948" t="b">
        <f>IF(Metadata!C948="",FALSE,TRUE)</f>
        <v>0</v>
      </c>
      <c r="AQ948" t="b">
        <f>IF(Metadata!D948="",FALSE,TRUE)</f>
        <v>0</v>
      </c>
      <c r="AR948" t="b">
        <f ca="1">OR(AND(IF(Metadata!E948="",FALSE,TRUE),OR(EXACT(Metadata!E948,"not collected"),EXACT(Metadata!E948,"not provided"),EXACT(Metadata!E948,"restricted access"))),AND(IF(Metadata!E948="",FALSE,TRUE),AND(AND(IFERROR(INT(LEFT(Metadata!E948,4))&gt;1900,FALSE),IFERROR(INT(LEFT(Metadata!E948,4))&lt;=YEAR(NOW()),FALSE)), OR(MID(Metadata!E948,5,1)="", AND(AND(MID(Metadata!E948,5,1)="-",IFERROR(INT(MID(Metadata!E948,6,1))&gt;=0,FALSE),IFERROR(INT(MID(Metadata!E948,6,1))&lt;=1,FALSE),NOT(MID(Metadata!E948,7,1)=""),IFERROR(INT(MID(Metadata!E948,6,2))&gt;=1,FALSE),IFERROR(INT(MID(Metadata!E948,6,2))&lt;=12,FALSE)), OR(MID(Metadata!E948,8,1)="", AND(AND(MID(Metadata!E948,8,1)="-",IFERROR(INT(MID(Metadata!E948,9,1))&gt;=0,FALSE),IFERROR(INT(MID(Metadata!E948,9,1))&lt;=3,FALSE),NOT(MID(Metadata!E948,10,1)=""),IFERROR(INT(MID(Metadata!E948,9,2))&gt;=1,FALSE),IFERROR(INT(MID(Metadata!E948,9,2))&lt;=31,FALSE)), OR(MID(Metadata!E948,11,1)="", AND(AND(MID(Metadata!E948,11,1)=" ",IFERROR(INT(MID(Metadata!E948,12,1))&gt;=0,FALSE),IFERROR(INT(MID(Metadata!E948,12,1))&lt;=2,FALSE),NOT(MID(Metadata!E948,13,1)=""),IFERROR(INT(MID(Metadata!E948,12,2))&gt;=0,FALSE),IFERROR(INT(MID(Metadata!E948,12,2))&lt;=23,FALSE)), OR(MID(Metadata!E948,14,1)="", AND(AND(MID(Metadata!E948,14,1)=":",IFERROR(INT(MID(Metadata!E948,15,1))&gt;=0,FALSE),IFERROR(INT(MID(Metadata!E948,15,1))&lt;=5,FALSE),NOT(MID(Metadata!E948,16,1)=""),IFERROR(INT(MID(Metadata!E948,15,2))&gt;=0,FALSE),IFERROR(INT(MID(Metadata!E948,15,2))&lt;=59,FALSE)), OR(MID(Metadata!E948,17,1)="", AND(AND(MID(Metadata!E948,17,1)=":",IFERROR(INT(MID(Metadata!E948,18,1))&gt;=0,FALSE),IFERROR(INT(MID(Metadata!E948,18,1))&lt;=5,FALSE),NOT(MID(Metadata!E948,19,1)=""),IFERROR(INT(MID(Metadata!E948,18,2))&gt;=0,FALSE),IFERROR(INT(MID(Metadata!E948,18,2))&lt;=59,FALSE)), LEN(Metadata!E948)&lt;=19)))))))))))))</f>
        <v>0</v>
      </c>
      <c r="AS948" t="b">
        <f>IF(Metadata!F948="",FALSE,TRUE)</f>
        <v>0</v>
      </c>
      <c r="AT948" t="b">
        <f>OR(AND(IF(Metadata!G948="",FALSE,TRUE),OR(EXACT(Metadata!G948,"not collected"),EXACT(Metadata!G948,"not provided"))),AND(IF(Metadata!G948="",FALSE,TRUE),OR(EXACT(Metadata!G948,"TRUE"),EXACT(Metadata!G948,"FALSE"))))</f>
        <v>0</v>
      </c>
      <c r="AU948" t="b">
        <f>OR(AND(IF(Metadata!H948="",FALSE,TRUE),OR(EXACT(Metadata!H948,"not collected"),EXACT(Metadata!H948,"not provided"),EXACT(Metadata!H948,"restricted access"))),AND(IF(Metadata!H948="",FALSE,ISNUMBER(VALUE(Metadata!H948))),Metadata!H948&gt;=-413))</f>
        <v>0</v>
      </c>
      <c r="AV948" t="b">
        <f>AND(IF(Metadata!I948="",FALSE,TRUE),EXACT(Metadata!I948,"meters"))</f>
        <v>0</v>
      </c>
      <c r="AW948" t="b">
        <f>AND(IF(Metadata!J948="",FALSE,TRUE),EXACT(Metadata!J948,"free-living"))</f>
        <v>0</v>
      </c>
      <c r="AX948" t="b">
        <f>AND(IF(Metadata!K948="",FALSE,TRUE),OR(EXACT(Metadata!K948,"saline"),EXACT(Metadata!K948,"non-saline")))</f>
        <v>0</v>
      </c>
      <c r="AY948" t="b">
        <f>AND(IF(Metadata!L948="",FALSE,TRUE),OR(EXACT(Metadata!L948,"sub-surface (non-saline)"),EXACT(Metadata!L948,"surface (non-saline)"),EXACT(Metadata!L948,"water (non-saline)"),EXACT(Metadata!L948,"soil (non-saline)"),EXACT(Metadata!L948,"aerosol (non-saline)"),EXACT(Metadata!L948,"sediment (non-saline)"),EXACT(Metadata!L948,"surface (saline)"),EXACT(Metadata!L948,"water (saline)"),EXACT(Metadata!L948,"hypersaline (saline)"),EXACT(Metadata!L948,"aerosol (saline)"),EXACT(Metadata!L948,"sediment (saline)")))</f>
        <v>0</v>
      </c>
      <c r="AZ948" t="b">
        <f>IF(Metadata!M948="",FALSE,TRUE)</f>
        <v>0</v>
      </c>
      <c r="BA948" t="b">
        <f>IF(Metadata!N948="",FALSE,TRUE)</f>
        <v>0</v>
      </c>
      <c r="BB948" t="b">
        <f>IF(Metadata!O948="",FALSE,TRUE)</f>
        <v>0</v>
      </c>
      <c r="BC948" t="b">
        <f>AND(IF(Metadata!P948="",FALSE,TRUE),OR(EXACT(Metadata!P948,"air"),EXACT(Metadata!P948,"microbial mat/biofilm"),EXACT(Metadata!P948,"misc environment"),EXACT(Metadata!P948,"sediment"),EXACT(Metadata!P948,"soil"),EXACT(Metadata!P948,"wastewater/sludge"),EXACT(Metadata!P948,"water")))</f>
        <v>0</v>
      </c>
      <c r="BD948" t="b">
        <f>IF(Metadata!Q948="",FALSE,TRUE)</f>
        <v>0</v>
      </c>
      <c r="BE948" t="b">
        <f>IF(Metadata!R948="",FALSE,TRUE)</f>
        <v>0</v>
      </c>
      <c r="BF948" t="b">
        <f>OR(AND(IF(Metadata!S948="",FALSE,TRUE),OR(EXACT(Metadata!S948,"not collected"),EXACT(Metadata!S948,"not provided"),EXACT(Metadata!S948,"restricted access"))),AND(IF(Metadata!S948="",FALSE,ISNUMBER(VALUE(Metadata!S948))),Metadata!S948&gt;=-90,Metadata!S948&lt;=90))</f>
        <v>0</v>
      </c>
      <c r="BG948" t="b">
        <f>AND(IF(Metadata!T948="",FALSE,TRUE),EXACT(Metadata!T948,"Decimal degrees"))</f>
        <v>0</v>
      </c>
      <c r="BH948" t="b">
        <f>OR(AND(IF(Metadata!U948="",FALSE,TRUE),OR(EXACT(Metadata!U948,"not applicable"),EXACT(Metadata!U948,"not collected"))),IF(Metadata!U948="",FALSE,TRUE))</f>
        <v>0</v>
      </c>
      <c r="BI948" t="b">
        <f>OR(AND(IF(Metadata!V948="",FALSE,TRUE),OR(EXACT(Metadata!V948,"not collected"),EXACT(Metadata!V948,"not provided"),EXACT(Metadata!V948,"restricted access"))),AND(IF(Metadata!V948="",FALSE,ISNUMBER(VALUE(Metadata!V948))),Metadata!V948&gt;=-180,Metadata!V948&lt;=180))</f>
        <v>0</v>
      </c>
      <c r="BJ948" t="b">
        <f>AND(IF(Metadata!W948="",FALSE,TRUE),EXACT(Metadata!W948,"Decimal degrees"))</f>
        <v>0</v>
      </c>
      <c r="BK948" t="b">
        <f>IF(Metadata!X948="",FALSE,TRUE)</f>
        <v>0</v>
      </c>
      <c r="BL948" t="b">
        <f>OR(AND(IF(Metadata!Y948="",FALSE,TRUE),OR(EXACT(Metadata!Y948,"not collected"),EXACT(Metadata!Y948,"not provided"),EXACT(Metadata!Y948,"restricted access"))),AND(IF(Metadata!Y948="",FALSE,TRUE),OR(EXACT(Metadata!Y948,"TRUE"),EXACT(Metadata!Y948,"FALSE"))))</f>
        <v>0</v>
      </c>
      <c r="BM948" t="b">
        <f>OR(AND(IF(Metadata!Z948="",FALSE,TRUE),EXACT(Metadata!Z948,"not applicable")),AND(IF(Metadata!Z948="",FALSE,TRUE),OR(EXACT(Metadata!Z948,"beer"),EXACT(Metadata!Z948,"cheese"),EXACT(Metadata!Z948,"fresh water"),EXACT(Metadata!Z948,"marine sediment"),EXACT(Metadata!Z948,"sea water"),EXACT(Metadata!Z948,"sediment"),EXACT(Metadata!Z948,"soil"),EXACT(Metadata!Z948,"waste water"))))</f>
        <v>0</v>
      </c>
      <c r="BN948" t="b">
        <f>AND(IF(Metadata!AA948="",FALSE,TRUE),EXACT(Metadata!AA948,"metagenome"))</f>
        <v>0</v>
      </c>
      <c r="BO948" t="b">
        <f>AND(IF(Metadata!AB948="",FALSE,TRUE),EXACT(Metadata!AB948,"256318"))</f>
        <v>0</v>
      </c>
      <c r="BP948" t="b">
        <f>IF(Metadata!AC948="",FALSE,TRUE)</f>
        <v>0</v>
      </c>
      <c r="BQ948" t="b">
        <f>IF(Metadata!AD948="",FALSE,TRUE)</f>
        <v>0</v>
      </c>
    </row>
    <row r="949" spans="1:69" x14ac:dyDescent="0.2">
      <c r="A949" s="4" t="e">
        <f ca="1">IF(B949=" "," ",HYPERLINK(CONCATENATE("#metadata!",ADDRESS(INDEX($AJ$2:$AJ$1001,MATCH(ROWS($AH$2:AH949),$AH$2:$AH$1001,0),0),2)),INDEX($AM$2:$AM$1001,MATCH(ROWS($AH$2:AH949),$AH$2:$AH$1001,0),0)))</f>
        <v>#N/A</v>
      </c>
      <c r="B949" s="5" t="e">
        <f ca="1">IF(OR(INDEX($AI$2:$AI$1001,MATCH(ROWS($AH$2:AH949),$AH$2:$AH$1001,0),1)&gt;=100000,INDEX($AO$1005:$BQ$1005,1,MATCH(COLUMNS($AO$1006:AO1006),$AO$1006:$BQ$1006,0))&gt;=100000), " ",IF(INDEX($AO$2:$BQ$1001,MATCH(ROWS($AH$2:AH949),$AH$2:$AH$1001,0),MATCH(COLUMNS($AO$1006:AO1006),$AO$1006:$BQ$1006,0)), HYPERLINK("#",""), HYPERLINK(CONCATENATE("#Metadata!", ADDRESS(INDEX($AJ$2:$AJ$1001,MATCH(ROWS($AH$2:AH949),$AH$2:$AH$1001,0),0), INDEX($AO$1004:$BQ$1004,1,MATCH(COLUMNS($AO$1006:AO1006),$AO$1006:$BQ$1006,0)))),"Fix")))</f>
        <v>#N/A</v>
      </c>
      <c r="C949" s="5" t="e">
        <f ca="1">IF(OR(INDEX($AI$2:$AI$1001,MATCH(ROWS($AH$2:AH949),$AH$2:$AH$1001,0),1)&gt;=100000,INDEX($AO$1005:$BQ$1005,1,MATCH(COLUMNS($AO$1006:AP1006),$AO$1006:$BQ$1006,0))&gt;=100000), " ",IF(INDEX($AO$2:$BQ$1001,MATCH(ROWS($AH$2:AH949),$AH$2:$AH$1001,0),MATCH(COLUMNS($AO$1006:AP1006),$AO$1006:$BQ$1006,0)), HYPERLINK("#",""), HYPERLINK(CONCATENATE("#Metadata!", ADDRESS(INDEX($AJ$2:$AJ$1001,MATCH(ROWS($AH$2:AH949),$AH$2:$AH$1001,0),0), INDEX($AO$1004:$BQ$1004,1,MATCH(COLUMNS($AO$1006:AP1006),$AO$1006:$BQ$1006,0)))),"Fix")))</f>
        <v>#N/A</v>
      </c>
      <c r="D949" s="5" t="e">
        <f ca="1">IF(OR(INDEX($AI$2:$AI$1001,MATCH(ROWS($AH$2:AH949),$AH$2:$AH$1001,0),1)&gt;=100000,INDEX($AO$1005:$BQ$1005,1,MATCH(COLUMNS($AO$1006:AQ1006),$AO$1006:$BQ$1006,0))&gt;=100000), " ",IF(INDEX($AO$2:$BQ$1001,MATCH(ROWS($AH$2:AH949),$AH$2:$AH$1001,0),MATCH(COLUMNS($AO$1006:AQ1006),$AO$1006:$BQ$1006,0)), HYPERLINK("#",""), HYPERLINK(CONCATENATE("#Metadata!", ADDRESS(INDEX($AJ$2:$AJ$1001,MATCH(ROWS($AH$2:AH949),$AH$2:$AH$1001,0),0), INDEX($AO$1004:$BQ$1004,1,MATCH(COLUMNS($AO$1006:AQ1006),$AO$1006:$BQ$1006,0)))),"Fix")))</f>
        <v>#N/A</v>
      </c>
      <c r="E949" s="5" t="e">
        <f ca="1">IF(OR(INDEX($AI$2:$AI$1001,MATCH(ROWS($AH$2:AH949),$AH$2:$AH$1001,0),1)&gt;=100000,INDEX($AO$1005:$BQ$1005,1,MATCH(COLUMNS($AO$1006:AR1006),$AO$1006:$BQ$1006,0))&gt;=100000), " ",IF(INDEX($AO$2:$BQ$1001,MATCH(ROWS($AH$2:AH949),$AH$2:$AH$1001,0),MATCH(COLUMNS($AO$1006:AR1006),$AO$1006:$BQ$1006,0)), HYPERLINK("#",""), HYPERLINK(CONCATENATE("#Metadata!", ADDRESS(INDEX($AJ$2:$AJ$1001,MATCH(ROWS($AH$2:AH949),$AH$2:$AH$1001,0),0), INDEX($AO$1004:$BQ$1004,1,MATCH(COLUMNS($AO$1006:AR1006),$AO$1006:$BQ$1006,0)))),"Fix")))</f>
        <v>#N/A</v>
      </c>
      <c r="F949" s="5" t="e">
        <f ca="1">IF(OR(INDEX($AI$2:$AI$1001,MATCH(ROWS($AH$2:AH949),$AH$2:$AH$1001,0),1)&gt;=100000,INDEX($AO$1005:$BQ$1005,1,MATCH(COLUMNS($AO$1006:AS1006),$AO$1006:$BQ$1006,0))&gt;=100000), " ",IF(INDEX($AO$2:$BQ$1001,MATCH(ROWS($AH$2:AH949),$AH$2:$AH$1001,0),MATCH(COLUMNS($AO$1006:AS1006),$AO$1006:$BQ$1006,0)), HYPERLINK("#",""), HYPERLINK(CONCATENATE("#Metadata!", ADDRESS(INDEX($AJ$2:$AJ$1001,MATCH(ROWS($AH$2:AH949),$AH$2:$AH$1001,0),0), INDEX($AO$1004:$BQ$1004,1,MATCH(COLUMNS($AO$1006:AS1006),$AO$1006:$BQ$1006,0)))),"Fix")))</f>
        <v>#N/A</v>
      </c>
      <c r="G949" s="5" t="e">
        <f ca="1">IF(OR(INDEX($AI$2:$AI$1001,MATCH(ROWS($AH$2:AH949),$AH$2:$AH$1001,0),1)&gt;=100000,INDEX($AO$1005:$BQ$1005,1,MATCH(COLUMNS($AO$1006:AT1006),$AO$1006:$BQ$1006,0))&gt;=100000), " ",IF(INDEX($AO$2:$BQ$1001,MATCH(ROWS($AH$2:AH949),$AH$2:$AH$1001,0),MATCH(COLUMNS($AO$1006:AT1006),$AO$1006:$BQ$1006,0)), HYPERLINK("#",""), HYPERLINK(CONCATENATE("#Metadata!", ADDRESS(INDEX($AJ$2:$AJ$1001,MATCH(ROWS($AH$2:AH949),$AH$2:$AH$1001,0),0), INDEX($AO$1004:$BQ$1004,1,MATCH(COLUMNS($AO$1006:AT1006),$AO$1006:$BQ$1006,0)))),"Fix")))</f>
        <v>#N/A</v>
      </c>
      <c r="H949" s="5" t="e">
        <f ca="1">IF(OR(INDEX($AI$2:$AI$1001,MATCH(ROWS($AH$2:AH949),$AH$2:$AH$1001,0),1)&gt;=100000,INDEX($AO$1005:$BQ$1005,1,MATCH(COLUMNS($AO$1006:AU1006),$AO$1006:$BQ$1006,0))&gt;=100000), " ",IF(INDEX($AO$2:$BQ$1001,MATCH(ROWS($AH$2:AH949),$AH$2:$AH$1001,0),MATCH(COLUMNS($AO$1006:AU1006),$AO$1006:$BQ$1006,0)), HYPERLINK("#",""), HYPERLINK(CONCATENATE("#Metadata!", ADDRESS(INDEX($AJ$2:$AJ$1001,MATCH(ROWS($AH$2:AH949),$AH$2:$AH$1001,0),0), INDEX($AO$1004:$BQ$1004,1,MATCH(COLUMNS($AO$1006:AU1006),$AO$1006:$BQ$1006,0)))),"Fix")))</f>
        <v>#N/A</v>
      </c>
      <c r="I949" s="5" t="e">
        <f ca="1">IF(OR(INDEX($AI$2:$AI$1001,MATCH(ROWS($AH$2:AH949),$AH$2:$AH$1001,0),1)&gt;=100000,INDEX($AO$1005:$BQ$1005,1,MATCH(COLUMNS($AO$1006:AV1006),$AO$1006:$BQ$1006,0))&gt;=100000), " ",IF(INDEX($AO$2:$BQ$1001,MATCH(ROWS($AH$2:AH949),$AH$2:$AH$1001,0),MATCH(COLUMNS($AO$1006:AV1006),$AO$1006:$BQ$1006,0)), HYPERLINK("#",""), HYPERLINK(CONCATENATE("#Metadata!", ADDRESS(INDEX($AJ$2:$AJ$1001,MATCH(ROWS($AH$2:AH949),$AH$2:$AH$1001,0),0), INDEX($AO$1004:$BQ$1004,1,MATCH(COLUMNS($AO$1006:AV1006),$AO$1006:$BQ$1006,0)))),"Fix")))</f>
        <v>#N/A</v>
      </c>
      <c r="J949" s="5" t="e">
        <f ca="1">IF(OR(INDEX($AI$2:$AI$1001,MATCH(ROWS($AH$2:AH949),$AH$2:$AH$1001,0),1)&gt;=100000,INDEX($AO$1005:$BQ$1005,1,MATCH(COLUMNS($AO$1006:AW1006),$AO$1006:$BQ$1006,0))&gt;=100000), " ",IF(INDEX($AO$2:$BQ$1001,MATCH(ROWS($AH$2:AH949),$AH$2:$AH$1001,0),MATCH(COLUMNS($AO$1006:AW1006),$AO$1006:$BQ$1006,0)), HYPERLINK("#",""), HYPERLINK(CONCATENATE("#Metadata!", ADDRESS(INDEX($AJ$2:$AJ$1001,MATCH(ROWS($AH$2:AH949),$AH$2:$AH$1001,0),0), INDEX($AO$1004:$BQ$1004,1,MATCH(COLUMNS($AO$1006:AW1006),$AO$1006:$BQ$1006,0)))),"Fix")))</f>
        <v>#N/A</v>
      </c>
      <c r="K949" s="5" t="e">
        <f ca="1">IF(OR(INDEX($AI$2:$AI$1001,MATCH(ROWS($AH$2:AH949),$AH$2:$AH$1001,0),1)&gt;=100000,INDEX($AO$1005:$BQ$1005,1,MATCH(COLUMNS($AO$1006:AX1006),$AO$1006:$BQ$1006,0))&gt;=100000), " ",IF(INDEX($AO$2:$BQ$1001,MATCH(ROWS($AH$2:AH949),$AH$2:$AH$1001,0),MATCH(COLUMNS($AO$1006:AX1006),$AO$1006:$BQ$1006,0)), HYPERLINK("#",""), HYPERLINK(CONCATENATE("#Metadata!", ADDRESS(INDEX($AJ$2:$AJ$1001,MATCH(ROWS($AH$2:AH949),$AH$2:$AH$1001,0),0), INDEX($AO$1004:$BQ$1004,1,MATCH(COLUMNS($AO$1006:AX1006),$AO$1006:$BQ$1006,0)))),"Fix")))</f>
        <v>#N/A</v>
      </c>
      <c r="L949" s="5" t="e">
        <f ca="1">IF(OR(INDEX($AI$2:$AI$1001,MATCH(ROWS($AH$2:AH949),$AH$2:$AH$1001,0),1)&gt;=100000,INDEX($AO$1005:$BQ$1005,1,MATCH(COLUMNS($AO$1006:AY1006),$AO$1006:$BQ$1006,0))&gt;=100000), " ",IF(INDEX($AO$2:$BQ$1001,MATCH(ROWS($AH$2:AH949),$AH$2:$AH$1001,0),MATCH(COLUMNS($AO$1006:AY1006),$AO$1006:$BQ$1006,0)), HYPERLINK("#",""), HYPERLINK(CONCATENATE("#Metadata!", ADDRESS(INDEX($AJ$2:$AJ$1001,MATCH(ROWS($AH$2:AH949),$AH$2:$AH$1001,0),0), INDEX($AO$1004:$BQ$1004,1,MATCH(COLUMNS($AO$1006:AY1006),$AO$1006:$BQ$1006,0)))),"Fix")))</f>
        <v>#N/A</v>
      </c>
      <c r="M949" s="5" t="e">
        <f ca="1">IF(OR(INDEX($AI$2:$AI$1001,MATCH(ROWS($AH$2:AH949),$AH$2:$AH$1001,0),1)&gt;=100000,INDEX($AO$1005:$BQ$1005,1,MATCH(COLUMNS($AO$1006:AZ1006),$AO$1006:$BQ$1006,0))&gt;=100000), " ",IF(INDEX($AO$2:$BQ$1001,MATCH(ROWS($AH$2:AH949),$AH$2:$AH$1001,0),MATCH(COLUMNS($AO$1006:AZ1006),$AO$1006:$BQ$1006,0)), HYPERLINK("#",""), HYPERLINK(CONCATENATE("#Metadata!", ADDRESS(INDEX($AJ$2:$AJ$1001,MATCH(ROWS($AH$2:AH949),$AH$2:$AH$1001,0),0), INDEX($AO$1004:$BQ$1004,1,MATCH(COLUMNS($AO$1006:AZ1006),$AO$1006:$BQ$1006,0)))),"Fix")))</f>
        <v>#N/A</v>
      </c>
      <c r="N949" s="5" t="e">
        <f ca="1">IF(OR(INDEX($AI$2:$AI$1001,MATCH(ROWS($AH$2:AH949),$AH$2:$AH$1001,0),1)&gt;=100000,INDEX($AO$1005:$BQ$1005,1,MATCH(COLUMNS($AO$1006:BA1006),$AO$1006:$BQ$1006,0))&gt;=100000), " ",IF(INDEX($AO$2:$BQ$1001,MATCH(ROWS($AH$2:AH949),$AH$2:$AH$1001,0),MATCH(COLUMNS($AO$1006:BA1006),$AO$1006:$BQ$1006,0)), HYPERLINK("#",""), HYPERLINK(CONCATENATE("#Metadata!", ADDRESS(INDEX($AJ$2:$AJ$1001,MATCH(ROWS($AH$2:AH949),$AH$2:$AH$1001,0),0), INDEX($AO$1004:$BQ$1004,1,MATCH(COLUMNS($AO$1006:BA1006),$AO$1006:$BQ$1006,0)))),"Fix")))</f>
        <v>#N/A</v>
      </c>
      <c r="O949" s="5" t="e">
        <f ca="1">IF(OR(INDEX($AI$2:$AI$1001,MATCH(ROWS($AH$2:AH949),$AH$2:$AH$1001,0),1)&gt;=100000,INDEX($AO$1005:$BQ$1005,1,MATCH(COLUMNS($AO$1006:BB1006),$AO$1006:$BQ$1006,0))&gt;=100000), " ",IF(INDEX($AO$2:$BQ$1001,MATCH(ROWS($AH$2:AH949),$AH$2:$AH$1001,0),MATCH(COLUMNS($AO$1006:BB1006),$AO$1006:$BQ$1006,0)), HYPERLINK("#",""), HYPERLINK(CONCATENATE("#Metadata!", ADDRESS(INDEX($AJ$2:$AJ$1001,MATCH(ROWS($AH$2:AH949),$AH$2:$AH$1001,0),0), INDEX($AO$1004:$BQ$1004,1,MATCH(COLUMNS($AO$1006:BB1006),$AO$1006:$BQ$1006,0)))),"Fix")))</f>
        <v>#N/A</v>
      </c>
      <c r="P949" s="5" t="e">
        <f ca="1">IF(OR(INDEX($AI$2:$AI$1001,MATCH(ROWS($AH$2:AH949),$AH$2:$AH$1001,0),1)&gt;=100000,INDEX($AO$1005:$BQ$1005,1,MATCH(COLUMNS($AO$1006:BC1006),$AO$1006:$BQ$1006,0))&gt;=100000), " ",IF(INDEX($AO$2:$BQ$1001,MATCH(ROWS($AH$2:AH949),$AH$2:$AH$1001,0),MATCH(COLUMNS($AO$1006:BC1006),$AO$1006:$BQ$1006,0)), HYPERLINK("#",""), HYPERLINK(CONCATENATE("#Metadata!", ADDRESS(INDEX($AJ$2:$AJ$1001,MATCH(ROWS($AH$2:AH949),$AH$2:$AH$1001,0),0), INDEX($AO$1004:$BQ$1004,1,MATCH(COLUMNS($AO$1006:BC1006),$AO$1006:$BQ$1006,0)))),"Fix")))</f>
        <v>#N/A</v>
      </c>
      <c r="Q949" s="5" t="e">
        <f ca="1">IF(OR(INDEX($AI$2:$AI$1001,MATCH(ROWS($AH$2:AH949),$AH$2:$AH$1001,0),1)&gt;=100000,INDEX($AO$1005:$BQ$1005,1,MATCH(COLUMNS($AO$1006:BD1006),$AO$1006:$BQ$1006,0))&gt;=100000), " ",IF(INDEX($AO$2:$BQ$1001,MATCH(ROWS($AH$2:AH949),$AH$2:$AH$1001,0),MATCH(COLUMNS($AO$1006:BD1006),$AO$1006:$BQ$1006,0)), HYPERLINK("#",""), HYPERLINK(CONCATENATE("#Metadata!", ADDRESS(INDEX($AJ$2:$AJ$1001,MATCH(ROWS($AH$2:AH949),$AH$2:$AH$1001,0),0), INDEX($AO$1004:$BQ$1004,1,MATCH(COLUMNS($AO$1006:BD1006),$AO$1006:$BQ$1006,0)))),"Fix")))</f>
        <v>#N/A</v>
      </c>
      <c r="R949" s="5" t="e">
        <f ca="1">IF(OR(INDEX($AI$2:$AI$1001,MATCH(ROWS($AH$2:AH949),$AH$2:$AH$1001,0),1)&gt;=100000,INDEX($AO$1005:$BQ$1005,1,MATCH(COLUMNS($AO$1006:BE1006),$AO$1006:$BQ$1006,0))&gt;=100000), " ",IF(INDEX($AO$2:$BQ$1001,MATCH(ROWS($AH$2:AH949),$AH$2:$AH$1001,0),MATCH(COLUMNS($AO$1006:BE1006),$AO$1006:$BQ$1006,0)), HYPERLINK("#",""), HYPERLINK(CONCATENATE("#Metadata!", ADDRESS(INDEX($AJ$2:$AJ$1001,MATCH(ROWS($AH$2:AH949),$AH$2:$AH$1001,0),0), INDEX($AO$1004:$BQ$1004,1,MATCH(COLUMNS($AO$1006:BE1006),$AO$1006:$BQ$1006,0)))),"Fix")))</f>
        <v>#N/A</v>
      </c>
      <c r="S949" s="5" t="e">
        <f ca="1">IF(OR(INDEX($AI$2:$AI$1001,MATCH(ROWS($AH$2:AH949),$AH$2:$AH$1001,0),1)&gt;=100000,INDEX($AO$1005:$BQ$1005,1,MATCH(COLUMNS($AO$1006:BF1006),$AO$1006:$BQ$1006,0))&gt;=100000), " ",IF(INDEX($AO$2:$BQ$1001,MATCH(ROWS($AH$2:AH949),$AH$2:$AH$1001,0),MATCH(COLUMNS($AO$1006:BF1006),$AO$1006:$BQ$1006,0)), HYPERLINK("#",""), HYPERLINK(CONCATENATE("#Metadata!", ADDRESS(INDEX($AJ$2:$AJ$1001,MATCH(ROWS($AH$2:AH949),$AH$2:$AH$1001,0),0), INDEX($AO$1004:$BQ$1004,1,MATCH(COLUMNS($AO$1006:BF1006),$AO$1006:$BQ$1006,0)))),"Fix")))</f>
        <v>#N/A</v>
      </c>
      <c r="T949" s="5" t="e">
        <f ca="1">IF(OR(INDEX($AI$2:$AI$1001,MATCH(ROWS($AH$2:AH949),$AH$2:$AH$1001,0),1)&gt;=100000,INDEX($AO$1005:$BQ$1005,1,MATCH(COLUMNS($AO$1006:BG1006),$AO$1006:$BQ$1006,0))&gt;=100000), " ",IF(INDEX($AO$2:$BQ$1001,MATCH(ROWS($AH$2:AH949),$AH$2:$AH$1001,0),MATCH(COLUMNS($AO$1006:BG1006),$AO$1006:$BQ$1006,0)), HYPERLINK("#",""), HYPERLINK(CONCATENATE("#Metadata!", ADDRESS(INDEX($AJ$2:$AJ$1001,MATCH(ROWS($AH$2:AH949),$AH$2:$AH$1001,0),0), INDEX($AO$1004:$BQ$1004,1,MATCH(COLUMNS($AO$1006:BG1006),$AO$1006:$BQ$1006,0)))),"Fix")))</f>
        <v>#N/A</v>
      </c>
      <c r="U949" s="5" t="e">
        <f ca="1">IF(OR(INDEX($AI$2:$AI$1001,MATCH(ROWS($AH$2:AH949),$AH$2:$AH$1001,0),1)&gt;=100000,INDEX($AO$1005:$BQ$1005,1,MATCH(COLUMNS($AO$1006:BH1006),$AO$1006:$BQ$1006,0))&gt;=100000), " ",IF(INDEX($AO$2:$BQ$1001,MATCH(ROWS($AH$2:AH949),$AH$2:$AH$1001,0),MATCH(COLUMNS($AO$1006:BH1006),$AO$1006:$BQ$1006,0)), HYPERLINK("#",""), HYPERLINK(CONCATENATE("#Metadata!", ADDRESS(INDEX($AJ$2:$AJ$1001,MATCH(ROWS($AH$2:AH949),$AH$2:$AH$1001,0),0), INDEX($AO$1004:$BQ$1004,1,MATCH(COLUMNS($AO$1006:BH1006),$AO$1006:$BQ$1006,0)))),"Fix")))</f>
        <v>#N/A</v>
      </c>
      <c r="V949" s="5" t="e">
        <f ca="1">IF(OR(INDEX($AI$2:$AI$1001,MATCH(ROWS($AH$2:AH949),$AH$2:$AH$1001,0),1)&gt;=100000,INDEX($AO$1005:$BQ$1005,1,MATCH(COLUMNS($AO$1006:BI1006),$AO$1006:$BQ$1006,0))&gt;=100000), " ",IF(INDEX($AO$2:$BQ$1001,MATCH(ROWS($AH$2:AH949),$AH$2:$AH$1001,0),MATCH(COLUMNS($AO$1006:BI1006),$AO$1006:$BQ$1006,0)), HYPERLINK("#",""), HYPERLINK(CONCATENATE("#Metadata!", ADDRESS(INDEX($AJ$2:$AJ$1001,MATCH(ROWS($AH$2:AH949),$AH$2:$AH$1001,0),0), INDEX($AO$1004:$BQ$1004,1,MATCH(COLUMNS($AO$1006:BI1006),$AO$1006:$BQ$1006,0)))),"Fix")))</f>
        <v>#N/A</v>
      </c>
      <c r="W949" s="5" t="e">
        <f ca="1">IF(OR(INDEX($AI$2:$AI$1001,MATCH(ROWS($AH$2:AH949),$AH$2:$AH$1001,0),1)&gt;=100000,INDEX($AO$1005:$BQ$1005,1,MATCH(COLUMNS($AO$1006:BJ1006),$AO$1006:$BQ$1006,0))&gt;=100000), " ",IF(INDEX($AO$2:$BQ$1001,MATCH(ROWS($AH$2:AH949),$AH$2:$AH$1001,0),MATCH(COLUMNS($AO$1006:BJ1006),$AO$1006:$BQ$1006,0)), HYPERLINK("#",""), HYPERLINK(CONCATENATE("#Metadata!", ADDRESS(INDEX($AJ$2:$AJ$1001,MATCH(ROWS($AH$2:AH949),$AH$2:$AH$1001,0),0), INDEX($AO$1004:$BQ$1004,1,MATCH(COLUMNS($AO$1006:BJ1006),$AO$1006:$BQ$1006,0)))),"Fix")))</f>
        <v>#N/A</v>
      </c>
      <c r="X949" s="5" t="e">
        <f ca="1">IF(OR(INDEX($AI$2:$AI$1001,MATCH(ROWS($AH$2:AH949),$AH$2:$AH$1001,0),1)&gt;=100000,INDEX($AO$1005:$BQ$1005,1,MATCH(COLUMNS($AO$1006:BK1006),$AO$1006:$BQ$1006,0))&gt;=100000), " ",IF(INDEX($AO$2:$BQ$1001,MATCH(ROWS($AH$2:AH949),$AH$2:$AH$1001,0),MATCH(COLUMNS($AO$1006:BK1006),$AO$1006:$BQ$1006,0)), HYPERLINK("#",""), HYPERLINK(CONCATENATE("#Metadata!", ADDRESS(INDEX($AJ$2:$AJ$1001,MATCH(ROWS($AH$2:AH949),$AH$2:$AH$1001,0),0), INDEX($AO$1004:$BQ$1004,1,MATCH(COLUMNS($AO$1006:BK1006),$AO$1006:$BQ$1006,0)))),"Fix")))</f>
        <v>#N/A</v>
      </c>
      <c r="Y949" s="5" t="e">
        <f ca="1">IF(OR(INDEX($AI$2:$AI$1001,MATCH(ROWS($AH$2:AH949),$AH$2:$AH$1001,0),1)&gt;=100000,INDEX($AO$1005:$BQ$1005,1,MATCH(COLUMNS($AO$1006:BL1006),$AO$1006:$BQ$1006,0))&gt;=100000), " ",IF(INDEX($AO$2:$BQ$1001,MATCH(ROWS($AH$2:AH949),$AH$2:$AH$1001,0),MATCH(COLUMNS($AO$1006:BL1006),$AO$1006:$BQ$1006,0)), HYPERLINK("#",""), HYPERLINK(CONCATENATE("#Metadata!", ADDRESS(INDEX($AJ$2:$AJ$1001,MATCH(ROWS($AH$2:AH949),$AH$2:$AH$1001,0),0), INDEX($AO$1004:$BQ$1004,1,MATCH(COLUMNS($AO$1006:BL1006),$AO$1006:$BQ$1006,0)))),"Fix")))</f>
        <v>#N/A</v>
      </c>
      <c r="Z949" s="5" t="e">
        <f ca="1">IF(OR(INDEX($AI$2:$AI$1001,MATCH(ROWS($AH$2:AH949),$AH$2:$AH$1001,0),1)&gt;=100000,INDEX($AO$1005:$BQ$1005,1,MATCH(COLUMNS($AO$1006:BM1006),$AO$1006:$BQ$1006,0))&gt;=100000), " ",IF(INDEX($AO$2:$BQ$1001,MATCH(ROWS($AH$2:AH949),$AH$2:$AH$1001,0),MATCH(COLUMNS($AO$1006:BM1006),$AO$1006:$BQ$1006,0)), HYPERLINK("#",""), HYPERLINK(CONCATENATE("#Metadata!", ADDRESS(INDEX($AJ$2:$AJ$1001,MATCH(ROWS($AH$2:AH949),$AH$2:$AH$1001,0),0), INDEX($AO$1004:$BQ$1004,1,MATCH(COLUMNS($AO$1006:BM1006),$AO$1006:$BQ$1006,0)))),"Fix")))</f>
        <v>#N/A</v>
      </c>
      <c r="AA949" s="5" t="e">
        <f ca="1">IF(OR(INDEX($AI$2:$AI$1001,MATCH(ROWS($AH$2:AH949),$AH$2:$AH$1001,0),1)&gt;=100000,INDEX($AO$1005:$BQ$1005,1,MATCH(COLUMNS($AO$1006:BN1006),$AO$1006:$BQ$1006,0))&gt;=100000), " ",IF(INDEX($AO$2:$BQ$1001,MATCH(ROWS($AH$2:AH949),$AH$2:$AH$1001,0),MATCH(COLUMNS($AO$1006:BN1006),$AO$1006:$BQ$1006,0)), HYPERLINK("#",""), HYPERLINK(CONCATENATE("#Metadata!", ADDRESS(INDEX($AJ$2:$AJ$1001,MATCH(ROWS($AH$2:AH949),$AH$2:$AH$1001,0),0), INDEX($AO$1004:$BQ$1004,1,MATCH(COLUMNS($AO$1006:BN1006),$AO$1006:$BQ$1006,0)))),"Fix")))</f>
        <v>#N/A</v>
      </c>
      <c r="AB949" s="5" t="e">
        <f ca="1">IF(OR(INDEX($AI$2:$AI$1001,MATCH(ROWS($AH$2:AH949),$AH$2:$AH$1001,0),1)&gt;=100000,INDEX($AO$1005:$BQ$1005,1,MATCH(COLUMNS($AO$1006:BO1006),$AO$1006:$BQ$1006,0))&gt;=100000), " ",IF(INDEX($AO$2:$BQ$1001,MATCH(ROWS($AH$2:AH949),$AH$2:$AH$1001,0),MATCH(COLUMNS($AO$1006:BO1006),$AO$1006:$BQ$1006,0)), HYPERLINK("#",""), HYPERLINK(CONCATENATE("#Metadata!", ADDRESS(INDEX($AJ$2:$AJ$1001,MATCH(ROWS($AH$2:AH949),$AH$2:$AH$1001,0),0), INDEX($AO$1004:$BQ$1004,1,MATCH(COLUMNS($AO$1006:BO1006),$AO$1006:$BQ$1006,0)))),"Fix")))</f>
        <v>#N/A</v>
      </c>
      <c r="AC949" s="5" t="e">
        <f ca="1">IF(OR(INDEX($AI$2:$AI$1001,MATCH(ROWS($AH$2:AH949),$AH$2:$AH$1001,0),1)&gt;=100000,INDEX($AO$1005:$BQ$1005,1,MATCH(COLUMNS($AO$1006:BP1006),$AO$1006:$BQ$1006,0))&gt;=100000), " ",IF(INDEX($AO$2:$BQ$1001,MATCH(ROWS($AH$2:AH949),$AH$2:$AH$1001,0),MATCH(COLUMNS($AO$1006:BP1006),$AO$1006:$BQ$1006,0)), HYPERLINK("#",""), HYPERLINK(CONCATENATE("#Metadata!", ADDRESS(INDEX($AJ$2:$AJ$1001,MATCH(ROWS($AH$2:AH949),$AH$2:$AH$1001,0),0), INDEX($AO$1004:$BQ$1004,1,MATCH(COLUMNS($AO$1006:BP1006),$AO$1006:$BQ$1006,0)))),"Fix")))</f>
        <v>#N/A</v>
      </c>
      <c r="AD949" s="5" t="e">
        <f ca="1">IF(OR(INDEX($AI$2:$AI$1001,MATCH(ROWS($AH$2:AH949),$AH$2:$AH$1001,0),1)&gt;=100000,INDEX($AO$1005:$BQ$1005,1,MATCH(COLUMNS($AO$1006:BQ1006),$AO$1006:$BQ$1006,0))&gt;=100000), " ",IF(INDEX($AO$2:$BQ$1001,MATCH(ROWS($AH$2:AH949),$AH$2:$AH$1001,0),MATCH(COLUMNS($AO$1006:BQ1006),$AO$1006:$BQ$1006,0)), HYPERLINK("#",""), HYPERLINK(CONCATENATE("#Metadata!", ADDRESS(INDEX($AJ$2:$AJ$1001,MATCH(ROWS($AH$2:AH949),$AH$2:$AH$1001,0),0), INDEX($AO$1004:$BQ$1004,1,MATCH(COLUMNS($AO$1006:BQ1006),$AO$1006:$BQ$1006,0)))),"Fix")))</f>
        <v>#REF!</v>
      </c>
      <c r="AH949">
        <f ca="1"/>
        <v>946</v>
      </c>
      <c r="AI949">
        <v>100949</v>
      </c>
      <c r="AJ949">
        <v>949</v>
      </c>
      <c r="AK949" t="b">
        <f t="shared" si="14"/>
        <v>1</v>
      </c>
      <c r="AL949" t="b">
        <f>COUNTBLANK(Metadata!B949:AD949)=COLUMNS(Metadata!B949:AD949)</f>
        <v>1</v>
      </c>
      <c r="AM949" t="str">
        <v/>
      </c>
      <c r="AO949" t="b">
        <f ca="1">AND(IF(Metadata!B949="",FALSE,TRUE),COUNTIF(Metadata!B:B, Metadata!B949) = 1,NOT(ISERROR(SUMPRODUCT(SEARCH(MID(Metadata!B949,ROW(INDIRECT("1:"&amp;LEN(Metadata!B949))), 1),"0123456789abcdefghijklmnopqrstuvwxyzABCDEFGHIJKLMNOPQRSTUVWXYZ.")))))</f>
        <v>0</v>
      </c>
      <c r="AP949" t="b">
        <f>IF(Metadata!C949="",FALSE,TRUE)</f>
        <v>0</v>
      </c>
      <c r="AQ949" t="b">
        <f>IF(Metadata!D949="",FALSE,TRUE)</f>
        <v>0</v>
      </c>
      <c r="AR949" t="b">
        <f ca="1">OR(AND(IF(Metadata!E949="",FALSE,TRUE),OR(EXACT(Metadata!E949,"not collected"),EXACT(Metadata!E949,"not provided"),EXACT(Metadata!E949,"restricted access"))),AND(IF(Metadata!E949="",FALSE,TRUE),AND(AND(IFERROR(INT(LEFT(Metadata!E949,4))&gt;1900,FALSE),IFERROR(INT(LEFT(Metadata!E949,4))&lt;=YEAR(NOW()),FALSE)), OR(MID(Metadata!E949,5,1)="", AND(AND(MID(Metadata!E949,5,1)="-",IFERROR(INT(MID(Metadata!E949,6,1))&gt;=0,FALSE),IFERROR(INT(MID(Metadata!E949,6,1))&lt;=1,FALSE),NOT(MID(Metadata!E949,7,1)=""),IFERROR(INT(MID(Metadata!E949,6,2))&gt;=1,FALSE),IFERROR(INT(MID(Metadata!E949,6,2))&lt;=12,FALSE)), OR(MID(Metadata!E949,8,1)="", AND(AND(MID(Metadata!E949,8,1)="-",IFERROR(INT(MID(Metadata!E949,9,1))&gt;=0,FALSE),IFERROR(INT(MID(Metadata!E949,9,1))&lt;=3,FALSE),NOT(MID(Metadata!E949,10,1)=""),IFERROR(INT(MID(Metadata!E949,9,2))&gt;=1,FALSE),IFERROR(INT(MID(Metadata!E949,9,2))&lt;=31,FALSE)), OR(MID(Metadata!E949,11,1)="", AND(AND(MID(Metadata!E949,11,1)=" ",IFERROR(INT(MID(Metadata!E949,12,1))&gt;=0,FALSE),IFERROR(INT(MID(Metadata!E949,12,1))&lt;=2,FALSE),NOT(MID(Metadata!E949,13,1)=""),IFERROR(INT(MID(Metadata!E949,12,2))&gt;=0,FALSE),IFERROR(INT(MID(Metadata!E949,12,2))&lt;=23,FALSE)), OR(MID(Metadata!E949,14,1)="", AND(AND(MID(Metadata!E949,14,1)=":",IFERROR(INT(MID(Metadata!E949,15,1))&gt;=0,FALSE),IFERROR(INT(MID(Metadata!E949,15,1))&lt;=5,FALSE),NOT(MID(Metadata!E949,16,1)=""),IFERROR(INT(MID(Metadata!E949,15,2))&gt;=0,FALSE),IFERROR(INT(MID(Metadata!E949,15,2))&lt;=59,FALSE)), OR(MID(Metadata!E949,17,1)="", AND(AND(MID(Metadata!E949,17,1)=":",IFERROR(INT(MID(Metadata!E949,18,1))&gt;=0,FALSE),IFERROR(INT(MID(Metadata!E949,18,1))&lt;=5,FALSE),NOT(MID(Metadata!E949,19,1)=""),IFERROR(INT(MID(Metadata!E949,18,2))&gt;=0,FALSE),IFERROR(INT(MID(Metadata!E949,18,2))&lt;=59,FALSE)), LEN(Metadata!E949)&lt;=19)))))))))))))</f>
        <v>0</v>
      </c>
      <c r="AS949" t="b">
        <f>IF(Metadata!F949="",FALSE,TRUE)</f>
        <v>0</v>
      </c>
      <c r="AT949" t="b">
        <f>OR(AND(IF(Metadata!G949="",FALSE,TRUE),OR(EXACT(Metadata!G949,"not collected"),EXACT(Metadata!G949,"not provided"))),AND(IF(Metadata!G949="",FALSE,TRUE),OR(EXACT(Metadata!G949,"TRUE"),EXACT(Metadata!G949,"FALSE"))))</f>
        <v>0</v>
      </c>
      <c r="AU949" t="b">
        <f>OR(AND(IF(Metadata!H949="",FALSE,TRUE),OR(EXACT(Metadata!H949,"not collected"),EXACT(Metadata!H949,"not provided"),EXACT(Metadata!H949,"restricted access"))),AND(IF(Metadata!H949="",FALSE,ISNUMBER(VALUE(Metadata!H949))),Metadata!H949&gt;=-413))</f>
        <v>0</v>
      </c>
      <c r="AV949" t="b">
        <f>AND(IF(Metadata!I949="",FALSE,TRUE),EXACT(Metadata!I949,"meters"))</f>
        <v>0</v>
      </c>
      <c r="AW949" t="b">
        <f>AND(IF(Metadata!J949="",FALSE,TRUE),EXACT(Metadata!J949,"free-living"))</f>
        <v>0</v>
      </c>
      <c r="AX949" t="b">
        <f>AND(IF(Metadata!K949="",FALSE,TRUE),OR(EXACT(Metadata!K949,"saline"),EXACT(Metadata!K949,"non-saline")))</f>
        <v>0</v>
      </c>
      <c r="AY949" t="b">
        <f>AND(IF(Metadata!L949="",FALSE,TRUE),OR(EXACT(Metadata!L949,"sub-surface (non-saline)"),EXACT(Metadata!L949,"surface (non-saline)"),EXACT(Metadata!L949,"water (non-saline)"),EXACT(Metadata!L949,"soil (non-saline)"),EXACT(Metadata!L949,"aerosol (non-saline)"),EXACT(Metadata!L949,"sediment (non-saline)"),EXACT(Metadata!L949,"surface (saline)"),EXACT(Metadata!L949,"water (saline)"),EXACT(Metadata!L949,"hypersaline (saline)"),EXACT(Metadata!L949,"aerosol (saline)"),EXACT(Metadata!L949,"sediment (saline)")))</f>
        <v>0</v>
      </c>
      <c r="AZ949" t="b">
        <f>IF(Metadata!M949="",FALSE,TRUE)</f>
        <v>0</v>
      </c>
      <c r="BA949" t="b">
        <f>IF(Metadata!N949="",FALSE,TRUE)</f>
        <v>0</v>
      </c>
      <c r="BB949" t="b">
        <f>IF(Metadata!O949="",FALSE,TRUE)</f>
        <v>0</v>
      </c>
      <c r="BC949" t="b">
        <f>AND(IF(Metadata!P949="",FALSE,TRUE),OR(EXACT(Metadata!P949,"air"),EXACT(Metadata!P949,"microbial mat/biofilm"),EXACT(Metadata!P949,"misc environment"),EXACT(Metadata!P949,"sediment"),EXACT(Metadata!P949,"soil"),EXACT(Metadata!P949,"wastewater/sludge"),EXACT(Metadata!P949,"water")))</f>
        <v>0</v>
      </c>
      <c r="BD949" t="b">
        <f>IF(Metadata!Q949="",FALSE,TRUE)</f>
        <v>0</v>
      </c>
      <c r="BE949" t="b">
        <f>IF(Metadata!R949="",FALSE,TRUE)</f>
        <v>0</v>
      </c>
      <c r="BF949" t="b">
        <f>OR(AND(IF(Metadata!S949="",FALSE,TRUE),OR(EXACT(Metadata!S949,"not collected"),EXACT(Metadata!S949,"not provided"),EXACT(Metadata!S949,"restricted access"))),AND(IF(Metadata!S949="",FALSE,ISNUMBER(VALUE(Metadata!S949))),Metadata!S949&gt;=-90,Metadata!S949&lt;=90))</f>
        <v>0</v>
      </c>
      <c r="BG949" t="b">
        <f>AND(IF(Metadata!T949="",FALSE,TRUE),EXACT(Metadata!T949,"Decimal degrees"))</f>
        <v>0</v>
      </c>
      <c r="BH949" t="b">
        <f>OR(AND(IF(Metadata!U949="",FALSE,TRUE),OR(EXACT(Metadata!U949,"not applicable"),EXACT(Metadata!U949,"not collected"))),IF(Metadata!U949="",FALSE,TRUE))</f>
        <v>0</v>
      </c>
      <c r="BI949" t="b">
        <f>OR(AND(IF(Metadata!V949="",FALSE,TRUE),OR(EXACT(Metadata!V949,"not collected"),EXACT(Metadata!V949,"not provided"),EXACT(Metadata!V949,"restricted access"))),AND(IF(Metadata!V949="",FALSE,ISNUMBER(VALUE(Metadata!V949))),Metadata!V949&gt;=-180,Metadata!V949&lt;=180))</f>
        <v>0</v>
      </c>
      <c r="BJ949" t="b">
        <f>AND(IF(Metadata!W949="",FALSE,TRUE),EXACT(Metadata!W949,"Decimal degrees"))</f>
        <v>0</v>
      </c>
      <c r="BK949" t="b">
        <f>IF(Metadata!X949="",FALSE,TRUE)</f>
        <v>0</v>
      </c>
      <c r="BL949" t="b">
        <f>OR(AND(IF(Metadata!Y949="",FALSE,TRUE),OR(EXACT(Metadata!Y949,"not collected"),EXACT(Metadata!Y949,"not provided"),EXACT(Metadata!Y949,"restricted access"))),AND(IF(Metadata!Y949="",FALSE,TRUE),OR(EXACT(Metadata!Y949,"TRUE"),EXACT(Metadata!Y949,"FALSE"))))</f>
        <v>0</v>
      </c>
      <c r="BM949" t="b">
        <f>OR(AND(IF(Metadata!Z949="",FALSE,TRUE),EXACT(Metadata!Z949,"not applicable")),AND(IF(Metadata!Z949="",FALSE,TRUE),OR(EXACT(Metadata!Z949,"beer"),EXACT(Metadata!Z949,"cheese"),EXACT(Metadata!Z949,"fresh water"),EXACT(Metadata!Z949,"marine sediment"),EXACT(Metadata!Z949,"sea water"),EXACT(Metadata!Z949,"sediment"),EXACT(Metadata!Z949,"soil"),EXACT(Metadata!Z949,"waste water"))))</f>
        <v>0</v>
      </c>
      <c r="BN949" t="b">
        <f>AND(IF(Metadata!AA949="",FALSE,TRUE),EXACT(Metadata!AA949,"metagenome"))</f>
        <v>0</v>
      </c>
      <c r="BO949" t="b">
        <f>AND(IF(Metadata!AB949="",FALSE,TRUE),EXACT(Metadata!AB949,"256318"))</f>
        <v>0</v>
      </c>
      <c r="BP949" t="b">
        <f>IF(Metadata!AC949="",FALSE,TRUE)</f>
        <v>0</v>
      </c>
      <c r="BQ949" t="b">
        <f>IF(Metadata!AD949="",FALSE,TRUE)</f>
        <v>0</v>
      </c>
    </row>
    <row r="950" spans="1:69" x14ac:dyDescent="0.2">
      <c r="A950" s="4" t="e">
        <f ca="1">IF(B950=" "," ",HYPERLINK(CONCATENATE("#metadata!",ADDRESS(INDEX($AJ$2:$AJ$1001,MATCH(ROWS($AH$2:AH950),$AH$2:$AH$1001,0),0),2)),INDEX($AM$2:$AM$1001,MATCH(ROWS($AH$2:AH950),$AH$2:$AH$1001,0),0)))</f>
        <v>#N/A</v>
      </c>
      <c r="B950" s="5" t="e">
        <f ca="1">IF(OR(INDEX($AI$2:$AI$1001,MATCH(ROWS($AH$2:AH950),$AH$2:$AH$1001,0),1)&gt;=100000,INDEX($AO$1005:$BQ$1005,1,MATCH(COLUMNS($AO$1006:AO1006),$AO$1006:$BQ$1006,0))&gt;=100000), " ",IF(INDEX($AO$2:$BQ$1001,MATCH(ROWS($AH$2:AH950),$AH$2:$AH$1001,0),MATCH(COLUMNS($AO$1006:AO1006),$AO$1006:$BQ$1006,0)), HYPERLINK("#",""), HYPERLINK(CONCATENATE("#Metadata!", ADDRESS(INDEX($AJ$2:$AJ$1001,MATCH(ROWS($AH$2:AH950),$AH$2:$AH$1001,0),0), INDEX($AO$1004:$BQ$1004,1,MATCH(COLUMNS($AO$1006:AO1006),$AO$1006:$BQ$1006,0)))),"Fix")))</f>
        <v>#N/A</v>
      </c>
      <c r="C950" s="5" t="e">
        <f ca="1">IF(OR(INDEX($AI$2:$AI$1001,MATCH(ROWS($AH$2:AH950),$AH$2:$AH$1001,0),1)&gt;=100000,INDEX($AO$1005:$BQ$1005,1,MATCH(COLUMNS($AO$1006:AP1006),$AO$1006:$BQ$1006,0))&gt;=100000), " ",IF(INDEX($AO$2:$BQ$1001,MATCH(ROWS($AH$2:AH950),$AH$2:$AH$1001,0),MATCH(COLUMNS($AO$1006:AP1006),$AO$1006:$BQ$1006,0)), HYPERLINK("#",""), HYPERLINK(CONCATENATE("#Metadata!", ADDRESS(INDEX($AJ$2:$AJ$1001,MATCH(ROWS($AH$2:AH950),$AH$2:$AH$1001,0),0), INDEX($AO$1004:$BQ$1004,1,MATCH(COLUMNS($AO$1006:AP1006),$AO$1006:$BQ$1006,0)))),"Fix")))</f>
        <v>#N/A</v>
      </c>
      <c r="D950" s="5" t="e">
        <f ca="1">IF(OR(INDEX($AI$2:$AI$1001,MATCH(ROWS($AH$2:AH950),$AH$2:$AH$1001,0),1)&gt;=100000,INDEX($AO$1005:$BQ$1005,1,MATCH(COLUMNS($AO$1006:AQ1006),$AO$1006:$BQ$1006,0))&gt;=100000), " ",IF(INDEX($AO$2:$BQ$1001,MATCH(ROWS($AH$2:AH950),$AH$2:$AH$1001,0),MATCH(COLUMNS($AO$1006:AQ1006),$AO$1006:$BQ$1006,0)), HYPERLINK("#",""), HYPERLINK(CONCATENATE("#Metadata!", ADDRESS(INDEX($AJ$2:$AJ$1001,MATCH(ROWS($AH$2:AH950),$AH$2:$AH$1001,0),0), INDEX($AO$1004:$BQ$1004,1,MATCH(COLUMNS($AO$1006:AQ1006),$AO$1006:$BQ$1006,0)))),"Fix")))</f>
        <v>#N/A</v>
      </c>
      <c r="E950" s="5" t="e">
        <f ca="1">IF(OR(INDEX($AI$2:$AI$1001,MATCH(ROWS($AH$2:AH950),$AH$2:$AH$1001,0),1)&gt;=100000,INDEX($AO$1005:$BQ$1005,1,MATCH(COLUMNS($AO$1006:AR1006),$AO$1006:$BQ$1006,0))&gt;=100000), " ",IF(INDEX($AO$2:$BQ$1001,MATCH(ROWS($AH$2:AH950),$AH$2:$AH$1001,0),MATCH(COLUMNS($AO$1006:AR1006),$AO$1006:$BQ$1006,0)), HYPERLINK("#",""), HYPERLINK(CONCATENATE("#Metadata!", ADDRESS(INDEX($AJ$2:$AJ$1001,MATCH(ROWS($AH$2:AH950),$AH$2:$AH$1001,0),0), INDEX($AO$1004:$BQ$1004,1,MATCH(COLUMNS($AO$1006:AR1006),$AO$1006:$BQ$1006,0)))),"Fix")))</f>
        <v>#N/A</v>
      </c>
      <c r="F950" s="5" t="e">
        <f ca="1">IF(OR(INDEX($AI$2:$AI$1001,MATCH(ROWS($AH$2:AH950),$AH$2:$AH$1001,0),1)&gt;=100000,INDEX($AO$1005:$BQ$1005,1,MATCH(COLUMNS($AO$1006:AS1006),$AO$1006:$BQ$1006,0))&gt;=100000), " ",IF(INDEX($AO$2:$BQ$1001,MATCH(ROWS($AH$2:AH950),$AH$2:$AH$1001,0),MATCH(COLUMNS($AO$1006:AS1006),$AO$1006:$BQ$1006,0)), HYPERLINK("#",""), HYPERLINK(CONCATENATE("#Metadata!", ADDRESS(INDEX($AJ$2:$AJ$1001,MATCH(ROWS($AH$2:AH950),$AH$2:$AH$1001,0),0), INDEX($AO$1004:$BQ$1004,1,MATCH(COLUMNS($AO$1006:AS1006),$AO$1006:$BQ$1006,0)))),"Fix")))</f>
        <v>#N/A</v>
      </c>
      <c r="G950" s="5" t="e">
        <f ca="1">IF(OR(INDEX($AI$2:$AI$1001,MATCH(ROWS($AH$2:AH950),$AH$2:$AH$1001,0),1)&gt;=100000,INDEX($AO$1005:$BQ$1005,1,MATCH(COLUMNS($AO$1006:AT1006),$AO$1006:$BQ$1006,0))&gt;=100000), " ",IF(INDEX($AO$2:$BQ$1001,MATCH(ROWS($AH$2:AH950),$AH$2:$AH$1001,0),MATCH(COLUMNS($AO$1006:AT1006),$AO$1006:$BQ$1006,0)), HYPERLINK("#",""), HYPERLINK(CONCATENATE("#Metadata!", ADDRESS(INDEX($AJ$2:$AJ$1001,MATCH(ROWS($AH$2:AH950),$AH$2:$AH$1001,0),0), INDEX($AO$1004:$BQ$1004,1,MATCH(COLUMNS($AO$1006:AT1006),$AO$1006:$BQ$1006,0)))),"Fix")))</f>
        <v>#N/A</v>
      </c>
      <c r="H950" s="5" t="e">
        <f ca="1">IF(OR(INDEX($AI$2:$AI$1001,MATCH(ROWS($AH$2:AH950),$AH$2:$AH$1001,0),1)&gt;=100000,INDEX($AO$1005:$BQ$1005,1,MATCH(COLUMNS($AO$1006:AU1006),$AO$1006:$BQ$1006,0))&gt;=100000), " ",IF(INDEX($AO$2:$BQ$1001,MATCH(ROWS($AH$2:AH950),$AH$2:$AH$1001,0),MATCH(COLUMNS($AO$1006:AU1006),$AO$1006:$BQ$1006,0)), HYPERLINK("#",""), HYPERLINK(CONCATENATE("#Metadata!", ADDRESS(INDEX($AJ$2:$AJ$1001,MATCH(ROWS($AH$2:AH950),$AH$2:$AH$1001,0),0), INDEX($AO$1004:$BQ$1004,1,MATCH(COLUMNS($AO$1006:AU1006),$AO$1006:$BQ$1006,0)))),"Fix")))</f>
        <v>#N/A</v>
      </c>
      <c r="I950" s="5" t="e">
        <f ca="1">IF(OR(INDEX($AI$2:$AI$1001,MATCH(ROWS($AH$2:AH950),$AH$2:$AH$1001,0),1)&gt;=100000,INDEX($AO$1005:$BQ$1005,1,MATCH(COLUMNS($AO$1006:AV1006),$AO$1006:$BQ$1006,0))&gt;=100000), " ",IF(INDEX($AO$2:$BQ$1001,MATCH(ROWS($AH$2:AH950),$AH$2:$AH$1001,0),MATCH(COLUMNS($AO$1006:AV1006),$AO$1006:$BQ$1006,0)), HYPERLINK("#",""), HYPERLINK(CONCATENATE("#Metadata!", ADDRESS(INDEX($AJ$2:$AJ$1001,MATCH(ROWS($AH$2:AH950),$AH$2:$AH$1001,0),0), INDEX($AO$1004:$BQ$1004,1,MATCH(COLUMNS($AO$1006:AV1006),$AO$1006:$BQ$1006,0)))),"Fix")))</f>
        <v>#N/A</v>
      </c>
      <c r="J950" s="5" t="e">
        <f ca="1">IF(OR(INDEX($AI$2:$AI$1001,MATCH(ROWS($AH$2:AH950),$AH$2:$AH$1001,0),1)&gt;=100000,INDEX($AO$1005:$BQ$1005,1,MATCH(COLUMNS($AO$1006:AW1006),$AO$1006:$BQ$1006,0))&gt;=100000), " ",IF(INDEX($AO$2:$BQ$1001,MATCH(ROWS($AH$2:AH950),$AH$2:$AH$1001,0),MATCH(COLUMNS($AO$1006:AW1006),$AO$1006:$BQ$1006,0)), HYPERLINK("#",""), HYPERLINK(CONCATENATE("#Metadata!", ADDRESS(INDEX($AJ$2:$AJ$1001,MATCH(ROWS($AH$2:AH950),$AH$2:$AH$1001,0),0), INDEX($AO$1004:$BQ$1004,1,MATCH(COLUMNS($AO$1006:AW1006),$AO$1006:$BQ$1006,0)))),"Fix")))</f>
        <v>#N/A</v>
      </c>
      <c r="K950" s="5" t="e">
        <f ca="1">IF(OR(INDEX($AI$2:$AI$1001,MATCH(ROWS($AH$2:AH950),$AH$2:$AH$1001,0),1)&gt;=100000,INDEX($AO$1005:$BQ$1005,1,MATCH(COLUMNS($AO$1006:AX1006),$AO$1006:$BQ$1006,0))&gt;=100000), " ",IF(INDEX($AO$2:$BQ$1001,MATCH(ROWS($AH$2:AH950),$AH$2:$AH$1001,0),MATCH(COLUMNS($AO$1006:AX1006),$AO$1006:$BQ$1006,0)), HYPERLINK("#",""), HYPERLINK(CONCATENATE("#Metadata!", ADDRESS(INDEX($AJ$2:$AJ$1001,MATCH(ROWS($AH$2:AH950),$AH$2:$AH$1001,0),0), INDEX($AO$1004:$BQ$1004,1,MATCH(COLUMNS($AO$1006:AX1006),$AO$1006:$BQ$1006,0)))),"Fix")))</f>
        <v>#N/A</v>
      </c>
      <c r="L950" s="5" t="e">
        <f ca="1">IF(OR(INDEX($AI$2:$AI$1001,MATCH(ROWS($AH$2:AH950),$AH$2:$AH$1001,0),1)&gt;=100000,INDEX($AO$1005:$BQ$1005,1,MATCH(COLUMNS($AO$1006:AY1006),$AO$1006:$BQ$1006,0))&gt;=100000), " ",IF(INDEX($AO$2:$BQ$1001,MATCH(ROWS($AH$2:AH950),$AH$2:$AH$1001,0),MATCH(COLUMNS($AO$1006:AY1006),$AO$1006:$BQ$1006,0)), HYPERLINK("#",""), HYPERLINK(CONCATENATE("#Metadata!", ADDRESS(INDEX($AJ$2:$AJ$1001,MATCH(ROWS($AH$2:AH950),$AH$2:$AH$1001,0),0), INDEX($AO$1004:$BQ$1004,1,MATCH(COLUMNS($AO$1006:AY1006),$AO$1006:$BQ$1006,0)))),"Fix")))</f>
        <v>#N/A</v>
      </c>
      <c r="M950" s="5" t="e">
        <f ca="1">IF(OR(INDEX($AI$2:$AI$1001,MATCH(ROWS($AH$2:AH950),$AH$2:$AH$1001,0),1)&gt;=100000,INDEX($AO$1005:$BQ$1005,1,MATCH(COLUMNS($AO$1006:AZ1006),$AO$1006:$BQ$1006,0))&gt;=100000), " ",IF(INDEX($AO$2:$BQ$1001,MATCH(ROWS($AH$2:AH950),$AH$2:$AH$1001,0),MATCH(COLUMNS($AO$1006:AZ1006),$AO$1006:$BQ$1006,0)), HYPERLINK("#",""), HYPERLINK(CONCATENATE("#Metadata!", ADDRESS(INDEX($AJ$2:$AJ$1001,MATCH(ROWS($AH$2:AH950),$AH$2:$AH$1001,0),0), INDEX($AO$1004:$BQ$1004,1,MATCH(COLUMNS($AO$1006:AZ1006),$AO$1006:$BQ$1006,0)))),"Fix")))</f>
        <v>#N/A</v>
      </c>
      <c r="N950" s="5" t="e">
        <f ca="1">IF(OR(INDEX($AI$2:$AI$1001,MATCH(ROWS($AH$2:AH950),$AH$2:$AH$1001,0),1)&gt;=100000,INDEX($AO$1005:$BQ$1005,1,MATCH(COLUMNS($AO$1006:BA1006),$AO$1006:$BQ$1006,0))&gt;=100000), " ",IF(INDEX($AO$2:$BQ$1001,MATCH(ROWS($AH$2:AH950),$AH$2:$AH$1001,0),MATCH(COLUMNS($AO$1006:BA1006),$AO$1006:$BQ$1006,0)), HYPERLINK("#",""), HYPERLINK(CONCATENATE("#Metadata!", ADDRESS(INDEX($AJ$2:$AJ$1001,MATCH(ROWS($AH$2:AH950),$AH$2:$AH$1001,0),0), INDEX($AO$1004:$BQ$1004,1,MATCH(COLUMNS($AO$1006:BA1006),$AO$1006:$BQ$1006,0)))),"Fix")))</f>
        <v>#N/A</v>
      </c>
      <c r="O950" s="5" t="e">
        <f ca="1">IF(OR(INDEX($AI$2:$AI$1001,MATCH(ROWS($AH$2:AH950),$AH$2:$AH$1001,0),1)&gt;=100000,INDEX($AO$1005:$BQ$1005,1,MATCH(COLUMNS($AO$1006:BB1006),$AO$1006:$BQ$1006,0))&gt;=100000), " ",IF(INDEX($AO$2:$BQ$1001,MATCH(ROWS($AH$2:AH950),$AH$2:$AH$1001,0),MATCH(COLUMNS($AO$1006:BB1006),$AO$1006:$BQ$1006,0)), HYPERLINK("#",""), HYPERLINK(CONCATENATE("#Metadata!", ADDRESS(INDEX($AJ$2:$AJ$1001,MATCH(ROWS($AH$2:AH950),$AH$2:$AH$1001,0),0), INDEX($AO$1004:$BQ$1004,1,MATCH(COLUMNS($AO$1006:BB1006),$AO$1006:$BQ$1006,0)))),"Fix")))</f>
        <v>#N/A</v>
      </c>
      <c r="P950" s="5" t="e">
        <f ca="1">IF(OR(INDEX($AI$2:$AI$1001,MATCH(ROWS($AH$2:AH950),$AH$2:$AH$1001,0),1)&gt;=100000,INDEX($AO$1005:$BQ$1005,1,MATCH(COLUMNS($AO$1006:BC1006),$AO$1006:$BQ$1006,0))&gt;=100000), " ",IF(INDEX($AO$2:$BQ$1001,MATCH(ROWS($AH$2:AH950),$AH$2:$AH$1001,0),MATCH(COLUMNS($AO$1006:BC1006),$AO$1006:$BQ$1006,0)), HYPERLINK("#",""), HYPERLINK(CONCATENATE("#Metadata!", ADDRESS(INDEX($AJ$2:$AJ$1001,MATCH(ROWS($AH$2:AH950),$AH$2:$AH$1001,0),0), INDEX($AO$1004:$BQ$1004,1,MATCH(COLUMNS($AO$1006:BC1006),$AO$1006:$BQ$1006,0)))),"Fix")))</f>
        <v>#N/A</v>
      </c>
      <c r="Q950" s="5" t="e">
        <f ca="1">IF(OR(INDEX($AI$2:$AI$1001,MATCH(ROWS($AH$2:AH950),$AH$2:$AH$1001,0),1)&gt;=100000,INDEX($AO$1005:$BQ$1005,1,MATCH(COLUMNS($AO$1006:BD1006),$AO$1006:$BQ$1006,0))&gt;=100000), " ",IF(INDEX($AO$2:$BQ$1001,MATCH(ROWS($AH$2:AH950),$AH$2:$AH$1001,0),MATCH(COLUMNS($AO$1006:BD1006),$AO$1006:$BQ$1006,0)), HYPERLINK("#",""), HYPERLINK(CONCATENATE("#Metadata!", ADDRESS(INDEX($AJ$2:$AJ$1001,MATCH(ROWS($AH$2:AH950),$AH$2:$AH$1001,0),0), INDEX($AO$1004:$BQ$1004,1,MATCH(COLUMNS($AO$1006:BD1006),$AO$1006:$BQ$1006,0)))),"Fix")))</f>
        <v>#N/A</v>
      </c>
      <c r="R950" s="5" t="e">
        <f ca="1">IF(OR(INDEX($AI$2:$AI$1001,MATCH(ROWS($AH$2:AH950),$AH$2:$AH$1001,0),1)&gt;=100000,INDEX($AO$1005:$BQ$1005,1,MATCH(COLUMNS($AO$1006:BE1006),$AO$1006:$BQ$1006,0))&gt;=100000), " ",IF(INDEX($AO$2:$BQ$1001,MATCH(ROWS($AH$2:AH950),$AH$2:$AH$1001,0),MATCH(COLUMNS($AO$1006:BE1006),$AO$1006:$BQ$1006,0)), HYPERLINK("#",""), HYPERLINK(CONCATENATE("#Metadata!", ADDRESS(INDEX($AJ$2:$AJ$1001,MATCH(ROWS($AH$2:AH950),$AH$2:$AH$1001,0),0), INDEX($AO$1004:$BQ$1004,1,MATCH(COLUMNS($AO$1006:BE1006),$AO$1006:$BQ$1006,0)))),"Fix")))</f>
        <v>#N/A</v>
      </c>
      <c r="S950" s="5" t="e">
        <f ca="1">IF(OR(INDEX($AI$2:$AI$1001,MATCH(ROWS($AH$2:AH950),$AH$2:$AH$1001,0),1)&gt;=100000,INDEX($AO$1005:$BQ$1005,1,MATCH(COLUMNS($AO$1006:BF1006),$AO$1006:$BQ$1006,0))&gt;=100000), " ",IF(INDEX($AO$2:$BQ$1001,MATCH(ROWS($AH$2:AH950),$AH$2:$AH$1001,0),MATCH(COLUMNS($AO$1006:BF1006),$AO$1006:$BQ$1006,0)), HYPERLINK("#",""), HYPERLINK(CONCATENATE("#Metadata!", ADDRESS(INDEX($AJ$2:$AJ$1001,MATCH(ROWS($AH$2:AH950),$AH$2:$AH$1001,0),0), INDEX($AO$1004:$BQ$1004,1,MATCH(COLUMNS($AO$1006:BF1006),$AO$1006:$BQ$1006,0)))),"Fix")))</f>
        <v>#N/A</v>
      </c>
      <c r="T950" s="5" t="e">
        <f ca="1">IF(OR(INDEX($AI$2:$AI$1001,MATCH(ROWS($AH$2:AH950),$AH$2:$AH$1001,0),1)&gt;=100000,INDEX($AO$1005:$BQ$1005,1,MATCH(COLUMNS($AO$1006:BG1006),$AO$1006:$BQ$1006,0))&gt;=100000), " ",IF(INDEX($AO$2:$BQ$1001,MATCH(ROWS($AH$2:AH950),$AH$2:$AH$1001,0),MATCH(COLUMNS($AO$1006:BG1006),$AO$1006:$BQ$1006,0)), HYPERLINK("#",""), HYPERLINK(CONCATENATE("#Metadata!", ADDRESS(INDEX($AJ$2:$AJ$1001,MATCH(ROWS($AH$2:AH950),$AH$2:$AH$1001,0),0), INDEX($AO$1004:$BQ$1004,1,MATCH(COLUMNS($AO$1006:BG1006),$AO$1006:$BQ$1006,0)))),"Fix")))</f>
        <v>#N/A</v>
      </c>
      <c r="U950" s="5" t="e">
        <f ca="1">IF(OR(INDEX($AI$2:$AI$1001,MATCH(ROWS($AH$2:AH950),$AH$2:$AH$1001,0),1)&gt;=100000,INDEX($AO$1005:$BQ$1005,1,MATCH(COLUMNS($AO$1006:BH1006),$AO$1006:$BQ$1006,0))&gt;=100000), " ",IF(INDEX($AO$2:$BQ$1001,MATCH(ROWS($AH$2:AH950),$AH$2:$AH$1001,0),MATCH(COLUMNS($AO$1006:BH1006),$AO$1006:$BQ$1006,0)), HYPERLINK("#",""), HYPERLINK(CONCATENATE("#Metadata!", ADDRESS(INDEX($AJ$2:$AJ$1001,MATCH(ROWS($AH$2:AH950),$AH$2:$AH$1001,0),0), INDEX($AO$1004:$BQ$1004,1,MATCH(COLUMNS($AO$1006:BH1006),$AO$1006:$BQ$1006,0)))),"Fix")))</f>
        <v>#N/A</v>
      </c>
      <c r="V950" s="5" t="e">
        <f ca="1">IF(OR(INDEX($AI$2:$AI$1001,MATCH(ROWS($AH$2:AH950),$AH$2:$AH$1001,0),1)&gt;=100000,INDEX($AO$1005:$BQ$1005,1,MATCH(COLUMNS($AO$1006:BI1006),$AO$1006:$BQ$1006,0))&gt;=100000), " ",IF(INDEX($AO$2:$BQ$1001,MATCH(ROWS($AH$2:AH950),$AH$2:$AH$1001,0),MATCH(COLUMNS($AO$1006:BI1006),$AO$1006:$BQ$1006,0)), HYPERLINK("#",""), HYPERLINK(CONCATENATE("#Metadata!", ADDRESS(INDEX($AJ$2:$AJ$1001,MATCH(ROWS($AH$2:AH950),$AH$2:$AH$1001,0),0), INDEX($AO$1004:$BQ$1004,1,MATCH(COLUMNS($AO$1006:BI1006),$AO$1006:$BQ$1006,0)))),"Fix")))</f>
        <v>#N/A</v>
      </c>
      <c r="W950" s="5" t="e">
        <f ca="1">IF(OR(INDEX($AI$2:$AI$1001,MATCH(ROWS($AH$2:AH950),$AH$2:$AH$1001,0),1)&gt;=100000,INDEX($AO$1005:$BQ$1005,1,MATCH(COLUMNS($AO$1006:BJ1006),$AO$1006:$BQ$1006,0))&gt;=100000), " ",IF(INDEX($AO$2:$BQ$1001,MATCH(ROWS($AH$2:AH950),$AH$2:$AH$1001,0),MATCH(COLUMNS($AO$1006:BJ1006),$AO$1006:$BQ$1006,0)), HYPERLINK("#",""), HYPERLINK(CONCATENATE("#Metadata!", ADDRESS(INDEX($AJ$2:$AJ$1001,MATCH(ROWS($AH$2:AH950),$AH$2:$AH$1001,0),0), INDEX($AO$1004:$BQ$1004,1,MATCH(COLUMNS($AO$1006:BJ1006),$AO$1006:$BQ$1006,0)))),"Fix")))</f>
        <v>#N/A</v>
      </c>
      <c r="X950" s="5" t="e">
        <f ca="1">IF(OR(INDEX($AI$2:$AI$1001,MATCH(ROWS($AH$2:AH950),$AH$2:$AH$1001,0),1)&gt;=100000,INDEX($AO$1005:$BQ$1005,1,MATCH(COLUMNS($AO$1006:BK1006),$AO$1006:$BQ$1006,0))&gt;=100000), " ",IF(INDEX($AO$2:$BQ$1001,MATCH(ROWS($AH$2:AH950),$AH$2:$AH$1001,0),MATCH(COLUMNS($AO$1006:BK1006),$AO$1006:$BQ$1006,0)), HYPERLINK("#",""), HYPERLINK(CONCATENATE("#Metadata!", ADDRESS(INDEX($AJ$2:$AJ$1001,MATCH(ROWS($AH$2:AH950),$AH$2:$AH$1001,0),0), INDEX($AO$1004:$BQ$1004,1,MATCH(COLUMNS($AO$1006:BK1006),$AO$1006:$BQ$1006,0)))),"Fix")))</f>
        <v>#N/A</v>
      </c>
      <c r="Y950" s="5" t="e">
        <f ca="1">IF(OR(INDEX($AI$2:$AI$1001,MATCH(ROWS($AH$2:AH950),$AH$2:$AH$1001,0),1)&gt;=100000,INDEX($AO$1005:$BQ$1005,1,MATCH(COLUMNS($AO$1006:BL1006),$AO$1006:$BQ$1006,0))&gt;=100000), " ",IF(INDEX($AO$2:$BQ$1001,MATCH(ROWS($AH$2:AH950),$AH$2:$AH$1001,0),MATCH(COLUMNS($AO$1006:BL1006),$AO$1006:$BQ$1006,0)), HYPERLINK("#",""), HYPERLINK(CONCATENATE("#Metadata!", ADDRESS(INDEX($AJ$2:$AJ$1001,MATCH(ROWS($AH$2:AH950),$AH$2:$AH$1001,0),0), INDEX($AO$1004:$BQ$1004,1,MATCH(COLUMNS($AO$1006:BL1006),$AO$1006:$BQ$1006,0)))),"Fix")))</f>
        <v>#N/A</v>
      </c>
      <c r="Z950" s="5" t="e">
        <f ca="1">IF(OR(INDEX($AI$2:$AI$1001,MATCH(ROWS($AH$2:AH950),$AH$2:$AH$1001,0),1)&gt;=100000,INDEX($AO$1005:$BQ$1005,1,MATCH(COLUMNS($AO$1006:BM1006),$AO$1006:$BQ$1006,0))&gt;=100000), " ",IF(INDEX($AO$2:$BQ$1001,MATCH(ROWS($AH$2:AH950),$AH$2:$AH$1001,0),MATCH(COLUMNS($AO$1006:BM1006),$AO$1006:$BQ$1006,0)), HYPERLINK("#",""), HYPERLINK(CONCATENATE("#Metadata!", ADDRESS(INDEX($AJ$2:$AJ$1001,MATCH(ROWS($AH$2:AH950),$AH$2:$AH$1001,0),0), INDEX($AO$1004:$BQ$1004,1,MATCH(COLUMNS($AO$1006:BM1006),$AO$1006:$BQ$1006,0)))),"Fix")))</f>
        <v>#N/A</v>
      </c>
      <c r="AA950" s="5" t="e">
        <f ca="1">IF(OR(INDEX($AI$2:$AI$1001,MATCH(ROWS($AH$2:AH950),$AH$2:$AH$1001,0),1)&gt;=100000,INDEX($AO$1005:$BQ$1005,1,MATCH(COLUMNS($AO$1006:BN1006),$AO$1006:$BQ$1006,0))&gt;=100000), " ",IF(INDEX($AO$2:$BQ$1001,MATCH(ROWS($AH$2:AH950),$AH$2:$AH$1001,0),MATCH(COLUMNS($AO$1006:BN1006),$AO$1006:$BQ$1006,0)), HYPERLINK("#",""), HYPERLINK(CONCATENATE("#Metadata!", ADDRESS(INDEX($AJ$2:$AJ$1001,MATCH(ROWS($AH$2:AH950),$AH$2:$AH$1001,0),0), INDEX($AO$1004:$BQ$1004,1,MATCH(COLUMNS($AO$1006:BN1006),$AO$1006:$BQ$1006,0)))),"Fix")))</f>
        <v>#N/A</v>
      </c>
      <c r="AB950" s="5" t="e">
        <f ca="1">IF(OR(INDEX($AI$2:$AI$1001,MATCH(ROWS($AH$2:AH950),$AH$2:$AH$1001,0),1)&gt;=100000,INDEX($AO$1005:$BQ$1005,1,MATCH(COLUMNS($AO$1006:BO1006),$AO$1006:$BQ$1006,0))&gt;=100000), " ",IF(INDEX($AO$2:$BQ$1001,MATCH(ROWS($AH$2:AH950),$AH$2:$AH$1001,0),MATCH(COLUMNS($AO$1006:BO1006),$AO$1006:$BQ$1006,0)), HYPERLINK("#",""), HYPERLINK(CONCATENATE("#Metadata!", ADDRESS(INDEX($AJ$2:$AJ$1001,MATCH(ROWS($AH$2:AH950),$AH$2:$AH$1001,0),0), INDEX($AO$1004:$BQ$1004,1,MATCH(COLUMNS($AO$1006:BO1006),$AO$1006:$BQ$1006,0)))),"Fix")))</f>
        <v>#N/A</v>
      </c>
      <c r="AC950" s="5" t="e">
        <f ca="1">IF(OR(INDEX($AI$2:$AI$1001,MATCH(ROWS($AH$2:AH950),$AH$2:$AH$1001,0),1)&gt;=100000,INDEX($AO$1005:$BQ$1005,1,MATCH(COLUMNS($AO$1006:BP1006),$AO$1006:$BQ$1006,0))&gt;=100000), " ",IF(INDEX($AO$2:$BQ$1001,MATCH(ROWS($AH$2:AH950),$AH$2:$AH$1001,0),MATCH(COLUMNS($AO$1006:BP1006),$AO$1006:$BQ$1006,0)), HYPERLINK("#",""), HYPERLINK(CONCATENATE("#Metadata!", ADDRESS(INDEX($AJ$2:$AJ$1001,MATCH(ROWS($AH$2:AH950),$AH$2:$AH$1001,0),0), INDEX($AO$1004:$BQ$1004,1,MATCH(COLUMNS($AO$1006:BP1006),$AO$1006:$BQ$1006,0)))),"Fix")))</f>
        <v>#N/A</v>
      </c>
      <c r="AD950" s="5" t="e">
        <f ca="1">IF(OR(INDEX($AI$2:$AI$1001,MATCH(ROWS($AH$2:AH950),$AH$2:$AH$1001,0),1)&gt;=100000,INDEX($AO$1005:$BQ$1005,1,MATCH(COLUMNS($AO$1006:BQ1006),$AO$1006:$BQ$1006,0))&gt;=100000), " ",IF(INDEX($AO$2:$BQ$1001,MATCH(ROWS($AH$2:AH950),$AH$2:$AH$1001,0),MATCH(COLUMNS($AO$1006:BQ1006),$AO$1006:$BQ$1006,0)), HYPERLINK("#",""), HYPERLINK(CONCATENATE("#Metadata!", ADDRESS(INDEX($AJ$2:$AJ$1001,MATCH(ROWS($AH$2:AH950),$AH$2:$AH$1001,0),0), INDEX($AO$1004:$BQ$1004,1,MATCH(COLUMNS($AO$1006:BQ1006),$AO$1006:$BQ$1006,0)))),"Fix")))</f>
        <v>#REF!</v>
      </c>
      <c r="AH950">
        <f ca="1"/>
        <v>947</v>
      </c>
      <c r="AI950">
        <v>100950</v>
      </c>
      <c r="AJ950">
        <v>950</v>
      </c>
      <c r="AK950" t="b">
        <f t="shared" si="14"/>
        <v>1</v>
      </c>
      <c r="AL950" t="b">
        <f>COUNTBLANK(Metadata!B950:AD950)=COLUMNS(Metadata!B950:AD950)</f>
        <v>1</v>
      </c>
      <c r="AM950" t="str">
        <v/>
      </c>
      <c r="AO950" t="b">
        <f ca="1">AND(IF(Metadata!B950="",FALSE,TRUE),COUNTIF(Metadata!B:B, Metadata!B950) = 1,NOT(ISERROR(SUMPRODUCT(SEARCH(MID(Metadata!B950,ROW(INDIRECT("1:"&amp;LEN(Metadata!B950))), 1),"0123456789abcdefghijklmnopqrstuvwxyzABCDEFGHIJKLMNOPQRSTUVWXYZ.")))))</f>
        <v>0</v>
      </c>
      <c r="AP950" t="b">
        <f>IF(Metadata!C950="",FALSE,TRUE)</f>
        <v>0</v>
      </c>
      <c r="AQ950" t="b">
        <f>IF(Metadata!D950="",FALSE,TRUE)</f>
        <v>0</v>
      </c>
      <c r="AR950" t="b">
        <f ca="1">OR(AND(IF(Metadata!E950="",FALSE,TRUE),OR(EXACT(Metadata!E950,"not collected"),EXACT(Metadata!E950,"not provided"),EXACT(Metadata!E950,"restricted access"))),AND(IF(Metadata!E950="",FALSE,TRUE),AND(AND(IFERROR(INT(LEFT(Metadata!E950,4))&gt;1900,FALSE),IFERROR(INT(LEFT(Metadata!E950,4))&lt;=YEAR(NOW()),FALSE)), OR(MID(Metadata!E950,5,1)="", AND(AND(MID(Metadata!E950,5,1)="-",IFERROR(INT(MID(Metadata!E950,6,1))&gt;=0,FALSE),IFERROR(INT(MID(Metadata!E950,6,1))&lt;=1,FALSE),NOT(MID(Metadata!E950,7,1)=""),IFERROR(INT(MID(Metadata!E950,6,2))&gt;=1,FALSE),IFERROR(INT(MID(Metadata!E950,6,2))&lt;=12,FALSE)), OR(MID(Metadata!E950,8,1)="", AND(AND(MID(Metadata!E950,8,1)="-",IFERROR(INT(MID(Metadata!E950,9,1))&gt;=0,FALSE),IFERROR(INT(MID(Metadata!E950,9,1))&lt;=3,FALSE),NOT(MID(Metadata!E950,10,1)=""),IFERROR(INT(MID(Metadata!E950,9,2))&gt;=1,FALSE),IFERROR(INT(MID(Metadata!E950,9,2))&lt;=31,FALSE)), OR(MID(Metadata!E950,11,1)="", AND(AND(MID(Metadata!E950,11,1)=" ",IFERROR(INT(MID(Metadata!E950,12,1))&gt;=0,FALSE),IFERROR(INT(MID(Metadata!E950,12,1))&lt;=2,FALSE),NOT(MID(Metadata!E950,13,1)=""),IFERROR(INT(MID(Metadata!E950,12,2))&gt;=0,FALSE),IFERROR(INT(MID(Metadata!E950,12,2))&lt;=23,FALSE)), OR(MID(Metadata!E950,14,1)="", AND(AND(MID(Metadata!E950,14,1)=":",IFERROR(INT(MID(Metadata!E950,15,1))&gt;=0,FALSE),IFERROR(INT(MID(Metadata!E950,15,1))&lt;=5,FALSE),NOT(MID(Metadata!E950,16,1)=""),IFERROR(INT(MID(Metadata!E950,15,2))&gt;=0,FALSE),IFERROR(INT(MID(Metadata!E950,15,2))&lt;=59,FALSE)), OR(MID(Metadata!E950,17,1)="", AND(AND(MID(Metadata!E950,17,1)=":",IFERROR(INT(MID(Metadata!E950,18,1))&gt;=0,FALSE),IFERROR(INT(MID(Metadata!E950,18,1))&lt;=5,FALSE),NOT(MID(Metadata!E950,19,1)=""),IFERROR(INT(MID(Metadata!E950,18,2))&gt;=0,FALSE),IFERROR(INT(MID(Metadata!E950,18,2))&lt;=59,FALSE)), LEN(Metadata!E950)&lt;=19)))))))))))))</f>
        <v>0</v>
      </c>
      <c r="AS950" t="b">
        <f>IF(Metadata!F950="",FALSE,TRUE)</f>
        <v>0</v>
      </c>
      <c r="AT950" t="b">
        <f>OR(AND(IF(Metadata!G950="",FALSE,TRUE),OR(EXACT(Metadata!G950,"not collected"),EXACT(Metadata!G950,"not provided"))),AND(IF(Metadata!G950="",FALSE,TRUE),OR(EXACT(Metadata!G950,"TRUE"),EXACT(Metadata!G950,"FALSE"))))</f>
        <v>0</v>
      </c>
      <c r="AU950" t="b">
        <f>OR(AND(IF(Metadata!H950="",FALSE,TRUE),OR(EXACT(Metadata!H950,"not collected"),EXACT(Metadata!H950,"not provided"),EXACT(Metadata!H950,"restricted access"))),AND(IF(Metadata!H950="",FALSE,ISNUMBER(VALUE(Metadata!H950))),Metadata!H950&gt;=-413))</f>
        <v>0</v>
      </c>
      <c r="AV950" t="b">
        <f>AND(IF(Metadata!I950="",FALSE,TRUE),EXACT(Metadata!I950,"meters"))</f>
        <v>0</v>
      </c>
      <c r="AW950" t="b">
        <f>AND(IF(Metadata!J950="",FALSE,TRUE),EXACT(Metadata!J950,"free-living"))</f>
        <v>0</v>
      </c>
      <c r="AX950" t="b">
        <f>AND(IF(Metadata!K950="",FALSE,TRUE),OR(EXACT(Metadata!K950,"saline"),EXACT(Metadata!K950,"non-saline")))</f>
        <v>0</v>
      </c>
      <c r="AY950" t="b">
        <f>AND(IF(Metadata!L950="",FALSE,TRUE),OR(EXACT(Metadata!L950,"sub-surface (non-saline)"),EXACT(Metadata!L950,"surface (non-saline)"),EXACT(Metadata!L950,"water (non-saline)"),EXACT(Metadata!L950,"soil (non-saline)"),EXACT(Metadata!L950,"aerosol (non-saline)"),EXACT(Metadata!L950,"sediment (non-saline)"),EXACT(Metadata!L950,"surface (saline)"),EXACT(Metadata!L950,"water (saline)"),EXACT(Metadata!L950,"hypersaline (saline)"),EXACT(Metadata!L950,"aerosol (saline)"),EXACT(Metadata!L950,"sediment (saline)")))</f>
        <v>0</v>
      </c>
      <c r="AZ950" t="b">
        <f>IF(Metadata!M950="",FALSE,TRUE)</f>
        <v>0</v>
      </c>
      <c r="BA950" t="b">
        <f>IF(Metadata!N950="",FALSE,TRUE)</f>
        <v>0</v>
      </c>
      <c r="BB950" t="b">
        <f>IF(Metadata!O950="",FALSE,TRUE)</f>
        <v>0</v>
      </c>
      <c r="BC950" t="b">
        <f>AND(IF(Metadata!P950="",FALSE,TRUE),OR(EXACT(Metadata!P950,"air"),EXACT(Metadata!P950,"microbial mat/biofilm"),EXACT(Metadata!P950,"misc environment"),EXACT(Metadata!P950,"sediment"),EXACT(Metadata!P950,"soil"),EXACT(Metadata!P950,"wastewater/sludge"),EXACT(Metadata!P950,"water")))</f>
        <v>0</v>
      </c>
      <c r="BD950" t="b">
        <f>IF(Metadata!Q950="",FALSE,TRUE)</f>
        <v>0</v>
      </c>
      <c r="BE950" t="b">
        <f>IF(Metadata!R950="",FALSE,TRUE)</f>
        <v>0</v>
      </c>
      <c r="BF950" t="b">
        <f>OR(AND(IF(Metadata!S950="",FALSE,TRUE),OR(EXACT(Metadata!S950,"not collected"),EXACT(Metadata!S950,"not provided"),EXACT(Metadata!S950,"restricted access"))),AND(IF(Metadata!S950="",FALSE,ISNUMBER(VALUE(Metadata!S950))),Metadata!S950&gt;=-90,Metadata!S950&lt;=90))</f>
        <v>0</v>
      </c>
      <c r="BG950" t="b">
        <f>AND(IF(Metadata!T950="",FALSE,TRUE),EXACT(Metadata!T950,"Decimal degrees"))</f>
        <v>0</v>
      </c>
      <c r="BH950" t="b">
        <f>OR(AND(IF(Metadata!U950="",FALSE,TRUE),OR(EXACT(Metadata!U950,"not applicable"),EXACT(Metadata!U950,"not collected"))),IF(Metadata!U950="",FALSE,TRUE))</f>
        <v>0</v>
      </c>
      <c r="BI950" t="b">
        <f>OR(AND(IF(Metadata!V950="",FALSE,TRUE),OR(EXACT(Metadata!V950,"not collected"),EXACT(Metadata!V950,"not provided"),EXACT(Metadata!V950,"restricted access"))),AND(IF(Metadata!V950="",FALSE,ISNUMBER(VALUE(Metadata!V950))),Metadata!V950&gt;=-180,Metadata!V950&lt;=180))</f>
        <v>0</v>
      </c>
      <c r="BJ950" t="b">
        <f>AND(IF(Metadata!W950="",FALSE,TRUE),EXACT(Metadata!W950,"Decimal degrees"))</f>
        <v>0</v>
      </c>
      <c r="BK950" t="b">
        <f>IF(Metadata!X950="",FALSE,TRUE)</f>
        <v>0</v>
      </c>
      <c r="BL950" t="b">
        <f>OR(AND(IF(Metadata!Y950="",FALSE,TRUE),OR(EXACT(Metadata!Y950,"not collected"),EXACT(Metadata!Y950,"not provided"),EXACT(Metadata!Y950,"restricted access"))),AND(IF(Metadata!Y950="",FALSE,TRUE),OR(EXACT(Metadata!Y950,"TRUE"),EXACT(Metadata!Y950,"FALSE"))))</f>
        <v>0</v>
      </c>
      <c r="BM950" t="b">
        <f>OR(AND(IF(Metadata!Z950="",FALSE,TRUE),EXACT(Metadata!Z950,"not applicable")),AND(IF(Metadata!Z950="",FALSE,TRUE),OR(EXACT(Metadata!Z950,"beer"),EXACT(Metadata!Z950,"cheese"),EXACT(Metadata!Z950,"fresh water"),EXACT(Metadata!Z950,"marine sediment"),EXACT(Metadata!Z950,"sea water"),EXACT(Metadata!Z950,"sediment"),EXACT(Metadata!Z950,"soil"),EXACT(Metadata!Z950,"waste water"))))</f>
        <v>0</v>
      </c>
      <c r="BN950" t="b">
        <f>AND(IF(Metadata!AA950="",FALSE,TRUE),EXACT(Metadata!AA950,"metagenome"))</f>
        <v>0</v>
      </c>
      <c r="BO950" t="b">
        <f>AND(IF(Metadata!AB950="",FALSE,TRUE),EXACT(Metadata!AB950,"256318"))</f>
        <v>0</v>
      </c>
      <c r="BP950" t="b">
        <f>IF(Metadata!AC950="",FALSE,TRUE)</f>
        <v>0</v>
      </c>
      <c r="BQ950" t="b">
        <f>IF(Metadata!AD950="",FALSE,TRUE)</f>
        <v>0</v>
      </c>
    </row>
    <row r="951" spans="1:69" x14ac:dyDescent="0.2">
      <c r="A951" s="4" t="e">
        <f ca="1">IF(B951=" "," ",HYPERLINK(CONCATENATE("#metadata!",ADDRESS(INDEX($AJ$2:$AJ$1001,MATCH(ROWS($AH$2:AH951),$AH$2:$AH$1001,0),0),2)),INDEX($AM$2:$AM$1001,MATCH(ROWS($AH$2:AH951),$AH$2:$AH$1001,0),0)))</f>
        <v>#N/A</v>
      </c>
      <c r="B951" s="5" t="e">
        <f ca="1">IF(OR(INDEX($AI$2:$AI$1001,MATCH(ROWS($AH$2:AH951),$AH$2:$AH$1001,0),1)&gt;=100000,INDEX($AO$1005:$BQ$1005,1,MATCH(COLUMNS($AO$1006:AO1006),$AO$1006:$BQ$1006,0))&gt;=100000), " ",IF(INDEX($AO$2:$BQ$1001,MATCH(ROWS($AH$2:AH951),$AH$2:$AH$1001,0),MATCH(COLUMNS($AO$1006:AO1006),$AO$1006:$BQ$1006,0)), HYPERLINK("#",""), HYPERLINK(CONCATENATE("#Metadata!", ADDRESS(INDEX($AJ$2:$AJ$1001,MATCH(ROWS($AH$2:AH951),$AH$2:$AH$1001,0),0), INDEX($AO$1004:$BQ$1004,1,MATCH(COLUMNS($AO$1006:AO1006),$AO$1006:$BQ$1006,0)))),"Fix")))</f>
        <v>#N/A</v>
      </c>
      <c r="C951" s="5" t="e">
        <f ca="1">IF(OR(INDEX($AI$2:$AI$1001,MATCH(ROWS($AH$2:AH951),$AH$2:$AH$1001,0),1)&gt;=100000,INDEX($AO$1005:$BQ$1005,1,MATCH(COLUMNS($AO$1006:AP1006),$AO$1006:$BQ$1006,0))&gt;=100000), " ",IF(INDEX($AO$2:$BQ$1001,MATCH(ROWS($AH$2:AH951),$AH$2:$AH$1001,0),MATCH(COLUMNS($AO$1006:AP1006),$AO$1006:$BQ$1006,0)), HYPERLINK("#",""), HYPERLINK(CONCATENATE("#Metadata!", ADDRESS(INDEX($AJ$2:$AJ$1001,MATCH(ROWS($AH$2:AH951),$AH$2:$AH$1001,0),0), INDEX($AO$1004:$BQ$1004,1,MATCH(COLUMNS($AO$1006:AP1006),$AO$1006:$BQ$1006,0)))),"Fix")))</f>
        <v>#N/A</v>
      </c>
      <c r="D951" s="5" t="e">
        <f ca="1">IF(OR(INDEX($AI$2:$AI$1001,MATCH(ROWS($AH$2:AH951),$AH$2:$AH$1001,0),1)&gt;=100000,INDEX($AO$1005:$BQ$1005,1,MATCH(COLUMNS($AO$1006:AQ1006),$AO$1006:$BQ$1006,0))&gt;=100000), " ",IF(INDEX($AO$2:$BQ$1001,MATCH(ROWS($AH$2:AH951),$AH$2:$AH$1001,0),MATCH(COLUMNS($AO$1006:AQ1006),$AO$1006:$BQ$1006,0)), HYPERLINK("#",""), HYPERLINK(CONCATENATE("#Metadata!", ADDRESS(INDEX($AJ$2:$AJ$1001,MATCH(ROWS($AH$2:AH951),$AH$2:$AH$1001,0),0), INDEX($AO$1004:$BQ$1004,1,MATCH(COLUMNS($AO$1006:AQ1006),$AO$1006:$BQ$1006,0)))),"Fix")))</f>
        <v>#N/A</v>
      </c>
      <c r="E951" s="5" t="e">
        <f ca="1">IF(OR(INDEX($AI$2:$AI$1001,MATCH(ROWS($AH$2:AH951),$AH$2:$AH$1001,0),1)&gt;=100000,INDEX($AO$1005:$BQ$1005,1,MATCH(COLUMNS($AO$1006:AR1006),$AO$1006:$BQ$1006,0))&gt;=100000), " ",IF(INDEX($AO$2:$BQ$1001,MATCH(ROWS($AH$2:AH951),$AH$2:$AH$1001,0),MATCH(COLUMNS($AO$1006:AR1006),$AO$1006:$BQ$1006,0)), HYPERLINK("#",""), HYPERLINK(CONCATENATE("#Metadata!", ADDRESS(INDEX($AJ$2:$AJ$1001,MATCH(ROWS($AH$2:AH951),$AH$2:$AH$1001,0),0), INDEX($AO$1004:$BQ$1004,1,MATCH(COLUMNS($AO$1006:AR1006),$AO$1006:$BQ$1006,0)))),"Fix")))</f>
        <v>#N/A</v>
      </c>
      <c r="F951" s="5" t="e">
        <f ca="1">IF(OR(INDEX($AI$2:$AI$1001,MATCH(ROWS($AH$2:AH951),$AH$2:$AH$1001,0),1)&gt;=100000,INDEX($AO$1005:$BQ$1005,1,MATCH(COLUMNS($AO$1006:AS1006),$AO$1006:$BQ$1006,0))&gt;=100000), " ",IF(INDEX($AO$2:$BQ$1001,MATCH(ROWS($AH$2:AH951),$AH$2:$AH$1001,0),MATCH(COLUMNS($AO$1006:AS1006),$AO$1006:$BQ$1006,0)), HYPERLINK("#",""), HYPERLINK(CONCATENATE("#Metadata!", ADDRESS(INDEX($AJ$2:$AJ$1001,MATCH(ROWS($AH$2:AH951),$AH$2:$AH$1001,0),0), INDEX($AO$1004:$BQ$1004,1,MATCH(COLUMNS($AO$1006:AS1006),$AO$1006:$BQ$1006,0)))),"Fix")))</f>
        <v>#N/A</v>
      </c>
      <c r="G951" s="5" t="e">
        <f ca="1">IF(OR(INDEX($AI$2:$AI$1001,MATCH(ROWS($AH$2:AH951),$AH$2:$AH$1001,0),1)&gt;=100000,INDEX($AO$1005:$BQ$1005,1,MATCH(COLUMNS($AO$1006:AT1006),$AO$1006:$BQ$1006,0))&gt;=100000), " ",IF(INDEX($AO$2:$BQ$1001,MATCH(ROWS($AH$2:AH951),$AH$2:$AH$1001,0),MATCH(COLUMNS($AO$1006:AT1006),$AO$1006:$BQ$1006,0)), HYPERLINK("#",""), HYPERLINK(CONCATENATE("#Metadata!", ADDRESS(INDEX($AJ$2:$AJ$1001,MATCH(ROWS($AH$2:AH951),$AH$2:$AH$1001,0),0), INDEX($AO$1004:$BQ$1004,1,MATCH(COLUMNS($AO$1006:AT1006),$AO$1006:$BQ$1006,0)))),"Fix")))</f>
        <v>#N/A</v>
      </c>
      <c r="H951" s="5" t="e">
        <f ca="1">IF(OR(INDEX($AI$2:$AI$1001,MATCH(ROWS($AH$2:AH951),$AH$2:$AH$1001,0),1)&gt;=100000,INDEX($AO$1005:$BQ$1005,1,MATCH(COLUMNS($AO$1006:AU1006),$AO$1006:$BQ$1006,0))&gt;=100000), " ",IF(INDEX($AO$2:$BQ$1001,MATCH(ROWS($AH$2:AH951),$AH$2:$AH$1001,0),MATCH(COLUMNS($AO$1006:AU1006),$AO$1006:$BQ$1006,0)), HYPERLINK("#",""), HYPERLINK(CONCATENATE("#Metadata!", ADDRESS(INDEX($AJ$2:$AJ$1001,MATCH(ROWS($AH$2:AH951),$AH$2:$AH$1001,0),0), INDEX($AO$1004:$BQ$1004,1,MATCH(COLUMNS($AO$1006:AU1006),$AO$1006:$BQ$1006,0)))),"Fix")))</f>
        <v>#N/A</v>
      </c>
      <c r="I951" s="5" t="e">
        <f ca="1">IF(OR(INDEX($AI$2:$AI$1001,MATCH(ROWS($AH$2:AH951),$AH$2:$AH$1001,0),1)&gt;=100000,INDEX($AO$1005:$BQ$1005,1,MATCH(COLUMNS($AO$1006:AV1006),$AO$1006:$BQ$1006,0))&gt;=100000), " ",IF(INDEX($AO$2:$BQ$1001,MATCH(ROWS($AH$2:AH951),$AH$2:$AH$1001,0),MATCH(COLUMNS($AO$1006:AV1006),$AO$1006:$BQ$1006,0)), HYPERLINK("#",""), HYPERLINK(CONCATENATE("#Metadata!", ADDRESS(INDEX($AJ$2:$AJ$1001,MATCH(ROWS($AH$2:AH951),$AH$2:$AH$1001,0),0), INDEX($AO$1004:$BQ$1004,1,MATCH(COLUMNS($AO$1006:AV1006),$AO$1006:$BQ$1006,0)))),"Fix")))</f>
        <v>#N/A</v>
      </c>
      <c r="J951" s="5" t="e">
        <f ca="1">IF(OR(INDEX($AI$2:$AI$1001,MATCH(ROWS($AH$2:AH951),$AH$2:$AH$1001,0),1)&gt;=100000,INDEX($AO$1005:$BQ$1005,1,MATCH(COLUMNS($AO$1006:AW1006),$AO$1006:$BQ$1006,0))&gt;=100000), " ",IF(INDEX($AO$2:$BQ$1001,MATCH(ROWS($AH$2:AH951),$AH$2:$AH$1001,0),MATCH(COLUMNS($AO$1006:AW1006),$AO$1006:$BQ$1006,0)), HYPERLINK("#",""), HYPERLINK(CONCATENATE("#Metadata!", ADDRESS(INDEX($AJ$2:$AJ$1001,MATCH(ROWS($AH$2:AH951),$AH$2:$AH$1001,0),0), INDEX($AO$1004:$BQ$1004,1,MATCH(COLUMNS($AO$1006:AW1006),$AO$1006:$BQ$1006,0)))),"Fix")))</f>
        <v>#N/A</v>
      </c>
      <c r="K951" s="5" t="e">
        <f ca="1">IF(OR(INDEX($AI$2:$AI$1001,MATCH(ROWS($AH$2:AH951),$AH$2:$AH$1001,0),1)&gt;=100000,INDEX($AO$1005:$BQ$1005,1,MATCH(COLUMNS($AO$1006:AX1006),$AO$1006:$BQ$1006,0))&gt;=100000), " ",IF(INDEX($AO$2:$BQ$1001,MATCH(ROWS($AH$2:AH951),$AH$2:$AH$1001,0),MATCH(COLUMNS($AO$1006:AX1006),$AO$1006:$BQ$1006,0)), HYPERLINK("#",""), HYPERLINK(CONCATENATE("#Metadata!", ADDRESS(INDEX($AJ$2:$AJ$1001,MATCH(ROWS($AH$2:AH951),$AH$2:$AH$1001,0),0), INDEX($AO$1004:$BQ$1004,1,MATCH(COLUMNS($AO$1006:AX1006),$AO$1006:$BQ$1006,0)))),"Fix")))</f>
        <v>#N/A</v>
      </c>
      <c r="L951" s="5" t="e">
        <f ca="1">IF(OR(INDEX($AI$2:$AI$1001,MATCH(ROWS($AH$2:AH951),$AH$2:$AH$1001,0),1)&gt;=100000,INDEX($AO$1005:$BQ$1005,1,MATCH(COLUMNS($AO$1006:AY1006),$AO$1006:$BQ$1006,0))&gt;=100000), " ",IF(INDEX($AO$2:$BQ$1001,MATCH(ROWS($AH$2:AH951),$AH$2:$AH$1001,0),MATCH(COLUMNS($AO$1006:AY1006),$AO$1006:$BQ$1006,0)), HYPERLINK("#",""), HYPERLINK(CONCATENATE("#Metadata!", ADDRESS(INDEX($AJ$2:$AJ$1001,MATCH(ROWS($AH$2:AH951),$AH$2:$AH$1001,0),0), INDEX($AO$1004:$BQ$1004,1,MATCH(COLUMNS($AO$1006:AY1006),$AO$1006:$BQ$1006,0)))),"Fix")))</f>
        <v>#N/A</v>
      </c>
      <c r="M951" s="5" t="e">
        <f ca="1">IF(OR(INDEX($AI$2:$AI$1001,MATCH(ROWS($AH$2:AH951),$AH$2:$AH$1001,0),1)&gt;=100000,INDEX($AO$1005:$BQ$1005,1,MATCH(COLUMNS($AO$1006:AZ1006),$AO$1006:$BQ$1006,0))&gt;=100000), " ",IF(INDEX($AO$2:$BQ$1001,MATCH(ROWS($AH$2:AH951),$AH$2:$AH$1001,0),MATCH(COLUMNS($AO$1006:AZ1006),$AO$1006:$BQ$1006,0)), HYPERLINK("#",""), HYPERLINK(CONCATENATE("#Metadata!", ADDRESS(INDEX($AJ$2:$AJ$1001,MATCH(ROWS($AH$2:AH951),$AH$2:$AH$1001,0),0), INDEX($AO$1004:$BQ$1004,1,MATCH(COLUMNS($AO$1006:AZ1006),$AO$1006:$BQ$1006,0)))),"Fix")))</f>
        <v>#N/A</v>
      </c>
      <c r="N951" s="5" t="e">
        <f ca="1">IF(OR(INDEX($AI$2:$AI$1001,MATCH(ROWS($AH$2:AH951),$AH$2:$AH$1001,0),1)&gt;=100000,INDEX($AO$1005:$BQ$1005,1,MATCH(COLUMNS($AO$1006:BA1006),$AO$1006:$BQ$1006,0))&gt;=100000), " ",IF(INDEX($AO$2:$BQ$1001,MATCH(ROWS($AH$2:AH951),$AH$2:$AH$1001,0),MATCH(COLUMNS($AO$1006:BA1006),$AO$1006:$BQ$1006,0)), HYPERLINK("#",""), HYPERLINK(CONCATENATE("#Metadata!", ADDRESS(INDEX($AJ$2:$AJ$1001,MATCH(ROWS($AH$2:AH951),$AH$2:$AH$1001,0),0), INDEX($AO$1004:$BQ$1004,1,MATCH(COLUMNS($AO$1006:BA1006),$AO$1006:$BQ$1006,0)))),"Fix")))</f>
        <v>#N/A</v>
      </c>
      <c r="O951" s="5" t="e">
        <f ca="1">IF(OR(INDEX($AI$2:$AI$1001,MATCH(ROWS($AH$2:AH951),$AH$2:$AH$1001,0),1)&gt;=100000,INDEX($AO$1005:$BQ$1005,1,MATCH(COLUMNS($AO$1006:BB1006),$AO$1006:$BQ$1006,0))&gt;=100000), " ",IF(INDEX($AO$2:$BQ$1001,MATCH(ROWS($AH$2:AH951),$AH$2:$AH$1001,0),MATCH(COLUMNS($AO$1006:BB1006),$AO$1006:$BQ$1006,0)), HYPERLINK("#",""), HYPERLINK(CONCATENATE("#Metadata!", ADDRESS(INDEX($AJ$2:$AJ$1001,MATCH(ROWS($AH$2:AH951),$AH$2:$AH$1001,0),0), INDEX($AO$1004:$BQ$1004,1,MATCH(COLUMNS($AO$1006:BB1006),$AO$1006:$BQ$1006,0)))),"Fix")))</f>
        <v>#N/A</v>
      </c>
      <c r="P951" s="5" t="e">
        <f ca="1">IF(OR(INDEX($AI$2:$AI$1001,MATCH(ROWS($AH$2:AH951),$AH$2:$AH$1001,0),1)&gt;=100000,INDEX($AO$1005:$BQ$1005,1,MATCH(COLUMNS($AO$1006:BC1006),$AO$1006:$BQ$1006,0))&gt;=100000), " ",IF(INDEX($AO$2:$BQ$1001,MATCH(ROWS($AH$2:AH951),$AH$2:$AH$1001,0),MATCH(COLUMNS($AO$1006:BC1006),$AO$1006:$BQ$1006,0)), HYPERLINK("#",""), HYPERLINK(CONCATENATE("#Metadata!", ADDRESS(INDEX($AJ$2:$AJ$1001,MATCH(ROWS($AH$2:AH951),$AH$2:$AH$1001,0),0), INDEX($AO$1004:$BQ$1004,1,MATCH(COLUMNS($AO$1006:BC1006),$AO$1006:$BQ$1006,0)))),"Fix")))</f>
        <v>#N/A</v>
      </c>
      <c r="Q951" s="5" t="e">
        <f ca="1">IF(OR(INDEX($AI$2:$AI$1001,MATCH(ROWS($AH$2:AH951),$AH$2:$AH$1001,0),1)&gt;=100000,INDEX($AO$1005:$BQ$1005,1,MATCH(COLUMNS($AO$1006:BD1006),$AO$1006:$BQ$1006,0))&gt;=100000), " ",IF(INDEX($AO$2:$BQ$1001,MATCH(ROWS($AH$2:AH951),$AH$2:$AH$1001,0),MATCH(COLUMNS($AO$1006:BD1006),$AO$1006:$BQ$1006,0)), HYPERLINK("#",""), HYPERLINK(CONCATENATE("#Metadata!", ADDRESS(INDEX($AJ$2:$AJ$1001,MATCH(ROWS($AH$2:AH951),$AH$2:$AH$1001,0),0), INDEX($AO$1004:$BQ$1004,1,MATCH(COLUMNS($AO$1006:BD1006),$AO$1006:$BQ$1006,0)))),"Fix")))</f>
        <v>#N/A</v>
      </c>
      <c r="R951" s="5" t="e">
        <f ca="1">IF(OR(INDEX($AI$2:$AI$1001,MATCH(ROWS($AH$2:AH951),$AH$2:$AH$1001,0),1)&gt;=100000,INDEX($AO$1005:$BQ$1005,1,MATCH(COLUMNS($AO$1006:BE1006),$AO$1006:$BQ$1006,0))&gt;=100000), " ",IF(INDEX($AO$2:$BQ$1001,MATCH(ROWS($AH$2:AH951),$AH$2:$AH$1001,0),MATCH(COLUMNS($AO$1006:BE1006),$AO$1006:$BQ$1006,0)), HYPERLINK("#",""), HYPERLINK(CONCATENATE("#Metadata!", ADDRESS(INDEX($AJ$2:$AJ$1001,MATCH(ROWS($AH$2:AH951),$AH$2:$AH$1001,0),0), INDEX($AO$1004:$BQ$1004,1,MATCH(COLUMNS($AO$1006:BE1006),$AO$1006:$BQ$1006,0)))),"Fix")))</f>
        <v>#N/A</v>
      </c>
      <c r="S951" s="5" t="e">
        <f ca="1">IF(OR(INDEX($AI$2:$AI$1001,MATCH(ROWS($AH$2:AH951),$AH$2:$AH$1001,0),1)&gt;=100000,INDEX($AO$1005:$BQ$1005,1,MATCH(COLUMNS($AO$1006:BF1006),$AO$1006:$BQ$1006,0))&gt;=100000), " ",IF(INDEX($AO$2:$BQ$1001,MATCH(ROWS($AH$2:AH951),$AH$2:$AH$1001,0),MATCH(COLUMNS($AO$1006:BF1006),$AO$1006:$BQ$1006,0)), HYPERLINK("#",""), HYPERLINK(CONCATENATE("#Metadata!", ADDRESS(INDEX($AJ$2:$AJ$1001,MATCH(ROWS($AH$2:AH951),$AH$2:$AH$1001,0),0), INDEX($AO$1004:$BQ$1004,1,MATCH(COLUMNS($AO$1006:BF1006),$AO$1006:$BQ$1006,0)))),"Fix")))</f>
        <v>#N/A</v>
      </c>
      <c r="T951" s="5" t="e">
        <f ca="1">IF(OR(INDEX($AI$2:$AI$1001,MATCH(ROWS($AH$2:AH951),$AH$2:$AH$1001,0),1)&gt;=100000,INDEX($AO$1005:$BQ$1005,1,MATCH(COLUMNS($AO$1006:BG1006),$AO$1006:$BQ$1006,0))&gt;=100000), " ",IF(INDEX($AO$2:$BQ$1001,MATCH(ROWS($AH$2:AH951),$AH$2:$AH$1001,0),MATCH(COLUMNS($AO$1006:BG1006),$AO$1006:$BQ$1006,0)), HYPERLINK("#",""), HYPERLINK(CONCATENATE("#Metadata!", ADDRESS(INDEX($AJ$2:$AJ$1001,MATCH(ROWS($AH$2:AH951),$AH$2:$AH$1001,0),0), INDEX($AO$1004:$BQ$1004,1,MATCH(COLUMNS($AO$1006:BG1006),$AO$1006:$BQ$1006,0)))),"Fix")))</f>
        <v>#N/A</v>
      </c>
      <c r="U951" s="5" t="e">
        <f ca="1">IF(OR(INDEX($AI$2:$AI$1001,MATCH(ROWS($AH$2:AH951),$AH$2:$AH$1001,0),1)&gt;=100000,INDEX($AO$1005:$BQ$1005,1,MATCH(COLUMNS($AO$1006:BH1006),$AO$1006:$BQ$1006,0))&gt;=100000), " ",IF(INDEX($AO$2:$BQ$1001,MATCH(ROWS($AH$2:AH951),$AH$2:$AH$1001,0),MATCH(COLUMNS($AO$1006:BH1006),$AO$1006:$BQ$1006,0)), HYPERLINK("#",""), HYPERLINK(CONCATENATE("#Metadata!", ADDRESS(INDEX($AJ$2:$AJ$1001,MATCH(ROWS($AH$2:AH951),$AH$2:$AH$1001,0),0), INDEX($AO$1004:$BQ$1004,1,MATCH(COLUMNS($AO$1006:BH1006),$AO$1006:$BQ$1006,0)))),"Fix")))</f>
        <v>#N/A</v>
      </c>
      <c r="V951" s="5" t="e">
        <f ca="1">IF(OR(INDEX($AI$2:$AI$1001,MATCH(ROWS($AH$2:AH951),$AH$2:$AH$1001,0),1)&gt;=100000,INDEX($AO$1005:$BQ$1005,1,MATCH(COLUMNS($AO$1006:BI1006),$AO$1006:$BQ$1006,0))&gt;=100000), " ",IF(INDEX($AO$2:$BQ$1001,MATCH(ROWS($AH$2:AH951),$AH$2:$AH$1001,0),MATCH(COLUMNS($AO$1006:BI1006),$AO$1006:$BQ$1006,0)), HYPERLINK("#",""), HYPERLINK(CONCATENATE("#Metadata!", ADDRESS(INDEX($AJ$2:$AJ$1001,MATCH(ROWS($AH$2:AH951),$AH$2:$AH$1001,0),0), INDEX($AO$1004:$BQ$1004,1,MATCH(COLUMNS($AO$1006:BI1006),$AO$1006:$BQ$1006,0)))),"Fix")))</f>
        <v>#N/A</v>
      </c>
      <c r="W951" s="5" t="e">
        <f ca="1">IF(OR(INDEX($AI$2:$AI$1001,MATCH(ROWS($AH$2:AH951),$AH$2:$AH$1001,0),1)&gt;=100000,INDEX($AO$1005:$BQ$1005,1,MATCH(COLUMNS($AO$1006:BJ1006),$AO$1006:$BQ$1006,0))&gt;=100000), " ",IF(INDEX($AO$2:$BQ$1001,MATCH(ROWS($AH$2:AH951),$AH$2:$AH$1001,0),MATCH(COLUMNS($AO$1006:BJ1006),$AO$1006:$BQ$1006,0)), HYPERLINK("#",""), HYPERLINK(CONCATENATE("#Metadata!", ADDRESS(INDEX($AJ$2:$AJ$1001,MATCH(ROWS($AH$2:AH951),$AH$2:$AH$1001,0),0), INDEX($AO$1004:$BQ$1004,1,MATCH(COLUMNS($AO$1006:BJ1006),$AO$1006:$BQ$1006,0)))),"Fix")))</f>
        <v>#N/A</v>
      </c>
      <c r="X951" s="5" t="e">
        <f ca="1">IF(OR(INDEX($AI$2:$AI$1001,MATCH(ROWS($AH$2:AH951),$AH$2:$AH$1001,0),1)&gt;=100000,INDEX($AO$1005:$BQ$1005,1,MATCH(COLUMNS($AO$1006:BK1006),$AO$1006:$BQ$1006,0))&gt;=100000), " ",IF(INDEX($AO$2:$BQ$1001,MATCH(ROWS($AH$2:AH951),$AH$2:$AH$1001,0),MATCH(COLUMNS($AO$1006:BK1006),$AO$1006:$BQ$1006,0)), HYPERLINK("#",""), HYPERLINK(CONCATENATE("#Metadata!", ADDRESS(INDEX($AJ$2:$AJ$1001,MATCH(ROWS($AH$2:AH951),$AH$2:$AH$1001,0),0), INDEX($AO$1004:$BQ$1004,1,MATCH(COLUMNS($AO$1006:BK1006),$AO$1006:$BQ$1006,0)))),"Fix")))</f>
        <v>#N/A</v>
      </c>
      <c r="Y951" s="5" t="e">
        <f ca="1">IF(OR(INDEX($AI$2:$AI$1001,MATCH(ROWS($AH$2:AH951),$AH$2:$AH$1001,0),1)&gt;=100000,INDEX($AO$1005:$BQ$1005,1,MATCH(COLUMNS($AO$1006:BL1006),$AO$1006:$BQ$1006,0))&gt;=100000), " ",IF(INDEX($AO$2:$BQ$1001,MATCH(ROWS($AH$2:AH951),$AH$2:$AH$1001,0),MATCH(COLUMNS($AO$1006:BL1006),$AO$1006:$BQ$1006,0)), HYPERLINK("#",""), HYPERLINK(CONCATENATE("#Metadata!", ADDRESS(INDEX($AJ$2:$AJ$1001,MATCH(ROWS($AH$2:AH951),$AH$2:$AH$1001,0),0), INDEX($AO$1004:$BQ$1004,1,MATCH(COLUMNS($AO$1006:BL1006),$AO$1006:$BQ$1006,0)))),"Fix")))</f>
        <v>#N/A</v>
      </c>
      <c r="Z951" s="5" t="e">
        <f ca="1">IF(OR(INDEX($AI$2:$AI$1001,MATCH(ROWS($AH$2:AH951),$AH$2:$AH$1001,0),1)&gt;=100000,INDEX($AO$1005:$BQ$1005,1,MATCH(COLUMNS($AO$1006:BM1006),$AO$1006:$BQ$1006,0))&gt;=100000), " ",IF(INDEX($AO$2:$BQ$1001,MATCH(ROWS($AH$2:AH951),$AH$2:$AH$1001,0),MATCH(COLUMNS($AO$1006:BM1006),$AO$1006:$BQ$1006,0)), HYPERLINK("#",""), HYPERLINK(CONCATENATE("#Metadata!", ADDRESS(INDEX($AJ$2:$AJ$1001,MATCH(ROWS($AH$2:AH951),$AH$2:$AH$1001,0),0), INDEX($AO$1004:$BQ$1004,1,MATCH(COLUMNS($AO$1006:BM1006),$AO$1006:$BQ$1006,0)))),"Fix")))</f>
        <v>#N/A</v>
      </c>
      <c r="AA951" s="5" t="e">
        <f ca="1">IF(OR(INDEX($AI$2:$AI$1001,MATCH(ROWS($AH$2:AH951),$AH$2:$AH$1001,0),1)&gt;=100000,INDEX($AO$1005:$BQ$1005,1,MATCH(COLUMNS($AO$1006:BN1006),$AO$1006:$BQ$1006,0))&gt;=100000), " ",IF(INDEX($AO$2:$BQ$1001,MATCH(ROWS($AH$2:AH951),$AH$2:$AH$1001,0),MATCH(COLUMNS($AO$1006:BN1006),$AO$1006:$BQ$1006,0)), HYPERLINK("#",""), HYPERLINK(CONCATENATE("#Metadata!", ADDRESS(INDEX($AJ$2:$AJ$1001,MATCH(ROWS($AH$2:AH951),$AH$2:$AH$1001,0),0), INDEX($AO$1004:$BQ$1004,1,MATCH(COLUMNS($AO$1006:BN1006),$AO$1006:$BQ$1006,0)))),"Fix")))</f>
        <v>#N/A</v>
      </c>
      <c r="AB951" s="5" t="e">
        <f ca="1">IF(OR(INDEX($AI$2:$AI$1001,MATCH(ROWS($AH$2:AH951),$AH$2:$AH$1001,0),1)&gt;=100000,INDEX($AO$1005:$BQ$1005,1,MATCH(COLUMNS($AO$1006:BO1006),$AO$1006:$BQ$1006,0))&gt;=100000), " ",IF(INDEX($AO$2:$BQ$1001,MATCH(ROWS($AH$2:AH951),$AH$2:$AH$1001,0),MATCH(COLUMNS($AO$1006:BO1006),$AO$1006:$BQ$1006,0)), HYPERLINK("#",""), HYPERLINK(CONCATENATE("#Metadata!", ADDRESS(INDEX($AJ$2:$AJ$1001,MATCH(ROWS($AH$2:AH951),$AH$2:$AH$1001,0),0), INDEX($AO$1004:$BQ$1004,1,MATCH(COLUMNS($AO$1006:BO1006),$AO$1006:$BQ$1006,0)))),"Fix")))</f>
        <v>#N/A</v>
      </c>
      <c r="AC951" s="5" t="e">
        <f ca="1">IF(OR(INDEX($AI$2:$AI$1001,MATCH(ROWS($AH$2:AH951),$AH$2:$AH$1001,0),1)&gt;=100000,INDEX($AO$1005:$BQ$1005,1,MATCH(COLUMNS($AO$1006:BP1006),$AO$1006:$BQ$1006,0))&gt;=100000), " ",IF(INDEX($AO$2:$BQ$1001,MATCH(ROWS($AH$2:AH951),$AH$2:$AH$1001,0),MATCH(COLUMNS($AO$1006:BP1006),$AO$1006:$BQ$1006,0)), HYPERLINK("#",""), HYPERLINK(CONCATENATE("#Metadata!", ADDRESS(INDEX($AJ$2:$AJ$1001,MATCH(ROWS($AH$2:AH951),$AH$2:$AH$1001,0),0), INDEX($AO$1004:$BQ$1004,1,MATCH(COLUMNS($AO$1006:BP1006),$AO$1006:$BQ$1006,0)))),"Fix")))</f>
        <v>#N/A</v>
      </c>
      <c r="AD951" s="5" t="e">
        <f ca="1">IF(OR(INDEX($AI$2:$AI$1001,MATCH(ROWS($AH$2:AH951),$AH$2:$AH$1001,0),1)&gt;=100000,INDEX($AO$1005:$BQ$1005,1,MATCH(COLUMNS($AO$1006:BQ1006),$AO$1006:$BQ$1006,0))&gt;=100000), " ",IF(INDEX($AO$2:$BQ$1001,MATCH(ROWS($AH$2:AH951),$AH$2:$AH$1001,0),MATCH(COLUMNS($AO$1006:BQ1006),$AO$1006:$BQ$1006,0)), HYPERLINK("#",""), HYPERLINK(CONCATENATE("#Metadata!", ADDRESS(INDEX($AJ$2:$AJ$1001,MATCH(ROWS($AH$2:AH951),$AH$2:$AH$1001,0),0), INDEX($AO$1004:$BQ$1004,1,MATCH(COLUMNS($AO$1006:BQ1006),$AO$1006:$BQ$1006,0)))),"Fix")))</f>
        <v>#REF!</v>
      </c>
      <c r="AH951">
        <f ca="1"/>
        <v>948</v>
      </c>
      <c r="AI951">
        <v>100951</v>
      </c>
      <c r="AJ951">
        <v>951</v>
      </c>
      <c r="AK951" t="b">
        <f t="shared" si="14"/>
        <v>1</v>
      </c>
      <c r="AL951" t="b">
        <f>COUNTBLANK(Metadata!B951:AD951)=COLUMNS(Metadata!B951:AD951)</f>
        <v>1</v>
      </c>
      <c r="AM951" t="str">
        <v/>
      </c>
      <c r="AO951" t="b">
        <f ca="1">AND(IF(Metadata!B951="",FALSE,TRUE),COUNTIF(Metadata!B:B, Metadata!B951) = 1,NOT(ISERROR(SUMPRODUCT(SEARCH(MID(Metadata!B951,ROW(INDIRECT("1:"&amp;LEN(Metadata!B951))), 1),"0123456789abcdefghijklmnopqrstuvwxyzABCDEFGHIJKLMNOPQRSTUVWXYZ.")))))</f>
        <v>0</v>
      </c>
      <c r="AP951" t="b">
        <f>IF(Metadata!C951="",FALSE,TRUE)</f>
        <v>0</v>
      </c>
      <c r="AQ951" t="b">
        <f>IF(Metadata!D951="",FALSE,TRUE)</f>
        <v>0</v>
      </c>
      <c r="AR951" t="b">
        <f ca="1">OR(AND(IF(Metadata!E951="",FALSE,TRUE),OR(EXACT(Metadata!E951,"not collected"),EXACT(Metadata!E951,"not provided"),EXACT(Metadata!E951,"restricted access"))),AND(IF(Metadata!E951="",FALSE,TRUE),AND(AND(IFERROR(INT(LEFT(Metadata!E951,4))&gt;1900,FALSE),IFERROR(INT(LEFT(Metadata!E951,4))&lt;=YEAR(NOW()),FALSE)), OR(MID(Metadata!E951,5,1)="", AND(AND(MID(Metadata!E951,5,1)="-",IFERROR(INT(MID(Metadata!E951,6,1))&gt;=0,FALSE),IFERROR(INT(MID(Metadata!E951,6,1))&lt;=1,FALSE),NOT(MID(Metadata!E951,7,1)=""),IFERROR(INT(MID(Metadata!E951,6,2))&gt;=1,FALSE),IFERROR(INT(MID(Metadata!E951,6,2))&lt;=12,FALSE)), OR(MID(Metadata!E951,8,1)="", AND(AND(MID(Metadata!E951,8,1)="-",IFERROR(INT(MID(Metadata!E951,9,1))&gt;=0,FALSE),IFERROR(INT(MID(Metadata!E951,9,1))&lt;=3,FALSE),NOT(MID(Metadata!E951,10,1)=""),IFERROR(INT(MID(Metadata!E951,9,2))&gt;=1,FALSE),IFERROR(INT(MID(Metadata!E951,9,2))&lt;=31,FALSE)), OR(MID(Metadata!E951,11,1)="", AND(AND(MID(Metadata!E951,11,1)=" ",IFERROR(INT(MID(Metadata!E951,12,1))&gt;=0,FALSE),IFERROR(INT(MID(Metadata!E951,12,1))&lt;=2,FALSE),NOT(MID(Metadata!E951,13,1)=""),IFERROR(INT(MID(Metadata!E951,12,2))&gt;=0,FALSE),IFERROR(INT(MID(Metadata!E951,12,2))&lt;=23,FALSE)), OR(MID(Metadata!E951,14,1)="", AND(AND(MID(Metadata!E951,14,1)=":",IFERROR(INT(MID(Metadata!E951,15,1))&gt;=0,FALSE),IFERROR(INT(MID(Metadata!E951,15,1))&lt;=5,FALSE),NOT(MID(Metadata!E951,16,1)=""),IFERROR(INT(MID(Metadata!E951,15,2))&gt;=0,FALSE),IFERROR(INT(MID(Metadata!E951,15,2))&lt;=59,FALSE)), OR(MID(Metadata!E951,17,1)="", AND(AND(MID(Metadata!E951,17,1)=":",IFERROR(INT(MID(Metadata!E951,18,1))&gt;=0,FALSE),IFERROR(INT(MID(Metadata!E951,18,1))&lt;=5,FALSE),NOT(MID(Metadata!E951,19,1)=""),IFERROR(INT(MID(Metadata!E951,18,2))&gt;=0,FALSE),IFERROR(INT(MID(Metadata!E951,18,2))&lt;=59,FALSE)), LEN(Metadata!E951)&lt;=19)))))))))))))</f>
        <v>0</v>
      </c>
      <c r="AS951" t="b">
        <f>IF(Metadata!F951="",FALSE,TRUE)</f>
        <v>0</v>
      </c>
      <c r="AT951" t="b">
        <f>OR(AND(IF(Metadata!G951="",FALSE,TRUE),OR(EXACT(Metadata!G951,"not collected"),EXACT(Metadata!G951,"not provided"))),AND(IF(Metadata!G951="",FALSE,TRUE),OR(EXACT(Metadata!G951,"TRUE"),EXACT(Metadata!G951,"FALSE"))))</f>
        <v>0</v>
      </c>
      <c r="AU951" t="b">
        <f>OR(AND(IF(Metadata!H951="",FALSE,TRUE),OR(EXACT(Metadata!H951,"not collected"),EXACT(Metadata!H951,"not provided"),EXACT(Metadata!H951,"restricted access"))),AND(IF(Metadata!H951="",FALSE,ISNUMBER(VALUE(Metadata!H951))),Metadata!H951&gt;=-413))</f>
        <v>0</v>
      </c>
      <c r="AV951" t="b">
        <f>AND(IF(Metadata!I951="",FALSE,TRUE),EXACT(Metadata!I951,"meters"))</f>
        <v>0</v>
      </c>
      <c r="AW951" t="b">
        <f>AND(IF(Metadata!J951="",FALSE,TRUE),EXACT(Metadata!J951,"free-living"))</f>
        <v>0</v>
      </c>
      <c r="AX951" t="b">
        <f>AND(IF(Metadata!K951="",FALSE,TRUE),OR(EXACT(Metadata!K951,"saline"),EXACT(Metadata!K951,"non-saline")))</f>
        <v>0</v>
      </c>
      <c r="AY951" t="b">
        <f>AND(IF(Metadata!L951="",FALSE,TRUE),OR(EXACT(Metadata!L951,"sub-surface (non-saline)"),EXACT(Metadata!L951,"surface (non-saline)"),EXACT(Metadata!L951,"water (non-saline)"),EXACT(Metadata!L951,"soil (non-saline)"),EXACT(Metadata!L951,"aerosol (non-saline)"),EXACT(Metadata!L951,"sediment (non-saline)"),EXACT(Metadata!L951,"surface (saline)"),EXACT(Metadata!L951,"water (saline)"),EXACT(Metadata!L951,"hypersaline (saline)"),EXACT(Metadata!L951,"aerosol (saline)"),EXACT(Metadata!L951,"sediment (saline)")))</f>
        <v>0</v>
      </c>
      <c r="AZ951" t="b">
        <f>IF(Metadata!M951="",FALSE,TRUE)</f>
        <v>0</v>
      </c>
      <c r="BA951" t="b">
        <f>IF(Metadata!N951="",FALSE,TRUE)</f>
        <v>0</v>
      </c>
      <c r="BB951" t="b">
        <f>IF(Metadata!O951="",FALSE,TRUE)</f>
        <v>0</v>
      </c>
      <c r="BC951" t="b">
        <f>AND(IF(Metadata!P951="",FALSE,TRUE),OR(EXACT(Metadata!P951,"air"),EXACT(Metadata!P951,"microbial mat/biofilm"),EXACT(Metadata!P951,"misc environment"),EXACT(Metadata!P951,"sediment"),EXACT(Metadata!P951,"soil"),EXACT(Metadata!P951,"wastewater/sludge"),EXACT(Metadata!P951,"water")))</f>
        <v>0</v>
      </c>
      <c r="BD951" t="b">
        <f>IF(Metadata!Q951="",FALSE,TRUE)</f>
        <v>0</v>
      </c>
      <c r="BE951" t="b">
        <f>IF(Metadata!R951="",FALSE,TRUE)</f>
        <v>0</v>
      </c>
      <c r="BF951" t="b">
        <f>OR(AND(IF(Metadata!S951="",FALSE,TRUE),OR(EXACT(Metadata!S951,"not collected"),EXACT(Metadata!S951,"not provided"),EXACT(Metadata!S951,"restricted access"))),AND(IF(Metadata!S951="",FALSE,ISNUMBER(VALUE(Metadata!S951))),Metadata!S951&gt;=-90,Metadata!S951&lt;=90))</f>
        <v>0</v>
      </c>
      <c r="BG951" t="b">
        <f>AND(IF(Metadata!T951="",FALSE,TRUE),EXACT(Metadata!T951,"Decimal degrees"))</f>
        <v>0</v>
      </c>
      <c r="BH951" t="b">
        <f>OR(AND(IF(Metadata!U951="",FALSE,TRUE),OR(EXACT(Metadata!U951,"not applicable"),EXACT(Metadata!U951,"not collected"))),IF(Metadata!U951="",FALSE,TRUE))</f>
        <v>0</v>
      </c>
      <c r="BI951" t="b">
        <f>OR(AND(IF(Metadata!V951="",FALSE,TRUE),OR(EXACT(Metadata!V951,"not collected"),EXACT(Metadata!V951,"not provided"),EXACT(Metadata!V951,"restricted access"))),AND(IF(Metadata!V951="",FALSE,ISNUMBER(VALUE(Metadata!V951))),Metadata!V951&gt;=-180,Metadata!V951&lt;=180))</f>
        <v>0</v>
      </c>
      <c r="BJ951" t="b">
        <f>AND(IF(Metadata!W951="",FALSE,TRUE),EXACT(Metadata!W951,"Decimal degrees"))</f>
        <v>0</v>
      </c>
      <c r="BK951" t="b">
        <f>IF(Metadata!X951="",FALSE,TRUE)</f>
        <v>0</v>
      </c>
      <c r="BL951" t="b">
        <f>OR(AND(IF(Metadata!Y951="",FALSE,TRUE),OR(EXACT(Metadata!Y951,"not collected"),EXACT(Metadata!Y951,"not provided"),EXACT(Metadata!Y951,"restricted access"))),AND(IF(Metadata!Y951="",FALSE,TRUE),OR(EXACT(Metadata!Y951,"TRUE"),EXACT(Metadata!Y951,"FALSE"))))</f>
        <v>0</v>
      </c>
      <c r="BM951" t="b">
        <f>OR(AND(IF(Metadata!Z951="",FALSE,TRUE),EXACT(Metadata!Z951,"not applicable")),AND(IF(Metadata!Z951="",FALSE,TRUE),OR(EXACT(Metadata!Z951,"beer"),EXACT(Metadata!Z951,"cheese"),EXACT(Metadata!Z951,"fresh water"),EXACT(Metadata!Z951,"marine sediment"),EXACT(Metadata!Z951,"sea water"),EXACT(Metadata!Z951,"sediment"),EXACT(Metadata!Z951,"soil"),EXACT(Metadata!Z951,"waste water"))))</f>
        <v>0</v>
      </c>
      <c r="BN951" t="b">
        <f>AND(IF(Metadata!AA951="",FALSE,TRUE),EXACT(Metadata!AA951,"metagenome"))</f>
        <v>0</v>
      </c>
      <c r="BO951" t="b">
        <f>AND(IF(Metadata!AB951="",FALSE,TRUE),EXACT(Metadata!AB951,"256318"))</f>
        <v>0</v>
      </c>
      <c r="BP951" t="b">
        <f>IF(Metadata!AC951="",FALSE,TRUE)</f>
        <v>0</v>
      </c>
      <c r="BQ951" t="b">
        <f>IF(Metadata!AD951="",FALSE,TRUE)</f>
        <v>0</v>
      </c>
    </row>
    <row r="952" spans="1:69" x14ac:dyDescent="0.2">
      <c r="A952" s="4" t="e">
        <f ca="1">IF(B952=" "," ",HYPERLINK(CONCATENATE("#metadata!",ADDRESS(INDEX($AJ$2:$AJ$1001,MATCH(ROWS($AH$2:AH952),$AH$2:$AH$1001,0),0),2)),INDEX($AM$2:$AM$1001,MATCH(ROWS($AH$2:AH952),$AH$2:$AH$1001,0),0)))</f>
        <v>#N/A</v>
      </c>
      <c r="B952" s="5" t="e">
        <f ca="1">IF(OR(INDEX($AI$2:$AI$1001,MATCH(ROWS($AH$2:AH952),$AH$2:$AH$1001,0),1)&gt;=100000,INDEX($AO$1005:$BQ$1005,1,MATCH(COLUMNS($AO$1006:AO1006),$AO$1006:$BQ$1006,0))&gt;=100000), " ",IF(INDEX($AO$2:$BQ$1001,MATCH(ROWS($AH$2:AH952),$AH$2:$AH$1001,0),MATCH(COLUMNS($AO$1006:AO1006),$AO$1006:$BQ$1006,0)), HYPERLINK("#",""), HYPERLINK(CONCATENATE("#Metadata!", ADDRESS(INDEX($AJ$2:$AJ$1001,MATCH(ROWS($AH$2:AH952),$AH$2:$AH$1001,0),0), INDEX($AO$1004:$BQ$1004,1,MATCH(COLUMNS($AO$1006:AO1006),$AO$1006:$BQ$1006,0)))),"Fix")))</f>
        <v>#N/A</v>
      </c>
      <c r="C952" s="5" t="e">
        <f ca="1">IF(OR(INDEX($AI$2:$AI$1001,MATCH(ROWS($AH$2:AH952),$AH$2:$AH$1001,0),1)&gt;=100000,INDEX($AO$1005:$BQ$1005,1,MATCH(COLUMNS($AO$1006:AP1006),$AO$1006:$BQ$1006,0))&gt;=100000), " ",IF(INDEX($AO$2:$BQ$1001,MATCH(ROWS($AH$2:AH952),$AH$2:$AH$1001,0),MATCH(COLUMNS($AO$1006:AP1006),$AO$1006:$BQ$1006,0)), HYPERLINK("#",""), HYPERLINK(CONCATENATE("#Metadata!", ADDRESS(INDEX($AJ$2:$AJ$1001,MATCH(ROWS($AH$2:AH952),$AH$2:$AH$1001,0),0), INDEX($AO$1004:$BQ$1004,1,MATCH(COLUMNS($AO$1006:AP1006),$AO$1006:$BQ$1006,0)))),"Fix")))</f>
        <v>#N/A</v>
      </c>
      <c r="D952" s="5" t="e">
        <f ca="1">IF(OR(INDEX($AI$2:$AI$1001,MATCH(ROWS($AH$2:AH952),$AH$2:$AH$1001,0),1)&gt;=100000,INDEX($AO$1005:$BQ$1005,1,MATCH(COLUMNS($AO$1006:AQ1006),$AO$1006:$BQ$1006,0))&gt;=100000), " ",IF(INDEX($AO$2:$BQ$1001,MATCH(ROWS($AH$2:AH952),$AH$2:$AH$1001,0),MATCH(COLUMNS($AO$1006:AQ1006),$AO$1006:$BQ$1006,0)), HYPERLINK("#",""), HYPERLINK(CONCATENATE("#Metadata!", ADDRESS(INDEX($AJ$2:$AJ$1001,MATCH(ROWS($AH$2:AH952),$AH$2:$AH$1001,0),0), INDEX($AO$1004:$BQ$1004,1,MATCH(COLUMNS($AO$1006:AQ1006),$AO$1006:$BQ$1006,0)))),"Fix")))</f>
        <v>#N/A</v>
      </c>
      <c r="E952" s="5" t="e">
        <f ca="1">IF(OR(INDEX($AI$2:$AI$1001,MATCH(ROWS($AH$2:AH952),$AH$2:$AH$1001,0),1)&gt;=100000,INDEX($AO$1005:$BQ$1005,1,MATCH(COLUMNS($AO$1006:AR1006),$AO$1006:$BQ$1006,0))&gt;=100000), " ",IF(INDEX($AO$2:$BQ$1001,MATCH(ROWS($AH$2:AH952),$AH$2:$AH$1001,0),MATCH(COLUMNS($AO$1006:AR1006),$AO$1006:$BQ$1006,0)), HYPERLINK("#",""), HYPERLINK(CONCATENATE("#Metadata!", ADDRESS(INDEX($AJ$2:$AJ$1001,MATCH(ROWS($AH$2:AH952),$AH$2:$AH$1001,0),0), INDEX($AO$1004:$BQ$1004,1,MATCH(COLUMNS($AO$1006:AR1006),$AO$1006:$BQ$1006,0)))),"Fix")))</f>
        <v>#N/A</v>
      </c>
      <c r="F952" s="5" t="e">
        <f ca="1">IF(OR(INDEX($AI$2:$AI$1001,MATCH(ROWS($AH$2:AH952),$AH$2:$AH$1001,0),1)&gt;=100000,INDEX($AO$1005:$BQ$1005,1,MATCH(COLUMNS($AO$1006:AS1006),$AO$1006:$BQ$1006,0))&gt;=100000), " ",IF(INDEX($AO$2:$BQ$1001,MATCH(ROWS($AH$2:AH952),$AH$2:$AH$1001,0),MATCH(COLUMNS($AO$1006:AS1006),$AO$1006:$BQ$1006,0)), HYPERLINK("#",""), HYPERLINK(CONCATENATE("#Metadata!", ADDRESS(INDEX($AJ$2:$AJ$1001,MATCH(ROWS($AH$2:AH952),$AH$2:$AH$1001,0),0), INDEX($AO$1004:$BQ$1004,1,MATCH(COLUMNS($AO$1006:AS1006),$AO$1006:$BQ$1006,0)))),"Fix")))</f>
        <v>#N/A</v>
      </c>
      <c r="G952" s="5" t="e">
        <f ca="1">IF(OR(INDEX($AI$2:$AI$1001,MATCH(ROWS($AH$2:AH952),$AH$2:$AH$1001,0),1)&gt;=100000,INDEX($AO$1005:$BQ$1005,1,MATCH(COLUMNS($AO$1006:AT1006),$AO$1006:$BQ$1006,0))&gt;=100000), " ",IF(INDEX($AO$2:$BQ$1001,MATCH(ROWS($AH$2:AH952),$AH$2:$AH$1001,0),MATCH(COLUMNS($AO$1006:AT1006),$AO$1006:$BQ$1006,0)), HYPERLINK("#",""), HYPERLINK(CONCATENATE("#Metadata!", ADDRESS(INDEX($AJ$2:$AJ$1001,MATCH(ROWS($AH$2:AH952),$AH$2:$AH$1001,0),0), INDEX($AO$1004:$BQ$1004,1,MATCH(COLUMNS($AO$1006:AT1006),$AO$1006:$BQ$1006,0)))),"Fix")))</f>
        <v>#N/A</v>
      </c>
      <c r="H952" s="5" t="e">
        <f ca="1">IF(OR(INDEX($AI$2:$AI$1001,MATCH(ROWS($AH$2:AH952),$AH$2:$AH$1001,0),1)&gt;=100000,INDEX($AO$1005:$BQ$1005,1,MATCH(COLUMNS($AO$1006:AU1006),$AO$1006:$BQ$1006,0))&gt;=100000), " ",IF(INDEX($AO$2:$BQ$1001,MATCH(ROWS($AH$2:AH952),$AH$2:$AH$1001,0),MATCH(COLUMNS($AO$1006:AU1006),$AO$1006:$BQ$1006,0)), HYPERLINK("#",""), HYPERLINK(CONCATENATE("#Metadata!", ADDRESS(INDEX($AJ$2:$AJ$1001,MATCH(ROWS($AH$2:AH952),$AH$2:$AH$1001,0),0), INDEX($AO$1004:$BQ$1004,1,MATCH(COLUMNS($AO$1006:AU1006),$AO$1006:$BQ$1006,0)))),"Fix")))</f>
        <v>#N/A</v>
      </c>
      <c r="I952" s="5" t="e">
        <f ca="1">IF(OR(INDEX($AI$2:$AI$1001,MATCH(ROWS($AH$2:AH952),$AH$2:$AH$1001,0),1)&gt;=100000,INDEX($AO$1005:$BQ$1005,1,MATCH(COLUMNS($AO$1006:AV1006),$AO$1006:$BQ$1006,0))&gt;=100000), " ",IF(INDEX($AO$2:$BQ$1001,MATCH(ROWS($AH$2:AH952),$AH$2:$AH$1001,0),MATCH(COLUMNS($AO$1006:AV1006),$AO$1006:$BQ$1006,0)), HYPERLINK("#",""), HYPERLINK(CONCATENATE("#Metadata!", ADDRESS(INDEX($AJ$2:$AJ$1001,MATCH(ROWS($AH$2:AH952),$AH$2:$AH$1001,0),0), INDEX($AO$1004:$BQ$1004,1,MATCH(COLUMNS($AO$1006:AV1006),$AO$1006:$BQ$1006,0)))),"Fix")))</f>
        <v>#N/A</v>
      </c>
      <c r="J952" s="5" t="e">
        <f ca="1">IF(OR(INDEX($AI$2:$AI$1001,MATCH(ROWS($AH$2:AH952),$AH$2:$AH$1001,0),1)&gt;=100000,INDEX($AO$1005:$BQ$1005,1,MATCH(COLUMNS($AO$1006:AW1006),$AO$1006:$BQ$1006,0))&gt;=100000), " ",IF(INDEX($AO$2:$BQ$1001,MATCH(ROWS($AH$2:AH952),$AH$2:$AH$1001,0),MATCH(COLUMNS($AO$1006:AW1006),$AO$1006:$BQ$1006,0)), HYPERLINK("#",""), HYPERLINK(CONCATENATE("#Metadata!", ADDRESS(INDEX($AJ$2:$AJ$1001,MATCH(ROWS($AH$2:AH952),$AH$2:$AH$1001,0),0), INDEX($AO$1004:$BQ$1004,1,MATCH(COLUMNS($AO$1006:AW1006),$AO$1006:$BQ$1006,0)))),"Fix")))</f>
        <v>#N/A</v>
      </c>
      <c r="K952" s="5" t="e">
        <f ca="1">IF(OR(INDEX($AI$2:$AI$1001,MATCH(ROWS($AH$2:AH952),$AH$2:$AH$1001,0),1)&gt;=100000,INDEX($AO$1005:$BQ$1005,1,MATCH(COLUMNS($AO$1006:AX1006),$AO$1006:$BQ$1006,0))&gt;=100000), " ",IF(INDEX($AO$2:$BQ$1001,MATCH(ROWS($AH$2:AH952),$AH$2:$AH$1001,0),MATCH(COLUMNS($AO$1006:AX1006),$AO$1006:$BQ$1006,0)), HYPERLINK("#",""), HYPERLINK(CONCATENATE("#Metadata!", ADDRESS(INDEX($AJ$2:$AJ$1001,MATCH(ROWS($AH$2:AH952),$AH$2:$AH$1001,0),0), INDEX($AO$1004:$BQ$1004,1,MATCH(COLUMNS($AO$1006:AX1006),$AO$1006:$BQ$1006,0)))),"Fix")))</f>
        <v>#N/A</v>
      </c>
      <c r="L952" s="5" t="e">
        <f ca="1">IF(OR(INDEX($AI$2:$AI$1001,MATCH(ROWS($AH$2:AH952),$AH$2:$AH$1001,0),1)&gt;=100000,INDEX($AO$1005:$BQ$1005,1,MATCH(COLUMNS($AO$1006:AY1006),$AO$1006:$BQ$1006,0))&gt;=100000), " ",IF(INDEX($AO$2:$BQ$1001,MATCH(ROWS($AH$2:AH952),$AH$2:$AH$1001,0),MATCH(COLUMNS($AO$1006:AY1006),$AO$1006:$BQ$1006,0)), HYPERLINK("#",""), HYPERLINK(CONCATENATE("#Metadata!", ADDRESS(INDEX($AJ$2:$AJ$1001,MATCH(ROWS($AH$2:AH952),$AH$2:$AH$1001,0),0), INDEX($AO$1004:$BQ$1004,1,MATCH(COLUMNS($AO$1006:AY1006),$AO$1006:$BQ$1006,0)))),"Fix")))</f>
        <v>#N/A</v>
      </c>
      <c r="M952" s="5" t="e">
        <f ca="1">IF(OR(INDEX($AI$2:$AI$1001,MATCH(ROWS($AH$2:AH952),$AH$2:$AH$1001,0),1)&gt;=100000,INDEX($AO$1005:$BQ$1005,1,MATCH(COLUMNS($AO$1006:AZ1006),$AO$1006:$BQ$1006,0))&gt;=100000), " ",IF(INDEX($AO$2:$BQ$1001,MATCH(ROWS($AH$2:AH952),$AH$2:$AH$1001,0),MATCH(COLUMNS($AO$1006:AZ1006),$AO$1006:$BQ$1006,0)), HYPERLINK("#",""), HYPERLINK(CONCATENATE("#Metadata!", ADDRESS(INDEX($AJ$2:$AJ$1001,MATCH(ROWS($AH$2:AH952),$AH$2:$AH$1001,0),0), INDEX($AO$1004:$BQ$1004,1,MATCH(COLUMNS($AO$1006:AZ1006),$AO$1006:$BQ$1006,0)))),"Fix")))</f>
        <v>#N/A</v>
      </c>
      <c r="N952" s="5" t="e">
        <f ca="1">IF(OR(INDEX($AI$2:$AI$1001,MATCH(ROWS($AH$2:AH952),$AH$2:$AH$1001,0),1)&gt;=100000,INDEX($AO$1005:$BQ$1005,1,MATCH(COLUMNS($AO$1006:BA1006),$AO$1006:$BQ$1006,0))&gt;=100000), " ",IF(INDEX($AO$2:$BQ$1001,MATCH(ROWS($AH$2:AH952),$AH$2:$AH$1001,0),MATCH(COLUMNS($AO$1006:BA1006),$AO$1006:$BQ$1006,0)), HYPERLINK("#",""), HYPERLINK(CONCATENATE("#Metadata!", ADDRESS(INDEX($AJ$2:$AJ$1001,MATCH(ROWS($AH$2:AH952),$AH$2:$AH$1001,0),0), INDEX($AO$1004:$BQ$1004,1,MATCH(COLUMNS($AO$1006:BA1006),$AO$1006:$BQ$1006,0)))),"Fix")))</f>
        <v>#N/A</v>
      </c>
      <c r="O952" s="5" t="e">
        <f ca="1">IF(OR(INDEX($AI$2:$AI$1001,MATCH(ROWS($AH$2:AH952),$AH$2:$AH$1001,0),1)&gt;=100000,INDEX($AO$1005:$BQ$1005,1,MATCH(COLUMNS($AO$1006:BB1006),$AO$1006:$BQ$1006,0))&gt;=100000), " ",IF(INDEX($AO$2:$BQ$1001,MATCH(ROWS($AH$2:AH952),$AH$2:$AH$1001,0),MATCH(COLUMNS($AO$1006:BB1006),$AO$1006:$BQ$1006,0)), HYPERLINK("#",""), HYPERLINK(CONCATENATE("#Metadata!", ADDRESS(INDEX($AJ$2:$AJ$1001,MATCH(ROWS($AH$2:AH952),$AH$2:$AH$1001,0),0), INDEX($AO$1004:$BQ$1004,1,MATCH(COLUMNS($AO$1006:BB1006),$AO$1006:$BQ$1006,0)))),"Fix")))</f>
        <v>#N/A</v>
      </c>
      <c r="P952" s="5" t="e">
        <f ca="1">IF(OR(INDEX($AI$2:$AI$1001,MATCH(ROWS($AH$2:AH952),$AH$2:$AH$1001,0),1)&gt;=100000,INDEX($AO$1005:$BQ$1005,1,MATCH(COLUMNS($AO$1006:BC1006),$AO$1006:$BQ$1006,0))&gt;=100000), " ",IF(INDEX($AO$2:$BQ$1001,MATCH(ROWS($AH$2:AH952),$AH$2:$AH$1001,0),MATCH(COLUMNS($AO$1006:BC1006),$AO$1006:$BQ$1006,0)), HYPERLINK("#",""), HYPERLINK(CONCATENATE("#Metadata!", ADDRESS(INDEX($AJ$2:$AJ$1001,MATCH(ROWS($AH$2:AH952),$AH$2:$AH$1001,0),0), INDEX($AO$1004:$BQ$1004,1,MATCH(COLUMNS($AO$1006:BC1006),$AO$1006:$BQ$1006,0)))),"Fix")))</f>
        <v>#N/A</v>
      </c>
      <c r="Q952" s="5" t="e">
        <f ca="1">IF(OR(INDEX($AI$2:$AI$1001,MATCH(ROWS($AH$2:AH952),$AH$2:$AH$1001,0),1)&gt;=100000,INDEX($AO$1005:$BQ$1005,1,MATCH(COLUMNS($AO$1006:BD1006),$AO$1006:$BQ$1006,0))&gt;=100000), " ",IF(INDEX($AO$2:$BQ$1001,MATCH(ROWS($AH$2:AH952),$AH$2:$AH$1001,0),MATCH(COLUMNS($AO$1006:BD1006),$AO$1006:$BQ$1006,0)), HYPERLINK("#",""), HYPERLINK(CONCATENATE("#Metadata!", ADDRESS(INDEX($AJ$2:$AJ$1001,MATCH(ROWS($AH$2:AH952),$AH$2:$AH$1001,0),0), INDEX($AO$1004:$BQ$1004,1,MATCH(COLUMNS($AO$1006:BD1006),$AO$1006:$BQ$1006,0)))),"Fix")))</f>
        <v>#N/A</v>
      </c>
      <c r="R952" s="5" t="e">
        <f ca="1">IF(OR(INDEX($AI$2:$AI$1001,MATCH(ROWS($AH$2:AH952),$AH$2:$AH$1001,0),1)&gt;=100000,INDEX($AO$1005:$BQ$1005,1,MATCH(COLUMNS($AO$1006:BE1006),$AO$1006:$BQ$1006,0))&gt;=100000), " ",IF(INDEX($AO$2:$BQ$1001,MATCH(ROWS($AH$2:AH952),$AH$2:$AH$1001,0),MATCH(COLUMNS($AO$1006:BE1006),$AO$1006:$BQ$1006,0)), HYPERLINK("#",""), HYPERLINK(CONCATENATE("#Metadata!", ADDRESS(INDEX($AJ$2:$AJ$1001,MATCH(ROWS($AH$2:AH952),$AH$2:$AH$1001,0),0), INDEX($AO$1004:$BQ$1004,1,MATCH(COLUMNS($AO$1006:BE1006),$AO$1006:$BQ$1006,0)))),"Fix")))</f>
        <v>#N/A</v>
      </c>
      <c r="S952" s="5" t="e">
        <f ca="1">IF(OR(INDEX($AI$2:$AI$1001,MATCH(ROWS($AH$2:AH952),$AH$2:$AH$1001,0),1)&gt;=100000,INDEX($AO$1005:$BQ$1005,1,MATCH(COLUMNS($AO$1006:BF1006),$AO$1006:$BQ$1006,0))&gt;=100000), " ",IF(INDEX($AO$2:$BQ$1001,MATCH(ROWS($AH$2:AH952),$AH$2:$AH$1001,0),MATCH(COLUMNS($AO$1006:BF1006),$AO$1006:$BQ$1006,0)), HYPERLINK("#",""), HYPERLINK(CONCATENATE("#Metadata!", ADDRESS(INDEX($AJ$2:$AJ$1001,MATCH(ROWS($AH$2:AH952),$AH$2:$AH$1001,0),0), INDEX($AO$1004:$BQ$1004,1,MATCH(COLUMNS($AO$1006:BF1006),$AO$1006:$BQ$1006,0)))),"Fix")))</f>
        <v>#N/A</v>
      </c>
      <c r="T952" s="5" t="e">
        <f ca="1">IF(OR(INDEX($AI$2:$AI$1001,MATCH(ROWS($AH$2:AH952),$AH$2:$AH$1001,0),1)&gt;=100000,INDEX($AO$1005:$BQ$1005,1,MATCH(COLUMNS($AO$1006:BG1006),$AO$1006:$BQ$1006,0))&gt;=100000), " ",IF(INDEX($AO$2:$BQ$1001,MATCH(ROWS($AH$2:AH952),$AH$2:$AH$1001,0),MATCH(COLUMNS($AO$1006:BG1006),$AO$1006:$BQ$1006,0)), HYPERLINK("#",""), HYPERLINK(CONCATENATE("#Metadata!", ADDRESS(INDEX($AJ$2:$AJ$1001,MATCH(ROWS($AH$2:AH952),$AH$2:$AH$1001,0),0), INDEX($AO$1004:$BQ$1004,1,MATCH(COLUMNS($AO$1006:BG1006),$AO$1006:$BQ$1006,0)))),"Fix")))</f>
        <v>#N/A</v>
      </c>
      <c r="U952" s="5" t="e">
        <f ca="1">IF(OR(INDEX($AI$2:$AI$1001,MATCH(ROWS($AH$2:AH952),$AH$2:$AH$1001,0),1)&gt;=100000,INDEX($AO$1005:$BQ$1005,1,MATCH(COLUMNS($AO$1006:BH1006),$AO$1006:$BQ$1006,0))&gt;=100000), " ",IF(INDEX($AO$2:$BQ$1001,MATCH(ROWS($AH$2:AH952),$AH$2:$AH$1001,0),MATCH(COLUMNS($AO$1006:BH1006),$AO$1006:$BQ$1006,0)), HYPERLINK("#",""), HYPERLINK(CONCATENATE("#Metadata!", ADDRESS(INDEX($AJ$2:$AJ$1001,MATCH(ROWS($AH$2:AH952),$AH$2:$AH$1001,0),0), INDEX($AO$1004:$BQ$1004,1,MATCH(COLUMNS($AO$1006:BH1006),$AO$1006:$BQ$1006,0)))),"Fix")))</f>
        <v>#N/A</v>
      </c>
      <c r="V952" s="5" t="e">
        <f ca="1">IF(OR(INDEX($AI$2:$AI$1001,MATCH(ROWS($AH$2:AH952),$AH$2:$AH$1001,0),1)&gt;=100000,INDEX($AO$1005:$BQ$1005,1,MATCH(COLUMNS($AO$1006:BI1006),$AO$1006:$BQ$1006,0))&gt;=100000), " ",IF(INDEX($AO$2:$BQ$1001,MATCH(ROWS($AH$2:AH952),$AH$2:$AH$1001,0),MATCH(COLUMNS($AO$1006:BI1006),$AO$1006:$BQ$1006,0)), HYPERLINK("#",""), HYPERLINK(CONCATENATE("#Metadata!", ADDRESS(INDEX($AJ$2:$AJ$1001,MATCH(ROWS($AH$2:AH952),$AH$2:$AH$1001,0),0), INDEX($AO$1004:$BQ$1004,1,MATCH(COLUMNS($AO$1006:BI1006),$AO$1006:$BQ$1006,0)))),"Fix")))</f>
        <v>#N/A</v>
      </c>
      <c r="W952" s="5" t="e">
        <f ca="1">IF(OR(INDEX($AI$2:$AI$1001,MATCH(ROWS($AH$2:AH952),$AH$2:$AH$1001,0),1)&gt;=100000,INDEX($AO$1005:$BQ$1005,1,MATCH(COLUMNS($AO$1006:BJ1006),$AO$1006:$BQ$1006,0))&gt;=100000), " ",IF(INDEX($AO$2:$BQ$1001,MATCH(ROWS($AH$2:AH952),$AH$2:$AH$1001,0),MATCH(COLUMNS($AO$1006:BJ1006),$AO$1006:$BQ$1006,0)), HYPERLINK("#",""), HYPERLINK(CONCATENATE("#Metadata!", ADDRESS(INDEX($AJ$2:$AJ$1001,MATCH(ROWS($AH$2:AH952),$AH$2:$AH$1001,0),0), INDEX($AO$1004:$BQ$1004,1,MATCH(COLUMNS($AO$1006:BJ1006),$AO$1006:$BQ$1006,0)))),"Fix")))</f>
        <v>#N/A</v>
      </c>
      <c r="X952" s="5" t="e">
        <f ca="1">IF(OR(INDEX($AI$2:$AI$1001,MATCH(ROWS($AH$2:AH952),$AH$2:$AH$1001,0),1)&gt;=100000,INDEX($AO$1005:$BQ$1005,1,MATCH(COLUMNS($AO$1006:BK1006),$AO$1006:$BQ$1006,0))&gt;=100000), " ",IF(INDEX($AO$2:$BQ$1001,MATCH(ROWS($AH$2:AH952),$AH$2:$AH$1001,0),MATCH(COLUMNS($AO$1006:BK1006),$AO$1006:$BQ$1006,0)), HYPERLINK("#",""), HYPERLINK(CONCATENATE("#Metadata!", ADDRESS(INDEX($AJ$2:$AJ$1001,MATCH(ROWS($AH$2:AH952),$AH$2:$AH$1001,0),0), INDEX($AO$1004:$BQ$1004,1,MATCH(COLUMNS($AO$1006:BK1006),$AO$1006:$BQ$1006,0)))),"Fix")))</f>
        <v>#N/A</v>
      </c>
      <c r="Y952" s="5" t="e">
        <f ca="1">IF(OR(INDEX($AI$2:$AI$1001,MATCH(ROWS($AH$2:AH952),$AH$2:$AH$1001,0),1)&gt;=100000,INDEX($AO$1005:$BQ$1005,1,MATCH(COLUMNS($AO$1006:BL1006),$AO$1006:$BQ$1006,0))&gt;=100000), " ",IF(INDEX($AO$2:$BQ$1001,MATCH(ROWS($AH$2:AH952),$AH$2:$AH$1001,0),MATCH(COLUMNS($AO$1006:BL1006),$AO$1006:$BQ$1006,0)), HYPERLINK("#",""), HYPERLINK(CONCATENATE("#Metadata!", ADDRESS(INDEX($AJ$2:$AJ$1001,MATCH(ROWS($AH$2:AH952),$AH$2:$AH$1001,0),0), INDEX($AO$1004:$BQ$1004,1,MATCH(COLUMNS($AO$1006:BL1006),$AO$1006:$BQ$1006,0)))),"Fix")))</f>
        <v>#N/A</v>
      </c>
      <c r="Z952" s="5" t="e">
        <f ca="1">IF(OR(INDEX($AI$2:$AI$1001,MATCH(ROWS($AH$2:AH952),$AH$2:$AH$1001,0),1)&gt;=100000,INDEX($AO$1005:$BQ$1005,1,MATCH(COLUMNS($AO$1006:BM1006),$AO$1006:$BQ$1006,0))&gt;=100000), " ",IF(INDEX($AO$2:$BQ$1001,MATCH(ROWS($AH$2:AH952),$AH$2:$AH$1001,0),MATCH(COLUMNS($AO$1006:BM1006),$AO$1006:$BQ$1006,0)), HYPERLINK("#",""), HYPERLINK(CONCATENATE("#Metadata!", ADDRESS(INDEX($AJ$2:$AJ$1001,MATCH(ROWS($AH$2:AH952),$AH$2:$AH$1001,0),0), INDEX($AO$1004:$BQ$1004,1,MATCH(COLUMNS($AO$1006:BM1006),$AO$1006:$BQ$1006,0)))),"Fix")))</f>
        <v>#N/A</v>
      </c>
      <c r="AA952" s="5" t="e">
        <f ca="1">IF(OR(INDEX($AI$2:$AI$1001,MATCH(ROWS($AH$2:AH952),$AH$2:$AH$1001,0),1)&gt;=100000,INDEX($AO$1005:$BQ$1005,1,MATCH(COLUMNS($AO$1006:BN1006),$AO$1006:$BQ$1006,0))&gt;=100000), " ",IF(INDEX($AO$2:$BQ$1001,MATCH(ROWS($AH$2:AH952),$AH$2:$AH$1001,0),MATCH(COLUMNS($AO$1006:BN1006),$AO$1006:$BQ$1006,0)), HYPERLINK("#",""), HYPERLINK(CONCATENATE("#Metadata!", ADDRESS(INDEX($AJ$2:$AJ$1001,MATCH(ROWS($AH$2:AH952),$AH$2:$AH$1001,0),0), INDEX($AO$1004:$BQ$1004,1,MATCH(COLUMNS($AO$1006:BN1006),$AO$1006:$BQ$1006,0)))),"Fix")))</f>
        <v>#N/A</v>
      </c>
      <c r="AB952" s="5" t="e">
        <f ca="1">IF(OR(INDEX($AI$2:$AI$1001,MATCH(ROWS($AH$2:AH952),$AH$2:$AH$1001,0),1)&gt;=100000,INDEX($AO$1005:$BQ$1005,1,MATCH(COLUMNS($AO$1006:BO1006),$AO$1006:$BQ$1006,0))&gt;=100000), " ",IF(INDEX($AO$2:$BQ$1001,MATCH(ROWS($AH$2:AH952),$AH$2:$AH$1001,0),MATCH(COLUMNS($AO$1006:BO1006),$AO$1006:$BQ$1006,0)), HYPERLINK("#",""), HYPERLINK(CONCATENATE("#Metadata!", ADDRESS(INDEX($AJ$2:$AJ$1001,MATCH(ROWS($AH$2:AH952),$AH$2:$AH$1001,0),0), INDEX($AO$1004:$BQ$1004,1,MATCH(COLUMNS($AO$1006:BO1006),$AO$1006:$BQ$1006,0)))),"Fix")))</f>
        <v>#N/A</v>
      </c>
      <c r="AC952" s="5" t="e">
        <f ca="1">IF(OR(INDEX($AI$2:$AI$1001,MATCH(ROWS($AH$2:AH952),$AH$2:$AH$1001,0),1)&gt;=100000,INDEX($AO$1005:$BQ$1005,1,MATCH(COLUMNS($AO$1006:BP1006),$AO$1006:$BQ$1006,0))&gt;=100000), " ",IF(INDEX($AO$2:$BQ$1001,MATCH(ROWS($AH$2:AH952),$AH$2:$AH$1001,0),MATCH(COLUMNS($AO$1006:BP1006),$AO$1006:$BQ$1006,0)), HYPERLINK("#",""), HYPERLINK(CONCATENATE("#Metadata!", ADDRESS(INDEX($AJ$2:$AJ$1001,MATCH(ROWS($AH$2:AH952),$AH$2:$AH$1001,0),0), INDEX($AO$1004:$BQ$1004,1,MATCH(COLUMNS($AO$1006:BP1006),$AO$1006:$BQ$1006,0)))),"Fix")))</f>
        <v>#N/A</v>
      </c>
      <c r="AD952" s="5" t="e">
        <f ca="1">IF(OR(INDEX($AI$2:$AI$1001,MATCH(ROWS($AH$2:AH952),$AH$2:$AH$1001,0),1)&gt;=100000,INDEX($AO$1005:$BQ$1005,1,MATCH(COLUMNS($AO$1006:BQ1006),$AO$1006:$BQ$1006,0))&gt;=100000), " ",IF(INDEX($AO$2:$BQ$1001,MATCH(ROWS($AH$2:AH952),$AH$2:$AH$1001,0),MATCH(COLUMNS($AO$1006:BQ1006),$AO$1006:$BQ$1006,0)), HYPERLINK("#",""), HYPERLINK(CONCATENATE("#Metadata!", ADDRESS(INDEX($AJ$2:$AJ$1001,MATCH(ROWS($AH$2:AH952),$AH$2:$AH$1001,0),0), INDEX($AO$1004:$BQ$1004,1,MATCH(COLUMNS($AO$1006:BQ1006),$AO$1006:$BQ$1006,0)))),"Fix")))</f>
        <v>#REF!</v>
      </c>
      <c r="AH952">
        <f ca="1"/>
        <v>949</v>
      </c>
      <c r="AI952">
        <v>100952</v>
      </c>
      <c r="AJ952">
        <v>952</v>
      </c>
      <c r="AK952" t="b">
        <f t="shared" si="14"/>
        <v>1</v>
      </c>
      <c r="AL952" t="b">
        <f>COUNTBLANK(Metadata!B952:AD952)=COLUMNS(Metadata!B952:AD952)</f>
        <v>1</v>
      </c>
      <c r="AM952" t="str">
        <v/>
      </c>
      <c r="AO952" t="b">
        <f ca="1">AND(IF(Metadata!B952="",FALSE,TRUE),COUNTIF(Metadata!B:B, Metadata!B952) = 1,NOT(ISERROR(SUMPRODUCT(SEARCH(MID(Metadata!B952,ROW(INDIRECT("1:"&amp;LEN(Metadata!B952))), 1),"0123456789abcdefghijklmnopqrstuvwxyzABCDEFGHIJKLMNOPQRSTUVWXYZ.")))))</f>
        <v>0</v>
      </c>
      <c r="AP952" t="b">
        <f>IF(Metadata!C952="",FALSE,TRUE)</f>
        <v>0</v>
      </c>
      <c r="AQ952" t="b">
        <f>IF(Metadata!D952="",FALSE,TRUE)</f>
        <v>0</v>
      </c>
      <c r="AR952" t="b">
        <f ca="1">OR(AND(IF(Metadata!E952="",FALSE,TRUE),OR(EXACT(Metadata!E952,"not collected"),EXACT(Metadata!E952,"not provided"),EXACT(Metadata!E952,"restricted access"))),AND(IF(Metadata!E952="",FALSE,TRUE),AND(AND(IFERROR(INT(LEFT(Metadata!E952,4))&gt;1900,FALSE),IFERROR(INT(LEFT(Metadata!E952,4))&lt;=YEAR(NOW()),FALSE)), OR(MID(Metadata!E952,5,1)="", AND(AND(MID(Metadata!E952,5,1)="-",IFERROR(INT(MID(Metadata!E952,6,1))&gt;=0,FALSE),IFERROR(INT(MID(Metadata!E952,6,1))&lt;=1,FALSE),NOT(MID(Metadata!E952,7,1)=""),IFERROR(INT(MID(Metadata!E952,6,2))&gt;=1,FALSE),IFERROR(INT(MID(Metadata!E952,6,2))&lt;=12,FALSE)), OR(MID(Metadata!E952,8,1)="", AND(AND(MID(Metadata!E952,8,1)="-",IFERROR(INT(MID(Metadata!E952,9,1))&gt;=0,FALSE),IFERROR(INT(MID(Metadata!E952,9,1))&lt;=3,FALSE),NOT(MID(Metadata!E952,10,1)=""),IFERROR(INT(MID(Metadata!E952,9,2))&gt;=1,FALSE),IFERROR(INT(MID(Metadata!E952,9,2))&lt;=31,FALSE)), OR(MID(Metadata!E952,11,1)="", AND(AND(MID(Metadata!E952,11,1)=" ",IFERROR(INT(MID(Metadata!E952,12,1))&gt;=0,FALSE),IFERROR(INT(MID(Metadata!E952,12,1))&lt;=2,FALSE),NOT(MID(Metadata!E952,13,1)=""),IFERROR(INT(MID(Metadata!E952,12,2))&gt;=0,FALSE),IFERROR(INT(MID(Metadata!E952,12,2))&lt;=23,FALSE)), OR(MID(Metadata!E952,14,1)="", AND(AND(MID(Metadata!E952,14,1)=":",IFERROR(INT(MID(Metadata!E952,15,1))&gt;=0,FALSE),IFERROR(INT(MID(Metadata!E952,15,1))&lt;=5,FALSE),NOT(MID(Metadata!E952,16,1)=""),IFERROR(INT(MID(Metadata!E952,15,2))&gt;=0,FALSE),IFERROR(INT(MID(Metadata!E952,15,2))&lt;=59,FALSE)), OR(MID(Metadata!E952,17,1)="", AND(AND(MID(Metadata!E952,17,1)=":",IFERROR(INT(MID(Metadata!E952,18,1))&gt;=0,FALSE),IFERROR(INT(MID(Metadata!E952,18,1))&lt;=5,FALSE),NOT(MID(Metadata!E952,19,1)=""),IFERROR(INT(MID(Metadata!E952,18,2))&gt;=0,FALSE),IFERROR(INT(MID(Metadata!E952,18,2))&lt;=59,FALSE)), LEN(Metadata!E952)&lt;=19)))))))))))))</f>
        <v>0</v>
      </c>
      <c r="AS952" t="b">
        <f>IF(Metadata!F952="",FALSE,TRUE)</f>
        <v>0</v>
      </c>
      <c r="AT952" t="b">
        <f>OR(AND(IF(Metadata!G952="",FALSE,TRUE),OR(EXACT(Metadata!G952,"not collected"),EXACT(Metadata!G952,"not provided"))),AND(IF(Metadata!G952="",FALSE,TRUE),OR(EXACT(Metadata!G952,"TRUE"),EXACT(Metadata!G952,"FALSE"))))</f>
        <v>0</v>
      </c>
      <c r="AU952" t="b">
        <f>OR(AND(IF(Metadata!H952="",FALSE,TRUE),OR(EXACT(Metadata!H952,"not collected"),EXACT(Metadata!H952,"not provided"),EXACT(Metadata!H952,"restricted access"))),AND(IF(Metadata!H952="",FALSE,ISNUMBER(VALUE(Metadata!H952))),Metadata!H952&gt;=-413))</f>
        <v>0</v>
      </c>
      <c r="AV952" t="b">
        <f>AND(IF(Metadata!I952="",FALSE,TRUE),EXACT(Metadata!I952,"meters"))</f>
        <v>0</v>
      </c>
      <c r="AW952" t="b">
        <f>AND(IF(Metadata!J952="",FALSE,TRUE),EXACT(Metadata!J952,"free-living"))</f>
        <v>0</v>
      </c>
      <c r="AX952" t="b">
        <f>AND(IF(Metadata!K952="",FALSE,TRUE),OR(EXACT(Metadata!K952,"saline"),EXACT(Metadata!K952,"non-saline")))</f>
        <v>0</v>
      </c>
      <c r="AY952" t="b">
        <f>AND(IF(Metadata!L952="",FALSE,TRUE),OR(EXACT(Metadata!L952,"sub-surface (non-saline)"),EXACT(Metadata!L952,"surface (non-saline)"),EXACT(Metadata!L952,"water (non-saline)"),EXACT(Metadata!L952,"soil (non-saline)"),EXACT(Metadata!L952,"aerosol (non-saline)"),EXACT(Metadata!L952,"sediment (non-saline)"),EXACT(Metadata!L952,"surface (saline)"),EXACT(Metadata!L952,"water (saline)"),EXACT(Metadata!L952,"hypersaline (saline)"),EXACT(Metadata!L952,"aerosol (saline)"),EXACT(Metadata!L952,"sediment (saline)")))</f>
        <v>0</v>
      </c>
      <c r="AZ952" t="b">
        <f>IF(Metadata!M952="",FALSE,TRUE)</f>
        <v>0</v>
      </c>
      <c r="BA952" t="b">
        <f>IF(Metadata!N952="",FALSE,TRUE)</f>
        <v>0</v>
      </c>
      <c r="BB952" t="b">
        <f>IF(Metadata!O952="",FALSE,TRUE)</f>
        <v>0</v>
      </c>
      <c r="BC952" t="b">
        <f>AND(IF(Metadata!P952="",FALSE,TRUE),OR(EXACT(Metadata!P952,"air"),EXACT(Metadata!P952,"microbial mat/biofilm"),EXACT(Metadata!P952,"misc environment"),EXACT(Metadata!P952,"sediment"),EXACT(Metadata!P952,"soil"),EXACT(Metadata!P952,"wastewater/sludge"),EXACT(Metadata!P952,"water")))</f>
        <v>0</v>
      </c>
      <c r="BD952" t="b">
        <f>IF(Metadata!Q952="",FALSE,TRUE)</f>
        <v>0</v>
      </c>
      <c r="BE952" t="b">
        <f>IF(Metadata!R952="",FALSE,TRUE)</f>
        <v>0</v>
      </c>
      <c r="BF952" t="b">
        <f>OR(AND(IF(Metadata!S952="",FALSE,TRUE),OR(EXACT(Metadata!S952,"not collected"),EXACT(Metadata!S952,"not provided"),EXACT(Metadata!S952,"restricted access"))),AND(IF(Metadata!S952="",FALSE,ISNUMBER(VALUE(Metadata!S952))),Metadata!S952&gt;=-90,Metadata!S952&lt;=90))</f>
        <v>0</v>
      </c>
      <c r="BG952" t="b">
        <f>AND(IF(Metadata!T952="",FALSE,TRUE),EXACT(Metadata!T952,"Decimal degrees"))</f>
        <v>0</v>
      </c>
      <c r="BH952" t="b">
        <f>OR(AND(IF(Metadata!U952="",FALSE,TRUE),OR(EXACT(Metadata!U952,"not applicable"),EXACT(Metadata!U952,"not collected"))),IF(Metadata!U952="",FALSE,TRUE))</f>
        <v>0</v>
      </c>
      <c r="BI952" t="b">
        <f>OR(AND(IF(Metadata!V952="",FALSE,TRUE),OR(EXACT(Metadata!V952,"not collected"),EXACT(Metadata!V952,"not provided"),EXACT(Metadata!V952,"restricted access"))),AND(IF(Metadata!V952="",FALSE,ISNUMBER(VALUE(Metadata!V952))),Metadata!V952&gt;=-180,Metadata!V952&lt;=180))</f>
        <v>0</v>
      </c>
      <c r="BJ952" t="b">
        <f>AND(IF(Metadata!W952="",FALSE,TRUE),EXACT(Metadata!W952,"Decimal degrees"))</f>
        <v>0</v>
      </c>
      <c r="BK952" t="b">
        <f>IF(Metadata!X952="",FALSE,TRUE)</f>
        <v>0</v>
      </c>
      <c r="BL952" t="b">
        <f>OR(AND(IF(Metadata!Y952="",FALSE,TRUE),OR(EXACT(Metadata!Y952,"not collected"),EXACT(Metadata!Y952,"not provided"),EXACT(Metadata!Y952,"restricted access"))),AND(IF(Metadata!Y952="",FALSE,TRUE),OR(EXACT(Metadata!Y952,"TRUE"),EXACT(Metadata!Y952,"FALSE"))))</f>
        <v>0</v>
      </c>
      <c r="BM952" t="b">
        <f>OR(AND(IF(Metadata!Z952="",FALSE,TRUE),EXACT(Metadata!Z952,"not applicable")),AND(IF(Metadata!Z952="",FALSE,TRUE),OR(EXACT(Metadata!Z952,"beer"),EXACT(Metadata!Z952,"cheese"),EXACT(Metadata!Z952,"fresh water"),EXACT(Metadata!Z952,"marine sediment"),EXACT(Metadata!Z952,"sea water"),EXACT(Metadata!Z952,"sediment"),EXACT(Metadata!Z952,"soil"),EXACT(Metadata!Z952,"waste water"))))</f>
        <v>0</v>
      </c>
      <c r="BN952" t="b">
        <f>AND(IF(Metadata!AA952="",FALSE,TRUE),EXACT(Metadata!AA952,"metagenome"))</f>
        <v>0</v>
      </c>
      <c r="BO952" t="b">
        <f>AND(IF(Metadata!AB952="",FALSE,TRUE),EXACT(Metadata!AB952,"256318"))</f>
        <v>0</v>
      </c>
      <c r="BP952" t="b">
        <f>IF(Metadata!AC952="",FALSE,TRUE)</f>
        <v>0</v>
      </c>
      <c r="BQ952" t="b">
        <f>IF(Metadata!AD952="",FALSE,TRUE)</f>
        <v>0</v>
      </c>
    </row>
    <row r="953" spans="1:69" x14ac:dyDescent="0.2">
      <c r="A953" s="4" t="e">
        <f ca="1">IF(B953=" "," ",HYPERLINK(CONCATENATE("#metadata!",ADDRESS(INDEX($AJ$2:$AJ$1001,MATCH(ROWS($AH$2:AH953),$AH$2:$AH$1001,0),0),2)),INDEX($AM$2:$AM$1001,MATCH(ROWS($AH$2:AH953),$AH$2:$AH$1001,0),0)))</f>
        <v>#N/A</v>
      </c>
      <c r="B953" s="5" t="e">
        <f ca="1">IF(OR(INDEX($AI$2:$AI$1001,MATCH(ROWS($AH$2:AH953),$AH$2:$AH$1001,0),1)&gt;=100000,INDEX($AO$1005:$BQ$1005,1,MATCH(COLUMNS($AO$1006:AO1006),$AO$1006:$BQ$1006,0))&gt;=100000), " ",IF(INDEX($AO$2:$BQ$1001,MATCH(ROWS($AH$2:AH953),$AH$2:$AH$1001,0),MATCH(COLUMNS($AO$1006:AO1006),$AO$1006:$BQ$1006,0)), HYPERLINK("#",""), HYPERLINK(CONCATENATE("#Metadata!", ADDRESS(INDEX($AJ$2:$AJ$1001,MATCH(ROWS($AH$2:AH953),$AH$2:$AH$1001,0),0), INDEX($AO$1004:$BQ$1004,1,MATCH(COLUMNS($AO$1006:AO1006),$AO$1006:$BQ$1006,0)))),"Fix")))</f>
        <v>#N/A</v>
      </c>
      <c r="C953" s="5" t="e">
        <f ca="1">IF(OR(INDEX($AI$2:$AI$1001,MATCH(ROWS($AH$2:AH953),$AH$2:$AH$1001,0),1)&gt;=100000,INDEX($AO$1005:$BQ$1005,1,MATCH(COLUMNS($AO$1006:AP1006),$AO$1006:$BQ$1006,0))&gt;=100000), " ",IF(INDEX($AO$2:$BQ$1001,MATCH(ROWS($AH$2:AH953),$AH$2:$AH$1001,0),MATCH(COLUMNS($AO$1006:AP1006),$AO$1006:$BQ$1006,0)), HYPERLINK("#",""), HYPERLINK(CONCATENATE("#Metadata!", ADDRESS(INDEX($AJ$2:$AJ$1001,MATCH(ROWS($AH$2:AH953),$AH$2:$AH$1001,0),0), INDEX($AO$1004:$BQ$1004,1,MATCH(COLUMNS($AO$1006:AP1006),$AO$1006:$BQ$1006,0)))),"Fix")))</f>
        <v>#N/A</v>
      </c>
      <c r="D953" s="5" t="e">
        <f ca="1">IF(OR(INDEX($AI$2:$AI$1001,MATCH(ROWS($AH$2:AH953),$AH$2:$AH$1001,0),1)&gt;=100000,INDEX($AO$1005:$BQ$1005,1,MATCH(COLUMNS($AO$1006:AQ1006),$AO$1006:$BQ$1006,0))&gt;=100000), " ",IF(INDEX($AO$2:$BQ$1001,MATCH(ROWS($AH$2:AH953),$AH$2:$AH$1001,0),MATCH(COLUMNS($AO$1006:AQ1006),$AO$1006:$BQ$1006,0)), HYPERLINK("#",""), HYPERLINK(CONCATENATE("#Metadata!", ADDRESS(INDEX($AJ$2:$AJ$1001,MATCH(ROWS($AH$2:AH953),$AH$2:$AH$1001,0),0), INDEX($AO$1004:$BQ$1004,1,MATCH(COLUMNS($AO$1006:AQ1006),$AO$1006:$BQ$1006,0)))),"Fix")))</f>
        <v>#N/A</v>
      </c>
      <c r="E953" s="5" t="e">
        <f ca="1">IF(OR(INDEX($AI$2:$AI$1001,MATCH(ROWS($AH$2:AH953),$AH$2:$AH$1001,0),1)&gt;=100000,INDEX($AO$1005:$BQ$1005,1,MATCH(COLUMNS($AO$1006:AR1006),$AO$1006:$BQ$1006,0))&gt;=100000), " ",IF(INDEX($AO$2:$BQ$1001,MATCH(ROWS($AH$2:AH953),$AH$2:$AH$1001,0),MATCH(COLUMNS($AO$1006:AR1006),$AO$1006:$BQ$1006,0)), HYPERLINK("#",""), HYPERLINK(CONCATENATE("#Metadata!", ADDRESS(INDEX($AJ$2:$AJ$1001,MATCH(ROWS($AH$2:AH953),$AH$2:$AH$1001,0),0), INDEX($AO$1004:$BQ$1004,1,MATCH(COLUMNS($AO$1006:AR1006),$AO$1006:$BQ$1006,0)))),"Fix")))</f>
        <v>#N/A</v>
      </c>
      <c r="F953" s="5" t="e">
        <f ca="1">IF(OR(INDEX($AI$2:$AI$1001,MATCH(ROWS($AH$2:AH953),$AH$2:$AH$1001,0),1)&gt;=100000,INDEX($AO$1005:$BQ$1005,1,MATCH(COLUMNS($AO$1006:AS1006),$AO$1006:$BQ$1006,0))&gt;=100000), " ",IF(INDEX($AO$2:$BQ$1001,MATCH(ROWS($AH$2:AH953),$AH$2:$AH$1001,0),MATCH(COLUMNS($AO$1006:AS1006),$AO$1006:$BQ$1006,0)), HYPERLINK("#",""), HYPERLINK(CONCATENATE("#Metadata!", ADDRESS(INDEX($AJ$2:$AJ$1001,MATCH(ROWS($AH$2:AH953),$AH$2:$AH$1001,0),0), INDEX($AO$1004:$BQ$1004,1,MATCH(COLUMNS($AO$1006:AS1006),$AO$1006:$BQ$1006,0)))),"Fix")))</f>
        <v>#N/A</v>
      </c>
      <c r="G953" s="5" t="e">
        <f ca="1">IF(OR(INDEX($AI$2:$AI$1001,MATCH(ROWS($AH$2:AH953),$AH$2:$AH$1001,0),1)&gt;=100000,INDEX($AO$1005:$BQ$1005,1,MATCH(COLUMNS($AO$1006:AT1006),$AO$1006:$BQ$1006,0))&gt;=100000), " ",IF(INDEX($AO$2:$BQ$1001,MATCH(ROWS($AH$2:AH953),$AH$2:$AH$1001,0),MATCH(COLUMNS($AO$1006:AT1006),$AO$1006:$BQ$1006,0)), HYPERLINK("#",""), HYPERLINK(CONCATENATE("#Metadata!", ADDRESS(INDEX($AJ$2:$AJ$1001,MATCH(ROWS($AH$2:AH953),$AH$2:$AH$1001,0),0), INDEX($AO$1004:$BQ$1004,1,MATCH(COLUMNS($AO$1006:AT1006),$AO$1006:$BQ$1006,0)))),"Fix")))</f>
        <v>#N/A</v>
      </c>
      <c r="H953" s="5" t="e">
        <f ca="1">IF(OR(INDEX($AI$2:$AI$1001,MATCH(ROWS($AH$2:AH953),$AH$2:$AH$1001,0),1)&gt;=100000,INDEX($AO$1005:$BQ$1005,1,MATCH(COLUMNS($AO$1006:AU1006),$AO$1006:$BQ$1006,0))&gt;=100000), " ",IF(INDEX($AO$2:$BQ$1001,MATCH(ROWS($AH$2:AH953),$AH$2:$AH$1001,0),MATCH(COLUMNS($AO$1006:AU1006),$AO$1006:$BQ$1006,0)), HYPERLINK("#",""), HYPERLINK(CONCATENATE("#Metadata!", ADDRESS(INDEX($AJ$2:$AJ$1001,MATCH(ROWS($AH$2:AH953),$AH$2:$AH$1001,0),0), INDEX($AO$1004:$BQ$1004,1,MATCH(COLUMNS($AO$1006:AU1006),$AO$1006:$BQ$1006,0)))),"Fix")))</f>
        <v>#N/A</v>
      </c>
      <c r="I953" s="5" t="e">
        <f ca="1">IF(OR(INDEX($AI$2:$AI$1001,MATCH(ROWS($AH$2:AH953),$AH$2:$AH$1001,0),1)&gt;=100000,INDEX($AO$1005:$BQ$1005,1,MATCH(COLUMNS($AO$1006:AV1006),$AO$1006:$BQ$1006,0))&gt;=100000), " ",IF(INDEX($AO$2:$BQ$1001,MATCH(ROWS($AH$2:AH953),$AH$2:$AH$1001,0),MATCH(COLUMNS($AO$1006:AV1006),$AO$1006:$BQ$1006,0)), HYPERLINK("#",""), HYPERLINK(CONCATENATE("#Metadata!", ADDRESS(INDEX($AJ$2:$AJ$1001,MATCH(ROWS($AH$2:AH953),$AH$2:$AH$1001,0),0), INDEX($AO$1004:$BQ$1004,1,MATCH(COLUMNS($AO$1006:AV1006),$AO$1006:$BQ$1006,0)))),"Fix")))</f>
        <v>#N/A</v>
      </c>
      <c r="J953" s="5" t="e">
        <f ca="1">IF(OR(INDEX($AI$2:$AI$1001,MATCH(ROWS($AH$2:AH953),$AH$2:$AH$1001,0),1)&gt;=100000,INDEX($AO$1005:$BQ$1005,1,MATCH(COLUMNS($AO$1006:AW1006),$AO$1006:$BQ$1006,0))&gt;=100000), " ",IF(INDEX($AO$2:$BQ$1001,MATCH(ROWS($AH$2:AH953),$AH$2:$AH$1001,0),MATCH(COLUMNS($AO$1006:AW1006),$AO$1006:$BQ$1006,0)), HYPERLINK("#",""), HYPERLINK(CONCATENATE("#Metadata!", ADDRESS(INDEX($AJ$2:$AJ$1001,MATCH(ROWS($AH$2:AH953),$AH$2:$AH$1001,0),0), INDEX($AO$1004:$BQ$1004,1,MATCH(COLUMNS($AO$1006:AW1006),$AO$1006:$BQ$1006,0)))),"Fix")))</f>
        <v>#N/A</v>
      </c>
      <c r="K953" s="5" t="e">
        <f ca="1">IF(OR(INDEX($AI$2:$AI$1001,MATCH(ROWS($AH$2:AH953),$AH$2:$AH$1001,0),1)&gt;=100000,INDEX($AO$1005:$BQ$1005,1,MATCH(COLUMNS($AO$1006:AX1006),$AO$1006:$BQ$1006,0))&gt;=100000), " ",IF(INDEX($AO$2:$BQ$1001,MATCH(ROWS($AH$2:AH953),$AH$2:$AH$1001,0),MATCH(COLUMNS($AO$1006:AX1006),$AO$1006:$BQ$1006,0)), HYPERLINK("#",""), HYPERLINK(CONCATENATE("#Metadata!", ADDRESS(INDEX($AJ$2:$AJ$1001,MATCH(ROWS($AH$2:AH953),$AH$2:$AH$1001,0),0), INDEX($AO$1004:$BQ$1004,1,MATCH(COLUMNS($AO$1006:AX1006),$AO$1006:$BQ$1006,0)))),"Fix")))</f>
        <v>#N/A</v>
      </c>
      <c r="L953" s="5" t="e">
        <f ca="1">IF(OR(INDEX($AI$2:$AI$1001,MATCH(ROWS($AH$2:AH953),$AH$2:$AH$1001,0),1)&gt;=100000,INDEX($AO$1005:$BQ$1005,1,MATCH(COLUMNS($AO$1006:AY1006),$AO$1006:$BQ$1006,0))&gt;=100000), " ",IF(INDEX($AO$2:$BQ$1001,MATCH(ROWS($AH$2:AH953),$AH$2:$AH$1001,0),MATCH(COLUMNS($AO$1006:AY1006),$AO$1006:$BQ$1006,0)), HYPERLINK("#",""), HYPERLINK(CONCATENATE("#Metadata!", ADDRESS(INDEX($AJ$2:$AJ$1001,MATCH(ROWS($AH$2:AH953),$AH$2:$AH$1001,0),0), INDEX($AO$1004:$BQ$1004,1,MATCH(COLUMNS($AO$1006:AY1006),$AO$1006:$BQ$1006,0)))),"Fix")))</f>
        <v>#N/A</v>
      </c>
      <c r="M953" s="5" t="e">
        <f ca="1">IF(OR(INDEX($AI$2:$AI$1001,MATCH(ROWS($AH$2:AH953),$AH$2:$AH$1001,0),1)&gt;=100000,INDEX($AO$1005:$BQ$1005,1,MATCH(COLUMNS($AO$1006:AZ1006),$AO$1006:$BQ$1006,0))&gt;=100000), " ",IF(INDEX($AO$2:$BQ$1001,MATCH(ROWS($AH$2:AH953),$AH$2:$AH$1001,0),MATCH(COLUMNS($AO$1006:AZ1006),$AO$1006:$BQ$1006,0)), HYPERLINK("#",""), HYPERLINK(CONCATENATE("#Metadata!", ADDRESS(INDEX($AJ$2:$AJ$1001,MATCH(ROWS($AH$2:AH953),$AH$2:$AH$1001,0),0), INDEX($AO$1004:$BQ$1004,1,MATCH(COLUMNS($AO$1006:AZ1006),$AO$1006:$BQ$1006,0)))),"Fix")))</f>
        <v>#N/A</v>
      </c>
      <c r="N953" s="5" t="e">
        <f ca="1">IF(OR(INDEX($AI$2:$AI$1001,MATCH(ROWS($AH$2:AH953),$AH$2:$AH$1001,0),1)&gt;=100000,INDEX($AO$1005:$BQ$1005,1,MATCH(COLUMNS($AO$1006:BA1006),$AO$1006:$BQ$1006,0))&gt;=100000), " ",IF(INDEX($AO$2:$BQ$1001,MATCH(ROWS($AH$2:AH953),$AH$2:$AH$1001,0),MATCH(COLUMNS($AO$1006:BA1006),$AO$1006:$BQ$1006,0)), HYPERLINK("#",""), HYPERLINK(CONCATENATE("#Metadata!", ADDRESS(INDEX($AJ$2:$AJ$1001,MATCH(ROWS($AH$2:AH953),$AH$2:$AH$1001,0),0), INDEX($AO$1004:$BQ$1004,1,MATCH(COLUMNS($AO$1006:BA1006),$AO$1006:$BQ$1006,0)))),"Fix")))</f>
        <v>#N/A</v>
      </c>
      <c r="O953" s="5" t="e">
        <f ca="1">IF(OR(INDEX($AI$2:$AI$1001,MATCH(ROWS($AH$2:AH953),$AH$2:$AH$1001,0),1)&gt;=100000,INDEX($AO$1005:$BQ$1005,1,MATCH(COLUMNS($AO$1006:BB1006),$AO$1006:$BQ$1006,0))&gt;=100000), " ",IF(INDEX($AO$2:$BQ$1001,MATCH(ROWS($AH$2:AH953),$AH$2:$AH$1001,0),MATCH(COLUMNS($AO$1006:BB1006),$AO$1006:$BQ$1006,0)), HYPERLINK("#",""), HYPERLINK(CONCATENATE("#Metadata!", ADDRESS(INDEX($AJ$2:$AJ$1001,MATCH(ROWS($AH$2:AH953),$AH$2:$AH$1001,0),0), INDEX($AO$1004:$BQ$1004,1,MATCH(COLUMNS($AO$1006:BB1006),$AO$1006:$BQ$1006,0)))),"Fix")))</f>
        <v>#N/A</v>
      </c>
      <c r="P953" s="5" t="e">
        <f ca="1">IF(OR(INDEX($AI$2:$AI$1001,MATCH(ROWS($AH$2:AH953),$AH$2:$AH$1001,0),1)&gt;=100000,INDEX($AO$1005:$BQ$1005,1,MATCH(COLUMNS($AO$1006:BC1006),$AO$1006:$BQ$1006,0))&gt;=100000), " ",IF(INDEX($AO$2:$BQ$1001,MATCH(ROWS($AH$2:AH953),$AH$2:$AH$1001,0),MATCH(COLUMNS($AO$1006:BC1006),$AO$1006:$BQ$1006,0)), HYPERLINK("#",""), HYPERLINK(CONCATENATE("#Metadata!", ADDRESS(INDEX($AJ$2:$AJ$1001,MATCH(ROWS($AH$2:AH953),$AH$2:$AH$1001,0),0), INDEX($AO$1004:$BQ$1004,1,MATCH(COLUMNS($AO$1006:BC1006),$AO$1006:$BQ$1006,0)))),"Fix")))</f>
        <v>#N/A</v>
      </c>
      <c r="Q953" s="5" t="e">
        <f ca="1">IF(OR(INDEX($AI$2:$AI$1001,MATCH(ROWS($AH$2:AH953),$AH$2:$AH$1001,0),1)&gt;=100000,INDEX($AO$1005:$BQ$1005,1,MATCH(COLUMNS($AO$1006:BD1006),$AO$1006:$BQ$1006,0))&gt;=100000), " ",IF(INDEX($AO$2:$BQ$1001,MATCH(ROWS($AH$2:AH953),$AH$2:$AH$1001,0),MATCH(COLUMNS($AO$1006:BD1006),$AO$1006:$BQ$1006,0)), HYPERLINK("#",""), HYPERLINK(CONCATENATE("#Metadata!", ADDRESS(INDEX($AJ$2:$AJ$1001,MATCH(ROWS($AH$2:AH953),$AH$2:$AH$1001,0),0), INDEX($AO$1004:$BQ$1004,1,MATCH(COLUMNS($AO$1006:BD1006),$AO$1006:$BQ$1006,0)))),"Fix")))</f>
        <v>#N/A</v>
      </c>
      <c r="R953" s="5" t="e">
        <f ca="1">IF(OR(INDEX($AI$2:$AI$1001,MATCH(ROWS($AH$2:AH953),$AH$2:$AH$1001,0),1)&gt;=100000,INDEX($AO$1005:$BQ$1005,1,MATCH(COLUMNS($AO$1006:BE1006),$AO$1006:$BQ$1006,0))&gt;=100000), " ",IF(INDEX($AO$2:$BQ$1001,MATCH(ROWS($AH$2:AH953),$AH$2:$AH$1001,0),MATCH(COLUMNS($AO$1006:BE1006),$AO$1006:$BQ$1006,0)), HYPERLINK("#",""), HYPERLINK(CONCATENATE("#Metadata!", ADDRESS(INDEX($AJ$2:$AJ$1001,MATCH(ROWS($AH$2:AH953),$AH$2:$AH$1001,0),0), INDEX($AO$1004:$BQ$1004,1,MATCH(COLUMNS($AO$1006:BE1006),$AO$1006:$BQ$1006,0)))),"Fix")))</f>
        <v>#N/A</v>
      </c>
      <c r="S953" s="5" t="e">
        <f ca="1">IF(OR(INDEX($AI$2:$AI$1001,MATCH(ROWS($AH$2:AH953),$AH$2:$AH$1001,0),1)&gt;=100000,INDEX($AO$1005:$BQ$1005,1,MATCH(COLUMNS($AO$1006:BF1006),$AO$1006:$BQ$1006,0))&gt;=100000), " ",IF(INDEX($AO$2:$BQ$1001,MATCH(ROWS($AH$2:AH953),$AH$2:$AH$1001,0),MATCH(COLUMNS($AO$1006:BF1006),$AO$1006:$BQ$1006,0)), HYPERLINK("#",""), HYPERLINK(CONCATENATE("#Metadata!", ADDRESS(INDEX($AJ$2:$AJ$1001,MATCH(ROWS($AH$2:AH953),$AH$2:$AH$1001,0),0), INDEX($AO$1004:$BQ$1004,1,MATCH(COLUMNS($AO$1006:BF1006),$AO$1006:$BQ$1006,0)))),"Fix")))</f>
        <v>#N/A</v>
      </c>
      <c r="T953" s="5" t="e">
        <f ca="1">IF(OR(INDEX($AI$2:$AI$1001,MATCH(ROWS($AH$2:AH953),$AH$2:$AH$1001,0),1)&gt;=100000,INDEX($AO$1005:$BQ$1005,1,MATCH(COLUMNS($AO$1006:BG1006),$AO$1006:$BQ$1006,0))&gt;=100000), " ",IF(INDEX($AO$2:$BQ$1001,MATCH(ROWS($AH$2:AH953),$AH$2:$AH$1001,0),MATCH(COLUMNS($AO$1006:BG1006),$AO$1006:$BQ$1006,0)), HYPERLINK("#",""), HYPERLINK(CONCATENATE("#Metadata!", ADDRESS(INDEX($AJ$2:$AJ$1001,MATCH(ROWS($AH$2:AH953),$AH$2:$AH$1001,0),0), INDEX($AO$1004:$BQ$1004,1,MATCH(COLUMNS($AO$1006:BG1006),$AO$1006:$BQ$1006,0)))),"Fix")))</f>
        <v>#N/A</v>
      </c>
      <c r="U953" s="5" t="e">
        <f ca="1">IF(OR(INDEX($AI$2:$AI$1001,MATCH(ROWS($AH$2:AH953),$AH$2:$AH$1001,0),1)&gt;=100000,INDEX($AO$1005:$BQ$1005,1,MATCH(COLUMNS($AO$1006:BH1006),$AO$1006:$BQ$1006,0))&gt;=100000), " ",IF(INDEX($AO$2:$BQ$1001,MATCH(ROWS($AH$2:AH953),$AH$2:$AH$1001,0),MATCH(COLUMNS($AO$1006:BH1006),$AO$1006:$BQ$1006,0)), HYPERLINK("#",""), HYPERLINK(CONCATENATE("#Metadata!", ADDRESS(INDEX($AJ$2:$AJ$1001,MATCH(ROWS($AH$2:AH953),$AH$2:$AH$1001,0),0), INDEX($AO$1004:$BQ$1004,1,MATCH(COLUMNS($AO$1006:BH1006),$AO$1006:$BQ$1006,0)))),"Fix")))</f>
        <v>#N/A</v>
      </c>
      <c r="V953" s="5" t="e">
        <f ca="1">IF(OR(INDEX($AI$2:$AI$1001,MATCH(ROWS($AH$2:AH953),$AH$2:$AH$1001,0),1)&gt;=100000,INDEX($AO$1005:$BQ$1005,1,MATCH(COLUMNS($AO$1006:BI1006),$AO$1006:$BQ$1006,0))&gt;=100000), " ",IF(INDEX($AO$2:$BQ$1001,MATCH(ROWS($AH$2:AH953),$AH$2:$AH$1001,0),MATCH(COLUMNS($AO$1006:BI1006),$AO$1006:$BQ$1006,0)), HYPERLINK("#",""), HYPERLINK(CONCATENATE("#Metadata!", ADDRESS(INDEX($AJ$2:$AJ$1001,MATCH(ROWS($AH$2:AH953),$AH$2:$AH$1001,0),0), INDEX($AO$1004:$BQ$1004,1,MATCH(COLUMNS($AO$1006:BI1006),$AO$1006:$BQ$1006,0)))),"Fix")))</f>
        <v>#N/A</v>
      </c>
      <c r="W953" s="5" t="e">
        <f ca="1">IF(OR(INDEX($AI$2:$AI$1001,MATCH(ROWS($AH$2:AH953),$AH$2:$AH$1001,0),1)&gt;=100000,INDEX($AO$1005:$BQ$1005,1,MATCH(COLUMNS($AO$1006:BJ1006),$AO$1006:$BQ$1006,0))&gt;=100000), " ",IF(INDEX($AO$2:$BQ$1001,MATCH(ROWS($AH$2:AH953),$AH$2:$AH$1001,0),MATCH(COLUMNS($AO$1006:BJ1006),$AO$1006:$BQ$1006,0)), HYPERLINK("#",""), HYPERLINK(CONCATENATE("#Metadata!", ADDRESS(INDEX($AJ$2:$AJ$1001,MATCH(ROWS($AH$2:AH953),$AH$2:$AH$1001,0),0), INDEX($AO$1004:$BQ$1004,1,MATCH(COLUMNS($AO$1006:BJ1006),$AO$1006:$BQ$1006,0)))),"Fix")))</f>
        <v>#N/A</v>
      </c>
      <c r="X953" s="5" t="e">
        <f ca="1">IF(OR(INDEX($AI$2:$AI$1001,MATCH(ROWS($AH$2:AH953),$AH$2:$AH$1001,0),1)&gt;=100000,INDEX($AO$1005:$BQ$1005,1,MATCH(COLUMNS($AO$1006:BK1006),$AO$1006:$BQ$1006,0))&gt;=100000), " ",IF(INDEX($AO$2:$BQ$1001,MATCH(ROWS($AH$2:AH953),$AH$2:$AH$1001,0),MATCH(COLUMNS($AO$1006:BK1006),$AO$1006:$BQ$1006,0)), HYPERLINK("#",""), HYPERLINK(CONCATENATE("#Metadata!", ADDRESS(INDEX($AJ$2:$AJ$1001,MATCH(ROWS($AH$2:AH953),$AH$2:$AH$1001,0),0), INDEX($AO$1004:$BQ$1004,1,MATCH(COLUMNS($AO$1006:BK1006),$AO$1006:$BQ$1006,0)))),"Fix")))</f>
        <v>#N/A</v>
      </c>
      <c r="Y953" s="5" t="e">
        <f ca="1">IF(OR(INDEX($AI$2:$AI$1001,MATCH(ROWS($AH$2:AH953),$AH$2:$AH$1001,0),1)&gt;=100000,INDEX($AO$1005:$BQ$1005,1,MATCH(COLUMNS($AO$1006:BL1006),$AO$1006:$BQ$1006,0))&gt;=100000), " ",IF(INDEX($AO$2:$BQ$1001,MATCH(ROWS($AH$2:AH953),$AH$2:$AH$1001,0),MATCH(COLUMNS($AO$1006:BL1006),$AO$1006:$BQ$1006,0)), HYPERLINK("#",""), HYPERLINK(CONCATENATE("#Metadata!", ADDRESS(INDEX($AJ$2:$AJ$1001,MATCH(ROWS($AH$2:AH953),$AH$2:$AH$1001,0),0), INDEX($AO$1004:$BQ$1004,1,MATCH(COLUMNS($AO$1006:BL1006),$AO$1006:$BQ$1006,0)))),"Fix")))</f>
        <v>#N/A</v>
      </c>
      <c r="Z953" s="5" t="e">
        <f ca="1">IF(OR(INDEX($AI$2:$AI$1001,MATCH(ROWS($AH$2:AH953),$AH$2:$AH$1001,0),1)&gt;=100000,INDEX($AO$1005:$BQ$1005,1,MATCH(COLUMNS($AO$1006:BM1006),$AO$1006:$BQ$1006,0))&gt;=100000), " ",IF(INDEX($AO$2:$BQ$1001,MATCH(ROWS($AH$2:AH953),$AH$2:$AH$1001,0),MATCH(COLUMNS($AO$1006:BM1006),$AO$1006:$BQ$1006,0)), HYPERLINK("#",""), HYPERLINK(CONCATENATE("#Metadata!", ADDRESS(INDEX($AJ$2:$AJ$1001,MATCH(ROWS($AH$2:AH953),$AH$2:$AH$1001,0),0), INDEX($AO$1004:$BQ$1004,1,MATCH(COLUMNS($AO$1006:BM1006),$AO$1006:$BQ$1006,0)))),"Fix")))</f>
        <v>#N/A</v>
      </c>
      <c r="AA953" s="5" t="e">
        <f ca="1">IF(OR(INDEX($AI$2:$AI$1001,MATCH(ROWS($AH$2:AH953),$AH$2:$AH$1001,0),1)&gt;=100000,INDEX($AO$1005:$BQ$1005,1,MATCH(COLUMNS($AO$1006:BN1006),$AO$1006:$BQ$1006,0))&gt;=100000), " ",IF(INDEX($AO$2:$BQ$1001,MATCH(ROWS($AH$2:AH953),$AH$2:$AH$1001,0),MATCH(COLUMNS($AO$1006:BN1006),$AO$1006:$BQ$1006,0)), HYPERLINK("#",""), HYPERLINK(CONCATENATE("#Metadata!", ADDRESS(INDEX($AJ$2:$AJ$1001,MATCH(ROWS($AH$2:AH953),$AH$2:$AH$1001,0),0), INDEX($AO$1004:$BQ$1004,1,MATCH(COLUMNS($AO$1006:BN1006),$AO$1006:$BQ$1006,0)))),"Fix")))</f>
        <v>#N/A</v>
      </c>
      <c r="AB953" s="5" t="e">
        <f ca="1">IF(OR(INDEX($AI$2:$AI$1001,MATCH(ROWS($AH$2:AH953),$AH$2:$AH$1001,0),1)&gt;=100000,INDEX($AO$1005:$BQ$1005,1,MATCH(COLUMNS($AO$1006:BO1006),$AO$1006:$BQ$1006,0))&gt;=100000), " ",IF(INDEX($AO$2:$BQ$1001,MATCH(ROWS($AH$2:AH953),$AH$2:$AH$1001,0),MATCH(COLUMNS($AO$1006:BO1006),$AO$1006:$BQ$1006,0)), HYPERLINK("#",""), HYPERLINK(CONCATENATE("#Metadata!", ADDRESS(INDEX($AJ$2:$AJ$1001,MATCH(ROWS($AH$2:AH953),$AH$2:$AH$1001,0),0), INDEX($AO$1004:$BQ$1004,1,MATCH(COLUMNS($AO$1006:BO1006),$AO$1006:$BQ$1006,0)))),"Fix")))</f>
        <v>#N/A</v>
      </c>
      <c r="AC953" s="5" t="e">
        <f ca="1">IF(OR(INDEX($AI$2:$AI$1001,MATCH(ROWS($AH$2:AH953),$AH$2:$AH$1001,0),1)&gt;=100000,INDEX($AO$1005:$BQ$1005,1,MATCH(COLUMNS($AO$1006:BP1006),$AO$1006:$BQ$1006,0))&gt;=100000), " ",IF(INDEX($AO$2:$BQ$1001,MATCH(ROWS($AH$2:AH953),$AH$2:$AH$1001,0),MATCH(COLUMNS($AO$1006:BP1006),$AO$1006:$BQ$1006,0)), HYPERLINK("#",""), HYPERLINK(CONCATENATE("#Metadata!", ADDRESS(INDEX($AJ$2:$AJ$1001,MATCH(ROWS($AH$2:AH953),$AH$2:$AH$1001,0),0), INDEX($AO$1004:$BQ$1004,1,MATCH(COLUMNS($AO$1006:BP1006),$AO$1006:$BQ$1006,0)))),"Fix")))</f>
        <v>#N/A</v>
      </c>
      <c r="AD953" s="5" t="e">
        <f ca="1">IF(OR(INDEX($AI$2:$AI$1001,MATCH(ROWS($AH$2:AH953),$AH$2:$AH$1001,0),1)&gt;=100000,INDEX($AO$1005:$BQ$1005,1,MATCH(COLUMNS($AO$1006:BQ1006),$AO$1006:$BQ$1006,0))&gt;=100000), " ",IF(INDEX($AO$2:$BQ$1001,MATCH(ROWS($AH$2:AH953),$AH$2:$AH$1001,0),MATCH(COLUMNS($AO$1006:BQ1006),$AO$1006:$BQ$1006,0)), HYPERLINK("#",""), HYPERLINK(CONCATENATE("#Metadata!", ADDRESS(INDEX($AJ$2:$AJ$1001,MATCH(ROWS($AH$2:AH953),$AH$2:$AH$1001,0),0), INDEX($AO$1004:$BQ$1004,1,MATCH(COLUMNS($AO$1006:BQ1006),$AO$1006:$BQ$1006,0)))),"Fix")))</f>
        <v>#REF!</v>
      </c>
      <c r="AH953">
        <f ca="1"/>
        <v>950</v>
      </c>
      <c r="AI953">
        <v>100953</v>
      </c>
      <c r="AJ953">
        <v>953</v>
      </c>
      <c r="AK953" t="b">
        <f t="shared" si="14"/>
        <v>1</v>
      </c>
      <c r="AL953" t="b">
        <f>COUNTBLANK(Metadata!B953:AD953)=COLUMNS(Metadata!B953:AD953)</f>
        <v>1</v>
      </c>
      <c r="AM953" t="str">
        <v/>
      </c>
      <c r="AO953" t="b">
        <f ca="1">AND(IF(Metadata!B953="",FALSE,TRUE),COUNTIF(Metadata!B:B, Metadata!B953) = 1,NOT(ISERROR(SUMPRODUCT(SEARCH(MID(Metadata!B953,ROW(INDIRECT("1:"&amp;LEN(Metadata!B953))), 1),"0123456789abcdefghijklmnopqrstuvwxyzABCDEFGHIJKLMNOPQRSTUVWXYZ.")))))</f>
        <v>0</v>
      </c>
      <c r="AP953" t="b">
        <f>IF(Metadata!C953="",FALSE,TRUE)</f>
        <v>0</v>
      </c>
      <c r="AQ953" t="b">
        <f>IF(Metadata!D953="",FALSE,TRUE)</f>
        <v>0</v>
      </c>
      <c r="AR953" t="b">
        <f ca="1">OR(AND(IF(Metadata!E953="",FALSE,TRUE),OR(EXACT(Metadata!E953,"not collected"),EXACT(Metadata!E953,"not provided"),EXACT(Metadata!E953,"restricted access"))),AND(IF(Metadata!E953="",FALSE,TRUE),AND(AND(IFERROR(INT(LEFT(Metadata!E953,4))&gt;1900,FALSE),IFERROR(INT(LEFT(Metadata!E953,4))&lt;=YEAR(NOW()),FALSE)), OR(MID(Metadata!E953,5,1)="", AND(AND(MID(Metadata!E953,5,1)="-",IFERROR(INT(MID(Metadata!E953,6,1))&gt;=0,FALSE),IFERROR(INT(MID(Metadata!E953,6,1))&lt;=1,FALSE),NOT(MID(Metadata!E953,7,1)=""),IFERROR(INT(MID(Metadata!E953,6,2))&gt;=1,FALSE),IFERROR(INT(MID(Metadata!E953,6,2))&lt;=12,FALSE)), OR(MID(Metadata!E953,8,1)="", AND(AND(MID(Metadata!E953,8,1)="-",IFERROR(INT(MID(Metadata!E953,9,1))&gt;=0,FALSE),IFERROR(INT(MID(Metadata!E953,9,1))&lt;=3,FALSE),NOT(MID(Metadata!E953,10,1)=""),IFERROR(INT(MID(Metadata!E953,9,2))&gt;=1,FALSE),IFERROR(INT(MID(Metadata!E953,9,2))&lt;=31,FALSE)), OR(MID(Metadata!E953,11,1)="", AND(AND(MID(Metadata!E953,11,1)=" ",IFERROR(INT(MID(Metadata!E953,12,1))&gt;=0,FALSE),IFERROR(INT(MID(Metadata!E953,12,1))&lt;=2,FALSE),NOT(MID(Metadata!E953,13,1)=""),IFERROR(INT(MID(Metadata!E953,12,2))&gt;=0,FALSE),IFERROR(INT(MID(Metadata!E953,12,2))&lt;=23,FALSE)), OR(MID(Metadata!E953,14,1)="", AND(AND(MID(Metadata!E953,14,1)=":",IFERROR(INT(MID(Metadata!E953,15,1))&gt;=0,FALSE),IFERROR(INT(MID(Metadata!E953,15,1))&lt;=5,FALSE),NOT(MID(Metadata!E953,16,1)=""),IFERROR(INT(MID(Metadata!E953,15,2))&gt;=0,FALSE),IFERROR(INT(MID(Metadata!E953,15,2))&lt;=59,FALSE)), OR(MID(Metadata!E953,17,1)="", AND(AND(MID(Metadata!E953,17,1)=":",IFERROR(INT(MID(Metadata!E953,18,1))&gt;=0,FALSE),IFERROR(INT(MID(Metadata!E953,18,1))&lt;=5,FALSE),NOT(MID(Metadata!E953,19,1)=""),IFERROR(INT(MID(Metadata!E953,18,2))&gt;=0,FALSE),IFERROR(INT(MID(Metadata!E953,18,2))&lt;=59,FALSE)), LEN(Metadata!E953)&lt;=19)))))))))))))</f>
        <v>0</v>
      </c>
      <c r="AS953" t="b">
        <f>IF(Metadata!F953="",FALSE,TRUE)</f>
        <v>0</v>
      </c>
      <c r="AT953" t="b">
        <f>OR(AND(IF(Metadata!G953="",FALSE,TRUE),OR(EXACT(Metadata!G953,"not collected"),EXACT(Metadata!G953,"not provided"))),AND(IF(Metadata!G953="",FALSE,TRUE),OR(EXACT(Metadata!G953,"TRUE"),EXACT(Metadata!G953,"FALSE"))))</f>
        <v>0</v>
      </c>
      <c r="AU953" t="b">
        <f>OR(AND(IF(Metadata!H953="",FALSE,TRUE),OR(EXACT(Metadata!H953,"not collected"),EXACT(Metadata!H953,"not provided"),EXACT(Metadata!H953,"restricted access"))),AND(IF(Metadata!H953="",FALSE,ISNUMBER(VALUE(Metadata!H953))),Metadata!H953&gt;=-413))</f>
        <v>0</v>
      </c>
      <c r="AV953" t="b">
        <f>AND(IF(Metadata!I953="",FALSE,TRUE),EXACT(Metadata!I953,"meters"))</f>
        <v>0</v>
      </c>
      <c r="AW953" t="b">
        <f>AND(IF(Metadata!J953="",FALSE,TRUE),EXACT(Metadata!J953,"free-living"))</f>
        <v>0</v>
      </c>
      <c r="AX953" t="b">
        <f>AND(IF(Metadata!K953="",FALSE,TRUE),OR(EXACT(Metadata!K953,"saline"),EXACT(Metadata!K953,"non-saline")))</f>
        <v>0</v>
      </c>
      <c r="AY953" t="b">
        <f>AND(IF(Metadata!L953="",FALSE,TRUE),OR(EXACT(Metadata!L953,"sub-surface (non-saline)"),EXACT(Metadata!L953,"surface (non-saline)"),EXACT(Metadata!L953,"water (non-saline)"),EXACT(Metadata!L953,"soil (non-saline)"),EXACT(Metadata!L953,"aerosol (non-saline)"),EXACT(Metadata!L953,"sediment (non-saline)"),EXACT(Metadata!L953,"surface (saline)"),EXACT(Metadata!L953,"water (saline)"),EXACT(Metadata!L953,"hypersaline (saline)"),EXACT(Metadata!L953,"aerosol (saline)"),EXACT(Metadata!L953,"sediment (saline)")))</f>
        <v>0</v>
      </c>
      <c r="AZ953" t="b">
        <f>IF(Metadata!M953="",FALSE,TRUE)</f>
        <v>0</v>
      </c>
      <c r="BA953" t="b">
        <f>IF(Metadata!N953="",FALSE,TRUE)</f>
        <v>0</v>
      </c>
      <c r="BB953" t="b">
        <f>IF(Metadata!O953="",FALSE,TRUE)</f>
        <v>0</v>
      </c>
      <c r="BC953" t="b">
        <f>AND(IF(Metadata!P953="",FALSE,TRUE),OR(EXACT(Metadata!P953,"air"),EXACT(Metadata!P953,"microbial mat/biofilm"),EXACT(Metadata!P953,"misc environment"),EXACT(Metadata!P953,"sediment"),EXACT(Metadata!P953,"soil"),EXACT(Metadata!P953,"wastewater/sludge"),EXACT(Metadata!P953,"water")))</f>
        <v>0</v>
      </c>
      <c r="BD953" t="b">
        <f>IF(Metadata!Q953="",FALSE,TRUE)</f>
        <v>0</v>
      </c>
      <c r="BE953" t="b">
        <f>IF(Metadata!R953="",FALSE,TRUE)</f>
        <v>0</v>
      </c>
      <c r="BF953" t="b">
        <f>OR(AND(IF(Metadata!S953="",FALSE,TRUE),OR(EXACT(Metadata!S953,"not collected"),EXACT(Metadata!S953,"not provided"),EXACT(Metadata!S953,"restricted access"))),AND(IF(Metadata!S953="",FALSE,ISNUMBER(VALUE(Metadata!S953))),Metadata!S953&gt;=-90,Metadata!S953&lt;=90))</f>
        <v>0</v>
      </c>
      <c r="BG953" t="b">
        <f>AND(IF(Metadata!T953="",FALSE,TRUE),EXACT(Metadata!T953,"Decimal degrees"))</f>
        <v>0</v>
      </c>
      <c r="BH953" t="b">
        <f>OR(AND(IF(Metadata!U953="",FALSE,TRUE),OR(EXACT(Metadata!U953,"not applicable"),EXACT(Metadata!U953,"not collected"))),IF(Metadata!U953="",FALSE,TRUE))</f>
        <v>0</v>
      </c>
      <c r="BI953" t="b">
        <f>OR(AND(IF(Metadata!V953="",FALSE,TRUE),OR(EXACT(Metadata!V953,"not collected"),EXACT(Metadata!V953,"not provided"),EXACT(Metadata!V953,"restricted access"))),AND(IF(Metadata!V953="",FALSE,ISNUMBER(VALUE(Metadata!V953))),Metadata!V953&gt;=-180,Metadata!V953&lt;=180))</f>
        <v>0</v>
      </c>
      <c r="BJ953" t="b">
        <f>AND(IF(Metadata!W953="",FALSE,TRUE),EXACT(Metadata!W953,"Decimal degrees"))</f>
        <v>0</v>
      </c>
      <c r="BK953" t="b">
        <f>IF(Metadata!X953="",FALSE,TRUE)</f>
        <v>0</v>
      </c>
      <c r="BL953" t="b">
        <f>OR(AND(IF(Metadata!Y953="",FALSE,TRUE),OR(EXACT(Metadata!Y953,"not collected"),EXACT(Metadata!Y953,"not provided"),EXACT(Metadata!Y953,"restricted access"))),AND(IF(Metadata!Y953="",FALSE,TRUE),OR(EXACT(Metadata!Y953,"TRUE"),EXACT(Metadata!Y953,"FALSE"))))</f>
        <v>0</v>
      </c>
      <c r="BM953" t="b">
        <f>OR(AND(IF(Metadata!Z953="",FALSE,TRUE),EXACT(Metadata!Z953,"not applicable")),AND(IF(Metadata!Z953="",FALSE,TRUE),OR(EXACT(Metadata!Z953,"beer"),EXACT(Metadata!Z953,"cheese"),EXACT(Metadata!Z953,"fresh water"),EXACT(Metadata!Z953,"marine sediment"),EXACT(Metadata!Z953,"sea water"),EXACT(Metadata!Z953,"sediment"),EXACT(Metadata!Z953,"soil"),EXACT(Metadata!Z953,"waste water"))))</f>
        <v>0</v>
      </c>
      <c r="BN953" t="b">
        <f>AND(IF(Metadata!AA953="",FALSE,TRUE),EXACT(Metadata!AA953,"metagenome"))</f>
        <v>0</v>
      </c>
      <c r="BO953" t="b">
        <f>AND(IF(Metadata!AB953="",FALSE,TRUE),EXACT(Metadata!AB953,"256318"))</f>
        <v>0</v>
      </c>
      <c r="BP953" t="b">
        <f>IF(Metadata!AC953="",FALSE,TRUE)</f>
        <v>0</v>
      </c>
      <c r="BQ953" t="b">
        <f>IF(Metadata!AD953="",FALSE,TRUE)</f>
        <v>0</v>
      </c>
    </row>
    <row r="954" spans="1:69" x14ac:dyDescent="0.2">
      <c r="A954" s="4" t="e">
        <f ca="1">IF(B954=" "," ",HYPERLINK(CONCATENATE("#metadata!",ADDRESS(INDEX($AJ$2:$AJ$1001,MATCH(ROWS($AH$2:AH954),$AH$2:$AH$1001,0),0),2)),INDEX($AM$2:$AM$1001,MATCH(ROWS($AH$2:AH954),$AH$2:$AH$1001,0),0)))</f>
        <v>#N/A</v>
      </c>
      <c r="B954" s="5" t="e">
        <f ca="1">IF(OR(INDEX($AI$2:$AI$1001,MATCH(ROWS($AH$2:AH954),$AH$2:$AH$1001,0),1)&gt;=100000,INDEX($AO$1005:$BQ$1005,1,MATCH(COLUMNS($AO$1006:AO1006),$AO$1006:$BQ$1006,0))&gt;=100000), " ",IF(INDEX($AO$2:$BQ$1001,MATCH(ROWS($AH$2:AH954),$AH$2:$AH$1001,0),MATCH(COLUMNS($AO$1006:AO1006),$AO$1006:$BQ$1006,0)), HYPERLINK("#",""), HYPERLINK(CONCATENATE("#Metadata!", ADDRESS(INDEX($AJ$2:$AJ$1001,MATCH(ROWS($AH$2:AH954),$AH$2:$AH$1001,0),0), INDEX($AO$1004:$BQ$1004,1,MATCH(COLUMNS($AO$1006:AO1006),$AO$1006:$BQ$1006,0)))),"Fix")))</f>
        <v>#N/A</v>
      </c>
      <c r="C954" s="5" t="e">
        <f ca="1">IF(OR(INDEX($AI$2:$AI$1001,MATCH(ROWS($AH$2:AH954),$AH$2:$AH$1001,0),1)&gt;=100000,INDEX($AO$1005:$BQ$1005,1,MATCH(COLUMNS($AO$1006:AP1006),$AO$1006:$BQ$1006,0))&gt;=100000), " ",IF(INDEX($AO$2:$BQ$1001,MATCH(ROWS($AH$2:AH954),$AH$2:$AH$1001,0),MATCH(COLUMNS($AO$1006:AP1006),$AO$1006:$BQ$1006,0)), HYPERLINK("#",""), HYPERLINK(CONCATENATE("#Metadata!", ADDRESS(INDEX($AJ$2:$AJ$1001,MATCH(ROWS($AH$2:AH954),$AH$2:$AH$1001,0),0), INDEX($AO$1004:$BQ$1004,1,MATCH(COLUMNS($AO$1006:AP1006),$AO$1006:$BQ$1006,0)))),"Fix")))</f>
        <v>#N/A</v>
      </c>
      <c r="D954" s="5" t="e">
        <f ca="1">IF(OR(INDEX($AI$2:$AI$1001,MATCH(ROWS($AH$2:AH954),$AH$2:$AH$1001,0),1)&gt;=100000,INDEX($AO$1005:$BQ$1005,1,MATCH(COLUMNS($AO$1006:AQ1006),$AO$1006:$BQ$1006,0))&gt;=100000), " ",IF(INDEX($AO$2:$BQ$1001,MATCH(ROWS($AH$2:AH954),$AH$2:$AH$1001,0),MATCH(COLUMNS($AO$1006:AQ1006),$AO$1006:$BQ$1006,0)), HYPERLINK("#",""), HYPERLINK(CONCATENATE("#Metadata!", ADDRESS(INDEX($AJ$2:$AJ$1001,MATCH(ROWS($AH$2:AH954),$AH$2:$AH$1001,0),0), INDEX($AO$1004:$BQ$1004,1,MATCH(COLUMNS($AO$1006:AQ1006),$AO$1006:$BQ$1006,0)))),"Fix")))</f>
        <v>#N/A</v>
      </c>
      <c r="E954" s="5" t="e">
        <f ca="1">IF(OR(INDEX($AI$2:$AI$1001,MATCH(ROWS($AH$2:AH954),$AH$2:$AH$1001,0),1)&gt;=100000,INDEX($AO$1005:$BQ$1005,1,MATCH(COLUMNS($AO$1006:AR1006),$AO$1006:$BQ$1006,0))&gt;=100000), " ",IF(INDEX($AO$2:$BQ$1001,MATCH(ROWS($AH$2:AH954),$AH$2:$AH$1001,0),MATCH(COLUMNS($AO$1006:AR1006),$AO$1006:$BQ$1006,0)), HYPERLINK("#",""), HYPERLINK(CONCATENATE("#Metadata!", ADDRESS(INDEX($AJ$2:$AJ$1001,MATCH(ROWS($AH$2:AH954),$AH$2:$AH$1001,0),0), INDEX($AO$1004:$BQ$1004,1,MATCH(COLUMNS($AO$1006:AR1006),$AO$1006:$BQ$1006,0)))),"Fix")))</f>
        <v>#N/A</v>
      </c>
      <c r="F954" s="5" t="e">
        <f ca="1">IF(OR(INDEX($AI$2:$AI$1001,MATCH(ROWS($AH$2:AH954),$AH$2:$AH$1001,0),1)&gt;=100000,INDEX($AO$1005:$BQ$1005,1,MATCH(COLUMNS($AO$1006:AS1006),$AO$1006:$BQ$1006,0))&gt;=100000), " ",IF(INDEX($AO$2:$BQ$1001,MATCH(ROWS($AH$2:AH954),$AH$2:$AH$1001,0),MATCH(COLUMNS($AO$1006:AS1006),$AO$1006:$BQ$1006,0)), HYPERLINK("#",""), HYPERLINK(CONCATENATE("#Metadata!", ADDRESS(INDEX($AJ$2:$AJ$1001,MATCH(ROWS($AH$2:AH954),$AH$2:$AH$1001,0),0), INDEX($AO$1004:$BQ$1004,1,MATCH(COLUMNS($AO$1006:AS1006),$AO$1006:$BQ$1006,0)))),"Fix")))</f>
        <v>#N/A</v>
      </c>
      <c r="G954" s="5" t="e">
        <f ca="1">IF(OR(INDEX($AI$2:$AI$1001,MATCH(ROWS($AH$2:AH954),$AH$2:$AH$1001,0),1)&gt;=100000,INDEX($AO$1005:$BQ$1005,1,MATCH(COLUMNS($AO$1006:AT1006),$AO$1006:$BQ$1006,0))&gt;=100000), " ",IF(INDEX($AO$2:$BQ$1001,MATCH(ROWS($AH$2:AH954),$AH$2:$AH$1001,0),MATCH(COLUMNS($AO$1006:AT1006),$AO$1006:$BQ$1006,0)), HYPERLINK("#",""), HYPERLINK(CONCATENATE("#Metadata!", ADDRESS(INDEX($AJ$2:$AJ$1001,MATCH(ROWS($AH$2:AH954),$AH$2:$AH$1001,0),0), INDEX($AO$1004:$BQ$1004,1,MATCH(COLUMNS($AO$1006:AT1006),$AO$1006:$BQ$1006,0)))),"Fix")))</f>
        <v>#N/A</v>
      </c>
      <c r="H954" s="5" t="e">
        <f ca="1">IF(OR(INDEX($AI$2:$AI$1001,MATCH(ROWS($AH$2:AH954),$AH$2:$AH$1001,0),1)&gt;=100000,INDEX($AO$1005:$BQ$1005,1,MATCH(COLUMNS($AO$1006:AU1006),$AO$1006:$BQ$1006,0))&gt;=100000), " ",IF(INDEX($AO$2:$BQ$1001,MATCH(ROWS($AH$2:AH954),$AH$2:$AH$1001,0),MATCH(COLUMNS($AO$1006:AU1006),$AO$1006:$BQ$1006,0)), HYPERLINK("#",""), HYPERLINK(CONCATENATE("#Metadata!", ADDRESS(INDEX($AJ$2:$AJ$1001,MATCH(ROWS($AH$2:AH954),$AH$2:$AH$1001,0),0), INDEX($AO$1004:$BQ$1004,1,MATCH(COLUMNS($AO$1006:AU1006),$AO$1006:$BQ$1006,0)))),"Fix")))</f>
        <v>#N/A</v>
      </c>
      <c r="I954" s="5" t="e">
        <f ca="1">IF(OR(INDEX($AI$2:$AI$1001,MATCH(ROWS($AH$2:AH954),$AH$2:$AH$1001,0),1)&gt;=100000,INDEX($AO$1005:$BQ$1005,1,MATCH(COLUMNS($AO$1006:AV1006),$AO$1006:$BQ$1006,0))&gt;=100000), " ",IF(INDEX($AO$2:$BQ$1001,MATCH(ROWS($AH$2:AH954),$AH$2:$AH$1001,0),MATCH(COLUMNS($AO$1006:AV1006),$AO$1006:$BQ$1006,0)), HYPERLINK("#",""), HYPERLINK(CONCATENATE("#Metadata!", ADDRESS(INDEX($AJ$2:$AJ$1001,MATCH(ROWS($AH$2:AH954),$AH$2:$AH$1001,0),0), INDEX($AO$1004:$BQ$1004,1,MATCH(COLUMNS($AO$1006:AV1006),$AO$1006:$BQ$1006,0)))),"Fix")))</f>
        <v>#N/A</v>
      </c>
      <c r="J954" s="5" t="e">
        <f ca="1">IF(OR(INDEX($AI$2:$AI$1001,MATCH(ROWS($AH$2:AH954),$AH$2:$AH$1001,0),1)&gt;=100000,INDEX($AO$1005:$BQ$1005,1,MATCH(COLUMNS($AO$1006:AW1006),$AO$1006:$BQ$1006,0))&gt;=100000), " ",IF(INDEX($AO$2:$BQ$1001,MATCH(ROWS($AH$2:AH954),$AH$2:$AH$1001,0),MATCH(COLUMNS($AO$1006:AW1006),$AO$1006:$BQ$1006,0)), HYPERLINK("#",""), HYPERLINK(CONCATENATE("#Metadata!", ADDRESS(INDEX($AJ$2:$AJ$1001,MATCH(ROWS($AH$2:AH954),$AH$2:$AH$1001,0),0), INDEX($AO$1004:$BQ$1004,1,MATCH(COLUMNS($AO$1006:AW1006),$AO$1006:$BQ$1006,0)))),"Fix")))</f>
        <v>#N/A</v>
      </c>
      <c r="K954" s="5" t="e">
        <f ca="1">IF(OR(INDEX($AI$2:$AI$1001,MATCH(ROWS($AH$2:AH954),$AH$2:$AH$1001,0),1)&gt;=100000,INDEX($AO$1005:$BQ$1005,1,MATCH(COLUMNS($AO$1006:AX1006),$AO$1006:$BQ$1006,0))&gt;=100000), " ",IF(INDEX($AO$2:$BQ$1001,MATCH(ROWS($AH$2:AH954),$AH$2:$AH$1001,0),MATCH(COLUMNS($AO$1006:AX1006),$AO$1006:$BQ$1006,0)), HYPERLINK("#",""), HYPERLINK(CONCATENATE("#Metadata!", ADDRESS(INDEX($AJ$2:$AJ$1001,MATCH(ROWS($AH$2:AH954),$AH$2:$AH$1001,0),0), INDEX($AO$1004:$BQ$1004,1,MATCH(COLUMNS($AO$1006:AX1006),$AO$1006:$BQ$1006,0)))),"Fix")))</f>
        <v>#N/A</v>
      </c>
      <c r="L954" s="5" t="e">
        <f ca="1">IF(OR(INDEX($AI$2:$AI$1001,MATCH(ROWS($AH$2:AH954),$AH$2:$AH$1001,0),1)&gt;=100000,INDEX($AO$1005:$BQ$1005,1,MATCH(COLUMNS($AO$1006:AY1006),$AO$1006:$BQ$1006,0))&gt;=100000), " ",IF(INDEX($AO$2:$BQ$1001,MATCH(ROWS($AH$2:AH954),$AH$2:$AH$1001,0),MATCH(COLUMNS($AO$1006:AY1006),$AO$1006:$BQ$1006,0)), HYPERLINK("#",""), HYPERLINK(CONCATENATE("#Metadata!", ADDRESS(INDEX($AJ$2:$AJ$1001,MATCH(ROWS($AH$2:AH954),$AH$2:$AH$1001,0),0), INDEX($AO$1004:$BQ$1004,1,MATCH(COLUMNS($AO$1006:AY1006),$AO$1006:$BQ$1006,0)))),"Fix")))</f>
        <v>#N/A</v>
      </c>
      <c r="M954" s="5" t="e">
        <f ca="1">IF(OR(INDEX($AI$2:$AI$1001,MATCH(ROWS($AH$2:AH954),$AH$2:$AH$1001,0),1)&gt;=100000,INDEX($AO$1005:$BQ$1005,1,MATCH(COLUMNS($AO$1006:AZ1006),$AO$1006:$BQ$1006,0))&gt;=100000), " ",IF(INDEX($AO$2:$BQ$1001,MATCH(ROWS($AH$2:AH954),$AH$2:$AH$1001,0),MATCH(COLUMNS($AO$1006:AZ1006),$AO$1006:$BQ$1006,0)), HYPERLINK("#",""), HYPERLINK(CONCATENATE("#Metadata!", ADDRESS(INDEX($AJ$2:$AJ$1001,MATCH(ROWS($AH$2:AH954),$AH$2:$AH$1001,0),0), INDEX($AO$1004:$BQ$1004,1,MATCH(COLUMNS($AO$1006:AZ1006),$AO$1006:$BQ$1006,0)))),"Fix")))</f>
        <v>#N/A</v>
      </c>
      <c r="N954" s="5" t="e">
        <f ca="1">IF(OR(INDEX($AI$2:$AI$1001,MATCH(ROWS($AH$2:AH954),$AH$2:$AH$1001,0),1)&gt;=100000,INDEX($AO$1005:$BQ$1005,1,MATCH(COLUMNS($AO$1006:BA1006),$AO$1006:$BQ$1006,0))&gt;=100000), " ",IF(INDEX($AO$2:$BQ$1001,MATCH(ROWS($AH$2:AH954),$AH$2:$AH$1001,0),MATCH(COLUMNS($AO$1006:BA1006),$AO$1006:$BQ$1006,0)), HYPERLINK("#",""), HYPERLINK(CONCATENATE("#Metadata!", ADDRESS(INDEX($AJ$2:$AJ$1001,MATCH(ROWS($AH$2:AH954),$AH$2:$AH$1001,0),0), INDEX($AO$1004:$BQ$1004,1,MATCH(COLUMNS($AO$1006:BA1006),$AO$1006:$BQ$1006,0)))),"Fix")))</f>
        <v>#N/A</v>
      </c>
      <c r="O954" s="5" t="e">
        <f ca="1">IF(OR(INDEX($AI$2:$AI$1001,MATCH(ROWS($AH$2:AH954),$AH$2:$AH$1001,0),1)&gt;=100000,INDEX($AO$1005:$BQ$1005,1,MATCH(COLUMNS($AO$1006:BB1006),$AO$1006:$BQ$1006,0))&gt;=100000), " ",IF(INDEX($AO$2:$BQ$1001,MATCH(ROWS($AH$2:AH954),$AH$2:$AH$1001,0),MATCH(COLUMNS($AO$1006:BB1006),$AO$1006:$BQ$1006,0)), HYPERLINK("#",""), HYPERLINK(CONCATENATE("#Metadata!", ADDRESS(INDEX($AJ$2:$AJ$1001,MATCH(ROWS($AH$2:AH954),$AH$2:$AH$1001,0),0), INDEX($AO$1004:$BQ$1004,1,MATCH(COLUMNS($AO$1006:BB1006),$AO$1006:$BQ$1006,0)))),"Fix")))</f>
        <v>#N/A</v>
      </c>
      <c r="P954" s="5" t="e">
        <f ca="1">IF(OR(INDEX($AI$2:$AI$1001,MATCH(ROWS($AH$2:AH954),$AH$2:$AH$1001,0),1)&gt;=100000,INDEX($AO$1005:$BQ$1005,1,MATCH(COLUMNS($AO$1006:BC1006),$AO$1006:$BQ$1006,0))&gt;=100000), " ",IF(INDEX($AO$2:$BQ$1001,MATCH(ROWS($AH$2:AH954),$AH$2:$AH$1001,0),MATCH(COLUMNS($AO$1006:BC1006),$AO$1006:$BQ$1006,0)), HYPERLINK("#",""), HYPERLINK(CONCATENATE("#Metadata!", ADDRESS(INDEX($AJ$2:$AJ$1001,MATCH(ROWS($AH$2:AH954),$AH$2:$AH$1001,0),0), INDEX($AO$1004:$BQ$1004,1,MATCH(COLUMNS($AO$1006:BC1006),$AO$1006:$BQ$1006,0)))),"Fix")))</f>
        <v>#N/A</v>
      </c>
      <c r="Q954" s="5" t="e">
        <f ca="1">IF(OR(INDEX($AI$2:$AI$1001,MATCH(ROWS($AH$2:AH954),$AH$2:$AH$1001,0),1)&gt;=100000,INDEX($AO$1005:$BQ$1005,1,MATCH(COLUMNS($AO$1006:BD1006),$AO$1006:$BQ$1006,0))&gt;=100000), " ",IF(INDEX($AO$2:$BQ$1001,MATCH(ROWS($AH$2:AH954),$AH$2:$AH$1001,0),MATCH(COLUMNS($AO$1006:BD1006),$AO$1006:$BQ$1006,0)), HYPERLINK("#",""), HYPERLINK(CONCATENATE("#Metadata!", ADDRESS(INDEX($AJ$2:$AJ$1001,MATCH(ROWS($AH$2:AH954),$AH$2:$AH$1001,0),0), INDEX($AO$1004:$BQ$1004,1,MATCH(COLUMNS($AO$1006:BD1006),$AO$1006:$BQ$1006,0)))),"Fix")))</f>
        <v>#N/A</v>
      </c>
      <c r="R954" s="5" t="e">
        <f ca="1">IF(OR(INDEX($AI$2:$AI$1001,MATCH(ROWS($AH$2:AH954),$AH$2:$AH$1001,0),1)&gt;=100000,INDEX($AO$1005:$BQ$1005,1,MATCH(COLUMNS($AO$1006:BE1006),$AO$1006:$BQ$1006,0))&gt;=100000), " ",IF(INDEX($AO$2:$BQ$1001,MATCH(ROWS($AH$2:AH954),$AH$2:$AH$1001,0),MATCH(COLUMNS($AO$1006:BE1006),$AO$1006:$BQ$1006,0)), HYPERLINK("#",""), HYPERLINK(CONCATENATE("#Metadata!", ADDRESS(INDEX($AJ$2:$AJ$1001,MATCH(ROWS($AH$2:AH954),$AH$2:$AH$1001,0),0), INDEX($AO$1004:$BQ$1004,1,MATCH(COLUMNS($AO$1006:BE1006),$AO$1006:$BQ$1006,0)))),"Fix")))</f>
        <v>#N/A</v>
      </c>
      <c r="S954" s="5" t="e">
        <f ca="1">IF(OR(INDEX($AI$2:$AI$1001,MATCH(ROWS($AH$2:AH954),$AH$2:$AH$1001,0),1)&gt;=100000,INDEX($AO$1005:$BQ$1005,1,MATCH(COLUMNS($AO$1006:BF1006),$AO$1006:$BQ$1006,0))&gt;=100000), " ",IF(INDEX($AO$2:$BQ$1001,MATCH(ROWS($AH$2:AH954),$AH$2:$AH$1001,0),MATCH(COLUMNS($AO$1006:BF1006),$AO$1006:$BQ$1006,0)), HYPERLINK("#",""), HYPERLINK(CONCATENATE("#Metadata!", ADDRESS(INDEX($AJ$2:$AJ$1001,MATCH(ROWS($AH$2:AH954),$AH$2:$AH$1001,0),0), INDEX($AO$1004:$BQ$1004,1,MATCH(COLUMNS($AO$1006:BF1006),$AO$1006:$BQ$1006,0)))),"Fix")))</f>
        <v>#N/A</v>
      </c>
      <c r="T954" s="5" t="e">
        <f ca="1">IF(OR(INDEX($AI$2:$AI$1001,MATCH(ROWS($AH$2:AH954),$AH$2:$AH$1001,0),1)&gt;=100000,INDEX($AO$1005:$BQ$1005,1,MATCH(COLUMNS($AO$1006:BG1006),$AO$1006:$BQ$1006,0))&gt;=100000), " ",IF(INDEX($AO$2:$BQ$1001,MATCH(ROWS($AH$2:AH954),$AH$2:$AH$1001,0),MATCH(COLUMNS($AO$1006:BG1006),$AO$1006:$BQ$1006,0)), HYPERLINK("#",""), HYPERLINK(CONCATENATE("#Metadata!", ADDRESS(INDEX($AJ$2:$AJ$1001,MATCH(ROWS($AH$2:AH954),$AH$2:$AH$1001,0),0), INDEX($AO$1004:$BQ$1004,1,MATCH(COLUMNS($AO$1006:BG1006),$AO$1006:$BQ$1006,0)))),"Fix")))</f>
        <v>#N/A</v>
      </c>
      <c r="U954" s="5" t="e">
        <f ca="1">IF(OR(INDEX($AI$2:$AI$1001,MATCH(ROWS($AH$2:AH954),$AH$2:$AH$1001,0),1)&gt;=100000,INDEX($AO$1005:$BQ$1005,1,MATCH(COLUMNS($AO$1006:BH1006),$AO$1006:$BQ$1006,0))&gt;=100000), " ",IF(INDEX($AO$2:$BQ$1001,MATCH(ROWS($AH$2:AH954),$AH$2:$AH$1001,0),MATCH(COLUMNS($AO$1006:BH1006),$AO$1006:$BQ$1006,0)), HYPERLINK("#",""), HYPERLINK(CONCATENATE("#Metadata!", ADDRESS(INDEX($AJ$2:$AJ$1001,MATCH(ROWS($AH$2:AH954),$AH$2:$AH$1001,0),0), INDEX($AO$1004:$BQ$1004,1,MATCH(COLUMNS($AO$1006:BH1006),$AO$1006:$BQ$1006,0)))),"Fix")))</f>
        <v>#N/A</v>
      </c>
      <c r="V954" s="5" t="e">
        <f ca="1">IF(OR(INDEX($AI$2:$AI$1001,MATCH(ROWS($AH$2:AH954),$AH$2:$AH$1001,0),1)&gt;=100000,INDEX($AO$1005:$BQ$1005,1,MATCH(COLUMNS($AO$1006:BI1006),$AO$1006:$BQ$1006,0))&gt;=100000), " ",IF(INDEX($AO$2:$BQ$1001,MATCH(ROWS($AH$2:AH954),$AH$2:$AH$1001,0),MATCH(COLUMNS($AO$1006:BI1006),$AO$1006:$BQ$1006,0)), HYPERLINK("#",""), HYPERLINK(CONCATENATE("#Metadata!", ADDRESS(INDEX($AJ$2:$AJ$1001,MATCH(ROWS($AH$2:AH954),$AH$2:$AH$1001,0),0), INDEX($AO$1004:$BQ$1004,1,MATCH(COLUMNS($AO$1006:BI1006),$AO$1006:$BQ$1006,0)))),"Fix")))</f>
        <v>#N/A</v>
      </c>
      <c r="W954" s="5" t="e">
        <f ca="1">IF(OR(INDEX($AI$2:$AI$1001,MATCH(ROWS($AH$2:AH954),$AH$2:$AH$1001,0),1)&gt;=100000,INDEX($AO$1005:$BQ$1005,1,MATCH(COLUMNS($AO$1006:BJ1006),$AO$1006:$BQ$1006,0))&gt;=100000), " ",IF(INDEX($AO$2:$BQ$1001,MATCH(ROWS($AH$2:AH954),$AH$2:$AH$1001,0),MATCH(COLUMNS($AO$1006:BJ1006),$AO$1006:$BQ$1006,0)), HYPERLINK("#",""), HYPERLINK(CONCATENATE("#Metadata!", ADDRESS(INDEX($AJ$2:$AJ$1001,MATCH(ROWS($AH$2:AH954),$AH$2:$AH$1001,0),0), INDEX($AO$1004:$BQ$1004,1,MATCH(COLUMNS($AO$1006:BJ1006),$AO$1006:$BQ$1006,0)))),"Fix")))</f>
        <v>#N/A</v>
      </c>
      <c r="X954" s="5" t="e">
        <f ca="1">IF(OR(INDEX($AI$2:$AI$1001,MATCH(ROWS($AH$2:AH954),$AH$2:$AH$1001,0),1)&gt;=100000,INDEX($AO$1005:$BQ$1005,1,MATCH(COLUMNS($AO$1006:BK1006),$AO$1006:$BQ$1006,0))&gt;=100000), " ",IF(INDEX($AO$2:$BQ$1001,MATCH(ROWS($AH$2:AH954),$AH$2:$AH$1001,0),MATCH(COLUMNS($AO$1006:BK1006),$AO$1006:$BQ$1006,0)), HYPERLINK("#",""), HYPERLINK(CONCATENATE("#Metadata!", ADDRESS(INDEX($AJ$2:$AJ$1001,MATCH(ROWS($AH$2:AH954),$AH$2:$AH$1001,0),0), INDEX($AO$1004:$BQ$1004,1,MATCH(COLUMNS($AO$1006:BK1006),$AO$1006:$BQ$1006,0)))),"Fix")))</f>
        <v>#N/A</v>
      </c>
      <c r="Y954" s="5" t="e">
        <f ca="1">IF(OR(INDEX($AI$2:$AI$1001,MATCH(ROWS($AH$2:AH954),$AH$2:$AH$1001,0),1)&gt;=100000,INDEX($AO$1005:$BQ$1005,1,MATCH(COLUMNS($AO$1006:BL1006),$AO$1006:$BQ$1006,0))&gt;=100000), " ",IF(INDEX($AO$2:$BQ$1001,MATCH(ROWS($AH$2:AH954),$AH$2:$AH$1001,0),MATCH(COLUMNS($AO$1006:BL1006),$AO$1006:$BQ$1006,0)), HYPERLINK("#",""), HYPERLINK(CONCATENATE("#Metadata!", ADDRESS(INDEX($AJ$2:$AJ$1001,MATCH(ROWS($AH$2:AH954),$AH$2:$AH$1001,0),0), INDEX($AO$1004:$BQ$1004,1,MATCH(COLUMNS($AO$1006:BL1006),$AO$1006:$BQ$1006,0)))),"Fix")))</f>
        <v>#N/A</v>
      </c>
      <c r="Z954" s="5" t="e">
        <f ca="1">IF(OR(INDEX($AI$2:$AI$1001,MATCH(ROWS($AH$2:AH954),$AH$2:$AH$1001,0),1)&gt;=100000,INDEX($AO$1005:$BQ$1005,1,MATCH(COLUMNS($AO$1006:BM1006),$AO$1006:$BQ$1006,0))&gt;=100000), " ",IF(INDEX($AO$2:$BQ$1001,MATCH(ROWS($AH$2:AH954),$AH$2:$AH$1001,0),MATCH(COLUMNS($AO$1006:BM1006),$AO$1006:$BQ$1006,0)), HYPERLINK("#",""), HYPERLINK(CONCATENATE("#Metadata!", ADDRESS(INDEX($AJ$2:$AJ$1001,MATCH(ROWS($AH$2:AH954),$AH$2:$AH$1001,0),0), INDEX($AO$1004:$BQ$1004,1,MATCH(COLUMNS($AO$1006:BM1006),$AO$1006:$BQ$1006,0)))),"Fix")))</f>
        <v>#N/A</v>
      </c>
      <c r="AA954" s="5" t="e">
        <f ca="1">IF(OR(INDEX($AI$2:$AI$1001,MATCH(ROWS($AH$2:AH954),$AH$2:$AH$1001,0),1)&gt;=100000,INDEX($AO$1005:$BQ$1005,1,MATCH(COLUMNS($AO$1006:BN1006),$AO$1006:$BQ$1006,0))&gt;=100000), " ",IF(INDEX($AO$2:$BQ$1001,MATCH(ROWS($AH$2:AH954),$AH$2:$AH$1001,0),MATCH(COLUMNS($AO$1006:BN1006),$AO$1006:$BQ$1006,0)), HYPERLINK("#",""), HYPERLINK(CONCATENATE("#Metadata!", ADDRESS(INDEX($AJ$2:$AJ$1001,MATCH(ROWS($AH$2:AH954),$AH$2:$AH$1001,0),0), INDEX($AO$1004:$BQ$1004,1,MATCH(COLUMNS($AO$1006:BN1006),$AO$1006:$BQ$1006,0)))),"Fix")))</f>
        <v>#N/A</v>
      </c>
      <c r="AB954" s="5" t="e">
        <f ca="1">IF(OR(INDEX($AI$2:$AI$1001,MATCH(ROWS($AH$2:AH954),$AH$2:$AH$1001,0),1)&gt;=100000,INDEX($AO$1005:$BQ$1005,1,MATCH(COLUMNS($AO$1006:BO1006),$AO$1006:$BQ$1006,0))&gt;=100000), " ",IF(INDEX($AO$2:$BQ$1001,MATCH(ROWS($AH$2:AH954),$AH$2:$AH$1001,0),MATCH(COLUMNS($AO$1006:BO1006),$AO$1006:$BQ$1006,0)), HYPERLINK("#",""), HYPERLINK(CONCATENATE("#Metadata!", ADDRESS(INDEX($AJ$2:$AJ$1001,MATCH(ROWS($AH$2:AH954),$AH$2:$AH$1001,0),0), INDEX($AO$1004:$BQ$1004,1,MATCH(COLUMNS($AO$1006:BO1006),$AO$1006:$BQ$1006,0)))),"Fix")))</f>
        <v>#N/A</v>
      </c>
      <c r="AC954" s="5" t="e">
        <f ca="1">IF(OR(INDEX($AI$2:$AI$1001,MATCH(ROWS($AH$2:AH954),$AH$2:$AH$1001,0),1)&gt;=100000,INDEX($AO$1005:$BQ$1005,1,MATCH(COLUMNS($AO$1006:BP1006),$AO$1006:$BQ$1006,0))&gt;=100000), " ",IF(INDEX($AO$2:$BQ$1001,MATCH(ROWS($AH$2:AH954),$AH$2:$AH$1001,0),MATCH(COLUMNS($AO$1006:BP1006),$AO$1006:$BQ$1006,0)), HYPERLINK("#",""), HYPERLINK(CONCATENATE("#Metadata!", ADDRESS(INDEX($AJ$2:$AJ$1001,MATCH(ROWS($AH$2:AH954),$AH$2:$AH$1001,0),0), INDEX($AO$1004:$BQ$1004,1,MATCH(COLUMNS($AO$1006:BP1006),$AO$1006:$BQ$1006,0)))),"Fix")))</f>
        <v>#N/A</v>
      </c>
      <c r="AD954" s="5" t="e">
        <f ca="1">IF(OR(INDEX($AI$2:$AI$1001,MATCH(ROWS($AH$2:AH954),$AH$2:$AH$1001,0),1)&gt;=100000,INDEX($AO$1005:$BQ$1005,1,MATCH(COLUMNS($AO$1006:BQ1006),$AO$1006:$BQ$1006,0))&gt;=100000), " ",IF(INDEX($AO$2:$BQ$1001,MATCH(ROWS($AH$2:AH954),$AH$2:$AH$1001,0),MATCH(COLUMNS($AO$1006:BQ1006),$AO$1006:$BQ$1006,0)), HYPERLINK("#",""), HYPERLINK(CONCATENATE("#Metadata!", ADDRESS(INDEX($AJ$2:$AJ$1001,MATCH(ROWS($AH$2:AH954),$AH$2:$AH$1001,0),0), INDEX($AO$1004:$BQ$1004,1,MATCH(COLUMNS($AO$1006:BQ1006),$AO$1006:$BQ$1006,0)))),"Fix")))</f>
        <v>#REF!</v>
      </c>
      <c r="AH954">
        <f ca="1"/>
        <v>951</v>
      </c>
      <c r="AI954">
        <v>100954</v>
      </c>
      <c r="AJ954">
        <v>954</v>
      </c>
      <c r="AK954" t="b">
        <f t="shared" si="14"/>
        <v>1</v>
      </c>
      <c r="AL954" t="b">
        <f>COUNTBLANK(Metadata!B954:AD954)=COLUMNS(Metadata!B954:AD954)</f>
        <v>1</v>
      </c>
      <c r="AM954" t="str">
        <v/>
      </c>
      <c r="AO954" t="b">
        <f ca="1">AND(IF(Metadata!B954="",FALSE,TRUE),COUNTIF(Metadata!B:B, Metadata!B954) = 1,NOT(ISERROR(SUMPRODUCT(SEARCH(MID(Metadata!B954,ROW(INDIRECT("1:"&amp;LEN(Metadata!B954))), 1),"0123456789abcdefghijklmnopqrstuvwxyzABCDEFGHIJKLMNOPQRSTUVWXYZ.")))))</f>
        <v>0</v>
      </c>
      <c r="AP954" t="b">
        <f>IF(Metadata!C954="",FALSE,TRUE)</f>
        <v>0</v>
      </c>
      <c r="AQ954" t="b">
        <f>IF(Metadata!D954="",FALSE,TRUE)</f>
        <v>0</v>
      </c>
      <c r="AR954" t="b">
        <f ca="1">OR(AND(IF(Metadata!E954="",FALSE,TRUE),OR(EXACT(Metadata!E954,"not collected"),EXACT(Metadata!E954,"not provided"),EXACT(Metadata!E954,"restricted access"))),AND(IF(Metadata!E954="",FALSE,TRUE),AND(AND(IFERROR(INT(LEFT(Metadata!E954,4))&gt;1900,FALSE),IFERROR(INT(LEFT(Metadata!E954,4))&lt;=YEAR(NOW()),FALSE)), OR(MID(Metadata!E954,5,1)="", AND(AND(MID(Metadata!E954,5,1)="-",IFERROR(INT(MID(Metadata!E954,6,1))&gt;=0,FALSE),IFERROR(INT(MID(Metadata!E954,6,1))&lt;=1,FALSE),NOT(MID(Metadata!E954,7,1)=""),IFERROR(INT(MID(Metadata!E954,6,2))&gt;=1,FALSE),IFERROR(INT(MID(Metadata!E954,6,2))&lt;=12,FALSE)), OR(MID(Metadata!E954,8,1)="", AND(AND(MID(Metadata!E954,8,1)="-",IFERROR(INT(MID(Metadata!E954,9,1))&gt;=0,FALSE),IFERROR(INT(MID(Metadata!E954,9,1))&lt;=3,FALSE),NOT(MID(Metadata!E954,10,1)=""),IFERROR(INT(MID(Metadata!E954,9,2))&gt;=1,FALSE),IFERROR(INT(MID(Metadata!E954,9,2))&lt;=31,FALSE)), OR(MID(Metadata!E954,11,1)="", AND(AND(MID(Metadata!E954,11,1)=" ",IFERROR(INT(MID(Metadata!E954,12,1))&gt;=0,FALSE),IFERROR(INT(MID(Metadata!E954,12,1))&lt;=2,FALSE),NOT(MID(Metadata!E954,13,1)=""),IFERROR(INT(MID(Metadata!E954,12,2))&gt;=0,FALSE),IFERROR(INT(MID(Metadata!E954,12,2))&lt;=23,FALSE)), OR(MID(Metadata!E954,14,1)="", AND(AND(MID(Metadata!E954,14,1)=":",IFERROR(INT(MID(Metadata!E954,15,1))&gt;=0,FALSE),IFERROR(INT(MID(Metadata!E954,15,1))&lt;=5,FALSE),NOT(MID(Metadata!E954,16,1)=""),IFERROR(INT(MID(Metadata!E954,15,2))&gt;=0,FALSE),IFERROR(INT(MID(Metadata!E954,15,2))&lt;=59,FALSE)), OR(MID(Metadata!E954,17,1)="", AND(AND(MID(Metadata!E954,17,1)=":",IFERROR(INT(MID(Metadata!E954,18,1))&gt;=0,FALSE),IFERROR(INT(MID(Metadata!E954,18,1))&lt;=5,FALSE),NOT(MID(Metadata!E954,19,1)=""),IFERROR(INT(MID(Metadata!E954,18,2))&gt;=0,FALSE),IFERROR(INT(MID(Metadata!E954,18,2))&lt;=59,FALSE)), LEN(Metadata!E954)&lt;=19)))))))))))))</f>
        <v>0</v>
      </c>
      <c r="AS954" t="b">
        <f>IF(Metadata!F954="",FALSE,TRUE)</f>
        <v>0</v>
      </c>
      <c r="AT954" t="b">
        <f>OR(AND(IF(Metadata!G954="",FALSE,TRUE),OR(EXACT(Metadata!G954,"not collected"),EXACT(Metadata!G954,"not provided"))),AND(IF(Metadata!G954="",FALSE,TRUE),OR(EXACT(Metadata!G954,"TRUE"),EXACT(Metadata!G954,"FALSE"))))</f>
        <v>0</v>
      </c>
      <c r="AU954" t="b">
        <f>OR(AND(IF(Metadata!H954="",FALSE,TRUE),OR(EXACT(Metadata!H954,"not collected"),EXACT(Metadata!H954,"not provided"),EXACT(Metadata!H954,"restricted access"))),AND(IF(Metadata!H954="",FALSE,ISNUMBER(VALUE(Metadata!H954))),Metadata!H954&gt;=-413))</f>
        <v>0</v>
      </c>
      <c r="AV954" t="b">
        <f>AND(IF(Metadata!I954="",FALSE,TRUE),EXACT(Metadata!I954,"meters"))</f>
        <v>0</v>
      </c>
      <c r="AW954" t="b">
        <f>AND(IF(Metadata!J954="",FALSE,TRUE),EXACT(Metadata!J954,"free-living"))</f>
        <v>0</v>
      </c>
      <c r="AX954" t="b">
        <f>AND(IF(Metadata!K954="",FALSE,TRUE),OR(EXACT(Metadata!K954,"saline"),EXACT(Metadata!K954,"non-saline")))</f>
        <v>0</v>
      </c>
      <c r="AY954" t="b">
        <f>AND(IF(Metadata!L954="",FALSE,TRUE),OR(EXACT(Metadata!L954,"sub-surface (non-saline)"),EXACT(Metadata!L954,"surface (non-saline)"),EXACT(Metadata!L954,"water (non-saline)"),EXACT(Metadata!L954,"soil (non-saline)"),EXACT(Metadata!L954,"aerosol (non-saline)"),EXACT(Metadata!L954,"sediment (non-saline)"),EXACT(Metadata!L954,"surface (saline)"),EXACT(Metadata!L954,"water (saline)"),EXACT(Metadata!L954,"hypersaline (saline)"),EXACT(Metadata!L954,"aerosol (saline)"),EXACT(Metadata!L954,"sediment (saline)")))</f>
        <v>0</v>
      </c>
      <c r="AZ954" t="b">
        <f>IF(Metadata!M954="",FALSE,TRUE)</f>
        <v>0</v>
      </c>
      <c r="BA954" t="b">
        <f>IF(Metadata!N954="",FALSE,TRUE)</f>
        <v>0</v>
      </c>
      <c r="BB954" t="b">
        <f>IF(Metadata!O954="",FALSE,TRUE)</f>
        <v>0</v>
      </c>
      <c r="BC954" t="b">
        <f>AND(IF(Metadata!P954="",FALSE,TRUE),OR(EXACT(Metadata!P954,"air"),EXACT(Metadata!P954,"microbial mat/biofilm"),EXACT(Metadata!P954,"misc environment"),EXACT(Metadata!P954,"sediment"),EXACT(Metadata!P954,"soil"),EXACT(Metadata!P954,"wastewater/sludge"),EXACT(Metadata!P954,"water")))</f>
        <v>0</v>
      </c>
      <c r="BD954" t="b">
        <f>IF(Metadata!Q954="",FALSE,TRUE)</f>
        <v>0</v>
      </c>
      <c r="BE954" t="b">
        <f>IF(Metadata!R954="",FALSE,TRUE)</f>
        <v>0</v>
      </c>
      <c r="BF954" t="b">
        <f>OR(AND(IF(Metadata!S954="",FALSE,TRUE),OR(EXACT(Metadata!S954,"not collected"),EXACT(Metadata!S954,"not provided"),EXACT(Metadata!S954,"restricted access"))),AND(IF(Metadata!S954="",FALSE,ISNUMBER(VALUE(Metadata!S954))),Metadata!S954&gt;=-90,Metadata!S954&lt;=90))</f>
        <v>0</v>
      </c>
      <c r="BG954" t="b">
        <f>AND(IF(Metadata!T954="",FALSE,TRUE),EXACT(Metadata!T954,"Decimal degrees"))</f>
        <v>0</v>
      </c>
      <c r="BH954" t="b">
        <f>OR(AND(IF(Metadata!U954="",FALSE,TRUE),OR(EXACT(Metadata!U954,"not applicable"),EXACT(Metadata!U954,"not collected"))),IF(Metadata!U954="",FALSE,TRUE))</f>
        <v>0</v>
      </c>
      <c r="BI954" t="b">
        <f>OR(AND(IF(Metadata!V954="",FALSE,TRUE),OR(EXACT(Metadata!V954,"not collected"),EXACT(Metadata!V954,"not provided"),EXACT(Metadata!V954,"restricted access"))),AND(IF(Metadata!V954="",FALSE,ISNUMBER(VALUE(Metadata!V954))),Metadata!V954&gt;=-180,Metadata!V954&lt;=180))</f>
        <v>0</v>
      </c>
      <c r="BJ954" t="b">
        <f>AND(IF(Metadata!W954="",FALSE,TRUE),EXACT(Metadata!W954,"Decimal degrees"))</f>
        <v>0</v>
      </c>
      <c r="BK954" t="b">
        <f>IF(Metadata!X954="",FALSE,TRUE)</f>
        <v>0</v>
      </c>
      <c r="BL954" t="b">
        <f>OR(AND(IF(Metadata!Y954="",FALSE,TRUE),OR(EXACT(Metadata!Y954,"not collected"),EXACT(Metadata!Y954,"not provided"),EXACT(Metadata!Y954,"restricted access"))),AND(IF(Metadata!Y954="",FALSE,TRUE),OR(EXACT(Metadata!Y954,"TRUE"),EXACT(Metadata!Y954,"FALSE"))))</f>
        <v>0</v>
      </c>
      <c r="BM954" t="b">
        <f>OR(AND(IF(Metadata!Z954="",FALSE,TRUE),EXACT(Metadata!Z954,"not applicable")),AND(IF(Metadata!Z954="",FALSE,TRUE),OR(EXACT(Metadata!Z954,"beer"),EXACT(Metadata!Z954,"cheese"),EXACT(Metadata!Z954,"fresh water"),EXACT(Metadata!Z954,"marine sediment"),EXACT(Metadata!Z954,"sea water"),EXACT(Metadata!Z954,"sediment"),EXACT(Metadata!Z954,"soil"),EXACT(Metadata!Z954,"waste water"))))</f>
        <v>0</v>
      </c>
      <c r="BN954" t="b">
        <f>AND(IF(Metadata!AA954="",FALSE,TRUE),EXACT(Metadata!AA954,"metagenome"))</f>
        <v>0</v>
      </c>
      <c r="BO954" t="b">
        <f>AND(IF(Metadata!AB954="",FALSE,TRUE),EXACT(Metadata!AB954,"256318"))</f>
        <v>0</v>
      </c>
      <c r="BP954" t="b">
        <f>IF(Metadata!AC954="",FALSE,TRUE)</f>
        <v>0</v>
      </c>
      <c r="BQ954" t="b">
        <f>IF(Metadata!AD954="",FALSE,TRUE)</f>
        <v>0</v>
      </c>
    </row>
    <row r="955" spans="1:69" x14ac:dyDescent="0.2">
      <c r="A955" s="4" t="e">
        <f ca="1">IF(B955=" "," ",HYPERLINK(CONCATENATE("#metadata!",ADDRESS(INDEX($AJ$2:$AJ$1001,MATCH(ROWS($AH$2:AH955),$AH$2:$AH$1001,0),0),2)),INDEX($AM$2:$AM$1001,MATCH(ROWS($AH$2:AH955),$AH$2:$AH$1001,0),0)))</f>
        <v>#N/A</v>
      </c>
      <c r="B955" s="5" t="e">
        <f ca="1">IF(OR(INDEX($AI$2:$AI$1001,MATCH(ROWS($AH$2:AH955),$AH$2:$AH$1001,0),1)&gt;=100000,INDEX($AO$1005:$BQ$1005,1,MATCH(COLUMNS($AO$1006:AO1006),$AO$1006:$BQ$1006,0))&gt;=100000), " ",IF(INDEX($AO$2:$BQ$1001,MATCH(ROWS($AH$2:AH955),$AH$2:$AH$1001,0),MATCH(COLUMNS($AO$1006:AO1006),$AO$1006:$BQ$1006,0)), HYPERLINK("#",""), HYPERLINK(CONCATENATE("#Metadata!", ADDRESS(INDEX($AJ$2:$AJ$1001,MATCH(ROWS($AH$2:AH955),$AH$2:$AH$1001,0),0), INDEX($AO$1004:$BQ$1004,1,MATCH(COLUMNS($AO$1006:AO1006),$AO$1006:$BQ$1006,0)))),"Fix")))</f>
        <v>#N/A</v>
      </c>
      <c r="C955" s="5" t="e">
        <f ca="1">IF(OR(INDEX($AI$2:$AI$1001,MATCH(ROWS($AH$2:AH955),$AH$2:$AH$1001,0),1)&gt;=100000,INDEX($AO$1005:$BQ$1005,1,MATCH(COLUMNS($AO$1006:AP1006),$AO$1006:$BQ$1006,0))&gt;=100000), " ",IF(INDEX($AO$2:$BQ$1001,MATCH(ROWS($AH$2:AH955),$AH$2:$AH$1001,0),MATCH(COLUMNS($AO$1006:AP1006),$AO$1006:$BQ$1006,0)), HYPERLINK("#",""), HYPERLINK(CONCATENATE("#Metadata!", ADDRESS(INDEX($AJ$2:$AJ$1001,MATCH(ROWS($AH$2:AH955),$AH$2:$AH$1001,0),0), INDEX($AO$1004:$BQ$1004,1,MATCH(COLUMNS($AO$1006:AP1006),$AO$1006:$BQ$1006,0)))),"Fix")))</f>
        <v>#N/A</v>
      </c>
      <c r="D955" s="5" t="e">
        <f ca="1">IF(OR(INDEX($AI$2:$AI$1001,MATCH(ROWS($AH$2:AH955),$AH$2:$AH$1001,0),1)&gt;=100000,INDEX($AO$1005:$BQ$1005,1,MATCH(COLUMNS($AO$1006:AQ1006),$AO$1006:$BQ$1006,0))&gt;=100000), " ",IF(INDEX($AO$2:$BQ$1001,MATCH(ROWS($AH$2:AH955),$AH$2:$AH$1001,0),MATCH(COLUMNS($AO$1006:AQ1006),$AO$1006:$BQ$1006,0)), HYPERLINK("#",""), HYPERLINK(CONCATENATE("#Metadata!", ADDRESS(INDEX($AJ$2:$AJ$1001,MATCH(ROWS($AH$2:AH955),$AH$2:$AH$1001,0),0), INDEX($AO$1004:$BQ$1004,1,MATCH(COLUMNS($AO$1006:AQ1006),$AO$1006:$BQ$1006,0)))),"Fix")))</f>
        <v>#N/A</v>
      </c>
      <c r="E955" s="5" t="e">
        <f ca="1">IF(OR(INDEX($AI$2:$AI$1001,MATCH(ROWS($AH$2:AH955),$AH$2:$AH$1001,0),1)&gt;=100000,INDEX($AO$1005:$BQ$1005,1,MATCH(COLUMNS($AO$1006:AR1006),$AO$1006:$BQ$1006,0))&gt;=100000), " ",IF(INDEX($AO$2:$BQ$1001,MATCH(ROWS($AH$2:AH955),$AH$2:$AH$1001,0),MATCH(COLUMNS($AO$1006:AR1006),$AO$1006:$BQ$1006,0)), HYPERLINK("#",""), HYPERLINK(CONCATENATE("#Metadata!", ADDRESS(INDEX($AJ$2:$AJ$1001,MATCH(ROWS($AH$2:AH955),$AH$2:$AH$1001,0),0), INDEX($AO$1004:$BQ$1004,1,MATCH(COLUMNS($AO$1006:AR1006),$AO$1006:$BQ$1006,0)))),"Fix")))</f>
        <v>#N/A</v>
      </c>
      <c r="F955" s="5" t="e">
        <f ca="1">IF(OR(INDEX($AI$2:$AI$1001,MATCH(ROWS($AH$2:AH955),$AH$2:$AH$1001,0),1)&gt;=100000,INDEX($AO$1005:$BQ$1005,1,MATCH(COLUMNS($AO$1006:AS1006),$AO$1006:$BQ$1006,0))&gt;=100000), " ",IF(INDEX($AO$2:$BQ$1001,MATCH(ROWS($AH$2:AH955),$AH$2:$AH$1001,0),MATCH(COLUMNS($AO$1006:AS1006),$AO$1006:$BQ$1006,0)), HYPERLINK("#",""), HYPERLINK(CONCATENATE("#Metadata!", ADDRESS(INDEX($AJ$2:$AJ$1001,MATCH(ROWS($AH$2:AH955),$AH$2:$AH$1001,0),0), INDEX($AO$1004:$BQ$1004,1,MATCH(COLUMNS($AO$1006:AS1006),$AO$1006:$BQ$1006,0)))),"Fix")))</f>
        <v>#N/A</v>
      </c>
      <c r="G955" s="5" t="e">
        <f ca="1">IF(OR(INDEX($AI$2:$AI$1001,MATCH(ROWS($AH$2:AH955),$AH$2:$AH$1001,0),1)&gt;=100000,INDEX($AO$1005:$BQ$1005,1,MATCH(COLUMNS($AO$1006:AT1006),$AO$1006:$BQ$1006,0))&gt;=100000), " ",IF(INDEX($AO$2:$BQ$1001,MATCH(ROWS($AH$2:AH955),$AH$2:$AH$1001,0),MATCH(COLUMNS($AO$1006:AT1006),$AO$1006:$BQ$1006,0)), HYPERLINK("#",""), HYPERLINK(CONCATENATE("#Metadata!", ADDRESS(INDEX($AJ$2:$AJ$1001,MATCH(ROWS($AH$2:AH955),$AH$2:$AH$1001,0),0), INDEX($AO$1004:$BQ$1004,1,MATCH(COLUMNS($AO$1006:AT1006),$AO$1006:$BQ$1006,0)))),"Fix")))</f>
        <v>#N/A</v>
      </c>
      <c r="H955" s="5" t="e">
        <f ca="1">IF(OR(INDEX($AI$2:$AI$1001,MATCH(ROWS($AH$2:AH955),$AH$2:$AH$1001,0),1)&gt;=100000,INDEX($AO$1005:$BQ$1005,1,MATCH(COLUMNS($AO$1006:AU1006),$AO$1006:$BQ$1006,0))&gt;=100000), " ",IF(INDEX($AO$2:$BQ$1001,MATCH(ROWS($AH$2:AH955),$AH$2:$AH$1001,0),MATCH(COLUMNS($AO$1006:AU1006),$AO$1006:$BQ$1006,0)), HYPERLINK("#",""), HYPERLINK(CONCATENATE("#Metadata!", ADDRESS(INDEX($AJ$2:$AJ$1001,MATCH(ROWS($AH$2:AH955),$AH$2:$AH$1001,0),0), INDEX($AO$1004:$BQ$1004,1,MATCH(COLUMNS($AO$1006:AU1006),$AO$1006:$BQ$1006,0)))),"Fix")))</f>
        <v>#N/A</v>
      </c>
      <c r="I955" s="5" t="e">
        <f ca="1">IF(OR(INDEX($AI$2:$AI$1001,MATCH(ROWS($AH$2:AH955),$AH$2:$AH$1001,0),1)&gt;=100000,INDEX($AO$1005:$BQ$1005,1,MATCH(COLUMNS($AO$1006:AV1006),$AO$1006:$BQ$1006,0))&gt;=100000), " ",IF(INDEX($AO$2:$BQ$1001,MATCH(ROWS($AH$2:AH955),$AH$2:$AH$1001,0),MATCH(COLUMNS($AO$1006:AV1006),$AO$1006:$BQ$1006,0)), HYPERLINK("#",""), HYPERLINK(CONCATENATE("#Metadata!", ADDRESS(INDEX($AJ$2:$AJ$1001,MATCH(ROWS($AH$2:AH955),$AH$2:$AH$1001,0),0), INDEX($AO$1004:$BQ$1004,1,MATCH(COLUMNS($AO$1006:AV1006),$AO$1006:$BQ$1006,0)))),"Fix")))</f>
        <v>#N/A</v>
      </c>
      <c r="J955" s="5" t="e">
        <f ca="1">IF(OR(INDEX($AI$2:$AI$1001,MATCH(ROWS($AH$2:AH955),$AH$2:$AH$1001,0),1)&gt;=100000,INDEX($AO$1005:$BQ$1005,1,MATCH(COLUMNS($AO$1006:AW1006),$AO$1006:$BQ$1006,0))&gt;=100000), " ",IF(INDEX($AO$2:$BQ$1001,MATCH(ROWS($AH$2:AH955),$AH$2:$AH$1001,0),MATCH(COLUMNS($AO$1006:AW1006),$AO$1006:$BQ$1006,0)), HYPERLINK("#",""), HYPERLINK(CONCATENATE("#Metadata!", ADDRESS(INDEX($AJ$2:$AJ$1001,MATCH(ROWS($AH$2:AH955),$AH$2:$AH$1001,0),0), INDEX($AO$1004:$BQ$1004,1,MATCH(COLUMNS($AO$1006:AW1006),$AO$1006:$BQ$1006,0)))),"Fix")))</f>
        <v>#N/A</v>
      </c>
      <c r="K955" s="5" t="e">
        <f ca="1">IF(OR(INDEX($AI$2:$AI$1001,MATCH(ROWS($AH$2:AH955),$AH$2:$AH$1001,0),1)&gt;=100000,INDEX($AO$1005:$BQ$1005,1,MATCH(COLUMNS($AO$1006:AX1006),$AO$1006:$BQ$1006,0))&gt;=100000), " ",IF(INDEX($AO$2:$BQ$1001,MATCH(ROWS($AH$2:AH955),$AH$2:$AH$1001,0),MATCH(COLUMNS($AO$1006:AX1006),$AO$1006:$BQ$1006,0)), HYPERLINK("#",""), HYPERLINK(CONCATENATE("#Metadata!", ADDRESS(INDEX($AJ$2:$AJ$1001,MATCH(ROWS($AH$2:AH955),$AH$2:$AH$1001,0),0), INDEX($AO$1004:$BQ$1004,1,MATCH(COLUMNS($AO$1006:AX1006),$AO$1006:$BQ$1006,0)))),"Fix")))</f>
        <v>#N/A</v>
      </c>
      <c r="L955" s="5" t="e">
        <f ca="1">IF(OR(INDEX($AI$2:$AI$1001,MATCH(ROWS($AH$2:AH955),$AH$2:$AH$1001,0),1)&gt;=100000,INDEX($AO$1005:$BQ$1005,1,MATCH(COLUMNS($AO$1006:AY1006),$AO$1006:$BQ$1006,0))&gt;=100000), " ",IF(INDEX($AO$2:$BQ$1001,MATCH(ROWS($AH$2:AH955),$AH$2:$AH$1001,0),MATCH(COLUMNS($AO$1006:AY1006),$AO$1006:$BQ$1006,0)), HYPERLINK("#",""), HYPERLINK(CONCATENATE("#Metadata!", ADDRESS(INDEX($AJ$2:$AJ$1001,MATCH(ROWS($AH$2:AH955),$AH$2:$AH$1001,0),0), INDEX($AO$1004:$BQ$1004,1,MATCH(COLUMNS($AO$1006:AY1006),$AO$1006:$BQ$1006,0)))),"Fix")))</f>
        <v>#N/A</v>
      </c>
      <c r="M955" s="5" t="e">
        <f ca="1">IF(OR(INDEX($AI$2:$AI$1001,MATCH(ROWS($AH$2:AH955),$AH$2:$AH$1001,0),1)&gt;=100000,INDEX($AO$1005:$BQ$1005,1,MATCH(COLUMNS($AO$1006:AZ1006),$AO$1006:$BQ$1006,0))&gt;=100000), " ",IF(INDEX($AO$2:$BQ$1001,MATCH(ROWS($AH$2:AH955),$AH$2:$AH$1001,0),MATCH(COLUMNS($AO$1006:AZ1006),$AO$1006:$BQ$1006,0)), HYPERLINK("#",""), HYPERLINK(CONCATENATE("#Metadata!", ADDRESS(INDEX($AJ$2:$AJ$1001,MATCH(ROWS($AH$2:AH955),$AH$2:$AH$1001,0),0), INDEX($AO$1004:$BQ$1004,1,MATCH(COLUMNS($AO$1006:AZ1006),$AO$1006:$BQ$1006,0)))),"Fix")))</f>
        <v>#N/A</v>
      </c>
      <c r="N955" s="5" t="e">
        <f ca="1">IF(OR(INDEX($AI$2:$AI$1001,MATCH(ROWS($AH$2:AH955),$AH$2:$AH$1001,0),1)&gt;=100000,INDEX($AO$1005:$BQ$1005,1,MATCH(COLUMNS($AO$1006:BA1006),$AO$1006:$BQ$1006,0))&gt;=100000), " ",IF(INDEX($AO$2:$BQ$1001,MATCH(ROWS($AH$2:AH955),$AH$2:$AH$1001,0),MATCH(COLUMNS($AO$1006:BA1006),$AO$1006:$BQ$1006,0)), HYPERLINK("#",""), HYPERLINK(CONCATENATE("#Metadata!", ADDRESS(INDEX($AJ$2:$AJ$1001,MATCH(ROWS($AH$2:AH955),$AH$2:$AH$1001,0),0), INDEX($AO$1004:$BQ$1004,1,MATCH(COLUMNS($AO$1006:BA1006),$AO$1006:$BQ$1006,0)))),"Fix")))</f>
        <v>#N/A</v>
      </c>
      <c r="O955" s="5" t="e">
        <f ca="1">IF(OR(INDEX($AI$2:$AI$1001,MATCH(ROWS($AH$2:AH955),$AH$2:$AH$1001,0),1)&gt;=100000,INDEX($AO$1005:$BQ$1005,1,MATCH(COLUMNS($AO$1006:BB1006),$AO$1006:$BQ$1006,0))&gt;=100000), " ",IF(INDEX($AO$2:$BQ$1001,MATCH(ROWS($AH$2:AH955),$AH$2:$AH$1001,0),MATCH(COLUMNS($AO$1006:BB1006),$AO$1006:$BQ$1006,0)), HYPERLINK("#",""), HYPERLINK(CONCATENATE("#Metadata!", ADDRESS(INDEX($AJ$2:$AJ$1001,MATCH(ROWS($AH$2:AH955),$AH$2:$AH$1001,0),0), INDEX($AO$1004:$BQ$1004,1,MATCH(COLUMNS($AO$1006:BB1006),$AO$1006:$BQ$1006,0)))),"Fix")))</f>
        <v>#N/A</v>
      </c>
      <c r="P955" s="5" t="e">
        <f ca="1">IF(OR(INDEX($AI$2:$AI$1001,MATCH(ROWS($AH$2:AH955),$AH$2:$AH$1001,0),1)&gt;=100000,INDEX($AO$1005:$BQ$1005,1,MATCH(COLUMNS($AO$1006:BC1006),$AO$1006:$BQ$1006,0))&gt;=100000), " ",IF(INDEX($AO$2:$BQ$1001,MATCH(ROWS($AH$2:AH955),$AH$2:$AH$1001,0),MATCH(COLUMNS($AO$1006:BC1006),$AO$1006:$BQ$1006,0)), HYPERLINK("#",""), HYPERLINK(CONCATENATE("#Metadata!", ADDRESS(INDEX($AJ$2:$AJ$1001,MATCH(ROWS($AH$2:AH955),$AH$2:$AH$1001,0),0), INDEX($AO$1004:$BQ$1004,1,MATCH(COLUMNS($AO$1006:BC1006),$AO$1006:$BQ$1006,0)))),"Fix")))</f>
        <v>#N/A</v>
      </c>
      <c r="Q955" s="5" t="e">
        <f ca="1">IF(OR(INDEX($AI$2:$AI$1001,MATCH(ROWS($AH$2:AH955),$AH$2:$AH$1001,0),1)&gt;=100000,INDEX($AO$1005:$BQ$1005,1,MATCH(COLUMNS($AO$1006:BD1006),$AO$1006:$BQ$1006,0))&gt;=100000), " ",IF(INDEX($AO$2:$BQ$1001,MATCH(ROWS($AH$2:AH955),$AH$2:$AH$1001,0),MATCH(COLUMNS($AO$1006:BD1006),$AO$1006:$BQ$1006,0)), HYPERLINK("#",""), HYPERLINK(CONCATENATE("#Metadata!", ADDRESS(INDEX($AJ$2:$AJ$1001,MATCH(ROWS($AH$2:AH955),$AH$2:$AH$1001,0),0), INDEX($AO$1004:$BQ$1004,1,MATCH(COLUMNS($AO$1006:BD1006),$AO$1006:$BQ$1006,0)))),"Fix")))</f>
        <v>#N/A</v>
      </c>
      <c r="R955" s="5" t="e">
        <f ca="1">IF(OR(INDEX($AI$2:$AI$1001,MATCH(ROWS($AH$2:AH955),$AH$2:$AH$1001,0),1)&gt;=100000,INDEX($AO$1005:$BQ$1005,1,MATCH(COLUMNS($AO$1006:BE1006),$AO$1006:$BQ$1006,0))&gt;=100000), " ",IF(INDEX($AO$2:$BQ$1001,MATCH(ROWS($AH$2:AH955),$AH$2:$AH$1001,0),MATCH(COLUMNS($AO$1006:BE1006),$AO$1006:$BQ$1006,0)), HYPERLINK("#",""), HYPERLINK(CONCATENATE("#Metadata!", ADDRESS(INDEX($AJ$2:$AJ$1001,MATCH(ROWS($AH$2:AH955),$AH$2:$AH$1001,0),0), INDEX($AO$1004:$BQ$1004,1,MATCH(COLUMNS($AO$1006:BE1006),$AO$1006:$BQ$1006,0)))),"Fix")))</f>
        <v>#N/A</v>
      </c>
      <c r="S955" s="5" t="e">
        <f ca="1">IF(OR(INDEX($AI$2:$AI$1001,MATCH(ROWS($AH$2:AH955),$AH$2:$AH$1001,0),1)&gt;=100000,INDEX($AO$1005:$BQ$1005,1,MATCH(COLUMNS($AO$1006:BF1006),$AO$1006:$BQ$1006,0))&gt;=100000), " ",IF(INDEX($AO$2:$BQ$1001,MATCH(ROWS($AH$2:AH955),$AH$2:$AH$1001,0),MATCH(COLUMNS($AO$1006:BF1006),$AO$1006:$BQ$1006,0)), HYPERLINK("#",""), HYPERLINK(CONCATENATE("#Metadata!", ADDRESS(INDEX($AJ$2:$AJ$1001,MATCH(ROWS($AH$2:AH955),$AH$2:$AH$1001,0),0), INDEX($AO$1004:$BQ$1004,1,MATCH(COLUMNS($AO$1006:BF1006),$AO$1006:$BQ$1006,0)))),"Fix")))</f>
        <v>#N/A</v>
      </c>
      <c r="T955" s="5" t="e">
        <f ca="1">IF(OR(INDEX($AI$2:$AI$1001,MATCH(ROWS($AH$2:AH955),$AH$2:$AH$1001,0),1)&gt;=100000,INDEX($AO$1005:$BQ$1005,1,MATCH(COLUMNS($AO$1006:BG1006),$AO$1006:$BQ$1006,0))&gt;=100000), " ",IF(INDEX($AO$2:$BQ$1001,MATCH(ROWS($AH$2:AH955),$AH$2:$AH$1001,0),MATCH(COLUMNS($AO$1006:BG1006),$AO$1006:$BQ$1006,0)), HYPERLINK("#",""), HYPERLINK(CONCATENATE("#Metadata!", ADDRESS(INDEX($AJ$2:$AJ$1001,MATCH(ROWS($AH$2:AH955),$AH$2:$AH$1001,0),0), INDEX($AO$1004:$BQ$1004,1,MATCH(COLUMNS($AO$1006:BG1006),$AO$1006:$BQ$1006,0)))),"Fix")))</f>
        <v>#N/A</v>
      </c>
      <c r="U955" s="5" t="e">
        <f ca="1">IF(OR(INDEX($AI$2:$AI$1001,MATCH(ROWS($AH$2:AH955),$AH$2:$AH$1001,0),1)&gt;=100000,INDEX($AO$1005:$BQ$1005,1,MATCH(COLUMNS($AO$1006:BH1006),$AO$1006:$BQ$1006,0))&gt;=100000), " ",IF(INDEX($AO$2:$BQ$1001,MATCH(ROWS($AH$2:AH955),$AH$2:$AH$1001,0),MATCH(COLUMNS($AO$1006:BH1006),$AO$1006:$BQ$1006,0)), HYPERLINK("#",""), HYPERLINK(CONCATENATE("#Metadata!", ADDRESS(INDEX($AJ$2:$AJ$1001,MATCH(ROWS($AH$2:AH955),$AH$2:$AH$1001,0),0), INDEX($AO$1004:$BQ$1004,1,MATCH(COLUMNS($AO$1006:BH1006),$AO$1006:$BQ$1006,0)))),"Fix")))</f>
        <v>#N/A</v>
      </c>
      <c r="V955" s="5" t="e">
        <f ca="1">IF(OR(INDEX($AI$2:$AI$1001,MATCH(ROWS($AH$2:AH955),$AH$2:$AH$1001,0),1)&gt;=100000,INDEX($AO$1005:$BQ$1005,1,MATCH(COLUMNS($AO$1006:BI1006),$AO$1006:$BQ$1006,0))&gt;=100000), " ",IF(INDEX($AO$2:$BQ$1001,MATCH(ROWS($AH$2:AH955),$AH$2:$AH$1001,0),MATCH(COLUMNS($AO$1006:BI1006),$AO$1006:$BQ$1006,0)), HYPERLINK("#",""), HYPERLINK(CONCATENATE("#Metadata!", ADDRESS(INDEX($AJ$2:$AJ$1001,MATCH(ROWS($AH$2:AH955),$AH$2:$AH$1001,0),0), INDEX($AO$1004:$BQ$1004,1,MATCH(COLUMNS($AO$1006:BI1006),$AO$1006:$BQ$1006,0)))),"Fix")))</f>
        <v>#N/A</v>
      </c>
      <c r="W955" s="5" t="e">
        <f ca="1">IF(OR(INDEX($AI$2:$AI$1001,MATCH(ROWS($AH$2:AH955),$AH$2:$AH$1001,0),1)&gt;=100000,INDEX($AO$1005:$BQ$1005,1,MATCH(COLUMNS($AO$1006:BJ1006),$AO$1006:$BQ$1006,0))&gt;=100000), " ",IF(INDEX($AO$2:$BQ$1001,MATCH(ROWS($AH$2:AH955),$AH$2:$AH$1001,0),MATCH(COLUMNS($AO$1006:BJ1006),$AO$1006:$BQ$1006,0)), HYPERLINK("#",""), HYPERLINK(CONCATENATE("#Metadata!", ADDRESS(INDEX($AJ$2:$AJ$1001,MATCH(ROWS($AH$2:AH955),$AH$2:$AH$1001,0),0), INDEX($AO$1004:$BQ$1004,1,MATCH(COLUMNS($AO$1006:BJ1006),$AO$1006:$BQ$1006,0)))),"Fix")))</f>
        <v>#N/A</v>
      </c>
      <c r="X955" s="5" t="e">
        <f ca="1">IF(OR(INDEX($AI$2:$AI$1001,MATCH(ROWS($AH$2:AH955),$AH$2:$AH$1001,0),1)&gt;=100000,INDEX($AO$1005:$BQ$1005,1,MATCH(COLUMNS($AO$1006:BK1006),$AO$1006:$BQ$1006,0))&gt;=100000), " ",IF(INDEX($AO$2:$BQ$1001,MATCH(ROWS($AH$2:AH955),$AH$2:$AH$1001,0),MATCH(COLUMNS($AO$1006:BK1006),$AO$1006:$BQ$1006,0)), HYPERLINK("#",""), HYPERLINK(CONCATENATE("#Metadata!", ADDRESS(INDEX($AJ$2:$AJ$1001,MATCH(ROWS($AH$2:AH955),$AH$2:$AH$1001,0),0), INDEX($AO$1004:$BQ$1004,1,MATCH(COLUMNS($AO$1006:BK1006),$AO$1006:$BQ$1006,0)))),"Fix")))</f>
        <v>#N/A</v>
      </c>
      <c r="Y955" s="5" t="e">
        <f ca="1">IF(OR(INDEX($AI$2:$AI$1001,MATCH(ROWS($AH$2:AH955),$AH$2:$AH$1001,0),1)&gt;=100000,INDEX($AO$1005:$BQ$1005,1,MATCH(COLUMNS($AO$1006:BL1006),$AO$1006:$BQ$1006,0))&gt;=100000), " ",IF(INDEX($AO$2:$BQ$1001,MATCH(ROWS($AH$2:AH955),$AH$2:$AH$1001,0),MATCH(COLUMNS($AO$1006:BL1006),$AO$1006:$BQ$1006,0)), HYPERLINK("#",""), HYPERLINK(CONCATENATE("#Metadata!", ADDRESS(INDEX($AJ$2:$AJ$1001,MATCH(ROWS($AH$2:AH955),$AH$2:$AH$1001,0),0), INDEX($AO$1004:$BQ$1004,1,MATCH(COLUMNS($AO$1006:BL1006),$AO$1006:$BQ$1006,0)))),"Fix")))</f>
        <v>#N/A</v>
      </c>
      <c r="Z955" s="5" t="e">
        <f ca="1">IF(OR(INDEX($AI$2:$AI$1001,MATCH(ROWS($AH$2:AH955),$AH$2:$AH$1001,0),1)&gt;=100000,INDEX($AO$1005:$BQ$1005,1,MATCH(COLUMNS($AO$1006:BM1006),$AO$1006:$BQ$1006,0))&gt;=100000), " ",IF(INDEX($AO$2:$BQ$1001,MATCH(ROWS($AH$2:AH955),$AH$2:$AH$1001,0),MATCH(COLUMNS($AO$1006:BM1006),$AO$1006:$BQ$1006,0)), HYPERLINK("#",""), HYPERLINK(CONCATENATE("#Metadata!", ADDRESS(INDEX($AJ$2:$AJ$1001,MATCH(ROWS($AH$2:AH955),$AH$2:$AH$1001,0),0), INDEX($AO$1004:$BQ$1004,1,MATCH(COLUMNS($AO$1006:BM1006),$AO$1006:$BQ$1006,0)))),"Fix")))</f>
        <v>#N/A</v>
      </c>
      <c r="AA955" s="5" t="e">
        <f ca="1">IF(OR(INDEX($AI$2:$AI$1001,MATCH(ROWS($AH$2:AH955),$AH$2:$AH$1001,0),1)&gt;=100000,INDEX($AO$1005:$BQ$1005,1,MATCH(COLUMNS($AO$1006:BN1006),$AO$1006:$BQ$1006,0))&gt;=100000), " ",IF(INDEX($AO$2:$BQ$1001,MATCH(ROWS($AH$2:AH955),$AH$2:$AH$1001,0),MATCH(COLUMNS($AO$1006:BN1006),$AO$1006:$BQ$1006,0)), HYPERLINK("#",""), HYPERLINK(CONCATENATE("#Metadata!", ADDRESS(INDEX($AJ$2:$AJ$1001,MATCH(ROWS($AH$2:AH955),$AH$2:$AH$1001,0),0), INDEX($AO$1004:$BQ$1004,1,MATCH(COLUMNS($AO$1006:BN1006),$AO$1006:$BQ$1006,0)))),"Fix")))</f>
        <v>#N/A</v>
      </c>
      <c r="AB955" s="5" t="e">
        <f ca="1">IF(OR(INDEX($AI$2:$AI$1001,MATCH(ROWS($AH$2:AH955),$AH$2:$AH$1001,0),1)&gt;=100000,INDEX($AO$1005:$BQ$1005,1,MATCH(COLUMNS($AO$1006:BO1006),$AO$1006:$BQ$1006,0))&gt;=100000), " ",IF(INDEX($AO$2:$BQ$1001,MATCH(ROWS($AH$2:AH955),$AH$2:$AH$1001,0),MATCH(COLUMNS($AO$1006:BO1006),$AO$1006:$BQ$1006,0)), HYPERLINK("#",""), HYPERLINK(CONCATENATE("#Metadata!", ADDRESS(INDEX($AJ$2:$AJ$1001,MATCH(ROWS($AH$2:AH955),$AH$2:$AH$1001,0),0), INDEX($AO$1004:$BQ$1004,1,MATCH(COLUMNS($AO$1006:BO1006),$AO$1006:$BQ$1006,0)))),"Fix")))</f>
        <v>#N/A</v>
      </c>
      <c r="AC955" s="5" t="e">
        <f ca="1">IF(OR(INDEX($AI$2:$AI$1001,MATCH(ROWS($AH$2:AH955),$AH$2:$AH$1001,0),1)&gt;=100000,INDEX($AO$1005:$BQ$1005,1,MATCH(COLUMNS($AO$1006:BP1006),$AO$1006:$BQ$1006,0))&gt;=100000), " ",IF(INDEX($AO$2:$BQ$1001,MATCH(ROWS($AH$2:AH955),$AH$2:$AH$1001,0),MATCH(COLUMNS($AO$1006:BP1006),$AO$1006:$BQ$1006,0)), HYPERLINK("#",""), HYPERLINK(CONCATENATE("#Metadata!", ADDRESS(INDEX($AJ$2:$AJ$1001,MATCH(ROWS($AH$2:AH955),$AH$2:$AH$1001,0),0), INDEX($AO$1004:$BQ$1004,1,MATCH(COLUMNS($AO$1006:BP1006),$AO$1006:$BQ$1006,0)))),"Fix")))</f>
        <v>#N/A</v>
      </c>
      <c r="AD955" s="5" t="e">
        <f ca="1">IF(OR(INDEX($AI$2:$AI$1001,MATCH(ROWS($AH$2:AH955),$AH$2:$AH$1001,0),1)&gt;=100000,INDEX($AO$1005:$BQ$1005,1,MATCH(COLUMNS($AO$1006:BQ1006),$AO$1006:$BQ$1006,0))&gt;=100000), " ",IF(INDEX($AO$2:$BQ$1001,MATCH(ROWS($AH$2:AH955),$AH$2:$AH$1001,0),MATCH(COLUMNS($AO$1006:BQ1006),$AO$1006:$BQ$1006,0)), HYPERLINK("#",""), HYPERLINK(CONCATENATE("#Metadata!", ADDRESS(INDEX($AJ$2:$AJ$1001,MATCH(ROWS($AH$2:AH955),$AH$2:$AH$1001,0),0), INDEX($AO$1004:$BQ$1004,1,MATCH(COLUMNS($AO$1006:BQ1006),$AO$1006:$BQ$1006,0)))),"Fix")))</f>
        <v>#REF!</v>
      </c>
      <c r="AH955">
        <f ca="1"/>
        <v>952</v>
      </c>
      <c r="AI955">
        <v>100955</v>
      </c>
      <c r="AJ955">
        <v>955</v>
      </c>
      <c r="AK955" t="b">
        <f t="shared" si="14"/>
        <v>1</v>
      </c>
      <c r="AL955" t="b">
        <f>COUNTBLANK(Metadata!B955:AD955)=COLUMNS(Metadata!B955:AD955)</f>
        <v>1</v>
      </c>
      <c r="AM955" t="str">
        <v/>
      </c>
      <c r="AO955" t="b">
        <f ca="1">AND(IF(Metadata!B955="",FALSE,TRUE),COUNTIF(Metadata!B:B, Metadata!B955) = 1,NOT(ISERROR(SUMPRODUCT(SEARCH(MID(Metadata!B955,ROW(INDIRECT("1:"&amp;LEN(Metadata!B955))), 1),"0123456789abcdefghijklmnopqrstuvwxyzABCDEFGHIJKLMNOPQRSTUVWXYZ.")))))</f>
        <v>0</v>
      </c>
      <c r="AP955" t="b">
        <f>IF(Metadata!C955="",FALSE,TRUE)</f>
        <v>0</v>
      </c>
      <c r="AQ955" t="b">
        <f>IF(Metadata!D955="",FALSE,TRUE)</f>
        <v>0</v>
      </c>
      <c r="AR955" t="b">
        <f ca="1">OR(AND(IF(Metadata!E955="",FALSE,TRUE),OR(EXACT(Metadata!E955,"not collected"),EXACT(Metadata!E955,"not provided"),EXACT(Metadata!E955,"restricted access"))),AND(IF(Metadata!E955="",FALSE,TRUE),AND(AND(IFERROR(INT(LEFT(Metadata!E955,4))&gt;1900,FALSE),IFERROR(INT(LEFT(Metadata!E955,4))&lt;=YEAR(NOW()),FALSE)), OR(MID(Metadata!E955,5,1)="", AND(AND(MID(Metadata!E955,5,1)="-",IFERROR(INT(MID(Metadata!E955,6,1))&gt;=0,FALSE),IFERROR(INT(MID(Metadata!E955,6,1))&lt;=1,FALSE),NOT(MID(Metadata!E955,7,1)=""),IFERROR(INT(MID(Metadata!E955,6,2))&gt;=1,FALSE),IFERROR(INT(MID(Metadata!E955,6,2))&lt;=12,FALSE)), OR(MID(Metadata!E955,8,1)="", AND(AND(MID(Metadata!E955,8,1)="-",IFERROR(INT(MID(Metadata!E955,9,1))&gt;=0,FALSE),IFERROR(INT(MID(Metadata!E955,9,1))&lt;=3,FALSE),NOT(MID(Metadata!E955,10,1)=""),IFERROR(INT(MID(Metadata!E955,9,2))&gt;=1,FALSE),IFERROR(INT(MID(Metadata!E955,9,2))&lt;=31,FALSE)), OR(MID(Metadata!E955,11,1)="", AND(AND(MID(Metadata!E955,11,1)=" ",IFERROR(INT(MID(Metadata!E955,12,1))&gt;=0,FALSE),IFERROR(INT(MID(Metadata!E955,12,1))&lt;=2,FALSE),NOT(MID(Metadata!E955,13,1)=""),IFERROR(INT(MID(Metadata!E955,12,2))&gt;=0,FALSE),IFERROR(INT(MID(Metadata!E955,12,2))&lt;=23,FALSE)), OR(MID(Metadata!E955,14,1)="", AND(AND(MID(Metadata!E955,14,1)=":",IFERROR(INT(MID(Metadata!E955,15,1))&gt;=0,FALSE),IFERROR(INT(MID(Metadata!E955,15,1))&lt;=5,FALSE),NOT(MID(Metadata!E955,16,1)=""),IFERROR(INT(MID(Metadata!E955,15,2))&gt;=0,FALSE),IFERROR(INT(MID(Metadata!E955,15,2))&lt;=59,FALSE)), OR(MID(Metadata!E955,17,1)="", AND(AND(MID(Metadata!E955,17,1)=":",IFERROR(INT(MID(Metadata!E955,18,1))&gt;=0,FALSE),IFERROR(INT(MID(Metadata!E955,18,1))&lt;=5,FALSE),NOT(MID(Metadata!E955,19,1)=""),IFERROR(INT(MID(Metadata!E955,18,2))&gt;=0,FALSE),IFERROR(INT(MID(Metadata!E955,18,2))&lt;=59,FALSE)), LEN(Metadata!E955)&lt;=19)))))))))))))</f>
        <v>0</v>
      </c>
      <c r="AS955" t="b">
        <f>IF(Metadata!F955="",FALSE,TRUE)</f>
        <v>0</v>
      </c>
      <c r="AT955" t="b">
        <f>OR(AND(IF(Metadata!G955="",FALSE,TRUE),OR(EXACT(Metadata!G955,"not collected"),EXACT(Metadata!G955,"not provided"))),AND(IF(Metadata!G955="",FALSE,TRUE),OR(EXACT(Metadata!G955,"TRUE"),EXACT(Metadata!G955,"FALSE"))))</f>
        <v>0</v>
      </c>
      <c r="AU955" t="b">
        <f>OR(AND(IF(Metadata!H955="",FALSE,TRUE),OR(EXACT(Metadata!H955,"not collected"),EXACT(Metadata!H955,"not provided"),EXACT(Metadata!H955,"restricted access"))),AND(IF(Metadata!H955="",FALSE,ISNUMBER(VALUE(Metadata!H955))),Metadata!H955&gt;=-413))</f>
        <v>0</v>
      </c>
      <c r="AV955" t="b">
        <f>AND(IF(Metadata!I955="",FALSE,TRUE),EXACT(Metadata!I955,"meters"))</f>
        <v>0</v>
      </c>
      <c r="AW955" t="b">
        <f>AND(IF(Metadata!J955="",FALSE,TRUE),EXACT(Metadata!J955,"free-living"))</f>
        <v>0</v>
      </c>
      <c r="AX955" t="b">
        <f>AND(IF(Metadata!K955="",FALSE,TRUE),OR(EXACT(Metadata!K955,"saline"),EXACT(Metadata!K955,"non-saline")))</f>
        <v>0</v>
      </c>
      <c r="AY955" t="b">
        <f>AND(IF(Metadata!L955="",FALSE,TRUE),OR(EXACT(Metadata!L955,"sub-surface (non-saline)"),EXACT(Metadata!L955,"surface (non-saline)"),EXACT(Metadata!L955,"water (non-saline)"),EXACT(Metadata!L955,"soil (non-saline)"),EXACT(Metadata!L955,"aerosol (non-saline)"),EXACT(Metadata!L955,"sediment (non-saline)"),EXACT(Metadata!L955,"surface (saline)"),EXACT(Metadata!L955,"water (saline)"),EXACT(Metadata!L955,"hypersaline (saline)"),EXACT(Metadata!L955,"aerosol (saline)"),EXACT(Metadata!L955,"sediment (saline)")))</f>
        <v>0</v>
      </c>
      <c r="AZ955" t="b">
        <f>IF(Metadata!M955="",FALSE,TRUE)</f>
        <v>0</v>
      </c>
      <c r="BA955" t="b">
        <f>IF(Metadata!N955="",FALSE,TRUE)</f>
        <v>0</v>
      </c>
      <c r="BB955" t="b">
        <f>IF(Metadata!O955="",FALSE,TRUE)</f>
        <v>0</v>
      </c>
      <c r="BC955" t="b">
        <f>AND(IF(Metadata!P955="",FALSE,TRUE),OR(EXACT(Metadata!P955,"air"),EXACT(Metadata!P955,"microbial mat/biofilm"),EXACT(Metadata!P955,"misc environment"),EXACT(Metadata!P955,"sediment"),EXACT(Metadata!P955,"soil"),EXACT(Metadata!P955,"wastewater/sludge"),EXACT(Metadata!P955,"water")))</f>
        <v>0</v>
      </c>
      <c r="BD955" t="b">
        <f>IF(Metadata!Q955="",FALSE,TRUE)</f>
        <v>0</v>
      </c>
      <c r="BE955" t="b">
        <f>IF(Metadata!R955="",FALSE,TRUE)</f>
        <v>0</v>
      </c>
      <c r="BF955" t="b">
        <f>OR(AND(IF(Metadata!S955="",FALSE,TRUE),OR(EXACT(Metadata!S955,"not collected"),EXACT(Metadata!S955,"not provided"),EXACT(Metadata!S955,"restricted access"))),AND(IF(Metadata!S955="",FALSE,ISNUMBER(VALUE(Metadata!S955))),Metadata!S955&gt;=-90,Metadata!S955&lt;=90))</f>
        <v>0</v>
      </c>
      <c r="BG955" t="b">
        <f>AND(IF(Metadata!T955="",FALSE,TRUE),EXACT(Metadata!T955,"Decimal degrees"))</f>
        <v>0</v>
      </c>
      <c r="BH955" t="b">
        <f>OR(AND(IF(Metadata!U955="",FALSE,TRUE),OR(EXACT(Metadata!U955,"not applicable"),EXACT(Metadata!U955,"not collected"))),IF(Metadata!U955="",FALSE,TRUE))</f>
        <v>0</v>
      </c>
      <c r="BI955" t="b">
        <f>OR(AND(IF(Metadata!V955="",FALSE,TRUE),OR(EXACT(Metadata!V955,"not collected"),EXACT(Metadata!V955,"not provided"),EXACT(Metadata!V955,"restricted access"))),AND(IF(Metadata!V955="",FALSE,ISNUMBER(VALUE(Metadata!V955))),Metadata!V955&gt;=-180,Metadata!V955&lt;=180))</f>
        <v>0</v>
      </c>
      <c r="BJ955" t="b">
        <f>AND(IF(Metadata!W955="",FALSE,TRUE),EXACT(Metadata!W955,"Decimal degrees"))</f>
        <v>0</v>
      </c>
      <c r="BK955" t="b">
        <f>IF(Metadata!X955="",FALSE,TRUE)</f>
        <v>0</v>
      </c>
      <c r="BL955" t="b">
        <f>OR(AND(IF(Metadata!Y955="",FALSE,TRUE),OR(EXACT(Metadata!Y955,"not collected"),EXACT(Metadata!Y955,"not provided"),EXACT(Metadata!Y955,"restricted access"))),AND(IF(Metadata!Y955="",FALSE,TRUE),OR(EXACT(Metadata!Y955,"TRUE"),EXACT(Metadata!Y955,"FALSE"))))</f>
        <v>0</v>
      </c>
      <c r="BM955" t="b">
        <f>OR(AND(IF(Metadata!Z955="",FALSE,TRUE),EXACT(Metadata!Z955,"not applicable")),AND(IF(Metadata!Z955="",FALSE,TRUE),OR(EXACT(Metadata!Z955,"beer"),EXACT(Metadata!Z955,"cheese"),EXACT(Metadata!Z955,"fresh water"),EXACT(Metadata!Z955,"marine sediment"),EXACT(Metadata!Z955,"sea water"),EXACT(Metadata!Z955,"sediment"),EXACT(Metadata!Z955,"soil"),EXACT(Metadata!Z955,"waste water"))))</f>
        <v>0</v>
      </c>
      <c r="BN955" t="b">
        <f>AND(IF(Metadata!AA955="",FALSE,TRUE),EXACT(Metadata!AA955,"metagenome"))</f>
        <v>0</v>
      </c>
      <c r="BO955" t="b">
        <f>AND(IF(Metadata!AB955="",FALSE,TRUE),EXACT(Metadata!AB955,"256318"))</f>
        <v>0</v>
      </c>
      <c r="BP955" t="b">
        <f>IF(Metadata!AC955="",FALSE,TRUE)</f>
        <v>0</v>
      </c>
      <c r="BQ955" t="b">
        <f>IF(Metadata!AD955="",FALSE,TRUE)</f>
        <v>0</v>
      </c>
    </row>
    <row r="956" spans="1:69" x14ac:dyDescent="0.2">
      <c r="A956" s="4" t="e">
        <f ca="1">IF(B956=" "," ",HYPERLINK(CONCATENATE("#metadata!",ADDRESS(INDEX($AJ$2:$AJ$1001,MATCH(ROWS($AH$2:AH956),$AH$2:$AH$1001,0),0),2)),INDEX($AM$2:$AM$1001,MATCH(ROWS($AH$2:AH956),$AH$2:$AH$1001,0),0)))</f>
        <v>#N/A</v>
      </c>
      <c r="B956" s="5" t="e">
        <f ca="1">IF(OR(INDEX($AI$2:$AI$1001,MATCH(ROWS($AH$2:AH956),$AH$2:$AH$1001,0),1)&gt;=100000,INDEX($AO$1005:$BQ$1005,1,MATCH(COLUMNS($AO$1006:AO1006),$AO$1006:$BQ$1006,0))&gt;=100000), " ",IF(INDEX($AO$2:$BQ$1001,MATCH(ROWS($AH$2:AH956),$AH$2:$AH$1001,0),MATCH(COLUMNS($AO$1006:AO1006),$AO$1006:$BQ$1006,0)), HYPERLINK("#",""), HYPERLINK(CONCATENATE("#Metadata!", ADDRESS(INDEX($AJ$2:$AJ$1001,MATCH(ROWS($AH$2:AH956),$AH$2:$AH$1001,0),0), INDEX($AO$1004:$BQ$1004,1,MATCH(COLUMNS($AO$1006:AO1006),$AO$1006:$BQ$1006,0)))),"Fix")))</f>
        <v>#N/A</v>
      </c>
      <c r="C956" s="5" t="e">
        <f ca="1">IF(OR(INDEX($AI$2:$AI$1001,MATCH(ROWS($AH$2:AH956),$AH$2:$AH$1001,0),1)&gt;=100000,INDEX($AO$1005:$BQ$1005,1,MATCH(COLUMNS($AO$1006:AP1006),$AO$1006:$BQ$1006,0))&gt;=100000), " ",IF(INDEX($AO$2:$BQ$1001,MATCH(ROWS($AH$2:AH956),$AH$2:$AH$1001,0),MATCH(COLUMNS($AO$1006:AP1006),$AO$1006:$BQ$1006,0)), HYPERLINK("#",""), HYPERLINK(CONCATENATE("#Metadata!", ADDRESS(INDEX($AJ$2:$AJ$1001,MATCH(ROWS($AH$2:AH956),$AH$2:$AH$1001,0),0), INDEX($AO$1004:$BQ$1004,1,MATCH(COLUMNS($AO$1006:AP1006),$AO$1006:$BQ$1006,0)))),"Fix")))</f>
        <v>#N/A</v>
      </c>
      <c r="D956" s="5" t="e">
        <f ca="1">IF(OR(INDEX($AI$2:$AI$1001,MATCH(ROWS($AH$2:AH956),$AH$2:$AH$1001,0),1)&gt;=100000,INDEX($AO$1005:$BQ$1005,1,MATCH(COLUMNS($AO$1006:AQ1006),$AO$1006:$BQ$1006,0))&gt;=100000), " ",IF(INDEX($AO$2:$BQ$1001,MATCH(ROWS($AH$2:AH956),$AH$2:$AH$1001,0),MATCH(COLUMNS($AO$1006:AQ1006),$AO$1006:$BQ$1006,0)), HYPERLINK("#",""), HYPERLINK(CONCATENATE("#Metadata!", ADDRESS(INDEX($AJ$2:$AJ$1001,MATCH(ROWS($AH$2:AH956),$AH$2:$AH$1001,0),0), INDEX($AO$1004:$BQ$1004,1,MATCH(COLUMNS($AO$1006:AQ1006),$AO$1006:$BQ$1006,0)))),"Fix")))</f>
        <v>#N/A</v>
      </c>
      <c r="E956" s="5" t="e">
        <f ca="1">IF(OR(INDEX($AI$2:$AI$1001,MATCH(ROWS($AH$2:AH956),$AH$2:$AH$1001,0),1)&gt;=100000,INDEX($AO$1005:$BQ$1005,1,MATCH(COLUMNS($AO$1006:AR1006),$AO$1006:$BQ$1006,0))&gt;=100000), " ",IF(INDEX($AO$2:$BQ$1001,MATCH(ROWS($AH$2:AH956),$AH$2:$AH$1001,0),MATCH(COLUMNS($AO$1006:AR1006),$AO$1006:$BQ$1006,0)), HYPERLINK("#",""), HYPERLINK(CONCATENATE("#Metadata!", ADDRESS(INDEX($AJ$2:$AJ$1001,MATCH(ROWS($AH$2:AH956),$AH$2:$AH$1001,0),0), INDEX($AO$1004:$BQ$1004,1,MATCH(COLUMNS($AO$1006:AR1006),$AO$1006:$BQ$1006,0)))),"Fix")))</f>
        <v>#N/A</v>
      </c>
      <c r="F956" s="5" t="e">
        <f ca="1">IF(OR(INDEX($AI$2:$AI$1001,MATCH(ROWS($AH$2:AH956),$AH$2:$AH$1001,0),1)&gt;=100000,INDEX($AO$1005:$BQ$1005,1,MATCH(COLUMNS($AO$1006:AS1006),$AO$1006:$BQ$1006,0))&gt;=100000), " ",IF(INDEX($AO$2:$BQ$1001,MATCH(ROWS($AH$2:AH956),$AH$2:$AH$1001,0),MATCH(COLUMNS($AO$1006:AS1006),$AO$1006:$BQ$1006,0)), HYPERLINK("#",""), HYPERLINK(CONCATENATE("#Metadata!", ADDRESS(INDEX($AJ$2:$AJ$1001,MATCH(ROWS($AH$2:AH956),$AH$2:$AH$1001,0),0), INDEX($AO$1004:$BQ$1004,1,MATCH(COLUMNS($AO$1006:AS1006),$AO$1006:$BQ$1006,0)))),"Fix")))</f>
        <v>#N/A</v>
      </c>
      <c r="G956" s="5" t="e">
        <f ca="1">IF(OR(INDEX($AI$2:$AI$1001,MATCH(ROWS($AH$2:AH956),$AH$2:$AH$1001,0),1)&gt;=100000,INDEX($AO$1005:$BQ$1005,1,MATCH(COLUMNS($AO$1006:AT1006),$AO$1006:$BQ$1006,0))&gt;=100000), " ",IF(INDEX($AO$2:$BQ$1001,MATCH(ROWS($AH$2:AH956),$AH$2:$AH$1001,0),MATCH(COLUMNS($AO$1006:AT1006),$AO$1006:$BQ$1006,0)), HYPERLINK("#",""), HYPERLINK(CONCATENATE("#Metadata!", ADDRESS(INDEX($AJ$2:$AJ$1001,MATCH(ROWS($AH$2:AH956),$AH$2:$AH$1001,0),0), INDEX($AO$1004:$BQ$1004,1,MATCH(COLUMNS($AO$1006:AT1006),$AO$1006:$BQ$1006,0)))),"Fix")))</f>
        <v>#N/A</v>
      </c>
      <c r="H956" s="5" t="e">
        <f ca="1">IF(OR(INDEX($AI$2:$AI$1001,MATCH(ROWS($AH$2:AH956),$AH$2:$AH$1001,0),1)&gt;=100000,INDEX($AO$1005:$BQ$1005,1,MATCH(COLUMNS($AO$1006:AU1006),$AO$1006:$BQ$1006,0))&gt;=100000), " ",IF(INDEX($AO$2:$BQ$1001,MATCH(ROWS($AH$2:AH956),$AH$2:$AH$1001,0),MATCH(COLUMNS($AO$1006:AU1006),$AO$1006:$BQ$1006,0)), HYPERLINK("#",""), HYPERLINK(CONCATENATE("#Metadata!", ADDRESS(INDEX($AJ$2:$AJ$1001,MATCH(ROWS($AH$2:AH956),$AH$2:$AH$1001,0),0), INDEX($AO$1004:$BQ$1004,1,MATCH(COLUMNS($AO$1006:AU1006),$AO$1006:$BQ$1006,0)))),"Fix")))</f>
        <v>#N/A</v>
      </c>
      <c r="I956" s="5" t="e">
        <f ca="1">IF(OR(INDEX($AI$2:$AI$1001,MATCH(ROWS($AH$2:AH956),$AH$2:$AH$1001,0),1)&gt;=100000,INDEX($AO$1005:$BQ$1005,1,MATCH(COLUMNS($AO$1006:AV1006),$AO$1006:$BQ$1006,0))&gt;=100000), " ",IF(INDEX($AO$2:$BQ$1001,MATCH(ROWS($AH$2:AH956),$AH$2:$AH$1001,0),MATCH(COLUMNS($AO$1006:AV1006),$AO$1006:$BQ$1006,0)), HYPERLINK("#",""), HYPERLINK(CONCATENATE("#Metadata!", ADDRESS(INDEX($AJ$2:$AJ$1001,MATCH(ROWS($AH$2:AH956),$AH$2:$AH$1001,0),0), INDEX($AO$1004:$BQ$1004,1,MATCH(COLUMNS($AO$1006:AV1006),$AO$1006:$BQ$1006,0)))),"Fix")))</f>
        <v>#N/A</v>
      </c>
      <c r="J956" s="5" t="e">
        <f ca="1">IF(OR(INDEX($AI$2:$AI$1001,MATCH(ROWS($AH$2:AH956),$AH$2:$AH$1001,0),1)&gt;=100000,INDEX($AO$1005:$BQ$1005,1,MATCH(COLUMNS($AO$1006:AW1006),$AO$1006:$BQ$1006,0))&gt;=100000), " ",IF(INDEX($AO$2:$BQ$1001,MATCH(ROWS($AH$2:AH956),$AH$2:$AH$1001,0),MATCH(COLUMNS($AO$1006:AW1006),$AO$1006:$BQ$1006,0)), HYPERLINK("#",""), HYPERLINK(CONCATENATE("#Metadata!", ADDRESS(INDEX($AJ$2:$AJ$1001,MATCH(ROWS($AH$2:AH956),$AH$2:$AH$1001,0),0), INDEX($AO$1004:$BQ$1004,1,MATCH(COLUMNS($AO$1006:AW1006),$AO$1006:$BQ$1006,0)))),"Fix")))</f>
        <v>#N/A</v>
      </c>
      <c r="K956" s="5" t="e">
        <f ca="1">IF(OR(INDEX($AI$2:$AI$1001,MATCH(ROWS($AH$2:AH956),$AH$2:$AH$1001,0),1)&gt;=100000,INDEX($AO$1005:$BQ$1005,1,MATCH(COLUMNS($AO$1006:AX1006),$AO$1006:$BQ$1006,0))&gt;=100000), " ",IF(INDEX($AO$2:$BQ$1001,MATCH(ROWS($AH$2:AH956),$AH$2:$AH$1001,0),MATCH(COLUMNS($AO$1006:AX1006),$AO$1006:$BQ$1006,0)), HYPERLINK("#",""), HYPERLINK(CONCATENATE("#Metadata!", ADDRESS(INDEX($AJ$2:$AJ$1001,MATCH(ROWS($AH$2:AH956),$AH$2:$AH$1001,0),0), INDEX($AO$1004:$BQ$1004,1,MATCH(COLUMNS($AO$1006:AX1006),$AO$1006:$BQ$1006,0)))),"Fix")))</f>
        <v>#N/A</v>
      </c>
      <c r="L956" s="5" t="e">
        <f ca="1">IF(OR(INDEX($AI$2:$AI$1001,MATCH(ROWS($AH$2:AH956),$AH$2:$AH$1001,0),1)&gt;=100000,INDEX($AO$1005:$BQ$1005,1,MATCH(COLUMNS($AO$1006:AY1006),$AO$1006:$BQ$1006,0))&gt;=100000), " ",IF(INDEX($AO$2:$BQ$1001,MATCH(ROWS($AH$2:AH956),$AH$2:$AH$1001,0),MATCH(COLUMNS($AO$1006:AY1006),$AO$1006:$BQ$1006,0)), HYPERLINK("#",""), HYPERLINK(CONCATENATE("#Metadata!", ADDRESS(INDEX($AJ$2:$AJ$1001,MATCH(ROWS($AH$2:AH956),$AH$2:$AH$1001,0),0), INDEX($AO$1004:$BQ$1004,1,MATCH(COLUMNS($AO$1006:AY1006),$AO$1006:$BQ$1006,0)))),"Fix")))</f>
        <v>#N/A</v>
      </c>
      <c r="M956" s="5" t="e">
        <f ca="1">IF(OR(INDEX($AI$2:$AI$1001,MATCH(ROWS($AH$2:AH956),$AH$2:$AH$1001,0),1)&gt;=100000,INDEX($AO$1005:$BQ$1005,1,MATCH(COLUMNS($AO$1006:AZ1006),$AO$1006:$BQ$1006,0))&gt;=100000), " ",IF(INDEX($AO$2:$BQ$1001,MATCH(ROWS($AH$2:AH956),$AH$2:$AH$1001,0),MATCH(COLUMNS($AO$1006:AZ1006),$AO$1006:$BQ$1006,0)), HYPERLINK("#",""), HYPERLINK(CONCATENATE("#Metadata!", ADDRESS(INDEX($AJ$2:$AJ$1001,MATCH(ROWS($AH$2:AH956),$AH$2:$AH$1001,0),0), INDEX($AO$1004:$BQ$1004,1,MATCH(COLUMNS($AO$1006:AZ1006),$AO$1006:$BQ$1006,0)))),"Fix")))</f>
        <v>#N/A</v>
      </c>
      <c r="N956" s="5" t="e">
        <f ca="1">IF(OR(INDEX($AI$2:$AI$1001,MATCH(ROWS($AH$2:AH956),$AH$2:$AH$1001,0),1)&gt;=100000,INDEX($AO$1005:$BQ$1005,1,MATCH(COLUMNS($AO$1006:BA1006),$AO$1006:$BQ$1006,0))&gt;=100000), " ",IF(INDEX($AO$2:$BQ$1001,MATCH(ROWS($AH$2:AH956),$AH$2:$AH$1001,0),MATCH(COLUMNS($AO$1006:BA1006),$AO$1006:$BQ$1006,0)), HYPERLINK("#",""), HYPERLINK(CONCATENATE("#Metadata!", ADDRESS(INDEX($AJ$2:$AJ$1001,MATCH(ROWS($AH$2:AH956),$AH$2:$AH$1001,0),0), INDEX($AO$1004:$BQ$1004,1,MATCH(COLUMNS($AO$1006:BA1006),$AO$1006:$BQ$1006,0)))),"Fix")))</f>
        <v>#N/A</v>
      </c>
      <c r="O956" s="5" t="e">
        <f ca="1">IF(OR(INDEX($AI$2:$AI$1001,MATCH(ROWS($AH$2:AH956),$AH$2:$AH$1001,0),1)&gt;=100000,INDEX($AO$1005:$BQ$1005,1,MATCH(COLUMNS($AO$1006:BB1006),$AO$1006:$BQ$1006,0))&gt;=100000), " ",IF(INDEX($AO$2:$BQ$1001,MATCH(ROWS($AH$2:AH956),$AH$2:$AH$1001,0),MATCH(COLUMNS($AO$1006:BB1006),$AO$1006:$BQ$1006,0)), HYPERLINK("#",""), HYPERLINK(CONCATENATE("#Metadata!", ADDRESS(INDEX($AJ$2:$AJ$1001,MATCH(ROWS($AH$2:AH956),$AH$2:$AH$1001,0),0), INDEX($AO$1004:$BQ$1004,1,MATCH(COLUMNS($AO$1006:BB1006),$AO$1006:$BQ$1006,0)))),"Fix")))</f>
        <v>#N/A</v>
      </c>
      <c r="P956" s="5" t="e">
        <f ca="1">IF(OR(INDEX($AI$2:$AI$1001,MATCH(ROWS($AH$2:AH956),$AH$2:$AH$1001,0),1)&gt;=100000,INDEX($AO$1005:$BQ$1005,1,MATCH(COLUMNS($AO$1006:BC1006),$AO$1006:$BQ$1006,0))&gt;=100000), " ",IF(INDEX($AO$2:$BQ$1001,MATCH(ROWS($AH$2:AH956),$AH$2:$AH$1001,0),MATCH(COLUMNS($AO$1006:BC1006),$AO$1006:$BQ$1006,0)), HYPERLINK("#",""), HYPERLINK(CONCATENATE("#Metadata!", ADDRESS(INDEX($AJ$2:$AJ$1001,MATCH(ROWS($AH$2:AH956),$AH$2:$AH$1001,0),0), INDEX($AO$1004:$BQ$1004,1,MATCH(COLUMNS($AO$1006:BC1006),$AO$1006:$BQ$1006,0)))),"Fix")))</f>
        <v>#N/A</v>
      </c>
      <c r="Q956" s="5" t="e">
        <f ca="1">IF(OR(INDEX($AI$2:$AI$1001,MATCH(ROWS($AH$2:AH956),$AH$2:$AH$1001,0),1)&gt;=100000,INDEX($AO$1005:$BQ$1005,1,MATCH(COLUMNS($AO$1006:BD1006),$AO$1006:$BQ$1006,0))&gt;=100000), " ",IF(INDEX($AO$2:$BQ$1001,MATCH(ROWS($AH$2:AH956),$AH$2:$AH$1001,0),MATCH(COLUMNS($AO$1006:BD1006),$AO$1006:$BQ$1006,0)), HYPERLINK("#",""), HYPERLINK(CONCATENATE("#Metadata!", ADDRESS(INDEX($AJ$2:$AJ$1001,MATCH(ROWS($AH$2:AH956),$AH$2:$AH$1001,0),0), INDEX($AO$1004:$BQ$1004,1,MATCH(COLUMNS($AO$1006:BD1006),$AO$1006:$BQ$1006,0)))),"Fix")))</f>
        <v>#N/A</v>
      </c>
      <c r="R956" s="5" t="e">
        <f ca="1">IF(OR(INDEX($AI$2:$AI$1001,MATCH(ROWS($AH$2:AH956),$AH$2:$AH$1001,0),1)&gt;=100000,INDEX($AO$1005:$BQ$1005,1,MATCH(COLUMNS($AO$1006:BE1006),$AO$1006:$BQ$1006,0))&gt;=100000), " ",IF(INDEX($AO$2:$BQ$1001,MATCH(ROWS($AH$2:AH956),$AH$2:$AH$1001,0),MATCH(COLUMNS($AO$1006:BE1006),$AO$1006:$BQ$1006,0)), HYPERLINK("#",""), HYPERLINK(CONCATENATE("#Metadata!", ADDRESS(INDEX($AJ$2:$AJ$1001,MATCH(ROWS($AH$2:AH956),$AH$2:$AH$1001,0),0), INDEX($AO$1004:$BQ$1004,1,MATCH(COLUMNS($AO$1006:BE1006),$AO$1006:$BQ$1006,0)))),"Fix")))</f>
        <v>#N/A</v>
      </c>
      <c r="S956" s="5" t="e">
        <f ca="1">IF(OR(INDEX($AI$2:$AI$1001,MATCH(ROWS($AH$2:AH956),$AH$2:$AH$1001,0),1)&gt;=100000,INDEX($AO$1005:$BQ$1005,1,MATCH(COLUMNS($AO$1006:BF1006),$AO$1006:$BQ$1006,0))&gt;=100000), " ",IF(INDEX($AO$2:$BQ$1001,MATCH(ROWS($AH$2:AH956),$AH$2:$AH$1001,0),MATCH(COLUMNS($AO$1006:BF1006),$AO$1006:$BQ$1006,0)), HYPERLINK("#",""), HYPERLINK(CONCATENATE("#Metadata!", ADDRESS(INDEX($AJ$2:$AJ$1001,MATCH(ROWS($AH$2:AH956),$AH$2:$AH$1001,0),0), INDEX($AO$1004:$BQ$1004,1,MATCH(COLUMNS($AO$1006:BF1006),$AO$1006:$BQ$1006,0)))),"Fix")))</f>
        <v>#N/A</v>
      </c>
      <c r="T956" s="5" t="e">
        <f ca="1">IF(OR(INDEX($AI$2:$AI$1001,MATCH(ROWS($AH$2:AH956),$AH$2:$AH$1001,0),1)&gt;=100000,INDEX($AO$1005:$BQ$1005,1,MATCH(COLUMNS($AO$1006:BG1006),$AO$1006:$BQ$1006,0))&gt;=100000), " ",IF(INDEX($AO$2:$BQ$1001,MATCH(ROWS($AH$2:AH956),$AH$2:$AH$1001,0),MATCH(COLUMNS($AO$1006:BG1006),$AO$1006:$BQ$1006,0)), HYPERLINK("#",""), HYPERLINK(CONCATENATE("#Metadata!", ADDRESS(INDEX($AJ$2:$AJ$1001,MATCH(ROWS($AH$2:AH956),$AH$2:$AH$1001,0),0), INDEX($AO$1004:$BQ$1004,1,MATCH(COLUMNS($AO$1006:BG1006),$AO$1006:$BQ$1006,0)))),"Fix")))</f>
        <v>#N/A</v>
      </c>
      <c r="U956" s="5" t="e">
        <f ca="1">IF(OR(INDEX($AI$2:$AI$1001,MATCH(ROWS($AH$2:AH956),$AH$2:$AH$1001,0),1)&gt;=100000,INDEX($AO$1005:$BQ$1005,1,MATCH(COLUMNS($AO$1006:BH1006),$AO$1006:$BQ$1006,0))&gt;=100000), " ",IF(INDEX($AO$2:$BQ$1001,MATCH(ROWS($AH$2:AH956),$AH$2:$AH$1001,0),MATCH(COLUMNS($AO$1006:BH1006),$AO$1006:$BQ$1006,0)), HYPERLINK("#",""), HYPERLINK(CONCATENATE("#Metadata!", ADDRESS(INDEX($AJ$2:$AJ$1001,MATCH(ROWS($AH$2:AH956),$AH$2:$AH$1001,0),0), INDEX($AO$1004:$BQ$1004,1,MATCH(COLUMNS($AO$1006:BH1006),$AO$1006:$BQ$1006,0)))),"Fix")))</f>
        <v>#N/A</v>
      </c>
      <c r="V956" s="5" t="e">
        <f ca="1">IF(OR(INDEX($AI$2:$AI$1001,MATCH(ROWS($AH$2:AH956),$AH$2:$AH$1001,0),1)&gt;=100000,INDEX($AO$1005:$BQ$1005,1,MATCH(COLUMNS($AO$1006:BI1006),$AO$1006:$BQ$1006,0))&gt;=100000), " ",IF(INDEX($AO$2:$BQ$1001,MATCH(ROWS($AH$2:AH956),$AH$2:$AH$1001,0),MATCH(COLUMNS($AO$1006:BI1006),$AO$1006:$BQ$1006,0)), HYPERLINK("#",""), HYPERLINK(CONCATENATE("#Metadata!", ADDRESS(INDEX($AJ$2:$AJ$1001,MATCH(ROWS($AH$2:AH956),$AH$2:$AH$1001,0),0), INDEX($AO$1004:$BQ$1004,1,MATCH(COLUMNS($AO$1006:BI1006),$AO$1006:$BQ$1006,0)))),"Fix")))</f>
        <v>#N/A</v>
      </c>
      <c r="W956" s="5" t="e">
        <f ca="1">IF(OR(INDEX($AI$2:$AI$1001,MATCH(ROWS($AH$2:AH956),$AH$2:$AH$1001,0),1)&gt;=100000,INDEX($AO$1005:$BQ$1005,1,MATCH(COLUMNS($AO$1006:BJ1006),$AO$1006:$BQ$1006,0))&gt;=100000), " ",IF(INDEX($AO$2:$BQ$1001,MATCH(ROWS($AH$2:AH956),$AH$2:$AH$1001,0),MATCH(COLUMNS($AO$1006:BJ1006),$AO$1006:$BQ$1006,0)), HYPERLINK("#",""), HYPERLINK(CONCATENATE("#Metadata!", ADDRESS(INDEX($AJ$2:$AJ$1001,MATCH(ROWS($AH$2:AH956),$AH$2:$AH$1001,0),0), INDEX($AO$1004:$BQ$1004,1,MATCH(COLUMNS($AO$1006:BJ1006),$AO$1006:$BQ$1006,0)))),"Fix")))</f>
        <v>#N/A</v>
      </c>
      <c r="X956" s="5" t="e">
        <f ca="1">IF(OR(INDEX($AI$2:$AI$1001,MATCH(ROWS($AH$2:AH956),$AH$2:$AH$1001,0),1)&gt;=100000,INDEX($AO$1005:$BQ$1005,1,MATCH(COLUMNS($AO$1006:BK1006),$AO$1006:$BQ$1006,0))&gt;=100000), " ",IF(INDEX($AO$2:$BQ$1001,MATCH(ROWS($AH$2:AH956),$AH$2:$AH$1001,0),MATCH(COLUMNS($AO$1006:BK1006),$AO$1006:$BQ$1006,0)), HYPERLINK("#",""), HYPERLINK(CONCATENATE("#Metadata!", ADDRESS(INDEX($AJ$2:$AJ$1001,MATCH(ROWS($AH$2:AH956),$AH$2:$AH$1001,0),0), INDEX($AO$1004:$BQ$1004,1,MATCH(COLUMNS($AO$1006:BK1006),$AO$1006:$BQ$1006,0)))),"Fix")))</f>
        <v>#N/A</v>
      </c>
      <c r="Y956" s="5" t="e">
        <f ca="1">IF(OR(INDEX($AI$2:$AI$1001,MATCH(ROWS($AH$2:AH956),$AH$2:$AH$1001,0),1)&gt;=100000,INDEX($AO$1005:$BQ$1005,1,MATCH(COLUMNS($AO$1006:BL1006),$AO$1006:$BQ$1006,0))&gt;=100000), " ",IF(INDEX($AO$2:$BQ$1001,MATCH(ROWS($AH$2:AH956),$AH$2:$AH$1001,0),MATCH(COLUMNS($AO$1006:BL1006),$AO$1006:$BQ$1006,0)), HYPERLINK("#",""), HYPERLINK(CONCATENATE("#Metadata!", ADDRESS(INDEX($AJ$2:$AJ$1001,MATCH(ROWS($AH$2:AH956),$AH$2:$AH$1001,0),0), INDEX($AO$1004:$BQ$1004,1,MATCH(COLUMNS($AO$1006:BL1006),$AO$1006:$BQ$1006,0)))),"Fix")))</f>
        <v>#N/A</v>
      </c>
      <c r="Z956" s="5" t="e">
        <f ca="1">IF(OR(INDEX($AI$2:$AI$1001,MATCH(ROWS($AH$2:AH956),$AH$2:$AH$1001,0),1)&gt;=100000,INDEX($AO$1005:$BQ$1005,1,MATCH(COLUMNS($AO$1006:BM1006),$AO$1006:$BQ$1006,0))&gt;=100000), " ",IF(INDEX($AO$2:$BQ$1001,MATCH(ROWS($AH$2:AH956),$AH$2:$AH$1001,0),MATCH(COLUMNS($AO$1006:BM1006),$AO$1006:$BQ$1006,0)), HYPERLINK("#",""), HYPERLINK(CONCATENATE("#Metadata!", ADDRESS(INDEX($AJ$2:$AJ$1001,MATCH(ROWS($AH$2:AH956),$AH$2:$AH$1001,0),0), INDEX($AO$1004:$BQ$1004,1,MATCH(COLUMNS($AO$1006:BM1006),$AO$1006:$BQ$1006,0)))),"Fix")))</f>
        <v>#N/A</v>
      </c>
      <c r="AA956" s="5" t="e">
        <f ca="1">IF(OR(INDEX($AI$2:$AI$1001,MATCH(ROWS($AH$2:AH956),$AH$2:$AH$1001,0),1)&gt;=100000,INDEX($AO$1005:$BQ$1005,1,MATCH(COLUMNS($AO$1006:BN1006),$AO$1006:$BQ$1006,0))&gt;=100000), " ",IF(INDEX($AO$2:$BQ$1001,MATCH(ROWS($AH$2:AH956),$AH$2:$AH$1001,0),MATCH(COLUMNS($AO$1006:BN1006),$AO$1006:$BQ$1006,0)), HYPERLINK("#",""), HYPERLINK(CONCATENATE("#Metadata!", ADDRESS(INDEX($AJ$2:$AJ$1001,MATCH(ROWS($AH$2:AH956),$AH$2:$AH$1001,0),0), INDEX($AO$1004:$BQ$1004,1,MATCH(COLUMNS($AO$1006:BN1006),$AO$1006:$BQ$1006,0)))),"Fix")))</f>
        <v>#N/A</v>
      </c>
      <c r="AB956" s="5" t="e">
        <f ca="1">IF(OR(INDEX($AI$2:$AI$1001,MATCH(ROWS($AH$2:AH956),$AH$2:$AH$1001,0),1)&gt;=100000,INDEX($AO$1005:$BQ$1005,1,MATCH(COLUMNS($AO$1006:BO1006),$AO$1006:$BQ$1006,0))&gt;=100000), " ",IF(INDEX($AO$2:$BQ$1001,MATCH(ROWS($AH$2:AH956),$AH$2:$AH$1001,0),MATCH(COLUMNS($AO$1006:BO1006),$AO$1006:$BQ$1006,0)), HYPERLINK("#",""), HYPERLINK(CONCATENATE("#Metadata!", ADDRESS(INDEX($AJ$2:$AJ$1001,MATCH(ROWS($AH$2:AH956),$AH$2:$AH$1001,0),0), INDEX($AO$1004:$BQ$1004,1,MATCH(COLUMNS($AO$1006:BO1006),$AO$1006:$BQ$1006,0)))),"Fix")))</f>
        <v>#N/A</v>
      </c>
      <c r="AC956" s="5" t="e">
        <f ca="1">IF(OR(INDEX($AI$2:$AI$1001,MATCH(ROWS($AH$2:AH956),$AH$2:$AH$1001,0),1)&gt;=100000,INDEX($AO$1005:$BQ$1005,1,MATCH(COLUMNS($AO$1006:BP1006),$AO$1006:$BQ$1006,0))&gt;=100000), " ",IF(INDEX($AO$2:$BQ$1001,MATCH(ROWS($AH$2:AH956),$AH$2:$AH$1001,0),MATCH(COLUMNS($AO$1006:BP1006),$AO$1006:$BQ$1006,0)), HYPERLINK("#",""), HYPERLINK(CONCATENATE("#Metadata!", ADDRESS(INDEX($AJ$2:$AJ$1001,MATCH(ROWS($AH$2:AH956),$AH$2:$AH$1001,0),0), INDEX($AO$1004:$BQ$1004,1,MATCH(COLUMNS($AO$1006:BP1006),$AO$1006:$BQ$1006,0)))),"Fix")))</f>
        <v>#N/A</v>
      </c>
      <c r="AD956" s="5" t="e">
        <f ca="1">IF(OR(INDEX($AI$2:$AI$1001,MATCH(ROWS($AH$2:AH956),$AH$2:$AH$1001,0),1)&gt;=100000,INDEX($AO$1005:$BQ$1005,1,MATCH(COLUMNS($AO$1006:BQ1006),$AO$1006:$BQ$1006,0))&gt;=100000), " ",IF(INDEX($AO$2:$BQ$1001,MATCH(ROWS($AH$2:AH956),$AH$2:$AH$1001,0),MATCH(COLUMNS($AO$1006:BQ1006),$AO$1006:$BQ$1006,0)), HYPERLINK("#",""), HYPERLINK(CONCATENATE("#Metadata!", ADDRESS(INDEX($AJ$2:$AJ$1001,MATCH(ROWS($AH$2:AH956),$AH$2:$AH$1001,0),0), INDEX($AO$1004:$BQ$1004,1,MATCH(COLUMNS($AO$1006:BQ1006),$AO$1006:$BQ$1006,0)))),"Fix")))</f>
        <v>#REF!</v>
      </c>
      <c r="AH956">
        <f ca="1"/>
        <v>953</v>
      </c>
      <c r="AI956">
        <v>100956</v>
      </c>
      <c r="AJ956">
        <v>956</v>
      </c>
      <c r="AK956" t="b">
        <f t="shared" si="14"/>
        <v>1</v>
      </c>
      <c r="AL956" t="b">
        <f>COUNTBLANK(Metadata!B956:AD956)=COLUMNS(Metadata!B956:AD956)</f>
        <v>1</v>
      </c>
      <c r="AM956" t="str">
        <v/>
      </c>
      <c r="AO956" t="b">
        <f ca="1">AND(IF(Metadata!B956="",FALSE,TRUE),COUNTIF(Metadata!B:B, Metadata!B956) = 1,NOT(ISERROR(SUMPRODUCT(SEARCH(MID(Metadata!B956,ROW(INDIRECT("1:"&amp;LEN(Metadata!B956))), 1),"0123456789abcdefghijklmnopqrstuvwxyzABCDEFGHIJKLMNOPQRSTUVWXYZ.")))))</f>
        <v>0</v>
      </c>
      <c r="AP956" t="b">
        <f>IF(Metadata!C956="",FALSE,TRUE)</f>
        <v>0</v>
      </c>
      <c r="AQ956" t="b">
        <f>IF(Metadata!D956="",FALSE,TRUE)</f>
        <v>0</v>
      </c>
      <c r="AR956" t="b">
        <f ca="1">OR(AND(IF(Metadata!E956="",FALSE,TRUE),OR(EXACT(Metadata!E956,"not collected"),EXACT(Metadata!E956,"not provided"),EXACT(Metadata!E956,"restricted access"))),AND(IF(Metadata!E956="",FALSE,TRUE),AND(AND(IFERROR(INT(LEFT(Metadata!E956,4))&gt;1900,FALSE),IFERROR(INT(LEFT(Metadata!E956,4))&lt;=YEAR(NOW()),FALSE)), OR(MID(Metadata!E956,5,1)="", AND(AND(MID(Metadata!E956,5,1)="-",IFERROR(INT(MID(Metadata!E956,6,1))&gt;=0,FALSE),IFERROR(INT(MID(Metadata!E956,6,1))&lt;=1,FALSE),NOT(MID(Metadata!E956,7,1)=""),IFERROR(INT(MID(Metadata!E956,6,2))&gt;=1,FALSE),IFERROR(INT(MID(Metadata!E956,6,2))&lt;=12,FALSE)), OR(MID(Metadata!E956,8,1)="", AND(AND(MID(Metadata!E956,8,1)="-",IFERROR(INT(MID(Metadata!E956,9,1))&gt;=0,FALSE),IFERROR(INT(MID(Metadata!E956,9,1))&lt;=3,FALSE),NOT(MID(Metadata!E956,10,1)=""),IFERROR(INT(MID(Metadata!E956,9,2))&gt;=1,FALSE),IFERROR(INT(MID(Metadata!E956,9,2))&lt;=31,FALSE)), OR(MID(Metadata!E956,11,1)="", AND(AND(MID(Metadata!E956,11,1)=" ",IFERROR(INT(MID(Metadata!E956,12,1))&gt;=0,FALSE),IFERROR(INT(MID(Metadata!E956,12,1))&lt;=2,FALSE),NOT(MID(Metadata!E956,13,1)=""),IFERROR(INT(MID(Metadata!E956,12,2))&gt;=0,FALSE),IFERROR(INT(MID(Metadata!E956,12,2))&lt;=23,FALSE)), OR(MID(Metadata!E956,14,1)="", AND(AND(MID(Metadata!E956,14,1)=":",IFERROR(INT(MID(Metadata!E956,15,1))&gt;=0,FALSE),IFERROR(INT(MID(Metadata!E956,15,1))&lt;=5,FALSE),NOT(MID(Metadata!E956,16,1)=""),IFERROR(INT(MID(Metadata!E956,15,2))&gt;=0,FALSE),IFERROR(INT(MID(Metadata!E956,15,2))&lt;=59,FALSE)), OR(MID(Metadata!E956,17,1)="", AND(AND(MID(Metadata!E956,17,1)=":",IFERROR(INT(MID(Metadata!E956,18,1))&gt;=0,FALSE),IFERROR(INT(MID(Metadata!E956,18,1))&lt;=5,FALSE),NOT(MID(Metadata!E956,19,1)=""),IFERROR(INT(MID(Metadata!E956,18,2))&gt;=0,FALSE),IFERROR(INT(MID(Metadata!E956,18,2))&lt;=59,FALSE)), LEN(Metadata!E956)&lt;=19)))))))))))))</f>
        <v>0</v>
      </c>
      <c r="AS956" t="b">
        <f>IF(Metadata!F956="",FALSE,TRUE)</f>
        <v>0</v>
      </c>
      <c r="AT956" t="b">
        <f>OR(AND(IF(Metadata!G956="",FALSE,TRUE),OR(EXACT(Metadata!G956,"not collected"),EXACT(Metadata!G956,"not provided"))),AND(IF(Metadata!G956="",FALSE,TRUE),OR(EXACT(Metadata!G956,"TRUE"),EXACT(Metadata!G956,"FALSE"))))</f>
        <v>0</v>
      </c>
      <c r="AU956" t="b">
        <f>OR(AND(IF(Metadata!H956="",FALSE,TRUE),OR(EXACT(Metadata!H956,"not collected"),EXACT(Metadata!H956,"not provided"),EXACT(Metadata!H956,"restricted access"))),AND(IF(Metadata!H956="",FALSE,ISNUMBER(VALUE(Metadata!H956))),Metadata!H956&gt;=-413))</f>
        <v>0</v>
      </c>
      <c r="AV956" t="b">
        <f>AND(IF(Metadata!I956="",FALSE,TRUE),EXACT(Metadata!I956,"meters"))</f>
        <v>0</v>
      </c>
      <c r="AW956" t="b">
        <f>AND(IF(Metadata!J956="",FALSE,TRUE),EXACT(Metadata!J956,"free-living"))</f>
        <v>0</v>
      </c>
      <c r="AX956" t="b">
        <f>AND(IF(Metadata!K956="",FALSE,TRUE),OR(EXACT(Metadata!K956,"saline"),EXACT(Metadata!K956,"non-saline")))</f>
        <v>0</v>
      </c>
      <c r="AY956" t="b">
        <f>AND(IF(Metadata!L956="",FALSE,TRUE),OR(EXACT(Metadata!L956,"sub-surface (non-saline)"),EXACT(Metadata!L956,"surface (non-saline)"),EXACT(Metadata!L956,"water (non-saline)"),EXACT(Metadata!L956,"soil (non-saline)"),EXACT(Metadata!L956,"aerosol (non-saline)"),EXACT(Metadata!L956,"sediment (non-saline)"),EXACT(Metadata!L956,"surface (saline)"),EXACT(Metadata!L956,"water (saline)"),EXACT(Metadata!L956,"hypersaline (saline)"),EXACT(Metadata!L956,"aerosol (saline)"),EXACT(Metadata!L956,"sediment (saline)")))</f>
        <v>0</v>
      </c>
      <c r="AZ956" t="b">
        <f>IF(Metadata!M956="",FALSE,TRUE)</f>
        <v>0</v>
      </c>
      <c r="BA956" t="b">
        <f>IF(Metadata!N956="",FALSE,TRUE)</f>
        <v>0</v>
      </c>
      <c r="BB956" t="b">
        <f>IF(Metadata!O956="",FALSE,TRUE)</f>
        <v>0</v>
      </c>
      <c r="BC956" t="b">
        <f>AND(IF(Metadata!P956="",FALSE,TRUE),OR(EXACT(Metadata!P956,"air"),EXACT(Metadata!P956,"microbial mat/biofilm"),EXACT(Metadata!P956,"misc environment"),EXACT(Metadata!P956,"sediment"),EXACT(Metadata!P956,"soil"),EXACT(Metadata!P956,"wastewater/sludge"),EXACT(Metadata!P956,"water")))</f>
        <v>0</v>
      </c>
      <c r="BD956" t="b">
        <f>IF(Metadata!Q956="",FALSE,TRUE)</f>
        <v>0</v>
      </c>
      <c r="BE956" t="b">
        <f>IF(Metadata!R956="",FALSE,TRUE)</f>
        <v>0</v>
      </c>
      <c r="BF956" t="b">
        <f>OR(AND(IF(Metadata!S956="",FALSE,TRUE),OR(EXACT(Metadata!S956,"not collected"),EXACT(Metadata!S956,"not provided"),EXACT(Metadata!S956,"restricted access"))),AND(IF(Metadata!S956="",FALSE,ISNUMBER(VALUE(Metadata!S956))),Metadata!S956&gt;=-90,Metadata!S956&lt;=90))</f>
        <v>0</v>
      </c>
      <c r="BG956" t="b">
        <f>AND(IF(Metadata!T956="",FALSE,TRUE),EXACT(Metadata!T956,"Decimal degrees"))</f>
        <v>0</v>
      </c>
      <c r="BH956" t="b">
        <f>OR(AND(IF(Metadata!U956="",FALSE,TRUE),OR(EXACT(Metadata!U956,"not applicable"),EXACT(Metadata!U956,"not collected"))),IF(Metadata!U956="",FALSE,TRUE))</f>
        <v>0</v>
      </c>
      <c r="BI956" t="b">
        <f>OR(AND(IF(Metadata!V956="",FALSE,TRUE),OR(EXACT(Metadata!V956,"not collected"),EXACT(Metadata!V956,"not provided"),EXACT(Metadata!V956,"restricted access"))),AND(IF(Metadata!V956="",FALSE,ISNUMBER(VALUE(Metadata!V956))),Metadata!V956&gt;=-180,Metadata!V956&lt;=180))</f>
        <v>0</v>
      </c>
      <c r="BJ956" t="b">
        <f>AND(IF(Metadata!W956="",FALSE,TRUE),EXACT(Metadata!W956,"Decimal degrees"))</f>
        <v>0</v>
      </c>
      <c r="BK956" t="b">
        <f>IF(Metadata!X956="",FALSE,TRUE)</f>
        <v>0</v>
      </c>
      <c r="BL956" t="b">
        <f>OR(AND(IF(Metadata!Y956="",FALSE,TRUE),OR(EXACT(Metadata!Y956,"not collected"),EXACT(Metadata!Y956,"not provided"),EXACT(Metadata!Y956,"restricted access"))),AND(IF(Metadata!Y956="",FALSE,TRUE),OR(EXACT(Metadata!Y956,"TRUE"),EXACT(Metadata!Y956,"FALSE"))))</f>
        <v>0</v>
      </c>
      <c r="BM956" t="b">
        <f>OR(AND(IF(Metadata!Z956="",FALSE,TRUE),EXACT(Metadata!Z956,"not applicable")),AND(IF(Metadata!Z956="",FALSE,TRUE),OR(EXACT(Metadata!Z956,"beer"),EXACT(Metadata!Z956,"cheese"),EXACT(Metadata!Z956,"fresh water"),EXACT(Metadata!Z956,"marine sediment"),EXACT(Metadata!Z956,"sea water"),EXACT(Metadata!Z956,"sediment"),EXACT(Metadata!Z956,"soil"),EXACT(Metadata!Z956,"waste water"))))</f>
        <v>0</v>
      </c>
      <c r="BN956" t="b">
        <f>AND(IF(Metadata!AA956="",FALSE,TRUE),EXACT(Metadata!AA956,"metagenome"))</f>
        <v>0</v>
      </c>
      <c r="BO956" t="b">
        <f>AND(IF(Metadata!AB956="",FALSE,TRUE),EXACT(Metadata!AB956,"256318"))</f>
        <v>0</v>
      </c>
      <c r="BP956" t="b">
        <f>IF(Metadata!AC956="",FALSE,TRUE)</f>
        <v>0</v>
      </c>
      <c r="BQ956" t="b">
        <f>IF(Metadata!AD956="",FALSE,TRUE)</f>
        <v>0</v>
      </c>
    </row>
    <row r="957" spans="1:69" x14ac:dyDescent="0.2">
      <c r="A957" s="4" t="e">
        <f ca="1">IF(B957=" "," ",HYPERLINK(CONCATENATE("#metadata!",ADDRESS(INDEX($AJ$2:$AJ$1001,MATCH(ROWS($AH$2:AH957),$AH$2:$AH$1001,0),0),2)),INDEX($AM$2:$AM$1001,MATCH(ROWS($AH$2:AH957),$AH$2:$AH$1001,0),0)))</f>
        <v>#N/A</v>
      </c>
      <c r="B957" s="5" t="e">
        <f ca="1">IF(OR(INDEX($AI$2:$AI$1001,MATCH(ROWS($AH$2:AH957),$AH$2:$AH$1001,0),1)&gt;=100000,INDEX($AO$1005:$BQ$1005,1,MATCH(COLUMNS($AO$1006:AO1006),$AO$1006:$BQ$1006,0))&gt;=100000), " ",IF(INDEX($AO$2:$BQ$1001,MATCH(ROWS($AH$2:AH957),$AH$2:$AH$1001,0),MATCH(COLUMNS($AO$1006:AO1006),$AO$1006:$BQ$1006,0)), HYPERLINK("#",""), HYPERLINK(CONCATENATE("#Metadata!", ADDRESS(INDEX($AJ$2:$AJ$1001,MATCH(ROWS($AH$2:AH957),$AH$2:$AH$1001,0),0), INDEX($AO$1004:$BQ$1004,1,MATCH(COLUMNS($AO$1006:AO1006),$AO$1006:$BQ$1006,0)))),"Fix")))</f>
        <v>#N/A</v>
      </c>
      <c r="C957" s="5" t="e">
        <f ca="1">IF(OR(INDEX($AI$2:$AI$1001,MATCH(ROWS($AH$2:AH957),$AH$2:$AH$1001,0),1)&gt;=100000,INDEX($AO$1005:$BQ$1005,1,MATCH(COLUMNS($AO$1006:AP1006),$AO$1006:$BQ$1006,0))&gt;=100000), " ",IF(INDEX($AO$2:$BQ$1001,MATCH(ROWS($AH$2:AH957),$AH$2:$AH$1001,0),MATCH(COLUMNS($AO$1006:AP1006),$AO$1006:$BQ$1006,0)), HYPERLINK("#",""), HYPERLINK(CONCATENATE("#Metadata!", ADDRESS(INDEX($AJ$2:$AJ$1001,MATCH(ROWS($AH$2:AH957),$AH$2:$AH$1001,0),0), INDEX($AO$1004:$BQ$1004,1,MATCH(COLUMNS($AO$1006:AP1006),$AO$1006:$BQ$1006,0)))),"Fix")))</f>
        <v>#N/A</v>
      </c>
      <c r="D957" s="5" t="e">
        <f ca="1">IF(OR(INDEX($AI$2:$AI$1001,MATCH(ROWS($AH$2:AH957),$AH$2:$AH$1001,0),1)&gt;=100000,INDEX($AO$1005:$BQ$1005,1,MATCH(COLUMNS($AO$1006:AQ1006),$AO$1006:$BQ$1006,0))&gt;=100000), " ",IF(INDEX($AO$2:$BQ$1001,MATCH(ROWS($AH$2:AH957),$AH$2:$AH$1001,0),MATCH(COLUMNS($AO$1006:AQ1006),$AO$1006:$BQ$1006,0)), HYPERLINK("#",""), HYPERLINK(CONCATENATE("#Metadata!", ADDRESS(INDEX($AJ$2:$AJ$1001,MATCH(ROWS($AH$2:AH957),$AH$2:$AH$1001,0),0), INDEX($AO$1004:$BQ$1004,1,MATCH(COLUMNS($AO$1006:AQ1006),$AO$1006:$BQ$1006,0)))),"Fix")))</f>
        <v>#N/A</v>
      </c>
      <c r="E957" s="5" t="e">
        <f ca="1">IF(OR(INDEX($AI$2:$AI$1001,MATCH(ROWS($AH$2:AH957),$AH$2:$AH$1001,0),1)&gt;=100000,INDEX($AO$1005:$BQ$1005,1,MATCH(COLUMNS($AO$1006:AR1006),$AO$1006:$BQ$1006,0))&gt;=100000), " ",IF(INDEX($AO$2:$BQ$1001,MATCH(ROWS($AH$2:AH957),$AH$2:$AH$1001,0),MATCH(COLUMNS($AO$1006:AR1006),$AO$1006:$BQ$1006,0)), HYPERLINK("#",""), HYPERLINK(CONCATENATE("#Metadata!", ADDRESS(INDEX($AJ$2:$AJ$1001,MATCH(ROWS($AH$2:AH957),$AH$2:$AH$1001,0),0), INDEX($AO$1004:$BQ$1004,1,MATCH(COLUMNS($AO$1006:AR1006),$AO$1006:$BQ$1006,0)))),"Fix")))</f>
        <v>#N/A</v>
      </c>
      <c r="F957" s="5" t="e">
        <f ca="1">IF(OR(INDEX($AI$2:$AI$1001,MATCH(ROWS($AH$2:AH957),$AH$2:$AH$1001,0),1)&gt;=100000,INDEX($AO$1005:$BQ$1005,1,MATCH(COLUMNS($AO$1006:AS1006),$AO$1006:$BQ$1006,0))&gt;=100000), " ",IF(INDEX($AO$2:$BQ$1001,MATCH(ROWS($AH$2:AH957),$AH$2:$AH$1001,0),MATCH(COLUMNS($AO$1006:AS1006),$AO$1006:$BQ$1006,0)), HYPERLINK("#",""), HYPERLINK(CONCATENATE("#Metadata!", ADDRESS(INDEX($AJ$2:$AJ$1001,MATCH(ROWS($AH$2:AH957),$AH$2:$AH$1001,0),0), INDEX($AO$1004:$BQ$1004,1,MATCH(COLUMNS($AO$1006:AS1006),$AO$1006:$BQ$1006,0)))),"Fix")))</f>
        <v>#N/A</v>
      </c>
      <c r="G957" s="5" t="e">
        <f ca="1">IF(OR(INDEX($AI$2:$AI$1001,MATCH(ROWS($AH$2:AH957),$AH$2:$AH$1001,0),1)&gt;=100000,INDEX($AO$1005:$BQ$1005,1,MATCH(COLUMNS($AO$1006:AT1006),$AO$1006:$BQ$1006,0))&gt;=100000), " ",IF(INDEX($AO$2:$BQ$1001,MATCH(ROWS($AH$2:AH957),$AH$2:$AH$1001,0),MATCH(COLUMNS($AO$1006:AT1006),$AO$1006:$BQ$1006,0)), HYPERLINK("#",""), HYPERLINK(CONCATENATE("#Metadata!", ADDRESS(INDEX($AJ$2:$AJ$1001,MATCH(ROWS($AH$2:AH957),$AH$2:$AH$1001,0),0), INDEX($AO$1004:$BQ$1004,1,MATCH(COLUMNS($AO$1006:AT1006),$AO$1006:$BQ$1006,0)))),"Fix")))</f>
        <v>#N/A</v>
      </c>
      <c r="H957" s="5" t="e">
        <f ca="1">IF(OR(INDEX($AI$2:$AI$1001,MATCH(ROWS($AH$2:AH957),$AH$2:$AH$1001,0),1)&gt;=100000,INDEX($AO$1005:$BQ$1005,1,MATCH(COLUMNS($AO$1006:AU1006),$AO$1006:$BQ$1006,0))&gt;=100000), " ",IF(INDEX($AO$2:$BQ$1001,MATCH(ROWS($AH$2:AH957),$AH$2:$AH$1001,0),MATCH(COLUMNS($AO$1006:AU1006),$AO$1006:$BQ$1006,0)), HYPERLINK("#",""), HYPERLINK(CONCATENATE("#Metadata!", ADDRESS(INDEX($AJ$2:$AJ$1001,MATCH(ROWS($AH$2:AH957),$AH$2:$AH$1001,0),0), INDEX($AO$1004:$BQ$1004,1,MATCH(COLUMNS($AO$1006:AU1006),$AO$1006:$BQ$1006,0)))),"Fix")))</f>
        <v>#N/A</v>
      </c>
      <c r="I957" s="5" t="e">
        <f ca="1">IF(OR(INDEX($AI$2:$AI$1001,MATCH(ROWS($AH$2:AH957),$AH$2:$AH$1001,0),1)&gt;=100000,INDEX($AO$1005:$BQ$1005,1,MATCH(COLUMNS($AO$1006:AV1006),$AO$1006:$BQ$1006,0))&gt;=100000), " ",IF(INDEX($AO$2:$BQ$1001,MATCH(ROWS($AH$2:AH957),$AH$2:$AH$1001,0),MATCH(COLUMNS($AO$1006:AV1006),$AO$1006:$BQ$1006,0)), HYPERLINK("#",""), HYPERLINK(CONCATENATE("#Metadata!", ADDRESS(INDEX($AJ$2:$AJ$1001,MATCH(ROWS($AH$2:AH957),$AH$2:$AH$1001,0),0), INDEX($AO$1004:$BQ$1004,1,MATCH(COLUMNS($AO$1006:AV1006),$AO$1006:$BQ$1006,0)))),"Fix")))</f>
        <v>#N/A</v>
      </c>
      <c r="J957" s="5" t="e">
        <f ca="1">IF(OR(INDEX($AI$2:$AI$1001,MATCH(ROWS($AH$2:AH957),$AH$2:$AH$1001,0),1)&gt;=100000,INDEX($AO$1005:$BQ$1005,1,MATCH(COLUMNS($AO$1006:AW1006),$AO$1006:$BQ$1006,0))&gt;=100000), " ",IF(INDEX($AO$2:$BQ$1001,MATCH(ROWS($AH$2:AH957),$AH$2:$AH$1001,0),MATCH(COLUMNS($AO$1006:AW1006),$AO$1006:$BQ$1006,0)), HYPERLINK("#",""), HYPERLINK(CONCATENATE("#Metadata!", ADDRESS(INDEX($AJ$2:$AJ$1001,MATCH(ROWS($AH$2:AH957),$AH$2:$AH$1001,0),0), INDEX($AO$1004:$BQ$1004,1,MATCH(COLUMNS($AO$1006:AW1006),$AO$1006:$BQ$1006,0)))),"Fix")))</f>
        <v>#N/A</v>
      </c>
      <c r="K957" s="5" t="e">
        <f ca="1">IF(OR(INDEX($AI$2:$AI$1001,MATCH(ROWS($AH$2:AH957),$AH$2:$AH$1001,0),1)&gt;=100000,INDEX($AO$1005:$BQ$1005,1,MATCH(COLUMNS($AO$1006:AX1006),$AO$1006:$BQ$1006,0))&gt;=100000), " ",IF(INDEX($AO$2:$BQ$1001,MATCH(ROWS($AH$2:AH957),$AH$2:$AH$1001,0),MATCH(COLUMNS($AO$1006:AX1006),$AO$1006:$BQ$1006,0)), HYPERLINK("#",""), HYPERLINK(CONCATENATE("#Metadata!", ADDRESS(INDEX($AJ$2:$AJ$1001,MATCH(ROWS($AH$2:AH957),$AH$2:$AH$1001,0),0), INDEX($AO$1004:$BQ$1004,1,MATCH(COLUMNS($AO$1006:AX1006),$AO$1006:$BQ$1006,0)))),"Fix")))</f>
        <v>#N/A</v>
      </c>
      <c r="L957" s="5" t="e">
        <f ca="1">IF(OR(INDEX($AI$2:$AI$1001,MATCH(ROWS($AH$2:AH957),$AH$2:$AH$1001,0),1)&gt;=100000,INDEX($AO$1005:$BQ$1005,1,MATCH(COLUMNS($AO$1006:AY1006),$AO$1006:$BQ$1006,0))&gt;=100000), " ",IF(INDEX($AO$2:$BQ$1001,MATCH(ROWS($AH$2:AH957),$AH$2:$AH$1001,0),MATCH(COLUMNS($AO$1006:AY1006),$AO$1006:$BQ$1006,0)), HYPERLINK("#",""), HYPERLINK(CONCATENATE("#Metadata!", ADDRESS(INDEX($AJ$2:$AJ$1001,MATCH(ROWS($AH$2:AH957),$AH$2:$AH$1001,0),0), INDEX($AO$1004:$BQ$1004,1,MATCH(COLUMNS($AO$1006:AY1006),$AO$1006:$BQ$1006,0)))),"Fix")))</f>
        <v>#N/A</v>
      </c>
      <c r="M957" s="5" t="e">
        <f ca="1">IF(OR(INDEX($AI$2:$AI$1001,MATCH(ROWS($AH$2:AH957),$AH$2:$AH$1001,0),1)&gt;=100000,INDEX($AO$1005:$BQ$1005,1,MATCH(COLUMNS($AO$1006:AZ1006),$AO$1006:$BQ$1006,0))&gt;=100000), " ",IF(INDEX($AO$2:$BQ$1001,MATCH(ROWS($AH$2:AH957),$AH$2:$AH$1001,0),MATCH(COLUMNS($AO$1006:AZ1006),$AO$1006:$BQ$1006,0)), HYPERLINK("#",""), HYPERLINK(CONCATENATE("#Metadata!", ADDRESS(INDEX($AJ$2:$AJ$1001,MATCH(ROWS($AH$2:AH957),$AH$2:$AH$1001,0),0), INDEX($AO$1004:$BQ$1004,1,MATCH(COLUMNS($AO$1006:AZ1006),$AO$1006:$BQ$1006,0)))),"Fix")))</f>
        <v>#N/A</v>
      </c>
      <c r="N957" s="5" t="e">
        <f ca="1">IF(OR(INDEX($AI$2:$AI$1001,MATCH(ROWS($AH$2:AH957),$AH$2:$AH$1001,0),1)&gt;=100000,INDEX($AO$1005:$BQ$1005,1,MATCH(COLUMNS($AO$1006:BA1006),$AO$1006:$BQ$1006,0))&gt;=100000), " ",IF(INDEX($AO$2:$BQ$1001,MATCH(ROWS($AH$2:AH957),$AH$2:$AH$1001,0),MATCH(COLUMNS($AO$1006:BA1006),$AO$1006:$BQ$1006,0)), HYPERLINK("#",""), HYPERLINK(CONCATENATE("#Metadata!", ADDRESS(INDEX($AJ$2:$AJ$1001,MATCH(ROWS($AH$2:AH957),$AH$2:$AH$1001,0),0), INDEX($AO$1004:$BQ$1004,1,MATCH(COLUMNS($AO$1006:BA1006),$AO$1006:$BQ$1006,0)))),"Fix")))</f>
        <v>#N/A</v>
      </c>
      <c r="O957" s="5" t="e">
        <f ca="1">IF(OR(INDEX($AI$2:$AI$1001,MATCH(ROWS($AH$2:AH957),$AH$2:$AH$1001,0),1)&gt;=100000,INDEX($AO$1005:$BQ$1005,1,MATCH(COLUMNS($AO$1006:BB1006),$AO$1006:$BQ$1006,0))&gt;=100000), " ",IF(INDEX($AO$2:$BQ$1001,MATCH(ROWS($AH$2:AH957),$AH$2:$AH$1001,0),MATCH(COLUMNS($AO$1006:BB1006),$AO$1006:$BQ$1006,0)), HYPERLINK("#",""), HYPERLINK(CONCATENATE("#Metadata!", ADDRESS(INDEX($AJ$2:$AJ$1001,MATCH(ROWS($AH$2:AH957),$AH$2:$AH$1001,0),0), INDEX($AO$1004:$BQ$1004,1,MATCH(COLUMNS($AO$1006:BB1006),$AO$1006:$BQ$1006,0)))),"Fix")))</f>
        <v>#N/A</v>
      </c>
      <c r="P957" s="5" t="e">
        <f ca="1">IF(OR(INDEX($AI$2:$AI$1001,MATCH(ROWS($AH$2:AH957),$AH$2:$AH$1001,0),1)&gt;=100000,INDEX($AO$1005:$BQ$1005,1,MATCH(COLUMNS($AO$1006:BC1006),$AO$1006:$BQ$1006,0))&gt;=100000), " ",IF(INDEX($AO$2:$BQ$1001,MATCH(ROWS($AH$2:AH957),$AH$2:$AH$1001,0),MATCH(COLUMNS($AO$1006:BC1006),$AO$1006:$BQ$1006,0)), HYPERLINK("#",""), HYPERLINK(CONCATENATE("#Metadata!", ADDRESS(INDEX($AJ$2:$AJ$1001,MATCH(ROWS($AH$2:AH957),$AH$2:$AH$1001,0),0), INDEX($AO$1004:$BQ$1004,1,MATCH(COLUMNS($AO$1006:BC1006),$AO$1006:$BQ$1006,0)))),"Fix")))</f>
        <v>#N/A</v>
      </c>
      <c r="Q957" s="5" t="e">
        <f ca="1">IF(OR(INDEX($AI$2:$AI$1001,MATCH(ROWS($AH$2:AH957),$AH$2:$AH$1001,0),1)&gt;=100000,INDEX($AO$1005:$BQ$1005,1,MATCH(COLUMNS($AO$1006:BD1006),$AO$1006:$BQ$1006,0))&gt;=100000), " ",IF(INDEX($AO$2:$BQ$1001,MATCH(ROWS($AH$2:AH957),$AH$2:$AH$1001,0),MATCH(COLUMNS($AO$1006:BD1006),$AO$1006:$BQ$1006,0)), HYPERLINK("#",""), HYPERLINK(CONCATENATE("#Metadata!", ADDRESS(INDEX($AJ$2:$AJ$1001,MATCH(ROWS($AH$2:AH957),$AH$2:$AH$1001,0),0), INDEX($AO$1004:$BQ$1004,1,MATCH(COLUMNS($AO$1006:BD1006),$AO$1006:$BQ$1006,0)))),"Fix")))</f>
        <v>#N/A</v>
      </c>
      <c r="R957" s="5" t="e">
        <f ca="1">IF(OR(INDEX($AI$2:$AI$1001,MATCH(ROWS($AH$2:AH957),$AH$2:$AH$1001,0),1)&gt;=100000,INDEX($AO$1005:$BQ$1005,1,MATCH(COLUMNS($AO$1006:BE1006),$AO$1006:$BQ$1006,0))&gt;=100000), " ",IF(INDEX($AO$2:$BQ$1001,MATCH(ROWS($AH$2:AH957),$AH$2:$AH$1001,0),MATCH(COLUMNS($AO$1006:BE1006),$AO$1006:$BQ$1006,0)), HYPERLINK("#",""), HYPERLINK(CONCATENATE("#Metadata!", ADDRESS(INDEX($AJ$2:$AJ$1001,MATCH(ROWS($AH$2:AH957),$AH$2:$AH$1001,0),0), INDEX($AO$1004:$BQ$1004,1,MATCH(COLUMNS($AO$1006:BE1006),$AO$1006:$BQ$1006,0)))),"Fix")))</f>
        <v>#N/A</v>
      </c>
      <c r="S957" s="5" t="e">
        <f ca="1">IF(OR(INDEX($AI$2:$AI$1001,MATCH(ROWS($AH$2:AH957),$AH$2:$AH$1001,0),1)&gt;=100000,INDEX($AO$1005:$BQ$1005,1,MATCH(COLUMNS($AO$1006:BF1006),$AO$1006:$BQ$1006,0))&gt;=100000), " ",IF(INDEX($AO$2:$BQ$1001,MATCH(ROWS($AH$2:AH957),$AH$2:$AH$1001,0),MATCH(COLUMNS($AO$1006:BF1006),$AO$1006:$BQ$1006,0)), HYPERLINK("#",""), HYPERLINK(CONCATENATE("#Metadata!", ADDRESS(INDEX($AJ$2:$AJ$1001,MATCH(ROWS($AH$2:AH957),$AH$2:$AH$1001,0),0), INDEX($AO$1004:$BQ$1004,1,MATCH(COLUMNS($AO$1006:BF1006),$AO$1006:$BQ$1006,0)))),"Fix")))</f>
        <v>#N/A</v>
      </c>
      <c r="T957" s="5" t="e">
        <f ca="1">IF(OR(INDEX($AI$2:$AI$1001,MATCH(ROWS($AH$2:AH957),$AH$2:$AH$1001,0),1)&gt;=100000,INDEX($AO$1005:$BQ$1005,1,MATCH(COLUMNS($AO$1006:BG1006),$AO$1006:$BQ$1006,0))&gt;=100000), " ",IF(INDEX($AO$2:$BQ$1001,MATCH(ROWS($AH$2:AH957),$AH$2:$AH$1001,0),MATCH(COLUMNS($AO$1006:BG1006),$AO$1006:$BQ$1006,0)), HYPERLINK("#",""), HYPERLINK(CONCATENATE("#Metadata!", ADDRESS(INDEX($AJ$2:$AJ$1001,MATCH(ROWS($AH$2:AH957),$AH$2:$AH$1001,0),0), INDEX($AO$1004:$BQ$1004,1,MATCH(COLUMNS($AO$1006:BG1006),$AO$1006:$BQ$1006,0)))),"Fix")))</f>
        <v>#N/A</v>
      </c>
      <c r="U957" s="5" t="e">
        <f ca="1">IF(OR(INDEX($AI$2:$AI$1001,MATCH(ROWS($AH$2:AH957),$AH$2:$AH$1001,0),1)&gt;=100000,INDEX($AO$1005:$BQ$1005,1,MATCH(COLUMNS($AO$1006:BH1006),$AO$1006:$BQ$1006,0))&gt;=100000), " ",IF(INDEX($AO$2:$BQ$1001,MATCH(ROWS($AH$2:AH957),$AH$2:$AH$1001,0),MATCH(COLUMNS($AO$1006:BH1006),$AO$1006:$BQ$1006,0)), HYPERLINK("#",""), HYPERLINK(CONCATENATE("#Metadata!", ADDRESS(INDEX($AJ$2:$AJ$1001,MATCH(ROWS($AH$2:AH957),$AH$2:$AH$1001,0),0), INDEX($AO$1004:$BQ$1004,1,MATCH(COLUMNS($AO$1006:BH1006),$AO$1006:$BQ$1006,0)))),"Fix")))</f>
        <v>#N/A</v>
      </c>
      <c r="V957" s="5" t="e">
        <f ca="1">IF(OR(INDEX($AI$2:$AI$1001,MATCH(ROWS($AH$2:AH957),$AH$2:$AH$1001,0),1)&gt;=100000,INDEX($AO$1005:$BQ$1005,1,MATCH(COLUMNS($AO$1006:BI1006),$AO$1006:$BQ$1006,0))&gt;=100000), " ",IF(INDEX($AO$2:$BQ$1001,MATCH(ROWS($AH$2:AH957),$AH$2:$AH$1001,0),MATCH(COLUMNS($AO$1006:BI1006),$AO$1006:$BQ$1006,0)), HYPERLINK("#",""), HYPERLINK(CONCATENATE("#Metadata!", ADDRESS(INDEX($AJ$2:$AJ$1001,MATCH(ROWS($AH$2:AH957),$AH$2:$AH$1001,0),0), INDEX($AO$1004:$BQ$1004,1,MATCH(COLUMNS($AO$1006:BI1006),$AO$1006:$BQ$1006,0)))),"Fix")))</f>
        <v>#N/A</v>
      </c>
      <c r="W957" s="5" t="e">
        <f ca="1">IF(OR(INDEX($AI$2:$AI$1001,MATCH(ROWS($AH$2:AH957),$AH$2:$AH$1001,0),1)&gt;=100000,INDEX($AO$1005:$BQ$1005,1,MATCH(COLUMNS($AO$1006:BJ1006),$AO$1006:$BQ$1006,0))&gt;=100000), " ",IF(INDEX($AO$2:$BQ$1001,MATCH(ROWS($AH$2:AH957),$AH$2:$AH$1001,0),MATCH(COLUMNS($AO$1006:BJ1006),$AO$1006:$BQ$1006,0)), HYPERLINK("#",""), HYPERLINK(CONCATENATE("#Metadata!", ADDRESS(INDEX($AJ$2:$AJ$1001,MATCH(ROWS($AH$2:AH957),$AH$2:$AH$1001,0),0), INDEX($AO$1004:$BQ$1004,1,MATCH(COLUMNS($AO$1006:BJ1006),$AO$1006:$BQ$1006,0)))),"Fix")))</f>
        <v>#N/A</v>
      </c>
      <c r="X957" s="5" t="e">
        <f ca="1">IF(OR(INDEX($AI$2:$AI$1001,MATCH(ROWS($AH$2:AH957),$AH$2:$AH$1001,0),1)&gt;=100000,INDEX($AO$1005:$BQ$1005,1,MATCH(COLUMNS($AO$1006:BK1006),$AO$1006:$BQ$1006,0))&gt;=100000), " ",IF(INDEX($AO$2:$BQ$1001,MATCH(ROWS($AH$2:AH957),$AH$2:$AH$1001,0),MATCH(COLUMNS($AO$1006:BK1006),$AO$1006:$BQ$1006,0)), HYPERLINK("#",""), HYPERLINK(CONCATENATE("#Metadata!", ADDRESS(INDEX($AJ$2:$AJ$1001,MATCH(ROWS($AH$2:AH957),$AH$2:$AH$1001,0),0), INDEX($AO$1004:$BQ$1004,1,MATCH(COLUMNS($AO$1006:BK1006),$AO$1006:$BQ$1006,0)))),"Fix")))</f>
        <v>#N/A</v>
      </c>
      <c r="Y957" s="5" t="e">
        <f ca="1">IF(OR(INDEX($AI$2:$AI$1001,MATCH(ROWS($AH$2:AH957),$AH$2:$AH$1001,0),1)&gt;=100000,INDEX($AO$1005:$BQ$1005,1,MATCH(COLUMNS($AO$1006:BL1006),$AO$1006:$BQ$1006,0))&gt;=100000), " ",IF(INDEX($AO$2:$BQ$1001,MATCH(ROWS($AH$2:AH957),$AH$2:$AH$1001,0),MATCH(COLUMNS($AO$1006:BL1006),$AO$1006:$BQ$1006,0)), HYPERLINK("#",""), HYPERLINK(CONCATENATE("#Metadata!", ADDRESS(INDEX($AJ$2:$AJ$1001,MATCH(ROWS($AH$2:AH957),$AH$2:$AH$1001,0),0), INDEX($AO$1004:$BQ$1004,1,MATCH(COLUMNS($AO$1006:BL1006),$AO$1006:$BQ$1006,0)))),"Fix")))</f>
        <v>#N/A</v>
      </c>
      <c r="Z957" s="5" t="e">
        <f ca="1">IF(OR(INDEX($AI$2:$AI$1001,MATCH(ROWS($AH$2:AH957),$AH$2:$AH$1001,0),1)&gt;=100000,INDEX($AO$1005:$BQ$1005,1,MATCH(COLUMNS($AO$1006:BM1006),$AO$1006:$BQ$1006,0))&gt;=100000), " ",IF(INDEX($AO$2:$BQ$1001,MATCH(ROWS($AH$2:AH957),$AH$2:$AH$1001,0),MATCH(COLUMNS($AO$1006:BM1006),$AO$1006:$BQ$1006,0)), HYPERLINK("#",""), HYPERLINK(CONCATENATE("#Metadata!", ADDRESS(INDEX($AJ$2:$AJ$1001,MATCH(ROWS($AH$2:AH957),$AH$2:$AH$1001,0),0), INDEX($AO$1004:$BQ$1004,1,MATCH(COLUMNS($AO$1006:BM1006),$AO$1006:$BQ$1006,0)))),"Fix")))</f>
        <v>#N/A</v>
      </c>
      <c r="AA957" s="5" t="e">
        <f ca="1">IF(OR(INDEX($AI$2:$AI$1001,MATCH(ROWS($AH$2:AH957),$AH$2:$AH$1001,0),1)&gt;=100000,INDEX($AO$1005:$BQ$1005,1,MATCH(COLUMNS($AO$1006:BN1006),$AO$1006:$BQ$1006,0))&gt;=100000), " ",IF(INDEX($AO$2:$BQ$1001,MATCH(ROWS($AH$2:AH957),$AH$2:$AH$1001,0),MATCH(COLUMNS($AO$1006:BN1006),$AO$1006:$BQ$1006,0)), HYPERLINK("#",""), HYPERLINK(CONCATENATE("#Metadata!", ADDRESS(INDEX($AJ$2:$AJ$1001,MATCH(ROWS($AH$2:AH957),$AH$2:$AH$1001,0),0), INDEX($AO$1004:$BQ$1004,1,MATCH(COLUMNS($AO$1006:BN1006),$AO$1006:$BQ$1006,0)))),"Fix")))</f>
        <v>#N/A</v>
      </c>
      <c r="AB957" s="5" t="e">
        <f ca="1">IF(OR(INDEX($AI$2:$AI$1001,MATCH(ROWS($AH$2:AH957),$AH$2:$AH$1001,0),1)&gt;=100000,INDEX($AO$1005:$BQ$1005,1,MATCH(COLUMNS($AO$1006:BO1006),$AO$1006:$BQ$1006,0))&gt;=100000), " ",IF(INDEX($AO$2:$BQ$1001,MATCH(ROWS($AH$2:AH957),$AH$2:$AH$1001,0),MATCH(COLUMNS($AO$1006:BO1006),$AO$1006:$BQ$1006,0)), HYPERLINK("#",""), HYPERLINK(CONCATENATE("#Metadata!", ADDRESS(INDEX($AJ$2:$AJ$1001,MATCH(ROWS($AH$2:AH957),$AH$2:$AH$1001,0),0), INDEX($AO$1004:$BQ$1004,1,MATCH(COLUMNS($AO$1006:BO1006),$AO$1006:$BQ$1006,0)))),"Fix")))</f>
        <v>#N/A</v>
      </c>
      <c r="AC957" s="5" t="e">
        <f ca="1">IF(OR(INDEX($AI$2:$AI$1001,MATCH(ROWS($AH$2:AH957),$AH$2:$AH$1001,0),1)&gt;=100000,INDEX($AO$1005:$BQ$1005,1,MATCH(COLUMNS($AO$1006:BP1006),$AO$1006:$BQ$1006,0))&gt;=100000), " ",IF(INDEX($AO$2:$BQ$1001,MATCH(ROWS($AH$2:AH957),$AH$2:$AH$1001,0),MATCH(COLUMNS($AO$1006:BP1006),$AO$1006:$BQ$1006,0)), HYPERLINK("#",""), HYPERLINK(CONCATENATE("#Metadata!", ADDRESS(INDEX($AJ$2:$AJ$1001,MATCH(ROWS($AH$2:AH957),$AH$2:$AH$1001,0),0), INDEX($AO$1004:$BQ$1004,1,MATCH(COLUMNS($AO$1006:BP1006),$AO$1006:$BQ$1006,0)))),"Fix")))</f>
        <v>#N/A</v>
      </c>
      <c r="AD957" s="5" t="e">
        <f ca="1">IF(OR(INDEX($AI$2:$AI$1001,MATCH(ROWS($AH$2:AH957),$AH$2:$AH$1001,0),1)&gt;=100000,INDEX($AO$1005:$BQ$1005,1,MATCH(COLUMNS($AO$1006:BQ1006),$AO$1006:$BQ$1006,0))&gt;=100000), " ",IF(INDEX($AO$2:$BQ$1001,MATCH(ROWS($AH$2:AH957),$AH$2:$AH$1001,0),MATCH(COLUMNS($AO$1006:BQ1006),$AO$1006:$BQ$1006,0)), HYPERLINK("#",""), HYPERLINK(CONCATENATE("#Metadata!", ADDRESS(INDEX($AJ$2:$AJ$1001,MATCH(ROWS($AH$2:AH957),$AH$2:$AH$1001,0),0), INDEX($AO$1004:$BQ$1004,1,MATCH(COLUMNS($AO$1006:BQ1006),$AO$1006:$BQ$1006,0)))),"Fix")))</f>
        <v>#REF!</v>
      </c>
      <c r="AH957">
        <f ca="1"/>
        <v>954</v>
      </c>
      <c r="AI957">
        <v>100957</v>
      </c>
      <c r="AJ957">
        <v>957</v>
      </c>
      <c r="AK957" t="b">
        <f t="shared" si="14"/>
        <v>1</v>
      </c>
      <c r="AL957" t="b">
        <f>COUNTBLANK(Metadata!B957:AD957)=COLUMNS(Metadata!B957:AD957)</f>
        <v>1</v>
      </c>
      <c r="AM957" t="str">
        <v/>
      </c>
      <c r="AO957" t="b">
        <f ca="1">AND(IF(Metadata!B957="",FALSE,TRUE),COUNTIF(Metadata!B:B, Metadata!B957) = 1,NOT(ISERROR(SUMPRODUCT(SEARCH(MID(Metadata!B957,ROW(INDIRECT("1:"&amp;LEN(Metadata!B957))), 1),"0123456789abcdefghijklmnopqrstuvwxyzABCDEFGHIJKLMNOPQRSTUVWXYZ.")))))</f>
        <v>0</v>
      </c>
      <c r="AP957" t="b">
        <f>IF(Metadata!C957="",FALSE,TRUE)</f>
        <v>0</v>
      </c>
      <c r="AQ957" t="b">
        <f>IF(Metadata!D957="",FALSE,TRUE)</f>
        <v>0</v>
      </c>
      <c r="AR957" t="b">
        <f ca="1">OR(AND(IF(Metadata!E957="",FALSE,TRUE),OR(EXACT(Metadata!E957,"not collected"),EXACT(Metadata!E957,"not provided"),EXACT(Metadata!E957,"restricted access"))),AND(IF(Metadata!E957="",FALSE,TRUE),AND(AND(IFERROR(INT(LEFT(Metadata!E957,4))&gt;1900,FALSE),IFERROR(INT(LEFT(Metadata!E957,4))&lt;=YEAR(NOW()),FALSE)), OR(MID(Metadata!E957,5,1)="", AND(AND(MID(Metadata!E957,5,1)="-",IFERROR(INT(MID(Metadata!E957,6,1))&gt;=0,FALSE),IFERROR(INT(MID(Metadata!E957,6,1))&lt;=1,FALSE),NOT(MID(Metadata!E957,7,1)=""),IFERROR(INT(MID(Metadata!E957,6,2))&gt;=1,FALSE),IFERROR(INT(MID(Metadata!E957,6,2))&lt;=12,FALSE)), OR(MID(Metadata!E957,8,1)="", AND(AND(MID(Metadata!E957,8,1)="-",IFERROR(INT(MID(Metadata!E957,9,1))&gt;=0,FALSE),IFERROR(INT(MID(Metadata!E957,9,1))&lt;=3,FALSE),NOT(MID(Metadata!E957,10,1)=""),IFERROR(INT(MID(Metadata!E957,9,2))&gt;=1,FALSE),IFERROR(INT(MID(Metadata!E957,9,2))&lt;=31,FALSE)), OR(MID(Metadata!E957,11,1)="", AND(AND(MID(Metadata!E957,11,1)=" ",IFERROR(INT(MID(Metadata!E957,12,1))&gt;=0,FALSE),IFERROR(INT(MID(Metadata!E957,12,1))&lt;=2,FALSE),NOT(MID(Metadata!E957,13,1)=""),IFERROR(INT(MID(Metadata!E957,12,2))&gt;=0,FALSE),IFERROR(INT(MID(Metadata!E957,12,2))&lt;=23,FALSE)), OR(MID(Metadata!E957,14,1)="", AND(AND(MID(Metadata!E957,14,1)=":",IFERROR(INT(MID(Metadata!E957,15,1))&gt;=0,FALSE),IFERROR(INT(MID(Metadata!E957,15,1))&lt;=5,FALSE),NOT(MID(Metadata!E957,16,1)=""),IFERROR(INT(MID(Metadata!E957,15,2))&gt;=0,FALSE),IFERROR(INT(MID(Metadata!E957,15,2))&lt;=59,FALSE)), OR(MID(Metadata!E957,17,1)="", AND(AND(MID(Metadata!E957,17,1)=":",IFERROR(INT(MID(Metadata!E957,18,1))&gt;=0,FALSE),IFERROR(INT(MID(Metadata!E957,18,1))&lt;=5,FALSE),NOT(MID(Metadata!E957,19,1)=""),IFERROR(INT(MID(Metadata!E957,18,2))&gt;=0,FALSE),IFERROR(INT(MID(Metadata!E957,18,2))&lt;=59,FALSE)), LEN(Metadata!E957)&lt;=19)))))))))))))</f>
        <v>0</v>
      </c>
      <c r="AS957" t="b">
        <f>IF(Metadata!F957="",FALSE,TRUE)</f>
        <v>0</v>
      </c>
      <c r="AT957" t="b">
        <f>OR(AND(IF(Metadata!G957="",FALSE,TRUE),OR(EXACT(Metadata!G957,"not collected"),EXACT(Metadata!G957,"not provided"))),AND(IF(Metadata!G957="",FALSE,TRUE),OR(EXACT(Metadata!G957,"TRUE"),EXACT(Metadata!G957,"FALSE"))))</f>
        <v>0</v>
      </c>
      <c r="AU957" t="b">
        <f>OR(AND(IF(Metadata!H957="",FALSE,TRUE),OR(EXACT(Metadata!H957,"not collected"),EXACT(Metadata!H957,"not provided"),EXACT(Metadata!H957,"restricted access"))),AND(IF(Metadata!H957="",FALSE,ISNUMBER(VALUE(Metadata!H957))),Metadata!H957&gt;=-413))</f>
        <v>0</v>
      </c>
      <c r="AV957" t="b">
        <f>AND(IF(Metadata!I957="",FALSE,TRUE),EXACT(Metadata!I957,"meters"))</f>
        <v>0</v>
      </c>
      <c r="AW957" t="b">
        <f>AND(IF(Metadata!J957="",FALSE,TRUE),EXACT(Metadata!J957,"free-living"))</f>
        <v>0</v>
      </c>
      <c r="AX957" t="b">
        <f>AND(IF(Metadata!K957="",FALSE,TRUE),OR(EXACT(Metadata!K957,"saline"),EXACT(Metadata!K957,"non-saline")))</f>
        <v>0</v>
      </c>
      <c r="AY957" t="b">
        <f>AND(IF(Metadata!L957="",FALSE,TRUE),OR(EXACT(Metadata!L957,"sub-surface (non-saline)"),EXACT(Metadata!L957,"surface (non-saline)"),EXACT(Metadata!L957,"water (non-saline)"),EXACT(Metadata!L957,"soil (non-saline)"),EXACT(Metadata!L957,"aerosol (non-saline)"),EXACT(Metadata!L957,"sediment (non-saline)"),EXACT(Metadata!L957,"surface (saline)"),EXACT(Metadata!L957,"water (saline)"),EXACT(Metadata!L957,"hypersaline (saline)"),EXACT(Metadata!L957,"aerosol (saline)"),EXACT(Metadata!L957,"sediment (saline)")))</f>
        <v>0</v>
      </c>
      <c r="AZ957" t="b">
        <f>IF(Metadata!M957="",FALSE,TRUE)</f>
        <v>0</v>
      </c>
      <c r="BA957" t="b">
        <f>IF(Metadata!N957="",FALSE,TRUE)</f>
        <v>0</v>
      </c>
      <c r="BB957" t="b">
        <f>IF(Metadata!O957="",FALSE,TRUE)</f>
        <v>0</v>
      </c>
      <c r="BC957" t="b">
        <f>AND(IF(Metadata!P957="",FALSE,TRUE),OR(EXACT(Metadata!P957,"air"),EXACT(Metadata!P957,"microbial mat/biofilm"),EXACT(Metadata!P957,"misc environment"),EXACT(Metadata!P957,"sediment"),EXACT(Metadata!P957,"soil"),EXACT(Metadata!P957,"wastewater/sludge"),EXACT(Metadata!P957,"water")))</f>
        <v>0</v>
      </c>
      <c r="BD957" t="b">
        <f>IF(Metadata!Q957="",FALSE,TRUE)</f>
        <v>0</v>
      </c>
      <c r="BE957" t="b">
        <f>IF(Metadata!R957="",FALSE,TRUE)</f>
        <v>0</v>
      </c>
      <c r="BF957" t="b">
        <f>OR(AND(IF(Metadata!S957="",FALSE,TRUE),OR(EXACT(Metadata!S957,"not collected"),EXACT(Metadata!S957,"not provided"),EXACT(Metadata!S957,"restricted access"))),AND(IF(Metadata!S957="",FALSE,ISNUMBER(VALUE(Metadata!S957))),Metadata!S957&gt;=-90,Metadata!S957&lt;=90))</f>
        <v>0</v>
      </c>
      <c r="BG957" t="b">
        <f>AND(IF(Metadata!T957="",FALSE,TRUE),EXACT(Metadata!T957,"Decimal degrees"))</f>
        <v>0</v>
      </c>
      <c r="BH957" t="b">
        <f>OR(AND(IF(Metadata!U957="",FALSE,TRUE),OR(EXACT(Metadata!U957,"not applicable"),EXACT(Metadata!U957,"not collected"))),IF(Metadata!U957="",FALSE,TRUE))</f>
        <v>0</v>
      </c>
      <c r="BI957" t="b">
        <f>OR(AND(IF(Metadata!V957="",FALSE,TRUE),OR(EXACT(Metadata!V957,"not collected"),EXACT(Metadata!V957,"not provided"),EXACT(Metadata!V957,"restricted access"))),AND(IF(Metadata!V957="",FALSE,ISNUMBER(VALUE(Metadata!V957))),Metadata!V957&gt;=-180,Metadata!V957&lt;=180))</f>
        <v>0</v>
      </c>
      <c r="BJ957" t="b">
        <f>AND(IF(Metadata!W957="",FALSE,TRUE),EXACT(Metadata!W957,"Decimal degrees"))</f>
        <v>0</v>
      </c>
      <c r="BK957" t="b">
        <f>IF(Metadata!X957="",FALSE,TRUE)</f>
        <v>0</v>
      </c>
      <c r="BL957" t="b">
        <f>OR(AND(IF(Metadata!Y957="",FALSE,TRUE),OR(EXACT(Metadata!Y957,"not collected"),EXACT(Metadata!Y957,"not provided"),EXACT(Metadata!Y957,"restricted access"))),AND(IF(Metadata!Y957="",FALSE,TRUE),OR(EXACT(Metadata!Y957,"TRUE"),EXACT(Metadata!Y957,"FALSE"))))</f>
        <v>0</v>
      </c>
      <c r="BM957" t="b">
        <f>OR(AND(IF(Metadata!Z957="",FALSE,TRUE),EXACT(Metadata!Z957,"not applicable")),AND(IF(Metadata!Z957="",FALSE,TRUE),OR(EXACT(Metadata!Z957,"beer"),EXACT(Metadata!Z957,"cheese"),EXACT(Metadata!Z957,"fresh water"),EXACT(Metadata!Z957,"marine sediment"),EXACT(Metadata!Z957,"sea water"),EXACT(Metadata!Z957,"sediment"),EXACT(Metadata!Z957,"soil"),EXACT(Metadata!Z957,"waste water"))))</f>
        <v>0</v>
      </c>
      <c r="BN957" t="b">
        <f>AND(IF(Metadata!AA957="",FALSE,TRUE),EXACT(Metadata!AA957,"metagenome"))</f>
        <v>0</v>
      </c>
      <c r="BO957" t="b">
        <f>AND(IF(Metadata!AB957="",FALSE,TRUE),EXACT(Metadata!AB957,"256318"))</f>
        <v>0</v>
      </c>
      <c r="BP957" t="b">
        <f>IF(Metadata!AC957="",FALSE,TRUE)</f>
        <v>0</v>
      </c>
      <c r="BQ957" t="b">
        <f>IF(Metadata!AD957="",FALSE,TRUE)</f>
        <v>0</v>
      </c>
    </row>
    <row r="958" spans="1:69" x14ac:dyDescent="0.2">
      <c r="A958" s="4" t="e">
        <f ca="1">IF(B958=" "," ",HYPERLINK(CONCATENATE("#metadata!",ADDRESS(INDEX($AJ$2:$AJ$1001,MATCH(ROWS($AH$2:AH958),$AH$2:$AH$1001,0),0),2)),INDEX($AM$2:$AM$1001,MATCH(ROWS($AH$2:AH958),$AH$2:$AH$1001,0),0)))</f>
        <v>#N/A</v>
      </c>
      <c r="B958" s="5" t="e">
        <f ca="1">IF(OR(INDEX($AI$2:$AI$1001,MATCH(ROWS($AH$2:AH958),$AH$2:$AH$1001,0),1)&gt;=100000,INDEX($AO$1005:$BQ$1005,1,MATCH(COLUMNS($AO$1006:AO1006),$AO$1006:$BQ$1006,0))&gt;=100000), " ",IF(INDEX($AO$2:$BQ$1001,MATCH(ROWS($AH$2:AH958),$AH$2:$AH$1001,0),MATCH(COLUMNS($AO$1006:AO1006),$AO$1006:$BQ$1006,0)), HYPERLINK("#",""), HYPERLINK(CONCATENATE("#Metadata!", ADDRESS(INDEX($AJ$2:$AJ$1001,MATCH(ROWS($AH$2:AH958),$AH$2:$AH$1001,0),0), INDEX($AO$1004:$BQ$1004,1,MATCH(COLUMNS($AO$1006:AO1006),$AO$1006:$BQ$1006,0)))),"Fix")))</f>
        <v>#N/A</v>
      </c>
      <c r="C958" s="5" t="e">
        <f ca="1">IF(OR(INDEX($AI$2:$AI$1001,MATCH(ROWS($AH$2:AH958),$AH$2:$AH$1001,0),1)&gt;=100000,INDEX($AO$1005:$BQ$1005,1,MATCH(COLUMNS($AO$1006:AP1006),$AO$1006:$BQ$1006,0))&gt;=100000), " ",IF(INDEX($AO$2:$BQ$1001,MATCH(ROWS($AH$2:AH958),$AH$2:$AH$1001,0),MATCH(COLUMNS($AO$1006:AP1006),$AO$1006:$BQ$1006,0)), HYPERLINK("#",""), HYPERLINK(CONCATENATE("#Metadata!", ADDRESS(INDEX($AJ$2:$AJ$1001,MATCH(ROWS($AH$2:AH958),$AH$2:$AH$1001,0),0), INDEX($AO$1004:$BQ$1004,1,MATCH(COLUMNS($AO$1006:AP1006),$AO$1006:$BQ$1006,0)))),"Fix")))</f>
        <v>#N/A</v>
      </c>
      <c r="D958" s="5" t="e">
        <f ca="1">IF(OR(INDEX($AI$2:$AI$1001,MATCH(ROWS($AH$2:AH958),$AH$2:$AH$1001,0),1)&gt;=100000,INDEX($AO$1005:$BQ$1005,1,MATCH(COLUMNS($AO$1006:AQ1006),$AO$1006:$BQ$1006,0))&gt;=100000), " ",IF(INDEX($AO$2:$BQ$1001,MATCH(ROWS($AH$2:AH958),$AH$2:$AH$1001,0),MATCH(COLUMNS($AO$1006:AQ1006),$AO$1006:$BQ$1006,0)), HYPERLINK("#",""), HYPERLINK(CONCATENATE("#Metadata!", ADDRESS(INDEX($AJ$2:$AJ$1001,MATCH(ROWS($AH$2:AH958),$AH$2:$AH$1001,0),0), INDEX($AO$1004:$BQ$1004,1,MATCH(COLUMNS($AO$1006:AQ1006),$AO$1006:$BQ$1006,0)))),"Fix")))</f>
        <v>#N/A</v>
      </c>
      <c r="E958" s="5" t="e">
        <f ca="1">IF(OR(INDEX($AI$2:$AI$1001,MATCH(ROWS($AH$2:AH958),$AH$2:$AH$1001,0),1)&gt;=100000,INDEX($AO$1005:$BQ$1005,1,MATCH(COLUMNS($AO$1006:AR1006),$AO$1006:$BQ$1006,0))&gt;=100000), " ",IF(INDEX($AO$2:$BQ$1001,MATCH(ROWS($AH$2:AH958),$AH$2:$AH$1001,0),MATCH(COLUMNS($AO$1006:AR1006),$AO$1006:$BQ$1006,0)), HYPERLINK("#",""), HYPERLINK(CONCATENATE("#Metadata!", ADDRESS(INDEX($AJ$2:$AJ$1001,MATCH(ROWS($AH$2:AH958),$AH$2:$AH$1001,0),0), INDEX($AO$1004:$BQ$1004,1,MATCH(COLUMNS($AO$1006:AR1006),$AO$1006:$BQ$1006,0)))),"Fix")))</f>
        <v>#N/A</v>
      </c>
      <c r="F958" s="5" t="e">
        <f ca="1">IF(OR(INDEX($AI$2:$AI$1001,MATCH(ROWS($AH$2:AH958),$AH$2:$AH$1001,0),1)&gt;=100000,INDEX($AO$1005:$BQ$1005,1,MATCH(COLUMNS($AO$1006:AS1006),$AO$1006:$BQ$1006,0))&gt;=100000), " ",IF(INDEX($AO$2:$BQ$1001,MATCH(ROWS($AH$2:AH958),$AH$2:$AH$1001,0),MATCH(COLUMNS($AO$1006:AS1006),$AO$1006:$BQ$1006,0)), HYPERLINK("#",""), HYPERLINK(CONCATENATE("#Metadata!", ADDRESS(INDEX($AJ$2:$AJ$1001,MATCH(ROWS($AH$2:AH958),$AH$2:$AH$1001,0),0), INDEX($AO$1004:$BQ$1004,1,MATCH(COLUMNS($AO$1006:AS1006),$AO$1006:$BQ$1006,0)))),"Fix")))</f>
        <v>#N/A</v>
      </c>
      <c r="G958" s="5" t="e">
        <f ca="1">IF(OR(INDEX($AI$2:$AI$1001,MATCH(ROWS($AH$2:AH958),$AH$2:$AH$1001,0),1)&gt;=100000,INDEX($AO$1005:$BQ$1005,1,MATCH(COLUMNS($AO$1006:AT1006),$AO$1006:$BQ$1006,0))&gt;=100000), " ",IF(INDEX($AO$2:$BQ$1001,MATCH(ROWS($AH$2:AH958),$AH$2:$AH$1001,0),MATCH(COLUMNS($AO$1006:AT1006),$AO$1006:$BQ$1006,0)), HYPERLINK("#",""), HYPERLINK(CONCATENATE("#Metadata!", ADDRESS(INDEX($AJ$2:$AJ$1001,MATCH(ROWS($AH$2:AH958),$AH$2:$AH$1001,0),0), INDEX($AO$1004:$BQ$1004,1,MATCH(COLUMNS($AO$1006:AT1006),$AO$1006:$BQ$1006,0)))),"Fix")))</f>
        <v>#N/A</v>
      </c>
      <c r="H958" s="5" t="e">
        <f ca="1">IF(OR(INDEX($AI$2:$AI$1001,MATCH(ROWS($AH$2:AH958),$AH$2:$AH$1001,0),1)&gt;=100000,INDEX($AO$1005:$BQ$1005,1,MATCH(COLUMNS($AO$1006:AU1006),$AO$1006:$BQ$1006,0))&gt;=100000), " ",IF(INDEX($AO$2:$BQ$1001,MATCH(ROWS($AH$2:AH958),$AH$2:$AH$1001,0),MATCH(COLUMNS($AO$1006:AU1006),$AO$1006:$BQ$1006,0)), HYPERLINK("#",""), HYPERLINK(CONCATENATE("#Metadata!", ADDRESS(INDEX($AJ$2:$AJ$1001,MATCH(ROWS($AH$2:AH958),$AH$2:$AH$1001,0),0), INDEX($AO$1004:$BQ$1004,1,MATCH(COLUMNS($AO$1006:AU1006),$AO$1006:$BQ$1006,0)))),"Fix")))</f>
        <v>#N/A</v>
      </c>
      <c r="I958" s="5" t="e">
        <f ca="1">IF(OR(INDEX($AI$2:$AI$1001,MATCH(ROWS($AH$2:AH958),$AH$2:$AH$1001,0),1)&gt;=100000,INDEX($AO$1005:$BQ$1005,1,MATCH(COLUMNS($AO$1006:AV1006),$AO$1006:$BQ$1006,0))&gt;=100000), " ",IF(INDEX($AO$2:$BQ$1001,MATCH(ROWS($AH$2:AH958),$AH$2:$AH$1001,0),MATCH(COLUMNS($AO$1006:AV1006),$AO$1006:$BQ$1006,0)), HYPERLINK("#",""), HYPERLINK(CONCATENATE("#Metadata!", ADDRESS(INDEX($AJ$2:$AJ$1001,MATCH(ROWS($AH$2:AH958),$AH$2:$AH$1001,0),0), INDEX($AO$1004:$BQ$1004,1,MATCH(COLUMNS($AO$1006:AV1006),$AO$1006:$BQ$1006,0)))),"Fix")))</f>
        <v>#N/A</v>
      </c>
      <c r="J958" s="5" t="e">
        <f ca="1">IF(OR(INDEX($AI$2:$AI$1001,MATCH(ROWS($AH$2:AH958),$AH$2:$AH$1001,0),1)&gt;=100000,INDEX($AO$1005:$BQ$1005,1,MATCH(COLUMNS($AO$1006:AW1006),$AO$1006:$BQ$1006,0))&gt;=100000), " ",IF(INDEX($AO$2:$BQ$1001,MATCH(ROWS($AH$2:AH958),$AH$2:$AH$1001,0),MATCH(COLUMNS($AO$1006:AW1006),$AO$1006:$BQ$1006,0)), HYPERLINK("#",""), HYPERLINK(CONCATENATE("#Metadata!", ADDRESS(INDEX($AJ$2:$AJ$1001,MATCH(ROWS($AH$2:AH958),$AH$2:$AH$1001,0),0), INDEX($AO$1004:$BQ$1004,1,MATCH(COLUMNS($AO$1006:AW1006),$AO$1006:$BQ$1006,0)))),"Fix")))</f>
        <v>#N/A</v>
      </c>
      <c r="K958" s="5" t="e">
        <f ca="1">IF(OR(INDEX($AI$2:$AI$1001,MATCH(ROWS($AH$2:AH958),$AH$2:$AH$1001,0),1)&gt;=100000,INDEX($AO$1005:$BQ$1005,1,MATCH(COLUMNS($AO$1006:AX1006),$AO$1006:$BQ$1006,0))&gt;=100000), " ",IF(INDEX($AO$2:$BQ$1001,MATCH(ROWS($AH$2:AH958),$AH$2:$AH$1001,0),MATCH(COLUMNS($AO$1006:AX1006),$AO$1006:$BQ$1006,0)), HYPERLINK("#",""), HYPERLINK(CONCATENATE("#Metadata!", ADDRESS(INDEX($AJ$2:$AJ$1001,MATCH(ROWS($AH$2:AH958),$AH$2:$AH$1001,0),0), INDEX($AO$1004:$BQ$1004,1,MATCH(COLUMNS($AO$1006:AX1006),$AO$1006:$BQ$1006,0)))),"Fix")))</f>
        <v>#N/A</v>
      </c>
      <c r="L958" s="5" t="e">
        <f ca="1">IF(OR(INDEX($AI$2:$AI$1001,MATCH(ROWS($AH$2:AH958),$AH$2:$AH$1001,0),1)&gt;=100000,INDEX($AO$1005:$BQ$1005,1,MATCH(COLUMNS($AO$1006:AY1006),$AO$1006:$BQ$1006,0))&gt;=100000), " ",IF(INDEX($AO$2:$BQ$1001,MATCH(ROWS($AH$2:AH958),$AH$2:$AH$1001,0),MATCH(COLUMNS($AO$1006:AY1006),$AO$1006:$BQ$1006,0)), HYPERLINK("#",""), HYPERLINK(CONCATENATE("#Metadata!", ADDRESS(INDEX($AJ$2:$AJ$1001,MATCH(ROWS($AH$2:AH958),$AH$2:$AH$1001,0),0), INDEX($AO$1004:$BQ$1004,1,MATCH(COLUMNS($AO$1006:AY1006),$AO$1006:$BQ$1006,0)))),"Fix")))</f>
        <v>#N/A</v>
      </c>
      <c r="M958" s="5" t="e">
        <f ca="1">IF(OR(INDEX($AI$2:$AI$1001,MATCH(ROWS($AH$2:AH958),$AH$2:$AH$1001,0),1)&gt;=100000,INDEX($AO$1005:$BQ$1005,1,MATCH(COLUMNS($AO$1006:AZ1006),$AO$1006:$BQ$1006,0))&gt;=100000), " ",IF(INDEX($AO$2:$BQ$1001,MATCH(ROWS($AH$2:AH958),$AH$2:$AH$1001,0),MATCH(COLUMNS($AO$1006:AZ1006),$AO$1006:$BQ$1006,0)), HYPERLINK("#",""), HYPERLINK(CONCATENATE("#Metadata!", ADDRESS(INDEX($AJ$2:$AJ$1001,MATCH(ROWS($AH$2:AH958),$AH$2:$AH$1001,0),0), INDEX($AO$1004:$BQ$1004,1,MATCH(COLUMNS($AO$1006:AZ1006),$AO$1006:$BQ$1006,0)))),"Fix")))</f>
        <v>#N/A</v>
      </c>
      <c r="N958" s="5" t="e">
        <f ca="1">IF(OR(INDEX($AI$2:$AI$1001,MATCH(ROWS($AH$2:AH958),$AH$2:$AH$1001,0),1)&gt;=100000,INDEX($AO$1005:$BQ$1005,1,MATCH(COLUMNS($AO$1006:BA1006),$AO$1006:$BQ$1006,0))&gt;=100000), " ",IF(INDEX($AO$2:$BQ$1001,MATCH(ROWS($AH$2:AH958),$AH$2:$AH$1001,0),MATCH(COLUMNS($AO$1006:BA1006),$AO$1006:$BQ$1006,0)), HYPERLINK("#",""), HYPERLINK(CONCATENATE("#Metadata!", ADDRESS(INDEX($AJ$2:$AJ$1001,MATCH(ROWS($AH$2:AH958),$AH$2:$AH$1001,0),0), INDEX($AO$1004:$BQ$1004,1,MATCH(COLUMNS($AO$1006:BA1006),$AO$1006:$BQ$1006,0)))),"Fix")))</f>
        <v>#N/A</v>
      </c>
      <c r="O958" s="5" t="e">
        <f ca="1">IF(OR(INDEX($AI$2:$AI$1001,MATCH(ROWS($AH$2:AH958),$AH$2:$AH$1001,0),1)&gt;=100000,INDEX($AO$1005:$BQ$1005,1,MATCH(COLUMNS($AO$1006:BB1006),$AO$1006:$BQ$1006,0))&gt;=100000), " ",IF(INDEX($AO$2:$BQ$1001,MATCH(ROWS($AH$2:AH958),$AH$2:$AH$1001,0),MATCH(COLUMNS($AO$1006:BB1006),$AO$1006:$BQ$1006,0)), HYPERLINK("#",""), HYPERLINK(CONCATENATE("#Metadata!", ADDRESS(INDEX($AJ$2:$AJ$1001,MATCH(ROWS($AH$2:AH958),$AH$2:$AH$1001,0),0), INDEX($AO$1004:$BQ$1004,1,MATCH(COLUMNS($AO$1006:BB1006),$AO$1006:$BQ$1006,0)))),"Fix")))</f>
        <v>#N/A</v>
      </c>
      <c r="P958" s="5" t="e">
        <f ca="1">IF(OR(INDEX($AI$2:$AI$1001,MATCH(ROWS($AH$2:AH958),$AH$2:$AH$1001,0),1)&gt;=100000,INDEX($AO$1005:$BQ$1005,1,MATCH(COLUMNS($AO$1006:BC1006),$AO$1006:$BQ$1006,0))&gt;=100000), " ",IF(INDEX($AO$2:$BQ$1001,MATCH(ROWS($AH$2:AH958),$AH$2:$AH$1001,0),MATCH(COLUMNS($AO$1006:BC1006),$AO$1006:$BQ$1006,0)), HYPERLINK("#",""), HYPERLINK(CONCATENATE("#Metadata!", ADDRESS(INDEX($AJ$2:$AJ$1001,MATCH(ROWS($AH$2:AH958),$AH$2:$AH$1001,0),0), INDEX($AO$1004:$BQ$1004,1,MATCH(COLUMNS($AO$1006:BC1006),$AO$1006:$BQ$1006,0)))),"Fix")))</f>
        <v>#N/A</v>
      </c>
      <c r="Q958" s="5" t="e">
        <f ca="1">IF(OR(INDEX($AI$2:$AI$1001,MATCH(ROWS($AH$2:AH958),$AH$2:$AH$1001,0),1)&gt;=100000,INDEX($AO$1005:$BQ$1005,1,MATCH(COLUMNS($AO$1006:BD1006),$AO$1006:$BQ$1006,0))&gt;=100000), " ",IF(INDEX($AO$2:$BQ$1001,MATCH(ROWS($AH$2:AH958),$AH$2:$AH$1001,0),MATCH(COLUMNS($AO$1006:BD1006),$AO$1006:$BQ$1006,0)), HYPERLINK("#",""), HYPERLINK(CONCATENATE("#Metadata!", ADDRESS(INDEX($AJ$2:$AJ$1001,MATCH(ROWS($AH$2:AH958),$AH$2:$AH$1001,0),0), INDEX($AO$1004:$BQ$1004,1,MATCH(COLUMNS($AO$1006:BD1006),$AO$1006:$BQ$1006,0)))),"Fix")))</f>
        <v>#N/A</v>
      </c>
      <c r="R958" s="5" t="e">
        <f ca="1">IF(OR(INDEX($AI$2:$AI$1001,MATCH(ROWS($AH$2:AH958),$AH$2:$AH$1001,0),1)&gt;=100000,INDEX($AO$1005:$BQ$1005,1,MATCH(COLUMNS($AO$1006:BE1006),$AO$1006:$BQ$1006,0))&gt;=100000), " ",IF(INDEX($AO$2:$BQ$1001,MATCH(ROWS($AH$2:AH958),$AH$2:$AH$1001,0),MATCH(COLUMNS($AO$1006:BE1006),$AO$1006:$BQ$1006,0)), HYPERLINK("#",""), HYPERLINK(CONCATENATE("#Metadata!", ADDRESS(INDEX($AJ$2:$AJ$1001,MATCH(ROWS($AH$2:AH958),$AH$2:$AH$1001,0),0), INDEX($AO$1004:$BQ$1004,1,MATCH(COLUMNS($AO$1006:BE1006),$AO$1006:$BQ$1006,0)))),"Fix")))</f>
        <v>#N/A</v>
      </c>
      <c r="S958" s="5" t="e">
        <f ca="1">IF(OR(INDEX($AI$2:$AI$1001,MATCH(ROWS($AH$2:AH958),$AH$2:$AH$1001,0),1)&gt;=100000,INDEX($AO$1005:$BQ$1005,1,MATCH(COLUMNS($AO$1006:BF1006),$AO$1006:$BQ$1006,0))&gt;=100000), " ",IF(INDEX($AO$2:$BQ$1001,MATCH(ROWS($AH$2:AH958),$AH$2:$AH$1001,0),MATCH(COLUMNS($AO$1006:BF1006),$AO$1006:$BQ$1006,0)), HYPERLINK("#",""), HYPERLINK(CONCATENATE("#Metadata!", ADDRESS(INDEX($AJ$2:$AJ$1001,MATCH(ROWS($AH$2:AH958),$AH$2:$AH$1001,0),0), INDEX($AO$1004:$BQ$1004,1,MATCH(COLUMNS($AO$1006:BF1006),$AO$1006:$BQ$1006,0)))),"Fix")))</f>
        <v>#N/A</v>
      </c>
      <c r="T958" s="5" t="e">
        <f ca="1">IF(OR(INDEX($AI$2:$AI$1001,MATCH(ROWS($AH$2:AH958),$AH$2:$AH$1001,0),1)&gt;=100000,INDEX($AO$1005:$BQ$1005,1,MATCH(COLUMNS($AO$1006:BG1006),$AO$1006:$BQ$1006,0))&gt;=100000), " ",IF(INDEX($AO$2:$BQ$1001,MATCH(ROWS($AH$2:AH958),$AH$2:$AH$1001,0),MATCH(COLUMNS($AO$1006:BG1006),$AO$1006:$BQ$1006,0)), HYPERLINK("#",""), HYPERLINK(CONCATENATE("#Metadata!", ADDRESS(INDEX($AJ$2:$AJ$1001,MATCH(ROWS($AH$2:AH958),$AH$2:$AH$1001,0),0), INDEX($AO$1004:$BQ$1004,1,MATCH(COLUMNS($AO$1006:BG1006),$AO$1006:$BQ$1006,0)))),"Fix")))</f>
        <v>#N/A</v>
      </c>
      <c r="U958" s="5" t="e">
        <f ca="1">IF(OR(INDEX($AI$2:$AI$1001,MATCH(ROWS($AH$2:AH958),$AH$2:$AH$1001,0),1)&gt;=100000,INDEX($AO$1005:$BQ$1005,1,MATCH(COLUMNS($AO$1006:BH1006),$AO$1006:$BQ$1006,0))&gt;=100000), " ",IF(INDEX($AO$2:$BQ$1001,MATCH(ROWS($AH$2:AH958),$AH$2:$AH$1001,0),MATCH(COLUMNS($AO$1006:BH1006),$AO$1006:$BQ$1006,0)), HYPERLINK("#",""), HYPERLINK(CONCATENATE("#Metadata!", ADDRESS(INDEX($AJ$2:$AJ$1001,MATCH(ROWS($AH$2:AH958),$AH$2:$AH$1001,0),0), INDEX($AO$1004:$BQ$1004,1,MATCH(COLUMNS($AO$1006:BH1006),$AO$1006:$BQ$1006,0)))),"Fix")))</f>
        <v>#N/A</v>
      </c>
      <c r="V958" s="5" t="e">
        <f ca="1">IF(OR(INDEX($AI$2:$AI$1001,MATCH(ROWS($AH$2:AH958),$AH$2:$AH$1001,0),1)&gt;=100000,INDEX($AO$1005:$BQ$1005,1,MATCH(COLUMNS($AO$1006:BI1006),$AO$1006:$BQ$1006,0))&gt;=100000), " ",IF(INDEX($AO$2:$BQ$1001,MATCH(ROWS($AH$2:AH958),$AH$2:$AH$1001,0),MATCH(COLUMNS($AO$1006:BI1006),$AO$1006:$BQ$1006,0)), HYPERLINK("#",""), HYPERLINK(CONCATENATE("#Metadata!", ADDRESS(INDEX($AJ$2:$AJ$1001,MATCH(ROWS($AH$2:AH958),$AH$2:$AH$1001,0),0), INDEX($AO$1004:$BQ$1004,1,MATCH(COLUMNS($AO$1006:BI1006),$AO$1006:$BQ$1006,0)))),"Fix")))</f>
        <v>#N/A</v>
      </c>
      <c r="W958" s="5" t="e">
        <f ca="1">IF(OR(INDEX($AI$2:$AI$1001,MATCH(ROWS($AH$2:AH958),$AH$2:$AH$1001,0),1)&gt;=100000,INDEX($AO$1005:$BQ$1005,1,MATCH(COLUMNS($AO$1006:BJ1006),$AO$1006:$BQ$1006,0))&gt;=100000), " ",IF(INDEX($AO$2:$BQ$1001,MATCH(ROWS($AH$2:AH958),$AH$2:$AH$1001,0),MATCH(COLUMNS($AO$1006:BJ1006),$AO$1006:$BQ$1006,0)), HYPERLINK("#",""), HYPERLINK(CONCATENATE("#Metadata!", ADDRESS(INDEX($AJ$2:$AJ$1001,MATCH(ROWS($AH$2:AH958),$AH$2:$AH$1001,0),0), INDEX($AO$1004:$BQ$1004,1,MATCH(COLUMNS($AO$1006:BJ1006),$AO$1006:$BQ$1006,0)))),"Fix")))</f>
        <v>#N/A</v>
      </c>
      <c r="X958" s="5" t="e">
        <f ca="1">IF(OR(INDEX($AI$2:$AI$1001,MATCH(ROWS($AH$2:AH958),$AH$2:$AH$1001,0),1)&gt;=100000,INDEX($AO$1005:$BQ$1005,1,MATCH(COLUMNS($AO$1006:BK1006),$AO$1006:$BQ$1006,0))&gt;=100000), " ",IF(INDEX($AO$2:$BQ$1001,MATCH(ROWS($AH$2:AH958),$AH$2:$AH$1001,0),MATCH(COLUMNS($AO$1006:BK1006),$AO$1006:$BQ$1006,0)), HYPERLINK("#",""), HYPERLINK(CONCATENATE("#Metadata!", ADDRESS(INDEX($AJ$2:$AJ$1001,MATCH(ROWS($AH$2:AH958),$AH$2:$AH$1001,0),0), INDEX($AO$1004:$BQ$1004,1,MATCH(COLUMNS($AO$1006:BK1006),$AO$1006:$BQ$1006,0)))),"Fix")))</f>
        <v>#N/A</v>
      </c>
      <c r="Y958" s="5" t="e">
        <f ca="1">IF(OR(INDEX($AI$2:$AI$1001,MATCH(ROWS($AH$2:AH958),$AH$2:$AH$1001,0),1)&gt;=100000,INDEX($AO$1005:$BQ$1005,1,MATCH(COLUMNS($AO$1006:BL1006),$AO$1006:$BQ$1006,0))&gt;=100000), " ",IF(INDEX($AO$2:$BQ$1001,MATCH(ROWS($AH$2:AH958),$AH$2:$AH$1001,0),MATCH(COLUMNS($AO$1006:BL1006),$AO$1006:$BQ$1006,0)), HYPERLINK("#",""), HYPERLINK(CONCATENATE("#Metadata!", ADDRESS(INDEX($AJ$2:$AJ$1001,MATCH(ROWS($AH$2:AH958),$AH$2:$AH$1001,0),0), INDEX($AO$1004:$BQ$1004,1,MATCH(COLUMNS($AO$1006:BL1006),$AO$1006:$BQ$1006,0)))),"Fix")))</f>
        <v>#N/A</v>
      </c>
      <c r="Z958" s="5" t="e">
        <f ca="1">IF(OR(INDEX($AI$2:$AI$1001,MATCH(ROWS($AH$2:AH958),$AH$2:$AH$1001,0),1)&gt;=100000,INDEX($AO$1005:$BQ$1005,1,MATCH(COLUMNS($AO$1006:BM1006),$AO$1006:$BQ$1006,0))&gt;=100000), " ",IF(INDEX($AO$2:$BQ$1001,MATCH(ROWS($AH$2:AH958),$AH$2:$AH$1001,0),MATCH(COLUMNS($AO$1006:BM1006),$AO$1006:$BQ$1006,0)), HYPERLINK("#",""), HYPERLINK(CONCATENATE("#Metadata!", ADDRESS(INDEX($AJ$2:$AJ$1001,MATCH(ROWS($AH$2:AH958),$AH$2:$AH$1001,0),0), INDEX($AO$1004:$BQ$1004,1,MATCH(COLUMNS($AO$1006:BM1006),$AO$1006:$BQ$1006,0)))),"Fix")))</f>
        <v>#N/A</v>
      </c>
      <c r="AA958" s="5" t="e">
        <f ca="1">IF(OR(INDEX($AI$2:$AI$1001,MATCH(ROWS($AH$2:AH958),$AH$2:$AH$1001,0),1)&gt;=100000,INDEX($AO$1005:$BQ$1005,1,MATCH(COLUMNS($AO$1006:BN1006),$AO$1006:$BQ$1006,0))&gt;=100000), " ",IF(INDEX($AO$2:$BQ$1001,MATCH(ROWS($AH$2:AH958),$AH$2:$AH$1001,0),MATCH(COLUMNS($AO$1006:BN1006),$AO$1006:$BQ$1006,0)), HYPERLINK("#",""), HYPERLINK(CONCATENATE("#Metadata!", ADDRESS(INDEX($AJ$2:$AJ$1001,MATCH(ROWS($AH$2:AH958),$AH$2:$AH$1001,0),0), INDEX($AO$1004:$BQ$1004,1,MATCH(COLUMNS($AO$1006:BN1006),$AO$1006:$BQ$1006,0)))),"Fix")))</f>
        <v>#N/A</v>
      </c>
      <c r="AB958" s="5" t="e">
        <f ca="1">IF(OR(INDEX($AI$2:$AI$1001,MATCH(ROWS($AH$2:AH958),$AH$2:$AH$1001,0),1)&gt;=100000,INDEX($AO$1005:$BQ$1005,1,MATCH(COLUMNS($AO$1006:BO1006),$AO$1006:$BQ$1006,0))&gt;=100000), " ",IF(INDEX($AO$2:$BQ$1001,MATCH(ROWS($AH$2:AH958),$AH$2:$AH$1001,0),MATCH(COLUMNS($AO$1006:BO1006),$AO$1006:$BQ$1006,0)), HYPERLINK("#",""), HYPERLINK(CONCATENATE("#Metadata!", ADDRESS(INDEX($AJ$2:$AJ$1001,MATCH(ROWS($AH$2:AH958),$AH$2:$AH$1001,0),0), INDEX($AO$1004:$BQ$1004,1,MATCH(COLUMNS($AO$1006:BO1006),$AO$1006:$BQ$1006,0)))),"Fix")))</f>
        <v>#N/A</v>
      </c>
      <c r="AC958" s="5" t="e">
        <f ca="1">IF(OR(INDEX($AI$2:$AI$1001,MATCH(ROWS($AH$2:AH958),$AH$2:$AH$1001,0),1)&gt;=100000,INDEX($AO$1005:$BQ$1005,1,MATCH(COLUMNS($AO$1006:BP1006),$AO$1006:$BQ$1006,0))&gt;=100000), " ",IF(INDEX($AO$2:$BQ$1001,MATCH(ROWS($AH$2:AH958),$AH$2:$AH$1001,0),MATCH(COLUMNS($AO$1006:BP1006),$AO$1006:$BQ$1006,0)), HYPERLINK("#",""), HYPERLINK(CONCATENATE("#Metadata!", ADDRESS(INDEX($AJ$2:$AJ$1001,MATCH(ROWS($AH$2:AH958),$AH$2:$AH$1001,0),0), INDEX($AO$1004:$BQ$1004,1,MATCH(COLUMNS($AO$1006:BP1006),$AO$1006:$BQ$1006,0)))),"Fix")))</f>
        <v>#N/A</v>
      </c>
      <c r="AD958" s="5" t="e">
        <f ca="1">IF(OR(INDEX($AI$2:$AI$1001,MATCH(ROWS($AH$2:AH958),$AH$2:$AH$1001,0),1)&gt;=100000,INDEX($AO$1005:$BQ$1005,1,MATCH(COLUMNS($AO$1006:BQ1006),$AO$1006:$BQ$1006,0))&gt;=100000), " ",IF(INDEX($AO$2:$BQ$1001,MATCH(ROWS($AH$2:AH958),$AH$2:$AH$1001,0),MATCH(COLUMNS($AO$1006:BQ1006),$AO$1006:$BQ$1006,0)), HYPERLINK("#",""), HYPERLINK(CONCATENATE("#Metadata!", ADDRESS(INDEX($AJ$2:$AJ$1001,MATCH(ROWS($AH$2:AH958),$AH$2:$AH$1001,0),0), INDEX($AO$1004:$BQ$1004,1,MATCH(COLUMNS($AO$1006:BQ1006),$AO$1006:$BQ$1006,0)))),"Fix")))</f>
        <v>#REF!</v>
      </c>
      <c r="AH958">
        <f ca="1"/>
        <v>955</v>
      </c>
      <c r="AI958">
        <v>100958</v>
      </c>
      <c r="AJ958">
        <v>958</v>
      </c>
      <c r="AK958" t="b">
        <f t="shared" si="14"/>
        <v>1</v>
      </c>
      <c r="AL958" t="b">
        <f>COUNTBLANK(Metadata!B958:AD958)=COLUMNS(Metadata!B958:AD958)</f>
        <v>1</v>
      </c>
      <c r="AM958" t="str">
        <v/>
      </c>
      <c r="AO958" t="b">
        <f ca="1">AND(IF(Metadata!B958="",FALSE,TRUE),COUNTIF(Metadata!B:B, Metadata!B958) = 1,NOT(ISERROR(SUMPRODUCT(SEARCH(MID(Metadata!B958,ROW(INDIRECT("1:"&amp;LEN(Metadata!B958))), 1),"0123456789abcdefghijklmnopqrstuvwxyzABCDEFGHIJKLMNOPQRSTUVWXYZ.")))))</f>
        <v>0</v>
      </c>
      <c r="AP958" t="b">
        <f>IF(Metadata!C958="",FALSE,TRUE)</f>
        <v>0</v>
      </c>
      <c r="AQ958" t="b">
        <f>IF(Metadata!D958="",FALSE,TRUE)</f>
        <v>0</v>
      </c>
      <c r="AR958" t="b">
        <f ca="1">OR(AND(IF(Metadata!E958="",FALSE,TRUE),OR(EXACT(Metadata!E958,"not collected"),EXACT(Metadata!E958,"not provided"),EXACT(Metadata!E958,"restricted access"))),AND(IF(Metadata!E958="",FALSE,TRUE),AND(AND(IFERROR(INT(LEFT(Metadata!E958,4))&gt;1900,FALSE),IFERROR(INT(LEFT(Metadata!E958,4))&lt;=YEAR(NOW()),FALSE)), OR(MID(Metadata!E958,5,1)="", AND(AND(MID(Metadata!E958,5,1)="-",IFERROR(INT(MID(Metadata!E958,6,1))&gt;=0,FALSE),IFERROR(INT(MID(Metadata!E958,6,1))&lt;=1,FALSE),NOT(MID(Metadata!E958,7,1)=""),IFERROR(INT(MID(Metadata!E958,6,2))&gt;=1,FALSE),IFERROR(INT(MID(Metadata!E958,6,2))&lt;=12,FALSE)), OR(MID(Metadata!E958,8,1)="", AND(AND(MID(Metadata!E958,8,1)="-",IFERROR(INT(MID(Metadata!E958,9,1))&gt;=0,FALSE),IFERROR(INT(MID(Metadata!E958,9,1))&lt;=3,FALSE),NOT(MID(Metadata!E958,10,1)=""),IFERROR(INT(MID(Metadata!E958,9,2))&gt;=1,FALSE),IFERROR(INT(MID(Metadata!E958,9,2))&lt;=31,FALSE)), OR(MID(Metadata!E958,11,1)="", AND(AND(MID(Metadata!E958,11,1)=" ",IFERROR(INT(MID(Metadata!E958,12,1))&gt;=0,FALSE),IFERROR(INT(MID(Metadata!E958,12,1))&lt;=2,FALSE),NOT(MID(Metadata!E958,13,1)=""),IFERROR(INT(MID(Metadata!E958,12,2))&gt;=0,FALSE),IFERROR(INT(MID(Metadata!E958,12,2))&lt;=23,FALSE)), OR(MID(Metadata!E958,14,1)="", AND(AND(MID(Metadata!E958,14,1)=":",IFERROR(INT(MID(Metadata!E958,15,1))&gt;=0,FALSE),IFERROR(INT(MID(Metadata!E958,15,1))&lt;=5,FALSE),NOT(MID(Metadata!E958,16,1)=""),IFERROR(INT(MID(Metadata!E958,15,2))&gt;=0,FALSE),IFERROR(INT(MID(Metadata!E958,15,2))&lt;=59,FALSE)), OR(MID(Metadata!E958,17,1)="", AND(AND(MID(Metadata!E958,17,1)=":",IFERROR(INT(MID(Metadata!E958,18,1))&gt;=0,FALSE),IFERROR(INT(MID(Metadata!E958,18,1))&lt;=5,FALSE),NOT(MID(Metadata!E958,19,1)=""),IFERROR(INT(MID(Metadata!E958,18,2))&gt;=0,FALSE),IFERROR(INT(MID(Metadata!E958,18,2))&lt;=59,FALSE)), LEN(Metadata!E958)&lt;=19)))))))))))))</f>
        <v>0</v>
      </c>
      <c r="AS958" t="b">
        <f>IF(Metadata!F958="",FALSE,TRUE)</f>
        <v>0</v>
      </c>
      <c r="AT958" t="b">
        <f>OR(AND(IF(Metadata!G958="",FALSE,TRUE),OR(EXACT(Metadata!G958,"not collected"),EXACT(Metadata!G958,"not provided"))),AND(IF(Metadata!G958="",FALSE,TRUE),OR(EXACT(Metadata!G958,"TRUE"),EXACT(Metadata!G958,"FALSE"))))</f>
        <v>0</v>
      </c>
      <c r="AU958" t="b">
        <f>OR(AND(IF(Metadata!H958="",FALSE,TRUE),OR(EXACT(Metadata!H958,"not collected"),EXACT(Metadata!H958,"not provided"),EXACT(Metadata!H958,"restricted access"))),AND(IF(Metadata!H958="",FALSE,ISNUMBER(VALUE(Metadata!H958))),Metadata!H958&gt;=-413))</f>
        <v>0</v>
      </c>
      <c r="AV958" t="b">
        <f>AND(IF(Metadata!I958="",FALSE,TRUE),EXACT(Metadata!I958,"meters"))</f>
        <v>0</v>
      </c>
      <c r="AW958" t="b">
        <f>AND(IF(Metadata!J958="",FALSE,TRUE),EXACT(Metadata!J958,"free-living"))</f>
        <v>0</v>
      </c>
      <c r="AX958" t="b">
        <f>AND(IF(Metadata!K958="",FALSE,TRUE),OR(EXACT(Metadata!K958,"saline"),EXACT(Metadata!K958,"non-saline")))</f>
        <v>0</v>
      </c>
      <c r="AY958" t="b">
        <f>AND(IF(Metadata!L958="",FALSE,TRUE),OR(EXACT(Metadata!L958,"sub-surface (non-saline)"),EXACT(Metadata!L958,"surface (non-saline)"),EXACT(Metadata!L958,"water (non-saline)"),EXACT(Metadata!L958,"soil (non-saline)"),EXACT(Metadata!L958,"aerosol (non-saline)"),EXACT(Metadata!L958,"sediment (non-saline)"),EXACT(Metadata!L958,"surface (saline)"),EXACT(Metadata!L958,"water (saline)"),EXACT(Metadata!L958,"hypersaline (saline)"),EXACT(Metadata!L958,"aerosol (saline)"),EXACT(Metadata!L958,"sediment (saline)")))</f>
        <v>0</v>
      </c>
      <c r="AZ958" t="b">
        <f>IF(Metadata!M958="",FALSE,TRUE)</f>
        <v>0</v>
      </c>
      <c r="BA958" t="b">
        <f>IF(Metadata!N958="",FALSE,TRUE)</f>
        <v>0</v>
      </c>
      <c r="BB958" t="b">
        <f>IF(Metadata!O958="",FALSE,TRUE)</f>
        <v>0</v>
      </c>
      <c r="BC958" t="b">
        <f>AND(IF(Metadata!P958="",FALSE,TRUE),OR(EXACT(Metadata!P958,"air"),EXACT(Metadata!P958,"microbial mat/biofilm"),EXACT(Metadata!P958,"misc environment"),EXACT(Metadata!P958,"sediment"),EXACT(Metadata!P958,"soil"),EXACT(Metadata!P958,"wastewater/sludge"),EXACT(Metadata!P958,"water")))</f>
        <v>0</v>
      </c>
      <c r="BD958" t="b">
        <f>IF(Metadata!Q958="",FALSE,TRUE)</f>
        <v>0</v>
      </c>
      <c r="BE958" t="b">
        <f>IF(Metadata!R958="",FALSE,TRUE)</f>
        <v>0</v>
      </c>
      <c r="BF958" t="b">
        <f>OR(AND(IF(Metadata!S958="",FALSE,TRUE),OR(EXACT(Metadata!S958,"not collected"),EXACT(Metadata!S958,"not provided"),EXACT(Metadata!S958,"restricted access"))),AND(IF(Metadata!S958="",FALSE,ISNUMBER(VALUE(Metadata!S958))),Metadata!S958&gt;=-90,Metadata!S958&lt;=90))</f>
        <v>0</v>
      </c>
      <c r="BG958" t="b">
        <f>AND(IF(Metadata!T958="",FALSE,TRUE),EXACT(Metadata!T958,"Decimal degrees"))</f>
        <v>0</v>
      </c>
      <c r="BH958" t="b">
        <f>OR(AND(IF(Metadata!U958="",FALSE,TRUE),OR(EXACT(Metadata!U958,"not applicable"),EXACT(Metadata!U958,"not collected"))),IF(Metadata!U958="",FALSE,TRUE))</f>
        <v>0</v>
      </c>
      <c r="BI958" t="b">
        <f>OR(AND(IF(Metadata!V958="",FALSE,TRUE),OR(EXACT(Metadata!V958,"not collected"),EXACT(Metadata!V958,"not provided"),EXACT(Metadata!V958,"restricted access"))),AND(IF(Metadata!V958="",FALSE,ISNUMBER(VALUE(Metadata!V958))),Metadata!V958&gt;=-180,Metadata!V958&lt;=180))</f>
        <v>0</v>
      </c>
      <c r="BJ958" t="b">
        <f>AND(IF(Metadata!W958="",FALSE,TRUE),EXACT(Metadata!W958,"Decimal degrees"))</f>
        <v>0</v>
      </c>
      <c r="BK958" t="b">
        <f>IF(Metadata!X958="",FALSE,TRUE)</f>
        <v>0</v>
      </c>
      <c r="BL958" t="b">
        <f>OR(AND(IF(Metadata!Y958="",FALSE,TRUE),OR(EXACT(Metadata!Y958,"not collected"),EXACT(Metadata!Y958,"not provided"),EXACT(Metadata!Y958,"restricted access"))),AND(IF(Metadata!Y958="",FALSE,TRUE),OR(EXACT(Metadata!Y958,"TRUE"),EXACT(Metadata!Y958,"FALSE"))))</f>
        <v>0</v>
      </c>
      <c r="BM958" t="b">
        <f>OR(AND(IF(Metadata!Z958="",FALSE,TRUE),EXACT(Metadata!Z958,"not applicable")),AND(IF(Metadata!Z958="",FALSE,TRUE),OR(EXACT(Metadata!Z958,"beer"),EXACT(Metadata!Z958,"cheese"),EXACT(Metadata!Z958,"fresh water"),EXACT(Metadata!Z958,"marine sediment"),EXACT(Metadata!Z958,"sea water"),EXACT(Metadata!Z958,"sediment"),EXACT(Metadata!Z958,"soil"),EXACT(Metadata!Z958,"waste water"))))</f>
        <v>0</v>
      </c>
      <c r="BN958" t="b">
        <f>AND(IF(Metadata!AA958="",FALSE,TRUE),EXACT(Metadata!AA958,"metagenome"))</f>
        <v>0</v>
      </c>
      <c r="BO958" t="b">
        <f>AND(IF(Metadata!AB958="",FALSE,TRUE),EXACT(Metadata!AB958,"256318"))</f>
        <v>0</v>
      </c>
      <c r="BP958" t="b">
        <f>IF(Metadata!AC958="",FALSE,TRUE)</f>
        <v>0</v>
      </c>
      <c r="BQ958" t="b">
        <f>IF(Metadata!AD958="",FALSE,TRUE)</f>
        <v>0</v>
      </c>
    </row>
    <row r="959" spans="1:69" x14ac:dyDescent="0.2">
      <c r="A959" s="4" t="e">
        <f ca="1">IF(B959=" "," ",HYPERLINK(CONCATENATE("#metadata!",ADDRESS(INDEX($AJ$2:$AJ$1001,MATCH(ROWS($AH$2:AH959),$AH$2:$AH$1001,0),0),2)),INDEX($AM$2:$AM$1001,MATCH(ROWS($AH$2:AH959),$AH$2:$AH$1001,0),0)))</f>
        <v>#N/A</v>
      </c>
      <c r="B959" s="5" t="e">
        <f ca="1">IF(OR(INDEX($AI$2:$AI$1001,MATCH(ROWS($AH$2:AH959),$AH$2:$AH$1001,0),1)&gt;=100000,INDEX($AO$1005:$BQ$1005,1,MATCH(COLUMNS($AO$1006:AO1006),$AO$1006:$BQ$1006,0))&gt;=100000), " ",IF(INDEX($AO$2:$BQ$1001,MATCH(ROWS($AH$2:AH959),$AH$2:$AH$1001,0),MATCH(COLUMNS($AO$1006:AO1006),$AO$1006:$BQ$1006,0)), HYPERLINK("#",""), HYPERLINK(CONCATENATE("#Metadata!", ADDRESS(INDEX($AJ$2:$AJ$1001,MATCH(ROWS($AH$2:AH959),$AH$2:$AH$1001,0),0), INDEX($AO$1004:$BQ$1004,1,MATCH(COLUMNS($AO$1006:AO1006),$AO$1006:$BQ$1006,0)))),"Fix")))</f>
        <v>#N/A</v>
      </c>
      <c r="C959" s="5" t="e">
        <f ca="1">IF(OR(INDEX($AI$2:$AI$1001,MATCH(ROWS($AH$2:AH959),$AH$2:$AH$1001,0),1)&gt;=100000,INDEX($AO$1005:$BQ$1005,1,MATCH(COLUMNS($AO$1006:AP1006),$AO$1006:$BQ$1006,0))&gt;=100000), " ",IF(INDEX($AO$2:$BQ$1001,MATCH(ROWS($AH$2:AH959),$AH$2:$AH$1001,0),MATCH(COLUMNS($AO$1006:AP1006),$AO$1006:$BQ$1006,0)), HYPERLINK("#",""), HYPERLINK(CONCATENATE("#Metadata!", ADDRESS(INDEX($AJ$2:$AJ$1001,MATCH(ROWS($AH$2:AH959),$AH$2:$AH$1001,0),0), INDEX($AO$1004:$BQ$1004,1,MATCH(COLUMNS($AO$1006:AP1006),$AO$1006:$BQ$1006,0)))),"Fix")))</f>
        <v>#N/A</v>
      </c>
      <c r="D959" s="5" t="e">
        <f ca="1">IF(OR(INDEX($AI$2:$AI$1001,MATCH(ROWS($AH$2:AH959),$AH$2:$AH$1001,0),1)&gt;=100000,INDEX($AO$1005:$BQ$1005,1,MATCH(COLUMNS($AO$1006:AQ1006),$AO$1006:$BQ$1006,0))&gt;=100000), " ",IF(INDEX($AO$2:$BQ$1001,MATCH(ROWS($AH$2:AH959),$AH$2:$AH$1001,0),MATCH(COLUMNS($AO$1006:AQ1006),$AO$1006:$BQ$1006,0)), HYPERLINK("#",""), HYPERLINK(CONCATENATE("#Metadata!", ADDRESS(INDEX($AJ$2:$AJ$1001,MATCH(ROWS($AH$2:AH959),$AH$2:$AH$1001,0),0), INDEX($AO$1004:$BQ$1004,1,MATCH(COLUMNS($AO$1006:AQ1006),$AO$1006:$BQ$1006,0)))),"Fix")))</f>
        <v>#N/A</v>
      </c>
      <c r="E959" s="5" t="e">
        <f ca="1">IF(OR(INDEX($AI$2:$AI$1001,MATCH(ROWS($AH$2:AH959),$AH$2:$AH$1001,0),1)&gt;=100000,INDEX($AO$1005:$BQ$1005,1,MATCH(COLUMNS($AO$1006:AR1006),$AO$1006:$BQ$1006,0))&gt;=100000), " ",IF(INDEX($AO$2:$BQ$1001,MATCH(ROWS($AH$2:AH959),$AH$2:$AH$1001,0),MATCH(COLUMNS($AO$1006:AR1006),$AO$1006:$BQ$1006,0)), HYPERLINK("#",""), HYPERLINK(CONCATENATE("#Metadata!", ADDRESS(INDEX($AJ$2:$AJ$1001,MATCH(ROWS($AH$2:AH959),$AH$2:$AH$1001,0),0), INDEX($AO$1004:$BQ$1004,1,MATCH(COLUMNS($AO$1006:AR1006),$AO$1006:$BQ$1006,0)))),"Fix")))</f>
        <v>#N/A</v>
      </c>
      <c r="F959" s="5" t="e">
        <f ca="1">IF(OR(INDEX($AI$2:$AI$1001,MATCH(ROWS($AH$2:AH959),$AH$2:$AH$1001,0),1)&gt;=100000,INDEX($AO$1005:$BQ$1005,1,MATCH(COLUMNS($AO$1006:AS1006),$AO$1006:$BQ$1006,0))&gt;=100000), " ",IF(INDEX($AO$2:$BQ$1001,MATCH(ROWS($AH$2:AH959),$AH$2:$AH$1001,0),MATCH(COLUMNS($AO$1006:AS1006),$AO$1006:$BQ$1006,0)), HYPERLINK("#",""), HYPERLINK(CONCATENATE("#Metadata!", ADDRESS(INDEX($AJ$2:$AJ$1001,MATCH(ROWS($AH$2:AH959),$AH$2:$AH$1001,0),0), INDEX($AO$1004:$BQ$1004,1,MATCH(COLUMNS($AO$1006:AS1006),$AO$1006:$BQ$1006,0)))),"Fix")))</f>
        <v>#N/A</v>
      </c>
      <c r="G959" s="5" t="e">
        <f ca="1">IF(OR(INDEX($AI$2:$AI$1001,MATCH(ROWS($AH$2:AH959),$AH$2:$AH$1001,0),1)&gt;=100000,INDEX($AO$1005:$BQ$1005,1,MATCH(COLUMNS($AO$1006:AT1006),$AO$1006:$BQ$1006,0))&gt;=100000), " ",IF(INDEX($AO$2:$BQ$1001,MATCH(ROWS($AH$2:AH959),$AH$2:$AH$1001,0),MATCH(COLUMNS($AO$1006:AT1006),$AO$1006:$BQ$1006,0)), HYPERLINK("#",""), HYPERLINK(CONCATENATE("#Metadata!", ADDRESS(INDEX($AJ$2:$AJ$1001,MATCH(ROWS($AH$2:AH959),$AH$2:$AH$1001,0),0), INDEX($AO$1004:$BQ$1004,1,MATCH(COLUMNS($AO$1006:AT1006),$AO$1006:$BQ$1006,0)))),"Fix")))</f>
        <v>#N/A</v>
      </c>
      <c r="H959" s="5" t="e">
        <f ca="1">IF(OR(INDEX($AI$2:$AI$1001,MATCH(ROWS($AH$2:AH959),$AH$2:$AH$1001,0),1)&gt;=100000,INDEX($AO$1005:$BQ$1005,1,MATCH(COLUMNS($AO$1006:AU1006),$AO$1006:$BQ$1006,0))&gt;=100000), " ",IF(INDEX($AO$2:$BQ$1001,MATCH(ROWS($AH$2:AH959),$AH$2:$AH$1001,0),MATCH(COLUMNS($AO$1006:AU1006),$AO$1006:$BQ$1006,0)), HYPERLINK("#",""), HYPERLINK(CONCATENATE("#Metadata!", ADDRESS(INDEX($AJ$2:$AJ$1001,MATCH(ROWS($AH$2:AH959),$AH$2:$AH$1001,0),0), INDEX($AO$1004:$BQ$1004,1,MATCH(COLUMNS($AO$1006:AU1006),$AO$1006:$BQ$1006,0)))),"Fix")))</f>
        <v>#N/A</v>
      </c>
      <c r="I959" s="5" t="e">
        <f ca="1">IF(OR(INDEX($AI$2:$AI$1001,MATCH(ROWS($AH$2:AH959),$AH$2:$AH$1001,0),1)&gt;=100000,INDEX($AO$1005:$BQ$1005,1,MATCH(COLUMNS($AO$1006:AV1006),$AO$1006:$BQ$1006,0))&gt;=100000), " ",IF(INDEX($AO$2:$BQ$1001,MATCH(ROWS($AH$2:AH959),$AH$2:$AH$1001,0),MATCH(COLUMNS($AO$1006:AV1006),$AO$1006:$BQ$1006,0)), HYPERLINK("#",""), HYPERLINK(CONCATENATE("#Metadata!", ADDRESS(INDEX($AJ$2:$AJ$1001,MATCH(ROWS($AH$2:AH959),$AH$2:$AH$1001,0),0), INDEX($AO$1004:$BQ$1004,1,MATCH(COLUMNS($AO$1006:AV1006),$AO$1006:$BQ$1006,0)))),"Fix")))</f>
        <v>#N/A</v>
      </c>
      <c r="J959" s="5" t="e">
        <f ca="1">IF(OR(INDEX($AI$2:$AI$1001,MATCH(ROWS($AH$2:AH959),$AH$2:$AH$1001,0),1)&gt;=100000,INDEX($AO$1005:$BQ$1005,1,MATCH(COLUMNS($AO$1006:AW1006),$AO$1006:$BQ$1006,0))&gt;=100000), " ",IF(INDEX($AO$2:$BQ$1001,MATCH(ROWS($AH$2:AH959),$AH$2:$AH$1001,0),MATCH(COLUMNS($AO$1006:AW1006),$AO$1006:$BQ$1006,0)), HYPERLINK("#",""), HYPERLINK(CONCATENATE("#Metadata!", ADDRESS(INDEX($AJ$2:$AJ$1001,MATCH(ROWS($AH$2:AH959),$AH$2:$AH$1001,0),0), INDEX($AO$1004:$BQ$1004,1,MATCH(COLUMNS($AO$1006:AW1006),$AO$1006:$BQ$1006,0)))),"Fix")))</f>
        <v>#N/A</v>
      </c>
      <c r="K959" s="5" t="e">
        <f ca="1">IF(OR(INDEX($AI$2:$AI$1001,MATCH(ROWS($AH$2:AH959),$AH$2:$AH$1001,0),1)&gt;=100000,INDEX($AO$1005:$BQ$1005,1,MATCH(COLUMNS($AO$1006:AX1006),$AO$1006:$BQ$1006,0))&gt;=100000), " ",IF(INDEX($AO$2:$BQ$1001,MATCH(ROWS($AH$2:AH959),$AH$2:$AH$1001,0),MATCH(COLUMNS($AO$1006:AX1006),$AO$1006:$BQ$1006,0)), HYPERLINK("#",""), HYPERLINK(CONCATENATE("#Metadata!", ADDRESS(INDEX($AJ$2:$AJ$1001,MATCH(ROWS($AH$2:AH959),$AH$2:$AH$1001,0),0), INDEX($AO$1004:$BQ$1004,1,MATCH(COLUMNS($AO$1006:AX1006),$AO$1006:$BQ$1006,0)))),"Fix")))</f>
        <v>#N/A</v>
      </c>
      <c r="L959" s="5" t="e">
        <f ca="1">IF(OR(INDEX($AI$2:$AI$1001,MATCH(ROWS($AH$2:AH959),$AH$2:$AH$1001,0),1)&gt;=100000,INDEX($AO$1005:$BQ$1005,1,MATCH(COLUMNS($AO$1006:AY1006),$AO$1006:$BQ$1006,0))&gt;=100000), " ",IF(INDEX($AO$2:$BQ$1001,MATCH(ROWS($AH$2:AH959),$AH$2:$AH$1001,0),MATCH(COLUMNS($AO$1006:AY1006),$AO$1006:$BQ$1006,0)), HYPERLINK("#",""), HYPERLINK(CONCATENATE("#Metadata!", ADDRESS(INDEX($AJ$2:$AJ$1001,MATCH(ROWS($AH$2:AH959),$AH$2:$AH$1001,0),0), INDEX($AO$1004:$BQ$1004,1,MATCH(COLUMNS($AO$1006:AY1006),$AO$1006:$BQ$1006,0)))),"Fix")))</f>
        <v>#N/A</v>
      </c>
      <c r="M959" s="5" t="e">
        <f ca="1">IF(OR(INDEX($AI$2:$AI$1001,MATCH(ROWS($AH$2:AH959),$AH$2:$AH$1001,0),1)&gt;=100000,INDEX($AO$1005:$BQ$1005,1,MATCH(COLUMNS($AO$1006:AZ1006),$AO$1006:$BQ$1006,0))&gt;=100000), " ",IF(INDEX($AO$2:$BQ$1001,MATCH(ROWS($AH$2:AH959),$AH$2:$AH$1001,0),MATCH(COLUMNS($AO$1006:AZ1006),$AO$1006:$BQ$1006,0)), HYPERLINK("#",""), HYPERLINK(CONCATENATE("#Metadata!", ADDRESS(INDEX($AJ$2:$AJ$1001,MATCH(ROWS($AH$2:AH959),$AH$2:$AH$1001,0),0), INDEX($AO$1004:$BQ$1004,1,MATCH(COLUMNS($AO$1006:AZ1006),$AO$1006:$BQ$1006,0)))),"Fix")))</f>
        <v>#N/A</v>
      </c>
      <c r="N959" s="5" t="e">
        <f ca="1">IF(OR(INDEX($AI$2:$AI$1001,MATCH(ROWS($AH$2:AH959),$AH$2:$AH$1001,0),1)&gt;=100000,INDEX($AO$1005:$BQ$1005,1,MATCH(COLUMNS($AO$1006:BA1006),$AO$1006:$BQ$1006,0))&gt;=100000), " ",IF(INDEX($AO$2:$BQ$1001,MATCH(ROWS($AH$2:AH959),$AH$2:$AH$1001,0),MATCH(COLUMNS($AO$1006:BA1006),$AO$1006:$BQ$1006,0)), HYPERLINK("#",""), HYPERLINK(CONCATENATE("#Metadata!", ADDRESS(INDEX($AJ$2:$AJ$1001,MATCH(ROWS($AH$2:AH959),$AH$2:$AH$1001,0),0), INDEX($AO$1004:$BQ$1004,1,MATCH(COLUMNS($AO$1006:BA1006),$AO$1006:$BQ$1006,0)))),"Fix")))</f>
        <v>#N/A</v>
      </c>
      <c r="O959" s="5" t="e">
        <f ca="1">IF(OR(INDEX($AI$2:$AI$1001,MATCH(ROWS($AH$2:AH959),$AH$2:$AH$1001,0),1)&gt;=100000,INDEX($AO$1005:$BQ$1005,1,MATCH(COLUMNS($AO$1006:BB1006),$AO$1006:$BQ$1006,0))&gt;=100000), " ",IF(INDEX($AO$2:$BQ$1001,MATCH(ROWS($AH$2:AH959),$AH$2:$AH$1001,0),MATCH(COLUMNS($AO$1006:BB1006),$AO$1006:$BQ$1006,0)), HYPERLINK("#",""), HYPERLINK(CONCATENATE("#Metadata!", ADDRESS(INDEX($AJ$2:$AJ$1001,MATCH(ROWS($AH$2:AH959),$AH$2:$AH$1001,0),0), INDEX($AO$1004:$BQ$1004,1,MATCH(COLUMNS($AO$1006:BB1006),$AO$1006:$BQ$1006,0)))),"Fix")))</f>
        <v>#N/A</v>
      </c>
      <c r="P959" s="5" t="e">
        <f ca="1">IF(OR(INDEX($AI$2:$AI$1001,MATCH(ROWS($AH$2:AH959),$AH$2:$AH$1001,0),1)&gt;=100000,INDEX($AO$1005:$BQ$1005,1,MATCH(COLUMNS($AO$1006:BC1006),$AO$1006:$BQ$1006,0))&gt;=100000), " ",IF(INDEX($AO$2:$BQ$1001,MATCH(ROWS($AH$2:AH959),$AH$2:$AH$1001,0),MATCH(COLUMNS($AO$1006:BC1006),$AO$1006:$BQ$1006,0)), HYPERLINK("#",""), HYPERLINK(CONCATENATE("#Metadata!", ADDRESS(INDEX($AJ$2:$AJ$1001,MATCH(ROWS($AH$2:AH959),$AH$2:$AH$1001,0),0), INDEX($AO$1004:$BQ$1004,1,MATCH(COLUMNS($AO$1006:BC1006),$AO$1006:$BQ$1006,0)))),"Fix")))</f>
        <v>#N/A</v>
      </c>
      <c r="Q959" s="5" t="e">
        <f ca="1">IF(OR(INDEX($AI$2:$AI$1001,MATCH(ROWS($AH$2:AH959),$AH$2:$AH$1001,0),1)&gt;=100000,INDEX($AO$1005:$BQ$1005,1,MATCH(COLUMNS($AO$1006:BD1006),$AO$1006:$BQ$1006,0))&gt;=100000), " ",IF(INDEX($AO$2:$BQ$1001,MATCH(ROWS($AH$2:AH959),$AH$2:$AH$1001,0),MATCH(COLUMNS($AO$1006:BD1006),$AO$1006:$BQ$1006,0)), HYPERLINK("#",""), HYPERLINK(CONCATENATE("#Metadata!", ADDRESS(INDEX($AJ$2:$AJ$1001,MATCH(ROWS($AH$2:AH959),$AH$2:$AH$1001,0),0), INDEX($AO$1004:$BQ$1004,1,MATCH(COLUMNS($AO$1006:BD1006),$AO$1006:$BQ$1006,0)))),"Fix")))</f>
        <v>#N/A</v>
      </c>
      <c r="R959" s="5" t="e">
        <f ca="1">IF(OR(INDEX($AI$2:$AI$1001,MATCH(ROWS($AH$2:AH959),$AH$2:$AH$1001,0),1)&gt;=100000,INDEX($AO$1005:$BQ$1005,1,MATCH(COLUMNS($AO$1006:BE1006),$AO$1006:$BQ$1006,0))&gt;=100000), " ",IF(INDEX($AO$2:$BQ$1001,MATCH(ROWS($AH$2:AH959),$AH$2:$AH$1001,0),MATCH(COLUMNS($AO$1006:BE1006),$AO$1006:$BQ$1006,0)), HYPERLINK("#",""), HYPERLINK(CONCATENATE("#Metadata!", ADDRESS(INDEX($AJ$2:$AJ$1001,MATCH(ROWS($AH$2:AH959),$AH$2:$AH$1001,0),0), INDEX($AO$1004:$BQ$1004,1,MATCH(COLUMNS($AO$1006:BE1006),$AO$1006:$BQ$1006,0)))),"Fix")))</f>
        <v>#N/A</v>
      </c>
      <c r="S959" s="5" t="e">
        <f ca="1">IF(OR(INDEX($AI$2:$AI$1001,MATCH(ROWS($AH$2:AH959),$AH$2:$AH$1001,0),1)&gt;=100000,INDEX($AO$1005:$BQ$1005,1,MATCH(COLUMNS($AO$1006:BF1006),$AO$1006:$BQ$1006,0))&gt;=100000), " ",IF(INDEX($AO$2:$BQ$1001,MATCH(ROWS($AH$2:AH959),$AH$2:$AH$1001,0),MATCH(COLUMNS($AO$1006:BF1006),$AO$1006:$BQ$1006,0)), HYPERLINK("#",""), HYPERLINK(CONCATENATE("#Metadata!", ADDRESS(INDEX($AJ$2:$AJ$1001,MATCH(ROWS($AH$2:AH959),$AH$2:$AH$1001,0),0), INDEX($AO$1004:$BQ$1004,1,MATCH(COLUMNS($AO$1006:BF1006),$AO$1006:$BQ$1006,0)))),"Fix")))</f>
        <v>#N/A</v>
      </c>
      <c r="T959" s="5" t="e">
        <f ca="1">IF(OR(INDEX($AI$2:$AI$1001,MATCH(ROWS($AH$2:AH959),$AH$2:$AH$1001,0),1)&gt;=100000,INDEX($AO$1005:$BQ$1005,1,MATCH(COLUMNS($AO$1006:BG1006),$AO$1006:$BQ$1006,0))&gt;=100000), " ",IF(INDEX($AO$2:$BQ$1001,MATCH(ROWS($AH$2:AH959),$AH$2:$AH$1001,0),MATCH(COLUMNS($AO$1006:BG1006),$AO$1006:$BQ$1006,0)), HYPERLINK("#",""), HYPERLINK(CONCATENATE("#Metadata!", ADDRESS(INDEX($AJ$2:$AJ$1001,MATCH(ROWS($AH$2:AH959),$AH$2:$AH$1001,0),0), INDEX($AO$1004:$BQ$1004,1,MATCH(COLUMNS($AO$1006:BG1006),$AO$1006:$BQ$1006,0)))),"Fix")))</f>
        <v>#N/A</v>
      </c>
      <c r="U959" s="5" t="e">
        <f ca="1">IF(OR(INDEX($AI$2:$AI$1001,MATCH(ROWS($AH$2:AH959),$AH$2:$AH$1001,0),1)&gt;=100000,INDEX($AO$1005:$BQ$1005,1,MATCH(COLUMNS($AO$1006:BH1006),$AO$1006:$BQ$1006,0))&gt;=100000), " ",IF(INDEX($AO$2:$BQ$1001,MATCH(ROWS($AH$2:AH959),$AH$2:$AH$1001,0),MATCH(COLUMNS($AO$1006:BH1006),$AO$1006:$BQ$1006,0)), HYPERLINK("#",""), HYPERLINK(CONCATENATE("#Metadata!", ADDRESS(INDEX($AJ$2:$AJ$1001,MATCH(ROWS($AH$2:AH959),$AH$2:$AH$1001,0),0), INDEX($AO$1004:$BQ$1004,1,MATCH(COLUMNS($AO$1006:BH1006),$AO$1006:$BQ$1006,0)))),"Fix")))</f>
        <v>#N/A</v>
      </c>
      <c r="V959" s="5" t="e">
        <f ca="1">IF(OR(INDEX($AI$2:$AI$1001,MATCH(ROWS($AH$2:AH959),$AH$2:$AH$1001,0),1)&gt;=100000,INDEX($AO$1005:$BQ$1005,1,MATCH(COLUMNS($AO$1006:BI1006),$AO$1006:$BQ$1006,0))&gt;=100000), " ",IF(INDEX($AO$2:$BQ$1001,MATCH(ROWS($AH$2:AH959),$AH$2:$AH$1001,0),MATCH(COLUMNS($AO$1006:BI1006),$AO$1006:$BQ$1006,0)), HYPERLINK("#",""), HYPERLINK(CONCATENATE("#Metadata!", ADDRESS(INDEX($AJ$2:$AJ$1001,MATCH(ROWS($AH$2:AH959),$AH$2:$AH$1001,0),0), INDEX($AO$1004:$BQ$1004,1,MATCH(COLUMNS($AO$1006:BI1006),$AO$1006:$BQ$1006,0)))),"Fix")))</f>
        <v>#N/A</v>
      </c>
      <c r="W959" s="5" t="e">
        <f ca="1">IF(OR(INDEX($AI$2:$AI$1001,MATCH(ROWS($AH$2:AH959),$AH$2:$AH$1001,0),1)&gt;=100000,INDEX($AO$1005:$BQ$1005,1,MATCH(COLUMNS($AO$1006:BJ1006),$AO$1006:$BQ$1006,0))&gt;=100000), " ",IF(INDEX($AO$2:$BQ$1001,MATCH(ROWS($AH$2:AH959),$AH$2:$AH$1001,0),MATCH(COLUMNS($AO$1006:BJ1006),$AO$1006:$BQ$1006,0)), HYPERLINK("#",""), HYPERLINK(CONCATENATE("#Metadata!", ADDRESS(INDEX($AJ$2:$AJ$1001,MATCH(ROWS($AH$2:AH959),$AH$2:$AH$1001,0),0), INDEX($AO$1004:$BQ$1004,1,MATCH(COLUMNS($AO$1006:BJ1006),$AO$1006:$BQ$1006,0)))),"Fix")))</f>
        <v>#N/A</v>
      </c>
      <c r="X959" s="5" t="e">
        <f ca="1">IF(OR(INDEX($AI$2:$AI$1001,MATCH(ROWS($AH$2:AH959),$AH$2:$AH$1001,0),1)&gt;=100000,INDEX($AO$1005:$BQ$1005,1,MATCH(COLUMNS($AO$1006:BK1006),$AO$1006:$BQ$1006,0))&gt;=100000), " ",IF(INDEX($AO$2:$BQ$1001,MATCH(ROWS($AH$2:AH959),$AH$2:$AH$1001,0),MATCH(COLUMNS($AO$1006:BK1006),$AO$1006:$BQ$1006,0)), HYPERLINK("#",""), HYPERLINK(CONCATENATE("#Metadata!", ADDRESS(INDEX($AJ$2:$AJ$1001,MATCH(ROWS($AH$2:AH959),$AH$2:$AH$1001,0),0), INDEX($AO$1004:$BQ$1004,1,MATCH(COLUMNS($AO$1006:BK1006),$AO$1006:$BQ$1006,0)))),"Fix")))</f>
        <v>#N/A</v>
      </c>
      <c r="Y959" s="5" t="e">
        <f ca="1">IF(OR(INDEX($AI$2:$AI$1001,MATCH(ROWS($AH$2:AH959),$AH$2:$AH$1001,0),1)&gt;=100000,INDEX($AO$1005:$BQ$1005,1,MATCH(COLUMNS($AO$1006:BL1006),$AO$1006:$BQ$1006,0))&gt;=100000), " ",IF(INDEX($AO$2:$BQ$1001,MATCH(ROWS($AH$2:AH959),$AH$2:$AH$1001,0),MATCH(COLUMNS($AO$1006:BL1006),$AO$1006:$BQ$1006,0)), HYPERLINK("#",""), HYPERLINK(CONCATENATE("#Metadata!", ADDRESS(INDEX($AJ$2:$AJ$1001,MATCH(ROWS($AH$2:AH959),$AH$2:$AH$1001,0),0), INDEX($AO$1004:$BQ$1004,1,MATCH(COLUMNS($AO$1006:BL1006),$AO$1006:$BQ$1006,0)))),"Fix")))</f>
        <v>#N/A</v>
      </c>
      <c r="Z959" s="5" t="e">
        <f ca="1">IF(OR(INDEX($AI$2:$AI$1001,MATCH(ROWS($AH$2:AH959),$AH$2:$AH$1001,0),1)&gt;=100000,INDEX($AO$1005:$BQ$1005,1,MATCH(COLUMNS($AO$1006:BM1006),$AO$1006:$BQ$1006,0))&gt;=100000), " ",IF(INDEX($AO$2:$BQ$1001,MATCH(ROWS($AH$2:AH959),$AH$2:$AH$1001,0),MATCH(COLUMNS($AO$1006:BM1006),$AO$1006:$BQ$1006,0)), HYPERLINK("#",""), HYPERLINK(CONCATENATE("#Metadata!", ADDRESS(INDEX($AJ$2:$AJ$1001,MATCH(ROWS($AH$2:AH959),$AH$2:$AH$1001,0),0), INDEX($AO$1004:$BQ$1004,1,MATCH(COLUMNS($AO$1006:BM1006),$AO$1006:$BQ$1006,0)))),"Fix")))</f>
        <v>#N/A</v>
      </c>
      <c r="AA959" s="5" t="e">
        <f ca="1">IF(OR(INDEX($AI$2:$AI$1001,MATCH(ROWS($AH$2:AH959),$AH$2:$AH$1001,0),1)&gt;=100000,INDEX($AO$1005:$BQ$1005,1,MATCH(COLUMNS($AO$1006:BN1006),$AO$1006:$BQ$1006,0))&gt;=100000), " ",IF(INDEX($AO$2:$BQ$1001,MATCH(ROWS($AH$2:AH959),$AH$2:$AH$1001,0),MATCH(COLUMNS($AO$1006:BN1006),$AO$1006:$BQ$1006,0)), HYPERLINK("#",""), HYPERLINK(CONCATENATE("#Metadata!", ADDRESS(INDEX($AJ$2:$AJ$1001,MATCH(ROWS($AH$2:AH959),$AH$2:$AH$1001,0),0), INDEX($AO$1004:$BQ$1004,1,MATCH(COLUMNS($AO$1006:BN1006),$AO$1006:$BQ$1006,0)))),"Fix")))</f>
        <v>#N/A</v>
      </c>
      <c r="AB959" s="5" t="e">
        <f ca="1">IF(OR(INDEX($AI$2:$AI$1001,MATCH(ROWS($AH$2:AH959),$AH$2:$AH$1001,0),1)&gt;=100000,INDEX($AO$1005:$BQ$1005,1,MATCH(COLUMNS($AO$1006:BO1006),$AO$1006:$BQ$1006,0))&gt;=100000), " ",IF(INDEX($AO$2:$BQ$1001,MATCH(ROWS($AH$2:AH959),$AH$2:$AH$1001,0),MATCH(COLUMNS($AO$1006:BO1006),$AO$1006:$BQ$1006,0)), HYPERLINK("#",""), HYPERLINK(CONCATENATE("#Metadata!", ADDRESS(INDEX($AJ$2:$AJ$1001,MATCH(ROWS($AH$2:AH959),$AH$2:$AH$1001,0),0), INDEX($AO$1004:$BQ$1004,1,MATCH(COLUMNS($AO$1006:BO1006),$AO$1006:$BQ$1006,0)))),"Fix")))</f>
        <v>#N/A</v>
      </c>
      <c r="AC959" s="5" t="e">
        <f ca="1">IF(OR(INDEX($AI$2:$AI$1001,MATCH(ROWS($AH$2:AH959),$AH$2:$AH$1001,0),1)&gt;=100000,INDEX($AO$1005:$BQ$1005,1,MATCH(COLUMNS($AO$1006:BP1006),$AO$1006:$BQ$1006,0))&gt;=100000), " ",IF(INDEX($AO$2:$BQ$1001,MATCH(ROWS($AH$2:AH959),$AH$2:$AH$1001,0),MATCH(COLUMNS($AO$1006:BP1006),$AO$1006:$BQ$1006,0)), HYPERLINK("#",""), HYPERLINK(CONCATENATE("#Metadata!", ADDRESS(INDEX($AJ$2:$AJ$1001,MATCH(ROWS($AH$2:AH959),$AH$2:$AH$1001,0),0), INDEX($AO$1004:$BQ$1004,1,MATCH(COLUMNS($AO$1006:BP1006),$AO$1006:$BQ$1006,0)))),"Fix")))</f>
        <v>#N/A</v>
      </c>
      <c r="AD959" s="5" t="e">
        <f ca="1">IF(OR(INDEX($AI$2:$AI$1001,MATCH(ROWS($AH$2:AH959),$AH$2:$AH$1001,0),1)&gt;=100000,INDEX($AO$1005:$BQ$1005,1,MATCH(COLUMNS($AO$1006:BQ1006),$AO$1006:$BQ$1006,0))&gt;=100000), " ",IF(INDEX($AO$2:$BQ$1001,MATCH(ROWS($AH$2:AH959),$AH$2:$AH$1001,0),MATCH(COLUMNS($AO$1006:BQ1006),$AO$1006:$BQ$1006,0)), HYPERLINK("#",""), HYPERLINK(CONCATENATE("#Metadata!", ADDRESS(INDEX($AJ$2:$AJ$1001,MATCH(ROWS($AH$2:AH959),$AH$2:$AH$1001,0),0), INDEX($AO$1004:$BQ$1004,1,MATCH(COLUMNS($AO$1006:BQ1006),$AO$1006:$BQ$1006,0)))),"Fix")))</f>
        <v>#REF!</v>
      </c>
      <c r="AH959">
        <f ca="1"/>
        <v>956</v>
      </c>
      <c r="AI959">
        <v>100959</v>
      </c>
      <c r="AJ959">
        <v>959</v>
      </c>
      <c r="AK959" t="b">
        <f t="shared" si="14"/>
        <v>1</v>
      </c>
      <c r="AL959" t="b">
        <f>COUNTBLANK(Metadata!B959:AD959)=COLUMNS(Metadata!B959:AD959)</f>
        <v>1</v>
      </c>
      <c r="AM959" t="str">
        <v/>
      </c>
      <c r="AO959" t="b">
        <f ca="1">AND(IF(Metadata!B959="",FALSE,TRUE),COUNTIF(Metadata!B:B, Metadata!B959) = 1,NOT(ISERROR(SUMPRODUCT(SEARCH(MID(Metadata!B959,ROW(INDIRECT("1:"&amp;LEN(Metadata!B959))), 1),"0123456789abcdefghijklmnopqrstuvwxyzABCDEFGHIJKLMNOPQRSTUVWXYZ.")))))</f>
        <v>0</v>
      </c>
      <c r="AP959" t="b">
        <f>IF(Metadata!C959="",FALSE,TRUE)</f>
        <v>0</v>
      </c>
      <c r="AQ959" t="b">
        <f>IF(Metadata!D959="",FALSE,TRUE)</f>
        <v>0</v>
      </c>
      <c r="AR959" t="b">
        <f ca="1">OR(AND(IF(Metadata!E959="",FALSE,TRUE),OR(EXACT(Metadata!E959,"not collected"),EXACT(Metadata!E959,"not provided"),EXACT(Metadata!E959,"restricted access"))),AND(IF(Metadata!E959="",FALSE,TRUE),AND(AND(IFERROR(INT(LEFT(Metadata!E959,4))&gt;1900,FALSE),IFERROR(INT(LEFT(Metadata!E959,4))&lt;=YEAR(NOW()),FALSE)), OR(MID(Metadata!E959,5,1)="", AND(AND(MID(Metadata!E959,5,1)="-",IFERROR(INT(MID(Metadata!E959,6,1))&gt;=0,FALSE),IFERROR(INT(MID(Metadata!E959,6,1))&lt;=1,FALSE),NOT(MID(Metadata!E959,7,1)=""),IFERROR(INT(MID(Metadata!E959,6,2))&gt;=1,FALSE),IFERROR(INT(MID(Metadata!E959,6,2))&lt;=12,FALSE)), OR(MID(Metadata!E959,8,1)="", AND(AND(MID(Metadata!E959,8,1)="-",IFERROR(INT(MID(Metadata!E959,9,1))&gt;=0,FALSE),IFERROR(INT(MID(Metadata!E959,9,1))&lt;=3,FALSE),NOT(MID(Metadata!E959,10,1)=""),IFERROR(INT(MID(Metadata!E959,9,2))&gt;=1,FALSE),IFERROR(INT(MID(Metadata!E959,9,2))&lt;=31,FALSE)), OR(MID(Metadata!E959,11,1)="", AND(AND(MID(Metadata!E959,11,1)=" ",IFERROR(INT(MID(Metadata!E959,12,1))&gt;=0,FALSE),IFERROR(INT(MID(Metadata!E959,12,1))&lt;=2,FALSE),NOT(MID(Metadata!E959,13,1)=""),IFERROR(INT(MID(Metadata!E959,12,2))&gt;=0,FALSE),IFERROR(INT(MID(Metadata!E959,12,2))&lt;=23,FALSE)), OR(MID(Metadata!E959,14,1)="", AND(AND(MID(Metadata!E959,14,1)=":",IFERROR(INT(MID(Metadata!E959,15,1))&gt;=0,FALSE),IFERROR(INT(MID(Metadata!E959,15,1))&lt;=5,FALSE),NOT(MID(Metadata!E959,16,1)=""),IFERROR(INT(MID(Metadata!E959,15,2))&gt;=0,FALSE),IFERROR(INT(MID(Metadata!E959,15,2))&lt;=59,FALSE)), OR(MID(Metadata!E959,17,1)="", AND(AND(MID(Metadata!E959,17,1)=":",IFERROR(INT(MID(Metadata!E959,18,1))&gt;=0,FALSE),IFERROR(INT(MID(Metadata!E959,18,1))&lt;=5,FALSE),NOT(MID(Metadata!E959,19,1)=""),IFERROR(INT(MID(Metadata!E959,18,2))&gt;=0,FALSE),IFERROR(INT(MID(Metadata!E959,18,2))&lt;=59,FALSE)), LEN(Metadata!E959)&lt;=19)))))))))))))</f>
        <v>0</v>
      </c>
      <c r="AS959" t="b">
        <f>IF(Metadata!F959="",FALSE,TRUE)</f>
        <v>0</v>
      </c>
      <c r="AT959" t="b">
        <f>OR(AND(IF(Metadata!G959="",FALSE,TRUE),OR(EXACT(Metadata!G959,"not collected"),EXACT(Metadata!G959,"not provided"))),AND(IF(Metadata!G959="",FALSE,TRUE),OR(EXACT(Metadata!G959,"TRUE"),EXACT(Metadata!G959,"FALSE"))))</f>
        <v>0</v>
      </c>
      <c r="AU959" t="b">
        <f>OR(AND(IF(Metadata!H959="",FALSE,TRUE),OR(EXACT(Metadata!H959,"not collected"),EXACT(Metadata!H959,"not provided"),EXACT(Metadata!H959,"restricted access"))),AND(IF(Metadata!H959="",FALSE,ISNUMBER(VALUE(Metadata!H959))),Metadata!H959&gt;=-413))</f>
        <v>0</v>
      </c>
      <c r="AV959" t="b">
        <f>AND(IF(Metadata!I959="",FALSE,TRUE),EXACT(Metadata!I959,"meters"))</f>
        <v>0</v>
      </c>
      <c r="AW959" t="b">
        <f>AND(IF(Metadata!J959="",FALSE,TRUE),EXACT(Metadata!J959,"free-living"))</f>
        <v>0</v>
      </c>
      <c r="AX959" t="b">
        <f>AND(IF(Metadata!K959="",FALSE,TRUE),OR(EXACT(Metadata!K959,"saline"),EXACT(Metadata!K959,"non-saline")))</f>
        <v>0</v>
      </c>
      <c r="AY959" t="b">
        <f>AND(IF(Metadata!L959="",FALSE,TRUE),OR(EXACT(Metadata!L959,"sub-surface (non-saline)"),EXACT(Metadata!L959,"surface (non-saline)"),EXACT(Metadata!L959,"water (non-saline)"),EXACT(Metadata!L959,"soil (non-saline)"),EXACT(Metadata!L959,"aerosol (non-saline)"),EXACT(Metadata!L959,"sediment (non-saline)"),EXACT(Metadata!L959,"surface (saline)"),EXACT(Metadata!L959,"water (saline)"),EXACT(Metadata!L959,"hypersaline (saline)"),EXACT(Metadata!L959,"aerosol (saline)"),EXACT(Metadata!L959,"sediment (saline)")))</f>
        <v>0</v>
      </c>
      <c r="AZ959" t="b">
        <f>IF(Metadata!M959="",FALSE,TRUE)</f>
        <v>0</v>
      </c>
      <c r="BA959" t="b">
        <f>IF(Metadata!N959="",FALSE,TRUE)</f>
        <v>0</v>
      </c>
      <c r="BB959" t="b">
        <f>IF(Metadata!O959="",FALSE,TRUE)</f>
        <v>0</v>
      </c>
      <c r="BC959" t="b">
        <f>AND(IF(Metadata!P959="",FALSE,TRUE),OR(EXACT(Metadata!P959,"air"),EXACT(Metadata!P959,"microbial mat/biofilm"),EXACT(Metadata!P959,"misc environment"),EXACT(Metadata!P959,"sediment"),EXACT(Metadata!P959,"soil"),EXACT(Metadata!P959,"wastewater/sludge"),EXACT(Metadata!P959,"water")))</f>
        <v>0</v>
      </c>
      <c r="BD959" t="b">
        <f>IF(Metadata!Q959="",FALSE,TRUE)</f>
        <v>0</v>
      </c>
      <c r="BE959" t="b">
        <f>IF(Metadata!R959="",FALSE,TRUE)</f>
        <v>0</v>
      </c>
      <c r="BF959" t="b">
        <f>OR(AND(IF(Metadata!S959="",FALSE,TRUE),OR(EXACT(Metadata!S959,"not collected"),EXACT(Metadata!S959,"not provided"),EXACT(Metadata!S959,"restricted access"))),AND(IF(Metadata!S959="",FALSE,ISNUMBER(VALUE(Metadata!S959))),Metadata!S959&gt;=-90,Metadata!S959&lt;=90))</f>
        <v>0</v>
      </c>
      <c r="BG959" t="b">
        <f>AND(IF(Metadata!T959="",FALSE,TRUE),EXACT(Metadata!T959,"Decimal degrees"))</f>
        <v>0</v>
      </c>
      <c r="BH959" t="b">
        <f>OR(AND(IF(Metadata!U959="",FALSE,TRUE),OR(EXACT(Metadata!U959,"not applicable"),EXACT(Metadata!U959,"not collected"))),IF(Metadata!U959="",FALSE,TRUE))</f>
        <v>0</v>
      </c>
      <c r="BI959" t="b">
        <f>OR(AND(IF(Metadata!V959="",FALSE,TRUE),OR(EXACT(Metadata!V959,"not collected"),EXACT(Metadata!V959,"not provided"),EXACT(Metadata!V959,"restricted access"))),AND(IF(Metadata!V959="",FALSE,ISNUMBER(VALUE(Metadata!V959))),Metadata!V959&gt;=-180,Metadata!V959&lt;=180))</f>
        <v>0</v>
      </c>
      <c r="BJ959" t="b">
        <f>AND(IF(Metadata!W959="",FALSE,TRUE),EXACT(Metadata!W959,"Decimal degrees"))</f>
        <v>0</v>
      </c>
      <c r="BK959" t="b">
        <f>IF(Metadata!X959="",FALSE,TRUE)</f>
        <v>0</v>
      </c>
      <c r="BL959" t="b">
        <f>OR(AND(IF(Metadata!Y959="",FALSE,TRUE),OR(EXACT(Metadata!Y959,"not collected"),EXACT(Metadata!Y959,"not provided"),EXACT(Metadata!Y959,"restricted access"))),AND(IF(Metadata!Y959="",FALSE,TRUE),OR(EXACT(Metadata!Y959,"TRUE"),EXACT(Metadata!Y959,"FALSE"))))</f>
        <v>0</v>
      </c>
      <c r="BM959" t="b">
        <f>OR(AND(IF(Metadata!Z959="",FALSE,TRUE),EXACT(Metadata!Z959,"not applicable")),AND(IF(Metadata!Z959="",FALSE,TRUE),OR(EXACT(Metadata!Z959,"beer"),EXACT(Metadata!Z959,"cheese"),EXACT(Metadata!Z959,"fresh water"),EXACT(Metadata!Z959,"marine sediment"),EXACT(Metadata!Z959,"sea water"),EXACT(Metadata!Z959,"sediment"),EXACT(Metadata!Z959,"soil"),EXACT(Metadata!Z959,"waste water"))))</f>
        <v>0</v>
      </c>
      <c r="BN959" t="b">
        <f>AND(IF(Metadata!AA959="",FALSE,TRUE),EXACT(Metadata!AA959,"metagenome"))</f>
        <v>0</v>
      </c>
      <c r="BO959" t="b">
        <f>AND(IF(Metadata!AB959="",FALSE,TRUE),EXACT(Metadata!AB959,"256318"))</f>
        <v>0</v>
      </c>
      <c r="BP959" t="b">
        <f>IF(Metadata!AC959="",FALSE,TRUE)</f>
        <v>0</v>
      </c>
      <c r="BQ959" t="b">
        <f>IF(Metadata!AD959="",FALSE,TRUE)</f>
        <v>0</v>
      </c>
    </row>
    <row r="960" spans="1:69" x14ac:dyDescent="0.2">
      <c r="A960" s="4" t="e">
        <f ca="1">IF(B960=" "," ",HYPERLINK(CONCATENATE("#metadata!",ADDRESS(INDEX($AJ$2:$AJ$1001,MATCH(ROWS($AH$2:AH960),$AH$2:$AH$1001,0),0),2)),INDEX($AM$2:$AM$1001,MATCH(ROWS($AH$2:AH960),$AH$2:$AH$1001,0),0)))</f>
        <v>#N/A</v>
      </c>
      <c r="B960" s="5" t="e">
        <f ca="1">IF(OR(INDEX($AI$2:$AI$1001,MATCH(ROWS($AH$2:AH960),$AH$2:$AH$1001,0),1)&gt;=100000,INDEX($AO$1005:$BQ$1005,1,MATCH(COLUMNS($AO$1006:AO1006),$AO$1006:$BQ$1006,0))&gt;=100000), " ",IF(INDEX($AO$2:$BQ$1001,MATCH(ROWS($AH$2:AH960),$AH$2:$AH$1001,0),MATCH(COLUMNS($AO$1006:AO1006),$AO$1006:$BQ$1006,0)), HYPERLINK("#",""), HYPERLINK(CONCATENATE("#Metadata!", ADDRESS(INDEX($AJ$2:$AJ$1001,MATCH(ROWS($AH$2:AH960),$AH$2:$AH$1001,0),0), INDEX($AO$1004:$BQ$1004,1,MATCH(COLUMNS($AO$1006:AO1006),$AO$1006:$BQ$1006,0)))),"Fix")))</f>
        <v>#N/A</v>
      </c>
      <c r="C960" s="5" t="e">
        <f ca="1">IF(OR(INDEX($AI$2:$AI$1001,MATCH(ROWS($AH$2:AH960),$AH$2:$AH$1001,0),1)&gt;=100000,INDEX($AO$1005:$BQ$1005,1,MATCH(COLUMNS($AO$1006:AP1006),$AO$1006:$BQ$1006,0))&gt;=100000), " ",IF(INDEX($AO$2:$BQ$1001,MATCH(ROWS($AH$2:AH960),$AH$2:$AH$1001,0),MATCH(COLUMNS($AO$1006:AP1006),$AO$1006:$BQ$1006,0)), HYPERLINK("#",""), HYPERLINK(CONCATENATE("#Metadata!", ADDRESS(INDEX($AJ$2:$AJ$1001,MATCH(ROWS($AH$2:AH960),$AH$2:$AH$1001,0),0), INDEX($AO$1004:$BQ$1004,1,MATCH(COLUMNS($AO$1006:AP1006),$AO$1006:$BQ$1006,0)))),"Fix")))</f>
        <v>#N/A</v>
      </c>
      <c r="D960" s="5" t="e">
        <f ca="1">IF(OR(INDEX($AI$2:$AI$1001,MATCH(ROWS($AH$2:AH960),$AH$2:$AH$1001,0),1)&gt;=100000,INDEX($AO$1005:$BQ$1005,1,MATCH(COLUMNS($AO$1006:AQ1006),$AO$1006:$BQ$1006,0))&gt;=100000), " ",IF(INDEX($AO$2:$BQ$1001,MATCH(ROWS($AH$2:AH960),$AH$2:$AH$1001,0),MATCH(COLUMNS($AO$1006:AQ1006),$AO$1006:$BQ$1006,0)), HYPERLINK("#",""), HYPERLINK(CONCATENATE("#Metadata!", ADDRESS(INDEX($AJ$2:$AJ$1001,MATCH(ROWS($AH$2:AH960),$AH$2:$AH$1001,0),0), INDEX($AO$1004:$BQ$1004,1,MATCH(COLUMNS($AO$1006:AQ1006),$AO$1006:$BQ$1006,0)))),"Fix")))</f>
        <v>#N/A</v>
      </c>
      <c r="E960" s="5" t="e">
        <f ca="1">IF(OR(INDEX($AI$2:$AI$1001,MATCH(ROWS($AH$2:AH960),$AH$2:$AH$1001,0),1)&gt;=100000,INDEX($AO$1005:$BQ$1005,1,MATCH(COLUMNS($AO$1006:AR1006),$AO$1006:$BQ$1006,0))&gt;=100000), " ",IF(INDEX($AO$2:$BQ$1001,MATCH(ROWS($AH$2:AH960),$AH$2:$AH$1001,0),MATCH(COLUMNS($AO$1006:AR1006),$AO$1006:$BQ$1006,0)), HYPERLINK("#",""), HYPERLINK(CONCATENATE("#Metadata!", ADDRESS(INDEX($AJ$2:$AJ$1001,MATCH(ROWS($AH$2:AH960),$AH$2:$AH$1001,0),0), INDEX($AO$1004:$BQ$1004,1,MATCH(COLUMNS($AO$1006:AR1006),$AO$1006:$BQ$1006,0)))),"Fix")))</f>
        <v>#N/A</v>
      </c>
      <c r="F960" s="5" t="e">
        <f ca="1">IF(OR(INDEX($AI$2:$AI$1001,MATCH(ROWS($AH$2:AH960),$AH$2:$AH$1001,0),1)&gt;=100000,INDEX($AO$1005:$BQ$1005,1,MATCH(COLUMNS($AO$1006:AS1006),$AO$1006:$BQ$1006,0))&gt;=100000), " ",IF(INDEX($AO$2:$BQ$1001,MATCH(ROWS($AH$2:AH960),$AH$2:$AH$1001,0),MATCH(COLUMNS($AO$1006:AS1006),$AO$1006:$BQ$1006,0)), HYPERLINK("#",""), HYPERLINK(CONCATENATE("#Metadata!", ADDRESS(INDEX($AJ$2:$AJ$1001,MATCH(ROWS($AH$2:AH960),$AH$2:$AH$1001,0),0), INDEX($AO$1004:$BQ$1004,1,MATCH(COLUMNS($AO$1006:AS1006),$AO$1006:$BQ$1006,0)))),"Fix")))</f>
        <v>#N/A</v>
      </c>
      <c r="G960" s="5" t="e">
        <f ca="1">IF(OR(INDEX($AI$2:$AI$1001,MATCH(ROWS($AH$2:AH960),$AH$2:$AH$1001,0),1)&gt;=100000,INDEX($AO$1005:$BQ$1005,1,MATCH(COLUMNS($AO$1006:AT1006),$AO$1006:$BQ$1006,0))&gt;=100000), " ",IF(INDEX($AO$2:$BQ$1001,MATCH(ROWS($AH$2:AH960),$AH$2:$AH$1001,0),MATCH(COLUMNS($AO$1006:AT1006),$AO$1006:$BQ$1006,0)), HYPERLINK("#",""), HYPERLINK(CONCATENATE("#Metadata!", ADDRESS(INDEX($AJ$2:$AJ$1001,MATCH(ROWS($AH$2:AH960),$AH$2:$AH$1001,0),0), INDEX($AO$1004:$BQ$1004,1,MATCH(COLUMNS($AO$1006:AT1006),$AO$1006:$BQ$1006,0)))),"Fix")))</f>
        <v>#N/A</v>
      </c>
      <c r="H960" s="5" t="e">
        <f ca="1">IF(OR(INDEX($AI$2:$AI$1001,MATCH(ROWS($AH$2:AH960),$AH$2:$AH$1001,0),1)&gt;=100000,INDEX($AO$1005:$BQ$1005,1,MATCH(COLUMNS($AO$1006:AU1006),$AO$1006:$BQ$1006,0))&gt;=100000), " ",IF(INDEX($AO$2:$BQ$1001,MATCH(ROWS($AH$2:AH960),$AH$2:$AH$1001,0),MATCH(COLUMNS($AO$1006:AU1006),$AO$1006:$BQ$1006,0)), HYPERLINK("#",""), HYPERLINK(CONCATENATE("#Metadata!", ADDRESS(INDEX($AJ$2:$AJ$1001,MATCH(ROWS($AH$2:AH960),$AH$2:$AH$1001,0),0), INDEX($AO$1004:$BQ$1004,1,MATCH(COLUMNS($AO$1006:AU1006),$AO$1006:$BQ$1006,0)))),"Fix")))</f>
        <v>#N/A</v>
      </c>
      <c r="I960" s="5" t="e">
        <f ca="1">IF(OR(INDEX($AI$2:$AI$1001,MATCH(ROWS($AH$2:AH960),$AH$2:$AH$1001,0),1)&gt;=100000,INDEX($AO$1005:$BQ$1005,1,MATCH(COLUMNS($AO$1006:AV1006),$AO$1006:$BQ$1006,0))&gt;=100000), " ",IF(INDEX($AO$2:$BQ$1001,MATCH(ROWS($AH$2:AH960),$AH$2:$AH$1001,0),MATCH(COLUMNS($AO$1006:AV1006),$AO$1006:$BQ$1006,0)), HYPERLINK("#",""), HYPERLINK(CONCATENATE("#Metadata!", ADDRESS(INDEX($AJ$2:$AJ$1001,MATCH(ROWS($AH$2:AH960),$AH$2:$AH$1001,0),0), INDEX($AO$1004:$BQ$1004,1,MATCH(COLUMNS($AO$1006:AV1006),$AO$1006:$BQ$1006,0)))),"Fix")))</f>
        <v>#N/A</v>
      </c>
      <c r="J960" s="5" t="e">
        <f ca="1">IF(OR(INDEX($AI$2:$AI$1001,MATCH(ROWS($AH$2:AH960),$AH$2:$AH$1001,0),1)&gt;=100000,INDEX($AO$1005:$BQ$1005,1,MATCH(COLUMNS($AO$1006:AW1006),$AO$1006:$BQ$1006,0))&gt;=100000), " ",IF(INDEX($AO$2:$BQ$1001,MATCH(ROWS($AH$2:AH960),$AH$2:$AH$1001,0),MATCH(COLUMNS($AO$1006:AW1006),$AO$1006:$BQ$1006,0)), HYPERLINK("#",""), HYPERLINK(CONCATENATE("#Metadata!", ADDRESS(INDEX($AJ$2:$AJ$1001,MATCH(ROWS($AH$2:AH960),$AH$2:$AH$1001,0),0), INDEX($AO$1004:$BQ$1004,1,MATCH(COLUMNS($AO$1006:AW1006),$AO$1006:$BQ$1006,0)))),"Fix")))</f>
        <v>#N/A</v>
      </c>
      <c r="K960" s="5" t="e">
        <f ca="1">IF(OR(INDEX($AI$2:$AI$1001,MATCH(ROWS($AH$2:AH960),$AH$2:$AH$1001,0),1)&gt;=100000,INDEX($AO$1005:$BQ$1005,1,MATCH(COLUMNS($AO$1006:AX1006),$AO$1006:$BQ$1006,0))&gt;=100000), " ",IF(INDEX($AO$2:$BQ$1001,MATCH(ROWS($AH$2:AH960),$AH$2:$AH$1001,0),MATCH(COLUMNS($AO$1006:AX1006),$AO$1006:$BQ$1006,0)), HYPERLINK("#",""), HYPERLINK(CONCATENATE("#Metadata!", ADDRESS(INDEX($AJ$2:$AJ$1001,MATCH(ROWS($AH$2:AH960),$AH$2:$AH$1001,0),0), INDEX($AO$1004:$BQ$1004,1,MATCH(COLUMNS($AO$1006:AX1006),$AO$1006:$BQ$1006,0)))),"Fix")))</f>
        <v>#N/A</v>
      </c>
      <c r="L960" s="5" t="e">
        <f ca="1">IF(OR(INDEX($AI$2:$AI$1001,MATCH(ROWS($AH$2:AH960),$AH$2:$AH$1001,0),1)&gt;=100000,INDEX($AO$1005:$BQ$1005,1,MATCH(COLUMNS($AO$1006:AY1006),$AO$1006:$BQ$1006,0))&gt;=100000), " ",IF(INDEX($AO$2:$BQ$1001,MATCH(ROWS($AH$2:AH960),$AH$2:$AH$1001,0),MATCH(COLUMNS($AO$1006:AY1006),$AO$1006:$BQ$1006,0)), HYPERLINK("#",""), HYPERLINK(CONCATENATE("#Metadata!", ADDRESS(INDEX($AJ$2:$AJ$1001,MATCH(ROWS($AH$2:AH960),$AH$2:$AH$1001,0),0), INDEX($AO$1004:$BQ$1004,1,MATCH(COLUMNS($AO$1006:AY1006),$AO$1006:$BQ$1006,0)))),"Fix")))</f>
        <v>#N/A</v>
      </c>
      <c r="M960" s="5" t="e">
        <f ca="1">IF(OR(INDEX($AI$2:$AI$1001,MATCH(ROWS($AH$2:AH960),$AH$2:$AH$1001,0),1)&gt;=100000,INDEX($AO$1005:$BQ$1005,1,MATCH(COLUMNS($AO$1006:AZ1006),$AO$1006:$BQ$1006,0))&gt;=100000), " ",IF(INDEX($AO$2:$BQ$1001,MATCH(ROWS($AH$2:AH960),$AH$2:$AH$1001,0),MATCH(COLUMNS($AO$1006:AZ1006),$AO$1006:$BQ$1006,0)), HYPERLINK("#",""), HYPERLINK(CONCATENATE("#Metadata!", ADDRESS(INDEX($AJ$2:$AJ$1001,MATCH(ROWS($AH$2:AH960),$AH$2:$AH$1001,0),0), INDEX($AO$1004:$BQ$1004,1,MATCH(COLUMNS($AO$1006:AZ1006),$AO$1006:$BQ$1006,0)))),"Fix")))</f>
        <v>#N/A</v>
      </c>
      <c r="N960" s="5" t="e">
        <f ca="1">IF(OR(INDEX($AI$2:$AI$1001,MATCH(ROWS($AH$2:AH960),$AH$2:$AH$1001,0),1)&gt;=100000,INDEX($AO$1005:$BQ$1005,1,MATCH(COLUMNS($AO$1006:BA1006),$AO$1006:$BQ$1006,0))&gt;=100000), " ",IF(INDEX($AO$2:$BQ$1001,MATCH(ROWS($AH$2:AH960),$AH$2:$AH$1001,0),MATCH(COLUMNS($AO$1006:BA1006),$AO$1006:$BQ$1006,0)), HYPERLINK("#",""), HYPERLINK(CONCATENATE("#Metadata!", ADDRESS(INDEX($AJ$2:$AJ$1001,MATCH(ROWS($AH$2:AH960),$AH$2:$AH$1001,0),0), INDEX($AO$1004:$BQ$1004,1,MATCH(COLUMNS($AO$1006:BA1006),$AO$1006:$BQ$1006,0)))),"Fix")))</f>
        <v>#N/A</v>
      </c>
      <c r="O960" s="5" t="e">
        <f ca="1">IF(OR(INDEX($AI$2:$AI$1001,MATCH(ROWS($AH$2:AH960),$AH$2:$AH$1001,0),1)&gt;=100000,INDEX($AO$1005:$BQ$1005,1,MATCH(COLUMNS($AO$1006:BB1006),$AO$1006:$BQ$1006,0))&gt;=100000), " ",IF(INDEX($AO$2:$BQ$1001,MATCH(ROWS($AH$2:AH960),$AH$2:$AH$1001,0),MATCH(COLUMNS($AO$1006:BB1006),$AO$1006:$BQ$1006,0)), HYPERLINK("#",""), HYPERLINK(CONCATENATE("#Metadata!", ADDRESS(INDEX($AJ$2:$AJ$1001,MATCH(ROWS($AH$2:AH960),$AH$2:$AH$1001,0),0), INDEX($AO$1004:$BQ$1004,1,MATCH(COLUMNS($AO$1006:BB1006),$AO$1006:$BQ$1006,0)))),"Fix")))</f>
        <v>#N/A</v>
      </c>
      <c r="P960" s="5" t="e">
        <f ca="1">IF(OR(INDEX($AI$2:$AI$1001,MATCH(ROWS($AH$2:AH960),$AH$2:$AH$1001,0),1)&gt;=100000,INDEX($AO$1005:$BQ$1005,1,MATCH(COLUMNS($AO$1006:BC1006),$AO$1006:$BQ$1006,0))&gt;=100000), " ",IF(INDEX($AO$2:$BQ$1001,MATCH(ROWS($AH$2:AH960),$AH$2:$AH$1001,0),MATCH(COLUMNS($AO$1006:BC1006),$AO$1006:$BQ$1006,0)), HYPERLINK("#",""), HYPERLINK(CONCATENATE("#Metadata!", ADDRESS(INDEX($AJ$2:$AJ$1001,MATCH(ROWS($AH$2:AH960),$AH$2:$AH$1001,0),0), INDEX($AO$1004:$BQ$1004,1,MATCH(COLUMNS($AO$1006:BC1006),$AO$1006:$BQ$1006,0)))),"Fix")))</f>
        <v>#N/A</v>
      </c>
      <c r="Q960" s="5" t="e">
        <f ca="1">IF(OR(INDEX($AI$2:$AI$1001,MATCH(ROWS($AH$2:AH960),$AH$2:$AH$1001,0),1)&gt;=100000,INDEX($AO$1005:$BQ$1005,1,MATCH(COLUMNS($AO$1006:BD1006),$AO$1006:$BQ$1006,0))&gt;=100000), " ",IF(INDEX($AO$2:$BQ$1001,MATCH(ROWS($AH$2:AH960),$AH$2:$AH$1001,0),MATCH(COLUMNS($AO$1006:BD1006),$AO$1006:$BQ$1006,0)), HYPERLINK("#",""), HYPERLINK(CONCATENATE("#Metadata!", ADDRESS(INDEX($AJ$2:$AJ$1001,MATCH(ROWS($AH$2:AH960),$AH$2:$AH$1001,0),0), INDEX($AO$1004:$BQ$1004,1,MATCH(COLUMNS($AO$1006:BD1006),$AO$1006:$BQ$1006,0)))),"Fix")))</f>
        <v>#N/A</v>
      </c>
      <c r="R960" s="5" t="e">
        <f ca="1">IF(OR(INDEX($AI$2:$AI$1001,MATCH(ROWS($AH$2:AH960),$AH$2:$AH$1001,0),1)&gt;=100000,INDEX($AO$1005:$BQ$1005,1,MATCH(COLUMNS($AO$1006:BE1006),$AO$1006:$BQ$1006,0))&gt;=100000), " ",IF(INDEX($AO$2:$BQ$1001,MATCH(ROWS($AH$2:AH960),$AH$2:$AH$1001,0),MATCH(COLUMNS($AO$1006:BE1006),$AO$1006:$BQ$1006,0)), HYPERLINK("#",""), HYPERLINK(CONCATENATE("#Metadata!", ADDRESS(INDEX($AJ$2:$AJ$1001,MATCH(ROWS($AH$2:AH960),$AH$2:$AH$1001,0),0), INDEX($AO$1004:$BQ$1004,1,MATCH(COLUMNS($AO$1006:BE1006),$AO$1006:$BQ$1006,0)))),"Fix")))</f>
        <v>#N/A</v>
      </c>
      <c r="S960" s="5" t="e">
        <f ca="1">IF(OR(INDEX($AI$2:$AI$1001,MATCH(ROWS($AH$2:AH960),$AH$2:$AH$1001,0),1)&gt;=100000,INDEX($AO$1005:$BQ$1005,1,MATCH(COLUMNS($AO$1006:BF1006),$AO$1006:$BQ$1006,0))&gt;=100000), " ",IF(INDEX($AO$2:$BQ$1001,MATCH(ROWS($AH$2:AH960),$AH$2:$AH$1001,0),MATCH(COLUMNS($AO$1006:BF1006),$AO$1006:$BQ$1006,0)), HYPERLINK("#",""), HYPERLINK(CONCATENATE("#Metadata!", ADDRESS(INDEX($AJ$2:$AJ$1001,MATCH(ROWS($AH$2:AH960),$AH$2:$AH$1001,0),0), INDEX($AO$1004:$BQ$1004,1,MATCH(COLUMNS($AO$1006:BF1006),$AO$1006:$BQ$1006,0)))),"Fix")))</f>
        <v>#N/A</v>
      </c>
      <c r="T960" s="5" t="e">
        <f ca="1">IF(OR(INDEX($AI$2:$AI$1001,MATCH(ROWS($AH$2:AH960),$AH$2:$AH$1001,0),1)&gt;=100000,INDEX($AO$1005:$BQ$1005,1,MATCH(COLUMNS($AO$1006:BG1006),$AO$1006:$BQ$1006,0))&gt;=100000), " ",IF(INDEX($AO$2:$BQ$1001,MATCH(ROWS($AH$2:AH960),$AH$2:$AH$1001,0),MATCH(COLUMNS($AO$1006:BG1006),$AO$1006:$BQ$1006,0)), HYPERLINK("#",""), HYPERLINK(CONCATENATE("#Metadata!", ADDRESS(INDEX($AJ$2:$AJ$1001,MATCH(ROWS($AH$2:AH960),$AH$2:$AH$1001,0),0), INDEX($AO$1004:$BQ$1004,1,MATCH(COLUMNS($AO$1006:BG1006),$AO$1006:$BQ$1006,0)))),"Fix")))</f>
        <v>#N/A</v>
      </c>
      <c r="U960" s="5" t="e">
        <f ca="1">IF(OR(INDEX($AI$2:$AI$1001,MATCH(ROWS($AH$2:AH960),$AH$2:$AH$1001,0),1)&gt;=100000,INDEX($AO$1005:$BQ$1005,1,MATCH(COLUMNS($AO$1006:BH1006),$AO$1006:$BQ$1006,0))&gt;=100000), " ",IF(INDEX($AO$2:$BQ$1001,MATCH(ROWS($AH$2:AH960),$AH$2:$AH$1001,0),MATCH(COLUMNS($AO$1006:BH1006),$AO$1006:$BQ$1006,0)), HYPERLINK("#",""), HYPERLINK(CONCATENATE("#Metadata!", ADDRESS(INDEX($AJ$2:$AJ$1001,MATCH(ROWS($AH$2:AH960),$AH$2:$AH$1001,0),0), INDEX($AO$1004:$BQ$1004,1,MATCH(COLUMNS($AO$1006:BH1006),$AO$1006:$BQ$1006,0)))),"Fix")))</f>
        <v>#N/A</v>
      </c>
      <c r="V960" s="5" t="e">
        <f ca="1">IF(OR(INDEX($AI$2:$AI$1001,MATCH(ROWS($AH$2:AH960),$AH$2:$AH$1001,0),1)&gt;=100000,INDEX($AO$1005:$BQ$1005,1,MATCH(COLUMNS($AO$1006:BI1006),$AO$1006:$BQ$1006,0))&gt;=100000), " ",IF(INDEX($AO$2:$BQ$1001,MATCH(ROWS($AH$2:AH960),$AH$2:$AH$1001,0),MATCH(COLUMNS($AO$1006:BI1006),$AO$1006:$BQ$1006,0)), HYPERLINK("#",""), HYPERLINK(CONCATENATE("#Metadata!", ADDRESS(INDEX($AJ$2:$AJ$1001,MATCH(ROWS($AH$2:AH960),$AH$2:$AH$1001,0),0), INDEX($AO$1004:$BQ$1004,1,MATCH(COLUMNS($AO$1006:BI1006),$AO$1006:$BQ$1006,0)))),"Fix")))</f>
        <v>#N/A</v>
      </c>
      <c r="W960" s="5" t="e">
        <f ca="1">IF(OR(INDEX($AI$2:$AI$1001,MATCH(ROWS($AH$2:AH960),$AH$2:$AH$1001,0),1)&gt;=100000,INDEX($AO$1005:$BQ$1005,1,MATCH(COLUMNS($AO$1006:BJ1006),$AO$1006:$BQ$1006,0))&gt;=100000), " ",IF(INDEX($AO$2:$BQ$1001,MATCH(ROWS($AH$2:AH960),$AH$2:$AH$1001,0),MATCH(COLUMNS($AO$1006:BJ1006),$AO$1006:$BQ$1006,0)), HYPERLINK("#",""), HYPERLINK(CONCATENATE("#Metadata!", ADDRESS(INDEX($AJ$2:$AJ$1001,MATCH(ROWS($AH$2:AH960),$AH$2:$AH$1001,0),0), INDEX($AO$1004:$BQ$1004,1,MATCH(COLUMNS($AO$1006:BJ1006),$AO$1006:$BQ$1006,0)))),"Fix")))</f>
        <v>#N/A</v>
      </c>
      <c r="X960" s="5" t="e">
        <f ca="1">IF(OR(INDEX($AI$2:$AI$1001,MATCH(ROWS($AH$2:AH960),$AH$2:$AH$1001,0),1)&gt;=100000,INDEX($AO$1005:$BQ$1005,1,MATCH(COLUMNS($AO$1006:BK1006),$AO$1006:$BQ$1006,0))&gt;=100000), " ",IF(INDEX($AO$2:$BQ$1001,MATCH(ROWS($AH$2:AH960),$AH$2:$AH$1001,0),MATCH(COLUMNS($AO$1006:BK1006),$AO$1006:$BQ$1006,0)), HYPERLINK("#",""), HYPERLINK(CONCATENATE("#Metadata!", ADDRESS(INDEX($AJ$2:$AJ$1001,MATCH(ROWS($AH$2:AH960),$AH$2:$AH$1001,0),0), INDEX($AO$1004:$BQ$1004,1,MATCH(COLUMNS($AO$1006:BK1006),$AO$1006:$BQ$1006,0)))),"Fix")))</f>
        <v>#N/A</v>
      </c>
      <c r="Y960" s="5" t="e">
        <f ca="1">IF(OR(INDEX($AI$2:$AI$1001,MATCH(ROWS($AH$2:AH960),$AH$2:$AH$1001,0),1)&gt;=100000,INDEX($AO$1005:$BQ$1005,1,MATCH(COLUMNS($AO$1006:BL1006),$AO$1006:$BQ$1006,0))&gt;=100000), " ",IF(INDEX($AO$2:$BQ$1001,MATCH(ROWS($AH$2:AH960),$AH$2:$AH$1001,0),MATCH(COLUMNS($AO$1006:BL1006),$AO$1006:$BQ$1006,0)), HYPERLINK("#",""), HYPERLINK(CONCATENATE("#Metadata!", ADDRESS(INDEX($AJ$2:$AJ$1001,MATCH(ROWS($AH$2:AH960),$AH$2:$AH$1001,0),0), INDEX($AO$1004:$BQ$1004,1,MATCH(COLUMNS($AO$1006:BL1006),$AO$1006:$BQ$1006,0)))),"Fix")))</f>
        <v>#N/A</v>
      </c>
      <c r="Z960" s="5" t="e">
        <f ca="1">IF(OR(INDEX($AI$2:$AI$1001,MATCH(ROWS($AH$2:AH960),$AH$2:$AH$1001,0),1)&gt;=100000,INDEX($AO$1005:$BQ$1005,1,MATCH(COLUMNS($AO$1006:BM1006),$AO$1006:$BQ$1006,0))&gt;=100000), " ",IF(INDEX($AO$2:$BQ$1001,MATCH(ROWS($AH$2:AH960),$AH$2:$AH$1001,0),MATCH(COLUMNS($AO$1006:BM1006),$AO$1006:$BQ$1006,0)), HYPERLINK("#",""), HYPERLINK(CONCATENATE("#Metadata!", ADDRESS(INDEX($AJ$2:$AJ$1001,MATCH(ROWS($AH$2:AH960),$AH$2:$AH$1001,0),0), INDEX($AO$1004:$BQ$1004,1,MATCH(COLUMNS($AO$1006:BM1006),$AO$1006:$BQ$1006,0)))),"Fix")))</f>
        <v>#N/A</v>
      </c>
      <c r="AA960" s="5" t="e">
        <f ca="1">IF(OR(INDEX($AI$2:$AI$1001,MATCH(ROWS($AH$2:AH960),$AH$2:$AH$1001,0),1)&gt;=100000,INDEX($AO$1005:$BQ$1005,1,MATCH(COLUMNS($AO$1006:BN1006),$AO$1006:$BQ$1006,0))&gt;=100000), " ",IF(INDEX($AO$2:$BQ$1001,MATCH(ROWS($AH$2:AH960),$AH$2:$AH$1001,0),MATCH(COLUMNS($AO$1006:BN1006),$AO$1006:$BQ$1006,0)), HYPERLINK("#",""), HYPERLINK(CONCATENATE("#Metadata!", ADDRESS(INDEX($AJ$2:$AJ$1001,MATCH(ROWS($AH$2:AH960),$AH$2:$AH$1001,0),0), INDEX($AO$1004:$BQ$1004,1,MATCH(COLUMNS($AO$1006:BN1006),$AO$1006:$BQ$1006,0)))),"Fix")))</f>
        <v>#N/A</v>
      </c>
      <c r="AB960" s="5" t="e">
        <f ca="1">IF(OR(INDEX($AI$2:$AI$1001,MATCH(ROWS($AH$2:AH960),$AH$2:$AH$1001,0),1)&gt;=100000,INDEX($AO$1005:$BQ$1005,1,MATCH(COLUMNS($AO$1006:BO1006),$AO$1006:$BQ$1006,0))&gt;=100000), " ",IF(INDEX($AO$2:$BQ$1001,MATCH(ROWS($AH$2:AH960),$AH$2:$AH$1001,0),MATCH(COLUMNS($AO$1006:BO1006),$AO$1006:$BQ$1006,0)), HYPERLINK("#",""), HYPERLINK(CONCATENATE("#Metadata!", ADDRESS(INDEX($AJ$2:$AJ$1001,MATCH(ROWS($AH$2:AH960),$AH$2:$AH$1001,0),0), INDEX($AO$1004:$BQ$1004,1,MATCH(COLUMNS($AO$1006:BO1006),$AO$1006:$BQ$1006,0)))),"Fix")))</f>
        <v>#N/A</v>
      </c>
      <c r="AC960" s="5" t="e">
        <f ca="1">IF(OR(INDEX($AI$2:$AI$1001,MATCH(ROWS($AH$2:AH960),$AH$2:$AH$1001,0),1)&gt;=100000,INDEX($AO$1005:$BQ$1005,1,MATCH(COLUMNS($AO$1006:BP1006),$AO$1006:$BQ$1006,0))&gt;=100000), " ",IF(INDEX($AO$2:$BQ$1001,MATCH(ROWS($AH$2:AH960),$AH$2:$AH$1001,0),MATCH(COLUMNS($AO$1006:BP1006),$AO$1006:$BQ$1006,0)), HYPERLINK("#",""), HYPERLINK(CONCATENATE("#Metadata!", ADDRESS(INDEX($AJ$2:$AJ$1001,MATCH(ROWS($AH$2:AH960),$AH$2:$AH$1001,0),0), INDEX($AO$1004:$BQ$1004,1,MATCH(COLUMNS($AO$1006:BP1006),$AO$1006:$BQ$1006,0)))),"Fix")))</f>
        <v>#N/A</v>
      </c>
      <c r="AD960" s="5" t="e">
        <f ca="1">IF(OR(INDEX($AI$2:$AI$1001,MATCH(ROWS($AH$2:AH960),$AH$2:$AH$1001,0),1)&gt;=100000,INDEX($AO$1005:$BQ$1005,1,MATCH(COLUMNS($AO$1006:BQ1006),$AO$1006:$BQ$1006,0))&gt;=100000), " ",IF(INDEX($AO$2:$BQ$1001,MATCH(ROWS($AH$2:AH960),$AH$2:$AH$1001,0),MATCH(COLUMNS($AO$1006:BQ1006),$AO$1006:$BQ$1006,0)), HYPERLINK("#",""), HYPERLINK(CONCATENATE("#Metadata!", ADDRESS(INDEX($AJ$2:$AJ$1001,MATCH(ROWS($AH$2:AH960),$AH$2:$AH$1001,0),0), INDEX($AO$1004:$BQ$1004,1,MATCH(COLUMNS($AO$1006:BQ1006),$AO$1006:$BQ$1006,0)))),"Fix")))</f>
        <v>#REF!</v>
      </c>
      <c r="AH960">
        <f ca="1"/>
        <v>957</v>
      </c>
      <c r="AI960">
        <v>100960</v>
      </c>
      <c r="AJ960">
        <v>960</v>
      </c>
      <c r="AK960" t="b">
        <f t="shared" si="14"/>
        <v>1</v>
      </c>
      <c r="AL960" t="b">
        <f>COUNTBLANK(Metadata!B960:AD960)=COLUMNS(Metadata!B960:AD960)</f>
        <v>1</v>
      </c>
      <c r="AM960" t="str">
        <v/>
      </c>
      <c r="AO960" t="b">
        <f ca="1">AND(IF(Metadata!B960="",FALSE,TRUE),COUNTIF(Metadata!B:B, Metadata!B960) = 1,NOT(ISERROR(SUMPRODUCT(SEARCH(MID(Metadata!B960,ROW(INDIRECT("1:"&amp;LEN(Metadata!B960))), 1),"0123456789abcdefghijklmnopqrstuvwxyzABCDEFGHIJKLMNOPQRSTUVWXYZ.")))))</f>
        <v>0</v>
      </c>
      <c r="AP960" t="b">
        <f>IF(Metadata!C960="",FALSE,TRUE)</f>
        <v>0</v>
      </c>
      <c r="AQ960" t="b">
        <f>IF(Metadata!D960="",FALSE,TRUE)</f>
        <v>0</v>
      </c>
      <c r="AR960" t="b">
        <f ca="1">OR(AND(IF(Metadata!E960="",FALSE,TRUE),OR(EXACT(Metadata!E960,"not collected"),EXACT(Metadata!E960,"not provided"),EXACT(Metadata!E960,"restricted access"))),AND(IF(Metadata!E960="",FALSE,TRUE),AND(AND(IFERROR(INT(LEFT(Metadata!E960,4))&gt;1900,FALSE),IFERROR(INT(LEFT(Metadata!E960,4))&lt;=YEAR(NOW()),FALSE)), OR(MID(Metadata!E960,5,1)="", AND(AND(MID(Metadata!E960,5,1)="-",IFERROR(INT(MID(Metadata!E960,6,1))&gt;=0,FALSE),IFERROR(INT(MID(Metadata!E960,6,1))&lt;=1,FALSE),NOT(MID(Metadata!E960,7,1)=""),IFERROR(INT(MID(Metadata!E960,6,2))&gt;=1,FALSE),IFERROR(INT(MID(Metadata!E960,6,2))&lt;=12,FALSE)), OR(MID(Metadata!E960,8,1)="", AND(AND(MID(Metadata!E960,8,1)="-",IFERROR(INT(MID(Metadata!E960,9,1))&gt;=0,FALSE),IFERROR(INT(MID(Metadata!E960,9,1))&lt;=3,FALSE),NOT(MID(Metadata!E960,10,1)=""),IFERROR(INT(MID(Metadata!E960,9,2))&gt;=1,FALSE),IFERROR(INT(MID(Metadata!E960,9,2))&lt;=31,FALSE)), OR(MID(Metadata!E960,11,1)="", AND(AND(MID(Metadata!E960,11,1)=" ",IFERROR(INT(MID(Metadata!E960,12,1))&gt;=0,FALSE),IFERROR(INT(MID(Metadata!E960,12,1))&lt;=2,FALSE),NOT(MID(Metadata!E960,13,1)=""),IFERROR(INT(MID(Metadata!E960,12,2))&gt;=0,FALSE),IFERROR(INT(MID(Metadata!E960,12,2))&lt;=23,FALSE)), OR(MID(Metadata!E960,14,1)="", AND(AND(MID(Metadata!E960,14,1)=":",IFERROR(INT(MID(Metadata!E960,15,1))&gt;=0,FALSE),IFERROR(INT(MID(Metadata!E960,15,1))&lt;=5,FALSE),NOT(MID(Metadata!E960,16,1)=""),IFERROR(INT(MID(Metadata!E960,15,2))&gt;=0,FALSE),IFERROR(INT(MID(Metadata!E960,15,2))&lt;=59,FALSE)), OR(MID(Metadata!E960,17,1)="", AND(AND(MID(Metadata!E960,17,1)=":",IFERROR(INT(MID(Metadata!E960,18,1))&gt;=0,FALSE),IFERROR(INT(MID(Metadata!E960,18,1))&lt;=5,FALSE),NOT(MID(Metadata!E960,19,1)=""),IFERROR(INT(MID(Metadata!E960,18,2))&gt;=0,FALSE),IFERROR(INT(MID(Metadata!E960,18,2))&lt;=59,FALSE)), LEN(Metadata!E960)&lt;=19)))))))))))))</f>
        <v>0</v>
      </c>
      <c r="AS960" t="b">
        <f>IF(Metadata!F960="",FALSE,TRUE)</f>
        <v>0</v>
      </c>
      <c r="AT960" t="b">
        <f>OR(AND(IF(Metadata!G960="",FALSE,TRUE),OR(EXACT(Metadata!G960,"not collected"),EXACT(Metadata!G960,"not provided"))),AND(IF(Metadata!G960="",FALSE,TRUE),OR(EXACT(Metadata!G960,"TRUE"),EXACT(Metadata!G960,"FALSE"))))</f>
        <v>0</v>
      </c>
      <c r="AU960" t="b">
        <f>OR(AND(IF(Metadata!H960="",FALSE,TRUE),OR(EXACT(Metadata!H960,"not collected"),EXACT(Metadata!H960,"not provided"),EXACT(Metadata!H960,"restricted access"))),AND(IF(Metadata!H960="",FALSE,ISNUMBER(VALUE(Metadata!H960))),Metadata!H960&gt;=-413))</f>
        <v>0</v>
      </c>
      <c r="AV960" t="b">
        <f>AND(IF(Metadata!I960="",FALSE,TRUE),EXACT(Metadata!I960,"meters"))</f>
        <v>0</v>
      </c>
      <c r="AW960" t="b">
        <f>AND(IF(Metadata!J960="",FALSE,TRUE),EXACT(Metadata!J960,"free-living"))</f>
        <v>0</v>
      </c>
      <c r="AX960" t="b">
        <f>AND(IF(Metadata!K960="",FALSE,TRUE),OR(EXACT(Metadata!K960,"saline"),EXACT(Metadata!K960,"non-saline")))</f>
        <v>0</v>
      </c>
      <c r="AY960" t="b">
        <f>AND(IF(Metadata!L960="",FALSE,TRUE),OR(EXACT(Metadata!L960,"sub-surface (non-saline)"),EXACT(Metadata!L960,"surface (non-saline)"),EXACT(Metadata!L960,"water (non-saline)"),EXACT(Metadata!L960,"soil (non-saline)"),EXACT(Metadata!L960,"aerosol (non-saline)"),EXACT(Metadata!L960,"sediment (non-saline)"),EXACT(Metadata!L960,"surface (saline)"),EXACT(Metadata!L960,"water (saline)"),EXACT(Metadata!L960,"hypersaline (saline)"),EXACT(Metadata!L960,"aerosol (saline)"),EXACT(Metadata!L960,"sediment (saline)")))</f>
        <v>0</v>
      </c>
      <c r="AZ960" t="b">
        <f>IF(Metadata!M960="",FALSE,TRUE)</f>
        <v>0</v>
      </c>
      <c r="BA960" t="b">
        <f>IF(Metadata!N960="",FALSE,TRUE)</f>
        <v>0</v>
      </c>
      <c r="BB960" t="b">
        <f>IF(Metadata!O960="",FALSE,TRUE)</f>
        <v>0</v>
      </c>
      <c r="BC960" t="b">
        <f>AND(IF(Metadata!P960="",FALSE,TRUE),OR(EXACT(Metadata!P960,"air"),EXACT(Metadata!P960,"microbial mat/biofilm"),EXACT(Metadata!P960,"misc environment"),EXACT(Metadata!P960,"sediment"),EXACT(Metadata!P960,"soil"),EXACT(Metadata!P960,"wastewater/sludge"),EXACT(Metadata!P960,"water")))</f>
        <v>0</v>
      </c>
      <c r="BD960" t="b">
        <f>IF(Metadata!Q960="",FALSE,TRUE)</f>
        <v>0</v>
      </c>
      <c r="BE960" t="b">
        <f>IF(Metadata!R960="",FALSE,TRUE)</f>
        <v>0</v>
      </c>
      <c r="BF960" t="b">
        <f>OR(AND(IF(Metadata!S960="",FALSE,TRUE),OR(EXACT(Metadata!S960,"not collected"),EXACT(Metadata!S960,"not provided"),EXACT(Metadata!S960,"restricted access"))),AND(IF(Metadata!S960="",FALSE,ISNUMBER(VALUE(Metadata!S960))),Metadata!S960&gt;=-90,Metadata!S960&lt;=90))</f>
        <v>0</v>
      </c>
      <c r="BG960" t="b">
        <f>AND(IF(Metadata!T960="",FALSE,TRUE),EXACT(Metadata!T960,"Decimal degrees"))</f>
        <v>0</v>
      </c>
      <c r="BH960" t="b">
        <f>OR(AND(IF(Metadata!U960="",FALSE,TRUE),OR(EXACT(Metadata!U960,"not applicable"),EXACT(Metadata!U960,"not collected"))),IF(Metadata!U960="",FALSE,TRUE))</f>
        <v>0</v>
      </c>
      <c r="BI960" t="b">
        <f>OR(AND(IF(Metadata!V960="",FALSE,TRUE),OR(EXACT(Metadata!V960,"not collected"),EXACT(Metadata!V960,"not provided"),EXACT(Metadata!V960,"restricted access"))),AND(IF(Metadata!V960="",FALSE,ISNUMBER(VALUE(Metadata!V960))),Metadata!V960&gt;=-180,Metadata!V960&lt;=180))</f>
        <v>0</v>
      </c>
      <c r="BJ960" t="b">
        <f>AND(IF(Metadata!W960="",FALSE,TRUE),EXACT(Metadata!W960,"Decimal degrees"))</f>
        <v>0</v>
      </c>
      <c r="BK960" t="b">
        <f>IF(Metadata!X960="",FALSE,TRUE)</f>
        <v>0</v>
      </c>
      <c r="BL960" t="b">
        <f>OR(AND(IF(Metadata!Y960="",FALSE,TRUE),OR(EXACT(Metadata!Y960,"not collected"),EXACT(Metadata!Y960,"not provided"),EXACT(Metadata!Y960,"restricted access"))),AND(IF(Metadata!Y960="",FALSE,TRUE),OR(EXACT(Metadata!Y960,"TRUE"),EXACT(Metadata!Y960,"FALSE"))))</f>
        <v>0</v>
      </c>
      <c r="BM960" t="b">
        <f>OR(AND(IF(Metadata!Z960="",FALSE,TRUE),EXACT(Metadata!Z960,"not applicable")),AND(IF(Metadata!Z960="",FALSE,TRUE),OR(EXACT(Metadata!Z960,"beer"),EXACT(Metadata!Z960,"cheese"),EXACT(Metadata!Z960,"fresh water"),EXACT(Metadata!Z960,"marine sediment"),EXACT(Metadata!Z960,"sea water"),EXACT(Metadata!Z960,"sediment"),EXACT(Metadata!Z960,"soil"),EXACT(Metadata!Z960,"waste water"))))</f>
        <v>0</v>
      </c>
      <c r="BN960" t="b">
        <f>AND(IF(Metadata!AA960="",FALSE,TRUE),EXACT(Metadata!AA960,"metagenome"))</f>
        <v>0</v>
      </c>
      <c r="BO960" t="b">
        <f>AND(IF(Metadata!AB960="",FALSE,TRUE),EXACT(Metadata!AB960,"256318"))</f>
        <v>0</v>
      </c>
      <c r="BP960" t="b">
        <f>IF(Metadata!AC960="",FALSE,TRUE)</f>
        <v>0</v>
      </c>
      <c r="BQ960" t="b">
        <f>IF(Metadata!AD960="",FALSE,TRUE)</f>
        <v>0</v>
      </c>
    </row>
    <row r="961" spans="1:69" x14ac:dyDescent="0.2">
      <c r="A961" s="4" t="e">
        <f ca="1">IF(B961=" "," ",HYPERLINK(CONCATENATE("#metadata!",ADDRESS(INDEX($AJ$2:$AJ$1001,MATCH(ROWS($AH$2:AH961),$AH$2:$AH$1001,0),0),2)),INDEX($AM$2:$AM$1001,MATCH(ROWS($AH$2:AH961),$AH$2:$AH$1001,0),0)))</f>
        <v>#N/A</v>
      </c>
      <c r="B961" s="5" t="e">
        <f ca="1">IF(OR(INDEX($AI$2:$AI$1001,MATCH(ROWS($AH$2:AH961),$AH$2:$AH$1001,0),1)&gt;=100000,INDEX($AO$1005:$BQ$1005,1,MATCH(COLUMNS($AO$1006:AO1006),$AO$1006:$BQ$1006,0))&gt;=100000), " ",IF(INDEX($AO$2:$BQ$1001,MATCH(ROWS($AH$2:AH961),$AH$2:$AH$1001,0),MATCH(COLUMNS($AO$1006:AO1006),$AO$1006:$BQ$1006,0)), HYPERLINK("#",""), HYPERLINK(CONCATENATE("#Metadata!", ADDRESS(INDEX($AJ$2:$AJ$1001,MATCH(ROWS($AH$2:AH961),$AH$2:$AH$1001,0),0), INDEX($AO$1004:$BQ$1004,1,MATCH(COLUMNS($AO$1006:AO1006),$AO$1006:$BQ$1006,0)))),"Fix")))</f>
        <v>#N/A</v>
      </c>
      <c r="C961" s="5" t="e">
        <f ca="1">IF(OR(INDEX($AI$2:$AI$1001,MATCH(ROWS($AH$2:AH961),$AH$2:$AH$1001,0),1)&gt;=100000,INDEX($AO$1005:$BQ$1005,1,MATCH(COLUMNS($AO$1006:AP1006),$AO$1006:$BQ$1006,0))&gt;=100000), " ",IF(INDEX($AO$2:$BQ$1001,MATCH(ROWS($AH$2:AH961),$AH$2:$AH$1001,0),MATCH(COLUMNS($AO$1006:AP1006),$AO$1006:$BQ$1006,0)), HYPERLINK("#",""), HYPERLINK(CONCATENATE("#Metadata!", ADDRESS(INDEX($AJ$2:$AJ$1001,MATCH(ROWS($AH$2:AH961),$AH$2:$AH$1001,0),0), INDEX($AO$1004:$BQ$1004,1,MATCH(COLUMNS($AO$1006:AP1006),$AO$1006:$BQ$1006,0)))),"Fix")))</f>
        <v>#N/A</v>
      </c>
      <c r="D961" s="5" t="e">
        <f ca="1">IF(OR(INDEX($AI$2:$AI$1001,MATCH(ROWS($AH$2:AH961),$AH$2:$AH$1001,0),1)&gt;=100000,INDEX($AO$1005:$BQ$1005,1,MATCH(COLUMNS($AO$1006:AQ1006),$AO$1006:$BQ$1006,0))&gt;=100000), " ",IF(INDEX($AO$2:$BQ$1001,MATCH(ROWS($AH$2:AH961),$AH$2:$AH$1001,0),MATCH(COLUMNS($AO$1006:AQ1006),$AO$1006:$BQ$1006,0)), HYPERLINK("#",""), HYPERLINK(CONCATENATE("#Metadata!", ADDRESS(INDEX($AJ$2:$AJ$1001,MATCH(ROWS($AH$2:AH961),$AH$2:$AH$1001,0),0), INDEX($AO$1004:$BQ$1004,1,MATCH(COLUMNS($AO$1006:AQ1006),$AO$1006:$BQ$1006,0)))),"Fix")))</f>
        <v>#N/A</v>
      </c>
      <c r="E961" s="5" t="e">
        <f ca="1">IF(OR(INDEX($AI$2:$AI$1001,MATCH(ROWS($AH$2:AH961),$AH$2:$AH$1001,0),1)&gt;=100000,INDEX($AO$1005:$BQ$1005,1,MATCH(COLUMNS($AO$1006:AR1006),$AO$1006:$BQ$1006,0))&gt;=100000), " ",IF(INDEX($AO$2:$BQ$1001,MATCH(ROWS($AH$2:AH961),$AH$2:$AH$1001,0),MATCH(COLUMNS($AO$1006:AR1006),$AO$1006:$BQ$1006,0)), HYPERLINK("#",""), HYPERLINK(CONCATENATE("#Metadata!", ADDRESS(INDEX($AJ$2:$AJ$1001,MATCH(ROWS($AH$2:AH961),$AH$2:$AH$1001,0),0), INDEX($AO$1004:$BQ$1004,1,MATCH(COLUMNS($AO$1006:AR1006),$AO$1006:$BQ$1006,0)))),"Fix")))</f>
        <v>#N/A</v>
      </c>
      <c r="F961" s="5" t="e">
        <f ca="1">IF(OR(INDEX($AI$2:$AI$1001,MATCH(ROWS($AH$2:AH961),$AH$2:$AH$1001,0),1)&gt;=100000,INDEX($AO$1005:$BQ$1005,1,MATCH(COLUMNS($AO$1006:AS1006),$AO$1006:$BQ$1006,0))&gt;=100000), " ",IF(INDEX($AO$2:$BQ$1001,MATCH(ROWS($AH$2:AH961),$AH$2:$AH$1001,0),MATCH(COLUMNS($AO$1006:AS1006),$AO$1006:$BQ$1006,0)), HYPERLINK("#",""), HYPERLINK(CONCATENATE("#Metadata!", ADDRESS(INDEX($AJ$2:$AJ$1001,MATCH(ROWS($AH$2:AH961),$AH$2:$AH$1001,0),0), INDEX($AO$1004:$BQ$1004,1,MATCH(COLUMNS($AO$1006:AS1006),$AO$1006:$BQ$1006,0)))),"Fix")))</f>
        <v>#N/A</v>
      </c>
      <c r="G961" s="5" t="e">
        <f ca="1">IF(OR(INDEX($AI$2:$AI$1001,MATCH(ROWS($AH$2:AH961),$AH$2:$AH$1001,0),1)&gt;=100000,INDEX($AO$1005:$BQ$1005,1,MATCH(COLUMNS($AO$1006:AT1006),$AO$1006:$BQ$1006,0))&gt;=100000), " ",IF(INDEX($AO$2:$BQ$1001,MATCH(ROWS($AH$2:AH961),$AH$2:$AH$1001,0),MATCH(COLUMNS($AO$1006:AT1006),$AO$1006:$BQ$1006,0)), HYPERLINK("#",""), HYPERLINK(CONCATENATE("#Metadata!", ADDRESS(INDEX($AJ$2:$AJ$1001,MATCH(ROWS($AH$2:AH961),$AH$2:$AH$1001,0),0), INDEX($AO$1004:$BQ$1004,1,MATCH(COLUMNS($AO$1006:AT1006),$AO$1006:$BQ$1006,0)))),"Fix")))</f>
        <v>#N/A</v>
      </c>
      <c r="H961" s="5" t="e">
        <f ca="1">IF(OR(INDEX($AI$2:$AI$1001,MATCH(ROWS($AH$2:AH961),$AH$2:$AH$1001,0),1)&gt;=100000,INDEX($AO$1005:$BQ$1005,1,MATCH(COLUMNS($AO$1006:AU1006),$AO$1006:$BQ$1006,0))&gt;=100000), " ",IF(INDEX($AO$2:$BQ$1001,MATCH(ROWS($AH$2:AH961),$AH$2:$AH$1001,0),MATCH(COLUMNS($AO$1006:AU1006),$AO$1006:$BQ$1006,0)), HYPERLINK("#",""), HYPERLINK(CONCATENATE("#Metadata!", ADDRESS(INDEX($AJ$2:$AJ$1001,MATCH(ROWS($AH$2:AH961),$AH$2:$AH$1001,0),0), INDEX($AO$1004:$BQ$1004,1,MATCH(COLUMNS($AO$1006:AU1006),$AO$1006:$BQ$1006,0)))),"Fix")))</f>
        <v>#N/A</v>
      </c>
      <c r="I961" s="5" t="e">
        <f ca="1">IF(OR(INDEX($AI$2:$AI$1001,MATCH(ROWS($AH$2:AH961),$AH$2:$AH$1001,0),1)&gt;=100000,INDEX($AO$1005:$BQ$1005,1,MATCH(COLUMNS($AO$1006:AV1006),$AO$1006:$BQ$1006,0))&gt;=100000), " ",IF(INDEX($AO$2:$BQ$1001,MATCH(ROWS($AH$2:AH961),$AH$2:$AH$1001,0),MATCH(COLUMNS($AO$1006:AV1006),$AO$1006:$BQ$1006,0)), HYPERLINK("#",""), HYPERLINK(CONCATENATE("#Metadata!", ADDRESS(INDEX($AJ$2:$AJ$1001,MATCH(ROWS($AH$2:AH961),$AH$2:$AH$1001,0),0), INDEX($AO$1004:$BQ$1004,1,MATCH(COLUMNS($AO$1006:AV1006),$AO$1006:$BQ$1006,0)))),"Fix")))</f>
        <v>#N/A</v>
      </c>
      <c r="J961" s="5" t="e">
        <f ca="1">IF(OR(INDEX($AI$2:$AI$1001,MATCH(ROWS($AH$2:AH961),$AH$2:$AH$1001,0),1)&gt;=100000,INDEX($AO$1005:$BQ$1005,1,MATCH(COLUMNS($AO$1006:AW1006),$AO$1006:$BQ$1006,0))&gt;=100000), " ",IF(INDEX($AO$2:$BQ$1001,MATCH(ROWS($AH$2:AH961),$AH$2:$AH$1001,0),MATCH(COLUMNS($AO$1006:AW1006),$AO$1006:$BQ$1006,0)), HYPERLINK("#",""), HYPERLINK(CONCATENATE("#Metadata!", ADDRESS(INDEX($AJ$2:$AJ$1001,MATCH(ROWS($AH$2:AH961),$AH$2:$AH$1001,0),0), INDEX($AO$1004:$BQ$1004,1,MATCH(COLUMNS($AO$1006:AW1006),$AO$1006:$BQ$1006,0)))),"Fix")))</f>
        <v>#N/A</v>
      </c>
      <c r="K961" s="5" t="e">
        <f ca="1">IF(OR(INDEX($AI$2:$AI$1001,MATCH(ROWS($AH$2:AH961),$AH$2:$AH$1001,0),1)&gt;=100000,INDEX($AO$1005:$BQ$1005,1,MATCH(COLUMNS($AO$1006:AX1006),$AO$1006:$BQ$1006,0))&gt;=100000), " ",IF(INDEX($AO$2:$BQ$1001,MATCH(ROWS($AH$2:AH961),$AH$2:$AH$1001,0),MATCH(COLUMNS($AO$1006:AX1006),$AO$1006:$BQ$1006,0)), HYPERLINK("#",""), HYPERLINK(CONCATENATE("#Metadata!", ADDRESS(INDEX($AJ$2:$AJ$1001,MATCH(ROWS($AH$2:AH961),$AH$2:$AH$1001,0),0), INDEX($AO$1004:$BQ$1004,1,MATCH(COLUMNS($AO$1006:AX1006),$AO$1006:$BQ$1006,0)))),"Fix")))</f>
        <v>#N/A</v>
      </c>
      <c r="L961" s="5" t="e">
        <f ca="1">IF(OR(INDEX($AI$2:$AI$1001,MATCH(ROWS($AH$2:AH961),$AH$2:$AH$1001,0),1)&gt;=100000,INDEX($AO$1005:$BQ$1005,1,MATCH(COLUMNS($AO$1006:AY1006),$AO$1006:$BQ$1006,0))&gt;=100000), " ",IF(INDEX($AO$2:$BQ$1001,MATCH(ROWS($AH$2:AH961),$AH$2:$AH$1001,0),MATCH(COLUMNS($AO$1006:AY1006),$AO$1006:$BQ$1006,0)), HYPERLINK("#",""), HYPERLINK(CONCATENATE("#Metadata!", ADDRESS(INDEX($AJ$2:$AJ$1001,MATCH(ROWS($AH$2:AH961),$AH$2:$AH$1001,0),0), INDEX($AO$1004:$BQ$1004,1,MATCH(COLUMNS($AO$1006:AY1006),$AO$1006:$BQ$1006,0)))),"Fix")))</f>
        <v>#N/A</v>
      </c>
      <c r="M961" s="5" t="e">
        <f ca="1">IF(OR(INDEX($AI$2:$AI$1001,MATCH(ROWS($AH$2:AH961),$AH$2:$AH$1001,0),1)&gt;=100000,INDEX($AO$1005:$BQ$1005,1,MATCH(COLUMNS($AO$1006:AZ1006),$AO$1006:$BQ$1006,0))&gt;=100000), " ",IF(INDEX($AO$2:$BQ$1001,MATCH(ROWS($AH$2:AH961),$AH$2:$AH$1001,0),MATCH(COLUMNS($AO$1006:AZ1006),$AO$1006:$BQ$1006,0)), HYPERLINK("#",""), HYPERLINK(CONCATENATE("#Metadata!", ADDRESS(INDEX($AJ$2:$AJ$1001,MATCH(ROWS($AH$2:AH961),$AH$2:$AH$1001,0),0), INDEX($AO$1004:$BQ$1004,1,MATCH(COLUMNS($AO$1006:AZ1006),$AO$1006:$BQ$1006,0)))),"Fix")))</f>
        <v>#N/A</v>
      </c>
      <c r="N961" s="5" t="e">
        <f ca="1">IF(OR(INDEX($AI$2:$AI$1001,MATCH(ROWS($AH$2:AH961),$AH$2:$AH$1001,0),1)&gt;=100000,INDEX($AO$1005:$BQ$1005,1,MATCH(COLUMNS($AO$1006:BA1006),$AO$1006:$BQ$1006,0))&gt;=100000), " ",IF(INDEX($AO$2:$BQ$1001,MATCH(ROWS($AH$2:AH961),$AH$2:$AH$1001,0),MATCH(COLUMNS($AO$1006:BA1006),$AO$1006:$BQ$1006,0)), HYPERLINK("#",""), HYPERLINK(CONCATENATE("#Metadata!", ADDRESS(INDEX($AJ$2:$AJ$1001,MATCH(ROWS($AH$2:AH961),$AH$2:$AH$1001,0),0), INDEX($AO$1004:$BQ$1004,1,MATCH(COLUMNS($AO$1006:BA1006),$AO$1006:$BQ$1006,0)))),"Fix")))</f>
        <v>#N/A</v>
      </c>
      <c r="O961" s="5" t="e">
        <f ca="1">IF(OR(INDEX($AI$2:$AI$1001,MATCH(ROWS($AH$2:AH961),$AH$2:$AH$1001,0),1)&gt;=100000,INDEX($AO$1005:$BQ$1005,1,MATCH(COLUMNS($AO$1006:BB1006),$AO$1006:$BQ$1006,0))&gt;=100000), " ",IF(INDEX($AO$2:$BQ$1001,MATCH(ROWS($AH$2:AH961),$AH$2:$AH$1001,0),MATCH(COLUMNS($AO$1006:BB1006),$AO$1006:$BQ$1006,0)), HYPERLINK("#",""), HYPERLINK(CONCATENATE("#Metadata!", ADDRESS(INDEX($AJ$2:$AJ$1001,MATCH(ROWS($AH$2:AH961),$AH$2:$AH$1001,0),0), INDEX($AO$1004:$BQ$1004,1,MATCH(COLUMNS($AO$1006:BB1006),$AO$1006:$BQ$1006,0)))),"Fix")))</f>
        <v>#N/A</v>
      </c>
      <c r="P961" s="5" t="e">
        <f ca="1">IF(OR(INDEX($AI$2:$AI$1001,MATCH(ROWS($AH$2:AH961),$AH$2:$AH$1001,0),1)&gt;=100000,INDEX($AO$1005:$BQ$1005,1,MATCH(COLUMNS($AO$1006:BC1006),$AO$1006:$BQ$1006,0))&gt;=100000), " ",IF(INDEX($AO$2:$BQ$1001,MATCH(ROWS($AH$2:AH961),$AH$2:$AH$1001,0),MATCH(COLUMNS($AO$1006:BC1006),$AO$1006:$BQ$1006,0)), HYPERLINK("#",""), HYPERLINK(CONCATENATE("#Metadata!", ADDRESS(INDEX($AJ$2:$AJ$1001,MATCH(ROWS($AH$2:AH961),$AH$2:$AH$1001,0),0), INDEX($AO$1004:$BQ$1004,1,MATCH(COLUMNS($AO$1006:BC1006),$AO$1006:$BQ$1006,0)))),"Fix")))</f>
        <v>#N/A</v>
      </c>
      <c r="Q961" s="5" t="e">
        <f ca="1">IF(OR(INDEX($AI$2:$AI$1001,MATCH(ROWS($AH$2:AH961),$AH$2:$AH$1001,0),1)&gt;=100000,INDEX($AO$1005:$BQ$1005,1,MATCH(COLUMNS($AO$1006:BD1006),$AO$1006:$BQ$1006,0))&gt;=100000), " ",IF(INDEX($AO$2:$BQ$1001,MATCH(ROWS($AH$2:AH961),$AH$2:$AH$1001,0),MATCH(COLUMNS($AO$1006:BD1006),$AO$1006:$BQ$1006,0)), HYPERLINK("#",""), HYPERLINK(CONCATENATE("#Metadata!", ADDRESS(INDEX($AJ$2:$AJ$1001,MATCH(ROWS($AH$2:AH961),$AH$2:$AH$1001,0),0), INDEX($AO$1004:$BQ$1004,1,MATCH(COLUMNS($AO$1006:BD1006),$AO$1006:$BQ$1006,0)))),"Fix")))</f>
        <v>#N/A</v>
      </c>
      <c r="R961" s="5" t="e">
        <f ca="1">IF(OR(INDEX($AI$2:$AI$1001,MATCH(ROWS($AH$2:AH961),$AH$2:$AH$1001,0),1)&gt;=100000,INDEX($AO$1005:$BQ$1005,1,MATCH(COLUMNS($AO$1006:BE1006),$AO$1006:$BQ$1006,0))&gt;=100000), " ",IF(INDEX($AO$2:$BQ$1001,MATCH(ROWS($AH$2:AH961),$AH$2:$AH$1001,0),MATCH(COLUMNS($AO$1006:BE1006),$AO$1006:$BQ$1006,0)), HYPERLINK("#",""), HYPERLINK(CONCATENATE("#Metadata!", ADDRESS(INDEX($AJ$2:$AJ$1001,MATCH(ROWS($AH$2:AH961),$AH$2:$AH$1001,0),0), INDEX($AO$1004:$BQ$1004,1,MATCH(COLUMNS($AO$1006:BE1006),$AO$1006:$BQ$1006,0)))),"Fix")))</f>
        <v>#N/A</v>
      </c>
      <c r="S961" s="5" t="e">
        <f ca="1">IF(OR(INDEX($AI$2:$AI$1001,MATCH(ROWS($AH$2:AH961),$AH$2:$AH$1001,0),1)&gt;=100000,INDEX($AO$1005:$BQ$1005,1,MATCH(COLUMNS($AO$1006:BF1006),$AO$1006:$BQ$1006,0))&gt;=100000), " ",IF(INDEX($AO$2:$BQ$1001,MATCH(ROWS($AH$2:AH961),$AH$2:$AH$1001,0),MATCH(COLUMNS($AO$1006:BF1006),$AO$1006:$BQ$1006,0)), HYPERLINK("#",""), HYPERLINK(CONCATENATE("#Metadata!", ADDRESS(INDEX($AJ$2:$AJ$1001,MATCH(ROWS($AH$2:AH961),$AH$2:$AH$1001,0),0), INDEX($AO$1004:$BQ$1004,1,MATCH(COLUMNS($AO$1006:BF1006),$AO$1006:$BQ$1006,0)))),"Fix")))</f>
        <v>#N/A</v>
      </c>
      <c r="T961" s="5" t="e">
        <f ca="1">IF(OR(INDEX($AI$2:$AI$1001,MATCH(ROWS($AH$2:AH961),$AH$2:$AH$1001,0),1)&gt;=100000,INDEX($AO$1005:$BQ$1005,1,MATCH(COLUMNS($AO$1006:BG1006),$AO$1006:$BQ$1006,0))&gt;=100000), " ",IF(INDEX($AO$2:$BQ$1001,MATCH(ROWS($AH$2:AH961),$AH$2:$AH$1001,0),MATCH(COLUMNS($AO$1006:BG1006),$AO$1006:$BQ$1006,0)), HYPERLINK("#",""), HYPERLINK(CONCATENATE("#Metadata!", ADDRESS(INDEX($AJ$2:$AJ$1001,MATCH(ROWS($AH$2:AH961),$AH$2:$AH$1001,0),0), INDEX($AO$1004:$BQ$1004,1,MATCH(COLUMNS($AO$1006:BG1006),$AO$1006:$BQ$1006,0)))),"Fix")))</f>
        <v>#N/A</v>
      </c>
      <c r="U961" s="5" t="e">
        <f ca="1">IF(OR(INDEX($AI$2:$AI$1001,MATCH(ROWS($AH$2:AH961),$AH$2:$AH$1001,0),1)&gt;=100000,INDEX($AO$1005:$BQ$1005,1,MATCH(COLUMNS($AO$1006:BH1006),$AO$1006:$BQ$1006,0))&gt;=100000), " ",IF(INDEX($AO$2:$BQ$1001,MATCH(ROWS($AH$2:AH961),$AH$2:$AH$1001,0),MATCH(COLUMNS($AO$1006:BH1006),$AO$1006:$BQ$1006,0)), HYPERLINK("#",""), HYPERLINK(CONCATENATE("#Metadata!", ADDRESS(INDEX($AJ$2:$AJ$1001,MATCH(ROWS($AH$2:AH961),$AH$2:$AH$1001,0),0), INDEX($AO$1004:$BQ$1004,1,MATCH(COLUMNS($AO$1006:BH1006),$AO$1006:$BQ$1006,0)))),"Fix")))</f>
        <v>#N/A</v>
      </c>
      <c r="V961" s="5" t="e">
        <f ca="1">IF(OR(INDEX($AI$2:$AI$1001,MATCH(ROWS($AH$2:AH961),$AH$2:$AH$1001,0),1)&gt;=100000,INDEX($AO$1005:$BQ$1005,1,MATCH(COLUMNS($AO$1006:BI1006),$AO$1006:$BQ$1006,0))&gt;=100000), " ",IF(INDEX($AO$2:$BQ$1001,MATCH(ROWS($AH$2:AH961),$AH$2:$AH$1001,0),MATCH(COLUMNS($AO$1006:BI1006),$AO$1006:$BQ$1006,0)), HYPERLINK("#",""), HYPERLINK(CONCATENATE("#Metadata!", ADDRESS(INDEX($AJ$2:$AJ$1001,MATCH(ROWS($AH$2:AH961),$AH$2:$AH$1001,0),0), INDEX($AO$1004:$BQ$1004,1,MATCH(COLUMNS($AO$1006:BI1006),$AO$1006:$BQ$1006,0)))),"Fix")))</f>
        <v>#N/A</v>
      </c>
      <c r="W961" s="5" t="e">
        <f ca="1">IF(OR(INDEX($AI$2:$AI$1001,MATCH(ROWS($AH$2:AH961),$AH$2:$AH$1001,0),1)&gt;=100000,INDEX($AO$1005:$BQ$1005,1,MATCH(COLUMNS($AO$1006:BJ1006),$AO$1006:$BQ$1006,0))&gt;=100000), " ",IF(INDEX($AO$2:$BQ$1001,MATCH(ROWS($AH$2:AH961),$AH$2:$AH$1001,0),MATCH(COLUMNS($AO$1006:BJ1006),$AO$1006:$BQ$1006,0)), HYPERLINK("#",""), HYPERLINK(CONCATENATE("#Metadata!", ADDRESS(INDEX($AJ$2:$AJ$1001,MATCH(ROWS($AH$2:AH961),$AH$2:$AH$1001,0),0), INDEX($AO$1004:$BQ$1004,1,MATCH(COLUMNS($AO$1006:BJ1006),$AO$1006:$BQ$1006,0)))),"Fix")))</f>
        <v>#N/A</v>
      </c>
      <c r="X961" s="5" t="e">
        <f ca="1">IF(OR(INDEX($AI$2:$AI$1001,MATCH(ROWS($AH$2:AH961),$AH$2:$AH$1001,0),1)&gt;=100000,INDEX($AO$1005:$BQ$1005,1,MATCH(COLUMNS($AO$1006:BK1006),$AO$1006:$BQ$1006,0))&gt;=100000), " ",IF(INDEX($AO$2:$BQ$1001,MATCH(ROWS($AH$2:AH961),$AH$2:$AH$1001,0),MATCH(COLUMNS($AO$1006:BK1006),$AO$1006:$BQ$1006,0)), HYPERLINK("#",""), HYPERLINK(CONCATENATE("#Metadata!", ADDRESS(INDEX($AJ$2:$AJ$1001,MATCH(ROWS($AH$2:AH961),$AH$2:$AH$1001,0),0), INDEX($AO$1004:$BQ$1004,1,MATCH(COLUMNS($AO$1006:BK1006),$AO$1006:$BQ$1006,0)))),"Fix")))</f>
        <v>#N/A</v>
      </c>
      <c r="Y961" s="5" t="e">
        <f ca="1">IF(OR(INDEX($AI$2:$AI$1001,MATCH(ROWS($AH$2:AH961),$AH$2:$AH$1001,0),1)&gt;=100000,INDEX($AO$1005:$BQ$1005,1,MATCH(COLUMNS($AO$1006:BL1006),$AO$1006:$BQ$1006,0))&gt;=100000), " ",IF(INDEX($AO$2:$BQ$1001,MATCH(ROWS($AH$2:AH961),$AH$2:$AH$1001,0),MATCH(COLUMNS($AO$1006:BL1006),$AO$1006:$BQ$1006,0)), HYPERLINK("#",""), HYPERLINK(CONCATENATE("#Metadata!", ADDRESS(INDEX($AJ$2:$AJ$1001,MATCH(ROWS($AH$2:AH961),$AH$2:$AH$1001,0),0), INDEX($AO$1004:$BQ$1004,1,MATCH(COLUMNS($AO$1006:BL1006),$AO$1006:$BQ$1006,0)))),"Fix")))</f>
        <v>#N/A</v>
      </c>
      <c r="Z961" s="5" t="e">
        <f ca="1">IF(OR(INDEX($AI$2:$AI$1001,MATCH(ROWS($AH$2:AH961),$AH$2:$AH$1001,0),1)&gt;=100000,INDEX($AO$1005:$BQ$1005,1,MATCH(COLUMNS($AO$1006:BM1006),$AO$1006:$BQ$1006,0))&gt;=100000), " ",IF(INDEX($AO$2:$BQ$1001,MATCH(ROWS($AH$2:AH961),$AH$2:$AH$1001,0),MATCH(COLUMNS($AO$1006:BM1006),$AO$1006:$BQ$1006,0)), HYPERLINK("#",""), HYPERLINK(CONCATENATE("#Metadata!", ADDRESS(INDEX($AJ$2:$AJ$1001,MATCH(ROWS($AH$2:AH961),$AH$2:$AH$1001,0),0), INDEX($AO$1004:$BQ$1004,1,MATCH(COLUMNS($AO$1006:BM1006),$AO$1006:$BQ$1006,0)))),"Fix")))</f>
        <v>#N/A</v>
      </c>
      <c r="AA961" s="5" t="e">
        <f ca="1">IF(OR(INDEX($AI$2:$AI$1001,MATCH(ROWS($AH$2:AH961),$AH$2:$AH$1001,0),1)&gt;=100000,INDEX($AO$1005:$BQ$1005,1,MATCH(COLUMNS($AO$1006:BN1006),$AO$1006:$BQ$1006,0))&gt;=100000), " ",IF(INDEX($AO$2:$BQ$1001,MATCH(ROWS($AH$2:AH961),$AH$2:$AH$1001,0),MATCH(COLUMNS($AO$1006:BN1006),$AO$1006:$BQ$1006,0)), HYPERLINK("#",""), HYPERLINK(CONCATENATE("#Metadata!", ADDRESS(INDEX($AJ$2:$AJ$1001,MATCH(ROWS($AH$2:AH961),$AH$2:$AH$1001,0),0), INDEX($AO$1004:$BQ$1004,1,MATCH(COLUMNS($AO$1006:BN1006),$AO$1006:$BQ$1006,0)))),"Fix")))</f>
        <v>#N/A</v>
      </c>
      <c r="AB961" s="5" t="e">
        <f ca="1">IF(OR(INDEX($AI$2:$AI$1001,MATCH(ROWS($AH$2:AH961),$AH$2:$AH$1001,0),1)&gt;=100000,INDEX($AO$1005:$BQ$1005,1,MATCH(COLUMNS($AO$1006:BO1006),$AO$1006:$BQ$1006,0))&gt;=100000), " ",IF(INDEX($AO$2:$BQ$1001,MATCH(ROWS($AH$2:AH961),$AH$2:$AH$1001,0),MATCH(COLUMNS($AO$1006:BO1006),$AO$1006:$BQ$1006,0)), HYPERLINK("#",""), HYPERLINK(CONCATENATE("#Metadata!", ADDRESS(INDEX($AJ$2:$AJ$1001,MATCH(ROWS($AH$2:AH961),$AH$2:$AH$1001,0),0), INDEX($AO$1004:$BQ$1004,1,MATCH(COLUMNS($AO$1006:BO1006),$AO$1006:$BQ$1006,0)))),"Fix")))</f>
        <v>#N/A</v>
      </c>
      <c r="AC961" s="5" t="e">
        <f ca="1">IF(OR(INDEX($AI$2:$AI$1001,MATCH(ROWS($AH$2:AH961),$AH$2:$AH$1001,0),1)&gt;=100000,INDEX($AO$1005:$BQ$1005,1,MATCH(COLUMNS($AO$1006:BP1006),$AO$1006:$BQ$1006,0))&gt;=100000), " ",IF(INDEX($AO$2:$BQ$1001,MATCH(ROWS($AH$2:AH961),$AH$2:$AH$1001,0),MATCH(COLUMNS($AO$1006:BP1006),$AO$1006:$BQ$1006,0)), HYPERLINK("#",""), HYPERLINK(CONCATENATE("#Metadata!", ADDRESS(INDEX($AJ$2:$AJ$1001,MATCH(ROWS($AH$2:AH961),$AH$2:$AH$1001,0),0), INDEX($AO$1004:$BQ$1004,1,MATCH(COLUMNS($AO$1006:BP1006),$AO$1006:$BQ$1006,0)))),"Fix")))</f>
        <v>#N/A</v>
      </c>
      <c r="AD961" s="5" t="e">
        <f ca="1">IF(OR(INDEX($AI$2:$AI$1001,MATCH(ROWS($AH$2:AH961),$AH$2:$AH$1001,0),1)&gt;=100000,INDEX($AO$1005:$BQ$1005,1,MATCH(COLUMNS($AO$1006:BQ1006),$AO$1006:$BQ$1006,0))&gt;=100000), " ",IF(INDEX($AO$2:$BQ$1001,MATCH(ROWS($AH$2:AH961),$AH$2:$AH$1001,0),MATCH(COLUMNS($AO$1006:BQ1006),$AO$1006:$BQ$1006,0)), HYPERLINK("#",""), HYPERLINK(CONCATENATE("#Metadata!", ADDRESS(INDEX($AJ$2:$AJ$1001,MATCH(ROWS($AH$2:AH961),$AH$2:$AH$1001,0),0), INDEX($AO$1004:$BQ$1004,1,MATCH(COLUMNS($AO$1006:BQ1006),$AO$1006:$BQ$1006,0)))),"Fix")))</f>
        <v>#REF!</v>
      </c>
      <c r="AH961">
        <f ca="1"/>
        <v>958</v>
      </c>
      <c r="AI961">
        <v>100961</v>
      </c>
      <c r="AJ961">
        <v>961</v>
      </c>
      <c r="AK961" t="b">
        <f t="shared" si="14"/>
        <v>1</v>
      </c>
      <c r="AL961" t="b">
        <f>COUNTBLANK(Metadata!B961:AD961)=COLUMNS(Metadata!B961:AD961)</f>
        <v>1</v>
      </c>
      <c r="AM961" t="str">
        <v/>
      </c>
      <c r="AO961" t="b">
        <f ca="1">AND(IF(Metadata!B961="",FALSE,TRUE),COUNTIF(Metadata!B:B, Metadata!B961) = 1,NOT(ISERROR(SUMPRODUCT(SEARCH(MID(Metadata!B961,ROW(INDIRECT("1:"&amp;LEN(Metadata!B961))), 1),"0123456789abcdefghijklmnopqrstuvwxyzABCDEFGHIJKLMNOPQRSTUVWXYZ.")))))</f>
        <v>0</v>
      </c>
      <c r="AP961" t="b">
        <f>IF(Metadata!C961="",FALSE,TRUE)</f>
        <v>0</v>
      </c>
      <c r="AQ961" t="b">
        <f>IF(Metadata!D961="",FALSE,TRUE)</f>
        <v>0</v>
      </c>
      <c r="AR961" t="b">
        <f ca="1">OR(AND(IF(Metadata!E961="",FALSE,TRUE),OR(EXACT(Metadata!E961,"not collected"),EXACT(Metadata!E961,"not provided"),EXACT(Metadata!E961,"restricted access"))),AND(IF(Metadata!E961="",FALSE,TRUE),AND(AND(IFERROR(INT(LEFT(Metadata!E961,4))&gt;1900,FALSE),IFERROR(INT(LEFT(Metadata!E961,4))&lt;=YEAR(NOW()),FALSE)), OR(MID(Metadata!E961,5,1)="", AND(AND(MID(Metadata!E961,5,1)="-",IFERROR(INT(MID(Metadata!E961,6,1))&gt;=0,FALSE),IFERROR(INT(MID(Metadata!E961,6,1))&lt;=1,FALSE),NOT(MID(Metadata!E961,7,1)=""),IFERROR(INT(MID(Metadata!E961,6,2))&gt;=1,FALSE),IFERROR(INT(MID(Metadata!E961,6,2))&lt;=12,FALSE)), OR(MID(Metadata!E961,8,1)="", AND(AND(MID(Metadata!E961,8,1)="-",IFERROR(INT(MID(Metadata!E961,9,1))&gt;=0,FALSE),IFERROR(INT(MID(Metadata!E961,9,1))&lt;=3,FALSE),NOT(MID(Metadata!E961,10,1)=""),IFERROR(INT(MID(Metadata!E961,9,2))&gt;=1,FALSE),IFERROR(INT(MID(Metadata!E961,9,2))&lt;=31,FALSE)), OR(MID(Metadata!E961,11,1)="", AND(AND(MID(Metadata!E961,11,1)=" ",IFERROR(INT(MID(Metadata!E961,12,1))&gt;=0,FALSE),IFERROR(INT(MID(Metadata!E961,12,1))&lt;=2,FALSE),NOT(MID(Metadata!E961,13,1)=""),IFERROR(INT(MID(Metadata!E961,12,2))&gt;=0,FALSE),IFERROR(INT(MID(Metadata!E961,12,2))&lt;=23,FALSE)), OR(MID(Metadata!E961,14,1)="", AND(AND(MID(Metadata!E961,14,1)=":",IFERROR(INT(MID(Metadata!E961,15,1))&gt;=0,FALSE),IFERROR(INT(MID(Metadata!E961,15,1))&lt;=5,FALSE),NOT(MID(Metadata!E961,16,1)=""),IFERROR(INT(MID(Metadata!E961,15,2))&gt;=0,FALSE),IFERROR(INT(MID(Metadata!E961,15,2))&lt;=59,FALSE)), OR(MID(Metadata!E961,17,1)="", AND(AND(MID(Metadata!E961,17,1)=":",IFERROR(INT(MID(Metadata!E961,18,1))&gt;=0,FALSE),IFERROR(INT(MID(Metadata!E961,18,1))&lt;=5,FALSE),NOT(MID(Metadata!E961,19,1)=""),IFERROR(INT(MID(Metadata!E961,18,2))&gt;=0,FALSE),IFERROR(INT(MID(Metadata!E961,18,2))&lt;=59,FALSE)), LEN(Metadata!E961)&lt;=19)))))))))))))</f>
        <v>0</v>
      </c>
      <c r="AS961" t="b">
        <f>IF(Metadata!F961="",FALSE,TRUE)</f>
        <v>0</v>
      </c>
      <c r="AT961" t="b">
        <f>OR(AND(IF(Metadata!G961="",FALSE,TRUE),OR(EXACT(Metadata!G961,"not collected"),EXACT(Metadata!G961,"not provided"))),AND(IF(Metadata!G961="",FALSE,TRUE),OR(EXACT(Metadata!G961,"TRUE"),EXACT(Metadata!G961,"FALSE"))))</f>
        <v>0</v>
      </c>
      <c r="AU961" t="b">
        <f>OR(AND(IF(Metadata!H961="",FALSE,TRUE),OR(EXACT(Metadata!H961,"not collected"),EXACT(Metadata!H961,"not provided"),EXACT(Metadata!H961,"restricted access"))),AND(IF(Metadata!H961="",FALSE,ISNUMBER(VALUE(Metadata!H961))),Metadata!H961&gt;=-413))</f>
        <v>0</v>
      </c>
      <c r="AV961" t="b">
        <f>AND(IF(Metadata!I961="",FALSE,TRUE),EXACT(Metadata!I961,"meters"))</f>
        <v>0</v>
      </c>
      <c r="AW961" t="b">
        <f>AND(IF(Metadata!J961="",FALSE,TRUE),EXACT(Metadata!J961,"free-living"))</f>
        <v>0</v>
      </c>
      <c r="AX961" t="b">
        <f>AND(IF(Metadata!K961="",FALSE,TRUE),OR(EXACT(Metadata!K961,"saline"),EXACT(Metadata!K961,"non-saline")))</f>
        <v>0</v>
      </c>
      <c r="AY961" t="b">
        <f>AND(IF(Metadata!L961="",FALSE,TRUE),OR(EXACT(Metadata!L961,"sub-surface (non-saline)"),EXACT(Metadata!L961,"surface (non-saline)"),EXACT(Metadata!L961,"water (non-saline)"),EXACT(Metadata!L961,"soil (non-saline)"),EXACT(Metadata!L961,"aerosol (non-saline)"),EXACT(Metadata!L961,"sediment (non-saline)"),EXACT(Metadata!L961,"surface (saline)"),EXACT(Metadata!L961,"water (saline)"),EXACT(Metadata!L961,"hypersaline (saline)"),EXACT(Metadata!L961,"aerosol (saline)"),EXACT(Metadata!L961,"sediment (saline)")))</f>
        <v>0</v>
      </c>
      <c r="AZ961" t="b">
        <f>IF(Metadata!M961="",FALSE,TRUE)</f>
        <v>0</v>
      </c>
      <c r="BA961" t="b">
        <f>IF(Metadata!N961="",FALSE,TRUE)</f>
        <v>0</v>
      </c>
      <c r="BB961" t="b">
        <f>IF(Metadata!O961="",FALSE,TRUE)</f>
        <v>0</v>
      </c>
      <c r="BC961" t="b">
        <f>AND(IF(Metadata!P961="",FALSE,TRUE),OR(EXACT(Metadata!P961,"air"),EXACT(Metadata!P961,"microbial mat/biofilm"),EXACT(Metadata!P961,"misc environment"),EXACT(Metadata!P961,"sediment"),EXACT(Metadata!P961,"soil"),EXACT(Metadata!P961,"wastewater/sludge"),EXACT(Metadata!P961,"water")))</f>
        <v>0</v>
      </c>
      <c r="BD961" t="b">
        <f>IF(Metadata!Q961="",FALSE,TRUE)</f>
        <v>0</v>
      </c>
      <c r="BE961" t="b">
        <f>IF(Metadata!R961="",FALSE,TRUE)</f>
        <v>0</v>
      </c>
      <c r="BF961" t="b">
        <f>OR(AND(IF(Metadata!S961="",FALSE,TRUE),OR(EXACT(Metadata!S961,"not collected"),EXACT(Metadata!S961,"not provided"),EXACT(Metadata!S961,"restricted access"))),AND(IF(Metadata!S961="",FALSE,ISNUMBER(VALUE(Metadata!S961))),Metadata!S961&gt;=-90,Metadata!S961&lt;=90))</f>
        <v>0</v>
      </c>
      <c r="BG961" t="b">
        <f>AND(IF(Metadata!T961="",FALSE,TRUE),EXACT(Metadata!T961,"Decimal degrees"))</f>
        <v>0</v>
      </c>
      <c r="BH961" t="b">
        <f>OR(AND(IF(Metadata!U961="",FALSE,TRUE),OR(EXACT(Metadata!U961,"not applicable"),EXACT(Metadata!U961,"not collected"))),IF(Metadata!U961="",FALSE,TRUE))</f>
        <v>0</v>
      </c>
      <c r="BI961" t="b">
        <f>OR(AND(IF(Metadata!V961="",FALSE,TRUE),OR(EXACT(Metadata!V961,"not collected"),EXACT(Metadata!V961,"not provided"),EXACT(Metadata!V961,"restricted access"))),AND(IF(Metadata!V961="",FALSE,ISNUMBER(VALUE(Metadata!V961))),Metadata!V961&gt;=-180,Metadata!V961&lt;=180))</f>
        <v>0</v>
      </c>
      <c r="BJ961" t="b">
        <f>AND(IF(Metadata!W961="",FALSE,TRUE),EXACT(Metadata!W961,"Decimal degrees"))</f>
        <v>0</v>
      </c>
      <c r="BK961" t="b">
        <f>IF(Metadata!X961="",FALSE,TRUE)</f>
        <v>0</v>
      </c>
      <c r="BL961" t="b">
        <f>OR(AND(IF(Metadata!Y961="",FALSE,TRUE),OR(EXACT(Metadata!Y961,"not collected"),EXACT(Metadata!Y961,"not provided"),EXACT(Metadata!Y961,"restricted access"))),AND(IF(Metadata!Y961="",FALSE,TRUE),OR(EXACT(Metadata!Y961,"TRUE"),EXACT(Metadata!Y961,"FALSE"))))</f>
        <v>0</v>
      </c>
      <c r="BM961" t="b">
        <f>OR(AND(IF(Metadata!Z961="",FALSE,TRUE),EXACT(Metadata!Z961,"not applicable")),AND(IF(Metadata!Z961="",FALSE,TRUE),OR(EXACT(Metadata!Z961,"beer"),EXACT(Metadata!Z961,"cheese"),EXACT(Metadata!Z961,"fresh water"),EXACT(Metadata!Z961,"marine sediment"),EXACT(Metadata!Z961,"sea water"),EXACT(Metadata!Z961,"sediment"),EXACT(Metadata!Z961,"soil"),EXACT(Metadata!Z961,"waste water"))))</f>
        <v>0</v>
      </c>
      <c r="BN961" t="b">
        <f>AND(IF(Metadata!AA961="",FALSE,TRUE),EXACT(Metadata!AA961,"metagenome"))</f>
        <v>0</v>
      </c>
      <c r="BO961" t="b">
        <f>AND(IF(Metadata!AB961="",FALSE,TRUE),EXACT(Metadata!AB961,"256318"))</f>
        <v>0</v>
      </c>
      <c r="BP961" t="b">
        <f>IF(Metadata!AC961="",FALSE,TRUE)</f>
        <v>0</v>
      </c>
      <c r="BQ961" t="b">
        <f>IF(Metadata!AD961="",FALSE,TRUE)</f>
        <v>0</v>
      </c>
    </row>
    <row r="962" spans="1:69" x14ac:dyDescent="0.2">
      <c r="A962" s="4" t="e">
        <f ca="1">IF(B962=" "," ",HYPERLINK(CONCATENATE("#metadata!",ADDRESS(INDEX($AJ$2:$AJ$1001,MATCH(ROWS($AH$2:AH962),$AH$2:$AH$1001,0),0),2)),INDEX($AM$2:$AM$1001,MATCH(ROWS($AH$2:AH962),$AH$2:$AH$1001,0),0)))</f>
        <v>#N/A</v>
      </c>
      <c r="B962" s="5" t="e">
        <f ca="1">IF(OR(INDEX($AI$2:$AI$1001,MATCH(ROWS($AH$2:AH962),$AH$2:$AH$1001,0),1)&gt;=100000,INDEX($AO$1005:$BQ$1005,1,MATCH(COLUMNS($AO$1006:AO1006),$AO$1006:$BQ$1006,0))&gt;=100000), " ",IF(INDEX($AO$2:$BQ$1001,MATCH(ROWS($AH$2:AH962),$AH$2:$AH$1001,0),MATCH(COLUMNS($AO$1006:AO1006),$AO$1006:$BQ$1006,0)), HYPERLINK("#",""), HYPERLINK(CONCATENATE("#Metadata!", ADDRESS(INDEX($AJ$2:$AJ$1001,MATCH(ROWS($AH$2:AH962),$AH$2:$AH$1001,0),0), INDEX($AO$1004:$BQ$1004,1,MATCH(COLUMNS($AO$1006:AO1006),$AO$1006:$BQ$1006,0)))),"Fix")))</f>
        <v>#N/A</v>
      </c>
      <c r="C962" s="5" t="e">
        <f ca="1">IF(OR(INDEX($AI$2:$AI$1001,MATCH(ROWS($AH$2:AH962),$AH$2:$AH$1001,0),1)&gt;=100000,INDEX($AO$1005:$BQ$1005,1,MATCH(COLUMNS($AO$1006:AP1006),$AO$1006:$BQ$1006,0))&gt;=100000), " ",IF(INDEX($AO$2:$BQ$1001,MATCH(ROWS($AH$2:AH962),$AH$2:$AH$1001,0),MATCH(COLUMNS($AO$1006:AP1006),$AO$1006:$BQ$1006,0)), HYPERLINK("#",""), HYPERLINK(CONCATENATE("#Metadata!", ADDRESS(INDEX($AJ$2:$AJ$1001,MATCH(ROWS($AH$2:AH962),$AH$2:$AH$1001,0),0), INDEX($AO$1004:$BQ$1004,1,MATCH(COLUMNS($AO$1006:AP1006),$AO$1006:$BQ$1006,0)))),"Fix")))</f>
        <v>#N/A</v>
      </c>
      <c r="D962" s="5" t="e">
        <f ca="1">IF(OR(INDEX($AI$2:$AI$1001,MATCH(ROWS($AH$2:AH962),$AH$2:$AH$1001,0),1)&gt;=100000,INDEX($AO$1005:$BQ$1005,1,MATCH(COLUMNS($AO$1006:AQ1006),$AO$1006:$BQ$1006,0))&gt;=100000), " ",IF(INDEX($AO$2:$BQ$1001,MATCH(ROWS($AH$2:AH962),$AH$2:$AH$1001,0),MATCH(COLUMNS($AO$1006:AQ1006),$AO$1006:$BQ$1006,0)), HYPERLINK("#",""), HYPERLINK(CONCATENATE("#Metadata!", ADDRESS(INDEX($AJ$2:$AJ$1001,MATCH(ROWS($AH$2:AH962),$AH$2:$AH$1001,0),0), INDEX($AO$1004:$BQ$1004,1,MATCH(COLUMNS($AO$1006:AQ1006),$AO$1006:$BQ$1006,0)))),"Fix")))</f>
        <v>#N/A</v>
      </c>
      <c r="E962" s="5" t="e">
        <f ca="1">IF(OR(INDEX($AI$2:$AI$1001,MATCH(ROWS($AH$2:AH962),$AH$2:$AH$1001,0),1)&gt;=100000,INDEX($AO$1005:$BQ$1005,1,MATCH(COLUMNS($AO$1006:AR1006),$AO$1006:$BQ$1006,0))&gt;=100000), " ",IF(INDEX($AO$2:$BQ$1001,MATCH(ROWS($AH$2:AH962),$AH$2:$AH$1001,0),MATCH(COLUMNS($AO$1006:AR1006),$AO$1006:$BQ$1006,0)), HYPERLINK("#",""), HYPERLINK(CONCATENATE("#Metadata!", ADDRESS(INDEX($AJ$2:$AJ$1001,MATCH(ROWS($AH$2:AH962),$AH$2:$AH$1001,0),0), INDEX($AO$1004:$BQ$1004,1,MATCH(COLUMNS($AO$1006:AR1006),$AO$1006:$BQ$1006,0)))),"Fix")))</f>
        <v>#N/A</v>
      </c>
      <c r="F962" s="5" t="e">
        <f ca="1">IF(OR(INDEX($AI$2:$AI$1001,MATCH(ROWS($AH$2:AH962),$AH$2:$AH$1001,0),1)&gt;=100000,INDEX($AO$1005:$BQ$1005,1,MATCH(COLUMNS($AO$1006:AS1006),$AO$1006:$BQ$1006,0))&gt;=100000), " ",IF(INDEX($AO$2:$BQ$1001,MATCH(ROWS($AH$2:AH962),$AH$2:$AH$1001,0),MATCH(COLUMNS($AO$1006:AS1006),$AO$1006:$BQ$1006,0)), HYPERLINK("#",""), HYPERLINK(CONCATENATE("#Metadata!", ADDRESS(INDEX($AJ$2:$AJ$1001,MATCH(ROWS($AH$2:AH962),$AH$2:$AH$1001,0),0), INDEX($AO$1004:$BQ$1004,1,MATCH(COLUMNS($AO$1006:AS1006),$AO$1006:$BQ$1006,0)))),"Fix")))</f>
        <v>#N/A</v>
      </c>
      <c r="G962" s="5" t="e">
        <f ca="1">IF(OR(INDEX($AI$2:$AI$1001,MATCH(ROWS($AH$2:AH962),$AH$2:$AH$1001,0),1)&gt;=100000,INDEX($AO$1005:$BQ$1005,1,MATCH(COLUMNS($AO$1006:AT1006),$AO$1006:$BQ$1006,0))&gt;=100000), " ",IF(INDEX($AO$2:$BQ$1001,MATCH(ROWS($AH$2:AH962),$AH$2:$AH$1001,0),MATCH(COLUMNS($AO$1006:AT1006),$AO$1006:$BQ$1006,0)), HYPERLINK("#",""), HYPERLINK(CONCATENATE("#Metadata!", ADDRESS(INDEX($AJ$2:$AJ$1001,MATCH(ROWS($AH$2:AH962),$AH$2:$AH$1001,0),0), INDEX($AO$1004:$BQ$1004,1,MATCH(COLUMNS($AO$1006:AT1006),$AO$1006:$BQ$1006,0)))),"Fix")))</f>
        <v>#N/A</v>
      </c>
      <c r="H962" s="5" t="e">
        <f ca="1">IF(OR(INDEX($AI$2:$AI$1001,MATCH(ROWS($AH$2:AH962),$AH$2:$AH$1001,0),1)&gt;=100000,INDEX($AO$1005:$BQ$1005,1,MATCH(COLUMNS($AO$1006:AU1006),$AO$1006:$BQ$1006,0))&gt;=100000), " ",IF(INDEX($AO$2:$BQ$1001,MATCH(ROWS($AH$2:AH962),$AH$2:$AH$1001,0),MATCH(COLUMNS($AO$1006:AU1006),$AO$1006:$BQ$1006,0)), HYPERLINK("#",""), HYPERLINK(CONCATENATE("#Metadata!", ADDRESS(INDEX($AJ$2:$AJ$1001,MATCH(ROWS($AH$2:AH962),$AH$2:$AH$1001,0),0), INDEX($AO$1004:$BQ$1004,1,MATCH(COLUMNS($AO$1006:AU1006),$AO$1006:$BQ$1006,0)))),"Fix")))</f>
        <v>#N/A</v>
      </c>
      <c r="I962" s="5" t="e">
        <f ca="1">IF(OR(INDEX($AI$2:$AI$1001,MATCH(ROWS($AH$2:AH962),$AH$2:$AH$1001,0),1)&gt;=100000,INDEX($AO$1005:$BQ$1005,1,MATCH(COLUMNS($AO$1006:AV1006),$AO$1006:$BQ$1006,0))&gt;=100000), " ",IF(INDEX($AO$2:$BQ$1001,MATCH(ROWS($AH$2:AH962),$AH$2:$AH$1001,0),MATCH(COLUMNS($AO$1006:AV1006),$AO$1006:$BQ$1006,0)), HYPERLINK("#",""), HYPERLINK(CONCATENATE("#Metadata!", ADDRESS(INDEX($AJ$2:$AJ$1001,MATCH(ROWS($AH$2:AH962),$AH$2:$AH$1001,0),0), INDEX($AO$1004:$BQ$1004,1,MATCH(COLUMNS($AO$1006:AV1006),$AO$1006:$BQ$1006,0)))),"Fix")))</f>
        <v>#N/A</v>
      </c>
      <c r="J962" s="5" t="e">
        <f ca="1">IF(OR(INDEX($AI$2:$AI$1001,MATCH(ROWS($AH$2:AH962),$AH$2:$AH$1001,0),1)&gt;=100000,INDEX($AO$1005:$BQ$1005,1,MATCH(COLUMNS($AO$1006:AW1006),$AO$1006:$BQ$1006,0))&gt;=100000), " ",IF(INDEX($AO$2:$BQ$1001,MATCH(ROWS($AH$2:AH962),$AH$2:$AH$1001,0),MATCH(COLUMNS($AO$1006:AW1006),$AO$1006:$BQ$1006,0)), HYPERLINK("#",""), HYPERLINK(CONCATENATE("#Metadata!", ADDRESS(INDEX($AJ$2:$AJ$1001,MATCH(ROWS($AH$2:AH962),$AH$2:$AH$1001,0),0), INDEX($AO$1004:$BQ$1004,1,MATCH(COLUMNS($AO$1006:AW1006),$AO$1006:$BQ$1006,0)))),"Fix")))</f>
        <v>#N/A</v>
      </c>
      <c r="K962" s="5" t="e">
        <f ca="1">IF(OR(INDEX($AI$2:$AI$1001,MATCH(ROWS($AH$2:AH962),$AH$2:$AH$1001,0),1)&gt;=100000,INDEX($AO$1005:$BQ$1005,1,MATCH(COLUMNS($AO$1006:AX1006),$AO$1006:$BQ$1006,0))&gt;=100000), " ",IF(INDEX($AO$2:$BQ$1001,MATCH(ROWS($AH$2:AH962),$AH$2:$AH$1001,0),MATCH(COLUMNS($AO$1006:AX1006),$AO$1006:$BQ$1006,0)), HYPERLINK("#",""), HYPERLINK(CONCATENATE("#Metadata!", ADDRESS(INDEX($AJ$2:$AJ$1001,MATCH(ROWS($AH$2:AH962),$AH$2:$AH$1001,0),0), INDEX($AO$1004:$BQ$1004,1,MATCH(COLUMNS($AO$1006:AX1006),$AO$1006:$BQ$1006,0)))),"Fix")))</f>
        <v>#N/A</v>
      </c>
      <c r="L962" s="5" t="e">
        <f ca="1">IF(OR(INDEX($AI$2:$AI$1001,MATCH(ROWS($AH$2:AH962),$AH$2:$AH$1001,0),1)&gt;=100000,INDEX($AO$1005:$BQ$1005,1,MATCH(COLUMNS($AO$1006:AY1006),$AO$1006:$BQ$1006,0))&gt;=100000), " ",IF(INDEX($AO$2:$BQ$1001,MATCH(ROWS($AH$2:AH962),$AH$2:$AH$1001,0),MATCH(COLUMNS($AO$1006:AY1006),$AO$1006:$BQ$1006,0)), HYPERLINK("#",""), HYPERLINK(CONCATENATE("#Metadata!", ADDRESS(INDEX($AJ$2:$AJ$1001,MATCH(ROWS($AH$2:AH962),$AH$2:$AH$1001,0),0), INDEX($AO$1004:$BQ$1004,1,MATCH(COLUMNS($AO$1006:AY1006),$AO$1006:$BQ$1006,0)))),"Fix")))</f>
        <v>#N/A</v>
      </c>
      <c r="M962" s="5" t="e">
        <f ca="1">IF(OR(INDEX($AI$2:$AI$1001,MATCH(ROWS($AH$2:AH962),$AH$2:$AH$1001,0),1)&gt;=100000,INDEX($AO$1005:$BQ$1005,1,MATCH(COLUMNS($AO$1006:AZ1006),$AO$1006:$BQ$1006,0))&gt;=100000), " ",IF(INDEX($AO$2:$BQ$1001,MATCH(ROWS($AH$2:AH962),$AH$2:$AH$1001,0),MATCH(COLUMNS($AO$1006:AZ1006),$AO$1006:$BQ$1006,0)), HYPERLINK("#",""), HYPERLINK(CONCATENATE("#Metadata!", ADDRESS(INDEX($AJ$2:$AJ$1001,MATCH(ROWS($AH$2:AH962),$AH$2:$AH$1001,0),0), INDEX($AO$1004:$BQ$1004,1,MATCH(COLUMNS($AO$1006:AZ1006),$AO$1006:$BQ$1006,0)))),"Fix")))</f>
        <v>#N/A</v>
      </c>
      <c r="N962" s="5" t="e">
        <f ca="1">IF(OR(INDEX($AI$2:$AI$1001,MATCH(ROWS($AH$2:AH962),$AH$2:$AH$1001,0),1)&gt;=100000,INDEX($AO$1005:$BQ$1005,1,MATCH(COLUMNS($AO$1006:BA1006),$AO$1006:$BQ$1006,0))&gt;=100000), " ",IF(INDEX($AO$2:$BQ$1001,MATCH(ROWS($AH$2:AH962),$AH$2:$AH$1001,0),MATCH(COLUMNS($AO$1006:BA1006),$AO$1006:$BQ$1006,0)), HYPERLINK("#",""), HYPERLINK(CONCATENATE("#Metadata!", ADDRESS(INDEX($AJ$2:$AJ$1001,MATCH(ROWS($AH$2:AH962),$AH$2:$AH$1001,0),0), INDEX($AO$1004:$BQ$1004,1,MATCH(COLUMNS($AO$1006:BA1006),$AO$1006:$BQ$1006,0)))),"Fix")))</f>
        <v>#N/A</v>
      </c>
      <c r="O962" s="5" t="e">
        <f ca="1">IF(OR(INDEX($AI$2:$AI$1001,MATCH(ROWS($AH$2:AH962),$AH$2:$AH$1001,0),1)&gt;=100000,INDEX($AO$1005:$BQ$1005,1,MATCH(COLUMNS($AO$1006:BB1006),$AO$1006:$BQ$1006,0))&gt;=100000), " ",IF(INDEX($AO$2:$BQ$1001,MATCH(ROWS($AH$2:AH962),$AH$2:$AH$1001,0),MATCH(COLUMNS($AO$1006:BB1006),$AO$1006:$BQ$1006,0)), HYPERLINK("#",""), HYPERLINK(CONCATENATE("#Metadata!", ADDRESS(INDEX($AJ$2:$AJ$1001,MATCH(ROWS($AH$2:AH962),$AH$2:$AH$1001,0),0), INDEX($AO$1004:$BQ$1004,1,MATCH(COLUMNS($AO$1006:BB1006),$AO$1006:$BQ$1006,0)))),"Fix")))</f>
        <v>#N/A</v>
      </c>
      <c r="P962" s="5" t="e">
        <f ca="1">IF(OR(INDEX($AI$2:$AI$1001,MATCH(ROWS($AH$2:AH962),$AH$2:$AH$1001,0),1)&gt;=100000,INDEX($AO$1005:$BQ$1005,1,MATCH(COLUMNS($AO$1006:BC1006),$AO$1006:$BQ$1006,0))&gt;=100000), " ",IF(INDEX($AO$2:$BQ$1001,MATCH(ROWS($AH$2:AH962),$AH$2:$AH$1001,0),MATCH(COLUMNS($AO$1006:BC1006),$AO$1006:$BQ$1006,0)), HYPERLINK("#",""), HYPERLINK(CONCATENATE("#Metadata!", ADDRESS(INDEX($AJ$2:$AJ$1001,MATCH(ROWS($AH$2:AH962),$AH$2:$AH$1001,0),0), INDEX($AO$1004:$BQ$1004,1,MATCH(COLUMNS($AO$1006:BC1006),$AO$1006:$BQ$1006,0)))),"Fix")))</f>
        <v>#N/A</v>
      </c>
      <c r="Q962" s="5" t="e">
        <f ca="1">IF(OR(INDEX($AI$2:$AI$1001,MATCH(ROWS($AH$2:AH962),$AH$2:$AH$1001,0),1)&gt;=100000,INDEX($AO$1005:$BQ$1005,1,MATCH(COLUMNS($AO$1006:BD1006),$AO$1006:$BQ$1006,0))&gt;=100000), " ",IF(INDEX($AO$2:$BQ$1001,MATCH(ROWS($AH$2:AH962),$AH$2:$AH$1001,0),MATCH(COLUMNS($AO$1006:BD1006),$AO$1006:$BQ$1006,0)), HYPERLINK("#",""), HYPERLINK(CONCATENATE("#Metadata!", ADDRESS(INDEX($AJ$2:$AJ$1001,MATCH(ROWS($AH$2:AH962),$AH$2:$AH$1001,0),0), INDEX($AO$1004:$BQ$1004,1,MATCH(COLUMNS($AO$1006:BD1006),$AO$1006:$BQ$1006,0)))),"Fix")))</f>
        <v>#N/A</v>
      </c>
      <c r="R962" s="5" t="e">
        <f ca="1">IF(OR(INDEX($AI$2:$AI$1001,MATCH(ROWS($AH$2:AH962),$AH$2:$AH$1001,0),1)&gt;=100000,INDEX($AO$1005:$BQ$1005,1,MATCH(COLUMNS($AO$1006:BE1006),$AO$1006:$BQ$1006,0))&gt;=100000), " ",IF(INDEX($AO$2:$BQ$1001,MATCH(ROWS($AH$2:AH962),$AH$2:$AH$1001,0),MATCH(COLUMNS($AO$1006:BE1006),$AO$1006:$BQ$1006,0)), HYPERLINK("#",""), HYPERLINK(CONCATENATE("#Metadata!", ADDRESS(INDEX($AJ$2:$AJ$1001,MATCH(ROWS($AH$2:AH962),$AH$2:$AH$1001,0),0), INDEX($AO$1004:$BQ$1004,1,MATCH(COLUMNS($AO$1006:BE1006),$AO$1006:$BQ$1006,0)))),"Fix")))</f>
        <v>#N/A</v>
      </c>
      <c r="S962" s="5" t="e">
        <f ca="1">IF(OR(INDEX($AI$2:$AI$1001,MATCH(ROWS($AH$2:AH962),$AH$2:$AH$1001,0),1)&gt;=100000,INDEX($AO$1005:$BQ$1005,1,MATCH(COLUMNS($AO$1006:BF1006),$AO$1006:$BQ$1006,0))&gt;=100000), " ",IF(INDEX($AO$2:$BQ$1001,MATCH(ROWS($AH$2:AH962),$AH$2:$AH$1001,0),MATCH(COLUMNS($AO$1006:BF1006),$AO$1006:$BQ$1006,0)), HYPERLINK("#",""), HYPERLINK(CONCATENATE("#Metadata!", ADDRESS(INDEX($AJ$2:$AJ$1001,MATCH(ROWS($AH$2:AH962),$AH$2:$AH$1001,0),0), INDEX($AO$1004:$BQ$1004,1,MATCH(COLUMNS($AO$1006:BF1006),$AO$1006:$BQ$1006,0)))),"Fix")))</f>
        <v>#N/A</v>
      </c>
      <c r="T962" s="5" t="e">
        <f ca="1">IF(OR(INDEX($AI$2:$AI$1001,MATCH(ROWS($AH$2:AH962),$AH$2:$AH$1001,0),1)&gt;=100000,INDEX($AO$1005:$BQ$1005,1,MATCH(COLUMNS($AO$1006:BG1006),$AO$1006:$BQ$1006,0))&gt;=100000), " ",IF(INDEX($AO$2:$BQ$1001,MATCH(ROWS($AH$2:AH962),$AH$2:$AH$1001,0),MATCH(COLUMNS($AO$1006:BG1006),$AO$1006:$BQ$1006,0)), HYPERLINK("#",""), HYPERLINK(CONCATENATE("#Metadata!", ADDRESS(INDEX($AJ$2:$AJ$1001,MATCH(ROWS($AH$2:AH962),$AH$2:$AH$1001,0),0), INDEX($AO$1004:$BQ$1004,1,MATCH(COLUMNS($AO$1006:BG1006),$AO$1006:$BQ$1006,0)))),"Fix")))</f>
        <v>#N/A</v>
      </c>
      <c r="U962" s="5" t="e">
        <f ca="1">IF(OR(INDEX($AI$2:$AI$1001,MATCH(ROWS($AH$2:AH962),$AH$2:$AH$1001,0),1)&gt;=100000,INDEX($AO$1005:$BQ$1005,1,MATCH(COLUMNS($AO$1006:BH1006),$AO$1006:$BQ$1006,0))&gt;=100000), " ",IF(INDEX($AO$2:$BQ$1001,MATCH(ROWS($AH$2:AH962),$AH$2:$AH$1001,0),MATCH(COLUMNS($AO$1006:BH1006),$AO$1006:$BQ$1006,0)), HYPERLINK("#",""), HYPERLINK(CONCATENATE("#Metadata!", ADDRESS(INDEX($AJ$2:$AJ$1001,MATCH(ROWS($AH$2:AH962),$AH$2:$AH$1001,0),0), INDEX($AO$1004:$BQ$1004,1,MATCH(COLUMNS($AO$1006:BH1006),$AO$1006:$BQ$1006,0)))),"Fix")))</f>
        <v>#N/A</v>
      </c>
      <c r="V962" s="5" t="e">
        <f ca="1">IF(OR(INDEX($AI$2:$AI$1001,MATCH(ROWS($AH$2:AH962),$AH$2:$AH$1001,0),1)&gt;=100000,INDEX($AO$1005:$BQ$1005,1,MATCH(COLUMNS($AO$1006:BI1006),$AO$1006:$BQ$1006,0))&gt;=100000), " ",IF(INDEX($AO$2:$BQ$1001,MATCH(ROWS($AH$2:AH962),$AH$2:$AH$1001,0),MATCH(COLUMNS($AO$1006:BI1006),$AO$1006:$BQ$1006,0)), HYPERLINK("#",""), HYPERLINK(CONCATENATE("#Metadata!", ADDRESS(INDEX($AJ$2:$AJ$1001,MATCH(ROWS($AH$2:AH962),$AH$2:$AH$1001,0),0), INDEX($AO$1004:$BQ$1004,1,MATCH(COLUMNS($AO$1006:BI1006),$AO$1006:$BQ$1006,0)))),"Fix")))</f>
        <v>#N/A</v>
      </c>
      <c r="W962" s="5" t="e">
        <f ca="1">IF(OR(INDEX($AI$2:$AI$1001,MATCH(ROWS($AH$2:AH962),$AH$2:$AH$1001,0),1)&gt;=100000,INDEX($AO$1005:$BQ$1005,1,MATCH(COLUMNS($AO$1006:BJ1006),$AO$1006:$BQ$1006,0))&gt;=100000), " ",IF(INDEX($AO$2:$BQ$1001,MATCH(ROWS($AH$2:AH962),$AH$2:$AH$1001,0),MATCH(COLUMNS($AO$1006:BJ1006),$AO$1006:$BQ$1006,0)), HYPERLINK("#",""), HYPERLINK(CONCATENATE("#Metadata!", ADDRESS(INDEX($AJ$2:$AJ$1001,MATCH(ROWS($AH$2:AH962),$AH$2:$AH$1001,0),0), INDEX($AO$1004:$BQ$1004,1,MATCH(COLUMNS($AO$1006:BJ1006),$AO$1006:$BQ$1006,0)))),"Fix")))</f>
        <v>#N/A</v>
      </c>
      <c r="X962" s="5" t="e">
        <f ca="1">IF(OR(INDEX($AI$2:$AI$1001,MATCH(ROWS($AH$2:AH962),$AH$2:$AH$1001,0),1)&gt;=100000,INDEX($AO$1005:$BQ$1005,1,MATCH(COLUMNS($AO$1006:BK1006),$AO$1006:$BQ$1006,0))&gt;=100000), " ",IF(INDEX($AO$2:$BQ$1001,MATCH(ROWS($AH$2:AH962),$AH$2:$AH$1001,0),MATCH(COLUMNS($AO$1006:BK1006),$AO$1006:$BQ$1006,0)), HYPERLINK("#",""), HYPERLINK(CONCATENATE("#Metadata!", ADDRESS(INDEX($AJ$2:$AJ$1001,MATCH(ROWS($AH$2:AH962),$AH$2:$AH$1001,0),0), INDEX($AO$1004:$BQ$1004,1,MATCH(COLUMNS($AO$1006:BK1006),$AO$1006:$BQ$1006,0)))),"Fix")))</f>
        <v>#N/A</v>
      </c>
      <c r="Y962" s="5" t="e">
        <f ca="1">IF(OR(INDEX($AI$2:$AI$1001,MATCH(ROWS($AH$2:AH962),$AH$2:$AH$1001,0),1)&gt;=100000,INDEX($AO$1005:$BQ$1005,1,MATCH(COLUMNS($AO$1006:BL1006),$AO$1006:$BQ$1006,0))&gt;=100000), " ",IF(INDEX($AO$2:$BQ$1001,MATCH(ROWS($AH$2:AH962),$AH$2:$AH$1001,0),MATCH(COLUMNS($AO$1006:BL1006),$AO$1006:$BQ$1006,0)), HYPERLINK("#",""), HYPERLINK(CONCATENATE("#Metadata!", ADDRESS(INDEX($AJ$2:$AJ$1001,MATCH(ROWS($AH$2:AH962),$AH$2:$AH$1001,0),0), INDEX($AO$1004:$BQ$1004,1,MATCH(COLUMNS($AO$1006:BL1006),$AO$1006:$BQ$1006,0)))),"Fix")))</f>
        <v>#N/A</v>
      </c>
      <c r="Z962" s="5" t="e">
        <f ca="1">IF(OR(INDEX($AI$2:$AI$1001,MATCH(ROWS($AH$2:AH962),$AH$2:$AH$1001,0),1)&gt;=100000,INDEX($AO$1005:$BQ$1005,1,MATCH(COLUMNS($AO$1006:BM1006),$AO$1006:$BQ$1006,0))&gt;=100000), " ",IF(INDEX($AO$2:$BQ$1001,MATCH(ROWS($AH$2:AH962),$AH$2:$AH$1001,0),MATCH(COLUMNS($AO$1006:BM1006),$AO$1006:$BQ$1006,0)), HYPERLINK("#",""), HYPERLINK(CONCATENATE("#Metadata!", ADDRESS(INDEX($AJ$2:$AJ$1001,MATCH(ROWS($AH$2:AH962),$AH$2:$AH$1001,0),0), INDEX($AO$1004:$BQ$1004,1,MATCH(COLUMNS($AO$1006:BM1006),$AO$1006:$BQ$1006,0)))),"Fix")))</f>
        <v>#N/A</v>
      </c>
      <c r="AA962" s="5" t="e">
        <f ca="1">IF(OR(INDEX($AI$2:$AI$1001,MATCH(ROWS($AH$2:AH962),$AH$2:$AH$1001,0),1)&gt;=100000,INDEX($AO$1005:$BQ$1005,1,MATCH(COLUMNS($AO$1006:BN1006),$AO$1006:$BQ$1006,0))&gt;=100000), " ",IF(INDEX($AO$2:$BQ$1001,MATCH(ROWS($AH$2:AH962),$AH$2:$AH$1001,0),MATCH(COLUMNS($AO$1006:BN1006),$AO$1006:$BQ$1006,0)), HYPERLINK("#",""), HYPERLINK(CONCATENATE("#Metadata!", ADDRESS(INDEX($AJ$2:$AJ$1001,MATCH(ROWS($AH$2:AH962),$AH$2:$AH$1001,0),0), INDEX($AO$1004:$BQ$1004,1,MATCH(COLUMNS($AO$1006:BN1006),$AO$1006:$BQ$1006,0)))),"Fix")))</f>
        <v>#N/A</v>
      </c>
      <c r="AB962" s="5" t="e">
        <f ca="1">IF(OR(INDEX($AI$2:$AI$1001,MATCH(ROWS($AH$2:AH962),$AH$2:$AH$1001,0),1)&gt;=100000,INDEX($AO$1005:$BQ$1005,1,MATCH(COLUMNS($AO$1006:BO1006),$AO$1006:$BQ$1006,0))&gt;=100000), " ",IF(INDEX($AO$2:$BQ$1001,MATCH(ROWS($AH$2:AH962),$AH$2:$AH$1001,0),MATCH(COLUMNS($AO$1006:BO1006),$AO$1006:$BQ$1006,0)), HYPERLINK("#",""), HYPERLINK(CONCATENATE("#Metadata!", ADDRESS(INDEX($AJ$2:$AJ$1001,MATCH(ROWS($AH$2:AH962),$AH$2:$AH$1001,0),0), INDEX($AO$1004:$BQ$1004,1,MATCH(COLUMNS($AO$1006:BO1006),$AO$1006:$BQ$1006,0)))),"Fix")))</f>
        <v>#N/A</v>
      </c>
      <c r="AC962" s="5" t="e">
        <f ca="1">IF(OR(INDEX($AI$2:$AI$1001,MATCH(ROWS($AH$2:AH962),$AH$2:$AH$1001,0),1)&gt;=100000,INDEX($AO$1005:$BQ$1005,1,MATCH(COLUMNS($AO$1006:BP1006),$AO$1006:$BQ$1006,0))&gt;=100000), " ",IF(INDEX($AO$2:$BQ$1001,MATCH(ROWS($AH$2:AH962),$AH$2:$AH$1001,0),MATCH(COLUMNS($AO$1006:BP1006),$AO$1006:$BQ$1006,0)), HYPERLINK("#",""), HYPERLINK(CONCATENATE("#Metadata!", ADDRESS(INDEX($AJ$2:$AJ$1001,MATCH(ROWS($AH$2:AH962),$AH$2:$AH$1001,0),0), INDEX($AO$1004:$BQ$1004,1,MATCH(COLUMNS($AO$1006:BP1006),$AO$1006:$BQ$1006,0)))),"Fix")))</f>
        <v>#N/A</v>
      </c>
      <c r="AD962" s="5" t="e">
        <f ca="1">IF(OR(INDEX($AI$2:$AI$1001,MATCH(ROWS($AH$2:AH962),$AH$2:$AH$1001,0),1)&gt;=100000,INDEX($AO$1005:$BQ$1005,1,MATCH(COLUMNS($AO$1006:BQ1006),$AO$1006:$BQ$1006,0))&gt;=100000), " ",IF(INDEX($AO$2:$BQ$1001,MATCH(ROWS($AH$2:AH962),$AH$2:$AH$1001,0),MATCH(COLUMNS($AO$1006:BQ1006),$AO$1006:$BQ$1006,0)), HYPERLINK("#",""), HYPERLINK(CONCATENATE("#Metadata!", ADDRESS(INDEX($AJ$2:$AJ$1001,MATCH(ROWS($AH$2:AH962),$AH$2:$AH$1001,0),0), INDEX($AO$1004:$BQ$1004,1,MATCH(COLUMNS($AO$1006:BQ1006),$AO$1006:$BQ$1006,0)))),"Fix")))</f>
        <v>#REF!</v>
      </c>
      <c r="AH962">
        <f ca="1"/>
        <v>959</v>
      </c>
      <c r="AI962">
        <v>100962</v>
      </c>
      <c r="AJ962">
        <v>962</v>
      </c>
      <c r="AK962" t="b">
        <f t="shared" ref="AK962:AK1001" si="15">IF(AL962,TRUE,AND(AO962:BQ962))</f>
        <v>1</v>
      </c>
      <c r="AL962" t="b">
        <f>COUNTBLANK(Metadata!B962:AD962)=COLUMNS(Metadata!B962:AD962)</f>
        <v>1</v>
      </c>
      <c r="AM962" t="str">
        <v/>
      </c>
      <c r="AO962" t="b">
        <f ca="1">AND(IF(Metadata!B962="",FALSE,TRUE),COUNTIF(Metadata!B:B, Metadata!B962) = 1,NOT(ISERROR(SUMPRODUCT(SEARCH(MID(Metadata!B962,ROW(INDIRECT("1:"&amp;LEN(Metadata!B962))), 1),"0123456789abcdefghijklmnopqrstuvwxyzABCDEFGHIJKLMNOPQRSTUVWXYZ.")))))</f>
        <v>0</v>
      </c>
      <c r="AP962" t="b">
        <f>IF(Metadata!C962="",FALSE,TRUE)</f>
        <v>0</v>
      </c>
      <c r="AQ962" t="b">
        <f>IF(Metadata!D962="",FALSE,TRUE)</f>
        <v>0</v>
      </c>
      <c r="AR962" t="b">
        <f ca="1">OR(AND(IF(Metadata!E962="",FALSE,TRUE),OR(EXACT(Metadata!E962,"not collected"),EXACT(Metadata!E962,"not provided"),EXACT(Metadata!E962,"restricted access"))),AND(IF(Metadata!E962="",FALSE,TRUE),AND(AND(IFERROR(INT(LEFT(Metadata!E962,4))&gt;1900,FALSE),IFERROR(INT(LEFT(Metadata!E962,4))&lt;=YEAR(NOW()),FALSE)), OR(MID(Metadata!E962,5,1)="", AND(AND(MID(Metadata!E962,5,1)="-",IFERROR(INT(MID(Metadata!E962,6,1))&gt;=0,FALSE),IFERROR(INT(MID(Metadata!E962,6,1))&lt;=1,FALSE),NOT(MID(Metadata!E962,7,1)=""),IFERROR(INT(MID(Metadata!E962,6,2))&gt;=1,FALSE),IFERROR(INT(MID(Metadata!E962,6,2))&lt;=12,FALSE)), OR(MID(Metadata!E962,8,1)="", AND(AND(MID(Metadata!E962,8,1)="-",IFERROR(INT(MID(Metadata!E962,9,1))&gt;=0,FALSE),IFERROR(INT(MID(Metadata!E962,9,1))&lt;=3,FALSE),NOT(MID(Metadata!E962,10,1)=""),IFERROR(INT(MID(Metadata!E962,9,2))&gt;=1,FALSE),IFERROR(INT(MID(Metadata!E962,9,2))&lt;=31,FALSE)), OR(MID(Metadata!E962,11,1)="", AND(AND(MID(Metadata!E962,11,1)=" ",IFERROR(INT(MID(Metadata!E962,12,1))&gt;=0,FALSE),IFERROR(INT(MID(Metadata!E962,12,1))&lt;=2,FALSE),NOT(MID(Metadata!E962,13,1)=""),IFERROR(INT(MID(Metadata!E962,12,2))&gt;=0,FALSE),IFERROR(INT(MID(Metadata!E962,12,2))&lt;=23,FALSE)), OR(MID(Metadata!E962,14,1)="", AND(AND(MID(Metadata!E962,14,1)=":",IFERROR(INT(MID(Metadata!E962,15,1))&gt;=0,FALSE),IFERROR(INT(MID(Metadata!E962,15,1))&lt;=5,FALSE),NOT(MID(Metadata!E962,16,1)=""),IFERROR(INT(MID(Metadata!E962,15,2))&gt;=0,FALSE),IFERROR(INT(MID(Metadata!E962,15,2))&lt;=59,FALSE)), OR(MID(Metadata!E962,17,1)="", AND(AND(MID(Metadata!E962,17,1)=":",IFERROR(INT(MID(Metadata!E962,18,1))&gt;=0,FALSE),IFERROR(INT(MID(Metadata!E962,18,1))&lt;=5,FALSE),NOT(MID(Metadata!E962,19,1)=""),IFERROR(INT(MID(Metadata!E962,18,2))&gt;=0,FALSE),IFERROR(INT(MID(Metadata!E962,18,2))&lt;=59,FALSE)), LEN(Metadata!E962)&lt;=19)))))))))))))</f>
        <v>0</v>
      </c>
      <c r="AS962" t="b">
        <f>IF(Metadata!F962="",FALSE,TRUE)</f>
        <v>0</v>
      </c>
      <c r="AT962" t="b">
        <f>OR(AND(IF(Metadata!G962="",FALSE,TRUE),OR(EXACT(Metadata!G962,"not collected"),EXACT(Metadata!G962,"not provided"))),AND(IF(Metadata!G962="",FALSE,TRUE),OR(EXACT(Metadata!G962,"TRUE"),EXACT(Metadata!G962,"FALSE"))))</f>
        <v>0</v>
      </c>
      <c r="AU962" t="b">
        <f>OR(AND(IF(Metadata!H962="",FALSE,TRUE),OR(EXACT(Metadata!H962,"not collected"),EXACT(Metadata!H962,"not provided"),EXACT(Metadata!H962,"restricted access"))),AND(IF(Metadata!H962="",FALSE,ISNUMBER(VALUE(Metadata!H962))),Metadata!H962&gt;=-413))</f>
        <v>0</v>
      </c>
      <c r="AV962" t="b">
        <f>AND(IF(Metadata!I962="",FALSE,TRUE),EXACT(Metadata!I962,"meters"))</f>
        <v>0</v>
      </c>
      <c r="AW962" t="b">
        <f>AND(IF(Metadata!J962="",FALSE,TRUE),EXACT(Metadata!J962,"free-living"))</f>
        <v>0</v>
      </c>
      <c r="AX962" t="b">
        <f>AND(IF(Metadata!K962="",FALSE,TRUE),OR(EXACT(Metadata!K962,"saline"),EXACT(Metadata!K962,"non-saline")))</f>
        <v>0</v>
      </c>
      <c r="AY962" t="b">
        <f>AND(IF(Metadata!L962="",FALSE,TRUE),OR(EXACT(Metadata!L962,"sub-surface (non-saline)"),EXACT(Metadata!L962,"surface (non-saline)"),EXACT(Metadata!L962,"water (non-saline)"),EXACT(Metadata!L962,"soil (non-saline)"),EXACT(Metadata!L962,"aerosol (non-saline)"),EXACT(Metadata!L962,"sediment (non-saline)"),EXACT(Metadata!L962,"surface (saline)"),EXACT(Metadata!L962,"water (saline)"),EXACT(Metadata!L962,"hypersaline (saline)"),EXACT(Metadata!L962,"aerosol (saline)"),EXACT(Metadata!L962,"sediment (saline)")))</f>
        <v>0</v>
      </c>
      <c r="AZ962" t="b">
        <f>IF(Metadata!M962="",FALSE,TRUE)</f>
        <v>0</v>
      </c>
      <c r="BA962" t="b">
        <f>IF(Metadata!N962="",FALSE,TRUE)</f>
        <v>0</v>
      </c>
      <c r="BB962" t="b">
        <f>IF(Metadata!O962="",FALSE,TRUE)</f>
        <v>0</v>
      </c>
      <c r="BC962" t="b">
        <f>AND(IF(Metadata!P962="",FALSE,TRUE),OR(EXACT(Metadata!P962,"air"),EXACT(Metadata!P962,"microbial mat/biofilm"),EXACT(Metadata!P962,"misc environment"),EXACT(Metadata!P962,"sediment"),EXACT(Metadata!P962,"soil"),EXACT(Metadata!P962,"wastewater/sludge"),EXACT(Metadata!P962,"water")))</f>
        <v>0</v>
      </c>
      <c r="BD962" t="b">
        <f>IF(Metadata!Q962="",FALSE,TRUE)</f>
        <v>0</v>
      </c>
      <c r="BE962" t="b">
        <f>IF(Metadata!R962="",FALSE,TRUE)</f>
        <v>0</v>
      </c>
      <c r="BF962" t="b">
        <f>OR(AND(IF(Metadata!S962="",FALSE,TRUE),OR(EXACT(Metadata!S962,"not collected"),EXACT(Metadata!S962,"not provided"),EXACT(Metadata!S962,"restricted access"))),AND(IF(Metadata!S962="",FALSE,ISNUMBER(VALUE(Metadata!S962))),Metadata!S962&gt;=-90,Metadata!S962&lt;=90))</f>
        <v>0</v>
      </c>
      <c r="BG962" t="b">
        <f>AND(IF(Metadata!T962="",FALSE,TRUE),EXACT(Metadata!T962,"Decimal degrees"))</f>
        <v>0</v>
      </c>
      <c r="BH962" t="b">
        <f>OR(AND(IF(Metadata!U962="",FALSE,TRUE),OR(EXACT(Metadata!U962,"not applicable"),EXACT(Metadata!U962,"not collected"))),IF(Metadata!U962="",FALSE,TRUE))</f>
        <v>0</v>
      </c>
      <c r="BI962" t="b">
        <f>OR(AND(IF(Metadata!V962="",FALSE,TRUE),OR(EXACT(Metadata!V962,"not collected"),EXACT(Metadata!V962,"not provided"),EXACT(Metadata!V962,"restricted access"))),AND(IF(Metadata!V962="",FALSE,ISNUMBER(VALUE(Metadata!V962))),Metadata!V962&gt;=-180,Metadata!V962&lt;=180))</f>
        <v>0</v>
      </c>
      <c r="BJ962" t="b">
        <f>AND(IF(Metadata!W962="",FALSE,TRUE),EXACT(Metadata!W962,"Decimal degrees"))</f>
        <v>0</v>
      </c>
      <c r="BK962" t="b">
        <f>IF(Metadata!X962="",FALSE,TRUE)</f>
        <v>0</v>
      </c>
      <c r="BL962" t="b">
        <f>OR(AND(IF(Metadata!Y962="",FALSE,TRUE),OR(EXACT(Metadata!Y962,"not collected"),EXACT(Metadata!Y962,"not provided"),EXACT(Metadata!Y962,"restricted access"))),AND(IF(Metadata!Y962="",FALSE,TRUE),OR(EXACT(Metadata!Y962,"TRUE"),EXACT(Metadata!Y962,"FALSE"))))</f>
        <v>0</v>
      </c>
      <c r="BM962" t="b">
        <f>OR(AND(IF(Metadata!Z962="",FALSE,TRUE),EXACT(Metadata!Z962,"not applicable")),AND(IF(Metadata!Z962="",FALSE,TRUE),OR(EXACT(Metadata!Z962,"beer"),EXACT(Metadata!Z962,"cheese"),EXACT(Metadata!Z962,"fresh water"),EXACT(Metadata!Z962,"marine sediment"),EXACT(Metadata!Z962,"sea water"),EXACT(Metadata!Z962,"sediment"),EXACT(Metadata!Z962,"soil"),EXACT(Metadata!Z962,"waste water"))))</f>
        <v>0</v>
      </c>
      <c r="BN962" t="b">
        <f>AND(IF(Metadata!AA962="",FALSE,TRUE),EXACT(Metadata!AA962,"metagenome"))</f>
        <v>0</v>
      </c>
      <c r="BO962" t="b">
        <f>AND(IF(Metadata!AB962="",FALSE,TRUE),EXACT(Metadata!AB962,"256318"))</f>
        <v>0</v>
      </c>
      <c r="BP962" t="b">
        <f>IF(Metadata!AC962="",FALSE,TRUE)</f>
        <v>0</v>
      </c>
      <c r="BQ962" t="b">
        <f>IF(Metadata!AD962="",FALSE,TRUE)</f>
        <v>0</v>
      </c>
    </row>
    <row r="963" spans="1:69" x14ac:dyDescent="0.2">
      <c r="A963" s="4" t="e">
        <f ca="1">IF(B963=" "," ",HYPERLINK(CONCATENATE("#metadata!",ADDRESS(INDEX($AJ$2:$AJ$1001,MATCH(ROWS($AH$2:AH963),$AH$2:$AH$1001,0),0),2)),INDEX($AM$2:$AM$1001,MATCH(ROWS($AH$2:AH963),$AH$2:$AH$1001,0),0)))</f>
        <v>#N/A</v>
      </c>
      <c r="B963" s="5" t="e">
        <f ca="1">IF(OR(INDEX($AI$2:$AI$1001,MATCH(ROWS($AH$2:AH963),$AH$2:$AH$1001,0),1)&gt;=100000,INDEX($AO$1005:$BQ$1005,1,MATCH(COLUMNS($AO$1006:AO1006),$AO$1006:$BQ$1006,0))&gt;=100000), " ",IF(INDEX($AO$2:$BQ$1001,MATCH(ROWS($AH$2:AH963),$AH$2:$AH$1001,0),MATCH(COLUMNS($AO$1006:AO1006),$AO$1006:$BQ$1006,0)), HYPERLINK("#",""), HYPERLINK(CONCATENATE("#Metadata!", ADDRESS(INDEX($AJ$2:$AJ$1001,MATCH(ROWS($AH$2:AH963),$AH$2:$AH$1001,0),0), INDEX($AO$1004:$BQ$1004,1,MATCH(COLUMNS($AO$1006:AO1006),$AO$1006:$BQ$1006,0)))),"Fix")))</f>
        <v>#N/A</v>
      </c>
      <c r="C963" s="5" t="e">
        <f ca="1">IF(OR(INDEX($AI$2:$AI$1001,MATCH(ROWS($AH$2:AH963),$AH$2:$AH$1001,0),1)&gt;=100000,INDEX($AO$1005:$BQ$1005,1,MATCH(COLUMNS($AO$1006:AP1006),$AO$1006:$BQ$1006,0))&gt;=100000), " ",IF(INDEX($AO$2:$BQ$1001,MATCH(ROWS($AH$2:AH963),$AH$2:$AH$1001,0),MATCH(COLUMNS($AO$1006:AP1006),$AO$1006:$BQ$1006,0)), HYPERLINK("#",""), HYPERLINK(CONCATENATE("#Metadata!", ADDRESS(INDEX($AJ$2:$AJ$1001,MATCH(ROWS($AH$2:AH963),$AH$2:$AH$1001,0),0), INDEX($AO$1004:$BQ$1004,1,MATCH(COLUMNS($AO$1006:AP1006),$AO$1006:$BQ$1006,0)))),"Fix")))</f>
        <v>#N/A</v>
      </c>
      <c r="D963" s="5" t="e">
        <f ca="1">IF(OR(INDEX($AI$2:$AI$1001,MATCH(ROWS($AH$2:AH963),$AH$2:$AH$1001,0),1)&gt;=100000,INDEX($AO$1005:$BQ$1005,1,MATCH(COLUMNS($AO$1006:AQ1006),$AO$1006:$BQ$1006,0))&gt;=100000), " ",IF(INDEX($AO$2:$BQ$1001,MATCH(ROWS($AH$2:AH963),$AH$2:$AH$1001,0),MATCH(COLUMNS($AO$1006:AQ1006),$AO$1006:$BQ$1006,0)), HYPERLINK("#",""), HYPERLINK(CONCATENATE("#Metadata!", ADDRESS(INDEX($AJ$2:$AJ$1001,MATCH(ROWS($AH$2:AH963),$AH$2:$AH$1001,0),0), INDEX($AO$1004:$BQ$1004,1,MATCH(COLUMNS($AO$1006:AQ1006),$AO$1006:$BQ$1006,0)))),"Fix")))</f>
        <v>#N/A</v>
      </c>
      <c r="E963" s="5" t="e">
        <f ca="1">IF(OR(INDEX($AI$2:$AI$1001,MATCH(ROWS($AH$2:AH963),$AH$2:$AH$1001,0),1)&gt;=100000,INDEX($AO$1005:$BQ$1005,1,MATCH(COLUMNS($AO$1006:AR1006),$AO$1006:$BQ$1006,0))&gt;=100000), " ",IF(INDEX($AO$2:$BQ$1001,MATCH(ROWS($AH$2:AH963),$AH$2:$AH$1001,0),MATCH(COLUMNS($AO$1006:AR1006),$AO$1006:$BQ$1006,0)), HYPERLINK("#",""), HYPERLINK(CONCATENATE("#Metadata!", ADDRESS(INDEX($AJ$2:$AJ$1001,MATCH(ROWS($AH$2:AH963),$AH$2:$AH$1001,0),0), INDEX($AO$1004:$BQ$1004,1,MATCH(COLUMNS($AO$1006:AR1006),$AO$1006:$BQ$1006,0)))),"Fix")))</f>
        <v>#N/A</v>
      </c>
      <c r="F963" s="5" t="e">
        <f ca="1">IF(OR(INDEX($AI$2:$AI$1001,MATCH(ROWS($AH$2:AH963),$AH$2:$AH$1001,0),1)&gt;=100000,INDEX($AO$1005:$BQ$1005,1,MATCH(COLUMNS($AO$1006:AS1006),$AO$1006:$BQ$1006,0))&gt;=100000), " ",IF(INDEX($AO$2:$BQ$1001,MATCH(ROWS($AH$2:AH963),$AH$2:$AH$1001,0),MATCH(COLUMNS($AO$1006:AS1006),$AO$1006:$BQ$1006,0)), HYPERLINK("#",""), HYPERLINK(CONCATENATE("#Metadata!", ADDRESS(INDEX($AJ$2:$AJ$1001,MATCH(ROWS($AH$2:AH963),$AH$2:$AH$1001,0),0), INDEX($AO$1004:$BQ$1004,1,MATCH(COLUMNS($AO$1006:AS1006),$AO$1006:$BQ$1006,0)))),"Fix")))</f>
        <v>#N/A</v>
      </c>
      <c r="G963" s="5" t="e">
        <f ca="1">IF(OR(INDEX($AI$2:$AI$1001,MATCH(ROWS($AH$2:AH963),$AH$2:$AH$1001,0),1)&gt;=100000,INDEX($AO$1005:$BQ$1005,1,MATCH(COLUMNS($AO$1006:AT1006),$AO$1006:$BQ$1006,0))&gt;=100000), " ",IF(INDEX($AO$2:$BQ$1001,MATCH(ROWS($AH$2:AH963),$AH$2:$AH$1001,0),MATCH(COLUMNS($AO$1006:AT1006),$AO$1006:$BQ$1006,0)), HYPERLINK("#",""), HYPERLINK(CONCATENATE("#Metadata!", ADDRESS(INDEX($AJ$2:$AJ$1001,MATCH(ROWS($AH$2:AH963),$AH$2:$AH$1001,0),0), INDEX($AO$1004:$BQ$1004,1,MATCH(COLUMNS($AO$1006:AT1006),$AO$1006:$BQ$1006,0)))),"Fix")))</f>
        <v>#N/A</v>
      </c>
      <c r="H963" s="5" t="e">
        <f ca="1">IF(OR(INDEX($AI$2:$AI$1001,MATCH(ROWS($AH$2:AH963),$AH$2:$AH$1001,0),1)&gt;=100000,INDEX($AO$1005:$BQ$1005,1,MATCH(COLUMNS($AO$1006:AU1006),$AO$1006:$BQ$1006,0))&gt;=100000), " ",IF(INDEX($AO$2:$BQ$1001,MATCH(ROWS($AH$2:AH963),$AH$2:$AH$1001,0),MATCH(COLUMNS($AO$1006:AU1006),$AO$1006:$BQ$1006,0)), HYPERLINK("#",""), HYPERLINK(CONCATENATE("#Metadata!", ADDRESS(INDEX($AJ$2:$AJ$1001,MATCH(ROWS($AH$2:AH963),$AH$2:$AH$1001,0),0), INDEX($AO$1004:$BQ$1004,1,MATCH(COLUMNS($AO$1006:AU1006),$AO$1006:$BQ$1006,0)))),"Fix")))</f>
        <v>#N/A</v>
      </c>
      <c r="I963" s="5" t="e">
        <f ca="1">IF(OR(INDEX($AI$2:$AI$1001,MATCH(ROWS($AH$2:AH963),$AH$2:$AH$1001,0),1)&gt;=100000,INDEX($AO$1005:$BQ$1005,1,MATCH(COLUMNS($AO$1006:AV1006),$AO$1006:$BQ$1006,0))&gt;=100000), " ",IF(INDEX($AO$2:$BQ$1001,MATCH(ROWS($AH$2:AH963),$AH$2:$AH$1001,0),MATCH(COLUMNS($AO$1006:AV1006),$AO$1006:$BQ$1006,0)), HYPERLINK("#",""), HYPERLINK(CONCATENATE("#Metadata!", ADDRESS(INDEX($AJ$2:$AJ$1001,MATCH(ROWS($AH$2:AH963),$AH$2:$AH$1001,0),0), INDEX($AO$1004:$BQ$1004,1,MATCH(COLUMNS($AO$1006:AV1006),$AO$1006:$BQ$1006,0)))),"Fix")))</f>
        <v>#N/A</v>
      </c>
      <c r="J963" s="5" t="e">
        <f ca="1">IF(OR(INDEX($AI$2:$AI$1001,MATCH(ROWS($AH$2:AH963),$AH$2:$AH$1001,0),1)&gt;=100000,INDEX($AO$1005:$BQ$1005,1,MATCH(COLUMNS($AO$1006:AW1006),$AO$1006:$BQ$1006,0))&gt;=100000), " ",IF(INDEX($AO$2:$BQ$1001,MATCH(ROWS($AH$2:AH963),$AH$2:$AH$1001,0),MATCH(COLUMNS($AO$1006:AW1006),$AO$1006:$BQ$1006,0)), HYPERLINK("#",""), HYPERLINK(CONCATENATE("#Metadata!", ADDRESS(INDEX($AJ$2:$AJ$1001,MATCH(ROWS($AH$2:AH963),$AH$2:$AH$1001,0),0), INDEX($AO$1004:$BQ$1004,1,MATCH(COLUMNS($AO$1006:AW1006),$AO$1006:$BQ$1006,0)))),"Fix")))</f>
        <v>#N/A</v>
      </c>
      <c r="K963" s="5" t="e">
        <f ca="1">IF(OR(INDEX($AI$2:$AI$1001,MATCH(ROWS($AH$2:AH963),$AH$2:$AH$1001,0),1)&gt;=100000,INDEX($AO$1005:$BQ$1005,1,MATCH(COLUMNS($AO$1006:AX1006),$AO$1006:$BQ$1006,0))&gt;=100000), " ",IF(INDEX($AO$2:$BQ$1001,MATCH(ROWS($AH$2:AH963),$AH$2:$AH$1001,0),MATCH(COLUMNS($AO$1006:AX1006),$AO$1006:$BQ$1006,0)), HYPERLINK("#",""), HYPERLINK(CONCATENATE("#Metadata!", ADDRESS(INDEX($AJ$2:$AJ$1001,MATCH(ROWS($AH$2:AH963),$AH$2:$AH$1001,0),0), INDEX($AO$1004:$BQ$1004,1,MATCH(COLUMNS($AO$1006:AX1006),$AO$1006:$BQ$1006,0)))),"Fix")))</f>
        <v>#N/A</v>
      </c>
      <c r="L963" s="5" t="e">
        <f ca="1">IF(OR(INDEX($AI$2:$AI$1001,MATCH(ROWS($AH$2:AH963),$AH$2:$AH$1001,0),1)&gt;=100000,INDEX($AO$1005:$BQ$1005,1,MATCH(COLUMNS($AO$1006:AY1006),$AO$1006:$BQ$1006,0))&gt;=100000), " ",IF(INDEX($AO$2:$BQ$1001,MATCH(ROWS($AH$2:AH963),$AH$2:$AH$1001,0),MATCH(COLUMNS($AO$1006:AY1006),$AO$1006:$BQ$1006,0)), HYPERLINK("#",""), HYPERLINK(CONCATENATE("#Metadata!", ADDRESS(INDEX($AJ$2:$AJ$1001,MATCH(ROWS($AH$2:AH963),$AH$2:$AH$1001,0),0), INDEX($AO$1004:$BQ$1004,1,MATCH(COLUMNS($AO$1006:AY1006),$AO$1006:$BQ$1006,0)))),"Fix")))</f>
        <v>#N/A</v>
      </c>
      <c r="M963" s="5" t="e">
        <f ca="1">IF(OR(INDEX($AI$2:$AI$1001,MATCH(ROWS($AH$2:AH963),$AH$2:$AH$1001,0),1)&gt;=100000,INDEX($AO$1005:$BQ$1005,1,MATCH(COLUMNS($AO$1006:AZ1006),$AO$1006:$BQ$1006,0))&gt;=100000), " ",IF(INDEX($AO$2:$BQ$1001,MATCH(ROWS($AH$2:AH963),$AH$2:$AH$1001,0),MATCH(COLUMNS($AO$1006:AZ1006),$AO$1006:$BQ$1006,0)), HYPERLINK("#",""), HYPERLINK(CONCATENATE("#Metadata!", ADDRESS(INDEX($AJ$2:$AJ$1001,MATCH(ROWS($AH$2:AH963),$AH$2:$AH$1001,0),0), INDEX($AO$1004:$BQ$1004,1,MATCH(COLUMNS($AO$1006:AZ1006),$AO$1006:$BQ$1006,0)))),"Fix")))</f>
        <v>#N/A</v>
      </c>
      <c r="N963" s="5" t="e">
        <f ca="1">IF(OR(INDEX($AI$2:$AI$1001,MATCH(ROWS($AH$2:AH963),$AH$2:$AH$1001,0),1)&gt;=100000,INDEX($AO$1005:$BQ$1005,1,MATCH(COLUMNS($AO$1006:BA1006),$AO$1006:$BQ$1006,0))&gt;=100000), " ",IF(INDEX($AO$2:$BQ$1001,MATCH(ROWS($AH$2:AH963),$AH$2:$AH$1001,0),MATCH(COLUMNS($AO$1006:BA1006),$AO$1006:$BQ$1006,0)), HYPERLINK("#",""), HYPERLINK(CONCATENATE("#Metadata!", ADDRESS(INDEX($AJ$2:$AJ$1001,MATCH(ROWS($AH$2:AH963),$AH$2:$AH$1001,0),0), INDEX($AO$1004:$BQ$1004,1,MATCH(COLUMNS($AO$1006:BA1006),$AO$1006:$BQ$1006,0)))),"Fix")))</f>
        <v>#N/A</v>
      </c>
      <c r="O963" s="5" t="e">
        <f ca="1">IF(OR(INDEX($AI$2:$AI$1001,MATCH(ROWS($AH$2:AH963),$AH$2:$AH$1001,0),1)&gt;=100000,INDEX($AO$1005:$BQ$1005,1,MATCH(COLUMNS($AO$1006:BB1006),$AO$1006:$BQ$1006,0))&gt;=100000), " ",IF(INDEX($AO$2:$BQ$1001,MATCH(ROWS($AH$2:AH963),$AH$2:$AH$1001,0),MATCH(COLUMNS($AO$1006:BB1006),$AO$1006:$BQ$1006,0)), HYPERLINK("#",""), HYPERLINK(CONCATENATE("#Metadata!", ADDRESS(INDEX($AJ$2:$AJ$1001,MATCH(ROWS($AH$2:AH963),$AH$2:$AH$1001,0),0), INDEX($AO$1004:$BQ$1004,1,MATCH(COLUMNS($AO$1006:BB1006),$AO$1006:$BQ$1006,0)))),"Fix")))</f>
        <v>#N/A</v>
      </c>
      <c r="P963" s="5" t="e">
        <f ca="1">IF(OR(INDEX($AI$2:$AI$1001,MATCH(ROWS($AH$2:AH963),$AH$2:$AH$1001,0),1)&gt;=100000,INDEX($AO$1005:$BQ$1005,1,MATCH(COLUMNS($AO$1006:BC1006),$AO$1006:$BQ$1006,0))&gt;=100000), " ",IF(INDEX($AO$2:$BQ$1001,MATCH(ROWS($AH$2:AH963),$AH$2:$AH$1001,0),MATCH(COLUMNS($AO$1006:BC1006),$AO$1006:$BQ$1006,0)), HYPERLINK("#",""), HYPERLINK(CONCATENATE("#Metadata!", ADDRESS(INDEX($AJ$2:$AJ$1001,MATCH(ROWS($AH$2:AH963),$AH$2:$AH$1001,0),0), INDEX($AO$1004:$BQ$1004,1,MATCH(COLUMNS($AO$1006:BC1006),$AO$1006:$BQ$1006,0)))),"Fix")))</f>
        <v>#N/A</v>
      </c>
      <c r="Q963" s="5" t="e">
        <f ca="1">IF(OR(INDEX($AI$2:$AI$1001,MATCH(ROWS($AH$2:AH963),$AH$2:$AH$1001,0),1)&gt;=100000,INDEX($AO$1005:$BQ$1005,1,MATCH(COLUMNS($AO$1006:BD1006),$AO$1006:$BQ$1006,0))&gt;=100000), " ",IF(INDEX($AO$2:$BQ$1001,MATCH(ROWS($AH$2:AH963),$AH$2:$AH$1001,0),MATCH(COLUMNS($AO$1006:BD1006),$AO$1006:$BQ$1006,0)), HYPERLINK("#",""), HYPERLINK(CONCATENATE("#Metadata!", ADDRESS(INDEX($AJ$2:$AJ$1001,MATCH(ROWS($AH$2:AH963),$AH$2:$AH$1001,0),0), INDEX($AO$1004:$BQ$1004,1,MATCH(COLUMNS($AO$1006:BD1006),$AO$1006:$BQ$1006,0)))),"Fix")))</f>
        <v>#N/A</v>
      </c>
      <c r="R963" s="5" t="e">
        <f ca="1">IF(OR(INDEX($AI$2:$AI$1001,MATCH(ROWS($AH$2:AH963),$AH$2:$AH$1001,0),1)&gt;=100000,INDEX($AO$1005:$BQ$1005,1,MATCH(COLUMNS($AO$1006:BE1006),$AO$1006:$BQ$1006,0))&gt;=100000), " ",IF(INDEX($AO$2:$BQ$1001,MATCH(ROWS($AH$2:AH963),$AH$2:$AH$1001,0),MATCH(COLUMNS($AO$1006:BE1006),$AO$1006:$BQ$1006,0)), HYPERLINK("#",""), HYPERLINK(CONCATENATE("#Metadata!", ADDRESS(INDEX($AJ$2:$AJ$1001,MATCH(ROWS($AH$2:AH963),$AH$2:$AH$1001,0),0), INDEX($AO$1004:$BQ$1004,1,MATCH(COLUMNS($AO$1006:BE1006),$AO$1006:$BQ$1006,0)))),"Fix")))</f>
        <v>#N/A</v>
      </c>
      <c r="S963" s="5" t="e">
        <f ca="1">IF(OR(INDEX($AI$2:$AI$1001,MATCH(ROWS($AH$2:AH963),$AH$2:$AH$1001,0),1)&gt;=100000,INDEX($AO$1005:$BQ$1005,1,MATCH(COLUMNS($AO$1006:BF1006),$AO$1006:$BQ$1006,0))&gt;=100000), " ",IF(INDEX($AO$2:$BQ$1001,MATCH(ROWS($AH$2:AH963),$AH$2:$AH$1001,0),MATCH(COLUMNS($AO$1006:BF1006),$AO$1006:$BQ$1006,0)), HYPERLINK("#",""), HYPERLINK(CONCATENATE("#Metadata!", ADDRESS(INDEX($AJ$2:$AJ$1001,MATCH(ROWS($AH$2:AH963),$AH$2:$AH$1001,0),0), INDEX($AO$1004:$BQ$1004,1,MATCH(COLUMNS($AO$1006:BF1006),$AO$1006:$BQ$1006,0)))),"Fix")))</f>
        <v>#N/A</v>
      </c>
      <c r="T963" s="5" t="e">
        <f ca="1">IF(OR(INDEX($AI$2:$AI$1001,MATCH(ROWS($AH$2:AH963),$AH$2:$AH$1001,0),1)&gt;=100000,INDEX($AO$1005:$BQ$1005,1,MATCH(COLUMNS($AO$1006:BG1006),$AO$1006:$BQ$1006,0))&gt;=100000), " ",IF(INDEX($AO$2:$BQ$1001,MATCH(ROWS($AH$2:AH963),$AH$2:$AH$1001,0),MATCH(COLUMNS($AO$1006:BG1006),$AO$1006:$BQ$1006,0)), HYPERLINK("#",""), HYPERLINK(CONCATENATE("#Metadata!", ADDRESS(INDEX($AJ$2:$AJ$1001,MATCH(ROWS($AH$2:AH963),$AH$2:$AH$1001,0),0), INDEX($AO$1004:$BQ$1004,1,MATCH(COLUMNS($AO$1006:BG1006),$AO$1006:$BQ$1006,0)))),"Fix")))</f>
        <v>#N/A</v>
      </c>
      <c r="U963" s="5" t="e">
        <f ca="1">IF(OR(INDEX($AI$2:$AI$1001,MATCH(ROWS($AH$2:AH963),$AH$2:$AH$1001,0),1)&gt;=100000,INDEX($AO$1005:$BQ$1005,1,MATCH(COLUMNS($AO$1006:BH1006),$AO$1006:$BQ$1006,0))&gt;=100000), " ",IF(INDEX($AO$2:$BQ$1001,MATCH(ROWS($AH$2:AH963),$AH$2:$AH$1001,0),MATCH(COLUMNS($AO$1006:BH1006),$AO$1006:$BQ$1006,0)), HYPERLINK("#",""), HYPERLINK(CONCATENATE("#Metadata!", ADDRESS(INDEX($AJ$2:$AJ$1001,MATCH(ROWS($AH$2:AH963),$AH$2:$AH$1001,0),0), INDEX($AO$1004:$BQ$1004,1,MATCH(COLUMNS($AO$1006:BH1006),$AO$1006:$BQ$1006,0)))),"Fix")))</f>
        <v>#N/A</v>
      </c>
      <c r="V963" s="5" t="e">
        <f ca="1">IF(OR(INDEX($AI$2:$AI$1001,MATCH(ROWS($AH$2:AH963),$AH$2:$AH$1001,0),1)&gt;=100000,INDEX($AO$1005:$BQ$1005,1,MATCH(COLUMNS($AO$1006:BI1006),$AO$1006:$BQ$1006,0))&gt;=100000), " ",IF(INDEX($AO$2:$BQ$1001,MATCH(ROWS($AH$2:AH963),$AH$2:$AH$1001,0),MATCH(COLUMNS($AO$1006:BI1006),$AO$1006:$BQ$1006,0)), HYPERLINK("#",""), HYPERLINK(CONCATENATE("#Metadata!", ADDRESS(INDEX($AJ$2:$AJ$1001,MATCH(ROWS($AH$2:AH963),$AH$2:$AH$1001,0),0), INDEX($AO$1004:$BQ$1004,1,MATCH(COLUMNS($AO$1006:BI1006),$AO$1006:$BQ$1006,0)))),"Fix")))</f>
        <v>#N/A</v>
      </c>
      <c r="W963" s="5" t="e">
        <f ca="1">IF(OR(INDEX($AI$2:$AI$1001,MATCH(ROWS($AH$2:AH963),$AH$2:$AH$1001,0),1)&gt;=100000,INDEX($AO$1005:$BQ$1005,1,MATCH(COLUMNS($AO$1006:BJ1006),$AO$1006:$BQ$1006,0))&gt;=100000), " ",IF(INDEX($AO$2:$BQ$1001,MATCH(ROWS($AH$2:AH963),$AH$2:$AH$1001,0),MATCH(COLUMNS($AO$1006:BJ1006),$AO$1006:$BQ$1006,0)), HYPERLINK("#",""), HYPERLINK(CONCATENATE("#Metadata!", ADDRESS(INDEX($AJ$2:$AJ$1001,MATCH(ROWS($AH$2:AH963),$AH$2:$AH$1001,0),0), INDEX($AO$1004:$BQ$1004,1,MATCH(COLUMNS($AO$1006:BJ1006),$AO$1006:$BQ$1006,0)))),"Fix")))</f>
        <v>#N/A</v>
      </c>
      <c r="X963" s="5" t="e">
        <f ca="1">IF(OR(INDEX($AI$2:$AI$1001,MATCH(ROWS($AH$2:AH963),$AH$2:$AH$1001,0),1)&gt;=100000,INDEX($AO$1005:$BQ$1005,1,MATCH(COLUMNS($AO$1006:BK1006),$AO$1006:$BQ$1006,0))&gt;=100000), " ",IF(INDEX($AO$2:$BQ$1001,MATCH(ROWS($AH$2:AH963),$AH$2:$AH$1001,0),MATCH(COLUMNS($AO$1006:BK1006),$AO$1006:$BQ$1006,0)), HYPERLINK("#",""), HYPERLINK(CONCATENATE("#Metadata!", ADDRESS(INDEX($AJ$2:$AJ$1001,MATCH(ROWS($AH$2:AH963),$AH$2:$AH$1001,0),0), INDEX($AO$1004:$BQ$1004,1,MATCH(COLUMNS($AO$1006:BK1006),$AO$1006:$BQ$1006,0)))),"Fix")))</f>
        <v>#N/A</v>
      </c>
      <c r="Y963" s="5" t="e">
        <f ca="1">IF(OR(INDEX($AI$2:$AI$1001,MATCH(ROWS($AH$2:AH963),$AH$2:$AH$1001,0),1)&gt;=100000,INDEX($AO$1005:$BQ$1005,1,MATCH(COLUMNS($AO$1006:BL1006),$AO$1006:$BQ$1006,0))&gt;=100000), " ",IF(INDEX($AO$2:$BQ$1001,MATCH(ROWS($AH$2:AH963),$AH$2:$AH$1001,0),MATCH(COLUMNS($AO$1006:BL1006),$AO$1006:$BQ$1006,0)), HYPERLINK("#",""), HYPERLINK(CONCATENATE("#Metadata!", ADDRESS(INDEX($AJ$2:$AJ$1001,MATCH(ROWS($AH$2:AH963),$AH$2:$AH$1001,0),0), INDEX($AO$1004:$BQ$1004,1,MATCH(COLUMNS($AO$1006:BL1006),$AO$1006:$BQ$1006,0)))),"Fix")))</f>
        <v>#N/A</v>
      </c>
      <c r="Z963" s="5" t="e">
        <f ca="1">IF(OR(INDEX($AI$2:$AI$1001,MATCH(ROWS($AH$2:AH963),$AH$2:$AH$1001,0),1)&gt;=100000,INDEX($AO$1005:$BQ$1005,1,MATCH(COLUMNS($AO$1006:BM1006),$AO$1006:$BQ$1006,0))&gt;=100000), " ",IF(INDEX($AO$2:$BQ$1001,MATCH(ROWS($AH$2:AH963),$AH$2:$AH$1001,0),MATCH(COLUMNS($AO$1006:BM1006),$AO$1006:$BQ$1006,0)), HYPERLINK("#",""), HYPERLINK(CONCATENATE("#Metadata!", ADDRESS(INDEX($AJ$2:$AJ$1001,MATCH(ROWS($AH$2:AH963),$AH$2:$AH$1001,0),0), INDEX($AO$1004:$BQ$1004,1,MATCH(COLUMNS($AO$1006:BM1006),$AO$1006:$BQ$1006,0)))),"Fix")))</f>
        <v>#N/A</v>
      </c>
      <c r="AA963" s="5" t="e">
        <f ca="1">IF(OR(INDEX($AI$2:$AI$1001,MATCH(ROWS($AH$2:AH963),$AH$2:$AH$1001,0),1)&gt;=100000,INDEX($AO$1005:$BQ$1005,1,MATCH(COLUMNS($AO$1006:BN1006),$AO$1006:$BQ$1006,0))&gt;=100000), " ",IF(INDEX($AO$2:$BQ$1001,MATCH(ROWS($AH$2:AH963),$AH$2:$AH$1001,0),MATCH(COLUMNS($AO$1006:BN1006),$AO$1006:$BQ$1006,0)), HYPERLINK("#",""), HYPERLINK(CONCATENATE("#Metadata!", ADDRESS(INDEX($AJ$2:$AJ$1001,MATCH(ROWS($AH$2:AH963),$AH$2:$AH$1001,0),0), INDEX($AO$1004:$BQ$1004,1,MATCH(COLUMNS($AO$1006:BN1006),$AO$1006:$BQ$1006,0)))),"Fix")))</f>
        <v>#N/A</v>
      </c>
      <c r="AB963" s="5" t="e">
        <f ca="1">IF(OR(INDEX($AI$2:$AI$1001,MATCH(ROWS($AH$2:AH963),$AH$2:$AH$1001,0),1)&gt;=100000,INDEX($AO$1005:$BQ$1005,1,MATCH(COLUMNS($AO$1006:BO1006),$AO$1006:$BQ$1006,0))&gt;=100000), " ",IF(INDEX($AO$2:$BQ$1001,MATCH(ROWS($AH$2:AH963),$AH$2:$AH$1001,0),MATCH(COLUMNS($AO$1006:BO1006),$AO$1006:$BQ$1006,0)), HYPERLINK("#",""), HYPERLINK(CONCATENATE("#Metadata!", ADDRESS(INDEX($AJ$2:$AJ$1001,MATCH(ROWS($AH$2:AH963),$AH$2:$AH$1001,0),0), INDEX($AO$1004:$BQ$1004,1,MATCH(COLUMNS($AO$1006:BO1006),$AO$1006:$BQ$1006,0)))),"Fix")))</f>
        <v>#N/A</v>
      </c>
      <c r="AC963" s="5" t="e">
        <f ca="1">IF(OR(INDEX($AI$2:$AI$1001,MATCH(ROWS($AH$2:AH963),$AH$2:$AH$1001,0),1)&gt;=100000,INDEX($AO$1005:$BQ$1005,1,MATCH(COLUMNS($AO$1006:BP1006),$AO$1006:$BQ$1006,0))&gt;=100000), " ",IF(INDEX($AO$2:$BQ$1001,MATCH(ROWS($AH$2:AH963),$AH$2:$AH$1001,0),MATCH(COLUMNS($AO$1006:BP1006),$AO$1006:$BQ$1006,0)), HYPERLINK("#",""), HYPERLINK(CONCATENATE("#Metadata!", ADDRESS(INDEX($AJ$2:$AJ$1001,MATCH(ROWS($AH$2:AH963),$AH$2:$AH$1001,0),0), INDEX($AO$1004:$BQ$1004,1,MATCH(COLUMNS($AO$1006:BP1006),$AO$1006:$BQ$1006,0)))),"Fix")))</f>
        <v>#N/A</v>
      </c>
      <c r="AD963" s="5" t="e">
        <f ca="1">IF(OR(INDEX($AI$2:$AI$1001,MATCH(ROWS($AH$2:AH963),$AH$2:$AH$1001,0),1)&gt;=100000,INDEX($AO$1005:$BQ$1005,1,MATCH(COLUMNS($AO$1006:BQ1006),$AO$1006:$BQ$1006,0))&gt;=100000), " ",IF(INDEX($AO$2:$BQ$1001,MATCH(ROWS($AH$2:AH963),$AH$2:$AH$1001,0),MATCH(COLUMNS($AO$1006:BQ1006),$AO$1006:$BQ$1006,0)), HYPERLINK("#",""), HYPERLINK(CONCATENATE("#Metadata!", ADDRESS(INDEX($AJ$2:$AJ$1001,MATCH(ROWS($AH$2:AH963),$AH$2:$AH$1001,0),0), INDEX($AO$1004:$BQ$1004,1,MATCH(COLUMNS($AO$1006:BQ1006),$AO$1006:$BQ$1006,0)))),"Fix")))</f>
        <v>#REF!</v>
      </c>
      <c r="AH963">
        <f ca="1"/>
        <v>960</v>
      </c>
      <c r="AI963">
        <v>100963</v>
      </c>
      <c r="AJ963">
        <v>963</v>
      </c>
      <c r="AK963" t="b">
        <f t="shared" si="15"/>
        <v>1</v>
      </c>
      <c r="AL963" t="b">
        <f>COUNTBLANK(Metadata!B963:AD963)=COLUMNS(Metadata!B963:AD963)</f>
        <v>1</v>
      </c>
      <c r="AM963" t="str">
        <v/>
      </c>
      <c r="AO963" t="b">
        <f ca="1">AND(IF(Metadata!B963="",FALSE,TRUE),COUNTIF(Metadata!B:B, Metadata!B963) = 1,NOT(ISERROR(SUMPRODUCT(SEARCH(MID(Metadata!B963,ROW(INDIRECT("1:"&amp;LEN(Metadata!B963))), 1),"0123456789abcdefghijklmnopqrstuvwxyzABCDEFGHIJKLMNOPQRSTUVWXYZ.")))))</f>
        <v>0</v>
      </c>
      <c r="AP963" t="b">
        <f>IF(Metadata!C963="",FALSE,TRUE)</f>
        <v>0</v>
      </c>
      <c r="AQ963" t="b">
        <f>IF(Metadata!D963="",FALSE,TRUE)</f>
        <v>0</v>
      </c>
      <c r="AR963" t="b">
        <f ca="1">OR(AND(IF(Metadata!E963="",FALSE,TRUE),OR(EXACT(Metadata!E963,"not collected"),EXACT(Metadata!E963,"not provided"),EXACT(Metadata!E963,"restricted access"))),AND(IF(Metadata!E963="",FALSE,TRUE),AND(AND(IFERROR(INT(LEFT(Metadata!E963,4))&gt;1900,FALSE),IFERROR(INT(LEFT(Metadata!E963,4))&lt;=YEAR(NOW()),FALSE)), OR(MID(Metadata!E963,5,1)="", AND(AND(MID(Metadata!E963,5,1)="-",IFERROR(INT(MID(Metadata!E963,6,1))&gt;=0,FALSE),IFERROR(INT(MID(Metadata!E963,6,1))&lt;=1,FALSE),NOT(MID(Metadata!E963,7,1)=""),IFERROR(INT(MID(Metadata!E963,6,2))&gt;=1,FALSE),IFERROR(INT(MID(Metadata!E963,6,2))&lt;=12,FALSE)), OR(MID(Metadata!E963,8,1)="", AND(AND(MID(Metadata!E963,8,1)="-",IFERROR(INT(MID(Metadata!E963,9,1))&gt;=0,FALSE),IFERROR(INT(MID(Metadata!E963,9,1))&lt;=3,FALSE),NOT(MID(Metadata!E963,10,1)=""),IFERROR(INT(MID(Metadata!E963,9,2))&gt;=1,FALSE),IFERROR(INT(MID(Metadata!E963,9,2))&lt;=31,FALSE)), OR(MID(Metadata!E963,11,1)="", AND(AND(MID(Metadata!E963,11,1)=" ",IFERROR(INT(MID(Metadata!E963,12,1))&gt;=0,FALSE),IFERROR(INT(MID(Metadata!E963,12,1))&lt;=2,FALSE),NOT(MID(Metadata!E963,13,1)=""),IFERROR(INT(MID(Metadata!E963,12,2))&gt;=0,FALSE),IFERROR(INT(MID(Metadata!E963,12,2))&lt;=23,FALSE)), OR(MID(Metadata!E963,14,1)="", AND(AND(MID(Metadata!E963,14,1)=":",IFERROR(INT(MID(Metadata!E963,15,1))&gt;=0,FALSE),IFERROR(INT(MID(Metadata!E963,15,1))&lt;=5,FALSE),NOT(MID(Metadata!E963,16,1)=""),IFERROR(INT(MID(Metadata!E963,15,2))&gt;=0,FALSE),IFERROR(INT(MID(Metadata!E963,15,2))&lt;=59,FALSE)), OR(MID(Metadata!E963,17,1)="", AND(AND(MID(Metadata!E963,17,1)=":",IFERROR(INT(MID(Metadata!E963,18,1))&gt;=0,FALSE),IFERROR(INT(MID(Metadata!E963,18,1))&lt;=5,FALSE),NOT(MID(Metadata!E963,19,1)=""),IFERROR(INT(MID(Metadata!E963,18,2))&gt;=0,FALSE),IFERROR(INT(MID(Metadata!E963,18,2))&lt;=59,FALSE)), LEN(Metadata!E963)&lt;=19)))))))))))))</f>
        <v>0</v>
      </c>
      <c r="AS963" t="b">
        <f>IF(Metadata!F963="",FALSE,TRUE)</f>
        <v>0</v>
      </c>
      <c r="AT963" t="b">
        <f>OR(AND(IF(Metadata!G963="",FALSE,TRUE),OR(EXACT(Metadata!G963,"not collected"),EXACT(Metadata!G963,"not provided"))),AND(IF(Metadata!G963="",FALSE,TRUE),OR(EXACT(Metadata!G963,"TRUE"),EXACT(Metadata!G963,"FALSE"))))</f>
        <v>0</v>
      </c>
      <c r="AU963" t="b">
        <f>OR(AND(IF(Metadata!H963="",FALSE,TRUE),OR(EXACT(Metadata!H963,"not collected"),EXACT(Metadata!H963,"not provided"),EXACT(Metadata!H963,"restricted access"))),AND(IF(Metadata!H963="",FALSE,ISNUMBER(VALUE(Metadata!H963))),Metadata!H963&gt;=-413))</f>
        <v>0</v>
      </c>
      <c r="AV963" t="b">
        <f>AND(IF(Metadata!I963="",FALSE,TRUE),EXACT(Metadata!I963,"meters"))</f>
        <v>0</v>
      </c>
      <c r="AW963" t="b">
        <f>AND(IF(Metadata!J963="",FALSE,TRUE),EXACT(Metadata!J963,"free-living"))</f>
        <v>0</v>
      </c>
      <c r="AX963" t="b">
        <f>AND(IF(Metadata!K963="",FALSE,TRUE),OR(EXACT(Metadata!K963,"saline"),EXACT(Metadata!K963,"non-saline")))</f>
        <v>0</v>
      </c>
      <c r="AY963" t="b">
        <f>AND(IF(Metadata!L963="",FALSE,TRUE),OR(EXACT(Metadata!L963,"sub-surface (non-saline)"),EXACT(Metadata!L963,"surface (non-saline)"),EXACT(Metadata!L963,"water (non-saline)"),EXACT(Metadata!L963,"soil (non-saline)"),EXACT(Metadata!L963,"aerosol (non-saline)"),EXACT(Metadata!L963,"sediment (non-saline)"),EXACT(Metadata!L963,"surface (saline)"),EXACT(Metadata!L963,"water (saline)"),EXACT(Metadata!L963,"hypersaline (saline)"),EXACT(Metadata!L963,"aerosol (saline)"),EXACT(Metadata!L963,"sediment (saline)")))</f>
        <v>0</v>
      </c>
      <c r="AZ963" t="b">
        <f>IF(Metadata!M963="",FALSE,TRUE)</f>
        <v>0</v>
      </c>
      <c r="BA963" t="b">
        <f>IF(Metadata!N963="",FALSE,TRUE)</f>
        <v>0</v>
      </c>
      <c r="BB963" t="b">
        <f>IF(Metadata!O963="",FALSE,TRUE)</f>
        <v>0</v>
      </c>
      <c r="BC963" t="b">
        <f>AND(IF(Metadata!P963="",FALSE,TRUE),OR(EXACT(Metadata!P963,"air"),EXACT(Metadata!P963,"microbial mat/biofilm"),EXACT(Metadata!P963,"misc environment"),EXACT(Metadata!P963,"sediment"),EXACT(Metadata!P963,"soil"),EXACT(Metadata!P963,"wastewater/sludge"),EXACT(Metadata!P963,"water")))</f>
        <v>0</v>
      </c>
      <c r="BD963" t="b">
        <f>IF(Metadata!Q963="",FALSE,TRUE)</f>
        <v>0</v>
      </c>
      <c r="BE963" t="b">
        <f>IF(Metadata!R963="",FALSE,TRUE)</f>
        <v>0</v>
      </c>
      <c r="BF963" t="b">
        <f>OR(AND(IF(Metadata!S963="",FALSE,TRUE),OR(EXACT(Metadata!S963,"not collected"),EXACT(Metadata!S963,"not provided"),EXACT(Metadata!S963,"restricted access"))),AND(IF(Metadata!S963="",FALSE,ISNUMBER(VALUE(Metadata!S963))),Metadata!S963&gt;=-90,Metadata!S963&lt;=90))</f>
        <v>0</v>
      </c>
      <c r="BG963" t="b">
        <f>AND(IF(Metadata!T963="",FALSE,TRUE),EXACT(Metadata!T963,"Decimal degrees"))</f>
        <v>0</v>
      </c>
      <c r="BH963" t="b">
        <f>OR(AND(IF(Metadata!U963="",FALSE,TRUE),OR(EXACT(Metadata!U963,"not applicable"),EXACT(Metadata!U963,"not collected"))),IF(Metadata!U963="",FALSE,TRUE))</f>
        <v>0</v>
      </c>
      <c r="BI963" t="b">
        <f>OR(AND(IF(Metadata!V963="",FALSE,TRUE),OR(EXACT(Metadata!V963,"not collected"),EXACT(Metadata!V963,"not provided"),EXACT(Metadata!V963,"restricted access"))),AND(IF(Metadata!V963="",FALSE,ISNUMBER(VALUE(Metadata!V963))),Metadata!V963&gt;=-180,Metadata!V963&lt;=180))</f>
        <v>0</v>
      </c>
      <c r="BJ963" t="b">
        <f>AND(IF(Metadata!W963="",FALSE,TRUE),EXACT(Metadata!W963,"Decimal degrees"))</f>
        <v>0</v>
      </c>
      <c r="BK963" t="b">
        <f>IF(Metadata!X963="",FALSE,TRUE)</f>
        <v>0</v>
      </c>
      <c r="BL963" t="b">
        <f>OR(AND(IF(Metadata!Y963="",FALSE,TRUE),OR(EXACT(Metadata!Y963,"not collected"),EXACT(Metadata!Y963,"not provided"),EXACT(Metadata!Y963,"restricted access"))),AND(IF(Metadata!Y963="",FALSE,TRUE),OR(EXACT(Metadata!Y963,"TRUE"),EXACT(Metadata!Y963,"FALSE"))))</f>
        <v>0</v>
      </c>
      <c r="BM963" t="b">
        <f>OR(AND(IF(Metadata!Z963="",FALSE,TRUE),EXACT(Metadata!Z963,"not applicable")),AND(IF(Metadata!Z963="",FALSE,TRUE),OR(EXACT(Metadata!Z963,"beer"),EXACT(Metadata!Z963,"cheese"),EXACT(Metadata!Z963,"fresh water"),EXACT(Metadata!Z963,"marine sediment"),EXACT(Metadata!Z963,"sea water"),EXACT(Metadata!Z963,"sediment"),EXACT(Metadata!Z963,"soil"),EXACT(Metadata!Z963,"waste water"))))</f>
        <v>0</v>
      </c>
      <c r="BN963" t="b">
        <f>AND(IF(Metadata!AA963="",FALSE,TRUE),EXACT(Metadata!AA963,"metagenome"))</f>
        <v>0</v>
      </c>
      <c r="BO963" t="b">
        <f>AND(IF(Metadata!AB963="",FALSE,TRUE),EXACT(Metadata!AB963,"256318"))</f>
        <v>0</v>
      </c>
      <c r="BP963" t="b">
        <f>IF(Metadata!AC963="",FALSE,TRUE)</f>
        <v>0</v>
      </c>
      <c r="BQ963" t="b">
        <f>IF(Metadata!AD963="",FALSE,TRUE)</f>
        <v>0</v>
      </c>
    </row>
    <row r="964" spans="1:69" x14ac:dyDescent="0.2">
      <c r="A964" s="4" t="e">
        <f ca="1">IF(B964=" "," ",HYPERLINK(CONCATENATE("#metadata!",ADDRESS(INDEX($AJ$2:$AJ$1001,MATCH(ROWS($AH$2:AH964),$AH$2:$AH$1001,0),0),2)),INDEX($AM$2:$AM$1001,MATCH(ROWS($AH$2:AH964),$AH$2:$AH$1001,0),0)))</f>
        <v>#N/A</v>
      </c>
      <c r="B964" s="5" t="e">
        <f ca="1">IF(OR(INDEX($AI$2:$AI$1001,MATCH(ROWS($AH$2:AH964),$AH$2:$AH$1001,0),1)&gt;=100000,INDEX($AO$1005:$BQ$1005,1,MATCH(COLUMNS($AO$1006:AO1006),$AO$1006:$BQ$1006,0))&gt;=100000), " ",IF(INDEX($AO$2:$BQ$1001,MATCH(ROWS($AH$2:AH964),$AH$2:$AH$1001,0),MATCH(COLUMNS($AO$1006:AO1006),$AO$1006:$BQ$1006,0)), HYPERLINK("#",""), HYPERLINK(CONCATENATE("#Metadata!", ADDRESS(INDEX($AJ$2:$AJ$1001,MATCH(ROWS($AH$2:AH964),$AH$2:$AH$1001,0),0), INDEX($AO$1004:$BQ$1004,1,MATCH(COLUMNS($AO$1006:AO1006),$AO$1006:$BQ$1006,0)))),"Fix")))</f>
        <v>#N/A</v>
      </c>
      <c r="C964" s="5" t="e">
        <f ca="1">IF(OR(INDEX($AI$2:$AI$1001,MATCH(ROWS($AH$2:AH964),$AH$2:$AH$1001,0),1)&gt;=100000,INDEX($AO$1005:$BQ$1005,1,MATCH(COLUMNS($AO$1006:AP1006),$AO$1006:$BQ$1006,0))&gt;=100000), " ",IF(INDEX($AO$2:$BQ$1001,MATCH(ROWS($AH$2:AH964),$AH$2:$AH$1001,0),MATCH(COLUMNS($AO$1006:AP1006),$AO$1006:$BQ$1006,0)), HYPERLINK("#",""), HYPERLINK(CONCATENATE("#Metadata!", ADDRESS(INDEX($AJ$2:$AJ$1001,MATCH(ROWS($AH$2:AH964),$AH$2:$AH$1001,0),0), INDEX($AO$1004:$BQ$1004,1,MATCH(COLUMNS($AO$1006:AP1006),$AO$1006:$BQ$1006,0)))),"Fix")))</f>
        <v>#N/A</v>
      </c>
      <c r="D964" s="5" t="e">
        <f ca="1">IF(OR(INDEX($AI$2:$AI$1001,MATCH(ROWS($AH$2:AH964),$AH$2:$AH$1001,0),1)&gt;=100000,INDEX($AO$1005:$BQ$1005,1,MATCH(COLUMNS($AO$1006:AQ1006),$AO$1006:$BQ$1006,0))&gt;=100000), " ",IF(INDEX($AO$2:$BQ$1001,MATCH(ROWS($AH$2:AH964),$AH$2:$AH$1001,0),MATCH(COLUMNS($AO$1006:AQ1006),$AO$1006:$BQ$1006,0)), HYPERLINK("#",""), HYPERLINK(CONCATENATE("#Metadata!", ADDRESS(INDEX($AJ$2:$AJ$1001,MATCH(ROWS($AH$2:AH964),$AH$2:$AH$1001,0),0), INDEX($AO$1004:$BQ$1004,1,MATCH(COLUMNS($AO$1006:AQ1006),$AO$1006:$BQ$1006,0)))),"Fix")))</f>
        <v>#N/A</v>
      </c>
      <c r="E964" s="5" t="e">
        <f ca="1">IF(OR(INDEX($AI$2:$AI$1001,MATCH(ROWS($AH$2:AH964),$AH$2:$AH$1001,0),1)&gt;=100000,INDEX($AO$1005:$BQ$1005,1,MATCH(COLUMNS($AO$1006:AR1006),$AO$1006:$BQ$1006,0))&gt;=100000), " ",IF(INDEX($AO$2:$BQ$1001,MATCH(ROWS($AH$2:AH964),$AH$2:$AH$1001,0),MATCH(COLUMNS($AO$1006:AR1006),$AO$1006:$BQ$1006,0)), HYPERLINK("#",""), HYPERLINK(CONCATENATE("#Metadata!", ADDRESS(INDEX($AJ$2:$AJ$1001,MATCH(ROWS($AH$2:AH964),$AH$2:$AH$1001,0),0), INDEX($AO$1004:$BQ$1004,1,MATCH(COLUMNS($AO$1006:AR1006),$AO$1006:$BQ$1006,0)))),"Fix")))</f>
        <v>#N/A</v>
      </c>
      <c r="F964" s="5" t="e">
        <f ca="1">IF(OR(INDEX($AI$2:$AI$1001,MATCH(ROWS($AH$2:AH964),$AH$2:$AH$1001,0),1)&gt;=100000,INDEX($AO$1005:$BQ$1005,1,MATCH(COLUMNS($AO$1006:AS1006),$AO$1006:$BQ$1006,0))&gt;=100000), " ",IF(INDEX($AO$2:$BQ$1001,MATCH(ROWS($AH$2:AH964),$AH$2:$AH$1001,0),MATCH(COLUMNS($AO$1006:AS1006),$AO$1006:$BQ$1006,0)), HYPERLINK("#",""), HYPERLINK(CONCATENATE("#Metadata!", ADDRESS(INDEX($AJ$2:$AJ$1001,MATCH(ROWS($AH$2:AH964),$AH$2:$AH$1001,0),0), INDEX($AO$1004:$BQ$1004,1,MATCH(COLUMNS($AO$1006:AS1006),$AO$1006:$BQ$1006,0)))),"Fix")))</f>
        <v>#N/A</v>
      </c>
      <c r="G964" s="5" t="e">
        <f ca="1">IF(OR(INDEX($AI$2:$AI$1001,MATCH(ROWS($AH$2:AH964),$AH$2:$AH$1001,0),1)&gt;=100000,INDEX($AO$1005:$BQ$1005,1,MATCH(COLUMNS($AO$1006:AT1006),$AO$1006:$BQ$1006,0))&gt;=100000), " ",IF(INDEX($AO$2:$BQ$1001,MATCH(ROWS($AH$2:AH964),$AH$2:$AH$1001,0),MATCH(COLUMNS($AO$1006:AT1006),$AO$1006:$BQ$1006,0)), HYPERLINK("#",""), HYPERLINK(CONCATENATE("#Metadata!", ADDRESS(INDEX($AJ$2:$AJ$1001,MATCH(ROWS($AH$2:AH964),$AH$2:$AH$1001,0),0), INDEX($AO$1004:$BQ$1004,1,MATCH(COLUMNS($AO$1006:AT1006),$AO$1006:$BQ$1006,0)))),"Fix")))</f>
        <v>#N/A</v>
      </c>
      <c r="H964" s="5" t="e">
        <f ca="1">IF(OR(INDEX($AI$2:$AI$1001,MATCH(ROWS($AH$2:AH964),$AH$2:$AH$1001,0),1)&gt;=100000,INDEX($AO$1005:$BQ$1005,1,MATCH(COLUMNS($AO$1006:AU1006),$AO$1006:$BQ$1006,0))&gt;=100000), " ",IF(INDEX($AO$2:$BQ$1001,MATCH(ROWS($AH$2:AH964),$AH$2:$AH$1001,0),MATCH(COLUMNS($AO$1006:AU1006),$AO$1006:$BQ$1006,0)), HYPERLINK("#",""), HYPERLINK(CONCATENATE("#Metadata!", ADDRESS(INDEX($AJ$2:$AJ$1001,MATCH(ROWS($AH$2:AH964),$AH$2:$AH$1001,0),0), INDEX($AO$1004:$BQ$1004,1,MATCH(COLUMNS($AO$1006:AU1006),$AO$1006:$BQ$1006,0)))),"Fix")))</f>
        <v>#N/A</v>
      </c>
      <c r="I964" s="5" t="e">
        <f ca="1">IF(OR(INDEX($AI$2:$AI$1001,MATCH(ROWS($AH$2:AH964),$AH$2:$AH$1001,0),1)&gt;=100000,INDEX($AO$1005:$BQ$1005,1,MATCH(COLUMNS($AO$1006:AV1006),$AO$1006:$BQ$1006,0))&gt;=100000), " ",IF(INDEX($AO$2:$BQ$1001,MATCH(ROWS($AH$2:AH964),$AH$2:$AH$1001,0),MATCH(COLUMNS($AO$1006:AV1006),$AO$1006:$BQ$1006,0)), HYPERLINK("#",""), HYPERLINK(CONCATENATE("#Metadata!", ADDRESS(INDEX($AJ$2:$AJ$1001,MATCH(ROWS($AH$2:AH964),$AH$2:$AH$1001,0),0), INDEX($AO$1004:$BQ$1004,1,MATCH(COLUMNS($AO$1006:AV1006),$AO$1006:$BQ$1006,0)))),"Fix")))</f>
        <v>#N/A</v>
      </c>
      <c r="J964" s="5" t="e">
        <f ca="1">IF(OR(INDEX($AI$2:$AI$1001,MATCH(ROWS($AH$2:AH964),$AH$2:$AH$1001,0),1)&gt;=100000,INDEX($AO$1005:$BQ$1005,1,MATCH(COLUMNS($AO$1006:AW1006),$AO$1006:$BQ$1006,0))&gt;=100000), " ",IF(INDEX($AO$2:$BQ$1001,MATCH(ROWS($AH$2:AH964),$AH$2:$AH$1001,0),MATCH(COLUMNS($AO$1006:AW1006),$AO$1006:$BQ$1006,0)), HYPERLINK("#",""), HYPERLINK(CONCATENATE("#Metadata!", ADDRESS(INDEX($AJ$2:$AJ$1001,MATCH(ROWS($AH$2:AH964),$AH$2:$AH$1001,0),0), INDEX($AO$1004:$BQ$1004,1,MATCH(COLUMNS($AO$1006:AW1006),$AO$1006:$BQ$1006,0)))),"Fix")))</f>
        <v>#N/A</v>
      </c>
      <c r="K964" s="5" t="e">
        <f ca="1">IF(OR(INDEX($AI$2:$AI$1001,MATCH(ROWS($AH$2:AH964),$AH$2:$AH$1001,0),1)&gt;=100000,INDEX($AO$1005:$BQ$1005,1,MATCH(COLUMNS($AO$1006:AX1006),$AO$1006:$BQ$1006,0))&gt;=100000), " ",IF(INDEX($AO$2:$BQ$1001,MATCH(ROWS($AH$2:AH964),$AH$2:$AH$1001,0),MATCH(COLUMNS($AO$1006:AX1006),$AO$1006:$BQ$1006,0)), HYPERLINK("#",""), HYPERLINK(CONCATENATE("#Metadata!", ADDRESS(INDEX($AJ$2:$AJ$1001,MATCH(ROWS($AH$2:AH964),$AH$2:$AH$1001,0),0), INDEX($AO$1004:$BQ$1004,1,MATCH(COLUMNS($AO$1006:AX1006),$AO$1006:$BQ$1006,0)))),"Fix")))</f>
        <v>#N/A</v>
      </c>
      <c r="L964" s="5" t="e">
        <f ca="1">IF(OR(INDEX($AI$2:$AI$1001,MATCH(ROWS($AH$2:AH964),$AH$2:$AH$1001,0),1)&gt;=100000,INDEX($AO$1005:$BQ$1005,1,MATCH(COLUMNS($AO$1006:AY1006),$AO$1006:$BQ$1006,0))&gt;=100000), " ",IF(INDEX($AO$2:$BQ$1001,MATCH(ROWS($AH$2:AH964),$AH$2:$AH$1001,0),MATCH(COLUMNS($AO$1006:AY1006),$AO$1006:$BQ$1006,0)), HYPERLINK("#",""), HYPERLINK(CONCATENATE("#Metadata!", ADDRESS(INDEX($AJ$2:$AJ$1001,MATCH(ROWS($AH$2:AH964),$AH$2:$AH$1001,0),0), INDEX($AO$1004:$BQ$1004,1,MATCH(COLUMNS($AO$1006:AY1006),$AO$1006:$BQ$1006,0)))),"Fix")))</f>
        <v>#N/A</v>
      </c>
      <c r="M964" s="5" t="e">
        <f ca="1">IF(OR(INDEX($AI$2:$AI$1001,MATCH(ROWS($AH$2:AH964),$AH$2:$AH$1001,0),1)&gt;=100000,INDEX($AO$1005:$BQ$1005,1,MATCH(COLUMNS($AO$1006:AZ1006),$AO$1006:$BQ$1006,0))&gt;=100000), " ",IF(INDEX($AO$2:$BQ$1001,MATCH(ROWS($AH$2:AH964),$AH$2:$AH$1001,0),MATCH(COLUMNS($AO$1006:AZ1006),$AO$1006:$BQ$1006,0)), HYPERLINK("#",""), HYPERLINK(CONCATENATE("#Metadata!", ADDRESS(INDEX($AJ$2:$AJ$1001,MATCH(ROWS($AH$2:AH964),$AH$2:$AH$1001,0),0), INDEX($AO$1004:$BQ$1004,1,MATCH(COLUMNS($AO$1006:AZ1006),$AO$1006:$BQ$1006,0)))),"Fix")))</f>
        <v>#N/A</v>
      </c>
      <c r="N964" s="5" t="e">
        <f ca="1">IF(OR(INDEX($AI$2:$AI$1001,MATCH(ROWS($AH$2:AH964),$AH$2:$AH$1001,0),1)&gt;=100000,INDEX($AO$1005:$BQ$1005,1,MATCH(COLUMNS($AO$1006:BA1006),$AO$1006:$BQ$1006,0))&gt;=100000), " ",IF(INDEX($AO$2:$BQ$1001,MATCH(ROWS($AH$2:AH964),$AH$2:$AH$1001,0),MATCH(COLUMNS($AO$1006:BA1006),$AO$1006:$BQ$1006,0)), HYPERLINK("#",""), HYPERLINK(CONCATENATE("#Metadata!", ADDRESS(INDEX($AJ$2:$AJ$1001,MATCH(ROWS($AH$2:AH964),$AH$2:$AH$1001,0),0), INDEX($AO$1004:$BQ$1004,1,MATCH(COLUMNS($AO$1006:BA1006),$AO$1006:$BQ$1006,0)))),"Fix")))</f>
        <v>#N/A</v>
      </c>
      <c r="O964" s="5" t="e">
        <f ca="1">IF(OR(INDEX($AI$2:$AI$1001,MATCH(ROWS($AH$2:AH964),$AH$2:$AH$1001,0),1)&gt;=100000,INDEX($AO$1005:$BQ$1005,1,MATCH(COLUMNS($AO$1006:BB1006),$AO$1006:$BQ$1006,0))&gt;=100000), " ",IF(INDEX($AO$2:$BQ$1001,MATCH(ROWS($AH$2:AH964),$AH$2:$AH$1001,0),MATCH(COLUMNS($AO$1006:BB1006),$AO$1006:$BQ$1006,0)), HYPERLINK("#",""), HYPERLINK(CONCATENATE("#Metadata!", ADDRESS(INDEX($AJ$2:$AJ$1001,MATCH(ROWS($AH$2:AH964),$AH$2:$AH$1001,0),0), INDEX($AO$1004:$BQ$1004,1,MATCH(COLUMNS($AO$1006:BB1006),$AO$1006:$BQ$1006,0)))),"Fix")))</f>
        <v>#N/A</v>
      </c>
      <c r="P964" s="5" t="e">
        <f ca="1">IF(OR(INDEX($AI$2:$AI$1001,MATCH(ROWS($AH$2:AH964),$AH$2:$AH$1001,0),1)&gt;=100000,INDEX($AO$1005:$BQ$1005,1,MATCH(COLUMNS($AO$1006:BC1006),$AO$1006:$BQ$1006,0))&gt;=100000), " ",IF(INDEX($AO$2:$BQ$1001,MATCH(ROWS($AH$2:AH964),$AH$2:$AH$1001,0),MATCH(COLUMNS($AO$1006:BC1006),$AO$1006:$BQ$1006,0)), HYPERLINK("#",""), HYPERLINK(CONCATENATE("#Metadata!", ADDRESS(INDEX($AJ$2:$AJ$1001,MATCH(ROWS($AH$2:AH964),$AH$2:$AH$1001,0),0), INDEX($AO$1004:$BQ$1004,1,MATCH(COLUMNS($AO$1006:BC1006),$AO$1006:$BQ$1006,0)))),"Fix")))</f>
        <v>#N/A</v>
      </c>
      <c r="Q964" s="5" t="e">
        <f ca="1">IF(OR(INDEX($AI$2:$AI$1001,MATCH(ROWS($AH$2:AH964),$AH$2:$AH$1001,0),1)&gt;=100000,INDEX($AO$1005:$BQ$1005,1,MATCH(COLUMNS($AO$1006:BD1006),$AO$1006:$BQ$1006,0))&gt;=100000), " ",IF(INDEX($AO$2:$BQ$1001,MATCH(ROWS($AH$2:AH964),$AH$2:$AH$1001,0),MATCH(COLUMNS($AO$1006:BD1006),$AO$1006:$BQ$1006,0)), HYPERLINK("#",""), HYPERLINK(CONCATENATE("#Metadata!", ADDRESS(INDEX($AJ$2:$AJ$1001,MATCH(ROWS($AH$2:AH964),$AH$2:$AH$1001,0),0), INDEX($AO$1004:$BQ$1004,1,MATCH(COLUMNS($AO$1006:BD1006),$AO$1006:$BQ$1006,0)))),"Fix")))</f>
        <v>#N/A</v>
      </c>
      <c r="R964" s="5" t="e">
        <f ca="1">IF(OR(INDEX($AI$2:$AI$1001,MATCH(ROWS($AH$2:AH964),$AH$2:$AH$1001,0),1)&gt;=100000,INDEX($AO$1005:$BQ$1005,1,MATCH(COLUMNS($AO$1006:BE1006),$AO$1006:$BQ$1006,0))&gt;=100000), " ",IF(INDEX($AO$2:$BQ$1001,MATCH(ROWS($AH$2:AH964),$AH$2:$AH$1001,0),MATCH(COLUMNS($AO$1006:BE1006),$AO$1006:$BQ$1006,0)), HYPERLINK("#",""), HYPERLINK(CONCATENATE("#Metadata!", ADDRESS(INDEX($AJ$2:$AJ$1001,MATCH(ROWS($AH$2:AH964),$AH$2:$AH$1001,0),0), INDEX($AO$1004:$BQ$1004,1,MATCH(COLUMNS($AO$1006:BE1006),$AO$1006:$BQ$1006,0)))),"Fix")))</f>
        <v>#N/A</v>
      </c>
      <c r="S964" s="5" t="e">
        <f ca="1">IF(OR(INDEX($AI$2:$AI$1001,MATCH(ROWS($AH$2:AH964),$AH$2:$AH$1001,0),1)&gt;=100000,INDEX($AO$1005:$BQ$1005,1,MATCH(COLUMNS($AO$1006:BF1006),$AO$1006:$BQ$1006,0))&gt;=100000), " ",IF(INDEX($AO$2:$BQ$1001,MATCH(ROWS($AH$2:AH964),$AH$2:$AH$1001,0),MATCH(COLUMNS($AO$1006:BF1006),$AO$1006:$BQ$1006,0)), HYPERLINK("#",""), HYPERLINK(CONCATENATE("#Metadata!", ADDRESS(INDEX($AJ$2:$AJ$1001,MATCH(ROWS($AH$2:AH964),$AH$2:$AH$1001,0),0), INDEX($AO$1004:$BQ$1004,1,MATCH(COLUMNS($AO$1006:BF1006),$AO$1006:$BQ$1006,0)))),"Fix")))</f>
        <v>#N/A</v>
      </c>
      <c r="T964" s="5" t="e">
        <f ca="1">IF(OR(INDEX($AI$2:$AI$1001,MATCH(ROWS($AH$2:AH964),$AH$2:$AH$1001,0),1)&gt;=100000,INDEX($AO$1005:$BQ$1005,1,MATCH(COLUMNS($AO$1006:BG1006),$AO$1006:$BQ$1006,0))&gt;=100000), " ",IF(INDEX($AO$2:$BQ$1001,MATCH(ROWS($AH$2:AH964),$AH$2:$AH$1001,0),MATCH(COLUMNS($AO$1006:BG1006),$AO$1006:$BQ$1006,0)), HYPERLINK("#",""), HYPERLINK(CONCATENATE("#Metadata!", ADDRESS(INDEX($AJ$2:$AJ$1001,MATCH(ROWS($AH$2:AH964),$AH$2:$AH$1001,0),0), INDEX($AO$1004:$BQ$1004,1,MATCH(COLUMNS($AO$1006:BG1006),$AO$1006:$BQ$1006,0)))),"Fix")))</f>
        <v>#N/A</v>
      </c>
      <c r="U964" s="5" t="e">
        <f ca="1">IF(OR(INDEX($AI$2:$AI$1001,MATCH(ROWS($AH$2:AH964),$AH$2:$AH$1001,0),1)&gt;=100000,INDEX($AO$1005:$BQ$1005,1,MATCH(COLUMNS($AO$1006:BH1006),$AO$1006:$BQ$1006,0))&gt;=100000), " ",IF(INDEX($AO$2:$BQ$1001,MATCH(ROWS($AH$2:AH964),$AH$2:$AH$1001,0),MATCH(COLUMNS($AO$1006:BH1006),$AO$1006:$BQ$1006,0)), HYPERLINK("#",""), HYPERLINK(CONCATENATE("#Metadata!", ADDRESS(INDEX($AJ$2:$AJ$1001,MATCH(ROWS($AH$2:AH964),$AH$2:$AH$1001,0),0), INDEX($AO$1004:$BQ$1004,1,MATCH(COLUMNS($AO$1006:BH1006),$AO$1006:$BQ$1006,0)))),"Fix")))</f>
        <v>#N/A</v>
      </c>
      <c r="V964" s="5" t="e">
        <f ca="1">IF(OR(INDEX($AI$2:$AI$1001,MATCH(ROWS($AH$2:AH964),$AH$2:$AH$1001,0),1)&gt;=100000,INDEX($AO$1005:$BQ$1005,1,MATCH(COLUMNS($AO$1006:BI1006),$AO$1006:$BQ$1006,0))&gt;=100000), " ",IF(INDEX($AO$2:$BQ$1001,MATCH(ROWS($AH$2:AH964),$AH$2:$AH$1001,0),MATCH(COLUMNS($AO$1006:BI1006),$AO$1006:$BQ$1006,0)), HYPERLINK("#",""), HYPERLINK(CONCATENATE("#Metadata!", ADDRESS(INDEX($AJ$2:$AJ$1001,MATCH(ROWS($AH$2:AH964),$AH$2:$AH$1001,0),0), INDEX($AO$1004:$BQ$1004,1,MATCH(COLUMNS($AO$1006:BI1006),$AO$1006:$BQ$1006,0)))),"Fix")))</f>
        <v>#N/A</v>
      </c>
      <c r="W964" s="5" t="e">
        <f ca="1">IF(OR(INDEX($AI$2:$AI$1001,MATCH(ROWS($AH$2:AH964),$AH$2:$AH$1001,0),1)&gt;=100000,INDEX($AO$1005:$BQ$1005,1,MATCH(COLUMNS($AO$1006:BJ1006),$AO$1006:$BQ$1006,0))&gt;=100000), " ",IF(INDEX($AO$2:$BQ$1001,MATCH(ROWS($AH$2:AH964),$AH$2:$AH$1001,0),MATCH(COLUMNS($AO$1006:BJ1006),$AO$1006:$BQ$1006,0)), HYPERLINK("#",""), HYPERLINK(CONCATENATE("#Metadata!", ADDRESS(INDEX($AJ$2:$AJ$1001,MATCH(ROWS($AH$2:AH964),$AH$2:$AH$1001,0),0), INDEX($AO$1004:$BQ$1004,1,MATCH(COLUMNS($AO$1006:BJ1006),$AO$1006:$BQ$1006,0)))),"Fix")))</f>
        <v>#N/A</v>
      </c>
      <c r="X964" s="5" t="e">
        <f ca="1">IF(OR(INDEX($AI$2:$AI$1001,MATCH(ROWS($AH$2:AH964),$AH$2:$AH$1001,0),1)&gt;=100000,INDEX($AO$1005:$BQ$1005,1,MATCH(COLUMNS($AO$1006:BK1006),$AO$1006:$BQ$1006,0))&gt;=100000), " ",IF(INDEX($AO$2:$BQ$1001,MATCH(ROWS($AH$2:AH964),$AH$2:$AH$1001,0),MATCH(COLUMNS($AO$1006:BK1006),$AO$1006:$BQ$1006,0)), HYPERLINK("#",""), HYPERLINK(CONCATENATE("#Metadata!", ADDRESS(INDEX($AJ$2:$AJ$1001,MATCH(ROWS($AH$2:AH964),$AH$2:$AH$1001,0),0), INDEX($AO$1004:$BQ$1004,1,MATCH(COLUMNS($AO$1006:BK1006),$AO$1006:$BQ$1006,0)))),"Fix")))</f>
        <v>#N/A</v>
      </c>
      <c r="Y964" s="5" t="e">
        <f ca="1">IF(OR(INDEX($AI$2:$AI$1001,MATCH(ROWS($AH$2:AH964),$AH$2:$AH$1001,0),1)&gt;=100000,INDEX($AO$1005:$BQ$1005,1,MATCH(COLUMNS($AO$1006:BL1006),$AO$1006:$BQ$1006,0))&gt;=100000), " ",IF(INDEX($AO$2:$BQ$1001,MATCH(ROWS($AH$2:AH964),$AH$2:$AH$1001,0),MATCH(COLUMNS($AO$1006:BL1006),$AO$1006:$BQ$1006,0)), HYPERLINK("#",""), HYPERLINK(CONCATENATE("#Metadata!", ADDRESS(INDEX($AJ$2:$AJ$1001,MATCH(ROWS($AH$2:AH964),$AH$2:$AH$1001,0),0), INDEX($AO$1004:$BQ$1004,1,MATCH(COLUMNS($AO$1006:BL1006),$AO$1006:$BQ$1006,0)))),"Fix")))</f>
        <v>#N/A</v>
      </c>
      <c r="Z964" s="5" t="e">
        <f ca="1">IF(OR(INDEX($AI$2:$AI$1001,MATCH(ROWS($AH$2:AH964),$AH$2:$AH$1001,0),1)&gt;=100000,INDEX($AO$1005:$BQ$1005,1,MATCH(COLUMNS($AO$1006:BM1006),$AO$1006:$BQ$1006,0))&gt;=100000), " ",IF(INDEX($AO$2:$BQ$1001,MATCH(ROWS($AH$2:AH964),$AH$2:$AH$1001,0),MATCH(COLUMNS($AO$1006:BM1006),$AO$1006:$BQ$1006,0)), HYPERLINK("#",""), HYPERLINK(CONCATENATE("#Metadata!", ADDRESS(INDEX($AJ$2:$AJ$1001,MATCH(ROWS($AH$2:AH964),$AH$2:$AH$1001,0),0), INDEX($AO$1004:$BQ$1004,1,MATCH(COLUMNS($AO$1006:BM1006),$AO$1006:$BQ$1006,0)))),"Fix")))</f>
        <v>#N/A</v>
      </c>
      <c r="AA964" s="5" t="e">
        <f ca="1">IF(OR(INDEX($AI$2:$AI$1001,MATCH(ROWS($AH$2:AH964),$AH$2:$AH$1001,0),1)&gt;=100000,INDEX($AO$1005:$BQ$1005,1,MATCH(COLUMNS($AO$1006:BN1006),$AO$1006:$BQ$1006,0))&gt;=100000), " ",IF(INDEX($AO$2:$BQ$1001,MATCH(ROWS($AH$2:AH964),$AH$2:$AH$1001,0),MATCH(COLUMNS($AO$1006:BN1006),$AO$1006:$BQ$1006,0)), HYPERLINK("#",""), HYPERLINK(CONCATENATE("#Metadata!", ADDRESS(INDEX($AJ$2:$AJ$1001,MATCH(ROWS($AH$2:AH964),$AH$2:$AH$1001,0),0), INDEX($AO$1004:$BQ$1004,1,MATCH(COLUMNS($AO$1006:BN1006),$AO$1006:$BQ$1006,0)))),"Fix")))</f>
        <v>#N/A</v>
      </c>
      <c r="AB964" s="5" t="e">
        <f ca="1">IF(OR(INDEX($AI$2:$AI$1001,MATCH(ROWS($AH$2:AH964),$AH$2:$AH$1001,0),1)&gt;=100000,INDEX($AO$1005:$BQ$1005,1,MATCH(COLUMNS($AO$1006:BO1006),$AO$1006:$BQ$1006,0))&gt;=100000), " ",IF(INDEX($AO$2:$BQ$1001,MATCH(ROWS($AH$2:AH964),$AH$2:$AH$1001,0),MATCH(COLUMNS($AO$1006:BO1006),$AO$1006:$BQ$1006,0)), HYPERLINK("#",""), HYPERLINK(CONCATENATE("#Metadata!", ADDRESS(INDEX($AJ$2:$AJ$1001,MATCH(ROWS($AH$2:AH964),$AH$2:$AH$1001,0),0), INDEX($AO$1004:$BQ$1004,1,MATCH(COLUMNS($AO$1006:BO1006),$AO$1006:$BQ$1006,0)))),"Fix")))</f>
        <v>#N/A</v>
      </c>
      <c r="AC964" s="5" t="e">
        <f ca="1">IF(OR(INDEX($AI$2:$AI$1001,MATCH(ROWS($AH$2:AH964),$AH$2:$AH$1001,0),1)&gt;=100000,INDEX($AO$1005:$BQ$1005,1,MATCH(COLUMNS($AO$1006:BP1006),$AO$1006:$BQ$1006,0))&gt;=100000), " ",IF(INDEX($AO$2:$BQ$1001,MATCH(ROWS($AH$2:AH964),$AH$2:$AH$1001,0),MATCH(COLUMNS($AO$1006:BP1006),$AO$1006:$BQ$1006,0)), HYPERLINK("#",""), HYPERLINK(CONCATENATE("#Metadata!", ADDRESS(INDEX($AJ$2:$AJ$1001,MATCH(ROWS($AH$2:AH964),$AH$2:$AH$1001,0),0), INDEX($AO$1004:$BQ$1004,1,MATCH(COLUMNS($AO$1006:BP1006),$AO$1006:$BQ$1006,0)))),"Fix")))</f>
        <v>#N/A</v>
      </c>
      <c r="AD964" s="5" t="e">
        <f ca="1">IF(OR(INDEX($AI$2:$AI$1001,MATCH(ROWS($AH$2:AH964),$AH$2:$AH$1001,0),1)&gt;=100000,INDEX($AO$1005:$BQ$1005,1,MATCH(COLUMNS($AO$1006:BQ1006),$AO$1006:$BQ$1006,0))&gt;=100000), " ",IF(INDEX($AO$2:$BQ$1001,MATCH(ROWS($AH$2:AH964),$AH$2:$AH$1001,0),MATCH(COLUMNS($AO$1006:BQ1006),$AO$1006:$BQ$1006,0)), HYPERLINK("#",""), HYPERLINK(CONCATENATE("#Metadata!", ADDRESS(INDEX($AJ$2:$AJ$1001,MATCH(ROWS($AH$2:AH964),$AH$2:$AH$1001,0),0), INDEX($AO$1004:$BQ$1004,1,MATCH(COLUMNS($AO$1006:BQ1006),$AO$1006:$BQ$1006,0)))),"Fix")))</f>
        <v>#REF!</v>
      </c>
      <c r="AH964">
        <f ca="1"/>
        <v>961</v>
      </c>
      <c r="AI964">
        <v>100964</v>
      </c>
      <c r="AJ964">
        <v>964</v>
      </c>
      <c r="AK964" t="b">
        <f t="shared" si="15"/>
        <v>1</v>
      </c>
      <c r="AL964" t="b">
        <f>COUNTBLANK(Metadata!B964:AD964)=COLUMNS(Metadata!B964:AD964)</f>
        <v>1</v>
      </c>
      <c r="AM964" t="str">
        <v/>
      </c>
      <c r="AO964" t="b">
        <f ca="1">AND(IF(Metadata!B964="",FALSE,TRUE),COUNTIF(Metadata!B:B, Metadata!B964) = 1,NOT(ISERROR(SUMPRODUCT(SEARCH(MID(Metadata!B964,ROW(INDIRECT("1:"&amp;LEN(Metadata!B964))), 1),"0123456789abcdefghijklmnopqrstuvwxyzABCDEFGHIJKLMNOPQRSTUVWXYZ.")))))</f>
        <v>0</v>
      </c>
      <c r="AP964" t="b">
        <f>IF(Metadata!C964="",FALSE,TRUE)</f>
        <v>0</v>
      </c>
      <c r="AQ964" t="b">
        <f>IF(Metadata!D964="",FALSE,TRUE)</f>
        <v>0</v>
      </c>
      <c r="AR964" t="b">
        <f ca="1">OR(AND(IF(Metadata!E964="",FALSE,TRUE),OR(EXACT(Metadata!E964,"not collected"),EXACT(Metadata!E964,"not provided"),EXACT(Metadata!E964,"restricted access"))),AND(IF(Metadata!E964="",FALSE,TRUE),AND(AND(IFERROR(INT(LEFT(Metadata!E964,4))&gt;1900,FALSE),IFERROR(INT(LEFT(Metadata!E964,4))&lt;=YEAR(NOW()),FALSE)), OR(MID(Metadata!E964,5,1)="", AND(AND(MID(Metadata!E964,5,1)="-",IFERROR(INT(MID(Metadata!E964,6,1))&gt;=0,FALSE),IFERROR(INT(MID(Metadata!E964,6,1))&lt;=1,FALSE),NOT(MID(Metadata!E964,7,1)=""),IFERROR(INT(MID(Metadata!E964,6,2))&gt;=1,FALSE),IFERROR(INT(MID(Metadata!E964,6,2))&lt;=12,FALSE)), OR(MID(Metadata!E964,8,1)="", AND(AND(MID(Metadata!E964,8,1)="-",IFERROR(INT(MID(Metadata!E964,9,1))&gt;=0,FALSE),IFERROR(INT(MID(Metadata!E964,9,1))&lt;=3,FALSE),NOT(MID(Metadata!E964,10,1)=""),IFERROR(INT(MID(Metadata!E964,9,2))&gt;=1,FALSE),IFERROR(INT(MID(Metadata!E964,9,2))&lt;=31,FALSE)), OR(MID(Metadata!E964,11,1)="", AND(AND(MID(Metadata!E964,11,1)=" ",IFERROR(INT(MID(Metadata!E964,12,1))&gt;=0,FALSE),IFERROR(INT(MID(Metadata!E964,12,1))&lt;=2,FALSE),NOT(MID(Metadata!E964,13,1)=""),IFERROR(INT(MID(Metadata!E964,12,2))&gt;=0,FALSE),IFERROR(INT(MID(Metadata!E964,12,2))&lt;=23,FALSE)), OR(MID(Metadata!E964,14,1)="", AND(AND(MID(Metadata!E964,14,1)=":",IFERROR(INT(MID(Metadata!E964,15,1))&gt;=0,FALSE),IFERROR(INT(MID(Metadata!E964,15,1))&lt;=5,FALSE),NOT(MID(Metadata!E964,16,1)=""),IFERROR(INT(MID(Metadata!E964,15,2))&gt;=0,FALSE),IFERROR(INT(MID(Metadata!E964,15,2))&lt;=59,FALSE)), OR(MID(Metadata!E964,17,1)="", AND(AND(MID(Metadata!E964,17,1)=":",IFERROR(INT(MID(Metadata!E964,18,1))&gt;=0,FALSE),IFERROR(INT(MID(Metadata!E964,18,1))&lt;=5,FALSE),NOT(MID(Metadata!E964,19,1)=""),IFERROR(INT(MID(Metadata!E964,18,2))&gt;=0,FALSE),IFERROR(INT(MID(Metadata!E964,18,2))&lt;=59,FALSE)), LEN(Metadata!E964)&lt;=19)))))))))))))</f>
        <v>0</v>
      </c>
      <c r="AS964" t="b">
        <f>IF(Metadata!F964="",FALSE,TRUE)</f>
        <v>0</v>
      </c>
      <c r="AT964" t="b">
        <f>OR(AND(IF(Metadata!G964="",FALSE,TRUE),OR(EXACT(Metadata!G964,"not collected"),EXACT(Metadata!G964,"not provided"))),AND(IF(Metadata!G964="",FALSE,TRUE),OR(EXACT(Metadata!G964,"TRUE"),EXACT(Metadata!G964,"FALSE"))))</f>
        <v>0</v>
      </c>
      <c r="AU964" t="b">
        <f>OR(AND(IF(Metadata!H964="",FALSE,TRUE),OR(EXACT(Metadata!H964,"not collected"),EXACT(Metadata!H964,"not provided"),EXACT(Metadata!H964,"restricted access"))),AND(IF(Metadata!H964="",FALSE,ISNUMBER(VALUE(Metadata!H964))),Metadata!H964&gt;=-413))</f>
        <v>0</v>
      </c>
      <c r="AV964" t="b">
        <f>AND(IF(Metadata!I964="",FALSE,TRUE),EXACT(Metadata!I964,"meters"))</f>
        <v>0</v>
      </c>
      <c r="AW964" t="b">
        <f>AND(IF(Metadata!J964="",FALSE,TRUE),EXACT(Metadata!J964,"free-living"))</f>
        <v>0</v>
      </c>
      <c r="AX964" t="b">
        <f>AND(IF(Metadata!K964="",FALSE,TRUE),OR(EXACT(Metadata!K964,"saline"),EXACT(Metadata!K964,"non-saline")))</f>
        <v>0</v>
      </c>
      <c r="AY964" t="b">
        <f>AND(IF(Metadata!L964="",FALSE,TRUE),OR(EXACT(Metadata!L964,"sub-surface (non-saline)"),EXACT(Metadata!L964,"surface (non-saline)"),EXACT(Metadata!L964,"water (non-saline)"),EXACT(Metadata!L964,"soil (non-saline)"),EXACT(Metadata!L964,"aerosol (non-saline)"),EXACT(Metadata!L964,"sediment (non-saline)"),EXACT(Metadata!L964,"surface (saline)"),EXACT(Metadata!L964,"water (saline)"),EXACT(Metadata!L964,"hypersaline (saline)"),EXACT(Metadata!L964,"aerosol (saline)"),EXACT(Metadata!L964,"sediment (saline)")))</f>
        <v>0</v>
      </c>
      <c r="AZ964" t="b">
        <f>IF(Metadata!M964="",FALSE,TRUE)</f>
        <v>0</v>
      </c>
      <c r="BA964" t="b">
        <f>IF(Metadata!N964="",FALSE,TRUE)</f>
        <v>0</v>
      </c>
      <c r="BB964" t="b">
        <f>IF(Metadata!O964="",FALSE,TRUE)</f>
        <v>0</v>
      </c>
      <c r="BC964" t="b">
        <f>AND(IF(Metadata!P964="",FALSE,TRUE),OR(EXACT(Metadata!P964,"air"),EXACT(Metadata!P964,"microbial mat/biofilm"),EXACT(Metadata!P964,"misc environment"),EXACT(Metadata!P964,"sediment"),EXACT(Metadata!P964,"soil"),EXACT(Metadata!P964,"wastewater/sludge"),EXACT(Metadata!P964,"water")))</f>
        <v>0</v>
      </c>
      <c r="BD964" t="b">
        <f>IF(Metadata!Q964="",FALSE,TRUE)</f>
        <v>0</v>
      </c>
      <c r="BE964" t="b">
        <f>IF(Metadata!R964="",FALSE,TRUE)</f>
        <v>0</v>
      </c>
      <c r="BF964" t="b">
        <f>OR(AND(IF(Metadata!S964="",FALSE,TRUE),OR(EXACT(Metadata!S964,"not collected"),EXACT(Metadata!S964,"not provided"),EXACT(Metadata!S964,"restricted access"))),AND(IF(Metadata!S964="",FALSE,ISNUMBER(VALUE(Metadata!S964))),Metadata!S964&gt;=-90,Metadata!S964&lt;=90))</f>
        <v>0</v>
      </c>
      <c r="BG964" t="b">
        <f>AND(IF(Metadata!T964="",FALSE,TRUE),EXACT(Metadata!T964,"Decimal degrees"))</f>
        <v>0</v>
      </c>
      <c r="BH964" t="b">
        <f>OR(AND(IF(Metadata!U964="",FALSE,TRUE),OR(EXACT(Metadata!U964,"not applicable"),EXACT(Metadata!U964,"not collected"))),IF(Metadata!U964="",FALSE,TRUE))</f>
        <v>0</v>
      </c>
      <c r="BI964" t="b">
        <f>OR(AND(IF(Metadata!V964="",FALSE,TRUE),OR(EXACT(Metadata!V964,"not collected"),EXACT(Metadata!V964,"not provided"),EXACT(Metadata!V964,"restricted access"))),AND(IF(Metadata!V964="",FALSE,ISNUMBER(VALUE(Metadata!V964))),Metadata!V964&gt;=-180,Metadata!V964&lt;=180))</f>
        <v>0</v>
      </c>
      <c r="BJ964" t="b">
        <f>AND(IF(Metadata!W964="",FALSE,TRUE),EXACT(Metadata!W964,"Decimal degrees"))</f>
        <v>0</v>
      </c>
      <c r="BK964" t="b">
        <f>IF(Metadata!X964="",FALSE,TRUE)</f>
        <v>0</v>
      </c>
      <c r="BL964" t="b">
        <f>OR(AND(IF(Metadata!Y964="",FALSE,TRUE),OR(EXACT(Metadata!Y964,"not collected"),EXACT(Metadata!Y964,"not provided"),EXACT(Metadata!Y964,"restricted access"))),AND(IF(Metadata!Y964="",FALSE,TRUE),OR(EXACT(Metadata!Y964,"TRUE"),EXACT(Metadata!Y964,"FALSE"))))</f>
        <v>0</v>
      </c>
      <c r="BM964" t="b">
        <f>OR(AND(IF(Metadata!Z964="",FALSE,TRUE),EXACT(Metadata!Z964,"not applicable")),AND(IF(Metadata!Z964="",FALSE,TRUE),OR(EXACT(Metadata!Z964,"beer"),EXACT(Metadata!Z964,"cheese"),EXACT(Metadata!Z964,"fresh water"),EXACT(Metadata!Z964,"marine sediment"),EXACT(Metadata!Z964,"sea water"),EXACT(Metadata!Z964,"sediment"),EXACT(Metadata!Z964,"soil"),EXACT(Metadata!Z964,"waste water"))))</f>
        <v>0</v>
      </c>
      <c r="BN964" t="b">
        <f>AND(IF(Metadata!AA964="",FALSE,TRUE),EXACT(Metadata!AA964,"metagenome"))</f>
        <v>0</v>
      </c>
      <c r="BO964" t="b">
        <f>AND(IF(Metadata!AB964="",FALSE,TRUE),EXACT(Metadata!AB964,"256318"))</f>
        <v>0</v>
      </c>
      <c r="BP964" t="b">
        <f>IF(Metadata!AC964="",FALSE,TRUE)</f>
        <v>0</v>
      </c>
      <c r="BQ964" t="b">
        <f>IF(Metadata!AD964="",FALSE,TRUE)</f>
        <v>0</v>
      </c>
    </row>
    <row r="965" spans="1:69" x14ac:dyDescent="0.2">
      <c r="A965" s="4" t="e">
        <f ca="1">IF(B965=" "," ",HYPERLINK(CONCATENATE("#metadata!",ADDRESS(INDEX($AJ$2:$AJ$1001,MATCH(ROWS($AH$2:AH965),$AH$2:$AH$1001,0),0),2)),INDEX($AM$2:$AM$1001,MATCH(ROWS($AH$2:AH965),$AH$2:$AH$1001,0),0)))</f>
        <v>#N/A</v>
      </c>
      <c r="B965" s="5" t="e">
        <f ca="1">IF(OR(INDEX($AI$2:$AI$1001,MATCH(ROWS($AH$2:AH965),$AH$2:$AH$1001,0),1)&gt;=100000,INDEX($AO$1005:$BQ$1005,1,MATCH(COLUMNS($AO$1006:AO1006),$AO$1006:$BQ$1006,0))&gt;=100000), " ",IF(INDEX($AO$2:$BQ$1001,MATCH(ROWS($AH$2:AH965),$AH$2:$AH$1001,0),MATCH(COLUMNS($AO$1006:AO1006),$AO$1006:$BQ$1006,0)), HYPERLINK("#",""), HYPERLINK(CONCATENATE("#Metadata!", ADDRESS(INDEX($AJ$2:$AJ$1001,MATCH(ROWS($AH$2:AH965),$AH$2:$AH$1001,0),0), INDEX($AO$1004:$BQ$1004,1,MATCH(COLUMNS($AO$1006:AO1006),$AO$1006:$BQ$1006,0)))),"Fix")))</f>
        <v>#N/A</v>
      </c>
      <c r="C965" s="5" t="e">
        <f ca="1">IF(OR(INDEX($AI$2:$AI$1001,MATCH(ROWS($AH$2:AH965),$AH$2:$AH$1001,0),1)&gt;=100000,INDEX($AO$1005:$BQ$1005,1,MATCH(COLUMNS($AO$1006:AP1006),$AO$1006:$BQ$1006,0))&gt;=100000), " ",IF(INDEX($AO$2:$BQ$1001,MATCH(ROWS($AH$2:AH965),$AH$2:$AH$1001,0),MATCH(COLUMNS($AO$1006:AP1006),$AO$1006:$BQ$1006,0)), HYPERLINK("#",""), HYPERLINK(CONCATENATE("#Metadata!", ADDRESS(INDEX($AJ$2:$AJ$1001,MATCH(ROWS($AH$2:AH965),$AH$2:$AH$1001,0),0), INDEX($AO$1004:$BQ$1004,1,MATCH(COLUMNS($AO$1006:AP1006),$AO$1006:$BQ$1006,0)))),"Fix")))</f>
        <v>#N/A</v>
      </c>
      <c r="D965" s="5" t="e">
        <f ca="1">IF(OR(INDEX($AI$2:$AI$1001,MATCH(ROWS($AH$2:AH965),$AH$2:$AH$1001,0),1)&gt;=100000,INDEX($AO$1005:$BQ$1005,1,MATCH(COLUMNS($AO$1006:AQ1006),$AO$1006:$BQ$1006,0))&gt;=100000), " ",IF(INDEX($AO$2:$BQ$1001,MATCH(ROWS($AH$2:AH965),$AH$2:$AH$1001,0),MATCH(COLUMNS($AO$1006:AQ1006),$AO$1006:$BQ$1006,0)), HYPERLINK("#",""), HYPERLINK(CONCATENATE("#Metadata!", ADDRESS(INDEX($AJ$2:$AJ$1001,MATCH(ROWS($AH$2:AH965),$AH$2:$AH$1001,0),0), INDEX($AO$1004:$BQ$1004,1,MATCH(COLUMNS($AO$1006:AQ1006),$AO$1006:$BQ$1006,0)))),"Fix")))</f>
        <v>#N/A</v>
      </c>
      <c r="E965" s="5" t="e">
        <f ca="1">IF(OR(INDEX($AI$2:$AI$1001,MATCH(ROWS($AH$2:AH965),$AH$2:$AH$1001,0),1)&gt;=100000,INDEX($AO$1005:$BQ$1005,1,MATCH(COLUMNS($AO$1006:AR1006),$AO$1006:$BQ$1006,0))&gt;=100000), " ",IF(INDEX($AO$2:$BQ$1001,MATCH(ROWS($AH$2:AH965),$AH$2:$AH$1001,0),MATCH(COLUMNS($AO$1006:AR1006),$AO$1006:$BQ$1006,0)), HYPERLINK("#",""), HYPERLINK(CONCATENATE("#Metadata!", ADDRESS(INDEX($AJ$2:$AJ$1001,MATCH(ROWS($AH$2:AH965),$AH$2:$AH$1001,0),0), INDEX($AO$1004:$BQ$1004,1,MATCH(COLUMNS($AO$1006:AR1006),$AO$1006:$BQ$1006,0)))),"Fix")))</f>
        <v>#N/A</v>
      </c>
      <c r="F965" s="5" t="e">
        <f ca="1">IF(OR(INDEX($AI$2:$AI$1001,MATCH(ROWS($AH$2:AH965),$AH$2:$AH$1001,0),1)&gt;=100000,INDEX($AO$1005:$BQ$1005,1,MATCH(COLUMNS($AO$1006:AS1006),$AO$1006:$BQ$1006,0))&gt;=100000), " ",IF(INDEX($AO$2:$BQ$1001,MATCH(ROWS($AH$2:AH965),$AH$2:$AH$1001,0),MATCH(COLUMNS($AO$1006:AS1006),$AO$1006:$BQ$1006,0)), HYPERLINK("#",""), HYPERLINK(CONCATENATE("#Metadata!", ADDRESS(INDEX($AJ$2:$AJ$1001,MATCH(ROWS($AH$2:AH965),$AH$2:$AH$1001,0),0), INDEX($AO$1004:$BQ$1004,1,MATCH(COLUMNS($AO$1006:AS1006),$AO$1006:$BQ$1006,0)))),"Fix")))</f>
        <v>#N/A</v>
      </c>
      <c r="G965" s="5" t="e">
        <f ca="1">IF(OR(INDEX($AI$2:$AI$1001,MATCH(ROWS($AH$2:AH965),$AH$2:$AH$1001,0),1)&gt;=100000,INDEX($AO$1005:$BQ$1005,1,MATCH(COLUMNS($AO$1006:AT1006),$AO$1006:$BQ$1006,0))&gt;=100000), " ",IF(INDEX($AO$2:$BQ$1001,MATCH(ROWS($AH$2:AH965),$AH$2:$AH$1001,0),MATCH(COLUMNS($AO$1006:AT1006),$AO$1006:$BQ$1006,0)), HYPERLINK("#",""), HYPERLINK(CONCATENATE("#Metadata!", ADDRESS(INDEX($AJ$2:$AJ$1001,MATCH(ROWS($AH$2:AH965),$AH$2:$AH$1001,0),0), INDEX($AO$1004:$BQ$1004,1,MATCH(COLUMNS($AO$1006:AT1006),$AO$1006:$BQ$1006,0)))),"Fix")))</f>
        <v>#N/A</v>
      </c>
      <c r="H965" s="5" t="e">
        <f ca="1">IF(OR(INDEX($AI$2:$AI$1001,MATCH(ROWS($AH$2:AH965),$AH$2:$AH$1001,0),1)&gt;=100000,INDEX($AO$1005:$BQ$1005,1,MATCH(COLUMNS($AO$1006:AU1006),$AO$1006:$BQ$1006,0))&gt;=100000), " ",IF(INDEX($AO$2:$BQ$1001,MATCH(ROWS($AH$2:AH965),$AH$2:$AH$1001,0),MATCH(COLUMNS($AO$1006:AU1006),$AO$1006:$BQ$1006,0)), HYPERLINK("#",""), HYPERLINK(CONCATENATE("#Metadata!", ADDRESS(INDEX($AJ$2:$AJ$1001,MATCH(ROWS($AH$2:AH965),$AH$2:$AH$1001,0),0), INDEX($AO$1004:$BQ$1004,1,MATCH(COLUMNS($AO$1006:AU1006),$AO$1006:$BQ$1006,0)))),"Fix")))</f>
        <v>#N/A</v>
      </c>
      <c r="I965" s="5" t="e">
        <f ca="1">IF(OR(INDEX($AI$2:$AI$1001,MATCH(ROWS($AH$2:AH965),$AH$2:$AH$1001,0),1)&gt;=100000,INDEX($AO$1005:$BQ$1005,1,MATCH(COLUMNS($AO$1006:AV1006),$AO$1006:$BQ$1006,0))&gt;=100000), " ",IF(INDEX($AO$2:$BQ$1001,MATCH(ROWS($AH$2:AH965),$AH$2:$AH$1001,0),MATCH(COLUMNS($AO$1006:AV1006),$AO$1006:$BQ$1006,0)), HYPERLINK("#",""), HYPERLINK(CONCATENATE("#Metadata!", ADDRESS(INDEX($AJ$2:$AJ$1001,MATCH(ROWS($AH$2:AH965),$AH$2:$AH$1001,0),0), INDEX($AO$1004:$BQ$1004,1,MATCH(COLUMNS($AO$1006:AV1006),$AO$1006:$BQ$1006,0)))),"Fix")))</f>
        <v>#N/A</v>
      </c>
      <c r="J965" s="5" t="e">
        <f ca="1">IF(OR(INDEX($AI$2:$AI$1001,MATCH(ROWS($AH$2:AH965),$AH$2:$AH$1001,0),1)&gt;=100000,INDEX($AO$1005:$BQ$1005,1,MATCH(COLUMNS($AO$1006:AW1006),$AO$1006:$BQ$1006,0))&gt;=100000), " ",IF(INDEX($AO$2:$BQ$1001,MATCH(ROWS($AH$2:AH965),$AH$2:$AH$1001,0),MATCH(COLUMNS($AO$1006:AW1006),$AO$1006:$BQ$1006,0)), HYPERLINK("#",""), HYPERLINK(CONCATENATE("#Metadata!", ADDRESS(INDEX($AJ$2:$AJ$1001,MATCH(ROWS($AH$2:AH965),$AH$2:$AH$1001,0),0), INDEX($AO$1004:$BQ$1004,1,MATCH(COLUMNS($AO$1006:AW1006),$AO$1006:$BQ$1006,0)))),"Fix")))</f>
        <v>#N/A</v>
      </c>
      <c r="K965" s="5" t="e">
        <f ca="1">IF(OR(INDEX($AI$2:$AI$1001,MATCH(ROWS($AH$2:AH965),$AH$2:$AH$1001,0),1)&gt;=100000,INDEX($AO$1005:$BQ$1005,1,MATCH(COLUMNS($AO$1006:AX1006),$AO$1006:$BQ$1006,0))&gt;=100000), " ",IF(INDEX($AO$2:$BQ$1001,MATCH(ROWS($AH$2:AH965),$AH$2:$AH$1001,0),MATCH(COLUMNS($AO$1006:AX1006),$AO$1006:$BQ$1006,0)), HYPERLINK("#",""), HYPERLINK(CONCATENATE("#Metadata!", ADDRESS(INDEX($AJ$2:$AJ$1001,MATCH(ROWS($AH$2:AH965),$AH$2:$AH$1001,0),0), INDEX($AO$1004:$BQ$1004,1,MATCH(COLUMNS($AO$1006:AX1006),$AO$1006:$BQ$1006,0)))),"Fix")))</f>
        <v>#N/A</v>
      </c>
      <c r="L965" s="5" t="e">
        <f ca="1">IF(OR(INDEX($AI$2:$AI$1001,MATCH(ROWS($AH$2:AH965),$AH$2:$AH$1001,0),1)&gt;=100000,INDEX($AO$1005:$BQ$1005,1,MATCH(COLUMNS($AO$1006:AY1006),$AO$1006:$BQ$1006,0))&gt;=100000), " ",IF(INDEX($AO$2:$BQ$1001,MATCH(ROWS($AH$2:AH965),$AH$2:$AH$1001,0),MATCH(COLUMNS($AO$1006:AY1006),$AO$1006:$BQ$1006,0)), HYPERLINK("#",""), HYPERLINK(CONCATENATE("#Metadata!", ADDRESS(INDEX($AJ$2:$AJ$1001,MATCH(ROWS($AH$2:AH965),$AH$2:$AH$1001,0),0), INDEX($AO$1004:$BQ$1004,1,MATCH(COLUMNS($AO$1006:AY1006),$AO$1006:$BQ$1006,0)))),"Fix")))</f>
        <v>#N/A</v>
      </c>
      <c r="M965" s="5" t="e">
        <f ca="1">IF(OR(INDEX($AI$2:$AI$1001,MATCH(ROWS($AH$2:AH965),$AH$2:$AH$1001,0),1)&gt;=100000,INDEX($AO$1005:$BQ$1005,1,MATCH(COLUMNS($AO$1006:AZ1006),$AO$1006:$BQ$1006,0))&gt;=100000), " ",IF(INDEX($AO$2:$BQ$1001,MATCH(ROWS($AH$2:AH965),$AH$2:$AH$1001,0),MATCH(COLUMNS($AO$1006:AZ1006),$AO$1006:$BQ$1006,0)), HYPERLINK("#",""), HYPERLINK(CONCATENATE("#Metadata!", ADDRESS(INDEX($AJ$2:$AJ$1001,MATCH(ROWS($AH$2:AH965),$AH$2:$AH$1001,0),0), INDEX($AO$1004:$BQ$1004,1,MATCH(COLUMNS($AO$1006:AZ1006),$AO$1006:$BQ$1006,0)))),"Fix")))</f>
        <v>#N/A</v>
      </c>
      <c r="N965" s="5" t="e">
        <f ca="1">IF(OR(INDEX($AI$2:$AI$1001,MATCH(ROWS($AH$2:AH965),$AH$2:$AH$1001,0),1)&gt;=100000,INDEX($AO$1005:$BQ$1005,1,MATCH(COLUMNS($AO$1006:BA1006),$AO$1006:$BQ$1006,0))&gt;=100000), " ",IF(INDEX($AO$2:$BQ$1001,MATCH(ROWS($AH$2:AH965),$AH$2:$AH$1001,0),MATCH(COLUMNS($AO$1006:BA1006),$AO$1006:$BQ$1006,0)), HYPERLINK("#",""), HYPERLINK(CONCATENATE("#Metadata!", ADDRESS(INDEX($AJ$2:$AJ$1001,MATCH(ROWS($AH$2:AH965),$AH$2:$AH$1001,0),0), INDEX($AO$1004:$BQ$1004,1,MATCH(COLUMNS($AO$1006:BA1006),$AO$1006:$BQ$1006,0)))),"Fix")))</f>
        <v>#N/A</v>
      </c>
      <c r="O965" s="5" t="e">
        <f ca="1">IF(OR(INDEX($AI$2:$AI$1001,MATCH(ROWS($AH$2:AH965),$AH$2:$AH$1001,0),1)&gt;=100000,INDEX($AO$1005:$BQ$1005,1,MATCH(COLUMNS($AO$1006:BB1006),$AO$1006:$BQ$1006,0))&gt;=100000), " ",IF(INDEX($AO$2:$BQ$1001,MATCH(ROWS($AH$2:AH965),$AH$2:$AH$1001,0),MATCH(COLUMNS($AO$1006:BB1006),$AO$1006:$BQ$1006,0)), HYPERLINK("#",""), HYPERLINK(CONCATENATE("#Metadata!", ADDRESS(INDEX($AJ$2:$AJ$1001,MATCH(ROWS($AH$2:AH965),$AH$2:$AH$1001,0),0), INDEX($AO$1004:$BQ$1004,1,MATCH(COLUMNS($AO$1006:BB1006),$AO$1006:$BQ$1006,0)))),"Fix")))</f>
        <v>#N/A</v>
      </c>
      <c r="P965" s="5" t="e">
        <f ca="1">IF(OR(INDEX($AI$2:$AI$1001,MATCH(ROWS($AH$2:AH965),$AH$2:$AH$1001,0),1)&gt;=100000,INDEX($AO$1005:$BQ$1005,1,MATCH(COLUMNS($AO$1006:BC1006),$AO$1006:$BQ$1006,0))&gt;=100000), " ",IF(INDEX($AO$2:$BQ$1001,MATCH(ROWS($AH$2:AH965),$AH$2:$AH$1001,0),MATCH(COLUMNS($AO$1006:BC1006),$AO$1006:$BQ$1006,0)), HYPERLINK("#",""), HYPERLINK(CONCATENATE("#Metadata!", ADDRESS(INDEX($AJ$2:$AJ$1001,MATCH(ROWS($AH$2:AH965),$AH$2:$AH$1001,0),0), INDEX($AO$1004:$BQ$1004,1,MATCH(COLUMNS($AO$1006:BC1006),$AO$1006:$BQ$1006,0)))),"Fix")))</f>
        <v>#N/A</v>
      </c>
      <c r="Q965" s="5" t="e">
        <f ca="1">IF(OR(INDEX($AI$2:$AI$1001,MATCH(ROWS($AH$2:AH965),$AH$2:$AH$1001,0),1)&gt;=100000,INDEX($AO$1005:$BQ$1005,1,MATCH(COLUMNS($AO$1006:BD1006),$AO$1006:$BQ$1006,0))&gt;=100000), " ",IF(INDEX($AO$2:$BQ$1001,MATCH(ROWS($AH$2:AH965),$AH$2:$AH$1001,0),MATCH(COLUMNS($AO$1006:BD1006),$AO$1006:$BQ$1006,0)), HYPERLINK("#",""), HYPERLINK(CONCATENATE("#Metadata!", ADDRESS(INDEX($AJ$2:$AJ$1001,MATCH(ROWS($AH$2:AH965),$AH$2:$AH$1001,0),0), INDEX($AO$1004:$BQ$1004,1,MATCH(COLUMNS($AO$1006:BD1006),$AO$1006:$BQ$1006,0)))),"Fix")))</f>
        <v>#N/A</v>
      </c>
      <c r="R965" s="5" t="e">
        <f ca="1">IF(OR(INDEX($AI$2:$AI$1001,MATCH(ROWS($AH$2:AH965),$AH$2:$AH$1001,0),1)&gt;=100000,INDEX($AO$1005:$BQ$1005,1,MATCH(COLUMNS($AO$1006:BE1006),$AO$1006:$BQ$1006,0))&gt;=100000), " ",IF(INDEX($AO$2:$BQ$1001,MATCH(ROWS($AH$2:AH965),$AH$2:$AH$1001,0),MATCH(COLUMNS($AO$1006:BE1006),$AO$1006:$BQ$1006,0)), HYPERLINK("#",""), HYPERLINK(CONCATENATE("#Metadata!", ADDRESS(INDEX($AJ$2:$AJ$1001,MATCH(ROWS($AH$2:AH965),$AH$2:$AH$1001,0),0), INDEX($AO$1004:$BQ$1004,1,MATCH(COLUMNS($AO$1006:BE1006),$AO$1006:$BQ$1006,0)))),"Fix")))</f>
        <v>#N/A</v>
      </c>
      <c r="S965" s="5" t="e">
        <f ca="1">IF(OR(INDEX($AI$2:$AI$1001,MATCH(ROWS($AH$2:AH965),$AH$2:$AH$1001,0),1)&gt;=100000,INDEX($AO$1005:$BQ$1005,1,MATCH(COLUMNS($AO$1006:BF1006),$AO$1006:$BQ$1006,0))&gt;=100000), " ",IF(INDEX($AO$2:$BQ$1001,MATCH(ROWS($AH$2:AH965),$AH$2:$AH$1001,0),MATCH(COLUMNS($AO$1006:BF1006),$AO$1006:$BQ$1006,0)), HYPERLINK("#",""), HYPERLINK(CONCATENATE("#Metadata!", ADDRESS(INDEX($AJ$2:$AJ$1001,MATCH(ROWS($AH$2:AH965),$AH$2:$AH$1001,0),0), INDEX($AO$1004:$BQ$1004,1,MATCH(COLUMNS($AO$1006:BF1006),$AO$1006:$BQ$1006,0)))),"Fix")))</f>
        <v>#N/A</v>
      </c>
      <c r="T965" s="5" t="e">
        <f ca="1">IF(OR(INDEX($AI$2:$AI$1001,MATCH(ROWS($AH$2:AH965),$AH$2:$AH$1001,0),1)&gt;=100000,INDEX($AO$1005:$BQ$1005,1,MATCH(COLUMNS($AO$1006:BG1006),$AO$1006:$BQ$1006,0))&gt;=100000), " ",IF(INDEX($AO$2:$BQ$1001,MATCH(ROWS($AH$2:AH965),$AH$2:$AH$1001,0),MATCH(COLUMNS($AO$1006:BG1006),$AO$1006:$BQ$1006,0)), HYPERLINK("#",""), HYPERLINK(CONCATENATE("#Metadata!", ADDRESS(INDEX($AJ$2:$AJ$1001,MATCH(ROWS($AH$2:AH965),$AH$2:$AH$1001,0),0), INDEX($AO$1004:$BQ$1004,1,MATCH(COLUMNS($AO$1006:BG1006),$AO$1006:$BQ$1006,0)))),"Fix")))</f>
        <v>#N/A</v>
      </c>
      <c r="U965" s="5" t="e">
        <f ca="1">IF(OR(INDEX($AI$2:$AI$1001,MATCH(ROWS($AH$2:AH965),$AH$2:$AH$1001,0),1)&gt;=100000,INDEX($AO$1005:$BQ$1005,1,MATCH(COLUMNS($AO$1006:BH1006),$AO$1006:$BQ$1006,0))&gt;=100000), " ",IF(INDEX($AO$2:$BQ$1001,MATCH(ROWS($AH$2:AH965),$AH$2:$AH$1001,0),MATCH(COLUMNS($AO$1006:BH1006),$AO$1006:$BQ$1006,0)), HYPERLINK("#",""), HYPERLINK(CONCATENATE("#Metadata!", ADDRESS(INDEX($AJ$2:$AJ$1001,MATCH(ROWS($AH$2:AH965),$AH$2:$AH$1001,0),0), INDEX($AO$1004:$BQ$1004,1,MATCH(COLUMNS($AO$1006:BH1006),$AO$1006:$BQ$1006,0)))),"Fix")))</f>
        <v>#N/A</v>
      </c>
      <c r="V965" s="5" t="e">
        <f ca="1">IF(OR(INDEX($AI$2:$AI$1001,MATCH(ROWS($AH$2:AH965),$AH$2:$AH$1001,0),1)&gt;=100000,INDEX($AO$1005:$BQ$1005,1,MATCH(COLUMNS($AO$1006:BI1006),$AO$1006:$BQ$1006,0))&gt;=100000), " ",IF(INDEX($AO$2:$BQ$1001,MATCH(ROWS($AH$2:AH965),$AH$2:$AH$1001,0),MATCH(COLUMNS($AO$1006:BI1006),$AO$1006:$BQ$1006,0)), HYPERLINK("#",""), HYPERLINK(CONCATENATE("#Metadata!", ADDRESS(INDEX($AJ$2:$AJ$1001,MATCH(ROWS($AH$2:AH965),$AH$2:$AH$1001,0),0), INDEX($AO$1004:$BQ$1004,1,MATCH(COLUMNS($AO$1006:BI1006),$AO$1006:$BQ$1006,0)))),"Fix")))</f>
        <v>#N/A</v>
      </c>
      <c r="W965" s="5" t="e">
        <f ca="1">IF(OR(INDEX($AI$2:$AI$1001,MATCH(ROWS($AH$2:AH965),$AH$2:$AH$1001,0),1)&gt;=100000,INDEX($AO$1005:$BQ$1005,1,MATCH(COLUMNS($AO$1006:BJ1006),$AO$1006:$BQ$1006,0))&gt;=100000), " ",IF(INDEX($AO$2:$BQ$1001,MATCH(ROWS($AH$2:AH965),$AH$2:$AH$1001,0),MATCH(COLUMNS($AO$1006:BJ1006),$AO$1006:$BQ$1006,0)), HYPERLINK("#",""), HYPERLINK(CONCATENATE("#Metadata!", ADDRESS(INDEX($AJ$2:$AJ$1001,MATCH(ROWS($AH$2:AH965),$AH$2:$AH$1001,0),0), INDEX($AO$1004:$BQ$1004,1,MATCH(COLUMNS($AO$1006:BJ1006),$AO$1006:$BQ$1006,0)))),"Fix")))</f>
        <v>#N/A</v>
      </c>
      <c r="X965" s="5" t="e">
        <f ca="1">IF(OR(INDEX($AI$2:$AI$1001,MATCH(ROWS($AH$2:AH965),$AH$2:$AH$1001,0),1)&gt;=100000,INDEX($AO$1005:$BQ$1005,1,MATCH(COLUMNS($AO$1006:BK1006),$AO$1006:$BQ$1006,0))&gt;=100000), " ",IF(INDEX($AO$2:$BQ$1001,MATCH(ROWS($AH$2:AH965),$AH$2:$AH$1001,0),MATCH(COLUMNS($AO$1006:BK1006),$AO$1006:$BQ$1006,0)), HYPERLINK("#",""), HYPERLINK(CONCATENATE("#Metadata!", ADDRESS(INDEX($AJ$2:$AJ$1001,MATCH(ROWS($AH$2:AH965),$AH$2:$AH$1001,0),0), INDEX($AO$1004:$BQ$1004,1,MATCH(COLUMNS($AO$1006:BK1006),$AO$1006:$BQ$1006,0)))),"Fix")))</f>
        <v>#N/A</v>
      </c>
      <c r="Y965" s="5" t="e">
        <f ca="1">IF(OR(INDEX($AI$2:$AI$1001,MATCH(ROWS($AH$2:AH965),$AH$2:$AH$1001,0),1)&gt;=100000,INDEX($AO$1005:$BQ$1005,1,MATCH(COLUMNS($AO$1006:BL1006),$AO$1006:$BQ$1006,0))&gt;=100000), " ",IF(INDEX($AO$2:$BQ$1001,MATCH(ROWS($AH$2:AH965),$AH$2:$AH$1001,0),MATCH(COLUMNS($AO$1006:BL1006),$AO$1006:$BQ$1006,0)), HYPERLINK("#",""), HYPERLINK(CONCATENATE("#Metadata!", ADDRESS(INDEX($AJ$2:$AJ$1001,MATCH(ROWS($AH$2:AH965),$AH$2:$AH$1001,0),0), INDEX($AO$1004:$BQ$1004,1,MATCH(COLUMNS($AO$1006:BL1006),$AO$1006:$BQ$1006,0)))),"Fix")))</f>
        <v>#N/A</v>
      </c>
      <c r="Z965" s="5" t="e">
        <f ca="1">IF(OR(INDEX($AI$2:$AI$1001,MATCH(ROWS($AH$2:AH965),$AH$2:$AH$1001,0),1)&gt;=100000,INDEX($AO$1005:$BQ$1005,1,MATCH(COLUMNS($AO$1006:BM1006),$AO$1006:$BQ$1006,0))&gt;=100000), " ",IF(INDEX($AO$2:$BQ$1001,MATCH(ROWS($AH$2:AH965),$AH$2:$AH$1001,0),MATCH(COLUMNS($AO$1006:BM1006),$AO$1006:$BQ$1006,0)), HYPERLINK("#",""), HYPERLINK(CONCATENATE("#Metadata!", ADDRESS(INDEX($AJ$2:$AJ$1001,MATCH(ROWS($AH$2:AH965),$AH$2:$AH$1001,0),0), INDEX($AO$1004:$BQ$1004,1,MATCH(COLUMNS($AO$1006:BM1006),$AO$1006:$BQ$1006,0)))),"Fix")))</f>
        <v>#N/A</v>
      </c>
      <c r="AA965" s="5" t="e">
        <f ca="1">IF(OR(INDEX($AI$2:$AI$1001,MATCH(ROWS($AH$2:AH965),$AH$2:$AH$1001,0),1)&gt;=100000,INDEX($AO$1005:$BQ$1005,1,MATCH(COLUMNS($AO$1006:BN1006),$AO$1006:$BQ$1006,0))&gt;=100000), " ",IF(INDEX($AO$2:$BQ$1001,MATCH(ROWS($AH$2:AH965),$AH$2:$AH$1001,0),MATCH(COLUMNS($AO$1006:BN1006),$AO$1006:$BQ$1006,0)), HYPERLINK("#",""), HYPERLINK(CONCATENATE("#Metadata!", ADDRESS(INDEX($AJ$2:$AJ$1001,MATCH(ROWS($AH$2:AH965),$AH$2:$AH$1001,0),0), INDEX($AO$1004:$BQ$1004,1,MATCH(COLUMNS($AO$1006:BN1006),$AO$1006:$BQ$1006,0)))),"Fix")))</f>
        <v>#N/A</v>
      </c>
      <c r="AB965" s="5" t="e">
        <f ca="1">IF(OR(INDEX($AI$2:$AI$1001,MATCH(ROWS($AH$2:AH965),$AH$2:$AH$1001,0),1)&gt;=100000,INDEX($AO$1005:$BQ$1005,1,MATCH(COLUMNS($AO$1006:BO1006),$AO$1006:$BQ$1006,0))&gt;=100000), " ",IF(INDEX($AO$2:$BQ$1001,MATCH(ROWS($AH$2:AH965),$AH$2:$AH$1001,0),MATCH(COLUMNS($AO$1006:BO1006),$AO$1006:$BQ$1006,0)), HYPERLINK("#",""), HYPERLINK(CONCATENATE("#Metadata!", ADDRESS(INDEX($AJ$2:$AJ$1001,MATCH(ROWS($AH$2:AH965),$AH$2:$AH$1001,0),0), INDEX($AO$1004:$BQ$1004,1,MATCH(COLUMNS($AO$1006:BO1006),$AO$1006:$BQ$1006,0)))),"Fix")))</f>
        <v>#N/A</v>
      </c>
      <c r="AC965" s="5" t="e">
        <f ca="1">IF(OR(INDEX($AI$2:$AI$1001,MATCH(ROWS($AH$2:AH965),$AH$2:$AH$1001,0),1)&gt;=100000,INDEX($AO$1005:$BQ$1005,1,MATCH(COLUMNS($AO$1006:BP1006),$AO$1006:$BQ$1006,0))&gt;=100000), " ",IF(INDEX($AO$2:$BQ$1001,MATCH(ROWS($AH$2:AH965),$AH$2:$AH$1001,0),MATCH(COLUMNS($AO$1006:BP1006),$AO$1006:$BQ$1006,0)), HYPERLINK("#",""), HYPERLINK(CONCATENATE("#Metadata!", ADDRESS(INDEX($AJ$2:$AJ$1001,MATCH(ROWS($AH$2:AH965),$AH$2:$AH$1001,0),0), INDEX($AO$1004:$BQ$1004,1,MATCH(COLUMNS($AO$1006:BP1006),$AO$1006:$BQ$1006,0)))),"Fix")))</f>
        <v>#N/A</v>
      </c>
      <c r="AD965" s="5" t="e">
        <f ca="1">IF(OR(INDEX($AI$2:$AI$1001,MATCH(ROWS($AH$2:AH965),$AH$2:$AH$1001,0),1)&gt;=100000,INDEX($AO$1005:$BQ$1005,1,MATCH(COLUMNS($AO$1006:BQ1006),$AO$1006:$BQ$1006,0))&gt;=100000), " ",IF(INDEX($AO$2:$BQ$1001,MATCH(ROWS($AH$2:AH965),$AH$2:$AH$1001,0),MATCH(COLUMNS($AO$1006:BQ1006),$AO$1006:$BQ$1006,0)), HYPERLINK("#",""), HYPERLINK(CONCATENATE("#Metadata!", ADDRESS(INDEX($AJ$2:$AJ$1001,MATCH(ROWS($AH$2:AH965),$AH$2:$AH$1001,0),0), INDEX($AO$1004:$BQ$1004,1,MATCH(COLUMNS($AO$1006:BQ1006),$AO$1006:$BQ$1006,0)))),"Fix")))</f>
        <v>#REF!</v>
      </c>
      <c r="AH965">
        <f ca="1"/>
        <v>962</v>
      </c>
      <c r="AI965">
        <v>100965</v>
      </c>
      <c r="AJ965">
        <v>965</v>
      </c>
      <c r="AK965" t="b">
        <f t="shared" si="15"/>
        <v>1</v>
      </c>
      <c r="AL965" t="b">
        <f>COUNTBLANK(Metadata!B965:AD965)=COLUMNS(Metadata!B965:AD965)</f>
        <v>1</v>
      </c>
      <c r="AM965" t="str">
        <v/>
      </c>
      <c r="AO965" t="b">
        <f ca="1">AND(IF(Metadata!B965="",FALSE,TRUE),COUNTIF(Metadata!B:B, Metadata!B965) = 1,NOT(ISERROR(SUMPRODUCT(SEARCH(MID(Metadata!B965,ROW(INDIRECT("1:"&amp;LEN(Metadata!B965))), 1),"0123456789abcdefghijklmnopqrstuvwxyzABCDEFGHIJKLMNOPQRSTUVWXYZ.")))))</f>
        <v>0</v>
      </c>
      <c r="AP965" t="b">
        <f>IF(Metadata!C965="",FALSE,TRUE)</f>
        <v>0</v>
      </c>
      <c r="AQ965" t="b">
        <f>IF(Metadata!D965="",FALSE,TRUE)</f>
        <v>0</v>
      </c>
      <c r="AR965" t="b">
        <f ca="1">OR(AND(IF(Metadata!E965="",FALSE,TRUE),OR(EXACT(Metadata!E965,"not collected"),EXACT(Metadata!E965,"not provided"),EXACT(Metadata!E965,"restricted access"))),AND(IF(Metadata!E965="",FALSE,TRUE),AND(AND(IFERROR(INT(LEFT(Metadata!E965,4))&gt;1900,FALSE),IFERROR(INT(LEFT(Metadata!E965,4))&lt;=YEAR(NOW()),FALSE)), OR(MID(Metadata!E965,5,1)="", AND(AND(MID(Metadata!E965,5,1)="-",IFERROR(INT(MID(Metadata!E965,6,1))&gt;=0,FALSE),IFERROR(INT(MID(Metadata!E965,6,1))&lt;=1,FALSE),NOT(MID(Metadata!E965,7,1)=""),IFERROR(INT(MID(Metadata!E965,6,2))&gt;=1,FALSE),IFERROR(INT(MID(Metadata!E965,6,2))&lt;=12,FALSE)), OR(MID(Metadata!E965,8,1)="", AND(AND(MID(Metadata!E965,8,1)="-",IFERROR(INT(MID(Metadata!E965,9,1))&gt;=0,FALSE),IFERROR(INT(MID(Metadata!E965,9,1))&lt;=3,FALSE),NOT(MID(Metadata!E965,10,1)=""),IFERROR(INT(MID(Metadata!E965,9,2))&gt;=1,FALSE),IFERROR(INT(MID(Metadata!E965,9,2))&lt;=31,FALSE)), OR(MID(Metadata!E965,11,1)="", AND(AND(MID(Metadata!E965,11,1)=" ",IFERROR(INT(MID(Metadata!E965,12,1))&gt;=0,FALSE),IFERROR(INT(MID(Metadata!E965,12,1))&lt;=2,FALSE),NOT(MID(Metadata!E965,13,1)=""),IFERROR(INT(MID(Metadata!E965,12,2))&gt;=0,FALSE),IFERROR(INT(MID(Metadata!E965,12,2))&lt;=23,FALSE)), OR(MID(Metadata!E965,14,1)="", AND(AND(MID(Metadata!E965,14,1)=":",IFERROR(INT(MID(Metadata!E965,15,1))&gt;=0,FALSE),IFERROR(INT(MID(Metadata!E965,15,1))&lt;=5,FALSE),NOT(MID(Metadata!E965,16,1)=""),IFERROR(INT(MID(Metadata!E965,15,2))&gt;=0,FALSE),IFERROR(INT(MID(Metadata!E965,15,2))&lt;=59,FALSE)), OR(MID(Metadata!E965,17,1)="", AND(AND(MID(Metadata!E965,17,1)=":",IFERROR(INT(MID(Metadata!E965,18,1))&gt;=0,FALSE),IFERROR(INT(MID(Metadata!E965,18,1))&lt;=5,FALSE),NOT(MID(Metadata!E965,19,1)=""),IFERROR(INT(MID(Metadata!E965,18,2))&gt;=0,FALSE),IFERROR(INT(MID(Metadata!E965,18,2))&lt;=59,FALSE)), LEN(Metadata!E965)&lt;=19)))))))))))))</f>
        <v>0</v>
      </c>
      <c r="AS965" t="b">
        <f>IF(Metadata!F965="",FALSE,TRUE)</f>
        <v>0</v>
      </c>
      <c r="AT965" t="b">
        <f>OR(AND(IF(Metadata!G965="",FALSE,TRUE),OR(EXACT(Metadata!G965,"not collected"),EXACT(Metadata!G965,"not provided"))),AND(IF(Metadata!G965="",FALSE,TRUE),OR(EXACT(Metadata!G965,"TRUE"),EXACT(Metadata!G965,"FALSE"))))</f>
        <v>0</v>
      </c>
      <c r="AU965" t="b">
        <f>OR(AND(IF(Metadata!H965="",FALSE,TRUE),OR(EXACT(Metadata!H965,"not collected"),EXACT(Metadata!H965,"not provided"),EXACT(Metadata!H965,"restricted access"))),AND(IF(Metadata!H965="",FALSE,ISNUMBER(VALUE(Metadata!H965))),Metadata!H965&gt;=-413))</f>
        <v>0</v>
      </c>
      <c r="AV965" t="b">
        <f>AND(IF(Metadata!I965="",FALSE,TRUE),EXACT(Metadata!I965,"meters"))</f>
        <v>0</v>
      </c>
      <c r="AW965" t="b">
        <f>AND(IF(Metadata!J965="",FALSE,TRUE),EXACT(Metadata!J965,"free-living"))</f>
        <v>0</v>
      </c>
      <c r="AX965" t="b">
        <f>AND(IF(Metadata!K965="",FALSE,TRUE),OR(EXACT(Metadata!K965,"saline"),EXACT(Metadata!K965,"non-saline")))</f>
        <v>0</v>
      </c>
      <c r="AY965" t="b">
        <f>AND(IF(Metadata!L965="",FALSE,TRUE),OR(EXACT(Metadata!L965,"sub-surface (non-saline)"),EXACT(Metadata!L965,"surface (non-saline)"),EXACT(Metadata!L965,"water (non-saline)"),EXACT(Metadata!L965,"soil (non-saline)"),EXACT(Metadata!L965,"aerosol (non-saline)"),EXACT(Metadata!L965,"sediment (non-saline)"),EXACT(Metadata!L965,"surface (saline)"),EXACT(Metadata!L965,"water (saline)"),EXACT(Metadata!L965,"hypersaline (saline)"),EXACT(Metadata!L965,"aerosol (saline)"),EXACT(Metadata!L965,"sediment (saline)")))</f>
        <v>0</v>
      </c>
      <c r="AZ965" t="b">
        <f>IF(Metadata!M965="",FALSE,TRUE)</f>
        <v>0</v>
      </c>
      <c r="BA965" t="b">
        <f>IF(Metadata!N965="",FALSE,TRUE)</f>
        <v>0</v>
      </c>
      <c r="BB965" t="b">
        <f>IF(Metadata!O965="",FALSE,TRUE)</f>
        <v>0</v>
      </c>
      <c r="BC965" t="b">
        <f>AND(IF(Metadata!P965="",FALSE,TRUE),OR(EXACT(Metadata!P965,"air"),EXACT(Metadata!P965,"microbial mat/biofilm"),EXACT(Metadata!P965,"misc environment"),EXACT(Metadata!P965,"sediment"),EXACT(Metadata!P965,"soil"),EXACT(Metadata!P965,"wastewater/sludge"),EXACT(Metadata!P965,"water")))</f>
        <v>0</v>
      </c>
      <c r="BD965" t="b">
        <f>IF(Metadata!Q965="",FALSE,TRUE)</f>
        <v>0</v>
      </c>
      <c r="BE965" t="b">
        <f>IF(Metadata!R965="",FALSE,TRUE)</f>
        <v>0</v>
      </c>
      <c r="BF965" t="b">
        <f>OR(AND(IF(Metadata!S965="",FALSE,TRUE),OR(EXACT(Metadata!S965,"not collected"),EXACT(Metadata!S965,"not provided"),EXACT(Metadata!S965,"restricted access"))),AND(IF(Metadata!S965="",FALSE,ISNUMBER(VALUE(Metadata!S965))),Metadata!S965&gt;=-90,Metadata!S965&lt;=90))</f>
        <v>0</v>
      </c>
      <c r="BG965" t="b">
        <f>AND(IF(Metadata!T965="",FALSE,TRUE),EXACT(Metadata!T965,"Decimal degrees"))</f>
        <v>0</v>
      </c>
      <c r="BH965" t="b">
        <f>OR(AND(IF(Metadata!U965="",FALSE,TRUE),OR(EXACT(Metadata!U965,"not applicable"),EXACT(Metadata!U965,"not collected"))),IF(Metadata!U965="",FALSE,TRUE))</f>
        <v>0</v>
      </c>
      <c r="BI965" t="b">
        <f>OR(AND(IF(Metadata!V965="",FALSE,TRUE),OR(EXACT(Metadata!V965,"not collected"),EXACT(Metadata!V965,"not provided"),EXACT(Metadata!V965,"restricted access"))),AND(IF(Metadata!V965="",FALSE,ISNUMBER(VALUE(Metadata!V965))),Metadata!V965&gt;=-180,Metadata!V965&lt;=180))</f>
        <v>0</v>
      </c>
      <c r="BJ965" t="b">
        <f>AND(IF(Metadata!W965="",FALSE,TRUE),EXACT(Metadata!W965,"Decimal degrees"))</f>
        <v>0</v>
      </c>
      <c r="BK965" t="b">
        <f>IF(Metadata!X965="",FALSE,TRUE)</f>
        <v>0</v>
      </c>
      <c r="BL965" t="b">
        <f>OR(AND(IF(Metadata!Y965="",FALSE,TRUE),OR(EXACT(Metadata!Y965,"not collected"),EXACT(Metadata!Y965,"not provided"),EXACT(Metadata!Y965,"restricted access"))),AND(IF(Metadata!Y965="",FALSE,TRUE),OR(EXACT(Metadata!Y965,"TRUE"),EXACT(Metadata!Y965,"FALSE"))))</f>
        <v>0</v>
      </c>
      <c r="BM965" t="b">
        <f>OR(AND(IF(Metadata!Z965="",FALSE,TRUE),EXACT(Metadata!Z965,"not applicable")),AND(IF(Metadata!Z965="",FALSE,TRUE),OR(EXACT(Metadata!Z965,"beer"),EXACT(Metadata!Z965,"cheese"),EXACT(Metadata!Z965,"fresh water"),EXACT(Metadata!Z965,"marine sediment"),EXACT(Metadata!Z965,"sea water"),EXACT(Metadata!Z965,"sediment"),EXACT(Metadata!Z965,"soil"),EXACT(Metadata!Z965,"waste water"))))</f>
        <v>0</v>
      </c>
      <c r="BN965" t="b">
        <f>AND(IF(Metadata!AA965="",FALSE,TRUE),EXACT(Metadata!AA965,"metagenome"))</f>
        <v>0</v>
      </c>
      <c r="BO965" t="b">
        <f>AND(IF(Metadata!AB965="",FALSE,TRUE),EXACT(Metadata!AB965,"256318"))</f>
        <v>0</v>
      </c>
      <c r="BP965" t="b">
        <f>IF(Metadata!AC965="",FALSE,TRUE)</f>
        <v>0</v>
      </c>
      <c r="BQ965" t="b">
        <f>IF(Metadata!AD965="",FALSE,TRUE)</f>
        <v>0</v>
      </c>
    </row>
    <row r="966" spans="1:69" x14ac:dyDescent="0.2">
      <c r="A966" s="4" t="e">
        <f ca="1">IF(B966=" "," ",HYPERLINK(CONCATENATE("#metadata!",ADDRESS(INDEX($AJ$2:$AJ$1001,MATCH(ROWS($AH$2:AH966),$AH$2:$AH$1001,0),0),2)),INDEX($AM$2:$AM$1001,MATCH(ROWS($AH$2:AH966),$AH$2:$AH$1001,0),0)))</f>
        <v>#N/A</v>
      </c>
      <c r="B966" s="5" t="e">
        <f ca="1">IF(OR(INDEX($AI$2:$AI$1001,MATCH(ROWS($AH$2:AH966),$AH$2:$AH$1001,0),1)&gt;=100000,INDEX($AO$1005:$BQ$1005,1,MATCH(COLUMNS($AO$1006:AO1006),$AO$1006:$BQ$1006,0))&gt;=100000), " ",IF(INDEX($AO$2:$BQ$1001,MATCH(ROWS($AH$2:AH966),$AH$2:$AH$1001,0),MATCH(COLUMNS($AO$1006:AO1006),$AO$1006:$BQ$1006,0)), HYPERLINK("#",""), HYPERLINK(CONCATENATE("#Metadata!", ADDRESS(INDEX($AJ$2:$AJ$1001,MATCH(ROWS($AH$2:AH966),$AH$2:$AH$1001,0),0), INDEX($AO$1004:$BQ$1004,1,MATCH(COLUMNS($AO$1006:AO1006),$AO$1006:$BQ$1006,0)))),"Fix")))</f>
        <v>#N/A</v>
      </c>
      <c r="C966" s="5" t="e">
        <f ca="1">IF(OR(INDEX($AI$2:$AI$1001,MATCH(ROWS($AH$2:AH966),$AH$2:$AH$1001,0),1)&gt;=100000,INDEX($AO$1005:$BQ$1005,1,MATCH(COLUMNS($AO$1006:AP1006),$AO$1006:$BQ$1006,0))&gt;=100000), " ",IF(INDEX($AO$2:$BQ$1001,MATCH(ROWS($AH$2:AH966),$AH$2:$AH$1001,0),MATCH(COLUMNS($AO$1006:AP1006),$AO$1006:$BQ$1006,0)), HYPERLINK("#",""), HYPERLINK(CONCATENATE("#Metadata!", ADDRESS(INDEX($AJ$2:$AJ$1001,MATCH(ROWS($AH$2:AH966),$AH$2:$AH$1001,0),0), INDEX($AO$1004:$BQ$1004,1,MATCH(COLUMNS($AO$1006:AP1006),$AO$1006:$BQ$1006,0)))),"Fix")))</f>
        <v>#N/A</v>
      </c>
      <c r="D966" s="5" t="e">
        <f ca="1">IF(OR(INDEX($AI$2:$AI$1001,MATCH(ROWS($AH$2:AH966),$AH$2:$AH$1001,0),1)&gt;=100000,INDEX($AO$1005:$BQ$1005,1,MATCH(COLUMNS($AO$1006:AQ1006),$AO$1006:$BQ$1006,0))&gt;=100000), " ",IF(INDEX($AO$2:$BQ$1001,MATCH(ROWS($AH$2:AH966),$AH$2:$AH$1001,0),MATCH(COLUMNS($AO$1006:AQ1006),$AO$1006:$BQ$1006,0)), HYPERLINK("#",""), HYPERLINK(CONCATENATE("#Metadata!", ADDRESS(INDEX($AJ$2:$AJ$1001,MATCH(ROWS($AH$2:AH966),$AH$2:$AH$1001,0),0), INDEX($AO$1004:$BQ$1004,1,MATCH(COLUMNS($AO$1006:AQ1006),$AO$1006:$BQ$1006,0)))),"Fix")))</f>
        <v>#N/A</v>
      </c>
      <c r="E966" s="5" t="e">
        <f ca="1">IF(OR(INDEX($AI$2:$AI$1001,MATCH(ROWS($AH$2:AH966),$AH$2:$AH$1001,0),1)&gt;=100000,INDEX($AO$1005:$BQ$1005,1,MATCH(COLUMNS($AO$1006:AR1006),$AO$1006:$BQ$1006,0))&gt;=100000), " ",IF(INDEX($AO$2:$BQ$1001,MATCH(ROWS($AH$2:AH966),$AH$2:$AH$1001,0),MATCH(COLUMNS($AO$1006:AR1006),$AO$1006:$BQ$1006,0)), HYPERLINK("#",""), HYPERLINK(CONCATENATE("#Metadata!", ADDRESS(INDEX($AJ$2:$AJ$1001,MATCH(ROWS($AH$2:AH966),$AH$2:$AH$1001,0),0), INDEX($AO$1004:$BQ$1004,1,MATCH(COLUMNS($AO$1006:AR1006),$AO$1006:$BQ$1006,0)))),"Fix")))</f>
        <v>#N/A</v>
      </c>
      <c r="F966" s="5" t="e">
        <f ca="1">IF(OR(INDEX($AI$2:$AI$1001,MATCH(ROWS($AH$2:AH966),$AH$2:$AH$1001,0),1)&gt;=100000,INDEX($AO$1005:$BQ$1005,1,MATCH(COLUMNS($AO$1006:AS1006),$AO$1006:$BQ$1006,0))&gt;=100000), " ",IF(INDEX($AO$2:$BQ$1001,MATCH(ROWS($AH$2:AH966),$AH$2:$AH$1001,0),MATCH(COLUMNS($AO$1006:AS1006),$AO$1006:$BQ$1006,0)), HYPERLINK("#",""), HYPERLINK(CONCATENATE("#Metadata!", ADDRESS(INDEX($AJ$2:$AJ$1001,MATCH(ROWS($AH$2:AH966),$AH$2:$AH$1001,0),0), INDEX($AO$1004:$BQ$1004,1,MATCH(COLUMNS($AO$1006:AS1006),$AO$1006:$BQ$1006,0)))),"Fix")))</f>
        <v>#N/A</v>
      </c>
      <c r="G966" s="5" t="e">
        <f ca="1">IF(OR(INDEX($AI$2:$AI$1001,MATCH(ROWS($AH$2:AH966),$AH$2:$AH$1001,0),1)&gt;=100000,INDEX($AO$1005:$BQ$1005,1,MATCH(COLUMNS($AO$1006:AT1006),$AO$1006:$BQ$1006,0))&gt;=100000), " ",IF(INDEX($AO$2:$BQ$1001,MATCH(ROWS($AH$2:AH966),$AH$2:$AH$1001,0),MATCH(COLUMNS($AO$1006:AT1006),$AO$1006:$BQ$1006,0)), HYPERLINK("#",""), HYPERLINK(CONCATENATE("#Metadata!", ADDRESS(INDEX($AJ$2:$AJ$1001,MATCH(ROWS($AH$2:AH966),$AH$2:$AH$1001,0),0), INDEX($AO$1004:$BQ$1004,1,MATCH(COLUMNS($AO$1006:AT1006),$AO$1006:$BQ$1006,0)))),"Fix")))</f>
        <v>#N/A</v>
      </c>
      <c r="H966" s="5" t="e">
        <f ca="1">IF(OR(INDEX($AI$2:$AI$1001,MATCH(ROWS($AH$2:AH966),$AH$2:$AH$1001,0),1)&gt;=100000,INDEX($AO$1005:$BQ$1005,1,MATCH(COLUMNS($AO$1006:AU1006),$AO$1006:$BQ$1006,0))&gt;=100000), " ",IF(INDEX($AO$2:$BQ$1001,MATCH(ROWS($AH$2:AH966),$AH$2:$AH$1001,0),MATCH(COLUMNS($AO$1006:AU1006),$AO$1006:$BQ$1006,0)), HYPERLINK("#",""), HYPERLINK(CONCATENATE("#Metadata!", ADDRESS(INDEX($AJ$2:$AJ$1001,MATCH(ROWS($AH$2:AH966),$AH$2:$AH$1001,0),0), INDEX($AO$1004:$BQ$1004,1,MATCH(COLUMNS($AO$1006:AU1006),$AO$1006:$BQ$1006,0)))),"Fix")))</f>
        <v>#N/A</v>
      </c>
      <c r="I966" s="5" t="e">
        <f ca="1">IF(OR(INDEX($AI$2:$AI$1001,MATCH(ROWS($AH$2:AH966),$AH$2:$AH$1001,0),1)&gt;=100000,INDEX($AO$1005:$BQ$1005,1,MATCH(COLUMNS($AO$1006:AV1006),$AO$1006:$BQ$1006,0))&gt;=100000), " ",IF(INDEX($AO$2:$BQ$1001,MATCH(ROWS($AH$2:AH966),$AH$2:$AH$1001,0),MATCH(COLUMNS($AO$1006:AV1006),$AO$1006:$BQ$1006,0)), HYPERLINK("#",""), HYPERLINK(CONCATENATE("#Metadata!", ADDRESS(INDEX($AJ$2:$AJ$1001,MATCH(ROWS($AH$2:AH966),$AH$2:$AH$1001,0),0), INDEX($AO$1004:$BQ$1004,1,MATCH(COLUMNS($AO$1006:AV1006),$AO$1006:$BQ$1006,0)))),"Fix")))</f>
        <v>#N/A</v>
      </c>
      <c r="J966" s="5" t="e">
        <f ca="1">IF(OR(INDEX($AI$2:$AI$1001,MATCH(ROWS($AH$2:AH966),$AH$2:$AH$1001,0),1)&gt;=100000,INDEX($AO$1005:$BQ$1005,1,MATCH(COLUMNS($AO$1006:AW1006),$AO$1006:$BQ$1006,0))&gt;=100000), " ",IF(INDEX($AO$2:$BQ$1001,MATCH(ROWS($AH$2:AH966),$AH$2:$AH$1001,0),MATCH(COLUMNS($AO$1006:AW1006),$AO$1006:$BQ$1006,0)), HYPERLINK("#",""), HYPERLINK(CONCATENATE("#Metadata!", ADDRESS(INDEX($AJ$2:$AJ$1001,MATCH(ROWS($AH$2:AH966),$AH$2:$AH$1001,0),0), INDEX($AO$1004:$BQ$1004,1,MATCH(COLUMNS($AO$1006:AW1006),$AO$1006:$BQ$1006,0)))),"Fix")))</f>
        <v>#N/A</v>
      </c>
      <c r="K966" s="5" t="e">
        <f ca="1">IF(OR(INDEX($AI$2:$AI$1001,MATCH(ROWS($AH$2:AH966),$AH$2:$AH$1001,0),1)&gt;=100000,INDEX($AO$1005:$BQ$1005,1,MATCH(COLUMNS($AO$1006:AX1006),$AO$1006:$BQ$1006,0))&gt;=100000), " ",IF(INDEX($AO$2:$BQ$1001,MATCH(ROWS($AH$2:AH966),$AH$2:$AH$1001,0),MATCH(COLUMNS($AO$1006:AX1006),$AO$1006:$BQ$1006,0)), HYPERLINK("#",""), HYPERLINK(CONCATENATE("#Metadata!", ADDRESS(INDEX($AJ$2:$AJ$1001,MATCH(ROWS($AH$2:AH966),$AH$2:$AH$1001,0),0), INDEX($AO$1004:$BQ$1004,1,MATCH(COLUMNS($AO$1006:AX1006),$AO$1006:$BQ$1006,0)))),"Fix")))</f>
        <v>#N/A</v>
      </c>
      <c r="L966" s="5" t="e">
        <f ca="1">IF(OR(INDEX($AI$2:$AI$1001,MATCH(ROWS($AH$2:AH966),$AH$2:$AH$1001,0),1)&gt;=100000,INDEX($AO$1005:$BQ$1005,1,MATCH(COLUMNS($AO$1006:AY1006),$AO$1006:$BQ$1006,0))&gt;=100000), " ",IF(INDEX($AO$2:$BQ$1001,MATCH(ROWS($AH$2:AH966),$AH$2:$AH$1001,0),MATCH(COLUMNS($AO$1006:AY1006),$AO$1006:$BQ$1006,0)), HYPERLINK("#",""), HYPERLINK(CONCATENATE("#Metadata!", ADDRESS(INDEX($AJ$2:$AJ$1001,MATCH(ROWS($AH$2:AH966),$AH$2:$AH$1001,0),0), INDEX($AO$1004:$BQ$1004,1,MATCH(COLUMNS($AO$1006:AY1006),$AO$1006:$BQ$1006,0)))),"Fix")))</f>
        <v>#N/A</v>
      </c>
      <c r="M966" s="5" t="e">
        <f ca="1">IF(OR(INDEX($AI$2:$AI$1001,MATCH(ROWS($AH$2:AH966),$AH$2:$AH$1001,0),1)&gt;=100000,INDEX($AO$1005:$BQ$1005,1,MATCH(COLUMNS($AO$1006:AZ1006),$AO$1006:$BQ$1006,0))&gt;=100000), " ",IF(INDEX($AO$2:$BQ$1001,MATCH(ROWS($AH$2:AH966),$AH$2:$AH$1001,0),MATCH(COLUMNS($AO$1006:AZ1006),$AO$1006:$BQ$1006,0)), HYPERLINK("#",""), HYPERLINK(CONCATENATE("#Metadata!", ADDRESS(INDEX($AJ$2:$AJ$1001,MATCH(ROWS($AH$2:AH966),$AH$2:$AH$1001,0),0), INDEX($AO$1004:$BQ$1004,1,MATCH(COLUMNS($AO$1006:AZ1006),$AO$1006:$BQ$1006,0)))),"Fix")))</f>
        <v>#N/A</v>
      </c>
      <c r="N966" s="5" t="e">
        <f ca="1">IF(OR(INDEX($AI$2:$AI$1001,MATCH(ROWS($AH$2:AH966),$AH$2:$AH$1001,0),1)&gt;=100000,INDEX($AO$1005:$BQ$1005,1,MATCH(COLUMNS($AO$1006:BA1006),$AO$1006:$BQ$1006,0))&gt;=100000), " ",IF(INDEX($AO$2:$BQ$1001,MATCH(ROWS($AH$2:AH966),$AH$2:$AH$1001,0),MATCH(COLUMNS($AO$1006:BA1006),$AO$1006:$BQ$1006,0)), HYPERLINK("#",""), HYPERLINK(CONCATENATE("#Metadata!", ADDRESS(INDEX($AJ$2:$AJ$1001,MATCH(ROWS($AH$2:AH966),$AH$2:$AH$1001,0),0), INDEX($AO$1004:$BQ$1004,1,MATCH(COLUMNS($AO$1006:BA1006),$AO$1006:$BQ$1006,0)))),"Fix")))</f>
        <v>#N/A</v>
      </c>
      <c r="O966" s="5" t="e">
        <f ca="1">IF(OR(INDEX($AI$2:$AI$1001,MATCH(ROWS($AH$2:AH966),$AH$2:$AH$1001,0),1)&gt;=100000,INDEX($AO$1005:$BQ$1005,1,MATCH(COLUMNS($AO$1006:BB1006),$AO$1006:$BQ$1006,0))&gt;=100000), " ",IF(INDEX($AO$2:$BQ$1001,MATCH(ROWS($AH$2:AH966),$AH$2:$AH$1001,0),MATCH(COLUMNS($AO$1006:BB1006),$AO$1006:$BQ$1006,0)), HYPERLINK("#",""), HYPERLINK(CONCATENATE("#Metadata!", ADDRESS(INDEX($AJ$2:$AJ$1001,MATCH(ROWS($AH$2:AH966),$AH$2:$AH$1001,0),0), INDEX($AO$1004:$BQ$1004,1,MATCH(COLUMNS($AO$1006:BB1006),$AO$1006:$BQ$1006,0)))),"Fix")))</f>
        <v>#N/A</v>
      </c>
      <c r="P966" s="5" t="e">
        <f ca="1">IF(OR(INDEX($AI$2:$AI$1001,MATCH(ROWS($AH$2:AH966),$AH$2:$AH$1001,0),1)&gt;=100000,INDEX($AO$1005:$BQ$1005,1,MATCH(COLUMNS($AO$1006:BC1006),$AO$1006:$BQ$1006,0))&gt;=100000), " ",IF(INDEX($AO$2:$BQ$1001,MATCH(ROWS($AH$2:AH966),$AH$2:$AH$1001,0),MATCH(COLUMNS($AO$1006:BC1006),$AO$1006:$BQ$1006,0)), HYPERLINK("#",""), HYPERLINK(CONCATENATE("#Metadata!", ADDRESS(INDEX($AJ$2:$AJ$1001,MATCH(ROWS($AH$2:AH966),$AH$2:$AH$1001,0),0), INDEX($AO$1004:$BQ$1004,1,MATCH(COLUMNS($AO$1006:BC1006),$AO$1006:$BQ$1006,0)))),"Fix")))</f>
        <v>#N/A</v>
      </c>
      <c r="Q966" s="5" t="e">
        <f ca="1">IF(OR(INDEX($AI$2:$AI$1001,MATCH(ROWS($AH$2:AH966),$AH$2:$AH$1001,0),1)&gt;=100000,INDEX($AO$1005:$BQ$1005,1,MATCH(COLUMNS($AO$1006:BD1006),$AO$1006:$BQ$1006,0))&gt;=100000), " ",IF(INDEX($AO$2:$BQ$1001,MATCH(ROWS($AH$2:AH966),$AH$2:$AH$1001,0),MATCH(COLUMNS($AO$1006:BD1006),$AO$1006:$BQ$1006,0)), HYPERLINK("#",""), HYPERLINK(CONCATENATE("#Metadata!", ADDRESS(INDEX($AJ$2:$AJ$1001,MATCH(ROWS($AH$2:AH966),$AH$2:$AH$1001,0),0), INDEX($AO$1004:$BQ$1004,1,MATCH(COLUMNS($AO$1006:BD1006),$AO$1006:$BQ$1006,0)))),"Fix")))</f>
        <v>#N/A</v>
      </c>
      <c r="R966" s="5" t="e">
        <f ca="1">IF(OR(INDEX($AI$2:$AI$1001,MATCH(ROWS($AH$2:AH966),$AH$2:$AH$1001,0),1)&gt;=100000,INDEX($AO$1005:$BQ$1005,1,MATCH(COLUMNS($AO$1006:BE1006),$AO$1006:$BQ$1006,0))&gt;=100000), " ",IF(INDEX($AO$2:$BQ$1001,MATCH(ROWS($AH$2:AH966),$AH$2:$AH$1001,0),MATCH(COLUMNS($AO$1006:BE1006),$AO$1006:$BQ$1006,0)), HYPERLINK("#",""), HYPERLINK(CONCATENATE("#Metadata!", ADDRESS(INDEX($AJ$2:$AJ$1001,MATCH(ROWS($AH$2:AH966),$AH$2:$AH$1001,0),0), INDEX($AO$1004:$BQ$1004,1,MATCH(COLUMNS($AO$1006:BE1006),$AO$1006:$BQ$1006,0)))),"Fix")))</f>
        <v>#N/A</v>
      </c>
      <c r="S966" s="5" t="e">
        <f ca="1">IF(OR(INDEX($AI$2:$AI$1001,MATCH(ROWS($AH$2:AH966),$AH$2:$AH$1001,0),1)&gt;=100000,INDEX($AO$1005:$BQ$1005,1,MATCH(COLUMNS($AO$1006:BF1006),$AO$1006:$BQ$1006,0))&gt;=100000), " ",IF(INDEX($AO$2:$BQ$1001,MATCH(ROWS($AH$2:AH966),$AH$2:$AH$1001,0),MATCH(COLUMNS($AO$1006:BF1006),$AO$1006:$BQ$1006,0)), HYPERLINK("#",""), HYPERLINK(CONCATENATE("#Metadata!", ADDRESS(INDEX($AJ$2:$AJ$1001,MATCH(ROWS($AH$2:AH966),$AH$2:$AH$1001,0),0), INDEX($AO$1004:$BQ$1004,1,MATCH(COLUMNS($AO$1006:BF1006),$AO$1006:$BQ$1006,0)))),"Fix")))</f>
        <v>#N/A</v>
      </c>
      <c r="T966" s="5" t="e">
        <f ca="1">IF(OR(INDEX($AI$2:$AI$1001,MATCH(ROWS($AH$2:AH966),$AH$2:$AH$1001,0),1)&gt;=100000,INDEX($AO$1005:$BQ$1005,1,MATCH(COLUMNS($AO$1006:BG1006),$AO$1006:$BQ$1006,0))&gt;=100000), " ",IF(INDEX($AO$2:$BQ$1001,MATCH(ROWS($AH$2:AH966),$AH$2:$AH$1001,0),MATCH(COLUMNS($AO$1006:BG1006),$AO$1006:$BQ$1006,0)), HYPERLINK("#",""), HYPERLINK(CONCATENATE("#Metadata!", ADDRESS(INDEX($AJ$2:$AJ$1001,MATCH(ROWS($AH$2:AH966),$AH$2:$AH$1001,0),0), INDEX($AO$1004:$BQ$1004,1,MATCH(COLUMNS($AO$1006:BG1006),$AO$1006:$BQ$1006,0)))),"Fix")))</f>
        <v>#N/A</v>
      </c>
      <c r="U966" s="5" t="e">
        <f ca="1">IF(OR(INDEX($AI$2:$AI$1001,MATCH(ROWS($AH$2:AH966),$AH$2:$AH$1001,0),1)&gt;=100000,INDEX($AO$1005:$BQ$1005,1,MATCH(COLUMNS($AO$1006:BH1006),$AO$1006:$BQ$1006,0))&gt;=100000), " ",IF(INDEX($AO$2:$BQ$1001,MATCH(ROWS($AH$2:AH966),$AH$2:$AH$1001,0),MATCH(COLUMNS($AO$1006:BH1006),$AO$1006:$BQ$1006,0)), HYPERLINK("#",""), HYPERLINK(CONCATENATE("#Metadata!", ADDRESS(INDEX($AJ$2:$AJ$1001,MATCH(ROWS($AH$2:AH966),$AH$2:$AH$1001,0),0), INDEX($AO$1004:$BQ$1004,1,MATCH(COLUMNS($AO$1006:BH1006),$AO$1006:$BQ$1006,0)))),"Fix")))</f>
        <v>#N/A</v>
      </c>
      <c r="V966" s="5" t="e">
        <f ca="1">IF(OR(INDEX($AI$2:$AI$1001,MATCH(ROWS($AH$2:AH966),$AH$2:$AH$1001,0),1)&gt;=100000,INDEX($AO$1005:$BQ$1005,1,MATCH(COLUMNS($AO$1006:BI1006),$AO$1006:$BQ$1006,0))&gt;=100000), " ",IF(INDEX($AO$2:$BQ$1001,MATCH(ROWS($AH$2:AH966),$AH$2:$AH$1001,0),MATCH(COLUMNS($AO$1006:BI1006),$AO$1006:$BQ$1006,0)), HYPERLINK("#",""), HYPERLINK(CONCATENATE("#Metadata!", ADDRESS(INDEX($AJ$2:$AJ$1001,MATCH(ROWS($AH$2:AH966),$AH$2:$AH$1001,0),0), INDEX($AO$1004:$BQ$1004,1,MATCH(COLUMNS($AO$1006:BI1006),$AO$1006:$BQ$1006,0)))),"Fix")))</f>
        <v>#N/A</v>
      </c>
      <c r="W966" s="5" t="e">
        <f ca="1">IF(OR(INDEX($AI$2:$AI$1001,MATCH(ROWS($AH$2:AH966),$AH$2:$AH$1001,0),1)&gt;=100000,INDEX($AO$1005:$BQ$1005,1,MATCH(COLUMNS($AO$1006:BJ1006),$AO$1006:$BQ$1006,0))&gt;=100000), " ",IF(INDEX($AO$2:$BQ$1001,MATCH(ROWS($AH$2:AH966),$AH$2:$AH$1001,0),MATCH(COLUMNS($AO$1006:BJ1006),$AO$1006:$BQ$1006,0)), HYPERLINK("#",""), HYPERLINK(CONCATENATE("#Metadata!", ADDRESS(INDEX($AJ$2:$AJ$1001,MATCH(ROWS($AH$2:AH966),$AH$2:$AH$1001,0),0), INDEX($AO$1004:$BQ$1004,1,MATCH(COLUMNS($AO$1006:BJ1006),$AO$1006:$BQ$1006,0)))),"Fix")))</f>
        <v>#N/A</v>
      </c>
      <c r="X966" s="5" t="e">
        <f ca="1">IF(OR(INDEX($AI$2:$AI$1001,MATCH(ROWS($AH$2:AH966),$AH$2:$AH$1001,0),1)&gt;=100000,INDEX($AO$1005:$BQ$1005,1,MATCH(COLUMNS($AO$1006:BK1006),$AO$1006:$BQ$1006,0))&gt;=100000), " ",IF(INDEX($AO$2:$BQ$1001,MATCH(ROWS($AH$2:AH966),$AH$2:$AH$1001,0),MATCH(COLUMNS($AO$1006:BK1006),$AO$1006:$BQ$1006,0)), HYPERLINK("#",""), HYPERLINK(CONCATENATE("#Metadata!", ADDRESS(INDEX($AJ$2:$AJ$1001,MATCH(ROWS($AH$2:AH966),$AH$2:$AH$1001,0),0), INDEX($AO$1004:$BQ$1004,1,MATCH(COLUMNS($AO$1006:BK1006),$AO$1006:$BQ$1006,0)))),"Fix")))</f>
        <v>#N/A</v>
      </c>
      <c r="Y966" s="5" t="e">
        <f ca="1">IF(OR(INDEX($AI$2:$AI$1001,MATCH(ROWS($AH$2:AH966),$AH$2:$AH$1001,0),1)&gt;=100000,INDEX($AO$1005:$BQ$1005,1,MATCH(COLUMNS($AO$1006:BL1006),$AO$1006:$BQ$1006,0))&gt;=100000), " ",IF(INDEX($AO$2:$BQ$1001,MATCH(ROWS($AH$2:AH966),$AH$2:$AH$1001,0),MATCH(COLUMNS($AO$1006:BL1006),$AO$1006:$BQ$1006,0)), HYPERLINK("#",""), HYPERLINK(CONCATENATE("#Metadata!", ADDRESS(INDEX($AJ$2:$AJ$1001,MATCH(ROWS($AH$2:AH966),$AH$2:$AH$1001,0),0), INDEX($AO$1004:$BQ$1004,1,MATCH(COLUMNS($AO$1006:BL1006),$AO$1006:$BQ$1006,0)))),"Fix")))</f>
        <v>#N/A</v>
      </c>
      <c r="Z966" s="5" t="e">
        <f ca="1">IF(OR(INDEX($AI$2:$AI$1001,MATCH(ROWS($AH$2:AH966),$AH$2:$AH$1001,0),1)&gt;=100000,INDEX($AO$1005:$BQ$1005,1,MATCH(COLUMNS($AO$1006:BM1006),$AO$1006:$BQ$1006,0))&gt;=100000), " ",IF(INDEX($AO$2:$BQ$1001,MATCH(ROWS($AH$2:AH966),$AH$2:$AH$1001,0),MATCH(COLUMNS($AO$1006:BM1006),$AO$1006:$BQ$1006,0)), HYPERLINK("#",""), HYPERLINK(CONCATENATE("#Metadata!", ADDRESS(INDEX($AJ$2:$AJ$1001,MATCH(ROWS($AH$2:AH966),$AH$2:$AH$1001,0),0), INDEX($AO$1004:$BQ$1004,1,MATCH(COLUMNS($AO$1006:BM1006),$AO$1006:$BQ$1006,0)))),"Fix")))</f>
        <v>#N/A</v>
      </c>
      <c r="AA966" s="5" t="e">
        <f ca="1">IF(OR(INDEX($AI$2:$AI$1001,MATCH(ROWS($AH$2:AH966),$AH$2:$AH$1001,0),1)&gt;=100000,INDEX($AO$1005:$BQ$1005,1,MATCH(COLUMNS($AO$1006:BN1006),$AO$1006:$BQ$1006,0))&gt;=100000), " ",IF(INDEX($AO$2:$BQ$1001,MATCH(ROWS($AH$2:AH966),$AH$2:$AH$1001,0),MATCH(COLUMNS($AO$1006:BN1006),$AO$1006:$BQ$1006,0)), HYPERLINK("#",""), HYPERLINK(CONCATENATE("#Metadata!", ADDRESS(INDEX($AJ$2:$AJ$1001,MATCH(ROWS($AH$2:AH966),$AH$2:$AH$1001,0),0), INDEX($AO$1004:$BQ$1004,1,MATCH(COLUMNS($AO$1006:BN1006),$AO$1006:$BQ$1006,0)))),"Fix")))</f>
        <v>#N/A</v>
      </c>
      <c r="AB966" s="5" t="e">
        <f ca="1">IF(OR(INDEX($AI$2:$AI$1001,MATCH(ROWS($AH$2:AH966),$AH$2:$AH$1001,0),1)&gt;=100000,INDEX($AO$1005:$BQ$1005,1,MATCH(COLUMNS($AO$1006:BO1006),$AO$1006:$BQ$1006,0))&gt;=100000), " ",IF(INDEX($AO$2:$BQ$1001,MATCH(ROWS($AH$2:AH966),$AH$2:$AH$1001,0),MATCH(COLUMNS($AO$1006:BO1006),$AO$1006:$BQ$1006,0)), HYPERLINK("#",""), HYPERLINK(CONCATENATE("#Metadata!", ADDRESS(INDEX($AJ$2:$AJ$1001,MATCH(ROWS($AH$2:AH966),$AH$2:$AH$1001,0),0), INDEX($AO$1004:$BQ$1004,1,MATCH(COLUMNS($AO$1006:BO1006),$AO$1006:$BQ$1006,0)))),"Fix")))</f>
        <v>#N/A</v>
      </c>
      <c r="AC966" s="5" t="e">
        <f ca="1">IF(OR(INDEX($AI$2:$AI$1001,MATCH(ROWS($AH$2:AH966),$AH$2:$AH$1001,0),1)&gt;=100000,INDEX($AO$1005:$BQ$1005,1,MATCH(COLUMNS($AO$1006:BP1006),$AO$1006:$BQ$1006,0))&gt;=100000), " ",IF(INDEX($AO$2:$BQ$1001,MATCH(ROWS($AH$2:AH966),$AH$2:$AH$1001,0),MATCH(COLUMNS($AO$1006:BP1006),$AO$1006:$BQ$1006,0)), HYPERLINK("#",""), HYPERLINK(CONCATENATE("#Metadata!", ADDRESS(INDEX($AJ$2:$AJ$1001,MATCH(ROWS($AH$2:AH966),$AH$2:$AH$1001,0),0), INDEX($AO$1004:$BQ$1004,1,MATCH(COLUMNS($AO$1006:BP1006),$AO$1006:$BQ$1006,0)))),"Fix")))</f>
        <v>#N/A</v>
      </c>
      <c r="AD966" s="5" t="e">
        <f ca="1">IF(OR(INDEX($AI$2:$AI$1001,MATCH(ROWS($AH$2:AH966),$AH$2:$AH$1001,0),1)&gt;=100000,INDEX($AO$1005:$BQ$1005,1,MATCH(COLUMNS($AO$1006:BQ1006),$AO$1006:$BQ$1006,0))&gt;=100000), " ",IF(INDEX($AO$2:$BQ$1001,MATCH(ROWS($AH$2:AH966),$AH$2:$AH$1001,0),MATCH(COLUMNS($AO$1006:BQ1006),$AO$1006:$BQ$1006,0)), HYPERLINK("#",""), HYPERLINK(CONCATENATE("#Metadata!", ADDRESS(INDEX($AJ$2:$AJ$1001,MATCH(ROWS($AH$2:AH966),$AH$2:$AH$1001,0),0), INDEX($AO$1004:$BQ$1004,1,MATCH(COLUMNS($AO$1006:BQ1006),$AO$1006:$BQ$1006,0)))),"Fix")))</f>
        <v>#REF!</v>
      </c>
      <c r="AH966">
        <f ca="1"/>
        <v>963</v>
      </c>
      <c r="AI966">
        <v>100966</v>
      </c>
      <c r="AJ966">
        <v>966</v>
      </c>
      <c r="AK966" t="b">
        <f t="shared" si="15"/>
        <v>1</v>
      </c>
      <c r="AL966" t="b">
        <f>COUNTBLANK(Metadata!B966:AD966)=COLUMNS(Metadata!B966:AD966)</f>
        <v>1</v>
      </c>
      <c r="AM966" t="str">
        <v/>
      </c>
      <c r="AO966" t="b">
        <f ca="1">AND(IF(Metadata!B966="",FALSE,TRUE),COUNTIF(Metadata!B:B, Metadata!B966) = 1,NOT(ISERROR(SUMPRODUCT(SEARCH(MID(Metadata!B966,ROW(INDIRECT("1:"&amp;LEN(Metadata!B966))), 1),"0123456789abcdefghijklmnopqrstuvwxyzABCDEFGHIJKLMNOPQRSTUVWXYZ.")))))</f>
        <v>0</v>
      </c>
      <c r="AP966" t="b">
        <f>IF(Metadata!C966="",FALSE,TRUE)</f>
        <v>0</v>
      </c>
      <c r="AQ966" t="b">
        <f>IF(Metadata!D966="",FALSE,TRUE)</f>
        <v>0</v>
      </c>
      <c r="AR966" t="b">
        <f ca="1">OR(AND(IF(Metadata!E966="",FALSE,TRUE),OR(EXACT(Metadata!E966,"not collected"),EXACT(Metadata!E966,"not provided"),EXACT(Metadata!E966,"restricted access"))),AND(IF(Metadata!E966="",FALSE,TRUE),AND(AND(IFERROR(INT(LEFT(Metadata!E966,4))&gt;1900,FALSE),IFERROR(INT(LEFT(Metadata!E966,4))&lt;=YEAR(NOW()),FALSE)), OR(MID(Metadata!E966,5,1)="", AND(AND(MID(Metadata!E966,5,1)="-",IFERROR(INT(MID(Metadata!E966,6,1))&gt;=0,FALSE),IFERROR(INT(MID(Metadata!E966,6,1))&lt;=1,FALSE),NOT(MID(Metadata!E966,7,1)=""),IFERROR(INT(MID(Metadata!E966,6,2))&gt;=1,FALSE),IFERROR(INT(MID(Metadata!E966,6,2))&lt;=12,FALSE)), OR(MID(Metadata!E966,8,1)="", AND(AND(MID(Metadata!E966,8,1)="-",IFERROR(INT(MID(Metadata!E966,9,1))&gt;=0,FALSE),IFERROR(INT(MID(Metadata!E966,9,1))&lt;=3,FALSE),NOT(MID(Metadata!E966,10,1)=""),IFERROR(INT(MID(Metadata!E966,9,2))&gt;=1,FALSE),IFERROR(INT(MID(Metadata!E966,9,2))&lt;=31,FALSE)), OR(MID(Metadata!E966,11,1)="", AND(AND(MID(Metadata!E966,11,1)=" ",IFERROR(INT(MID(Metadata!E966,12,1))&gt;=0,FALSE),IFERROR(INT(MID(Metadata!E966,12,1))&lt;=2,FALSE),NOT(MID(Metadata!E966,13,1)=""),IFERROR(INT(MID(Metadata!E966,12,2))&gt;=0,FALSE),IFERROR(INT(MID(Metadata!E966,12,2))&lt;=23,FALSE)), OR(MID(Metadata!E966,14,1)="", AND(AND(MID(Metadata!E966,14,1)=":",IFERROR(INT(MID(Metadata!E966,15,1))&gt;=0,FALSE),IFERROR(INT(MID(Metadata!E966,15,1))&lt;=5,FALSE),NOT(MID(Metadata!E966,16,1)=""),IFERROR(INT(MID(Metadata!E966,15,2))&gt;=0,FALSE),IFERROR(INT(MID(Metadata!E966,15,2))&lt;=59,FALSE)), OR(MID(Metadata!E966,17,1)="", AND(AND(MID(Metadata!E966,17,1)=":",IFERROR(INT(MID(Metadata!E966,18,1))&gt;=0,FALSE),IFERROR(INT(MID(Metadata!E966,18,1))&lt;=5,FALSE),NOT(MID(Metadata!E966,19,1)=""),IFERROR(INT(MID(Metadata!E966,18,2))&gt;=0,FALSE),IFERROR(INT(MID(Metadata!E966,18,2))&lt;=59,FALSE)), LEN(Metadata!E966)&lt;=19)))))))))))))</f>
        <v>0</v>
      </c>
      <c r="AS966" t="b">
        <f>IF(Metadata!F966="",FALSE,TRUE)</f>
        <v>0</v>
      </c>
      <c r="AT966" t="b">
        <f>OR(AND(IF(Metadata!G966="",FALSE,TRUE),OR(EXACT(Metadata!G966,"not collected"),EXACT(Metadata!G966,"not provided"))),AND(IF(Metadata!G966="",FALSE,TRUE),OR(EXACT(Metadata!G966,"TRUE"),EXACT(Metadata!G966,"FALSE"))))</f>
        <v>0</v>
      </c>
      <c r="AU966" t="b">
        <f>OR(AND(IF(Metadata!H966="",FALSE,TRUE),OR(EXACT(Metadata!H966,"not collected"),EXACT(Metadata!H966,"not provided"),EXACT(Metadata!H966,"restricted access"))),AND(IF(Metadata!H966="",FALSE,ISNUMBER(VALUE(Metadata!H966))),Metadata!H966&gt;=-413))</f>
        <v>0</v>
      </c>
      <c r="AV966" t="b">
        <f>AND(IF(Metadata!I966="",FALSE,TRUE),EXACT(Metadata!I966,"meters"))</f>
        <v>0</v>
      </c>
      <c r="AW966" t="b">
        <f>AND(IF(Metadata!J966="",FALSE,TRUE),EXACT(Metadata!J966,"free-living"))</f>
        <v>0</v>
      </c>
      <c r="AX966" t="b">
        <f>AND(IF(Metadata!K966="",FALSE,TRUE),OR(EXACT(Metadata!K966,"saline"),EXACT(Metadata!K966,"non-saline")))</f>
        <v>0</v>
      </c>
      <c r="AY966" t="b">
        <f>AND(IF(Metadata!L966="",FALSE,TRUE),OR(EXACT(Metadata!L966,"sub-surface (non-saline)"),EXACT(Metadata!L966,"surface (non-saline)"),EXACT(Metadata!L966,"water (non-saline)"),EXACT(Metadata!L966,"soil (non-saline)"),EXACT(Metadata!L966,"aerosol (non-saline)"),EXACT(Metadata!L966,"sediment (non-saline)"),EXACT(Metadata!L966,"surface (saline)"),EXACT(Metadata!L966,"water (saline)"),EXACT(Metadata!L966,"hypersaline (saline)"),EXACT(Metadata!L966,"aerosol (saline)"),EXACT(Metadata!L966,"sediment (saline)")))</f>
        <v>0</v>
      </c>
      <c r="AZ966" t="b">
        <f>IF(Metadata!M966="",FALSE,TRUE)</f>
        <v>0</v>
      </c>
      <c r="BA966" t="b">
        <f>IF(Metadata!N966="",FALSE,TRUE)</f>
        <v>0</v>
      </c>
      <c r="BB966" t="b">
        <f>IF(Metadata!O966="",FALSE,TRUE)</f>
        <v>0</v>
      </c>
      <c r="BC966" t="b">
        <f>AND(IF(Metadata!P966="",FALSE,TRUE),OR(EXACT(Metadata!P966,"air"),EXACT(Metadata!P966,"microbial mat/biofilm"),EXACT(Metadata!P966,"misc environment"),EXACT(Metadata!P966,"sediment"),EXACT(Metadata!P966,"soil"),EXACT(Metadata!P966,"wastewater/sludge"),EXACT(Metadata!P966,"water")))</f>
        <v>0</v>
      </c>
      <c r="BD966" t="b">
        <f>IF(Metadata!Q966="",FALSE,TRUE)</f>
        <v>0</v>
      </c>
      <c r="BE966" t="b">
        <f>IF(Metadata!R966="",FALSE,TRUE)</f>
        <v>0</v>
      </c>
      <c r="BF966" t="b">
        <f>OR(AND(IF(Metadata!S966="",FALSE,TRUE),OR(EXACT(Metadata!S966,"not collected"),EXACT(Metadata!S966,"not provided"),EXACT(Metadata!S966,"restricted access"))),AND(IF(Metadata!S966="",FALSE,ISNUMBER(VALUE(Metadata!S966))),Metadata!S966&gt;=-90,Metadata!S966&lt;=90))</f>
        <v>0</v>
      </c>
      <c r="BG966" t="b">
        <f>AND(IF(Metadata!T966="",FALSE,TRUE),EXACT(Metadata!T966,"Decimal degrees"))</f>
        <v>0</v>
      </c>
      <c r="BH966" t="b">
        <f>OR(AND(IF(Metadata!U966="",FALSE,TRUE),OR(EXACT(Metadata!U966,"not applicable"),EXACT(Metadata!U966,"not collected"))),IF(Metadata!U966="",FALSE,TRUE))</f>
        <v>0</v>
      </c>
      <c r="BI966" t="b">
        <f>OR(AND(IF(Metadata!V966="",FALSE,TRUE),OR(EXACT(Metadata!V966,"not collected"),EXACT(Metadata!V966,"not provided"),EXACT(Metadata!V966,"restricted access"))),AND(IF(Metadata!V966="",FALSE,ISNUMBER(VALUE(Metadata!V966))),Metadata!V966&gt;=-180,Metadata!V966&lt;=180))</f>
        <v>0</v>
      </c>
      <c r="BJ966" t="b">
        <f>AND(IF(Metadata!W966="",FALSE,TRUE),EXACT(Metadata!W966,"Decimal degrees"))</f>
        <v>0</v>
      </c>
      <c r="BK966" t="b">
        <f>IF(Metadata!X966="",FALSE,TRUE)</f>
        <v>0</v>
      </c>
      <c r="BL966" t="b">
        <f>OR(AND(IF(Metadata!Y966="",FALSE,TRUE),OR(EXACT(Metadata!Y966,"not collected"),EXACT(Metadata!Y966,"not provided"),EXACT(Metadata!Y966,"restricted access"))),AND(IF(Metadata!Y966="",FALSE,TRUE),OR(EXACT(Metadata!Y966,"TRUE"),EXACT(Metadata!Y966,"FALSE"))))</f>
        <v>0</v>
      </c>
      <c r="BM966" t="b">
        <f>OR(AND(IF(Metadata!Z966="",FALSE,TRUE),EXACT(Metadata!Z966,"not applicable")),AND(IF(Metadata!Z966="",FALSE,TRUE),OR(EXACT(Metadata!Z966,"beer"),EXACT(Metadata!Z966,"cheese"),EXACT(Metadata!Z966,"fresh water"),EXACT(Metadata!Z966,"marine sediment"),EXACT(Metadata!Z966,"sea water"),EXACT(Metadata!Z966,"sediment"),EXACT(Metadata!Z966,"soil"),EXACT(Metadata!Z966,"waste water"))))</f>
        <v>0</v>
      </c>
      <c r="BN966" t="b">
        <f>AND(IF(Metadata!AA966="",FALSE,TRUE),EXACT(Metadata!AA966,"metagenome"))</f>
        <v>0</v>
      </c>
      <c r="BO966" t="b">
        <f>AND(IF(Metadata!AB966="",FALSE,TRUE),EXACT(Metadata!AB966,"256318"))</f>
        <v>0</v>
      </c>
      <c r="BP966" t="b">
        <f>IF(Metadata!AC966="",FALSE,TRUE)</f>
        <v>0</v>
      </c>
      <c r="BQ966" t="b">
        <f>IF(Metadata!AD966="",FALSE,TRUE)</f>
        <v>0</v>
      </c>
    </row>
    <row r="967" spans="1:69" x14ac:dyDescent="0.2">
      <c r="A967" s="4" t="e">
        <f ca="1">IF(B967=" "," ",HYPERLINK(CONCATENATE("#metadata!",ADDRESS(INDEX($AJ$2:$AJ$1001,MATCH(ROWS($AH$2:AH967),$AH$2:$AH$1001,0),0),2)),INDEX($AM$2:$AM$1001,MATCH(ROWS($AH$2:AH967),$AH$2:$AH$1001,0),0)))</f>
        <v>#N/A</v>
      </c>
      <c r="B967" s="5" t="e">
        <f ca="1">IF(OR(INDEX($AI$2:$AI$1001,MATCH(ROWS($AH$2:AH967),$AH$2:$AH$1001,0),1)&gt;=100000,INDEX($AO$1005:$BQ$1005,1,MATCH(COLUMNS($AO$1006:AO1006),$AO$1006:$BQ$1006,0))&gt;=100000), " ",IF(INDEX($AO$2:$BQ$1001,MATCH(ROWS($AH$2:AH967),$AH$2:$AH$1001,0),MATCH(COLUMNS($AO$1006:AO1006),$AO$1006:$BQ$1006,0)), HYPERLINK("#",""), HYPERLINK(CONCATENATE("#Metadata!", ADDRESS(INDEX($AJ$2:$AJ$1001,MATCH(ROWS($AH$2:AH967),$AH$2:$AH$1001,0),0), INDEX($AO$1004:$BQ$1004,1,MATCH(COLUMNS($AO$1006:AO1006),$AO$1006:$BQ$1006,0)))),"Fix")))</f>
        <v>#N/A</v>
      </c>
      <c r="C967" s="5" t="e">
        <f ca="1">IF(OR(INDEX($AI$2:$AI$1001,MATCH(ROWS($AH$2:AH967),$AH$2:$AH$1001,0),1)&gt;=100000,INDEX($AO$1005:$BQ$1005,1,MATCH(COLUMNS($AO$1006:AP1006),$AO$1006:$BQ$1006,0))&gt;=100000), " ",IF(INDEX($AO$2:$BQ$1001,MATCH(ROWS($AH$2:AH967),$AH$2:$AH$1001,0),MATCH(COLUMNS($AO$1006:AP1006),$AO$1006:$BQ$1006,0)), HYPERLINK("#",""), HYPERLINK(CONCATENATE("#Metadata!", ADDRESS(INDEX($AJ$2:$AJ$1001,MATCH(ROWS($AH$2:AH967),$AH$2:$AH$1001,0),0), INDEX($AO$1004:$BQ$1004,1,MATCH(COLUMNS($AO$1006:AP1006),$AO$1006:$BQ$1006,0)))),"Fix")))</f>
        <v>#N/A</v>
      </c>
      <c r="D967" s="5" t="e">
        <f ca="1">IF(OR(INDEX($AI$2:$AI$1001,MATCH(ROWS($AH$2:AH967),$AH$2:$AH$1001,0),1)&gt;=100000,INDEX($AO$1005:$BQ$1005,1,MATCH(COLUMNS($AO$1006:AQ1006),$AO$1006:$BQ$1006,0))&gt;=100000), " ",IF(INDEX($AO$2:$BQ$1001,MATCH(ROWS($AH$2:AH967),$AH$2:$AH$1001,0),MATCH(COLUMNS($AO$1006:AQ1006),$AO$1006:$BQ$1006,0)), HYPERLINK("#",""), HYPERLINK(CONCATENATE("#Metadata!", ADDRESS(INDEX($AJ$2:$AJ$1001,MATCH(ROWS($AH$2:AH967),$AH$2:$AH$1001,0),0), INDEX($AO$1004:$BQ$1004,1,MATCH(COLUMNS($AO$1006:AQ1006),$AO$1006:$BQ$1006,0)))),"Fix")))</f>
        <v>#N/A</v>
      </c>
      <c r="E967" s="5" t="e">
        <f ca="1">IF(OR(INDEX($AI$2:$AI$1001,MATCH(ROWS($AH$2:AH967),$AH$2:$AH$1001,0),1)&gt;=100000,INDEX($AO$1005:$BQ$1005,1,MATCH(COLUMNS($AO$1006:AR1006),$AO$1006:$BQ$1006,0))&gt;=100000), " ",IF(INDEX($AO$2:$BQ$1001,MATCH(ROWS($AH$2:AH967),$AH$2:$AH$1001,0),MATCH(COLUMNS($AO$1006:AR1006),$AO$1006:$BQ$1006,0)), HYPERLINK("#",""), HYPERLINK(CONCATENATE("#Metadata!", ADDRESS(INDEX($AJ$2:$AJ$1001,MATCH(ROWS($AH$2:AH967),$AH$2:$AH$1001,0),0), INDEX($AO$1004:$BQ$1004,1,MATCH(COLUMNS($AO$1006:AR1006),$AO$1006:$BQ$1006,0)))),"Fix")))</f>
        <v>#N/A</v>
      </c>
      <c r="F967" s="5" t="e">
        <f ca="1">IF(OR(INDEX($AI$2:$AI$1001,MATCH(ROWS($AH$2:AH967),$AH$2:$AH$1001,0),1)&gt;=100000,INDEX($AO$1005:$BQ$1005,1,MATCH(COLUMNS($AO$1006:AS1006),$AO$1006:$BQ$1006,0))&gt;=100000), " ",IF(INDEX($AO$2:$BQ$1001,MATCH(ROWS($AH$2:AH967),$AH$2:$AH$1001,0),MATCH(COLUMNS($AO$1006:AS1006),$AO$1006:$BQ$1006,0)), HYPERLINK("#",""), HYPERLINK(CONCATENATE("#Metadata!", ADDRESS(INDEX($AJ$2:$AJ$1001,MATCH(ROWS($AH$2:AH967),$AH$2:$AH$1001,0),0), INDEX($AO$1004:$BQ$1004,1,MATCH(COLUMNS($AO$1006:AS1006),$AO$1006:$BQ$1006,0)))),"Fix")))</f>
        <v>#N/A</v>
      </c>
      <c r="G967" s="5" t="e">
        <f ca="1">IF(OR(INDEX($AI$2:$AI$1001,MATCH(ROWS($AH$2:AH967),$AH$2:$AH$1001,0),1)&gt;=100000,INDEX($AO$1005:$BQ$1005,1,MATCH(COLUMNS($AO$1006:AT1006),$AO$1006:$BQ$1006,0))&gt;=100000), " ",IF(INDEX($AO$2:$BQ$1001,MATCH(ROWS($AH$2:AH967),$AH$2:$AH$1001,0),MATCH(COLUMNS($AO$1006:AT1006),$AO$1006:$BQ$1006,0)), HYPERLINK("#",""), HYPERLINK(CONCATENATE("#Metadata!", ADDRESS(INDEX($AJ$2:$AJ$1001,MATCH(ROWS($AH$2:AH967),$AH$2:$AH$1001,0),0), INDEX($AO$1004:$BQ$1004,1,MATCH(COLUMNS($AO$1006:AT1006),$AO$1006:$BQ$1006,0)))),"Fix")))</f>
        <v>#N/A</v>
      </c>
      <c r="H967" s="5" t="e">
        <f ca="1">IF(OR(INDEX($AI$2:$AI$1001,MATCH(ROWS($AH$2:AH967),$AH$2:$AH$1001,0),1)&gt;=100000,INDEX($AO$1005:$BQ$1005,1,MATCH(COLUMNS($AO$1006:AU1006),$AO$1006:$BQ$1006,0))&gt;=100000), " ",IF(INDEX($AO$2:$BQ$1001,MATCH(ROWS($AH$2:AH967),$AH$2:$AH$1001,0),MATCH(COLUMNS($AO$1006:AU1006),$AO$1006:$BQ$1006,0)), HYPERLINK("#",""), HYPERLINK(CONCATENATE("#Metadata!", ADDRESS(INDEX($AJ$2:$AJ$1001,MATCH(ROWS($AH$2:AH967),$AH$2:$AH$1001,0),0), INDEX($AO$1004:$BQ$1004,1,MATCH(COLUMNS($AO$1006:AU1006),$AO$1006:$BQ$1006,0)))),"Fix")))</f>
        <v>#N/A</v>
      </c>
      <c r="I967" s="5" t="e">
        <f ca="1">IF(OR(INDEX($AI$2:$AI$1001,MATCH(ROWS($AH$2:AH967),$AH$2:$AH$1001,0),1)&gt;=100000,INDEX($AO$1005:$BQ$1005,1,MATCH(COLUMNS($AO$1006:AV1006),$AO$1006:$BQ$1006,0))&gt;=100000), " ",IF(INDEX($AO$2:$BQ$1001,MATCH(ROWS($AH$2:AH967),$AH$2:$AH$1001,0),MATCH(COLUMNS($AO$1006:AV1006),$AO$1006:$BQ$1006,0)), HYPERLINK("#",""), HYPERLINK(CONCATENATE("#Metadata!", ADDRESS(INDEX($AJ$2:$AJ$1001,MATCH(ROWS($AH$2:AH967),$AH$2:$AH$1001,0),0), INDEX($AO$1004:$BQ$1004,1,MATCH(COLUMNS($AO$1006:AV1006),$AO$1006:$BQ$1006,0)))),"Fix")))</f>
        <v>#N/A</v>
      </c>
      <c r="J967" s="5" t="e">
        <f ca="1">IF(OR(INDEX($AI$2:$AI$1001,MATCH(ROWS($AH$2:AH967),$AH$2:$AH$1001,0),1)&gt;=100000,INDEX($AO$1005:$BQ$1005,1,MATCH(COLUMNS($AO$1006:AW1006),$AO$1006:$BQ$1006,0))&gt;=100000), " ",IF(INDEX($AO$2:$BQ$1001,MATCH(ROWS($AH$2:AH967),$AH$2:$AH$1001,0),MATCH(COLUMNS($AO$1006:AW1006),$AO$1006:$BQ$1006,0)), HYPERLINK("#",""), HYPERLINK(CONCATENATE("#Metadata!", ADDRESS(INDEX($AJ$2:$AJ$1001,MATCH(ROWS($AH$2:AH967),$AH$2:$AH$1001,0),0), INDEX($AO$1004:$BQ$1004,1,MATCH(COLUMNS($AO$1006:AW1006),$AO$1006:$BQ$1006,0)))),"Fix")))</f>
        <v>#N/A</v>
      </c>
      <c r="K967" s="5" t="e">
        <f ca="1">IF(OR(INDEX($AI$2:$AI$1001,MATCH(ROWS($AH$2:AH967),$AH$2:$AH$1001,0),1)&gt;=100000,INDEX($AO$1005:$BQ$1005,1,MATCH(COLUMNS($AO$1006:AX1006),$AO$1006:$BQ$1006,0))&gt;=100000), " ",IF(INDEX($AO$2:$BQ$1001,MATCH(ROWS($AH$2:AH967),$AH$2:$AH$1001,0),MATCH(COLUMNS($AO$1006:AX1006),$AO$1006:$BQ$1006,0)), HYPERLINK("#",""), HYPERLINK(CONCATENATE("#Metadata!", ADDRESS(INDEX($AJ$2:$AJ$1001,MATCH(ROWS($AH$2:AH967),$AH$2:$AH$1001,0),0), INDEX($AO$1004:$BQ$1004,1,MATCH(COLUMNS($AO$1006:AX1006),$AO$1006:$BQ$1006,0)))),"Fix")))</f>
        <v>#N/A</v>
      </c>
      <c r="L967" s="5" t="e">
        <f ca="1">IF(OR(INDEX($AI$2:$AI$1001,MATCH(ROWS($AH$2:AH967),$AH$2:$AH$1001,0),1)&gt;=100000,INDEX($AO$1005:$BQ$1005,1,MATCH(COLUMNS($AO$1006:AY1006),$AO$1006:$BQ$1006,0))&gt;=100000), " ",IF(INDEX($AO$2:$BQ$1001,MATCH(ROWS($AH$2:AH967),$AH$2:$AH$1001,0),MATCH(COLUMNS($AO$1006:AY1006),$AO$1006:$BQ$1006,0)), HYPERLINK("#",""), HYPERLINK(CONCATENATE("#Metadata!", ADDRESS(INDEX($AJ$2:$AJ$1001,MATCH(ROWS($AH$2:AH967),$AH$2:$AH$1001,0),0), INDEX($AO$1004:$BQ$1004,1,MATCH(COLUMNS($AO$1006:AY1006),$AO$1006:$BQ$1006,0)))),"Fix")))</f>
        <v>#N/A</v>
      </c>
      <c r="M967" s="5" t="e">
        <f ca="1">IF(OR(INDEX($AI$2:$AI$1001,MATCH(ROWS($AH$2:AH967),$AH$2:$AH$1001,0),1)&gt;=100000,INDEX($AO$1005:$BQ$1005,1,MATCH(COLUMNS($AO$1006:AZ1006),$AO$1006:$BQ$1006,0))&gt;=100000), " ",IF(INDEX($AO$2:$BQ$1001,MATCH(ROWS($AH$2:AH967),$AH$2:$AH$1001,0),MATCH(COLUMNS($AO$1006:AZ1006),$AO$1006:$BQ$1006,0)), HYPERLINK("#",""), HYPERLINK(CONCATENATE("#Metadata!", ADDRESS(INDEX($AJ$2:$AJ$1001,MATCH(ROWS($AH$2:AH967),$AH$2:$AH$1001,0),0), INDEX($AO$1004:$BQ$1004,1,MATCH(COLUMNS($AO$1006:AZ1006),$AO$1006:$BQ$1006,0)))),"Fix")))</f>
        <v>#N/A</v>
      </c>
      <c r="N967" s="5" t="e">
        <f ca="1">IF(OR(INDEX($AI$2:$AI$1001,MATCH(ROWS($AH$2:AH967),$AH$2:$AH$1001,0),1)&gt;=100000,INDEX($AO$1005:$BQ$1005,1,MATCH(COLUMNS($AO$1006:BA1006),$AO$1006:$BQ$1006,0))&gt;=100000), " ",IF(INDEX($AO$2:$BQ$1001,MATCH(ROWS($AH$2:AH967),$AH$2:$AH$1001,0),MATCH(COLUMNS($AO$1006:BA1006),$AO$1006:$BQ$1006,0)), HYPERLINK("#",""), HYPERLINK(CONCATENATE("#Metadata!", ADDRESS(INDEX($AJ$2:$AJ$1001,MATCH(ROWS($AH$2:AH967),$AH$2:$AH$1001,0),0), INDEX($AO$1004:$BQ$1004,1,MATCH(COLUMNS($AO$1006:BA1006),$AO$1006:$BQ$1006,0)))),"Fix")))</f>
        <v>#N/A</v>
      </c>
      <c r="O967" s="5" t="e">
        <f ca="1">IF(OR(INDEX($AI$2:$AI$1001,MATCH(ROWS($AH$2:AH967),$AH$2:$AH$1001,0),1)&gt;=100000,INDEX($AO$1005:$BQ$1005,1,MATCH(COLUMNS($AO$1006:BB1006),$AO$1006:$BQ$1006,0))&gt;=100000), " ",IF(INDEX($AO$2:$BQ$1001,MATCH(ROWS($AH$2:AH967),$AH$2:$AH$1001,0),MATCH(COLUMNS($AO$1006:BB1006),$AO$1006:$BQ$1006,0)), HYPERLINK("#",""), HYPERLINK(CONCATENATE("#Metadata!", ADDRESS(INDEX($AJ$2:$AJ$1001,MATCH(ROWS($AH$2:AH967),$AH$2:$AH$1001,0),0), INDEX($AO$1004:$BQ$1004,1,MATCH(COLUMNS($AO$1006:BB1006),$AO$1006:$BQ$1006,0)))),"Fix")))</f>
        <v>#N/A</v>
      </c>
      <c r="P967" s="5" t="e">
        <f ca="1">IF(OR(INDEX($AI$2:$AI$1001,MATCH(ROWS($AH$2:AH967),$AH$2:$AH$1001,0),1)&gt;=100000,INDEX($AO$1005:$BQ$1005,1,MATCH(COLUMNS($AO$1006:BC1006),$AO$1006:$BQ$1006,0))&gt;=100000), " ",IF(INDEX($AO$2:$BQ$1001,MATCH(ROWS($AH$2:AH967),$AH$2:$AH$1001,0),MATCH(COLUMNS($AO$1006:BC1006),$AO$1006:$BQ$1006,0)), HYPERLINK("#",""), HYPERLINK(CONCATENATE("#Metadata!", ADDRESS(INDEX($AJ$2:$AJ$1001,MATCH(ROWS($AH$2:AH967),$AH$2:$AH$1001,0),0), INDEX($AO$1004:$BQ$1004,1,MATCH(COLUMNS($AO$1006:BC1006),$AO$1006:$BQ$1006,0)))),"Fix")))</f>
        <v>#N/A</v>
      </c>
      <c r="Q967" s="5" t="e">
        <f ca="1">IF(OR(INDEX($AI$2:$AI$1001,MATCH(ROWS($AH$2:AH967),$AH$2:$AH$1001,0),1)&gt;=100000,INDEX($AO$1005:$BQ$1005,1,MATCH(COLUMNS($AO$1006:BD1006),$AO$1006:$BQ$1006,0))&gt;=100000), " ",IF(INDEX($AO$2:$BQ$1001,MATCH(ROWS($AH$2:AH967),$AH$2:$AH$1001,0),MATCH(COLUMNS($AO$1006:BD1006),$AO$1006:$BQ$1006,0)), HYPERLINK("#",""), HYPERLINK(CONCATENATE("#Metadata!", ADDRESS(INDEX($AJ$2:$AJ$1001,MATCH(ROWS($AH$2:AH967),$AH$2:$AH$1001,0),0), INDEX($AO$1004:$BQ$1004,1,MATCH(COLUMNS($AO$1006:BD1006),$AO$1006:$BQ$1006,0)))),"Fix")))</f>
        <v>#N/A</v>
      </c>
      <c r="R967" s="5" t="e">
        <f ca="1">IF(OR(INDEX($AI$2:$AI$1001,MATCH(ROWS($AH$2:AH967),$AH$2:$AH$1001,0),1)&gt;=100000,INDEX($AO$1005:$BQ$1005,1,MATCH(COLUMNS($AO$1006:BE1006),$AO$1006:$BQ$1006,0))&gt;=100000), " ",IF(INDEX($AO$2:$BQ$1001,MATCH(ROWS($AH$2:AH967),$AH$2:$AH$1001,0),MATCH(COLUMNS($AO$1006:BE1006),$AO$1006:$BQ$1006,0)), HYPERLINK("#",""), HYPERLINK(CONCATENATE("#Metadata!", ADDRESS(INDEX($AJ$2:$AJ$1001,MATCH(ROWS($AH$2:AH967),$AH$2:$AH$1001,0),0), INDEX($AO$1004:$BQ$1004,1,MATCH(COLUMNS($AO$1006:BE1006),$AO$1006:$BQ$1006,0)))),"Fix")))</f>
        <v>#N/A</v>
      </c>
      <c r="S967" s="5" t="e">
        <f ca="1">IF(OR(INDEX($AI$2:$AI$1001,MATCH(ROWS($AH$2:AH967),$AH$2:$AH$1001,0),1)&gt;=100000,INDEX($AO$1005:$BQ$1005,1,MATCH(COLUMNS($AO$1006:BF1006),$AO$1006:$BQ$1006,0))&gt;=100000), " ",IF(INDEX($AO$2:$BQ$1001,MATCH(ROWS($AH$2:AH967),$AH$2:$AH$1001,0),MATCH(COLUMNS($AO$1006:BF1006),$AO$1006:$BQ$1006,0)), HYPERLINK("#",""), HYPERLINK(CONCATENATE("#Metadata!", ADDRESS(INDEX($AJ$2:$AJ$1001,MATCH(ROWS($AH$2:AH967),$AH$2:$AH$1001,0),0), INDEX($AO$1004:$BQ$1004,1,MATCH(COLUMNS($AO$1006:BF1006),$AO$1006:$BQ$1006,0)))),"Fix")))</f>
        <v>#N/A</v>
      </c>
      <c r="T967" s="5" t="e">
        <f ca="1">IF(OR(INDEX($AI$2:$AI$1001,MATCH(ROWS($AH$2:AH967),$AH$2:$AH$1001,0),1)&gt;=100000,INDEX($AO$1005:$BQ$1005,1,MATCH(COLUMNS($AO$1006:BG1006),$AO$1006:$BQ$1006,0))&gt;=100000), " ",IF(INDEX($AO$2:$BQ$1001,MATCH(ROWS($AH$2:AH967),$AH$2:$AH$1001,0),MATCH(COLUMNS($AO$1006:BG1006),$AO$1006:$BQ$1006,0)), HYPERLINK("#",""), HYPERLINK(CONCATENATE("#Metadata!", ADDRESS(INDEX($AJ$2:$AJ$1001,MATCH(ROWS($AH$2:AH967),$AH$2:$AH$1001,0),0), INDEX($AO$1004:$BQ$1004,1,MATCH(COLUMNS($AO$1006:BG1006),$AO$1006:$BQ$1006,0)))),"Fix")))</f>
        <v>#N/A</v>
      </c>
      <c r="U967" s="5" t="e">
        <f ca="1">IF(OR(INDEX($AI$2:$AI$1001,MATCH(ROWS($AH$2:AH967),$AH$2:$AH$1001,0),1)&gt;=100000,INDEX($AO$1005:$BQ$1005,1,MATCH(COLUMNS($AO$1006:BH1006),$AO$1006:$BQ$1006,0))&gt;=100000), " ",IF(INDEX($AO$2:$BQ$1001,MATCH(ROWS($AH$2:AH967),$AH$2:$AH$1001,0),MATCH(COLUMNS($AO$1006:BH1006),$AO$1006:$BQ$1006,0)), HYPERLINK("#",""), HYPERLINK(CONCATENATE("#Metadata!", ADDRESS(INDEX($AJ$2:$AJ$1001,MATCH(ROWS($AH$2:AH967),$AH$2:$AH$1001,0),0), INDEX($AO$1004:$BQ$1004,1,MATCH(COLUMNS($AO$1006:BH1006),$AO$1006:$BQ$1006,0)))),"Fix")))</f>
        <v>#N/A</v>
      </c>
      <c r="V967" s="5" t="e">
        <f ca="1">IF(OR(INDEX($AI$2:$AI$1001,MATCH(ROWS($AH$2:AH967),$AH$2:$AH$1001,0),1)&gt;=100000,INDEX($AO$1005:$BQ$1005,1,MATCH(COLUMNS($AO$1006:BI1006),$AO$1006:$BQ$1006,0))&gt;=100000), " ",IF(INDEX($AO$2:$BQ$1001,MATCH(ROWS($AH$2:AH967),$AH$2:$AH$1001,0),MATCH(COLUMNS($AO$1006:BI1006),$AO$1006:$BQ$1006,0)), HYPERLINK("#",""), HYPERLINK(CONCATENATE("#Metadata!", ADDRESS(INDEX($AJ$2:$AJ$1001,MATCH(ROWS($AH$2:AH967),$AH$2:$AH$1001,0),0), INDEX($AO$1004:$BQ$1004,1,MATCH(COLUMNS($AO$1006:BI1006),$AO$1006:$BQ$1006,0)))),"Fix")))</f>
        <v>#N/A</v>
      </c>
      <c r="W967" s="5" t="e">
        <f ca="1">IF(OR(INDEX($AI$2:$AI$1001,MATCH(ROWS($AH$2:AH967),$AH$2:$AH$1001,0),1)&gt;=100000,INDEX($AO$1005:$BQ$1005,1,MATCH(COLUMNS($AO$1006:BJ1006),$AO$1006:$BQ$1006,0))&gt;=100000), " ",IF(INDEX($AO$2:$BQ$1001,MATCH(ROWS($AH$2:AH967),$AH$2:$AH$1001,0),MATCH(COLUMNS($AO$1006:BJ1006),$AO$1006:$BQ$1006,0)), HYPERLINK("#",""), HYPERLINK(CONCATENATE("#Metadata!", ADDRESS(INDEX($AJ$2:$AJ$1001,MATCH(ROWS($AH$2:AH967),$AH$2:$AH$1001,0),0), INDEX($AO$1004:$BQ$1004,1,MATCH(COLUMNS($AO$1006:BJ1006),$AO$1006:$BQ$1006,0)))),"Fix")))</f>
        <v>#N/A</v>
      </c>
      <c r="X967" s="5" t="e">
        <f ca="1">IF(OR(INDEX($AI$2:$AI$1001,MATCH(ROWS($AH$2:AH967),$AH$2:$AH$1001,0),1)&gt;=100000,INDEX($AO$1005:$BQ$1005,1,MATCH(COLUMNS($AO$1006:BK1006),$AO$1006:$BQ$1006,0))&gt;=100000), " ",IF(INDEX($AO$2:$BQ$1001,MATCH(ROWS($AH$2:AH967),$AH$2:$AH$1001,0),MATCH(COLUMNS($AO$1006:BK1006),$AO$1006:$BQ$1006,0)), HYPERLINK("#",""), HYPERLINK(CONCATENATE("#Metadata!", ADDRESS(INDEX($AJ$2:$AJ$1001,MATCH(ROWS($AH$2:AH967),$AH$2:$AH$1001,0),0), INDEX($AO$1004:$BQ$1004,1,MATCH(COLUMNS($AO$1006:BK1006),$AO$1006:$BQ$1006,0)))),"Fix")))</f>
        <v>#N/A</v>
      </c>
      <c r="Y967" s="5" t="e">
        <f ca="1">IF(OR(INDEX($AI$2:$AI$1001,MATCH(ROWS($AH$2:AH967),$AH$2:$AH$1001,0),1)&gt;=100000,INDEX($AO$1005:$BQ$1005,1,MATCH(COLUMNS($AO$1006:BL1006),$AO$1006:$BQ$1006,0))&gt;=100000), " ",IF(INDEX($AO$2:$BQ$1001,MATCH(ROWS($AH$2:AH967),$AH$2:$AH$1001,0),MATCH(COLUMNS($AO$1006:BL1006),$AO$1006:$BQ$1006,0)), HYPERLINK("#",""), HYPERLINK(CONCATENATE("#Metadata!", ADDRESS(INDEX($AJ$2:$AJ$1001,MATCH(ROWS($AH$2:AH967),$AH$2:$AH$1001,0),0), INDEX($AO$1004:$BQ$1004,1,MATCH(COLUMNS($AO$1006:BL1006),$AO$1006:$BQ$1006,0)))),"Fix")))</f>
        <v>#N/A</v>
      </c>
      <c r="Z967" s="5" t="e">
        <f ca="1">IF(OR(INDEX($AI$2:$AI$1001,MATCH(ROWS($AH$2:AH967),$AH$2:$AH$1001,0),1)&gt;=100000,INDEX($AO$1005:$BQ$1005,1,MATCH(COLUMNS($AO$1006:BM1006),$AO$1006:$BQ$1006,0))&gt;=100000), " ",IF(INDEX($AO$2:$BQ$1001,MATCH(ROWS($AH$2:AH967),$AH$2:$AH$1001,0),MATCH(COLUMNS($AO$1006:BM1006),$AO$1006:$BQ$1006,0)), HYPERLINK("#",""), HYPERLINK(CONCATENATE("#Metadata!", ADDRESS(INDEX($AJ$2:$AJ$1001,MATCH(ROWS($AH$2:AH967),$AH$2:$AH$1001,0),0), INDEX($AO$1004:$BQ$1004,1,MATCH(COLUMNS($AO$1006:BM1006),$AO$1006:$BQ$1006,0)))),"Fix")))</f>
        <v>#N/A</v>
      </c>
      <c r="AA967" s="5" t="e">
        <f ca="1">IF(OR(INDEX($AI$2:$AI$1001,MATCH(ROWS($AH$2:AH967),$AH$2:$AH$1001,0),1)&gt;=100000,INDEX($AO$1005:$BQ$1005,1,MATCH(COLUMNS($AO$1006:BN1006),$AO$1006:$BQ$1006,0))&gt;=100000), " ",IF(INDEX($AO$2:$BQ$1001,MATCH(ROWS($AH$2:AH967),$AH$2:$AH$1001,0),MATCH(COLUMNS($AO$1006:BN1006),$AO$1006:$BQ$1006,0)), HYPERLINK("#",""), HYPERLINK(CONCATENATE("#Metadata!", ADDRESS(INDEX($AJ$2:$AJ$1001,MATCH(ROWS($AH$2:AH967),$AH$2:$AH$1001,0),0), INDEX($AO$1004:$BQ$1004,1,MATCH(COLUMNS($AO$1006:BN1006),$AO$1006:$BQ$1006,0)))),"Fix")))</f>
        <v>#N/A</v>
      </c>
      <c r="AB967" s="5" t="e">
        <f ca="1">IF(OR(INDEX($AI$2:$AI$1001,MATCH(ROWS($AH$2:AH967),$AH$2:$AH$1001,0),1)&gt;=100000,INDEX($AO$1005:$BQ$1005,1,MATCH(COLUMNS($AO$1006:BO1006),$AO$1006:$BQ$1006,0))&gt;=100000), " ",IF(INDEX($AO$2:$BQ$1001,MATCH(ROWS($AH$2:AH967),$AH$2:$AH$1001,0),MATCH(COLUMNS($AO$1006:BO1006),$AO$1006:$BQ$1006,0)), HYPERLINK("#",""), HYPERLINK(CONCATENATE("#Metadata!", ADDRESS(INDEX($AJ$2:$AJ$1001,MATCH(ROWS($AH$2:AH967),$AH$2:$AH$1001,0),0), INDEX($AO$1004:$BQ$1004,1,MATCH(COLUMNS($AO$1006:BO1006),$AO$1006:$BQ$1006,0)))),"Fix")))</f>
        <v>#N/A</v>
      </c>
      <c r="AC967" s="5" t="e">
        <f ca="1">IF(OR(INDEX($AI$2:$AI$1001,MATCH(ROWS($AH$2:AH967),$AH$2:$AH$1001,0),1)&gt;=100000,INDEX($AO$1005:$BQ$1005,1,MATCH(COLUMNS($AO$1006:BP1006),$AO$1006:$BQ$1006,0))&gt;=100000), " ",IF(INDEX($AO$2:$BQ$1001,MATCH(ROWS($AH$2:AH967),$AH$2:$AH$1001,0),MATCH(COLUMNS($AO$1006:BP1006),$AO$1006:$BQ$1006,0)), HYPERLINK("#",""), HYPERLINK(CONCATENATE("#Metadata!", ADDRESS(INDEX($AJ$2:$AJ$1001,MATCH(ROWS($AH$2:AH967),$AH$2:$AH$1001,0),0), INDEX($AO$1004:$BQ$1004,1,MATCH(COLUMNS($AO$1006:BP1006),$AO$1006:$BQ$1006,0)))),"Fix")))</f>
        <v>#N/A</v>
      </c>
      <c r="AD967" s="5" t="e">
        <f ca="1">IF(OR(INDEX($AI$2:$AI$1001,MATCH(ROWS($AH$2:AH967),$AH$2:$AH$1001,0),1)&gt;=100000,INDEX($AO$1005:$BQ$1005,1,MATCH(COLUMNS($AO$1006:BQ1006),$AO$1006:$BQ$1006,0))&gt;=100000), " ",IF(INDEX($AO$2:$BQ$1001,MATCH(ROWS($AH$2:AH967),$AH$2:$AH$1001,0),MATCH(COLUMNS($AO$1006:BQ1006),$AO$1006:$BQ$1006,0)), HYPERLINK("#",""), HYPERLINK(CONCATENATE("#Metadata!", ADDRESS(INDEX($AJ$2:$AJ$1001,MATCH(ROWS($AH$2:AH967),$AH$2:$AH$1001,0),0), INDEX($AO$1004:$BQ$1004,1,MATCH(COLUMNS($AO$1006:BQ1006),$AO$1006:$BQ$1006,0)))),"Fix")))</f>
        <v>#REF!</v>
      </c>
      <c r="AH967">
        <f ca="1"/>
        <v>964</v>
      </c>
      <c r="AI967">
        <v>100967</v>
      </c>
      <c r="AJ967">
        <v>967</v>
      </c>
      <c r="AK967" t="b">
        <f t="shared" si="15"/>
        <v>1</v>
      </c>
      <c r="AL967" t="b">
        <f>COUNTBLANK(Metadata!B967:AD967)=COLUMNS(Metadata!B967:AD967)</f>
        <v>1</v>
      </c>
      <c r="AM967" t="str">
        <v/>
      </c>
      <c r="AO967" t="b">
        <f ca="1">AND(IF(Metadata!B967="",FALSE,TRUE),COUNTIF(Metadata!B:B, Metadata!B967) = 1,NOT(ISERROR(SUMPRODUCT(SEARCH(MID(Metadata!B967,ROW(INDIRECT("1:"&amp;LEN(Metadata!B967))), 1),"0123456789abcdefghijklmnopqrstuvwxyzABCDEFGHIJKLMNOPQRSTUVWXYZ.")))))</f>
        <v>0</v>
      </c>
      <c r="AP967" t="b">
        <f>IF(Metadata!C967="",FALSE,TRUE)</f>
        <v>0</v>
      </c>
      <c r="AQ967" t="b">
        <f>IF(Metadata!D967="",FALSE,TRUE)</f>
        <v>0</v>
      </c>
      <c r="AR967" t="b">
        <f ca="1">OR(AND(IF(Metadata!E967="",FALSE,TRUE),OR(EXACT(Metadata!E967,"not collected"),EXACT(Metadata!E967,"not provided"),EXACT(Metadata!E967,"restricted access"))),AND(IF(Metadata!E967="",FALSE,TRUE),AND(AND(IFERROR(INT(LEFT(Metadata!E967,4))&gt;1900,FALSE),IFERROR(INT(LEFT(Metadata!E967,4))&lt;=YEAR(NOW()),FALSE)), OR(MID(Metadata!E967,5,1)="", AND(AND(MID(Metadata!E967,5,1)="-",IFERROR(INT(MID(Metadata!E967,6,1))&gt;=0,FALSE),IFERROR(INT(MID(Metadata!E967,6,1))&lt;=1,FALSE),NOT(MID(Metadata!E967,7,1)=""),IFERROR(INT(MID(Metadata!E967,6,2))&gt;=1,FALSE),IFERROR(INT(MID(Metadata!E967,6,2))&lt;=12,FALSE)), OR(MID(Metadata!E967,8,1)="", AND(AND(MID(Metadata!E967,8,1)="-",IFERROR(INT(MID(Metadata!E967,9,1))&gt;=0,FALSE),IFERROR(INT(MID(Metadata!E967,9,1))&lt;=3,FALSE),NOT(MID(Metadata!E967,10,1)=""),IFERROR(INT(MID(Metadata!E967,9,2))&gt;=1,FALSE),IFERROR(INT(MID(Metadata!E967,9,2))&lt;=31,FALSE)), OR(MID(Metadata!E967,11,1)="", AND(AND(MID(Metadata!E967,11,1)=" ",IFERROR(INT(MID(Metadata!E967,12,1))&gt;=0,FALSE),IFERROR(INT(MID(Metadata!E967,12,1))&lt;=2,FALSE),NOT(MID(Metadata!E967,13,1)=""),IFERROR(INT(MID(Metadata!E967,12,2))&gt;=0,FALSE),IFERROR(INT(MID(Metadata!E967,12,2))&lt;=23,FALSE)), OR(MID(Metadata!E967,14,1)="", AND(AND(MID(Metadata!E967,14,1)=":",IFERROR(INT(MID(Metadata!E967,15,1))&gt;=0,FALSE),IFERROR(INT(MID(Metadata!E967,15,1))&lt;=5,FALSE),NOT(MID(Metadata!E967,16,1)=""),IFERROR(INT(MID(Metadata!E967,15,2))&gt;=0,FALSE),IFERROR(INT(MID(Metadata!E967,15,2))&lt;=59,FALSE)), OR(MID(Metadata!E967,17,1)="", AND(AND(MID(Metadata!E967,17,1)=":",IFERROR(INT(MID(Metadata!E967,18,1))&gt;=0,FALSE),IFERROR(INT(MID(Metadata!E967,18,1))&lt;=5,FALSE),NOT(MID(Metadata!E967,19,1)=""),IFERROR(INT(MID(Metadata!E967,18,2))&gt;=0,FALSE),IFERROR(INT(MID(Metadata!E967,18,2))&lt;=59,FALSE)), LEN(Metadata!E967)&lt;=19)))))))))))))</f>
        <v>0</v>
      </c>
      <c r="AS967" t="b">
        <f>IF(Metadata!F967="",FALSE,TRUE)</f>
        <v>0</v>
      </c>
      <c r="AT967" t="b">
        <f>OR(AND(IF(Metadata!G967="",FALSE,TRUE),OR(EXACT(Metadata!G967,"not collected"),EXACT(Metadata!G967,"not provided"))),AND(IF(Metadata!G967="",FALSE,TRUE),OR(EXACT(Metadata!G967,"TRUE"),EXACT(Metadata!G967,"FALSE"))))</f>
        <v>0</v>
      </c>
      <c r="AU967" t="b">
        <f>OR(AND(IF(Metadata!H967="",FALSE,TRUE),OR(EXACT(Metadata!H967,"not collected"),EXACT(Metadata!H967,"not provided"),EXACT(Metadata!H967,"restricted access"))),AND(IF(Metadata!H967="",FALSE,ISNUMBER(VALUE(Metadata!H967))),Metadata!H967&gt;=-413))</f>
        <v>0</v>
      </c>
      <c r="AV967" t="b">
        <f>AND(IF(Metadata!I967="",FALSE,TRUE),EXACT(Metadata!I967,"meters"))</f>
        <v>0</v>
      </c>
      <c r="AW967" t="b">
        <f>AND(IF(Metadata!J967="",FALSE,TRUE),EXACT(Metadata!J967,"free-living"))</f>
        <v>0</v>
      </c>
      <c r="AX967" t="b">
        <f>AND(IF(Metadata!K967="",FALSE,TRUE),OR(EXACT(Metadata!K967,"saline"),EXACT(Metadata!K967,"non-saline")))</f>
        <v>0</v>
      </c>
      <c r="AY967" t="b">
        <f>AND(IF(Metadata!L967="",FALSE,TRUE),OR(EXACT(Metadata!L967,"sub-surface (non-saline)"),EXACT(Metadata!L967,"surface (non-saline)"),EXACT(Metadata!L967,"water (non-saline)"),EXACT(Metadata!L967,"soil (non-saline)"),EXACT(Metadata!L967,"aerosol (non-saline)"),EXACT(Metadata!L967,"sediment (non-saline)"),EXACT(Metadata!L967,"surface (saline)"),EXACT(Metadata!L967,"water (saline)"),EXACT(Metadata!L967,"hypersaline (saline)"),EXACT(Metadata!L967,"aerosol (saline)"),EXACT(Metadata!L967,"sediment (saline)")))</f>
        <v>0</v>
      </c>
      <c r="AZ967" t="b">
        <f>IF(Metadata!M967="",FALSE,TRUE)</f>
        <v>0</v>
      </c>
      <c r="BA967" t="b">
        <f>IF(Metadata!N967="",FALSE,TRUE)</f>
        <v>0</v>
      </c>
      <c r="BB967" t="b">
        <f>IF(Metadata!O967="",FALSE,TRUE)</f>
        <v>0</v>
      </c>
      <c r="BC967" t="b">
        <f>AND(IF(Metadata!P967="",FALSE,TRUE),OR(EXACT(Metadata!P967,"air"),EXACT(Metadata!P967,"microbial mat/biofilm"),EXACT(Metadata!P967,"misc environment"),EXACT(Metadata!P967,"sediment"),EXACT(Metadata!P967,"soil"),EXACT(Metadata!P967,"wastewater/sludge"),EXACT(Metadata!P967,"water")))</f>
        <v>0</v>
      </c>
      <c r="BD967" t="b">
        <f>IF(Metadata!Q967="",FALSE,TRUE)</f>
        <v>0</v>
      </c>
      <c r="BE967" t="b">
        <f>IF(Metadata!R967="",FALSE,TRUE)</f>
        <v>0</v>
      </c>
      <c r="BF967" t="b">
        <f>OR(AND(IF(Metadata!S967="",FALSE,TRUE),OR(EXACT(Metadata!S967,"not collected"),EXACT(Metadata!S967,"not provided"),EXACT(Metadata!S967,"restricted access"))),AND(IF(Metadata!S967="",FALSE,ISNUMBER(VALUE(Metadata!S967))),Metadata!S967&gt;=-90,Metadata!S967&lt;=90))</f>
        <v>0</v>
      </c>
      <c r="BG967" t="b">
        <f>AND(IF(Metadata!T967="",FALSE,TRUE),EXACT(Metadata!T967,"Decimal degrees"))</f>
        <v>0</v>
      </c>
      <c r="BH967" t="b">
        <f>OR(AND(IF(Metadata!U967="",FALSE,TRUE),OR(EXACT(Metadata!U967,"not applicable"),EXACT(Metadata!U967,"not collected"))),IF(Metadata!U967="",FALSE,TRUE))</f>
        <v>0</v>
      </c>
      <c r="BI967" t="b">
        <f>OR(AND(IF(Metadata!V967="",FALSE,TRUE),OR(EXACT(Metadata!V967,"not collected"),EXACT(Metadata!V967,"not provided"),EXACT(Metadata!V967,"restricted access"))),AND(IF(Metadata!V967="",FALSE,ISNUMBER(VALUE(Metadata!V967))),Metadata!V967&gt;=-180,Metadata!V967&lt;=180))</f>
        <v>0</v>
      </c>
      <c r="BJ967" t="b">
        <f>AND(IF(Metadata!W967="",FALSE,TRUE),EXACT(Metadata!W967,"Decimal degrees"))</f>
        <v>0</v>
      </c>
      <c r="BK967" t="b">
        <f>IF(Metadata!X967="",FALSE,TRUE)</f>
        <v>0</v>
      </c>
      <c r="BL967" t="b">
        <f>OR(AND(IF(Metadata!Y967="",FALSE,TRUE),OR(EXACT(Metadata!Y967,"not collected"),EXACT(Metadata!Y967,"not provided"),EXACT(Metadata!Y967,"restricted access"))),AND(IF(Metadata!Y967="",FALSE,TRUE),OR(EXACT(Metadata!Y967,"TRUE"),EXACT(Metadata!Y967,"FALSE"))))</f>
        <v>0</v>
      </c>
      <c r="BM967" t="b">
        <f>OR(AND(IF(Metadata!Z967="",FALSE,TRUE),EXACT(Metadata!Z967,"not applicable")),AND(IF(Metadata!Z967="",FALSE,TRUE),OR(EXACT(Metadata!Z967,"beer"),EXACT(Metadata!Z967,"cheese"),EXACT(Metadata!Z967,"fresh water"),EXACT(Metadata!Z967,"marine sediment"),EXACT(Metadata!Z967,"sea water"),EXACT(Metadata!Z967,"sediment"),EXACT(Metadata!Z967,"soil"),EXACT(Metadata!Z967,"waste water"))))</f>
        <v>0</v>
      </c>
      <c r="BN967" t="b">
        <f>AND(IF(Metadata!AA967="",FALSE,TRUE),EXACT(Metadata!AA967,"metagenome"))</f>
        <v>0</v>
      </c>
      <c r="BO967" t="b">
        <f>AND(IF(Metadata!AB967="",FALSE,TRUE),EXACT(Metadata!AB967,"256318"))</f>
        <v>0</v>
      </c>
      <c r="BP967" t="b">
        <f>IF(Metadata!AC967="",FALSE,TRUE)</f>
        <v>0</v>
      </c>
      <c r="BQ967" t="b">
        <f>IF(Metadata!AD967="",FALSE,TRUE)</f>
        <v>0</v>
      </c>
    </row>
    <row r="968" spans="1:69" x14ac:dyDescent="0.2">
      <c r="A968" s="4" t="e">
        <f ca="1">IF(B968=" "," ",HYPERLINK(CONCATENATE("#metadata!",ADDRESS(INDEX($AJ$2:$AJ$1001,MATCH(ROWS($AH$2:AH968),$AH$2:$AH$1001,0),0),2)),INDEX($AM$2:$AM$1001,MATCH(ROWS($AH$2:AH968),$AH$2:$AH$1001,0),0)))</f>
        <v>#N/A</v>
      </c>
      <c r="B968" s="5" t="e">
        <f ca="1">IF(OR(INDEX($AI$2:$AI$1001,MATCH(ROWS($AH$2:AH968),$AH$2:$AH$1001,0),1)&gt;=100000,INDEX($AO$1005:$BQ$1005,1,MATCH(COLUMNS($AO$1006:AO1006),$AO$1006:$BQ$1006,0))&gt;=100000), " ",IF(INDEX($AO$2:$BQ$1001,MATCH(ROWS($AH$2:AH968),$AH$2:$AH$1001,0),MATCH(COLUMNS($AO$1006:AO1006),$AO$1006:$BQ$1006,0)), HYPERLINK("#",""), HYPERLINK(CONCATENATE("#Metadata!", ADDRESS(INDEX($AJ$2:$AJ$1001,MATCH(ROWS($AH$2:AH968),$AH$2:$AH$1001,0),0), INDEX($AO$1004:$BQ$1004,1,MATCH(COLUMNS($AO$1006:AO1006),$AO$1006:$BQ$1006,0)))),"Fix")))</f>
        <v>#N/A</v>
      </c>
      <c r="C968" s="5" t="e">
        <f ca="1">IF(OR(INDEX($AI$2:$AI$1001,MATCH(ROWS($AH$2:AH968),$AH$2:$AH$1001,0),1)&gt;=100000,INDEX($AO$1005:$BQ$1005,1,MATCH(COLUMNS($AO$1006:AP1006),$AO$1006:$BQ$1006,0))&gt;=100000), " ",IF(INDEX($AO$2:$BQ$1001,MATCH(ROWS($AH$2:AH968),$AH$2:$AH$1001,0),MATCH(COLUMNS($AO$1006:AP1006),$AO$1006:$BQ$1006,0)), HYPERLINK("#",""), HYPERLINK(CONCATENATE("#Metadata!", ADDRESS(INDEX($AJ$2:$AJ$1001,MATCH(ROWS($AH$2:AH968),$AH$2:$AH$1001,0),0), INDEX($AO$1004:$BQ$1004,1,MATCH(COLUMNS($AO$1006:AP1006),$AO$1006:$BQ$1006,0)))),"Fix")))</f>
        <v>#N/A</v>
      </c>
      <c r="D968" s="5" t="e">
        <f ca="1">IF(OR(INDEX($AI$2:$AI$1001,MATCH(ROWS($AH$2:AH968),$AH$2:$AH$1001,0),1)&gt;=100000,INDEX($AO$1005:$BQ$1005,1,MATCH(COLUMNS($AO$1006:AQ1006),$AO$1006:$BQ$1006,0))&gt;=100000), " ",IF(INDEX($AO$2:$BQ$1001,MATCH(ROWS($AH$2:AH968),$AH$2:$AH$1001,0),MATCH(COLUMNS($AO$1006:AQ1006),$AO$1006:$BQ$1006,0)), HYPERLINK("#",""), HYPERLINK(CONCATENATE("#Metadata!", ADDRESS(INDEX($AJ$2:$AJ$1001,MATCH(ROWS($AH$2:AH968),$AH$2:$AH$1001,0),0), INDEX($AO$1004:$BQ$1004,1,MATCH(COLUMNS($AO$1006:AQ1006),$AO$1006:$BQ$1006,0)))),"Fix")))</f>
        <v>#N/A</v>
      </c>
      <c r="E968" s="5" t="e">
        <f ca="1">IF(OR(INDEX($AI$2:$AI$1001,MATCH(ROWS($AH$2:AH968),$AH$2:$AH$1001,0),1)&gt;=100000,INDEX($AO$1005:$BQ$1005,1,MATCH(COLUMNS($AO$1006:AR1006),$AO$1006:$BQ$1006,0))&gt;=100000), " ",IF(INDEX($AO$2:$BQ$1001,MATCH(ROWS($AH$2:AH968),$AH$2:$AH$1001,0),MATCH(COLUMNS($AO$1006:AR1006),$AO$1006:$BQ$1006,0)), HYPERLINK("#",""), HYPERLINK(CONCATENATE("#Metadata!", ADDRESS(INDEX($AJ$2:$AJ$1001,MATCH(ROWS($AH$2:AH968),$AH$2:$AH$1001,0),0), INDEX($AO$1004:$BQ$1004,1,MATCH(COLUMNS($AO$1006:AR1006),$AO$1006:$BQ$1006,0)))),"Fix")))</f>
        <v>#N/A</v>
      </c>
      <c r="F968" s="5" t="e">
        <f ca="1">IF(OR(INDEX($AI$2:$AI$1001,MATCH(ROWS($AH$2:AH968),$AH$2:$AH$1001,0),1)&gt;=100000,INDEX($AO$1005:$BQ$1005,1,MATCH(COLUMNS($AO$1006:AS1006),$AO$1006:$BQ$1006,0))&gt;=100000), " ",IF(INDEX($AO$2:$BQ$1001,MATCH(ROWS($AH$2:AH968),$AH$2:$AH$1001,0),MATCH(COLUMNS($AO$1006:AS1006),$AO$1006:$BQ$1006,0)), HYPERLINK("#",""), HYPERLINK(CONCATENATE("#Metadata!", ADDRESS(INDEX($AJ$2:$AJ$1001,MATCH(ROWS($AH$2:AH968),$AH$2:$AH$1001,0),0), INDEX($AO$1004:$BQ$1004,1,MATCH(COLUMNS($AO$1006:AS1006),$AO$1006:$BQ$1006,0)))),"Fix")))</f>
        <v>#N/A</v>
      </c>
      <c r="G968" s="5" t="e">
        <f ca="1">IF(OR(INDEX($AI$2:$AI$1001,MATCH(ROWS($AH$2:AH968),$AH$2:$AH$1001,0),1)&gt;=100000,INDEX($AO$1005:$BQ$1005,1,MATCH(COLUMNS($AO$1006:AT1006),$AO$1006:$BQ$1006,0))&gt;=100000), " ",IF(INDEX($AO$2:$BQ$1001,MATCH(ROWS($AH$2:AH968),$AH$2:$AH$1001,0),MATCH(COLUMNS($AO$1006:AT1006),$AO$1006:$BQ$1006,0)), HYPERLINK("#",""), HYPERLINK(CONCATENATE("#Metadata!", ADDRESS(INDEX($AJ$2:$AJ$1001,MATCH(ROWS($AH$2:AH968),$AH$2:$AH$1001,0),0), INDEX($AO$1004:$BQ$1004,1,MATCH(COLUMNS($AO$1006:AT1006),$AO$1006:$BQ$1006,0)))),"Fix")))</f>
        <v>#N/A</v>
      </c>
      <c r="H968" s="5" t="e">
        <f ca="1">IF(OR(INDEX($AI$2:$AI$1001,MATCH(ROWS($AH$2:AH968),$AH$2:$AH$1001,0),1)&gt;=100000,INDEX($AO$1005:$BQ$1005,1,MATCH(COLUMNS($AO$1006:AU1006),$AO$1006:$BQ$1006,0))&gt;=100000), " ",IF(INDEX($AO$2:$BQ$1001,MATCH(ROWS($AH$2:AH968),$AH$2:$AH$1001,0),MATCH(COLUMNS($AO$1006:AU1006),$AO$1006:$BQ$1006,0)), HYPERLINK("#",""), HYPERLINK(CONCATENATE("#Metadata!", ADDRESS(INDEX($AJ$2:$AJ$1001,MATCH(ROWS($AH$2:AH968),$AH$2:$AH$1001,0),0), INDEX($AO$1004:$BQ$1004,1,MATCH(COLUMNS($AO$1006:AU1006),$AO$1006:$BQ$1006,0)))),"Fix")))</f>
        <v>#N/A</v>
      </c>
      <c r="I968" s="5" t="e">
        <f ca="1">IF(OR(INDEX($AI$2:$AI$1001,MATCH(ROWS($AH$2:AH968),$AH$2:$AH$1001,0),1)&gt;=100000,INDEX($AO$1005:$BQ$1005,1,MATCH(COLUMNS($AO$1006:AV1006),$AO$1006:$BQ$1006,0))&gt;=100000), " ",IF(INDEX($AO$2:$BQ$1001,MATCH(ROWS($AH$2:AH968),$AH$2:$AH$1001,0),MATCH(COLUMNS($AO$1006:AV1006),$AO$1006:$BQ$1006,0)), HYPERLINK("#",""), HYPERLINK(CONCATENATE("#Metadata!", ADDRESS(INDEX($AJ$2:$AJ$1001,MATCH(ROWS($AH$2:AH968),$AH$2:$AH$1001,0),0), INDEX($AO$1004:$BQ$1004,1,MATCH(COLUMNS($AO$1006:AV1006),$AO$1006:$BQ$1006,0)))),"Fix")))</f>
        <v>#N/A</v>
      </c>
      <c r="J968" s="5" t="e">
        <f ca="1">IF(OR(INDEX($AI$2:$AI$1001,MATCH(ROWS($AH$2:AH968),$AH$2:$AH$1001,0),1)&gt;=100000,INDEX($AO$1005:$BQ$1005,1,MATCH(COLUMNS($AO$1006:AW1006),$AO$1006:$BQ$1006,0))&gt;=100000), " ",IF(INDEX($AO$2:$BQ$1001,MATCH(ROWS($AH$2:AH968),$AH$2:$AH$1001,0),MATCH(COLUMNS($AO$1006:AW1006),$AO$1006:$BQ$1006,0)), HYPERLINK("#",""), HYPERLINK(CONCATENATE("#Metadata!", ADDRESS(INDEX($AJ$2:$AJ$1001,MATCH(ROWS($AH$2:AH968),$AH$2:$AH$1001,0),0), INDEX($AO$1004:$BQ$1004,1,MATCH(COLUMNS($AO$1006:AW1006),$AO$1006:$BQ$1006,0)))),"Fix")))</f>
        <v>#N/A</v>
      </c>
      <c r="K968" s="5" t="e">
        <f ca="1">IF(OR(INDEX($AI$2:$AI$1001,MATCH(ROWS($AH$2:AH968),$AH$2:$AH$1001,0),1)&gt;=100000,INDEX($AO$1005:$BQ$1005,1,MATCH(COLUMNS($AO$1006:AX1006),$AO$1006:$BQ$1006,0))&gt;=100000), " ",IF(INDEX($AO$2:$BQ$1001,MATCH(ROWS($AH$2:AH968),$AH$2:$AH$1001,0),MATCH(COLUMNS($AO$1006:AX1006),$AO$1006:$BQ$1006,0)), HYPERLINK("#",""), HYPERLINK(CONCATENATE("#Metadata!", ADDRESS(INDEX($AJ$2:$AJ$1001,MATCH(ROWS($AH$2:AH968),$AH$2:$AH$1001,0),0), INDEX($AO$1004:$BQ$1004,1,MATCH(COLUMNS($AO$1006:AX1006),$AO$1006:$BQ$1006,0)))),"Fix")))</f>
        <v>#N/A</v>
      </c>
      <c r="L968" s="5" t="e">
        <f ca="1">IF(OR(INDEX($AI$2:$AI$1001,MATCH(ROWS($AH$2:AH968),$AH$2:$AH$1001,0),1)&gt;=100000,INDEX($AO$1005:$BQ$1005,1,MATCH(COLUMNS($AO$1006:AY1006),$AO$1006:$BQ$1006,0))&gt;=100000), " ",IF(INDEX($AO$2:$BQ$1001,MATCH(ROWS($AH$2:AH968),$AH$2:$AH$1001,0),MATCH(COLUMNS($AO$1006:AY1006),$AO$1006:$BQ$1006,0)), HYPERLINK("#",""), HYPERLINK(CONCATENATE("#Metadata!", ADDRESS(INDEX($AJ$2:$AJ$1001,MATCH(ROWS($AH$2:AH968),$AH$2:$AH$1001,0),0), INDEX($AO$1004:$BQ$1004,1,MATCH(COLUMNS($AO$1006:AY1006),$AO$1006:$BQ$1006,0)))),"Fix")))</f>
        <v>#N/A</v>
      </c>
      <c r="M968" s="5" t="e">
        <f ca="1">IF(OR(INDEX($AI$2:$AI$1001,MATCH(ROWS($AH$2:AH968),$AH$2:$AH$1001,0),1)&gt;=100000,INDEX($AO$1005:$BQ$1005,1,MATCH(COLUMNS($AO$1006:AZ1006),$AO$1006:$BQ$1006,0))&gt;=100000), " ",IF(INDEX($AO$2:$BQ$1001,MATCH(ROWS($AH$2:AH968),$AH$2:$AH$1001,0),MATCH(COLUMNS($AO$1006:AZ1006),$AO$1006:$BQ$1006,0)), HYPERLINK("#",""), HYPERLINK(CONCATENATE("#Metadata!", ADDRESS(INDEX($AJ$2:$AJ$1001,MATCH(ROWS($AH$2:AH968),$AH$2:$AH$1001,0),0), INDEX($AO$1004:$BQ$1004,1,MATCH(COLUMNS($AO$1006:AZ1006),$AO$1006:$BQ$1006,0)))),"Fix")))</f>
        <v>#N/A</v>
      </c>
      <c r="N968" s="5" t="e">
        <f ca="1">IF(OR(INDEX($AI$2:$AI$1001,MATCH(ROWS($AH$2:AH968),$AH$2:$AH$1001,0),1)&gt;=100000,INDEX($AO$1005:$BQ$1005,1,MATCH(COLUMNS($AO$1006:BA1006),$AO$1006:$BQ$1006,0))&gt;=100000), " ",IF(INDEX($AO$2:$BQ$1001,MATCH(ROWS($AH$2:AH968),$AH$2:$AH$1001,0),MATCH(COLUMNS($AO$1006:BA1006),$AO$1006:$BQ$1006,0)), HYPERLINK("#",""), HYPERLINK(CONCATENATE("#Metadata!", ADDRESS(INDEX($AJ$2:$AJ$1001,MATCH(ROWS($AH$2:AH968),$AH$2:$AH$1001,0),0), INDEX($AO$1004:$BQ$1004,1,MATCH(COLUMNS($AO$1006:BA1006),$AO$1006:$BQ$1006,0)))),"Fix")))</f>
        <v>#N/A</v>
      </c>
      <c r="O968" s="5" t="e">
        <f ca="1">IF(OR(INDEX($AI$2:$AI$1001,MATCH(ROWS($AH$2:AH968),$AH$2:$AH$1001,0),1)&gt;=100000,INDEX($AO$1005:$BQ$1005,1,MATCH(COLUMNS($AO$1006:BB1006),$AO$1006:$BQ$1006,0))&gt;=100000), " ",IF(INDEX($AO$2:$BQ$1001,MATCH(ROWS($AH$2:AH968),$AH$2:$AH$1001,0),MATCH(COLUMNS($AO$1006:BB1006),$AO$1006:$BQ$1006,0)), HYPERLINK("#",""), HYPERLINK(CONCATENATE("#Metadata!", ADDRESS(INDEX($AJ$2:$AJ$1001,MATCH(ROWS($AH$2:AH968),$AH$2:$AH$1001,0),0), INDEX($AO$1004:$BQ$1004,1,MATCH(COLUMNS($AO$1006:BB1006),$AO$1006:$BQ$1006,0)))),"Fix")))</f>
        <v>#N/A</v>
      </c>
      <c r="P968" s="5" t="e">
        <f ca="1">IF(OR(INDEX($AI$2:$AI$1001,MATCH(ROWS($AH$2:AH968),$AH$2:$AH$1001,0),1)&gt;=100000,INDEX($AO$1005:$BQ$1005,1,MATCH(COLUMNS($AO$1006:BC1006),$AO$1006:$BQ$1006,0))&gt;=100000), " ",IF(INDEX($AO$2:$BQ$1001,MATCH(ROWS($AH$2:AH968),$AH$2:$AH$1001,0),MATCH(COLUMNS($AO$1006:BC1006),$AO$1006:$BQ$1006,0)), HYPERLINK("#",""), HYPERLINK(CONCATENATE("#Metadata!", ADDRESS(INDEX($AJ$2:$AJ$1001,MATCH(ROWS($AH$2:AH968),$AH$2:$AH$1001,0),0), INDEX($AO$1004:$BQ$1004,1,MATCH(COLUMNS($AO$1006:BC1006),$AO$1006:$BQ$1006,0)))),"Fix")))</f>
        <v>#N/A</v>
      </c>
      <c r="Q968" s="5" t="e">
        <f ca="1">IF(OR(INDEX($AI$2:$AI$1001,MATCH(ROWS($AH$2:AH968),$AH$2:$AH$1001,0),1)&gt;=100000,INDEX($AO$1005:$BQ$1005,1,MATCH(COLUMNS($AO$1006:BD1006),$AO$1006:$BQ$1006,0))&gt;=100000), " ",IF(INDEX($AO$2:$BQ$1001,MATCH(ROWS($AH$2:AH968),$AH$2:$AH$1001,0),MATCH(COLUMNS($AO$1006:BD1006),$AO$1006:$BQ$1006,0)), HYPERLINK("#",""), HYPERLINK(CONCATENATE("#Metadata!", ADDRESS(INDEX($AJ$2:$AJ$1001,MATCH(ROWS($AH$2:AH968),$AH$2:$AH$1001,0),0), INDEX($AO$1004:$BQ$1004,1,MATCH(COLUMNS($AO$1006:BD1006),$AO$1006:$BQ$1006,0)))),"Fix")))</f>
        <v>#N/A</v>
      </c>
      <c r="R968" s="5" t="e">
        <f ca="1">IF(OR(INDEX($AI$2:$AI$1001,MATCH(ROWS($AH$2:AH968),$AH$2:$AH$1001,0),1)&gt;=100000,INDEX($AO$1005:$BQ$1005,1,MATCH(COLUMNS($AO$1006:BE1006),$AO$1006:$BQ$1006,0))&gt;=100000), " ",IF(INDEX($AO$2:$BQ$1001,MATCH(ROWS($AH$2:AH968),$AH$2:$AH$1001,0),MATCH(COLUMNS($AO$1006:BE1006),$AO$1006:$BQ$1006,0)), HYPERLINK("#",""), HYPERLINK(CONCATENATE("#Metadata!", ADDRESS(INDEX($AJ$2:$AJ$1001,MATCH(ROWS($AH$2:AH968),$AH$2:$AH$1001,0),0), INDEX($AO$1004:$BQ$1004,1,MATCH(COLUMNS($AO$1006:BE1006),$AO$1006:$BQ$1006,0)))),"Fix")))</f>
        <v>#N/A</v>
      </c>
      <c r="S968" s="5" t="e">
        <f ca="1">IF(OR(INDEX($AI$2:$AI$1001,MATCH(ROWS($AH$2:AH968),$AH$2:$AH$1001,0),1)&gt;=100000,INDEX($AO$1005:$BQ$1005,1,MATCH(COLUMNS($AO$1006:BF1006),$AO$1006:$BQ$1006,0))&gt;=100000), " ",IF(INDEX($AO$2:$BQ$1001,MATCH(ROWS($AH$2:AH968),$AH$2:$AH$1001,0),MATCH(COLUMNS($AO$1006:BF1006),$AO$1006:$BQ$1006,0)), HYPERLINK("#",""), HYPERLINK(CONCATENATE("#Metadata!", ADDRESS(INDEX($AJ$2:$AJ$1001,MATCH(ROWS($AH$2:AH968),$AH$2:$AH$1001,0),0), INDEX($AO$1004:$BQ$1004,1,MATCH(COLUMNS($AO$1006:BF1006),$AO$1006:$BQ$1006,0)))),"Fix")))</f>
        <v>#N/A</v>
      </c>
      <c r="T968" s="5" t="e">
        <f ca="1">IF(OR(INDEX($AI$2:$AI$1001,MATCH(ROWS($AH$2:AH968),$AH$2:$AH$1001,0),1)&gt;=100000,INDEX($AO$1005:$BQ$1005,1,MATCH(COLUMNS($AO$1006:BG1006),$AO$1006:$BQ$1006,0))&gt;=100000), " ",IF(INDEX($AO$2:$BQ$1001,MATCH(ROWS($AH$2:AH968),$AH$2:$AH$1001,0),MATCH(COLUMNS($AO$1006:BG1006),$AO$1006:$BQ$1006,0)), HYPERLINK("#",""), HYPERLINK(CONCATENATE("#Metadata!", ADDRESS(INDEX($AJ$2:$AJ$1001,MATCH(ROWS($AH$2:AH968),$AH$2:$AH$1001,0),0), INDEX($AO$1004:$BQ$1004,1,MATCH(COLUMNS($AO$1006:BG1006),$AO$1006:$BQ$1006,0)))),"Fix")))</f>
        <v>#N/A</v>
      </c>
      <c r="U968" s="5" t="e">
        <f ca="1">IF(OR(INDEX($AI$2:$AI$1001,MATCH(ROWS($AH$2:AH968),$AH$2:$AH$1001,0),1)&gt;=100000,INDEX($AO$1005:$BQ$1005,1,MATCH(COLUMNS($AO$1006:BH1006),$AO$1006:$BQ$1006,0))&gt;=100000), " ",IF(INDEX($AO$2:$BQ$1001,MATCH(ROWS($AH$2:AH968),$AH$2:$AH$1001,0),MATCH(COLUMNS($AO$1006:BH1006),$AO$1006:$BQ$1006,0)), HYPERLINK("#",""), HYPERLINK(CONCATENATE("#Metadata!", ADDRESS(INDEX($AJ$2:$AJ$1001,MATCH(ROWS($AH$2:AH968),$AH$2:$AH$1001,0),0), INDEX($AO$1004:$BQ$1004,1,MATCH(COLUMNS($AO$1006:BH1006),$AO$1006:$BQ$1006,0)))),"Fix")))</f>
        <v>#N/A</v>
      </c>
      <c r="V968" s="5" t="e">
        <f ca="1">IF(OR(INDEX($AI$2:$AI$1001,MATCH(ROWS($AH$2:AH968),$AH$2:$AH$1001,0),1)&gt;=100000,INDEX($AO$1005:$BQ$1005,1,MATCH(COLUMNS($AO$1006:BI1006),$AO$1006:$BQ$1006,0))&gt;=100000), " ",IF(INDEX($AO$2:$BQ$1001,MATCH(ROWS($AH$2:AH968),$AH$2:$AH$1001,0),MATCH(COLUMNS($AO$1006:BI1006),$AO$1006:$BQ$1006,0)), HYPERLINK("#",""), HYPERLINK(CONCATENATE("#Metadata!", ADDRESS(INDEX($AJ$2:$AJ$1001,MATCH(ROWS($AH$2:AH968),$AH$2:$AH$1001,0),0), INDEX($AO$1004:$BQ$1004,1,MATCH(COLUMNS($AO$1006:BI1006),$AO$1006:$BQ$1006,0)))),"Fix")))</f>
        <v>#N/A</v>
      </c>
      <c r="W968" s="5" t="e">
        <f ca="1">IF(OR(INDEX($AI$2:$AI$1001,MATCH(ROWS($AH$2:AH968),$AH$2:$AH$1001,0),1)&gt;=100000,INDEX($AO$1005:$BQ$1005,1,MATCH(COLUMNS($AO$1006:BJ1006),$AO$1006:$BQ$1006,0))&gt;=100000), " ",IF(INDEX($AO$2:$BQ$1001,MATCH(ROWS($AH$2:AH968),$AH$2:$AH$1001,0),MATCH(COLUMNS($AO$1006:BJ1006),$AO$1006:$BQ$1006,0)), HYPERLINK("#",""), HYPERLINK(CONCATENATE("#Metadata!", ADDRESS(INDEX($AJ$2:$AJ$1001,MATCH(ROWS($AH$2:AH968),$AH$2:$AH$1001,0),0), INDEX($AO$1004:$BQ$1004,1,MATCH(COLUMNS($AO$1006:BJ1006),$AO$1006:$BQ$1006,0)))),"Fix")))</f>
        <v>#N/A</v>
      </c>
      <c r="X968" s="5" t="e">
        <f ca="1">IF(OR(INDEX($AI$2:$AI$1001,MATCH(ROWS($AH$2:AH968),$AH$2:$AH$1001,0),1)&gt;=100000,INDEX($AO$1005:$BQ$1005,1,MATCH(COLUMNS($AO$1006:BK1006),$AO$1006:$BQ$1006,0))&gt;=100000), " ",IF(INDEX($AO$2:$BQ$1001,MATCH(ROWS($AH$2:AH968),$AH$2:$AH$1001,0),MATCH(COLUMNS($AO$1006:BK1006),$AO$1006:$BQ$1006,0)), HYPERLINK("#",""), HYPERLINK(CONCATENATE("#Metadata!", ADDRESS(INDEX($AJ$2:$AJ$1001,MATCH(ROWS($AH$2:AH968),$AH$2:$AH$1001,0),0), INDEX($AO$1004:$BQ$1004,1,MATCH(COLUMNS($AO$1006:BK1006),$AO$1006:$BQ$1006,0)))),"Fix")))</f>
        <v>#N/A</v>
      </c>
      <c r="Y968" s="5" t="e">
        <f ca="1">IF(OR(INDEX($AI$2:$AI$1001,MATCH(ROWS($AH$2:AH968),$AH$2:$AH$1001,0),1)&gt;=100000,INDEX($AO$1005:$BQ$1005,1,MATCH(COLUMNS($AO$1006:BL1006),$AO$1006:$BQ$1006,0))&gt;=100000), " ",IF(INDEX($AO$2:$BQ$1001,MATCH(ROWS($AH$2:AH968),$AH$2:$AH$1001,0),MATCH(COLUMNS($AO$1006:BL1006),$AO$1006:$BQ$1006,0)), HYPERLINK("#",""), HYPERLINK(CONCATENATE("#Metadata!", ADDRESS(INDEX($AJ$2:$AJ$1001,MATCH(ROWS($AH$2:AH968),$AH$2:$AH$1001,0),0), INDEX($AO$1004:$BQ$1004,1,MATCH(COLUMNS($AO$1006:BL1006),$AO$1006:$BQ$1006,0)))),"Fix")))</f>
        <v>#N/A</v>
      </c>
      <c r="Z968" s="5" t="e">
        <f ca="1">IF(OR(INDEX($AI$2:$AI$1001,MATCH(ROWS($AH$2:AH968),$AH$2:$AH$1001,0),1)&gt;=100000,INDEX($AO$1005:$BQ$1005,1,MATCH(COLUMNS($AO$1006:BM1006),$AO$1006:$BQ$1006,0))&gt;=100000), " ",IF(INDEX($AO$2:$BQ$1001,MATCH(ROWS($AH$2:AH968),$AH$2:$AH$1001,0),MATCH(COLUMNS($AO$1006:BM1006),$AO$1006:$BQ$1006,0)), HYPERLINK("#",""), HYPERLINK(CONCATENATE("#Metadata!", ADDRESS(INDEX($AJ$2:$AJ$1001,MATCH(ROWS($AH$2:AH968),$AH$2:$AH$1001,0),0), INDEX($AO$1004:$BQ$1004,1,MATCH(COLUMNS($AO$1006:BM1006),$AO$1006:$BQ$1006,0)))),"Fix")))</f>
        <v>#N/A</v>
      </c>
      <c r="AA968" s="5" t="e">
        <f ca="1">IF(OR(INDEX($AI$2:$AI$1001,MATCH(ROWS($AH$2:AH968),$AH$2:$AH$1001,0),1)&gt;=100000,INDEX($AO$1005:$BQ$1005,1,MATCH(COLUMNS($AO$1006:BN1006),$AO$1006:$BQ$1006,0))&gt;=100000), " ",IF(INDEX($AO$2:$BQ$1001,MATCH(ROWS($AH$2:AH968),$AH$2:$AH$1001,0),MATCH(COLUMNS($AO$1006:BN1006),$AO$1006:$BQ$1006,0)), HYPERLINK("#",""), HYPERLINK(CONCATENATE("#Metadata!", ADDRESS(INDEX($AJ$2:$AJ$1001,MATCH(ROWS($AH$2:AH968),$AH$2:$AH$1001,0),0), INDEX($AO$1004:$BQ$1004,1,MATCH(COLUMNS($AO$1006:BN1006),$AO$1006:$BQ$1006,0)))),"Fix")))</f>
        <v>#N/A</v>
      </c>
      <c r="AB968" s="5" t="e">
        <f ca="1">IF(OR(INDEX($AI$2:$AI$1001,MATCH(ROWS($AH$2:AH968),$AH$2:$AH$1001,0),1)&gt;=100000,INDEX($AO$1005:$BQ$1005,1,MATCH(COLUMNS($AO$1006:BO1006),$AO$1006:$BQ$1006,0))&gt;=100000), " ",IF(INDEX($AO$2:$BQ$1001,MATCH(ROWS($AH$2:AH968),$AH$2:$AH$1001,0),MATCH(COLUMNS($AO$1006:BO1006),$AO$1006:$BQ$1006,0)), HYPERLINK("#",""), HYPERLINK(CONCATENATE("#Metadata!", ADDRESS(INDEX($AJ$2:$AJ$1001,MATCH(ROWS($AH$2:AH968),$AH$2:$AH$1001,0),0), INDEX($AO$1004:$BQ$1004,1,MATCH(COLUMNS($AO$1006:BO1006),$AO$1006:$BQ$1006,0)))),"Fix")))</f>
        <v>#N/A</v>
      </c>
      <c r="AC968" s="5" t="e">
        <f ca="1">IF(OR(INDEX($AI$2:$AI$1001,MATCH(ROWS($AH$2:AH968),$AH$2:$AH$1001,0),1)&gt;=100000,INDEX($AO$1005:$BQ$1005,1,MATCH(COLUMNS($AO$1006:BP1006),$AO$1006:$BQ$1006,0))&gt;=100000), " ",IF(INDEX($AO$2:$BQ$1001,MATCH(ROWS($AH$2:AH968),$AH$2:$AH$1001,0),MATCH(COLUMNS($AO$1006:BP1006),$AO$1006:$BQ$1006,0)), HYPERLINK("#",""), HYPERLINK(CONCATENATE("#Metadata!", ADDRESS(INDEX($AJ$2:$AJ$1001,MATCH(ROWS($AH$2:AH968),$AH$2:$AH$1001,0),0), INDEX($AO$1004:$BQ$1004,1,MATCH(COLUMNS($AO$1006:BP1006),$AO$1006:$BQ$1006,0)))),"Fix")))</f>
        <v>#N/A</v>
      </c>
      <c r="AD968" s="5" t="e">
        <f ca="1">IF(OR(INDEX($AI$2:$AI$1001,MATCH(ROWS($AH$2:AH968),$AH$2:$AH$1001,0),1)&gt;=100000,INDEX($AO$1005:$BQ$1005,1,MATCH(COLUMNS($AO$1006:BQ1006),$AO$1006:$BQ$1006,0))&gt;=100000), " ",IF(INDEX($AO$2:$BQ$1001,MATCH(ROWS($AH$2:AH968),$AH$2:$AH$1001,0),MATCH(COLUMNS($AO$1006:BQ1006),$AO$1006:$BQ$1006,0)), HYPERLINK("#",""), HYPERLINK(CONCATENATE("#Metadata!", ADDRESS(INDEX($AJ$2:$AJ$1001,MATCH(ROWS($AH$2:AH968),$AH$2:$AH$1001,0),0), INDEX($AO$1004:$BQ$1004,1,MATCH(COLUMNS($AO$1006:BQ1006),$AO$1006:$BQ$1006,0)))),"Fix")))</f>
        <v>#REF!</v>
      </c>
      <c r="AH968">
        <f ca="1"/>
        <v>965</v>
      </c>
      <c r="AI968">
        <v>100968</v>
      </c>
      <c r="AJ968">
        <v>968</v>
      </c>
      <c r="AK968" t="b">
        <f t="shared" si="15"/>
        <v>1</v>
      </c>
      <c r="AL968" t="b">
        <f>COUNTBLANK(Metadata!B968:AD968)=COLUMNS(Metadata!B968:AD968)</f>
        <v>1</v>
      </c>
      <c r="AM968" t="str">
        <v/>
      </c>
      <c r="AO968" t="b">
        <f ca="1">AND(IF(Metadata!B968="",FALSE,TRUE),COUNTIF(Metadata!B:B, Metadata!B968) = 1,NOT(ISERROR(SUMPRODUCT(SEARCH(MID(Metadata!B968,ROW(INDIRECT("1:"&amp;LEN(Metadata!B968))), 1),"0123456789abcdefghijklmnopqrstuvwxyzABCDEFGHIJKLMNOPQRSTUVWXYZ.")))))</f>
        <v>0</v>
      </c>
      <c r="AP968" t="b">
        <f>IF(Metadata!C968="",FALSE,TRUE)</f>
        <v>0</v>
      </c>
      <c r="AQ968" t="b">
        <f>IF(Metadata!D968="",FALSE,TRUE)</f>
        <v>0</v>
      </c>
      <c r="AR968" t="b">
        <f ca="1">OR(AND(IF(Metadata!E968="",FALSE,TRUE),OR(EXACT(Metadata!E968,"not collected"),EXACT(Metadata!E968,"not provided"),EXACT(Metadata!E968,"restricted access"))),AND(IF(Metadata!E968="",FALSE,TRUE),AND(AND(IFERROR(INT(LEFT(Metadata!E968,4))&gt;1900,FALSE),IFERROR(INT(LEFT(Metadata!E968,4))&lt;=YEAR(NOW()),FALSE)), OR(MID(Metadata!E968,5,1)="", AND(AND(MID(Metadata!E968,5,1)="-",IFERROR(INT(MID(Metadata!E968,6,1))&gt;=0,FALSE),IFERROR(INT(MID(Metadata!E968,6,1))&lt;=1,FALSE),NOT(MID(Metadata!E968,7,1)=""),IFERROR(INT(MID(Metadata!E968,6,2))&gt;=1,FALSE),IFERROR(INT(MID(Metadata!E968,6,2))&lt;=12,FALSE)), OR(MID(Metadata!E968,8,1)="", AND(AND(MID(Metadata!E968,8,1)="-",IFERROR(INT(MID(Metadata!E968,9,1))&gt;=0,FALSE),IFERROR(INT(MID(Metadata!E968,9,1))&lt;=3,FALSE),NOT(MID(Metadata!E968,10,1)=""),IFERROR(INT(MID(Metadata!E968,9,2))&gt;=1,FALSE),IFERROR(INT(MID(Metadata!E968,9,2))&lt;=31,FALSE)), OR(MID(Metadata!E968,11,1)="", AND(AND(MID(Metadata!E968,11,1)=" ",IFERROR(INT(MID(Metadata!E968,12,1))&gt;=0,FALSE),IFERROR(INT(MID(Metadata!E968,12,1))&lt;=2,FALSE),NOT(MID(Metadata!E968,13,1)=""),IFERROR(INT(MID(Metadata!E968,12,2))&gt;=0,FALSE),IFERROR(INT(MID(Metadata!E968,12,2))&lt;=23,FALSE)), OR(MID(Metadata!E968,14,1)="", AND(AND(MID(Metadata!E968,14,1)=":",IFERROR(INT(MID(Metadata!E968,15,1))&gt;=0,FALSE),IFERROR(INT(MID(Metadata!E968,15,1))&lt;=5,FALSE),NOT(MID(Metadata!E968,16,1)=""),IFERROR(INT(MID(Metadata!E968,15,2))&gt;=0,FALSE),IFERROR(INT(MID(Metadata!E968,15,2))&lt;=59,FALSE)), OR(MID(Metadata!E968,17,1)="", AND(AND(MID(Metadata!E968,17,1)=":",IFERROR(INT(MID(Metadata!E968,18,1))&gt;=0,FALSE),IFERROR(INT(MID(Metadata!E968,18,1))&lt;=5,FALSE),NOT(MID(Metadata!E968,19,1)=""),IFERROR(INT(MID(Metadata!E968,18,2))&gt;=0,FALSE),IFERROR(INT(MID(Metadata!E968,18,2))&lt;=59,FALSE)), LEN(Metadata!E968)&lt;=19)))))))))))))</f>
        <v>0</v>
      </c>
      <c r="AS968" t="b">
        <f>IF(Metadata!F968="",FALSE,TRUE)</f>
        <v>0</v>
      </c>
      <c r="AT968" t="b">
        <f>OR(AND(IF(Metadata!G968="",FALSE,TRUE),OR(EXACT(Metadata!G968,"not collected"),EXACT(Metadata!G968,"not provided"))),AND(IF(Metadata!G968="",FALSE,TRUE),OR(EXACT(Metadata!G968,"TRUE"),EXACT(Metadata!G968,"FALSE"))))</f>
        <v>0</v>
      </c>
      <c r="AU968" t="b">
        <f>OR(AND(IF(Metadata!H968="",FALSE,TRUE),OR(EXACT(Metadata!H968,"not collected"),EXACT(Metadata!H968,"not provided"),EXACT(Metadata!H968,"restricted access"))),AND(IF(Metadata!H968="",FALSE,ISNUMBER(VALUE(Metadata!H968))),Metadata!H968&gt;=-413))</f>
        <v>0</v>
      </c>
      <c r="AV968" t="b">
        <f>AND(IF(Metadata!I968="",FALSE,TRUE),EXACT(Metadata!I968,"meters"))</f>
        <v>0</v>
      </c>
      <c r="AW968" t="b">
        <f>AND(IF(Metadata!J968="",FALSE,TRUE),EXACT(Metadata!J968,"free-living"))</f>
        <v>0</v>
      </c>
      <c r="AX968" t="b">
        <f>AND(IF(Metadata!K968="",FALSE,TRUE),OR(EXACT(Metadata!K968,"saline"),EXACT(Metadata!K968,"non-saline")))</f>
        <v>0</v>
      </c>
      <c r="AY968" t="b">
        <f>AND(IF(Metadata!L968="",FALSE,TRUE),OR(EXACT(Metadata!L968,"sub-surface (non-saline)"),EXACT(Metadata!L968,"surface (non-saline)"),EXACT(Metadata!L968,"water (non-saline)"),EXACT(Metadata!L968,"soil (non-saline)"),EXACT(Metadata!L968,"aerosol (non-saline)"),EXACT(Metadata!L968,"sediment (non-saline)"),EXACT(Metadata!L968,"surface (saline)"),EXACT(Metadata!L968,"water (saline)"),EXACT(Metadata!L968,"hypersaline (saline)"),EXACT(Metadata!L968,"aerosol (saline)"),EXACT(Metadata!L968,"sediment (saline)")))</f>
        <v>0</v>
      </c>
      <c r="AZ968" t="b">
        <f>IF(Metadata!M968="",FALSE,TRUE)</f>
        <v>0</v>
      </c>
      <c r="BA968" t="b">
        <f>IF(Metadata!N968="",FALSE,TRUE)</f>
        <v>0</v>
      </c>
      <c r="BB968" t="b">
        <f>IF(Metadata!O968="",FALSE,TRUE)</f>
        <v>0</v>
      </c>
      <c r="BC968" t="b">
        <f>AND(IF(Metadata!P968="",FALSE,TRUE),OR(EXACT(Metadata!P968,"air"),EXACT(Metadata!P968,"microbial mat/biofilm"),EXACT(Metadata!P968,"misc environment"),EXACT(Metadata!P968,"sediment"),EXACT(Metadata!P968,"soil"),EXACT(Metadata!P968,"wastewater/sludge"),EXACT(Metadata!P968,"water")))</f>
        <v>0</v>
      </c>
      <c r="BD968" t="b">
        <f>IF(Metadata!Q968="",FALSE,TRUE)</f>
        <v>0</v>
      </c>
      <c r="BE968" t="b">
        <f>IF(Metadata!R968="",FALSE,TRUE)</f>
        <v>0</v>
      </c>
      <c r="BF968" t="b">
        <f>OR(AND(IF(Metadata!S968="",FALSE,TRUE),OR(EXACT(Metadata!S968,"not collected"),EXACT(Metadata!S968,"not provided"),EXACT(Metadata!S968,"restricted access"))),AND(IF(Metadata!S968="",FALSE,ISNUMBER(VALUE(Metadata!S968))),Metadata!S968&gt;=-90,Metadata!S968&lt;=90))</f>
        <v>0</v>
      </c>
      <c r="BG968" t="b">
        <f>AND(IF(Metadata!T968="",FALSE,TRUE),EXACT(Metadata!T968,"Decimal degrees"))</f>
        <v>0</v>
      </c>
      <c r="BH968" t="b">
        <f>OR(AND(IF(Metadata!U968="",FALSE,TRUE),OR(EXACT(Metadata!U968,"not applicable"),EXACT(Metadata!U968,"not collected"))),IF(Metadata!U968="",FALSE,TRUE))</f>
        <v>0</v>
      </c>
      <c r="BI968" t="b">
        <f>OR(AND(IF(Metadata!V968="",FALSE,TRUE),OR(EXACT(Metadata!V968,"not collected"),EXACT(Metadata!V968,"not provided"),EXACT(Metadata!V968,"restricted access"))),AND(IF(Metadata!V968="",FALSE,ISNUMBER(VALUE(Metadata!V968))),Metadata!V968&gt;=-180,Metadata!V968&lt;=180))</f>
        <v>0</v>
      </c>
      <c r="BJ968" t="b">
        <f>AND(IF(Metadata!W968="",FALSE,TRUE),EXACT(Metadata!W968,"Decimal degrees"))</f>
        <v>0</v>
      </c>
      <c r="BK968" t="b">
        <f>IF(Metadata!X968="",FALSE,TRUE)</f>
        <v>0</v>
      </c>
      <c r="BL968" t="b">
        <f>OR(AND(IF(Metadata!Y968="",FALSE,TRUE),OR(EXACT(Metadata!Y968,"not collected"),EXACT(Metadata!Y968,"not provided"),EXACT(Metadata!Y968,"restricted access"))),AND(IF(Metadata!Y968="",FALSE,TRUE),OR(EXACT(Metadata!Y968,"TRUE"),EXACT(Metadata!Y968,"FALSE"))))</f>
        <v>0</v>
      </c>
      <c r="BM968" t="b">
        <f>OR(AND(IF(Metadata!Z968="",FALSE,TRUE),EXACT(Metadata!Z968,"not applicable")),AND(IF(Metadata!Z968="",FALSE,TRUE),OR(EXACT(Metadata!Z968,"beer"),EXACT(Metadata!Z968,"cheese"),EXACT(Metadata!Z968,"fresh water"),EXACT(Metadata!Z968,"marine sediment"),EXACT(Metadata!Z968,"sea water"),EXACT(Metadata!Z968,"sediment"),EXACT(Metadata!Z968,"soil"),EXACT(Metadata!Z968,"waste water"))))</f>
        <v>0</v>
      </c>
      <c r="BN968" t="b">
        <f>AND(IF(Metadata!AA968="",FALSE,TRUE),EXACT(Metadata!AA968,"metagenome"))</f>
        <v>0</v>
      </c>
      <c r="BO968" t="b">
        <f>AND(IF(Metadata!AB968="",FALSE,TRUE),EXACT(Metadata!AB968,"256318"))</f>
        <v>0</v>
      </c>
      <c r="BP968" t="b">
        <f>IF(Metadata!AC968="",FALSE,TRUE)</f>
        <v>0</v>
      </c>
      <c r="BQ968" t="b">
        <f>IF(Metadata!AD968="",FALSE,TRUE)</f>
        <v>0</v>
      </c>
    </row>
    <row r="969" spans="1:69" x14ac:dyDescent="0.2">
      <c r="A969" s="4" t="e">
        <f ca="1">IF(B969=" "," ",HYPERLINK(CONCATENATE("#metadata!",ADDRESS(INDEX($AJ$2:$AJ$1001,MATCH(ROWS($AH$2:AH969),$AH$2:$AH$1001,0),0),2)),INDEX($AM$2:$AM$1001,MATCH(ROWS($AH$2:AH969),$AH$2:$AH$1001,0),0)))</f>
        <v>#N/A</v>
      </c>
      <c r="B969" s="5" t="e">
        <f ca="1">IF(OR(INDEX($AI$2:$AI$1001,MATCH(ROWS($AH$2:AH969),$AH$2:$AH$1001,0),1)&gt;=100000,INDEX($AO$1005:$BQ$1005,1,MATCH(COLUMNS($AO$1006:AO1006),$AO$1006:$BQ$1006,0))&gt;=100000), " ",IF(INDEX($AO$2:$BQ$1001,MATCH(ROWS($AH$2:AH969),$AH$2:$AH$1001,0),MATCH(COLUMNS($AO$1006:AO1006),$AO$1006:$BQ$1006,0)), HYPERLINK("#",""), HYPERLINK(CONCATENATE("#Metadata!", ADDRESS(INDEX($AJ$2:$AJ$1001,MATCH(ROWS($AH$2:AH969),$AH$2:$AH$1001,0),0), INDEX($AO$1004:$BQ$1004,1,MATCH(COLUMNS($AO$1006:AO1006),$AO$1006:$BQ$1006,0)))),"Fix")))</f>
        <v>#N/A</v>
      </c>
      <c r="C969" s="5" t="e">
        <f ca="1">IF(OR(INDEX($AI$2:$AI$1001,MATCH(ROWS($AH$2:AH969),$AH$2:$AH$1001,0),1)&gt;=100000,INDEX($AO$1005:$BQ$1005,1,MATCH(COLUMNS($AO$1006:AP1006),$AO$1006:$BQ$1006,0))&gt;=100000), " ",IF(INDEX($AO$2:$BQ$1001,MATCH(ROWS($AH$2:AH969),$AH$2:$AH$1001,0),MATCH(COLUMNS($AO$1006:AP1006),$AO$1006:$BQ$1006,0)), HYPERLINK("#",""), HYPERLINK(CONCATENATE("#Metadata!", ADDRESS(INDEX($AJ$2:$AJ$1001,MATCH(ROWS($AH$2:AH969),$AH$2:$AH$1001,0),0), INDEX($AO$1004:$BQ$1004,1,MATCH(COLUMNS($AO$1006:AP1006),$AO$1006:$BQ$1006,0)))),"Fix")))</f>
        <v>#N/A</v>
      </c>
      <c r="D969" s="5" t="e">
        <f ca="1">IF(OR(INDEX($AI$2:$AI$1001,MATCH(ROWS($AH$2:AH969),$AH$2:$AH$1001,0),1)&gt;=100000,INDEX($AO$1005:$BQ$1005,1,MATCH(COLUMNS($AO$1006:AQ1006),$AO$1006:$BQ$1006,0))&gt;=100000), " ",IF(INDEX($AO$2:$BQ$1001,MATCH(ROWS($AH$2:AH969),$AH$2:$AH$1001,0),MATCH(COLUMNS($AO$1006:AQ1006),$AO$1006:$BQ$1006,0)), HYPERLINK("#",""), HYPERLINK(CONCATENATE("#Metadata!", ADDRESS(INDEX($AJ$2:$AJ$1001,MATCH(ROWS($AH$2:AH969),$AH$2:$AH$1001,0),0), INDEX($AO$1004:$BQ$1004,1,MATCH(COLUMNS($AO$1006:AQ1006),$AO$1006:$BQ$1006,0)))),"Fix")))</f>
        <v>#N/A</v>
      </c>
      <c r="E969" s="5" t="e">
        <f ca="1">IF(OR(INDEX($AI$2:$AI$1001,MATCH(ROWS($AH$2:AH969),$AH$2:$AH$1001,0),1)&gt;=100000,INDEX($AO$1005:$BQ$1005,1,MATCH(COLUMNS($AO$1006:AR1006),$AO$1006:$BQ$1006,0))&gt;=100000), " ",IF(INDEX($AO$2:$BQ$1001,MATCH(ROWS($AH$2:AH969),$AH$2:$AH$1001,0),MATCH(COLUMNS($AO$1006:AR1006),$AO$1006:$BQ$1006,0)), HYPERLINK("#",""), HYPERLINK(CONCATENATE("#Metadata!", ADDRESS(INDEX($AJ$2:$AJ$1001,MATCH(ROWS($AH$2:AH969),$AH$2:$AH$1001,0),0), INDEX($AO$1004:$BQ$1004,1,MATCH(COLUMNS($AO$1006:AR1006),$AO$1006:$BQ$1006,0)))),"Fix")))</f>
        <v>#N/A</v>
      </c>
      <c r="F969" s="5" t="e">
        <f ca="1">IF(OR(INDEX($AI$2:$AI$1001,MATCH(ROWS($AH$2:AH969),$AH$2:$AH$1001,0),1)&gt;=100000,INDEX($AO$1005:$BQ$1005,1,MATCH(COLUMNS($AO$1006:AS1006),$AO$1006:$BQ$1006,0))&gt;=100000), " ",IF(INDEX($AO$2:$BQ$1001,MATCH(ROWS($AH$2:AH969),$AH$2:$AH$1001,0),MATCH(COLUMNS($AO$1006:AS1006),$AO$1006:$BQ$1006,0)), HYPERLINK("#",""), HYPERLINK(CONCATENATE("#Metadata!", ADDRESS(INDEX($AJ$2:$AJ$1001,MATCH(ROWS($AH$2:AH969),$AH$2:$AH$1001,0),0), INDEX($AO$1004:$BQ$1004,1,MATCH(COLUMNS($AO$1006:AS1006),$AO$1006:$BQ$1006,0)))),"Fix")))</f>
        <v>#N/A</v>
      </c>
      <c r="G969" s="5" t="e">
        <f ca="1">IF(OR(INDEX($AI$2:$AI$1001,MATCH(ROWS($AH$2:AH969),$AH$2:$AH$1001,0),1)&gt;=100000,INDEX($AO$1005:$BQ$1005,1,MATCH(COLUMNS($AO$1006:AT1006),$AO$1006:$BQ$1006,0))&gt;=100000), " ",IF(INDEX($AO$2:$BQ$1001,MATCH(ROWS($AH$2:AH969),$AH$2:$AH$1001,0),MATCH(COLUMNS($AO$1006:AT1006),$AO$1006:$BQ$1006,0)), HYPERLINK("#",""), HYPERLINK(CONCATENATE("#Metadata!", ADDRESS(INDEX($AJ$2:$AJ$1001,MATCH(ROWS($AH$2:AH969),$AH$2:$AH$1001,0),0), INDEX($AO$1004:$BQ$1004,1,MATCH(COLUMNS($AO$1006:AT1006),$AO$1006:$BQ$1006,0)))),"Fix")))</f>
        <v>#N/A</v>
      </c>
      <c r="H969" s="5" t="e">
        <f ca="1">IF(OR(INDEX($AI$2:$AI$1001,MATCH(ROWS($AH$2:AH969),$AH$2:$AH$1001,0),1)&gt;=100000,INDEX($AO$1005:$BQ$1005,1,MATCH(COLUMNS($AO$1006:AU1006),$AO$1006:$BQ$1006,0))&gt;=100000), " ",IF(INDEX($AO$2:$BQ$1001,MATCH(ROWS($AH$2:AH969),$AH$2:$AH$1001,0),MATCH(COLUMNS($AO$1006:AU1006),$AO$1006:$BQ$1006,0)), HYPERLINK("#",""), HYPERLINK(CONCATENATE("#Metadata!", ADDRESS(INDEX($AJ$2:$AJ$1001,MATCH(ROWS($AH$2:AH969),$AH$2:$AH$1001,0),0), INDEX($AO$1004:$BQ$1004,1,MATCH(COLUMNS($AO$1006:AU1006),$AO$1006:$BQ$1006,0)))),"Fix")))</f>
        <v>#N/A</v>
      </c>
      <c r="I969" s="5" t="e">
        <f ca="1">IF(OR(INDEX($AI$2:$AI$1001,MATCH(ROWS($AH$2:AH969),$AH$2:$AH$1001,0),1)&gt;=100000,INDEX($AO$1005:$BQ$1005,1,MATCH(COLUMNS($AO$1006:AV1006),$AO$1006:$BQ$1006,0))&gt;=100000), " ",IF(INDEX($AO$2:$BQ$1001,MATCH(ROWS($AH$2:AH969),$AH$2:$AH$1001,0),MATCH(COLUMNS($AO$1006:AV1006),$AO$1006:$BQ$1006,0)), HYPERLINK("#",""), HYPERLINK(CONCATENATE("#Metadata!", ADDRESS(INDEX($AJ$2:$AJ$1001,MATCH(ROWS($AH$2:AH969),$AH$2:$AH$1001,0),0), INDEX($AO$1004:$BQ$1004,1,MATCH(COLUMNS($AO$1006:AV1006),$AO$1006:$BQ$1006,0)))),"Fix")))</f>
        <v>#N/A</v>
      </c>
      <c r="J969" s="5" t="e">
        <f ca="1">IF(OR(INDEX($AI$2:$AI$1001,MATCH(ROWS($AH$2:AH969),$AH$2:$AH$1001,0),1)&gt;=100000,INDEX($AO$1005:$BQ$1005,1,MATCH(COLUMNS($AO$1006:AW1006),$AO$1006:$BQ$1006,0))&gt;=100000), " ",IF(INDEX($AO$2:$BQ$1001,MATCH(ROWS($AH$2:AH969),$AH$2:$AH$1001,0),MATCH(COLUMNS($AO$1006:AW1006),$AO$1006:$BQ$1006,0)), HYPERLINK("#",""), HYPERLINK(CONCATENATE("#Metadata!", ADDRESS(INDEX($AJ$2:$AJ$1001,MATCH(ROWS($AH$2:AH969),$AH$2:$AH$1001,0),0), INDEX($AO$1004:$BQ$1004,1,MATCH(COLUMNS($AO$1006:AW1006),$AO$1006:$BQ$1006,0)))),"Fix")))</f>
        <v>#N/A</v>
      </c>
      <c r="K969" s="5" t="e">
        <f ca="1">IF(OR(INDEX($AI$2:$AI$1001,MATCH(ROWS($AH$2:AH969),$AH$2:$AH$1001,0),1)&gt;=100000,INDEX($AO$1005:$BQ$1005,1,MATCH(COLUMNS($AO$1006:AX1006),$AO$1006:$BQ$1006,0))&gt;=100000), " ",IF(INDEX($AO$2:$BQ$1001,MATCH(ROWS($AH$2:AH969),$AH$2:$AH$1001,0),MATCH(COLUMNS($AO$1006:AX1006),$AO$1006:$BQ$1006,0)), HYPERLINK("#",""), HYPERLINK(CONCATENATE("#Metadata!", ADDRESS(INDEX($AJ$2:$AJ$1001,MATCH(ROWS($AH$2:AH969),$AH$2:$AH$1001,0),0), INDEX($AO$1004:$BQ$1004,1,MATCH(COLUMNS($AO$1006:AX1006),$AO$1006:$BQ$1006,0)))),"Fix")))</f>
        <v>#N/A</v>
      </c>
      <c r="L969" s="5" t="e">
        <f ca="1">IF(OR(INDEX($AI$2:$AI$1001,MATCH(ROWS($AH$2:AH969),$AH$2:$AH$1001,0),1)&gt;=100000,INDEX($AO$1005:$BQ$1005,1,MATCH(COLUMNS($AO$1006:AY1006),$AO$1006:$BQ$1006,0))&gt;=100000), " ",IF(INDEX($AO$2:$BQ$1001,MATCH(ROWS($AH$2:AH969),$AH$2:$AH$1001,0),MATCH(COLUMNS($AO$1006:AY1006),$AO$1006:$BQ$1006,0)), HYPERLINK("#",""), HYPERLINK(CONCATENATE("#Metadata!", ADDRESS(INDEX($AJ$2:$AJ$1001,MATCH(ROWS($AH$2:AH969),$AH$2:$AH$1001,0),0), INDEX($AO$1004:$BQ$1004,1,MATCH(COLUMNS($AO$1006:AY1006),$AO$1006:$BQ$1006,0)))),"Fix")))</f>
        <v>#N/A</v>
      </c>
      <c r="M969" s="5" t="e">
        <f ca="1">IF(OR(INDEX($AI$2:$AI$1001,MATCH(ROWS($AH$2:AH969),$AH$2:$AH$1001,0),1)&gt;=100000,INDEX($AO$1005:$BQ$1005,1,MATCH(COLUMNS($AO$1006:AZ1006),$AO$1006:$BQ$1006,0))&gt;=100000), " ",IF(INDEX($AO$2:$BQ$1001,MATCH(ROWS($AH$2:AH969),$AH$2:$AH$1001,0),MATCH(COLUMNS($AO$1006:AZ1006),$AO$1006:$BQ$1006,0)), HYPERLINK("#",""), HYPERLINK(CONCATENATE("#Metadata!", ADDRESS(INDEX($AJ$2:$AJ$1001,MATCH(ROWS($AH$2:AH969),$AH$2:$AH$1001,0),0), INDEX($AO$1004:$BQ$1004,1,MATCH(COLUMNS($AO$1006:AZ1006),$AO$1006:$BQ$1006,0)))),"Fix")))</f>
        <v>#N/A</v>
      </c>
      <c r="N969" s="5" t="e">
        <f ca="1">IF(OR(INDEX($AI$2:$AI$1001,MATCH(ROWS($AH$2:AH969),$AH$2:$AH$1001,0),1)&gt;=100000,INDEX($AO$1005:$BQ$1005,1,MATCH(COLUMNS($AO$1006:BA1006),$AO$1006:$BQ$1006,0))&gt;=100000), " ",IF(INDEX($AO$2:$BQ$1001,MATCH(ROWS($AH$2:AH969),$AH$2:$AH$1001,0),MATCH(COLUMNS($AO$1006:BA1006),$AO$1006:$BQ$1006,0)), HYPERLINK("#",""), HYPERLINK(CONCATENATE("#Metadata!", ADDRESS(INDEX($AJ$2:$AJ$1001,MATCH(ROWS($AH$2:AH969),$AH$2:$AH$1001,0),0), INDEX($AO$1004:$BQ$1004,1,MATCH(COLUMNS($AO$1006:BA1006),$AO$1006:$BQ$1006,0)))),"Fix")))</f>
        <v>#N/A</v>
      </c>
      <c r="O969" s="5" t="e">
        <f ca="1">IF(OR(INDEX($AI$2:$AI$1001,MATCH(ROWS($AH$2:AH969),$AH$2:$AH$1001,0),1)&gt;=100000,INDEX($AO$1005:$BQ$1005,1,MATCH(COLUMNS($AO$1006:BB1006),$AO$1006:$BQ$1006,0))&gt;=100000), " ",IF(INDEX($AO$2:$BQ$1001,MATCH(ROWS($AH$2:AH969),$AH$2:$AH$1001,0),MATCH(COLUMNS($AO$1006:BB1006),$AO$1006:$BQ$1006,0)), HYPERLINK("#",""), HYPERLINK(CONCATENATE("#Metadata!", ADDRESS(INDEX($AJ$2:$AJ$1001,MATCH(ROWS($AH$2:AH969),$AH$2:$AH$1001,0),0), INDEX($AO$1004:$BQ$1004,1,MATCH(COLUMNS($AO$1006:BB1006),$AO$1006:$BQ$1006,0)))),"Fix")))</f>
        <v>#N/A</v>
      </c>
      <c r="P969" s="5" t="e">
        <f ca="1">IF(OR(INDEX($AI$2:$AI$1001,MATCH(ROWS($AH$2:AH969),$AH$2:$AH$1001,0),1)&gt;=100000,INDEX($AO$1005:$BQ$1005,1,MATCH(COLUMNS($AO$1006:BC1006),$AO$1006:$BQ$1006,0))&gt;=100000), " ",IF(INDEX($AO$2:$BQ$1001,MATCH(ROWS($AH$2:AH969),$AH$2:$AH$1001,0),MATCH(COLUMNS($AO$1006:BC1006),$AO$1006:$BQ$1006,0)), HYPERLINK("#",""), HYPERLINK(CONCATENATE("#Metadata!", ADDRESS(INDEX($AJ$2:$AJ$1001,MATCH(ROWS($AH$2:AH969),$AH$2:$AH$1001,0),0), INDEX($AO$1004:$BQ$1004,1,MATCH(COLUMNS($AO$1006:BC1006),$AO$1006:$BQ$1006,0)))),"Fix")))</f>
        <v>#N/A</v>
      </c>
      <c r="Q969" s="5" t="e">
        <f ca="1">IF(OR(INDEX($AI$2:$AI$1001,MATCH(ROWS($AH$2:AH969),$AH$2:$AH$1001,0),1)&gt;=100000,INDEX($AO$1005:$BQ$1005,1,MATCH(COLUMNS($AO$1006:BD1006),$AO$1006:$BQ$1006,0))&gt;=100000), " ",IF(INDEX($AO$2:$BQ$1001,MATCH(ROWS($AH$2:AH969),$AH$2:$AH$1001,0),MATCH(COLUMNS($AO$1006:BD1006),$AO$1006:$BQ$1006,0)), HYPERLINK("#",""), HYPERLINK(CONCATENATE("#Metadata!", ADDRESS(INDEX($AJ$2:$AJ$1001,MATCH(ROWS($AH$2:AH969),$AH$2:$AH$1001,0),0), INDEX($AO$1004:$BQ$1004,1,MATCH(COLUMNS($AO$1006:BD1006),$AO$1006:$BQ$1006,0)))),"Fix")))</f>
        <v>#N/A</v>
      </c>
      <c r="R969" s="5" t="e">
        <f ca="1">IF(OR(INDEX($AI$2:$AI$1001,MATCH(ROWS($AH$2:AH969),$AH$2:$AH$1001,0),1)&gt;=100000,INDEX($AO$1005:$BQ$1005,1,MATCH(COLUMNS($AO$1006:BE1006),$AO$1006:$BQ$1006,0))&gt;=100000), " ",IF(INDEX($AO$2:$BQ$1001,MATCH(ROWS($AH$2:AH969),$AH$2:$AH$1001,0),MATCH(COLUMNS($AO$1006:BE1006),$AO$1006:$BQ$1006,0)), HYPERLINK("#",""), HYPERLINK(CONCATENATE("#Metadata!", ADDRESS(INDEX($AJ$2:$AJ$1001,MATCH(ROWS($AH$2:AH969),$AH$2:$AH$1001,0),0), INDEX($AO$1004:$BQ$1004,1,MATCH(COLUMNS($AO$1006:BE1006),$AO$1006:$BQ$1006,0)))),"Fix")))</f>
        <v>#N/A</v>
      </c>
      <c r="S969" s="5" t="e">
        <f ca="1">IF(OR(INDEX($AI$2:$AI$1001,MATCH(ROWS($AH$2:AH969),$AH$2:$AH$1001,0),1)&gt;=100000,INDEX($AO$1005:$BQ$1005,1,MATCH(COLUMNS($AO$1006:BF1006),$AO$1006:$BQ$1006,0))&gt;=100000), " ",IF(INDEX($AO$2:$BQ$1001,MATCH(ROWS($AH$2:AH969),$AH$2:$AH$1001,0),MATCH(COLUMNS($AO$1006:BF1006),$AO$1006:$BQ$1006,0)), HYPERLINK("#",""), HYPERLINK(CONCATENATE("#Metadata!", ADDRESS(INDEX($AJ$2:$AJ$1001,MATCH(ROWS($AH$2:AH969),$AH$2:$AH$1001,0),0), INDEX($AO$1004:$BQ$1004,1,MATCH(COLUMNS($AO$1006:BF1006),$AO$1006:$BQ$1006,0)))),"Fix")))</f>
        <v>#N/A</v>
      </c>
      <c r="T969" s="5" t="e">
        <f ca="1">IF(OR(INDEX($AI$2:$AI$1001,MATCH(ROWS($AH$2:AH969),$AH$2:$AH$1001,0),1)&gt;=100000,INDEX($AO$1005:$BQ$1005,1,MATCH(COLUMNS($AO$1006:BG1006),$AO$1006:$BQ$1006,0))&gt;=100000), " ",IF(INDEX($AO$2:$BQ$1001,MATCH(ROWS($AH$2:AH969),$AH$2:$AH$1001,0),MATCH(COLUMNS($AO$1006:BG1006),$AO$1006:$BQ$1006,0)), HYPERLINK("#",""), HYPERLINK(CONCATENATE("#Metadata!", ADDRESS(INDEX($AJ$2:$AJ$1001,MATCH(ROWS($AH$2:AH969),$AH$2:$AH$1001,0),0), INDEX($AO$1004:$BQ$1004,1,MATCH(COLUMNS($AO$1006:BG1006),$AO$1006:$BQ$1006,0)))),"Fix")))</f>
        <v>#N/A</v>
      </c>
      <c r="U969" s="5" t="e">
        <f ca="1">IF(OR(INDEX($AI$2:$AI$1001,MATCH(ROWS($AH$2:AH969),$AH$2:$AH$1001,0),1)&gt;=100000,INDEX($AO$1005:$BQ$1005,1,MATCH(COLUMNS($AO$1006:BH1006),$AO$1006:$BQ$1006,0))&gt;=100000), " ",IF(INDEX($AO$2:$BQ$1001,MATCH(ROWS($AH$2:AH969),$AH$2:$AH$1001,0),MATCH(COLUMNS($AO$1006:BH1006),$AO$1006:$BQ$1006,0)), HYPERLINK("#",""), HYPERLINK(CONCATENATE("#Metadata!", ADDRESS(INDEX($AJ$2:$AJ$1001,MATCH(ROWS($AH$2:AH969),$AH$2:$AH$1001,0),0), INDEX($AO$1004:$BQ$1004,1,MATCH(COLUMNS($AO$1006:BH1006),$AO$1006:$BQ$1006,0)))),"Fix")))</f>
        <v>#N/A</v>
      </c>
      <c r="V969" s="5" t="e">
        <f ca="1">IF(OR(INDEX($AI$2:$AI$1001,MATCH(ROWS($AH$2:AH969),$AH$2:$AH$1001,0),1)&gt;=100000,INDEX($AO$1005:$BQ$1005,1,MATCH(COLUMNS($AO$1006:BI1006),$AO$1006:$BQ$1006,0))&gt;=100000), " ",IF(INDEX($AO$2:$BQ$1001,MATCH(ROWS($AH$2:AH969),$AH$2:$AH$1001,0),MATCH(COLUMNS($AO$1006:BI1006),$AO$1006:$BQ$1006,0)), HYPERLINK("#",""), HYPERLINK(CONCATENATE("#Metadata!", ADDRESS(INDEX($AJ$2:$AJ$1001,MATCH(ROWS($AH$2:AH969),$AH$2:$AH$1001,0),0), INDEX($AO$1004:$BQ$1004,1,MATCH(COLUMNS($AO$1006:BI1006),$AO$1006:$BQ$1006,0)))),"Fix")))</f>
        <v>#N/A</v>
      </c>
      <c r="W969" s="5" t="e">
        <f ca="1">IF(OR(INDEX($AI$2:$AI$1001,MATCH(ROWS($AH$2:AH969),$AH$2:$AH$1001,0),1)&gt;=100000,INDEX($AO$1005:$BQ$1005,1,MATCH(COLUMNS($AO$1006:BJ1006),$AO$1006:$BQ$1006,0))&gt;=100000), " ",IF(INDEX($AO$2:$BQ$1001,MATCH(ROWS($AH$2:AH969),$AH$2:$AH$1001,0),MATCH(COLUMNS($AO$1006:BJ1006),$AO$1006:$BQ$1006,0)), HYPERLINK("#",""), HYPERLINK(CONCATENATE("#Metadata!", ADDRESS(INDEX($AJ$2:$AJ$1001,MATCH(ROWS($AH$2:AH969),$AH$2:$AH$1001,0),0), INDEX($AO$1004:$BQ$1004,1,MATCH(COLUMNS($AO$1006:BJ1006),$AO$1006:$BQ$1006,0)))),"Fix")))</f>
        <v>#N/A</v>
      </c>
      <c r="X969" s="5" t="e">
        <f ca="1">IF(OR(INDEX($AI$2:$AI$1001,MATCH(ROWS($AH$2:AH969),$AH$2:$AH$1001,0),1)&gt;=100000,INDEX($AO$1005:$BQ$1005,1,MATCH(COLUMNS($AO$1006:BK1006),$AO$1006:$BQ$1006,0))&gt;=100000), " ",IF(INDEX($AO$2:$BQ$1001,MATCH(ROWS($AH$2:AH969),$AH$2:$AH$1001,0),MATCH(COLUMNS($AO$1006:BK1006),$AO$1006:$BQ$1006,0)), HYPERLINK("#",""), HYPERLINK(CONCATENATE("#Metadata!", ADDRESS(INDEX($AJ$2:$AJ$1001,MATCH(ROWS($AH$2:AH969),$AH$2:$AH$1001,0),0), INDEX($AO$1004:$BQ$1004,1,MATCH(COLUMNS($AO$1006:BK1006),$AO$1006:$BQ$1006,0)))),"Fix")))</f>
        <v>#N/A</v>
      </c>
      <c r="Y969" s="5" t="e">
        <f ca="1">IF(OR(INDEX($AI$2:$AI$1001,MATCH(ROWS($AH$2:AH969),$AH$2:$AH$1001,0),1)&gt;=100000,INDEX($AO$1005:$BQ$1005,1,MATCH(COLUMNS($AO$1006:BL1006),$AO$1006:$BQ$1006,0))&gt;=100000), " ",IF(INDEX($AO$2:$BQ$1001,MATCH(ROWS($AH$2:AH969),$AH$2:$AH$1001,0),MATCH(COLUMNS($AO$1006:BL1006),$AO$1006:$BQ$1006,0)), HYPERLINK("#",""), HYPERLINK(CONCATENATE("#Metadata!", ADDRESS(INDEX($AJ$2:$AJ$1001,MATCH(ROWS($AH$2:AH969),$AH$2:$AH$1001,0),0), INDEX($AO$1004:$BQ$1004,1,MATCH(COLUMNS($AO$1006:BL1006),$AO$1006:$BQ$1006,0)))),"Fix")))</f>
        <v>#N/A</v>
      </c>
      <c r="Z969" s="5" t="e">
        <f ca="1">IF(OR(INDEX($AI$2:$AI$1001,MATCH(ROWS($AH$2:AH969),$AH$2:$AH$1001,0),1)&gt;=100000,INDEX($AO$1005:$BQ$1005,1,MATCH(COLUMNS($AO$1006:BM1006),$AO$1006:$BQ$1006,0))&gt;=100000), " ",IF(INDEX($AO$2:$BQ$1001,MATCH(ROWS($AH$2:AH969),$AH$2:$AH$1001,0),MATCH(COLUMNS($AO$1006:BM1006),$AO$1006:$BQ$1006,0)), HYPERLINK("#",""), HYPERLINK(CONCATENATE("#Metadata!", ADDRESS(INDEX($AJ$2:$AJ$1001,MATCH(ROWS($AH$2:AH969),$AH$2:$AH$1001,0),0), INDEX($AO$1004:$BQ$1004,1,MATCH(COLUMNS($AO$1006:BM1006),$AO$1006:$BQ$1006,0)))),"Fix")))</f>
        <v>#N/A</v>
      </c>
      <c r="AA969" s="5" t="e">
        <f ca="1">IF(OR(INDEX($AI$2:$AI$1001,MATCH(ROWS($AH$2:AH969),$AH$2:$AH$1001,0),1)&gt;=100000,INDEX($AO$1005:$BQ$1005,1,MATCH(COLUMNS($AO$1006:BN1006),$AO$1006:$BQ$1006,0))&gt;=100000), " ",IF(INDEX($AO$2:$BQ$1001,MATCH(ROWS($AH$2:AH969),$AH$2:$AH$1001,0),MATCH(COLUMNS($AO$1006:BN1006),$AO$1006:$BQ$1006,0)), HYPERLINK("#",""), HYPERLINK(CONCATENATE("#Metadata!", ADDRESS(INDEX($AJ$2:$AJ$1001,MATCH(ROWS($AH$2:AH969),$AH$2:$AH$1001,0),0), INDEX($AO$1004:$BQ$1004,1,MATCH(COLUMNS($AO$1006:BN1006),$AO$1006:$BQ$1006,0)))),"Fix")))</f>
        <v>#N/A</v>
      </c>
      <c r="AB969" s="5" t="e">
        <f ca="1">IF(OR(INDEX($AI$2:$AI$1001,MATCH(ROWS($AH$2:AH969),$AH$2:$AH$1001,0),1)&gt;=100000,INDEX($AO$1005:$BQ$1005,1,MATCH(COLUMNS($AO$1006:BO1006),$AO$1006:$BQ$1006,0))&gt;=100000), " ",IF(INDEX($AO$2:$BQ$1001,MATCH(ROWS($AH$2:AH969),$AH$2:$AH$1001,0),MATCH(COLUMNS($AO$1006:BO1006),$AO$1006:$BQ$1006,0)), HYPERLINK("#",""), HYPERLINK(CONCATENATE("#Metadata!", ADDRESS(INDEX($AJ$2:$AJ$1001,MATCH(ROWS($AH$2:AH969),$AH$2:$AH$1001,0),0), INDEX($AO$1004:$BQ$1004,1,MATCH(COLUMNS($AO$1006:BO1006),$AO$1006:$BQ$1006,0)))),"Fix")))</f>
        <v>#N/A</v>
      </c>
      <c r="AC969" s="5" t="e">
        <f ca="1">IF(OR(INDEX($AI$2:$AI$1001,MATCH(ROWS($AH$2:AH969),$AH$2:$AH$1001,0),1)&gt;=100000,INDEX($AO$1005:$BQ$1005,1,MATCH(COLUMNS($AO$1006:BP1006),$AO$1006:$BQ$1006,0))&gt;=100000), " ",IF(INDEX($AO$2:$BQ$1001,MATCH(ROWS($AH$2:AH969),$AH$2:$AH$1001,0),MATCH(COLUMNS($AO$1006:BP1006),$AO$1006:$BQ$1006,0)), HYPERLINK("#",""), HYPERLINK(CONCATENATE("#Metadata!", ADDRESS(INDEX($AJ$2:$AJ$1001,MATCH(ROWS($AH$2:AH969),$AH$2:$AH$1001,0),0), INDEX($AO$1004:$BQ$1004,1,MATCH(COLUMNS($AO$1006:BP1006),$AO$1006:$BQ$1006,0)))),"Fix")))</f>
        <v>#N/A</v>
      </c>
      <c r="AD969" s="5" t="e">
        <f ca="1">IF(OR(INDEX($AI$2:$AI$1001,MATCH(ROWS($AH$2:AH969),$AH$2:$AH$1001,0),1)&gt;=100000,INDEX($AO$1005:$BQ$1005,1,MATCH(COLUMNS($AO$1006:BQ1006),$AO$1006:$BQ$1006,0))&gt;=100000), " ",IF(INDEX($AO$2:$BQ$1001,MATCH(ROWS($AH$2:AH969),$AH$2:$AH$1001,0),MATCH(COLUMNS($AO$1006:BQ1006),$AO$1006:$BQ$1006,0)), HYPERLINK("#",""), HYPERLINK(CONCATENATE("#Metadata!", ADDRESS(INDEX($AJ$2:$AJ$1001,MATCH(ROWS($AH$2:AH969),$AH$2:$AH$1001,0),0), INDEX($AO$1004:$BQ$1004,1,MATCH(COLUMNS($AO$1006:BQ1006),$AO$1006:$BQ$1006,0)))),"Fix")))</f>
        <v>#REF!</v>
      </c>
      <c r="AH969">
        <f ca="1"/>
        <v>966</v>
      </c>
      <c r="AI969">
        <v>100969</v>
      </c>
      <c r="AJ969">
        <v>969</v>
      </c>
      <c r="AK969" t="b">
        <f t="shared" si="15"/>
        <v>1</v>
      </c>
      <c r="AL969" t="b">
        <f>COUNTBLANK(Metadata!B969:AD969)=COLUMNS(Metadata!B969:AD969)</f>
        <v>1</v>
      </c>
      <c r="AM969" t="str">
        <v/>
      </c>
      <c r="AO969" t="b">
        <f ca="1">AND(IF(Metadata!B969="",FALSE,TRUE),COUNTIF(Metadata!B:B, Metadata!B969) = 1,NOT(ISERROR(SUMPRODUCT(SEARCH(MID(Metadata!B969,ROW(INDIRECT("1:"&amp;LEN(Metadata!B969))), 1),"0123456789abcdefghijklmnopqrstuvwxyzABCDEFGHIJKLMNOPQRSTUVWXYZ.")))))</f>
        <v>0</v>
      </c>
      <c r="AP969" t="b">
        <f>IF(Metadata!C969="",FALSE,TRUE)</f>
        <v>0</v>
      </c>
      <c r="AQ969" t="b">
        <f>IF(Metadata!D969="",FALSE,TRUE)</f>
        <v>0</v>
      </c>
      <c r="AR969" t="b">
        <f ca="1">OR(AND(IF(Metadata!E969="",FALSE,TRUE),OR(EXACT(Metadata!E969,"not collected"),EXACT(Metadata!E969,"not provided"),EXACT(Metadata!E969,"restricted access"))),AND(IF(Metadata!E969="",FALSE,TRUE),AND(AND(IFERROR(INT(LEFT(Metadata!E969,4))&gt;1900,FALSE),IFERROR(INT(LEFT(Metadata!E969,4))&lt;=YEAR(NOW()),FALSE)), OR(MID(Metadata!E969,5,1)="", AND(AND(MID(Metadata!E969,5,1)="-",IFERROR(INT(MID(Metadata!E969,6,1))&gt;=0,FALSE),IFERROR(INT(MID(Metadata!E969,6,1))&lt;=1,FALSE),NOT(MID(Metadata!E969,7,1)=""),IFERROR(INT(MID(Metadata!E969,6,2))&gt;=1,FALSE),IFERROR(INT(MID(Metadata!E969,6,2))&lt;=12,FALSE)), OR(MID(Metadata!E969,8,1)="", AND(AND(MID(Metadata!E969,8,1)="-",IFERROR(INT(MID(Metadata!E969,9,1))&gt;=0,FALSE),IFERROR(INT(MID(Metadata!E969,9,1))&lt;=3,FALSE),NOT(MID(Metadata!E969,10,1)=""),IFERROR(INT(MID(Metadata!E969,9,2))&gt;=1,FALSE),IFERROR(INT(MID(Metadata!E969,9,2))&lt;=31,FALSE)), OR(MID(Metadata!E969,11,1)="", AND(AND(MID(Metadata!E969,11,1)=" ",IFERROR(INT(MID(Metadata!E969,12,1))&gt;=0,FALSE),IFERROR(INT(MID(Metadata!E969,12,1))&lt;=2,FALSE),NOT(MID(Metadata!E969,13,1)=""),IFERROR(INT(MID(Metadata!E969,12,2))&gt;=0,FALSE),IFERROR(INT(MID(Metadata!E969,12,2))&lt;=23,FALSE)), OR(MID(Metadata!E969,14,1)="", AND(AND(MID(Metadata!E969,14,1)=":",IFERROR(INT(MID(Metadata!E969,15,1))&gt;=0,FALSE),IFERROR(INT(MID(Metadata!E969,15,1))&lt;=5,FALSE),NOT(MID(Metadata!E969,16,1)=""),IFERROR(INT(MID(Metadata!E969,15,2))&gt;=0,FALSE),IFERROR(INT(MID(Metadata!E969,15,2))&lt;=59,FALSE)), OR(MID(Metadata!E969,17,1)="", AND(AND(MID(Metadata!E969,17,1)=":",IFERROR(INT(MID(Metadata!E969,18,1))&gt;=0,FALSE),IFERROR(INT(MID(Metadata!E969,18,1))&lt;=5,FALSE),NOT(MID(Metadata!E969,19,1)=""),IFERROR(INT(MID(Metadata!E969,18,2))&gt;=0,FALSE),IFERROR(INT(MID(Metadata!E969,18,2))&lt;=59,FALSE)), LEN(Metadata!E969)&lt;=19)))))))))))))</f>
        <v>0</v>
      </c>
      <c r="AS969" t="b">
        <f>IF(Metadata!F969="",FALSE,TRUE)</f>
        <v>0</v>
      </c>
      <c r="AT969" t="b">
        <f>OR(AND(IF(Metadata!G969="",FALSE,TRUE),OR(EXACT(Metadata!G969,"not collected"),EXACT(Metadata!G969,"not provided"))),AND(IF(Metadata!G969="",FALSE,TRUE),OR(EXACT(Metadata!G969,"TRUE"),EXACT(Metadata!G969,"FALSE"))))</f>
        <v>0</v>
      </c>
      <c r="AU969" t="b">
        <f>OR(AND(IF(Metadata!H969="",FALSE,TRUE),OR(EXACT(Metadata!H969,"not collected"),EXACT(Metadata!H969,"not provided"),EXACT(Metadata!H969,"restricted access"))),AND(IF(Metadata!H969="",FALSE,ISNUMBER(VALUE(Metadata!H969))),Metadata!H969&gt;=-413))</f>
        <v>0</v>
      </c>
      <c r="AV969" t="b">
        <f>AND(IF(Metadata!I969="",FALSE,TRUE),EXACT(Metadata!I969,"meters"))</f>
        <v>0</v>
      </c>
      <c r="AW969" t="b">
        <f>AND(IF(Metadata!J969="",FALSE,TRUE),EXACT(Metadata!J969,"free-living"))</f>
        <v>0</v>
      </c>
      <c r="AX969" t="b">
        <f>AND(IF(Metadata!K969="",FALSE,TRUE),OR(EXACT(Metadata!K969,"saline"),EXACT(Metadata!K969,"non-saline")))</f>
        <v>0</v>
      </c>
      <c r="AY969" t="b">
        <f>AND(IF(Metadata!L969="",FALSE,TRUE),OR(EXACT(Metadata!L969,"sub-surface (non-saline)"),EXACT(Metadata!L969,"surface (non-saline)"),EXACT(Metadata!L969,"water (non-saline)"),EXACT(Metadata!L969,"soil (non-saline)"),EXACT(Metadata!L969,"aerosol (non-saline)"),EXACT(Metadata!L969,"sediment (non-saline)"),EXACT(Metadata!L969,"surface (saline)"),EXACT(Metadata!L969,"water (saline)"),EXACT(Metadata!L969,"hypersaline (saline)"),EXACT(Metadata!L969,"aerosol (saline)"),EXACT(Metadata!L969,"sediment (saline)")))</f>
        <v>0</v>
      </c>
      <c r="AZ969" t="b">
        <f>IF(Metadata!M969="",FALSE,TRUE)</f>
        <v>0</v>
      </c>
      <c r="BA969" t="b">
        <f>IF(Metadata!N969="",FALSE,TRUE)</f>
        <v>0</v>
      </c>
      <c r="BB969" t="b">
        <f>IF(Metadata!O969="",FALSE,TRUE)</f>
        <v>0</v>
      </c>
      <c r="BC969" t="b">
        <f>AND(IF(Metadata!P969="",FALSE,TRUE),OR(EXACT(Metadata!P969,"air"),EXACT(Metadata!P969,"microbial mat/biofilm"),EXACT(Metadata!P969,"misc environment"),EXACT(Metadata!P969,"sediment"),EXACT(Metadata!P969,"soil"),EXACT(Metadata!P969,"wastewater/sludge"),EXACT(Metadata!P969,"water")))</f>
        <v>0</v>
      </c>
      <c r="BD969" t="b">
        <f>IF(Metadata!Q969="",FALSE,TRUE)</f>
        <v>0</v>
      </c>
      <c r="BE969" t="b">
        <f>IF(Metadata!R969="",FALSE,TRUE)</f>
        <v>0</v>
      </c>
      <c r="BF969" t="b">
        <f>OR(AND(IF(Metadata!S969="",FALSE,TRUE),OR(EXACT(Metadata!S969,"not collected"),EXACT(Metadata!S969,"not provided"),EXACT(Metadata!S969,"restricted access"))),AND(IF(Metadata!S969="",FALSE,ISNUMBER(VALUE(Metadata!S969))),Metadata!S969&gt;=-90,Metadata!S969&lt;=90))</f>
        <v>0</v>
      </c>
      <c r="BG969" t="b">
        <f>AND(IF(Metadata!T969="",FALSE,TRUE),EXACT(Metadata!T969,"Decimal degrees"))</f>
        <v>0</v>
      </c>
      <c r="BH969" t="b">
        <f>OR(AND(IF(Metadata!U969="",FALSE,TRUE),OR(EXACT(Metadata!U969,"not applicable"),EXACT(Metadata!U969,"not collected"))),IF(Metadata!U969="",FALSE,TRUE))</f>
        <v>0</v>
      </c>
      <c r="BI969" t="b">
        <f>OR(AND(IF(Metadata!V969="",FALSE,TRUE),OR(EXACT(Metadata!V969,"not collected"),EXACT(Metadata!V969,"not provided"),EXACT(Metadata!V969,"restricted access"))),AND(IF(Metadata!V969="",FALSE,ISNUMBER(VALUE(Metadata!V969))),Metadata!V969&gt;=-180,Metadata!V969&lt;=180))</f>
        <v>0</v>
      </c>
      <c r="BJ969" t="b">
        <f>AND(IF(Metadata!W969="",FALSE,TRUE),EXACT(Metadata!W969,"Decimal degrees"))</f>
        <v>0</v>
      </c>
      <c r="BK969" t="b">
        <f>IF(Metadata!X969="",FALSE,TRUE)</f>
        <v>0</v>
      </c>
      <c r="BL969" t="b">
        <f>OR(AND(IF(Metadata!Y969="",FALSE,TRUE),OR(EXACT(Metadata!Y969,"not collected"),EXACT(Metadata!Y969,"not provided"),EXACT(Metadata!Y969,"restricted access"))),AND(IF(Metadata!Y969="",FALSE,TRUE),OR(EXACT(Metadata!Y969,"TRUE"),EXACT(Metadata!Y969,"FALSE"))))</f>
        <v>0</v>
      </c>
      <c r="BM969" t="b">
        <f>OR(AND(IF(Metadata!Z969="",FALSE,TRUE),EXACT(Metadata!Z969,"not applicable")),AND(IF(Metadata!Z969="",FALSE,TRUE),OR(EXACT(Metadata!Z969,"beer"),EXACT(Metadata!Z969,"cheese"),EXACT(Metadata!Z969,"fresh water"),EXACT(Metadata!Z969,"marine sediment"),EXACT(Metadata!Z969,"sea water"),EXACT(Metadata!Z969,"sediment"),EXACT(Metadata!Z969,"soil"),EXACT(Metadata!Z969,"waste water"))))</f>
        <v>0</v>
      </c>
      <c r="BN969" t="b">
        <f>AND(IF(Metadata!AA969="",FALSE,TRUE),EXACT(Metadata!AA969,"metagenome"))</f>
        <v>0</v>
      </c>
      <c r="BO969" t="b">
        <f>AND(IF(Metadata!AB969="",FALSE,TRUE),EXACT(Metadata!AB969,"256318"))</f>
        <v>0</v>
      </c>
      <c r="BP969" t="b">
        <f>IF(Metadata!AC969="",FALSE,TRUE)</f>
        <v>0</v>
      </c>
      <c r="BQ969" t="b">
        <f>IF(Metadata!AD969="",FALSE,TRUE)</f>
        <v>0</v>
      </c>
    </row>
    <row r="970" spans="1:69" x14ac:dyDescent="0.2">
      <c r="A970" s="4" t="e">
        <f ca="1">IF(B970=" "," ",HYPERLINK(CONCATENATE("#metadata!",ADDRESS(INDEX($AJ$2:$AJ$1001,MATCH(ROWS($AH$2:AH970),$AH$2:$AH$1001,0),0),2)),INDEX($AM$2:$AM$1001,MATCH(ROWS($AH$2:AH970),$AH$2:$AH$1001,0),0)))</f>
        <v>#N/A</v>
      </c>
      <c r="B970" s="5" t="e">
        <f ca="1">IF(OR(INDEX($AI$2:$AI$1001,MATCH(ROWS($AH$2:AH970),$AH$2:$AH$1001,0),1)&gt;=100000,INDEX($AO$1005:$BQ$1005,1,MATCH(COLUMNS($AO$1006:AO1006),$AO$1006:$BQ$1006,0))&gt;=100000), " ",IF(INDEX($AO$2:$BQ$1001,MATCH(ROWS($AH$2:AH970),$AH$2:$AH$1001,0),MATCH(COLUMNS($AO$1006:AO1006),$AO$1006:$BQ$1006,0)), HYPERLINK("#",""), HYPERLINK(CONCATENATE("#Metadata!", ADDRESS(INDEX($AJ$2:$AJ$1001,MATCH(ROWS($AH$2:AH970),$AH$2:$AH$1001,0),0), INDEX($AO$1004:$BQ$1004,1,MATCH(COLUMNS($AO$1006:AO1006),$AO$1006:$BQ$1006,0)))),"Fix")))</f>
        <v>#N/A</v>
      </c>
      <c r="C970" s="5" t="e">
        <f ca="1">IF(OR(INDEX($AI$2:$AI$1001,MATCH(ROWS($AH$2:AH970),$AH$2:$AH$1001,0),1)&gt;=100000,INDEX($AO$1005:$BQ$1005,1,MATCH(COLUMNS($AO$1006:AP1006),$AO$1006:$BQ$1006,0))&gt;=100000), " ",IF(INDEX($AO$2:$BQ$1001,MATCH(ROWS($AH$2:AH970),$AH$2:$AH$1001,0),MATCH(COLUMNS($AO$1006:AP1006),$AO$1006:$BQ$1006,0)), HYPERLINK("#",""), HYPERLINK(CONCATENATE("#Metadata!", ADDRESS(INDEX($AJ$2:$AJ$1001,MATCH(ROWS($AH$2:AH970),$AH$2:$AH$1001,0),0), INDEX($AO$1004:$BQ$1004,1,MATCH(COLUMNS($AO$1006:AP1006),$AO$1006:$BQ$1006,0)))),"Fix")))</f>
        <v>#N/A</v>
      </c>
      <c r="D970" s="5" t="e">
        <f ca="1">IF(OR(INDEX($AI$2:$AI$1001,MATCH(ROWS($AH$2:AH970),$AH$2:$AH$1001,0),1)&gt;=100000,INDEX($AO$1005:$BQ$1005,1,MATCH(COLUMNS($AO$1006:AQ1006),$AO$1006:$BQ$1006,0))&gt;=100000), " ",IF(INDEX($AO$2:$BQ$1001,MATCH(ROWS($AH$2:AH970),$AH$2:$AH$1001,0),MATCH(COLUMNS($AO$1006:AQ1006),$AO$1006:$BQ$1006,0)), HYPERLINK("#",""), HYPERLINK(CONCATENATE("#Metadata!", ADDRESS(INDEX($AJ$2:$AJ$1001,MATCH(ROWS($AH$2:AH970),$AH$2:$AH$1001,0),0), INDEX($AO$1004:$BQ$1004,1,MATCH(COLUMNS($AO$1006:AQ1006),$AO$1006:$BQ$1006,0)))),"Fix")))</f>
        <v>#N/A</v>
      </c>
      <c r="E970" s="5" t="e">
        <f ca="1">IF(OR(INDEX($AI$2:$AI$1001,MATCH(ROWS($AH$2:AH970),$AH$2:$AH$1001,0),1)&gt;=100000,INDEX($AO$1005:$BQ$1005,1,MATCH(COLUMNS($AO$1006:AR1006),$AO$1006:$BQ$1006,0))&gt;=100000), " ",IF(INDEX($AO$2:$BQ$1001,MATCH(ROWS($AH$2:AH970),$AH$2:$AH$1001,0),MATCH(COLUMNS($AO$1006:AR1006),$AO$1006:$BQ$1006,0)), HYPERLINK("#",""), HYPERLINK(CONCATENATE("#Metadata!", ADDRESS(INDEX($AJ$2:$AJ$1001,MATCH(ROWS($AH$2:AH970),$AH$2:$AH$1001,0),0), INDEX($AO$1004:$BQ$1004,1,MATCH(COLUMNS($AO$1006:AR1006),$AO$1006:$BQ$1006,0)))),"Fix")))</f>
        <v>#N/A</v>
      </c>
      <c r="F970" s="5" t="e">
        <f ca="1">IF(OR(INDEX($AI$2:$AI$1001,MATCH(ROWS($AH$2:AH970),$AH$2:$AH$1001,0),1)&gt;=100000,INDEX($AO$1005:$BQ$1005,1,MATCH(COLUMNS($AO$1006:AS1006),$AO$1006:$BQ$1006,0))&gt;=100000), " ",IF(INDEX($AO$2:$BQ$1001,MATCH(ROWS($AH$2:AH970),$AH$2:$AH$1001,0),MATCH(COLUMNS($AO$1006:AS1006),$AO$1006:$BQ$1006,0)), HYPERLINK("#",""), HYPERLINK(CONCATENATE("#Metadata!", ADDRESS(INDEX($AJ$2:$AJ$1001,MATCH(ROWS($AH$2:AH970),$AH$2:$AH$1001,0),0), INDEX($AO$1004:$BQ$1004,1,MATCH(COLUMNS($AO$1006:AS1006),$AO$1006:$BQ$1006,0)))),"Fix")))</f>
        <v>#N/A</v>
      </c>
      <c r="G970" s="5" t="e">
        <f ca="1">IF(OR(INDEX($AI$2:$AI$1001,MATCH(ROWS($AH$2:AH970),$AH$2:$AH$1001,0),1)&gt;=100000,INDEX($AO$1005:$BQ$1005,1,MATCH(COLUMNS($AO$1006:AT1006),$AO$1006:$BQ$1006,0))&gt;=100000), " ",IF(INDEX($AO$2:$BQ$1001,MATCH(ROWS($AH$2:AH970),$AH$2:$AH$1001,0),MATCH(COLUMNS($AO$1006:AT1006),$AO$1006:$BQ$1006,0)), HYPERLINK("#",""), HYPERLINK(CONCATENATE("#Metadata!", ADDRESS(INDEX($AJ$2:$AJ$1001,MATCH(ROWS($AH$2:AH970),$AH$2:$AH$1001,0),0), INDEX($AO$1004:$BQ$1004,1,MATCH(COLUMNS($AO$1006:AT1006),$AO$1006:$BQ$1006,0)))),"Fix")))</f>
        <v>#N/A</v>
      </c>
      <c r="H970" s="5" t="e">
        <f ca="1">IF(OR(INDEX($AI$2:$AI$1001,MATCH(ROWS($AH$2:AH970),$AH$2:$AH$1001,0),1)&gt;=100000,INDEX($AO$1005:$BQ$1005,1,MATCH(COLUMNS($AO$1006:AU1006),$AO$1006:$BQ$1006,0))&gt;=100000), " ",IF(INDEX($AO$2:$BQ$1001,MATCH(ROWS($AH$2:AH970),$AH$2:$AH$1001,0),MATCH(COLUMNS($AO$1006:AU1006),$AO$1006:$BQ$1006,0)), HYPERLINK("#",""), HYPERLINK(CONCATENATE("#Metadata!", ADDRESS(INDEX($AJ$2:$AJ$1001,MATCH(ROWS($AH$2:AH970),$AH$2:$AH$1001,0),0), INDEX($AO$1004:$BQ$1004,1,MATCH(COLUMNS($AO$1006:AU1006),$AO$1006:$BQ$1006,0)))),"Fix")))</f>
        <v>#N/A</v>
      </c>
      <c r="I970" s="5" t="e">
        <f ca="1">IF(OR(INDEX($AI$2:$AI$1001,MATCH(ROWS($AH$2:AH970),$AH$2:$AH$1001,0),1)&gt;=100000,INDEX($AO$1005:$BQ$1005,1,MATCH(COLUMNS($AO$1006:AV1006),$AO$1006:$BQ$1006,0))&gt;=100000), " ",IF(INDEX($AO$2:$BQ$1001,MATCH(ROWS($AH$2:AH970),$AH$2:$AH$1001,0),MATCH(COLUMNS($AO$1006:AV1006),$AO$1006:$BQ$1006,0)), HYPERLINK("#",""), HYPERLINK(CONCATENATE("#Metadata!", ADDRESS(INDEX($AJ$2:$AJ$1001,MATCH(ROWS($AH$2:AH970),$AH$2:$AH$1001,0),0), INDEX($AO$1004:$BQ$1004,1,MATCH(COLUMNS($AO$1006:AV1006),$AO$1006:$BQ$1006,0)))),"Fix")))</f>
        <v>#N/A</v>
      </c>
      <c r="J970" s="5" t="e">
        <f ca="1">IF(OR(INDEX($AI$2:$AI$1001,MATCH(ROWS($AH$2:AH970),$AH$2:$AH$1001,0),1)&gt;=100000,INDEX($AO$1005:$BQ$1005,1,MATCH(COLUMNS($AO$1006:AW1006),$AO$1006:$BQ$1006,0))&gt;=100000), " ",IF(INDEX($AO$2:$BQ$1001,MATCH(ROWS($AH$2:AH970),$AH$2:$AH$1001,0),MATCH(COLUMNS($AO$1006:AW1006),$AO$1006:$BQ$1006,0)), HYPERLINK("#",""), HYPERLINK(CONCATENATE("#Metadata!", ADDRESS(INDEX($AJ$2:$AJ$1001,MATCH(ROWS($AH$2:AH970),$AH$2:$AH$1001,0),0), INDEX($AO$1004:$BQ$1004,1,MATCH(COLUMNS($AO$1006:AW1006),$AO$1006:$BQ$1006,0)))),"Fix")))</f>
        <v>#N/A</v>
      </c>
      <c r="K970" s="5" t="e">
        <f ca="1">IF(OR(INDEX($AI$2:$AI$1001,MATCH(ROWS($AH$2:AH970),$AH$2:$AH$1001,0),1)&gt;=100000,INDEX($AO$1005:$BQ$1005,1,MATCH(COLUMNS($AO$1006:AX1006),$AO$1006:$BQ$1006,0))&gt;=100000), " ",IF(INDEX($AO$2:$BQ$1001,MATCH(ROWS($AH$2:AH970),$AH$2:$AH$1001,0),MATCH(COLUMNS($AO$1006:AX1006),$AO$1006:$BQ$1006,0)), HYPERLINK("#",""), HYPERLINK(CONCATENATE("#Metadata!", ADDRESS(INDEX($AJ$2:$AJ$1001,MATCH(ROWS($AH$2:AH970),$AH$2:$AH$1001,0),0), INDEX($AO$1004:$BQ$1004,1,MATCH(COLUMNS($AO$1006:AX1006),$AO$1006:$BQ$1006,0)))),"Fix")))</f>
        <v>#N/A</v>
      </c>
      <c r="L970" s="5" t="e">
        <f ca="1">IF(OR(INDEX($AI$2:$AI$1001,MATCH(ROWS($AH$2:AH970),$AH$2:$AH$1001,0),1)&gt;=100000,INDEX($AO$1005:$BQ$1005,1,MATCH(COLUMNS($AO$1006:AY1006),$AO$1006:$BQ$1006,0))&gt;=100000), " ",IF(INDEX($AO$2:$BQ$1001,MATCH(ROWS($AH$2:AH970),$AH$2:$AH$1001,0),MATCH(COLUMNS($AO$1006:AY1006),$AO$1006:$BQ$1006,0)), HYPERLINK("#",""), HYPERLINK(CONCATENATE("#Metadata!", ADDRESS(INDEX($AJ$2:$AJ$1001,MATCH(ROWS($AH$2:AH970),$AH$2:$AH$1001,0),0), INDEX($AO$1004:$BQ$1004,1,MATCH(COLUMNS($AO$1006:AY1006),$AO$1006:$BQ$1006,0)))),"Fix")))</f>
        <v>#N/A</v>
      </c>
      <c r="M970" s="5" t="e">
        <f ca="1">IF(OR(INDEX($AI$2:$AI$1001,MATCH(ROWS($AH$2:AH970),$AH$2:$AH$1001,0),1)&gt;=100000,INDEX($AO$1005:$BQ$1005,1,MATCH(COLUMNS($AO$1006:AZ1006),$AO$1006:$BQ$1006,0))&gt;=100000), " ",IF(INDEX($AO$2:$BQ$1001,MATCH(ROWS($AH$2:AH970),$AH$2:$AH$1001,0),MATCH(COLUMNS($AO$1006:AZ1006),$AO$1006:$BQ$1006,0)), HYPERLINK("#",""), HYPERLINK(CONCATENATE("#Metadata!", ADDRESS(INDEX($AJ$2:$AJ$1001,MATCH(ROWS($AH$2:AH970),$AH$2:$AH$1001,0),0), INDEX($AO$1004:$BQ$1004,1,MATCH(COLUMNS($AO$1006:AZ1006),$AO$1006:$BQ$1006,0)))),"Fix")))</f>
        <v>#N/A</v>
      </c>
      <c r="N970" s="5" t="e">
        <f ca="1">IF(OR(INDEX($AI$2:$AI$1001,MATCH(ROWS($AH$2:AH970),$AH$2:$AH$1001,0),1)&gt;=100000,INDEX($AO$1005:$BQ$1005,1,MATCH(COLUMNS($AO$1006:BA1006),$AO$1006:$BQ$1006,0))&gt;=100000), " ",IF(INDEX($AO$2:$BQ$1001,MATCH(ROWS($AH$2:AH970),$AH$2:$AH$1001,0),MATCH(COLUMNS($AO$1006:BA1006),$AO$1006:$BQ$1006,0)), HYPERLINK("#",""), HYPERLINK(CONCATENATE("#Metadata!", ADDRESS(INDEX($AJ$2:$AJ$1001,MATCH(ROWS($AH$2:AH970),$AH$2:$AH$1001,0),0), INDEX($AO$1004:$BQ$1004,1,MATCH(COLUMNS($AO$1006:BA1006),$AO$1006:$BQ$1006,0)))),"Fix")))</f>
        <v>#N/A</v>
      </c>
      <c r="O970" s="5" t="e">
        <f ca="1">IF(OR(INDEX($AI$2:$AI$1001,MATCH(ROWS($AH$2:AH970),$AH$2:$AH$1001,0),1)&gt;=100000,INDEX($AO$1005:$BQ$1005,1,MATCH(COLUMNS($AO$1006:BB1006),$AO$1006:$BQ$1006,0))&gt;=100000), " ",IF(INDEX($AO$2:$BQ$1001,MATCH(ROWS($AH$2:AH970),$AH$2:$AH$1001,0),MATCH(COLUMNS($AO$1006:BB1006),$AO$1006:$BQ$1006,0)), HYPERLINK("#",""), HYPERLINK(CONCATENATE("#Metadata!", ADDRESS(INDEX($AJ$2:$AJ$1001,MATCH(ROWS($AH$2:AH970),$AH$2:$AH$1001,0),0), INDEX($AO$1004:$BQ$1004,1,MATCH(COLUMNS($AO$1006:BB1006),$AO$1006:$BQ$1006,0)))),"Fix")))</f>
        <v>#N/A</v>
      </c>
      <c r="P970" s="5" t="e">
        <f ca="1">IF(OR(INDEX($AI$2:$AI$1001,MATCH(ROWS($AH$2:AH970),$AH$2:$AH$1001,0),1)&gt;=100000,INDEX($AO$1005:$BQ$1005,1,MATCH(COLUMNS($AO$1006:BC1006),$AO$1006:$BQ$1006,0))&gt;=100000), " ",IF(INDEX($AO$2:$BQ$1001,MATCH(ROWS($AH$2:AH970),$AH$2:$AH$1001,0),MATCH(COLUMNS($AO$1006:BC1006),$AO$1006:$BQ$1006,0)), HYPERLINK("#",""), HYPERLINK(CONCATENATE("#Metadata!", ADDRESS(INDEX($AJ$2:$AJ$1001,MATCH(ROWS($AH$2:AH970),$AH$2:$AH$1001,0),0), INDEX($AO$1004:$BQ$1004,1,MATCH(COLUMNS($AO$1006:BC1006),$AO$1006:$BQ$1006,0)))),"Fix")))</f>
        <v>#N/A</v>
      </c>
      <c r="Q970" s="5" t="e">
        <f ca="1">IF(OR(INDEX($AI$2:$AI$1001,MATCH(ROWS($AH$2:AH970),$AH$2:$AH$1001,0),1)&gt;=100000,INDEX($AO$1005:$BQ$1005,1,MATCH(COLUMNS($AO$1006:BD1006),$AO$1006:$BQ$1006,0))&gt;=100000), " ",IF(INDEX($AO$2:$BQ$1001,MATCH(ROWS($AH$2:AH970),$AH$2:$AH$1001,0),MATCH(COLUMNS($AO$1006:BD1006),$AO$1006:$BQ$1006,0)), HYPERLINK("#",""), HYPERLINK(CONCATENATE("#Metadata!", ADDRESS(INDEX($AJ$2:$AJ$1001,MATCH(ROWS($AH$2:AH970),$AH$2:$AH$1001,0),0), INDEX($AO$1004:$BQ$1004,1,MATCH(COLUMNS($AO$1006:BD1006),$AO$1006:$BQ$1006,0)))),"Fix")))</f>
        <v>#N/A</v>
      </c>
      <c r="R970" s="5" t="e">
        <f ca="1">IF(OR(INDEX($AI$2:$AI$1001,MATCH(ROWS($AH$2:AH970),$AH$2:$AH$1001,0),1)&gt;=100000,INDEX($AO$1005:$BQ$1005,1,MATCH(COLUMNS($AO$1006:BE1006),$AO$1006:$BQ$1006,0))&gt;=100000), " ",IF(INDEX($AO$2:$BQ$1001,MATCH(ROWS($AH$2:AH970),$AH$2:$AH$1001,0),MATCH(COLUMNS($AO$1006:BE1006),$AO$1006:$BQ$1006,0)), HYPERLINK("#",""), HYPERLINK(CONCATENATE("#Metadata!", ADDRESS(INDEX($AJ$2:$AJ$1001,MATCH(ROWS($AH$2:AH970),$AH$2:$AH$1001,0),0), INDEX($AO$1004:$BQ$1004,1,MATCH(COLUMNS($AO$1006:BE1006),$AO$1006:$BQ$1006,0)))),"Fix")))</f>
        <v>#N/A</v>
      </c>
      <c r="S970" s="5" t="e">
        <f ca="1">IF(OR(INDEX($AI$2:$AI$1001,MATCH(ROWS($AH$2:AH970),$AH$2:$AH$1001,0),1)&gt;=100000,INDEX($AO$1005:$BQ$1005,1,MATCH(COLUMNS($AO$1006:BF1006),$AO$1006:$BQ$1006,0))&gt;=100000), " ",IF(INDEX($AO$2:$BQ$1001,MATCH(ROWS($AH$2:AH970),$AH$2:$AH$1001,0),MATCH(COLUMNS($AO$1006:BF1006),$AO$1006:$BQ$1006,0)), HYPERLINK("#",""), HYPERLINK(CONCATENATE("#Metadata!", ADDRESS(INDEX($AJ$2:$AJ$1001,MATCH(ROWS($AH$2:AH970),$AH$2:$AH$1001,0),0), INDEX($AO$1004:$BQ$1004,1,MATCH(COLUMNS($AO$1006:BF1006),$AO$1006:$BQ$1006,0)))),"Fix")))</f>
        <v>#N/A</v>
      </c>
      <c r="T970" s="5" t="e">
        <f ca="1">IF(OR(INDEX($AI$2:$AI$1001,MATCH(ROWS($AH$2:AH970),$AH$2:$AH$1001,0),1)&gt;=100000,INDEX($AO$1005:$BQ$1005,1,MATCH(COLUMNS($AO$1006:BG1006),$AO$1006:$BQ$1006,0))&gt;=100000), " ",IF(INDEX($AO$2:$BQ$1001,MATCH(ROWS($AH$2:AH970),$AH$2:$AH$1001,0),MATCH(COLUMNS($AO$1006:BG1006),$AO$1006:$BQ$1006,0)), HYPERLINK("#",""), HYPERLINK(CONCATENATE("#Metadata!", ADDRESS(INDEX($AJ$2:$AJ$1001,MATCH(ROWS($AH$2:AH970),$AH$2:$AH$1001,0),0), INDEX($AO$1004:$BQ$1004,1,MATCH(COLUMNS($AO$1006:BG1006),$AO$1006:$BQ$1006,0)))),"Fix")))</f>
        <v>#N/A</v>
      </c>
      <c r="U970" s="5" t="e">
        <f ca="1">IF(OR(INDEX($AI$2:$AI$1001,MATCH(ROWS($AH$2:AH970),$AH$2:$AH$1001,0),1)&gt;=100000,INDEX($AO$1005:$BQ$1005,1,MATCH(COLUMNS($AO$1006:BH1006),$AO$1006:$BQ$1006,0))&gt;=100000), " ",IF(INDEX($AO$2:$BQ$1001,MATCH(ROWS($AH$2:AH970),$AH$2:$AH$1001,0),MATCH(COLUMNS($AO$1006:BH1006),$AO$1006:$BQ$1006,0)), HYPERLINK("#",""), HYPERLINK(CONCATENATE("#Metadata!", ADDRESS(INDEX($AJ$2:$AJ$1001,MATCH(ROWS($AH$2:AH970),$AH$2:$AH$1001,0),0), INDEX($AO$1004:$BQ$1004,1,MATCH(COLUMNS($AO$1006:BH1006),$AO$1006:$BQ$1006,0)))),"Fix")))</f>
        <v>#N/A</v>
      </c>
      <c r="V970" s="5" t="e">
        <f ca="1">IF(OR(INDEX($AI$2:$AI$1001,MATCH(ROWS($AH$2:AH970),$AH$2:$AH$1001,0),1)&gt;=100000,INDEX($AO$1005:$BQ$1005,1,MATCH(COLUMNS($AO$1006:BI1006),$AO$1006:$BQ$1006,0))&gt;=100000), " ",IF(INDEX($AO$2:$BQ$1001,MATCH(ROWS($AH$2:AH970),$AH$2:$AH$1001,0),MATCH(COLUMNS($AO$1006:BI1006),$AO$1006:$BQ$1006,0)), HYPERLINK("#",""), HYPERLINK(CONCATENATE("#Metadata!", ADDRESS(INDEX($AJ$2:$AJ$1001,MATCH(ROWS($AH$2:AH970),$AH$2:$AH$1001,0),0), INDEX($AO$1004:$BQ$1004,1,MATCH(COLUMNS($AO$1006:BI1006),$AO$1006:$BQ$1006,0)))),"Fix")))</f>
        <v>#N/A</v>
      </c>
      <c r="W970" s="5" t="e">
        <f ca="1">IF(OR(INDEX($AI$2:$AI$1001,MATCH(ROWS($AH$2:AH970),$AH$2:$AH$1001,0),1)&gt;=100000,INDEX($AO$1005:$BQ$1005,1,MATCH(COLUMNS($AO$1006:BJ1006),$AO$1006:$BQ$1006,0))&gt;=100000), " ",IF(INDEX($AO$2:$BQ$1001,MATCH(ROWS($AH$2:AH970),$AH$2:$AH$1001,0),MATCH(COLUMNS($AO$1006:BJ1006),$AO$1006:$BQ$1006,0)), HYPERLINK("#",""), HYPERLINK(CONCATENATE("#Metadata!", ADDRESS(INDEX($AJ$2:$AJ$1001,MATCH(ROWS($AH$2:AH970),$AH$2:$AH$1001,0),0), INDEX($AO$1004:$BQ$1004,1,MATCH(COLUMNS($AO$1006:BJ1006),$AO$1006:$BQ$1006,0)))),"Fix")))</f>
        <v>#N/A</v>
      </c>
      <c r="X970" s="5" t="e">
        <f ca="1">IF(OR(INDEX($AI$2:$AI$1001,MATCH(ROWS($AH$2:AH970),$AH$2:$AH$1001,0),1)&gt;=100000,INDEX($AO$1005:$BQ$1005,1,MATCH(COLUMNS($AO$1006:BK1006),$AO$1006:$BQ$1006,0))&gt;=100000), " ",IF(INDEX($AO$2:$BQ$1001,MATCH(ROWS($AH$2:AH970),$AH$2:$AH$1001,0),MATCH(COLUMNS($AO$1006:BK1006),$AO$1006:$BQ$1006,0)), HYPERLINK("#",""), HYPERLINK(CONCATENATE("#Metadata!", ADDRESS(INDEX($AJ$2:$AJ$1001,MATCH(ROWS($AH$2:AH970),$AH$2:$AH$1001,0),0), INDEX($AO$1004:$BQ$1004,1,MATCH(COLUMNS($AO$1006:BK1006),$AO$1006:$BQ$1006,0)))),"Fix")))</f>
        <v>#N/A</v>
      </c>
      <c r="Y970" s="5" t="e">
        <f ca="1">IF(OR(INDEX($AI$2:$AI$1001,MATCH(ROWS($AH$2:AH970),$AH$2:$AH$1001,0),1)&gt;=100000,INDEX($AO$1005:$BQ$1005,1,MATCH(COLUMNS($AO$1006:BL1006),$AO$1006:$BQ$1006,0))&gt;=100000), " ",IF(INDEX($AO$2:$BQ$1001,MATCH(ROWS($AH$2:AH970),$AH$2:$AH$1001,0),MATCH(COLUMNS($AO$1006:BL1006),$AO$1006:$BQ$1006,0)), HYPERLINK("#",""), HYPERLINK(CONCATENATE("#Metadata!", ADDRESS(INDEX($AJ$2:$AJ$1001,MATCH(ROWS($AH$2:AH970),$AH$2:$AH$1001,0),0), INDEX($AO$1004:$BQ$1004,1,MATCH(COLUMNS($AO$1006:BL1006),$AO$1006:$BQ$1006,0)))),"Fix")))</f>
        <v>#N/A</v>
      </c>
      <c r="Z970" s="5" t="e">
        <f ca="1">IF(OR(INDEX($AI$2:$AI$1001,MATCH(ROWS($AH$2:AH970),$AH$2:$AH$1001,0),1)&gt;=100000,INDEX($AO$1005:$BQ$1005,1,MATCH(COLUMNS($AO$1006:BM1006),$AO$1006:$BQ$1006,0))&gt;=100000), " ",IF(INDEX($AO$2:$BQ$1001,MATCH(ROWS($AH$2:AH970),$AH$2:$AH$1001,0),MATCH(COLUMNS($AO$1006:BM1006),$AO$1006:$BQ$1006,0)), HYPERLINK("#",""), HYPERLINK(CONCATENATE("#Metadata!", ADDRESS(INDEX($AJ$2:$AJ$1001,MATCH(ROWS($AH$2:AH970),$AH$2:$AH$1001,0),0), INDEX($AO$1004:$BQ$1004,1,MATCH(COLUMNS($AO$1006:BM1006),$AO$1006:$BQ$1006,0)))),"Fix")))</f>
        <v>#N/A</v>
      </c>
      <c r="AA970" s="5" t="e">
        <f ca="1">IF(OR(INDEX($AI$2:$AI$1001,MATCH(ROWS($AH$2:AH970),$AH$2:$AH$1001,0),1)&gt;=100000,INDEX($AO$1005:$BQ$1005,1,MATCH(COLUMNS($AO$1006:BN1006),$AO$1006:$BQ$1006,0))&gt;=100000), " ",IF(INDEX($AO$2:$BQ$1001,MATCH(ROWS($AH$2:AH970),$AH$2:$AH$1001,0),MATCH(COLUMNS($AO$1006:BN1006),$AO$1006:$BQ$1006,0)), HYPERLINK("#",""), HYPERLINK(CONCATENATE("#Metadata!", ADDRESS(INDEX($AJ$2:$AJ$1001,MATCH(ROWS($AH$2:AH970),$AH$2:$AH$1001,0),0), INDEX($AO$1004:$BQ$1004,1,MATCH(COLUMNS($AO$1006:BN1006),$AO$1006:$BQ$1006,0)))),"Fix")))</f>
        <v>#N/A</v>
      </c>
      <c r="AB970" s="5" t="e">
        <f ca="1">IF(OR(INDEX($AI$2:$AI$1001,MATCH(ROWS($AH$2:AH970),$AH$2:$AH$1001,0),1)&gt;=100000,INDEX($AO$1005:$BQ$1005,1,MATCH(COLUMNS($AO$1006:BO1006),$AO$1006:$BQ$1006,0))&gt;=100000), " ",IF(INDEX($AO$2:$BQ$1001,MATCH(ROWS($AH$2:AH970),$AH$2:$AH$1001,0),MATCH(COLUMNS($AO$1006:BO1006),$AO$1006:$BQ$1006,0)), HYPERLINK("#",""), HYPERLINK(CONCATENATE("#Metadata!", ADDRESS(INDEX($AJ$2:$AJ$1001,MATCH(ROWS($AH$2:AH970),$AH$2:$AH$1001,0),0), INDEX($AO$1004:$BQ$1004,1,MATCH(COLUMNS($AO$1006:BO1006),$AO$1006:$BQ$1006,0)))),"Fix")))</f>
        <v>#N/A</v>
      </c>
      <c r="AC970" s="5" t="e">
        <f ca="1">IF(OR(INDEX($AI$2:$AI$1001,MATCH(ROWS($AH$2:AH970),$AH$2:$AH$1001,0),1)&gt;=100000,INDEX($AO$1005:$BQ$1005,1,MATCH(COLUMNS($AO$1006:BP1006),$AO$1006:$BQ$1006,0))&gt;=100000), " ",IF(INDEX($AO$2:$BQ$1001,MATCH(ROWS($AH$2:AH970),$AH$2:$AH$1001,0),MATCH(COLUMNS($AO$1006:BP1006),$AO$1006:$BQ$1006,0)), HYPERLINK("#",""), HYPERLINK(CONCATENATE("#Metadata!", ADDRESS(INDEX($AJ$2:$AJ$1001,MATCH(ROWS($AH$2:AH970),$AH$2:$AH$1001,0),0), INDEX($AO$1004:$BQ$1004,1,MATCH(COLUMNS($AO$1006:BP1006),$AO$1006:$BQ$1006,0)))),"Fix")))</f>
        <v>#N/A</v>
      </c>
      <c r="AD970" s="5" t="e">
        <f ca="1">IF(OR(INDEX($AI$2:$AI$1001,MATCH(ROWS($AH$2:AH970),$AH$2:$AH$1001,0),1)&gt;=100000,INDEX($AO$1005:$BQ$1005,1,MATCH(COLUMNS($AO$1006:BQ1006),$AO$1006:$BQ$1006,0))&gt;=100000), " ",IF(INDEX($AO$2:$BQ$1001,MATCH(ROWS($AH$2:AH970),$AH$2:$AH$1001,0),MATCH(COLUMNS($AO$1006:BQ1006),$AO$1006:$BQ$1006,0)), HYPERLINK("#",""), HYPERLINK(CONCATENATE("#Metadata!", ADDRESS(INDEX($AJ$2:$AJ$1001,MATCH(ROWS($AH$2:AH970),$AH$2:$AH$1001,0),0), INDEX($AO$1004:$BQ$1004,1,MATCH(COLUMNS($AO$1006:BQ1006),$AO$1006:$BQ$1006,0)))),"Fix")))</f>
        <v>#REF!</v>
      </c>
      <c r="AH970">
        <f ca="1"/>
        <v>967</v>
      </c>
      <c r="AI970">
        <v>100970</v>
      </c>
      <c r="AJ970">
        <v>970</v>
      </c>
      <c r="AK970" t="b">
        <f t="shared" si="15"/>
        <v>1</v>
      </c>
      <c r="AL970" t="b">
        <f>COUNTBLANK(Metadata!B970:AD970)=COLUMNS(Metadata!B970:AD970)</f>
        <v>1</v>
      </c>
      <c r="AM970" t="str">
        <v/>
      </c>
      <c r="AO970" t="b">
        <f ca="1">AND(IF(Metadata!B970="",FALSE,TRUE),COUNTIF(Metadata!B:B, Metadata!B970) = 1,NOT(ISERROR(SUMPRODUCT(SEARCH(MID(Metadata!B970,ROW(INDIRECT("1:"&amp;LEN(Metadata!B970))), 1),"0123456789abcdefghijklmnopqrstuvwxyzABCDEFGHIJKLMNOPQRSTUVWXYZ.")))))</f>
        <v>0</v>
      </c>
      <c r="AP970" t="b">
        <f>IF(Metadata!C970="",FALSE,TRUE)</f>
        <v>0</v>
      </c>
      <c r="AQ970" t="b">
        <f>IF(Metadata!D970="",FALSE,TRUE)</f>
        <v>0</v>
      </c>
      <c r="AR970" t="b">
        <f ca="1">OR(AND(IF(Metadata!E970="",FALSE,TRUE),OR(EXACT(Metadata!E970,"not collected"),EXACT(Metadata!E970,"not provided"),EXACT(Metadata!E970,"restricted access"))),AND(IF(Metadata!E970="",FALSE,TRUE),AND(AND(IFERROR(INT(LEFT(Metadata!E970,4))&gt;1900,FALSE),IFERROR(INT(LEFT(Metadata!E970,4))&lt;=YEAR(NOW()),FALSE)), OR(MID(Metadata!E970,5,1)="", AND(AND(MID(Metadata!E970,5,1)="-",IFERROR(INT(MID(Metadata!E970,6,1))&gt;=0,FALSE),IFERROR(INT(MID(Metadata!E970,6,1))&lt;=1,FALSE),NOT(MID(Metadata!E970,7,1)=""),IFERROR(INT(MID(Metadata!E970,6,2))&gt;=1,FALSE),IFERROR(INT(MID(Metadata!E970,6,2))&lt;=12,FALSE)), OR(MID(Metadata!E970,8,1)="", AND(AND(MID(Metadata!E970,8,1)="-",IFERROR(INT(MID(Metadata!E970,9,1))&gt;=0,FALSE),IFERROR(INT(MID(Metadata!E970,9,1))&lt;=3,FALSE),NOT(MID(Metadata!E970,10,1)=""),IFERROR(INT(MID(Metadata!E970,9,2))&gt;=1,FALSE),IFERROR(INT(MID(Metadata!E970,9,2))&lt;=31,FALSE)), OR(MID(Metadata!E970,11,1)="", AND(AND(MID(Metadata!E970,11,1)=" ",IFERROR(INT(MID(Metadata!E970,12,1))&gt;=0,FALSE),IFERROR(INT(MID(Metadata!E970,12,1))&lt;=2,FALSE),NOT(MID(Metadata!E970,13,1)=""),IFERROR(INT(MID(Metadata!E970,12,2))&gt;=0,FALSE),IFERROR(INT(MID(Metadata!E970,12,2))&lt;=23,FALSE)), OR(MID(Metadata!E970,14,1)="", AND(AND(MID(Metadata!E970,14,1)=":",IFERROR(INT(MID(Metadata!E970,15,1))&gt;=0,FALSE),IFERROR(INT(MID(Metadata!E970,15,1))&lt;=5,FALSE),NOT(MID(Metadata!E970,16,1)=""),IFERROR(INT(MID(Metadata!E970,15,2))&gt;=0,FALSE),IFERROR(INT(MID(Metadata!E970,15,2))&lt;=59,FALSE)), OR(MID(Metadata!E970,17,1)="", AND(AND(MID(Metadata!E970,17,1)=":",IFERROR(INT(MID(Metadata!E970,18,1))&gt;=0,FALSE),IFERROR(INT(MID(Metadata!E970,18,1))&lt;=5,FALSE),NOT(MID(Metadata!E970,19,1)=""),IFERROR(INT(MID(Metadata!E970,18,2))&gt;=0,FALSE),IFERROR(INT(MID(Metadata!E970,18,2))&lt;=59,FALSE)), LEN(Metadata!E970)&lt;=19)))))))))))))</f>
        <v>0</v>
      </c>
      <c r="AS970" t="b">
        <f>IF(Metadata!F970="",FALSE,TRUE)</f>
        <v>0</v>
      </c>
      <c r="AT970" t="b">
        <f>OR(AND(IF(Metadata!G970="",FALSE,TRUE),OR(EXACT(Metadata!G970,"not collected"),EXACT(Metadata!G970,"not provided"))),AND(IF(Metadata!G970="",FALSE,TRUE),OR(EXACT(Metadata!G970,"TRUE"),EXACT(Metadata!G970,"FALSE"))))</f>
        <v>0</v>
      </c>
      <c r="AU970" t="b">
        <f>OR(AND(IF(Metadata!H970="",FALSE,TRUE),OR(EXACT(Metadata!H970,"not collected"),EXACT(Metadata!H970,"not provided"),EXACT(Metadata!H970,"restricted access"))),AND(IF(Metadata!H970="",FALSE,ISNUMBER(VALUE(Metadata!H970))),Metadata!H970&gt;=-413))</f>
        <v>0</v>
      </c>
      <c r="AV970" t="b">
        <f>AND(IF(Metadata!I970="",FALSE,TRUE),EXACT(Metadata!I970,"meters"))</f>
        <v>0</v>
      </c>
      <c r="AW970" t="b">
        <f>AND(IF(Metadata!J970="",FALSE,TRUE),EXACT(Metadata!J970,"free-living"))</f>
        <v>0</v>
      </c>
      <c r="AX970" t="b">
        <f>AND(IF(Metadata!K970="",FALSE,TRUE),OR(EXACT(Metadata!K970,"saline"),EXACT(Metadata!K970,"non-saline")))</f>
        <v>0</v>
      </c>
      <c r="AY970" t="b">
        <f>AND(IF(Metadata!L970="",FALSE,TRUE),OR(EXACT(Metadata!L970,"sub-surface (non-saline)"),EXACT(Metadata!L970,"surface (non-saline)"),EXACT(Metadata!L970,"water (non-saline)"),EXACT(Metadata!L970,"soil (non-saline)"),EXACT(Metadata!L970,"aerosol (non-saline)"),EXACT(Metadata!L970,"sediment (non-saline)"),EXACT(Metadata!L970,"surface (saline)"),EXACT(Metadata!L970,"water (saline)"),EXACT(Metadata!L970,"hypersaline (saline)"),EXACT(Metadata!L970,"aerosol (saline)"),EXACT(Metadata!L970,"sediment (saline)")))</f>
        <v>0</v>
      </c>
      <c r="AZ970" t="b">
        <f>IF(Metadata!M970="",FALSE,TRUE)</f>
        <v>0</v>
      </c>
      <c r="BA970" t="b">
        <f>IF(Metadata!N970="",FALSE,TRUE)</f>
        <v>0</v>
      </c>
      <c r="BB970" t="b">
        <f>IF(Metadata!O970="",FALSE,TRUE)</f>
        <v>0</v>
      </c>
      <c r="BC970" t="b">
        <f>AND(IF(Metadata!P970="",FALSE,TRUE),OR(EXACT(Metadata!P970,"air"),EXACT(Metadata!P970,"microbial mat/biofilm"),EXACT(Metadata!P970,"misc environment"),EXACT(Metadata!P970,"sediment"),EXACT(Metadata!P970,"soil"),EXACT(Metadata!P970,"wastewater/sludge"),EXACT(Metadata!P970,"water")))</f>
        <v>0</v>
      </c>
      <c r="BD970" t="b">
        <f>IF(Metadata!Q970="",FALSE,TRUE)</f>
        <v>0</v>
      </c>
      <c r="BE970" t="b">
        <f>IF(Metadata!R970="",FALSE,TRUE)</f>
        <v>0</v>
      </c>
      <c r="BF970" t="b">
        <f>OR(AND(IF(Metadata!S970="",FALSE,TRUE),OR(EXACT(Metadata!S970,"not collected"),EXACT(Metadata!S970,"not provided"),EXACT(Metadata!S970,"restricted access"))),AND(IF(Metadata!S970="",FALSE,ISNUMBER(VALUE(Metadata!S970))),Metadata!S970&gt;=-90,Metadata!S970&lt;=90))</f>
        <v>0</v>
      </c>
      <c r="BG970" t="b">
        <f>AND(IF(Metadata!T970="",FALSE,TRUE),EXACT(Metadata!T970,"Decimal degrees"))</f>
        <v>0</v>
      </c>
      <c r="BH970" t="b">
        <f>OR(AND(IF(Metadata!U970="",FALSE,TRUE),OR(EXACT(Metadata!U970,"not applicable"),EXACT(Metadata!U970,"not collected"))),IF(Metadata!U970="",FALSE,TRUE))</f>
        <v>0</v>
      </c>
      <c r="BI970" t="b">
        <f>OR(AND(IF(Metadata!V970="",FALSE,TRUE),OR(EXACT(Metadata!V970,"not collected"),EXACT(Metadata!V970,"not provided"),EXACT(Metadata!V970,"restricted access"))),AND(IF(Metadata!V970="",FALSE,ISNUMBER(VALUE(Metadata!V970))),Metadata!V970&gt;=-180,Metadata!V970&lt;=180))</f>
        <v>0</v>
      </c>
      <c r="BJ970" t="b">
        <f>AND(IF(Metadata!W970="",FALSE,TRUE),EXACT(Metadata!W970,"Decimal degrees"))</f>
        <v>0</v>
      </c>
      <c r="BK970" t="b">
        <f>IF(Metadata!X970="",FALSE,TRUE)</f>
        <v>0</v>
      </c>
      <c r="BL970" t="b">
        <f>OR(AND(IF(Metadata!Y970="",FALSE,TRUE),OR(EXACT(Metadata!Y970,"not collected"),EXACT(Metadata!Y970,"not provided"),EXACT(Metadata!Y970,"restricted access"))),AND(IF(Metadata!Y970="",FALSE,TRUE),OR(EXACT(Metadata!Y970,"TRUE"),EXACT(Metadata!Y970,"FALSE"))))</f>
        <v>0</v>
      </c>
      <c r="BM970" t="b">
        <f>OR(AND(IF(Metadata!Z970="",FALSE,TRUE),EXACT(Metadata!Z970,"not applicable")),AND(IF(Metadata!Z970="",FALSE,TRUE),OR(EXACT(Metadata!Z970,"beer"),EXACT(Metadata!Z970,"cheese"),EXACT(Metadata!Z970,"fresh water"),EXACT(Metadata!Z970,"marine sediment"),EXACT(Metadata!Z970,"sea water"),EXACT(Metadata!Z970,"sediment"),EXACT(Metadata!Z970,"soil"),EXACT(Metadata!Z970,"waste water"))))</f>
        <v>0</v>
      </c>
      <c r="BN970" t="b">
        <f>AND(IF(Metadata!AA970="",FALSE,TRUE),EXACT(Metadata!AA970,"metagenome"))</f>
        <v>0</v>
      </c>
      <c r="BO970" t="b">
        <f>AND(IF(Metadata!AB970="",FALSE,TRUE),EXACT(Metadata!AB970,"256318"))</f>
        <v>0</v>
      </c>
      <c r="BP970" t="b">
        <f>IF(Metadata!AC970="",FALSE,TRUE)</f>
        <v>0</v>
      </c>
      <c r="BQ970" t="b">
        <f>IF(Metadata!AD970="",FALSE,TRUE)</f>
        <v>0</v>
      </c>
    </row>
    <row r="971" spans="1:69" x14ac:dyDescent="0.2">
      <c r="A971" s="4" t="e">
        <f ca="1">IF(B971=" "," ",HYPERLINK(CONCATENATE("#metadata!",ADDRESS(INDEX($AJ$2:$AJ$1001,MATCH(ROWS($AH$2:AH971),$AH$2:$AH$1001,0),0),2)),INDEX($AM$2:$AM$1001,MATCH(ROWS($AH$2:AH971),$AH$2:$AH$1001,0),0)))</f>
        <v>#N/A</v>
      </c>
      <c r="B971" s="5" t="e">
        <f ca="1">IF(OR(INDEX($AI$2:$AI$1001,MATCH(ROWS($AH$2:AH971),$AH$2:$AH$1001,0),1)&gt;=100000,INDEX($AO$1005:$BQ$1005,1,MATCH(COLUMNS($AO$1006:AO1006),$AO$1006:$BQ$1006,0))&gt;=100000), " ",IF(INDEX($AO$2:$BQ$1001,MATCH(ROWS($AH$2:AH971),$AH$2:$AH$1001,0),MATCH(COLUMNS($AO$1006:AO1006),$AO$1006:$BQ$1006,0)), HYPERLINK("#",""), HYPERLINK(CONCATENATE("#Metadata!", ADDRESS(INDEX($AJ$2:$AJ$1001,MATCH(ROWS($AH$2:AH971),$AH$2:$AH$1001,0),0), INDEX($AO$1004:$BQ$1004,1,MATCH(COLUMNS($AO$1006:AO1006),$AO$1006:$BQ$1006,0)))),"Fix")))</f>
        <v>#N/A</v>
      </c>
      <c r="C971" s="5" t="e">
        <f ca="1">IF(OR(INDEX($AI$2:$AI$1001,MATCH(ROWS($AH$2:AH971),$AH$2:$AH$1001,0),1)&gt;=100000,INDEX($AO$1005:$BQ$1005,1,MATCH(COLUMNS($AO$1006:AP1006),$AO$1006:$BQ$1006,0))&gt;=100000), " ",IF(INDEX($AO$2:$BQ$1001,MATCH(ROWS($AH$2:AH971),$AH$2:$AH$1001,0),MATCH(COLUMNS($AO$1006:AP1006),$AO$1006:$BQ$1006,0)), HYPERLINK("#",""), HYPERLINK(CONCATENATE("#Metadata!", ADDRESS(INDEX($AJ$2:$AJ$1001,MATCH(ROWS($AH$2:AH971),$AH$2:$AH$1001,0),0), INDEX($AO$1004:$BQ$1004,1,MATCH(COLUMNS($AO$1006:AP1006),$AO$1006:$BQ$1006,0)))),"Fix")))</f>
        <v>#N/A</v>
      </c>
      <c r="D971" s="5" t="e">
        <f ca="1">IF(OR(INDEX($AI$2:$AI$1001,MATCH(ROWS($AH$2:AH971),$AH$2:$AH$1001,0),1)&gt;=100000,INDEX($AO$1005:$BQ$1005,1,MATCH(COLUMNS($AO$1006:AQ1006),$AO$1006:$BQ$1006,0))&gt;=100000), " ",IF(INDEX($AO$2:$BQ$1001,MATCH(ROWS($AH$2:AH971),$AH$2:$AH$1001,0),MATCH(COLUMNS($AO$1006:AQ1006),$AO$1006:$BQ$1006,0)), HYPERLINK("#",""), HYPERLINK(CONCATENATE("#Metadata!", ADDRESS(INDEX($AJ$2:$AJ$1001,MATCH(ROWS($AH$2:AH971),$AH$2:$AH$1001,0),0), INDEX($AO$1004:$BQ$1004,1,MATCH(COLUMNS($AO$1006:AQ1006),$AO$1006:$BQ$1006,0)))),"Fix")))</f>
        <v>#N/A</v>
      </c>
      <c r="E971" s="5" t="e">
        <f ca="1">IF(OR(INDEX($AI$2:$AI$1001,MATCH(ROWS($AH$2:AH971),$AH$2:$AH$1001,0),1)&gt;=100000,INDEX($AO$1005:$BQ$1005,1,MATCH(COLUMNS($AO$1006:AR1006),$AO$1006:$BQ$1006,0))&gt;=100000), " ",IF(INDEX($AO$2:$BQ$1001,MATCH(ROWS($AH$2:AH971),$AH$2:$AH$1001,0),MATCH(COLUMNS($AO$1006:AR1006),$AO$1006:$BQ$1006,0)), HYPERLINK("#",""), HYPERLINK(CONCATENATE("#Metadata!", ADDRESS(INDEX($AJ$2:$AJ$1001,MATCH(ROWS($AH$2:AH971),$AH$2:$AH$1001,0),0), INDEX($AO$1004:$BQ$1004,1,MATCH(COLUMNS($AO$1006:AR1006),$AO$1006:$BQ$1006,0)))),"Fix")))</f>
        <v>#N/A</v>
      </c>
      <c r="F971" s="5" t="e">
        <f ca="1">IF(OR(INDEX($AI$2:$AI$1001,MATCH(ROWS($AH$2:AH971),$AH$2:$AH$1001,0),1)&gt;=100000,INDEX($AO$1005:$BQ$1005,1,MATCH(COLUMNS($AO$1006:AS1006),$AO$1006:$BQ$1006,0))&gt;=100000), " ",IF(INDEX($AO$2:$BQ$1001,MATCH(ROWS($AH$2:AH971),$AH$2:$AH$1001,0),MATCH(COLUMNS($AO$1006:AS1006),$AO$1006:$BQ$1006,0)), HYPERLINK("#",""), HYPERLINK(CONCATENATE("#Metadata!", ADDRESS(INDEX($AJ$2:$AJ$1001,MATCH(ROWS($AH$2:AH971),$AH$2:$AH$1001,0),0), INDEX($AO$1004:$BQ$1004,1,MATCH(COLUMNS($AO$1006:AS1006),$AO$1006:$BQ$1006,0)))),"Fix")))</f>
        <v>#N/A</v>
      </c>
      <c r="G971" s="5" t="e">
        <f ca="1">IF(OR(INDEX($AI$2:$AI$1001,MATCH(ROWS($AH$2:AH971),$AH$2:$AH$1001,0),1)&gt;=100000,INDEX($AO$1005:$BQ$1005,1,MATCH(COLUMNS($AO$1006:AT1006),$AO$1006:$BQ$1006,0))&gt;=100000), " ",IF(INDEX($AO$2:$BQ$1001,MATCH(ROWS($AH$2:AH971),$AH$2:$AH$1001,0),MATCH(COLUMNS($AO$1006:AT1006),$AO$1006:$BQ$1006,0)), HYPERLINK("#",""), HYPERLINK(CONCATENATE("#Metadata!", ADDRESS(INDEX($AJ$2:$AJ$1001,MATCH(ROWS($AH$2:AH971),$AH$2:$AH$1001,0),0), INDEX($AO$1004:$BQ$1004,1,MATCH(COLUMNS($AO$1006:AT1006),$AO$1006:$BQ$1006,0)))),"Fix")))</f>
        <v>#N/A</v>
      </c>
      <c r="H971" s="5" t="e">
        <f ca="1">IF(OR(INDEX($AI$2:$AI$1001,MATCH(ROWS($AH$2:AH971),$AH$2:$AH$1001,0),1)&gt;=100000,INDEX($AO$1005:$BQ$1005,1,MATCH(COLUMNS($AO$1006:AU1006),$AO$1006:$BQ$1006,0))&gt;=100000), " ",IF(INDEX($AO$2:$BQ$1001,MATCH(ROWS($AH$2:AH971),$AH$2:$AH$1001,0),MATCH(COLUMNS($AO$1006:AU1006),$AO$1006:$BQ$1006,0)), HYPERLINK("#",""), HYPERLINK(CONCATENATE("#Metadata!", ADDRESS(INDEX($AJ$2:$AJ$1001,MATCH(ROWS($AH$2:AH971),$AH$2:$AH$1001,0),0), INDEX($AO$1004:$BQ$1004,1,MATCH(COLUMNS($AO$1006:AU1006),$AO$1006:$BQ$1006,0)))),"Fix")))</f>
        <v>#N/A</v>
      </c>
      <c r="I971" s="5" t="e">
        <f ca="1">IF(OR(INDEX($AI$2:$AI$1001,MATCH(ROWS($AH$2:AH971),$AH$2:$AH$1001,0),1)&gt;=100000,INDEX($AO$1005:$BQ$1005,1,MATCH(COLUMNS($AO$1006:AV1006),$AO$1006:$BQ$1006,0))&gt;=100000), " ",IF(INDEX($AO$2:$BQ$1001,MATCH(ROWS($AH$2:AH971),$AH$2:$AH$1001,0),MATCH(COLUMNS($AO$1006:AV1006),$AO$1006:$BQ$1006,0)), HYPERLINK("#",""), HYPERLINK(CONCATENATE("#Metadata!", ADDRESS(INDEX($AJ$2:$AJ$1001,MATCH(ROWS($AH$2:AH971),$AH$2:$AH$1001,0),0), INDEX($AO$1004:$BQ$1004,1,MATCH(COLUMNS($AO$1006:AV1006),$AO$1006:$BQ$1006,0)))),"Fix")))</f>
        <v>#N/A</v>
      </c>
      <c r="J971" s="5" t="e">
        <f ca="1">IF(OR(INDEX($AI$2:$AI$1001,MATCH(ROWS($AH$2:AH971),$AH$2:$AH$1001,0),1)&gt;=100000,INDEX($AO$1005:$BQ$1005,1,MATCH(COLUMNS($AO$1006:AW1006),$AO$1006:$BQ$1006,0))&gt;=100000), " ",IF(INDEX($AO$2:$BQ$1001,MATCH(ROWS($AH$2:AH971),$AH$2:$AH$1001,0),MATCH(COLUMNS($AO$1006:AW1006),$AO$1006:$BQ$1006,0)), HYPERLINK("#",""), HYPERLINK(CONCATENATE("#Metadata!", ADDRESS(INDEX($AJ$2:$AJ$1001,MATCH(ROWS($AH$2:AH971),$AH$2:$AH$1001,0),0), INDEX($AO$1004:$BQ$1004,1,MATCH(COLUMNS($AO$1006:AW1006),$AO$1006:$BQ$1006,0)))),"Fix")))</f>
        <v>#N/A</v>
      </c>
      <c r="K971" s="5" t="e">
        <f ca="1">IF(OR(INDEX($AI$2:$AI$1001,MATCH(ROWS($AH$2:AH971),$AH$2:$AH$1001,0),1)&gt;=100000,INDEX($AO$1005:$BQ$1005,1,MATCH(COLUMNS($AO$1006:AX1006),$AO$1006:$BQ$1006,0))&gt;=100000), " ",IF(INDEX($AO$2:$BQ$1001,MATCH(ROWS($AH$2:AH971),$AH$2:$AH$1001,0),MATCH(COLUMNS($AO$1006:AX1006),$AO$1006:$BQ$1006,0)), HYPERLINK("#",""), HYPERLINK(CONCATENATE("#Metadata!", ADDRESS(INDEX($AJ$2:$AJ$1001,MATCH(ROWS($AH$2:AH971),$AH$2:$AH$1001,0),0), INDEX($AO$1004:$BQ$1004,1,MATCH(COLUMNS($AO$1006:AX1006),$AO$1006:$BQ$1006,0)))),"Fix")))</f>
        <v>#N/A</v>
      </c>
      <c r="L971" s="5" t="e">
        <f ca="1">IF(OR(INDEX($AI$2:$AI$1001,MATCH(ROWS($AH$2:AH971),$AH$2:$AH$1001,0),1)&gt;=100000,INDEX($AO$1005:$BQ$1005,1,MATCH(COLUMNS($AO$1006:AY1006),$AO$1006:$BQ$1006,0))&gt;=100000), " ",IF(INDEX($AO$2:$BQ$1001,MATCH(ROWS($AH$2:AH971),$AH$2:$AH$1001,0),MATCH(COLUMNS($AO$1006:AY1006),$AO$1006:$BQ$1006,0)), HYPERLINK("#",""), HYPERLINK(CONCATENATE("#Metadata!", ADDRESS(INDEX($AJ$2:$AJ$1001,MATCH(ROWS($AH$2:AH971),$AH$2:$AH$1001,0),0), INDEX($AO$1004:$BQ$1004,1,MATCH(COLUMNS($AO$1006:AY1006),$AO$1006:$BQ$1006,0)))),"Fix")))</f>
        <v>#N/A</v>
      </c>
      <c r="M971" s="5" t="e">
        <f ca="1">IF(OR(INDEX($AI$2:$AI$1001,MATCH(ROWS($AH$2:AH971),$AH$2:$AH$1001,0),1)&gt;=100000,INDEX($AO$1005:$BQ$1005,1,MATCH(COLUMNS($AO$1006:AZ1006),$AO$1006:$BQ$1006,0))&gt;=100000), " ",IF(INDEX($AO$2:$BQ$1001,MATCH(ROWS($AH$2:AH971),$AH$2:$AH$1001,0),MATCH(COLUMNS($AO$1006:AZ1006),$AO$1006:$BQ$1006,0)), HYPERLINK("#",""), HYPERLINK(CONCATENATE("#Metadata!", ADDRESS(INDEX($AJ$2:$AJ$1001,MATCH(ROWS($AH$2:AH971),$AH$2:$AH$1001,0),0), INDEX($AO$1004:$BQ$1004,1,MATCH(COLUMNS($AO$1006:AZ1006),$AO$1006:$BQ$1006,0)))),"Fix")))</f>
        <v>#N/A</v>
      </c>
      <c r="N971" s="5" t="e">
        <f ca="1">IF(OR(INDEX($AI$2:$AI$1001,MATCH(ROWS($AH$2:AH971),$AH$2:$AH$1001,0),1)&gt;=100000,INDEX($AO$1005:$BQ$1005,1,MATCH(COLUMNS($AO$1006:BA1006),$AO$1006:$BQ$1006,0))&gt;=100000), " ",IF(INDEX($AO$2:$BQ$1001,MATCH(ROWS($AH$2:AH971),$AH$2:$AH$1001,0),MATCH(COLUMNS($AO$1006:BA1006),$AO$1006:$BQ$1006,0)), HYPERLINK("#",""), HYPERLINK(CONCATENATE("#Metadata!", ADDRESS(INDEX($AJ$2:$AJ$1001,MATCH(ROWS($AH$2:AH971),$AH$2:$AH$1001,0),0), INDEX($AO$1004:$BQ$1004,1,MATCH(COLUMNS($AO$1006:BA1006),$AO$1006:$BQ$1006,0)))),"Fix")))</f>
        <v>#N/A</v>
      </c>
      <c r="O971" s="5" t="e">
        <f ca="1">IF(OR(INDEX($AI$2:$AI$1001,MATCH(ROWS($AH$2:AH971),$AH$2:$AH$1001,0),1)&gt;=100000,INDEX($AO$1005:$BQ$1005,1,MATCH(COLUMNS($AO$1006:BB1006),$AO$1006:$BQ$1006,0))&gt;=100000), " ",IF(INDEX($AO$2:$BQ$1001,MATCH(ROWS($AH$2:AH971),$AH$2:$AH$1001,0),MATCH(COLUMNS($AO$1006:BB1006),$AO$1006:$BQ$1006,0)), HYPERLINK("#",""), HYPERLINK(CONCATENATE("#Metadata!", ADDRESS(INDEX($AJ$2:$AJ$1001,MATCH(ROWS($AH$2:AH971),$AH$2:$AH$1001,0),0), INDEX($AO$1004:$BQ$1004,1,MATCH(COLUMNS($AO$1006:BB1006),$AO$1006:$BQ$1006,0)))),"Fix")))</f>
        <v>#N/A</v>
      </c>
      <c r="P971" s="5" t="e">
        <f ca="1">IF(OR(INDEX($AI$2:$AI$1001,MATCH(ROWS($AH$2:AH971),$AH$2:$AH$1001,0),1)&gt;=100000,INDEX($AO$1005:$BQ$1005,1,MATCH(COLUMNS($AO$1006:BC1006),$AO$1006:$BQ$1006,0))&gt;=100000), " ",IF(INDEX($AO$2:$BQ$1001,MATCH(ROWS($AH$2:AH971),$AH$2:$AH$1001,0),MATCH(COLUMNS($AO$1006:BC1006),$AO$1006:$BQ$1006,0)), HYPERLINK("#",""), HYPERLINK(CONCATENATE("#Metadata!", ADDRESS(INDEX($AJ$2:$AJ$1001,MATCH(ROWS($AH$2:AH971),$AH$2:$AH$1001,0),0), INDEX($AO$1004:$BQ$1004,1,MATCH(COLUMNS($AO$1006:BC1006),$AO$1006:$BQ$1006,0)))),"Fix")))</f>
        <v>#N/A</v>
      </c>
      <c r="Q971" s="5" t="e">
        <f ca="1">IF(OR(INDEX($AI$2:$AI$1001,MATCH(ROWS($AH$2:AH971),$AH$2:$AH$1001,0),1)&gt;=100000,INDEX($AO$1005:$BQ$1005,1,MATCH(COLUMNS($AO$1006:BD1006),$AO$1006:$BQ$1006,0))&gt;=100000), " ",IF(INDEX($AO$2:$BQ$1001,MATCH(ROWS($AH$2:AH971),$AH$2:$AH$1001,0),MATCH(COLUMNS($AO$1006:BD1006),$AO$1006:$BQ$1006,0)), HYPERLINK("#",""), HYPERLINK(CONCATENATE("#Metadata!", ADDRESS(INDEX($AJ$2:$AJ$1001,MATCH(ROWS($AH$2:AH971),$AH$2:$AH$1001,0),0), INDEX($AO$1004:$BQ$1004,1,MATCH(COLUMNS($AO$1006:BD1006),$AO$1006:$BQ$1006,0)))),"Fix")))</f>
        <v>#N/A</v>
      </c>
      <c r="R971" s="5" t="e">
        <f ca="1">IF(OR(INDEX($AI$2:$AI$1001,MATCH(ROWS($AH$2:AH971),$AH$2:$AH$1001,0),1)&gt;=100000,INDEX($AO$1005:$BQ$1005,1,MATCH(COLUMNS($AO$1006:BE1006),$AO$1006:$BQ$1006,0))&gt;=100000), " ",IF(INDEX($AO$2:$BQ$1001,MATCH(ROWS($AH$2:AH971),$AH$2:$AH$1001,0),MATCH(COLUMNS($AO$1006:BE1006),$AO$1006:$BQ$1006,0)), HYPERLINK("#",""), HYPERLINK(CONCATENATE("#Metadata!", ADDRESS(INDEX($AJ$2:$AJ$1001,MATCH(ROWS($AH$2:AH971),$AH$2:$AH$1001,0),0), INDEX($AO$1004:$BQ$1004,1,MATCH(COLUMNS($AO$1006:BE1006),$AO$1006:$BQ$1006,0)))),"Fix")))</f>
        <v>#N/A</v>
      </c>
      <c r="S971" s="5" t="e">
        <f ca="1">IF(OR(INDEX($AI$2:$AI$1001,MATCH(ROWS($AH$2:AH971),$AH$2:$AH$1001,0),1)&gt;=100000,INDEX($AO$1005:$BQ$1005,1,MATCH(COLUMNS($AO$1006:BF1006),$AO$1006:$BQ$1006,0))&gt;=100000), " ",IF(INDEX($AO$2:$BQ$1001,MATCH(ROWS($AH$2:AH971),$AH$2:$AH$1001,0),MATCH(COLUMNS($AO$1006:BF1006),$AO$1006:$BQ$1006,0)), HYPERLINK("#",""), HYPERLINK(CONCATENATE("#Metadata!", ADDRESS(INDEX($AJ$2:$AJ$1001,MATCH(ROWS($AH$2:AH971),$AH$2:$AH$1001,0),0), INDEX($AO$1004:$BQ$1004,1,MATCH(COLUMNS($AO$1006:BF1006),$AO$1006:$BQ$1006,0)))),"Fix")))</f>
        <v>#N/A</v>
      </c>
      <c r="T971" s="5" t="e">
        <f ca="1">IF(OR(INDEX($AI$2:$AI$1001,MATCH(ROWS($AH$2:AH971),$AH$2:$AH$1001,0),1)&gt;=100000,INDEX($AO$1005:$BQ$1005,1,MATCH(COLUMNS($AO$1006:BG1006),$AO$1006:$BQ$1006,0))&gt;=100000), " ",IF(INDEX($AO$2:$BQ$1001,MATCH(ROWS($AH$2:AH971),$AH$2:$AH$1001,0),MATCH(COLUMNS($AO$1006:BG1006),$AO$1006:$BQ$1006,0)), HYPERLINK("#",""), HYPERLINK(CONCATENATE("#Metadata!", ADDRESS(INDEX($AJ$2:$AJ$1001,MATCH(ROWS($AH$2:AH971),$AH$2:$AH$1001,0),0), INDEX($AO$1004:$BQ$1004,1,MATCH(COLUMNS($AO$1006:BG1006),$AO$1006:$BQ$1006,0)))),"Fix")))</f>
        <v>#N/A</v>
      </c>
      <c r="U971" s="5" t="e">
        <f ca="1">IF(OR(INDEX($AI$2:$AI$1001,MATCH(ROWS($AH$2:AH971),$AH$2:$AH$1001,0),1)&gt;=100000,INDEX($AO$1005:$BQ$1005,1,MATCH(COLUMNS($AO$1006:BH1006),$AO$1006:$BQ$1006,0))&gt;=100000), " ",IF(INDEX($AO$2:$BQ$1001,MATCH(ROWS($AH$2:AH971),$AH$2:$AH$1001,0),MATCH(COLUMNS($AO$1006:BH1006),$AO$1006:$BQ$1006,0)), HYPERLINK("#",""), HYPERLINK(CONCATENATE("#Metadata!", ADDRESS(INDEX($AJ$2:$AJ$1001,MATCH(ROWS($AH$2:AH971),$AH$2:$AH$1001,0),0), INDEX($AO$1004:$BQ$1004,1,MATCH(COLUMNS($AO$1006:BH1006),$AO$1006:$BQ$1006,0)))),"Fix")))</f>
        <v>#N/A</v>
      </c>
      <c r="V971" s="5" t="e">
        <f ca="1">IF(OR(INDEX($AI$2:$AI$1001,MATCH(ROWS($AH$2:AH971),$AH$2:$AH$1001,0),1)&gt;=100000,INDEX($AO$1005:$BQ$1005,1,MATCH(COLUMNS($AO$1006:BI1006),$AO$1006:$BQ$1006,0))&gt;=100000), " ",IF(INDEX($AO$2:$BQ$1001,MATCH(ROWS($AH$2:AH971),$AH$2:$AH$1001,0),MATCH(COLUMNS($AO$1006:BI1006),$AO$1006:$BQ$1006,0)), HYPERLINK("#",""), HYPERLINK(CONCATENATE("#Metadata!", ADDRESS(INDEX($AJ$2:$AJ$1001,MATCH(ROWS($AH$2:AH971),$AH$2:$AH$1001,0),0), INDEX($AO$1004:$BQ$1004,1,MATCH(COLUMNS($AO$1006:BI1006),$AO$1006:$BQ$1006,0)))),"Fix")))</f>
        <v>#N/A</v>
      </c>
      <c r="W971" s="5" t="e">
        <f ca="1">IF(OR(INDEX($AI$2:$AI$1001,MATCH(ROWS($AH$2:AH971),$AH$2:$AH$1001,0),1)&gt;=100000,INDEX($AO$1005:$BQ$1005,1,MATCH(COLUMNS($AO$1006:BJ1006),$AO$1006:$BQ$1006,0))&gt;=100000), " ",IF(INDEX($AO$2:$BQ$1001,MATCH(ROWS($AH$2:AH971),$AH$2:$AH$1001,0),MATCH(COLUMNS($AO$1006:BJ1006),$AO$1006:$BQ$1006,0)), HYPERLINK("#",""), HYPERLINK(CONCATENATE("#Metadata!", ADDRESS(INDEX($AJ$2:$AJ$1001,MATCH(ROWS($AH$2:AH971),$AH$2:$AH$1001,0),0), INDEX($AO$1004:$BQ$1004,1,MATCH(COLUMNS($AO$1006:BJ1006),$AO$1006:$BQ$1006,0)))),"Fix")))</f>
        <v>#N/A</v>
      </c>
      <c r="X971" s="5" t="e">
        <f ca="1">IF(OR(INDEX($AI$2:$AI$1001,MATCH(ROWS($AH$2:AH971),$AH$2:$AH$1001,0),1)&gt;=100000,INDEX($AO$1005:$BQ$1005,1,MATCH(COLUMNS($AO$1006:BK1006),$AO$1006:$BQ$1006,0))&gt;=100000), " ",IF(INDEX($AO$2:$BQ$1001,MATCH(ROWS($AH$2:AH971),$AH$2:$AH$1001,0),MATCH(COLUMNS($AO$1006:BK1006),$AO$1006:$BQ$1006,0)), HYPERLINK("#",""), HYPERLINK(CONCATENATE("#Metadata!", ADDRESS(INDEX($AJ$2:$AJ$1001,MATCH(ROWS($AH$2:AH971),$AH$2:$AH$1001,0),0), INDEX($AO$1004:$BQ$1004,1,MATCH(COLUMNS($AO$1006:BK1006),$AO$1006:$BQ$1006,0)))),"Fix")))</f>
        <v>#N/A</v>
      </c>
      <c r="Y971" s="5" t="e">
        <f ca="1">IF(OR(INDEX($AI$2:$AI$1001,MATCH(ROWS($AH$2:AH971),$AH$2:$AH$1001,0),1)&gt;=100000,INDEX($AO$1005:$BQ$1005,1,MATCH(COLUMNS($AO$1006:BL1006),$AO$1006:$BQ$1006,0))&gt;=100000), " ",IF(INDEX($AO$2:$BQ$1001,MATCH(ROWS($AH$2:AH971),$AH$2:$AH$1001,0),MATCH(COLUMNS($AO$1006:BL1006),$AO$1006:$BQ$1006,0)), HYPERLINK("#",""), HYPERLINK(CONCATENATE("#Metadata!", ADDRESS(INDEX($AJ$2:$AJ$1001,MATCH(ROWS($AH$2:AH971),$AH$2:$AH$1001,0),0), INDEX($AO$1004:$BQ$1004,1,MATCH(COLUMNS($AO$1006:BL1006),$AO$1006:$BQ$1006,0)))),"Fix")))</f>
        <v>#N/A</v>
      </c>
      <c r="Z971" s="5" t="e">
        <f ca="1">IF(OR(INDEX($AI$2:$AI$1001,MATCH(ROWS($AH$2:AH971),$AH$2:$AH$1001,0),1)&gt;=100000,INDEX($AO$1005:$BQ$1005,1,MATCH(COLUMNS($AO$1006:BM1006),$AO$1006:$BQ$1006,0))&gt;=100000), " ",IF(INDEX($AO$2:$BQ$1001,MATCH(ROWS($AH$2:AH971),$AH$2:$AH$1001,0),MATCH(COLUMNS($AO$1006:BM1006),$AO$1006:$BQ$1006,0)), HYPERLINK("#",""), HYPERLINK(CONCATENATE("#Metadata!", ADDRESS(INDEX($AJ$2:$AJ$1001,MATCH(ROWS($AH$2:AH971),$AH$2:$AH$1001,0),0), INDEX($AO$1004:$BQ$1004,1,MATCH(COLUMNS($AO$1006:BM1006),$AO$1006:$BQ$1006,0)))),"Fix")))</f>
        <v>#N/A</v>
      </c>
      <c r="AA971" s="5" t="e">
        <f ca="1">IF(OR(INDEX($AI$2:$AI$1001,MATCH(ROWS($AH$2:AH971),$AH$2:$AH$1001,0),1)&gt;=100000,INDEX($AO$1005:$BQ$1005,1,MATCH(COLUMNS($AO$1006:BN1006),$AO$1006:$BQ$1006,0))&gt;=100000), " ",IF(INDEX($AO$2:$BQ$1001,MATCH(ROWS($AH$2:AH971),$AH$2:$AH$1001,0),MATCH(COLUMNS($AO$1006:BN1006),$AO$1006:$BQ$1006,0)), HYPERLINK("#",""), HYPERLINK(CONCATENATE("#Metadata!", ADDRESS(INDEX($AJ$2:$AJ$1001,MATCH(ROWS($AH$2:AH971),$AH$2:$AH$1001,0),0), INDEX($AO$1004:$BQ$1004,1,MATCH(COLUMNS($AO$1006:BN1006),$AO$1006:$BQ$1006,0)))),"Fix")))</f>
        <v>#N/A</v>
      </c>
      <c r="AB971" s="5" t="e">
        <f ca="1">IF(OR(INDEX($AI$2:$AI$1001,MATCH(ROWS($AH$2:AH971),$AH$2:$AH$1001,0),1)&gt;=100000,INDEX($AO$1005:$BQ$1005,1,MATCH(COLUMNS($AO$1006:BO1006),$AO$1006:$BQ$1006,0))&gt;=100000), " ",IF(INDEX($AO$2:$BQ$1001,MATCH(ROWS($AH$2:AH971),$AH$2:$AH$1001,0),MATCH(COLUMNS($AO$1006:BO1006),$AO$1006:$BQ$1006,0)), HYPERLINK("#",""), HYPERLINK(CONCATENATE("#Metadata!", ADDRESS(INDEX($AJ$2:$AJ$1001,MATCH(ROWS($AH$2:AH971),$AH$2:$AH$1001,0),0), INDEX($AO$1004:$BQ$1004,1,MATCH(COLUMNS($AO$1006:BO1006),$AO$1006:$BQ$1006,0)))),"Fix")))</f>
        <v>#N/A</v>
      </c>
      <c r="AC971" s="5" t="e">
        <f ca="1">IF(OR(INDEX($AI$2:$AI$1001,MATCH(ROWS($AH$2:AH971),$AH$2:$AH$1001,0),1)&gt;=100000,INDEX($AO$1005:$BQ$1005,1,MATCH(COLUMNS($AO$1006:BP1006),$AO$1006:$BQ$1006,0))&gt;=100000), " ",IF(INDEX($AO$2:$BQ$1001,MATCH(ROWS($AH$2:AH971),$AH$2:$AH$1001,0),MATCH(COLUMNS($AO$1006:BP1006),$AO$1006:$BQ$1006,0)), HYPERLINK("#",""), HYPERLINK(CONCATENATE("#Metadata!", ADDRESS(INDEX($AJ$2:$AJ$1001,MATCH(ROWS($AH$2:AH971),$AH$2:$AH$1001,0),0), INDEX($AO$1004:$BQ$1004,1,MATCH(COLUMNS($AO$1006:BP1006),$AO$1006:$BQ$1006,0)))),"Fix")))</f>
        <v>#N/A</v>
      </c>
      <c r="AD971" s="5" t="e">
        <f ca="1">IF(OR(INDEX($AI$2:$AI$1001,MATCH(ROWS($AH$2:AH971),$AH$2:$AH$1001,0),1)&gt;=100000,INDEX($AO$1005:$BQ$1005,1,MATCH(COLUMNS($AO$1006:BQ1006),$AO$1006:$BQ$1006,0))&gt;=100000), " ",IF(INDEX($AO$2:$BQ$1001,MATCH(ROWS($AH$2:AH971),$AH$2:$AH$1001,0),MATCH(COLUMNS($AO$1006:BQ1006),$AO$1006:$BQ$1006,0)), HYPERLINK("#",""), HYPERLINK(CONCATENATE("#Metadata!", ADDRESS(INDEX($AJ$2:$AJ$1001,MATCH(ROWS($AH$2:AH971),$AH$2:$AH$1001,0),0), INDEX($AO$1004:$BQ$1004,1,MATCH(COLUMNS($AO$1006:BQ1006),$AO$1006:$BQ$1006,0)))),"Fix")))</f>
        <v>#REF!</v>
      </c>
      <c r="AH971">
        <f ca="1"/>
        <v>968</v>
      </c>
      <c r="AI971">
        <v>100971</v>
      </c>
      <c r="AJ971">
        <v>971</v>
      </c>
      <c r="AK971" t="b">
        <f t="shared" si="15"/>
        <v>1</v>
      </c>
      <c r="AL971" t="b">
        <f>COUNTBLANK(Metadata!B971:AD971)=COLUMNS(Metadata!B971:AD971)</f>
        <v>1</v>
      </c>
      <c r="AM971" t="str">
        <v/>
      </c>
      <c r="AO971" t="b">
        <f ca="1">AND(IF(Metadata!B971="",FALSE,TRUE),COUNTIF(Metadata!B:B, Metadata!B971) = 1,NOT(ISERROR(SUMPRODUCT(SEARCH(MID(Metadata!B971,ROW(INDIRECT("1:"&amp;LEN(Metadata!B971))), 1),"0123456789abcdefghijklmnopqrstuvwxyzABCDEFGHIJKLMNOPQRSTUVWXYZ.")))))</f>
        <v>0</v>
      </c>
      <c r="AP971" t="b">
        <f>IF(Metadata!C971="",FALSE,TRUE)</f>
        <v>0</v>
      </c>
      <c r="AQ971" t="b">
        <f>IF(Metadata!D971="",FALSE,TRUE)</f>
        <v>0</v>
      </c>
      <c r="AR971" t="b">
        <f ca="1">OR(AND(IF(Metadata!E971="",FALSE,TRUE),OR(EXACT(Metadata!E971,"not collected"),EXACT(Metadata!E971,"not provided"),EXACT(Metadata!E971,"restricted access"))),AND(IF(Metadata!E971="",FALSE,TRUE),AND(AND(IFERROR(INT(LEFT(Metadata!E971,4))&gt;1900,FALSE),IFERROR(INT(LEFT(Metadata!E971,4))&lt;=YEAR(NOW()),FALSE)), OR(MID(Metadata!E971,5,1)="", AND(AND(MID(Metadata!E971,5,1)="-",IFERROR(INT(MID(Metadata!E971,6,1))&gt;=0,FALSE),IFERROR(INT(MID(Metadata!E971,6,1))&lt;=1,FALSE),NOT(MID(Metadata!E971,7,1)=""),IFERROR(INT(MID(Metadata!E971,6,2))&gt;=1,FALSE),IFERROR(INT(MID(Metadata!E971,6,2))&lt;=12,FALSE)), OR(MID(Metadata!E971,8,1)="", AND(AND(MID(Metadata!E971,8,1)="-",IFERROR(INT(MID(Metadata!E971,9,1))&gt;=0,FALSE),IFERROR(INT(MID(Metadata!E971,9,1))&lt;=3,FALSE),NOT(MID(Metadata!E971,10,1)=""),IFERROR(INT(MID(Metadata!E971,9,2))&gt;=1,FALSE),IFERROR(INT(MID(Metadata!E971,9,2))&lt;=31,FALSE)), OR(MID(Metadata!E971,11,1)="", AND(AND(MID(Metadata!E971,11,1)=" ",IFERROR(INT(MID(Metadata!E971,12,1))&gt;=0,FALSE),IFERROR(INT(MID(Metadata!E971,12,1))&lt;=2,FALSE),NOT(MID(Metadata!E971,13,1)=""),IFERROR(INT(MID(Metadata!E971,12,2))&gt;=0,FALSE),IFERROR(INT(MID(Metadata!E971,12,2))&lt;=23,FALSE)), OR(MID(Metadata!E971,14,1)="", AND(AND(MID(Metadata!E971,14,1)=":",IFERROR(INT(MID(Metadata!E971,15,1))&gt;=0,FALSE),IFERROR(INT(MID(Metadata!E971,15,1))&lt;=5,FALSE),NOT(MID(Metadata!E971,16,1)=""),IFERROR(INT(MID(Metadata!E971,15,2))&gt;=0,FALSE),IFERROR(INT(MID(Metadata!E971,15,2))&lt;=59,FALSE)), OR(MID(Metadata!E971,17,1)="", AND(AND(MID(Metadata!E971,17,1)=":",IFERROR(INT(MID(Metadata!E971,18,1))&gt;=0,FALSE),IFERROR(INT(MID(Metadata!E971,18,1))&lt;=5,FALSE),NOT(MID(Metadata!E971,19,1)=""),IFERROR(INT(MID(Metadata!E971,18,2))&gt;=0,FALSE),IFERROR(INT(MID(Metadata!E971,18,2))&lt;=59,FALSE)), LEN(Metadata!E971)&lt;=19)))))))))))))</f>
        <v>0</v>
      </c>
      <c r="AS971" t="b">
        <f>IF(Metadata!F971="",FALSE,TRUE)</f>
        <v>0</v>
      </c>
      <c r="AT971" t="b">
        <f>OR(AND(IF(Metadata!G971="",FALSE,TRUE),OR(EXACT(Metadata!G971,"not collected"),EXACT(Metadata!G971,"not provided"))),AND(IF(Metadata!G971="",FALSE,TRUE),OR(EXACT(Metadata!G971,"TRUE"),EXACT(Metadata!G971,"FALSE"))))</f>
        <v>0</v>
      </c>
      <c r="AU971" t="b">
        <f>OR(AND(IF(Metadata!H971="",FALSE,TRUE),OR(EXACT(Metadata!H971,"not collected"),EXACT(Metadata!H971,"not provided"),EXACT(Metadata!H971,"restricted access"))),AND(IF(Metadata!H971="",FALSE,ISNUMBER(VALUE(Metadata!H971))),Metadata!H971&gt;=-413))</f>
        <v>0</v>
      </c>
      <c r="AV971" t="b">
        <f>AND(IF(Metadata!I971="",FALSE,TRUE),EXACT(Metadata!I971,"meters"))</f>
        <v>0</v>
      </c>
      <c r="AW971" t="b">
        <f>AND(IF(Metadata!J971="",FALSE,TRUE),EXACT(Metadata!J971,"free-living"))</f>
        <v>0</v>
      </c>
      <c r="AX971" t="b">
        <f>AND(IF(Metadata!K971="",FALSE,TRUE),OR(EXACT(Metadata!K971,"saline"),EXACT(Metadata!K971,"non-saline")))</f>
        <v>0</v>
      </c>
      <c r="AY971" t="b">
        <f>AND(IF(Metadata!L971="",FALSE,TRUE),OR(EXACT(Metadata!L971,"sub-surface (non-saline)"),EXACT(Metadata!L971,"surface (non-saline)"),EXACT(Metadata!L971,"water (non-saline)"),EXACT(Metadata!L971,"soil (non-saline)"),EXACT(Metadata!L971,"aerosol (non-saline)"),EXACT(Metadata!L971,"sediment (non-saline)"),EXACT(Metadata!L971,"surface (saline)"),EXACT(Metadata!L971,"water (saline)"),EXACT(Metadata!L971,"hypersaline (saline)"),EXACT(Metadata!L971,"aerosol (saline)"),EXACT(Metadata!L971,"sediment (saline)")))</f>
        <v>0</v>
      </c>
      <c r="AZ971" t="b">
        <f>IF(Metadata!M971="",FALSE,TRUE)</f>
        <v>0</v>
      </c>
      <c r="BA971" t="b">
        <f>IF(Metadata!N971="",FALSE,TRUE)</f>
        <v>0</v>
      </c>
      <c r="BB971" t="b">
        <f>IF(Metadata!O971="",FALSE,TRUE)</f>
        <v>0</v>
      </c>
      <c r="BC971" t="b">
        <f>AND(IF(Metadata!P971="",FALSE,TRUE),OR(EXACT(Metadata!P971,"air"),EXACT(Metadata!P971,"microbial mat/biofilm"),EXACT(Metadata!P971,"misc environment"),EXACT(Metadata!P971,"sediment"),EXACT(Metadata!P971,"soil"),EXACT(Metadata!P971,"wastewater/sludge"),EXACT(Metadata!P971,"water")))</f>
        <v>0</v>
      </c>
      <c r="BD971" t="b">
        <f>IF(Metadata!Q971="",FALSE,TRUE)</f>
        <v>0</v>
      </c>
      <c r="BE971" t="b">
        <f>IF(Metadata!R971="",FALSE,TRUE)</f>
        <v>0</v>
      </c>
      <c r="BF971" t="b">
        <f>OR(AND(IF(Metadata!S971="",FALSE,TRUE),OR(EXACT(Metadata!S971,"not collected"),EXACT(Metadata!S971,"not provided"),EXACT(Metadata!S971,"restricted access"))),AND(IF(Metadata!S971="",FALSE,ISNUMBER(VALUE(Metadata!S971))),Metadata!S971&gt;=-90,Metadata!S971&lt;=90))</f>
        <v>0</v>
      </c>
      <c r="BG971" t="b">
        <f>AND(IF(Metadata!T971="",FALSE,TRUE),EXACT(Metadata!T971,"Decimal degrees"))</f>
        <v>0</v>
      </c>
      <c r="BH971" t="b">
        <f>OR(AND(IF(Metadata!U971="",FALSE,TRUE),OR(EXACT(Metadata!U971,"not applicable"),EXACT(Metadata!U971,"not collected"))),IF(Metadata!U971="",FALSE,TRUE))</f>
        <v>0</v>
      </c>
      <c r="BI971" t="b">
        <f>OR(AND(IF(Metadata!V971="",FALSE,TRUE),OR(EXACT(Metadata!V971,"not collected"),EXACT(Metadata!V971,"not provided"),EXACT(Metadata!V971,"restricted access"))),AND(IF(Metadata!V971="",FALSE,ISNUMBER(VALUE(Metadata!V971))),Metadata!V971&gt;=-180,Metadata!V971&lt;=180))</f>
        <v>0</v>
      </c>
      <c r="BJ971" t="b">
        <f>AND(IF(Metadata!W971="",FALSE,TRUE),EXACT(Metadata!W971,"Decimal degrees"))</f>
        <v>0</v>
      </c>
      <c r="BK971" t="b">
        <f>IF(Metadata!X971="",FALSE,TRUE)</f>
        <v>0</v>
      </c>
      <c r="BL971" t="b">
        <f>OR(AND(IF(Metadata!Y971="",FALSE,TRUE),OR(EXACT(Metadata!Y971,"not collected"),EXACT(Metadata!Y971,"not provided"),EXACT(Metadata!Y971,"restricted access"))),AND(IF(Metadata!Y971="",FALSE,TRUE),OR(EXACT(Metadata!Y971,"TRUE"),EXACT(Metadata!Y971,"FALSE"))))</f>
        <v>0</v>
      </c>
      <c r="BM971" t="b">
        <f>OR(AND(IF(Metadata!Z971="",FALSE,TRUE),EXACT(Metadata!Z971,"not applicable")),AND(IF(Metadata!Z971="",FALSE,TRUE),OR(EXACT(Metadata!Z971,"beer"),EXACT(Metadata!Z971,"cheese"),EXACT(Metadata!Z971,"fresh water"),EXACT(Metadata!Z971,"marine sediment"),EXACT(Metadata!Z971,"sea water"),EXACT(Metadata!Z971,"sediment"),EXACT(Metadata!Z971,"soil"),EXACT(Metadata!Z971,"waste water"))))</f>
        <v>0</v>
      </c>
      <c r="BN971" t="b">
        <f>AND(IF(Metadata!AA971="",FALSE,TRUE),EXACT(Metadata!AA971,"metagenome"))</f>
        <v>0</v>
      </c>
      <c r="BO971" t="b">
        <f>AND(IF(Metadata!AB971="",FALSE,TRUE),EXACT(Metadata!AB971,"256318"))</f>
        <v>0</v>
      </c>
      <c r="BP971" t="b">
        <f>IF(Metadata!AC971="",FALSE,TRUE)</f>
        <v>0</v>
      </c>
      <c r="BQ971" t="b">
        <f>IF(Metadata!AD971="",FALSE,TRUE)</f>
        <v>0</v>
      </c>
    </row>
    <row r="972" spans="1:69" x14ac:dyDescent="0.2">
      <c r="A972" s="4" t="e">
        <f ca="1">IF(B972=" "," ",HYPERLINK(CONCATENATE("#metadata!",ADDRESS(INDEX($AJ$2:$AJ$1001,MATCH(ROWS($AH$2:AH972),$AH$2:$AH$1001,0),0),2)),INDEX($AM$2:$AM$1001,MATCH(ROWS($AH$2:AH972),$AH$2:$AH$1001,0),0)))</f>
        <v>#N/A</v>
      </c>
      <c r="B972" s="5" t="e">
        <f ca="1">IF(OR(INDEX($AI$2:$AI$1001,MATCH(ROWS($AH$2:AH972),$AH$2:$AH$1001,0),1)&gt;=100000,INDEX($AO$1005:$BQ$1005,1,MATCH(COLUMNS($AO$1006:AO1006),$AO$1006:$BQ$1006,0))&gt;=100000), " ",IF(INDEX($AO$2:$BQ$1001,MATCH(ROWS($AH$2:AH972),$AH$2:$AH$1001,0),MATCH(COLUMNS($AO$1006:AO1006),$AO$1006:$BQ$1006,0)), HYPERLINK("#",""), HYPERLINK(CONCATENATE("#Metadata!", ADDRESS(INDEX($AJ$2:$AJ$1001,MATCH(ROWS($AH$2:AH972),$AH$2:$AH$1001,0),0), INDEX($AO$1004:$BQ$1004,1,MATCH(COLUMNS($AO$1006:AO1006),$AO$1006:$BQ$1006,0)))),"Fix")))</f>
        <v>#N/A</v>
      </c>
      <c r="C972" s="5" t="e">
        <f ca="1">IF(OR(INDEX($AI$2:$AI$1001,MATCH(ROWS($AH$2:AH972),$AH$2:$AH$1001,0),1)&gt;=100000,INDEX($AO$1005:$BQ$1005,1,MATCH(COLUMNS($AO$1006:AP1006),$AO$1006:$BQ$1006,0))&gt;=100000), " ",IF(INDEX($AO$2:$BQ$1001,MATCH(ROWS($AH$2:AH972),$AH$2:$AH$1001,0),MATCH(COLUMNS($AO$1006:AP1006),$AO$1006:$BQ$1006,0)), HYPERLINK("#",""), HYPERLINK(CONCATENATE("#Metadata!", ADDRESS(INDEX($AJ$2:$AJ$1001,MATCH(ROWS($AH$2:AH972),$AH$2:$AH$1001,0),0), INDEX($AO$1004:$BQ$1004,1,MATCH(COLUMNS($AO$1006:AP1006),$AO$1006:$BQ$1006,0)))),"Fix")))</f>
        <v>#N/A</v>
      </c>
      <c r="D972" s="5" t="e">
        <f ca="1">IF(OR(INDEX($AI$2:$AI$1001,MATCH(ROWS($AH$2:AH972),$AH$2:$AH$1001,0),1)&gt;=100000,INDEX($AO$1005:$BQ$1005,1,MATCH(COLUMNS($AO$1006:AQ1006),$AO$1006:$BQ$1006,0))&gt;=100000), " ",IF(INDEX($AO$2:$BQ$1001,MATCH(ROWS($AH$2:AH972),$AH$2:$AH$1001,0),MATCH(COLUMNS($AO$1006:AQ1006),$AO$1006:$BQ$1006,0)), HYPERLINK("#",""), HYPERLINK(CONCATENATE("#Metadata!", ADDRESS(INDEX($AJ$2:$AJ$1001,MATCH(ROWS($AH$2:AH972),$AH$2:$AH$1001,0),0), INDEX($AO$1004:$BQ$1004,1,MATCH(COLUMNS($AO$1006:AQ1006),$AO$1006:$BQ$1006,0)))),"Fix")))</f>
        <v>#N/A</v>
      </c>
      <c r="E972" s="5" t="e">
        <f ca="1">IF(OR(INDEX($AI$2:$AI$1001,MATCH(ROWS($AH$2:AH972),$AH$2:$AH$1001,0),1)&gt;=100000,INDEX($AO$1005:$BQ$1005,1,MATCH(COLUMNS($AO$1006:AR1006),$AO$1006:$BQ$1006,0))&gt;=100000), " ",IF(INDEX($AO$2:$BQ$1001,MATCH(ROWS($AH$2:AH972),$AH$2:$AH$1001,0),MATCH(COLUMNS($AO$1006:AR1006),$AO$1006:$BQ$1006,0)), HYPERLINK("#",""), HYPERLINK(CONCATENATE("#Metadata!", ADDRESS(INDEX($AJ$2:$AJ$1001,MATCH(ROWS($AH$2:AH972),$AH$2:$AH$1001,0),0), INDEX($AO$1004:$BQ$1004,1,MATCH(COLUMNS($AO$1006:AR1006),$AO$1006:$BQ$1006,0)))),"Fix")))</f>
        <v>#N/A</v>
      </c>
      <c r="F972" s="5" t="e">
        <f ca="1">IF(OR(INDEX($AI$2:$AI$1001,MATCH(ROWS($AH$2:AH972),$AH$2:$AH$1001,0),1)&gt;=100000,INDEX($AO$1005:$BQ$1005,1,MATCH(COLUMNS($AO$1006:AS1006),$AO$1006:$BQ$1006,0))&gt;=100000), " ",IF(INDEX($AO$2:$BQ$1001,MATCH(ROWS($AH$2:AH972),$AH$2:$AH$1001,0),MATCH(COLUMNS($AO$1006:AS1006),$AO$1006:$BQ$1006,0)), HYPERLINK("#",""), HYPERLINK(CONCATENATE("#Metadata!", ADDRESS(INDEX($AJ$2:$AJ$1001,MATCH(ROWS($AH$2:AH972),$AH$2:$AH$1001,0),0), INDEX($AO$1004:$BQ$1004,1,MATCH(COLUMNS($AO$1006:AS1006),$AO$1006:$BQ$1006,0)))),"Fix")))</f>
        <v>#N/A</v>
      </c>
      <c r="G972" s="5" t="e">
        <f ca="1">IF(OR(INDEX($AI$2:$AI$1001,MATCH(ROWS($AH$2:AH972),$AH$2:$AH$1001,0),1)&gt;=100000,INDEX($AO$1005:$BQ$1005,1,MATCH(COLUMNS($AO$1006:AT1006),$AO$1006:$BQ$1006,0))&gt;=100000), " ",IF(INDEX($AO$2:$BQ$1001,MATCH(ROWS($AH$2:AH972),$AH$2:$AH$1001,0),MATCH(COLUMNS($AO$1006:AT1006),$AO$1006:$BQ$1006,0)), HYPERLINK("#",""), HYPERLINK(CONCATENATE("#Metadata!", ADDRESS(INDEX($AJ$2:$AJ$1001,MATCH(ROWS($AH$2:AH972),$AH$2:$AH$1001,0),0), INDEX($AO$1004:$BQ$1004,1,MATCH(COLUMNS($AO$1006:AT1006),$AO$1006:$BQ$1006,0)))),"Fix")))</f>
        <v>#N/A</v>
      </c>
      <c r="H972" s="5" t="e">
        <f ca="1">IF(OR(INDEX($AI$2:$AI$1001,MATCH(ROWS($AH$2:AH972),$AH$2:$AH$1001,0),1)&gt;=100000,INDEX($AO$1005:$BQ$1005,1,MATCH(COLUMNS($AO$1006:AU1006),$AO$1006:$BQ$1006,0))&gt;=100000), " ",IF(INDEX($AO$2:$BQ$1001,MATCH(ROWS($AH$2:AH972),$AH$2:$AH$1001,0),MATCH(COLUMNS($AO$1006:AU1006),$AO$1006:$BQ$1006,0)), HYPERLINK("#",""), HYPERLINK(CONCATENATE("#Metadata!", ADDRESS(INDEX($AJ$2:$AJ$1001,MATCH(ROWS($AH$2:AH972),$AH$2:$AH$1001,0),0), INDEX($AO$1004:$BQ$1004,1,MATCH(COLUMNS($AO$1006:AU1006),$AO$1006:$BQ$1006,0)))),"Fix")))</f>
        <v>#N/A</v>
      </c>
      <c r="I972" s="5" t="e">
        <f ca="1">IF(OR(INDEX($AI$2:$AI$1001,MATCH(ROWS($AH$2:AH972),$AH$2:$AH$1001,0),1)&gt;=100000,INDEX($AO$1005:$BQ$1005,1,MATCH(COLUMNS($AO$1006:AV1006),$AO$1006:$BQ$1006,0))&gt;=100000), " ",IF(INDEX($AO$2:$BQ$1001,MATCH(ROWS($AH$2:AH972),$AH$2:$AH$1001,0),MATCH(COLUMNS($AO$1006:AV1006),$AO$1006:$BQ$1006,0)), HYPERLINK("#",""), HYPERLINK(CONCATENATE("#Metadata!", ADDRESS(INDEX($AJ$2:$AJ$1001,MATCH(ROWS($AH$2:AH972),$AH$2:$AH$1001,0),0), INDEX($AO$1004:$BQ$1004,1,MATCH(COLUMNS($AO$1006:AV1006),$AO$1006:$BQ$1006,0)))),"Fix")))</f>
        <v>#N/A</v>
      </c>
      <c r="J972" s="5" t="e">
        <f ca="1">IF(OR(INDEX($AI$2:$AI$1001,MATCH(ROWS($AH$2:AH972),$AH$2:$AH$1001,0),1)&gt;=100000,INDEX($AO$1005:$BQ$1005,1,MATCH(COLUMNS($AO$1006:AW1006),$AO$1006:$BQ$1006,0))&gt;=100000), " ",IF(INDEX($AO$2:$BQ$1001,MATCH(ROWS($AH$2:AH972),$AH$2:$AH$1001,0),MATCH(COLUMNS($AO$1006:AW1006),$AO$1006:$BQ$1006,0)), HYPERLINK("#",""), HYPERLINK(CONCATENATE("#Metadata!", ADDRESS(INDEX($AJ$2:$AJ$1001,MATCH(ROWS($AH$2:AH972),$AH$2:$AH$1001,0),0), INDEX($AO$1004:$BQ$1004,1,MATCH(COLUMNS($AO$1006:AW1006),$AO$1006:$BQ$1006,0)))),"Fix")))</f>
        <v>#N/A</v>
      </c>
      <c r="K972" s="5" t="e">
        <f ca="1">IF(OR(INDEX($AI$2:$AI$1001,MATCH(ROWS($AH$2:AH972),$AH$2:$AH$1001,0),1)&gt;=100000,INDEX($AO$1005:$BQ$1005,1,MATCH(COLUMNS($AO$1006:AX1006),$AO$1006:$BQ$1006,0))&gt;=100000), " ",IF(INDEX($AO$2:$BQ$1001,MATCH(ROWS($AH$2:AH972),$AH$2:$AH$1001,0),MATCH(COLUMNS($AO$1006:AX1006),$AO$1006:$BQ$1006,0)), HYPERLINK("#",""), HYPERLINK(CONCATENATE("#Metadata!", ADDRESS(INDEX($AJ$2:$AJ$1001,MATCH(ROWS($AH$2:AH972),$AH$2:$AH$1001,0),0), INDEX($AO$1004:$BQ$1004,1,MATCH(COLUMNS($AO$1006:AX1006),$AO$1006:$BQ$1006,0)))),"Fix")))</f>
        <v>#N/A</v>
      </c>
      <c r="L972" s="5" t="e">
        <f ca="1">IF(OR(INDEX($AI$2:$AI$1001,MATCH(ROWS($AH$2:AH972),$AH$2:$AH$1001,0),1)&gt;=100000,INDEX($AO$1005:$BQ$1005,1,MATCH(COLUMNS($AO$1006:AY1006),$AO$1006:$BQ$1006,0))&gt;=100000), " ",IF(INDEX($AO$2:$BQ$1001,MATCH(ROWS($AH$2:AH972),$AH$2:$AH$1001,0),MATCH(COLUMNS($AO$1006:AY1006),$AO$1006:$BQ$1006,0)), HYPERLINK("#",""), HYPERLINK(CONCATENATE("#Metadata!", ADDRESS(INDEX($AJ$2:$AJ$1001,MATCH(ROWS($AH$2:AH972),$AH$2:$AH$1001,0),0), INDEX($AO$1004:$BQ$1004,1,MATCH(COLUMNS($AO$1006:AY1006),$AO$1006:$BQ$1006,0)))),"Fix")))</f>
        <v>#N/A</v>
      </c>
      <c r="M972" s="5" t="e">
        <f ca="1">IF(OR(INDEX($AI$2:$AI$1001,MATCH(ROWS($AH$2:AH972),$AH$2:$AH$1001,0),1)&gt;=100000,INDEX($AO$1005:$BQ$1005,1,MATCH(COLUMNS($AO$1006:AZ1006),$AO$1006:$BQ$1006,0))&gt;=100000), " ",IF(INDEX($AO$2:$BQ$1001,MATCH(ROWS($AH$2:AH972),$AH$2:$AH$1001,0),MATCH(COLUMNS($AO$1006:AZ1006),$AO$1006:$BQ$1006,0)), HYPERLINK("#",""), HYPERLINK(CONCATENATE("#Metadata!", ADDRESS(INDEX($AJ$2:$AJ$1001,MATCH(ROWS($AH$2:AH972),$AH$2:$AH$1001,0),0), INDEX($AO$1004:$BQ$1004,1,MATCH(COLUMNS($AO$1006:AZ1006),$AO$1006:$BQ$1006,0)))),"Fix")))</f>
        <v>#N/A</v>
      </c>
      <c r="N972" s="5" t="e">
        <f ca="1">IF(OR(INDEX($AI$2:$AI$1001,MATCH(ROWS($AH$2:AH972),$AH$2:$AH$1001,0),1)&gt;=100000,INDEX($AO$1005:$BQ$1005,1,MATCH(COLUMNS($AO$1006:BA1006),$AO$1006:$BQ$1006,0))&gt;=100000), " ",IF(INDEX($AO$2:$BQ$1001,MATCH(ROWS($AH$2:AH972),$AH$2:$AH$1001,0),MATCH(COLUMNS($AO$1006:BA1006),$AO$1006:$BQ$1006,0)), HYPERLINK("#",""), HYPERLINK(CONCATENATE("#Metadata!", ADDRESS(INDEX($AJ$2:$AJ$1001,MATCH(ROWS($AH$2:AH972),$AH$2:$AH$1001,0),0), INDEX($AO$1004:$BQ$1004,1,MATCH(COLUMNS($AO$1006:BA1006),$AO$1006:$BQ$1006,0)))),"Fix")))</f>
        <v>#N/A</v>
      </c>
      <c r="O972" s="5" t="e">
        <f ca="1">IF(OR(INDEX($AI$2:$AI$1001,MATCH(ROWS($AH$2:AH972),$AH$2:$AH$1001,0),1)&gt;=100000,INDEX($AO$1005:$BQ$1005,1,MATCH(COLUMNS($AO$1006:BB1006),$AO$1006:$BQ$1006,0))&gt;=100000), " ",IF(INDEX($AO$2:$BQ$1001,MATCH(ROWS($AH$2:AH972),$AH$2:$AH$1001,0),MATCH(COLUMNS($AO$1006:BB1006),$AO$1006:$BQ$1006,0)), HYPERLINK("#",""), HYPERLINK(CONCATENATE("#Metadata!", ADDRESS(INDEX($AJ$2:$AJ$1001,MATCH(ROWS($AH$2:AH972),$AH$2:$AH$1001,0),0), INDEX($AO$1004:$BQ$1004,1,MATCH(COLUMNS($AO$1006:BB1006),$AO$1006:$BQ$1006,0)))),"Fix")))</f>
        <v>#N/A</v>
      </c>
      <c r="P972" s="5" t="e">
        <f ca="1">IF(OR(INDEX($AI$2:$AI$1001,MATCH(ROWS($AH$2:AH972),$AH$2:$AH$1001,0),1)&gt;=100000,INDEX($AO$1005:$BQ$1005,1,MATCH(COLUMNS($AO$1006:BC1006),$AO$1006:$BQ$1006,0))&gt;=100000), " ",IF(INDEX($AO$2:$BQ$1001,MATCH(ROWS($AH$2:AH972),$AH$2:$AH$1001,0),MATCH(COLUMNS($AO$1006:BC1006),$AO$1006:$BQ$1006,0)), HYPERLINK("#",""), HYPERLINK(CONCATENATE("#Metadata!", ADDRESS(INDEX($AJ$2:$AJ$1001,MATCH(ROWS($AH$2:AH972),$AH$2:$AH$1001,0),0), INDEX($AO$1004:$BQ$1004,1,MATCH(COLUMNS($AO$1006:BC1006),$AO$1006:$BQ$1006,0)))),"Fix")))</f>
        <v>#N/A</v>
      </c>
      <c r="Q972" s="5" t="e">
        <f ca="1">IF(OR(INDEX($AI$2:$AI$1001,MATCH(ROWS($AH$2:AH972),$AH$2:$AH$1001,0),1)&gt;=100000,INDEX($AO$1005:$BQ$1005,1,MATCH(COLUMNS($AO$1006:BD1006),$AO$1006:$BQ$1006,0))&gt;=100000), " ",IF(INDEX($AO$2:$BQ$1001,MATCH(ROWS($AH$2:AH972),$AH$2:$AH$1001,0),MATCH(COLUMNS($AO$1006:BD1006),$AO$1006:$BQ$1006,0)), HYPERLINK("#",""), HYPERLINK(CONCATENATE("#Metadata!", ADDRESS(INDEX($AJ$2:$AJ$1001,MATCH(ROWS($AH$2:AH972),$AH$2:$AH$1001,0),0), INDEX($AO$1004:$BQ$1004,1,MATCH(COLUMNS($AO$1006:BD1006),$AO$1006:$BQ$1006,0)))),"Fix")))</f>
        <v>#N/A</v>
      </c>
      <c r="R972" s="5" t="e">
        <f ca="1">IF(OR(INDEX($AI$2:$AI$1001,MATCH(ROWS($AH$2:AH972),$AH$2:$AH$1001,0),1)&gt;=100000,INDEX($AO$1005:$BQ$1005,1,MATCH(COLUMNS($AO$1006:BE1006),$AO$1006:$BQ$1006,0))&gt;=100000), " ",IF(INDEX($AO$2:$BQ$1001,MATCH(ROWS($AH$2:AH972),$AH$2:$AH$1001,0),MATCH(COLUMNS($AO$1006:BE1006),$AO$1006:$BQ$1006,0)), HYPERLINK("#",""), HYPERLINK(CONCATENATE("#Metadata!", ADDRESS(INDEX($AJ$2:$AJ$1001,MATCH(ROWS($AH$2:AH972),$AH$2:$AH$1001,0),0), INDEX($AO$1004:$BQ$1004,1,MATCH(COLUMNS($AO$1006:BE1006),$AO$1006:$BQ$1006,0)))),"Fix")))</f>
        <v>#N/A</v>
      </c>
      <c r="S972" s="5" t="e">
        <f ca="1">IF(OR(INDEX($AI$2:$AI$1001,MATCH(ROWS($AH$2:AH972),$AH$2:$AH$1001,0),1)&gt;=100000,INDEX($AO$1005:$BQ$1005,1,MATCH(COLUMNS($AO$1006:BF1006),$AO$1006:$BQ$1006,0))&gt;=100000), " ",IF(INDEX($AO$2:$BQ$1001,MATCH(ROWS($AH$2:AH972),$AH$2:$AH$1001,0),MATCH(COLUMNS($AO$1006:BF1006),$AO$1006:$BQ$1006,0)), HYPERLINK("#",""), HYPERLINK(CONCATENATE("#Metadata!", ADDRESS(INDEX($AJ$2:$AJ$1001,MATCH(ROWS($AH$2:AH972),$AH$2:$AH$1001,0),0), INDEX($AO$1004:$BQ$1004,1,MATCH(COLUMNS($AO$1006:BF1006),$AO$1006:$BQ$1006,0)))),"Fix")))</f>
        <v>#N/A</v>
      </c>
      <c r="T972" s="5" t="e">
        <f ca="1">IF(OR(INDEX($AI$2:$AI$1001,MATCH(ROWS($AH$2:AH972),$AH$2:$AH$1001,0),1)&gt;=100000,INDEX($AO$1005:$BQ$1005,1,MATCH(COLUMNS($AO$1006:BG1006),$AO$1006:$BQ$1006,0))&gt;=100000), " ",IF(INDEX($AO$2:$BQ$1001,MATCH(ROWS($AH$2:AH972),$AH$2:$AH$1001,0),MATCH(COLUMNS($AO$1006:BG1006),$AO$1006:$BQ$1006,0)), HYPERLINK("#",""), HYPERLINK(CONCATENATE("#Metadata!", ADDRESS(INDEX($AJ$2:$AJ$1001,MATCH(ROWS($AH$2:AH972),$AH$2:$AH$1001,0),0), INDEX($AO$1004:$BQ$1004,1,MATCH(COLUMNS($AO$1006:BG1006),$AO$1006:$BQ$1006,0)))),"Fix")))</f>
        <v>#N/A</v>
      </c>
      <c r="U972" s="5" t="e">
        <f ca="1">IF(OR(INDEX($AI$2:$AI$1001,MATCH(ROWS($AH$2:AH972),$AH$2:$AH$1001,0),1)&gt;=100000,INDEX($AO$1005:$BQ$1005,1,MATCH(COLUMNS($AO$1006:BH1006),$AO$1006:$BQ$1006,0))&gt;=100000), " ",IF(INDEX($AO$2:$BQ$1001,MATCH(ROWS($AH$2:AH972),$AH$2:$AH$1001,0),MATCH(COLUMNS($AO$1006:BH1006),$AO$1006:$BQ$1006,0)), HYPERLINK("#",""), HYPERLINK(CONCATENATE("#Metadata!", ADDRESS(INDEX($AJ$2:$AJ$1001,MATCH(ROWS($AH$2:AH972),$AH$2:$AH$1001,0),0), INDEX($AO$1004:$BQ$1004,1,MATCH(COLUMNS($AO$1006:BH1006),$AO$1006:$BQ$1006,0)))),"Fix")))</f>
        <v>#N/A</v>
      </c>
      <c r="V972" s="5" t="e">
        <f ca="1">IF(OR(INDEX($AI$2:$AI$1001,MATCH(ROWS($AH$2:AH972),$AH$2:$AH$1001,0),1)&gt;=100000,INDEX($AO$1005:$BQ$1005,1,MATCH(COLUMNS($AO$1006:BI1006),$AO$1006:$BQ$1006,0))&gt;=100000), " ",IF(INDEX($AO$2:$BQ$1001,MATCH(ROWS($AH$2:AH972),$AH$2:$AH$1001,0),MATCH(COLUMNS($AO$1006:BI1006),$AO$1006:$BQ$1006,0)), HYPERLINK("#",""), HYPERLINK(CONCATENATE("#Metadata!", ADDRESS(INDEX($AJ$2:$AJ$1001,MATCH(ROWS($AH$2:AH972),$AH$2:$AH$1001,0),0), INDEX($AO$1004:$BQ$1004,1,MATCH(COLUMNS($AO$1006:BI1006),$AO$1006:$BQ$1006,0)))),"Fix")))</f>
        <v>#N/A</v>
      </c>
      <c r="W972" s="5" t="e">
        <f ca="1">IF(OR(INDEX($AI$2:$AI$1001,MATCH(ROWS($AH$2:AH972),$AH$2:$AH$1001,0),1)&gt;=100000,INDEX($AO$1005:$BQ$1005,1,MATCH(COLUMNS($AO$1006:BJ1006),$AO$1006:$BQ$1006,0))&gt;=100000), " ",IF(INDEX($AO$2:$BQ$1001,MATCH(ROWS($AH$2:AH972),$AH$2:$AH$1001,0),MATCH(COLUMNS($AO$1006:BJ1006),$AO$1006:$BQ$1006,0)), HYPERLINK("#",""), HYPERLINK(CONCATENATE("#Metadata!", ADDRESS(INDEX($AJ$2:$AJ$1001,MATCH(ROWS($AH$2:AH972),$AH$2:$AH$1001,0),0), INDEX($AO$1004:$BQ$1004,1,MATCH(COLUMNS($AO$1006:BJ1006),$AO$1006:$BQ$1006,0)))),"Fix")))</f>
        <v>#N/A</v>
      </c>
      <c r="X972" s="5" t="e">
        <f ca="1">IF(OR(INDEX($AI$2:$AI$1001,MATCH(ROWS($AH$2:AH972),$AH$2:$AH$1001,0),1)&gt;=100000,INDEX($AO$1005:$BQ$1005,1,MATCH(COLUMNS($AO$1006:BK1006),$AO$1006:$BQ$1006,0))&gt;=100000), " ",IF(INDEX($AO$2:$BQ$1001,MATCH(ROWS($AH$2:AH972),$AH$2:$AH$1001,0),MATCH(COLUMNS($AO$1006:BK1006),$AO$1006:$BQ$1006,0)), HYPERLINK("#",""), HYPERLINK(CONCATENATE("#Metadata!", ADDRESS(INDEX($AJ$2:$AJ$1001,MATCH(ROWS($AH$2:AH972),$AH$2:$AH$1001,0),0), INDEX($AO$1004:$BQ$1004,1,MATCH(COLUMNS($AO$1006:BK1006),$AO$1006:$BQ$1006,0)))),"Fix")))</f>
        <v>#N/A</v>
      </c>
      <c r="Y972" s="5" t="e">
        <f ca="1">IF(OR(INDEX($AI$2:$AI$1001,MATCH(ROWS($AH$2:AH972),$AH$2:$AH$1001,0),1)&gt;=100000,INDEX($AO$1005:$BQ$1005,1,MATCH(COLUMNS($AO$1006:BL1006),$AO$1006:$BQ$1006,0))&gt;=100000), " ",IF(INDEX($AO$2:$BQ$1001,MATCH(ROWS($AH$2:AH972),$AH$2:$AH$1001,0),MATCH(COLUMNS($AO$1006:BL1006),$AO$1006:$BQ$1006,0)), HYPERLINK("#",""), HYPERLINK(CONCATENATE("#Metadata!", ADDRESS(INDEX($AJ$2:$AJ$1001,MATCH(ROWS($AH$2:AH972),$AH$2:$AH$1001,0),0), INDEX($AO$1004:$BQ$1004,1,MATCH(COLUMNS($AO$1006:BL1006),$AO$1006:$BQ$1006,0)))),"Fix")))</f>
        <v>#N/A</v>
      </c>
      <c r="Z972" s="5" t="e">
        <f ca="1">IF(OR(INDEX($AI$2:$AI$1001,MATCH(ROWS($AH$2:AH972),$AH$2:$AH$1001,0),1)&gt;=100000,INDEX($AO$1005:$BQ$1005,1,MATCH(COLUMNS($AO$1006:BM1006),$AO$1006:$BQ$1006,0))&gt;=100000), " ",IF(INDEX($AO$2:$BQ$1001,MATCH(ROWS($AH$2:AH972),$AH$2:$AH$1001,0),MATCH(COLUMNS($AO$1006:BM1006),$AO$1006:$BQ$1006,0)), HYPERLINK("#",""), HYPERLINK(CONCATENATE("#Metadata!", ADDRESS(INDEX($AJ$2:$AJ$1001,MATCH(ROWS($AH$2:AH972),$AH$2:$AH$1001,0),0), INDEX($AO$1004:$BQ$1004,1,MATCH(COLUMNS($AO$1006:BM1006),$AO$1006:$BQ$1006,0)))),"Fix")))</f>
        <v>#N/A</v>
      </c>
      <c r="AA972" s="5" t="e">
        <f ca="1">IF(OR(INDEX($AI$2:$AI$1001,MATCH(ROWS($AH$2:AH972),$AH$2:$AH$1001,0),1)&gt;=100000,INDEX($AO$1005:$BQ$1005,1,MATCH(COLUMNS($AO$1006:BN1006),$AO$1006:$BQ$1006,0))&gt;=100000), " ",IF(INDEX($AO$2:$BQ$1001,MATCH(ROWS($AH$2:AH972),$AH$2:$AH$1001,0),MATCH(COLUMNS($AO$1006:BN1006),$AO$1006:$BQ$1006,0)), HYPERLINK("#",""), HYPERLINK(CONCATENATE("#Metadata!", ADDRESS(INDEX($AJ$2:$AJ$1001,MATCH(ROWS($AH$2:AH972),$AH$2:$AH$1001,0),0), INDEX($AO$1004:$BQ$1004,1,MATCH(COLUMNS($AO$1006:BN1006),$AO$1006:$BQ$1006,0)))),"Fix")))</f>
        <v>#N/A</v>
      </c>
      <c r="AB972" s="5" t="e">
        <f ca="1">IF(OR(INDEX($AI$2:$AI$1001,MATCH(ROWS($AH$2:AH972),$AH$2:$AH$1001,0),1)&gt;=100000,INDEX($AO$1005:$BQ$1005,1,MATCH(COLUMNS($AO$1006:BO1006),$AO$1006:$BQ$1006,0))&gt;=100000), " ",IF(INDEX($AO$2:$BQ$1001,MATCH(ROWS($AH$2:AH972),$AH$2:$AH$1001,0),MATCH(COLUMNS($AO$1006:BO1006),$AO$1006:$BQ$1006,0)), HYPERLINK("#",""), HYPERLINK(CONCATENATE("#Metadata!", ADDRESS(INDEX($AJ$2:$AJ$1001,MATCH(ROWS($AH$2:AH972),$AH$2:$AH$1001,0),0), INDEX($AO$1004:$BQ$1004,1,MATCH(COLUMNS($AO$1006:BO1006),$AO$1006:$BQ$1006,0)))),"Fix")))</f>
        <v>#N/A</v>
      </c>
      <c r="AC972" s="5" t="e">
        <f ca="1">IF(OR(INDEX($AI$2:$AI$1001,MATCH(ROWS($AH$2:AH972),$AH$2:$AH$1001,0),1)&gt;=100000,INDEX($AO$1005:$BQ$1005,1,MATCH(COLUMNS($AO$1006:BP1006),$AO$1006:$BQ$1006,0))&gt;=100000), " ",IF(INDEX($AO$2:$BQ$1001,MATCH(ROWS($AH$2:AH972),$AH$2:$AH$1001,0),MATCH(COLUMNS($AO$1006:BP1006),$AO$1006:$BQ$1006,0)), HYPERLINK("#",""), HYPERLINK(CONCATENATE("#Metadata!", ADDRESS(INDEX($AJ$2:$AJ$1001,MATCH(ROWS($AH$2:AH972),$AH$2:$AH$1001,0),0), INDEX($AO$1004:$BQ$1004,1,MATCH(COLUMNS($AO$1006:BP1006),$AO$1006:$BQ$1006,0)))),"Fix")))</f>
        <v>#N/A</v>
      </c>
      <c r="AD972" s="5" t="e">
        <f ca="1">IF(OR(INDEX($AI$2:$AI$1001,MATCH(ROWS($AH$2:AH972),$AH$2:$AH$1001,0),1)&gt;=100000,INDEX($AO$1005:$BQ$1005,1,MATCH(COLUMNS($AO$1006:BQ1006),$AO$1006:$BQ$1006,0))&gt;=100000), " ",IF(INDEX($AO$2:$BQ$1001,MATCH(ROWS($AH$2:AH972),$AH$2:$AH$1001,0),MATCH(COLUMNS($AO$1006:BQ1006),$AO$1006:$BQ$1006,0)), HYPERLINK("#",""), HYPERLINK(CONCATENATE("#Metadata!", ADDRESS(INDEX($AJ$2:$AJ$1001,MATCH(ROWS($AH$2:AH972),$AH$2:$AH$1001,0),0), INDEX($AO$1004:$BQ$1004,1,MATCH(COLUMNS($AO$1006:BQ1006),$AO$1006:$BQ$1006,0)))),"Fix")))</f>
        <v>#REF!</v>
      </c>
      <c r="AH972">
        <f ca="1"/>
        <v>969</v>
      </c>
      <c r="AI972">
        <v>100972</v>
      </c>
      <c r="AJ972">
        <v>972</v>
      </c>
      <c r="AK972" t="b">
        <f t="shared" si="15"/>
        <v>1</v>
      </c>
      <c r="AL972" t="b">
        <f>COUNTBLANK(Metadata!B972:AD972)=COLUMNS(Metadata!B972:AD972)</f>
        <v>1</v>
      </c>
      <c r="AM972" t="str">
        <v/>
      </c>
      <c r="AO972" t="b">
        <f ca="1">AND(IF(Metadata!B972="",FALSE,TRUE),COUNTIF(Metadata!B:B, Metadata!B972) = 1,NOT(ISERROR(SUMPRODUCT(SEARCH(MID(Metadata!B972,ROW(INDIRECT("1:"&amp;LEN(Metadata!B972))), 1),"0123456789abcdefghijklmnopqrstuvwxyzABCDEFGHIJKLMNOPQRSTUVWXYZ.")))))</f>
        <v>0</v>
      </c>
      <c r="AP972" t="b">
        <f>IF(Metadata!C972="",FALSE,TRUE)</f>
        <v>0</v>
      </c>
      <c r="AQ972" t="b">
        <f>IF(Metadata!D972="",FALSE,TRUE)</f>
        <v>0</v>
      </c>
      <c r="AR972" t="b">
        <f ca="1">OR(AND(IF(Metadata!E972="",FALSE,TRUE),OR(EXACT(Metadata!E972,"not collected"),EXACT(Metadata!E972,"not provided"),EXACT(Metadata!E972,"restricted access"))),AND(IF(Metadata!E972="",FALSE,TRUE),AND(AND(IFERROR(INT(LEFT(Metadata!E972,4))&gt;1900,FALSE),IFERROR(INT(LEFT(Metadata!E972,4))&lt;=YEAR(NOW()),FALSE)), OR(MID(Metadata!E972,5,1)="", AND(AND(MID(Metadata!E972,5,1)="-",IFERROR(INT(MID(Metadata!E972,6,1))&gt;=0,FALSE),IFERROR(INT(MID(Metadata!E972,6,1))&lt;=1,FALSE),NOT(MID(Metadata!E972,7,1)=""),IFERROR(INT(MID(Metadata!E972,6,2))&gt;=1,FALSE),IFERROR(INT(MID(Metadata!E972,6,2))&lt;=12,FALSE)), OR(MID(Metadata!E972,8,1)="", AND(AND(MID(Metadata!E972,8,1)="-",IFERROR(INT(MID(Metadata!E972,9,1))&gt;=0,FALSE),IFERROR(INT(MID(Metadata!E972,9,1))&lt;=3,FALSE),NOT(MID(Metadata!E972,10,1)=""),IFERROR(INT(MID(Metadata!E972,9,2))&gt;=1,FALSE),IFERROR(INT(MID(Metadata!E972,9,2))&lt;=31,FALSE)), OR(MID(Metadata!E972,11,1)="", AND(AND(MID(Metadata!E972,11,1)=" ",IFERROR(INT(MID(Metadata!E972,12,1))&gt;=0,FALSE),IFERROR(INT(MID(Metadata!E972,12,1))&lt;=2,FALSE),NOT(MID(Metadata!E972,13,1)=""),IFERROR(INT(MID(Metadata!E972,12,2))&gt;=0,FALSE),IFERROR(INT(MID(Metadata!E972,12,2))&lt;=23,FALSE)), OR(MID(Metadata!E972,14,1)="", AND(AND(MID(Metadata!E972,14,1)=":",IFERROR(INT(MID(Metadata!E972,15,1))&gt;=0,FALSE),IFERROR(INT(MID(Metadata!E972,15,1))&lt;=5,FALSE),NOT(MID(Metadata!E972,16,1)=""),IFERROR(INT(MID(Metadata!E972,15,2))&gt;=0,FALSE),IFERROR(INT(MID(Metadata!E972,15,2))&lt;=59,FALSE)), OR(MID(Metadata!E972,17,1)="", AND(AND(MID(Metadata!E972,17,1)=":",IFERROR(INT(MID(Metadata!E972,18,1))&gt;=0,FALSE),IFERROR(INT(MID(Metadata!E972,18,1))&lt;=5,FALSE),NOT(MID(Metadata!E972,19,1)=""),IFERROR(INT(MID(Metadata!E972,18,2))&gt;=0,FALSE),IFERROR(INT(MID(Metadata!E972,18,2))&lt;=59,FALSE)), LEN(Metadata!E972)&lt;=19)))))))))))))</f>
        <v>0</v>
      </c>
      <c r="AS972" t="b">
        <f>IF(Metadata!F972="",FALSE,TRUE)</f>
        <v>0</v>
      </c>
      <c r="AT972" t="b">
        <f>OR(AND(IF(Metadata!G972="",FALSE,TRUE),OR(EXACT(Metadata!G972,"not collected"),EXACT(Metadata!G972,"not provided"))),AND(IF(Metadata!G972="",FALSE,TRUE),OR(EXACT(Metadata!G972,"TRUE"),EXACT(Metadata!G972,"FALSE"))))</f>
        <v>0</v>
      </c>
      <c r="AU972" t="b">
        <f>OR(AND(IF(Metadata!H972="",FALSE,TRUE),OR(EXACT(Metadata!H972,"not collected"),EXACT(Metadata!H972,"not provided"),EXACT(Metadata!H972,"restricted access"))),AND(IF(Metadata!H972="",FALSE,ISNUMBER(VALUE(Metadata!H972))),Metadata!H972&gt;=-413))</f>
        <v>0</v>
      </c>
      <c r="AV972" t="b">
        <f>AND(IF(Metadata!I972="",FALSE,TRUE),EXACT(Metadata!I972,"meters"))</f>
        <v>0</v>
      </c>
      <c r="AW972" t="b">
        <f>AND(IF(Metadata!J972="",FALSE,TRUE),EXACT(Metadata!J972,"free-living"))</f>
        <v>0</v>
      </c>
      <c r="AX972" t="b">
        <f>AND(IF(Metadata!K972="",FALSE,TRUE),OR(EXACT(Metadata!K972,"saline"),EXACT(Metadata!K972,"non-saline")))</f>
        <v>0</v>
      </c>
      <c r="AY972" t="b">
        <f>AND(IF(Metadata!L972="",FALSE,TRUE),OR(EXACT(Metadata!L972,"sub-surface (non-saline)"),EXACT(Metadata!L972,"surface (non-saline)"),EXACT(Metadata!L972,"water (non-saline)"),EXACT(Metadata!L972,"soil (non-saline)"),EXACT(Metadata!L972,"aerosol (non-saline)"),EXACT(Metadata!L972,"sediment (non-saline)"),EXACT(Metadata!L972,"surface (saline)"),EXACT(Metadata!L972,"water (saline)"),EXACT(Metadata!L972,"hypersaline (saline)"),EXACT(Metadata!L972,"aerosol (saline)"),EXACT(Metadata!L972,"sediment (saline)")))</f>
        <v>0</v>
      </c>
      <c r="AZ972" t="b">
        <f>IF(Metadata!M972="",FALSE,TRUE)</f>
        <v>0</v>
      </c>
      <c r="BA972" t="b">
        <f>IF(Metadata!N972="",FALSE,TRUE)</f>
        <v>0</v>
      </c>
      <c r="BB972" t="b">
        <f>IF(Metadata!O972="",FALSE,TRUE)</f>
        <v>0</v>
      </c>
      <c r="BC972" t="b">
        <f>AND(IF(Metadata!P972="",FALSE,TRUE),OR(EXACT(Metadata!P972,"air"),EXACT(Metadata!P972,"microbial mat/biofilm"),EXACT(Metadata!P972,"misc environment"),EXACT(Metadata!P972,"sediment"),EXACT(Metadata!P972,"soil"),EXACT(Metadata!P972,"wastewater/sludge"),EXACT(Metadata!P972,"water")))</f>
        <v>0</v>
      </c>
      <c r="BD972" t="b">
        <f>IF(Metadata!Q972="",FALSE,TRUE)</f>
        <v>0</v>
      </c>
      <c r="BE972" t="b">
        <f>IF(Metadata!R972="",FALSE,TRUE)</f>
        <v>0</v>
      </c>
      <c r="BF972" t="b">
        <f>OR(AND(IF(Metadata!S972="",FALSE,TRUE),OR(EXACT(Metadata!S972,"not collected"),EXACT(Metadata!S972,"not provided"),EXACT(Metadata!S972,"restricted access"))),AND(IF(Metadata!S972="",FALSE,ISNUMBER(VALUE(Metadata!S972))),Metadata!S972&gt;=-90,Metadata!S972&lt;=90))</f>
        <v>0</v>
      </c>
      <c r="BG972" t="b">
        <f>AND(IF(Metadata!T972="",FALSE,TRUE),EXACT(Metadata!T972,"Decimal degrees"))</f>
        <v>0</v>
      </c>
      <c r="BH972" t="b">
        <f>OR(AND(IF(Metadata!U972="",FALSE,TRUE),OR(EXACT(Metadata!U972,"not applicable"),EXACT(Metadata!U972,"not collected"))),IF(Metadata!U972="",FALSE,TRUE))</f>
        <v>0</v>
      </c>
      <c r="BI972" t="b">
        <f>OR(AND(IF(Metadata!V972="",FALSE,TRUE),OR(EXACT(Metadata!V972,"not collected"),EXACT(Metadata!V972,"not provided"),EXACT(Metadata!V972,"restricted access"))),AND(IF(Metadata!V972="",FALSE,ISNUMBER(VALUE(Metadata!V972))),Metadata!V972&gt;=-180,Metadata!V972&lt;=180))</f>
        <v>0</v>
      </c>
      <c r="BJ972" t="b">
        <f>AND(IF(Metadata!W972="",FALSE,TRUE),EXACT(Metadata!W972,"Decimal degrees"))</f>
        <v>0</v>
      </c>
      <c r="BK972" t="b">
        <f>IF(Metadata!X972="",FALSE,TRUE)</f>
        <v>0</v>
      </c>
      <c r="BL972" t="b">
        <f>OR(AND(IF(Metadata!Y972="",FALSE,TRUE),OR(EXACT(Metadata!Y972,"not collected"),EXACT(Metadata!Y972,"not provided"),EXACT(Metadata!Y972,"restricted access"))),AND(IF(Metadata!Y972="",FALSE,TRUE),OR(EXACT(Metadata!Y972,"TRUE"),EXACT(Metadata!Y972,"FALSE"))))</f>
        <v>0</v>
      </c>
      <c r="BM972" t="b">
        <f>OR(AND(IF(Metadata!Z972="",FALSE,TRUE),EXACT(Metadata!Z972,"not applicable")),AND(IF(Metadata!Z972="",FALSE,TRUE),OR(EXACT(Metadata!Z972,"beer"),EXACT(Metadata!Z972,"cheese"),EXACT(Metadata!Z972,"fresh water"),EXACT(Metadata!Z972,"marine sediment"),EXACT(Metadata!Z972,"sea water"),EXACT(Metadata!Z972,"sediment"),EXACT(Metadata!Z972,"soil"),EXACT(Metadata!Z972,"waste water"))))</f>
        <v>0</v>
      </c>
      <c r="BN972" t="b">
        <f>AND(IF(Metadata!AA972="",FALSE,TRUE),EXACT(Metadata!AA972,"metagenome"))</f>
        <v>0</v>
      </c>
      <c r="BO972" t="b">
        <f>AND(IF(Metadata!AB972="",FALSE,TRUE),EXACT(Metadata!AB972,"256318"))</f>
        <v>0</v>
      </c>
      <c r="BP972" t="b">
        <f>IF(Metadata!AC972="",FALSE,TRUE)</f>
        <v>0</v>
      </c>
      <c r="BQ972" t="b">
        <f>IF(Metadata!AD972="",FALSE,TRUE)</f>
        <v>0</v>
      </c>
    </row>
    <row r="973" spans="1:69" x14ac:dyDescent="0.2">
      <c r="A973" s="4" t="e">
        <f ca="1">IF(B973=" "," ",HYPERLINK(CONCATENATE("#metadata!",ADDRESS(INDEX($AJ$2:$AJ$1001,MATCH(ROWS($AH$2:AH973),$AH$2:$AH$1001,0),0),2)),INDEX($AM$2:$AM$1001,MATCH(ROWS($AH$2:AH973),$AH$2:$AH$1001,0),0)))</f>
        <v>#N/A</v>
      </c>
      <c r="B973" s="5" t="e">
        <f ca="1">IF(OR(INDEX($AI$2:$AI$1001,MATCH(ROWS($AH$2:AH973),$AH$2:$AH$1001,0),1)&gt;=100000,INDEX($AO$1005:$BQ$1005,1,MATCH(COLUMNS($AO$1006:AO1006),$AO$1006:$BQ$1006,0))&gt;=100000), " ",IF(INDEX($AO$2:$BQ$1001,MATCH(ROWS($AH$2:AH973),$AH$2:$AH$1001,0),MATCH(COLUMNS($AO$1006:AO1006),$AO$1006:$BQ$1006,0)), HYPERLINK("#",""), HYPERLINK(CONCATENATE("#Metadata!", ADDRESS(INDEX($AJ$2:$AJ$1001,MATCH(ROWS($AH$2:AH973),$AH$2:$AH$1001,0),0), INDEX($AO$1004:$BQ$1004,1,MATCH(COLUMNS($AO$1006:AO1006),$AO$1006:$BQ$1006,0)))),"Fix")))</f>
        <v>#N/A</v>
      </c>
      <c r="C973" s="5" t="e">
        <f ca="1">IF(OR(INDEX($AI$2:$AI$1001,MATCH(ROWS($AH$2:AH973),$AH$2:$AH$1001,0),1)&gt;=100000,INDEX($AO$1005:$BQ$1005,1,MATCH(COLUMNS($AO$1006:AP1006),$AO$1006:$BQ$1006,0))&gt;=100000), " ",IF(INDEX($AO$2:$BQ$1001,MATCH(ROWS($AH$2:AH973),$AH$2:$AH$1001,0),MATCH(COLUMNS($AO$1006:AP1006),$AO$1006:$BQ$1006,0)), HYPERLINK("#",""), HYPERLINK(CONCATENATE("#Metadata!", ADDRESS(INDEX($AJ$2:$AJ$1001,MATCH(ROWS($AH$2:AH973),$AH$2:$AH$1001,0),0), INDEX($AO$1004:$BQ$1004,1,MATCH(COLUMNS($AO$1006:AP1006),$AO$1006:$BQ$1006,0)))),"Fix")))</f>
        <v>#N/A</v>
      </c>
      <c r="D973" s="5" t="e">
        <f ca="1">IF(OR(INDEX($AI$2:$AI$1001,MATCH(ROWS($AH$2:AH973),$AH$2:$AH$1001,0),1)&gt;=100000,INDEX($AO$1005:$BQ$1005,1,MATCH(COLUMNS($AO$1006:AQ1006),$AO$1006:$BQ$1006,0))&gt;=100000), " ",IF(INDEX($AO$2:$BQ$1001,MATCH(ROWS($AH$2:AH973),$AH$2:$AH$1001,0),MATCH(COLUMNS($AO$1006:AQ1006),$AO$1006:$BQ$1006,0)), HYPERLINK("#",""), HYPERLINK(CONCATENATE("#Metadata!", ADDRESS(INDEX($AJ$2:$AJ$1001,MATCH(ROWS($AH$2:AH973),$AH$2:$AH$1001,0),0), INDEX($AO$1004:$BQ$1004,1,MATCH(COLUMNS($AO$1006:AQ1006),$AO$1006:$BQ$1006,0)))),"Fix")))</f>
        <v>#N/A</v>
      </c>
      <c r="E973" s="5" t="e">
        <f ca="1">IF(OR(INDEX($AI$2:$AI$1001,MATCH(ROWS($AH$2:AH973),$AH$2:$AH$1001,0),1)&gt;=100000,INDEX($AO$1005:$BQ$1005,1,MATCH(COLUMNS($AO$1006:AR1006),$AO$1006:$BQ$1006,0))&gt;=100000), " ",IF(INDEX($AO$2:$BQ$1001,MATCH(ROWS($AH$2:AH973),$AH$2:$AH$1001,0),MATCH(COLUMNS($AO$1006:AR1006),$AO$1006:$BQ$1006,0)), HYPERLINK("#",""), HYPERLINK(CONCATENATE("#Metadata!", ADDRESS(INDEX($AJ$2:$AJ$1001,MATCH(ROWS($AH$2:AH973),$AH$2:$AH$1001,0),0), INDEX($AO$1004:$BQ$1004,1,MATCH(COLUMNS($AO$1006:AR1006),$AO$1006:$BQ$1006,0)))),"Fix")))</f>
        <v>#N/A</v>
      </c>
      <c r="F973" s="5" t="e">
        <f ca="1">IF(OR(INDEX($AI$2:$AI$1001,MATCH(ROWS($AH$2:AH973),$AH$2:$AH$1001,0),1)&gt;=100000,INDEX($AO$1005:$BQ$1005,1,MATCH(COLUMNS($AO$1006:AS1006),$AO$1006:$BQ$1006,0))&gt;=100000), " ",IF(INDEX($AO$2:$BQ$1001,MATCH(ROWS($AH$2:AH973),$AH$2:$AH$1001,0),MATCH(COLUMNS($AO$1006:AS1006),$AO$1006:$BQ$1006,0)), HYPERLINK("#",""), HYPERLINK(CONCATENATE("#Metadata!", ADDRESS(INDEX($AJ$2:$AJ$1001,MATCH(ROWS($AH$2:AH973),$AH$2:$AH$1001,0),0), INDEX($AO$1004:$BQ$1004,1,MATCH(COLUMNS($AO$1006:AS1006),$AO$1006:$BQ$1006,0)))),"Fix")))</f>
        <v>#N/A</v>
      </c>
      <c r="G973" s="5" t="e">
        <f ca="1">IF(OR(INDEX($AI$2:$AI$1001,MATCH(ROWS($AH$2:AH973),$AH$2:$AH$1001,0),1)&gt;=100000,INDEX($AO$1005:$BQ$1005,1,MATCH(COLUMNS($AO$1006:AT1006),$AO$1006:$BQ$1006,0))&gt;=100000), " ",IF(INDEX($AO$2:$BQ$1001,MATCH(ROWS($AH$2:AH973),$AH$2:$AH$1001,0),MATCH(COLUMNS($AO$1006:AT1006),$AO$1006:$BQ$1006,0)), HYPERLINK("#",""), HYPERLINK(CONCATENATE("#Metadata!", ADDRESS(INDEX($AJ$2:$AJ$1001,MATCH(ROWS($AH$2:AH973),$AH$2:$AH$1001,0),0), INDEX($AO$1004:$BQ$1004,1,MATCH(COLUMNS($AO$1006:AT1006),$AO$1006:$BQ$1006,0)))),"Fix")))</f>
        <v>#N/A</v>
      </c>
      <c r="H973" s="5" t="e">
        <f ca="1">IF(OR(INDEX($AI$2:$AI$1001,MATCH(ROWS($AH$2:AH973),$AH$2:$AH$1001,0),1)&gt;=100000,INDEX($AO$1005:$BQ$1005,1,MATCH(COLUMNS($AO$1006:AU1006),$AO$1006:$BQ$1006,0))&gt;=100000), " ",IF(INDEX($AO$2:$BQ$1001,MATCH(ROWS($AH$2:AH973),$AH$2:$AH$1001,0),MATCH(COLUMNS($AO$1006:AU1006),$AO$1006:$BQ$1006,0)), HYPERLINK("#",""), HYPERLINK(CONCATENATE("#Metadata!", ADDRESS(INDEX($AJ$2:$AJ$1001,MATCH(ROWS($AH$2:AH973),$AH$2:$AH$1001,0),0), INDEX($AO$1004:$BQ$1004,1,MATCH(COLUMNS($AO$1006:AU1006),$AO$1006:$BQ$1006,0)))),"Fix")))</f>
        <v>#N/A</v>
      </c>
      <c r="I973" s="5" t="e">
        <f ca="1">IF(OR(INDEX($AI$2:$AI$1001,MATCH(ROWS($AH$2:AH973),$AH$2:$AH$1001,0),1)&gt;=100000,INDEX($AO$1005:$BQ$1005,1,MATCH(COLUMNS($AO$1006:AV1006),$AO$1006:$BQ$1006,0))&gt;=100000), " ",IF(INDEX($AO$2:$BQ$1001,MATCH(ROWS($AH$2:AH973),$AH$2:$AH$1001,0),MATCH(COLUMNS($AO$1006:AV1006),$AO$1006:$BQ$1006,0)), HYPERLINK("#",""), HYPERLINK(CONCATENATE("#Metadata!", ADDRESS(INDEX($AJ$2:$AJ$1001,MATCH(ROWS($AH$2:AH973),$AH$2:$AH$1001,0),0), INDEX($AO$1004:$BQ$1004,1,MATCH(COLUMNS($AO$1006:AV1006),$AO$1006:$BQ$1006,0)))),"Fix")))</f>
        <v>#N/A</v>
      </c>
      <c r="J973" s="5" t="e">
        <f ca="1">IF(OR(INDEX($AI$2:$AI$1001,MATCH(ROWS($AH$2:AH973),$AH$2:$AH$1001,0),1)&gt;=100000,INDEX($AO$1005:$BQ$1005,1,MATCH(COLUMNS($AO$1006:AW1006),$AO$1006:$BQ$1006,0))&gt;=100000), " ",IF(INDEX($AO$2:$BQ$1001,MATCH(ROWS($AH$2:AH973),$AH$2:$AH$1001,0),MATCH(COLUMNS($AO$1006:AW1006),$AO$1006:$BQ$1006,0)), HYPERLINK("#",""), HYPERLINK(CONCATENATE("#Metadata!", ADDRESS(INDEX($AJ$2:$AJ$1001,MATCH(ROWS($AH$2:AH973),$AH$2:$AH$1001,0),0), INDEX($AO$1004:$BQ$1004,1,MATCH(COLUMNS($AO$1006:AW1006),$AO$1006:$BQ$1006,0)))),"Fix")))</f>
        <v>#N/A</v>
      </c>
      <c r="K973" s="5" t="e">
        <f ca="1">IF(OR(INDEX($AI$2:$AI$1001,MATCH(ROWS($AH$2:AH973),$AH$2:$AH$1001,0),1)&gt;=100000,INDEX($AO$1005:$BQ$1005,1,MATCH(COLUMNS($AO$1006:AX1006),$AO$1006:$BQ$1006,0))&gt;=100000), " ",IF(INDEX($AO$2:$BQ$1001,MATCH(ROWS($AH$2:AH973),$AH$2:$AH$1001,0),MATCH(COLUMNS($AO$1006:AX1006),$AO$1006:$BQ$1006,0)), HYPERLINK("#",""), HYPERLINK(CONCATENATE("#Metadata!", ADDRESS(INDEX($AJ$2:$AJ$1001,MATCH(ROWS($AH$2:AH973),$AH$2:$AH$1001,0),0), INDEX($AO$1004:$BQ$1004,1,MATCH(COLUMNS($AO$1006:AX1006),$AO$1006:$BQ$1006,0)))),"Fix")))</f>
        <v>#N/A</v>
      </c>
      <c r="L973" s="5" t="e">
        <f ca="1">IF(OR(INDEX($AI$2:$AI$1001,MATCH(ROWS($AH$2:AH973),$AH$2:$AH$1001,0),1)&gt;=100000,INDEX($AO$1005:$BQ$1005,1,MATCH(COLUMNS($AO$1006:AY1006),$AO$1006:$BQ$1006,0))&gt;=100000), " ",IF(INDEX($AO$2:$BQ$1001,MATCH(ROWS($AH$2:AH973),$AH$2:$AH$1001,0),MATCH(COLUMNS($AO$1006:AY1006),$AO$1006:$BQ$1006,0)), HYPERLINK("#",""), HYPERLINK(CONCATENATE("#Metadata!", ADDRESS(INDEX($AJ$2:$AJ$1001,MATCH(ROWS($AH$2:AH973),$AH$2:$AH$1001,0),0), INDEX($AO$1004:$BQ$1004,1,MATCH(COLUMNS($AO$1006:AY1006),$AO$1006:$BQ$1006,0)))),"Fix")))</f>
        <v>#N/A</v>
      </c>
      <c r="M973" s="5" t="e">
        <f ca="1">IF(OR(INDEX($AI$2:$AI$1001,MATCH(ROWS($AH$2:AH973),$AH$2:$AH$1001,0),1)&gt;=100000,INDEX($AO$1005:$BQ$1005,1,MATCH(COLUMNS($AO$1006:AZ1006),$AO$1006:$BQ$1006,0))&gt;=100000), " ",IF(INDEX($AO$2:$BQ$1001,MATCH(ROWS($AH$2:AH973),$AH$2:$AH$1001,0),MATCH(COLUMNS($AO$1006:AZ1006),$AO$1006:$BQ$1006,0)), HYPERLINK("#",""), HYPERLINK(CONCATENATE("#Metadata!", ADDRESS(INDEX($AJ$2:$AJ$1001,MATCH(ROWS($AH$2:AH973),$AH$2:$AH$1001,0),0), INDEX($AO$1004:$BQ$1004,1,MATCH(COLUMNS($AO$1006:AZ1006),$AO$1006:$BQ$1006,0)))),"Fix")))</f>
        <v>#N/A</v>
      </c>
      <c r="N973" s="5" t="e">
        <f ca="1">IF(OR(INDEX($AI$2:$AI$1001,MATCH(ROWS($AH$2:AH973),$AH$2:$AH$1001,0),1)&gt;=100000,INDEX($AO$1005:$BQ$1005,1,MATCH(COLUMNS($AO$1006:BA1006),$AO$1006:$BQ$1006,0))&gt;=100000), " ",IF(INDEX($AO$2:$BQ$1001,MATCH(ROWS($AH$2:AH973),$AH$2:$AH$1001,0),MATCH(COLUMNS($AO$1006:BA1006),$AO$1006:$BQ$1006,0)), HYPERLINK("#",""), HYPERLINK(CONCATENATE("#Metadata!", ADDRESS(INDEX($AJ$2:$AJ$1001,MATCH(ROWS($AH$2:AH973),$AH$2:$AH$1001,0),0), INDEX($AO$1004:$BQ$1004,1,MATCH(COLUMNS($AO$1006:BA1006),$AO$1006:$BQ$1006,0)))),"Fix")))</f>
        <v>#N/A</v>
      </c>
      <c r="O973" s="5" t="e">
        <f ca="1">IF(OR(INDEX($AI$2:$AI$1001,MATCH(ROWS($AH$2:AH973),$AH$2:$AH$1001,0),1)&gt;=100000,INDEX($AO$1005:$BQ$1005,1,MATCH(COLUMNS($AO$1006:BB1006),$AO$1006:$BQ$1006,0))&gt;=100000), " ",IF(INDEX($AO$2:$BQ$1001,MATCH(ROWS($AH$2:AH973),$AH$2:$AH$1001,0),MATCH(COLUMNS($AO$1006:BB1006),$AO$1006:$BQ$1006,0)), HYPERLINK("#",""), HYPERLINK(CONCATENATE("#Metadata!", ADDRESS(INDEX($AJ$2:$AJ$1001,MATCH(ROWS($AH$2:AH973),$AH$2:$AH$1001,0),0), INDEX($AO$1004:$BQ$1004,1,MATCH(COLUMNS($AO$1006:BB1006),$AO$1006:$BQ$1006,0)))),"Fix")))</f>
        <v>#N/A</v>
      </c>
      <c r="P973" s="5" t="e">
        <f ca="1">IF(OR(INDEX($AI$2:$AI$1001,MATCH(ROWS($AH$2:AH973),$AH$2:$AH$1001,0),1)&gt;=100000,INDEX($AO$1005:$BQ$1005,1,MATCH(COLUMNS($AO$1006:BC1006),$AO$1006:$BQ$1006,0))&gt;=100000), " ",IF(INDEX($AO$2:$BQ$1001,MATCH(ROWS($AH$2:AH973),$AH$2:$AH$1001,0),MATCH(COLUMNS($AO$1006:BC1006),$AO$1006:$BQ$1006,0)), HYPERLINK("#",""), HYPERLINK(CONCATENATE("#Metadata!", ADDRESS(INDEX($AJ$2:$AJ$1001,MATCH(ROWS($AH$2:AH973),$AH$2:$AH$1001,0),0), INDEX($AO$1004:$BQ$1004,1,MATCH(COLUMNS($AO$1006:BC1006),$AO$1006:$BQ$1006,0)))),"Fix")))</f>
        <v>#N/A</v>
      </c>
      <c r="Q973" s="5" t="e">
        <f ca="1">IF(OR(INDEX($AI$2:$AI$1001,MATCH(ROWS($AH$2:AH973),$AH$2:$AH$1001,0),1)&gt;=100000,INDEX($AO$1005:$BQ$1005,1,MATCH(COLUMNS($AO$1006:BD1006),$AO$1006:$BQ$1006,0))&gt;=100000), " ",IF(INDEX($AO$2:$BQ$1001,MATCH(ROWS($AH$2:AH973),$AH$2:$AH$1001,0),MATCH(COLUMNS($AO$1006:BD1006),$AO$1006:$BQ$1006,0)), HYPERLINK("#",""), HYPERLINK(CONCATENATE("#Metadata!", ADDRESS(INDEX($AJ$2:$AJ$1001,MATCH(ROWS($AH$2:AH973),$AH$2:$AH$1001,0),0), INDEX($AO$1004:$BQ$1004,1,MATCH(COLUMNS($AO$1006:BD1006),$AO$1006:$BQ$1006,0)))),"Fix")))</f>
        <v>#N/A</v>
      </c>
      <c r="R973" s="5" t="e">
        <f ca="1">IF(OR(INDEX($AI$2:$AI$1001,MATCH(ROWS($AH$2:AH973),$AH$2:$AH$1001,0),1)&gt;=100000,INDEX($AO$1005:$BQ$1005,1,MATCH(COLUMNS($AO$1006:BE1006),$AO$1006:$BQ$1006,0))&gt;=100000), " ",IF(INDEX($AO$2:$BQ$1001,MATCH(ROWS($AH$2:AH973),$AH$2:$AH$1001,0),MATCH(COLUMNS($AO$1006:BE1006),$AO$1006:$BQ$1006,0)), HYPERLINK("#",""), HYPERLINK(CONCATENATE("#Metadata!", ADDRESS(INDEX($AJ$2:$AJ$1001,MATCH(ROWS($AH$2:AH973),$AH$2:$AH$1001,0),0), INDEX($AO$1004:$BQ$1004,1,MATCH(COLUMNS($AO$1006:BE1006),$AO$1006:$BQ$1006,0)))),"Fix")))</f>
        <v>#N/A</v>
      </c>
      <c r="S973" s="5" t="e">
        <f ca="1">IF(OR(INDEX($AI$2:$AI$1001,MATCH(ROWS($AH$2:AH973),$AH$2:$AH$1001,0),1)&gt;=100000,INDEX($AO$1005:$BQ$1005,1,MATCH(COLUMNS($AO$1006:BF1006),$AO$1006:$BQ$1006,0))&gt;=100000), " ",IF(INDEX($AO$2:$BQ$1001,MATCH(ROWS($AH$2:AH973),$AH$2:$AH$1001,0),MATCH(COLUMNS($AO$1006:BF1006),$AO$1006:$BQ$1006,0)), HYPERLINK("#",""), HYPERLINK(CONCATENATE("#Metadata!", ADDRESS(INDEX($AJ$2:$AJ$1001,MATCH(ROWS($AH$2:AH973),$AH$2:$AH$1001,0),0), INDEX($AO$1004:$BQ$1004,1,MATCH(COLUMNS($AO$1006:BF1006),$AO$1006:$BQ$1006,0)))),"Fix")))</f>
        <v>#N/A</v>
      </c>
      <c r="T973" s="5" t="e">
        <f ca="1">IF(OR(INDEX($AI$2:$AI$1001,MATCH(ROWS($AH$2:AH973),$AH$2:$AH$1001,0),1)&gt;=100000,INDEX($AO$1005:$BQ$1005,1,MATCH(COLUMNS($AO$1006:BG1006),$AO$1006:$BQ$1006,0))&gt;=100000), " ",IF(INDEX($AO$2:$BQ$1001,MATCH(ROWS($AH$2:AH973),$AH$2:$AH$1001,0),MATCH(COLUMNS($AO$1006:BG1006),$AO$1006:$BQ$1006,0)), HYPERLINK("#",""), HYPERLINK(CONCATENATE("#Metadata!", ADDRESS(INDEX($AJ$2:$AJ$1001,MATCH(ROWS($AH$2:AH973),$AH$2:$AH$1001,0),0), INDEX($AO$1004:$BQ$1004,1,MATCH(COLUMNS($AO$1006:BG1006),$AO$1006:$BQ$1006,0)))),"Fix")))</f>
        <v>#N/A</v>
      </c>
      <c r="U973" s="5" t="e">
        <f ca="1">IF(OR(INDEX($AI$2:$AI$1001,MATCH(ROWS($AH$2:AH973),$AH$2:$AH$1001,0),1)&gt;=100000,INDEX($AO$1005:$BQ$1005,1,MATCH(COLUMNS($AO$1006:BH1006),$AO$1006:$BQ$1006,0))&gt;=100000), " ",IF(INDEX($AO$2:$BQ$1001,MATCH(ROWS($AH$2:AH973),$AH$2:$AH$1001,0),MATCH(COLUMNS($AO$1006:BH1006),$AO$1006:$BQ$1006,0)), HYPERLINK("#",""), HYPERLINK(CONCATENATE("#Metadata!", ADDRESS(INDEX($AJ$2:$AJ$1001,MATCH(ROWS($AH$2:AH973),$AH$2:$AH$1001,0),0), INDEX($AO$1004:$BQ$1004,1,MATCH(COLUMNS($AO$1006:BH1006),$AO$1006:$BQ$1006,0)))),"Fix")))</f>
        <v>#N/A</v>
      </c>
      <c r="V973" s="5" t="e">
        <f ca="1">IF(OR(INDEX($AI$2:$AI$1001,MATCH(ROWS($AH$2:AH973),$AH$2:$AH$1001,0),1)&gt;=100000,INDEX($AO$1005:$BQ$1005,1,MATCH(COLUMNS($AO$1006:BI1006),$AO$1006:$BQ$1006,0))&gt;=100000), " ",IF(INDEX($AO$2:$BQ$1001,MATCH(ROWS($AH$2:AH973),$AH$2:$AH$1001,0),MATCH(COLUMNS($AO$1006:BI1006),$AO$1006:$BQ$1006,0)), HYPERLINK("#",""), HYPERLINK(CONCATENATE("#Metadata!", ADDRESS(INDEX($AJ$2:$AJ$1001,MATCH(ROWS($AH$2:AH973),$AH$2:$AH$1001,0),0), INDEX($AO$1004:$BQ$1004,1,MATCH(COLUMNS($AO$1006:BI1006),$AO$1006:$BQ$1006,0)))),"Fix")))</f>
        <v>#N/A</v>
      </c>
      <c r="W973" s="5" t="e">
        <f ca="1">IF(OR(INDEX($AI$2:$AI$1001,MATCH(ROWS($AH$2:AH973),$AH$2:$AH$1001,0),1)&gt;=100000,INDEX($AO$1005:$BQ$1005,1,MATCH(COLUMNS($AO$1006:BJ1006),$AO$1006:$BQ$1006,0))&gt;=100000), " ",IF(INDEX($AO$2:$BQ$1001,MATCH(ROWS($AH$2:AH973),$AH$2:$AH$1001,0),MATCH(COLUMNS($AO$1006:BJ1006),$AO$1006:$BQ$1006,0)), HYPERLINK("#",""), HYPERLINK(CONCATENATE("#Metadata!", ADDRESS(INDEX($AJ$2:$AJ$1001,MATCH(ROWS($AH$2:AH973),$AH$2:$AH$1001,0),0), INDEX($AO$1004:$BQ$1004,1,MATCH(COLUMNS($AO$1006:BJ1006),$AO$1006:$BQ$1006,0)))),"Fix")))</f>
        <v>#N/A</v>
      </c>
      <c r="X973" s="5" t="e">
        <f ca="1">IF(OR(INDEX($AI$2:$AI$1001,MATCH(ROWS($AH$2:AH973),$AH$2:$AH$1001,0),1)&gt;=100000,INDEX($AO$1005:$BQ$1005,1,MATCH(COLUMNS($AO$1006:BK1006),$AO$1006:$BQ$1006,0))&gt;=100000), " ",IF(INDEX($AO$2:$BQ$1001,MATCH(ROWS($AH$2:AH973),$AH$2:$AH$1001,0),MATCH(COLUMNS($AO$1006:BK1006),$AO$1006:$BQ$1006,0)), HYPERLINK("#",""), HYPERLINK(CONCATENATE("#Metadata!", ADDRESS(INDEX($AJ$2:$AJ$1001,MATCH(ROWS($AH$2:AH973),$AH$2:$AH$1001,0),0), INDEX($AO$1004:$BQ$1004,1,MATCH(COLUMNS($AO$1006:BK1006),$AO$1006:$BQ$1006,0)))),"Fix")))</f>
        <v>#N/A</v>
      </c>
      <c r="Y973" s="5" t="e">
        <f ca="1">IF(OR(INDEX($AI$2:$AI$1001,MATCH(ROWS($AH$2:AH973),$AH$2:$AH$1001,0),1)&gt;=100000,INDEX($AO$1005:$BQ$1005,1,MATCH(COLUMNS($AO$1006:BL1006),$AO$1006:$BQ$1006,0))&gt;=100000), " ",IF(INDEX($AO$2:$BQ$1001,MATCH(ROWS($AH$2:AH973),$AH$2:$AH$1001,0),MATCH(COLUMNS($AO$1006:BL1006),$AO$1006:$BQ$1006,0)), HYPERLINK("#",""), HYPERLINK(CONCATENATE("#Metadata!", ADDRESS(INDEX($AJ$2:$AJ$1001,MATCH(ROWS($AH$2:AH973),$AH$2:$AH$1001,0),0), INDEX($AO$1004:$BQ$1004,1,MATCH(COLUMNS($AO$1006:BL1006),$AO$1006:$BQ$1006,0)))),"Fix")))</f>
        <v>#N/A</v>
      </c>
      <c r="Z973" s="5" t="e">
        <f ca="1">IF(OR(INDEX($AI$2:$AI$1001,MATCH(ROWS($AH$2:AH973),$AH$2:$AH$1001,0),1)&gt;=100000,INDEX($AO$1005:$BQ$1005,1,MATCH(COLUMNS($AO$1006:BM1006),$AO$1006:$BQ$1006,0))&gt;=100000), " ",IF(INDEX($AO$2:$BQ$1001,MATCH(ROWS($AH$2:AH973),$AH$2:$AH$1001,0),MATCH(COLUMNS($AO$1006:BM1006),$AO$1006:$BQ$1006,0)), HYPERLINK("#",""), HYPERLINK(CONCATENATE("#Metadata!", ADDRESS(INDEX($AJ$2:$AJ$1001,MATCH(ROWS($AH$2:AH973),$AH$2:$AH$1001,0),0), INDEX($AO$1004:$BQ$1004,1,MATCH(COLUMNS($AO$1006:BM1006),$AO$1006:$BQ$1006,0)))),"Fix")))</f>
        <v>#N/A</v>
      </c>
      <c r="AA973" s="5" t="e">
        <f ca="1">IF(OR(INDEX($AI$2:$AI$1001,MATCH(ROWS($AH$2:AH973),$AH$2:$AH$1001,0),1)&gt;=100000,INDEX($AO$1005:$BQ$1005,1,MATCH(COLUMNS($AO$1006:BN1006),$AO$1006:$BQ$1006,0))&gt;=100000), " ",IF(INDEX($AO$2:$BQ$1001,MATCH(ROWS($AH$2:AH973),$AH$2:$AH$1001,0),MATCH(COLUMNS($AO$1006:BN1006),$AO$1006:$BQ$1006,0)), HYPERLINK("#",""), HYPERLINK(CONCATENATE("#Metadata!", ADDRESS(INDEX($AJ$2:$AJ$1001,MATCH(ROWS($AH$2:AH973),$AH$2:$AH$1001,0),0), INDEX($AO$1004:$BQ$1004,1,MATCH(COLUMNS($AO$1006:BN1006),$AO$1006:$BQ$1006,0)))),"Fix")))</f>
        <v>#N/A</v>
      </c>
      <c r="AB973" s="5" t="e">
        <f ca="1">IF(OR(INDEX($AI$2:$AI$1001,MATCH(ROWS($AH$2:AH973),$AH$2:$AH$1001,0),1)&gt;=100000,INDEX($AO$1005:$BQ$1005,1,MATCH(COLUMNS($AO$1006:BO1006),$AO$1006:$BQ$1006,0))&gt;=100000), " ",IF(INDEX($AO$2:$BQ$1001,MATCH(ROWS($AH$2:AH973),$AH$2:$AH$1001,0),MATCH(COLUMNS($AO$1006:BO1006),$AO$1006:$BQ$1006,0)), HYPERLINK("#",""), HYPERLINK(CONCATENATE("#Metadata!", ADDRESS(INDEX($AJ$2:$AJ$1001,MATCH(ROWS($AH$2:AH973),$AH$2:$AH$1001,0),0), INDEX($AO$1004:$BQ$1004,1,MATCH(COLUMNS($AO$1006:BO1006),$AO$1006:$BQ$1006,0)))),"Fix")))</f>
        <v>#N/A</v>
      </c>
      <c r="AC973" s="5" t="e">
        <f ca="1">IF(OR(INDEX($AI$2:$AI$1001,MATCH(ROWS($AH$2:AH973),$AH$2:$AH$1001,0),1)&gt;=100000,INDEX($AO$1005:$BQ$1005,1,MATCH(COLUMNS($AO$1006:BP1006),$AO$1006:$BQ$1006,0))&gt;=100000), " ",IF(INDEX($AO$2:$BQ$1001,MATCH(ROWS($AH$2:AH973),$AH$2:$AH$1001,0),MATCH(COLUMNS($AO$1006:BP1006),$AO$1006:$BQ$1006,0)), HYPERLINK("#",""), HYPERLINK(CONCATENATE("#Metadata!", ADDRESS(INDEX($AJ$2:$AJ$1001,MATCH(ROWS($AH$2:AH973),$AH$2:$AH$1001,0),0), INDEX($AO$1004:$BQ$1004,1,MATCH(COLUMNS($AO$1006:BP1006),$AO$1006:$BQ$1006,0)))),"Fix")))</f>
        <v>#N/A</v>
      </c>
      <c r="AD973" s="5" t="e">
        <f ca="1">IF(OR(INDEX($AI$2:$AI$1001,MATCH(ROWS($AH$2:AH973),$AH$2:$AH$1001,0),1)&gt;=100000,INDEX($AO$1005:$BQ$1005,1,MATCH(COLUMNS($AO$1006:BQ1006),$AO$1006:$BQ$1006,0))&gt;=100000), " ",IF(INDEX($AO$2:$BQ$1001,MATCH(ROWS($AH$2:AH973),$AH$2:$AH$1001,0),MATCH(COLUMNS($AO$1006:BQ1006),$AO$1006:$BQ$1006,0)), HYPERLINK("#",""), HYPERLINK(CONCATENATE("#Metadata!", ADDRESS(INDEX($AJ$2:$AJ$1001,MATCH(ROWS($AH$2:AH973),$AH$2:$AH$1001,0),0), INDEX($AO$1004:$BQ$1004,1,MATCH(COLUMNS($AO$1006:BQ1006),$AO$1006:$BQ$1006,0)))),"Fix")))</f>
        <v>#REF!</v>
      </c>
      <c r="AH973">
        <f ca="1"/>
        <v>970</v>
      </c>
      <c r="AI973">
        <v>100973</v>
      </c>
      <c r="AJ973">
        <v>973</v>
      </c>
      <c r="AK973" t="b">
        <f t="shared" si="15"/>
        <v>1</v>
      </c>
      <c r="AL973" t="b">
        <f>COUNTBLANK(Metadata!B973:AD973)=COLUMNS(Metadata!B973:AD973)</f>
        <v>1</v>
      </c>
      <c r="AM973" t="str">
        <v/>
      </c>
      <c r="AO973" t="b">
        <f ca="1">AND(IF(Metadata!B973="",FALSE,TRUE),COUNTIF(Metadata!B:B, Metadata!B973) = 1,NOT(ISERROR(SUMPRODUCT(SEARCH(MID(Metadata!B973,ROW(INDIRECT("1:"&amp;LEN(Metadata!B973))), 1),"0123456789abcdefghijklmnopqrstuvwxyzABCDEFGHIJKLMNOPQRSTUVWXYZ.")))))</f>
        <v>0</v>
      </c>
      <c r="AP973" t="b">
        <f>IF(Metadata!C973="",FALSE,TRUE)</f>
        <v>0</v>
      </c>
      <c r="AQ973" t="b">
        <f>IF(Metadata!D973="",FALSE,TRUE)</f>
        <v>0</v>
      </c>
      <c r="AR973" t="b">
        <f ca="1">OR(AND(IF(Metadata!E973="",FALSE,TRUE),OR(EXACT(Metadata!E973,"not collected"),EXACT(Metadata!E973,"not provided"),EXACT(Metadata!E973,"restricted access"))),AND(IF(Metadata!E973="",FALSE,TRUE),AND(AND(IFERROR(INT(LEFT(Metadata!E973,4))&gt;1900,FALSE),IFERROR(INT(LEFT(Metadata!E973,4))&lt;=YEAR(NOW()),FALSE)), OR(MID(Metadata!E973,5,1)="", AND(AND(MID(Metadata!E973,5,1)="-",IFERROR(INT(MID(Metadata!E973,6,1))&gt;=0,FALSE),IFERROR(INT(MID(Metadata!E973,6,1))&lt;=1,FALSE),NOT(MID(Metadata!E973,7,1)=""),IFERROR(INT(MID(Metadata!E973,6,2))&gt;=1,FALSE),IFERROR(INT(MID(Metadata!E973,6,2))&lt;=12,FALSE)), OR(MID(Metadata!E973,8,1)="", AND(AND(MID(Metadata!E973,8,1)="-",IFERROR(INT(MID(Metadata!E973,9,1))&gt;=0,FALSE),IFERROR(INT(MID(Metadata!E973,9,1))&lt;=3,FALSE),NOT(MID(Metadata!E973,10,1)=""),IFERROR(INT(MID(Metadata!E973,9,2))&gt;=1,FALSE),IFERROR(INT(MID(Metadata!E973,9,2))&lt;=31,FALSE)), OR(MID(Metadata!E973,11,1)="", AND(AND(MID(Metadata!E973,11,1)=" ",IFERROR(INT(MID(Metadata!E973,12,1))&gt;=0,FALSE),IFERROR(INT(MID(Metadata!E973,12,1))&lt;=2,FALSE),NOT(MID(Metadata!E973,13,1)=""),IFERROR(INT(MID(Metadata!E973,12,2))&gt;=0,FALSE),IFERROR(INT(MID(Metadata!E973,12,2))&lt;=23,FALSE)), OR(MID(Metadata!E973,14,1)="", AND(AND(MID(Metadata!E973,14,1)=":",IFERROR(INT(MID(Metadata!E973,15,1))&gt;=0,FALSE),IFERROR(INT(MID(Metadata!E973,15,1))&lt;=5,FALSE),NOT(MID(Metadata!E973,16,1)=""),IFERROR(INT(MID(Metadata!E973,15,2))&gt;=0,FALSE),IFERROR(INT(MID(Metadata!E973,15,2))&lt;=59,FALSE)), OR(MID(Metadata!E973,17,1)="", AND(AND(MID(Metadata!E973,17,1)=":",IFERROR(INT(MID(Metadata!E973,18,1))&gt;=0,FALSE),IFERROR(INT(MID(Metadata!E973,18,1))&lt;=5,FALSE),NOT(MID(Metadata!E973,19,1)=""),IFERROR(INT(MID(Metadata!E973,18,2))&gt;=0,FALSE),IFERROR(INT(MID(Metadata!E973,18,2))&lt;=59,FALSE)), LEN(Metadata!E973)&lt;=19)))))))))))))</f>
        <v>0</v>
      </c>
      <c r="AS973" t="b">
        <f>IF(Metadata!F973="",FALSE,TRUE)</f>
        <v>0</v>
      </c>
      <c r="AT973" t="b">
        <f>OR(AND(IF(Metadata!G973="",FALSE,TRUE),OR(EXACT(Metadata!G973,"not collected"),EXACT(Metadata!G973,"not provided"))),AND(IF(Metadata!G973="",FALSE,TRUE),OR(EXACT(Metadata!G973,"TRUE"),EXACT(Metadata!G973,"FALSE"))))</f>
        <v>0</v>
      </c>
      <c r="AU973" t="b">
        <f>OR(AND(IF(Metadata!H973="",FALSE,TRUE),OR(EXACT(Metadata!H973,"not collected"),EXACT(Metadata!H973,"not provided"),EXACT(Metadata!H973,"restricted access"))),AND(IF(Metadata!H973="",FALSE,ISNUMBER(VALUE(Metadata!H973))),Metadata!H973&gt;=-413))</f>
        <v>0</v>
      </c>
      <c r="AV973" t="b">
        <f>AND(IF(Metadata!I973="",FALSE,TRUE),EXACT(Metadata!I973,"meters"))</f>
        <v>0</v>
      </c>
      <c r="AW973" t="b">
        <f>AND(IF(Metadata!J973="",FALSE,TRUE),EXACT(Metadata!J973,"free-living"))</f>
        <v>0</v>
      </c>
      <c r="AX973" t="b">
        <f>AND(IF(Metadata!K973="",FALSE,TRUE),OR(EXACT(Metadata!K973,"saline"),EXACT(Metadata!K973,"non-saline")))</f>
        <v>0</v>
      </c>
      <c r="AY973" t="b">
        <f>AND(IF(Metadata!L973="",FALSE,TRUE),OR(EXACT(Metadata!L973,"sub-surface (non-saline)"),EXACT(Metadata!L973,"surface (non-saline)"),EXACT(Metadata!L973,"water (non-saline)"),EXACT(Metadata!L973,"soil (non-saline)"),EXACT(Metadata!L973,"aerosol (non-saline)"),EXACT(Metadata!L973,"sediment (non-saline)"),EXACT(Metadata!L973,"surface (saline)"),EXACT(Metadata!L973,"water (saline)"),EXACT(Metadata!L973,"hypersaline (saline)"),EXACT(Metadata!L973,"aerosol (saline)"),EXACT(Metadata!L973,"sediment (saline)")))</f>
        <v>0</v>
      </c>
      <c r="AZ973" t="b">
        <f>IF(Metadata!M973="",FALSE,TRUE)</f>
        <v>0</v>
      </c>
      <c r="BA973" t="b">
        <f>IF(Metadata!N973="",FALSE,TRUE)</f>
        <v>0</v>
      </c>
      <c r="BB973" t="b">
        <f>IF(Metadata!O973="",FALSE,TRUE)</f>
        <v>0</v>
      </c>
      <c r="BC973" t="b">
        <f>AND(IF(Metadata!P973="",FALSE,TRUE),OR(EXACT(Metadata!P973,"air"),EXACT(Metadata!P973,"microbial mat/biofilm"),EXACT(Metadata!P973,"misc environment"),EXACT(Metadata!P973,"sediment"),EXACT(Metadata!P973,"soil"),EXACT(Metadata!P973,"wastewater/sludge"),EXACT(Metadata!P973,"water")))</f>
        <v>0</v>
      </c>
      <c r="BD973" t="b">
        <f>IF(Metadata!Q973="",FALSE,TRUE)</f>
        <v>0</v>
      </c>
      <c r="BE973" t="b">
        <f>IF(Metadata!R973="",FALSE,TRUE)</f>
        <v>0</v>
      </c>
      <c r="BF973" t="b">
        <f>OR(AND(IF(Metadata!S973="",FALSE,TRUE),OR(EXACT(Metadata!S973,"not collected"),EXACT(Metadata!S973,"not provided"),EXACT(Metadata!S973,"restricted access"))),AND(IF(Metadata!S973="",FALSE,ISNUMBER(VALUE(Metadata!S973))),Metadata!S973&gt;=-90,Metadata!S973&lt;=90))</f>
        <v>0</v>
      </c>
      <c r="BG973" t="b">
        <f>AND(IF(Metadata!T973="",FALSE,TRUE),EXACT(Metadata!T973,"Decimal degrees"))</f>
        <v>0</v>
      </c>
      <c r="BH973" t="b">
        <f>OR(AND(IF(Metadata!U973="",FALSE,TRUE),OR(EXACT(Metadata!U973,"not applicable"),EXACT(Metadata!U973,"not collected"))),IF(Metadata!U973="",FALSE,TRUE))</f>
        <v>0</v>
      </c>
      <c r="BI973" t="b">
        <f>OR(AND(IF(Metadata!V973="",FALSE,TRUE),OR(EXACT(Metadata!V973,"not collected"),EXACT(Metadata!V973,"not provided"),EXACT(Metadata!V973,"restricted access"))),AND(IF(Metadata!V973="",FALSE,ISNUMBER(VALUE(Metadata!V973))),Metadata!V973&gt;=-180,Metadata!V973&lt;=180))</f>
        <v>0</v>
      </c>
      <c r="BJ973" t="b">
        <f>AND(IF(Metadata!W973="",FALSE,TRUE),EXACT(Metadata!W973,"Decimal degrees"))</f>
        <v>0</v>
      </c>
      <c r="BK973" t="b">
        <f>IF(Metadata!X973="",FALSE,TRUE)</f>
        <v>0</v>
      </c>
      <c r="BL973" t="b">
        <f>OR(AND(IF(Metadata!Y973="",FALSE,TRUE),OR(EXACT(Metadata!Y973,"not collected"),EXACT(Metadata!Y973,"not provided"),EXACT(Metadata!Y973,"restricted access"))),AND(IF(Metadata!Y973="",FALSE,TRUE),OR(EXACT(Metadata!Y973,"TRUE"),EXACT(Metadata!Y973,"FALSE"))))</f>
        <v>0</v>
      </c>
      <c r="BM973" t="b">
        <f>OR(AND(IF(Metadata!Z973="",FALSE,TRUE),EXACT(Metadata!Z973,"not applicable")),AND(IF(Metadata!Z973="",FALSE,TRUE),OR(EXACT(Metadata!Z973,"beer"),EXACT(Metadata!Z973,"cheese"),EXACT(Metadata!Z973,"fresh water"),EXACT(Metadata!Z973,"marine sediment"),EXACT(Metadata!Z973,"sea water"),EXACT(Metadata!Z973,"sediment"),EXACT(Metadata!Z973,"soil"),EXACT(Metadata!Z973,"waste water"))))</f>
        <v>0</v>
      </c>
      <c r="BN973" t="b">
        <f>AND(IF(Metadata!AA973="",FALSE,TRUE),EXACT(Metadata!AA973,"metagenome"))</f>
        <v>0</v>
      </c>
      <c r="BO973" t="b">
        <f>AND(IF(Metadata!AB973="",FALSE,TRUE),EXACT(Metadata!AB973,"256318"))</f>
        <v>0</v>
      </c>
      <c r="BP973" t="b">
        <f>IF(Metadata!AC973="",FALSE,TRUE)</f>
        <v>0</v>
      </c>
      <c r="BQ973" t="b">
        <f>IF(Metadata!AD973="",FALSE,TRUE)</f>
        <v>0</v>
      </c>
    </row>
    <row r="974" spans="1:69" x14ac:dyDescent="0.2">
      <c r="A974" s="4" t="e">
        <f ca="1">IF(B974=" "," ",HYPERLINK(CONCATENATE("#metadata!",ADDRESS(INDEX($AJ$2:$AJ$1001,MATCH(ROWS($AH$2:AH974),$AH$2:$AH$1001,0),0),2)),INDEX($AM$2:$AM$1001,MATCH(ROWS($AH$2:AH974),$AH$2:$AH$1001,0),0)))</f>
        <v>#N/A</v>
      </c>
      <c r="B974" s="5" t="e">
        <f ca="1">IF(OR(INDEX($AI$2:$AI$1001,MATCH(ROWS($AH$2:AH974),$AH$2:$AH$1001,0),1)&gt;=100000,INDEX($AO$1005:$BQ$1005,1,MATCH(COLUMNS($AO$1006:AO1006),$AO$1006:$BQ$1006,0))&gt;=100000), " ",IF(INDEX($AO$2:$BQ$1001,MATCH(ROWS($AH$2:AH974),$AH$2:$AH$1001,0),MATCH(COLUMNS($AO$1006:AO1006),$AO$1006:$BQ$1006,0)), HYPERLINK("#",""), HYPERLINK(CONCATENATE("#Metadata!", ADDRESS(INDEX($AJ$2:$AJ$1001,MATCH(ROWS($AH$2:AH974),$AH$2:$AH$1001,0),0), INDEX($AO$1004:$BQ$1004,1,MATCH(COLUMNS($AO$1006:AO1006),$AO$1006:$BQ$1006,0)))),"Fix")))</f>
        <v>#N/A</v>
      </c>
      <c r="C974" s="5" t="e">
        <f ca="1">IF(OR(INDEX($AI$2:$AI$1001,MATCH(ROWS($AH$2:AH974),$AH$2:$AH$1001,0),1)&gt;=100000,INDEX($AO$1005:$BQ$1005,1,MATCH(COLUMNS($AO$1006:AP1006),$AO$1006:$BQ$1006,0))&gt;=100000), " ",IF(INDEX($AO$2:$BQ$1001,MATCH(ROWS($AH$2:AH974),$AH$2:$AH$1001,0),MATCH(COLUMNS($AO$1006:AP1006),$AO$1006:$BQ$1006,0)), HYPERLINK("#",""), HYPERLINK(CONCATENATE("#Metadata!", ADDRESS(INDEX($AJ$2:$AJ$1001,MATCH(ROWS($AH$2:AH974),$AH$2:$AH$1001,0),0), INDEX($AO$1004:$BQ$1004,1,MATCH(COLUMNS($AO$1006:AP1006),$AO$1006:$BQ$1006,0)))),"Fix")))</f>
        <v>#N/A</v>
      </c>
      <c r="D974" s="5" t="e">
        <f ca="1">IF(OR(INDEX($AI$2:$AI$1001,MATCH(ROWS($AH$2:AH974),$AH$2:$AH$1001,0),1)&gt;=100000,INDEX($AO$1005:$BQ$1005,1,MATCH(COLUMNS($AO$1006:AQ1006),$AO$1006:$BQ$1006,0))&gt;=100000), " ",IF(INDEX($AO$2:$BQ$1001,MATCH(ROWS($AH$2:AH974),$AH$2:$AH$1001,0),MATCH(COLUMNS($AO$1006:AQ1006),$AO$1006:$BQ$1006,0)), HYPERLINK("#",""), HYPERLINK(CONCATENATE("#Metadata!", ADDRESS(INDEX($AJ$2:$AJ$1001,MATCH(ROWS($AH$2:AH974),$AH$2:$AH$1001,0),0), INDEX($AO$1004:$BQ$1004,1,MATCH(COLUMNS($AO$1006:AQ1006),$AO$1006:$BQ$1006,0)))),"Fix")))</f>
        <v>#N/A</v>
      </c>
      <c r="E974" s="5" t="e">
        <f ca="1">IF(OR(INDEX($AI$2:$AI$1001,MATCH(ROWS($AH$2:AH974),$AH$2:$AH$1001,0),1)&gt;=100000,INDEX($AO$1005:$BQ$1005,1,MATCH(COLUMNS($AO$1006:AR1006),$AO$1006:$BQ$1006,0))&gt;=100000), " ",IF(INDEX($AO$2:$BQ$1001,MATCH(ROWS($AH$2:AH974),$AH$2:$AH$1001,0),MATCH(COLUMNS($AO$1006:AR1006),$AO$1006:$BQ$1006,0)), HYPERLINK("#",""), HYPERLINK(CONCATENATE("#Metadata!", ADDRESS(INDEX($AJ$2:$AJ$1001,MATCH(ROWS($AH$2:AH974),$AH$2:$AH$1001,0),0), INDEX($AO$1004:$BQ$1004,1,MATCH(COLUMNS($AO$1006:AR1006),$AO$1006:$BQ$1006,0)))),"Fix")))</f>
        <v>#N/A</v>
      </c>
      <c r="F974" s="5" t="e">
        <f ca="1">IF(OR(INDEX($AI$2:$AI$1001,MATCH(ROWS($AH$2:AH974),$AH$2:$AH$1001,0),1)&gt;=100000,INDEX($AO$1005:$BQ$1005,1,MATCH(COLUMNS($AO$1006:AS1006),$AO$1006:$BQ$1006,0))&gt;=100000), " ",IF(INDEX($AO$2:$BQ$1001,MATCH(ROWS($AH$2:AH974),$AH$2:$AH$1001,0),MATCH(COLUMNS($AO$1006:AS1006),$AO$1006:$BQ$1006,0)), HYPERLINK("#",""), HYPERLINK(CONCATENATE("#Metadata!", ADDRESS(INDEX($AJ$2:$AJ$1001,MATCH(ROWS($AH$2:AH974),$AH$2:$AH$1001,0),0), INDEX($AO$1004:$BQ$1004,1,MATCH(COLUMNS($AO$1006:AS1006),$AO$1006:$BQ$1006,0)))),"Fix")))</f>
        <v>#N/A</v>
      </c>
      <c r="G974" s="5" t="e">
        <f ca="1">IF(OR(INDEX($AI$2:$AI$1001,MATCH(ROWS($AH$2:AH974),$AH$2:$AH$1001,0),1)&gt;=100000,INDEX($AO$1005:$BQ$1005,1,MATCH(COLUMNS($AO$1006:AT1006),$AO$1006:$BQ$1006,0))&gt;=100000), " ",IF(INDEX($AO$2:$BQ$1001,MATCH(ROWS($AH$2:AH974),$AH$2:$AH$1001,0),MATCH(COLUMNS($AO$1006:AT1006),$AO$1006:$BQ$1006,0)), HYPERLINK("#",""), HYPERLINK(CONCATENATE("#Metadata!", ADDRESS(INDEX($AJ$2:$AJ$1001,MATCH(ROWS($AH$2:AH974),$AH$2:$AH$1001,0),0), INDEX($AO$1004:$BQ$1004,1,MATCH(COLUMNS($AO$1006:AT1006),$AO$1006:$BQ$1006,0)))),"Fix")))</f>
        <v>#N/A</v>
      </c>
      <c r="H974" s="5" t="e">
        <f ca="1">IF(OR(INDEX($AI$2:$AI$1001,MATCH(ROWS($AH$2:AH974),$AH$2:$AH$1001,0),1)&gt;=100000,INDEX($AO$1005:$BQ$1005,1,MATCH(COLUMNS($AO$1006:AU1006),$AO$1006:$BQ$1006,0))&gt;=100000), " ",IF(INDEX($AO$2:$BQ$1001,MATCH(ROWS($AH$2:AH974),$AH$2:$AH$1001,0),MATCH(COLUMNS($AO$1006:AU1006),$AO$1006:$BQ$1006,0)), HYPERLINK("#",""), HYPERLINK(CONCATENATE("#Metadata!", ADDRESS(INDEX($AJ$2:$AJ$1001,MATCH(ROWS($AH$2:AH974),$AH$2:$AH$1001,0),0), INDEX($AO$1004:$BQ$1004,1,MATCH(COLUMNS($AO$1006:AU1006),$AO$1006:$BQ$1006,0)))),"Fix")))</f>
        <v>#N/A</v>
      </c>
      <c r="I974" s="5" t="e">
        <f ca="1">IF(OR(INDEX($AI$2:$AI$1001,MATCH(ROWS($AH$2:AH974),$AH$2:$AH$1001,0),1)&gt;=100000,INDEX($AO$1005:$BQ$1005,1,MATCH(COLUMNS($AO$1006:AV1006),$AO$1006:$BQ$1006,0))&gt;=100000), " ",IF(INDEX($AO$2:$BQ$1001,MATCH(ROWS($AH$2:AH974),$AH$2:$AH$1001,0),MATCH(COLUMNS($AO$1006:AV1006),$AO$1006:$BQ$1006,0)), HYPERLINK("#",""), HYPERLINK(CONCATENATE("#Metadata!", ADDRESS(INDEX($AJ$2:$AJ$1001,MATCH(ROWS($AH$2:AH974),$AH$2:$AH$1001,0),0), INDEX($AO$1004:$BQ$1004,1,MATCH(COLUMNS($AO$1006:AV1006),$AO$1006:$BQ$1006,0)))),"Fix")))</f>
        <v>#N/A</v>
      </c>
      <c r="J974" s="5" t="e">
        <f ca="1">IF(OR(INDEX($AI$2:$AI$1001,MATCH(ROWS($AH$2:AH974),$AH$2:$AH$1001,0),1)&gt;=100000,INDEX($AO$1005:$BQ$1005,1,MATCH(COLUMNS($AO$1006:AW1006),$AO$1006:$BQ$1006,0))&gt;=100000), " ",IF(INDEX($AO$2:$BQ$1001,MATCH(ROWS($AH$2:AH974),$AH$2:$AH$1001,0),MATCH(COLUMNS($AO$1006:AW1006),$AO$1006:$BQ$1006,0)), HYPERLINK("#",""), HYPERLINK(CONCATENATE("#Metadata!", ADDRESS(INDEX($AJ$2:$AJ$1001,MATCH(ROWS($AH$2:AH974),$AH$2:$AH$1001,0),0), INDEX($AO$1004:$BQ$1004,1,MATCH(COLUMNS($AO$1006:AW1006),$AO$1006:$BQ$1006,0)))),"Fix")))</f>
        <v>#N/A</v>
      </c>
      <c r="K974" s="5" t="e">
        <f ca="1">IF(OR(INDEX($AI$2:$AI$1001,MATCH(ROWS($AH$2:AH974),$AH$2:$AH$1001,0),1)&gt;=100000,INDEX($AO$1005:$BQ$1005,1,MATCH(COLUMNS($AO$1006:AX1006),$AO$1006:$BQ$1006,0))&gt;=100000), " ",IF(INDEX($AO$2:$BQ$1001,MATCH(ROWS($AH$2:AH974),$AH$2:$AH$1001,0),MATCH(COLUMNS($AO$1006:AX1006),$AO$1006:$BQ$1006,0)), HYPERLINK("#",""), HYPERLINK(CONCATENATE("#Metadata!", ADDRESS(INDEX($AJ$2:$AJ$1001,MATCH(ROWS($AH$2:AH974),$AH$2:$AH$1001,0),0), INDEX($AO$1004:$BQ$1004,1,MATCH(COLUMNS($AO$1006:AX1006),$AO$1006:$BQ$1006,0)))),"Fix")))</f>
        <v>#N/A</v>
      </c>
      <c r="L974" s="5" t="e">
        <f ca="1">IF(OR(INDEX($AI$2:$AI$1001,MATCH(ROWS($AH$2:AH974),$AH$2:$AH$1001,0),1)&gt;=100000,INDEX($AO$1005:$BQ$1005,1,MATCH(COLUMNS($AO$1006:AY1006),$AO$1006:$BQ$1006,0))&gt;=100000), " ",IF(INDEX($AO$2:$BQ$1001,MATCH(ROWS($AH$2:AH974),$AH$2:$AH$1001,0),MATCH(COLUMNS($AO$1006:AY1006),$AO$1006:$BQ$1006,0)), HYPERLINK("#",""), HYPERLINK(CONCATENATE("#Metadata!", ADDRESS(INDEX($AJ$2:$AJ$1001,MATCH(ROWS($AH$2:AH974),$AH$2:$AH$1001,0),0), INDEX($AO$1004:$BQ$1004,1,MATCH(COLUMNS($AO$1006:AY1006),$AO$1006:$BQ$1006,0)))),"Fix")))</f>
        <v>#N/A</v>
      </c>
      <c r="M974" s="5" t="e">
        <f ca="1">IF(OR(INDEX($AI$2:$AI$1001,MATCH(ROWS($AH$2:AH974),$AH$2:$AH$1001,0),1)&gt;=100000,INDEX($AO$1005:$BQ$1005,1,MATCH(COLUMNS($AO$1006:AZ1006),$AO$1006:$BQ$1006,0))&gt;=100000), " ",IF(INDEX($AO$2:$BQ$1001,MATCH(ROWS($AH$2:AH974),$AH$2:$AH$1001,0),MATCH(COLUMNS($AO$1006:AZ1006),$AO$1006:$BQ$1006,0)), HYPERLINK("#",""), HYPERLINK(CONCATENATE("#Metadata!", ADDRESS(INDEX($AJ$2:$AJ$1001,MATCH(ROWS($AH$2:AH974),$AH$2:$AH$1001,0),0), INDEX($AO$1004:$BQ$1004,1,MATCH(COLUMNS($AO$1006:AZ1006),$AO$1006:$BQ$1006,0)))),"Fix")))</f>
        <v>#N/A</v>
      </c>
      <c r="N974" s="5" t="e">
        <f ca="1">IF(OR(INDEX($AI$2:$AI$1001,MATCH(ROWS($AH$2:AH974),$AH$2:$AH$1001,0),1)&gt;=100000,INDEX($AO$1005:$BQ$1005,1,MATCH(COLUMNS($AO$1006:BA1006),$AO$1006:$BQ$1006,0))&gt;=100000), " ",IF(INDEX($AO$2:$BQ$1001,MATCH(ROWS($AH$2:AH974),$AH$2:$AH$1001,0),MATCH(COLUMNS($AO$1006:BA1006),$AO$1006:$BQ$1006,0)), HYPERLINK("#",""), HYPERLINK(CONCATENATE("#Metadata!", ADDRESS(INDEX($AJ$2:$AJ$1001,MATCH(ROWS($AH$2:AH974),$AH$2:$AH$1001,0),0), INDEX($AO$1004:$BQ$1004,1,MATCH(COLUMNS($AO$1006:BA1006),$AO$1006:$BQ$1006,0)))),"Fix")))</f>
        <v>#N/A</v>
      </c>
      <c r="O974" s="5" t="e">
        <f ca="1">IF(OR(INDEX($AI$2:$AI$1001,MATCH(ROWS($AH$2:AH974),$AH$2:$AH$1001,0),1)&gt;=100000,INDEX($AO$1005:$BQ$1005,1,MATCH(COLUMNS($AO$1006:BB1006),$AO$1006:$BQ$1006,0))&gt;=100000), " ",IF(INDEX($AO$2:$BQ$1001,MATCH(ROWS($AH$2:AH974),$AH$2:$AH$1001,0),MATCH(COLUMNS($AO$1006:BB1006),$AO$1006:$BQ$1006,0)), HYPERLINK("#",""), HYPERLINK(CONCATENATE("#Metadata!", ADDRESS(INDEX($AJ$2:$AJ$1001,MATCH(ROWS($AH$2:AH974),$AH$2:$AH$1001,0),0), INDEX($AO$1004:$BQ$1004,1,MATCH(COLUMNS($AO$1006:BB1006),$AO$1006:$BQ$1006,0)))),"Fix")))</f>
        <v>#N/A</v>
      </c>
      <c r="P974" s="5" t="e">
        <f ca="1">IF(OR(INDEX($AI$2:$AI$1001,MATCH(ROWS($AH$2:AH974),$AH$2:$AH$1001,0),1)&gt;=100000,INDEX($AO$1005:$BQ$1005,1,MATCH(COLUMNS($AO$1006:BC1006),$AO$1006:$BQ$1006,0))&gt;=100000), " ",IF(INDEX($AO$2:$BQ$1001,MATCH(ROWS($AH$2:AH974),$AH$2:$AH$1001,0),MATCH(COLUMNS($AO$1006:BC1006),$AO$1006:$BQ$1006,0)), HYPERLINK("#",""), HYPERLINK(CONCATENATE("#Metadata!", ADDRESS(INDEX($AJ$2:$AJ$1001,MATCH(ROWS($AH$2:AH974),$AH$2:$AH$1001,0),0), INDEX($AO$1004:$BQ$1004,1,MATCH(COLUMNS($AO$1006:BC1006),$AO$1006:$BQ$1006,0)))),"Fix")))</f>
        <v>#N/A</v>
      </c>
      <c r="Q974" s="5" t="e">
        <f ca="1">IF(OR(INDEX($AI$2:$AI$1001,MATCH(ROWS($AH$2:AH974),$AH$2:$AH$1001,0),1)&gt;=100000,INDEX($AO$1005:$BQ$1005,1,MATCH(COLUMNS($AO$1006:BD1006),$AO$1006:$BQ$1006,0))&gt;=100000), " ",IF(INDEX($AO$2:$BQ$1001,MATCH(ROWS($AH$2:AH974),$AH$2:$AH$1001,0),MATCH(COLUMNS($AO$1006:BD1006),$AO$1006:$BQ$1006,0)), HYPERLINK("#",""), HYPERLINK(CONCATENATE("#Metadata!", ADDRESS(INDEX($AJ$2:$AJ$1001,MATCH(ROWS($AH$2:AH974),$AH$2:$AH$1001,0),0), INDEX($AO$1004:$BQ$1004,1,MATCH(COLUMNS($AO$1006:BD1006),$AO$1006:$BQ$1006,0)))),"Fix")))</f>
        <v>#N/A</v>
      </c>
      <c r="R974" s="5" t="e">
        <f ca="1">IF(OR(INDEX($AI$2:$AI$1001,MATCH(ROWS($AH$2:AH974),$AH$2:$AH$1001,0),1)&gt;=100000,INDEX($AO$1005:$BQ$1005,1,MATCH(COLUMNS($AO$1006:BE1006),$AO$1006:$BQ$1006,0))&gt;=100000), " ",IF(INDEX($AO$2:$BQ$1001,MATCH(ROWS($AH$2:AH974),$AH$2:$AH$1001,0),MATCH(COLUMNS($AO$1006:BE1006),$AO$1006:$BQ$1006,0)), HYPERLINK("#",""), HYPERLINK(CONCATENATE("#Metadata!", ADDRESS(INDEX($AJ$2:$AJ$1001,MATCH(ROWS($AH$2:AH974),$AH$2:$AH$1001,0),0), INDEX($AO$1004:$BQ$1004,1,MATCH(COLUMNS($AO$1006:BE1006),$AO$1006:$BQ$1006,0)))),"Fix")))</f>
        <v>#N/A</v>
      </c>
      <c r="S974" s="5" t="e">
        <f ca="1">IF(OR(INDEX($AI$2:$AI$1001,MATCH(ROWS($AH$2:AH974),$AH$2:$AH$1001,0),1)&gt;=100000,INDEX($AO$1005:$BQ$1005,1,MATCH(COLUMNS($AO$1006:BF1006),$AO$1006:$BQ$1006,0))&gt;=100000), " ",IF(INDEX($AO$2:$BQ$1001,MATCH(ROWS($AH$2:AH974),$AH$2:$AH$1001,0),MATCH(COLUMNS($AO$1006:BF1006),$AO$1006:$BQ$1006,0)), HYPERLINK("#",""), HYPERLINK(CONCATENATE("#Metadata!", ADDRESS(INDEX($AJ$2:$AJ$1001,MATCH(ROWS($AH$2:AH974),$AH$2:$AH$1001,0),0), INDEX($AO$1004:$BQ$1004,1,MATCH(COLUMNS($AO$1006:BF1006),$AO$1006:$BQ$1006,0)))),"Fix")))</f>
        <v>#N/A</v>
      </c>
      <c r="T974" s="5" t="e">
        <f ca="1">IF(OR(INDEX($AI$2:$AI$1001,MATCH(ROWS($AH$2:AH974),$AH$2:$AH$1001,0),1)&gt;=100000,INDEX($AO$1005:$BQ$1005,1,MATCH(COLUMNS($AO$1006:BG1006),$AO$1006:$BQ$1006,0))&gt;=100000), " ",IF(INDEX($AO$2:$BQ$1001,MATCH(ROWS($AH$2:AH974),$AH$2:$AH$1001,0),MATCH(COLUMNS($AO$1006:BG1006),$AO$1006:$BQ$1006,0)), HYPERLINK("#",""), HYPERLINK(CONCATENATE("#Metadata!", ADDRESS(INDEX($AJ$2:$AJ$1001,MATCH(ROWS($AH$2:AH974),$AH$2:$AH$1001,0),0), INDEX($AO$1004:$BQ$1004,1,MATCH(COLUMNS($AO$1006:BG1006),$AO$1006:$BQ$1006,0)))),"Fix")))</f>
        <v>#N/A</v>
      </c>
      <c r="U974" s="5" t="e">
        <f ca="1">IF(OR(INDEX($AI$2:$AI$1001,MATCH(ROWS($AH$2:AH974),$AH$2:$AH$1001,0),1)&gt;=100000,INDEX($AO$1005:$BQ$1005,1,MATCH(COLUMNS($AO$1006:BH1006),$AO$1006:$BQ$1006,0))&gt;=100000), " ",IF(INDEX($AO$2:$BQ$1001,MATCH(ROWS($AH$2:AH974),$AH$2:$AH$1001,0),MATCH(COLUMNS($AO$1006:BH1006),$AO$1006:$BQ$1006,0)), HYPERLINK("#",""), HYPERLINK(CONCATENATE("#Metadata!", ADDRESS(INDEX($AJ$2:$AJ$1001,MATCH(ROWS($AH$2:AH974),$AH$2:$AH$1001,0),0), INDEX($AO$1004:$BQ$1004,1,MATCH(COLUMNS($AO$1006:BH1006),$AO$1006:$BQ$1006,0)))),"Fix")))</f>
        <v>#N/A</v>
      </c>
      <c r="V974" s="5" t="e">
        <f ca="1">IF(OR(INDEX($AI$2:$AI$1001,MATCH(ROWS($AH$2:AH974),$AH$2:$AH$1001,0),1)&gt;=100000,INDEX($AO$1005:$BQ$1005,1,MATCH(COLUMNS($AO$1006:BI1006),$AO$1006:$BQ$1006,0))&gt;=100000), " ",IF(INDEX($AO$2:$BQ$1001,MATCH(ROWS($AH$2:AH974),$AH$2:$AH$1001,0),MATCH(COLUMNS($AO$1006:BI1006),$AO$1006:$BQ$1006,0)), HYPERLINK("#",""), HYPERLINK(CONCATENATE("#Metadata!", ADDRESS(INDEX($AJ$2:$AJ$1001,MATCH(ROWS($AH$2:AH974),$AH$2:$AH$1001,0),0), INDEX($AO$1004:$BQ$1004,1,MATCH(COLUMNS($AO$1006:BI1006),$AO$1006:$BQ$1006,0)))),"Fix")))</f>
        <v>#N/A</v>
      </c>
      <c r="W974" s="5" t="e">
        <f ca="1">IF(OR(INDEX($AI$2:$AI$1001,MATCH(ROWS($AH$2:AH974),$AH$2:$AH$1001,0),1)&gt;=100000,INDEX($AO$1005:$BQ$1005,1,MATCH(COLUMNS($AO$1006:BJ1006),$AO$1006:$BQ$1006,0))&gt;=100000), " ",IF(INDEX($AO$2:$BQ$1001,MATCH(ROWS($AH$2:AH974),$AH$2:$AH$1001,0),MATCH(COLUMNS($AO$1006:BJ1006),$AO$1006:$BQ$1006,0)), HYPERLINK("#",""), HYPERLINK(CONCATENATE("#Metadata!", ADDRESS(INDEX($AJ$2:$AJ$1001,MATCH(ROWS($AH$2:AH974),$AH$2:$AH$1001,0),0), INDEX($AO$1004:$BQ$1004,1,MATCH(COLUMNS($AO$1006:BJ1006),$AO$1006:$BQ$1006,0)))),"Fix")))</f>
        <v>#N/A</v>
      </c>
      <c r="X974" s="5" t="e">
        <f ca="1">IF(OR(INDEX($AI$2:$AI$1001,MATCH(ROWS($AH$2:AH974),$AH$2:$AH$1001,0),1)&gt;=100000,INDEX($AO$1005:$BQ$1005,1,MATCH(COLUMNS($AO$1006:BK1006),$AO$1006:$BQ$1006,0))&gt;=100000), " ",IF(INDEX($AO$2:$BQ$1001,MATCH(ROWS($AH$2:AH974),$AH$2:$AH$1001,0),MATCH(COLUMNS($AO$1006:BK1006),$AO$1006:$BQ$1006,0)), HYPERLINK("#",""), HYPERLINK(CONCATENATE("#Metadata!", ADDRESS(INDEX($AJ$2:$AJ$1001,MATCH(ROWS($AH$2:AH974),$AH$2:$AH$1001,0),0), INDEX($AO$1004:$BQ$1004,1,MATCH(COLUMNS($AO$1006:BK1006),$AO$1006:$BQ$1006,0)))),"Fix")))</f>
        <v>#N/A</v>
      </c>
      <c r="Y974" s="5" t="e">
        <f ca="1">IF(OR(INDEX($AI$2:$AI$1001,MATCH(ROWS($AH$2:AH974),$AH$2:$AH$1001,0),1)&gt;=100000,INDEX($AO$1005:$BQ$1005,1,MATCH(COLUMNS($AO$1006:BL1006),$AO$1006:$BQ$1006,0))&gt;=100000), " ",IF(INDEX($AO$2:$BQ$1001,MATCH(ROWS($AH$2:AH974),$AH$2:$AH$1001,0),MATCH(COLUMNS($AO$1006:BL1006),$AO$1006:$BQ$1006,0)), HYPERLINK("#",""), HYPERLINK(CONCATENATE("#Metadata!", ADDRESS(INDEX($AJ$2:$AJ$1001,MATCH(ROWS($AH$2:AH974),$AH$2:$AH$1001,0),0), INDEX($AO$1004:$BQ$1004,1,MATCH(COLUMNS($AO$1006:BL1006),$AO$1006:$BQ$1006,0)))),"Fix")))</f>
        <v>#N/A</v>
      </c>
      <c r="Z974" s="5" t="e">
        <f ca="1">IF(OR(INDEX($AI$2:$AI$1001,MATCH(ROWS($AH$2:AH974),$AH$2:$AH$1001,0),1)&gt;=100000,INDEX($AO$1005:$BQ$1005,1,MATCH(COLUMNS($AO$1006:BM1006),$AO$1006:$BQ$1006,0))&gt;=100000), " ",IF(INDEX($AO$2:$BQ$1001,MATCH(ROWS($AH$2:AH974),$AH$2:$AH$1001,0),MATCH(COLUMNS($AO$1006:BM1006),$AO$1006:$BQ$1006,0)), HYPERLINK("#",""), HYPERLINK(CONCATENATE("#Metadata!", ADDRESS(INDEX($AJ$2:$AJ$1001,MATCH(ROWS($AH$2:AH974),$AH$2:$AH$1001,0),0), INDEX($AO$1004:$BQ$1004,1,MATCH(COLUMNS($AO$1006:BM1006),$AO$1006:$BQ$1006,0)))),"Fix")))</f>
        <v>#N/A</v>
      </c>
      <c r="AA974" s="5" t="e">
        <f ca="1">IF(OR(INDEX($AI$2:$AI$1001,MATCH(ROWS($AH$2:AH974),$AH$2:$AH$1001,0),1)&gt;=100000,INDEX($AO$1005:$BQ$1005,1,MATCH(COLUMNS($AO$1006:BN1006),$AO$1006:$BQ$1006,0))&gt;=100000), " ",IF(INDEX($AO$2:$BQ$1001,MATCH(ROWS($AH$2:AH974),$AH$2:$AH$1001,0),MATCH(COLUMNS($AO$1006:BN1006),$AO$1006:$BQ$1006,0)), HYPERLINK("#",""), HYPERLINK(CONCATENATE("#Metadata!", ADDRESS(INDEX($AJ$2:$AJ$1001,MATCH(ROWS($AH$2:AH974),$AH$2:$AH$1001,0),0), INDEX($AO$1004:$BQ$1004,1,MATCH(COLUMNS($AO$1006:BN1006),$AO$1006:$BQ$1006,0)))),"Fix")))</f>
        <v>#N/A</v>
      </c>
      <c r="AB974" s="5" t="e">
        <f ca="1">IF(OR(INDEX($AI$2:$AI$1001,MATCH(ROWS($AH$2:AH974),$AH$2:$AH$1001,0),1)&gt;=100000,INDEX($AO$1005:$BQ$1005,1,MATCH(COLUMNS($AO$1006:BO1006),$AO$1006:$BQ$1006,0))&gt;=100000), " ",IF(INDEX($AO$2:$BQ$1001,MATCH(ROWS($AH$2:AH974),$AH$2:$AH$1001,0),MATCH(COLUMNS($AO$1006:BO1006),$AO$1006:$BQ$1006,0)), HYPERLINK("#",""), HYPERLINK(CONCATENATE("#Metadata!", ADDRESS(INDEX($AJ$2:$AJ$1001,MATCH(ROWS($AH$2:AH974),$AH$2:$AH$1001,0),0), INDEX($AO$1004:$BQ$1004,1,MATCH(COLUMNS($AO$1006:BO1006),$AO$1006:$BQ$1006,0)))),"Fix")))</f>
        <v>#N/A</v>
      </c>
      <c r="AC974" s="5" t="e">
        <f ca="1">IF(OR(INDEX($AI$2:$AI$1001,MATCH(ROWS($AH$2:AH974),$AH$2:$AH$1001,0),1)&gt;=100000,INDEX($AO$1005:$BQ$1005,1,MATCH(COLUMNS($AO$1006:BP1006),$AO$1006:$BQ$1006,0))&gt;=100000), " ",IF(INDEX($AO$2:$BQ$1001,MATCH(ROWS($AH$2:AH974),$AH$2:$AH$1001,0),MATCH(COLUMNS($AO$1006:BP1006),$AO$1006:$BQ$1006,0)), HYPERLINK("#",""), HYPERLINK(CONCATENATE("#Metadata!", ADDRESS(INDEX($AJ$2:$AJ$1001,MATCH(ROWS($AH$2:AH974),$AH$2:$AH$1001,0),0), INDEX($AO$1004:$BQ$1004,1,MATCH(COLUMNS($AO$1006:BP1006),$AO$1006:$BQ$1006,0)))),"Fix")))</f>
        <v>#N/A</v>
      </c>
      <c r="AD974" s="5" t="e">
        <f ca="1">IF(OR(INDEX($AI$2:$AI$1001,MATCH(ROWS($AH$2:AH974),$AH$2:$AH$1001,0),1)&gt;=100000,INDEX($AO$1005:$BQ$1005,1,MATCH(COLUMNS($AO$1006:BQ1006),$AO$1006:$BQ$1006,0))&gt;=100000), " ",IF(INDEX($AO$2:$BQ$1001,MATCH(ROWS($AH$2:AH974),$AH$2:$AH$1001,0),MATCH(COLUMNS($AO$1006:BQ1006),$AO$1006:$BQ$1006,0)), HYPERLINK("#",""), HYPERLINK(CONCATENATE("#Metadata!", ADDRESS(INDEX($AJ$2:$AJ$1001,MATCH(ROWS($AH$2:AH974),$AH$2:$AH$1001,0),0), INDEX($AO$1004:$BQ$1004,1,MATCH(COLUMNS($AO$1006:BQ1006),$AO$1006:$BQ$1006,0)))),"Fix")))</f>
        <v>#REF!</v>
      </c>
      <c r="AH974">
        <f ca="1"/>
        <v>971</v>
      </c>
      <c r="AI974">
        <v>100974</v>
      </c>
      <c r="AJ974">
        <v>974</v>
      </c>
      <c r="AK974" t="b">
        <f t="shared" si="15"/>
        <v>1</v>
      </c>
      <c r="AL974" t="b">
        <f>COUNTBLANK(Metadata!B974:AD974)=COLUMNS(Metadata!B974:AD974)</f>
        <v>1</v>
      </c>
      <c r="AM974" t="str">
        <v/>
      </c>
      <c r="AO974" t="b">
        <f ca="1">AND(IF(Metadata!B974="",FALSE,TRUE),COUNTIF(Metadata!B:B, Metadata!B974) = 1,NOT(ISERROR(SUMPRODUCT(SEARCH(MID(Metadata!B974,ROW(INDIRECT("1:"&amp;LEN(Metadata!B974))), 1),"0123456789abcdefghijklmnopqrstuvwxyzABCDEFGHIJKLMNOPQRSTUVWXYZ.")))))</f>
        <v>0</v>
      </c>
      <c r="AP974" t="b">
        <f>IF(Metadata!C974="",FALSE,TRUE)</f>
        <v>0</v>
      </c>
      <c r="AQ974" t="b">
        <f>IF(Metadata!D974="",FALSE,TRUE)</f>
        <v>0</v>
      </c>
      <c r="AR974" t="b">
        <f ca="1">OR(AND(IF(Metadata!E974="",FALSE,TRUE),OR(EXACT(Metadata!E974,"not collected"),EXACT(Metadata!E974,"not provided"),EXACT(Metadata!E974,"restricted access"))),AND(IF(Metadata!E974="",FALSE,TRUE),AND(AND(IFERROR(INT(LEFT(Metadata!E974,4))&gt;1900,FALSE),IFERROR(INT(LEFT(Metadata!E974,4))&lt;=YEAR(NOW()),FALSE)), OR(MID(Metadata!E974,5,1)="", AND(AND(MID(Metadata!E974,5,1)="-",IFERROR(INT(MID(Metadata!E974,6,1))&gt;=0,FALSE),IFERROR(INT(MID(Metadata!E974,6,1))&lt;=1,FALSE),NOT(MID(Metadata!E974,7,1)=""),IFERROR(INT(MID(Metadata!E974,6,2))&gt;=1,FALSE),IFERROR(INT(MID(Metadata!E974,6,2))&lt;=12,FALSE)), OR(MID(Metadata!E974,8,1)="", AND(AND(MID(Metadata!E974,8,1)="-",IFERROR(INT(MID(Metadata!E974,9,1))&gt;=0,FALSE),IFERROR(INT(MID(Metadata!E974,9,1))&lt;=3,FALSE),NOT(MID(Metadata!E974,10,1)=""),IFERROR(INT(MID(Metadata!E974,9,2))&gt;=1,FALSE),IFERROR(INT(MID(Metadata!E974,9,2))&lt;=31,FALSE)), OR(MID(Metadata!E974,11,1)="", AND(AND(MID(Metadata!E974,11,1)=" ",IFERROR(INT(MID(Metadata!E974,12,1))&gt;=0,FALSE),IFERROR(INT(MID(Metadata!E974,12,1))&lt;=2,FALSE),NOT(MID(Metadata!E974,13,1)=""),IFERROR(INT(MID(Metadata!E974,12,2))&gt;=0,FALSE),IFERROR(INT(MID(Metadata!E974,12,2))&lt;=23,FALSE)), OR(MID(Metadata!E974,14,1)="", AND(AND(MID(Metadata!E974,14,1)=":",IFERROR(INT(MID(Metadata!E974,15,1))&gt;=0,FALSE),IFERROR(INT(MID(Metadata!E974,15,1))&lt;=5,FALSE),NOT(MID(Metadata!E974,16,1)=""),IFERROR(INT(MID(Metadata!E974,15,2))&gt;=0,FALSE),IFERROR(INT(MID(Metadata!E974,15,2))&lt;=59,FALSE)), OR(MID(Metadata!E974,17,1)="", AND(AND(MID(Metadata!E974,17,1)=":",IFERROR(INT(MID(Metadata!E974,18,1))&gt;=0,FALSE),IFERROR(INT(MID(Metadata!E974,18,1))&lt;=5,FALSE),NOT(MID(Metadata!E974,19,1)=""),IFERROR(INT(MID(Metadata!E974,18,2))&gt;=0,FALSE),IFERROR(INT(MID(Metadata!E974,18,2))&lt;=59,FALSE)), LEN(Metadata!E974)&lt;=19)))))))))))))</f>
        <v>0</v>
      </c>
      <c r="AS974" t="b">
        <f>IF(Metadata!F974="",FALSE,TRUE)</f>
        <v>0</v>
      </c>
      <c r="AT974" t="b">
        <f>OR(AND(IF(Metadata!G974="",FALSE,TRUE),OR(EXACT(Metadata!G974,"not collected"),EXACT(Metadata!G974,"not provided"))),AND(IF(Metadata!G974="",FALSE,TRUE),OR(EXACT(Metadata!G974,"TRUE"),EXACT(Metadata!G974,"FALSE"))))</f>
        <v>0</v>
      </c>
      <c r="AU974" t="b">
        <f>OR(AND(IF(Metadata!H974="",FALSE,TRUE),OR(EXACT(Metadata!H974,"not collected"),EXACT(Metadata!H974,"not provided"),EXACT(Metadata!H974,"restricted access"))),AND(IF(Metadata!H974="",FALSE,ISNUMBER(VALUE(Metadata!H974))),Metadata!H974&gt;=-413))</f>
        <v>0</v>
      </c>
      <c r="AV974" t="b">
        <f>AND(IF(Metadata!I974="",FALSE,TRUE),EXACT(Metadata!I974,"meters"))</f>
        <v>0</v>
      </c>
      <c r="AW974" t="b">
        <f>AND(IF(Metadata!J974="",FALSE,TRUE),EXACT(Metadata!J974,"free-living"))</f>
        <v>0</v>
      </c>
      <c r="AX974" t="b">
        <f>AND(IF(Metadata!K974="",FALSE,TRUE),OR(EXACT(Metadata!K974,"saline"),EXACT(Metadata!K974,"non-saline")))</f>
        <v>0</v>
      </c>
      <c r="AY974" t="b">
        <f>AND(IF(Metadata!L974="",FALSE,TRUE),OR(EXACT(Metadata!L974,"sub-surface (non-saline)"),EXACT(Metadata!L974,"surface (non-saline)"),EXACT(Metadata!L974,"water (non-saline)"),EXACT(Metadata!L974,"soil (non-saline)"),EXACT(Metadata!L974,"aerosol (non-saline)"),EXACT(Metadata!L974,"sediment (non-saline)"),EXACT(Metadata!L974,"surface (saline)"),EXACT(Metadata!L974,"water (saline)"),EXACT(Metadata!L974,"hypersaline (saline)"),EXACT(Metadata!L974,"aerosol (saline)"),EXACT(Metadata!L974,"sediment (saline)")))</f>
        <v>0</v>
      </c>
      <c r="AZ974" t="b">
        <f>IF(Metadata!M974="",FALSE,TRUE)</f>
        <v>0</v>
      </c>
      <c r="BA974" t="b">
        <f>IF(Metadata!N974="",FALSE,TRUE)</f>
        <v>0</v>
      </c>
      <c r="BB974" t="b">
        <f>IF(Metadata!O974="",FALSE,TRUE)</f>
        <v>0</v>
      </c>
      <c r="BC974" t="b">
        <f>AND(IF(Metadata!P974="",FALSE,TRUE),OR(EXACT(Metadata!P974,"air"),EXACT(Metadata!P974,"microbial mat/biofilm"),EXACT(Metadata!P974,"misc environment"),EXACT(Metadata!P974,"sediment"),EXACT(Metadata!P974,"soil"),EXACT(Metadata!P974,"wastewater/sludge"),EXACT(Metadata!P974,"water")))</f>
        <v>0</v>
      </c>
      <c r="BD974" t="b">
        <f>IF(Metadata!Q974="",FALSE,TRUE)</f>
        <v>0</v>
      </c>
      <c r="BE974" t="b">
        <f>IF(Metadata!R974="",FALSE,TRUE)</f>
        <v>0</v>
      </c>
      <c r="BF974" t="b">
        <f>OR(AND(IF(Metadata!S974="",FALSE,TRUE),OR(EXACT(Metadata!S974,"not collected"),EXACT(Metadata!S974,"not provided"),EXACT(Metadata!S974,"restricted access"))),AND(IF(Metadata!S974="",FALSE,ISNUMBER(VALUE(Metadata!S974))),Metadata!S974&gt;=-90,Metadata!S974&lt;=90))</f>
        <v>0</v>
      </c>
      <c r="BG974" t="b">
        <f>AND(IF(Metadata!T974="",FALSE,TRUE),EXACT(Metadata!T974,"Decimal degrees"))</f>
        <v>0</v>
      </c>
      <c r="BH974" t="b">
        <f>OR(AND(IF(Metadata!U974="",FALSE,TRUE),OR(EXACT(Metadata!U974,"not applicable"),EXACT(Metadata!U974,"not collected"))),IF(Metadata!U974="",FALSE,TRUE))</f>
        <v>0</v>
      </c>
      <c r="BI974" t="b">
        <f>OR(AND(IF(Metadata!V974="",FALSE,TRUE),OR(EXACT(Metadata!V974,"not collected"),EXACT(Metadata!V974,"not provided"),EXACT(Metadata!V974,"restricted access"))),AND(IF(Metadata!V974="",FALSE,ISNUMBER(VALUE(Metadata!V974))),Metadata!V974&gt;=-180,Metadata!V974&lt;=180))</f>
        <v>0</v>
      </c>
      <c r="BJ974" t="b">
        <f>AND(IF(Metadata!W974="",FALSE,TRUE),EXACT(Metadata!W974,"Decimal degrees"))</f>
        <v>0</v>
      </c>
      <c r="BK974" t="b">
        <f>IF(Metadata!X974="",FALSE,TRUE)</f>
        <v>0</v>
      </c>
      <c r="BL974" t="b">
        <f>OR(AND(IF(Metadata!Y974="",FALSE,TRUE),OR(EXACT(Metadata!Y974,"not collected"),EXACT(Metadata!Y974,"not provided"),EXACT(Metadata!Y974,"restricted access"))),AND(IF(Metadata!Y974="",FALSE,TRUE),OR(EXACT(Metadata!Y974,"TRUE"),EXACT(Metadata!Y974,"FALSE"))))</f>
        <v>0</v>
      </c>
      <c r="BM974" t="b">
        <f>OR(AND(IF(Metadata!Z974="",FALSE,TRUE),EXACT(Metadata!Z974,"not applicable")),AND(IF(Metadata!Z974="",FALSE,TRUE),OR(EXACT(Metadata!Z974,"beer"),EXACT(Metadata!Z974,"cheese"),EXACT(Metadata!Z974,"fresh water"),EXACT(Metadata!Z974,"marine sediment"),EXACT(Metadata!Z974,"sea water"),EXACT(Metadata!Z974,"sediment"),EXACT(Metadata!Z974,"soil"),EXACT(Metadata!Z974,"waste water"))))</f>
        <v>0</v>
      </c>
      <c r="BN974" t="b">
        <f>AND(IF(Metadata!AA974="",FALSE,TRUE),EXACT(Metadata!AA974,"metagenome"))</f>
        <v>0</v>
      </c>
      <c r="BO974" t="b">
        <f>AND(IF(Metadata!AB974="",FALSE,TRUE),EXACT(Metadata!AB974,"256318"))</f>
        <v>0</v>
      </c>
      <c r="BP974" t="b">
        <f>IF(Metadata!AC974="",FALSE,TRUE)</f>
        <v>0</v>
      </c>
      <c r="BQ974" t="b">
        <f>IF(Metadata!AD974="",FALSE,TRUE)</f>
        <v>0</v>
      </c>
    </row>
    <row r="975" spans="1:69" x14ac:dyDescent="0.2">
      <c r="A975" s="4" t="e">
        <f ca="1">IF(B975=" "," ",HYPERLINK(CONCATENATE("#metadata!",ADDRESS(INDEX($AJ$2:$AJ$1001,MATCH(ROWS($AH$2:AH975),$AH$2:$AH$1001,0),0),2)),INDEX($AM$2:$AM$1001,MATCH(ROWS($AH$2:AH975),$AH$2:$AH$1001,0),0)))</f>
        <v>#N/A</v>
      </c>
      <c r="B975" s="5" t="e">
        <f ca="1">IF(OR(INDEX($AI$2:$AI$1001,MATCH(ROWS($AH$2:AH975),$AH$2:$AH$1001,0),1)&gt;=100000,INDEX($AO$1005:$BQ$1005,1,MATCH(COLUMNS($AO$1006:AO1006),$AO$1006:$BQ$1006,0))&gt;=100000), " ",IF(INDEX($AO$2:$BQ$1001,MATCH(ROWS($AH$2:AH975),$AH$2:$AH$1001,0),MATCH(COLUMNS($AO$1006:AO1006),$AO$1006:$BQ$1006,0)), HYPERLINK("#",""), HYPERLINK(CONCATENATE("#Metadata!", ADDRESS(INDEX($AJ$2:$AJ$1001,MATCH(ROWS($AH$2:AH975),$AH$2:$AH$1001,0),0), INDEX($AO$1004:$BQ$1004,1,MATCH(COLUMNS($AO$1006:AO1006),$AO$1006:$BQ$1006,0)))),"Fix")))</f>
        <v>#N/A</v>
      </c>
      <c r="C975" s="5" t="e">
        <f ca="1">IF(OR(INDEX($AI$2:$AI$1001,MATCH(ROWS($AH$2:AH975),$AH$2:$AH$1001,0),1)&gt;=100000,INDEX($AO$1005:$BQ$1005,1,MATCH(COLUMNS($AO$1006:AP1006),$AO$1006:$BQ$1006,0))&gt;=100000), " ",IF(INDEX($AO$2:$BQ$1001,MATCH(ROWS($AH$2:AH975),$AH$2:$AH$1001,0),MATCH(COLUMNS($AO$1006:AP1006),$AO$1006:$BQ$1006,0)), HYPERLINK("#",""), HYPERLINK(CONCATENATE("#Metadata!", ADDRESS(INDEX($AJ$2:$AJ$1001,MATCH(ROWS($AH$2:AH975),$AH$2:$AH$1001,0),0), INDEX($AO$1004:$BQ$1004,1,MATCH(COLUMNS($AO$1006:AP1006),$AO$1006:$BQ$1006,0)))),"Fix")))</f>
        <v>#N/A</v>
      </c>
      <c r="D975" s="5" t="e">
        <f ca="1">IF(OR(INDEX($AI$2:$AI$1001,MATCH(ROWS($AH$2:AH975),$AH$2:$AH$1001,0),1)&gt;=100000,INDEX($AO$1005:$BQ$1005,1,MATCH(COLUMNS($AO$1006:AQ1006),$AO$1006:$BQ$1006,0))&gt;=100000), " ",IF(INDEX($AO$2:$BQ$1001,MATCH(ROWS($AH$2:AH975),$AH$2:$AH$1001,0),MATCH(COLUMNS($AO$1006:AQ1006),$AO$1006:$BQ$1006,0)), HYPERLINK("#",""), HYPERLINK(CONCATENATE("#Metadata!", ADDRESS(INDEX($AJ$2:$AJ$1001,MATCH(ROWS($AH$2:AH975),$AH$2:$AH$1001,0),0), INDEX($AO$1004:$BQ$1004,1,MATCH(COLUMNS($AO$1006:AQ1006),$AO$1006:$BQ$1006,0)))),"Fix")))</f>
        <v>#N/A</v>
      </c>
      <c r="E975" s="5" t="e">
        <f ca="1">IF(OR(INDEX($AI$2:$AI$1001,MATCH(ROWS($AH$2:AH975),$AH$2:$AH$1001,0),1)&gt;=100000,INDEX($AO$1005:$BQ$1005,1,MATCH(COLUMNS($AO$1006:AR1006),$AO$1006:$BQ$1006,0))&gt;=100000), " ",IF(INDEX($AO$2:$BQ$1001,MATCH(ROWS($AH$2:AH975),$AH$2:$AH$1001,0),MATCH(COLUMNS($AO$1006:AR1006),$AO$1006:$BQ$1006,0)), HYPERLINK("#",""), HYPERLINK(CONCATENATE("#Metadata!", ADDRESS(INDEX($AJ$2:$AJ$1001,MATCH(ROWS($AH$2:AH975),$AH$2:$AH$1001,0),0), INDEX($AO$1004:$BQ$1004,1,MATCH(COLUMNS($AO$1006:AR1006),$AO$1006:$BQ$1006,0)))),"Fix")))</f>
        <v>#N/A</v>
      </c>
      <c r="F975" s="5" t="e">
        <f ca="1">IF(OR(INDEX($AI$2:$AI$1001,MATCH(ROWS($AH$2:AH975),$AH$2:$AH$1001,0),1)&gt;=100000,INDEX($AO$1005:$BQ$1005,1,MATCH(COLUMNS($AO$1006:AS1006),$AO$1006:$BQ$1006,0))&gt;=100000), " ",IF(INDEX($AO$2:$BQ$1001,MATCH(ROWS($AH$2:AH975),$AH$2:$AH$1001,0),MATCH(COLUMNS($AO$1006:AS1006),$AO$1006:$BQ$1006,0)), HYPERLINK("#",""), HYPERLINK(CONCATENATE("#Metadata!", ADDRESS(INDEX($AJ$2:$AJ$1001,MATCH(ROWS($AH$2:AH975),$AH$2:$AH$1001,0),0), INDEX($AO$1004:$BQ$1004,1,MATCH(COLUMNS($AO$1006:AS1006),$AO$1006:$BQ$1006,0)))),"Fix")))</f>
        <v>#N/A</v>
      </c>
      <c r="G975" s="5" t="e">
        <f ca="1">IF(OR(INDEX($AI$2:$AI$1001,MATCH(ROWS($AH$2:AH975),$AH$2:$AH$1001,0),1)&gt;=100000,INDEX($AO$1005:$BQ$1005,1,MATCH(COLUMNS($AO$1006:AT1006),$AO$1006:$BQ$1006,0))&gt;=100000), " ",IF(INDEX($AO$2:$BQ$1001,MATCH(ROWS($AH$2:AH975),$AH$2:$AH$1001,0),MATCH(COLUMNS($AO$1006:AT1006),$AO$1006:$BQ$1006,0)), HYPERLINK("#",""), HYPERLINK(CONCATENATE("#Metadata!", ADDRESS(INDEX($AJ$2:$AJ$1001,MATCH(ROWS($AH$2:AH975),$AH$2:$AH$1001,0),0), INDEX($AO$1004:$BQ$1004,1,MATCH(COLUMNS($AO$1006:AT1006),$AO$1006:$BQ$1006,0)))),"Fix")))</f>
        <v>#N/A</v>
      </c>
      <c r="H975" s="5" t="e">
        <f ca="1">IF(OR(INDEX($AI$2:$AI$1001,MATCH(ROWS($AH$2:AH975),$AH$2:$AH$1001,0),1)&gt;=100000,INDEX($AO$1005:$BQ$1005,1,MATCH(COLUMNS($AO$1006:AU1006),$AO$1006:$BQ$1006,0))&gt;=100000), " ",IF(INDEX($AO$2:$BQ$1001,MATCH(ROWS($AH$2:AH975),$AH$2:$AH$1001,0),MATCH(COLUMNS($AO$1006:AU1006),$AO$1006:$BQ$1006,0)), HYPERLINK("#",""), HYPERLINK(CONCATENATE("#Metadata!", ADDRESS(INDEX($AJ$2:$AJ$1001,MATCH(ROWS($AH$2:AH975),$AH$2:$AH$1001,0),0), INDEX($AO$1004:$BQ$1004,1,MATCH(COLUMNS($AO$1006:AU1006),$AO$1006:$BQ$1006,0)))),"Fix")))</f>
        <v>#N/A</v>
      </c>
      <c r="I975" s="5" t="e">
        <f ca="1">IF(OR(INDEX($AI$2:$AI$1001,MATCH(ROWS($AH$2:AH975),$AH$2:$AH$1001,0),1)&gt;=100000,INDEX($AO$1005:$BQ$1005,1,MATCH(COLUMNS($AO$1006:AV1006),$AO$1006:$BQ$1006,0))&gt;=100000), " ",IF(INDEX($AO$2:$BQ$1001,MATCH(ROWS($AH$2:AH975),$AH$2:$AH$1001,0),MATCH(COLUMNS($AO$1006:AV1006),$AO$1006:$BQ$1006,0)), HYPERLINK("#",""), HYPERLINK(CONCATENATE("#Metadata!", ADDRESS(INDEX($AJ$2:$AJ$1001,MATCH(ROWS($AH$2:AH975),$AH$2:$AH$1001,0),0), INDEX($AO$1004:$BQ$1004,1,MATCH(COLUMNS($AO$1006:AV1006),$AO$1006:$BQ$1006,0)))),"Fix")))</f>
        <v>#N/A</v>
      </c>
      <c r="J975" s="5" t="e">
        <f ca="1">IF(OR(INDEX($AI$2:$AI$1001,MATCH(ROWS($AH$2:AH975),$AH$2:$AH$1001,0),1)&gt;=100000,INDEX($AO$1005:$BQ$1005,1,MATCH(COLUMNS($AO$1006:AW1006),$AO$1006:$BQ$1006,0))&gt;=100000), " ",IF(INDEX($AO$2:$BQ$1001,MATCH(ROWS($AH$2:AH975),$AH$2:$AH$1001,0),MATCH(COLUMNS($AO$1006:AW1006),$AO$1006:$BQ$1006,0)), HYPERLINK("#",""), HYPERLINK(CONCATENATE("#Metadata!", ADDRESS(INDEX($AJ$2:$AJ$1001,MATCH(ROWS($AH$2:AH975),$AH$2:$AH$1001,0),0), INDEX($AO$1004:$BQ$1004,1,MATCH(COLUMNS($AO$1006:AW1006),$AO$1006:$BQ$1006,0)))),"Fix")))</f>
        <v>#N/A</v>
      </c>
      <c r="K975" s="5" t="e">
        <f ca="1">IF(OR(INDEX($AI$2:$AI$1001,MATCH(ROWS($AH$2:AH975),$AH$2:$AH$1001,0),1)&gt;=100000,INDEX($AO$1005:$BQ$1005,1,MATCH(COLUMNS($AO$1006:AX1006),$AO$1006:$BQ$1006,0))&gt;=100000), " ",IF(INDEX($AO$2:$BQ$1001,MATCH(ROWS($AH$2:AH975),$AH$2:$AH$1001,0),MATCH(COLUMNS($AO$1006:AX1006),$AO$1006:$BQ$1006,0)), HYPERLINK("#",""), HYPERLINK(CONCATENATE("#Metadata!", ADDRESS(INDEX($AJ$2:$AJ$1001,MATCH(ROWS($AH$2:AH975),$AH$2:$AH$1001,0),0), INDEX($AO$1004:$BQ$1004,1,MATCH(COLUMNS($AO$1006:AX1006),$AO$1006:$BQ$1006,0)))),"Fix")))</f>
        <v>#N/A</v>
      </c>
      <c r="L975" s="5" t="e">
        <f ca="1">IF(OR(INDEX($AI$2:$AI$1001,MATCH(ROWS($AH$2:AH975),$AH$2:$AH$1001,0),1)&gt;=100000,INDEX($AO$1005:$BQ$1005,1,MATCH(COLUMNS($AO$1006:AY1006),$AO$1006:$BQ$1006,0))&gt;=100000), " ",IF(INDEX($AO$2:$BQ$1001,MATCH(ROWS($AH$2:AH975),$AH$2:$AH$1001,0),MATCH(COLUMNS($AO$1006:AY1006),$AO$1006:$BQ$1006,0)), HYPERLINK("#",""), HYPERLINK(CONCATENATE("#Metadata!", ADDRESS(INDEX($AJ$2:$AJ$1001,MATCH(ROWS($AH$2:AH975),$AH$2:$AH$1001,0),0), INDEX($AO$1004:$BQ$1004,1,MATCH(COLUMNS($AO$1006:AY1006),$AO$1006:$BQ$1006,0)))),"Fix")))</f>
        <v>#N/A</v>
      </c>
      <c r="M975" s="5" t="e">
        <f ca="1">IF(OR(INDEX($AI$2:$AI$1001,MATCH(ROWS($AH$2:AH975),$AH$2:$AH$1001,0),1)&gt;=100000,INDEX($AO$1005:$BQ$1005,1,MATCH(COLUMNS($AO$1006:AZ1006),$AO$1006:$BQ$1006,0))&gt;=100000), " ",IF(INDEX($AO$2:$BQ$1001,MATCH(ROWS($AH$2:AH975),$AH$2:$AH$1001,0),MATCH(COLUMNS($AO$1006:AZ1006),$AO$1006:$BQ$1006,0)), HYPERLINK("#",""), HYPERLINK(CONCATENATE("#Metadata!", ADDRESS(INDEX($AJ$2:$AJ$1001,MATCH(ROWS($AH$2:AH975),$AH$2:$AH$1001,0),0), INDEX($AO$1004:$BQ$1004,1,MATCH(COLUMNS($AO$1006:AZ1006),$AO$1006:$BQ$1006,0)))),"Fix")))</f>
        <v>#N/A</v>
      </c>
      <c r="N975" s="5" t="e">
        <f ca="1">IF(OR(INDEX($AI$2:$AI$1001,MATCH(ROWS($AH$2:AH975),$AH$2:$AH$1001,0),1)&gt;=100000,INDEX($AO$1005:$BQ$1005,1,MATCH(COLUMNS($AO$1006:BA1006),$AO$1006:$BQ$1006,0))&gt;=100000), " ",IF(INDEX($AO$2:$BQ$1001,MATCH(ROWS($AH$2:AH975),$AH$2:$AH$1001,0),MATCH(COLUMNS($AO$1006:BA1006),$AO$1006:$BQ$1006,0)), HYPERLINK("#",""), HYPERLINK(CONCATENATE("#Metadata!", ADDRESS(INDEX($AJ$2:$AJ$1001,MATCH(ROWS($AH$2:AH975),$AH$2:$AH$1001,0),0), INDEX($AO$1004:$BQ$1004,1,MATCH(COLUMNS($AO$1006:BA1006),$AO$1006:$BQ$1006,0)))),"Fix")))</f>
        <v>#N/A</v>
      </c>
      <c r="O975" s="5" t="e">
        <f ca="1">IF(OR(INDEX($AI$2:$AI$1001,MATCH(ROWS($AH$2:AH975),$AH$2:$AH$1001,0),1)&gt;=100000,INDEX($AO$1005:$BQ$1005,1,MATCH(COLUMNS($AO$1006:BB1006),$AO$1006:$BQ$1006,0))&gt;=100000), " ",IF(INDEX($AO$2:$BQ$1001,MATCH(ROWS($AH$2:AH975),$AH$2:$AH$1001,0),MATCH(COLUMNS($AO$1006:BB1006),$AO$1006:$BQ$1006,0)), HYPERLINK("#",""), HYPERLINK(CONCATENATE("#Metadata!", ADDRESS(INDEX($AJ$2:$AJ$1001,MATCH(ROWS($AH$2:AH975),$AH$2:$AH$1001,0),0), INDEX($AO$1004:$BQ$1004,1,MATCH(COLUMNS($AO$1006:BB1006),$AO$1006:$BQ$1006,0)))),"Fix")))</f>
        <v>#N/A</v>
      </c>
      <c r="P975" s="5" t="e">
        <f ca="1">IF(OR(INDEX($AI$2:$AI$1001,MATCH(ROWS($AH$2:AH975),$AH$2:$AH$1001,0),1)&gt;=100000,INDEX($AO$1005:$BQ$1005,1,MATCH(COLUMNS($AO$1006:BC1006),$AO$1006:$BQ$1006,0))&gt;=100000), " ",IF(INDEX($AO$2:$BQ$1001,MATCH(ROWS($AH$2:AH975),$AH$2:$AH$1001,0),MATCH(COLUMNS($AO$1006:BC1006),$AO$1006:$BQ$1006,0)), HYPERLINK("#",""), HYPERLINK(CONCATENATE("#Metadata!", ADDRESS(INDEX($AJ$2:$AJ$1001,MATCH(ROWS($AH$2:AH975),$AH$2:$AH$1001,0),0), INDEX($AO$1004:$BQ$1004,1,MATCH(COLUMNS($AO$1006:BC1006),$AO$1006:$BQ$1006,0)))),"Fix")))</f>
        <v>#N/A</v>
      </c>
      <c r="Q975" s="5" t="e">
        <f ca="1">IF(OR(INDEX($AI$2:$AI$1001,MATCH(ROWS($AH$2:AH975),$AH$2:$AH$1001,0),1)&gt;=100000,INDEX($AO$1005:$BQ$1005,1,MATCH(COLUMNS($AO$1006:BD1006),$AO$1006:$BQ$1006,0))&gt;=100000), " ",IF(INDEX($AO$2:$BQ$1001,MATCH(ROWS($AH$2:AH975),$AH$2:$AH$1001,0),MATCH(COLUMNS($AO$1006:BD1006),$AO$1006:$BQ$1006,0)), HYPERLINK("#",""), HYPERLINK(CONCATENATE("#Metadata!", ADDRESS(INDEX($AJ$2:$AJ$1001,MATCH(ROWS($AH$2:AH975),$AH$2:$AH$1001,0),0), INDEX($AO$1004:$BQ$1004,1,MATCH(COLUMNS($AO$1006:BD1006),$AO$1006:$BQ$1006,0)))),"Fix")))</f>
        <v>#N/A</v>
      </c>
      <c r="R975" s="5" t="e">
        <f ca="1">IF(OR(INDEX($AI$2:$AI$1001,MATCH(ROWS($AH$2:AH975),$AH$2:$AH$1001,0),1)&gt;=100000,INDEX($AO$1005:$BQ$1005,1,MATCH(COLUMNS($AO$1006:BE1006),$AO$1006:$BQ$1006,0))&gt;=100000), " ",IF(INDEX($AO$2:$BQ$1001,MATCH(ROWS($AH$2:AH975),$AH$2:$AH$1001,0),MATCH(COLUMNS($AO$1006:BE1006),$AO$1006:$BQ$1006,0)), HYPERLINK("#",""), HYPERLINK(CONCATENATE("#Metadata!", ADDRESS(INDEX($AJ$2:$AJ$1001,MATCH(ROWS($AH$2:AH975),$AH$2:$AH$1001,0),0), INDEX($AO$1004:$BQ$1004,1,MATCH(COLUMNS($AO$1006:BE1006),$AO$1006:$BQ$1006,0)))),"Fix")))</f>
        <v>#N/A</v>
      </c>
      <c r="S975" s="5" t="e">
        <f ca="1">IF(OR(INDEX($AI$2:$AI$1001,MATCH(ROWS($AH$2:AH975),$AH$2:$AH$1001,0),1)&gt;=100000,INDEX($AO$1005:$BQ$1005,1,MATCH(COLUMNS($AO$1006:BF1006),$AO$1006:$BQ$1006,0))&gt;=100000), " ",IF(INDEX($AO$2:$BQ$1001,MATCH(ROWS($AH$2:AH975),$AH$2:$AH$1001,0),MATCH(COLUMNS($AO$1006:BF1006),$AO$1006:$BQ$1006,0)), HYPERLINK("#",""), HYPERLINK(CONCATENATE("#Metadata!", ADDRESS(INDEX($AJ$2:$AJ$1001,MATCH(ROWS($AH$2:AH975),$AH$2:$AH$1001,0),0), INDEX($AO$1004:$BQ$1004,1,MATCH(COLUMNS($AO$1006:BF1006),$AO$1006:$BQ$1006,0)))),"Fix")))</f>
        <v>#N/A</v>
      </c>
      <c r="T975" s="5" t="e">
        <f ca="1">IF(OR(INDEX($AI$2:$AI$1001,MATCH(ROWS($AH$2:AH975),$AH$2:$AH$1001,0),1)&gt;=100000,INDEX($AO$1005:$BQ$1005,1,MATCH(COLUMNS($AO$1006:BG1006),$AO$1006:$BQ$1006,0))&gt;=100000), " ",IF(INDEX($AO$2:$BQ$1001,MATCH(ROWS($AH$2:AH975),$AH$2:$AH$1001,0),MATCH(COLUMNS($AO$1006:BG1006),$AO$1006:$BQ$1006,0)), HYPERLINK("#",""), HYPERLINK(CONCATENATE("#Metadata!", ADDRESS(INDEX($AJ$2:$AJ$1001,MATCH(ROWS($AH$2:AH975),$AH$2:$AH$1001,0),0), INDEX($AO$1004:$BQ$1004,1,MATCH(COLUMNS($AO$1006:BG1006),$AO$1006:$BQ$1006,0)))),"Fix")))</f>
        <v>#N/A</v>
      </c>
      <c r="U975" s="5" t="e">
        <f ca="1">IF(OR(INDEX($AI$2:$AI$1001,MATCH(ROWS($AH$2:AH975),$AH$2:$AH$1001,0),1)&gt;=100000,INDEX($AO$1005:$BQ$1005,1,MATCH(COLUMNS($AO$1006:BH1006),$AO$1006:$BQ$1006,0))&gt;=100000), " ",IF(INDEX($AO$2:$BQ$1001,MATCH(ROWS($AH$2:AH975),$AH$2:$AH$1001,0),MATCH(COLUMNS($AO$1006:BH1006),$AO$1006:$BQ$1006,0)), HYPERLINK("#",""), HYPERLINK(CONCATENATE("#Metadata!", ADDRESS(INDEX($AJ$2:$AJ$1001,MATCH(ROWS($AH$2:AH975),$AH$2:$AH$1001,0),0), INDEX($AO$1004:$BQ$1004,1,MATCH(COLUMNS($AO$1006:BH1006),$AO$1006:$BQ$1006,0)))),"Fix")))</f>
        <v>#N/A</v>
      </c>
      <c r="V975" s="5" t="e">
        <f ca="1">IF(OR(INDEX($AI$2:$AI$1001,MATCH(ROWS($AH$2:AH975),$AH$2:$AH$1001,0),1)&gt;=100000,INDEX($AO$1005:$BQ$1005,1,MATCH(COLUMNS($AO$1006:BI1006),$AO$1006:$BQ$1006,0))&gt;=100000), " ",IF(INDEX($AO$2:$BQ$1001,MATCH(ROWS($AH$2:AH975),$AH$2:$AH$1001,0),MATCH(COLUMNS($AO$1006:BI1006),$AO$1006:$BQ$1006,0)), HYPERLINK("#",""), HYPERLINK(CONCATENATE("#Metadata!", ADDRESS(INDEX($AJ$2:$AJ$1001,MATCH(ROWS($AH$2:AH975),$AH$2:$AH$1001,0),0), INDEX($AO$1004:$BQ$1004,1,MATCH(COLUMNS($AO$1006:BI1006),$AO$1006:$BQ$1006,0)))),"Fix")))</f>
        <v>#N/A</v>
      </c>
      <c r="W975" s="5" t="e">
        <f ca="1">IF(OR(INDEX($AI$2:$AI$1001,MATCH(ROWS($AH$2:AH975),$AH$2:$AH$1001,0),1)&gt;=100000,INDEX($AO$1005:$BQ$1005,1,MATCH(COLUMNS($AO$1006:BJ1006),$AO$1006:$BQ$1006,0))&gt;=100000), " ",IF(INDEX($AO$2:$BQ$1001,MATCH(ROWS($AH$2:AH975),$AH$2:$AH$1001,0),MATCH(COLUMNS($AO$1006:BJ1006),$AO$1006:$BQ$1006,0)), HYPERLINK("#",""), HYPERLINK(CONCATENATE("#Metadata!", ADDRESS(INDEX($AJ$2:$AJ$1001,MATCH(ROWS($AH$2:AH975),$AH$2:$AH$1001,0),0), INDEX($AO$1004:$BQ$1004,1,MATCH(COLUMNS($AO$1006:BJ1006),$AO$1006:$BQ$1006,0)))),"Fix")))</f>
        <v>#N/A</v>
      </c>
      <c r="X975" s="5" t="e">
        <f ca="1">IF(OR(INDEX($AI$2:$AI$1001,MATCH(ROWS($AH$2:AH975),$AH$2:$AH$1001,0),1)&gt;=100000,INDEX($AO$1005:$BQ$1005,1,MATCH(COLUMNS($AO$1006:BK1006),$AO$1006:$BQ$1006,0))&gt;=100000), " ",IF(INDEX($AO$2:$BQ$1001,MATCH(ROWS($AH$2:AH975),$AH$2:$AH$1001,0),MATCH(COLUMNS($AO$1006:BK1006),$AO$1006:$BQ$1006,0)), HYPERLINK("#",""), HYPERLINK(CONCATENATE("#Metadata!", ADDRESS(INDEX($AJ$2:$AJ$1001,MATCH(ROWS($AH$2:AH975),$AH$2:$AH$1001,0),0), INDEX($AO$1004:$BQ$1004,1,MATCH(COLUMNS($AO$1006:BK1006),$AO$1006:$BQ$1006,0)))),"Fix")))</f>
        <v>#N/A</v>
      </c>
      <c r="Y975" s="5" t="e">
        <f ca="1">IF(OR(INDEX($AI$2:$AI$1001,MATCH(ROWS($AH$2:AH975),$AH$2:$AH$1001,0),1)&gt;=100000,INDEX($AO$1005:$BQ$1005,1,MATCH(COLUMNS($AO$1006:BL1006),$AO$1006:$BQ$1006,0))&gt;=100000), " ",IF(INDEX($AO$2:$BQ$1001,MATCH(ROWS($AH$2:AH975),$AH$2:$AH$1001,0),MATCH(COLUMNS($AO$1006:BL1006),$AO$1006:$BQ$1006,0)), HYPERLINK("#",""), HYPERLINK(CONCATENATE("#Metadata!", ADDRESS(INDEX($AJ$2:$AJ$1001,MATCH(ROWS($AH$2:AH975),$AH$2:$AH$1001,0),0), INDEX($AO$1004:$BQ$1004,1,MATCH(COLUMNS($AO$1006:BL1006),$AO$1006:$BQ$1006,0)))),"Fix")))</f>
        <v>#N/A</v>
      </c>
      <c r="Z975" s="5" t="e">
        <f ca="1">IF(OR(INDEX($AI$2:$AI$1001,MATCH(ROWS($AH$2:AH975),$AH$2:$AH$1001,0),1)&gt;=100000,INDEX($AO$1005:$BQ$1005,1,MATCH(COLUMNS($AO$1006:BM1006),$AO$1006:$BQ$1006,0))&gt;=100000), " ",IF(INDEX($AO$2:$BQ$1001,MATCH(ROWS($AH$2:AH975),$AH$2:$AH$1001,0),MATCH(COLUMNS($AO$1006:BM1006),$AO$1006:$BQ$1006,0)), HYPERLINK("#",""), HYPERLINK(CONCATENATE("#Metadata!", ADDRESS(INDEX($AJ$2:$AJ$1001,MATCH(ROWS($AH$2:AH975),$AH$2:$AH$1001,0),0), INDEX($AO$1004:$BQ$1004,1,MATCH(COLUMNS($AO$1006:BM1006),$AO$1006:$BQ$1006,0)))),"Fix")))</f>
        <v>#N/A</v>
      </c>
      <c r="AA975" s="5" t="e">
        <f ca="1">IF(OR(INDEX($AI$2:$AI$1001,MATCH(ROWS($AH$2:AH975),$AH$2:$AH$1001,0),1)&gt;=100000,INDEX($AO$1005:$BQ$1005,1,MATCH(COLUMNS($AO$1006:BN1006),$AO$1006:$BQ$1006,0))&gt;=100000), " ",IF(INDEX($AO$2:$BQ$1001,MATCH(ROWS($AH$2:AH975),$AH$2:$AH$1001,0),MATCH(COLUMNS($AO$1006:BN1006),$AO$1006:$BQ$1006,0)), HYPERLINK("#",""), HYPERLINK(CONCATENATE("#Metadata!", ADDRESS(INDEX($AJ$2:$AJ$1001,MATCH(ROWS($AH$2:AH975),$AH$2:$AH$1001,0),0), INDEX($AO$1004:$BQ$1004,1,MATCH(COLUMNS($AO$1006:BN1006),$AO$1006:$BQ$1006,0)))),"Fix")))</f>
        <v>#N/A</v>
      </c>
      <c r="AB975" s="5" t="e">
        <f ca="1">IF(OR(INDEX($AI$2:$AI$1001,MATCH(ROWS($AH$2:AH975),$AH$2:$AH$1001,0),1)&gt;=100000,INDEX($AO$1005:$BQ$1005,1,MATCH(COLUMNS($AO$1006:BO1006),$AO$1006:$BQ$1006,0))&gt;=100000), " ",IF(INDEX($AO$2:$BQ$1001,MATCH(ROWS($AH$2:AH975),$AH$2:$AH$1001,0),MATCH(COLUMNS($AO$1006:BO1006),$AO$1006:$BQ$1006,0)), HYPERLINK("#",""), HYPERLINK(CONCATENATE("#Metadata!", ADDRESS(INDEX($AJ$2:$AJ$1001,MATCH(ROWS($AH$2:AH975),$AH$2:$AH$1001,0),0), INDEX($AO$1004:$BQ$1004,1,MATCH(COLUMNS($AO$1006:BO1006),$AO$1006:$BQ$1006,0)))),"Fix")))</f>
        <v>#N/A</v>
      </c>
      <c r="AC975" s="5" t="e">
        <f ca="1">IF(OR(INDEX($AI$2:$AI$1001,MATCH(ROWS($AH$2:AH975),$AH$2:$AH$1001,0),1)&gt;=100000,INDEX($AO$1005:$BQ$1005,1,MATCH(COLUMNS($AO$1006:BP1006),$AO$1006:$BQ$1006,0))&gt;=100000), " ",IF(INDEX($AO$2:$BQ$1001,MATCH(ROWS($AH$2:AH975),$AH$2:$AH$1001,0),MATCH(COLUMNS($AO$1006:BP1006),$AO$1006:$BQ$1006,0)), HYPERLINK("#",""), HYPERLINK(CONCATENATE("#Metadata!", ADDRESS(INDEX($AJ$2:$AJ$1001,MATCH(ROWS($AH$2:AH975),$AH$2:$AH$1001,0),0), INDEX($AO$1004:$BQ$1004,1,MATCH(COLUMNS($AO$1006:BP1006),$AO$1006:$BQ$1006,0)))),"Fix")))</f>
        <v>#N/A</v>
      </c>
      <c r="AD975" s="5" t="e">
        <f ca="1">IF(OR(INDEX($AI$2:$AI$1001,MATCH(ROWS($AH$2:AH975),$AH$2:$AH$1001,0),1)&gt;=100000,INDEX($AO$1005:$BQ$1005,1,MATCH(COLUMNS($AO$1006:BQ1006),$AO$1006:$BQ$1006,0))&gt;=100000), " ",IF(INDEX($AO$2:$BQ$1001,MATCH(ROWS($AH$2:AH975),$AH$2:$AH$1001,0),MATCH(COLUMNS($AO$1006:BQ1006),$AO$1006:$BQ$1006,0)), HYPERLINK("#",""), HYPERLINK(CONCATENATE("#Metadata!", ADDRESS(INDEX($AJ$2:$AJ$1001,MATCH(ROWS($AH$2:AH975),$AH$2:$AH$1001,0),0), INDEX($AO$1004:$BQ$1004,1,MATCH(COLUMNS($AO$1006:BQ1006),$AO$1006:$BQ$1006,0)))),"Fix")))</f>
        <v>#REF!</v>
      </c>
      <c r="AH975">
        <f ca="1"/>
        <v>972</v>
      </c>
      <c r="AI975">
        <v>100975</v>
      </c>
      <c r="AJ975">
        <v>975</v>
      </c>
      <c r="AK975" t="b">
        <f t="shared" si="15"/>
        <v>1</v>
      </c>
      <c r="AL975" t="b">
        <f>COUNTBLANK(Metadata!B975:AD975)=COLUMNS(Metadata!B975:AD975)</f>
        <v>1</v>
      </c>
      <c r="AM975" t="str">
        <v/>
      </c>
      <c r="AO975" t="b">
        <f ca="1">AND(IF(Metadata!B975="",FALSE,TRUE),COUNTIF(Metadata!B:B, Metadata!B975) = 1,NOT(ISERROR(SUMPRODUCT(SEARCH(MID(Metadata!B975,ROW(INDIRECT("1:"&amp;LEN(Metadata!B975))), 1),"0123456789abcdefghijklmnopqrstuvwxyzABCDEFGHIJKLMNOPQRSTUVWXYZ.")))))</f>
        <v>0</v>
      </c>
      <c r="AP975" t="b">
        <f>IF(Metadata!C975="",FALSE,TRUE)</f>
        <v>0</v>
      </c>
      <c r="AQ975" t="b">
        <f>IF(Metadata!D975="",FALSE,TRUE)</f>
        <v>0</v>
      </c>
      <c r="AR975" t="b">
        <f ca="1">OR(AND(IF(Metadata!E975="",FALSE,TRUE),OR(EXACT(Metadata!E975,"not collected"),EXACT(Metadata!E975,"not provided"),EXACT(Metadata!E975,"restricted access"))),AND(IF(Metadata!E975="",FALSE,TRUE),AND(AND(IFERROR(INT(LEFT(Metadata!E975,4))&gt;1900,FALSE),IFERROR(INT(LEFT(Metadata!E975,4))&lt;=YEAR(NOW()),FALSE)), OR(MID(Metadata!E975,5,1)="", AND(AND(MID(Metadata!E975,5,1)="-",IFERROR(INT(MID(Metadata!E975,6,1))&gt;=0,FALSE),IFERROR(INT(MID(Metadata!E975,6,1))&lt;=1,FALSE),NOT(MID(Metadata!E975,7,1)=""),IFERROR(INT(MID(Metadata!E975,6,2))&gt;=1,FALSE),IFERROR(INT(MID(Metadata!E975,6,2))&lt;=12,FALSE)), OR(MID(Metadata!E975,8,1)="", AND(AND(MID(Metadata!E975,8,1)="-",IFERROR(INT(MID(Metadata!E975,9,1))&gt;=0,FALSE),IFERROR(INT(MID(Metadata!E975,9,1))&lt;=3,FALSE),NOT(MID(Metadata!E975,10,1)=""),IFERROR(INT(MID(Metadata!E975,9,2))&gt;=1,FALSE),IFERROR(INT(MID(Metadata!E975,9,2))&lt;=31,FALSE)), OR(MID(Metadata!E975,11,1)="", AND(AND(MID(Metadata!E975,11,1)=" ",IFERROR(INT(MID(Metadata!E975,12,1))&gt;=0,FALSE),IFERROR(INT(MID(Metadata!E975,12,1))&lt;=2,FALSE),NOT(MID(Metadata!E975,13,1)=""),IFERROR(INT(MID(Metadata!E975,12,2))&gt;=0,FALSE),IFERROR(INT(MID(Metadata!E975,12,2))&lt;=23,FALSE)), OR(MID(Metadata!E975,14,1)="", AND(AND(MID(Metadata!E975,14,1)=":",IFERROR(INT(MID(Metadata!E975,15,1))&gt;=0,FALSE),IFERROR(INT(MID(Metadata!E975,15,1))&lt;=5,FALSE),NOT(MID(Metadata!E975,16,1)=""),IFERROR(INT(MID(Metadata!E975,15,2))&gt;=0,FALSE),IFERROR(INT(MID(Metadata!E975,15,2))&lt;=59,FALSE)), OR(MID(Metadata!E975,17,1)="", AND(AND(MID(Metadata!E975,17,1)=":",IFERROR(INT(MID(Metadata!E975,18,1))&gt;=0,FALSE),IFERROR(INT(MID(Metadata!E975,18,1))&lt;=5,FALSE),NOT(MID(Metadata!E975,19,1)=""),IFERROR(INT(MID(Metadata!E975,18,2))&gt;=0,FALSE),IFERROR(INT(MID(Metadata!E975,18,2))&lt;=59,FALSE)), LEN(Metadata!E975)&lt;=19)))))))))))))</f>
        <v>0</v>
      </c>
      <c r="AS975" t="b">
        <f>IF(Metadata!F975="",FALSE,TRUE)</f>
        <v>0</v>
      </c>
      <c r="AT975" t="b">
        <f>OR(AND(IF(Metadata!G975="",FALSE,TRUE),OR(EXACT(Metadata!G975,"not collected"),EXACT(Metadata!G975,"not provided"))),AND(IF(Metadata!G975="",FALSE,TRUE),OR(EXACT(Metadata!G975,"TRUE"),EXACT(Metadata!G975,"FALSE"))))</f>
        <v>0</v>
      </c>
      <c r="AU975" t="b">
        <f>OR(AND(IF(Metadata!H975="",FALSE,TRUE),OR(EXACT(Metadata!H975,"not collected"),EXACT(Metadata!H975,"not provided"),EXACT(Metadata!H975,"restricted access"))),AND(IF(Metadata!H975="",FALSE,ISNUMBER(VALUE(Metadata!H975))),Metadata!H975&gt;=-413))</f>
        <v>0</v>
      </c>
      <c r="AV975" t="b">
        <f>AND(IF(Metadata!I975="",FALSE,TRUE),EXACT(Metadata!I975,"meters"))</f>
        <v>0</v>
      </c>
      <c r="AW975" t="b">
        <f>AND(IF(Metadata!J975="",FALSE,TRUE),EXACT(Metadata!J975,"free-living"))</f>
        <v>0</v>
      </c>
      <c r="AX975" t="b">
        <f>AND(IF(Metadata!K975="",FALSE,TRUE),OR(EXACT(Metadata!K975,"saline"),EXACT(Metadata!K975,"non-saline")))</f>
        <v>0</v>
      </c>
      <c r="AY975" t="b">
        <f>AND(IF(Metadata!L975="",FALSE,TRUE),OR(EXACT(Metadata!L975,"sub-surface (non-saline)"),EXACT(Metadata!L975,"surface (non-saline)"),EXACT(Metadata!L975,"water (non-saline)"),EXACT(Metadata!L975,"soil (non-saline)"),EXACT(Metadata!L975,"aerosol (non-saline)"),EXACT(Metadata!L975,"sediment (non-saline)"),EXACT(Metadata!L975,"surface (saline)"),EXACT(Metadata!L975,"water (saline)"),EXACT(Metadata!L975,"hypersaline (saline)"),EXACT(Metadata!L975,"aerosol (saline)"),EXACT(Metadata!L975,"sediment (saline)")))</f>
        <v>0</v>
      </c>
      <c r="AZ975" t="b">
        <f>IF(Metadata!M975="",FALSE,TRUE)</f>
        <v>0</v>
      </c>
      <c r="BA975" t="b">
        <f>IF(Metadata!N975="",FALSE,TRUE)</f>
        <v>0</v>
      </c>
      <c r="BB975" t="b">
        <f>IF(Metadata!O975="",FALSE,TRUE)</f>
        <v>0</v>
      </c>
      <c r="BC975" t="b">
        <f>AND(IF(Metadata!P975="",FALSE,TRUE),OR(EXACT(Metadata!P975,"air"),EXACT(Metadata!P975,"microbial mat/biofilm"),EXACT(Metadata!P975,"misc environment"),EXACT(Metadata!P975,"sediment"),EXACT(Metadata!P975,"soil"),EXACT(Metadata!P975,"wastewater/sludge"),EXACT(Metadata!P975,"water")))</f>
        <v>0</v>
      </c>
      <c r="BD975" t="b">
        <f>IF(Metadata!Q975="",FALSE,TRUE)</f>
        <v>0</v>
      </c>
      <c r="BE975" t="b">
        <f>IF(Metadata!R975="",FALSE,TRUE)</f>
        <v>0</v>
      </c>
      <c r="BF975" t="b">
        <f>OR(AND(IF(Metadata!S975="",FALSE,TRUE),OR(EXACT(Metadata!S975,"not collected"),EXACT(Metadata!S975,"not provided"),EXACT(Metadata!S975,"restricted access"))),AND(IF(Metadata!S975="",FALSE,ISNUMBER(VALUE(Metadata!S975))),Metadata!S975&gt;=-90,Metadata!S975&lt;=90))</f>
        <v>0</v>
      </c>
      <c r="BG975" t="b">
        <f>AND(IF(Metadata!T975="",FALSE,TRUE),EXACT(Metadata!T975,"Decimal degrees"))</f>
        <v>0</v>
      </c>
      <c r="BH975" t="b">
        <f>OR(AND(IF(Metadata!U975="",FALSE,TRUE),OR(EXACT(Metadata!U975,"not applicable"),EXACT(Metadata!U975,"not collected"))),IF(Metadata!U975="",FALSE,TRUE))</f>
        <v>0</v>
      </c>
      <c r="BI975" t="b">
        <f>OR(AND(IF(Metadata!V975="",FALSE,TRUE),OR(EXACT(Metadata!V975,"not collected"),EXACT(Metadata!V975,"not provided"),EXACT(Metadata!V975,"restricted access"))),AND(IF(Metadata!V975="",FALSE,ISNUMBER(VALUE(Metadata!V975))),Metadata!V975&gt;=-180,Metadata!V975&lt;=180))</f>
        <v>0</v>
      </c>
      <c r="BJ975" t="b">
        <f>AND(IF(Metadata!W975="",FALSE,TRUE),EXACT(Metadata!W975,"Decimal degrees"))</f>
        <v>0</v>
      </c>
      <c r="BK975" t="b">
        <f>IF(Metadata!X975="",FALSE,TRUE)</f>
        <v>0</v>
      </c>
      <c r="BL975" t="b">
        <f>OR(AND(IF(Metadata!Y975="",FALSE,TRUE),OR(EXACT(Metadata!Y975,"not collected"),EXACT(Metadata!Y975,"not provided"),EXACT(Metadata!Y975,"restricted access"))),AND(IF(Metadata!Y975="",FALSE,TRUE),OR(EXACT(Metadata!Y975,"TRUE"),EXACT(Metadata!Y975,"FALSE"))))</f>
        <v>0</v>
      </c>
      <c r="BM975" t="b">
        <f>OR(AND(IF(Metadata!Z975="",FALSE,TRUE),EXACT(Metadata!Z975,"not applicable")),AND(IF(Metadata!Z975="",FALSE,TRUE),OR(EXACT(Metadata!Z975,"beer"),EXACT(Metadata!Z975,"cheese"),EXACT(Metadata!Z975,"fresh water"),EXACT(Metadata!Z975,"marine sediment"),EXACT(Metadata!Z975,"sea water"),EXACT(Metadata!Z975,"sediment"),EXACT(Metadata!Z975,"soil"),EXACT(Metadata!Z975,"waste water"))))</f>
        <v>0</v>
      </c>
      <c r="BN975" t="b">
        <f>AND(IF(Metadata!AA975="",FALSE,TRUE),EXACT(Metadata!AA975,"metagenome"))</f>
        <v>0</v>
      </c>
      <c r="BO975" t="b">
        <f>AND(IF(Metadata!AB975="",FALSE,TRUE),EXACT(Metadata!AB975,"256318"))</f>
        <v>0</v>
      </c>
      <c r="BP975" t="b">
        <f>IF(Metadata!AC975="",FALSE,TRUE)</f>
        <v>0</v>
      </c>
      <c r="BQ975" t="b">
        <f>IF(Metadata!AD975="",FALSE,TRUE)</f>
        <v>0</v>
      </c>
    </row>
    <row r="976" spans="1:69" x14ac:dyDescent="0.2">
      <c r="A976" s="4" t="e">
        <f ca="1">IF(B976=" "," ",HYPERLINK(CONCATENATE("#metadata!",ADDRESS(INDEX($AJ$2:$AJ$1001,MATCH(ROWS($AH$2:AH976),$AH$2:$AH$1001,0),0),2)),INDEX($AM$2:$AM$1001,MATCH(ROWS($AH$2:AH976),$AH$2:$AH$1001,0),0)))</f>
        <v>#N/A</v>
      </c>
      <c r="B976" s="5" t="e">
        <f ca="1">IF(OR(INDEX($AI$2:$AI$1001,MATCH(ROWS($AH$2:AH976),$AH$2:$AH$1001,0),1)&gt;=100000,INDEX($AO$1005:$BQ$1005,1,MATCH(COLUMNS($AO$1006:AO1006),$AO$1006:$BQ$1006,0))&gt;=100000), " ",IF(INDEX($AO$2:$BQ$1001,MATCH(ROWS($AH$2:AH976),$AH$2:$AH$1001,0),MATCH(COLUMNS($AO$1006:AO1006),$AO$1006:$BQ$1006,0)), HYPERLINK("#",""), HYPERLINK(CONCATENATE("#Metadata!", ADDRESS(INDEX($AJ$2:$AJ$1001,MATCH(ROWS($AH$2:AH976),$AH$2:$AH$1001,0),0), INDEX($AO$1004:$BQ$1004,1,MATCH(COLUMNS($AO$1006:AO1006),$AO$1006:$BQ$1006,0)))),"Fix")))</f>
        <v>#N/A</v>
      </c>
      <c r="C976" s="5" t="e">
        <f ca="1">IF(OR(INDEX($AI$2:$AI$1001,MATCH(ROWS($AH$2:AH976),$AH$2:$AH$1001,0),1)&gt;=100000,INDEX($AO$1005:$BQ$1005,1,MATCH(COLUMNS($AO$1006:AP1006),$AO$1006:$BQ$1006,0))&gt;=100000), " ",IF(INDEX($AO$2:$BQ$1001,MATCH(ROWS($AH$2:AH976),$AH$2:$AH$1001,0),MATCH(COLUMNS($AO$1006:AP1006),$AO$1006:$BQ$1006,0)), HYPERLINK("#",""), HYPERLINK(CONCATENATE("#Metadata!", ADDRESS(INDEX($AJ$2:$AJ$1001,MATCH(ROWS($AH$2:AH976),$AH$2:$AH$1001,0),0), INDEX($AO$1004:$BQ$1004,1,MATCH(COLUMNS($AO$1006:AP1006),$AO$1006:$BQ$1006,0)))),"Fix")))</f>
        <v>#N/A</v>
      </c>
      <c r="D976" s="5" t="e">
        <f ca="1">IF(OR(INDEX($AI$2:$AI$1001,MATCH(ROWS($AH$2:AH976),$AH$2:$AH$1001,0),1)&gt;=100000,INDEX($AO$1005:$BQ$1005,1,MATCH(COLUMNS($AO$1006:AQ1006),$AO$1006:$BQ$1006,0))&gt;=100000), " ",IF(INDEX($AO$2:$BQ$1001,MATCH(ROWS($AH$2:AH976),$AH$2:$AH$1001,0),MATCH(COLUMNS($AO$1006:AQ1006),$AO$1006:$BQ$1006,0)), HYPERLINK("#",""), HYPERLINK(CONCATENATE("#Metadata!", ADDRESS(INDEX($AJ$2:$AJ$1001,MATCH(ROWS($AH$2:AH976),$AH$2:$AH$1001,0),0), INDEX($AO$1004:$BQ$1004,1,MATCH(COLUMNS($AO$1006:AQ1006),$AO$1006:$BQ$1006,0)))),"Fix")))</f>
        <v>#N/A</v>
      </c>
      <c r="E976" s="5" t="e">
        <f ca="1">IF(OR(INDEX($AI$2:$AI$1001,MATCH(ROWS($AH$2:AH976),$AH$2:$AH$1001,0),1)&gt;=100000,INDEX($AO$1005:$BQ$1005,1,MATCH(COLUMNS($AO$1006:AR1006),$AO$1006:$BQ$1006,0))&gt;=100000), " ",IF(INDEX($AO$2:$BQ$1001,MATCH(ROWS($AH$2:AH976),$AH$2:$AH$1001,0),MATCH(COLUMNS($AO$1006:AR1006),$AO$1006:$BQ$1006,0)), HYPERLINK("#",""), HYPERLINK(CONCATENATE("#Metadata!", ADDRESS(INDEX($AJ$2:$AJ$1001,MATCH(ROWS($AH$2:AH976),$AH$2:$AH$1001,0),0), INDEX($AO$1004:$BQ$1004,1,MATCH(COLUMNS($AO$1006:AR1006),$AO$1006:$BQ$1006,0)))),"Fix")))</f>
        <v>#N/A</v>
      </c>
      <c r="F976" s="5" t="e">
        <f ca="1">IF(OR(INDEX($AI$2:$AI$1001,MATCH(ROWS($AH$2:AH976),$AH$2:$AH$1001,0),1)&gt;=100000,INDEX($AO$1005:$BQ$1005,1,MATCH(COLUMNS($AO$1006:AS1006),$AO$1006:$BQ$1006,0))&gt;=100000), " ",IF(INDEX($AO$2:$BQ$1001,MATCH(ROWS($AH$2:AH976),$AH$2:$AH$1001,0),MATCH(COLUMNS($AO$1006:AS1006),$AO$1006:$BQ$1006,0)), HYPERLINK("#",""), HYPERLINK(CONCATENATE("#Metadata!", ADDRESS(INDEX($AJ$2:$AJ$1001,MATCH(ROWS($AH$2:AH976),$AH$2:$AH$1001,0),0), INDEX($AO$1004:$BQ$1004,1,MATCH(COLUMNS($AO$1006:AS1006),$AO$1006:$BQ$1006,0)))),"Fix")))</f>
        <v>#N/A</v>
      </c>
      <c r="G976" s="5" t="e">
        <f ca="1">IF(OR(INDEX($AI$2:$AI$1001,MATCH(ROWS($AH$2:AH976),$AH$2:$AH$1001,0),1)&gt;=100000,INDEX($AO$1005:$BQ$1005,1,MATCH(COLUMNS($AO$1006:AT1006),$AO$1006:$BQ$1006,0))&gt;=100000), " ",IF(INDEX($AO$2:$BQ$1001,MATCH(ROWS($AH$2:AH976),$AH$2:$AH$1001,0),MATCH(COLUMNS($AO$1006:AT1006),$AO$1006:$BQ$1006,0)), HYPERLINK("#",""), HYPERLINK(CONCATENATE("#Metadata!", ADDRESS(INDEX($AJ$2:$AJ$1001,MATCH(ROWS($AH$2:AH976),$AH$2:$AH$1001,0),0), INDEX($AO$1004:$BQ$1004,1,MATCH(COLUMNS($AO$1006:AT1006),$AO$1006:$BQ$1006,0)))),"Fix")))</f>
        <v>#N/A</v>
      </c>
      <c r="H976" s="5" t="e">
        <f ca="1">IF(OR(INDEX($AI$2:$AI$1001,MATCH(ROWS($AH$2:AH976),$AH$2:$AH$1001,0),1)&gt;=100000,INDEX($AO$1005:$BQ$1005,1,MATCH(COLUMNS($AO$1006:AU1006),$AO$1006:$BQ$1006,0))&gt;=100000), " ",IF(INDEX($AO$2:$BQ$1001,MATCH(ROWS($AH$2:AH976),$AH$2:$AH$1001,0),MATCH(COLUMNS($AO$1006:AU1006),$AO$1006:$BQ$1006,0)), HYPERLINK("#",""), HYPERLINK(CONCATENATE("#Metadata!", ADDRESS(INDEX($AJ$2:$AJ$1001,MATCH(ROWS($AH$2:AH976),$AH$2:$AH$1001,0),0), INDEX($AO$1004:$BQ$1004,1,MATCH(COLUMNS($AO$1006:AU1006),$AO$1006:$BQ$1006,0)))),"Fix")))</f>
        <v>#N/A</v>
      </c>
      <c r="I976" s="5" t="e">
        <f ca="1">IF(OR(INDEX($AI$2:$AI$1001,MATCH(ROWS($AH$2:AH976),$AH$2:$AH$1001,0),1)&gt;=100000,INDEX($AO$1005:$BQ$1005,1,MATCH(COLUMNS($AO$1006:AV1006),$AO$1006:$BQ$1006,0))&gt;=100000), " ",IF(INDEX($AO$2:$BQ$1001,MATCH(ROWS($AH$2:AH976),$AH$2:$AH$1001,0),MATCH(COLUMNS($AO$1006:AV1006),$AO$1006:$BQ$1006,0)), HYPERLINK("#",""), HYPERLINK(CONCATENATE("#Metadata!", ADDRESS(INDEX($AJ$2:$AJ$1001,MATCH(ROWS($AH$2:AH976),$AH$2:$AH$1001,0),0), INDEX($AO$1004:$BQ$1004,1,MATCH(COLUMNS($AO$1006:AV1006),$AO$1006:$BQ$1006,0)))),"Fix")))</f>
        <v>#N/A</v>
      </c>
      <c r="J976" s="5" t="e">
        <f ca="1">IF(OR(INDEX($AI$2:$AI$1001,MATCH(ROWS($AH$2:AH976),$AH$2:$AH$1001,0),1)&gt;=100000,INDEX($AO$1005:$BQ$1005,1,MATCH(COLUMNS($AO$1006:AW1006),$AO$1006:$BQ$1006,0))&gt;=100000), " ",IF(INDEX($AO$2:$BQ$1001,MATCH(ROWS($AH$2:AH976),$AH$2:$AH$1001,0),MATCH(COLUMNS($AO$1006:AW1006),$AO$1006:$BQ$1006,0)), HYPERLINK("#",""), HYPERLINK(CONCATENATE("#Metadata!", ADDRESS(INDEX($AJ$2:$AJ$1001,MATCH(ROWS($AH$2:AH976),$AH$2:$AH$1001,0),0), INDEX($AO$1004:$BQ$1004,1,MATCH(COLUMNS($AO$1006:AW1006),$AO$1006:$BQ$1006,0)))),"Fix")))</f>
        <v>#N/A</v>
      </c>
      <c r="K976" s="5" t="e">
        <f ca="1">IF(OR(INDEX($AI$2:$AI$1001,MATCH(ROWS($AH$2:AH976),$AH$2:$AH$1001,0),1)&gt;=100000,INDEX($AO$1005:$BQ$1005,1,MATCH(COLUMNS($AO$1006:AX1006),$AO$1006:$BQ$1006,0))&gt;=100000), " ",IF(INDEX($AO$2:$BQ$1001,MATCH(ROWS($AH$2:AH976),$AH$2:$AH$1001,0),MATCH(COLUMNS($AO$1006:AX1006),$AO$1006:$BQ$1006,0)), HYPERLINK("#",""), HYPERLINK(CONCATENATE("#Metadata!", ADDRESS(INDEX($AJ$2:$AJ$1001,MATCH(ROWS($AH$2:AH976),$AH$2:$AH$1001,0),0), INDEX($AO$1004:$BQ$1004,1,MATCH(COLUMNS($AO$1006:AX1006),$AO$1006:$BQ$1006,0)))),"Fix")))</f>
        <v>#N/A</v>
      </c>
      <c r="L976" s="5" t="e">
        <f ca="1">IF(OR(INDEX($AI$2:$AI$1001,MATCH(ROWS($AH$2:AH976),$AH$2:$AH$1001,0),1)&gt;=100000,INDEX($AO$1005:$BQ$1005,1,MATCH(COLUMNS($AO$1006:AY1006),$AO$1006:$BQ$1006,0))&gt;=100000), " ",IF(INDEX($AO$2:$BQ$1001,MATCH(ROWS($AH$2:AH976),$AH$2:$AH$1001,0),MATCH(COLUMNS($AO$1006:AY1006),$AO$1006:$BQ$1006,0)), HYPERLINK("#",""), HYPERLINK(CONCATENATE("#Metadata!", ADDRESS(INDEX($AJ$2:$AJ$1001,MATCH(ROWS($AH$2:AH976),$AH$2:$AH$1001,0),0), INDEX($AO$1004:$BQ$1004,1,MATCH(COLUMNS($AO$1006:AY1006),$AO$1006:$BQ$1006,0)))),"Fix")))</f>
        <v>#N/A</v>
      </c>
      <c r="M976" s="5" t="e">
        <f ca="1">IF(OR(INDEX($AI$2:$AI$1001,MATCH(ROWS($AH$2:AH976),$AH$2:$AH$1001,0),1)&gt;=100000,INDEX($AO$1005:$BQ$1005,1,MATCH(COLUMNS($AO$1006:AZ1006),$AO$1006:$BQ$1006,0))&gt;=100000), " ",IF(INDEX($AO$2:$BQ$1001,MATCH(ROWS($AH$2:AH976),$AH$2:$AH$1001,0),MATCH(COLUMNS($AO$1006:AZ1006),$AO$1006:$BQ$1006,0)), HYPERLINK("#",""), HYPERLINK(CONCATENATE("#Metadata!", ADDRESS(INDEX($AJ$2:$AJ$1001,MATCH(ROWS($AH$2:AH976),$AH$2:$AH$1001,0),0), INDEX($AO$1004:$BQ$1004,1,MATCH(COLUMNS($AO$1006:AZ1006),$AO$1006:$BQ$1006,0)))),"Fix")))</f>
        <v>#N/A</v>
      </c>
      <c r="N976" s="5" t="e">
        <f ca="1">IF(OR(INDEX($AI$2:$AI$1001,MATCH(ROWS($AH$2:AH976),$AH$2:$AH$1001,0),1)&gt;=100000,INDEX($AO$1005:$BQ$1005,1,MATCH(COLUMNS($AO$1006:BA1006),$AO$1006:$BQ$1006,0))&gt;=100000), " ",IF(INDEX($AO$2:$BQ$1001,MATCH(ROWS($AH$2:AH976),$AH$2:$AH$1001,0),MATCH(COLUMNS($AO$1006:BA1006),$AO$1006:$BQ$1006,0)), HYPERLINK("#",""), HYPERLINK(CONCATENATE("#Metadata!", ADDRESS(INDEX($AJ$2:$AJ$1001,MATCH(ROWS($AH$2:AH976),$AH$2:$AH$1001,0),0), INDEX($AO$1004:$BQ$1004,1,MATCH(COLUMNS($AO$1006:BA1006),$AO$1006:$BQ$1006,0)))),"Fix")))</f>
        <v>#N/A</v>
      </c>
      <c r="O976" s="5" t="e">
        <f ca="1">IF(OR(INDEX($AI$2:$AI$1001,MATCH(ROWS($AH$2:AH976),$AH$2:$AH$1001,0),1)&gt;=100000,INDEX($AO$1005:$BQ$1005,1,MATCH(COLUMNS($AO$1006:BB1006),$AO$1006:$BQ$1006,0))&gt;=100000), " ",IF(INDEX($AO$2:$BQ$1001,MATCH(ROWS($AH$2:AH976),$AH$2:$AH$1001,0),MATCH(COLUMNS($AO$1006:BB1006),$AO$1006:$BQ$1006,0)), HYPERLINK("#",""), HYPERLINK(CONCATENATE("#Metadata!", ADDRESS(INDEX($AJ$2:$AJ$1001,MATCH(ROWS($AH$2:AH976),$AH$2:$AH$1001,0),0), INDEX($AO$1004:$BQ$1004,1,MATCH(COLUMNS($AO$1006:BB1006),$AO$1006:$BQ$1006,0)))),"Fix")))</f>
        <v>#N/A</v>
      </c>
      <c r="P976" s="5" t="e">
        <f ca="1">IF(OR(INDEX($AI$2:$AI$1001,MATCH(ROWS($AH$2:AH976),$AH$2:$AH$1001,0),1)&gt;=100000,INDEX($AO$1005:$BQ$1005,1,MATCH(COLUMNS($AO$1006:BC1006),$AO$1006:$BQ$1006,0))&gt;=100000), " ",IF(INDEX($AO$2:$BQ$1001,MATCH(ROWS($AH$2:AH976),$AH$2:$AH$1001,0),MATCH(COLUMNS($AO$1006:BC1006),$AO$1006:$BQ$1006,0)), HYPERLINK("#",""), HYPERLINK(CONCATENATE("#Metadata!", ADDRESS(INDEX($AJ$2:$AJ$1001,MATCH(ROWS($AH$2:AH976),$AH$2:$AH$1001,0),0), INDEX($AO$1004:$BQ$1004,1,MATCH(COLUMNS($AO$1006:BC1006),$AO$1006:$BQ$1006,0)))),"Fix")))</f>
        <v>#N/A</v>
      </c>
      <c r="Q976" s="5" t="e">
        <f ca="1">IF(OR(INDEX($AI$2:$AI$1001,MATCH(ROWS($AH$2:AH976),$AH$2:$AH$1001,0),1)&gt;=100000,INDEX($AO$1005:$BQ$1005,1,MATCH(COLUMNS($AO$1006:BD1006),$AO$1006:$BQ$1006,0))&gt;=100000), " ",IF(INDEX($AO$2:$BQ$1001,MATCH(ROWS($AH$2:AH976),$AH$2:$AH$1001,0),MATCH(COLUMNS($AO$1006:BD1006),$AO$1006:$BQ$1006,0)), HYPERLINK("#",""), HYPERLINK(CONCATENATE("#Metadata!", ADDRESS(INDEX($AJ$2:$AJ$1001,MATCH(ROWS($AH$2:AH976),$AH$2:$AH$1001,0),0), INDEX($AO$1004:$BQ$1004,1,MATCH(COLUMNS($AO$1006:BD1006),$AO$1006:$BQ$1006,0)))),"Fix")))</f>
        <v>#N/A</v>
      </c>
      <c r="R976" s="5" t="e">
        <f ca="1">IF(OR(INDEX($AI$2:$AI$1001,MATCH(ROWS($AH$2:AH976),$AH$2:$AH$1001,0),1)&gt;=100000,INDEX($AO$1005:$BQ$1005,1,MATCH(COLUMNS($AO$1006:BE1006),$AO$1006:$BQ$1006,0))&gt;=100000), " ",IF(INDEX($AO$2:$BQ$1001,MATCH(ROWS($AH$2:AH976),$AH$2:$AH$1001,0),MATCH(COLUMNS($AO$1006:BE1006),$AO$1006:$BQ$1006,0)), HYPERLINK("#",""), HYPERLINK(CONCATENATE("#Metadata!", ADDRESS(INDEX($AJ$2:$AJ$1001,MATCH(ROWS($AH$2:AH976),$AH$2:$AH$1001,0),0), INDEX($AO$1004:$BQ$1004,1,MATCH(COLUMNS($AO$1006:BE1006),$AO$1006:$BQ$1006,0)))),"Fix")))</f>
        <v>#N/A</v>
      </c>
      <c r="S976" s="5" t="e">
        <f ca="1">IF(OR(INDEX($AI$2:$AI$1001,MATCH(ROWS($AH$2:AH976),$AH$2:$AH$1001,0),1)&gt;=100000,INDEX($AO$1005:$BQ$1005,1,MATCH(COLUMNS($AO$1006:BF1006),$AO$1006:$BQ$1006,0))&gt;=100000), " ",IF(INDEX($AO$2:$BQ$1001,MATCH(ROWS($AH$2:AH976),$AH$2:$AH$1001,0),MATCH(COLUMNS($AO$1006:BF1006),$AO$1006:$BQ$1006,0)), HYPERLINK("#",""), HYPERLINK(CONCATENATE("#Metadata!", ADDRESS(INDEX($AJ$2:$AJ$1001,MATCH(ROWS($AH$2:AH976),$AH$2:$AH$1001,0),0), INDEX($AO$1004:$BQ$1004,1,MATCH(COLUMNS($AO$1006:BF1006),$AO$1006:$BQ$1006,0)))),"Fix")))</f>
        <v>#N/A</v>
      </c>
      <c r="T976" s="5" t="e">
        <f ca="1">IF(OR(INDEX($AI$2:$AI$1001,MATCH(ROWS($AH$2:AH976),$AH$2:$AH$1001,0),1)&gt;=100000,INDEX($AO$1005:$BQ$1005,1,MATCH(COLUMNS($AO$1006:BG1006),$AO$1006:$BQ$1006,0))&gt;=100000), " ",IF(INDEX($AO$2:$BQ$1001,MATCH(ROWS($AH$2:AH976),$AH$2:$AH$1001,0),MATCH(COLUMNS($AO$1006:BG1006),$AO$1006:$BQ$1006,0)), HYPERLINK("#",""), HYPERLINK(CONCATENATE("#Metadata!", ADDRESS(INDEX($AJ$2:$AJ$1001,MATCH(ROWS($AH$2:AH976),$AH$2:$AH$1001,0),0), INDEX($AO$1004:$BQ$1004,1,MATCH(COLUMNS($AO$1006:BG1006),$AO$1006:$BQ$1006,0)))),"Fix")))</f>
        <v>#N/A</v>
      </c>
      <c r="U976" s="5" t="e">
        <f ca="1">IF(OR(INDEX($AI$2:$AI$1001,MATCH(ROWS($AH$2:AH976),$AH$2:$AH$1001,0),1)&gt;=100000,INDEX($AO$1005:$BQ$1005,1,MATCH(COLUMNS($AO$1006:BH1006),$AO$1006:$BQ$1006,0))&gt;=100000), " ",IF(INDEX($AO$2:$BQ$1001,MATCH(ROWS($AH$2:AH976),$AH$2:$AH$1001,0),MATCH(COLUMNS($AO$1006:BH1006),$AO$1006:$BQ$1006,0)), HYPERLINK("#",""), HYPERLINK(CONCATENATE("#Metadata!", ADDRESS(INDEX($AJ$2:$AJ$1001,MATCH(ROWS($AH$2:AH976),$AH$2:$AH$1001,0),0), INDEX($AO$1004:$BQ$1004,1,MATCH(COLUMNS($AO$1006:BH1006),$AO$1006:$BQ$1006,0)))),"Fix")))</f>
        <v>#N/A</v>
      </c>
      <c r="V976" s="5" t="e">
        <f ca="1">IF(OR(INDEX($AI$2:$AI$1001,MATCH(ROWS($AH$2:AH976),$AH$2:$AH$1001,0),1)&gt;=100000,INDEX($AO$1005:$BQ$1005,1,MATCH(COLUMNS($AO$1006:BI1006),$AO$1006:$BQ$1006,0))&gt;=100000), " ",IF(INDEX($AO$2:$BQ$1001,MATCH(ROWS($AH$2:AH976),$AH$2:$AH$1001,0),MATCH(COLUMNS($AO$1006:BI1006),$AO$1006:$BQ$1006,0)), HYPERLINK("#",""), HYPERLINK(CONCATENATE("#Metadata!", ADDRESS(INDEX($AJ$2:$AJ$1001,MATCH(ROWS($AH$2:AH976),$AH$2:$AH$1001,0),0), INDEX($AO$1004:$BQ$1004,1,MATCH(COLUMNS($AO$1006:BI1006),$AO$1006:$BQ$1006,0)))),"Fix")))</f>
        <v>#N/A</v>
      </c>
      <c r="W976" s="5" t="e">
        <f ca="1">IF(OR(INDEX($AI$2:$AI$1001,MATCH(ROWS($AH$2:AH976),$AH$2:$AH$1001,0),1)&gt;=100000,INDEX($AO$1005:$BQ$1005,1,MATCH(COLUMNS($AO$1006:BJ1006),$AO$1006:$BQ$1006,0))&gt;=100000), " ",IF(INDEX($AO$2:$BQ$1001,MATCH(ROWS($AH$2:AH976),$AH$2:$AH$1001,0),MATCH(COLUMNS($AO$1006:BJ1006),$AO$1006:$BQ$1006,0)), HYPERLINK("#",""), HYPERLINK(CONCATENATE("#Metadata!", ADDRESS(INDEX($AJ$2:$AJ$1001,MATCH(ROWS($AH$2:AH976),$AH$2:$AH$1001,0),0), INDEX($AO$1004:$BQ$1004,1,MATCH(COLUMNS($AO$1006:BJ1006),$AO$1006:$BQ$1006,0)))),"Fix")))</f>
        <v>#N/A</v>
      </c>
      <c r="X976" s="5" t="e">
        <f ca="1">IF(OR(INDEX($AI$2:$AI$1001,MATCH(ROWS($AH$2:AH976),$AH$2:$AH$1001,0),1)&gt;=100000,INDEX($AO$1005:$BQ$1005,1,MATCH(COLUMNS($AO$1006:BK1006),$AO$1006:$BQ$1006,0))&gt;=100000), " ",IF(INDEX($AO$2:$BQ$1001,MATCH(ROWS($AH$2:AH976),$AH$2:$AH$1001,0),MATCH(COLUMNS($AO$1006:BK1006),$AO$1006:$BQ$1006,0)), HYPERLINK("#",""), HYPERLINK(CONCATENATE("#Metadata!", ADDRESS(INDEX($AJ$2:$AJ$1001,MATCH(ROWS($AH$2:AH976),$AH$2:$AH$1001,0),0), INDEX($AO$1004:$BQ$1004,1,MATCH(COLUMNS($AO$1006:BK1006),$AO$1006:$BQ$1006,0)))),"Fix")))</f>
        <v>#N/A</v>
      </c>
      <c r="Y976" s="5" t="e">
        <f ca="1">IF(OR(INDEX($AI$2:$AI$1001,MATCH(ROWS($AH$2:AH976),$AH$2:$AH$1001,0),1)&gt;=100000,INDEX($AO$1005:$BQ$1005,1,MATCH(COLUMNS($AO$1006:BL1006),$AO$1006:$BQ$1006,0))&gt;=100000), " ",IF(INDEX($AO$2:$BQ$1001,MATCH(ROWS($AH$2:AH976),$AH$2:$AH$1001,0),MATCH(COLUMNS($AO$1006:BL1006),$AO$1006:$BQ$1006,0)), HYPERLINK("#",""), HYPERLINK(CONCATENATE("#Metadata!", ADDRESS(INDEX($AJ$2:$AJ$1001,MATCH(ROWS($AH$2:AH976),$AH$2:$AH$1001,0),0), INDEX($AO$1004:$BQ$1004,1,MATCH(COLUMNS($AO$1006:BL1006),$AO$1006:$BQ$1006,0)))),"Fix")))</f>
        <v>#N/A</v>
      </c>
      <c r="Z976" s="5" t="e">
        <f ca="1">IF(OR(INDEX($AI$2:$AI$1001,MATCH(ROWS($AH$2:AH976),$AH$2:$AH$1001,0),1)&gt;=100000,INDEX($AO$1005:$BQ$1005,1,MATCH(COLUMNS($AO$1006:BM1006),$AO$1006:$BQ$1006,0))&gt;=100000), " ",IF(INDEX($AO$2:$BQ$1001,MATCH(ROWS($AH$2:AH976),$AH$2:$AH$1001,0),MATCH(COLUMNS($AO$1006:BM1006),$AO$1006:$BQ$1006,0)), HYPERLINK("#",""), HYPERLINK(CONCATENATE("#Metadata!", ADDRESS(INDEX($AJ$2:$AJ$1001,MATCH(ROWS($AH$2:AH976),$AH$2:$AH$1001,0),0), INDEX($AO$1004:$BQ$1004,1,MATCH(COLUMNS($AO$1006:BM1006),$AO$1006:$BQ$1006,0)))),"Fix")))</f>
        <v>#N/A</v>
      </c>
      <c r="AA976" s="5" t="e">
        <f ca="1">IF(OR(INDEX($AI$2:$AI$1001,MATCH(ROWS($AH$2:AH976),$AH$2:$AH$1001,0),1)&gt;=100000,INDEX($AO$1005:$BQ$1005,1,MATCH(COLUMNS($AO$1006:BN1006),$AO$1006:$BQ$1006,0))&gt;=100000), " ",IF(INDEX($AO$2:$BQ$1001,MATCH(ROWS($AH$2:AH976),$AH$2:$AH$1001,0),MATCH(COLUMNS($AO$1006:BN1006),$AO$1006:$BQ$1006,0)), HYPERLINK("#",""), HYPERLINK(CONCATENATE("#Metadata!", ADDRESS(INDEX($AJ$2:$AJ$1001,MATCH(ROWS($AH$2:AH976),$AH$2:$AH$1001,0),0), INDEX($AO$1004:$BQ$1004,1,MATCH(COLUMNS($AO$1006:BN1006),$AO$1006:$BQ$1006,0)))),"Fix")))</f>
        <v>#N/A</v>
      </c>
      <c r="AB976" s="5" t="e">
        <f ca="1">IF(OR(INDEX($AI$2:$AI$1001,MATCH(ROWS($AH$2:AH976),$AH$2:$AH$1001,0),1)&gt;=100000,INDEX($AO$1005:$BQ$1005,1,MATCH(COLUMNS($AO$1006:BO1006),$AO$1006:$BQ$1006,0))&gt;=100000), " ",IF(INDEX($AO$2:$BQ$1001,MATCH(ROWS($AH$2:AH976),$AH$2:$AH$1001,0),MATCH(COLUMNS($AO$1006:BO1006),$AO$1006:$BQ$1006,0)), HYPERLINK("#",""), HYPERLINK(CONCATENATE("#Metadata!", ADDRESS(INDEX($AJ$2:$AJ$1001,MATCH(ROWS($AH$2:AH976),$AH$2:$AH$1001,0),0), INDEX($AO$1004:$BQ$1004,1,MATCH(COLUMNS($AO$1006:BO1006),$AO$1006:$BQ$1006,0)))),"Fix")))</f>
        <v>#N/A</v>
      </c>
      <c r="AC976" s="5" t="e">
        <f ca="1">IF(OR(INDEX($AI$2:$AI$1001,MATCH(ROWS($AH$2:AH976),$AH$2:$AH$1001,0),1)&gt;=100000,INDEX($AO$1005:$BQ$1005,1,MATCH(COLUMNS($AO$1006:BP1006),$AO$1006:$BQ$1006,0))&gt;=100000), " ",IF(INDEX($AO$2:$BQ$1001,MATCH(ROWS($AH$2:AH976),$AH$2:$AH$1001,0),MATCH(COLUMNS($AO$1006:BP1006),$AO$1006:$BQ$1006,0)), HYPERLINK("#",""), HYPERLINK(CONCATENATE("#Metadata!", ADDRESS(INDEX($AJ$2:$AJ$1001,MATCH(ROWS($AH$2:AH976),$AH$2:$AH$1001,0),0), INDEX($AO$1004:$BQ$1004,1,MATCH(COLUMNS($AO$1006:BP1006),$AO$1006:$BQ$1006,0)))),"Fix")))</f>
        <v>#N/A</v>
      </c>
      <c r="AD976" s="5" t="e">
        <f ca="1">IF(OR(INDEX($AI$2:$AI$1001,MATCH(ROWS($AH$2:AH976),$AH$2:$AH$1001,0),1)&gt;=100000,INDEX($AO$1005:$BQ$1005,1,MATCH(COLUMNS($AO$1006:BQ1006),$AO$1006:$BQ$1006,0))&gt;=100000), " ",IF(INDEX($AO$2:$BQ$1001,MATCH(ROWS($AH$2:AH976),$AH$2:$AH$1001,0),MATCH(COLUMNS($AO$1006:BQ1006),$AO$1006:$BQ$1006,0)), HYPERLINK("#",""), HYPERLINK(CONCATENATE("#Metadata!", ADDRESS(INDEX($AJ$2:$AJ$1001,MATCH(ROWS($AH$2:AH976),$AH$2:$AH$1001,0),0), INDEX($AO$1004:$BQ$1004,1,MATCH(COLUMNS($AO$1006:BQ1006),$AO$1006:$BQ$1006,0)))),"Fix")))</f>
        <v>#REF!</v>
      </c>
      <c r="AH976">
        <f ca="1"/>
        <v>973</v>
      </c>
      <c r="AI976">
        <v>100976</v>
      </c>
      <c r="AJ976">
        <v>976</v>
      </c>
      <c r="AK976" t="b">
        <f t="shared" si="15"/>
        <v>1</v>
      </c>
      <c r="AL976" t="b">
        <f>COUNTBLANK(Metadata!B976:AD976)=COLUMNS(Metadata!B976:AD976)</f>
        <v>1</v>
      </c>
      <c r="AM976" t="str">
        <v/>
      </c>
      <c r="AO976" t="b">
        <f ca="1">AND(IF(Metadata!B976="",FALSE,TRUE),COUNTIF(Metadata!B:B, Metadata!B976) = 1,NOT(ISERROR(SUMPRODUCT(SEARCH(MID(Metadata!B976,ROW(INDIRECT("1:"&amp;LEN(Metadata!B976))), 1),"0123456789abcdefghijklmnopqrstuvwxyzABCDEFGHIJKLMNOPQRSTUVWXYZ.")))))</f>
        <v>0</v>
      </c>
      <c r="AP976" t="b">
        <f>IF(Metadata!C976="",FALSE,TRUE)</f>
        <v>0</v>
      </c>
      <c r="AQ976" t="b">
        <f>IF(Metadata!D976="",FALSE,TRUE)</f>
        <v>0</v>
      </c>
      <c r="AR976" t="b">
        <f ca="1">OR(AND(IF(Metadata!E976="",FALSE,TRUE),OR(EXACT(Metadata!E976,"not collected"),EXACT(Metadata!E976,"not provided"),EXACT(Metadata!E976,"restricted access"))),AND(IF(Metadata!E976="",FALSE,TRUE),AND(AND(IFERROR(INT(LEFT(Metadata!E976,4))&gt;1900,FALSE),IFERROR(INT(LEFT(Metadata!E976,4))&lt;=YEAR(NOW()),FALSE)), OR(MID(Metadata!E976,5,1)="", AND(AND(MID(Metadata!E976,5,1)="-",IFERROR(INT(MID(Metadata!E976,6,1))&gt;=0,FALSE),IFERROR(INT(MID(Metadata!E976,6,1))&lt;=1,FALSE),NOT(MID(Metadata!E976,7,1)=""),IFERROR(INT(MID(Metadata!E976,6,2))&gt;=1,FALSE),IFERROR(INT(MID(Metadata!E976,6,2))&lt;=12,FALSE)), OR(MID(Metadata!E976,8,1)="", AND(AND(MID(Metadata!E976,8,1)="-",IFERROR(INT(MID(Metadata!E976,9,1))&gt;=0,FALSE),IFERROR(INT(MID(Metadata!E976,9,1))&lt;=3,FALSE),NOT(MID(Metadata!E976,10,1)=""),IFERROR(INT(MID(Metadata!E976,9,2))&gt;=1,FALSE),IFERROR(INT(MID(Metadata!E976,9,2))&lt;=31,FALSE)), OR(MID(Metadata!E976,11,1)="", AND(AND(MID(Metadata!E976,11,1)=" ",IFERROR(INT(MID(Metadata!E976,12,1))&gt;=0,FALSE),IFERROR(INT(MID(Metadata!E976,12,1))&lt;=2,FALSE),NOT(MID(Metadata!E976,13,1)=""),IFERROR(INT(MID(Metadata!E976,12,2))&gt;=0,FALSE),IFERROR(INT(MID(Metadata!E976,12,2))&lt;=23,FALSE)), OR(MID(Metadata!E976,14,1)="", AND(AND(MID(Metadata!E976,14,1)=":",IFERROR(INT(MID(Metadata!E976,15,1))&gt;=0,FALSE),IFERROR(INT(MID(Metadata!E976,15,1))&lt;=5,FALSE),NOT(MID(Metadata!E976,16,1)=""),IFERROR(INT(MID(Metadata!E976,15,2))&gt;=0,FALSE),IFERROR(INT(MID(Metadata!E976,15,2))&lt;=59,FALSE)), OR(MID(Metadata!E976,17,1)="", AND(AND(MID(Metadata!E976,17,1)=":",IFERROR(INT(MID(Metadata!E976,18,1))&gt;=0,FALSE),IFERROR(INT(MID(Metadata!E976,18,1))&lt;=5,FALSE),NOT(MID(Metadata!E976,19,1)=""),IFERROR(INT(MID(Metadata!E976,18,2))&gt;=0,FALSE),IFERROR(INT(MID(Metadata!E976,18,2))&lt;=59,FALSE)), LEN(Metadata!E976)&lt;=19)))))))))))))</f>
        <v>0</v>
      </c>
      <c r="AS976" t="b">
        <f>IF(Metadata!F976="",FALSE,TRUE)</f>
        <v>0</v>
      </c>
      <c r="AT976" t="b">
        <f>OR(AND(IF(Metadata!G976="",FALSE,TRUE),OR(EXACT(Metadata!G976,"not collected"),EXACT(Metadata!G976,"not provided"))),AND(IF(Metadata!G976="",FALSE,TRUE),OR(EXACT(Metadata!G976,"TRUE"),EXACT(Metadata!G976,"FALSE"))))</f>
        <v>0</v>
      </c>
      <c r="AU976" t="b">
        <f>OR(AND(IF(Metadata!H976="",FALSE,TRUE),OR(EXACT(Metadata!H976,"not collected"),EXACT(Metadata!H976,"not provided"),EXACT(Metadata!H976,"restricted access"))),AND(IF(Metadata!H976="",FALSE,ISNUMBER(VALUE(Metadata!H976))),Metadata!H976&gt;=-413))</f>
        <v>0</v>
      </c>
      <c r="AV976" t="b">
        <f>AND(IF(Metadata!I976="",FALSE,TRUE),EXACT(Metadata!I976,"meters"))</f>
        <v>0</v>
      </c>
      <c r="AW976" t="b">
        <f>AND(IF(Metadata!J976="",FALSE,TRUE),EXACT(Metadata!J976,"free-living"))</f>
        <v>0</v>
      </c>
      <c r="AX976" t="b">
        <f>AND(IF(Metadata!K976="",FALSE,TRUE),OR(EXACT(Metadata!K976,"saline"),EXACT(Metadata!K976,"non-saline")))</f>
        <v>0</v>
      </c>
      <c r="AY976" t="b">
        <f>AND(IF(Metadata!L976="",FALSE,TRUE),OR(EXACT(Metadata!L976,"sub-surface (non-saline)"),EXACT(Metadata!L976,"surface (non-saline)"),EXACT(Metadata!L976,"water (non-saline)"),EXACT(Metadata!L976,"soil (non-saline)"),EXACT(Metadata!L976,"aerosol (non-saline)"),EXACT(Metadata!L976,"sediment (non-saline)"),EXACT(Metadata!L976,"surface (saline)"),EXACT(Metadata!L976,"water (saline)"),EXACT(Metadata!L976,"hypersaline (saline)"),EXACT(Metadata!L976,"aerosol (saline)"),EXACT(Metadata!L976,"sediment (saline)")))</f>
        <v>0</v>
      </c>
      <c r="AZ976" t="b">
        <f>IF(Metadata!M976="",FALSE,TRUE)</f>
        <v>0</v>
      </c>
      <c r="BA976" t="b">
        <f>IF(Metadata!N976="",FALSE,TRUE)</f>
        <v>0</v>
      </c>
      <c r="BB976" t="b">
        <f>IF(Metadata!O976="",FALSE,TRUE)</f>
        <v>0</v>
      </c>
      <c r="BC976" t="b">
        <f>AND(IF(Metadata!P976="",FALSE,TRUE),OR(EXACT(Metadata!P976,"air"),EXACT(Metadata!P976,"microbial mat/biofilm"),EXACT(Metadata!P976,"misc environment"),EXACT(Metadata!P976,"sediment"),EXACT(Metadata!P976,"soil"),EXACT(Metadata!P976,"wastewater/sludge"),EXACT(Metadata!P976,"water")))</f>
        <v>0</v>
      </c>
      <c r="BD976" t="b">
        <f>IF(Metadata!Q976="",FALSE,TRUE)</f>
        <v>0</v>
      </c>
      <c r="BE976" t="b">
        <f>IF(Metadata!R976="",FALSE,TRUE)</f>
        <v>0</v>
      </c>
      <c r="BF976" t="b">
        <f>OR(AND(IF(Metadata!S976="",FALSE,TRUE),OR(EXACT(Metadata!S976,"not collected"),EXACT(Metadata!S976,"not provided"),EXACT(Metadata!S976,"restricted access"))),AND(IF(Metadata!S976="",FALSE,ISNUMBER(VALUE(Metadata!S976))),Metadata!S976&gt;=-90,Metadata!S976&lt;=90))</f>
        <v>0</v>
      </c>
      <c r="BG976" t="b">
        <f>AND(IF(Metadata!T976="",FALSE,TRUE),EXACT(Metadata!T976,"Decimal degrees"))</f>
        <v>0</v>
      </c>
      <c r="BH976" t="b">
        <f>OR(AND(IF(Metadata!U976="",FALSE,TRUE),OR(EXACT(Metadata!U976,"not applicable"),EXACT(Metadata!U976,"not collected"))),IF(Metadata!U976="",FALSE,TRUE))</f>
        <v>0</v>
      </c>
      <c r="BI976" t="b">
        <f>OR(AND(IF(Metadata!V976="",FALSE,TRUE),OR(EXACT(Metadata!V976,"not collected"),EXACT(Metadata!V976,"not provided"),EXACT(Metadata!V976,"restricted access"))),AND(IF(Metadata!V976="",FALSE,ISNUMBER(VALUE(Metadata!V976))),Metadata!V976&gt;=-180,Metadata!V976&lt;=180))</f>
        <v>0</v>
      </c>
      <c r="BJ976" t="b">
        <f>AND(IF(Metadata!W976="",FALSE,TRUE),EXACT(Metadata!W976,"Decimal degrees"))</f>
        <v>0</v>
      </c>
      <c r="BK976" t="b">
        <f>IF(Metadata!X976="",FALSE,TRUE)</f>
        <v>0</v>
      </c>
      <c r="BL976" t="b">
        <f>OR(AND(IF(Metadata!Y976="",FALSE,TRUE),OR(EXACT(Metadata!Y976,"not collected"),EXACT(Metadata!Y976,"not provided"),EXACT(Metadata!Y976,"restricted access"))),AND(IF(Metadata!Y976="",FALSE,TRUE),OR(EXACT(Metadata!Y976,"TRUE"),EXACT(Metadata!Y976,"FALSE"))))</f>
        <v>0</v>
      </c>
      <c r="BM976" t="b">
        <f>OR(AND(IF(Metadata!Z976="",FALSE,TRUE),EXACT(Metadata!Z976,"not applicable")),AND(IF(Metadata!Z976="",FALSE,TRUE),OR(EXACT(Metadata!Z976,"beer"),EXACT(Metadata!Z976,"cheese"),EXACT(Metadata!Z976,"fresh water"),EXACT(Metadata!Z976,"marine sediment"),EXACT(Metadata!Z976,"sea water"),EXACT(Metadata!Z976,"sediment"),EXACT(Metadata!Z976,"soil"),EXACT(Metadata!Z976,"waste water"))))</f>
        <v>0</v>
      </c>
      <c r="BN976" t="b">
        <f>AND(IF(Metadata!AA976="",FALSE,TRUE),EXACT(Metadata!AA976,"metagenome"))</f>
        <v>0</v>
      </c>
      <c r="BO976" t="b">
        <f>AND(IF(Metadata!AB976="",FALSE,TRUE),EXACT(Metadata!AB976,"256318"))</f>
        <v>0</v>
      </c>
      <c r="BP976" t="b">
        <f>IF(Metadata!AC976="",FALSE,TRUE)</f>
        <v>0</v>
      </c>
      <c r="BQ976" t="b">
        <f>IF(Metadata!AD976="",FALSE,TRUE)</f>
        <v>0</v>
      </c>
    </row>
    <row r="977" spans="1:69" x14ac:dyDescent="0.2">
      <c r="A977" s="4" t="e">
        <f ca="1">IF(B977=" "," ",HYPERLINK(CONCATENATE("#metadata!",ADDRESS(INDEX($AJ$2:$AJ$1001,MATCH(ROWS($AH$2:AH977),$AH$2:$AH$1001,0),0),2)),INDEX($AM$2:$AM$1001,MATCH(ROWS($AH$2:AH977),$AH$2:$AH$1001,0),0)))</f>
        <v>#N/A</v>
      </c>
      <c r="B977" s="5" t="e">
        <f ca="1">IF(OR(INDEX($AI$2:$AI$1001,MATCH(ROWS($AH$2:AH977),$AH$2:$AH$1001,0),1)&gt;=100000,INDEX($AO$1005:$BQ$1005,1,MATCH(COLUMNS($AO$1006:AO1006),$AO$1006:$BQ$1006,0))&gt;=100000), " ",IF(INDEX($AO$2:$BQ$1001,MATCH(ROWS($AH$2:AH977),$AH$2:$AH$1001,0),MATCH(COLUMNS($AO$1006:AO1006),$AO$1006:$BQ$1006,0)), HYPERLINK("#",""), HYPERLINK(CONCATENATE("#Metadata!", ADDRESS(INDEX($AJ$2:$AJ$1001,MATCH(ROWS($AH$2:AH977),$AH$2:$AH$1001,0),0), INDEX($AO$1004:$BQ$1004,1,MATCH(COLUMNS($AO$1006:AO1006),$AO$1006:$BQ$1006,0)))),"Fix")))</f>
        <v>#N/A</v>
      </c>
      <c r="C977" s="5" t="e">
        <f ca="1">IF(OR(INDEX($AI$2:$AI$1001,MATCH(ROWS($AH$2:AH977),$AH$2:$AH$1001,0),1)&gt;=100000,INDEX($AO$1005:$BQ$1005,1,MATCH(COLUMNS($AO$1006:AP1006),$AO$1006:$BQ$1006,0))&gt;=100000), " ",IF(INDEX($AO$2:$BQ$1001,MATCH(ROWS($AH$2:AH977),$AH$2:$AH$1001,0),MATCH(COLUMNS($AO$1006:AP1006),$AO$1006:$BQ$1006,0)), HYPERLINK("#",""), HYPERLINK(CONCATENATE("#Metadata!", ADDRESS(INDEX($AJ$2:$AJ$1001,MATCH(ROWS($AH$2:AH977),$AH$2:$AH$1001,0),0), INDEX($AO$1004:$BQ$1004,1,MATCH(COLUMNS($AO$1006:AP1006),$AO$1006:$BQ$1006,0)))),"Fix")))</f>
        <v>#N/A</v>
      </c>
      <c r="D977" s="5" t="e">
        <f ca="1">IF(OR(INDEX($AI$2:$AI$1001,MATCH(ROWS($AH$2:AH977),$AH$2:$AH$1001,0),1)&gt;=100000,INDEX($AO$1005:$BQ$1005,1,MATCH(COLUMNS($AO$1006:AQ1006),$AO$1006:$BQ$1006,0))&gt;=100000), " ",IF(INDEX($AO$2:$BQ$1001,MATCH(ROWS($AH$2:AH977),$AH$2:$AH$1001,0),MATCH(COLUMNS($AO$1006:AQ1006),$AO$1006:$BQ$1006,0)), HYPERLINK("#",""), HYPERLINK(CONCATENATE("#Metadata!", ADDRESS(INDEX($AJ$2:$AJ$1001,MATCH(ROWS($AH$2:AH977),$AH$2:$AH$1001,0),0), INDEX($AO$1004:$BQ$1004,1,MATCH(COLUMNS($AO$1006:AQ1006),$AO$1006:$BQ$1006,0)))),"Fix")))</f>
        <v>#N/A</v>
      </c>
      <c r="E977" s="5" t="e">
        <f ca="1">IF(OR(INDEX($AI$2:$AI$1001,MATCH(ROWS($AH$2:AH977),$AH$2:$AH$1001,0),1)&gt;=100000,INDEX($AO$1005:$BQ$1005,1,MATCH(COLUMNS($AO$1006:AR1006),$AO$1006:$BQ$1006,0))&gt;=100000), " ",IF(INDEX($AO$2:$BQ$1001,MATCH(ROWS($AH$2:AH977),$AH$2:$AH$1001,0),MATCH(COLUMNS($AO$1006:AR1006),$AO$1006:$BQ$1006,0)), HYPERLINK("#",""), HYPERLINK(CONCATENATE("#Metadata!", ADDRESS(INDEX($AJ$2:$AJ$1001,MATCH(ROWS($AH$2:AH977),$AH$2:$AH$1001,0),0), INDEX($AO$1004:$BQ$1004,1,MATCH(COLUMNS($AO$1006:AR1006),$AO$1006:$BQ$1006,0)))),"Fix")))</f>
        <v>#N/A</v>
      </c>
      <c r="F977" s="5" t="e">
        <f ca="1">IF(OR(INDEX($AI$2:$AI$1001,MATCH(ROWS($AH$2:AH977),$AH$2:$AH$1001,0),1)&gt;=100000,INDEX($AO$1005:$BQ$1005,1,MATCH(COLUMNS($AO$1006:AS1006),$AO$1006:$BQ$1006,0))&gt;=100000), " ",IF(INDEX($AO$2:$BQ$1001,MATCH(ROWS($AH$2:AH977),$AH$2:$AH$1001,0),MATCH(COLUMNS($AO$1006:AS1006),$AO$1006:$BQ$1006,0)), HYPERLINK("#",""), HYPERLINK(CONCATENATE("#Metadata!", ADDRESS(INDEX($AJ$2:$AJ$1001,MATCH(ROWS($AH$2:AH977),$AH$2:$AH$1001,0),0), INDEX($AO$1004:$BQ$1004,1,MATCH(COLUMNS($AO$1006:AS1006),$AO$1006:$BQ$1006,0)))),"Fix")))</f>
        <v>#N/A</v>
      </c>
      <c r="G977" s="5" t="e">
        <f ca="1">IF(OR(INDEX($AI$2:$AI$1001,MATCH(ROWS($AH$2:AH977),$AH$2:$AH$1001,0),1)&gt;=100000,INDEX($AO$1005:$BQ$1005,1,MATCH(COLUMNS($AO$1006:AT1006),$AO$1006:$BQ$1006,0))&gt;=100000), " ",IF(INDEX($AO$2:$BQ$1001,MATCH(ROWS($AH$2:AH977),$AH$2:$AH$1001,0),MATCH(COLUMNS($AO$1006:AT1006),$AO$1006:$BQ$1006,0)), HYPERLINK("#",""), HYPERLINK(CONCATENATE("#Metadata!", ADDRESS(INDEX($AJ$2:$AJ$1001,MATCH(ROWS($AH$2:AH977),$AH$2:$AH$1001,0),0), INDEX($AO$1004:$BQ$1004,1,MATCH(COLUMNS($AO$1006:AT1006),$AO$1006:$BQ$1006,0)))),"Fix")))</f>
        <v>#N/A</v>
      </c>
      <c r="H977" s="5" t="e">
        <f ca="1">IF(OR(INDEX($AI$2:$AI$1001,MATCH(ROWS($AH$2:AH977),$AH$2:$AH$1001,0),1)&gt;=100000,INDEX($AO$1005:$BQ$1005,1,MATCH(COLUMNS($AO$1006:AU1006),$AO$1006:$BQ$1006,0))&gt;=100000), " ",IF(INDEX($AO$2:$BQ$1001,MATCH(ROWS($AH$2:AH977),$AH$2:$AH$1001,0),MATCH(COLUMNS($AO$1006:AU1006),$AO$1006:$BQ$1006,0)), HYPERLINK("#",""), HYPERLINK(CONCATENATE("#Metadata!", ADDRESS(INDEX($AJ$2:$AJ$1001,MATCH(ROWS($AH$2:AH977),$AH$2:$AH$1001,0),0), INDEX($AO$1004:$BQ$1004,1,MATCH(COLUMNS($AO$1006:AU1006),$AO$1006:$BQ$1006,0)))),"Fix")))</f>
        <v>#N/A</v>
      </c>
      <c r="I977" s="5" t="e">
        <f ca="1">IF(OR(INDEX($AI$2:$AI$1001,MATCH(ROWS($AH$2:AH977),$AH$2:$AH$1001,0),1)&gt;=100000,INDEX($AO$1005:$BQ$1005,1,MATCH(COLUMNS($AO$1006:AV1006),$AO$1006:$BQ$1006,0))&gt;=100000), " ",IF(INDEX($AO$2:$BQ$1001,MATCH(ROWS($AH$2:AH977),$AH$2:$AH$1001,0),MATCH(COLUMNS($AO$1006:AV1006),$AO$1006:$BQ$1006,0)), HYPERLINK("#",""), HYPERLINK(CONCATENATE("#Metadata!", ADDRESS(INDEX($AJ$2:$AJ$1001,MATCH(ROWS($AH$2:AH977),$AH$2:$AH$1001,0),0), INDEX($AO$1004:$BQ$1004,1,MATCH(COLUMNS($AO$1006:AV1006),$AO$1006:$BQ$1006,0)))),"Fix")))</f>
        <v>#N/A</v>
      </c>
      <c r="J977" s="5" t="e">
        <f ca="1">IF(OR(INDEX($AI$2:$AI$1001,MATCH(ROWS($AH$2:AH977),$AH$2:$AH$1001,0),1)&gt;=100000,INDEX($AO$1005:$BQ$1005,1,MATCH(COLUMNS($AO$1006:AW1006),$AO$1006:$BQ$1006,0))&gt;=100000), " ",IF(INDEX($AO$2:$BQ$1001,MATCH(ROWS($AH$2:AH977),$AH$2:$AH$1001,0),MATCH(COLUMNS($AO$1006:AW1006),$AO$1006:$BQ$1006,0)), HYPERLINK("#",""), HYPERLINK(CONCATENATE("#Metadata!", ADDRESS(INDEX($AJ$2:$AJ$1001,MATCH(ROWS($AH$2:AH977),$AH$2:$AH$1001,0),0), INDEX($AO$1004:$BQ$1004,1,MATCH(COLUMNS($AO$1006:AW1006),$AO$1006:$BQ$1006,0)))),"Fix")))</f>
        <v>#N/A</v>
      </c>
      <c r="K977" s="5" t="e">
        <f ca="1">IF(OR(INDEX($AI$2:$AI$1001,MATCH(ROWS($AH$2:AH977),$AH$2:$AH$1001,0),1)&gt;=100000,INDEX($AO$1005:$BQ$1005,1,MATCH(COLUMNS($AO$1006:AX1006),$AO$1006:$BQ$1006,0))&gt;=100000), " ",IF(INDEX($AO$2:$BQ$1001,MATCH(ROWS($AH$2:AH977),$AH$2:$AH$1001,0),MATCH(COLUMNS($AO$1006:AX1006),$AO$1006:$BQ$1006,0)), HYPERLINK("#",""), HYPERLINK(CONCATENATE("#Metadata!", ADDRESS(INDEX($AJ$2:$AJ$1001,MATCH(ROWS($AH$2:AH977),$AH$2:$AH$1001,0),0), INDEX($AO$1004:$BQ$1004,1,MATCH(COLUMNS($AO$1006:AX1006),$AO$1006:$BQ$1006,0)))),"Fix")))</f>
        <v>#N/A</v>
      </c>
      <c r="L977" s="5" t="e">
        <f ca="1">IF(OR(INDEX($AI$2:$AI$1001,MATCH(ROWS($AH$2:AH977),$AH$2:$AH$1001,0),1)&gt;=100000,INDEX($AO$1005:$BQ$1005,1,MATCH(COLUMNS($AO$1006:AY1006),$AO$1006:$BQ$1006,0))&gt;=100000), " ",IF(INDEX($AO$2:$BQ$1001,MATCH(ROWS($AH$2:AH977),$AH$2:$AH$1001,0),MATCH(COLUMNS($AO$1006:AY1006),$AO$1006:$BQ$1006,0)), HYPERLINK("#",""), HYPERLINK(CONCATENATE("#Metadata!", ADDRESS(INDEX($AJ$2:$AJ$1001,MATCH(ROWS($AH$2:AH977),$AH$2:$AH$1001,0),0), INDEX($AO$1004:$BQ$1004,1,MATCH(COLUMNS($AO$1006:AY1006),$AO$1006:$BQ$1006,0)))),"Fix")))</f>
        <v>#N/A</v>
      </c>
      <c r="M977" s="5" t="e">
        <f ca="1">IF(OR(INDEX($AI$2:$AI$1001,MATCH(ROWS($AH$2:AH977),$AH$2:$AH$1001,0),1)&gt;=100000,INDEX($AO$1005:$BQ$1005,1,MATCH(COLUMNS($AO$1006:AZ1006),$AO$1006:$BQ$1006,0))&gt;=100000), " ",IF(INDEX($AO$2:$BQ$1001,MATCH(ROWS($AH$2:AH977),$AH$2:$AH$1001,0),MATCH(COLUMNS($AO$1006:AZ1006),$AO$1006:$BQ$1006,0)), HYPERLINK("#",""), HYPERLINK(CONCATENATE("#Metadata!", ADDRESS(INDEX($AJ$2:$AJ$1001,MATCH(ROWS($AH$2:AH977),$AH$2:$AH$1001,0),0), INDEX($AO$1004:$BQ$1004,1,MATCH(COLUMNS($AO$1006:AZ1006),$AO$1006:$BQ$1006,0)))),"Fix")))</f>
        <v>#N/A</v>
      </c>
      <c r="N977" s="5" t="e">
        <f ca="1">IF(OR(INDEX($AI$2:$AI$1001,MATCH(ROWS($AH$2:AH977),$AH$2:$AH$1001,0),1)&gt;=100000,INDEX($AO$1005:$BQ$1005,1,MATCH(COLUMNS($AO$1006:BA1006),$AO$1006:$BQ$1006,0))&gt;=100000), " ",IF(INDEX($AO$2:$BQ$1001,MATCH(ROWS($AH$2:AH977),$AH$2:$AH$1001,0),MATCH(COLUMNS($AO$1006:BA1006),$AO$1006:$BQ$1006,0)), HYPERLINK("#",""), HYPERLINK(CONCATENATE("#Metadata!", ADDRESS(INDEX($AJ$2:$AJ$1001,MATCH(ROWS($AH$2:AH977),$AH$2:$AH$1001,0),0), INDEX($AO$1004:$BQ$1004,1,MATCH(COLUMNS($AO$1006:BA1006),$AO$1006:$BQ$1006,0)))),"Fix")))</f>
        <v>#N/A</v>
      </c>
      <c r="O977" s="5" t="e">
        <f ca="1">IF(OR(INDEX($AI$2:$AI$1001,MATCH(ROWS($AH$2:AH977),$AH$2:$AH$1001,0),1)&gt;=100000,INDEX($AO$1005:$BQ$1005,1,MATCH(COLUMNS($AO$1006:BB1006),$AO$1006:$BQ$1006,0))&gt;=100000), " ",IF(INDEX($AO$2:$BQ$1001,MATCH(ROWS($AH$2:AH977),$AH$2:$AH$1001,0),MATCH(COLUMNS($AO$1006:BB1006),$AO$1006:$BQ$1006,0)), HYPERLINK("#",""), HYPERLINK(CONCATENATE("#Metadata!", ADDRESS(INDEX($AJ$2:$AJ$1001,MATCH(ROWS($AH$2:AH977),$AH$2:$AH$1001,0),0), INDEX($AO$1004:$BQ$1004,1,MATCH(COLUMNS($AO$1006:BB1006),$AO$1006:$BQ$1006,0)))),"Fix")))</f>
        <v>#N/A</v>
      </c>
      <c r="P977" s="5" t="e">
        <f ca="1">IF(OR(INDEX($AI$2:$AI$1001,MATCH(ROWS($AH$2:AH977),$AH$2:$AH$1001,0),1)&gt;=100000,INDEX($AO$1005:$BQ$1005,1,MATCH(COLUMNS($AO$1006:BC1006),$AO$1006:$BQ$1006,0))&gt;=100000), " ",IF(INDEX($AO$2:$BQ$1001,MATCH(ROWS($AH$2:AH977),$AH$2:$AH$1001,0),MATCH(COLUMNS($AO$1006:BC1006),$AO$1006:$BQ$1006,0)), HYPERLINK("#",""), HYPERLINK(CONCATENATE("#Metadata!", ADDRESS(INDEX($AJ$2:$AJ$1001,MATCH(ROWS($AH$2:AH977),$AH$2:$AH$1001,0),0), INDEX($AO$1004:$BQ$1004,1,MATCH(COLUMNS($AO$1006:BC1006),$AO$1006:$BQ$1006,0)))),"Fix")))</f>
        <v>#N/A</v>
      </c>
      <c r="Q977" s="5" t="e">
        <f ca="1">IF(OR(INDEX($AI$2:$AI$1001,MATCH(ROWS($AH$2:AH977),$AH$2:$AH$1001,0),1)&gt;=100000,INDEX($AO$1005:$BQ$1005,1,MATCH(COLUMNS($AO$1006:BD1006),$AO$1006:$BQ$1006,0))&gt;=100000), " ",IF(INDEX($AO$2:$BQ$1001,MATCH(ROWS($AH$2:AH977),$AH$2:$AH$1001,0),MATCH(COLUMNS($AO$1006:BD1006),$AO$1006:$BQ$1006,0)), HYPERLINK("#",""), HYPERLINK(CONCATENATE("#Metadata!", ADDRESS(INDEX($AJ$2:$AJ$1001,MATCH(ROWS($AH$2:AH977),$AH$2:$AH$1001,0),0), INDEX($AO$1004:$BQ$1004,1,MATCH(COLUMNS($AO$1006:BD1006),$AO$1006:$BQ$1006,0)))),"Fix")))</f>
        <v>#N/A</v>
      </c>
      <c r="R977" s="5" t="e">
        <f ca="1">IF(OR(INDEX($AI$2:$AI$1001,MATCH(ROWS($AH$2:AH977),$AH$2:$AH$1001,0),1)&gt;=100000,INDEX($AO$1005:$BQ$1005,1,MATCH(COLUMNS($AO$1006:BE1006),$AO$1006:$BQ$1006,0))&gt;=100000), " ",IF(INDEX($AO$2:$BQ$1001,MATCH(ROWS($AH$2:AH977),$AH$2:$AH$1001,0),MATCH(COLUMNS($AO$1006:BE1006),$AO$1006:$BQ$1006,0)), HYPERLINK("#",""), HYPERLINK(CONCATENATE("#Metadata!", ADDRESS(INDEX($AJ$2:$AJ$1001,MATCH(ROWS($AH$2:AH977),$AH$2:$AH$1001,0),0), INDEX($AO$1004:$BQ$1004,1,MATCH(COLUMNS($AO$1006:BE1006),$AO$1006:$BQ$1006,0)))),"Fix")))</f>
        <v>#N/A</v>
      </c>
      <c r="S977" s="5" t="e">
        <f ca="1">IF(OR(INDEX($AI$2:$AI$1001,MATCH(ROWS($AH$2:AH977),$AH$2:$AH$1001,0),1)&gt;=100000,INDEX($AO$1005:$BQ$1005,1,MATCH(COLUMNS($AO$1006:BF1006),$AO$1006:$BQ$1006,0))&gt;=100000), " ",IF(INDEX($AO$2:$BQ$1001,MATCH(ROWS($AH$2:AH977),$AH$2:$AH$1001,0),MATCH(COLUMNS($AO$1006:BF1006),$AO$1006:$BQ$1006,0)), HYPERLINK("#",""), HYPERLINK(CONCATENATE("#Metadata!", ADDRESS(INDEX($AJ$2:$AJ$1001,MATCH(ROWS($AH$2:AH977),$AH$2:$AH$1001,0),0), INDEX($AO$1004:$BQ$1004,1,MATCH(COLUMNS($AO$1006:BF1006),$AO$1006:$BQ$1006,0)))),"Fix")))</f>
        <v>#N/A</v>
      </c>
      <c r="T977" s="5" t="e">
        <f ca="1">IF(OR(INDEX($AI$2:$AI$1001,MATCH(ROWS($AH$2:AH977),$AH$2:$AH$1001,0),1)&gt;=100000,INDEX($AO$1005:$BQ$1005,1,MATCH(COLUMNS($AO$1006:BG1006),$AO$1006:$BQ$1006,0))&gt;=100000), " ",IF(INDEX($AO$2:$BQ$1001,MATCH(ROWS($AH$2:AH977),$AH$2:$AH$1001,0),MATCH(COLUMNS($AO$1006:BG1006),$AO$1006:$BQ$1006,0)), HYPERLINK("#",""), HYPERLINK(CONCATENATE("#Metadata!", ADDRESS(INDEX($AJ$2:$AJ$1001,MATCH(ROWS($AH$2:AH977),$AH$2:$AH$1001,0),0), INDEX($AO$1004:$BQ$1004,1,MATCH(COLUMNS($AO$1006:BG1006),$AO$1006:$BQ$1006,0)))),"Fix")))</f>
        <v>#N/A</v>
      </c>
      <c r="U977" s="5" t="e">
        <f ca="1">IF(OR(INDEX($AI$2:$AI$1001,MATCH(ROWS($AH$2:AH977),$AH$2:$AH$1001,0),1)&gt;=100000,INDEX($AO$1005:$BQ$1005,1,MATCH(COLUMNS($AO$1006:BH1006),$AO$1006:$BQ$1006,0))&gt;=100000), " ",IF(INDEX($AO$2:$BQ$1001,MATCH(ROWS($AH$2:AH977),$AH$2:$AH$1001,0),MATCH(COLUMNS($AO$1006:BH1006),$AO$1006:$BQ$1006,0)), HYPERLINK("#",""), HYPERLINK(CONCATENATE("#Metadata!", ADDRESS(INDEX($AJ$2:$AJ$1001,MATCH(ROWS($AH$2:AH977),$AH$2:$AH$1001,0),0), INDEX($AO$1004:$BQ$1004,1,MATCH(COLUMNS($AO$1006:BH1006),$AO$1006:$BQ$1006,0)))),"Fix")))</f>
        <v>#N/A</v>
      </c>
      <c r="V977" s="5" t="e">
        <f ca="1">IF(OR(INDEX($AI$2:$AI$1001,MATCH(ROWS($AH$2:AH977),$AH$2:$AH$1001,0),1)&gt;=100000,INDEX($AO$1005:$BQ$1005,1,MATCH(COLUMNS($AO$1006:BI1006),$AO$1006:$BQ$1006,0))&gt;=100000), " ",IF(INDEX($AO$2:$BQ$1001,MATCH(ROWS($AH$2:AH977),$AH$2:$AH$1001,0),MATCH(COLUMNS($AO$1006:BI1006),$AO$1006:$BQ$1006,0)), HYPERLINK("#",""), HYPERLINK(CONCATENATE("#Metadata!", ADDRESS(INDEX($AJ$2:$AJ$1001,MATCH(ROWS($AH$2:AH977),$AH$2:$AH$1001,0),0), INDEX($AO$1004:$BQ$1004,1,MATCH(COLUMNS($AO$1006:BI1006),$AO$1006:$BQ$1006,0)))),"Fix")))</f>
        <v>#N/A</v>
      </c>
      <c r="W977" s="5" t="e">
        <f ca="1">IF(OR(INDEX($AI$2:$AI$1001,MATCH(ROWS($AH$2:AH977),$AH$2:$AH$1001,0),1)&gt;=100000,INDEX($AO$1005:$BQ$1005,1,MATCH(COLUMNS($AO$1006:BJ1006),$AO$1006:$BQ$1006,0))&gt;=100000), " ",IF(INDEX($AO$2:$BQ$1001,MATCH(ROWS($AH$2:AH977),$AH$2:$AH$1001,0),MATCH(COLUMNS($AO$1006:BJ1006),$AO$1006:$BQ$1006,0)), HYPERLINK("#",""), HYPERLINK(CONCATENATE("#Metadata!", ADDRESS(INDEX($AJ$2:$AJ$1001,MATCH(ROWS($AH$2:AH977),$AH$2:$AH$1001,0),0), INDEX($AO$1004:$BQ$1004,1,MATCH(COLUMNS($AO$1006:BJ1006),$AO$1006:$BQ$1006,0)))),"Fix")))</f>
        <v>#N/A</v>
      </c>
      <c r="X977" s="5" t="e">
        <f ca="1">IF(OR(INDEX($AI$2:$AI$1001,MATCH(ROWS($AH$2:AH977),$AH$2:$AH$1001,0),1)&gt;=100000,INDEX($AO$1005:$BQ$1005,1,MATCH(COLUMNS($AO$1006:BK1006),$AO$1006:$BQ$1006,0))&gt;=100000), " ",IF(INDEX($AO$2:$BQ$1001,MATCH(ROWS($AH$2:AH977),$AH$2:$AH$1001,0),MATCH(COLUMNS($AO$1006:BK1006),$AO$1006:$BQ$1006,0)), HYPERLINK("#",""), HYPERLINK(CONCATENATE("#Metadata!", ADDRESS(INDEX($AJ$2:$AJ$1001,MATCH(ROWS($AH$2:AH977),$AH$2:$AH$1001,0),0), INDEX($AO$1004:$BQ$1004,1,MATCH(COLUMNS($AO$1006:BK1006),$AO$1006:$BQ$1006,0)))),"Fix")))</f>
        <v>#N/A</v>
      </c>
      <c r="Y977" s="5" t="e">
        <f ca="1">IF(OR(INDEX($AI$2:$AI$1001,MATCH(ROWS($AH$2:AH977),$AH$2:$AH$1001,0),1)&gt;=100000,INDEX($AO$1005:$BQ$1005,1,MATCH(COLUMNS($AO$1006:BL1006),$AO$1006:$BQ$1006,0))&gt;=100000), " ",IF(INDEX($AO$2:$BQ$1001,MATCH(ROWS($AH$2:AH977),$AH$2:$AH$1001,0),MATCH(COLUMNS($AO$1006:BL1006),$AO$1006:$BQ$1006,0)), HYPERLINK("#",""), HYPERLINK(CONCATENATE("#Metadata!", ADDRESS(INDEX($AJ$2:$AJ$1001,MATCH(ROWS($AH$2:AH977),$AH$2:$AH$1001,0),0), INDEX($AO$1004:$BQ$1004,1,MATCH(COLUMNS($AO$1006:BL1006),$AO$1006:$BQ$1006,0)))),"Fix")))</f>
        <v>#N/A</v>
      </c>
      <c r="Z977" s="5" t="e">
        <f ca="1">IF(OR(INDEX($AI$2:$AI$1001,MATCH(ROWS($AH$2:AH977),$AH$2:$AH$1001,0),1)&gt;=100000,INDEX($AO$1005:$BQ$1005,1,MATCH(COLUMNS($AO$1006:BM1006),$AO$1006:$BQ$1006,0))&gt;=100000), " ",IF(INDEX($AO$2:$BQ$1001,MATCH(ROWS($AH$2:AH977),$AH$2:$AH$1001,0),MATCH(COLUMNS($AO$1006:BM1006),$AO$1006:$BQ$1006,0)), HYPERLINK("#",""), HYPERLINK(CONCATENATE("#Metadata!", ADDRESS(INDEX($AJ$2:$AJ$1001,MATCH(ROWS($AH$2:AH977),$AH$2:$AH$1001,0),0), INDEX($AO$1004:$BQ$1004,1,MATCH(COLUMNS($AO$1006:BM1006),$AO$1006:$BQ$1006,0)))),"Fix")))</f>
        <v>#N/A</v>
      </c>
      <c r="AA977" s="5" t="e">
        <f ca="1">IF(OR(INDEX($AI$2:$AI$1001,MATCH(ROWS($AH$2:AH977),$AH$2:$AH$1001,0),1)&gt;=100000,INDEX($AO$1005:$BQ$1005,1,MATCH(COLUMNS($AO$1006:BN1006),$AO$1006:$BQ$1006,0))&gt;=100000), " ",IF(INDEX($AO$2:$BQ$1001,MATCH(ROWS($AH$2:AH977),$AH$2:$AH$1001,0),MATCH(COLUMNS($AO$1006:BN1006),$AO$1006:$BQ$1006,0)), HYPERLINK("#",""), HYPERLINK(CONCATENATE("#Metadata!", ADDRESS(INDEX($AJ$2:$AJ$1001,MATCH(ROWS($AH$2:AH977),$AH$2:$AH$1001,0),0), INDEX($AO$1004:$BQ$1004,1,MATCH(COLUMNS($AO$1006:BN1006),$AO$1006:$BQ$1006,0)))),"Fix")))</f>
        <v>#N/A</v>
      </c>
      <c r="AB977" s="5" t="e">
        <f ca="1">IF(OR(INDEX($AI$2:$AI$1001,MATCH(ROWS($AH$2:AH977),$AH$2:$AH$1001,0),1)&gt;=100000,INDEX($AO$1005:$BQ$1005,1,MATCH(COLUMNS($AO$1006:BO1006),$AO$1006:$BQ$1006,0))&gt;=100000), " ",IF(INDEX($AO$2:$BQ$1001,MATCH(ROWS($AH$2:AH977),$AH$2:$AH$1001,0),MATCH(COLUMNS($AO$1006:BO1006),$AO$1006:$BQ$1006,0)), HYPERLINK("#",""), HYPERLINK(CONCATENATE("#Metadata!", ADDRESS(INDEX($AJ$2:$AJ$1001,MATCH(ROWS($AH$2:AH977),$AH$2:$AH$1001,0),0), INDEX($AO$1004:$BQ$1004,1,MATCH(COLUMNS($AO$1006:BO1006),$AO$1006:$BQ$1006,0)))),"Fix")))</f>
        <v>#N/A</v>
      </c>
      <c r="AC977" s="5" t="e">
        <f ca="1">IF(OR(INDEX($AI$2:$AI$1001,MATCH(ROWS($AH$2:AH977),$AH$2:$AH$1001,0),1)&gt;=100000,INDEX($AO$1005:$BQ$1005,1,MATCH(COLUMNS($AO$1006:BP1006),$AO$1006:$BQ$1006,0))&gt;=100000), " ",IF(INDEX($AO$2:$BQ$1001,MATCH(ROWS($AH$2:AH977),$AH$2:$AH$1001,0),MATCH(COLUMNS($AO$1006:BP1006),$AO$1006:$BQ$1006,0)), HYPERLINK("#",""), HYPERLINK(CONCATENATE("#Metadata!", ADDRESS(INDEX($AJ$2:$AJ$1001,MATCH(ROWS($AH$2:AH977),$AH$2:$AH$1001,0),0), INDEX($AO$1004:$BQ$1004,1,MATCH(COLUMNS($AO$1006:BP1006),$AO$1006:$BQ$1006,0)))),"Fix")))</f>
        <v>#N/A</v>
      </c>
      <c r="AD977" s="5" t="e">
        <f ca="1">IF(OR(INDEX($AI$2:$AI$1001,MATCH(ROWS($AH$2:AH977),$AH$2:$AH$1001,0),1)&gt;=100000,INDEX($AO$1005:$BQ$1005,1,MATCH(COLUMNS($AO$1006:BQ1006),$AO$1006:$BQ$1006,0))&gt;=100000), " ",IF(INDEX($AO$2:$BQ$1001,MATCH(ROWS($AH$2:AH977),$AH$2:$AH$1001,0),MATCH(COLUMNS($AO$1006:BQ1006),$AO$1006:$BQ$1006,0)), HYPERLINK("#",""), HYPERLINK(CONCATENATE("#Metadata!", ADDRESS(INDEX($AJ$2:$AJ$1001,MATCH(ROWS($AH$2:AH977),$AH$2:$AH$1001,0),0), INDEX($AO$1004:$BQ$1004,1,MATCH(COLUMNS($AO$1006:BQ1006),$AO$1006:$BQ$1006,0)))),"Fix")))</f>
        <v>#REF!</v>
      </c>
      <c r="AH977">
        <f ca="1"/>
        <v>974</v>
      </c>
      <c r="AI977">
        <v>100977</v>
      </c>
      <c r="AJ977">
        <v>977</v>
      </c>
      <c r="AK977" t="b">
        <f t="shared" si="15"/>
        <v>1</v>
      </c>
      <c r="AL977" t="b">
        <f>COUNTBLANK(Metadata!B977:AD977)=COLUMNS(Metadata!B977:AD977)</f>
        <v>1</v>
      </c>
      <c r="AM977" t="str">
        <v/>
      </c>
      <c r="AO977" t="b">
        <f ca="1">AND(IF(Metadata!B977="",FALSE,TRUE),COUNTIF(Metadata!B:B, Metadata!B977) = 1,NOT(ISERROR(SUMPRODUCT(SEARCH(MID(Metadata!B977,ROW(INDIRECT("1:"&amp;LEN(Metadata!B977))), 1),"0123456789abcdefghijklmnopqrstuvwxyzABCDEFGHIJKLMNOPQRSTUVWXYZ.")))))</f>
        <v>0</v>
      </c>
      <c r="AP977" t="b">
        <f>IF(Metadata!C977="",FALSE,TRUE)</f>
        <v>0</v>
      </c>
      <c r="AQ977" t="b">
        <f>IF(Metadata!D977="",FALSE,TRUE)</f>
        <v>0</v>
      </c>
      <c r="AR977" t="b">
        <f ca="1">OR(AND(IF(Metadata!E977="",FALSE,TRUE),OR(EXACT(Metadata!E977,"not collected"),EXACT(Metadata!E977,"not provided"),EXACT(Metadata!E977,"restricted access"))),AND(IF(Metadata!E977="",FALSE,TRUE),AND(AND(IFERROR(INT(LEFT(Metadata!E977,4))&gt;1900,FALSE),IFERROR(INT(LEFT(Metadata!E977,4))&lt;=YEAR(NOW()),FALSE)), OR(MID(Metadata!E977,5,1)="", AND(AND(MID(Metadata!E977,5,1)="-",IFERROR(INT(MID(Metadata!E977,6,1))&gt;=0,FALSE),IFERROR(INT(MID(Metadata!E977,6,1))&lt;=1,FALSE),NOT(MID(Metadata!E977,7,1)=""),IFERROR(INT(MID(Metadata!E977,6,2))&gt;=1,FALSE),IFERROR(INT(MID(Metadata!E977,6,2))&lt;=12,FALSE)), OR(MID(Metadata!E977,8,1)="", AND(AND(MID(Metadata!E977,8,1)="-",IFERROR(INT(MID(Metadata!E977,9,1))&gt;=0,FALSE),IFERROR(INT(MID(Metadata!E977,9,1))&lt;=3,FALSE),NOT(MID(Metadata!E977,10,1)=""),IFERROR(INT(MID(Metadata!E977,9,2))&gt;=1,FALSE),IFERROR(INT(MID(Metadata!E977,9,2))&lt;=31,FALSE)), OR(MID(Metadata!E977,11,1)="", AND(AND(MID(Metadata!E977,11,1)=" ",IFERROR(INT(MID(Metadata!E977,12,1))&gt;=0,FALSE),IFERROR(INT(MID(Metadata!E977,12,1))&lt;=2,FALSE),NOT(MID(Metadata!E977,13,1)=""),IFERROR(INT(MID(Metadata!E977,12,2))&gt;=0,FALSE),IFERROR(INT(MID(Metadata!E977,12,2))&lt;=23,FALSE)), OR(MID(Metadata!E977,14,1)="", AND(AND(MID(Metadata!E977,14,1)=":",IFERROR(INT(MID(Metadata!E977,15,1))&gt;=0,FALSE),IFERROR(INT(MID(Metadata!E977,15,1))&lt;=5,FALSE),NOT(MID(Metadata!E977,16,1)=""),IFERROR(INT(MID(Metadata!E977,15,2))&gt;=0,FALSE),IFERROR(INT(MID(Metadata!E977,15,2))&lt;=59,FALSE)), OR(MID(Metadata!E977,17,1)="", AND(AND(MID(Metadata!E977,17,1)=":",IFERROR(INT(MID(Metadata!E977,18,1))&gt;=0,FALSE),IFERROR(INT(MID(Metadata!E977,18,1))&lt;=5,FALSE),NOT(MID(Metadata!E977,19,1)=""),IFERROR(INT(MID(Metadata!E977,18,2))&gt;=0,FALSE),IFERROR(INT(MID(Metadata!E977,18,2))&lt;=59,FALSE)), LEN(Metadata!E977)&lt;=19)))))))))))))</f>
        <v>0</v>
      </c>
      <c r="AS977" t="b">
        <f>IF(Metadata!F977="",FALSE,TRUE)</f>
        <v>0</v>
      </c>
      <c r="AT977" t="b">
        <f>OR(AND(IF(Metadata!G977="",FALSE,TRUE),OR(EXACT(Metadata!G977,"not collected"),EXACT(Metadata!G977,"not provided"))),AND(IF(Metadata!G977="",FALSE,TRUE),OR(EXACT(Metadata!G977,"TRUE"),EXACT(Metadata!G977,"FALSE"))))</f>
        <v>0</v>
      </c>
      <c r="AU977" t="b">
        <f>OR(AND(IF(Metadata!H977="",FALSE,TRUE),OR(EXACT(Metadata!H977,"not collected"),EXACT(Metadata!H977,"not provided"),EXACT(Metadata!H977,"restricted access"))),AND(IF(Metadata!H977="",FALSE,ISNUMBER(VALUE(Metadata!H977))),Metadata!H977&gt;=-413))</f>
        <v>0</v>
      </c>
      <c r="AV977" t="b">
        <f>AND(IF(Metadata!I977="",FALSE,TRUE),EXACT(Metadata!I977,"meters"))</f>
        <v>0</v>
      </c>
      <c r="AW977" t="b">
        <f>AND(IF(Metadata!J977="",FALSE,TRUE),EXACT(Metadata!J977,"free-living"))</f>
        <v>0</v>
      </c>
      <c r="AX977" t="b">
        <f>AND(IF(Metadata!K977="",FALSE,TRUE),OR(EXACT(Metadata!K977,"saline"),EXACT(Metadata!K977,"non-saline")))</f>
        <v>0</v>
      </c>
      <c r="AY977" t="b">
        <f>AND(IF(Metadata!L977="",FALSE,TRUE),OR(EXACT(Metadata!L977,"sub-surface (non-saline)"),EXACT(Metadata!L977,"surface (non-saline)"),EXACT(Metadata!L977,"water (non-saline)"),EXACT(Metadata!L977,"soil (non-saline)"),EXACT(Metadata!L977,"aerosol (non-saline)"),EXACT(Metadata!L977,"sediment (non-saline)"),EXACT(Metadata!L977,"surface (saline)"),EXACT(Metadata!L977,"water (saline)"),EXACT(Metadata!L977,"hypersaline (saline)"),EXACT(Metadata!L977,"aerosol (saline)"),EXACT(Metadata!L977,"sediment (saline)")))</f>
        <v>0</v>
      </c>
      <c r="AZ977" t="b">
        <f>IF(Metadata!M977="",FALSE,TRUE)</f>
        <v>0</v>
      </c>
      <c r="BA977" t="b">
        <f>IF(Metadata!N977="",FALSE,TRUE)</f>
        <v>0</v>
      </c>
      <c r="BB977" t="b">
        <f>IF(Metadata!O977="",FALSE,TRUE)</f>
        <v>0</v>
      </c>
      <c r="BC977" t="b">
        <f>AND(IF(Metadata!P977="",FALSE,TRUE),OR(EXACT(Metadata!P977,"air"),EXACT(Metadata!P977,"microbial mat/biofilm"),EXACT(Metadata!P977,"misc environment"),EXACT(Metadata!P977,"sediment"),EXACT(Metadata!P977,"soil"),EXACT(Metadata!P977,"wastewater/sludge"),EXACT(Metadata!P977,"water")))</f>
        <v>0</v>
      </c>
      <c r="BD977" t="b">
        <f>IF(Metadata!Q977="",FALSE,TRUE)</f>
        <v>0</v>
      </c>
      <c r="BE977" t="b">
        <f>IF(Metadata!R977="",FALSE,TRUE)</f>
        <v>0</v>
      </c>
      <c r="BF977" t="b">
        <f>OR(AND(IF(Metadata!S977="",FALSE,TRUE),OR(EXACT(Metadata!S977,"not collected"),EXACT(Metadata!S977,"not provided"),EXACT(Metadata!S977,"restricted access"))),AND(IF(Metadata!S977="",FALSE,ISNUMBER(VALUE(Metadata!S977))),Metadata!S977&gt;=-90,Metadata!S977&lt;=90))</f>
        <v>0</v>
      </c>
      <c r="BG977" t="b">
        <f>AND(IF(Metadata!T977="",FALSE,TRUE),EXACT(Metadata!T977,"Decimal degrees"))</f>
        <v>0</v>
      </c>
      <c r="BH977" t="b">
        <f>OR(AND(IF(Metadata!U977="",FALSE,TRUE),OR(EXACT(Metadata!U977,"not applicable"),EXACT(Metadata!U977,"not collected"))),IF(Metadata!U977="",FALSE,TRUE))</f>
        <v>0</v>
      </c>
      <c r="BI977" t="b">
        <f>OR(AND(IF(Metadata!V977="",FALSE,TRUE),OR(EXACT(Metadata!V977,"not collected"),EXACT(Metadata!V977,"not provided"),EXACT(Metadata!V977,"restricted access"))),AND(IF(Metadata!V977="",FALSE,ISNUMBER(VALUE(Metadata!V977))),Metadata!V977&gt;=-180,Metadata!V977&lt;=180))</f>
        <v>0</v>
      </c>
      <c r="BJ977" t="b">
        <f>AND(IF(Metadata!W977="",FALSE,TRUE),EXACT(Metadata!W977,"Decimal degrees"))</f>
        <v>0</v>
      </c>
      <c r="BK977" t="b">
        <f>IF(Metadata!X977="",FALSE,TRUE)</f>
        <v>0</v>
      </c>
      <c r="BL977" t="b">
        <f>OR(AND(IF(Metadata!Y977="",FALSE,TRUE),OR(EXACT(Metadata!Y977,"not collected"),EXACT(Metadata!Y977,"not provided"),EXACT(Metadata!Y977,"restricted access"))),AND(IF(Metadata!Y977="",FALSE,TRUE),OR(EXACT(Metadata!Y977,"TRUE"),EXACT(Metadata!Y977,"FALSE"))))</f>
        <v>0</v>
      </c>
      <c r="BM977" t="b">
        <f>OR(AND(IF(Metadata!Z977="",FALSE,TRUE),EXACT(Metadata!Z977,"not applicable")),AND(IF(Metadata!Z977="",FALSE,TRUE),OR(EXACT(Metadata!Z977,"beer"),EXACT(Metadata!Z977,"cheese"),EXACT(Metadata!Z977,"fresh water"),EXACT(Metadata!Z977,"marine sediment"),EXACT(Metadata!Z977,"sea water"),EXACT(Metadata!Z977,"sediment"),EXACT(Metadata!Z977,"soil"),EXACT(Metadata!Z977,"waste water"))))</f>
        <v>0</v>
      </c>
      <c r="BN977" t="b">
        <f>AND(IF(Metadata!AA977="",FALSE,TRUE),EXACT(Metadata!AA977,"metagenome"))</f>
        <v>0</v>
      </c>
      <c r="BO977" t="b">
        <f>AND(IF(Metadata!AB977="",FALSE,TRUE),EXACT(Metadata!AB977,"256318"))</f>
        <v>0</v>
      </c>
      <c r="BP977" t="b">
        <f>IF(Metadata!AC977="",FALSE,TRUE)</f>
        <v>0</v>
      </c>
      <c r="BQ977" t="b">
        <f>IF(Metadata!AD977="",FALSE,TRUE)</f>
        <v>0</v>
      </c>
    </row>
    <row r="978" spans="1:69" x14ac:dyDescent="0.2">
      <c r="A978" s="4" t="e">
        <f ca="1">IF(B978=" "," ",HYPERLINK(CONCATENATE("#metadata!",ADDRESS(INDEX($AJ$2:$AJ$1001,MATCH(ROWS($AH$2:AH978),$AH$2:$AH$1001,0),0),2)),INDEX($AM$2:$AM$1001,MATCH(ROWS($AH$2:AH978),$AH$2:$AH$1001,0),0)))</f>
        <v>#N/A</v>
      </c>
      <c r="B978" s="5" t="e">
        <f ca="1">IF(OR(INDEX($AI$2:$AI$1001,MATCH(ROWS($AH$2:AH978),$AH$2:$AH$1001,0),1)&gt;=100000,INDEX($AO$1005:$BQ$1005,1,MATCH(COLUMNS($AO$1006:AO1006),$AO$1006:$BQ$1006,0))&gt;=100000), " ",IF(INDEX($AO$2:$BQ$1001,MATCH(ROWS($AH$2:AH978),$AH$2:$AH$1001,0),MATCH(COLUMNS($AO$1006:AO1006),$AO$1006:$BQ$1006,0)), HYPERLINK("#",""), HYPERLINK(CONCATENATE("#Metadata!", ADDRESS(INDEX($AJ$2:$AJ$1001,MATCH(ROWS($AH$2:AH978),$AH$2:$AH$1001,0),0), INDEX($AO$1004:$BQ$1004,1,MATCH(COLUMNS($AO$1006:AO1006),$AO$1006:$BQ$1006,0)))),"Fix")))</f>
        <v>#N/A</v>
      </c>
      <c r="C978" s="5" t="e">
        <f ca="1">IF(OR(INDEX($AI$2:$AI$1001,MATCH(ROWS($AH$2:AH978),$AH$2:$AH$1001,0),1)&gt;=100000,INDEX($AO$1005:$BQ$1005,1,MATCH(COLUMNS($AO$1006:AP1006),$AO$1006:$BQ$1006,0))&gt;=100000), " ",IF(INDEX($AO$2:$BQ$1001,MATCH(ROWS($AH$2:AH978),$AH$2:$AH$1001,0),MATCH(COLUMNS($AO$1006:AP1006),$AO$1006:$BQ$1006,0)), HYPERLINK("#",""), HYPERLINK(CONCATENATE("#Metadata!", ADDRESS(INDEX($AJ$2:$AJ$1001,MATCH(ROWS($AH$2:AH978),$AH$2:$AH$1001,0),0), INDEX($AO$1004:$BQ$1004,1,MATCH(COLUMNS($AO$1006:AP1006),$AO$1006:$BQ$1006,0)))),"Fix")))</f>
        <v>#N/A</v>
      </c>
      <c r="D978" s="5" t="e">
        <f ca="1">IF(OR(INDEX($AI$2:$AI$1001,MATCH(ROWS($AH$2:AH978),$AH$2:$AH$1001,0),1)&gt;=100000,INDEX($AO$1005:$BQ$1005,1,MATCH(COLUMNS($AO$1006:AQ1006),$AO$1006:$BQ$1006,0))&gt;=100000), " ",IF(INDEX($AO$2:$BQ$1001,MATCH(ROWS($AH$2:AH978),$AH$2:$AH$1001,0),MATCH(COLUMNS($AO$1006:AQ1006),$AO$1006:$BQ$1006,0)), HYPERLINK("#",""), HYPERLINK(CONCATENATE("#Metadata!", ADDRESS(INDEX($AJ$2:$AJ$1001,MATCH(ROWS($AH$2:AH978),$AH$2:$AH$1001,0),0), INDEX($AO$1004:$BQ$1004,1,MATCH(COLUMNS($AO$1006:AQ1006),$AO$1006:$BQ$1006,0)))),"Fix")))</f>
        <v>#N/A</v>
      </c>
      <c r="E978" s="5" t="e">
        <f ca="1">IF(OR(INDEX($AI$2:$AI$1001,MATCH(ROWS($AH$2:AH978),$AH$2:$AH$1001,0),1)&gt;=100000,INDEX($AO$1005:$BQ$1005,1,MATCH(COLUMNS($AO$1006:AR1006),$AO$1006:$BQ$1006,0))&gt;=100000), " ",IF(INDEX($AO$2:$BQ$1001,MATCH(ROWS($AH$2:AH978),$AH$2:$AH$1001,0),MATCH(COLUMNS($AO$1006:AR1006),$AO$1006:$BQ$1006,0)), HYPERLINK("#",""), HYPERLINK(CONCATENATE("#Metadata!", ADDRESS(INDEX($AJ$2:$AJ$1001,MATCH(ROWS($AH$2:AH978),$AH$2:$AH$1001,0),0), INDEX($AO$1004:$BQ$1004,1,MATCH(COLUMNS($AO$1006:AR1006),$AO$1006:$BQ$1006,0)))),"Fix")))</f>
        <v>#N/A</v>
      </c>
      <c r="F978" s="5" t="e">
        <f ca="1">IF(OR(INDEX($AI$2:$AI$1001,MATCH(ROWS($AH$2:AH978),$AH$2:$AH$1001,0),1)&gt;=100000,INDEX($AO$1005:$BQ$1005,1,MATCH(COLUMNS($AO$1006:AS1006),$AO$1006:$BQ$1006,0))&gt;=100000), " ",IF(INDEX($AO$2:$BQ$1001,MATCH(ROWS($AH$2:AH978),$AH$2:$AH$1001,0),MATCH(COLUMNS($AO$1006:AS1006),$AO$1006:$BQ$1006,0)), HYPERLINK("#",""), HYPERLINK(CONCATENATE("#Metadata!", ADDRESS(INDEX($AJ$2:$AJ$1001,MATCH(ROWS($AH$2:AH978),$AH$2:$AH$1001,0),0), INDEX($AO$1004:$BQ$1004,1,MATCH(COLUMNS($AO$1006:AS1006),$AO$1006:$BQ$1006,0)))),"Fix")))</f>
        <v>#N/A</v>
      </c>
      <c r="G978" s="5" t="e">
        <f ca="1">IF(OR(INDEX($AI$2:$AI$1001,MATCH(ROWS($AH$2:AH978),$AH$2:$AH$1001,0),1)&gt;=100000,INDEX($AO$1005:$BQ$1005,1,MATCH(COLUMNS($AO$1006:AT1006),$AO$1006:$BQ$1006,0))&gt;=100000), " ",IF(INDEX($AO$2:$BQ$1001,MATCH(ROWS($AH$2:AH978),$AH$2:$AH$1001,0),MATCH(COLUMNS($AO$1006:AT1006),$AO$1006:$BQ$1006,0)), HYPERLINK("#",""), HYPERLINK(CONCATENATE("#Metadata!", ADDRESS(INDEX($AJ$2:$AJ$1001,MATCH(ROWS($AH$2:AH978),$AH$2:$AH$1001,0),0), INDEX($AO$1004:$BQ$1004,1,MATCH(COLUMNS($AO$1006:AT1006),$AO$1006:$BQ$1006,0)))),"Fix")))</f>
        <v>#N/A</v>
      </c>
      <c r="H978" s="5" t="e">
        <f ca="1">IF(OR(INDEX($AI$2:$AI$1001,MATCH(ROWS($AH$2:AH978),$AH$2:$AH$1001,0),1)&gt;=100000,INDEX($AO$1005:$BQ$1005,1,MATCH(COLUMNS($AO$1006:AU1006),$AO$1006:$BQ$1006,0))&gt;=100000), " ",IF(INDEX($AO$2:$BQ$1001,MATCH(ROWS($AH$2:AH978),$AH$2:$AH$1001,0),MATCH(COLUMNS($AO$1006:AU1006),$AO$1006:$BQ$1006,0)), HYPERLINK("#",""), HYPERLINK(CONCATENATE("#Metadata!", ADDRESS(INDEX($AJ$2:$AJ$1001,MATCH(ROWS($AH$2:AH978),$AH$2:$AH$1001,0),0), INDEX($AO$1004:$BQ$1004,1,MATCH(COLUMNS($AO$1006:AU1006),$AO$1006:$BQ$1006,0)))),"Fix")))</f>
        <v>#N/A</v>
      </c>
      <c r="I978" s="5" t="e">
        <f ca="1">IF(OR(INDEX($AI$2:$AI$1001,MATCH(ROWS($AH$2:AH978),$AH$2:$AH$1001,0),1)&gt;=100000,INDEX($AO$1005:$BQ$1005,1,MATCH(COLUMNS($AO$1006:AV1006),$AO$1006:$BQ$1006,0))&gt;=100000), " ",IF(INDEX($AO$2:$BQ$1001,MATCH(ROWS($AH$2:AH978),$AH$2:$AH$1001,0),MATCH(COLUMNS($AO$1006:AV1006),$AO$1006:$BQ$1006,0)), HYPERLINK("#",""), HYPERLINK(CONCATENATE("#Metadata!", ADDRESS(INDEX($AJ$2:$AJ$1001,MATCH(ROWS($AH$2:AH978),$AH$2:$AH$1001,0),0), INDEX($AO$1004:$BQ$1004,1,MATCH(COLUMNS($AO$1006:AV1006),$AO$1006:$BQ$1006,0)))),"Fix")))</f>
        <v>#N/A</v>
      </c>
      <c r="J978" s="5" t="e">
        <f ca="1">IF(OR(INDEX($AI$2:$AI$1001,MATCH(ROWS($AH$2:AH978),$AH$2:$AH$1001,0),1)&gt;=100000,INDEX($AO$1005:$BQ$1005,1,MATCH(COLUMNS($AO$1006:AW1006),$AO$1006:$BQ$1006,0))&gt;=100000), " ",IF(INDEX($AO$2:$BQ$1001,MATCH(ROWS($AH$2:AH978),$AH$2:$AH$1001,0),MATCH(COLUMNS($AO$1006:AW1006),$AO$1006:$BQ$1006,0)), HYPERLINK("#",""), HYPERLINK(CONCATENATE("#Metadata!", ADDRESS(INDEX($AJ$2:$AJ$1001,MATCH(ROWS($AH$2:AH978),$AH$2:$AH$1001,0),0), INDEX($AO$1004:$BQ$1004,1,MATCH(COLUMNS($AO$1006:AW1006),$AO$1006:$BQ$1006,0)))),"Fix")))</f>
        <v>#N/A</v>
      </c>
      <c r="K978" s="5" t="e">
        <f ca="1">IF(OR(INDEX($AI$2:$AI$1001,MATCH(ROWS($AH$2:AH978),$AH$2:$AH$1001,0),1)&gt;=100000,INDEX($AO$1005:$BQ$1005,1,MATCH(COLUMNS($AO$1006:AX1006),$AO$1006:$BQ$1006,0))&gt;=100000), " ",IF(INDEX($AO$2:$BQ$1001,MATCH(ROWS($AH$2:AH978),$AH$2:$AH$1001,0),MATCH(COLUMNS($AO$1006:AX1006),$AO$1006:$BQ$1006,0)), HYPERLINK("#",""), HYPERLINK(CONCATENATE("#Metadata!", ADDRESS(INDEX($AJ$2:$AJ$1001,MATCH(ROWS($AH$2:AH978),$AH$2:$AH$1001,0),0), INDEX($AO$1004:$BQ$1004,1,MATCH(COLUMNS($AO$1006:AX1006),$AO$1006:$BQ$1006,0)))),"Fix")))</f>
        <v>#N/A</v>
      </c>
      <c r="L978" s="5" t="e">
        <f ca="1">IF(OR(INDEX($AI$2:$AI$1001,MATCH(ROWS($AH$2:AH978),$AH$2:$AH$1001,0),1)&gt;=100000,INDEX($AO$1005:$BQ$1005,1,MATCH(COLUMNS($AO$1006:AY1006),$AO$1006:$BQ$1006,0))&gt;=100000), " ",IF(INDEX($AO$2:$BQ$1001,MATCH(ROWS($AH$2:AH978),$AH$2:$AH$1001,0),MATCH(COLUMNS($AO$1006:AY1006),$AO$1006:$BQ$1006,0)), HYPERLINK("#",""), HYPERLINK(CONCATENATE("#Metadata!", ADDRESS(INDEX($AJ$2:$AJ$1001,MATCH(ROWS($AH$2:AH978),$AH$2:$AH$1001,0),0), INDEX($AO$1004:$BQ$1004,1,MATCH(COLUMNS($AO$1006:AY1006),$AO$1006:$BQ$1006,0)))),"Fix")))</f>
        <v>#N/A</v>
      </c>
      <c r="M978" s="5" t="e">
        <f ca="1">IF(OR(INDEX($AI$2:$AI$1001,MATCH(ROWS($AH$2:AH978),$AH$2:$AH$1001,0),1)&gt;=100000,INDEX($AO$1005:$BQ$1005,1,MATCH(COLUMNS($AO$1006:AZ1006),$AO$1006:$BQ$1006,0))&gt;=100000), " ",IF(INDEX($AO$2:$BQ$1001,MATCH(ROWS($AH$2:AH978),$AH$2:$AH$1001,0),MATCH(COLUMNS($AO$1006:AZ1006),$AO$1006:$BQ$1006,0)), HYPERLINK("#",""), HYPERLINK(CONCATENATE("#Metadata!", ADDRESS(INDEX($AJ$2:$AJ$1001,MATCH(ROWS($AH$2:AH978),$AH$2:$AH$1001,0),0), INDEX($AO$1004:$BQ$1004,1,MATCH(COLUMNS($AO$1006:AZ1006),$AO$1006:$BQ$1006,0)))),"Fix")))</f>
        <v>#N/A</v>
      </c>
      <c r="N978" s="5" t="e">
        <f ca="1">IF(OR(INDEX($AI$2:$AI$1001,MATCH(ROWS($AH$2:AH978),$AH$2:$AH$1001,0),1)&gt;=100000,INDEX($AO$1005:$BQ$1005,1,MATCH(COLUMNS($AO$1006:BA1006),$AO$1006:$BQ$1006,0))&gt;=100000), " ",IF(INDEX($AO$2:$BQ$1001,MATCH(ROWS($AH$2:AH978),$AH$2:$AH$1001,0),MATCH(COLUMNS($AO$1006:BA1006),$AO$1006:$BQ$1006,0)), HYPERLINK("#",""), HYPERLINK(CONCATENATE("#Metadata!", ADDRESS(INDEX($AJ$2:$AJ$1001,MATCH(ROWS($AH$2:AH978),$AH$2:$AH$1001,0),0), INDEX($AO$1004:$BQ$1004,1,MATCH(COLUMNS($AO$1006:BA1006),$AO$1006:$BQ$1006,0)))),"Fix")))</f>
        <v>#N/A</v>
      </c>
      <c r="O978" s="5" t="e">
        <f ca="1">IF(OR(INDEX($AI$2:$AI$1001,MATCH(ROWS($AH$2:AH978),$AH$2:$AH$1001,0),1)&gt;=100000,INDEX($AO$1005:$BQ$1005,1,MATCH(COLUMNS($AO$1006:BB1006),$AO$1006:$BQ$1006,0))&gt;=100000), " ",IF(INDEX($AO$2:$BQ$1001,MATCH(ROWS($AH$2:AH978),$AH$2:$AH$1001,0),MATCH(COLUMNS($AO$1006:BB1006),$AO$1006:$BQ$1006,0)), HYPERLINK("#",""), HYPERLINK(CONCATENATE("#Metadata!", ADDRESS(INDEX($AJ$2:$AJ$1001,MATCH(ROWS($AH$2:AH978),$AH$2:$AH$1001,0),0), INDEX($AO$1004:$BQ$1004,1,MATCH(COLUMNS($AO$1006:BB1006),$AO$1006:$BQ$1006,0)))),"Fix")))</f>
        <v>#N/A</v>
      </c>
      <c r="P978" s="5" t="e">
        <f ca="1">IF(OR(INDEX($AI$2:$AI$1001,MATCH(ROWS($AH$2:AH978),$AH$2:$AH$1001,0),1)&gt;=100000,INDEX($AO$1005:$BQ$1005,1,MATCH(COLUMNS($AO$1006:BC1006),$AO$1006:$BQ$1006,0))&gt;=100000), " ",IF(INDEX($AO$2:$BQ$1001,MATCH(ROWS($AH$2:AH978),$AH$2:$AH$1001,0),MATCH(COLUMNS($AO$1006:BC1006),$AO$1006:$BQ$1006,0)), HYPERLINK("#",""), HYPERLINK(CONCATENATE("#Metadata!", ADDRESS(INDEX($AJ$2:$AJ$1001,MATCH(ROWS($AH$2:AH978),$AH$2:$AH$1001,0),0), INDEX($AO$1004:$BQ$1004,1,MATCH(COLUMNS($AO$1006:BC1006),$AO$1006:$BQ$1006,0)))),"Fix")))</f>
        <v>#N/A</v>
      </c>
      <c r="Q978" s="5" t="e">
        <f ca="1">IF(OR(INDEX($AI$2:$AI$1001,MATCH(ROWS($AH$2:AH978),$AH$2:$AH$1001,0),1)&gt;=100000,INDEX($AO$1005:$BQ$1005,1,MATCH(COLUMNS($AO$1006:BD1006),$AO$1006:$BQ$1006,0))&gt;=100000), " ",IF(INDEX($AO$2:$BQ$1001,MATCH(ROWS($AH$2:AH978),$AH$2:$AH$1001,0),MATCH(COLUMNS($AO$1006:BD1006),$AO$1006:$BQ$1006,0)), HYPERLINK("#",""), HYPERLINK(CONCATENATE("#Metadata!", ADDRESS(INDEX($AJ$2:$AJ$1001,MATCH(ROWS($AH$2:AH978),$AH$2:$AH$1001,0),0), INDEX($AO$1004:$BQ$1004,1,MATCH(COLUMNS($AO$1006:BD1006),$AO$1006:$BQ$1006,0)))),"Fix")))</f>
        <v>#N/A</v>
      </c>
      <c r="R978" s="5" t="e">
        <f ca="1">IF(OR(INDEX($AI$2:$AI$1001,MATCH(ROWS($AH$2:AH978),$AH$2:$AH$1001,0),1)&gt;=100000,INDEX($AO$1005:$BQ$1005,1,MATCH(COLUMNS($AO$1006:BE1006),$AO$1006:$BQ$1006,0))&gt;=100000), " ",IF(INDEX($AO$2:$BQ$1001,MATCH(ROWS($AH$2:AH978),$AH$2:$AH$1001,0),MATCH(COLUMNS($AO$1006:BE1006),$AO$1006:$BQ$1006,0)), HYPERLINK("#",""), HYPERLINK(CONCATENATE("#Metadata!", ADDRESS(INDEX($AJ$2:$AJ$1001,MATCH(ROWS($AH$2:AH978),$AH$2:$AH$1001,0),0), INDEX($AO$1004:$BQ$1004,1,MATCH(COLUMNS($AO$1006:BE1006),$AO$1006:$BQ$1006,0)))),"Fix")))</f>
        <v>#N/A</v>
      </c>
      <c r="S978" s="5" t="e">
        <f ca="1">IF(OR(INDEX($AI$2:$AI$1001,MATCH(ROWS($AH$2:AH978),$AH$2:$AH$1001,0),1)&gt;=100000,INDEX($AO$1005:$BQ$1005,1,MATCH(COLUMNS($AO$1006:BF1006),$AO$1006:$BQ$1006,0))&gt;=100000), " ",IF(INDEX($AO$2:$BQ$1001,MATCH(ROWS($AH$2:AH978),$AH$2:$AH$1001,0),MATCH(COLUMNS($AO$1006:BF1006),$AO$1006:$BQ$1006,0)), HYPERLINK("#",""), HYPERLINK(CONCATENATE("#Metadata!", ADDRESS(INDEX($AJ$2:$AJ$1001,MATCH(ROWS($AH$2:AH978),$AH$2:$AH$1001,0),0), INDEX($AO$1004:$BQ$1004,1,MATCH(COLUMNS($AO$1006:BF1006),$AO$1006:$BQ$1006,0)))),"Fix")))</f>
        <v>#N/A</v>
      </c>
      <c r="T978" s="5" t="e">
        <f ca="1">IF(OR(INDEX($AI$2:$AI$1001,MATCH(ROWS($AH$2:AH978),$AH$2:$AH$1001,0),1)&gt;=100000,INDEX($AO$1005:$BQ$1005,1,MATCH(COLUMNS($AO$1006:BG1006),$AO$1006:$BQ$1006,0))&gt;=100000), " ",IF(INDEX($AO$2:$BQ$1001,MATCH(ROWS($AH$2:AH978),$AH$2:$AH$1001,0),MATCH(COLUMNS($AO$1006:BG1006),$AO$1006:$BQ$1006,0)), HYPERLINK("#",""), HYPERLINK(CONCATENATE("#Metadata!", ADDRESS(INDEX($AJ$2:$AJ$1001,MATCH(ROWS($AH$2:AH978),$AH$2:$AH$1001,0),0), INDEX($AO$1004:$BQ$1004,1,MATCH(COLUMNS($AO$1006:BG1006),$AO$1006:$BQ$1006,0)))),"Fix")))</f>
        <v>#N/A</v>
      </c>
      <c r="U978" s="5" t="e">
        <f ca="1">IF(OR(INDEX($AI$2:$AI$1001,MATCH(ROWS($AH$2:AH978),$AH$2:$AH$1001,0),1)&gt;=100000,INDEX($AO$1005:$BQ$1005,1,MATCH(COLUMNS($AO$1006:BH1006),$AO$1006:$BQ$1006,0))&gt;=100000), " ",IF(INDEX($AO$2:$BQ$1001,MATCH(ROWS($AH$2:AH978),$AH$2:$AH$1001,0),MATCH(COLUMNS($AO$1006:BH1006),$AO$1006:$BQ$1006,0)), HYPERLINK("#",""), HYPERLINK(CONCATENATE("#Metadata!", ADDRESS(INDEX($AJ$2:$AJ$1001,MATCH(ROWS($AH$2:AH978),$AH$2:$AH$1001,0),0), INDEX($AO$1004:$BQ$1004,1,MATCH(COLUMNS($AO$1006:BH1006),$AO$1006:$BQ$1006,0)))),"Fix")))</f>
        <v>#N/A</v>
      </c>
      <c r="V978" s="5" t="e">
        <f ca="1">IF(OR(INDEX($AI$2:$AI$1001,MATCH(ROWS($AH$2:AH978),$AH$2:$AH$1001,0),1)&gt;=100000,INDEX($AO$1005:$BQ$1005,1,MATCH(COLUMNS($AO$1006:BI1006),$AO$1006:$BQ$1006,0))&gt;=100000), " ",IF(INDEX($AO$2:$BQ$1001,MATCH(ROWS($AH$2:AH978),$AH$2:$AH$1001,0),MATCH(COLUMNS($AO$1006:BI1006),$AO$1006:$BQ$1006,0)), HYPERLINK("#",""), HYPERLINK(CONCATENATE("#Metadata!", ADDRESS(INDEX($AJ$2:$AJ$1001,MATCH(ROWS($AH$2:AH978),$AH$2:$AH$1001,0),0), INDEX($AO$1004:$BQ$1004,1,MATCH(COLUMNS($AO$1006:BI1006),$AO$1006:$BQ$1006,0)))),"Fix")))</f>
        <v>#N/A</v>
      </c>
      <c r="W978" s="5" t="e">
        <f ca="1">IF(OR(INDEX($AI$2:$AI$1001,MATCH(ROWS($AH$2:AH978),$AH$2:$AH$1001,0),1)&gt;=100000,INDEX($AO$1005:$BQ$1005,1,MATCH(COLUMNS($AO$1006:BJ1006),$AO$1006:$BQ$1006,0))&gt;=100000), " ",IF(INDEX($AO$2:$BQ$1001,MATCH(ROWS($AH$2:AH978),$AH$2:$AH$1001,0),MATCH(COLUMNS($AO$1006:BJ1006),$AO$1006:$BQ$1006,0)), HYPERLINK("#",""), HYPERLINK(CONCATENATE("#Metadata!", ADDRESS(INDEX($AJ$2:$AJ$1001,MATCH(ROWS($AH$2:AH978),$AH$2:$AH$1001,0),0), INDEX($AO$1004:$BQ$1004,1,MATCH(COLUMNS($AO$1006:BJ1006),$AO$1006:$BQ$1006,0)))),"Fix")))</f>
        <v>#N/A</v>
      </c>
      <c r="X978" s="5" t="e">
        <f ca="1">IF(OR(INDEX($AI$2:$AI$1001,MATCH(ROWS($AH$2:AH978),$AH$2:$AH$1001,0),1)&gt;=100000,INDEX($AO$1005:$BQ$1005,1,MATCH(COLUMNS($AO$1006:BK1006),$AO$1006:$BQ$1006,0))&gt;=100000), " ",IF(INDEX($AO$2:$BQ$1001,MATCH(ROWS($AH$2:AH978),$AH$2:$AH$1001,0),MATCH(COLUMNS($AO$1006:BK1006),$AO$1006:$BQ$1006,0)), HYPERLINK("#",""), HYPERLINK(CONCATENATE("#Metadata!", ADDRESS(INDEX($AJ$2:$AJ$1001,MATCH(ROWS($AH$2:AH978),$AH$2:$AH$1001,0),0), INDEX($AO$1004:$BQ$1004,1,MATCH(COLUMNS($AO$1006:BK1006),$AO$1006:$BQ$1006,0)))),"Fix")))</f>
        <v>#N/A</v>
      </c>
      <c r="Y978" s="5" t="e">
        <f ca="1">IF(OR(INDEX($AI$2:$AI$1001,MATCH(ROWS($AH$2:AH978),$AH$2:$AH$1001,0),1)&gt;=100000,INDEX($AO$1005:$BQ$1005,1,MATCH(COLUMNS($AO$1006:BL1006),$AO$1006:$BQ$1006,0))&gt;=100000), " ",IF(INDEX($AO$2:$BQ$1001,MATCH(ROWS($AH$2:AH978),$AH$2:$AH$1001,0),MATCH(COLUMNS($AO$1006:BL1006),$AO$1006:$BQ$1006,0)), HYPERLINK("#",""), HYPERLINK(CONCATENATE("#Metadata!", ADDRESS(INDEX($AJ$2:$AJ$1001,MATCH(ROWS($AH$2:AH978),$AH$2:$AH$1001,0),0), INDEX($AO$1004:$BQ$1004,1,MATCH(COLUMNS($AO$1006:BL1006),$AO$1006:$BQ$1006,0)))),"Fix")))</f>
        <v>#N/A</v>
      </c>
      <c r="Z978" s="5" t="e">
        <f ca="1">IF(OR(INDEX($AI$2:$AI$1001,MATCH(ROWS($AH$2:AH978),$AH$2:$AH$1001,0),1)&gt;=100000,INDEX($AO$1005:$BQ$1005,1,MATCH(COLUMNS($AO$1006:BM1006),$AO$1006:$BQ$1006,0))&gt;=100000), " ",IF(INDEX($AO$2:$BQ$1001,MATCH(ROWS($AH$2:AH978),$AH$2:$AH$1001,0),MATCH(COLUMNS($AO$1006:BM1006),$AO$1006:$BQ$1006,0)), HYPERLINK("#",""), HYPERLINK(CONCATENATE("#Metadata!", ADDRESS(INDEX($AJ$2:$AJ$1001,MATCH(ROWS($AH$2:AH978),$AH$2:$AH$1001,0),0), INDEX($AO$1004:$BQ$1004,1,MATCH(COLUMNS($AO$1006:BM1006),$AO$1006:$BQ$1006,0)))),"Fix")))</f>
        <v>#N/A</v>
      </c>
      <c r="AA978" s="5" t="e">
        <f ca="1">IF(OR(INDEX($AI$2:$AI$1001,MATCH(ROWS($AH$2:AH978),$AH$2:$AH$1001,0),1)&gt;=100000,INDEX($AO$1005:$BQ$1005,1,MATCH(COLUMNS($AO$1006:BN1006),$AO$1006:$BQ$1006,0))&gt;=100000), " ",IF(INDEX($AO$2:$BQ$1001,MATCH(ROWS($AH$2:AH978),$AH$2:$AH$1001,0),MATCH(COLUMNS($AO$1006:BN1006),$AO$1006:$BQ$1006,0)), HYPERLINK("#",""), HYPERLINK(CONCATENATE("#Metadata!", ADDRESS(INDEX($AJ$2:$AJ$1001,MATCH(ROWS($AH$2:AH978),$AH$2:$AH$1001,0),0), INDEX($AO$1004:$BQ$1004,1,MATCH(COLUMNS($AO$1006:BN1006),$AO$1006:$BQ$1006,0)))),"Fix")))</f>
        <v>#N/A</v>
      </c>
      <c r="AB978" s="5" t="e">
        <f ca="1">IF(OR(INDEX($AI$2:$AI$1001,MATCH(ROWS($AH$2:AH978),$AH$2:$AH$1001,0),1)&gt;=100000,INDEX($AO$1005:$BQ$1005,1,MATCH(COLUMNS($AO$1006:BO1006),$AO$1006:$BQ$1006,0))&gt;=100000), " ",IF(INDEX($AO$2:$BQ$1001,MATCH(ROWS($AH$2:AH978),$AH$2:$AH$1001,0),MATCH(COLUMNS($AO$1006:BO1006),$AO$1006:$BQ$1006,0)), HYPERLINK("#",""), HYPERLINK(CONCATENATE("#Metadata!", ADDRESS(INDEX($AJ$2:$AJ$1001,MATCH(ROWS($AH$2:AH978),$AH$2:$AH$1001,0),0), INDEX($AO$1004:$BQ$1004,1,MATCH(COLUMNS($AO$1006:BO1006),$AO$1006:$BQ$1006,0)))),"Fix")))</f>
        <v>#N/A</v>
      </c>
      <c r="AC978" s="5" t="e">
        <f ca="1">IF(OR(INDEX($AI$2:$AI$1001,MATCH(ROWS($AH$2:AH978),$AH$2:$AH$1001,0),1)&gt;=100000,INDEX($AO$1005:$BQ$1005,1,MATCH(COLUMNS($AO$1006:BP1006),$AO$1006:$BQ$1006,0))&gt;=100000), " ",IF(INDEX($AO$2:$BQ$1001,MATCH(ROWS($AH$2:AH978),$AH$2:$AH$1001,0),MATCH(COLUMNS($AO$1006:BP1006),$AO$1006:$BQ$1006,0)), HYPERLINK("#",""), HYPERLINK(CONCATENATE("#Metadata!", ADDRESS(INDEX($AJ$2:$AJ$1001,MATCH(ROWS($AH$2:AH978),$AH$2:$AH$1001,0),0), INDEX($AO$1004:$BQ$1004,1,MATCH(COLUMNS($AO$1006:BP1006),$AO$1006:$BQ$1006,0)))),"Fix")))</f>
        <v>#N/A</v>
      </c>
      <c r="AD978" s="5" t="e">
        <f ca="1">IF(OR(INDEX($AI$2:$AI$1001,MATCH(ROWS($AH$2:AH978),$AH$2:$AH$1001,0),1)&gt;=100000,INDEX($AO$1005:$BQ$1005,1,MATCH(COLUMNS($AO$1006:BQ1006),$AO$1006:$BQ$1006,0))&gt;=100000), " ",IF(INDEX($AO$2:$BQ$1001,MATCH(ROWS($AH$2:AH978),$AH$2:$AH$1001,0),MATCH(COLUMNS($AO$1006:BQ1006),$AO$1006:$BQ$1006,0)), HYPERLINK("#",""), HYPERLINK(CONCATENATE("#Metadata!", ADDRESS(INDEX($AJ$2:$AJ$1001,MATCH(ROWS($AH$2:AH978),$AH$2:$AH$1001,0),0), INDEX($AO$1004:$BQ$1004,1,MATCH(COLUMNS($AO$1006:BQ1006),$AO$1006:$BQ$1006,0)))),"Fix")))</f>
        <v>#REF!</v>
      </c>
      <c r="AH978">
        <f ca="1"/>
        <v>975</v>
      </c>
      <c r="AI978">
        <v>100978</v>
      </c>
      <c r="AJ978">
        <v>978</v>
      </c>
      <c r="AK978" t="b">
        <f t="shared" si="15"/>
        <v>1</v>
      </c>
      <c r="AL978" t="b">
        <f>COUNTBLANK(Metadata!B978:AD978)=COLUMNS(Metadata!B978:AD978)</f>
        <v>1</v>
      </c>
      <c r="AM978" t="str">
        <v/>
      </c>
      <c r="AO978" t="b">
        <f ca="1">AND(IF(Metadata!B978="",FALSE,TRUE),COUNTIF(Metadata!B:B, Metadata!B978) = 1,NOT(ISERROR(SUMPRODUCT(SEARCH(MID(Metadata!B978,ROW(INDIRECT("1:"&amp;LEN(Metadata!B978))), 1),"0123456789abcdefghijklmnopqrstuvwxyzABCDEFGHIJKLMNOPQRSTUVWXYZ.")))))</f>
        <v>0</v>
      </c>
      <c r="AP978" t="b">
        <f>IF(Metadata!C978="",FALSE,TRUE)</f>
        <v>0</v>
      </c>
      <c r="AQ978" t="b">
        <f>IF(Metadata!D978="",FALSE,TRUE)</f>
        <v>0</v>
      </c>
      <c r="AR978" t="b">
        <f ca="1">OR(AND(IF(Metadata!E978="",FALSE,TRUE),OR(EXACT(Metadata!E978,"not collected"),EXACT(Metadata!E978,"not provided"),EXACT(Metadata!E978,"restricted access"))),AND(IF(Metadata!E978="",FALSE,TRUE),AND(AND(IFERROR(INT(LEFT(Metadata!E978,4))&gt;1900,FALSE),IFERROR(INT(LEFT(Metadata!E978,4))&lt;=YEAR(NOW()),FALSE)), OR(MID(Metadata!E978,5,1)="", AND(AND(MID(Metadata!E978,5,1)="-",IFERROR(INT(MID(Metadata!E978,6,1))&gt;=0,FALSE),IFERROR(INT(MID(Metadata!E978,6,1))&lt;=1,FALSE),NOT(MID(Metadata!E978,7,1)=""),IFERROR(INT(MID(Metadata!E978,6,2))&gt;=1,FALSE),IFERROR(INT(MID(Metadata!E978,6,2))&lt;=12,FALSE)), OR(MID(Metadata!E978,8,1)="", AND(AND(MID(Metadata!E978,8,1)="-",IFERROR(INT(MID(Metadata!E978,9,1))&gt;=0,FALSE),IFERROR(INT(MID(Metadata!E978,9,1))&lt;=3,FALSE),NOT(MID(Metadata!E978,10,1)=""),IFERROR(INT(MID(Metadata!E978,9,2))&gt;=1,FALSE),IFERROR(INT(MID(Metadata!E978,9,2))&lt;=31,FALSE)), OR(MID(Metadata!E978,11,1)="", AND(AND(MID(Metadata!E978,11,1)=" ",IFERROR(INT(MID(Metadata!E978,12,1))&gt;=0,FALSE),IFERROR(INT(MID(Metadata!E978,12,1))&lt;=2,FALSE),NOT(MID(Metadata!E978,13,1)=""),IFERROR(INT(MID(Metadata!E978,12,2))&gt;=0,FALSE),IFERROR(INT(MID(Metadata!E978,12,2))&lt;=23,FALSE)), OR(MID(Metadata!E978,14,1)="", AND(AND(MID(Metadata!E978,14,1)=":",IFERROR(INT(MID(Metadata!E978,15,1))&gt;=0,FALSE),IFERROR(INT(MID(Metadata!E978,15,1))&lt;=5,FALSE),NOT(MID(Metadata!E978,16,1)=""),IFERROR(INT(MID(Metadata!E978,15,2))&gt;=0,FALSE),IFERROR(INT(MID(Metadata!E978,15,2))&lt;=59,FALSE)), OR(MID(Metadata!E978,17,1)="", AND(AND(MID(Metadata!E978,17,1)=":",IFERROR(INT(MID(Metadata!E978,18,1))&gt;=0,FALSE),IFERROR(INT(MID(Metadata!E978,18,1))&lt;=5,FALSE),NOT(MID(Metadata!E978,19,1)=""),IFERROR(INT(MID(Metadata!E978,18,2))&gt;=0,FALSE),IFERROR(INT(MID(Metadata!E978,18,2))&lt;=59,FALSE)), LEN(Metadata!E978)&lt;=19)))))))))))))</f>
        <v>0</v>
      </c>
      <c r="AS978" t="b">
        <f>IF(Metadata!F978="",FALSE,TRUE)</f>
        <v>0</v>
      </c>
      <c r="AT978" t="b">
        <f>OR(AND(IF(Metadata!G978="",FALSE,TRUE),OR(EXACT(Metadata!G978,"not collected"),EXACT(Metadata!G978,"not provided"))),AND(IF(Metadata!G978="",FALSE,TRUE),OR(EXACT(Metadata!G978,"TRUE"),EXACT(Metadata!G978,"FALSE"))))</f>
        <v>0</v>
      </c>
      <c r="AU978" t="b">
        <f>OR(AND(IF(Metadata!H978="",FALSE,TRUE),OR(EXACT(Metadata!H978,"not collected"),EXACT(Metadata!H978,"not provided"),EXACT(Metadata!H978,"restricted access"))),AND(IF(Metadata!H978="",FALSE,ISNUMBER(VALUE(Metadata!H978))),Metadata!H978&gt;=-413))</f>
        <v>0</v>
      </c>
      <c r="AV978" t="b">
        <f>AND(IF(Metadata!I978="",FALSE,TRUE),EXACT(Metadata!I978,"meters"))</f>
        <v>0</v>
      </c>
      <c r="AW978" t="b">
        <f>AND(IF(Metadata!J978="",FALSE,TRUE),EXACT(Metadata!J978,"free-living"))</f>
        <v>0</v>
      </c>
      <c r="AX978" t="b">
        <f>AND(IF(Metadata!K978="",FALSE,TRUE),OR(EXACT(Metadata!K978,"saline"),EXACT(Metadata!K978,"non-saline")))</f>
        <v>0</v>
      </c>
      <c r="AY978" t="b">
        <f>AND(IF(Metadata!L978="",FALSE,TRUE),OR(EXACT(Metadata!L978,"sub-surface (non-saline)"),EXACT(Metadata!L978,"surface (non-saline)"),EXACT(Metadata!L978,"water (non-saline)"),EXACT(Metadata!L978,"soil (non-saline)"),EXACT(Metadata!L978,"aerosol (non-saline)"),EXACT(Metadata!L978,"sediment (non-saline)"),EXACT(Metadata!L978,"surface (saline)"),EXACT(Metadata!L978,"water (saline)"),EXACT(Metadata!L978,"hypersaline (saline)"),EXACT(Metadata!L978,"aerosol (saline)"),EXACT(Metadata!L978,"sediment (saline)")))</f>
        <v>0</v>
      </c>
      <c r="AZ978" t="b">
        <f>IF(Metadata!M978="",FALSE,TRUE)</f>
        <v>0</v>
      </c>
      <c r="BA978" t="b">
        <f>IF(Metadata!N978="",FALSE,TRUE)</f>
        <v>0</v>
      </c>
      <c r="BB978" t="b">
        <f>IF(Metadata!O978="",FALSE,TRUE)</f>
        <v>0</v>
      </c>
      <c r="BC978" t="b">
        <f>AND(IF(Metadata!P978="",FALSE,TRUE),OR(EXACT(Metadata!P978,"air"),EXACT(Metadata!P978,"microbial mat/biofilm"),EXACT(Metadata!P978,"misc environment"),EXACT(Metadata!P978,"sediment"),EXACT(Metadata!P978,"soil"),EXACT(Metadata!P978,"wastewater/sludge"),EXACT(Metadata!P978,"water")))</f>
        <v>0</v>
      </c>
      <c r="BD978" t="b">
        <f>IF(Metadata!Q978="",FALSE,TRUE)</f>
        <v>0</v>
      </c>
      <c r="BE978" t="b">
        <f>IF(Metadata!R978="",FALSE,TRUE)</f>
        <v>0</v>
      </c>
      <c r="BF978" t="b">
        <f>OR(AND(IF(Metadata!S978="",FALSE,TRUE),OR(EXACT(Metadata!S978,"not collected"),EXACT(Metadata!S978,"not provided"),EXACT(Metadata!S978,"restricted access"))),AND(IF(Metadata!S978="",FALSE,ISNUMBER(VALUE(Metadata!S978))),Metadata!S978&gt;=-90,Metadata!S978&lt;=90))</f>
        <v>0</v>
      </c>
      <c r="BG978" t="b">
        <f>AND(IF(Metadata!T978="",FALSE,TRUE),EXACT(Metadata!T978,"Decimal degrees"))</f>
        <v>0</v>
      </c>
      <c r="BH978" t="b">
        <f>OR(AND(IF(Metadata!U978="",FALSE,TRUE),OR(EXACT(Metadata!U978,"not applicable"),EXACT(Metadata!U978,"not collected"))),IF(Metadata!U978="",FALSE,TRUE))</f>
        <v>0</v>
      </c>
      <c r="BI978" t="b">
        <f>OR(AND(IF(Metadata!V978="",FALSE,TRUE),OR(EXACT(Metadata!V978,"not collected"),EXACT(Metadata!V978,"not provided"),EXACT(Metadata!V978,"restricted access"))),AND(IF(Metadata!V978="",FALSE,ISNUMBER(VALUE(Metadata!V978))),Metadata!V978&gt;=-180,Metadata!V978&lt;=180))</f>
        <v>0</v>
      </c>
      <c r="BJ978" t="b">
        <f>AND(IF(Metadata!W978="",FALSE,TRUE),EXACT(Metadata!W978,"Decimal degrees"))</f>
        <v>0</v>
      </c>
      <c r="BK978" t="b">
        <f>IF(Metadata!X978="",FALSE,TRUE)</f>
        <v>0</v>
      </c>
      <c r="BL978" t="b">
        <f>OR(AND(IF(Metadata!Y978="",FALSE,TRUE),OR(EXACT(Metadata!Y978,"not collected"),EXACT(Metadata!Y978,"not provided"),EXACT(Metadata!Y978,"restricted access"))),AND(IF(Metadata!Y978="",FALSE,TRUE),OR(EXACT(Metadata!Y978,"TRUE"),EXACT(Metadata!Y978,"FALSE"))))</f>
        <v>0</v>
      </c>
      <c r="BM978" t="b">
        <f>OR(AND(IF(Metadata!Z978="",FALSE,TRUE),EXACT(Metadata!Z978,"not applicable")),AND(IF(Metadata!Z978="",FALSE,TRUE),OR(EXACT(Metadata!Z978,"beer"),EXACT(Metadata!Z978,"cheese"),EXACT(Metadata!Z978,"fresh water"),EXACT(Metadata!Z978,"marine sediment"),EXACT(Metadata!Z978,"sea water"),EXACT(Metadata!Z978,"sediment"),EXACT(Metadata!Z978,"soil"),EXACT(Metadata!Z978,"waste water"))))</f>
        <v>0</v>
      </c>
      <c r="BN978" t="b">
        <f>AND(IF(Metadata!AA978="",FALSE,TRUE),EXACT(Metadata!AA978,"metagenome"))</f>
        <v>0</v>
      </c>
      <c r="BO978" t="b">
        <f>AND(IF(Metadata!AB978="",FALSE,TRUE),EXACT(Metadata!AB978,"256318"))</f>
        <v>0</v>
      </c>
      <c r="BP978" t="b">
        <f>IF(Metadata!AC978="",FALSE,TRUE)</f>
        <v>0</v>
      </c>
      <c r="BQ978" t="b">
        <f>IF(Metadata!AD978="",FALSE,TRUE)</f>
        <v>0</v>
      </c>
    </row>
    <row r="979" spans="1:69" x14ac:dyDescent="0.2">
      <c r="A979" s="4" t="e">
        <f ca="1">IF(B979=" "," ",HYPERLINK(CONCATENATE("#metadata!",ADDRESS(INDEX($AJ$2:$AJ$1001,MATCH(ROWS($AH$2:AH979),$AH$2:$AH$1001,0),0),2)),INDEX($AM$2:$AM$1001,MATCH(ROWS($AH$2:AH979),$AH$2:$AH$1001,0),0)))</f>
        <v>#N/A</v>
      </c>
      <c r="B979" s="5" t="e">
        <f ca="1">IF(OR(INDEX($AI$2:$AI$1001,MATCH(ROWS($AH$2:AH979),$AH$2:$AH$1001,0),1)&gt;=100000,INDEX($AO$1005:$BQ$1005,1,MATCH(COLUMNS($AO$1006:AO1006),$AO$1006:$BQ$1006,0))&gt;=100000), " ",IF(INDEX($AO$2:$BQ$1001,MATCH(ROWS($AH$2:AH979),$AH$2:$AH$1001,0),MATCH(COLUMNS($AO$1006:AO1006),$AO$1006:$BQ$1006,0)), HYPERLINK("#",""), HYPERLINK(CONCATENATE("#Metadata!", ADDRESS(INDEX($AJ$2:$AJ$1001,MATCH(ROWS($AH$2:AH979),$AH$2:$AH$1001,0),0), INDEX($AO$1004:$BQ$1004,1,MATCH(COLUMNS($AO$1006:AO1006),$AO$1006:$BQ$1006,0)))),"Fix")))</f>
        <v>#N/A</v>
      </c>
      <c r="C979" s="5" t="e">
        <f ca="1">IF(OR(INDEX($AI$2:$AI$1001,MATCH(ROWS($AH$2:AH979),$AH$2:$AH$1001,0),1)&gt;=100000,INDEX($AO$1005:$BQ$1005,1,MATCH(COLUMNS($AO$1006:AP1006),$AO$1006:$BQ$1006,0))&gt;=100000), " ",IF(INDEX($AO$2:$BQ$1001,MATCH(ROWS($AH$2:AH979),$AH$2:$AH$1001,0),MATCH(COLUMNS($AO$1006:AP1006),$AO$1006:$BQ$1006,0)), HYPERLINK("#",""), HYPERLINK(CONCATENATE("#Metadata!", ADDRESS(INDEX($AJ$2:$AJ$1001,MATCH(ROWS($AH$2:AH979),$AH$2:$AH$1001,0),0), INDEX($AO$1004:$BQ$1004,1,MATCH(COLUMNS($AO$1006:AP1006),$AO$1006:$BQ$1006,0)))),"Fix")))</f>
        <v>#N/A</v>
      </c>
      <c r="D979" s="5" t="e">
        <f ca="1">IF(OR(INDEX($AI$2:$AI$1001,MATCH(ROWS($AH$2:AH979),$AH$2:$AH$1001,0),1)&gt;=100000,INDEX($AO$1005:$BQ$1005,1,MATCH(COLUMNS($AO$1006:AQ1006),$AO$1006:$BQ$1006,0))&gt;=100000), " ",IF(INDEX($AO$2:$BQ$1001,MATCH(ROWS($AH$2:AH979),$AH$2:$AH$1001,0),MATCH(COLUMNS($AO$1006:AQ1006),$AO$1006:$BQ$1006,0)), HYPERLINK("#",""), HYPERLINK(CONCATENATE("#Metadata!", ADDRESS(INDEX($AJ$2:$AJ$1001,MATCH(ROWS($AH$2:AH979),$AH$2:$AH$1001,0),0), INDEX($AO$1004:$BQ$1004,1,MATCH(COLUMNS($AO$1006:AQ1006),$AO$1006:$BQ$1006,0)))),"Fix")))</f>
        <v>#N/A</v>
      </c>
      <c r="E979" s="5" t="e">
        <f ca="1">IF(OR(INDEX($AI$2:$AI$1001,MATCH(ROWS($AH$2:AH979),$AH$2:$AH$1001,0),1)&gt;=100000,INDEX($AO$1005:$BQ$1005,1,MATCH(COLUMNS($AO$1006:AR1006),$AO$1006:$BQ$1006,0))&gt;=100000), " ",IF(INDEX($AO$2:$BQ$1001,MATCH(ROWS($AH$2:AH979),$AH$2:$AH$1001,0),MATCH(COLUMNS($AO$1006:AR1006),$AO$1006:$BQ$1006,0)), HYPERLINK("#",""), HYPERLINK(CONCATENATE("#Metadata!", ADDRESS(INDEX($AJ$2:$AJ$1001,MATCH(ROWS($AH$2:AH979),$AH$2:$AH$1001,0),0), INDEX($AO$1004:$BQ$1004,1,MATCH(COLUMNS($AO$1006:AR1006),$AO$1006:$BQ$1006,0)))),"Fix")))</f>
        <v>#N/A</v>
      </c>
      <c r="F979" s="5" t="e">
        <f ca="1">IF(OR(INDEX($AI$2:$AI$1001,MATCH(ROWS($AH$2:AH979),$AH$2:$AH$1001,0),1)&gt;=100000,INDEX($AO$1005:$BQ$1005,1,MATCH(COLUMNS($AO$1006:AS1006),$AO$1006:$BQ$1006,0))&gt;=100000), " ",IF(INDEX($AO$2:$BQ$1001,MATCH(ROWS($AH$2:AH979),$AH$2:$AH$1001,0),MATCH(COLUMNS($AO$1006:AS1006),$AO$1006:$BQ$1006,0)), HYPERLINK("#",""), HYPERLINK(CONCATENATE("#Metadata!", ADDRESS(INDEX($AJ$2:$AJ$1001,MATCH(ROWS($AH$2:AH979),$AH$2:$AH$1001,0),0), INDEX($AO$1004:$BQ$1004,1,MATCH(COLUMNS($AO$1006:AS1006),$AO$1006:$BQ$1006,0)))),"Fix")))</f>
        <v>#N/A</v>
      </c>
      <c r="G979" s="5" t="e">
        <f ca="1">IF(OR(INDEX($AI$2:$AI$1001,MATCH(ROWS($AH$2:AH979),$AH$2:$AH$1001,0),1)&gt;=100000,INDEX($AO$1005:$BQ$1005,1,MATCH(COLUMNS($AO$1006:AT1006),$AO$1006:$BQ$1006,0))&gt;=100000), " ",IF(INDEX($AO$2:$BQ$1001,MATCH(ROWS($AH$2:AH979),$AH$2:$AH$1001,0),MATCH(COLUMNS($AO$1006:AT1006),$AO$1006:$BQ$1006,0)), HYPERLINK("#",""), HYPERLINK(CONCATENATE("#Metadata!", ADDRESS(INDEX($AJ$2:$AJ$1001,MATCH(ROWS($AH$2:AH979),$AH$2:$AH$1001,0),0), INDEX($AO$1004:$BQ$1004,1,MATCH(COLUMNS($AO$1006:AT1006),$AO$1006:$BQ$1006,0)))),"Fix")))</f>
        <v>#N/A</v>
      </c>
      <c r="H979" s="5" t="e">
        <f ca="1">IF(OR(INDEX($AI$2:$AI$1001,MATCH(ROWS($AH$2:AH979),$AH$2:$AH$1001,0),1)&gt;=100000,INDEX($AO$1005:$BQ$1005,1,MATCH(COLUMNS($AO$1006:AU1006),$AO$1006:$BQ$1006,0))&gt;=100000), " ",IF(INDEX($AO$2:$BQ$1001,MATCH(ROWS($AH$2:AH979),$AH$2:$AH$1001,0),MATCH(COLUMNS($AO$1006:AU1006),$AO$1006:$BQ$1006,0)), HYPERLINK("#",""), HYPERLINK(CONCATENATE("#Metadata!", ADDRESS(INDEX($AJ$2:$AJ$1001,MATCH(ROWS($AH$2:AH979),$AH$2:$AH$1001,0),0), INDEX($AO$1004:$BQ$1004,1,MATCH(COLUMNS($AO$1006:AU1006),$AO$1006:$BQ$1006,0)))),"Fix")))</f>
        <v>#N/A</v>
      </c>
      <c r="I979" s="5" t="e">
        <f ca="1">IF(OR(INDEX($AI$2:$AI$1001,MATCH(ROWS($AH$2:AH979),$AH$2:$AH$1001,0),1)&gt;=100000,INDEX($AO$1005:$BQ$1005,1,MATCH(COLUMNS($AO$1006:AV1006),$AO$1006:$BQ$1006,0))&gt;=100000), " ",IF(INDEX($AO$2:$BQ$1001,MATCH(ROWS($AH$2:AH979),$AH$2:$AH$1001,0),MATCH(COLUMNS($AO$1006:AV1006),$AO$1006:$BQ$1006,0)), HYPERLINK("#",""), HYPERLINK(CONCATENATE("#Metadata!", ADDRESS(INDEX($AJ$2:$AJ$1001,MATCH(ROWS($AH$2:AH979),$AH$2:$AH$1001,0),0), INDEX($AO$1004:$BQ$1004,1,MATCH(COLUMNS($AO$1006:AV1006),$AO$1006:$BQ$1006,0)))),"Fix")))</f>
        <v>#N/A</v>
      </c>
      <c r="J979" s="5" t="e">
        <f ca="1">IF(OR(INDEX($AI$2:$AI$1001,MATCH(ROWS($AH$2:AH979),$AH$2:$AH$1001,0),1)&gt;=100000,INDEX($AO$1005:$BQ$1005,1,MATCH(COLUMNS($AO$1006:AW1006),$AO$1006:$BQ$1006,0))&gt;=100000), " ",IF(INDEX($AO$2:$BQ$1001,MATCH(ROWS($AH$2:AH979),$AH$2:$AH$1001,0),MATCH(COLUMNS($AO$1006:AW1006),$AO$1006:$BQ$1006,0)), HYPERLINK("#",""), HYPERLINK(CONCATENATE("#Metadata!", ADDRESS(INDEX($AJ$2:$AJ$1001,MATCH(ROWS($AH$2:AH979),$AH$2:$AH$1001,0),0), INDEX($AO$1004:$BQ$1004,1,MATCH(COLUMNS($AO$1006:AW1006),$AO$1006:$BQ$1006,0)))),"Fix")))</f>
        <v>#N/A</v>
      </c>
      <c r="K979" s="5" t="e">
        <f ca="1">IF(OR(INDEX($AI$2:$AI$1001,MATCH(ROWS($AH$2:AH979),$AH$2:$AH$1001,0),1)&gt;=100000,INDEX($AO$1005:$BQ$1005,1,MATCH(COLUMNS($AO$1006:AX1006),$AO$1006:$BQ$1006,0))&gt;=100000), " ",IF(INDEX($AO$2:$BQ$1001,MATCH(ROWS($AH$2:AH979),$AH$2:$AH$1001,0),MATCH(COLUMNS($AO$1006:AX1006),$AO$1006:$BQ$1006,0)), HYPERLINK("#",""), HYPERLINK(CONCATENATE("#Metadata!", ADDRESS(INDEX($AJ$2:$AJ$1001,MATCH(ROWS($AH$2:AH979),$AH$2:$AH$1001,0),0), INDEX($AO$1004:$BQ$1004,1,MATCH(COLUMNS($AO$1006:AX1006),$AO$1006:$BQ$1006,0)))),"Fix")))</f>
        <v>#N/A</v>
      </c>
      <c r="L979" s="5" t="e">
        <f ca="1">IF(OR(INDEX($AI$2:$AI$1001,MATCH(ROWS($AH$2:AH979),$AH$2:$AH$1001,0),1)&gt;=100000,INDEX($AO$1005:$BQ$1005,1,MATCH(COLUMNS($AO$1006:AY1006),$AO$1006:$BQ$1006,0))&gt;=100000), " ",IF(INDEX($AO$2:$BQ$1001,MATCH(ROWS($AH$2:AH979),$AH$2:$AH$1001,0),MATCH(COLUMNS($AO$1006:AY1006),$AO$1006:$BQ$1006,0)), HYPERLINK("#",""), HYPERLINK(CONCATENATE("#Metadata!", ADDRESS(INDEX($AJ$2:$AJ$1001,MATCH(ROWS($AH$2:AH979),$AH$2:$AH$1001,0),0), INDEX($AO$1004:$BQ$1004,1,MATCH(COLUMNS($AO$1006:AY1006),$AO$1006:$BQ$1006,0)))),"Fix")))</f>
        <v>#N/A</v>
      </c>
      <c r="M979" s="5" t="e">
        <f ca="1">IF(OR(INDEX($AI$2:$AI$1001,MATCH(ROWS($AH$2:AH979),$AH$2:$AH$1001,0),1)&gt;=100000,INDEX($AO$1005:$BQ$1005,1,MATCH(COLUMNS($AO$1006:AZ1006),$AO$1006:$BQ$1006,0))&gt;=100000), " ",IF(INDEX($AO$2:$BQ$1001,MATCH(ROWS($AH$2:AH979),$AH$2:$AH$1001,0),MATCH(COLUMNS($AO$1006:AZ1006),$AO$1006:$BQ$1006,0)), HYPERLINK("#",""), HYPERLINK(CONCATENATE("#Metadata!", ADDRESS(INDEX($AJ$2:$AJ$1001,MATCH(ROWS($AH$2:AH979),$AH$2:$AH$1001,0),0), INDEX($AO$1004:$BQ$1004,1,MATCH(COLUMNS($AO$1006:AZ1006),$AO$1006:$BQ$1006,0)))),"Fix")))</f>
        <v>#N/A</v>
      </c>
      <c r="N979" s="5" t="e">
        <f ca="1">IF(OR(INDEX($AI$2:$AI$1001,MATCH(ROWS($AH$2:AH979),$AH$2:$AH$1001,0),1)&gt;=100000,INDEX($AO$1005:$BQ$1005,1,MATCH(COLUMNS($AO$1006:BA1006),$AO$1006:$BQ$1006,0))&gt;=100000), " ",IF(INDEX($AO$2:$BQ$1001,MATCH(ROWS($AH$2:AH979),$AH$2:$AH$1001,0),MATCH(COLUMNS($AO$1006:BA1006),$AO$1006:$BQ$1006,0)), HYPERLINK("#",""), HYPERLINK(CONCATENATE("#Metadata!", ADDRESS(INDEX($AJ$2:$AJ$1001,MATCH(ROWS($AH$2:AH979),$AH$2:$AH$1001,0),0), INDEX($AO$1004:$BQ$1004,1,MATCH(COLUMNS($AO$1006:BA1006),$AO$1006:$BQ$1006,0)))),"Fix")))</f>
        <v>#N/A</v>
      </c>
      <c r="O979" s="5" t="e">
        <f ca="1">IF(OR(INDEX($AI$2:$AI$1001,MATCH(ROWS($AH$2:AH979),$AH$2:$AH$1001,0),1)&gt;=100000,INDEX($AO$1005:$BQ$1005,1,MATCH(COLUMNS($AO$1006:BB1006),$AO$1006:$BQ$1006,0))&gt;=100000), " ",IF(INDEX($AO$2:$BQ$1001,MATCH(ROWS($AH$2:AH979),$AH$2:$AH$1001,0),MATCH(COLUMNS($AO$1006:BB1006),$AO$1006:$BQ$1006,0)), HYPERLINK("#",""), HYPERLINK(CONCATENATE("#Metadata!", ADDRESS(INDEX($AJ$2:$AJ$1001,MATCH(ROWS($AH$2:AH979),$AH$2:$AH$1001,0),0), INDEX($AO$1004:$BQ$1004,1,MATCH(COLUMNS($AO$1006:BB1006),$AO$1006:$BQ$1006,0)))),"Fix")))</f>
        <v>#N/A</v>
      </c>
      <c r="P979" s="5" t="e">
        <f ca="1">IF(OR(INDEX($AI$2:$AI$1001,MATCH(ROWS($AH$2:AH979),$AH$2:$AH$1001,0),1)&gt;=100000,INDEX($AO$1005:$BQ$1005,1,MATCH(COLUMNS($AO$1006:BC1006),$AO$1006:$BQ$1006,0))&gt;=100000), " ",IF(INDEX($AO$2:$BQ$1001,MATCH(ROWS($AH$2:AH979),$AH$2:$AH$1001,0),MATCH(COLUMNS($AO$1006:BC1006),$AO$1006:$BQ$1006,0)), HYPERLINK("#",""), HYPERLINK(CONCATENATE("#Metadata!", ADDRESS(INDEX($AJ$2:$AJ$1001,MATCH(ROWS($AH$2:AH979),$AH$2:$AH$1001,0),0), INDEX($AO$1004:$BQ$1004,1,MATCH(COLUMNS($AO$1006:BC1006),$AO$1006:$BQ$1006,0)))),"Fix")))</f>
        <v>#N/A</v>
      </c>
      <c r="Q979" s="5" t="e">
        <f ca="1">IF(OR(INDEX($AI$2:$AI$1001,MATCH(ROWS($AH$2:AH979),$AH$2:$AH$1001,0),1)&gt;=100000,INDEX($AO$1005:$BQ$1005,1,MATCH(COLUMNS($AO$1006:BD1006),$AO$1006:$BQ$1006,0))&gt;=100000), " ",IF(INDEX($AO$2:$BQ$1001,MATCH(ROWS($AH$2:AH979),$AH$2:$AH$1001,0),MATCH(COLUMNS($AO$1006:BD1006),$AO$1006:$BQ$1006,0)), HYPERLINK("#",""), HYPERLINK(CONCATENATE("#Metadata!", ADDRESS(INDEX($AJ$2:$AJ$1001,MATCH(ROWS($AH$2:AH979),$AH$2:$AH$1001,0),0), INDEX($AO$1004:$BQ$1004,1,MATCH(COLUMNS($AO$1006:BD1006),$AO$1006:$BQ$1006,0)))),"Fix")))</f>
        <v>#N/A</v>
      </c>
      <c r="R979" s="5" t="e">
        <f ca="1">IF(OR(INDEX($AI$2:$AI$1001,MATCH(ROWS($AH$2:AH979),$AH$2:$AH$1001,0),1)&gt;=100000,INDEX($AO$1005:$BQ$1005,1,MATCH(COLUMNS($AO$1006:BE1006),$AO$1006:$BQ$1006,0))&gt;=100000), " ",IF(INDEX($AO$2:$BQ$1001,MATCH(ROWS($AH$2:AH979),$AH$2:$AH$1001,0),MATCH(COLUMNS($AO$1006:BE1006),$AO$1006:$BQ$1006,0)), HYPERLINK("#",""), HYPERLINK(CONCATENATE("#Metadata!", ADDRESS(INDEX($AJ$2:$AJ$1001,MATCH(ROWS($AH$2:AH979),$AH$2:$AH$1001,0),0), INDEX($AO$1004:$BQ$1004,1,MATCH(COLUMNS($AO$1006:BE1006),$AO$1006:$BQ$1006,0)))),"Fix")))</f>
        <v>#N/A</v>
      </c>
      <c r="S979" s="5" t="e">
        <f ca="1">IF(OR(INDEX($AI$2:$AI$1001,MATCH(ROWS($AH$2:AH979),$AH$2:$AH$1001,0),1)&gt;=100000,INDEX($AO$1005:$BQ$1005,1,MATCH(COLUMNS($AO$1006:BF1006),$AO$1006:$BQ$1006,0))&gt;=100000), " ",IF(INDEX($AO$2:$BQ$1001,MATCH(ROWS($AH$2:AH979),$AH$2:$AH$1001,0),MATCH(COLUMNS($AO$1006:BF1006),$AO$1006:$BQ$1006,0)), HYPERLINK("#",""), HYPERLINK(CONCATENATE("#Metadata!", ADDRESS(INDEX($AJ$2:$AJ$1001,MATCH(ROWS($AH$2:AH979),$AH$2:$AH$1001,0),0), INDEX($AO$1004:$BQ$1004,1,MATCH(COLUMNS($AO$1006:BF1006),$AO$1006:$BQ$1006,0)))),"Fix")))</f>
        <v>#N/A</v>
      </c>
      <c r="T979" s="5" t="e">
        <f ca="1">IF(OR(INDEX($AI$2:$AI$1001,MATCH(ROWS($AH$2:AH979),$AH$2:$AH$1001,0),1)&gt;=100000,INDEX($AO$1005:$BQ$1005,1,MATCH(COLUMNS($AO$1006:BG1006),$AO$1006:$BQ$1006,0))&gt;=100000), " ",IF(INDEX($AO$2:$BQ$1001,MATCH(ROWS($AH$2:AH979),$AH$2:$AH$1001,0),MATCH(COLUMNS($AO$1006:BG1006),$AO$1006:$BQ$1006,0)), HYPERLINK("#",""), HYPERLINK(CONCATENATE("#Metadata!", ADDRESS(INDEX($AJ$2:$AJ$1001,MATCH(ROWS($AH$2:AH979),$AH$2:$AH$1001,0),0), INDEX($AO$1004:$BQ$1004,1,MATCH(COLUMNS($AO$1006:BG1006),$AO$1006:$BQ$1006,0)))),"Fix")))</f>
        <v>#N/A</v>
      </c>
      <c r="U979" s="5" t="e">
        <f ca="1">IF(OR(INDEX($AI$2:$AI$1001,MATCH(ROWS($AH$2:AH979),$AH$2:$AH$1001,0),1)&gt;=100000,INDEX($AO$1005:$BQ$1005,1,MATCH(COLUMNS($AO$1006:BH1006),$AO$1006:$BQ$1006,0))&gt;=100000), " ",IF(INDEX($AO$2:$BQ$1001,MATCH(ROWS($AH$2:AH979),$AH$2:$AH$1001,0),MATCH(COLUMNS($AO$1006:BH1006),$AO$1006:$BQ$1006,0)), HYPERLINK("#",""), HYPERLINK(CONCATENATE("#Metadata!", ADDRESS(INDEX($AJ$2:$AJ$1001,MATCH(ROWS($AH$2:AH979),$AH$2:$AH$1001,0),0), INDEX($AO$1004:$BQ$1004,1,MATCH(COLUMNS($AO$1006:BH1006),$AO$1006:$BQ$1006,0)))),"Fix")))</f>
        <v>#N/A</v>
      </c>
      <c r="V979" s="5" t="e">
        <f ca="1">IF(OR(INDEX($AI$2:$AI$1001,MATCH(ROWS($AH$2:AH979),$AH$2:$AH$1001,0),1)&gt;=100000,INDEX($AO$1005:$BQ$1005,1,MATCH(COLUMNS($AO$1006:BI1006),$AO$1006:$BQ$1006,0))&gt;=100000), " ",IF(INDEX($AO$2:$BQ$1001,MATCH(ROWS($AH$2:AH979),$AH$2:$AH$1001,0),MATCH(COLUMNS($AO$1006:BI1006),$AO$1006:$BQ$1006,0)), HYPERLINK("#",""), HYPERLINK(CONCATENATE("#Metadata!", ADDRESS(INDEX($AJ$2:$AJ$1001,MATCH(ROWS($AH$2:AH979),$AH$2:$AH$1001,0),0), INDEX($AO$1004:$BQ$1004,1,MATCH(COLUMNS($AO$1006:BI1006),$AO$1006:$BQ$1006,0)))),"Fix")))</f>
        <v>#N/A</v>
      </c>
      <c r="W979" s="5" t="e">
        <f ca="1">IF(OR(INDEX($AI$2:$AI$1001,MATCH(ROWS($AH$2:AH979),$AH$2:$AH$1001,0),1)&gt;=100000,INDEX($AO$1005:$BQ$1005,1,MATCH(COLUMNS($AO$1006:BJ1006),$AO$1006:$BQ$1006,0))&gt;=100000), " ",IF(INDEX($AO$2:$BQ$1001,MATCH(ROWS($AH$2:AH979),$AH$2:$AH$1001,0),MATCH(COLUMNS($AO$1006:BJ1006),$AO$1006:$BQ$1006,0)), HYPERLINK("#",""), HYPERLINK(CONCATENATE("#Metadata!", ADDRESS(INDEX($AJ$2:$AJ$1001,MATCH(ROWS($AH$2:AH979),$AH$2:$AH$1001,0),0), INDEX($AO$1004:$BQ$1004,1,MATCH(COLUMNS($AO$1006:BJ1006),$AO$1006:$BQ$1006,0)))),"Fix")))</f>
        <v>#N/A</v>
      </c>
      <c r="X979" s="5" t="e">
        <f ca="1">IF(OR(INDEX($AI$2:$AI$1001,MATCH(ROWS($AH$2:AH979),$AH$2:$AH$1001,0),1)&gt;=100000,INDEX($AO$1005:$BQ$1005,1,MATCH(COLUMNS($AO$1006:BK1006),$AO$1006:$BQ$1006,0))&gt;=100000), " ",IF(INDEX($AO$2:$BQ$1001,MATCH(ROWS($AH$2:AH979),$AH$2:$AH$1001,0),MATCH(COLUMNS($AO$1006:BK1006),$AO$1006:$BQ$1006,0)), HYPERLINK("#",""), HYPERLINK(CONCATENATE("#Metadata!", ADDRESS(INDEX($AJ$2:$AJ$1001,MATCH(ROWS($AH$2:AH979),$AH$2:$AH$1001,0),0), INDEX($AO$1004:$BQ$1004,1,MATCH(COLUMNS($AO$1006:BK1006),$AO$1006:$BQ$1006,0)))),"Fix")))</f>
        <v>#N/A</v>
      </c>
      <c r="Y979" s="5" t="e">
        <f ca="1">IF(OR(INDEX($AI$2:$AI$1001,MATCH(ROWS($AH$2:AH979),$AH$2:$AH$1001,0),1)&gt;=100000,INDEX($AO$1005:$BQ$1005,1,MATCH(COLUMNS($AO$1006:BL1006),$AO$1006:$BQ$1006,0))&gt;=100000), " ",IF(INDEX($AO$2:$BQ$1001,MATCH(ROWS($AH$2:AH979),$AH$2:$AH$1001,0),MATCH(COLUMNS($AO$1006:BL1006),$AO$1006:$BQ$1006,0)), HYPERLINK("#",""), HYPERLINK(CONCATENATE("#Metadata!", ADDRESS(INDEX($AJ$2:$AJ$1001,MATCH(ROWS($AH$2:AH979),$AH$2:$AH$1001,0),0), INDEX($AO$1004:$BQ$1004,1,MATCH(COLUMNS($AO$1006:BL1006),$AO$1006:$BQ$1006,0)))),"Fix")))</f>
        <v>#N/A</v>
      </c>
      <c r="Z979" s="5" t="e">
        <f ca="1">IF(OR(INDEX($AI$2:$AI$1001,MATCH(ROWS($AH$2:AH979),$AH$2:$AH$1001,0),1)&gt;=100000,INDEX($AO$1005:$BQ$1005,1,MATCH(COLUMNS($AO$1006:BM1006),$AO$1006:$BQ$1006,0))&gt;=100000), " ",IF(INDEX($AO$2:$BQ$1001,MATCH(ROWS($AH$2:AH979),$AH$2:$AH$1001,0),MATCH(COLUMNS($AO$1006:BM1006),$AO$1006:$BQ$1006,0)), HYPERLINK("#",""), HYPERLINK(CONCATENATE("#Metadata!", ADDRESS(INDEX($AJ$2:$AJ$1001,MATCH(ROWS($AH$2:AH979),$AH$2:$AH$1001,0),0), INDEX($AO$1004:$BQ$1004,1,MATCH(COLUMNS($AO$1006:BM1006),$AO$1006:$BQ$1006,0)))),"Fix")))</f>
        <v>#N/A</v>
      </c>
      <c r="AA979" s="5" t="e">
        <f ca="1">IF(OR(INDEX($AI$2:$AI$1001,MATCH(ROWS($AH$2:AH979),$AH$2:$AH$1001,0),1)&gt;=100000,INDEX($AO$1005:$BQ$1005,1,MATCH(COLUMNS($AO$1006:BN1006),$AO$1006:$BQ$1006,0))&gt;=100000), " ",IF(INDEX($AO$2:$BQ$1001,MATCH(ROWS($AH$2:AH979),$AH$2:$AH$1001,0),MATCH(COLUMNS($AO$1006:BN1006),$AO$1006:$BQ$1006,0)), HYPERLINK("#",""), HYPERLINK(CONCATENATE("#Metadata!", ADDRESS(INDEX($AJ$2:$AJ$1001,MATCH(ROWS($AH$2:AH979),$AH$2:$AH$1001,0),0), INDEX($AO$1004:$BQ$1004,1,MATCH(COLUMNS($AO$1006:BN1006),$AO$1006:$BQ$1006,0)))),"Fix")))</f>
        <v>#N/A</v>
      </c>
      <c r="AB979" s="5" t="e">
        <f ca="1">IF(OR(INDEX($AI$2:$AI$1001,MATCH(ROWS($AH$2:AH979),$AH$2:$AH$1001,0),1)&gt;=100000,INDEX($AO$1005:$BQ$1005,1,MATCH(COLUMNS($AO$1006:BO1006),$AO$1006:$BQ$1006,0))&gt;=100000), " ",IF(INDEX($AO$2:$BQ$1001,MATCH(ROWS($AH$2:AH979),$AH$2:$AH$1001,0),MATCH(COLUMNS($AO$1006:BO1006),$AO$1006:$BQ$1006,0)), HYPERLINK("#",""), HYPERLINK(CONCATENATE("#Metadata!", ADDRESS(INDEX($AJ$2:$AJ$1001,MATCH(ROWS($AH$2:AH979),$AH$2:$AH$1001,0),0), INDEX($AO$1004:$BQ$1004,1,MATCH(COLUMNS($AO$1006:BO1006),$AO$1006:$BQ$1006,0)))),"Fix")))</f>
        <v>#N/A</v>
      </c>
      <c r="AC979" s="5" t="e">
        <f ca="1">IF(OR(INDEX($AI$2:$AI$1001,MATCH(ROWS($AH$2:AH979),$AH$2:$AH$1001,0),1)&gt;=100000,INDEX($AO$1005:$BQ$1005,1,MATCH(COLUMNS($AO$1006:BP1006),$AO$1006:$BQ$1006,0))&gt;=100000), " ",IF(INDEX($AO$2:$BQ$1001,MATCH(ROWS($AH$2:AH979),$AH$2:$AH$1001,0),MATCH(COLUMNS($AO$1006:BP1006),$AO$1006:$BQ$1006,0)), HYPERLINK("#",""), HYPERLINK(CONCATENATE("#Metadata!", ADDRESS(INDEX($AJ$2:$AJ$1001,MATCH(ROWS($AH$2:AH979),$AH$2:$AH$1001,0),0), INDEX($AO$1004:$BQ$1004,1,MATCH(COLUMNS($AO$1006:BP1006),$AO$1006:$BQ$1006,0)))),"Fix")))</f>
        <v>#N/A</v>
      </c>
      <c r="AD979" s="5" t="e">
        <f ca="1">IF(OR(INDEX($AI$2:$AI$1001,MATCH(ROWS($AH$2:AH979),$AH$2:$AH$1001,0),1)&gt;=100000,INDEX($AO$1005:$BQ$1005,1,MATCH(COLUMNS($AO$1006:BQ1006),$AO$1006:$BQ$1006,0))&gt;=100000), " ",IF(INDEX($AO$2:$BQ$1001,MATCH(ROWS($AH$2:AH979),$AH$2:$AH$1001,0),MATCH(COLUMNS($AO$1006:BQ1006),$AO$1006:$BQ$1006,0)), HYPERLINK("#",""), HYPERLINK(CONCATENATE("#Metadata!", ADDRESS(INDEX($AJ$2:$AJ$1001,MATCH(ROWS($AH$2:AH979),$AH$2:$AH$1001,0),0), INDEX($AO$1004:$BQ$1004,1,MATCH(COLUMNS($AO$1006:BQ1006),$AO$1006:$BQ$1006,0)))),"Fix")))</f>
        <v>#REF!</v>
      </c>
      <c r="AH979">
        <f ca="1"/>
        <v>976</v>
      </c>
      <c r="AI979">
        <v>100979</v>
      </c>
      <c r="AJ979">
        <v>979</v>
      </c>
      <c r="AK979" t="b">
        <f t="shared" si="15"/>
        <v>1</v>
      </c>
      <c r="AL979" t="b">
        <f>COUNTBLANK(Metadata!B979:AD979)=COLUMNS(Metadata!B979:AD979)</f>
        <v>1</v>
      </c>
      <c r="AM979" t="str">
        <v/>
      </c>
      <c r="AO979" t="b">
        <f ca="1">AND(IF(Metadata!B979="",FALSE,TRUE),COUNTIF(Metadata!B:B, Metadata!B979) = 1,NOT(ISERROR(SUMPRODUCT(SEARCH(MID(Metadata!B979,ROW(INDIRECT("1:"&amp;LEN(Metadata!B979))), 1),"0123456789abcdefghijklmnopqrstuvwxyzABCDEFGHIJKLMNOPQRSTUVWXYZ.")))))</f>
        <v>0</v>
      </c>
      <c r="AP979" t="b">
        <f>IF(Metadata!C979="",FALSE,TRUE)</f>
        <v>0</v>
      </c>
      <c r="AQ979" t="b">
        <f>IF(Metadata!D979="",FALSE,TRUE)</f>
        <v>0</v>
      </c>
      <c r="AR979" t="b">
        <f ca="1">OR(AND(IF(Metadata!E979="",FALSE,TRUE),OR(EXACT(Metadata!E979,"not collected"),EXACT(Metadata!E979,"not provided"),EXACT(Metadata!E979,"restricted access"))),AND(IF(Metadata!E979="",FALSE,TRUE),AND(AND(IFERROR(INT(LEFT(Metadata!E979,4))&gt;1900,FALSE),IFERROR(INT(LEFT(Metadata!E979,4))&lt;=YEAR(NOW()),FALSE)), OR(MID(Metadata!E979,5,1)="", AND(AND(MID(Metadata!E979,5,1)="-",IFERROR(INT(MID(Metadata!E979,6,1))&gt;=0,FALSE),IFERROR(INT(MID(Metadata!E979,6,1))&lt;=1,FALSE),NOT(MID(Metadata!E979,7,1)=""),IFERROR(INT(MID(Metadata!E979,6,2))&gt;=1,FALSE),IFERROR(INT(MID(Metadata!E979,6,2))&lt;=12,FALSE)), OR(MID(Metadata!E979,8,1)="", AND(AND(MID(Metadata!E979,8,1)="-",IFERROR(INT(MID(Metadata!E979,9,1))&gt;=0,FALSE),IFERROR(INT(MID(Metadata!E979,9,1))&lt;=3,FALSE),NOT(MID(Metadata!E979,10,1)=""),IFERROR(INT(MID(Metadata!E979,9,2))&gt;=1,FALSE),IFERROR(INT(MID(Metadata!E979,9,2))&lt;=31,FALSE)), OR(MID(Metadata!E979,11,1)="", AND(AND(MID(Metadata!E979,11,1)=" ",IFERROR(INT(MID(Metadata!E979,12,1))&gt;=0,FALSE),IFERROR(INT(MID(Metadata!E979,12,1))&lt;=2,FALSE),NOT(MID(Metadata!E979,13,1)=""),IFERROR(INT(MID(Metadata!E979,12,2))&gt;=0,FALSE),IFERROR(INT(MID(Metadata!E979,12,2))&lt;=23,FALSE)), OR(MID(Metadata!E979,14,1)="", AND(AND(MID(Metadata!E979,14,1)=":",IFERROR(INT(MID(Metadata!E979,15,1))&gt;=0,FALSE),IFERROR(INT(MID(Metadata!E979,15,1))&lt;=5,FALSE),NOT(MID(Metadata!E979,16,1)=""),IFERROR(INT(MID(Metadata!E979,15,2))&gt;=0,FALSE),IFERROR(INT(MID(Metadata!E979,15,2))&lt;=59,FALSE)), OR(MID(Metadata!E979,17,1)="", AND(AND(MID(Metadata!E979,17,1)=":",IFERROR(INT(MID(Metadata!E979,18,1))&gt;=0,FALSE),IFERROR(INT(MID(Metadata!E979,18,1))&lt;=5,FALSE),NOT(MID(Metadata!E979,19,1)=""),IFERROR(INT(MID(Metadata!E979,18,2))&gt;=0,FALSE),IFERROR(INT(MID(Metadata!E979,18,2))&lt;=59,FALSE)), LEN(Metadata!E979)&lt;=19)))))))))))))</f>
        <v>0</v>
      </c>
      <c r="AS979" t="b">
        <f>IF(Metadata!F979="",FALSE,TRUE)</f>
        <v>0</v>
      </c>
      <c r="AT979" t="b">
        <f>OR(AND(IF(Metadata!G979="",FALSE,TRUE),OR(EXACT(Metadata!G979,"not collected"),EXACT(Metadata!G979,"not provided"))),AND(IF(Metadata!G979="",FALSE,TRUE),OR(EXACT(Metadata!G979,"TRUE"),EXACT(Metadata!G979,"FALSE"))))</f>
        <v>0</v>
      </c>
      <c r="AU979" t="b">
        <f>OR(AND(IF(Metadata!H979="",FALSE,TRUE),OR(EXACT(Metadata!H979,"not collected"),EXACT(Metadata!H979,"not provided"),EXACT(Metadata!H979,"restricted access"))),AND(IF(Metadata!H979="",FALSE,ISNUMBER(VALUE(Metadata!H979))),Metadata!H979&gt;=-413))</f>
        <v>0</v>
      </c>
      <c r="AV979" t="b">
        <f>AND(IF(Metadata!I979="",FALSE,TRUE),EXACT(Metadata!I979,"meters"))</f>
        <v>0</v>
      </c>
      <c r="AW979" t="b">
        <f>AND(IF(Metadata!J979="",FALSE,TRUE),EXACT(Metadata!J979,"free-living"))</f>
        <v>0</v>
      </c>
      <c r="AX979" t="b">
        <f>AND(IF(Metadata!K979="",FALSE,TRUE),OR(EXACT(Metadata!K979,"saline"),EXACT(Metadata!K979,"non-saline")))</f>
        <v>0</v>
      </c>
      <c r="AY979" t="b">
        <f>AND(IF(Metadata!L979="",FALSE,TRUE),OR(EXACT(Metadata!L979,"sub-surface (non-saline)"),EXACT(Metadata!L979,"surface (non-saline)"),EXACT(Metadata!L979,"water (non-saline)"),EXACT(Metadata!L979,"soil (non-saline)"),EXACT(Metadata!L979,"aerosol (non-saline)"),EXACT(Metadata!L979,"sediment (non-saline)"),EXACT(Metadata!L979,"surface (saline)"),EXACT(Metadata!L979,"water (saline)"),EXACT(Metadata!L979,"hypersaline (saline)"),EXACT(Metadata!L979,"aerosol (saline)"),EXACT(Metadata!L979,"sediment (saline)")))</f>
        <v>0</v>
      </c>
      <c r="AZ979" t="b">
        <f>IF(Metadata!M979="",FALSE,TRUE)</f>
        <v>0</v>
      </c>
      <c r="BA979" t="b">
        <f>IF(Metadata!N979="",FALSE,TRUE)</f>
        <v>0</v>
      </c>
      <c r="BB979" t="b">
        <f>IF(Metadata!O979="",FALSE,TRUE)</f>
        <v>0</v>
      </c>
      <c r="BC979" t="b">
        <f>AND(IF(Metadata!P979="",FALSE,TRUE),OR(EXACT(Metadata!P979,"air"),EXACT(Metadata!P979,"microbial mat/biofilm"),EXACT(Metadata!P979,"misc environment"),EXACT(Metadata!P979,"sediment"),EXACT(Metadata!P979,"soil"),EXACT(Metadata!P979,"wastewater/sludge"),EXACT(Metadata!P979,"water")))</f>
        <v>0</v>
      </c>
      <c r="BD979" t="b">
        <f>IF(Metadata!Q979="",FALSE,TRUE)</f>
        <v>0</v>
      </c>
      <c r="BE979" t="b">
        <f>IF(Metadata!R979="",FALSE,TRUE)</f>
        <v>0</v>
      </c>
      <c r="BF979" t="b">
        <f>OR(AND(IF(Metadata!S979="",FALSE,TRUE),OR(EXACT(Metadata!S979,"not collected"),EXACT(Metadata!S979,"not provided"),EXACT(Metadata!S979,"restricted access"))),AND(IF(Metadata!S979="",FALSE,ISNUMBER(VALUE(Metadata!S979))),Metadata!S979&gt;=-90,Metadata!S979&lt;=90))</f>
        <v>0</v>
      </c>
      <c r="BG979" t="b">
        <f>AND(IF(Metadata!T979="",FALSE,TRUE),EXACT(Metadata!T979,"Decimal degrees"))</f>
        <v>0</v>
      </c>
      <c r="BH979" t="b">
        <f>OR(AND(IF(Metadata!U979="",FALSE,TRUE),OR(EXACT(Metadata!U979,"not applicable"),EXACT(Metadata!U979,"not collected"))),IF(Metadata!U979="",FALSE,TRUE))</f>
        <v>0</v>
      </c>
      <c r="BI979" t="b">
        <f>OR(AND(IF(Metadata!V979="",FALSE,TRUE),OR(EXACT(Metadata!V979,"not collected"),EXACT(Metadata!V979,"not provided"),EXACT(Metadata!V979,"restricted access"))),AND(IF(Metadata!V979="",FALSE,ISNUMBER(VALUE(Metadata!V979))),Metadata!V979&gt;=-180,Metadata!V979&lt;=180))</f>
        <v>0</v>
      </c>
      <c r="BJ979" t="b">
        <f>AND(IF(Metadata!W979="",FALSE,TRUE),EXACT(Metadata!W979,"Decimal degrees"))</f>
        <v>0</v>
      </c>
      <c r="BK979" t="b">
        <f>IF(Metadata!X979="",FALSE,TRUE)</f>
        <v>0</v>
      </c>
      <c r="BL979" t="b">
        <f>OR(AND(IF(Metadata!Y979="",FALSE,TRUE),OR(EXACT(Metadata!Y979,"not collected"),EXACT(Metadata!Y979,"not provided"),EXACT(Metadata!Y979,"restricted access"))),AND(IF(Metadata!Y979="",FALSE,TRUE),OR(EXACT(Metadata!Y979,"TRUE"),EXACT(Metadata!Y979,"FALSE"))))</f>
        <v>0</v>
      </c>
      <c r="BM979" t="b">
        <f>OR(AND(IF(Metadata!Z979="",FALSE,TRUE),EXACT(Metadata!Z979,"not applicable")),AND(IF(Metadata!Z979="",FALSE,TRUE),OR(EXACT(Metadata!Z979,"beer"),EXACT(Metadata!Z979,"cheese"),EXACT(Metadata!Z979,"fresh water"),EXACT(Metadata!Z979,"marine sediment"),EXACT(Metadata!Z979,"sea water"),EXACT(Metadata!Z979,"sediment"),EXACT(Metadata!Z979,"soil"),EXACT(Metadata!Z979,"waste water"))))</f>
        <v>0</v>
      </c>
      <c r="BN979" t="b">
        <f>AND(IF(Metadata!AA979="",FALSE,TRUE),EXACT(Metadata!AA979,"metagenome"))</f>
        <v>0</v>
      </c>
      <c r="BO979" t="b">
        <f>AND(IF(Metadata!AB979="",FALSE,TRUE),EXACT(Metadata!AB979,"256318"))</f>
        <v>0</v>
      </c>
      <c r="BP979" t="b">
        <f>IF(Metadata!AC979="",FALSE,TRUE)</f>
        <v>0</v>
      </c>
      <c r="BQ979" t="b">
        <f>IF(Metadata!AD979="",FALSE,TRUE)</f>
        <v>0</v>
      </c>
    </row>
    <row r="980" spans="1:69" x14ac:dyDescent="0.2">
      <c r="A980" s="4" t="e">
        <f ca="1">IF(B980=" "," ",HYPERLINK(CONCATENATE("#metadata!",ADDRESS(INDEX($AJ$2:$AJ$1001,MATCH(ROWS($AH$2:AH980),$AH$2:$AH$1001,0),0),2)),INDEX($AM$2:$AM$1001,MATCH(ROWS($AH$2:AH980),$AH$2:$AH$1001,0),0)))</f>
        <v>#N/A</v>
      </c>
      <c r="B980" s="5" t="e">
        <f ca="1">IF(OR(INDEX($AI$2:$AI$1001,MATCH(ROWS($AH$2:AH980),$AH$2:$AH$1001,0),1)&gt;=100000,INDEX($AO$1005:$BQ$1005,1,MATCH(COLUMNS($AO$1006:AO1006),$AO$1006:$BQ$1006,0))&gt;=100000), " ",IF(INDEX($AO$2:$BQ$1001,MATCH(ROWS($AH$2:AH980),$AH$2:$AH$1001,0),MATCH(COLUMNS($AO$1006:AO1006),$AO$1006:$BQ$1006,0)), HYPERLINK("#",""), HYPERLINK(CONCATENATE("#Metadata!", ADDRESS(INDEX($AJ$2:$AJ$1001,MATCH(ROWS($AH$2:AH980),$AH$2:$AH$1001,0),0), INDEX($AO$1004:$BQ$1004,1,MATCH(COLUMNS($AO$1006:AO1006),$AO$1006:$BQ$1006,0)))),"Fix")))</f>
        <v>#N/A</v>
      </c>
      <c r="C980" s="5" t="e">
        <f ca="1">IF(OR(INDEX($AI$2:$AI$1001,MATCH(ROWS($AH$2:AH980),$AH$2:$AH$1001,0),1)&gt;=100000,INDEX($AO$1005:$BQ$1005,1,MATCH(COLUMNS($AO$1006:AP1006),$AO$1006:$BQ$1006,0))&gt;=100000), " ",IF(INDEX($AO$2:$BQ$1001,MATCH(ROWS($AH$2:AH980),$AH$2:$AH$1001,0),MATCH(COLUMNS($AO$1006:AP1006),$AO$1006:$BQ$1006,0)), HYPERLINK("#",""), HYPERLINK(CONCATENATE("#Metadata!", ADDRESS(INDEX($AJ$2:$AJ$1001,MATCH(ROWS($AH$2:AH980),$AH$2:$AH$1001,0),0), INDEX($AO$1004:$BQ$1004,1,MATCH(COLUMNS($AO$1006:AP1006),$AO$1006:$BQ$1006,0)))),"Fix")))</f>
        <v>#N/A</v>
      </c>
      <c r="D980" s="5" t="e">
        <f ca="1">IF(OR(INDEX($AI$2:$AI$1001,MATCH(ROWS($AH$2:AH980),$AH$2:$AH$1001,0),1)&gt;=100000,INDEX($AO$1005:$BQ$1005,1,MATCH(COLUMNS($AO$1006:AQ1006),$AO$1006:$BQ$1006,0))&gt;=100000), " ",IF(INDEX($AO$2:$BQ$1001,MATCH(ROWS($AH$2:AH980),$AH$2:$AH$1001,0),MATCH(COLUMNS($AO$1006:AQ1006),$AO$1006:$BQ$1006,0)), HYPERLINK("#",""), HYPERLINK(CONCATENATE("#Metadata!", ADDRESS(INDEX($AJ$2:$AJ$1001,MATCH(ROWS($AH$2:AH980),$AH$2:$AH$1001,0),0), INDEX($AO$1004:$BQ$1004,1,MATCH(COLUMNS($AO$1006:AQ1006),$AO$1006:$BQ$1006,0)))),"Fix")))</f>
        <v>#N/A</v>
      </c>
      <c r="E980" s="5" t="e">
        <f ca="1">IF(OR(INDEX($AI$2:$AI$1001,MATCH(ROWS($AH$2:AH980),$AH$2:$AH$1001,0),1)&gt;=100000,INDEX($AO$1005:$BQ$1005,1,MATCH(COLUMNS($AO$1006:AR1006),$AO$1006:$BQ$1006,0))&gt;=100000), " ",IF(INDEX($AO$2:$BQ$1001,MATCH(ROWS($AH$2:AH980),$AH$2:$AH$1001,0),MATCH(COLUMNS($AO$1006:AR1006),$AO$1006:$BQ$1006,0)), HYPERLINK("#",""), HYPERLINK(CONCATENATE("#Metadata!", ADDRESS(INDEX($AJ$2:$AJ$1001,MATCH(ROWS($AH$2:AH980),$AH$2:$AH$1001,0),0), INDEX($AO$1004:$BQ$1004,1,MATCH(COLUMNS($AO$1006:AR1006),$AO$1006:$BQ$1006,0)))),"Fix")))</f>
        <v>#N/A</v>
      </c>
      <c r="F980" s="5" t="e">
        <f ca="1">IF(OR(INDEX($AI$2:$AI$1001,MATCH(ROWS($AH$2:AH980),$AH$2:$AH$1001,0),1)&gt;=100000,INDEX($AO$1005:$BQ$1005,1,MATCH(COLUMNS($AO$1006:AS1006),$AO$1006:$BQ$1006,0))&gt;=100000), " ",IF(INDEX($AO$2:$BQ$1001,MATCH(ROWS($AH$2:AH980),$AH$2:$AH$1001,0),MATCH(COLUMNS($AO$1006:AS1006),$AO$1006:$BQ$1006,0)), HYPERLINK("#",""), HYPERLINK(CONCATENATE("#Metadata!", ADDRESS(INDEX($AJ$2:$AJ$1001,MATCH(ROWS($AH$2:AH980),$AH$2:$AH$1001,0),0), INDEX($AO$1004:$BQ$1004,1,MATCH(COLUMNS($AO$1006:AS1006),$AO$1006:$BQ$1006,0)))),"Fix")))</f>
        <v>#N/A</v>
      </c>
      <c r="G980" s="5" t="e">
        <f ca="1">IF(OR(INDEX($AI$2:$AI$1001,MATCH(ROWS($AH$2:AH980),$AH$2:$AH$1001,0),1)&gt;=100000,INDEX($AO$1005:$BQ$1005,1,MATCH(COLUMNS($AO$1006:AT1006),$AO$1006:$BQ$1006,0))&gt;=100000), " ",IF(INDEX($AO$2:$BQ$1001,MATCH(ROWS($AH$2:AH980),$AH$2:$AH$1001,0),MATCH(COLUMNS($AO$1006:AT1006),$AO$1006:$BQ$1006,0)), HYPERLINK("#",""), HYPERLINK(CONCATENATE("#Metadata!", ADDRESS(INDEX($AJ$2:$AJ$1001,MATCH(ROWS($AH$2:AH980),$AH$2:$AH$1001,0),0), INDEX($AO$1004:$BQ$1004,1,MATCH(COLUMNS($AO$1006:AT1006),$AO$1006:$BQ$1006,0)))),"Fix")))</f>
        <v>#N/A</v>
      </c>
      <c r="H980" s="5" t="e">
        <f ca="1">IF(OR(INDEX($AI$2:$AI$1001,MATCH(ROWS($AH$2:AH980),$AH$2:$AH$1001,0),1)&gt;=100000,INDEX($AO$1005:$BQ$1005,1,MATCH(COLUMNS($AO$1006:AU1006),$AO$1006:$BQ$1006,0))&gt;=100000), " ",IF(INDEX($AO$2:$BQ$1001,MATCH(ROWS($AH$2:AH980),$AH$2:$AH$1001,0),MATCH(COLUMNS($AO$1006:AU1006),$AO$1006:$BQ$1006,0)), HYPERLINK("#",""), HYPERLINK(CONCATENATE("#Metadata!", ADDRESS(INDEX($AJ$2:$AJ$1001,MATCH(ROWS($AH$2:AH980),$AH$2:$AH$1001,0),0), INDEX($AO$1004:$BQ$1004,1,MATCH(COLUMNS($AO$1006:AU1006),$AO$1006:$BQ$1006,0)))),"Fix")))</f>
        <v>#N/A</v>
      </c>
      <c r="I980" s="5" t="e">
        <f ca="1">IF(OR(INDEX($AI$2:$AI$1001,MATCH(ROWS($AH$2:AH980),$AH$2:$AH$1001,0),1)&gt;=100000,INDEX($AO$1005:$BQ$1005,1,MATCH(COLUMNS($AO$1006:AV1006),$AO$1006:$BQ$1006,0))&gt;=100000), " ",IF(INDEX($AO$2:$BQ$1001,MATCH(ROWS($AH$2:AH980),$AH$2:$AH$1001,0),MATCH(COLUMNS($AO$1006:AV1006),$AO$1006:$BQ$1006,0)), HYPERLINK("#",""), HYPERLINK(CONCATENATE("#Metadata!", ADDRESS(INDEX($AJ$2:$AJ$1001,MATCH(ROWS($AH$2:AH980),$AH$2:$AH$1001,0),0), INDEX($AO$1004:$BQ$1004,1,MATCH(COLUMNS($AO$1006:AV1006),$AO$1006:$BQ$1006,0)))),"Fix")))</f>
        <v>#N/A</v>
      </c>
      <c r="J980" s="5" t="e">
        <f ca="1">IF(OR(INDEX($AI$2:$AI$1001,MATCH(ROWS($AH$2:AH980),$AH$2:$AH$1001,0),1)&gt;=100000,INDEX($AO$1005:$BQ$1005,1,MATCH(COLUMNS($AO$1006:AW1006),$AO$1006:$BQ$1006,0))&gt;=100000), " ",IF(INDEX($AO$2:$BQ$1001,MATCH(ROWS($AH$2:AH980),$AH$2:$AH$1001,0),MATCH(COLUMNS($AO$1006:AW1006),$AO$1006:$BQ$1006,0)), HYPERLINK("#",""), HYPERLINK(CONCATENATE("#Metadata!", ADDRESS(INDEX($AJ$2:$AJ$1001,MATCH(ROWS($AH$2:AH980),$AH$2:$AH$1001,0),0), INDEX($AO$1004:$BQ$1004,1,MATCH(COLUMNS($AO$1006:AW1006),$AO$1006:$BQ$1006,0)))),"Fix")))</f>
        <v>#N/A</v>
      </c>
      <c r="K980" s="5" t="e">
        <f ca="1">IF(OR(INDEX($AI$2:$AI$1001,MATCH(ROWS($AH$2:AH980),$AH$2:$AH$1001,0),1)&gt;=100000,INDEX($AO$1005:$BQ$1005,1,MATCH(COLUMNS($AO$1006:AX1006),$AO$1006:$BQ$1006,0))&gt;=100000), " ",IF(INDEX($AO$2:$BQ$1001,MATCH(ROWS($AH$2:AH980),$AH$2:$AH$1001,0),MATCH(COLUMNS($AO$1006:AX1006),$AO$1006:$BQ$1006,0)), HYPERLINK("#",""), HYPERLINK(CONCATENATE("#Metadata!", ADDRESS(INDEX($AJ$2:$AJ$1001,MATCH(ROWS($AH$2:AH980),$AH$2:$AH$1001,0),0), INDEX($AO$1004:$BQ$1004,1,MATCH(COLUMNS($AO$1006:AX1006),$AO$1006:$BQ$1006,0)))),"Fix")))</f>
        <v>#N/A</v>
      </c>
      <c r="L980" s="5" t="e">
        <f ca="1">IF(OR(INDEX($AI$2:$AI$1001,MATCH(ROWS($AH$2:AH980),$AH$2:$AH$1001,0),1)&gt;=100000,INDEX($AO$1005:$BQ$1005,1,MATCH(COLUMNS($AO$1006:AY1006),$AO$1006:$BQ$1006,0))&gt;=100000), " ",IF(INDEX($AO$2:$BQ$1001,MATCH(ROWS($AH$2:AH980),$AH$2:$AH$1001,0),MATCH(COLUMNS($AO$1006:AY1006),$AO$1006:$BQ$1006,0)), HYPERLINK("#",""), HYPERLINK(CONCATENATE("#Metadata!", ADDRESS(INDEX($AJ$2:$AJ$1001,MATCH(ROWS($AH$2:AH980),$AH$2:$AH$1001,0),0), INDEX($AO$1004:$BQ$1004,1,MATCH(COLUMNS($AO$1006:AY1006),$AO$1006:$BQ$1006,0)))),"Fix")))</f>
        <v>#N/A</v>
      </c>
      <c r="M980" s="5" t="e">
        <f ca="1">IF(OR(INDEX($AI$2:$AI$1001,MATCH(ROWS($AH$2:AH980),$AH$2:$AH$1001,0),1)&gt;=100000,INDEX($AO$1005:$BQ$1005,1,MATCH(COLUMNS($AO$1006:AZ1006),$AO$1006:$BQ$1006,0))&gt;=100000), " ",IF(INDEX($AO$2:$BQ$1001,MATCH(ROWS($AH$2:AH980),$AH$2:$AH$1001,0),MATCH(COLUMNS($AO$1006:AZ1006),$AO$1006:$BQ$1006,0)), HYPERLINK("#",""), HYPERLINK(CONCATENATE("#Metadata!", ADDRESS(INDEX($AJ$2:$AJ$1001,MATCH(ROWS($AH$2:AH980),$AH$2:$AH$1001,0),0), INDEX($AO$1004:$BQ$1004,1,MATCH(COLUMNS($AO$1006:AZ1006),$AO$1006:$BQ$1006,0)))),"Fix")))</f>
        <v>#N/A</v>
      </c>
      <c r="N980" s="5" t="e">
        <f ca="1">IF(OR(INDEX($AI$2:$AI$1001,MATCH(ROWS($AH$2:AH980),$AH$2:$AH$1001,0),1)&gt;=100000,INDEX($AO$1005:$BQ$1005,1,MATCH(COLUMNS($AO$1006:BA1006),$AO$1006:$BQ$1006,0))&gt;=100000), " ",IF(INDEX($AO$2:$BQ$1001,MATCH(ROWS($AH$2:AH980),$AH$2:$AH$1001,0),MATCH(COLUMNS($AO$1006:BA1006),$AO$1006:$BQ$1006,0)), HYPERLINK("#",""), HYPERLINK(CONCATENATE("#Metadata!", ADDRESS(INDEX($AJ$2:$AJ$1001,MATCH(ROWS($AH$2:AH980),$AH$2:$AH$1001,0),0), INDEX($AO$1004:$BQ$1004,1,MATCH(COLUMNS($AO$1006:BA1006),$AO$1006:$BQ$1006,0)))),"Fix")))</f>
        <v>#N/A</v>
      </c>
      <c r="O980" s="5" t="e">
        <f ca="1">IF(OR(INDEX($AI$2:$AI$1001,MATCH(ROWS($AH$2:AH980),$AH$2:$AH$1001,0),1)&gt;=100000,INDEX($AO$1005:$BQ$1005,1,MATCH(COLUMNS($AO$1006:BB1006),$AO$1006:$BQ$1006,0))&gt;=100000), " ",IF(INDEX($AO$2:$BQ$1001,MATCH(ROWS($AH$2:AH980),$AH$2:$AH$1001,0),MATCH(COLUMNS($AO$1006:BB1006),$AO$1006:$BQ$1006,0)), HYPERLINK("#",""), HYPERLINK(CONCATENATE("#Metadata!", ADDRESS(INDEX($AJ$2:$AJ$1001,MATCH(ROWS($AH$2:AH980),$AH$2:$AH$1001,0),0), INDEX($AO$1004:$BQ$1004,1,MATCH(COLUMNS($AO$1006:BB1006),$AO$1006:$BQ$1006,0)))),"Fix")))</f>
        <v>#N/A</v>
      </c>
      <c r="P980" s="5" t="e">
        <f ca="1">IF(OR(INDEX($AI$2:$AI$1001,MATCH(ROWS($AH$2:AH980),$AH$2:$AH$1001,0),1)&gt;=100000,INDEX($AO$1005:$BQ$1005,1,MATCH(COLUMNS($AO$1006:BC1006),$AO$1006:$BQ$1006,0))&gt;=100000), " ",IF(INDEX($AO$2:$BQ$1001,MATCH(ROWS($AH$2:AH980),$AH$2:$AH$1001,0),MATCH(COLUMNS($AO$1006:BC1006),$AO$1006:$BQ$1006,0)), HYPERLINK("#",""), HYPERLINK(CONCATENATE("#Metadata!", ADDRESS(INDEX($AJ$2:$AJ$1001,MATCH(ROWS($AH$2:AH980),$AH$2:$AH$1001,0),0), INDEX($AO$1004:$BQ$1004,1,MATCH(COLUMNS($AO$1006:BC1006),$AO$1006:$BQ$1006,0)))),"Fix")))</f>
        <v>#N/A</v>
      </c>
      <c r="Q980" s="5" t="e">
        <f ca="1">IF(OR(INDEX($AI$2:$AI$1001,MATCH(ROWS($AH$2:AH980),$AH$2:$AH$1001,0),1)&gt;=100000,INDEX($AO$1005:$BQ$1005,1,MATCH(COLUMNS($AO$1006:BD1006),$AO$1006:$BQ$1006,0))&gt;=100000), " ",IF(INDEX($AO$2:$BQ$1001,MATCH(ROWS($AH$2:AH980),$AH$2:$AH$1001,0),MATCH(COLUMNS($AO$1006:BD1006),$AO$1006:$BQ$1006,0)), HYPERLINK("#",""), HYPERLINK(CONCATENATE("#Metadata!", ADDRESS(INDEX($AJ$2:$AJ$1001,MATCH(ROWS($AH$2:AH980),$AH$2:$AH$1001,0),0), INDEX($AO$1004:$BQ$1004,1,MATCH(COLUMNS($AO$1006:BD1006),$AO$1006:$BQ$1006,0)))),"Fix")))</f>
        <v>#N/A</v>
      </c>
      <c r="R980" s="5" t="e">
        <f ca="1">IF(OR(INDEX($AI$2:$AI$1001,MATCH(ROWS($AH$2:AH980),$AH$2:$AH$1001,0),1)&gt;=100000,INDEX($AO$1005:$BQ$1005,1,MATCH(COLUMNS($AO$1006:BE1006),$AO$1006:$BQ$1006,0))&gt;=100000), " ",IF(INDEX($AO$2:$BQ$1001,MATCH(ROWS($AH$2:AH980),$AH$2:$AH$1001,0),MATCH(COLUMNS($AO$1006:BE1006),$AO$1006:$BQ$1006,0)), HYPERLINK("#",""), HYPERLINK(CONCATENATE("#Metadata!", ADDRESS(INDEX($AJ$2:$AJ$1001,MATCH(ROWS($AH$2:AH980),$AH$2:$AH$1001,0),0), INDEX($AO$1004:$BQ$1004,1,MATCH(COLUMNS($AO$1006:BE1006),$AO$1006:$BQ$1006,0)))),"Fix")))</f>
        <v>#N/A</v>
      </c>
      <c r="S980" s="5" t="e">
        <f ca="1">IF(OR(INDEX($AI$2:$AI$1001,MATCH(ROWS($AH$2:AH980),$AH$2:$AH$1001,0),1)&gt;=100000,INDEX($AO$1005:$BQ$1005,1,MATCH(COLUMNS($AO$1006:BF1006),$AO$1006:$BQ$1006,0))&gt;=100000), " ",IF(INDEX($AO$2:$BQ$1001,MATCH(ROWS($AH$2:AH980),$AH$2:$AH$1001,0),MATCH(COLUMNS($AO$1006:BF1006),$AO$1006:$BQ$1006,0)), HYPERLINK("#",""), HYPERLINK(CONCATENATE("#Metadata!", ADDRESS(INDEX($AJ$2:$AJ$1001,MATCH(ROWS($AH$2:AH980),$AH$2:$AH$1001,0),0), INDEX($AO$1004:$BQ$1004,1,MATCH(COLUMNS($AO$1006:BF1006),$AO$1006:$BQ$1006,0)))),"Fix")))</f>
        <v>#N/A</v>
      </c>
      <c r="T980" s="5" t="e">
        <f ca="1">IF(OR(INDEX($AI$2:$AI$1001,MATCH(ROWS($AH$2:AH980),$AH$2:$AH$1001,0),1)&gt;=100000,INDEX($AO$1005:$BQ$1005,1,MATCH(COLUMNS($AO$1006:BG1006),$AO$1006:$BQ$1006,0))&gt;=100000), " ",IF(INDEX($AO$2:$BQ$1001,MATCH(ROWS($AH$2:AH980),$AH$2:$AH$1001,0),MATCH(COLUMNS($AO$1006:BG1006),$AO$1006:$BQ$1006,0)), HYPERLINK("#",""), HYPERLINK(CONCATENATE("#Metadata!", ADDRESS(INDEX($AJ$2:$AJ$1001,MATCH(ROWS($AH$2:AH980),$AH$2:$AH$1001,0),0), INDEX($AO$1004:$BQ$1004,1,MATCH(COLUMNS($AO$1006:BG1006),$AO$1006:$BQ$1006,0)))),"Fix")))</f>
        <v>#N/A</v>
      </c>
      <c r="U980" s="5" t="e">
        <f ca="1">IF(OR(INDEX($AI$2:$AI$1001,MATCH(ROWS($AH$2:AH980),$AH$2:$AH$1001,0),1)&gt;=100000,INDEX($AO$1005:$BQ$1005,1,MATCH(COLUMNS($AO$1006:BH1006),$AO$1006:$BQ$1006,0))&gt;=100000), " ",IF(INDEX($AO$2:$BQ$1001,MATCH(ROWS($AH$2:AH980),$AH$2:$AH$1001,0),MATCH(COLUMNS($AO$1006:BH1006),$AO$1006:$BQ$1006,0)), HYPERLINK("#",""), HYPERLINK(CONCATENATE("#Metadata!", ADDRESS(INDEX($AJ$2:$AJ$1001,MATCH(ROWS($AH$2:AH980),$AH$2:$AH$1001,0),0), INDEX($AO$1004:$BQ$1004,1,MATCH(COLUMNS($AO$1006:BH1006),$AO$1006:$BQ$1006,0)))),"Fix")))</f>
        <v>#N/A</v>
      </c>
      <c r="V980" s="5" t="e">
        <f ca="1">IF(OR(INDEX($AI$2:$AI$1001,MATCH(ROWS($AH$2:AH980),$AH$2:$AH$1001,0),1)&gt;=100000,INDEX($AO$1005:$BQ$1005,1,MATCH(COLUMNS($AO$1006:BI1006),$AO$1006:$BQ$1006,0))&gt;=100000), " ",IF(INDEX($AO$2:$BQ$1001,MATCH(ROWS($AH$2:AH980),$AH$2:$AH$1001,0),MATCH(COLUMNS($AO$1006:BI1006),$AO$1006:$BQ$1006,0)), HYPERLINK("#",""), HYPERLINK(CONCATENATE("#Metadata!", ADDRESS(INDEX($AJ$2:$AJ$1001,MATCH(ROWS($AH$2:AH980),$AH$2:$AH$1001,0),0), INDEX($AO$1004:$BQ$1004,1,MATCH(COLUMNS($AO$1006:BI1006),$AO$1006:$BQ$1006,0)))),"Fix")))</f>
        <v>#N/A</v>
      </c>
      <c r="W980" s="5" t="e">
        <f ca="1">IF(OR(INDEX($AI$2:$AI$1001,MATCH(ROWS($AH$2:AH980),$AH$2:$AH$1001,0),1)&gt;=100000,INDEX($AO$1005:$BQ$1005,1,MATCH(COLUMNS($AO$1006:BJ1006),$AO$1006:$BQ$1006,0))&gt;=100000), " ",IF(INDEX($AO$2:$BQ$1001,MATCH(ROWS($AH$2:AH980),$AH$2:$AH$1001,0),MATCH(COLUMNS($AO$1006:BJ1006),$AO$1006:$BQ$1006,0)), HYPERLINK("#",""), HYPERLINK(CONCATENATE("#Metadata!", ADDRESS(INDEX($AJ$2:$AJ$1001,MATCH(ROWS($AH$2:AH980),$AH$2:$AH$1001,0),0), INDEX($AO$1004:$BQ$1004,1,MATCH(COLUMNS($AO$1006:BJ1006),$AO$1006:$BQ$1006,0)))),"Fix")))</f>
        <v>#N/A</v>
      </c>
      <c r="X980" s="5" t="e">
        <f ca="1">IF(OR(INDEX($AI$2:$AI$1001,MATCH(ROWS($AH$2:AH980),$AH$2:$AH$1001,0),1)&gt;=100000,INDEX($AO$1005:$BQ$1005,1,MATCH(COLUMNS($AO$1006:BK1006),$AO$1006:$BQ$1006,0))&gt;=100000), " ",IF(INDEX($AO$2:$BQ$1001,MATCH(ROWS($AH$2:AH980),$AH$2:$AH$1001,0),MATCH(COLUMNS($AO$1006:BK1006),$AO$1006:$BQ$1006,0)), HYPERLINK("#",""), HYPERLINK(CONCATENATE("#Metadata!", ADDRESS(INDEX($AJ$2:$AJ$1001,MATCH(ROWS($AH$2:AH980),$AH$2:$AH$1001,0),0), INDEX($AO$1004:$BQ$1004,1,MATCH(COLUMNS($AO$1006:BK1006),$AO$1006:$BQ$1006,0)))),"Fix")))</f>
        <v>#N/A</v>
      </c>
      <c r="Y980" s="5" t="e">
        <f ca="1">IF(OR(INDEX($AI$2:$AI$1001,MATCH(ROWS($AH$2:AH980),$AH$2:$AH$1001,0),1)&gt;=100000,INDEX($AO$1005:$BQ$1005,1,MATCH(COLUMNS($AO$1006:BL1006),$AO$1006:$BQ$1006,0))&gt;=100000), " ",IF(INDEX($AO$2:$BQ$1001,MATCH(ROWS($AH$2:AH980),$AH$2:$AH$1001,0),MATCH(COLUMNS($AO$1006:BL1006),$AO$1006:$BQ$1006,0)), HYPERLINK("#",""), HYPERLINK(CONCATENATE("#Metadata!", ADDRESS(INDEX($AJ$2:$AJ$1001,MATCH(ROWS($AH$2:AH980),$AH$2:$AH$1001,0),0), INDEX($AO$1004:$BQ$1004,1,MATCH(COLUMNS($AO$1006:BL1006),$AO$1006:$BQ$1006,0)))),"Fix")))</f>
        <v>#N/A</v>
      </c>
      <c r="Z980" s="5" t="e">
        <f ca="1">IF(OR(INDEX($AI$2:$AI$1001,MATCH(ROWS($AH$2:AH980),$AH$2:$AH$1001,0),1)&gt;=100000,INDEX($AO$1005:$BQ$1005,1,MATCH(COLUMNS($AO$1006:BM1006),$AO$1006:$BQ$1006,0))&gt;=100000), " ",IF(INDEX($AO$2:$BQ$1001,MATCH(ROWS($AH$2:AH980),$AH$2:$AH$1001,0),MATCH(COLUMNS($AO$1006:BM1006),$AO$1006:$BQ$1006,0)), HYPERLINK("#",""), HYPERLINK(CONCATENATE("#Metadata!", ADDRESS(INDEX($AJ$2:$AJ$1001,MATCH(ROWS($AH$2:AH980),$AH$2:$AH$1001,0),0), INDEX($AO$1004:$BQ$1004,1,MATCH(COLUMNS($AO$1006:BM1006),$AO$1006:$BQ$1006,0)))),"Fix")))</f>
        <v>#N/A</v>
      </c>
      <c r="AA980" s="5" t="e">
        <f ca="1">IF(OR(INDEX($AI$2:$AI$1001,MATCH(ROWS($AH$2:AH980),$AH$2:$AH$1001,0),1)&gt;=100000,INDEX($AO$1005:$BQ$1005,1,MATCH(COLUMNS($AO$1006:BN1006),$AO$1006:$BQ$1006,0))&gt;=100000), " ",IF(INDEX($AO$2:$BQ$1001,MATCH(ROWS($AH$2:AH980),$AH$2:$AH$1001,0),MATCH(COLUMNS($AO$1006:BN1006),$AO$1006:$BQ$1006,0)), HYPERLINK("#",""), HYPERLINK(CONCATENATE("#Metadata!", ADDRESS(INDEX($AJ$2:$AJ$1001,MATCH(ROWS($AH$2:AH980),$AH$2:$AH$1001,0),0), INDEX($AO$1004:$BQ$1004,1,MATCH(COLUMNS($AO$1006:BN1006),$AO$1006:$BQ$1006,0)))),"Fix")))</f>
        <v>#N/A</v>
      </c>
      <c r="AB980" s="5" t="e">
        <f ca="1">IF(OR(INDEX($AI$2:$AI$1001,MATCH(ROWS($AH$2:AH980),$AH$2:$AH$1001,0),1)&gt;=100000,INDEX($AO$1005:$BQ$1005,1,MATCH(COLUMNS($AO$1006:BO1006),$AO$1006:$BQ$1006,0))&gt;=100000), " ",IF(INDEX($AO$2:$BQ$1001,MATCH(ROWS($AH$2:AH980),$AH$2:$AH$1001,0),MATCH(COLUMNS($AO$1006:BO1006),$AO$1006:$BQ$1006,0)), HYPERLINK("#",""), HYPERLINK(CONCATENATE("#Metadata!", ADDRESS(INDEX($AJ$2:$AJ$1001,MATCH(ROWS($AH$2:AH980),$AH$2:$AH$1001,0),0), INDEX($AO$1004:$BQ$1004,1,MATCH(COLUMNS($AO$1006:BO1006),$AO$1006:$BQ$1006,0)))),"Fix")))</f>
        <v>#N/A</v>
      </c>
      <c r="AC980" s="5" t="e">
        <f ca="1">IF(OR(INDEX($AI$2:$AI$1001,MATCH(ROWS($AH$2:AH980),$AH$2:$AH$1001,0),1)&gt;=100000,INDEX($AO$1005:$BQ$1005,1,MATCH(COLUMNS($AO$1006:BP1006),$AO$1006:$BQ$1006,0))&gt;=100000), " ",IF(INDEX($AO$2:$BQ$1001,MATCH(ROWS($AH$2:AH980),$AH$2:$AH$1001,0),MATCH(COLUMNS($AO$1006:BP1006),$AO$1006:$BQ$1006,0)), HYPERLINK("#",""), HYPERLINK(CONCATENATE("#Metadata!", ADDRESS(INDEX($AJ$2:$AJ$1001,MATCH(ROWS($AH$2:AH980),$AH$2:$AH$1001,0),0), INDEX($AO$1004:$BQ$1004,1,MATCH(COLUMNS($AO$1006:BP1006),$AO$1006:$BQ$1006,0)))),"Fix")))</f>
        <v>#N/A</v>
      </c>
      <c r="AD980" s="5" t="e">
        <f ca="1">IF(OR(INDEX($AI$2:$AI$1001,MATCH(ROWS($AH$2:AH980),$AH$2:$AH$1001,0),1)&gt;=100000,INDEX($AO$1005:$BQ$1005,1,MATCH(COLUMNS($AO$1006:BQ1006),$AO$1006:$BQ$1006,0))&gt;=100000), " ",IF(INDEX($AO$2:$BQ$1001,MATCH(ROWS($AH$2:AH980),$AH$2:$AH$1001,0),MATCH(COLUMNS($AO$1006:BQ1006),$AO$1006:$BQ$1006,0)), HYPERLINK("#",""), HYPERLINK(CONCATENATE("#Metadata!", ADDRESS(INDEX($AJ$2:$AJ$1001,MATCH(ROWS($AH$2:AH980),$AH$2:$AH$1001,0),0), INDEX($AO$1004:$BQ$1004,1,MATCH(COLUMNS($AO$1006:BQ1006),$AO$1006:$BQ$1006,0)))),"Fix")))</f>
        <v>#REF!</v>
      </c>
      <c r="AH980">
        <f ca="1"/>
        <v>977</v>
      </c>
      <c r="AI980">
        <v>100980</v>
      </c>
      <c r="AJ980">
        <v>980</v>
      </c>
      <c r="AK980" t="b">
        <f t="shared" si="15"/>
        <v>1</v>
      </c>
      <c r="AL980" t="b">
        <f>COUNTBLANK(Metadata!B980:AD980)=COLUMNS(Metadata!B980:AD980)</f>
        <v>1</v>
      </c>
      <c r="AM980" t="str">
        <v/>
      </c>
      <c r="AO980" t="b">
        <f ca="1">AND(IF(Metadata!B980="",FALSE,TRUE),COUNTIF(Metadata!B:B, Metadata!B980) = 1,NOT(ISERROR(SUMPRODUCT(SEARCH(MID(Metadata!B980,ROW(INDIRECT("1:"&amp;LEN(Metadata!B980))), 1),"0123456789abcdefghijklmnopqrstuvwxyzABCDEFGHIJKLMNOPQRSTUVWXYZ.")))))</f>
        <v>0</v>
      </c>
      <c r="AP980" t="b">
        <f>IF(Metadata!C980="",FALSE,TRUE)</f>
        <v>0</v>
      </c>
      <c r="AQ980" t="b">
        <f>IF(Metadata!D980="",FALSE,TRUE)</f>
        <v>0</v>
      </c>
      <c r="AR980" t="b">
        <f ca="1">OR(AND(IF(Metadata!E980="",FALSE,TRUE),OR(EXACT(Metadata!E980,"not collected"),EXACT(Metadata!E980,"not provided"),EXACT(Metadata!E980,"restricted access"))),AND(IF(Metadata!E980="",FALSE,TRUE),AND(AND(IFERROR(INT(LEFT(Metadata!E980,4))&gt;1900,FALSE),IFERROR(INT(LEFT(Metadata!E980,4))&lt;=YEAR(NOW()),FALSE)), OR(MID(Metadata!E980,5,1)="", AND(AND(MID(Metadata!E980,5,1)="-",IFERROR(INT(MID(Metadata!E980,6,1))&gt;=0,FALSE),IFERROR(INT(MID(Metadata!E980,6,1))&lt;=1,FALSE),NOT(MID(Metadata!E980,7,1)=""),IFERROR(INT(MID(Metadata!E980,6,2))&gt;=1,FALSE),IFERROR(INT(MID(Metadata!E980,6,2))&lt;=12,FALSE)), OR(MID(Metadata!E980,8,1)="", AND(AND(MID(Metadata!E980,8,1)="-",IFERROR(INT(MID(Metadata!E980,9,1))&gt;=0,FALSE),IFERROR(INT(MID(Metadata!E980,9,1))&lt;=3,FALSE),NOT(MID(Metadata!E980,10,1)=""),IFERROR(INT(MID(Metadata!E980,9,2))&gt;=1,FALSE),IFERROR(INT(MID(Metadata!E980,9,2))&lt;=31,FALSE)), OR(MID(Metadata!E980,11,1)="", AND(AND(MID(Metadata!E980,11,1)=" ",IFERROR(INT(MID(Metadata!E980,12,1))&gt;=0,FALSE),IFERROR(INT(MID(Metadata!E980,12,1))&lt;=2,FALSE),NOT(MID(Metadata!E980,13,1)=""),IFERROR(INT(MID(Metadata!E980,12,2))&gt;=0,FALSE),IFERROR(INT(MID(Metadata!E980,12,2))&lt;=23,FALSE)), OR(MID(Metadata!E980,14,1)="", AND(AND(MID(Metadata!E980,14,1)=":",IFERROR(INT(MID(Metadata!E980,15,1))&gt;=0,FALSE),IFERROR(INT(MID(Metadata!E980,15,1))&lt;=5,FALSE),NOT(MID(Metadata!E980,16,1)=""),IFERROR(INT(MID(Metadata!E980,15,2))&gt;=0,FALSE),IFERROR(INT(MID(Metadata!E980,15,2))&lt;=59,FALSE)), OR(MID(Metadata!E980,17,1)="", AND(AND(MID(Metadata!E980,17,1)=":",IFERROR(INT(MID(Metadata!E980,18,1))&gt;=0,FALSE),IFERROR(INT(MID(Metadata!E980,18,1))&lt;=5,FALSE),NOT(MID(Metadata!E980,19,1)=""),IFERROR(INT(MID(Metadata!E980,18,2))&gt;=0,FALSE),IFERROR(INT(MID(Metadata!E980,18,2))&lt;=59,FALSE)), LEN(Metadata!E980)&lt;=19)))))))))))))</f>
        <v>0</v>
      </c>
      <c r="AS980" t="b">
        <f>IF(Metadata!F980="",FALSE,TRUE)</f>
        <v>0</v>
      </c>
      <c r="AT980" t="b">
        <f>OR(AND(IF(Metadata!G980="",FALSE,TRUE),OR(EXACT(Metadata!G980,"not collected"),EXACT(Metadata!G980,"not provided"))),AND(IF(Metadata!G980="",FALSE,TRUE),OR(EXACT(Metadata!G980,"TRUE"),EXACT(Metadata!G980,"FALSE"))))</f>
        <v>0</v>
      </c>
      <c r="AU980" t="b">
        <f>OR(AND(IF(Metadata!H980="",FALSE,TRUE),OR(EXACT(Metadata!H980,"not collected"),EXACT(Metadata!H980,"not provided"),EXACT(Metadata!H980,"restricted access"))),AND(IF(Metadata!H980="",FALSE,ISNUMBER(VALUE(Metadata!H980))),Metadata!H980&gt;=-413))</f>
        <v>0</v>
      </c>
      <c r="AV980" t="b">
        <f>AND(IF(Metadata!I980="",FALSE,TRUE),EXACT(Metadata!I980,"meters"))</f>
        <v>0</v>
      </c>
      <c r="AW980" t="b">
        <f>AND(IF(Metadata!J980="",FALSE,TRUE),EXACT(Metadata!J980,"free-living"))</f>
        <v>0</v>
      </c>
      <c r="AX980" t="b">
        <f>AND(IF(Metadata!K980="",FALSE,TRUE),OR(EXACT(Metadata!K980,"saline"),EXACT(Metadata!K980,"non-saline")))</f>
        <v>0</v>
      </c>
      <c r="AY980" t="b">
        <f>AND(IF(Metadata!L980="",FALSE,TRUE),OR(EXACT(Metadata!L980,"sub-surface (non-saline)"),EXACT(Metadata!L980,"surface (non-saline)"),EXACT(Metadata!L980,"water (non-saline)"),EXACT(Metadata!L980,"soil (non-saline)"),EXACT(Metadata!L980,"aerosol (non-saline)"),EXACT(Metadata!L980,"sediment (non-saline)"),EXACT(Metadata!L980,"surface (saline)"),EXACT(Metadata!L980,"water (saline)"),EXACT(Metadata!L980,"hypersaline (saline)"),EXACT(Metadata!L980,"aerosol (saline)"),EXACT(Metadata!L980,"sediment (saline)")))</f>
        <v>0</v>
      </c>
      <c r="AZ980" t="b">
        <f>IF(Metadata!M980="",FALSE,TRUE)</f>
        <v>0</v>
      </c>
      <c r="BA980" t="b">
        <f>IF(Metadata!N980="",FALSE,TRUE)</f>
        <v>0</v>
      </c>
      <c r="BB980" t="b">
        <f>IF(Metadata!O980="",FALSE,TRUE)</f>
        <v>0</v>
      </c>
      <c r="BC980" t="b">
        <f>AND(IF(Metadata!P980="",FALSE,TRUE),OR(EXACT(Metadata!P980,"air"),EXACT(Metadata!P980,"microbial mat/biofilm"),EXACT(Metadata!P980,"misc environment"),EXACT(Metadata!P980,"sediment"),EXACT(Metadata!P980,"soil"),EXACT(Metadata!P980,"wastewater/sludge"),EXACT(Metadata!P980,"water")))</f>
        <v>0</v>
      </c>
      <c r="BD980" t="b">
        <f>IF(Metadata!Q980="",FALSE,TRUE)</f>
        <v>0</v>
      </c>
      <c r="BE980" t="b">
        <f>IF(Metadata!R980="",FALSE,TRUE)</f>
        <v>0</v>
      </c>
      <c r="BF980" t="b">
        <f>OR(AND(IF(Metadata!S980="",FALSE,TRUE),OR(EXACT(Metadata!S980,"not collected"),EXACT(Metadata!S980,"not provided"),EXACT(Metadata!S980,"restricted access"))),AND(IF(Metadata!S980="",FALSE,ISNUMBER(VALUE(Metadata!S980))),Metadata!S980&gt;=-90,Metadata!S980&lt;=90))</f>
        <v>0</v>
      </c>
      <c r="BG980" t="b">
        <f>AND(IF(Metadata!T980="",FALSE,TRUE),EXACT(Metadata!T980,"Decimal degrees"))</f>
        <v>0</v>
      </c>
      <c r="BH980" t="b">
        <f>OR(AND(IF(Metadata!U980="",FALSE,TRUE),OR(EXACT(Metadata!U980,"not applicable"),EXACT(Metadata!U980,"not collected"))),IF(Metadata!U980="",FALSE,TRUE))</f>
        <v>0</v>
      </c>
      <c r="BI980" t="b">
        <f>OR(AND(IF(Metadata!V980="",FALSE,TRUE),OR(EXACT(Metadata!V980,"not collected"),EXACT(Metadata!V980,"not provided"),EXACT(Metadata!V980,"restricted access"))),AND(IF(Metadata!V980="",FALSE,ISNUMBER(VALUE(Metadata!V980))),Metadata!V980&gt;=-180,Metadata!V980&lt;=180))</f>
        <v>0</v>
      </c>
      <c r="BJ980" t="b">
        <f>AND(IF(Metadata!W980="",FALSE,TRUE),EXACT(Metadata!W980,"Decimal degrees"))</f>
        <v>0</v>
      </c>
      <c r="BK980" t="b">
        <f>IF(Metadata!X980="",FALSE,TRUE)</f>
        <v>0</v>
      </c>
      <c r="BL980" t="b">
        <f>OR(AND(IF(Metadata!Y980="",FALSE,TRUE),OR(EXACT(Metadata!Y980,"not collected"),EXACT(Metadata!Y980,"not provided"),EXACT(Metadata!Y980,"restricted access"))),AND(IF(Metadata!Y980="",FALSE,TRUE),OR(EXACT(Metadata!Y980,"TRUE"),EXACT(Metadata!Y980,"FALSE"))))</f>
        <v>0</v>
      </c>
      <c r="BM980" t="b">
        <f>OR(AND(IF(Metadata!Z980="",FALSE,TRUE),EXACT(Metadata!Z980,"not applicable")),AND(IF(Metadata!Z980="",FALSE,TRUE),OR(EXACT(Metadata!Z980,"beer"),EXACT(Metadata!Z980,"cheese"),EXACT(Metadata!Z980,"fresh water"),EXACT(Metadata!Z980,"marine sediment"),EXACT(Metadata!Z980,"sea water"),EXACT(Metadata!Z980,"sediment"),EXACT(Metadata!Z980,"soil"),EXACT(Metadata!Z980,"waste water"))))</f>
        <v>0</v>
      </c>
      <c r="BN980" t="b">
        <f>AND(IF(Metadata!AA980="",FALSE,TRUE),EXACT(Metadata!AA980,"metagenome"))</f>
        <v>0</v>
      </c>
      <c r="BO980" t="b">
        <f>AND(IF(Metadata!AB980="",FALSE,TRUE),EXACT(Metadata!AB980,"256318"))</f>
        <v>0</v>
      </c>
      <c r="BP980" t="b">
        <f>IF(Metadata!AC980="",FALSE,TRUE)</f>
        <v>0</v>
      </c>
      <c r="BQ980" t="b">
        <f>IF(Metadata!AD980="",FALSE,TRUE)</f>
        <v>0</v>
      </c>
    </row>
    <row r="981" spans="1:69" x14ac:dyDescent="0.2">
      <c r="A981" s="4" t="e">
        <f ca="1">IF(B981=" "," ",HYPERLINK(CONCATENATE("#metadata!",ADDRESS(INDEX($AJ$2:$AJ$1001,MATCH(ROWS($AH$2:AH981),$AH$2:$AH$1001,0),0),2)),INDEX($AM$2:$AM$1001,MATCH(ROWS($AH$2:AH981),$AH$2:$AH$1001,0),0)))</f>
        <v>#N/A</v>
      </c>
      <c r="B981" s="5" t="e">
        <f ca="1">IF(OR(INDEX($AI$2:$AI$1001,MATCH(ROWS($AH$2:AH981),$AH$2:$AH$1001,0),1)&gt;=100000,INDEX($AO$1005:$BQ$1005,1,MATCH(COLUMNS($AO$1006:AO1006),$AO$1006:$BQ$1006,0))&gt;=100000), " ",IF(INDEX($AO$2:$BQ$1001,MATCH(ROWS($AH$2:AH981),$AH$2:$AH$1001,0),MATCH(COLUMNS($AO$1006:AO1006),$AO$1006:$BQ$1006,0)), HYPERLINK("#",""), HYPERLINK(CONCATENATE("#Metadata!", ADDRESS(INDEX($AJ$2:$AJ$1001,MATCH(ROWS($AH$2:AH981),$AH$2:$AH$1001,0),0), INDEX($AO$1004:$BQ$1004,1,MATCH(COLUMNS($AO$1006:AO1006),$AO$1006:$BQ$1006,0)))),"Fix")))</f>
        <v>#N/A</v>
      </c>
      <c r="C981" s="5" t="e">
        <f ca="1">IF(OR(INDEX($AI$2:$AI$1001,MATCH(ROWS($AH$2:AH981),$AH$2:$AH$1001,0),1)&gt;=100000,INDEX($AO$1005:$BQ$1005,1,MATCH(COLUMNS($AO$1006:AP1006),$AO$1006:$BQ$1006,0))&gt;=100000), " ",IF(INDEX($AO$2:$BQ$1001,MATCH(ROWS($AH$2:AH981),$AH$2:$AH$1001,0),MATCH(COLUMNS($AO$1006:AP1006),$AO$1006:$BQ$1006,0)), HYPERLINK("#",""), HYPERLINK(CONCATENATE("#Metadata!", ADDRESS(INDEX($AJ$2:$AJ$1001,MATCH(ROWS($AH$2:AH981),$AH$2:$AH$1001,0),0), INDEX($AO$1004:$BQ$1004,1,MATCH(COLUMNS($AO$1006:AP1006),$AO$1006:$BQ$1006,0)))),"Fix")))</f>
        <v>#N/A</v>
      </c>
      <c r="D981" s="5" t="e">
        <f ca="1">IF(OR(INDEX($AI$2:$AI$1001,MATCH(ROWS($AH$2:AH981),$AH$2:$AH$1001,0),1)&gt;=100000,INDEX($AO$1005:$BQ$1005,1,MATCH(COLUMNS($AO$1006:AQ1006),$AO$1006:$BQ$1006,0))&gt;=100000), " ",IF(INDEX($AO$2:$BQ$1001,MATCH(ROWS($AH$2:AH981),$AH$2:$AH$1001,0),MATCH(COLUMNS($AO$1006:AQ1006),$AO$1006:$BQ$1006,0)), HYPERLINK("#",""), HYPERLINK(CONCATENATE("#Metadata!", ADDRESS(INDEX($AJ$2:$AJ$1001,MATCH(ROWS($AH$2:AH981),$AH$2:$AH$1001,0),0), INDEX($AO$1004:$BQ$1004,1,MATCH(COLUMNS($AO$1006:AQ1006),$AO$1006:$BQ$1006,0)))),"Fix")))</f>
        <v>#N/A</v>
      </c>
      <c r="E981" s="5" t="e">
        <f ca="1">IF(OR(INDEX($AI$2:$AI$1001,MATCH(ROWS($AH$2:AH981),$AH$2:$AH$1001,0),1)&gt;=100000,INDEX($AO$1005:$BQ$1005,1,MATCH(COLUMNS($AO$1006:AR1006),$AO$1006:$BQ$1006,0))&gt;=100000), " ",IF(INDEX($AO$2:$BQ$1001,MATCH(ROWS($AH$2:AH981),$AH$2:$AH$1001,0),MATCH(COLUMNS($AO$1006:AR1006),$AO$1006:$BQ$1006,0)), HYPERLINK("#",""), HYPERLINK(CONCATENATE("#Metadata!", ADDRESS(INDEX($AJ$2:$AJ$1001,MATCH(ROWS($AH$2:AH981),$AH$2:$AH$1001,0),0), INDEX($AO$1004:$BQ$1004,1,MATCH(COLUMNS($AO$1006:AR1006),$AO$1006:$BQ$1006,0)))),"Fix")))</f>
        <v>#N/A</v>
      </c>
      <c r="F981" s="5" t="e">
        <f ca="1">IF(OR(INDEX($AI$2:$AI$1001,MATCH(ROWS($AH$2:AH981),$AH$2:$AH$1001,0),1)&gt;=100000,INDEX($AO$1005:$BQ$1005,1,MATCH(COLUMNS($AO$1006:AS1006),$AO$1006:$BQ$1006,0))&gt;=100000), " ",IF(INDEX($AO$2:$BQ$1001,MATCH(ROWS($AH$2:AH981),$AH$2:$AH$1001,0),MATCH(COLUMNS($AO$1006:AS1006),$AO$1006:$BQ$1006,0)), HYPERLINK("#",""), HYPERLINK(CONCATENATE("#Metadata!", ADDRESS(INDEX($AJ$2:$AJ$1001,MATCH(ROWS($AH$2:AH981),$AH$2:$AH$1001,0),0), INDEX($AO$1004:$BQ$1004,1,MATCH(COLUMNS($AO$1006:AS1006),$AO$1006:$BQ$1006,0)))),"Fix")))</f>
        <v>#N/A</v>
      </c>
      <c r="G981" s="5" t="e">
        <f ca="1">IF(OR(INDEX($AI$2:$AI$1001,MATCH(ROWS($AH$2:AH981),$AH$2:$AH$1001,0),1)&gt;=100000,INDEX($AO$1005:$BQ$1005,1,MATCH(COLUMNS($AO$1006:AT1006),$AO$1006:$BQ$1006,0))&gt;=100000), " ",IF(INDEX($AO$2:$BQ$1001,MATCH(ROWS($AH$2:AH981),$AH$2:$AH$1001,0),MATCH(COLUMNS($AO$1006:AT1006),$AO$1006:$BQ$1006,0)), HYPERLINK("#",""), HYPERLINK(CONCATENATE("#Metadata!", ADDRESS(INDEX($AJ$2:$AJ$1001,MATCH(ROWS($AH$2:AH981),$AH$2:$AH$1001,0),0), INDEX($AO$1004:$BQ$1004,1,MATCH(COLUMNS($AO$1006:AT1006),$AO$1006:$BQ$1006,0)))),"Fix")))</f>
        <v>#N/A</v>
      </c>
      <c r="H981" s="5" t="e">
        <f ca="1">IF(OR(INDEX($AI$2:$AI$1001,MATCH(ROWS($AH$2:AH981),$AH$2:$AH$1001,0),1)&gt;=100000,INDEX($AO$1005:$BQ$1005,1,MATCH(COLUMNS($AO$1006:AU1006),$AO$1006:$BQ$1006,0))&gt;=100000), " ",IF(INDEX($AO$2:$BQ$1001,MATCH(ROWS($AH$2:AH981),$AH$2:$AH$1001,0),MATCH(COLUMNS($AO$1006:AU1006),$AO$1006:$BQ$1006,0)), HYPERLINK("#",""), HYPERLINK(CONCATENATE("#Metadata!", ADDRESS(INDEX($AJ$2:$AJ$1001,MATCH(ROWS($AH$2:AH981),$AH$2:$AH$1001,0),0), INDEX($AO$1004:$BQ$1004,1,MATCH(COLUMNS($AO$1006:AU1006),$AO$1006:$BQ$1006,0)))),"Fix")))</f>
        <v>#N/A</v>
      </c>
      <c r="I981" s="5" t="e">
        <f ca="1">IF(OR(INDEX($AI$2:$AI$1001,MATCH(ROWS($AH$2:AH981),$AH$2:$AH$1001,0),1)&gt;=100000,INDEX($AO$1005:$BQ$1005,1,MATCH(COLUMNS($AO$1006:AV1006),$AO$1006:$BQ$1006,0))&gt;=100000), " ",IF(INDEX($AO$2:$BQ$1001,MATCH(ROWS($AH$2:AH981),$AH$2:$AH$1001,0),MATCH(COLUMNS($AO$1006:AV1006),$AO$1006:$BQ$1006,0)), HYPERLINK("#",""), HYPERLINK(CONCATENATE("#Metadata!", ADDRESS(INDEX($AJ$2:$AJ$1001,MATCH(ROWS($AH$2:AH981),$AH$2:$AH$1001,0),0), INDEX($AO$1004:$BQ$1004,1,MATCH(COLUMNS($AO$1006:AV1006),$AO$1006:$BQ$1006,0)))),"Fix")))</f>
        <v>#N/A</v>
      </c>
      <c r="J981" s="5" t="e">
        <f ca="1">IF(OR(INDEX($AI$2:$AI$1001,MATCH(ROWS($AH$2:AH981),$AH$2:$AH$1001,0),1)&gt;=100000,INDEX($AO$1005:$BQ$1005,1,MATCH(COLUMNS($AO$1006:AW1006),$AO$1006:$BQ$1006,0))&gt;=100000), " ",IF(INDEX($AO$2:$BQ$1001,MATCH(ROWS($AH$2:AH981),$AH$2:$AH$1001,0),MATCH(COLUMNS($AO$1006:AW1006),$AO$1006:$BQ$1006,0)), HYPERLINK("#",""), HYPERLINK(CONCATENATE("#Metadata!", ADDRESS(INDEX($AJ$2:$AJ$1001,MATCH(ROWS($AH$2:AH981),$AH$2:$AH$1001,0),0), INDEX($AO$1004:$BQ$1004,1,MATCH(COLUMNS($AO$1006:AW1006),$AO$1006:$BQ$1006,0)))),"Fix")))</f>
        <v>#N/A</v>
      </c>
      <c r="K981" s="5" t="e">
        <f ca="1">IF(OR(INDEX($AI$2:$AI$1001,MATCH(ROWS($AH$2:AH981),$AH$2:$AH$1001,0),1)&gt;=100000,INDEX($AO$1005:$BQ$1005,1,MATCH(COLUMNS($AO$1006:AX1006),$AO$1006:$BQ$1006,0))&gt;=100000), " ",IF(INDEX($AO$2:$BQ$1001,MATCH(ROWS($AH$2:AH981),$AH$2:$AH$1001,0),MATCH(COLUMNS($AO$1006:AX1006),$AO$1006:$BQ$1006,0)), HYPERLINK("#",""), HYPERLINK(CONCATENATE("#Metadata!", ADDRESS(INDEX($AJ$2:$AJ$1001,MATCH(ROWS($AH$2:AH981),$AH$2:$AH$1001,0),0), INDEX($AO$1004:$BQ$1004,1,MATCH(COLUMNS($AO$1006:AX1006),$AO$1006:$BQ$1006,0)))),"Fix")))</f>
        <v>#N/A</v>
      </c>
      <c r="L981" s="5" t="e">
        <f ca="1">IF(OR(INDEX($AI$2:$AI$1001,MATCH(ROWS($AH$2:AH981),$AH$2:$AH$1001,0),1)&gt;=100000,INDEX($AO$1005:$BQ$1005,1,MATCH(COLUMNS($AO$1006:AY1006),$AO$1006:$BQ$1006,0))&gt;=100000), " ",IF(INDEX($AO$2:$BQ$1001,MATCH(ROWS($AH$2:AH981),$AH$2:$AH$1001,0),MATCH(COLUMNS($AO$1006:AY1006),$AO$1006:$BQ$1006,0)), HYPERLINK("#",""), HYPERLINK(CONCATENATE("#Metadata!", ADDRESS(INDEX($AJ$2:$AJ$1001,MATCH(ROWS($AH$2:AH981),$AH$2:$AH$1001,0),0), INDEX($AO$1004:$BQ$1004,1,MATCH(COLUMNS($AO$1006:AY1006),$AO$1006:$BQ$1006,0)))),"Fix")))</f>
        <v>#N/A</v>
      </c>
      <c r="M981" s="5" t="e">
        <f ca="1">IF(OR(INDEX($AI$2:$AI$1001,MATCH(ROWS($AH$2:AH981),$AH$2:$AH$1001,0),1)&gt;=100000,INDEX($AO$1005:$BQ$1005,1,MATCH(COLUMNS($AO$1006:AZ1006),$AO$1006:$BQ$1006,0))&gt;=100000), " ",IF(INDEX($AO$2:$BQ$1001,MATCH(ROWS($AH$2:AH981),$AH$2:$AH$1001,0),MATCH(COLUMNS($AO$1006:AZ1006),$AO$1006:$BQ$1006,0)), HYPERLINK("#",""), HYPERLINK(CONCATENATE("#Metadata!", ADDRESS(INDEX($AJ$2:$AJ$1001,MATCH(ROWS($AH$2:AH981),$AH$2:$AH$1001,0),0), INDEX($AO$1004:$BQ$1004,1,MATCH(COLUMNS($AO$1006:AZ1006),$AO$1006:$BQ$1006,0)))),"Fix")))</f>
        <v>#N/A</v>
      </c>
      <c r="N981" s="5" t="e">
        <f ca="1">IF(OR(INDEX($AI$2:$AI$1001,MATCH(ROWS($AH$2:AH981),$AH$2:$AH$1001,0),1)&gt;=100000,INDEX($AO$1005:$BQ$1005,1,MATCH(COLUMNS($AO$1006:BA1006),$AO$1006:$BQ$1006,0))&gt;=100000), " ",IF(INDEX($AO$2:$BQ$1001,MATCH(ROWS($AH$2:AH981),$AH$2:$AH$1001,0),MATCH(COLUMNS($AO$1006:BA1006),$AO$1006:$BQ$1006,0)), HYPERLINK("#",""), HYPERLINK(CONCATENATE("#Metadata!", ADDRESS(INDEX($AJ$2:$AJ$1001,MATCH(ROWS($AH$2:AH981),$AH$2:$AH$1001,0),0), INDEX($AO$1004:$BQ$1004,1,MATCH(COLUMNS($AO$1006:BA1006),$AO$1006:$BQ$1006,0)))),"Fix")))</f>
        <v>#N/A</v>
      </c>
      <c r="O981" s="5" t="e">
        <f ca="1">IF(OR(INDEX($AI$2:$AI$1001,MATCH(ROWS($AH$2:AH981),$AH$2:$AH$1001,0),1)&gt;=100000,INDEX($AO$1005:$BQ$1005,1,MATCH(COLUMNS($AO$1006:BB1006),$AO$1006:$BQ$1006,0))&gt;=100000), " ",IF(INDEX($AO$2:$BQ$1001,MATCH(ROWS($AH$2:AH981),$AH$2:$AH$1001,0),MATCH(COLUMNS($AO$1006:BB1006),$AO$1006:$BQ$1006,0)), HYPERLINK("#",""), HYPERLINK(CONCATENATE("#Metadata!", ADDRESS(INDEX($AJ$2:$AJ$1001,MATCH(ROWS($AH$2:AH981),$AH$2:$AH$1001,0),0), INDEX($AO$1004:$BQ$1004,1,MATCH(COLUMNS($AO$1006:BB1006),$AO$1006:$BQ$1006,0)))),"Fix")))</f>
        <v>#N/A</v>
      </c>
      <c r="P981" s="5" t="e">
        <f ca="1">IF(OR(INDEX($AI$2:$AI$1001,MATCH(ROWS($AH$2:AH981),$AH$2:$AH$1001,0),1)&gt;=100000,INDEX($AO$1005:$BQ$1005,1,MATCH(COLUMNS($AO$1006:BC1006),$AO$1006:$BQ$1006,0))&gt;=100000), " ",IF(INDEX($AO$2:$BQ$1001,MATCH(ROWS($AH$2:AH981),$AH$2:$AH$1001,0),MATCH(COLUMNS($AO$1006:BC1006),$AO$1006:$BQ$1006,0)), HYPERLINK("#",""), HYPERLINK(CONCATENATE("#Metadata!", ADDRESS(INDEX($AJ$2:$AJ$1001,MATCH(ROWS($AH$2:AH981),$AH$2:$AH$1001,0),0), INDEX($AO$1004:$BQ$1004,1,MATCH(COLUMNS($AO$1006:BC1006),$AO$1006:$BQ$1006,0)))),"Fix")))</f>
        <v>#N/A</v>
      </c>
      <c r="Q981" s="5" t="e">
        <f ca="1">IF(OR(INDEX($AI$2:$AI$1001,MATCH(ROWS($AH$2:AH981),$AH$2:$AH$1001,0),1)&gt;=100000,INDEX($AO$1005:$BQ$1005,1,MATCH(COLUMNS($AO$1006:BD1006),$AO$1006:$BQ$1006,0))&gt;=100000), " ",IF(INDEX($AO$2:$BQ$1001,MATCH(ROWS($AH$2:AH981),$AH$2:$AH$1001,0),MATCH(COLUMNS($AO$1006:BD1006),$AO$1006:$BQ$1006,0)), HYPERLINK("#",""), HYPERLINK(CONCATENATE("#Metadata!", ADDRESS(INDEX($AJ$2:$AJ$1001,MATCH(ROWS($AH$2:AH981),$AH$2:$AH$1001,0),0), INDEX($AO$1004:$BQ$1004,1,MATCH(COLUMNS($AO$1006:BD1006),$AO$1006:$BQ$1006,0)))),"Fix")))</f>
        <v>#N/A</v>
      </c>
      <c r="R981" s="5" t="e">
        <f ca="1">IF(OR(INDEX($AI$2:$AI$1001,MATCH(ROWS($AH$2:AH981),$AH$2:$AH$1001,0),1)&gt;=100000,INDEX($AO$1005:$BQ$1005,1,MATCH(COLUMNS($AO$1006:BE1006),$AO$1006:$BQ$1006,0))&gt;=100000), " ",IF(INDEX($AO$2:$BQ$1001,MATCH(ROWS($AH$2:AH981),$AH$2:$AH$1001,0),MATCH(COLUMNS($AO$1006:BE1006),$AO$1006:$BQ$1006,0)), HYPERLINK("#",""), HYPERLINK(CONCATENATE("#Metadata!", ADDRESS(INDEX($AJ$2:$AJ$1001,MATCH(ROWS($AH$2:AH981),$AH$2:$AH$1001,0),0), INDEX($AO$1004:$BQ$1004,1,MATCH(COLUMNS($AO$1006:BE1006),$AO$1006:$BQ$1006,0)))),"Fix")))</f>
        <v>#N/A</v>
      </c>
      <c r="S981" s="5" t="e">
        <f ca="1">IF(OR(INDEX($AI$2:$AI$1001,MATCH(ROWS($AH$2:AH981),$AH$2:$AH$1001,0),1)&gt;=100000,INDEX($AO$1005:$BQ$1005,1,MATCH(COLUMNS($AO$1006:BF1006),$AO$1006:$BQ$1006,0))&gt;=100000), " ",IF(INDEX($AO$2:$BQ$1001,MATCH(ROWS($AH$2:AH981),$AH$2:$AH$1001,0),MATCH(COLUMNS($AO$1006:BF1006),$AO$1006:$BQ$1006,0)), HYPERLINK("#",""), HYPERLINK(CONCATENATE("#Metadata!", ADDRESS(INDEX($AJ$2:$AJ$1001,MATCH(ROWS($AH$2:AH981),$AH$2:$AH$1001,0),0), INDEX($AO$1004:$BQ$1004,1,MATCH(COLUMNS($AO$1006:BF1006),$AO$1006:$BQ$1006,0)))),"Fix")))</f>
        <v>#N/A</v>
      </c>
      <c r="T981" s="5" t="e">
        <f ca="1">IF(OR(INDEX($AI$2:$AI$1001,MATCH(ROWS($AH$2:AH981),$AH$2:$AH$1001,0),1)&gt;=100000,INDEX($AO$1005:$BQ$1005,1,MATCH(COLUMNS($AO$1006:BG1006),$AO$1006:$BQ$1006,0))&gt;=100000), " ",IF(INDEX($AO$2:$BQ$1001,MATCH(ROWS($AH$2:AH981),$AH$2:$AH$1001,0),MATCH(COLUMNS($AO$1006:BG1006),$AO$1006:$BQ$1006,0)), HYPERLINK("#",""), HYPERLINK(CONCATENATE("#Metadata!", ADDRESS(INDEX($AJ$2:$AJ$1001,MATCH(ROWS($AH$2:AH981),$AH$2:$AH$1001,0),0), INDEX($AO$1004:$BQ$1004,1,MATCH(COLUMNS($AO$1006:BG1006),$AO$1006:$BQ$1006,0)))),"Fix")))</f>
        <v>#N/A</v>
      </c>
      <c r="U981" s="5" t="e">
        <f ca="1">IF(OR(INDEX($AI$2:$AI$1001,MATCH(ROWS($AH$2:AH981),$AH$2:$AH$1001,0),1)&gt;=100000,INDEX($AO$1005:$BQ$1005,1,MATCH(COLUMNS($AO$1006:BH1006),$AO$1006:$BQ$1006,0))&gt;=100000), " ",IF(INDEX($AO$2:$BQ$1001,MATCH(ROWS($AH$2:AH981),$AH$2:$AH$1001,0),MATCH(COLUMNS($AO$1006:BH1006),$AO$1006:$BQ$1006,0)), HYPERLINK("#",""), HYPERLINK(CONCATENATE("#Metadata!", ADDRESS(INDEX($AJ$2:$AJ$1001,MATCH(ROWS($AH$2:AH981),$AH$2:$AH$1001,0),0), INDEX($AO$1004:$BQ$1004,1,MATCH(COLUMNS($AO$1006:BH1006),$AO$1006:$BQ$1006,0)))),"Fix")))</f>
        <v>#N/A</v>
      </c>
      <c r="V981" s="5" t="e">
        <f ca="1">IF(OR(INDEX($AI$2:$AI$1001,MATCH(ROWS($AH$2:AH981),$AH$2:$AH$1001,0),1)&gt;=100000,INDEX($AO$1005:$BQ$1005,1,MATCH(COLUMNS($AO$1006:BI1006),$AO$1006:$BQ$1006,0))&gt;=100000), " ",IF(INDEX($AO$2:$BQ$1001,MATCH(ROWS($AH$2:AH981),$AH$2:$AH$1001,0),MATCH(COLUMNS($AO$1006:BI1006),$AO$1006:$BQ$1006,0)), HYPERLINK("#",""), HYPERLINK(CONCATENATE("#Metadata!", ADDRESS(INDEX($AJ$2:$AJ$1001,MATCH(ROWS($AH$2:AH981),$AH$2:$AH$1001,0),0), INDEX($AO$1004:$BQ$1004,1,MATCH(COLUMNS($AO$1006:BI1006),$AO$1006:$BQ$1006,0)))),"Fix")))</f>
        <v>#N/A</v>
      </c>
      <c r="W981" s="5" t="e">
        <f ca="1">IF(OR(INDEX($AI$2:$AI$1001,MATCH(ROWS($AH$2:AH981),$AH$2:$AH$1001,0),1)&gt;=100000,INDEX($AO$1005:$BQ$1005,1,MATCH(COLUMNS($AO$1006:BJ1006),$AO$1006:$BQ$1006,0))&gt;=100000), " ",IF(INDEX($AO$2:$BQ$1001,MATCH(ROWS($AH$2:AH981),$AH$2:$AH$1001,0),MATCH(COLUMNS($AO$1006:BJ1006),$AO$1006:$BQ$1006,0)), HYPERLINK("#",""), HYPERLINK(CONCATENATE("#Metadata!", ADDRESS(INDEX($AJ$2:$AJ$1001,MATCH(ROWS($AH$2:AH981),$AH$2:$AH$1001,0),0), INDEX($AO$1004:$BQ$1004,1,MATCH(COLUMNS($AO$1006:BJ1006),$AO$1006:$BQ$1006,0)))),"Fix")))</f>
        <v>#N/A</v>
      </c>
      <c r="X981" s="5" t="e">
        <f ca="1">IF(OR(INDEX($AI$2:$AI$1001,MATCH(ROWS($AH$2:AH981),$AH$2:$AH$1001,0),1)&gt;=100000,INDEX($AO$1005:$BQ$1005,1,MATCH(COLUMNS($AO$1006:BK1006),$AO$1006:$BQ$1006,0))&gt;=100000), " ",IF(INDEX($AO$2:$BQ$1001,MATCH(ROWS($AH$2:AH981),$AH$2:$AH$1001,0),MATCH(COLUMNS($AO$1006:BK1006),$AO$1006:$BQ$1006,0)), HYPERLINK("#",""), HYPERLINK(CONCATENATE("#Metadata!", ADDRESS(INDEX($AJ$2:$AJ$1001,MATCH(ROWS($AH$2:AH981),$AH$2:$AH$1001,0),0), INDEX($AO$1004:$BQ$1004,1,MATCH(COLUMNS($AO$1006:BK1006),$AO$1006:$BQ$1006,0)))),"Fix")))</f>
        <v>#N/A</v>
      </c>
      <c r="Y981" s="5" t="e">
        <f ca="1">IF(OR(INDEX($AI$2:$AI$1001,MATCH(ROWS($AH$2:AH981),$AH$2:$AH$1001,0),1)&gt;=100000,INDEX($AO$1005:$BQ$1005,1,MATCH(COLUMNS($AO$1006:BL1006),$AO$1006:$BQ$1006,0))&gt;=100000), " ",IF(INDEX($AO$2:$BQ$1001,MATCH(ROWS($AH$2:AH981),$AH$2:$AH$1001,0),MATCH(COLUMNS($AO$1006:BL1006),$AO$1006:$BQ$1006,0)), HYPERLINK("#",""), HYPERLINK(CONCATENATE("#Metadata!", ADDRESS(INDEX($AJ$2:$AJ$1001,MATCH(ROWS($AH$2:AH981),$AH$2:$AH$1001,0),0), INDEX($AO$1004:$BQ$1004,1,MATCH(COLUMNS($AO$1006:BL1006),$AO$1006:$BQ$1006,0)))),"Fix")))</f>
        <v>#N/A</v>
      </c>
      <c r="Z981" s="5" t="e">
        <f ca="1">IF(OR(INDEX($AI$2:$AI$1001,MATCH(ROWS($AH$2:AH981),$AH$2:$AH$1001,0),1)&gt;=100000,INDEX($AO$1005:$BQ$1005,1,MATCH(COLUMNS($AO$1006:BM1006),$AO$1006:$BQ$1006,0))&gt;=100000), " ",IF(INDEX($AO$2:$BQ$1001,MATCH(ROWS($AH$2:AH981),$AH$2:$AH$1001,0),MATCH(COLUMNS($AO$1006:BM1006),$AO$1006:$BQ$1006,0)), HYPERLINK("#",""), HYPERLINK(CONCATENATE("#Metadata!", ADDRESS(INDEX($AJ$2:$AJ$1001,MATCH(ROWS($AH$2:AH981),$AH$2:$AH$1001,0),0), INDEX($AO$1004:$BQ$1004,1,MATCH(COLUMNS($AO$1006:BM1006),$AO$1006:$BQ$1006,0)))),"Fix")))</f>
        <v>#N/A</v>
      </c>
      <c r="AA981" s="5" t="e">
        <f ca="1">IF(OR(INDEX($AI$2:$AI$1001,MATCH(ROWS($AH$2:AH981),$AH$2:$AH$1001,0),1)&gt;=100000,INDEX($AO$1005:$BQ$1005,1,MATCH(COLUMNS($AO$1006:BN1006),$AO$1006:$BQ$1006,0))&gt;=100000), " ",IF(INDEX($AO$2:$BQ$1001,MATCH(ROWS($AH$2:AH981),$AH$2:$AH$1001,0),MATCH(COLUMNS($AO$1006:BN1006),$AO$1006:$BQ$1006,0)), HYPERLINK("#",""), HYPERLINK(CONCATENATE("#Metadata!", ADDRESS(INDEX($AJ$2:$AJ$1001,MATCH(ROWS($AH$2:AH981),$AH$2:$AH$1001,0),0), INDEX($AO$1004:$BQ$1004,1,MATCH(COLUMNS($AO$1006:BN1006),$AO$1006:$BQ$1006,0)))),"Fix")))</f>
        <v>#N/A</v>
      </c>
      <c r="AB981" s="5" t="e">
        <f ca="1">IF(OR(INDEX($AI$2:$AI$1001,MATCH(ROWS($AH$2:AH981),$AH$2:$AH$1001,0),1)&gt;=100000,INDEX($AO$1005:$BQ$1005,1,MATCH(COLUMNS($AO$1006:BO1006),$AO$1006:$BQ$1006,0))&gt;=100000), " ",IF(INDEX($AO$2:$BQ$1001,MATCH(ROWS($AH$2:AH981),$AH$2:$AH$1001,0),MATCH(COLUMNS($AO$1006:BO1006),$AO$1006:$BQ$1006,0)), HYPERLINK("#",""), HYPERLINK(CONCATENATE("#Metadata!", ADDRESS(INDEX($AJ$2:$AJ$1001,MATCH(ROWS($AH$2:AH981),$AH$2:$AH$1001,0),0), INDEX($AO$1004:$BQ$1004,1,MATCH(COLUMNS($AO$1006:BO1006),$AO$1006:$BQ$1006,0)))),"Fix")))</f>
        <v>#N/A</v>
      </c>
      <c r="AC981" s="5" t="e">
        <f ca="1">IF(OR(INDEX($AI$2:$AI$1001,MATCH(ROWS($AH$2:AH981),$AH$2:$AH$1001,0),1)&gt;=100000,INDEX($AO$1005:$BQ$1005,1,MATCH(COLUMNS($AO$1006:BP1006),$AO$1006:$BQ$1006,0))&gt;=100000), " ",IF(INDEX($AO$2:$BQ$1001,MATCH(ROWS($AH$2:AH981),$AH$2:$AH$1001,0),MATCH(COLUMNS($AO$1006:BP1006),$AO$1006:$BQ$1006,0)), HYPERLINK("#",""), HYPERLINK(CONCATENATE("#Metadata!", ADDRESS(INDEX($AJ$2:$AJ$1001,MATCH(ROWS($AH$2:AH981),$AH$2:$AH$1001,0),0), INDEX($AO$1004:$BQ$1004,1,MATCH(COLUMNS($AO$1006:BP1006),$AO$1006:$BQ$1006,0)))),"Fix")))</f>
        <v>#N/A</v>
      </c>
      <c r="AD981" s="5" t="e">
        <f ca="1">IF(OR(INDEX($AI$2:$AI$1001,MATCH(ROWS($AH$2:AH981),$AH$2:$AH$1001,0),1)&gt;=100000,INDEX($AO$1005:$BQ$1005,1,MATCH(COLUMNS($AO$1006:BQ1006),$AO$1006:$BQ$1006,0))&gt;=100000), " ",IF(INDEX($AO$2:$BQ$1001,MATCH(ROWS($AH$2:AH981),$AH$2:$AH$1001,0),MATCH(COLUMNS($AO$1006:BQ1006),$AO$1006:$BQ$1006,0)), HYPERLINK("#",""), HYPERLINK(CONCATENATE("#Metadata!", ADDRESS(INDEX($AJ$2:$AJ$1001,MATCH(ROWS($AH$2:AH981),$AH$2:$AH$1001,0),0), INDEX($AO$1004:$BQ$1004,1,MATCH(COLUMNS($AO$1006:BQ1006),$AO$1006:$BQ$1006,0)))),"Fix")))</f>
        <v>#REF!</v>
      </c>
      <c r="AH981">
        <f ca="1"/>
        <v>978</v>
      </c>
      <c r="AI981">
        <v>100981</v>
      </c>
      <c r="AJ981">
        <v>981</v>
      </c>
      <c r="AK981" t="b">
        <f t="shared" si="15"/>
        <v>1</v>
      </c>
      <c r="AL981" t="b">
        <f>COUNTBLANK(Metadata!B981:AD981)=COLUMNS(Metadata!B981:AD981)</f>
        <v>1</v>
      </c>
      <c r="AM981" t="str">
        <v/>
      </c>
      <c r="AO981" t="b">
        <f ca="1">AND(IF(Metadata!B981="",FALSE,TRUE),COUNTIF(Metadata!B:B, Metadata!B981) = 1,NOT(ISERROR(SUMPRODUCT(SEARCH(MID(Metadata!B981,ROW(INDIRECT("1:"&amp;LEN(Metadata!B981))), 1),"0123456789abcdefghijklmnopqrstuvwxyzABCDEFGHIJKLMNOPQRSTUVWXYZ.")))))</f>
        <v>0</v>
      </c>
      <c r="AP981" t="b">
        <f>IF(Metadata!C981="",FALSE,TRUE)</f>
        <v>0</v>
      </c>
      <c r="AQ981" t="b">
        <f>IF(Metadata!D981="",FALSE,TRUE)</f>
        <v>0</v>
      </c>
      <c r="AR981" t="b">
        <f ca="1">OR(AND(IF(Metadata!E981="",FALSE,TRUE),OR(EXACT(Metadata!E981,"not collected"),EXACT(Metadata!E981,"not provided"),EXACT(Metadata!E981,"restricted access"))),AND(IF(Metadata!E981="",FALSE,TRUE),AND(AND(IFERROR(INT(LEFT(Metadata!E981,4))&gt;1900,FALSE),IFERROR(INT(LEFT(Metadata!E981,4))&lt;=YEAR(NOW()),FALSE)), OR(MID(Metadata!E981,5,1)="", AND(AND(MID(Metadata!E981,5,1)="-",IFERROR(INT(MID(Metadata!E981,6,1))&gt;=0,FALSE),IFERROR(INT(MID(Metadata!E981,6,1))&lt;=1,FALSE),NOT(MID(Metadata!E981,7,1)=""),IFERROR(INT(MID(Metadata!E981,6,2))&gt;=1,FALSE),IFERROR(INT(MID(Metadata!E981,6,2))&lt;=12,FALSE)), OR(MID(Metadata!E981,8,1)="", AND(AND(MID(Metadata!E981,8,1)="-",IFERROR(INT(MID(Metadata!E981,9,1))&gt;=0,FALSE),IFERROR(INT(MID(Metadata!E981,9,1))&lt;=3,FALSE),NOT(MID(Metadata!E981,10,1)=""),IFERROR(INT(MID(Metadata!E981,9,2))&gt;=1,FALSE),IFERROR(INT(MID(Metadata!E981,9,2))&lt;=31,FALSE)), OR(MID(Metadata!E981,11,1)="", AND(AND(MID(Metadata!E981,11,1)=" ",IFERROR(INT(MID(Metadata!E981,12,1))&gt;=0,FALSE),IFERROR(INT(MID(Metadata!E981,12,1))&lt;=2,FALSE),NOT(MID(Metadata!E981,13,1)=""),IFERROR(INT(MID(Metadata!E981,12,2))&gt;=0,FALSE),IFERROR(INT(MID(Metadata!E981,12,2))&lt;=23,FALSE)), OR(MID(Metadata!E981,14,1)="", AND(AND(MID(Metadata!E981,14,1)=":",IFERROR(INT(MID(Metadata!E981,15,1))&gt;=0,FALSE),IFERROR(INT(MID(Metadata!E981,15,1))&lt;=5,FALSE),NOT(MID(Metadata!E981,16,1)=""),IFERROR(INT(MID(Metadata!E981,15,2))&gt;=0,FALSE),IFERROR(INT(MID(Metadata!E981,15,2))&lt;=59,FALSE)), OR(MID(Metadata!E981,17,1)="", AND(AND(MID(Metadata!E981,17,1)=":",IFERROR(INT(MID(Metadata!E981,18,1))&gt;=0,FALSE),IFERROR(INT(MID(Metadata!E981,18,1))&lt;=5,FALSE),NOT(MID(Metadata!E981,19,1)=""),IFERROR(INT(MID(Metadata!E981,18,2))&gt;=0,FALSE),IFERROR(INT(MID(Metadata!E981,18,2))&lt;=59,FALSE)), LEN(Metadata!E981)&lt;=19)))))))))))))</f>
        <v>0</v>
      </c>
      <c r="AS981" t="b">
        <f>IF(Metadata!F981="",FALSE,TRUE)</f>
        <v>0</v>
      </c>
      <c r="AT981" t="b">
        <f>OR(AND(IF(Metadata!G981="",FALSE,TRUE),OR(EXACT(Metadata!G981,"not collected"),EXACT(Metadata!G981,"not provided"))),AND(IF(Metadata!G981="",FALSE,TRUE),OR(EXACT(Metadata!G981,"TRUE"),EXACT(Metadata!G981,"FALSE"))))</f>
        <v>0</v>
      </c>
      <c r="AU981" t="b">
        <f>OR(AND(IF(Metadata!H981="",FALSE,TRUE),OR(EXACT(Metadata!H981,"not collected"),EXACT(Metadata!H981,"not provided"),EXACT(Metadata!H981,"restricted access"))),AND(IF(Metadata!H981="",FALSE,ISNUMBER(VALUE(Metadata!H981))),Metadata!H981&gt;=-413))</f>
        <v>0</v>
      </c>
      <c r="AV981" t="b">
        <f>AND(IF(Metadata!I981="",FALSE,TRUE),EXACT(Metadata!I981,"meters"))</f>
        <v>0</v>
      </c>
      <c r="AW981" t="b">
        <f>AND(IF(Metadata!J981="",FALSE,TRUE),EXACT(Metadata!J981,"free-living"))</f>
        <v>0</v>
      </c>
      <c r="AX981" t="b">
        <f>AND(IF(Metadata!K981="",FALSE,TRUE),OR(EXACT(Metadata!K981,"saline"),EXACT(Metadata!K981,"non-saline")))</f>
        <v>0</v>
      </c>
      <c r="AY981" t="b">
        <f>AND(IF(Metadata!L981="",FALSE,TRUE),OR(EXACT(Metadata!L981,"sub-surface (non-saline)"),EXACT(Metadata!L981,"surface (non-saline)"),EXACT(Metadata!L981,"water (non-saline)"),EXACT(Metadata!L981,"soil (non-saline)"),EXACT(Metadata!L981,"aerosol (non-saline)"),EXACT(Metadata!L981,"sediment (non-saline)"),EXACT(Metadata!L981,"surface (saline)"),EXACT(Metadata!L981,"water (saline)"),EXACT(Metadata!L981,"hypersaline (saline)"),EXACT(Metadata!L981,"aerosol (saline)"),EXACT(Metadata!L981,"sediment (saline)")))</f>
        <v>0</v>
      </c>
      <c r="AZ981" t="b">
        <f>IF(Metadata!M981="",FALSE,TRUE)</f>
        <v>0</v>
      </c>
      <c r="BA981" t="b">
        <f>IF(Metadata!N981="",FALSE,TRUE)</f>
        <v>0</v>
      </c>
      <c r="BB981" t="b">
        <f>IF(Metadata!O981="",FALSE,TRUE)</f>
        <v>0</v>
      </c>
      <c r="BC981" t="b">
        <f>AND(IF(Metadata!P981="",FALSE,TRUE),OR(EXACT(Metadata!P981,"air"),EXACT(Metadata!P981,"microbial mat/biofilm"),EXACT(Metadata!P981,"misc environment"),EXACT(Metadata!P981,"sediment"),EXACT(Metadata!P981,"soil"),EXACT(Metadata!P981,"wastewater/sludge"),EXACT(Metadata!P981,"water")))</f>
        <v>0</v>
      </c>
      <c r="BD981" t="b">
        <f>IF(Metadata!Q981="",FALSE,TRUE)</f>
        <v>0</v>
      </c>
      <c r="BE981" t="b">
        <f>IF(Metadata!R981="",FALSE,TRUE)</f>
        <v>0</v>
      </c>
      <c r="BF981" t="b">
        <f>OR(AND(IF(Metadata!S981="",FALSE,TRUE),OR(EXACT(Metadata!S981,"not collected"),EXACT(Metadata!S981,"not provided"),EXACT(Metadata!S981,"restricted access"))),AND(IF(Metadata!S981="",FALSE,ISNUMBER(VALUE(Metadata!S981))),Metadata!S981&gt;=-90,Metadata!S981&lt;=90))</f>
        <v>0</v>
      </c>
      <c r="BG981" t="b">
        <f>AND(IF(Metadata!T981="",FALSE,TRUE),EXACT(Metadata!T981,"Decimal degrees"))</f>
        <v>0</v>
      </c>
      <c r="BH981" t="b">
        <f>OR(AND(IF(Metadata!U981="",FALSE,TRUE),OR(EXACT(Metadata!U981,"not applicable"),EXACT(Metadata!U981,"not collected"))),IF(Metadata!U981="",FALSE,TRUE))</f>
        <v>0</v>
      </c>
      <c r="BI981" t="b">
        <f>OR(AND(IF(Metadata!V981="",FALSE,TRUE),OR(EXACT(Metadata!V981,"not collected"),EXACT(Metadata!V981,"not provided"),EXACT(Metadata!V981,"restricted access"))),AND(IF(Metadata!V981="",FALSE,ISNUMBER(VALUE(Metadata!V981))),Metadata!V981&gt;=-180,Metadata!V981&lt;=180))</f>
        <v>0</v>
      </c>
      <c r="BJ981" t="b">
        <f>AND(IF(Metadata!W981="",FALSE,TRUE),EXACT(Metadata!W981,"Decimal degrees"))</f>
        <v>0</v>
      </c>
      <c r="BK981" t="b">
        <f>IF(Metadata!X981="",FALSE,TRUE)</f>
        <v>0</v>
      </c>
      <c r="BL981" t="b">
        <f>OR(AND(IF(Metadata!Y981="",FALSE,TRUE),OR(EXACT(Metadata!Y981,"not collected"),EXACT(Metadata!Y981,"not provided"),EXACT(Metadata!Y981,"restricted access"))),AND(IF(Metadata!Y981="",FALSE,TRUE),OR(EXACT(Metadata!Y981,"TRUE"),EXACT(Metadata!Y981,"FALSE"))))</f>
        <v>0</v>
      </c>
      <c r="BM981" t="b">
        <f>OR(AND(IF(Metadata!Z981="",FALSE,TRUE),EXACT(Metadata!Z981,"not applicable")),AND(IF(Metadata!Z981="",FALSE,TRUE),OR(EXACT(Metadata!Z981,"beer"),EXACT(Metadata!Z981,"cheese"),EXACT(Metadata!Z981,"fresh water"),EXACT(Metadata!Z981,"marine sediment"),EXACT(Metadata!Z981,"sea water"),EXACT(Metadata!Z981,"sediment"),EXACT(Metadata!Z981,"soil"),EXACT(Metadata!Z981,"waste water"))))</f>
        <v>0</v>
      </c>
      <c r="BN981" t="b">
        <f>AND(IF(Metadata!AA981="",FALSE,TRUE),EXACT(Metadata!AA981,"metagenome"))</f>
        <v>0</v>
      </c>
      <c r="BO981" t="b">
        <f>AND(IF(Metadata!AB981="",FALSE,TRUE),EXACT(Metadata!AB981,"256318"))</f>
        <v>0</v>
      </c>
      <c r="BP981" t="b">
        <f>IF(Metadata!AC981="",FALSE,TRUE)</f>
        <v>0</v>
      </c>
      <c r="BQ981" t="b">
        <f>IF(Metadata!AD981="",FALSE,TRUE)</f>
        <v>0</v>
      </c>
    </row>
    <row r="982" spans="1:69" x14ac:dyDescent="0.2">
      <c r="A982" s="4" t="e">
        <f ca="1">IF(B982=" "," ",HYPERLINK(CONCATENATE("#metadata!",ADDRESS(INDEX($AJ$2:$AJ$1001,MATCH(ROWS($AH$2:AH982),$AH$2:$AH$1001,0),0),2)),INDEX($AM$2:$AM$1001,MATCH(ROWS($AH$2:AH982),$AH$2:$AH$1001,0),0)))</f>
        <v>#N/A</v>
      </c>
      <c r="B982" s="5" t="e">
        <f ca="1">IF(OR(INDEX($AI$2:$AI$1001,MATCH(ROWS($AH$2:AH982),$AH$2:$AH$1001,0),1)&gt;=100000,INDEX($AO$1005:$BQ$1005,1,MATCH(COLUMNS($AO$1006:AO1006),$AO$1006:$BQ$1006,0))&gt;=100000), " ",IF(INDEX($AO$2:$BQ$1001,MATCH(ROWS($AH$2:AH982),$AH$2:$AH$1001,0),MATCH(COLUMNS($AO$1006:AO1006),$AO$1006:$BQ$1006,0)), HYPERLINK("#",""), HYPERLINK(CONCATENATE("#Metadata!", ADDRESS(INDEX($AJ$2:$AJ$1001,MATCH(ROWS($AH$2:AH982),$AH$2:$AH$1001,0),0), INDEX($AO$1004:$BQ$1004,1,MATCH(COLUMNS($AO$1006:AO1006),$AO$1006:$BQ$1006,0)))),"Fix")))</f>
        <v>#N/A</v>
      </c>
      <c r="C982" s="5" t="e">
        <f ca="1">IF(OR(INDEX($AI$2:$AI$1001,MATCH(ROWS($AH$2:AH982),$AH$2:$AH$1001,0),1)&gt;=100000,INDEX($AO$1005:$BQ$1005,1,MATCH(COLUMNS($AO$1006:AP1006),$AO$1006:$BQ$1006,0))&gt;=100000), " ",IF(INDEX($AO$2:$BQ$1001,MATCH(ROWS($AH$2:AH982),$AH$2:$AH$1001,0),MATCH(COLUMNS($AO$1006:AP1006),$AO$1006:$BQ$1006,0)), HYPERLINK("#",""), HYPERLINK(CONCATENATE("#Metadata!", ADDRESS(INDEX($AJ$2:$AJ$1001,MATCH(ROWS($AH$2:AH982),$AH$2:$AH$1001,0),0), INDEX($AO$1004:$BQ$1004,1,MATCH(COLUMNS($AO$1006:AP1006),$AO$1006:$BQ$1006,0)))),"Fix")))</f>
        <v>#N/A</v>
      </c>
      <c r="D982" s="5" t="e">
        <f ca="1">IF(OR(INDEX($AI$2:$AI$1001,MATCH(ROWS($AH$2:AH982),$AH$2:$AH$1001,0),1)&gt;=100000,INDEX($AO$1005:$BQ$1005,1,MATCH(COLUMNS($AO$1006:AQ1006),$AO$1006:$BQ$1006,0))&gt;=100000), " ",IF(INDEX($AO$2:$BQ$1001,MATCH(ROWS($AH$2:AH982),$AH$2:$AH$1001,0),MATCH(COLUMNS($AO$1006:AQ1006),$AO$1006:$BQ$1006,0)), HYPERLINK("#",""), HYPERLINK(CONCATENATE("#Metadata!", ADDRESS(INDEX($AJ$2:$AJ$1001,MATCH(ROWS($AH$2:AH982),$AH$2:$AH$1001,0),0), INDEX($AO$1004:$BQ$1004,1,MATCH(COLUMNS($AO$1006:AQ1006),$AO$1006:$BQ$1006,0)))),"Fix")))</f>
        <v>#N/A</v>
      </c>
      <c r="E982" s="5" t="e">
        <f ca="1">IF(OR(INDEX($AI$2:$AI$1001,MATCH(ROWS($AH$2:AH982),$AH$2:$AH$1001,0),1)&gt;=100000,INDEX($AO$1005:$BQ$1005,1,MATCH(COLUMNS($AO$1006:AR1006),$AO$1006:$BQ$1006,0))&gt;=100000), " ",IF(INDEX($AO$2:$BQ$1001,MATCH(ROWS($AH$2:AH982),$AH$2:$AH$1001,0),MATCH(COLUMNS($AO$1006:AR1006),$AO$1006:$BQ$1006,0)), HYPERLINK("#",""), HYPERLINK(CONCATENATE("#Metadata!", ADDRESS(INDEX($AJ$2:$AJ$1001,MATCH(ROWS($AH$2:AH982),$AH$2:$AH$1001,0),0), INDEX($AO$1004:$BQ$1004,1,MATCH(COLUMNS($AO$1006:AR1006),$AO$1006:$BQ$1006,0)))),"Fix")))</f>
        <v>#N/A</v>
      </c>
      <c r="F982" s="5" t="e">
        <f ca="1">IF(OR(INDEX($AI$2:$AI$1001,MATCH(ROWS($AH$2:AH982),$AH$2:$AH$1001,0),1)&gt;=100000,INDEX($AO$1005:$BQ$1005,1,MATCH(COLUMNS($AO$1006:AS1006),$AO$1006:$BQ$1006,0))&gt;=100000), " ",IF(INDEX($AO$2:$BQ$1001,MATCH(ROWS($AH$2:AH982),$AH$2:$AH$1001,0),MATCH(COLUMNS($AO$1006:AS1006),$AO$1006:$BQ$1006,0)), HYPERLINK("#",""), HYPERLINK(CONCATENATE("#Metadata!", ADDRESS(INDEX($AJ$2:$AJ$1001,MATCH(ROWS($AH$2:AH982),$AH$2:$AH$1001,0),0), INDEX($AO$1004:$BQ$1004,1,MATCH(COLUMNS($AO$1006:AS1006),$AO$1006:$BQ$1006,0)))),"Fix")))</f>
        <v>#N/A</v>
      </c>
      <c r="G982" s="5" t="e">
        <f ca="1">IF(OR(INDEX($AI$2:$AI$1001,MATCH(ROWS($AH$2:AH982),$AH$2:$AH$1001,0),1)&gt;=100000,INDEX($AO$1005:$BQ$1005,1,MATCH(COLUMNS($AO$1006:AT1006),$AO$1006:$BQ$1006,0))&gt;=100000), " ",IF(INDEX($AO$2:$BQ$1001,MATCH(ROWS($AH$2:AH982),$AH$2:$AH$1001,0),MATCH(COLUMNS($AO$1006:AT1006),$AO$1006:$BQ$1006,0)), HYPERLINK("#",""), HYPERLINK(CONCATENATE("#Metadata!", ADDRESS(INDEX($AJ$2:$AJ$1001,MATCH(ROWS($AH$2:AH982),$AH$2:$AH$1001,0),0), INDEX($AO$1004:$BQ$1004,1,MATCH(COLUMNS($AO$1006:AT1006),$AO$1006:$BQ$1006,0)))),"Fix")))</f>
        <v>#N/A</v>
      </c>
      <c r="H982" s="5" t="e">
        <f ca="1">IF(OR(INDEX($AI$2:$AI$1001,MATCH(ROWS($AH$2:AH982),$AH$2:$AH$1001,0),1)&gt;=100000,INDEX($AO$1005:$BQ$1005,1,MATCH(COLUMNS($AO$1006:AU1006),$AO$1006:$BQ$1006,0))&gt;=100000), " ",IF(INDEX($AO$2:$BQ$1001,MATCH(ROWS($AH$2:AH982),$AH$2:$AH$1001,0),MATCH(COLUMNS($AO$1006:AU1006),$AO$1006:$BQ$1006,0)), HYPERLINK("#",""), HYPERLINK(CONCATENATE("#Metadata!", ADDRESS(INDEX($AJ$2:$AJ$1001,MATCH(ROWS($AH$2:AH982),$AH$2:$AH$1001,0),0), INDEX($AO$1004:$BQ$1004,1,MATCH(COLUMNS($AO$1006:AU1006),$AO$1006:$BQ$1006,0)))),"Fix")))</f>
        <v>#N/A</v>
      </c>
      <c r="I982" s="5" t="e">
        <f ca="1">IF(OR(INDEX($AI$2:$AI$1001,MATCH(ROWS($AH$2:AH982),$AH$2:$AH$1001,0),1)&gt;=100000,INDEX($AO$1005:$BQ$1005,1,MATCH(COLUMNS($AO$1006:AV1006),$AO$1006:$BQ$1006,0))&gt;=100000), " ",IF(INDEX($AO$2:$BQ$1001,MATCH(ROWS($AH$2:AH982),$AH$2:$AH$1001,0),MATCH(COLUMNS($AO$1006:AV1006),$AO$1006:$BQ$1006,0)), HYPERLINK("#",""), HYPERLINK(CONCATENATE("#Metadata!", ADDRESS(INDEX($AJ$2:$AJ$1001,MATCH(ROWS($AH$2:AH982),$AH$2:$AH$1001,0),0), INDEX($AO$1004:$BQ$1004,1,MATCH(COLUMNS($AO$1006:AV1006),$AO$1006:$BQ$1006,0)))),"Fix")))</f>
        <v>#N/A</v>
      </c>
      <c r="J982" s="5" t="e">
        <f ca="1">IF(OR(INDEX($AI$2:$AI$1001,MATCH(ROWS($AH$2:AH982),$AH$2:$AH$1001,0),1)&gt;=100000,INDEX($AO$1005:$BQ$1005,1,MATCH(COLUMNS($AO$1006:AW1006),$AO$1006:$BQ$1006,0))&gt;=100000), " ",IF(INDEX($AO$2:$BQ$1001,MATCH(ROWS($AH$2:AH982),$AH$2:$AH$1001,0),MATCH(COLUMNS($AO$1006:AW1006),$AO$1006:$BQ$1006,0)), HYPERLINK("#",""), HYPERLINK(CONCATENATE("#Metadata!", ADDRESS(INDEX($AJ$2:$AJ$1001,MATCH(ROWS($AH$2:AH982),$AH$2:$AH$1001,0),0), INDEX($AO$1004:$BQ$1004,1,MATCH(COLUMNS($AO$1006:AW1006),$AO$1006:$BQ$1006,0)))),"Fix")))</f>
        <v>#N/A</v>
      </c>
      <c r="K982" s="5" t="e">
        <f ca="1">IF(OR(INDEX($AI$2:$AI$1001,MATCH(ROWS($AH$2:AH982),$AH$2:$AH$1001,0),1)&gt;=100000,INDEX($AO$1005:$BQ$1005,1,MATCH(COLUMNS($AO$1006:AX1006),$AO$1006:$BQ$1006,0))&gt;=100000), " ",IF(INDEX($AO$2:$BQ$1001,MATCH(ROWS($AH$2:AH982),$AH$2:$AH$1001,0),MATCH(COLUMNS($AO$1006:AX1006),$AO$1006:$BQ$1006,0)), HYPERLINK("#",""), HYPERLINK(CONCATENATE("#Metadata!", ADDRESS(INDEX($AJ$2:$AJ$1001,MATCH(ROWS($AH$2:AH982),$AH$2:$AH$1001,0),0), INDEX($AO$1004:$BQ$1004,1,MATCH(COLUMNS($AO$1006:AX1006),$AO$1006:$BQ$1006,0)))),"Fix")))</f>
        <v>#N/A</v>
      </c>
      <c r="L982" s="5" t="e">
        <f ca="1">IF(OR(INDEX($AI$2:$AI$1001,MATCH(ROWS($AH$2:AH982),$AH$2:$AH$1001,0),1)&gt;=100000,INDEX($AO$1005:$BQ$1005,1,MATCH(COLUMNS($AO$1006:AY1006),$AO$1006:$BQ$1006,0))&gt;=100000), " ",IF(INDEX($AO$2:$BQ$1001,MATCH(ROWS($AH$2:AH982),$AH$2:$AH$1001,0),MATCH(COLUMNS($AO$1006:AY1006),$AO$1006:$BQ$1006,0)), HYPERLINK("#",""), HYPERLINK(CONCATENATE("#Metadata!", ADDRESS(INDEX($AJ$2:$AJ$1001,MATCH(ROWS($AH$2:AH982),$AH$2:$AH$1001,0),0), INDEX($AO$1004:$BQ$1004,1,MATCH(COLUMNS($AO$1006:AY1006),$AO$1006:$BQ$1006,0)))),"Fix")))</f>
        <v>#N/A</v>
      </c>
      <c r="M982" s="5" t="e">
        <f ca="1">IF(OR(INDEX($AI$2:$AI$1001,MATCH(ROWS($AH$2:AH982),$AH$2:$AH$1001,0),1)&gt;=100000,INDEX($AO$1005:$BQ$1005,1,MATCH(COLUMNS($AO$1006:AZ1006),$AO$1006:$BQ$1006,0))&gt;=100000), " ",IF(INDEX($AO$2:$BQ$1001,MATCH(ROWS($AH$2:AH982),$AH$2:$AH$1001,0),MATCH(COLUMNS($AO$1006:AZ1006),$AO$1006:$BQ$1006,0)), HYPERLINK("#",""), HYPERLINK(CONCATENATE("#Metadata!", ADDRESS(INDEX($AJ$2:$AJ$1001,MATCH(ROWS($AH$2:AH982),$AH$2:$AH$1001,0),0), INDEX($AO$1004:$BQ$1004,1,MATCH(COLUMNS($AO$1006:AZ1006),$AO$1006:$BQ$1006,0)))),"Fix")))</f>
        <v>#N/A</v>
      </c>
      <c r="N982" s="5" t="e">
        <f ca="1">IF(OR(INDEX($AI$2:$AI$1001,MATCH(ROWS($AH$2:AH982),$AH$2:$AH$1001,0),1)&gt;=100000,INDEX($AO$1005:$BQ$1005,1,MATCH(COLUMNS($AO$1006:BA1006),$AO$1006:$BQ$1006,0))&gt;=100000), " ",IF(INDEX($AO$2:$BQ$1001,MATCH(ROWS($AH$2:AH982),$AH$2:$AH$1001,0),MATCH(COLUMNS($AO$1006:BA1006),$AO$1006:$BQ$1006,0)), HYPERLINK("#",""), HYPERLINK(CONCATENATE("#Metadata!", ADDRESS(INDEX($AJ$2:$AJ$1001,MATCH(ROWS($AH$2:AH982),$AH$2:$AH$1001,0),0), INDEX($AO$1004:$BQ$1004,1,MATCH(COLUMNS($AO$1006:BA1006),$AO$1006:$BQ$1006,0)))),"Fix")))</f>
        <v>#N/A</v>
      </c>
      <c r="O982" s="5" t="e">
        <f ca="1">IF(OR(INDEX($AI$2:$AI$1001,MATCH(ROWS($AH$2:AH982),$AH$2:$AH$1001,0),1)&gt;=100000,INDEX($AO$1005:$BQ$1005,1,MATCH(COLUMNS($AO$1006:BB1006),$AO$1006:$BQ$1006,0))&gt;=100000), " ",IF(INDEX($AO$2:$BQ$1001,MATCH(ROWS($AH$2:AH982),$AH$2:$AH$1001,0),MATCH(COLUMNS($AO$1006:BB1006),$AO$1006:$BQ$1006,0)), HYPERLINK("#",""), HYPERLINK(CONCATENATE("#Metadata!", ADDRESS(INDEX($AJ$2:$AJ$1001,MATCH(ROWS($AH$2:AH982),$AH$2:$AH$1001,0),0), INDEX($AO$1004:$BQ$1004,1,MATCH(COLUMNS($AO$1006:BB1006),$AO$1006:$BQ$1006,0)))),"Fix")))</f>
        <v>#N/A</v>
      </c>
      <c r="P982" s="5" t="e">
        <f ca="1">IF(OR(INDEX($AI$2:$AI$1001,MATCH(ROWS($AH$2:AH982),$AH$2:$AH$1001,0),1)&gt;=100000,INDEX($AO$1005:$BQ$1005,1,MATCH(COLUMNS($AO$1006:BC1006),$AO$1006:$BQ$1006,0))&gt;=100000), " ",IF(INDEX($AO$2:$BQ$1001,MATCH(ROWS($AH$2:AH982),$AH$2:$AH$1001,0),MATCH(COLUMNS($AO$1006:BC1006),$AO$1006:$BQ$1006,0)), HYPERLINK("#",""), HYPERLINK(CONCATENATE("#Metadata!", ADDRESS(INDEX($AJ$2:$AJ$1001,MATCH(ROWS($AH$2:AH982),$AH$2:$AH$1001,0),0), INDEX($AO$1004:$BQ$1004,1,MATCH(COLUMNS($AO$1006:BC1006),$AO$1006:$BQ$1006,0)))),"Fix")))</f>
        <v>#N/A</v>
      </c>
      <c r="Q982" s="5" t="e">
        <f ca="1">IF(OR(INDEX($AI$2:$AI$1001,MATCH(ROWS($AH$2:AH982),$AH$2:$AH$1001,0),1)&gt;=100000,INDEX($AO$1005:$BQ$1005,1,MATCH(COLUMNS($AO$1006:BD1006),$AO$1006:$BQ$1006,0))&gt;=100000), " ",IF(INDEX($AO$2:$BQ$1001,MATCH(ROWS($AH$2:AH982),$AH$2:$AH$1001,0),MATCH(COLUMNS($AO$1006:BD1006),$AO$1006:$BQ$1006,0)), HYPERLINK("#",""), HYPERLINK(CONCATENATE("#Metadata!", ADDRESS(INDEX($AJ$2:$AJ$1001,MATCH(ROWS($AH$2:AH982),$AH$2:$AH$1001,0),0), INDEX($AO$1004:$BQ$1004,1,MATCH(COLUMNS($AO$1006:BD1006),$AO$1006:$BQ$1006,0)))),"Fix")))</f>
        <v>#N/A</v>
      </c>
      <c r="R982" s="5" t="e">
        <f ca="1">IF(OR(INDEX($AI$2:$AI$1001,MATCH(ROWS($AH$2:AH982),$AH$2:$AH$1001,0),1)&gt;=100000,INDEX($AO$1005:$BQ$1005,1,MATCH(COLUMNS($AO$1006:BE1006),$AO$1006:$BQ$1006,0))&gt;=100000), " ",IF(INDEX($AO$2:$BQ$1001,MATCH(ROWS($AH$2:AH982),$AH$2:$AH$1001,0),MATCH(COLUMNS($AO$1006:BE1006),$AO$1006:$BQ$1006,0)), HYPERLINK("#",""), HYPERLINK(CONCATENATE("#Metadata!", ADDRESS(INDEX($AJ$2:$AJ$1001,MATCH(ROWS($AH$2:AH982),$AH$2:$AH$1001,0),0), INDEX($AO$1004:$BQ$1004,1,MATCH(COLUMNS($AO$1006:BE1006),$AO$1006:$BQ$1006,0)))),"Fix")))</f>
        <v>#N/A</v>
      </c>
      <c r="S982" s="5" t="e">
        <f ca="1">IF(OR(INDEX($AI$2:$AI$1001,MATCH(ROWS($AH$2:AH982),$AH$2:$AH$1001,0),1)&gt;=100000,INDEX($AO$1005:$BQ$1005,1,MATCH(COLUMNS($AO$1006:BF1006),$AO$1006:$BQ$1006,0))&gt;=100000), " ",IF(INDEX($AO$2:$BQ$1001,MATCH(ROWS($AH$2:AH982),$AH$2:$AH$1001,0),MATCH(COLUMNS($AO$1006:BF1006),$AO$1006:$BQ$1006,0)), HYPERLINK("#",""), HYPERLINK(CONCATENATE("#Metadata!", ADDRESS(INDEX($AJ$2:$AJ$1001,MATCH(ROWS($AH$2:AH982),$AH$2:$AH$1001,0),0), INDEX($AO$1004:$BQ$1004,1,MATCH(COLUMNS($AO$1006:BF1006),$AO$1006:$BQ$1006,0)))),"Fix")))</f>
        <v>#N/A</v>
      </c>
      <c r="T982" s="5" t="e">
        <f ca="1">IF(OR(INDEX($AI$2:$AI$1001,MATCH(ROWS($AH$2:AH982),$AH$2:$AH$1001,0),1)&gt;=100000,INDEX($AO$1005:$BQ$1005,1,MATCH(COLUMNS($AO$1006:BG1006),$AO$1006:$BQ$1006,0))&gt;=100000), " ",IF(INDEX($AO$2:$BQ$1001,MATCH(ROWS($AH$2:AH982),$AH$2:$AH$1001,0),MATCH(COLUMNS($AO$1006:BG1006),$AO$1006:$BQ$1006,0)), HYPERLINK("#",""), HYPERLINK(CONCATENATE("#Metadata!", ADDRESS(INDEX($AJ$2:$AJ$1001,MATCH(ROWS($AH$2:AH982),$AH$2:$AH$1001,0),0), INDEX($AO$1004:$BQ$1004,1,MATCH(COLUMNS($AO$1006:BG1006),$AO$1006:$BQ$1006,0)))),"Fix")))</f>
        <v>#N/A</v>
      </c>
      <c r="U982" s="5" t="e">
        <f ca="1">IF(OR(INDEX($AI$2:$AI$1001,MATCH(ROWS($AH$2:AH982),$AH$2:$AH$1001,0),1)&gt;=100000,INDEX($AO$1005:$BQ$1005,1,MATCH(COLUMNS($AO$1006:BH1006),$AO$1006:$BQ$1006,0))&gt;=100000), " ",IF(INDEX($AO$2:$BQ$1001,MATCH(ROWS($AH$2:AH982),$AH$2:$AH$1001,0),MATCH(COLUMNS($AO$1006:BH1006),$AO$1006:$BQ$1006,0)), HYPERLINK("#",""), HYPERLINK(CONCATENATE("#Metadata!", ADDRESS(INDEX($AJ$2:$AJ$1001,MATCH(ROWS($AH$2:AH982),$AH$2:$AH$1001,0),0), INDEX($AO$1004:$BQ$1004,1,MATCH(COLUMNS($AO$1006:BH1006),$AO$1006:$BQ$1006,0)))),"Fix")))</f>
        <v>#N/A</v>
      </c>
      <c r="V982" s="5" t="e">
        <f ca="1">IF(OR(INDEX($AI$2:$AI$1001,MATCH(ROWS($AH$2:AH982),$AH$2:$AH$1001,0),1)&gt;=100000,INDEX($AO$1005:$BQ$1005,1,MATCH(COLUMNS($AO$1006:BI1006),$AO$1006:$BQ$1006,0))&gt;=100000), " ",IF(INDEX($AO$2:$BQ$1001,MATCH(ROWS($AH$2:AH982),$AH$2:$AH$1001,0),MATCH(COLUMNS($AO$1006:BI1006),$AO$1006:$BQ$1006,0)), HYPERLINK("#",""), HYPERLINK(CONCATENATE("#Metadata!", ADDRESS(INDEX($AJ$2:$AJ$1001,MATCH(ROWS($AH$2:AH982),$AH$2:$AH$1001,0),0), INDEX($AO$1004:$BQ$1004,1,MATCH(COLUMNS($AO$1006:BI1006),$AO$1006:$BQ$1006,0)))),"Fix")))</f>
        <v>#N/A</v>
      </c>
      <c r="W982" s="5" t="e">
        <f ca="1">IF(OR(INDEX($AI$2:$AI$1001,MATCH(ROWS($AH$2:AH982),$AH$2:$AH$1001,0),1)&gt;=100000,INDEX($AO$1005:$BQ$1005,1,MATCH(COLUMNS($AO$1006:BJ1006),$AO$1006:$BQ$1006,0))&gt;=100000), " ",IF(INDEX($AO$2:$BQ$1001,MATCH(ROWS($AH$2:AH982),$AH$2:$AH$1001,0),MATCH(COLUMNS($AO$1006:BJ1006),$AO$1006:$BQ$1006,0)), HYPERLINK("#",""), HYPERLINK(CONCATENATE("#Metadata!", ADDRESS(INDEX($AJ$2:$AJ$1001,MATCH(ROWS($AH$2:AH982),$AH$2:$AH$1001,0),0), INDEX($AO$1004:$BQ$1004,1,MATCH(COLUMNS($AO$1006:BJ1006),$AO$1006:$BQ$1006,0)))),"Fix")))</f>
        <v>#N/A</v>
      </c>
      <c r="X982" s="5" t="e">
        <f ca="1">IF(OR(INDEX($AI$2:$AI$1001,MATCH(ROWS($AH$2:AH982),$AH$2:$AH$1001,0),1)&gt;=100000,INDEX($AO$1005:$BQ$1005,1,MATCH(COLUMNS($AO$1006:BK1006),$AO$1006:$BQ$1006,0))&gt;=100000), " ",IF(INDEX($AO$2:$BQ$1001,MATCH(ROWS($AH$2:AH982),$AH$2:$AH$1001,0),MATCH(COLUMNS($AO$1006:BK1006),$AO$1006:$BQ$1006,0)), HYPERLINK("#",""), HYPERLINK(CONCATENATE("#Metadata!", ADDRESS(INDEX($AJ$2:$AJ$1001,MATCH(ROWS($AH$2:AH982),$AH$2:$AH$1001,0),0), INDEX($AO$1004:$BQ$1004,1,MATCH(COLUMNS($AO$1006:BK1006),$AO$1006:$BQ$1006,0)))),"Fix")))</f>
        <v>#N/A</v>
      </c>
      <c r="Y982" s="5" t="e">
        <f ca="1">IF(OR(INDEX($AI$2:$AI$1001,MATCH(ROWS($AH$2:AH982),$AH$2:$AH$1001,0),1)&gt;=100000,INDEX($AO$1005:$BQ$1005,1,MATCH(COLUMNS($AO$1006:BL1006),$AO$1006:$BQ$1006,0))&gt;=100000), " ",IF(INDEX($AO$2:$BQ$1001,MATCH(ROWS($AH$2:AH982),$AH$2:$AH$1001,0),MATCH(COLUMNS($AO$1006:BL1006),$AO$1006:$BQ$1006,0)), HYPERLINK("#",""), HYPERLINK(CONCATENATE("#Metadata!", ADDRESS(INDEX($AJ$2:$AJ$1001,MATCH(ROWS($AH$2:AH982),$AH$2:$AH$1001,0),0), INDEX($AO$1004:$BQ$1004,1,MATCH(COLUMNS($AO$1006:BL1006),$AO$1006:$BQ$1006,0)))),"Fix")))</f>
        <v>#N/A</v>
      </c>
      <c r="Z982" s="5" t="e">
        <f ca="1">IF(OR(INDEX($AI$2:$AI$1001,MATCH(ROWS($AH$2:AH982),$AH$2:$AH$1001,0),1)&gt;=100000,INDEX($AO$1005:$BQ$1005,1,MATCH(COLUMNS($AO$1006:BM1006),$AO$1006:$BQ$1006,0))&gt;=100000), " ",IF(INDEX($AO$2:$BQ$1001,MATCH(ROWS($AH$2:AH982),$AH$2:$AH$1001,0),MATCH(COLUMNS($AO$1006:BM1006),$AO$1006:$BQ$1006,0)), HYPERLINK("#",""), HYPERLINK(CONCATENATE("#Metadata!", ADDRESS(INDEX($AJ$2:$AJ$1001,MATCH(ROWS($AH$2:AH982),$AH$2:$AH$1001,0),0), INDEX($AO$1004:$BQ$1004,1,MATCH(COLUMNS($AO$1006:BM1006),$AO$1006:$BQ$1006,0)))),"Fix")))</f>
        <v>#N/A</v>
      </c>
      <c r="AA982" s="5" t="e">
        <f ca="1">IF(OR(INDEX($AI$2:$AI$1001,MATCH(ROWS($AH$2:AH982),$AH$2:$AH$1001,0),1)&gt;=100000,INDEX($AO$1005:$BQ$1005,1,MATCH(COLUMNS($AO$1006:BN1006),$AO$1006:$BQ$1006,0))&gt;=100000), " ",IF(INDEX($AO$2:$BQ$1001,MATCH(ROWS($AH$2:AH982),$AH$2:$AH$1001,0),MATCH(COLUMNS($AO$1006:BN1006),$AO$1006:$BQ$1006,0)), HYPERLINK("#",""), HYPERLINK(CONCATENATE("#Metadata!", ADDRESS(INDEX($AJ$2:$AJ$1001,MATCH(ROWS($AH$2:AH982),$AH$2:$AH$1001,0),0), INDEX($AO$1004:$BQ$1004,1,MATCH(COLUMNS($AO$1006:BN1006),$AO$1006:$BQ$1006,0)))),"Fix")))</f>
        <v>#N/A</v>
      </c>
      <c r="AB982" s="5" t="e">
        <f ca="1">IF(OR(INDEX($AI$2:$AI$1001,MATCH(ROWS($AH$2:AH982),$AH$2:$AH$1001,0),1)&gt;=100000,INDEX($AO$1005:$BQ$1005,1,MATCH(COLUMNS($AO$1006:BO1006),$AO$1006:$BQ$1006,0))&gt;=100000), " ",IF(INDEX($AO$2:$BQ$1001,MATCH(ROWS($AH$2:AH982),$AH$2:$AH$1001,0),MATCH(COLUMNS($AO$1006:BO1006),$AO$1006:$BQ$1006,0)), HYPERLINK("#",""), HYPERLINK(CONCATENATE("#Metadata!", ADDRESS(INDEX($AJ$2:$AJ$1001,MATCH(ROWS($AH$2:AH982),$AH$2:$AH$1001,0),0), INDEX($AO$1004:$BQ$1004,1,MATCH(COLUMNS($AO$1006:BO1006),$AO$1006:$BQ$1006,0)))),"Fix")))</f>
        <v>#N/A</v>
      </c>
      <c r="AC982" s="5" t="e">
        <f ca="1">IF(OR(INDEX($AI$2:$AI$1001,MATCH(ROWS($AH$2:AH982),$AH$2:$AH$1001,0),1)&gt;=100000,INDEX($AO$1005:$BQ$1005,1,MATCH(COLUMNS($AO$1006:BP1006),$AO$1006:$BQ$1006,0))&gt;=100000), " ",IF(INDEX($AO$2:$BQ$1001,MATCH(ROWS($AH$2:AH982),$AH$2:$AH$1001,0),MATCH(COLUMNS($AO$1006:BP1006),$AO$1006:$BQ$1006,0)), HYPERLINK("#",""), HYPERLINK(CONCATENATE("#Metadata!", ADDRESS(INDEX($AJ$2:$AJ$1001,MATCH(ROWS($AH$2:AH982),$AH$2:$AH$1001,0),0), INDEX($AO$1004:$BQ$1004,1,MATCH(COLUMNS($AO$1006:BP1006),$AO$1006:$BQ$1006,0)))),"Fix")))</f>
        <v>#N/A</v>
      </c>
      <c r="AD982" s="5" t="e">
        <f ca="1">IF(OR(INDEX($AI$2:$AI$1001,MATCH(ROWS($AH$2:AH982),$AH$2:$AH$1001,0),1)&gt;=100000,INDEX($AO$1005:$BQ$1005,1,MATCH(COLUMNS($AO$1006:BQ1006),$AO$1006:$BQ$1006,0))&gt;=100000), " ",IF(INDEX($AO$2:$BQ$1001,MATCH(ROWS($AH$2:AH982),$AH$2:$AH$1001,0),MATCH(COLUMNS($AO$1006:BQ1006),$AO$1006:$BQ$1006,0)), HYPERLINK("#",""), HYPERLINK(CONCATENATE("#Metadata!", ADDRESS(INDEX($AJ$2:$AJ$1001,MATCH(ROWS($AH$2:AH982),$AH$2:$AH$1001,0),0), INDEX($AO$1004:$BQ$1004,1,MATCH(COLUMNS($AO$1006:BQ1006),$AO$1006:$BQ$1006,0)))),"Fix")))</f>
        <v>#REF!</v>
      </c>
      <c r="AH982">
        <f ca="1"/>
        <v>979</v>
      </c>
      <c r="AI982">
        <v>100982</v>
      </c>
      <c r="AJ982">
        <v>982</v>
      </c>
      <c r="AK982" t="b">
        <f t="shared" si="15"/>
        <v>1</v>
      </c>
      <c r="AL982" t="b">
        <f>COUNTBLANK(Metadata!B982:AD982)=COLUMNS(Metadata!B982:AD982)</f>
        <v>1</v>
      </c>
      <c r="AM982" t="str">
        <v/>
      </c>
      <c r="AO982" t="b">
        <f ca="1">AND(IF(Metadata!B982="",FALSE,TRUE),COUNTIF(Metadata!B:B, Metadata!B982) = 1,NOT(ISERROR(SUMPRODUCT(SEARCH(MID(Metadata!B982,ROW(INDIRECT("1:"&amp;LEN(Metadata!B982))), 1),"0123456789abcdefghijklmnopqrstuvwxyzABCDEFGHIJKLMNOPQRSTUVWXYZ.")))))</f>
        <v>0</v>
      </c>
      <c r="AP982" t="b">
        <f>IF(Metadata!C982="",FALSE,TRUE)</f>
        <v>0</v>
      </c>
      <c r="AQ982" t="b">
        <f>IF(Metadata!D982="",FALSE,TRUE)</f>
        <v>0</v>
      </c>
      <c r="AR982" t="b">
        <f ca="1">OR(AND(IF(Metadata!E982="",FALSE,TRUE),OR(EXACT(Metadata!E982,"not collected"),EXACT(Metadata!E982,"not provided"),EXACT(Metadata!E982,"restricted access"))),AND(IF(Metadata!E982="",FALSE,TRUE),AND(AND(IFERROR(INT(LEFT(Metadata!E982,4))&gt;1900,FALSE),IFERROR(INT(LEFT(Metadata!E982,4))&lt;=YEAR(NOW()),FALSE)), OR(MID(Metadata!E982,5,1)="", AND(AND(MID(Metadata!E982,5,1)="-",IFERROR(INT(MID(Metadata!E982,6,1))&gt;=0,FALSE),IFERROR(INT(MID(Metadata!E982,6,1))&lt;=1,FALSE),NOT(MID(Metadata!E982,7,1)=""),IFERROR(INT(MID(Metadata!E982,6,2))&gt;=1,FALSE),IFERROR(INT(MID(Metadata!E982,6,2))&lt;=12,FALSE)), OR(MID(Metadata!E982,8,1)="", AND(AND(MID(Metadata!E982,8,1)="-",IFERROR(INT(MID(Metadata!E982,9,1))&gt;=0,FALSE),IFERROR(INT(MID(Metadata!E982,9,1))&lt;=3,FALSE),NOT(MID(Metadata!E982,10,1)=""),IFERROR(INT(MID(Metadata!E982,9,2))&gt;=1,FALSE),IFERROR(INT(MID(Metadata!E982,9,2))&lt;=31,FALSE)), OR(MID(Metadata!E982,11,1)="", AND(AND(MID(Metadata!E982,11,1)=" ",IFERROR(INT(MID(Metadata!E982,12,1))&gt;=0,FALSE),IFERROR(INT(MID(Metadata!E982,12,1))&lt;=2,FALSE),NOT(MID(Metadata!E982,13,1)=""),IFERROR(INT(MID(Metadata!E982,12,2))&gt;=0,FALSE),IFERROR(INT(MID(Metadata!E982,12,2))&lt;=23,FALSE)), OR(MID(Metadata!E982,14,1)="", AND(AND(MID(Metadata!E982,14,1)=":",IFERROR(INT(MID(Metadata!E982,15,1))&gt;=0,FALSE),IFERROR(INT(MID(Metadata!E982,15,1))&lt;=5,FALSE),NOT(MID(Metadata!E982,16,1)=""),IFERROR(INT(MID(Metadata!E982,15,2))&gt;=0,FALSE),IFERROR(INT(MID(Metadata!E982,15,2))&lt;=59,FALSE)), OR(MID(Metadata!E982,17,1)="", AND(AND(MID(Metadata!E982,17,1)=":",IFERROR(INT(MID(Metadata!E982,18,1))&gt;=0,FALSE),IFERROR(INT(MID(Metadata!E982,18,1))&lt;=5,FALSE),NOT(MID(Metadata!E982,19,1)=""),IFERROR(INT(MID(Metadata!E982,18,2))&gt;=0,FALSE),IFERROR(INT(MID(Metadata!E982,18,2))&lt;=59,FALSE)), LEN(Metadata!E982)&lt;=19)))))))))))))</f>
        <v>0</v>
      </c>
      <c r="AS982" t="b">
        <f>IF(Metadata!F982="",FALSE,TRUE)</f>
        <v>0</v>
      </c>
      <c r="AT982" t="b">
        <f>OR(AND(IF(Metadata!G982="",FALSE,TRUE),OR(EXACT(Metadata!G982,"not collected"),EXACT(Metadata!G982,"not provided"))),AND(IF(Metadata!G982="",FALSE,TRUE),OR(EXACT(Metadata!G982,"TRUE"),EXACT(Metadata!G982,"FALSE"))))</f>
        <v>0</v>
      </c>
      <c r="AU982" t="b">
        <f>OR(AND(IF(Metadata!H982="",FALSE,TRUE),OR(EXACT(Metadata!H982,"not collected"),EXACT(Metadata!H982,"not provided"),EXACT(Metadata!H982,"restricted access"))),AND(IF(Metadata!H982="",FALSE,ISNUMBER(VALUE(Metadata!H982))),Metadata!H982&gt;=-413))</f>
        <v>0</v>
      </c>
      <c r="AV982" t="b">
        <f>AND(IF(Metadata!I982="",FALSE,TRUE),EXACT(Metadata!I982,"meters"))</f>
        <v>0</v>
      </c>
      <c r="AW982" t="b">
        <f>AND(IF(Metadata!J982="",FALSE,TRUE),EXACT(Metadata!J982,"free-living"))</f>
        <v>0</v>
      </c>
      <c r="AX982" t="b">
        <f>AND(IF(Metadata!K982="",FALSE,TRUE),OR(EXACT(Metadata!K982,"saline"),EXACT(Metadata!K982,"non-saline")))</f>
        <v>0</v>
      </c>
      <c r="AY982" t="b">
        <f>AND(IF(Metadata!L982="",FALSE,TRUE),OR(EXACT(Metadata!L982,"sub-surface (non-saline)"),EXACT(Metadata!L982,"surface (non-saline)"),EXACT(Metadata!L982,"water (non-saline)"),EXACT(Metadata!L982,"soil (non-saline)"),EXACT(Metadata!L982,"aerosol (non-saline)"),EXACT(Metadata!L982,"sediment (non-saline)"),EXACT(Metadata!L982,"surface (saline)"),EXACT(Metadata!L982,"water (saline)"),EXACT(Metadata!L982,"hypersaline (saline)"),EXACT(Metadata!L982,"aerosol (saline)"),EXACT(Metadata!L982,"sediment (saline)")))</f>
        <v>0</v>
      </c>
      <c r="AZ982" t="b">
        <f>IF(Metadata!M982="",FALSE,TRUE)</f>
        <v>0</v>
      </c>
      <c r="BA982" t="b">
        <f>IF(Metadata!N982="",FALSE,TRUE)</f>
        <v>0</v>
      </c>
      <c r="BB982" t="b">
        <f>IF(Metadata!O982="",FALSE,TRUE)</f>
        <v>0</v>
      </c>
      <c r="BC982" t="b">
        <f>AND(IF(Metadata!P982="",FALSE,TRUE),OR(EXACT(Metadata!P982,"air"),EXACT(Metadata!P982,"microbial mat/biofilm"),EXACT(Metadata!P982,"misc environment"),EXACT(Metadata!P982,"sediment"),EXACT(Metadata!P982,"soil"),EXACT(Metadata!P982,"wastewater/sludge"),EXACT(Metadata!P982,"water")))</f>
        <v>0</v>
      </c>
      <c r="BD982" t="b">
        <f>IF(Metadata!Q982="",FALSE,TRUE)</f>
        <v>0</v>
      </c>
      <c r="BE982" t="b">
        <f>IF(Metadata!R982="",FALSE,TRUE)</f>
        <v>0</v>
      </c>
      <c r="BF982" t="b">
        <f>OR(AND(IF(Metadata!S982="",FALSE,TRUE),OR(EXACT(Metadata!S982,"not collected"),EXACT(Metadata!S982,"not provided"),EXACT(Metadata!S982,"restricted access"))),AND(IF(Metadata!S982="",FALSE,ISNUMBER(VALUE(Metadata!S982))),Metadata!S982&gt;=-90,Metadata!S982&lt;=90))</f>
        <v>0</v>
      </c>
      <c r="BG982" t="b">
        <f>AND(IF(Metadata!T982="",FALSE,TRUE),EXACT(Metadata!T982,"Decimal degrees"))</f>
        <v>0</v>
      </c>
      <c r="BH982" t="b">
        <f>OR(AND(IF(Metadata!U982="",FALSE,TRUE),OR(EXACT(Metadata!U982,"not applicable"),EXACT(Metadata!U982,"not collected"))),IF(Metadata!U982="",FALSE,TRUE))</f>
        <v>0</v>
      </c>
      <c r="BI982" t="b">
        <f>OR(AND(IF(Metadata!V982="",FALSE,TRUE),OR(EXACT(Metadata!V982,"not collected"),EXACT(Metadata!V982,"not provided"),EXACT(Metadata!V982,"restricted access"))),AND(IF(Metadata!V982="",FALSE,ISNUMBER(VALUE(Metadata!V982))),Metadata!V982&gt;=-180,Metadata!V982&lt;=180))</f>
        <v>0</v>
      </c>
      <c r="BJ982" t="b">
        <f>AND(IF(Metadata!W982="",FALSE,TRUE),EXACT(Metadata!W982,"Decimal degrees"))</f>
        <v>0</v>
      </c>
      <c r="BK982" t="b">
        <f>IF(Metadata!X982="",FALSE,TRUE)</f>
        <v>0</v>
      </c>
      <c r="BL982" t="b">
        <f>OR(AND(IF(Metadata!Y982="",FALSE,TRUE),OR(EXACT(Metadata!Y982,"not collected"),EXACT(Metadata!Y982,"not provided"),EXACT(Metadata!Y982,"restricted access"))),AND(IF(Metadata!Y982="",FALSE,TRUE),OR(EXACT(Metadata!Y982,"TRUE"),EXACT(Metadata!Y982,"FALSE"))))</f>
        <v>0</v>
      </c>
      <c r="BM982" t="b">
        <f>OR(AND(IF(Metadata!Z982="",FALSE,TRUE),EXACT(Metadata!Z982,"not applicable")),AND(IF(Metadata!Z982="",FALSE,TRUE),OR(EXACT(Metadata!Z982,"beer"),EXACT(Metadata!Z982,"cheese"),EXACT(Metadata!Z982,"fresh water"),EXACT(Metadata!Z982,"marine sediment"),EXACT(Metadata!Z982,"sea water"),EXACT(Metadata!Z982,"sediment"),EXACT(Metadata!Z982,"soil"),EXACT(Metadata!Z982,"waste water"))))</f>
        <v>0</v>
      </c>
      <c r="BN982" t="b">
        <f>AND(IF(Metadata!AA982="",FALSE,TRUE),EXACT(Metadata!AA982,"metagenome"))</f>
        <v>0</v>
      </c>
      <c r="BO982" t="b">
        <f>AND(IF(Metadata!AB982="",FALSE,TRUE),EXACT(Metadata!AB982,"256318"))</f>
        <v>0</v>
      </c>
      <c r="BP982" t="b">
        <f>IF(Metadata!AC982="",FALSE,TRUE)</f>
        <v>0</v>
      </c>
      <c r="BQ982" t="b">
        <f>IF(Metadata!AD982="",FALSE,TRUE)</f>
        <v>0</v>
      </c>
    </row>
    <row r="983" spans="1:69" x14ac:dyDescent="0.2">
      <c r="A983" s="4" t="e">
        <f ca="1">IF(B983=" "," ",HYPERLINK(CONCATENATE("#metadata!",ADDRESS(INDEX($AJ$2:$AJ$1001,MATCH(ROWS($AH$2:AH983),$AH$2:$AH$1001,0),0),2)),INDEX($AM$2:$AM$1001,MATCH(ROWS($AH$2:AH983),$AH$2:$AH$1001,0),0)))</f>
        <v>#N/A</v>
      </c>
      <c r="B983" s="5" t="e">
        <f ca="1">IF(OR(INDEX($AI$2:$AI$1001,MATCH(ROWS($AH$2:AH983),$AH$2:$AH$1001,0),1)&gt;=100000,INDEX($AO$1005:$BQ$1005,1,MATCH(COLUMNS($AO$1006:AO1006),$AO$1006:$BQ$1006,0))&gt;=100000), " ",IF(INDEX($AO$2:$BQ$1001,MATCH(ROWS($AH$2:AH983),$AH$2:$AH$1001,0),MATCH(COLUMNS($AO$1006:AO1006),$AO$1006:$BQ$1006,0)), HYPERLINK("#",""), HYPERLINK(CONCATENATE("#Metadata!", ADDRESS(INDEX($AJ$2:$AJ$1001,MATCH(ROWS($AH$2:AH983),$AH$2:$AH$1001,0),0), INDEX($AO$1004:$BQ$1004,1,MATCH(COLUMNS($AO$1006:AO1006),$AO$1006:$BQ$1006,0)))),"Fix")))</f>
        <v>#N/A</v>
      </c>
      <c r="C983" s="5" t="e">
        <f ca="1">IF(OR(INDEX($AI$2:$AI$1001,MATCH(ROWS($AH$2:AH983),$AH$2:$AH$1001,0),1)&gt;=100000,INDEX($AO$1005:$BQ$1005,1,MATCH(COLUMNS($AO$1006:AP1006),$AO$1006:$BQ$1006,0))&gt;=100000), " ",IF(INDEX($AO$2:$BQ$1001,MATCH(ROWS($AH$2:AH983),$AH$2:$AH$1001,0),MATCH(COLUMNS($AO$1006:AP1006),$AO$1006:$BQ$1006,0)), HYPERLINK("#",""), HYPERLINK(CONCATENATE("#Metadata!", ADDRESS(INDEX($AJ$2:$AJ$1001,MATCH(ROWS($AH$2:AH983),$AH$2:$AH$1001,0),0), INDEX($AO$1004:$BQ$1004,1,MATCH(COLUMNS($AO$1006:AP1006),$AO$1006:$BQ$1006,0)))),"Fix")))</f>
        <v>#N/A</v>
      </c>
      <c r="D983" s="5" t="e">
        <f ca="1">IF(OR(INDEX($AI$2:$AI$1001,MATCH(ROWS($AH$2:AH983),$AH$2:$AH$1001,0),1)&gt;=100000,INDEX($AO$1005:$BQ$1005,1,MATCH(COLUMNS($AO$1006:AQ1006),$AO$1006:$BQ$1006,0))&gt;=100000), " ",IF(INDEX($AO$2:$BQ$1001,MATCH(ROWS($AH$2:AH983),$AH$2:$AH$1001,0),MATCH(COLUMNS($AO$1006:AQ1006),$AO$1006:$BQ$1006,0)), HYPERLINK("#",""), HYPERLINK(CONCATENATE("#Metadata!", ADDRESS(INDEX($AJ$2:$AJ$1001,MATCH(ROWS($AH$2:AH983),$AH$2:$AH$1001,0),0), INDEX($AO$1004:$BQ$1004,1,MATCH(COLUMNS($AO$1006:AQ1006),$AO$1006:$BQ$1006,0)))),"Fix")))</f>
        <v>#N/A</v>
      </c>
      <c r="E983" s="5" t="e">
        <f ca="1">IF(OR(INDEX($AI$2:$AI$1001,MATCH(ROWS($AH$2:AH983),$AH$2:$AH$1001,0),1)&gt;=100000,INDEX($AO$1005:$BQ$1005,1,MATCH(COLUMNS($AO$1006:AR1006),$AO$1006:$BQ$1006,0))&gt;=100000), " ",IF(INDEX($AO$2:$BQ$1001,MATCH(ROWS($AH$2:AH983),$AH$2:$AH$1001,0),MATCH(COLUMNS($AO$1006:AR1006),$AO$1006:$BQ$1006,0)), HYPERLINK("#",""), HYPERLINK(CONCATENATE("#Metadata!", ADDRESS(INDEX($AJ$2:$AJ$1001,MATCH(ROWS($AH$2:AH983),$AH$2:$AH$1001,0),0), INDEX($AO$1004:$BQ$1004,1,MATCH(COLUMNS($AO$1006:AR1006),$AO$1006:$BQ$1006,0)))),"Fix")))</f>
        <v>#N/A</v>
      </c>
      <c r="F983" s="5" t="e">
        <f ca="1">IF(OR(INDEX($AI$2:$AI$1001,MATCH(ROWS($AH$2:AH983),$AH$2:$AH$1001,0),1)&gt;=100000,INDEX($AO$1005:$BQ$1005,1,MATCH(COLUMNS($AO$1006:AS1006),$AO$1006:$BQ$1006,0))&gt;=100000), " ",IF(INDEX($AO$2:$BQ$1001,MATCH(ROWS($AH$2:AH983),$AH$2:$AH$1001,0),MATCH(COLUMNS($AO$1006:AS1006),$AO$1006:$BQ$1006,0)), HYPERLINK("#",""), HYPERLINK(CONCATENATE("#Metadata!", ADDRESS(INDEX($AJ$2:$AJ$1001,MATCH(ROWS($AH$2:AH983),$AH$2:$AH$1001,0),0), INDEX($AO$1004:$BQ$1004,1,MATCH(COLUMNS($AO$1006:AS1006),$AO$1006:$BQ$1006,0)))),"Fix")))</f>
        <v>#N/A</v>
      </c>
      <c r="G983" s="5" t="e">
        <f ca="1">IF(OR(INDEX($AI$2:$AI$1001,MATCH(ROWS($AH$2:AH983),$AH$2:$AH$1001,0),1)&gt;=100000,INDEX($AO$1005:$BQ$1005,1,MATCH(COLUMNS($AO$1006:AT1006),$AO$1006:$BQ$1006,0))&gt;=100000), " ",IF(INDEX($AO$2:$BQ$1001,MATCH(ROWS($AH$2:AH983),$AH$2:$AH$1001,0),MATCH(COLUMNS($AO$1006:AT1006),$AO$1006:$BQ$1006,0)), HYPERLINK("#",""), HYPERLINK(CONCATENATE("#Metadata!", ADDRESS(INDEX($AJ$2:$AJ$1001,MATCH(ROWS($AH$2:AH983),$AH$2:$AH$1001,0),0), INDEX($AO$1004:$BQ$1004,1,MATCH(COLUMNS($AO$1006:AT1006),$AO$1006:$BQ$1006,0)))),"Fix")))</f>
        <v>#N/A</v>
      </c>
      <c r="H983" s="5" t="e">
        <f ca="1">IF(OR(INDEX($AI$2:$AI$1001,MATCH(ROWS($AH$2:AH983),$AH$2:$AH$1001,0),1)&gt;=100000,INDEX($AO$1005:$BQ$1005,1,MATCH(COLUMNS($AO$1006:AU1006),$AO$1006:$BQ$1006,0))&gt;=100000), " ",IF(INDEX($AO$2:$BQ$1001,MATCH(ROWS($AH$2:AH983),$AH$2:$AH$1001,0),MATCH(COLUMNS($AO$1006:AU1006),$AO$1006:$BQ$1006,0)), HYPERLINK("#",""), HYPERLINK(CONCATENATE("#Metadata!", ADDRESS(INDEX($AJ$2:$AJ$1001,MATCH(ROWS($AH$2:AH983),$AH$2:$AH$1001,0),0), INDEX($AO$1004:$BQ$1004,1,MATCH(COLUMNS($AO$1006:AU1006),$AO$1006:$BQ$1006,0)))),"Fix")))</f>
        <v>#N/A</v>
      </c>
      <c r="I983" s="5" t="e">
        <f ca="1">IF(OR(INDEX($AI$2:$AI$1001,MATCH(ROWS($AH$2:AH983),$AH$2:$AH$1001,0),1)&gt;=100000,INDEX($AO$1005:$BQ$1005,1,MATCH(COLUMNS($AO$1006:AV1006),$AO$1006:$BQ$1006,0))&gt;=100000), " ",IF(INDEX($AO$2:$BQ$1001,MATCH(ROWS($AH$2:AH983),$AH$2:$AH$1001,0),MATCH(COLUMNS($AO$1006:AV1006),$AO$1006:$BQ$1006,0)), HYPERLINK("#",""), HYPERLINK(CONCATENATE("#Metadata!", ADDRESS(INDEX($AJ$2:$AJ$1001,MATCH(ROWS($AH$2:AH983),$AH$2:$AH$1001,0),0), INDEX($AO$1004:$BQ$1004,1,MATCH(COLUMNS($AO$1006:AV1006),$AO$1006:$BQ$1006,0)))),"Fix")))</f>
        <v>#N/A</v>
      </c>
      <c r="J983" s="5" t="e">
        <f ca="1">IF(OR(INDEX($AI$2:$AI$1001,MATCH(ROWS($AH$2:AH983),$AH$2:$AH$1001,0),1)&gt;=100000,INDEX($AO$1005:$BQ$1005,1,MATCH(COLUMNS($AO$1006:AW1006),$AO$1006:$BQ$1006,0))&gt;=100000), " ",IF(INDEX($AO$2:$BQ$1001,MATCH(ROWS($AH$2:AH983),$AH$2:$AH$1001,0),MATCH(COLUMNS($AO$1006:AW1006),$AO$1006:$BQ$1006,0)), HYPERLINK("#",""), HYPERLINK(CONCATENATE("#Metadata!", ADDRESS(INDEX($AJ$2:$AJ$1001,MATCH(ROWS($AH$2:AH983),$AH$2:$AH$1001,0),0), INDEX($AO$1004:$BQ$1004,1,MATCH(COLUMNS($AO$1006:AW1006),$AO$1006:$BQ$1006,0)))),"Fix")))</f>
        <v>#N/A</v>
      </c>
      <c r="K983" s="5" t="e">
        <f ca="1">IF(OR(INDEX($AI$2:$AI$1001,MATCH(ROWS($AH$2:AH983),$AH$2:$AH$1001,0),1)&gt;=100000,INDEX($AO$1005:$BQ$1005,1,MATCH(COLUMNS($AO$1006:AX1006),$AO$1006:$BQ$1006,0))&gt;=100000), " ",IF(INDEX($AO$2:$BQ$1001,MATCH(ROWS($AH$2:AH983),$AH$2:$AH$1001,0),MATCH(COLUMNS($AO$1006:AX1006),$AO$1006:$BQ$1006,0)), HYPERLINK("#",""), HYPERLINK(CONCATENATE("#Metadata!", ADDRESS(INDEX($AJ$2:$AJ$1001,MATCH(ROWS($AH$2:AH983),$AH$2:$AH$1001,0),0), INDEX($AO$1004:$BQ$1004,1,MATCH(COLUMNS($AO$1006:AX1006),$AO$1006:$BQ$1006,0)))),"Fix")))</f>
        <v>#N/A</v>
      </c>
      <c r="L983" s="5" t="e">
        <f ca="1">IF(OR(INDEX($AI$2:$AI$1001,MATCH(ROWS($AH$2:AH983),$AH$2:$AH$1001,0),1)&gt;=100000,INDEX($AO$1005:$BQ$1005,1,MATCH(COLUMNS($AO$1006:AY1006),$AO$1006:$BQ$1006,0))&gt;=100000), " ",IF(INDEX($AO$2:$BQ$1001,MATCH(ROWS($AH$2:AH983),$AH$2:$AH$1001,0),MATCH(COLUMNS($AO$1006:AY1006),$AO$1006:$BQ$1006,0)), HYPERLINK("#",""), HYPERLINK(CONCATENATE("#Metadata!", ADDRESS(INDEX($AJ$2:$AJ$1001,MATCH(ROWS($AH$2:AH983),$AH$2:$AH$1001,0),0), INDEX($AO$1004:$BQ$1004,1,MATCH(COLUMNS($AO$1006:AY1006),$AO$1006:$BQ$1006,0)))),"Fix")))</f>
        <v>#N/A</v>
      </c>
      <c r="M983" s="5" t="e">
        <f ca="1">IF(OR(INDEX($AI$2:$AI$1001,MATCH(ROWS($AH$2:AH983),$AH$2:$AH$1001,0),1)&gt;=100000,INDEX($AO$1005:$BQ$1005,1,MATCH(COLUMNS($AO$1006:AZ1006),$AO$1006:$BQ$1006,0))&gt;=100000), " ",IF(INDEX($AO$2:$BQ$1001,MATCH(ROWS($AH$2:AH983),$AH$2:$AH$1001,0),MATCH(COLUMNS($AO$1006:AZ1006),$AO$1006:$BQ$1006,0)), HYPERLINK("#",""), HYPERLINK(CONCATENATE("#Metadata!", ADDRESS(INDEX($AJ$2:$AJ$1001,MATCH(ROWS($AH$2:AH983),$AH$2:$AH$1001,0),0), INDEX($AO$1004:$BQ$1004,1,MATCH(COLUMNS($AO$1006:AZ1006),$AO$1006:$BQ$1006,0)))),"Fix")))</f>
        <v>#N/A</v>
      </c>
      <c r="N983" s="5" t="e">
        <f ca="1">IF(OR(INDEX($AI$2:$AI$1001,MATCH(ROWS($AH$2:AH983),$AH$2:$AH$1001,0),1)&gt;=100000,INDEX($AO$1005:$BQ$1005,1,MATCH(COLUMNS($AO$1006:BA1006),$AO$1006:$BQ$1006,0))&gt;=100000), " ",IF(INDEX($AO$2:$BQ$1001,MATCH(ROWS($AH$2:AH983),$AH$2:$AH$1001,0),MATCH(COLUMNS($AO$1006:BA1006),$AO$1006:$BQ$1006,0)), HYPERLINK("#",""), HYPERLINK(CONCATENATE("#Metadata!", ADDRESS(INDEX($AJ$2:$AJ$1001,MATCH(ROWS($AH$2:AH983),$AH$2:$AH$1001,0),0), INDEX($AO$1004:$BQ$1004,1,MATCH(COLUMNS($AO$1006:BA1006),$AO$1006:$BQ$1006,0)))),"Fix")))</f>
        <v>#N/A</v>
      </c>
      <c r="O983" s="5" t="e">
        <f ca="1">IF(OR(INDEX($AI$2:$AI$1001,MATCH(ROWS($AH$2:AH983),$AH$2:$AH$1001,0),1)&gt;=100000,INDEX($AO$1005:$BQ$1005,1,MATCH(COLUMNS($AO$1006:BB1006),$AO$1006:$BQ$1006,0))&gt;=100000), " ",IF(INDEX($AO$2:$BQ$1001,MATCH(ROWS($AH$2:AH983),$AH$2:$AH$1001,0),MATCH(COLUMNS($AO$1006:BB1006),$AO$1006:$BQ$1006,0)), HYPERLINK("#",""), HYPERLINK(CONCATENATE("#Metadata!", ADDRESS(INDEX($AJ$2:$AJ$1001,MATCH(ROWS($AH$2:AH983),$AH$2:$AH$1001,0),0), INDEX($AO$1004:$BQ$1004,1,MATCH(COLUMNS($AO$1006:BB1006),$AO$1006:$BQ$1006,0)))),"Fix")))</f>
        <v>#N/A</v>
      </c>
      <c r="P983" s="5" t="e">
        <f ca="1">IF(OR(INDEX($AI$2:$AI$1001,MATCH(ROWS($AH$2:AH983),$AH$2:$AH$1001,0),1)&gt;=100000,INDEX($AO$1005:$BQ$1005,1,MATCH(COLUMNS($AO$1006:BC1006),$AO$1006:$BQ$1006,0))&gt;=100000), " ",IF(INDEX($AO$2:$BQ$1001,MATCH(ROWS($AH$2:AH983),$AH$2:$AH$1001,0),MATCH(COLUMNS($AO$1006:BC1006),$AO$1006:$BQ$1006,0)), HYPERLINK("#",""), HYPERLINK(CONCATENATE("#Metadata!", ADDRESS(INDEX($AJ$2:$AJ$1001,MATCH(ROWS($AH$2:AH983),$AH$2:$AH$1001,0),0), INDEX($AO$1004:$BQ$1004,1,MATCH(COLUMNS($AO$1006:BC1006),$AO$1006:$BQ$1006,0)))),"Fix")))</f>
        <v>#N/A</v>
      </c>
      <c r="Q983" s="5" t="e">
        <f ca="1">IF(OR(INDEX($AI$2:$AI$1001,MATCH(ROWS($AH$2:AH983),$AH$2:$AH$1001,0),1)&gt;=100000,INDEX($AO$1005:$BQ$1005,1,MATCH(COLUMNS($AO$1006:BD1006),$AO$1006:$BQ$1006,0))&gt;=100000), " ",IF(INDEX($AO$2:$BQ$1001,MATCH(ROWS($AH$2:AH983),$AH$2:$AH$1001,0),MATCH(COLUMNS($AO$1006:BD1006),$AO$1006:$BQ$1006,0)), HYPERLINK("#",""), HYPERLINK(CONCATENATE("#Metadata!", ADDRESS(INDEX($AJ$2:$AJ$1001,MATCH(ROWS($AH$2:AH983),$AH$2:$AH$1001,0),0), INDEX($AO$1004:$BQ$1004,1,MATCH(COLUMNS($AO$1006:BD1006),$AO$1006:$BQ$1006,0)))),"Fix")))</f>
        <v>#N/A</v>
      </c>
      <c r="R983" s="5" t="e">
        <f ca="1">IF(OR(INDEX($AI$2:$AI$1001,MATCH(ROWS($AH$2:AH983),$AH$2:$AH$1001,0),1)&gt;=100000,INDEX($AO$1005:$BQ$1005,1,MATCH(COLUMNS($AO$1006:BE1006),$AO$1006:$BQ$1006,0))&gt;=100000), " ",IF(INDEX($AO$2:$BQ$1001,MATCH(ROWS($AH$2:AH983),$AH$2:$AH$1001,0),MATCH(COLUMNS($AO$1006:BE1006),$AO$1006:$BQ$1006,0)), HYPERLINK("#",""), HYPERLINK(CONCATENATE("#Metadata!", ADDRESS(INDEX($AJ$2:$AJ$1001,MATCH(ROWS($AH$2:AH983),$AH$2:$AH$1001,0),0), INDEX($AO$1004:$BQ$1004,1,MATCH(COLUMNS($AO$1006:BE1006),$AO$1006:$BQ$1006,0)))),"Fix")))</f>
        <v>#N/A</v>
      </c>
      <c r="S983" s="5" t="e">
        <f ca="1">IF(OR(INDEX($AI$2:$AI$1001,MATCH(ROWS($AH$2:AH983),$AH$2:$AH$1001,0),1)&gt;=100000,INDEX($AO$1005:$BQ$1005,1,MATCH(COLUMNS($AO$1006:BF1006),$AO$1006:$BQ$1006,0))&gt;=100000), " ",IF(INDEX($AO$2:$BQ$1001,MATCH(ROWS($AH$2:AH983),$AH$2:$AH$1001,0),MATCH(COLUMNS($AO$1006:BF1006),$AO$1006:$BQ$1006,0)), HYPERLINK("#",""), HYPERLINK(CONCATENATE("#Metadata!", ADDRESS(INDEX($AJ$2:$AJ$1001,MATCH(ROWS($AH$2:AH983),$AH$2:$AH$1001,0),0), INDEX($AO$1004:$BQ$1004,1,MATCH(COLUMNS($AO$1006:BF1006),$AO$1006:$BQ$1006,0)))),"Fix")))</f>
        <v>#N/A</v>
      </c>
      <c r="T983" s="5" t="e">
        <f ca="1">IF(OR(INDEX($AI$2:$AI$1001,MATCH(ROWS($AH$2:AH983),$AH$2:$AH$1001,0),1)&gt;=100000,INDEX($AO$1005:$BQ$1005,1,MATCH(COLUMNS($AO$1006:BG1006),$AO$1006:$BQ$1006,0))&gt;=100000), " ",IF(INDEX($AO$2:$BQ$1001,MATCH(ROWS($AH$2:AH983),$AH$2:$AH$1001,0),MATCH(COLUMNS($AO$1006:BG1006),$AO$1006:$BQ$1006,0)), HYPERLINK("#",""), HYPERLINK(CONCATENATE("#Metadata!", ADDRESS(INDEX($AJ$2:$AJ$1001,MATCH(ROWS($AH$2:AH983),$AH$2:$AH$1001,0),0), INDEX($AO$1004:$BQ$1004,1,MATCH(COLUMNS($AO$1006:BG1006),$AO$1006:$BQ$1006,0)))),"Fix")))</f>
        <v>#N/A</v>
      </c>
      <c r="U983" s="5" t="e">
        <f ca="1">IF(OR(INDEX($AI$2:$AI$1001,MATCH(ROWS($AH$2:AH983),$AH$2:$AH$1001,0),1)&gt;=100000,INDEX($AO$1005:$BQ$1005,1,MATCH(COLUMNS($AO$1006:BH1006),$AO$1006:$BQ$1006,0))&gt;=100000), " ",IF(INDEX($AO$2:$BQ$1001,MATCH(ROWS($AH$2:AH983),$AH$2:$AH$1001,0),MATCH(COLUMNS($AO$1006:BH1006),$AO$1006:$BQ$1006,0)), HYPERLINK("#",""), HYPERLINK(CONCATENATE("#Metadata!", ADDRESS(INDEX($AJ$2:$AJ$1001,MATCH(ROWS($AH$2:AH983),$AH$2:$AH$1001,0),0), INDEX($AO$1004:$BQ$1004,1,MATCH(COLUMNS($AO$1006:BH1006),$AO$1006:$BQ$1006,0)))),"Fix")))</f>
        <v>#N/A</v>
      </c>
      <c r="V983" s="5" t="e">
        <f ca="1">IF(OR(INDEX($AI$2:$AI$1001,MATCH(ROWS($AH$2:AH983),$AH$2:$AH$1001,0),1)&gt;=100000,INDEX($AO$1005:$BQ$1005,1,MATCH(COLUMNS($AO$1006:BI1006),$AO$1006:$BQ$1006,0))&gt;=100000), " ",IF(INDEX($AO$2:$BQ$1001,MATCH(ROWS($AH$2:AH983),$AH$2:$AH$1001,0),MATCH(COLUMNS($AO$1006:BI1006),$AO$1006:$BQ$1006,0)), HYPERLINK("#",""), HYPERLINK(CONCATENATE("#Metadata!", ADDRESS(INDEX($AJ$2:$AJ$1001,MATCH(ROWS($AH$2:AH983),$AH$2:$AH$1001,0),0), INDEX($AO$1004:$BQ$1004,1,MATCH(COLUMNS($AO$1006:BI1006),$AO$1006:$BQ$1006,0)))),"Fix")))</f>
        <v>#N/A</v>
      </c>
      <c r="W983" s="5" t="e">
        <f ca="1">IF(OR(INDEX($AI$2:$AI$1001,MATCH(ROWS($AH$2:AH983),$AH$2:$AH$1001,0),1)&gt;=100000,INDEX($AO$1005:$BQ$1005,1,MATCH(COLUMNS($AO$1006:BJ1006),$AO$1006:$BQ$1006,0))&gt;=100000), " ",IF(INDEX($AO$2:$BQ$1001,MATCH(ROWS($AH$2:AH983),$AH$2:$AH$1001,0),MATCH(COLUMNS($AO$1006:BJ1006),$AO$1006:$BQ$1006,0)), HYPERLINK("#",""), HYPERLINK(CONCATENATE("#Metadata!", ADDRESS(INDEX($AJ$2:$AJ$1001,MATCH(ROWS($AH$2:AH983),$AH$2:$AH$1001,0),0), INDEX($AO$1004:$BQ$1004,1,MATCH(COLUMNS($AO$1006:BJ1006),$AO$1006:$BQ$1006,0)))),"Fix")))</f>
        <v>#N/A</v>
      </c>
      <c r="X983" s="5" t="e">
        <f ca="1">IF(OR(INDEX($AI$2:$AI$1001,MATCH(ROWS($AH$2:AH983),$AH$2:$AH$1001,0),1)&gt;=100000,INDEX($AO$1005:$BQ$1005,1,MATCH(COLUMNS($AO$1006:BK1006),$AO$1006:$BQ$1006,0))&gt;=100000), " ",IF(INDEX($AO$2:$BQ$1001,MATCH(ROWS($AH$2:AH983),$AH$2:$AH$1001,0),MATCH(COLUMNS($AO$1006:BK1006),$AO$1006:$BQ$1006,0)), HYPERLINK("#",""), HYPERLINK(CONCATENATE("#Metadata!", ADDRESS(INDEX($AJ$2:$AJ$1001,MATCH(ROWS($AH$2:AH983),$AH$2:$AH$1001,0),0), INDEX($AO$1004:$BQ$1004,1,MATCH(COLUMNS($AO$1006:BK1006),$AO$1006:$BQ$1006,0)))),"Fix")))</f>
        <v>#N/A</v>
      </c>
      <c r="Y983" s="5" t="e">
        <f ca="1">IF(OR(INDEX($AI$2:$AI$1001,MATCH(ROWS($AH$2:AH983),$AH$2:$AH$1001,0),1)&gt;=100000,INDEX($AO$1005:$BQ$1005,1,MATCH(COLUMNS($AO$1006:BL1006),$AO$1006:$BQ$1006,0))&gt;=100000), " ",IF(INDEX($AO$2:$BQ$1001,MATCH(ROWS($AH$2:AH983),$AH$2:$AH$1001,0),MATCH(COLUMNS($AO$1006:BL1006),$AO$1006:$BQ$1006,0)), HYPERLINK("#",""), HYPERLINK(CONCATENATE("#Metadata!", ADDRESS(INDEX($AJ$2:$AJ$1001,MATCH(ROWS($AH$2:AH983),$AH$2:$AH$1001,0),0), INDEX($AO$1004:$BQ$1004,1,MATCH(COLUMNS($AO$1006:BL1006),$AO$1006:$BQ$1006,0)))),"Fix")))</f>
        <v>#N/A</v>
      </c>
      <c r="Z983" s="5" t="e">
        <f ca="1">IF(OR(INDEX($AI$2:$AI$1001,MATCH(ROWS($AH$2:AH983),$AH$2:$AH$1001,0),1)&gt;=100000,INDEX($AO$1005:$BQ$1005,1,MATCH(COLUMNS($AO$1006:BM1006),$AO$1006:$BQ$1006,0))&gt;=100000), " ",IF(INDEX($AO$2:$BQ$1001,MATCH(ROWS($AH$2:AH983),$AH$2:$AH$1001,0),MATCH(COLUMNS($AO$1006:BM1006),$AO$1006:$BQ$1006,0)), HYPERLINK("#",""), HYPERLINK(CONCATENATE("#Metadata!", ADDRESS(INDEX($AJ$2:$AJ$1001,MATCH(ROWS($AH$2:AH983),$AH$2:$AH$1001,0),0), INDEX($AO$1004:$BQ$1004,1,MATCH(COLUMNS($AO$1006:BM1006),$AO$1006:$BQ$1006,0)))),"Fix")))</f>
        <v>#N/A</v>
      </c>
      <c r="AA983" s="5" t="e">
        <f ca="1">IF(OR(INDEX($AI$2:$AI$1001,MATCH(ROWS($AH$2:AH983),$AH$2:$AH$1001,0),1)&gt;=100000,INDEX($AO$1005:$BQ$1005,1,MATCH(COLUMNS($AO$1006:BN1006),$AO$1006:$BQ$1006,0))&gt;=100000), " ",IF(INDEX($AO$2:$BQ$1001,MATCH(ROWS($AH$2:AH983),$AH$2:$AH$1001,0),MATCH(COLUMNS($AO$1006:BN1006),$AO$1006:$BQ$1006,0)), HYPERLINK("#",""), HYPERLINK(CONCATENATE("#Metadata!", ADDRESS(INDEX($AJ$2:$AJ$1001,MATCH(ROWS($AH$2:AH983),$AH$2:$AH$1001,0),0), INDEX($AO$1004:$BQ$1004,1,MATCH(COLUMNS($AO$1006:BN1006),$AO$1006:$BQ$1006,0)))),"Fix")))</f>
        <v>#N/A</v>
      </c>
      <c r="AB983" s="5" t="e">
        <f ca="1">IF(OR(INDEX($AI$2:$AI$1001,MATCH(ROWS($AH$2:AH983),$AH$2:$AH$1001,0),1)&gt;=100000,INDEX($AO$1005:$BQ$1005,1,MATCH(COLUMNS($AO$1006:BO1006),$AO$1006:$BQ$1006,0))&gt;=100000), " ",IF(INDEX($AO$2:$BQ$1001,MATCH(ROWS($AH$2:AH983),$AH$2:$AH$1001,0),MATCH(COLUMNS($AO$1006:BO1006),$AO$1006:$BQ$1006,0)), HYPERLINK("#",""), HYPERLINK(CONCATENATE("#Metadata!", ADDRESS(INDEX($AJ$2:$AJ$1001,MATCH(ROWS($AH$2:AH983),$AH$2:$AH$1001,0),0), INDEX($AO$1004:$BQ$1004,1,MATCH(COLUMNS($AO$1006:BO1006),$AO$1006:$BQ$1006,0)))),"Fix")))</f>
        <v>#N/A</v>
      </c>
      <c r="AC983" s="5" t="e">
        <f ca="1">IF(OR(INDEX($AI$2:$AI$1001,MATCH(ROWS($AH$2:AH983),$AH$2:$AH$1001,0),1)&gt;=100000,INDEX($AO$1005:$BQ$1005,1,MATCH(COLUMNS($AO$1006:BP1006),$AO$1006:$BQ$1006,0))&gt;=100000), " ",IF(INDEX($AO$2:$BQ$1001,MATCH(ROWS($AH$2:AH983),$AH$2:$AH$1001,0),MATCH(COLUMNS($AO$1006:BP1006),$AO$1006:$BQ$1006,0)), HYPERLINK("#",""), HYPERLINK(CONCATENATE("#Metadata!", ADDRESS(INDEX($AJ$2:$AJ$1001,MATCH(ROWS($AH$2:AH983),$AH$2:$AH$1001,0),0), INDEX($AO$1004:$BQ$1004,1,MATCH(COLUMNS($AO$1006:BP1006),$AO$1006:$BQ$1006,0)))),"Fix")))</f>
        <v>#N/A</v>
      </c>
      <c r="AD983" s="5" t="e">
        <f ca="1">IF(OR(INDEX($AI$2:$AI$1001,MATCH(ROWS($AH$2:AH983),$AH$2:$AH$1001,0),1)&gt;=100000,INDEX($AO$1005:$BQ$1005,1,MATCH(COLUMNS($AO$1006:BQ1006),$AO$1006:$BQ$1006,0))&gt;=100000), " ",IF(INDEX($AO$2:$BQ$1001,MATCH(ROWS($AH$2:AH983),$AH$2:$AH$1001,0),MATCH(COLUMNS($AO$1006:BQ1006),$AO$1006:$BQ$1006,0)), HYPERLINK("#",""), HYPERLINK(CONCATENATE("#Metadata!", ADDRESS(INDEX($AJ$2:$AJ$1001,MATCH(ROWS($AH$2:AH983),$AH$2:$AH$1001,0),0), INDEX($AO$1004:$BQ$1004,1,MATCH(COLUMNS($AO$1006:BQ1006),$AO$1006:$BQ$1006,0)))),"Fix")))</f>
        <v>#REF!</v>
      </c>
      <c r="AH983">
        <f ca="1"/>
        <v>980</v>
      </c>
      <c r="AI983">
        <v>100983</v>
      </c>
      <c r="AJ983">
        <v>983</v>
      </c>
      <c r="AK983" t="b">
        <f t="shared" si="15"/>
        <v>1</v>
      </c>
      <c r="AL983" t="b">
        <f>COUNTBLANK(Metadata!B983:AD983)=COLUMNS(Metadata!B983:AD983)</f>
        <v>1</v>
      </c>
      <c r="AM983" t="str">
        <v/>
      </c>
      <c r="AO983" t="b">
        <f ca="1">AND(IF(Metadata!B983="",FALSE,TRUE),COUNTIF(Metadata!B:B, Metadata!B983) = 1,NOT(ISERROR(SUMPRODUCT(SEARCH(MID(Metadata!B983,ROW(INDIRECT("1:"&amp;LEN(Metadata!B983))), 1),"0123456789abcdefghijklmnopqrstuvwxyzABCDEFGHIJKLMNOPQRSTUVWXYZ.")))))</f>
        <v>0</v>
      </c>
      <c r="AP983" t="b">
        <f>IF(Metadata!C983="",FALSE,TRUE)</f>
        <v>0</v>
      </c>
      <c r="AQ983" t="b">
        <f>IF(Metadata!D983="",FALSE,TRUE)</f>
        <v>0</v>
      </c>
      <c r="AR983" t="b">
        <f ca="1">OR(AND(IF(Metadata!E983="",FALSE,TRUE),OR(EXACT(Metadata!E983,"not collected"),EXACT(Metadata!E983,"not provided"),EXACT(Metadata!E983,"restricted access"))),AND(IF(Metadata!E983="",FALSE,TRUE),AND(AND(IFERROR(INT(LEFT(Metadata!E983,4))&gt;1900,FALSE),IFERROR(INT(LEFT(Metadata!E983,4))&lt;=YEAR(NOW()),FALSE)), OR(MID(Metadata!E983,5,1)="", AND(AND(MID(Metadata!E983,5,1)="-",IFERROR(INT(MID(Metadata!E983,6,1))&gt;=0,FALSE),IFERROR(INT(MID(Metadata!E983,6,1))&lt;=1,FALSE),NOT(MID(Metadata!E983,7,1)=""),IFERROR(INT(MID(Metadata!E983,6,2))&gt;=1,FALSE),IFERROR(INT(MID(Metadata!E983,6,2))&lt;=12,FALSE)), OR(MID(Metadata!E983,8,1)="", AND(AND(MID(Metadata!E983,8,1)="-",IFERROR(INT(MID(Metadata!E983,9,1))&gt;=0,FALSE),IFERROR(INT(MID(Metadata!E983,9,1))&lt;=3,FALSE),NOT(MID(Metadata!E983,10,1)=""),IFERROR(INT(MID(Metadata!E983,9,2))&gt;=1,FALSE),IFERROR(INT(MID(Metadata!E983,9,2))&lt;=31,FALSE)), OR(MID(Metadata!E983,11,1)="", AND(AND(MID(Metadata!E983,11,1)=" ",IFERROR(INT(MID(Metadata!E983,12,1))&gt;=0,FALSE),IFERROR(INT(MID(Metadata!E983,12,1))&lt;=2,FALSE),NOT(MID(Metadata!E983,13,1)=""),IFERROR(INT(MID(Metadata!E983,12,2))&gt;=0,FALSE),IFERROR(INT(MID(Metadata!E983,12,2))&lt;=23,FALSE)), OR(MID(Metadata!E983,14,1)="", AND(AND(MID(Metadata!E983,14,1)=":",IFERROR(INT(MID(Metadata!E983,15,1))&gt;=0,FALSE),IFERROR(INT(MID(Metadata!E983,15,1))&lt;=5,FALSE),NOT(MID(Metadata!E983,16,1)=""),IFERROR(INT(MID(Metadata!E983,15,2))&gt;=0,FALSE),IFERROR(INT(MID(Metadata!E983,15,2))&lt;=59,FALSE)), OR(MID(Metadata!E983,17,1)="", AND(AND(MID(Metadata!E983,17,1)=":",IFERROR(INT(MID(Metadata!E983,18,1))&gt;=0,FALSE),IFERROR(INT(MID(Metadata!E983,18,1))&lt;=5,FALSE),NOT(MID(Metadata!E983,19,1)=""),IFERROR(INT(MID(Metadata!E983,18,2))&gt;=0,FALSE),IFERROR(INT(MID(Metadata!E983,18,2))&lt;=59,FALSE)), LEN(Metadata!E983)&lt;=19)))))))))))))</f>
        <v>0</v>
      </c>
      <c r="AS983" t="b">
        <f>IF(Metadata!F983="",FALSE,TRUE)</f>
        <v>0</v>
      </c>
      <c r="AT983" t="b">
        <f>OR(AND(IF(Metadata!G983="",FALSE,TRUE),OR(EXACT(Metadata!G983,"not collected"),EXACT(Metadata!G983,"not provided"))),AND(IF(Metadata!G983="",FALSE,TRUE),OR(EXACT(Metadata!G983,"TRUE"),EXACT(Metadata!G983,"FALSE"))))</f>
        <v>0</v>
      </c>
      <c r="AU983" t="b">
        <f>OR(AND(IF(Metadata!H983="",FALSE,TRUE),OR(EXACT(Metadata!H983,"not collected"),EXACT(Metadata!H983,"not provided"),EXACT(Metadata!H983,"restricted access"))),AND(IF(Metadata!H983="",FALSE,ISNUMBER(VALUE(Metadata!H983))),Metadata!H983&gt;=-413))</f>
        <v>0</v>
      </c>
      <c r="AV983" t="b">
        <f>AND(IF(Metadata!I983="",FALSE,TRUE),EXACT(Metadata!I983,"meters"))</f>
        <v>0</v>
      </c>
      <c r="AW983" t="b">
        <f>AND(IF(Metadata!J983="",FALSE,TRUE),EXACT(Metadata!J983,"free-living"))</f>
        <v>0</v>
      </c>
      <c r="AX983" t="b">
        <f>AND(IF(Metadata!K983="",FALSE,TRUE),OR(EXACT(Metadata!K983,"saline"),EXACT(Metadata!K983,"non-saline")))</f>
        <v>0</v>
      </c>
      <c r="AY983" t="b">
        <f>AND(IF(Metadata!L983="",FALSE,TRUE),OR(EXACT(Metadata!L983,"sub-surface (non-saline)"),EXACT(Metadata!L983,"surface (non-saline)"),EXACT(Metadata!L983,"water (non-saline)"),EXACT(Metadata!L983,"soil (non-saline)"),EXACT(Metadata!L983,"aerosol (non-saline)"),EXACT(Metadata!L983,"sediment (non-saline)"),EXACT(Metadata!L983,"surface (saline)"),EXACT(Metadata!L983,"water (saline)"),EXACT(Metadata!L983,"hypersaline (saline)"),EXACT(Metadata!L983,"aerosol (saline)"),EXACT(Metadata!L983,"sediment (saline)")))</f>
        <v>0</v>
      </c>
      <c r="AZ983" t="b">
        <f>IF(Metadata!M983="",FALSE,TRUE)</f>
        <v>0</v>
      </c>
      <c r="BA983" t="b">
        <f>IF(Metadata!N983="",FALSE,TRUE)</f>
        <v>0</v>
      </c>
      <c r="BB983" t="b">
        <f>IF(Metadata!O983="",FALSE,TRUE)</f>
        <v>0</v>
      </c>
      <c r="BC983" t="b">
        <f>AND(IF(Metadata!P983="",FALSE,TRUE),OR(EXACT(Metadata!P983,"air"),EXACT(Metadata!P983,"microbial mat/biofilm"),EXACT(Metadata!P983,"misc environment"),EXACT(Metadata!P983,"sediment"),EXACT(Metadata!P983,"soil"),EXACT(Metadata!P983,"wastewater/sludge"),EXACT(Metadata!P983,"water")))</f>
        <v>0</v>
      </c>
      <c r="BD983" t="b">
        <f>IF(Metadata!Q983="",FALSE,TRUE)</f>
        <v>0</v>
      </c>
      <c r="BE983" t="b">
        <f>IF(Metadata!R983="",FALSE,TRUE)</f>
        <v>0</v>
      </c>
      <c r="BF983" t="b">
        <f>OR(AND(IF(Metadata!S983="",FALSE,TRUE),OR(EXACT(Metadata!S983,"not collected"),EXACT(Metadata!S983,"not provided"),EXACT(Metadata!S983,"restricted access"))),AND(IF(Metadata!S983="",FALSE,ISNUMBER(VALUE(Metadata!S983))),Metadata!S983&gt;=-90,Metadata!S983&lt;=90))</f>
        <v>0</v>
      </c>
      <c r="BG983" t="b">
        <f>AND(IF(Metadata!T983="",FALSE,TRUE),EXACT(Metadata!T983,"Decimal degrees"))</f>
        <v>0</v>
      </c>
      <c r="BH983" t="b">
        <f>OR(AND(IF(Metadata!U983="",FALSE,TRUE),OR(EXACT(Metadata!U983,"not applicable"),EXACT(Metadata!U983,"not collected"))),IF(Metadata!U983="",FALSE,TRUE))</f>
        <v>0</v>
      </c>
      <c r="BI983" t="b">
        <f>OR(AND(IF(Metadata!V983="",FALSE,TRUE),OR(EXACT(Metadata!V983,"not collected"),EXACT(Metadata!V983,"not provided"),EXACT(Metadata!V983,"restricted access"))),AND(IF(Metadata!V983="",FALSE,ISNUMBER(VALUE(Metadata!V983))),Metadata!V983&gt;=-180,Metadata!V983&lt;=180))</f>
        <v>0</v>
      </c>
      <c r="BJ983" t="b">
        <f>AND(IF(Metadata!W983="",FALSE,TRUE),EXACT(Metadata!W983,"Decimal degrees"))</f>
        <v>0</v>
      </c>
      <c r="BK983" t="b">
        <f>IF(Metadata!X983="",FALSE,TRUE)</f>
        <v>0</v>
      </c>
      <c r="BL983" t="b">
        <f>OR(AND(IF(Metadata!Y983="",FALSE,TRUE),OR(EXACT(Metadata!Y983,"not collected"),EXACT(Metadata!Y983,"not provided"),EXACT(Metadata!Y983,"restricted access"))),AND(IF(Metadata!Y983="",FALSE,TRUE),OR(EXACT(Metadata!Y983,"TRUE"),EXACT(Metadata!Y983,"FALSE"))))</f>
        <v>0</v>
      </c>
      <c r="BM983" t="b">
        <f>OR(AND(IF(Metadata!Z983="",FALSE,TRUE),EXACT(Metadata!Z983,"not applicable")),AND(IF(Metadata!Z983="",FALSE,TRUE),OR(EXACT(Metadata!Z983,"beer"),EXACT(Metadata!Z983,"cheese"),EXACT(Metadata!Z983,"fresh water"),EXACT(Metadata!Z983,"marine sediment"),EXACT(Metadata!Z983,"sea water"),EXACT(Metadata!Z983,"sediment"),EXACT(Metadata!Z983,"soil"),EXACT(Metadata!Z983,"waste water"))))</f>
        <v>0</v>
      </c>
      <c r="BN983" t="b">
        <f>AND(IF(Metadata!AA983="",FALSE,TRUE),EXACT(Metadata!AA983,"metagenome"))</f>
        <v>0</v>
      </c>
      <c r="BO983" t="b">
        <f>AND(IF(Metadata!AB983="",FALSE,TRUE),EXACT(Metadata!AB983,"256318"))</f>
        <v>0</v>
      </c>
      <c r="BP983" t="b">
        <f>IF(Metadata!AC983="",FALSE,TRUE)</f>
        <v>0</v>
      </c>
      <c r="BQ983" t="b">
        <f>IF(Metadata!AD983="",FALSE,TRUE)</f>
        <v>0</v>
      </c>
    </row>
    <row r="984" spans="1:69" x14ac:dyDescent="0.2">
      <c r="A984" s="4" t="e">
        <f ca="1">IF(B984=" "," ",HYPERLINK(CONCATENATE("#metadata!",ADDRESS(INDEX($AJ$2:$AJ$1001,MATCH(ROWS($AH$2:AH984),$AH$2:$AH$1001,0),0),2)),INDEX($AM$2:$AM$1001,MATCH(ROWS($AH$2:AH984),$AH$2:$AH$1001,0),0)))</f>
        <v>#N/A</v>
      </c>
      <c r="B984" s="5" t="e">
        <f ca="1">IF(OR(INDEX($AI$2:$AI$1001,MATCH(ROWS($AH$2:AH984),$AH$2:$AH$1001,0),1)&gt;=100000,INDEX($AO$1005:$BQ$1005,1,MATCH(COLUMNS($AO$1006:AO1006),$AO$1006:$BQ$1006,0))&gt;=100000), " ",IF(INDEX($AO$2:$BQ$1001,MATCH(ROWS($AH$2:AH984),$AH$2:$AH$1001,0),MATCH(COLUMNS($AO$1006:AO1006),$AO$1006:$BQ$1006,0)), HYPERLINK("#",""), HYPERLINK(CONCATENATE("#Metadata!", ADDRESS(INDEX($AJ$2:$AJ$1001,MATCH(ROWS($AH$2:AH984),$AH$2:$AH$1001,0),0), INDEX($AO$1004:$BQ$1004,1,MATCH(COLUMNS($AO$1006:AO1006),$AO$1006:$BQ$1006,0)))),"Fix")))</f>
        <v>#N/A</v>
      </c>
      <c r="C984" s="5" t="e">
        <f ca="1">IF(OR(INDEX($AI$2:$AI$1001,MATCH(ROWS($AH$2:AH984),$AH$2:$AH$1001,0),1)&gt;=100000,INDEX($AO$1005:$BQ$1005,1,MATCH(COLUMNS($AO$1006:AP1006),$AO$1006:$BQ$1006,0))&gt;=100000), " ",IF(INDEX($AO$2:$BQ$1001,MATCH(ROWS($AH$2:AH984),$AH$2:$AH$1001,0),MATCH(COLUMNS($AO$1006:AP1006),$AO$1006:$BQ$1006,0)), HYPERLINK("#",""), HYPERLINK(CONCATENATE("#Metadata!", ADDRESS(INDEX($AJ$2:$AJ$1001,MATCH(ROWS($AH$2:AH984),$AH$2:$AH$1001,0),0), INDEX($AO$1004:$BQ$1004,1,MATCH(COLUMNS($AO$1006:AP1006),$AO$1006:$BQ$1006,0)))),"Fix")))</f>
        <v>#N/A</v>
      </c>
      <c r="D984" s="5" t="e">
        <f ca="1">IF(OR(INDEX($AI$2:$AI$1001,MATCH(ROWS($AH$2:AH984),$AH$2:$AH$1001,0),1)&gt;=100000,INDEX($AO$1005:$BQ$1005,1,MATCH(COLUMNS($AO$1006:AQ1006),$AO$1006:$BQ$1006,0))&gt;=100000), " ",IF(INDEX($AO$2:$BQ$1001,MATCH(ROWS($AH$2:AH984),$AH$2:$AH$1001,0),MATCH(COLUMNS($AO$1006:AQ1006),$AO$1006:$BQ$1006,0)), HYPERLINK("#",""), HYPERLINK(CONCATENATE("#Metadata!", ADDRESS(INDEX($AJ$2:$AJ$1001,MATCH(ROWS($AH$2:AH984),$AH$2:$AH$1001,0),0), INDEX($AO$1004:$BQ$1004,1,MATCH(COLUMNS($AO$1006:AQ1006),$AO$1006:$BQ$1006,0)))),"Fix")))</f>
        <v>#N/A</v>
      </c>
      <c r="E984" s="5" t="e">
        <f ca="1">IF(OR(INDEX($AI$2:$AI$1001,MATCH(ROWS($AH$2:AH984),$AH$2:$AH$1001,0),1)&gt;=100000,INDEX($AO$1005:$BQ$1005,1,MATCH(COLUMNS($AO$1006:AR1006),$AO$1006:$BQ$1006,0))&gt;=100000), " ",IF(INDEX($AO$2:$BQ$1001,MATCH(ROWS($AH$2:AH984),$AH$2:$AH$1001,0),MATCH(COLUMNS($AO$1006:AR1006),$AO$1006:$BQ$1006,0)), HYPERLINK("#",""), HYPERLINK(CONCATENATE("#Metadata!", ADDRESS(INDEX($AJ$2:$AJ$1001,MATCH(ROWS($AH$2:AH984),$AH$2:$AH$1001,0),0), INDEX($AO$1004:$BQ$1004,1,MATCH(COLUMNS($AO$1006:AR1006),$AO$1006:$BQ$1006,0)))),"Fix")))</f>
        <v>#N/A</v>
      </c>
      <c r="F984" s="5" t="e">
        <f ca="1">IF(OR(INDEX($AI$2:$AI$1001,MATCH(ROWS($AH$2:AH984),$AH$2:$AH$1001,0),1)&gt;=100000,INDEX($AO$1005:$BQ$1005,1,MATCH(COLUMNS($AO$1006:AS1006),$AO$1006:$BQ$1006,0))&gt;=100000), " ",IF(INDEX($AO$2:$BQ$1001,MATCH(ROWS($AH$2:AH984),$AH$2:$AH$1001,0),MATCH(COLUMNS($AO$1006:AS1006),$AO$1006:$BQ$1006,0)), HYPERLINK("#",""), HYPERLINK(CONCATENATE("#Metadata!", ADDRESS(INDEX($AJ$2:$AJ$1001,MATCH(ROWS($AH$2:AH984),$AH$2:$AH$1001,0),0), INDEX($AO$1004:$BQ$1004,1,MATCH(COLUMNS($AO$1006:AS1006),$AO$1006:$BQ$1006,0)))),"Fix")))</f>
        <v>#N/A</v>
      </c>
      <c r="G984" s="5" t="e">
        <f ca="1">IF(OR(INDEX($AI$2:$AI$1001,MATCH(ROWS($AH$2:AH984),$AH$2:$AH$1001,0),1)&gt;=100000,INDEX($AO$1005:$BQ$1005,1,MATCH(COLUMNS($AO$1006:AT1006),$AO$1006:$BQ$1006,0))&gt;=100000), " ",IF(INDEX($AO$2:$BQ$1001,MATCH(ROWS($AH$2:AH984),$AH$2:$AH$1001,0),MATCH(COLUMNS($AO$1006:AT1006),$AO$1006:$BQ$1006,0)), HYPERLINK("#",""), HYPERLINK(CONCATENATE("#Metadata!", ADDRESS(INDEX($AJ$2:$AJ$1001,MATCH(ROWS($AH$2:AH984),$AH$2:$AH$1001,0),0), INDEX($AO$1004:$BQ$1004,1,MATCH(COLUMNS($AO$1006:AT1006),$AO$1006:$BQ$1006,0)))),"Fix")))</f>
        <v>#N/A</v>
      </c>
      <c r="H984" s="5" t="e">
        <f ca="1">IF(OR(INDEX($AI$2:$AI$1001,MATCH(ROWS($AH$2:AH984),$AH$2:$AH$1001,0),1)&gt;=100000,INDEX($AO$1005:$BQ$1005,1,MATCH(COLUMNS($AO$1006:AU1006),$AO$1006:$BQ$1006,0))&gt;=100000), " ",IF(INDEX($AO$2:$BQ$1001,MATCH(ROWS($AH$2:AH984),$AH$2:$AH$1001,0),MATCH(COLUMNS($AO$1006:AU1006),$AO$1006:$BQ$1006,0)), HYPERLINK("#",""), HYPERLINK(CONCATENATE("#Metadata!", ADDRESS(INDEX($AJ$2:$AJ$1001,MATCH(ROWS($AH$2:AH984),$AH$2:$AH$1001,0),0), INDEX($AO$1004:$BQ$1004,1,MATCH(COLUMNS($AO$1006:AU1006),$AO$1006:$BQ$1006,0)))),"Fix")))</f>
        <v>#N/A</v>
      </c>
      <c r="I984" s="5" t="e">
        <f ca="1">IF(OR(INDEX($AI$2:$AI$1001,MATCH(ROWS($AH$2:AH984),$AH$2:$AH$1001,0),1)&gt;=100000,INDEX($AO$1005:$BQ$1005,1,MATCH(COLUMNS($AO$1006:AV1006),$AO$1006:$BQ$1006,0))&gt;=100000), " ",IF(INDEX($AO$2:$BQ$1001,MATCH(ROWS($AH$2:AH984),$AH$2:$AH$1001,0),MATCH(COLUMNS($AO$1006:AV1006),$AO$1006:$BQ$1006,0)), HYPERLINK("#",""), HYPERLINK(CONCATENATE("#Metadata!", ADDRESS(INDEX($AJ$2:$AJ$1001,MATCH(ROWS($AH$2:AH984),$AH$2:$AH$1001,0),0), INDEX($AO$1004:$BQ$1004,1,MATCH(COLUMNS($AO$1006:AV1006),$AO$1006:$BQ$1006,0)))),"Fix")))</f>
        <v>#N/A</v>
      </c>
      <c r="J984" s="5" t="e">
        <f ca="1">IF(OR(INDEX($AI$2:$AI$1001,MATCH(ROWS($AH$2:AH984),$AH$2:$AH$1001,0),1)&gt;=100000,INDEX($AO$1005:$BQ$1005,1,MATCH(COLUMNS($AO$1006:AW1006),$AO$1006:$BQ$1006,0))&gt;=100000), " ",IF(INDEX($AO$2:$BQ$1001,MATCH(ROWS($AH$2:AH984),$AH$2:$AH$1001,0),MATCH(COLUMNS($AO$1006:AW1006),$AO$1006:$BQ$1006,0)), HYPERLINK("#",""), HYPERLINK(CONCATENATE("#Metadata!", ADDRESS(INDEX($AJ$2:$AJ$1001,MATCH(ROWS($AH$2:AH984),$AH$2:$AH$1001,0),0), INDEX($AO$1004:$BQ$1004,1,MATCH(COLUMNS($AO$1006:AW1006),$AO$1006:$BQ$1006,0)))),"Fix")))</f>
        <v>#N/A</v>
      </c>
      <c r="K984" s="5" t="e">
        <f ca="1">IF(OR(INDEX($AI$2:$AI$1001,MATCH(ROWS($AH$2:AH984),$AH$2:$AH$1001,0),1)&gt;=100000,INDEX($AO$1005:$BQ$1005,1,MATCH(COLUMNS($AO$1006:AX1006),$AO$1006:$BQ$1006,0))&gt;=100000), " ",IF(INDEX($AO$2:$BQ$1001,MATCH(ROWS($AH$2:AH984),$AH$2:$AH$1001,0),MATCH(COLUMNS($AO$1006:AX1006),$AO$1006:$BQ$1006,0)), HYPERLINK("#",""), HYPERLINK(CONCATENATE("#Metadata!", ADDRESS(INDEX($AJ$2:$AJ$1001,MATCH(ROWS($AH$2:AH984),$AH$2:$AH$1001,0),0), INDEX($AO$1004:$BQ$1004,1,MATCH(COLUMNS($AO$1006:AX1006),$AO$1006:$BQ$1006,0)))),"Fix")))</f>
        <v>#N/A</v>
      </c>
      <c r="L984" s="5" t="e">
        <f ca="1">IF(OR(INDEX($AI$2:$AI$1001,MATCH(ROWS($AH$2:AH984),$AH$2:$AH$1001,0),1)&gt;=100000,INDEX($AO$1005:$BQ$1005,1,MATCH(COLUMNS($AO$1006:AY1006),$AO$1006:$BQ$1006,0))&gt;=100000), " ",IF(INDEX($AO$2:$BQ$1001,MATCH(ROWS($AH$2:AH984),$AH$2:$AH$1001,0),MATCH(COLUMNS($AO$1006:AY1006),$AO$1006:$BQ$1006,0)), HYPERLINK("#",""), HYPERLINK(CONCATENATE("#Metadata!", ADDRESS(INDEX($AJ$2:$AJ$1001,MATCH(ROWS($AH$2:AH984),$AH$2:$AH$1001,0),0), INDEX($AO$1004:$BQ$1004,1,MATCH(COLUMNS($AO$1006:AY1006),$AO$1006:$BQ$1006,0)))),"Fix")))</f>
        <v>#N/A</v>
      </c>
      <c r="M984" s="5" t="e">
        <f ca="1">IF(OR(INDEX($AI$2:$AI$1001,MATCH(ROWS($AH$2:AH984),$AH$2:$AH$1001,0),1)&gt;=100000,INDEX($AO$1005:$BQ$1005,1,MATCH(COLUMNS($AO$1006:AZ1006),$AO$1006:$BQ$1006,0))&gt;=100000), " ",IF(INDEX($AO$2:$BQ$1001,MATCH(ROWS($AH$2:AH984),$AH$2:$AH$1001,0),MATCH(COLUMNS($AO$1006:AZ1006),$AO$1006:$BQ$1006,0)), HYPERLINK("#",""), HYPERLINK(CONCATENATE("#Metadata!", ADDRESS(INDEX($AJ$2:$AJ$1001,MATCH(ROWS($AH$2:AH984),$AH$2:$AH$1001,0),0), INDEX($AO$1004:$BQ$1004,1,MATCH(COLUMNS($AO$1006:AZ1006),$AO$1006:$BQ$1006,0)))),"Fix")))</f>
        <v>#N/A</v>
      </c>
      <c r="N984" s="5" t="e">
        <f ca="1">IF(OR(INDEX($AI$2:$AI$1001,MATCH(ROWS($AH$2:AH984),$AH$2:$AH$1001,0),1)&gt;=100000,INDEX($AO$1005:$BQ$1005,1,MATCH(COLUMNS($AO$1006:BA1006),$AO$1006:$BQ$1006,0))&gt;=100000), " ",IF(INDEX($AO$2:$BQ$1001,MATCH(ROWS($AH$2:AH984),$AH$2:$AH$1001,0),MATCH(COLUMNS($AO$1006:BA1006),$AO$1006:$BQ$1006,0)), HYPERLINK("#",""), HYPERLINK(CONCATENATE("#Metadata!", ADDRESS(INDEX($AJ$2:$AJ$1001,MATCH(ROWS($AH$2:AH984),$AH$2:$AH$1001,0),0), INDEX($AO$1004:$BQ$1004,1,MATCH(COLUMNS($AO$1006:BA1006),$AO$1006:$BQ$1006,0)))),"Fix")))</f>
        <v>#N/A</v>
      </c>
      <c r="O984" s="5" t="e">
        <f ca="1">IF(OR(INDEX($AI$2:$AI$1001,MATCH(ROWS($AH$2:AH984),$AH$2:$AH$1001,0),1)&gt;=100000,INDEX($AO$1005:$BQ$1005,1,MATCH(COLUMNS($AO$1006:BB1006),$AO$1006:$BQ$1006,0))&gt;=100000), " ",IF(INDEX($AO$2:$BQ$1001,MATCH(ROWS($AH$2:AH984),$AH$2:$AH$1001,0),MATCH(COLUMNS($AO$1006:BB1006),$AO$1006:$BQ$1006,0)), HYPERLINK("#",""), HYPERLINK(CONCATENATE("#Metadata!", ADDRESS(INDEX($AJ$2:$AJ$1001,MATCH(ROWS($AH$2:AH984),$AH$2:$AH$1001,0),0), INDEX($AO$1004:$BQ$1004,1,MATCH(COLUMNS($AO$1006:BB1006),$AO$1006:$BQ$1006,0)))),"Fix")))</f>
        <v>#N/A</v>
      </c>
      <c r="P984" s="5" t="e">
        <f ca="1">IF(OR(INDEX($AI$2:$AI$1001,MATCH(ROWS($AH$2:AH984),$AH$2:$AH$1001,0),1)&gt;=100000,INDEX($AO$1005:$BQ$1005,1,MATCH(COLUMNS($AO$1006:BC1006),$AO$1006:$BQ$1006,0))&gt;=100000), " ",IF(INDEX($AO$2:$BQ$1001,MATCH(ROWS($AH$2:AH984),$AH$2:$AH$1001,0),MATCH(COLUMNS($AO$1006:BC1006),$AO$1006:$BQ$1006,0)), HYPERLINK("#",""), HYPERLINK(CONCATENATE("#Metadata!", ADDRESS(INDEX($AJ$2:$AJ$1001,MATCH(ROWS($AH$2:AH984),$AH$2:$AH$1001,0),0), INDEX($AO$1004:$BQ$1004,1,MATCH(COLUMNS($AO$1006:BC1006),$AO$1006:$BQ$1006,0)))),"Fix")))</f>
        <v>#N/A</v>
      </c>
      <c r="Q984" s="5" t="e">
        <f ca="1">IF(OR(INDEX($AI$2:$AI$1001,MATCH(ROWS($AH$2:AH984),$AH$2:$AH$1001,0),1)&gt;=100000,INDEX($AO$1005:$BQ$1005,1,MATCH(COLUMNS($AO$1006:BD1006),$AO$1006:$BQ$1006,0))&gt;=100000), " ",IF(INDEX($AO$2:$BQ$1001,MATCH(ROWS($AH$2:AH984),$AH$2:$AH$1001,0),MATCH(COLUMNS($AO$1006:BD1006),$AO$1006:$BQ$1006,0)), HYPERLINK("#",""), HYPERLINK(CONCATENATE("#Metadata!", ADDRESS(INDEX($AJ$2:$AJ$1001,MATCH(ROWS($AH$2:AH984),$AH$2:$AH$1001,0),0), INDEX($AO$1004:$BQ$1004,1,MATCH(COLUMNS($AO$1006:BD1006),$AO$1006:$BQ$1006,0)))),"Fix")))</f>
        <v>#N/A</v>
      </c>
      <c r="R984" s="5" t="e">
        <f ca="1">IF(OR(INDEX($AI$2:$AI$1001,MATCH(ROWS($AH$2:AH984),$AH$2:$AH$1001,0),1)&gt;=100000,INDEX($AO$1005:$BQ$1005,1,MATCH(COLUMNS($AO$1006:BE1006),$AO$1006:$BQ$1006,0))&gt;=100000), " ",IF(INDEX($AO$2:$BQ$1001,MATCH(ROWS($AH$2:AH984),$AH$2:$AH$1001,0),MATCH(COLUMNS($AO$1006:BE1006),$AO$1006:$BQ$1006,0)), HYPERLINK("#",""), HYPERLINK(CONCATENATE("#Metadata!", ADDRESS(INDEX($AJ$2:$AJ$1001,MATCH(ROWS($AH$2:AH984),$AH$2:$AH$1001,0),0), INDEX($AO$1004:$BQ$1004,1,MATCH(COLUMNS($AO$1006:BE1006),$AO$1006:$BQ$1006,0)))),"Fix")))</f>
        <v>#N/A</v>
      </c>
      <c r="S984" s="5" t="e">
        <f ca="1">IF(OR(INDEX($AI$2:$AI$1001,MATCH(ROWS($AH$2:AH984),$AH$2:$AH$1001,0),1)&gt;=100000,INDEX($AO$1005:$BQ$1005,1,MATCH(COLUMNS($AO$1006:BF1006),$AO$1006:$BQ$1006,0))&gt;=100000), " ",IF(INDEX($AO$2:$BQ$1001,MATCH(ROWS($AH$2:AH984),$AH$2:$AH$1001,0),MATCH(COLUMNS($AO$1006:BF1006),$AO$1006:$BQ$1006,0)), HYPERLINK("#",""), HYPERLINK(CONCATENATE("#Metadata!", ADDRESS(INDEX($AJ$2:$AJ$1001,MATCH(ROWS($AH$2:AH984),$AH$2:$AH$1001,0),0), INDEX($AO$1004:$BQ$1004,1,MATCH(COLUMNS($AO$1006:BF1006),$AO$1006:$BQ$1006,0)))),"Fix")))</f>
        <v>#N/A</v>
      </c>
      <c r="T984" s="5" t="e">
        <f ca="1">IF(OR(INDEX($AI$2:$AI$1001,MATCH(ROWS($AH$2:AH984),$AH$2:$AH$1001,0),1)&gt;=100000,INDEX($AO$1005:$BQ$1005,1,MATCH(COLUMNS($AO$1006:BG1006),$AO$1006:$BQ$1006,0))&gt;=100000), " ",IF(INDEX($AO$2:$BQ$1001,MATCH(ROWS($AH$2:AH984),$AH$2:$AH$1001,0),MATCH(COLUMNS($AO$1006:BG1006),$AO$1006:$BQ$1006,0)), HYPERLINK("#",""), HYPERLINK(CONCATENATE("#Metadata!", ADDRESS(INDEX($AJ$2:$AJ$1001,MATCH(ROWS($AH$2:AH984),$AH$2:$AH$1001,0),0), INDEX($AO$1004:$BQ$1004,1,MATCH(COLUMNS($AO$1006:BG1006),$AO$1006:$BQ$1006,0)))),"Fix")))</f>
        <v>#N/A</v>
      </c>
      <c r="U984" s="5" t="e">
        <f ca="1">IF(OR(INDEX($AI$2:$AI$1001,MATCH(ROWS($AH$2:AH984),$AH$2:$AH$1001,0),1)&gt;=100000,INDEX($AO$1005:$BQ$1005,1,MATCH(COLUMNS($AO$1006:BH1006),$AO$1006:$BQ$1006,0))&gt;=100000), " ",IF(INDEX($AO$2:$BQ$1001,MATCH(ROWS($AH$2:AH984),$AH$2:$AH$1001,0),MATCH(COLUMNS($AO$1006:BH1006),$AO$1006:$BQ$1006,0)), HYPERLINK("#",""), HYPERLINK(CONCATENATE("#Metadata!", ADDRESS(INDEX($AJ$2:$AJ$1001,MATCH(ROWS($AH$2:AH984),$AH$2:$AH$1001,0),0), INDEX($AO$1004:$BQ$1004,1,MATCH(COLUMNS($AO$1006:BH1006),$AO$1006:$BQ$1006,0)))),"Fix")))</f>
        <v>#N/A</v>
      </c>
      <c r="V984" s="5" t="e">
        <f ca="1">IF(OR(INDEX($AI$2:$AI$1001,MATCH(ROWS($AH$2:AH984),$AH$2:$AH$1001,0),1)&gt;=100000,INDEX($AO$1005:$BQ$1005,1,MATCH(COLUMNS($AO$1006:BI1006),$AO$1006:$BQ$1006,0))&gt;=100000), " ",IF(INDEX($AO$2:$BQ$1001,MATCH(ROWS($AH$2:AH984),$AH$2:$AH$1001,0),MATCH(COLUMNS($AO$1006:BI1006),$AO$1006:$BQ$1006,0)), HYPERLINK("#",""), HYPERLINK(CONCATENATE("#Metadata!", ADDRESS(INDEX($AJ$2:$AJ$1001,MATCH(ROWS($AH$2:AH984),$AH$2:$AH$1001,0),0), INDEX($AO$1004:$BQ$1004,1,MATCH(COLUMNS($AO$1006:BI1006),$AO$1006:$BQ$1006,0)))),"Fix")))</f>
        <v>#N/A</v>
      </c>
      <c r="W984" s="5" t="e">
        <f ca="1">IF(OR(INDEX($AI$2:$AI$1001,MATCH(ROWS($AH$2:AH984),$AH$2:$AH$1001,0),1)&gt;=100000,INDEX($AO$1005:$BQ$1005,1,MATCH(COLUMNS($AO$1006:BJ1006),$AO$1006:$BQ$1006,0))&gt;=100000), " ",IF(INDEX($AO$2:$BQ$1001,MATCH(ROWS($AH$2:AH984),$AH$2:$AH$1001,0),MATCH(COLUMNS($AO$1006:BJ1006),$AO$1006:$BQ$1006,0)), HYPERLINK("#",""), HYPERLINK(CONCATENATE("#Metadata!", ADDRESS(INDEX($AJ$2:$AJ$1001,MATCH(ROWS($AH$2:AH984),$AH$2:$AH$1001,0),0), INDEX($AO$1004:$BQ$1004,1,MATCH(COLUMNS($AO$1006:BJ1006),$AO$1006:$BQ$1006,0)))),"Fix")))</f>
        <v>#N/A</v>
      </c>
      <c r="X984" s="5" t="e">
        <f ca="1">IF(OR(INDEX($AI$2:$AI$1001,MATCH(ROWS($AH$2:AH984),$AH$2:$AH$1001,0),1)&gt;=100000,INDEX($AO$1005:$BQ$1005,1,MATCH(COLUMNS($AO$1006:BK1006),$AO$1006:$BQ$1006,0))&gt;=100000), " ",IF(INDEX($AO$2:$BQ$1001,MATCH(ROWS($AH$2:AH984),$AH$2:$AH$1001,0),MATCH(COLUMNS($AO$1006:BK1006),$AO$1006:$BQ$1006,0)), HYPERLINK("#",""), HYPERLINK(CONCATENATE("#Metadata!", ADDRESS(INDEX($AJ$2:$AJ$1001,MATCH(ROWS($AH$2:AH984),$AH$2:$AH$1001,0),0), INDEX($AO$1004:$BQ$1004,1,MATCH(COLUMNS($AO$1006:BK1006),$AO$1006:$BQ$1006,0)))),"Fix")))</f>
        <v>#N/A</v>
      </c>
      <c r="Y984" s="5" t="e">
        <f ca="1">IF(OR(INDEX($AI$2:$AI$1001,MATCH(ROWS($AH$2:AH984),$AH$2:$AH$1001,0),1)&gt;=100000,INDEX($AO$1005:$BQ$1005,1,MATCH(COLUMNS($AO$1006:BL1006),$AO$1006:$BQ$1006,0))&gt;=100000), " ",IF(INDEX($AO$2:$BQ$1001,MATCH(ROWS($AH$2:AH984),$AH$2:$AH$1001,0),MATCH(COLUMNS($AO$1006:BL1006),$AO$1006:$BQ$1006,0)), HYPERLINK("#",""), HYPERLINK(CONCATENATE("#Metadata!", ADDRESS(INDEX($AJ$2:$AJ$1001,MATCH(ROWS($AH$2:AH984),$AH$2:$AH$1001,0),0), INDEX($AO$1004:$BQ$1004,1,MATCH(COLUMNS($AO$1006:BL1006),$AO$1006:$BQ$1006,0)))),"Fix")))</f>
        <v>#N/A</v>
      </c>
      <c r="Z984" s="5" t="e">
        <f ca="1">IF(OR(INDEX($AI$2:$AI$1001,MATCH(ROWS($AH$2:AH984),$AH$2:$AH$1001,0),1)&gt;=100000,INDEX($AO$1005:$BQ$1005,1,MATCH(COLUMNS($AO$1006:BM1006),$AO$1006:$BQ$1006,0))&gt;=100000), " ",IF(INDEX($AO$2:$BQ$1001,MATCH(ROWS($AH$2:AH984),$AH$2:$AH$1001,0),MATCH(COLUMNS($AO$1006:BM1006),$AO$1006:$BQ$1006,0)), HYPERLINK("#",""), HYPERLINK(CONCATENATE("#Metadata!", ADDRESS(INDEX($AJ$2:$AJ$1001,MATCH(ROWS($AH$2:AH984),$AH$2:$AH$1001,0),0), INDEX($AO$1004:$BQ$1004,1,MATCH(COLUMNS($AO$1006:BM1006),$AO$1006:$BQ$1006,0)))),"Fix")))</f>
        <v>#N/A</v>
      </c>
      <c r="AA984" s="5" t="e">
        <f ca="1">IF(OR(INDEX($AI$2:$AI$1001,MATCH(ROWS($AH$2:AH984),$AH$2:$AH$1001,0),1)&gt;=100000,INDEX($AO$1005:$BQ$1005,1,MATCH(COLUMNS($AO$1006:BN1006),$AO$1006:$BQ$1006,0))&gt;=100000), " ",IF(INDEX($AO$2:$BQ$1001,MATCH(ROWS($AH$2:AH984),$AH$2:$AH$1001,0),MATCH(COLUMNS($AO$1006:BN1006),$AO$1006:$BQ$1006,0)), HYPERLINK("#",""), HYPERLINK(CONCATENATE("#Metadata!", ADDRESS(INDEX($AJ$2:$AJ$1001,MATCH(ROWS($AH$2:AH984),$AH$2:$AH$1001,0),0), INDEX($AO$1004:$BQ$1004,1,MATCH(COLUMNS($AO$1006:BN1006),$AO$1006:$BQ$1006,0)))),"Fix")))</f>
        <v>#N/A</v>
      </c>
      <c r="AB984" s="5" t="e">
        <f ca="1">IF(OR(INDEX($AI$2:$AI$1001,MATCH(ROWS($AH$2:AH984),$AH$2:$AH$1001,0),1)&gt;=100000,INDEX($AO$1005:$BQ$1005,1,MATCH(COLUMNS($AO$1006:BO1006),$AO$1006:$BQ$1006,0))&gt;=100000), " ",IF(INDEX($AO$2:$BQ$1001,MATCH(ROWS($AH$2:AH984),$AH$2:$AH$1001,0),MATCH(COLUMNS($AO$1006:BO1006),$AO$1006:$BQ$1006,0)), HYPERLINK("#",""), HYPERLINK(CONCATENATE("#Metadata!", ADDRESS(INDEX($AJ$2:$AJ$1001,MATCH(ROWS($AH$2:AH984),$AH$2:$AH$1001,0),0), INDEX($AO$1004:$BQ$1004,1,MATCH(COLUMNS($AO$1006:BO1006),$AO$1006:$BQ$1006,0)))),"Fix")))</f>
        <v>#N/A</v>
      </c>
      <c r="AC984" s="5" t="e">
        <f ca="1">IF(OR(INDEX($AI$2:$AI$1001,MATCH(ROWS($AH$2:AH984),$AH$2:$AH$1001,0),1)&gt;=100000,INDEX($AO$1005:$BQ$1005,1,MATCH(COLUMNS($AO$1006:BP1006),$AO$1006:$BQ$1006,0))&gt;=100000), " ",IF(INDEX($AO$2:$BQ$1001,MATCH(ROWS($AH$2:AH984),$AH$2:$AH$1001,0),MATCH(COLUMNS($AO$1006:BP1006),$AO$1006:$BQ$1006,0)), HYPERLINK("#",""), HYPERLINK(CONCATENATE("#Metadata!", ADDRESS(INDEX($AJ$2:$AJ$1001,MATCH(ROWS($AH$2:AH984),$AH$2:$AH$1001,0),0), INDEX($AO$1004:$BQ$1004,1,MATCH(COLUMNS($AO$1006:BP1006),$AO$1006:$BQ$1006,0)))),"Fix")))</f>
        <v>#N/A</v>
      </c>
      <c r="AD984" s="5" t="e">
        <f ca="1">IF(OR(INDEX($AI$2:$AI$1001,MATCH(ROWS($AH$2:AH984),$AH$2:$AH$1001,0),1)&gt;=100000,INDEX($AO$1005:$BQ$1005,1,MATCH(COLUMNS($AO$1006:BQ1006),$AO$1006:$BQ$1006,0))&gt;=100000), " ",IF(INDEX($AO$2:$BQ$1001,MATCH(ROWS($AH$2:AH984),$AH$2:$AH$1001,0),MATCH(COLUMNS($AO$1006:BQ1006),$AO$1006:$BQ$1006,0)), HYPERLINK("#",""), HYPERLINK(CONCATENATE("#Metadata!", ADDRESS(INDEX($AJ$2:$AJ$1001,MATCH(ROWS($AH$2:AH984),$AH$2:$AH$1001,0),0), INDEX($AO$1004:$BQ$1004,1,MATCH(COLUMNS($AO$1006:BQ1006),$AO$1006:$BQ$1006,0)))),"Fix")))</f>
        <v>#REF!</v>
      </c>
      <c r="AH984">
        <f ca="1"/>
        <v>981</v>
      </c>
      <c r="AI984">
        <v>100984</v>
      </c>
      <c r="AJ984">
        <v>984</v>
      </c>
      <c r="AK984" t="b">
        <f t="shared" si="15"/>
        <v>1</v>
      </c>
      <c r="AL984" t="b">
        <f>COUNTBLANK(Metadata!B984:AD984)=COLUMNS(Metadata!B984:AD984)</f>
        <v>1</v>
      </c>
      <c r="AM984" t="str">
        <v/>
      </c>
      <c r="AO984" t="b">
        <f ca="1">AND(IF(Metadata!B984="",FALSE,TRUE),COUNTIF(Metadata!B:B, Metadata!B984) = 1,NOT(ISERROR(SUMPRODUCT(SEARCH(MID(Metadata!B984,ROW(INDIRECT("1:"&amp;LEN(Metadata!B984))), 1),"0123456789abcdefghijklmnopqrstuvwxyzABCDEFGHIJKLMNOPQRSTUVWXYZ.")))))</f>
        <v>0</v>
      </c>
      <c r="AP984" t="b">
        <f>IF(Metadata!C984="",FALSE,TRUE)</f>
        <v>0</v>
      </c>
      <c r="AQ984" t="b">
        <f>IF(Metadata!D984="",FALSE,TRUE)</f>
        <v>0</v>
      </c>
      <c r="AR984" t="b">
        <f ca="1">OR(AND(IF(Metadata!E984="",FALSE,TRUE),OR(EXACT(Metadata!E984,"not collected"),EXACT(Metadata!E984,"not provided"),EXACT(Metadata!E984,"restricted access"))),AND(IF(Metadata!E984="",FALSE,TRUE),AND(AND(IFERROR(INT(LEFT(Metadata!E984,4))&gt;1900,FALSE),IFERROR(INT(LEFT(Metadata!E984,4))&lt;=YEAR(NOW()),FALSE)), OR(MID(Metadata!E984,5,1)="", AND(AND(MID(Metadata!E984,5,1)="-",IFERROR(INT(MID(Metadata!E984,6,1))&gt;=0,FALSE),IFERROR(INT(MID(Metadata!E984,6,1))&lt;=1,FALSE),NOT(MID(Metadata!E984,7,1)=""),IFERROR(INT(MID(Metadata!E984,6,2))&gt;=1,FALSE),IFERROR(INT(MID(Metadata!E984,6,2))&lt;=12,FALSE)), OR(MID(Metadata!E984,8,1)="", AND(AND(MID(Metadata!E984,8,1)="-",IFERROR(INT(MID(Metadata!E984,9,1))&gt;=0,FALSE),IFERROR(INT(MID(Metadata!E984,9,1))&lt;=3,FALSE),NOT(MID(Metadata!E984,10,1)=""),IFERROR(INT(MID(Metadata!E984,9,2))&gt;=1,FALSE),IFERROR(INT(MID(Metadata!E984,9,2))&lt;=31,FALSE)), OR(MID(Metadata!E984,11,1)="", AND(AND(MID(Metadata!E984,11,1)=" ",IFERROR(INT(MID(Metadata!E984,12,1))&gt;=0,FALSE),IFERROR(INT(MID(Metadata!E984,12,1))&lt;=2,FALSE),NOT(MID(Metadata!E984,13,1)=""),IFERROR(INT(MID(Metadata!E984,12,2))&gt;=0,FALSE),IFERROR(INT(MID(Metadata!E984,12,2))&lt;=23,FALSE)), OR(MID(Metadata!E984,14,1)="", AND(AND(MID(Metadata!E984,14,1)=":",IFERROR(INT(MID(Metadata!E984,15,1))&gt;=0,FALSE),IFERROR(INT(MID(Metadata!E984,15,1))&lt;=5,FALSE),NOT(MID(Metadata!E984,16,1)=""),IFERROR(INT(MID(Metadata!E984,15,2))&gt;=0,FALSE),IFERROR(INT(MID(Metadata!E984,15,2))&lt;=59,FALSE)), OR(MID(Metadata!E984,17,1)="", AND(AND(MID(Metadata!E984,17,1)=":",IFERROR(INT(MID(Metadata!E984,18,1))&gt;=0,FALSE),IFERROR(INT(MID(Metadata!E984,18,1))&lt;=5,FALSE),NOT(MID(Metadata!E984,19,1)=""),IFERROR(INT(MID(Metadata!E984,18,2))&gt;=0,FALSE),IFERROR(INT(MID(Metadata!E984,18,2))&lt;=59,FALSE)), LEN(Metadata!E984)&lt;=19)))))))))))))</f>
        <v>0</v>
      </c>
      <c r="AS984" t="b">
        <f>IF(Metadata!F984="",FALSE,TRUE)</f>
        <v>0</v>
      </c>
      <c r="AT984" t="b">
        <f>OR(AND(IF(Metadata!G984="",FALSE,TRUE),OR(EXACT(Metadata!G984,"not collected"),EXACT(Metadata!G984,"not provided"))),AND(IF(Metadata!G984="",FALSE,TRUE),OR(EXACT(Metadata!G984,"TRUE"),EXACT(Metadata!G984,"FALSE"))))</f>
        <v>0</v>
      </c>
      <c r="AU984" t="b">
        <f>OR(AND(IF(Metadata!H984="",FALSE,TRUE),OR(EXACT(Metadata!H984,"not collected"),EXACT(Metadata!H984,"not provided"),EXACT(Metadata!H984,"restricted access"))),AND(IF(Metadata!H984="",FALSE,ISNUMBER(VALUE(Metadata!H984))),Metadata!H984&gt;=-413))</f>
        <v>0</v>
      </c>
      <c r="AV984" t="b">
        <f>AND(IF(Metadata!I984="",FALSE,TRUE),EXACT(Metadata!I984,"meters"))</f>
        <v>0</v>
      </c>
      <c r="AW984" t="b">
        <f>AND(IF(Metadata!J984="",FALSE,TRUE),EXACT(Metadata!J984,"free-living"))</f>
        <v>0</v>
      </c>
      <c r="AX984" t="b">
        <f>AND(IF(Metadata!K984="",FALSE,TRUE),OR(EXACT(Metadata!K984,"saline"),EXACT(Metadata!K984,"non-saline")))</f>
        <v>0</v>
      </c>
      <c r="AY984" t="b">
        <f>AND(IF(Metadata!L984="",FALSE,TRUE),OR(EXACT(Metadata!L984,"sub-surface (non-saline)"),EXACT(Metadata!L984,"surface (non-saline)"),EXACT(Metadata!L984,"water (non-saline)"),EXACT(Metadata!L984,"soil (non-saline)"),EXACT(Metadata!L984,"aerosol (non-saline)"),EXACT(Metadata!L984,"sediment (non-saline)"),EXACT(Metadata!L984,"surface (saline)"),EXACT(Metadata!L984,"water (saline)"),EXACT(Metadata!L984,"hypersaline (saline)"),EXACT(Metadata!L984,"aerosol (saline)"),EXACT(Metadata!L984,"sediment (saline)")))</f>
        <v>0</v>
      </c>
      <c r="AZ984" t="b">
        <f>IF(Metadata!M984="",FALSE,TRUE)</f>
        <v>0</v>
      </c>
      <c r="BA984" t="b">
        <f>IF(Metadata!N984="",FALSE,TRUE)</f>
        <v>0</v>
      </c>
      <c r="BB984" t="b">
        <f>IF(Metadata!O984="",FALSE,TRUE)</f>
        <v>0</v>
      </c>
      <c r="BC984" t="b">
        <f>AND(IF(Metadata!P984="",FALSE,TRUE),OR(EXACT(Metadata!P984,"air"),EXACT(Metadata!P984,"microbial mat/biofilm"),EXACT(Metadata!P984,"misc environment"),EXACT(Metadata!P984,"sediment"),EXACT(Metadata!P984,"soil"),EXACT(Metadata!P984,"wastewater/sludge"),EXACT(Metadata!P984,"water")))</f>
        <v>0</v>
      </c>
      <c r="BD984" t="b">
        <f>IF(Metadata!Q984="",FALSE,TRUE)</f>
        <v>0</v>
      </c>
      <c r="BE984" t="b">
        <f>IF(Metadata!R984="",FALSE,TRUE)</f>
        <v>0</v>
      </c>
      <c r="BF984" t="b">
        <f>OR(AND(IF(Metadata!S984="",FALSE,TRUE),OR(EXACT(Metadata!S984,"not collected"),EXACT(Metadata!S984,"not provided"),EXACT(Metadata!S984,"restricted access"))),AND(IF(Metadata!S984="",FALSE,ISNUMBER(VALUE(Metadata!S984))),Metadata!S984&gt;=-90,Metadata!S984&lt;=90))</f>
        <v>0</v>
      </c>
      <c r="BG984" t="b">
        <f>AND(IF(Metadata!T984="",FALSE,TRUE),EXACT(Metadata!T984,"Decimal degrees"))</f>
        <v>0</v>
      </c>
      <c r="BH984" t="b">
        <f>OR(AND(IF(Metadata!U984="",FALSE,TRUE),OR(EXACT(Metadata!U984,"not applicable"),EXACT(Metadata!U984,"not collected"))),IF(Metadata!U984="",FALSE,TRUE))</f>
        <v>0</v>
      </c>
      <c r="BI984" t="b">
        <f>OR(AND(IF(Metadata!V984="",FALSE,TRUE),OR(EXACT(Metadata!V984,"not collected"),EXACT(Metadata!V984,"not provided"),EXACT(Metadata!V984,"restricted access"))),AND(IF(Metadata!V984="",FALSE,ISNUMBER(VALUE(Metadata!V984))),Metadata!V984&gt;=-180,Metadata!V984&lt;=180))</f>
        <v>0</v>
      </c>
      <c r="BJ984" t="b">
        <f>AND(IF(Metadata!W984="",FALSE,TRUE),EXACT(Metadata!W984,"Decimal degrees"))</f>
        <v>0</v>
      </c>
      <c r="BK984" t="b">
        <f>IF(Metadata!X984="",FALSE,TRUE)</f>
        <v>0</v>
      </c>
      <c r="BL984" t="b">
        <f>OR(AND(IF(Metadata!Y984="",FALSE,TRUE),OR(EXACT(Metadata!Y984,"not collected"),EXACT(Metadata!Y984,"not provided"),EXACT(Metadata!Y984,"restricted access"))),AND(IF(Metadata!Y984="",FALSE,TRUE),OR(EXACT(Metadata!Y984,"TRUE"),EXACT(Metadata!Y984,"FALSE"))))</f>
        <v>0</v>
      </c>
      <c r="BM984" t="b">
        <f>OR(AND(IF(Metadata!Z984="",FALSE,TRUE),EXACT(Metadata!Z984,"not applicable")),AND(IF(Metadata!Z984="",FALSE,TRUE),OR(EXACT(Metadata!Z984,"beer"),EXACT(Metadata!Z984,"cheese"),EXACT(Metadata!Z984,"fresh water"),EXACT(Metadata!Z984,"marine sediment"),EXACT(Metadata!Z984,"sea water"),EXACT(Metadata!Z984,"sediment"),EXACT(Metadata!Z984,"soil"),EXACT(Metadata!Z984,"waste water"))))</f>
        <v>0</v>
      </c>
      <c r="BN984" t="b">
        <f>AND(IF(Metadata!AA984="",FALSE,TRUE),EXACT(Metadata!AA984,"metagenome"))</f>
        <v>0</v>
      </c>
      <c r="BO984" t="b">
        <f>AND(IF(Metadata!AB984="",FALSE,TRUE),EXACT(Metadata!AB984,"256318"))</f>
        <v>0</v>
      </c>
      <c r="BP984" t="b">
        <f>IF(Metadata!AC984="",FALSE,TRUE)</f>
        <v>0</v>
      </c>
      <c r="BQ984" t="b">
        <f>IF(Metadata!AD984="",FALSE,TRUE)</f>
        <v>0</v>
      </c>
    </row>
    <row r="985" spans="1:69" x14ac:dyDescent="0.2">
      <c r="A985" s="4" t="e">
        <f ca="1">IF(B985=" "," ",HYPERLINK(CONCATENATE("#metadata!",ADDRESS(INDEX($AJ$2:$AJ$1001,MATCH(ROWS($AH$2:AH985),$AH$2:$AH$1001,0),0),2)),INDEX($AM$2:$AM$1001,MATCH(ROWS($AH$2:AH985),$AH$2:$AH$1001,0),0)))</f>
        <v>#N/A</v>
      </c>
      <c r="B985" s="5" t="e">
        <f ca="1">IF(OR(INDEX($AI$2:$AI$1001,MATCH(ROWS($AH$2:AH985),$AH$2:$AH$1001,0),1)&gt;=100000,INDEX($AO$1005:$BQ$1005,1,MATCH(COLUMNS($AO$1006:AO1006),$AO$1006:$BQ$1006,0))&gt;=100000), " ",IF(INDEX($AO$2:$BQ$1001,MATCH(ROWS($AH$2:AH985),$AH$2:$AH$1001,0),MATCH(COLUMNS($AO$1006:AO1006),$AO$1006:$BQ$1006,0)), HYPERLINK("#",""), HYPERLINK(CONCATENATE("#Metadata!", ADDRESS(INDEX($AJ$2:$AJ$1001,MATCH(ROWS($AH$2:AH985),$AH$2:$AH$1001,0),0), INDEX($AO$1004:$BQ$1004,1,MATCH(COLUMNS($AO$1006:AO1006),$AO$1006:$BQ$1006,0)))),"Fix")))</f>
        <v>#N/A</v>
      </c>
      <c r="C985" s="5" t="e">
        <f ca="1">IF(OR(INDEX($AI$2:$AI$1001,MATCH(ROWS($AH$2:AH985),$AH$2:$AH$1001,0),1)&gt;=100000,INDEX($AO$1005:$BQ$1005,1,MATCH(COLUMNS($AO$1006:AP1006),$AO$1006:$BQ$1006,0))&gt;=100000), " ",IF(INDEX($AO$2:$BQ$1001,MATCH(ROWS($AH$2:AH985),$AH$2:$AH$1001,0),MATCH(COLUMNS($AO$1006:AP1006),$AO$1006:$BQ$1006,0)), HYPERLINK("#",""), HYPERLINK(CONCATENATE("#Metadata!", ADDRESS(INDEX($AJ$2:$AJ$1001,MATCH(ROWS($AH$2:AH985),$AH$2:$AH$1001,0),0), INDEX($AO$1004:$BQ$1004,1,MATCH(COLUMNS($AO$1006:AP1006),$AO$1006:$BQ$1006,0)))),"Fix")))</f>
        <v>#N/A</v>
      </c>
      <c r="D985" s="5" t="e">
        <f ca="1">IF(OR(INDEX($AI$2:$AI$1001,MATCH(ROWS($AH$2:AH985),$AH$2:$AH$1001,0),1)&gt;=100000,INDEX($AO$1005:$BQ$1005,1,MATCH(COLUMNS($AO$1006:AQ1006),$AO$1006:$BQ$1006,0))&gt;=100000), " ",IF(INDEX($AO$2:$BQ$1001,MATCH(ROWS($AH$2:AH985),$AH$2:$AH$1001,0),MATCH(COLUMNS($AO$1006:AQ1006),$AO$1006:$BQ$1006,0)), HYPERLINK("#",""), HYPERLINK(CONCATENATE("#Metadata!", ADDRESS(INDEX($AJ$2:$AJ$1001,MATCH(ROWS($AH$2:AH985),$AH$2:$AH$1001,0),0), INDEX($AO$1004:$BQ$1004,1,MATCH(COLUMNS($AO$1006:AQ1006),$AO$1006:$BQ$1006,0)))),"Fix")))</f>
        <v>#N/A</v>
      </c>
      <c r="E985" s="5" t="e">
        <f ca="1">IF(OR(INDEX($AI$2:$AI$1001,MATCH(ROWS($AH$2:AH985),$AH$2:$AH$1001,0),1)&gt;=100000,INDEX($AO$1005:$BQ$1005,1,MATCH(COLUMNS($AO$1006:AR1006),$AO$1006:$BQ$1006,0))&gt;=100000), " ",IF(INDEX($AO$2:$BQ$1001,MATCH(ROWS($AH$2:AH985),$AH$2:$AH$1001,0),MATCH(COLUMNS($AO$1006:AR1006),$AO$1006:$BQ$1006,0)), HYPERLINK("#",""), HYPERLINK(CONCATENATE("#Metadata!", ADDRESS(INDEX($AJ$2:$AJ$1001,MATCH(ROWS($AH$2:AH985),$AH$2:$AH$1001,0),0), INDEX($AO$1004:$BQ$1004,1,MATCH(COLUMNS($AO$1006:AR1006),$AO$1006:$BQ$1006,0)))),"Fix")))</f>
        <v>#N/A</v>
      </c>
      <c r="F985" s="5" t="e">
        <f ca="1">IF(OR(INDEX($AI$2:$AI$1001,MATCH(ROWS($AH$2:AH985),$AH$2:$AH$1001,0),1)&gt;=100000,INDEX($AO$1005:$BQ$1005,1,MATCH(COLUMNS($AO$1006:AS1006),$AO$1006:$BQ$1006,0))&gt;=100000), " ",IF(INDEX($AO$2:$BQ$1001,MATCH(ROWS($AH$2:AH985),$AH$2:$AH$1001,0),MATCH(COLUMNS($AO$1006:AS1006),$AO$1006:$BQ$1006,0)), HYPERLINK("#",""), HYPERLINK(CONCATENATE("#Metadata!", ADDRESS(INDEX($AJ$2:$AJ$1001,MATCH(ROWS($AH$2:AH985),$AH$2:$AH$1001,0),0), INDEX($AO$1004:$BQ$1004,1,MATCH(COLUMNS($AO$1006:AS1006),$AO$1006:$BQ$1006,0)))),"Fix")))</f>
        <v>#N/A</v>
      </c>
      <c r="G985" s="5" t="e">
        <f ca="1">IF(OR(INDEX($AI$2:$AI$1001,MATCH(ROWS($AH$2:AH985),$AH$2:$AH$1001,0),1)&gt;=100000,INDEX($AO$1005:$BQ$1005,1,MATCH(COLUMNS($AO$1006:AT1006),$AO$1006:$BQ$1006,0))&gt;=100000), " ",IF(INDEX($AO$2:$BQ$1001,MATCH(ROWS($AH$2:AH985),$AH$2:$AH$1001,0),MATCH(COLUMNS($AO$1006:AT1006),$AO$1006:$BQ$1006,0)), HYPERLINK("#",""), HYPERLINK(CONCATENATE("#Metadata!", ADDRESS(INDEX($AJ$2:$AJ$1001,MATCH(ROWS($AH$2:AH985),$AH$2:$AH$1001,0),0), INDEX($AO$1004:$BQ$1004,1,MATCH(COLUMNS($AO$1006:AT1006),$AO$1006:$BQ$1006,0)))),"Fix")))</f>
        <v>#N/A</v>
      </c>
      <c r="H985" s="5" t="e">
        <f ca="1">IF(OR(INDEX($AI$2:$AI$1001,MATCH(ROWS($AH$2:AH985),$AH$2:$AH$1001,0),1)&gt;=100000,INDEX($AO$1005:$BQ$1005,1,MATCH(COLUMNS($AO$1006:AU1006),$AO$1006:$BQ$1006,0))&gt;=100000), " ",IF(INDEX($AO$2:$BQ$1001,MATCH(ROWS($AH$2:AH985),$AH$2:$AH$1001,0),MATCH(COLUMNS($AO$1006:AU1006),$AO$1006:$BQ$1006,0)), HYPERLINK("#",""), HYPERLINK(CONCATENATE("#Metadata!", ADDRESS(INDEX($AJ$2:$AJ$1001,MATCH(ROWS($AH$2:AH985),$AH$2:$AH$1001,0),0), INDEX($AO$1004:$BQ$1004,1,MATCH(COLUMNS($AO$1006:AU1006),$AO$1006:$BQ$1006,0)))),"Fix")))</f>
        <v>#N/A</v>
      </c>
      <c r="I985" s="5" t="e">
        <f ca="1">IF(OR(INDEX($AI$2:$AI$1001,MATCH(ROWS($AH$2:AH985),$AH$2:$AH$1001,0),1)&gt;=100000,INDEX($AO$1005:$BQ$1005,1,MATCH(COLUMNS($AO$1006:AV1006),$AO$1006:$BQ$1006,0))&gt;=100000), " ",IF(INDEX($AO$2:$BQ$1001,MATCH(ROWS($AH$2:AH985),$AH$2:$AH$1001,0),MATCH(COLUMNS($AO$1006:AV1006),$AO$1006:$BQ$1006,0)), HYPERLINK("#",""), HYPERLINK(CONCATENATE("#Metadata!", ADDRESS(INDEX($AJ$2:$AJ$1001,MATCH(ROWS($AH$2:AH985),$AH$2:$AH$1001,0),0), INDEX($AO$1004:$BQ$1004,1,MATCH(COLUMNS($AO$1006:AV1006),$AO$1006:$BQ$1006,0)))),"Fix")))</f>
        <v>#N/A</v>
      </c>
      <c r="J985" s="5" t="e">
        <f ca="1">IF(OR(INDEX($AI$2:$AI$1001,MATCH(ROWS($AH$2:AH985),$AH$2:$AH$1001,0),1)&gt;=100000,INDEX($AO$1005:$BQ$1005,1,MATCH(COLUMNS($AO$1006:AW1006),$AO$1006:$BQ$1006,0))&gt;=100000), " ",IF(INDEX($AO$2:$BQ$1001,MATCH(ROWS($AH$2:AH985),$AH$2:$AH$1001,0),MATCH(COLUMNS($AO$1006:AW1006),$AO$1006:$BQ$1006,0)), HYPERLINK("#",""), HYPERLINK(CONCATENATE("#Metadata!", ADDRESS(INDEX($AJ$2:$AJ$1001,MATCH(ROWS($AH$2:AH985),$AH$2:$AH$1001,0),0), INDEX($AO$1004:$BQ$1004,1,MATCH(COLUMNS($AO$1006:AW1006),$AO$1006:$BQ$1006,0)))),"Fix")))</f>
        <v>#N/A</v>
      </c>
      <c r="K985" s="5" t="e">
        <f ca="1">IF(OR(INDEX($AI$2:$AI$1001,MATCH(ROWS($AH$2:AH985),$AH$2:$AH$1001,0),1)&gt;=100000,INDEX($AO$1005:$BQ$1005,1,MATCH(COLUMNS($AO$1006:AX1006),$AO$1006:$BQ$1006,0))&gt;=100000), " ",IF(INDEX($AO$2:$BQ$1001,MATCH(ROWS($AH$2:AH985),$AH$2:$AH$1001,0),MATCH(COLUMNS($AO$1006:AX1006),$AO$1006:$BQ$1006,0)), HYPERLINK("#",""), HYPERLINK(CONCATENATE("#Metadata!", ADDRESS(INDEX($AJ$2:$AJ$1001,MATCH(ROWS($AH$2:AH985),$AH$2:$AH$1001,0),0), INDEX($AO$1004:$BQ$1004,1,MATCH(COLUMNS($AO$1006:AX1006),$AO$1006:$BQ$1006,0)))),"Fix")))</f>
        <v>#N/A</v>
      </c>
      <c r="L985" s="5" t="e">
        <f ca="1">IF(OR(INDEX($AI$2:$AI$1001,MATCH(ROWS($AH$2:AH985),$AH$2:$AH$1001,0),1)&gt;=100000,INDEX($AO$1005:$BQ$1005,1,MATCH(COLUMNS($AO$1006:AY1006),$AO$1006:$BQ$1006,0))&gt;=100000), " ",IF(INDEX($AO$2:$BQ$1001,MATCH(ROWS($AH$2:AH985),$AH$2:$AH$1001,0),MATCH(COLUMNS($AO$1006:AY1006),$AO$1006:$BQ$1006,0)), HYPERLINK("#",""), HYPERLINK(CONCATENATE("#Metadata!", ADDRESS(INDEX($AJ$2:$AJ$1001,MATCH(ROWS($AH$2:AH985),$AH$2:$AH$1001,0),0), INDEX($AO$1004:$BQ$1004,1,MATCH(COLUMNS($AO$1006:AY1006),$AO$1006:$BQ$1006,0)))),"Fix")))</f>
        <v>#N/A</v>
      </c>
      <c r="M985" s="5" t="e">
        <f ca="1">IF(OR(INDEX($AI$2:$AI$1001,MATCH(ROWS($AH$2:AH985),$AH$2:$AH$1001,0),1)&gt;=100000,INDEX($AO$1005:$BQ$1005,1,MATCH(COLUMNS($AO$1006:AZ1006),$AO$1006:$BQ$1006,0))&gt;=100000), " ",IF(INDEX($AO$2:$BQ$1001,MATCH(ROWS($AH$2:AH985),$AH$2:$AH$1001,0),MATCH(COLUMNS($AO$1006:AZ1006),$AO$1006:$BQ$1006,0)), HYPERLINK("#",""), HYPERLINK(CONCATENATE("#Metadata!", ADDRESS(INDEX($AJ$2:$AJ$1001,MATCH(ROWS($AH$2:AH985),$AH$2:$AH$1001,0),0), INDEX($AO$1004:$BQ$1004,1,MATCH(COLUMNS($AO$1006:AZ1006),$AO$1006:$BQ$1006,0)))),"Fix")))</f>
        <v>#N/A</v>
      </c>
      <c r="N985" s="5" t="e">
        <f ca="1">IF(OR(INDEX($AI$2:$AI$1001,MATCH(ROWS($AH$2:AH985),$AH$2:$AH$1001,0),1)&gt;=100000,INDEX($AO$1005:$BQ$1005,1,MATCH(COLUMNS($AO$1006:BA1006),$AO$1006:$BQ$1006,0))&gt;=100000), " ",IF(INDEX($AO$2:$BQ$1001,MATCH(ROWS($AH$2:AH985),$AH$2:$AH$1001,0),MATCH(COLUMNS($AO$1006:BA1006),$AO$1006:$BQ$1006,0)), HYPERLINK("#",""), HYPERLINK(CONCATENATE("#Metadata!", ADDRESS(INDEX($AJ$2:$AJ$1001,MATCH(ROWS($AH$2:AH985),$AH$2:$AH$1001,0),0), INDEX($AO$1004:$BQ$1004,1,MATCH(COLUMNS($AO$1006:BA1006),$AO$1006:$BQ$1006,0)))),"Fix")))</f>
        <v>#N/A</v>
      </c>
      <c r="O985" s="5" t="e">
        <f ca="1">IF(OR(INDEX($AI$2:$AI$1001,MATCH(ROWS($AH$2:AH985),$AH$2:$AH$1001,0),1)&gt;=100000,INDEX($AO$1005:$BQ$1005,1,MATCH(COLUMNS($AO$1006:BB1006),$AO$1006:$BQ$1006,0))&gt;=100000), " ",IF(INDEX($AO$2:$BQ$1001,MATCH(ROWS($AH$2:AH985),$AH$2:$AH$1001,0),MATCH(COLUMNS($AO$1006:BB1006),$AO$1006:$BQ$1006,0)), HYPERLINK("#",""), HYPERLINK(CONCATENATE("#Metadata!", ADDRESS(INDEX($AJ$2:$AJ$1001,MATCH(ROWS($AH$2:AH985),$AH$2:$AH$1001,0),0), INDEX($AO$1004:$BQ$1004,1,MATCH(COLUMNS($AO$1006:BB1006),$AO$1006:$BQ$1006,0)))),"Fix")))</f>
        <v>#N/A</v>
      </c>
      <c r="P985" s="5" t="e">
        <f ca="1">IF(OR(INDEX($AI$2:$AI$1001,MATCH(ROWS($AH$2:AH985),$AH$2:$AH$1001,0),1)&gt;=100000,INDEX($AO$1005:$BQ$1005,1,MATCH(COLUMNS($AO$1006:BC1006),$AO$1006:$BQ$1006,0))&gt;=100000), " ",IF(INDEX($AO$2:$BQ$1001,MATCH(ROWS($AH$2:AH985),$AH$2:$AH$1001,0),MATCH(COLUMNS($AO$1006:BC1006),$AO$1006:$BQ$1006,0)), HYPERLINK("#",""), HYPERLINK(CONCATENATE("#Metadata!", ADDRESS(INDEX($AJ$2:$AJ$1001,MATCH(ROWS($AH$2:AH985),$AH$2:$AH$1001,0),0), INDEX($AO$1004:$BQ$1004,1,MATCH(COLUMNS($AO$1006:BC1006),$AO$1006:$BQ$1006,0)))),"Fix")))</f>
        <v>#N/A</v>
      </c>
      <c r="Q985" s="5" t="e">
        <f ca="1">IF(OR(INDEX($AI$2:$AI$1001,MATCH(ROWS($AH$2:AH985),$AH$2:$AH$1001,0),1)&gt;=100000,INDEX($AO$1005:$BQ$1005,1,MATCH(COLUMNS($AO$1006:BD1006),$AO$1006:$BQ$1006,0))&gt;=100000), " ",IF(INDEX($AO$2:$BQ$1001,MATCH(ROWS($AH$2:AH985),$AH$2:$AH$1001,0),MATCH(COLUMNS($AO$1006:BD1006),$AO$1006:$BQ$1006,0)), HYPERLINK("#",""), HYPERLINK(CONCATENATE("#Metadata!", ADDRESS(INDEX($AJ$2:$AJ$1001,MATCH(ROWS($AH$2:AH985),$AH$2:$AH$1001,0),0), INDEX($AO$1004:$BQ$1004,1,MATCH(COLUMNS($AO$1006:BD1006),$AO$1006:$BQ$1006,0)))),"Fix")))</f>
        <v>#N/A</v>
      </c>
      <c r="R985" s="5" t="e">
        <f ca="1">IF(OR(INDEX($AI$2:$AI$1001,MATCH(ROWS($AH$2:AH985),$AH$2:$AH$1001,0),1)&gt;=100000,INDEX($AO$1005:$BQ$1005,1,MATCH(COLUMNS($AO$1006:BE1006),$AO$1006:$BQ$1006,0))&gt;=100000), " ",IF(INDEX($AO$2:$BQ$1001,MATCH(ROWS($AH$2:AH985),$AH$2:$AH$1001,0),MATCH(COLUMNS($AO$1006:BE1006),$AO$1006:$BQ$1006,0)), HYPERLINK("#",""), HYPERLINK(CONCATENATE("#Metadata!", ADDRESS(INDEX($AJ$2:$AJ$1001,MATCH(ROWS($AH$2:AH985),$AH$2:$AH$1001,0),0), INDEX($AO$1004:$BQ$1004,1,MATCH(COLUMNS($AO$1006:BE1006),$AO$1006:$BQ$1006,0)))),"Fix")))</f>
        <v>#N/A</v>
      </c>
      <c r="S985" s="5" t="e">
        <f ca="1">IF(OR(INDEX($AI$2:$AI$1001,MATCH(ROWS($AH$2:AH985),$AH$2:$AH$1001,0),1)&gt;=100000,INDEX($AO$1005:$BQ$1005,1,MATCH(COLUMNS($AO$1006:BF1006),$AO$1006:$BQ$1006,0))&gt;=100000), " ",IF(INDEX($AO$2:$BQ$1001,MATCH(ROWS($AH$2:AH985),$AH$2:$AH$1001,0),MATCH(COLUMNS($AO$1006:BF1006),$AO$1006:$BQ$1006,0)), HYPERLINK("#",""), HYPERLINK(CONCATENATE("#Metadata!", ADDRESS(INDEX($AJ$2:$AJ$1001,MATCH(ROWS($AH$2:AH985),$AH$2:$AH$1001,0),0), INDEX($AO$1004:$BQ$1004,1,MATCH(COLUMNS($AO$1006:BF1006),$AO$1006:$BQ$1006,0)))),"Fix")))</f>
        <v>#N/A</v>
      </c>
      <c r="T985" s="5" t="e">
        <f ca="1">IF(OR(INDEX($AI$2:$AI$1001,MATCH(ROWS($AH$2:AH985),$AH$2:$AH$1001,0),1)&gt;=100000,INDEX($AO$1005:$BQ$1005,1,MATCH(COLUMNS($AO$1006:BG1006),$AO$1006:$BQ$1006,0))&gt;=100000), " ",IF(INDEX($AO$2:$BQ$1001,MATCH(ROWS($AH$2:AH985),$AH$2:$AH$1001,0),MATCH(COLUMNS($AO$1006:BG1006),$AO$1006:$BQ$1006,0)), HYPERLINK("#",""), HYPERLINK(CONCATENATE("#Metadata!", ADDRESS(INDEX($AJ$2:$AJ$1001,MATCH(ROWS($AH$2:AH985),$AH$2:$AH$1001,0),0), INDEX($AO$1004:$BQ$1004,1,MATCH(COLUMNS($AO$1006:BG1006),$AO$1006:$BQ$1006,0)))),"Fix")))</f>
        <v>#N/A</v>
      </c>
      <c r="U985" s="5" t="e">
        <f ca="1">IF(OR(INDEX($AI$2:$AI$1001,MATCH(ROWS($AH$2:AH985),$AH$2:$AH$1001,0),1)&gt;=100000,INDEX($AO$1005:$BQ$1005,1,MATCH(COLUMNS($AO$1006:BH1006),$AO$1006:$BQ$1006,0))&gt;=100000), " ",IF(INDEX($AO$2:$BQ$1001,MATCH(ROWS($AH$2:AH985),$AH$2:$AH$1001,0),MATCH(COLUMNS($AO$1006:BH1006),$AO$1006:$BQ$1006,0)), HYPERLINK("#",""), HYPERLINK(CONCATENATE("#Metadata!", ADDRESS(INDEX($AJ$2:$AJ$1001,MATCH(ROWS($AH$2:AH985),$AH$2:$AH$1001,0),0), INDEX($AO$1004:$BQ$1004,1,MATCH(COLUMNS($AO$1006:BH1006),$AO$1006:$BQ$1006,0)))),"Fix")))</f>
        <v>#N/A</v>
      </c>
      <c r="V985" s="5" t="e">
        <f ca="1">IF(OR(INDEX($AI$2:$AI$1001,MATCH(ROWS($AH$2:AH985),$AH$2:$AH$1001,0),1)&gt;=100000,INDEX($AO$1005:$BQ$1005,1,MATCH(COLUMNS($AO$1006:BI1006),$AO$1006:$BQ$1006,0))&gt;=100000), " ",IF(INDEX($AO$2:$BQ$1001,MATCH(ROWS($AH$2:AH985),$AH$2:$AH$1001,0),MATCH(COLUMNS($AO$1006:BI1006),$AO$1006:$BQ$1006,0)), HYPERLINK("#",""), HYPERLINK(CONCATENATE("#Metadata!", ADDRESS(INDEX($AJ$2:$AJ$1001,MATCH(ROWS($AH$2:AH985),$AH$2:$AH$1001,0),0), INDEX($AO$1004:$BQ$1004,1,MATCH(COLUMNS($AO$1006:BI1006),$AO$1006:$BQ$1006,0)))),"Fix")))</f>
        <v>#N/A</v>
      </c>
      <c r="W985" s="5" t="e">
        <f ca="1">IF(OR(INDEX($AI$2:$AI$1001,MATCH(ROWS($AH$2:AH985),$AH$2:$AH$1001,0),1)&gt;=100000,INDEX($AO$1005:$BQ$1005,1,MATCH(COLUMNS($AO$1006:BJ1006),$AO$1006:$BQ$1006,0))&gt;=100000), " ",IF(INDEX($AO$2:$BQ$1001,MATCH(ROWS($AH$2:AH985),$AH$2:$AH$1001,0),MATCH(COLUMNS($AO$1006:BJ1006),$AO$1006:$BQ$1006,0)), HYPERLINK("#",""), HYPERLINK(CONCATENATE("#Metadata!", ADDRESS(INDEX($AJ$2:$AJ$1001,MATCH(ROWS($AH$2:AH985),$AH$2:$AH$1001,0),0), INDEX($AO$1004:$BQ$1004,1,MATCH(COLUMNS($AO$1006:BJ1006),$AO$1006:$BQ$1006,0)))),"Fix")))</f>
        <v>#N/A</v>
      </c>
      <c r="X985" s="5" t="e">
        <f ca="1">IF(OR(INDEX($AI$2:$AI$1001,MATCH(ROWS($AH$2:AH985),$AH$2:$AH$1001,0),1)&gt;=100000,INDEX($AO$1005:$BQ$1005,1,MATCH(COLUMNS($AO$1006:BK1006),$AO$1006:$BQ$1006,0))&gt;=100000), " ",IF(INDEX($AO$2:$BQ$1001,MATCH(ROWS($AH$2:AH985),$AH$2:$AH$1001,0),MATCH(COLUMNS($AO$1006:BK1006),$AO$1006:$BQ$1006,0)), HYPERLINK("#",""), HYPERLINK(CONCATENATE("#Metadata!", ADDRESS(INDEX($AJ$2:$AJ$1001,MATCH(ROWS($AH$2:AH985),$AH$2:$AH$1001,0),0), INDEX($AO$1004:$BQ$1004,1,MATCH(COLUMNS($AO$1006:BK1006),$AO$1006:$BQ$1006,0)))),"Fix")))</f>
        <v>#N/A</v>
      </c>
      <c r="Y985" s="5" t="e">
        <f ca="1">IF(OR(INDEX($AI$2:$AI$1001,MATCH(ROWS($AH$2:AH985),$AH$2:$AH$1001,0),1)&gt;=100000,INDEX($AO$1005:$BQ$1005,1,MATCH(COLUMNS($AO$1006:BL1006),$AO$1006:$BQ$1006,0))&gt;=100000), " ",IF(INDEX($AO$2:$BQ$1001,MATCH(ROWS($AH$2:AH985),$AH$2:$AH$1001,0),MATCH(COLUMNS($AO$1006:BL1006),$AO$1006:$BQ$1006,0)), HYPERLINK("#",""), HYPERLINK(CONCATENATE("#Metadata!", ADDRESS(INDEX($AJ$2:$AJ$1001,MATCH(ROWS($AH$2:AH985),$AH$2:$AH$1001,0),0), INDEX($AO$1004:$BQ$1004,1,MATCH(COLUMNS($AO$1006:BL1006),$AO$1006:$BQ$1006,0)))),"Fix")))</f>
        <v>#N/A</v>
      </c>
      <c r="Z985" s="5" t="e">
        <f ca="1">IF(OR(INDEX($AI$2:$AI$1001,MATCH(ROWS($AH$2:AH985),$AH$2:$AH$1001,0),1)&gt;=100000,INDEX($AO$1005:$BQ$1005,1,MATCH(COLUMNS($AO$1006:BM1006),$AO$1006:$BQ$1006,0))&gt;=100000), " ",IF(INDEX($AO$2:$BQ$1001,MATCH(ROWS($AH$2:AH985),$AH$2:$AH$1001,0),MATCH(COLUMNS($AO$1006:BM1006),$AO$1006:$BQ$1006,0)), HYPERLINK("#",""), HYPERLINK(CONCATENATE("#Metadata!", ADDRESS(INDEX($AJ$2:$AJ$1001,MATCH(ROWS($AH$2:AH985),$AH$2:$AH$1001,0),0), INDEX($AO$1004:$BQ$1004,1,MATCH(COLUMNS($AO$1006:BM1006),$AO$1006:$BQ$1006,0)))),"Fix")))</f>
        <v>#N/A</v>
      </c>
      <c r="AA985" s="5" t="e">
        <f ca="1">IF(OR(INDEX($AI$2:$AI$1001,MATCH(ROWS($AH$2:AH985),$AH$2:$AH$1001,0),1)&gt;=100000,INDEX($AO$1005:$BQ$1005,1,MATCH(COLUMNS($AO$1006:BN1006),$AO$1006:$BQ$1006,0))&gt;=100000), " ",IF(INDEX($AO$2:$BQ$1001,MATCH(ROWS($AH$2:AH985),$AH$2:$AH$1001,0),MATCH(COLUMNS($AO$1006:BN1006),$AO$1006:$BQ$1006,0)), HYPERLINK("#",""), HYPERLINK(CONCATENATE("#Metadata!", ADDRESS(INDEX($AJ$2:$AJ$1001,MATCH(ROWS($AH$2:AH985),$AH$2:$AH$1001,0),0), INDEX($AO$1004:$BQ$1004,1,MATCH(COLUMNS($AO$1006:BN1006),$AO$1006:$BQ$1006,0)))),"Fix")))</f>
        <v>#N/A</v>
      </c>
      <c r="AB985" s="5" t="e">
        <f ca="1">IF(OR(INDEX($AI$2:$AI$1001,MATCH(ROWS($AH$2:AH985),$AH$2:$AH$1001,0),1)&gt;=100000,INDEX($AO$1005:$BQ$1005,1,MATCH(COLUMNS($AO$1006:BO1006),$AO$1006:$BQ$1006,0))&gt;=100000), " ",IF(INDEX($AO$2:$BQ$1001,MATCH(ROWS($AH$2:AH985),$AH$2:$AH$1001,0),MATCH(COLUMNS($AO$1006:BO1006),$AO$1006:$BQ$1006,0)), HYPERLINK("#",""), HYPERLINK(CONCATENATE("#Metadata!", ADDRESS(INDEX($AJ$2:$AJ$1001,MATCH(ROWS($AH$2:AH985),$AH$2:$AH$1001,0),0), INDEX($AO$1004:$BQ$1004,1,MATCH(COLUMNS($AO$1006:BO1006),$AO$1006:$BQ$1006,0)))),"Fix")))</f>
        <v>#N/A</v>
      </c>
      <c r="AC985" s="5" t="e">
        <f ca="1">IF(OR(INDEX($AI$2:$AI$1001,MATCH(ROWS($AH$2:AH985),$AH$2:$AH$1001,0),1)&gt;=100000,INDEX($AO$1005:$BQ$1005,1,MATCH(COLUMNS($AO$1006:BP1006),$AO$1006:$BQ$1006,0))&gt;=100000), " ",IF(INDEX($AO$2:$BQ$1001,MATCH(ROWS($AH$2:AH985),$AH$2:$AH$1001,0),MATCH(COLUMNS($AO$1006:BP1006),$AO$1006:$BQ$1006,0)), HYPERLINK("#",""), HYPERLINK(CONCATENATE("#Metadata!", ADDRESS(INDEX($AJ$2:$AJ$1001,MATCH(ROWS($AH$2:AH985),$AH$2:$AH$1001,0),0), INDEX($AO$1004:$BQ$1004,1,MATCH(COLUMNS($AO$1006:BP1006),$AO$1006:$BQ$1006,0)))),"Fix")))</f>
        <v>#N/A</v>
      </c>
      <c r="AD985" s="5" t="e">
        <f ca="1">IF(OR(INDEX($AI$2:$AI$1001,MATCH(ROWS($AH$2:AH985),$AH$2:$AH$1001,0),1)&gt;=100000,INDEX($AO$1005:$BQ$1005,1,MATCH(COLUMNS($AO$1006:BQ1006),$AO$1006:$BQ$1006,0))&gt;=100000), " ",IF(INDEX($AO$2:$BQ$1001,MATCH(ROWS($AH$2:AH985),$AH$2:$AH$1001,0),MATCH(COLUMNS($AO$1006:BQ1006),$AO$1006:$BQ$1006,0)), HYPERLINK("#",""), HYPERLINK(CONCATENATE("#Metadata!", ADDRESS(INDEX($AJ$2:$AJ$1001,MATCH(ROWS($AH$2:AH985),$AH$2:$AH$1001,0),0), INDEX($AO$1004:$BQ$1004,1,MATCH(COLUMNS($AO$1006:BQ1006),$AO$1006:$BQ$1006,0)))),"Fix")))</f>
        <v>#REF!</v>
      </c>
      <c r="AH985">
        <f ca="1"/>
        <v>982</v>
      </c>
      <c r="AI985">
        <v>100985</v>
      </c>
      <c r="AJ985">
        <v>985</v>
      </c>
      <c r="AK985" t="b">
        <f t="shared" si="15"/>
        <v>1</v>
      </c>
      <c r="AL985" t="b">
        <f>COUNTBLANK(Metadata!B985:AD985)=COLUMNS(Metadata!B985:AD985)</f>
        <v>1</v>
      </c>
      <c r="AM985" t="str">
        <v/>
      </c>
      <c r="AO985" t="b">
        <f ca="1">AND(IF(Metadata!B985="",FALSE,TRUE),COUNTIF(Metadata!B:B, Metadata!B985) = 1,NOT(ISERROR(SUMPRODUCT(SEARCH(MID(Metadata!B985,ROW(INDIRECT("1:"&amp;LEN(Metadata!B985))), 1),"0123456789abcdefghijklmnopqrstuvwxyzABCDEFGHIJKLMNOPQRSTUVWXYZ.")))))</f>
        <v>0</v>
      </c>
      <c r="AP985" t="b">
        <f>IF(Metadata!C985="",FALSE,TRUE)</f>
        <v>0</v>
      </c>
      <c r="AQ985" t="b">
        <f>IF(Metadata!D985="",FALSE,TRUE)</f>
        <v>0</v>
      </c>
      <c r="AR985" t="b">
        <f ca="1">OR(AND(IF(Metadata!E985="",FALSE,TRUE),OR(EXACT(Metadata!E985,"not collected"),EXACT(Metadata!E985,"not provided"),EXACT(Metadata!E985,"restricted access"))),AND(IF(Metadata!E985="",FALSE,TRUE),AND(AND(IFERROR(INT(LEFT(Metadata!E985,4))&gt;1900,FALSE),IFERROR(INT(LEFT(Metadata!E985,4))&lt;=YEAR(NOW()),FALSE)), OR(MID(Metadata!E985,5,1)="", AND(AND(MID(Metadata!E985,5,1)="-",IFERROR(INT(MID(Metadata!E985,6,1))&gt;=0,FALSE),IFERROR(INT(MID(Metadata!E985,6,1))&lt;=1,FALSE),NOT(MID(Metadata!E985,7,1)=""),IFERROR(INT(MID(Metadata!E985,6,2))&gt;=1,FALSE),IFERROR(INT(MID(Metadata!E985,6,2))&lt;=12,FALSE)), OR(MID(Metadata!E985,8,1)="", AND(AND(MID(Metadata!E985,8,1)="-",IFERROR(INT(MID(Metadata!E985,9,1))&gt;=0,FALSE),IFERROR(INT(MID(Metadata!E985,9,1))&lt;=3,FALSE),NOT(MID(Metadata!E985,10,1)=""),IFERROR(INT(MID(Metadata!E985,9,2))&gt;=1,FALSE),IFERROR(INT(MID(Metadata!E985,9,2))&lt;=31,FALSE)), OR(MID(Metadata!E985,11,1)="", AND(AND(MID(Metadata!E985,11,1)=" ",IFERROR(INT(MID(Metadata!E985,12,1))&gt;=0,FALSE),IFERROR(INT(MID(Metadata!E985,12,1))&lt;=2,FALSE),NOT(MID(Metadata!E985,13,1)=""),IFERROR(INT(MID(Metadata!E985,12,2))&gt;=0,FALSE),IFERROR(INT(MID(Metadata!E985,12,2))&lt;=23,FALSE)), OR(MID(Metadata!E985,14,1)="", AND(AND(MID(Metadata!E985,14,1)=":",IFERROR(INT(MID(Metadata!E985,15,1))&gt;=0,FALSE),IFERROR(INT(MID(Metadata!E985,15,1))&lt;=5,FALSE),NOT(MID(Metadata!E985,16,1)=""),IFERROR(INT(MID(Metadata!E985,15,2))&gt;=0,FALSE),IFERROR(INT(MID(Metadata!E985,15,2))&lt;=59,FALSE)), OR(MID(Metadata!E985,17,1)="", AND(AND(MID(Metadata!E985,17,1)=":",IFERROR(INT(MID(Metadata!E985,18,1))&gt;=0,FALSE),IFERROR(INT(MID(Metadata!E985,18,1))&lt;=5,FALSE),NOT(MID(Metadata!E985,19,1)=""),IFERROR(INT(MID(Metadata!E985,18,2))&gt;=0,FALSE),IFERROR(INT(MID(Metadata!E985,18,2))&lt;=59,FALSE)), LEN(Metadata!E985)&lt;=19)))))))))))))</f>
        <v>0</v>
      </c>
      <c r="AS985" t="b">
        <f>IF(Metadata!F985="",FALSE,TRUE)</f>
        <v>0</v>
      </c>
      <c r="AT985" t="b">
        <f>OR(AND(IF(Metadata!G985="",FALSE,TRUE),OR(EXACT(Metadata!G985,"not collected"),EXACT(Metadata!G985,"not provided"))),AND(IF(Metadata!G985="",FALSE,TRUE),OR(EXACT(Metadata!G985,"TRUE"),EXACT(Metadata!G985,"FALSE"))))</f>
        <v>0</v>
      </c>
      <c r="AU985" t="b">
        <f>OR(AND(IF(Metadata!H985="",FALSE,TRUE),OR(EXACT(Metadata!H985,"not collected"),EXACT(Metadata!H985,"not provided"),EXACT(Metadata!H985,"restricted access"))),AND(IF(Metadata!H985="",FALSE,ISNUMBER(VALUE(Metadata!H985))),Metadata!H985&gt;=-413))</f>
        <v>0</v>
      </c>
      <c r="AV985" t="b">
        <f>AND(IF(Metadata!I985="",FALSE,TRUE),EXACT(Metadata!I985,"meters"))</f>
        <v>0</v>
      </c>
      <c r="AW985" t="b">
        <f>AND(IF(Metadata!J985="",FALSE,TRUE),EXACT(Metadata!J985,"free-living"))</f>
        <v>0</v>
      </c>
      <c r="AX985" t="b">
        <f>AND(IF(Metadata!K985="",FALSE,TRUE),OR(EXACT(Metadata!K985,"saline"),EXACT(Metadata!K985,"non-saline")))</f>
        <v>0</v>
      </c>
      <c r="AY985" t="b">
        <f>AND(IF(Metadata!L985="",FALSE,TRUE),OR(EXACT(Metadata!L985,"sub-surface (non-saline)"),EXACT(Metadata!L985,"surface (non-saline)"),EXACT(Metadata!L985,"water (non-saline)"),EXACT(Metadata!L985,"soil (non-saline)"),EXACT(Metadata!L985,"aerosol (non-saline)"),EXACT(Metadata!L985,"sediment (non-saline)"),EXACT(Metadata!L985,"surface (saline)"),EXACT(Metadata!L985,"water (saline)"),EXACT(Metadata!L985,"hypersaline (saline)"),EXACT(Metadata!L985,"aerosol (saline)"),EXACT(Metadata!L985,"sediment (saline)")))</f>
        <v>0</v>
      </c>
      <c r="AZ985" t="b">
        <f>IF(Metadata!M985="",FALSE,TRUE)</f>
        <v>0</v>
      </c>
      <c r="BA985" t="b">
        <f>IF(Metadata!N985="",FALSE,TRUE)</f>
        <v>0</v>
      </c>
      <c r="BB985" t="b">
        <f>IF(Metadata!O985="",FALSE,TRUE)</f>
        <v>0</v>
      </c>
      <c r="BC985" t="b">
        <f>AND(IF(Metadata!P985="",FALSE,TRUE),OR(EXACT(Metadata!P985,"air"),EXACT(Metadata!P985,"microbial mat/biofilm"),EXACT(Metadata!P985,"misc environment"),EXACT(Metadata!P985,"sediment"),EXACT(Metadata!P985,"soil"),EXACT(Metadata!P985,"wastewater/sludge"),EXACT(Metadata!P985,"water")))</f>
        <v>0</v>
      </c>
      <c r="BD985" t="b">
        <f>IF(Metadata!Q985="",FALSE,TRUE)</f>
        <v>0</v>
      </c>
      <c r="BE985" t="b">
        <f>IF(Metadata!R985="",FALSE,TRUE)</f>
        <v>0</v>
      </c>
      <c r="BF985" t="b">
        <f>OR(AND(IF(Metadata!S985="",FALSE,TRUE),OR(EXACT(Metadata!S985,"not collected"),EXACT(Metadata!S985,"not provided"),EXACT(Metadata!S985,"restricted access"))),AND(IF(Metadata!S985="",FALSE,ISNUMBER(VALUE(Metadata!S985))),Metadata!S985&gt;=-90,Metadata!S985&lt;=90))</f>
        <v>0</v>
      </c>
      <c r="BG985" t="b">
        <f>AND(IF(Metadata!T985="",FALSE,TRUE),EXACT(Metadata!T985,"Decimal degrees"))</f>
        <v>0</v>
      </c>
      <c r="BH985" t="b">
        <f>OR(AND(IF(Metadata!U985="",FALSE,TRUE),OR(EXACT(Metadata!U985,"not applicable"),EXACT(Metadata!U985,"not collected"))),IF(Metadata!U985="",FALSE,TRUE))</f>
        <v>0</v>
      </c>
      <c r="BI985" t="b">
        <f>OR(AND(IF(Metadata!V985="",FALSE,TRUE),OR(EXACT(Metadata!V985,"not collected"),EXACT(Metadata!V985,"not provided"),EXACT(Metadata!V985,"restricted access"))),AND(IF(Metadata!V985="",FALSE,ISNUMBER(VALUE(Metadata!V985))),Metadata!V985&gt;=-180,Metadata!V985&lt;=180))</f>
        <v>0</v>
      </c>
      <c r="BJ985" t="b">
        <f>AND(IF(Metadata!W985="",FALSE,TRUE),EXACT(Metadata!W985,"Decimal degrees"))</f>
        <v>0</v>
      </c>
      <c r="BK985" t="b">
        <f>IF(Metadata!X985="",FALSE,TRUE)</f>
        <v>0</v>
      </c>
      <c r="BL985" t="b">
        <f>OR(AND(IF(Metadata!Y985="",FALSE,TRUE),OR(EXACT(Metadata!Y985,"not collected"),EXACT(Metadata!Y985,"not provided"),EXACT(Metadata!Y985,"restricted access"))),AND(IF(Metadata!Y985="",FALSE,TRUE),OR(EXACT(Metadata!Y985,"TRUE"),EXACT(Metadata!Y985,"FALSE"))))</f>
        <v>0</v>
      </c>
      <c r="BM985" t="b">
        <f>OR(AND(IF(Metadata!Z985="",FALSE,TRUE),EXACT(Metadata!Z985,"not applicable")),AND(IF(Metadata!Z985="",FALSE,TRUE),OR(EXACT(Metadata!Z985,"beer"),EXACT(Metadata!Z985,"cheese"),EXACT(Metadata!Z985,"fresh water"),EXACT(Metadata!Z985,"marine sediment"),EXACT(Metadata!Z985,"sea water"),EXACT(Metadata!Z985,"sediment"),EXACT(Metadata!Z985,"soil"),EXACT(Metadata!Z985,"waste water"))))</f>
        <v>0</v>
      </c>
      <c r="BN985" t="b">
        <f>AND(IF(Metadata!AA985="",FALSE,TRUE),EXACT(Metadata!AA985,"metagenome"))</f>
        <v>0</v>
      </c>
      <c r="BO985" t="b">
        <f>AND(IF(Metadata!AB985="",FALSE,TRUE),EXACT(Metadata!AB985,"256318"))</f>
        <v>0</v>
      </c>
      <c r="BP985" t="b">
        <f>IF(Metadata!AC985="",FALSE,TRUE)</f>
        <v>0</v>
      </c>
      <c r="BQ985" t="b">
        <f>IF(Metadata!AD985="",FALSE,TRUE)</f>
        <v>0</v>
      </c>
    </row>
    <row r="986" spans="1:69" x14ac:dyDescent="0.2">
      <c r="A986" s="4" t="e">
        <f ca="1">IF(B986=" "," ",HYPERLINK(CONCATENATE("#metadata!",ADDRESS(INDEX($AJ$2:$AJ$1001,MATCH(ROWS($AH$2:AH986),$AH$2:$AH$1001,0),0),2)),INDEX($AM$2:$AM$1001,MATCH(ROWS($AH$2:AH986),$AH$2:$AH$1001,0),0)))</f>
        <v>#N/A</v>
      </c>
      <c r="B986" s="5" t="e">
        <f ca="1">IF(OR(INDEX($AI$2:$AI$1001,MATCH(ROWS($AH$2:AH986),$AH$2:$AH$1001,0),1)&gt;=100000,INDEX($AO$1005:$BQ$1005,1,MATCH(COLUMNS($AO$1006:AO1006),$AO$1006:$BQ$1006,0))&gt;=100000), " ",IF(INDEX($AO$2:$BQ$1001,MATCH(ROWS($AH$2:AH986),$AH$2:$AH$1001,0),MATCH(COLUMNS($AO$1006:AO1006),$AO$1006:$BQ$1006,0)), HYPERLINK("#",""), HYPERLINK(CONCATENATE("#Metadata!", ADDRESS(INDEX($AJ$2:$AJ$1001,MATCH(ROWS($AH$2:AH986),$AH$2:$AH$1001,0),0), INDEX($AO$1004:$BQ$1004,1,MATCH(COLUMNS($AO$1006:AO1006),$AO$1006:$BQ$1006,0)))),"Fix")))</f>
        <v>#N/A</v>
      </c>
      <c r="C986" s="5" t="e">
        <f ca="1">IF(OR(INDEX($AI$2:$AI$1001,MATCH(ROWS($AH$2:AH986),$AH$2:$AH$1001,0),1)&gt;=100000,INDEX($AO$1005:$BQ$1005,1,MATCH(COLUMNS($AO$1006:AP1006),$AO$1006:$BQ$1006,0))&gt;=100000), " ",IF(INDEX($AO$2:$BQ$1001,MATCH(ROWS($AH$2:AH986),$AH$2:$AH$1001,0),MATCH(COLUMNS($AO$1006:AP1006),$AO$1006:$BQ$1006,0)), HYPERLINK("#",""), HYPERLINK(CONCATENATE("#Metadata!", ADDRESS(INDEX($AJ$2:$AJ$1001,MATCH(ROWS($AH$2:AH986),$AH$2:$AH$1001,0),0), INDEX($AO$1004:$BQ$1004,1,MATCH(COLUMNS($AO$1006:AP1006),$AO$1006:$BQ$1006,0)))),"Fix")))</f>
        <v>#N/A</v>
      </c>
      <c r="D986" s="5" t="e">
        <f ca="1">IF(OR(INDEX($AI$2:$AI$1001,MATCH(ROWS($AH$2:AH986),$AH$2:$AH$1001,0),1)&gt;=100000,INDEX($AO$1005:$BQ$1005,1,MATCH(COLUMNS($AO$1006:AQ1006),$AO$1006:$BQ$1006,0))&gt;=100000), " ",IF(INDEX($AO$2:$BQ$1001,MATCH(ROWS($AH$2:AH986),$AH$2:$AH$1001,0),MATCH(COLUMNS($AO$1006:AQ1006),$AO$1006:$BQ$1006,0)), HYPERLINK("#",""), HYPERLINK(CONCATENATE("#Metadata!", ADDRESS(INDEX($AJ$2:$AJ$1001,MATCH(ROWS($AH$2:AH986),$AH$2:$AH$1001,0),0), INDEX($AO$1004:$BQ$1004,1,MATCH(COLUMNS($AO$1006:AQ1006),$AO$1006:$BQ$1006,0)))),"Fix")))</f>
        <v>#N/A</v>
      </c>
      <c r="E986" s="5" t="e">
        <f ca="1">IF(OR(INDEX($AI$2:$AI$1001,MATCH(ROWS($AH$2:AH986),$AH$2:$AH$1001,0),1)&gt;=100000,INDEX($AO$1005:$BQ$1005,1,MATCH(COLUMNS($AO$1006:AR1006),$AO$1006:$BQ$1006,0))&gt;=100000), " ",IF(INDEX($AO$2:$BQ$1001,MATCH(ROWS($AH$2:AH986),$AH$2:$AH$1001,0),MATCH(COLUMNS($AO$1006:AR1006),$AO$1006:$BQ$1006,0)), HYPERLINK("#",""), HYPERLINK(CONCATENATE("#Metadata!", ADDRESS(INDEX($AJ$2:$AJ$1001,MATCH(ROWS($AH$2:AH986),$AH$2:$AH$1001,0),0), INDEX($AO$1004:$BQ$1004,1,MATCH(COLUMNS($AO$1006:AR1006),$AO$1006:$BQ$1006,0)))),"Fix")))</f>
        <v>#N/A</v>
      </c>
      <c r="F986" s="5" t="e">
        <f ca="1">IF(OR(INDEX($AI$2:$AI$1001,MATCH(ROWS($AH$2:AH986),$AH$2:$AH$1001,0),1)&gt;=100000,INDEX($AO$1005:$BQ$1005,1,MATCH(COLUMNS($AO$1006:AS1006),$AO$1006:$BQ$1006,0))&gt;=100000), " ",IF(INDEX($AO$2:$BQ$1001,MATCH(ROWS($AH$2:AH986),$AH$2:$AH$1001,0),MATCH(COLUMNS($AO$1006:AS1006),$AO$1006:$BQ$1006,0)), HYPERLINK("#",""), HYPERLINK(CONCATENATE("#Metadata!", ADDRESS(INDEX($AJ$2:$AJ$1001,MATCH(ROWS($AH$2:AH986),$AH$2:$AH$1001,0),0), INDEX($AO$1004:$BQ$1004,1,MATCH(COLUMNS($AO$1006:AS1006),$AO$1006:$BQ$1006,0)))),"Fix")))</f>
        <v>#N/A</v>
      </c>
      <c r="G986" s="5" t="e">
        <f ca="1">IF(OR(INDEX($AI$2:$AI$1001,MATCH(ROWS($AH$2:AH986),$AH$2:$AH$1001,0),1)&gt;=100000,INDEX($AO$1005:$BQ$1005,1,MATCH(COLUMNS($AO$1006:AT1006),$AO$1006:$BQ$1006,0))&gt;=100000), " ",IF(INDEX($AO$2:$BQ$1001,MATCH(ROWS($AH$2:AH986),$AH$2:$AH$1001,0),MATCH(COLUMNS($AO$1006:AT1006),$AO$1006:$BQ$1006,0)), HYPERLINK("#",""), HYPERLINK(CONCATENATE("#Metadata!", ADDRESS(INDEX($AJ$2:$AJ$1001,MATCH(ROWS($AH$2:AH986),$AH$2:$AH$1001,0),0), INDEX($AO$1004:$BQ$1004,1,MATCH(COLUMNS($AO$1006:AT1006),$AO$1006:$BQ$1006,0)))),"Fix")))</f>
        <v>#N/A</v>
      </c>
      <c r="H986" s="5" t="e">
        <f ca="1">IF(OR(INDEX($AI$2:$AI$1001,MATCH(ROWS($AH$2:AH986),$AH$2:$AH$1001,0),1)&gt;=100000,INDEX($AO$1005:$BQ$1005,1,MATCH(COLUMNS($AO$1006:AU1006),$AO$1006:$BQ$1006,0))&gt;=100000), " ",IF(INDEX($AO$2:$BQ$1001,MATCH(ROWS($AH$2:AH986),$AH$2:$AH$1001,0),MATCH(COLUMNS($AO$1006:AU1006),$AO$1006:$BQ$1006,0)), HYPERLINK("#",""), HYPERLINK(CONCATENATE("#Metadata!", ADDRESS(INDEX($AJ$2:$AJ$1001,MATCH(ROWS($AH$2:AH986),$AH$2:$AH$1001,0),0), INDEX($AO$1004:$BQ$1004,1,MATCH(COLUMNS($AO$1006:AU1006),$AO$1006:$BQ$1006,0)))),"Fix")))</f>
        <v>#N/A</v>
      </c>
      <c r="I986" s="5" t="e">
        <f ca="1">IF(OR(INDEX($AI$2:$AI$1001,MATCH(ROWS($AH$2:AH986),$AH$2:$AH$1001,0),1)&gt;=100000,INDEX($AO$1005:$BQ$1005,1,MATCH(COLUMNS($AO$1006:AV1006),$AO$1006:$BQ$1006,0))&gt;=100000), " ",IF(INDEX($AO$2:$BQ$1001,MATCH(ROWS($AH$2:AH986),$AH$2:$AH$1001,0),MATCH(COLUMNS($AO$1006:AV1006),$AO$1006:$BQ$1006,0)), HYPERLINK("#",""), HYPERLINK(CONCATENATE("#Metadata!", ADDRESS(INDEX($AJ$2:$AJ$1001,MATCH(ROWS($AH$2:AH986),$AH$2:$AH$1001,0),0), INDEX($AO$1004:$BQ$1004,1,MATCH(COLUMNS($AO$1006:AV1006),$AO$1006:$BQ$1006,0)))),"Fix")))</f>
        <v>#N/A</v>
      </c>
      <c r="J986" s="5" t="e">
        <f ca="1">IF(OR(INDEX($AI$2:$AI$1001,MATCH(ROWS($AH$2:AH986),$AH$2:$AH$1001,0),1)&gt;=100000,INDEX($AO$1005:$BQ$1005,1,MATCH(COLUMNS($AO$1006:AW1006),$AO$1006:$BQ$1006,0))&gt;=100000), " ",IF(INDEX($AO$2:$BQ$1001,MATCH(ROWS($AH$2:AH986),$AH$2:$AH$1001,0),MATCH(COLUMNS($AO$1006:AW1006),$AO$1006:$BQ$1006,0)), HYPERLINK("#",""), HYPERLINK(CONCATENATE("#Metadata!", ADDRESS(INDEX($AJ$2:$AJ$1001,MATCH(ROWS($AH$2:AH986),$AH$2:$AH$1001,0),0), INDEX($AO$1004:$BQ$1004,1,MATCH(COLUMNS($AO$1006:AW1006),$AO$1006:$BQ$1006,0)))),"Fix")))</f>
        <v>#N/A</v>
      </c>
      <c r="K986" s="5" t="e">
        <f ca="1">IF(OR(INDEX($AI$2:$AI$1001,MATCH(ROWS($AH$2:AH986),$AH$2:$AH$1001,0),1)&gt;=100000,INDEX($AO$1005:$BQ$1005,1,MATCH(COLUMNS($AO$1006:AX1006),$AO$1006:$BQ$1006,0))&gt;=100000), " ",IF(INDEX($AO$2:$BQ$1001,MATCH(ROWS($AH$2:AH986),$AH$2:$AH$1001,0),MATCH(COLUMNS($AO$1006:AX1006),$AO$1006:$BQ$1006,0)), HYPERLINK("#",""), HYPERLINK(CONCATENATE("#Metadata!", ADDRESS(INDEX($AJ$2:$AJ$1001,MATCH(ROWS($AH$2:AH986),$AH$2:$AH$1001,0),0), INDEX($AO$1004:$BQ$1004,1,MATCH(COLUMNS($AO$1006:AX1006),$AO$1006:$BQ$1006,0)))),"Fix")))</f>
        <v>#N/A</v>
      </c>
      <c r="L986" s="5" t="e">
        <f ca="1">IF(OR(INDEX($AI$2:$AI$1001,MATCH(ROWS($AH$2:AH986),$AH$2:$AH$1001,0),1)&gt;=100000,INDEX($AO$1005:$BQ$1005,1,MATCH(COLUMNS($AO$1006:AY1006),$AO$1006:$BQ$1006,0))&gt;=100000), " ",IF(INDEX($AO$2:$BQ$1001,MATCH(ROWS($AH$2:AH986),$AH$2:$AH$1001,0),MATCH(COLUMNS($AO$1006:AY1006),$AO$1006:$BQ$1006,0)), HYPERLINK("#",""), HYPERLINK(CONCATENATE("#Metadata!", ADDRESS(INDEX($AJ$2:$AJ$1001,MATCH(ROWS($AH$2:AH986),$AH$2:$AH$1001,0),0), INDEX($AO$1004:$BQ$1004,1,MATCH(COLUMNS($AO$1006:AY1006),$AO$1006:$BQ$1006,0)))),"Fix")))</f>
        <v>#N/A</v>
      </c>
      <c r="M986" s="5" t="e">
        <f ca="1">IF(OR(INDEX($AI$2:$AI$1001,MATCH(ROWS($AH$2:AH986),$AH$2:$AH$1001,0),1)&gt;=100000,INDEX($AO$1005:$BQ$1005,1,MATCH(COLUMNS($AO$1006:AZ1006),$AO$1006:$BQ$1006,0))&gt;=100000), " ",IF(INDEX($AO$2:$BQ$1001,MATCH(ROWS($AH$2:AH986),$AH$2:$AH$1001,0),MATCH(COLUMNS($AO$1006:AZ1006),$AO$1006:$BQ$1006,0)), HYPERLINK("#",""), HYPERLINK(CONCATENATE("#Metadata!", ADDRESS(INDEX($AJ$2:$AJ$1001,MATCH(ROWS($AH$2:AH986),$AH$2:$AH$1001,0),0), INDEX($AO$1004:$BQ$1004,1,MATCH(COLUMNS($AO$1006:AZ1006),$AO$1006:$BQ$1006,0)))),"Fix")))</f>
        <v>#N/A</v>
      </c>
      <c r="N986" s="5" t="e">
        <f ca="1">IF(OR(INDEX($AI$2:$AI$1001,MATCH(ROWS($AH$2:AH986),$AH$2:$AH$1001,0),1)&gt;=100000,INDEX($AO$1005:$BQ$1005,1,MATCH(COLUMNS($AO$1006:BA1006),$AO$1006:$BQ$1006,0))&gt;=100000), " ",IF(INDEX($AO$2:$BQ$1001,MATCH(ROWS($AH$2:AH986),$AH$2:$AH$1001,0),MATCH(COLUMNS($AO$1006:BA1006),$AO$1006:$BQ$1006,0)), HYPERLINK("#",""), HYPERLINK(CONCATENATE("#Metadata!", ADDRESS(INDEX($AJ$2:$AJ$1001,MATCH(ROWS($AH$2:AH986),$AH$2:$AH$1001,0),0), INDEX($AO$1004:$BQ$1004,1,MATCH(COLUMNS($AO$1006:BA1006),$AO$1006:$BQ$1006,0)))),"Fix")))</f>
        <v>#N/A</v>
      </c>
      <c r="O986" s="5" t="e">
        <f ca="1">IF(OR(INDEX($AI$2:$AI$1001,MATCH(ROWS($AH$2:AH986),$AH$2:$AH$1001,0),1)&gt;=100000,INDEX($AO$1005:$BQ$1005,1,MATCH(COLUMNS($AO$1006:BB1006),$AO$1006:$BQ$1006,0))&gt;=100000), " ",IF(INDEX($AO$2:$BQ$1001,MATCH(ROWS($AH$2:AH986),$AH$2:$AH$1001,0),MATCH(COLUMNS($AO$1006:BB1006),$AO$1006:$BQ$1006,0)), HYPERLINK("#",""), HYPERLINK(CONCATENATE("#Metadata!", ADDRESS(INDEX($AJ$2:$AJ$1001,MATCH(ROWS($AH$2:AH986),$AH$2:$AH$1001,0),0), INDEX($AO$1004:$BQ$1004,1,MATCH(COLUMNS($AO$1006:BB1006),$AO$1006:$BQ$1006,0)))),"Fix")))</f>
        <v>#N/A</v>
      </c>
      <c r="P986" s="5" t="e">
        <f ca="1">IF(OR(INDEX($AI$2:$AI$1001,MATCH(ROWS($AH$2:AH986),$AH$2:$AH$1001,0),1)&gt;=100000,INDEX($AO$1005:$BQ$1005,1,MATCH(COLUMNS($AO$1006:BC1006),$AO$1006:$BQ$1006,0))&gt;=100000), " ",IF(INDEX($AO$2:$BQ$1001,MATCH(ROWS($AH$2:AH986),$AH$2:$AH$1001,0),MATCH(COLUMNS($AO$1006:BC1006),$AO$1006:$BQ$1006,0)), HYPERLINK("#",""), HYPERLINK(CONCATENATE("#Metadata!", ADDRESS(INDEX($AJ$2:$AJ$1001,MATCH(ROWS($AH$2:AH986),$AH$2:$AH$1001,0),0), INDEX($AO$1004:$BQ$1004,1,MATCH(COLUMNS($AO$1006:BC1006),$AO$1006:$BQ$1006,0)))),"Fix")))</f>
        <v>#N/A</v>
      </c>
      <c r="Q986" s="5" t="e">
        <f ca="1">IF(OR(INDEX($AI$2:$AI$1001,MATCH(ROWS($AH$2:AH986),$AH$2:$AH$1001,0),1)&gt;=100000,INDEX($AO$1005:$BQ$1005,1,MATCH(COLUMNS($AO$1006:BD1006),$AO$1006:$BQ$1006,0))&gt;=100000), " ",IF(INDEX($AO$2:$BQ$1001,MATCH(ROWS($AH$2:AH986),$AH$2:$AH$1001,0),MATCH(COLUMNS($AO$1006:BD1006),$AO$1006:$BQ$1006,0)), HYPERLINK("#",""), HYPERLINK(CONCATENATE("#Metadata!", ADDRESS(INDEX($AJ$2:$AJ$1001,MATCH(ROWS($AH$2:AH986),$AH$2:$AH$1001,0),0), INDEX($AO$1004:$BQ$1004,1,MATCH(COLUMNS($AO$1006:BD1006),$AO$1006:$BQ$1006,0)))),"Fix")))</f>
        <v>#N/A</v>
      </c>
      <c r="R986" s="5" t="e">
        <f ca="1">IF(OR(INDEX($AI$2:$AI$1001,MATCH(ROWS($AH$2:AH986),$AH$2:$AH$1001,0),1)&gt;=100000,INDEX($AO$1005:$BQ$1005,1,MATCH(COLUMNS($AO$1006:BE1006),$AO$1006:$BQ$1006,0))&gt;=100000), " ",IF(INDEX($AO$2:$BQ$1001,MATCH(ROWS($AH$2:AH986),$AH$2:$AH$1001,0),MATCH(COLUMNS($AO$1006:BE1006),$AO$1006:$BQ$1006,0)), HYPERLINK("#",""), HYPERLINK(CONCATENATE("#Metadata!", ADDRESS(INDEX($AJ$2:$AJ$1001,MATCH(ROWS($AH$2:AH986),$AH$2:$AH$1001,0),0), INDEX($AO$1004:$BQ$1004,1,MATCH(COLUMNS($AO$1006:BE1006),$AO$1006:$BQ$1006,0)))),"Fix")))</f>
        <v>#N/A</v>
      </c>
      <c r="S986" s="5" t="e">
        <f ca="1">IF(OR(INDEX($AI$2:$AI$1001,MATCH(ROWS($AH$2:AH986),$AH$2:$AH$1001,0),1)&gt;=100000,INDEX($AO$1005:$BQ$1005,1,MATCH(COLUMNS($AO$1006:BF1006),$AO$1006:$BQ$1006,0))&gt;=100000), " ",IF(INDEX($AO$2:$BQ$1001,MATCH(ROWS($AH$2:AH986),$AH$2:$AH$1001,0),MATCH(COLUMNS($AO$1006:BF1006),$AO$1006:$BQ$1006,0)), HYPERLINK("#",""), HYPERLINK(CONCATENATE("#Metadata!", ADDRESS(INDEX($AJ$2:$AJ$1001,MATCH(ROWS($AH$2:AH986),$AH$2:$AH$1001,0),0), INDEX($AO$1004:$BQ$1004,1,MATCH(COLUMNS($AO$1006:BF1006),$AO$1006:$BQ$1006,0)))),"Fix")))</f>
        <v>#N/A</v>
      </c>
      <c r="T986" s="5" t="e">
        <f ca="1">IF(OR(INDEX($AI$2:$AI$1001,MATCH(ROWS($AH$2:AH986),$AH$2:$AH$1001,0),1)&gt;=100000,INDEX($AO$1005:$BQ$1005,1,MATCH(COLUMNS($AO$1006:BG1006),$AO$1006:$BQ$1006,0))&gt;=100000), " ",IF(INDEX($AO$2:$BQ$1001,MATCH(ROWS($AH$2:AH986),$AH$2:$AH$1001,0),MATCH(COLUMNS($AO$1006:BG1006),$AO$1006:$BQ$1006,0)), HYPERLINK("#",""), HYPERLINK(CONCATENATE("#Metadata!", ADDRESS(INDEX($AJ$2:$AJ$1001,MATCH(ROWS($AH$2:AH986),$AH$2:$AH$1001,0),0), INDEX($AO$1004:$BQ$1004,1,MATCH(COLUMNS($AO$1006:BG1006),$AO$1006:$BQ$1006,0)))),"Fix")))</f>
        <v>#N/A</v>
      </c>
      <c r="U986" s="5" t="e">
        <f ca="1">IF(OR(INDEX($AI$2:$AI$1001,MATCH(ROWS($AH$2:AH986),$AH$2:$AH$1001,0),1)&gt;=100000,INDEX($AO$1005:$BQ$1005,1,MATCH(COLUMNS($AO$1006:BH1006),$AO$1006:$BQ$1006,0))&gt;=100000), " ",IF(INDEX($AO$2:$BQ$1001,MATCH(ROWS($AH$2:AH986),$AH$2:$AH$1001,0),MATCH(COLUMNS($AO$1006:BH1006),$AO$1006:$BQ$1006,0)), HYPERLINK("#",""), HYPERLINK(CONCATENATE("#Metadata!", ADDRESS(INDEX($AJ$2:$AJ$1001,MATCH(ROWS($AH$2:AH986),$AH$2:$AH$1001,0),0), INDEX($AO$1004:$BQ$1004,1,MATCH(COLUMNS($AO$1006:BH1006),$AO$1006:$BQ$1006,0)))),"Fix")))</f>
        <v>#N/A</v>
      </c>
      <c r="V986" s="5" t="e">
        <f ca="1">IF(OR(INDEX($AI$2:$AI$1001,MATCH(ROWS($AH$2:AH986),$AH$2:$AH$1001,0),1)&gt;=100000,INDEX($AO$1005:$BQ$1005,1,MATCH(COLUMNS($AO$1006:BI1006),$AO$1006:$BQ$1006,0))&gt;=100000), " ",IF(INDEX($AO$2:$BQ$1001,MATCH(ROWS($AH$2:AH986),$AH$2:$AH$1001,0),MATCH(COLUMNS($AO$1006:BI1006),$AO$1006:$BQ$1006,0)), HYPERLINK("#",""), HYPERLINK(CONCATENATE("#Metadata!", ADDRESS(INDEX($AJ$2:$AJ$1001,MATCH(ROWS($AH$2:AH986),$AH$2:$AH$1001,0),0), INDEX($AO$1004:$BQ$1004,1,MATCH(COLUMNS($AO$1006:BI1006),$AO$1006:$BQ$1006,0)))),"Fix")))</f>
        <v>#N/A</v>
      </c>
      <c r="W986" s="5" t="e">
        <f ca="1">IF(OR(INDEX($AI$2:$AI$1001,MATCH(ROWS($AH$2:AH986),$AH$2:$AH$1001,0),1)&gt;=100000,INDEX($AO$1005:$BQ$1005,1,MATCH(COLUMNS($AO$1006:BJ1006),$AO$1006:$BQ$1006,0))&gt;=100000), " ",IF(INDEX($AO$2:$BQ$1001,MATCH(ROWS($AH$2:AH986),$AH$2:$AH$1001,0),MATCH(COLUMNS($AO$1006:BJ1006),$AO$1006:$BQ$1006,0)), HYPERLINK("#",""), HYPERLINK(CONCATENATE("#Metadata!", ADDRESS(INDEX($AJ$2:$AJ$1001,MATCH(ROWS($AH$2:AH986),$AH$2:$AH$1001,0),0), INDEX($AO$1004:$BQ$1004,1,MATCH(COLUMNS($AO$1006:BJ1006),$AO$1006:$BQ$1006,0)))),"Fix")))</f>
        <v>#N/A</v>
      </c>
      <c r="X986" s="5" t="e">
        <f ca="1">IF(OR(INDEX($AI$2:$AI$1001,MATCH(ROWS($AH$2:AH986),$AH$2:$AH$1001,0),1)&gt;=100000,INDEX($AO$1005:$BQ$1005,1,MATCH(COLUMNS($AO$1006:BK1006),$AO$1006:$BQ$1006,0))&gt;=100000), " ",IF(INDEX($AO$2:$BQ$1001,MATCH(ROWS($AH$2:AH986),$AH$2:$AH$1001,0),MATCH(COLUMNS($AO$1006:BK1006),$AO$1006:$BQ$1006,0)), HYPERLINK("#",""), HYPERLINK(CONCATENATE("#Metadata!", ADDRESS(INDEX($AJ$2:$AJ$1001,MATCH(ROWS($AH$2:AH986),$AH$2:$AH$1001,0),0), INDEX($AO$1004:$BQ$1004,1,MATCH(COLUMNS($AO$1006:BK1006),$AO$1006:$BQ$1006,0)))),"Fix")))</f>
        <v>#N/A</v>
      </c>
      <c r="Y986" s="5" t="e">
        <f ca="1">IF(OR(INDEX($AI$2:$AI$1001,MATCH(ROWS($AH$2:AH986),$AH$2:$AH$1001,0),1)&gt;=100000,INDEX($AO$1005:$BQ$1005,1,MATCH(COLUMNS($AO$1006:BL1006),$AO$1006:$BQ$1006,0))&gt;=100000), " ",IF(INDEX($AO$2:$BQ$1001,MATCH(ROWS($AH$2:AH986),$AH$2:$AH$1001,0),MATCH(COLUMNS($AO$1006:BL1006),$AO$1006:$BQ$1006,0)), HYPERLINK("#",""), HYPERLINK(CONCATENATE("#Metadata!", ADDRESS(INDEX($AJ$2:$AJ$1001,MATCH(ROWS($AH$2:AH986),$AH$2:$AH$1001,0),0), INDEX($AO$1004:$BQ$1004,1,MATCH(COLUMNS($AO$1006:BL1006),$AO$1006:$BQ$1006,0)))),"Fix")))</f>
        <v>#N/A</v>
      </c>
      <c r="Z986" s="5" t="e">
        <f ca="1">IF(OR(INDEX($AI$2:$AI$1001,MATCH(ROWS($AH$2:AH986),$AH$2:$AH$1001,0),1)&gt;=100000,INDEX($AO$1005:$BQ$1005,1,MATCH(COLUMNS($AO$1006:BM1006),$AO$1006:$BQ$1006,0))&gt;=100000), " ",IF(INDEX($AO$2:$BQ$1001,MATCH(ROWS($AH$2:AH986),$AH$2:$AH$1001,0),MATCH(COLUMNS($AO$1006:BM1006),$AO$1006:$BQ$1006,0)), HYPERLINK("#",""), HYPERLINK(CONCATENATE("#Metadata!", ADDRESS(INDEX($AJ$2:$AJ$1001,MATCH(ROWS($AH$2:AH986),$AH$2:$AH$1001,0),0), INDEX($AO$1004:$BQ$1004,1,MATCH(COLUMNS($AO$1006:BM1006),$AO$1006:$BQ$1006,0)))),"Fix")))</f>
        <v>#N/A</v>
      </c>
      <c r="AA986" s="5" t="e">
        <f ca="1">IF(OR(INDEX($AI$2:$AI$1001,MATCH(ROWS($AH$2:AH986),$AH$2:$AH$1001,0),1)&gt;=100000,INDEX($AO$1005:$BQ$1005,1,MATCH(COLUMNS($AO$1006:BN1006),$AO$1006:$BQ$1006,0))&gt;=100000), " ",IF(INDEX($AO$2:$BQ$1001,MATCH(ROWS($AH$2:AH986),$AH$2:$AH$1001,0),MATCH(COLUMNS($AO$1006:BN1006),$AO$1006:$BQ$1006,0)), HYPERLINK("#",""), HYPERLINK(CONCATENATE("#Metadata!", ADDRESS(INDEX($AJ$2:$AJ$1001,MATCH(ROWS($AH$2:AH986),$AH$2:$AH$1001,0),0), INDEX($AO$1004:$BQ$1004,1,MATCH(COLUMNS($AO$1006:BN1006),$AO$1006:$BQ$1006,0)))),"Fix")))</f>
        <v>#N/A</v>
      </c>
      <c r="AB986" s="5" t="e">
        <f ca="1">IF(OR(INDEX($AI$2:$AI$1001,MATCH(ROWS($AH$2:AH986),$AH$2:$AH$1001,0),1)&gt;=100000,INDEX($AO$1005:$BQ$1005,1,MATCH(COLUMNS($AO$1006:BO1006),$AO$1006:$BQ$1006,0))&gt;=100000), " ",IF(INDEX($AO$2:$BQ$1001,MATCH(ROWS($AH$2:AH986),$AH$2:$AH$1001,0),MATCH(COLUMNS($AO$1006:BO1006),$AO$1006:$BQ$1006,0)), HYPERLINK("#",""), HYPERLINK(CONCATENATE("#Metadata!", ADDRESS(INDEX($AJ$2:$AJ$1001,MATCH(ROWS($AH$2:AH986),$AH$2:$AH$1001,0),0), INDEX($AO$1004:$BQ$1004,1,MATCH(COLUMNS($AO$1006:BO1006),$AO$1006:$BQ$1006,0)))),"Fix")))</f>
        <v>#N/A</v>
      </c>
      <c r="AC986" s="5" t="e">
        <f ca="1">IF(OR(INDEX($AI$2:$AI$1001,MATCH(ROWS($AH$2:AH986),$AH$2:$AH$1001,0),1)&gt;=100000,INDEX($AO$1005:$BQ$1005,1,MATCH(COLUMNS($AO$1006:BP1006),$AO$1006:$BQ$1006,0))&gt;=100000), " ",IF(INDEX($AO$2:$BQ$1001,MATCH(ROWS($AH$2:AH986),$AH$2:$AH$1001,0),MATCH(COLUMNS($AO$1006:BP1006),$AO$1006:$BQ$1006,0)), HYPERLINK("#",""), HYPERLINK(CONCATENATE("#Metadata!", ADDRESS(INDEX($AJ$2:$AJ$1001,MATCH(ROWS($AH$2:AH986),$AH$2:$AH$1001,0),0), INDEX($AO$1004:$BQ$1004,1,MATCH(COLUMNS($AO$1006:BP1006),$AO$1006:$BQ$1006,0)))),"Fix")))</f>
        <v>#N/A</v>
      </c>
      <c r="AD986" s="5" t="e">
        <f ca="1">IF(OR(INDEX($AI$2:$AI$1001,MATCH(ROWS($AH$2:AH986),$AH$2:$AH$1001,0),1)&gt;=100000,INDEX($AO$1005:$BQ$1005,1,MATCH(COLUMNS($AO$1006:BQ1006),$AO$1006:$BQ$1006,0))&gt;=100000), " ",IF(INDEX($AO$2:$BQ$1001,MATCH(ROWS($AH$2:AH986),$AH$2:$AH$1001,0),MATCH(COLUMNS($AO$1006:BQ1006),$AO$1006:$BQ$1006,0)), HYPERLINK("#",""), HYPERLINK(CONCATENATE("#Metadata!", ADDRESS(INDEX($AJ$2:$AJ$1001,MATCH(ROWS($AH$2:AH986),$AH$2:$AH$1001,0),0), INDEX($AO$1004:$BQ$1004,1,MATCH(COLUMNS($AO$1006:BQ1006),$AO$1006:$BQ$1006,0)))),"Fix")))</f>
        <v>#REF!</v>
      </c>
      <c r="AH986">
        <f ca="1"/>
        <v>983</v>
      </c>
      <c r="AI986">
        <v>100986</v>
      </c>
      <c r="AJ986">
        <v>986</v>
      </c>
      <c r="AK986" t="b">
        <f t="shared" si="15"/>
        <v>1</v>
      </c>
      <c r="AL986" t="b">
        <f>COUNTBLANK(Metadata!B986:AD986)=COLUMNS(Metadata!B986:AD986)</f>
        <v>1</v>
      </c>
      <c r="AM986" t="str">
        <v/>
      </c>
      <c r="AO986" t="b">
        <f ca="1">AND(IF(Metadata!B986="",FALSE,TRUE),COUNTIF(Metadata!B:B, Metadata!B986) = 1,NOT(ISERROR(SUMPRODUCT(SEARCH(MID(Metadata!B986,ROW(INDIRECT("1:"&amp;LEN(Metadata!B986))), 1),"0123456789abcdefghijklmnopqrstuvwxyzABCDEFGHIJKLMNOPQRSTUVWXYZ.")))))</f>
        <v>0</v>
      </c>
      <c r="AP986" t="b">
        <f>IF(Metadata!C986="",FALSE,TRUE)</f>
        <v>0</v>
      </c>
      <c r="AQ986" t="b">
        <f>IF(Metadata!D986="",FALSE,TRUE)</f>
        <v>0</v>
      </c>
      <c r="AR986" t="b">
        <f ca="1">OR(AND(IF(Metadata!E986="",FALSE,TRUE),OR(EXACT(Metadata!E986,"not collected"),EXACT(Metadata!E986,"not provided"),EXACT(Metadata!E986,"restricted access"))),AND(IF(Metadata!E986="",FALSE,TRUE),AND(AND(IFERROR(INT(LEFT(Metadata!E986,4))&gt;1900,FALSE),IFERROR(INT(LEFT(Metadata!E986,4))&lt;=YEAR(NOW()),FALSE)), OR(MID(Metadata!E986,5,1)="", AND(AND(MID(Metadata!E986,5,1)="-",IFERROR(INT(MID(Metadata!E986,6,1))&gt;=0,FALSE),IFERROR(INT(MID(Metadata!E986,6,1))&lt;=1,FALSE),NOT(MID(Metadata!E986,7,1)=""),IFERROR(INT(MID(Metadata!E986,6,2))&gt;=1,FALSE),IFERROR(INT(MID(Metadata!E986,6,2))&lt;=12,FALSE)), OR(MID(Metadata!E986,8,1)="", AND(AND(MID(Metadata!E986,8,1)="-",IFERROR(INT(MID(Metadata!E986,9,1))&gt;=0,FALSE),IFERROR(INT(MID(Metadata!E986,9,1))&lt;=3,FALSE),NOT(MID(Metadata!E986,10,1)=""),IFERROR(INT(MID(Metadata!E986,9,2))&gt;=1,FALSE),IFERROR(INT(MID(Metadata!E986,9,2))&lt;=31,FALSE)), OR(MID(Metadata!E986,11,1)="", AND(AND(MID(Metadata!E986,11,1)=" ",IFERROR(INT(MID(Metadata!E986,12,1))&gt;=0,FALSE),IFERROR(INT(MID(Metadata!E986,12,1))&lt;=2,FALSE),NOT(MID(Metadata!E986,13,1)=""),IFERROR(INT(MID(Metadata!E986,12,2))&gt;=0,FALSE),IFERROR(INT(MID(Metadata!E986,12,2))&lt;=23,FALSE)), OR(MID(Metadata!E986,14,1)="", AND(AND(MID(Metadata!E986,14,1)=":",IFERROR(INT(MID(Metadata!E986,15,1))&gt;=0,FALSE),IFERROR(INT(MID(Metadata!E986,15,1))&lt;=5,FALSE),NOT(MID(Metadata!E986,16,1)=""),IFERROR(INT(MID(Metadata!E986,15,2))&gt;=0,FALSE),IFERROR(INT(MID(Metadata!E986,15,2))&lt;=59,FALSE)), OR(MID(Metadata!E986,17,1)="", AND(AND(MID(Metadata!E986,17,1)=":",IFERROR(INT(MID(Metadata!E986,18,1))&gt;=0,FALSE),IFERROR(INT(MID(Metadata!E986,18,1))&lt;=5,FALSE),NOT(MID(Metadata!E986,19,1)=""),IFERROR(INT(MID(Metadata!E986,18,2))&gt;=0,FALSE),IFERROR(INT(MID(Metadata!E986,18,2))&lt;=59,FALSE)), LEN(Metadata!E986)&lt;=19)))))))))))))</f>
        <v>0</v>
      </c>
      <c r="AS986" t="b">
        <f>IF(Metadata!F986="",FALSE,TRUE)</f>
        <v>0</v>
      </c>
      <c r="AT986" t="b">
        <f>OR(AND(IF(Metadata!G986="",FALSE,TRUE),OR(EXACT(Metadata!G986,"not collected"),EXACT(Metadata!G986,"not provided"))),AND(IF(Metadata!G986="",FALSE,TRUE),OR(EXACT(Metadata!G986,"TRUE"),EXACT(Metadata!G986,"FALSE"))))</f>
        <v>0</v>
      </c>
      <c r="AU986" t="b">
        <f>OR(AND(IF(Metadata!H986="",FALSE,TRUE),OR(EXACT(Metadata!H986,"not collected"),EXACT(Metadata!H986,"not provided"),EXACT(Metadata!H986,"restricted access"))),AND(IF(Metadata!H986="",FALSE,ISNUMBER(VALUE(Metadata!H986))),Metadata!H986&gt;=-413))</f>
        <v>0</v>
      </c>
      <c r="AV986" t="b">
        <f>AND(IF(Metadata!I986="",FALSE,TRUE),EXACT(Metadata!I986,"meters"))</f>
        <v>0</v>
      </c>
      <c r="AW986" t="b">
        <f>AND(IF(Metadata!J986="",FALSE,TRUE),EXACT(Metadata!J986,"free-living"))</f>
        <v>0</v>
      </c>
      <c r="AX986" t="b">
        <f>AND(IF(Metadata!K986="",FALSE,TRUE),OR(EXACT(Metadata!K986,"saline"),EXACT(Metadata!K986,"non-saline")))</f>
        <v>0</v>
      </c>
      <c r="AY986" t="b">
        <f>AND(IF(Metadata!L986="",FALSE,TRUE),OR(EXACT(Metadata!L986,"sub-surface (non-saline)"),EXACT(Metadata!L986,"surface (non-saline)"),EXACT(Metadata!L986,"water (non-saline)"),EXACT(Metadata!L986,"soil (non-saline)"),EXACT(Metadata!L986,"aerosol (non-saline)"),EXACT(Metadata!L986,"sediment (non-saline)"),EXACT(Metadata!L986,"surface (saline)"),EXACT(Metadata!L986,"water (saline)"),EXACT(Metadata!L986,"hypersaline (saline)"),EXACT(Metadata!L986,"aerosol (saline)"),EXACT(Metadata!L986,"sediment (saline)")))</f>
        <v>0</v>
      </c>
      <c r="AZ986" t="b">
        <f>IF(Metadata!M986="",FALSE,TRUE)</f>
        <v>0</v>
      </c>
      <c r="BA986" t="b">
        <f>IF(Metadata!N986="",FALSE,TRUE)</f>
        <v>0</v>
      </c>
      <c r="BB986" t="b">
        <f>IF(Metadata!O986="",FALSE,TRUE)</f>
        <v>0</v>
      </c>
      <c r="BC986" t="b">
        <f>AND(IF(Metadata!P986="",FALSE,TRUE),OR(EXACT(Metadata!P986,"air"),EXACT(Metadata!P986,"microbial mat/biofilm"),EXACT(Metadata!P986,"misc environment"),EXACT(Metadata!P986,"sediment"),EXACT(Metadata!P986,"soil"),EXACT(Metadata!P986,"wastewater/sludge"),EXACT(Metadata!P986,"water")))</f>
        <v>0</v>
      </c>
      <c r="BD986" t="b">
        <f>IF(Metadata!Q986="",FALSE,TRUE)</f>
        <v>0</v>
      </c>
      <c r="BE986" t="b">
        <f>IF(Metadata!R986="",FALSE,TRUE)</f>
        <v>0</v>
      </c>
      <c r="BF986" t="b">
        <f>OR(AND(IF(Metadata!S986="",FALSE,TRUE),OR(EXACT(Metadata!S986,"not collected"),EXACT(Metadata!S986,"not provided"),EXACT(Metadata!S986,"restricted access"))),AND(IF(Metadata!S986="",FALSE,ISNUMBER(VALUE(Metadata!S986))),Metadata!S986&gt;=-90,Metadata!S986&lt;=90))</f>
        <v>0</v>
      </c>
      <c r="BG986" t="b">
        <f>AND(IF(Metadata!T986="",FALSE,TRUE),EXACT(Metadata!T986,"Decimal degrees"))</f>
        <v>0</v>
      </c>
      <c r="BH986" t="b">
        <f>OR(AND(IF(Metadata!U986="",FALSE,TRUE),OR(EXACT(Metadata!U986,"not applicable"),EXACT(Metadata!U986,"not collected"))),IF(Metadata!U986="",FALSE,TRUE))</f>
        <v>0</v>
      </c>
      <c r="BI986" t="b">
        <f>OR(AND(IF(Metadata!V986="",FALSE,TRUE),OR(EXACT(Metadata!V986,"not collected"),EXACT(Metadata!V986,"not provided"),EXACT(Metadata!V986,"restricted access"))),AND(IF(Metadata!V986="",FALSE,ISNUMBER(VALUE(Metadata!V986))),Metadata!V986&gt;=-180,Metadata!V986&lt;=180))</f>
        <v>0</v>
      </c>
      <c r="BJ986" t="b">
        <f>AND(IF(Metadata!W986="",FALSE,TRUE),EXACT(Metadata!W986,"Decimal degrees"))</f>
        <v>0</v>
      </c>
      <c r="BK986" t="b">
        <f>IF(Metadata!X986="",FALSE,TRUE)</f>
        <v>0</v>
      </c>
      <c r="BL986" t="b">
        <f>OR(AND(IF(Metadata!Y986="",FALSE,TRUE),OR(EXACT(Metadata!Y986,"not collected"),EXACT(Metadata!Y986,"not provided"),EXACT(Metadata!Y986,"restricted access"))),AND(IF(Metadata!Y986="",FALSE,TRUE),OR(EXACT(Metadata!Y986,"TRUE"),EXACT(Metadata!Y986,"FALSE"))))</f>
        <v>0</v>
      </c>
      <c r="BM986" t="b">
        <f>OR(AND(IF(Metadata!Z986="",FALSE,TRUE),EXACT(Metadata!Z986,"not applicable")),AND(IF(Metadata!Z986="",FALSE,TRUE),OR(EXACT(Metadata!Z986,"beer"),EXACT(Metadata!Z986,"cheese"),EXACT(Metadata!Z986,"fresh water"),EXACT(Metadata!Z986,"marine sediment"),EXACT(Metadata!Z986,"sea water"),EXACT(Metadata!Z986,"sediment"),EXACT(Metadata!Z986,"soil"),EXACT(Metadata!Z986,"waste water"))))</f>
        <v>0</v>
      </c>
      <c r="BN986" t="b">
        <f>AND(IF(Metadata!AA986="",FALSE,TRUE),EXACT(Metadata!AA986,"metagenome"))</f>
        <v>0</v>
      </c>
      <c r="BO986" t="b">
        <f>AND(IF(Metadata!AB986="",FALSE,TRUE),EXACT(Metadata!AB986,"256318"))</f>
        <v>0</v>
      </c>
      <c r="BP986" t="b">
        <f>IF(Metadata!AC986="",FALSE,TRUE)</f>
        <v>0</v>
      </c>
      <c r="BQ986" t="b">
        <f>IF(Metadata!AD986="",FALSE,TRUE)</f>
        <v>0</v>
      </c>
    </row>
    <row r="987" spans="1:69" x14ac:dyDescent="0.2">
      <c r="A987" s="4" t="e">
        <f ca="1">IF(B987=" "," ",HYPERLINK(CONCATENATE("#metadata!",ADDRESS(INDEX($AJ$2:$AJ$1001,MATCH(ROWS($AH$2:AH987),$AH$2:$AH$1001,0),0),2)),INDEX($AM$2:$AM$1001,MATCH(ROWS($AH$2:AH987),$AH$2:$AH$1001,0),0)))</f>
        <v>#N/A</v>
      </c>
      <c r="B987" s="5" t="e">
        <f ca="1">IF(OR(INDEX($AI$2:$AI$1001,MATCH(ROWS($AH$2:AH987),$AH$2:$AH$1001,0),1)&gt;=100000,INDEX($AO$1005:$BQ$1005,1,MATCH(COLUMNS($AO$1006:AO1006),$AO$1006:$BQ$1006,0))&gt;=100000), " ",IF(INDEX($AO$2:$BQ$1001,MATCH(ROWS($AH$2:AH987),$AH$2:$AH$1001,0),MATCH(COLUMNS($AO$1006:AO1006),$AO$1006:$BQ$1006,0)), HYPERLINK("#",""), HYPERLINK(CONCATENATE("#Metadata!", ADDRESS(INDEX($AJ$2:$AJ$1001,MATCH(ROWS($AH$2:AH987),$AH$2:$AH$1001,0),0), INDEX($AO$1004:$BQ$1004,1,MATCH(COLUMNS($AO$1006:AO1006),$AO$1006:$BQ$1006,0)))),"Fix")))</f>
        <v>#N/A</v>
      </c>
      <c r="C987" s="5" t="e">
        <f ca="1">IF(OR(INDEX($AI$2:$AI$1001,MATCH(ROWS($AH$2:AH987),$AH$2:$AH$1001,0),1)&gt;=100000,INDEX($AO$1005:$BQ$1005,1,MATCH(COLUMNS($AO$1006:AP1006),$AO$1006:$BQ$1006,0))&gt;=100000), " ",IF(INDEX($AO$2:$BQ$1001,MATCH(ROWS($AH$2:AH987),$AH$2:$AH$1001,0),MATCH(COLUMNS($AO$1006:AP1006),$AO$1006:$BQ$1006,0)), HYPERLINK("#",""), HYPERLINK(CONCATENATE("#Metadata!", ADDRESS(INDEX($AJ$2:$AJ$1001,MATCH(ROWS($AH$2:AH987),$AH$2:$AH$1001,0),0), INDEX($AO$1004:$BQ$1004,1,MATCH(COLUMNS($AO$1006:AP1006),$AO$1006:$BQ$1006,0)))),"Fix")))</f>
        <v>#N/A</v>
      </c>
      <c r="D987" s="5" t="e">
        <f ca="1">IF(OR(INDEX($AI$2:$AI$1001,MATCH(ROWS($AH$2:AH987),$AH$2:$AH$1001,0),1)&gt;=100000,INDEX($AO$1005:$BQ$1005,1,MATCH(COLUMNS($AO$1006:AQ1006),$AO$1006:$BQ$1006,0))&gt;=100000), " ",IF(INDEX($AO$2:$BQ$1001,MATCH(ROWS($AH$2:AH987),$AH$2:$AH$1001,0),MATCH(COLUMNS($AO$1006:AQ1006),$AO$1006:$BQ$1006,0)), HYPERLINK("#",""), HYPERLINK(CONCATENATE("#Metadata!", ADDRESS(INDEX($AJ$2:$AJ$1001,MATCH(ROWS($AH$2:AH987),$AH$2:$AH$1001,0),0), INDEX($AO$1004:$BQ$1004,1,MATCH(COLUMNS($AO$1006:AQ1006),$AO$1006:$BQ$1006,0)))),"Fix")))</f>
        <v>#N/A</v>
      </c>
      <c r="E987" s="5" t="e">
        <f ca="1">IF(OR(INDEX($AI$2:$AI$1001,MATCH(ROWS($AH$2:AH987),$AH$2:$AH$1001,0),1)&gt;=100000,INDEX($AO$1005:$BQ$1005,1,MATCH(COLUMNS($AO$1006:AR1006),$AO$1006:$BQ$1006,0))&gt;=100000), " ",IF(INDEX($AO$2:$BQ$1001,MATCH(ROWS($AH$2:AH987),$AH$2:$AH$1001,0),MATCH(COLUMNS($AO$1006:AR1006),$AO$1006:$BQ$1006,0)), HYPERLINK("#",""), HYPERLINK(CONCATENATE("#Metadata!", ADDRESS(INDEX($AJ$2:$AJ$1001,MATCH(ROWS($AH$2:AH987),$AH$2:$AH$1001,0),0), INDEX($AO$1004:$BQ$1004,1,MATCH(COLUMNS($AO$1006:AR1006),$AO$1006:$BQ$1006,0)))),"Fix")))</f>
        <v>#N/A</v>
      </c>
      <c r="F987" s="5" t="e">
        <f ca="1">IF(OR(INDEX($AI$2:$AI$1001,MATCH(ROWS($AH$2:AH987),$AH$2:$AH$1001,0),1)&gt;=100000,INDEX($AO$1005:$BQ$1005,1,MATCH(COLUMNS($AO$1006:AS1006),$AO$1006:$BQ$1006,0))&gt;=100000), " ",IF(INDEX($AO$2:$BQ$1001,MATCH(ROWS($AH$2:AH987),$AH$2:$AH$1001,0),MATCH(COLUMNS($AO$1006:AS1006),$AO$1006:$BQ$1006,0)), HYPERLINK("#",""), HYPERLINK(CONCATENATE("#Metadata!", ADDRESS(INDEX($AJ$2:$AJ$1001,MATCH(ROWS($AH$2:AH987),$AH$2:$AH$1001,0),0), INDEX($AO$1004:$BQ$1004,1,MATCH(COLUMNS($AO$1006:AS1006),$AO$1006:$BQ$1006,0)))),"Fix")))</f>
        <v>#N/A</v>
      </c>
      <c r="G987" s="5" t="e">
        <f ca="1">IF(OR(INDEX($AI$2:$AI$1001,MATCH(ROWS($AH$2:AH987),$AH$2:$AH$1001,0),1)&gt;=100000,INDEX($AO$1005:$BQ$1005,1,MATCH(COLUMNS($AO$1006:AT1006),$AO$1006:$BQ$1006,0))&gt;=100000), " ",IF(INDEX($AO$2:$BQ$1001,MATCH(ROWS($AH$2:AH987),$AH$2:$AH$1001,0),MATCH(COLUMNS($AO$1006:AT1006),$AO$1006:$BQ$1006,0)), HYPERLINK("#",""), HYPERLINK(CONCATENATE("#Metadata!", ADDRESS(INDEX($AJ$2:$AJ$1001,MATCH(ROWS($AH$2:AH987),$AH$2:$AH$1001,0),0), INDEX($AO$1004:$BQ$1004,1,MATCH(COLUMNS($AO$1006:AT1006),$AO$1006:$BQ$1006,0)))),"Fix")))</f>
        <v>#N/A</v>
      </c>
      <c r="H987" s="5" t="e">
        <f ca="1">IF(OR(INDEX($AI$2:$AI$1001,MATCH(ROWS($AH$2:AH987),$AH$2:$AH$1001,0),1)&gt;=100000,INDEX($AO$1005:$BQ$1005,1,MATCH(COLUMNS($AO$1006:AU1006),$AO$1006:$BQ$1006,0))&gt;=100000), " ",IF(INDEX($AO$2:$BQ$1001,MATCH(ROWS($AH$2:AH987),$AH$2:$AH$1001,0),MATCH(COLUMNS($AO$1006:AU1006),$AO$1006:$BQ$1006,0)), HYPERLINK("#",""), HYPERLINK(CONCATENATE("#Metadata!", ADDRESS(INDEX($AJ$2:$AJ$1001,MATCH(ROWS($AH$2:AH987),$AH$2:$AH$1001,0),0), INDEX($AO$1004:$BQ$1004,1,MATCH(COLUMNS($AO$1006:AU1006),$AO$1006:$BQ$1006,0)))),"Fix")))</f>
        <v>#N/A</v>
      </c>
      <c r="I987" s="5" t="e">
        <f ca="1">IF(OR(INDEX($AI$2:$AI$1001,MATCH(ROWS($AH$2:AH987),$AH$2:$AH$1001,0),1)&gt;=100000,INDEX($AO$1005:$BQ$1005,1,MATCH(COLUMNS($AO$1006:AV1006),$AO$1006:$BQ$1006,0))&gt;=100000), " ",IF(INDEX($AO$2:$BQ$1001,MATCH(ROWS($AH$2:AH987),$AH$2:$AH$1001,0),MATCH(COLUMNS($AO$1006:AV1006),$AO$1006:$BQ$1006,0)), HYPERLINK("#",""), HYPERLINK(CONCATENATE("#Metadata!", ADDRESS(INDEX($AJ$2:$AJ$1001,MATCH(ROWS($AH$2:AH987),$AH$2:$AH$1001,0),0), INDEX($AO$1004:$BQ$1004,1,MATCH(COLUMNS($AO$1006:AV1006),$AO$1006:$BQ$1006,0)))),"Fix")))</f>
        <v>#N/A</v>
      </c>
      <c r="J987" s="5" t="e">
        <f ca="1">IF(OR(INDEX($AI$2:$AI$1001,MATCH(ROWS($AH$2:AH987),$AH$2:$AH$1001,0),1)&gt;=100000,INDEX($AO$1005:$BQ$1005,1,MATCH(COLUMNS($AO$1006:AW1006),$AO$1006:$BQ$1006,0))&gt;=100000), " ",IF(INDEX($AO$2:$BQ$1001,MATCH(ROWS($AH$2:AH987),$AH$2:$AH$1001,0),MATCH(COLUMNS($AO$1006:AW1006),$AO$1006:$BQ$1006,0)), HYPERLINK("#",""), HYPERLINK(CONCATENATE("#Metadata!", ADDRESS(INDEX($AJ$2:$AJ$1001,MATCH(ROWS($AH$2:AH987),$AH$2:$AH$1001,0),0), INDEX($AO$1004:$BQ$1004,1,MATCH(COLUMNS($AO$1006:AW1006),$AO$1006:$BQ$1006,0)))),"Fix")))</f>
        <v>#N/A</v>
      </c>
      <c r="K987" s="5" t="e">
        <f ca="1">IF(OR(INDEX($AI$2:$AI$1001,MATCH(ROWS($AH$2:AH987),$AH$2:$AH$1001,0),1)&gt;=100000,INDEX($AO$1005:$BQ$1005,1,MATCH(COLUMNS($AO$1006:AX1006),$AO$1006:$BQ$1006,0))&gt;=100000), " ",IF(INDEX($AO$2:$BQ$1001,MATCH(ROWS($AH$2:AH987),$AH$2:$AH$1001,0),MATCH(COLUMNS($AO$1006:AX1006),$AO$1006:$BQ$1006,0)), HYPERLINK("#",""), HYPERLINK(CONCATENATE("#Metadata!", ADDRESS(INDEX($AJ$2:$AJ$1001,MATCH(ROWS($AH$2:AH987),$AH$2:$AH$1001,0),0), INDEX($AO$1004:$BQ$1004,1,MATCH(COLUMNS($AO$1006:AX1006),$AO$1006:$BQ$1006,0)))),"Fix")))</f>
        <v>#N/A</v>
      </c>
      <c r="L987" s="5" t="e">
        <f ca="1">IF(OR(INDEX($AI$2:$AI$1001,MATCH(ROWS($AH$2:AH987),$AH$2:$AH$1001,0),1)&gt;=100000,INDEX($AO$1005:$BQ$1005,1,MATCH(COLUMNS($AO$1006:AY1006),$AO$1006:$BQ$1006,0))&gt;=100000), " ",IF(INDEX($AO$2:$BQ$1001,MATCH(ROWS($AH$2:AH987),$AH$2:$AH$1001,0),MATCH(COLUMNS($AO$1006:AY1006),$AO$1006:$BQ$1006,0)), HYPERLINK("#",""), HYPERLINK(CONCATENATE("#Metadata!", ADDRESS(INDEX($AJ$2:$AJ$1001,MATCH(ROWS($AH$2:AH987),$AH$2:$AH$1001,0),0), INDEX($AO$1004:$BQ$1004,1,MATCH(COLUMNS($AO$1006:AY1006),$AO$1006:$BQ$1006,0)))),"Fix")))</f>
        <v>#N/A</v>
      </c>
      <c r="M987" s="5" t="e">
        <f ca="1">IF(OR(INDEX($AI$2:$AI$1001,MATCH(ROWS($AH$2:AH987),$AH$2:$AH$1001,0),1)&gt;=100000,INDEX($AO$1005:$BQ$1005,1,MATCH(COLUMNS($AO$1006:AZ1006),$AO$1006:$BQ$1006,0))&gt;=100000), " ",IF(INDEX($AO$2:$BQ$1001,MATCH(ROWS($AH$2:AH987),$AH$2:$AH$1001,0),MATCH(COLUMNS($AO$1006:AZ1006),$AO$1006:$BQ$1006,0)), HYPERLINK("#",""), HYPERLINK(CONCATENATE("#Metadata!", ADDRESS(INDEX($AJ$2:$AJ$1001,MATCH(ROWS($AH$2:AH987),$AH$2:$AH$1001,0),0), INDEX($AO$1004:$BQ$1004,1,MATCH(COLUMNS($AO$1006:AZ1006),$AO$1006:$BQ$1006,0)))),"Fix")))</f>
        <v>#N/A</v>
      </c>
      <c r="N987" s="5" t="e">
        <f ca="1">IF(OR(INDEX($AI$2:$AI$1001,MATCH(ROWS($AH$2:AH987),$AH$2:$AH$1001,0),1)&gt;=100000,INDEX($AO$1005:$BQ$1005,1,MATCH(COLUMNS($AO$1006:BA1006),$AO$1006:$BQ$1006,0))&gt;=100000), " ",IF(INDEX($AO$2:$BQ$1001,MATCH(ROWS($AH$2:AH987),$AH$2:$AH$1001,0),MATCH(COLUMNS($AO$1006:BA1006),$AO$1006:$BQ$1006,0)), HYPERLINK("#",""), HYPERLINK(CONCATENATE("#Metadata!", ADDRESS(INDEX($AJ$2:$AJ$1001,MATCH(ROWS($AH$2:AH987),$AH$2:$AH$1001,0),0), INDEX($AO$1004:$BQ$1004,1,MATCH(COLUMNS($AO$1006:BA1006),$AO$1006:$BQ$1006,0)))),"Fix")))</f>
        <v>#N/A</v>
      </c>
      <c r="O987" s="5" t="e">
        <f ca="1">IF(OR(INDEX($AI$2:$AI$1001,MATCH(ROWS($AH$2:AH987),$AH$2:$AH$1001,0),1)&gt;=100000,INDEX($AO$1005:$BQ$1005,1,MATCH(COLUMNS($AO$1006:BB1006),$AO$1006:$BQ$1006,0))&gt;=100000), " ",IF(INDEX($AO$2:$BQ$1001,MATCH(ROWS($AH$2:AH987),$AH$2:$AH$1001,0),MATCH(COLUMNS($AO$1006:BB1006),$AO$1006:$BQ$1006,0)), HYPERLINK("#",""), HYPERLINK(CONCATENATE("#Metadata!", ADDRESS(INDEX($AJ$2:$AJ$1001,MATCH(ROWS($AH$2:AH987),$AH$2:$AH$1001,0),0), INDEX($AO$1004:$BQ$1004,1,MATCH(COLUMNS($AO$1006:BB1006),$AO$1006:$BQ$1006,0)))),"Fix")))</f>
        <v>#N/A</v>
      </c>
      <c r="P987" s="5" t="e">
        <f ca="1">IF(OR(INDEX($AI$2:$AI$1001,MATCH(ROWS($AH$2:AH987),$AH$2:$AH$1001,0),1)&gt;=100000,INDEX($AO$1005:$BQ$1005,1,MATCH(COLUMNS($AO$1006:BC1006),$AO$1006:$BQ$1006,0))&gt;=100000), " ",IF(INDEX($AO$2:$BQ$1001,MATCH(ROWS($AH$2:AH987),$AH$2:$AH$1001,0),MATCH(COLUMNS($AO$1006:BC1006),$AO$1006:$BQ$1006,0)), HYPERLINK("#",""), HYPERLINK(CONCATENATE("#Metadata!", ADDRESS(INDEX($AJ$2:$AJ$1001,MATCH(ROWS($AH$2:AH987),$AH$2:$AH$1001,0),0), INDEX($AO$1004:$BQ$1004,1,MATCH(COLUMNS($AO$1006:BC1006),$AO$1006:$BQ$1006,0)))),"Fix")))</f>
        <v>#N/A</v>
      </c>
      <c r="Q987" s="5" t="e">
        <f ca="1">IF(OR(INDEX($AI$2:$AI$1001,MATCH(ROWS($AH$2:AH987),$AH$2:$AH$1001,0),1)&gt;=100000,INDEX($AO$1005:$BQ$1005,1,MATCH(COLUMNS($AO$1006:BD1006),$AO$1006:$BQ$1006,0))&gt;=100000), " ",IF(INDEX($AO$2:$BQ$1001,MATCH(ROWS($AH$2:AH987),$AH$2:$AH$1001,0),MATCH(COLUMNS($AO$1006:BD1006),$AO$1006:$BQ$1006,0)), HYPERLINK("#",""), HYPERLINK(CONCATENATE("#Metadata!", ADDRESS(INDEX($AJ$2:$AJ$1001,MATCH(ROWS($AH$2:AH987),$AH$2:$AH$1001,0),0), INDEX($AO$1004:$BQ$1004,1,MATCH(COLUMNS($AO$1006:BD1006),$AO$1006:$BQ$1006,0)))),"Fix")))</f>
        <v>#N/A</v>
      </c>
      <c r="R987" s="5" t="e">
        <f ca="1">IF(OR(INDEX($AI$2:$AI$1001,MATCH(ROWS($AH$2:AH987),$AH$2:$AH$1001,0),1)&gt;=100000,INDEX($AO$1005:$BQ$1005,1,MATCH(COLUMNS($AO$1006:BE1006),$AO$1006:$BQ$1006,0))&gt;=100000), " ",IF(INDEX($AO$2:$BQ$1001,MATCH(ROWS($AH$2:AH987),$AH$2:$AH$1001,0),MATCH(COLUMNS($AO$1006:BE1006),$AO$1006:$BQ$1006,0)), HYPERLINK("#",""), HYPERLINK(CONCATENATE("#Metadata!", ADDRESS(INDEX($AJ$2:$AJ$1001,MATCH(ROWS($AH$2:AH987),$AH$2:$AH$1001,0),0), INDEX($AO$1004:$BQ$1004,1,MATCH(COLUMNS($AO$1006:BE1006),$AO$1006:$BQ$1006,0)))),"Fix")))</f>
        <v>#N/A</v>
      </c>
      <c r="S987" s="5" t="e">
        <f ca="1">IF(OR(INDEX($AI$2:$AI$1001,MATCH(ROWS($AH$2:AH987),$AH$2:$AH$1001,0),1)&gt;=100000,INDEX($AO$1005:$BQ$1005,1,MATCH(COLUMNS($AO$1006:BF1006),$AO$1006:$BQ$1006,0))&gt;=100000), " ",IF(INDEX($AO$2:$BQ$1001,MATCH(ROWS($AH$2:AH987),$AH$2:$AH$1001,0),MATCH(COLUMNS($AO$1006:BF1006),$AO$1006:$BQ$1006,0)), HYPERLINK("#",""), HYPERLINK(CONCATENATE("#Metadata!", ADDRESS(INDEX($AJ$2:$AJ$1001,MATCH(ROWS($AH$2:AH987),$AH$2:$AH$1001,0),0), INDEX($AO$1004:$BQ$1004,1,MATCH(COLUMNS($AO$1006:BF1006),$AO$1006:$BQ$1006,0)))),"Fix")))</f>
        <v>#N/A</v>
      </c>
      <c r="T987" s="5" t="e">
        <f ca="1">IF(OR(INDEX($AI$2:$AI$1001,MATCH(ROWS($AH$2:AH987),$AH$2:$AH$1001,0),1)&gt;=100000,INDEX($AO$1005:$BQ$1005,1,MATCH(COLUMNS($AO$1006:BG1006),$AO$1006:$BQ$1006,0))&gt;=100000), " ",IF(INDEX($AO$2:$BQ$1001,MATCH(ROWS($AH$2:AH987),$AH$2:$AH$1001,0),MATCH(COLUMNS($AO$1006:BG1006),$AO$1006:$BQ$1006,0)), HYPERLINK("#",""), HYPERLINK(CONCATENATE("#Metadata!", ADDRESS(INDEX($AJ$2:$AJ$1001,MATCH(ROWS($AH$2:AH987),$AH$2:$AH$1001,0),0), INDEX($AO$1004:$BQ$1004,1,MATCH(COLUMNS($AO$1006:BG1006),$AO$1006:$BQ$1006,0)))),"Fix")))</f>
        <v>#N/A</v>
      </c>
      <c r="U987" s="5" t="e">
        <f ca="1">IF(OR(INDEX($AI$2:$AI$1001,MATCH(ROWS($AH$2:AH987),$AH$2:$AH$1001,0),1)&gt;=100000,INDEX($AO$1005:$BQ$1005,1,MATCH(COLUMNS($AO$1006:BH1006),$AO$1006:$BQ$1006,0))&gt;=100000), " ",IF(INDEX($AO$2:$BQ$1001,MATCH(ROWS($AH$2:AH987),$AH$2:$AH$1001,0),MATCH(COLUMNS($AO$1006:BH1006),$AO$1006:$BQ$1006,0)), HYPERLINK("#",""), HYPERLINK(CONCATENATE("#Metadata!", ADDRESS(INDEX($AJ$2:$AJ$1001,MATCH(ROWS($AH$2:AH987),$AH$2:$AH$1001,0),0), INDEX($AO$1004:$BQ$1004,1,MATCH(COLUMNS($AO$1006:BH1006),$AO$1006:$BQ$1006,0)))),"Fix")))</f>
        <v>#N/A</v>
      </c>
      <c r="V987" s="5" t="e">
        <f ca="1">IF(OR(INDEX($AI$2:$AI$1001,MATCH(ROWS($AH$2:AH987),$AH$2:$AH$1001,0),1)&gt;=100000,INDEX($AO$1005:$BQ$1005,1,MATCH(COLUMNS($AO$1006:BI1006),$AO$1006:$BQ$1006,0))&gt;=100000), " ",IF(INDEX($AO$2:$BQ$1001,MATCH(ROWS($AH$2:AH987),$AH$2:$AH$1001,0),MATCH(COLUMNS($AO$1006:BI1006),$AO$1006:$BQ$1006,0)), HYPERLINK("#",""), HYPERLINK(CONCATENATE("#Metadata!", ADDRESS(INDEX($AJ$2:$AJ$1001,MATCH(ROWS($AH$2:AH987),$AH$2:$AH$1001,0),0), INDEX($AO$1004:$BQ$1004,1,MATCH(COLUMNS($AO$1006:BI1006),$AO$1006:$BQ$1006,0)))),"Fix")))</f>
        <v>#N/A</v>
      </c>
      <c r="W987" s="5" t="e">
        <f ca="1">IF(OR(INDEX($AI$2:$AI$1001,MATCH(ROWS($AH$2:AH987),$AH$2:$AH$1001,0),1)&gt;=100000,INDEX($AO$1005:$BQ$1005,1,MATCH(COLUMNS($AO$1006:BJ1006),$AO$1006:$BQ$1006,0))&gt;=100000), " ",IF(INDEX($AO$2:$BQ$1001,MATCH(ROWS($AH$2:AH987),$AH$2:$AH$1001,0),MATCH(COLUMNS($AO$1006:BJ1006),$AO$1006:$BQ$1006,0)), HYPERLINK("#",""), HYPERLINK(CONCATENATE("#Metadata!", ADDRESS(INDEX($AJ$2:$AJ$1001,MATCH(ROWS($AH$2:AH987),$AH$2:$AH$1001,0),0), INDEX($AO$1004:$BQ$1004,1,MATCH(COLUMNS($AO$1006:BJ1006),$AO$1006:$BQ$1006,0)))),"Fix")))</f>
        <v>#N/A</v>
      </c>
      <c r="X987" s="5" t="e">
        <f ca="1">IF(OR(INDEX($AI$2:$AI$1001,MATCH(ROWS($AH$2:AH987),$AH$2:$AH$1001,0),1)&gt;=100000,INDEX($AO$1005:$BQ$1005,1,MATCH(COLUMNS($AO$1006:BK1006),$AO$1006:$BQ$1006,0))&gt;=100000), " ",IF(INDEX($AO$2:$BQ$1001,MATCH(ROWS($AH$2:AH987),$AH$2:$AH$1001,0),MATCH(COLUMNS($AO$1006:BK1006),$AO$1006:$BQ$1006,0)), HYPERLINK("#",""), HYPERLINK(CONCATENATE("#Metadata!", ADDRESS(INDEX($AJ$2:$AJ$1001,MATCH(ROWS($AH$2:AH987),$AH$2:$AH$1001,0),0), INDEX($AO$1004:$BQ$1004,1,MATCH(COLUMNS($AO$1006:BK1006),$AO$1006:$BQ$1006,0)))),"Fix")))</f>
        <v>#N/A</v>
      </c>
      <c r="Y987" s="5" t="e">
        <f ca="1">IF(OR(INDEX($AI$2:$AI$1001,MATCH(ROWS($AH$2:AH987),$AH$2:$AH$1001,0),1)&gt;=100000,INDEX($AO$1005:$BQ$1005,1,MATCH(COLUMNS($AO$1006:BL1006),$AO$1006:$BQ$1006,0))&gt;=100000), " ",IF(INDEX($AO$2:$BQ$1001,MATCH(ROWS($AH$2:AH987),$AH$2:$AH$1001,0),MATCH(COLUMNS($AO$1006:BL1006),$AO$1006:$BQ$1006,0)), HYPERLINK("#",""), HYPERLINK(CONCATENATE("#Metadata!", ADDRESS(INDEX($AJ$2:$AJ$1001,MATCH(ROWS($AH$2:AH987),$AH$2:$AH$1001,0),0), INDEX($AO$1004:$BQ$1004,1,MATCH(COLUMNS($AO$1006:BL1006),$AO$1006:$BQ$1006,0)))),"Fix")))</f>
        <v>#N/A</v>
      </c>
      <c r="Z987" s="5" t="e">
        <f ca="1">IF(OR(INDEX($AI$2:$AI$1001,MATCH(ROWS($AH$2:AH987),$AH$2:$AH$1001,0),1)&gt;=100000,INDEX($AO$1005:$BQ$1005,1,MATCH(COLUMNS($AO$1006:BM1006),$AO$1006:$BQ$1006,0))&gt;=100000), " ",IF(INDEX($AO$2:$BQ$1001,MATCH(ROWS($AH$2:AH987),$AH$2:$AH$1001,0),MATCH(COLUMNS($AO$1006:BM1006),$AO$1006:$BQ$1006,0)), HYPERLINK("#",""), HYPERLINK(CONCATENATE("#Metadata!", ADDRESS(INDEX($AJ$2:$AJ$1001,MATCH(ROWS($AH$2:AH987),$AH$2:$AH$1001,0),0), INDEX($AO$1004:$BQ$1004,1,MATCH(COLUMNS($AO$1006:BM1006),$AO$1006:$BQ$1006,0)))),"Fix")))</f>
        <v>#N/A</v>
      </c>
      <c r="AA987" s="5" t="e">
        <f ca="1">IF(OR(INDEX($AI$2:$AI$1001,MATCH(ROWS($AH$2:AH987),$AH$2:$AH$1001,0),1)&gt;=100000,INDEX($AO$1005:$BQ$1005,1,MATCH(COLUMNS($AO$1006:BN1006),$AO$1006:$BQ$1006,0))&gt;=100000), " ",IF(INDEX($AO$2:$BQ$1001,MATCH(ROWS($AH$2:AH987),$AH$2:$AH$1001,0),MATCH(COLUMNS($AO$1006:BN1006),$AO$1006:$BQ$1006,0)), HYPERLINK("#",""), HYPERLINK(CONCATENATE("#Metadata!", ADDRESS(INDEX($AJ$2:$AJ$1001,MATCH(ROWS($AH$2:AH987),$AH$2:$AH$1001,0),0), INDEX($AO$1004:$BQ$1004,1,MATCH(COLUMNS($AO$1006:BN1006),$AO$1006:$BQ$1006,0)))),"Fix")))</f>
        <v>#N/A</v>
      </c>
      <c r="AB987" s="5" t="e">
        <f ca="1">IF(OR(INDEX($AI$2:$AI$1001,MATCH(ROWS($AH$2:AH987),$AH$2:$AH$1001,0),1)&gt;=100000,INDEX($AO$1005:$BQ$1005,1,MATCH(COLUMNS($AO$1006:BO1006),$AO$1006:$BQ$1006,0))&gt;=100000), " ",IF(INDEX($AO$2:$BQ$1001,MATCH(ROWS($AH$2:AH987),$AH$2:$AH$1001,0),MATCH(COLUMNS($AO$1006:BO1006),$AO$1006:$BQ$1006,0)), HYPERLINK("#",""), HYPERLINK(CONCATENATE("#Metadata!", ADDRESS(INDEX($AJ$2:$AJ$1001,MATCH(ROWS($AH$2:AH987),$AH$2:$AH$1001,0),0), INDEX($AO$1004:$BQ$1004,1,MATCH(COLUMNS($AO$1006:BO1006),$AO$1006:$BQ$1006,0)))),"Fix")))</f>
        <v>#N/A</v>
      </c>
      <c r="AC987" s="5" t="e">
        <f ca="1">IF(OR(INDEX($AI$2:$AI$1001,MATCH(ROWS($AH$2:AH987),$AH$2:$AH$1001,0),1)&gt;=100000,INDEX($AO$1005:$BQ$1005,1,MATCH(COLUMNS($AO$1006:BP1006),$AO$1006:$BQ$1006,0))&gt;=100000), " ",IF(INDEX($AO$2:$BQ$1001,MATCH(ROWS($AH$2:AH987),$AH$2:$AH$1001,0),MATCH(COLUMNS($AO$1006:BP1006),$AO$1006:$BQ$1006,0)), HYPERLINK("#",""), HYPERLINK(CONCATENATE("#Metadata!", ADDRESS(INDEX($AJ$2:$AJ$1001,MATCH(ROWS($AH$2:AH987),$AH$2:$AH$1001,0),0), INDEX($AO$1004:$BQ$1004,1,MATCH(COLUMNS($AO$1006:BP1006),$AO$1006:$BQ$1006,0)))),"Fix")))</f>
        <v>#N/A</v>
      </c>
      <c r="AD987" s="5" t="e">
        <f ca="1">IF(OR(INDEX($AI$2:$AI$1001,MATCH(ROWS($AH$2:AH987),$AH$2:$AH$1001,0),1)&gt;=100000,INDEX($AO$1005:$BQ$1005,1,MATCH(COLUMNS($AO$1006:BQ1006),$AO$1006:$BQ$1006,0))&gt;=100000), " ",IF(INDEX($AO$2:$BQ$1001,MATCH(ROWS($AH$2:AH987),$AH$2:$AH$1001,0),MATCH(COLUMNS($AO$1006:BQ1006),$AO$1006:$BQ$1006,0)), HYPERLINK("#",""), HYPERLINK(CONCATENATE("#Metadata!", ADDRESS(INDEX($AJ$2:$AJ$1001,MATCH(ROWS($AH$2:AH987),$AH$2:$AH$1001,0),0), INDEX($AO$1004:$BQ$1004,1,MATCH(COLUMNS($AO$1006:BQ1006),$AO$1006:$BQ$1006,0)))),"Fix")))</f>
        <v>#REF!</v>
      </c>
      <c r="AH987">
        <f ca="1"/>
        <v>984</v>
      </c>
      <c r="AI987">
        <v>100987</v>
      </c>
      <c r="AJ987">
        <v>987</v>
      </c>
      <c r="AK987" t="b">
        <f t="shared" si="15"/>
        <v>1</v>
      </c>
      <c r="AL987" t="b">
        <f>COUNTBLANK(Metadata!B987:AD987)=COLUMNS(Metadata!B987:AD987)</f>
        <v>1</v>
      </c>
      <c r="AM987" t="str">
        <v/>
      </c>
      <c r="AO987" t="b">
        <f ca="1">AND(IF(Metadata!B987="",FALSE,TRUE),COUNTIF(Metadata!B:B, Metadata!B987) = 1,NOT(ISERROR(SUMPRODUCT(SEARCH(MID(Metadata!B987,ROW(INDIRECT("1:"&amp;LEN(Metadata!B987))), 1),"0123456789abcdefghijklmnopqrstuvwxyzABCDEFGHIJKLMNOPQRSTUVWXYZ.")))))</f>
        <v>0</v>
      </c>
      <c r="AP987" t="b">
        <f>IF(Metadata!C987="",FALSE,TRUE)</f>
        <v>0</v>
      </c>
      <c r="AQ987" t="b">
        <f>IF(Metadata!D987="",FALSE,TRUE)</f>
        <v>0</v>
      </c>
      <c r="AR987" t="b">
        <f ca="1">OR(AND(IF(Metadata!E987="",FALSE,TRUE),OR(EXACT(Metadata!E987,"not collected"),EXACT(Metadata!E987,"not provided"),EXACT(Metadata!E987,"restricted access"))),AND(IF(Metadata!E987="",FALSE,TRUE),AND(AND(IFERROR(INT(LEFT(Metadata!E987,4))&gt;1900,FALSE),IFERROR(INT(LEFT(Metadata!E987,4))&lt;=YEAR(NOW()),FALSE)), OR(MID(Metadata!E987,5,1)="", AND(AND(MID(Metadata!E987,5,1)="-",IFERROR(INT(MID(Metadata!E987,6,1))&gt;=0,FALSE),IFERROR(INT(MID(Metadata!E987,6,1))&lt;=1,FALSE),NOT(MID(Metadata!E987,7,1)=""),IFERROR(INT(MID(Metadata!E987,6,2))&gt;=1,FALSE),IFERROR(INT(MID(Metadata!E987,6,2))&lt;=12,FALSE)), OR(MID(Metadata!E987,8,1)="", AND(AND(MID(Metadata!E987,8,1)="-",IFERROR(INT(MID(Metadata!E987,9,1))&gt;=0,FALSE),IFERROR(INT(MID(Metadata!E987,9,1))&lt;=3,FALSE),NOT(MID(Metadata!E987,10,1)=""),IFERROR(INT(MID(Metadata!E987,9,2))&gt;=1,FALSE),IFERROR(INT(MID(Metadata!E987,9,2))&lt;=31,FALSE)), OR(MID(Metadata!E987,11,1)="", AND(AND(MID(Metadata!E987,11,1)=" ",IFERROR(INT(MID(Metadata!E987,12,1))&gt;=0,FALSE),IFERROR(INT(MID(Metadata!E987,12,1))&lt;=2,FALSE),NOT(MID(Metadata!E987,13,1)=""),IFERROR(INT(MID(Metadata!E987,12,2))&gt;=0,FALSE),IFERROR(INT(MID(Metadata!E987,12,2))&lt;=23,FALSE)), OR(MID(Metadata!E987,14,1)="", AND(AND(MID(Metadata!E987,14,1)=":",IFERROR(INT(MID(Metadata!E987,15,1))&gt;=0,FALSE),IFERROR(INT(MID(Metadata!E987,15,1))&lt;=5,FALSE),NOT(MID(Metadata!E987,16,1)=""),IFERROR(INT(MID(Metadata!E987,15,2))&gt;=0,FALSE),IFERROR(INT(MID(Metadata!E987,15,2))&lt;=59,FALSE)), OR(MID(Metadata!E987,17,1)="", AND(AND(MID(Metadata!E987,17,1)=":",IFERROR(INT(MID(Metadata!E987,18,1))&gt;=0,FALSE),IFERROR(INT(MID(Metadata!E987,18,1))&lt;=5,FALSE),NOT(MID(Metadata!E987,19,1)=""),IFERROR(INT(MID(Metadata!E987,18,2))&gt;=0,FALSE),IFERROR(INT(MID(Metadata!E987,18,2))&lt;=59,FALSE)), LEN(Metadata!E987)&lt;=19)))))))))))))</f>
        <v>0</v>
      </c>
      <c r="AS987" t="b">
        <f>IF(Metadata!F987="",FALSE,TRUE)</f>
        <v>0</v>
      </c>
      <c r="AT987" t="b">
        <f>OR(AND(IF(Metadata!G987="",FALSE,TRUE),OR(EXACT(Metadata!G987,"not collected"),EXACT(Metadata!G987,"not provided"))),AND(IF(Metadata!G987="",FALSE,TRUE),OR(EXACT(Metadata!G987,"TRUE"),EXACT(Metadata!G987,"FALSE"))))</f>
        <v>0</v>
      </c>
      <c r="AU987" t="b">
        <f>OR(AND(IF(Metadata!H987="",FALSE,TRUE),OR(EXACT(Metadata!H987,"not collected"),EXACT(Metadata!H987,"not provided"),EXACT(Metadata!H987,"restricted access"))),AND(IF(Metadata!H987="",FALSE,ISNUMBER(VALUE(Metadata!H987))),Metadata!H987&gt;=-413))</f>
        <v>0</v>
      </c>
      <c r="AV987" t="b">
        <f>AND(IF(Metadata!I987="",FALSE,TRUE),EXACT(Metadata!I987,"meters"))</f>
        <v>0</v>
      </c>
      <c r="AW987" t="b">
        <f>AND(IF(Metadata!J987="",FALSE,TRUE),EXACT(Metadata!J987,"free-living"))</f>
        <v>0</v>
      </c>
      <c r="AX987" t="b">
        <f>AND(IF(Metadata!K987="",FALSE,TRUE),OR(EXACT(Metadata!K987,"saline"),EXACT(Metadata!K987,"non-saline")))</f>
        <v>0</v>
      </c>
      <c r="AY987" t="b">
        <f>AND(IF(Metadata!L987="",FALSE,TRUE),OR(EXACT(Metadata!L987,"sub-surface (non-saline)"),EXACT(Metadata!L987,"surface (non-saline)"),EXACT(Metadata!L987,"water (non-saline)"),EXACT(Metadata!L987,"soil (non-saline)"),EXACT(Metadata!L987,"aerosol (non-saline)"),EXACT(Metadata!L987,"sediment (non-saline)"),EXACT(Metadata!L987,"surface (saline)"),EXACT(Metadata!L987,"water (saline)"),EXACT(Metadata!L987,"hypersaline (saline)"),EXACT(Metadata!L987,"aerosol (saline)"),EXACT(Metadata!L987,"sediment (saline)")))</f>
        <v>0</v>
      </c>
      <c r="AZ987" t="b">
        <f>IF(Metadata!M987="",FALSE,TRUE)</f>
        <v>0</v>
      </c>
      <c r="BA987" t="b">
        <f>IF(Metadata!N987="",FALSE,TRUE)</f>
        <v>0</v>
      </c>
      <c r="BB987" t="b">
        <f>IF(Metadata!O987="",FALSE,TRUE)</f>
        <v>0</v>
      </c>
      <c r="BC987" t="b">
        <f>AND(IF(Metadata!P987="",FALSE,TRUE),OR(EXACT(Metadata!P987,"air"),EXACT(Metadata!P987,"microbial mat/biofilm"),EXACT(Metadata!P987,"misc environment"),EXACT(Metadata!P987,"sediment"),EXACT(Metadata!P987,"soil"),EXACT(Metadata!P987,"wastewater/sludge"),EXACT(Metadata!P987,"water")))</f>
        <v>0</v>
      </c>
      <c r="BD987" t="b">
        <f>IF(Metadata!Q987="",FALSE,TRUE)</f>
        <v>0</v>
      </c>
      <c r="BE987" t="b">
        <f>IF(Metadata!R987="",FALSE,TRUE)</f>
        <v>0</v>
      </c>
      <c r="BF987" t="b">
        <f>OR(AND(IF(Metadata!S987="",FALSE,TRUE),OR(EXACT(Metadata!S987,"not collected"),EXACT(Metadata!S987,"not provided"),EXACT(Metadata!S987,"restricted access"))),AND(IF(Metadata!S987="",FALSE,ISNUMBER(VALUE(Metadata!S987))),Metadata!S987&gt;=-90,Metadata!S987&lt;=90))</f>
        <v>0</v>
      </c>
      <c r="BG987" t="b">
        <f>AND(IF(Metadata!T987="",FALSE,TRUE),EXACT(Metadata!T987,"Decimal degrees"))</f>
        <v>0</v>
      </c>
      <c r="BH987" t="b">
        <f>OR(AND(IF(Metadata!U987="",FALSE,TRUE),OR(EXACT(Metadata!U987,"not applicable"),EXACT(Metadata!U987,"not collected"))),IF(Metadata!U987="",FALSE,TRUE))</f>
        <v>0</v>
      </c>
      <c r="BI987" t="b">
        <f>OR(AND(IF(Metadata!V987="",FALSE,TRUE),OR(EXACT(Metadata!V987,"not collected"),EXACT(Metadata!V987,"not provided"),EXACT(Metadata!V987,"restricted access"))),AND(IF(Metadata!V987="",FALSE,ISNUMBER(VALUE(Metadata!V987))),Metadata!V987&gt;=-180,Metadata!V987&lt;=180))</f>
        <v>0</v>
      </c>
      <c r="BJ987" t="b">
        <f>AND(IF(Metadata!W987="",FALSE,TRUE),EXACT(Metadata!W987,"Decimal degrees"))</f>
        <v>0</v>
      </c>
      <c r="BK987" t="b">
        <f>IF(Metadata!X987="",FALSE,TRUE)</f>
        <v>0</v>
      </c>
      <c r="BL987" t="b">
        <f>OR(AND(IF(Metadata!Y987="",FALSE,TRUE),OR(EXACT(Metadata!Y987,"not collected"),EXACT(Metadata!Y987,"not provided"),EXACT(Metadata!Y987,"restricted access"))),AND(IF(Metadata!Y987="",FALSE,TRUE),OR(EXACT(Metadata!Y987,"TRUE"),EXACT(Metadata!Y987,"FALSE"))))</f>
        <v>0</v>
      </c>
      <c r="BM987" t="b">
        <f>OR(AND(IF(Metadata!Z987="",FALSE,TRUE),EXACT(Metadata!Z987,"not applicable")),AND(IF(Metadata!Z987="",FALSE,TRUE),OR(EXACT(Metadata!Z987,"beer"),EXACT(Metadata!Z987,"cheese"),EXACT(Metadata!Z987,"fresh water"),EXACT(Metadata!Z987,"marine sediment"),EXACT(Metadata!Z987,"sea water"),EXACT(Metadata!Z987,"sediment"),EXACT(Metadata!Z987,"soil"),EXACT(Metadata!Z987,"waste water"))))</f>
        <v>0</v>
      </c>
      <c r="BN987" t="b">
        <f>AND(IF(Metadata!AA987="",FALSE,TRUE),EXACT(Metadata!AA987,"metagenome"))</f>
        <v>0</v>
      </c>
      <c r="BO987" t="b">
        <f>AND(IF(Metadata!AB987="",FALSE,TRUE),EXACT(Metadata!AB987,"256318"))</f>
        <v>0</v>
      </c>
      <c r="BP987" t="b">
        <f>IF(Metadata!AC987="",FALSE,TRUE)</f>
        <v>0</v>
      </c>
      <c r="BQ987" t="b">
        <f>IF(Metadata!AD987="",FALSE,TRUE)</f>
        <v>0</v>
      </c>
    </row>
    <row r="988" spans="1:69" x14ac:dyDescent="0.2">
      <c r="A988" s="4" t="e">
        <f ca="1">IF(B988=" "," ",HYPERLINK(CONCATENATE("#metadata!",ADDRESS(INDEX($AJ$2:$AJ$1001,MATCH(ROWS($AH$2:AH988),$AH$2:$AH$1001,0),0),2)),INDEX($AM$2:$AM$1001,MATCH(ROWS($AH$2:AH988),$AH$2:$AH$1001,0),0)))</f>
        <v>#N/A</v>
      </c>
      <c r="B988" s="5" t="e">
        <f ca="1">IF(OR(INDEX($AI$2:$AI$1001,MATCH(ROWS($AH$2:AH988),$AH$2:$AH$1001,0),1)&gt;=100000,INDEX($AO$1005:$BQ$1005,1,MATCH(COLUMNS($AO$1006:AO1006),$AO$1006:$BQ$1006,0))&gt;=100000), " ",IF(INDEX($AO$2:$BQ$1001,MATCH(ROWS($AH$2:AH988),$AH$2:$AH$1001,0),MATCH(COLUMNS($AO$1006:AO1006),$AO$1006:$BQ$1006,0)), HYPERLINK("#",""), HYPERLINK(CONCATENATE("#Metadata!", ADDRESS(INDEX($AJ$2:$AJ$1001,MATCH(ROWS($AH$2:AH988),$AH$2:$AH$1001,0),0), INDEX($AO$1004:$BQ$1004,1,MATCH(COLUMNS($AO$1006:AO1006),$AO$1006:$BQ$1006,0)))),"Fix")))</f>
        <v>#N/A</v>
      </c>
      <c r="C988" s="5" t="e">
        <f ca="1">IF(OR(INDEX($AI$2:$AI$1001,MATCH(ROWS($AH$2:AH988),$AH$2:$AH$1001,0),1)&gt;=100000,INDEX($AO$1005:$BQ$1005,1,MATCH(COLUMNS($AO$1006:AP1006),$AO$1006:$BQ$1006,0))&gt;=100000), " ",IF(INDEX($AO$2:$BQ$1001,MATCH(ROWS($AH$2:AH988),$AH$2:$AH$1001,0),MATCH(COLUMNS($AO$1006:AP1006),$AO$1006:$BQ$1006,0)), HYPERLINK("#",""), HYPERLINK(CONCATENATE("#Metadata!", ADDRESS(INDEX($AJ$2:$AJ$1001,MATCH(ROWS($AH$2:AH988),$AH$2:$AH$1001,0),0), INDEX($AO$1004:$BQ$1004,1,MATCH(COLUMNS($AO$1006:AP1006),$AO$1006:$BQ$1006,0)))),"Fix")))</f>
        <v>#N/A</v>
      </c>
      <c r="D988" s="5" t="e">
        <f ca="1">IF(OR(INDEX($AI$2:$AI$1001,MATCH(ROWS($AH$2:AH988),$AH$2:$AH$1001,0),1)&gt;=100000,INDEX($AO$1005:$BQ$1005,1,MATCH(COLUMNS($AO$1006:AQ1006),$AO$1006:$BQ$1006,0))&gt;=100000), " ",IF(INDEX($AO$2:$BQ$1001,MATCH(ROWS($AH$2:AH988),$AH$2:$AH$1001,0),MATCH(COLUMNS($AO$1006:AQ1006),$AO$1006:$BQ$1006,0)), HYPERLINK("#",""), HYPERLINK(CONCATENATE("#Metadata!", ADDRESS(INDEX($AJ$2:$AJ$1001,MATCH(ROWS($AH$2:AH988),$AH$2:$AH$1001,0),0), INDEX($AO$1004:$BQ$1004,1,MATCH(COLUMNS($AO$1006:AQ1006),$AO$1006:$BQ$1006,0)))),"Fix")))</f>
        <v>#N/A</v>
      </c>
      <c r="E988" s="5" t="e">
        <f ca="1">IF(OR(INDEX($AI$2:$AI$1001,MATCH(ROWS($AH$2:AH988),$AH$2:$AH$1001,0),1)&gt;=100000,INDEX($AO$1005:$BQ$1005,1,MATCH(COLUMNS($AO$1006:AR1006),$AO$1006:$BQ$1006,0))&gt;=100000), " ",IF(INDEX($AO$2:$BQ$1001,MATCH(ROWS($AH$2:AH988),$AH$2:$AH$1001,0),MATCH(COLUMNS($AO$1006:AR1006),$AO$1006:$BQ$1006,0)), HYPERLINK("#",""), HYPERLINK(CONCATENATE("#Metadata!", ADDRESS(INDEX($AJ$2:$AJ$1001,MATCH(ROWS($AH$2:AH988),$AH$2:$AH$1001,0),0), INDEX($AO$1004:$BQ$1004,1,MATCH(COLUMNS($AO$1006:AR1006),$AO$1006:$BQ$1006,0)))),"Fix")))</f>
        <v>#N/A</v>
      </c>
      <c r="F988" s="5" t="e">
        <f ca="1">IF(OR(INDEX($AI$2:$AI$1001,MATCH(ROWS($AH$2:AH988),$AH$2:$AH$1001,0),1)&gt;=100000,INDEX($AO$1005:$BQ$1005,1,MATCH(COLUMNS($AO$1006:AS1006),$AO$1006:$BQ$1006,0))&gt;=100000), " ",IF(INDEX($AO$2:$BQ$1001,MATCH(ROWS($AH$2:AH988),$AH$2:$AH$1001,0),MATCH(COLUMNS($AO$1006:AS1006),$AO$1006:$BQ$1006,0)), HYPERLINK("#",""), HYPERLINK(CONCATENATE("#Metadata!", ADDRESS(INDEX($AJ$2:$AJ$1001,MATCH(ROWS($AH$2:AH988),$AH$2:$AH$1001,0),0), INDEX($AO$1004:$BQ$1004,1,MATCH(COLUMNS($AO$1006:AS1006),$AO$1006:$BQ$1006,0)))),"Fix")))</f>
        <v>#N/A</v>
      </c>
      <c r="G988" s="5" t="e">
        <f ca="1">IF(OR(INDEX($AI$2:$AI$1001,MATCH(ROWS($AH$2:AH988),$AH$2:$AH$1001,0),1)&gt;=100000,INDEX($AO$1005:$BQ$1005,1,MATCH(COLUMNS($AO$1006:AT1006),$AO$1006:$BQ$1006,0))&gt;=100000), " ",IF(INDEX($AO$2:$BQ$1001,MATCH(ROWS($AH$2:AH988),$AH$2:$AH$1001,0),MATCH(COLUMNS($AO$1006:AT1006),$AO$1006:$BQ$1006,0)), HYPERLINK("#",""), HYPERLINK(CONCATENATE("#Metadata!", ADDRESS(INDEX($AJ$2:$AJ$1001,MATCH(ROWS($AH$2:AH988),$AH$2:$AH$1001,0),0), INDEX($AO$1004:$BQ$1004,1,MATCH(COLUMNS($AO$1006:AT1006),$AO$1006:$BQ$1006,0)))),"Fix")))</f>
        <v>#N/A</v>
      </c>
      <c r="H988" s="5" t="e">
        <f ca="1">IF(OR(INDEX($AI$2:$AI$1001,MATCH(ROWS($AH$2:AH988),$AH$2:$AH$1001,0),1)&gt;=100000,INDEX($AO$1005:$BQ$1005,1,MATCH(COLUMNS($AO$1006:AU1006),$AO$1006:$BQ$1006,0))&gt;=100000), " ",IF(INDEX($AO$2:$BQ$1001,MATCH(ROWS($AH$2:AH988),$AH$2:$AH$1001,0),MATCH(COLUMNS($AO$1006:AU1006),$AO$1006:$BQ$1006,0)), HYPERLINK("#",""), HYPERLINK(CONCATENATE("#Metadata!", ADDRESS(INDEX($AJ$2:$AJ$1001,MATCH(ROWS($AH$2:AH988),$AH$2:$AH$1001,0),0), INDEX($AO$1004:$BQ$1004,1,MATCH(COLUMNS($AO$1006:AU1006),$AO$1006:$BQ$1006,0)))),"Fix")))</f>
        <v>#N/A</v>
      </c>
      <c r="I988" s="5" t="e">
        <f ca="1">IF(OR(INDEX($AI$2:$AI$1001,MATCH(ROWS($AH$2:AH988),$AH$2:$AH$1001,0),1)&gt;=100000,INDEX($AO$1005:$BQ$1005,1,MATCH(COLUMNS($AO$1006:AV1006),$AO$1006:$BQ$1006,0))&gt;=100000), " ",IF(INDEX($AO$2:$BQ$1001,MATCH(ROWS($AH$2:AH988),$AH$2:$AH$1001,0),MATCH(COLUMNS($AO$1006:AV1006),$AO$1006:$BQ$1006,0)), HYPERLINK("#",""), HYPERLINK(CONCATENATE("#Metadata!", ADDRESS(INDEX($AJ$2:$AJ$1001,MATCH(ROWS($AH$2:AH988),$AH$2:$AH$1001,0),0), INDEX($AO$1004:$BQ$1004,1,MATCH(COLUMNS($AO$1006:AV1006),$AO$1006:$BQ$1006,0)))),"Fix")))</f>
        <v>#N/A</v>
      </c>
      <c r="J988" s="5" t="e">
        <f ca="1">IF(OR(INDEX($AI$2:$AI$1001,MATCH(ROWS($AH$2:AH988),$AH$2:$AH$1001,0),1)&gt;=100000,INDEX($AO$1005:$BQ$1005,1,MATCH(COLUMNS($AO$1006:AW1006),$AO$1006:$BQ$1006,0))&gt;=100000), " ",IF(INDEX($AO$2:$BQ$1001,MATCH(ROWS($AH$2:AH988),$AH$2:$AH$1001,0),MATCH(COLUMNS($AO$1006:AW1006),$AO$1006:$BQ$1006,0)), HYPERLINK("#",""), HYPERLINK(CONCATENATE("#Metadata!", ADDRESS(INDEX($AJ$2:$AJ$1001,MATCH(ROWS($AH$2:AH988),$AH$2:$AH$1001,0),0), INDEX($AO$1004:$BQ$1004,1,MATCH(COLUMNS($AO$1006:AW1006),$AO$1006:$BQ$1006,0)))),"Fix")))</f>
        <v>#N/A</v>
      </c>
      <c r="K988" s="5" t="e">
        <f ca="1">IF(OR(INDEX($AI$2:$AI$1001,MATCH(ROWS($AH$2:AH988),$AH$2:$AH$1001,0),1)&gt;=100000,INDEX($AO$1005:$BQ$1005,1,MATCH(COLUMNS($AO$1006:AX1006),$AO$1006:$BQ$1006,0))&gt;=100000), " ",IF(INDEX($AO$2:$BQ$1001,MATCH(ROWS($AH$2:AH988),$AH$2:$AH$1001,0),MATCH(COLUMNS($AO$1006:AX1006),$AO$1006:$BQ$1006,0)), HYPERLINK("#",""), HYPERLINK(CONCATENATE("#Metadata!", ADDRESS(INDEX($AJ$2:$AJ$1001,MATCH(ROWS($AH$2:AH988),$AH$2:$AH$1001,0),0), INDEX($AO$1004:$BQ$1004,1,MATCH(COLUMNS($AO$1006:AX1006),$AO$1006:$BQ$1006,0)))),"Fix")))</f>
        <v>#N/A</v>
      </c>
      <c r="L988" s="5" t="e">
        <f ca="1">IF(OR(INDEX($AI$2:$AI$1001,MATCH(ROWS($AH$2:AH988),$AH$2:$AH$1001,0),1)&gt;=100000,INDEX($AO$1005:$BQ$1005,1,MATCH(COLUMNS($AO$1006:AY1006),$AO$1006:$BQ$1006,0))&gt;=100000), " ",IF(INDEX($AO$2:$BQ$1001,MATCH(ROWS($AH$2:AH988),$AH$2:$AH$1001,0),MATCH(COLUMNS($AO$1006:AY1006),$AO$1006:$BQ$1006,0)), HYPERLINK("#",""), HYPERLINK(CONCATENATE("#Metadata!", ADDRESS(INDEX($AJ$2:$AJ$1001,MATCH(ROWS($AH$2:AH988),$AH$2:$AH$1001,0),0), INDEX($AO$1004:$BQ$1004,1,MATCH(COLUMNS($AO$1006:AY1006),$AO$1006:$BQ$1006,0)))),"Fix")))</f>
        <v>#N/A</v>
      </c>
      <c r="M988" s="5" t="e">
        <f ca="1">IF(OR(INDEX($AI$2:$AI$1001,MATCH(ROWS($AH$2:AH988),$AH$2:$AH$1001,0),1)&gt;=100000,INDEX($AO$1005:$BQ$1005,1,MATCH(COLUMNS($AO$1006:AZ1006),$AO$1006:$BQ$1006,0))&gt;=100000), " ",IF(INDEX($AO$2:$BQ$1001,MATCH(ROWS($AH$2:AH988),$AH$2:$AH$1001,0),MATCH(COLUMNS($AO$1006:AZ1006),$AO$1006:$BQ$1006,0)), HYPERLINK("#",""), HYPERLINK(CONCATENATE("#Metadata!", ADDRESS(INDEX($AJ$2:$AJ$1001,MATCH(ROWS($AH$2:AH988),$AH$2:$AH$1001,0),0), INDEX($AO$1004:$BQ$1004,1,MATCH(COLUMNS($AO$1006:AZ1006),$AO$1006:$BQ$1006,0)))),"Fix")))</f>
        <v>#N/A</v>
      </c>
      <c r="N988" s="5" t="e">
        <f ca="1">IF(OR(INDEX($AI$2:$AI$1001,MATCH(ROWS($AH$2:AH988),$AH$2:$AH$1001,0),1)&gt;=100000,INDEX($AO$1005:$BQ$1005,1,MATCH(COLUMNS($AO$1006:BA1006),$AO$1006:$BQ$1006,0))&gt;=100000), " ",IF(INDEX($AO$2:$BQ$1001,MATCH(ROWS($AH$2:AH988),$AH$2:$AH$1001,0),MATCH(COLUMNS($AO$1006:BA1006),$AO$1006:$BQ$1006,0)), HYPERLINK("#",""), HYPERLINK(CONCATENATE("#Metadata!", ADDRESS(INDEX($AJ$2:$AJ$1001,MATCH(ROWS($AH$2:AH988),$AH$2:$AH$1001,0),0), INDEX($AO$1004:$BQ$1004,1,MATCH(COLUMNS($AO$1006:BA1006),$AO$1006:$BQ$1006,0)))),"Fix")))</f>
        <v>#N/A</v>
      </c>
      <c r="O988" s="5" t="e">
        <f ca="1">IF(OR(INDEX($AI$2:$AI$1001,MATCH(ROWS($AH$2:AH988),$AH$2:$AH$1001,0),1)&gt;=100000,INDEX($AO$1005:$BQ$1005,1,MATCH(COLUMNS($AO$1006:BB1006),$AO$1006:$BQ$1006,0))&gt;=100000), " ",IF(INDEX($AO$2:$BQ$1001,MATCH(ROWS($AH$2:AH988),$AH$2:$AH$1001,0),MATCH(COLUMNS($AO$1006:BB1006),$AO$1006:$BQ$1006,0)), HYPERLINK("#",""), HYPERLINK(CONCATENATE("#Metadata!", ADDRESS(INDEX($AJ$2:$AJ$1001,MATCH(ROWS($AH$2:AH988),$AH$2:$AH$1001,0),0), INDEX($AO$1004:$BQ$1004,1,MATCH(COLUMNS($AO$1006:BB1006),$AO$1006:$BQ$1006,0)))),"Fix")))</f>
        <v>#N/A</v>
      </c>
      <c r="P988" s="5" t="e">
        <f ca="1">IF(OR(INDEX($AI$2:$AI$1001,MATCH(ROWS($AH$2:AH988),$AH$2:$AH$1001,0),1)&gt;=100000,INDEX($AO$1005:$BQ$1005,1,MATCH(COLUMNS($AO$1006:BC1006),$AO$1006:$BQ$1006,0))&gt;=100000), " ",IF(INDEX($AO$2:$BQ$1001,MATCH(ROWS($AH$2:AH988),$AH$2:$AH$1001,0),MATCH(COLUMNS($AO$1006:BC1006),$AO$1006:$BQ$1006,0)), HYPERLINK("#",""), HYPERLINK(CONCATENATE("#Metadata!", ADDRESS(INDEX($AJ$2:$AJ$1001,MATCH(ROWS($AH$2:AH988),$AH$2:$AH$1001,0),0), INDEX($AO$1004:$BQ$1004,1,MATCH(COLUMNS($AO$1006:BC1006),$AO$1006:$BQ$1006,0)))),"Fix")))</f>
        <v>#N/A</v>
      </c>
      <c r="Q988" s="5" t="e">
        <f ca="1">IF(OR(INDEX($AI$2:$AI$1001,MATCH(ROWS($AH$2:AH988),$AH$2:$AH$1001,0),1)&gt;=100000,INDEX($AO$1005:$BQ$1005,1,MATCH(COLUMNS($AO$1006:BD1006),$AO$1006:$BQ$1006,0))&gt;=100000), " ",IF(INDEX($AO$2:$BQ$1001,MATCH(ROWS($AH$2:AH988),$AH$2:$AH$1001,0),MATCH(COLUMNS($AO$1006:BD1006),$AO$1006:$BQ$1006,0)), HYPERLINK("#",""), HYPERLINK(CONCATENATE("#Metadata!", ADDRESS(INDEX($AJ$2:$AJ$1001,MATCH(ROWS($AH$2:AH988),$AH$2:$AH$1001,0),0), INDEX($AO$1004:$BQ$1004,1,MATCH(COLUMNS($AO$1006:BD1006),$AO$1006:$BQ$1006,0)))),"Fix")))</f>
        <v>#N/A</v>
      </c>
      <c r="R988" s="5" t="e">
        <f ca="1">IF(OR(INDEX($AI$2:$AI$1001,MATCH(ROWS($AH$2:AH988),$AH$2:$AH$1001,0),1)&gt;=100000,INDEX($AO$1005:$BQ$1005,1,MATCH(COLUMNS($AO$1006:BE1006),$AO$1006:$BQ$1006,0))&gt;=100000), " ",IF(INDEX($AO$2:$BQ$1001,MATCH(ROWS($AH$2:AH988),$AH$2:$AH$1001,0),MATCH(COLUMNS($AO$1006:BE1006),$AO$1006:$BQ$1006,0)), HYPERLINK("#",""), HYPERLINK(CONCATENATE("#Metadata!", ADDRESS(INDEX($AJ$2:$AJ$1001,MATCH(ROWS($AH$2:AH988),$AH$2:$AH$1001,0),0), INDEX($AO$1004:$BQ$1004,1,MATCH(COLUMNS($AO$1006:BE1006),$AO$1006:$BQ$1006,0)))),"Fix")))</f>
        <v>#N/A</v>
      </c>
      <c r="S988" s="5" t="e">
        <f ca="1">IF(OR(INDEX($AI$2:$AI$1001,MATCH(ROWS($AH$2:AH988),$AH$2:$AH$1001,0),1)&gt;=100000,INDEX($AO$1005:$BQ$1005,1,MATCH(COLUMNS($AO$1006:BF1006),$AO$1006:$BQ$1006,0))&gt;=100000), " ",IF(INDEX($AO$2:$BQ$1001,MATCH(ROWS($AH$2:AH988),$AH$2:$AH$1001,0),MATCH(COLUMNS($AO$1006:BF1006),$AO$1006:$BQ$1006,0)), HYPERLINK("#",""), HYPERLINK(CONCATENATE("#Metadata!", ADDRESS(INDEX($AJ$2:$AJ$1001,MATCH(ROWS($AH$2:AH988),$AH$2:$AH$1001,0),0), INDEX($AO$1004:$BQ$1004,1,MATCH(COLUMNS($AO$1006:BF1006),$AO$1006:$BQ$1006,0)))),"Fix")))</f>
        <v>#N/A</v>
      </c>
      <c r="T988" s="5" t="e">
        <f ca="1">IF(OR(INDEX($AI$2:$AI$1001,MATCH(ROWS($AH$2:AH988),$AH$2:$AH$1001,0),1)&gt;=100000,INDEX($AO$1005:$BQ$1005,1,MATCH(COLUMNS($AO$1006:BG1006),$AO$1006:$BQ$1006,0))&gt;=100000), " ",IF(INDEX($AO$2:$BQ$1001,MATCH(ROWS($AH$2:AH988),$AH$2:$AH$1001,0),MATCH(COLUMNS($AO$1006:BG1006),$AO$1006:$BQ$1006,0)), HYPERLINK("#",""), HYPERLINK(CONCATENATE("#Metadata!", ADDRESS(INDEX($AJ$2:$AJ$1001,MATCH(ROWS($AH$2:AH988),$AH$2:$AH$1001,0),0), INDEX($AO$1004:$BQ$1004,1,MATCH(COLUMNS($AO$1006:BG1006),$AO$1006:$BQ$1006,0)))),"Fix")))</f>
        <v>#N/A</v>
      </c>
      <c r="U988" s="5" t="e">
        <f ca="1">IF(OR(INDEX($AI$2:$AI$1001,MATCH(ROWS($AH$2:AH988),$AH$2:$AH$1001,0),1)&gt;=100000,INDEX($AO$1005:$BQ$1005,1,MATCH(COLUMNS($AO$1006:BH1006),$AO$1006:$BQ$1006,0))&gt;=100000), " ",IF(INDEX($AO$2:$BQ$1001,MATCH(ROWS($AH$2:AH988),$AH$2:$AH$1001,0),MATCH(COLUMNS($AO$1006:BH1006),$AO$1006:$BQ$1006,0)), HYPERLINK("#",""), HYPERLINK(CONCATENATE("#Metadata!", ADDRESS(INDEX($AJ$2:$AJ$1001,MATCH(ROWS($AH$2:AH988),$AH$2:$AH$1001,0),0), INDEX($AO$1004:$BQ$1004,1,MATCH(COLUMNS($AO$1006:BH1006),$AO$1006:$BQ$1006,0)))),"Fix")))</f>
        <v>#N/A</v>
      </c>
      <c r="V988" s="5" t="e">
        <f ca="1">IF(OR(INDEX($AI$2:$AI$1001,MATCH(ROWS($AH$2:AH988),$AH$2:$AH$1001,0),1)&gt;=100000,INDEX($AO$1005:$BQ$1005,1,MATCH(COLUMNS($AO$1006:BI1006),$AO$1006:$BQ$1006,0))&gt;=100000), " ",IF(INDEX($AO$2:$BQ$1001,MATCH(ROWS($AH$2:AH988),$AH$2:$AH$1001,0),MATCH(COLUMNS($AO$1006:BI1006),$AO$1006:$BQ$1006,0)), HYPERLINK("#",""), HYPERLINK(CONCATENATE("#Metadata!", ADDRESS(INDEX($AJ$2:$AJ$1001,MATCH(ROWS($AH$2:AH988),$AH$2:$AH$1001,0),0), INDEX($AO$1004:$BQ$1004,1,MATCH(COLUMNS($AO$1006:BI1006),$AO$1006:$BQ$1006,0)))),"Fix")))</f>
        <v>#N/A</v>
      </c>
      <c r="W988" s="5" t="e">
        <f ca="1">IF(OR(INDEX($AI$2:$AI$1001,MATCH(ROWS($AH$2:AH988),$AH$2:$AH$1001,0),1)&gt;=100000,INDEX($AO$1005:$BQ$1005,1,MATCH(COLUMNS($AO$1006:BJ1006),$AO$1006:$BQ$1006,0))&gt;=100000), " ",IF(INDEX($AO$2:$BQ$1001,MATCH(ROWS($AH$2:AH988),$AH$2:$AH$1001,0),MATCH(COLUMNS($AO$1006:BJ1006),$AO$1006:$BQ$1006,0)), HYPERLINK("#",""), HYPERLINK(CONCATENATE("#Metadata!", ADDRESS(INDEX($AJ$2:$AJ$1001,MATCH(ROWS($AH$2:AH988),$AH$2:$AH$1001,0),0), INDEX($AO$1004:$BQ$1004,1,MATCH(COLUMNS($AO$1006:BJ1006),$AO$1006:$BQ$1006,0)))),"Fix")))</f>
        <v>#N/A</v>
      </c>
      <c r="X988" s="5" t="e">
        <f ca="1">IF(OR(INDEX($AI$2:$AI$1001,MATCH(ROWS($AH$2:AH988),$AH$2:$AH$1001,0),1)&gt;=100000,INDEX($AO$1005:$BQ$1005,1,MATCH(COLUMNS($AO$1006:BK1006),$AO$1006:$BQ$1006,0))&gt;=100000), " ",IF(INDEX($AO$2:$BQ$1001,MATCH(ROWS($AH$2:AH988),$AH$2:$AH$1001,0),MATCH(COLUMNS($AO$1006:BK1006),$AO$1006:$BQ$1006,0)), HYPERLINK("#",""), HYPERLINK(CONCATENATE("#Metadata!", ADDRESS(INDEX($AJ$2:$AJ$1001,MATCH(ROWS($AH$2:AH988),$AH$2:$AH$1001,0),0), INDEX($AO$1004:$BQ$1004,1,MATCH(COLUMNS($AO$1006:BK1006),$AO$1006:$BQ$1006,0)))),"Fix")))</f>
        <v>#N/A</v>
      </c>
      <c r="Y988" s="5" t="e">
        <f ca="1">IF(OR(INDEX($AI$2:$AI$1001,MATCH(ROWS($AH$2:AH988),$AH$2:$AH$1001,0),1)&gt;=100000,INDEX($AO$1005:$BQ$1005,1,MATCH(COLUMNS($AO$1006:BL1006),$AO$1006:$BQ$1006,0))&gt;=100000), " ",IF(INDEX($AO$2:$BQ$1001,MATCH(ROWS($AH$2:AH988),$AH$2:$AH$1001,0),MATCH(COLUMNS($AO$1006:BL1006),$AO$1006:$BQ$1006,0)), HYPERLINK("#",""), HYPERLINK(CONCATENATE("#Metadata!", ADDRESS(INDEX($AJ$2:$AJ$1001,MATCH(ROWS($AH$2:AH988),$AH$2:$AH$1001,0),0), INDEX($AO$1004:$BQ$1004,1,MATCH(COLUMNS($AO$1006:BL1006),$AO$1006:$BQ$1006,0)))),"Fix")))</f>
        <v>#N/A</v>
      </c>
      <c r="Z988" s="5" t="e">
        <f ca="1">IF(OR(INDEX($AI$2:$AI$1001,MATCH(ROWS($AH$2:AH988),$AH$2:$AH$1001,0),1)&gt;=100000,INDEX($AO$1005:$BQ$1005,1,MATCH(COLUMNS($AO$1006:BM1006),$AO$1006:$BQ$1006,0))&gt;=100000), " ",IF(INDEX($AO$2:$BQ$1001,MATCH(ROWS($AH$2:AH988),$AH$2:$AH$1001,0),MATCH(COLUMNS($AO$1006:BM1006),$AO$1006:$BQ$1006,0)), HYPERLINK("#",""), HYPERLINK(CONCATENATE("#Metadata!", ADDRESS(INDEX($AJ$2:$AJ$1001,MATCH(ROWS($AH$2:AH988),$AH$2:$AH$1001,0),0), INDEX($AO$1004:$BQ$1004,1,MATCH(COLUMNS($AO$1006:BM1006),$AO$1006:$BQ$1006,0)))),"Fix")))</f>
        <v>#N/A</v>
      </c>
      <c r="AA988" s="5" t="e">
        <f ca="1">IF(OR(INDEX($AI$2:$AI$1001,MATCH(ROWS($AH$2:AH988),$AH$2:$AH$1001,0),1)&gt;=100000,INDEX($AO$1005:$BQ$1005,1,MATCH(COLUMNS($AO$1006:BN1006),$AO$1006:$BQ$1006,0))&gt;=100000), " ",IF(INDEX($AO$2:$BQ$1001,MATCH(ROWS($AH$2:AH988),$AH$2:$AH$1001,0),MATCH(COLUMNS($AO$1006:BN1006),$AO$1006:$BQ$1006,0)), HYPERLINK("#",""), HYPERLINK(CONCATENATE("#Metadata!", ADDRESS(INDEX($AJ$2:$AJ$1001,MATCH(ROWS($AH$2:AH988),$AH$2:$AH$1001,0),0), INDEX($AO$1004:$BQ$1004,1,MATCH(COLUMNS($AO$1006:BN1006),$AO$1006:$BQ$1006,0)))),"Fix")))</f>
        <v>#N/A</v>
      </c>
      <c r="AB988" s="5" t="e">
        <f ca="1">IF(OR(INDEX($AI$2:$AI$1001,MATCH(ROWS($AH$2:AH988),$AH$2:$AH$1001,0),1)&gt;=100000,INDEX($AO$1005:$BQ$1005,1,MATCH(COLUMNS($AO$1006:BO1006),$AO$1006:$BQ$1006,0))&gt;=100000), " ",IF(INDEX($AO$2:$BQ$1001,MATCH(ROWS($AH$2:AH988),$AH$2:$AH$1001,0),MATCH(COLUMNS($AO$1006:BO1006),$AO$1006:$BQ$1006,0)), HYPERLINK("#",""), HYPERLINK(CONCATENATE("#Metadata!", ADDRESS(INDEX($AJ$2:$AJ$1001,MATCH(ROWS($AH$2:AH988),$AH$2:$AH$1001,0),0), INDEX($AO$1004:$BQ$1004,1,MATCH(COLUMNS($AO$1006:BO1006),$AO$1006:$BQ$1006,0)))),"Fix")))</f>
        <v>#N/A</v>
      </c>
      <c r="AC988" s="5" t="e">
        <f ca="1">IF(OR(INDEX($AI$2:$AI$1001,MATCH(ROWS($AH$2:AH988),$AH$2:$AH$1001,0),1)&gt;=100000,INDEX($AO$1005:$BQ$1005,1,MATCH(COLUMNS($AO$1006:BP1006),$AO$1006:$BQ$1006,0))&gt;=100000), " ",IF(INDEX($AO$2:$BQ$1001,MATCH(ROWS($AH$2:AH988),$AH$2:$AH$1001,0),MATCH(COLUMNS($AO$1006:BP1006),$AO$1006:$BQ$1006,0)), HYPERLINK("#",""), HYPERLINK(CONCATENATE("#Metadata!", ADDRESS(INDEX($AJ$2:$AJ$1001,MATCH(ROWS($AH$2:AH988),$AH$2:$AH$1001,0),0), INDEX($AO$1004:$BQ$1004,1,MATCH(COLUMNS($AO$1006:BP1006),$AO$1006:$BQ$1006,0)))),"Fix")))</f>
        <v>#N/A</v>
      </c>
      <c r="AD988" s="5" t="e">
        <f ca="1">IF(OR(INDEX($AI$2:$AI$1001,MATCH(ROWS($AH$2:AH988),$AH$2:$AH$1001,0),1)&gt;=100000,INDEX($AO$1005:$BQ$1005,1,MATCH(COLUMNS($AO$1006:BQ1006),$AO$1006:$BQ$1006,0))&gt;=100000), " ",IF(INDEX($AO$2:$BQ$1001,MATCH(ROWS($AH$2:AH988),$AH$2:$AH$1001,0),MATCH(COLUMNS($AO$1006:BQ1006),$AO$1006:$BQ$1006,0)), HYPERLINK("#",""), HYPERLINK(CONCATENATE("#Metadata!", ADDRESS(INDEX($AJ$2:$AJ$1001,MATCH(ROWS($AH$2:AH988),$AH$2:$AH$1001,0),0), INDEX($AO$1004:$BQ$1004,1,MATCH(COLUMNS($AO$1006:BQ1006),$AO$1006:$BQ$1006,0)))),"Fix")))</f>
        <v>#REF!</v>
      </c>
      <c r="AH988">
        <f ca="1"/>
        <v>985</v>
      </c>
      <c r="AI988">
        <v>100988</v>
      </c>
      <c r="AJ988">
        <v>988</v>
      </c>
      <c r="AK988" t="b">
        <f t="shared" si="15"/>
        <v>1</v>
      </c>
      <c r="AL988" t="b">
        <f>COUNTBLANK(Metadata!B988:AD988)=COLUMNS(Metadata!B988:AD988)</f>
        <v>1</v>
      </c>
      <c r="AM988" t="str">
        <v/>
      </c>
      <c r="AO988" t="b">
        <f ca="1">AND(IF(Metadata!B988="",FALSE,TRUE),COUNTIF(Metadata!B:B, Metadata!B988) = 1,NOT(ISERROR(SUMPRODUCT(SEARCH(MID(Metadata!B988,ROW(INDIRECT("1:"&amp;LEN(Metadata!B988))), 1),"0123456789abcdefghijklmnopqrstuvwxyzABCDEFGHIJKLMNOPQRSTUVWXYZ.")))))</f>
        <v>0</v>
      </c>
      <c r="AP988" t="b">
        <f>IF(Metadata!C988="",FALSE,TRUE)</f>
        <v>0</v>
      </c>
      <c r="AQ988" t="b">
        <f>IF(Metadata!D988="",FALSE,TRUE)</f>
        <v>0</v>
      </c>
      <c r="AR988" t="b">
        <f ca="1">OR(AND(IF(Metadata!E988="",FALSE,TRUE),OR(EXACT(Metadata!E988,"not collected"),EXACT(Metadata!E988,"not provided"),EXACT(Metadata!E988,"restricted access"))),AND(IF(Metadata!E988="",FALSE,TRUE),AND(AND(IFERROR(INT(LEFT(Metadata!E988,4))&gt;1900,FALSE),IFERROR(INT(LEFT(Metadata!E988,4))&lt;=YEAR(NOW()),FALSE)), OR(MID(Metadata!E988,5,1)="", AND(AND(MID(Metadata!E988,5,1)="-",IFERROR(INT(MID(Metadata!E988,6,1))&gt;=0,FALSE),IFERROR(INT(MID(Metadata!E988,6,1))&lt;=1,FALSE),NOT(MID(Metadata!E988,7,1)=""),IFERROR(INT(MID(Metadata!E988,6,2))&gt;=1,FALSE),IFERROR(INT(MID(Metadata!E988,6,2))&lt;=12,FALSE)), OR(MID(Metadata!E988,8,1)="", AND(AND(MID(Metadata!E988,8,1)="-",IFERROR(INT(MID(Metadata!E988,9,1))&gt;=0,FALSE),IFERROR(INT(MID(Metadata!E988,9,1))&lt;=3,FALSE),NOT(MID(Metadata!E988,10,1)=""),IFERROR(INT(MID(Metadata!E988,9,2))&gt;=1,FALSE),IFERROR(INT(MID(Metadata!E988,9,2))&lt;=31,FALSE)), OR(MID(Metadata!E988,11,1)="", AND(AND(MID(Metadata!E988,11,1)=" ",IFERROR(INT(MID(Metadata!E988,12,1))&gt;=0,FALSE),IFERROR(INT(MID(Metadata!E988,12,1))&lt;=2,FALSE),NOT(MID(Metadata!E988,13,1)=""),IFERROR(INT(MID(Metadata!E988,12,2))&gt;=0,FALSE),IFERROR(INT(MID(Metadata!E988,12,2))&lt;=23,FALSE)), OR(MID(Metadata!E988,14,1)="", AND(AND(MID(Metadata!E988,14,1)=":",IFERROR(INT(MID(Metadata!E988,15,1))&gt;=0,FALSE),IFERROR(INT(MID(Metadata!E988,15,1))&lt;=5,FALSE),NOT(MID(Metadata!E988,16,1)=""),IFERROR(INT(MID(Metadata!E988,15,2))&gt;=0,FALSE),IFERROR(INT(MID(Metadata!E988,15,2))&lt;=59,FALSE)), OR(MID(Metadata!E988,17,1)="", AND(AND(MID(Metadata!E988,17,1)=":",IFERROR(INT(MID(Metadata!E988,18,1))&gt;=0,FALSE),IFERROR(INT(MID(Metadata!E988,18,1))&lt;=5,FALSE),NOT(MID(Metadata!E988,19,1)=""),IFERROR(INT(MID(Metadata!E988,18,2))&gt;=0,FALSE),IFERROR(INT(MID(Metadata!E988,18,2))&lt;=59,FALSE)), LEN(Metadata!E988)&lt;=19)))))))))))))</f>
        <v>0</v>
      </c>
      <c r="AS988" t="b">
        <f>IF(Metadata!F988="",FALSE,TRUE)</f>
        <v>0</v>
      </c>
      <c r="AT988" t="b">
        <f>OR(AND(IF(Metadata!G988="",FALSE,TRUE),OR(EXACT(Metadata!G988,"not collected"),EXACT(Metadata!G988,"not provided"))),AND(IF(Metadata!G988="",FALSE,TRUE),OR(EXACT(Metadata!G988,"TRUE"),EXACT(Metadata!G988,"FALSE"))))</f>
        <v>0</v>
      </c>
      <c r="AU988" t="b">
        <f>OR(AND(IF(Metadata!H988="",FALSE,TRUE),OR(EXACT(Metadata!H988,"not collected"),EXACT(Metadata!H988,"not provided"),EXACT(Metadata!H988,"restricted access"))),AND(IF(Metadata!H988="",FALSE,ISNUMBER(VALUE(Metadata!H988))),Metadata!H988&gt;=-413))</f>
        <v>0</v>
      </c>
      <c r="AV988" t="b">
        <f>AND(IF(Metadata!I988="",FALSE,TRUE),EXACT(Metadata!I988,"meters"))</f>
        <v>0</v>
      </c>
      <c r="AW988" t="b">
        <f>AND(IF(Metadata!J988="",FALSE,TRUE),EXACT(Metadata!J988,"free-living"))</f>
        <v>0</v>
      </c>
      <c r="AX988" t="b">
        <f>AND(IF(Metadata!K988="",FALSE,TRUE),OR(EXACT(Metadata!K988,"saline"),EXACT(Metadata!K988,"non-saline")))</f>
        <v>0</v>
      </c>
      <c r="AY988" t="b">
        <f>AND(IF(Metadata!L988="",FALSE,TRUE),OR(EXACT(Metadata!L988,"sub-surface (non-saline)"),EXACT(Metadata!L988,"surface (non-saline)"),EXACT(Metadata!L988,"water (non-saline)"),EXACT(Metadata!L988,"soil (non-saline)"),EXACT(Metadata!L988,"aerosol (non-saline)"),EXACT(Metadata!L988,"sediment (non-saline)"),EXACT(Metadata!L988,"surface (saline)"),EXACT(Metadata!L988,"water (saline)"),EXACT(Metadata!L988,"hypersaline (saline)"),EXACT(Metadata!L988,"aerosol (saline)"),EXACT(Metadata!L988,"sediment (saline)")))</f>
        <v>0</v>
      </c>
      <c r="AZ988" t="b">
        <f>IF(Metadata!M988="",FALSE,TRUE)</f>
        <v>0</v>
      </c>
      <c r="BA988" t="b">
        <f>IF(Metadata!N988="",FALSE,TRUE)</f>
        <v>0</v>
      </c>
      <c r="BB988" t="b">
        <f>IF(Metadata!O988="",FALSE,TRUE)</f>
        <v>0</v>
      </c>
      <c r="BC988" t="b">
        <f>AND(IF(Metadata!P988="",FALSE,TRUE),OR(EXACT(Metadata!P988,"air"),EXACT(Metadata!P988,"microbial mat/biofilm"),EXACT(Metadata!P988,"misc environment"),EXACT(Metadata!P988,"sediment"),EXACT(Metadata!P988,"soil"),EXACT(Metadata!P988,"wastewater/sludge"),EXACT(Metadata!P988,"water")))</f>
        <v>0</v>
      </c>
      <c r="BD988" t="b">
        <f>IF(Metadata!Q988="",FALSE,TRUE)</f>
        <v>0</v>
      </c>
      <c r="BE988" t="b">
        <f>IF(Metadata!R988="",FALSE,TRUE)</f>
        <v>0</v>
      </c>
      <c r="BF988" t="b">
        <f>OR(AND(IF(Metadata!S988="",FALSE,TRUE),OR(EXACT(Metadata!S988,"not collected"),EXACT(Metadata!S988,"not provided"),EXACT(Metadata!S988,"restricted access"))),AND(IF(Metadata!S988="",FALSE,ISNUMBER(VALUE(Metadata!S988))),Metadata!S988&gt;=-90,Metadata!S988&lt;=90))</f>
        <v>0</v>
      </c>
      <c r="BG988" t="b">
        <f>AND(IF(Metadata!T988="",FALSE,TRUE),EXACT(Metadata!T988,"Decimal degrees"))</f>
        <v>0</v>
      </c>
      <c r="BH988" t="b">
        <f>OR(AND(IF(Metadata!U988="",FALSE,TRUE),OR(EXACT(Metadata!U988,"not applicable"),EXACT(Metadata!U988,"not collected"))),IF(Metadata!U988="",FALSE,TRUE))</f>
        <v>0</v>
      </c>
      <c r="BI988" t="b">
        <f>OR(AND(IF(Metadata!V988="",FALSE,TRUE),OR(EXACT(Metadata!V988,"not collected"),EXACT(Metadata!V988,"not provided"),EXACT(Metadata!V988,"restricted access"))),AND(IF(Metadata!V988="",FALSE,ISNUMBER(VALUE(Metadata!V988))),Metadata!V988&gt;=-180,Metadata!V988&lt;=180))</f>
        <v>0</v>
      </c>
      <c r="BJ988" t="b">
        <f>AND(IF(Metadata!W988="",FALSE,TRUE),EXACT(Metadata!W988,"Decimal degrees"))</f>
        <v>0</v>
      </c>
      <c r="BK988" t="b">
        <f>IF(Metadata!X988="",FALSE,TRUE)</f>
        <v>0</v>
      </c>
      <c r="BL988" t="b">
        <f>OR(AND(IF(Metadata!Y988="",FALSE,TRUE),OR(EXACT(Metadata!Y988,"not collected"),EXACT(Metadata!Y988,"not provided"),EXACT(Metadata!Y988,"restricted access"))),AND(IF(Metadata!Y988="",FALSE,TRUE),OR(EXACT(Metadata!Y988,"TRUE"),EXACT(Metadata!Y988,"FALSE"))))</f>
        <v>0</v>
      </c>
      <c r="BM988" t="b">
        <f>OR(AND(IF(Metadata!Z988="",FALSE,TRUE),EXACT(Metadata!Z988,"not applicable")),AND(IF(Metadata!Z988="",FALSE,TRUE),OR(EXACT(Metadata!Z988,"beer"),EXACT(Metadata!Z988,"cheese"),EXACT(Metadata!Z988,"fresh water"),EXACT(Metadata!Z988,"marine sediment"),EXACT(Metadata!Z988,"sea water"),EXACT(Metadata!Z988,"sediment"),EXACT(Metadata!Z988,"soil"),EXACT(Metadata!Z988,"waste water"))))</f>
        <v>0</v>
      </c>
      <c r="BN988" t="b">
        <f>AND(IF(Metadata!AA988="",FALSE,TRUE),EXACT(Metadata!AA988,"metagenome"))</f>
        <v>0</v>
      </c>
      <c r="BO988" t="b">
        <f>AND(IF(Metadata!AB988="",FALSE,TRUE),EXACT(Metadata!AB988,"256318"))</f>
        <v>0</v>
      </c>
      <c r="BP988" t="b">
        <f>IF(Metadata!AC988="",FALSE,TRUE)</f>
        <v>0</v>
      </c>
      <c r="BQ988" t="b">
        <f>IF(Metadata!AD988="",FALSE,TRUE)</f>
        <v>0</v>
      </c>
    </row>
    <row r="989" spans="1:69" x14ac:dyDescent="0.2">
      <c r="A989" s="4" t="e">
        <f ca="1">IF(B989=" "," ",HYPERLINK(CONCATENATE("#metadata!",ADDRESS(INDEX($AJ$2:$AJ$1001,MATCH(ROWS($AH$2:AH989),$AH$2:$AH$1001,0),0),2)),INDEX($AM$2:$AM$1001,MATCH(ROWS($AH$2:AH989),$AH$2:$AH$1001,0),0)))</f>
        <v>#N/A</v>
      </c>
      <c r="B989" s="5" t="e">
        <f ca="1">IF(OR(INDEX($AI$2:$AI$1001,MATCH(ROWS($AH$2:AH989),$AH$2:$AH$1001,0),1)&gt;=100000,INDEX($AO$1005:$BQ$1005,1,MATCH(COLUMNS($AO$1006:AO1006),$AO$1006:$BQ$1006,0))&gt;=100000), " ",IF(INDEX($AO$2:$BQ$1001,MATCH(ROWS($AH$2:AH989),$AH$2:$AH$1001,0),MATCH(COLUMNS($AO$1006:AO1006),$AO$1006:$BQ$1006,0)), HYPERLINK("#",""), HYPERLINK(CONCATENATE("#Metadata!", ADDRESS(INDEX($AJ$2:$AJ$1001,MATCH(ROWS($AH$2:AH989),$AH$2:$AH$1001,0),0), INDEX($AO$1004:$BQ$1004,1,MATCH(COLUMNS($AO$1006:AO1006),$AO$1006:$BQ$1006,0)))),"Fix")))</f>
        <v>#N/A</v>
      </c>
      <c r="C989" s="5" t="e">
        <f ca="1">IF(OR(INDEX($AI$2:$AI$1001,MATCH(ROWS($AH$2:AH989),$AH$2:$AH$1001,0),1)&gt;=100000,INDEX($AO$1005:$BQ$1005,1,MATCH(COLUMNS($AO$1006:AP1006),$AO$1006:$BQ$1006,0))&gt;=100000), " ",IF(INDEX($AO$2:$BQ$1001,MATCH(ROWS($AH$2:AH989),$AH$2:$AH$1001,0),MATCH(COLUMNS($AO$1006:AP1006),$AO$1006:$BQ$1006,0)), HYPERLINK("#",""), HYPERLINK(CONCATENATE("#Metadata!", ADDRESS(INDEX($AJ$2:$AJ$1001,MATCH(ROWS($AH$2:AH989),$AH$2:$AH$1001,0),0), INDEX($AO$1004:$BQ$1004,1,MATCH(COLUMNS($AO$1006:AP1006),$AO$1006:$BQ$1006,0)))),"Fix")))</f>
        <v>#N/A</v>
      </c>
      <c r="D989" s="5" t="e">
        <f ca="1">IF(OR(INDEX($AI$2:$AI$1001,MATCH(ROWS($AH$2:AH989),$AH$2:$AH$1001,0),1)&gt;=100000,INDEX($AO$1005:$BQ$1005,1,MATCH(COLUMNS($AO$1006:AQ1006),$AO$1006:$BQ$1006,0))&gt;=100000), " ",IF(INDEX($AO$2:$BQ$1001,MATCH(ROWS($AH$2:AH989),$AH$2:$AH$1001,0),MATCH(COLUMNS($AO$1006:AQ1006),$AO$1006:$BQ$1006,0)), HYPERLINK("#",""), HYPERLINK(CONCATENATE("#Metadata!", ADDRESS(INDEX($AJ$2:$AJ$1001,MATCH(ROWS($AH$2:AH989),$AH$2:$AH$1001,0),0), INDEX($AO$1004:$BQ$1004,1,MATCH(COLUMNS($AO$1006:AQ1006),$AO$1006:$BQ$1006,0)))),"Fix")))</f>
        <v>#N/A</v>
      </c>
      <c r="E989" s="5" t="e">
        <f ca="1">IF(OR(INDEX($AI$2:$AI$1001,MATCH(ROWS($AH$2:AH989),$AH$2:$AH$1001,0),1)&gt;=100000,INDEX($AO$1005:$BQ$1005,1,MATCH(COLUMNS($AO$1006:AR1006),$AO$1006:$BQ$1006,0))&gt;=100000), " ",IF(INDEX($AO$2:$BQ$1001,MATCH(ROWS($AH$2:AH989),$AH$2:$AH$1001,0),MATCH(COLUMNS($AO$1006:AR1006),$AO$1006:$BQ$1006,0)), HYPERLINK("#",""), HYPERLINK(CONCATENATE("#Metadata!", ADDRESS(INDEX($AJ$2:$AJ$1001,MATCH(ROWS($AH$2:AH989),$AH$2:$AH$1001,0),0), INDEX($AO$1004:$BQ$1004,1,MATCH(COLUMNS($AO$1006:AR1006),$AO$1006:$BQ$1006,0)))),"Fix")))</f>
        <v>#N/A</v>
      </c>
      <c r="F989" s="5" t="e">
        <f ca="1">IF(OR(INDEX($AI$2:$AI$1001,MATCH(ROWS($AH$2:AH989),$AH$2:$AH$1001,0),1)&gt;=100000,INDEX($AO$1005:$BQ$1005,1,MATCH(COLUMNS($AO$1006:AS1006),$AO$1006:$BQ$1006,0))&gt;=100000), " ",IF(INDEX($AO$2:$BQ$1001,MATCH(ROWS($AH$2:AH989),$AH$2:$AH$1001,0),MATCH(COLUMNS($AO$1006:AS1006),$AO$1006:$BQ$1006,0)), HYPERLINK("#",""), HYPERLINK(CONCATENATE("#Metadata!", ADDRESS(INDEX($AJ$2:$AJ$1001,MATCH(ROWS($AH$2:AH989),$AH$2:$AH$1001,0),0), INDEX($AO$1004:$BQ$1004,1,MATCH(COLUMNS($AO$1006:AS1006),$AO$1006:$BQ$1006,0)))),"Fix")))</f>
        <v>#N/A</v>
      </c>
      <c r="G989" s="5" t="e">
        <f ca="1">IF(OR(INDEX($AI$2:$AI$1001,MATCH(ROWS($AH$2:AH989),$AH$2:$AH$1001,0),1)&gt;=100000,INDEX($AO$1005:$BQ$1005,1,MATCH(COLUMNS($AO$1006:AT1006),$AO$1006:$BQ$1006,0))&gt;=100000), " ",IF(INDEX($AO$2:$BQ$1001,MATCH(ROWS($AH$2:AH989),$AH$2:$AH$1001,0),MATCH(COLUMNS($AO$1006:AT1006),$AO$1006:$BQ$1006,0)), HYPERLINK("#",""), HYPERLINK(CONCATENATE("#Metadata!", ADDRESS(INDEX($AJ$2:$AJ$1001,MATCH(ROWS($AH$2:AH989),$AH$2:$AH$1001,0),0), INDEX($AO$1004:$BQ$1004,1,MATCH(COLUMNS($AO$1006:AT1006),$AO$1006:$BQ$1006,0)))),"Fix")))</f>
        <v>#N/A</v>
      </c>
      <c r="H989" s="5" t="e">
        <f ca="1">IF(OR(INDEX($AI$2:$AI$1001,MATCH(ROWS($AH$2:AH989),$AH$2:$AH$1001,0),1)&gt;=100000,INDEX($AO$1005:$BQ$1005,1,MATCH(COLUMNS($AO$1006:AU1006),$AO$1006:$BQ$1006,0))&gt;=100000), " ",IF(INDEX($AO$2:$BQ$1001,MATCH(ROWS($AH$2:AH989),$AH$2:$AH$1001,0),MATCH(COLUMNS($AO$1006:AU1006),$AO$1006:$BQ$1006,0)), HYPERLINK("#",""), HYPERLINK(CONCATENATE("#Metadata!", ADDRESS(INDEX($AJ$2:$AJ$1001,MATCH(ROWS($AH$2:AH989),$AH$2:$AH$1001,0),0), INDEX($AO$1004:$BQ$1004,1,MATCH(COLUMNS($AO$1006:AU1006),$AO$1006:$BQ$1006,0)))),"Fix")))</f>
        <v>#N/A</v>
      </c>
      <c r="I989" s="5" t="e">
        <f ca="1">IF(OR(INDEX($AI$2:$AI$1001,MATCH(ROWS($AH$2:AH989),$AH$2:$AH$1001,0),1)&gt;=100000,INDEX($AO$1005:$BQ$1005,1,MATCH(COLUMNS($AO$1006:AV1006),$AO$1006:$BQ$1006,0))&gt;=100000), " ",IF(INDEX($AO$2:$BQ$1001,MATCH(ROWS($AH$2:AH989),$AH$2:$AH$1001,0),MATCH(COLUMNS($AO$1006:AV1006),$AO$1006:$BQ$1006,0)), HYPERLINK("#",""), HYPERLINK(CONCATENATE("#Metadata!", ADDRESS(INDEX($AJ$2:$AJ$1001,MATCH(ROWS($AH$2:AH989),$AH$2:$AH$1001,0),0), INDEX($AO$1004:$BQ$1004,1,MATCH(COLUMNS($AO$1006:AV1006),$AO$1006:$BQ$1006,0)))),"Fix")))</f>
        <v>#N/A</v>
      </c>
      <c r="J989" s="5" t="e">
        <f ca="1">IF(OR(INDEX($AI$2:$AI$1001,MATCH(ROWS($AH$2:AH989),$AH$2:$AH$1001,0),1)&gt;=100000,INDEX($AO$1005:$BQ$1005,1,MATCH(COLUMNS($AO$1006:AW1006),$AO$1006:$BQ$1006,0))&gt;=100000), " ",IF(INDEX($AO$2:$BQ$1001,MATCH(ROWS($AH$2:AH989),$AH$2:$AH$1001,0),MATCH(COLUMNS($AO$1006:AW1006),$AO$1006:$BQ$1006,0)), HYPERLINK("#",""), HYPERLINK(CONCATENATE("#Metadata!", ADDRESS(INDEX($AJ$2:$AJ$1001,MATCH(ROWS($AH$2:AH989),$AH$2:$AH$1001,0),0), INDEX($AO$1004:$BQ$1004,1,MATCH(COLUMNS($AO$1006:AW1006),$AO$1006:$BQ$1006,0)))),"Fix")))</f>
        <v>#N/A</v>
      </c>
      <c r="K989" s="5" t="e">
        <f ca="1">IF(OR(INDEX($AI$2:$AI$1001,MATCH(ROWS($AH$2:AH989),$AH$2:$AH$1001,0),1)&gt;=100000,INDEX($AO$1005:$BQ$1005,1,MATCH(COLUMNS($AO$1006:AX1006),$AO$1006:$BQ$1006,0))&gt;=100000), " ",IF(INDEX($AO$2:$BQ$1001,MATCH(ROWS($AH$2:AH989),$AH$2:$AH$1001,0),MATCH(COLUMNS($AO$1006:AX1006),$AO$1006:$BQ$1006,0)), HYPERLINK("#",""), HYPERLINK(CONCATENATE("#Metadata!", ADDRESS(INDEX($AJ$2:$AJ$1001,MATCH(ROWS($AH$2:AH989),$AH$2:$AH$1001,0),0), INDEX($AO$1004:$BQ$1004,1,MATCH(COLUMNS($AO$1006:AX1006),$AO$1006:$BQ$1006,0)))),"Fix")))</f>
        <v>#N/A</v>
      </c>
      <c r="L989" s="5" t="e">
        <f ca="1">IF(OR(INDEX($AI$2:$AI$1001,MATCH(ROWS($AH$2:AH989),$AH$2:$AH$1001,0),1)&gt;=100000,INDEX($AO$1005:$BQ$1005,1,MATCH(COLUMNS($AO$1006:AY1006),$AO$1006:$BQ$1006,0))&gt;=100000), " ",IF(INDEX($AO$2:$BQ$1001,MATCH(ROWS($AH$2:AH989),$AH$2:$AH$1001,0),MATCH(COLUMNS($AO$1006:AY1006),$AO$1006:$BQ$1006,0)), HYPERLINK("#",""), HYPERLINK(CONCATENATE("#Metadata!", ADDRESS(INDEX($AJ$2:$AJ$1001,MATCH(ROWS($AH$2:AH989),$AH$2:$AH$1001,0),0), INDEX($AO$1004:$BQ$1004,1,MATCH(COLUMNS($AO$1006:AY1006),$AO$1006:$BQ$1006,0)))),"Fix")))</f>
        <v>#N/A</v>
      </c>
      <c r="M989" s="5" t="e">
        <f ca="1">IF(OR(INDEX($AI$2:$AI$1001,MATCH(ROWS($AH$2:AH989),$AH$2:$AH$1001,0),1)&gt;=100000,INDEX($AO$1005:$BQ$1005,1,MATCH(COLUMNS($AO$1006:AZ1006),$AO$1006:$BQ$1006,0))&gt;=100000), " ",IF(INDEX($AO$2:$BQ$1001,MATCH(ROWS($AH$2:AH989),$AH$2:$AH$1001,0),MATCH(COLUMNS($AO$1006:AZ1006),$AO$1006:$BQ$1006,0)), HYPERLINK("#",""), HYPERLINK(CONCATENATE("#Metadata!", ADDRESS(INDEX($AJ$2:$AJ$1001,MATCH(ROWS($AH$2:AH989),$AH$2:$AH$1001,0),0), INDEX($AO$1004:$BQ$1004,1,MATCH(COLUMNS($AO$1006:AZ1006),$AO$1006:$BQ$1006,0)))),"Fix")))</f>
        <v>#N/A</v>
      </c>
      <c r="N989" s="5" t="e">
        <f ca="1">IF(OR(INDEX($AI$2:$AI$1001,MATCH(ROWS($AH$2:AH989),$AH$2:$AH$1001,0),1)&gt;=100000,INDEX($AO$1005:$BQ$1005,1,MATCH(COLUMNS($AO$1006:BA1006),$AO$1006:$BQ$1006,0))&gt;=100000), " ",IF(INDEX($AO$2:$BQ$1001,MATCH(ROWS($AH$2:AH989),$AH$2:$AH$1001,0),MATCH(COLUMNS($AO$1006:BA1006),$AO$1006:$BQ$1006,0)), HYPERLINK("#",""), HYPERLINK(CONCATENATE("#Metadata!", ADDRESS(INDEX($AJ$2:$AJ$1001,MATCH(ROWS($AH$2:AH989),$AH$2:$AH$1001,0),0), INDEX($AO$1004:$BQ$1004,1,MATCH(COLUMNS($AO$1006:BA1006),$AO$1006:$BQ$1006,0)))),"Fix")))</f>
        <v>#N/A</v>
      </c>
      <c r="O989" s="5" t="e">
        <f ca="1">IF(OR(INDEX($AI$2:$AI$1001,MATCH(ROWS($AH$2:AH989),$AH$2:$AH$1001,0),1)&gt;=100000,INDEX($AO$1005:$BQ$1005,1,MATCH(COLUMNS($AO$1006:BB1006),$AO$1006:$BQ$1006,0))&gt;=100000), " ",IF(INDEX($AO$2:$BQ$1001,MATCH(ROWS($AH$2:AH989),$AH$2:$AH$1001,0),MATCH(COLUMNS($AO$1006:BB1006),$AO$1006:$BQ$1006,0)), HYPERLINK("#",""), HYPERLINK(CONCATENATE("#Metadata!", ADDRESS(INDEX($AJ$2:$AJ$1001,MATCH(ROWS($AH$2:AH989),$AH$2:$AH$1001,0),0), INDEX($AO$1004:$BQ$1004,1,MATCH(COLUMNS($AO$1006:BB1006),$AO$1006:$BQ$1006,0)))),"Fix")))</f>
        <v>#N/A</v>
      </c>
      <c r="P989" s="5" t="e">
        <f ca="1">IF(OR(INDEX($AI$2:$AI$1001,MATCH(ROWS($AH$2:AH989),$AH$2:$AH$1001,0),1)&gt;=100000,INDEX($AO$1005:$BQ$1005,1,MATCH(COLUMNS($AO$1006:BC1006),$AO$1006:$BQ$1006,0))&gt;=100000), " ",IF(INDEX($AO$2:$BQ$1001,MATCH(ROWS($AH$2:AH989),$AH$2:$AH$1001,0),MATCH(COLUMNS($AO$1006:BC1006),$AO$1006:$BQ$1006,0)), HYPERLINK("#",""), HYPERLINK(CONCATENATE("#Metadata!", ADDRESS(INDEX($AJ$2:$AJ$1001,MATCH(ROWS($AH$2:AH989),$AH$2:$AH$1001,0),0), INDEX($AO$1004:$BQ$1004,1,MATCH(COLUMNS($AO$1006:BC1006),$AO$1006:$BQ$1006,0)))),"Fix")))</f>
        <v>#N/A</v>
      </c>
      <c r="Q989" s="5" t="e">
        <f ca="1">IF(OR(INDEX($AI$2:$AI$1001,MATCH(ROWS($AH$2:AH989),$AH$2:$AH$1001,0),1)&gt;=100000,INDEX($AO$1005:$BQ$1005,1,MATCH(COLUMNS($AO$1006:BD1006),$AO$1006:$BQ$1006,0))&gt;=100000), " ",IF(INDEX($AO$2:$BQ$1001,MATCH(ROWS($AH$2:AH989),$AH$2:$AH$1001,0),MATCH(COLUMNS($AO$1006:BD1006),$AO$1006:$BQ$1006,0)), HYPERLINK("#",""), HYPERLINK(CONCATENATE("#Metadata!", ADDRESS(INDEX($AJ$2:$AJ$1001,MATCH(ROWS($AH$2:AH989),$AH$2:$AH$1001,0),0), INDEX($AO$1004:$BQ$1004,1,MATCH(COLUMNS($AO$1006:BD1006),$AO$1006:$BQ$1006,0)))),"Fix")))</f>
        <v>#N/A</v>
      </c>
      <c r="R989" s="5" t="e">
        <f ca="1">IF(OR(INDEX($AI$2:$AI$1001,MATCH(ROWS($AH$2:AH989),$AH$2:$AH$1001,0),1)&gt;=100000,INDEX($AO$1005:$BQ$1005,1,MATCH(COLUMNS($AO$1006:BE1006),$AO$1006:$BQ$1006,0))&gt;=100000), " ",IF(INDEX($AO$2:$BQ$1001,MATCH(ROWS($AH$2:AH989),$AH$2:$AH$1001,0),MATCH(COLUMNS($AO$1006:BE1006),$AO$1006:$BQ$1006,0)), HYPERLINK("#",""), HYPERLINK(CONCATENATE("#Metadata!", ADDRESS(INDEX($AJ$2:$AJ$1001,MATCH(ROWS($AH$2:AH989),$AH$2:$AH$1001,0),0), INDEX($AO$1004:$BQ$1004,1,MATCH(COLUMNS($AO$1006:BE1006),$AO$1006:$BQ$1006,0)))),"Fix")))</f>
        <v>#N/A</v>
      </c>
      <c r="S989" s="5" t="e">
        <f ca="1">IF(OR(INDEX($AI$2:$AI$1001,MATCH(ROWS($AH$2:AH989),$AH$2:$AH$1001,0),1)&gt;=100000,INDEX($AO$1005:$BQ$1005,1,MATCH(COLUMNS($AO$1006:BF1006),$AO$1006:$BQ$1006,0))&gt;=100000), " ",IF(INDEX($AO$2:$BQ$1001,MATCH(ROWS($AH$2:AH989),$AH$2:$AH$1001,0),MATCH(COLUMNS($AO$1006:BF1006),$AO$1006:$BQ$1006,0)), HYPERLINK("#",""), HYPERLINK(CONCATENATE("#Metadata!", ADDRESS(INDEX($AJ$2:$AJ$1001,MATCH(ROWS($AH$2:AH989),$AH$2:$AH$1001,0),0), INDEX($AO$1004:$BQ$1004,1,MATCH(COLUMNS($AO$1006:BF1006),$AO$1006:$BQ$1006,0)))),"Fix")))</f>
        <v>#N/A</v>
      </c>
      <c r="T989" s="5" t="e">
        <f ca="1">IF(OR(INDEX($AI$2:$AI$1001,MATCH(ROWS($AH$2:AH989),$AH$2:$AH$1001,0),1)&gt;=100000,INDEX($AO$1005:$BQ$1005,1,MATCH(COLUMNS($AO$1006:BG1006),$AO$1006:$BQ$1006,0))&gt;=100000), " ",IF(INDEX($AO$2:$BQ$1001,MATCH(ROWS($AH$2:AH989),$AH$2:$AH$1001,0),MATCH(COLUMNS($AO$1006:BG1006),$AO$1006:$BQ$1006,0)), HYPERLINK("#",""), HYPERLINK(CONCATENATE("#Metadata!", ADDRESS(INDEX($AJ$2:$AJ$1001,MATCH(ROWS($AH$2:AH989),$AH$2:$AH$1001,0),0), INDEX($AO$1004:$BQ$1004,1,MATCH(COLUMNS($AO$1006:BG1006),$AO$1006:$BQ$1006,0)))),"Fix")))</f>
        <v>#N/A</v>
      </c>
      <c r="U989" s="5" t="e">
        <f ca="1">IF(OR(INDEX($AI$2:$AI$1001,MATCH(ROWS($AH$2:AH989),$AH$2:$AH$1001,0),1)&gt;=100000,INDEX($AO$1005:$BQ$1005,1,MATCH(COLUMNS($AO$1006:BH1006),$AO$1006:$BQ$1006,0))&gt;=100000), " ",IF(INDEX($AO$2:$BQ$1001,MATCH(ROWS($AH$2:AH989),$AH$2:$AH$1001,0),MATCH(COLUMNS($AO$1006:BH1006),$AO$1006:$BQ$1006,0)), HYPERLINK("#",""), HYPERLINK(CONCATENATE("#Metadata!", ADDRESS(INDEX($AJ$2:$AJ$1001,MATCH(ROWS($AH$2:AH989),$AH$2:$AH$1001,0),0), INDEX($AO$1004:$BQ$1004,1,MATCH(COLUMNS($AO$1006:BH1006),$AO$1006:$BQ$1006,0)))),"Fix")))</f>
        <v>#N/A</v>
      </c>
      <c r="V989" s="5" t="e">
        <f ca="1">IF(OR(INDEX($AI$2:$AI$1001,MATCH(ROWS($AH$2:AH989),$AH$2:$AH$1001,0),1)&gt;=100000,INDEX($AO$1005:$BQ$1005,1,MATCH(COLUMNS($AO$1006:BI1006),$AO$1006:$BQ$1006,0))&gt;=100000), " ",IF(INDEX($AO$2:$BQ$1001,MATCH(ROWS($AH$2:AH989),$AH$2:$AH$1001,0),MATCH(COLUMNS($AO$1006:BI1006),$AO$1006:$BQ$1006,0)), HYPERLINK("#",""), HYPERLINK(CONCATENATE("#Metadata!", ADDRESS(INDEX($AJ$2:$AJ$1001,MATCH(ROWS($AH$2:AH989),$AH$2:$AH$1001,0),0), INDEX($AO$1004:$BQ$1004,1,MATCH(COLUMNS($AO$1006:BI1006),$AO$1006:$BQ$1006,0)))),"Fix")))</f>
        <v>#N/A</v>
      </c>
      <c r="W989" s="5" t="e">
        <f ca="1">IF(OR(INDEX($AI$2:$AI$1001,MATCH(ROWS($AH$2:AH989),$AH$2:$AH$1001,0),1)&gt;=100000,INDEX($AO$1005:$BQ$1005,1,MATCH(COLUMNS($AO$1006:BJ1006),$AO$1006:$BQ$1006,0))&gt;=100000), " ",IF(INDEX($AO$2:$BQ$1001,MATCH(ROWS($AH$2:AH989),$AH$2:$AH$1001,0),MATCH(COLUMNS($AO$1006:BJ1006),$AO$1006:$BQ$1006,0)), HYPERLINK("#",""), HYPERLINK(CONCATENATE("#Metadata!", ADDRESS(INDEX($AJ$2:$AJ$1001,MATCH(ROWS($AH$2:AH989),$AH$2:$AH$1001,0),0), INDEX($AO$1004:$BQ$1004,1,MATCH(COLUMNS($AO$1006:BJ1006),$AO$1006:$BQ$1006,0)))),"Fix")))</f>
        <v>#N/A</v>
      </c>
      <c r="X989" s="5" t="e">
        <f ca="1">IF(OR(INDEX($AI$2:$AI$1001,MATCH(ROWS($AH$2:AH989),$AH$2:$AH$1001,0),1)&gt;=100000,INDEX($AO$1005:$BQ$1005,1,MATCH(COLUMNS($AO$1006:BK1006),$AO$1006:$BQ$1006,0))&gt;=100000), " ",IF(INDEX($AO$2:$BQ$1001,MATCH(ROWS($AH$2:AH989),$AH$2:$AH$1001,0),MATCH(COLUMNS($AO$1006:BK1006),$AO$1006:$BQ$1006,0)), HYPERLINK("#",""), HYPERLINK(CONCATENATE("#Metadata!", ADDRESS(INDEX($AJ$2:$AJ$1001,MATCH(ROWS($AH$2:AH989),$AH$2:$AH$1001,0),0), INDEX($AO$1004:$BQ$1004,1,MATCH(COLUMNS($AO$1006:BK1006),$AO$1006:$BQ$1006,0)))),"Fix")))</f>
        <v>#N/A</v>
      </c>
      <c r="Y989" s="5" t="e">
        <f ca="1">IF(OR(INDEX($AI$2:$AI$1001,MATCH(ROWS($AH$2:AH989),$AH$2:$AH$1001,0),1)&gt;=100000,INDEX($AO$1005:$BQ$1005,1,MATCH(COLUMNS($AO$1006:BL1006),$AO$1006:$BQ$1006,0))&gt;=100000), " ",IF(INDEX($AO$2:$BQ$1001,MATCH(ROWS($AH$2:AH989),$AH$2:$AH$1001,0),MATCH(COLUMNS($AO$1006:BL1006),$AO$1006:$BQ$1006,0)), HYPERLINK("#",""), HYPERLINK(CONCATENATE("#Metadata!", ADDRESS(INDEX($AJ$2:$AJ$1001,MATCH(ROWS($AH$2:AH989),$AH$2:$AH$1001,0),0), INDEX($AO$1004:$BQ$1004,1,MATCH(COLUMNS($AO$1006:BL1006),$AO$1006:$BQ$1006,0)))),"Fix")))</f>
        <v>#N/A</v>
      </c>
      <c r="Z989" s="5" t="e">
        <f ca="1">IF(OR(INDEX($AI$2:$AI$1001,MATCH(ROWS($AH$2:AH989),$AH$2:$AH$1001,0),1)&gt;=100000,INDEX($AO$1005:$BQ$1005,1,MATCH(COLUMNS($AO$1006:BM1006),$AO$1006:$BQ$1006,0))&gt;=100000), " ",IF(INDEX($AO$2:$BQ$1001,MATCH(ROWS($AH$2:AH989),$AH$2:$AH$1001,0),MATCH(COLUMNS($AO$1006:BM1006),$AO$1006:$BQ$1006,0)), HYPERLINK("#",""), HYPERLINK(CONCATENATE("#Metadata!", ADDRESS(INDEX($AJ$2:$AJ$1001,MATCH(ROWS($AH$2:AH989),$AH$2:$AH$1001,0),0), INDEX($AO$1004:$BQ$1004,1,MATCH(COLUMNS($AO$1006:BM1006),$AO$1006:$BQ$1006,0)))),"Fix")))</f>
        <v>#N/A</v>
      </c>
      <c r="AA989" s="5" t="e">
        <f ca="1">IF(OR(INDEX($AI$2:$AI$1001,MATCH(ROWS($AH$2:AH989),$AH$2:$AH$1001,0),1)&gt;=100000,INDEX($AO$1005:$BQ$1005,1,MATCH(COLUMNS($AO$1006:BN1006),$AO$1006:$BQ$1006,0))&gt;=100000), " ",IF(INDEX($AO$2:$BQ$1001,MATCH(ROWS($AH$2:AH989),$AH$2:$AH$1001,0),MATCH(COLUMNS($AO$1006:BN1006),$AO$1006:$BQ$1006,0)), HYPERLINK("#",""), HYPERLINK(CONCATENATE("#Metadata!", ADDRESS(INDEX($AJ$2:$AJ$1001,MATCH(ROWS($AH$2:AH989),$AH$2:$AH$1001,0),0), INDEX($AO$1004:$BQ$1004,1,MATCH(COLUMNS($AO$1006:BN1006),$AO$1006:$BQ$1006,0)))),"Fix")))</f>
        <v>#N/A</v>
      </c>
      <c r="AB989" s="5" t="e">
        <f ca="1">IF(OR(INDEX($AI$2:$AI$1001,MATCH(ROWS($AH$2:AH989),$AH$2:$AH$1001,0),1)&gt;=100000,INDEX($AO$1005:$BQ$1005,1,MATCH(COLUMNS($AO$1006:BO1006),$AO$1006:$BQ$1006,0))&gt;=100000), " ",IF(INDEX($AO$2:$BQ$1001,MATCH(ROWS($AH$2:AH989),$AH$2:$AH$1001,0),MATCH(COLUMNS($AO$1006:BO1006),$AO$1006:$BQ$1006,0)), HYPERLINK("#",""), HYPERLINK(CONCATENATE("#Metadata!", ADDRESS(INDEX($AJ$2:$AJ$1001,MATCH(ROWS($AH$2:AH989),$AH$2:$AH$1001,0),0), INDEX($AO$1004:$BQ$1004,1,MATCH(COLUMNS($AO$1006:BO1006),$AO$1006:$BQ$1006,0)))),"Fix")))</f>
        <v>#N/A</v>
      </c>
      <c r="AC989" s="5" t="e">
        <f ca="1">IF(OR(INDEX($AI$2:$AI$1001,MATCH(ROWS($AH$2:AH989),$AH$2:$AH$1001,0),1)&gt;=100000,INDEX($AO$1005:$BQ$1005,1,MATCH(COLUMNS($AO$1006:BP1006),$AO$1006:$BQ$1006,0))&gt;=100000), " ",IF(INDEX($AO$2:$BQ$1001,MATCH(ROWS($AH$2:AH989),$AH$2:$AH$1001,0),MATCH(COLUMNS($AO$1006:BP1006),$AO$1006:$BQ$1006,0)), HYPERLINK("#",""), HYPERLINK(CONCATENATE("#Metadata!", ADDRESS(INDEX($AJ$2:$AJ$1001,MATCH(ROWS($AH$2:AH989),$AH$2:$AH$1001,0),0), INDEX($AO$1004:$BQ$1004,1,MATCH(COLUMNS($AO$1006:BP1006),$AO$1006:$BQ$1006,0)))),"Fix")))</f>
        <v>#N/A</v>
      </c>
      <c r="AD989" s="5" t="e">
        <f ca="1">IF(OR(INDEX($AI$2:$AI$1001,MATCH(ROWS($AH$2:AH989),$AH$2:$AH$1001,0),1)&gt;=100000,INDEX($AO$1005:$BQ$1005,1,MATCH(COLUMNS($AO$1006:BQ1006),$AO$1006:$BQ$1006,0))&gt;=100000), " ",IF(INDEX($AO$2:$BQ$1001,MATCH(ROWS($AH$2:AH989),$AH$2:$AH$1001,0),MATCH(COLUMNS($AO$1006:BQ1006),$AO$1006:$BQ$1006,0)), HYPERLINK("#",""), HYPERLINK(CONCATENATE("#Metadata!", ADDRESS(INDEX($AJ$2:$AJ$1001,MATCH(ROWS($AH$2:AH989),$AH$2:$AH$1001,0),0), INDEX($AO$1004:$BQ$1004,1,MATCH(COLUMNS($AO$1006:BQ1006),$AO$1006:$BQ$1006,0)))),"Fix")))</f>
        <v>#REF!</v>
      </c>
      <c r="AH989">
        <f ca="1"/>
        <v>986</v>
      </c>
      <c r="AI989">
        <v>100989</v>
      </c>
      <c r="AJ989">
        <v>989</v>
      </c>
      <c r="AK989" t="b">
        <f t="shared" si="15"/>
        <v>1</v>
      </c>
      <c r="AL989" t="b">
        <f>COUNTBLANK(Metadata!B989:AD989)=COLUMNS(Metadata!B989:AD989)</f>
        <v>1</v>
      </c>
      <c r="AM989" t="str">
        <v/>
      </c>
      <c r="AO989" t="b">
        <f ca="1">AND(IF(Metadata!B989="",FALSE,TRUE),COUNTIF(Metadata!B:B, Metadata!B989) = 1,NOT(ISERROR(SUMPRODUCT(SEARCH(MID(Metadata!B989,ROW(INDIRECT("1:"&amp;LEN(Metadata!B989))), 1),"0123456789abcdefghijklmnopqrstuvwxyzABCDEFGHIJKLMNOPQRSTUVWXYZ.")))))</f>
        <v>0</v>
      </c>
      <c r="AP989" t="b">
        <f>IF(Metadata!C989="",FALSE,TRUE)</f>
        <v>0</v>
      </c>
      <c r="AQ989" t="b">
        <f>IF(Metadata!D989="",FALSE,TRUE)</f>
        <v>0</v>
      </c>
      <c r="AR989" t="b">
        <f ca="1">OR(AND(IF(Metadata!E989="",FALSE,TRUE),OR(EXACT(Metadata!E989,"not collected"),EXACT(Metadata!E989,"not provided"),EXACT(Metadata!E989,"restricted access"))),AND(IF(Metadata!E989="",FALSE,TRUE),AND(AND(IFERROR(INT(LEFT(Metadata!E989,4))&gt;1900,FALSE),IFERROR(INT(LEFT(Metadata!E989,4))&lt;=YEAR(NOW()),FALSE)), OR(MID(Metadata!E989,5,1)="", AND(AND(MID(Metadata!E989,5,1)="-",IFERROR(INT(MID(Metadata!E989,6,1))&gt;=0,FALSE),IFERROR(INT(MID(Metadata!E989,6,1))&lt;=1,FALSE),NOT(MID(Metadata!E989,7,1)=""),IFERROR(INT(MID(Metadata!E989,6,2))&gt;=1,FALSE),IFERROR(INT(MID(Metadata!E989,6,2))&lt;=12,FALSE)), OR(MID(Metadata!E989,8,1)="", AND(AND(MID(Metadata!E989,8,1)="-",IFERROR(INT(MID(Metadata!E989,9,1))&gt;=0,FALSE),IFERROR(INT(MID(Metadata!E989,9,1))&lt;=3,FALSE),NOT(MID(Metadata!E989,10,1)=""),IFERROR(INT(MID(Metadata!E989,9,2))&gt;=1,FALSE),IFERROR(INT(MID(Metadata!E989,9,2))&lt;=31,FALSE)), OR(MID(Metadata!E989,11,1)="", AND(AND(MID(Metadata!E989,11,1)=" ",IFERROR(INT(MID(Metadata!E989,12,1))&gt;=0,FALSE),IFERROR(INT(MID(Metadata!E989,12,1))&lt;=2,FALSE),NOT(MID(Metadata!E989,13,1)=""),IFERROR(INT(MID(Metadata!E989,12,2))&gt;=0,FALSE),IFERROR(INT(MID(Metadata!E989,12,2))&lt;=23,FALSE)), OR(MID(Metadata!E989,14,1)="", AND(AND(MID(Metadata!E989,14,1)=":",IFERROR(INT(MID(Metadata!E989,15,1))&gt;=0,FALSE),IFERROR(INT(MID(Metadata!E989,15,1))&lt;=5,FALSE),NOT(MID(Metadata!E989,16,1)=""),IFERROR(INT(MID(Metadata!E989,15,2))&gt;=0,FALSE),IFERROR(INT(MID(Metadata!E989,15,2))&lt;=59,FALSE)), OR(MID(Metadata!E989,17,1)="", AND(AND(MID(Metadata!E989,17,1)=":",IFERROR(INT(MID(Metadata!E989,18,1))&gt;=0,FALSE),IFERROR(INT(MID(Metadata!E989,18,1))&lt;=5,FALSE),NOT(MID(Metadata!E989,19,1)=""),IFERROR(INT(MID(Metadata!E989,18,2))&gt;=0,FALSE),IFERROR(INT(MID(Metadata!E989,18,2))&lt;=59,FALSE)), LEN(Metadata!E989)&lt;=19)))))))))))))</f>
        <v>0</v>
      </c>
      <c r="AS989" t="b">
        <f>IF(Metadata!F989="",FALSE,TRUE)</f>
        <v>0</v>
      </c>
      <c r="AT989" t="b">
        <f>OR(AND(IF(Metadata!G989="",FALSE,TRUE),OR(EXACT(Metadata!G989,"not collected"),EXACT(Metadata!G989,"not provided"))),AND(IF(Metadata!G989="",FALSE,TRUE),OR(EXACT(Metadata!G989,"TRUE"),EXACT(Metadata!G989,"FALSE"))))</f>
        <v>0</v>
      </c>
      <c r="AU989" t="b">
        <f>OR(AND(IF(Metadata!H989="",FALSE,TRUE),OR(EXACT(Metadata!H989,"not collected"),EXACT(Metadata!H989,"not provided"),EXACT(Metadata!H989,"restricted access"))),AND(IF(Metadata!H989="",FALSE,ISNUMBER(VALUE(Metadata!H989))),Metadata!H989&gt;=-413))</f>
        <v>0</v>
      </c>
      <c r="AV989" t="b">
        <f>AND(IF(Metadata!I989="",FALSE,TRUE),EXACT(Metadata!I989,"meters"))</f>
        <v>0</v>
      </c>
      <c r="AW989" t="b">
        <f>AND(IF(Metadata!J989="",FALSE,TRUE),EXACT(Metadata!J989,"free-living"))</f>
        <v>0</v>
      </c>
      <c r="AX989" t="b">
        <f>AND(IF(Metadata!K989="",FALSE,TRUE),OR(EXACT(Metadata!K989,"saline"),EXACT(Metadata!K989,"non-saline")))</f>
        <v>0</v>
      </c>
      <c r="AY989" t="b">
        <f>AND(IF(Metadata!L989="",FALSE,TRUE),OR(EXACT(Metadata!L989,"sub-surface (non-saline)"),EXACT(Metadata!L989,"surface (non-saline)"),EXACT(Metadata!L989,"water (non-saline)"),EXACT(Metadata!L989,"soil (non-saline)"),EXACT(Metadata!L989,"aerosol (non-saline)"),EXACT(Metadata!L989,"sediment (non-saline)"),EXACT(Metadata!L989,"surface (saline)"),EXACT(Metadata!L989,"water (saline)"),EXACT(Metadata!L989,"hypersaline (saline)"),EXACT(Metadata!L989,"aerosol (saline)"),EXACT(Metadata!L989,"sediment (saline)")))</f>
        <v>0</v>
      </c>
      <c r="AZ989" t="b">
        <f>IF(Metadata!M989="",FALSE,TRUE)</f>
        <v>0</v>
      </c>
      <c r="BA989" t="b">
        <f>IF(Metadata!N989="",FALSE,TRUE)</f>
        <v>0</v>
      </c>
      <c r="BB989" t="b">
        <f>IF(Metadata!O989="",FALSE,TRUE)</f>
        <v>0</v>
      </c>
      <c r="BC989" t="b">
        <f>AND(IF(Metadata!P989="",FALSE,TRUE),OR(EXACT(Metadata!P989,"air"),EXACT(Metadata!P989,"microbial mat/biofilm"),EXACT(Metadata!P989,"misc environment"),EXACT(Metadata!P989,"sediment"),EXACT(Metadata!P989,"soil"),EXACT(Metadata!P989,"wastewater/sludge"),EXACT(Metadata!P989,"water")))</f>
        <v>0</v>
      </c>
      <c r="BD989" t="b">
        <f>IF(Metadata!Q989="",FALSE,TRUE)</f>
        <v>0</v>
      </c>
      <c r="BE989" t="b">
        <f>IF(Metadata!R989="",FALSE,TRUE)</f>
        <v>0</v>
      </c>
      <c r="BF989" t="b">
        <f>OR(AND(IF(Metadata!S989="",FALSE,TRUE),OR(EXACT(Metadata!S989,"not collected"),EXACT(Metadata!S989,"not provided"),EXACT(Metadata!S989,"restricted access"))),AND(IF(Metadata!S989="",FALSE,ISNUMBER(VALUE(Metadata!S989))),Metadata!S989&gt;=-90,Metadata!S989&lt;=90))</f>
        <v>0</v>
      </c>
      <c r="BG989" t="b">
        <f>AND(IF(Metadata!T989="",FALSE,TRUE),EXACT(Metadata!T989,"Decimal degrees"))</f>
        <v>0</v>
      </c>
      <c r="BH989" t="b">
        <f>OR(AND(IF(Metadata!U989="",FALSE,TRUE),OR(EXACT(Metadata!U989,"not applicable"),EXACT(Metadata!U989,"not collected"))),IF(Metadata!U989="",FALSE,TRUE))</f>
        <v>0</v>
      </c>
      <c r="BI989" t="b">
        <f>OR(AND(IF(Metadata!V989="",FALSE,TRUE),OR(EXACT(Metadata!V989,"not collected"),EXACT(Metadata!V989,"not provided"),EXACT(Metadata!V989,"restricted access"))),AND(IF(Metadata!V989="",FALSE,ISNUMBER(VALUE(Metadata!V989))),Metadata!V989&gt;=-180,Metadata!V989&lt;=180))</f>
        <v>0</v>
      </c>
      <c r="BJ989" t="b">
        <f>AND(IF(Metadata!W989="",FALSE,TRUE),EXACT(Metadata!W989,"Decimal degrees"))</f>
        <v>0</v>
      </c>
      <c r="BK989" t="b">
        <f>IF(Metadata!X989="",FALSE,TRUE)</f>
        <v>0</v>
      </c>
      <c r="BL989" t="b">
        <f>OR(AND(IF(Metadata!Y989="",FALSE,TRUE),OR(EXACT(Metadata!Y989,"not collected"),EXACT(Metadata!Y989,"not provided"),EXACT(Metadata!Y989,"restricted access"))),AND(IF(Metadata!Y989="",FALSE,TRUE),OR(EXACT(Metadata!Y989,"TRUE"),EXACT(Metadata!Y989,"FALSE"))))</f>
        <v>0</v>
      </c>
      <c r="BM989" t="b">
        <f>OR(AND(IF(Metadata!Z989="",FALSE,TRUE),EXACT(Metadata!Z989,"not applicable")),AND(IF(Metadata!Z989="",FALSE,TRUE),OR(EXACT(Metadata!Z989,"beer"),EXACT(Metadata!Z989,"cheese"),EXACT(Metadata!Z989,"fresh water"),EXACT(Metadata!Z989,"marine sediment"),EXACT(Metadata!Z989,"sea water"),EXACT(Metadata!Z989,"sediment"),EXACT(Metadata!Z989,"soil"),EXACT(Metadata!Z989,"waste water"))))</f>
        <v>0</v>
      </c>
      <c r="BN989" t="b">
        <f>AND(IF(Metadata!AA989="",FALSE,TRUE),EXACT(Metadata!AA989,"metagenome"))</f>
        <v>0</v>
      </c>
      <c r="BO989" t="b">
        <f>AND(IF(Metadata!AB989="",FALSE,TRUE),EXACT(Metadata!AB989,"256318"))</f>
        <v>0</v>
      </c>
      <c r="BP989" t="b">
        <f>IF(Metadata!AC989="",FALSE,TRUE)</f>
        <v>0</v>
      </c>
      <c r="BQ989" t="b">
        <f>IF(Metadata!AD989="",FALSE,TRUE)</f>
        <v>0</v>
      </c>
    </row>
    <row r="990" spans="1:69" x14ac:dyDescent="0.2">
      <c r="A990" s="4" t="e">
        <f ca="1">IF(B990=" "," ",HYPERLINK(CONCATENATE("#metadata!",ADDRESS(INDEX($AJ$2:$AJ$1001,MATCH(ROWS($AH$2:AH990),$AH$2:$AH$1001,0),0),2)),INDEX($AM$2:$AM$1001,MATCH(ROWS($AH$2:AH990),$AH$2:$AH$1001,0),0)))</f>
        <v>#N/A</v>
      </c>
      <c r="B990" s="5" t="e">
        <f ca="1">IF(OR(INDEX($AI$2:$AI$1001,MATCH(ROWS($AH$2:AH990),$AH$2:$AH$1001,0),1)&gt;=100000,INDEX($AO$1005:$BQ$1005,1,MATCH(COLUMNS($AO$1006:AO1006),$AO$1006:$BQ$1006,0))&gt;=100000), " ",IF(INDEX($AO$2:$BQ$1001,MATCH(ROWS($AH$2:AH990),$AH$2:$AH$1001,0),MATCH(COLUMNS($AO$1006:AO1006),$AO$1006:$BQ$1006,0)), HYPERLINK("#",""), HYPERLINK(CONCATENATE("#Metadata!", ADDRESS(INDEX($AJ$2:$AJ$1001,MATCH(ROWS($AH$2:AH990),$AH$2:$AH$1001,0),0), INDEX($AO$1004:$BQ$1004,1,MATCH(COLUMNS($AO$1006:AO1006),$AO$1006:$BQ$1006,0)))),"Fix")))</f>
        <v>#N/A</v>
      </c>
      <c r="C990" s="5" t="e">
        <f ca="1">IF(OR(INDEX($AI$2:$AI$1001,MATCH(ROWS($AH$2:AH990),$AH$2:$AH$1001,0),1)&gt;=100000,INDEX($AO$1005:$BQ$1005,1,MATCH(COLUMNS($AO$1006:AP1006),$AO$1006:$BQ$1006,0))&gt;=100000), " ",IF(INDEX($AO$2:$BQ$1001,MATCH(ROWS($AH$2:AH990),$AH$2:$AH$1001,0),MATCH(COLUMNS($AO$1006:AP1006),$AO$1006:$BQ$1006,0)), HYPERLINK("#",""), HYPERLINK(CONCATENATE("#Metadata!", ADDRESS(INDEX($AJ$2:$AJ$1001,MATCH(ROWS($AH$2:AH990),$AH$2:$AH$1001,0),0), INDEX($AO$1004:$BQ$1004,1,MATCH(COLUMNS($AO$1006:AP1006),$AO$1006:$BQ$1006,0)))),"Fix")))</f>
        <v>#N/A</v>
      </c>
      <c r="D990" s="5" t="e">
        <f ca="1">IF(OR(INDEX($AI$2:$AI$1001,MATCH(ROWS($AH$2:AH990),$AH$2:$AH$1001,0),1)&gt;=100000,INDEX($AO$1005:$BQ$1005,1,MATCH(COLUMNS($AO$1006:AQ1006),$AO$1006:$BQ$1006,0))&gt;=100000), " ",IF(INDEX($AO$2:$BQ$1001,MATCH(ROWS($AH$2:AH990),$AH$2:$AH$1001,0),MATCH(COLUMNS($AO$1006:AQ1006),$AO$1006:$BQ$1006,0)), HYPERLINK("#",""), HYPERLINK(CONCATENATE("#Metadata!", ADDRESS(INDEX($AJ$2:$AJ$1001,MATCH(ROWS($AH$2:AH990),$AH$2:$AH$1001,0),0), INDEX($AO$1004:$BQ$1004,1,MATCH(COLUMNS($AO$1006:AQ1006),$AO$1006:$BQ$1006,0)))),"Fix")))</f>
        <v>#N/A</v>
      </c>
      <c r="E990" s="5" t="e">
        <f ca="1">IF(OR(INDEX($AI$2:$AI$1001,MATCH(ROWS($AH$2:AH990),$AH$2:$AH$1001,0),1)&gt;=100000,INDEX($AO$1005:$BQ$1005,1,MATCH(COLUMNS($AO$1006:AR1006),$AO$1006:$BQ$1006,0))&gt;=100000), " ",IF(INDEX($AO$2:$BQ$1001,MATCH(ROWS($AH$2:AH990),$AH$2:$AH$1001,0),MATCH(COLUMNS($AO$1006:AR1006),$AO$1006:$BQ$1006,0)), HYPERLINK("#",""), HYPERLINK(CONCATENATE("#Metadata!", ADDRESS(INDEX($AJ$2:$AJ$1001,MATCH(ROWS($AH$2:AH990),$AH$2:$AH$1001,0),0), INDEX($AO$1004:$BQ$1004,1,MATCH(COLUMNS($AO$1006:AR1006),$AO$1006:$BQ$1006,0)))),"Fix")))</f>
        <v>#N/A</v>
      </c>
      <c r="F990" s="5" t="e">
        <f ca="1">IF(OR(INDEX($AI$2:$AI$1001,MATCH(ROWS($AH$2:AH990),$AH$2:$AH$1001,0),1)&gt;=100000,INDEX($AO$1005:$BQ$1005,1,MATCH(COLUMNS($AO$1006:AS1006),$AO$1006:$BQ$1006,0))&gt;=100000), " ",IF(INDEX($AO$2:$BQ$1001,MATCH(ROWS($AH$2:AH990),$AH$2:$AH$1001,0),MATCH(COLUMNS($AO$1006:AS1006),$AO$1006:$BQ$1006,0)), HYPERLINK("#",""), HYPERLINK(CONCATENATE("#Metadata!", ADDRESS(INDEX($AJ$2:$AJ$1001,MATCH(ROWS($AH$2:AH990),$AH$2:$AH$1001,0),0), INDEX($AO$1004:$BQ$1004,1,MATCH(COLUMNS($AO$1006:AS1006),$AO$1006:$BQ$1006,0)))),"Fix")))</f>
        <v>#N/A</v>
      </c>
      <c r="G990" s="5" t="e">
        <f ca="1">IF(OR(INDEX($AI$2:$AI$1001,MATCH(ROWS($AH$2:AH990),$AH$2:$AH$1001,0),1)&gt;=100000,INDEX($AO$1005:$BQ$1005,1,MATCH(COLUMNS($AO$1006:AT1006),$AO$1006:$BQ$1006,0))&gt;=100000), " ",IF(INDEX($AO$2:$BQ$1001,MATCH(ROWS($AH$2:AH990),$AH$2:$AH$1001,0),MATCH(COLUMNS($AO$1006:AT1006),$AO$1006:$BQ$1006,0)), HYPERLINK("#",""), HYPERLINK(CONCATENATE("#Metadata!", ADDRESS(INDEX($AJ$2:$AJ$1001,MATCH(ROWS($AH$2:AH990),$AH$2:$AH$1001,0),0), INDEX($AO$1004:$BQ$1004,1,MATCH(COLUMNS($AO$1006:AT1006),$AO$1006:$BQ$1006,0)))),"Fix")))</f>
        <v>#N/A</v>
      </c>
      <c r="H990" s="5" t="e">
        <f ca="1">IF(OR(INDEX($AI$2:$AI$1001,MATCH(ROWS($AH$2:AH990),$AH$2:$AH$1001,0),1)&gt;=100000,INDEX($AO$1005:$BQ$1005,1,MATCH(COLUMNS($AO$1006:AU1006),$AO$1006:$BQ$1006,0))&gt;=100000), " ",IF(INDEX($AO$2:$BQ$1001,MATCH(ROWS($AH$2:AH990),$AH$2:$AH$1001,0),MATCH(COLUMNS($AO$1006:AU1006),$AO$1006:$BQ$1006,0)), HYPERLINK("#",""), HYPERLINK(CONCATENATE("#Metadata!", ADDRESS(INDEX($AJ$2:$AJ$1001,MATCH(ROWS($AH$2:AH990),$AH$2:$AH$1001,0),0), INDEX($AO$1004:$BQ$1004,1,MATCH(COLUMNS($AO$1006:AU1006),$AO$1006:$BQ$1006,0)))),"Fix")))</f>
        <v>#N/A</v>
      </c>
      <c r="I990" s="5" t="e">
        <f ca="1">IF(OR(INDEX($AI$2:$AI$1001,MATCH(ROWS($AH$2:AH990),$AH$2:$AH$1001,0),1)&gt;=100000,INDEX($AO$1005:$BQ$1005,1,MATCH(COLUMNS($AO$1006:AV1006),$AO$1006:$BQ$1006,0))&gt;=100000), " ",IF(INDEX($AO$2:$BQ$1001,MATCH(ROWS($AH$2:AH990),$AH$2:$AH$1001,0),MATCH(COLUMNS($AO$1006:AV1006),$AO$1006:$BQ$1006,0)), HYPERLINK("#",""), HYPERLINK(CONCATENATE("#Metadata!", ADDRESS(INDEX($AJ$2:$AJ$1001,MATCH(ROWS($AH$2:AH990),$AH$2:$AH$1001,0),0), INDEX($AO$1004:$BQ$1004,1,MATCH(COLUMNS($AO$1006:AV1006),$AO$1006:$BQ$1006,0)))),"Fix")))</f>
        <v>#N/A</v>
      </c>
      <c r="J990" s="5" t="e">
        <f ca="1">IF(OR(INDEX($AI$2:$AI$1001,MATCH(ROWS($AH$2:AH990),$AH$2:$AH$1001,0),1)&gt;=100000,INDEX($AO$1005:$BQ$1005,1,MATCH(COLUMNS($AO$1006:AW1006),$AO$1006:$BQ$1006,0))&gt;=100000), " ",IF(INDEX($AO$2:$BQ$1001,MATCH(ROWS($AH$2:AH990),$AH$2:$AH$1001,0),MATCH(COLUMNS($AO$1006:AW1006),$AO$1006:$BQ$1006,0)), HYPERLINK("#",""), HYPERLINK(CONCATENATE("#Metadata!", ADDRESS(INDEX($AJ$2:$AJ$1001,MATCH(ROWS($AH$2:AH990),$AH$2:$AH$1001,0),0), INDEX($AO$1004:$BQ$1004,1,MATCH(COLUMNS($AO$1006:AW1006),$AO$1006:$BQ$1006,0)))),"Fix")))</f>
        <v>#N/A</v>
      </c>
      <c r="K990" s="5" t="e">
        <f ca="1">IF(OR(INDEX($AI$2:$AI$1001,MATCH(ROWS($AH$2:AH990),$AH$2:$AH$1001,0),1)&gt;=100000,INDEX($AO$1005:$BQ$1005,1,MATCH(COLUMNS($AO$1006:AX1006),$AO$1006:$BQ$1006,0))&gt;=100000), " ",IF(INDEX($AO$2:$BQ$1001,MATCH(ROWS($AH$2:AH990),$AH$2:$AH$1001,0),MATCH(COLUMNS($AO$1006:AX1006),$AO$1006:$BQ$1006,0)), HYPERLINK("#",""), HYPERLINK(CONCATENATE("#Metadata!", ADDRESS(INDEX($AJ$2:$AJ$1001,MATCH(ROWS($AH$2:AH990),$AH$2:$AH$1001,0),0), INDEX($AO$1004:$BQ$1004,1,MATCH(COLUMNS($AO$1006:AX1006),$AO$1006:$BQ$1006,0)))),"Fix")))</f>
        <v>#N/A</v>
      </c>
      <c r="L990" s="5" t="e">
        <f ca="1">IF(OR(INDEX($AI$2:$AI$1001,MATCH(ROWS($AH$2:AH990),$AH$2:$AH$1001,0),1)&gt;=100000,INDEX($AO$1005:$BQ$1005,1,MATCH(COLUMNS($AO$1006:AY1006),$AO$1006:$BQ$1006,0))&gt;=100000), " ",IF(INDEX($AO$2:$BQ$1001,MATCH(ROWS($AH$2:AH990),$AH$2:$AH$1001,0),MATCH(COLUMNS($AO$1006:AY1006),$AO$1006:$BQ$1006,0)), HYPERLINK("#",""), HYPERLINK(CONCATENATE("#Metadata!", ADDRESS(INDEX($AJ$2:$AJ$1001,MATCH(ROWS($AH$2:AH990),$AH$2:$AH$1001,0),0), INDEX($AO$1004:$BQ$1004,1,MATCH(COLUMNS($AO$1006:AY1006),$AO$1006:$BQ$1006,0)))),"Fix")))</f>
        <v>#N/A</v>
      </c>
      <c r="M990" s="5" t="e">
        <f ca="1">IF(OR(INDEX($AI$2:$AI$1001,MATCH(ROWS($AH$2:AH990),$AH$2:$AH$1001,0),1)&gt;=100000,INDEX($AO$1005:$BQ$1005,1,MATCH(COLUMNS($AO$1006:AZ1006),$AO$1006:$BQ$1006,0))&gt;=100000), " ",IF(INDEX($AO$2:$BQ$1001,MATCH(ROWS($AH$2:AH990),$AH$2:$AH$1001,0),MATCH(COLUMNS($AO$1006:AZ1006),$AO$1006:$BQ$1006,0)), HYPERLINK("#",""), HYPERLINK(CONCATENATE("#Metadata!", ADDRESS(INDEX($AJ$2:$AJ$1001,MATCH(ROWS($AH$2:AH990),$AH$2:$AH$1001,0),0), INDEX($AO$1004:$BQ$1004,1,MATCH(COLUMNS($AO$1006:AZ1006),$AO$1006:$BQ$1006,0)))),"Fix")))</f>
        <v>#N/A</v>
      </c>
      <c r="N990" s="5" t="e">
        <f ca="1">IF(OR(INDEX($AI$2:$AI$1001,MATCH(ROWS($AH$2:AH990),$AH$2:$AH$1001,0),1)&gt;=100000,INDEX($AO$1005:$BQ$1005,1,MATCH(COLUMNS($AO$1006:BA1006),$AO$1006:$BQ$1006,0))&gt;=100000), " ",IF(INDEX($AO$2:$BQ$1001,MATCH(ROWS($AH$2:AH990),$AH$2:$AH$1001,0),MATCH(COLUMNS($AO$1006:BA1006),$AO$1006:$BQ$1006,0)), HYPERLINK("#",""), HYPERLINK(CONCATENATE("#Metadata!", ADDRESS(INDEX($AJ$2:$AJ$1001,MATCH(ROWS($AH$2:AH990),$AH$2:$AH$1001,0),0), INDEX($AO$1004:$BQ$1004,1,MATCH(COLUMNS($AO$1006:BA1006),$AO$1006:$BQ$1006,0)))),"Fix")))</f>
        <v>#N/A</v>
      </c>
      <c r="O990" s="5" t="e">
        <f ca="1">IF(OR(INDEX($AI$2:$AI$1001,MATCH(ROWS($AH$2:AH990),$AH$2:$AH$1001,0),1)&gt;=100000,INDEX($AO$1005:$BQ$1005,1,MATCH(COLUMNS($AO$1006:BB1006),$AO$1006:$BQ$1006,0))&gt;=100000), " ",IF(INDEX($AO$2:$BQ$1001,MATCH(ROWS($AH$2:AH990),$AH$2:$AH$1001,0),MATCH(COLUMNS($AO$1006:BB1006),$AO$1006:$BQ$1006,0)), HYPERLINK("#",""), HYPERLINK(CONCATENATE("#Metadata!", ADDRESS(INDEX($AJ$2:$AJ$1001,MATCH(ROWS($AH$2:AH990),$AH$2:$AH$1001,0),0), INDEX($AO$1004:$BQ$1004,1,MATCH(COLUMNS($AO$1006:BB1006),$AO$1006:$BQ$1006,0)))),"Fix")))</f>
        <v>#N/A</v>
      </c>
      <c r="P990" s="5" t="e">
        <f ca="1">IF(OR(INDEX($AI$2:$AI$1001,MATCH(ROWS($AH$2:AH990),$AH$2:$AH$1001,0),1)&gt;=100000,INDEX($AO$1005:$BQ$1005,1,MATCH(COLUMNS($AO$1006:BC1006),$AO$1006:$BQ$1006,0))&gt;=100000), " ",IF(INDEX($AO$2:$BQ$1001,MATCH(ROWS($AH$2:AH990),$AH$2:$AH$1001,0),MATCH(COLUMNS($AO$1006:BC1006),$AO$1006:$BQ$1006,0)), HYPERLINK("#",""), HYPERLINK(CONCATENATE("#Metadata!", ADDRESS(INDEX($AJ$2:$AJ$1001,MATCH(ROWS($AH$2:AH990),$AH$2:$AH$1001,0),0), INDEX($AO$1004:$BQ$1004,1,MATCH(COLUMNS($AO$1006:BC1006),$AO$1006:$BQ$1006,0)))),"Fix")))</f>
        <v>#N/A</v>
      </c>
      <c r="Q990" s="5" t="e">
        <f ca="1">IF(OR(INDEX($AI$2:$AI$1001,MATCH(ROWS($AH$2:AH990),$AH$2:$AH$1001,0),1)&gt;=100000,INDEX($AO$1005:$BQ$1005,1,MATCH(COLUMNS($AO$1006:BD1006),$AO$1006:$BQ$1006,0))&gt;=100000), " ",IF(INDEX($AO$2:$BQ$1001,MATCH(ROWS($AH$2:AH990),$AH$2:$AH$1001,0),MATCH(COLUMNS($AO$1006:BD1006),$AO$1006:$BQ$1006,0)), HYPERLINK("#",""), HYPERLINK(CONCATENATE("#Metadata!", ADDRESS(INDEX($AJ$2:$AJ$1001,MATCH(ROWS($AH$2:AH990),$AH$2:$AH$1001,0),0), INDEX($AO$1004:$BQ$1004,1,MATCH(COLUMNS($AO$1006:BD1006),$AO$1006:$BQ$1006,0)))),"Fix")))</f>
        <v>#N/A</v>
      </c>
      <c r="R990" s="5" t="e">
        <f ca="1">IF(OR(INDEX($AI$2:$AI$1001,MATCH(ROWS($AH$2:AH990),$AH$2:$AH$1001,0),1)&gt;=100000,INDEX($AO$1005:$BQ$1005,1,MATCH(COLUMNS($AO$1006:BE1006),$AO$1006:$BQ$1006,0))&gt;=100000), " ",IF(INDEX($AO$2:$BQ$1001,MATCH(ROWS($AH$2:AH990),$AH$2:$AH$1001,0),MATCH(COLUMNS($AO$1006:BE1006),$AO$1006:$BQ$1006,0)), HYPERLINK("#",""), HYPERLINK(CONCATENATE("#Metadata!", ADDRESS(INDEX($AJ$2:$AJ$1001,MATCH(ROWS($AH$2:AH990),$AH$2:$AH$1001,0),0), INDEX($AO$1004:$BQ$1004,1,MATCH(COLUMNS($AO$1006:BE1006),$AO$1006:$BQ$1006,0)))),"Fix")))</f>
        <v>#N/A</v>
      </c>
      <c r="S990" s="5" t="e">
        <f ca="1">IF(OR(INDEX($AI$2:$AI$1001,MATCH(ROWS($AH$2:AH990),$AH$2:$AH$1001,0),1)&gt;=100000,INDEX($AO$1005:$BQ$1005,1,MATCH(COLUMNS($AO$1006:BF1006),$AO$1006:$BQ$1006,0))&gt;=100000), " ",IF(INDEX($AO$2:$BQ$1001,MATCH(ROWS($AH$2:AH990),$AH$2:$AH$1001,0),MATCH(COLUMNS($AO$1006:BF1006),$AO$1006:$BQ$1006,0)), HYPERLINK("#",""), HYPERLINK(CONCATENATE("#Metadata!", ADDRESS(INDEX($AJ$2:$AJ$1001,MATCH(ROWS($AH$2:AH990),$AH$2:$AH$1001,0),0), INDEX($AO$1004:$BQ$1004,1,MATCH(COLUMNS($AO$1006:BF1006),$AO$1006:$BQ$1006,0)))),"Fix")))</f>
        <v>#N/A</v>
      </c>
      <c r="T990" s="5" t="e">
        <f ca="1">IF(OR(INDEX($AI$2:$AI$1001,MATCH(ROWS($AH$2:AH990),$AH$2:$AH$1001,0),1)&gt;=100000,INDEX($AO$1005:$BQ$1005,1,MATCH(COLUMNS($AO$1006:BG1006),$AO$1006:$BQ$1006,0))&gt;=100000), " ",IF(INDEX($AO$2:$BQ$1001,MATCH(ROWS($AH$2:AH990),$AH$2:$AH$1001,0),MATCH(COLUMNS($AO$1006:BG1006),$AO$1006:$BQ$1006,0)), HYPERLINK("#",""), HYPERLINK(CONCATENATE("#Metadata!", ADDRESS(INDEX($AJ$2:$AJ$1001,MATCH(ROWS($AH$2:AH990),$AH$2:$AH$1001,0),0), INDEX($AO$1004:$BQ$1004,1,MATCH(COLUMNS($AO$1006:BG1006),$AO$1006:$BQ$1006,0)))),"Fix")))</f>
        <v>#N/A</v>
      </c>
      <c r="U990" s="5" t="e">
        <f ca="1">IF(OR(INDEX($AI$2:$AI$1001,MATCH(ROWS($AH$2:AH990),$AH$2:$AH$1001,0),1)&gt;=100000,INDEX($AO$1005:$BQ$1005,1,MATCH(COLUMNS($AO$1006:BH1006),$AO$1006:$BQ$1006,0))&gt;=100000), " ",IF(INDEX($AO$2:$BQ$1001,MATCH(ROWS($AH$2:AH990),$AH$2:$AH$1001,0),MATCH(COLUMNS($AO$1006:BH1006),$AO$1006:$BQ$1006,0)), HYPERLINK("#",""), HYPERLINK(CONCATENATE("#Metadata!", ADDRESS(INDEX($AJ$2:$AJ$1001,MATCH(ROWS($AH$2:AH990),$AH$2:$AH$1001,0),0), INDEX($AO$1004:$BQ$1004,1,MATCH(COLUMNS($AO$1006:BH1006),$AO$1006:$BQ$1006,0)))),"Fix")))</f>
        <v>#N/A</v>
      </c>
      <c r="V990" s="5" t="e">
        <f ca="1">IF(OR(INDEX($AI$2:$AI$1001,MATCH(ROWS($AH$2:AH990),$AH$2:$AH$1001,0),1)&gt;=100000,INDEX($AO$1005:$BQ$1005,1,MATCH(COLUMNS($AO$1006:BI1006),$AO$1006:$BQ$1006,0))&gt;=100000), " ",IF(INDEX($AO$2:$BQ$1001,MATCH(ROWS($AH$2:AH990),$AH$2:$AH$1001,0),MATCH(COLUMNS($AO$1006:BI1006),$AO$1006:$BQ$1006,0)), HYPERLINK("#",""), HYPERLINK(CONCATENATE("#Metadata!", ADDRESS(INDEX($AJ$2:$AJ$1001,MATCH(ROWS($AH$2:AH990),$AH$2:$AH$1001,0),0), INDEX($AO$1004:$BQ$1004,1,MATCH(COLUMNS($AO$1006:BI1006),$AO$1006:$BQ$1006,0)))),"Fix")))</f>
        <v>#N/A</v>
      </c>
      <c r="W990" s="5" t="e">
        <f ca="1">IF(OR(INDEX($AI$2:$AI$1001,MATCH(ROWS($AH$2:AH990),$AH$2:$AH$1001,0),1)&gt;=100000,INDEX($AO$1005:$BQ$1005,1,MATCH(COLUMNS($AO$1006:BJ1006),$AO$1006:$BQ$1006,0))&gt;=100000), " ",IF(INDEX($AO$2:$BQ$1001,MATCH(ROWS($AH$2:AH990),$AH$2:$AH$1001,0),MATCH(COLUMNS($AO$1006:BJ1006),$AO$1006:$BQ$1006,0)), HYPERLINK("#",""), HYPERLINK(CONCATENATE("#Metadata!", ADDRESS(INDEX($AJ$2:$AJ$1001,MATCH(ROWS($AH$2:AH990),$AH$2:$AH$1001,0),0), INDEX($AO$1004:$BQ$1004,1,MATCH(COLUMNS($AO$1006:BJ1006),$AO$1006:$BQ$1006,0)))),"Fix")))</f>
        <v>#N/A</v>
      </c>
      <c r="X990" s="5" t="e">
        <f ca="1">IF(OR(INDEX($AI$2:$AI$1001,MATCH(ROWS($AH$2:AH990),$AH$2:$AH$1001,0),1)&gt;=100000,INDEX($AO$1005:$BQ$1005,1,MATCH(COLUMNS($AO$1006:BK1006),$AO$1006:$BQ$1006,0))&gt;=100000), " ",IF(INDEX($AO$2:$BQ$1001,MATCH(ROWS($AH$2:AH990),$AH$2:$AH$1001,0),MATCH(COLUMNS($AO$1006:BK1006),$AO$1006:$BQ$1006,0)), HYPERLINK("#",""), HYPERLINK(CONCATENATE("#Metadata!", ADDRESS(INDEX($AJ$2:$AJ$1001,MATCH(ROWS($AH$2:AH990),$AH$2:$AH$1001,0),0), INDEX($AO$1004:$BQ$1004,1,MATCH(COLUMNS($AO$1006:BK1006),$AO$1006:$BQ$1006,0)))),"Fix")))</f>
        <v>#N/A</v>
      </c>
      <c r="Y990" s="5" t="e">
        <f ca="1">IF(OR(INDEX($AI$2:$AI$1001,MATCH(ROWS($AH$2:AH990),$AH$2:$AH$1001,0),1)&gt;=100000,INDEX($AO$1005:$BQ$1005,1,MATCH(COLUMNS($AO$1006:BL1006),$AO$1006:$BQ$1006,0))&gt;=100000), " ",IF(INDEX($AO$2:$BQ$1001,MATCH(ROWS($AH$2:AH990),$AH$2:$AH$1001,0),MATCH(COLUMNS($AO$1006:BL1006),$AO$1006:$BQ$1006,0)), HYPERLINK("#",""), HYPERLINK(CONCATENATE("#Metadata!", ADDRESS(INDEX($AJ$2:$AJ$1001,MATCH(ROWS($AH$2:AH990),$AH$2:$AH$1001,0),0), INDEX($AO$1004:$BQ$1004,1,MATCH(COLUMNS($AO$1006:BL1006),$AO$1006:$BQ$1006,0)))),"Fix")))</f>
        <v>#N/A</v>
      </c>
      <c r="Z990" s="5" t="e">
        <f ca="1">IF(OR(INDEX($AI$2:$AI$1001,MATCH(ROWS($AH$2:AH990),$AH$2:$AH$1001,0),1)&gt;=100000,INDEX($AO$1005:$BQ$1005,1,MATCH(COLUMNS($AO$1006:BM1006),$AO$1006:$BQ$1006,0))&gt;=100000), " ",IF(INDEX($AO$2:$BQ$1001,MATCH(ROWS($AH$2:AH990),$AH$2:$AH$1001,0),MATCH(COLUMNS($AO$1006:BM1006),$AO$1006:$BQ$1006,0)), HYPERLINK("#",""), HYPERLINK(CONCATENATE("#Metadata!", ADDRESS(INDEX($AJ$2:$AJ$1001,MATCH(ROWS($AH$2:AH990),$AH$2:$AH$1001,0),0), INDEX($AO$1004:$BQ$1004,1,MATCH(COLUMNS($AO$1006:BM1006),$AO$1006:$BQ$1006,0)))),"Fix")))</f>
        <v>#N/A</v>
      </c>
      <c r="AA990" s="5" t="e">
        <f ca="1">IF(OR(INDEX($AI$2:$AI$1001,MATCH(ROWS($AH$2:AH990),$AH$2:$AH$1001,0),1)&gt;=100000,INDEX($AO$1005:$BQ$1005,1,MATCH(COLUMNS($AO$1006:BN1006),$AO$1006:$BQ$1006,0))&gt;=100000), " ",IF(INDEX($AO$2:$BQ$1001,MATCH(ROWS($AH$2:AH990),$AH$2:$AH$1001,0),MATCH(COLUMNS($AO$1006:BN1006),$AO$1006:$BQ$1006,0)), HYPERLINK("#",""), HYPERLINK(CONCATENATE("#Metadata!", ADDRESS(INDEX($AJ$2:$AJ$1001,MATCH(ROWS($AH$2:AH990),$AH$2:$AH$1001,0),0), INDEX($AO$1004:$BQ$1004,1,MATCH(COLUMNS($AO$1006:BN1006),$AO$1006:$BQ$1006,0)))),"Fix")))</f>
        <v>#N/A</v>
      </c>
      <c r="AB990" s="5" t="e">
        <f ca="1">IF(OR(INDEX($AI$2:$AI$1001,MATCH(ROWS($AH$2:AH990),$AH$2:$AH$1001,0),1)&gt;=100000,INDEX($AO$1005:$BQ$1005,1,MATCH(COLUMNS($AO$1006:BO1006),$AO$1006:$BQ$1006,0))&gt;=100000), " ",IF(INDEX($AO$2:$BQ$1001,MATCH(ROWS($AH$2:AH990),$AH$2:$AH$1001,0),MATCH(COLUMNS($AO$1006:BO1006),$AO$1006:$BQ$1006,0)), HYPERLINK("#",""), HYPERLINK(CONCATENATE("#Metadata!", ADDRESS(INDEX($AJ$2:$AJ$1001,MATCH(ROWS($AH$2:AH990),$AH$2:$AH$1001,0),0), INDEX($AO$1004:$BQ$1004,1,MATCH(COLUMNS($AO$1006:BO1006),$AO$1006:$BQ$1006,0)))),"Fix")))</f>
        <v>#N/A</v>
      </c>
      <c r="AC990" s="5" t="e">
        <f ca="1">IF(OR(INDEX($AI$2:$AI$1001,MATCH(ROWS($AH$2:AH990),$AH$2:$AH$1001,0),1)&gt;=100000,INDEX($AO$1005:$BQ$1005,1,MATCH(COLUMNS($AO$1006:BP1006),$AO$1006:$BQ$1006,0))&gt;=100000), " ",IF(INDEX($AO$2:$BQ$1001,MATCH(ROWS($AH$2:AH990),$AH$2:$AH$1001,0),MATCH(COLUMNS($AO$1006:BP1006),$AO$1006:$BQ$1006,0)), HYPERLINK("#",""), HYPERLINK(CONCATENATE("#Metadata!", ADDRESS(INDEX($AJ$2:$AJ$1001,MATCH(ROWS($AH$2:AH990),$AH$2:$AH$1001,0),0), INDEX($AO$1004:$BQ$1004,1,MATCH(COLUMNS($AO$1006:BP1006),$AO$1006:$BQ$1006,0)))),"Fix")))</f>
        <v>#N/A</v>
      </c>
      <c r="AD990" s="5" t="e">
        <f ca="1">IF(OR(INDEX($AI$2:$AI$1001,MATCH(ROWS($AH$2:AH990),$AH$2:$AH$1001,0),1)&gt;=100000,INDEX($AO$1005:$BQ$1005,1,MATCH(COLUMNS($AO$1006:BQ1006),$AO$1006:$BQ$1006,0))&gt;=100000), " ",IF(INDEX($AO$2:$BQ$1001,MATCH(ROWS($AH$2:AH990),$AH$2:$AH$1001,0),MATCH(COLUMNS($AO$1006:BQ1006),$AO$1006:$BQ$1006,0)), HYPERLINK("#",""), HYPERLINK(CONCATENATE("#Metadata!", ADDRESS(INDEX($AJ$2:$AJ$1001,MATCH(ROWS($AH$2:AH990),$AH$2:$AH$1001,0),0), INDEX($AO$1004:$BQ$1004,1,MATCH(COLUMNS($AO$1006:BQ1006),$AO$1006:$BQ$1006,0)))),"Fix")))</f>
        <v>#REF!</v>
      </c>
      <c r="AH990">
        <f ca="1"/>
        <v>987</v>
      </c>
      <c r="AI990">
        <v>100990</v>
      </c>
      <c r="AJ990">
        <v>990</v>
      </c>
      <c r="AK990" t="b">
        <f t="shared" si="15"/>
        <v>1</v>
      </c>
      <c r="AL990" t="b">
        <f>COUNTBLANK(Metadata!B990:AD990)=COLUMNS(Metadata!B990:AD990)</f>
        <v>1</v>
      </c>
      <c r="AM990" t="str">
        <v/>
      </c>
      <c r="AO990" t="b">
        <f ca="1">AND(IF(Metadata!B990="",FALSE,TRUE),COUNTIF(Metadata!B:B, Metadata!B990) = 1,NOT(ISERROR(SUMPRODUCT(SEARCH(MID(Metadata!B990,ROW(INDIRECT("1:"&amp;LEN(Metadata!B990))), 1),"0123456789abcdefghijklmnopqrstuvwxyzABCDEFGHIJKLMNOPQRSTUVWXYZ.")))))</f>
        <v>0</v>
      </c>
      <c r="AP990" t="b">
        <f>IF(Metadata!C990="",FALSE,TRUE)</f>
        <v>0</v>
      </c>
      <c r="AQ990" t="b">
        <f>IF(Metadata!D990="",FALSE,TRUE)</f>
        <v>0</v>
      </c>
      <c r="AR990" t="b">
        <f ca="1">OR(AND(IF(Metadata!E990="",FALSE,TRUE),OR(EXACT(Metadata!E990,"not collected"),EXACT(Metadata!E990,"not provided"),EXACT(Metadata!E990,"restricted access"))),AND(IF(Metadata!E990="",FALSE,TRUE),AND(AND(IFERROR(INT(LEFT(Metadata!E990,4))&gt;1900,FALSE),IFERROR(INT(LEFT(Metadata!E990,4))&lt;=YEAR(NOW()),FALSE)), OR(MID(Metadata!E990,5,1)="", AND(AND(MID(Metadata!E990,5,1)="-",IFERROR(INT(MID(Metadata!E990,6,1))&gt;=0,FALSE),IFERROR(INT(MID(Metadata!E990,6,1))&lt;=1,FALSE),NOT(MID(Metadata!E990,7,1)=""),IFERROR(INT(MID(Metadata!E990,6,2))&gt;=1,FALSE),IFERROR(INT(MID(Metadata!E990,6,2))&lt;=12,FALSE)), OR(MID(Metadata!E990,8,1)="", AND(AND(MID(Metadata!E990,8,1)="-",IFERROR(INT(MID(Metadata!E990,9,1))&gt;=0,FALSE),IFERROR(INT(MID(Metadata!E990,9,1))&lt;=3,FALSE),NOT(MID(Metadata!E990,10,1)=""),IFERROR(INT(MID(Metadata!E990,9,2))&gt;=1,FALSE),IFERROR(INT(MID(Metadata!E990,9,2))&lt;=31,FALSE)), OR(MID(Metadata!E990,11,1)="", AND(AND(MID(Metadata!E990,11,1)=" ",IFERROR(INT(MID(Metadata!E990,12,1))&gt;=0,FALSE),IFERROR(INT(MID(Metadata!E990,12,1))&lt;=2,FALSE),NOT(MID(Metadata!E990,13,1)=""),IFERROR(INT(MID(Metadata!E990,12,2))&gt;=0,FALSE),IFERROR(INT(MID(Metadata!E990,12,2))&lt;=23,FALSE)), OR(MID(Metadata!E990,14,1)="", AND(AND(MID(Metadata!E990,14,1)=":",IFERROR(INT(MID(Metadata!E990,15,1))&gt;=0,FALSE),IFERROR(INT(MID(Metadata!E990,15,1))&lt;=5,FALSE),NOT(MID(Metadata!E990,16,1)=""),IFERROR(INT(MID(Metadata!E990,15,2))&gt;=0,FALSE),IFERROR(INT(MID(Metadata!E990,15,2))&lt;=59,FALSE)), OR(MID(Metadata!E990,17,1)="", AND(AND(MID(Metadata!E990,17,1)=":",IFERROR(INT(MID(Metadata!E990,18,1))&gt;=0,FALSE),IFERROR(INT(MID(Metadata!E990,18,1))&lt;=5,FALSE),NOT(MID(Metadata!E990,19,1)=""),IFERROR(INT(MID(Metadata!E990,18,2))&gt;=0,FALSE),IFERROR(INT(MID(Metadata!E990,18,2))&lt;=59,FALSE)), LEN(Metadata!E990)&lt;=19)))))))))))))</f>
        <v>0</v>
      </c>
      <c r="AS990" t="b">
        <f>IF(Metadata!F990="",FALSE,TRUE)</f>
        <v>0</v>
      </c>
      <c r="AT990" t="b">
        <f>OR(AND(IF(Metadata!G990="",FALSE,TRUE),OR(EXACT(Metadata!G990,"not collected"),EXACT(Metadata!G990,"not provided"))),AND(IF(Metadata!G990="",FALSE,TRUE),OR(EXACT(Metadata!G990,"TRUE"),EXACT(Metadata!G990,"FALSE"))))</f>
        <v>0</v>
      </c>
      <c r="AU990" t="b">
        <f>OR(AND(IF(Metadata!H990="",FALSE,TRUE),OR(EXACT(Metadata!H990,"not collected"),EXACT(Metadata!H990,"not provided"),EXACT(Metadata!H990,"restricted access"))),AND(IF(Metadata!H990="",FALSE,ISNUMBER(VALUE(Metadata!H990))),Metadata!H990&gt;=-413))</f>
        <v>0</v>
      </c>
      <c r="AV990" t="b">
        <f>AND(IF(Metadata!I990="",FALSE,TRUE),EXACT(Metadata!I990,"meters"))</f>
        <v>0</v>
      </c>
      <c r="AW990" t="b">
        <f>AND(IF(Metadata!J990="",FALSE,TRUE),EXACT(Metadata!J990,"free-living"))</f>
        <v>0</v>
      </c>
      <c r="AX990" t="b">
        <f>AND(IF(Metadata!K990="",FALSE,TRUE),OR(EXACT(Metadata!K990,"saline"),EXACT(Metadata!K990,"non-saline")))</f>
        <v>0</v>
      </c>
      <c r="AY990" t="b">
        <f>AND(IF(Metadata!L990="",FALSE,TRUE),OR(EXACT(Metadata!L990,"sub-surface (non-saline)"),EXACT(Metadata!L990,"surface (non-saline)"),EXACT(Metadata!L990,"water (non-saline)"),EXACT(Metadata!L990,"soil (non-saline)"),EXACT(Metadata!L990,"aerosol (non-saline)"),EXACT(Metadata!L990,"sediment (non-saline)"),EXACT(Metadata!L990,"surface (saline)"),EXACT(Metadata!L990,"water (saline)"),EXACT(Metadata!L990,"hypersaline (saline)"),EXACT(Metadata!L990,"aerosol (saline)"),EXACT(Metadata!L990,"sediment (saline)")))</f>
        <v>0</v>
      </c>
      <c r="AZ990" t="b">
        <f>IF(Metadata!M990="",FALSE,TRUE)</f>
        <v>0</v>
      </c>
      <c r="BA990" t="b">
        <f>IF(Metadata!N990="",FALSE,TRUE)</f>
        <v>0</v>
      </c>
      <c r="BB990" t="b">
        <f>IF(Metadata!O990="",FALSE,TRUE)</f>
        <v>0</v>
      </c>
      <c r="BC990" t="b">
        <f>AND(IF(Metadata!P990="",FALSE,TRUE),OR(EXACT(Metadata!P990,"air"),EXACT(Metadata!P990,"microbial mat/biofilm"),EXACT(Metadata!P990,"misc environment"),EXACT(Metadata!P990,"sediment"),EXACT(Metadata!P990,"soil"),EXACT(Metadata!P990,"wastewater/sludge"),EXACT(Metadata!P990,"water")))</f>
        <v>0</v>
      </c>
      <c r="BD990" t="b">
        <f>IF(Metadata!Q990="",FALSE,TRUE)</f>
        <v>0</v>
      </c>
      <c r="BE990" t="b">
        <f>IF(Metadata!R990="",FALSE,TRUE)</f>
        <v>0</v>
      </c>
      <c r="BF990" t="b">
        <f>OR(AND(IF(Metadata!S990="",FALSE,TRUE),OR(EXACT(Metadata!S990,"not collected"),EXACT(Metadata!S990,"not provided"),EXACT(Metadata!S990,"restricted access"))),AND(IF(Metadata!S990="",FALSE,ISNUMBER(VALUE(Metadata!S990))),Metadata!S990&gt;=-90,Metadata!S990&lt;=90))</f>
        <v>0</v>
      </c>
      <c r="BG990" t="b">
        <f>AND(IF(Metadata!T990="",FALSE,TRUE),EXACT(Metadata!T990,"Decimal degrees"))</f>
        <v>0</v>
      </c>
      <c r="BH990" t="b">
        <f>OR(AND(IF(Metadata!U990="",FALSE,TRUE),OR(EXACT(Metadata!U990,"not applicable"),EXACT(Metadata!U990,"not collected"))),IF(Metadata!U990="",FALSE,TRUE))</f>
        <v>0</v>
      </c>
      <c r="BI990" t="b">
        <f>OR(AND(IF(Metadata!V990="",FALSE,TRUE),OR(EXACT(Metadata!V990,"not collected"),EXACT(Metadata!V990,"not provided"),EXACT(Metadata!V990,"restricted access"))),AND(IF(Metadata!V990="",FALSE,ISNUMBER(VALUE(Metadata!V990))),Metadata!V990&gt;=-180,Metadata!V990&lt;=180))</f>
        <v>0</v>
      </c>
      <c r="BJ990" t="b">
        <f>AND(IF(Metadata!W990="",FALSE,TRUE),EXACT(Metadata!W990,"Decimal degrees"))</f>
        <v>0</v>
      </c>
      <c r="BK990" t="b">
        <f>IF(Metadata!X990="",FALSE,TRUE)</f>
        <v>0</v>
      </c>
      <c r="BL990" t="b">
        <f>OR(AND(IF(Metadata!Y990="",FALSE,TRUE),OR(EXACT(Metadata!Y990,"not collected"),EXACT(Metadata!Y990,"not provided"),EXACT(Metadata!Y990,"restricted access"))),AND(IF(Metadata!Y990="",FALSE,TRUE),OR(EXACT(Metadata!Y990,"TRUE"),EXACT(Metadata!Y990,"FALSE"))))</f>
        <v>0</v>
      </c>
      <c r="BM990" t="b">
        <f>OR(AND(IF(Metadata!Z990="",FALSE,TRUE),EXACT(Metadata!Z990,"not applicable")),AND(IF(Metadata!Z990="",FALSE,TRUE),OR(EXACT(Metadata!Z990,"beer"),EXACT(Metadata!Z990,"cheese"),EXACT(Metadata!Z990,"fresh water"),EXACT(Metadata!Z990,"marine sediment"),EXACT(Metadata!Z990,"sea water"),EXACT(Metadata!Z990,"sediment"),EXACT(Metadata!Z990,"soil"),EXACT(Metadata!Z990,"waste water"))))</f>
        <v>0</v>
      </c>
      <c r="BN990" t="b">
        <f>AND(IF(Metadata!AA990="",FALSE,TRUE),EXACT(Metadata!AA990,"metagenome"))</f>
        <v>0</v>
      </c>
      <c r="BO990" t="b">
        <f>AND(IF(Metadata!AB990="",FALSE,TRUE),EXACT(Metadata!AB990,"256318"))</f>
        <v>0</v>
      </c>
      <c r="BP990" t="b">
        <f>IF(Metadata!AC990="",FALSE,TRUE)</f>
        <v>0</v>
      </c>
      <c r="BQ990" t="b">
        <f>IF(Metadata!AD990="",FALSE,TRUE)</f>
        <v>0</v>
      </c>
    </row>
    <row r="991" spans="1:69" x14ac:dyDescent="0.2">
      <c r="A991" s="4" t="e">
        <f ca="1">IF(B991=" "," ",HYPERLINK(CONCATENATE("#metadata!",ADDRESS(INDEX($AJ$2:$AJ$1001,MATCH(ROWS($AH$2:AH991),$AH$2:$AH$1001,0),0),2)),INDEX($AM$2:$AM$1001,MATCH(ROWS($AH$2:AH991),$AH$2:$AH$1001,0),0)))</f>
        <v>#N/A</v>
      </c>
      <c r="B991" s="5" t="e">
        <f ca="1">IF(OR(INDEX($AI$2:$AI$1001,MATCH(ROWS($AH$2:AH991),$AH$2:$AH$1001,0),1)&gt;=100000,INDEX($AO$1005:$BQ$1005,1,MATCH(COLUMNS($AO$1006:AO1006),$AO$1006:$BQ$1006,0))&gt;=100000), " ",IF(INDEX($AO$2:$BQ$1001,MATCH(ROWS($AH$2:AH991),$AH$2:$AH$1001,0),MATCH(COLUMNS($AO$1006:AO1006),$AO$1006:$BQ$1006,0)), HYPERLINK("#",""), HYPERLINK(CONCATENATE("#Metadata!", ADDRESS(INDEX($AJ$2:$AJ$1001,MATCH(ROWS($AH$2:AH991),$AH$2:$AH$1001,0),0), INDEX($AO$1004:$BQ$1004,1,MATCH(COLUMNS($AO$1006:AO1006),$AO$1006:$BQ$1006,0)))),"Fix")))</f>
        <v>#N/A</v>
      </c>
      <c r="C991" s="5" t="e">
        <f ca="1">IF(OR(INDEX($AI$2:$AI$1001,MATCH(ROWS($AH$2:AH991),$AH$2:$AH$1001,0),1)&gt;=100000,INDEX($AO$1005:$BQ$1005,1,MATCH(COLUMNS($AO$1006:AP1006),$AO$1006:$BQ$1006,0))&gt;=100000), " ",IF(INDEX($AO$2:$BQ$1001,MATCH(ROWS($AH$2:AH991),$AH$2:$AH$1001,0),MATCH(COLUMNS($AO$1006:AP1006),$AO$1006:$BQ$1006,0)), HYPERLINK("#",""), HYPERLINK(CONCATENATE("#Metadata!", ADDRESS(INDEX($AJ$2:$AJ$1001,MATCH(ROWS($AH$2:AH991),$AH$2:$AH$1001,0),0), INDEX($AO$1004:$BQ$1004,1,MATCH(COLUMNS($AO$1006:AP1006),$AO$1006:$BQ$1006,0)))),"Fix")))</f>
        <v>#N/A</v>
      </c>
      <c r="D991" s="5" t="e">
        <f ca="1">IF(OR(INDEX($AI$2:$AI$1001,MATCH(ROWS($AH$2:AH991),$AH$2:$AH$1001,0),1)&gt;=100000,INDEX($AO$1005:$BQ$1005,1,MATCH(COLUMNS($AO$1006:AQ1006),$AO$1006:$BQ$1006,0))&gt;=100000), " ",IF(INDEX($AO$2:$BQ$1001,MATCH(ROWS($AH$2:AH991),$AH$2:$AH$1001,0),MATCH(COLUMNS($AO$1006:AQ1006),$AO$1006:$BQ$1006,0)), HYPERLINK("#",""), HYPERLINK(CONCATENATE("#Metadata!", ADDRESS(INDEX($AJ$2:$AJ$1001,MATCH(ROWS($AH$2:AH991),$AH$2:$AH$1001,0),0), INDEX($AO$1004:$BQ$1004,1,MATCH(COLUMNS($AO$1006:AQ1006),$AO$1006:$BQ$1006,0)))),"Fix")))</f>
        <v>#N/A</v>
      </c>
      <c r="E991" s="5" t="e">
        <f ca="1">IF(OR(INDEX($AI$2:$AI$1001,MATCH(ROWS($AH$2:AH991),$AH$2:$AH$1001,0),1)&gt;=100000,INDEX($AO$1005:$BQ$1005,1,MATCH(COLUMNS($AO$1006:AR1006),$AO$1006:$BQ$1006,0))&gt;=100000), " ",IF(INDEX($AO$2:$BQ$1001,MATCH(ROWS($AH$2:AH991),$AH$2:$AH$1001,0),MATCH(COLUMNS($AO$1006:AR1006),$AO$1006:$BQ$1006,0)), HYPERLINK("#",""), HYPERLINK(CONCATENATE("#Metadata!", ADDRESS(INDEX($AJ$2:$AJ$1001,MATCH(ROWS($AH$2:AH991),$AH$2:$AH$1001,0),0), INDEX($AO$1004:$BQ$1004,1,MATCH(COLUMNS($AO$1006:AR1006),$AO$1006:$BQ$1006,0)))),"Fix")))</f>
        <v>#N/A</v>
      </c>
      <c r="F991" s="5" t="e">
        <f ca="1">IF(OR(INDEX($AI$2:$AI$1001,MATCH(ROWS($AH$2:AH991),$AH$2:$AH$1001,0),1)&gt;=100000,INDEX($AO$1005:$BQ$1005,1,MATCH(COLUMNS($AO$1006:AS1006),$AO$1006:$BQ$1006,0))&gt;=100000), " ",IF(INDEX($AO$2:$BQ$1001,MATCH(ROWS($AH$2:AH991),$AH$2:$AH$1001,0),MATCH(COLUMNS($AO$1006:AS1006),$AO$1006:$BQ$1006,0)), HYPERLINK("#",""), HYPERLINK(CONCATENATE("#Metadata!", ADDRESS(INDEX($AJ$2:$AJ$1001,MATCH(ROWS($AH$2:AH991),$AH$2:$AH$1001,0),0), INDEX($AO$1004:$BQ$1004,1,MATCH(COLUMNS($AO$1006:AS1006),$AO$1006:$BQ$1006,0)))),"Fix")))</f>
        <v>#N/A</v>
      </c>
      <c r="G991" s="5" t="e">
        <f ca="1">IF(OR(INDEX($AI$2:$AI$1001,MATCH(ROWS($AH$2:AH991),$AH$2:$AH$1001,0),1)&gt;=100000,INDEX($AO$1005:$BQ$1005,1,MATCH(COLUMNS($AO$1006:AT1006),$AO$1006:$BQ$1006,0))&gt;=100000), " ",IF(INDEX($AO$2:$BQ$1001,MATCH(ROWS($AH$2:AH991),$AH$2:$AH$1001,0),MATCH(COLUMNS($AO$1006:AT1006),$AO$1006:$BQ$1006,0)), HYPERLINK("#",""), HYPERLINK(CONCATENATE("#Metadata!", ADDRESS(INDEX($AJ$2:$AJ$1001,MATCH(ROWS($AH$2:AH991),$AH$2:$AH$1001,0),0), INDEX($AO$1004:$BQ$1004,1,MATCH(COLUMNS($AO$1006:AT1006),$AO$1006:$BQ$1006,0)))),"Fix")))</f>
        <v>#N/A</v>
      </c>
      <c r="H991" s="5" t="e">
        <f ca="1">IF(OR(INDEX($AI$2:$AI$1001,MATCH(ROWS($AH$2:AH991),$AH$2:$AH$1001,0),1)&gt;=100000,INDEX($AO$1005:$BQ$1005,1,MATCH(COLUMNS($AO$1006:AU1006),$AO$1006:$BQ$1006,0))&gt;=100000), " ",IF(INDEX($AO$2:$BQ$1001,MATCH(ROWS($AH$2:AH991),$AH$2:$AH$1001,0),MATCH(COLUMNS($AO$1006:AU1006),$AO$1006:$BQ$1006,0)), HYPERLINK("#",""), HYPERLINK(CONCATENATE("#Metadata!", ADDRESS(INDEX($AJ$2:$AJ$1001,MATCH(ROWS($AH$2:AH991),$AH$2:$AH$1001,0),0), INDEX($AO$1004:$BQ$1004,1,MATCH(COLUMNS($AO$1006:AU1006),$AO$1006:$BQ$1006,0)))),"Fix")))</f>
        <v>#N/A</v>
      </c>
      <c r="I991" s="5" t="e">
        <f ca="1">IF(OR(INDEX($AI$2:$AI$1001,MATCH(ROWS($AH$2:AH991),$AH$2:$AH$1001,0),1)&gt;=100000,INDEX($AO$1005:$BQ$1005,1,MATCH(COLUMNS($AO$1006:AV1006),$AO$1006:$BQ$1006,0))&gt;=100000), " ",IF(INDEX($AO$2:$BQ$1001,MATCH(ROWS($AH$2:AH991),$AH$2:$AH$1001,0),MATCH(COLUMNS($AO$1006:AV1006),$AO$1006:$BQ$1006,0)), HYPERLINK("#",""), HYPERLINK(CONCATENATE("#Metadata!", ADDRESS(INDEX($AJ$2:$AJ$1001,MATCH(ROWS($AH$2:AH991),$AH$2:$AH$1001,0),0), INDEX($AO$1004:$BQ$1004,1,MATCH(COLUMNS($AO$1006:AV1006),$AO$1006:$BQ$1006,0)))),"Fix")))</f>
        <v>#N/A</v>
      </c>
      <c r="J991" s="5" t="e">
        <f ca="1">IF(OR(INDEX($AI$2:$AI$1001,MATCH(ROWS($AH$2:AH991),$AH$2:$AH$1001,0),1)&gt;=100000,INDEX($AO$1005:$BQ$1005,1,MATCH(COLUMNS($AO$1006:AW1006),$AO$1006:$BQ$1006,0))&gt;=100000), " ",IF(INDEX($AO$2:$BQ$1001,MATCH(ROWS($AH$2:AH991),$AH$2:$AH$1001,0),MATCH(COLUMNS($AO$1006:AW1006),$AO$1006:$BQ$1006,0)), HYPERLINK("#",""), HYPERLINK(CONCATENATE("#Metadata!", ADDRESS(INDEX($AJ$2:$AJ$1001,MATCH(ROWS($AH$2:AH991),$AH$2:$AH$1001,0),0), INDEX($AO$1004:$BQ$1004,1,MATCH(COLUMNS($AO$1006:AW1006),$AO$1006:$BQ$1006,0)))),"Fix")))</f>
        <v>#N/A</v>
      </c>
      <c r="K991" s="5" t="e">
        <f ca="1">IF(OR(INDEX($AI$2:$AI$1001,MATCH(ROWS($AH$2:AH991),$AH$2:$AH$1001,0),1)&gt;=100000,INDEX($AO$1005:$BQ$1005,1,MATCH(COLUMNS($AO$1006:AX1006),$AO$1006:$BQ$1006,0))&gt;=100000), " ",IF(INDEX($AO$2:$BQ$1001,MATCH(ROWS($AH$2:AH991),$AH$2:$AH$1001,0),MATCH(COLUMNS($AO$1006:AX1006),$AO$1006:$BQ$1006,0)), HYPERLINK("#",""), HYPERLINK(CONCATENATE("#Metadata!", ADDRESS(INDEX($AJ$2:$AJ$1001,MATCH(ROWS($AH$2:AH991),$AH$2:$AH$1001,0),0), INDEX($AO$1004:$BQ$1004,1,MATCH(COLUMNS($AO$1006:AX1006),$AO$1006:$BQ$1006,0)))),"Fix")))</f>
        <v>#N/A</v>
      </c>
      <c r="L991" s="5" t="e">
        <f ca="1">IF(OR(INDEX($AI$2:$AI$1001,MATCH(ROWS($AH$2:AH991),$AH$2:$AH$1001,0),1)&gt;=100000,INDEX($AO$1005:$BQ$1005,1,MATCH(COLUMNS($AO$1006:AY1006),$AO$1006:$BQ$1006,0))&gt;=100000), " ",IF(INDEX($AO$2:$BQ$1001,MATCH(ROWS($AH$2:AH991),$AH$2:$AH$1001,0),MATCH(COLUMNS($AO$1006:AY1006),$AO$1006:$BQ$1006,0)), HYPERLINK("#",""), HYPERLINK(CONCATENATE("#Metadata!", ADDRESS(INDEX($AJ$2:$AJ$1001,MATCH(ROWS($AH$2:AH991),$AH$2:$AH$1001,0),0), INDEX($AO$1004:$BQ$1004,1,MATCH(COLUMNS($AO$1006:AY1006),$AO$1006:$BQ$1006,0)))),"Fix")))</f>
        <v>#N/A</v>
      </c>
      <c r="M991" s="5" t="e">
        <f ca="1">IF(OR(INDEX($AI$2:$AI$1001,MATCH(ROWS($AH$2:AH991),$AH$2:$AH$1001,0),1)&gt;=100000,INDEX($AO$1005:$BQ$1005,1,MATCH(COLUMNS($AO$1006:AZ1006),$AO$1006:$BQ$1006,0))&gt;=100000), " ",IF(INDEX($AO$2:$BQ$1001,MATCH(ROWS($AH$2:AH991),$AH$2:$AH$1001,0),MATCH(COLUMNS($AO$1006:AZ1006),$AO$1006:$BQ$1006,0)), HYPERLINK("#",""), HYPERLINK(CONCATENATE("#Metadata!", ADDRESS(INDEX($AJ$2:$AJ$1001,MATCH(ROWS($AH$2:AH991),$AH$2:$AH$1001,0),0), INDEX($AO$1004:$BQ$1004,1,MATCH(COLUMNS($AO$1006:AZ1006),$AO$1006:$BQ$1006,0)))),"Fix")))</f>
        <v>#N/A</v>
      </c>
      <c r="N991" s="5" t="e">
        <f ca="1">IF(OR(INDEX($AI$2:$AI$1001,MATCH(ROWS($AH$2:AH991),$AH$2:$AH$1001,0),1)&gt;=100000,INDEX($AO$1005:$BQ$1005,1,MATCH(COLUMNS($AO$1006:BA1006),$AO$1006:$BQ$1006,0))&gt;=100000), " ",IF(INDEX($AO$2:$BQ$1001,MATCH(ROWS($AH$2:AH991),$AH$2:$AH$1001,0),MATCH(COLUMNS($AO$1006:BA1006),$AO$1006:$BQ$1006,0)), HYPERLINK("#",""), HYPERLINK(CONCATENATE("#Metadata!", ADDRESS(INDEX($AJ$2:$AJ$1001,MATCH(ROWS($AH$2:AH991),$AH$2:$AH$1001,0),0), INDEX($AO$1004:$BQ$1004,1,MATCH(COLUMNS($AO$1006:BA1006),$AO$1006:$BQ$1006,0)))),"Fix")))</f>
        <v>#N/A</v>
      </c>
      <c r="O991" s="5" t="e">
        <f ca="1">IF(OR(INDEX($AI$2:$AI$1001,MATCH(ROWS($AH$2:AH991),$AH$2:$AH$1001,0),1)&gt;=100000,INDEX($AO$1005:$BQ$1005,1,MATCH(COLUMNS($AO$1006:BB1006),$AO$1006:$BQ$1006,0))&gt;=100000), " ",IF(INDEX($AO$2:$BQ$1001,MATCH(ROWS($AH$2:AH991),$AH$2:$AH$1001,0),MATCH(COLUMNS($AO$1006:BB1006),$AO$1006:$BQ$1006,0)), HYPERLINK("#",""), HYPERLINK(CONCATENATE("#Metadata!", ADDRESS(INDEX($AJ$2:$AJ$1001,MATCH(ROWS($AH$2:AH991),$AH$2:$AH$1001,0),0), INDEX($AO$1004:$BQ$1004,1,MATCH(COLUMNS($AO$1006:BB1006),$AO$1006:$BQ$1006,0)))),"Fix")))</f>
        <v>#N/A</v>
      </c>
      <c r="P991" s="5" t="e">
        <f ca="1">IF(OR(INDEX($AI$2:$AI$1001,MATCH(ROWS($AH$2:AH991),$AH$2:$AH$1001,0),1)&gt;=100000,INDEX($AO$1005:$BQ$1005,1,MATCH(COLUMNS($AO$1006:BC1006),$AO$1006:$BQ$1006,0))&gt;=100000), " ",IF(INDEX($AO$2:$BQ$1001,MATCH(ROWS($AH$2:AH991),$AH$2:$AH$1001,0),MATCH(COLUMNS($AO$1006:BC1006),$AO$1006:$BQ$1006,0)), HYPERLINK("#",""), HYPERLINK(CONCATENATE("#Metadata!", ADDRESS(INDEX($AJ$2:$AJ$1001,MATCH(ROWS($AH$2:AH991),$AH$2:$AH$1001,0),0), INDEX($AO$1004:$BQ$1004,1,MATCH(COLUMNS($AO$1006:BC1006),$AO$1006:$BQ$1006,0)))),"Fix")))</f>
        <v>#N/A</v>
      </c>
      <c r="Q991" s="5" t="e">
        <f ca="1">IF(OR(INDEX($AI$2:$AI$1001,MATCH(ROWS($AH$2:AH991),$AH$2:$AH$1001,0),1)&gt;=100000,INDEX($AO$1005:$BQ$1005,1,MATCH(COLUMNS($AO$1006:BD1006),$AO$1006:$BQ$1006,0))&gt;=100000), " ",IF(INDEX($AO$2:$BQ$1001,MATCH(ROWS($AH$2:AH991),$AH$2:$AH$1001,0),MATCH(COLUMNS($AO$1006:BD1006),$AO$1006:$BQ$1006,0)), HYPERLINK("#",""), HYPERLINK(CONCATENATE("#Metadata!", ADDRESS(INDEX($AJ$2:$AJ$1001,MATCH(ROWS($AH$2:AH991),$AH$2:$AH$1001,0),0), INDEX($AO$1004:$BQ$1004,1,MATCH(COLUMNS($AO$1006:BD1006),$AO$1006:$BQ$1006,0)))),"Fix")))</f>
        <v>#N/A</v>
      </c>
      <c r="R991" s="5" t="e">
        <f ca="1">IF(OR(INDEX($AI$2:$AI$1001,MATCH(ROWS($AH$2:AH991),$AH$2:$AH$1001,0),1)&gt;=100000,INDEX($AO$1005:$BQ$1005,1,MATCH(COLUMNS($AO$1006:BE1006),$AO$1006:$BQ$1006,0))&gt;=100000), " ",IF(INDEX($AO$2:$BQ$1001,MATCH(ROWS($AH$2:AH991),$AH$2:$AH$1001,0),MATCH(COLUMNS($AO$1006:BE1006),$AO$1006:$BQ$1006,0)), HYPERLINK("#",""), HYPERLINK(CONCATENATE("#Metadata!", ADDRESS(INDEX($AJ$2:$AJ$1001,MATCH(ROWS($AH$2:AH991),$AH$2:$AH$1001,0),0), INDEX($AO$1004:$BQ$1004,1,MATCH(COLUMNS($AO$1006:BE1006),$AO$1006:$BQ$1006,0)))),"Fix")))</f>
        <v>#N/A</v>
      </c>
      <c r="S991" s="5" t="e">
        <f ca="1">IF(OR(INDEX($AI$2:$AI$1001,MATCH(ROWS($AH$2:AH991),$AH$2:$AH$1001,0),1)&gt;=100000,INDEX($AO$1005:$BQ$1005,1,MATCH(COLUMNS($AO$1006:BF1006),$AO$1006:$BQ$1006,0))&gt;=100000), " ",IF(INDEX($AO$2:$BQ$1001,MATCH(ROWS($AH$2:AH991),$AH$2:$AH$1001,0),MATCH(COLUMNS($AO$1006:BF1006),$AO$1006:$BQ$1006,0)), HYPERLINK("#",""), HYPERLINK(CONCATENATE("#Metadata!", ADDRESS(INDEX($AJ$2:$AJ$1001,MATCH(ROWS($AH$2:AH991),$AH$2:$AH$1001,0),0), INDEX($AO$1004:$BQ$1004,1,MATCH(COLUMNS($AO$1006:BF1006),$AO$1006:$BQ$1006,0)))),"Fix")))</f>
        <v>#N/A</v>
      </c>
      <c r="T991" s="5" t="e">
        <f ca="1">IF(OR(INDEX($AI$2:$AI$1001,MATCH(ROWS($AH$2:AH991),$AH$2:$AH$1001,0),1)&gt;=100000,INDEX($AO$1005:$BQ$1005,1,MATCH(COLUMNS($AO$1006:BG1006),$AO$1006:$BQ$1006,0))&gt;=100000), " ",IF(INDEX($AO$2:$BQ$1001,MATCH(ROWS($AH$2:AH991),$AH$2:$AH$1001,0),MATCH(COLUMNS($AO$1006:BG1006),$AO$1006:$BQ$1006,0)), HYPERLINK("#",""), HYPERLINK(CONCATENATE("#Metadata!", ADDRESS(INDEX($AJ$2:$AJ$1001,MATCH(ROWS($AH$2:AH991),$AH$2:$AH$1001,0),0), INDEX($AO$1004:$BQ$1004,1,MATCH(COLUMNS($AO$1006:BG1006),$AO$1006:$BQ$1006,0)))),"Fix")))</f>
        <v>#N/A</v>
      </c>
      <c r="U991" s="5" t="e">
        <f ca="1">IF(OR(INDEX($AI$2:$AI$1001,MATCH(ROWS($AH$2:AH991),$AH$2:$AH$1001,0),1)&gt;=100000,INDEX($AO$1005:$BQ$1005,1,MATCH(COLUMNS($AO$1006:BH1006),$AO$1006:$BQ$1006,0))&gt;=100000), " ",IF(INDEX($AO$2:$BQ$1001,MATCH(ROWS($AH$2:AH991),$AH$2:$AH$1001,0),MATCH(COLUMNS($AO$1006:BH1006),$AO$1006:$BQ$1006,0)), HYPERLINK("#",""), HYPERLINK(CONCATENATE("#Metadata!", ADDRESS(INDEX($AJ$2:$AJ$1001,MATCH(ROWS($AH$2:AH991),$AH$2:$AH$1001,0),0), INDEX($AO$1004:$BQ$1004,1,MATCH(COLUMNS($AO$1006:BH1006),$AO$1006:$BQ$1006,0)))),"Fix")))</f>
        <v>#N/A</v>
      </c>
      <c r="V991" s="5" t="e">
        <f ca="1">IF(OR(INDEX($AI$2:$AI$1001,MATCH(ROWS($AH$2:AH991),$AH$2:$AH$1001,0),1)&gt;=100000,INDEX($AO$1005:$BQ$1005,1,MATCH(COLUMNS($AO$1006:BI1006),$AO$1006:$BQ$1006,0))&gt;=100000), " ",IF(INDEX($AO$2:$BQ$1001,MATCH(ROWS($AH$2:AH991),$AH$2:$AH$1001,0),MATCH(COLUMNS($AO$1006:BI1006),$AO$1006:$BQ$1006,0)), HYPERLINK("#",""), HYPERLINK(CONCATENATE("#Metadata!", ADDRESS(INDEX($AJ$2:$AJ$1001,MATCH(ROWS($AH$2:AH991),$AH$2:$AH$1001,0),0), INDEX($AO$1004:$BQ$1004,1,MATCH(COLUMNS($AO$1006:BI1006),$AO$1006:$BQ$1006,0)))),"Fix")))</f>
        <v>#N/A</v>
      </c>
      <c r="W991" s="5" t="e">
        <f ca="1">IF(OR(INDEX($AI$2:$AI$1001,MATCH(ROWS($AH$2:AH991),$AH$2:$AH$1001,0),1)&gt;=100000,INDEX($AO$1005:$BQ$1005,1,MATCH(COLUMNS($AO$1006:BJ1006),$AO$1006:$BQ$1006,0))&gt;=100000), " ",IF(INDEX($AO$2:$BQ$1001,MATCH(ROWS($AH$2:AH991),$AH$2:$AH$1001,0),MATCH(COLUMNS($AO$1006:BJ1006),$AO$1006:$BQ$1006,0)), HYPERLINK("#",""), HYPERLINK(CONCATENATE("#Metadata!", ADDRESS(INDEX($AJ$2:$AJ$1001,MATCH(ROWS($AH$2:AH991),$AH$2:$AH$1001,0),0), INDEX($AO$1004:$BQ$1004,1,MATCH(COLUMNS($AO$1006:BJ1006),$AO$1006:$BQ$1006,0)))),"Fix")))</f>
        <v>#N/A</v>
      </c>
      <c r="X991" s="5" t="e">
        <f ca="1">IF(OR(INDEX($AI$2:$AI$1001,MATCH(ROWS($AH$2:AH991),$AH$2:$AH$1001,0),1)&gt;=100000,INDEX($AO$1005:$BQ$1005,1,MATCH(COLUMNS($AO$1006:BK1006),$AO$1006:$BQ$1006,0))&gt;=100000), " ",IF(INDEX($AO$2:$BQ$1001,MATCH(ROWS($AH$2:AH991),$AH$2:$AH$1001,0),MATCH(COLUMNS($AO$1006:BK1006),$AO$1006:$BQ$1006,0)), HYPERLINK("#",""), HYPERLINK(CONCATENATE("#Metadata!", ADDRESS(INDEX($AJ$2:$AJ$1001,MATCH(ROWS($AH$2:AH991),$AH$2:$AH$1001,0),0), INDEX($AO$1004:$BQ$1004,1,MATCH(COLUMNS($AO$1006:BK1006),$AO$1006:$BQ$1006,0)))),"Fix")))</f>
        <v>#N/A</v>
      </c>
      <c r="Y991" s="5" t="e">
        <f ca="1">IF(OR(INDEX($AI$2:$AI$1001,MATCH(ROWS($AH$2:AH991),$AH$2:$AH$1001,0),1)&gt;=100000,INDEX($AO$1005:$BQ$1005,1,MATCH(COLUMNS($AO$1006:BL1006),$AO$1006:$BQ$1006,0))&gt;=100000), " ",IF(INDEX($AO$2:$BQ$1001,MATCH(ROWS($AH$2:AH991),$AH$2:$AH$1001,0),MATCH(COLUMNS($AO$1006:BL1006),$AO$1006:$BQ$1006,0)), HYPERLINK("#",""), HYPERLINK(CONCATENATE("#Metadata!", ADDRESS(INDEX($AJ$2:$AJ$1001,MATCH(ROWS($AH$2:AH991),$AH$2:$AH$1001,0),0), INDEX($AO$1004:$BQ$1004,1,MATCH(COLUMNS($AO$1006:BL1006),$AO$1006:$BQ$1006,0)))),"Fix")))</f>
        <v>#N/A</v>
      </c>
      <c r="Z991" s="5" t="e">
        <f ca="1">IF(OR(INDEX($AI$2:$AI$1001,MATCH(ROWS($AH$2:AH991),$AH$2:$AH$1001,0),1)&gt;=100000,INDEX($AO$1005:$BQ$1005,1,MATCH(COLUMNS($AO$1006:BM1006),$AO$1006:$BQ$1006,0))&gt;=100000), " ",IF(INDEX($AO$2:$BQ$1001,MATCH(ROWS($AH$2:AH991),$AH$2:$AH$1001,0),MATCH(COLUMNS($AO$1006:BM1006),$AO$1006:$BQ$1006,0)), HYPERLINK("#",""), HYPERLINK(CONCATENATE("#Metadata!", ADDRESS(INDEX($AJ$2:$AJ$1001,MATCH(ROWS($AH$2:AH991),$AH$2:$AH$1001,0),0), INDEX($AO$1004:$BQ$1004,1,MATCH(COLUMNS($AO$1006:BM1006),$AO$1006:$BQ$1006,0)))),"Fix")))</f>
        <v>#N/A</v>
      </c>
      <c r="AA991" s="5" t="e">
        <f ca="1">IF(OR(INDEX($AI$2:$AI$1001,MATCH(ROWS($AH$2:AH991),$AH$2:$AH$1001,0),1)&gt;=100000,INDEX($AO$1005:$BQ$1005,1,MATCH(COLUMNS($AO$1006:BN1006),$AO$1006:$BQ$1006,0))&gt;=100000), " ",IF(INDEX($AO$2:$BQ$1001,MATCH(ROWS($AH$2:AH991),$AH$2:$AH$1001,0),MATCH(COLUMNS($AO$1006:BN1006),$AO$1006:$BQ$1006,0)), HYPERLINK("#",""), HYPERLINK(CONCATENATE("#Metadata!", ADDRESS(INDEX($AJ$2:$AJ$1001,MATCH(ROWS($AH$2:AH991),$AH$2:$AH$1001,0),0), INDEX($AO$1004:$BQ$1004,1,MATCH(COLUMNS($AO$1006:BN1006),$AO$1006:$BQ$1006,0)))),"Fix")))</f>
        <v>#N/A</v>
      </c>
      <c r="AB991" s="5" t="e">
        <f ca="1">IF(OR(INDEX($AI$2:$AI$1001,MATCH(ROWS($AH$2:AH991),$AH$2:$AH$1001,0),1)&gt;=100000,INDEX($AO$1005:$BQ$1005,1,MATCH(COLUMNS($AO$1006:BO1006),$AO$1006:$BQ$1006,0))&gt;=100000), " ",IF(INDEX($AO$2:$BQ$1001,MATCH(ROWS($AH$2:AH991),$AH$2:$AH$1001,0),MATCH(COLUMNS($AO$1006:BO1006),$AO$1006:$BQ$1006,0)), HYPERLINK("#",""), HYPERLINK(CONCATENATE("#Metadata!", ADDRESS(INDEX($AJ$2:$AJ$1001,MATCH(ROWS($AH$2:AH991),$AH$2:$AH$1001,0),0), INDEX($AO$1004:$BQ$1004,1,MATCH(COLUMNS($AO$1006:BO1006),$AO$1006:$BQ$1006,0)))),"Fix")))</f>
        <v>#N/A</v>
      </c>
      <c r="AC991" s="5" t="e">
        <f ca="1">IF(OR(INDEX($AI$2:$AI$1001,MATCH(ROWS($AH$2:AH991),$AH$2:$AH$1001,0),1)&gt;=100000,INDEX($AO$1005:$BQ$1005,1,MATCH(COLUMNS($AO$1006:BP1006),$AO$1006:$BQ$1006,0))&gt;=100000), " ",IF(INDEX($AO$2:$BQ$1001,MATCH(ROWS($AH$2:AH991),$AH$2:$AH$1001,0),MATCH(COLUMNS($AO$1006:BP1006),$AO$1006:$BQ$1006,0)), HYPERLINK("#",""), HYPERLINK(CONCATENATE("#Metadata!", ADDRESS(INDEX($AJ$2:$AJ$1001,MATCH(ROWS($AH$2:AH991),$AH$2:$AH$1001,0),0), INDEX($AO$1004:$BQ$1004,1,MATCH(COLUMNS($AO$1006:BP1006),$AO$1006:$BQ$1006,0)))),"Fix")))</f>
        <v>#N/A</v>
      </c>
      <c r="AD991" s="5" t="e">
        <f ca="1">IF(OR(INDEX($AI$2:$AI$1001,MATCH(ROWS($AH$2:AH991),$AH$2:$AH$1001,0),1)&gt;=100000,INDEX($AO$1005:$BQ$1005,1,MATCH(COLUMNS($AO$1006:BQ1006),$AO$1006:$BQ$1006,0))&gt;=100000), " ",IF(INDEX($AO$2:$BQ$1001,MATCH(ROWS($AH$2:AH991),$AH$2:$AH$1001,0),MATCH(COLUMNS($AO$1006:BQ1006),$AO$1006:$BQ$1006,0)), HYPERLINK("#",""), HYPERLINK(CONCATENATE("#Metadata!", ADDRESS(INDEX($AJ$2:$AJ$1001,MATCH(ROWS($AH$2:AH991),$AH$2:$AH$1001,0),0), INDEX($AO$1004:$BQ$1004,1,MATCH(COLUMNS($AO$1006:BQ1006),$AO$1006:$BQ$1006,0)))),"Fix")))</f>
        <v>#REF!</v>
      </c>
      <c r="AH991">
        <f ca="1"/>
        <v>988</v>
      </c>
      <c r="AI991">
        <v>100991</v>
      </c>
      <c r="AJ991">
        <v>991</v>
      </c>
      <c r="AK991" t="b">
        <f t="shared" si="15"/>
        <v>1</v>
      </c>
      <c r="AL991" t="b">
        <f>COUNTBLANK(Metadata!B991:AD991)=COLUMNS(Metadata!B991:AD991)</f>
        <v>1</v>
      </c>
      <c r="AM991" t="str">
        <v/>
      </c>
      <c r="AO991" t="b">
        <f ca="1">AND(IF(Metadata!B991="",FALSE,TRUE),COUNTIF(Metadata!B:B, Metadata!B991) = 1,NOT(ISERROR(SUMPRODUCT(SEARCH(MID(Metadata!B991,ROW(INDIRECT("1:"&amp;LEN(Metadata!B991))), 1),"0123456789abcdefghijklmnopqrstuvwxyzABCDEFGHIJKLMNOPQRSTUVWXYZ.")))))</f>
        <v>0</v>
      </c>
      <c r="AP991" t="b">
        <f>IF(Metadata!C991="",FALSE,TRUE)</f>
        <v>0</v>
      </c>
      <c r="AQ991" t="b">
        <f>IF(Metadata!D991="",FALSE,TRUE)</f>
        <v>0</v>
      </c>
      <c r="AR991" t="b">
        <f ca="1">OR(AND(IF(Metadata!E991="",FALSE,TRUE),OR(EXACT(Metadata!E991,"not collected"),EXACT(Metadata!E991,"not provided"),EXACT(Metadata!E991,"restricted access"))),AND(IF(Metadata!E991="",FALSE,TRUE),AND(AND(IFERROR(INT(LEFT(Metadata!E991,4))&gt;1900,FALSE),IFERROR(INT(LEFT(Metadata!E991,4))&lt;=YEAR(NOW()),FALSE)), OR(MID(Metadata!E991,5,1)="", AND(AND(MID(Metadata!E991,5,1)="-",IFERROR(INT(MID(Metadata!E991,6,1))&gt;=0,FALSE),IFERROR(INT(MID(Metadata!E991,6,1))&lt;=1,FALSE),NOT(MID(Metadata!E991,7,1)=""),IFERROR(INT(MID(Metadata!E991,6,2))&gt;=1,FALSE),IFERROR(INT(MID(Metadata!E991,6,2))&lt;=12,FALSE)), OR(MID(Metadata!E991,8,1)="", AND(AND(MID(Metadata!E991,8,1)="-",IFERROR(INT(MID(Metadata!E991,9,1))&gt;=0,FALSE),IFERROR(INT(MID(Metadata!E991,9,1))&lt;=3,FALSE),NOT(MID(Metadata!E991,10,1)=""),IFERROR(INT(MID(Metadata!E991,9,2))&gt;=1,FALSE),IFERROR(INT(MID(Metadata!E991,9,2))&lt;=31,FALSE)), OR(MID(Metadata!E991,11,1)="", AND(AND(MID(Metadata!E991,11,1)=" ",IFERROR(INT(MID(Metadata!E991,12,1))&gt;=0,FALSE),IFERROR(INT(MID(Metadata!E991,12,1))&lt;=2,FALSE),NOT(MID(Metadata!E991,13,1)=""),IFERROR(INT(MID(Metadata!E991,12,2))&gt;=0,FALSE),IFERROR(INT(MID(Metadata!E991,12,2))&lt;=23,FALSE)), OR(MID(Metadata!E991,14,1)="", AND(AND(MID(Metadata!E991,14,1)=":",IFERROR(INT(MID(Metadata!E991,15,1))&gt;=0,FALSE),IFERROR(INT(MID(Metadata!E991,15,1))&lt;=5,FALSE),NOT(MID(Metadata!E991,16,1)=""),IFERROR(INT(MID(Metadata!E991,15,2))&gt;=0,FALSE),IFERROR(INT(MID(Metadata!E991,15,2))&lt;=59,FALSE)), OR(MID(Metadata!E991,17,1)="", AND(AND(MID(Metadata!E991,17,1)=":",IFERROR(INT(MID(Metadata!E991,18,1))&gt;=0,FALSE),IFERROR(INT(MID(Metadata!E991,18,1))&lt;=5,FALSE),NOT(MID(Metadata!E991,19,1)=""),IFERROR(INT(MID(Metadata!E991,18,2))&gt;=0,FALSE),IFERROR(INT(MID(Metadata!E991,18,2))&lt;=59,FALSE)), LEN(Metadata!E991)&lt;=19)))))))))))))</f>
        <v>0</v>
      </c>
      <c r="AS991" t="b">
        <f>IF(Metadata!F991="",FALSE,TRUE)</f>
        <v>0</v>
      </c>
      <c r="AT991" t="b">
        <f>OR(AND(IF(Metadata!G991="",FALSE,TRUE),OR(EXACT(Metadata!G991,"not collected"),EXACT(Metadata!G991,"not provided"))),AND(IF(Metadata!G991="",FALSE,TRUE),OR(EXACT(Metadata!G991,"TRUE"),EXACT(Metadata!G991,"FALSE"))))</f>
        <v>0</v>
      </c>
      <c r="AU991" t="b">
        <f>OR(AND(IF(Metadata!H991="",FALSE,TRUE),OR(EXACT(Metadata!H991,"not collected"),EXACT(Metadata!H991,"not provided"),EXACT(Metadata!H991,"restricted access"))),AND(IF(Metadata!H991="",FALSE,ISNUMBER(VALUE(Metadata!H991))),Metadata!H991&gt;=-413))</f>
        <v>0</v>
      </c>
      <c r="AV991" t="b">
        <f>AND(IF(Metadata!I991="",FALSE,TRUE),EXACT(Metadata!I991,"meters"))</f>
        <v>0</v>
      </c>
      <c r="AW991" t="b">
        <f>AND(IF(Metadata!J991="",FALSE,TRUE),EXACT(Metadata!J991,"free-living"))</f>
        <v>0</v>
      </c>
      <c r="AX991" t="b">
        <f>AND(IF(Metadata!K991="",FALSE,TRUE),OR(EXACT(Metadata!K991,"saline"),EXACT(Metadata!K991,"non-saline")))</f>
        <v>0</v>
      </c>
      <c r="AY991" t="b">
        <f>AND(IF(Metadata!L991="",FALSE,TRUE),OR(EXACT(Metadata!L991,"sub-surface (non-saline)"),EXACT(Metadata!L991,"surface (non-saline)"),EXACT(Metadata!L991,"water (non-saline)"),EXACT(Metadata!L991,"soil (non-saline)"),EXACT(Metadata!L991,"aerosol (non-saline)"),EXACT(Metadata!L991,"sediment (non-saline)"),EXACT(Metadata!L991,"surface (saline)"),EXACT(Metadata!L991,"water (saline)"),EXACT(Metadata!L991,"hypersaline (saline)"),EXACT(Metadata!L991,"aerosol (saline)"),EXACT(Metadata!L991,"sediment (saline)")))</f>
        <v>0</v>
      </c>
      <c r="AZ991" t="b">
        <f>IF(Metadata!M991="",FALSE,TRUE)</f>
        <v>0</v>
      </c>
      <c r="BA991" t="b">
        <f>IF(Metadata!N991="",FALSE,TRUE)</f>
        <v>0</v>
      </c>
      <c r="BB991" t="b">
        <f>IF(Metadata!O991="",FALSE,TRUE)</f>
        <v>0</v>
      </c>
      <c r="BC991" t="b">
        <f>AND(IF(Metadata!P991="",FALSE,TRUE),OR(EXACT(Metadata!P991,"air"),EXACT(Metadata!P991,"microbial mat/biofilm"),EXACT(Metadata!P991,"misc environment"),EXACT(Metadata!P991,"sediment"),EXACT(Metadata!P991,"soil"),EXACT(Metadata!P991,"wastewater/sludge"),EXACT(Metadata!P991,"water")))</f>
        <v>0</v>
      </c>
      <c r="BD991" t="b">
        <f>IF(Metadata!Q991="",FALSE,TRUE)</f>
        <v>0</v>
      </c>
      <c r="BE991" t="b">
        <f>IF(Metadata!R991="",FALSE,TRUE)</f>
        <v>0</v>
      </c>
      <c r="BF991" t="b">
        <f>OR(AND(IF(Metadata!S991="",FALSE,TRUE),OR(EXACT(Metadata!S991,"not collected"),EXACT(Metadata!S991,"not provided"),EXACT(Metadata!S991,"restricted access"))),AND(IF(Metadata!S991="",FALSE,ISNUMBER(VALUE(Metadata!S991))),Metadata!S991&gt;=-90,Metadata!S991&lt;=90))</f>
        <v>0</v>
      </c>
      <c r="BG991" t="b">
        <f>AND(IF(Metadata!T991="",FALSE,TRUE),EXACT(Metadata!T991,"Decimal degrees"))</f>
        <v>0</v>
      </c>
      <c r="BH991" t="b">
        <f>OR(AND(IF(Metadata!U991="",FALSE,TRUE),OR(EXACT(Metadata!U991,"not applicable"),EXACT(Metadata!U991,"not collected"))),IF(Metadata!U991="",FALSE,TRUE))</f>
        <v>0</v>
      </c>
      <c r="BI991" t="b">
        <f>OR(AND(IF(Metadata!V991="",FALSE,TRUE),OR(EXACT(Metadata!V991,"not collected"),EXACT(Metadata!V991,"not provided"),EXACT(Metadata!V991,"restricted access"))),AND(IF(Metadata!V991="",FALSE,ISNUMBER(VALUE(Metadata!V991))),Metadata!V991&gt;=-180,Metadata!V991&lt;=180))</f>
        <v>0</v>
      </c>
      <c r="BJ991" t="b">
        <f>AND(IF(Metadata!W991="",FALSE,TRUE),EXACT(Metadata!W991,"Decimal degrees"))</f>
        <v>0</v>
      </c>
      <c r="BK991" t="b">
        <f>IF(Metadata!X991="",FALSE,TRUE)</f>
        <v>0</v>
      </c>
      <c r="BL991" t="b">
        <f>OR(AND(IF(Metadata!Y991="",FALSE,TRUE),OR(EXACT(Metadata!Y991,"not collected"),EXACT(Metadata!Y991,"not provided"),EXACT(Metadata!Y991,"restricted access"))),AND(IF(Metadata!Y991="",FALSE,TRUE),OR(EXACT(Metadata!Y991,"TRUE"),EXACT(Metadata!Y991,"FALSE"))))</f>
        <v>0</v>
      </c>
      <c r="BM991" t="b">
        <f>OR(AND(IF(Metadata!Z991="",FALSE,TRUE),EXACT(Metadata!Z991,"not applicable")),AND(IF(Metadata!Z991="",FALSE,TRUE),OR(EXACT(Metadata!Z991,"beer"),EXACT(Metadata!Z991,"cheese"),EXACT(Metadata!Z991,"fresh water"),EXACT(Metadata!Z991,"marine sediment"),EXACT(Metadata!Z991,"sea water"),EXACT(Metadata!Z991,"sediment"),EXACT(Metadata!Z991,"soil"),EXACT(Metadata!Z991,"waste water"))))</f>
        <v>0</v>
      </c>
      <c r="BN991" t="b">
        <f>AND(IF(Metadata!AA991="",FALSE,TRUE),EXACT(Metadata!AA991,"metagenome"))</f>
        <v>0</v>
      </c>
      <c r="BO991" t="b">
        <f>AND(IF(Metadata!AB991="",FALSE,TRUE),EXACT(Metadata!AB991,"256318"))</f>
        <v>0</v>
      </c>
      <c r="BP991" t="b">
        <f>IF(Metadata!AC991="",FALSE,TRUE)</f>
        <v>0</v>
      </c>
      <c r="BQ991" t="b">
        <f>IF(Metadata!AD991="",FALSE,TRUE)</f>
        <v>0</v>
      </c>
    </row>
    <row r="992" spans="1:69" x14ac:dyDescent="0.2">
      <c r="A992" s="4" t="e">
        <f ca="1">IF(B992=" "," ",HYPERLINK(CONCATENATE("#metadata!",ADDRESS(INDEX($AJ$2:$AJ$1001,MATCH(ROWS($AH$2:AH992),$AH$2:$AH$1001,0),0),2)),INDEX($AM$2:$AM$1001,MATCH(ROWS($AH$2:AH992),$AH$2:$AH$1001,0),0)))</f>
        <v>#N/A</v>
      </c>
      <c r="B992" s="5" t="e">
        <f ca="1">IF(OR(INDEX($AI$2:$AI$1001,MATCH(ROWS($AH$2:AH992),$AH$2:$AH$1001,0),1)&gt;=100000,INDEX($AO$1005:$BQ$1005,1,MATCH(COLUMNS($AO$1006:AO1006),$AO$1006:$BQ$1006,0))&gt;=100000), " ",IF(INDEX($AO$2:$BQ$1001,MATCH(ROWS($AH$2:AH992),$AH$2:$AH$1001,0),MATCH(COLUMNS($AO$1006:AO1006),$AO$1006:$BQ$1006,0)), HYPERLINK("#",""), HYPERLINK(CONCATENATE("#Metadata!", ADDRESS(INDEX($AJ$2:$AJ$1001,MATCH(ROWS($AH$2:AH992),$AH$2:$AH$1001,0),0), INDEX($AO$1004:$BQ$1004,1,MATCH(COLUMNS($AO$1006:AO1006),$AO$1006:$BQ$1006,0)))),"Fix")))</f>
        <v>#N/A</v>
      </c>
      <c r="C992" s="5" t="e">
        <f ca="1">IF(OR(INDEX($AI$2:$AI$1001,MATCH(ROWS($AH$2:AH992),$AH$2:$AH$1001,0),1)&gt;=100000,INDEX($AO$1005:$BQ$1005,1,MATCH(COLUMNS($AO$1006:AP1006),$AO$1006:$BQ$1006,0))&gt;=100000), " ",IF(INDEX($AO$2:$BQ$1001,MATCH(ROWS($AH$2:AH992),$AH$2:$AH$1001,0),MATCH(COLUMNS($AO$1006:AP1006),$AO$1006:$BQ$1006,0)), HYPERLINK("#",""), HYPERLINK(CONCATENATE("#Metadata!", ADDRESS(INDEX($AJ$2:$AJ$1001,MATCH(ROWS($AH$2:AH992),$AH$2:$AH$1001,0),0), INDEX($AO$1004:$BQ$1004,1,MATCH(COLUMNS($AO$1006:AP1006),$AO$1006:$BQ$1006,0)))),"Fix")))</f>
        <v>#N/A</v>
      </c>
      <c r="D992" s="5" t="e">
        <f ca="1">IF(OR(INDEX($AI$2:$AI$1001,MATCH(ROWS($AH$2:AH992),$AH$2:$AH$1001,0),1)&gt;=100000,INDEX($AO$1005:$BQ$1005,1,MATCH(COLUMNS($AO$1006:AQ1006),$AO$1006:$BQ$1006,0))&gt;=100000), " ",IF(INDEX($AO$2:$BQ$1001,MATCH(ROWS($AH$2:AH992),$AH$2:$AH$1001,0),MATCH(COLUMNS($AO$1006:AQ1006),$AO$1006:$BQ$1006,0)), HYPERLINK("#",""), HYPERLINK(CONCATENATE("#Metadata!", ADDRESS(INDEX($AJ$2:$AJ$1001,MATCH(ROWS($AH$2:AH992),$AH$2:$AH$1001,0),0), INDEX($AO$1004:$BQ$1004,1,MATCH(COLUMNS($AO$1006:AQ1006),$AO$1006:$BQ$1006,0)))),"Fix")))</f>
        <v>#N/A</v>
      </c>
      <c r="E992" s="5" t="e">
        <f ca="1">IF(OR(INDEX($AI$2:$AI$1001,MATCH(ROWS($AH$2:AH992),$AH$2:$AH$1001,0),1)&gt;=100000,INDEX($AO$1005:$BQ$1005,1,MATCH(COLUMNS($AO$1006:AR1006),$AO$1006:$BQ$1006,0))&gt;=100000), " ",IF(INDEX($AO$2:$BQ$1001,MATCH(ROWS($AH$2:AH992),$AH$2:$AH$1001,0),MATCH(COLUMNS($AO$1006:AR1006),$AO$1006:$BQ$1006,0)), HYPERLINK("#",""), HYPERLINK(CONCATENATE("#Metadata!", ADDRESS(INDEX($AJ$2:$AJ$1001,MATCH(ROWS($AH$2:AH992),$AH$2:$AH$1001,0),0), INDEX($AO$1004:$BQ$1004,1,MATCH(COLUMNS($AO$1006:AR1006),$AO$1006:$BQ$1006,0)))),"Fix")))</f>
        <v>#N/A</v>
      </c>
      <c r="F992" s="5" t="e">
        <f ca="1">IF(OR(INDEX($AI$2:$AI$1001,MATCH(ROWS($AH$2:AH992),$AH$2:$AH$1001,0),1)&gt;=100000,INDEX($AO$1005:$BQ$1005,1,MATCH(COLUMNS($AO$1006:AS1006),$AO$1006:$BQ$1006,0))&gt;=100000), " ",IF(INDEX($AO$2:$BQ$1001,MATCH(ROWS($AH$2:AH992),$AH$2:$AH$1001,0),MATCH(COLUMNS($AO$1006:AS1006),$AO$1006:$BQ$1006,0)), HYPERLINK("#",""), HYPERLINK(CONCATENATE("#Metadata!", ADDRESS(INDEX($AJ$2:$AJ$1001,MATCH(ROWS($AH$2:AH992),$AH$2:$AH$1001,0),0), INDEX($AO$1004:$BQ$1004,1,MATCH(COLUMNS($AO$1006:AS1006),$AO$1006:$BQ$1006,0)))),"Fix")))</f>
        <v>#N/A</v>
      </c>
      <c r="G992" s="5" t="e">
        <f ca="1">IF(OR(INDEX($AI$2:$AI$1001,MATCH(ROWS($AH$2:AH992),$AH$2:$AH$1001,0),1)&gt;=100000,INDEX($AO$1005:$BQ$1005,1,MATCH(COLUMNS($AO$1006:AT1006),$AO$1006:$BQ$1006,0))&gt;=100000), " ",IF(INDEX($AO$2:$BQ$1001,MATCH(ROWS($AH$2:AH992),$AH$2:$AH$1001,0),MATCH(COLUMNS($AO$1006:AT1006),$AO$1006:$BQ$1006,0)), HYPERLINK("#",""), HYPERLINK(CONCATENATE("#Metadata!", ADDRESS(INDEX($AJ$2:$AJ$1001,MATCH(ROWS($AH$2:AH992),$AH$2:$AH$1001,0),0), INDEX($AO$1004:$BQ$1004,1,MATCH(COLUMNS($AO$1006:AT1006),$AO$1006:$BQ$1006,0)))),"Fix")))</f>
        <v>#N/A</v>
      </c>
      <c r="H992" s="5" t="e">
        <f ca="1">IF(OR(INDEX($AI$2:$AI$1001,MATCH(ROWS($AH$2:AH992),$AH$2:$AH$1001,0),1)&gt;=100000,INDEX($AO$1005:$BQ$1005,1,MATCH(COLUMNS($AO$1006:AU1006),$AO$1006:$BQ$1006,0))&gt;=100000), " ",IF(INDEX($AO$2:$BQ$1001,MATCH(ROWS($AH$2:AH992),$AH$2:$AH$1001,0),MATCH(COLUMNS($AO$1006:AU1006),$AO$1006:$BQ$1006,0)), HYPERLINK("#",""), HYPERLINK(CONCATENATE("#Metadata!", ADDRESS(INDEX($AJ$2:$AJ$1001,MATCH(ROWS($AH$2:AH992),$AH$2:$AH$1001,0),0), INDEX($AO$1004:$BQ$1004,1,MATCH(COLUMNS($AO$1006:AU1006),$AO$1006:$BQ$1006,0)))),"Fix")))</f>
        <v>#N/A</v>
      </c>
      <c r="I992" s="5" t="e">
        <f ca="1">IF(OR(INDEX($AI$2:$AI$1001,MATCH(ROWS($AH$2:AH992),$AH$2:$AH$1001,0),1)&gt;=100000,INDEX($AO$1005:$BQ$1005,1,MATCH(COLUMNS($AO$1006:AV1006),$AO$1006:$BQ$1006,0))&gt;=100000), " ",IF(INDEX($AO$2:$BQ$1001,MATCH(ROWS($AH$2:AH992),$AH$2:$AH$1001,0),MATCH(COLUMNS($AO$1006:AV1006),$AO$1006:$BQ$1006,0)), HYPERLINK("#",""), HYPERLINK(CONCATENATE("#Metadata!", ADDRESS(INDEX($AJ$2:$AJ$1001,MATCH(ROWS($AH$2:AH992),$AH$2:$AH$1001,0),0), INDEX($AO$1004:$BQ$1004,1,MATCH(COLUMNS($AO$1006:AV1006),$AO$1006:$BQ$1006,0)))),"Fix")))</f>
        <v>#N/A</v>
      </c>
      <c r="J992" s="5" t="e">
        <f ca="1">IF(OR(INDEX($AI$2:$AI$1001,MATCH(ROWS($AH$2:AH992),$AH$2:$AH$1001,0),1)&gt;=100000,INDEX($AO$1005:$BQ$1005,1,MATCH(COLUMNS($AO$1006:AW1006),$AO$1006:$BQ$1006,0))&gt;=100000), " ",IF(INDEX($AO$2:$BQ$1001,MATCH(ROWS($AH$2:AH992),$AH$2:$AH$1001,0),MATCH(COLUMNS($AO$1006:AW1006),$AO$1006:$BQ$1006,0)), HYPERLINK("#",""), HYPERLINK(CONCATENATE("#Metadata!", ADDRESS(INDEX($AJ$2:$AJ$1001,MATCH(ROWS($AH$2:AH992),$AH$2:$AH$1001,0),0), INDEX($AO$1004:$BQ$1004,1,MATCH(COLUMNS($AO$1006:AW1006),$AO$1006:$BQ$1006,0)))),"Fix")))</f>
        <v>#N/A</v>
      </c>
      <c r="K992" s="5" t="e">
        <f ca="1">IF(OR(INDEX($AI$2:$AI$1001,MATCH(ROWS($AH$2:AH992),$AH$2:$AH$1001,0),1)&gt;=100000,INDEX($AO$1005:$BQ$1005,1,MATCH(COLUMNS($AO$1006:AX1006),$AO$1006:$BQ$1006,0))&gt;=100000), " ",IF(INDEX($AO$2:$BQ$1001,MATCH(ROWS($AH$2:AH992),$AH$2:$AH$1001,0),MATCH(COLUMNS($AO$1006:AX1006),$AO$1006:$BQ$1006,0)), HYPERLINK("#",""), HYPERLINK(CONCATENATE("#Metadata!", ADDRESS(INDEX($AJ$2:$AJ$1001,MATCH(ROWS($AH$2:AH992),$AH$2:$AH$1001,0),0), INDEX($AO$1004:$BQ$1004,1,MATCH(COLUMNS($AO$1006:AX1006),$AO$1006:$BQ$1006,0)))),"Fix")))</f>
        <v>#N/A</v>
      </c>
      <c r="L992" s="5" t="e">
        <f ca="1">IF(OR(INDEX($AI$2:$AI$1001,MATCH(ROWS($AH$2:AH992),$AH$2:$AH$1001,0),1)&gt;=100000,INDEX($AO$1005:$BQ$1005,1,MATCH(COLUMNS($AO$1006:AY1006),$AO$1006:$BQ$1006,0))&gt;=100000), " ",IF(INDEX($AO$2:$BQ$1001,MATCH(ROWS($AH$2:AH992),$AH$2:$AH$1001,0),MATCH(COLUMNS($AO$1006:AY1006),$AO$1006:$BQ$1006,0)), HYPERLINK("#",""), HYPERLINK(CONCATENATE("#Metadata!", ADDRESS(INDEX($AJ$2:$AJ$1001,MATCH(ROWS($AH$2:AH992),$AH$2:$AH$1001,0),0), INDEX($AO$1004:$BQ$1004,1,MATCH(COLUMNS($AO$1006:AY1006),$AO$1006:$BQ$1006,0)))),"Fix")))</f>
        <v>#N/A</v>
      </c>
      <c r="M992" s="5" t="e">
        <f ca="1">IF(OR(INDEX($AI$2:$AI$1001,MATCH(ROWS($AH$2:AH992),$AH$2:$AH$1001,0),1)&gt;=100000,INDEX($AO$1005:$BQ$1005,1,MATCH(COLUMNS($AO$1006:AZ1006),$AO$1006:$BQ$1006,0))&gt;=100000), " ",IF(INDEX($AO$2:$BQ$1001,MATCH(ROWS($AH$2:AH992),$AH$2:$AH$1001,0),MATCH(COLUMNS($AO$1006:AZ1006),$AO$1006:$BQ$1006,0)), HYPERLINK("#",""), HYPERLINK(CONCATENATE("#Metadata!", ADDRESS(INDEX($AJ$2:$AJ$1001,MATCH(ROWS($AH$2:AH992),$AH$2:$AH$1001,0),0), INDEX($AO$1004:$BQ$1004,1,MATCH(COLUMNS($AO$1006:AZ1006),$AO$1006:$BQ$1006,0)))),"Fix")))</f>
        <v>#N/A</v>
      </c>
      <c r="N992" s="5" t="e">
        <f ca="1">IF(OR(INDEX($AI$2:$AI$1001,MATCH(ROWS($AH$2:AH992),$AH$2:$AH$1001,0),1)&gt;=100000,INDEX($AO$1005:$BQ$1005,1,MATCH(COLUMNS($AO$1006:BA1006),$AO$1006:$BQ$1006,0))&gt;=100000), " ",IF(INDEX($AO$2:$BQ$1001,MATCH(ROWS($AH$2:AH992),$AH$2:$AH$1001,0),MATCH(COLUMNS($AO$1006:BA1006),$AO$1006:$BQ$1006,0)), HYPERLINK("#",""), HYPERLINK(CONCATENATE("#Metadata!", ADDRESS(INDEX($AJ$2:$AJ$1001,MATCH(ROWS($AH$2:AH992),$AH$2:$AH$1001,0),0), INDEX($AO$1004:$BQ$1004,1,MATCH(COLUMNS($AO$1006:BA1006),$AO$1006:$BQ$1006,0)))),"Fix")))</f>
        <v>#N/A</v>
      </c>
      <c r="O992" s="5" t="e">
        <f ca="1">IF(OR(INDEX($AI$2:$AI$1001,MATCH(ROWS($AH$2:AH992),$AH$2:$AH$1001,0),1)&gt;=100000,INDEX($AO$1005:$BQ$1005,1,MATCH(COLUMNS($AO$1006:BB1006),$AO$1006:$BQ$1006,0))&gt;=100000), " ",IF(INDEX($AO$2:$BQ$1001,MATCH(ROWS($AH$2:AH992),$AH$2:$AH$1001,0),MATCH(COLUMNS($AO$1006:BB1006),$AO$1006:$BQ$1006,0)), HYPERLINK("#",""), HYPERLINK(CONCATENATE("#Metadata!", ADDRESS(INDEX($AJ$2:$AJ$1001,MATCH(ROWS($AH$2:AH992),$AH$2:$AH$1001,0),0), INDEX($AO$1004:$BQ$1004,1,MATCH(COLUMNS($AO$1006:BB1006),$AO$1006:$BQ$1006,0)))),"Fix")))</f>
        <v>#N/A</v>
      </c>
      <c r="P992" s="5" t="e">
        <f ca="1">IF(OR(INDEX($AI$2:$AI$1001,MATCH(ROWS($AH$2:AH992),$AH$2:$AH$1001,0),1)&gt;=100000,INDEX($AO$1005:$BQ$1005,1,MATCH(COLUMNS($AO$1006:BC1006),$AO$1006:$BQ$1006,0))&gt;=100000), " ",IF(INDEX($AO$2:$BQ$1001,MATCH(ROWS($AH$2:AH992),$AH$2:$AH$1001,0),MATCH(COLUMNS($AO$1006:BC1006),$AO$1006:$BQ$1006,0)), HYPERLINK("#",""), HYPERLINK(CONCATENATE("#Metadata!", ADDRESS(INDEX($AJ$2:$AJ$1001,MATCH(ROWS($AH$2:AH992),$AH$2:$AH$1001,0),0), INDEX($AO$1004:$BQ$1004,1,MATCH(COLUMNS($AO$1006:BC1006),$AO$1006:$BQ$1006,0)))),"Fix")))</f>
        <v>#N/A</v>
      </c>
      <c r="Q992" s="5" t="e">
        <f ca="1">IF(OR(INDEX($AI$2:$AI$1001,MATCH(ROWS($AH$2:AH992),$AH$2:$AH$1001,0),1)&gt;=100000,INDEX($AO$1005:$BQ$1005,1,MATCH(COLUMNS($AO$1006:BD1006),$AO$1006:$BQ$1006,0))&gt;=100000), " ",IF(INDEX($AO$2:$BQ$1001,MATCH(ROWS($AH$2:AH992),$AH$2:$AH$1001,0),MATCH(COLUMNS($AO$1006:BD1006),$AO$1006:$BQ$1006,0)), HYPERLINK("#",""), HYPERLINK(CONCATENATE("#Metadata!", ADDRESS(INDEX($AJ$2:$AJ$1001,MATCH(ROWS($AH$2:AH992),$AH$2:$AH$1001,0),0), INDEX($AO$1004:$BQ$1004,1,MATCH(COLUMNS($AO$1006:BD1006),$AO$1006:$BQ$1006,0)))),"Fix")))</f>
        <v>#N/A</v>
      </c>
      <c r="R992" s="5" t="e">
        <f ca="1">IF(OR(INDEX($AI$2:$AI$1001,MATCH(ROWS($AH$2:AH992),$AH$2:$AH$1001,0),1)&gt;=100000,INDEX($AO$1005:$BQ$1005,1,MATCH(COLUMNS($AO$1006:BE1006),$AO$1006:$BQ$1006,0))&gt;=100000), " ",IF(INDEX($AO$2:$BQ$1001,MATCH(ROWS($AH$2:AH992),$AH$2:$AH$1001,0),MATCH(COLUMNS($AO$1006:BE1006),$AO$1006:$BQ$1006,0)), HYPERLINK("#",""), HYPERLINK(CONCATENATE("#Metadata!", ADDRESS(INDEX($AJ$2:$AJ$1001,MATCH(ROWS($AH$2:AH992),$AH$2:$AH$1001,0),0), INDEX($AO$1004:$BQ$1004,1,MATCH(COLUMNS($AO$1006:BE1006),$AO$1006:$BQ$1006,0)))),"Fix")))</f>
        <v>#N/A</v>
      </c>
      <c r="S992" s="5" t="e">
        <f ca="1">IF(OR(INDEX($AI$2:$AI$1001,MATCH(ROWS($AH$2:AH992),$AH$2:$AH$1001,0),1)&gt;=100000,INDEX($AO$1005:$BQ$1005,1,MATCH(COLUMNS($AO$1006:BF1006),$AO$1006:$BQ$1006,0))&gt;=100000), " ",IF(INDEX($AO$2:$BQ$1001,MATCH(ROWS($AH$2:AH992),$AH$2:$AH$1001,0),MATCH(COLUMNS($AO$1006:BF1006),$AO$1006:$BQ$1006,0)), HYPERLINK("#",""), HYPERLINK(CONCATENATE("#Metadata!", ADDRESS(INDEX($AJ$2:$AJ$1001,MATCH(ROWS($AH$2:AH992),$AH$2:$AH$1001,0),0), INDEX($AO$1004:$BQ$1004,1,MATCH(COLUMNS($AO$1006:BF1006),$AO$1006:$BQ$1006,0)))),"Fix")))</f>
        <v>#N/A</v>
      </c>
      <c r="T992" s="5" t="e">
        <f ca="1">IF(OR(INDEX($AI$2:$AI$1001,MATCH(ROWS($AH$2:AH992),$AH$2:$AH$1001,0),1)&gt;=100000,INDEX($AO$1005:$BQ$1005,1,MATCH(COLUMNS($AO$1006:BG1006),$AO$1006:$BQ$1006,0))&gt;=100000), " ",IF(INDEX($AO$2:$BQ$1001,MATCH(ROWS($AH$2:AH992),$AH$2:$AH$1001,0),MATCH(COLUMNS($AO$1006:BG1006),$AO$1006:$BQ$1006,0)), HYPERLINK("#",""), HYPERLINK(CONCATENATE("#Metadata!", ADDRESS(INDEX($AJ$2:$AJ$1001,MATCH(ROWS($AH$2:AH992),$AH$2:$AH$1001,0),0), INDEX($AO$1004:$BQ$1004,1,MATCH(COLUMNS($AO$1006:BG1006),$AO$1006:$BQ$1006,0)))),"Fix")))</f>
        <v>#N/A</v>
      </c>
      <c r="U992" s="5" t="e">
        <f ca="1">IF(OR(INDEX($AI$2:$AI$1001,MATCH(ROWS($AH$2:AH992),$AH$2:$AH$1001,0),1)&gt;=100000,INDEX($AO$1005:$BQ$1005,1,MATCH(COLUMNS($AO$1006:BH1006),$AO$1006:$BQ$1006,0))&gt;=100000), " ",IF(INDEX($AO$2:$BQ$1001,MATCH(ROWS($AH$2:AH992),$AH$2:$AH$1001,0),MATCH(COLUMNS($AO$1006:BH1006),$AO$1006:$BQ$1006,0)), HYPERLINK("#",""), HYPERLINK(CONCATENATE("#Metadata!", ADDRESS(INDEX($AJ$2:$AJ$1001,MATCH(ROWS($AH$2:AH992),$AH$2:$AH$1001,0),0), INDEX($AO$1004:$BQ$1004,1,MATCH(COLUMNS($AO$1006:BH1006),$AO$1006:$BQ$1006,0)))),"Fix")))</f>
        <v>#N/A</v>
      </c>
      <c r="V992" s="5" t="e">
        <f ca="1">IF(OR(INDEX($AI$2:$AI$1001,MATCH(ROWS($AH$2:AH992),$AH$2:$AH$1001,0),1)&gt;=100000,INDEX($AO$1005:$BQ$1005,1,MATCH(COLUMNS($AO$1006:BI1006),$AO$1006:$BQ$1006,0))&gt;=100000), " ",IF(INDEX($AO$2:$BQ$1001,MATCH(ROWS($AH$2:AH992),$AH$2:$AH$1001,0),MATCH(COLUMNS($AO$1006:BI1006),$AO$1006:$BQ$1006,0)), HYPERLINK("#",""), HYPERLINK(CONCATENATE("#Metadata!", ADDRESS(INDEX($AJ$2:$AJ$1001,MATCH(ROWS($AH$2:AH992),$AH$2:$AH$1001,0),0), INDEX($AO$1004:$BQ$1004,1,MATCH(COLUMNS($AO$1006:BI1006),$AO$1006:$BQ$1006,0)))),"Fix")))</f>
        <v>#N/A</v>
      </c>
      <c r="W992" s="5" t="e">
        <f ca="1">IF(OR(INDEX($AI$2:$AI$1001,MATCH(ROWS($AH$2:AH992),$AH$2:$AH$1001,0),1)&gt;=100000,INDEX($AO$1005:$BQ$1005,1,MATCH(COLUMNS($AO$1006:BJ1006),$AO$1006:$BQ$1006,0))&gt;=100000), " ",IF(INDEX($AO$2:$BQ$1001,MATCH(ROWS($AH$2:AH992),$AH$2:$AH$1001,0),MATCH(COLUMNS($AO$1006:BJ1006),$AO$1006:$BQ$1006,0)), HYPERLINK("#",""), HYPERLINK(CONCATENATE("#Metadata!", ADDRESS(INDEX($AJ$2:$AJ$1001,MATCH(ROWS($AH$2:AH992),$AH$2:$AH$1001,0),0), INDEX($AO$1004:$BQ$1004,1,MATCH(COLUMNS($AO$1006:BJ1006),$AO$1006:$BQ$1006,0)))),"Fix")))</f>
        <v>#N/A</v>
      </c>
      <c r="X992" s="5" t="e">
        <f ca="1">IF(OR(INDEX($AI$2:$AI$1001,MATCH(ROWS($AH$2:AH992),$AH$2:$AH$1001,0),1)&gt;=100000,INDEX($AO$1005:$BQ$1005,1,MATCH(COLUMNS($AO$1006:BK1006),$AO$1006:$BQ$1006,0))&gt;=100000), " ",IF(INDEX($AO$2:$BQ$1001,MATCH(ROWS($AH$2:AH992),$AH$2:$AH$1001,0),MATCH(COLUMNS($AO$1006:BK1006),$AO$1006:$BQ$1006,0)), HYPERLINK("#",""), HYPERLINK(CONCATENATE("#Metadata!", ADDRESS(INDEX($AJ$2:$AJ$1001,MATCH(ROWS($AH$2:AH992),$AH$2:$AH$1001,0),0), INDEX($AO$1004:$BQ$1004,1,MATCH(COLUMNS($AO$1006:BK1006),$AO$1006:$BQ$1006,0)))),"Fix")))</f>
        <v>#N/A</v>
      </c>
      <c r="Y992" s="5" t="e">
        <f ca="1">IF(OR(INDEX($AI$2:$AI$1001,MATCH(ROWS($AH$2:AH992),$AH$2:$AH$1001,0),1)&gt;=100000,INDEX($AO$1005:$BQ$1005,1,MATCH(COLUMNS($AO$1006:BL1006),$AO$1006:$BQ$1006,0))&gt;=100000), " ",IF(INDEX($AO$2:$BQ$1001,MATCH(ROWS($AH$2:AH992),$AH$2:$AH$1001,0),MATCH(COLUMNS($AO$1006:BL1006),$AO$1006:$BQ$1006,0)), HYPERLINK("#",""), HYPERLINK(CONCATENATE("#Metadata!", ADDRESS(INDEX($AJ$2:$AJ$1001,MATCH(ROWS($AH$2:AH992),$AH$2:$AH$1001,0),0), INDEX($AO$1004:$BQ$1004,1,MATCH(COLUMNS($AO$1006:BL1006),$AO$1006:$BQ$1006,0)))),"Fix")))</f>
        <v>#N/A</v>
      </c>
      <c r="Z992" s="5" t="e">
        <f ca="1">IF(OR(INDEX($AI$2:$AI$1001,MATCH(ROWS($AH$2:AH992),$AH$2:$AH$1001,0),1)&gt;=100000,INDEX($AO$1005:$BQ$1005,1,MATCH(COLUMNS($AO$1006:BM1006),$AO$1006:$BQ$1006,0))&gt;=100000), " ",IF(INDEX($AO$2:$BQ$1001,MATCH(ROWS($AH$2:AH992),$AH$2:$AH$1001,0),MATCH(COLUMNS($AO$1006:BM1006),$AO$1006:$BQ$1006,0)), HYPERLINK("#",""), HYPERLINK(CONCATENATE("#Metadata!", ADDRESS(INDEX($AJ$2:$AJ$1001,MATCH(ROWS($AH$2:AH992),$AH$2:$AH$1001,0),0), INDEX($AO$1004:$BQ$1004,1,MATCH(COLUMNS($AO$1006:BM1006),$AO$1006:$BQ$1006,0)))),"Fix")))</f>
        <v>#N/A</v>
      </c>
      <c r="AA992" s="5" t="e">
        <f ca="1">IF(OR(INDEX($AI$2:$AI$1001,MATCH(ROWS($AH$2:AH992),$AH$2:$AH$1001,0),1)&gt;=100000,INDEX($AO$1005:$BQ$1005,1,MATCH(COLUMNS($AO$1006:BN1006),$AO$1006:$BQ$1006,0))&gt;=100000), " ",IF(INDEX($AO$2:$BQ$1001,MATCH(ROWS($AH$2:AH992),$AH$2:$AH$1001,0),MATCH(COLUMNS($AO$1006:BN1006),$AO$1006:$BQ$1006,0)), HYPERLINK("#",""), HYPERLINK(CONCATENATE("#Metadata!", ADDRESS(INDEX($AJ$2:$AJ$1001,MATCH(ROWS($AH$2:AH992),$AH$2:$AH$1001,0),0), INDEX($AO$1004:$BQ$1004,1,MATCH(COLUMNS($AO$1006:BN1006),$AO$1006:$BQ$1006,0)))),"Fix")))</f>
        <v>#N/A</v>
      </c>
      <c r="AB992" s="5" t="e">
        <f ca="1">IF(OR(INDEX($AI$2:$AI$1001,MATCH(ROWS($AH$2:AH992),$AH$2:$AH$1001,0),1)&gt;=100000,INDEX($AO$1005:$BQ$1005,1,MATCH(COLUMNS($AO$1006:BO1006),$AO$1006:$BQ$1006,0))&gt;=100000), " ",IF(INDEX($AO$2:$BQ$1001,MATCH(ROWS($AH$2:AH992),$AH$2:$AH$1001,0),MATCH(COLUMNS($AO$1006:BO1006),$AO$1006:$BQ$1006,0)), HYPERLINK("#",""), HYPERLINK(CONCATENATE("#Metadata!", ADDRESS(INDEX($AJ$2:$AJ$1001,MATCH(ROWS($AH$2:AH992),$AH$2:$AH$1001,0),0), INDEX($AO$1004:$BQ$1004,1,MATCH(COLUMNS($AO$1006:BO1006),$AO$1006:$BQ$1006,0)))),"Fix")))</f>
        <v>#N/A</v>
      </c>
      <c r="AC992" s="5" t="e">
        <f ca="1">IF(OR(INDEX($AI$2:$AI$1001,MATCH(ROWS($AH$2:AH992),$AH$2:$AH$1001,0),1)&gt;=100000,INDEX($AO$1005:$BQ$1005,1,MATCH(COLUMNS($AO$1006:BP1006),$AO$1006:$BQ$1006,0))&gt;=100000), " ",IF(INDEX($AO$2:$BQ$1001,MATCH(ROWS($AH$2:AH992),$AH$2:$AH$1001,0),MATCH(COLUMNS($AO$1006:BP1006),$AO$1006:$BQ$1006,0)), HYPERLINK("#",""), HYPERLINK(CONCATENATE("#Metadata!", ADDRESS(INDEX($AJ$2:$AJ$1001,MATCH(ROWS($AH$2:AH992),$AH$2:$AH$1001,0),0), INDEX($AO$1004:$BQ$1004,1,MATCH(COLUMNS($AO$1006:BP1006),$AO$1006:$BQ$1006,0)))),"Fix")))</f>
        <v>#N/A</v>
      </c>
      <c r="AD992" s="5" t="e">
        <f ca="1">IF(OR(INDEX($AI$2:$AI$1001,MATCH(ROWS($AH$2:AH992),$AH$2:$AH$1001,0),1)&gt;=100000,INDEX($AO$1005:$BQ$1005,1,MATCH(COLUMNS($AO$1006:BQ1006),$AO$1006:$BQ$1006,0))&gt;=100000), " ",IF(INDEX($AO$2:$BQ$1001,MATCH(ROWS($AH$2:AH992),$AH$2:$AH$1001,0),MATCH(COLUMNS($AO$1006:BQ1006),$AO$1006:$BQ$1006,0)), HYPERLINK("#",""), HYPERLINK(CONCATENATE("#Metadata!", ADDRESS(INDEX($AJ$2:$AJ$1001,MATCH(ROWS($AH$2:AH992),$AH$2:$AH$1001,0),0), INDEX($AO$1004:$BQ$1004,1,MATCH(COLUMNS($AO$1006:BQ1006),$AO$1006:$BQ$1006,0)))),"Fix")))</f>
        <v>#REF!</v>
      </c>
      <c r="AH992">
        <f ca="1"/>
        <v>989</v>
      </c>
      <c r="AI992">
        <v>100992</v>
      </c>
      <c r="AJ992">
        <v>992</v>
      </c>
      <c r="AK992" t="b">
        <f t="shared" si="15"/>
        <v>1</v>
      </c>
      <c r="AL992" t="b">
        <f>COUNTBLANK(Metadata!B992:AD992)=COLUMNS(Metadata!B992:AD992)</f>
        <v>1</v>
      </c>
      <c r="AM992" t="str">
        <v/>
      </c>
      <c r="AO992" t="b">
        <f ca="1">AND(IF(Metadata!B992="",FALSE,TRUE),COUNTIF(Metadata!B:B, Metadata!B992) = 1,NOT(ISERROR(SUMPRODUCT(SEARCH(MID(Metadata!B992,ROW(INDIRECT("1:"&amp;LEN(Metadata!B992))), 1),"0123456789abcdefghijklmnopqrstuvwxyzABCDEFGHIJKLMNOPQRSTUVWXYZ.")))))</f>
        <v>0</v>
      </c>
      <c r="AP992" t="b">
        <f>IF(Metadata!C992="",FALSE,TRUE)</f>
        <v>0</v>
      </c>
      <c r="AQ992" t="b">
        <f>IF(Metadata!D992="",FALSE,TRUE)</f>
        <v>0</v>
      </c>
      <c r="AR992" t="b">
        <f ca="1">OR(AND(IF(Metadata!E992="",FALSE,TRUE),OR(EXACT(Metadata!E992,"not collected"),EXACT(Metadata!E992,"not provided"),EXACT(Metadata!E992,"restricted access"))),AND(IF(Metadata!E992="",FALSE,TRUE),AND(AND(IFERROR(INT(LEFT(Metadata!E992,4))&gt;1900,FALSE),IFERROR(INT(LEFT(Metadata!E992,4))&lt;=YEAR(NOW()),FALSE)), OR(MID(Metadata!E992,5,1)="", AND(AND(MID(Metadata!E992,5,1)="-",IFERROR(INT(MID(Metadata!E992,6,1))&gt;=0,FALSE),IFERROR(INT(MID(Metadata!E992,6,1))&lt;=1,FALSE),NOT(MID(Metadata!E992,7,1)=""),IFERROR(INT(MID(Metadata!E992,6,2))&gt;=1,FALSE),IFERROR(INT(MID(Metadata!E992,6,2))&lt;=12,FALSE)), OR(MID(Metadata!E992,8,1)="", AND(AND(MID(Metadata!E992,8,1)="-",IFERROR(INT(MID(Metadata!E992,9,1))&gt;=0,FALSE),IFERROR(INT(MID(Metadata!E992,9,1))&lt;=3,FALSE),NOT(MID(Metadata!E992,10,1)=""),IFERROR(INT(MID(Metadata!E992,9,2))&gt;=1,FALSE),IFERROR(INT(MID(Metadata!E992,9,2))&lt;=31,FALSE)), OR(MID(Metadata!E992,11,1)="", AND(AND(MID(Metadata!E992,11,1)=" ",IFERROR(INT(MID(Metadata!E992,12,1))&gt;=0,FALSE),IFERROR(INT(MID(Metadata!E992,12,1))&lt;=2,FALSE),NOT(MID(Metadata!E992,13,1)=""),IFERROR(INT(MID(Metadata!E992,12,2))&gt;=0,FALSE),IFERROR(INT(MID(Metadata!E992,12,2))&lt;=23,FALSE)), OR(MID(Metadata!E992,14,1)="", AND(AND(MID(Metadata!E992,14,1)=":",IFERROR(INT(MID(Metadata!E992,15,1))&gt;=0,FALSE),IFERROR(INT(MID(Metadata!E992,15,1))&lt;=5,FALSE),NOT(MID(Metadata!E992,16,1)=""),IFERROR(INT(MID(Metadata!E992,15,2))&gt;=0,FALSE),IFERROR(INT(MID(Metadata!E992,15,2))&lt;=59,FALSE)), OR(MID(Metadata!E992,17,1)="", AND(AND(MID(Metadata!E992,17,1)=":",IFERROR(INT(MID(Metadata!E992,18,1))&gt;=0,FALSE),IFERROR(INT(MID(Metadata!E992,18,1))&lt;=5,FALSE),NOT(MID(Metadata!E992,19,1)=""),IFERROR(INT(MID(Metadata!E992,18,2))&gt;=0,FALSE),IFERROR(INT(MID(Metadata!E992,18,2))&lt;=59,FALSE)), LEN(Metadata!E992)&lt;=19)))))))))))))</f>
        <v>0</v>
      </c>
      <c r="AS992" t="b">
        <f>IF(Metadata!F992="",FALSE,TRUE)</f>
        <v>0</v>
      </c>
      <c r="AT992" t="b">
        <f>OR(AND(IF(Metadata!G992="",FALSE,TRUE),OR(EXACT(Metadata!G992,"not collected"),EXACT(Metadata!G992,"not provided"))),AND(IF(Metadata!G992="",FALSE,TRUE),OR(EXACT(Metadata!G992,"TRUE"),EXACT(Metadata!G992,"FALSE"))))</f>
        <v>0</v>
      </c>
      <c r="AU992" t="b">
        <f>OR(AND(IF(Metadata!H992="",FALSE,TRUE),OR(EXACT(Metadata!H992,"not collected"),EXACT(Metadata!H992,"not provided"),EXACT(Metadata!H992,"restricted access"))),AND(IF(Metadata!H992="",FALSE,ISNUMBER(VALUE(Metadata!H992))),Metadata!H992&gt;=-413))</f>
        <v>0</v>
      </c>
      <c r="AV992" t="b">
        <f>AND(IF(Metadata!I992="",FALSE,TRUE),EXACT(Metadata!I992,"meters"))</f>
        <v>0</v>
      </c>
      <c r="AW992" t="b">
        <f>AND(IF(Metadata!J992="",FALSE,TRUE),EXACT(Metadata!J992,"free-living"))</f>
        <v>0</v>
      </c>
      <c r="AX992" t="b">
        <f>AND(IF(Metadata!K992="",FALSE,TRUE),OR(EXACT(Metadata!K992,"saline"),EXACT(Metadata!K992,"non-saline")))</f>
        <v>0</v>
      </c>
      <c r="AY992" t="b">
        <f>AND(IF(Metadata!L992="",FALSE,TRUE),OR(EXACT(Metadata!L992,"sub-surface (non-saline)"),EXACT(Metadata!L992,"surface (non-saline)"),EXACT(Metadata!L992,"water (non-saline)"),EXACT(Metadata!L992,"soil (non-saline)"),EXACT(Metadata!L992,"aerosol (non-saline)"),EXACT(Metadata!L992,"sediment (non-saline)"),EXACT(Metadata!L992,"surface (saline)"),EXACT(Metadata!L992,"water (saline)"),EXACT(Metadata!L992,"hypersaline (saline)"),EXACT(Metadata!L992,"aerosol (saline)"),EXACT(Metadata!L992,"sediment (saline)")))</f>
        <v>0</v>
      </c>
      <c r="AZ992" t="b">
        <f>IF(Metadata!M992="",FALSE,TRUE)</f>
        <v>0</v>
      </c>
      <c r="BA992" t="b">
        <f>IF(Metadata!N992="",FALSE,TRUE)</f>
        <v>0</v>
      </c>
      <c r="BB992" t="b">
        <f>IF(Metadata!O992="",FALSE,TRUE)</f>
        <v>0</v>
      </c>
      <c r="BC992" t="b">
        <f>AND(IF(Metadata!P992="",FALSE,TRUE),OR(EXACT(Metadata!P992,"air"),EXACT(Metadata!P992,"microbial mat/biofilm"),EXACT(Metadata!P992,"misc environment"),EXACT(Metadata!P992,"sediment"),EXACT(Metadata!P992,"soil"),EXACT(Metadata!P992,"wastewater/sludge"),EXACT(Metadata!P992,"water")))</f>
        <v>0</v>
      </c>
      <c r="BD992" t="b">
        <f>IF(Metadata!Q992="",FALSE,TRUE)</f>
        <v>0</v>
      </c>
      <c r="BE992" t="b">
        <f>IF(Metadata!R992="",FALSE,TRUE)</f>
        <v>0</v>
      </c>
      <c r="BF992" t="b">
        <f>OR(AND(IF(Metadata!S992="",FALSE,TRUE),OR(EXACT(Metadata!S992,"not collected"),EXACT(Metadata!S992,"not provided"),EXACT(Metadata!S992,"restricted access"))),AND(IF(Metadata!S992="",FALSE,ISNUMBER(VALUE(Metadata!S992))),Metadata!S992&gt;=-90,Metadata!S992&lt;=90))</f>
        <v>0</v>
      </c>
      <c r="BG992" t="b">
        <f>AND(IF(Metadata!T992="",FALSE,TRUE),EXACT(Metadata!T992,"Decimal degrees"))</f>
        <v>0</v>
      </c>
      <c r="BH992" t="b">
        <f>OR(AND(IF(Metadata!U992="",FALSE,TRUE),OR(EXACT(Metadata!U992,"not applicable"),EXACT(Metadata!U992,"not collected"))),IF(Metadata!U992="",FALSE,TRUE))</f>
        <v>0</v>
      </c>
      <c r="BI992" t="b">
        <f>OR(AND(IF(Metadata!V992="",FALSE,TRUE),OR(EXACT(Metadata!V992,"not collected"),EXACT(Metadata!V992,"not provided"),EXACT(Metadata!V992,"restricted access"))),AND(IF(Metadata!V992="",FALSE,ISNUMBER(VALUE(Metadata!V992))),Metadata!V992&gt;=-180,Metadata!V992&lt;=180))</f>
        <v>0</v>
      </c>
      <c r="BJ992" t="b">
        <f>AND(IF(Metadata!W992="",FALSE,TRUE),EXACT(Metadata!W992,"Decimal degrees"))</f>
        <v>0</v>
      </c>
      <c r="BK992" t="b">
        <f>IF(Metadata!X992="",FALSE,TRUE)</f>
        <v>0</v>
      </c>
      <c r="BL992" t="b">
        <f>OR(AND(IF(Metadata!Y992="",FALSE,TRUE),OR(EXACT(Metadata!Y992,"not collected"),EXACT(Metadata!Y992,"not provided"),EXACT(Metadata!Y992,"restricted access"))),AND(IF(Metadata!Y992="",FALSE,TRUE),OR(EXACT(Metadata!Y992,"TRUE"),EXACT(Metadata!Y992,"FALSE"))))</f>
        <v>0</v>
      </c>
      <c r="BM992" t="b">
        <f>OR(AND(IF(Metadata!Z992="",FALSE,TRUE),EXACT(Metadata!Z992,"not applicable")),AND(IF(Metadata!Z992="",FALSE,TRUE),OR(EXACT(Metadata!Z992,"beer"),EXACT(Metadata!Z992,"cheese"),EXACT(Metadata!Z992,"fresh water"),EXACT(Metadata!Z992,"marine sediment"),EXACT(Metadata!Z992,"sea water"),EXACT(Metadata!Z992,"sediment"),EXACT(Metadata!Z992,"soil"),EXACT(Metadata!Z992,"waste water"))))</f>
        <v>0</v>
      </c>
      <c r="BN992" t="b">
        <f>AND(IF(Metadata!AA992="",FALSE,TRUE),EXACT(Metadata!AA992,"metagenome"))</f>
        <v>0</v>
      </c>
      <c r="BO992" t="b">
        <f>AND(IF(Metadata!AB992="",FALSE,TRUE),EXACT(Metadata!AB992,"256318"))</f>
        <v>0</v>
      </c>
      <c r="BP992" t="b">
        <f>IF(Metadata!AC992="",FALSE,TRUE)</f>
        <v>0</v>
      </c>
      <c r="BQ992" t="b">
        <f>IF(Metadata!AD992="",FALSE,TRUE)</f>
        <v>0</v>
      </c>
    </row>
    <row r="993" spans="1:69" x14ac:dyDescent="0.2">
      <c r="A993" s="4" t="e">
        <f ca="1">IF(B993=" "," ",HYPERLINK(CONCATENATE("#metadata!",ADDRESS(INDEX($AJ$2:$AJ$1001,MATCH(ROWS($AH$2:AH993),$AH$2:$AH$1001,0),0),2)),INDEX($AM$2:$AM$1001,MATCH(ROWS($AH$2:AH993),$AH$2:$AH$1001,0),0)))</f>
        <v>#N/A</v>
      </c>
      <c r="B993" s="5" t="e">
        <f ca="1">IF(OR(INDEX($AI$2:$AI$1001,MATCH(ROWS($AH$2:AH993),$AH$2:$AH$1001,0),1)&gt;=100000,INDEX($AO$1005:$BQ$1005,1,MATCH(COLUMNS($AO$1006:AO1006),$AO$1006:$BQ$1006,0))&gt;=100000), " ",IF(INDEX($AO$2:$BQ$1001,MATCH(ROWS($AH$2:AH993),$AH$2:$AH$1001,0),MATCH(COLUMNS($AO$1006:AO1006),$AO$1006:$BQ$1006,0)), HYPERLINK("#",""), HYPERLINK(CONCATENATE("#Metadata!", ADDRESS(INDEX($AJ$2:$AJ$1001,MATCH(ROWS($AH$2:AH993),$AH$2:$AH$1001,0),0), INDEX($AO$1004:$BQ$1004,1,MATCH(COLUMNS($AO$1006:AO1006),$AO$1006:$BQ$1006,0)))),"Fix")))</f>
        <v>#N/A</v>
      </c>
      <c r="C993" s="5" t="e">
        <f ca="1">IF(OR(INDEX($AI$2:$AI$1001,MATCH(ROWS($AH$2:AH993),$AH$2:$AH$1001,0),1)&gt;=100000,INDEX($AO$1005:$BQ$1005,1,MATCH(COLUMNS($AO$1006:AP1006),$AO$1006:$BQ$1006,0))&gt;=100000), " ",IF(INDEX($AO$2:$BQ$1001,MATCH(ROWS($AH$2:AH993),$AH$2:$AH$1001,0),MATCH(COLUMNS($AO$1006:AP1006),$AO$1006:$BQ$1006,0)), HYPERLINK("#",""), HYPERLINK(CONCATENATE("#Metadata!", ADDRESS(INDEX($AJ$2:$AJ$1001,MATCH(ROWS($AH$2:AH993),$AH$2:$AH$1001,0),0), INDEX($AO$1004:$BQ$1004,1,MATCH(COLUMNS($AO$1006:AP1006),$AO$1006:$BQ$1006,0)))),"Fix")))</f>
        <v>#N/A</v>
      </c>
      <c r="D993" s="5" t="e">
        <f ca="1">IF(OR(INDEX($AI$2:$AI$1001,MATCH(ROWS($AH$2:AH993),$AH$2:$AH$1001,0),1)&gt;=100000,INDEX($AO$1005:$BQ$1005,1,MATCH(COLUMNS($AO$1006:AQ1006),$AO$1006:$BQ$1006,0))&gt;=100000), " ",IF(INDEX($AO$2:$BQ$1001,MATCH(ROWS($AH$2:AH993),$AH$2:$AH$1001,0),MATCH(COLUMNS($AO$1006:AQ1006),$AO$1006:$BQ$1006,0)), HYPERLINK("#",""), HYPERLINK(CONCATENATE("#Metadata!", ADDRESS(INDEX($AJ$2:$AJ$1001,MATCH(ROWS($AH$2:AH993),$AH$2:$AH$1001,0),0), INDEX($AO$1004:$BQ$1004,1,MATCH(COLUMNS($AO$1006:AQ1006),$AO$1006:$BQ$1006,0)))),"Fix")))</f>
        <v>#N/A</v>
      </c>
      <c r="E993" s="5" t="e">
        <f ca="1">IF(OR(INDEX($AI$2:$AI$1001,MATCH(ROWS($AH$2:AH993),$AH$2:$AH$1001,0),1)&gt;=100000,INDEX($AO$1005:$BQ$1005,1,MATCH(COLUMNS($AO$1006:AR1006),$AO$1006:$BQ$1006,0))&gt;=100000), " ",IF(INDEX($AO$2:$BQ$1001,MATCH(ROWS($AH$2:AH993),$AH$2:$AH$1001,0),MATCH(COLUMNS($AO$1006:AR1006),$AO$1006:$BQ$1006,0)), HYPERLINK("#",""), HYPERLINK(CONCATENATE("#Metadata!", ADDRESS(INDEX($AJ$2:$AJ$1001,MATCH(ROWS($AH$2:AH993),$AH$2:$AH$1001,0),0), INDEX($AO$1004:$BQ$1004,1,MATCH(COLUMNS($AO$1006:AR1006),$AO$1006:$BQ$1006,0)))),"Fix")))</f>
        <v>#N/A</v>
      </c>
      <c r="F993" s="5" t="e">
        <f ca="1">IF(OR(INDEX($AI$2:$AI$1001,MATCH(ROWS($AH$2:AH993),$AH$2:$AH$1001,0),1)&gt;=100000,INDEX($AO$1005:$BQ$1005,1,MATCH(COLUMNS($AO$1006:AS1006),$AO$1006:$BQ$1006,0))&gt;=100000), " ",IF(INDEX($AO$2:$BQ$1001,MATCH(ROWS($AH$2:AH993),$AH$2:$AH$1001,0),MATCH(COLUMNS($AO$1006:AS1006),$AO$1006:$BQ$1006,0)), HYPERLINK("#",""), HYPERLINK(CONCATENATE("#Metadata!", ADDRESS(INDEX($AJ$2:$AJ$1001,MATCH(ROWS($AH$2:AH993),$AH$2:$AH$1001,0),0), INDEX($AO$1004:$BQ$1004,1,MATCH(COLUMNS($AO$1006:AS1006),$AO$1006:$BQ$1006,0)))),"Fix")))</f>
        <v>#N/A</v>
      </c>
      <c r="G993" s="5" t="e">
        <f ca="1">IF(OR(INDEX($AI$2:$AI$1001,MATCH(ROWS($AH$2:AH993),$AH$2:$AH$1001,0),1)&gt;=100000,INDEX($AO$1005:$BQ$1005,1,MATCH(COLUMNS($AO$1006:AT1006),$AO$1006:$BQ$1006,0))&gt;=100000), " ",IF(INDEX($AO$2:$BQ$1001,MATCH(ROWS($AH$2:AH993),$AH$2:$AH$1001,0),MATCH(COLUMNS($AO$1006:AT1006),$AO$1006:$BQ$1006,0)), HYPERLINK("#",""), HYPERLINK(CONCATENATE("#Metadata!", ADDRESS(INDEX($AJ$2:$AJ$1001,MATCH(ROWS($AH$2:AH993),$AH$2:$AH$1001,0),0), INDEX($AO$1004:$BQ$1004,1,MATCH(COLUMNS($AO$1006:AT1006),$AO$1006:$BQ$1006,0)))),"Fix")))</f>
        <v>#N/A</v>
      </c>
      <c r="H993" s="5" t="e">
        <f ca="1">IF(OR(INDEX($AI$2:$AI$1001,MATCH(ROWS($AH$2:AH993),$AH$2:$AH$1001,0),1)&gt;=100000,INDEX($AO$1005:$BQ$1005,1,MATCH(COLUMNS($AO$1006:AU1006),$AO$1006:$BQ$1006,0))&gt;=100000), " ",IF(INDEX($AO$2:$BQ$1001,MATCH(ROWS($AH$2:AH993),$AH$2:$AH$1001,0),MATCH(COLUMNS($AO$1006:AU1006),$AO$1006:$BQ$1006,0)), HYPERLINK("#",""), HYPERLINK(CONCATENATE("#Metadata!", ADDRESS(INDEX($AJ$2:$AJ$1001,MATCH(ROWS($AH$2:AH993),$AH$2:$AH$1001,0),0), INDEX($AO$1004:$BQ$1004,1,MATCH(COLUMNS($AO$1006:AU1006),$AO$1006:$BQ$1006,0)))),"Fix")))</f>
        <v>#N/A</v>
      </c>
      <c r="I993" s="5" t="e">
        <f ca="1">IF(OR(INDEX($AI$2:$AI$1001,MATCH(ROWS($AH$2:AH993),$AH$2:$AH$1001,0),1)&gt;=100000,INDEX($AO$1005:$BQ$1005,1,MATCH(COLUMNS($AO$1006:AV1006),$AO$1006:$BQ$1006,0))&gt;=100000), " ",IF(INDEX($AO$2:$BQ$1001,MATCH(ROWS($AH$2:AH993),$AH$2:$AH$1001,0),MATCH(COLUMNS($AO$1006:AV1006),$AO$1006:$BQ$1006,0)), HYPERLINK("#",""), HYPERLINK(CONCATENATE("#Metadata!", ADDRESS(INDEX($AJ$2:$AJ$1001,MATCH(ROWS($AH$2:AH993),$AH$2:$AH$1001,0),0), INDEX($AO$1004:$BQ$1004,1,MATCH(COLUMNS($AO$1006:AV1006),$AO$1006:$BQ$1006,0)))),"Fix")))</f>
        <v>#N/A</v>
      </c>
      <c r="J993" s="5" t="e">
        <f ca="1">IF(OR(INDEX($AI$2:$AI$1001,MATCH(ROWS($AH$2:AH993),$AH$2:$AH$1001,0),1)&gt;=100000,INDEX($AO$1005:$BQ$1005,1,MATCH(COLUMNS($AO$1006:AW1006),$AO$1006:$BQ$1006,0))&gt;=100000), " ",IF(INDEX($AO$2:$BQ$1001,MATCH(ROWS($AH$2:AH993),$AH$2:$AH$1001,0),MATCH(COLUMNS($AO$1006:AW1006),$AO$1006:$BQ$1006,0)), HYPERLINK("#",""), HYPERLINK(CONCATENATE("#Metadata!", ADDRESS(INDEX($AJ$2:$AJ$1001,MATCH(ROWS($AH$2:AH993),$AH$2:$AH$1001,0),0), INDEX($AO$1004:$BQ$1004,1,MATCH(COLUMNS($AO$1006:AW1006),$AO$1006:$BQ$1006,0)))),"Fix")))</f>
        <v>#N/A</v>
      </c>
      <c r="K993" s="5" t="e">
        <f ca="1">IF(OR(INDEX($AI$2:$AI$1001,MATCH(ROWS($AH$2:AH993),$AH$2:$AH$1001,0),1)&gt;=100000,INDEX($AO$1005:$BQ$1005,1,MATCH(COLUMNS($AO$1006:AX1006),$AO$1006:$BQ$1006,0))&gt;=100000), " ",IF(INDEX($AO$2:$BQ$1001,MATCH(ROWS($AH$2:AH993),$AH$2:$AH$1001,0),MATCH(COLUMNS($AO$1006:AX1006),$AO$1006:$BQ$1006,0)), HYPERLINK("#",""), HYPERLINK(CONCATENATE("#Metadata!", ADDRESS(INDEX($AJ$2:$AJ$1001,MATCH(ROWS($AH$2:AH993),$AH$2:$AH$1001,0),0), INDEX($AO$1004:$BQ$1004,1,MATCH(COLUMNS($AO$1006:AX1006),$AO$1006:$BQ$1006,0)))),"Fix")))</f>
        <v>#N/A</v>
      </c>
      <c r="L993" s="5" t="e">
        <f ca="1">IF(OR(INDEX($AI$2:$AI$1001,MATCH(ROWS($AH$2:AH993),$AH$2:$AH$1001,0),1)&gt;=100000,INDEX($AO$1005:$BQ$1005,1,MATCH(COLUMNS($AO$1006:AY1006),$AO$1006:$BQ$1006,0))&gt;=100000), " ",IF(INDEX($AO$2:$BQ$1001,MATCH(ROWS($AH$2:AH993),$AH$2:$AH$1001,0),MATCH(COLUMNS($AO$1006:AY1006),$AO$1006:$BQ$1006,0)), HYPERLINK("#",""), HYPERLINK(CONCATENATE("#Metadata!", ADDRESS(INDEX($AJ$2:$AJ$1001,MATCH(ROWS($AH$2:AH993),$AH$2:$AH$1001,0),0), INDEX($AO$1004:$BQ$1004,1,MATCH(COLUMNS($AO$1006:AY1006),$AO$1006:$BQ$1006,0)))),"Fix")))</f>
        <v>#N/A</v>
      </c>
      <c r="M993" s="5" t="e">
        <f ca="1">IF(OR(INDEX($AI$2:$AI$1001,MATCH(ROWS($AH$2:AH993),$AH$2:$AH$1001,0),1)&gt;=100000,INDEX($AO$1005:$BQ$1005,1,MATCH(COLUMNS($AO$1006:AZ1006),$AO$1006:$BQ$1006,0))&gt;=100000), " ",IF(INDEX($AO$2:$BQ$1001,MATCH(ROWS($AH$2:AH993),$AH$2:$AH$1001,0),MATCH(COLUMNS($AO$1006:AZ1006),$AO$1006:$BQ$1006,0)), HYPERLINK("#",""), HYPERLINK(CONCATENATE("#Metadata!", ADDRESS(INDEX($AJ$2:$AJ$1001,MATCH(ROWS($AH$2:AH993),$AH$2:$AH$1001,0),0), INDEX($AO$1004:$BQ$1004,1,MATCH(COLUMNS($AO$1006:AZ1006),$AO$1006:$BQ$1006,0)))),"Fix")))</f>
        <v>#N/A</v>
      </c>
      <c r="N993" s="5" t="e">
        <f ca="1">IF(OR(INDEX($AI$2:$AI$1001,MATCH(ROWS($AH$2:AH993),$AH$2:$AH$1001,0),1)&gt;=100000,INDEX($AO$1005:$BQ$1005,1,MATCH(COLUMNS($AO$1006:BA1006),$AO$1006:$BQ$1006,0))&gt;=100000), " ",IF(INDEX($AO$2:$BQ$1001,MATCH(ROWS($AH$2:AH993),$AH$2:$AH$1001,0),MATCH(COLUMNS($AO$1006:BA1006),$AO$1006:$BQ$1006,0)), HYPERLINK("#",""), HYPERLINK(CONCATENATE("#Metadata!", ADDRESS(INDEX($AJ$2:$AJ$1001,MATCH(ROWS($AH$2:AH993),$AH$2:$AH$1001,0),0), INDEX($AO$1004:$BQ$1004,1,MATCH(COLUMNS($AO$1006:BA1006),$AO$1006:$BQ$1006,0)))),"Fix")))</f>
        <v>#N/A</v>
      </c>
      <c r="O993" s="5" t="e">
        <f ca="1">IF(OR(INDEX($AI$2:$AI$1001,MATCH(ROWS($AH$2:AH993),$AH$2:$AH$1001,0),1)&gt;=100000,INDEX($AO$1005:$BQ$1005,1,MATCH(COLUMNS($AO$1006:BB1006),$AO$1006:$BQ$1006,0))&gt;=100000), " ",IF(INDEX($AO$2:$BQ$1001,MATCH(ROWS($AH$2:AH993),$AH$2:$AH$1001,0),MATCH(COLUMNS($AO$1006:BB1006),$AO$1006:$BQ$1006,0)), HYPERLINK("#",""), HYPERLINK(CONCATENATE("#Metadata!", ADDRESS(INDEX($AJ$2:$AJ$1001,MATCH(ROWS($AH$2:AH993),$AH$2:$AH$1001,0),0), INDEX($AO$1004:$BQ$1004,1,MATCH(COLUMNS($AO$1006:BB1006),$AO$1006:$BQ$1006,0)))),"Fix")))</f>
        <v>#N/A</v>
      </c>
      <c r="P993" s="5" t="e">
        <f ca="1">IF(OR(INDEX($AI$2:$AI$1001,MATCH(ROWS($AH$2:AH993),$AH$2:$AH$1001,0),1)&gt;=100000,INDEX($AO$1005:$BQ$1005,1,MATCH(COLUMNS($AO$1006:BC1006),$AO$1006:$BQ$1006,0))&gt;=100000), " ",IF(INDEX($AO$2:$BQ$1001,MATCH(ROWS($AH$2:AH993),$AH$2:$AH$1001,0),MATCH(COLUMNS($AO$1006:BC1006),$AO$1006:$BQ$1006,0)), HYPERLINK("#",""), HYPERLINK(CONCATENATE("#Metadata!", ADDRESS(INDEX($AJ$2:$AJ$1001,MATCH(ROWS($AH$2:AH993),$AH$2:$AH$1001,0),0), INDEX($AO$1004:$BQ$1004,1,MATCH(COLUMNS($AO$1006:BC1006),$AO$1006:$BQ$1006,0)))),"Fix")))</f>
        <v>#N/A</v>
      </c>
      <c r="Q993" s="5" t="e">
        <f ca="1">IF(OR(INDEX($AI$2:$AI$1001,MATCH(ROWS($AH$2:AH993),$AH$2:$AH$1001,0),1)&gt;=100000,INDEX($AO$1005:$BQ$1005,1,MATCH(COLUMNS($AO$1006:BD1006),$AO$1006:$BQ$1006,0))&gt;=100000), " ",IF(INDEX($AO$2:$BQ$1001,MATCH(ROWS($AH$2:AH993),$AH$2:$AH$1001,0),MATCH(COLUMNS($AO$1006:BD1006),$AO$1006:$BQ$1006,0)), HYPERLINK("#",""), HYPERLINK(CONCATENATE("#Metadata!", ADDRESS(INDEX($AJ$2:$AJ$1001,MATCH(ROWS($AH$2:AH993),$AH$2:$AH$1001,0),0), INDEX($AO$1004:$BQ$1004,1,MATCH(COLUMNS($AO$1006:BD1006),$AO$1006:$BQ$1006,0)))),"Fix")))</f>
        <v>#N/A</v>
      </c>
      <c r="R993" s="5" t="e">
        <f ca="1">IF(OR(INDEX($AI$2:$AI$1001,MATCH(ROWS($AH$2:AH993),$AH$2:$AH$1001,0),1)&gt;=100000,INDEX($AO$1005:$BQ$1005,1,MATCH(COLUMNS($AO$1006:BE1006),$AO$1006:$BQ$1006,0))&gt;=100000), " ",IF(INDEX($AO$2:$BQ$1001,MATCH(ROWS($AH$2:AH993),$AH$2:$AH$1001,0),MATCH(COLUMNS($AO$1006:BE1006),$AO$1006:$BQ$1006,0)), HYPERLINK("#",""), HYPERLINK(CONCATENATE("#Metadata!", ADDRESS(INDEX($AJ$2:$AJ$1001,MATCH(ROWS($AH$2:AH993),$AH$2:$AH$1001,0),0), INDEX($AO$1004:$BQ$1004,1,MATCH(COLUMNS($AO$1006:BE1006),$AO$1006:$BQ$1006,0)))),"Fix")))</f>
        <v>#N/A</v>
      </c>
      <c r="S993" s="5" t="e">
        <f ca="1">IF(OR(INDEX($AI$2:$AI$1001,MATCH(ROWS($AH$2:AH993),$AH$2:$AH$1001,0),1)&gt;=100000,INDEX($AO$1005:$BQ$1005,1,MATCH(COLUMNS($AO$1006:BF1006),$AO$1006:$BQ$1006,0))&gt;=100000), " ",IF(INDEX($AO$2:$BQ$1001,MATCH(ROWS($AH$2:AH993),$AH$2:$AH$1001,0),MATCH(COLUMNS($AO$1006:BF1006),$AO$1006:$BQ$1006,0)), HYPERLINK("#",""), HYPERLINK(CONCATENATE("#Metadata!", ADDRESS(INDEX($AJ$2:$AJ$1001,MATCH(ROWS($AH$2:AH993),$AH$2:$AH$1001,0),0), INDEX($AO$1004:$BQ$1004,1,MATCH(COLUMNS($AO$1006:BF1006),$AO$1006:$BQ$1006,0)))),"Fix")))</f>
        <v>#N/A</v>
      </c>
      <c r="T993" s="5" t="e">
        <f ca="1">IF(OR(INDEX($AI$2:$AI$1001,MATCH(ROWS($AH$2:AH993),$AH$2:$AH$1001,0),1)&gt;=100000,INDEX($AO$1005:$BQ$1005,1,MATCH(COLUMNS($AO$1006:BG1006),$AO$1006:$BQ$1006,0))&gt;=100000), " ",IF(INDEX($AO$2:$BQ$1001,MATCH(ROWS($AH$2:AH993),$AH$2:$AH$1001,0),MATCH(COLUMNS($AO$1006:BG1006),$AO$1006:$BQ$1006,0)), HYPERLINK("#",""), HYPERLINK(CONCATENATE("#Metadata!", ADDRESS(INDEX($AJ$2:$AJ$1001,MATCH(ROWS($AH$2:AH993),$AH$2:$AH$1001,0),0), INDEX($AO$1004:$BQ$1004,1,MATCH(COLUMNS($AO$1006:BG1006),$AO$1006:$BQ$1006,0)))),"Fix")))</f>
        <v>#N/A</v>
      </c>
      <c r="U993" s="5" t="e">
        <f ca="1">IF(OR(INDEX($AI$2:$AI$1001,MATCH(ROWS($AH$2:AH993),$AH$2:$AH$1001,0),1)&gt;=100000,INDEX($AO$1005:$BQ$1005,1,MATCH(COLUMNS($AO$1006:BH1006),$AO$1006:$BQ$1006,0))&gt;=100000), " ",IF(INDEX($AO$2:$BQ$1001,MATCH(ROWS($AH$2:AH993),$AH$2:$AH$1001,0),MATCH(COLUMNS($AO$1006:BH1006),$AO$1006:$BQ$1006,0)), HYPERLINK("#",""), HYPERLINK(CONCATENATE("#Metadata!", ADDRESS(INDEX($AJ$2:$AJ$1001,MATCH(ROWS($AH$2:AH993),$AH$2:$AH$1001,0),0), INDEX($AO$1004:$BQ$1004,1,MATCH(COLUMNS($AO$1006:BH1006),$AO$1006:$BQ$1006,0)))),"Fix")))</f>
        <v>#N/A</v>
      </c>
      <c r="V993" s="5" t="e">
        <f ca="1">IF(OR(INDEX($AI$2:$AI$1001,MATCH(ROWS($AH$2:AH993),$AH$2:$AH$1001,0),1)&gt;=100000,INDEX($AO$1005:$BQ$1005,1,MATCH(COLUMNS($AO$1006:BI1006),$AO$1006:$BQ$1006,0))&gt;=100000), " ",IF(INDEX($AO$2:$BQ$1001,MATCH(ROWS($AH$2:AH993),$AH$2:$AH$1001,0),MATCH(COLUMNS($AO$1006:BI1006),$AO$1006:$BQ$1006,0)), HYPERLINK("#",""), HYPERLINK(CONCATENATE("#Metadata!", ADDRESS(INDEX($AJ$2:$AJ$1001,MATCH(ROWS($AH$2:AH993),$AH$2:$AH$1001,0),0), INDEX($AO$1004:$BQ$1004,1,MATCH(COLUMNS($AO$1006:BI1006),$AO$1006:$BQ$1006,0)))),"Fix")))</f>
        <v>#N/A</v>
      </c>
      <c r="W993" s="5" t="e">
        <f ca="1">IF(OR(INDEX($AI$2:$AI$1001,MATCH(ROWS($AH$2:AH993),$AH$2:$AH$1001,0),1)&gt;=100000,INDEX($AO$1005:$BQ$1005,1,MATCH(COLUMNS($AO$1006:BJ1006),$AO$1006:$BQ$1006,0))&gt;=100000), " ",IF(INDEX($AO$2:$BQ$1001,MATCH(ROWS($AH$2:AH993),$AH$2:$AH$1001,0),MATCH(COLUMNS($AO$1006:BJ1006),$AO$1006:$BQ$1006,0)), HYPERLINK("#",""), HYPERLINK(CONCATENATE("#Metadata!", ADDRESS(INDEX($AJ$2:$AJ$1001,MATCH(ROWS($AH$2:AH993),$AH$2:$AH$1001,0),0), INDEX($AO$1004:$BQ$1004,1,MATCH(COLUMNS($AO$1006:BJ1006),$AO$1006:$BQ$1006,0)))),"Fix")))</f>
        <v>#N/A</v>
      </c>
      <c r="X993" s="5" t="e">
        <f ca="1">IF(OR(INDEX($AI$2:$AI$1001,MATCH(ROWS($AH$2:AH993),$AH$2:$AH$1001,0),1)&gt;=100000,INDEX($AO$1005:$BQ$1005,1,MATCH(COLUMNS($AO$1006:BK1006),$AO$1006:$BQ$1006,0))&gt;=100000), " ",IF(INDEX($AO$2:$BQ$1001,MATCH(ROWS($AH$2:AH993),$AH$2:$AH$1001,0),MATCH(COLUMNS($AO$1006:BK1006),$AO$1006:$BQ$1006,0)), HYPERLINK("#",""), HYPERLINK(CONCATENATE("#Metadata!", ADDRESS(INDEX($AJ$2:$AJ$1001,MATCH(ROWS($AH$2:AH993),$AH$2:$AH$1001,0),0), INDEX($AO$1004:$BQ$1004,1,MATCH(COLUMNS($AO$1006:BK1006),$AO$1006:$BQ$1006,0)))),"Fix")))</f>
        <v>#N/A</v>
      </c>
      <c r="Y993" s="5" t="e">
        <f ca="1">IF(OR(INDEX($AI$2:$AI$1001,MATCH(ROWS($AH$2:AH993),$AH$2:$AH$1001,0),1)&gt;=100000,INDEX($AO$1005:$BQ$1005,1,MATCH(COLUMNS($AO$1006:BL1006),$AO$1006:$BQ$1006,0))&gt;=100000), " ",IF(INDEX($AO$2:$BQ$1001,MATCH(ROWS($AH$2:AH993),$AH$2:$AH$1001,0),MATCH(COLUMNS($AO$1006:BL1006),$AO$1006:$BQ$1006,0)), HYPERLINK("#",""), HYPERLINK(CONCATENATE("#Metadata!", ADDRESS(INDEX($AJ$2:$AJ$1001,MATCH(ROWS($AH$2:AH993),$AH$2:$AH$1001,0),0), INDEX($AO$1004:$BQ$1004,1,MATCH(COLUMNS($AO$1006:BL1006),$AO$1006:$BQ$1006,0)))),"Fix")))</f>
        <v>#N/A</v>
      </c>
      <c r="Z993" s="5" t="e">
        <f ca="1">IF(OR(INDEX($AI$2:$AI$1001,MATCH(ROWS($AH$2:AH993),$AH$2:$AH$1001,0),1)&gt;=100000,INDEX($AO$1005:$BQ$1005,1,MATCH(COLUMNS($AO$1006:BM1006),$AO$1006:$BQ$1006,0))&gt;=100000), " ",IF(INDEX($AO$2:$BQ$1001,MATCH(ROWS($AH$2:AH993),$AH$2:$AH$1001,0),MATCH(COLUMNS($AO$1006:BM1006),$AO$1006:$BQ$1006,0)), HYPERLINK("#",""), HYPERLINK(CONCATENATE("#Metadata!", ADDRESS(INDEX($AJ$2:$AJ$1001,MATCH(ROWS($AH$2:AH993),$AH$2:$AH$1001,0),0), INDEX($AO$1004:$BQ$1004,1,MATCH(COLUMNS($AO$1006:BM1006),$AO$1006:$BQ$1006,0)))),"Fix")))</f>
        <v>#N/A</v>
      </c>
      <c r="AA993" s="5" t="e">
        <f ca="1">IF(OR(INDEX($AI$2:$AI$1001,MATCH(ROWS($AH$2:AH993),$AH$2:$AH$1001,0),1)&gt;=100000,INDEX($AO$1005:$BQ$1005,1,MATCH(COLUMNS($AO$1006:BN1006),$AO$1006:$BQ$1006,0))&gt;=100000), " ",IF(INDEX($AO$2:$BQ$1001,MATCH(ROWS($AH$2:AH993),$AH$2:$AH$1001,0),MATCH(COLUMNS($AO$1006:BN1006),$AO$1006:$BQ$1006,0)), HYPERLINK("#",""), HYPERLINK(CONCATENATE("#Metadata!", ADDRESS(INDEX($AJ$2:$AJ$1001,MATCH(ROWS($AH$2:AH993),$AH$2:$AH$1001,0),0), INDEX($AO$1004:$BQ$1004,1,MATCH(COLUMNS($AO$1006:BN1006),$AO$1006:$BQ$1006,0)))),"Fix")))</f>
        <v>#N/A</v>
      </c>
      <c r="AB993" s="5" t="e">
        <f ca="1">IF(OR(INDEX($AI$2:$AI$1001,MATCH(ROWS($AH$2:AH993),$AH$2:$AH$1001,0),1)&gt;=100000,INDEX($AO$1005:$BQ$1005,1,MATCH(COLUMNS($AO$1006:BO1006),$AO$1006:$BQ$1006,0))&gt;=100000), " ",IF(INDEX($AO$2:$BQ$1001,MATCH(ROWS($AH$2:AH993),$AH$2:$AH$1001,0),MATCH(COLUMNS($AO$1006:BO1006),$AO$1006:$BQ$1006,0)), HYPERLINK("#",""), HYPERLINK(CONCATENATE("#Metadata!", ADDRESS(INDEX($AJ$2:$AJ$1001,MATCH(ROWS($AH$2:AH993),$AH$2:$AH$1001,0),0), INDEX($AO$1004:$BQ$1004,1,MATCH(COLUMNS($AO$1006:BO1006),$AO$1006:$BQ$1006,0)))),"Fix")))</f>
        <v>#N/A</v>
      </c>
      <c r="AC993" s="5" t="e">
        <f ca="1">IF(OR(INDEX($AI$2:$AI$1001,MATCH(ROWS($AH$2:AH993),$AH$2:$AH$1001,0),1)&gt;=100000,INDEX($AO$1005:$BQ$1005,1,MATCH(COLUMNS($AO$1006:BP1006),$AO$1006:$BQ$1006,0))&gt;=100000), " ",IF(INDEX($AO$2:$BQ$1001,MATCH(ROWS($AH$2:AH993),$AH$2:$AH$1001,0),MATCH(COLUMNS($AO$1006:BP1006),$AO$1006:$BQ$1006,0)), HYPERLINK("#",""), HYPERLINK(CONCATENATE("#Metadata!", ADDRESS(INDEX($AJ$2:$AJ$1001,MATCH(ROWS($AH$2:AH993),$AH$2:$AH$1001,0),0), INDEX($AO$1004:$BQ$1004,1,MATCH(COLUMNS($AO$1006:BP1006),$AO$1006:$BQ$1006,0)))),"Fix")))</f>
        <v>#N/A</v>
      </c>
      <c r="AD993" s="5" t="e">
        <f ca="1">IF(OR(INDEX($AI$2:$AI$1001,MATCH(ROWS($AH$2:AH993),$AH$2:$AH$1001,0),1)&gt;=100000,INDEX($AO$1005:$BQ$1005,1,MATCH(COLUMNS($AO$1006:BQ1006),$AO$1006:$BQ$1006,0))&gt;=100000), " ",IF(INDEX($AO$2:$BQ$1001,MATCH(ROWS($AH$2:AH993),$AH$2:$AH$1001,0),MATCH(COLUMNS($AO$1006:BQ1006),$AO$1006:$BQ$1006,0)), HYPERLINK("#",""), HYPERLINK(CONCATENATE("#Metadata!", ADDRESS(INDEX($AJ$2:$AJ$1001,MATCH(ROWS($AH$2:AH993),$AH$2:$AH$1001,0),0), INDEX($AO$1004:$BQ$1004,1,MATCH(COLUMNS($AO$1006:BQ1006),$AO$1006:$BQ$1006,0)))),"Fix")))</f>
        <v>#REF!</v>
      </c>
      <c r="AH993">
        <f ca="1"/>
        <v>990</v>
      </c>
      <c r="AI993">
        <v>100993</v>
      </c>
      <c r="AJ993">
        <v>993</v>
      </c>
      <c r="AK993" t="b">
        <f t="shared" si="15"/>
        <v>1</v>
      </c>
      <c r="AL993" t="b">
        <f>COUNTBLANK(Metadata!B993:AD993)=COLUMNS(Metadata!B993:AD993)</f>
        <v>1</v>
      </c>
      <c r="AM993" t="str">
        <v/>
      </c>
      <c r="AO993" t="b">
        <f ca="1">AND(IF(Metadata!B993="",FALSE,TRUE),COUNTIF(Metadata!B:B, Metadata!B993) = 1,NOT(ISERROR(SUMPRODUCT(SEARCH(MID(Metadata!B993,ROW(INDIRECT("1:"&amp;LEN(Metadata!B993))), 1),"0123456789abcdefghijklmnopqrstuvwxyzABCDEFGHIJKLMNOPQRSTUVWXYZ.")))))</f>
        <v>0</v>
      </c>
      <c r="AP993" t="b">
        <f>IF(Metadata!C993="",FALSE,TRUE)</f>
        <v>0</v>
      </c>
      <c r="AQ993" t="b">
        <f>IF(Metadata!D993="",FALSE,TRUE)</f>
        <v>0</v>
      </c>
      <c r="AR993" t="b">
        <f ca="1">OR(AND(IF(Metadata!E993="",FALSE,TRUE),OR(EXACT(Metadata!E993,"not collected"),EXACT(Metadata!E993,"not provided"),EXACT(Metadata!E993,"restricted access"))),AND(IF(Metadata!E993="",FALSE,TRUE),AND(AND(IFERROR(INT(LEFT(Metadata!E993,4))&gt;1900,FALSE),IFERROR(INT(LEFT(Metadata!E993,4))&lt;=YEAR(NOW()),FALSE)), OR(MID(Metadata!E993,5,1)="", AND(AND(MID(Metadata!E993,5,1)="-",IFERROR(INT(MID(Metadata!E993,6,1))&gt;=0,FALSE),IFERROR(INT(MID(Metadata!E993,6,1))&lt;=1,FALSE),NOT(MID(Metadata!E993,7,1)=""),IFERROR(INT(MID(Metadata!E993,6,2))&gt;=1,FALSE),IFERROR(INT(MID(Metadata!E993,6,2))&lt;=12,FALSE)), OR(MID(Metadata!E993,8,1)="", AND(AND(MID(Metadata!E993,8,1)="-",IFERROR(INT(MID(Metadata!E993,9,1))&gt;=0,FALSE),IFERROR(INT(MID(Metadata!E993,9,1))&lt;=3,FALSE),NOT(MID(Metadata!E993,10,1)=""),IFERROR(INT(MID(Metadata!E993,9,2))&gt;=1,FALSE),IFERROR(INT(MID(Metadata!E993,9,2))&lt;=31,FALSE)), OR(MID(Metadata!E993,11,1)="", AND(AND(MID(Metadata!E993,11,1)=" ",IFERROR(INT(MID(Metadata!E993,12,1))&gt;=0,FALSE),IFERROR(INT(MID(Metadata!E993,12,1))&lt;=2,FALSE),NOT(MID(Metadata!E993,13,1)=""),IFERROR(INT(MID(Metadata!E993,12,2))&gt;=0,FALSE),IFERROR(INT(MID(Metadata!E993,12,2))&lt;=23,FALSE)), OR(MID(Metadata!E993,14,1)="", AND(AND(MID(Metadata!E993,14,1)=":",IFERROR(INT(MID(Metadata!E993,15,1))&gt;=0,FALSE),IFERROR(INT(MID(Metadata!E993,15,1))&lt;=5,FALSE),NOT(MID(Metadata!E993,16,1)=""),IFERROR(INT(MID(Metadata!E993,15,2))&gt;=0,FALSE),IFERROR(INT(MID(Metadata!E993,15,2))&lt;=59,FALSE)), OR(MID(Metadata!E993,17,1)="", AND(AND(MID(Metadata!E993,17,1)=":",IFERROR(INT(MID(Metadata!E993,18,1))&gt;=0,FALSE),IFERROR(INT(MID(Metadata!E993,18,1))&lt;=5,FALSE),NOT(MID(Metadata!E993,19,1)=""),IFERROR(INT(MID(Metadata!E993,18,2))&gt;=0,FALSE),IFERROR(INT(MID(Metadata!E993,18,2))&lt;=59,FALSE)), LEN(Metadata!E993)&lt;=19)))))))))))))</f>
        <v>0</v>
      </c>
      <c r="AS993" t="b">
        <f>IF(Metadata!F993="",FALSE,TRUE)</f>
        <v>0</v>
      </c>
      <c r="AT993" t="b">
        <f>OR(AND(IF(Metadata!G993="",FALSE,TRUE),OR(EXACT(Metadata!G993,"not collected"),EXACT(Metadata!G993,"not provided"))),AND(IF(Metadata!G993="",FALSE,TRUE),OR(EXACT(Metadata!G993,"TRUE"),EXACT(Metadata!G993,"FALSE"))))</f>
        <v>0</v>
      </c>
      <c r="AU993" t="b">
        <f>OR(AND(IF(Metadata!H993="",FALSE,TRUE),OR(EXACT(Metadata!H993,"not collected"),EXACT(Metadata!H993,"not provided"),EXACT(Metadata!H993,"restricted access"))),AND(IF(Metadata!H993="",FALSE,ISNUMBER(VALUE(Metadata!H993))),Metadata!H993&gt;=-413))</f>
        <v>0</v>
      </c>
      <c r="AV993" t="b">
        <f>AND(IF(Metadata!I993="",FALSE,TRUE),EXACT(Metadata!I993,"meters"))</f>
        <v>0</v>
      </c>
      <c r="AW993" t="b">
        <f>AND(IF(Metadata!J993="",FALSE,TRUE),EXACT(Metadata!J993,"free-living"))</f>
        <v>0</v>
      </c>
      <c r="AX993" t="b">
        <f>AND(IF(Metadata!K993="",FALSE,TRUE),OR(EXACT(Metadata!K993,"saline"),EXACT(Metadata!K993,"non-saline")))</f>
        <v>0</v>
      </c>
      <c r="AY993" t="b">
        <f>AND(IF(Metadata!L993="",FALSE,TRUE),OR(EXACT(Metadata!L993,"sub-surface (non-saline)"),EXACT(Metadata!L993,"surface (non-saline)"),EXACT(Metadata!L993,"water (non-saline)"),EXACT(Metadata!L993,"soil (non-saline)"),EXACT(Metadata!L993,"aerosol (non-saline)"),EXACT(Metadata!L993,"sediment (non-saline)"),EXACT(Metadata!L993,"surface (saline)"),EXACT(Metadata!L993,"water (saline)"),EXACT(Metadata!L993,"hypersaline (saline)"),EXACT(Metadata!L993,"aerosol (saline)"),EXACT(Metadata!L993,"sediment (saline)")))</f>
        <v>0</v>
      </c>
      <c r="AZ993" t="b">
        <f>IF(Metadata!M993="",FALSE,TRUE)</f>
        <v>0</v>
      </c>
      <c r="BA993" t="b">
        <f>IF(Metadata!N993="",FALSE,TRUE)</f>
        <v>0</v>
      </c>
      <c r="BB993" t="b">
        <f>IF(Metadata!O993="",FALSE,TRUE)</f>
        <v>0</v>
      </c>
      <c r="BC993" t="b">
        <f>AND(IF(Metadata!P993="",FALSE,TRUE),OR(EXACT(Metadata!P993,"air"),EXACT(Metadata!P993,"microbial mat/biofilm"),EXACT(Metadata!P993,"misc environment"),EXACT(Metadata!P993,"sediment"),EXACT(Metadata!P993,"soil"),EXACT(Metadata!P993,"wastewater/sludge"),EXACT(Metadata!P993,"water")))</f>
        <v>0</v>
      </c>
      <c r="BD993" t="b">
        <f>IF(Metadata!Q993="",FALSE,TRUE)</f>
        <v>0</v>
      </c>
      <c r="BE993" t="b">
        <f>IF(Metadata!R993="",FALSE,TRUE)</f>
        <v>0</v>
      </c>
      <c r="BF993" t="b">
        <f>OR(AND(IF(Metadata!S993="",FALSE,TRUE),OR(EXACT(Metadata!S993,"not collected"),EXACT(Metadata!S993,"not provided"),EXACT(Metadata!S993,"restricted access"))),AND(IF(Metadata!S993="",FALSE,ISNUMBER(VALUE(Metadata!S993))),Metadata!S993&gt;=-90,Metadata!S993&lt;=90))</f>
        <v>0</v>
      </c>
      <c r="BG993" t="b">
        <f>AND(IF(Metadata!T993="",FALSE,TRUE),EXACT(Metadata!T993,"Decimal degrees"))</f>
        <v>0</v>
      </c>
      <c r="BH993" t="b">
        <f>OR(AND(IF(Metadata!U993="",FALSE,TRUE),OR(EXACT(Metadata!U993,"not applicable"),EXACT(Metadata!U993,"not collected"))),IF(Metadata!U993="",FALSE,TRUE))</f>
        <v>0</v>
      </c>
      <c r="BI993" t="b">
        <f>OR(AND(IF(Metadata!V993="",FALSE,TRUE),OR(EXACT(Metadata!V993,"not collected"),EXACT(Metadata!V993,"not provided"),EXACT(Metadata!V993,"restricted access"))),AND(IF(Metadata!V993="",FALSE,ISNUMBER(VALUE(Metadata!V993))),Metadata!V993&gt;=-180,Metadata!V993&lt;=180))</f>
        <v>0</v>
      </c>
      <c r="BJ993" t="b">
        <f>AND(IF(Metadata!W993="",FALSE,TRUE),EXACT(Metadata!W993,"Decimal degrees"))</f>
        <v>0</v>
      </c>
      <c r="BK993" t="b">
        <f>IF(Metadata!X993="",FALSE,TRUE)</f>
        <v>0</v>
      </c>
      <c r="BL993" t="b">
        <f>OR(AND(IF(Metadata!Y993="",FALSE,TRUE),OR(EXACT(Metadata!Y993,"not collected"),EXACT(Metadata!Y993,"not provided"),EXACT(Metadata!Y993,"restricted access"))),AND(IF(Metadata!Y993="",FALSE,TRUE),OR(EXACT(Metadata!Y993,"TRUE"),EXACT(Metadata!Y993,"FALSE"))))</f>
        <v>0</v>
      </c>
      <c r="BM993" t="b">
        <f>OR(AND(IF(Metadata!Z993="",FALSE,TRUE),EXACT(Metadata!Z993,"not applicable")),AND(IF(Metadata!Z993="",FALSE,TRUE),OR(EXACT(Metadata!Z993,"beer"),EXACT(Metadata!Z993,"cheese"),EXACT(Metadata!Z993,"fresh water"),EXACT(Metadata!Z993,"marine sediment"),EXACT(Metadata!Z993,"sea water"),EXACT(Metadata!Z993,"sediment"),EXACT(Metadata!Z993,"soil"),EXACT(Metadata!Z993,"waste water"))))</f>
        <v>0</v>
      </c>
      <c r="BN993" t="b">
        <f>AND(IF(Metadata!AA993="",FALSE,TRUE),EXACT(Metadata!AA993,"metagenome"))</f>
        <v>0</v>
      </c>
      <c r="BO993" t="b">
        <f>AND(IF(Metadata!AB993="",FALSE,TRUE),EXACT(Metadata!AB993,"256318"))</f>
        <v>0</v>
      </c>
      <c r="BP993" t="b">
        <f>IF(Metadata!AC993="",FALSE,TRUE)</f>
        <v>0</v>
      </c>
      <c r="BQ993" t="b">
        <f>IF(Metadata!AD993="",FALSE,TRUE)</f>
        <v>0</v>
      </c>
    </row>
    <row r="994" spans="1:69" x14ac:dyDescent="0.2">
      <c r="A994" s="4" t="e">
        <f ca="1">IF(B994=" "," ",HYPERLINK(CONCATENATE("#metadata!",ADDRESS(INDEX($AJ$2:$AJ$1001,MATCH(ROWS($AH$2:AH994),$AH$2:$AH$1001,0),0),2)),INDEX($AM$2:$AM$1001,MATCH(ROWS($AH$2:AH994),$AH$2:$AH$1001,0),0)))</f>
        <v>#N/A</v>
      </c>
      <c r="B994" s="5" t="e">
        <f ca="1">IF(OR(INDEX($AI$2:$AI$1001,MATCH(ROWS($AH$2:AH994),$AH$2:$AH$1001,0),1)&gt;=100000,INDEX($AO$1005:$BQ$1005,1,MATCH(COLUMNS($AO$1006:AO1006),$AO$1006:$BQ$1006,0))&gt;=100000), " ",IF(INDEX($AO$2:$BQ$1001,MATCH(ROWS($AH$2:AH994),$AH$2:$AH$1001,0),MATCH(COLUMNS($AO$1006:AO1006),$AO$1006:$BQ$1006,0)), HYPERLINK("#",""), HYPERLINK(CONCATENATE("#Metadata!", ADDRESS(INDEX($AJ$2:$AJ$1001,MATCH(ROWS($AH$2:AH994),$AH$2:$AH$1001,0),0), INDEX($AO$1004:$BQ$1004,1,MATCH(COLUMNS($AO$1006:AO1006),$AO$1006:$BQ$1006,0)))),"Fix")))</f>
        <v>#N/A</v>
      </c>
      <c r="C994" s="5" t="e">
        <f ca="1">IF(OR(INDEX($AI$2:$AI$1001,MATCH(ROWS($AH$2:AH994),$AH$2:$AH$1001,0),1)&gt;=100000,INDEX($AO$1005:$BQ$1005,1,MATCH(COLUMNS($AO$1006:AP1006),$AO$1006:$BQ$1006,0))&gt;=100000), " ",IF(INDEX($AO$2:$BQ$1001,MATCH(ROWS($AH$2:AH994),$AH$2:$AH$1001,0),MATCH(COLUMNS($AO$1006:AP1006),$AO$1006:$BQ$1006,0)), HYPERLINK("#",""), HYPERLINK(CONCATENATE("#Metadata!", ADDRESS(INDEX($AJ$2:$AJ$1001,MATCH(ROWS($AH$2:AH994),$AH$2:$AH$1001,0),0), INDEX($AO$1004:$BQ$1004,1,MATCH(COLUMNS($AO$1006:AP1006),$AO$1006:$BQ$1006,0)))),"Fix")))</f>
        <v>#N/A</v>
      </c>
      <c r="D994" s="5" t="e">
        <f ca="1">IF(OR(INDEX($AI$2:$AI$1001,MATCH(ROWS($AH$2:AH994),$AH$2:$AH$1001,0),1)&gt;=100000,INDEX($AO$1005:$BQ$1005,1,MATCH(COLUMNS($AO$1006:AQ1006),$AO$1006:$BQ$1006,0))&gt;=100000), " ",IF(INDEX($AO$2:$BQ$1001,MATCH(ROWS($AH$2:AH994),$AH$2:$AH$1001,0),MATCH(COLUMNS($AO$1006:AQ1006),$AO$1006:$BQ$1006,0)), HYPERLINK("#",""), HYPERLINK(CONCATENATE("#Metadata!", ADDRESS(INDEX($AJ$2:$AJ$1001,MATCH(ROWS($AH$2:AH994),$AH$2:$AH$1001,0),0), INDEX($AO$1004:$BQ$1004,1,MATCH(COLUMNS($AO$1006:AQ1006),$AO$1006:$BQ$1006,0)))),"Fix")))</f>
        <v>#N/A</v>
      </c>
      <c r="E994" s="5" t="e">
        <f ca="1">IF(OR(INDEX($AI$2:$AI$1001,MATCH(ROWS($AH$2:AH994),$AH$2:$AH$1001,0),1)&gt;=100000,INDEX($AO$1005:$BQ$1005,1,MATCH(COLUMNS($AO$1006:AR1006),$AO$1006:$BQ$1006,0))&gt;=100000), " ",IF(INDEX($AO$2:$BQ$1001,MATCH(ROWS($AH$2:AH994),$AH$2:$AH$1001,0),MATCH(COLUMNS($AO$1006:AR1006),$AO$1006:$BQ$1006,0)), HYPERLINK("#",""), HYPERLINK(CONCATENATE("#Metadata!", ADDRESS(INDEX($AJ$2:$AJ$1001,MATCH(ROWS($AH$2:AH994),$AH$2:$AH$1001,0),0), INDEX($AO$1004:$BQ$1004,1,MATCH(COLUMNS($AO$1006:AR1006),$AO$1006:$BQ$1006,0)))),"Fix")))</f>
        <v>#N/A</v>
      </c>
      <c r="F994" s="5" t="e">
        <f ca="1">IF(OR(INDEX($AI$2:$AI$1001,MATCH(ROWS($AH$2:AH994),$AH$2:$AH$1001,0),1)&gt;=100000,INDEX($AO$1005:$BQ$1005,1,MATCH(COLUMNS($AO$1006:AS1006),$AO$1006:$BQ$1006,0))&gt;=100000), " ",IF(INDEX($AO$2:$BQ$1001,MATCH(ROWS($AH$2:AH994),$AH$2:$AH$1001,0),MATCH(COLUMNS($AO$1006:AS1006),$AO$1006:$BQ$1006,0)), HYPERLINK("#",""), HYPERLINK(CONCATENATE("#Metadata!", ADDRESS(INDEX($AJ$2:$AJ$1001,MATCH(ROWS($AH$2:AH994),$AH$2:$AH$1001,0),0), INDEX($AO$1004:$BQ$1004,1,MATCH(COLUMNS($AO$1006:AS1006),$AO$1006:$BQ$1006,0)))),"Fix")))</f>
        <v>#N/A</v>
      </c>
      <c r="G994" s="5" t="e">
        <f ca="1">IF(OR(INDEX($AI$2:$AI$1001,MATCH(ROWS($AH$2:AH994),$AH$2:$AH$1001,0),1)&gt;=100000,INDEX($AO$1005:$BQ$1005,1,MATCH(COLUMNS($AO$1006:AT1006),$AO$1006:$BQ$1006,0))&gt;=100000), " ",IF(INDEX($AO$2:$BQ$1001,MATCH(ROWS($AH$2:AH994),$AH$2:$AH$1001,0),MATCH(COLUMNS($AO$1006:AT1006),$AO$1006:$BQ$1006,0)), HYPERLINK("#",""), HYPERLINK(CONCATENATE("#Metadata!", ADDRESS(INDEX($AJ$2:$AJ$1001,MATCH(ROWS($AH$2:AH994),$AH$2:$AH$1001,0),0), INDEX($AO$1004:$BQ$1004,1,MATCH(COLUMNS($AO$1006:AT1006),$AO$1006:$BQ$1006,0)))),"Fix")))</f>
        <v>#N/A</v>
      </c>
      <c r="H994" s="5" t="e">
        <f ca="1">IF(OR(INDEX($AI$2:$AI$1001,MATCH(ROWS($AH$2:AH994),$AH$2:$AH$1001,0),1)&gt;=100000,INDEX($AO$1005:$BQ$1005,1,MATCH(COLUMNS($AO$1006:AU1006),$AO$1006:$BQ$1006,0))&gt;=100000), " ",IF(INDEX($AO$2:$BQ$1001,MATCH(ROWS($AH$2:AH994),$AH$2:$AH$1001,0),MATCH(COLUMNS($AO$1006:AU1006),$AO$1006:$BQ$1006,0)), HYPERLINK("#",""), HYPERLINK(CONCATENATE("#Metadata!", ADDRESS(INDEX($AJ$2:$AJ$1001,MATCH(ROWS($AH$2:AH994),$AH$2:$AH$1001,0),0), INDEX($AO$1004:$BQ$1004,1,MATCH(COLUMNS($AO$1006:AU1006),$AO$1006:$BQ$1006,0)))),"Fix")))</f>
        <v>#N/A</v>
      </c>
      <c r="I994" s="5" t="e">
        <f ca="1">IF(OR(INDEX($AI$2:$AI$1001,MATCH(ROWS($AH$2:AH994),$AH$2:$AH$1001,0),1)&gt;=100000,INDEX($AO$1005:$BQ$1005,1,MATCH(COLUMNS($AO$1006:AV1006),$AO$1006:$BQ$1006,0))&gt;=100000), " ",IF(INDEX($AO$2:$BQ$1001,MATCH(ROWS($AH$2:AH994),$AH$2:$AH$1001,0),MATCH(COLUMNS($AO$1006:AV1006),$AO$1006:$BQ$1006,0)), HYPERLINK("#",""), HYPERLINK(CONCATENATE("#Metadata!", ADDRESS(INDEX($AJ$2:$AJ$1001,MATCH(ROWS($AH$2:AH994),$AH$2:$AH$1001,0),0), INDEX($AO$1004:$BQ$1004,1,MATCH(COLUMNS($AO$1006:AV1006),$AO$1006:$BQ$1006,0)))),"Fix")))</f>
        <v>#N/A</v>
      </c>
      <c r="J994" s="5" t="e">
        <f ca="1">IF(OR(INDEX($AI$2:$AI$1001,MATCH(ROWS($AH$2:AH994),$AH$2:$AH$1001,0),1)&gt;=100000,INDEX($AO$1005:$BQ$1005,1,MATCH(COLUMNS($AO$1006:AW1006),$AO$1006:$BQ$1006,0))&gt;=100000), " ",IF(INDEX($AO$2:$BQ$1001,MATCH(ROWS($AH$2:AH994),$AH$2:$AH$1001,0),MATCH(COLUMNS($AO$1006:AW1006),$AO$1006:$BQ$1006,0)), HYPERLINK("#",""), HYPERLINK(CONCATENATE("#Metadata!", ADDRESS(INDEX($AJ$2:$AJ$1001,MATCH(ROWS($AH$2:AH994),$AH$2:$AH$1001,0),0), INDEX($AO$1004:$BQ$1004,1,MATCH(COLUMNS($AO$1006:AW1006),$AO$1006:$BQ$1006,0)))),"Fix")))</f>
        <v>#N/A</v>
      </c>
      <c r="K994" s="5" t="e">
        <f ca="1">IF(OR(INDEX($AI$2:$AI$1001,MATCH(ROWS($AH$2:AH994),$AH$2:$AH$1001,0),1)&gt;=100000,INDEX($AO$1005:$BQ$1005,1,MATCH(COLUMNS($AO$1006:AX1006),$AO$1006:$BQ$1006,0))&gt;=100000), " ",IF(INDEX($AO$2:$BQ$1001,MATCH(ROWS($AH$2:AH994),$AH$2:$AH$1001,0),MATCH(COLUMNS($AO$1006:AX1006),$AO$1006:$BQ$1006,0)), HYPERLINK("#",""), HYPERLINK(CONCATENATE("#Metadata!", ADDRESS(INDEX($AJ$2:$AJ$1001,MATCH(ROWS($AH$2:AH994),$AH$2:$AH$1001,0),0), INDEX($AO$1004:$BQ$1004,1,MATCH(COLUMNS($AO$1006:AX1006),$AO$1006:$BQ$1006,0)))),"Fix")))</f>
        <v>#N/A</v>
      </c>
      <c r="L994" s="5" t="e">
        <f ca="1">IF(OR(INDEX($AI$2:$AI$1001,MATCH(ROWS($AH$2:AH994),$AH$2:$AH$1001,0),1)&gt;=100000,INDEX($AO$1005:$BQ$1005,1,MATCH(COLUMNS($AO$1006:AY1006),$AO$1006:$BQ$1006,0))&gt;=100000), " ",IF(INDEX($AO$2:$BQ$1001,MATCH(ROWS($AH$2:AH994),$AH$2:$AH$1001,0),MATCH(COLUMNS($AO$1006:AY1006),$AO$1006:$BQ$1006,0)), HYPERLINK("#",""), HYPERLINK(CONCATENATE("#Metadata!", ADDRESS(INDEX($AJ$2:$AJ$1001,MATCH(ROWS($AH$2:AH994),$AH$2:$AH$1001,0),0), INDEX($AO$1004:$BQ$1004,1,MATCH(COLUMNS($AO$1006:AY1006),$AO$1006:$BQ$1006,0)))),"Fix")))</f>
        <v>#N/A</v>
      </c>
      <c r="M994" s="5" t="e">
        <f ca="1">IF(OR(INDEX($AI$2:$AI$1001,MATCH(ROWS($AH$2:AH994),$AH$2:$AH$1001,0),1)&gt;=100000,INDEX($AO$1005:$BQ$1005,1,MATCH(COLUMNS($AO$1006:AZ1006),$AO$1006:$BQ$1006,0))&gt;=100000), " ",IF(INDEX($AO$2:$BQ$1001,MATCH(ROWS($AH$2:AH994),$AH$2:$AH$1001,0),MATCH(COLUMNS($AO$1006:AZ1006),$AO$1006:$BQ$1006,0)), HYPERLINK("#",""), HYPERLINK(CONCATENATE("#Metadata!", ADDRESS(INDEX($AJ$2:$AJ$1001,MATCH(ROWS($AH$2:AH994),$AH$2:$AH$1001,0),0), INDEX($AO$1004:$BQ$1004,1,MATCH(COLUMNS($AO$1006:AZ1006),$AO$1006:$BQ$1006,0)))),"Fix")))</f>
        <v>#N/A</v>
      </c>
      <c r="N994" s="5" t="e">
        <f ca="1">IF(OR(INDEX($AI$2:$AI$1001,MATCH(ROWS($AH$2:AH994),$AH$2:$AH$1001,0),1)&gt;=100000,INDEX($AO$1005:$BQ$1005,1,MATCH(COLUMNS($AO$1006:BA1006),$AO$1006:$BQ$1006,0))&gt;=100000), " ",IF(INDEX($AO$2:$BQ$1001,MATCH(ROWS($AH$2:AH994),$AH$2:$AH$1001,0),MATCH(COLUMNS($AO$1006:BA1006),$AO$1006:$BQ$1006,0)), HYPERLINK("#",""), HYPERLINK(CONCATENATE("#Metadata!", ADDRESS(INDEX($AJ$2:$AJ$1001,MATCH(ROWS($AH$2:AH994),$AH$2:$AH$1001,0),0), INDEX($AO$1004:$BQ$1004,1,MATCH(COLUMNS($AO$1006:BA1006),$AO$1006:$BQ$1006,0)))),"Fix")))</f>
        <v>#N/A</v>
      </c>
      <c r="O994" s="5" t="e">
        <f ca="1">IF(OR(INDEX($AI$2:$AI$1001,MATCH(ROWS($AH$2:AH994),$AH$2:$AH$1001,0),1)&gt;=100000,INDEX($AO$1005:$BQ$1005,1,MATCH(COLUMNS($AO$1006:BB1006),$AO$1006:$BQ$1006,0))&gt;=100000), " ",IF(INDEX($AO$2:$BQ$1001,MATCH(ROWS($AH$2:AH994),$AH$2:$AH$1001,0),MATCH(COLUMNS($AO$1006:BB1006),$AO$1006:$BQ$1006,0)), HYPERLINK("#",""), HYPERLINK(CONCATENATE("#Metadata!", ADDRESS(INDEX($AJ$2:$AJ$1001,MATCH(ROWS($AH$2:AH994),$AH$2:$AH$1001,0),0), INDEX($AO$1004:$BQ$1004,1,MATCH(COLUMNS($AO$1006:BB1006),$AO$1006:$BQ$1006,0)))),"Fix")))</f>
        <v>#N/A</v>
      </c>
      <c r="P994" s="5" t="e">
        <f ca="1">IF(OR(INDEX($AI$2:$AI$1001,MATCH(ROWS($AH$2:AH994),$AH$2:$AH$1001,0),1)&gt;=100000,INDEX($AO$1005:$BQ$1005,1,MATCH(COLUMNS($AO$1006:BC1006),$AO$1006:$BQ$1006,0))&gt;=100000), " ",IF(INDEX($AO$2:$BQ$1001,MATCH(ROWS($AH$2:AH994),$AH$2:$AH$1001,0),MATCH(COLUMNS($AO$1006:BC1006),$AO$1006:$BQ$1006,0)), HYPERLINK("#",""), HYPERLINK(CONCATENATE("#Metadata!", ADDRESS(INDEX($AJ$2:$AJ$1001,MATCH(ROWS($AH$2:AH994),$AH$2:$AH$1001,0),0), INDEX($AO$1004:$BQ$1004,1,MATCH(COLUMNS($AO$1006:BC1006),$AO$1006:$BQ$1006,0)))),"Fix")))</f>
        <v>#N/A</v>
      </c>
      <c r="Q994" s="5" t="e">
        <f ca="1">IF(OR(INDEX($AI$2:$AI$1001,MATCH(ROWS($AH$2:AH994),$AH$2:$AH$1001,0),1)&gt;=100000,INDEX($AO$1005:$BQ$1005,1,MATCH(COLUMNS($AO$1006:BD1006),$AO$1006:$BQ$1006,0))&gt;=100000), " ",IF(INDEX($AO$2:$BQ$1001,MATCH(ROWS($AH$2:AH994),$AH$2:$AH$1001,0),MATCH(COLUMNS($AO$1006:BD1006),$AO$1006:$BQ$1006,0)), HYPERLINK("#",""), HYPERLINK(CONCATENATE("#Metadata!", ADDRESS(INDEX($AJ$2:$AJ$1001,MATCH(ROWS($AH$2:AH994),$AH$2:$AH$1001,0),0), INDEX($AO$1004:$BQ$1004,1,MATCH(COLUMNS($AO$1006:BD1006),$AO$1006:$BQ$1006,0)))),"Fix")))</f>
        <v>#N/A</v>
      </c>
      <c r="R994" s="5" t="e">
        <f ca="1">IF(OR(INDEX($AI$2:$AI$1001,MATCH(ROWS($AH$2:AH994),$AH$2:$AH$1001,0),1)&gt;=100000,INDEX($AO$1005:$BQ$1005,1,MATCH(COLUMNS($AO$1006:BE1006),$AO$1006:$BQ$1006,0))&gt;=100000), " ",IF(INDEX($AO$2:$BQ$1001,MATCH(ROWS($AH$2:AH994),$AH$2:$AH$1001,0),MATCH(COLUMNS($AO$1006:BE1006),$AO$1006:$BQ$1006,0)), HYPERLINK("#",""), HYPERLINK(CONCATENATE("#Metadata!", ADDRESS(INDEX($AJ$2:$AJ$1001,MATCH(ROWS($AH$2:AH994),$AH$2:$AH$1001,0),0), INDEX($AO$1004:$BQ$1004,1,MATCH(COLUMNS($AO$1006:BE1006),$AO$1006:$BQ$1006,0)))),"Fix")))</f>
        <v>#N/A</v>
      </c>
      <c r="S994" s="5" t="e">
        <f ca="1">IF(OR(INDEX($AI$2:$AI$1001,MATCH(ROWS($AH$2:AH994),$AH$2:$AH$1001,0),1)&gt;=100000,INDEX($AO$1005:$BQ$1005,1,MATCH(COLUMNS($AO$1006:BF1006),$AO$1006:$BQ$1006,0))&gt;=100000), " ",IF(INDEX($AO$2:$BQ$1001,MATCH(ROWS($AH$2:AH994),$AH$2:$AH$1001,0),MATCH(COLUMNS($AO$1006:BF1006),$AO$1006:$BQ$1006,0)), HYPERLINK("#",""), HYPERLINK(CONCATENATE("#Metadata!", ADDRESS(INDEX($AJ$2:$AJ$1001,MATCH(ROWS($AH$2:AH994),$AH$2:$AH$1001,0),0), INDEX($AO$1004:$BQ$1004,1,MATCH(COLUMNS($AO$1006:BF1006),$AO$1006:$BQ$1006,0)))),"Fix")))</f>
        <v>#N/A</v>
      </c>
      <c r="T994" s="5" t="e">
        <f ca="1">IF(OR(INDEX($AI$2:$AI$1001,MATCH(ROWS($AH$2:AH994),$AH$2:$AH$1001,0),1)&gt;=100000,INDEX($AO$1005:$BQ$1005,1,MATCH(COLUMNS($AO$1006:BG1006),$AO$1006:$BQ$1006,0))&gt;=100000), " ",IF(INDEX($AO$2:$BQ$1001,MATCH(ROWS($AH$2:AH994),$AH$2:$AH$1001,0),MATCH(COLUMNS($AO$1006:BG1006),$AO$1006:$BQ$1006,0)), HYPERLINK("#",""), HYPERLINK(CONCATENATE("#Metadata!", ADDRESS(INDEX($AJ$2:$AJ$1001,MATCH(ROWS($AH$2:AH994),$AH$2:$AH$1001,0),0), INDEX($AO$1004:$BQ$1004,1,MATCH(COLUMNS($AO$1006:BG1006),$AO$1006:$BQ$1006,0)))),"Fix")))</f>
        <v>#N/A</v>
      </c>
      <c r="U994" s="5" t="e">
        <f ca="1">IF(OR(INDEX($AI$2:$AI$1001,MATCH(ROWS($AH$2:AH994),$AH$2:$AH$1001,0),1)&gt;=100000,INDEX($AO$1005:$BQ$1005,1,MATCH(COLUMNS($AO$1006:BH1006),$AO$1006:$BQ$1006,0))&gt;=100000), " ",IF(INDEX($AO$2:$BQ$1001,MATCH(ROWS($AH$2:AH994),$AH$2:$AH$1001,0),MATCH(COLUMNS($AO$1006:BH1006),$AO$1006:$BQ$1006,0)), HYPERLINK("#",""), HYPERLINK(CONCATENATE("#Metadata!", ADDRESS(INDEX($AJ$2:$AJ$1001,MATCH(ROWS($AH$2:AH994),$AH$2:$AH$1001,0),0), INDEX($AO$1004:$BQ$1004,1,MATCH(COLUMNS($AO$1006:BH1006),$AO$1006:$BQ$1006,0)))),"Fix")))</f>
        <v>#N/A</v>
      </c>
      <c r="V994" s="5" t="e">
        <f ca="1">IF(OR(INDEX($AI$2:$AI$1001,MATCH(ROWS($AH$2:AH994),$AH$2:$AH$1001,0),1)&gt;=100000,INDEX($AO$1005:$BQ$1005,1,MATCH(COLUMNS($AO$1006:BI1006),$AO$1006:$BQ$1006,0))&gt;=100000), " ",IF(INDEX($AO$2:$BQ$1001,MATCH(ROWS($AH$2:AH994),$AH$2:$AH$1001,0),MATCH(COLUMNS($AO$1006:BI1006),$AO$1006:$BQ$1006,0)), HYPERLINK("#",""), HYPERLINK(CONCATENATE("#Metadata!", ADDRESS(INDEX($AJ$2:$AJ$1001,MATCH(ROWS($AH$2:AH994),$AH$2:$AH$1001,0),0), INDEX($AO$1004:$BQ$1004,1,MATCH(COLUMNS($AO$1006:BI1006),$AO$1006:$BQ$1006,0)))),"Fix")))</f>
        <v>#N/A</v>
      </c>
      <c r="W994" s="5" t="e">
        <f ca="1">IF(OR(INDEX($AI$2:$AI$1001,MATCH(ROWS($AH$2:AH994),$AH$2:$AH$1001,0),1)&gt;=100000,INDEX($AO$1005:$BQ$1005,1,MATCH(COLUMNS($AO$1006:BJ1006),$AO$1006:$BQ$1006,0))&gt;=100000), " ",IF(INDEX($AO$2:$BQ$1001,MATCH(ROWS($AH$2:AH994),$AH$2:$AH$1001,0),MATCH(COLUMNS($AO$1006:BJ1006),$AO$1006:$BQ$1006,0)), HYPERLINK("#",""), HYPERLINK(CONCATENATE("#Metadata!", ADDRESS(INDEX($AJ$2:$AJ$1001,MATCH(ROWS($AH$2:AH994),$AH$2:$AH$1001,0),0), INDEX($AO$1004:$BQ$1004,1,MATCH(COLUMNS($AO$1006:BJ1006),$AO$1006:$BQ$1006,0)))),"Fix")))</f>
        <v>#N/A</v>
      </c>
      <c r="X994" s="5" t="e">
        <f ca="1">IF(OR(INDEX($AI$2:$AI$1001,MATCH(ROWS($AH$2:AH994),$AH$2:$AH$1001,0),1)&gt;=100000,INDEX($AO$1005:$BQ$1005,1,MATCH(COLUMNS($AO$1006:BK1006),$AO$1006:$BQ$1006,0))&gt;=100000), " ",IF(INDEX($AO$2:$BQ$1001,MATCH(ROWS($AH$2:AH994),$AH$2:$AH$1001,0),MATCH(COLUMNS($AO$1006:BK1006),$AO$1006:$BQ$1006,0)), HYPERLINK("#",""), HYPERLINK(CONCATENATE("#Metadata!", ADDRESS(INDEX($AJ$2:$AJ$1001,MATCH(ROWS($AH$2:AH994),$AH$2:$AH$1001,0),0), INDEX($AO$1004:$BQ$1004,1,MATCH(COLUMNS($AO$1006:BK1006),$AO$1006:$BQ$1006,0)))),"Fix")))</f>
        <v>#N/A</v>
      </c>
      <c r="Y994" s="5" t="e">
        <f ca="1">IF(OR(INDEX($AI$2:$AI$1001,MATCH(ROWS($AH$2:AH994),$AH$2:$AH$1001,0),1)&gt;=100000,INDEX($AO$1005:$BQ$1005,1,MATCH(COLUMNS($AO$1006:BL1006),$AO$1006:$BQ$1006,0))&gt;=100000), " ",IF(INDEX($AO$2:$BQ$1001,MATCH(ROWS($AH$2:AH994),$AH$2:$AH$1001,0),MATCH(COLUMNS($AO$1006:BL1006),$AO$1006:$BQ$1006,0)), HYPERLINK("#",""), HYPERLINK(CONCATENATE("#Metadata!", ADDRESS(INDEX($AJ$2:$AJ$1001,MATCH(ROWS($AH$2:AH994),$AH$2:$AH$1001,0),0), INDEX($AO$1004:$BQ$1004,1,MATCH(COLUMNS($AO$1006:BL1006),$AO$1006:$BQ$1006,0)))),"Fix")))</f>
        <v>#N/A</v>
      </c>
      <c r="Z994" s="5" t="e">
        <f ca="1">IF(OR(INDEX($AI$2:$AI$1001,MATCH(ROWS($AH$2:AH994),$AH$2:$AH$1001,0),1)&gt;=100000,INDEX($AO$1005:$BQ$1005,1,MATCH(COLUMNS($AO$1006:BM1006),$AO$1006:$BQ$1006,0))&gt;=100000), " ",IF(INDEX($AO$2:$BQ$1001,MATCH(ROWS($AH$2:AH994),$AH$2:$AH$1001,0),MATCH(COLUMNS($AO$1006:BM1006),$AO$1006:$BQ$1006,0)), HYPERLINK("#",""), HYPERLINK(CONCATENATE("#Metadata!", ADDRESS(INDEX($AJ$2:$AJ$1001,MATCH(ROWS($AH$2:AH994),$AH$2:$AH$1001,0),0), INDEX($AO$1004:$BQ$1004,1,MATCH(COLUMNS($AO$1006:BM1006),$AO$1006:$BQ$1006,0)))),"Fix")))</f>
        <v>#N/A</v>
      </c>
      <c r="AA994" s="5" t="e">
        <f ca="1">IF(OR(INDEX($AI$2:$AI$1001,MATCH(ROWS($AH$2:AH994),$AH$2:$AH$1001,0),1)&gt;=100000,INDEX($AO$1005:$BQ$1005,1,MATCH(COLUMNS($AO$1006:BN1006),$AO$1006:$BQ$1006,0))&gt;=100000), " ",IF(INDEX($AO$2:$BQ$1001,MATCH(ROWS($AH$2:AH994),$AH$2:$AH$1001,0),MATCH(COLUMNS($AO$1006:BN1006),$AO$1006:$BQ$1006,0)), HYPERLINK("#",""), HYPERLINK(CONCATENATE("#Metadata!", ADDRESS(INDEX($AJ$2:$AJ$1001,MATCH(ROWS($AH$2:AH994),$AH$2:$AH$1001,0),0), INDEX($AO$1004:$BQ$1004,1,MATCH(COLUMNS($AO$1006:BN1006),$AO$1006:$BQ$1006,0)))),"Fix")))</f>
        <v>#N/A</v>
      </c>
      <c r="AB994" s="5" t="e">
        <f ca="1">IF(OR(INDEX($AI$2:$AI$1001,MATCH(ROWS($AH$2:AH994),$AH$2:$AH$1001,0),1)&gt;=100000,INDEX($AO$1005:$BQ$1005,1,MATCH(COLUMNS($AO$1006:BO1006),$AO$1006:$BQ$1006,0))&gt;=100000), " ",IF(INDEX($AO$2:$BQ$1001,MATCH(ROWS($AH$2:AH994),$AH$2:$AH$1001,0),MATCH(COLUMNS($AO$1006:BO1006),$AO$1006:$BQ$1006,0)), HYPERLINK("#",""), HYPERLINK(CONCATENATE("#Metadata!", ADDRESS(INDEX($AJ$2:$AJ$1001,MATCH(ROWS($AH$2:AH994),$AH$2:$AH$1001,0),0), INDEX($AO$1004:$BQ$1004,1,MATCH(COLUMNS($AO$1006:BO1006),$AO$1006:$BQ$1006,0)))),"Fix")))</f>
        <v>#N/A</v>
      </c>
      <c r="AC994" s="5" t="e">
        <f ca="1">IF(OR(INDEX($AI$2:$AI$1001,MATCH(ROWS($AH$2:AH994),$AH$2:$AH$1001,0),1)&gt;=100000,INDEX($AO$1005:$BQ$1005,1,MATCH(COLUMNS($AO$1006:BP1006),$AO$1006:$BQ$1006,0))&gt;=100000), " ",IF(INDEX($AO$2:$BQ$1001,MATCH(ROWS($AH$2:AH994),$AH$2:$AH$1001,0),MATCH(COLUMNS($AO$1006:BP1006),$AO$1006:$BQ$1006,0)), HYPERLINK("#",""), HYPERLINK(CONCATENATE("#Metadata!", ADDRESS(INDEX($AJ$2:$AJ$1001,MATCH(ROWS($AH$2:AH994),$AH$2:$AH$1001,0),0), INDEX($AO$1004:$BQ$1004,1,MATCH(COLUMNS($AO$1006:BP1006),$AO$1006:$BQ$1006,0)))),"Fix")))</f>
        <v>#N/A</v>
      </c>
      <c r="AD994" s="5" t="e">
        <f ca="1">IF(OR(INDEX($AI$2:$AI$1001,MATCH(ROWS($AH$2:AH994),$AH$2:$AH$1001,0),1)&gt;=100000,INDEX($AO$1005:$BQ$1005,1,MATCH(COLUMNS($AO$1006:BQ1006),$AO$1006:$BQ$1006,0))&gt;=100000), " ",IF(INDEX($AO$2:$BQ$1001,MATCH(ROWS($AH$2:AH994),$AH$2:$AH$1001,0),MATCH(COLUMNS($AO$1006:BQ1006),$AO$1006:$BQ$1006,0)), HYPERLINK("#",""), HYPERLINK(CONCATENATE("#Metadata!", ADDRESS(INDEX($AJ$2:$AJ$1001,MATCH(ROWS($AH$2:AH994),$AH$2:$AH$1001,0),0), INDEX($AO$1004:$BQ$1004,1,MATCH(COLUMNS($AO$1006:BQ1006),$AO$1006:$BQ$1006,0)))),"Fix")))</f>
        <v>#REF!</v>
      </c>
      <c r="AH994">
        <f ca="1"/>
        <v>991</v>
      </c>
      <c r="AI994">
        <v>100994</v>
      </c>
      <c r="AJ994">
        <v>994</v>
      </c>
      <c r="AK994" t="b">
        <f t="shared" si="15"/>
        <v>1</v>
      </c>
      <c r="AL994" t="b">
        <f>COUNTBLANK(Metadata!B994:AD994)=COLUMNS(Metadata!B994:AD994)</f>
        <v>1</v>
      </c>
      <c r="AM994" t="str">
        <v/>
      </c>
      <c r="AO994" t="b">
        <f ca="1">AND(IF(Metadata!B994="",FALSE,TRUE),COUNTIF(Metadata!B:B, Metadata!B994) = 1,NOT(ISERROR(SUMPRODUCT(SEARCH(MID(Metadata!B994,ROW(INDIRECT("1:"&amp;LEN(Metadata!B994))), 1),"0123456789abcdefghijklmnopqrstuvwxyzABCDEFGHIJKLMNOPQRSTUVWXYZ.")))))</f>
        <v>0</v>
      </c>
      <c r="AP994" t="b">
        <f>IF(Metadata!C994="",FALSE,TRUE)</f>
        <v>0</v>
      </c>
      <c r="AQ994" t="b">
        <f>IF(Metadata!D994="",FALSE,TRUE)</f>
        <v>0</v>
      </c>
      <c r="AR994" t="b">
        <f ca="1">OR(AND(IF(Metadata!E994="",FALSE,TRUE),OR(EXACT(Metadata!E994,"not collected"),EXACT(Metadata!E994,"not provided"),EXACT(Metadata!E994,"restricted access"))),AND(IF(Metadata!E994="",FALSE,TRUE),AND(AND(IFERROR(INT(LEFT(Metadata!E994,4))&gt;1900,FALSE),IFERROR(INT(LEFT(Metadata!E994,4))&lt;=YEAR(NOW()),FALSE)), OR(MID(Metadata!E994,5,1)="", AND(AND(MID(Metadata!E994,5,1)="-",IFERROR(INT(MID(Metadata!E994,6,1))&gt;=0,FALSE),IFERROR(INT(MID(Metadata!E994,6,1))&lt;=1,FALSE),NOT(MID(Metadata!E994,7,1)=""),IFERROR(INT(MID(Metadata!E994,6,2))&gt;=1,FALSE),IFERROR(INT(MID(Metadata!E994,6,2))&lt;=12,FALSE)), OR(MID(Metadata!E994,8,1)="", AND(AND(MID(Metadata!E994,8,1)="-",IFERROR(INT(MID(Metadata!E994,9,1))&gt;=0,FALSE),IFERROR(INT(MID(Metadata!E994,9,1))&lt;=3,FALSE),NOT(MID(Metadata!E994,10,1)=""),IFERROR(INT(MID(Metadata!E994,9,2))&gt;=1,FALSE),IFERROR(INT(MID(Metadata!E994,9,2))&lt;=31,FALSE)), OR(MID(Metadata!E994,11,1)="", AND(AND(MID(Metadata!E994,11,1)=" ",IFERROR(INT(MID(Metadata!E994,12,1))&gt;=0,FALSE),IFERROR(INT(MID(Metadata!E994,12,1))&lt;=2,FALSE),NOT(MID(Metadata!E994,13,1)=""),IFERROR(INT(MID(Metadata!E994,12,2))&gt;=0,FALSE),IFERROR(INT(MID(Metadata!E994,12,2))&lt;=23,FALSE)), OR(MID(Metadata!E994,14,1)="", AND(AND(MID(Metadata!E994,14,1)=":",IFERROR(INT(MID(Metadata!E994,15,1))&gt;=0,FALSE),IFERROR(INT(MID(Metadata!E994,15,1))&lt;=5,FALSE),NOT(MID(Metadata!E994,16,1)=""),IFERROR(INT(MID(Metadata!E994,15,2))&gt;=0,FALSE),IFERROR(INT(MID(Metadata!E994,15,2))&lt;=59,FALSE)), OR(MID(Metadata!E994,17,1)="", AND(AND(MID(Metadata!E994,17,1)=":",IFERROR(INT(MID(Metadata!E994,18,1))&gt;=0,FALSE),IFERROR(INT(MID(Metadata!E994,18,1))&lt;=5,FALSE),NOT(MID(Metadata!E994,19,1)=""),IFERROR(INT(MID(Metadata!E994,18,2))&gt;=0,FALSE),IFERROR(INT(MID(Metadata!E994,18,2))&lt;=59,FALSE)), LEN(Metadata!E994)&lt;=19)))))))))))))</f>
        <v>0</v>
      </c>
      <c r="AS994" t="b">
        <f>IF(Metadata!F994="",FALSE,TRUE)</f>
        <v>0</v>
      </c>
      <c r="AT994" t="b">
        <f>OR(AND(IF(Metadata!G994="",FALSE,TRUE),OR(EXACT(Metadata!G994,"not collected"),EXACT(Metadata!G994,"not provided"))),AND(IF(Metadata!G994="",FALSE,TRUE),OR(EXACT(Metadata!G994,"TRUE"),EXACT(Metadata!G994,"FALSE"))))</f>
        <v>0</v>
      </c>
      <c r="AU994" t="b">
        <f>OR(AND(IF(Metadata!H994="",FALSE,TRUE),OR(EXACT(Metadata!H994,"not collected"),EXACT(Metadata!H994,"not provided"),EXACT(Metadata!H994,"restricted access"))),AND(IF(Metadata!H994="",FALSE,ISNUMBER(VALUE(Metadata!H994))),Metadata!H994&gt;=-413))</f>
        <v>0</v>
      </c>
      <c r="AV994" t="b">
        <f>AND(IF(Metadata!I994="",FALSE,TRUE),EXACT(Metadata!I994,"meters"))</f>
        <v>0</v>
      </c>
      <c r="AW994" t="b">
        <f>AND(IF(Metadata!J994="",FALSE,TRUE),EXACT(Metadata!J994,"free-living"))</f>
        <v>0</v>
      </c>
      <c r="AX994" t="b">
        <f>AND(IF(Metadata!K994="",FALSE,TRUE),OR(EXACT(Metadata!K994,"saline"),EXACT(Metadata!K994,"non-saline")))</f>
        <v>0</v>
      </c>
      <c r="AY994" t="b">
        <f>AND(IF(Metadata!L994="",FALSE,TRUE),OR(EXACT(Metadata!L994,"sub-surface (non-saline)"),EXACT(Metadata!L994,"surface (non-saline)"),EXACT(Metadata!L994,"water (non-saline)"),EXACT(Metadata!L994,"soil (non-saline)"),EXACT(Metadata!L994,"aerosol (non-saline)"),EXACT(Metadata!L994,"sediment (non-saline)"),EXACT(Metadata!L994,"surface (saline)"),EXACT(Metadata!L994,"water (saline)"),EXACT(Metadata!L994,"hypersaline (saline)"),EXACT(Metadata!L994,"aerosol (saline)"),EXACT(Metadata!L994,"sediment (saline)")))</f>
        <v>0</v>
      </c>
      <c r="AZ994" t="b">
        <f>IF(Metadata!M994="",FALSE,TRUE)</f>
        <v>0</v>
      </c>
      <c r="BA994" t="b">
        <f>IF(Metadata!N994="",FALSE,TRUE)</f>
        <v>0</v>
      </c>
      <c r="BB994" t="b">
        <f>IF(Metadata!O994="",FALSE,TRUE)</f>
        <v>0</v>
      </c>
      <c r="BC994" t="b">
        <f>AND(IF(Metadata!P994="",FALSE,TRUE),OR(EXACT(Metadata!P994,"air"),EXACT(Metadata!P994,"microbial mat/biofilm"),EXACT(Metadata!P994,"misc environment"),EXACT(Metadata!P994,"sediment"),EXACT(Metadata!P994,"soil"),EXACT(Metadata!P994,"wastewater/sludge"),EXACT(Metadata!P994,"water")))</f>
        <v>0</v>
      </c>
      <c r="BD994" t="b">
        <f>IF(Metadata!Q994="",FALSE,TRUE)</f>
        <v>0</v>
      </c>
      <c r="BE994" t="b">
        <f>IF(Metadata!R994="",FALSE,TRUE)</f>
        <v>0</v>
      </c>
      <c r="BF994" t="b">
        <f>OR(AND(IF(Metadata!S994="",FALSE,TRUE),OR(EXACT(Metadata!S994,"not collected"),EXACT(Metadata!S994,"not provided"),EXACT(Metadata!S994,"restricted access"))),AND(IF(Metadata!S994="",FALSE,ISNUMBER(VALUE(Metadata!S994))),Metadata!S994&gt;=-90,Metadata!S994&lt;=90))</f>
        <v>0</v>
      </c>
      <c r="BG994" t="b">
        <f>AND(IF(Metadata!T994="",FALSE,TRUE),EXACT(Metadata!T994,"Decimal degrees"))</f>
        <v>0</v>
      </c>
      <c r="BH994" t="b">
        <f>OR(AND(IF(Metadata!U994="",FALSE,TRUE),OR(EXACT(Metadata!U994,"not applicable"),EXACT(Metadata!U994,"not collected"))),IF(Metadata!U994="",FALSE,TRUE))</f>
        <v>0</v>
      </c>
      <c r="BI994" t="b">
        <f>OR(AND(IF(Metadata!V994="",FALSE,TRUE),OR(EXACT(Metadata!V994,"not collected"),EXACT(Metadata!V994,"not provided"),EXACT(Metadata!V994,"restricted access"))),AND(IF(Metadata!V994="",FALSE,ISNUMBER(VALUE(Metadata!V994))),Metadata!V994&gt;=-180,Metadata!V994&lt;=180))</f>
        <v>0</v>
      </c>
      <c r="BJ994" t="b">
        <f>AND(IF(Metadata!W994="",FALSE,TRUE),EXACT(Metadata!W994,"Decimal degrees"))</f>
        <v>0</v>
      </c>
      <c r="BK994" t="b">
        <f>IF(Metadata!X994="",FALSE,TRUE)</f>
        <v>0</v>
      </c>
      <c r="BL994" t="b">
        <f>OR(AND(IF(Metadata!Y994="",FALSE,TRUE),OR(EXACT(Metadata!Y994,"not collected"),EXACT(Metadata!Y994,"not provided"),EXACT(Metadata!Y994,"restricted access"))),AND(IF(Metadata!Y994="",FALSE,TRUE),OR(EXACT(Metadata!Y994,"TRUE"),EXACT(Metadata!Y994,"FALSE"))))</f>
        <v>0</v>
      </c>
      <c r="BM994" t="b">
        <f>OR(AND(IF(Metadata!Z994="",FALSE,TRUE),EXACT(Metadata!Z994,"not applicable")),AND(IF(Metadata!Z994="",FALSE,TRUE),OR(EXACT(Metadata!Z994,"beer"),EXACT(Metadata!Z994,"cheese"),EXACT(Metadata!Z994,"fresh water"),EXACT(Metadata!Z994,"marine sediment"),EXACT(Metadata!Z994,"sea water"),EXACT(Metadata!Z994,"sediment"),EXACT(Metadata!Z994,"soil"),EXACT(Metadata!Z994,"waste water"))))</f>
        <v>0</v>
      </c>
      <c r="BN994" t="b">
        <f>AND(IF(Metadata!AA994="",FALSE,TRUE),EXACT(Metadata!AA994,"metagenome"))</f>
        <v>0</v>
      </c>
      <c r="BO994" t="b">
        <f>AND(IF(Metadata!AB994="",FALSE,TRUE),EXACT(Metadata!AB994,"256318"))</f>
        <v>0</v>
      </c>
      <c r="BP994" t="b">
        <f>IF(Metadata!AC994="",FALSE,TRUE)</f>
        <v>0</v>
      </c>
      <c r="BQ994" t="b">
        <f>IF(Metadata!AD994="",FALSE,TRUE)</f>
        <v>0</v>
      </c>
    </row>
    <row r="995" spans="1:69" x14ac:dyDescent="0.2">
      <c r="A995" s="4" t="e">
        <f ca="1">IF(B995=" "," ",HYPERLINK(CONCATENATE("#metadata!",ADDRESS(INDEX($AJ$2:$AJ$1001,MATCH(ROWS($AH$2:AH995),$AH$2:$AH$1001,0),0),2)),INDEX($AM$2:$AM$1001,MATCH(ROWS($AH$2:AH995),$AH$2:$AH$1001,0),0)))</f>
        <v>#N/A</v>
      </c>
      <c r="B995" s="5" t="e">
        <f ca="1">IF(OR(INDEX($AI$2:$AI$1001,MATCH(ROWS($AH$2:AH995),$AH$2:$AH$1001,0),1)&gt;=100000,INDEX($AO$1005:$BQ$1005,1,MATCH(COLUMNS($AO$1006:AO1006),$AO$1006:$BQ$1006,0))&gt;=100000), " ",IF(INDEX($AO$2:$BQ$1001,MATCH(ROWS($AH$2:AH995),$AH$2:$AH$1001,0),MATCH(COLUMNS($AO$1006:AO1006),$AO$1006:$BQ$1006,0)), HYPERLINK("#",""), HYPERLINK(CONCATENATE("#Metadata!", ADDRESS(INDEX($AJ$2:$AJ$1001,MATCH(ROWS($AH$2:AH995),$AH$2:$AH$1001,0),0), INDEX($AO$1004:$BQ$1004,1,MATCH(COLUMNS($AO$1006:AO1006),$AO$1006:$BQ$1006,0)))),"Fix")))</f>
        <v>#N/A</v>
      </c>
      <c r="C995" s="5" t="e">
        <f ca="1">IF(OR(INDEX($AI$2:$AI$1001,MATCH(ROWS($AH$2:AH995),$AH$2:$AH$1001,0),1)&gt;=100000,INDEX($AO$1005:$BQ$1005,1,MATCH(COLUMNS($AO$1006:AP1006),$AO$1006:$BQ$1006,0))&gt;=100000), " ",IF(INDEX($AO$2:$BQ$1001,MATCH(ROWS($AH$2:AH995),$AH$2:$AH$1001,0),MATCH(COLUMNS($AO$1006:AP1006),$AO$1006:$BQ$1006,0)), HYPERLINK("#",""), HYPERLINK(CONCATENATE("#Metadata!", ADDRESS(INDEX($AJ$2:$AJ$1001,MATCH(ROWS($AH$2:AH995),$AH$2:$AH$1001,0),0), INDEX($AO$1004:$BQ$1004,1,MATCH(COLUMNS($AO$1006:AP1006),$AO$1006:$BQ$1006,0)))),"Fix")))</f>
        <v>#N/A</v>
      </c>
      <c r="D995" s="5" t="e">
        <f ca="1">IF(OR(INDEX($AI$2:$AI$1001,MATCH(ROWS($AH$2:AH995),$AH$2:$AH$1001,0),1)&gt;=100000,INDEX($AO$1005:$BQ$1005,1,MATCH(COLUMNS($AO$1006:AQ1006),$AO$1006:$BQ$1006,0))&gt;=100000), " ",IF(INDEX($AO$2:$BQ$1001,MATCH(ROWS($AH$2:AH995),$AH$2:$AH$1001,0),MATCH(COLUMNS($AO$1006:AQ1006),$AO$1006:$BQ$1006,0)), HYPERLINK("#",""), HYPERLINK(CONCATENATE("#Metadata!", ADDRESS(INDEX($AJ$2:$AJ$1001,MATCH(ROWS($AH$2:AH995),$AH$2:$AH$1001,0),0), INDEX($AO$1004:$BQ$1004,1,MATCH(COLUMNS($AO$1006:AQ1006),$AO$1006:$BQ$1006,0)))),"Fix")))</f>
        <v>#N/A</v>
      </c>
      <c r="E995" s="5" t="e">
        <f ca="1">IF(OR(INDEX($AI$2:$AI$1001,MATCH(ROWS($AH$2:AH995),$AH$2:$AH$1001,0),1)&gt;=100000,INDEX($AO$1005:$BQ$1005,1,MATCH(COLUMNS($AO$1006:AR1006),$AO$1006:$BQ$1006,0))&gt;=100000), " ",IF(INDEX($AO$2:$BQ$1001,MATCH(ROWS($AH$2:AH995),$AH$2:$AH$1001,0),MATCH(COLUMNS($AO$1006:AR1006),$AO$1006:$BQ$1006,0)), HYPERLINK("#",""), HYPERLINK(CONCATENATE("#Metadata!", ADDRESS(INDEX($AJ$2:$AJ$1001,MATCH(ROWS($AH$2:AH995),$AH$2:$AH$1001,0),0), INDEX($AO$1004:$BQ$1004,1,MATCH(COLUMNS($AO$1006:AR1006),$AO$1006:$BQ$1006,0)))),"Fix")))</f>
        <v>#N/A</v>
      </c>
      <c r="F995" s="5" t="e">
        <f ca="1">IF(OR(INDEX($AI$2:$AI$1001,MATCH(ROWS($AH$2:AH995),$AH$2:$AH$1001,0),1)&gt;=100000,INDEX($AO$1005:$BQ$1005,1,MATCH(COLUMNS($AO$1006:AS1006),$AO$1006:$BQ$1006,0))&gt;=100000), " ",IF(INDEX($AO$2:$BQ$1001,MATCH(ROWS($AH$2:AH995),$AH$2:$AH$1001,0),MATCH(COLUMNS($AO$1006:AS1006),$AO$1006:$BQ$1006,0)), HYPERLINK("#",""), HYPERLINK(CONCATENATE("#Metadata!", ADDRESS(INDEX($AJ$2:$AJ$1001,MATCH(ROWS($AH$2:AH995),$AH$2:$AH$1001,0),0), INDEX($AO$1004:$BQ$1004,1,MATCH(COLUMNS($AO$1006:AS1006),$AO$1006:$BQ$1006,0)))),"Fix")))</f>
        <v>#N/A</v>
      </c>
      <c r="G995" s="5" t="e">
        <f ca="1">IF(OR(INDEX($AI$2:$AI$1001,MATCH(ROWS($AH$2:AH995),$AH$2:$AH$1001,0),1)&gt;=100000,INDEX($AO$1005:$BQ$1005,1,MATCH(COLUMNS($AO$1006:AT1006),$AO$1006:$BQ$1006,0))&gt;=100000), " ",IF(INDEX($AO$2:$BQ$1001,MATCH(ROWS($AH$2:AH995),$AH$2:$AH$1001,0),MATCH(COLUMNS($AO$1006:AT1006),$AO$1006:$BQ$1006,0)), HYPERLINK("#",""), HYPERLINK(CONCATENATE("#Metadata!", ADDRESS(INDEX($AJ$2:$AJ$1001,MATCH(ROWS($AH$2:AH995),$AH$2:$AH$1001,0),0), INDEX($AO$1004:$BQ$1004,1,MATCH(COLUMNS($AO$1006:AT1006),$AO$1006:$BQ$1006,0)))),"Fix")))</f>
        <v>#N/A</v>
      </c>
      <c r="H995" s="5" t="e">
        <f ca="1">IF(OR(INDEX($AI$2:$AI$1001,MATCH(ROWS($AH$2:AH995),$AH$2:$AH$1001,0),1)&gt;=100000,INDEX($AO$1005:$BQ$1005,1,MATCH(COLUMNS($AO$1006:AU1006),$AO$1006:$BQ$1006,0))&gt;=100000), " ",IF(INDEX($AO$2:$BQ$1001,MATCH(ROWS($AH$2:AH995),$AH$2:$AH$1001,0),MATCH(COLUMNS($AO$1006:AU1006),$AO$1006:$BQ$1006,0)), HYPERLINK("#",""), HYPERLINK(CONCATENATE("#Metadata!", ADDRESS(INDEX($AJ$2:$AJ$1001,MATCH(ROWS($AH$2:AH995),$AH$2:$AH$1001,0),0), INDEX($AO$1004:$BQ$1004,1,MATCH(COLUMNS($AO$1006:AU1006),$AO$1006:$BQ$1006,0)))),"Fix")))</f>
        <v>#N/A</v>
      </c>
      <c r="I995" s="5" t="e">
        <f ca="1">IF(OR(INDEX($AI$2:$AI$1001,MATCH(ROWS($AH$2:AH995),$AH$2:$AH$1001,0),1)&gt;=100000,INDEX($AO$1005:$BQ$1005,1,MATCH(COLUMNS($AO$1006:AV1006),$AO$1006:$BQ$1006,0))&gt;=100000), " ",IF(INDEX($AO$2:$BQ$1001,MATCH(ROWS($AH$2:AH995),$AH$2:$AH$1001,0),MATCH(COLUMNS($AO$1006:AV1006),$AO$1006:$BQ$1006,0)), HYPERLINK("#",""), HYPERLINK(CONCATENATE("#Metadata!", ADDRESS(INDEX($AJ$2:$AJ$1001,MATCH(ROWS($AH$2:AH995),$AH$2:$AH$1001,0),0), INDEX($AO$1004:$BQ$1004,1,MATCH(COLUMNS($AO$1006:AV1006),$AO$1006:$BQ$1006,0)))),"Fix")))</f>
        <v>#N/A</v>
      </c>
      <c r="J995" s="5" t="e">
        <f ca="1">IF(OR(INDEX($AI$2:$AI$1001,MATCH(ROWS($AH$2:AH995),$AH$2:$AH$1001,0),1)&gt;=100000,INDEX($AO$1005:$BQ$1005,1,MATCH(COLUMNS($AO$1006:AW1006),$AO$1006:$BQ$1006,0))&gt;=100000), " ",IF(INDEX($AO$2:$BQ$1001,MATCH(ROWS($AH$2:AH995),$AH$2:$AH$1001,0),MATCH(COLUMNS($AO$1006:AW1006),$AO$1006:$BQ$1006,0)), HYPERLINK("#",""), HYPERLINK(CONCATENATE("#Metadata!", ADDRESS(INDEX($AJ$2:$AJ$1001,MATCH(ROWS($AH$2:AH995),$AH$2:$AH$1001,0),0), INDEX($AO$1004:$BQ$1004,1,MATCH(COLUMNS($AO$1006:AW1006),$AO$1006:$BQ$1006,0)))),"Fix")))</f>
        <v>#N/A</v>
      </c>
      <c r="K995" s="5" t="e">
        <f ca="1">IF(OR(INDEX($AI$2:$AI$1001,MATCH(ROWS($AH$2:AH995),$AH$2:$AH$1001,0),1)&gt;=100000,INDEX($AO$1005:$BQ$1005,1,MATCH(COLUMNS($AO$1006:AX1006),$AO$1006:$BQ$1006,0))&gt;=100000), " ",IF(INDEX($AO$2:$BQ$1001,MATCH(ROWS($AH$2:AH995),$AH$2:$AH$1001,0),MATCH(COLUMNS($AO$1006:AX1006),$AO$1006:$BQ$1006,0)), HYPERLINK("#",""), HYPERLINK(CONCATENATE("#Metadata!", ADDRESS(INDEX($AJ$2:$AJ$1001,MATCH(ROWS($AH$2:AH995),$AH$2:$AH$1001,0),0), INDEX($AO$1004:$BQ$1004,1,MATCH(COLUMNS($AO$1006:AX1006),$AO$1006:$BQ$1006,0)))),"Fix")))</f>
        <v>#N/A</v>
      </c>
      <c r="L995" s="5" t="e">
        <f ca="1">IF(OR(INDEX($AI$2:$AI$1001,MATCH(ROWS($AH$2:AH995),$AH$2:$AH$1001,0),1)&gt;=100000,INDEX($AO$1005:$BQ$1005,1,MATCH(COLUMNS($AO$1006:AY1006),$AO$1006:$BQ$1006,0))&gt;=100000), " ",IF(INDEX($AO$2:$BQ$1001,MATCH(ROWS($AH$2:AH995),$AH$2:$AH$1001,0),MATCH(COLUMNS($AO$1006:AY1006),$AO$1006:$BQ$1006,0)), HYPERLINK("#",""), HYPERLINK(CONCATENATE("#Metadata!", ADDRESS(INDEX($AJ$2:$AJ$1001,MATCH(ROWS($AH$2:AH995),$AH$2:$AH$1001,0),0), INDEX($AO$1004:$BQ$1004,1,MATCH(COLUMNS($AO$1006:AY1006),$AO$1006:$BQ$1006,0)))),"Fix")))</f>
        <v>#N/A</v>
      </c>
      <c r="M995" s="5" t="e">
        <f ca="1">IF(OR(INDEX($AI$2:$AI$1001,MATCH(ROWS($AH$2:AH995),$AH$2:$AH$1001,0),1)&gt;=100000,INDEX($AO$1005:$BQ$1005,1,MATCH(COLUMNS($AO$1006:AZ1006),$AO$1006:$BQ$1006,0))&gt;=100000), " ",IF(INDEX($AO$2:$BQ$1001,MATCH(ROWS($AH$2:AH995),$AH$2:$AH$1001,0),MATCH(COLUMNS($AO$1006:AZ1006),$AO$1006:$BQ$1006,0)), HYPERLINK("#",""), HYPERLINK(CONCATENATE("#Metadata!", ADDRESS(INDEX($AJ$2:$AJ$1001,MATCH(ROWS($AH$2:AH995),$AH$2:$AH$1001,0),0), INDEX($AO$1004:$BQ$1004,1,MATCH(COLUMNS($AO$1006:AZ1006),$AO$1006:$BQ$1006,0)))),"Fix")))</f>
        <v>#N/A</v>
      </c>
      <c r="N995" s="5" t="e">
        <f ca="1">IF(OR(INDEX($AI$2:$AI$1001,MATCH(ROWS($AH$2:AH995),$AH$2:$AH$1001,0),1)&gt;=100000,INDEX($AO$1005:$BQ$1005,1,MATCH(COLUMNS($AO$1006:BA1006),$AO$1006:$BQ$1006,0))&gt;=100000), " ",IF(INDEX($AO$2:$BQ$1001,MATCH(ROWS($AH$2:AH995),$AH$2:$AH$1001,0),MATCH(COLUMNS($AO$1006:BA1006),$AO$1006:$BQ$1006,0)), HYPERLINK("#",""), HYPERLINK(CONCATENATE("#Metadata!", ADDRESS(INDEX($AJ$2:$AJ$1001,MATCH(ROWS($AH$2:AH995),$AH$2:$AH$1001,0),0), INDEX($AO$1004:$BQ$1004,1,MATCH(COLUMNS($AO$1006:BA1006),$AO$1006:$BQ$1006,0)))),"Fix")))</f>
        <v>#N/A</v>
      </c>
      <c r="O995" s="5" t="e">
        <f ca="1">IF(OR(INDEX($AI$2:$AI$1001,MATCH(ROWS($AH$2:AH995),$AH$2:$AH$1001,0),1)&gt;=100000,INDEX($AO$1005:$BQ$1005,1,MATCH(COLUMNS($AO$1006:BB1006),$AO$1006:$BQ$1006,0))&gt;=100000), " ",IF(INDEX($AO$2:$BQ$1001,MATCH(ROWS($AH$2:AH995),$AH$2:$AH$1001,0),MATCH(COLUMNS($AO$1006:BB1006),$AO$1006:$BQ$1006,0)), HYPERLINK("#",""), HYPERLINK(CONCATENATE("#Metadata!", ADDRESS(INDEX($AJ$2:$AJ$1001,MATCH(ROWS($AH$2:AH995),$AH$2:$AH$1001,0),0), INDEX($AO$1004:$BQ$1004,1,MATCH(COLUMNS($AO$1006:BB1006),$AO$1006:$BQ$1006,0)))),"Fix")))</f>
        <v>#N/A</v>
      </c>
      <c r="P995" s="5" t="e">
        <f ca="1">IF(OR(INDEX($AI$2:$AI$1001,MATCH(ROWS($AH$2:AH995),$AH$2:$AH$1001,0),1)&gt;=100000,INDEX($AO$1005:$BQ$1005,1,MATCH(COLUMNS($AO$1006:BC1006),$AO$1006:$BQ$1006,0))&gt;=100000), " ",IF(INDEX($AO$2:$BQ$1001,MATCH(ROWS($AH$2:AH995),$AH$2:$AH$1001,0),MATCH(COLUMNS($AO$1006:BC1006),$AO$1006:$BQ$1006,0)), HYPERLINK("#",""), HYPERLINK(CONCATENATE("#Metadata!", ADDRESS(INDEX($AJ$2:$AJ$1001,MATCH(ROWS($AH$2:AH995),$AH$2:$AH$1001,0),0), INDEX($AO$1004:$BQ$1004,1,MATCH(COLUMNS($AO$1006:BC1006),$AO$1006:$BQ$1006,0)))),"Fix")))</f>
        <v>#N/A</v>
      </c>
      <c r="Q995" s="5" t="e">
        <f ca="1">IF(OR(INDEX($AI$2:$AI$1001,MATCH(ROWS($AH$2:AH995),$AH$2:$AH$1001,0),1)&gt;=100000,INDEX($AO$1005:$BQ$1005,1,MATCH(COLUMNS($AO$1006:BD1006),$AO$1006:$BQ$1006,0))&gt;=100000), " ",IF(INDEX($AO$2:$BQ$1001,MATCH(ROWS($AH$2:AH995),$AH$2:$AH$1001,0),MATCH(COLUMNS($AO$1006:BD1006),$AO$1006:$BQ$1006,0)), HYPERLINK("#",""), HYPERLINK(CONCATENATE("#Metadata!", ADDRESS(INDEX($AJ$2:$AJ$1001,MATCH(ROWS($AH$2:AH995),$AH$2:$AH$1001,0),0), INDEX($AO$1004:$BQ$1004,1,MATCH(COLUMNS($AO$1006:BD1006),$AO$1006:$BQ$1006,0)))),"Fix")))</f>
        <v>#N/A</v>
      </c>
      <c r="R995" s="5" t="e">
        <f ca="1">IF(OR(INDEX($AI$2:$AI$1001,MATCH(ROWS($AH$2:AH995),$AH$2:$AH$1001,0),1)&gt;=100000,INDEX($AO$1005:$BQ$1005,1,MATCH(COLUMNS($AO$1006:BE1006),$AO$1006:$BQ$1006,0))&gt;=100000), " ",IF(INDEX($AO$2:$BQ$1001,MATCH(ROWS($AH$2:AH995),$AH$2:$AH$1001,0),MATCH(COLUMNS($AO$1006:BE1006),$AO$1006:$BQ$1006,0)), HYPERLINK("#",""), HYPERLINK(CONCATENATE("#Metadata!", ADDRESS(INDEX($AJ$2:$AJ$1001,MATCH(ROWS($AH$2:AH995),$AH$2:$AH$1001,0),0), INDEX($AO$1004:$BQ$1004,1,MATCH(COLUMNS($AO$1006:BE1006),$AO$1006:$BQ$1006,0)))),"Fix")))</f>
        <v>#N/A</v>
      </c>
      <c r="S995" s="5" t="e">
        <f ca="1">IF(OR(INDEX($AI$2:$AI$1001,MATCH(ROWS($AH$2:AH995),$AH$2:$AH$1001,0),1)&gt;=100000,INDEX($AO$1005:$BQ$1005,1,MATCH(COLUMNS($AO$1006:BF1006),$AO$1006:$BQ$1006,0))&gt;=100000), " ",IF(INDEX($AO$2:$BQ$1001,MATCH(ROWS($AH$2:AH995),$AH$2:$AH$1001,0),MATCH(COLUMNS($AO$1006:BF1006),$AO$1006:$BQ$1006,0)), HYPERLINK("#",""), HYPERLINK(CONCATENATE("#Metadata!", ADDRESS(INDEX($AJ$2:$AJ$1001,MATCH(ROWS($AH$2:AH995),$AH$2:$AH$1001,0),0), INDEX($AO$1004:$BQ$1004,1,MATCH(COLUMNS($AO$1006:BF1006),$AO$1006:$BQ$1006,0)))),"Fix")))</f>
        <v>#N/A</v>
      </c>
      <c r="T995" s="5" t="e">
        <f ca="1">IF(OR(INDEX($AI$2:$AI$1001,MATCH(ROWS($AH$2:AH995),$AH$2:$AH$1001,0),1)&gt;=100000,INDEX($AO$1005:$BQ$1005,1,MATCH(COLUMNS($AO$1006:BG1006),$AO$1006:$BQ$1006,0))&gt;=100000), " ",IF(INDEX($AO$2:$BQ$1001,MATCH(ROWS($AH$2:AH995),$AH$2:$AH$1001,0),MATCH(COLUMNS($AO$1006:BG1006),$AO$1006:$BQ$1006,0)), HYPERLINK("#",""), HYPERLINK(CONCATENATE("#Metadata!", ADDRESS(INDEX($AJ$2:$AJ$1001,MATCH(ROWS($AH$2:AH995),$AH$2:$AH$1001,0),0), INDEX($AO$1004:$BQ$1004,1,MATCH(COLUMNS($AO$1006:BG1006),$AO$1006:$BQ$1006,0)))),"Fix")))</f>
        <v>#N/A</v>
      </c>
      <c r="U995" s="5" t="e">
        <f ca="1">IF(OR(INDEX($AI$2:$AI$1001,MATCH(ROWS($AH$2:AH995),$AH$2:$AH$1001,0),1)&gt;=100000,INDEX($AO$1005:$BQ$1005,1,MATCH(COLUMNS($AO$1006:BH1006),$AO$1006:$BQ$1006,0))&gt;=100000), " ",IF(INDEX($AO$2:$BQ$1001,MATCH(ROWS($AH$2:AH995),$AH$2:$AH$1001,0),MATCH(COLUMNS($AO$1006:BH1006),$AO$1006:$BQ$1006,0)), HYPERLINK("#",""), HYPERLINK(CONCATENATE("#Metadata!", ADDRESS(INDEX($AJ$2:$AJ$1001,MATCH(ROWS($AH$2:AH995),$AH$2:$AH$1001,0),0), INDEX($AO$1004:$BQ$1004,1,MATCH(COLUMNS($AO$1006:BH1006),$AO$1006:$BQ$1006,0)))),"Fix")))</f>
        <v>#N/A</v>
      </c>
      <c r="V995" s="5" t="e">
        <f ca="1">IF(OR(INDEX($AI$2:$AI$1001,MATCH(ROWS($AH$2:AH995),$AH$2:$AH$1001,0),1)&gt;=100000,INDEX($AO$1005:$BQ$1005,1,MATCH(COLUMNS($AO$1006:BI1006),$AO$1006:$BQ$1006,0))&gt;=100000), " ",IF(INDEX($AO$2:$BQ$1001,MATCH(ROWS($AH$2:AH995),$AH$2:$AH$1001,0),MATCH(COLUMNS($AO$1006:BI1006),$AO$1006:$BQ$1006,0)), HYPERLINK("#",""), HYPERLINK(CONCATENATE("#Metadata!", ADDRESS(INDEX($AJ$2:$AJ$1001,MATCH(ROWS($AH$2:AH995),$AH$2:$AH$1001,0),0), INDEX($AO$1004:$BQ$1004,1,MATCH(COLUMNS($AO$1006:BI1006),$AO$1006:$BQ$1006,0)))),"Fix")))</f>
        <v>#N/A</v>
      </c>
      <c r="W995" s="5" t="e">
        <f ca="1">IF(OR(INDEX($AI$2:$AI$1001,MATCH(ROWS($AH$2:AH995),$AH$2:$AH$1001,0),1)&gt;=100000,INDEX($AO$1005:$BQ$1005,1,MATCH(COLUMNS($AO$1006:BJ1006),$AO$1006:$BQ$1006,0))&gt;=100000), " ",IF(INDEX($AO$2:$BQ$1001,MATCH(ROWS($AH$2:AH995),$AH$2:$AH$1001,0),MATCH(COLUMNS($AO$1006:BJ1006),$AO$1006:$BQ$1006,0)), HYPERLINK("#",""), HYPERLINK(CONCATENATE("#Metadata!", ADDRESS(INDEX($AJ$2:$AJ$1001,MATCH(ROWS($AH$2:AH995),$AH$2:$AH$1001,0),0), INDEX($AO$1004:$BQ$1004,1,MATCH(COLUMNS($AO$1006:BJ1006),$AO$1006:$BQ$1006,0)))),"Fix")))</f>
        <v>#N/A</v>
      </c>
      <c r="X995" s="5" t="e">
        <f ca="1">IF(OR(INDEX($AI$2:$AI$1001,MATCH(ROWS($AH$2:AH995),$AH$2:$AH$1001,0),1)&gt;=100000,INDEX($AO$1005:$BQ$1005,1,MATCH(COLUMNS($AO$1006:BK1006),$AO$1006:$BQ$1006,0))&gt;=100000), " ",IF(INDEX($AO$2:$BQ$1001,MATCH(ROWS($AH$2:AH995),$AH$2:$AH$1001,0),MATCH(COLUMNS($AO$1006:BK1006),$AO$1006:$BQ$1006,0)), HYPERLINK("#",""), HYPERLINK(CONCATENATE("#Metadata!", ADDRESS(INDEX($AJ$2:$AJ$1001,MATCH(ROWS($AH$2:AH995),$AH$2:$AH$1001,0),0), INDEX($AO$1004:$BQ$1004,1,MATCH(COLUMNS($AO$1006:BK1006),$AO$1006:$BQ$1006,0)))),"Fix")))</f>
        <v>#N/A</v>
      </c>
      <c r="Y995" s="5" t="e">
        <f ca="1">IF(OR(INDEX($AI$2:$AI$1001,MATCH(ROWS($AH$2:AH995),$AH$2:$AH$1001,0),1)&gt;=100000,INDEX($AO$1005:$BQ$1005,1,MATCH(COLUMNS($AO$1006:BL1006),$AO$1006:$BQ$1006,0))&gt;=100000), " ",IF(INDEX($AO$2:$BQ$1001,MATCH(ROWS($AH$2:AH995),$AH$2:$AH$1001,0),MATCH(COLUMNS($AO$1006:BL1006),$AO$1006:$BQ$1006,0)), HYPERLINK("#",""), HYPERLINK(CONCATENATE("#Metadata!", ADDRESS(INDEX($AJ$2:$AJ$1001,MATCH(ROWS($AH$2:AH995),$AH$2:$AH$1001,0),0), INDEX($AO$1004:$BQ$1004,1,MATCH(COLUMNS($AO$1006:BL1006),$AO$1006:$BQ$1006,0)))),"Fix")))</f>
        <v>#N/A</v>
      </c>
      <c r="Z995" s="5" t="e">
        <f ca="1">IF(OR(INDEX($AI$2:$AI$1001,MATCH(ROWS($AH$2:AH995),$AH$2:$AH$1001,0),1)&gt;=100000,INDEX($AO$1005:$BQ$1005,1,MATCH(COLUMNS($AO$1006:BM1006),$AO$1006:$BQ$1006,0))&gt;=100000), " ",IF(INDEX($AO$2:$BQ$1001,MATCH(ROWS($AH$2:AH995),$AH$2:$AH$1001,0),MATCH(COLUMNS($AO$1006:BM1006),$AO$1006:$BQ$1006,0)), HYPERLINK("#",""), HYPERLINK(CONCATENATE("#Metadata!", ADDRESS(INDEX($AJ$2:$AJ$1001,MATCH(ROWS($AH$2:AH995),$AH$2:$AH$1001,0),0), INDEX($AO$1004:$BQ$1004,1,MATCH(COLUMNS($AO$1006:BM1006),$AO$1006:$BQ$1006,0)))),"Fix")))</f>
        <v>#N/A</v>
      </c>
      <c r="AA995" s="5" t="e">
        <f ca="1">IF(OR(INDEX($AI$2:$AI$1001,MATCH(ROWS($AH$2:AH995),$AH$2:$AH$1001,0),1)&gt;=100000,INDEX($AO$1005:$BQ$1005,1,MATCH(COLUMNS($AO$1006:BN1006),$AO$1006:$BQ$1006,0))&gt;=100000), " ",IF(INDEX($AO$2:$BQ$1001,MATCH(ROWS($AH$2:AH995),$AH$2:$AH$1001,0),MATCH(COLUMNS($AO$1006:BN1006),$AO$1006:$BQ$1006,0)), HYPERLINK("#",""), HYPERLINK(CONCATENATE("#Metadata!", ADDRESS(INDEX($AJ$2:$AJ$1001,MATCH(ROWS($AH$2:AH995),$AH$2:$AH$1001,0),0), INDEX($AO$1004:$BQ$1004,1,MATCH(COLUMNS($AO$1006:BN1006),$AO$1006:$BQ$1006,0)))),"Fix")))</f>
        <v>#N/A</v>
      </c>
      <c r="AB995" s="5" t="e">
        <f ca="1">IF(OR(INDEX($AI$2:$AI$1001,MATCH(ROWS($AH$2:AH995),$AH$2:$AH$1001,0),1)&gt;=100000,INDEX($AO$1005:$BQ$1005,1,MATCH(COLUMNS($AO$1006:BO1006),$AO$1006:$BQ$1006,0))&gt;=100000), " ",IF(INDEX($AO$2:$BQ$1001,MATCH(ROWS($AH$2:AH995),$AH$2:$AH$1001,0),MATCH(COLUMNS($AO$1006:BO1006),$AO$1006:$BQ$1006,0)), HYPERLINK("#",""), HYPERLINK(CONCATENATE("#Metadata!", ADDRESS(INDEX($AJ$2:$AJ$1001,MATCH(ROWS($AH$2:AH995),$AH$2:$AH$1001,0),0), INDEX($AO$1004:$BQ$1004,1,MATCH(COLUMNS($AO$1006:BO1006),$AO$1006:$BQ$1006,0)))),"Fix")))</f>
        <v>#N/A</v>
      </c>
      <c r="AC995" s="5" t="e">
        <f ca="1">IF(OR(INDEX($AI$2:$AI$1001,MATCH(ROWS($AH$2:AH995),$AH$2:$AH$1001,0),1)&gt;=100000,INDEX($AO$1005:$BQ$1005,1,MATCH(COLUMNS($AO$1006:BP1006),$AO$1006:$BQ$1006,0))&gt;=100000), " ",IF(INDEX($AO$2:$BQ$1001,MATCH(ROWS($AH$2:AH995),$AH$2:$AH$1001,0),MATCH(COLUMNS($AO$1006:BP1006),$AO$1006:$BQ$1006,0)), HYPERLINK("#",""), HYPERLINK(CONCATENATE("#Metadata!", ADDRESS(INDEX($AJ$2:$AJ$1001,MATCH(ROWS($AH$2:AH995),$AH$2:$AH$1001,0),0), INDEX($AO$1004:$BQ$1004,1,MATCH(COLUMNS($AO$1006:BP1006),$AO$1006:$BQ$1006,0)))),"Fix")))</f>
        <v>#N/A</v>
      </c>
      <c r="AD995" s="5" t="e">
        <f ca="1">IF(OR(INDEX($AI$2:$AI$1001,MATCH(ROWS($AH$2:AH995),$AH$2:$AH$1001,0),1)&gt;=100000,INDEX($AO$1005:$BQ$1005,1,MATCH(COLUMNS($AO$1006:BQ1006),$AO$1006:$BQ$1006,0))&gt;=100000), " ",IF(INDEX($AO$2:$BQ$1001,MATCH(ROWS($AH$2:AH995),$AH$2:$AH$1001,0),MATCH(COLUMNS($AO$1006:BQ1006),$AO$1006:$BQ$1006,0)), HYPERLINK("#",""), HYPERLINK(CONCATENATE("#Metadata!", ADDRESS(INDEX($AJ$2:$AJ$1001,MATCH(ROWS($AH$2:AH995),$AH$2:$AH$1001,0),0), INDEX($AO$1004:$BQ$1004,1,MATCH(COLUMNS($AO$1006:BQ1006),$AO$1006:$BQ$1006,0)))),"Fix")))</f>
        <v>#REF!</v>
      </c>
      <c r="AH995">
        <f ca="1"/>
        <v>992</v>
      </c>
      <c r="AI995">
        <v>100995</v>
      </c>
      <c r="AJ995">
        <v>995</v>
      </c>
      <c r="AK995" t="b">
        <f t="shared" si="15"/>
        <v>1</v>
      </c>
      <c r="AL995" t="b">
        <f>COUNTBLANK(Metadata!B995:AD995)=COLUMNS(Metadata!B995:AD995)</f>
        <v>1</v>
      </c>
      <c r="AM995" t="str">
        <v/>
      </c>
      <c r="AO995" t="b">
        <f ca="1">AND(IF(Metadata!B995="",FALSE,TRUE),COUNTIF(Metadata!B:B, Metadata!B995) = 1,NOT(ISERROR(SUMPRODUCT(SEARCH(MID(Metadata!B995,ROW(INDIRECT("1:"&amp;LEN(Metadata!B995))), 1),"0123456789abcdefghijklmnopqrstuvwxyzABCDEFGHIJKLMNOPQRSTUVWXYZ.")))))</f>
        <v>0</v>
      </c>
      <c r="AP995" t="b">
        <f>IF(Metadata!C995="",FALSE,TRUE)</f>
        <v>0</v>
      </c>
      <c r="AQ995" t="b">
        <f>IF(Metadata!D995="",FALSE,TRUE)</f>
        <v>0</v>
      </c>
      <c r="AR995" t="b">
        <f ca="1">OR(AND(IF(Metadata!E995="",FALSE,TRUE),OR(EXACT(Metadata!E995,"not collected"),EXACT(Metadata!E995,"not provided"),EXACT(Metadata!E995,"restricted access"))),AND(IF(Metadata!E995="",FALSE,TRUE),AND(AND(IFERROR(INT(LEFT(Metadata!E995,4))&gt;1900,FALSE),IFERROR(INT(LEFT(Metadata!E995,4))&lt;=YEAR(NOW()),FALSE)), OR(MID(Metadata!E995,5,1)="", AND(AND(MID(Metadata!E995,5,1)="-",IFERROR(INT(MID(Metadata!E995,6,1))&gt;=0,FALSE),IFERROR(INT(MID(Metadata!E995,6,1))&lt;=1,FALSE),NOT(MID(Metadata!E995,7,1)=""),IFERROR(INT(MID(Metadata!E995,6,2))&gt;=1,FALSE),IFERROR(INT(MID(Metadata!E995,6,2))&lt;=12,FALSE)), OR(MID(Metadata!E995,8,1)="", AND(AND(MID(Metadata!E995,8,1)="-",IFERROR(INT(MID(Metadata!E995,9,1))&gt;=0,FALSE),IFERROR(INT(MID(Metadata!E995,9,1))&lt;=3,FALSE),NOT(MID(Metadata!E995,10,1)=""),IFERROR(INT(MID(Metadata!E995,9,2))&gt;=1,FALSE),IFERROR(INT(MID(Metadata!E995,9,2))&lt;=31,FALSE)), OR(MID(Metadata!E995,11,1)="", AND(AND(MID(Metadata!E995,11,1)=" ",IFERROR(INT(MID(Metadata!E995,12,1))&gt;=0,FALSE),IFERROR(INT(MID(Metadata!E995,12,1))&lt;=2,FALSE),NOT(MID(Metadata!E995,13,1)=""),IFERROR(INT(MID(Metadata!E995,12,2))&gt;=0,FALSE),IFERROR(INT(MID(Metadata!E995,12,2))&lt;=23,FALSE)), OR(MID(Metadata!E995,14,1)="", AND(AND(MID(Metadata!E995,14,1)=":",IFERROR(INT(MID(Metadata!E995,15,1))&gt;=0,FALSE),IFERROR(INT(MID(Metadata!E995,15,1))&lt;=5,FALSE),NOT(MID(Metadata!E995,16,1)=""),IFERROR(INT(MID(Metadata!E995,15,2))&gt;=0,FALSE),IFERROR(INT(MID(Metadata!E995,15,2))&lt;=59,FALSE)), OR(MID(Metadata!E995,17,1)="", AND(AND(MID(Metadata!E995,17,1)=":",IFERROR(INT(MID(Metadata!E995,18,1))&gt;=0,FALSE),IFERROR(INT(MID(Metadata!E995,18,1))&lt;=5,FALSE),NOT(MID(Metadata!E995,19,1)=""),IFERROR(INT(MID(Metadata!E995,18,2))&gt;=0,FALSE),IFERROR(INT(MID(Metadata!E995,18,2))&lt;=59,FALSE)), LEN(Metadata!E995)&lt;=19)))))))))))))</f>
        <v>0</v>
      </c>
      <c r="AS995" t="b">
        <f>IF(Metadata!F995="",FALSE,TRUE)</f>
        <v>0</v>
      </c>
      <c r="AT995" t="b">
        <f>OR(AND(IF(Metadata!G995="",FALSE,TRUE),OR(EXACT(Metadata!G995,"not collected"),EXACT(Metadata!G995,"not provided"))),AND(IF(Metadata!G995="",FALSE,TRUE),OR(EXACT(Metadata!G995,"TRUE"),EXACT(Metadata!G995,"FALSE"))))</f>
        <v>0</v>
      </c>
      <c r="AU995" t="b">
        <f>OR(AND(IF(Metadata!H995="",FALSE,TRUE),OR(EXACT(Metadata!H995,"not collected"),EXACT(Metadata!H995,"not provided"),EXACT(Metadata!H995,"restricted access"))),AND(IF(Metadata!H995="",FALSE,ISNUMBER(VALUE(Metadata!H995))),Metadata!H995&gt;=-413))</f>
        <v>0</v>
      </c>
      <c r="AV995" t="b">
        <f>AND(IF(Metadata!I995="",FALSE,TRUE),EXACT(Metadata!I995,"meters"))</f>
        <v>0</v>
      </c>
      <c r="AW995" t="b">
        <f>AND(IF(Metadata!J995="",FALSE,TRUE),EXACT(Metadata!J995,"free-living"))</f>
        <v>0</v>
      </c>
      <c r="AX995" t="b">
        <f>AND(IF(Metadata!K995="",FALSE,TRUE),OR(EXACT(Metadata!K995,"saline"),EXACT(Metadata!K995,"non-saline")))</f>
        <v>0</v>
      </c>
      <c r="AY995" t="b">
        <f>AND(IF(Metadata!L995="",FALSE,TRUE),OR(EXACT(Metadata!L995,"sub-surface (non-saline)"),EXACT(Metadata!L995,"surface (non-saline)"),EXACT(Metadata!L995,"water (non-saline)"),EXACT(Metadata!L995,"soil (non-saline)"),EXACT(Metadata!L995,"aerosol (non-saline)"),EXACT(Metadata!L995,"sediment (non-saline)"),EXACT(Metadata!L995,"surface (saline)"),EXACT(Metadata!L995,"water (saline)"),EXACT(Metadata!L995,"hypersaline (saline)"),EXACT(Metadata!L995,"aerosol (saline)"),EXACT(Metadata!L995,"sediment (saline)")))</f>
        <v>0</v>
      </c>
      <c r="AZ995" t="b">
        <f>IF(Metadata!M995="",FALSE,TRUE)</f>
        <v>0</v>
      </c>
      <c r="BA995" t="b">
        <f>IF(Metadata!N995="",FALSE,TRUE)</f>
        <v>0</v>
      </c>
      <c r="BB995" t="b">
        <f>IF(Metadata!O995="",FALSE,TRUE)</f>
        <v>0</v>
      </c>
      <c r="BC995" t="b">
        <f>AND(IF(Metadata!P995="",FALSE,TRUE),OR(EXACT(Metadata!P995,"air"),EXACT(Metadata!P995,"microbial mat/biofilm"),EXACT(Metadata!P995,"misc environment"),EXACT(Metadata!P995,"sediment"),EXACT(Metadata!P995,"soil"),EXACT(Metadata!P995,"wastewater/sludge"),EXACT(Metadata!P995,"water")))</f>
        <v>0</v>
      </c>
      <c r="BD995" t="b">
        <f>IF(Metadata!Q995="",FALSE,TRUE)</f>
        <v>0</v>
      </c>
      <c r="BE995" t="b">
        <f>IF(Metadata!R995="",FALSE,TRUE)</f>
        <v>0</v>
      </c>
      <c r="BF995" t="b">
        <f>OR(AND(IF(Metadata!S995="",FALSE,TRUE),OR(EXACT(Metadata!S995,"not collected"),EXACT(Metadata!S995,"not provided"),EXACT(Metadata!S995,"restricted access"))),AND(IF(Metadata!S995="",FALSE,ISNUMBER(VALUE(Metadata!S995))),Metadata!S995&gt;=-90,Metadata!S995&lt;=90))</f>
        <v>0</v>
      </c>
      <c r="BG995" t="b">
        <f>AND(IF(Metadata!T995="",FALSE,TRUE),EXACT(Metadata!T995,"Decimal degrees"))</f>
        <v>0</v>
      </c>
      <c r="BH995" t="b">
        <f>OR(AND(IF(Metadata!U995="",FALSE,TRUE),OR(EXACT(Metadata!U995,"not applicable"),EXACT(Metadata!U995,"not collected"))),IF(Metadata!U995="",FALSE,TRUE))</f>
        <v>0</v>
      </c>
      <c r="BI995" t="b">
        <f>OR(AND(IF(Metadata!V995="",FALSE,TRUE),OR(EXACT(Metadata!V995,"not collected"),EXACT(Metadata!V995,"not provided"),EXACT(Metadata!V995,"restricted access"))),AND(IF(Metadata!V995="",FALSE,ISNUMBER(VALUE(Metadata!V995))),Metadata!V995&gt;=-180,Metadata!V995&lt;=180))</f>
        <v>0</v>
      </c>
      <c r="BJ995" t="b">
        <f>AND(IF(Metadata!W995="",FALSE,TRUE),EXACT(Metadata!W995,"Decimal degrees"))</f>
        <v>0</v>
      </c>
      <c r="BK995" t="b">
        <f>IF(Metadata!X995="",FALSE,TRUE)</f>
        <v>0</v>
      </c>
      <c r="BL995" t="b">
        <f>OR(AND(IF(Metadata!Y995="",FALSE,TRUE),OR(EXACT(Metadata!Y995,"not collected"),EXACT(Metadata!Y995,"not provided"),EXACT(Metadata!Y995,"restricted access"))),AND(IF(Metadata!Y995="",FALSE,TRUE),OR(EXACT(Metadata!Y995,"TRUE"),EXACT(Metadata!Y995,"FALSE"))))</f>
        <v>0</v>
      </c>
      <c r="BM995" t="b">
        <f>OR(AND(IF(Metadata!Z995="",FALSE,TRUE),EXACT(Metadata!Z995,"not applicable")),AND(IF(Metadata!Z995="",FALSE,TRUE),OR(EXACT(Metadata!Z995,"beer"),EXACT(Metadata!Z995,"cheese"),EXACT(Metadata!Z995,"fresh water"),EXACT(Metadata!Z995,"marine sediment"),EXACT(Metadata!Z995,"sea water"),EXACT(Metadata!Z995,"sediment"),EXACT(Metadata!Z995,"soil"),EXACT(Metadata!Z995,"waste water"))))</f>
        <v>0</v>
      </c>
      <c r="BN995" t="b">
        <f>AND(IF(Metadata!AA995="",FALSE,TRUE),EXACT(Metadata!AA995,"metagenome"))</f>
        <v>0</v>
      </c>
      <c r="BO995" t="b">
        <f>AND(IF(Metadata!AB995="",FALSE,TRUE),EXACT(Metadata!AB995,"256318"))</f>
        <v>0</v>
      </c>
      <c r="BP995" t="b">
        <f>IF(Metadata!AC995="",FALSE,TRUE)</f>
        <v>0</v>
      </c>
      <c r="BQ995" t="b">
        <f>IF(Metadata!AD995="",FALSE,TRUE)</f>
        <v>0</v>
      </c>
    </row>
    <row r="996" spans="1:69" x14ac:dyDescent="0.2">
      <c r="A996" s="4" t="e">
        <f ca="1">IF(B996=" "," ",HYPERLINK(CONCATENATE("#metadata!",ADDRESS(INDEX($AJ$2:$AJ$1001,MATCH(ROWS($AH$2:AH996),$AH$2:$AH$1001,0),0),2)),INDEX($AM$2:$AM$1001,MATCH(ROWS($AH$2:AH996),$AH$2:$AH$1001,0),0)))</f>
        <v>#N/A</v>
      </c>
      <c r="B996" s="5" t="e">
        <f ca="1">IF(OR(INDEX($AI$2:$AI$1001,MATCH(ROWS($AH$2:AH996),$AH$2:$AH$1001,0),1)&gt;=100000,INDEX($AO$1005:$BQ$1005,1,MATCH(COLUMNS($AO$1006:AO1006),$AO$1006:$BQ$1006,0))&gt;=100000), " ",IF(INDEX($AO$2:$BQ$1001,MATCH(ROWS($AH$2:AH996),$AH$2:$AH$1001,0),MATCH(COLUMNS($AO$1006:AO1006),$AO$1006:$BQ$1006,0)), HYPERLINK("#",""), HYPERLINK(CONCATENATE("#Metadata!", ADDRESS(INDEX($AJ$2:$AJ$1001,MATCH(ROWS($AH$2:AH996),$AH$2:$AH$1001,0),0), INDEX($AO$1004:$BQ$1004,1,MATCH(COLUMNS($AO$1006:AO1006),$AO$1006:$BQ$1006,0)))),"Fix")))</f>
        <v>#N/A</v>
      </c>
      <c r="C996" s="5" t="e">
        <f ca="1">IF(OR(INDEX($AI$2:$AI$1001,MATCH(ROWS($AH$2:AH996),$AH$2:$AH$1001,0),1)&gt;=100000,INDEX($AO$1005:$BQ$1005,1,MATCH(COLUMNS($AO$1006:AP1006),$AO$1006:$BQ$1006,0))&gt;=100000), " ",IF(INDEX($AO$2:$BQ$1001,MATCH(ROWS($AH$2:AH996),$AH$2:$AH$1001,0),MATCH(COLUMNS($AO$1006:AP1006),$AO$1006:$BQ$1006,0)), HYPERLINK("#",""), HYPERLINK(CONCATENATE("#Metadata!", ADDRESS(INDEX($AJ$2:$AJ$1001,MATCH(ROWS($AH$2:AH996),$AH$2:$AH$1001,0),0), INDEX($AO$1004:$BQ$1004,1,MATCH(COLUMNS($AO$1006:AP1006),$AO$1006:$BQ$1006,0)))),"Fix")))</f>
        <v>#N/A</v>
      </c>
      <c r="D996" s="5" t="e">
        <f ca="1">IF(OR(INDEX($AI$2:$AI$1001,MATCH(ROWS($AH$2:AH996),$AH$2:$AH$1001,0),1)&gt;=100000,INDEX($AO$1005:$BQ$1005,1,MATCH(COLUMNS($AO$1006:AQ1006),$AO$1006:$BQ$1006,0))&gt;=100000), " ",IF(INDEX($AO$2:$BQ$1001,MATCH(ROWS($AH$2:AH996),$AH$2:$AH$1001,0),MATCH(COLUMNS($AO$1006:AQ1006),$AO$1006:$BQ$1006,0)), HYPERLINK("#",""), HYPERLINK(CONCATENATE("#Metadata!", ADDRESS(INDEX($AJ$2:$AJ$1001,MATCH(ROWS($AH$2:AH996),$AH$2:$AH$1001,0),0), INDEX($AO$1004:$BQ$1004,1,MATCH(COLUMNS($AO$1006:AQ1006),$AO$1006:$BQ$1006,0)))),"Fix")))</f>
        <v>#N/A</v>
      </c>
      <c r="E996" s="5" t="e">
        <f ca="1">IF(OR(INDEX($AI$2:$AI$1001,MATCH(ROWS($AH$2:AH996),$AH$2:$AH$1001,0),1)&gt;=100000,INDEX($AO$1005:$BQ$1005,1,MATCH(COLUMNS($AO$1006:AR1006),$AO$1006:$BQ$1006,0))&gt;=100000), " ",IF(INDEX($AO$2:$BQ$1001,MATCH(ROWS($AH$2:AH996),$AH$2:$AH$1001,0),MATCH(COLUMNS($AO$1006:AR1006),$AO$1006:$BQ$1006,0)), HYPERLINK("#",""), HYPERLINK(CONCATENATE("#Metadata!", ADDRESS(INDEX($AJ$2:$AJ$1001,MATCH(ROWS($AH$2:AH996),$AH$2:$AH$1001,0),0), INDEX($AO$1004:$BQ$1004,1,MATCH(COLUMNS($AO$1006:AR1006),$AO$1006:$BQ$1006,0)))),"Fix")))</f>
        <v>#N/A</v>
      </c>
      <c r="F996" s="5" t="e">
        <f ca="1">IF(OR(INDEX($AI$2:$AI$1001,MATCH(ROWS($AH$2:AH996),$AH$2:$AH$1001,0),1)&gt;=100000,INDEX($AO$1005:$BQ$1005,1,MATCH(COLUMNS($AO$1006:AS1006),$AO$1006:$BQ$1006,0))&gt;=100000), " ",IF(INDEX($AO$2:$BQ$1001,MATCH(ROWS($AH$2:AH996),$AH$2:$AH$1001,0),MATCH(COLUMNS($AO$1006:AS1006),$AO$1006:$BQ$1006,0)), HYPERLINK("#",""), HYPERLINK(CONCATENATE("#Metadata!", ADDRESS(INDEX($AJ$2:$AJ$1001,MATCH(ROWS($AH$2:AH996),$AH$2:$AH$1001,0),0), INDEX($AO$1004:$BQ$1004,1,MATCH(COLUMNS($AO$1006:AS1006),$AO$1006:$BQ$1006,0)))),"Fix")))</f>
        <v>#N/A</v>
      </c>
      <c r="G996" s="5" t="e">
        <f ca="1">IF(OR(INDEX($AI$2:$AI$1001,MATCH(ROWS($AH$2:AH996),$AH$2:$AH$1001,0),1)&gt;=100000,INDEX($AO$1005:$BQ$1005,1,MATCH(COLUMNS($AO$1006:AT1006),$AO$1006:$BQ$1006,0))&gt;=100000), " ",IF(INDEX($AO$2:$BQ$1001,MATCH(ROWS($AH$2:AH996),$AH$2:$AH$1001,0),MATCH(COLUMNS($AO$1006:AT1006),$AO$1006:$BQ$1006,0)), HYPERLINK("#",""), HYPERLINK(CONCATENATE("#Metadata!", ADDRESS(INDEX($AJ$2:$AJ$1001,MATCH(ROWS($AH$2:AH996),$AH$2:$AH$1001,0),0), INDEX($AO$1004:$BQ$1004,1,MATCH(COLUMNS($AO$1006:AT1006),$AO$1006:$BQ$1006,0)))),"Fix")))</f>
        <v>#N/A</v>
      </c>
      <c r="H996" s="5" t="e">
        <f ca="1">IF(OR(INDEX($AI$2:$AI$1001,MATCH(ROWS($AH$2:AH996),$AH$2:$AH$1001,0),1)&gt;=100000,INDEX($AO$1005:$BQ$1005,1,MATCH(COLUMNS($AO$1006:AU1006),$AO$1006:$BQ$1006,0))&gt;=100000), " ",IF(INDEX($AO$2:$BQ$1001,MATCH(ROWS($AH$2:AH996),$AH$2:$AH$1001,0),MATCH(COLUMNS($AO$1006:AU1006),$AO$1006:$BQ$1006,0)), HYPERLINK("#",""), HYPERLINK(CONCATENATE("#Metadata!", ADDRESS(INDEX($AJ$2:$AJ$1001,MATCH(ROWS($AH$2:AH996),$AH$2:$AH$1001,0),0), INDEX($AO$1004:$BQ$1004,1,MATCH(COLUMNS($AO$1006:AU1006),$AO$1006:$BQ$1006,0)))),"Fix")))</f>
        <v>#N/A</v>
      </c>
      <c r="I996" s="5" t="e">
        <f ca="1">IF(OR(INDEX($AI$2:$AI$1001,MATCH(ROWS($AH$2:AH996),$AH$2:$AH$1001,0),1)&gt;=100000,INDEX($AO$1005:$BQ$1005,1,MATCH(COLUMNS($AO$1006:AV1006),$AO$1006:$BQ$1006,0))&gt;=100000), " ",IF(INDEX($AO$2:$BQ$1001,MATCH(ROWS($AH$2:AH996),$AH$2:$AH$1001,0),MATCH(COLUMNS($AO$1006:AV1006),$AO$1006:$BQ$1006,0)), HYPERLINK("#",""), HYPERLINK(CONCATENATE("#Metadata!", ADDRESS(INDEX($AJ$2:$AJ$1001,MATCH(ROWS($AH$2:AH996),$AH$2:$AH$1001,0),0), INDEX($AO$1004:$BQ$1004,1,MATCH(COLUMNS($AO$1006:AV1006),$AO$1006:$BQ$1006,0)))),"Fix")))</f>
        <v>#N/A</v>
      </c>
      <c r="J996" s="5" t="e">
        <f ca="1">IF(OR(INDEX($AI$2:$AI$1001,MATCH(ROWS($AH$2:AH996),$AH$2:$AH$1001,0),1)&gt;=100000,INDEX($AO$1005:$BQ$1005,1,MATCH(COLUMNS($AO$1006:AW1006),$AO$1006:$BQ$1006,0))&gt;=100000), " ",IF(INDEX($AO$2:$BQ$1001,MATCH(ROWS($AH$2:AH996),$AH$2:$AH$1001,0),MATCH(COLUMNS($AO$1006:AW1006),$AO$1006:$BQ$1006,0)), HYPERLINK("#",""), HYPERLINK(CONCATENATE("#Metadata!", ADDRESS(INDEX($AJ$2:$AJ$1001,MATCH(ROWS($AH$2:AH996),$AH$2:$AH$1001,0),0), INDEX($AO$1004:$BQ$1004,1,MATCH(COLUMNS($AO$1006:AW1006),$AO$1006:$BQ$1006,0)))),"Fix")))</f>
        <v>#N/A</v>
      </c>
      <c r="K996" s="5" t="e">
        <f ca="1">IF(OR(INDEX($AI$2:$AI$1001,MATCH(ROWS($AH$2:AH996),$AH$2:$AH$1001,0),1)&gt;=100000,INDEX($AO$1005:$BQ$1005,1,MATCH(COLUMNS($AO$1006:AX1006),$AO$1006:$BQ$1006,0))&gt;=100000), " ",IF(INDEX($AO$2:$BQ$1001,MATCH(ROWS($AH$2:AH996),$AH$2:$AH$1001,0),MATCH(COLUMNS($AO$1006:AX1006),$AO$1006:$BQ$1006,0)), HYPERLINK("#",""), HYPERLINK(CONCATENATE("#Metadata!", ADDRESS(INDEX($AJ$2:$AJ$1001,MATCH(ROWS($AH$2:AH996),$AH$2:$AH$1001,0),0), INDEX($AO$1004:$BQ$1004,1,MATCH(COLUMNS($AO$1006:AX1006),$AO$1006:$BQ$1006,0)))),"Fix")))</f>
        <v>#N/A</v>
      </c>
      <c r="L996" s="5" t="e">
        <f ca="1">IF(OR(INDEX($AI$2:$AI$1001,MATCH(ROWS($AH$2:AH996),$AH$2:$AH$1001,0),1)&gt;=100000,INDEX($AO$1005:$BQ$1005,1,MATCH(COLUMNS($AO$1006:AY1006),$AO$1006:$BQ$1006,0))&gt;=100000), " ",IF(INDEX($AO$2:$BQ$1001,MATCH(ROWS($AH$2:AH996),$AH$2:$AH$1001,0),MATCH(COLUMNS($AO$1006:AY1006),$AO$1006:$BQ$1006,0)), HYPERLINK("#",""), HYPERLINK(CONCATENATE("#Metadata!", ADDRESS(INDEX($AJ$2:$AJ$1001,MATCH(ROWS($AH$2:AH996),$AH$2:$AH$1001,0),0), INDEX($AO$1004:$BQ$1004,1,MATCH(COLUMNS($AO$1006:AY1006),$AO$1006:$BQ$1006,0)))),"Fix")))</f>
        <v>#N/A</v>
      </c>
      <c r="M996" s="5" t="e">
        <f ca="1">IF(OR(INDEX($AI$2:$AI$1001,MATCH(ROWS($AH$2:AH996),$AH$2:$AH$1001,0),1)&gt;=100000,INDEX($AO$1005:$BQ$1005,1,MATCH(COLUMNS($AO$1006:AZ1006),$AO$1006:$BQ$1006,0))&gt;=100000), " ",IF(INDEX($AO$2:$BQ$1001,MATCH(ROWS($AH$2:AH996),$AH$2:$AH$1001,0),MATCH(COLUMNS($AO$1006:AZ1006),$AO$1006:$BQ$1006,0)), HYPERLINK("#",""), HYPERLINK(CONCATENATE("#Metadata!", ADDRESS(INDEX($AJ$2:$AJ$1001,MATCH(ROWS($AH$2:AH996),$AH$2:$AH$1001,0),0), INDEX($AO$1004:$BQ$1004,1,MATCH(COLUMNS($AO$1006:AZ1006),$AO$1006:$BQ$1006,0)))),"Fix")))</f>
        <v>#N/A</v>
      </c>
      <c r="N996" s="5" t="e">
        <f ca="1">IF(OR(INDEX($AI$2:$AI$1001,MATCH(ROWS($AH$2:AH996),$AH$2:$AH$1001,0),1)&gt;=100000,INDEX($AO$1005:$BQ$1005,1,MATCH(COLUMNS($AO$1006:BA1006),$AO$1006:$BQ$1006,0))&gt;=100000), " ",IF(INDEX($AO$2:$BQ$1001,MATCH(ROWS($AH$2:AH996),$AH$2:$AH$1001,0),MATCH(COLUMNS($AO$1006:BA1006),$AO$1006:$BQ$1006,0)), HYPERLINK("#",""), HYPERLINK(CONCATENATE("#Metadata!", ADDRESS(INDEX($AJ$2:$AJ$1001,MATCH(ROWS($AH$2:AH996),$AH$2:$AH$1001,0),0), INDEX($AO$1004:$BQ$1004,1,MATCH(COLUMNS($AO$1006:BA1006),$AO$1006:$BQ$1006,0)))),"Fix")))</f>
        <v>#N/A</v>
      </c>
      <c r="O996" s="5" t="e">
        <f ca="1">IF(OR(INDEX($AI$2:$AI$1001,MATCH(ROWS($AH$2:AH996),$AH$2:$AH$1001,0),1)&gt;=100000,INDEX($AO$1005:$BQ$1005,1,MATCH(COLUMNS($AO$1006:BB1006),$AO$1006:$BQ$1006,0))&gt;=100000), " ",IF(INDEX($AO$2:$BQ$1001,MATCH(ROWS($AH$2:AH996),$AH$2:$AH$1001,0),MATCH(COLUMNS($AO$1006:BB1006),$AO$1006:$BQ$1006,0)), HYPERLINK("#",""), HYPERLINK(CONCATENATE("#Metadata!", ADDRESS(INDEX($AJ$2:$AJ$1001,MATCH(ROWS($AH$2:AH996),$AH$2:$AH$1001,0),0), INDEX($AO$1004:$BQ$1004,1,MATCH(COLUMNS($AO$1006:BB1006),$AO$1006:$BQ$1006,0)))),"Fix")))</f>
        <v>#N/A</v>
      </c>
      <c r="P996" s="5" t="e">
        <f ca="1">IF(OR(INDEX($AI$2:$AI$1001,MATCH(ROWS($AH$2:AH996),$AH$2:$AH$1001,0),1)&gt;=100000,INDEX($AO$1005:$BQ$1005,1,MATCH(COLUMNS($AO$1006:BC1006),$AO$1006:$BQ$1006,0))&gt;=100000), " ",IF(INDEX($AO$2:$BQ$1001,MATCH(ROWS($AH$2:AH996),$AH$2:$AH$1001,0),MATCH(COLUMNS($AO$1006:BC1006),$AO$1006:$BQ$1006,0)), HYPERLINK("#",""), HYPERLINK(CONCATENATE("#Metadata!", ADDRESS(INDEX($AJ$2:$AJ$1001,MATCH(ROWS($AH$2:AH996),$AH$2:$AH$1001,0),0), INDEX($AO$1004:$BQ$1004,1,MATCH(COLUMNS($AO$1006:BC1006),$AO$1006:$BQ$1006,0)))),"Fix")))</f>
        <v>#N/A</v>
      </c>
      <c r="Q996" s="5" t="e">
        <f ca="1">IF(OR(INDEX($AI$2:$AI$1001,MATCH(ROWS($AH$2:AH996),$AH$2:$AH$1001,0),1)&gt;=100000,INDEX($AO$1005:$BQ$1005,1,MATCH(COLUMNS($AO$1006:BD1006),$AO$1006:$BQ$1006,0))&gt;=100000), " ",IF(INDEX($AO$2:$BQ$1001,MATCH(ROWS($AH$2:AH996),$AH$2:$AH$1001,0),MATCH(COLUMNS($AO$1006:BD1006),$AO$1006:$BQ$1006,0)), HYPERLINK("#",""), HYPERLINK(CONCATENATE("#Metadata!", ADDRESS(INDEX($AJ$2:$AJ$1001,MATCH(ROWS($AH$2:AH996),$AH$2:$AH$1001,0),0), INDEX($AO$1004:$BQ$1004,1,MATCH(COLUMNS($AO$1006:BD1006),$AO$1006:$BQ$1006,0)))),"Fix")))</f>
        <v>#N/A</v>
      </c>
      <c r="R996" s="5" t="e">
        <f ca="1">IF(OR(INDEX($AI$2:$AI$1001,MATCH(ROWS($AH$2:AH996),$AH$2:$AH$1001,0),1)&gt;=100000,INDEX($AO$1005:$BQ$1005,1,MATCH(COLUMNS($AO$1006:BE1006),$AO$1006:$BQ$1006,0))&gt;=100000), " ",IF(INDEX($AO$2:$BQ$1001,MATCH(ROWS($AH$2:AH996),$AH$2:$AH$1001,0),MATCH(COLUMNS($AO$1006:BE1006),$AO$1006:$BQ$1006,0)), HYPERLINK("#",""), HYPERLINK(CONCATENATE("#Metadata!", ADDRESS(INDEX($AJ$2:$AJ$1001,MATCH(ROWS($AH$2:AH996),$AH$2:$AH$1001,0),0), INDEX($AO$1004:$BQ$1004,1,MATCH(COLUMNS($AO$1006:BE1006),$AO$1006:$BQ$1006,0)))),"Fix")))</f>
        <v>#N/A</v>
      </c>
      <c r="S996" s="5" t="e">
        <f ca="1">IF(OR(INDEX($AI$2:$AI$1001,MATCH(ROWS($AH$2:AH996),$AH$2:$AH$1001,0),1)&gt;=100000,INDEX($AO$1005:$BQ$1005,1,MATCH(COLUMNS($AO$1006:BF1006),$AO$1006:$BQ$1006,0))&gt;=100000), " ",IF(INDEX($AO$2:$BQ$1001,MATCH(ROWS($AH$2:AH996),$AH$2:$AH$1001,0),MATCH(COLUMNS($AO$1006:BF1006),$AO$1006:$BQ$1006,0)), HYPERLINK("#",""), HYPERLINK(CONCATENATE("#Metadata!", ADDRESS(INDEX($AJ$2:$AJ$1001,MATCH(ROWS($AH$2:AH996),$AH$2:$AH$1001,0),0), INDEX($AO$1004:$BQ$1004,1,MATCH(COLUMNS($AO$1006:BF1006),$AO$1006:$BQ$1006,0)))),"Fix")))</f>
        <v>#N/A</v>
      </c>
      <c r="T996" s="5" t="e">
        <f ca="1">IF(OR(INDEX($AI$2:$AI$1001,MATCH(ROWS($AH$2:AH996),$AH$2:$AH$1001,0),1)&gt;=100000,INDEX($AO$1005:$BQ$1005,1,MATCH(COLUMNS($AO$1006:BG1006),$AO$1006:$BQ$1006,0))&gt;=100000), " ",IF(INDEX($AO$2:$BQ$1001,MATCH(ROWS($AH$2:AH996),$AH$2:$AH$1001,0),MATCH(COLUMNS($AO$1006:BG1006),$AO$1006:$BQ$1006,0)), HYPERLINK("#",""), HYPERLINK(CONCATENATE("#Metadata!", ADDRESS(INDEX($AJ$2:$AJ$1001,MATCH(ROWS($AH$2:AH996),$AH$2:$AH$1001,0),0), INDEX($AO$1004:$BQ$1004,1,MATCH(COLUMNS($AO$1006:BG1006),$AO$1006:$BQ$1006,0)))),"Fix")))</f>
        <v>#N/A</v>
      </c>
      <c r="U996" s="5" t="e">
        <f ca="1">IF(OR(INDEX($AI$2:$AI$1001,MATCH(ROWS($AH$2:AH996),$AH$2:$AH$1001,0),1)&gt;=100000,INDEX($AO$1005:$BQ$1005,1,MATCH(COLUMNS($AO$1006:BH1006),$AO$1006:$BQ$1006,0))&gt;=100000), " ",IF(INDEX($AO$2:$BQ$1001,MATCH(ROWS($AH$2:AH996),$AH$2:$AH$1001,0),MATCH(COLUMNS($AO$1006:BH1006),$AO$1006:$BQ$1006,0)), HYPERLINK("#",""), HYPERLINK(CONCATENATE("#Metadata!", ADDRESS(INDEX($AJ$2:$AJ$1001,MATCH(ROWS($AH$2:AH996),$AH$2:$AH$1001,0),0), INDEX($AO$1004:$BQ$1004,1,MATCH(COLUMNS($AO$1006:BH1006),$AO$1006:$BQ$1006,0)))),"Fix")))</f>
        <v>#N/A</v>
      </c>
      <c r="V996" s="5" t="e">
        <f ca="1">IF(OR(INDEX($AI$2:$AI$1001,MATCH(ROWS($AH$2:AH996),$AH$2:$AH$1001,0),1)&gt;=100000,INDEX($AO$1005:$BQ$1005,1,MATCH(COLUMNS($AO$1006:BI1006),$AO$1006:$BQ$1006,0))&gt;=100000), " ",IF(INDEX($AO$2:$BQ$1001,MATCH(ROWS($AH$2:AH996),$AH$2:$AH$1001,0),MATCH(COLUMNS($AO$1006:BI1006),$AO$1006:$BQ$1006,0)), HYPERLINK("#",""), HYPERLINK(CONCATENATE("#Metadata!", ADDRESS(INDEX($AJ$2:$AJ$1001,MATCH(ROWS($AH$2:AH996),$AH$2:$AH$1001,0),0), INDEX($AO$1004:$BQ$1004,1,MATCH(COLUMNS($AO$1006:BI1006),$AO$1006:$BQ$1006,0)))),"Fix")))</f>
        <v>#N/A</v>
      </c>
      <c r="W996" s="5" t="e">
        <f ca="1">IF(OR(INDEX($AI$2:$AI$1001,MATCH(ROWS($AH$2:AH996),$AH$2:$AH$1001,0),1)&gt;=100000,INDEX($AO$1005:$BQ$1005,1,MATCH(COLUMNS($AO$1006:BJ1006),$AO$1006:$BQ$1006,0))&gt;=100000), " ",IF(INDEX($AO$2:$BQ$1001,MATCH(ROWS($AH$2:AH996),$AH$2:$AH$1001,0),MATCH(COLUMNS($AO$1006:BJ1006),$AO$1006:$BQ$1006,0)), HYPERLINK("#",""), HYPERLINK(CONCATENATE("#Metadata!", ADDRESS(INDEX($AJ$2:$AJ$1001,MATCH(ROWS($AH$2:AH996),$AH$2:$AH$1001,0),0), INDEX($AO$1004:$BQ$1004,1,MATCH(COLUMNS($AO$1006:BJ1006),$AO$1006:$BQ$1006,0)))),"Fix")))</f>
        <v>#N/A</v>
      </c>
      <c r="X996" s="5" t="e">
        <f ca="1">IF(OR(INDEX($AI$2:$AI$1001,MATCH(ROWS($AH$2:AH996),$AH$2:$AH$1001,0),1)&gt;=100000,INDEX($AO$1005:$BQ$1005,1,MATCH(COLUMNS($AO$1006:BK1006),$AO$1006:$BQ$1006,0))&gt;=100000), " ",IF(INDEX($AO$2:$BQ$1001,MATCH(ROWS($AH$2:AH996),$AH$2:$AH$1001,0),MATCH(COLUMNS($AO$1006:BK1006),$AO$1006:$BQ$1006,0)), HYPERLINK("#",""), HYPERLINK(CONCATENATE("#Metadata!", ADDRESS(INDEX($AJ$2:$AJ$1001,MATCH(ROWS($AH$2:AH996),$AH$2:$AH$1001,0),0), INDEX($AO$1004:$BQ$1004,1,MATCH(COLUMNS($AO$1006:BK1006),$AO$1006:$BQ$1006,0)))),"Fix")))</f>
        <v>#N/A</v>
      </c>
      <c r="Y996" s="5" t="e">
        <f ca="1">IF(OR(INDEX($AI$2:$AI$1001,MATCH(ROWS($AH$2:AH996),$AH$2:$AH$1001,0),1)&gt;=100000,INDEX($AO$1005:$BQ$1005,1,MATCH(COLUMNS($AO$1006:BL1006),$AO$1006:$BQ$1006,0))&gt;=100000), " ",IF(INDEX($AO$2:$BQ$1001,MATCH(ROWS($AH$2:AH996),$AH$2:$AH$1001,0),MATCH(COLUMNS($AO$1006:BL1006),$AO$1006:$BQ$1006,0)), HYPERLINK("#",""), HYPERLINK(CONCATENATE("#Metadata!", ADDRESS(INDEX($AJ$2:$AJ$1001,MATCH(ROWS($AH$2:AH996),$AH$2:$AH$1001,0),0), INDEX($AO$1004:$BQ$1004,1,MATCH(COLUMNS($AO$1006:BL1006),$AO$1006:$BQ$1006,0)))),"Fix")))</f>
        <v>#N/A</v>
      </c>
      <c r="Z996" s="5" t="e">
        <f ca="1">IF(OR(INDEX($AI$2:$AI$1001,MATCH(ROWS($AH$2:AH996),$AH$2:$AH$1001,0),1)&gt;=100000,INDEX($AO$1005:$BQ$1005,1,MATCH(COLUMNS($AO$1006:BM1006),$AO$1006:$BQ$1006,0))&gt;=100000), " ",IF(INDEX($AO$2:$BQ$1001,MATCH(ROWS($AH$2:AH996),$AH$2:$AH$1001,0),MATCH(COLUMNS($AO$1006:BM1006),$AO$1006:$BQ$1006,0)), HYPERLINK("#",""), HYPERLINK(CONCATENATE("#Metadata!", ADDRESS(INDEX($AJ$2:$AJ$1001,MATCH(ROWS($AH$2:AH996),$AH$2:$AH$1001,0),0), INDEX($AO$1004:$BQ$1004,1,MATCH(COLUMNS($AO$1006:BM1006),$AO$1006:$BQ$1006,0)))),"Fix")))</f>
        <v>#N/A</v>
      </c>
      <c r="AA996" s="5" t="e">
        <f ca="1">IF(OR(INDEX($AI$2:$AI$1001,MATCH(ROWS($AH$2:AH996),$AH$2:$AH$1001,0),1)&gt;=100000,INDEX($AO$1005:$BQ$1005,1,MATCH(COLUMNS($AO$1006:BN1006),$AO$1006:$BQ$1006,0))&gt;=100000), " ",IF(INDEX($AO$2:$BQ$1001,MATCH(ROWS($AH$2:AH996),$AH$2:$AH$1001,0),MATCH(COLUMNS($AO$1006:BN1006),$AO$1006:$BQ$1006,0)), HYPERLINK("#",""), HYPERLINK(CONCATENATE("#Metadata!", ADDRESS(INDEX($AJ$2:$AJ$1001,MATCH(ROWS($AH$2:AH996),$AH$2:$AH$1001,0),0), INDEX($AO$1004:$BQ$1004,1,MATCH(COLUMNS($AO$1006:BN1006),$AO$1006:$BQ$1006,0)))),"Fix")))</f>
        <v>#N/A</v>
      </c>
      <c r="AB996" s="5" t="e">
        <f ca="1">IF(OR(INDEX($AI$2:$AI$1001,MATCH(ROWS($AH$2:AH996),$AH$2:$AH$1001,0),1)&gt;=100000,INDEX($AO$1005:$BQ$1005,1,MATCH(COLUMNS($AO$1006:BO1006),$AO$1006:$BQ$1006,0))&gt;=100000), " ",IF(INDEX($AO$2:$BQ$1001,MATCH(ROWS($AH$2:AH996),$AH$2:$AH$1001,0),MATCH(COLUMNS($AO$1006:BO1006),$AO$1006:$BQ$1006,0)), HYPERLINK("#",""), HYPERLINK(CONCATENATE("#Metadata!", ADDRESS(INDEX($AJ$2:$AJ$1001,MATCH(ROWS($AH$2:AH996),$AH$2:$AH$1001,0),0), INDEX($AO$1004:$BQ$1004,1,MATCH(COLUMNS($AO$1006:BO1006),$AO$1006:$BQ$1006,0)))),"Fix")))</f>
        <v>#N/A</v>
      </c>
      <c r="AC996" s="5" t="e">
        <f ca="1">IF(OR(INDEX($AI$2:$AI$1001,MATCH(ROWS($AH$2:AH996),$AH$2:$AH$1001,0),1)&gt;=100000,INDEX($AO$1005:$BQ$1005,1,MATCH(COLUMNS($AO$1006:BP1006),$AO$1006:$BQ$1006,0))&gt;=100000), " ",IF(INDEX($AO$2:$BQ$1001,MATCH(ROWS($AH$2:AH996),$AH$2:$AH$1001,0),MATCH(COLUMNS($AO$1006:BP1006),$AO$1006:$BQ$1006,0)), HYPERLINK("#",""), HYPERLINK(CONCATENATE("#Metadata!", ADDRESS(INDEX($AJ$2:$AJ$1001,MATCH(ROWS($AH$2:AH996),$AH$2:$AH$1001,0),0), INDEX($AO$1004:$BQ$1004,1,MATCH(COLUMNS($AO$1006:BP1006),$AO$1006:$BQ$1006,0)))),"Fix")))</f>
        <v>#N/A</v>
      </c>
      <c r="AD996" s="5" t="e">
        <f ca="1">IF(OR(INDEX($AI$2:$AI$1001,MATCH(ROWS($AH$2:AH996),$AH$2:$AH$1001,0),1)&gt;=100000,INDEX($AO$1005:$BQ$1005,1,MATCH(COLUMNS($AO$1006:BQ1006),$AO$1006:$BQ$1006,0))&gt;=100000), " ",IF(INDEX($AO$2:$BQ$1001,MATCH(ROWS($AH$2:AH996),$AH$2:$AH$1001,0),MATCH(COLUMNS($AO$1006:BQ1006),$AO$1006:$BQ$1006,0)), HYPERLINK("#",""), HYPERLINK(CONCATENATE("#Metadata!", ADDRESS(INDEX($AJ$2:$AJ$1001,MATCH(ROWS($AH$2:AH996),$AH$2:$AH$1001,0),0), INDEX($AO$1004:$BQ$1004,1,MATCH(COLUMNS($AO$1006:BQ1006),$AO$1006:$BQ$1006,0)))),"Fix")))</f>
        <v>#REF!</v>
      </c>
      <c r="AH996">
        <f ca="1"/>
        <v>993</v>
      </c>
      <c r="AI996">
        <v>100996</v>
      </c>
      <c r="AJ996">
        <v>996</v>
      </c>
      <c r="AK996" t="b">
        <f t="shared" si="15"/>
        <v>1</v>
      </c>
      <c r="AL996" t="b">
        <f>COUNTBLANK(Metadata!B996:AD996)=COLUMNS(Metadata!B996:AD996)</f>
        <v>1</v>
      </c>
      <c r="AM996" t="str">
        <v/>
      </c>
      <c r="AO996" t="b">
        <f ca="1">AND(IF(Metadata!B996="",FALSE,TRUE),COUNTIF(Metadata!B:B, Metadata!B996) = 1,NOT(ISERROR(SUMPRODUCT(SEARCH(MID(Metadata!B996,ROW(INDIRECT("1:"&amp;LEN(Metadata!B996))), 1),"0123456789abcdefghijklmnopqrstuvwxyzABCDEFGHIJKLMNOPQRSTUVWXYZ.")))))</f>
        <v>0</v>
      </c>
      <c r="AP996" t="b">
        <f>IF(Metadata!C996="",FALSE,TRUE)</f>
        <v>0</v>
      </c>
      <c r="AQ996" t="b">
        <f>IF(Metadata!D996="",FALSE,TRUE)</f>
        <v>0</v>
      </c>
      <c r="AR996" t="b">
        <f ca="1">OR(AND(IF(Metadata!E996="",FALSE,TRUE),OR(EXACT(Metadata!E996,"not collected"),EXACT(Metadata!E996,"not provided"),EXACT(Metadata!E996,"restricted access"))),AND(IF(Metadata!E996="",FALSE,TRUE),AND(AND(IFERROR(INT(LEFT(Metadata!E996,4))&gt;1900,FALSE),IFERROR(INT(LEFT(Metadata!E996,4))&lt;=YEAR(NOW()),FALSE)), OR(MID(Metadata!E996,5,1)="", AND(AND(MID(Metadata!E996,5,1)="-",IFERROR(INT(MID(Metadata!E996,6,1))&gt;=0,FALSE),IFERROR(INT(MID(Metadata!E996,6,1))&lt;=1,FALSE),NOT(MID(Metadata!E996,7,1)=""),IFERROR(INT(MID(Metadata!E996,6,2))&gt;=1,FALSE),IFERROR(INT(MID(Metadata!E996,6,2))&lt;=12,FALSE)), OR(MID(Metadata!E996,8,1)="", AND(AND(MID(Metadata!E996,8,1)="-",IFERROR(INT(MID(Metadata!E996,9,1))&gt;=0,FALSE),IFERROR(INT(MID(Metadata!E996,9,1))&lt;=3,FALSE),NOT(MID(Metadata!E996,10,1)=""),IFERROR(INT(MID(Metadata!E996,9,2))&gt;=1,FALSE),IFERROR(INT(MID(Metadata!E996,9,2))&lt;=31,FALSE)), OR(MID(Metadata!E996,11,1)="", AND(AND(MID(Metadata!E996,11,1)=" ",IFERROR(INT(MID(Metadata!E996,12,1))&gt;=0,FALSE),IFERROR(INT(MID(Metadata!E996,12,1))&lt;=2,FALSE),NOT(MID(Metadata!E996,13,1)=""),IFERROR(INT(MID(Metadata!E996,12,2))&gt;=0,FALSE),IFERROR(INT(MID(Metadata!E996,12,2))&lt;=23,FALSE)), OR(MID(Metadata!E996,14,1)="", AND(AND(MID(Metadata!E996,14,1)=":",IFERROR(INT(MID(Metadata!E996,15,1))&gt;=0,FALSE),IFERROR(INT(MID(Metadata!E996,15,1))&lt;=5,FALSE),NOT(MID(Metadata!E996,16,1)=""),IFERROR(INT(MID(Metadata!E996,15,2))&gt;=0,FALSE),IFERROR(INT(MID(Metadata!E996,15,2))&lt;=59,FALSE)), OR(MID(Metadata!E996,17,1)="", AND(AND(MID(Metadata!E996,17,1)=":",IFERROR(INT(MID(Metadata!E996,18,1))&gt;=0,FALSE),IFERROR(INT(MID(Metadata!E996,18,1))&lt;=5,FALSE),NOT(MID(Metadata!E996,19,1)=""),IFERROR(INT(MID(Metadata!E996,18,2))&gt;=0,FALSE),IFERROR(INT(MID(Metadata!E996,18,2))&lt;=59,FALSE)), LEN(Metadata!E996)&lt;=19)))))))))))))</f>
        <v>0</v>
      </c>
      <c r="AS996" t="b">
        <f>IF(Metadata!F996="",FALSE,TRUE)</f>
        <v>0</v>
      </c>
      <c r="AT996" t="b">
        <f>OR(AND(IF(Metadata!G996="",FALSE,TRUE),OR(EXACT(Metadata!G996,"not collected"),EXACT(Metadata!G996,"not provided"))),AND(IF(Metadata!G996="",FALSE,TRUE),OR(EXACT(Metadata!G996,"TRUE"),EXACT(Metadata!G996,"FALSE"))))</f>
        <v>0</v>
      </c>
      <c r="AU996" t="b">
        <f>OR(AND(IF(Metadata!H996="",FALSE,TRUE),OR(EXACT(Metadata!H996,"not collected"),EXACT(Metadata!H996,"not provided"),EXACT(Metadata!H996,"restricted access"))),AND(IF(Metadata!H996="",FALSE,ISNUMBER(VALUE(Metadata!H996))),Metadata!H996&gt;=-413))</f>
        <v>0</v>
      </c>
      <c r="AV996" t="b">
        <f>AND(IF(Metadata!I996="",FALSE,TRUE),EXACT(Metadata!I996,"meters"))</f>
        <v>0</v>
      </c>
      <c r="AW996" t="b">
        <f>AND(IF(Metadata!J996="",FALSE,TRUE),EXACT(Metadata!J996,"free-living"))</f>
        <v>0</v>
      </c>
      <c r="AX996" t="b">
        <f>AND(IF(Metadata!K996="",FALSE,TRUE),OR(EXACT(Metadata!K996,"saline"),EXACT(Metadata!K996,"non-saline")))</f>
        <v>0</v>
      </c>
      <c r="AY996" t="b">
        <f>AND(IF(Metadata!L996="",FALSE,TRUE),OR(EXACT(Metadata!L996,"sub-surface (non-saline)"),EXACT(Metadata!L996,"surface (non-saline)"),EXACT(Metadata!L996,"water (non-saline)"),EXACT(Metadata!L996,"soil (non-saline)"),EXACT(Metadata!L996,"aerosol (non-saline)"),EXACT(Metadata!L996,"sediment (non-saline)"),EXACT(Metadata!L996,"surface (saline)"),EXACT(Metadata!L996,"water (saline)"),EXACT(Metadata!L996,"hypersaline (saline)"),EXACT(Metadata!L996,"aerosol (saline)"),EXACT(Metadata!L996,"sediment (saline)")))</f>
        <v>0</v>
      </c>
      <c r="AZ996" t="b">
        <f>IF(Metadata!M996="",FALSE,TRUE)</f>
        <v>0</v>
      </c>
      <c r="BA996" t="b">
        <f>IF(Metadata!N996="",FALSE,TRUE)</f>
        <v>0</v>
      </c>
      <c r="BB996" t="b">
        <f>IF(Metadata!O996="",FALSE,TRUE)</f>
        <v>0</v>
      </c>
      <c r="BC996" t="b">
        <f>AND(IF(Metadata!P996="",FALSE,TRUE),OR(EXACT(Metadata!P996,"air"),EXACT(Metadata!P996,"microbial mat/biofilm"),EXACT(Metadata!P996,"misc environment"),EXACT(Metadata!P996,"sediment"),EXACT(Metadata!P996,"soil"),EXACT(Metadata!P996,"wastewater/sludge"),EXACT(Metadata!P996,"water")))</f>
        <v>0</v>
      </c>
      <c r="BD996" t="b">
        <f>IF(Metadata!Q996="",FALSE,TRUE)</f>
        <v>0</v>
      </c>
      <c r="BE996" t="b">
        <f>IF(Metadata!R996="",FALSE,TRUE)</f>
        <v>0</v>
      </c>
      <c r="BF996" t="b">
        <f>OR(AND(IF(Metadata!S996="",FALSE,TRUE),OR(EXACT(Metadata!S996,"not collected"),EXACT(Metadata!S996,"not provided"),EXACT(Metadata!S996,"restricted access"))),AND(IF(Metadata!S996="",FALSE,ISNUMBER(VALUE(Metadata!S996))),Metadata!S996&gt;=-90,Metadata!S996&lt;=90))</f>
        <v>0</v>
      </c>
      <c r="BG996" t="b">
        <f>AND(IF(Metadata!T996="",FALSE,TRUE),EXACT(Metadata!T996,"Decimal degrees"))</f>
        <v>0</v>
      </c>
      <c r="BH996" t="b">
        <f>OR(AND(IF(Metadata!U996="",FALSE,TRUE),OR(EXACT(Metadata!U996,"not applicable"),EXACT(Metadata!U996,"not collected"))),IF(Metadata!U996="",FALSE,TRUE))</f>
        <v>0</v>
      </c>
      <c r="BI996" t="b">
        <f>OR(AND(IF(Metadata!V996="",FALSE,TRUE),OR(EXACT(Metadata!V996,"not collected"),EXACT(Metadata!V996,"not provided"),EXACT(Metadata!V996,"restricted access"))),AND(IF(Metadata!V996="",FALSE,ISNUMBER(VALUE(Metadata!V996))),Metadata!V996&gt;=-180,Metadata!V996&lt;=180))</f>
        <v>0</v>
      </c>
      <c r="BJ996" t="b">
        <f>AND(IF(Metadata!W996="",FALSE,TRUE),EXACT(Metadata!W996,"Decimal degrees"))</f>
        <v>0</v>
      </c>
      <c r="BK996" t="b">
        <f>IF(Metadata!X996="",FALSE,TRUE)</f>
        <v>0</v>
      </c>
      <c r="BL996" t="b">
        <f>OR(AND(IF(Metadata!Y996="",FALSE,TRUE),OR(EXACT(Metadata!Y996,"not collected"),EXACT(Metadata!Y996,"not provided"),EXACT(Metadata!Y996,"restricted access"))),AND(IF(Metadata!Y996="",FALSE,TRUE),OR(EXACT(Metadata!Y996,"TRUE"),EXACT(Metadata!Y996,"FALSE"))))</f>
        <v>0</v>
      </c>
      <c r="BM996" t="b">
        <f>OR(AND(IF(Metadata!Z996="",FALSE,TRUE),EXACT(Metadata!Z996,"not applicable")),AND(IF(Metadata!Z996="",FALSE,TRUE),OR(EXACT(Metadata!Z996,"beer"),EXACT(Metadata!Z996,"cheese"),EXACT(Metadata!Z996,"fresh water"),EXACT(Metadata!Z996,"marine sediment"),EXACT(Metadata!Z996,"sea water"),EXACT(Metadata!Z996,"sediment"),EXACT(Metadata!Z996,"soil"),EXACT(Metadata!Z996,"waste water"))))</f>
        <v>0</v>
      </c>
      <c r="BN996" t="b">
        <f>AND(IF(Metadata!AA996="",FALSE,TRUE),EXACT(Metadata!AA996,"metagenome"))</f>
        <v>0</v>
      </c>
      <c r="BO996" t="b">
        <f>AND(IF(Metadata!AB996="",FALSE,TRUE),EXACT(Metadata!AB996,"256318"))</f>
        <v>0</v>
      </c>
      <c r="BP996" t="b">
        <f>IF(Metadata!AC996="",FALSE,TRUE)</f>
        <v>0</v>
      </c>
      <c r="BQ996" t="b">
        <f>IF(Metadata!AD996="",FALSE,TRUE)</f>
        <v>0</v>
      </c>
    </row>
    <row r="997" spans="1:69" x14ac:dyDescent="0.2">
      <c r="A997" s="4" t="e">
        <f ca="1">IF(B997=" "," ",HYPERLINK(CONCATENATE("#metadata!",ADDRESS(INDEX($AJ$2:$AJ$1001,MATCH(ROWS($AH$2:AH997),$AH$2:$AH$1001,0),0),2)),INDEX($AM$2:$AM$1001,MATCH(ROWS($AH$2:AH997),$AH$2:$AH$1001,0),0)))</f>
        <v>#N/A</v>
      </c>
      <c r="B997" s="5" t="e">
        <f ca="1">IF(OR(INDEX($AI$2:$AI$1001,MATCH(ROWS($AH$2:AH997),$AH$2:$AH$1001,0),1)&gt;=100000,INDEX($AO$1005:$BQ$1005,1,MATCH(COLUMNS($AO$1006:AO1006),$AO$1006:$BQ$1006,0))&gt;=100000), " ",IF(INDEX($AO$2:$BQ$1001,MATCH(ROWS($AH$2:AH997),$AH$2:$AH$1001,0),MATCH(COLUMNS($AO$1006:AO1006),$AO$1006:$BQ$1006,0)), HYPERLINK("#",""), HYPERLINK(CONCATENATE("#Metadata!", ADDRESS(INDEX($AJ$2:$AJ$1001,MATCH(ROWS($AH$2:AH997),$AH$2:$AH$1001,0),0), INDEX($AO$1004:$BQ$1004,1,MATCH(COLUMNS($AO$1006:AO1006),$AO$1006:$BQ$1006,0)))),"Fix")))</f>
        <v>#N/A</v>
      </c>
      <c r="C997" s="5" t="e">
        <f ca="1">IF(OR(INDEX($AI$2:$AI$1001,MATCH(ROWS($AH$2:AH997),$AH$2:$AH$1001,0),1)&gt;=100000,INDEX($AO$1005:$BQ$1005,1,MATCH(COLUMNS($AO$1006:AP1006),$AO$1006:$BQ$1006,0))&gt;=100000), " ",IF(INDEX($AO$2:$BQ$1001,MATCH(ROWS($AH$2:AH997),$AH$2:$AH$1001,0),MATCH(COLUMNS($AO$1006:AP1006),$AO$1006:$BQ$1006,0)), HYPERLINK("#",""), HYPERLINK(CONCATENATE("#Metadata!", ADDRESS(INDEX($AJ$2:$AJ$1001,MATCH(ROWS($AH$2:AH997),$AH$2:$AH$1001,0),0), INDEX($AO$1004:$BQ$1004,1,MATCH(COLUMNS($AO$1006:AP1006),$AO$1006:$BQ$1006,0)))),"Fix")))</f>
        <v>#N/A</v>
      </c>
      <c r="D997" s="5" t="e">
        <f ca="1">IF(OR(INDEX($AI$2:$AI$1001,MATCH(ROWS($AH$2:AH997),$AH$2:$AH$1001,0),1)&gt;=100000,INDEX($AO$1005:$BQ$1005,1,MATCH(COLUMNS($AO$1006:AQ1006),$AO$1006:$BQ$1006,0))&gt;=100000), " ",IF(INDEX($AO$2:$BQ$1001,MATCH(ROWS($AH$2:AH997),$AH$2:$AH$1001,0),MATCH(COLUMNS($AO$1006:AQ1006),$AO$1006:$BQ$1006,0)), HYPERLINK("#",""), HYPERLINK(CONCATENATE("#Metadata!", ADDRESS(INDEX($AJ$2:$AJ$1001,MATCH(ROWS($AH$2:AH997),$AH$2:$AH$1001,0),0), INDEX($AO$1004:$BQ$1004,1,MATCH(COLUMNS($AO$1006:AQ1006),$AO$1006:$BQ$1006,0)))),"Fix")))</f>
        <v>#N/A</v>
      </c>
      <c r="E997" s="5" t="e">
        <f ca="1">IF(OR(INDEX($AI$2:$AI$1001,MATCH(ROWS($AH$2:AH997),$AH$2:$AH$1001,0),1)&gt;=100000,INDEX($AO$1005:$BQ$1005,1,MATCH(COLUMNS($AO$1006:AR1006),$AO$1006:$BQ$1006,0))&gt;=100000), " ",IF(INDEX($AO$2:$BQ$1001,MATCH(ROWS($AH$2:AH997),$AH$2:$AH$1001,0),MATCH(COLUMNS($AO$1006:AR1006),$AO$1006:$BQ$1006,0)), HYPERLINK("#",""), HYPERLINK(CONCATENATE("#Metadata!", ADDRESS(INDEX($AJ$2:$AJ$1001,MATCH(ROWS($AH$2:AH997),$AH$2:$AH$1001,0),0), INDEX($AO$1004:$BQ$1004,1,MATCH(COLUMNS($AO$1006:AR1006),$AO$1006:$BQ$1006,0)))),"Fix")))</f>
        <v>#N/A</v>
      </c>
      <c r="F997" s="5" t="e">
        <f ca="1">IF(OR(INDEX($AI$2:$AI$1001,MATCH(ROWS($AH$2:AH997),$AH$2:$AH$1001,0),1)&gt;=100000,INDEX($AO$1005:$BQ$1005,1,MATCH(COLUMNS($AO$1006:AS1006),$AO$1006:$BQ$1006,0))&gt;=100000), " ",IF(INDEX($AO$2:$BQ$1001,MATCH(ROWS($AH$2:AH997),$AH$2:$AH$1001,0),MATCH(COLUMNS($AO$1006:AS1006),$AO$1006:$BQ$1006,0)), HYPERLINK("#",""), HYPERLINK(CONCATENATE("#Metadata!", ADDRESS(INDEX($AJ$2:$AJ$1001,MATCH(ROWS($AH$2:AH997),$AH$2:$AH$1001,0),0), INDEX($AO$1004:$BQ$1004,1,MATCH(COLUMNS($AO$1006:AS1006),$AO$1006:$BQ$1006,0)))),"Fix")))</f>
        <v>#N/A</v>
      </c>
      <c r="G997" s="5" t="e">
        <f ca="1">IF(OR(INDEX($AI$2:$AI$1001,MATCH(ROWS($AH$2:AH997),$AH$2:$AH$1001,0),1)&gt;=100000,INDEX($AO$1005:$BQ$1005,1,MATCH(COLUMNS($AO$1006:AT1006),$AO$1006:$BQ$1006,0))&gt;=100000), " ",IF(INDEX($AO$2:$BQ$1001,MATCH(ROWS($AH$2:AH997),$AH$2:$AH$1001,0),MATCH(COLUMNS($AO$1006:AT1006),$AO$1006:$BQ$1006,0)), HYPERLINK("#",""), HYPERLINK(CONCATENATE("#Metadata!", ADDRESS(INDEX($AJ$2:$AJ$1001,MATCH(ROWS($AH$2:AH997),$AH$2:$AH$1001,0),0), INDEX($AO$1004:$BQ$1004,1,MATCH(COLUMNS($AO$1006:AT1006),$AO$1006:$BQ$1006,0)))),"Fix")))</f>
        <v>#N/A</v>
      </c>
      <c r="H997" s="5" t="e">
        <f ca="1">IF(OR(INDEX($AI$2:$AI$1001,MATCH(ROWS($AH$2:AH997),$AH$2:$AH$1001,0),1)&gt;=100000,INDEX($AO$1005:$BQ$1005,1,MATCH(COLUMNS($AO$1006:AU1006),$AO$1006:$BQ$1006,0))&gt;=100000), " ",IF(INDEX($AO$2:$BQ$1001,MATCH(ROWS($AH$2:AH997),$AH$2:$AH$1001,0),MATCH(COLUMNS($AO$1006:AU1006),$AO$1006:$BQ$1006,0)), HYPERLINK("#",""), HYPERLINK(CONCATENATE("#Metadata!", ADDRESS(INDEX($AJ$2:$AJ$1001,MATCH(ROWS($AH$2:AH997),$AH$2:$AH$1001,0),0), INDEX($AO$1004:$BQ$1004,1,MATCH(COLUMNS($AO$1006:AU1006),$AO$1006:$BQ$1006,0)))),"Fix")))</f>
        <v>#N/A</v>
      </c>
      <c r="I997" s="5" t="e">
        <f ca="1">IF(OR(INDEX($AI$2:$AI$1001,MATCH(ROWS($AH$2:AH997),$AH$2:$AH$1001,0),1)&gt;=100000,INDEX($AO$1005:$BQ$1005,1,MATCH(COLUMNS($AO$1006:AV1006),$AO$1006:$BQ$1006,0))&gt;=100000), " ",IF(INDEX($AO$2:$BQ$1001,MATCH(ROWS($AH$2:AH997),$AH$2:$AH$1001,0),MATCH(COLUMNS($AO$1006:AV1006),$AO$1006:$BQ$1006,0)), HYPERLINK("#",""), HYPERLINK(CONCATENATE("#Metadata!", ADDRESS(INDEX($AJ$2:$AJ$1001,MATCH(ROWS($AH$2:AH997),$AH$2:$AH$1001,0),0), INDEX($AO$1004:$BQ$1004,1,MATCH(COLUMNS($AO$1006:AV1006),$AO$1006:$BQ$1006,0)))),"Fix")))</f>
        <v>#N/A</v>
      </c>
      <c r="J997" s="5" t="e">
        <f ca="1">IF(OR(INDEX($AI$2:$AI$1001,MATCH(ROWS($AH$2:AH997),$AH$2:$AH$1001,0),1)&gt;=100000,INDEX($AO$1005:$BQ$1005,1,MATCH(COLUMNS($AO$1006:AW1006),$AO$1006:$BQ$1006,0))&gt;=100000), " ",IF(INDEX($AO$2:$BQ$1001,MATCH(ROWS($AH$2:AH997),$AH$2:$AH$1001,0),MATCH(COLUMNS($AO$1006:AW1006),$AO$1006:$BQ$1006,0)), HYPERLINK("#",""), HYPERLINK(CONCATENATE("#Metadata!", ADDRESS(INDEX($AJ$2:$AJ$1001,MATCH(ROWS($AH$2:AH997),$AH$2:$AH$1001,0),0), INDEX($AO$1004:$BQ$1004,1,MATCH(COLUMNS($AO$1006:AW1006),$AO$1006:$BQ$1006,0)))),"Fix")))</f>
        <v>#N/A</v>
      </c>
      <c r="K997" s="5" t="e">
        <f ca="1">IF(OR(INDEX($AI$2:$AI$1001,MATCH(ROWS($AH$2:AH997),$AH$2:$AH$1001,0),1)&gt;=100000,INDEX($AO$1005:$BQ$1005,1,MATCH(COLUMNS($AO$1006:AX1006),$AO$1006:$BQ$1006,0))&gt;=100000), " ",IF(INDEX($AO$2:$BQ$1001,MATCH(ROWS($AH$2:AH997),$AH$2:$AH$1001,0),MATCH(COLUMNS($AO$1006:AX1006),$AO$1006:$BQ$1006,0)), HYPERLINK("#",""), HYPERLINK(CONCATENATE("#Metadata!", ADDRESS(INDEX($AJ$2:$AJ$1001,MATCH(ROWS($AH$2:AH997),$AH$2:$AH$1001,0),0), INDEX($AO$1004:$BQ$1004,1,MATCH(COLUMNS($AO$1006:AX1006),$AO$1006:$BQ$1006,0)))),"Fix")))</f>
        <v>#N/A</v>
      </c>
      <c r="L997" s="5" t="e">
        <f ca="1">IF(OR(INDEX($AI$2:$AI$1001,MATCH(ROWS($AH$2:AH997),$AH$2:$AH$1001,0),1)&gt;=100000,INDEX($AO$1005:$BQ$1005,1,MATCH(COLUMNS($AO$1006:AY1006),$AO$1006:$BQ$1006,0))&gt;=100000), " ",IF(INDEX($AO$2:$BQ$1001,MATCH(ROWS($AH$2:AH997),$AH$2:$AH$1001,0),MATCH(COLUMNS($AO$1006:AY1006),$AO$1006:$BQ$1006,0)), HYPERLINK("#",""), HYPERLINK(CONCATENATE("#Metadata!", ADDRESS(INDEX($AJ$2:$AJ$1001,MATCH(ROWS($AH$2:AH997),$AH$2:$AH$1001,0),0), INDEX($AO$1004:$BQ$1004,1,MATCH(COLUMNS($AO$1006:AY1006),$AO$1006:$BQ$1006,0)))),"Fix")))</f>
        <v>#N/A</v>
      </c>
      <c r="M997" s="5" t="e">
        <f ca="1">IF(OR(INDEX($AI$2:$AI$1001,MATCH(ROWS($AH$2:AH997),$AH$2:$AH$1001,0),1)&gt;=100000,INDEX($AO$1005:$BQ$1005,1,MATCH(COLUMNS($AO$1006:AZ1006),$AO$1006:$BQ$1006,0))&gt;=100000), " ",IF(INDEX($AO$2:$BQ$1001,MATCH(ROWS($AH$2:AH997),$AH$2:$AH$1001,0),MATCH(COLUMNS($AO$1006:AZ1006),$AO$1006:$BQ$1006,0)), HYPERLINK("#",""), HYPERLINK(CONCATENATE("#Metadata!", ADDRESS(INDEX($AJ$2:$AJ$1001,MATCH(ROWS($AH$2:AH997),$AH$2:$AH$1001,0),0), INDEX($AO$1004:$BQ$1004,1,MATCH(COLUMNS($AO$1006:AZ1006),$AO$1006:$BQ$1006,0)))),"Fix")))</f>
        <v>#N/A</v>
      </c>
      <c r="N997" s="5" t="e">
        <f ca="1">IF(OR(INDEX($AI$2:$AI$1001,MATCH(ROWS($AH$2:AH997),$AH$2:$AH$1001,0),1)&gt;=100000,INDEX($AO$1005:$BQ$1005,1,MATCH(COLUMNS($AO$1006:BA1006),$AO$1006:$BQ$1006,0))&gt;=100000), " ",IF(INDEX($AO$2:$BQ$1001,MATCH(ROWS($AH$2:AH997),$AH$2:$AH$1001,0),MATCH(COLUMNS($AO$1006:BA1006),$AO$1006:$BQ$1006,0)), HYPERLINK("#",""), HYPERLINK(CONCATENATE("#Metadata!", ADDRESS(INDEX($AJ$2:$AJ$1001,MATCH(ROWS($AH$2:AH997),$AH$2:$AH$1001,0),0), INDEX($AO$1004:$BQ$1004,1,MATCH(COLUMNS($AO$1006:BA1006),$AO$1006:$BQ$1006,0)))),"Fix")))</f>
        <v>#N/A</v>
      </c>
      <c r="O997" s="5" t="e">
        <f ca="1">IF(OR(INDEX($AI$2:$AI$1001,MATCH(ROWS($AH$2:AH997),$AH$2:$AH$1001,0),1)&gt;=100000,INDEX($AO$1005:$BQ$1005,1,MATCH(COLUMNS($AO$1006:BB1006),$AO$1006:$BQ$1006,0))&gt;=100000), " ",IF(INDEX($AO$2:$BQ$1001,MATCH(ROWS($AH$2:AH997),$AH$2:$AH$1001,0),MATCH(COLUMNS($AO$1006:BB1006),$AO$1006:$BQ$1006,0)), HYPERLINK("#",""), HYPERLINK(CONCATENATE("#Metadata!", ADDRESS(INDEX($AJ$2:$AJ$1001,MATCH(ROWS($AH$2:AH997),$AH$2:$AH$1001,0),0), INDEX($AO$1004:$BQ$1004,1,MATCH(COLUMNS($AO$1006:BB1006),$AO$1006:$BQ$1006,0)))),"Fix")))</f>
        <v>#N/A</v>
      </c>
      <c r="P997" s="5" t="e">
        <f ca="1">IF(OR(INDEX($AI$2:$AI$1001,MATCH(ROWS($AH$2:AH997),$AH$2:$AH$1001,0),1)&gt;=100000,INDEX($AO$1005:$BQ$1005,1,MATCH(COLUMNS($AO$1006:BC1006),$AO$1006:$BQ$1006,0))&gt;=100000), " ",IF(INDEX($AO$2:$BQ$1001,MATCH(ROWS($AH$2:AH997),$AH$2:$AH$1001,0),MATCH(COLUMNS($AO$1006:BC1006),$AO$1006:$BQ$1006,0)), HYPERLINK("#",""), HYPERLINK(CONCATENATE("#Metadata!", ADDRESS(INDEX($AJ$2:$AJ$1001,MATCH(ROWS($AH$2:AH997),$AH$2:$AH$1001,0),0), INDEX($AO$1004:$BQ$1004,1,MATCH(COLUMNS($AO$1006:BC1006),$AO$1006:$BQ$1006,0)))),"Fix")))</f>
        <v>#N/A</v>
      </c>
      <c r="Q997" s="5" t="e">
        <f ca="1">IF(OR(INDEX($AI$2:$AI$1001,MATCH(ROWS($AH$2:AH997),$AH$2:$AH$1001,0),1)&gt;=100000,INDEX($AO$1005:$BQ$1005,1,MATCH(COLUMNS($AO$1006:BD1006),$AO$1006:$BQ$1006,0))&gt;=100000), " ",IF(INDEX($AO$2:$BQ$1001,MATCH(ROWS($AH$2:AH997),$AH$2:$AH$1001,0),MATCH(COLUMNS($AO$1006:BD1006),$AO$1006:$BQ$1006,0)), HYPERLINK("#",""), HYPERLINK(CONCATENATE("#Metadata!", ADDRESS(INDEX($AJ$2:$AJ$1001,MATCH(ROWS($AH$2:AH997),$AH$2:$AH$1001,0),0), INDEX($AO$1004:$BQ$1004,1,MATCH(COLUMNS($AO$1006:BD1006),$AO$1006:$BQ$1006,0)))),"Fix")))</f>
        <v>#N/A</v>
      </c>
      <c r="R997" s="5" t="e">
        <f ca="1">IF(OR(INDEX($AI$2:$AI$1001,MATCH(ROWS($AH$2:AH997),$AH$2:$AH$1001,0),1)&gt;=100000,INDEX($AO$1005:$BQ$1005,1,MATCH(COLUMNS($AO$1006:BE1006),$AO$1006:$BQ$1006,0))&gt;=100000), " ",IF(INDEX($AO$2:$BQ$1001,MATCH(ROWS($AH$2:AH997),$AH$2:$AH$1001,0),MATCH(COLUMNS($AO$1006:BE1006),$AO$1006:$BQ$1006,0)), HYPERLINK("#",""), HYPERLINK(CONCATENATE("#Metadata!", ADDRESS(INDEX($AJ$2:$AJ$1001,MATCH(ROWS($AH$2:AH997),$AH$2:$AH$1001,0),0), INDEX($AO$1004:$BQ$1004,1,MATCH(COLUMNS($AO$1006:BE1006),$AO$1006:$BQ$1006,0)))),"Fix")))</f>
        <v>#N/A</v>
      </c>
      <c r="S997" s="5" t="e">
        <f ca="1">IF(OR(INDEX($AI$2:$AI$1001,MATCH(ROWS($AH$2:AH997),$AH$2:$AH$1001,0),1)&gt;=100000,INDEX($AO$1005:$BQ$1005,1,MATCH(COLUMNS($AO$1006:BF1006),$AO$1006:$BQ$1006,0))&gt;=100000), " ",IF(INDEX($AO$2:$BQ$1001,MATCH(ROWS($AH$2:AH997),$AH$2:$AH$1001,0),MATCH(COLUMNS($AO$1006:BF1006),$AO$1006:$BQ$1006,0)), HYPERLINK("#",""), HYPERLINK(CONCATENATE("#Metadata!", ADDRESS(INDEX($AJ$2:$AJ$1001,MATCH(ROWS($AH$2:AH997),$AH$2:$AH$1001,0),0), INDEX($AO$1004:$BQ$1004,1,MATCH(COLUMNS($AO$1006:BF1006),$AO$1006:$BQ$1006,0)))),"Fix")))</f>
        <v>#N/A</v>
      </c>
      <c r="T997" s="5" t="e">
        <f ca="1">IF(OR(INDEX($AI$2:$AI$1001,MATCH(ROWS($AH$2:AH997),$AH$2:$AH$1001,0),1)&gt;=100000,INDEX($AO$1005:$BQ$1005,1,MATCH(COLUMNS($AO$1006:BG1006),$AO$1006:$BQ$1006,0))&gt;=100000), " ",IF(INDEX($AO$2:$BQ$1001,MATCH(ROWS($AH$2:AH997),$AH$2:$AH$1001,0),MATCH(COLUMNS($AO$1006:BG1006),$AO$1006:$BQ$1006,0)), HYPERLINK("#",""), HYPERLINK(CONCATENATE("#Metadata!", ADDRESS(INDEX($AJ$2:$AJ$1001,MATCH(ROWS($AH$2:AH997),$AH$2:$AH$1001,0),0), INDEX($AO$1004:$BQ$1004,1,MATCH(COLUMNS($AO$1006:BG1006),$AO$1006:$BQ$1006,0)))),"Fix")))</f>
        <v>#N/A</v>
      </c>
      <c r="U997" s="5" t="e">
        <f ca="1">IF(OR(INDEX($AI$2:$AI$1001,MATCH(ROWS($AH$2:AH997),$AH$2:$AH$1001,0),1)&gt;=100000,INDEX($AO$1005:$BQ$1005,1,MATCH(COLUMNS($AO$1006:BH1006),$AO$1006:$BQ$1006,0))&gt;=100000), " ",IF(INDEX($AO$2:$BQ$1001,MATCH(ROWS($AH$2:AH997),$AH$2:$AH$1001,0),MATCH(COLUMNS($AO$1006:BH1006),$AO$1006:$BQ$1006,0)), HYPERLINK("#",""), HYPERLINK(CONCATENATE("#Metadata!", ADDRESS(INDEX($AJ$2:$AJ$1001,MATCH(ROWS($AH$2:AH997),$AH$2:$AH$1001,0),0), INDEX($AO$1004:$BQ$1004,1,MATCH(COLUMNS($AO$1006:BH1006),$AO$1006:$BQ$1006,0)))),"Fix")))</f>
        <v>#N/A</v>
      </c>
      <c r="V997" s="5" t="e">
        <f ca="1">IF(OR(INDEX($AI$2:$AI$1001,MATCH(ROWS($AH$2:AH997),$AH$2:$AH$1001,0),1)&gt;=100000,INDEX($AO$1005:$BQ$1005,1,MATCH(COLUMNS($AO$1006:BI1006),$AO$1006:$BQ$1006,0))&gt;=100000), " ",IF(INDEX($AO$2:$BQ$1001,MATCH(ROWS($AH$2:AH997),$AH$2:$AH$1001,0),MATCH(COLUMNS($AO$1006:BI1006),$AO$1006:$BQ$1006,0)), HYPERLINK("#",""), HYPERLINK(CONCATENATE("#Metadata!", ADDRESS(INDEX($AJ$2:$AJ$1001,MATCH(ROWS($AH$2:AH997),$AH$2:$AH$1001,0),0), INDEX($AO$1004:$BQ$1004,1,MATCH(COLUMNS($AO$1006:BI1006),$AO$1006:$BQ$1006,0)))),"Fix")))</f>
        <v>#N/A</v>
      </c>
      <c r="W997" s="5" t="e">
        <f ca="1">IF(OR(INDEX($AI$2:$AI$1001,MATCH(ROWS($AH$2:AH997),$AH$2:$AH$1001,0),1)&gt;=100000,INDEX($AO$1005:$BQ$1005,1,MATCH(COLUMNS($AO$1006:BJ1006),$AO$1006:$BQ$1006,0))&gt;=100000), " ",IF(INDEX($AO$2:$BQ$1001,MATCH(ROWS($AH$2:AH997),$AH$2:$AH$1001,0),MATCH(COLUMNS($AO$1006:BJ1006),$AO$1006:$BQ$1006,0)), HYPERLINK("#",""), HYPERLINK(CONCATENATE("#Metadata!", ADDRESS(INDEX($AJ$2:$AJ$1001,MATCH(ROWS($AH$2:AH997),$AH$2:$AH$1001,0),0), INDEX($AO$1004:$BQ$1004,1,MATCH(COLUMNS($AO$1006:BJ1006),$AO$1006:$BQ$1006,0)))),"Fix")))</f>
        <v>#N/A</v>
      </c>
      <c r="X997" s="5" t="e">
        <f ca="1">IF(OR(INDEX($AI$2:$AI$1001,MATCH(ROWS($AH$2:AH997),$AH$2:$AH$1001,0),1)&gt;=100000,INDEX($AO$1005:$BQ$1005,1,MATCH(COLUMNS($AO$1006:BK1006),$AO$1006:$BQ$1006,0))&gt;=100000), " ",IF(INDEX($AO$2:$BQ$1001,MATCH(ROWS($AH$2:AH997),$AH$2:$AH$1001,0),MATCH(COLUMNS($AO$1006:BK1006),$AO$1006:$BQ$1006,0)), HYPERLINK("#",""), HYPERLINK(CONCATENATE("#Metadata!", ADDRESS(INDEX($AJ$2:$AJ$1001,MATCH(ROWS($AH$2:AH997),$AH$2:$AH$1001,0),0), INDEX($AO$1004:$BQ$1004,1,MATCH(COLUMNS($AO$1006:BK1006),$AO$1006:$BQ$1006,0)))),"Fix")))</f>
        <v>#N/A</v>
      </c>
      <c r="Y997" s="5" t="e">
        <f ca="1">IF(OR(INDEX($AI$2:$AI$1001,MATCH(ROWS($AH$2:AH997),$AH$2:$AH$1001,0),1)&gt;=100000,INDEX($AO$1005:$BQ$1005,1,MATCH(COLUMNS($AO$1006:BL1006),$AO$1006:$BQ$1006,0))&gt;=100000), " ",IF(INDEX($AO$2:$BQ$1001,MATCH(ROWS($AH$2:AH997),$AH$2:$AH$1001,0),MATCH(COLUMNS($AO$1006:BL1006),$AO$1006:$BQ$1006,0)), HYPERLINK("#",""), HYPERLINK(CONCATENATE("#Metadata!", ADDRESS(INDEX($AJ$2:$AJ$1001,MATCH(ROWS($AH$2:AH997),$AH$2:$AH$1001,0),0), INDEX($AO$1004:$BQ$1004,1,MATCH(COLUMNS($AO$1006:BL1006),$AO$1006:$BQ$1006,0)))),"Fix")))</f>
        <v>#N/A</v>
      </c>
      <c r="Z997" s="5" t="e">
        <f ca="1">IF(OR(INDEX($AI$2:$AI$1001,MATCH(ROWS($AH$2:AH997),$AH$2:$AH$1001,0),1)&gt;=100000,INDEX($AO$1005:$BQ$1005,1,MATCH(COLUMNS($AO$1006:BM1006),$AO$1006:$BQ$1006,0))&gt;=100000), " ",IF(INDEX($AO$2:$BQ$1001,MATCH(ROWS($AH$2:AH997),$AH$2:$AH$1001,0),MATCH(COLUMNS($AO$1006:BM1006),$AO$1006:$BQ$1006,0)), HYPERLINK("#",""), HYPERLINK(CONCATENATE("#Metadata!", ADDRESS(INDEX($AJ$2:$AJ$1001,MATCH(ROWS($AH$2:AH997),$AH$2:$AH$1001,0),0), INDEX($AO$1004:$BQ$1004,1,MATCH(COLUMNS($AO$1006:BM1006),$AO$1006:$BQ$1006,0)))),"Fix")))</f>
        <v>#N/A</v>
      </c>
      <c r="AA997" s="5" t="e">
        <f ca="1">IF(OR(INDEX($AI$2:$AI$1001,MATCH(ROWS($AH$2:AH997),$AH$2:$AH$1001,0),1)&gt;=100000,INDEX($AO$1005:$BQ$1005,1,MATCH(COLUMNS($AO$1006:BN1006),$AO$1006:$BQ$1006,0))&gt;=100000), " ",IF(INDEX($AO$2:$BQ$1001,MATCH(ROWS($AH$2:AH997),$AH$2:$AH$1001,0),MATCH(COLUMNS($AO$1006:BN1006),$AO$1006:$BQ$1006,0)), HYPERLINK("#",""), HYPERLINK(CONCATENATE("#Metadata!", ADDRESS(INDEX($AJ$2:$AJ$1001,MATCH(ROWS($AH$2:AH997),$AH$2:$AH$1001,0),0), INDEX($AO$1004:$BQ$1004,1,MATCH(COLUMNS($AO$1006:BN1006),$AO$1006:$BQ$1006,0)))),"Fix")))</f>
        <v>#N/A</v>
      </c>
      <c r="AB997" s="5" t="e">
        <f ca="1">IF(OR(INDEX($AI$2:$AI$1001,MATCH(ROWS($AH$2:AH997),$AH$2:$AH$1001,0),1)&gt;=100000,INDEX($AO$1005:$BQ$1005,1,MATCH(COLUMNS($AO$1006:BO1006),$AO$1006:$BQ$1006,0))&gt;=100000), " ",IF(INDEX($AO$2:$BQ$1001,MATCH(ROWS($AH$2:AH997),$AH$2:$AH$1001,0),MATCH(COLUMNS($AO$1006:BO1006),$AO$1006:$BQ$1006,0)), HYPERLINK("#",""), HYPERLINK(CONCATENATE("#Metadata!", ADDRESS(INDEX($AJ$2:$AJ$1001,MATCH(ROWS($AH$2:AH997),$AH$2:$AH$1001,0),0), INDEX($AO$1004:$BQ$1004,1,MATCH(COLUMNS($AO$1006:BO1006),$AO$1006:$BQ$1006,0)))),"Fix")))</f>
        <v>#N/A</v>
      </c>
      <c r="AC997" s="5" t="e">
        <f ca="1">IF(OR(INDEX($AI$2:$AI$1001,MATCH(ROWS($AH$2:AH997),$AH$2:$AH$1001,0),1)&gt;=100000,INDEX($AO$1005:$BQ$1005,1,MATCH(COLUMNS($AO$1006:BP1006),$AO$1006:$BQ$1006,0))&gt;=100000), " ",IF(INDEX($AO$2:$BQ$1001,MATCH(ROWS($AH$2:AH997),$AH$2:$AH$1001,0),MATCH(COLUMNS($AO$1006:BP1006),$AO$1006:$BQ$1006,0)), HYPERLINK("#",""), HYPERLINK(CONCATENATE("#Metadata!", ADDRESS(INDEX($AJ$2:$AJ$1001,MATCH(ROWS($AH$2:AH997),$AH$2:$AH$1001,0),0), INDEX($AO$1004:$BQ$1004,1,MATCH(COLUMNS($AO$1006:BP1006),$AO$1006:$BQ$1006,0)))),"Fix")))</f>
        <v>#N/A</v>
      </c>
      <c r="AD997" s="5" t="e">
        <f ca="1">IF(OR(INDEX($AI$2:$AI$1001,MATCH(ROWS($AH$2:AH997),$AH$2:$AH$1001,0),1)&gt;=100000,INDEX($AO$1005:$BQ$1005,1,MATCH(COLUMNS($AO$1006:BQ1006),$AO$1006:$BQ$1006,0))&gt;=100000), " ",IF(INDEX($AO$2:$BQ$1001,MATCH(ROWS($AH$2:AH997),$AH$2:$AH$1001,0),MATCH(COLUMNS($AO$1006:BQ1006),$AO$1006:$BQ$1006,0)), HYPERLINK("#",""), HYPERLINK(CONCATENATE("#Metadata!", ADDRESS(INDEX($AJ$2:$AJ$1001,MATCH(ROWS($AH$2:AH997),$AH$2:$AH$1001,0),0), INDEX($AO$1004:$BQ$1004,1,MATCH(COLUMNS($AO$1006:BQ1006),$AO$1006:$BQ$1006,0)))),"Fix")))</f>
        <v>#REF!</v>
      </c>
      <c r="AH997">
        <f ca="1"/>
        <v>994</v>
      </c>
      <c r="AI997">
        <v>100997</v>
      </c>
      <c r="AJ997">
        <v>997</v>
      </c>
      <c r="AK997" t="b">
        <f t="shared" si="15"/>
        <v>1</v>
      </c>
      <c r="AL997" t="b">
        <f>COUNTBLANK(Metadata!B997:AD997)=COLUMNS(Metadata!B997:AD997)</f>
        <v>1</v>
      </c>
      <c r="AM997" t="str">
        <v/>
      </c>
      <c r="AO997" t="b">
        <f ca="1">AND(IF(Metadata!B997="",FALSE,TRUE),COUNTIF(Metadata!B:B, Metadata!B997) = 1,NOT(ISERROR(SUMPRODUCT(SEARCH(MID(Metadata!B997,ROW(INDIRECT("1:"&amp;LEN(Metadata!B997))), 1),"0123456789abcdefghijklmnopqrstuvwxyzABCDEFGHIJKLMNOPQRSTUVWXYZ.")))))</f>
        <v>0</v>
      </c>
      <c r="AP997" t="b">
        <f>IF(Metadata!C997="",FALSE,TRUE)</f>
        <v>0</v>
      </c>
      <c r="AQ997" t="b">
        <f>IF(Metadata!D997="",FALSE,TRUE)</f>
        <v>0</v>
      </c>
      <c r="AR997" t="b">
        <f ca="1">OR(AND(IF(Metadata!E997="",FALSE,TRUE),OR(EXACT(Metadata!E997,"not collected"),EXACT(Metadata!E997,"not provided"),EXACT(Metadata!E997,"restricted access"))),AND(IF(Metadata!E997="",FALSE,TRUE),AND(AND(IFERROR(INT(LEFT(Metadata!E997,4))&gt;1900,FALSE),IFERROR(INT(LEFT(Metadata!E997,4))&lt;=YEAR(NOW()),FALSE)), OR(MID(Metadata!E997,5,1)="", AND(AND(MID(Metadata!E997,5,1)="-",IFERROR(INT(MID(Metadata!E997,6,1))&gt;=0,FALSE),IFERROR(INT(MID(Metadata!E997,6,1))&lt;=1,FALSE),NOT(MID(Metadata!E997,7,1)=""),IFERROR(INT(MID(Metadata!E997,6,2))&gt;=1,FALSE),IFERROR(INT(MID(Metadata!E997,6,2))&lt;=12,FALSE)), OR(MID(Metadata!E997,8,1)="", AND(AND(MID(Metadata!E997,8,1)="-",IFERROR(INT(MID(Metadata!E997,9,1))&gt;=0,FALSE),IFERROR(INT(MID(Metadata!E997,9,1))&lt;=3,FALSE),NOT(MID(Metadata!E997,10,1)=""),IFERROR(INT(MID(Metadata!E997,9,2))&gt;=1,FALSE),IFERROR(INT(MID(Metadata!E997,9,2))&lt;=31,FALSE)), OR(MID(Metadata!E997,11,1)="", AND(AND(MID(Metadata!E997,11,1)=" ",IFERROR(INT(MID(Metadata!E997,12,1))&gt;=0,FALSE),IFERROR(INT(MID(Metadata!E997,12,1))&lt;=2,FALSE),NOT(MID(Metadata!E997,13,1)=""),IFERROR(INT(MID(Metadata!E997,12,2))&gt;=0,FALSE),IFERROR(INT(MID(Metadata!E997,12,2))&lt;=23,FALSE)), OR(MID(Metadata!E997,14,1)="", AND(AND(MID(Metadata!E997,14,1)=":",IFERROR(INT(MID(Metadata!E997,15,1))&gt;=0,FALSE),IFERROR(INT(MID(Metadata!E997,15,1))&lt;=5,FALSE),NOT(MID(Metadata!E997,16,1)=""),IFERROR(INT(MID(Metadata!E997,15,2))&gt;=0,FALSE),IFERROR(INT(MID(Metadata!E997,15,2))&lt;=59,FALSE)), OR(MID(Metadata!E997,17,1)="", AND(AND(MID(Metadata!E997,17,1)=":",IFERROR(INT(MID(Metadata!E997,18,1))&gt;=0,FALSE),IFERROR(INT(MID(Metadata!E997,18,1))&lt;=5,FALSE),NOT(MID(Metadata!E997,19,1)=""),IFERROR(INT(MID(Metadata!E997,18,2))&gt;=0,FALSE),IFERROR(INT(MID(Metadata!E997,18,2))&lt;=59,FALSE)), LEN(Metadata!E997)&lt;=19)))))))))))))</f>
        <v>0</v>
      </c>
      <c r="AS997" t="b">
        <f>IF(Metadata!F997="",FALSE,TRUE)</f>
        <v>0</v>
      </c>
      <c r="AT997" t="b">
        <f>OR(AND(IF(Metadata!G997="",FALSE,TRUE),OR(EXACT(Metadata!G997,"not collected"),EXACT(Metadata!G997,"not provided"))),AND(IF(Metadata!G997="",FALSE,TRUE),OR(EXACT(Metadata!G997,"TRUE"),EXACT(Metadata!G997,"FALSE"))))</f>
        <v>0</v>
      </c>
      <c r="AU997" t="b">
        <f>OR(AND(IF(Metadata!H997="",FALSE,TRUE),OR(EXACT(Metadata!H997,"not collected"),EXACT(Metadata!H997,"not provided"),EXACT(Metadata!H997,"restricted access"))),AND(IF(Metadata!H997="",FALSE,ISNUMBER(VALUE(Metadata!H997))),Metadata!H997&gt;=-413))</f>
        <v>0</v>
      </c>
      <c r="AV997" t="b">
        <f>AND(IF(Metadata!I997="",FALSE,TRUE),EXACT(Metadata!I997,"meters"))</f>
        <v>0</v>
      </c>
      <c r="AW997" t="b">
        <f>AND(IF(Metadata!J997="",FALSE,TRUE),EXACT(Metadata!J997,"free-living"))</f>
        <v>0</v>
      </c>
      <c r="AX997" t="b">
        <f>AND(IF(Metadata!K997="",FALSE,TRUE),OR(EXACT(Metadata!K997,"saline"),EXACT(Metadata!K997,"non-saline")))</f>
        <v>0</v>
      </c>
      <c r="AY997" t="b">
        <f>AND(IF(Metadata!L997="",FALSE,TRUE),OR(EXACT(Metadata!L997,"sub-surface (non-saline)"),EXACT(Metadata!L997,"surface (non-saline)"),EXACT(Metadata!L997,"water (non-saline)"),EXACT(Metadata!L997,"soil (non-saline)"),EXACT(Metadata!L997,"aerosol (non-saline)"),EXACT(Metadata!L997,"sediment (non-saline)"),EXACT(Metadata!L997,"surface (saline)"),EXACT(Metadata!L997,"water (saline)"),EXACT(Metadata!L997,"hypersaline (saline)"),EXACT(Metadata!L997,"aerosol (saline)"),EXACT(Metadata!L997,"sediment (saline)")))</f>
        <v>0</v>
      </c>
      <c r="AZ997" t="b">
        <f>IF(Metadata!M997="",FALSE,TRUE)</f>
        <v>0</v>
      </c>
      <c r="BA997" t="b">
        <f>IF(Metadata!N997="",FALSE,TRUE)</f>
        <v>0</v>
      </c>
      <c r="BB997" t="b">
        <f>IF(Metadata!O997="",FALSE,TRUE)</f>
        <v>0</v>
      </c>
      <c r="BC997" t="b">
        <f>AND(IF(Metadata!P997="",FALSE,TRUE),OR(EXACT(Metadata!P997,"air"),EXACT(Metadata!P997,"microbial mat/biofilm"),EXACT(Metadata!P997,"misc environment"),EXACT(Metadata!P997,"sediment"),EXACT(Metadata!P997,"soil"),EXACT(Metadata!P997,"wastewater/sludge"),EXACT(Metadata!P997,"water")))</f>
        <v>0</v>
      </c>
      <c r="BD997" t="b">
        <f>IF(Metadata!Q997="",FALSE,TRUE)</f>
        <v>0</v>
      </c>
      <c r="BE997" t="b">
        <f>IF(Metadata!R997="",FALSE,TRUE)</f>
        <v>0</v>
      </c>
      <c r="BF997" t="b">
        <f>OR(AND(IF(Metadata!S997="",FALSE,TRUE),OR(EXACT(Metadata!S997,"not collected"),EXACT(Metadata!S997,"not provided"),EXACT(Metadata!S997,"restricted access"))),AND(IF(Metadata!S997="",FALSE,ISNUMBER(VALUE(Metadata!S997))),Metadata!S997&gt;=-90,Metadata!S997&lt;=90))</f>
        <v>0</v>
      </c>
      <c r="BG997" t="b">
        <f>AND(IF(Metadata!T997="",FALSE,TRUE),EXACT(Metadata!T997,"Decimal degrees"))</f>
        <v>0</v>
      </c>
      <c r="BH997" t="b">
        <f>OR(AND(IF(Metadata!U997="",FALSE,TRUE),OR(EXACT(Metadata!U997,"not applicable"),EXACT(Metadata!U997,"not collected"))),IF(Metadata!U997="",FALSE,TRUE))</f>
        <v>0</v>
      </c>
      <c r="BI997" t="b">
        <f>OR(AND(IF(Metadata!V997="",FALSE,TRUE),OR(EXACT(Metadata!V997,"not collected"),EXACT(Metadata!V997,"not provided"),EXACT(Metadata!V997,"restricted access"))),AND(IF(Metadata!V997="",FALSE,ISNUMBER(VALUE(Metadata!V997))),Metadata!V997&gt;=-180,Metadata!V997&lt;=180))</f>
        <v>0</v>
      </c>
      <c r="BJ997" t="b">
        <f>AND(IF(Metadata!W997="",FALSE,TRUE),EXACT(Metadata!W997,"Decimal degrees"))</f>
        <v>0</v>
      </c>
      <c r="BK997" t="b">
        <f>IF(Metadata!X997="",FALSE,TRUE)</f>
        <v>0</v>
      </c>
      <c r="BL997" t="b">
        <f>OR(AND(IF(Metadata!Y997="",FALSE,TRUE),OR(EXACT(Metadata!Y997,"not collected"),EXACT(Metadata!Y997,"not provided"),EXACT(Metadata!Y997,"restricted access"))),AND(IF(Metadata!Y997="",FALSE,TRUE),OR(EXACT(Metadata!Y997,"TRUE"),EXACT(Metadata!Y997,"FALSE"))))</f>
        <v>0</v>
      </c>
      <c r="BM997" t="b">
        <f>OR(AND(IF(Metadata!Z997="",FALSE,TRUE),EXACT(Metadata!Z997,"not applicable")),AND(IF(Metadata!Z997="",FALSE,TRUE),OR(EXACT(Metadata!Z997,"beer"),EXACT(Metadata!Z997,"cheese"),EXACT(Metadata!Z997,"fresh water"),EXACT(Metadata!Z997,"marine sediment"),EXACT(Metadata!Z997,"sea water"),EXACT(Metadata!Z997,"sediment"),EXACT(Metadata!Z997,"soil"),EXACT(Metadata!Z997,"waste water"))))</f>
        <v>0</v>
      </c>
      <c r="BN997" t="b">
        <f>AND(IF(Metadata!AA997="",FALSE,TRUE),EXACT(Metadata!AA997,"metagenome"))</f>
        <v>0</v>
      </c>
      <c r="BO997" t="b">
        <f>AND(IF(Metadata!AB997="",FALSE,TRUE),EXACT(Metadata!AB997,"256318"))</f>
        <v>0</v>
      </c>
      <c r="BP997" t="b">
        <f>IF(Metadata!AC997="",FALSE,TRUE)</f>
        <v>0</v>
      </c>
      <c r="BQ997" t="b">
        <f>IF(Metadata!AD997="",FALSE,TRUE)</f>
        <v>0</v>
      </c>
    </row>
    <row r="998" spans="1:69" x14ac:dyDescent="0.2">
      <c r="A998" s="4" t="e">
        <f ca="1">IF(B998=" "," ",HYPERLINK(CONCATENATE("#metadata!",ADDRESS(INDEX($AJ$2:$AJ$1001,MATCH(ROWS($AH$2:AH998),$AH$2:$AH$1001,0),0),2)),INDEX($AM$2:$AM$1001,MATCH(ROWS($AH$2:AH998),$AH$2:$AH$1001,0),0)))</f>
        <v>#N/A</v>
      </c>
      <c r="B998" s="5" t="e">
        <f ca="1">IF(OR(INDEX($AI$2:$AI$1001,MATCH(ROWS($AH$2:AH998),$AH$2:$AH$1001,0),1)&gt;=100000,INDEX($AO$1005:$BQ$1005,1,MATCH(COLUMNS($AO$1006:AO1006),$AO$1006:$BQ$1006,0))&gt;=100000), " ",IF(INDEX($AO$2:$BQ$1001,MATCH(ROWS($AH$2:AH998),$AH$2:$AH$1001,0),MATCH(COLUMNS($AO$1006:AO1006),$AO$1006:$BQ$1006,0)), HYPERLINK("#",""), HYPERLINK(CONCATENATE("#Metadata!", ADDRESS(INDEX($AJ$2:$AJ$1001,MATCH(ROWS($AH$2:AH998),$AH$2:$AH$1001,0),0), INDEX($AO$1004:$BQ$1004,1,MATCH(COLUMNS($AO$1006:AO1006),$AO$1006:$BQ$1006,0)))),"Fix")))</f>
        <v>#N/A</v>
      </c>
      <c r="C998" s="5" t="e">
        <f ca="1">IF(OR(INDEX($AI$2:$AI$1001,MATCH(ROWS($AH$2:AH998),$AH$2:$AH$1001,0),1)&gt;=100000,INDEX($AO$1005:$BQ$1005,1,MATCH(COLUMNS($AO$1006:AP1006),$AO$1006:$BQ$1006,0))&gt;=100000), " ",IF(INDEX($AO$2:$BQ$1001,MATCH(ROWS($AH$2:AH998),$AH$2:$AH$1001,0),MATCH(COLUMNS($AO$1006:AP1006),$AO$1006:$BQ$1006,0)), HYPERLINK("#",""), HYPERLINK(CONCATENATE("#Metadata!", ADDRESS(INDEX($AJ$2:$AJ$1001,MATCH(ROWS($AH$2:AH998),$AH$2:$AH$1001,0),0), INDEX($AO$1004:$BQ$1004,1,MATCH(COLUMNS($AO$1006:AP1006),$AO$1006:$BQ$1006,0)))),"Fix")))</f>
        <v>#N/A</v>
      </c>
      <c r="D998" s="5" t="e">
        <f ca="1">IF(OR(INDEX($AI$2:$AI$1001,MATCH(ROWS($AH$2:AH998),$AH$2:$AH$1001,0),1)&gt;=100000,INDEX($AO$1005:$BQ$1005,1,MATCH(COLUMNS($AO$1006:AQ1006),$AO$1006:$BQ$1006,0))&gt;=100000), " ",IF(INDEX($AO$2:$BQ$1001,MATCH(ROWS($AH$2:AH998),$AH$2:$AH$1001,0),MATCH(COLUMNS($AO$1006:AQ1006),$AO$1006:$BQ$1006,0)), HYPERLINK("#",""), HYPERLINK(CONCATENATE("#Metadata!", ADDRESS(INDEX($AJ$2:$AJ$1001,MATCH(ROWS($AH$2:AH998),$AH$2:$AH$1001,0),0), INDEX($AO$1004:$BQ$1004,1,MATCH(COLUMNS($AO$1006:AQ1006),$AO$1006:$BQ$1006,0)))),"Fix")))</f>
        <v>#N/A</v>
      </c>
      <c r="E998" s="5" t="e">
        <f ca="1">IF(OR(INDEX($AI$2:$AI$1001,MATCH(ROWS($AH$2:AH998),$AH$2:$AH$1001,0),1)&gt;=100000,INDEX($AO$1005:$BQ$1005,1,MATCH(COLUMNS($AO$1006:AR1006),$AO$1006:$BQ$1006,0))&gt;=100000), " ",IF(INDEX($AO$2:$BQ$1001,MATCH(ROWS($AH$2:AH998),$AH$2:$AH$1001,0),MATCH(COLUMNS($AO$1006:AR1006),$AO$1006:$BQ$1006,0)), HYPERLINK("#",""), HYPERLINK(CONCATENATE("#Metadata!", ADDRESS(INDEX($AJ$2:$AJ$1001,MATCH(ROWS($AH$2:AH998),$AH$2:$AH$1001,0),0), INDEX($AO$1004:$BQ$1004,1,MATCH(COLUMNS($AO$1006:AR1006),$AO$1006:$BQ$1006,0)))),"Fix")))</f>
        <v>#N/A</v>
      </c>
      <c r="F998" s="5" t="e">
        <f ca="1">IF(OR(INDEX($AI$2:$AI$1001,MATCH(ROWS($AH$2:AH998),$AH$2:$AH$1001,0),1)&gt;=100000,INDEX($AO$1005:$BQ$1005,1,MATCH(COLUMNS($AO$1006:AS1006),$AO$1006:$BQ$1006,0))&gt;=100000), " ",IF(INDEX($AO$2:$BQ$1001,MATCH(ROWS($AH$2:AH998),$AH$2:$AH$1001,0),MATCH(COLUMNS($AO$1006:AS1006),$AO$1006:$BQ$1006,0)), HYPERLINK("#",""), HYPERLINK(CONCATENATE("#Metadata!", ADDRESS(INDEX($AJ$2:$AJ$1001,MATCH(ROWS($AH$2:AH998),$AH$2:$AH$1001,0),0), INDEX($AO$1004:$BQ$1004,1,MATCH(COLUMNS($AO$1006:AS1006),$AO$1006:$BQ$1006,0)))),"Fix")))</f>
        <v>#N/A</v>
      </c>
      <c r="G998" s="5" t="e">
        <f ca="1">IF(OR(INDEX($AI$2:$AI$1001,MATCH(ROWS($AH$2:AH998),$AH$2:$AH$1001,0),1)&gt;=100000,INDEX($AO$1005:$BQ$1005,1,MATCH(COLUMNS($AO$1006:AT1006),$AO$1006:$BQ$1006,0))&gt;=100000), " ",IF(INDEX($AO$2:$BQ$1001,MATCH(ROWS($AH$2:AH998),$AH$2:$AH$1001,0),MATCH(COLUMNS($AO$1006:AT1006),$AO$1006:$BQ$1006,0)), HYPERLINK("#",""), HYPERLINK(CONCATENATE("#Metadata!", ADDRESS(INDEX($AJ$2:$AJ$1001,MATCH(ROWS($AH$2:AH998),$AH$2:$AH$1001,0),0), INDEX($AO$1004:$BQ$1004,1,MATCH(COLUMNS($AO$1006:AT1006),$AO$1006:$BQ$1006,0)))),"Fix")))</f>
        <v>#N/A</v>
      </c>
      <c r="H998" s="5" t="e">
        <f ca="1">IF(OR(INDEX($AI$2:$AI$1001,MATCH(ROWS($AH$2:AH998),$AH$2:$AH$1001,0),1)&gt;=100000,INDEX($AO$1005:$BQ$1005,1,MATCH(COLUMNS($AO$1006:AU1006),$AO$1006:$BQ$1006,0))&gt;=100000), " ",IF(INDEX($AO$2:$BQ$1001,MATCH(ROWS($AH$2:AH998),$AH$2:$AH$1001,0),MATCH(COLUMNS($AO$1006:AU1006),$AO$1006:$BQ$1006,0)), HYPERLINK("#",""), HYPERLINK(CONCATENATE("#Metadata!", ADDRESS(INDEX($AJ$2:$AJ$1001,MATCH(ROWS($AH$2:AH998),$AH$2:$AH$1001,0),0), INDEX($AO$1004:$BQ$1004,1,MATCH(COLUMNS($AO$1006:AU1006),$AO$1006:$BQ$1006,0)))),"Fix")))</f>
        <v>#N/A</v>
      </c>
      <c r="I998" s="5" t="e">
        <f ca="1">IF(OR(INDEX($AI$2:$AI$1001,MATCH(ROWS($AH$2:AH998),$AH$2:$AH$1001,0),1)&gt;=100000,INDEX($AO$1005:$BQ$1005,1,MATCH(COLUMNS($AO$1006:AV1006),$AO$1006:$BQ$1006,0))&gt;=100000), " ",IF(INDEX($AO$2:$BQ$1001,MATCH(ROWS($AH$2:AH998),$AH$2:$AH$1001,0),MATCH(COLUMNS($AO$1006:AV1006),$AO$1006:$BQ$1006,0)), HYPERLINK("#",""), HYPERLINK(CONCATENATE("#Metadata!", ADDRESS(INDEX($AJ$2:$AJ$1001,MATCH(ROWS($AH$2:AH998),$AH$2:$AH$1001,0),0), INDEX($AO$1004:$BQ$1004,1,MATCH(COLUMNS($AO$1006:AV1006),$AO$1006:$BQ$1006,0)))),"Fix")))</f>
        <v>#N/A</v>
      </c>
      <c r="J998" s="5" t="e">
        <f ca="1">IF(OR(INDEX($AI$2:$AI$1001,MATCH(ROWS($AH$2:AH998),$AH$2:$AH$1001,0),1)&gt;=100000,INDEX($AO$1005:$BQ$1005,1,MATCH(COLUMNS($AO$1006:AW1006),$AO$1006:$BQ$1006,0))&gt;=100000), " ",IF(INDEX($AO$2:$BQ$1001,MATCH(ROWS($AH$2:AH998),$AH$2:$AH$1001,0),MATCH(COLUMNS($AO$1006:AW1006),$AO$1006:$BQ$1006,0)), HYPERLINK("#",""), HYPERLINK(CONCATENATE("#Metadata!", ADDRESS(INDEX($AJ$2:$AJ$1001,MATCH(ROWS($AH$2:AH998),$AH$2:$AH$1001,0),0), INDEX($AO$1004:$BQ$1004,1,MATCH(COLUMNS($AO$1006:AW1006),$AO$1006:$BQ$1006,0)))),"Fix")))</f>
        <v>#N/A</v>
      </c>
      <c r="K998" s="5" t="e">
        <f ca="1">IF(OR(INDEX($AI$2:$AI$1001,MATCH(ROWS($AH$2:AH998),$AH$2:$AH$1001,0),1)&gt;=100000,INDEX($AO$1005:$BQ$1005,1,MATCH(COLUMNS($AO$1006:AX1006),$AO$1006:$BQ$1006,0))&gt;=100000), " ",IF(INDEX($AO$2:$BQ$1001,MATCH(ROWS($AH$2:AH998),$AH$2:$AH$1001,0),MATCH(COLUMNS($AO$1006:AX1006),$AO$1006:$BQ$1006,0)), HYPERLINK("#",""), HYPERLINK(CONCATENATE("#Metadata!", ADDRESS(INDEX($AJ$2:$AJ$1001,MATCH(ROWS($AH$2:AH998),$AH$2:$AH$1001,0),0), INDEX($AO$1004:$BQ$1004,1,MATCH(COLUMNS($AO$1006:AX1006),$AO$1006:$BQ$1006,0)))),"Fix")))</f>
        <v>#N/A</v>
      </c>
      <c r="L998" s="5" t="e">
        <f ca="1">IF(OR(INDEX($AI$2:$AI$1001,MATCH(ROWS($AH$2:AH998),$AH$2:$AH$1001,0),1)&gt;=100000,INDEX($AO$1005:$BQ$1005,1,MATCH(COLUMNS($AO$1006:AY1006),$AO$1006:$BQ$1006,0))&gt;=100000), " ",IF(INDEX($AO$2:$BQ$1001,MATCH(ROWS($AH$2:AH998),$AH$2:$AH$1001,0),MATCH(COLUMNS($AO$1006:AY1006),$AO$1006:$BQ$1006,0)), HYPERLINK("#",""), HYPERLINK(CONCATENATE("#Metadata!", ADDRESS(INDEX($AJ$2:$AJ$1001,MATCH(ROWS($AH$2:AH998),$AH$2:$AH$1001,0),0), INDEX($AO$1004:$BQ$1004,1,MATCH(COLUMNS($AO$1006:AY1006),$AO$1006:$BQ$1006,0)))),"Fix")))</f>
        <v>#N/A</v>
      </c>
      <c r="M998" s="5" t="e">
        <f ca="1">IF(OR(INDEX($AI$2:$AI$1001,MATCH(ROWS($AH$2:AH998),$AH$2:$AH$1001,0),1)&gt;=100000,INDEX($AO$1005:$BQ$1005,1,MATCH(COLUMNS($AO$1006:AZ1006),$AO$1006:$BQ$1006,0))&gt;=100000), " ",IF(INDEX($AO$2:$BQ$1001,MATCH(ROWS($AH$2:AH998),$AH$2:$AH$1001,0),MATCH(COLUMNS($AO$1006:AZ1006),$AO$1006:$BQ$1006,0)), HYPERLINK("#",""), HYPERLINK(CONCATENATE("#Metadata!", ADDRESS(INDEX($AJ$2:$AJ$1001,MATCH(ROWS($AH$2:AH998),$AH$2:$AH$1001,0),0), INDEX($AO$1004:$BQ$1004,1,MATCH(COLUMNS($AO$1006:AZ1006),$AO$1006:$BQ$1006,0)))),"Fix")))</f>
        <v>#N/A</v>
      </c>
      <c r="N998" s="5" t="e">
        <f ca="1">IF(OR(INDEX($AI$2:$AI$1001,MATCH(ROWS($AH$2:AH998),$AH$2:$AH$1001,0),1)&gt;=100000,INDEX($AO$1005:$BQ$1005,1,MATCH(COLUMNS($AO$1006:BA1006),$AO$1006:$BQ$1006,0))&gt;=100000), " ",IF(INDEX($AO$2:$BQ$1001,MATCH(ROWS($AH$2:AH998),$AH$2:$AH$1001,0),MATCH(COLUMNS($AO$1006:BA1006),$AO$1006:$BQ$1006,0)), HYPERLINK("#",""), HYPERLINK(CONCATENATE("#Metadata!", ADDRESS(INDEX($AJ$2:$AJ$1001,MATCH(ROWS($AH$2:AH998),$AH$2:$AH$1001,0),0), INDEX($AO$1004:$BQ$1004,1,MATCH(COLUMNS($AO$1006:BA1006),$AO$1006:$BQ$1006,0)))),"Fix")))</f>
        <v>#N/A</v>
      </c>
      <c r="O998" s="5" t="e">
        <f ca="1">IF(OR(INDEX($AI$2:$AI$1001,MATCH(ROWS($AH$2:AH998),$AH$2:$AH$1001,0),1)&gt;=100000,INDEX($AO$1005:$BQ$1005,1,MATCH(COLUMNS($AO$1006:BB1006),$AO$1006:$BQ$1006,0))&gt;=100000), " ",IF(INDEX($AO$2:$BQ$1001,MATCH(ROWS($AH$2:AH998),$AH$2:$AH$1001,0),MATCH(COLUMNS($AO$1006:BB1006),$AO$1006:$BQ$1006,0)), HYPERLINK("#",""), HYPERLINK(CONCATENATE("#Metadata!", ADDRESS(INDEX($AJ$2:$AJ$1001,MATCH(ROWS($AH$2:AH998),$AH$2:$AH$1001,0),0), INDEX($AO$1004:$BQ$1004,1,MATCH(COLUMNS($AO$1006:BB1006),$AO$1006:$BQ$1006,0)))),"Fix")))</f>
        <v>#N/A</v>
      </c>
      <c r="P998" s="5" t="e">
        <f ca="1">IF(OR(INDEX($AI$2:$AI$1001,MATCH(ROWS($AH$2:AH998),$AH$2:$AH$1001,0),1)&gt;=100000,INDEX($AO$1005:$BQ$1005,1,MATCH(COLUMNS($AO$1006:BC1006),$AO$1006:$BQ$1006,0))&gt;=100000), " ",IF(INDEX($AO$2:$BQ$1001,MATCH(ROWS($AH$2:AH998),$AH$2:$AH$1001,0),MATCH(COLUMNS($AO$1006:BC1006),$AO$1006:$BQ$1006,0)), HYPERLINK("#",""), HYPERLINK(CONCATENATE("#Metadata!", ADDRESS(INDEX($AJ$2:$AJ$1001,MATCH(ROWS($AH$2:AH998),$AH$2:$AH$1001,0),0), INDEX($AO$1004:$BQ$1004,1,MATCH(COLUMNS($AO$1006:BC1006),$AO$1006:$BQ$1006,0)))),"Fix")))</f>
        <v>#N/A</v>
      </c>
      <c r="Q998" s="5" t="e">
        <f ca="1">IF(OR(INDEX($AI$2:$AI$1001,MATCH(ROWS($AH$2:AH998),$AH$2:$AH$1001,0),1)&gt;=100000,INDEX($AO$1005:$BQ$1005,1,MATCH(COLUMNS($AO$1006:BD1006),$AO$1006:$BQ$1006,0))&gt;=100000), " ",IF(INDEX($AO$2:$BQ$1001,MATCH(ROWS($AH$2:AH998),$AH$2:$AH$1001,0),MATCH(COLUMNS($AO$1006:BD1006),$AO$1006:$BQ$1006,0)), HYPERLINK("#",""), HYPERLINK(CONCATENATE("#Metadata!", ADDRESS(INDEX($AJ$2:$AJ$1001,MATCH(ROWS($AH$2:AH998),$AH$2:$AH$1001,0),0), INDEX($AO$1004:$BQ$1004,1,MATCH(COLUMNS($AO$1006:BD1006),$AO$1006:$BQ$1006,0)))),"Fix")))</f>
        <v>#N/A</v>
      </c>
      <c r="R998" s="5" t="e">
        <f ca="1">IF(OR(INDEX($AI$2:$AI$1001,MATCH(ROWS($AH$2:AH998),$AH$2:$AH$1001,0),1)&gt;=100000,INDEX($AO$1005:$BQ$1005,1,MATCH(COLUMNS($AO$1006:BE1006),$AO$1006:$BQ$1006,0))&gt;=100000), " ",IF(INDEX($AO$2:$BQ$1001,MATCH(ROWS($AH$2:AH998),$AH$2:$AH$1001,0),MATCH(COLUMNS($AO$1006:BE1006),$AO$1006:$BQ$1006,0)), HYPERLINK("#",""), HYPERLINK(CONCATENATE("#Metadata!", ADDRESS(INDEX($AJ$2:$AJ$1001,MATCH(ROWS($AH$2:AH998),$AH$2:$AH$1001,0),0), INDEX($AO$1004:$BQ$1004,1,MATCH(COLUMNS($AO$1006:BE1006),$AO$1006:$BQ$1006,0)))),"Fix")))</f>
        <v>#N/A</v>
      </c>
      <c r="S998" s="5" t="e">
        <f ca="1">IF(OR(INDEX($AI$2:$AI$1001,MATCH(ROWS($AH$2:AH998),$AH$2:$AH$1001,0),1)&gt;=100000,INDEX($AO$1005:$BQ$1005,1,MATCH(COLUMNS($AO$1006:BF1006),$AO$1006:$BQ$1006,0))&gt;=100000), " ",IF(INDEX($AO$2:$BQ$1001,MATCH(ROWS($AH$2:AH998),$AH$2:$AH$1001,0),MATCH(COLUMNS($AO$1006:BF1006),$AO$1006:$BQ$1006,0)), HYPERLINK("#",""), HYPERLINK(CONCATENATE("#Metadata!", ADDRESS(INDEX($AJ$2:$AJ$1001,MATCH(ROWS($AH$2:AH998),$AH$2:$AH$1001,0),0), INDEX($AO$1004:$BQ$1004,1,MATCH(COLUMNS($AO$1006:BF1006),$AO$1006:$BQ$1006,0)))),"Fix")))</f>
        <v>#N/A</v>
      </c>
      <c r="T998" s="5" t="e">
        <f ca="1">IF(OR(INDEX($AI$2:$AI$1001,MATCH(ROWS($AH$2:AH998),$AH$2:$AH$1001,0),1)&gt;=100000,INDEX($AO$1005:$BQ$1005,1,MATCH(COLUMNS($AO$1006:BG1006),$AO$1006:$BQ$1006,0))&gt;=100000), " ",IF(INDEX($AO$2:$BQ$1001,MATCH(ROWS($AH$2:AH998),$AH$2:$AH$1001,0),MATCH(COLUMNS($AO$1006:BG1006),$AO$1006:$BQ$1006,0)), HYPERLINK("#",""), HYPERLINK(CONCATENATE("#Metadata!", ADDRESS(INDEX($AJ$2:$AJ$1001,MATCH(ROWS($AH$2:AH998),$AH$2:$AH$1001,0),0), INDEX($AO$1004:$BQ$1004,1,MATCH(COLUMNS($AO$1006:BG1006),$AO$1006:$BQ$1006,0)))),"Fix")))</f>
        <v>#N/A</v>
      </c>
      <c r="U998" s="5" t="e">
        <f ca="1">IF(OR(INDEX($AI$2:$AI$1001,MATCH(ROWS($AH$2:AH998),$AH$2:$AH$1001,0),1)&gt;=100000,INDEX($AO$1005:$BQ$1005,1,MATCH(COLUMNS($AO$1006:BH1006),$AO$1006:$BQ$1006,0))&gt;=100000), " ",IF(INDEX($AO$2:$BQ$1001,MATCH(ROWS($AH$2:AH998),$AH$2:$AH$1001,0),MATCH(COLUMNS($AO$1006:BH1006),$AO$1006:$BQ$1006,0)), HYPERLINK("#",""), HYPERLINK(CONCATENATE("#Metadata!", ADDRESS(INDEX($AJ$2:$AJ$1001,MATCH(ROWS($AH$2:AH998),$AH$2:$AH$1001,0),0), INDEX($AO$1004:$BQ$1004,1,MATCH(COLUMNS($AO$1006:BH1006),$AO$1006:$BQ$1006,0)))),"Fix")))</f>
        <v>#N/A</v>
      </c>
      <c r="V998" s="5" t="e">
        <f ca="1">IF(OR(INDEX($AI$2:$AI$1001,MATCH(ROWS($AH$2:AH998),$AH$2:$AH$1001,0),1)&gt;=100000,INDEX($AO$1005:$BQ$1005,1,MATCH(COLUMNS($AO$1006:BI1006),$AO$1006:$BQ$1006,0))&gt;=100000), " ",IF(INDEX($AO$2:$BQ$1001,MATCH(ROWS($AH$2:AH998),$AH$2:$AH$1001,0),MATCH(COLUMNS($AO$1006:BI1006),$AO$1006:$BQ$1006,0)), HYPERLINK("#",""), HYPERLINK(CONCATENATE("#Metadata!", ADDRESS(INDEX($AJ$2:$AJ$1001,MATCH(ROWS($AH$2:AH998),$AH$2:$AH$1001,0),0), INDEX($AO$1004:$BQ$1004,1,MATCH(COLUMNS($AO$1006:BI1006),$AO$1006:$BQ$1006,0)))),"Fix")))</f>
        <v>#N/A</v>
      </c>
      <c r="W998" s="5" t="e">
        <f ca="1">IF(OR(INDEX($AI$2:$AI$1001,MATCH(ROWS($AH$2:AH998),$AH$2:$AH$1001,0),1)&gt;=100000,INDEX($AO$1005:$BQ$1005,1,MATCH(COLUMNS($AO$1006:BJ1006),$AO$1006:$BQ$1006,0))&gt;=100000), " ",IF(INDEX($AO$2:$BQ$1001,MATCH(ROWS($AH$2:AH998),$AH$2:$AH$1001,0),MATCH(COLUMNS($AO$1006:BJ1006),$AO$1006:$BQ$1006,0)), HYPERLINK("#",""), HYPERLINK(CONCATENATE("#Metadata!", ADDRESS(INDEX($AJ$2:$AJ$1001,MATCH(ROWS($AH$2:AH998),$AH$2:$AH$1001,0),0), INDEX($AO$1004:$BQ$1004,1,MATCH(COLUMNS($AO$1006:BJ1006),$AO$1006:$BQ$1006,0)))),"Fix")))</f>
        <v>#N/A</v>
      </c>
      <c r="X998" s="5" t="e">
        <f ca="1">IF(OR(INDEX($AI$2:$AI$1001,MATCH(ROWS($AH$2:AH998),$AH$2:$AH$1001,0),1)&gt;=100000,INDEX($AO$1005:$BQ$1005,1,MATCH(COLUMNS($AO$1006:BK1006),$AO$1006:$BQ$1006,0))&gt;=100000), " ",IF(INDEX($AO$2:$BQ$1001,MATCH(ROWS($AH$2:AH998),$AH$2:$AH$1001,0),MATCH(COLUMNS($AO$1006:BK1006),$AO$1006:$BQ$1006,0)), HYPERLINK("#",""), HYPERLINK(CONCATENATE("#Metadata!", ADDRESS(INDEX($AJ$2:$AJ$1001,MATCH(ROWS($AH$2:AH998),$AH$2:$AH$1001,0),0), INDEX($AO$1004:$BQ$1004,1,MATCH(COLUMNS($AO$1006:BK1006),$AO$1006:$BQ$1006,0)))),"Fix")))</f>
        <v>#N/A</v>
      </c>
      <c r="Y998" s="5" t="e">
        <f ca="1">IF(OR(INDEX($AI$2:$AI$1001,MATCH(ROWS($AH$2:AH998),$AH$2:$AH$1001,0),1)&gt;=100000,INDEX($AO$1005:$BQ$1005,1,MATCH(COLUMNS($AO$1006:BL1006),$AO$1006:$BQ$1006,0))&gt;=100000), " ",IF(INDEX($AO$2:$BQ$1001,MATCH(ROWS($AH$2:AH998),$AH$2:$AH$1001,0),MATCH(COLUMNS($AO$1006:BL1006),$AO$1006:$BQ$1006,0)), HYPERLINK("#",""), HYPERLINK(CONCATENATE("#Metadata!", ADDRESS(INDEX($AJ$2:$AJ$1001,MATCH(ROWS($AH$2:AH998),$AH$2:$AH$1001,0),0), INDEX($AO$1004:$BQ$1004,1,MATCH(COLUMNS($AO$1006:BL1006),$AO$1006:$BQ$1006,0)))),"Fix")))</f>
        <v>#N/A</v>
      </c>
      <c r="Z998" s="5" t="e">
        <f ca="1">IF(OR(INDEX($AI$2:$AI$1001,MATCH(ROWS($AH$2:AH998),$AH$2:$AH$1001,0),1)&gt;=100000,INDEX($AO$1005:$BQ$1005,1,MATCH(COLUMNS($AO$1006:BM1006),$AO$1006:$BQ$1006,0))&gt;=100000), " ",IF(INDEX($AO$2:$BQ$1001,MATCH(ROWS($AH$2:AH998),$AH$2:$AH$1001,0),MATCH(COLUMNS($AO$1006:BM1006),$AO$1006:$BQ$1006,0)), HYPERLINK("#",""), HYPERLINK(CONCATENATE("#Metadata!", ADDRESS(INDEX($AJ$2:$AJ$1001,MATCH(ROWS($AH$2:AH998),$AH$2:$AH$1001,0),0), INDEX($AO$1004:$BQ$1004,1,MATCH(COLUMNS($AO$1006:BM1006),$AO$1006:$BQ$1006,0)))),"Fix")))</f>
        <v>#N/A</v>
      </c>
      <c r="AA998" s="5" t="e">
        <f ca="1">IF(OR(INDEX($AI$2:$AI$1001,MATCH(ROWS($AH$2:AH998),$AH$2:$AH$1001,0),1)&gt;=100000,INDEX($AO$1005:$BQ$1005,1,MATCH(COLUMNS($AO$1006:BN1006),$AO$1006:$BQ$1006,0))&gt;=100000), " ",IF(INDEX($AO$2:$BQ$1001,MATCH(ROWS($AH$2:AH998),$AH$2:$AH$1001,0),MATCH(COLUMNS($AO$1006:BN1006),$AO$1006:$BQ$1006,0)), HYPERLINK("#",""), HYPERLINK(CONCATENATE("#Metadata!", ADDRESS(INDEX($AJ$2:$AJ$1001,MATCH(ROWS($AH$2:AH998),$AH$2:$AH$1001,0),0), INDEX($AO$1004:$BQ$1004,1,MATCH(COLUMNS($AO$1006:BN1006),$AO$1006:$BQ$1006,0)))),"Fix")))</f>
        <v>#N/A</v>
      </c>
      <c r="AB998" s="5" t="e">
        <f ca="1">IF(OR(INDEX($AI$2:$AI$1001,MATCH(ROWS($AH$2:AH998),$AH$2:$AH$1001,0),1)&gt;=100000,INDEX($AO$1005:$BQ$1005,1,MATCH(COLUMNS($AO$1006:BO1006),$AO$1006:$BQ$1006,0))&gt;=100000), " ",IF(INDEX($AO$2:$BQ$1001,MATCH(ROWS($AH$2:AH998),$AH$2:$AH$1001,0),MATCH(COLUMNS($AO$1006:BO1006),$AO$1006:$BQ$1006,0)), HYPERLINK("#",""), HYPERLINK(CONCATENATE("#Metadata!", ADDRESS(INDEX($AJ$2:$AJ$1001,MATCH(ROWS($AH$2:AH998),$AH$2:$AH$1001,0),0), INDEX($AO$1004:$BQ$1004,1,MATCH(COLUMNS($AO$1006:BO1006),$AO$1006:$BQ$1006,0)))),"Fix")))</f>
        <v>#N/A</v>
      </c>
      <c r="AC998" s="5" t="e">
        <f ca="1">IF(OR(INDEX($AI$2:$AI$1001,MATCH(ROWS($AH$2:AH998),$AH$2:$AH$1001,0),1)&gt;=100000,INDEX($AO$1005:$BQ$1005,1,MATCH(COLUMNS($AO$1006:BP1006),$AO$1006:$BQ$1006,0))&gt;=100000), " ",IF(INDEX($AO$2:$BQ$1001,MATCH(ROWS($AH$2:AH998),$AH$2:$AH$1001,0),MATCH(COLUMNS($AO$1006:BP1006),$AO$1006:$BQ$1006,0)), HYPERLINK("#",""), HYPERLINK(CONCATENATE("#Metadata!", ADDRESS(INDEX($AJ$2:$AJ$1001,MATCH(ROWS($AH$2:AH998),$AH$2:$AH$1001,0),0), INDEX($AO$1004:$BQ$1004,1,MATCH(COLUMNS($AO$1006:BP1006),$AO$1006:$BQ$1006,0)))),"Fix")))</f>
        <v>#N/A</v>
      </c>
      <c r="AD998" s="5" t="e">
        <f ca="1">IF(OR(INDEX($AI$2:$AI$1001,MATCH(ROWS($AH$2:AH998),$AH$2:$AH$1001,0),1)&gt;=100000,INDEX($AO$1005:$BQ$1005,1,MATCH(COLUMNS($AO$1006:BQ1006),$AO$1006:$BQ$1006,0))&gt;=100000), " ",IF(INDEX($AO$2:$BQ$1001,MATCH(ROWS($AH$2:AH998),$AH$2:$AH$1001,0),MATCH(COLUMNS($AO$1006:BQ1006),$AO$1006:$BQ$1006,0)), HYPERLINK("#",""), HYPERLINK(CONCATENATE("#Metadata!", ADDRESS(INDEX($AJ$2:$AJ$1001,MATCH(ROWS($AH$2:AH998),$AH$2:$AH$1001,0),0), INDEX($AO$1004:$BQ$1004,1,MATCH(COLUMNS($AO$1006:BQ1006),$AO$1006:$BQ$1006,0)))),"Fix")))</f>
        <v>#REF!</v>
      </c>
      <c r="AH998">
        <f ca="1"/>
        <v>995</v>
      </c>
      <c r="AI998">
        <v>100998</v>
      </c>
      <c r="AJ998">
        <v>998</v>
      </c>
      <c r="AK998" t="b">
        <f t="shared" si="15"/>
        <v>1</v>
      </c>
      <c r="AL998" t="b">
        <f>COUNTBLANK(Metadata!B998:AD998)=COLUMNS(Metadata!B998:AD998)</f>
        <v>1</v>
      </c>
      <c r="AM998" t="str">
        <v/>
      </c>
      <c r="AO998" t="b">
        <f ca="1">AND(IF(Metadata!B998="",FALSE,TRUE),COUNTIF(Metadata!B:B, Metadata!B998) = 1,NOT(ISERROR(SUMPRODUCT(SEARCH(MID(Metadata!B998,ROW(INDIRECT("1:"&amp;LEN(Metadata!B998))), 1),"0123456789abcdefghijklmnopqrstuvwxyzABCDEFGHIJKLMNOPQRSTUVWXYZ.")))))</f>
        <v>0</v>
      </c>
      <c r="AP998" t="b">
        <f>IF(Metadata!C998="",FALSE,TRUE)</f>
        <v>0</v>
      </c>
      <c r="AQ998" t="b">
        <f>IF(Metadata!D998="",FALSE,TRUE)</f>
        <v>0</v>
      </c>
      <c r="AR998" t="b">
        <f ca="1">OR(AND(IF(Metadata!E998="",FALSE,TRUE),OR(EXACT(Metadata!E998,"not collected"),EXACT(Metadata!E998,"not provided"),EXACT(Metadata!E998,"restricted access"))),AND(IF(Metadata!E998="",FALSE,TRUE),AND(AND(IFERROR(INT(LEFT(Metadata!E998,4))&gt;1900,FALSE),IFERROR(INT(LEFT(Metadata!E998,4))&lt;=YEAR(NOW()),FALSE)), OR(MID(Metadata!E998,5,1)="", AND(AND(MID(Metadata!E998,5,1)="-",IFERROR(INT(MID(Metadata!E998,6,1))&gt;=0,FALSE),IFERROR(INT(MID(Metadata!E998,6,1))&lt;=1,FALSE),NOT(MID(Metadata!E998,7,1)=""),IFERROR(INT(MID(Metadata!E998,6,2))&gt;=1,FALSE),IFERROR(INT(MID(Metadata!E998,6,2))&lt;=12,FALSE)), OR(MID(Metadata!E998,8,1)="", AND(AND(MID(Metadata!E998,8,1)="-",IFERROR(INT(MID(Metadata!E998,9,1))&gt;=0,FALSE),IFERROR(INT(MID(Metadata!E998,9,1))&lt;=3,FALSE),NOT(MID(Metadata!E998,10,1)=""),IFERROR(INT(MID(Metadata!E998,9,2))&gt;=1,FALSE),IFERROR(INT(MID(Metadata!E998,9,2))&lt;=31,FALSE)), OR(MID(Metadata!E998,11,1)="", AND(AND(MID(Metadata!E998,11,1)=" ",IFERROR(INT(MID(Metadata!E998,12,1))&gt;=0,FALSE),IFERROR(INT(MID(Metadata!E998,12,1))&lt;=2,FALSE),NOT(MID(Metadata!E998,13,1)=""),IFERROR(INT(MID(Metadata!E998,12,2))&gt;=0,FALSE),IFERROR(INT(MID(Metadata!E998,12,2))&lt;=23,FALSE)), OR(MID(Metadata!E998,14,1)="", AND(AND(MID(Metadata!E998,14,1)=":",IFERROR(INT(MID(Metadata!E998,15,1))&gt;=0,FALSE),IFERROR(INT(MID(Metadata!E998,15,1))&lt;=5,FALSE),NOT(MID(Metadata!E998,16,1)=""),IFERROR(INT(MID(Metadata!E998,15,2))&gt;=0,FALSE),IFERROR(INT(MID(Metadata!E998,15,2))&lt;=59,FALSE)), OR(MID(Metadata!E998,17,1)="", AND(AND(MID(Metadata!E998,17,1)=":",IFERROR(INT(MID(Metadata!E998,18,1))&gt;=0,FALSE),IFERROR(INT(MID(Metadata!E998,18,1))&lt;=5,FALSE),NOT(MID(Metadata!E998,19,1)=""),IFERROR(INT(MID(Metadata!E998,18,2))&gt;=0,FALSE),IFERROR(INT(MID(Metadata!E998,18,2))&lt;=59,FALSE)), LEN(Metadata!E998)&lt;=19)))))))))))))</f>
        <v>0</v>
      </c>
      <c r="AS998" t="b">
        <f>IF(Metadata!F998="",FALSE,TRUE)</f>
        <v>0</v>
      </c>
      <c r="AT998" t="b">
        <f>OR(AND(IF(Metadata!G998="",FALSE,TRUE),OR(EXACT(Metadata!G998,"not collected"),EXACT(Metadata!G998,"not provided"))),AND(IF(Metadata!G998="",FALSE,TRUE),OR(EXACT(Metadata!G998,"TRUE"),EXACT(Metadata!G998,"FALSE"))))</f>
        <v>0</v>
      </c>
      <c r="AU998" t="b">
        <f>OR(AND(IF(Metadata!H998="",FALSE,TRUE),OR(EXACT(Metadata!H998,"not collected"),EXACT(Metadata!H998,"not provided"),EXACT(Metadata!H998,"restricted access"))),AND(IF(Metadata!H998="",FALSE,ISNUMBER(VALUE(Metadata!H998))),Metadata!H998&gt;=-413))</f>
        <v>0</v>
      </c>
      <c r="AV998" t="b">
        <f>AND(IF(Metadata!I998="",FALSE,TRUE),EXACT(Metadata!I998,"meters"))</f>
        <v>0</v>
      </c>
      <c r="AW998" t="b">
        <f>AND(IF(Metadata!J998="",FALSE,TRUE),EXACT(Metadata!J998,"free-living"))</f>
        <v>0</v>
      </c>
      <c r="AX998" t="b">
        <f>AND(IF(Metadata!K998="",FALSE,TRUE),OR(EXACT(Metadata!K998,"saline"),EXACT(Metadata!K998,"non-saline")))</f>
        <v>0</v>
      </c>
      <c r="AY998" t="b">
        <f>AND(IF(Metadata!L998="",FALSE,TRUE),OR(EXACT(Metadata!L998,"sub-surface (non-saline)"),EXACT(Metadata!L998,"surface (non-saline)"),EXACT(Metadata!L998,"water (non-saline)"),EXACT(Metadata!L998,"soil (non-saline)"),EXACT(Metadata!L998,"aerosol (non-saline)"),EXACT(Metadata!L998,"sediment (non-saline)"),EXACT(Metadata!L998,"surface (saline)"),EXACT(Metadata!L998,"water (saline)"),EXACT(Metadata!L998,"hypersaline (saline)"),EXACT(Metadata!L998,"aerosol (saline)"),EXACT(Metadata!L998,"sediment (saline)")))</f>
        <v>0</v>
      </c>
      <c r="AZ998" t="b">
        <f>IF(Metadata!M998="",FALSE,TRUE)</f>
        <v>0</v>
      </c>
      <c r="BA998" t="b">
        <f>IF(Metadata!N998="",FALSE,TRUE)</f>
        <v>0</v>
      </c>
      <c r="BB998" t="b">
        <f>IF(Metadata!O998="",FALSE,TRUE)</f>
        <v>0</v>
      </c>
      <c r="BC998" t="b">
        <f>AND(IF(Metadata!P998="",FALSE,TRUE),OR(EXACT(Metadata!P998,"air"),EXACT(Metadata!P998,"microbial mat/biofilm"),EXACT(Metadata!P998,"misc environment"),EXACT(Metadata!P998,"sediment"),EXACT(Metadata!P998,"soil"),EXACT(Metadata!P998,"wastewater/sludge"),EXACT(Metadata!P998,"water")))</f>
        <v>0</v>
      </c>
      <c r="BD998" t="b">
        <f>IF(Metadata!Q998="",FALSE,TRUE)</f>
        <v>0</v>
      </c>
      <c r="BE998" t="b">
        <f>IF(Metadata!R998="",FALSE,TRUE)</f>
        <v>0</v>
      </c>
      <c r="BF998" t="b">
        <f>OR(AND(IF(Metadata!S998="",FALSE,TRUE),OR(EXACT(Metadata!S998,"not collected"),EXACT(Metadata!S998,"not provided"),EXACT(Metadata!S998,"restricted access"))),AND(IF(Metadata!S998="",FALSE,ISNUMBER(VALUE(Metadata!S998))),Metadata!S998&gt;=-90,Metadata!S998&lt;=90))</f>
        <v>0</v>
      </c>
      <c r="BG998" t="b">
        <f>AND(IF(Metadata!T998="",FALSE,TRUE),EXACT(Metadata!T998,"Decimal degrees"))</f>
        <v>0</v>
      </c>
      <c r="BH998" t="b">
        <f>OR(AND(IF(Metadata!U998="",FALSE,TRUE),OR(EXACT(Metadata!U998,"not applicable"),EXACT(Metadata!U998,"not collected"))),IF(Metadata!U998="",FALSE,TRUE))</f>
        <v>0</v>
      </c>
      <c r="BI998" t="b">
        <f>OR(AND(IF(Metadata!V998="",FALSE,TRUE),OR(EXACT(Metadata!V998,"not collected"),EXACT(Metadata!V998,"not provided"),EXACT(Metadata!V998,"restricted access"))),AND(IF(Metadata!V998="",FALSE,ISNUMBER(VALUE(Metadata!V998))),Metadata!V998&gt;=-180,Metadata!V998&lt;=180))</f>
        <v>0</v>
      </c>
      <c r="BJ998" t="b">
        <f>AND(IF(Metadata!W998="",FALSE,TRUE),EXACT(Metadata!W998,"Decimal degrees"))</f>
        <v>0</v>
      </c>
      <c r="BK998" t="b">
        <f>IF(Metadata!X998="",FALSE,TRUE)</f>
        <v>0</v>
      </c>
      <c r="BL998" t="b">
        <f>OR(AND(IF(Metadata!Y998="",FALSE,TRUE),OR(EXACT(Metadata!Y998,"not collected"),EXACT(Metadata!Y998,"not provided"),EXACT(Metadata!Y998,"restricted access"))),AND(IF(Metadata!Y998="",FALSE,TRUE),OR(EXACT(Metadata!Y998,"TRUE"),EXACT(Metadata!Y998,"FALSE"))))</f>
        <v>0</v>
      </c>
      <c r="BM998" t="b">
        <f>OR(AND(IF(Metadata!Z998="",FALSE,TRUE),EXACT(Metadata!Z998,"not applicable")),AND(IF(Metadata!Z998="",FALSE,TRUE),OR(EXACT(Metadata!Z998,"beer"),EXACT(Metadata!Z998,"cheese"),EXACT(Metadata!Z998,"fresh water"),EXACT(Metadata!Z998,"marine sediment"),EXACT(Metadata!Z998,"sea water"),EXACT(Metadata!Z998,"sediment"),EXACT(Metadata!Z998,"soil"),EXACT(Metadata!Z998,"waste water"))))</f>
        <v>0</v>
      </c>
      <c r="BN998" t="b">
        <f>AND(IF(Metadata!AA998="",FALSE,TRUE),EXACT(Metadata!AA998,"metagenome"))</f>
        <v>0</v>
      </c>
      <c r="BO998" t="b">
        <f>AND(IF(Metadata!AB998="",FALSE,TRUE),EXACT(Metadata!AB998,"256318"))</f>
        <v>0</v>
      </c>
      <c r="BP998" t="b">
        <f>IF(Metadata!AC998="",FALSE,TRUE)</f>
        <v>0</v>
      </c>
      <c r="BQ998" t="b">
        <f>IF(Metadata!AD998="",FALSE,TRUE)</f>
        <v>0</v>
      </c>
    </row>
    <row r="999" spans="1:69" x14ac:dyDescent="0.2">
      <c r="A999" s="4" t="e">
        <f ca="1">IF(B999=" "," ",HYPERLINK(CONCATENATE("#metadata!",ADDRESS(INDEX($AJ$2:$AJ$1001,MATCH(ROWS($AH$2:AH999),$AH$2:$AH$1001,0),0),2)),INDEX($AM$2:$AM$1001,MATCH(ROWS($AH$2:AH999),$AH$2:$AH$1001,0),0)))</f>
        <v>#N/A</v>
      </c>
      <c r="B999" s="5" t="e">
        <f ca="1">IF(OR(INDEX($AI$2:$AI$1001,MATCH(ROWS($AH$2:AH999),$AH$2:$AH$1001,0),1)&gt;=100000,INDEX($AO$1005:$BQ$1005,1,MATCH(COLUMNS($AO$1006:AO1006),$AO$1006:$BQ$1006,0))&gt;=100000), " ",IF(INDEX($AO$2:$BQ$1001,MATCH(ROWS($AH$2:AH999),$AH$2:$AH$1001,0),MATCH(COLUMNS($AO$1006:AO1006),$AO$1006:$BQ$1006,0)), HYPERLINK("#",""), HYPERLINK(CONCATENATE("#Metadata!", ADDRESS(INDEX($AJ$2:$AJ$1001,MATCH(ROWS($AH$2:AH999),$AH$2:$AH$1001,0),0), INDEX($AO$1004:$BQ$1004,1,MATCH(COLUMNS($AO$1006:AO1006),$AO$1006:$BQ$1006,0)))),"Fix")))</f>
        <v>#N/A</v>
      </c>
      <c r="C999" s="5" t="e">
        <f ca="1">IF(OR(INDEX($AI$2:$AI$1001,MATCH(ROWS($AH$2:AH999),$AH$2:$AH$1001,0),1)&gt;=100000,INDEX($AO$1005:$BQ$1005,1,MATCH(COLUMNS($AO$1006:AP1006),$AO$1006:$BQ$1006,0))&gt;=100000), " ",IF(INDEX($AO$2:$BQ$1001,MATCH(ROWS($AH$2:AH999),$AH$2:$AH$1001,0),MATCH(COLUMNS($AO$1006:AP1006),$AO$1006:$BQ$1006,0)), HYPERLINK("#",""), HYPERLINK(CONCATENATE("#Metadata!", ADDRESS(INDEX($AJ$2:$AJ$1001,MATCH(ROWS($AH$2:AH999),$AH$2:$AH$1001,0),0), INDEX($AO$1004:$BQ$1004,1,MATCH(COLUMNS($AO$1006:AP1006),$AO$1006:$BQ$1006,0)))),"Fix")))</f>
        <v>#N/A</v>
      </c>
      <c r="D999" s="5" t="e">
        <f ca="1">IF(OR(INDEX($AI$2:$AI$1001,MATCH(ROWS($AH$2:AH999),$AH$2:$AH$1001,0),1)&gt;=100000,INDEX($AO$1005:$BQ$1005,1,MATCH(COLUMNS($AO$1006:AQ1006),$AO$1006:$BQ$1006,0))&gt;=100000), " ",IF(INDEX($AO$2:$BQ$1001,MATCH(ROWS($AH$2:AH999),$AH$2:$AH$1001,0),MATCH(COLUMNS($AO$1006:AQ1006),$AO$1006:$BQ$1006,0)), HYPERLINK("#",""), HYPERLINK(CONCATENATE("#Metadata!", ADDRESS(INDEX($AJ$2:$AJ$1001,MATCH(ROWS($AH$2:AH999),$AH$2:$AH$1001,0),0), INDEX($AO$1004:$BQ$1004,1,MATCH(COLUMNS($AO$1006:AQ1006),$AO$1006:$BQ$1006,0)))),"Fix")))</f>
        <v>#N/A</v>
      </c>
      <c r="E999" s="5" t="e">
        <f ca="1">IF(OR(INDEX($AI$2:$AI$1001,MATCH(ROWS($AH$2:AH999),$AH$2:$AH$1001,0),1)&gt;=100000,INDEX($AO$1005:$BQ$1005,1,MATCH(COLUMNS($AO$1006:AR1006),$AO$1006:$BQ$1006,0))&gt;=100000), " ",IF(INDEX($AO$2:$BQ$1001,MATCH(ROWS($AH$2:AH999),$AH$2:$AH$1001,0),MATCH(COLUMNS($AO$1006:AR1006),$AO$1006:$BQ$1006,0)), HYPERLINK("#",""), HYPERLINK(CONCATENATE("#Metadata!", ADDRESS(INDEX($AJ$2:$AJ$1001,MATCH(ROWS($AH$2:AH999),$AH$2:$AH$1001,0),0), INDEX($AO$1004:$BQ$1004,1,MATCH(COLUMNS($AO$1006:AR1006),$AO$1006:$BQ$1006,0)))),"Fix")))</f>
        <v>#N/A</v>
      </c>
      <c r="F999" s="5" t="e">
        <f ca="1">IF(OR(INDEX($AI$2:$AI$1001,MATCH(ROWS($AH$2:AH999),$AH$2:$AH$1001,0),1)&gt;=100000,INDEX($AO$1005:$BQ$1005,1,MATCH(COLUMNS($AO$1006:AS1006),$AO$1006:$BQ$1006,0))&gt;=100000), " ",IF(INDEX($AO$2:$BQ$1001,MATCH(ROWS($AH$2:AH999),$AH$2:$AH$1001,0),MATCH(COLUMNS($AO$1006:AS1006),$AO$1006:$BQ$1006,0)), HYPERLINK("#",""), HYPERLINK(CONCATENATE("#Metadata!", ADDRESS(INDEX($AJ$2:$AJ$1001,MATCH(ROWS($AH$2:AH999),$AH$2:$AH$1001,0),0), INDEX($AO$1004:$BQ$1004,1,MATCH(COLUMNS($AO$1006:AS1006),$AO$1006:$BQ$1006,0)))),"Fix")))</f>
        <v>#N/A</v>
      </c>
      <c r="G999" s="5" t="e">
        <f ca="1">IF(OR(INDEX($AI$2:$AI$1001,MATCH(ROWS($AH$2:AH999),$AH$2:$AH$1001,0),1)&gt;=100000,INDEX($AO$1005:$BQ$1005,1,MATCH(COLUMNS($AO$1006:AT1006),$AO$1006:$BQ$1006,0))&gt;=100000), " ",IF(INDEX($AO$2:$BQ$1001,MATCH(ROWS($AH$2:AH999),$AH$2:$AH$1001,0),MATCH(COLUMNS($AO$1006:AT1006),$AO$1006:$BQ$1006,0)), HYPERLINK("#",""), HYPERLINK(CONCATENATE("#Metadata!", ADDRESS(INDEX($AJ$2:$AJ$1001,MATCH(ROWS($AH$2:AH999),$AH$2:$AH$1001,0),0), INDEX($AO$1004:$BQ$1004,1,MATCH(COLUMNS($AO$1006:AT1006),$AO$1006:$BQ$1006,0)))),"Fix")))</f>
        <v>#N/A</v>
      </c>
      <c r="H999" s="5" t="e">
        <f ca="1">IF(OR(INDEX($AI$2:$AI$1001,MATCH(ROWS($AH$2:AH999),$AH$2:$AH$1001,0),1)&gt;=100000,INDEX($AO$1005:$BQ$1005,1,MATCH(COLUMNS($AO$1006:AU1006),$AO$1006:$BQ$1006,0))&gt;=100000), " ",IF(INDEX($AO$2:$BQ$1001,MATCH(ROWS($AH$2:AH999),$AH$2:$AH$1001,0),MATCH(COLUMNS($AO$1006:AU1006),$AO$1006:$BQ$1006,0)), HYPERLINK("#",""), HYPERLINK(CONCATENATE("#Metadata!", ADDRESS(INDEX($AJ$2:$AJ$1001,MATCH(ROWS($AH$2:AH999),$AH$2:$AH$1001,0),0), INDEX($AO$1004:$BQ$1004,1,MATCH(COLUMNS($AO$1006:AU1006),$AO$1006:$BQ$1006,0)))),"Fix")))</f>
        <v>#N/A</v>
      </c>
      <c r="I999" s="5" t="e">
        <f ca="1">IF(OR(INDEX($AI$2:$AI$1001,MATCH(ROWS($AH$2:AH999),$AH$2:$AH$1001,0),1)&gt;=100000,INDEX($AO$1005:$BQ$1005,1,MATCH(COLUMNS($AO$1006:AV1006),$AO$1006:$BQ$1006,0))&gt;=100000), " ",IF(INDEX($AO$2:$BQ$1001,MATCH(ROWS($AH$2:AH999),$AH$2:$AH$1001,0),MATCH(COLUMNS($AO$1006:AV1006),$AO$1006:$BQ$1006,0)), HYPERLINK("#",""), HYPERLINK(CONCATENATE("#Metadata!", ADDRESS(INDEX($AJ$2:$AJ$1001,MATCH(ROWS($AH$2:AH999),$AH$2:$AH$1001,0),0), INDEX($AO$1004:$BQ$1004,1,MATCH(COLUMNS($AO$1006:AV1006),$AO$1006:$BQ$1006,0)))),"Fix")))</f>
        <v>#N/A</v>
      </c>
      <c r="J999" s="5" t="e">
        <f ca="1">IF(OR(INDEX($AI$2:$AI$1001,MATCH(ROWS($AH$2:AH999),$AH$2:$AH$1001,0),1)&gt;=100000,INDEX($AO$1005:$BQ$1005,1,MATCH(COLUMNS($AO$1006:AW1006),$AO$1006:$BQ$1006,0))&gt;=100000), " ",IF(INDEX($AO$2:$BQ$1001,MATCH(ROWS($AH$2:AH999),$AH$2:$AH$1001,0),MATCH(COLUMNS($AO$1006:AW1006),$AO$1006:$BQ$1006,0)), HYPERLINK("#",""), HYPERLINK(CONCATENATE("#Metadata!", ADDRESS(INDEX($AJ$2:$AJ$1001,MATCH(ROWS($AH$2:AH999),$AH$2:$AH$1001,0),0), INDEX($AO$1004:$BQ$1004,1,MATCH(COLUMNS($AO$1006:AW1006),$AO$1006:$BQ$1006,0)))),"Fix")))</f>
        <v>#N/A</v>
      </c>
      <c r="K999" s="5" t="e">
        <f ca="1">IF(OR(INDEX($AI$2:$AI$1001,MATCH(ROWS($AH$2:AH999),$AH$2:$AH$1001,0),1)&gt;=100000,INDEX($AO$1005:$BQ$1005,1,MATCH(COLUMNS($AO$1006:AX1006),$AO$1006:$BQ$1006,0))&gt;=100000), " ",IF(INDEX($AO$2:$BQ$1001,MATCH(ROWS($AH$2:AH999),$AH$2:$AH$1001,0),MATCH(COLUMNS($AO$1006:AX1006),$AO$1006:$BQ$1006,0)), HYPERLINK("#",""), HYPERLINK(CONCATENATE("#Metadata!", ADDRESS(INDEX($AJ$2:$AJ$1001,MATCH(ROWS($AH$2:AH999),$AH$2:$AH$1001,0),0), INDEX($AO$1004:$BQ$1004,1,MATCH(COLUMNS($AO$1006:AX1006),$AO$1006:$BQ$1006,0)))),"Fix")))</f>
        <v>#N/A</v>
      </c>
      <c r="L999" s="5" t="e">
        <f ca="1">IF(OR(INDEX($AI$2:$AI$1001,MATCH(ROWS($AH$2:AH999),$AH$2:$AH$1001,0),1)&gt;=100000,INDEX($AO$1005:$BQ$1005,1,MATCH(COLUMNS($AO$1006:AY1006),$AO$1006:$BQ$1006,0))&gt;=100000), " ",IF(INDEX($AO$2:$BQ$1001,MATCH(ROWS($AH$2:AH999),$AH$2:$AH$1001,0),MATCH(COLUMNS($AO$1006:AY1006),$AO$1006:$BQ$1006,0)), HYPERLINK("#",""), HYPERLINK(CONCATENATE("#Metadata!", ADDRESS(INDEX($AJ$2:$AJ$1001,MATCH(ROWS($AH$2:AH999),$AH$2:$AH$1001,0),0), INDEX($AO$1004:$BQ$1004,1,MATCH(COLUMNS($AO$1006:AY1006),$AO$1006:$BQ$1006,0)))),"Fix")))</f>
        <v>#N/A</v>
      </c>
      <c r="M999" s="5" t="e">
        <f ca="1">IF(OR(INDEX($AI$2:$AI$1001,MATCH(ROWS($AH$2:AH999),$AH$2:$AH$1001,0),1)&gt;=100000,INDEX($AO$1005:$BQ$1005,1,MATCH(COLUMNS($AO$1006:AZ1006),$AO$1006:$BQ$1006,0))&gt;=100000), " ",IF(INDEX($AO$2:$BQ$1001,MATCH(ROWS($AH$2:AH999),$AH$2:$AH$1001,0),MATCH(COLUMNS($AO$1006:AZ1006),$AO$1006:$BQ$1006,0)), HYPERLINK("#",""), HYPERLINK(CONCATENATE("#Metadata!", ADDRESS(INDEX($AJ$2:$AJ$1001,MATCH(ROWS($AH$2:AH999),$AH$2:$AH$1001,0),0), INDEX($AO$1004:$BQ$1004,1,MATCH(COLUMNS($AO$1006:AZ1006),$AO$1006:$BQ$1006,0)))),"Fix")))</f>
        <v>#N/A</v>
      </c>
      <c r="N999" s="5" t="e">
        <f ca="1">IF(OR(INDEX($AI$2:$AI$1001,MATCH(ROWS($AH$2:AH999),$AH$2:$AH$1001,0),1)&gt;=100000,INDEX($AO$1005:$BQ$1005,1,MATCH(COLUMNS($AO$1006:BA1006),$AO$1006:$BQ$1006,0))&gt;=100000), " ",IF(INDEX($AO$2:$BQ$1001,MATCH(ROWS($AH$2:AH999),$AH$2:$AH$1001,0),MATCH(COLUMNS($AO$1006:BA1006),$AO$1006:$BQ$1006,0)), HYPERLINK("#",""), HYPERLINK(CONCATENATE("#Metadata!", ADDRESS(INDEX($AJ$2:$AJ$1001,MATCH(ROWS($AH$2:AH999),$AH$2:$AH$1001,0),0), INDEX($AO$1004:$BQ$1004,1,MATCH(COLUMNS($AO$1006:BA1006),$AO$1006:$BQ$1006,0)))),"Fix")))</f>
        <v>#N/A</v>
      </c>
      <c r="O999" s="5" t="e">
        <f ca="1">IF(OR(INDEX($AI$2:$AI$1001,MATCH(ROWS($AH$2:AH999),$AH$2:$AH$1001,0),1)&gt;=100000,INDEX($AO$1005:$BQ$1005,1,MATCH(COLUMNS($AO$1006:BB1006),$AO$1006:$BQ$1006,0))&gt;=100000), " ",IF(INDEX($AO$2:$BQ$1001,MATCH(ROWS($AH$2:AH999),$AH$2:$AH$1001,0),MATCH(COLUMNS($AO$1006:BB1006),$AO$1006:$BQ$1006,0)), HYPERLINK("#",""), HYPERLINK(CONCATENATE("#Metadata!", ADDRESS(INDEX($AJ$2:$AJ$1001,MATCH(ROWS($AH$2:AH999),$AH$2:$AH$1001,0),0), INDEX($AO$1004:$BQ$1004,1,MATCH(COLUMNS($AO$1006:BB1006),$AO$1006:$BQ$1006,0)))),"Fix")))</f>
        <v>#N/A</v>
      </c>
      <c r="P999" s="5" t="e">
        <f ca="1">IF(OR(INDEX($AI$2:$AI$1001,MATCH(ROWS($AH$2:AH999),$AH$2:$AH$1001,0),1)&gt;=100000,INDEX($AO$1005:$BQ$1005,1,MATCH(COLUMNS($AO$1006:BC1006),$AO$1006:$BQ$1006,0))&gt;=100000), " ",IF(INDEX($AO$2:$BQ$1001,MATCH(ROWS($AH$2:AH999),$AH$2:$AH$1001,0),MATCH(COLUMNS($AO$1006:BC1006),$AO$1006:$BQ$1006,0)), HYPERLINK("#",""), HYPERLINK(CONCATENATE("#Metadata!", ADDRESS(INDEX($AJ$2:$AJ$1001,MATCH(ROWS($AH$2:AH999),$AH$2:$AH$1001,0),0), INDEX($AO$1004:$BQ$1004,1,MATCH(COLUMNS($AO$1006:BC1006),$AO$1006:$BQ$1006,0)))),"Fix")))</f>
        <v>#N/A</v>
      </c>
      <c r="Q999" s="5" t="e">
        <f ca="1">IF(OR(INDEX($AI$2:$AI$1001,MATCH(ROWS($AH$2:AH999),$AH$2:$AH$1001,0),1)&gt;=100000,INDEX($AO$1005:$BQ$1005,1,MATCH(COLUMNS($AO$1006:BD1006),$AO$1006:$BQ$1006,0))&gt;=100000), " ",IF(INDEX($AO$2:$BQ$1001,MATCH(ROWS($AH$2:AH999),$AH$2:$AH$1001,0),MATCH(COLUMNS($AO$1006:BD1006),$AO$1006:$BQ$1006,0)), HYPERLINK("#",""), HYPERLINK(CONCATENATE("#Metadata!", ADDRESS(INDEX($AJ$2:$AJ$1001,MATCH(ROWS($AH$2:AH999),$AH$2:$AH$1001,0),0), INDEX($AO$1004:$BQ$1004,1,MATCH(COLUMNS($AO$1006:BD1006),$AO$1006:$BQ$1006,0)))),"Fix")))</f>
        <v>#N/A</v>
      </c>
      <c r="R999" s="5" t="e">
        <f ca="1">IF(OR(INDEX($AI$2:$AI$1001,MATCH(ROWS($AH$2:AH999),$AH$2:$AH$1001,0),1)&gt;=100000,INDEX($AO$1005:$BQ$1005,1,MATCH(COLUMNS($AO$1006:BE1006),$AO$1006:$BQ$1006,0))&gt;=100000), " ",IF(INDEX($AO$2:$BQ$1001,MATCH(ROWS($AH$2:AH999),$AH$2:$AH$1001,0),MATCH(COLUMNS($AO$1006:BE1006),$AO$1006:$BQ$1006,0)), HYPERLINK("#",""), HYPERLINK(CONCATENATE("#Metadata!", ADDRESS(INDEX($AJ$2:$AJ$1001,MATCH(ROWS($AH$2:AH999),$AH$2:$AH$1001,0),0), INDEX($AO$1004:$BQ$1004,1,MATCH(COLUMNS($AO$1006:BE1006),$AO$1006:$BQ$1006,0)))),"Fix")))</f>
        <v>#N/A</v>
      </c>
      <c r="S999" s="5" t="e">
        <f ca="1">IF(OR(INDEX($AI$2:$AI$1001,MATCH(ROWS($AH$2:AH999),$AH$2:$AH$1001,0),1)&gt;=100000,INDEX($AO$1005:$BQ$1005,1,MATCH(COLUMNS($AO$1006:BF1006),$AO$1006:$BQ$1006,0))&gt;=100000), " ",IF(INDEX($AO$2:$BQ$1001,MATCH(ROWS($AH$2:AH999),$AH$2:$AH$1001,0),MATCH(COLUMNS($AO$1006:BF1006),$AO$1006:$BQ$1006,0)), HYPERLINK("#",""), HYPERLINK(CONCATENATE("#Metadata!", ADDRESS(INDEX($AJ$2:$AJ$1001,MATCH(ROWS($AH$2:AH999),$AH$2:$AH$1001,0),0), INDEX($AO$1004:$BQ$1004,1,MATCH(COLUMNS($AO$1006:BF1006),$AO$1006:$BQ$1006,0)))),"Fix")))</f>
        <v>#N/A</v>
      </c>
      <c r="T999" s="5" t="e">
        <f ca="1">IF(OR(INDEX($AI$2:$AI$1001,MATCH(ROWS($AH$2:AH999),$AH$2:$AH$1001,0),1)&gt;=100000,INDEX($AO$1005:$BQ$1005,1,MATCH(COLUMNS($AO$1006:BG1006),$AO$1006:$BQ$1006,0))&gt;=100000), " ",IF(INDEX($AO$2:$BQ$1001,MATCH(ROWS($AH$2:AH999),$AH$2:$AH$1001,0),MATCH(COLUMNS($AO$1006:BG1006),$AO$1006:$BQ$1006,0)), HYPERLINK("#",""), HYPERLINK(CONCATENATE("#Metadata!", ADDRESS(INDEX($AJ$2:$AJ$1001,MATCH(ROWS($AH$2:AH999),$AH$2:$AH$1001,0),0), INDEX($AO$1004:$BQ$1004,1,MATCH(COLUMNS($AO$1006:BG1006),$AO$1006:$BQ$1006,0)))),"Fix")))</f>
        <v>#N/A</v>
      </c>
      <c r="U999" s="5" t="e">
        <f ca="1">IF(OR(INDEX($AI$2:$AI$1001,MATCH(ROWS($AH$2:AH999),$AH$2:$AH$1001,0),1)&gt;=100000,INDEX($AO$1005:$BQ$1005,1,MATCH(COLUMNS($AO$1006:BH1006),$AO$1006:$BQ$1006,0))&gt;=100000), " ",IF(INDEX($AO$2:$BQ$1001,MATCH(ROWS($AH$2:AH999),$AH$2:$AH$1001,0),MATCH(COLUMNS($AO$1006:BH1006),$AO$1006:$BQ$1006,0)), HYPERLINK("#",""), HYPERLINK(CONCATENATE("#Metadata!", ADDRESS(INDEX($AJ$2:$AJ$1001,MATCH(ROWS($AH$2:AH999),$AH$2:$AH$1001,0),0), INDEX($AO$1004:$BQ$1004,1,MATCH(COLUMNS($AO$1006:BH1006),$AO$1006:$BQ$1006,0)))),"Fix")))</f>
        <v>#N/A</v>
      </c>
      <c r="V999" s="5" t="e">
        <f ca="1">IF(OR(INDEX($AI$2:$AI$1001,MATCH(ROWS($AH$2:AH999),$AH$2:$AH$1001,0),1)&gt;=100000,INDEX($AO$1005:$BQ$1005,1,MATCH(COLUMNS($AO$1006:BI1006),$AO$1006:$BQ$1006,0))&gt;=100000), " ",IF(INDEX($AO$2:$BQ$1001,MATCH(ROWS($AH$2:AH999),$AH$2:$AH$1001,0),MATCH(COLUMNS($AO$1006:BI1006),$AO$1006:$BQ$1006,0)), HYPERLINK("#",""), HYPERLINK(CONCATENATE("#Metadata!", ADDRESS(INDEX($AJ$2:$AJ$1001,MATCH(ROWS($AH$2:AH999),$AH$2:$AH$1001,0),0), INDEX($AO$1004:$BQ$1004,1,MATCH(COLUMNS($AO$1006:BI1006),$AO$1006:$BQ$1006,0)))),"Fix")))</f>
        <v>#N/A</v>
      </c>
      <c r="W999" s="5" t="e">
        <f ca="1">IF(OR(INDEX($AI$2:$AI$1001,MATCH(ROWS($AH$2:AH999),$AH$2:$AH$1001,0),1)&gt;=100000,INDEX($AO$1005:$BQ$1005,1,MATCH(COLUMNS($AO$1006:BJ1006),$AO$1006:$BQ$1006,0))&gt;=100000), " ",IF(INDEX($AO$2:$BQ$1001,MATCH(ROWS($AH$2:AH999),$AH$2:$AH$1001,0),MATCH(COLUMNS($AO$1006:BJ1006),$AO$1006:$BQ$1006,0)), HYPERLINK("#",""), HYPERLINK(CONCATENATE("#Metadata!", ADDRESS(INDEX($AJ$2:$AJ$1001,MATCH(ROWS($AH$2:AH999),$AH$2:$AH$1001,0),0), INDEX($AO$1004:$BQ$1004,1,MATCH(COLUMNS($AO$1006:BJ1006),$AO$1006:$BQ$1006,0)))),"Fix")))</f>
        <v>#N/A</v>
      </c>
      <c r="X999" s="5" t="e">
        <f ca="1">IF(OR(INDEX($AI$2:$AI$1001,MATCH(ROWS($AH$2:AH999),$AH$2:$AH$1001,0),1)&gt;=100000,INDEX($AO$1005:$BQ$1005,1,MATCH(COLUMNS($AO$1006:BK1006),$AO$1006:$BQ$1006,0))&gt;=100000), " ",IF(INDEX($AO$2:$BQ$1001,MATCH(ROWS($AH$2:AH999),$AH$2:$AH$1001,0),MATCH(COLUMNS($AO$1006:BK1006),$AO$1006:$BQ$1006,0)), HYPERLINK("#",""), HYPERLINK(CONCATENATE("#Metadata!", ADDRESS(INDEX($AJ$2:$AJ$1001,MATCH(ROWS($AH$2:AH999),$AH$2:$AH$1001,0),0), INDEX($AO$1004:$BQ$1004,1,MATCH(COLUMNS($AO$1006:BK1006),$AO$1006:$BQ$1006,0)))),"Fix")))</f>
        <v>#N/A</v>
      </c>
      <c r="Y999" s="5" t="e">
        <f ca="1">IF(OR(INDEX($AI$2:$AI$1001,MATCH(ROWS($AH$2:AH999),$AH$2:$AH$1001,0),1)&gt;=100000,INDEX($AO$1005:$BQ$1005,1,MATCH(COLUMNS($AO$1006:BL1006),$AO$1006:$BQ$1006,0))&gt;=100000), " ",IF(INDEX($AO$2:$BQ$1001,MATCH(ROWS($AH$2:AH999),$AH$2:$AH$1001,0),MATCH(COLUMNS($AO$1006:BL1006),$AO$1006:$BQ$1006,0)), HYPERLINK("#",""), HYPERLINK(CONCATENATE("#Metadata!", ADDRESS(INDEX($AJ$2:$AJ$1001,MATCH(ROWS($AH$2:AH999),$AH$2:$AH$1001,0),0), INDEX($AO$1004:$BQ$1004,1,MATCH(COLUMNS($AO$1006:BL1006),$AO$1006:$BQ$1006,0)))),"Fix")))</f>
        <v>#N/A</v>
      </c>
      <c r="Z999" s="5" t="e">
        <f ca="1">IF(OR(INDEX($AI$2:$AI$1001,MATCH(ROWS($AH$2:AH999),$AH$2:$AH$1001,0),1)&gt;=100000,INDEX($AO$1005:$BQ$1005,1,MATCH(COLUMNS($AO$1006:BM1006),$AO$1006:$BQ$1006,0))&gt;=100000), " ",IF(INDEX($AO$2:$BQ$1001,MATCH(ROWS($AH$2:AH999),$AH$2:$AH$1001,0),MATCH(COLUMNS($AO$1006:BM1006),$AO$1006:$BQ$1006,0)), HYPERLINK("#",""), HYPERLINK(CONCATENATE("#Metadata!", ADDRESS(INDEX($AJ$2:$AJ$1001,MATCH(ROWS($AH$2:AH999),$AH$2:$AH$1001,0),0), INDEX($AO$1004:$BQ$1004,1,MATCH(COLUMNS($AO$1006:BM1006),$AO$1006:$BQ$1006,0)))),"Fix")))</f>
        <v>#N/A</v>
      </c>
      <c r="AA999" s="5" t="e">
        <f ca="1">IF(OR(INDEX($AI$2:$AI$1001,MATCH(ROWS($AH$2:AH999),$AH$2:$AH$1001,0),1)&gt;=100000,INDEX($AO$1005:$BQ$1005,1,MATCH(COLUMNS($AO$1006:BN1006),$AO$1006:$BQ$1006,0))&gt;=100000), " ",IF(INDEX($AO$2:$BQ$1001,MATCH(ROWS($AH$2:AH999),$AH$2:$AH$1001,0),MATCH(COLUMNS($AO$1006:BN1006),$AO$1006:$BQ$1006,0)), HYPERLINK("#",""), HYPERLINK(CONCATENATE("#Metadata!", ADDRESS(INDEX($AJ$2:$AJ$1001,MATCH(ROWS($AH$2:AH999),$AH$2:$AH$1001,0),0), INDEX($AO$1004:$BQ$1004,1,MATCH(COLUMNS($AO$1006:BN1006),$AO$1006:$BQ$1006,0)))),"Fix")))</f>
        <v>#N/A</v>
      </c>
      <c r="AB999" s="5" t="e">
        <f ca="1">IF(OR(INDEX($AI$2:$AI$1001,MATCH(ROWS($AH$2:AH999),$AH$2:$AH$1001,0),1)&gt;=100000,INDEX($AO$1005:$BQ$1005,1,MATCH(COLUMNS($AO$1006:BO1006),$AO$1006:$BQ$1006,0))&gt;=100000), " ",IF(INDEX($AO$2:$BQ$1001,MATCH(ROWS($AH$2:AH999),$AH$2:$AH$1001,0),MATCH(COLUMNS($AO$1006:BO1006),$AO$1006:$BQ$1006,0)), HYPERLINK("#",""), HYPERLINK(CONCATENATE("#Metadata!", ADDRESS(INDEX($AJ$2:$AJ$1001,MATCH(ROWS($AH$2:AH999),$AH$2:$AH$1001,0),0), INDEX($AO$1004:$BQ$1004,1,MATCH(COLUMNS($AO$1006:BO1006),$AO$1006:$BQ$1006,0)))),"Fix")))</f>
        <v>#N/A</v>
      </c>
      <c r="AC999" s="5" t="e">
        <f ca="1">IF(OR(INDEX($AI$2:$AI$1001,MATCH(ROWS($AH$2:AH999),$AH$2:$AH$1001,0),1)&gt;=100000,INDEX($AO$1005:$BQ$1005,1,MATCH(COLUMNS($AO$1006:BP1006),$AO$1006:$BQ$1006,0))&gt;=100000), " ",IF(INDEX($AO$2:$BQ$1001,MATCH(ROWS($AH$2:AH999),$AH$2:$AH$1001,0),MATCH(COLUMNS($AO$1006:BP1006),$AO$1006:$BQ$1006,0)), HYPERLINK("#",""), HYPERLINK(CONCATENATE("#Metadata!", ADDRESS(INDEX($AJ$2:$AJ$1001,MATCH(ROWS($AH$2:AH999),$AH$2:$AH$1001,0),0), INDEX($AO$1004:$BQ$1004,1,MATCH(COLUMNS($AO$1006:BP1006),$AO$1006:$BQ$1006,0)))),"Fix")))</f>
        <v>#N/A</v>
      </c>
      <c r="AD999" s="5" t="e">
        <f ca="1">IF(OR(INDEX($AI$2:$AI$1001,MATCH(ROWS($AH$2:AH999),$AH$2:$AH$1001,0),1)&gt;=100000,INDEX($AO$1005:$BQ$1005,1,MATCH(COLUMNS($AO$1006:BQ1006),$AO$1006:$BQ$1006,0))&gt;=100000), " ",IF(INDEX($AO$2:$BQ$1001,MATCH(ROWS($AH$2:AH999),$AH$2:$AH$1001,0),MATCH(COLUMNS($AO$1006:BQ1006),$AO$1006:$BQ$1006,0)), HYPERLINK("#",""), HYPERLINK(CONCATENATE("#Metadata!", ADDRESS(INDEX($AJ$2:$AJ$1001,MATCH(ROWS($AH$2:AH999),$AH$2:$AH$1001,0),0), INDEX($AO$1004:$BQ$1004,1,MATCH(COLUMNS($AO$1006:BQ1006),$AO$1006:$BQ$1006,0)))),"Fix")))</f>
        <v>#REF!</v>
      </c>
      <c r="AH999">
        <f ca="1"/>
        <v>996</v>
      </c>
      <c r="AI999">
        <v>100999</v>
      </c>
      <c r="AJ999">
        <v>999</v>
      </c>
      <c r="AK999" t="b">
        <f t="shared" si="15"/>
        <v>1</v>
      </c>
      <c r="AL999" t="b">
        <f>COUNTBLANK(Metadata!B999:AD999)=COLUMNS(Metadata!B999:AD999)</f>
        <v>1</v>
      </c>
      <c r="AM999" t="str">
        <v/>
      </c>
      <c r="AO999" t="b">
        <f ca="1">AND(IF(Metadata!B999="",FALSE,TRUE),COUNTIF(Metadata!B:B, Metadata!B999) = 1,NOT(ISERROR(SUMPRODUCT(SEARCH(MID(Metadata!B999,ROW(INDIRECT("1:"&amp;LEN(Metadata!B999))), 1),"0123456789abcdefghijklmnopqrstuvwxyzABCDEFGHIJKLMNOPQRSTUVWXYZ.")))))</f>
        <v>0</v>
      </c>
      <c r="AP999" t="b">
        <f>IF(Metadata!C999="",FALSE,TRUE)</f>
        <v>0</v>
      </c>
      <c r="AQ999" t="b">
        <f>IF(Metadata!D999="",FALSE,TRUE)</f>
        <v>0</v>
      </c>
      <c r="AR999" t="b">
        <f ca="1">OR(AND(IF(Metadata!E999="",FALSE,TRUE),OR(EXACT(Metadata!E999,"not collected"),EXACT(Metadata!E999,"not provided"),EXACT(Metadata!E999,"restricted access"))),AND(IF(Metadata!E999="",FALSE,TRUE),AND(AND(IFERROR(INT(LEFT(Metadata!E999,4))&gt;1900,FALSE),IFERROR(INT(LEFT(Metadata!E999,4))&lt;=YEAR(NOW()),FALSE)), OR(MID(Metadata!E999,5,1)="", AND(AND(MID(Metadata!E999,5,1)="-",IFERROR(INT(MID(Metadata!E999,6,1))&gt;=0,FALSE),IFERROR(INT(MID(Metadata!E999,6,1))&lt;=1,FALSE),NOT(MID(Metadata!E999,7,1)=""),IFERROR(INT(MID(Metadata!E999,6,2))&gt;=1,FALSE),IFERROR(INT(MID(Metadata!E999,6,2))&lt;=12,FALSE)), OR(MID(Metadata!E999,8,1)="", AND(AND(MID(Metadata!E999,8,1)="-",IFERROR(INT(MID(Metadata!E999,9,1))&gt;=0,FALSE),IFERROR(INT(MID(Metadata!E999,9,1))&lt;=3,FALSE),NOT(MID(Metadata!E999,10,1)=""),IFERROR(INT(MID(Metadata!E999,9,2))&gt;=1,FALSE),IFERROR(INT(MID(Metadata!E999,9,2))&lt;=31,FALSE)), OR(MID(Metadata!E999,11,1)="", AND(AND(MID(Metadata!E999,11,1)=" ",IFERROR(INT(MID(Metadata!E999,12,1))&gt;=0,FALSE),IFERROR(INT(MID(Metadata!E999,12,1))&lt;=2,FALSE),NOT(MID(Metadata!E999,13,1)=""),IFERROR(INT(MID(Metadata!E999,12,2))&gt;=0,FALSE),IFERROR(INT(MID(Metadata!E999,12,2))&lt;=23,FALSE)), OR(MID(Metadata!E999,14,1)="", AND(AND(MID(Metadata!E999,14,1)=":",IFERROR(INT(MID(Metadata!E999,15,1))&gt;=0,FALSE),IFERROR(INT(MID(Metadata!E999,15,1))&lt;=5,FALSE),NOT(MID(Metadata!E999,16,1)=""),IFERROR(INT(MID(Metadata!E999,15,2))&gt;=0,FALSE),IFERROR(INT(MID(Metadata!E999,15,2))&lt;=59,FALSE)), OR(MID(Metadata!E999,17,1)="", AND(AND(MID(Metadata!E999,17,1)=":",IFERROR(INT(MID(Metadata!E999,18,1))&gt;=0,FALSE),IFERROR(INT(MID(Metadata!E999,18,1))&lt;=5,FALSE),NOT(MID(Metadata!E999,19,1)=""),IFERROR(INT(MID(Metadata!E999,18,2))&gt;=0,FALSE),IFERROR(INT(MID(Metadata!E999,18,2))&lt;=59,FALSE)), LEN(Metadata!E999)&lt;=19)))))))))))))</f>
        <v>0</v>
      </c>
      <c r="AS999" t="b">
        <f>IF(Metadata!F999="",FALSE,TRUE)</f>
        <v>0</v>
      </c>
      <c r="AT999" t="b">
        <f>OR(AND(IF(Metadata!G999="",FALSE,TRUE),OR(EXACT(Metadata!G999,"not collected"),EXACT(Metadata!G999,"not provided"))),AND(IF(Metadata!G999="",FALSE,TRUE),OR(EXACT(Metadata!G999,"TRUE"),EXACT(Metadata!G999,"FALSE"))))</f>
        <v>0</v>
      </c>
      <c r="AU999" t="b">
        <f>OR(AND(IF(Metadata!H999="",FALSE,TRUE),OR(EXACT(Metadata!H999,"not collected"),EXACT(Metadata!H999,"not provided"),EXACT(Metadata!H999,"restricted access"))),AND(IF(Metadata!H999="",FALSE,ISNUMBER(VALUE(Metadata!H999))),Metadata!H999&gt;=-413))</f>
        <v>0</v>
      </c>
      <c r="AV999" t="b">
        <f>AND(IF(Metadata!I999="",FALSE,TRUE),EXACT(Metadata!I999,"meters"))</f>
        <v>0</v>
      </c>
      <c r="AW999" t="b">
        <f>AND(IF(Metadata!J999="",FALSE,TRUE),EXACT(Metadata!J999,"free-living"))</f>
        <v>0</v>
      </c>
      <c r="AX999" t="b">
        <f>AND(IF(Metadata!K999="",FALSE,TRUE),OR(EXACT(Metadata!K999,"saline"),EXACT(Metadata!K999,"non-saline")))</f>
        <v>0</v>
      </c>
      <c r="AY999" t="b">
        <f>AND(IF(Metadata!L999="",FALSE,TRUE),OR(EXACT(Metadata!L999,"sub-surface (non-saline)"),EXACT(Metadata!L999,"surface (non-saline)"),EXACT(Metadata!L999,"water (non-saline)"),EXACT(Metadata!L999,"soil (non-saline)"),EXACT(Metadata!L999,"aerosol (non-saline)"),EXACT(Metadata!L999,"sediment (non-saline)"),EXACT(Metadata!L999,"surface (saline)"),EXACT(Metadata!L999,"water (saline)"),EXACT(Metadata!L999,"hypersaline (saline)"),EXACT(Metadata!L999,"aerosol (saline)"),EXACT(Metadata!L999,"sediment (saline)")))</f>
        <v>0</v>
      </c>
      <c r="AZ999" t="b">
        <f>IF(Metadata!M999="",FALSE,TRUE)</f>
        <v>0</v>
      </c>
      <c r="BA999" t="b">
        <f>IF(Metadata!N999="",FALSE,TRUE)</f>
        <v>0</v>
      </c>
      <c r="BB999" t="b">
        <f>IF(Metadata!O999="",FALSE,TRUE)</f>
        <v>0</v>
      </c>
      <c r="BC999" t="b">
        <f>AND(IF(Metadata!P999="",FALSE,TRUE),OR(EXACT(Metadata!P999,"air"),EXACT(Metadata!P999,"microbial mat/biofilm"),EXACT(Metadata!P999,"misc environment"),EXACT(Metadata!P999,"sediment"),EXACT(Metadata!P999,"soil"),EXACT(Metadata!P999,"wastewater/sludge"),EXACT(Metadata!P999,"water")))</f>
        <v>0</v>
      </c>
      <c r="BD999" t="b">
        <f>IF(Metadata!Q999="",FALSE,TRUE)</f>
        <v>0</v>
      </c>
      <c r="BE999" t="b">
        <f>IF(Metadata!R999="",FALSE,TRUE)</f>
        <v>0</v>
      </c>
      <c r="BF999" t="b">
        <f>OR(AND(IF(Metadata!S999="",FALSE,TRUE),OR(EXACT(Metadata!S999,"not collected"),EXACT(Metadata!S999,"not provided"),EXACT(Metadata!S999,"restricted access"))),AND(IF(Metadata!S999="",FALSE,ISNUMBER(VALUE(Metadata!S999))),Metadata!S999&gt;=-90,Metadata!S999&lt;=90))</f>
        <v>0</v>
      </c>
      <c r="BG999" t="b">
        <f>AND(IF(Metadata!T999="",FALSE,TRUE),EXACT(Metadata!T999,"Decimal degrees"))</f>
        <v>0</v>
      </c>
      <c r="BH999" t="b">
        <f>OR(AND(IF(Metadata!U999="",FALSE,TRUE),OR(EXACT(Metadata!U999,"not applicable"),EXACT(Metadata!U999,"not collected"))),IF(Metadata!U999="",FALSE,TRUE))</f>
        <v>0</v>
      </c>
      <c r="BI999" t="b">
        <f>OR(AND(IF(Metadata!V999="",FALSE,TRUE),OR(EXACT(Metadata!V999,"not collected"),EXACT(Metadata!V999,"not provided"),EXACT(Metadata!V999,"restricted access"))),AND(IF(Metadata!V999="",FALSE,ISNUMBER(VALUE(Metadata!V999))),Metadata!V999&gt;=-180,Metadata!V999&lt;=180))</f>
        <v>0</v>
      </c>
      <c r="BJ999" t="b">
        <f>AND(IF(Metadata!W999="",FALSE,TRUE),EXACT(Metadata!W999,"Decimal degrees"))</f>
        <v>0</v>
      </c>
      <c r="BK999" t="b">
        <f>IF(Metadata!X999="",FALSE,TRUE)</f>
        <v>0</v>
      </c>
      <c r="BL999" t="b">
        <f>OR(AND(IF(Metadata!Y999="",FALSE,TRUE),OR(EXACT(Metadata!Y999,"not collected"),EXACT(Metadata!Y999,"not provided"),EXACT(Metadata!Y999,"restricted access"))),AND(IF(Metadata!Y999="",FALSE,TRUE),OR(EXACT(Metadata!Y999,"TRUE"),EXACT(Metadata!Y999,"FALSE"))))</f>
        <v>0</v>
      </c>
      <c r="BM999" t="b">
        <f>OR(AND(IF(Metadata!Z999="",FALSE,TRUE),EXACT(Metadata!Z999,"not applicable")),AND(IF(Metadata!Z999="",FALSE,TRUE),OR(EXACT(Metadata!Z999,"beer"),EXACT(Metadata!Z999,"cheese"),EXACT(Metadata!Z999,"fresh water"),EXACT(Metadata!Z999,"marine sediment"),EXACT(Metadata!Z999,"sea water"),EXACT(Metadata!Z999,"sediment"),EXACT(Metadata!Z999,"soil"),EXACT(Metadata!Z999,"waste water"))))</f>
        <v>0</v>
      </c>
      <c r="BN999" t="b">
        <f>AND(IF(Metadata!AA999="",FALSE,TRUE),EXACT(Metadata!AA999,"metagenome"))</f>
        <v>0</v>
      </c>
      <c r="BO999" t="b">
        <f>AND(IF(Metadata!AB999="",FALSE,TRUE),EXACT(Metadata!AB999,"256318"))</f>
        <v>0</v>
      </c>
      <c r="BP999" t="b">
        <f>IF(Metadata!AC999="",FALSE,TRUE)</f>
        <v>0</v>
      </c>
      <c r="BQ999" t="b">
        <f>IF(Metadata!AD999="",FALSE,TRUE)</f>
        <v>0</v>
      </c>
    </row>
    <row r="1000" spans="1:69" x14ac:dyDescent="0.2">
      <c r="A1000" s="4" t="e">
        <f ca="1">IF(B1000=" "," ",HYPERLINK(CONCATENATE("#metadata!",ADDRESS(INDEX($AJ$2:$AJ$1001,MATCH(ROWS($AH$2:AH1000),$AH$2:$AH$1001,0),0),2)),INDEX($AM$2:$AM$1001,MATCH(ROWS($AH$2:AH1000),$AH$2:$AH$1001,0),0)))</f>
        <v>#N/A</v>
      </c>
      <c r="B1000" s="5" t="e">
        <f ca="1">IF(OR(INDEX($AI$2:$AI$1001,MATCH(ROWS($AH$2:AH1000),$AH$2:$AH$1001,0),1)&gt;=100000,INDEX($AO$1005:$BQ$1005,1,MATCH(COLUMNS($AO$1006:AO1006),$AO$1006:$BQ$1006,0))&gt;=100000), " ",IF(INDEX($AO$2:$BQ$1001,MATCH(ROWS($AH$2:AH1000),$AH$2:$AH$1001,0),MATCH(COLUMNS($AO$1006:AO1006),$AO$1006:$BQ$1006,0)), HYPERLINK("#",""), HYPERLINK(CONCATENATE("#Metadata!", ADDRESS(INDEX($AJ$2:$AJ$1001,MATCH(ROWS($AH$2:AH1000),$AH$2:$AH$1001,0),0), INDEX($AO$1004:$BQ$1004,1,MATCH(COLUMNS($AO$1006:AO1006),$AO$1006:$BQ$1006,0)))),"Fix")))</f>
        <v>#N/A</v>
      </c>
      <c r="C1000" s="5" t="e">
        <f ca="1">IF(OR(INDEX($AI$2:$AI$1001,MATCH(ROWS($AH$2:AH1000),$AH$2:$AH$1001,0),1)&gt;=100000,INDEX($AO$1005:$BQ$1005,1,MATCH(COLUMNS($AO$1006:AP1006),$AO$1006:$BQ$1006,0))&gt;=100000), " ",IF(INDEX($AO$2:$BQ$1001,MATCH(ROWS($AH$2:AH1000),$AH$2:$AH$1001,0),MATCH(COLUMNS($AO$1006:AP1006),$AO$1006:$BQ$1006,0)), HYPERLINK("#",""), HYPERLINK(CONCATENATE("#Metadata!", ADDRESS(INDEX($AJ$2:$AJ$1001,MATCH(ROWS($AH$2:AH1000),$AH$2:$AH$1001,0),0), INDEX($AO$1004:$BQ$1004,1,MATCH(COLUMNS($AO$1006:AP1006),$AO$1006:$BQ$1006,0)))),"Fix")))</f>
        <v>#N/A</v>
      </c>
      <c r="D1000" s="5" t="e">
        <f ca="1">IF(OR(INDEX($AI$2:$AI$1001,MATCH(ROWS($AH$2:AH1000),$AH$2:$AH$1001,0),1)&gt;=100000,INDEX($AO$1005:$BQ$1005,1,MATCH(COLUMNS($AO$1006:AQ1006),$AO$1006:$BQ$1006,0))&gt;=100000), " ",IF(INDEX($AO$2:$BQ$1001,MATCH(ROWS($AH$2:AH1000),$AH$2:$AH$1001,0),MATCH(COLUMNS($AO$1006:AQ1006),$AO$1006:$BQ$1006,0)), HYPERLINK("#",""), HYPERLINK(CONCATENATE("#Metadata!", ADDRESS(INDEX($AJ$2:$AJ$1001,MATCH(ROWS($AH$2:AH1000),$AH$2:$AH$1001,0),0), INDEX($AO$1004:$BQ$1004,1,MATCH(COLUMNS($AO$1006:AQ1006),$AO$1006:$BQ$1006,0)))),"Fix")))</f>
        <v>#N/A</v>
      </c>
      <c r="E1000" s="5" t="e">
        <f ca="1">IF(OR(INDEX($AI$2:$AI$1001,MATCH(ROWS($AH$2:AH1000),$AH$2:$AH$1001,0),1)&gt;=100000,INDEX($AO$1005:$BQ$1005,1,MATCH(COLUMNS($AO$1006:AR1006),$AO$1006:$BQ$1006,0))&gt;=100000), " ",IF(INDEX($AO$2:$BQ$1001,MATCH(ROWS($AH$2:AH1000),$AH$2:$AH$1001,0),MATCH(COLUMNS($AO$1006:AR1006),$AO$1006:$BQ$1006,0)), HYPERLINK("#",""), HYPERLINK(CONCATENATE("#Metadata!", ADDRESS(INDEX($AJ$2:$AJ$1001,MATCH(ROWS($AH$2:AH1000),$AH$2:$AH$1001,0),0), INDEX($AO$1004:$BQ$1004,1,MATCH(COLUMNS($AO$1006:AR1006),$AO$1006:$BQ$1006,0)))),"Fix")))</f>
        <v>#N/A</v>
      </c>
      <c r="F1000" s="5" t="e">
        <f ca="1">IF(OR(INDEX($AI$2:$AI$1001,MATCH(ROWS($AH$2:AH1000),$AH$2:$AH$1001,0),1)&gt;=100000,INDEX($AO$1005:$BQ$1005,1,MATCH(COLUMNS($AO$1006:AS1006),$AO$1006:$BQ$1006,0))&gt;=100000), " ",IF(INDEX($AO$2:$BQ$1001,MATCH(ROWS($AH$2:AH1000),$AH$2:$AH$1001,0),MATCH(COLUMNS($AO$1006:AS1006),$AO$1006:$BQ$1006,0)), HYPERLINK("#",""), HYPERLINK(CONCATENATE("#Metadata!", ADDRESS(INDEX($AJ$2:$AJ$1001,MATCH(ROWS($AH$2:AH1000),$AH$2:$AH$1001,0),0), INDEX($AO$1004:$BQ$1004,1,MATCH(COLUMNS($AO$1006:AS1006),$AO$1006:$BQ$1006,0)))),"Fix")))</f>
        <v>#N/A</v>
      </c>
      <c r="G1000" s="5" t="e">
        <f ca="1">IF(OR(INDEX($AI$2:$AI$1001,MATCH(ROWS($AH$2:AH1000),$AH$2:$AH$1001,0),1)&gt;=100000,INDEX($AO$1005:$BQ$1005,1,MATCH(COLUMNS($AO$1006:AT1006),$AO$1006:$BQ$1006,0))&gt;=100000), " ",IF(INDEX($AO$2:$BQ$1001,MATCH(ROWS($AH$2:AH1000),$AH$2:$AH$1001,0),MATCH(COLUMNS($AO$1006:AT1006),$AO$1006:$BQ$1006,0)), HYPERLINK("#",""), HYPERLINK(CONCATENATE("#Metadata!", ADDRESS(INDEX($AJ$2:$AJ$1001,MATCH(ROWS($AH$2:AH1000),$AH$2:$AH$1001,0),0), INDEX($AO$1004:$BQ$1004,1,MATCH(COLUMNS($AO$1006:AT1006),$AO$1006:$BQ$1006,0)))),"Fix")))</f>
        <v>#N/A</v>
      </c>
      <c r="H1000" s="5" t="e">
        <f ca="1">IF(OR(INDEX($AI$2:$AI$1001,MATCH(ROWS($AH$2:AH1000),$AH$2:$AH$1001,0),1)&gt;=100000,INDEX($AO$1005:$BQ$1005,1,MATCH(COLUMNS($AO$1006:AU1006),$AO$1006:$BQ$1006,0))&gt;=100000), " ",IF(INDEX($AO$2:$BQ$1001,MATCH(ROWS($AH$2:AH1000),$AH$2:$AH$1001,0),MATCH(COLUMNS($AO$1006:AU1006),$AO$1006:$BQ$1006,0)), HYPERLINK("#",""), HYPERLINK(CONCATENATE("#Metadata!", ADDRESS(INDEX($AJ$2:$AJ$1001,MATCH(ROWS($AH$2:AH1000),$AH$2:$AH$1001,0),0), INDEX($AO$1004:$BQ$1004,1,MATCH(COLUMNS($AO$1006:AU1006),$AO$1006:$BQ$1006,0)))),"Fix")))</f>
        <v>#N/A</v>
      </c>
      <c r="I1000" s="5" t="e">
        <f ca="1">IF(OR(INDEX($AI$2:$AI$1001,MATCH(ROWS($AH$2:AH1000),$AH$2:$AH$1001,0),1)&gt;=100000,INDEX($AO$1005:$BQ$1005,1,MATCH(COLUMNS($AO$1006:AV1006),$AO$1006:$BQ$1006,0))&gt;=100000), " ",IF(INDEX($AO$2:$BQ$1001,MATCH(ROWS($AH$2:AH1000),$AH$2:$AH$1001,0),MATCH(COLUMNS($AO$1006:AV1006),$AO$1006:$BQ$1006,0)), HYPERLINK("#",""), HYPERLINK(CONCATENATE("#Metadata!", ADDRESS(INDEX($AJ$2:$AJ$1001,MATCH(ROWS($AH$2:AH1000),$AH$2:$AH$1001,0),0), INDEX($AO$1004:$BQ$1004,1,MATCH(COLUMNS($AO$1006:AV1006),$AO$1006:$BQ$1006,0)))),"Fix")))</f>
        <v>#N/A</v>
      </c>
      <c r="J1000" s="5" t="e">
        <f ca="1">IF(OR(INDEX($AI$2:$AI$1001,MATCH(ROWS($AH$2:AH1000),$AH$2:$AH$1001,0),1)&gt;=100000,INDEX($AO$1005:$BQ$1005,1,MATCH(COLUMNS($AO$1006:AW1006),$AO$1006:$BQ$1006,0))&gt;=100000), " ",IF(INDEX($AO$2:$BQ$1001,MATCH(ROWS($AH$2:AH1000),$AH$2:$AH$1001,0),MATCH(COLUMNS($AO$1006:AW1006),$AO$1006:$BQ$1006,0)), HYPERLINK("#",""), HYPERLINK(CONCATENATE("#Metadata!", ADDRESS(INDEX($AJ$2:$AJ$1001,MATCH(ROWS($AH$2:AH1000),$AH$2:$AH$1001,0),0), INDEX($AO$1004:$BQ$1004,1,MATCH(COLUMNS($AO$1006:AW1006),$AO$1006:$BQ$1006,0)))),"Fix")))</f>
        <v>#N/A</v>
      </c>
      <c r="K1000" s="5" t="e">
        <f ca="1">IF(OR(INDEX($AI$2:$AI$1001,MATCH(ROWS($AH$2:AH1000),$AH$2:$AH$1001,0),1)&gt;=100000,INDEX($AO$1005:$BQ$1005,1,MATCH(COLUMNS($AO$1006:AX1006),$AO$1006:$BQ$1006,0))&gt;=100000), " ",IF(INDEX($AO$2:$BQ$1001,MATCH(ROWS($AH$2:AH1000),$AH$2:$AH$1001,0),MATCH(COLUMNS($AO$1006:AX1006),$AO$1006:$BQ$1006,0)), HYPERLINK("#",""), HYPERLINK(CONCATENATE("#Metadata!", ADDRESS(INDEX($AJ$2:$AJ$1001,MATCH(ROWS($AH$2:AH1000),$AH$2:$AH$1001,0),0), INDEX($AO$1004:$BQ$1004,1,MATCH(COLUMNS($AO$1006:AX1006),$AO$1006:$BQ$1006,0)))),"Fix")))</f>
        <v>#N/A</v>
      </c>
      <c r="L1000" s="5" t="e">
        <f ca="1">IF(OR(INDEX($AI$2:$AI$1001,MATCH(ROWS($AH$2:AH1000),$AH$2:$AH$1001,0),1)&gt;=100000,INDEX($AO$1005:$BQ$1005,1,MATCH(COLUMNS($AO$1006:AY1006),$AO$1006:$BQ$1006,0))&gt;=100000), " ",IF(INDEX($AO$2:$BQ$1001,MATCH(ROWS($AH$2:AH1000),$AH$2:$AH$1001,0),MATCH(COLUMNS($AO$1006:AY1006),$AO$1006:$BQ$1006,0)), HYPERLINK("#",""), HYPERLINK(CONCATENATE("#Metadata!", ADDRESS(INDEX($AJ$2:$AJ$1001,MATCH(ROWS($AH$2:AH1000),$AH$2:$AH$1001,0),0), INDEX($AO$1004:$BQ$1004,1,MATCH(COLUMNS($AO$1006:AY1006),$AO$1006:$BQ$1006,0)))),"Fix")))</f>
        <v>#N/A</v>
      </c>
      <c r="M1000" s="5" t="e">
        <f ca="1">IF(OR(INDEX($AI$2:$AI$1001,MATCH(ROWS($AH$2:AH1000),$AH$2:$AH$1001,0),1)&gt;=100000,INDEX($AO$1005:$BQ$1005,1,MATCH(COLUMNS($AO$1006:AZ1006),$AO$1006:$BQ$1006,0))&gt;=100000), " ",IF(INDEX($AO$2:$BQ$1001,MATCH(ROWS($AH$2:AH1000),$AH$2:$AH$1001,0),MATCH(COLUMNS($AO$1006:AZ1006),$AO$1006:$BQ$1006,0)), HYPERLINK("#",""), HYPERLINK(CONCATENATE("#Metadata!", ADDRESS(INDEX($AJ$2:$AJ$1001,MATCH(ROWS($AH$2:AH1000),$AH$2:$AH$1001,0),0), INDEX($AO$1004:$BQ$1004,1,MATCH(COLUMNS($AO$1006:AZ1006),$AO$1006:$BQ$1006,0)))),"Fix")))</f>
        <v>#N/A</v>
      </c>
      <c r="N1000" s="5" t="e">
        <f ca="1">IF(OR(INDEX($AI$2:$AI$1001,MATCH(ROWS($AH$2:AH1000),$AH$2:$AH$1001,0),1)&gt;=100000,INDEX($AO$1005:$BQ$1005,1,MATCH(COLUMNS($AO$1006:BA1006),$AO$1006:$BQ$1006,0))&gt;=100000), " ",IF(INDEX($AO$2:$BQ$1001,MATCH(ROWS($AH$2:AH1000),$AH$2:$AH$1001,0),MATCH(COLUMNS($AO$1006:BA1006),$AO$1006:$BQ$1006,0)), HYPERLINK("#",""), HYPERLINK(CONCATENATE("#Metadata!", ADDRESS(INDEX($AJ$2:$AJ$1001,MATCH(ROWS($AH$2:AH1000),$AH$2:$AH$1001,0),0), INDEX($AO$1004:$BQ$1004,1,MATCH(COLUMNS($AO$1006:BA1006),$AO$1006:$BQ$1006,0)))),"Fix")))</f>
        <v>#N/A</v>
      </c>
      <c r="O1000" s="5" t="e">
        <f ca="1">IF(OR(INDEX($AI$2:$AI$1001,MATCH(ROWS($AH$2:AH1000),$AH$2:$AH$1001,0),1)&gt;=100000,INDEX($AO$1005:$BQ$1005,1,MATCH(COLUMNS($AO$1006:BB1006),$AO$1006:$BQ$1006,0))&gt;=100000), " ",IF(INDEX($AO$2:$BQ$1001,MATCH(ROWS($AH$2:AH1000),$AH$2:$AH$1001,0),MATCH(COLUMNS($AO$1006:BB1006),$AO$1006:$BQ$1006,0)), HYPERLINK("#",""), HYPERLINK(CONCATENATE("#Metadata!", ADDRESS(INDEX($AJ$2:$AJ$1001,MATCH(ROWS($AH$2:AH1000),$AH$2:$AH$1001,0),0), INDEX($AO$1004:$BQ$1004,1,MATCH(COLUMNS($AO$1006:BB1006),$AO$1006:$BQ$1006,0)))),"Fix")))</f>
        <v>#N/A</v>
      </c>
      <c r="P1000" s="5" t="e">
        <f ca="1">IF(OR(INDEX($AI$2:$AI$1001,MATCH(ROWS($AH$2:AH1000),$AH$2:$AH$1001,0),1)&gt;=100000,INDEX($AO$1005:$BQ$1005,1,MATCH(COLUMNS($AO$1006:BC1006),$AO$1006:$BQ$1006,0))&gt;=100000), " ",IF(INDEX($AO$2:$BQ$1001,MATCH(ROWS($AH$2:AH1000),$AH$2:$AH$1001,0),MATCH(COLUMNS($AO$1006:BC1006),$AO$1006:$BQ$1006,0)), HYPERLINK("#",""), HYPERLINK(CONCATENATE("#Metadata!", ADDRESS(INDEX($AJ$2:$AJ$1001,MATCH(ROWS($AH$2:AH1000),$AH$2:$AH$1001,0),0), INDEX($AO$1004:$BQ$1004,1,MATCH(COLUMNS($AO$1006:BC1006),$AO$1006:$BQ$1006,0)))),"Fix")))</f>
        <v>#N/A</v>
      </c>
      <c r="Q1000" s="5" t="e">
        <f ca="1">IF(OR(INDEX($AI$2:$AI$1001,MATCH(ROWS($AH$2:AH1000),$AH$2:$AH$1001,0),1)&gt;=100000,INDEX($AO$1005:$BQ$1005,1,MATCH(COLUMNS($AO$1006:BD1006),$AO$1006:$BQ$1006,0))&gt;=100000), " ",IF(INDEX($AO$2:$BQ$1001,MATCH(ROWS($AH$2:AH1000),$AH$2:$AH$1001,0),MATCH(COLUMNS($AO$1006:BD1006),$AO$1006:$BQ$1006,0)), HYPERLINK("#",""), HYPERLINK(CONCATENATE("#Metadata!", ADDRESS(INDEX($AJ$2:$AJ$1001,MATCH(ROWS($AH$2:AH1000),$AH$2:$AH$1001,0),0), INDEX($AO$1004:$BQ$1004,1,MATCH(COLUMNS($AO$1006:BD1006),$AO$1006:$BQ$1006,0)))),"Fix")))</f>
        <v>#N/A</v>
      </c>
      <c r="R1000" s="5" t="e">
        <f ca="1">IF(OR(INDEX($AI$2:$AI$1001,MATCH(ROWS($AH$2:AH1000),$AH$2:$AH$1001,0),1)&gt;=100000,INDEX($AO$1005:$BQ$1005,1,MATCH(COLUMNS($AO$1006:BE1006),$AO$1006:$BQ$1006,0))&gt;=100000), " ",IF(INDEX($AO$2:$BQ$1001,MATCH(ROWS($AH$2:AH1000),$AH$2:$AH$1001,0),MATCH(COLUMNS($AO$1006:BE1006),$AO$1006:$BQ$1006,0)), HYPERLINK("#",""), HYPERLINK(CONCATENATE("#Metadata!", ADDRESS(INDEX($AJ$2:$AJ$1001,MATCH(ROWS($AH$2:AH1000),$AH$2:$AH$1001,0),0), INDEX($AO$1004:$BQ$1004,1,MATCH(COLUMNS($AO$1006:BE1006),$AO$1006:$BQ$1006,0)))),"Fix")))</f>
        <v>#N/A</v>
      </c>
      <c r="S1000" s="5" t="e">
        <f ca="1">IF(OR(INDEX($AI$2:$AI$1001,MATCH(ROWS($AH$2:AH1000),$AH$2:$AH$1001,0),1)&gt;=100000,INDEX($AO$1005:$BQ$1005,1,MATCH(COLUMNS($AO$1006:BF1006),$AO$1006:$BQ$1006,0))&gt;=100000), " ",IF(INDEX($AO$2:$BQ$1001,MATCH(ROWS($AH$2:AH1000),$AH$2:$AH$1001,0),MATCH(COLUMNS($AO$1006:BF1006),$AO$1006:$BQ$1006,0)), HYPERLINK("#",""), HYPERLINK(CONCATENATE("#Metadata!", ADDRESS(INDEX($AJ$2:$AJ$1001,MATCH(ROWS($AH$2:AH1000),$AH$2:$AH$1001,0),0), INDEX($AO$1004:$BQ$1004,1,MATCH(COLUMNS($AO$1006:BF1006),$AO$1006:$BQ$1006,0)))),"Fix")))</f>
        <v>#N/A</v>
      </c>
      <c r="T1000" s="5" t="e">
        <f ca="1">IF(OR(INDEX($AI$2:$AI$1001,MATCH(ROWS($AH$2:AH1000),$AH$2:$AH$1001,0),1)&gt;=100000,INDEX($AO$1005:$BQ$1005,1,MATCH(COLUMNS($AO$1006:BG1006),$AO$1006:$BQ$1006,0))&gt;=100000), " ",IF(INDEX($AO$2:$BQ$1001,MATCH(ROWS($AH$2:AH1000),$AH$2:$AH$1001,0),MATCH(COLUMNS($AO$1006:BG1006),$AO$1006:$BQ$1006,0)), HYPERLINK("#",""), HYPERLINK(CONCATENATE("#Metadata!", ADDRESS(INDEX($AJ$2:$AJ$1001,MATCH(ROWS($AH$2:AH1000),$AH$2:$AH$1001,0),0), INDEX($AO$1004:$BQ$1004,1,MATCH(COLUMNS($AO$1006:BG1006),$AO$1006:$BQ$1006,0)))),"Fix")))</f>
        <v>#N/A</v>
      </c>
      <c r="U1000" s="5" t="e">
        <f ca="1">IF(OR(INDEX($AI$2:$AI$1001,MATCH(ROWS($AH$2:AH1000),$AH$2:$AH$1001,0),1)&gt;=100000,INDEX($AO$1005:$BQ$1005,1,MATCH(COLUMNS($AO$1006:BH1006),$AO$1006:$BQ$1006,0))&gt;=100000), " ",IF(INDEX($AO$2:$BQ$1001,MATCH(ROWS($AH$2:AH1000),$AH$2:$AH$1001,0),MATCH(COLUMNS($AO$1006:BH1006),$AO$1006:$BQ$1006,0)), HYPERLINK("#",""), HYPERLINK(CONCATENATE("#Metadata!", ADDRESS(INDEX($AJ$2:$AJ$1001,MATCH(ROWS($AH$2:AH1000),$AH$2:$AH$1001,0),0), INDEX($AO$1004:$BQ$1004,1,MATCH(COLUMNS($AO$1006:BH1006),$AO$1006:$BQ$1006,0)))),"Fix")))</f>
        <v>#N/A</v>
      </c>
      <c r="V1000" s="5" t="e">
        <f ca="1">IF(OR(INDEX($AI$2:$AI$1001,MATCH(ROWS($AH$2:AH1000),$AH$2:$AH$1001,0),1)&gt;=100000,INDEX($AO$1005:$BQ$1005,1,MATCH(COLUMNS($AO$1006:BI1006),$AO$1006:$BQ$1006,0))&gt;=100000), " ",IF(INDEX($AO$2:$BQ$1001,MATCH(ROWS($AH$2:AH1000),$AH$2:$AH$1001,0),MATCH(COLUMNS($AO$1006:BI1006),$AO$1006:$BQ$1006,0)), HYPERLINK("#",""), HYPERLINK(CONCATENATE("#Metadata!", ADDRESS(INDEX($AJ$2:$AJ$1001,MATCH(ROWS($AH$2:AH1000),$AH$2:$AH$1001,0),0), INDEX($AO$1004:$BQ$1004,1,MATCH(COLUMNS($AO$1006:BI1006),$AO$1006:$BQ$1006,0)))),"Fix")))</f>
        <v>#N/A</v>
      </c>
      <c r="W1000" s="5" t="e">
        <f ca="1">IF(OR(INDEX($AI$2:$AI$1001,MATCH(ROWS($AH$2:AH1000),$AH$2:$AH$1001,0),1)&gt;=100000,INDEX($AO$1005:$BQ$1005,1,MATCH(COLUMNS($AO$1006:BJ1006),$AO$1006:$BQ$1006,0))&gt;=100000), " ",IF(INDEX($AO$2:$BQ$1001,MATCH(ROWS($AH$2:AH1000),$AH$2:$AH$1001,0),MATCH(COLUMNS($AO$1006:BJ1006),$AO$1006:$BQ$1006,0)), HYPERLINK("#",""), HYPERLINK(CONCATENATE("#Metadata!", ADDRESS(INDEX($AJ$2:$AJ$1001,MATCH(ROWS($AH$2:AH1000),$AH$2:$AH$1001,0),0), INDEX($AO$1004:$BQ$1004,1,MATCH(COLUMNS($AO$1006:BJ1006),$AO$1006:$BQ$1006,0)))),"Fix")))</f>
        <v>#N/A</v>
      </c>
      <c r="X1000" s="5" t="e">
        <f ca="1">IF(OR(INDEX($AI$2:$AI$1001,MATCH(ROWS($AH$2:AH1000),$AH$2:$AH$1001,0),1)&gt;=100000,INDEX($AO$1005:$BQ$1005,1,MATCH(COLUMNS($AO$1006:BK1006),$AO$1006:$BQ$1006,0))&gt;=100000), " ",IF(INDEX($AO$2:$BQ$1001,MATCH(ROWS($AH$2:AH1000),$AH$2:$AH$1001,0),MATCH(COLUMNS($AO$1006:BK1006),$AO$1006:$BQ$1006,0)), HYPERLINK("#",""), HYPERLINK(CONCATENATE("#Metadata!", ADDRESS(INDEX($AJ$2:$AJ$1001,MATCH(ROWS($AH$2:AH1000),$AH$2:$AH$1001,0),0), INDEX($AO$1004:$BQ$1004,1,MATCH(COLUMNS($AO$1006:BK1006),$AO$1006:$BQ$1006,0)))),"Fix")))</f>
        <v>#N/A</v>
      </c>
      <c r="Y1000" s="5" t="e">
        <f ca="1">IF(OR(INDEX($AI$2:$AI$1001,MATCH(ROWS($AH$2:AH1000),$AH$2:$AH$1001,0),1)&gt;=100000,INDEX($AO$1005:$BQ$1005,1,MATCH(COLUMNS($AO$1006:BL1006),$AO$1006:$BQ$1006,0))&gt;=100000), " ",IF(INDEX($AO$2:$BQ$1001,MATCH(ROWS($AH$2:AH1000),$AH$2:$AH$1001,0),MATCH(COLUMNS($AO$1006:BL1006),$AO$1006:$BQ$1006,0)), HYPERLINK("#",""), HYPERLINK(CONCATENATE("#Metadata!", ADDRESS(INDEX($AJ$2:$AJ$1001,MATCH(ROWS($AH$2:AH1000),$AH$2:$AH$1001,0),0), INDEX($AO$1004:$BQ$1004,1,MATCH(COLUMNS($AO$1006:BL1006),$AO$1006:$BQ$1006,0)))),"Fix")))</f>
        <v>#N/A</v>
      </c>
      <c r="Z1000" s="5" t="e">
        <f ca="1">IF(OR(INDEX($AI$2:$AI$1001,MATCH(ROWS($AH$2:AH1000),$AH$2:$AH$1001,0),1)&gt;=100000,INDEX($AO$1005:$BQ$1005,1,MATCH(COLUMNS($AO$1006:BM1006),$AO$1006:$BQ$1006,0))&gt;=100000), " ",IF(INDEX($AO$2:$BQ$1001,MATCH(ROWS($AH$2:AH1000),$AH$2:$AH$1001,0),MATCH(COLUMNS($AO$1006:BM1006),$AO$1006:$BQ$1006,0)), HYPERLINK("#",""), HYPERLINK(CONCATENATE("#Metadata!", ADDRESS(INDEX($AJ$2:$AJ$1001,MATCH(ROWS($AH$2:AH1000),$AH$2:$AH$1001,0),0), INDEX($AO$1004:$BQ$1004,1,MATCH(COLUMNS($AO$1006:BM1006),$AO$1006:$BQ$1006,0)))),"Fix")))</f>
        <v>#N/A</v>
      </c>
      <c r="AA1000" s="5" t="e">
        <f ca="1">IF(OR(INDEX($AI$2:$AI$1001,MATCH(ROWS($AH$2:AH1000),$AH$2:$AH$1001,0),1)&gt;=100000,INDEX($AO$1005:$BQ$1005,1,MATCH(COLUMNS($AO$1006:BN1006),$AO$1006:$BQ$1006,0))&gt;=100000), " ",IF(INDEX($AO$2:$BQ$1001,MATCH(ROWS($AH$2:AH1000),$AH$2:$AH$1001,0),MATCH(COLUMNS($AO$1006:BN1006),$AO$1006:$BQ$1006,0)), HYPERLINK("#",""), HYPERLINK(CONCATENATE("#Metadata!", ADDRESS(INDEX($AJ$2:$AJ$1001,MATCH(ROWS($AH$2:AH1000),$AH$2:$AH$1001,0),0), INDEX($AO$1004:$BQ$1004,1,MATCH(COLUMNS($AO$1006:BN1006),$AO$1006:$BQ$1006,0)))),"Fix")))</f>
        <v>#N/A</v>
      </c>
      <c r="AB1000" s="5" t="e">
        <f ca="1">IF(OR(INDEX($AI$2:$AI$1001,MATCH(ROWS($AH$2:AH1000),$AH$2:$AH$1001,0),1)&gt;=100000,INDEX($AO$1005:$BQ$1005,1,MATCH(COLUMNS($AO$1006:BO1006),$AO$1006:$BQ$1006,0))&gt;=100000), " ",IF(INDEX($AO$2:$BQ$1001,MATCH(ROWS($AH$2:AH1000),$AH$2:$AH$1001,0),MATCH(COLUMNS($AO$1006:BO1006),$AO$1006:$BQ$1006,0)), HYPERLINK("#",""), HYPERLINK(CONCATENATE("#Metadata!", ADDRESS(INDEX($AJ$2:$AJ$1001,MATCH(ROWS($AH$2:AH1000),$AH$2:$AH$1001,0),0), INDEX($AO$1004:$BQ$1004,1,MATCH(COLUMNS($AO$1006:BO1006),$AO$1006:$BQ$1006,0)))),"Fix")))</f>
        <v>#N/A</v>
      </c>
      <c r="AC1000" s="5" t="e">
        <f ca="1">IF(OR(INDEX($AI$2:$AI$1001,MATCH(ROWS($AH$2:AH1000),$AH$2:$AH$1001,0),1)&gt;=100000,INDEX($AO$1005:$BQ$1005,1,MATCH(COLUMNS($AO$1006:BP1006),$AO$1006:$BQ$1006,0))&gt;=100000), " ",IF(INDEX($AO$2:$BQ$1001,MATCH(ROWS($AH$2:AH1000),$AH$2:$AH$1001,0),MATCH(COLUMNS($AO$1006:BP1006),$AO$1006:$BQ$1006,0)), HYPERLINK("#",""), HYPERLINK(CONCATENATE("#Metadata!", ADDRESS(INDEX($AJ$2:$AJ$1001,MATCH(ROWS($AH$2:AH1000),$AH$2:$AH$1001,0),0), INDEX($AO$1004:$BQ$1004,1,MATCH(COLUMNS($AO$1006:BP1006),$AO$1006:$BQ$1006,0)))),"Fix")))</f>
        <v>#N/A</v>
      </c>
      <c r="AD1000" s="5" t="e">
        <f ca="1">IF(OR(INDEX($AI$2:$AI$1001,MATCH(ROWS($AH$2:AH1000),$AH$2:$AH$1001,0),1)&gt;=100000,INDEX($AO$1005:$BQ$1005,1,MATCH(COLUMNS($AO$1006:BQ1006),$AO$1006:$BQ$1006,0))&gt;=100000), " ",IF(INDEX($AO$2:$BQ$1001,MATCH(ROWS($AH$2:AH1000),$AH$2:$AH$1001,0),MATCH(COLUMNS($AO$1006:BQ1006),$AO$1006:$BQ$1006,0)), HYPERLINK("#",""), HYPERLINK(CONCATENATE("#Metadata!", ADDRESS(INDEX($AJ$2:$AJ$1001,MATCH(ROWS($AH$2:AH1000),$AH$2:$AH$1001,0),0), INDEX($AO$1004:$BQ$1004,1,MATCH(COLUMNS($AO$1006:BQ1006),$AO$1006:$BQ$1006,0)))),"Fix")))</f>
        <v>#N/A</v>
      </c>
      <c r="AH1000">
        <f ca="1"/>
        <v>997</v>
      </c>
      <c r="AI1000">
        <v>101000</v>
      </c>
      <c r="AJ1000">
        <v>1000</v>
      </c>
      <c r="AK1000" t="b">
        <f t="shared" si="15"/>
        <v>1</v>
      </c>
      <c r="AL1000" t="b">
        <f>COUNTBLANK(Metadata!B1000:AD1000)=COLUMNS(Metadata!B1000:AD1000)</f>
        <v>1</v>
      </c>
      <c r="AM1000" t="str">
        <v/>
      </c>
      <c r="AO1000" t="b">
        <f ca="1">AND(IF(Metadata!B1000="",FALSE,TRUE),COUNTIF(Metadata!B:B, Metadata!B1000) = 1,NOT(ISERROR(SUMPRODUCT(SEARCH(MID(Metadata!B1000,ROW(INDIRECT("1:"&amp;LEN(Metadata!B1000))), 1),"0123456789abcdefghijklmnopqrstuvwxyzABCDEFGHIJKLMNOPQRSTUVWXYZ.")))))</f>
        <v>0</v>
      </c>
      <c r="AP1000" t="b">
        <f>IF(Metadata!C1000="",FALSE,TRUE)</f>
        <v>0</v>
      </c>
      <c r="AQ1000" t="b">
        <f>IF(Metadata!D1000="",FALSE,TRUE)</f>
        <v>0</v>
      </c>
      <c r="AR1000" t="b">
        <f ca="1">OR(AND(IF(Metadata!E1000="",FALSE,TRUE),OR(EXACT(Metadata!E1000,"not collected"),EXACT(Metadata!E1000,"not provided"),EXACT(Metadata!E1000,"restricted access"))),AND(IF(Metadata!E1000="",FALSE,TRUE),AND(AND(IFERROR(INT(LEFT(Metadata!E1000,4))&gt;1900,FALSE),IFERROR(INT(LEFT(Metadata!E1000,4))&lt;=YEAR(NOW()),FALSE)), OR(MID(Metadata!E1000,5,1)="", AND(AND(MID(Metadata!E1000,5,1)="-",IFERROR(INT(MID(Metadata!E1000,6,1))&gt;=0,FALSE),IFERROR(INT(MID(Metadata!E1000,6,1))&lt;=1,FALSE),NOT(MID(Metadata!E1000,7,1)=""),IFERROR(INT(MID(Metadata!E1000,6,2))&gt;=1,FALSE),IFERROR(INT(MID(Metadata!E1000,6,2))&lt;=12,FALSE)), OR(MID(Metadata!E1000,8,1)="", AND(AND(MID(Metadata!E1000,8,1)="-",IFERROR(INT(MID(Metadata!E1000,9,1))&gt;=0,FALSE),IFERROR(INT(MID(Metadata!E1000,9,1))&lt;=3,FALSE),NOT(MID(Metadata!E1000,10,1)=""),IFERROR(INT(MID(Metadata!E1000,9,2))&gt;=1,FALSE),IFERROR(INT(MID(Metadata!E1000,9,2))&lt;=31,FALSE)), OR(MID(Metadata!E1000,11,1)="", AND(AND(MID(Metadata!E1000,11,1)=" ",IFERROR(INT(MID(Metadata!E1000,12,1))&gt;=0,FALSE),IFERROR(INT(MID(Metadata!E1000,12,1))&lt;=2,FALSE),NOT(MID(Metadata!E1000,13,1)=""),IFERROR(INT(MID(Metadata!E1000,12,2))&gt;=0,FALSE),IFERROR(INT(MID(Metadata!E1000,12,2))&lt;=23,FALSE)), OR(MID(Metadata!E1000,14,1)="", AND(AND(MID(Metadata!E1000,14,1)=":",IFERROR(INT(MID(Metadata!E1000,15,1))&gt;=0,FALSE),IFERROR(INT(MID(Metadata!E1000,15,1))&lt;=5,FALSE),NOT(MID(Metadata!E1000,16,1)=""),IFERROR(INT(MID(Metadata!E1000,15,2))&gt;=0,FALSE),IFERROR(INT(MID(Metadata!E1000,15,2))&lt;=59,FALSE)), OR(MID(Metadata!E1000,17,1)="", AND(AND(MID(Metadata!E1000,17,1)=":",IFERROR(INT(MID(Metadata!E1000,18,1))&gt;=0,FALSE),IFERROR(INT(MID(Metadata!E1000,18,1))&lt;=5,FALSE),NOT(MID(Metadata!E1000,19,1)=""),IFERROR(INT(MID(Metadata!E1000,18,2))&gt;=0,FALSE),IFERROR(INT(MID(Metadata!E1000,18,2))&lt;=59,FALSE)), LEN(Metadata!E1000)&lt;=19)))))))))))))</f>
        <v>0</v>
      </c>
      <c r="AS1000" t="b">
        <f>IF(Metadata!F1000="",FALSE,TRUE)</f>
        <v>0</v>
      </c>
      <c r="AT1000" t="b">
        <f>OR(AND(IF(Metadata!G1000="",FALSE,TRUE),OR(EXACT(Metadata!G1000,"not collected"),EXACT(Metadata!G1000,"not provided"))),AND(IF(Metadata!G1000="",FALSE,TRUE),OR(EXACT(Metadata!G1000,"TRUE"),EXACT(Metadata!G1000,"FALSE"))))</f>
        <v>0</v>
      </c>
      <c r="AU1000" t="b">
        <f>OR(AND(IF(Metadata!H1000="",FALSE,TRUE),OR(EXACT(Metadata!H1000,"not collected"),EXACT(Metadata!H1000,"not provided"),EXACT(Metadata!H1000,"restricted access"))),AND(IF(Metadata!H1000="",FALSE,ISNUMBER(VALUE(Metadata!H1000))),Metadata!H1000&gt;=-413))</f>
        <v>0</v>
      </c>
      <c r="AV1000" t="b">
        <f>AND(IF(Metadata!I1000="",FALSE,TRUE),EXACT(Metadata!I1000,"meters"))</f>
        <v>0</v>
      </c>
      <c r="AW1000" t="b">
        <f>AND(IF(Metadata!J1000="",FALSE,TRUE),EXACT(Metadata!J1000,"free-living"))</f>
        <v>0</v>
      </c>
      <c r="AX1000" t="b">
        <f>AND(IF(Metadata!K1000="",FALSE,TRUE),OR(EXACT(Metadata!K1000,"saline"),EXACT(Metadata!K1000,"non-saline")))</f>
        <v>0</v>
      </c>
      <c r="AY1000" t="b">
        <f>AND(IF(Metadata!L1000="",FALSE,TRUE),OR(EXACT(Metadata!L1000,"sub-surface (non-saline)"),EXACT(Metadata!L1000,"surface (non-saline)"),EXACT(Metadata!L1000,"water (non-saline)"),EXACT(Metadata!L1000,"soil (non-saline)"),EXACT(Metadata!L1000,"aerosol (non-saline)"),EXACT(Metadata!L1000,"sediment (non-saline)"),EXACT(Metadata!L1000,"surface (saline)"),EXACT(Metadata!L1000,"water (saline)"),EXACT(Metadata!L1000,"hypersaline (saline)"),EXACT(Metadata!L1000,"aerosol (saline)"),EXACT(Metadata!L1000,"sediment (saline)")))</f>
        <v>0</v>
      </c>
      <c r="AZ1000" t="b">
        <f>IF(Metadata!M1000="",FALSE,TRUE)</f>
        <v>0</v>
      </c>
      <c r="BA1000" t="b">
        <f>IF(Metadata!N1000="",FALSE,TRUE)</f>
        <v>0</v>
      </c>
      <c r="BB1000" t="b">
        <f>IF(Metadata!O1000="",FALSE,TRUE)</f>
        <v>0</v>
      </c>
      <c r="BC1000" t="b">
        <f>AND(IF(Metadata!P1000="",FALSE,TRUE),OR(EXACT(Metadata!P1000,"air"),EXACT(Metadata!P1000,"microbial mat/biofilm"),EXACT(Metadata!P1000,"misc environment"),EXACT(Metadata!P1000,"sediment"),EXACT(Metadata!P1000,"soil"),EXACT(Metadata!P1000,"wastewater/sludge"),EXACT(Metadata!P1000,"water")))</f>
        <v>0</v>
      </c>
      <c r="BD1000" t="b">
        <f>IF(Metadata!Q1000="",FALSE,TRUE)</f>
        <v>0</v>
      </c>
      <c r="BE1000" t="b">
        <f>IF(Metadata!R1000="",FALSE,TRUE)</f>
        <v>0</v>
      </c>
      <c r="BF1000" t="b">
        <f>OR(AND(IF(Metadata!S1000="",FALSE,TRUE),OR(EXACT(Metadata!S1000,"not collected"),EXACT(Metadata!S1000,"not provided"),EXACT(Metadata!S1000,"restricted access"))),AND(IF(Metadata!S1000="",FALSE,ISNUMBER(VALUE(Metadata!S1000))),Metadata!S1000&gt;=-90,Metadata!S1000&lt;=90))</f>
        <v>0</v>
      </c>
      <c r="BG1000" t="b">
        <f>AND(IF(Metadata!T1000="",FALSE,TRUE),EXACT(Metadata!T1000,"Decimal degrees"))</f>
        <v>0</v>
      </c>
      <c r="BH1000" t="b">
        <f>OR(AND(IF(Metadata!U1000="",FALSE,TRUE),OR(EXACT(Metadata!U1000,"not applicable"),EXACT(Metadata!U1000,"not collected"))),IF(Metadata!U1000="",FALSE,TRUE))</f>
        <v>0</v>
      </c>
      <c r="BI1000" t="b">
        <f>OR(AND(IF(Metadata!V1000="",FALSE,TRUE),OR(EXACT(Metadata!V1000,"not collected"),EXACT(Metadata!V1000,"not provided"),EXACT(Metadata!V1000,"restricted access"))),AND(IF(Metadata!V1000="",FALSE,ISNUMBER(VALUE(Metadata!V1000))),Metadata!V1000&gt;=-180,Metadata!V1000&lt;=180))</f>
        <v>0</v>
      </c>
      <c r="BJ1000" t="b">
        <f>AND(IF(Metadata!W1000="",FALSE,TRUE),EXACT(Metadata!W1000,"Decimal degrees"))</f>
        <v>0</v>
      </c>
      <c r="BK1000" t="b">
        <f>IF(Metadata!X1000="",FALSE,TRUE)</f>
        <v>0</v>
      </c>
      <c r="BL1000" t="b">
        <f>OR(AND(IF(Metadata!Y1000="",FALSE,TRUE),OR(EXACT(Metadata!Y1000,"not collected"),EXACT(Metadata!Y1000,"not provided"),EXACT(Metadata!Y1000,"restricted access"))),AND(IF(Metadata!Y1000="",FALSE,TRUE),OR(EXACT(Metadata!Y1000,"TRUE"),EXACT(Metadata!Y1000,"FALSE"))))</f>
        <v>0</v>
      </c>
      <c r="BM1000" t="b">
        <f>OR(AND(IF(Metadata!Z1000="",FALSE,TRUE),EXACT(Metadata!Z1000,"not applicable")),AND(IF(Metadata!Z1000="",FALSE,TRUE),OR(EXACT(Metadata!Z1000,"beer"),EXACT(Metadata!Z1000,"cheese"),EXACT(Metadata!Z1000,"fresh water"),EXACT(Metadata!Z1000,"marine sediment"),EXACT(Metadata!Z1000,"sea water"),EXACT(Metadata!Z1000,"sediment"),EXACT(Metadata!Z1000,"soil"),EXACT(Metadata!Z1000,"waste water"))))</f>
        <v>0</v>
      </c>
      <c r="BN1000" t="b">
        <f>AND(IF(Metadata!AA1000="",FALSE,TRUE),EXACT(Metadata!AA1000,"metagenome"))</f>
        <v>0</v>
      </c>
      <c r="BO1000" t="b">
        <f>AND(IF(Metadata!AB1000="",FALSE,TRUE),EXACT(Metadata!AB1000,"256318"))</f>
        <v>0</v>
      </c>
      <c r="BP1000" t="b">
        <f>IF(Metadata!AC1000="",FALSE,TRUE)</f>
        <v>0</v>
      </c>
      <c r="BQ1000" t="b">
        <f>IF(Metadata!AD1000="",FALSE,TRUE)</f>
        <v>0</v>
      </c>
    </row>
    <row r="1001" spans="1:69" x14ac:dyDescent="0.2">
      <c r="A1001" s="4" t="e">
        <f ca="1">IF(B1001=" "," ",HYPERLINK(CONCATENATE("#metadata!",ADDRESS(INDEX($AJ$2:$AJ$1001,MATCH(ROWS($AH$2:AH1001),$AH$2:$AH$1001,0),0),2)),INDEX($AM$2:$AM$1001,MATCH(ROWS($AH$2:AH1001),$AH$2:$AH$1001,0),0)))</f>
        <v>#N/A</v>
      </c>
      <c r="B1001" s="5" t="e">
        <f ca="1">IF(OR(INDEX($AI$2:$AI$1001,MATCH(ROWS($AH$2:AH1001),$AH$2:$AH$1001,0),1)&gt;=100000,INDEX($AO$1005:$BQ$1005,1,MATCH(COLUMNS($AO$1006:AO1006),$AO$1006:$BQ$1006,0))&gt;=100000), " ",IF(INDEX($AO$2:$BQ$1001,MATCH(ROWS($AH$2:AH1001),$AH$2:$AH$1001,0),MATCH(COLUMNS($AO$1006:AO1006),$AO$1006:$BQ$1006,0)), HYPERLINK("#",""), HYPERLINK(CONCATENATE("#Metadata!", ADDRESS(INDEX($AJ$2:$AJ$1001,MATCH(ROWS($AH$2:AH1001),$AH$2:$AH$1001,0),0), INDEX($AO$1004:$BQ$1004,1,MATCH(COLUMNS($AO$1006:AO1006),$AO$1006:$BQ$1006,0)))),"Fix")))</f>
        <v>#N/A</v>
      </c>
      <c r="C1001" s="5" t="e">
        <f ca="1">IF(OR(INDEX($AI$2:$AI$1001,MATCH(ROWS($AH$2:AH1001),$AH$2:$AH$1001,0),1)&gt;=100000,INDEX($AO$1005:$BQ$1005,1,MATCH(COLUMNS($AO$1006:AP1006),$AO$1006:$BQ$1006,0))&gt;=100000), " ",IF(INDEX($AO$2:$BQ$1001,MATCH(ROWS($AH$2:AH1001),$AH$2:$AH$1001,0),MATCH(COLUMNS($AO$1006:AP1006),$AO$1006:$BQ$1006,0)), HYPERLINK("#",""), HYPERLINK(CONCATENATE("#Metadata!", ADDRESS(INDEX($AJ$2:$AJ$1001,MATCH(ROWS($AH$2:AH1001),$AH$2:$AH$1001,0),0), INDEX($AO$1004:$BQ$1004,1,MATCH(COLUMNS($AO$1006:AP1006),$AO$1006:$BQ$1006,0)))),"Fix")))</f>
        <v>#N/A</v>
      </c>
      <c r="D1001" s="5" t="e">
        <f ca="1">IF(OR(INDEX($AI$2:$AI$1001,MATCH(ROWS($AH$2:AH1001),$AH$2:$AH$1001,0),1)&gt;=100000,INDEX($AO$1005:$BQ$1005,1,MATCH(COLUMNS($AO$1006:AQ1006),$AO$1006:$BQ$1006,0))&gt;=100000), " ",IF(INDEX($AO$2:$BQ$1001,MATCH(ROWS($AH$2:AH1001),$AH$2:$AH$1001,0),MATCH(COLUMNS($AO$1006:AQ1006),$AO$1006:$BQ$1006,0)), HYPERLINK("#",""), HYPERLINK(CONCATENATE("#Metadata!", ADDRESS(INDEX($AJ$2:$AJ$1001,MATCH(ROWS($AH$2:AH1001),$AH$2:$AH$1001,0),0), INDEX($AO$1004:$BQ$1004,1,MATCH(COLUMNS($AO$1006:AQ1006),$AO$1006:$BQ$1006,0)))),"Fix")))</f>
        <v>#N/A</v>
      </c>
      <c r="E1001" s="5" t="e">
        <f ca="1">IF(OR(INDEX($AI$2:$AI$1001,MATCH(ROWS($AH$2:AH1001),$AH$2:$AH$1001,0),1)&gt;=100000,INDEX($AO$1005:$BQ$1005,1,MATCH(COLUMNS($AO$1006:AR1006),$AO$1006:$BQ$1006,0))&gt;=100000), " ",IF(INDEX($AO$2:$BQ$1001,MATCH(ROWS($AH$2:AH1001),$AH$2:$AH$1001,0),MATCH(COLUMNS($AO$1006:AR1006),$AO$1006:$BQ$1006,0)), HYPERLINK("#",""), HYPERLINK(CONCATENATE("#Metadata!", ADDRESS(INDEX($AJ$2:$AJ$1001,MATCH(ROWS($AH$2:AH1001),$AH$2:$AH$1001,0),0), INDEX($AO$1004:$BQ$1004,1,MATCH(COLUMNS($AO$1006:AR1006),$AO$1006:$BQ$1006,0)))),"Fix")))</f>
        <v>#N/A</v>
      </c>
      <c r="F1001" s="5" t="e">
        <f ca="1">IF(OR(INDEX($AI$2:$AI$1001,MATCH(ROWS($AH$2:AH1001),$AH$2:$AH$1001,0),1)&gt;=100000,INDEX($AO$1005:$BQ$1005,1,MATCH(COLUMNS($AO$1006:AS1006),$AO$1006:$BQ$1006,0))&gt;=100000), " ",IF(INDEX($AO$2:$BQ$1001,MATCH(ROWS($AH$2:AH1001),$AH$2:$AH$1001,0),MATCH(COLUMNS($AO$1006:AS1006),$AO$1006:$BQ$1006,0)), HYPERLINK("#",""), HYPERLINK(CONCATENATE("#Metadata!", ADDRESS(INDEX($AJ$2:$AJ$1001,MATCH(ROWS($AH$2:AH1001),$AH$2:$AH$1001,0),0), INDEX($AO$1004:$BQ$1004,1,MATCH(COLUMNS($AO$1006:AS1006),$AO$1006:$BQ$1006,0)))),"Fix")))</f>
        <v>#N/A</v>
      </c>
      <c r="G1001" s="5" t="e">
        <f ca="1">IF(OR(INDEX($AI$2:$AI$1001,MATCH(ROWS($AH$2:AH1001),$AH$2:$AH$1001,0),1)&gt;=100000,INDEX($AO$1005:$BQ$1005,1,MATCH(COLUMNS($AO$1006:AT1006),$AO$1006:$BQ$1006,0))&gt;=100000), " ",IF(INDEX($AO$2:$BQ$1001,MATCH(ROWS($AH$2:AH1001),$AH$2:$AH$1001,0),MATCH(COLUMNS($AO$1006:AT1006),$AO$1006:$BQ$1006,0)), HYPERLINK("#",""), HYPERLINK(CONCATENATE("#Metadata!", ADDRESS(INDEX($AJ$2:$AJ$1001,MATCH(ROWS($AH$2:AH1001),$AH$2:$AH$1001,0),0), INDEX($AO$1004:$BQ$1004,1,MATCH(COLUMNS($AO$1006:AT1006),$AO$1006:$BQ$1006,0)))),"Fix")))</f>
        <v>#N/A</v>
      </c>
      <c r="H1001" s="5" t="e">
        <f ca="1">IF(OR(INDEX($AI$2:$AI$1001,MATCH(ROWS($AH$2:AH1001),$AH$2:$AH$1001,0),1)&gt;=100000,INDEX($AO$1005:$BQ$1005,1,MATCH(COLUMNS($AO$1006:AU1006),$AO$1006:$BQ$1006,0))&gt;=100000), " ",IF(INDEX($AO$2:$BQ$1001,MATCH(ROWS($AH$2:AH1001),$AH$2:$AH$1001,0),MATCH(COLUMNS($AO$1006:AU1006),$AO$1006:$BQ$1006,0)), HYPERLINK("#",""), HYPERLINK(CONCATENATE("#Metadata!", ADDRESS(INDEX($AJ$2:$AJ$1001,MATCH(ROWS($AH$2:AH1001),$AH$2:$AH$1001,0),0), INDEX($AO$1004:$BQ$1004,1,MATCH(COLUMNS($AO$1006:AU1006),$AO$1006:$BQ$1006,0)))),"Fix")))</f>
        <v>#N/A</v>
      </c>
      <c r="I1001" s="5" t="e">
        <f ca="1">IF(OR(INDEX($AI$2:$AI$1001,MATCH(ROWS($AH$2:AH1001),$AH$2:$AH$1001,0),1)&gt;=100000,INDEX($AO$1005:$BQ$1005,1,MATCH(COLUMNS($AO$1006:AV1006),$AO$1006:$BQ$1006,0))&gt;=100000), " ",IF(INDEX($AO$2:$BQ$1001,MATCH(ROWS($AH$2:AH1001),$AH$2:$AH$1001,0),MATCH(COLUMNS($AO$1006:AV1006),$AO$1006:$BQ$1006,0)), HYPERLINK("#",""), HYPERLINK(CONCATENATE("#Metadata!", ADDRESS(INDEX($AJ$2:$AJ$1001,MATCH(ROWS($AH$2:AH1001),$AH$2:$AH$1001,0),0), INDEX($AO$1004:$BQ$1004,1,MATCH(COLUMNS($AO$1006:AV1006),$AO$1006:$BQ$1006,0)))),"Fix")))</f>
        <v>#N/A</v>
      </c>
      <c r="J1001" s="5" t="e">
        <f ca="1">IF(OR(INDEX($AI$2:$AI$1001,MATCH(ROWS($AH$2:AH1001),$AH$2:$AH$1001,0),1)&gt;=100000,INDEX($AO$1005:$BQ$1005,1,MATCH(COLUMNS($AO$1006:AW1006),$AO$1006:$BQ$1006,0))&gt;=100000), " ",IF(INDEX($AO$2:$BQ$1001,MATCH(ROWS($AH$2:AH1001),$AH$2:$AH$1001,0),MATCH(COLUMNS($AO$1006:AW1006),$AO$1006:$BQ$1006,0)), HYPERLINK("#",""), HYPERLINK(CONCATENATE("#Metadata!", ADDRESS(INDEX($AJ$2:$AJ$1001,MATCH(ROWS($AH$2:AH1001),$AH$2:$AH$1001,0),0), INDEX($AO$1004:$BQ$1004,1,MATCH(COLUMNS($AO$1006:AW1006),$AO$1006:$BQ$1006,0)))),"Fix")))</f>
        <v>#N/A</v>
      </c>
      <c r="K1001" s="5" t="e">
        <f ca="1">IF(OR(INDEX($AI$2:$AI$1001,MATCH(ROWS($AH$2:AH1001),$AH$2:$AH$1001,0),1)&gt;=100000,INDEX($AO$1005:$BQ$1005,1,MATCH(COLUMNS($AO$1006:AX1006),$AO$1006:$BQ$1006,0))&gt;=100000), " ",IF(INDEX($AO$2:$BQ$1001,MATCH(ROWS($AH$2:AH1001),$AH$2:$AH$1001,0),MATCH(COLUMNS($AO$1006:AX1006),$AO$1006:$BQ$1006,0)), HYPERLINK("#",""), HYPERLINK(CONCATENATE("#Metadata!", ADDRESS(INDEX($AJ$2:$AJ$1001,MATCH(ROWS($AH$2:AH1001),$AH$2:$AH$1001,0),0), INDEX($AO$1004:$BQ$1004,1,MATCH(COLUMNS($AO$1006:AX1006),$AO$1006:$BQ$1006,0)))),"Fix")))</f>
        <v>#N/A</v>
      </c>
      <c r="L1001" s="5" t="e">
        <f ca="1">IF(OR(INDEX($AI$2:$AI$1001,MATCH(ROWS($AH$2:AH1001),$AH$2:$AH$1001,0),1)&gt;=100000,INDEX($AO$1005:$BQ$1005,1,MATCH(COLUMNS($AO$1006:AY1006),$AO$1006:$BQ$1006,0))&gt;=100000), " ",IF(INDEX($AO$2:$BQ$1001,MATCH(ROWS($AH$2:AH1001),$AH$2:$AH$1001,0),MATCH(COLUMNS($AO$1006:AY1006),$AO$1006:$BQ$1006,0)), HYPERLINK("#",""), HYPERLINK(CONCATENATE("#Metadata!", ADDRESS(INDEX($AJ$2:$AJ$1001,MATCH(ROWS($AH$2:AH1001),$AH$2:$AH$1001,0),0), INDEX($AO$1004:$BQ$1004,1,MATCH(COLUMNS($AO$1006:AY1006),$AO$1006:$BQ$1006,0)))),"Fix")))</f>
        <v>#N/A</v>
      </c>
      <c r="M1001" s="5" t="e">
        <f ca="1">IF(OR(INDEX($AI$2:$AI$1001,MATCH(ROWS($AH$2:AH1001),$AH$2:$AH$1001,0),1)&gt;=100000,INDEX($AO$1005:$BQ$1005,1,MATCH(COLUMNS($AO$1006:AZ1006),$AO$1006:$BQ$1006,0))&gt;=100000), " ",IF(INDEX($AO$2:$BQ$1001,MATCH(ROWS($AH$2:AH1001),$AH$2:$AH$1001,0),MATCH(COLUMNS($AO$1006:AZ1006),$AO$1006:$BQ$1006,0)), HYPERLINK("#",""), HYPERLINK(CONCATENATE("#Metadata!", ADDRESS(INDEX($AJ$2:$AJ$1001,MATCH(ROWS($AH$2:AH1001),$AH$2:$AH$1001,0),0), INDEX($AO$1004:$BQ$1004,1,MATCH(COLUMNS($AO$1006:AZ1006),$AO$1006:$BQ$1006,0)))),"Fix")))</f>
        <v>#N/A</v>
      </c>
      <c r="N1001" s="5" t="e">
        <f ca="1">IF(OR(INDEX($AI$2:$AI$1001,MATCH(ROWS($AH$2:AH1001),$AH$2:$AH$1001,0),1)&gt;=100000,INDEX($AO$1005:$BQ$1005,1,MATCH(COLUMNS($AO$1006:BA1006),$AO$1006:$BQ$1006,0))&gt;=100000), " ",IF(INDEX($AO$2:$BQ$1001,MATCH(ROWS($AH$2:AH1001),$AH$2:$AH$1001,0),MATCH(COLUMNS($AO$1006:BA1006),$AO$1006:$BQ$1006,0)), HYPERLINK("#",""), HYPERLINK(CONCATENATE("#Metadata!", ADDRESS(INDEX($AJ$2:$AJ$1001,MATCH(ROWS($AH$2:AH1001),$AH$2:$AH$1001,0),0), INDEX($AO$1004:$BQ$1004,1,MATCH(COLUMNS($AO$1006:BA1006),$AO$1006:$BQ$1006,0)))),"Fix")))</f>
        <v>#N/A</v>
      </c>
      <c r="O1001" s="5" t="e">
        <f ca="1">IF(OR(INDEX($AI$2:$AI$1001,MATCH(ROWS($AH$2:AH1001),$AH$2:$AH$1001,0),1)&gt;=100000,INDEX($AO$1005:$BQ$1005,1,MATCH(COLUMNS($AO$1006:BB1006),$AO$1006:$BQ$1006,0))&gt;=100000), " ",IF(INDEX($AO$2:$BQ$1001,MATCH(ROWS($AH$2:AH1001),$AH$2:$AH$1001,0),MATCH(COLUMNS($AO$1006:BB1006),$AO$1006:$BQ$1006,0)), HYPERLINK("#",""), HYPERLINK(CONCATENATE("#Metadata!", ADDRESS(INDEX($AJ$2:$AJ$1001,MATCH(ROWS($AH$2:AH1001),$AH$2:$AH$1001,0),0), INDEX($AO$1004:$BQ$1004,1,MATCH(COLUMNS($AO$1006:BB1006),$AO$1006:$BQ$1006,0)))),"Fix")))</f>
        <v>#N/A</v>
      </c>
      <c r="P1001" s="5" t="e">
        <f ca="1">IF(OR(INDEX($AI$2:$AI$1001,MATCH(ROWS($AH$2:AH1001),$AH$2:$AH$1001,0),1)&gt;=100000,INDEX($AO$1005:$BQ$1005,1,MATCH(COLUMNS($AO$1006:BC1006),$AO$1006:$BQ$1006,0))&gt;=100000), " ",IF(INDEX($AO$2:$BQ$1001,MATCH(ROWS($AH$2:AH1001),$AH$2:$AH$1001,0),MATCH(COLUMNS($AO$1006:BC1006),$AO$1006:$BQ$1006,0)), HYPERLINK("#",""), HYPERLINK(CONCATENATE("#Metadata!", ADDRESS(INDEX($AJ$2:$AJ$1001,MATCH(ROWS($AH$2:AH1001),$AH$2:$AH$1001,0),0), INDEX($AO$1004:$BQ$1004,1,MATCH(COLUMNS($AO$1006:BC1006),$AO$1006:$BQ$1006,0)))),"Fix")))</f>
        <v>#N/A</v>
      </c>
      <c r="Q1001" s="5" t="e">
        <f ca="1">IF(OR(INDEX($AI$2:$AI$1001,MATCH(ROWS($AH$2:AH1001),$AH$2:$AH$1001,0),1)&gt;=100000,INDEX($AO$1005:$BQ$1005,1,MATCH(COLUMNS($AO$1006:BD1006),$AO$1006:$BQ$1006,0))&gt;=100000), " ",IF(INDEX($AO$2:$BQ$1001,MATCH(ROWS($AH$2:AH1001),$AH$2:$AH$1001,0),MATCH(COLUMNS($AO$1006:BD1006),$AO$1006:$BQ$1006,0)), HYPERLINK("#",""), HYPERLINK(CONCATENATE("#Metadata!", ADDRESS(INDEX($AJ$2:$AJ$1001,MATCH(ROWS($AH$2:AH1001),$AH$2:$AH$1001,0),0), INDEX($AO$1004:$BQ$1004,1,MATCH(COLUMNS($AO$1006:BD1006),$AO$1006:$BQ$1006,0)))),"Fix")))</f>
        <v>#N/A</v>
      </c>
      <c r="R1001" s="5" t="e">
        <f ca="1">IF(OR(INDEX($AI$2:$AI$1001,MATCH(ROWS($AH$2:AH1001),$AH$2:$AH$1001,0),1)&gt;=100000,INDEX($AO$1005:$BQ$1005,1,MATCH(COLUMNS($AO$1006:BE1006),$AO$1006:$BQ$1006,0))&gt;=100000), " ",IF(INDEX($AO$2:$BQ$1001,MATCH(ROWS($AH$2:AH1001),$AH$2:$AH$1001,0),MATCH(COLUMNS($AO$1006:BE1006),$AO$1006:$BQ$1006,0)), HYPERLINK("#",""), HYPERLINK(CONCATENATE("#Metadata!", ADDRESS(INDEX($AJ$2:$AJ$1001,MATCH(ROWS($AH$2:AH1001),$AH$2:$AH$1001,0),0), INDEX($AO$1004:$BQ$1004,1,MATCH(COLUMNS($AO$1006:BE1006),$AO$1006:$BQ$1006,0)))),"Fix")))</f>
        <v>#N/A</v>
      </c>
      <c r="S1001" s="5" t="e">
        <f ca="1">IF(OR(INDEX($AI$2:$AI$1001,MATCH(ROWS($AH$2:AH1001),$AH$2:$AH$1001,0),1)&gt;=100000,INDEX($AO$1005:$BQ$1005,1,MATCH(COLUMNS($AO$1006:BF1006),$AO$1006:$BQ$1006,0))&gt;=100000), " ",IF(INDEX($AO$2:$BQ$1001,MATCH(ROWS($AH$2:AH1001),$AH$2:$AH$1001,0),MATCH(COLUMNS($AO$1006:BF1006),$AO$1006:$BQ$1006,0)), HYPERLINK("#",""), HYPERLINK(CONCATENATE("#Metadata!", ADDRESS(INDEX($AJ$2:$AJ$1001,MATCH(ROWS($AH$2:AH1001),$AH$2:$AH$1001,0),0), INDEX($AO$1004:$BQ$1004,1,MATCH(COLUMNS($AO$1006:BF1006),$AO$1006:$BQ$1006,0)))),"Fix")))</f>
        <v>#N/A</v>
      </c>
      <c r="T1001" s="5" t="e">
        <f ca="1">IF(OR(INDEX($AI$2:$AI$1001,MATCH(ROWS($AH$2:AH1001),$AH$2:$AH$1001,0),1)&gt;=100000,INDEX($AO$1005:$BQ$1005,1,MATCH(COLUMNS($AO$1006:BG1006),$AO$1006:$BQ$1006,0))&gt;=100000), " ",IF(INDEX($AO$2:$BQ$1001,MATCH(ROWS($AH$2:AH1001),$AH$2:$AH$1001,0),MATCH(COLUMNS($AO$1006:BG1006),$AO$1006:$BQ$1006,0)), HYPERLINK("#",""), HYPERLINK(CONCATENATE("#Metadata!", ADDRESS(INDEX($AJ$2:$AJ$1001,MATCH(ROWS($AH$2:AH1001),$AH$2:$AH$1001,0),0), INDEX($AO$1004:$BQ$1004,1,MATCH(COLUMNS($AO$1006:BG1006),$AO$1006:$BQ$1006,0)))),"Fix")))</f>
        <v>#N/A</v>
      </c>
      <c r="U1001" s="5" t="e">
        <f ca="1">IF(OR(INDEX($AI$2:$AI$1001,MATCH(ROWS($AH$2:AH1001),$AH$2:$AH$1001,0),1)&gt;=100000,INDEX($AO$1005:$BQ$1005,1,MATCH(COLUMNS($AO$1006:BH1006),$AO$1006:$BQ$1006,0))&gt;=100000), " ",IF(INDEX($AO$2:$BQ$1001,MATCH(ROWS($AH$2:AH1001),$AH$2:$AH$1001,0),MATCH(COLUMNS($AO$1006:BH1006),$AO$1006:$BQ$1006,0)), HYPERLINK("#",""), HYPERLINK(CONCATENATE("#Metadata!", ADDRESS(INDEX($AJ$2:$AJ$1001,MATCH(ROWS($AH$2:AH1001),$AH$2:$AH$1001,0),0), INDEX($AO$1004:$BQ$1004,1,MATCH(COLUMNS($AO$1006:BH1006),$AO$1006:$BQ$1006,0)))),"Fix")))</f>
        <v>#N/A</v>
      </c>
      <c r="V1001" s="5" t="e">
        <f ca="1">IF(OR(INDEX($AI$2:$AI$1001,MATCH(ROWS($AH$2:AH1001),$AH$2:$AH$1001,0),1)&gt;=100000,INDEX($AO$1005:$BQ$1005,1,MATCH(COLUMNS($AO$1006:BI1006),$AO$1006:$BQ$1006,0))&gt;=100000), " ",IF(INDEX($AO$2:$BQ$1001,MATCH(ROWS($AH$2:AH1001),$AH$2:$AH$1001,0),MATCH(COLUMNS($AO$1006:BI1006),$AO$1006:$BQ$1006,0)), HYPERLINK("#",""), HYPERLINK(CONCATENATE("#Metadata!", ADDRESS(INDEX($AJ$2:$AJ$1001,MATCH(ROWS($AH$2:AH1001),$AH$2:$AH$1001,0),0), INDEX($AO$1004:$BQ$1004,1,MATCH(COLUMNS($AO$1006:BI1006),$AO$1006:$BQ$1006,0)))),"Fix")))</f>
        <v>#N/A</v>
      </c>
      <c r="W1001" s="5" t="e">
        <f ca="1">IF(OR(INDEX($AI$2:$AI$1001,MATCH(ROWS($AH$2:AH1001),$AH$2:$AH$1001,0),1)&gt;=100000,INDEX($AO$1005:$BQ$1005,1,MATCH(COLUMNS($AO$1006:BJ1006),$AO$1006:$BQ$1006,0))&gt;=100000), " ",IF(INDEX($AO$2:$BQ$1001,MATCH(ROWS($AH$2:AH1001),$AH$2:$AH$1001,0),MATCH(COLUMNS($AO$1006:BJ1006),$AO$1006:$BQ$1006,0)), HYPERLINK("#",""), HYPERLINK(CONCATENATE("#Metadata!", ADDRESS(INDEX($AJ$2:$AJ$1001,MATCH(ROWS($AH$2:AH1001),$AH$2:$AH$1001,0),0), INDEX($AO$1004:$BQ$1004,1,MATCH(COLUMNS($AO$1006:BJ1006),$AO$1006:$BQ$1006,0)))),"Fix")))</f>
        <v>#N/A</v>
      </c>
      <c r="X1001" s="5" t="e">
        <f ca="1">IF(OR(INDEX($AI$2:$AI$1001,MATCH(ROWS($AH$2:AH1001),$AH$2:$AH$1001,0),1)&gt;=100000,INDEX($AO$1005:$BQ$1005,1,MATCH(COLUMNS($AO$1006:BK1006),$AO$1006:$BQ$1006,0))&gt;=100000), " ",IF(INDEX($AO$2:$BQ$1001,MATCH(ROWS($AH$2:AH1001),$AH$2:$AH$1001,0),MATCH(COLUMNS($AO$1006:BK1006),$AO$1006:$BQ$1006,0)), HYPERLINK("#",""), HYPERLINK(CONCATENATE("#Metadata!", ADDRESS(INDEX($AJ$2:$AJ$1001,MATCH(ROWS($AH$2:AH1001),$AH$2:$AH$1001,0),0), INDEX($AO$1004:$BQ$1004,1,MATCH(COLUMNS($AO$1006:BK1006),$AO$1006:$BQ$1006,0)))),"Fix")))</f>
        <v>#N/A</v>
      </c>
      <c r="Y1001" s="5" t="e">
        <f ca="1">IF(OR(INDEX($AI$2:$AI$1001,MATCH(ROWS($AH$2:AH1001),$AH$2:$AH$1001,0),1)&gt;=100000,INDEX($AO$1005:$BQ$1005,1,MATCH(COLUMNS($AO$1006:BL1006),$AO$1006:$BQ$1006,0))&gt;=100000), " ",IF(INDEX($AO$2:$BQ$1001,MATCH(ROWS($AH$2:AH1001),$AH$2:$AH$1001,0),MATCH(COLUMNS($AO$1006:BL1006),$AO$1006:$BQ$1006,0)), HYPERLINK("#",""), HYPERLINK(CONCATENATE("#Metadata!", ADDRESS(INDEX($AJ$2:$AJ$1001,MATCH(ROWS($AH$2:AH1001),$AH$2:$AH$1001,0),0), INDEX($AO$1004:$BQ$1004,1,MATCH(COLUMNS($AO$1006:BL1006),$AO$1006:$BQ$1006,0)))),"Fix")))</f>
        <v>#N/A</v>
      </c>
      <c r="Z1001" s="5" t="e">
        <f ca="1">IF(OR(INDEX($AI$2:$AI$1001,MATCH(ROWS($AH$2:AH1001),$AH$2:$AH$1001,0),1)&gt;=100000,INDEX($AO$1005:$BQ$1005,1,MATCH(COLUMNS($AO$1006:BM1006),$AO$1006:$BQ$1006,0))&gt;=100000), " ",IF(INDEX($AO$2:$BQ$1001,MATCH(ROWS($AH$2:AH1001),$AH$2:$AH$1001,0),MATCH(COLUMNS($AO$1006:BM1006),$AO$1006:$BQ$1006,0)), HYPERLINK("#",""), HYPERLINK(CONCATENATE("#Metadata!", ADDRESS(INDEX($AJ$2:$AJ$1001,MATCH(ROWS($AH$2:AH1001),$AH$2:$AH$1001,0),0), INDEX($AO$1004:$BQ$1004,1,MATCH(COLUMNS($AO$1006:BM1006),$AO$1006:$BQ$1006,0)))),"Fix")))</f>
        <v>#N/A</v>
      </c>
      <c r="AA1001" s="5" t="e">
        <f ca="1">IF(OR(INDEX($AI$2:$AI$1001,MATCH(ROWS($AH$2:AH1001),$AH$2:$AH$1001,0),1)&gt;=100000,INDEX($AO$1005:$BQ$1005,1,MATCH(COLUMNS($AO$1006:BN1006),$AO$1006:$BQ$1006,0))&gt;=100000), " ",IF(INDEX($AO$2:$BQ$1001,MATCH(ROWS($AH$2:AH1001),$AH$2:$AH$1001,0),MATCH(COLUMNS($AO$1006:BN1006),$AO$1006:$BQ$1006,0)), HYPERLINK("#",""), HYPERLINK(CONCATENATE("#Metadata!", ADDRESS(INDEX($AJ$2:$AJ$1001,MATCH(ROWS($AH$2:AH1001),$AH$2:$AH$1001,0),0), INDEX($AO$1004:$BQ$1004,1,MATCH(COLUMNS($AO$1006:BN1006),$AO$1006:$BQ$1006,0)))),"Fix")))</f>
        <v>#N/A</v>
      </c>
      <c r="AB1001" s="5" t="e">
        <f ca="1">IF(OR(INDEX($AI$2:$AI$1001,MATCH(ROWS($AH$2:AH1001),$AH$2:$AH$1001,0),1)&gt;=100000,INDEX($AO$1005:$BQ$1005,1,MATCH(COLUMNS($AO$1006:BO1006),$AO$1006:$BQ$1006,0))&gt;=100000), " ",IF(INDEX($AO$2:$BQ$1001,MATCH(ROWS($AH$2:AH1001),$AH$2:$AH$1001,0),MATCH(COLUMNS($AO$1006:BO1006),$AO$1006:$BQ$1006,0)), HYPERLINK("#",""), HYPERLINK(CONCATENATE("#Metadata!", ADDRESS(INDEX($AJ$2:$AJ$1001,MATCH(ROWS($AH$2:AH1001),$AH$2:$AH$1001,0),0), INDEX($AO$1004:$BQ$1004,1,MATCH(COLUMNS($AO$1006:BO1006),$AO$1006:$BQ$1006,0)))),"Fix")))</f>
        <v>#N/A</v>
      </c>
      <c r="AC1001" s="5" t="e">
        <f ca="1">IF(OR(INDEX($AI$2:$AI$1001,MATCH(ROWS($AH$2:AH1001),$AH$2:$AH$1001,0),1)&gt;=100000,INDEX($AO$1005:$BQ$1005,1,MATCH(COLUMNS($AO$1006:BP1006),$AO$1006:$BQ$1006,0))&gt;=100000), " ",IF(INDEX($AO$2:$BQ$1001,MATCH(ROWS($AH$2:AH1001),$AH$2:$AH$1001,0),MATCH(COLUMNS($AO$1006:BP1006),$AO$1006:$BQ$1006,0)), HYPERLINK("#",""), HYPERLINK(CONCATENATE("#Metadata!", ADDRESS(INDEX($AJ$2:$AJ$1001,MATCH(ROWS($AH$2:AH1001),$AH$2:$AH$1001,0),0), INDEX($AO$1004:$BQ$1004,1,MATCH(COLUMNS($AO$1006:BP1006),$AO$1006:$BQ$1006,0)))),"Fix")))</f>
        <v>#N/A</v>
      </c>
      <c r="AD1001" s="5" t="e">
        <f ca="1">IF(OR(INDEX($AI$2:$AI$1001,MATCH(ROWS($AH$2:AH1001),$AH$2:$AH$1001,0),1)&gt;=100000,INDEX($AO$1005:$BQ$1005,1,MATCH(COLUMNS($AO$1006:BQ1006),$AO$1006:$BQ$1006,0))&gt;=100000), " ",IF(INDEX($AO$2:$BQ$1001,MATCH(ROWS($AH$2:AH1001),$AH$2:$AH$1001,0),MATCH(COLUMNS($AO$1006:BQ1006),$AO$1006:$BQ$1006,0)), HYPERLINK("#",""), HYPERLINK(CONCATENATE("#Metadata!", ADDRESS(INDEX($AJ$2:$AJ$1001,MATCH(ROWS($AH$2:AH1001),$AH$2:$AH$1001,0),0), INDEX($AO$1004:$BQ$1004,1,MATCH(COLUMNS($AO$1006:BQ1006),$AO$1006:$BQ$1006,0)))),"Fix")))</f>
        <v>#N/A</v>
      </c>
      <c r="AH1001">
        <f ca="1"/>
        <v>998</v>
      </c>
      <c r="AI1001">
        <v>101001</v>
      </c>
      <c r="AJ1001">
        <v>1001</v>
      </c>
      <c r="AK1001" t="b">
        <f t="shared" si="15"/>
        <v>1</v>
      </c>
      <c r="AL1001" t="b">
        <f>COUNTBLANK(Metadata!B1001:AD1001)=COLUMNS(Metadata!B1001:AD1001)</f>
        <v>1</v>
      </c>
      <c r="AM1001" t="str">
        <v/>
      </c>
      <c r="AO1001" t="b">
        <f ca="1">AND(IF(Metadata!B1001="",FALSE,TRUE),COUNTIF(Metadata!B:B, Metadata!B1001) = 1,NOT(ISERROR(SUMPRODUCT(SEARCH(MID(Metadata!B1001,ROW(INDIRECT("1:"&amp;LEN(Metadata!B1001))), 1),"0123456789abcdefghijklmnopqrstuvwxyzABCDEFGHIJKLMNOPQRSTUVWXYZ.")))))</f>
        <v>0</v>
      </c>
      <c r="AP1001" t="b">
        <f>IF(Metadata!C1001="",FALSE,TRUE)</f>
        <v>0</v>
      </c>
      <c r="AQ1001" t="b">
        <f>IF(Metadata!D1001="",FALSE,TRUE)</f>
        <v>0</v>
      </c>
      <c r="AR1001" t="b">
        <f ca="1">OR(AND(IF(Metadata!E1001="",FALSE,TRUE),OR(EXACT(Metadata!E1001,"not collected"),EXACT(Metadata!E1001,"not provided"),EXACT(Metadata!E1001,"restricted access"))),AND(IF(Metadata!E1001="",FALSE,TRUE),AND(AND(IFERROR(INT(LEFT(Metadata!E1001,4))&gt;1900,FALSE),IFERROR(INT(LEFT(Metadata!E1001,4))&lt;=YEAR(NOW()),FALSE)), OR(MID(Metadata!E1001,5,1)="", AND(AND(MID(Metadata!E1001,5,1)="-",IFERROR(INT(MID(Metadata!E1001,6,1))&gt;=0,FALSE),IFERROR(INT(MID(Metadata!E1001,6,1))&lt;=1,FALSE),NOT(MID(Metadata!E1001,7,1)=""),IFERROR(INT(MID(Metadata!E1001,6,2))&gt;=1,FALSE),IFERROR(INT(MID(Metadata!E1001,6,2))&lt;=12,FALSE)), OR(MID(Metadata!E1001,8,1)="", AND(AND(MID(Metadata!E1001,8,1)="-",IFERROR(INT(MID(Metadata!E1001,9,1))&gt;=0,FALSE),IFERROR(INT(MID(Metadata!E1001,9,1))&lt;=3,FALSE),NOT(MID(Metadata!E1001,10,1)=""),IFERROR(INT(MID(Metadata!E1001,9,2))&gt;=1,FALSE),IFERROR(INT(MID(Metadata!E1001,9,2))&lt;=31,FALSE)), OR(MID(Metadata!E1001,11,1)="", AND(AND(MID(Metadata!E1001,11,1)=" ",IFERROR(INT(MID(Metadata!E1001,12,1))&gt;=0,FALSE),IFERROR(INT(MID(Metadata!E1001,12,1))&lt;=2,FALSE),NOT(MID(Metadata!E1001,13,1)=""),IFERROR(INT(MID(Metadata!E1001,12,2))&gt;=0,FALSE),IFERROR(INT(MID(Metadata!E1001,12,2))&lt;=23,FALSE)), OR(MID(Metadata!E1001,14,1)="", AND(AND(MID(Metadata!E1001,14,1)=":",IFERROR(INT(MID(Metadata!E1001,15,1))&gt;=0,FALSE),IFERROR(INT(MID(Metadata!E1001,15,1))&lt;=5,FALSE),NOT(MID(Metadata!E1001,16,1)=""),IFERROR(INT(MID(Metadata!E1001,15,2))&gt;=0,FALSE),IFERROR(INT(MID(Metadata!E1001,15,2))&lt;=59,FALSE)), OR(MID(Metadata!E1001,17,1)="", AND(AND(MID(Metadata!E1001,17,1)=":",IFERROR(INT(MID(Metadata!E1001,18,1))&gt;=0,FALSE),IFERROR(INT(MID(Metadata!E1001,18,1))&lt;=5,FALSE),NOT(MID(Metadata!E1001,19,1)=""),IFERROR(INT(MID(Metadata!E1001,18,2))&gt;=0,FALSE),IFERROR(INT(MID(Metadata!E1001,18,2))&lt;=59,FALSE)), LEN(Metadata!E1001)&lt;=19)))))))))))))</f>
        <v>0</v>
      </c>
      <c r="AS1001" t="b">
        <f>IF(Metadata!F1001="",FALSE,TRUE)</f>
        <v>0</v>
      </c>
      <c r="AT1001" t="b">
        <f>OR(AND(IF(Metadata!G1001="",FALSE,TRUE),OR(EXACT(Metadata!G1001,"not collected"),EXACT(Metadata!G1001,"not provided"))),AND(IF(Metadata!G1001="",FALSE,TRUE),OR(EXACT(Metadata!G1001,"TRUE"),EXACT(Metadata!G1001,"FALSE"))))</f>
        <v>0</v>
      </c>
      <c r="AU1001" t="b">
        <f>OR(AND(IF(Metadata!H1001="",FALSE,TRUE),OR(EXACT(Metadata!H1001,"not collected"),EXACT(Metadata!H1001,"not provided"),EXACT(Metadata!H1001,"restricted access"))),AND(IF(Metadata!H1001="",FALSE,ISNUMBER(VALUE(Metadata!H1001))),Metadata!H1001&gt;=-413))</f>
        <v>0</v>
      </c>
      <c r="AV1001" t="b">
        <f>AND(IF(Metadata!I1001="",FALSE,TRUE),EXACT(Metadata!I1001,"meters"))</f>
        <v>0</v>
      </c>
      <c r="AW1001" t="b">
        <f>AND(IF(Metadata!J1001="",FALSE,TRUE),EXACT(Metadata!J1001,"free-living"))</f>
        <v>0</v>
      </c>
      <c r="AX1001" t="b">
        <f>AND(IF(Metadata!K1001="",FALSE,TRUE),OR(EXACT(Metadata!K1001,"saline"),EXACT(Metadata!K1001,"non-saline")))</f>
        <v>0</v>
      </c>
      <c r="AY1001" t="b">
        <f>AND(IF(Metadata!L1001="",FALSE,TRUE),OR(EXACT(Metadata!L1001,"sub-surface (non-saline)"),EXACT(Metadata!L1001,"surface (non-saline)"),EXACT(Metadata!L1001,"water (non-saline)"),EXACT(Metadata!L1001,"soil (non-saline)"),EXACT(Metadata!L1001,"aerosol (non-saline)"),EXACT(Metadata!L1001,"sediment (non-saline)"),EXACT(Metadata!L1001,"surface (saline)"),EXACT(Metadata!L1001,"water (saline)"),EXACT(Metadata!L1001,"hypersaline (saline)"),EXACT(Metadata!L1001,"aerosol (saline)"),EXACT(Metadata!L1001,"sediment (saline)")))</f>
        <v>0</v>
      </c>
      <c r="AZ1001" t="b">
        <f>IF(Metadata!M1001="",FALSE,TRUE)</f>
        <v>0</v>
      </c>
      <c r="BA1001" t="b">
        <f>IF(Metadata!N1001="",FALSE,TRUE)</f>
        <v>0</v>
      </c>
      <c r="BB1001" t="b">
        <f>IF(Metadata!O1001="",FALSE,TRUE)</f>
        <v>0</v>
      </c>
      <c r="BC1001" t="b">
        <f>AND(IF(Metadata!P1001="",FALSE,TRUE),OR(EXACT(Metadata!P1001,"air"),EXACT(Metadata!P1001,"microbial mat/biofilm"),EXACT(Metadata!P1001,"misc environment"),EXACT(Metadata!P1001,"sediment"),EXACT(Metadata!P1001,"soil"),EXACT(Metadata!P1001,"wastewater/sludge"),EXACT(Metadata!P1001,"water")))</f>
        <v>0</v>
      </c>
      <c r="BD1001" t="b">
        <f>IF(Metadata!Q1001="",FALSE,TRUE)</f>
        <v>0</v>
      </c>
      <c r="BE1001" t="b">
        <f>IF(Metadata!R1001="",FALSE,TRUE)</f>
        <v>0</v>
      </c>
      <c r="BF1001" t="b">
        <f>OR(AND(IF(Metadata!S1001="",FALSE,TRUE),OR(EXACT(Metadata!S1001,"not collected"),EXACT(Metadata!S1001,"not provided"),EXACT(Metadata!S1001,"restricted access"))),AND(IF(Metadata!S1001="",FALSE,ISNUMBER(VALUE(Metadata!S1001))),Metadata!S1001&gt;=-90,Metadata!S1001&lt;=90))</f>
        <v>0</v>
      </c>
      <c r="BG1001" t="b">
        <f>AND(IF(Metadata!T1001="",FALSE,TRUE),EXACT(Metadata!T1001,"Decimal degrees"))</f>
        <v>0</v>
      </c>
      <c r="BH1001" t="b">
        <f>OR(AND(IF(Metadata!U1001="",FALSE,TRUE),OR(EXACT(Metadata!U1001,"not applicable"),EXACT(Metadata!U1001,"not collected"))),IF(Metadata!U1001="",FALSE,TRUE))</f>
        <v>0</v>
      </c>
      <c r="BI1001" t="b">
        <f>OR(AND(IF(Metadata!V1001="",FALSE,TRUE),OR(EXACT(Metadata!V1001,"not collected"),EXACT(Metadata!V1001,"not provided"),EXACT(Metadata!V1001,"restricted access"))),AND(IF(Metadata!V1001="",FALSE,ISNUMBER(VALUE(Metadata!V1001))),Metadata!V1001&gt;=-180,Metadata!V1001&lt;=180))</f>
        <v>0</v>
      </c>
      <c r="BJ1001" t="b">
        <f>AND(IF(Metadata!W1001="",FALSE,TRUE),EXACT(Metadata!W1001,"Decimal degrees"))</f>
        <v>0</v>
      </c>
      <c r="BK1001" t="b">
        <f>IF(Metadata!X1001="",FALSE,TRUE)</f>
        <v>0</v>
      </c>
      <c r="BL1001" t="b">
        <f>OR(AND(IF(Metadata!Y1001="",FALSE,TRUE),OR(EXACT(Metadata!Y1001,"not collected"),EXACT(Metadata!Y1001,"not provided"),EXACT(Metadata!Y1001,"restricted access"))),AND(IF(Metadata!Y1001="",FALSE,TRUE),OR(EXACT(Metadata!Y1001,"TRUE"),EXACT(Metadata!Y1001,"FALSE"))))</f>
        <v>0</v>
      </c>
      <c r="BM1001" t="b">
        <f>OR(AND(IF(Metadata!Z1001="",FALSE,TRUE),EXACT(Metadata!Z1001,"not applicable")),AND(IF(Metadata!Z1001="",FALSE,TRUE),OR(EXACT(Metadata!Z1001,"beer"),EXACT(Metadata!Z1001,"cheese"),EXACT(Metadata!Z1001,"fresh water"),EXACT(Metadata!Z1001,"marine sediment"),EXACT(Metadata!Z1001,"sea water"),EXACT(Metadata!Z1001,"sediment"),EXACT(Metadata!Z1001,"soil"),EXACT(Metadata!Z1001,"waste water"))))</f>
        <v>0</v>
      </c>
      <c r="BN1001" t="b">
        <f>AND(IF(Metadata!AA1001="",FALSE,TRUE),EXACT(Metadata!AA1001,"metagenome"))</f>
        <v>0</v>
      </c>
      <c r="BO1001" t="b">
        <f>AND(IF(Metadata!AB1001="",FALSE,TRUE),EXACT(Metadata!AB1001,"256318"))</f>
        <v>0</v>
      </c>
      <c r="BP1001" t="b">
        <f>IF(Metadata!AC1001="",FALSE,TRUE)</f>
        <v>0</v>
      </c>
      <c r="BQ1001" t="b">
        <f>IF(Metadata!AD1001="",FALSE,TRUE)</f>
        <v>0</v>
      </c>
    </row>
    <row r="1003" spans="1:69" ht="31" x14ac:dyDescent="0.2">
      <c r="AN1003" s="3" t="s">
        <v>36</v>
      </c>
      <c r="AO1003" t="e">
        <f t="array" aca="1" ref="AO1003" ca="1">AND(IF($AL2:$AL1001,TRUE,AO2:AO1001))</f>
        <v>#REF!</v>
      </c>
      <c r="AP1003" t="e">
        <f t="array" ref="AP1003">AND(IF($AL2:$AL1001,TRUE,AP2:AP1001))</f>
        <v>#REF!</v>
      </c>
      <c r="AQ1003" t="e">
        <f t="array" ref="AQ1003">AND(IF($AL2:$AL1001,TRUE,AQ2:AQ1001))</f>
        <v>#REF!</v>
      </c>
      <c r="AR1003" t="e">
        <f t="array" aca="1" ref="AR1003" ca="1">AND(IF($AL2:$AL1001,TRUE,AR2:AR1001))</f>
        <v>#REF!</v>
      </c>
      <c r="AS1003" t="e">
        <f t="array" ref="AS1003">AND(IF($AL2:$AL1001,TRUE,AS2:AS1001))</f>
        <v>#REF!</v>
      </c>
      <c r="AT1003" t="e">
        <f t="array" ref="AT1003">AND(IF($AL2:$AL1001,TRUE,AT2:AT1001))</f>
        <v>#REF!</v>
      </c>
      <c r="AU1003" t="e">
        <f t="array" ref="AU1003">AND(IF($AL2:$AL1001,TRUE,AU2:AU1001))</f>
        <v>#REF!</v>
      </c>
      <c r="AV1003" t="e">
        <f t="array" ref="AV1003">AND(IF($AL2:$AL1001,TRUE,AV2:AV1001))</f>
        <v>#REF!</v>
      </c>
      <c r="AW1003" t="e">
        <f t="array" ref="AW1003">AND(IF($AL2:$AL1001,TRUE,AW2:AW1001))</f>
        <v>#REF!</v>
      </c>
      <c r="AX1003" t="e">
        <f t="array" ref="AX1003">AND(IF($AL2:$AL1001,TRUE,AX2:AX1001))</f>
        <v>#REF!</v>
      </c>
      <c r="AY1003" t="e">
        <f t="array" ref="AY1003">AND(IF($AL2:$AL1001,TRUE,AY2:AY1001))</f>
        <v>#REF!</v>
      </c>
      <c r="AZ1003" t="e">
        <f t="array" ref="AZ1003">AND(IF($AL2:$AL1001,TRUE,AZ2:AZ1001))</f>
        <v>#REF!</v>
      </c>
      <c r="BA1003" t="e">
        <f t="array" ref="BA1003">AND(IF($AL2:$AL1001,TRUE,BA2:BA1001))</f>
        <v>#REF!</v>
      </c>
      <c r="BB1003" t="e">
        <f t="array" ref="BB1003">AND(IF($AL2:$AL1001,TRUE,BB2:BB1001))</f>
        <v>#REF!</v>
      </c>
      <c r="BC1003" t="e">
        <f t="array" ref="BC1003">AND(IF($AL2:$AL1001,TRUE,BC2:BC1001))</f>
        <v>#REF!</v>
      </c>
      <c r="BD1003" t="e">
        <f t="array" ref="BD1003">AND(IF($AL2:$AL1001,TRUE,BD2:BD1001))</f>
        <v>#REF!</v>
      </c>
      <c r="BE1003" t="e">
        <f t="array" ref="BE1003">AND(IF($AL2:$AL1001,TRUE,BE2:BE1001))</f>
        <v>#REF!</v>
      </c>
      <c r="BF1003" t="e">
        <f t="array" ref="BF1003">AND(IF($AL2:$AL1001,TRUE,BF2:BF1001))</f>
        <v>#REF!</v>
      </c>
      <c r="BG1003" t="e">
        <f t="array" ref="BG1003">AND(IF($AL2:$AL1001,TRUE,BG2:BG1001))</f>
        <v>#REF!</v>
      </c>
      <c r="BH1003" t="e">
        <f t="array" ref="BH1003">AND(IF($AL2:$AL1001,TRUE,BH2:BH1001))</f>
        <v>#REF!</v>
      </c>
      <c r="BI1003" t="e">
        <f t="array" ref="BI1003">AND(IF($AL2:$AL1001,TRUE,BI2:BI1001))</f>
        <v>#REF!</v>
      </c>
      <c r="BJ1003" t="e">
        <f t="array" ref="BJ1003">AND(IF($AL2:$AL1001,TRUE,BJ2:BJ1001))</f>
        <v>#REF!</v>
      </c>
      <c r="BK1003" t="e">
        <f t="array" ref="BK1003">AND(IF($AL2:$AL1001,TRUE,BK2:BK1001))</f>
        <v>#REF!</v>
      </c>
      <c r="BL1003" t="e">
        <f t="array" ref="BL1003">AND(IF($AL2:$AL1001,TRUE,BL2:BL1001))</f>
        <v>#REF!</v>
      </c>
      <c r="BM1003" t="e">
        <f t="array" ref="BM1003">AND(IF($AL2:$AL1001,TRUE,BM2:BM1001))</f>
        <v>#REF!</v>
      </c>
      <c r="BN1003" t="e">
        <f t="array" ref="BN1003">AND(IF($AL2:$AL1001,TRUE,BN2:BN1001))</f>
        <v>#REF!</v>
      </c>
      <c r="BO1003" t="e">
        <f t="array" ref="BO1003">AND(IF($AL2:$AL1001,TRUE,BO2:BO1001))</f>
        <v>#REF!</v>
      </c>
      <c r="BP1003" t="e">
        <f t="array" ref="BP1003">AND(IF($AL2:$AL1001,TRUE,BP2:BP1001))</f>
        <v>#REF!</v>
      </c>
      <c r="BQ1003" t="e">
        <f t="array" ref="BQ1003">AND(IF($AL2:$AL1001,TRUE,BQ2:BQ1001))</f>
        <v>#REF!</v>
      </c>
    </row>
    <row r="1004" spans="1:69" ht="31" x14ac:dyDescent="0.2">
      <c r="AN1004" s="3" t="s">
        <v>37</v>
      </c>
      <c r="AO1004">
        <f t="array" ref="AO1004:BQ1004">COLUMN(Metadata!B1004:AD1004)</f>
        <v>2</v>
      </c>
      <c r="AP1004">
        <v>3</v>
      </c>
      <c r="AQ1004">
        <v>4</v>
      </c>
      <c r="AR1004">
        <v>5</v>
      </c>
      <c r="AS1004">
        <v>6</v>
      </c>
      <c r="AT1004">
        <v>7</v>
      </c>
      <c r="AU1004">
        <v>8</v>
      </c>
      <c r="AV1004">
        <v>9</v>
      </c>
      <c r="AW1004">
        <v>10</v>
      </c>
      <c r="AX1004">
        <v>11</v>
      </c>
      <c r="AY1004">
        <v>12</v>
      </c>
      <c r="AZ1004">
        <v>13</v>
      </c>
      <c r="BA1004">
        <v>14</v>
      </c>
      <c r="BB1004">
        <v>15</v>
      </c>
      <c r="BC1004">
        <v>16</v>
      </c>
      <c r="BD1004">
        <v>17</v>
      </c>
      <c r="BE1004">
        <v>18</v>
      </c>
      <c r="BF1004">
        <v>19</v>
      </c>
      <c r="BG1004">
        <v>20</v>
      </c>
      <c r="BH1004">
        <v>21</v>
      </c>
      <c r="BI1004">
        <v>22</v>
      </c>
      <c r="BJ1004">
        <v>23</v>
      </c>
      <c r="BK1004">
        <v>24</v>
      </c>
      <c r="BL1004">
        <v>25</v>
      </c>
      <c r="BM1004">
        <v>26</v>
      </c>
      <c r="BN1004">
        <v>27</v>
      </c>
      <c r="BO1004">
        <v>28</v>
      </c>
      <c r="BP1004">
        <v>29</v>
      </c>
      <c r="BQ1004">
        <v>30</v>
      </c>
    </row>
    <row r="1005" spans="1:69" ht="31" x14ac:dyDescent="0.2">
      <c r="AN1005" s="3" t="s">
        <v>38</v>
      </c>
      <c r="AO1005" t="e">
        <f t="array" ref="AO1005:BQ1005" ca="1">INT(AO1003:BQ1003)*100000+$AO$1004:$BQ$1004</f>
        <v>#REF!</v>
      </c>
      <c r="AP1005" t="e">
        <v>#REF!</v>
      </c>
      <c r="AQ1005" t="e">
        <v>#REF!</v>
      </c>
      <c r="AR1005" t="e">
        <f ca="1"/>
        <v>#REF!</v>
      </c>
      <c r="AS1005" t="e">
        <v>#REF!</v>
      </c>
      <c r="AT1005" t="e">
        <v>#REF!</v>
      </c>
      <c r="AU1005" t="e">
        <v>#REF!</v>
      </c>
      <c r="AV1005" t="e">
        <v>#REF!</v>
      </c>
      <c r="AW1005" t="e">
        <v>#REF!</v>
      </c>
      <c r="AX1005" t="e">
        <v>#REF!</v>
      </c>
      <c r="AY1005" t="e">
        <v>#REF!</v>
      </c>
      <c r="AZ1005" t="e">
        <v>#REF!</v>
      </c>
      <c r="BA1005" t="e">
        <v>#REF!</v>
      </c>
      <c r="BB1005" t="e">
        <v>#REF!</v>
      </c>
      <c r="BC1005" t="e">
        <v>#REF!</v>
      </c>
      <c r="BD1005" t="e">
        <v>#REF!</v>
      </c>
      <c r="BE1005" t="e">
        <v>#REF!</v>
      </c>
      <c r="BF1005" t="e">
        <v>#REF!</v>
      </c>
      <c r="BG1005" t="e">
        <v>#REF!</v>
      </c>
      <c r="BH1005" t="e">
        <v>#REF!</v>
      </c>
      <c r="BI1005" t="e">
        <v>#REF!</v>
      </c>
      <c r="BJ1005" t="e">
        <v>#REF!</v>
      </c>
      <c r="BK1005" t="e">
        <v>#REF!</v>
      </c>
      <c r="BL1005" t="e">
        <v>#REF!</v>
      </c>
      <c r="BM1005" t="e">
        <v>#REF!</v>
      </c>
      <c r="BN1005" t="e">
        <v>#REF!</v>
      </c>
      <c r="BO1005" t="e">
        <v>#REF!</v>
      </c>
      <c r="BP1005" t="e">
        <v>#REF!</v>
      </c>
      <c r="BQ1005" t="e">
        <v>#REF!</v>
      </c>
    </row>
    <row r="1006" spans="1:69" ht="16" x14ac:dyDescent="0.2">
      <c r="AN1006" s="3" t="s">
        <v>39</v>
      </c>
      <c r="AO1006">
        <f t="array" aca="1" ref="AO1006:BQ1006" ca="1">COUNTIF($AO1005:$BQ1005,"&lt;="&amp;AO$1005:BQ1005)</f>
        <v>29</v>
      </c>
      <c r="AP1006">
        <f ca="1"/>
        <v>29</v>
      </c>
      <c r="AQ1006">
        <f ca="1"/>
        <v>29</v>
      </c>
      <c r="AR1006">
        <f ca="1"/>
        <v>29</v>
      </c>
      <c r="AS1006">
        <f ca="1"/>
        <v>29</v>
      </c>
      <c r="AT1006">
        <f ca="1"/>
        <v>29</v>
      </c>
      <c r="AU1006">
        <f ca="1"/>
        <v>29</v>
      </c>
      <c r="AV1006">
        <f ca="1"/>
        <v>29</v>
      </c>
      <c r="AW1006">
        <f ca="1"/>
        <v>29</v>
      </c>
      <c r="AX1006">
        <f ca="1"/>
        <v>29</v>
      </c>
      <c r="AY1006">
        <f ca="1"/>
        <v>29</v>
      </c>
      <c r="AZ1006">
        <f ca="1"/>
        <v>29</v>
      </c>
      <c r="BA1006">
        <f ca="1"/>
        <v>29</v>
      </c>
      <c r="BB1006">
        <f ca="1"/>
        <v>29</v>
      </c>
      <c r="BC1006">
        <f ca="1"/>
        <v>29</v>
      </c>
      <c r="BD1006">
        <f ca="1"/>
        <v>29</v>
      </c>
      <c r="BE1006">
        <f ca="1"/>
        <v>29</v>
      </c>
      <c r="BF1006">
        <f ca="1"/>
        <v>29</v>
      </c>
      <c r="BG1006">
        <f ca="1"/>
        <v>29</v>
      </c>
      <c r="BH1006">
        <f ca="1"/>
        <v>29</v>
      </c>
      <c r="BI1006">
        <f ca="1"/>
        <v>29</v>
      </c>
      <c r="BJ1006">
        <f ca="1"/>
        <v>29</v>
      </c>
      <c r="BK1006">
        <f ca="1"/>
        <v>29</v>
      </c>
      <c r="BL1006">
        <f ca="1"/>
        <v>29</v>
      </c>
      <c r="BM1006">
        <f ca="1"/>
        <v>29</v>
      </c>
      <c r="BN1006">
        <f ca="1"/>
        <v>29</v>
      </c>
      <c r="BO1006">
        <f ca="1"/>
        <v>29</v>
      </c>
      <c r="BP1006">
        <f ca="1"/>
        <v>29</v>
      </c>
      <c r="BQ1006">
        <f ca="1"/>
        <v>29</v>
      </c>
    </row>
  </sheetData>
  <sheetProtection password="EE32" sheet="1" objects="1" scenarios="1"/>
  <conditionalFormatting sqref="B2:AD1001">
    <cfRule type="cellIs" dxfId="1" priority="1" operator="equal">
      <formula>""</formula>
    </cfRule>
    <cfRule type="cellIs" dxfId="0"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0"/>
  <sheetViews>
    <sheetView workbookViewId="0">
      <pane xSplit="1" ySplit="1" topLeftCell="B8" activePane="bottomRight" state="frozen"/>
      <selection pane="topRight" activeCell="B1" sqref="B1"/>
      <selection pane="bottomLeft" activeCell="A2" sqref="A2"/>
      <selection pane="bottomRight"/>
    </sheetView>
  </sheetViews>
  <sheetFormatPr baseColWidth="10" defaultColWidth="8.83203125" defaultRowHeight="15" x14ac:dyDescent="0.2"/>
  <cols>
    <col min="1" max="2" width="25.6640625" customWidth="1"/>
  </cols>
  <sheetData>
    <row r="1" spans="1:2" ht="16" x14ac:dyDescent="0.2">
      <c r="A1" s="3" t="s">
        <v>40</v>
      </c>
      <c r="B1" s="3" t="s">
        <v>41</v>
      </c>
    </row>
    <row r="2" spans="1:2" ht="16" x14ac:dyDescent="0.2">
      <c r="A2" s="3" t="s">
        <v>1</v>
      </c>
      <c r="B2" t="s">
        <v>42</v>
      </c>
    </row>
    <row r="3" spans="1:2" ht="16" x14ac:dyDescent="0.2">
      <c r="A3" s="3" t="s">
        <v>3</v>
      </c>
      <c r="B3" t="s">
        <v>43</v>
      </c>
    </row>
    <row r="4" spans="1:2" ht="16" x14ac:dyDescent="0.2">
      <c r="A4" s="3" t="s">
        <v>4</v>
      </c>
      <c r="B4" t="s">
        <v>43</v>
      </c>
    </row>
    <row r="5" spans="1:2" ht="16" x14ac:dyDescent="0.2">
      <c r="A5" s="3" t="s">
        <v>5</v>
      </c>
      <c r="B5" t="s">
        <v>44</v>
      </c>
    </row>
    <row r="6" spans="1:2" ht="16" x14ac:dyDescent="0.2">
      <c r="A6" s="3" t="s">
        <v>6</v>
      </c>
      <c r="B6" t="s">
        <v>45</v>
      </c>
    </row>
    <row r="7" spans="1:2" ht="16" x14ac:dyDescent="0.2">
      <c r="A7" s="3" t="s">
        <v>7</v>
      </c>
      <c r="B7" t="s">
        <v>46</v>
      </c>
    </row>
    <row r="8" spans="1:2" ht="16" x14ac:dyDescent="0.2">
      <c r="A8" s="3" t="s">
        <v>8</v>
      </c>
      <c r="B8" t="s">
        <v>47</v>
      </c>
    </row>
    <row r="9" spans="1:2" ht="16" x14ac:dyDescent="0.2">
      <c r="A9" s="3" t="s">
        <v>9</v>
      </c>
      <c r="B9" t="s">
        <v>48</v>
      </c>
    </row>
    <row r="10" spans="1:2" ht="16" x14ac:dyDescent="0.2">
      <c r="A10" s="3" t="s">
        <v>10</v>
      </c>
      <c r="B10" t="s">
        <v>49</v>
      </c>
    </row>
    <row r="11" spans="1:2" ht="16" x14ac:dyDescent="0.2">
      <c r="A11" s="3" t="s">
        <v>11</v>
      </c>
      <c r="B11" t="s">
        <v>50</v>
      </c>
    </row>
    <row r="12" spans="1:2" ht="16" x14ac:dyDescent="0.2">
      <c r="A12" s="3" t="s">
        <v>12</v>
      </c>
      <c r="B12" t="s">
        <v>51</v>
      </c>
    </row>
    <row r="13" spans="1:2" ht="16" x14ac:dyDescent="0.2">
      <c r="A13" s="3" t="s">
        <v>13</v>
      </c>
      <c r="B13" t="s">
        <v>52</v>
      </c>
    </row>
    <row r="14" spans="1:2" ht="16" x14ac:dyDescent="0.2">
      <c r="A14" s="3" t="s">
        <v>14</v>
      </c>
      <c r="B14" t="s">
        <v>53</v>
      </c>
    </row>
    <row r="15" spans="1:2" ht="16" x14ac:dyDescent="0.2">
      <c r="A15" s="3" t="s">
        <v>15</v>
      </c>
      <c r="B15" t="s">
        <v>54</v>
      </c>
    </row>
    <row r="16" spans="1:2" ht="16" x14ac:dyDescent="0.2">
      <c r="A16" s="3" t="s">
        <v>16</v>
      </c>
      <c r="B16" t="s">
        <v>55</v>
      </c>
    </row>
    <row r="17" spans="1:2" ht="16" x14ac:dyDescent="0.2">
      <c r="A17" s="3" t="s">
        <v>17</v>
      </c>
      <c r="B17" t="s">
        <v>56</v>
      </c>
    </row>
    <row r="18" spans="1:2" ht="16" x14ac:dyDescent="0.2">
      <c r="A18" s="3" t="s">
        <v>18</v>
      </c>
      <c r="B18" t="s">
        <v>57</v>
      </c>
    </row>
    <row r="19" spans="1:2" ht="16" x14ac:dyDescent="0.2">
      <c r="A19" s="3" t="s">
        <v>19</v>
      </c>
      <c r="B19" t="s">
        <v>58</v>
      </c>
    </row>
    <row r="20" spans="1:2" ht="16" x14ac:dyDescent="0.2">
      <c r="A20" s="3" t="s">
        <v>20</v>
      </c>
      <c r="B20" t="s">
        <v>59</v>
      </c>
    </row>
    <row r="21" spans="1:2" ht="16" x14ac:dyDescent="0.2">
      <c r="A21" s="3" t="s">
        <v>21</v>
      </c>
      <c r="B21" t="s">
        <v>60</v>
      </c>
    </row>
    <row r="22" spans="1:2" ht="16" x14ac:dyDescent="0.2">
      <c r="A22" s="3" t="s">
        <v>22</v>
      </c>
      <c r="B22" t="s">
        <v>61</v>
      </c>
    </row>
    <row r="23" spans="1:2" ht="16" x14ac:dyDescent="0.2">
      <c r="A23" s="3" t="s">
        <v>23</v>
      </c>
      <c r="B23" t="s">
        <v>59</v>
      </c>
    </row>
    <row r="24" spans="1:2" ht="16" x14ac:dyDescent="0.2">
      <c r="A24" s="3" t="s">
        <v>24</v>
      </c>
      <c r="B24" t="s">
        <v>62</v>
      </c>
    </row>
    <row r="25" spans="1:2" ht="31" x14ac:dyDescent="0.2">
      <c r="A25" s="3" t="s">
        <v>25</v>
      </c>
      <c r="B25" t="s">
        <v>63</v>
      </c>
    </row>
    <row r="26" spans="1:2" ht="16" x14ac:dyDescent="0.2">
      <c r="A26" s="3" t="s">
        <v>26</v>
      </c>
      <c r="B26" t="s">
        <v>64</v>
      </c>
    </row>
    <row r="27" spans="1:2" ht="16" x14ac:dyDescent="0.2">
      <c r="A27" s="3" t="s">
        <v>27</v>
      </c>
      <c r="B27" t="s">
        <v>65</v>
      </c>
    </row>
    <row r="28" spans="1:2" ht="16" x14ac:dyDescent="0.2">
      <c r="A28" s="3" t="s">
        <v>28</v>
      </c>
      <c r="B28" t="s">
        <v>66</v>
      </c>
    </row>
    <row r="29" spans="1:2" ht="16" x14ac:dyDescent="0.2">
      <c r="A29" s="3" t="s">
        <v>29</v>
      </c>
      <c r="B29" t="s">
        <v>67</v>
      </c>
    </row>
    <row r="30" spans="1:2" ht="16" x14ac:dyDescent="0.2">
      <c r="A30" s="3" t="s">
        <v>30</v>
      </c>
      <c r="B30" t="s">
        <v>68</v>
      </c>
    </row>
  </sheetData>
  <sheetProtection password="EE32"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sheetData>
    <row r="1" spans="1:1" x14ac:dyDescent="0.2">
      <c r="A1" t="s">
        <v>69</v>
      </c>
    </row>
  </sheetData>
  <sheetProtection password="EE32"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sheetData>
    <row r="1" spans="1:1" x14ac:dyDescent="0.2">
      <c r="A1" t="s">
        <v>70</v>
      </c>
    </row>
  </sheetData>
  <sheetProtection password="EE32"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3"/>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cols>
    <col min="1" max="1" width="100.6640625" customWidth="1"/>
  </cols>
  <sheetData>
    <row r="1" spans="1:1" x14ac:dyDescent="0.2">
      <c r="A1" s="4" t="str">
        <f>HYPERLINK("http://metadata-wizard-tutorial.readthedocs.io/en/latest/", "Click here for instructions on using this spreadsheet.")</f>
        <v>Click here for instructions on using this spreadsheet.</v>
      </c>
    </row>
    <row r="3" spans="1:1" ht="16" x14ac:dyDescent="0.2">
      <c r="A3" s="6" t="s">
        <v>71</v>
      </c>
    </row>
  </sheetData>
  <sheetProtection password="EE32"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Data Dictionary</vt:lpstr>
      <vt:lpstr>metadata_schema</vt:lpstr>
      <vt:lpstr>metadata_form</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2019-12-12T21:05:43Z</dcterms:created>
  <dcterms:modified xsi:type="dcterms:W3CDTF">2019-12-12T23:38:09Z</dcterms:modified>
</cp:coreProperties>
</file>